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efevre\Desktop\FC adaptéés\NDC\Pieux\"/>
    </mc:Choice>
  </mc:AlternateContent>
  <xr:revisionPtr revIDLastSave="0" documentId="13_ncr:1_{866A2094-6D26-4830-89B6-13D6060EA74E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NDC" sheetId="8" r:id="rId1"/>
    <sheet name="Hypothèses" sheetId="2" r:id="rId2"/>
    <sheet name="Dimensionnement Général" sheetId="1" r:id="rId3"/>
    <sheet name="Model0.1C" sheetId="9" r:id="rId4"/>
    <sheet name="Model0.1T" sheetId="12" r:id="rId5"/>
    <sheet name="Béton" sheetId="6" r:id="rId6"/>
    <sheet name="Coeff EC7" sheetId="7" r:id="rId7"/>
    <sheet name="Effet de groupe" sheetId="13" r:id="rId8"/>
  </sheets>
  <definedNames>
    <definedName name="_xlnm._FilterDatabase" localSheetId="2" hidden="1">'Dimensionnement Général'!$A$12:$BA$53</definedName>
    <definedName name="Calc_comp_beton">NDC!$H$46</definedName>
    <definedName name="Calc_comp_beton_ELU">NDC!$H$45</definedName>
    <definedName name="calc_contrainte_beton_ELS">NDC!$D$46</definedName>
    <definedName name="calc_contrainte_beton_ELU">NDC!$D$45</definedName>
    <definedName name="CE">NDC!$C$21</definedName>
    <definedName name="charge_ELA">NDC!$D$72</definedName>
    <definedName name="Charge_ELS_freq">NDC!$C$59</definedName>
    <definedName name="charge_ELS_quasi">NDC!$C$61</definedName>
    <definedName name="charge_ELU">NDC!$D$71</definedName>
    <definedName name="Charge_neige">NDC!$C$15</definedName>
    <definedName name="Compbet">'Dimensionnement Général'!$BD$13</definedName>
    <definedName name="contadm">'Dimensionnement Général'!$BC$13</definedName>
    <definedName name="contadmcal">NDC!$G$46</definedName>
    <definedName name="contbet">'Dimensionnement Général'!$BB$13</definedName>
    <definedName name="couche_ancrage">NDC!$J$21</definedName>
    <definedName name="CRI">NDC!$H$12</definedName>
    <definedName name="CRU">NDC!$L$45</definedName>
    <definedName name="CRUTILE">'Dimensionnement Général'!$AT$13</definedName>
    <definedName name="diam">NDC!$G$76</definedName>
    <definedName name="diam_mini">NDC!$F$79</definedName>
    <definedName name="Diamètre">#REF!</definedName>
    <definedName name="Dim_Ce">'Dimensionnement Général'!$Z$13</definedName>
    <definedName name="Dim_CR">'Dimensionnement Général'!$T$13</definedName>
    <definedName name="Dim_dia">'Dimensionnement Général'!$X$13</definedName>
    <definedName name="Dim_diam">'Dimensionnement Général'!$AR$13</definedName>
    <definedName name="Dim_ELA">'Dimensionnement Général'!$AD$13</definedName>
    <definedName name="Dim_ELS_freq">'Dimensionnement Général'!$AA$13</definedName>
    <definedName name="Dim_ELS_qp">'Dimensionnement Général'!$AB$13</definedName>
    <definedName name="Dim_ELU">'Dimensionnement Général'!$AC$13</definedName>
    <definedName name="Dim_G">'Dimensionnement Général'!$B$13</definedName>
    <definedName name="Dim_kp">'Dimensionnement Général'!$AQ$13</definedName>
    <definedName name="Dim_long">'Dimensionnement Général'!$AS$13</definedName>
    <definedName name="Dim_mod">'Dimensionnement Général'!$Y$13</definedName>
    <definedName name="Dim_N">'Dimensionnement Général'!$E$13</definedName>
    <definedName name="Dim_Q">'Dimensionnement Général'!$C$13</definedName>
    <definedName name="Dim_Res_ELA">'Dimensionnement Général'!$AH$13</definedName>
    <definedName name="Dim_Res_ELS_freq">'Dimensionnement Général'!$AE$13</definedName>
    <definedName name="Dim_Res_ELS_qp">'Dimensionnement Général'!$AF$13</definedName>
    <definedName name="Dim_Res_ELU">'Dimensionnement Général'!$AG$13</definedName>
    <definedName name="Dim_Res_TELA">'Dimensionnement Général'!$AP$13</definedName>
    <definedName name="Dim_Res_TELSc">'Dimensionnement Général'!$AM$13</definedName>
    <definedName name="Dim_Res_Telsqp">'Dimensionnement Général'!$AN$13</definedName>
    <definedName name="Dim_Res_TELU">'Dimensionnement Général'!$AO$13</definedName>
    <definedName name="Dim_T_ELA">'Dimensionnement Général'!$AL$13</definedName>
    <definedName name="Dim_T_ELU">'Dimensionnement Général'!$AK$13</definedName>
    <definedName name="Dim_TELA">'Dimensionnement Général'!$Q$13</definedName>
    <definedName name="Dim_Tels_freq">'Dimensionnement Général'!$AI$13</definedName>
    <definedName name="Dim_TELS_qp">'Dimensionnement Général'!$AJ$13</definedName>
    <definedName name="Dim_TELSc">'Dimensionnement Général'!$O$13</definedName>
    <definedName name="Dim_TELSqp">'Dimensionnement Général'!$N$13</definedName>
    <definedName name="Dim_TELU">'Dimensionnement Général'!$P$13</definedName>
    <definedName name="Dim_V">'Dimensionnement Général'!$D$13</definedName>
    <definedName name="Dims_sis">'Dimensionnement Général'!$M$13</definedName>
    <definedName name="Ecm">#REF!</definedName>
    <definedName name="G">NDC!$C$12</definedName>
    <definedName name="Kp">NDC!$I$26</definedName>
    <definedName name="Kp_1">NDC!$H$25</definedName>
    <definedName name="longueur">NDC!$G$77</definedName>
    <definedName name="Mod">NDC!$C$20</definedName>
    <definedName name="NBppi">'Dimensionnement Général'!$V$13</definedName>
    <definedName name="nombre_couche">NDC!$C$22</definedName>
    <definedName name="nombre_pieux">'Dimensionnement Général'!$A$1</definedName>
    <definedName name="p_ancrage">NDC!$AG$37:$AH$47</definedName>
    <definedName name="portance">NDC!$AB$25:$AL$32</definedName>
    <definedName name="Portance_ELA">NDC!$G$72</definedName>
    <definedName name="portance_ELU">NDC!$G$71</definedName>
    <definedName name="Portance_TELA">NDC!$G$74</definedName>
    <definedName name="Portance_TELU">NDC!$G$73</definedName>
    <definedName name="psi">NDC!$P$25:$R$32</definedName>
    <definedName name="Q">NDC!$C$13</definedName>
    <definedName name="Res_ELS_freq">NDC!$H$59</definedName>
    <definedName name="Res_ELS_quasi">NDC!$H$61</definedName>
    <definedName name="Res_TELS_freq">NDC!$H$65</definedName>
    <definedName name="Res_TELS_qp">NDC!$H$63</definedName>
    <definedName name="SIS">NDC!$B$16</definedName>
    <definedName name="TELA">NDC!$G$18</definedName>
    <definedName name="tels">NDC!$C$19</definedName>
    <definedName name="Telsqp">NDC!$C$17</definedName>
    <definedName name="TELU">NDC!$C$18</definedName>
    <definedName name="test">#REF!</definedName>
    <definedName name="testcompbet">NDC!$F$83</definedName>
    <definedName name="Traction_ELS">NDC!$C$19</definedName>
    <definedName name="Vent">NDC!$C$14</definedName>
    <definedName name="_xlnm.Print_Area" localSheetId="7">'Effet de groupe'!$B$5:$L$18</definedName>
    <definedName name="_xlnm.Print_Area" localSheetId="0">NDC!$A$1:$H$78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" l="1"/>
  <c r="C25" i="2"/>
  <c r="FL12" i="12"/>
  <c r="ES12" i="12"/>
  <c r="DZ12" i="12"/>
  <c r="DG12" i="12"/>
  <c r="CN12" i="12"/>
  <c r="BU12" i="12"/>
  <c r="BB12" i="12"/>
  <c r="AJ3" i="12" s="1"/>
  <c r="AI12" i="12"/>
  <c r="AE12" i="12" s="1"/>
  <c r="AD12" i="12" s="1"/>
  <c r="AC12" i="12" s="1"/>
  <c r="B10" i="12"/>
  <c r="B3" i="12"/>
  <c r="B2" i="12"/>
  <c r="FC363" i="12"/>
  <c r="EJ363" i="12"/>
  <c r="DQ363" i="12"/>
  <c r="CX363" i="12"/>
  <c r="CE363" i="12"/>
  <c r="BL363" i="12"/>
  <c r="AS363" i="12"/>
  <c r="Z363" i="12"/>
  <c r="FC362" i="12"/>
  <c r="EJ362" i="12"/>
  <c r="DQ362" i="12"/>
  <c r="CX362" i="12"/>
  <c r="CE362" i="12"/>
  <c r="BL362" i="12"/>
  <c r="AS362" i="12"/>
  <c r="Z362" i="12"/>
  <c r="FC361" i="12"/>
  <c r="EJ361" i="12"/>
  <c r="DQ361" i="12"/>
  <c r="CX361" i="12"/>
  <c r="CE361" i="12"/>
  <c r="BL361" i="12"/>
  <c r="AS361" i="12"/>
  <c r="Z361" i="12"/>
  <c r="FC360" i="12"/>
  <c r="EJ360" i="12"/>
  <c r="DQ360" i="12"/>
  <c r="CX360" i="12"/>
  <c r="CE360" i="12"/>
  <c r="BL360" i="12"/>
  <c r="AS360" i="12"/>
  <c r="Z360" i="12"/>
  <c r="FC359" i="12"/>
  <c r="EJ359" i="12"/>
  <c r="DQ359" i="12"/>
  <c r="CX359" i="12"/>
  <c r="CE359" i="12"/>
  <c r="BL359" i="12"/>
  <c r="AS359" i="12"/>
  <c r="Z359" i="12"/>
  <c r="FC358" i="12"/>
  <c r="EJ358" i="12"/>
  <c r="DQ358" i="12"/>
  <c r="CX358" i="12"/>
  <c r="CE358" i="12"/>
  <c r="BL358" i="12"/>
  <c r="AS358" i="12"/>
  <c r="Z358" i="12"/>
  <c r="FC357" i="12"/>
  <c r="EJ357" i="12"/>
  <c r="DQ357" i="12"/>
  <c r="CX357" i="12"/>
  <c r="CE357" i="12"/>
  <c r="BL357" i="12"/>
  <c r="AS357" i="12"/>
  <c r="Z357" i="12"/>
  <c r="FC356" i="12"/>
  <c r="EJ356" i="12"/>
  <c r="DQ356" i="12"/>
  <c r="CX356" i="12"/>
  <c r="CE356" i="12"/>
  <c r="BL356" i="12"/>
  <c r="AS356" i="12"/>
  <c r="Z356" i="12"/>
  <c r="FC355" i="12"/>
  <c r="EJ355" i="12"/>
  <c r="DQ355" i="12"/>
  <c r="CX355" i="12"/>
  <c r="CE355" i="12"/>
  <c r="BL355" i="12"/>
  <c r="AS355" i="12"/>
  <c r="Z355" i="12"/>
  <c r="FC354" i="12"/>
  <c r="EJ354" i="12"/>
  <c r="DQ354" i="12"/>
  <c r="CX354" i="12"/>
  <c r="CE354" i="12"/>
  <c r="BL354" i="12"/>
  <c r="AS354" i="12"/>
  <c r="Z354" i="12"/>
  <c r="FC353" i="12"/>
  <c r="EJ353" i="12"/>
  <c r="DQ353" i="12"/>
  <c r="CX353" i="12"/>
  <c r="CE353" i="12"/>
  <c r="BL353" i="12"/>
  <c r="AS353" i="12"/>
  <c r="Z353" i="12"/>
  <c r="FC352" i="12"/>
  <c r="EJ352" i="12"/>
  <c r="DQ352" i="12"/>
  <c r="CX352" i="12"/>
  <c r="CE352" i="12"/>
  <c r="BL352" i="12"/>
  <c r="AS352" i="12"/>
  <c r="Z352" i="12"/>
  <c r="FC351" i="12"/>
  <c r="EJ351" i="12"/>
  <c r="DQ351" i="12"/>
  <c r="CX351" i="12"/>
  <c r="CE351" i="12"/>
  <c r="BL351" i="12"/>
  <c r="AS351" i="12"/>
  <c r="Z351" i="12"/>
  <c r="FC350" i="12"/>
  <c r="EJ350" i="12"/>
  <c r="DQ350" i="12"/>
  <c r="CX350" i="12"/>
  <c r="CE350" i="12"/>
  <c r="BL350" i="12"/>
  <c r="AS350" i="12"/>
  <c r="Z350" i="12"/>
  <c r="FC349" i="12"/>
  <c r="EJ349" i="12"/>
  <c r="DQ349" i="12"/>
  <c r="CX349" i="12"/>
  <c r="CE349" i="12"/>
  <c r="BL349" i="12"/>
  <c r="AS349" i="12"/>
  <c r="Z349" i="12"/>
  <c r="FC348" i="12"/>
  <c r="EJ348" i="12"/>
  <c r="DQ348" i="12"/>
  <c r="CX348" i="12"/>
  <c r="CE348" i="12"/>
  <c r="BL348" i="12"/>
  <c r="AS348" i="12"/>
  <c r="Z348" i="12"/>
  <c r="FC347" i="12"/>
  <c r="EJ347" i="12"/>
  <c r="DQ347" i="12"/>
  <c r="CX347" i="12"/>
  <c r="CE347" i="12"/>
  <c r="BL347" i="12"/>
  <c r="AS347" i="12"/>
  <c r="Z347" i="12"/>
  <c r="FC346" i="12"/>
  <c r="EJ346" i="12"/>
  <c r="DQ346" i="12"/>
  <c r="CX346" i="12"/>
  <c r="CE346" i="12"/>
  <c r="BL346" i="12"/>
  <c r="AS346" i="12"/>
  <c r="Z346" i="12"/>
  <c r="FC345" i="12"/>
  <c r="EJ345" i="12"/>
  <c r="DQ345" i="12"/>
  <c r="CX345" i="12"/>
  <c r="CE345" i="12"/>
  <c r="BL345" i="12"/>
  <c r="AS345" i="12"/>
  <c r="Z345" i="12"/>
  <c r="FC344" i="12"/>
  <c r="EJ344" i="12"/>
  <c r="DQ344" i="12"/>
  <c r="CX344" i="12"/>
  <c r="CE344" i="12"/>
  <c r="BL344" i="12"/>
  <c r="AS344" i="12"/>
  <c r="Z344" i="12"/>
  <c r="FC343" i="12"/>
  <c r="EJ343" i="12"/>
  <c r="DQ343" i="12"/>
  <c r="CX343" i="12"/>
  <c r="CE343" i="12"/>
  <c r="BL343" i="12"/>
  <c r="AS343" i="12"/>
  <c r="Z343" i="12"/>
  <c r="FC342" i="12"/>
  <c r="EJ342" i="12"/>
  <c r="DQ342" i="12"/>
  <c r="CX342" i="12"/>
  <c r="CE342" i="12"/>
  <c r="BL342" i="12"/>
  <c r="AS342" i="12"/>
  <c r="Z342" i="12"/>
  <c r="FC341" i="12"/>
  <c r="EJ341" i="12"/>
  <c r="DQ341" i="12"/>
  <c r="CX341" i="12"/>
  <c r="CE341" i="12"/>
  <c r="BL341" i="12"/>
  <c r="AS341" i="12"/>
  <c r="Z341" i="12"/>
  <c r="FC340" i="12"/>
  <c r="EJ340" i="12"/>
  <c r="DQ340" i="12"/>
  <c r="CX340" i="12"/>
  <c r="CE340" i="12"/>
  <c r="BL340" i="12"/>
  <c r="AS340" i="12"/>
  <c r="Z340" i="12"/>
  <c r="FC339" i="12"/>
  <c r="EJ339" i="12"/>
  <c r="DQ339" i="12"/>
  <c r="CX339" i="12"/>
  <c r="CE339" i="12"/>
  <c r="BL339" i="12"/>
  <c r="AS339" i="12"/>
  <c r="Z339" i="12"/>
  <c r="FC338" i="12"/>
  <c r="EJ338" i="12"/>
  <c r="DQ338" i="12"/>
  <c r="CX338" i="12"/>
  <c r="CE338" i="12"/>
  <c r="BL338" i="12"/>
  <c r="AS338" i="12"/>
  <c r="Z338" i="12"/>
  <c r="FC337" i="12"/>
  <c r="EJ337" i="12"/>
  <c r="DQ337" i="12"/>
  <c r="CX337" i="12"/>
  <c r="CE337" i="12"/>
  <c r="BL337" i="12"/>
  <c r="AS337" i="12"/>
  <c r="Z337" i="12"/>
  <c r="FC336" i="12"/>
  <c r="EJ336" i="12"/>
  <c r="DQ336" i="12"/>
  <c r="CX336" i="12"/>
  <c r="CE336" i="12"/>
  <c r="BL336" i="12"/>
  <c r="AS336" i="12"/>
  <c r="Z336" i="12"/>
  <c r="FC335" i="12"/>
  <c r="EJ335" i="12"/>
  <c r="DQ335" i="12"/>
  <c r="CX335" i="12"/>
  <c r="CE335" i="12"/>
  <c r="BL335" i="12"/>
  <c r="AS335" i="12"/>
  <c r="Z335" i="12"/>
  <c r="FC334" i="12"/>
  <c r="EJ334" i="12"/>
  <c r="DQ334" i="12"/>
  <c r="CX334" i="12"/>
  <c r="CE334" i="12"/>
  <c r="BL334" i="12"/>
  <c r="AS334" i="12"/>
  <c r="Z334" i="12"/>
  <c r="FC333" i="12"/>
  <c r="EJ333" i="12"/>
  <c r="DQ333" i="12"/>
  <c r="CX333" i="12"/>
  <c r="CE333" i="12"/>
  <c r="BL333" i="12"/>
  <c r="AS333" i="12"/>
  <c r="Z333" i="12"/>
  <c r="FC332" i="12"/>
  <c r="EJ332" i="12"/>
  <c r="DQ332" i="12"/>
  <c r="CX332" i="12"/>
  <c r="CE332" i="12"/>
  <c r="BL332" i="12"/>
  <c r="AS332" i="12"/>
  <c r="Z332" i="12"/>
  <c r="FC331" i="12"/>
  <c r="EJ331" i="12"/>
  <c r="DQ331" i="12"/>
  <c r="CX331" i="12"/>
  <c r="CE331" i="12"/>
  <c r="BL331" i="12"/>
  <c r="AS331" i="12"/>
  <c r="Z331" i="12"/>
  <c r="FC330" i="12"/>
  <c r="EJ330" i="12"/>
  <c r="DQ330" i="12"/>
  <c r="CX330" i="12"/>
  <c r="CE330" i="12"/>
  <c r="BL330" i="12"/>
  <c r="AS330" i="12"/>
  <c r="Z330" i="12"/>
  <c r="FC329" i="12"/>
  <c r="EJ329" i="12"/>
  <c r="DQ329" i="12"/>
  <c r="CX329" i="12"/>
  <c r="CE329" i="12"/>
  <c r="BL329" i="12"/>
  <c r="AS329" i="12"/>
  <c r="Z329" i="12"/>
  <c r="FC328" i="12"/>
  <c r="EJ328" i="12"/>
  <c r="DQ328" i="12"/>
  <c r="CX328" i="12"/>
  <c r="CE328" i="12"/>
  <c r="BL328" i="12"/>
  <c r="AS328" i="12"/>
  <c r="Z328" i="12"/>
  <c r="FC327" i="12"/>
  <c r="EJ327" i="12"/>
  <c r="DQ327" i="12"/>
  <c r="CX327" i="12"/>
  <c r="CE327" i="12"/>
  <c r="BL327" i="12"/>
  <c r="AS327" i="12"/>
  <c r="Z327" i="12"/>
  <c r="FC326" i="12"/>
  <c r="EJ326" i="12"/>
  <c r="DQ326" i="12"/>
  <c r="CX326" i="12"/>
  <c r="CE326" i="12"/>
  <c r="BL326" i="12"/>
  <c r="AS326" i="12"/>
  <c r="Z326" i="12"/>
  <c r="FC325" i="12"/>
  <c r="EJ325" i="12"/>
  <c r="DQ325" i="12"/>
  <c r="CX325" i="12"/>
  <c r="CE325" i="12"/>
  <c r="BL325" i="12"/>
  <c r="AS325" i="12"/>
  <c r="Z325" i="12"/>
  <c r="FC324" i="12"/>
  <c r="EJ324" i="12"/>
  <c r="DQ324" i="12"/>
  <c r="CX324" i="12"/>
  <c r="CE324" i="12"/>
  <c r="BL324" i="12"/>
  <c r="AS324" i="12"/>
  <c r="Z324" i="12"/>
  <c r="FC323" i="12"/>
  <c r="EJ323" i="12"/>
  <c r="DQ323" i="12"/>
  <c r="CX323" i="12"/>
  <c r="CE323" i="12"/>
  <c r="BL323" i="12"/>
  <c r="AS323" i="12"/>
  <c r="Z323" i="12"/>
  <c r="FC322" i="12"/>
  <c r="EJ322" i="12"/>
  <c r="DQ322" i="12"/>
  <c r="CX322" i="12"/>
  <c r="CE322" i="12"/>
  <c r="BL322" i="12"/>
  <c r="AS322" i="12"/>
  <c r="Z322" i="12"/>
  <c r="FC321" i="12"/>
  <c r="EJ321" i="12"/>
  <c r="DQ321" i="12"/>
  <c r="CX321" i="12"/>
  <c r="CE321" i="12"/>
  <c r="BL321" i="12"/>
  <c r="AS321" i="12"/>
  <c r="Z321" i="12"/>
  <c r="FC320" i="12"/>
  <c r="EJ320" i="12"/>
  <c r="DQ320" i="12"/>
  <c r="CX320" i="12"/>
  <c r="CE320" i="12"/>
  <c r="BL320" i="12"/>
  <c r="AS320" i="12"/>
  <c r="Z320" i="12"/>
  <c r="FC319" i="12"/>
  <c r="EJ319" i="12"/>
  <c r="DQ319" i="12"/>
  <c r="CX319" i="12"/>
  <c r="CE319" i="12"/>
  <c r="BL319" i="12"/>
  <c r="AS319" i="12"/>
  <c r="Z319" i="12"/>
  <c r="FC318" i="12"/>
  <c r="EJ318" i="12"/>
  <c r="DQ318" i="12"/>
  <c r="CX318" i="12"/>
  <c r="CE318" i="12"/>
  <c r="BL318" i="12"/>
  <c r="AS318" i="12"/>
  <c r="Z318" i="12"/>
  <c r="FC317" i="12"/>
  <c r="EJ317" i="12"/>
  <c r="DQ317" i="12"/>
  <c r="CX317" i="12"/>
  <c r="CE317" i="12"/>
  <c r="BL317" i="12"/>
  <c r="AS317" i="12"/>
  <c r="Z317" i="12"/>
  <c r="FC316" i="12"/>
  <c r="EJ316" i="12"/>
  <c r="DQ316" i="12"/>
  <c r="CX316" i="12"/>
  <c r="CE316" i="12"/>
  <c r="BL316" i="12"/>
  <c r="AS316" i="12"/>
  <c r="Z316" i="12"/>
  <c r="FC315" i="12"/>
  <c r="EJ315" i="12"/>
  <c r="DQ315" i="12"/>
  <c r="CX315" i="12"/>
  <c r="CE315" i="12"/>
  <c r="BL315" i="12"/>
  <c r="AS315" i="12"/>
  <c r="Z315" i="12"/>
  <c r="FC314" i="12"/>
  <c r="EJ314" i="12"/>
  <c r="DQ314" i="12"/>
  <c r="CX314" i="12"/>
  <c r="CE314" i="12"/>
  <c r="BL314" i="12"/>
  <c r="AS314" i="12"/>
  <c r="Z314" i="12"/>
  <c r="FC313" i="12"/>
  <c r="EJ313" i="12"/>
  <c r="DQ313" i="12"/>
  <c r="CX313" i="12"/>
  <c r="CE313" i="12"/>
  <c r="BL313" i="12"/>
  <c r="AS313" i="12"/>
  <c r="Z313" i="12"/>
  <c r="FC312" i="12"/>
  <c r="EJ312" i="12"/>
  <c r="DQ312" i="12"/>
  <c r="CX312" i="12"/>
  <c r="CE312" i="12"/>
  <c r="BL312" i="12"/>
  <c r="AS312" i="12"/>
  <c r="Z312" i="12"/>
  <c r="FC311" i="12"/>
  <c r="EJ311" i="12"/>
  <c r="DQ311" i="12"/>
  <c r="CX311" i="12"/>
  <c r="CE311" i="12"/>
  <c r="BL311" i="12"/>
  <c r="AS311" i="12"/>
  <c r="Z311" i="12"/>
  <c r="FC310" i="12"/>
  <c r="EJ310" i="12"/>
  <c r="DQ310" i="12"/>
  <c r="CX310" i="12"/>
  <c r="CE310" i="12"/>
  <c r="BL310" i="12"/>
  <c r="AS310" i="12"/>
  <c r="Z310" i="12"/>
  <c r="FC309" i="12"/>
  <c r="EJ309" i="12"/>
  <c r="DQ309" i="12"/>
  <c r="CX309" i="12"/>
  <c r="CE309" i="12"/>
  <c r="BL309" i="12"/>
  <c r="AS309" i="12"/>
  <c r="Z309" i="12"/>
  <c r="FC308" i="12"/>
  <c r="EJ308" i="12"/>
  <c r="DQ308" i="12"/>
  <c r="CX308" i="12"/>
  <c r="CE308" i="12"/>
  <c r="BL308" i="12"/>
  <c r="AS308" i="12"/>
  <c r="Z308" i="12"/>
  <c r="FC307" i="12"/>
  <c r="EJ307" i="12"/>
  <c r="DQ307" i="12"/>
  <c r="CX307" i="12"/>
  <c r="CE307" i="12"/>
  <c r="BL307" i="12"/>
  <c r="AS307" i="12"/>
  <c r="Z307" i="12"/>
  <c r="FC306" i="12"/>
  <c r="EJ306" i="12"/>
  <c r="DQ306" i="12"/>
  <c r="CX306" i="12"/>
  <c r="CE306" i="12"/>
  <c r="BL306" i="12"/>
  <c r="AS306" i="12"/>
  <c r="Z306" i="12"/>
  <c r="FC305" i="12"/>
  <c r="EJ305" i="12"/>
  <c r="DQ305" i="12"/>
  <c r="CX305" i="12"/>
  <c r="CE305" i="12"/>
  <c r="BL305" i="12"/>
  <c r="AS305" i="12"/>
  <c r="Z305" i="12"/>
  <c r="FC304" i="12"/>
  <c r="EJ304" i="12"/>
  <c r="DQ304" i="12"/>
  <c r="CX304" i="12"/>
  <c r="CE304" i="12"/>
  <c r="BL304" i="12"/>
  <c r="AS304" i="12"/>
  <c r="Z304" i="12"/>
  <c r="FC303" i="12"/>
  <c r="EJ303" i="12"/>
  <c r="DQ303" i="12"/>
  <c r="CX303" i="12"/>
  <c r="CE303" i="12"/>
  <c r="BL303" i="12"/>
  <c r="AS303" i="12"/>
  <c r="Z303" i="12"/>
  <c r="FC302" i="12"/>
  <c r="EJ302" i="12"/>
  <c r="DQ302" i="12"/>
  <c r="CX302" i="12"/>
  <c r="CE302" i="12"/>
  <c r="BL302" i="12"/>
  <c r="AS302" i="12"/>
  <c r="Z302" i="12"/>
  <c r="FC301" i="12"/>
  <c r="EJ301" i="12"/>
  <c r="DQ301" i="12"/>
  <c r="CX301" i="12"/>
  <c r="CE301" i="12"/>
  <c r="BL301" i="12"/>
  <c r="AS301" i="12"/>
  <c r="Z301" i="12"/>
  <c r="FC300" i="12"/>
  <c r="EJ300" i="12"/>
  <c r="DQ300" i="12"/>
  <c r="CX300" i="12"/>
  <c r="CE300" i="12"/>
  <c r="BL300" i="12"/>
  <c r="AS300" i="12"/>
  <c r="Z300" i="12"/>
  <c r="FC299" i="12"/>
  <c r="EJ299" i="12"/>
  <c r="DQ299" i="12"/>
  <c r="CX299" i="12"/>
  <c r="CE299" i="12"/>
  <c r="BL299" i="12"/>
  <c r="AS299" i="12"/>
  <c r="Z299" i="12"/>
  <c r="FC298" i="12"/>
  <c r="EJ298" i="12"/>
  <c r="DQ298" i="12"/>
  <c r="CX298" i="12"/>
  <c r="CE298" i="12"/>
  <c r="BL298" i="12"/>
  <c r="AS298" i="12"/>
  <c r="Z298" i="12"/>
  <c r="FC297" i="12"/>
  <c r="EJ297" i="12"/>
  <c r="DQ297" i="12"/>
  <c r="CX297" i="12"/>
  <c r="CE297" i="12"/>
  <c r="BL297" i="12"/>
  <c r="AS297" i="12"/>
  <c r="Z297" i="12"/>
  <c r="FC296" i="12"/>
  <c r="EJ296" i="12"/>
  <c r="DQ296" i="12"/>
  <c r="CX296" i="12"/>
  <c r="CE296" i="12"/>
  <c r="BL296" i="12"/>
  <c r="AS296" i="12"/>
  <c r="Z296" i="12"/>
  <c r="FC295" i="12"/>
  <c r="EJ295" i="12"/>
  <c r="DQ295" i="12"/>
  <c r="CX295" i="12"/>
  <c r="CE295" i="12"/>
  <c r="BL295" i="12"/>
  <c r="AS295" i="12"/>
  <c r="Z295" i="12"/>
  <c r="FC294" i="12"/>
  <c r="EJ294" i="12"/>
  <c r="DQ294" i="12"/>
  <c r="CX294" i="12"/>
  <c r="CE294" i="12"/>
  <c r="BL294" i="12"/>
  <c r="AS294" i="12"/>
  <c r="Z294" i="12"/>
  <c r="FC293" i="12"/>
  <c r="EJ293" i="12"/>
  <c r="DQ293" i="12"/>
  <c r="CX293" i="12"/>
  <c r="CE293" i="12"/>
  <c r="BL293" i="12"/>
  <c r="AS293" i="12"/>
  <c r="Z293" i="12"/>
  <c r="FC292" i="12"/>
  <c r="EJ292" i="12"/>
  <c r="DQ292" i="12"/>
  <c r="CX292" i="12"/>
  <c r="CE292" i="12"/>
  <c r="BL292" i="12"/>
  <c r="AS292" i="12"/>
  <c r="Z292" i="12"/>
  <c r="FC291" i="12"/>
  <c r="EJ291" i="12"/>
  <c r="DQ291" i="12"/>
  <c r="CX291" i="12"/>
  <c r="CE291" i="12"/>
  <c r="BL291" i="12"/>
  <c r="AS291" i="12"/>
  <c r="Z291" i="12"/>
  <c r="FC290" i="12"/>
  <c r="EJ290" i="12"/>
  <c r="DQ290" i="12"/>
  <c r="CX290" i="12"/>
  <c r="CE290" i="12"/>
  <c r="BL290" i="12"/>
  <c r="AS290" i="12"/>
  <c r="Z290" i="12"/>
  <c r="FC289" i="12"/>
  <c r="EJ289" i="12"/>
  <c r="DQ289" i="12"/>
  <c r="CX289" i="12"/>
  <c r="CE289" i="12"/>
  <c r="BL289" i="12"/>
  <c r="AS289" i="12"/>
  <c r="Z289" i="12"/>
  <c r="FC288" i="12"/>
  <c r="EJ288" i="12"/>
  <c r="DQ288" i="12"/>
  <c r="CX288" i="12"/>
  <c r="CE288" i="12"/>
  <c r="BL288" i="12"/>
  <c r="AS288" i="12"/>
  <c r="Z288" i="12"/>
  <c r="FC287" i="12"/>
  <c r="EJ287" i="12"/>
  <c r="DQ287" i="12"/>
  <c r="CX287" i="12"/>
  <c r="CE287" i="12"/>
  <c r="BL287" i="12"/>
  <c r="AS287" i="12"/>
  <c r="Z287" i="12"/>
  <c r="FC286" i="12"/>
  <c r="EJ286" i="12"/>
  <c r="DQ286" i="12"/>
  <c r="CX286" i="12"/>
  <c r="CE286" i="12"/>
  <c r="BL286" i="12"/>
  <c r="AS286" i="12"/>
  <c r="Z286" i="12"/>
  <c r="FC285" i="12"/>
  <c r="EJ285" i="12"/>
  <c r="DQ285" i="12"/>
  <c r="CX285" i="12"/>
  <c r="CE285" i="12"/>
  <c r="BL285" i="12"/>
  <c r="AS285" i="12"/>
  <c r="Z285" i="12"/>
  <c r="FC284" i="12"/>
  <c r="EJ284" i="12"/>
  <c r="DQ284" i="12"/>
  <c r="CX284" i="12"/>
  <c r="CE284" i="12"/>
  <c r="BL284" i="12"/>
  <c r="AS284" i="12"/>
  <c r="Z284" i="12"/>
  <c r="FC283" i="12"/>
  <c r="EJ283" i="12"/>
  <c r="DQ283" i="12"/>
  <c r="CX283" i="12"/>
  <c r="CE283" i="12"/>
  <c r="BL283" i="12"/>
  <c r="AS283" i="12"/>
  <c r="Z283" i="12"/>
  <c r="FC282" i="12"/>
  <c r="EJ282" i="12"/>
  <c r="DQ282" i="12"/>
  <c r="CX282" i="12"/>
  <c r="CE282" i="12"/>
  <c r="BL282" i="12"/>
  <c r="AS282" i="12"/>
  <c r="Z282" i="12"/>
  <c r="FC281" i="12"/>
  <c r="EJ281" i="12"/>
  <c r="DQ281" i="12"/>
  <c r="CX281" i="12"/>
  <c r="CE281" i="12"/>
  <c r="BL281" i="12"/>
  <c r="AS281" i="12"/>
  <c r="Z281" i="12"/>
  <c r="FC280" i="12"/>
  <c r="EJ280" i="12"/>
  <c r="DQ280" i="12"/>
  <c r="CX280" i="12"/>
  <c r="CE280" i="12"/>
  <c r="BL280" i="12"/>
  <c r="AS280" i="12"/>
  <c r="Z280" i="12"/>
  <c r="FC279" i="12"/>
  <c r="EJ279" i="12"/>
  <c r="DQ279" i="12"/>
  <c r="CX279" i="12"/>
  <c r="CE279" i="12"/>
  <c r="BL279" i="12"/>
  <c r="AS279" i="12"/>
  <c r="Z279" i="12"/>
  <c r="FC278" i="12"/>
  <c r="EJ278" i="12"/>
  <c r="DQ278" i="12"/>
  <c r="CX278" i="12"/>
  <c r="CE278" i="12"/>
  <c r="BL278" i="12"/>
  <c r="AS278" i="12"/>
  <c r="Z278" i="12"/>
  <c r="FC277" i="12"/>
  <c r="EJ277" i="12"/>
  <c r="DQ277" i="12"/>
  <c r="CX277" i="12"/>
  <c r="CE277" i="12"/>
  <c r="BL277" i="12"/>
  <c r="AS277" i="12"/>
  <c r="Z277" i="12"/>
  <c r="FC276" i="12"/>
  <c r="EJ276" i="12"/>
  <c r="DQ276" i="12"/>
  <c r="CX276" i="12"/>
  <c r="CE276" i="12"/>
  <c r="BL276" i="12"/>
  <c r="AS276" i="12"/>
  <c r="Z276" i="12"/>
  <c r="FC275" i="12"/>
  <c r="EJ275" i="12"/>
  <c r="DQ275" i="12"/>
  <c r="CX275" i="12"/>
  <c r="CE275" i="12"/>
  <c r="BL275" i="12"/>
  <c r="AS275" i="12"/>
  <c r="Z275" i="12"/>
  <c r="FC274" i="12"/>
  <c r="EJ274" i="12"/>
  <c r="DQ274" i="12"/>
  <c r="CX274" i="12"/>
  <c r="CE274" i="12"/>
  <c r="BL274" i="12"/>
  <c r="AS274" i="12"/>
  <c r="Z274" i="12"/>
  <c r="FC273" i="12"/>
  <c r="EJ273" i="12"/>
  <c r="DQ273" i="12"/>
  <c r="CX273" i="12"/>
  <c r="CE273" i="12"/>
  <c r="BL273" i="12"/>
  <c r="AS273" i="12"/>
  <c r="Z273" i="12"/>
  <c r="FC272" i="12"/>
  <c r="EJ272" i="12"/>
  <c r="DQ272" i="12"/>
  <c r="CX272" i="12"/>
  <c r="CE272" i="12"/>
  <c r="BL272" i="12"/>
  <c r="AS272" i="12"/>
  <c r="Z272" i="12"/>
  <c r="FC271" i="12"/>
  <c r="EJ271" i="12"/>
  <c r="DQ271" i="12"/>
  <c r="CX271" i="12"/>
  <c r="CE271" i="12"/>
  <c r="BL271" i="12"/>
  <c r="AS271" i="12"/>
  <c r="Z271" i="12"/>
  <c r="FC270" i="12"/>
  <c r="EJ270" i="12"/>
  <c r="DQ270" i="12"/>
  <c r="CX270" i="12"/>
  <c r="CE270" i="12"/>
  <c r="BL270" i="12"/>
  <c r="AS270" i="12"/>
  <c r="Z270" i="12"/>
  <c r="FC269" i="12"/>
  <c r="EJ269" i="12"/>
  <c r="DQ269" i="12"/>
  <c r="CX269" i="12"/>
  <c r="CE269" i="12"/>
  <c r="BL269" i="12"/>
  <c r="AS269" i="12"/>
  <c r="Z269" i="12"/>
  <c r="FC268" i="12"/>
  <c r="EJ268" i="12"/>
  <c r="DQ268" i="12"/>
  <c r="CX268" i="12"/>
  <c r="CE268" i="12"/>
  <c r="BL268" i="12"/>
  <c r="AS268" i="12"/>
  <c r="Z268" i="12"/>
  <c r="FC267" i="12"/>
  <c r="EJ267" i="12"/>
  <c r="DQ267" i="12"/>
  <c r="CX267" i="12"/>
  <c r="CE267" i="12"/>
  <c r="BL267" i="12"/>
  <c r="AS267" i="12"/>
  <c r="Z267" i="12"/>
  <c r="FC266" i="12"/>
  <c r="EJ266" i="12"/>
  <c r="DQ266" i="12"/>
  <c r="CX266" i="12"/>
  <c r="CE266" i="12"/>
  <c r="BL266" i="12"/>
  <c r="AS266" i="12"/>
  <c r="Z266" i="12"/>
  <c r="FC265" i="12"/>
  <c r="EJ265" i="12"/>
  <c r="DQ265" i="12"/>
  <c r="CX265" i="12"/>
  <c r="CE265" i="12"/>
  <c r="BL265" i="12"/>
  <c r="AS265" i="12"/>
  <c r="Z265" i="12"/>
  <c r="FC264" i="12"/>
  <c r="EJ264" i="12"/>
  <c r="DQ264" i="12"/>
  <c r="CX264" i="12"/>
  <c r="CE264" i="12"/>
  <c r="BL264" i="12"/>
  <c r="AS264" i="12"/>
  <c r="Z264" i="12"/>
  <c r="FC263" i="12"/>
  <c r="EJ263" i="12"/>
  <c r="DQ263" i="12"/>
  <c r="CX263" i="12"/>
  <c r="CE263" i="12"/>
  <c r="BL263" i="12"/>
  <c r="AS263" i="12"/>
  <c r="Z263" i="12"/>
  <c r="FC262" i="12"/>
  <c r="EJ262" i="12"/>
  <c r="DQ262" i="12"/>
  <c r="CX262" i="12"/>
  <c r="CE262" i="12"/>
  <c r="BL262" i="12"/>
  <c r="AS262" i="12"/>
  <c r="Z262" i="12"/>
  <c r="FC261" i="12"/>
  <c r="EJ261" i="12"/>
  <c r="DQ261" i="12"/>
  <c r="CX261" i="12"/>
  <c r="CE261" i="12"/>
  <c r="BL261" i="12"/>
  <c r="AS261" i="12"/>
  <c r="Z261" i="12"/>
  <c r="FC260" i="12"/>
  <c r="EJ260" i="12"/>
  <c r="DQ260" i="12"/>
  <c r="CX260" i="12"/>
  <c r="CE260" i="12"/>
  <c r="BL260" i="12"/>
  <c r="AS260" i="12"/>
  <c r="Z260" i="12"/>
  <c r="FC259" i="12"/>
  <c r="EJ259" i="12"/>
  <c r="DQ259" i="12"/>
  <c r="CX259" i="12"/>
  <c r="CE259" i="12"/>
  <c r="BL259" i="12"/>
  <c r="AS259" i="12"/>
  <c r="Z259" i="12"/>
  <c r="FC258" i="12"/>
  <c r="EJ258" i="12"/>
  <c r="DQ258" i="12"/>
  <c r="CX258" i="12"/>
  <c r="CE258" i="12"/>
  <c r="BL258" i="12"/>
  <c r="AS258" i="12"/>
  <c r="Z258" i="12"/>
  <c r="FC257" i="12"/>
  <c r="EJ257" i="12"/>
  <c r="DQ257" i="12"/>
  <c r="CX257" i="12"/>
  <c r="CE257" i="12"/>
  <c r="BL257" i="12"/>
  <c r="AS257" i="12"/>
  <c r="Z257" i="12"/>
  <c r="FC256" i="12"/>
  <c r="EJ256" i="12"/>
  <c r="DQ256" i="12"/>
  <c r="CX256" i="12"/>
  <c r="CE256" i="12"/>
  <c r="BL256" i="12"/>
  <c r="AS256" i="12"/>
  <c r="Z256" i="12"/>
  <c r="FC255" i="12"/>
  <c r="EJ255" i="12"/>
  <c r="DQ255" i="12"/>
  <c r="CX255" i="12"/>
  <c r="CE255" i="12"/>
  <c r="BL255" i="12"/>
  <c r="AS255" i="12"/>
  <c r="Z255" i="12"/>
  <c r="FC254" i="12"/>
  <c r="EJ254" i="12"/>
  <c r="DQ254" i="12"/>
  <c r="CX254" i="12"/>
  <c r="CE254" i="12"/>
  <c r="BL254" i="12"/>
  <c r="AS254" i="12"/>
  <c r="Z254" i="12"/>
  <c r="FC253" i="12"/>
  <c r="EJ253" i="12"/>
  <c r="DQ253" i="12"/>
  <c r="CX253" i="12"/>
  <c r="CE253" i="12"/>
  <c r="BL253" i="12"/>
  <c r="AS253" i="12"/>
  <c r="Z253" i="12"/>
  <c r="FC252" i="12"/>
  <c r="EJ252" i="12"/>
  <c r="DQ252" i="12"/>
  <c r="CX252" i="12"/>
  <c r="CE252" i="12"/>
  <c r="BL252" i="12"/>
  <c r="AS252" i="12"/>
  <c r="Z252" i="12"/>
  <c r="FC251" i="12"/>
  <c r="EJ251" i="12"/>
  <c r="DQ251" i="12"/>
  <c r="CX251" i="12"/>
  <c r="CE251" i="12"/>
  <c r="BL251" i="12"/>
  <c r="AS251" i="12"/>
  <c r="Z251" i="12"/>
  <c r="FC250" i="12"/>
  <c r="EJ250" i="12"/>
  <c r="DQ250" i="12"/>
  <c r="CX250" i="12"/>
  <c r="CE250" i="12"/>
  <c r="BL250" i="12"/>
  <c r="AS250" i="12"/>
  <c r="Z250" i="12"/>
  <c r="FC249" i="12"/>
  <c r="EJ249" i="12"/>
  <c r="DQ249" i="12"/>
  <c r="CX249" i="12"/>
  <c r="CE249" i="12"/>
  <c r="BL249" i="12"/>
  <c r="AS249" i="12"/>
  <c r="Z249" i="12"/>
  <c r="FC248" i="12"/>
  <c r="EJ248" i="12"/>
  <c r="DQ248" i="12"/>
  <c r="CX248" i="12"/>
  <c r="CE248" i="12"/>
  <c r="BL248" i="12"/>
  <c r="AS248" i="12"/>
  <c r="Z248" i="12"/>
  <c r="FC247" i="12"/>
  <c r="EJ247" i="12"/>
  <c r="DQ247" i="12"/>
  <c r="CX247" i="12"/>
  <c r="CE247" i="12"/>
  <c r="BL247" i="12"/>
  <c r="AS247" i="12"/>
  <c r="Z247" i="12"/>
  <c r="FC246" i="12"/>
  <c r="EJ246" i="12"/>
  <c r="DQ246" i="12"/>
  <c r="CX246" i="12"/>
  <c r="CE246" i="12"/>
  <c r="BL246" i="12"/>
  <c r="AS246" i="12"/>
  <c r="Z246" i="12"/>
  <c r="FC245" i="12"/>
  <c r="EJ245" i="12"/>
  <c r="DQ245" i="12"/>
  <c r="CX245" i="12"/>
  <c r="CE245" i="12"/>
  <c r="BL245" i="12"/>
  <c r="AS245" i="12"/>
  <c r="Z245" i="12"/>
  <c r="FC244" i="12"/>
  <c r="EJ244" i="12"/>
  <c r="DQ244" i="12"/>
  <c r="CX244" i="12"/>
  <c r="CE244" i="12"/>
  <c r="BL244" i="12"/>
  <c r="AS244" i="12"/>
  <c r="Z244" i="12"/>
  <c r="FC243" i="12"/>
  <c r="EJ243" i="12"/>
  <c r="DQ243" i="12"/>
  <c r="CX243" i="12"/>
  <c r="CE243" i="12"/>
  <c r="BL243" i="12"/>
  <c r="AS243" i="12"/>
  <c r="Z243" i="12"/>
  <c r="FC242" i="12"/>
  <c r="EJ242" i="12"/>
  <c r="DQ242" i="12"/>
  <c r="CX242" i="12"/>
  <c r="CE242" i="12"/>
  <c r="BL242" i="12"/>
  <c r="AS242" i="12"/>
  <c r="Z242" i="12"/>
  <c r="FC241" i="12"/>
  <c r="EJ241" i="12"/>
  <c r="DQ241" i="12"/>
  <c r="CX241" i="12"/>
  <c r="CE241" i="12"/>
  <c r="BL241" i="12"/>
  <c r="AS241" i="12"/>
  <c r="Z241" i="12"/>
  <c r="FC240" i="12"/>
  <c r="EJ240" i="12"/>
  <c r="DQ240" i="12"/>
  <c r="CX240" i="12"/>
  <c r="CE240" i="12"/>
  <c r="BL240" i="12"/>
  <c r="AS240" i="12"/>
  <c r="Z240" i="12"/>
  <c r="FC239" i="12"/>
  <c r="EJ239" i="12"/>
  <c r="DQ239" i="12"/>
  <c r="CX239" i="12"/>
  <c r="CE239" i="12"/>
  <c r="BL239" i="12"/>
  <c r="AS239" i="12"/>
  <c r="Z239" i="12"/>
  <c r="FC238" i="12"/>
  <c r="EJ238" i="12"/>
  <c r="DQ238" i="12"/>
  <c r="CX238" i="12"/>
  <c r="CE238" i="12"/>
  <c r="BL238" i="12"/>
  <c r="AS238" i="12"/>
  <c r="Z238" i="12"/>
  <c r="FC237" i="12"/>
  <c r="EJ237" i="12"/>
  <c r="DQ237" i="12"/>
  <c r="CX237" i="12"/>
  <c r="CE237" i="12"/>
  <c r="BL237" i="12"/>
  <c r="AS237" i="12"/>
  <c r="Z237" i="12"/>
  <c r="FC236" i="12"/>
  <c r="EJ236" i="12"/>
  <c r="DQ236" i="12"/>
  <c r="CX236" i="12"/>
  <c r="CE236" i="12"/>
  <c r="BL236" i="12"/>
  <c r="AS236" i="12"/>
  <c r="Z236" i="12"/>
  <c r="FC235" i="12"/>
  <c r="EJ235" i="12"/>
  <c r="DQ235" i="12"/>
  <c r="CX235" i="12"/>
  <c r="CE235" i="12"/>
  <c r="BL235" i="12"/>
  <c r="AS235" i="12"/>
  <c r="Z235" i="12"/>
  <c r="FC234" i="12"/>
  <c r="EJ234" i="12"/>
  <c r="DQ234" i="12"/>
  <c r="CX234" i="12"/>
  <c r="CE234" i="12"/>
  <c r="BL234" i="12"/>
  <c r="AS234" i="12"/>
  <c r="Z234" i="12"/>
  <c r="FC233" i="12"/>
  <c r="EJ233" i="12"/>
  <c r="DQ233" i="12"/>
  <c r="CX233" i="12"/>
  <c r="CE233" i="12"/>
  <c r="BL233" i="12"/>
  <c r="AS233" i="12"/>
  <c r="Z233" i="12"/>
  <c r="FC232" i="12"/>
  <c r="EJ232" i="12"/>
  <c r="DQ232" i="12"/>
  <c r="CX232" i="12"/>
  <c r="CE232" i="12"/>
  <c r="BL232" i="12"/>
  <c r="AS232" i="12"/>
  <c r="Z232" i="12"/>
  <c r="FC231" i="12"/>
  <c r="EJ231" i="12"/>
  <c r="DQ231" i="12"/>
  <c r="CX231" i="12"/>
  <c r="CE231" i="12"/>
  <c r="BL231" i="12"/>
  <c r="AS231" i="12"/>
  <c r="Z231" i="12"/>
  <c r="FC230" i="12"/>
  <c r="EJ230" i="12"/>
  <c r="DQ230" i="12"/>
  <c r="CX230" i="12"/>
  <c r="CE230" i="12"/>
  <c r="BL230" i="12"/>
  <c r="AS230" i="12"/>
  <c r="Z230" i="12"/>
  <c r="FC229" i="12"/>
  <c r="EJ229" i="12"/>
  <c r="DQ229" i="12"/>
  <c r="CX229" i="12"/>
  <c r="CE229" i="12"/>
  <c r="BL229" i="12"/>
  <c r="AS229" i="12"/>
  <c r="Z229" i="12"/>
  <c r="FC228" i="12"/>
  <c r="EJ228" i="12"/>
  <c r="DQ228" i="12"/>
  <c r="CX228" i="12"/>
  <c r="CE228" i="12"/>
  <c r="BL228" i="12"/>
  <c r="AS228" i="12"/>
  <c r="Z228" i="12"/>
  <c r="FC227" i="12"/>
  <c r="EJ227" i="12"/>
  <c r="DQ227" i="12"/>
  <c r="CX227" i="12"/>
  <c r="CE227" i="12"/>
  <c r="BL227" i="12"/>
  <c r="AS227" i="12"/>
  <c r="Z227" i="12"/>
  <c r="FC226" i="12"/>
  <c r="EJ226" i="12"/>
  <c r="DQ226" i="12"/>
  <c r="CX226" i="12"/>
  <c r="CE226" i="12"/>
  <c r="BL226" i="12"/>
  <c r="AS226" i="12"/>
  <c r="Z226" i="12"/>
  <c r="FC225" i="12"/>
  <c r="EJ225" i="12"/>
  <c r="DQ225" i="12"/>
  <c r="CX225" i="12"/>
  <c r="CE225" i="12"/>
  <c r="BL225" i="12"/>
  <c r="AS225" i="12"/>
  <c r="Z225" i="12"/>
  <c r="FC224" i="12"/>
  <c r="EJ224" i="12"/>
  <c r="DQ224" i="12"/>
  <c r="CX224" i="12"/>
  <c r="CE224" i="12"/>
  <c r="BL224" i="12"/>
  <c r="AS224" i="12"/>
  <c r="Z224" i="12"/>
  <c r="FC223" i="12"/>
  <c r="EJ223" i="12"/>
  <c r="DQ223" i="12"/>
  <c r="CX223" i="12"/>
  <c r="CE223" i="12"/>
  <c r="BL223" i="12"/>
  <c r="AS223" i="12"/>
  <c r="Z223" i="12"/>
  <c r="FC222" i="12"/>
  <c r="EJ222" i="12"/>
  <c r="DQ222" i="12"/>
  <c r="CX222" i="12"/>
  <c r="CE222" i="12"/>
  <c r="BL222" i="12"/>
  <c r="AS222" i="12"/>
  <c r="Z222" i="12"/>
  <c r="FC221" i="12"/>
  <c r="EJ221" i="12"/>
  <c r="DQ221" i="12"/>
  <c r="CX221" i="12"/>
  <c r="CE221" i="12"/>
  <c r="BL221" i="12"/>
  <c r="AS221" i="12"/>
  <c r="Z221" i="12"/>
  <c r="FC220" i="12"/>
  <c r="EJ220" i="12"/>
  <c r="DQ220" i="12"/>
  <c r="CX220" i="12"/>
  <c r="CE220" i="12"/>
  <c r="BL220" i="12"/>
  <c r="AS220" i="12"/>
  <c r="Z220" i="12"/>
  <c r="FC219" i="12"/>
  <c r="EJ219" i="12"/>
  <c r="DQ219" i="12"/>
  <c r="CX219" i="12"/>
  <c r="CE219" i="12"/>
  <c r="BL219" i="12"/>
  <c r="AS219" i="12"/>
  <c r="Z219" i="12"/>
  <c r="FC218" i="12"/>
  <c r="EJ218" i="12"/>
  <c r="DQ218" i="12"/>
  <c r="CX218" i="12"/>
  <c r="CE218" i="12"/>
  <c r="BL218" i="12"/>
  <c r="AS218" i="12"/>
  <c r="Z218" i="12"/>
  <c r="FC217" i="12"/>
  <c r="EJ217" i="12"/>
  <c r="DQ217" i="12"/>
  <c r="CX217" i="12"/>
  <c r="CE217" i="12"/>
  <c r="BL217" i="12"/>
  <c r="AS217" i="12"/>
  <c r="Z217" i="12"/>
  <c r="FC216" i="12"/>
  <c r="EJ216" i="12"/>
  <c r="DQ216" i="12"/>
  <c r="CX216" i="12"/>
  <c r="CE216" i="12"/>
  <c r="BL216" i="12"/>
  <c r="AS216" i="12"/>
  <c r="Z216" i="12"/>
  <c r="FC215" i="12"/>
  <c r="EJ215" i="12"/>
  <c r="DQ215" i="12"/>
  <c r="CX215" i="12"/>
  <c r="CE215" i="12"/>
  <c r="BL215" i="12"/>
  <c r="AS215" i="12"/>
  <c r="Z215" i="12"/>
  <c r="FC214" i="12"/>
  <c r="EJ214" i="12"/>
  <c r="DQ214" i="12"/>
  <c r="CX214" i="12"/>
  <c r="CE214" i="12"/>
  <c r="BL214" i="12"/>
  <c r="AS214" i="12"/>
  <c r="Z214" i="12"/>
  <c r="FC213" i="12"/>
  <c r="EJ213" i="12"/>
  <c r="DQ213" i="12"/>
  <c r="CX213" i="12"/>
  <c r="CE213" i="12"/>
  <c r="BL213" i="12"/>
  <c r="AS213" i="12"/>
  <c r="Z213" i="12"/>
  <c r="FC212" i="12"/>
  <c r="EJ212" i="12"/>
  <c r="DQ212" i="12"/>
  <c r="CX212" i="12"/>
  <c r="CE212" i="12"/>
  <c r="BL212" i="12"/>
  <c r="AS212" i="12"/>
  <c r="Z212" i="12"/>
  <c r="FC211" i="12"/>
  <c r="EJ211" i="12"/>
  <c r="DQ211" i="12"/>
  <c r="CX211" i="12"/>
  <c r="CE211" i="12"/>
  <c r="BL211" i="12"/>
  <c r="AS211" i="12"/>
  <c r="Z211" i="12"/>
  <c r="FC210" i="12"/>
  <c r="EJ210" i="12"/>
  <c r="DQ210" i="12"/>
  <c r="CX210" i="12"/>
  <c r="CE210" i="12"/>
  <c r="BL210" i="12"/>
  <c r="AS210" i="12"/>
  <c r="Z210" i="12"/>
  <c r="FC209" i="12"/>
  <c r="EJ209" i="12"/>
  <c r="DQ209" i="12"/>
  <c r="CX209" i="12"/>
  <c r="CE209" i="12"/>
  <c r="BL209" i="12"/>
  <c r="AS209" i="12"/>
  <c r="Z209" i="12"/>
  <c r="FC208" i="12"/>
  <c r="EJ208" i="12"/>
  <c r="DQ208" i="12"/>
  <c r="CX208" i="12"/>
  <c r="CE208" i="12"/>
  <c r="BL208" i="12"/>
  <c r="AS208" i="12"/>
  <c r="Z208" i="12"/>
  <c r="FC207" i="12"/>
  <c r="EJ207" i="12"/>
  <c r="DQ207" i="12"/>
  <c r="CX207" i="12"/>
  <c r="CE207" i="12"/>
  <c r="BL207" i="12"/>
  <c r="AS207" i="12"/>
  <c r="Z207" i="12"/>
  <c r="FC206" i="12"/>
  <c r="EJ206" i="12"/>
  <c r="DQ206" i="12"/>
  <c r="CX206" i="12"/>
  <c r="CE206" i="12"/>
  <c r="BL206" i="12"/>
  <c r="AS206" i="12"/>
  <c r="Z206" i="12"/>
  <c r="FC205" i="12"/>
  <c r="EJ205" i="12"/>
  <c r="DQ205" i="12"/>
  <c r="CX205" i="12"/>
  <c r="CE205" i="12"/>
  <c r="BL205" i="12"/>
  <c r="AS205" i="12"/>
  <c r="Z205" i="12"/>
  <c r="FC204" i="12"/>
  <c r="EJ204" i="12"/>
  <c r="DQ204" i="12"/>
  <c r="CX204" i="12"/>
  <c r="CE204" i="12"/>
  <c r="BL204" i="12"/>
  <c r="AS204" i="12"/>
  <c r="Z204" i="12"/>
  <c r="FC203" i="12"/>
  <c r="EJ203" i="12"/>
  <c r="DQ203" i="12"/>
  <c r="CX203" i="12"/>
  <c r="CE203" i="12"/>
  <c r="BL203" i="12"/>
  <c r="AS203" i="12"/>
  <c r="Z203" i="12"/>
  <c r="FC202" i="12"/>
  <c r="EJ202" i="12"/>
  <c r="DQ202" i="12"/>
  <c r="CX202" i="12"/>
  <c r="CE202" i="12"/>
  <c r="BL202" i="12"/>
  <c r="AS202" i="12"/>
  <c r="Z202" i="12"/>
  <c r="FC201" i="12"/>
  <c r="EJ201" i="12"/>
  <c r="DQ201" i="12"/>
  <c r="CX201" i="12"/>
  <c r="CE201" i="12"/>
  <c r="BL201" i="12"/>
  <c r="AS201" i="12"/>
  <c r="Z201" i="12"/>
  <c r="FC200" i="12"/>
  <c r="EJ200" i="12"/>
  <c r="DQ200" i="12"/>
  <c r="CX200" i="12"/>
  <c r="CE200" i="12"/>
  <c r="BL200" i="12"/>
  <c r="AS200" i="12"/>
  <c r="Z200" i="12"/>
  <c r="FC199" i="12"/>
  <c r="EJ199" i="12"/>
  <c r="DQ199" i="12"/>
  <c r="CX199" i="12"/>
  <c r="CE199" i="12"/>
  <c r="BL199" i="12"/>
  <c r="AS199" i="12"/>
  <c r="Z199" i="12"/>
  <c r="FC198" i="12"/>
  <c r="EJ198" i="12"/>
  <c r="DQ198" i="12"/>
  <c r="CX198" i="12"/>
  <c r="CE198" i="12"/>
  <c r="BL198" i="12"/>
  <c r="AS198" i="12"/>
  <c r="Z198" i="12"/>
  <c r="FC197" i="12"/>
  <c r="EJ197" i="12"/>
  <c r="DQ197" i="12"/>
  <c r="CX197" i="12"/>
  <c r="CE197" i="12"/>
  <c r="BL197" i="12"/>
  <c r="AS197" i="12"/>
  <c r="Z197" i="12"/>
  <c r="FC196" i="12"/>
  <c r="EJ196" i="12"/>
  <c r="DQ196" i="12"/>
  <c r="CX196" i="12"/>
  <c r="CE196" i="12"/>
  <c r="BL196" i="12"/>
  <c r="AS196" i="12"/>
  <c r="Z196" i="12"/>
  <c r="FC195" i="12"/>
  <c r="EJ195" i="12"/>
  <c r="DQ195" i="12"/>
  <c r="CX195" i="12"/>
  <c r="CE195" i="12"/>
  <c r="BL195" i="12"/>
  <c r="AS195" i="12"/>
  <c r="Z195" i="12"/>
  <c r="FC194" i="12"/>
  <c r="EJ194" i="12"/>
  <c r="DQ194" i="12"/>
  <c r="CX194" i="12"/>
  <c r="CE194" i="12"/>
  <c r="BL194" i="12"/>
  <c r="AS194" i="12"/>
  <c r="Z194" i="12"/>
  <c r="FC193" i="12"/>
  <c r="EJ193" i="12"/>
  <c r="DQ193" i="12"/>
  <c r="CX193" i="12"/>
  <c r="CE193" i="12"/>
  <c r="BL193" i="12"/>
  <c r="AS193" i="12"/>
  <c r="Z193" i="12"/>
  <c r="FC192" i="12"/>
  <c r="EJ192" i="12"/>
  <c r="DQ192" i="12"/>
  <c r="CX192" i="12"/>
  <c r="CE192" i="12"/>
  <c r="BL192" i="12"/>
  <c r="AS192" i="12"/>
  <c r="Z192" i="12"/>
  <c r="FC191" i="12"/>
  <c r="EJ191" i="12"/>
  <c r="DQ191" i="12"/>
  <c r="CX191" i="12"/>
  <c r="CE191" i="12"/>
  <c r="BL191" i="12"/>
  <c r="AS191" i="12"/>
  <c r="Z191" i="12"/>
  <c r="FC190" i="12"/>
  <c r="EJ190" i="12"/>
  <c r="DQ190" i="12"/>
  <c r="CX190" i="12"/>
  <c r="CE190" i="12"/>
  <c r="BL190" i="12"/>
  <c r="AS190" i="12"/>
  <c r="Z190" i="12"/>
  <c r="FC189" i="12"/>
  <c r="EJ189" i="12"/>
  <c r="DQ189" i="12"/>
  <c r="CX189" i="12"/>
  <c r="CE189" i="12"/>
  <c r="BL189" i="12"/>
  <c r="AS189" i="12"/>
  <c r="Z189" i="12"/>
  <c r="FC188" i="12"/>
  <c r="EJ188" i="12"/>
  <c r="DQ188" i="12"/>
  <c r="CX188" i="12"/>
  <c r="CE188" i="12"/>
  <c r="BL188" i="12"/>
  <c r="AS188" i="12"/>
  <c r="Z188" i="12"/>
  <c r="FC187" i="12"/>
  <c r="EJ187" i="12"/>
  <c r="DQ187" i="12"/>
  <c r="CX187" i="12"/>
  <c r="CE187" i="12"/>
  <c r="BL187" i="12"/>
  <c r="AS187" i="12"/>
  <c r="Z187" i="12"/>
  <c r="FC186" i="12"/>
  <c r="EJ186" i="12"/>
  <c r="DQ186" i="12"/>
  <c r="CX186" i="12"/>
  <c r="CE186" i="12"/>
  <c r="BL186" i="12"/>
  <c r="AS186" i="12"/>
  <c r="Z186" i="12"/>
  <c r="FC185" i="12"/>
  <c r="EJ185" i="12"/>
  <c r="DQ185" i="12"/>
  <c r="CX185" i="12"/>
  <c r="CE185" i="12"/>
  <c r="BL185" i="12"/>
  <c r="AS185" i="12"/>
  <c r="Z185" i="12"/>
  <c r="FC184" i="12"/>
  <c r="EJ184" i="12"/>
  <c r="DQ184" i="12"/>
  <c r="CX184" i="12"/>
  <c r="CE184" i="12"/>
  <c r="BL184" i="12"/>
  <c r="AS184" i="12"/>
  <c r="Z184" i="12"/>
  <c r="FC183" i="12"/>
  <c r="EJ183" i="12"/>
  <c r="DQ183" i="12"/>
  <c r="CX183" i="12"/>
  <c r="CE183" i="12"/>
  <c r="BL183" i="12"/>
  <c r="AS183" i="12"/>
  <c r="Z183" i="12"/>
  <c r="FC182" i="12"/>
  <c r="EJ182" i="12"/>
  <c r="DQ182" i="12"/>
  <c r="CX182" i="12"/>
  <c r="CE182" i="12"/>
  <c r="BL182" i="12"/>
  <c r="AS182" i="12"/>
  <c r="Z182" i="12"/>
  <c r="FC181" i="12"/>
  <c r="EJ181" i="12"/>
  <c r="DQ181" i="12"/>
  <c r="CX181" i="12"/>
  <c r="CE181" i="12"/>
  <c r="BL181" i="12"/>
  <c r="AS181" i="12"/>
  <c r="Z181" i="12"/>
  <c r="FC180" i="12"/>
  <c r="EJ180" i="12"/>
  <c r="DQ180" i="12"/>
  <c r="CX180" i="12"/>
  <c r="CE180" i="12"/>
  <c r="BL180" i="12"/>
  <c r="AS180" i="12"/>
  <c r="Z180" i="12"/>
  <c r="FC179" i="12"/>
  <c r="EJ179" i="12"/>
  <c r="DQ179" i="12"/>
  <c r="CX179" i="12"/>
  <c r="CE179" i="12"/>
  <c r="BL179" i="12"/>
  <c r="AS179" i="12"/>
  <c r="Z179" i="12"/>
  <c r="FC178" i="12"/>
  <c r="EJ178" i="12"/>
  <c r="DQ178" i="12"/>
  <c r="CX178" i="12"/>
  <c r="CE178" i="12"/>
  <c r="BL178" i="12"/>
  <c r="AS178" i="12"/>
  <c r="Z178" i="12"/>
  <c r="FC177" i="12"/>
  <c r="EJ177" i="12"/>
  <c r="DQ177" i="12"/>
  <c r="CX177" i="12"/>
  <c r="CE177" i="12"/>
  <c r="BL177" i="12"/>
  <c r="AS177" i="12"/>
  <c r="Z177" i="12"/>
  <c r="FC176" i="12"/>
  <c r="EJ176" i="12"/>
  <c r="DQ176" i="12"/>
  <c r="CX176" i="12"/>
  <c r="CE176" i="12"/>
  <c r="BL176" i="12"/>
  <c r="AS176" i="12"/>
  <c r="Z176" i="12"/>
  <c r="FC175" i="12"/>
  <c r="EJ175" i="12"/>
  <c r="DQ175" i="12"/>
  <c r="CX175" i="12"/>
  <c r="CE175" i="12"/>
  <c r="BL175" i="12"/>
  <c r="AS175" i="12"/>
  <c r="Z175" i="12"/>
  <c r="FC174" i="12"/>
  <c r="EJ174" i="12"/>
  <c r="DQ174" i="12"/>
  <c r="CX174" i="12"/>
  <c r="CE174" i="12"/>
  <c r="BL174" i="12"/>
  <c r="AS174" i="12"/>
  <c r="Z174" i="12"/>
  <c r="FC173" i="12"/>
  <c r="EJ173" i="12"/>
  <c r="DQ173" i="12"/>
  <c r="CX173" i="12"/>
  <c r="CE173" i="12"/>
  <c r="BL173" i="12"/>
  <c r="AS173" i="12"/>
  <c r="Z173" i="12"/>
  <c r="FC172" i="12"/>
  <c r="EJ172" i="12"/>
  <c r="DQ172" i="12"/>
  <c r="CX172" i="12"/>
  <c r="CE172" i="12"/>
  <c r="BL172" i="12"/>
  <c r="AS172" i="12"/>
  <c r="Z172" i="12"/>
  <c r="FC171" i="12"/>
  <c r="EJ171" i="12"/>
  <c r="DQ171" i="12"/>
  <c r="CX171" i="12"/>
  <c r="CE171" i="12"/>
  <c r="BL171" i="12"/>
  <c r="AS171" i="12"/>
  <c r="Z171" i="12"/>
  <c r="FC170" i="12"/>
  <c r="EJ170" i="12"/>
  <c r="DQ170" i="12"/>
  <c r="CX170" i="12"/>
  <c r="CE170" i="12"/>
  <c r="BL170" i="12"/>
  <c r="AS170" i="12"/>
  <c r="Z170" i="12"/>
  <c r="FC169" i="12"/>
  <c r="EJ169" i="12"/>
  <c r="DQ169" i="12"/>
  <c r="CX169" i="12"/>
  <c r="CE169" i="12"/>
  <c r="BL169" i="12"/>
  <c r="AS169" i="12"/>
  <c r="Z169" i="12"/>
  <c r="FC168" i="12"/>
  <c r="EJ168" i="12"/>
  <c r="DQ168" i="12"/>
  <c r="CX168" i="12"/>
  <c r="CE168" i="12"/>
  <c r="BL168" i="12"/>
  <c r="AS168" i="12"/>
  <c r="Z168" i="12"/>
  <c r="FC167" i="12"/>
  <c r="EJ167" i="12"/>
  <c r="DQ167" i="12"/>
  <c r="CX167" i="12"/>
  <c r="CE167" i="12"/>
  <c r="BL167" i="12"/>
  <c r="AS167" i="12"/>
  <c r="Z167" i="12"/>
  <c r="FC166" i="12"/>
  <c r="EJ166" i="12"/>
  <c r="DQ166" i="12"/>
  <c r="CX166" i="12"/>
  <c r="CE166" i="12"/>
  <c r="BL166" i="12"/>
  <c r="AS166" i="12"/>
  <c r="Z166" i="12"/>
  <c r="FC165" i="12"/>
  <c r="EJ165" i="12"/>
  <c r="DQ165" i="12"/>
  <c r="CX165" i="12"/>
  <c r="CE165" i="12"/>
  <c r="BL165" i="12"/>
  <c r="AS165" i="12"/>
  <c r="Z165" i="12"/>
  <c r="FC164" i="12"/>
  <c r="EJ164" i="12"/>
  <c r="DQ164" i="12"/>
  <c r="CX164" i="12"/>
  <c r="CE164" i="12"/>
  <c r="BL164" i="12"/>
  <c r="AS164" i="12"/>
  <c r="Z164" i="12"/>
  <c r="FC163" i="12"/>
  <c r="EJ163" i="12"/>
  <c r="DQ163" i="12"/>
  <c r="CX163" i="12"/>
  <c r="CE163" i="12"/>
  <c r="BL163" i="12"/>
  <c r="AS163" i="12"/>
  <c r="Z163" i="12"/>
  <c r="FC162" i="12"/>
  <c r="EJ162" i="12"/>
  <c r="DQ162" i="12"/>
  <c r="CX162" i="12"/>
  <c r="CE162" i="12"/>
  <c r="BL162" i="12"/>
  <c r="AS162" i="12"/>
  <c r="Z162" i="12"/>
  <c r="FC161" i="12"/>
  <c r="EJ161" i="12"/>
  <c r="DQ161" i="12"/>
  <c r="CX161" i="12"/>
  <c r="CE161" i="12"/>
  <c r="BL161" i="12"/>
  <c r="AS161" i="12"/>
  <c r="Z161" i="12"/>
  <c r="FC160" i="12"/>
  <c r="EJ160" i="12"/>
  <c r="DQ160" i="12"/>
  <c r="CX160" i="12"/>
  <c r="CE160" i="12"/>
  <c r="BL160" i="12"/>
  <c r="AS160" i="12"/>
  <c r="Z160" i="12"/>
  <c r="FC159" i="12"/>
  <c r="EJ159" i="12"/>
  <c r="DQ159" i="12"/>
  <c r="CX159" i="12"/>
  <c r="CE159" i="12"/>
  <c r="BL159" i="12"/>
  <c r="AS159" i="12"/>
  <c r="Z159" i="12"/>
  <c r="FC158" i="12"/>
  <c r="EJ158" i="12"/>
  <c r="DQ158" i="12"/>
  <c r="CX158" i="12"/>
  <c r="CE158" i="12"/>
  <c r="BL158" i="12"/>
  <c r="AS158" i="12"/>
  <c r="Z158" i="12"/>
  <c r="FC157" i="12"/>
  <c r="EJ157" i="12"/>
  <c r="DQ157" i="12"/>
  <c r="CX157" i="12"/>
  <c r="CE157" i="12"/>
  <c r="BL157" i="12"/>
  <c r="AS157" i="12"/>
  <c r="Z157" i="12"/>
  <c r="FC156" i="12"/>
  <c r="EJ156" i="12"/>
  <c r="DQ156" i="12"/>
  <c r="CX156" i="12"/>
  <c r="CE156" i="12"/>
  <c r="BL156" i="12"/>
  <c r="AS156" i="12"/>
  <c r="Z156" i="12"/>
  <c r="FC155" i="12"/>
  <c r="EJ155" i="12"/>
  <c r="DQ155" i="12"/>
  <c r="CX155" i="12"/>
  <c r="CE155" i="12"/>
  <c r="BL155" i="12"/>
  <c r="AS155" i="12"/>
  <c r="Z155" i="12"/>
  <c r="FC154" i="12"/>
  <c r="EJ154" i="12"/>
  <c r="DQ154" i="12"/>
  <c r="CX154" i="12"/>
  <c r="CE154" i="12"/>
  <c r="BL154" i="12"/>
  <c r="AS154" i="12"/>
  <c r="Z154" i="12"/>
  <c r="FC153" i="12"/>
  <c r="EJ153" i="12"/>
  <c r="DQ153" i="12"/>
  <c r="CX153" i="12"/>
  <c r="CE153" i="12"/>
  <c r="BL153" i="12"/>
  <c r="AS153" i="12"/>
  <c r="Z153" i="12"/>
  <c r="FC152" i="12"/>
  <c r="EJ152" i="12"/>
  <c r="DQ152" i="12"/>
  <c r="CX152" i="12"/>
  <c r="CE152" i="12"/>
  <c r="BL152" i="12"/>
  <c r="AS152" i="12"/>
  <c r="Z152" i="12"/>
  <c r="FC151" i="12"/>
  <c r="EJ151" i="12"/>
  <c r="DQ151" i="12"/>
  <c r="CX151" i="12"/>
  <c r="CE151" i="12"/>
  <c r="BL151" i="12"/>
  <c r="AS151" i="12"/>
  <c r="Z151" i="12"/>
  <c r="FC150" i="12"/>
  <c r="EJ150" i="12"/>
  <c r="DQ150" i="12"/>
  <c r="CX150" i="12"/>
  <c r="CE150" i="12"/>
  <c r="BL150" i="12"/>
  <c r="AS150" i="12"/>
  <c r="Z150" i="12"/>
  <c r="FC149" i="12"/>
  <c r="EJ149" i="12"/>
  <c r="DQ149" i="12"/>
  <c r="CX149" i="12"/>
  <c r="CE149" i="12"/>
  <c r="BL149" i="12"/>
  <c r="AS149" i="12"/>
  <c r="Z149" i="12"/>
  <c r="FC148" i="12"/>
  <c r="EJ148" i="12"/>
  <c r="DQ148" i="12"/>
  <c r="CX148" i="12"/>
  <c r="CE148" i="12"/>
  <c r="BL148" i="12"/>
  <c r="AS148" i="12"/>
  <c r="Z148" i="12"/>
  <c r="FC147" i="12"/>
  <c r="EJ147" i="12"/>
  <c r="DQ147" i="12"/>
  <c r="CX147" i="12"/>
  <c r="CE147" i="12"/>
  <c r="BL147" i="12"/>
  <c r="AS147" i="12"/>
  <c r="Z147" i="12"/>
  <c r="FC146" i="12"/>
  <c r="EJ146" i="12"/>
  <c r="DQ146" i="12"/>
  <c r="CX146" i="12"/>
  <c r="CE146" i="12"/>
  <c r="BL146" i="12"/>
  <c r="AS146" i="12"/>
  <c r="Z146" i="12"/>
  <c r="FC145" i="12"/>
  <c r="EJ145" i="12"/>
  <c r="DQ145" i="12"/>
  <c r="CX145" i="12"/>
  <c r="CE145" i="12"/>
  <c r="BL145" i="12"/>
  <c r="AS145" i="12"/>
  <c r="Z145" i="12"/>
  <c r="FC144" i="12"/>
  <c r="EJ144" i="12"/>
  <c r="DQ144" i="12"/>
  <c r="CX144" i="12"/>
  <c r="CE144" i="12"/>
  <c r="BL144" i="12"/>
  <c r="AS144" i="12"/>
  <c r="Z144" i="12"/>
  <c r="FC143" i="12"/>
  <c r="EJ143" i="12"/>
  <c r="DQ143" i="12"/>
  <c r="CX143" i="12"/>
  <c r="CE143" i="12"/>
  <c r="BL143" i="12"/>
  <c r="AS143" i="12"/>
  <c r="Z143" i="12"/>
  <c r="FC142" i="12"/>
  <c r="EJ142" i="12"/>
  <c r="DQ142" i="12"/>
  <c r="CX142" i="12"/>
  <c r="CE142" i="12"/>
  <c r="BL142" i="12"/>
  <c r="AS142" i="12"/>
  <c r="Z142" i="12"/>
  <c r="FC141" i="12"/>
  <c r="EJ141" i="12"/>
  <c r="DQ141" i="12"/>
  <c r="CX141" i="12"/>
  <c r="CE141" i="12"/>
  <c r="BL141" i="12"/>
  <c r="AS141" i="12"/>
  <c r="Z141" i="12"/>
  <c r="FC140" i="12"/>
  <c r="EJ140" i="12"/>
  <c r="DQ140" i="12"/>
  <c r="CX140" i="12"/>
  <c r="CE140" i="12"/>
  <c r="BL140" i="12"/>
  <c r="AS140" i="12"/>
  <c r="Z140" i="12"/>
  <c r="FC139" i="12"/>
  <c r="EJ139" i="12"/>
  <c r="DQ139" i="12"/>
  <c r="CX139" i="12"/>
  <c r="CE139" i="12"/>
  <c r="BL139" i="12"/>
  <c r="AS139" i="12"/>
  <c r="Z139" i="12"/>
  <c r="FC138" i="12"/>
  <c r="EJ138" i="12"/>
  <c r="DQ138" i="12"/>
  <c r="CX138" i="12"/>
  <c r="CE138" i="12"/>
  <c r="BL138" i="12"/>
  <c r="AS138" i="12"/>
  <c r="Z138" i="12"/>
  <c r="FC137" i="12"/>
  <c r="EJ137" i="12"/>
  <c r="DQ137" i="12"/>
  <c r="CX137" i="12"/>
  <c r="CE137" i="12"/>
  <c r="BL137" i="12"/>
  <c r="AS137" i="12"/>
  <c r="Z137" i="12"/>
  <c r="FC136" i="12"/>
  <c r="EJ136" i="12"/>
  <c r="DQ136" i="12"/>
  <c r="CX136" i="12"/>
  <c r="CE136" i="12"/>
  <c r="BL136" i="12"/>
  <c r="AS136" i="12"/>
  <c r="Z136" i="12"/>
  <c r="FC135" i="12"/>
  <c r="EJ135" i="12"/>
  <c r="DQ135" i="12"/>
  <c r="CX135" i="12"/>
  <c r="CE135" i="12"/>
  <c r="BL135" i="12"/>
  <c r="AS135" i="12"/>
  <c r="Z135" i="12"/>
  <c r="FC134" i="12"/>
  <c r="EJ134" i="12"/>
  <c r="DQ134" i="12"/>
  <c r="CX134" i="12"/>
  <c r="CE134" i="12"/>
  <c r="BL134" i="12"/>
  <c r="AS134" i="12"/>
  <c r="Z134" i="12"/>
  <c r="FC133" i="12"/>
  <c r="EJ133" i="12"/>
  <c r="DQ133" i="12"/>
  <c r="CX133" i="12"/>
  <c r="CE133" i="12"/>
  <c r="BL133" i="12"/>
  <c r="AS133" i="12"/>
  <c r="Z133" i="12"/>
  <c r="FC132" i="12"/>
  <c r="EJ132" i="12"/>
  <c r="DQ132" i="12"/>
  <c r="CX132" i="12"/>
  <c r="CE132" i="12"/>
  <c r="BL132" i="12"/>
  <c r="AS132" i="12"/>
  <c r="Z132" i="12"/>
  <c r="FC131" i="12"/>
  <c r="EJ131" i="12"/>
  <c r="DQ131" i="12"/>
  <c r="CX131" i="12"/>
  <c r="CE131" i="12"/>
  <c r="BL131" i="12"/>
  <c r="AS131" i="12"/>
  <c r="Z131" i="12"/>
  <c r="FC130" i="12"/>
  <c r="EJ130" i="12"/>
  <c r="DQ130" i="12"/>
  <c r="CX130" i="12"/>
  <c r="CE130" i="12"/>
  <c r="BL130" i="12"/>
  <c r="AS130" i="12"/>
  <c r="Z130" i="12"/>
  <c r="FC129" i="12"/>
  <c r="EJ129" i="12"/>
  <c r="DQ129" i="12"/>
  <c r="CX129" i="12"/>
  <c r="CE129" i="12"/>
  <c r="BL129" i="12"/>
  <c r="AS129" i="12"/>
  <c r="Z129" i="12"/>
  <c r="FC128" i="12"/>
  <c r="EJ128" i="12"/>
  <c r="DQ128" i="12"/>
  <c r="CX128" i="12"/>
  <c r="CE128" i="12"/>
  <c r="BL128" i="12"/>
  <c r="AS128" i="12"/>
  <c r="Z128" i="12"/>
  <c r="FC127" i="12"/>
  <c r="EJ127" i="12"/>
  <c r="DQ127" i="12"/>
  <c r="CX127" i="12"/>
  <c r="CE127" i="12"/>
  <c r="BL127" i="12"/>
  <c r="AS127" i="12"/>
  <c r="Z127" i="12"/>
  <c r="FC126" i="12"/>
  <c r="EJ126" i="12"/>
  <c r="DQ126" i="12"/>
  <c r="CX126" i="12"/>
  <c r="CE126" i="12"/>
  <c r="BL126" i="12"/>
  <c r="AS126" i="12"/>
  <c r="Z126" i="12"/>
  <c r="FC125" i="12"/>
  <c r="EJ125" i="12"/>
  <c r="DQ125" i="12"/>
  <c r="CX125" i="12"/>
  <c r="CE125" i="12"/>
  <c r="BL125" i="12"/>
  <c r="AS125" i="12"/>
  <c r="Z125" i="12"/>
  <c r="FC124" i="12"/>
  <c r="EJ124" i="12"/>
  <c r="DQ124" i="12"/>
  <c r="CX124" i="12"/>
  <c r="CE124" i="12"/>
  <c r="BL124" i="12"/>
  <c r="AS124" i="12"/>
  <c r="Z124" i="12"/>
  <c r="FC123" i="12"/>
  <c r="EJ123" i="12"/>
  <c r="DQ123" i="12"/>
  <c r="CX123" i="12"/>
  <c r="CE123" i="12"/>
  <c r="BL123" i="12"/>
  <c r="AS123" i="12"/>
  <c r="Z123" i="12"/>
  <c r="FC122" i="12"/>
  <c r="EJ122" i="12"/>
  <c r="DQ122" i="12"/>
  <c r="CX122" i="12"/>
  <c r="CE122" i="12"/>
  <c r="BL122" i="12"/>
  <c r="AS122" i="12"/>
  <c r="Z122" i="12"/>
  <c r="FC121" i="12"/>
  <c r="EJ121" i="12"/>
  <c r="DQ121" i="12"/>
  <c r="CX121" i="12"/>
  <c r="CE121" i="12"/>
  <c r="BL121" i="12"/>
  <c r="AS121" i="12"/>
  <c r="Z121" i="12"/>
  <c r="FC120" i="12"/>
  <c r="EJ120" i="12"/>
  <c r="DQ120" i="12"/>
  <c r="CX120" i="12"/>
  <c r="CE120" i="12"/>
  <c r="BL120" i="12"/>
  <c r="AS120" i="12"/>
  <c r="Z120" i="12"/>
  <c r="FC119" i="12"/>
  <c r="EJ119" i="12"/>
  <c r="DQ119" i="12"/>
  <c r="CX119" i="12"/>
  <c r="CE119" i="12"/>
  <c r="BL119" i="12"/>
  <c r="AS119" i="12"/>
  <c r="Z119" i="12"/>
  <c r="FC118" i="12"/>
  <c r="EJ118" i="12"/>
  <c r="DQ118" i="12"/>
  <c r="CX118" i="12"/>
  <c r="CE118" i="12"/>
  <c r="BL118" i="12"/>
  <c r="AS118" i="12"/>
  <c r="Z118" i="12"/>
  <c r="FC117" i="12"/>
  <c r="EJ117" i="12"/>
  <c r="DQ117" i="12"/>
  <c r="CX117" i="12"/>
  <c r="CE117" i="12"/>
  <c r="BL117" i="12"/>
  <c r="AS117" i="12"/>
  <c r="Z117" i="12"/>
  <c r="FC116" i="12"/>
  <c r="EJ116" i="12"/>
  <c r="DQ116" i="12"/>
  <c r="CX116" i="12"/>
  <c r="CE116" i="12"/>
  <c r="BL116" i="12"/>
  <c r="AS116" i="12"/>
  <c r="Z116" i="12"/>
  <c r="FC115" i="12"/>
  <c r="EJ115" i="12"/>
  <c r="DQ115" i="12"/>
  <c r="CX115" i="12"/>
  <c r="CE115" i="12"/>
  <c r="BL115" i="12"/>
  <c r="AS115" i="12"/>
  <c r="Z115" i="12"/>
  <c r="FC114" i="12"/>
  <c r="EJ114" i="12"/>
  <c r="DQ114" i="12"/>
  <c r="CX114" i="12"/>
  <c r="CE114" i="12"/>
  <c r="BL114" i="12"/>
  <c r="AS114" i="12"/>
  <c r="Z114" i="12"/>
  <c r="FC113" i="12"/>
  <c r="EJ113" i="12"/>
  <c r="DQ113" i="12"/>
  <c r="CX113" i="12"/>
  <c r="CE113" i="12"/>
  <c r="BL113" i="12"/>
  <c r="AS113" i="12"/>
  <c r="Z113" i="12"/>
  <c r="FC112" i="12"/>
  <c r="EJ112" i="12"/>
  <c r="DQ112" i="12"/>
  <c r="CX112" i="12"/>
  <c r="CE112" i="12"/>
  <c r="BL112" i="12"/>
  <c r="AS112" i="12"/>
  <c r="Z112" i="12"/>
  <c r="FC111" i="12"/>
  <c r="EJ111" i="12"/>
  <c r="DQ111" i="12"/>
  <c r="CX111" i="12"/>
  <c r="CE111" i="12"/>
  <c r="BL111" i="12"/>
  <c r="AS111" i="12"/>
  <c r="Z111" i="12"/>
  <c r="FC110" i="12"/>
  <c r="EJ110" i="12"/>
  <c r="DQ110" i="12"/>
  <c r="CX110" i="12"/>
  <c r="CE110" i="12"/>
  <c r="BL110" i="12"/>
  <c r="AS110" i="12"/>
  <c r="Z110" i="12"/>
  <c r="FC109" i="12"/>
  <c r="EJ109" i="12"/>
  <c r="DQ109" i="12"/>
  <c r="CX109" i="12"/>
  <c r="CE109" i="12"/>
  <c r="BL109" i="12"/>
  <c r="AS109" i="12"/>
  <c r="Z109" i="12"/>
  <c r="FC108" i="12"/>
  <c r="EJ108" i="12"/>
  <c r="DQ108" i="12"/>
  <c r="CX108" i="12"/>
  <c r="CE108" i="12"/>
  <c r="BL108" i="12"/>
  <c r="AS108" i="12"/>
  <c r="Z108" i="12"/>
  <c r="FC107" i="12"/>
  <c r="EJ107" i="12"/>
  <c r="DQ107" i="12"/>
  <c r="CX107" i="12"/>
  <c r="CE107" i="12"/>
  <c r="BL107" i="12"/>
  <c r="AS107" i="12"/>
  <c r="Z107" i="12"/>
  <c r="FC106" i="12"/>
  <c r="EJ106" i="12"/>
  <c r="DQ106" i="12"/>
  <c r="CX106" i="12"/>
  <c r="CE106" i="12"/>
  <c r="BL106" i="12"/>
  <c r="AS106" i="12"/>
  <c r="Z106" i="12"/>
  <c r="FC105" i="12"/>
  <c r="EJ105" i="12"/>
  <c r="DQ105" i="12"/>
  <c r="CX105" i="12"/>
  <c r="CE105" i="12"/>
  <c r="BL105" i="12"/>
  <c r="AS105" i="12"/>
  <c r="Z105" i="12"/>
  <c r="FC104" i="12"/>
  <c r="EJ104" i="12"/>
  <c r="DQ104" i="12"/>
  <c r="CX104" i="12"/>
  <c r="CE104" i="12"/>
  <c r="BL104" i="12"/>
  <c r="AS104" i="12"/>
  <c r="Z104" i="12"/>
  <c r="FC103" i="12"/>
  <c r="EJ103" i="12"/>
  <c r="DQ103" i="12"/>
  <c r="CX103" i="12"/>
  <c r="CE103" i="12"/>
  <c r="BL103" i="12"/>
  <c r="AS103" i="12"/>
  <c r="Z103" i="12"/>
  <c r="FC102" i="12"/>
  <c r="EJ102" i="12"/>
  <c r="DQ102" i="12"/>
  <c r="CX102" i="12"/>
  <c r="CE102" i="12"/>
  <c r="BL102" i="12"/>
  <c r="AS102" i="12"/>
  <c r="Z102" i="12"/>
  <c r="FC101" i="12"/>
  <c r="EJ101" i="12"/>
  <c r="DQ101" i="12"/>
  <c r="CX101" i="12"/>
  <c r="CE101" i="12"/>
  <c r="BL101" i="12"/>
  <c r="AS101" i="12"/>
  <c r="Z101" i="12"/>
  <c r="FC100" i="12"/>
  <c r="EJ100" i="12"/>
  <c r="DQ100" i="12"/>
  <c r="CX100" i="12"/>
  <c r="CE100" i="12"/>
  <c r="BL100" i="12"/>
  <c r="AS100" i="12"/>
  <c r="Z100" i="12"/>
  <c r="FC99" i="12"/>
  <c r="EJ99" i="12"/>
  <c r="DQ99" i="12"/>
  <c r="CX99" i="12"/>
  <c r="CE99" i="12"/>
  <c r="BL99" i="12"/>
  <c r="AS99" i="12"/>
  <c r="Z99" i="12"/>
  <c r="FC98" i="12"/>
  <c r="EJ98" i="12"/>
  <c r="DQ98" i="12"/>
  <c r="CX98" i="12"/>
  <c r="CE98" i="12"/>
  <c r="BL98" i="12"/>
  <c r="AS98" i="12"/>
  <c r="Z98" i="12"/>
  <c r="FC97" i="12"/>
  <c r="EJ97" i="12"/>
  <c r="DQ97" i="12"/>
  <c r="CX97" i="12"/>
  <c r="CE97" i="12"/>
  <c r="BL97" i="12"/>
  <c r="AS97" i="12"/>
  <c r="Z97" i="12"/>
  <c r="FC96" i="12"/>
  <c r="EJ96" i="12"/>
  <c r="DQ96" i="12"/>
  <c r="CX96" i="12"/>
  <c r="CE96" i="12"/>
  <c r="BL96" i="12"/>
  <c r="AS96" i="12"/>
  <c r="Z96" i="12"/>
  <c r="FC95" i="12"/>
  <c r="EJ95" i="12"/>
  <c r="DQ95" i="12"/>
  <c r="CX95" i="12"/>
  <c r="CE95" i="12"/>
  <c r="BL95" i="12"/>
  <c r="AS95" i="12"/>
  <c r="Z95" i="12"/>
  <c r="FC94" i="12"/>
  <c r="EJ94" i="12"/>
  <c r="DQ94" i="12"/>
  <c r="CX94" i="12"/>
  <c r="CE94" i="12"/>
  <c r="BL94" i="12"/>
  <c r="AS94" i="12"/>
  <c r="Z94" i="12"/>
  <c r="FC93" i="12"/>
  <c r="EJ93" i="12"/>
  <c r="DQ93" i="12"/>
  <c r="CX93" i="12"/>
  <c r="CE93" i="12"/>
  <c r="BL93" i="12"/>
  <c r="AS93" i="12"/>
  <c r="Z93" i="12"/>
  <c r="FC92" i="12"/>
  <c r="EJ92" i="12"/>
  <c r="DQ92" i="12"/>
  <c r="CX92" i="12"/>
  <c r="CE92" i="12"/>
  <c r="BL92" i="12"/>
  <c r="AS92" i="12"/>
  <c r="Z92" i="12"/>
  <c r="FC91" i="12"/>
  <c r="EJ91" i="12"/>
  <c r="DQ91" i="12"/>
  <c r="CX91" i="12"/>
  <c r="CE91" i="12"/>
  <c r="BL91" i="12"/>
  <c r="AS91" i="12"/>
  <c r="Z91" i="12"/>
  <c r="FC90" i="12"/>
  <c r="EJ90" i="12"/>
  <c r="DQ90" i="12"/>
  <c r="CX90" i="12"/>
  <c r="CE90" i="12"/>
  <c r="BL90" i="12"/>
  <c r="AS90" i="12"/>
  <c r="Z90" i="12"/>
  <c r="FC89" i="12"/>
  <c r="EJ89" i="12"/>
  <c r="DQ89" i="12"/>
  <c r="CX89" i="12"/>
  <c r="CE89" i="12"/>
  <c r="BL89" i="12"/>
  <c r="AS89" i="12"/>
  <c r="Z89" i="12"/>
  <c r="FC88" i="12"/>
  <c r="EJ88" i="12"/>
  <c r="DQ88" i="12"/>
  <c r="CX88" i="12"/>
  <c r="CE88" i="12"/>
  <c r="BL88" i="12"/>
  <c r="AS88" i="12"/>
  <c r="Z88" i="12"/>
  <c r="FC87" i="12"/>
  <c r="EJ87" i="12"/>
  <c r="DQ87" i="12"/>
  <c r="CX87" i="12"/>
  <c r="CE87" i="12"/>
  <c r="BL87" i="12"/>
  <c r="AS87" i="12"/>
  <c r="Z87" i="12"/>
  <c r="FC86" i="12"/>
  <c r="EJ86" i="12"/>
  <c r="DQ86" i="12"/>
  <c r="CX86" i="12"/>
  <c r="CE86" i="12"/>
  <c r="BL86" i="12"/>
  <c r="AS86" i="12"/>
  <c r="Z86" i="12"/>
  <c r="FC85" i="12"/>
  <c r="EJ85" i="12"/>
  <c r="DQ85" i="12"/>
  <c r="CX85" i="12"/>
  <c r="CE85" i="12"/>
  <c r="BL85" i="12"/>
  <c r="AS85" i="12"/>
  <c r="Z85" i="12"/>
  <c r="FC84" i="12"/>
  <c r="EJ84" i="12"/>
  <c r="DQ84" i="12"/>
  <c r="CX84" i="12"/>
  <c r="CE84" i="12"/>
  <c r="BL84" i="12"/>
  <c r="AS84" i="12"/>
  <c r="Z84" i="12"/>
  <c r="FC83" i="12"/>
  <c r="EJ83" i="12"/>
  <c r="DQ83" i="12"/>
  <c r="CX83" i="12"/>
  <c r="CE83" i="12"/>
  <c r="BL83" i="12"/>
  <c r="AS83" i="12"/>
  <c r="Z83" i="12"/>
  <c r="FC82" i="12"/>
  <c r="EJ82" i="12"/>
  <c r="DQ82" i="12"/>
  <c r="CX82" i="12"/>
  <c r="CE82" i="12"/>
  <c r="BL82" i="12"/>
  <c r="AS82" i="12"/>
  <c r="Z82" i="12"/>
  <c r="FC81" i="12"/>
  <c r="EJ81" i="12"/>
  <c r="DQ81" i="12"/>
  <c r="CX81" i="12"/>
  <c r="CE81" i="12"/>
  <c r="BL81" i="12"/>
  <c r="AS81" i="12"/>
  <c r="Z81" i="12"/>
  <c r="FC80" i="12"/>
  <c r="EJ80" i="12"/>
  <c r="DQ80" i="12"/>
  <c r="CX80" i="12"/>
  <c r="CE80" i="12"/>
  <c r="BL80" i="12"/>
  <c r="AS80" i="12"/>
  <c r="Z80" i="12"/>
  <c r="FC79" i="12"/>
  <c r="EJ79" i="12"/>
  <c r="DQ79" i="12"/>
  <c r="CX79" i="12"/>
  <c r="CE79" i="12"/>
  <c r="BL79" i="12"/>
  <c r="AS79" i="12"/>
  <c r="Z79" i="12"/>
  <c r="FC78" i="12"/>
  <c r="EJ78" i="12"/>
  <c r="DQ78" i="12"/>
  <c r="CX78" i="12"/>
  <c r="CE78" i="12"/>
  <c r="BL78" i="12"/>
  <c r="AS78" i="12"/>
  <c r="Z78" i="12"/>
  <c r="FC77" i="12"/>
  <c r="EJ77" i="12"/>
  <c r="DQ77" i="12"/>
  <c r="CX77" i="12"/>
  <c r="CE77" i="12"/>
  <c r="BL77" i="12"/>
  <c r="AS77" i="12"/>
  <c r="Z77" i="12"/>
  <c r="FC76" i="12"/>
  <c r="EJ76" i="12"/>
  <c r="DQ76" i="12"/>
  <c r="CX76" i="12"/>
  <c r="CE76" i="12"/>
  <c r="BL76" i="12"/>
  <c r="AS76" i="12"/>
  <c r="Z76" i="12"/>
  <c r="FC75" i="12"/>
  <c r="EJ75" i="12"/>
  <c r="DQ75" i="12"/>
  <c r="CX75" i="12"/>
  <c r="CE75" i="12"/>
  <c r="BL75" i="12"/>
  <c r="AS75" i="12"/>
  <c r="Z75" i="12"/>
  <c r="FC74" i="12"/>
  <c r="EJ74" i="12"/>
  <c r="DQ74" i="12"/>
  <c r="CX74" i="12"/>
  <c r="CE74" i="12"/>
  <c r="BL74" i="12"/>
  <c r="AS74" i="12"/>
  <c r="Z74" i="12"/>
  <c r="FC73" i="12"/>
  <c r="EJ73" i="12"/>
  <c r="DQ73" i="12"/>
  <c r="CX73" i="12"/>
  <c r="CE73" i="12"/>
  <c r="BL73" i="12"/>
  <c r="AS73" i="12"/>
  <c r="Z73" i="12"/>
  <c r="FC72" i="12"/>
  <c r="EJ72" i="12"/>
  <c r="DQ72" i="12"/>
  <c r="CX72" i="12"/>
  <c r="CE72" i="12"/>
  <c r="BL72" i="12"/>
  <c r="AS72" i="12"/>
  <c r="Z72" i="12"/>
  <c r="FC71" i="12"/>
  <c r="EJ71" i="12"/>
  <c r="DQ71" i="12"/>
  <c r="CX71" i="12"/>
  <c r="CE71" i="12"/>
  <c r="BL71" i="12"/>
  <c r="AS71" i="12"/>
  <c r="Z71" i="12"/>
  <c r="FC70" i="12"/>
  <c r="EJ70" i="12"/>
  <c r="DQ70" i="12"/>
  <c r="CX70" i="12"/>
  <c r="CE70" i="12"/>
  <c r="BL70" i="12"/>
  <c r="AS70" i="12"/>
  <c r="Z70" i="12"/>
  <c r="FC69" i="12"/>
  <c r="EJ69" i="12"/>
  <c r="DQ69" i="12"/>
  <c r="CX69" i="12"/>
  <c r="CE69" i="12"/>
  <c r="BL69" i="12"/>
  <c r="AS69" i="12"/>
  <c r="Z69" i="12"/>
  <c r="FC68" i="12"/>
  <c r="EJ68" i="12"/>
  <c r="DQ68" i="12"/>
  <c r="CX68" i="12"/>
  <c r="CE68" i="12"/>
  <c r="BL68" i="12"/>
  <c r="AS68" i="12"/>
  <c r="Z68" i="12"/>
  <c r="FC67" i="12"/>
  <c r="EJ67" i="12"/>
  <c r="DQ67" i="12"/>
  <c r="CX67" i="12"/>
  <c r="CE67" i="12"/>
  <c r="BL67" i="12"/>
  <c r="AS67" i="12"/>
  <c r="Z67" i="12"/>
  <c r="FC66" i="12"/>
  <c r="EJ66" i="12"/>
  <c r="DQ66" i="12"/>
  <c r="CX66" i="12"/>
  <c r="CE66" i="12"/>
  <c r="BL66" i="12"/>
  <c r="AS66" i="12"/>
  <c r="Z66" i="12"/>
  <c r="FC65" i="12"/>
  <c r="EJ65" i="12"/>
  <c r="DQ65" i="12"/>
  <c r="CX65" i="12"/>
  <c r="CE65" i="12"/>
  <c r="BL65" i="12"/>
  <c r="AS65" i="12"/>
  <c r="Z65" i="12"/>
  <c r="FC64" i="12"/>
  <c r="EJ64" i="12"/>
  <c r="DQ64" i="12"/>
  <c r="CX64" i="12"/>
  <c r="CE64" i="12"/>
  <c r="BL64" i="12"/>
  <c r="AS64" i="12"/>
  <c r="Z64" i="12"/>
  <c r="FC63" i="12"/>
  <c r="EJ63" i="12"/>
  <c r="DQ63" i="12"/>
  <c r="CX63" i="12"/>
  <c r="CE63" i="12"/>
  <c r="BL63" i="12"/>
  <c r="AS63" i="12"/>
  <c r="Z63" i="12"/>
  <c r="FC62" i="12"/>
  <c r="EJ62" i="12"/>
  <c r="DQ62" i="12"/>
  <c r="CX62" i="12"/>
  <c r="CE62" i="12"/>
  <c r="BL62" i="12"/>
  <c r="AS62" i="12"/>
  <c r="Z62" i="12"/>
  <c r="FC61" i="12"/>
  <c r="EJ61" i="12"/>
  <c r="DQ61" i="12"/>
  <c r="CX61" i="12"/>
  <c r="CE61" i="12"/>
  <c r="BL61" i="12"/>
  <c r="AS61" i="12"/>
  <c r="Z61" i="12"/>
  <c r="FC60" i="12"/>
  <c r="EJ60" i="12"/>
  <c r="DQ60" i="12"/>
  <c r="CX60" i="12"/>
  <c r="CE60" i="12"/>
  <c r="BL60" i="12"/>
  <c r="AS60" i="12"/>
  <c r="Z60" i="12"/>
  <c r="FC59" i="12"/>
  <c r="EJ59" i="12"/>
  <c r="DQ59" i="12"/>
  <c r="CX59" i="12"/>
  <c r="CE59" i="12"/>
  <c r="BL59" i="12"/>
  <c r="AS59" i="12"/>
  <c r="Z59" i="12"/>
  <c r="FC58" i="12"/>
  <c r="EJ58" i="12"/>
  <c r="DQ58" i="12"/>
  <c r="CX58" i="12"/>
  <c r="CE58" i="12"/>
  <c r="BL58" i="12"/>
  <c r="AS58" i="12"/>
  <c r="Z58" i="12"/>
  <c r="FC57" i="12"/>
  <c r="EJ57" i="12"/>
  <c r="DQ57" i="12"/>
  <c r="CX57" i="12"/>
  <c r="CE57" i="12"/>
  <c r="BL57" i="12"/>
  <c r="AS57" i="12"/>
  <c r="Z57" i="12"/>
  <c r="FC56" i="12"/>
  <c r="EJ56" i="12"/>
  <c r="DQ56" i="12"/>
  <c r="CX56" i="12"/>
  <c r="CE56" i="12"/>
  <c r="BL56" i="12"/>
  <c r="AS56" i="12"/>
  <c r="Z56" i="12"/>
  <c r="FC55" i="12"/>
  <c r="EJ55" i="12"/>
  <c r="DQ55" i="12"/>
  <c r="CX55" i="12"/>
  <c r="CE55" i="12"/>
  <c r="BL55" i="12"/>
  <c r="AS55" i="12"/>
  <c r="Z55" i="12"/>
  <c r="FC54" i="12"/>
  <c r="EJ54" i="12"/>
  <c r="DQ54" i="12"/>
  <c r="CX54" i="12"/>
  <c r="CE54" i="12"/>
  <c r="BL54" i="12"/>
  <c r="AS54" i="12"/>
  <c r="Z54" i="12"/>
  <c r="FC53" i="12"/>
  <c r="EJ53" i="12"/>
  <c r="DQ53" i="12"/>
  <c r="CX53" i="12"/>
  <c r="CE53" i="12"/>
  <c r="BL53" i="12"/>
  <c r="AS53" i="12"/>
  <c r="Z53" i="12"/>
  <c r="FC52" i="12"/>
  <c r="EJ52" i="12"/>
  <c r="DQ52" i="12"/>
  <c r="CX52" i="12"/>
  <c r="CE52" i="12"/>
  <c r="BL52" i="12"/>
  <c r="AS52" i="12"/>
  <c r="Z52" i="12"/>
  <c r="FC51" i="12"/>
  <c r="EJ51" i="12"/>
  <c r="DQ51" i="12"/>
  <c r="CX51" i="12"/>
  <c r="CE51" i="12"/>
  <c r="BL51" i="12"/>
  <c r="AS51" i="12"/>
  <c r="Z51" i="12"/>
  <c r="FC50" i="12"/>
  <c r="EJ50" i="12"/>
  <c r="DQ50" i="12"/>
  <c r="CX50" i="12"/>
  <c r="CE50" i="12"/>
  <c r="BL50" i="12"/>
  <c r="AS50" i="12"/>
  <c r="Z50" i="12"/>
  <c r="FC49" i="12"/>
  <c r="EJ49" i="12"/>
  <c r="DQ49" i="12"/>
  <c r="CX49" i="12"/>
  <c r="CE49" i="12"/>
  <c r="BL49" i="12"/>
  <c r="AS49" i="12"/>
  <c r="Z49" i="12"/>
  <c r="FC48" i="12"/>
  <c r="EJ48" i="12"/>
  <c r="DQ48" i="12"/>
  <c r="CX48" i="12"/>
  <c r="CE48" i="12"/>
  <c r="BL48" i="12"/>
  <c r="AS48" i="12"/>
  <c r="Z48" i="12"/>
  <c r="FC47" i="12"/>
  <c r="EJ47" i="12"/>
  <c r="DQ47" i="12"/>
  <c r="CX47" i="12"/>
  <c r="CE47" i="12"/>
  <c r="BL47" i="12"/>
  <c r="AS47" i="12"/>
  <c r="Z47" i="12"/>
  <c r="FC46" i="12"/>
  <c r="EJ46" i="12"/>
  <c r="DQ46" i="12"/>
  <c r="CX46" i="12"/>
  <c r="CE46" i="12"/>
  <c r="BL46" i="12"/>
  <c r="AS46" i="12"/>
  <c r="Z46" i="12"/>
  <c r="FC45" i="12"/>
  <c r="EJ45" i="12"/>
  <c r="DQ45" i="12"/>
  <c r="CX45" i="12"/>
  <c r="CE45" i="12"/>
  <c r="BL45" i="12"/>
  <c r="AS45" i="12"/>
  <c r="Z45" i="12"/>
  <c r="FC44" i="12"/>
  <c r="EJ44" i="12"/>
  <c r="DQ44" i="12"/>
  <c r="CX44" i="12"/>
  <c r="CE44" i="12"/>
  <c r="BL44" i="12"/>
  <c r="AS44" i="12"/>
  <c r="Z44" i="12"/>
  <c r="FC43" i="12"/>
  <c r="EJ43" i="12"/>
  <c r="DQ43" i="12"/>
  <c r="CX43" i="12"/>
  <c r="CE43" i="12"/>
  <c r="BL43" i="12"/>
  <c r="AS43" i="12"/>
  <c r="Z43" i="12"/>
  <c r="FC42" i="12"/>
  <c r="EJ42" i="12"/>
  <c r="DQ42" i="12"/>
  <c r="CX42" i="12"/>
  <c r="CE42" i="12"/>
  <c r="BL42" i="12"/>
  <c r="AS42" i="12"/>
  <c r="Z42" i="12"/>
  <c r="FC41" i="12"/>
  <c r="EJ41" i="12"/>
  <c r="DQ41" i="12"/>
  <c r="CX41" i="12"/>
  <c r="CE41" i="12"/>
  <c r="BL41" i="12"/>
  <c r="AS41" i="12"/>
  <c r="Z41" i="12"/>
  <c r="FC40" i="12"/>
  <c r="EJ40" i="12"/>
  <c r="DQ40" i="12"/>
  <c r="CX40" i="12"/>
  <c r="CE40" i="12"/>
  <c r="BL40" i="12"/>
  <c r="AS40" i="12"/>
  <c r="Z40" i="12"/>
  <c r="FC39" i="12"/>
  <c r="EJ39" i="12"/>
  <c r="DQ39" i="12"/>
  <c r="CX39" i="12"/>
  <c r="CE39" i="12"/>
  <c r="BL39" i="12"/>
  <c r="AS39" i="12"/>
  <c r="Z39" i="12"/>
  <c r="FC38" i="12"/>
  <c r="EJ38" i="12"/>
  <c r="DQ38" i="12"/>
  <c r="CX38" i="12"/>
  <c r="CE38" i="12"/>
  <c r="BL38" i="12"/>
  <c r="AS38" i="12"/>
  <c r="Z38" i="12"/>
  <c r="FC37" i="12"/>
  <c r="EJ37" i="12"/>
  <c r="DQ37" i="12"/>
  <c r="CX37" i="12"/>
  <c r="CE37" i="12"/>
  <c r="BL37" i="12"/>
  <c r="AS37" i="12"/>
  <c r="Z37" i="12"/>
  <c r="FC36" i="12"/>
  <c r="EJ36" i="12"/>
  <c r="DQ36" i="12"/>
  <c r="CX36" i="12"/>
  <c r="CE36" i="12"/>
  <c r="BL36" i="12"/>
  <c r="AS36" i="12"/>
  <c r="Z36" i="12"/>
  <c r="FC35" i="12"/>
  <c r="EJ35" i="12"/>
  <c r="DQ35" i="12"/>
  <c r="CX35" i="12"/>
  <c r="CE35" i="12"/>
  <c r="BL35" i="12"/>
  <c r="AS35" i="12"/>
  <c r="Z35" i="12"/>
  <c r="FC34" i="12"/>
  <c r="EJ34" i="12"/>
  <c r="DQ34" i="12"/>
  <c r="CX34" i="12"/>
  <c r="CE34" i="12"/>
  <c r="BL34" i="12"/>
  <c r="AS34" i="12"/>
  <c r="Z34" i="12"/>
  <c r="FC33" i="12"/>
  <c r="EJ33" i="12"/>
  <c r="DQ33" i="12"/>
  <c r="CX33" i="12"/>
  <c r="CE33" i="12"/>
  <c r="BL33" i="12"/>
  <c r="AS33" i="12"/>
  <c r="Z33" i="12"/>
  <c r="FC32" i="12"/>
  <c r="EJ32" i="12"/>
  <c r="DQ32" i="12"/>
  <c r="CX32" i="12"/>
  <c r="CE32" i="12"/>
  <c r="BL32" i="12"/>
  <c r="AS32" i="12"/>
  <c r="Z32" i="12"/>
  <c r="FC31" i="12"/>
  <c r="EJ31" i="12"/>
  <c r="DQ31" i="12"/>
  <c r="CX31" i="12"/>
  <c r="CE31" i="12"/>
  <c r="BL31" i="12"/>
  <c r="AS31" i="12"/>
  <c r="Z31" i="12"/>
  <c r="FC30" i="12"/>
  <c r="EJ30" i="12"/>
  <c r="DQ30" i="12"/>
  <c r="CX30" i="12"/>
  <c r="CE30" i="12"/>
  <c r="BL30" i="12"/>
  <c r="AS30" i="12"/>
  <c r="Z30" i="12"/>
  <c r="FC29" i="12"/>
  <c r="EJ29" i="12"/>
  <c r="DQ29" i="12"/>
  <c r="CX29" i="12"/>
  <c r="CE29" i="12"/>
  <c r="BL29" i="12"/>
  <c r="AS29" i="12"/>
  <c r="Z29" i="12"/>
  <c r="FC28" i="12"/>
  <c r="EJ28" i="12"/>
  <c r="DQ28" i="12"/>
  <c r="CX28" i="12"/>
  <c r="CE28" i="12"/>
  <c r="BL28" i="12"/>
  <c r="AS28" i="12"/>
  <c r="Z28" i="12"/>
  <c r="FC27" i="12"/>
  <c r="EJ27" i="12"/>
  <c r="DQ27" i="12"/>
  <c r="CX27" i="12"/>
  <c r="CE27" i="12"/>
  <c r="BL27" i="12"/>
  <c r="AS27" i="12"/>
  <c r="Z27" i="12"/>
  <c r="FC26" i="12"/>
  <c r="EJ26" i="12"/>
  <c r="DQ26" i="12"/>
  <c r="CX26" i="12"/>
  <c r="CE26" i="12"/>
  <c r="BL26" i="12"/>
  <c r="AS26" i="12"/>
  <c r="Z26" i="12"/>
  <c r="FC25" i="12"/>
  <c r="EJ25" i="12"/>
  <c r="DQ25" i="12"/>
  <c r="CX25" i="12"/>
  <c r="CE25" i="12"/>
  <c r="BL25" i="12"/>
  <c r="AS25" i="12"/>
  <c r="Z25" i="12"/>
  <c r="FC24" i="12"/>
  <c r="EJ24" i="12"/>
  <c r="DQ24" i="12"/>
  <c r="CX24" i="12"/>
  <c r="CE24" i="12"/>
  <c r="BL24" i="12"/>
  <c r="AS24" i="12"/>
  <c r="Z24" i="12"/>
  <c r="FC23" i="12"/>
  <c r="EJ23" i="12"/>
  <c r="DQ23" i="12"/>
  <c r="CX23" i="12"/>
  <c r="CE23" i="12"/>
  <c r="BL23" i="12"/>
  <c r="AS23" i="12"/>
  <c r="Z23" i="12"/>
  <c r="FC22" i="12"/>
  <c r="EJ22" i="12"/>
  <c r="DQ22" i="12"/>
  <c r="CX22" i="12"/>
  <c r="CE22" i="12"/>
  <c r="BL22" i="12"/>
  <c r="AS22" i="12"/>
  <c r="Z22" i="12"/>
  <c r="FC21" i="12"/>
  <c r="EJ21" i="12"/>
  <c r="DQ21" i="12"/>
  <c r="CX21" i="12"/>
  <c r="CE21" i="12"/>
  <c r="BL21" i="12"/>
  <c r="AS21" i="12"/>
  <c r="Z21" i="12"/>
  <c r="FC20" i="12"/>
  <c r="EJ20" i="12"/>
  <c r="DQ20" i="12"/>
  <c r="CX20" i="12"/>
  <c r="CE20" i="12"/>
  <c r="BL20" i="12"/>
  <c r="AS20" i="12"/>
  <c r="Z20" i="12"/>
  <c r="FC19" i="12"/>
  <c r="EJ19" i="12"/>
  <c r="DQ19" i="12"/>
  <c r="CX19" i="12"/>
  <c r="CE19" i="12"/>
  <c r="BL19" i="12"/>
  <c r="AS19" i="12"/>
  <c r="Z19" i="12"/>
  <c r="FC18" i="12"/>
  <c r="EJ18" i="12"/>
  <c r="DQ18" i="12"/>
  <c r="CX18" i="12"/>
  <c r="CE18" i="12"/>
  <c r="BL18" i="12"/>
  <c r="AS18" i="12"/>
  <c r="Z18" i="12"/>
  <c r="FC17" i="12"/>
  <c r="EJ17" i="12"/>
  <c r="DQ17" i="12"/>
  <c r="CX17" i="12"/>
  <c r="CE17" i="12"/>
  <c r="BL17" i="12"/>
  <c r="AS17" i="12"/>
  <c r="Z17" i="12"/>
  <c r="FC16" i="12"/>
  <c r="EJ16" i="12"/>
  <c r="DQ16" i="12"/>
  <c r="CX16" i="12"/>
  <c r="CE16" i="12"/>
  <c r="BL16" i="12"/>
  <c r="AS16" i="12"/>
  <c r="Z16" i="12"/>
  <c r="FC15" i="12"/>
  <c r="EJ15" i="12"/>
  <c r="DQ15" i="12"/>
  <c r="CX15" i="12"/>
  <c r="CE15" i="12"/>
  <c r="BL15" i="12"/>
  <c r="AS15" i="12"/>
  <c r="Z15" i="12"/>
  <c r="FC14" i="12"/>
  <c r="EJ14" i="12"/>
  <c r="DQ14" i="12"/>
  <c r="CX14" i="12"/>
  <c r="CE14" i="12"/>
  <c r="BL14" i="12"/>
  <c r="AS14" i="12"/>
  <c r="Z14" i="12"/>
  <c r="FM12" i="12"/>
  <c r="FK12" i="12"/>
  <c r="FJ12" i="12" s="1"/>
  <c r="FI12" i="12" s="1"/>
  <c r="FH12" i="12"/>
  <c r="FG12" i="12" s="1"/>
  <c r="FF12" i="12" s="1"/>
  <c r="DY12" i="12"/>
  <c r="DX12" i="12" s="1"/>
  <c r="DW12" i="12" s="1"/>
  <c r="CO12" i="12"/>
  <c r="BV12" i="12"/>
  <c r="BT12" i="12"/>
  <c r="BS12" i="12" s="1"/>
  <c r="BR12" i="12" s="1"/>
  <c r="BQ12" i="12"/>
  <c r="BP12" i="12" s="1"/>
  <c r="BO12" i="12" s="1"/>
  <c r="L12" i="12"/>
  <c r="K12" i="12"/>
  <c r="J12" i="12"/>
  <c r="FB11" i="12"/>
  <c r="DP11" i="12"/>
  <c r="BK11" i="12"/>
  <c r="A11" i="12"/>
  <c r="AJ9" i="12"/>
  <c r="AJ7" i="12"/>
  <c r="AJ5" i="12"/>
  <c r="AJ4" i="12"/>
  <c r="FL12" i="9"/>
  <c r="ES12" i="9"/>
  <c r="ER12" i="9" s="1"/>
  <c r="EQ12" i="9" s="1"/>
  <c r="EP12" i="9" s="1"/>
  <c r="DZ12" i="9"/>
  <c r="DG12" i="9"/>
  <c r="CN12" i="9"/>
  <c r="CO12" i="9" s="1"/>
  <c r="BU12" i="9"/>
  <c r="AJ4" i="9" s="1"/>
  <c r="BB12" i="9"/>
  <c r="AR11" i="9" s="1"/>
  <c r="AI12" i="9"/>
  <c r="AE12" i="9" s="1"/>
  <c r="B10" i="9"/>
  <c r="B3" i="9"/>
  <c r="B2" i="9"/>
  <c r="AJ12" i="9"/>
  <c r="AJ2" i="9" s="1"/>
  <c r="AH12" i="9"/>
  <c r="AG12" i="9" s="1"/>
  <c r="AF12" i="9" s="1"/>
  <c r="L12" i="9"/>
  <c r="K12" i="9"/>
  <c r="J12" i="9"/>
  <c r="Y11" i="9"/>
  <c r="A11" i="9"/>
  <c r="AJ8" i="9"/>
  <c r="AJ6" i="9"/>
  <c r="Y6" i="9"/>
  <c r="Y5" i="9"/>
  <c r="Y4" i="9"/>
  <c r="Y3" i="9"/>
  <c r="Y2" i="9"/>
  <c r="AX12" i="12" l="1"/>
  <c r="AW12" i="12" s="1"/>
  <c r="AV12" i="12" s="1"/>
  <c r="BQ12" i="9"/>
  <c r="BP12" i="9" s="1"/>
  <c r="BO12" i="9" s="1"/>
  <c r="EI11" i="9"/>
  <c r="ET12" i="9"/>
  <c r="CD11" i="9"/>
  <c r="AJ5" i="9"/>
  <c r="BC12" i="9"/>
  <c r="CJ12" i="9"/>
  <c r="CI12" i="9" s="1"/>
  <c r="CH12" i="9" s="1"/>
  <c r="AJ3" i="9"/>
  <c r="CM12" i="9"/>
  <c r="CL12" i="9" s="1"/>
  <c r="CK12" i="9" s="1"/>
  <c r="BX198" i="9" s="1"/>
  <c r="AX12" i="9"/>
  <c r="ER12" i="12"/>
  <c r="EQ12" i="12" s="1"/>
  <c r="EP12" i="12" s="1"/>
  <c r="EI11" i="12"/>
  <c r="AJ8" i="12"/>
  <c r="DJ361" i="12"/>
  <c r="DJ362" i="12"/>
  <c r="DJ363" i="12"/>
  <c r="DJ360" i="12"/>
  <c r="DJ359" i="12"/>
  <c r="DJ355" i="12"/>
  <c r="DJ356" i="12"/>
  <c r="DJ354" i="12"/>
  <c r="DJ358" i="12"/>
  <c r="DJ352" i="12"/>
  <c r="DJ353" i="12"/>
  <c r="DJ357" i="12"/>
  <c r="DJ348" i="12"/>
  <c r="DJ351" i="12"/>
  <c r="DJ345" i="12"/>
  <c r="DJ350" i="12"/>
  <c r="DJ346" i="12"/>
  <c r="DJ342" i="12"/>
  <c r="DJ338" i="12"/>
  <c r="DJ344" i="12"/>
  <c r="DJ349" i="12"/>
  <c r="DJ347" i="12"/>
  <c r="DJ340" i="12"/>
  <c r="DJ343" i="12"/>
  <c r="DJ341" i="12"/>
  <c r="DJ337" i="12"/>
  <c r="DJ334" i="12"/>
  <c r="DJ335" i="12"/>
  <c r="DJ336" i="12"/>
  <c r="DJ332" i="12"/>
  <c r="DJ333" i="12"/>
  <c r="DJ328" i="12"/>
  <c r="DJ324" i="12"/>
  <c r="DJ329" i="12"/>
  <c r="DJ330" i="12"/>
  <c r="DJ331" i="12"/>
  <c r="DJ326" i="12"/>
  <c r="DJ339" i="12"/>
  <c r="DJ327" i="12"/>
  <c r="DJ321" i="12"/>
  <c r="DJ325" i="12"/>
  <c r="DJ322" i="12"/>
  <c r="DJ323" i="12"/>
  <c r="DJ319" i="12"/>
  <c r="DJ320" i="12"/>
  <c r="DJ314" i="12"/>
  <c r="DJ315" i="12"/>
  <c r="DJ317" i="12"/>
  <c r="DJ316" i="12"/>
  <c r="DJ318" i="12"/>
  <c r="DJ313" i="12"/>
  <c r="DJ308" i="12"/>
  <c r="DJ311" i="12"/>
  <c r="DJ309" i="12"/>
  <c r="DJ305" i="12"/>
  <c r="DJ312" i="12"/>
  <c r="DJ306" i="12"/>
  <c r="DJ310" i="12"/>
  <c r="DJ302" i="12"/>
  <c r="DJ298" i="12"/>
  <c r="DJ294" i="12"/>
  <c r="DJ307" i="12"/>
  <c r="DJ303" i="12"/>
  <c r="DJ299" i="12"/>
  <c r="DJ295" i="12"/>
  <c r="DJ300" i="12"/>
  <c r="DJ296" i="12"/>
  <c r="DJ292" i="12"/>
  <c r="DJ304" i="12"/>
  <c r="DJ301" i="12"/>
  <c r="DJ297" i="12"/>
  <c r="DJ293" i="12"/>
  <c r="DJ287" i="12"/>
  <c r="DJ283" i="12"/>
  <c r="DJ288" i="12"/>
  <c r="DJ284" i="12"/>
  <c r="DJ280" i="12"/>
  <c r="DJ291" i="12"/>
  <c r="DJ289" i="12"/>
  <c r="DJ285" i="12"/>
  <c r="DJ281" i="12"/>
  <c r="DJ286" i="12"/>
  <c r="DJ282" i="12"/>
  <c r="DJ278" i="12"/>
  <c r="DJ276" i="12"/>
  <c r="DJ274" i="12"/>
  <c r="DJ270" i="12"/>
  <c r="DJ266" i="12"/>
  <c r="DJ290" i="12"/>
  <c r="DJ277" i="12"/>
  <c r="DJ275" i="12"/>
  <c r="DJ271" i="12"/>
  <c r="DJ267" i="12"/>
  <c r="DJ272" i="12"/>
  <c r="DJ268" i="12"/>
  <c r="DJ264" i="12"/>
  <c r="DJ279" i="12"/>
  <c r="DJ273" i="12"/>
  <c r="DJ269" i="12"/>
  <c r="DJ265" i="12"/>
  <c r="DJ261" i="12"/>
  <c r="DJ257" i="12"/>
  <c r="DJ253" i="12"/>
  <c r="DJ263" i="12"/>
  <c r="DJ262" i="12"/>
  <c r="DJ258" i="12"/>
  <c r="DJ254" i="12"/>
  <c r="DJ250" i="12"/>
  <c r="DJ259" i="12"/>
  <c r="DJ255" i="12"/>
  <c r="DJ251" i="12"/>
  <c r="DJ252" i="12"/>
  <c r="DJ247" i="12"/>
  <c r="DJ243" i="12"/>
  <c r="DJ239" i="12"/>
  <c r="DJ235" i="12"/>
  <c r="DJ256" i="12"/>
  <c r="DJ248" i="12"/>
  <c r="DJ260" i="12"/>
  <c r="DJ244" i="12"/>
  <c r="DJ240" i="12"/>
  <c r="DJ236" i="12"/>
  <c r="DJ249" i="12"/>
  <c r="DJ245" i="12"/>
  <c r="DJ241" i="12"/>
  <c r="DJ237" i="12"/>
  <c r="DJ246" i="12"/>
  <c r="DJ242" i="12"/>
  <c r="DJ238" i="12"/>
  <c r="DJ234" i="12"/>
  <c r="DJ231" i="12"/>
  <c r="DJ227" i="12"/>
  <c r="DJ232" i="12"/>
  <c r="DJ228" i="12"/>
  <c r="DJ224" i="12"/>
  <c r="DJ233" i="12"/>
  <c r="DJ229" i="12"/>
  <c r="DJ225" i="12"/>
  <c r="DJ221" i="12"/>
  <c r="DJ222" i="12"/>
  <c r="DJ218" i="12"/>
  <c r="DJ214" i="12"/>
  <c r="DJ223" i="12"/>
  <c r="DJ219" i="12"/>
  <c r="DJ215" i="12"/>
  <c r="DJ211" i="12"/>
  <c r="DJ216" i="12"/>
  <c r="DJ212" i="12"/>
  <c r="DJ208" i="12"/>
  <c r="DJ230" i="12"/>
  <c r="DJ210" i="12"/>
  <c r="DJ202" i="12"/>
  <c r="DJ198" i="12"/>
  <c r="DJ194" i="12"/>
  <c r="DJ213" i="12"/>
  <c r="DJ203" i="12"/>
  <c r="DJ199" i="12"/>
  <c r="DJ195" i="12"/>
  <c r="DJ204" i="12"/>
  <c r="DJ200" i="12"/>
  <c r="DJ196" i="12"/>
  <c r="DJ220" i="12"/>
  <c r="DJ205" i="12"/>
  <c r="DJ201" i="12"/>
  <c r="DJ197" i="12"/>
  <c r="DJ217" i="12"/>
  <c r="DJ190" i="12"/>
  <c r="DJ186" i="12"/>
  <c r="DJ182" i="12"/>
  <c r="DJ178" i="12"/>
  <c r="DJ174" i="12"/>
  <c r="DJ226" i="12"/>
  <c r="DJ191" i="12"/>
  <c r="DJ209" i="12"/>
  <c r="DJ206" i="12"/>
  <c r="DJ192" i="12"/>
  <c r="DJ188" i="12"/>
  <c r="DJ184" i="12"/>
  <c r="DJ180" i="12"/>
  <c r="DJ176" i="12"/>
  <c r="DJ172" i="12"/>
  <c r="DJ168" i="12"/>
  <c r="DJ164" i="12"/>
  <c r="DJ163" i="12"/>
  <c r="DJ159" i="12"/>
  <c r="DJ155" i="12"/>
  <c r="DJ151" i="12"/>
  <c r="DJ147" i="12"/>
  <c r="DJ207" i="12"/>
  <c r="DJ169" i="12"/>
  <c r="DJ185" i="12"/>
  <c r="DJ183" i="12"/>
  <c r="DJ177" i="12"/>
  <c r="DJ175" i="12"/>
  <c r="DJ170" i="12"/>
  <c r="DJ167" i="12"/>
  <c r="DJ160" i="12"/>
  <c r="DJ156" i="12"/>
  <c r="DJ152" i="12"/>
  <c r="DJ148" i="12"/>
  <c r="DJ193" i="12"/>
  <c r="DJ161" i="12"/>
  <c r="DJ157" i="12"/>
  <c r="DJ153" i="12"/>
  <c r="DJ149" i="12"/>
  <c r="DJ145" i="12"/>
  <c r="DJ165" i="12"/>
  <c r="DJ189" i="12"/>
  <c r="DJ171" i="12"/>
  <c r="DJ154" i="12"/>
  <c r="DJ166" i="12"/>
  <c r="DJ142" i="12"/>
  <c r="DJ138" i="12"/>
  <c r="DJ134" i="12"/>
  <c r="DJ130" i="12"/>
  <c r="DJ126" i="12"/>
  <c r="DJ179" i="12"/>
  <c r="DJ173" i="12"/>
  <c r="DJ143" i="12"/>
  <c r="DJ139" i="12"/>
  <c r="DJ135" i="12"/>
  <c r="DJ131" i="12"/>
  <c r="DJ162" i="12"/>
  <c r="DJ144" i="12"/>
  <c r="DJ140" i="12"/>
  <c r="DJ136" i="12"/>
  <c r="DJ132" i="12"/>
  <c r="DJ128" i="12"/>
  <c r="DJ124" i="12"/>
  <c r="DJ120" i="12"/>
  <c r="DJ187" i="12"/>
  <c r="DJ181" i="12"/>
  <c r="DJ158" i="12"/>
  <c r="DJ150" i="12"/>
  <c r="DJ133" i="12"/>
  <c r="DJ119" i="12"/>
  <c r="DJ115" i="12"/>
  <c r="DJ141" i="12"/>
  <c r="DJ129" i="12"/>
  <c r="DJ125" i="12"/>
  <c r="DJ122" i="12"/>
  <c r="DJ116" i="12"/>
  <c r="DJ146" i="12"/>
  <c r="DJ117" i="12"/>
  <c r="DJ113" i="12"/>
  <c r="DJ137" i="12"/>
  <c r="DJ127" i="12"/>
  <c r="DJ123" i="12"/>
  <c r="DJ118" i="12"/>
  <c r="DJ114" i="12"/>
  <c r="DJ111" i="12"/>
  <c r="DJ107" i="12"/>
  <c r="DJ103" i="12"/>
  <c r="DJ99" i="12"/>
  <c r="DJ95" i="12"/>
  <c r="DJ91" i="12"/>
  <c r="DJ87" i="12"/>
  <c r="DJ83" i="12"/>
  <c r="DJ108" i="12"/>
  <c r="DJ104" i="12"/>
  <c r="DJ100" i="12"/>
  <c r="DJ96" i="12"/>
  <c r="DJ92" i="12"/>
  <c r="DJ121" i="12"/>
  <c r="DJ112" i="12"/>
  <c r="DJ109" i="12"/>
  <c r="DJ105" i="12"/>
  <c r="DJ101" i="12"/>
  <c r="DJ97" i="12"/>
  <c r="DJ93" i="12"/>
  <c r="DJ89" i="12"/>
  <c r="DJ85" i="12"/>
  <c r="DJ110" i="12"/>
  <c r="DJ106" i="12"/>
  <c r="DJ102" i="12"/>
  <c r="DJ98" i="12"/>
  <c r="DJ94" i="12"/>
  <c r="DJ90" i="12"/>
  <c r="DJ86" i="12"/>
  <c r="DJ82" i="12"/>
  <c r="DJ80" i="12"/>
  <c r="DJ76" i="12"/>
  <c r="DJ72" i="12"/>
  <c r="DJ68" i="12"/>
  <c r="DJ64" i="12"/>
  <c r="DJ60" i="12"/>
  <c r="DJ56" i="12"/>
  <c r="DJ52" i="12"/>
  <c r="DJ81" i="12"/>
  <c r="DJ77" i="12"/>
  <c r="DJ73" i="12"/>
  <c r="DJ69" i="12"/>
  <c r="DJ65" i="12"/>
  <c r="DJ61" i="12"/>
  <c r="DJ57" i="12"/>
  <c r="DJ78" i="12"/>
  <c r="DJ74" i="12"/>
  <c r="DJ70" i="12"/>
  <c r="DJ66" i="12"/>
  <c r="DJ62" i="12"/>
  <c r="DJ58" i="12"/>
  <c r="DJ54" i="12"/>
  <c r="DJ79" i="12"/>
  <c r="DJ75" i="12"/>
  <c r="DJ71" i="12"/>
  <c r="DJ67" i="12"/>
  <c r="DJ63" i="12"/>
  <c r="DJ59" i="12"/>
  <c r="DJ55" i="12"/>
  <c r="DJ84" i="12"/>
  <c r="DJ48" i="12"/>
  <c r="DJ44" i="12"/>
  <c r="DJ40" i="12"/>
  <c r="DJ36" i="12"/>
  <c r="DJ32" i="12"/>
  <c r="DJ28" i="12"/>
  <c r="DJ24" i="12"/>
  <c r="DJ53" i="12"/>
  <c r="DJ49" i="12"/>
  <c r="DJ45" i="12"/>
  <c r="DJ41" i="12"/>
  <c r="DJ37" i="12"/>
  <c r="DJ33" i="12"/>
  <c r="DJ29" i="12"/>
  <c r="DJ25" i="12"/>
  <c r="DJ50" i="12"/>
  <c r="DJ46" i="12"/>
  <c r="DJ42" i="12"/>
  <c r="DJ38" i="12"/>
  <c r="DJ34" i="12"/>
  <c r="DJ30" i="12"/>
  <c r="DJ26" i="12"/>
  <c r="DJ22" i="12"/>
  <c r="DJ88" i="12"/>
  <c r="DJ20" i="12"/>
  <c r="DJ51" i="12"/>
  <c r="DJ21" i="12"/>
  <c r="DJ17" i="12"/>
  <c r="DJ39" i="12"/>
  <c r="DJ31" i="12"/>
  <c r="DJ23" i="12"/>
  <c r="DJ43" i="12"/>
  <c r="DJ35" i="12"/>
  <c r="DJ27" i="12"/>
  <c r="DJ18" i="12"/>
  <c r="DJ14" i="12"/>
  <c r="DJ47" i="12"/>
  <c r="DJ19" i="12"/>
  <c r="DJ15" i="12"/>
  <c r="DJ13" i="12"/>
  <c r="DJ16" i="12"/>
  <c r="AB12" i="12"/>
  <c r="BE362" i="12"/>
  <c r="BE363" i="12"/>
  <c r="BE361" i="12"/>
  <c r="BE360" i="12"/>
  <c r="BE359" i="12"/>
  <c r="BE357" i="12"/>
  <c r="BE358" i="12"/>
  <c r="BE356" i="12"/>
  <c r="BE355" i="12"/>
  <c r="BE353" i="12"/>
  <c r="BE354" i="12"/>
  <c r="BE352" i="12"/>
  <c r="BE351" i="12"/>
  <c r="BE349" i="12"/>
  <c r="BE350" i="12"/>
  <c r="BE346" i="12"/>
  <c r="BE347" i="12"/>
  <c r="BE343" i="12"/>
  <c r="BE339" i="12"/>
  <c r="BE348" i="12"/>
  <c r="BE345" i="12"/>
  <c r="BE342" i="12"/>
  <c r="BE344" i="12"/>
  <c r="BE341" i="12"/>
  <c r="BE338" i="12"/>
  <c r="BE335" i="12"/>
  <c r="BE331" i="12"/>
  <c r="BE336" i="12"/>
  <c r="BE333" i="12"/>
  <c r="BE337" i="12"/>
  <c r="BE334" i="12"/>
  <c r="BE340" i="12"/>
  <c r="BE329" i="12"/>
  <c r="BE325" i="12"/>
  <c r="BE330" i="12"/>
  <c r="BE327" i="12"/>
  <c r="BE332" i="12"/>
  <c r="BE328" i="12"/>
  <c r="BE322" i="12"/>
  <c r="BE323" i="12"/>
  <c r="BE320" i="12"/>
  <c r="BE326" i="12"/>
  <c r="BE321" i="12"/>
  <c r="BE317" i="12"/>
  <c r="BE315" i="12"/>
  <c r="BE324" i="12"/>
  <c r="BE316" i="12"/>
  <c r="BE318" i="12"/>
  <c r="BE313" i="12"/>
  <c r="BE319" i="12"/>
  <c r="BE314" i="12"/>
  <c r="BE310" i="12"/>
  <c r="BE312" i="12"/>
  <c r="BE309" i="12"/>
  <c r="BE306" i="12"/>
  <c r="BE311" i="12"/>
  <c r="BE307" i="12"/>
  <c r="BE308" i="12"/>
  <c r="BE303" i="12"/>
  <c r="BE299" i="12"/>
  <c r="BE295" i="12"/>
  <c r="BE300" i="12"/>
  <c r="BE296" i="12"/>
  <c r="BE305" i="12"/>
  <c r="BE301" i="12"/>
  <c r="BE297" i="12"/>
  <c r="BE293" i="12"/>
  <c r="BE304" i="12"/>
  <c r="BE302" i="12"/>
  <c r="BE298" i="12"/>
  <c r="BE294" i="12"/>
  <c r="BE290" i="12"/>
  <c r="BE288" i="12"/>
  <c r="BE284" i="12"/>
  <c r="BE289" i="12"/>
  <c r="BE285" i="12"/>
  <c r="BE281" i="12"/>
  <c r="BE286" i="12"/>
  <c r="BE282" i="12"/>
  <c r="BE291" i="12"/>
  <c r="BE287" i="12"/>
  <c r="BE283" i="12"/>
  <c r="BE279" i="12"/>
  <c r="BE275" i="12"/>
  <c r="BE271" i="12"/>
  <c r="BE267" i="12"/>
  <c r="BE277" i="12"/>
  <c r="BE276" i="12"/>
  <c r="BE272" i="12"/>
  <c r="BE268" i="12"/>
  <c r="BE264" i="12"/>
  <c r="BE292" i="12"/>
  <c r="BE280" i="12"/>
  <c r="BE273" i="12"/>
  <c r="BE269" i="12"/>
  <c r="BE265" i="12"/>
  <c r="BE274" i="12"/>
  <c r="BE270" i="12"/>
  <c r="BE266" i="12"/>
  <c r="BE262" i="12"/>
  <c r="BE258" i="12"/>
  <c r="BE254" i="12"/>
  <c r="BE263" i="12"/>
  <c r="BE259" i="12"/>
  <c r="BE255" i="12"/>
  <c r="BE251" i="12"/>
  <c r="BE278" i="12"/>
  <c r="BE260" i="12"/>
  <c r="BE256" i="12"/>
  <c r="BE252" i="12"/>
  <c r="BE261" i="12"/>
  <c r="BE244" i="12"/>
  <c r="BE240" i="12"/>
  <c r="BE236" i="12"/>
  <c r="BE249" i="12"/>
  <c r="BE248" i="12"/>
  <c r="BE250" i="12"/>
  <c r="BE245" i="12"/>
  <c r="BE241" i="12"/>
  <c r="BE237" i="12"/>
  <c r="BE246" i="12"/>
  <c r="BE242" i="12"/>
  <c r="BE238" i="12"/>
  <c r="BE234" i="12"/>
  <c r="BE247" i="12"/>
  <c r="BE243" i="12"/>
  <c r="BE239" i="12"/>
  <c r="BE235" i="12"/>
  <c r="BE232" i="12"/>
  <c r="BE228" i="12"/>
  <c r="BE233" i="12"/>
  <c r="BE229" i="12"/>
  <c r="BE225" i="12"/>
  <c r="BE257" i="12"/>
  <c r="BE230" i="12"/>
  <c r="BE226" i="12"/>
  <c r="BE222" i="12"/>
  <c r="BE253" i="12"/>
  <c r="BE223" i="12"/>
  <c r="BE219" i="12"/>
  <c r="BE215" i="12"/>
  <c r="BE211" i="12"/>
  <c r="BE224" i="12"/>
  <c r="BE220" i="12"/>
  <c r="BE216" i="12"/>
  <c r="BE212" i="12"/>
  <c r="BE231" i="12"/>
  <c r="BE227" i="12"/>
  <c r="BE217" i="12"/>
  <c r="BE213" i="12"/>
  <c r="BE209" i="12"/>
  <c r="BE221" i="12"/>
  <c r="BE218" i="12"/>
  <c r="BE203" i="12"/>
  <c r="BE199" i="12"/>
  <c r="BE195" i="12"/>
  <c r="BE206" i="12"/>
  <c r="BE204" i="12"/>
  <c r="BE200" i="12"/>
  <c r="BE196" i="12"/>
  <c r="BE214" i="12"/>
  <c r="BE207" i="12"/>
  <c r="BE208" i="12"/>
  <c r="BE205" i="12"/>
  <c r="BE201" i="12"/>
  <c r="BE197" i="12"/>
  <c r="BE202" i="12"/>
  <c r="BE198" i="12"/>
  <c r="BE191" i="12"/>
  <c r="BE187" i="12"/>
  <c r="BE183" i="12"/>
  <c r="BE179" i="12"/>
  <c r="BE175" i="12"/>
  <c r="BE171" i="12"/>
  <c r="BE192" i="12"/>
  <c r="BE193" i="12"/>
  <c r="BE189" i="12"/>
  <c r="BE185" i="12"/>
  <c r="BE181" i="12"/>
  <c r="BE177" i="12"/>
  <c r="BE173" i="12"/>
  <c r="BE169" i="12"/>
  <c r="BE165" i="12"/>
  <c r="BE210" i="12"/>
  <c r="BE188" i="12"/>
  <c r="BE180" i="12"/>
  <c r="BE160" i="12"/>
  <c r="BE156" i="12"/>
  <c r="BE152" i="12"/>
  <c r="BE148" i="12"/>
  <c r="BE172" i="12"/>
  <c r="BE166" i="12"/>
  <c r="BE194" i="12"/>
  <c r="BE164" i="12"/>
  <c r="BE161" i="12"/>
  <c r="BE157" i="12"/>
  <c r="BE153" i="12"/>
  <c r="BE149" i="12"/>
  <c r="BE145" i="12"/>
  <c r="BE186" i="12"/>
  <c r="BE178" i="12"/>
  <c r="BE184" i="12"/>
  <c r="BE176" i="12"/>
  <c r="BE167" i="12"/>
  <c r="BE162" i="12"/>
  <c r="BE158" i="12"/>
  <c r="BE154" i="12"/>
  <c r="BE150" i="12"/>
  <c r="BE146" i="12"/>
  <c r="BE170" i="12"/>
  <c r="BE174" i="12"/>
  <c r="BE168" i="12"/>
  <c r="BE155" i="12"/>
  <c r="BE147" i="12"/>
  <c r="BE143" i="12"/>
  <c r="BE139" i="12"/>
  <c r="BE135" i="12"/>
  <c r="BE131" i="12"/>
  <c r="BE127" i="12"/>
  <c r="BE151" i="12"/>
  <c r="BE144" i="12"/>
  <c r="BE140" i="12"/>
  <c r="BE136" i="12"/>
  <c r="BE132" i="12"/>
  <c r="BE190" i="12"/>
  <c r="BE182" i="12"/>
  <c r="BE163" i="12"/>
  <c r="BE141" i="12"/>
  <c r="BE137" i="12"/>
  <c r="BE133" i="12"/>
  <c r="BE129" i="12"/>
  <c r="BE125" i="12"/>
  <c r="BE121" i="12"/>
  <c r="BE120" i="12"/>
  <c r="BE116" i="12"/>
  <c r="BE134" i="12"/>
  <c r="BE124" i="12"/>
  <c r="BE117" i="12"/>
  <c r="BE159" i="12"/>
  <c r="BE142" i="12"/>
  <c r="BE118" i="12"/>
  <c r="BE114" i="12"/>
  <c r="BE123" i="12"/>
  <c r="BE128" i="12"/>
  <c r="BE119" i="12"/>
  <c r="BE115" i="12"/>
  <c r="BE138" i="12"/>
  <c r="BE130" i="12"/>
  <c r="BE108" i="12"/>
  <c r="BE104" i="12"/>
  <c r="BE100" i="12"/>
  <c r="BE96" i="12"/>
  <c r="BE92" i="12"/>
  <c r="BE88" i="12"/>
  <c r="BE84" i="12"/>
  <c r="BE109" i="12"/>
  <c r="BE105" i="12"/>
  <c r="BE101" i="12"/>
  <c r="BE97" i="12"/>
  <c r="BE93" i="12"/>
  <c r="BE126" i="12"/>
  <c r="BE112" i="12"/>
  <c r="BE110" i="12"/>
  <c r="BE106" i="12"/>
  <c r="BE102" i="12"/>
  <c r="BE98" i="12"/>
  <c r="BE94" i="12"/>
  <c r="BE90" i="12"/>
  <c r="BE86" i="12"/>
  <c r="BE113" i="12"/>
  <c r="BE111" i="12"/>
  <c r="BE107" i="12"/>
  <c r="BE103" i="12"/>
  <c r="BE99" i="12"/>
  <c r="BE95" i="12"/>
  <c r="BE91" i="12"/>
  <c r="BE87" i="12"/>
  <c r="BE83" i="12"/>
  <c r="BE122" i="12"/>
  <c r="BE81" i="12"/>
  <c r="BE77" i="12"/>
  <c r="BE73" i="12"/>
  <c r="BE69" i="12"/>
  <c r="BE65" i="12"/>
  <c r="BE61" i="12"/>
  <c r="BE57" i="12"/>
  <c r="BE53" i="12"/>
  <c r="BE78" i="12"/>
  <c r="BE74" i="12"/>
  <c r="BE70" i="12"/>
  <c r="BE66" i="12"/>
  <c r="BE62" i="12"/>
  <c r="BE58" i="12"/>
  <c r="BE82" i="12"/>
  <c r="BE79" i="12"/>
  <c r="BE75" i="12"/>
  <c r="BE71" i="12"/>
  <c r="BE67" i="12"/>
  <c r="BE63" i="12"/>
  <c r="BE59" i="12"/>
  <c r="BE55" i="12"/>
  <c r="BE51" i="12"/>
  <c r="BE89" i="12"/>
  <c r="BE85" i="12"/>
  <c r="BE80" i="12"/>
  <c r="BE76" i="12"/>
  <c r="BE72" i="12"/>
  <c r="BE68" i="12"/>
  <c r="BE64" i="12"/>
  <c r="BE60" i="12"/>
  <c r="BE56" i="12"/>
  <c r="BE52" i="12"/>
  <c r="BE49" i="12"/>
  <c r="BE45" i="12"/>
  <c r="BE41" i="12"/>
  <c r="BE37" i="12"/>
  <c r="BE33" i="12"/>
  <c r="BE29" i="12"/>
  <c r="BE25" i="12"/>
  <c r="BE54" i="12"/>
  <c r="BE50" i="12"/>
  <c r="BE46" i="12"/>
  <c r="BE42" i="12"/>
  <c r="BE38" i="12"/>
  <c r="BE34" i="12"/>
  <c r="BE30" i="12"/>
  <c r="BE26" i="12"/>
  <c r="BE47" i="12"/>
  <c r="BE43" i="12"/>
  <c r="BE39" i="12"/>
  <c r="BE35" i="12"/>
  <c r="BE31" i="12"/>
  <c r="BE27" i="12"/>
  <c r="BE23" i="12"/>
  <c r="BE48" i="12"/>
  <c r="BE36" i="12"/>
  <c r="BE32" i="12"/>
  <c r="BE28" i="12"/>
  <c r="BE22" i="12"/>
  <c r="BE18" i="12"/>
  <c r="BE14" i="12"/>
  <c r="BE44" i="12"/>
  <c r="BE19" i="12"/>
  <c r="BE15" i="12"/>
  <c r="BE21" i="12"/>
  <c r="BE13" i="12"/>
  <c r="BE20" i="12"/>
  <c r="BE16" i="12"/>
  <c r="BE17" i="12"/>
  <c r="BE40" i="12"/>
  <c r="BE24" i="12"/>
  <c r="EC362" i="12"/>
  <c r="EC363" i="12"/>
  <c r="EC360" i="12"/>
  <c r="EC361" i="12"/>
  <c r="EC359" i="12"/>
  <c r="EC357" i="12"/>
  <c r="EC356" i="12"/>
  <c r="EC355" i="12"/>
  <c r="EC354" i="12"/>
  <c r="EC358" i="12"/>
  <c r="EC353" i="12"/>
  <c r="EC351" i="12"/>
  <c r="EC349" i="12"/>
  <c r="EC346" i="12"/>
  <c r="EC342" i="12"/>
  <c r="EC350" i="12"/>
  <c r="EC348" i="12"/>
  <c r="EC347" i="12"/>
  <c r="EC343" i="12"/>
  <c r="EC341" i="12"/>
  <c r="EC339" i="12"/>
  <c r="EC352" i="12"/>
  <c r="EC345" i="12"/>
  <c r="EC344" i="12"/>
  <c r="EC338" i="12"/>
  <c r="EC335" i="12"/>
  <c r="EC331" i="12"/>
  <c r="EC340" i="12"/>
  <c r="EC336" i="12"/>
  <c r="EC337" i="12"/>
  <c r="EC333" i="12"/>
  <c r="EC334" i="12"/>
  <c r="EC332" i="12"/>
  <c r="EC329" i="12"/>
  <c r="EC325" i="12"/>
  <c r="EC327" i="12"/>
  <c r="EC328" i="12"/>
  <c r="EC324" i="12"/>
  <c r="EC322" i="12"/>
  <c r="EC326" i="12"/>
  <c r="EC323" i="12"/>
  <c r="EC320" i="12"/>
  <c r="EC321" i="12"/>
  <c r="EC317" i="12"/>
  <c r="EC315" i="12"/>
  <c r="EC316" i="12"/>
  <c r="EC313" i="12"/>
  <c r="EC330" i="12"/>
  <c r="EC318" i="12"/>
  <c r="EC314" i="12"/>
  <c r="EC310" i="12"/>
  <c r="EC312" i="12"/>
  <c r="EC309" i="12"/>
  <c r="EC305" i="12"/>
  <c r="EC319" i="12"/>
  <c r="EC306" i="12"/>
  <c r="EC311" i="12"/>
  <c r="EC307" i="12"/>
  <c r="EC299" i="12"/>
  <c r="EC295" i="12"/>
  <c r="EC308" i="12"/>
  <c r="EC303" i="12"/>
  <c r="EC300" i="12"/>
  <c r="EC296" i="12"/>
  <c r="EC292" i="12"/>
  <c r="EC301" i="12"/>
  <c r="EC297" i="12"/>
  <c r="EC293" i="12"/>
  <c r="EC304" i="12"/>
  <c r="EC302" i="12"/>
  <c r="EC298" i="12"/>
  <c r="EC294" i="12"/>
  <c r="EC290" i="12"/>
  <c r="EC288" i="12"/>
  <c r="EC284" i="12"/>
  <c r="EC289" i="12"/>
  <c r="EC285" i="12"/>
  <c r="EC281" i="12"/>
  <c r="EC286" i="12"/>
  <c r="EC282" i="12"/>
  <c r="EC291" i="12"/>
  <c r="EC287" i="12"/>
  <c r="EC283" i="12"/>
  <c r="EC279" i="12"/>
  <c r="EC278" i="12"/>
  <c r="EC275" i="12"/>
  <c r="EC271" i="12"/>
  <c r="EC267" i="12"/>
  <c r="EC263" i="12"/>
  <c r="EC276" i="12"/>
  <c r="EC272" i="12"/>
  <c r="EC268" i="12"/>
  <c r="EC264" i="12"/>
  <c r="EC280" i="12"/>
  <c r="EC277" i="12"/>
  <c r="EC273" i="12"/>
  <c r="EC269" i="12"/>
  <c r="EC265" i="12"/>
  <c r="EC274" i="12"/>
  <c r="EC270" i="12"/>
  <c r="EC266" i="12"/>
  <c r="EC262" i="12"/>
  <c r="EC258" i="12"/>
  <c r="EC254" i="12"/>
  <c r="EC259" i="12"/>
  <c r="EC255" i="12"/>
  <c r="EC251" i="12"/>
  <c r="EC260" i="12"/>
  <c r="EC256" i="12"/>
  <c r="EC252" i="12"/>
  <c r="EC253" i="12"/>
  <c r="EC244" i="12"/>
  <c r="EC240" i="12"/>
  <c r="EC236" i="12"/>
  <c r="EC257" i="12"/>
  <c r="EC261" i="12"/>
  <c r="EC249" i="12"/>
  <c r="EC245" i="12"/>
  <c r="EC241" i="12"/>
  <c r="EC237" i="12"/>
  <c r="EC246" i="12"/>
  <c r="EC242" i="12"/>
  <c r="EC238" i="12"/>
  <c r="EC234" i="12"/>
  <c r="EC250" i="12"/>
  <c r="EC248" i="12"/>
  <c r="EC247" i="12"/>
  <c r="EC243" i="12"/>
  <c r="EC239" i="12"/>
  <c r="EC235" i="12"/>
  <c r="EC232" i="12"/>
  <c r="EC228" i="12"/>
  <c r="EC233" i="12"/>
  <c r="EC229" i="12"/>
  <c r="EC225" i="12"/>
  <c r="EC230" i="12"/>
  <c r="EC226" i="12"/>
  <c r="EC222" i="12"/>
  <c r="EC221" i="12"/>
  <c r="EC219" i="12"/>
  <c r="EC215" i="12"/>
  <c r="EC211" i="12"/>
  <c r="EC223" i="12"/>
  <c r="EC216" i="12"/>
  <c r="EC212" i="12"/>
  <c r="EC231" i="12"/>
  <c r="EC224" i="12"/>
  <c r="EC220" i="12"/>
  <c r="EC217" i="12"/>
  <c r="EC213" i="12"/>
  <c r="EC209" i="12"/>
  <c r="EC218" i="12"/>
  <c r="EC210" i="12"/>
  <c r="EC203" i="12"/>
  <c r="EC199" i="12"/>
  <c r="EC195" i="12"/>
  <c r="EC206" i="12"/>
  <c r="EC204" i="12"/>
  <c r="EC200" i="12"/>
  <c r="EC196" i="12"/>
  <c r="EC227" i="12"/>
  <c r="EC214" i="12"/>
  <c r="EC207" i="12"/>
  <c r="EC205" i="12"/>
  <c r="EC201" i="12"/>
  <c r="EC197" i="12"/>
  <c r="EC202" i="12"/>
  <c r="EC198" i="12"/>
  <c r="EC194" i="12"/>
  <c r="EC191" i="12"/>
  <c r="EC187" i="12"/>
  <c r="EC183" i="12"/>
  <c r="EC179" i="12"/>
  <c r="EC175" i="12"/>
  <c r="EC171" i="12"/>
  <c r="EC192" i="12"/>
  <c r="EC193" i="12"/>
  <c r="EC189" i="12"/>
  <c r="EC185" i="12"/>
  <c r="EC181" i="12"/>
  <c r="EC177" i="12"/>
  <c r="EC173" i="12"/>
  <c r="EC169" i="12"/>
  <c r="EC165" i="12"/>
  <c r="EC208" i="12"/>
  <c r="EC168" i="12"/>
  <c r="EC160" i="12"/>
  <c r="EC156" i="12"/>
  <c r="EC152" i="12"/>
  <c r="EC148" i="12"/>
  <c r="EC190" i="12"/>
  <c r="EC182" i="12"/>
  <c r="EC174" i="12"/>
  <c r="EC188" i="12"/>
  <c r="EC180" i="12"/>
  <c r="EC166" i="12"/>
  <c r="EC161" i="12"/>
  <c r="EC157" i="12"/>
  <c r="EC153" i="12"/>
  <c r="EC149" i="12"/>
  <c r="EC145" i="12"/>
  <c r="EC172" i="12"/>
  <c r="EC164" i="12"/>
  <c r="EC162" i="12"/>
  <c r="EC158" i="12"/>
  <c r="EC154" i="12"/>
  <c r="EC150" i="12"/>
  <c r="EC146" i="12"/>
  <c r="EC186" i="12"/>
  <c r="EC178" i="12"/>
  <c r="EC167" i="12"/>
  <c r="EC184" i="12"/>
  <c r="EC170" i="12"/>
  <c r="EC163" i="12"/>
  <c r="EC143" i="12"/>
  <c r="EC139" i="12"/>
  <c r="EC135" i="12"/>
  <c r="EC131" i="12"/>
  <c r="EC127" i="12"/>
  <c r="EC159" i="12"/>
  <c r="EC144" i="12"/>
  <c r="EC140" i="12"/>
  <c r="EC136" i="12"/>
  <c r="EC132" i="12"/>
  <c r="EC176" i="12"/>
  <c r="EC155" i="12"/>
  <c r="EC147" i="12"/>
  <c r="EC141" i="12"/>
  <c r="EC137" i="12"/>
  <c r="EC133" i="12"/>
  <c r="EC129" i="12"/>
  <c r="EC125" i="12"/>
  <c r="EC121" i="12"/>
  <c r="EC151" i="12"/>
  <c r="EC138" i="12"/>
  <c r="EC116" i="12"/>
  <c r="EC130" i="12"/>
  <c r="EC126" i="12"/>
  <c r="EC122" i="12"/>
  <c r="EC117" i="12"/>
  <c r="EC134" i="12"/>
  <c r="EC124" i="12"/>
  <c r="EC118" i="12"/>
  <c r="EC114" i="12"/>
  <c r="EC142" i="12"/>
  <c r="EC123" i="12"/>
  <c r="EC120" i="12"/>
  <c r="EC119" i="12"/>
  <c r="EC115" i="12"/>
  <c r="EC128" i="12"/>
  <c r="EC113" i="12"/>
  <c r="EC108" i="12"/>
  <c r="EC104" i="12"/>
  <c r="EC100" i="12"/>
  <c r="EC96" i="12"/>
  <c r="EC92" i="12"/>
  <c r="EC88" i="12"/>
  <c r="EC84" i="12"/>
  <c r="EC109" i="12"/>
  <c r="EC105" i="12"/>
  <c r="EC101" i="12"/>
  <c r="EC97" i="12"/>
  <c r="EC93" i="12"/>
  <c r="EC110" i="12"/>
  <c r="EC106" i="12"/>
  <c r="EC102" i="12"/>
  <c r="EC98" i="12"/>
  <c r="EC94" i="12"/>
  <c r="EC90" i="12"/>
  <c r="EC86" i="12"/>
  <c r="EC82" i="12"/>
  <c r="EC112" i="12"/>
  <c r="EC111" i="12"/>
  <c r="EC107" i="12"/>
  <c r="EC103" i="12"/>
  <c r="EC99" i="12"/>
  <c r="EC95" i="12"/>
  <c r="EC91" i="12"/>
  <c r="EC87" i="12"/>
  <c r="EC83" i="12"/>
  <c r="EC89" i="12"/>
  <c r="EC85" i="12"/>
  <c r="EC81" i="12"/>
  <c r="EC77" i="12"/>
  <c r="EC73" i="12"/>
  <c r="EC69" i="12"/>
  <c r="EC65" i="12"/>
  <c r="EC61" i="12"/>
  <c r="EC57" i="12"/>
  <c r="EC53" i="12"/>
  <c r="EC78" i="12"/>
  <c r="EC74" i="12"/>
  <c r="EC70" i="12"/>
  <c r="EC66" i="12"/>
  <c r="EC62" i="12"/>
  <c r="EC58" i="12"/>
  <c r="EC79" i="12"/>
  <c r="EC75" i="12"/>
  <c r="EC71" i="12"/>
  <c r="EC67" i="12"/>
  <c r="EC63" i="12"/>
  <c r="EC59" i="12"/>
  <c r="EC55" i="12"/>
  <c r="EC51" i="12"/>
  <c r="EC80" i="12"/>
  <c r="EC76" i="12"/>
  <c r="EC72" i="12"/>
  <c r="EC68" i="12"/>
  <c r="EC64" i="12"/>
  <c r="EC60" i="12"/>
  <c r="EC56" i="12"/>
  <c r="EC49" i="12"/>
  <c r="EC45" i="12"/>
  <c r="EC41" i="12"/>
  <c r="EC37" i="12"/>
  <c r="EC33" i="12"/>
  <c r="EC29" i="12"/>
  <c r="EC25" i="12"/>
  <c r="EC52" i="12"/>
  <c r="EC50" i="12"/>
  <c r="EC46" i="12"/>
  <c r="EC42" i="12"/>
  <c r="EC38" i="12"/>
  <c r="EC34" i="12"/>
  <c r="EC30" i="12"/>
  <c r="EC26" i="12"/>
  <c r="EC54" i="12"/>
  <c r="EC47" i="12"/>
  <c r="EC43" i="12"/>
  <c r="EC39" i="12"/>
  <c r="EC35" i="12"/>
  <c r="EC31" i="12"/>
  <c r="EC27" i="12"/>
  <c r="EC23" i="12"/>
  <c r="EC24" i="12"/>
  <c r="EC21" i="12"/>
  <c r="EC40" i="12"/>
  <c r="EC18" i="12"/>
  <c r="EC14" i="12"/>
  <c r="EC22" i="12"/>
  <c r="EC48" i="12"/>
  <c r="EC36" i="12"/>
  <c r="EC32" i="12"/>
  <c r="EC19" i="12"/>
  <c r="EC15" i="12"/>
  <c r="EC17" i="12"/>
  <c r="EC28" i="12"/>
  <c r="EC13" i="12"/>
  <c r="EC20" i="12"/>
  <c r="EC16" i="12"/>
  <c r="EC44" i="12"/>
  <c r="AU12" i="12"/>
  <c r="FE12" i="12"/>
  <c r="EV363" i="12"/>
  <c r="EV360" i="12"/>
  <c r="EV361" i="12"/>
  <c r="EV362" i="12"/>
  <c r="EV356" i="12"/>
  <c r="EV355" i="12"/>
  <c r="EV358" i="12"/>
  <c r="EV357" i="12"/>
  <c r="EV352" i="12"/>
  <c r="EV354" i="12"/>
  <c r="EV359" i="12"/>
  <c r="EV351" i="12"/>
  <c r="EV353" i="12"/>
  <c r="EV349" i="12"/>
  <c r="EV350" i="12"/>
  <c r="EV346" i="12"/>
  <c r="EV348" i="12"/>
  <c r="EV343" i="12"/>
  <c r="EV347" i="12"/>
  <c r="EV344" i="12"/>
  <c r="EV340" i="12"/>
  <c r="EV342" i="12"/>
  <c r="EV345" i="12"/>
  <c r="EV338" i="12"/>
  <c r="EV339" i="12"/>
  <c r="EV336" i="12"/>
  <c r="EV332" i="12"/>
  <c r="EV334" i="12"/>
  <c r="EV330" i="12"/>
  <c r="EV341" i="12"/>
  <c r="EV337" i="12"/>
  <c r="EV335" i="12"/>
  <c r="EV331" i="12"/>
  <c r="EV326" i="12"/>
  <c r="EV328" i="12"/>
  <c r="EV324" i="12"/>
  <c r="EV333" i="12"/>
  <c r="EV329" i="12"/>
  <c r="EV325" i="12"/>
  <c r="EV323" i="12"/>
  <c r="EV320" i="12"/>
  <c r="EV321" i="12"/>
  <c r="EV317" i="12"/>
  <c r="EV327" i="12"/>
  <c r="EV322" i="12"/>
  <c r="EV318" i="12"/>
  <c r="EV316" i="12"/>
  <c r="EV314" i="12"/>
  <c r="EV315" i="12"/>
  <c r="EV311" i="12"/>
  <c r="EV313" i="12"/>
  <c r="EV310" i="12"/>
  <c r="EV309" i="12"/>
  <c r="EV306" i="12"/>
  <c r="EV307" i="12"/>
  <c r="EV312" i="12"/>
  <c r="EV308" i="12"/>
  <c r="EV300" i="12"/>
  <c r="EV296" i="12"/>
  <c r="EV292" i="12"/>
  <c r="EV301" i="12"/>
  <c r="EV297" i="12"/>
  <c r="EV293" i="12"/>
  <c r="EV305" i="12"/>
  <c r="EV302" i="12"/>
  <c r="EV298" i="12"/>
  <c r="EV294" i="12"/>
  <c r="EV303" i="12"/>
  <c r="EV319" i="12"/>
  <c r="EV304" i="12"/>
  <c r="EV299" i="12"/>
  <c r="EV295" i="12"/>
  <c r="EV291" i="12"/>
  <c r="EV289" i="12"/>
  <c r="EV285" i="12"/>
  <c r="EV290" i="12"/>
  <c r="EV286" i="12"/>
  <c r="EV282" i="12"/>
  <c r="EV287" i="12"/>
  <c r="EV283" i="12"/>
  <c r="EV288" i="12"/>
  <c r="EV284" i="12"/>
  <c r="EV280" i="12"/>
  <c r="EV276" i="12"/>
  <c r="EV272" i="12"/>
  <c r="EV268" i="12"/>
  <c r="EV264" i="12"/>
  <c r="EV273" i="12"/>
  <c r="EV269" i="12"/>
  <c r="EV265" i="12"/>
  <c r="EV278" i="12"/>
  <c r="EV274" i="12"/>
  <c r="EV270" i="12"/>
  <c r="EV266" i="12"/>
  <c r="EV277" i="12"/>
  <c r="EV281" i="12"/>
  <c r="EV275" i="12"/>
  <c r="EV271" i="12"/>
  <c r="EV267" i="12"/>
  <c r="EV263" i="12"/>
  <c r="EV279" i="12"/>
  <c r="EV259" i="12"/>
  <c r="EV255" i="12"/>
  <c r="EV251" i="12"/>
  <c r="EV260" i="12"/>
  <c r="EV256" i="12"/>
  <c r="EV252" i="12"/>
  <c r="EV248" i="12"/>
  <c r="EV261" i="12"/>
  <c r="EV257" i="12"/>
  <c r="EV253" i="12"/>
  <c r="EV250" i="12"/>
  <c r="EV249" i="12"/>
  <c r="EV245" i="12"/>
  <c r="EV241" i="12"/>
  <c r="EV237" i="12"/>
  <c r="EV246" i="12"/>
  <c r="EV242" i="12"/>
  <c r="EV238" i="12"/>
  <c r="EV262" i="12"/>
  <c r="EV247" i="12"/>
  <c r="EV243" i="12"/>
  <c r="EV239" i="12"/>
  <c r="EV235" i="12"/>
  <c r="EV244" i="12"/>
  <c r="EV240" i="12"/>
  <c r="EV236" i="12"/>
  <c r="EV233" i="12"/>
  <c r="EV229" i="12"/>
  <c r="EV258" i="12"/>
  <c r="EV230" i="12"/>
  <c r="EV226" i="12"/>
  <c r="EV231" i="12"/>
  <c r="EV227" i="12"/>
  <c r="EV223" i="12"/>
  <c r="EV254" i="12"/>
  <c r="EV234" i="12"/>
  <c r="EV220" i="12"/>
  <c r="EV216" i="12"/>
  <c r="EV212" i="12"/>
  <c r="EV217" i="12"/>
  <c r="EV213" i="12"/>
  <c r="EV224" i="12"/>
  <c r="EV232" i="12"/>
  <c r="EV228" i="12"/>
  <c r="EV222" i="12"/>
  <c r="EV218" i="12"/>
  <c r="EV214" i="12"/>
  <c r="EV210" i="12"/>
  <c r="EV206" i="12"/>
  <c r="EV221" i="12"/>
  <c r="EV204" i="12"/>
  <c r="EV200" i="12"/>
  <c r="EV196" i="12"/>
  <c r="EV225" i="12"/>
  <c r="EV201" i="12"/>
  <c r="EV197" i="12"/>
  <c r="EV215" i="12"/>
  <c r="EV208" i="12"/>
  <c r="EV205" i="12"/>
  <c r="EV202" i="12"/>
  <c r="EV198" i="12"/>
  <c r="EV194" i="12"/>
  <c r="EV203" i="12"/>
  <c r="EV199" i="12"/>
  <c r="EV195" i="12"/>
  <c r="EV207" i="12"/>
  <c r="EV192" i="12"/>
  <c r="EV188" i="12"/>
  <c r="EV184" i="12"/>
  <c r="EV180" i="12"/>
  <c r="EV176" i="12"/>
  <c r="EV172" i="12"/>
  <c r="EV211" i="12"/>
  <c r="EV193" i="12"/>
  <c r="EV209" i="12"/>
  <c r="EV190" i="12"/>
  <c r="EV186" i="12"/>
  <c r="EV182" i="12"/>
  <c r="EV178" i="12"/>
  <c r="EV174" i="12"/>
  <c r="EV170" i="12"/>
  <c r="EV166" i="12"/>
  <c r="EV185" i="12"/>
  <c r="EV177" i="12"/>
  <c r="EV161" i="12"/>
  <c r="EV157" i="12"/>
  <c r="EV153" i="12"/>
  <c r="EV149" i="12"/>
  <c r="EV145" i="12"/>
  <c r="EV167" i="12"/>
  <c r="EV187" i="12"/>
  <c r="EV179" i="12"/>
  <c r="EV162" i="12"/>
  <c r="EV158" i="12"/>
  <c r="EV154" i="12"/>
  <c r="EV150" i="12"/>
  <c r="EV146" i="12"/>
  <c r="EV171" i="12"/>
  <c r="EV169" i="12"/>
  <c r="EV168" i="12"/>
  <c r="EV189" i="12"/>
  <c r="EV181" i="12"/>
  <c r="EV173" i="12"/>
  <c r="EV163" i="12"/>
  <c r="EV159" i="12"/>
  <c r="EV155" i="12"/>
  <c r="EV151" i="12"/>
  <c r="EV147" i="12"/>
  <c r="EV219" i="12"/>
  <c r="EV191" i="12"/>
  <c r="EV183" i="12"/>
  <c r="EV164" i="12"/>
  <c r="EV156" i="12"/>
  <c r="EV144" i="12"/>
  <c r="EV140" i="12"/>
  <c r="EV136" i="12"/>
  <c r="EV132" i="12"/>
  <c r="EV128" i="12"/>
  <c r="EV148" i="12"/>
  <c r="EV152" i="12"/>
  <c r="EV141" i="12"/>
  <c r="EV137" i="12"/>
  <c r="EV133" i="12"/>
  <c r="EV175" i="12"/>
  <c r="EV165" i="12"/>
  <c r="EV142" i="12"/>
  <c r="EV138" i="12"/>
  <c r="EV134" i="12"/>
  <c r="EV130" i="12"/>
  <c r="EV126" i="12"/>
  <c r="EV122" i="12"/>
  <c r="EV143" i="12"/>
  <c r="EV121" i="12"/>
  <c r="EV120" i="12"/>
  <c r="EV117" i="12"/>
  <c r="EV127" i="12"/>
  <c r="EV118" i="12"/>
  <c r="EV160" i="12"/>
  <c r="EV139" i="12"/>
  <c r="EV124" i="12"/>
  <c r="EV119" i="12"/>
  <c r="EV115" i="12"/>
  <c r="EV135" i="12"/>
  <c r="EV123" i="12"/>
  <c r="EV116" i="12"/>
  <c r="EV112" i="12"/>
  <c r="EV129" i="12"/>
  <c r="EV125" i="12"/>
  <c r="EV131" i="12"/>
  <c r="EV109" i="12"/>
  <c r="EV105" i="12"/>
  <c r="EV101" i="12"/>
  <c r="EV97" i="12"/>
  <c r="EV93" i="12"/>
  <c r="EV89" i="12"/>
  <c r="EV85" i="12"/>
  <c r="EV114" i="12"/>
  <c r="EV113" i="12"/>
  <c r="EV110" i="12"/>
  <c r="EV106" i="12"/>
  <c r="EV102" i="12"/>
  <c r="EV98" i="12"/>
  <c r="EV94" i="12"/>
  <c r="EV111" i="12"/>
  <c r="EV107" i="12"/>
  <c r="EV103" i="12"/>
  <c r="EV99" i="12"/>
  <c r="EV95" i="12"/>
  <c r="EV91" i="12"/>
  <c r="EV87" i="12"/>
  <c r="EV83" i="12"/>
  <c r="EV108" i="12"/>
  <c r="EV104" i="12"/>
  <c r="EV100" i="12"/>
  <c r="EV96" i="12"/>
  <c r="EV92" i="12"/>
  <c r="EV88" i="12"/>
  <c r="EV84" i="12"/>
  <c r="EV86" i="12"/>
  <c r="EV82" i="12"/>
  <c r="EV78" i="12"/>
  <c r="EV74" i="12"/>
  <c r="EV70" i="12"/>
  <c r="EV66" i="12"/>
  <c r="EV62" i="12"/>
  <c r="EV58" i="12"/>
  <c r="EV54" i="12"/>
  <c r="EV50" i="12"/>
  <c r="EV79" i="12"/>
  <c r="EV75" i="12"/>
  <c r="EV71" i="12"/>
  <c r="EV67" i="12"/>
  <c r="EV63" i="12"/>
  <c r="EV59" i="12"/>
  <c r="EV55" i="12"/>
  <c r="EV90" i="12"/>
  <c r="EV80" i="12"/>
  <c r="EV76" i="12"/>
  <c r="EV72" i="12"/>
  <c r="EV68" i="12"/>
  <c r="EV64" i="12"/>
  <c r="EV60" i="12"/>
  <c r="EV56" i="12"/>
  <c r="EV52" i="12"/>
  <c r="EV81" i="12"/>
  <c r="EV77" i="12"/>
  <c r="EV73" i="12"/>
  <c r="EV69" i="12"/>
  <c r="EV65" i="12"/>
  <c r="EV61" i="12"/>
  <c r="EV57" i="12"/>
  <c r="EV53" i="12"/>
  <c r="EV46" i="12"/>
  <c r="EV42" i="12"/>
  <c r="EV38" i="12"/>
  <c r="EV34" i="12"/>
  <c r="EV30" i="12"/>
  <c r="EV26" i="12"/>
  <c r="EV22" i="12"/>
  <c r="EV47" i="12"/>
  <c r="EV43" i="12"/>
  <c r="EV39" i="12"/>
  <c r="EV35" i="12"/>
  <c r="EV31" i="12"/>
  <c r="EV27" i="12"/>
  <c r="EV23" i="12"/>
  <c r="EV51" i="12"/>
  <c r="EV48" i="12"/>
  <c r="EV44" i="12"/>
  <c r="EV40" i="12"/>
  <c r="EV36" i="12"/>
  <c r="EV32" i="12"/>
  <c r="EV28" i="12"/>
  <c r="EV24" i="12"/>
  <c r="DH12" i="12"/>
  <c r="EV45" i="12"/>
  <c r="AJ6" i="12"/>
  <c r="Y11" i="12"/>
  <c r="EA12" i="12"/>
  <c r="EV17" i="12"/>
  <c r="EV21" i="12"/>
  <c r="EV14" i="12"/>
  <c r="EV25" i="12"/>
  <c r="AR11" i="12"/>
  <c r="AH12" i="12"/>
  <c r="AG12" i="12" s="1"/>
  <c r="AF12" i="12" s="1"/>
  <c r="CJ12" i="12"/>
  <c r="CI12" i="12" s="1"/>
  <c r="CH12" i="12" s="1"/>
  <c r="ET12" i="12"/>
  <c r="EV33" i="12"/>
  <c r="BA12" i="12"/>
  <c r="AZ12" i="12" s="1"/>
  <c r="AY12" i="12" s="1"/>
  <c r="DC12" i="12"/>
  <c r="DB12" i="12" s="1"/>
  <c r="DA12" i="12" s="1"/>
  <c r="EV16" i="12"/>
  <c r="EV20" i="12"/>
  <c r="EV29" i="12"/>
  <c r="EV37" i="12"/>
  <c r="EV49" i="12"/>
  <c r="EV18" i="12"/>
  <c r="CD11" i="12"/>
  <c r="AJ12" i="12"/>
  <c r="AJ2" i="12" s="1"/>
  <c r="DV12" i="12"/>
  <c r="DU12" i="12" s="1"/>
  <c r="DT12" i="12" s="1"/>
  <c r="CW11" i="12"/>
  <c r="BC12" i="12"/>
  <c r="CM12" i="12"/>
  <c r="CL12" i="12" s="1"/>
  <c r="CK12" i="12" s="1"/>
  <c r="EO12" i="12"/>
  <c r="EN12" i="12" s="1"/>
  <c r="EM12" i="12" s="1"/>
  <c r="EV13" i="12"/>
  <c r="EV15" i="12"/>
  <c r="EV19" i="12"/>
  <c r="BN12" i="12"/>
  <c r="DF12" i="12"/>
  <c r="DE12" i="12" s="1"/>
  <c r="DD12" i="12" s="1"/>
  <c r="EV41" i="12"/>
  <c r="S52" i="9"/>
  <c r="S62" i="9"/>
  <c r="S84" i="9"/>
  <c r="S46" i="9"/>
  <c r="S34" i="9"/>
  <c r="S17" i="9"/>
  <c r="AW12" i="9"/>
  <c r="AV12" i="9" s="1"/>
  <c r="AU12" i="9" s="1"/>
  <c r="BN12" i="9"/>
  <c r="EC361" i="9"/>
  <c r="EC362" i="9"/>
  <c r="EC363" i="9"/>
  <c r="EC360" i="9"/>
  <c r="EC359" i="9"/>
  <c r="EC358" i="9"/>
  <c r="EC357" i="9"/>
  <c r="EC356" i="9"/>
  <c r="EC355" i="9"/>
  <c r="EC354" i="9"/>
  <c r="EC353" i="9"/>
  <c r="EC350" i="9"/>
  <c r="EC351" i="9"/>
  <c r="EC352" i="9"/>
  <c r="EC349" i="9"/>
  <c r="EC345" i="9"/>
  <c r="EC346" i="9"/>
  <c r="EC340" i="9"/>
  <c r="EC347" i="9"/>
  <c r="EC342" i="9"/>
  <c r="EC343" i="9"/>
  <c r="EC344" i="9"/>
  <c r="EC339" i="9"/>
  <c r="EC336" i="9"/>
  <c r="EC348" i="9"/>
  <c r="EC337" i="9"/>
  <c r="EC338" i="9"/>
  <c r="EC334" i="9"/>
  <c r="EC341" i="9"/>
  <c r="EC335" i="9"/>
  <c r="EC332" i="9"/>
  <c r="EC330" i="9"/>
  <c r="EC328" i="9"/>
  <c r="EC333" i="9"/>
  <c r="EC329" i="9"/>
  <c r="EC324" i="9"/>
  <c r="EC325" i="9"/>
  <c r="EC331" i="9"/>
  <c r="EC318" i="9"/>
  <c r="EC319" i="9"/>
  <c r="EC320" i="9"/>
  <c r="EC321" i="9"/>
  <c r="EC326" i="9"/>
  <c r="EC322" i="9"/>
  <c r="EC323" i="9"/>
  <c r="EC317" i="9"/>
  <c r="EC316" i="9"/>
  <c r="EC315" i="9"/>
  <c r="EC327" i="9"/>
  <c r="EC313" i="9"/>
  <c r="EC311" i="9"/>
  <c r="EC306" i="9"/>
  <c r="EC307" i="9"/>
  <c r="EC314" i="9"/>
  <c r="EC308" i="9"/>
  <c r="EC309" i="9"/>
  <c r="EC301" i="9"/>
  <c r="EC310" i="9"/>
  <c r="EC302" i="9"/>
  <c r="EC303" i="9"/>
  <c r="EC296" i="9"/>
  <c r="EC312" i="9"/>
  <c r="EC299" i="9"/>
  <c r="EC297" i="9"/>
  <c r="EC289" i="9"/>
  <c r="EC300" i="9"/>
  <c r="EC298" i="9"/>
  <c r="EC290" i="9"/>
  <c r="EC304" i="9"/>
  <c r="EC291" i="9"/>
  <c r="EC305" i="9"/>
  <c r="EC292" i="9"/>
  <c r="EC294" i="9"/>
  <c r="EC282" i="9"/>
  <c r="EC283" i="9"/>
  <c r="EC284" i="9"/>
  <c r="EC285" i="9"/>
  <c r="EC280" i="9"/>
  <c r="EC277" i="9"/>
  <c r="EC278" i="9"/>
  <c r="EC270" i="9"/>
  <c r="EC295" i="9"/>
  <c r="EC287" i="9"/>
  <c r="EC279" i="9"/>
  <c r="EC271" i="9"/>
  <c r="EC288" i="9"/>
  <c r="EC272" i="9"/>
  <c r="EC293" i="9"/>
  <c r="EC286" i="9"/>
  <c r="EC275" i="9"/>
  <c r="EC261" i="9"/>
  <c r="EC276" i="9"/>
  <c r="EC262" i="9"/>
  <c r="EC273" i="9"/>
  <c r="EC263" i="9"/>
  <c r="EC264" i="9"/>
  <c r="EC281" i="9"/>
  <c r="EC265" i="9"/>
  <c r="EC274" i="9"/>
  <c r="EC266" i="9"/>
  <c r="EC258" i="9"/>
  <c r="EC256" i="9"/>
  <c r="EC248" i="9"/>
  <c r="EC257" i="9"/>
  <c r="EC249" i="9"/>
  <c r="EC250" i="9"/>
  <c r="EC269" i="9"/>
  <c r="EC251" i="9"/>
  <c r="EC267" i="9"/>
  <c r="EC259" i="9"/>
  <c r="EC252" i="9"/>
  <c r="EC254" i="9"/>
  <c r="EC247" i="9"/>
  <c r="EC245" i="9"/>
  <c r="EC237" i="9"/>
  <c r="EC238" i="9"/>
  <c r="EC253" i="9"/>
  <c r="EC239" i="9"/>
  <c r="EC255" i="9"/>
  <c r="EC240" i="9"/>
  <c r="EC268" i="9"/>
  <c r="EC246" i="9"/>
  <c r="EC241" i="9"/>
  <c r="EC260" i="9"/>
  <c r="EC243" i="9"/>
  <c r="EC231" i="9"/>
  <c r="EC223" i="9"/>
  <c r="EC215" i="9"/>
  <c r="EC207" i="9"/>
  <c r="EC235" i="9"/>
  <c r="EC234" i="9"/>
  <c r="EC232" i="9"/>
  <c r="EC224" i="9"/>
  <c r="EC216" i="9"/>
  <c r="EC208" i="9"/>
  <c r="EC233" i="9"/>
  <c r="EC225" i="9"/>
  <c r="EC217" i="9"/>
  <c r="EC209" i="9"/>
  <c r="EC226" i="9"/>
  <c r="EC218" i="9"/>
  <c r="EC210" i="9"/>
  <c r="EC227" i="9"/>
  <c r="EC219" i="9"/>
  <c r="EC211" i="9"/>
  <c r="EC242" i="9"/>
  <c r="EC236" i="9"/>
  <c r="EC228" i="9"/>
  <c r="EC220" i="9"/>
  <c r="EC212" i="9"/>
  <c r="EC229" i="9"/>
  <c r="EC221" i="9"/>
  <c r="EC213" i="9"/>
  <c r="EC244" i="9"/>
  <c r="EC205" i="9"/>
  <c r="EC197" i="9"/>
  <c r="EC189" i="9"/>
  <c r="EC181" i="9"/>
  <c r="EC206" i="9"/>
  <c r="EC198" i="9"/>
  <c r="EC190" i="9"/>
  <c r="EC182" i="9"/>
  <c r="EC199" i="9"/>
  <c r="EC191" i="9"/>
  <c r="EC183" i="9"/>
  <c r="EC200" i="9"/>
  <c r="EC192" i="9"/>
  <c r="EC184" i="9"/>
  <c r="EC201" i="9"/>
  <c r="EC193" i="9"/>
  <c r="EC185" i="9"/>
  <c r="EC202" i="9"/>
  <c r="EC194" i="9"/>
  <c r="EC186" i="9"/>
  <c r="EC214" i="9"/>
  <c r="EC203" i="9"/>
  <c r="EC195" i="9"/>
  <c r="EC187" i="9"/>
  <c r="EC179" i="9"/>
  <c r="EC176" i="9"/>
  <c r="EC177" i="9"/>
  <c r="EC222" i="9"/>
  <c r="EC171" i="9"/>
  <c r="EC163" i="9"/>
  <c r="EC155" i="9"/>
  <c r="EC188" i="9"/>
  <c r="EC172" i="9"/>
  <c r="EC164" i="9"/>
  <c r="EC156" i="9"/>
  <c r="EC204" i="9"/>
  <c r="EC180" i="9"/>
  <c r="EC173" i="9"/>
  <c r="EC165" i="9"/>
  <c r="EC157" i="9"/>
  <c r="EC174" i="9"/>
  <c r="EC166" i="9"/>
  <c r="EC158" i="9"/>
  <c r="EC178" i="9"/>
  <c r="EC150" i="9"/>
  <c r="EC142" i="9"/>
  <c r="EC134" i="9"/>
  <c r="EC167" i="9"/>
  <c r="EC159" i="9"/>
  <c r="EC143" i="9"/>
  <c r="EC135" i="9"/>
  <c r="EC170" i="9"/>
  <c r="EC162" i="9"/>
  <c r="EC144" i="9"/>
  <c r="EC136" i="9"/>
  <c r="EC161" i="9"/>
  <c r="EC146" i="9"/>
  <c r="EC138" i="9"/>
  <c r="EC153" i="9"/>
  <c r="EC149" i="9"/>
  <c r="EC141" i="9"/>
  <c r="EC127" i="9"/>
  <c r="EC119" i="9"/>
  <c r="EC168" i="9"/>
  <c r="EC133" i="9"/>
  <c r="EC128" i="9"/>
  <c r="EC120" i="9"/>
  <c r="EC129" i="9"/>
  <c r="EC196" i="9"/>
  <c r="EC160" i="9"/>
  <c r="EC154" i="9"/>
  <c r="EC151" i="9"/>
  <c r="EC130" i="9"/>
  <c r="EC122" i="9"/>
  <c r="EC230" i="9"/>
  <c r="EC148" i="9"/>
  <c r="EC140" i="9"/>
  <c r="EC131" i="9"/>
  <c r="EC123" i="9"/>
  <c r="EC175" i="9"/>
  <c r="EC169" i="9"/>
  <c r="EC152" i="9"/>
  <c r="EC147" i="9"/>
  <c r="EC145" i="9"/>
  <c r="EC124" i="9"/>
  <c r="EC116" i="9"/>
  <c r="EC121" i="9"/>
  <c r="EC114" i="9"/>
  <c r="EC107" i="9"/>
  <c r="EC99" i="9"/>
  <c r="EC126" i="9"/>
  <c r="EC108" i="9"/>
  <c r="EC100" i="9"/>
  <c r="EC137" i="9"/>
  <c r="EC125" i="9"/>
  <c r="EC117" i="9"/>
  <c r="EC115" i="9"/>
  <c r="EC110" i="9"/>
  <c r="EC102" i="9"/>
  <c r="EC94" i="9"/>
  <c r="EC111" i="9"/>
  <c r="EC103" i="9"/>
  <c r="EC95" i="9"/>
  <c r="EC132" i="9"/>
  <c r="EC109" i="9"/>
  <c r="EC96" i="9"/>
  <c r="EC89" i="9"/>
  <c r="EC81" i="9"/>
  <c r="EC73" i="9"/>
  <c r="EC65" i="9"/>
  <c r="EC57" i="9"/>
  <c r="EC49" i="9"/>
  <c r="EC112" i="9"/>
  <c r="EC105" i="9"/>
  <c r="EC98" i="9"/>
  <c r="EC90" i="9"/>
  <c r="EC82" i="9"/>
  <c r="EC74" i="9"/>
  <c r="EC66" i="9"/>
  <c r="EC58" i="9"/>
  <c r="EC50" i="9"/>
  <c r="EC139" i="9"/>
  <c r="EC93" i="9"/>
  <c r="EC91" i="9"/>
  <c r="EC83" i="9"/>
  <c r="EC75" i="9"/>
  <c r="EC67" i="9"/>
  <c r="EC59" i="9"/>
  <c r="EC51" i="9"/>
  <c r="EC84" i="9"/>
  <c r="EC76" i="9"/>
  <c r="EC68" i="9"/>
  <c r="EC60" i="9"/>
  <c r="EC52" i="9"/>
  <c r="EC44" i="9"/>
  <c r="EC101" i="9"/>
  <c r="EC85" i="9"/>
  <c r="EC77" i="9"/>
  <c r="EC69" i="9"/>
  <c r="EC61" i="9"/>
  <c r="EC53" i="9"/>
  <c r="EC45" i="9"/>
  <c r="EC87" i="9"/>
  <c r="EC97" i="9"/>
  <c r="EC48" i="9"/>
  <c r="EC47" i="9"/>
  <c r="EC36" i="9"/>
  <c r="EC92" i="9"/>
  <c r="EC64" i="9"/>
  <c r="EC62" i="9"/>
  <c r="EC43" i="9"/>
  <c r="EC37" i="9"/>
  <c r="EC29" i="9"/>
  <c r="EC21" i="9"/>
  <c r="EC72" i="9"/>
  <c r="EC71" i="9"/>
  <c r="EC42" i="9"/>
  <c r="EC38" i="9"/>
  <c r="EC30" i="9"/>
  <c r="EC22" i="9"/>
  <c r="EC14" i="9"/>
  <c r="EC63" i="9"/>
  <c r="EC56" i="9"/>
  <c r="EC54" i="9"/>
  <c r="EC46" i="9"/>
  <c r="EC39" i="9"/>
  <c r="EC31" i="9"/>
  <c r="EC23" i="9"/>
  <c r="EC15" i="9"/>
  <c r="EC78" i="9"/>
  <c r="EC40" i="9"/>
  <c r="EC32" i="9"/>
  <c r="EC24" i="9"/>
  <c r="EC16" i="9"/>
  <c r="EC118" i="9"/>
  <c r="EC113" i="9"/>
  <c r="EC104" i="9"/>
  <c r="EC88" i="9"/>
  <c r="EC80" i="9"/>
  <c r="EC34" i="9"/>
  <c r="EC26" i="9"/>
  <c r="EC18" i="9"/>
  <c r="EC106" i="9"/>
  <c r="EC79" i="9"/>
  <c r="EC33" i="9"/>
  <c r="EC55" i="9"/>
  <c r="EC35" i="9"/>
  <c r="EC70" i="9"/>
  <c r="EC41" i="9"/>
  <c r="EC20" i="9"/>
  <c r="EC19" i="9"/>
  <c r="EC13" i="9"/>
  <c r="EC27" i="9"/>
  <c r="EC25" i="9"/>
  <c r="EC17" i="9"/>
  <c r="EC86" i="9"/>
  <c r="EC28" i="9"/>
  <c r="S363" i="9"/>
  <c r="S360" i="9"/>
  <c r="S361" i="9"/>
  <c r="S362" i="9"/>
  <c r="S359" i="9"/>
  <c r="S354" i="9"/>
  <c r="S355" i="9"/>
  <c r="S358" i="9"/>
  <c r="S356" i="9"/>
  <c r="S357" i="9"/>
  <c r="S353" i="9"/>
  <c r="S350" i="9"/>
  <c r="S352" i="9"/>
  <c r="S351" i="9"/>
  <c r="S349" i="9"/>
  <c r="S347" i="9"/>
  <c r="S345" i="9"/>
  <c r="S346" i="9"/>
  <c r="S340" i="9"/>
  <c r="S341" i="9"/>
  <c r="S348" i="9"/>
  <c r="S342" i="9"/>
  <c r="S343" i="9"/>
  <c r="S336" i="9"/>
  <c r="S337" i="9"/>
  <c r="S344" i="9"/>
  <c r="S333" i="9"/>
  <c r="S334" i="9"/>
  <c r="S330" i="9"/>
  <c r="S339" i="9"/>
  <c r="S326" i="9"/>
  <c r="S331" i="9"/>
  <c r="S327" i="9"/>
  <c r="S338" i="9"/>
  <c r="S328" i="9"/>
  <c r="S329" i="9"/>
  <c r="S335" i="9"/>
  <c r="S323" i="9"/>
  <c r="S324" i="9"/>
  <c r="S318" i="9"/>
  <c r="S319" i="9"/>
  <c r="S325" i="9"/>
  <c r="S320" i="9"/>
  <c r="S321" i="9"/>
  <c r="S322" i="9"/>
  <c r="S314" i="9"/>
  <c r="S317" i="9"/>
  <c r="S315" i="9"/>
  <c r="S316" i="9"/>
  <c r="S304" i="9"/>
  <c r="S305" i="9"/>
  <c r="S306" i="9"/>
  <c r="S307" i="9"/>
  <c r="S308" i="9"/>
  <c r="S300" i="9"/>
  <c r="S309" i="9"/>
  <c r="S301" i="9"/>
  <c r="S311" i="9"/>
  <c r="S294" i="9"/>
  <c r="S302" i="9"/>
  <c r="S295" i="9"/>
  <c r="S332" i="9"/>
  <c r="S312" i="9"/>
  <c r="S299" i="9"/>
  <c r="S296" i="9"/>
  <c r="S297" i="9"/>
  <c r="S298" i="9"/>
  <c r="S290" i="9"/>
  <c r="S292" i="9"/>
  <c r="S313" i="9"/>
  <c r="S289" i="9"/>
  <c r="S288" i="9"/>
  <c r="S310" i="9"/>
  <c r="S281" i="9"/>
  <c r="S303" i="9"/>
  <c r="S283" i="9"/>
  <c r="S291" i="9"/>
  <c r="S286" i="9"/>
  <c r="S275" i="9"/>
  <c r="S285" i="9"/>
  <c r="S276" i="9"/>
  <c r="S277" i="9"/>
  <c r="S278" i="9"/>
  <c r="S270" i="9"/>
  <c r="S279" i="9"/>
  <c r="S287" i="9"/>
  <c r="S273" i="9"/>
  <c r="S267" i="9"/>
  <c r="S259" i="9"/>
  <c r="S282" i="9"/>
  <c r="S280" i="9"/>
  <c r="S274" i="9"/>
  <c r="S271" i="9"/>
  <c r="S268" i="9"/>
  <c r="S260" i="9"/>
  <c r="S269" i="9"/>
  <c r="S261" i="9"/>
  <c r="S262" i="9"/>
  <c r="S284" i="9"/>
  <c r="S263" i="9"/>
  <c r="S293" i="9"/>
  <c r="S272" i="9"/>
  <c r="S264" i="9"/>
  <c r="S254" i="9"/>
  <c r="S255" i="9"/>
  <c r="S247" i="9"/>
  <c r="S265" i="9"/>
  <c r="S256" i="9"/>
  <c r="S248" i="9"/>
  <c r="S266" i="9"/>
  <c r="S257" i="9"/>
  <c r="S249" i="9"/>
  <c r="S258" i="9"/>
  <c r="S250" i="9"/>
  <c r="S252" i="9"/>
  <c r="S243" i="9"/>
  <c r="S235" i="9"/>
  <c r="S253" i="9"/>
  <c r="S244" i="9"/>
  <c r="S236" i="9"/>
  <c r="S245" i="9"/>
  <c r="S237" i="9"/>
  <c r="S246" i="9"/>
  <c r="S238" i="9"/>
  <c r="S239" i="9"/>
  <c r="S229" i="9"/>
  <c r="S221" i="9"/>
  <c r="S213" i="9"/>
  <c r="S230" i="9"/>
  <c r="S222" i="9"/>
  <c r="S214" i="9"/>
  <c r="S231" i="9"/>
  <c r="S223" i="9"/>
  <c r="S215" i="9"/>
  <c r="S251" i="9"/>
  <c r="S240" i="9"/>
  <c r="S232" i="9"/>
  <c r="S224" i="9"/>
  <c r="S216" i="9"/>
  <c r="S242" i="9"/>
  <c r="S233" i="9"/>
  <c r="S225" i="9"/>
  <c r="S217" i="9"/>
  <c r="S209" i="9"/>
  <c r="S234" i="9"/>
  <c r="S226" i="9"/>
  <c r="S218" i="9"/>
  <c r="S210" i="9"/>
  <c r="S227" i="9"/>
  <c r="S219" i="9"/>
  <c r="S211" i="9"/>
  <c r="S241" i="9"/>
  <c r="S203" i="9"/>
  <c r="S195" i="9"/>
  <c r="S187" i="9"/>
  <c r="S179" i="9"/>
  <c r="S204" i="9"/>
  <c r="S196" i="9"/>
  <c r="S188" i="9"/>
  <c r="S180" i="9"/>
  <c r="S205" i="9"/>
  <c r="S197" i="9"/>
  <c r="S189" i="9"/>
  <c r="S181" i="9"/>
  <c r="S206" i="9"/>
  <c r="S198" i="9"/>
  <c r="S190" i="9"/>
  <c r="S182" i="9"/>
  <c r="S220" i="9"/>
  <c r="S207" i="9"/>
  <c r="S199" i="9"/>
  <c r="S191" i="9"/>
  <c r="S183" i="9"/>
  <c r="S228" i="9"/>
  <c r="S200" i="9"/>
  <c r="S192" i="9"/>
  <c r="S184" i="9"/>
  <c r="S212" i="9"/>
  <c r="S208" i="9"/>
  <c r="S201" i="9"/>
  <c r="S193" i="9"/>
  <c r="S185" i="9"/>
  <c r="S186" i="9"/>
  <c r="S174" i="9"/>
  <c r="S202" i="9"/>
  <c r="S177" i="9"/>
  <c r="S169" i="9"/>
  <c r="S161" i="9"/>
  <c r="S153" i="9"/>
  <c r="S178" i="9"/>
  <c r="S170" i="9"/>
  <c r="S162" i="9"/>
  <c r="S154" i="9"/>
  <c r="S171" i="9"/>
  <c r="S163" i="9"/>
  <c r="S155" i="9"/>
  <c r="S194" i="9"/>
  <c r="S172" i="9"/>
  <c r="S164" i="9"/>
  <c r="S156" i="9"/>
  <c r="S168" i="9"/>
  <c r="S148" i="9"/>
  <c r="S140" i="9"/>
  <c r="S166" i="9"/>
  <c r="S160" i="9"/>
  <c r="S158" i="9"/>
  <c r="S149" i="9"/>
  <c r="S141" i="9"/>
  <c r="S133" i="9"/>
  <c r="S176" i="9"/>
  <c r="S150" i="9"/>
  <c r="S142" i="9"/>
  <c r="S134" i="9"/>
  <c r="S175" i="9"/>
  <c r="S173" i="9"/>
  <c r="S144" i="9"/>
  <c r="S136" i="9"/>
  <c r="S145" i="9"/>
  <c r="S125" i="9"/>
  <c r="S117" i="9"/>
  <c r="S165" i="9"/>
  <c r="S157" i="9"/>
  <c r="S147" i="9"/>
  <c r="S143" i="9"/>
  <c r="S126" i="9"/>
  <c r="S118" i="9"/>
  <c r="S139" i="9"/>
  <c r="S137" i="9"/>
  <c r="S127" i="9"/>
  <c r="S128" i="9"/>
  <c r="S120" i="9"/>
  <c r="S167" i="9"/>
  <c r="S159" i="9"/>
  <c r="S152" i="9"/>
  <c r="S146" i="9"/>
  <c r="S135" i="9"/>
  <c r="S129" i="9"/>
  <c r="S121" i="9"/>
  <c r="S138" i="9"/>
  <c r="S130" i="9"/>
  <c r="S122" i="9"/>
  <c r="S132" i="9"/>
  <c r="S113" i="9"/>
  <c r="S105" i="9"/>
  <c r="S97" i="9"/>
  <c r="S123" i="9"/>
  <c r="S119" i="9"/>
  <c r="S114" i="9"/>
  <c r="S106" i="9"/>
  <c r="S98" i="9"/>
  <c r="S108" i="9"/>
  <c r="S100" i="9"/>
  <c r="S131" i="9"/>
  <c r="S116" i="9"/>
  <c r="S109" i="9"/>
  <c r="S101" i="9"/>
  <c r="S93" i="9"/>
  <c r="S111" i="9"/>
  <c r="S104" i="9"/>
  <c r="S102" i="9"/>
  <c r="S87" i="9"/>
  <c r="S79" i="9"/>
  <c r="S71" i="9"/>
  <c r="S63" i="9"/>
  <c r="S55" i="9"/>
  <c r="S47" i="9"/>
  <c r="S124" i="9"/>
  <c r="S88" i="9"/>
  <c r="S80" i="9"/>
  <c r="S72" i="9"/>
  <c r="S64" i="9"/>
  <c r="S56" i="9"/>
  <c r="S48" i="9"/>
  <c r="S107" i="9"/>
  <c r="S94" i="9"/>
  <c r="S89" i="9"/>
  <c r="S81" i="9"/>
  <c r="S73" i="9"/>
  <c r="S65" i="9"/>
  <c r="S57" i="9"/>
  <c r="S49" i="9"/>
  <c r="S96" i="9"/>
  <c r="S90" i="9"/>
  <c r="S82" i="9"/>
  <c r="S74" i="9"/>
  <c r="S66" i="9"/>
  <c r="S58" i="9"/>
  <c r="S50" i="9"/>
  <c r="S112" i="9"/>
  <c r="S110" i="9"/>
  <c r="S103" i="9"/>
  <c r="S91" i="9"/>
  <c r="S83" i="9"/>
  <c r="S75" i="9"/>
  <c r="S67" i="9"/>
  <c r="S59" i="9"/>
  <c r="S51" i="9"/>
  <c r="S43" i="9"/>
  <c r="S99" i="9"/>
  <c r="S151" i="9"/>
  <c r="S42" i="9"/>
  <c r="S68" i="9"/>
  <c r="S54" i="9"/>
  <c r="S53" i="9"/>
  <c r="S44" i="9"/>
  <c r="S35" i="9"/>
  <c r="S27" i="9"/>
  <c r="S19" i="9"/>
  <c r="S78" i="9"/>
  <c r="S77" i="9"/>
  <c r="S36" i="9"/>
  <c r="S28" i="9"/>
  <c r="S20" i="9"/>
  <c r="S86" i="9"/>
  <c r="S85" i="9"/>
  <c r="S60" i="9"/>
  <c r="S37" i="9"/>
  <c r="S29" i="9"/>
  <c r="S21" i="9"/>
  <c r="S13" i="9"/>
  <c r="S95" i="9"/>
  <c r="S76" i="9"/>
  <c r="S38" i="9"/>
  <c r="S30" i="9"/>
  <c r="S22" i="9"/>
  <c r="S14" i="9"/>
  <c r="S45" i="9"/>
  <c r="S40" i="9"/>
  <c r="S32" i="9"/>
  <c r="S24" i="9"/>
  <c r="S16" i="9"/>
  <c r="S115" i="9"/>
  <c r="S92" i="9"/>
  <c r="S23" i="9"/>
  <c r="AJ7" i="9"/>
  <c r="AJ9" i="9"/>
  <c r="BX351" i="9"/>
  <c r="BX283" i="9"/>
  <c r="BX217" i="9"/>
  <c r="BX161" i="9"/>
  <c r="BX89" i="9"/>
  <c r="BX30" i="9"/>
  <c r="DY12" i="9"/>
  <c r="DX12" i="9" s="1"/>
  <c r="DW12" i="9" s="1"/>
  <c r="S33" i="9"/>
  <c r="FB11" i="9"/>
  <c r="S25" i="9"/>
  <c r="S41" i="9"/>
  <c r="S69" i="9"/>
  <c r="S70" i="9"/>
  <c r="FH12" i="9"/>
  <c r="FM12" i="9"/>
  <c r="FK12" i="9"/>
  <c r="FJ12" i="9" s="1"/>
  <c r="FI12" i="9" s="1"/>
  <c r="S18" i="9"/>
  <c r="S26" i="9"/>
  <c r="S39" i="9"/>
  <c r="S15" i="9"/>
  <c r="S31" i="9"/>
  <c r="DP11" i="9"/>
  <c r="DV12" i="9"/>
  <c r="EA12" i="9"/>
  <c r="DF12" i="9"/>
  <c r="DE12" i="9" s="1"/>
  <c r="DD12" i="9" s="1"/>
  <c r="CW11" i="9"/>
  <c r="DC12" i="9"/>
  <c r="AD12" i="9"/>
  <c r="AC12" i="9" s="1"/>
  <c r="DH12" i="9"/>
  <c r="S61" i="9"/>
  <c r="BK11" i="9"/>
  <c r="BA12" i="9"/>
  <c r="AZ12" i="9" s="1"/>
  <c r="AY12" i="9" s="1"/>
  <c r="BT12" i="9"/>
  <c r="BS12" i="9" s="1"/>
  <c r="BR12" i="9" s="1"/>
  <c r="EO12" i="9"/>
  <c r="BV12" i="9"/>
  <c r="BX244" i="9" l="1"/>
  <c r="BX96" i="9"/>
  <c r="BX21" i="9"/>
  <c r="BX215" i="9"/>
  <c r="BX120" i="9"/>
  <c r="BX239" i="9"/>
  <c r="BX133" i="9"/>
  <c r="BX257" i="9"/>
  <c r="BX356" i="9"/>
  <c r="BX350" i="9"/>
  <c r="BX335" i="9"/>
  <c r="BX339" i="9"/>
  <c r="BX317" i="9"/>
  <c r="BX316" i="9"/>
  <c r="BX308" i="9"/>
  <c r="BX296" i="9"/>
  <c r="BX291" i="9"/>
  <c r="BX287" i="9"/>
  <c r="BX271" i="9"/>
  <c r="BX261" i="9"/>
  <c r="BX255" i="9"/>
  <c r="BX259" i="9"/>
  <c r="BX254" i="9"/>
  <c r="BX230" i="9"/>
  <c r="BX224" i="9"/>
  <c r="BX218" i="9"/>
  <c r="BX212" i="9"/>
  <c r="BX205" i="9"/>
  <c r="BX241" i="9"/>
  <c r="BX209" i="9"/>
  <c r="BX175" i="9"/>
  <c r="BX154" i="9"/>
  <c r="BX165" i="9"/>
  <c r="BX134" i="9"/>
  <c r="BX137" i="9"/>
  <c r="BX140" i="9"/>
  <c r="BX139" i="9"/>
  <c r="BX174" i="9"/>
  <c r="BX99" i="9"/>
  <c r="BX102" i="9"/>
  <c r="BX56" i="9"/>
  <c r="BX65" i="9"/>
  <c r="BX74" i="9"/>
  <c r="BX59" i="9"/>
  <c r="BX52" i="9"/>
  <c r="BX35" i="9"/>
  <c r="BX13" i="9"/>
  <c r="BX103" i="9"/>
  <c r="BX39" i="9"/>
  <c r="BX62" i="9"/>
  <c r="BX79" i="9"/>
  <c r="BX16" i="9"/>
  <c r="BX349" i="9"/>
  <c r="BX338" i="9"/>
  <c r="BX323" i="9"/>
  <c r="BX303" i="9"/>
  <c r="BX264" i="9"/>
  <c r="BX252" i="9"/>
  <c r="BX223" i="9"/>
  <c r="BX188" i="9"/>
  <c r="BX200" i="9"/>
  <c r="BX172" i="9"/>
  <c r="BX152" i="9"/>
  <c r="BX136" i="9"/>
  <c r="BX101" i="9"/>
  <c r="BX108" i="9"/>
  <c r="BX91" i="9"/>
  <c r="BX45" i="9"/>
  <c r="BX38" i="9"/>
  <c r="BX355" i="9"/>
  <c r="BX348" i="9"/>
  <c r="BX336" i="9"/>
  <c r="BX331" i="9"/>
  <c r="BX319" i="9"/>
  <c r="BX318" i="9"/>
  <c r="BX300" i="9"/>
  <c r="BX288" i="9"/>
  <c r="BX293" i="9"/>
  <c r="BX280" i="9"/>
  <c r="BX311" i="9"/>
  <c r="BX262" i="9"/>
  <c r="BX247" i="9"/>
  <c r="BX250" i="9"/>
  <c r="BX245" i="9"/>
  <c r="BX222" i="9"/>
  <c r="BX216" i="9"/>
  <c r="BX210" i="9"/>
  <c r="BX213" i="9"/>
  <c r="BX197" i="9"/>
  <c r="BX199" i="9"/>
  <c r="BX201" i="9"/>
  <c r="BX187" i="9"/>
  <c r="BX171" i="9"/>
  <c r="BX157" i="9"/>
  <c r="BX168" i="9"/>
  <c r="BX151" i="9"/>
  <c r="BX127" i="9"/>
  <c r="BX129" i="9"/>
  <c r="BX132" i="9"/>
  <c r="BX146" i="9"/>
  <c r="BX94" i="9"/>
  <c r="BX48" i="9"/>
  <c r="BX57" i="9"/>
  <c r="BX66" i="9"/>
  <c r="BX51" i="9"/>
  <c r="BX44" i="9"/>
  <c r="BX63" i="9"/>
  <c r="BX100" i="9"/>
  <c r="BX86" i="9"/>
  <c r="BX31" i="9"/>
  <c r="BX70" i="9"/>
  <c r="BX61" i="9"/>
  <c r="BX341" i="9"/>
  <c r="BX332" i="9"/>
  <c r="BX289" i="9"/>
  <c r="BX277" i="9"/>
  <c r="BX266" i="9"/>
  <c r="BX238" i="9"/>
  <c r="BX219" i="9"/>
  <c r="BX206" i="9"/>
  <c r="BX202" i="9"/>
  <c r="BX141" i="9"/>
  <c r="BX118" i="9"/>
  <c r="BX98" i="9"/>
  <c r="BX88" i="9"/>
  <c r="BX104" i="9"/>
  <c r="BX105" i="9"/>
  <c r="BX77" i="9"/>
  <c r="BX41" i="9"/>
  <c r="BX360" i="9"/>
  <c r="BX357" i="9"/>
  <c r="BX347" i="9"/>
  <c r="BX340" i="9"/>
  <c r="BX329" i="9"/>
  <c r="BX326" i="9"/>
  <c r="BX312" i="9"/>
  <c r="BX309" i="9"/>
  <c r="BX304" i="9"/>
  <c r="BX281" i="9"/>
  <c r="BX276" i="9"/>
  <c r="BX286" i="9"/>
  <c r="BX263" i="9"/>
  <c r="BX256" i="9"/>
  <c r="BX251" i="9"/>
  <c r="BX237" i="9"/>
  <c r="BX214" i="9"/>
  <c r="BX208" i="9"/>
  <c r="BX243" i="9"/>
  <c r="BX204" i="9"/>
  <c r="BX189" i="9"/>
  <c r="BX191" i="9"/>
  <c r="BX193" i="9"/>
  <c r="BX176" i="9"/>
  <c r="BX163" i="9"/>
  <c r="BX177" i="9"/>
  <c r="BX166" i="9"/>
  <c r="BX144" i="9"/>
  <c r="BX119" i="9"/>
  <c r="BX121" i="9"/>
  <c r="BX114" i="9"/>
  <c r="BX138" i="9"/>
  <c r="BX124" i="9"/>
  <c r="BX169" i="9"/>
  <c r="BX49" i="9"/>
  <c r="BX58" i="9"/>
  <c r="BX43" i="9"/>
  <c r="BX125" i="9"/>
  <c r="BX54" i="9"/>
  <c r="BX87" i="9"/>
  <c r="BX85" i="9"/>
  <c r="BX23" i="9"/>
  <c r="BX320" i="9"/>
  <c r="BX361" i="9"/>
  <c r="BX354" i="9"/>
  <c r="BX345" i="9"/>
  <c r="BX337" i="9"/>
  <c r="BX327" i="9"/>
  <c r="BX325" i="9"/>
  <c r="BX314" i="9"/>
  <c r="BX301" i="9"/>
  <c r="BX297" i="9"/>
  <c r="BX282" i="9"/>
  <c r="BX285" i="9"/>
  <c r="BX294" i="9"/>
  <c r="BX269" i="9"/>
  <c r="BX248" i="9"/>
  <c r="BX253" i="9"/>
  <c r="BX246" i="9"/>
  <c r="BX231" i="9"/>
  <c r="BX233" i="9"/>
  <c r="BX227" i="9"/>
  <c r="BX196" i="9"/>
  <c r="BX181" i="9"/>
  <c r="BX183" i="9"/>
  <c r="BX185" i="9"/>
  <c r="BX203" i="9"/>
  <c r="BX155" i="9"/>
  <c r="BX149" i="9"/>
  <c r="BX158" i="9"/>
  <c r="BX126" i="9"/>
  <c r="BX147" i="9"/>
  <c r="BX130" i="9"/>
  <c r="BX106" i="9"/>
  <c r="BX109" i="9"/>
  <c r="BX95" i="9"/>
  <c r="BX111" i="9"/>
  <c r="BX113" i="9"/>
  <c r="BX50" i="9"/>
  <c r="BX92" i="9"/>
  <c r="BX112" i="9"/>
  <c r="BX53" i="9"/>
  <c r="BX78" i="9"/>
  <c r="BX55" i="9"/>
  <c r="BX15" i="9"/>
  <c r="BX18" i="9"/>
  <c r="BX362" i="9"/>
  <c r="BX305" i="9"/>
  <c r="BX274" i="9"/>
  <c r="BX225" i="9"/>
  <c r="BX179" i="9"/>
  <c r="BX122" i="9"/>
  <c r="BX84" i="9"/>
  <c r="BX19" i="9"/>
  <c r="BX32" i="9"/>
  <c r="BX359" i="9"/>
  <c r="BX352" i="9"/>
  <c r="BX342" i="9"/>
  <c r="BX344" i="9"/>
  <c r="BX330" i="9"/>
  <c r="BX322" i="9"/>
  <c r="BX306" i="9"/>
  <c r="BX302" i="9"/>
  <c r="BX290" i="9"/>
  <c r="BX292" i="9"/>
  <c r="BX270" i="9"/>
  <c r="BX268" i="9"/>
  <c r="BX272" i="9"/>
  <c r="BX249" i="9"/>
  <c r="BX236" i="9"/>
  <c r="BX240" i="9"/>
  <c r="BX207" i="9"/>
  <c r="BX234" i="9"/>
  <c r="BX228" i="9"/>
  <c r="BX229" i="9"/>
  <c r="BX190" i="9"/>
  <c r="BX184" i="9"/>
  <c r="BX186" i="9"/>
  <c r="BX170" i="9"/>
  <c r="BX156" i="9"/>
  <c r="BX150" i="9"/>
  <c r="BX135" i="9"/>
  <c r="BX153" i="9"/>
  <c r="BX167" i="9"/>
  <c r="BX131" i="9"/>
  <c r="BX115" i="9"/>
  <c r="BX116" i="9"/>
  <c r="BX72" i="9"/>
  <c r="BX81" i="9"/>
  <c r="BX90" i="9"/>
  <c r="BX75" i="9"/>
  <c r="BX68" i="9"/>
  <c r="BX71" i="9"/>
  <c r="BX28" i="9"/>
  <c r="BX29" i="9"/>
  <c r="BX22" i="9"/>
  <c r="BX25" i="9"/>
  <c r="BX26" i="9"/>
  <c r="BX69" i="9"/>
  <c r="BX363" i="9"/>
  <c r="BX353" i="9"/>
  <c r="BX343" i="9"/>
  <c r="BX334" i="9"/>
  <c r="BX324" i="9"/>
  <c r="BX315" i="9"/>
  <c r="BX307" i="9"/>
  <c r="BX295" i="9"/>
  <c r="BX299" i="9"/>
  <c r="BX284" i="9"/>
  <c r="BX279" i="9"/>
  <c r="BX260" i="9"/>
  <c r="BX265" i="9"/>
  <c r="BX267" i="9"/>
  <c r="BX258" i="9"/>
  <c r="BX242" i="9"/>
  <c r="BX232" i="9"/>
  <c r="BX226" i="9"/>
  <c r="BX220" i="9"/>
  <c r="BX221" i="9"/>
  <c r="BX182" i="9"/>
  <c r="BX235" i="9"/>
  <c r="BX195" i="9"/>
  <c r="BX162" i="9"/>
  <c r="BX173" i="9"/>
  <c r="BX142" i="9"/>
  <c r="BX145" i="9"/>
  <c r="BX148" i="9"/>
  <c r="BX159" i="9"/>
  <c r="BX123" i="9"/>
  <c r="BX107" i="9"/>
  <c r="BX110" i="9"/>
  <c r="BX64" i="9"/>
  <c r="BX73" i="9"/>
  <c r="BX82" i="9"/>
  <c r="BX67" i="9"/>
  <c r="BX60" i="9"/>
  <c r="BX46" i="9"/>
  <c r="BX20" i="9"/>
  <c r="BX164" i="9"/>
  <c r="BX298" i="9"/>
  <c r="BX178" i="9"/>
  <c r="BX333" i="9"/>
  <c r="BX80" i="9"/>
  <c r="BX358" i="9"/>
  <c r="BX37" i="9"/>
  <c r="BX310" i="9"/>
  <c r="BX36" i="9"/>
  <c r="BX117" i="9"/>
  <c r="BX194" i="9"/>
  <c r="BX313" i="9"/>
  <c r="BX93" i="9"/>
  <c r="BX192" i="9"/>
  <c r="BX321" i="9"/>
  <c r="BX47" i="9"/>
  <c r="BX17" i="9"/>
  <c r="BX76" i="9"/>
  <c r="BX128" i="9"/>
  <c r="BX275" i="9"/>
  <c r="BX328" i="9"/>
  <c r="BX40" i="9"/>
  <c r="BX33" i="9"/>
  <c r="BX83" i="9"/>
  <c r="BX160" i="9"/>
  <c r="BX180" i="9"/>
  <c r="BX273" i="9"/>
  <c r="BX14" i="9"/>
  <c r="BX97" i="9"/>
  <c r="BX143" i="9"/>
  <c r="BX211" i="9"/>
  <c r="BX278" i="9"/>
  <c r="BX346" i="9"/>
  <c r="BX42" i="9"/>
  <c r="BX34" i="9"/>
  <c r="BX27" i="9"/>
  <c r="BX24" i="9"/>
  <c r="CG12" i="12"/>
  <c r="CQ361" i="12"/>
  <c r="CQ362" i="12"/>
  <c r="CQ363" i="12"/>
  <c r="CQ360" i="12"/>
  <c r="CQ356" i="12"/>
  <c r="CQ358" i="12"/>
  <c r="CQ357" i="12"/>
  <c r="CQ359" i="12"/>
  <c r="CQ353" i="12"/>
  <c r="CQ351" i="12"/>
  <c r="CQ355" i="12"/>
  <c r="CQ352" i="12"/>
  <c r="CQ350" i="12"/>
  <c r="CQ354" i="12"/>
  <c r="CQ348" i="12"/>
  <c r="CQ347" i="12"/>
  <c r="CQ344" i="12"/>
  <c r="CQ345" i="12"/>
  <c r="CQ341" i="12"/>
  <c r="CQ349" i="12"/>
  <c r="CQ337" i="12"/>
  <c r="CQ343" i="12"/>
  <c r="CQ339" i="12"/>
  <c r="CQ342" i="12"/>
  <c r="CQ340" i="12"/>
  <c r="CQ338" i="12"/>
  <c r="CQ333" i="12"/>
  <c r="CQ346" i="12"/>
  <c r="CQ334" i="12"/>
  <c r="CQ335" i="12"/>
  <c r="CQ331" i="12"/>
  <c r="CQ336" i="12"/>
  <c r="CQ332" i="12"/>
  <c r="CQ327" i="12"/>
  <c r="CQ328" i="12"/>
  <c r="CQ330" i="12"/>
  <c r="CQ329" i="12"/>
  <c r="CQ325" i="12"/>
  <c r="CQ326" i="12"/>
  <c r="CQ324" i="12"/>
  <c r="CQ321" i="12"/>
  <c r="CQ322" i="12"/>
  <c r="CQ318" i="12"/>
  <c r="CQ323" i="12"/>
  <c r="CQ319" i="12"/>
  <c r="CQ317" i="12"/>
  <c r="CQ314" i="12"/>
  <c r="CQ315" i="12"/>
  <c r="CQ316" i="12"/>
  <c r="CQ312" i="12"/>
  <c r="CQ307" i="12"/>
  <c r="CQ310" i="12"/>
  <c r="CQ308" i="12"/>
  <c r="CQ304" i="12"/>
  <c r="CQ320" i="12"/>
  <c r="CQ313" i="12"/>
  <c r="CQ309" i="12"/>
  <c r="CQ311" i="12"/>
  <c r="CQ303" i="12"/>
  <c r="CQ301" i="12"/>
  <c r="CQ297" i="12"/>
  <c r="CQ293" i="12"/>
  <c r="CQ306" i="12"/>
  <c r="CQ302" i="12"/>
  <c r="CQ298" i="12"/>
  <c r="CQ294" i="12"/>
  <c r="CQ299" i="12"/>
  <c r="CQ295" i="12"/>
  <c r="CQ305" i="12"/>
  <c r="CQ300" i="12"/>
  <c r="CQ296" i="12"/>
  <c r="CQ292" i="12"/>
  <c r="CQ286" i="12"/>
  <c r="CQ282" i="12"/>
  <c r="CQ287" i="12"/>
  <c r="CQ283" i="12"/>
  <c r="CQ290" i="12"/>
  <c r="CQ288" i="12"/>
  <c r="CQ284" i="12"/>
  <c r="CQ289" i="12"/>
  <c r="CQ285" i="12"/>
  <c r="CQ281" i="12"/>
  <c r="CQ277" i="12"/>
  <c r="CQ273" i="12"/>
  <c r="CQ269" i="12"/>
  <c r="CQ265" i="12"/>
  <c r="CQ291" i="12"/>
  <c r="CQ280" i="12"/>
  <c r="CQ279" i="12"/>
  <c r="CQ274" i="12"/>
  <c r="CQ270" i="12"/>
  <c r="CQ266" i="12"/>
  <c r="CQ275" i="12"/>
  <c r="CQ271" i="12"/>
  <c r="CQ267" i="12"/>
  <c r="CQ278" i="12"/>
  <c r="CQ272" i="12"/>
  <c r="CQ268" i="12"/>
  <c r="CQ264" i="12"/>
  <c r="CQ260" i="12"/>
  <c r="CQ256" i="12"/>
  <c r="CQ252" i="12"/>
  <c r="CQ263" i="12"/>
  <c r="CQ261" i="12"/>
  <c r="CQ257" i="12"/>
  <c r="CQ253" i="12"/>
  <c r="CQ249" i="12"/>
  <c r="CQ262" i="12"/>
  <c r="CQ258" i="12"/>
  <c r="CQ254" i="12"/>
  <c r="CQ250" i="12"/>
  <c r="CQ276" i="12"/>
  <c r="CQ251" i="12"/>
  <c r="CQ246" i="12"/>
  <c r="CQ242" i="12"/>
  <c r="CQ238" i="12"/>
  <c r="CQ234" i="12"/>
  <c r="CQ259" i="12"/>
  <c r="CQ255" i="12"/>
  <c r="CQ247" i="12"/>
  <c r="CQ243" i="12"/>
  <c r="CQ239" i="12"/>
  <c r="CQ235" i="12"/>
  <c r="CQ248" i="12"/>
  <c r="CQ244" i="12"/>
  <c r="CQ240" i="12"/>
  <c r="CQ236" i="12"/>
  <c r="CQ245" i="12"/>
  <c r="CQ241" i="12"/>
  <c r="CQ237" i="12"/>
  <c r="CQ230" i="12"/>
  <c r="CQ231" i="12"/>
  <c r="CQ227" i="12"/>
  <c r="CQ223" i="12"/>
  <c r="CQ232" i="12"/>
  <c r="CQ228" i="12"/>
  <c r="CQ224" i="12"/>
  <c r="CQ217" i="12"/>
  <c r="CQ213" i="12"/>
  <c r="CQ222" i="12"/>
  <c r="CQ218" i="12"/>
  <c r="CQ214" i="12"/>
  <c r="CQ210" i="12"/>
  <c r="CQ233" i="12"/>
  <c r="CQ225" i="12"/>
  <c r="CQ219" i="12"/>
  <c r="CQ215" i="12"/>
  <c r="CQ211" i="12"/>
  <c r="CQ207" i="12"/>
  <c r="CQ205" i="12"/>
  <c r="CQ201" i="12"/>
  <c r="CQ197" i="12"/>
  <c r="CQ226" i="12"/>
  <c r="CQ221" i="12"/>
  <c r="CQ220" i="12"/>
  <c r="CQ209" i="12"/>
  <c r="CQ206" i="12"/>
  <c r="CQ202" i="12"/>
  <c r="CQ198" i="12"/>
  <c r="CQ212" i="12"/>
  <c r="CQ203" i="12"/>
  <c r="CQ199" i="12"/>
  <c r="CQ195" i="12"/>
  <c r="CQ229" i="12"/>
  <c r="CQ216" i="12"/>
  <c r="CQ204" i="12"/>
  <c r="CQ200" i="12"/>
  <c r="CQ196" i="12"/>
  <c r="CQ193" i="12"/>
  <c r="CQ189" i="12"/>
  <c r="CQ185" i="12"/>
  <c r="CQ181" i="12"/>
  <c r="CQ177" i="12"/>
  <c r="CQ173" i="12"/>
  <c r="CQ194" i="12"/>
  <c r="CQ191" i="12"/>
  <c r="CQ187" i="12"/>
  <c r="CQ183" i="12"/>
  <c r="CQ179" i="12"/>
  <c r="CQ175" i="12"/>
  <c r="CQ171" i="12"/>
  <c r="CQ167" i="12"/>
  <c r="CQ184" i="12"/>
  <c r="CQ176" i="12"/>
  <c r="CQ162" i="12"/>
  <c r="CQ158" i="12"/>
  <c r="CQ154" i="12"/>
  <c r="CQ150" i="12"/>
  <c r="CQ146" i="12"/>
  <c r="CQ186" i="12"/>
  <c r="CQ178" i="12"/>
  <c r="CQ165" i="12"/>
  <c r="CQ164" i="12"/>
  <c r="CQ163" i="12"/>
  <c r="CQ159" i="12"/>
  <c r="CQ155" i="12"/>
  <c r="CQ151" i="12"/>
  <c r="CQ147" i="12"/>
  <c r="CQ208" i="12"/>
  <c r="CQ166" i="12"/>
  <c r="CQ188" i="12"/>
  <c r="CQ180" i="12"/>
  <c r="CQ160" i="12"/>
  <c r="CQ156" i="12"/>
  <c r="CQ152" i="12"/>
  <c r="CQ148" i="12"/>
  <c r="CQ192" i="12"/>
  <c r="CQ190" i="12"/>
  <c r="CQ182" i="12"/>
  <c r="CQ174" i="12"/>
  <c r="CQ172" i="12"/>
  <c r="CQ169" i="12"/>
  <c r="CQ170" i="12"/>
  <c r="CQ161" i="12"/>
  <c r="CQ141" i="12"/>
  <c r="CQ137" i="12"/>
  <c r="CQ133" i="12"/>
  <c r="CQ129" i="12"/>
  <c r="CQ125" i="12"/>
  <c r="CQ145" i="12"/>
  <c r="CQ157" i="12"/>
  <c r="CQ142" i="12"/>
  <c r="CQ138" i="12"/>
  <c r="CQ134" i="12"/>
  <c r="CQ153" i="12"/>
  <c r="CQ143" i="12"/>
  <c r="CQ139" i="12"/>
  <c r="CQ135" i="12"/>
  <c r="CQ131" i="12"/>
  <c r="CQ127" i="12"/>
  <c r="CQ123" i="12"/>
  <c r="CQ149" i="12"/>
  <c r="CQ118" i="12"/>
  <c r="CQ114" i="12"/>
  <c r="CQ168" i="12"/>
  <c r="CQ136" i="12"/>
  <c r="CQ128" i="12"/>
  <c r="CQ124" i="12"/>
  <c r="CQ122" i="12"/>
  <c r="CQ119" i="12"/>
  <c r="CQ144" i="12"/>
  <c r="CQ121" i="12"/>
  <c r="CQ116" i="12"/>
  <c r="CQ112" i="12"/>
  <c r="CQ132" i="12"/>
  <c r="CQ130" i="12"/>
  <c r="CQ126" i="12"/>
  <c r="CQ117" i="12"/>
  <c r="CQ113" i="12"/>
  <c r="CQ140" i="12"/>
  <c r="CQ110" i="12"/>
  <c r="CQ106" i="12"/>
  <c r="CQ102" i="12"/>
  <c r="CQ98" i="12"/>
  <c r="CQ94" i="12"/>
  <c r="CQ90" i="12"/>
  <c r="CQ86" i="12"/>
  <c r="CQ82" i="12"/>
  <c r="CQ120" i="12"/>
  <c r="CQ111" i="12"/>
  <c r="CQ107" i="12"/>
  <c r="CQ103" i="12"/>
  <c r="CQ99" i="12"/>
  <c r="CQ95" i="12"/>
  <c r="CQ91" i="12"/>
  <c r="CQ108" i="12"/>
  <c r="CQ104" i="12"/>
  <c r="CQ100" i="12"/>
  <c r="CQ96" i="12"/>
  <c r="CQ92" i="12"/>
  <c r="CQ88" i="12"/>
  <c r="CQ84" i="12"/>
  <c r="CQ109" i="12"/>
  <c r="CQ105" i="12"/>
  <c r="CQ101" i="12"/>
  <c r="CQ97" i="12"/>
  <c r="CQ93" i="12"/>
  <c r="CQ89" i="12"/>
  <c r="CQ85" i="12"/>
  <c r="CQ115" i="12"/>
  <c r="CQ79" i="12"/>
  <c r="CQ75" i="12"/>
  <c r="CQ71" i="12"/>
  <c r="CQ67" i="12"/>
  <c r="CQ63" i="12"/>
  <c r="CQ59" i="12"/>
  <c r="CQ55" i="12"/>
  <c r="CQ51" i="12"/>
  <c r="CQ80" i="12"/>
  <c r="CQ76" i="12"/>
  <c r="CQ72" i="12"/>
  <c r="CQ68" i="12"/>
  <c r="CQ64" i="12"/>
  <c r="CQ60" i="12"/>
  <c r="CQ56" i="12"/>
  <c r="CQ81" i="12"/>
  <c r="CQ77" i="12"/>
  <c r="CQ73" i="12"/>
  <c r="CQ69" i="12"/>
  <c r="CQ65" i="12"/>
  <c r="CQ61" i="12"/>
  <c r="CQ57" i="12"/>
  <c r="CQ53" i="12"/>
  <c r="CQ87" i="12"/>
  <c r="CQ83" i="12"/>
  <c r="CQ78" i="12"/>
  <c r="CQ74" i="12"/>
  <c r="CQ70" i="12"/>
  <c r="CQ66" i="12"/>
  <c r="CQ62" i="12"/>
  <c r="CQ58" i="12"/>
  <c r="CQ54" i="12"/>
  <c r="CQ47" i="12"/>
  <c r="CQ43" i="12"/>
  <c r="CQ39" i="12"/>
  <c r="CQ35" i="12"/>
  <c r="CQ31" i="12"/>
  <c r="CQ27" i="12"/>
  <c r="CQ23" i="12"/>
  <c r="CQ48" i="12"/>
  <c r="CQ44" i="12"/>
  <c r="CQ40" i="12"/>
  <c r="CQ36" i="12"/>
  <c r="CQ32" i="12"/>
  <c r="CQ28" i="12"/>
  <c r="CQ24" i="12"/>
  <c r="CQ49" i="12"/>
  <c r="CQ45" i="12"/>
  <c r="CQ41" i="12"/>
  <c r="CQ37" i="12"/>
  <c r="CQ33" i="12"/>
  <c r="CQ29" i="12"/>
  <c r="CQ25" i="12"/>
  <c r="CQ52" i="12"/>
  <c r="CQ15" i="12"/>
  <c r="CQ50" i="12"/>
  <c r="CQ38" i="12"/>
  <c r="CQ30" i="12"/>
  <c r="CQ20" i="12"/>
  <c r="CQ16" i="12"/>
  <c r="CQ34" i="12"/>
  <c r="CQ21" i="12"/>
  <c r="CQ17" i="12"/>
  <c r="CQ13" i="12"/>
  <c r="CQ19" i="12"/>
  <c r="CQ46" i="12"/>
  <c r="CQ26" i="12"/>
  <c r="CQ22" i="12"/>
  <c r="CQ18" i="12"/>
  <c r="CQ14" i="12"/>
  <c r="CQ42" i="12"/>
  <c r="S361" i="12"/>
  <c r="S362" i="12"/>
  <c r="S363" i="12"/>
  <c r="S359" i="12"/>
  <c r="S356" i="12"/>
  <c r="S357" i="12"/>
  <c r="S358" i="12"/>
  <c r="S360" i="12"/>
  <c r="S353" i="12"/>
  <c r="S351" i="12"/>
  <c r="S355" i="12"/>
  <c r="S352" i="12"/>
  <c r="S354" i="12"/>
  <c r="S350" i="12"/>
  <c r="S349" i="12"/>
  <c r="S347" i="12"/>
  <c r="S348" i="12"/>
  <c r="S344" i="12"/>
  <c r="S345" i="12"/>
  <c r="S343" i="12"/>
  <c r="S341" i="12"/>
  <c r="S337" i="12"/>
  <c r="S346" i="12"/>
  <c r="S342" i="12"/>
  <c r="S339" i="12"/>
  <c r="S340" i="12"/>
  <c r="S333" i="12"/>
  <c r="S334" i="12"/>
  <c r="S335" i="12"/>
  <c r="S331" i="12"/>
  <c r="S336" i="12"/>
  <c r="S332" i="12"/>
  <c r="S327" i="12"/>
  <c r="S338" i="12"/>
  <c r="S328" i="12"/>
  <c r="S329" i="12"/>
  <c r="S325" i="12"/>
  <c r="S330" i="12"/>
  <c r="S326" i="12"/>
  <c r="S321" i="12"/>
  <c r="S322" i="12"/>
  <c r="S318" i="12"/>
  <c r="S323" i="12"/>
  <c r="S319" i="12"/>
  <c r="S317" i="12"/>
  <c r="S324" i="12"/>
  <c r="S314" i="12"/>
  <c r="S315" i="12"/>
  <c r="S316" i="12"/>
  <c r="S312" i="12"/>
  <c r="S320" i="12"/>
  <c r="S307" i="12"/>
  <c r="S310" i="12"/>
  <c r="S308" i="12"/>
  <c r="S304" i="12"/>
  <c r="S313" i="12"/>
  <c r="S311" i="12"/>
  <c r="S309" i="12"/>
  <c r="S301" i="12"/>
  <c r="S297" i="12"/>
  <c r="S293" i="12"/>
  <c r="S302" i="12"/>
  <c r="S298" i="12"/>
  <c r="S294" i="12"/>
  <c r="S306" i="12"/>
  <c r="S303" i="12"/>
  <c r="S299" i="12"/>
  <c r="S295" i="12"/>
  <c r="S305" i="12"/>
  <c r="S300" i="12"/>
  <c r="S296" i="12"/>
  <c r="S292" i="12"/>
  <c r="S286" i="12"/>
  <c r="S282" i="12"/>
  <c r="S290" i="12"/>
  <c r="S287" i="12"/>
  <c r="S283" i="12"/>
  <c r="S288" i="12"/>
  <c r="S284" i="12"/>
  <c r="S291" i="12"/>
  <c r="S289" i="12"/>
  <c r="S285" i="12"/>
  <c r="S281" i="12"/>
  <c r="S277" i="12"/>
  <c r="S273" i="12"/>
  <c r="S269" i="12"/>
  <c r="S265" i="12"/>
  <c r="S279" i="12"/>
  <c r="S274" i="12"/>
  <c r="S270" i="12"/>
  <c r="S266" i="12"/>
  <c r="S280" i="12"/>
  <c r="S275" i="12"/>
  <c r="S271" i="12"/>
  <c r="S267" i="12"/>
  <c r="S276" i="12"/>
  <c r="S272" i="12"/>
  <c r="S268" i="12"/>
  <c r="S264" i="12"/>
  <c r="S260" i="12"/>
  <c r="S256" i="12"/>
  <c r="S252" i="12"/>
  <c r="S278" i="12"/>
  <c r="S261" i="12"/>
  <c r="S257" i="12"/>
  <c r="S253" i="12"/>
  <c r="S249" i="12"/>
  <c r="S262" i="12"/>
  <c r="S258" i="12"/>
  <c r="S254" i="12"/>
  <c r="S250" i="12"/>
  <c r="S259" i="12"/>
  <c r="S255" i="12"/>
  <c r="S246" i="12"/>
  <c r="S242" i="12"/>
  <c r="S238" i="12"/>
  <c r="S247" i="12"/>
  <c r="S243" i="12"/>
  <c r="S239" i="12"/>
  <c r="S263" i="12"/>
  <c r="S248" i="12"/>
  <c r="S244" i="12"/>
  <c r="S240" i="12"/>
  <c r="S236" i="12"/>
  <c r="S245" i="12"/>
  <c r="S241" i="12"/>
  <c r="S237" i="12"/>
  <c r="S235" i="12"/>
  <c r="S230" i="12"/>
  <c r="S251" i="12"/>
  <c r="S234" i="12"/>
  <c r="S231" i="12"/>
  <c r="S227" i="12"/>
  <c r="S223" i="12"/>
  <c r="S232" i="12"/>
  <c r="S228" i="12"/>
  <c r="S224" i="12"/>
  <c r="S229" i="12"/>
  <c r="S217" i="12"/>
  <c r="S213" i="12"/>
  <c r="S222" i="12"/>
  <c r="S218" i="12"/>
  <c r="S214" i="12"/>
  <c r="S225" i="12"/>
  <c r="S219" i="12"/>
  <c r="S215" i="12"/>
  <c r="S211" i="12"/>
  <c r="S207" i="12"/>
  <c r="S233" i="12"/>
  <c r="S226" i="12"/>
  <c r="S216" i="12"/>
  <c r="S208" i="12"/>
  <c r="S205" i="12"/>
  <c r="S201" i="12"/>
  <c r="S197" i="12"/>
  <c r="S206" i="12"/>
  <c r="S202" i="12"/>
  <c r="S198" i="12"/>
  <c r="S221" i="12"/>
  <c r="S209" i="12"/>
  <c r="S220" i="12"/>
  <c r="S203" i="12"/>
  <c r="S199" i="12"/>
  <c r="S195" i="12"/>
  <c r="S212" i="12"/>
  <c r="S204" i="12"/>
  <c r="S200" i="12"/>
  <c r="S196" i="12"/>
  <c r="S193" i="12"/>
  <c r="S189" i="12"/>
  <c r="S185" i="12"/>
  <c r="S181" i="12"/>
  <c r="S177" i="12"/>
  <c r="S173" i="12"/>
  <c r="S194" i="12"/>
  <c r="S191" i="12"/>
  <c r="S187" i="12"/>
  <c r="S183" i="12"/>
  <c r="S179" i="12"/>
  <c r="S175" i="12"/>
  <c r="S171" i="12"/>
  <c r="S167" i="12"/>
  <c r="S186" i="12"/>
  <c r="S178" i="12"/>
  <c r="S162" i="12"/>
  <c r="S158" i="12"/>
  <c r="S154" i="12"/>
  <c r="S150" i="12"/>
  <c r="S146" i="12"/>
  <c r="S164" i="12"/>
  <c r="S165" i="12"/>
  <c r="S163" i="12"/>
  <c r="S159" i="12"/>
  <c r="S155" i="12"/>
  <c r="S151" i="12"/>
  <c r="S147" i="12"/>
  <c r="S192" i="12"/>
  <c r="S188" i="12"/>
  <c r="S180" i="12"/>
  <c r="S166" i="12"/>
  <c r="S190" i="12"/>
  <c r="S182" i="12"/>
  <c r="S174" i="12"/>
  <c r="S172" i="12"/>
  <c r="S160" i="12"/>
  <c r="S156" i="12"/>
  <c r="S152" i="12"/>
  <c r="S148" i="12"/>
  <c r="S210" i="12"/>
  <c r="S161" i="12"/>
  <c r="S176" i="12"/>
  <c r="S169" i="12"/>
  <c r="S168" i="12"/>
  <c r="S145" i="12"/>
  <c r="S141" i="12"/>
  <c r="S137" i="12"/>
  <c r="S133" i="12"/>
  <c r="S129" i="12"/>
  <c r="S125" i="12"/>
  <c r="S157" i="12"/>
  <c r="S149" i="12"/>
  <c r="S142" i="12"/>
  <c r="S138" i="12"/>
  <c r="S134" i="12"/>
  <c r="S170" i="12"/>
  <c r="S153" i="12"/>
  <c r="S184" i="12"/>
  <c r="S143" i="12"/>
  <c r="S139" i="12"/>
  <c r="S135" i="12"/>
  <c r="S131" i="12"/>
  <c r="S127" i="12"/>
  <c r="S123" i="12"/>
  <c r="S140" i="12"/>
  <c r="S121" i="12"/>
  <c r="S118" i="12"/>
  <c r="S119" i="12"/>
  <c r="S136" i="12"/>
  <c r="S128" i="12"/>
  <c r="S124" i="12"/>
  <c r="S120" i="12"/>
  <c r="S116" i="12"/>
  <c r="S112" i="12"/>
  <c r="S144" i="12"/>
  <c r="S122" i="12"/>
  <c r="S132" i="12"/>
  <c r="S117" i="12"/>
  <c r="S113" i="12"/>
  <c r="S130" i="12"/>
  <c r="S126" i="12"/>
  <c r="S110" i="12"/>
  <c r="S106" i="12"/>
  <c r="S102" i="12"/>
  <c r="S98" i="12"/>
  <c r="S94" i="12"/>
  <c r="S90" i="12"/>
  <c r="S86" i="12"/>
  <c r="S114" i="12"/>
  <c r="S111" i="12"/>
  <c r="S107" i="12"/>
  <c r="S103" i="12"/>
  <c r="S99" i="12"/>
  <c r="S95" i="12"/>
  <c r="S91" i="12"/>
  <c r="S108" i="12"/>
  <c r="S104" i="12"/>
  <c r="S100" i="12"/>
  <c r="S96" i="12"/>
  <c r="S92" i="12"/>
  <c r="S88" i="12"/>
  <c r="S84" i="12"/>
  <c r="S115" i="12"/>
  <c r="S109" i="12"/>
  <c r="S105" i="12"/>
  <c r="S101" i="12"/>
  <c r="S97" i="12"/>
  <c r="S93" i="12"/>
  <c r="S89" i="12"/>
  <c r="S85" i="12"/>
  <c r="S79" i="12"/>
  <c r="S75" i="12"/>
  <c r="S71" i="12"/>
  <c r="S67" i="12"/>
  <c r="S63" i="12"/>
  <c r="S59" i="12"/>
  <c r="S55" i="12"/>
  <c r="S51" i="12"/>
  <c r="S80" i="12"/>
  <c r="S76" i="12"/>
  <c r="S72" i="12"/>
  <c r="S68" i="12"/>
  <c r="S64" i="12"/>
  <c r="S60" i="12"/>
  <c r="S56" i="12"/>
  <c r="S87" i="12"/>
  <c r="S83" i="12"/>
  <c r="S81" i="12"/>
  <c r="S77" i="12"/>
  <c r="S73" i="12"/>
  <c r="S69" i="12"/>
  <c r="S65" i="12"/>
  <c r="S61" i="12"/>
  <c r="S57" i="12"/>
  <c r="S53" i="12"/>
  <c r="S82" i="12"/>
  <c r="S78" i="12"/>
  <c r="S74" i="12"/>
  <c r="S70" i="12"/>
  <c r="S66" i="12"/>
  <c r="S62" i="12"/>
  <c r="S58" i="12"/>
  <c r="S54" i="12"/>
  <c r="S47" i="12"/>
  <c r="S43" i="12"/>
  <c r="S39" i="12"/>
  <c r="S35" i="12"/>
  <c r="S31" i="12"/>
  <c r="S27" i="12"/>
  <c r="S23" i="12"/>
  <c r="S48" i="12"/>
  <c r="S44" i="12"/>
  <c r="S40" i="12"/>
  <c r="S36" i="12"/>
  <c r="S32" i="12"/>
  <c r="S28" i="12"/>
  <c r="S24" i="12"/>
  <c r="S52" i="12"/>
  <c r="S49" i="12"/>
  <c r="S45" i="12"/>
  <c r="S41" i="12"/>
  <c r="S37" i="12"/>
  <c r="S33" i="12"/>
  <c r="S29" i="12"/>
  <c r="S25" i="12"/>
  <c r="S50" i="12"/>
  <c r="S38" i="12"/>
  <c r="S30" i="12"/>
  <c r="S34" i="12"/>
  <c r="S20" i="12"/>
  <c r="S16" i="12"/>
  <c r="S46" i="12"/>
  <c r="S21" i="12"/>
  <c r="S17" i="12"/>
  <c r="S13" i="12"/>
  <c r="S26" i="12"/>
  <c r="S19" i="12"/>
  <c r="S15" i="12"/>
  <c r="S42" i="12"/>
  <c r="S22" i="12"/>
  <c r="S18" i="12"/>
  <c r="S14" i="12"/>
  <c r="EL12" i="12"/>
  <c r="BX363" i="12"/>
  <c r="BX360" i="12"/>
  <c r="BX361" i="12"/>
  <c r="BX362" i="12"/>
  <c r="BX358" i="12"/>
  <c r="BX355" i="12"/>
  <c r="BX359" i="12"/>
  <c r="BX357" i="12"/>
  <c r="BX352" i="12"/>
  <c r="BX356" i="12"/>
  <c r="BX354" i="12"/>
  <c r="BX351" i="12"/>
  <c r="BX353" i="12"/>
  <c r="BX349" i="12"/>
  <c r="BX350" i="12"/>
  <c r="BX346" i="12"/>
  <c r="BX348" i="12"/>
  <c r="BX347" i="12"/>
  <c r="BX343" i="12"/>
  <c r="BX344" i="12"/>
  <c r="BX340" i="12"/>
  <c r="BX345" i="12"/>
  <c r="BX342" i="12"/>
  <c r="BX338" i="12"/>
  <c r="BX339" i="12"/>
  <c r="BX336" i="12"/>
  <c r="BX332" i="12"/>
  <c r="BX334" i="12"/>
  <c r="BX335" i="12"/>
  <c r="BX331" i="12"/>
  <c r="BX326" i="12"/>
  <c r="BX337" i="12"/>
  <c r="BX333" i="12"/>
  <c r="BX330" i="12"/>
  <c r="BX328" i="12"/>
  <c r="BX324" i="12"/>
  <c r="BX341" i="12"/>
  <c r="BX329" i="12"/>
  <c r="BX325" i="12"/>
  <c r="BX323" i="12"/>
  <c r="BX327" i="12"/>
  <c r="BX321" i="12"/>
  <c r="BX317" i="12"/>
  <c r="BX322" i="12"/>
  <c r="BX318" i="12"/>
  <c r="BX316" i="12"/>
  <c r="BX314" i="12"/>
  <c r="BX319" i="12"/>
  <c r="BX315" i="12"/>
  <c r="BX311" i="12"/>
  <c r="BX306" i="12"/>
  <c r="BX312" i="12"/>
  <c r="BX307" i="12"/>
  <c r="BX308" i="12"/>
  <c r="BX310" i="12"/>
  <c r="BX309" i="12"/>
  <c r="BX300" i="12"/>
  <c r="BX296" i="12"/>
  <c r="BX292" i="12"/>
  <c r="BX303" i="12"/>
  <c r="BX320" i="12"/>
  <c r="BX301" i="12"/>
  <c r="BX297" i="12"/>
  <c r="BX293" i="12"/>
  <c r="BX305" i="12"/>
  <c r="BX302" i="12"/>
  <c r="BX298" i="12"/>
  <c r="BX294" i="12"/>
  <c r="BX304" i="12"/>
  <c r="BX299" i="12"/>
  <c r="BX295" i="12"/>
  <c r="BX291" i="12"/>
  <c r="BX290" i="12"/>
  <c r="BX289" i="12"/>
  <c r="BX285" i="12"/>
  <c r="BX313" i="12"/>
  <c r="BX286" i="12"/>
  <c r="BX282" i="12"/>
  <c r="BX287" i="12"/>
  <c r="BX283" i="12"/>
  <c r="BX288" i="12"/>
  <c r="BX284" i="12"/>
  <c r="BX280" i="12"/>
  <c r="BX276" i="12"/>
  <c r="BX272" i="12"/>
  <c r="BX268" i="12"/>
  <c r="BX264" i="12"/>
  <c r="BX273" i="12"/>
  <c r="BX269" i="12"/>
  <c r="BX265" i="12"/>
  <c r="BX278" i="12"/>
  <c r="BX281" i="12"/>
  <c r="BX277" i="12"/>
  <c r="BX274" i="12"/>
  <c r="BX270" i="12"/>
  <c r="BX266" i="12"/>
  <c r="BX279" i="12"/>
  <c r="BX275" i="12"/>
  <c r="BX271" i="12"/>
  <c r="BX267" i="12"/>
  <c r="BX263" i="12"/>
  <c r="BX259" i="12"/>
  <c r="BX255" i="12"/>
  <c r="BX251" i="12"/>
  <c r="BX260" i="12"/>
  <c r="BX256" i="12"/>
  <c r="BX252" i="12"/>
  <c r="BX261" i="12"/>
  <c r="BX257" i="12"/>
  <c r="BX253" i="12"/>
  <c r="BX245" i="12"/>
  <c r="BX241" i="12"/>
  <c r="BX237" i="12"/>
  <c r="BX262" i="12"/>
  <c r="BX248" i="12"/>
  <c r="BX246" i="12"/>
  <c r="BX242" i="12"/>
  <c r="BX238" i="12"/>
  <c r="BX250" i="12"/>
  <c r="BX247" i="12"/>
  <c r="BX243" i="12"/>
  <c r="BX239" i="12"/>
  <c r="BX235" i="12"/>
  <c r="BX254" i="12"/>
  <c r="BX244" i="12"/>
  <c r="BX240" i="12"/>
  <c r="BX236" i="12"/>
  <c r="BX233" i="12"/>
  <c r="BX229" i="12"/>
  <c r="BX249" i="12"/>
  <c r="BX234" i="12"/>
  <c r="BX230" i="12"/>
  <c r="BX226" i="12"/>
  <c r="BX258" i="12"/>
  <c r="BX231" i="12"/>
  <c r="BX227" i="12"/>
  <c r="BX223" i="12"/>
  <c r="BX220" i="12"/>
  <c r="BX216" i="12"/>
  <c r="BX212" i="12"/>
  <c r="BX224" i="12"/>
  <c r="BX228" i="12"/>
  <c r="BX221" i="12"/>
  <c r="BX217" i="12"/>
  <c r="BX213" i="12"/>
  <c r="BX232" i="12"/>
  <c r="BX222" i="12"/>
  <c r="BX225" i="12"/>
  <c r="BX218" i="12"/>
  <c r="BX214" i="12"/>
  <c r="BX210" i="12"/>
  <c r="BX206" i="12"/>
  <c r="BX215" i="12"/>
  <c r="BX204" i="12"/>
  <c r="BX200" i="12"/>
  <c r="BX196" i="12"/>
  <c r="BX211" i="12"/>
  <c r="BX208" i="12"/>
  <c r="BX205" i="12"/>
  <c r="BX201" i="12"/>
  <c r="BX197" i="12"/>
  <c r="BX219" i="12"/>
  <c r="BX209" i="12"/>
  <c r="BX202" i="12"/>
  <c r="BX198" i="12"/>
  <c r="BX207" i="12"/>
  <c r="BX203" i="12"/>
  <c r="BX199" i="12"/>
  <c r="BX195" i="12"/>
  <c r="BX192" i="12"/>
  <c r="BX188" i="12"/>
  <c r="BX184" i="12"/>
  <c r="BX180" i="12"/>
  <c r="BX176" i="12"/>
  <c r="BX172" i="12"/>
  <c r="BX193" i="12"/>
  <c r="BX194" i="12"/>
  <c r="BX190" i="12"/>
  <c r="BX186" i="12"/>
  <c r="BX182" i="12"/>
  <c r="BX178" i="12"/>
  <c r="BX174" i="12"/>
  <c r="BX170" i="12"/>
  <c r="BX166" i="12"/>
  <c r="BX187" i="12"/>
  <c r="BX179" i="12"/>
  <c r="BX167" i="12"/>
  <c r="BX161" i="12"/>
  <c r="BX157" i="12"/>
  <c r="BX153" i="12"/>
  <c r="BX149" i="12"/>
  <c r="BX145" i="12"/>
  <c r="BX171" i="12"/>
  <c r="BX189" i="12"/>
  <c r="BX181" i="12"/>
  <c r="BX173" i="12"/>
  <c r="BX169" i="12"/>
  <c r="BX168" i="12"/>
  <c r="BX162" i="12"/>
  <c r="BX158" i="12"/>
  <c r="BX154" i="12"/>
  <c r="BX150" i="12"/>
  <c r="BX146" i="12"/>
  <c r="BX191" i="12"/>
  <c r="BX183" i="12"/>
  <c r="BX175" i="12"/>
  <c r="BX163" i="12"/>
  <c r="BX159" i="12"/>
  <c r="BX155" i="12"/>
  <c r="BX151" i="12"/>
  <c r="BX147" i="12"/>
  <c r="BX164" i="12"/>
  <c r="BX152" i="12"/>
  <c r="BX144" i="12"/>
  <c r="BX140" i="12"/>
  <c r="BX136" i="12"/>
  <c r="BX132" i="12"/>
  <c r="BX128" i="12"/>
  <c r="BX185" i="12"/>
  <c r="BX141" i="12"/>
  <c r="BX137" i="12"/>
  <c r="BX133" i="12"/>
  <c r="BX160" i="12"/>
  <c r="BX165" i="12"/>
  <c r="BX142" i="12"/>
  <c r="BX138" i="12"/>
  <c r="BX134" i="12"/>
  <c r="BX130" i="12"/>
  <c r="BX126" i="12"/>
  <c r="BX122" i="12"/>
  <c r="BX177" i="12"/>
  <c r="BX156" i="12"/>
  <c r="BX131" i="12"/>
  <c r="BX120" i="12"/>
  <c r="BX117" i="12"/>
  <c r="BX139" i="12"/>
  <c r="BX124" i="12"/>
  <c r="BX118" i="12"/>
  <c r="BX148" i="12"/>
  <c r="BX119" i="12"/>
  <c r="BX115" i="12"/>
  <c r="BX135" i="12"/>
  <c r="BX123" i="12"/>
  <c r="BX129" i="12"/>
  <c r="BX125" i="12"/>
  <c r="BX116" i="12"/>
  <c r="BX112" i="12"/>
  <c r="BX143" i="12"/>
  <c r="BX113" i="12"/>
  <c r="BX109" i="12"/>
  <c r="BX105" i="12"/>
  <c r="BX101" i="12"/>
  <c r="BX97" i="12"/>
  <c r="BX93" i="12"/>
  <c r="BX89" i="12"/>
  <c r="BX85" i="12"/>
  <c r="BX110" i="12"/>
  <c r="BX106" i="12"/>
  <c r="BX102" i="12"/>
  <c r="BX98" i="12"/>
  <c r="BX94" i="12"/>
  <c r="BX127" i="12"/>
  <c r="BX121" i="12"/>
  <c r="BX111" i="12"/>
  <c r="BX107" i="12"/>
  <c r="BX103" i="12"/>
  <c r="BX99" i="12"/>
  <c r="BX95" i="12"/>
  <c r="BX91" i="12"/>
  <c r="BX87" i="12"/>
  <c r="BX83" i="12"/>
  <c r="BX114" i="12"/>
  <c r="BX108" i="12"/>
  <c r="BX104" i="12"/>
  <c r="BX100" i="12"/>
  <c r="BX96" i="12"/>
  <c r="BX92" i="12"/>
  <c r="BX88" i="12"/>
  <c r="BX84" i="12"/>
  <c r="BX78" i="12"/>
  <c r="BX74" i="12"/>
  <c r="BX70" i="12"/>
  <c r="BX66" i="12"/>
  <c r="BX62" i="12"/>
  <c r="BX58" i="12"/>
  <c r="BX54" i="12"/>
  <c r="BX90" i="12"/>
  <c r="BX79" i="12"/>
  <c r="BX75" i="12"/>
  <c r="BX71" i="12"/>
  <c r="BX67" i="12"/>
  <c r="BX63" i="12"/>
  <c r="BX59" i="12"/>
  <c r="BX55" i="12"/>
  <c r="BX80" i="12"/>
  <c r="BX76" i="12"/>
  <c r="BX72" i="12"/>
  <c r="BX68" i="12"/>
  <c r="BX64" i="12"/>
  <c r="BX60" i="12"/>
  <c r="BX56" i="12"/>
  <c r="BX52" i="12"/>
  <c r="BX86" i="12"/>
  <c r="BX82" i="12"/>
  <c r="BX81" i="12"/>
  <c r="BX77" i="12"/>
  <c r="BX73" i="12"/>
  <c r="BX69" i="12"/>
  <c r="BX65" i="12"/>
  <c r="BX61" i="12"/>
  <c r="BX57" i="12"/>
  <c r="BX50" i="12"/>
  <c r="BX46" i="12"/>
  <c r="BX42" i="12"/>
  <c r="BX38" i="12"/>
  <c r="BX34" i="12"/>
  <c r="BX30" i="12"/>
  <c r="BX26" i="12"/>
  <c r="BX22" i="12"/>
  <c r="BX51" i="12"/>
  <c r="BX47" i="12"/>
  <c r="BX43" i="12"/>
  <c r="BX39" i="12"/>
  <c r="BX35" i="12"/>
  <c r="BX31" i="12"/>
  <c r="BX27" i="12"/>
  <c r="BX23" i="12"/>
  <c r="BX53" i="12"/>
  <c r="BX48" i="12"/>
  <c r="BX44" i="12"/>
  <c r="BX40" i="12"/>
  <c r="BX36" i="12"/>
  <c r="BX32" i="12"/>
  <c r="BX28" i="12"/>
  <c r="BX24" i="12"/>
  <c r="BX49" i="12"/>
  <c r="BX37" i="12"/>
  <c r="BX29" i="12"/>
  <c r="BX33" i="12"/>
  <c r="BX19" i="12"/>
  <c r="BX15" i="12"/>
  <c r="BX13" i="12"/>
  <c r="BX45" i="12"/>
  <c r="BX20" i="12"/>
  <c r="BX16" i="12"/>
  <c r="BX18" i="12"/>
  <c r="BX25" i="12"/>
  <c r="BX41" i="12"/>
  <c r="BX21" i="12"/>
  <c r="BX17" i="12"/>
  <c r="BX14" i="12"/>
  <c r="DS12" i="12"/>
  <c r="CZ12" i="12"/>
  <c r="AL362" i="12"/>
  <c r="AL363" i="12"/>
  <c r="AL361" i="12"/>
  <c r="AL358" i="12"/>
  <c r="AL359" i="12"/>
  <c r="AL355" i="12"/>
  <c r="AL356" i="12"/>
  <c r="AL354" i="12"/>
  <c r="AL357" i="12"/>
  <c r="AL360" i="12"/>
  <c r="AL352" i="12"/>
  <c r="AL353" i="12"/>
  <c r="AL351" i="12"/>
  <c r="AL350" i="12"/>
  <c r="AL345" i="12"/>
  <c r="AL348" i="12"/>
  <c r="AL346" i="12"/>
  <c r="AL342" i="12"/>
  <c r="AL338" i="12"/>
  <c r="AL343" i="12"/>
  <c r="AL340" i="12"/>
  <c r="AL349" i="12"/>
  <c r="AL341" i="12"/>
  <c r="AL334" i="12"/>
  <c r="AL335" i="12"/>
  <c r="AL337" i="12"/>
  <c r="AL344" i="12"/>
  <c r="AL339" i="12"/>
  <c r="AL336" i="12"/>
  <c r="AL332" i="12"/>
  <c r="AL333" i="12"/>
  <c r="AL328" i="12"/>
  <c r="AL324" i="12"/>
  <c r="AL331" i="12"/>
  <c r="AL347" i="12"/>
  <c r="AL329" i="12"/>
  <c r="AL330" i="12"/>
  <c r="AL326" i="12"/>
  <c r="AL327" i="12"/>
  <c r="AL321" i="12"/>
  <c r="AL322" i="12"/>
  <c r="AL323" i="12"/>
  <c r="AL319" i="12"/>
  <c r="AL325" i="12"/>
  <c r="AL320" i="12"/>
  <c r="AL317" i="12"/>
  <c r="AL314" i="12"/>
  <c r="AL315" i="12"/>
  <c r="AL318" i="12"/>
  <c r="AL316" i="12"/>
  <c r="AL313" i="12"/>
  <c r="AL311" i="12"/>
  <c r="AL308" i="12"/>
  <c r="AL309" i="12"/>
  <c r="AL305" i="12"/>
  <c r="AL312" i="12"/>
  <c r="AL310" i="12"/>
  <c r="AL306" i="12"/>
  <c r="AL307" i="12"/>
  <c r="AL302" i="12"/>
  <c r="AL298" i="12"/>
  <c r="AL294" i="12"/>
  <c r="AL303" i="12"/>
  <c r="AL299" i="12"/>
  <c r="AL295" i="12"/>
  <c r="AL300" i="12"/>
  <c r="AL296" i="12"/>
  <c r="AL292" i="12"/>
  <c r="AL304" i="12"/>
  <c r="AL301" i="12"/>
  <c r="AL297" i="12"/>
  <c r="AL293" i="12"/>
  <c r="AL287" i="12"/>
  <c r="AL283" i="12"/>
  <c r="AL290" i="12"/>
  <c r="AL291" i="12"/>
  <c r="AL288" i="12"/>
  <c r="AL284" i="12"/>
  <c r="AL289" i="12"/>
  <c r="AL285" i="12"/>
  <c r="AL281" i="12"/>
  <c r="AL286" i="12"/>
  <c r="AL282" i="12"/>
  <c r="AL278" i="12"/>
  <c r="AL280" i="12"/>
  <c r="AL274" i="12"/>
  <c r="AL270" i="12"/>
  <c r="AL266" i="12"/>
  <c r="AL277" i="12"/>
  <c r="AL275" i="12"/>
  <c r="AL271" i="12"/>
  <c r="AL267" i="12"/>
  <c r="AL279" i="12"/>
  <c r="AL276" i="12"/>
  <c r="AL272" i="12"/>
  <c r="AL268" i="12"/>
  <c r="AL264" i="12"/>
  <c r="AL273" i="12"/>
  <c r="AL269" i="12"/>
  <c r="AL265" i="12"/>
  <c r="AL261" i="12"/>
  <c r="AL257" i="12"/>
  <c r="AL253" i="12"/>
  <c r="AL262" i="12"/>
  <c r="AL258" i="12"/>
  <c r="AL254" i="12"/>
  <c r="AL250" i="12"/>
  <c r="AL263" i="12"/>
  <c r="AL259" i="12"/>
  <c r="AL255" i="12"/>
  <c r="AL251" i="12"/>
  <c r="AL247" i="12"/>
  <c r="AL243" i="12"/>
  <c r="AL239" i="12"/>
  <c r="AL235" i="12"/>
  <c r="AL260" i="12"/>
  <c r="AL256" i="12"/>
  <c r="AL249" i="12"/>
  <c r="AL248" i="12"/>
  <c r="AL244" i="12"/>
  <c r="AL240" i="12"/>
  <c r="AL236" i="12"/>
  <c r="AL245" i="12"/>
  <c r="AL241" i="12"/>
  <c r="AL237" i="12"/>
  <c r="AL246" i="12"/>
  <c r="AL242" i="12"/>
  <c r="AL238" i="12"/>
  <c r="AL234" i="12"/>
  <c r="AL231" i="12"/>
  <c r="AL227" i="12"/>
  <c r="AL232" i="12"/>
  <c r="AL228" i="12"/>
  <c r="AL224" i="12"/>
  <c r="AL252" i="12"/>
  <c r="AL233" i="12"/>
  <c r="AL229" i="12"/>
  <c r="AL225" i="12"/>
  <c r="AL221" i="12"/>
  <c r="AL223" i="12"/>
  <c r="AL218" i="12"/>
  <c r="AL214" i="12"/>
  <c r="AL219" i="12"/>
  <c r="AL215" i="12"/>
  <c r="AL211" i="12"/>
  <c r="AL226" i="12"/>
  <c r="AL220" i="12"/>
  <c r="AL216" i="12"/>
  <c r="AL212" i="12"/>
  <c r="AL208" i="12"/>
  <c r="AL230" i="12"/>
  <c r="AL202" i="12"/>
  <c r="AL198" i="12"/>
  <c r="AL213" i="12"/>
  <c r="AL222" i="12"/>
  <c r="AL210" i="12"/>
  <c r="AL203" i="12"/>
  <c r="AL199" i="12"/>
  <c r="AL195" i="12"/>
  <c r="AL204" i="12"/>
  <c r="AL200" i="12"/>
  <c r="AL196" i="12"/>
  <c r="AL217" i="12"/>
  <c r="AL209" i="12"/>
  <c r="AL207" i="12"/>
  <c r="AL206" i="12"/>
  <c r="AL205" i="12"/>
  <c r="AL201" i="12"/>
  <c r="AL197" i="12"/>
  <c r="AL194" i="12"/>
  <c r="AL190" i="12"/>
  <c r="AL186" i="12"/>
  <c r="AL182" i="12"/>
  <c r="AL178" i="12"/>
  <c r="AL174" i="12"/>
  <c r="AL192" i="12"/>
  <c r="AL188" i="12"/>
  <c r="AL184" i="12"/>
  <c r="AL180" i="12"/>
  <c r="AL176" i="12"/>
  <c r="AL172" i="12"/>
  <c r="AL168" i="12"/>
  <c r="AL164" i="12"/>
  <c r="AL191" i="12"/>
  <c r="AL185" i="12"/>
  <c r="AL183" i="12"/>
  <c r="AL177" i="12"/>
  <c r="AL175" i="12"/>
  <c r="AL163" i="12"/>
  <c r="AL159" i="12"/>
  <c r="AL155" i="12"/>
  <c r="AL151" i="12"/>
  <c r="AL147" i="12"/>
  <c r="AL170" i="12"/>
  <c r="AL169" i="12"/>
  <c r="AL167" i="12"/>
  <c r="AL193" i="12"/>
  <c r="AL160" i="12"/>
  <c r="AL156" i="12"/>
  <c r="AL152" i="12"/>
  <c r="AL148" i="12"/>
  <c r="AL189" i="12"/>
  <c r="AL187" i="12"/>
  <c r="AL181" i="12"/>
  <c r="AL179" i="12"/>
  <c r="AL165" i="12"/>
  <c r="AL161" i="12"/>
  <c r="AL157" i="12"/>
  <c r="AL153" i="12"/>
  <c r="AL149" i="12"/>
  <c r="AL145" i="12"/>
  <c r="AL173" i="12"/>
  <c r="AL171" i="12"/>
  <c r="AL166" i="12"/>
  <c r="AL150" i="12"/>
  <c r="AL162" i="12"/>
  <c r="AL142" i="12"/>
  <c r="AL138" i="12"/>
  <c r="AL134" i="12"/>
  <c r="AL130" i="12"/>
  <c r="AL126" i="12"/>
  <c r="AL158" i="12"/>
  <c r="AL143" i="12"/>
  <c r="AL139" i="12"/>
  <c r="AL135" i="12"/>
  <c r="AL131" i="12"/>
  <c r="AL146" i="12"/>
  <c r="AL154" i="12"/>
  <c r="AL144" i="12"/>
  <c r="AL140" i="12"/>
  <c r="AL136" i="12"/>
  <c r="AL132" i="12"/>
  <c r="AL128" i="12"/>
  <c r="AL124" i="12"/>
  <c r="AL119" i="12"/>
  <c r="AL115" i="12"/>
  <c r="AL122" i="12"/>
  <c r="AL120" i="12"/>
  <c r="AL137" i="12"/>
  <c r="AL117" i="12"/>
  <c r="AL113" i="12"/>
  <c r="AL127" i="12"/>
  <c r="AL123" i="12"/>
  <c r="AL118" i="12"/>
  <c r="AL114" i="12"/>
  <c r="AL133" i="12"/>
  <c r="AL111" i="12"/>
  <c r="AL107" i="12"/>
  <c r="AL103" i="12"/>
  <c r="AL99" i="12"/>
  <c r="AL95" i="12"/>
  <c r="AL91" i="12"/>
  <c r="AL87" i="12"/>
  <c r="AL83" i="12"/>
  <c r="AL116" i="12"/>
  <c r="AL125" i="12"/>
  <c r="AL112" i="12"/>
  <c r="AL108" i="12"/>
  <c r="AL104" i="12"/>
  <c r="AL100" i="12"/>
  <c r="AL96" i="12"/>
  <c r="AL92" i="12"/>
  <c r="AL109" i="12"/>
  <c r="AL105" i="12"/>
  <c r="AL101" i="12"/>
  <c r="AL97" i="12"/>
  <c r="AL93" i="12"/>
  <c r="AL89" i="12"/>
  <c r="AL85" i="12"/>
  <c r="AL121" i="12"/>
  <c r="AL141" i="12"/>
  <c r="AL110" i="12"/>
  <c r="AL106" i="12"/>
  <c r="AL102" i="12"/>
  <c r="AL98" i="12"/>
  <c r="AL94" i="12"/>
  <c r="AL90" i="12"/>
  <c r="AL86" i="12"/>
  <c r="AL129" i="12"/>
  <c r="AL80" i="12"/>
  <c r="AL76" i="12"/>
  <c r="AL72" i="12"/>
  <c r="AL68" i="12"/>
  <c r="AL64" i="12"/>
  <c r="AL60" i="12"/>
  <c r="AL56" i="12"/>
  <c r="AL52" i="12"/>
  <c r="AL81" i="12"/>
  <c r="AL77" i="12"/>
  <c r="AL73" i="12"/>
  <c r="AL69" i="12"/>
  <c r="AL65" i="12"/>
  <c r="AL61" i="12"/>
  <c r="AL57" i="12"/>
  <c r="AL88" i="12"/>
  <c r="AL84" i="12"/>
  <c r="AL82" i="12"/>
  <c r="AL78" i="12"/>
  <c r="AL74" i="12"/>
  <c r="AL70" i="12"/>
  <c r="AL66" i="12"/>
  <c r="AL62" i="12"/>
  <c r="AL58" i="12"/>
  <c r="AL54" i="12"/>
  <c r="AL79" i="12"/>
  <c r="AL75" i="12"/>
  <c r="AL71" i="12"/>
  <c r="AL67" i="12"/>
  <c r="AL63" i="12"/>
  <c r="AL59" i="12"/>
  <c r="AL55" i="12"/>
  <c r="AL53" i="12"/>
  <c r="AL48" i="12"/>
  <c r="AL44" i="12"/>
  <c r="AL40" i="12"/>
  <c r="AL36" i="12"/>
  <c r="AL32" i="12"/>
  <c r="AL28" i="12"/>
  <c r="AL24" i="12"/>
  <c r="AL49" i="12"/>
  <c r="AL45" i="12"/>
  <c r="AL41" i="12"/>
  <c r="AL37" i="12"/>
  <c r="AL33" i="12"/>
  <c r="AL29" i="12"/>
  <c r="AL25" i="12"/>
  <c r="AL50" i="12"/>
  <c r="AL46" i="12"/>
  <c r="AL42" i="12"/>
  <c r="AL38" i="12"/>
  <c r="AL34" i="12"/>
  <c r="AL30" i="12"/>
  <c r="AL26" i="12"/>
  <c r="AL22" i="12"/>
  <c r="AL51" i="12"/>
  <c r="AL35" i="12"/>
  <c r="AL23" i="12"/>
  <c r="AL47" i="12"/>
  <c r="AL27" i="12"/>
  <c r="AL21" i="12"/>
  <c r="AL17" i="12"/>
  <c r="AL16" i="12"/>
  <c r="AL18" i="12"/>
  <c r="AL14" i="12"/>
  <c r="AL43" i="12"/>
  <c r="AL31" i="12"/>
  <c r="AL19" i="12"/>
  <c r="AL15" i="12"/>
  <c r="AL13" i="12"/>
  <c r="AL39" i="12"/>
  <c r="AL20" i="12"/>
  <c r="DU12" i="9"/>
  <c r="DT12" i="9" s="1"/>
  <c r="EN12" i="9"/>
  <c r="EM12" i="9" s="1"/>
  <c r="BE363" i="9"/>
  <c r="BE361" i="9"/>
  <c r="BE359" i="9"/>
  <c r="BE362" i="9"/>
  <c r="BE360" i="9"/>
  <c r="BE357" i="9"/>
  <c r="BE356" i="9"/>
  <c r="BE354" i="9"/>
  <c r="BE358" i="9"/>
  <c r="BE355" i="9"/>
  <c r="BE353" i="9"/>
  <c r="BE352" i="9"/>
  <c r="BE350" i="9"/>
  <c r="BE351" i="9"/>
  <c r="BE347" i="9"/>
  <c r="BE348" i="9"/>
  <c r="BE349" i="9"/>
  <c r="BE345" i="9"/>
  <c r="BE344" i="9"/>
  <c r="BE340" i="9"/>
  <c r="BE342" i="9"/>
  <c r="BE338" i="9"/>
  <c r="BE339" i="9"/>
  <c r="BE341" i="9"/>
  <c r="BE343" i="9"/>
  <c r="BE335" i="9"/>
  <c r="BE337" i="9"/>
  <c r="BE331" i="9"/>
  <c r="BE346" i="9"/>
  <c r="BE332" i="9"/>
  <c r="BE333" i="9"/>
  <c r="BE334" i="9"/>
  <c r="BE329" i="9"/>
  <c r="BE325" i="9"/>
  <c r="BE326" i="9"/>
  <c r="BE327" i="9"/>
  <c r="BE328" i="9"/>
  <c r="BE321" i="9"/>
  <c r="BE322" i="9"/>
  <c r="BE330" i="9"/>
  <c r="BE323" i="9"/>
  <c r="BE324" i="9"/>
  <c r="BE317" i="9"/>
  <c r="BE318" i="9"/>
  <c r="BE312" i="9"/>
  <c r="BE313" i="9"/>
  <c r="BE319" i="9"/>
  <c r="BE314" i="9"/>
  <c r="BE315" i="9"/>
  <c r="BE336" i="9"/>
  <c r="BE316" i="9"/>
  <c r="BE310" i="9"/>
  <c r="BE320" i="9"/>
  <c r="BE311" i="9"/>
  <c r="BE303" i="9"/>
  <c r="BE304" i="9"/>
  <c r="BE305" i="9"/>
  <c r="BE306" i="9"/>
  <c r="BE307" i="9"/>
  <c r="BE299" i="9"/>
  <c r="BE301" i="9"/>
  <c r="BE292" i="9"/>
  <c r="BE293" i="9"/>
  <c r="BE308" i="9"/>
  <c r="BE302" i="9"/>
  <c r="BE294" i="9"/>
  <c r="BE295" i="9"/>
  <c r="BE309" i="9"/>
  <c r="BE296" i="9"/>
  <c r="BE288" i="9"/>
  <c r="BE298" i="9"/>
  <c r="BE291" i="9"/>
  <c r="BE289" i="9"/>
  <c r="BE286" i="9"/>
  <c r="BE287" i="9"/>
  <c r="BE300" i="9"/>
  <c r="BE297" i="9"/>
  <c r="BE290" i="9"/>
  <c r="BE281" i="9"/>
  <c r="BE284" i="9"/>
  <c r="BE273" i="9"/>
  <c r="BE285" i="9"/>
  <c r="BE283" i="9"/>
  <c r="BE274" i="9"/>
  <c r="BE275" i="9"/>
  <c r="BE276" i="9"/>
  <c r="BE282" i="9"/>
  <c r="BE280" i="9"/>
  <c r="BE277" i="9"/>
  <c r="BE279" i="9"/>
  <c r="BE271" i="9"/>
  <c r="BE265" i="9"/>
  <c r="BE266" i="9"/>
  <c r="BE267" i="9"/>
  <c r="BE259" i="9"/>
  <c r="BE268" i="9"/>
  <c r="BE260" i="9"/>
  <c r="BE269" i="9"/>
  <c r="BE261" i="9"/>
  <c r="BE272" i="9"/>
  <c r="BE262" i="9"/>
  <c r="BE252" i="9"/>
  <c r="BE270" i="9"/>
  <c r="BE253" i="9"/>
  <c r="BE254" i="9"/>
  <c r="BE255" i="9"/>
  <c r="BE263" i="9"/>
  <c r="BE256" i="9"/>
  <c r="BE248" i="9"/>
  <c r="BE278" i="9"/>
  <c r="BE264" i="9"/>
  <c r="BE258" i="9"/>
  <c r="BE250" i="9"/>
  <c r="BE249" i="9"/>
  <c r="BE241" i="9"/>
  <c r="BE257" i="9"/>
  <c r="BE242" i="9"/>
  <c r="BE243" i="9"/>
  <c r="BE235" i="9"/>
  <c r="BE244" i="9"/>
  <c r="BE236" i="9"/>
  <c r="BE251" i="9"/>
  <c r="BE247" i="9"/>
  <c r="BE245" i="9"/>
  <c r="BE237" i="9"/>
  <c r="BE246" i="9"/>
  <c r="BE239" i="9"/>
  <c r="BE227" i="9"/>
  <c r="BE219" i="9"/>
  <c r="BE211" i="9"/>
  <c r="BE228" i="9"/>
  <c r="BE220" i="9"/>
  <c r="BE212" i="9"/>
  <c r="BE238" i="9"/>
  <c r="BE229" i="9"/>
  <c r="BE221" i="9"/>
  <c r="BE213" i="9"/>
  <c r="BE230" i="9"/>
  <c r="BE222" i="9"/>
  <c r="BE214" i="9"/>
  <c r="BE240" i="9"/>
  <c r="BE231" i="9"/>
  <c r="BE223" i="9"/>
  <c r="BE215" i="9"/>
  <c r="BE207" i="9"/>
  <c r="BE232" i="9"/>
  <c r="BE224" i="9"/>
  <c r="BE216" i="9"/>
  <c r="BE208" i="9"/>
  <c r="BE233" i="9"/>
  <c r="BE225" i="9"/>
  <c r="BE217" i="9"/>
  <c r="BE209" i="9"/>
  <c r="BE201" i="9"/>
  <c r="BE193" i="9"/>
  <c r="BE185" i="9"/>
  <c r="BE234" i="9"/>
  <c r="BE218" i="9"/>
  <c r="BE202" i="9"/>
  <c r="BE194" i="9"/>
  <c r="BE186" i="9"/>
  <c r="BE226" i="9"/>
  <c r="BE203" i="9"/>
  <c r="BE195" i="9"/>
  <c r="BE187" i="9"/>
  <c r="BE204" i="9"/>
  <c r="BE196" i="9"/>
  <c r="BE188" i="9"/>
  <c r="BE180" i="9"/>
  <c r="BE205" i="9"/>
  <c r="BE197" i="9"/>
  <c r="BE189" i="9"/>
  <c r="BE181" i="9"/>
  <c r="BE210" i="9"/>
  <c r="BE206" i="9"/>
  <c r="BE198" i="9"/>
  <c r="BE190" i="9"/>
  <c r="BE182" i="9"/>
  <c r="BE199" i="9"/>
  <c r="BE191" i="9"/>
  <c r="BE183" i="9"/>
  <c r="BE172" i="9"/>
  <c r="BE179" i="9"/>
  <c r="BE175" i="9"/>
  <c r="BE167" i="9"/>
  <c r="BE159" i="9"/>
  <c r="BE176" i="9"/>
  <c r="BE168" i="9"/>
  <c r="BE160" i="9"/>
  <c r="BE152" i="9"/>
  <c r="BE177" i="9"/>
  <c r="BE169" i="9"/>
  <c r="BE161" i="9"/>
  <c r="BE153" i="9"/>
  <c r="BE192" i="9"/>
  <c r="BE184" i="9"/>
  <c r="BE178" i="9"/>
  <c r="BE170" i="9"/>
  <c r="BE162" i="9"/>
  <c r="BE156" i="9"/>
  <c r="BE146" i="9"/>
  <c r="BE138" i="9"/>
  <c r="BE147" i="9"/>
  <c r="BE139" i="9"/>
  <c r="BE200" i="9"/>
  <c r="BE165" i="9"/>
  <c r="BE157" i="9"/>
  <c r="BE148" i="9"/>
  <c r="BE140" i="9"/>
  <c r="BE150" i="9"/>
  <c r="BE142" i="9"/>
  <c r="BE134" i="9"/>
  <c r="BE135" i="9"/>
  <c r="BE133" i="9"/>
  <c r="BE131" i="9"/>
  <c r="BE123" i="9"/>
  <c r="BE154" i="9"/>
  <c r="BE132" i="9"/>
  <c r="BE124" i="9"/>
  <c r="BE116" i="9"/>
  <c r="BE164" i="9"/>
  <c r="BE144" i="9"/>
  <c r="BE125" i="9"/>
  <c r="BE174" i="9"/>
  <c r="BE171" i="9"/>
  <c r="BE155" i="9"/>
  <c r="BE126" i="9"/>
  <c r="BE118" i="9"/>
  <c r="BE173" i="9"/>
  <c r="BE166" i="9"/>
  <c r="BE158" i="9"/>
  <c r="BE145" i="9"/>
  <c r="BE136" i="9"/>
  <c r="BE127" i="9"/>
  <c r="BE119" i="9"/>
  <c r="BE149" i="9"/>
  <c r="BE143" i="9"/>
  <c r="BE141" i="9"/>
  <c r="BE128" i="9"/>
  <c r="BE120" i="9"/>
  <c r="BE151" i="9"/>
  <c r="BE130" i="9"/>
  <c r="BE117" i="9"/>
  <c r="BE111" i="9"/>
  <c r="BE103" i="9"/>
  <c r="BE95" i="9"/>
  <c r="BE112" i="9"/>
  <c r="BE104" i="9"/>
  <c r="BE96" i="9"/>
  <c r="BE129" i="9"/>
  <c r="BE121" i="9"/>
  <c r="BE114" i="9"/>
  <c r="BE106" i="9"/>
  <c r="BE98" i="9"/>
  <c r="BE137" i="9"/>
  <c r="BE122" i="9"/>
  <c r="BE115" i="9"/>
  <c r="BE107" i="9"/>
  <c r="BE99" i="9"/>
  <c r="BE85" i="9"/>
  <c r="BE77" i="9"/>
  <c r="BE69" i="9"/>
  <c r="BE61" i="9"/>
  <c r="BE53" i="9"/>
  <c r="BE45" i="9"/>
  <c r="BE110" i="9"/>
  <c r="BE86" i="9"/>
  <c r="BE78" i="9"/>
  <c r="BE70" i="9"/>
  <c r="BE62" i="9"/>
  <c r="BE54" i="9"/>
  <c r="BE108" i="9"/>
  <c r="BE101" i="9"/>
  <c r="BE93" i="9"/>
  <c r="BE87" i="9"/>
  <c r="BE79" i="9"/>
  <c r="BE71" i="9"/>
  <c r="BE63" i="9"/>
  <c r="BE55" i="9"/>
  <c r="BE47" i="9"/>
  <c r="BE113" i="9"/>
  <c r="BE97" i="9"/>
  <c r="BE88" i="9"/>
  <c r="BE80" i="9"/>
  <c r="BE72" i="9"/>
  <c r="BE64" i="9"/>
  <c r="BE56" i="9"/>
  <c r="BE48" i="9"/>
  <c r="BE89" i="9"/>
  <c r="BE81" i="9"/>
  <c r="BE73" i="9"/>
  <c r="BE65" i="9"/>
  <c r="BE57" i="9"/>
  <c r="BE49" i="9"/>
  <c r="BE109" i="9"/>
  <c r="BE100" i="9"/>
  <c r="BE91" i="9"/>
  <c r="BE163" i="9"/>
  <c r="BE75" i="9"/>
  <c r="BE52" i="9"/>
  <c r="BE44" i="9"/>
  <c r="BE40" i="9"/>
  <c r="BE83" i="9"/>
  <c r="BE43" i="9"/>
  <c r="BE41" i="9"/>
  <c r="BE33" i="9"/>
  <c r="BE25" i="9"/>
  <c r="BE17" i="9"/>
  <c r="BE82" i="9"/>
  <c r="BE68" i="9"/>
  <c r="BE46" i="9"/>
  <c r="BE42" i="9"/>
  <c r="BE34" i="9"/>
  <c r="BE26" i="9"/>
  <c r="BE18" i="9"/>
  <c r="BE90" i="9"/>
  <c r="BE35" i="9"/>
  <c r="BE27" i="9"/>
  <c r="BE19" i="9"/>
  <c r="BE94" i="9"/>
  <c r="BE92" i="9"/>
  <c r="BE76" i="9"/>
  <c r="BE60" i="9"/>
  <c r="BE51" i="9"/>
  <c r="BE50" i="9"/>
  <c r="BE36" i="9"/>
  <c r="BE28" i="9"/>
  <c r="BE20" i="9"/>
  <c r="BE102" i="9"/>
  <c r="BE38" i="9"/>
  <c r="BE30" i="9"/>
  <c r="BE22" i="9"/>
  <c r="BE14" i="9"/>
  <c r="BE105" i="9"/>
  <c r="BE66" i="9"/>
  <c r="BE32" i="9"/>
  <c r="BE29" i="9"/>
  <c r="BE16" i="9"/>
  <c r="BE39" i="9"/>
  <c r="BE21" i="9"/>
  <c r="BE31" i="9"/>
  <c r="BE15" i="9"/>
  <c r="BE58" i="9"/>
  <c r="BE59" i="9"/>
  <c r="BE13" i="9"/>
  <c r="BE74" i="9"/>
  <c r="BE84" i="9"/>
  <c r="BE67" i="9"/>
  <c r="BE24" i="9"/>
  <c r="BE37" i="9"/>
  <c r="BE23" i="9"/>
  <c r="FG12" i="9"/>
  <c r="FF12" i="9" s="1"/>
  <c r="AL362" i="9"/>
  <c r="AL363" i="9"/>
  <c r="AL360" i="9"/>
  <c r="AL358" i="9"/>
  <c r="AL359" i="9"/>
  <c r="AL361" i="9"/>
  <c r="AL356" i="9"/>
  <c r="AL357" i="9"/>
  <c r="AL354" i="9"/>
  <c r="AL352" i="9"/>
  <c r="AL355" i="9"/>
  <c r="AL353" i="9"/>
  <c r="AL351" i="9"/>
  <c r="AL350" i="9"/>
  <c r="AL346" i="9"/>
  <c r="AL347" i="9"/>
  <c r="AL348" i="9"/>
  <c r="AL341" i="9"/>
  <c r="AL342" i="9"/>
  <c r="AL343" i="9"/>
  <c r="AL344" i="9"/>
  <c r="AL345" i="9"/>
  <c r="AL349" i="9"/>
  <c r="AL336" i="9"/>
  <c r="AL337" i="9"/>
  <c r="AL338" i="9"/>
  <c r="AL339" i="9"/>
  <c r="AL340" i="9"/>
  <c r="AL335" i="9"/>
  <c r="AL333" i="9"/>
  <c r="AL330" i="9"/>
  <c r="AL329" i="9"/>
  <c r="AL332" i="9"/>
  <c r="AL325" i="9"/>
  <c r="AL334" i="9"/>
  <c r="AL326" i="9"/>
  <c r="AL319" i="9"/>
  <c r="AL320" i="9"/>
  <c r="AL331" i="9"/>
  <c r="AL321" i="9"/>
  <c r="AL322" i="9"/>
  <c r="AL323" i="9"/>
  <c r="AL316" i="9"/>
  <c r="AL328" i="9"/>
  <c r="AL327" i="9"/>
  <c r="AL324" i="9"/>
  <c r="AL314" i="9"/>
  <c r="AL307" i="9"/>
  <c r="AL312" i="9"/>
  <c r="AL308" i="9"/>
  <c r="AL300" i="9"/>
  <c r="AL309" i="9"/>
  <c r="AL310" i="9"/>
  <c r="AL302" i="9"/>
  <c r="AL313" i="9"/>
  <c r="AL311" i="9"/>
  <c r="AL303" i="9"/>
  <c r="AL315" i="9"/>
  <c r="AL304" i="9"/>
  <c r="AL297" i="9"/>
  <c r="AL318" i="9"/>
  <c r="AL299" i="9"/>
  <c r="AL298" i="9"/>
  <c r="AL290" i="9"/>
  <c r="AL317" i="9"/>
  <c r="AL301" i="9"/>
  <c r="AL291" i="9"/>
  <c r="AL305" i="9"/>
  <c r="AL292" i="9"/>
  <c r="AL306" i="9"/>
  <c r="AL293" i="9"/>
  <c r="AL295" i="9"/>
  <c r="AL296" i="9"/>
  <c r="AL283" i="9"/>
  <c r="AL284" i="9"/>
  <c r="AL285" i="9"/>
  <c r="AL286" i="9"/>
  <c r="AL281" i="9"/>
  <c r="AL280" i="9"/>
  <c r="AL278" i="9"/>
  <c r="AL270" i="9"/>
  <c r="AL294" i="9"/>
  <c r="AL279" i="9"/>
  <c r="AL271" i="9"/>
  <c r="AL272" i="9"/>
  <c r="AL273" i="9"/>
  <c r="AL282" i="9"/>
  <c r="AL276" i="9"/>
  <c r="AL289" i="9"/>
  <c r="AL274" i="9"/>
  <c r="AL262" i="9"/>
  <c r="AL288" i="9"/>
  <c r="AL263" i="9"/>
  <c r="AL264" i="9"/>
  <c r="AL275" i="9"/>
  <c r="AL265" i="9"/>
  <c r="AL277" i="9"/>
  <c r="AL266" i="9"/>
  <c r="AL267" i="9"/>
  <c r="AL259" i="9"/>
  <c r="AL287" i="9"/>
  <c r="AL257" i="9"/>
  <c r="AL249" i="9"/>
  <c r="AL258" i="9"/>
  <c r="AL250" i="9"/>
  <c r="AL251" i="9"/>
  <c r="AL252" i="9"/>
  <c r="AL268" i="9"/>
  <c r="AL260" i="9"/>
  <c r="AL253" i="9"/>
  <c r="AL261" i="9"/>
  <c r="AL255" i="9"/>
  <c r="AL247" i="9"/>
  <c r="AL246" i="9"/>
  <c r="AL238" i="9"/>
  <c r="AL239" i="9"/>
  <c r="AL269" i="9"/>
  <c r="AL254" i="9"/>
  <c r="AL240" i="9"/>
  <c r="AL241" i="9"/>
  <c r="AL242" i="9"/>
  <c r="AL248" i="9"/>
  <c r="AL256" i="9"/>
  <c r="AL244" i="9"/>
  <c r="AL236" i="9"/>
  <c r="AL232" i="9"/>
  <c r="AL224" i="9"/>
  <c r="AL216" i="9"/>
  <c r="AL208" i="9"/>
  <c r="AL233" i="9"/>
  <c r="AL225" i="9"/>
  <c r="AL217" i="9"/>
  <c r="AL209" i="9"/>
  <c r="AL234" i="9"/>
  <c r="AL226" i="9"/>
  <c r="AL218" i="9"/>
  <c r="AL210" i="9"/>
  <c r="AL227" i="9"/>
  <c r="AL219" i="9"/>
  <c r="AL211" i="9"/>
  <c r="AL235" i="9"/>
  <c r="AL228" i="9"/>
  <c r="AL220" i="9"/>
  <c r="AL212" i="9"/>
  <c r="AL229" i="9"/>
  <c r="AL221" i="9"/>
  <c r="AL213" i="9"/>
  <c r="AL245" i="9"/>
  <c r="AL243" i="9"/>
  <c r="AL237" i="9"/>
  <c r="AL230" i="9"/>
  <c r="AL222" i="9"/>
  <c r="AL214" i="9"/>
  <c r="AL206" i="9"/>
  <c r="AL198" i="9"/>
  <c r="AL190" i="9"/>
  <c r="AL182" i="9"/>
  <c r="AL231" i="9"/>
  <c r="AL215" i="9"/>
  <c r="AL199" i="9"/>
  <c r="AL191" i="9"/>
  <c r="AL183" i="9"/>
  <c r="AL223" i="9"/>
  <c r="AL200" i="9"/>
  <c r="AL192" i="9"/>
  <c r="AL184" i="9"/>
  <c r="AL207" i="9"/>
  <c r="AL201" i="9"/>
  <c r="AL193" i="9"/>
  <c r="AL185" i="9"/>
  <c r="AL202" i="9"/>
  <c r="AL194" i="9"/>
  <c r="AL186" i="9"/>
  <c r="AL203" i="9"/>
  <c r="AL195" i="9"/>
  <c r="AL187" i="9"/>
  <c r="AL179" i="9"/>
  <c r="AL204" i="9"/>
  <c r="AL196" i="9"/>
  <c r="AL188" i="9"/>
  <c r="AL180" i="9"/>
  <c r="AL177" i="9"/>
  <c r="AL169" i="9"/>
  <c r="AL197" i="9"/>
  <c r="AL178" i="9"/>
  <c r="AL205" i="9"/>
  <c r="AL189" i="9"/>
  <c r="AL181" i="9"/>
  <c r="AL172" i="9"/>
  <c r="AL164" i="9"/>
  <c r="AL156" i="9"/>
  <c r="AL173" i="9"/>
  <c r="AL165" i="9"/>
  <c r="AL157" i="9"/>
  <c r="AL174" i="9"/>
  <c r="AL166" i="9"/>
  <c r="AL158" i="9"/>
  <c r="AL175" i="9"/>
  <c r="AL167" i="9"/>
  <c r="AL159" i="9"/>
  <c r="AL143" i="9"/>
  <c r="AL135" i="9"/>
  <c r="AL162" i="9"/>
  <c r="AL152" i="9"/>
  <c r="AL144" i="9"/>
  <c r="AL136" i="9"/>
  <c r="AL155" i="9"/>
  <c r="AL154" i="9"/>
  <c r="AL153" i="9"/>
  <c r="AL145" i="9"/>
  <c r="AL137" i="9"/>
  <c r="AL176" i="9"/>
  <c r="AL168" i="9"/>
  <c r="AL147" i="9"/>
  <c r="AL139" i="9"/>
  <c r="AL134" i="9"/>
  <c r="AL128" i="9"/>
  <c r="AL120" i="9"/>
  <c r="AL146" i="9"/>
  <c r="AL129" i="9"/>
  <c r="AL121" i="9"/>
  <c r="AL160" i="9"/>
  <c r="AL138" i="9"/>
  <c r="AL130" i="9"/>
  <c r="AL148" i="9"/>
  <c r="AL140" i="9"/>
  <c r="AL131" i="9"/>
  <c r="AL123" i="9"/>
  <c r="AL133" i="9"/>
  <c r="AL132" i="9"/>
  <c r="AL124" i="9"/>
  <c r="AL116" i="9"/>
  <c r="AL163" i="9"/>
  <c r="AL151" i="9"/>
  <c r="AL150" i="9"/>
  <c r="AL142" i="9"/>
  <c r="AL125" i="9"/>
  <c r="AL117" i="9"/>
  <c r="AL171" i="9"/>
  <c r="AL149" i="9"/>
  <c r="AL115" i="9"/>
  <c r="AL126" i="9"/>
  <c r="AL118" i="9"/>
  <c r="AL108" i="9"/>
  <c r="AL100" i="9"/>
  <c r="AL119" i="9"/>
  <c r="AL109" i="9"/>
  <c r="AL101" i="9"/>
  <c r="AL93" i="9"/>
  <c r="AL122" i="9"/>
  <c r="AL111" i="9"/>
  <c r="AL103" i="9"/>
  <c r="AL95" i="9"/>
  <c r="AL112" i="9"/>
  <c r="AL104" i="9"/>
  <c r="AL96" i="9"/>
  <c r="AL105" i="9"/>
  <c r="AL98" i="9"/>
  <c r="AL94" i="9"/>
  <c r="AL90" i="9"/>
  <c r="AL82" i="9"/>
  <c r="AL74" i="9"/>
  <c r="AL66" i="9"/>
  <c r="AL58" i="9"/>
  <c r="AL50" i="9"/>
  <c r="AL107" i="9"/>
  <c r="AL91" i="9"/>
  <c r="AL83" i="9"/>
  <c r="AL75" i="9"/>
  <c r="AL67" i="9"/>
  <c r="AL59" i="9"/>
  <c r="AL51" i="9"/>
  <c r="AL110" i="9"/>
  <c r="AL92" i="9"/>
  <c r="AL84" i="9"/>
  <c r="AL76" i="9"/>
  <c r="AL68" i="9"/>
  <c r="AL60" i="9"/>
  <c r="AL52" i="9"/>
  <c r="AL85" i="9"/>
  <c r="AL77" i="9"/>
  <c r="AL69" i="9"/>
  <c r="AL61" i="9"/>
  <c r="AL53" i="9"/>
  <c r="AL45" i="9"/>
  <c r="AL170" i="9"/>
  <c r="AL113" i="9"/>
  <c r="AL106" i="9"/>
  <c r="AL97" i="9"/>
  <c r="AL86" i="9"/>
  <c r="AL78" i="9"/>
  <c r="AL70" i="9"/>
  <c r="AL62" i="9"/>
  <c r="AL54" i="9"/>
  <c r="AL46" i="9"/>
  <c r="AL102" i="9"/>
  <c r="AL88" i="9"/>
  <c r="AL127" i="9"/>
  <c r="AL114" i="9"/>
  <c r="AL99" i="9"/>
  <c r="AL73" i="9"/>
  <c r="AL57" i="9"/>
  <c r="AL55" i="9"/>
  <c r="AL43" i="9"/>
  <c r="AL37" i="9"/>
  <c r="AL38" i="9"/>
  <c r="AL30" i="9"/>
  <c r="AL22" i="9"/>
  <c r="AL14" i="9"/>
  <c r="AL141" i="9"/>
  <c r="AL80" i="9"/>
  <c r="AL79" i="9"/>
  <c r="AL39" i="9"/>
  <c r="AL31" i="9"/>
  <c r="AL23" i="9"/>
  <c r="AL15" i="9"/>
  <c r="AL87" i="9"/>
  <c r="AL40" i="9"/>
  <c r="AL32" i="9"/>
  <c r="AL24" i="9"/>
  <c r="AL16" i="9"/>
  <c r="AL161" i="9"/>
  <c r="AL81" i="9"/>
  <c r="AL48" i="9"/>
  <c r="AL41" i="9"/>
  <c r="AL33" i="9"/>
  <c r="AL25" i="9"/>
  <c r="AL17" i="9"/>
  <c r="AL72" i="9"/>
  <c r="AL65" i="9"/>
  <c r="AL63" i="9"/>
  <c r="AL35" i="9"/>
  <c r="AL27" i="9"/>
  <c r="AL19" i="9"/>
  <c r="AL49" i="9"/>
  <c r="AL44" i="9"/>
  <c r="AL64" i="9"/>
  <c r="AL42" i="9"/>
  <c r="AL29" i="9"/>
  <c r="AL26" i="9"/>
  <c r="AL20" i="9"/>
  <c r="AL18" i="9"/>
  <c r="AL13" i="9"/>
  <c r="AL34" i="9"/>
  <c r="AL28" i="9"/>
  <c r="AL36" i="9"/>
  <c r="AL21" i="9"/>
  <c r="AL89" i="9"/>
  <c r="AL56" i="9"/>
  <c r="AL47" i="9"/>
  <c r="AL71" i="9"/>
  <c r="CQ362" i="9"/>
  <c r="CQ363" i="9"/>
  <c r="CQ358" i="9"/>
  <c r="CQ359" i="9"/>
  <c r="CQ360" i="9"/>
  <c r="CQ361" i="9"/>
  <c r="CQ356" i="9"/>
  <c r="CQ357" i="9"/>
  <c r="CQ355" i="9"/>
  <c r="CQ352" i="9"/>
  <c r="CQ353" i="9"/>
  <c r="CQ354" i="9"/>
  <c r="CQ346" i="9"/>
  <c r="CQ347" i="9"/>
  <c r="CQ351" i="9"/>
  <c r="CQ348" i="9"/>
  <c r="CQ350" i="9"/>
  <c r="CQ342" i="9"/>
  <c r="CQ349" i="9"/>
  <c r="CQ343" i="9"/>
  <c r="CQ344" i="9"/>
  <c r="CQ345" i="9"/>
  <c r="CQ336" i="9"/>
  <c r="CQ341" i="9"/>
  <c r="CQ337" i="9"/>
  <c r="CQ340" i="9"/>
  <c r="CQ338" i="9"/>
  <c r="CQ339" i="9"/>
  <c r="CQ329" i="9"/>
  <c r="CQ330" i="9"/>
  <c r="CQ331" i="9"/>
  <c r="CQ335" i="9"/>
  <c r="CQ332" i="9"/>
  <c r="CQ334" i="9"/>
  <c r="CQ333" i="9"/>
  <c r="CQ325" i="9"/>
  <c r="CQ326" i="9"/>
  <c r="CQ327" i="9"/>
  <c r="CQ328" i="9"/>
  <c r="CQ319" i="9"/>
  <c r="CQ320" i="9"/>
  <c r="CQ324" i="9"/>
  <c r="CQ321" i="9"/>
  <c r="CQ322" i="9"/>
  <c r="CQ323" i="9"/>
  <c r="CQ316" i="9"/>
  <c r="CQ318" i="9"/>
  <c r="CQ317" i="9"/>
  <c r="CQ312" i="9"/>
  <c r="CQ315" i="9"/>
  <c r="CQ308" i="9"/>
  <c r="CQ309" i="9"/>
  <c r="CQ301" i="9"/>
  <c r="CQ310" i="9"/>
  <c r="CQ302" i="9"/>
  <c r="CQ311" i="9"/>
  <c r="CQ303" i="9"/>
  <c r="CQ304" i="9"/>
  <c r="CQ305" i="9"/>
  <c r="CQ298" i="9"/>
  <c r="CQ290" i="9"/>
  <c r="CQ291" i="9"/>
  <c r="CQ314" i="9"/>
  <c r="CQ292" i="9"/>
  <c r="CQ313" i="9"/>
  <c r="CQ293" i="9"/>
  <c r="CQ294" i="9"/>
  <c r="CQ296" i="9"/>
  <c r="CQ306" i="9"/>
  <c r="CQ288" i="9"/>
  <c r="CQ284" i="9"/>
  <c r="CQ307" i="9"/>
  <c r="CQ297" i="9"/>
  <c r="CQ289" i="9"/>
  <c r="CQ285" i="9"/>
  <c r="CQ299" i="9"/>
  <c r="CQ286" i="9"/>
  <c r="CQ287" i="9"/>
  <c r="CQ295" i="9"/>
  <c r="CQ282" i="9"/>
  <c r="CQ300" i="9"/>
  <c r="CQ279" i="9"/>
  <c r="CQ271" i="9"/>
  <c r="CQ272" i="9"/>
  <c r="CQ281" i="9"/>
  <c r="CQ273" i="9"/>
  <c r="CQ283" i="9"/>
  <c r="CQ274" i="9"/>
  <c r="CQ280" i="9"/>
  <c r="CQ277" i="9"/>
  <c r="CQ263" i="9"/>
  <c r="CQ264" i="9"/>
  <c r="CQ276" i="9"/>
  <c r="CQ265" i="9"/>
  <c r="CQ266" i="9"/>
  <c r="CQ267" i="9"/>
  <c r="CQ259" i="9"/>
  <c r="CQ275" i="9"/>
  <c r="CQ270" i="9"/>
  <c r="CQ268" i="9"/>
  <c r="CQ260" i="9"/>
  <c r="CQ269" i="9"/>
  <c r="CQ250" i="9"/>
  <c r="CQ262" i="9"/>
  <c r="CQ258" i="9"/>
  <c r="CQ251" i="9"/>
  <c r="CQ252" i="9"/>
  <c r="CQ278" i="9"/>
  <c r="CQ253" i="9"/>
  <c r="CQ254" i="9"/>
  <c r="CQ256" i="9"/>
  <c r="CQ248" i="9"/>
  <c r="CQ257" i="9"/>
  <c r="CQ239" i="9"/>
  <c r="CQ261" i="9"/>
  <c r="CQ240" i="9"/>
  <c r="CQ241" i="9"/>
  <c r="CQ242" i="9"/>
  <c r="CQ255" i="9"/>
  <c r="CQ243" i="9"/>
  <c r="CQ235" i="9"/>
  <c r="CQ247" i="9"/>
  <c r="CQ245" i="9"/>
  <c r="CQ244" i="9"/>
  <c r="CQ237" i="9"/>
  <c r="CQ233" i="9"/>
  <c r="CQ225" i="9"/>
  <c r="CQ217" i="9"/>
  <c r="CQ209" i="9"/>
  <c r="CQ234" i="9"/>
  <c r="CQ226" i="9"/>
  <c r="CQ218" i="9"/>
  <c r="CQ210" i="9"/>
  <c r="CQ236" i="9"/>
  <c r="CQ227" i="9"/>
  <c r="CQ219" i="9"/>
  <c r="CQ211" i="9"/>
  <c r="CQ246" i="9"/>
  <c r="CQ228" i="9"/>
  <c r="CQ220" i="9"/>
  <c r="CQ212" i="9"/>
  <c r="CQ249" i="9"/>
  <c r="CQ229" i="9"/>
  <c r="CQ221" i="9"/>
  <c r="CQ213" i="9"/>
  <c r="CQ238" i="9"/>
  <c r="CQ230" i="9"/>
  <c r="CQ222" i="9"/>
  <c r="CQ214" i="9"/>
  <c r="CQ231" i="9"/>
  <c r="CQ223" i="9"/>
  <c r="CQ215" i="9"/>
  <c r="CQ207" i="9"/>
  <c r="CQ224" i="9"/>
  <c r="CQ199" i="9"/>
  <c r="CQ191" i="9"/>
  <c r="CQ183" i="9"/>
  <c r="CQ208" i="9"/>
  <c r="CQ200" i="9"/>
  <c r="CQ192" i="9"/>
  <c r="CQ184" i="9"/>
  <c r="CQ201" i="9"/>
  <c r="CQ193" i="9"/>
  <c r="CQ185" i="9"/>
  <c r="CQ202" i="9"/>
  <c r="CQ194" i="9"/>
  <c r="CQ186" i="9"/>
  <c r="CQ203" i="9"/>
  <c r="CQ195" i="9"/>
  <c r="CQ187" i="9"/>
  <c r="CQ179" i="9"/>
  <c r="CQ204" i="9"/>
  <c r="CQ196" i="9"/>
  <c r="CQ188" i="9"/>
  <c r="CQ180" i="9"/>
  <c r="CQ205" i="9"/>
  <c r="CQ197" i="9"/>
  <c r="CQ189" i="9"/>
  <c r="CQ181" i="9"/>
  <c r="CQ178" i="9"/>
  <c r="CQ170" i="9"/>
  <c r="CQ232" i="9"/>
  <c r="CQ216" i="9"/>
  <c r="CQ198" i="9"/>
  <c r="CQ173" i="9"/>
  <c r="CQ165" i="9"/>
  <c r="CQ157" i="9"/>
  <c r="CQ174" i="9"/>
  <c r="CQ166" i="9"/>
  <c r="CQ158" i="9"/>
  <c r="CQ206" i="9"/>
  <c r="CQ175" i="9"/>
  <c r="CQ167" i="9"/>
  <c r="CQ159" i="9"/>
  <c r="CQ151" i="9"/>
  <c r="CQ190" i="9"/>
  <c r="CQ182" i="9"/>
  <c r="CQ176" i="9"/>
  <c r="CQ168" i="9"/>
  <c r="CQ160" i="9"/>
  <c r="CQ171" i="9"/>
  <c r="CQ144" i="9"/>
  <c r="CQ136" i="9"/>
  <c r="CQ172" i="9"/>
  <c r="CQ163" i="9"/>
  <c r="CQ145" i="9"/>
  <c r="CQ137" i="9"/>
  <c r="CQ146" i="9"/>
  <c r="CQ138" i="9"/>
  <c r="CQ162" i="9"/>
  <c r="CQ148" i="9"/>
  <c r="CQ140" i="9"/>
  <c r="CQ164" i="9"/>
  <c r="CQ155" i="9"/>
  <c r="CQ152" i="9"/>
  <c r="CQ150" i="9"/>
  <c r="CQ147" i="9"/>
  <c r="CQ142" i="9"/>
  <c r="CQ133" i="9"/>
  <c r="CQ129" i="9"/>
  <c r="CQ121" i="9"/>
  <c r="CQ161" i="9"/>
  <c r="CQ139" i="9"/>
  <c r="CQ130" i="9"/>
  <c r="CQ122" i="9"/>
  <c r="CQ156" i="9"/>
  <c r="CQ149" i="9"/>
  <c r="CQ141" i="9"/>
  <c r="CQ131" i="9"/>
  <c r="CQ123" i="9"/>
  <c r="CQ169" i="9"/>
  <c r="CQ153" i="9"/>
  <c r="CQ143" i="9"/>
  <c r="CQ134" i="9"/>
  <c r="CQ132" i="9"/>
  <c r="CQ124" i="9"/>
  <c r="CQ116" i="9"/>
  <c r="CQ177" i="9"/>
  <c r="CQ125" i="9"/>
  <c r="CQ117" i="9"/>
  <c r="CQ126" i="9"/>
  <c r="CQ118" i="9"/>
  <c r="CQ154" i="9"/>
  <c r="CQ135" i="9"/>
  <c r="CQ127" i="9"/>
  <c r="CQ109" i="9"/>
  <c r="CQ101" i="9"/>
  <c r="CQ93" i="9"/>
  <c r="CQ110" i="9"/>
  <c r="CQ102" i="9"/>
  <c r="CQ94" i="9"/>
  <c r="CQ119" i="9"/>
  <c r="CQ112" i="9"/>
  <c r="CQ104" i="9"/>
  <c r="CQ96" i="9"/>
  <c r="CQ113" i="9"/>
  <c r="CQ105" i="9"/>
  <c r="CQ97" i="9"/>
  <c r="CQ115" i="9"/>
  <c r="CQ111" i="9"/>
  <c r="CQ108" i="9"/>
  <c r="CQ99" i="9"/>
  <c r="CQ91" i="9"/>
  <c r="CQ83" i="9"/>
  <c r="CQ75" i="9"/>
  <c r="CQ67" i="9"/>
  <c r="CQ59" i="9"/>
  <c r="CQ51" i="9"/>
  <c r="CQ92" i="9"/>
  <c r="CQ84" i="9"/>
  <c r="CQ76" i="9"/>
  <c r="CQ68" i="9"/>
  <c r="CQ60" i="9"/>
  <c r="CQ52" i="9"/>
  <c r="CQ85" i="9"/>
  <c r="CQ77" i="9"/>
  <c r="CQ69" i="9"/>
  <c r="CQ61" i="9"/>
  <c r="CQ53" i="9"/>
  <c r="CQ98" i="9"/>
  <c r="CQ86" i="9"/>
  <c r="CQ78" i="9"/>
  <c r="CQ70" i="9"/>
  <c r="CQ62" i="9"/>
  <c r="CQ54" i="9"/>
  <c r="CQ46" i="9"/>
  <c r="CQ107" i="9"/>
  <c r="CQ103" i="9"/>
  <c r="CQ100" i="9"/>
  <c r="CQ87" i="9"/>
  <c r="CQ79" i="9"/>
  <c r="CQ71" i="9"/>
  <c r="CQ63" i="9"/>
  <c r="CQ55" i="9"/>
  <c r="CQ47" i="9"/>
  <c r="CQ128" i="9"/>
  <c r="CQ89" i="9"/>
  <c r="CQ120" i="9"/>
  <c r="CQ114" i="9"/>
  <c r="CQ88" i="9"/>
  <c r="CQ66" i="9"/>
  <c r="CQ65" i="9"/>
  <c r="CQ56" i="9"/>
  <c r="CQ38" i="9"/>
  <c r="CQ95" i="9"/>
  <c r="CQ39" i="9"/>
  <c r="CQ31" i="9"/>
  <c r="CQ23" i="9"/>
  <c r="CQ15" i="9"/>
  <c r="CQ90" i="9"/>
  <c r="CQ74" i="9"/>
  <c r="CQ73" i="9"/>
  <c r="CQ58" i="9"/>
  <c r="CQ57" i="9"/>
  <c r="CQ40" i="9"/>
  <c r="CQ32" i="9"/>
  <c r="CQ24" i="9"/>
  <c r="CQ16" i="9"/>
  <c r="CQ80" i="9"/>
  <c r="CQ41" i="9"/>
  <c r="CQ33" i="9"/>
  <c r="CQ25" i="9"/>
  <c r="CQ17" i="9"/>
  <c r="CQ13" i="9"/>
  <c r="CQ106" i="9"/>
  <c r="CQ82" i="9"/>
  <c r="CQ42" i="9"/>
  <c r="CQ34" i="9"/>
  <c r="CQ26" i="9"/>
  <c r="CQ18" i="9"/>
  <c r="CQ81" i="9"/>
  <c r="CQ64" i="9"/>
  <c r="CQ45" i="9"/>
  <c r="CQ36" i="9"/>
  <c r="CQ28" i="9"/>
  <c r="CQ20" i="9"/>
  <c r="CQ72" i="9"/>
  <c r="CQ49" i="9"/>
  <c r="CQ30" i="9"/>
  <c r="CQ29" i="9"/>
  <c r="CQ14" i="9"/>
  <c r="CQ44" i="9"/>
  <c r="CQ19" i="9"/>
  <c r="CQ50" i="9"/>
  <c r="CQ43" i="9"/>
  <c r="CQ37" i="9"/>
  <c r="CQ35" i="9"/>
  <c r="CQ27" i="9"/>
  <c r="CQ22" i="9"/>
  <c r="CQ21" i="9"/>
  <c r="CQ48" i="9"/>
  <c r="AB12" i="9"/>
  <c r="DB12" i="9"/>
  <c r="DA12" i="9" s="1"/>
  <c r="EV362" i="9"/>
  <c r="EV363" i="9"/>
  <c r="EV360" i="9"/>
  <c r="EV361" i="9"/>
  <c r="EV358" i="9"/>
  <c r="EV359" i="9"/>
  <c r="EV356" i="9"/>
  <c r="EV357" i="9"/>
  <c r="EV355" i="9"/>
  <c r="EV354" i="9"/>
  <c r="EV353" i="9"/>
  <c r="EV352" i="9"/>
  <c r="EV349" i="9"/>
  <c r="EV347" i="9"/>
  <c r="EV348" i="9"/>
  <c r="EV350" i="9"/>
  <c r="EV351" i="9"/>
  <c r="EV343" i="9"/>
  <c r="EV345" i="9"/>
  <c r="EV344" i="9"/>
  <c r="EV337" i="9"/>
  <c r="EV338" i="9"/>
  <c r="EV339" i="9"/>
  <c r="EV346" i="9"/>
  <c r="EV341" i="9"/>
  <c r="EV342" i="9"/>
  <c r="EV340" i="9"/>
  <c r="EV334" i="9"/>
  <c r="EV336" i="9"/>
  <c r="EV330" i="9"/>
  <c r="EV331" i="9"/>
  <c r="EV332" i="9"/>
  <c r="EV333" i="9"/>
  <c r="EV329" i="9"/>
  <c r="EV324" i="9"/>
  <c r="EV335" i="9"/>
  <c r="EV325" i="9"/>
  <c r="EV326" i="9"/>
  <c r="EV327" i="9"/>
  <c r="EV328" i="9"/>
  <c r="EV320" i="9"/>
  <c r="EV321" i="9"/>
  <c r="EV322" i="9"/>
  <c r="EV323" i="9"/>
  <c r="EV316" i="9"/>
  <c r="EV317" i="9"/>
  <c r="EV318" i="9"/>
  <c r="EV311" i="9"/>
  <c r="EV312" i="9"/>
  <c r="EV313" i="9"/>
  <c r="EV319" i="9"/>
  <c r="EV314" i="9"/>
  <c r="EV315" i="9"/>
  <c r="EV309" i="9"/>
  <c r="EV310" i="9"/>
  <c r="EV302" i="9"/>
  <c r="EV303" i="9"/>
  <c r="EV304" i="9"/>
  <c r="EV305" i="9"/>
  <c r="EV306" i="9"/>
  <c r="EV307" i="9"/>
  <c r="EV300" i="9"/>
  <c r="EV291" i="9"/>
  <c r="EV292" i="9"/>
  <c r="EV293" i="9"/>
  <c r="EV308" i="9"/>
  <c r="EV301" i="9"/>
  <c r="EV294" i="9"/>
  <c r="EV299" i="9"/>
  <c r="EV295" i="9"/>
  <c r="EV297" i="9"/>
  <c r="EV290" i="9"/>
  <c r="EV285" i="9"/>
  <c r="EV286" i="9"/>
  <c r="EV287" i="9"/>
  <c r="EV296" i="9"/>
  <c r="EV280" i="9"/>
  <c r="EV298" i="9"/>
  <c r="EV283" i="9"/>
  <c r="EV272" i="9"/>
  <c r="EV273" i="9"/>
  <c r="EV274" i="9"/>
  <c r="EV289" i="9"/>
  <c r="EV284" i="9"/>
  <c r="EV279" i="9"/>
  <c r="EV275" i="9"/>
  <c r="EV276" i="9"/>
  <c r="EV288" i="9"/>
  <c r="EV278" i="9"/>
  <c r="EV270" i="9"/>
  <c r="EV264" i="9"/>
  <c r="EV281" i="9"/>
  <c r="EV265" i="9"/>
  <c r="EV269" i="9"/>
  <c r="EV266" i="9"/>
  <c r="EV258" i="9"/>
  <c r="EV267" i="9"/>
  <c r="EV259" i="9"/>
  <c r="EV268" i="9"/>
  <c r="EV260" i="9"/>
  <c r="EV261" i="9"/>
  <c r="EV277" i="9"/>
  <c r="EV251" i="9"/>
  <c r="EV252" i="9"/>
  <c r="EV282" i="9"/>
  <c r="EV271" i="9"/>
  <c r="EV262" i="9"/>
  <c r="EV253" i="9"/>
  <c r="EV254" i="9"/>
  <c r="EV255" i="9"/>
  <c r="EV247" i="9"/>
  <c r="EV257" i="9"/>
  <c r="EV249" i="9"/>
  <c r="EV248" i="9"/>
  <c r="EV240" i="9"/>
  <c r="EV256" i="9"/>
  <c r="EV241" i="9"/>
  <c r="EV242" i="9"/>
  <c r="EV234" i="9"/>
  <c r="EV243" i="9"/>
  <c r="EV235" i="9"/>
  <c r="EV250" i="9"/>
  <c r="EV244" i="9"/>
  <c r="EV236" i="9"/>
  <c r="EV246" i="9"/>
  <c r="EV245" i="9"/>
  <c r="EV226" i="9"/>
  <c r="EV218" i="9"/>
  <c r="EV210" i="9"/>
  <c r="EV263" i="9"/>
  <c r="EV227" i="9"/>
  <c r="EV219" i="9"/>
  <c r="EV211" i="9"/>
  <c r="EV237" i="9"/>
  <c r="EV228" i="9"/>
  <c r="EV220" i="9"/>
  <c r="EV212" i="9"/>
  <c r="EV229" i="9"/>
  <c r="EV221" i="9"/>
  <c r="EV213" i="9"/>
  <c r="EV230" i="9"/>
  <c r="EV222" i="9"/>
  <c r="EV214" i="9"/>
  <c r="EV239" i="9"/>
  <c r="EV231" i="9"/>
  <c r="EV223" i="9"/>
  <c r="EV215" i="9"/>
  <c r="EV207" i="9"/>
  <c r="EV232" i="9"/>
  <c r="EV224" i="9"/>
  <c r="EV216" i="9"/>
  <c r="EV208" i="9"/>
  <c r="EV233" i="9"/>
  <c r="EV217" i="9"/>
  <c r="EV200" i="9"/>
  <c r="EV192" i="9"/>
  <c r="EV184" i="9"/>
  <c r="EV225" i="9"/>
  <c r="EV201" i="9"/>
  <c r="EV193" i="9"/>
  <c r="EV185" i="9"/>
  <c r="EV209" i="9"/>
  <c r="EV202" i="9"/>
  <c r="EV194" i="9"/>
  <c r="EV186" i="9"/>
  <c r="EV203" i="9"/>
  <c r="EV195" i="9"/>
  <c r="EV187" i="9"/>
  <c r="EV179" i="9"/>
  <c r="EV204" i="9"/>
  <c r="EV196" i="9"/>
  <c r="EV188" i="9"/>
  <c r="EV180" i="9"/>
  <c r="EV205" i="9"/>
  <c r="EV197" i="9"/>
  <c r="EV189" i="9"/>
  <c r="EV181" i="9"/>
  <c r="EV238" i="9"/>
  <c r="EV206" i="9"/>
  <c r="EV198" i="9"/>
  <c r="EV190" i="9"/>
  <c r="EV182" i="9"/>
  <c r="EV171" i="9"/>
  <c r="EV183" i="9"/>
  <c r="EV174" i="9"/>
  <c r="EV166" i="9"/>
  <c r="EV158" i="9"/>
  <c r="EV175" i="9"/>
  <c r="EV167" i="9"/>
  <c r="EV159" i="9"/>
  <c r="EV151" i="9"/>
  <c r="EV176" i="9"/>
  <c r="EV168" i="9"/>
  <c r="EV160" i="9"/>
  <c r="EV152" i="9"/>
  <c r="EV177" i="9"/>
  <c r="EV169" i="9"/>
  <c r="EV161" i="9"/>
  <c r="EV199" i="9"/>
  <c r="EV164" i="9"/>
  <c r="EV145" i="9"/>
  <c r="EV137" i="9"/>
  <c r="EV156" i="9"/>
  <c r="EV146" i="9"/>
  <c r="EV138" i="9"/>
  <c r="EV173" i="9"/>
  <c r="EV170" i="9"/>
  <c r="EV154" i="9"/>
  <c r="EV153" i="9"/>
  <c r="EV147" i="9"/>
  <c r="EV139" i="9"/>
  <c r="EV163" i="9"/>
  <c r="EV149" i="9"/>
  <c r="EV141" i="9"/>
  <c r="EV133" i="9"/>
  <c r="EV178" i="9"/>
  <c r="EV132" i="9"/>
  <c r="EV130" i="9"/>
  <c r="EV122" i="9"/>
  <c r="EV135" i="9"/>
  <c r="EV131" i="9"/>
  <c r="EV123" i="9"/>
  <c r="EV115" i="9"/>
  <c r="EV162" i="9"/>
  <c r="EV148" i="9"/>
  <c r="EV140" i="9"/>
  <c r="EV124" i="9"/>
  <c r="EV150" i="9"/>
  <c r="EV144" i="9"/>
  <c r="EV142" i="9"/>
  <c r="EV125" i="9"/>
  <c r="EV117" i="9"/>
  <c r="EV126" i="9"/>
  <c r="EV118" i="9"/>
  <c r="EV191" i="9"/>
  <c r="EV136" i="9"/>
  <c r="EV127" i="9"/>
  <c r="EV119" i="9"/>
  <c r="EV157" i="9"/>
  <c r="EV120" i="9"/>
  <c r="EV165" i="9"/>
  <c r="EV143" i="9"/>
  <c r="EV121" i="9"/>
  <c r="EV110" i="9"/>
  <c r="EV102" i="9"/>
  <c r="EV94" i="9"/>
  <c r="EV111" i="9"/>
  <c r="EV103" i="9"/>
  <c r="EV95" i="9"/>
  <c r="EV155" i="9"/>
  <c r="EV134" i="9"/>
  <c r="EV113" i="9"/>
  <c r="EV105" i="9"/>
  <c r="EV97" i="9"/>
  <c r="EV129" i="9"/>
  <c r="EV114" i="9"/>
  <c r="EV106" i="9"/>
  <c r="EV98" i="9"/>
  <c r="EV112" i="9"/>
  <c r="EV84" i="9"/>
  <c r="EV76" i="9"/>
  <c r="EV68" i="9"/>
  <c r="EV60" i="9"/>
  <c r="EV52" i="9"/>
  <c r="EV44" i="9"/>
  <c r="EV128" i="9"/>
  <c r="EV85" i="9"/>
  <c r="EV77" i="9"/>
  <c r="EV69" i="9"/>
  <c r="EV61" i="9"/>
  <c r="EV53" i="9"/>
  <c r="EV86" i="9"/>
  <c r="EV78" i="9"/>
  <c r="EV70" i="9"/>
  <c r="EV62" i="9"/>
  <c r="EV54" i="9"/>
  <c r="EV46" i="9"/>
  <c r="EV116" i="9"/>
  <c r="EV108" i="9"/>
  <c r="EV101" i="9"/>
  <c r="EV99" i="9"/>
  <c r="EV87" i="9"/>
  <c r="EV79" i="9"/>
  <c r="EV71" i="9"/>
  <c r="EV63" i="9"/>
  <c r="EV55" i="9"/>
  <c r="EV47" i="9"/>
  <c r="EV172" i="9"/>
  <c r="EV104" i="9"/>
  <c r="EV92" i="9"/>
  <c r="EV88" i="9"/>
  <c r="EV80" i="9"/>
  <c r="EV72" i="9"/>
  <c r="EV64" i="9"/>
  <c r="EV56" i="9"/>
  <c r="EV48" i="9"/>
  <c r="EV90" i="9"/>
  <c r="EV109" i="9"/>
  <c r="EV107" i="9"/>
  <c r="EV89" i="9"/>
  <c r="EV81" i="9"/>
  <c r="EV51" i="9"/>
  <c r="EV39" i="9"/>
  <c r="EV100" i="9"/>
  <c r="EV93" i="9"/>
  <c r="EV91" i="9"/>
  <c r="EV67" i="9"/>
  <c r="EV50" i="9"/>
  <c r="EV49" i="9"/>
  <c r="EV42" i="9"/>
  <c r="EV40" i="9"/>
  <c r="EV32" i="9"/>
  <c r="EV24" i="9"/>
  <c r="EV16" i="9"/>
  <c r="EV13" i="9"/>
  <c r="EV66" i="9"/>
  <c r="EV65" i="9"/>
  <c r="EV45" i="9"/>
  <c r="EV43" i="9"/>
  <c r="EV41" i="9"/>
  <c r="EV33" i="9"/>
  <c r="EV25" i="9"/>
  <c r="EV17" i="9"/>
  <c r="EV59" i="9"/>
  <c r="EV34" i="9"/>
  <c r="EV26" i="9"/>
  <c r="EV18" i="9"/>
  <c r="EV96" i="9"/>
  <c r="EV75" i="9"/>
  <c r="EV74" i="9"/>
  <c r="EV73" i="9"/>
  <c r="EV58" i="9"/>
  <c r="EV57" i="9"/>
  <c r="EV35" i="9"/>
  <c r="EV27" i="9"/>
  <c r="EV19" i="9"/>
  <c r="EV37" i="9"/>
  <c r="EV29" i="9"/>
  <c r="EV21" i="9"/>
  <c r="EV30" i="9"/>
  <c r="EV14" i="9"/>
  <c r="EV83" i="9"/>
  <c r="EV23" i="9"/>
  <c r="EV20" i="9"/>
  <c r="EV82" i="9"/>
  <c r="EV31" i="9"/>
  <c r="EV38" i="9"/>
  <c r="EV36" i="9"/>
  <c r="EV28" i="9"/>
  <c r="EV22" i="9"/>
  <c r="EV15" i="9"/>
  <c r="DJ362" i="9"/>
  <c r="DJ361" i="9"/>
  <c r="DJ363" i="9"/>
  <c r="DJ357" i="9"/>
  <c r="DJ359" i="9"/>
  <c r="DJ354" i="9"/>
  <c r="DJ355" i="9"/>
  <c r="DJ358" i="9"/>
  <c r="DJ356" i="9"/>
  <c r="DJ360" i="9"/>
  <c r="DJ352" i="9"/>
  <c r="DJ353" i="9"/>
  <c r="DJ349" i="9"/>
  <c r="DJ350" i="9"/>
  <c r="DJ351" i="9"/>
  <c r="DJ348" i="9"/>
  <c r="DJ346" i="9"/>
  <c r="DJ344" i="9"/>
  <c r="DJ347" i="9"/>
  <c r="DJ340" i="9"/>
  <c r="DJ341" i="9"/>
  <c r="DJ342" i="9"/>
  <c r="DJ339" i="9"/>
  <c r="DJ335" i="9"/>
  <c r="DJ336" i="9"/>
  <c r="DJ343" i="9"/>
  <c r="DJ332" i="9"/>
  <c r="DJ337" i="9"/>
  <c r="DJ333" i="9"/>
  <c r="DJ334" i="9"/>
  <c r="DJ345" i="9"/>
  <c r="DJ338" i="9"/>
  <c r="DJ329" i="9"/>
  <c r="DJ325" i="9"/>
  <c r="DJ331" i="9"/>
  <c r="DJ326" i="9"/>
  <c r="DJ330" i="9"/>
  <c r="DJ327" i="9"/>
  <c r="DJ328" i="9"/>
  <c r="DJ322" i="9"/>
  <c r="DJ323" i="9"/>
  <c r="DJ317" i="9"/>
  <c r="DJ318" i="9"/>
  <c r="DJ319" i="9"/>
  <c r="DJ316" i="9"/>
  <c r="DJ324" i="9"/>
  <c r="DJ313" i="9"/>
  <c r="DJ314" i="9"/>
  <c r="DJ315" i="9"/>
  <c r="DJ320" i="9"/>
  <c r="DJ321" i="9"/>
  <c r="DJ312" i="9"/>
  <c r="DJ311" i="9"/>
  <c r="DJ304" i="9"/>
  <c r="DJ305" i="9"/>
  <c r="DJ306" i="9"/>
  <c r="DJ307" i="9"/>
  <c r="DJ299" i="9"/>
  <c r="DJ308" i="9"/>
  <c r="DJ300" i="9"/>
  <c r="DJ303" i="9"/>
  <c r="DJ293" i="9"/>
  <c r="DJ294" i="9"/>
  <c r="DJ295" i="9"/>
  <c r="DJ301" i="9"/>
  <c r="DJ296" i="9"/>
  <c r="DJ302" i="9"/>
  <c r="DJ297" i="9"/>
  <c r="DJ289" i="9"/>
  <c r="DJ310" i="9"/>
  <c r="DJ291" i="9"/>
  <c r="DJ287" i="9"/>
  <c r="DJ309" i="9"/>
  <c r="DJ280" i="9"/>
  <c r="DJ292" i="9"/>
  <c r="DJ288" i="9"/>
  <c r="DJ282" i="9"/>
  <c r="DJ285" i="9"/>
  <c r="DJ298" i="9"/>
  <c r="DJ290" i="9"/>
  <c r="DJ281" i="9"/>
  <c r="DJ274" i="9"/>
  <c r="DJ284" i="9"/>
  <c r="DJ275" i="9"/>
  <c r="DJ276" i="9"/>
  <c r="DJ283" i="9"/>
  <c r="DJ277" i="9"/>
  <c r="DJ269" i="9"/>
  <c r="DJ278" i="9"/>
  <c r="DJ286" i="9"/>
  <c r="DJ272" i="9"/>
  <c r="DJ266" i="9"/>
  <c r="DJ258" i="9"/>
  <c r="DJ267" i="9"/>
  <c r="DJ259" i="9"/>
  <c r="DJ273" i="9"/>
  <c r="DJ270" i="9"/>
  <c r="DJ268" i="9"/>
  <c r="DJ260" i="9"/>
  <c r="DJ261" i="9"/>
  <c r="DJ279" i="9"/>
  <c r="DJ262" i="9"/>
  <c r="DJ271" i="9"/>
  <c r="DJ263" i="9"/>
  <c r="DJ253" i="9"/>
  <c r="DJ265" i="9"/>
  <c r="DJ254" i="9"/>
  <c r="DJ246" i="9"/>
  <c r="DJ255" i="9"/>
  <c r="DJ247" i="9"/>
  <c r="DJ256" i="9"/>
  <c r="DJ248" i="9"/>
  <c r="DJ257" i="9"/>
  <c r="DJ249" i="9"/>
  <c r="DJ251" i="9"/>
  <c r="DJ242" i="9"/>
  <c r="DJ234" i="9"/>
  <c r="DJ243" i="9"/>
  <c r="DJ235" i="9"/>
  <c r="DJ244" i="9"/>
  <c r="DJ236" i="9"/>
  <c r="DJ245" i="9"/>
  <c r="DJ237" i="9"/>
  <c r="DJ264" i="9"/>
  <c r="DJ238" i="9"/>
  <c r="DJ250" i="9"/>
  <c r="DJ228" i="9"/>
  <c r="DJ220" i="9"/>
  <c r="DJ212" i="9"/>
  <c r="DJ229" i="9"/>
  <c r="DJ221" i="9"/>
  <c r="DJ213" i="9"/>
  <c r="DJ241" i="9"/>
  <c r="DJ239" i="9"/>
  <c r="DJ230" i="9"/>
  <c r="DJ222" i="9"/>
  <c r="DJ214" i="9"/>
  <c r="DJ231" i="9"/>
  <c r="DJ223" i="9"/>
  <c r="DJ215" i="9"/>
  <c r="DJ232" i="9"/>
  <c r="DJ224" i="9"/>
  <c r="DJ216" i="9"/>
  <c r="DJ208" i="9"/>
  <c r="DJ252" i="9"/>
  <c r="DJ233" i="9"/>
  <c r="DJ225" i="9"/>
  <c r="DJ217" i="9"/>
  <c r="DJ209" i="9"/>
  <c r="DJ240" i="9"/>
  <c r="DJ226" i="9"/>
  <c r="DJ218" i="9"/>
  <c r="DJ210" i="9"/>
  <c r="DJ211" i="9"/>
  <c r="DJ207" i="9"/>
  <c r="DJ202" i="9"/>
  <c r="DJ194" i="9"/>
  <c r="DJ186" i="9"/>
  <c r="DJ219" i="9"/>
  <c r="DJ203" i="9"/>
  <c r="DJ195" i="9"/>
  <c r="DJ187" i="9"/>
  <c r="DJ179" i="9"/>
  <c r="DJ227" i="9"/>
  <c r="DJ204" i="9"/>
  <c r="DJ196" i="9"/>
  <c r="DJ188" i="9"/>
  <c r="DJ180" i="9"/>
  <c r="DJ205" i="9"/>
  <c r="DJ197" i="9"/>
  <c r="DJ189" i="9"/>
  <c r="DJ181" i="9"/>
  <c r="DJ206" i="9"/>
  <c r="DJ198" i="9"/>
  <c r="DJ190" i="9"/>
  <c r="DJ182" i="9"/>
  <c r="DJ199" i="9"/>
  <c r="DJ191" i="9"/>
  <c r="DJ183" i="9"/>
  <c r="DJ200" i="9"/>
  <c r="DJ192" i="9"/>
  <c r="DJ184" i="9"/>
  <c r="DJ173" i="9"/>
  <c r="DJ193" i="9"/>
  <c r="DJ185" i="9"/>
  <c r="DJ176" i="9"/>
  <c r="DJ168" i="9"/>
  <c r="DJ160" i="9"/>
  <c r="DJ152" i="9"/>
  <c r="DJ201" i="9"/>
  <c r="DJ177" i="9"/>
  <c r="DJ169" i="9"/>
  <c r="DJ161" i="9"/>
  <c r="DJ153" i="9"/>
  <c r="DJ178" i="9"/>
  <c r="DJ170" i="9"/>
  <c r="DJ162" i="9"/>
  <c r="DJ154" i="9"/>
  <c r="DJ171" i="9"/>
  <c r="DJ163" i="9"/>
  <c r="DJ174" i="9"/>
  <c r="DJ166" i="9"/>
  <c r="DJ158" i="9"/>
  <c r="DJ147" i="9"/>
  <c r="DJ139" i="9"/>
  <c r="DJ172" i="9"/>
  <c r="DJ155" i="9"/>
  <c r="DJ148" i="9"/>
  <c r="DJ140" i="9"/>
  <c r="DJ164" i="9"/>
  <c r="DJ149" i="9"/>
  <c r="DJ141" i="9"/>
  <c r="DJ133" i="9"/>
  <c r="DJ175" i="9"/>
  <c r="DJ167" i="9"/>
  <c r="DJ159" i="9"/>
  <c r="DJ143" i="9"/>
  <c r="DJ135" i="9"/>
  <c r="DJ165" i="9"/>
  <c r="DJ157" i="9"/>
  <c r="DJ132" i="9"/>
  <c r="DJ124" i="9"/>
  <c r="DJ116" i="9"/>
  <c r="DJ151" i="9"/>
  <c r="DJ137" i="9"/>
  <c r="DJ134" i="9"/>
  <c r="DJ125" i="9"/>
  <c r="DJ117" i="9"/>
  <c r="DJ126" i="9"/>
  <c r="DJ127" i="9"/>
  <c r="DJ119" i="9"/>
  <c r="DJ156" i="9"/>
  <c r="DJ146" i="9"/>
  <c r="DJ128" i="9"/>
  <c r="DJ120" i="9"/>
  <c r="DJ144" i="9"/>
  <c r="DJ138" i="9"/>
  <c r="DJ129" i="9"/>
  <c r="DJ121" i="9"/>
  <c r="DJ150" i="9"/>
  <c r="DJ112" i="9"/>
  <c r="DJ104" i="9"/>
  <c r="DJ96" i="9"/>
  <c r="DJ130" i="9"/>
  <c r="DJ123" i="9"/>
  <c r="DJ113" i="9"/>
  <c r="DJ105" i="9"/>
  <c r="DJ97" i="9"/>
  <c r="DJ131" i="9"/>
  <c r="DJ115" i="9"/>
  <c r="DJ107" i="9"/>
  <c r="DJ99" i="9"/>
  <c r="DJ118" i="9"/>
  <c r="DJ108" i="9"/>
  <c r="DJ100" i="9"/>
  <c r="DJ145" i="9"/>
  <c r="DJ114" i="9"/>
  <c r="DJ102" i="9"/>
  <c r="DJ86" i="9"/>
  <c r="DJ78" i="9"/>
  <c r="DJ70" i="9"/>
  <c r="DJ62" i="9"/>
  <c r="DJ54" i="9"/>
  <c r="DJ46" i="9"/>
  <c r="DJ142" i="9"/>
  <c r="DJ136" i="9"/>
  <c r="DJ109" i="9"/>
  <c r="DJ87" i="9"/>
  <c r="DJ79" i="9"/>
  <c r="DJ71" i="9"/>
  <c r="DJ63" i="9"/>
  <c r="DJ55" i="9"/>
  <c r="DJ122" i="9"/>
  <c r="DJ98" i="9"/>
  <c r="DJ94" i="9"/>
  <c r="DJ88" i="9"/>
  <c r="DJ80" i="9"/>
  <c r="DJ72" i="9"/>
  <c r="DJ64" i="9"/>
  <c r="DJ56" i="9"/>
  <c r="DJ48" i="9"/>
  <c r="DJ103" i="9"/>
  <c r="DJ89" i="9"/>
  <c r="DJ81" i="9"/>
  <c r="DJ73" i="9"/>
  <c r="DJ65" i="9"/>
  <c r="DJ57" i="9"/>
  <c r="DJ49" i="9"/>
  <c r="DJ110" i="9"/>
  <c r="DJ90" i="9"/>
  <c r="DJ82" i="9"/>
  <c r="DJ74" i="9"/>
  <c r="DJ66" i="9"/>
  <c r="DJ58" i="9"/>
  <c r="DJ50" i="9"/>
  <c r="DJ42" i="9"/>
  <c r="DJ106" i="9"/>
  <c r="DJ95" i="9"/>
  <c r="DJ93" i="9"/>
  <c r="DJ92" i="9"/>
  <c r="DJ111" i="9"/>
  <c r="DJ69" i="9"/>
  <c r="DJ59" i="9"/>
  <c r="DJ41" i="9"/>
  <c r="DJ75" i="9"/>
  <c r="DJ34" i="9"/>
  <c r="DJ26" i="9"/>
  <c r="DJ18" i="9"/>
  <c r="DJ91" i="9"/>
  <c r="DJ83" i="9"/>
  <c r="DJ68" i="9"/>
  <c r="DJ61" i="9"/>
  <c r="DJ47" i="9"/>
  <c r="DJ45" i="9"/>
  <c r="DJ35" i="9"/>
  <c r="DJ27" i="9"/>
  <c r="DJ19" i="9"/>
  <c r="DJ44" i="9"/>
  <c r="DJ36" i="9"/>
  <c r="DJ28" i="9"/>
  <c r="DJ20" i="9"/>
  <c r="DJ60" i="9"/>
  <c r="DJ53" i="9"/>
  <c r="DJ37" i="9"/>
  <c r="DJ29" i="9"/>
  <c r="DJ21" i="9"/>
  <c r="DJ85" i="9"/>
  <c r="DJ84" i="9"/>
  <c r="DJ67" i="9"/>
  <c r="DJ43" i="9"/>
  <c r="DJ39" i="9"/>
  <c r="DJ31" i="9"/>
  <c r="DJ23" i="9"/>
  <c r="DJ15" i="9"/>
  <c r="DJ101" i="9"/>
  <c r="DJ30" i="9"/>
  <c r="DJ14" i="9"/>
  <c r="DJ51" i="9"/>
  <c r="DJ38" i="9"/>
  <c r="DJ33" i="9"/>
  <c r="DJ32" i="9"/>
  <c r="DJ16" i="9"/>
  <c r="DJ13" i="9"/>
  <c r="DJ76" i="9"/>
  <c r="DJ52" i="9"/>
  <c r="DJ22" i="9"/>
  <c r="DJ77" i="9"/>
  <c r="DJ40" i="9"/>
  <c r="DJ25" i="9"/>
  <c r="DJ24" i="9"/>
  <c r="DJ17" i="9"/>
  <c r="CG12" i="9"/>
  <c r="FE12" i="9" l="1"/>
  <c r="CZ12" i="9"/>
  <c r="EL12" i="9"/>
  <c r="DS12" i="9"/>
  <c r="D15" i="1" l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13" i="1"/>
  <c r="D14" i="1"/>
  <c r="L14" i="1"/>
  <c r="M14" i="1"/>
  <c r="S14" i="1"/>
  <c r="R14" i="1" s="1"/>
  <c r="AU14" i="1" s="1"/>
  <c r="AV14" i="1" s="1"/>
  <c r="W14" i="1"/>
  <c r="BD14" i="1"/>
  <c r="BE14" i="1" s="1"/>
  <c r="L15" i="1"/>
  <c r="M15" i="1"/>
  <c r="S15" i="1"/>
  <c r="R15" i="1" s="1"/>
  <c r="AU15" i="1" s="1"/>
  <c r="AV15" i="1" s="1"/>
  <c r="W15" i="1"/>
  <c r="BD15" i="1"/>
  <c r="BE15" i="1" s="1"/>
  <c r="L16" i="1"/>
  <c r="M16" i="1"/>
  <c r="S16" i="1"/>
  <c r="R16" i="1" s="1"/>
  <c r="AU16" i="1" s="1"/>
  <c r="AV16" i="1" s="1"/>
  <c r="W16" i="1"/>
  <c r="BD16" i="1"/>
  <c r="BE16" i="1" s="1"/>
  <c r="L17" i="1"/>
  <c r="M17" i="1"/>
  <c r="S17" i="1"/>
  <c r="R17" i="1" s="1"/>
  <c r="AU17" i="1" s="1"/>
  <c r="AV17" i="1" s="1"/>
  <c r="AW17" i="1" s="1"/>
  <c r="W17" i="1"/>
  <c r="BD17" i="1"/>
  <c r="BE17" i="1"/>
  <c r="L18" i="1"/>
  <c r="M18" i="1"/>
  <c r="S18" i="1"/>
  <c r="R18" i="1" s="1"/>
  <c r="AU18" i="1" s="1"/>
  <c r="AV18" i="1" s="1"/>
  <c r="W18" i="1"/>
  <c r="BD18" i="1"/>
  <c r="BE18" i="1" s="1"/>
  <c r="L19" i="1"/>
  <c r="M19" i="1"/>
  <c r="S19" i="1"/>
  <c r="R19" i="1" s="1"/>
  <c r="AU19" i="1" s="1"/>
  <c r="AV19" i="1" s="1"/>
  <c r="W19" i="1"/>
  <c r="BD19" i="1"/>
  <c r="BE19" i="1" s="1"/>
  <c r="L20" i="1"/>
  <c r="M20" i="1"/>
  <c r="S20" i="1"/>
  <c r="R20" i="1" s="1"/>
  <c r="AU20" i="1" s="1"/>
  <c r="AV20" i="1" s="1"/>
  <c r="W20" i="1"/>
  <c r="BD20" i="1"/>
  <c r="BE20" i="1" s="1"/>
  <c r="L21" i="1"/>
  <c r="M21" i="1"/>
  <c r="S21" i="1"/>
  <c r="R21" i="1" s="1"/>
  <c r="AU21" i="1" s="1"/>
  <c r="AV21" i="1" s="1"/>
  <c r="W21" i="1"/>
  <c r="BD21" i="1"/>
  <c r="BE21" i="1"/>
  <c r="L22" i="1"/>
  <c r="M22" i="1"/>
  <c r="S22" i="1"/>
  <c r="R22" i="1" s="1"/>
  <c r="AU22" i="1" s="1"/>
  <c r="AV22" i="1" s="1"/>
  <c r="W22" i="1"/>
  <c r="BD22" i="1"/>
  <c r="BE22" i="1" s="1"/>
  <c r="L23" i="1"/>
  <c r="M23" i="1"/>
  <c r="S23" i="1"/>
  <c r="R23" i="1" s="1"/>
  <c r="AU23" i="1" s="1"/>
  <c r="AV23" i="1" s="1"/>
  <c r="W23" i="1"/>
  <c r="BD23" i="1"/>
  <c r="BE23" i="1" s="1"/>
  <c r="L24" i="1"/>
  <c r="M24" i="1"/>
  <c r="S24" i="1"/>
  <c r="R24" i="1" s="1"/>
  <c r="AU24" i="1" s="1"/>
  <c r="AV24" i="1" s="1"/>
  <c r="W24" i="1"/>
  <c r="BD24" i="1"/>
  <c r="BE24" i="1" s="1"/>
  <c r="L25" i="1"/>
  <c r="M25" i="1"/>
  <c r="S25" i="1"/>
  <c r="R25" i="1" s="1"/>
  <c r="AU25" i="1" s="1"/>
  <c r="AV25" i="1" s="1"/>
  <c r="AW25" i="1" s="1"/>
  <c r="W25" i="1"/>
  <c r="BD25" i="1"/>
  <c r="BE25" i="1"/>
  <c r="L26" i="1"/>
  <c r="M26" i="1"/>
  <c r="S26" i="1"/>
  <c r="R26" i="1" s="1"/>
  <c r="AU26" i="1" s="1"/>
  <c r="AV26" i="1" s="1"/>
  <c r="W26" i="1"/>
  <c r="BD26" i="1"/>
  <c r="BE26" i="1"/>
  <c r="L27" i="1"/>
  <c r="M27" i="1"/>
  <c r="S27" i="1"/>
  <c r="R27" i="1" s="1"/>
  <c r="AU27" i="1" s="1"/>
  <c r="AV27" i="1" s="1"/>
  <c r="W27" i="1"/>
  <c r="BD27" i="1"/>
  <c r="BE27" i="1" s="1"/>
  <c r="L28" i="1"/>
  <c r="M28" i="1"/>
  <c r="S28" i="1"/>
  <c r="R28" i="1" s="1"/>
  <c r="AU28" i="1" s="1"/>
  <c r="AV28" i="1" s="1"/>
  <c r="W28" i="1"/>
  <c r="BD28" i="1"/>
  <c r="BE28" i="1" s="1"/>
  <c r="L29" i="1"/>
  <c r="M29" i="1"/>
  <c r="S29" i="1"/>
  <c r="R29" i="1" s="1"/>
  <c r="AU29" i="1" s="1"/>
  <c r="AV29" i="1" s="1"/>
  <c r="W29" i="1"/>
  <c r="BD29" i="1"/>
  <c r="BE29" i="1" s="1"/>
  <c r="L30" i="1"/>
  <c r="M30" i="1"/>
  <c r="S30" i="1"/>
  <c r="R30" i="1" s="1"/>
  <c r="AU30" i="1" s="1"/>
  <c r="AV30" i="1" s="1"/>
  <c r="W30" i="1"/>
  <c r="BD30" i="1"/>
  <c r="BE30" i="1" s="1"/>
  <c r="L31" i="1"/>
  <c r="M31" i="1"/>
  <c r="S31" i="1"/>
  <c r="R31" i="1" s="1"/>
  <c r="AU31" i="1" s="1"/>
  <c r="AV31" i="1" s="1"/>
  <c r="W31" i="1"/>
  <c r="BD31" i="1"/>
  <c r="BE31" i="1" s="1"/>
  <c r="L32" i="1"/>
  <c r="M32" i="1"/>
  <c r="S32" i="1"/>
  <c r="R32" i="1" s="1"/>
  <c r="AU32" i="1" s="1"/>
  <c r="AV32" i="1" s="1"/>
  <c r="W32" i="1"/>
  <c r="BD32" i="1"/>
  <c r="BE32" i="1" s="1"/>
  <c r="L33" i="1"/>
  <c r="M33" i="1"/>
  <c r="S33" i="1"/>
  <c r="R33" i="1" s="1"/>
  <c r="AU33" i="1" s="1"/>
  <c r="AV33" i="1" s="1"/>
  <c r="AW33" i="1" s="1"/>
  <c r="W33" i="1"/>
  <c r="BD33" i="1"/>
  <c r="BE33" i="1"/>
  <c r="L34" i="1"/>
  <c r="M34" i="1"/>
  <c r="S34" i="1"/>
  <c r="R34" i="1" s="1"/>
  <c r="AU34" i="1" s="1"/>
  <c r="AV34" i="1" s="1"/>
  <c r="W34" i="1"/>
  <c r="BD34" i="1"/>
  <c r="BE34" i="1" s="1"/>
  <c r="L35" i="1"/>
  <c r="M35" i="1"/>
  <c r="S35" i="1"/>
  <c r="R35" i="1" s="1"/>
  <c r="AU35" i="1" s="1"/>
  <c r="AV35" i="1" s="1"/>
  <c r="W35" i="1"/>
  <c r="BD35" i="1"/>
  <c r="BE35" i="1" s="1"/>
  <c r="L36" i="1"/>
  <c r="M36" i="1"/>
  <c r="S36" i="1"/>
  <c r="R36" i="1" s="1"/>
  <c r="AU36" i="1" s="1"/>
  <c r="AV36" i="1" s="1"/>
  <c r="W36" i="1"/>
  <c r="BD36" i="1"/>
  <c r="BE36" i="1" s="1"/>
  <c r="L37" i="1"/>
  <c r="M37" i="1"/>
  <c r="S37" i="1"/>
  <c r="R37" i="1" s="1"/>
  <c r="AU37" i="1" s="1"/>
  <c r="AV37" i="1" s="1"/>
  <c r="W37" i="1"/>
  <c r="BD37" i="1"/>
  <c r="BE37" i="1"/>
  <c r="L38" i="1"/>
  <c r="M38" i="1"/>
  <c r="S38" i="1"/>
  <c r="R38" i="1" s="1"/>
  <c r="AU38" i="1" s="1"/>
  <c r="AV38" i="1" s="1"/>
  <c r="W38" i="1"/>
  <c r="BD38" i="1"/>
  <c r="BE38" i="1" s="1"/>
  <c r="L39" i="1"/>
  <c r="M39" i="1"/>
  <c r="S39" i="1"/>
  <c r="R39" i="1" s="1"/>
  <c r="AU39" i="1" s="1"/>
  <c r="AV39" i="1" s="1"/>
  <c r="W39" i="1"/>
  <c r="BD39" i="1"/>
  <c r="BE39" i="1" s="1"/>
  <c r="L40" i="1"/>
  <c r="M40" i="1"/>
  <c r="S40" i="1"/>
  <c r="R40" i="1" s="1"/>
  <c r="AU40" i="1" s="1"/>
  <c r="AV40" i="1" s="1"/>
  <c r="W40" i="1"/>
  <c r="BD40" i="1"/>
  <c r="BE40" i="1" s="1"/>
  <c r="L41" i="1"/>
  <c r="M41" i="1"/>
  <c r="S41" i="1"/>
  <c r="R41" i="1" s="1"/>
  <c r="AU41" i="1" s="1"/>
  <c r="AV41" i="1" s="1"/>
  <c r="AW41" i="1" s="1"/>
  <c r="W41" i="1"/>
  <c r="BD41" i="1"/>
  <c r="BE41" i="1"/>
  <c r="L42" i="1"/>
  <c r="M42" i="1"/>
  <c r="S42" i="1"/>
  <c r="R42" i="1" s="1"/>
  <c r="AU42" i="1" s="1"/>
  <c r="AV42" i="1" s="1"/>
  <c r="W42" i="1"/>
  <c r="BD42" i="1"/>
  <c r="BE42" i="1"/>
  <c r="L43" i="1"/>
  <c r="M43" i="1"/>
  <c r="S43" i="1"/>
  <c r="R43" i="1" s="1"/>
  <c r="AU43" i="1" s="1"/>
  <c r="AV43" i="1" s="1"/>
  <c r="W43" i="1"/>
  <c r="BD43" i="1"/>
  <c r="BE43" i="1" s="1"/>
  <c r="L44" i="1"/>
  <c r="M44" i="1"/>
  <c r="S44" i="1"/>
  <c r="R44" i="1" s="1"/>
  <c r="AU44" i="1" s="1"/>
  <c r="AV44" i="1" s="1"/>
  <c r="W44" i="1"/>
  <c r="BD44" i="1"/>
  <c r="BE44" i="1" s="1"/>
  <c r="L45" i="1"/>
  <c r="M45" i="1"/>
  <c r="S45" i="1"/>
  <c r="R45" i="1" s="1"/>
  <c r="AU45" i="1" s="1"/>
  <c r="AV45" i="1" s="1"/>
  <c r="W45" i="1"/>
  <c r="BD45" i="1"/>
  <c r="BE45" i="1" s="1"/>
  <c r="L46" i="1"/>
  <c r="M46" i="1"/>
  <c r="S46" i="1"/>
  <c r="R46" i="1" s="1"/>
  <c r="AU46" i="1" s="1"/>
  <c r="AV46" i="1" s="1"/>
  <c r="W46" i="1"/>
  <c r="BD46" i="1"/>
  <c r="BE46" i="1" s="1"/>
  <c r="L47" i="1"/>
  <c r="M47" i="1"/>
  <c r="S47" i="1"/>
  <c r="R47" i="1" s="1"/>
  <c r="AU47" i="1" s="1"/>
  <c r="AV47" i="1" s="1"/>
  <c r="W47" i="1"/>
  <c r="BD47" i="1"/>
  <c r="BE47" i="1" s="1"/>
  <c r="L48" i="1"/>
  <c r="M48" i="1"/>
  <c r="S48" i="1"/>
  <c r="R48" i="1" s="1"/>
  <c r="AU48" i="1" s="1"/>
  <c r="AV48" i="1" s="1"/>
  <c r="W48" i="1"/>
  <c r="BD48" i="1"/>
  <c r="BE48" i="1" s="1"/>
  <c r="L49" i="1"/>
  <c r="M49" i="1"/>
  <c r="S49" i="1"/>
  <c r="R49" i="1" s="1"/>
  <c r="AU49" i="1" s="1"/>
  <c r="AV49" i="1" s="1"/>
  <c r="AW49" i="1" s="1"/>
  <c r="W49" i="1"/>
  <c r="BD49" i="1"/>
  <c r="BE49" i="1" s="1"/>
  <c r="L50" i="1"/>
  <c r="M50" i="1"/>
  <c r="S50" i="1"/>
  <c r="R50" i="1" s="1"/>
  <c r="AU50" i="1" s="1"/>
  <c r="AV50" i="1" s="1"/>
  <c r="W50" i="1"/>
  <c r="BD50" i="1"/>
  <c r="BE50" i="1"/>
  <c r="L51" i="1"/>
  <c r="M51" i="1"/>
  <c r="S51" i="1"/>
  <c r="R51" i="1" s="1"/>
  <c r="AU51" i="1" s="1"/>
  <c r="AV51" i="1" s="1"/>
  <c r="W51" i="1"/>
  <c r="BD51" i="1"/>
  <c r="BE51" i="1"/>
  <c r="L52" i="1"/>
  <c r="M52" i="1"/>
  <c r="S52" i="1"/>
  <c r="R52" i="1" s="1"/>
  <c r="AU52" i="1" s="1"/>
  <c r="AV52" i="1" s="1"/>
  <c r="W52" i="1"/>
  <c r="BD52" i="1"/>
  <c r="BE52" i="1" s="1"/>
  <c r="L53" i="1"/>
  <c r="M53" i="1"/>
  <c r="S53" i="1"/>
  <c r="R53" i="1" s="1"/>
  <c r="AU53" i="1" s="1"/>
  <c r="AV53" i="1" s="1"/>
  <c r="W53" i="1"/>
  <c r="BD53" i="1"/>
  <c r="BE53" i="1"/>
  <c r="W13" i="1"/>
  <c r="BD13" i="1"/>
  <c r="BE13" i="1" s="1"/>
  <c r="AW34" i="1" l="1"/>
  <c r="AX34" i="1"/>
  <c r="AW47" i="1"/>
  <c r="AX47" i="1"/>
  <c r="AX24" i="1"/>
  <c r="AW24" i="1"/>
  <c r="AW15" i="1"/>
  <c r="AX15" i="1"/>
  <c r="AW44" i="1"/>
  <c r="AX44" i="1"/>
  <c r="AW39" i="1"/>
  <c r="AX39" i="1"/>
  <c r="AW35" i="1"/>
  <c r="AX35" i="1"/>
  <c r="AW21" i="1"/>
  <c r="AX21" i="1"/>
  <c r="AX48" i="1"/>
  <c r="AW48" i="1"/>
  <c r="AW31" i="1"/>
  <c r="AX31" i="1"/>
  <c r="AW28" i="1"/>
  <c r="AX28" i="1"/>
  <c r="AW26" i="1"/>
  <c r="AX26" i="1"/>
  <c r="AX22" i="1"/>
  <c r="AW22" i="1"/>
  <c r="AW16" i="1"/>
  <c r="AX16" i="1"/>
  <c r="AW52" i="1"/>
  <c r="AX52" i="1"/>
  <c r="AW53" i="1"/>
  <c r="AX53" i="1"/>
  <c r="AW36" i="1"/>
  <c r="AX36" i="1"/>
  <c r="AW45" i="1"/>
  <c r="AX45" i="1"/>
  <c r="AX40" i="1"/>
  <c r="AW40" i="1"/>
  <c r="AX27" i="1"/>
  <c r="AW27" i="1"/>
  <c r="AX46" i="1"/>
  <c r="AW46" i="1"/>
  <c r="AW37" i="1"/>
  <c r="AX37" i="1"/>
  <c r="AW23" i="1"/>
  <c r="AX23" i="1"/>
  <c r="AW20" i="1"/>
  <c r="AX20" i="1"/>
  <c r="AW18" i="1"/>
  <c r="AX18" i="1"/>
  <c r="AX14" i="1"/>
  <c r="AW14" i="1"/>
  <c r="AX30" i="1"/>
  <c r="AW30" i="1"/>
  <c r="AW43" i="1"/>
  <c r="AX43" i="1"/>
  <c r="AW50" i="1"/>
  <c r="AX50" i="1"/>
  <c r="AX32" i="1"/>
  <c r="AW32" i="1"/>
  <c r="AW51" i="1"/>
  <c r="AX51" i="1"/>
  <c r="AW42" i="1"/>
  <c r="AX42" i="1"/>
  <c r="AX38" i="1"/>
  <c r="AW38" i="1"/>
  <c r="AW29" i="1"/>
  <c r="AX29" i="1"/>
  <c r="AX19" i="1"/>
  <c r="AW19" i="1"/>
  <c r="AX41" i="1"/>
  <c r="AX33" i="1"/>
  <c r="AX25" i="1"/>
  <c r="AX17" i="1"/>
  <c r="AX49" i="1"/>
  <c r="C3" i="6"/>
  <c r="D72" i="8" l="1"/>
  <c r="D71" i="8"/>
  <c r="C61" i="8"/>
  <c r="C59" i="8"/>
  <c r="S13" i="1" l="1"/>
  <c r="R13" i="1" s="1"/>
  <c r="AU13" i="1" s="1"/>
  <c r="AV13" i="1" s="1"/>
  <c r="L13" i="1"/>
  <c r="M13" i="1"/>
  <c r="AX13" i="1" l="1"/>
  <c r="AW13" i="1"/>
  <c r="R56" i="13"/>
  <c r="Q56" i="13"/>
  <c r="R51" i="13"/>
  <c r="Q51" i="13"/>
  <c r="F48" i="13"/>
  <c r="J48" i="13" s="1"/>
  <c r="K48" i="13" s="1"/>
  <c r="F47" i="13"/>
  <c r="J47" i="13" s="1"/>
  <c r="K47" i="13" s="1"/>
  <c r="F46" i="13"/>
  <c r="J46" i="13" s="1"/>
  <c r="K46" i="13" s="1"/>
  <c r="F45" i="13"/>
  <c r="J45" i="13" s="1"/>
  <c r="K45" i="13" s="1"/>
  <c r="R44" i="13"/>
  <c r="Q44" i="13"/>
  <c r="F44" i="13"/>
  <c r="J44" i="13" s="1"/>
  <c r="K44" i="13" s="1"/>
  <c r="F43" i="13"/>
  <c r="J43" i="13" s="1"/>
  <c r="K43" i="13" s="1"/>
  <c r="F42" i="13"/>
  <c r="J42" i="13" s="1"/>
  <c r="K42" i="13" s="1"/>
  <c r="F41" i="13"/>
  <c r="J41" i="13" s="1"/>
  <c r="K41" i="13" s="1"/>
  <c r="F40" i="13"/>
  <c r="J40" i="13" s="1"/>
  <c r="K40" i="13" s="1"/>
  <c r="F39" i="13"/>
  <c r="J39" i="13" s="1"/>
  <c r="K39" i="13" s="1"/>
  <c r="R38" i="13"/>
  <c r="Q38" i="13"/>
  <c r="F38" i="13"/>
  <c r="J38" i="13" s="1"/>
  <c r="K38" i="13" s="1"/>
  <c r="F37" i="13"/>
  <c r="J37" i="13" s="1"/>
  <c r="K37" i="13" s="1"/>
  <c r="J36" i="13"/>
  <c r="K36" i="13" s="1"/>
  <c r="F36" i="13"/>
  <c r="F35" i="13"/>
  <c r="J35" i="13" s="1"/>
  <c r="K35" i="13" s="1"/>
  <c r="F34" i="13"/>
  <c r="J34" i="13" s="1"/>
  <c r="K34" i="13" s="1"/>
  <c r="F33" i="13"/>
  <c r="J33" i="13" s="1"/>
  <c r="K33" i="13" s="1"/>
  <c r="R32" i="13"/>
  <c r="Q32" i="13"/>
  <c r="F32" i="13"/>
  <c r="J32" i="13" s="1"/>
  <c r="K32" i="13" s="1"/>
  <c r="F31" i="13"/>
  <c r="J31" i="13" s="1"/>
  <c r="K31" i="13" s="1"/>
  <c r="F30" i="13"/>
  <c r="J30" i="13" s="1"/>
  <c r="K30" i="13" s="1"/>
  <c r="J29" i="13"/>
  <c r="K29" i="13" s="1"/>
  <c r="F29" i="13"/>
  <c r="F28" i="13"/>
  <c r="J28" i="13" s="1"/>
  <c r="K28" i="13" s="1"/>
  <c r="C23" i="13"/>
  <c r="C24" i="13" s="1"/>
  <c r="O17" i="13"/>
  <c r="N17" i="13"/>
  <c r="M17" i="13"/>
  <c r="L17" i="13"/>
  <c r="K17" i="13"/>
  <c r="J17" i="13"/>
  <c r="I17" i="13"/>
  <c r="H17" i="13"/>
  <c r="G17" i="13"/>
  <c r="F17" i="13"/>
  <c r="E17" i="13"/>
  <c r="O16" i="13"/>
  <c r="N16" i="13"/>
  <c r="M16" i="13"/>
  <c r="L16" i="13"/>
  <c r="K16" i="13"/>
  <c r="J16" i="13"/>
  <c r="I16" i="13"/>
  <c r="H16" i="13"/>
  <c r="G16" i="13"/>
  <c r="F16" i="13"/>
  <c r="E16" i="13"/>
  <c r="O15" i="13"/>
  <c r="N15" i="13"/>
  <c r="M15" i="13"/>
  <c r="L15" i="13"/>
  <c r="K15" i="13"/>
  <c r="J15" i="13"/>
  <c r="I15" i="13"/>
  <c r="H15" i="13"/>
  <c r="G15" i="13"/>
  <c r="F15" i="13"/>
  <c r="E15" i="13"/>
  <c r="O14" i="13"/>
  <c r="N14" i="13"/>
  <c r="M14" i="13"/>
  <c r="L14" i="13"/>
  <c r="K14" i="13"/>
  <c r="J14" i="13"/>
  <c r="I14" i="13"/>
  <c r="H14" i="13"/>
  <c r="G14" i="13"/>
  <c r="F14" i="13"/>
  <c r="E14" i="13"/>
  <c r="O13" i="13"/>
  <c r="N13" i="13"/>
  <c r="M13" i="13"/>
  <c r="L13" i="13"/>
  <c r="K13" i="13"/>
  <c r="J13" i="13"/>
  <c r="I13" i="13"/>
  <c r="H13" i="13"/>
  <c r="G13" i="13"/>
  <c r="F13" i="13"/>
  <c r="E13" i="13"/>
  <c r="O12" i="13"/>
  <c r="N12" i="13"/>
  <c r="M12" i="13"/>
  <c r="L12" i="13"/>
  <c r="K12" i="13"/>
  <c r="J12" i="13"/>
  <c r="I12" i="13"/>
  <c r="H12" i="13"/>
  <c r="G12" i="13"/>
  <c r="F12" i="13"/>
  <c r="E12" i="13"/>
  <c r="O11" i="13"/>
  <c r="N11" i="13"/>
  <c r="M11" i="13"/>
  <c r="L11" i="13"/>
  <c r="K11" i="13"/>
  <c r="J11" i="13"/>
  <c r="I11" i="13"/>
  <c r="H11" i="13"/>
  <c r="G11" i="13"/>
  <c r="F11" i="13"/>
  <c r="E11" i="13"/>
  <c r="O10" i="13"/>
  <c r="N10" i="13"/>
  <c r="M10" i="13"/>
  <c r="L10" i="13"/>
  <c r="K10" i="13"/>
  <c r="J10" i="13"/>
  <c r="I10" i="13"/>
  <c r="H10" i="13"/>
  <c r="G10" i="13"/>
  <c r="F10" i="13"/>
  <c r="E10" i="13"/>
  <c r="I6" i="13"/>
  <c r="I7" i="13" s="1"/>
  <c r="AH39" i="8" l="1"/>
  <c r="AH47" i="8" l="1"/>
  <c r="AH46" i="8"/>
  <c r="AH45" i="8"/>
  <c r="AH44" i="8"/>
  <c r="AH43" i="8"/>
  <c r="AH42" i="8"/>
  <c r="AH41" i="8"/>
  <c r="AH40" i="8"/>
  <c r="AH38" i="8"/>
  <c r="H22" i="8" s="1"/>
  <c r="C63" i="8" l="1"/>
  <c r="D73" i="8"/>
  <c r="D74" i="8" l="1"/>
  <c r="E65" i="8"/>
  <c r="C65" i="8"/>
  <c r="P6" i="8"/>
  <c r="T5" i="8"/>
  <c r="E63" i="8"/>
  <c r="M41" i="8"/>
  <c r="U46" i="8"/>
  <c r="V46" i="8"/>
  <c r="W46" i="8"/>
  <c r="X46" i="8"/>
  <c r="Y46" i="8"/>
  <c r="Z46" i="8"/>
  <c r="T47" i="8"/>
  <c r="T48" i="8" l="1"/>
  <c r="T54" i="8"/>
  <c r="T50" i="8"/>
  <c r="T51" i="8"/>
  <c r="T53" i="8"/>
  <c r="T49" i="8"/>
  <c r="T52" i="8"/>
  <c r="B12" i="6" l="1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F29" i="6"/>
  <c r="G29" i="6" s="1"/>
  <c r="F28" i="6"/>
  <c r="G28" i="6" s="1"/>
  <c r="F27" i="6"/>
  <c r="G27" i="6" s="1"/>
  <c r="F26" i="6"/>
  <c r="G26" i="6" s="1"/>
  <c r="B4" i="2"/>
  <c r="H28" i="6" l="1"/>
  <c r="I28" i="6" s="1"/>
  <c r="J28" i="6"/>
  <c r="J29" i="6"/>
  <c r="H29" i="6"/>
  <c r="I29" i="6" s="1"/>
  <c r="H27" i="6"/>
  <c r="I27" i="6" s="1"/>
  <c r="H26" i="6"/>
  <c r="I26" i="6" s="1"/>
  <c r="J27" i="6"/>
  <c r="J26" i="6"/>
  <c r="M29" i="6" l="1"/>
  <c r="N29" i="6"/>
  <c r="R26" i="6"/>
  <c r="U26" i="6" s="1"/>
  <c r="O26" i="6"/>
  <c r="O29" i="6"/>
  <c r="R29" i="6"/>
  <c r="U29" i="6" s="1"/>
  <c r="N27" i="6"/>
  <c r="M27" i="6"/>
  <c r="R27" i="6"/>
  <c r="U27" i="6" s="1"/>
  <c r="O27" i="6"/>
  <c r="O28" i="6"/>
  <c r="R28" i="6"/>
  <c r="U28" i="6" s="1"/>
  <c r="N28" i="6"/>
  <c r="M28" i="6"/>
  <c r="M26" i="6"/>
  <c r="N26" i="6"/>
  <c r="F43" i="8" l="1"/>
  <c r="F3" i="2" l="1"/>
  <c r="Z24" i="8"/>
  <c r="P25" i="8"/>
  <c r="Q25" i="8"/>
  <c r="R25" i="8"/>
  <c r="P26" i="8"/>
  <c r="Q26" i="8"/>
  <c r="R26" i="8"/>
  <c r="P27" i="8"/>
  <c r="Q27" i="8"/>
  <c r="R27" i="8"/>
  <c r="P28" i="8"/>
  <c r="Q28" i="8"/>
  <c r="R28" i="8"/>
  <c r="P29" i="8"/>
  <c r="Q29" i="8"/>
  <c r="R29" i="8"/>
  <c r="P30" i="8"/>
  <c r="Q30" i="8"/>
  <c r="R30" i="8"/>
  <c r="P31" i="8"/>
  <c r="Q31" i="8"/>
  <c r="R31" i="8"/>
  <c r="P32" i="8"/>
  <c r="Q32" i="8"/>
  <c r="R32" i="8"/>
  <c r="Q24" i="8"/>
  <c r="R24" i="8"/>
  <c r="U24" i="8"/>
  <c r="V24" i="8"/>
  <c r="W24" i="8"/>
  <c r="X24" i="8"/>
  <c r="Y24" i="8"/>
  <c r="T26" i="8"/>
  <c r="P9" i="8"/>
  <c r="Q6" i="8"/>
  <c r="H23" i="8"/>
  <c r="G23" i="8" s="1"/>
  <c r="K6" i="8"/>
  <c r="AB26" i="8" l="1"/>
  <c r="M3" i="1"/>
  <c r="T29" i="8"/>
  <c r="T27" i="8"/>
  <c r="T28" i="8"/>
  <c r="T30" i="8"/>
  <c r="T31" i="8"/>
  <c r="T32" i="8"/>
  <c r="AB31" i="8" l="1"/>
  <c r="M8" i="1"/>
  <c r="AB32" i="8"/>
  <c r="M9" i="1"/>
  <c r="AB30" i="8"/>
  <c r="M7" i="1"/>
  <c r="AB28" i="8"/>
  <c r="M5" i="1"/>
  <c r="AB27" i="8"/>
  <c r="M4" i="1"/>
  <c r="AB29" i="8"/>
  <c r="M6" i="1"/>
  <c r="T25" i="8"/>
  <c r="AB25" i="8" l="1"/>
  <c r="M2" i="1"/>
  <c r="B117" i="7" l="1"/>
  <c r="C35" i="7"/>
  <c r="C34" i="7"/>
  <c r="C33" i="7"/>
  <c r="V30" i="7"/>
  <c r="U30" i="7"/>
  <c r="F38" i="6"/>
  <c r="G38" i="6" s="1"/>
  <c r="J38" i="6" s="1"/>
  <c r="F37" i="6"/>
  <c r="G37" i="6" s="1"/>
  <c r="F36" i="6"/>
  <c r="G36" i="6" s="1"/>
  <c r="H36" i="6" s="1"/>
  <c r="I36" i="6" s="1"/>
  <c r="F35" i="6"/>
  <c r="G35" i="6" s="1"/>
  <c r="F34" i="6"/>
  <c r="G34" i="6" s="1"/>
  <c r="X29" i="6"/>
  <c r="F33" i="6"/>
  <c r="G33" i="6" s="1"/>
  <c r="X28" i="6"/>
  <c r="F32" i="6"/>
  <c r="G32" i="6" s="1"/>
  <c r="X27" i="6"/>
  <c r="F31" i="6"/>
  <c r="G31" i="6" s="1"/>
  <c r="X26" i="6"/>
  <c r="F30" i="6"/>
  <c r="G30" i="6" s="1"/>
  <c r="F25" i="6"/>
  <c r="G25" i="6" s="1"/>
  <c r="J25" i="6" s="1"/>
  <c r="A25" i="6"/>
  <c r="F24" i="6"/>
  <c r="G24" i="6" s="1"/>
  <c r="A24" i="6"/>
  <c r="F23" i="6"/>
  <c r="G23" i="6" s="1"/>
  <c r="A23" i="6"/>
  <c r="F22" i="6"/>
  <c r="G22" i="6" s="1"/>
  <c r="A22" i="6"/>
  <c r="F21" i="6"/>
  <c r="G21" i="6" s="1"/>
  <c r="A21" i="6"/>
  <c r="F20" i="6"/>
  <c r="E20" i="6"/>
  <c r="D20" i="6"/>
  <c r="A20" i="6"/>
  <c r="F19" i="6"/>
  <c r="E19" i="6"/>
  <c r="D19" i="6"/>
  <c r="A19" i="6"/>
  <c r="F18" i="6"/>
  <c r="E18" i="6"/>
  <c r="D18" i="6"/>
  <c r="A18" i="6"/>
  <c r="F17" i="6"/>
  <c r="E17" i="6"/>
  <c r="D17" i="6"/>
  <c r="A17" i="6"/>
  <c r="F16" i="6"/>
  <c r="E16" i="6"/>
  <c r="D16" i="6"/>
  <c r="A16" i="6"/>
  <c r="F15" i="6"/>
  <c r="E15" i="6"/>
  <c r="D15" i="6"/>
  <c r="A15" i="6"/>
  <c r="F14" i="6"/>
  <c r="E14" i="6"/>
  <c r="D14" i="6"/>
  <c r="A14" i="6"/>
  <c r="F13" i="6"/>
  <c r="E13" i="6"/>
  <c r="D13" i="6"/>
  <c r="A13" i="6"/>
  <c r="F12" i="6"/>
  <c r="E12" i="6"/>
  <c r="D12" i="6"/>
  <c r="A12" i="6"/>
  <c r="A9" i="6"/>
  <c r="P169" i="2"/>
  <c r="K169" i="2"/>
  <c r="C169" i="2"/>
  <c r="P168" i="2"/>
  <c r="K168" i="2"/>
  <c r="C168" i="2"/>
  <c r="P167" i="2"/>
  <c r="K167" i="2"/>
  <c r="C167" i="2"/>
  <c r="P166" i="2"/>
  <c r="K166" i="2"/>
  <c r="C166" i="2"/>
  <c r="P165" i="2"/>
  <c r="K165" i="2"/>
  <c r="C165" i="2"/>
  <c r="P164" i="2"/>
  <c r="K164" i="2"/>
  <c r="C164" i="2"/>
  <c r="P163" i="2"/>
  <c r="K163" i="2"/>
  <c r="C163" i="2"/>
  <c r="P162" i="2"/>
  <c r="K162" i="2"/>
  <c r="C162" i="2"/>
  <c r="P161" i="2"/>
  <c r="K161" i="2"/>
  <c r="C161" i="2"/>
  <c r="P160" i="2"/>
  <c r="K160" i="2"/>
  <c r="C160" i="2"/>
  <c r="P159" i="2"/>
  <c r="K159" i="2"/>
  <c r="C159" i="2"/>
  <c r="P158" i="2"/>
  <c r="P154" i="2"/>
  <c r="K154" i="2"/>
  <c r="C154" i="2"/>
  <c r="P153" i="2"/>
  <c r="K153" i="2"/>
  <c r="C153" i="2"/>
  <c r="P152" i="2"/>
  <c r="K152" i="2"/>
  <c r="C152" i="2"/>
  <c r="P151" i="2"/>
  <c r="K151" i="2"/>
  <c r="C151" i="2"/>
  <c r="P150" i="2"/>
  <c r="K150" i="2"/>
  <c r="C150" i="2"/>
  <c r="P149" i="2"/>
  <c r="K149" i="2"/>
  <c r="C149" i="2"/>
  <c r="P148" i="2"/>
  <c r="K148" i="2"/>
  <c r="C148" i="2"/>
  <c r="P147" i="2"/>
  <c r="K147" i="2"/>
  <c r="C147" i="2"/>
  <c r="P146" i="2"/>
  <c r="K146" i="2"/>
  <c r="C146" i="2"/>
  <c r="P145" i="2"/>
  <c r="K145" i="2"/>
  <c r="C145" i="2"/>
  <c r="P144" i="2"/>
  <c r="K144" i="2"/>
  <c r="C144" i="2"/>
  <c r="P143" i="2"/>
  <c r="P139" i="2"/>
  <c r="K139" i="2"/>
  <c r="C139" i="2"/>
  <c r="P138" i="2"/>
  <c r="K138" i="2"/>
  <c r="C138" i="2"/>
  <c r="P137" i="2"/>
  <c r="K137" i="2"/>
  <c r="C137" i="2"/>
  <c r="P136" i="2"/>
  <c r="K136" i="2"/>
  <c r="C136" i="2"/>
  <c r="P135" i="2"/>
  <c r="K135" i="2"/>
  <c r="C135" i="2"/>
  <c r="P134" i="2"/>
  <c r="K134" i="2"/>
  <c r="C134" i="2"/>
  <c r="P133" i="2"/>
  <c r="K133" i="2"/>
  <c r="C133" i="2"/>
  <c r="P132" i="2"/>
  <c r="K132" i="2"/>
  <c r="C132" i="2"/>
  <c r="P131" i="2"/>
  <c r="K131" i="2"/>
  <c r="C131" i="2"/>
  <c r="P130" i="2"/>
  <c r="K130" i="2"/>
  <c r="C130" i="2"/>
  <c r="P129" i="2"/>
  <c r="K129" i="2"/>
  <c r="C129" i="2"/>
  <c r="P128" i="2"/>
  <c r="P124" i="2"/>
  <c r="K124" i="2"/>
  <c r="C124" i="2"/>
  <c r="P123" i="2"/>
  <c r="K123" i="2"/>
  <c r="C123" i="2"/>
  <c r="P122" i="2"/>
  <c r="K122" i="2"/>
  <c r="C122" i="2"/>
  <c r="P121" i="2"/>
  <c r="K121" i="2"/>
  <c r="C121" i="2"/>
  <c r="P120" i="2"/>
  <c r="K120" i="2"/>
  <c r="C120" i="2"/>
  <c r="P119" i="2"/>
  <c r="K119" i="2"/>
  <c r="C119" i="2"/>
  <c r="P118" i="2"/>
  <c r="K118" i="2"/>
  <c r="C118" i="2"/>
  <c r="P117" i="2"/>
  <c r="K117" i="2"/>
  <c r="C117" i="2"/>
  <c r="P116" i="2"/>
  <c r="K116" i="2"/>
  <c r="C116" i="2"/>
  <c r="P115" i="2"/>
  <c r="K115" i="2"/>
  <c r="C115" i="2"/>
  <c r="P114" i="2"/>
  <c r="K114" i="2"/>
  <c r="C114" i="2"/>
  <c r="P113" i="2"/>
  <c r="P109" i="2"/>
  <c r="K109" i="2"/>
  <c r="C109" i="2"/>
  <c r="P108" i="2"/>
  <c r="K108" i="2"/>
  <c r="C108" i="2"/>
  <c r="P107" i="2"/>
  <c r="K107" i="2"/>
  <c r="C107" i="2"/>
  <c r="P106" i="2"/>
  <c r="K106" i="2"/>
  <c r="C106" i="2"/>
  <c r="P105" i="2"/>
  <c r="K105" i="2"/>
  <c r="C105" i="2"/>
  <c r="P104" i="2"/>
  <c r="K104" i="2"/>
  <c r="C104" i="2"/>
  <c r="P103" i="2"/>
  <c r="K103" i="2"/>
  <c r="C103" i="2"/>
  <c r="P102" i="2"/>
  <c r="K102" i="2"/>
  <c r="C102" i="2"/>
  <c r="P101" i="2"/>
  <c r="K101" i="2"/>
  <c r="C101" i="2"/>
  <c r="P100" i="2"/>
  <c r="K100" i="2"/>
  <c r="C100" i="2"/>
  <c r="P99" i="2"/>
  <c r="K99" i="2"/>
  <c r="C99" i="2"/>
  <c r="P98" i="2"/>
  <c r="P94" i="2"/>
  <c r="K94" i="2"/>
  <c r="C94" i="2"/>
  <c r="P93" i="2"/>
  <c r="K93" i="2"/>
  <c r="C93" i="2"/>
  <c r="P92" i="2"/>
  <c r="K92" i="2"/>
  <c r="C92" i="2"/>
  <c r="P91" i="2"/>
  <c r="K91" i="2"/>
  <c r="C91" i="2"/>
  <c r="P90" i="2"/>
  <c r="K90" i="2"/>
  <c r="C90" i="2"/>
  <c r="P89" i="2"/>
  <c r="K89" i="2"/>
  <c r="C89" i="2"/>
  <c r="P88" i="2"/>
  <c r="K88" i="2"/>
  <c r="C88" i="2"/>
  <c r="P87" i="2"/>
  <c r="K87" i="2"/>
  <c r="C87" i="2"/>
  <c r="P86" i="2"/>
  <c r="K86" i="2"/>
  <c r="C86" i="2"/>
  <c r="P85" i="2"/>
  <c r="K85" i="2"/>
  <c r="C85" i="2"/>
  <c r="P84" i="2"/>
  <c r="K84" i="2"/>
  <c r="C84" i="2"/>
  <c r="P83" i="2"/>
  <c r="P79" i="2"/>
  <c r="K79" i="2"/>
  <c r="C79" i="2"/>
  <c r="P78" i="2"/>
  <c r="K78" i="2"/>
  <c r="C78" i="2"/>
  <c r="P77" i="2"/>
  <c r="K77" i="2"/>
  <c r="C77" i="2"/>
  <c r="P76" i="2"/>
  <c r="K76" i="2"/>
  <c r="C76" i="2"/>
  <c r="P75" i="2"/>
  <c r="K75" i="2"/>
  <c r="C75" i="2"/>
  <c r="P74" i="2"/>
  <c r="K74" i="2"/>
  <c r="C74" i="2"/>
  <c r="P73" i="2"/>
  <c r="K73" i="2"/>
  <c r="C73" i="2"/>
  <c r="P72" i="2"/>
  <c r="K72" i="2"/>
  <c r="C72" i="2"/>
  <c r="P71" i="2"/>
  <c r="K71" i="2"/>
  <c r="C71" i="2"/>
  <c r="P70" i="2"/>
  <c r="K70" i="2"/>
  <c r="C70" i="2"/>
  <c r="P69" i="2"/>
  <c r="K69" i="2"/>
  <c r="C69" i="2"/>
  <c r="P68" i="2"/>
  <c r="P64" i="2"/>
  <c r="K64" i="2"/>
  <c r="C64" i="2"/>
  <c r="P63" i="2"/>
  <c r="K63" i="2"/>
  <c r="C63" i="2"/>
  <c r="P62" i="2"/>
  <c r="K62" i="2"/>
  <c r="C62" i="2"/>
  <c r="P61" i="2"/>
  <c r="K61" i="2"/>
  <c r="C61" i="2"/>
  <c r="P60" i="2"/>
  <c r="K60" i="2"/>
  <c r="C60" i="2"/>
  <c r="P59" i="2"/>
  <c r="K59" i="2"/>
  <c r="C59" i="2"/>
  <c r="P58" i="2"/>
  <c r="K58" i="2"/>
  <c r="C58" i="2"/>
  <c r="P57" i="2"/>
  <c r="K57" i="2"/>
  <c r="C57" i="2"/>
  <c r="P56" i="2"/>
  <c r="K56" i="2"/>
  <c r="C56" i="2"/>
  <c r="P55" i="2"/>
  <c r="K55" i="2"/>
  <c r="C55" i="2"/>
  <c r="P54" i="2"/>
  <c r="K54" i="2"/>
  <c r="C54" i="2"/>
  <c r="P53" i="2"/>
  <c r="P49" i="2"/>
  <c r="K49" i="2"/>
  <c r="C49" i="2"/>
  <c r="P48" i="2"/>
  <c r="K48" i="2"/>
  <c r="C48" i="2"/>
  <c r="P47" i="2"/>
  <c r="K47" i="2"/>
  <c r="C47" i="2"/>
  <c r="P46" i="2"/>
  <c r="K46" i="2"/>
  <c r="C46" i="2"/>
  <c r="P45" i="2"/>
  <c r="K45" i="2"/>
  <c r="C45" i="2"/>
  <c r="P44" i="2"/>
  <c r="K44" i="2"/>
  <c r="C44" i="2"/>
  <c r="P43" i="2"/>
  <c r="K43" i="2"/>
  <c r="C43" i="2"/>
  <c r="P42" i="2"/>
  <c r="K42" i="2"/>
  <c r="C42" i="2"/>
  <c r="P41" i="2"/>
  <c r="K41" i="2"/>
  <c r="C41" i="2"/>
  <c r="P40" i="2"/>
  <c r="K40" i="2"/>
  <c r="C40" i="2"/>
  <c r="P39" i="2"/>
  <c r="K39" i="2"/>
  <c r="C39" i="2"/>
  <c r="P38" i="2"/>
  <c r="P34" i="2"/>
  <c r="K34" i="2"/>
  <c r="C34" i="2"/>
  <c r="P33" i="2"/>
  <c r="K33" i="2"/>
  <c r="C33" i="2"/>
  <c r="P32" i="2"/>
  <c r="K32" i="2"/>
  <c r="C32" i="2"/>
  <c r="P31" i="2"/>
  <c r="K31" i="2"/>
  <c r="C31" i="2"/>
  <c r="P30" i="2"/>
  <c r="K30" i="2"/>
  <c r="C30" i="2"/>
  <c r="P29" i="2"/>
  <c r="K29" i="2"/>
  <c r="C29" i="2"/>
  <c r="P28" i="2"/>
  <c r="K28" i="2"/>
  <c r="K27" i="2"/>
  <c r="K26" i="2"/>
  <c r="K25" i="2"/>
  <c r="P24" i="2"/>
  <c r="K24" i="2"/>
  <c r="P23" i="2"/>
  <c r="A18" i="2"/>
  <c r="F18" i="2" s="1"/>
  <c r="A17" i="2"/>
  <c r="B116" i="7" s="1"/>
  <c r="A16" i="2"/>
  <c r="B115" i="7" s="1"/>
  <c r="A15" i="2"/>
  <c r="B114" i="7" s="1"/>
  <c r="AE14" i="2"/>
  <c r="A14" i="2"/>
  <c r="B113" i="7" s="1"/>
  <c r="AE13" i="2"/>
  <c r="A13" i="2"/>
  <c r="B112" i="7" s="1"/>
  <c r="AE12" i="2"/>
  <c r="A12" i="2"/>
  <c r="B111" i="7" s="1"/>
  <c r="AE11" i="2"/>
  <c r="A11" i="2"/>
  <c r="B110" i="7" s="1"/>
  <c r="AE10" i="2"/>
  <c r="A10" i="2"/>
  <c r="B109" i="7" s="1"/>
  <c r="A9" i="2"/>
  <c r="B108" i="7" s="1"/>
  <c r="AA8" i="2"/>
  <c r="A8" i="2"/>
  <c r="B107" i="7" s="1"/>
  <c r="AC7" i="2"/>
  <c r="C4" i="2" s="1"/>
  <c r="AA7" i="2"/>
  <c r="A7" i="2"/>
  <c r="B106" i="7" s="1"/>
  <c r="B5" i="2"/>
  <c r="A1" i="1"/>
  <c r="M18" i="2" l="1"/>
  <c r="K18" i="2"/>
  <c r="A13" i="12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13" i="9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T11" i="1"/>
  <c r="BE11" i="1"/>
  <c r="A10" i="1" s="1"/>
  <c r="N3" i="1"/>
  <c r="R3" i="1" s="1" a="1"/>
  <c r="R3" i="1" s="1"/>
  <c r="N9" i="1"/>
  <c r="R9" i="1" s="1" a="1"/>
  <c r="R9" i="1" s="1"/>
  <c r="N4" i="1"/>
  <c r="R4" i="1" s="1" a="1"/>
  <c r="R4" i="1" s="1"/>
  <c r="N2" i="1"/>
  <c r="R2" i="1" s="1" a="1"/>
  <c r="R2" i="1" s="1"/>
  <c r="N5" i="1"/>
  <c r="R5" i="1" s="1" a="1"/>
  <c r="R5" i="1" s="1"/>
  <c r="N6" i="1"/>
  <c r="R6" i="1" s="1" a="1"/>
  <c r="R6" i="1" s="1"/>
  <c r="N7" i="1"/>
  <c r="R7" i="1" s="1" a="1"/>
  <c r="R7" i="1" s="1"/>
  <c r="N8" i="1"/>
  <c r="R8" i="1" s="1" a="1"/>
  <c r="R8" i="1" s="1"/>
  <c r="G13" i="6"/>
  <c r="J13" i="6" s="1"/>
  <c r="G16" i="6"/>
  <c r="L16" i="6" s="1"/>
  <c r="G12" i="6"/>
  <c r="J12" i="6" s="1"/>
  <c r="C26" i="2"/>
  <c r="X10" i="2"/>
  <c r="G14" i="6"/>
  <c r="K14" i="6" s="1"/>
  <c r="L37" i="6"/>
  <c r="Q37" i="6" s="1"/>
  <c r="G18" i="6"/>
  <c r="J18" i="6" s="1"/>
  <c r="G20" i="6"/>
  <c r="L20" i="6" s="1"/>
  <c r="L24" i="6"/>
  <c r="Q24" i="6" s="1"/>
  <c r="G15" i="6"/>
  <c r="K15" i="6" s="1"/>
  <c r="G17" i="6"/>
  <c r="H17" i="6" s="1"/>
  <c r="I17" i="6" s="1"/>
  <c r="G19" i="6"/>
  <c r="J19" i="6" s="1"/>
  <c r="K27" i="6"/>
  <c r="L29" i="6"/>
  <c r="L28" i="6"/>
  <c r="K29" i="6"/>
  <c r="L27" i="6"/>
  <c r="K28" i="6"/>
  <c r="L26" i="6"/>
  <c r="K26" i="6"/>
  <c r="H23" i="6"/>
  <c r="M23" i="6" s="1"/>
  <c r="J23" i="6"/>
  <c r="O23" i="6" s="1"/>
  <c r="R12" i="2"/>
  <c r="S12" i="2" s="1"/>
  <c r="W10" i="2"/>
  <c r="X14" i="2"/>
  <c r="R13" i="2"/>
  <c r="S13" i="2" s="1"/>
  <c r="F15" i="2"/>
  <c r="R8" i="2"/>
  <c r="S8" i="2" s="1"/>
  <c r="C13" i="2"/>
  <c r="B14" i="2" s="1"/>
  <c r="V8" i="2"/>
  <c r="U9" i="2" s="1"/>
  <c r="W8" i="2"/>
  <c r="F11" i="2"/>
  <c r="V13" i="2"/>
  <c r="U14" i="2" s="1"/>
  <c r="R15" i="2"/>
  <c r="S15" i="2" s="1"/>
  <c r="P7" i="8"/>
  <c r="W13" i="2"/>
  <c r="E17" i="2"/>
  <c r="F7" i="2"/>
  <c r="X13" i="2"/>
  <c r="C15" i="2"/>
  <c r="B16" i="2" s="1"/>
  <c r="W17" i="2"/>
  <c r="Q15" i="2"/>
  <c r="E114" i="7" s="1"/>
  <c r="Q18" i="2"/>
  <c r="Q11" i="2"/>
  <c r="E110" i="7" s="1"/>
  <c r="E13" i="2"/>
  <c r="C8" i="2"/>
  <c r="B9" i="2" s="1"/>
  <c r="E10" i="2"/>
  <c r="V11" i="2"/>
  <c r="U12" i="2" s="1"/>
  <c r="F13" i="2"/>
  <c r="E14" i="2"/>
  <c r="Q8" i="2"/>
  <c r="E107" i="7" s="1"/>
  <c r="R10" i="2"/>
  <c r="S10" i="2" s="1"/>
  <c r="Q13" i="2"/>
  <c r="E112" i="7" s="1"/>
  <c r="W14" i="2"/>
  <c r="V15" i="2"/>
  <c r="U16" i="2" s="1"/>
  <c r="P25" i="2"/>
  <c r="C27" i="2"/>
  <c r="P27" i="2"/>
  <c r="J36" i="6"/>
  <c r="O36" i="6" s="1"/>
  <c r="L38" i="6"/>
  <c r="T38" i="6" s="1"/>
  <c r="W38" i="6" s="1"/>
  <c r="X17" i="2"/>
  <c r="R18" i="2"/>
  <c r="Q7" i="2"/>
  <c r="E106" i="7" s="1"/>
  <c r="C9" i="2"/>
  <c r="B10" i="2" s="1"/>
  <c r="V9" i="2"/>
  <c r="U10" i="2" s="1"/>
  <c r="F10" i="2"/>
  <c r="R11" i="2"/>
  <c r="F14" i="2"/>
  <c r="C16" i="2"/>
  <c r="B17" i="2" s="1"/>
  <c r="V16" i="2"/>
  <c r="U17" i="2" s="1"/>
  <c r="F17" i="2"/>
  <c r="R7" i="2"/>
  <c r="W9" i="2"/>
  <c r="Q10" i="2"/>
  <c r="E109" i="7" s="1"/>
  <c r="C12" i="2"/>
  <c r="B13" i="2" s="1"/>
  <c r="V12" i="2"/>
  <c r="U13" i="2" s="1"/>
  <c r="Q14" i="2"/>
  <c r="E113" i="7" s="1"/>
  <c r="W16" i="2"/>
  <c r="Q17" i="2"/>
  <c r="W12" i="2"/>
  <c r="R14" i="2"/>
  <c r="E16" i="2"/>
  <c r="X16" i="2"/>
  <c r="R17" i="2"/>
  <c r="C18" i="2"/>
  <c r="D18" i="2" s="1"/>
  <c r="V18" i="2"/>
  <c r="V7" i="2"/>
  <c r="F16" i="2"/>
  <c r="W18" i="2"/>
  <c r="E9" i="2"/>
  <c r="X9" i="2"/>
  <c r="C7" i="2"/>
  <c r="E12" i="2"/>
  <c r="X12" i="2"/>
  <c r="X8" i="2"/>
  <c r="Q9" i="2"/>
  <c r="E108" i="7" s="1"/>
  <c r="W11" i="2"/>
  <c r="F12" i="2"/>
  <c r="W15" i="2"/>
  <c r="Q16" i="2"/>
  <c r="E115" i="7" s="1"/>
  <c r="E18" i="2"/>
  <c r="X18" i="2"/>
  <c r="F9" i="2"/>
  <c r="W7" i="2"/>
  <c r="E8" i="2"/>
  <c r="E7" i="2"/>
  <c r="X7" i="2"/>
  <c r="F8" i="2"/>
  <c r="R9" i="2"/>
  <c r="C10" i="2"/>
  <c r="V10" i="2"/>
  <c r="U11" i="2" s="1"/>
  <c r="E11" i="2"/>
  <c r="X11" i="2"/>
  <c r="Q12" i="2"/>
  <c r="E111" i="7" s="1"/>
  <c r="C14" i="2"/>
  <c r="V14" i="2"/>
  <c r="U15" i="2" s="1"/>
  <c r="E15" i="2"/>
  <c r="X15" i="2"/>
  <c r="R16" i="2"/>
  <c r="C17" i="2"/>
  <c r="B18" i="2" s="1"/>
  <c r="V17" i="2"/>
  <c r="U18" i="2" s="1"/>
  <c r="P26" i="2"/>
  <c r="K18" i="6"/>
  <c r="L13" i="6"/>
  <c r="K13" i="6"/>
  <c r="L21" i="6"/>
  <c r="K21" i="6"/>
  <c r="J21" i="6"/>
  <c r="H21" i="6"/>
  <c r="I21" i="6" s="1"/>
  <c r="M36" i="6"/>
  <c r="N36" i="6"/>
  <c r="T24" i="6"/>
  <c r="W24" i="6" s="1"/>
  <c r="H12" i="6"/>
  <c r="I12" i="6" s="1"/>
  <c r="L12" i="6"/>
  <c r="K12" i="6"/>
  <c r="L14" i="6"/>
  <c r="R25" i="6"/>
  <c r="U25" i="6" s="1"/>
  <c r="O25" i="6"/>
  <c r="L32" i="6"/>
  <c r="K32" i="6"/>
  <c r="J32" i="6"/>
  <c r="H32" i="6"/>
  <c r="I32" i="6" s="1"/>
  <c r="K35" i="6"/>
  <c r="J35" i="6"/>
  <c r="H35" i="6"/>
  <c r="I35" i="6" s="1"/>
  <c r="L35" i="6"/>
  <c r="L30" i="6"/>
  <c r="K30" i="6"/>
  <c r="J30" i="6"/>
  <c r="H30" i="6"/>
  <c r="I30" i="6" s="1"/>
  <c r="J15" i="6"/>
  <c r="H15" i="6"/>
  <c r="I15" i="6" s="1"/>
  <c r="K33" i="6"/>
  <c r="J33" i="6"/>
  <c r="H33" i="6"/>
  <c r="I33" i="6" s="1"/>
  <c r="L33" i="6"/>
  <c r="R38" i="6"/>
  <c r="U38" i="6" s="1"/>
  <c r="O38" i="6"/>
  <c r="K31" i="6"/>
  <c r="J31" i="6"/>
  <c r="H31" i="6"/>
  <c r="I31" i="6" s="1"/>
  <c r="L31" i="6"/>
  <c r="K22" i="6"/>
  <c r="J22" i="6"/>
  <c r="H22" i="6"/>
  <c r="I22" i="6" s="1"/>
  <c r="L22" i="6"/>
  <c r="L34" i="6"/>
  <c r="K34" i="6"/>
  <c r="J34" i="6"/>
  <c r="H34" i="6"/>
  <c r="I34" i="6" s="1"/>
  <c r="K25" i="6"/>
  <c r="K38" i="6"/>
  <c r="L25" i="6"/>
  <c r="R36" i="6"/>
  <c r="U36" i="6" s="1"/>
  <c r="K23" i="6"/>
  <c r="H24" i="6"/>
  <c r="I24" i="6" s="1"/>
  <c r="K36" i="6"/>
  <c r="H37" i="6"/>
  <c r="I37" i="6" s="1"/>
  <c r="L23" i="6"/>
  <c r="L36" i="6"/>
  <c r="J16" i="6"/>
  <c r="J24" i="6"/>
  <c r="J37" i="6"/>
  <c r="K24" i="6"/>
  <c r="H25" i="6"/>
  <c r="I25" i="6" s="1"/>
  <c r="K37" i="6"/>
  <c r="H38" i="6"/>
  <c r="I38" i="6" s="1"/>
  <c r="M11" i="2" l="1"/>
  <c r="K11" i="2"/>
  <c r="M17" i="2"/>
  <c r="K17" i="2"/>
  <c r="K7" i="2"/>
  <c r="M7" i="2"/>
  <c r="M14" i="2"/>
  <c r="K14" i="2"/>
  <c r="M13" i="2"/>
  <c r="K13" i="2"/>
  <c r="K15" i="2"/>
  <c r="M15" i="2"/>
  <c r="M16" i="2"/>
  <c r="K16" i="2"/>
  <c r="M12" i="2"/>
  <c r="K12" i="2"/>
  <c r="F13" i="12"/>
  <c r="D13" i="12"/>
  <c r="C13" i="12"/>
  <c r="D13" i="9"/>
  <c r="C13" i="9"/>
  <c r="F13" i="9"/>
  <c r="X363" i="12"/>
  <c r="V362" i="12"/>
  <c r="X349" i="12"/>
  <c r="X348" i="12"/>
  <c r="V339" i="12"/>
  <c r="X334" i="12"/>
  <c r="V333" i="12"/>
  <c r="X326" i="12"/>
  <c r="V325" i="12"/>
  <c r="V324" i="12"/>
  <c r="X316" i="12"/>
  <c r="X315" i="12"/>
  <c r="V314" i="12"/>
  <c r="X310" i="12"/>
  <c r="X305" i="12"/>
  <c r="V304" i="12"/>
  <c r="X300" i="12"/>
  <c r="X295" i="12"/>
  <c r="V290" i="12"/>
  <c r="X286" i="12"/>
  <c r="V278" i="12"/>
  <c r="X270" i="12"/>
  <c r="V269" i="12"/>
  <c r="V363" i="12"/>
  <c r="V349" i="12"/>
  <c r="V348" i="12"/>
  <c r="X343" i="12"/>
  <c r="X340" i="12"/>
  <c r="V334" i="12"/>
  <c r="X327" i="12"/>
  <c r="V326" i="12"/>
  <c r="X317" i="12"/>
  <c r="V316" i="12"/>
  <c r="V315" i="12"/>
  <c r="X311" i="12"/>
  <c r="V310" i="12"/>
  <c r="V305" i="12"/>
  <c r="X301" i="12"/>
  <c r="V300" i="12"/>
  <c r="X296" i="12"/>
  <c r="V295" i="12"/>
  <c r="X291" i="12"/>
  <c r="V286" i="12"/>
  <c r="X279" i="12"/>
  <c r="V270" i="12"/>
  <c r="X350" i="12"/>
  <c r="X344" i="12"/>
  <c r="V343" i="12"/>
  <c r="X342" i="12"/>
  <c r="X341" i="12"/>
  <c r="V340" i="12"/>
  <c r="X336" i="12"/>
  <c r="X335" i="12"/>
  <c r="V327" i="12"/>
  <c r="V317" i="12"/>
  <c r="V311" i="12"/>
  <c r="X306" i="12"/>
  <c r="V301" i="12"/>
  <c r="V296" i="12"/>
  <c r="V291" i="12"/>
  <c r="X287" i="12"/>
  <c r="X281" i="12"/>
  <c r="X280" i="12"/>
  <c r="V279" i="12"/>
  <c r="X272" i="12"/>
  <c r="X271" i="12"/>
  <c r="X265" i="12"/>
  <c r="X358" i="12"/>
  <c r="X356" i="12"/>
  <c r="X355" i="12"/>
  <c r="V350" i="12"/>
  <c r="V344" i="12"/>
  <c r="V342" i="12"/>
  <c r="V341" i="12"/>
  <c r="X337" i="12"/>
  <c r="V336" i="12"/>
  <c r="V335" i="12"/>
  <c r="X328" i="12"/>
  <c r="X321" i="12"/>
  <c r="X318" i="12"/>
  <c r="X312" i="12"/>
  <c r="V306" i="12"/>
  <c r="X302" i="12"/>
  <c r="X297" i="12"/>
  <c r="X292" i="12"/>
  <c r="V287" i="12"/>
  <c r="X283" i="12"/>
  <c r="X282" i="12"/>
  <c r="V281" i="12"/>
  <c r="V280" i="12"/>
  <c r="X274" i="12"/>
  <c r="X273" i="12"/>
  <c r="V272" i="12"/>
  <c r="V271" i="12"/>
  <c r="X267" i="12"/>
  <c r="V265" i="12"/>
  <c r="V358" i="12"/>
  <c r="X357" i="12"/>
  <c r="V356" i="12"/>
  <c r="V355" i="12"/>
  <c r="X354" i="12"/>
  <c r="X353" i="12"/>
  <c r="X351" i="12"/>
  <c r="X345" i="12"/>
  <c r="V337" i="12"/>
  <c r="X331" i="12"/>
  <c r="X330" i="12"/>
  <c r="X329" i="12"/>
  <c r="V328" i="12"/>
  <c r="X322" i="12"/>
  <c r="V321" i="12"/>
  <c r="X320" i="12"/>
  <c r="X319" i="12"/>
  <c r="V318" i="12"/>
  <c r="V312" i="12"/>
  <c r="X307" i="12"/>
  <c r="V302" i="12"/>
  <c r="V297" i="12"/>
  <c r="V292" i="12"/>
  <c r="X288" i="12"/>
  <c r="X284" i="12"/>
  <c r="V283" i="12"/>
  <c r="V282" i="12"/>
  <c r="V274" i="12"/>
  <c r="V273" i="12"/>
  <c r="V267" i="12"/>
  <c r="X266" i="12"/>
  <c r="X361" i="12"/>
  <c r="V360" i="12"/>
  <c r="V359" i="12"/>
  <c r="V352" i="12"/>
  <c r="X347" i="12"/>
  <c r="V346" i="12"/>
  <c r="V338" i="12"/>
  <c r="X332" i="12"/>
  <c r="V323" i="12"/>
  <c r="V313" i="12"/>
  <c r="X309" i="12"/>
  <c r="X308" i="12"/>
  <c r="V303" i="12"/>
  <c r="X299" i="12"/>
  <c r="V298" i="12"/>
  <c r="X294" i="12"/>
  <c r="V293" i="12"/>
  <c r="X289" i="12"/>
  <c r="X285" i="12"/>
  <c r="X277" i="12"/>
  <c r="X276" i="12"/>
  <c r="V275" i="12"/>
  <c r="V268" i="12"/>
  <c r="V354" i="12"/>
  <c r="V345" i="12"/>
  <c r="V331" i="12"/>
  <c r="V322" i="12"/>
  <c r="X313" i="12"/>
  <c r="X303" i="12"/>
  <c r="X298" i="12"/>
  <c r="X293" i="12"/>
  <c r="V288" i="12"/>
  <c r="V261" i="12"/>
  <c r="V254" i="12"/>
  <c r="X249" i="12"/>
  <c r="X248" i="12"/>
  <c r="V246" i="12"/>
  <c r="X238" i="12"/>
  <c r="X237" i="12"/>
  <c r="V235" i="12"/>
  <c r="X230" i="12"/>
  <c r="V224" i="12"/>
  <c r="X223" i="12"/>
  <c r="V220" i="12"/>
  <c r="V219" i="12"/>
  <c r="V218" i="12"/>
  <c r="X211" i="12"/>
  <c r="X210" i="12"/>
  <c r="V209" i="12"/>
  <c r="V208" i="12"/>
  <c r="X200" i="12"/>
  <c r="V199" i="12"/>
  <c r="V198" i="12"/>
  <c r="X362" i="12"/>
  <c r="V308" i="12"/>
  <c r="X278" i="12"/>
  <c r="X269" i="12"/>
  <c r="X263" i="12"/>
  <c r="X262" i="12"/>
  <c r="X256" i="12"/>
  <c r="X255" i="12"/>
  <c r="V249" i="12"/>
  <c r="V248" i="12"/>
  <c r="X247" i="12"/>
  <c r="V238" i="12"/>
  <c r="V237" i="12"/>
  <c r="X232" i="12"/>
  <c r="V230" i="12"/>
  <c r="X225" i="12"/>
  <c r="V223" i="12"/>
  <c r="X221" i="12"/>
  <c r="V211" i="12"/>
  <c r="V210" i="12"/>
  <c r="X201" i="12"/>
  <c r="V200" i="12"/>
  <c r="V357" i="12"/>
  <c r="V353" i="12"/>
  <c r="V330" i="12"/>
  <c r="V307" i="12"/>
  <c r="X268" i="12"/>
  <c r="V263" i="12"/>
  <c r="V262" i="12"/>
  <c r="X257" i="12"/>
  <c r="V256" i="12"/>
  <c r="V255" i="12"/>
  <c r="X250" i="12"/>
  <c r="V247" i="12"/>
  <c r="X240" i="12"/>
  <c r="X239" i="12"/>
  <c r="V232" i="12"/>
  <c r="X231" i="12"/>
  <c r="V225" i="12"/>
  <c r="X222" i="12"/>
  <c r="V221" i="12"/>
  <c r="X212" i="12"/>
  <c r="X203" i="12"/>
  <c r="X202" i="12"/>
  <c r="V201" i="12"/>
  <c r="X193" i="12"/>
  <c r="X192" i="12"/>
  <c r="V361" i="12"/>
  <c r="X339" i="12"/>
  <c r="X325" i="12"/>
  <c r="V277" i="12"/>
  <c r="X264" i="12"/>
  <c r="V257" i="12"/>
  <c r="V250" i="12"/>
  <c r="X241" i="12"/>
  <c r="V240" i="12"/>
  <c r="V239" i="12"/>
  <c r="X233" i="12"/>
  <c r="V231" i="12"/>
  <c r="X226" i="12"/>
  <c r="V222" i="12"/>
  <c r="X213" i="12"/>
  <c r="V212" i="12"/>
  <c r="V203" i="12"/>
  <c r="V202" i="12"/>
  <c r="X195" i="12"/>
  <c r="X194" i="12"/>
  <c r="V193" i="12"/>
  <c r="V192" i="12"/>
  <c r="X360" i="12"/>
  <c r="X352" i="12"/>
  <c r="X338" i="12"/>
  <c r="V329" i="12"/>
  <c r="V320" i="12"/>
  <c r="V264" i="12"/>
  <c r="X259" i="12"/>
  <c r="X258" i="12"/>
  <c r="X251" i="12"/>
  <c r="X242" i="12"/>
  <c r="V241" i="12"/>
  <c r="V233" i="12"/>
  <c r="X228" i="12"/>
  <c r="X227" i="12"/>
  <c r="V226" i="12"/>
  <c r="X215" i="12"/>
  <c r="X214" i="12"/>
  <c r="V213" i="12"/>
  <c r="X204" i="12"/>
  <c r="X196" i="12"/>
  <c r="V195" i="12"/>
  <c r="V194" i="12"/>
  <c r="V347" i="12"/>
  <c r="X333" i="12"/>
  <c r="X324" i="12"/>
  <c r="X290" i="12"/>
  <c r="V285" i="12"/>
  <c r="V276" i="12"/>
  <c r="V259" i="12"/>
  <c r="V258" i="12"/>
  <c r="X253" i="12"/>
  <c r="X252" i="12"/>
  <c r="V251" i="12"/>
  <c r="X245" i="12"/>
  <c r="X244" i="12"/>
  <c r="V242" i="12"/>
  <c r="X234" i="12"/>
  <c r="V228" i="12"/>
  <c r="V227" i="12"/>
  <c r="X216" i="12"/>
  <c r="V215" i="12"/>
  <c r="V214" i="12"/>
  <c r="X205" i="12"/>
  <c r="V204" i="12"/>
  <c r="V196" i="12"/>
  <c r="X359" i="12"/>
  <c r="X323" i="12"/>
  <c r="V284" i="12"/>
  <c r="V266" i="12"/>
  <c r="X260" i="12"/>
  <c r="X206" i="12"/>
  <c r="X197" i="12"/>
  <c r="X187" i="12"/>
  <c r="V181" i="12"/>
  <c r="V176" i="12"/>
  <c r="V171" i="12"/>
  <c r="V170" i="12"/>
  <c r="V165" i="12"/>
  <c r="V160" i="12"/>
  <c r="X153" i="12"/>
  <c r="V152" i="12"/>
  <c r="X144" i="12"/>
  <c r="X143" i="12"/>
  <c r="X142" i="12"/>
  <c r="X133" i="12"/>
  <c r="X132" i="12"/>
  <c r="V131" i="12"/>
  <c r="V130" i="12"/>
  <c r="X123" i="12"/>
  <c r="X122" i="12"/>
  <c r="X121" i="12"/>
  <c r="X109" i="12"/>
  <c r="X108" i="12"/>
  <c r="X106" i="12"/>
  <c r="V104" i="12"/>
  <c r="X96" i="12"/>
  <c r="V87" i="12"/>
  <c r="V86" i="12"/>
  <c r="X79" i="12"/>
  <c r="V78" i="12"/>
  <c r="X77" i="12"/>
  <c r="V76" i="12"/>
  <c r="X72" i="12"/>
  <c r="V67" i="12"/>
  <c r="X62" i="12"/>
  <c r="V60" i="12"/>
  <c r="X55" i="12"/>
  <c r="V49" i="12"/>
  <c r="X48" i="12"/>
  <c r="V42" i="12"/>
  <c r="X37" i="12"/>
  <c r="V35" i="12"/>
  <c r="X30" i="12"/>
  <c r="V28" i="12"/>
  <c r="X23" i="12"/>
  <c r="X304" i="12"/>
  <c r="V260" i="12"/>
  <c r="X246" i="12"/>
  <c r="X219" i="12"/>
  <c r="V206" i="12"/>
  <c r="V197" i="12"/>
  <c r="V187" i="12"/>
  <c r="X183" i="12"/>
  <c r="X182" i="12"/>
  <c r="X177" i="12"/>
  <c r="X172" i="12"/>
  <c r="X167" i="12"/>
  <c r="X166" i="12"/>
  <c r="X161" i="12"/>
  <c r="V153" i="12"/>
  <c r="X145" i="12"/>
  <c r="V144" i="12"/>
  <c r="V143" i="12"/>
  <c r="V142" i="12"/>
  <c r="V133" i="12"/>
  <c r="V132" i="12"/>
  <c r="V123" i="12"/>
  <c r="V122" i="12"/>
  <c r="V121" i="12"/>
  <c r="X111" i="12"/>
  <c r="X110" i="12"/>
  <c r="V109" i="12"/>
  <c r="V108" i="12"/>
  <c r="X107" i="12"/>
  <c r="V106" i="12"/>
  <c r="X105" i="12"/>
  <c r="X98" i="12"/>
  <c r="X97" i="12"/>
  <c r="V96" i="12"/>
  <c r="X88" i="12"/>
  <c r="X80" i="12"/>
  <c r="V79" i="12"/>
  <c r="V77" i="12"/>
  <c r="X73" i="12"/>
  <c r="V72" i="12"/>
  <c r="X68" i="12"/>
  <c r="V62" i="12"/>
  <c r="X57" i="12"/>
  <c r="V55" i="12"/>
  <c r="X50" i="12"/>
  <c r="V48" i="12"/>
  <c r="X43" i="12"/>
  <c r="V37" i="12"/>
  <c r="X36" i="12"/>
  <c r="V30" i="12"/>
  <c r="X25" i="12"/>
  <c r="V23" i="12"/>
  <c r="V319" i="12"/>
  <c r="V245" i="12"/>
  <c r="X236" i="12"/>
  <c r="V205" i="12"/>
  <c r="X188" i="12"/>
  <c r="V183" i="12"/>
  <c r="V182" i="12"/>
  <c r="V177" i="12"/>
  <c r="V172" i="12"/>
  <c r="V167" i="12"/>
  <c r="V166" i="12"/>
  <c r="V161" i="12"/>
  <c r="X155" i="12"/>
  <c r="X154" i="12"/>
  <c r="V145" i="12"/>
  <c r="X135" i="12"/>
  <c r="X134" i="12"/>
  <c r="X127" i="12"/>
  <c r="X125" i="12"/>
  <c r="X124" i="12"/>
  <c r="X113" i="12"/>
  <c r="V111" i="12"/>
  <c r="V110" i="12"/>
  <c r="V107" i="12"/>
  <c r="V105" i="12"/>
  <c r="X100" i="12"/>
  <c r="X99" i="12"/>
  <c r="V98" i="12"/>
  <c r="V97" i="12"/>
  <c r="X90" i="12"/>
  <c r="X89" i="12"/>
  <c r="V88" i="12"/>
  <c r="X82" i="12"/>
  <c r="V80" i="12"/>
  <c r="V73" i="12"/>
  <c r="X69" i="12"/>
  <c r="V68" i="12"/>
  <c r="X63" i="12"/>
  <c r="V57" i="12"/>
  <c r="X56" i="12"/>
  <c r="V50" i="12"/>
  <c r="X45" i="12"/>
  <c r="V43" i="12"/>
  <c r="X38" i="12"/>
  <c r="V36" i="12"/>
  <c r="X31" i="12"/>
  <c r="V299" i="12"/>
  <c r="X254" i="12"/>
  <c r="V236" i="12"/>
  <c r="X218" i="12"/>
  <c r="X209" i="12"/>
  <c r="V188" i="12"/>
  <c r="X184" i="12"/>
  <c r="X179" i="12"/>
  <c r="X178" i="12"/>
  <c r="X173" i="12"/>
  <c r="X168" i="12"/>
  <c r="X163" i="12"/>
  <c r="X162" i="12"/>
  <c r="V155" i="12"/>
  <c r="V154" i="12"/>
  <c r="X147" i="12"/>
  <c r="X146" i="12"/>
  <c r="X136" i="12"/>
  <c r="V135" i="12"/>
  <c r="V134" i="12"/>
  <c r="V127" i="12"/>
  <c r="X126" i="12"/>
  <c r="V125" i="12"/>
  <c r="V124" i="12"/>
  <c r="V113" i="12"/>
  <c r="X112" i="12"/>
  <c r="V100" i="12"/>
  <c r="V99" i="12"/>
  <c r="X91" i="12"/>
  <c r="V90" i="12"/>
  <c r="V89" i="12"/>
  <c r="X83" i="12"/>
  <c r="V82" i="12"/>
  <c r="X81" i="12"/>
  <c r="X74" i="12"/>
  <c r="V69" i="12"/>
  <c r="X65" i="12"/>
  <c r="V63" i="12"/>
  <c r="X58" i="12"/>
  <c r="V56" i="12"/>
  <c r="X51" i="12"/>
  <c r="V45" i="12"/>
  <c r="X44" i="12"/>
  <c r="V38" i="12"/>
  <c r="X33" i="12"/>
  <c r="V31" i="12"/>
  <c r="X26" i="12"/>
  <c r="V24" i="12"/>
  <c r="V351" i="12"/>
  <c r="X275" i="12"/>
  <c r="V253" i="12"/>
  <c r="V244" i="12"/>
  <c r="X217" i="12"/>
  <c r="X189" i="12"/>
  <c r="V184" i="12"/>
  <c r="V179" i="12"/>
  <c r="V178" i="12"/>
  <c r="V173" i="12"/>
  <c r="V168" i="12"/>
  <c r="V163" i="12"/>
  <c r="V162" i="12"/>
  <c r="X157" i="12"/>
  <c r="X156" i="12"/>
  <c r="X149" i="12"/>
  <c r="X148" i="12"/>
  <c r="V147" i="12"/>
  <c r="V146" i="12"/>
  <c r="V136" i="12"/>
  <c r="X128" i="12"/>
  <c r="V126" i="12"/>
  <c r="X116" i="12"/>
  <c r="X115" i="12"/>
  <c r="X114" i="12"/>
  <c r="V112" i="12"/>
  <c r="X101" i="12"/>
  <c r="X93" i="12"/>
  <c r="X92" i="12"/>
  <c r="V91" i="12"/>
  <c r="V83" i="12"/>
  <c r="V81" i="12"/>
  <c r="V74" i="12"/>
  <c r="X70" i="12"/>
  <c r="V65" i="12"/>
  <c r="X64" i="12"/>
  <c r="V58" i="12"/>
  <c r="X53" i="12"/>
  <c r="V51" i="12"/>
  <c r="X46" i="12"/>
  <c r="V44" i="12"/>
  <c r="X39" i="12"/>
  <c r="V33" i="12"/>
  <c r="X32" i="12"/>
  <c r="V26" i="12"/>
  <c r="X346" i="12"/>
  <c r="V252" i="12"/>
  <c r="X243" i="12"/>
  <c r="V234" i="12"/>
  <c r="X229" i="12"/>
  <c r="V216" i="12"/>
  <c r="X207" i="12"/>
  <c r="V191" i="12"/>
  <c r="V190" i="12"/>
  <c r="X186" i="12"/>
  <c r="V185" i="12"/>
  <c r="V180" i="12"/>
  <c r="V175" i="12"/>
  <c r="V174" i="12"/>
  <c r="V169" i="12"/>
  <c r="V164" i="12"/>
  <c r="X159" i="12"/>
  <c r="X158" i="12"/>
  <c r="V151" i="12"/>
  <c r="V150" i="12"/>
  <c r="X141" i="12"/>
  <c r="X140" i="12"/>
  <c r="V139" i="12"/>
  <c r="V138" i="12"/>
  <c r="V137" i="12"/>
  <c r="X129" i="12"/>
  <c r="X120" i="12"/>
  <c r="X119" i="12"/>
  <c r="X118" i="12"/>
  <c r="V117" i="12"/>
  <c r="V103" i="12"/>
  <c r="V102" i="12"/>
  <c r="X95" i="12"/>
  <c r="V94" i="12"/>
  <c r="X85" i="12"/>
  <c r="V84" i="12"/>
  <c r="V75" i="12"/>
  <c r="X71" i="12"/>
  <c r="V66" i="12"/>
  <c r="X61" i="12"/>
  <c r="V59" i="12"/>
  <c r="X54" i="12"/>
  <c r="V52" i="12"/>
  <c r="X47" i="12"/>
  <c r="V41" i="12"/>
  <c r="X40" i="12"/>
  <c r="V34" i="12"/>
  <c r="X29" i="12"/>
  <c r="V27" i="12"/>
  <c r="X22" i="12"/>
  <c r="X21" i="12"/>
  <c r="V149" i="12"/>
  <c r="V114" i="12"/>
  <c r="V101" i="12"/>
  <c r="V92" i="12"/>
  <c r="V64" i="12"/>
  <c r="X59" i="12"/>
  <c r="X18" i="12"/>
  <c r="X17" i="12"/>
  <c r="CV13" i="12"/>
  <c r="X13" i="12"/>
  <c r="V229" i="12"/>
  <c r="V158" i="12"/>
  <c r="V140" i="12"/>
  <c r="X131" i="12"/>
  <c r="V118" i="12"/>
  <c r="X87" i="12"/>
  <c r="X78" i="12"/>
  <c r="V54" i="12"/>
  <c r="X49" i="12"/>
  <c r="V40" i="12"/>
  <c r="X35" i="12"/>
  <c r="V18" i="12"/>
  <c r="V17" i="12"/>
  <c r="CT13" i="12"/>
  <c r="CU13" i="12" s="1"/>
  <c r="V13" i="12"/>
  <c r="W13" i="12" s="1"/>
  <c r="V332" i="12"/>
  <c r="X208" i="12"/>
  <c r="X191" i="12"/>
  <c r="V157" i="12"/>
  <c r="V148" i="12"/>
  <c r="X139" i="12"/>
  <c r="X117" i="12"/>
  <c r="V53" i="12"/>
  <c r="V39" i="12"/>
  <c r="X34" i="12"/>
  <c r="X19" i="12"/>
  <c r="X14" i="12"/>
  <c r="FA13" i="12"/>
  <c r="CC13" i="12"/>
  <c r="X261" i="12"/>
  <c r="V243" i="12"/>
  <c r="X224" i="12"/>
  <c r="V207" i="12"/>
  <c r="V186" i="12"/>
  <c r="X181" i="12"/>
  <c r="X176" i="12"/>
  <c r="X171" i="12"/>
  <c r="X152" i="12"/>
  <c r="X130" i="12"/>
  <c r="X104" i="12"/>
  <c r="V95" i="12"/>
  <c r="X86" i="12"/>
  <c r="X67" i="12"/>
  <c r="V29" i="12"/>
  <c r="V19" i="12"/>
  <c r="V14" i="12"/>
  <c r="EY13" i="12"/>
  <c r="EZ13" i="12" s="1"/>
  <c r="CA13" i="12"/>
  <c r="CB13" i="12" s="1"/>
  <c r="V294" i="12"/>
  <c r="X235" i="12"/>
  <c r="V217" i="12"/>
  <c r="X199" i="12"/>
  <c r="V189" i="12"/>
  <c r="X174" i="12"/>
  <c r="X169" i="12"/>
  <c r="X164" i="12"/>
  <c r="X150" i="12"/>
  <c r="X137" i="12"/>
  <c r="V128" i="12"/>
  <c r="V115" i="12"/>
  <c r="X102" i="12"/>
  <c r="V93" i="12"/>
  <c r="X84" i="12"/>
  <c r="X75" i="12"/>
  <c r="V70" i="12"/>
  <c r="V46" i="12"/>
  <c r="X41" i="12"/>
  <c r="V32" i="12"/>
  <c r="DO13" i="12"/>
  <c r="AQ13" i="12"/>
  <c r="V289" i="12"/>
  <c r="X198" i="12"/>
  <c r="V159" i="12"/>
  <c r="V141" i="12"/>
  <c r="V119" i="12"/>
  <c r="X60" i="12"/>
  <c r="X27" i="12"/>
  <c r="X24" i="12"/>
  <c r="V21" i="12"/>
  <c r="DM13" i="12"/>
  <c r="DN13" i="12" s="1"/>
  <c r="AO13" i="12"/>
  <c r="AP13" i="12" s="1"/>
  <c r="X314" i="12"/>
  <c r="X175" i="12"/>
  <c r="V156" i="12"/>
  <c r="X138" i="12"/>
  <c r="X103" i="12"/>
  <c r="X66" i="12"/>
  <c r="X15" i="12"/>
  <c r="V363" i="9"/>
  <c r="X360" i="9"/>
  <c r="V359" i="9"/>
  <c r="X358" i="9"/>
  <c r="V357" i="9"/>
  <c r="V356" i="9"/>
  <c r="X352" i="9"/>
  <c r="V351" i="9"/>
  <c r="V309" i="12"/>
  <c r="V120" i="12"/>
  <c r="V85" i="12"/>
  <c r="V47" i="12"/>
  <c r="X28" i="12"/>
  <c r="V15" i="12"/>
  <c r="X361" i="9"/>
  <c r="V360" i="9"/>
  <c r="V358" i="9"/>
  <c r="V352" i="9"/>
  <c r="X190" i="12"/>
  <c r="X151" i="12"/>
  <c r="V116" i="12"/>
  <c r="V25" i="12"/>
  <c r="V361" i="9"/>
  <c r="X338" i="9"/>
  <c r="X335" i="9"/>
  <c r="X170" i="12"/>
  <c r="V61" i="12"/>
  <c r="X42" i="12"/>
  <c r="X339" i="9"/>
  <c r="V338" i="9"/>
  <c r="X337" i="9"/>
  <c r="X336" i="9"/>
  <c r="V335" i="9"/>
  <c r="X334" i="9"/>
  <c r="X333" i="9"/>
  <c r="X331" i="9"/>
  <c r="X330" i="9"/>
  <c r="X324" i="9"/>
  <c r="X323" i="9"/>
  <c r="X322" i="9"/>
  <c r="X185" i="12"/>
  <c r="X94" i="12"/>
  <c r="V22" i="12"/>
  <c r="EH13" i="12"/>
  <c r="X345" i="9"/>
  <c r="X343" i="9"/>
  <c r="X342" i="9"/>
  <c r="X341" i="9"/>
  <c r="X340" i="9"/>
  <c r="V339" i="9"/>
  <c r="V337" i="9"/>
  <c r="V336" i="9"/>
  <c r="V334" i="9"/>
  <c r="V333" i="9"/>
  <c r="X332" i="9"/>
  <c r="V331" i="9"/>
  <c r="V330" i="9"/>
  <c r="X328" i="9"/>
  <c r="X325" i="9"/>
  <c r="V324" i="9"/>
  <c r="V323" i="9"/>
  <c r="V322" i="9"/>
  <c r="X165" i="12"/>
  <c r="V129" i="12"/>
  <c r="X76" i="12"/>
  <c r="EF13" i="12"/>
  <c r="EG13" i="12" s="1"/>
  <c r="X354" i="9"/>
  <c r="X353" i="9"/>
  <c r="X348" i="9"/>
  <c r="X346" i="9"/>
  <c r="V345" i="9"/>
  <c r="X344" i="9"/>
  <c r="V343" i="9"/>
  <c r="V342" i="9"/>
  <c r="V341" i="9"/>
  <c r="V340" i="9"/>
  <c r="V332" i="9"/>
  <c r="X180" i="12"/>
  <c r="X52" i="12"/>
  <c r="X20" i="12"/>
  <c r="X16" i="12"/>
  <c r="BJ13" i="12"/>
  <c r="X362" i="9"/>
  <c r="X355" i="9"/>
  <c r="V354" i="9"/>
  <c r="V353" i="9"/>
  <c r="X350" i="9"/>
  <c r="X349" i="9"/>
  <c r="V348" i="9"/>
  <c r="X347" i="9"/>
  <c r="V346" i="9"/>
  <c r="V344" i="9"/>
  <c r="V329" i="9"/>
  <c r="X327" i="9"/>
  <c r="V326" i="9"/>
  <c r="X220" i="12"/>
  <c r="X276" i="9"/>
  <c r="X275" i="9"/>
  <c r="V274" i="9"/>
  <c r="X273" i="9"/>
  <c r="X272" i="9"/>
  <c r="V271" i="9"/>
  <c r="X270" i="9"/>
  <c r="V269" i="9"/>
  <c r="X268" i="9"/>
  <c r="X263" i="9"/>
  <c r="X261" i="9"/>
  <c r="X260" i="9"/>
  <c r="X254" i="9"/>
  <c r="V253" i="9"/>
  <c r="V252" i="9"/>
  <c r="X251" i="9"/>
  <c r="X250" i="9"/>
  <c r="X249" i="9"/>
  <c r="X232" i="9"/>
  <c r="V231" i="9"/>
  <c r="X230" i="9"/>
  <c r="X227" i="9"/>
  <c r="X225" i="9"/>
  <c r="X224" i="9"/>
  <c r="V223" i="9"/>
  <c r="V222" i="9"/>
  <c r="V221" i="9"/>
  <c r="X218" i="9"/>
  <c r="X217" i="9"/>
  <c r="X216" i="9"/>
  <c r="V215" i="9"/>
  <c r="V214" i="9"/>
  <c r="X213" i="9"/>
  <c r="V212" i="9"/>
  <c r="V211" i="9"/>
  <c r="V210" i="9"/>
  <c r="V209" i="9"/>
  <c r="V205" i="9"/>
  <c r="V204" i="9"/>
  <c r="V203" i="9"/>
  <c r="V202" i="9"/>
  <c r="X201" i="9"/>
  <c r="V200" i="9"/>
  <c r="V199" i="9"/>
  <c r="V198" i="9"/>
  <c r="X197" i="9"/>
  <c r="X196" i="9"/>
  <c r="X195" i="9"/>
  <c r="V194" i="9"/>
  <c r="V193" i="9"/>
  <c r="X359" i="9"/>
  <c r="X351" i="9"/>
  <c r="V328" i="9"/>
  <c r="X282" i="9"/>
  <c r="X277" i="9"/>
  <c r="V276" i="9"/>
  <c r="V275" i="9"/>
  <c r="V273" i="9"/>
  <c r="V272" i="9"/>
  <c r="V270" i="9"/>
  <c r="V268" i="9"/>
  <c r="X267" i="9"/>
  <c r="X266" i="9"/>
  <c r="X264" i="9"/>
  <c r="V263" i="9"/>
  <c r="X262" i="9"/>
  <c r="V261" i="9"/>
  <c r="V260" i="9"/>
  <c r="V254" i="9"/>
  <c r="V251" i="9"/>
  <c r="V250" i="9"/>
  <c r="V249" i="9"/>
  <c r="X247" i="9"/>
  <c r="X244" i="9"/>
  <c r="X242" i="9"/>
  <c r="X241" i="9"/>
  <c r="V232" i="9"/>
  <c r="V230" i="9"/>
  <c r="X229" i="9"/>
  <c r="X228" i="9"/>
  <c r="V227" i="9"/>
  <c r="X226" i="9"/>
  <c r="V225" i="9"/>
  <c r="V224" i="9"/>
  <c r="X219" i="9"/>
  <c r="V218" i="9"/>
  <c r="V217" i="9"/>
  <c r="V216" i="9"/>
  <c r="V213" i="9"/>
  <c r="V201" i="9"/>
  <c r="V197" i="9"/>
  <c r="V196" i="9"/>
  <c r="V195" i="9"/>
  <c r="X160" i="12"/>
  <c r="V20" i="12"/>
  <c r="V350" i="9"/>
  <c r="X321" i="9"/>
  <c r="X320" i="9"/>
  <c r="X317" i="9"/>
  <c r="X315" i="9"/>
  <c r="X304" i="9"/>
  <c r="X302" i="9"/>
  <c r="X286" i="9"/>
  <c r="X284" i="9"/>
  <c r="X283" i="9"/>
  <c r="V282" i="9"/>
  <c r="X281" i="9"/>
  <c r="X280" i="9"/>
  <c r="X278" i="9"/>
  <c r="V277" i="9"/>
  <c r="V267" i="9"/>
  <c r="V266" i="9"/>
  <c r="X265" i="9"/>
  <c r="V264" i="9"/>
  <c r="V262" i="9"/>
  <c r="X258" i="9"/>
  <c r="X248" i="9"/>
  <c r="V247" i="9"/>
  <c r="X245" i="9"/>
  <c r="V244" i="9"/>
  <c r="X243" i="9"/>
  <c r="V242" i="9"/>
  <c r="V241" i="9"/>
  <c r="V229" i="9"/>
  <c r="V228" i="9"/>
  <c r="V226" i="9"/>
  <c r="V219" i="9"/>
  <c r="V16" i="12"/>
  <c r="X357" i="9"/>
  <c r="V349" i="9"/>
  <c r="V321" i="9"/>
  <c r="V320" i="9"/>
  <c r="X318" i="9"/>
  <c r="V317" i="9"/>
  <c r="X316" i="9"/>
  <c r="V315" i="9"/>
  <c r="X313" i="9"/>
  <c r="X312" i="9"/>
  <c r="X310" i="9"/>
  <c r="X309" i="9"/>
  <c r="X305" i="9"/>
  <c r="V304" i="9"/>
  <c r="X303" i="9"/>
  <c r="V302" i="9"/>
  <c r="X301" i="9"/>
  <c r="X288" i="9"/>
  <c r="X287" i="9"/>
  <c r="V286" i="9"/>
  <c r="X285" i="9"/>
  <c r="V284" i="9"/>
  <c r="V283" i="9"/>
  <c r="V281" i="9"/>
  <c r="V280" i="9"/>
  <c r="X279" i="9"/>
  <c r="V278" i="9"/>
  <c r="V265" i="9"/>
  <c r="X259" i="9"/>
  <c r="V258" i="9"/>
  <c r="X257" i="9"/>
  <c r="V248" i="9"/>
  <c r="X246" i="9"/>
  <c r="V245" i="9"/>
  <c r="V243" i="9"/>
  <c r="X240" i="9"/>
  <c r="X177" i="9"/>
  <c r="X176" i="9"/>
  <c r="X175" i="9"/>
  <c r="BH13" i="12"/>
  <c r="BI13" i="12" s="1"/>
  <c r="X356" i="9"/>
  <c r="V327" i="9"/>
  <c r="X319" i="9"/>
  <c r="V318" i="9"/>
  <c r="V316" i="9"/>
  <c r="X314" i="9"/>
  <c r="V313" i="9"/>
  <c r="V312" i="9"/>
  <c r="X311" i="9"/>
  <c r="V310" i="9"/>
  <c r="V309" i="9"/>
  <c r="X307" i="9"/>
  <c r="X306" i="9"/>
  <c r="V305" i="9"/>
  <c r="V303" i="9"/>
  <c r="V301" i="9"/>
  <c r="X295" i="9"/>
  <c r="X294" i="9"/>
  <c r="X291" i="9"/>
  <c r="X289" i="9"/>
  <c r="V288" i="9"/>
  <c r="V287" i="9"/>
  <c r="V285" i="9"/>
  <c r="V279" i="9"/>
  <c r="V259" i="9"/>
  <c r="V257" i="9"/>
  <c r="V246" i="9"/>
  <c r="V240" i="9"/>
  <c r="X239" i="9"/>
  <c r="X237" i="9"/>
  <c r="X184" i="9"/>
  <c r="X183" i="9"/>
  <c r="X182" i="9"/>
  <c r="X180" i="9"/>
  <c r="X178" i="9"/>
  <c r="V177" i="9"/>
  <c r="V176" i="9"/>
  <c r="V175" i="9"/>
  <c r="X363" i="9"/>
  <c r="V355" i="9"/>
  <c r="V347" i="9"/>
  <c r="X326" i="9"/>
  <c r="V319" i="9"/>
  <c r="V314" i="9"/>
  <c r="V311" i="9"/>
  <c r="X308" i="9"/>
  <c r="V307" i="9"/>
  <c r="V306" i="9"/>
  <c r="X300" i="9"/>
  <c r="X299" i="9"/>
  <c r="X298" i="9"/>
  <c r="X297" i="9"/>
  <c r="X296" i="9"/>
  <c r="V295" i="9"/>
  <c r="V294" i="9"/>
  <c r="X292" i="9"/>
  <c r="V291" i="9"/>
  <c r="X290" i="9"/>
  <c r="V289" i="9"/>
  <c r="X256" i="9"/>
  <c r="V239" i="9"/>
  <c r="X238" i="9"/>
  <c r="V237" i="9"/>
  <c r="X236" i="9"/>
  <c r="X191" i="9"/>
  <c r="X190" i="9"/>
  <c r="X188" i="9"/>
  <c r="X186" i="9"/>
  <c r="X185" i="9"/>
  <c r="V184" i="9"/>
  <c r="V183" i="9"/>
  <c r="V182" i="9"/>
  <c r="X181" i="9"/>
  <c r="V180" i="9"/>
  <c r="X179" i="9"/>
  <c r="V178" i="9"/>
  <c r="V362" i="9"/>
  <c r="V308" i="9"/>
  <c r="V300" i="9"/>
  <c r="V299" i="9"/>
  <c r="V298" i="9"/>
  <c r="V297" i="9"/>
  <c r="V296" i="9"/>
  <c r="X293" i="9"/>
  <c r="V292" i="9"/>
  <c r="V290" i="9"/>
  <c r="V256" i="9"/>
  <c r="X255" i="9"/>
  <c r="V238" i="9"/>
  <c r="V236" i="9"/>
  <c r="X235" i="9"/>
  <c r="X234" i="9"/>
  <c r="X233" i="9"/>
  <c r="X220" i="9"/>
  <c r="X208" i="9"/>
  <c r="X207" i="9"/>
  <c r="X206" i="9"/>
  <c r="X192" i="9"/>
  <c r="V191" i="9"/>
  <c r="V190" i="9"/>
  <c r="X189" i="9"/>
  <c r="V188" i="9"/>
  <c r="X187" i="9"/>
  <c r="V186" i="9"/>
  <c r="V185" i="9"/>
  <c r="V181" i="9"/>
  <c r="V179" i="9"/>
  <c r="V71" i="12"/>
  <c r="V325" i="9"/>
  <c r="X274" i="9"/>
  <c r="V220" i="9"/>
  <c r="X212" i="9"/>
  <c r="X204" i="9"/>
  <c r="X174" i="9"/>
  <c r="X172" i="9"/>
  <c r="X169" i="9"/>
  <c r="X168" i="9"/>
  <c r="X167" i="9"/>
  <c r="V166" i="9"/>
  <c r="V165" i="9"/>
  <c r="V164" i="9"/>
  <c r="X163" i="9"/>
  <c r="V162" i="9"/>
  <c r="X78" i="9"/>
  <c r="V77" i="9"/>
  <c r="V76" i="9"/>
  <c r="V74" i="9"/>
  <c r="V73" i="9"/>
  <c r="V72" i="9"/>
  <c r="V71" i="9"/>
  <c r="V70" i="9"/>
  <c r="V58" i="9"/>
  <c r="V57" i="9"/>
  <c r="V56" i="9"/>
  <c r="X54" i="9"/>
  <c r="V53" i="9"/>
  <c r="V52" i="9"/>
  <c r="V50" i="9"/>
  <c r="X49" i="9"/>
  <c r="V48" i="9"/>
  <c r="X47" i="9"/>
  <c r="X46" i="9"/>
  <c r="X45" i="9"/>
  <c r="V26" i="9"/>
  <c r="V25" i="9"/>
  <c r="V235" i="9"/>
  <c r="X211" i="9"/>
  <c r="X203" i="9"/>
  <c r="V187" i="9"/>
  <c r="V174" i="9"/>
  <c r="X173" i="9"/>
  <c r="V172" i="9"/>
  <c r="X170" i="9"/>
  <c r="V169" i="9"/>
  <c r="V168" i="9"/>
  <c r="V167" i="9"/>
  <c r="V163" i="9"/>
  <c r="X83" i="9"/>
  <c r="X80" i="9"/>
  <c r="X79" i="9"/>
  <c r="V78" i="9"/>
  <c r="X55" i="9"/>
  <c r="V54" i="9"/>
  <c r="V49" i="9"/>
  <c r="V47" i="9"/>
  <c r="V46" i="9"/>
  <c r="V45" i="9"/>
  <c r="X24" i="9"/>
  <c r="V234" i="9"/>
  <c r="X210" i="9"/>
  <c r="X202" i="9"/>
  <c r="X194" i="9"/>
  <c r="V173" i="9"/>
  <c r="X171" i="9"/>
  <c r="V170" i="9"/>
  <c r="X129" i="9"/>
  <c r="X128" i="9"/>
  <c r="X127" i="9"/>
  <c r="X126" i="9"/>
  <c r="X125" i="9"/>
  <c r="X124" i="9"/>
  <c r="X119" i="9"/>
  <c r="X118" i="9"/>
  <c r="X91" i="9"/>
  <c r="X85" i="9"/>
  <c r="X84" i="9"/>
  <c r="V83" i="9"/>
  <c r="X82" i="9"/>
  <c r="X81" i="9"/>
  <c r="V80" i="9"/>
  <c r="V79" i="9"/>
  <c r="V55" i="9"/>
  <c r="X44" i="9"/>
  <c r="V24" i="9"/>
  <c r="X271" i="9"/>
  <c r="V233" i="9"/>
  <c r="X209" i="9"/>
  <c r="X193" i="9"/>
  <c r="V171" i="9"/>
  <c r="X145" i="9"/>
  <c r="X137" i="9"/>
  <c r="X131" i="9"/>
  <c r="X130" i="9"/>
  <c r="V129" i="9"/>
  <c r="V128" i="9"/>
  <c r="V127" i="9"/>
  <c r="V126" i="9"/>
  <c r="V125" i="9"/>
  <c r="V124" i="9"/>
  <c r="X122" i="9"/>
  <c r="X121" i="9"/>
  <c r="X120" i="9"/>
  <c r="V119" i="9"/>
  <c r="V118" i="9"/>
  <c r="X117" i="9"/>
  <c r="X116" i="9"/>
  <c r="X113" i="9"/>
  <c r="X111" i="9"/>
  <c r="X110" i="9"/>
  <c r="X108" i="9"/>
  <c r="X93" i="9"/>
  <c r="X92" i="9"/>
  <c r="V91" i="9"/>
  <c r="X90" i="9"/>
  <c r="X88" i="9"/>
  <c r="X86" i="9"/>
  <c r="V85" i="9"/>
  <c r="V84" i="9"/>
  <c r="V82" i="9"/>
  <c r="V81" i="9"/>
  <c r="V44" i="9"/>
  <c r="X37" i="9"/>
  <c r="V23" i="9"/>
  <c r="V255" i="9"/>
  <c r="V208" i="9"/>
  <c r="X200" i="9"/>
  <c r="V192" i="9"/>
  <c r="X156" i="9"/>
  <c r="X153" i="9"/>
  <c r="X151" i="9"/>
  <c r="X150" i="9"/>
  <c r="X147" i="9"/>
  <c r="X146" i="9"/>
  <c r="V145" i="9"/>
  <c r="X144" i="9"/>
  <c r="X139" i="9"/>
  <c r="X138" i="9"/>
  <c r="V137" i="9"/>
  <c r="X136" i="9"/>
  <c r="X132" i="9"/>
  <c r="V131" i="9"/>
  <c r="V130" i="9"/>
  <c r="X123" i="9"/>
  <c r="V122" i="9"/>
  <c r="V121" i="9"/>
  <c r="V120" i="9"/>
  <c r="V117" i="9"/>
  <c r="V116" i="9"/>
  <c r="X114" i="9"/>
  <c r="V113" i="9"/>
  <c r="X112" i="9"/>
  <c r="V111" i="9"/>
  <c r="V110" i="9"/>
  <c r="X109" i="9"/>
  <c r="V108" i="9"/>
  <c r="X106" i="9"/>
  <c r="X105" i="9"/>
  <c r="X101" i="9"/>
  <c r="X100" i="9"/>
  <c r="X98" i="9"/>
  <c r="X97" i="9"/>
  <c r="X94" i="9"/>
  <c r="V93" i="9"/>
  <c r="V92" i="9"/>
  <c r="V90" i="9"/>
  <c r="X89" i="9"/>
  <c r="V88" i="9"/>
  <c r="X87" i="9"/>
  <c r="V86" i="9"/>
  <c r="X61" i="9"/>
  <c r="X43" i="9"/>
  <c r="X38" i="9"/>
  <c r="V37" i="9"/>
  <c r="X36" i="9"/>
  <c r="X35" i="9"/>
  <c r="X269" i="9"/>
  <c r="X231" i="9"/>
  <c r="X223" i="9"/>
  <c r="X215" i="9"/>
  <c r="V207" i="9"/>
  <c r="X199" i="9"/>
  <c r="X157" i="9"/>
  <c r="V156" i="9"/>
  <c r="X154" i="9"/>
  <c r="V153" i="9"/>
  <c r="X152" i="9"/>
  <c r="V151" i="9"/>
  <c r="V150" i="9"/>
  <c r="X149" i="9"/>
  <c r="X148" i="9"/>
  <c r="V147" i="9"/>
  <c r="V146" i="9"/>
  <c r="V144" i="9"/>
  <c r="X143" i="9"/>
  <c r="X142" i="9"/>
  <c r="X140" i="9"/>
  <c r="V139" i="9"/>
  <c r="V138" i="9"/>
  <c r="V136" i="9"/>
  <c r="X135" i="9"/>
  <c r="X134" i="9"/>
  <c r="X133" i="9"/>
  <c r="V132" i="9"/>
  <c r="V123" i="9"/>
  <c r="X115" i="9"/>
  <c r="V114" i="9"/>
  <c r="V112" i="9"/>
  <c r="V109" i="9"/>
  <c r="X107" i="9"/>
  <c r="V106" i="9"/>
  <c r="V105" i="9"/>
  <c r="X102" i="9"/>
  <c r="V101" i="9"/>
  <c r="V100" i="9"/>
  <c r="X99" i="9"/>
  <c r="V98" i="9"/>
  <c r="V97" i="9"/>
  <c r="X95" i="9"/>
  <c r="V94" i="9"/>
  <c r="V89" i="9"/>
  <c r="V87" i="9"/>
  <c r="X62" i="9"/>
  <c r="V61" i="9"/>
  <c r="X60" i="9"/>
  <c r="V43" i="9"/>
  <c r="X42" i="9"/>
  <c r="X40" i="9"/>
  <c r="X39" i="9"/>
  <c r="V38" i="9"/>
  <c r="V36" i="9"/>
  <c r="V35" i="9"/>
  <c r="X34" i="9"/>
  <c r="X32" i="9"/>
  <c r="X29" i="9"/>
  <c r="X28" i="9"/>
  <c r="V293" i="9"/>
  <c r="X253" i="9"/>
  <c r="X222" i="9"/>
  <c r="X214" i="9"/>
  <c r="V206" i="9"/>
  <c r="X198" i="9"/>
  <c r="X161" i="9"/>
  <c r="X160" i="9"/>
  <c r="X159" i="9"/>
  <c r="X158" i="9"/>
  <c r="V157" i="9"/>
  <c r="X155" i="9"/>
  <c r="V154" i="9"/>
  <c r="V152" i="9"/>
  <c r="V149" i="9"/>
  <c r="V148" i="9"/>
  <c r="V143" i="9"/>
  <c r="V142" i="9"/>
  <c r="X141" i="9"/>
  <c r="V140" i="9"/>
  <c r="V135" i="9"/>
  <c r="V134" i="9"/>
  <c r="V133" i="9"/>
  <c r="V115" i="9"/>
  <c r="V107" i="9"/>
  <c r="X104" i="9"/>
  <c r="X103" i="9"/>
  <c r="V102" i="9"/>
  <c r="V99" i="9"/>
  <c r="X96" i="9"/>
  <c r="V95" i="9"/>
  <c r="X75" i="9"/>
  <c r="X69" i="9"/>
  <c r="X68" i="9"/>
  <c r="X67" i="9"/>
  <c r="X66" i="9"/>
  <c r="X65" i="9"/>
  <c r="X64" i="9"/>
  <c r="X63" i="9"/>
  <c r="V62" i="9"/>
  <c r="V60" i="9"/>
  <c r="X59" i="9"/>
  <c r="X51" i="9"/>
  <c r="V42" i="9"/>
  <c r="X41" i="9"/>
  <c r="V40" i="9"/>
  <c r="V39" i="9"/>
  <c r="V34" i="9"/>
  <c r="X33" i="9"/>
  <c r="V32" i="9"/>
  <c r="X31" i="9"/>
  <c r="X30" i="9"/>
  <c r="V29" i="9"/>
  <c r="V28" i="9"/>
  <c r="X27" i="9"/>
  <c r="X221" i="9"/>
  <c r="X164" i="9"/>
  <c r="V75" i="9"/>
  <c r="V67" i="9"/>
  <c r="V59" i="9"/>
  <c r="V51" i="9"/>
  <c r="X16" i="9"/>
  <c r="DM13" i="9"/>
  <c r="DN13" i="9" s="1"/>
  <c r="AO13" i="9"/>
  <c r="AP13" i="9" s="1"/>
  <c r="V68" i="9"/>
  <c r="V18" i="9"/>
  <c r="AQ13" i="9"/>
  <c r="V155" i="9"/>
  <c r="X74" i="9"/>
  <c r="V66" i="9"/>
  <c r="X58" i="9"/>
  <c r="X50" i="9"/>
  <c r="V27" i="9"/>
  <c r="V16" i="9"/>
  <c r="X15" i="9"/>
  <c r="CV13" i="9"/>
  <c r="X13" i="9"/>
  <c r="X205" i="9"/>
  <c r="X162" i="9"/>
  <c r="X73" i="9"/>
  <c r="V65" i="9"/>
  <c r="X57" i="9"/>
  <c r="X26" i="9"/>
  <c r="V15" i="9"/>
  <c r="CT13" i="9"/>
  <c r="CU13" i="9" s="1"/>
  <c r="V13" i="9"/>
  <c r="W13" i="9" s="1"/>
  <c r="X329" i="9"/>
  <c r="V161" i="9"/>
  <c r="X72" i="9"/>
  <c r="V64" i="9"/>
  <c r="X56" i="9"/>
  <c r="X48" i="9"/>
  <c r="V41" i="9"/>
  <c r="V33" i="9"/>
  <c r="X25" i="9"/>
  <c r="X14" i="9"/>
  <c r="FA13" i="9"/>
  <c r="CC13" i="9"/>
  <c r="X76" i="9"/>
  <c r="X252" i="9"/>
  <c r="V189" i="9"/>
  <c r="V160" i="9"/>
  <c r="V104" i="9"/>
  <c r="V96" i="9"/>
  <c r="X71" i="9"/>
  <c r="V63" i="9"/>
  <c r="V14" i="9"/>
  <c r="EY13" i="9"/>
  <c r="EZ13" i="9" s="1"/>
  <c r="CA13" i="9"/>
  <c r="CB13" i="9" s="1"/>
  <c r="V17" i="9"/>
  <c r="V159" i="9"/>
  <c r="V103" i="9"/>
  <c r="X70" i="9"/>
  <c r="V31" i="9"/>
  <c r="X22" i="9"/>
  <c r="X21" i="9"/>
  <c r="X19" i="9"/>
  <c r="EH13" i="9"/>
  <c r="BJ13" i="9"/>
  <c r="X165" i="9"/>
  <c r="V141" i="9"/>
  <c r="X52" i="9"/>
  <c r="V20" i="9"/>
  <c r="X166" i="9"/>
  <c r="V158" i="9"/>
  <c r="X77" i="9"/>
  <c r="V69" i="9"/>
  <c r="X53" i="9"/>
  <c r="V30" i="9"/>
  <c r="X23" i="9"/>
  <c r="V22" i="9"/>
  <c r="V21" i="9"/>
  <c r="X20" i="9"/>
  <c r="V19" i="9"/>
  <c r="X18" i="9"/>
  <c r="X17" i="9"/>
  <c r="EF13" i="9"/>
  <c r="EG13" i="9" s="1"/>
  <c r="BH13" i="9"/>
  <c r="BI13" i="9" s="1"/>
  <c r="DO13" i="9"/>
  <c r="S8" i="1"/>
  <c r="S6" i="1"/>
  <c r="S5" i="1"/>
  <c r="S7" i="1"/>
  <c r="S9" i="1"/>
  <c r="S4" i="1"/>
  <c r="S3" i="1"/>
  <c r="Q5" i="1" a="1"/>
  <c r="Q5" i="1" s="1"/>
  <c r="Q9" i="1" a="1"/>
  <c r="Q9" i="1" s="1"/>
  <c r="Q6" i="1" a="1"/>
  <c r="Q6" i="1" s="1"/>
  <c r="Q8" i="1" a="1"/>
  <c r="Q8" i="1" s="1"/>
  <c r="Q7" i="1" a="1"/>
  <c r="Q7" i="1" s="1"/>
  <c r="R23" i="6"/>
  <c r="U23" i="6" s="1"/>
  <c r="H20" i="6"/>
  <c r="I20" i="6" s="1"/>
  <c r="D106" i="7"/>
  <c r="T37" i="6"/>
  <c r="W37" i="6" s="1"/>
  <c r="O3" i="1"/>
  <c r="U3" i="1" s="1"/>
  <c r="Q4" i="1" a="1"/>
  <c r="Q4" i="1" s="1"/>
  <c r="I23" i="6"/>
  <c r="N23" i="6" s="1"/>
  <c r="Q2" i="1" a="1"/>
  <c r="Q2" i="1" s="1"/>
  <c r="Q3" i="1" a="1"/>
  <c r="Q3" i="1" s="1"/>
  <c r="P8" i="1" a="1"/>
  <c r="P8" i="1" s="1"/>
  <c r="P7" i="1" a="1"/>
  <c r="P7" i="1" s="1"/>
  <c r="P5" i="1" a="1"/>
  <c r="P5" i="1" s="1"/>
  <c r="P4" i="1" a="1"/>
  <c r="P4" i="1" s="1"/>
  <c r="P9" i="1" a="1"/>
  <c r="P9" i="1" s="1"/>
  <c r="P6" i="1" a="1"/>
  <c r="P6" i="1" s="1"/>
  <c r="P3" i="1" a="1"/>
  <c r="P3" i="1" s="1"/>
  <c r="O8" i="1"/>
  <c r="U8" i="1" s="1"/>
  <c r="O7" i="1"/>
  <c r="U7" i="1" s="1"/>
  <c r="O6" i="1"/>
  <c r="U6" i="1" s="1"/>
  <c r="O5" i="1"/>
  <c r="U5" i="1" s="1"/>
  <c r="O4" i="1"/>
  <c r="U4" i="1" s="1"/>
  <c r="O9" i="1"/>
  <c r="U9" i="1" s="1"/>
  <c r="P2" i="1" a="1"/>
  <c r="P2" i="1" s="1"/>
  <c r="N10" i="1"/>
  <c r="K16" i="6"/>
  <c r="H13" i="6"/>
  <c r="I13" i="6" s="1"/>
  <c r="H16" i="6"/>
  <c r="I16" i="6" s="1"/>
  <c r="L15" i="6"/>
  <c r="L19" i="6"/>
  <c r="T19" i="6" s="1"/>
  <c r="W19" i="6" s="1"/>
  <c r="J20" i="6"/>
  <c r="Q16" i="6"/>
  <c r="T16" i="6"/>
  <c r="W16" i="6" s="1"/>
  <c r="L18" i="6"/>
  <c r="H14" i="6"/>
  <c r="I14" i="6" s="1"/>
  <c r="J14" i="6"/>
  <c r="H18" i="6"/>
  <c r="I18" i="6" s="1"/>
  <c r="H19" i="6"/>
  <c r="I19" i="6" s="1"/>
  <c r="N19" i="6" s="1"/>
  <c r="J17" i="6"/>
  <c r="D8" i="2"/>
  <c r="K19" i="6"/>
  <c r="K20" i="6"/>
  <c r="K17" i="6"/>
  <c r="P17" i="6" s="1"/>
  <c r="L17" i="6"/>
  <c r="Q17" i="6" s="1"/>
  <c r="P26" i="6"/>
  <c r="S26" i="6"/>
  <c r="V26" i="6" s="1"/>
  <c r="Q29" i="6"/>
  <c r="T29" i="6"/>
  <c r="W29" i="6" s="1"/>
  <c r="T26" i="6"/>
  <c r="W26" i="6" s="1"/>
  <c r="Q26" i="6"/>
  <c r="S27" i="6"/>
  <c r="V27" i="6" s="1"/>
  <c r="P27" i="6"/>
  <c r="P28" i="6"/>
  <c r="S28" i="6"/>
  <c r="V28" i="6" s="1"/>
  <c r="T27" i="6"/>
  <c r="W27" i="6" s="1"/>
  <c r="Q27" i="6"/>
  <c r="S29" i="6"/>
  <c r="V29" i="6" s="1"/>
  <c r="P29" i="6"/>
  <c r="Q28" i="6"/>
  <c r="T28" i="6"/>
  <c r="W28" i="6" s="1"/>
  <c r="G13" i="2"/>
  <c r="P13" i="2" s="1" a="1"/>
  <c r="P13" i="2" s="1"/>
  <c r="C23" i="8"/>
  <c r="D23" i="8" s="1"/>
  <c r="D114" i="7"/>
  <c r="D112" i="7"/>
  <c r="D110" i="7"/>
  <c r="D13" i="2"/>
  <c r="D15" i="2"/>
  <c r="G10" i="2"/>
  <c r="D16" i="2"/>
  <c r="D9" i="2"/>
  <c r="G8" i="2"/>
  <c r="G12" i="2"/>
  <c r="P12" i="2" s="1" a="1"/>
  <c r="P12" i="2" s="1"/>
  <c r="G15" i="2"/>
  <c r="P15" i="2" s="1" a="1"/>
  <c r="P15" i="2" s="1"/>
  <c r="C28" i="2"/>
  <c r="C11" i="2"/>
  <c r="D12" i="2"/>
  <c r="Q38" i="6"/>
  <c r="S33" i="6"/>
  <c r="V33" i="6" s="1"/>
  <c r="P33" i="6"/>
  <c r="D111" i="7"/>
  <c r="S14" i="2"/>
  <c r="G14" i="2" s="1"/>
  <c r="H14" i="2" s="1" a="1"/>
  <c r="H14" i="2" s="1"/>
  <c r="D113" i="7"/>
  <c r="M16" i="6"/>
  <c r="N16" i="6"/>
  <c r="N31" i="6"/>
  <c r="M31" i="6"/>
  <c r="S13" i="6"/>
  <c r="V13" i="6" s="1"/>
  <c r="P13" i="6"/>
  <c r="S34" i="6"/>
  <c r="V34" i="6" s="1"/>
  <c r="P34" i="6"/>
  <c r="P15" i="6"/>
  <c r="S15" i="6"/>
  <c r="V15" i="6" s="1"/>
  <c r="M32" i="6"/>
  <c r="N32" i="6"/>
  <c r="Q19" i="6"/>
  <c r="N18" i="6"/>
  <c r="M18" i="6"/>
  <c r="S16" i="2"/>
  <c r="G16" i="2" s="1"/>
  <c r="R16" i="6"/>
  <c r="U16" i="6" s="1"/>
  <c r="O16" i="6"/>
  <c r="O34" i="6"/>
  <c r="R34" i="6"/>
  <c r="U34" i="6" s="1"/>
  <c r="T30" i="6"/>
  <c r="W30" i="6" s="1"/>
  <c r="Q30" i="6"/>
  <c r="O14" i="6"/>
  <c r="R14" i="6"/>
  <c r="U14" i="6" s="1"/>
  <c r="S19" i="6"/>
  <c r="V19" i="6" s="1"/>
  <c r="P19" i="6"/>
  <c r="Q18" i="6"/>
  <c r="T18" i="6"/>
  <c r="W18" i="6" s="1"/>
  <c r="N38" i="6"/>
  <c r="M38" i="6"/>
  <c r="R31" i="6"/>
  <c r="U31" i="6" s="1"/>
  <c r="O31" i="6"/>
  <c r="S14" i="6"/>
  <c r="V14" i="6" s="1"/>
  <c r="P14" i="6"/>
  <c r="T13" i="6"/>
  <c r="W13" i="6" s="1"/>
  <c r="Q13" i="6"/>
  <c r="S37" i="6"/>
  <c r="V37" i="6" s="1"/>
  <c r="P37" i="6"/>
  <c r="T36" i="6"/>
  <c r="W36" i="6" s="1"/>
  <c r="Q36" i="6"/>
  <c r="Q25" i="6"/>
  <c r="T25" i="6"/>
  <c r="W25" i="6" s="1"/>
  <c r="T34" i="6"/>
  <c r="W34" i="6" s="1"/>
  <c r="Q34" i="6"/>
  <c r="S31" i="6"/>
  <c r="V31" i="6" s="1"/>
  <c r="P31" i="6"/>
  <c r="Q15" i="6"/>
  <c r="T15" i="6"/>
  <c r="W15" i="6" s="1"/>
  <c r="O32" i="6"/>
  <c r="R32" i="6"/>
  <c r="U32" i="6" s="1"/>
  <c r="T14" i="6"/>
  <c r="W14" i="6" s="1"/>
  <c r="Q14" i="6"/>
  <c r="O17" i="6"/>
  <c r="R17" i="6"/>
  <c r="U17" i="6" s="1"/>
  <c r="M21" i="6"/>
  <c r="N21" i="6"/>
  <c r="R18" i="6"/>
  <c r="U18" i="6" s="1"/>
  <c r="O18" i="6"/>
  <c r="D7" i="2"/>
  <c r="U8" i="2"/>
  <c r="N25" i="6"/>
  <c r="M25" i="6"/>
  <c r="B11" i="2"/>
  <c r="D10" i="2"/>
  <c r="D108" i="7"/>
  <c r="B8" i="2"/>
  <c r="S18" i="2"/>
  <c r="G18" i="2" s="1"/>
  <c r="O18" i="2" s="1"/>
  <c r="T23" i="6"/>
  <c r="W23" i="6" s="1"/>
  <c r="Q23" i="6"/>
  <c r="S32" i="6"/>
  <c r="V32" i="6" s="1"/>
  <c r="P32" i="6"/>
  <c r="R21" i="6"/>
  <c r="U21" i="6" s="1"/>
  <c r="O21" i="6"/>
  <c r="S18" i="6"/>
  <c r="V18" i="6" s="1"/>
  <c r="P18" i="6"/>
  <c r="N35" i="6"/>
  <c r="M35" i="6"/>
  <c r="P12" i="6"/>
  <c r="S12" i="6"/>
  <c r="V12" i="6" s="1"/>
  <c r="T17" i="6"/>
  <c r="W17" i="6" s="1"/>
  <c r="S21" i="6"/>
  <c r="V21" i="6" s="1"/>
  <c r="P21" i="6"/>
  <c r="O20" i="6"/>
  <c r="R20" i="6"/>
  <c r="U20" i="6" s="1"/>
  <c r="S9" i="2"/>
  <c r="G9" i="2" s="1"/>
  <c r="S11" i="2"/>
  <c r="G11" i="2" s="1"/>
  <c r="Q35" i="6"/>
  <c r="T35" i="6"/>
  <c r="W35" i="6" s="1"/>
  <c r="N22" i="6"/>
  <c r="M22" i="6"/>
  <c r="P38" i="6"/>
  <c r="S38" i="6"/>
  <c r="V38" i="6" s="1"/>
  <c r="M30" i="6"/>
  <c r="N30" i="6"/>
  <c r="T21" i="6"/>
  <c r="W21" i="6" s="1"/>
  <c r="Q21" i="6"/>
  <c r="B15" i="2"/>
  <c r="D14" i="2"/>
  <c r="D107" i="7"/>
  <c r="S17" i="2"/>
  <c r="G17" i="2" s="1"/>
  <c r="O17" i="2" s="1"/>
  <c r="D109" i="7"/>
  <c r="Q22" i="6"/>
  <c r="T22" i="6"/>
  <c r="W22" i="6" s="1"/>
  <c r="O12" i="6"/>
  <c r="R12" i="6"/>
  <c r="U12" i="6" s="1"/>
  <c r="M37" i="6"/>
  <c r="N37" i="6"/>
  <c r="R15" i="6"/>
  <c r="U15" i="6" s="1"/>
  <c r="O15" i="6"/>
  <c r="S16" i="6"/>
  <c r="V16" i="6" s="1"/>
  <c r="P16" i="6"/>
  <c r="Q33" i="6"/>
  <c r="T33" i="6"/>
  <c r="W33" i="6" s="1"/>
  <c r="P25" i="6"/>
  <c r="S25" i="6"/>
  <c r="V25" i="6" s="1"/>
  <c r="O30" i="6"/>
  <c r="R30" i="6"/>
  <c r="U30" i="6" s="1"/>
  <c r="S35" i="6"/>
  <c r="V35" i="6" s="1"/>
  <c r="P35" i="6"/>
  <c r="N12" i="6"/>
  <c r="L69" i="8" s="1"/>
  <c r="M12" i="6"/>
  <c r="Q20" i="6"/>
  <c r="T20" i="6"/>
  <c r="W20" i="6" s="1"/>
  <c r="S7" i="2"/>
  <c r="G7" i="2" s="1" a="1"/>
  <c r="G7" i="2" s="1"/>
  <c r="D17" i="2"/>
  <c r="N15" i="6"/>
  <c r="M15" i="6"/>
  <c r="S24" i="6"/>
  <c r="V24" i="6" s="1"/>
  <c r="P24" i="6"/>
  <c r="T32" i="6"/>
  <c r="W32" i="6" s="1"/>
  <c r="Q32" i="6"/>
  <c r="P36" i="6"/>
  <c r="S36" i="6"/>
  <c r="V36" i="6" s="1"/>
  <c r="R22" i="6"/>
  <c r="U22" i="6" s="1"/>
  <c r="O22" i="6"/>
  <c r="R35" i="6"/>
  <c r="U35" i="6" s="1"/>
  <c r="O35" i="6"/>
  <c r="Q12" i="6"/>
  <c r="T12" i="6"/>
  <c r="W12" i="6" s="1"/>
  <c r="M17" i="6"/>
  <c r="N17" i="6"/>
  <c r="P20" i="6"/>
  <c r="S20" i="6"/>
  <c r="V20" i="6" s="1"/>
  <c r="R37" i="6"/>
  <c r="U37" i="6" s="1"/>
  <c r="O37" i="6"/>
  <c r="M24" i="6"/>
  <c r="N24" i="6"/>
  <c r="S22" i="6"/>
  <c r="V22" i="6" s="1"/>
  <c r="P22" i="6"/>
  <c r="N33" i="6"/>
  <c r="M33" i="6"/>
  <c r="N13" i="6"/>
  <c r="M13" i="6"/>
  <c r="R24" i="6"/>
  <c r="U24" i="6" s="1"/>
  <c r="O24" i="6"/>
  <c r="P23" i="6"/>
  <c r="S23" i="6"/>
  <c r="V23" i="6" s="1"/>
  <c r="M34" i="6"/>
  <c r="N34" i="6"/>
  <c r="Q31" i="6"/>
  <c r="T31" i="6"/>
  <c r="W31" i="6" s="1"/>
  <c r="R33" i="6"/>
  <c r="U33" i="6" s="1"/>
  <c r="O33" i="6"/>
  <c r="S30" i="6"/>
  <c r="V30" i="6" s="1"/>
  <c r="P30" i="6"/>
  <c r="M14" i="6"/>
  <c r="N14" i="6"/>
  <c r="R19" i="6"/>
  <c r="U19" i="6" s="1"/>
  <c r="O19" i="6"/>
  <c r="R13" i="6"/>
  <c r="U13" i="6" s="1"/>
  <c r="O13" i="6"/>
  <c r="N20" i="6"/>
  <c r="M20" i="6"/>
  <c r="D115" i="7"/>
  <c r="E13" i="12" l="1"/>
  <c r="K13" i="12" s="1" a="1"/>
  <c r="K13" i="12" s="1"/>
  <c r="E13" i="9"/>
  <c r="AT207" i="12"/>
  <c r="DR207" i="12"/>
  <c r="FD207" i="12"/>
  <c r="EK207" i="12"/>
  <c r="CY207" i="12"/>
  <c r="AA207" i="12"/>
  <c r="BM207" i="12"/>
  <c r="CF207" i="12"/>
  <c r="FD45" i="12"/>
  <c r="EK45" i="12"/>
  <c r="CF45" i="12"/>
  <c r="BM45" i="12"/>
  <c r="AT45" i="12"/>
  <c r="DR45" i="12"/>
  <c r="AA45" i="12"/>
  <c r="CY45" i="12"/>
  <c r="CF100" i="12"/>
  <c r="EK100" i="12"/>
  <c r="BM100" i="12"/>
  <c r="DR100" i="12"/>
  <c r="AT100" i="12"/>
  <c r="CY100" i="12"/>
  <c r="AA100" i="12"/>
  <c r="FD100" i="12"/>
  <c r="CF314" i="12"/>
  <c r="CY314" i="12"/>
  <c r="EK314" i="12"/>
  <c r="AA314" i="12"/>
  <c r="AT314" i="12"/>
  <c r="FD314" i="12"/>
  <c r="DR314" i="12"/>
  <c r="BM314" i="12"/>
  <c r="BM163" i="12"/>
  <c r="DR163" i="12"/>
  <c r="EK163" i="12"/>
  <c r="FD163" i="12"/>
  <c r="AA163" i="12"/>
  <c r="AT163" i="12"/>
  <c r="CY163" i="12"/>
  <c r="CF163" i="12"/>
  <c r="CF86" i="12"/>
  <c r="FD86" i="12"/>
  <c r="BM86" i="12"/>
  <c r="AA86" i="12"/>
  <c r="EK86" i="12"/>
  <c r="AT86" i="12"/>
  <c r="DR86" i="12"/>
  <c r="CY86" i="12"/>
  <c r="CY64" i="12"/>
  <c r="DR64" i="12"/>
  <c r="CF64" i="12"/>
  <c r="FD64" i="12"/>
  <c r="AA64" i="12"/>
  <c r="BM64" i="12"/>
  <c r="EK64" i="12"/>
  <c r="AT64" i="12"/>
  <c r="CF218" i="12"/>
  <c r="AT218" i="12"/>
  <c r="DR218" i="12"/>
  <c r="CY218" i="12"/>
  <c r="FD218" i="12"/>
  <c r="EK218" i="12"/>
  <c r="AA218" i="12"/>
  <c r="BM218" i="12"/>
  <c r="AA235" i="12"/>
  <c r="DR235" i="12"/>
  <c r="AT235" i="12"/>
  <c r="CY235" i="12"/>
  <c r="FD235" i="12"/>
  <c r="CF235" i="12"/>
  <c r="EK235" i="12"/>
  <c r="BM235" i="12"/>
  <c r="CY191" i="12"/>
  <c r="AA191" i="12"/>
  <c r="CF191" i="12"/>
  <c r="FD191" i="12"/>
  <c r="AT191" i="12"/>
  <c r="EK191" i="12"/>
  <c r="BM191" i="12"/>
  <c r="DR191" i="12"/>
  <c r="EK93" i="12"/>
  <c r="FD93" i="12"/>
  <c r="BM93" i="12"/>
  <c r="AT93" i="12"/>
  <c r="DR93" i="12"/>
  <c r="CF93" i="12"/>
  <c r="AA93" i="12"/>
  <c r="CY93" i="12"/>
  <c r="FD161" i="12"/>
  <c r="CY161" i="12"/>
  <c r="AA161" i="12"/>
  <c r="BM161" i="12"/>
  <c r="AT161" i="12"/>
  <c r="EK161" i="12"/>
  <c r="DR161" i="12"/>
  <c r="CF161" i="12"/>
  <c r="CY30" i="12"/>
  <c r="FD30" i="12"/>
  <c r="AA30" i="12"/>
  <c r="BM30" i="12"/>
  <c r="EK30" i="12"/>
  <c r="CF30" i="12"/>
  <c r="AT30" i="12"/>
  <c r="DR30" i="12"/>
  <c r="FD62" i="12"/>
  <c r="AT62" i="12"/>
  <c r="DR62" i="12"/>
  <c r="CF62" i="12"/>
  <c r="AA62" i="12"/>
  <c r="CY62" i="12"/>
  <c r="BM62" i="12"/>
  <c r="EK62" i="12"/>
  <c r="DR123" i="12"/>
  <c r="CY123" i="12"/>
  <c r="CF123" i="12"/>
  <c r="FD123" i="12"/>
  <c r="BM123" i="12"/>
  <c r="AT123" i="12"/>
  <c r="EK123" i="12"/>
  <c r="AA123" i="12"/>
  <c r="AT187" i="12"/>
  <c r="DR187" i="12"/>
  <c r="CF187" i="12"/>
  <c r="FD187" i="12"/>
  <c r="EK187" i="12"/>
  <c r="BM187" i="12"/>
  <c r="CY187" i="12"/>
  <c r="AA187" i="12"/>
  <c r="AA234" i="12"/>
  <c r="EK234" i="12"/>
  <c r="BM234" i="12"/>
  <c r="DR234" i="12"/>
  <c r="AT234" i="12"/>
  <c r="FD234" i="12"/>
  <c r="CF234" i="12"/>
  <c r="CY234" i="12"/>
  <c r="EK228" i="12"/>
  <c r="CY228" i="12"/>
  <c r="CF228" i="12"/>
  <c r="BM228" i="12"/>
  <c r="FD228" i="12"/>
  <c r="AT228" i="12"/>
  <c r="DR228" i="12"/>
  <c r="AA228" i="12"/>
  <c r="CY195" i="12"/>
  <c r="AA195" i="12"/>
  <c r="FD195" i="12"/>
  <c r="CF195" i="12"/>
  <c r="EK195" i="12"/>
  <c r="BM195" i="12"/>
  <c r="DR195" i="12"/>
  <c r="AT195" i="12"/>
  <c r="FD233" i="12"/>
  <c r="BM233" i="12"/>
  <c r="CY233" i="12"/>
  <c r="EK233" i="12"/>
  <c r="CF233" i="12"/>
  <c r="AA233" i="12"/>
  <c r="AT233" i="12"/>
  <c r="DR233" i="12"/>
  <c r="AT325" i="12"/>
  <c r="CY325" i="12"/>
  <c r="AA325" i="12"/>
  <c r="FD325" i="12"/>
  <c r="CF325" i="12"/>
  <c r="DR325" i="12"/>
  <c r="EK325" i="12"/>
  <c r="BM325" i="12"/>
  <c r="EK212" i="12"/>
  <c r="DR212" i="12"/>
  <c r="CF212" i="12"/>
  <c r="AT212" i="12"/>
  <c r="BM212" i="12"/>
  <c r="FD212" i="12"/>
  <c r="AA212" i="12"/>
  <c r="CY212" i="12"/>
  <c r="FD221" i="12"/>
  <c r="AA221" i="12"/>
  <c r="EK221" i="12"/>
  <c r="CF221" i="12"/>
  <c r="DR221" i="12"/>
  <c r="AT221" i="12"/>
  <c r="BM221" i="12"/>
  <c r="CY221" i="12"/>
  <c r="FD211" i="12"/>
  <c r="DR211" i="12"/>
  <c r="AT211" i="12"/>
  <c r="CY211" i="12"/>
  <c r="AA211" i="12"/>
  <c r="CF211" i="12"/>
  <c r="EK211" i="12"/>
  <c r="BM211" i="12"/>
  <c r="CF237" i="12"/>
  <c r="EK237" i="12"/>
  <c r="BM237" i="12"/>
  <c r="DR237" i="12"/>
  <c r="AT237" i="12"/>
  <c r="CY237" i="12"/>
  <c r="AA237" i="12"/>
  <c r="FD237" i="12"/>
  <c r="BM293" i="12"/>
  <c r="FD293" i="12"/>
  <c r="CF293" i="12"/>
  <c r="DR293" i="12"/>
  <c r="CY293" i="12"/>
  <c r="AA293" i="12"/>
  <c r="EK293" i="12"/>
  <c r="AT293" i="12"/>
  <c r="DR322" i="12"/>
  <c r="AT322" i="12"/>
  <c r="CY322" i="12"/>
  <c r="AA322" i="12"/>
  <c r="FD322" i="12"/>
  <c r="CF322" i="12"/>
  <c r="EK322" i="12"/>
  <c r="BM322" i="12"/>
  <c r="CF353" i="12"/>
  <c r="FD353" i="12"/>
  <c r="AA353" i="12"/>
  <c r="BM353" i="12"/>
  <c r="EK353" i="12"/>
  <c r="CY353" i="12"/>
  <c r="AT353" i="12"/>
  <c r="DR353" i="12"/>
  <c r="FD328" i="12"/>
  <c r="AA328" i="12"/>
  <c r="CY328" i="12"/>
  <c r="CF328" i="12"/>
  <c r="EK328" i="12"/>
  <c r="DR328" i="12"/>
  <c r="AT328" i="12"/>
  <c r="BM328" i="12"/>
  <c r="EK355" i="12"/>
  <c r="DR355" i="12"/>
  <c r="BM355" i="12"/>
  <c r="AT355" i="12"/>
  <c r="CY355" i="12"/>
  <c r="AA355" i="12"/>
  <c r="FD355" i="12"/>
  <c r="CF355" i="12"/>
  <c r="DR281" i="12"/>
  <c r="EK281" i="12"/>
  <c r="FD281" i="12"/>
  <c r="AT281" i="12"/>
  <c r="CF281" i="12"/>
  <c r="AA281" i="12"/>
  <c r="CY281" i="12"/>
  <c r="BM281" i="12"/>
  <c r="BM350" i="12"/>
  <c r="EK350" i="12"/>
  <c r="AT350" i="12"/>
  <c r="CY350" i="12"/>
  <c r="DR350" i="12"/>
  <c r="FD350" i="12"/>
  <c r="AA350" i="12"/>
  <c r="CF350" i="12"/>
  <c r="CF301" i="12"/>
  <c r="BM301" i="12"/>
  <c r="FD301" i="12"/>
  <c r="AT301" i="12"/>
  <c r="EK301" i="12"/>
  <c r="AA301" i="12"/>
  <c r="CY301" i="12"/>
  <c r="DR301" i="12"/>
  <c r="FD327" i="12"/>
  <c r="CF327" i="12"/>
  <c r="AT327" i="12"/>
  <c r="DR327" i="12"/>
  <c r="CY327" i="12"/>
  <c r="BM327" i="12"/>
  <c r="AA327" i="12"/>
  <c r="EK327" i="12"/>
  <c r="CF270" i="12"/>
  <c r="FD270" i="12"/>
  <c r="DR270" i="12"/>
  <c r="AA270" i="12"/>
  <c r="CY270" i="12"/>
  <c r="BM270" i="12"/>
  <c r="EK270" i="12"/>
  <c r="AT270" i="12"/>
  <c r="AA310" i="12"/>
  <c r="DR310" i="12"/>
  <c r="CF310" i="12"/>
  <c r="EK310" i="12"/>
  <c r="CY310" i="12"/>
  <c r="AT310" i="12"/>
  <c r="FD310" i="12"/>
  <c r="BM310" i="12"/>
  <c r="CY334" i="12"/>
  <c r="DR334" i="12"/>
  <c r="AA334" i="12"/>
  <c r="BM334" i="12"/>
  <c r="EK334" i="12"/>
  <c r="CF334" i="12"/>
  <c r="FD334" i="12"/>
  <c r="AT334" i="12"/>
  <c r="CF94" i="12"/>
  <c r="FD94" i="12"/>
  <c r="CY94" i="12"/>
  <c r="AT94" i="12"/>
  <c r="DR94" i="12"/>
  <c r="BM94" i="12"/>
  <c r="EK94" i="12"/>
  <c r="AA94" i="12"/>
  <c r="EK32" i="12"/>
  <c r="DR32" i="12"/>
  <c r="BM32" i="12"/>
  <c r="CF32" i="12"/>
  <c r="FD32" i="12"/>
  <c r="AA32" i="12"/>
  <c r="AT32" i="12"/>
  <c r="CY32" i="12"/>
  <c r="FD127" i="12"/>
  <c r="AT127" i="12"/>
  <c r="EK127" i="12"/>
  <c r="CY127" i="12"/>
  <c r="CF127" i="12"/>
  <c r="DR127" i="12"/>
  <c r="BM127" i="12"/>
  <c r="AA127" i="12"/>
  <c r="CY170" i="12"/>
  <c r="FD170" i="12"/>
  <c r="EK170" i="12"/>
  <c r="BM170" i="12"/>
  <c r="DR170" i="12"/>
  <c r="AA170" i="12"/>
  <c r="AT170" i="12"/>
  <c r="CF170" i="12"/>
  <c r="FD137" i="12"/>
  <c r="AT137" i="12"/>
  <c r="DR137" i="12"/>
  <c r="AA137" i="12"/>
  <c r="CY137" i="12"/>
  <c r="EK137" i="12"/>
  <c r="CF137" i="12"/>
  <c r="BM137" i="12"/>
  <c r="CY19" i="12"/>
  <c r="AA19" i="12"/>
  <c r="AT19" i="12"/>
  <c r="FD19" i="12"/>
  <c r="DR19" i="12"/>
  <c r="BM19" i="12"/>
  <c r="EK19" i="12"/>
  <c r="CF19" i="12"/>
  <c r="C14" i="12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C117" i="12" s="1"/>
  <c r="C118" i="12" s="1"/>
  <c r="C119" i="12" s="1"/>
  <c r="C120" i="12" s="1"/>
  <c r="C121" i="12" s="1"/>
  <c r="C122" i="12" s="1"/>
  <c r="C123" i="12" s="1"/>
  <c r="C124" i="12" s="1"/>
  <c r="C125" i="12" s="1"/>
  <c r="C126" i="12" s="1"/>
  <c r="C127" i="12" s="1"/>
  <c r="C128" i="12" s="1"/>
  <c r="C129" i="12" s="1"/>
  <c r="C130" i="12" s="1"/>
  <c r="C131" i="12" s="1"/>
  <c r="C132" i="12" s="1"/>
  <c r="C133" i="12" s="1"/>
  <c r="C134" i="12" s="1"/>
  <c r="C135" i="12" s="1"/>
  <c r="C136" i="12" s="1"/>
  <c r="C137" i="12" s="1"/>
  <c r="C138" i="12" s="1"/>
  <c r="C139" i="12" s="1"/>
  <c r="C140" i="12" s="1"/>
  <c r="C141" i="12" s="1"/>
  <c r="C142" i="12" s="1"/>
  <c r="C143" i="12" s="1"/>
  <c r="C144" i="12" s="1"/>
  <c r="C145" i="12" s="1"/>
  <c r="C146" i="12" s="1"/>
  <c r="C147" i="12" s="1"/>
  <c r="C148" i="12" s="1"/>
  <c r="C149" i="12" s="1"/>
  <c r="C150" i="12" s="1"/>
  <c r="C151" i="12" s="1"/>
  <c r="C152" i="12" s="1"/>
  <c r="C153" i="12" s="1"/>
  <c r="C154" i="12" s="1"/>
  <c r="C155" i="12" s="1"/>
  <c r="C156" i="12" s="1"/>
  <c r="C157" i="12" s="1"/>
  <c r="C158" i="12" s="1"/>
  <c r="C159" i="12" s="1"/>
  <c r="C160" i="12" s="1"/>
  <c r="C161" i="12" s="1"/>
  <c r="C162" i="12" s="1"/>
  <c r="C163" i="12" s="1"/>
  <c r="C164" i="12" s="1"/>
  <c r="C165" i="12" s="1"/>
  <c r="C166" i="12" s="1"/>
  <c r="C167" i="12" s="1"/>
  <c r="C168" i="12" s="1"/>
  <c r="C169" i="12" s="1"/>
  <c r="C170" i="12" s="1"/>
  <c r="C171" i="12" s="1"/>
  <c r="C172" i="12" s="1"/>
  <c r="C173" i="12" s="1"/>
  <c r="C174" i="12" s="1"/>
  <c r="C175" i="12" s="1"/>
  <c r="C176" i="12" s="1"/>
  <c r="C177" i="12" s="1"/>
  <c r="C178" i="12" s="1"/>
  <c r="C179" i="12" s="1"/>
  <c r="C180" i="12" s="1"/>
  <c r="C181" i="12" s="1"/>
  <c r="C182" i="12" s="1"/>
  <c r="C183" i="12" s="1"/>
  <c r="C184" i="12" s="1"/>
  <c r="C185" i="12" s="1"/>
  <c r="C186" i="12" s="1"/>
  <c r="C187" i="12" s="1"/>
  <c r="C188" i="12" s="1"/>
  <c r="C189" i="12" s="1"/>
  <c r="C190" i="12" s="1"/>
  <c r="C191" i="12" s="1"/>
  <c r="C192" i="12" s="1"/>
  <c r="C193" i="12" s="1"/>
  <c r="C194" i="12" s="1"/>
  <c r="C195" i="12" s="1"/>
  <c r="C196" i="12" s="1"/>
  <c r="C197" i="12" s="1"/>
  <c r="C198" i="12" s="1"/>
  <c r="C199" i="12" s="1"/>
  <c r="C200" i="12" s="1"/>
  <c r="C201" i="12" s="1"/>
  <c r="C202" i="12" s="1"/>
  <c r="C203" i="12" s="1"/>
  <c r="C204" i="12" s="1"/>
  <c r="C205" i="12" s="1"/>
  <c r="C206" i="12" s="1"/>
  <c r="C207" i="12" s="1"/>
  <c r="C208" i="12" s="1"/>
  <c r="C209" i="12" s="1"/>
  <c r="C210" i="12" s="1"/>
  <c r="C211" i="12" s="1"/>
  <c r="C212" i="12" s="1"/>
  <c r="C213" i="12" s="1"/>
  <c r="C214" i="12" s="1"/>
  <c r="C215" i="12" s="1"/>
  <c r="C216" i="12" s="1"/>
  <c r="C217" i="12" s="1"/>
  <c r="C218" i="12" s="1"/>
  <c r="C219" i="12" s="1"/>
  <c r="C220" i="12" s="1"/>
  <c r="C221" i="12" s="1"/>
  <c r="C222" i="12" s="1"/>
  <c r="C223" i="12" s="1"/>
  <c r="C224" i="12" s="1"/>
  <c r="C225" i="12" s="1"/>
  <c r="C226" i="12" s="1"/>
  <c r="C227" i="12" s="1"/>
  <c r="C228" i="12" s="1"/>
  <c r="C229" i="12" s="1"/>
  <c r="C230" i="12" s="1"/>
  <c r="C231" i="12" s="1"/>
  <c r="C232" i="12" s="1"/>
  <c r="C233" i="12" s="1"/>
  <c r="C234" i="12" s="1"/>
  <c r="C235" i="12" s="1"/>
  <c r="C236" i="12" s="1"/>
  <c r="C237" i="12" s="1"/>
  <c r="C238" i="12" s="1"/>
  <c r="C239" i="12" s="1"/>
  <c r="C240" i="12" s="1"/>
  <c r="C241" i="12" s="1"/>
  <c r="C242" i="12" s="1"/>
  <c r="C243" i="12" s="1"/>
  <c r="C244" i="12" s="1"/>
  <c r="C245" i="12" s="1"/>
  <c r="C246" i="12" s="1"/>
  <c r="C247" i="12" s="1"/>
  <c r="C248" i="12" s="1"/>
  <c r="C249" i="12" s="1"/>
  <c r="C250" i="12" s="1"/>
  <c r="C251" i="12" s="1"/>
  <c r="C252" i="12" s="1"/>
  <c r="C253" i="12" s="1"/>
  <c r="C254" i="12" s="1"/>
  <c r="C255" i="12" s="1"/>
  <c r="C256" i="12" s="1"/>
  <c r="C257" i="12" s="1"/>
  <c r="C258" i="12" s="1"/>
  <c r="C259" i="12" s="1"/>
  <c r="C260" i="12" s="1"/>
  <c r="C261" i="12" s="1"/>
  <c r="C262" i="12" s="1"/>
  <c r="C263" i="12" s="1"/>
  <c r="C264" i="12" s="1"/>
  <c r="C265" i="12" s="1"/>
  <c r="C266" i="12" s="1"/>
  <c r="C267" i="12" s="1"/>
  <c r="C268" i="12" s="1"/>
  <c r="C269" i="12" s="1"/>
  <c r="C270" i="12" s="1"/>
  <c r="C271" i="12" s="1"/>
  <c r="C272" i="12" s="1"/>
  <c r="C273" i="12" s="1"/>
  <c r="C274" i="12" s="1"/>
  <c r="C275" i="12" s="1"/>
  <c r="C276" i="12" s="1"/>
  <c r="C277" i="12" s="1"/>
  <c r="C278" i="12" s="1"/>
  <c r="C279" i="12" s="1"/>
  <c r="C280" i="12" s="1"/>
  <c r="C281" i="12" s="1"/>
  <c r="C282" i="12" s="1"/>
  <c r="C283" i="12" s="1"/>
  <c r="C284" i="12" s="1"/>
  <c r="C285" i="12" s="1"/>
  <c r="C286" i="12" s="1"/>
  <c r="C287" i="12" s="1"/>
  <c r="C288" i="12" s="1"/>
  <c r="C289" i="12" s="1"/>
  <c r="C290" i="12" s="1"/>
  <c r="C291" i="12" s="1"/>
  <c r="C292" i="12" s="1"/>
  <c r="C293" i="12" s="1"/>
  <c r="C294" i="12" s="1"/>
  <c r="C295" i="12" s="1"/>
  <c r="C296" i="12" s="1"/>
  <c r="C297" i="12" s="1"/>
  <c r="C298" i="12" s="1"/>
  <c r="C299" i="12" s="1"/>
  <c r="C300" i="12" s="1"/>
  <c r="C301" i="12" s="1"/>
  <c r="C302" i="12" s="1"/>
  <c r="C303" i="12" s="1"/>
  <c r="C304" i="12" s="1"/>
  <c r="C305" i="12" s="1"/>
  <c r="C306" i="12" s="1"/>
  <c r="C307" i="12" s="1"/>
  <c r="C308" i="12" s="1"/>
  <c r="C309" i="12" s="1"/>
  <c r="C310" i="12" s="1"/>
  <c r="C311" i="12" s="1"/>
  <c r="C312" i="12" s="1"/>
  <c r="C313" i="12" s="1"/>
  <c r="C314" i="12" s="1"/>
  <c r="C315" i="12" s="1"/>
  <c r="C316" i="12" s="1"/>
  <c r="C317" i="12" s="1"/>
  <c r="C318" i="12" s="1"/>
  <c r="C319" i="12" s="1"/>
  <c r="C320" i="12" s="1"/>
  <c r="C321" i="12" s="1"/>
  <c r="C322" i="12" s="1"/>
  <c r="C323" i="12" s="1"/>
  <c r="C324" i="12" s="1"/>
  <c r="C325" i="12" s="1"/>
  <c r="C326" i="12" s="1"/>
  <c r="C327" i="12" s="1"/>
  <c r="C328" i="12" s="1"/>
  <c r="C329" i="12" s="1"/>
  <c r="C330" i="12" s="1"/>
  <c r="C331" i="12" s="1"/>
  <c r="C332" i="12" s="1"/>
  <c r="C333" i="12" s="1"/>
  <c r="C334" i="12" s="1"/>
  <c r="C335" i="12" s="1"/>
  <c r="C336" i="12" s="1"/>
  <c r="C337" i="12" s="1"/>
  <c r="C338" i="12" s="1"/>
  <c r="C339" i="12" s="1"/>
  <c r="C340" i="12" s="1"/>
  <c r="C341" i="12" s="1"/>
  <c r="C342" i="12" s="1"/>
  <c r="C343" i="12" s="1"/>
  <c r="C344" i="12" s="1"/>
  <c r="C345" i="12" s="1"/>
  <c r="C346" i="12" s="1"/>
  <c r="C347" i="12" s="1"/>
  <c r="C348" i="12" s="1"/>
  <c r="C349" i="12" s="1"/>
  <c r="C350" i="12" s="1"/>
  <c r="C351" i="12" s="1"/>
  <c r="C352" i="12" s="1"/>
  <c r="C353" i="12" s="1"/>
  <c r="C354" i="12" s="1"/>
  <c r="C355" i="12" s="1"/>
  <c r="C356" i="12" s="1"/>
  <c r="C357" i="12" s="1"/>
  <c r="C358" i="12" s="1"/>
  <c r="C359" i="12" s="1"/>
  <c r="C360" i="12" s="1"/>
  <c r="C361" i="12" s="1"/>
  <c r="C362" i="12" s="1"/>
  <c r="C363" i="12" s="1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F14" i="12"/>
  <c r="F15" i="12" s="1"/>
  <c r="F16" i="12" s="1"/>
  <c r="F17" i="12" s="1"/>
  <c r="F18" i="12" s="1"/>
  <c r="F19" i="12" s="1"/>
  <c r="F20" i="12" s="1"/>
  <c r="F21" i="12" s="1"/>
  <c r="F22" i="12" s="1"/>
  <c r="F23" i="12" s="1"/>
  <c r="F24" i="12" s="1"/>
  <c r="F25" i="12" s="1"/>
  <c r="F26" i="12" s="1"/>
  <c r="F27" i="12" s="1"/>
  <c r="F28" i="12" s="1"/>
  <c r="F29" i="12" s="1"/>
  <c r="F30" i="12" s="1"/>
  <c r="F31" i="12" s="1"/>
  <c r="F32" i="12" s="1"/>
  <c r="F33" i="12" s="1"/>
  <c r="F34" i="12" s="1"/>
  <c r="F35" i="12" s="1"/>
  <c r="F36" i="12" s="1"/>
  <c r="F37" i="12" s="1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 s="1"/>
  <c r="F116" i="12" s="1"/>
  <c r="F117" i="12" s="1"/>
  <c r="F118" i="12" s="1"/>
  <c r="F119" i="12" s="1"/>
  <c r="F120" i="12" s="1"/>
  <c r="F121" i="12" s="1"/>
  <c r="F122" i="12" s="1"/>
  <c r="F123" i="12" s="1"/>
  <c r="F124" i="12" s="1"/>
  <c r="F125" i="12" s="1"/>
  <c r="F126" i="12" s="1"/>
  <c r="F127" i="12" s="1"/>
  <c r="F128" i="12" s="1"/>
  <c r="F129" i="12" s="1"/>
  <c r="F130" i="12" s="1"/>
  <c r="F131" i="12" s="1"/>
  <c r="F132" i="12" s="1"/>
  <c r="F133" i="12" s="1"/>
  <c r="F134" i="12" s="1"/>
  <c r="F135" i="12" s="1"/>
  <c r="F136" i="12" s="1"/>
  <c r="F137" i="12" s="1"/>
  <c r="F138" i="12" s="1"/>
  <c r="F139" i="12" s="1"/>
  <c r="F140" i="12" s="1"/>
  <c r="F141" i="12" s="1"/>
  <c r="F142" i="12" s="1"/>
  <c r="F143" i="12" s="1"/>
  <c r="F144" i="12" s="1"/>
  <c r="F145" i="12" s="1"/>
  <c r="F146" i="12" s="1"/>
  <c r="F147" i="12" s="1"/>
  <c r="F148" i="12" s="1"/>
  <c r="F149" i="12" s="1"/>
  <c r="F150" i="12" s="1"/>
  <c r="F151" i="12" s="1"/>
  <c r="F152" i="12" s="1"/>
  <c r="F153" i="12" s="1"/>
  <c r="F154" i="12" s="1"/>
  <c r="F155" i="12" s="1"/>
  <c r="F156" i="12" s="1"/>
  <c r="F157" i="12" s="1"/>
  <c r="F158" i="12" s="1"/>
  <c r="F159" i="12" s="1"/>
  <c r="F160" i="12" s="1"/>
  <c r="F161" i="12" s="1"/>
  <c r="F162" i="12" s="1"/>
  <c r="F163" i="12" s="1"/>
  <c r="F164" i="12" s="1"/>
  <c r="F165" i="12" s="1"/>
  <c r="F166" i="12" s="1"/>
  <c r="F167" i="12" s="1"/>
  <c r="F168" i="12" s="1"/>
  <c r="F169" i="12" s="1"/>
  <c r="F170" i="12" s="1"/>
  <c r="F171" i="12" s="1"/>
  <c r="F172" i="12" s="1"/>
  <c r="F173" i="12" s="1"/>
  <c r="F174" i="12" s="1"/>
  <c r="F175" i="12" s="1"/>
  <c r="F176" i="12" s="1"/>
  <c r="F177" i="12" s="1"/>
  <c r="F178" i="12" s="1"/>
  <c r="F179" i="12" s="1"/>
  <c r="F180" i="12" s="1"/>
  <c r="F181" i="12" s="1"/>
  <c r="F182" i="12" s="1"/>
  <c r="F183" i="12" s="1"/>
  <c r="F184" i="12" s="1"/>
  <c r="F185" i="12" s="1"/>
  <c r="F186" i="12" s="1"/>
  <c r="F187" i="12" s="1"/>
  <c r="F188" i="12" s="1"/>
  <c r="F189" i="12" s="1"/>
  <c r="F190" i="12" s="1"/>
  <c r="F191" i="12" s="1"/>
  <c r="F192" i="12" s="1"/>
  <c r="F193" i="12" s="1"/>
  <c r="F194" i="12" s="1"/>
  <c r="F195" i="12" s="1"/>
  <c r="F196" i="12" s="1"/>
  <c r="F197" i="12" s="1"/>
  <c r="F198" i="12" s="1"/>
  <c r="F199" i="12" s="1"/>
  <c r="F200" i="12" s="1"/>
  <c r="F201" i="12" s="1"/>
  <c r="F202" i="12" s="1"/>
  <c r="F203" i="12" s="1"/>
  <c r="F204" i="12" s="1"/>
  <c r="F205" i="12" s="1"/>
  <c r="F206" i="12" s="1"/>
  <c r="F207" i="12" s="1"/>
  <c r="F208" i="12" s="1"/>
  <c r="F209" i="12" s="1"/>
  <c r="F210" i="12" s="1"/>
  <c r="F211" i="12" s="1"/>
  <c r="F212" i="12" s="1"/>
  <c r="F213" i="12" s="1"/>
  <c r="F214" i="12" s="1"/>
  <c r="F215" i="12" s="1"/>
  <c r="F216" i="12" s="1"/>
  <c r="F217" i="12" s="1"/>
  <c r="F218" i="12" s="1"/>
  <c r="F219" i="12" s="1"/>
  <c r="F220" i="12" s="1"/>
  <c r="F221" i="12" s="1"/>
  <c r="F222" i="12" s="1"/>
  <c r="F223" i="12" s="1"/>
  <c r="F224" i="12" s="1"/>
  <c r="F225" i="12" s="1"/>
  <c r="F226" i="12" s="1"/>
  <c r="F227" i="12" s="1"/>
  <c r="F228" i="12" s="1"/>
  <c r="F229" i="12" s="1"/>
  <c r="F230" i="12" s="1"/>
  <c r="F231" i="12" s="1"/>
  <c r="F232" i="12" s="1"/>
  <c r="F233" i="12" s="1"/>
  <c r="F234" i="12" s="1"/>
  <c r="F235" i="12" s="1"/>
  <c r="F236" i="12" s="1"/>
  <c r="F237" i="12" s="1"/>
  <c r="F238" i="12" s="1"/>
  <c r="F239" i="12" s="1"/>
  <c r="F240" i="12" s="1"/>
  <c r="F241" i="12" s="1"/>
  <c r="F242" i="12" s="1"/>
  <c r="F243" i="12" s="1"/>
  <c r="F244" i="12" s="1"/>
  <c r="F245" i="12" s="1"/>
  <c r="F246" i="12" s="1"/>
  <c r="F247" i="12" s="1"/>
  <c r="F248" i="12" s="1"/>
  <c r="F249" i="12" s="1"/>
  <c r="F250" i="12" s="1"/>
  <c r="F251" i="12" s="1"/>
  <c r="F252" i="12" s="1"/>
  <c r="F253" i="12" s="1"/>
  <c r="F254" i="12" s="1"/>
  <c r="F255" i="12" s="1"/>
  <c r="F256" i="12" s="1"/>
  <c r="F257" i="12" s="1"/>
  <c r="F258" i="12" s="1"/>
  <c r="F259" i="12" s="1"/>
  <c r="F260" i="12" s="1"/>
  <c r="F261" i="12" s="1"/>
  <c r="F262" i="12" s="1"/>
  <c r="F263" i="12" s="1"/>
  <c r="F264" i="12" s="1"/>
  <c r="F265" i="12" s="1"/>
  <c r="F266" i="12" s="1"/>
  <c r="F267" i="12" s="1"/>
  <c r="F268" i="12" s="1"/>
  <c r="F269" i="12" s="1"/>
  <c r="F270" i="12" s="1"/>
  <c r="F271" i="12" s="1"/>
  <c r="F272" i="12" s="1"/>
  <c r="F273" i="12" s="1"/>
  <c r="F274" i="12" s="1"/>
  <c r="F275" i="12" s="1"/>
  <c r="F276" i="12" s="1"/>
  <c r="F277" i="12" s="1"/>
  <c r="F278" i="12" s="1"/>
  <c r="F279" i="12" s="1"/>
  <c r="F280" i="12" s="1"/>
  <c r="F281" i="12" s="1"/>
  <c r="F282" i="12" s="1"/>
  <c r="F283" i="12" s="1"/>
  <c r="F284" i="12" s="1"/>
  <c r="F285" i="12" s="1"/>
  <c r="F286" i="12" s="1"/>
  <c r="F287" i="12" s="1"/>
  <c r="F288" i="12" s="1"/>
  <c r="F289" i="12" s="1"/>
  <c r="F290" i="12" s="1"/>
  <c r="F291" i="12" s="1"/>
  <c r="F292" i="12" s="1"/>
  <c r="F293" i="12" s="1"/>
  <c r="F294" i="12" s="1"/>
  <c r="F295" i="12" s="1"/>
  <c r="F296" i="12" s="1"/>
  <c r="F297" i="12" s="1"/>
  <c r="F298" i="12" s="1"/>
  <c r="F299" i="12" s="1"/>
  <c r="F300" i="12" s="1"/>
  <c r="F301" i="12" s="1"/>
  <c r="F302" i="12" s="1"/>
  <c r="F303" i="12" s="1"/>
  <c r="F304" i="12" s="1"/>
  <c r="F305" i="12" s="1"/>
  <c r="F306" i="12" s="1"/>
  <c r="F307" i="12" s="1"/>
  <c r="F308" i="12" s="1"/>
  <c r="F309" i="12" s="1"/>
  <c r="F310" i="12" s="1"/>
  <c r="F311" i="12" s="1"/>
  <c r="F312" i="12" s="1"/>
  <c r="F313" i="12" s="1"/>
  <c r="F314" i="12" s="1"/>
  <c r="F315" i="12" s="1"/>
  <c r="F316" i="12" s="1"/>
  <c r="F317" i="12" s="1"/>
  <c r="F318" i="12" s="1"/>
  <c r="F319" i="12" s="1"/>
  <c r="F320" i="12" s="1"/>
  <c r="F321" i="12" s="1"/>
  <c r="F322" i="12" s="1"/>
  <c r="F323" i="12" s="1"/>
  <c r="F324" i="12" s="1"/>
  <c r="F325" i="12" s="1"/>
  <c r="F326" i="12" s="1"/>
  <c r="F327" i="12" s="1"/>
  <c r="F328" i="12" s="1"/>
  <c r="F329" i="12" s="1"/>
  <c r="F330" i="12" s="1"/>
  <c r="F331" i="12" s="1"/>
  <c r="F332" i="12" s="1"/>
  <c r="F333" i="12" s="1"/>
  <c r="F334" i="12" s="1"/>
  <c r="F335" i="12" s="1"/>
  <c r="F336" i="12" s="1"/>
  <c r="F337" i="12" s="1"/>
  <c r="F338" i="12" s="1"/>
  <c r="F339" i="12" s="1"/>
  <c r="F340" i="12" s="1"/>
  <c r="F341" i="12" s="1"/>
  <c r="F342" i="12" s="1"/>
  <c r="F343" i="12" s="1"/>
  <c r="F344" i="12" s="1"/>
  <c r="F345" i="12" s="1"/>
  <c r="F346" i="12" s="1"/>
  <c r="F347" i="12" s="1"/>
  <c r="F348" i="12" s="1"/>
  <c r="F349" i="12" s="1"/>
  <c r="F350" i="12" s="1"/>
  <c r="F351" i="12" s="1"/>
  <c r="F352" i="12" s="1"/>
  <c r="F353" i="12" s="1"/>
  <c r="F354" i="12" s="1"/>
  <c r="F355" i="12" s="1"/>
  <c r="F356" i="12" s="1"/>
  <c r="F357" i="12" s="1"/>
  <c r="F358" i="12" s="1"/>
  <c r="F359" i="12" s="1"/>
  <c r="F360" i="12" s="1"/>
  <c r="F361" i="12" s="1"/>
  <c r="F362" i="12" s="1"/>
  <c r="F363" i="12" s="1"/>
  <c r="D14" i="12"/>
  <c r="BM28" i="12"/>
  <c r="EK28" i="12"/>
  <c r="DR28" i="12"/>
  <c r="CY28" i="12"/>
  <c r="CF28" i="12"/>
  <c r="AT28" i="12"/>
  <c r="FD28" i="12"/>
  <c r="AA28" i="12"/>
  <c r="BM138" i="12"/>
  <c r="EK138" i="12"/>
  <c r="DR138" i="12"/>
  <c r="FD138" i="12"/>
  <c r="CY138" i="12"/>
  <c r="AA138" i="12"/>
  <c r="AT138" i="12"/>
  <c r="CF138" i="12"/>
  <c r="CY27" i="12"/>
  <c r="DR27" i="12"/>
  <c r="AT27" i="12"/>
  <c r="CF27" i="12"/>
  <c r="EK27" i="12"/>
  <c r="FD27" i="12"/>
  <c r="BM27" i="12"/>
  <c r="AA27" i="12"/>
  <c r="CY102" i="12"/>
  <c r="CF102" i="12"/>
  <c r="FD102" i="12"/>
  <c r="BM102" i="12"/>
  <c r="EK102" i="12"/>
  <c r="AA102" i="12"/>
  <c r="AT102" i="12"/>
  <c r="DR102" i="12"/>
  <c r="AT171" i="12"/>
  <c r="FD171" i="12"/>
  <c r="DR171" i="12"/>
  <c r="CF171" i="12"/>
  <c r="EK171" i="12"/>
  <c r="BM171" i="12"/>
  <c r="CY171" i="12"/>
  <c r="AA171" i="12"/>
  <c r="EK139" i="12"/>
  <c r="AT139" i="12"/>
  <c r="CY139" i="12"/>
  <c r="CF139" i="12"/>
  <c r="FD139" i="12"/>
  <c r="BM139" i="12"/>
  <c r="DR139" i="12"/>
  <c r="AA139" i="12"/>
  <c r="CF18" i="12"/>
  <c r="AA18" i="12"/>
  <c r="FD18" i="12"/>
  <c r="CY18" i="12"/>
  <c r="EK18" i="12"/>
  <c r="DR18" i="12"/>
  <c r="BM18" i="12"/>
  <c r="AT18" i="12"/>
  <c r="FD22" i="12"/>
  <c r="CY22" i="12"/>
  <c r="BM22" i="12"/>
  <c r="AA22" i="12"/>
  <c r="EK22" i="12"/>
  <c r="CF22" i="12"/>
  <c r="AT22" i="12"/>
  <c r="DR22" i="12"/>
  <c r="BM54" i="12"/>
  <c r="FD54" i="12"/>
  <c r="CF54" i="12"/>
  <c r="DR54" i="12"/>
  <c r="AT54" i="12"/>
  <c r="CY54" i="12"/>
  <c r="AA54" i="12"/>
  <c r="EK54" i="12"/>
  <c r="AA129" i="12"/>
  <c r="CY129" i="12"/>
  <c r="EK129" i="12"/>
  <c r="CF129" i="12"/>
  <c r="FD129" i="12"/>
  <c r="AT129" i="12"/>
  <c r="DR129" i="12"/>
  <c r="BM129" i="12"/>
  <c r="DR158" i="12"/>
  <c r="AT158" i="12"/>
  <c r="CY158" i="12"/>
  <c r="AA158" i="12"/>
  <c r="CF158" i="12"/>
  <c r="BM158" i="12"/>
  <c r="FD158" i="12"/>
  <c r="EK158" i="12"/>
  <c r="CY186" i="12"/>
  <c r="BM186" i="12"/>
  <c r="EK186" i="12"/>
  <c r="FD186" i="12"/>
  <c r="DR186" i="12"/>
  <c r="AT186" i="12"/>
  <c r="AA186" i="12"/>
  <c r="CF186" i="12"/>
  <c r="AT116" i="12"/>
  <c r="EK116" i="12"/>
  <c r="BM116" i="12"/>
  <c r="DR116" i="12"/>
  <c r="CY116" i="12"/>
  <c r="AA116" i="12"/>
  <c r="FD116" i="12"/>
  <c r="CF116" i="12"/>
  <c r="CF156" i="12"/>
  <c r="FD156" i="12"/>
  <c r="DR156" i="12"/>
  <c r="AT156" i="12"/>
  <c r="CY156" i="12"/>
  <c r="AA156" i="12"/>
  <c r="EK156" i="12"/>
  <c r="BM156" i="12"/>
  <c r="BM26" i="12"/>
  <c r="AA26" i="12"/>
  <c r="CY26" i="12"/>
  <c r="FD26" i="12"/>
  <c r="AT26" i="12"/>
  <c r="DR26" i="12"/>
  <c r="EK26" i="12"/>
  <c r="CF26" i="12"/>
  <c r="FD58" i="12"/>
  <c r="CF58" i="12"/>
  <c r="AA58" i="12"/>
  <c r="AT58" i="12"/>
  <c r="BM58" i="12"/>
  <c r="CY58" i="12"/>
  <c r="DR58" i="12"/>
  <c r="EK58" i="12"/>
  <c r="BM184" i="12"/>
  <c r="AA184" i="12"/>
  <c r="EK184" i="12"/>
  <c r="CY184" i="12"/>
  <c r="FD184" i="12"/>
  <c r="CF184" i="12"/>
  <c r="DR184" i="12"/>
  <c r="AT184" i="12"/>
  <c r="EK113" i="12"/>
  <c r="CF113" i="12"/>
  <c r="DR113" i="12"/>
  <c r="AT113" i="12"/>
  <c r="CY113" i="12"/>
  <c r="FD113" i="12"/>
  <c r="AA113" i="12"/>
  <c r="BM113" i="12"/>
  <c r="DR155" i="12"/>
  <c r="BM155" i="12"/>
  <c r="EK155" i="12"/>
  <c r="CF155" i="12"/>
  <c r="CY155" i="12"/>
  <c r="FD155" i="12"/>
  <c r="AA155" i="12"/>
  <c r="AT155" i="12"/>
  <c r="EK188" i="12"/>
  <c r="BM188" i="12"/>
  <c r="AA188" i="12"/>
  <c r="AT188" i="12"/>
  <c r="CY188" i="12"/>
  <c r="FD188" i="12"/>
  <c r="CF188" i="12"/>
  <c r="DR188" i="12"/>
  <c r="EK36" i="12"/>
  <c r="DR36" i="12"/>
  <c r="BM36" i="12"/>
  <c r="CF36" i="12"/>
  <c r="FD36" i="12"/>
  <c r="AT36" i="12"/>
  <c r="AA36" i="12"/>
  <c r="CY36" i="12"/>
  <c r="DR68" i="12"/>
  <c r="CY68" i="12"/>
  <c r="CF68" i="12"/>
  <c r="FD68" i="12"/>
  <c r="AA68" i="12"/>
  <c r="EK68" i="12"/>
  <c r="BM68" i="12"/>
  <c r="AT68" i="12"/>
  <c r="FD97" i="12"/>
  <c r="BM97" i="12"/>
  <c r="EK97" i="12"/>
  <c r="CF97" i="12"/>
  <c r="AT97" i="12"/>
  <c r="DR97" i="12"/>
  <c r="AA97" i="12"/>
  <c r="CY97" i="12"/>
  <c r="CY111" i="12"/>
  <c r="AA111" i="12"/>
  <c r="DR111" i="12"/>
  <c r="CF111" i="12"/>
  <c r="FD111" i="12"/>
  <c r="AT111" i="12"/>
  <c r="BM111" i="12"/>
  <c r="EK111" i="12"/>
  <c r="BM182" i="12"/>
  <c r="AA182" i="12"/>
  <c r="CY182" i="12"/>
  <c r="EK182" i="12"/>
  <c r="AT182" i="12"/>
  <c r="DR182" i="12"/>
  <c r="FD182" i="12"/>
  <c r="CF182" i="12"/>
  <c r="CF304" i="12"/>
  <c r="FD304" i="12"/>
  <c r="BM304" i="12"/>
  <c r="DR304" i="12"/>
  <c r="CY304" i="12"/>
  <c r="EK304" i="12"/>
  <c r="AT304" i="12"/>
  <c r="AA304" i="12"/>
  <c r="BM109" i="12"/>
  <c r="EK109" i="12"/>
  <c r="FD109" i="12"/>
  <c r="AA109" i="12"/>
  <c r="CF109" i="12"/>
  <c r="CY109" i="12"/>
  <c r="AT109" i="12"/>
  <c r="DR109" i="12"/>
  <c r="DR142" i="12"/>
  <c r="CY142" i="12"/>
  <c r="FD142" i="12"/>
  <c r="BM142" i="12"/>
  <c r="AT142" i="12"/>
  <c r="EK142" i="12"/>
  <c r="AA142" i="12"/>
  <c r="CF142" i="12"/>
  <c r="BM216" i="12"/>
  <c r="FD216" i="12"/>
  <c r="AT216" i="12"/>
  <c r="CF216" i="12"/>
  <c r="AA216" i="12"/>
  <c r="EK216" i="12"/>
  <c r="CY216" i="12"/>
  <c r="DR216" i="12"/>
  <c r="AA252" i="12"/>
  <c r="CY252" i="12"/>
  <c r="FD252" i="12"/>
  <c r="EK252" i="12"/>
  <c r="AT252" i="12"/>
  <c r="BM252" i="12"/>
  <c r="DR252" i="12"/>
  <c r="CF252" i="12"/>
  <c r="CF333" i="12"/>
  <c r="FD333" i="12"/>
  <c r="DR333" i="12"/>
  <c r="CY333" i="12"/>
  <c r="AT333" i="12"/>
  <c r="EK333" i="12"/>
  <c r="AA333" i="12"/>
  <c r="BM333" i="12"/>
  <c r="FD215" i="12"/>
  <c r="CF215" i="12"/>
  <c r="DR215" i="12"/>
  <c r="AT215" i="12"/>
  <c r="CY215" i="12"/>
  <c r="AA215" i="12"/>
  <c r="EK215" i="12"/>
  <c r="BM215" i="12"/>
  <c r="CY258" i="12"/>
  <c r="EK258" i="12"/>
  <c r="BM258" i="12"/>
  <c r="FD258" i="12"/>
  <c r="AT258" i="12"/>
  <c r="DR258" i="12"/>
  <c r="CF258" i="12"/>
  <c r="AA258" i="12"/>
  <c r="CY201" i="12"/>
  <c r="FD201" i="12"/>
  <c r="AA201" i="12"/>
  <c r="BM201" i="12"/>
  <c r="EK201" i="12"/>
  <c r="AT201" i="12"/>
  <c r="DR201" i="12"/>
  <c r="CF201" i="12"/>
  <c r="AA263" i="12"/>
  <c r="BM263" i="12"/>
  <c r="EK263" i="12"/>
  <c r="CY263" i="12"/>
  <c r="FD263" i="12"/>
  <c r="CF263" i="12"/>
  <c r="AT263" i="12"/>
  <c r="DR263" i="12"/>
  <c r="EK289" i="12"/>
  <c r="CF289" i="12"/>
  <c r="FD289" i="12"/>
  <c r="CY289" i="12"/>
  <c r="BM289" i="12"/>
  <c r="AT289" i="12"/>
  <c r="DR289" i="12"/>
  <c r="AA289" i="12"/>
  <c r="FD284" i="12"/>
  <c r="CF284" i="12"/>
  <c r="EK284" i="12"/>
  <c r="BM284" i="12"/>
  <c r="DR284" i="12"/>
  <c r="AT284" i="12"/>
  <c r="CY284" i="12"/>
  <c r="AA284" i="12"/>
  <c r="BM319" i="12"/>
  <c r="FD319" i="12"/>
  <c r="EK319" i="12"/>
  <c r="DR319" i="12"/>
  <c r="CF319" i="12"/>
  <c r="AA319" i="12"/>
  <c r="AT319" i="12"/>
  <c r="CY319" i="12"/>
  <c r="AT312" i="12"/>
  <c r="EK312" i="12"/>
  <c r="DR312" i="12"/>
  <c r="FD312" i="12"/>
  <c r="CF312" i="12"/>
  <c r="BM312" i="12"/>
  <c r="CY312" i="12"/>
  <c r="AA312" i="12"/>
  <c r="FD272" i="12"/>
  <c r="BM272" i="12"/>
  <c r="EK272" i="12"/>
  <c r="AT272" i="12"/>
  <c r="DR272" i="12"/>
  <c r="AA272" i="12"/>
  <c r="CF272" i="12"/>
  <c r="CY272" i="12"/>
  <c r="FD306" i="12"/>
  <c r="DR306" i="12"/>
  <c r="EK306" i="12"/>
  <c r="CF306" i="12"/>
  <c r="AA306" i="12"/>
  <c r="CY306" i="12"/>
  <c r="AT306" i="12"/>
  <c r="BM306" i="12"/>
  <c r="BM342" i="12"/>
  <c r="CY342" i="12"/>
  <c r="EK342" i="12"/>
  <c r="DR342" i="12"/>
  <c r="AT342" i="12"/>
  <c r="AA342" i="12"/>
  <c r="CF342" i="12"/>
  <c r="FD342" i="12"/>
  <c r="FD300" i="12"/>
  <c r="DR300" i="12"/>
  <c r="AA300" i="12"/>
  <c r="BM300" i="12"/>
  <c r="CY300" i="12"/>
  <c r="EK300" i="12"/>
  <c r="CF300" i="12"/>
  <c r="AT300" i="12"/>
  <c r="FD363" i="12"/>
  <c r="BM363" i="12"/>
  <c r="EK363" i="12"/>
  <c r="AA363" i="12"/>
  <c r="CF363" i="12"/>
  <c r="CY363" i="12"/>
  <c r="AT363" i="12"/>
  <c r="DR363" i="12"/>
  <c r="E14" i="9"/>
  <c r="CY42" i="12"/>
  <c r="AA42" i="12"/>
  <c r="DR42" i="12"/>
  <c r="FD42" i="12"/>
  <c r="BM42" i="12"/>
  <c r="EK42" i="12"/>
  <c r="AT42" i="12"/>
  <c r="CF42" i="12"/>
  <c r="EK151" i="12"/>
  <c r="BM151" i="12"/>
  <c r="CF151" i="12"/>
  <c r="AA151" i="12"/>
  <c r="FD151" i="12"/>
  <c r="CY151" i="12"/>
  <c r="AT151" i="12"/>
  <c r="DR151" i="12"/>
  <c r="CY60" i="12"/>
  <c r="AA60" i="12"/>
  <c r="DR60" i="12"/>
  <c r="BM60" i="12"/>
  <c r="EK60" i="12"/>
  <c r="AT60" i="12"/>
  <c r="CF60" i="12"/>
  <c r="FD60" i="12"/>
  <c r="AT199" i="12"/>
  <c r="CY199" i="12"/>
  <c r="AA199" i="12"/>
  <c r="FD199" i="12"/>
  <c r="CF199" i="12"/>
  <c r="EK199" i="12"/>
  <c r="BM199" i="12"/>
  <c r="DR199" i="12"/>
  <c r="BM176" i="12"/>
  <c r="EK176" i="12"/>
  <c r="AA176" i="12"/>
  <c r="CF176" i="12"/>
  <c r="DR176" i="12"/>
  <c r="AT176" i="12"/>
  <c r="CY176" i="12"/>
  <c r="FD176" i="12"/>
  <c r="CY131" i="12"/>
  <c r="CF131" i="12"/>
  <c r="FD131" i="12"/>
  <c r="BM131" i="12"/>
  <c r="EK131" i="12"/>
  <c r="AT131" i="12"/>
  <c r="DR131" i="12"/>
  <c r="AA131" i="12"/>
  <c r="FD59" i="12"/>
  <c r="CY59" i="12"/>
  <c r="CF59" i="12"/>
  <c r="AT59" i="12"/>
  <c r="DR59" i="12"/>
  <c r="AA59" i="12"/>
  <c r="BM59" i="12"/>
  <c r="EK59" i="12"/>
  <c r="AA95" i="12"/>
  <c r="DR95" i="12"/>
  <c r="CY95" i="12"/>
  <c r="FD95" i="12"/>
  <c r="BM95" i="12"/>
  <c r="EK95" i="12"/>
  <c r="AT95" i="12"/>
  <c r="CF95" i="12"/>
  <c r="DR159" i="12"/>
  <c r="EK159" i="12"/>
  <c r="BM159" i="12"/>
  <c r="FD159" i="12"/>
  <c r="AT159" i="12"/>
  <c r="AA159" i="12"/>
  <c r="CF159" i="12"/>
  <c r="CY159" i="12"/>
  <c r="CY346" i="12"/>
  <c r="AA346" i="12"/>
  <c r="FD346" i="12"/>
  <c r="CF346" i="12"/>
  <c r="EK346" i="12"/>
  <c r="BM346" i="12"/>
  <c r="DR346" i="12"/>
  <c r="AT346" i="12"/>
  <c r="AT53" i="12"/>
  <c r="DR53" i="12"/>
  <c r="EK53" i="12"/>
  <c r="BM53" i="12"/>
  <c r="CY53" i="12"/>
  <c r="AA53" i="12"/>
  <c r="FD53" i="12"/>
  <c r="CF53" i="12"/>
  <c r="CY157" i="12"/>
  <c r="FD157" i="12"/>
  <c r="AA157" i="12"/>
  <c r="CF157" i="12"/>
  <c r="BM157" i="12"/>
  <c r="AT157" i="12"/>
  <c r="EK157" i="12"/>
  <c r="DR157" i="12"/>
  <c r="CF189" i="12"/>
  <c r="FD189" i="12"/>
  <c r="CY189" i="12"/>
  <c r="DR189" i="12"/>
  <c r="AT189" i="12"/>
  <c r="AA189" i="12"/>
  <c r="EK189" i="12"/>
  <c r="BM189" i="12"/>
  <c r="DR126" i="12"/>
  <c r="AA126" i="12"/>
  <c r="CY126" i="12"/>
  <c r="FD126" i="12"/>
  <c r="EK126" i="12"/>
  <c r="AT126" i="12"/>
  <c r="BM126" i="12"/>
  <c r="CF126" i="12"/>
  <c r="AA38" i="12"/>
  <c r="FD38" i="12"/>
  <c r="CY38" i="12"/>
  <c r="BM38" i="12"/>
  <c r="EK38" i="12"/>
  <c r="CF38" i="12"/>
  <c r="AT38" i="12"/>
  <c r="DR38" i="12"/>
  <c r="FD69" i="12"/>
  <c r="CF69" i="12"/>
  <c r="EK69" i="12"/>
  <c r="BM69" i="12"/>
  <c r="DR69" i="12"/>
  <c r="AT69" i="12"/>
  <c r="CY69" i="12"/>
  <c r="AA69" i="12"/>
  <c r="FD124" i="12"/>
  <c r="EK124" i="12"/>
  <c r="DR124" i="12"/>
  <c r="CY124" i="12"/>
  <c r="CF124" i="12"/>
  <c r="BM124" i="12"/>
  <c r="AA124" i="12"/>
  <c r="AT124" i="12"/>
  <c r="CF98" i="12"/>
  <c r="FD98" i="12"/>
  <c r="CY98" i="12"/>
  <c r="DR98" i="12"/>
  <c r="AA98" i="12"/>
  <c r="BM98" i="12"/>
  <c r="EK98" i="12"/>
  <c r="AT98" i="12"/>
  <c r="AA145" i="12"/>
  <c r="AT145" i="12"/>
  <c r="CY145" i="12"/>
  <c r="FD145" i="12"/>
  <c r="CF145" i="12"/>
  <c r="EK145" i="12"/>
  <c r="BM145" i="12"/>
  <c r="DR145" i="12"/>
  <c r="BM183" i="12"/>
  <c r="CY183" i="12"/>
  <c r="AA183" i="12"/>
  <c r="CF183" i="12"/>
  <c r="FD183" i="12"/>
  <c r="AT183" i="12"/>
  <c r="DR183" i="12"/>
  <c r="EK183" i="12"/>
  <c r="DR23" i="12"/>
  <c r="CY23" i="12"/>
  <c r="CF23" i="12"/>
  <c r="FD23" i="12"/>
  <c r="AT23" i="12"/>
  <c r="AA23" i="12"/>
  <c r="BM23" i="12"/>
  <c r="EK23" i="12"/>
  <c r="CF55" i="12"/>
  <c r="CY55" i="12"/>
  <c r="FD55" i="12"/>
  <c r="DR55" i="12"/>
  <c r="AT55" i="12"/>
  <c r="BM55" i="12"/>
  <c r="EK55" i="12"/>
  <c r="AA55" i="12"/>
  <c r="CF79" i="12"/>
  <c r="CY79" i="12"/>
  <c r="AA79" i="12"/>
  <c r="AT79" i="12"/>
  <c r="DR79" i="12"/>
  <c r="FD79" i="12"/>
  <c r="BM79" i="12"/>
  <c r="EK79" i="12"/>
  <c r="FD121" i="12"/>
  <c r="CY121" i="12"/>
  <c r="AA121" i="12"/>
  <c r="CF121" i="12"/>
  <c r="DR121" i="12"/>
  <c r="AT121" i="12"/>
  <c r="EK121" i="12"/>
  <c r="BM121" i="12"/>
  <c r="BM143" i="12"/>
  <c r="EK143" i="12"/>
  <c r="AT143" i="12"/>
  <c r="DR143" i="12"/>
  <c r="CY143" i="12"/>
  <c r="FD143" i="12"/>
  <c r="CF143" i="12"/>
  <c r="AA143" i="12"/>
  <c r="DR323" i="12"/>
  <c r="CF323" i="12"/>
  <c r="EK323" i="12"/>
  <c r="BM323" i="12"/>
  <c r="FD323" i="12"/>
  <c r="AT323" i="12"/>
  <c r="AA323" i="12"/>
  <c r="CY323" i="12"/>
  <c r="CF253" i="12"/>
  <c r="CY253" i="12"/>
  <c r="EK253" i="12"/>
  <c r="AT253" i="12"/>
  <c r="FD253" i="12"/>
  <c r="DR253" i="12"/>
  <c r="BM253" i="12"/>
  <c r="AA253" i="12"/>
  <c r="AA259" i="12"/>
  <c r="FD259" i="12"/>
  <c r="CY259" i="12"/>
  <c r="AT259" i="12"/>
  <c r="DR259" i="12"/>
  <c r="BM259" i="12"/>
  <c r="EK259" i="12"/>
  <c r="CF259" i="12"/>
  <c r="AA226" i="12"/>
  <c r="AT226" i="12"/>
  <c r="CF226" i="12"/>
  <c r="EK226" i="12"/>
  <c r="BM226" i="12"/>
  <c r="CY226" i="12"/>
  <c r="DR226" i="12"/>
  <c r="FD226" i="12"/>
  <c r="EK264" i="12"/>
  <c r="BM264" i="12"/>
  <c r="DR264" i="12"/>
  <c r="AT264" i="12"/>
  <c r="CY264" i="12"/>
  <c r="AA264" i="12"/>
  <c r="FD264" i="12"/>
  <c r="CF264" i="12"/>
  <c r="AA202" i="12"/>
  <c r="FD202" i="12"/>
  <c r="CF202" i="12"/>
  <c r="EK202" i="12"/>
  <c r="BM202" i="12"/>
  <c r="DR202" i="12"/>
  <c r="AT202" i="12"/>
  <c r="CY202" i="12"/>
  <c r="DR239" i="12"/>
  <c r="BM239" i="12"/>
  <c r="EK239" i="12"/>
  <c r="AA239" i="12"/>
  <c r="CY239" i="12"/>
  <c r="CF239" i="12"/>
  <c r="AT239" i="12"/>
  <c r="FD239" i="12"/>
  <c r="CY269" i="12"/>
  <c r="CF269" i="12"/>
  <c r="FD269" i="12"/>
  <c r="BM269" i="12"/>
  <c r="EK269" i="12"/>
  <c r="AT269" i="12"/>
  <c r="AA269" i="12"/>
  <c r="DR269" i="12"/>
  <c r="CY230" i="12"/>
  <c r="EK230" i="12"/>
  <c r="CF230" i="12"/>
  <c r="FD230" i="12"/>
  <c r="DR230" i="12"/>
  <c r="BM230" i="12"/>
  <c r="AT230" i="12"/>
  <c r="AA230" i="12"/>
  <c r="FD361" i="12"/>
  <c r="CY361" i="12"/>
  <c r="BM361" i="12"/>
  <c r="EK361" i="12"/>
  <c r="CF361" i="12"/>
  <c r="DR361" i="12"/>
  <c r="AT361" i="12"/>
  <c r="AA361" i="12"/>
  <c r="DR288" i="12"/>
  <c r="AT288" i="12"/>
  <c r="CY288" i="12"/>
  <c r="AA288" i="12"/>
  <c r="FD288" i="12"/>
  <c r="CF288" i="12"/>
  <c r="EK288" i="12"/>
  <c r="BM288" i="12"/>
  <c r="EK320" i="12"/>
  <c r="CY320" i="12"/>
  <c r="AA320" i="12"/>
  <c r="FD320" i="12"/>
  <c r="CF320" i="12"/>
  <c r="DR320" i="12"/>
  <c r="BM320" i="12"/>
  <c r="AT320" i="12"/>
  <c r="DR345" i="12"/>
  <c r="BM345" i="12"/>
  <c r="EK345" i="12"/>
  <c r="CF345" i="12"/>
  <c r="FD345" i="12"/>
  <c r="AA345" i="12"/>
  <c r="CY345" i="12"/>
  <c r="AT345" i="12"/>
  <c r="CF282" i="12"/>
  <c r="FD282" i="12"/>
  <c r="DR282" i="12"/>
  <c r="CY282" i="12"/>
  <c r="EK282" i="12"/>
  <c r="BM282" i="12"/>
  <c r="AA282" i="12"/>
  <c r="AT282" i="12"/>
  <c r="EK318" i="12"/>
  <c r="FD318" i="12"/>
  <c r="CF318" i="12"/>
  <c r="AT318" i="12"/>
  <c r="BM318" i="12"/>
  <c r="DR318" i="12"/>
  <c r="CY318" i="12"/>
  <c r="AA318" i="12"/>
  <c r="FD296" i="12"/>
  <c r="AA296" i="12"/>
  <c r="CY296" i="12"/>
  <c r="BM296" i="12"/>
  <c r="EK296" i="12"/>
  <c r="AT296" i="12"/>
  <c r="CF296" i="12"/>
  <c r="DR296" i="12"/>
  <c r="DR317" i="12"/>
  <c r="CY317" i="12"/>
  <c r="AT317" i="12"/>
  <c r="BM317" i="12"/>
  <c r="AA317" i="12"/>
  <c r="FD317" i="12"/>
  <c r="CF317" i="12"/>
  <c r="EK317" i="12"/>
  <c r="EK326" i="12"/>
  <c r="BM326" i="12"/>
  <c r="FD326" i="12"/>
  <c r="CF326" i="12"/>
  <c r="DR326" i="12"/>
  <c r="AT326" i="12"/>
  <c r="CY326" i="12"/>
  <c r="AA326" i="12"/>
  <c r="E15" i="9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AA190" i="12"/>
  <c r="CY190" i="12"/>
  <c r="BM190" i="12"/>
  <c r="EK190" i="12"/>
  <c r="CF190" i="12"/>
  <c r="FD190" i="12"/>
  <c r="DR190" i="12"/>
  <c r="AT190" i="12"/>
  <c r="BM175" i="12"/>
  <c r="CY175" i="12"/>
  <c r="AA175" i="12"/>
  <c r="CF175" i="12"/>
  <c r="FD175" i="12"/>
  <c r="AT175" i="12"/>
  <c r="DR175" i="12"/>
  <c r="EK175" i="12"/>
  <c r="FD41" i="12"/>
  <c r="EK41" i="12"/>
  <c r="BM41" i="12"/>
  <c r="CF41" i="12"/>
  <c r="AT41" i="12"/>
  <c r="DR41" i="12"/>
  <c r="AA41" i="12"/>
  <c r="CY41" i="12"/>
  <c r="CY67" i="12"/>
  <c r="CF67" i="12"/>
  <c r="DR67" i="12"/>
  <c r="AT67" i="12"/>
  <c r="FD67" i="12"/>
  <c r="BM67" i="12"/>
  <c r="EK67" i="12"/>
  <c r="AA67" i="12"/>
  <c r="EK181" i="12"/>
  <c r="CF181" i="12"/>
  <c r="FD181" i="12"/>
  <c r="CY181" i="12"/>
  <c r="AA181" i="12"/>
  <c r="DR181" i="12"/>
  <c r="AT181" i="12"/>
  <c r="BM181" i="12"/>
  <c r="FD14" i="12"/>
  <c r="AA14" i="12"/>
  <c r="CY14" i="12"/>
  <c r="EK14" i="12"/>
  <c r="DR14" i="12"/>
  <c r="CF14" i="12"/>
  <c r="BM14" i="12"/>
  <c r="AT14" i="12"/>
  <c r="AT35" i="12"/>
  <c r="DR35" i="12"/>
  <c r="CY35" i="12"/>
  <c r="BM35" i="12"/>
  <c r="EK35" i="12"/>
  <c r="AA35" i="12"/>
  <c r="CF35" i="12"/>
  <c r="FD35" i="12"/>
  <c r="FD29" i="12"/>
  <c r="AT29" i="12"/>
  <c r="EK29" i="12"/>
  <c r="CF29" i="12"/>
  <c r="DR29" i="12"/>
  <c r="BM29" i="12"/>
  <c r="AA29" i="12"/>
  <c r="CY29" i="12"/>
  <c r="AA61" i="12"/>
  <c r="FD61" i="12"/>
  <c r="CF61" i="12"/>
  <c r="EK61" i="12"/>
  <c r="BM61" i="12"/>
  <c r="DR61" i="12"/>
  <c r="AT61" i="12"/>
  <c r="CY61" i="12"/>
  <c r="FD92" i="12"/>
  <c r="CF92" i="12"/>
  <c r="EK92" i="12"/>
  <c r="BM92" i="12"/>
  <c r="DR92" i="12"/>
  <c r="AT92" i="12"/>
  <c r="CY92" i="12"/>
  <c r="AA92" i="12"/>
  <c r="CY128" i="12"/>
  <c r="DR128" i="12"/>
  <c r="CF128" i="12"/>
  <c r="FD128" i="12"/>
  <c r="BM128" i="12"/>
  <c r="EK128" i="12"/>
  <c r="AA128" i="12"/>
  <c r="AT128" i="12"/>
  <c r="EK217" i="12"/>
  <c r="CY217" i="12"/>
  <c r="CF217" i="12"/>
  <c r="FD217" i="12"/>
  <c r="DR217" i="12"/>
  <c r="AT217" i="12"/>
  <c r="AA217" i="12"/>
  <c r="BM217" i="12"/>
  <c r="EK33" i="12"/>
  <c r="CF33" i="12"/>
  <c r="FD33" i="12"/>
  <c r="AT33" i="12"/>
  <c r="DR33" i="12"/>
  <c r="AA33" i="12"/>
  <c r="CY33" i="12"/>
  <c r="BM33" i="12"/>
  <c r="BM65" i="12"/>
  <c r="DR65" i="12"/>
  <c r="AT65" i="12"/>
  <c r="CY65" i="12"/>
  <c r="AA65" i="12"/>
  <c r="FD65" i="12"/>
  <c r="CF65" i="12"/>
  <c r="EK65" i="12"/>
  <c r="DR91" i="12"/>
  <c r="CY91" i="12"/>
  <c r="AA91" i="12"/>
  <c r="CF91" i="12"/>
  <c r="FD91" i="12"/>
  <c r="BM91" i="12"/>
  <c r="AT91" i="12"/>
  <c r="EK91" i="12"/>
  <c r="AT162" i="12"/>
  <c r="CY162" i="12"/>
  <c r="DR162" i="12"/>
  <c r="CF162" i="12"/>
  <c r="FD162" i="12"/>
  <c r="AA162" i="12"/>
  <c r="BM162" i="12"/>
  <c r="EK162" i="12"/>
  <c r="CF209" i="12"/>
  <c r="AA209" i="12"/>
  <c r="EK209" i="12"/>
  <c r="AT209" i="12"/>
  <c r="DR209" i="12"/>
  <c r="CY209" i="12"/>
  <c r="FD209" i="12"/>
  <c r="BM209" i="12"/>
  <c r="AA99" i="12"/>
  <c r="CY99" i="12"/>
  <c r="DR99" i="12"/>
  <c r="BM99" i="12"/>
  <c r="EK99" i="12"/>
  <c r="AT99" i="12"/>
  <c r="CF99" i="12"/>
  <c r="FD99" i="12"/>
  <c r="CY125" i="12"/>
  <c r="CF125" i="12"/>
  <c r="FD125" i="12"/>
  <c r="AT125" i="12"/>
  <c r="DR125" i="12"/>
  <c r="EK125" i="12"/>
  <c r="AA125" i="12"/>
  <c r="BM125" i="12"/>
  <c r="BM236" i="12"/>
  <c r="DR236" i="12"/>
  <c r="AT236" i="12"/>
  <c r="CY236" i="12"/>
  <c r="AA236" i="12"/>
  <c r="FD236" i="12"/>
  <c r="CF236" i="12"/>
  <c r="EK236" i="12"/>
  <c r="DR43" i="12"/>
  <c r="AT43" i="12"/>
  <c r="CY43" i="12"/>
  <c r="AA43" i="12"/>
  <c r="BM43" i="12"/>
  <c r="EK43" i="12"/>
  <c r="CF43" i="12"/>
  <c r="FD43" i="12"/>
  <c r="EK73" i="12"/>
  <c r="BM73" i="12"/>
  <c r="DR73" i="12"/>
  <c r="AT73" i="12"/>
  <c r="CY73" i="12"/>
  <c r="AA73" i="12"/>
  <c r="FD73" i="12"/>
  <c r="CF73" i="12"/>
  <c r="EK105" i="12"/>
  <c r="FD105" i="12"/>
  <c r="BM105" i="12"/>
  <c r="AA105" i="12"/>
  <c r="CY105" i="12"/>
  <c r="AT105" i="12"/>
  <c r="CF105" i="12"/>
  <c r="DR105" i="12"/>
  <c r="FD122" i="12"/>
  <c r="BM122" i="12"/>
  <c r="EK122" i="12"/>
  <c r="AT122" i="12"/>
  <c r="AA122" i="12"/>
  <c r="CY122" i="12"/>
  <c r="DR122" i="12"/>
  <c r="CF122" i="12"/>
  <c r="DR144" i="12"/>
  <c r="CY144" i="12"/>
  <c r="FD144" i="12"/>
  <c r="EK144" i="12"/>
  <c r="BM144" i="12"/>
  <c r="AA144" i="12"/>
  <c r="CF144" i="12"/>
  <c r="AT144" i="12"/>
  <c r="CY359" i="12"/>
  <c r="EK359" i="12"/>
  <c r="CF359" i="12"/>
  <c r="AA359" i="12"/>
  <c r="AT359" i="12"/>
  <c r="DR359" i="12"/>
  <c r="BM359" i="12"/>
  <c r="FD359" i="12"/>
  <c r="BM227" i="12"/>
  <c r="DR227" i="12"/>
  <c r="FD227" i="12"/>
  <c r="EK227" i="12"/>
  <c r="AT227" i="12"/>
  <c r="CY227" i="12"/>
  <c r="AA227" i="12"/>
  <c r="CF227" i="12"/>
  <c r="CF194" i="12"/>
  <c r="BM194" i="12"/>
  <c r="AA194" i="12"/>
  <c r="EK194" i="12"/>
  <c r="DR194" i="12"/>
  <c r="CY194" i="12"/>
  <c r="AT194" i="12"/>
  <c r="FD194" i="12"/>
  <c r="BM203" i="12"/>
  <c r="DR203" i="12"/>
  <c r="AT203" i="12"/>
  <c r="CY203" i="12"/>
  <c r="AA203" i="12"/>
  <c r="FD203" i="12"/>
  <c r="CF203" i="12"/>
  <c r="EK203" i="12"/>
  <c r="DR240" i="12"/>
  <c r="AT240" i="12"/>
  <c r="CY240" i="12"/>
  <c r="AA240" i="12"/>
  <c r="FD240" i="12"/>
  <c r="CF240" i="12"/>
  <c r="EK240" i="12"/>
  <c r="BM240" i="12"/>
  <c r="FD268" i="12"/>
  <c r="AT268" i="12"/>
  <c r="DR268" i="12"/>
  <c r="AA268" i="12"/>
  <c r="CY268" i="12"/>
  <c r="CF268" i="12"/>
  <c r="BM268" i="12"/>
  <c r="EK268" i="12"/>
  <c r="DR247" i="12"/>
  <c r="BM247" i="12"/>
  <c r="CF247" i="12"/>
  <c r="EK247" i="12"/>
  <c r="FD247" i="12"/>
  <c r="AA247" i="12"/>
  <c r="CY247" i="12"/>
  <c r="AT247" i="12"/>
  <c r="FD278" i="12"/>
  <c r="DR278" i="12"/>
  <c r="AA278" i="12"/>
  <c r="BM278" i="12"/>
  <c r="CY278" i="12"/>
  <c r="CF278" i="12"/>
  <c r="EK278" i="12"/>
  <c r="AT278" i="12"/>
  <c r="AT210" i="12"/>
  <c r="FD210" i="12"/>
  <c r="DR210" i="12"/>
  <c r="CY210" i="12"/>
  <c r="EK210" i="12"/>
  <c r="AA210" i="12"/>
  <c r="BM210" i="12"/>
  <c r="CF210" i="12"/>
  <c r="EK294" i="12"/>
  <c r="CY294" i="12"/>
  <c r="FD294" i="12"/>
  <c r="CF294" i="12"/>
  <c r="DR294" i="12"/>
  <c r="AA294" i="12"/>
  <c r="AT294" i="12"/>
  <c r="BM294" i="12"/>
  <c r="EK332" i="12"/>
  <c r="DR332" i="12"/>
  <c r="AT332" i="12"/>
  <c r="CY332" i="12"/>
  <c r="AA332" i="12"/>
  <c r="BM332" i="12"/>
  <c r="FD332" i="12"/>
  <c r="CF332" i="12"/>
  <c r="CF266" i="12"/>
  <c r="EK266" i="12"/>
  <c r="AT266" i="12"/>
  <c r="AA266" i="12"/>
  <c r="DR266" i="12"/>
  <c r="BM266" i="12"/>
  <c r="CY266" i="12"/>
  <c r="FD266" i="12"/>
  <c r="DR351" i="12"/>
  <c r="BM351" i="12"/>
  <c r="AT351" i="12"/>
  <c r="EK351" i="12"/>
  <c r="CY351" i="12"/>
  <c r="AA351" i="12"/>
  <c r="FD351" i="12"/>
  <c r="CF351" i="12"/>
  <c r="BM267" i="12"/>
  <c r="DR267" i="12"/>
  <c r="AT267" i="12"/>
  <c r="CY267" i="12"/>
  <c r="AA267" i="12"/>
  <c r="FD267" i="12"/>
  <c r="CF267" i="12"/>
  <c r="EK267" i="12"/>
  <c r="EK283" i="12"/>
  <c r="CF283" i="12"/>
  <c r="AT283" i="12"/>
  <c r="AA283" i="12"/>
  <c r="CY283" i="12"/>
  <c r="DR283" i="12"/>
  <c r="FD283" i="12"/>
  <c r="BM283" i="12"/>
  <c r="AA321" i="12"/>
  <c r="DR321" i="12"/>
  <c r="FD321" i="12"/>
  <c r="CY321" i="12"/>
  <c r="AT321" i="12"/>
  <c r="BM321" i="12"/>
  <c r="EK321" i="12"/>
  <c r="CF321" i="12"/>
  <c r="BM280" i="12"/>
  <c r="AT280" i="12"/>
  <c r="EK280" i="12"/>
  <c r="CY280" i="12"/>
  <c r="AA280" i="12"/>
  <c r="DR280" i="12"/>
  <c r="FD280" i="12"/>
  <c r="CF280" i="12"/>
  <c r="FD344" i="12"/>
  <c r="AT344" i="12"/>
  <c r="DR344" i="12"/>
  <c r="EK344" i="12"/>
  <c r="AA344" i="12"/>
  <c r="CY344" i="12"/>
  <c r="BM344" i="12"/>
  <c r="CF344" i="12"/>
  <c r="CY305" i="12"/>
  <c r="DR305" i="12"/>
  <c r="CF305" i="12"/>
  <c r="EK305" i="12"/>
  <c r="BM305" i="12"/>
  <c r="FD305" i="12"/>
  <c r="AT305" i="12"/>
  <c r="AA305" i="12"/>
  <c r="F14" i="9"/>
  <c r="F15" i="9" s="1"/>
  <c r="FD16" i="12"/>
  <c r="CF16" i="12"/>
  <c r="AT16" i="12"/>
  <c r="BM16" i="12"/>
  <c r="AA16" i="12"/>
  <c r="CY16" i="12"/>
  <c r="EK16" i="12"/>
  <c r="DR16" i="12"/>
  <c r="AA76" i="12"/>
  <c r="CY76" i="12"/>
  <c r="DR76" i="12"/>
  <c r="CF76" i="12"/>
  <c r="FD76" i="12"/>
  <c r="EK76" i="12"/>
  <c r="BM76" i="12"/>
  <c r="AT76" i="12"/>
  <c r="FD185" i="12"/>
  <c r="EK185" i="12"/>
  <c r="DR185" i="12"/>
  <c r="AT185" i="12"/>
  <c r="CY185" i="12"/>
  <c r="CF185" i="12"/>
  <c r="AA185" i="12"/>
  <c r="BM185" i="12"/>
  <c r="BM150" i="12"/>
  <c r="DR150" i="12"/>
  <c r="AT150" i="12"/>
  <c r="CY150" i="12"/>
  <c r="AA150" i="12"/>
  <c r="FD150" i="12"/>
  <c r="CF150" i="12"/>
  <c r="EK150" i="12"/>
  <c r="AA34" i="12"/>
  <c r="FD34" i="12"/>
  <c r="CY34" i="12"/>
  <c r="CF34" i="12"/>
  <c r="BM34" i="12"/>
  <c r="EK34" i="12"/>
  <c r="AT34" i="12"/>
  <c r="DR34" i="12"/>
  <c r="EK208" i="12"/>
  <c r="DR208" i="12"/>
  <c r="CF208" i="12"/>
  <c r="BM208" i="12"/>
  <c r="AA208" i="12"/>
  <c r="FD208" i="12"/>
  <c r="CY208" i="12"/>
  <c r="AT208" i="12"/>
  <c r="FD49" i="12"/>
  <c r="EK49" i="12"/>
  <c r="CF49" i="12"/>
  <c r="AT49" i="12"/>
  <c r="DR49" i="12"/>
  <c r="AA49" i="12"/>
  <c r="BM49" i="12"/>
  <c r="CY49" i="12"/>
  <c r="DR40" i="12"/>
  <c r="BM40" i="12"/>
  <c r="EK40" i="12"/>
  <c r="CF40" i="12"/>
  <c r="FD40" i="12"/>
  <c r="AA40" i="12"/>
  <c r="AT40" i="12"/>
  <c r="CY40" i="12"/>
  <c r="CF71" i="12"/>
  <c r="CY71" i="12"/>
  <c r="FD71" i="12"/>
  <c r="AT71" i="12"/>
  <c r="DR71" i="12"/>
  <c r="EK71" i="12"/>
  <c r="AA71" i="12"/>
  <c r="BM71" i="12"/>
  <c r="FD140" i="12"/>
  <c r="BM140" i="12"/>
  <c r="EK140" i="12"/>
  <c r="AA140" i="12"/>
  <c r="CY140" i="12"/>
  <c r="CF140" i="12"/>
  <c r="DR140" i="12"/>
  <c r="AT140" i="12"/>
  <c r="EK101" i="12"/>
  <c r="FD101" i="12"/>
  <c r="BM101" i="12"/>
  <c r="AT101" i="12"/>
  <c r="DR101" i="12"/>
  <c r="CF101" i="12"/>
  <c r="AA101" i="12"/>
  <c r="CY101" i="12"/>
  <c r="EK44" i="12"/>
  <c r="DR44" i="12"/>
  <c r="BM44" i="12"/>
  <c r="CY44" i="12"/>
  <c r="AT44" i="12"/>
  <c r="CF44" i="12"/>
  <c r="FD44" i="12"/>
  <c r="AA44" i="12"/>
  <c r="BM74" i="12"/>
  <c r="FD74" i="12"/>
  <c r="AT74" i="12"/>
  <c r="EK74" i="12"/>
  <c r="AA74" i="12"/>
  <c r="DR74" i="12"/>
  <c r="CY74" i="12"/>
  <c r="CF74" i="12"/>
  <c r="BM168" i="12"/>
  <c r="CF168" i="12"/>
  <c r="CY168" i="12"/>
  <c r="FD168" i="12"/>
  <c r="EK168" i="12"/>
  <c r="DR168" i="12"/>
  <c r="AT168" i="12"/>
  <c r="AA168" i="12"/>
  <c r="FD82" i="12"/>
  <c r="BM82" i="12"/>
  <c r="CF82" i="12"/>
  <c r="AT82" i="12"/>
  <c r="DR82" i="12"/>
  <c r="CY82" i="12"/>
  <c r="EK82" i="12"/>
  <c r="AA82" i="12"/>
  <c r="BM134" i="12"/>
  <c r="AT134" i="12"/>
  <c r="DR134" i="12"/>
  <c r="AA134" i="12"/>
  <c r="CY134" i="12"/>
  <c r="FD134" i="12"/>
  <c r="EK134" i="12"/>
  <c r="CF134" i="12"/>
  <c r="FD50" i="12"/>
  <c r="CY50" i="12"/>
  <c r="AA50" i="12"/>
  <c r="AT50" i="12"/>
  <c r="CF50" i="12"/>
  <c r="DR50" i="12"/>
  <c r="BM50" i="12"/>
  <c r="EK50" i="12"/>
  <c r="CY107" i="12"/>
  <c r="AA107" i="12"/>
  <c r="DR107" i="12"/>
  <c r="AT107" i="12"/>
  <c r="CF107" i="12"/>
  <c r="FD107" i="12"/>
  <c r="BM107" i="12"/>
  <c r="EK107" i="12"/>
  <c r="AA166" i="12"/>
  <c r="DR166" i="12"/>
  <c r="FD166" i="12"/>
  <c r="EK166" i="12"/>
  <c r="AT166" i="12"/>
  <c r="CY166" i="12"/>
  <c r="BM166" i="12"/>
  <c r="CF166" i="12"/>
  <c r="FD96" i="12"/>
  <c r="CF96" i="12"/>
  <c r="EK96" i="12"/>
  <c r="BM96" i="12"/>
  <c r="DR96" i="12"/>
  <c r="AT96" i="12"/>
  <c r="CY96" i="12"/>
  <c r="AA96" i="12"/>
  <c r="FD153" i="12"/>
  <c r="CY153" i="12"/>
  <c r="AA153" i="12"/>
  <c r="AT153" i="12"/>
  <c r="BM153" i="12"/>
  <c r="DR153" i="12"/>
  <c r="EK153" i="12"/>
  <c r="CF153" i="12"/>
  <c r="CY197" i="12"/>
  <c r="EK197" i="12"/>
  <c r="AA197" i="12"/>
  <c r="AT197" i="12"/>
  <c r="CF197" i="12"/>
  <c r="DR197" i="12"/>
  <c r="FD197" i="12"/>
  <c r="BM197" i="12"/>
  <c r="FD196" i="12"/>
  <c r="AA196" i="12"/>
  <c r="BM196" i="12"/>
  <c r="CY196" i="12"/>
  <c r="EK196" i="12"/>
  <c r="AT196" i="12"/>
  <c r="DR196" i="12"/>
  <c r="CF196" i="12"/>
  <c r="DR339" i="12"/>
  <c r="AA339" i="12"/>
  <c r="FD339" i="12"/>
  <c r="CF339" i="12"/>
  <c r="EK339" i="12"/>
  <c r="BM339" i="12"/>
  <c r="AT339" i="12"/>
  <c r="CY339" i="12"/>
  <c r="EK250" i="12"/>
  <c r="AT250" i="12"/>
  <c r="CF250" i="12"/>
  <c r="CY250" i="12"/>
  <c r="FD250" i="12"/>
  <c r="DR250" i="12"/>
  <c r="BM250" i="12"/>
  <c r="AA250" i="12"/>
  <c r="FD362" i="12"/>
  <c r="CF362" i="12"/>
  <c r="EK362" i="12"/>
  <c r="BM362" i="12"/>
  <c r="DR362" i="12"/>
  <c r="AT362" i="12"/>
  <c r="CY362" i="12"/>
  <c r="AA362" i="12"/>
  <c r="CF238" i="12"/>
  <c r="FD238" i="12"/>
  <c r="CY238" i="12"/>
  <c r="BM238" i="12"/>
  <c r="EK238" i="12"/>
  <c r="AT238" i="12"/>
  <c r="AA238" i="12"/>
  <c r="DR238" i="12"/>
  <c r="EK298" i="12"/>
  <c r="CY298" i="12"/>
  <c r="CF298" i="12"/>
  <c r="AT298" i="12"/>
  <c r="DR298" i="12"/>
  <c r="AA298" i="12"/>
  <c r="BM298" i="12"/>
  <c r="FD298" i="12"/>
  <c r="AA299" i="12"/>
  <c r="FD299" i="12"/>
  <c r="CF299" i="12"/>
  <c r="EK299" i="12"/>
  <c r="BM299" i="12"/>
  <c r="DR299" i="12"/>
  <c r="AT299" i="12"/>
  <c r="CY299" i="12"/>
  <c r="AA354" i="12"/>
  <c r="FD354" i="12"/>
  <c r="CY354" i="12"/>
  <c r="EK354" i="12"/>
  <c r="DR354" i="12"/>
  <c r="AT354" i="12"/>
  <c r="BM354" i="12"/>
  <c r="CF354" i="12"/>
  <c r="EK292" i="12"/>
  <c r="DR292" i="12"/>
  <c r="AT292" i="12"/>
  <c r="CY292" i="12"/>
  <c r="AA292" i="12"/>
  <c r="BM292" i="12"/>
  <c r="FD292" i="12"/>
  <c r="CF292" i="12"/>
  <c r="FD356" i="12"/>
  <c r="CF356" i="12"/>
  <c r="EK356" i="12"/>
  <c r="DR356" i="12"/>
  <c r="AT356" i="12"/>
  <c r="AA356" i="12"/>
  <c r="CY356" i="12"/>
  <c r="BM356" i="12"/>
  <c r="DR287" i="12"/>
  <c r="EK287" i="12"/>
  <c r="FD287" i="12"/>
  <c r="CF287" i="12"/>
  <c r="AA287" i="12"/>
  <c r="BM287" i="12"/>
  <c r="AT287" i="12"/>
  <c r="CY287" i="12"/>
  <c r="EK335" i="12"/>
  <c r="BM335" i="12"/>
  <c r="DR335" i="12"/>
  <c r="AT335" i="12"/>
  <c r="CY335" i="12"/>
  <c r="AA335" i="12"/>
  <c r="FD335" i="12"/>
  <c r="CF335" i="12"/>
  <c r="DR220" i="12"/>
  <c r="CY220" i="12"/>
  <c r="BM220" i="12"/>
  <c r="EK220" i="12"/>
  <c r="AA220" i="12"/>
  <c r="AT220" i="12"/>
  <c r="CF220" i="12"/>
  <c r="FD220" i="12"/>
  <c r="CF20" i="12"/>
  <c r="DR20" i="12"/>
  <c r="AA20" i="12"/>
  <c r="FD20" i="12"/>
  <c r="CY20" i="12"/>
  <c r="AT20" i="12"/>
  <c r="EK20" i="12"/>
  <c r="BM20" i="12"/>
  <c r="AA15" i="12"/>
  <c r="FD15" i="12"/>
  <c r="CY15" i="12"/>
  <c r="AT15" i="12"/>
  <c r="DR15" i="12"/>
  <c r="BM15" i="12"/>
  <c r="EK15" i="12"/>
  <c r="CF15" i="12"/>
  <c r="FD198" i="12"/>
  <c r="CF198" i="12"/>
  <c r="EK198" i="12"/>
  <c r="BM198" i="12"/>
  <c r="DR198" i="12"/>
  <c r="AT198" i="12"/>
  <c r="CY198" i="12"/>
  <c r="AA198" i="12"/>
  <c r="CF75" i="12"/>
  <c r="FD75" i="12"/>
  <c r="CY75" i="12"/>
  <c r="AT75" i="12"/>
  <c r="DR75" i="12"/>
  <c r="BM75" i="12"/>
  <c r="EK75" i="12"/>
  <c r="AA75" i="12"/>
  <c r="AT164" i="12"/>
  <c r="CF164" i="12"/>
  <c r="FD164" i="12"/>
  <c r="AA164" i="12"/>
  <c r="CY164" i="12"/>
  <c r="BM164" i="12"/>
  <c r="EK164" i="12"/>
  <c r="DR164" i="12"/>
  <c r="AT104" i="12"/>
  <c r="CY104" i="12"/>
  <c r="AA104" i="12"/>
  <c r="FD104" i="12"/>
  <c r="CF104" i="12"/>
  <c r="EK104" i="12"/>
  <c r="BM104" i="12"/>
  <c r="DR104" i="12"/>
  <c r="EK224" i="12"/>
  <c r="CY224" i="12"/>
  <c r="BM224" i="12"/>
  <c r="FD224" i="12"/>
  <c r="AT224" i="12"/>
  <c r="CF224" i="12"/>
  <c r="AA224" i="12"/>
  <c r="DR224" i="12"/>
  <c r="CY118" i="12"/>
  <c r="AA118" i="12"/>
  <c r="AT118" i="12"/>
  <c r="DR118" i="12"/>
  <c r="BM118" i="12"/>
  <c r="CF118" i="12"/>
  <c r="EK118" i="12"/>
  <c r="FD118" i="12"/>
  <c r="CY141" i="12"/>
  <c r="CF141" i="12"/>
  <c r="FD141" i="12"/>
  <c r="DR141" i="12"/>
  <c r="EK141" i="12"/>
  <c r="AA141" i="12"/>
  <c r="AT141" i="12"/>
  <c r="BM141" i="12"/>
  <c r="FD229" i="12"/>
  <c r="DR229" i="12"/>
  <c r="CF229" i="12"/>
  <c r="EK229" i="12"/>
  <c r="AA229" i="12"/>
  <c r="BM229" i="12"/>
  <c r="CY229" i="12"/>
  <c r="AT229" i="12"/>
  <c r="AT39" i="12"/>
  <c r="DR39" i="12"/>
  <c r="CY39" i="12"/>
  <c r="BM39" i="12"/>
  <c r="EK39" i="12"/>
  <c r="CF39" i="12"/>
  <c r="FD39" i="12"/>
  <c r="AA39" i="12"/>
  <c r="FD70" i="12"/>
  <c r="AA70" i="12"/>
  <c r="CY70" i="12"/>
  <c r="CF70" i="12"/>
  <c r="BM70" i="12"/>
  <c r="EK70" i="12"/>
  <c r="AT70" i="12"/>
  <c r="DR70" i="12"/>
  <c r="EK275" i="12"/>
  <c r="BM275" i="12"/>
  <c r="DR275" i="12"/>
  <c r="AT275" i="12"/>
  <c r="CY275" i="12"/>
  <c r="AA275" i="12"/>
  <c r="FD275" i="12"/>
  <c r="CF275" i="12"/>
  <c r="EK81" i="12"/>
  <c r="BM81" i="12"/>
  <c r="DR81" i="12"/>
  <c r="AT81" i="12"/>
  <c r="CY81" i="12"/>
  <c r="AA81" i="12"/>
  <c r="FD81" i="12"/>
  <c r="CF81" i="12"/>
  <c r="AT112" i="12"/>
  <c r="DR112" i="12"/>
  <c r="CY112" i="12"/>
  <c r="AA112" i="12"/>
  <c r="FD112" i="12"/>
  <c r="CF112" i="12"/>
  <c r="EK112" i="12"/>
  <c r="BM112" i="12"/>
  <c r="EK136" i="12"/>
  <c r="AA136" i="12"/>
  <c r="CY136" i="12"/>
  <c r="DR136" i="12"/>
  <c r="FD136" i="12"/>
  <c r="BM136" i="12"/>
  <c r="CF136" i="12"/>
  <c r="AT136" i="12"/>
  <c r="EK173" i="12"/>
  <c r="CF173" i="12"/>
  <c r="FD173" i="12"/>
  <c r="DR173" i="12"/>
  <c r="AT173" i="12"/>
  <c r="CY173" i="12"/>
  <c r="AA173" i="12"/>
  <c r="BM173" i="12"/>
  <c r="AA254" i="12"/>
  <c r="CY254" i="12"/>
  <c r="DR254" i="12"/>
  <c r="CF254" i="12"/>
  <c r="FD254" i="12"/>
  <c r="AT254" i="12"/>
  <c r="EK254" i="12"/>
  <c r="BM254" i="12"/>
  <c r="AA56" i="12"/>
  <c r="DR56" i="12"/>
  <c r="EK56" i="12"/>
  <c r="CY56" i="12"/>
  <c r="BM56" i="12"/>
  <c r="FD56" i="12"/>
  <c r="CF56" i="12"/>
  <c r="AT56" i="12"/>
  <c r="DR135" i="12"/>
  <c r="CY135" i="12"/>
  <c r="CF135" i="12"/>
  <c r="BM135" i="12"/>
  <c r="EK135" i="12"/>
  <c r="AT135" i="12"/>
  <c r="FD135" i="12"/>
  <c r="AA135" i="12"/>
  <c r="CY80" i="12"/>
  <c r="DR80" i="12"/>
  <c r="CF80" i="12"/>
  <c r="FD80" i="12"/>
  <c r="AA80" i="12"/>
  <c r="BM80" i="12"/>
  <c r="AT80" i="12"/>
  <c r="EK80" i="12"/>
  <c r="BM167" i="12"/>
  <c r="CF167" i="12"/>
  <c r="DR167" i="12"/>
  <c r="FD167" i="12"/>
  <c r="AT167" i="12"/>
  <c r="CY167" i="12"/>
  <c r="AA167" i="12"/>
  <c r="EK167" i="12"/>
  <c r="FD219" i="12"/>
  <c r="EK219" i="12"/>
  <c r="BM219" i="12"/>
  <c r="DR219" i="12"/>
  <c r="CF219" i="12"/>
  <c r="AT219" i="12"/>
  <c r="CY219" i="12"/>
  <c r="AA219" i="12"/>
  <c r="EK37" i="12"/>
  <c r="BM37" i="12"/>
  <c r="CF37" i="12"/>
  <c r="FD37" i="12"/>
  <c r="AT37" i="12"/>
  <c r="DR37" i="12"/>
  <c r="AA37" i="12"/>
  <c r="CY37" i="12"/>
  <c r="FD72" i="12"/>
  <c r="AA72" i="12"/>
  <c r="DR72" i="12"/>
  <c r="CY72" i="12"/>
  <c r="BM72" i="12"/>
  <c r="CF72" i="12"/>
  <c r="EK72" i="12"/>
  <c r="AT72" i="12"/>
  <c r="AT206" i="12"/>
  <c r="EK206" i="12"/>
  <c r="FD206" i="12"/>
  <c r="CY206" i="12"/>
  <c r="DR206" i="12"/>
  <c r="AA206" i="12"/>
  <c r="BM206" i="12"/>
  <c r="CF206" i="12"/>
  <c r="CY205" i="12"/>
  <c r="EK205" i="12"/>
  <c r="FD205" i="12"/>
  <c r="AT205" i="12"/>
  <c r="DR205" i="12"/>
  <c r="CF205" i="12"/>
  <c r="AA205" i="12"/>
  <c r="BM205" i="12"/>
  <c r="DR244" i="12"/>
  <c r="AT244" i="12"/>
  <c r="CY244" i="12"/>
  <c r="AA244" i="12"/>
  <c r="FD244" i="12"/>
  <c r="CF244" i="12"/>
  <c r="EK244" i="12"/>
  <c r="BM244" i="12"/>
  <c r="FD204" i="12"/>
  <c r="AA204" i="12"/>
  <c r="CY204" i="12"/>
  <c r="BM204" i="12"/>
  <c r="EK204" i="12"/>
  <c r="CF204" i="12"/>
  <c r="AT204" i="12"/>
  <c r="DR204" i="12"/>
  <c r="CY338" i="12"/>
  <c r="CF338" i="12"/>
  <c r="BM338" i="12"/>
  <c r="AA338" i="12"/>
  <c r="DR338" i="12"/>
  <c r="EK338" i="12"/>
  <c r="AT338" i="12"/>
  <c r="FD338" i="12"/>
  <c r="FD222" i="12"/>
  <c r="AT222" i="12"/>
  <c r="DR222" i="12"/>
  <c r="AA222" i="12"/>
  <c r="CY222" i="12"/>
  <c r="CF222" i="12"/>
  <c r="EK222" i="12"/>
  <c r="BM222" i="12"/>
  <c r="FD225" i="12"/>
  <c r="CF225" i="12"/>
  <c r="DR225" i="12"/>
  <c r="CY225" i="12"/>
  <c r="BM225" i="12"/>
  <c r="AA225" i="12"/>
  <c r="EK225" i="12"/>
  <c r="AT225" i="12"/>
  <c r="AA255" i="12"/>
  <c r="FD255" i="12"/>
  <c r="CY255" i="12"/>
  <c r="AT255" i="12"/>
  <c r="DR255" i="12"/>
  <c r="BM255" i="12"/>
  <c r="EK255" i="12"/>
  <c r="CF255" i="12"/>
  <c r="AT303" i="12"/>
  <c r="EK303" i="12"/>
  <c r="AA303" i="12"/>
  <c r="FD303" i="12"/>
  <c r="CY303" i="12"/>
  <c r="CF303" i="12"/>
  <c r="BM303" i="12"/>
  <c r="DR303" i="12"/>
  <c r="DR276" i="12"/>
  <c r="AT276" i="12"/>
  <c r="FD276" i="12"/>
  <c r="EK276" i="12"/>
  <c r="CF276" i="12"/>
  <c r="CY276" i="12"/>
  <c r="AA276" i="12"/>
  <c r="BM276" i="12"/>
  <c r="AT347" i="12"/>
  <c r="CF347" i="12"/>
  <c r="AA347" i="12"/>
  <c r="CY347" i="12"/>
  <c r="DR347" i="12"/>
  <c r="EK347" i="12"/>
  <c r="FD347" i="12"/>
  <c r="BM347" i="12"/>
  <c r="BM307" i="12"/>
  <c r="CY307" i="12"/>
  <c r="FD307" i="12"/>
  <c r="AT307" i="12"/>
  <c r="DR307" i="12"/>
  <c r="EK307" i="12"/>
  <c r="AA307" i="12"/>
  <c r="CF307" i="12"/>
  <c r="DR329" i="12"/>
  <c r="AT329" i="12"/>
  <c r="CY329" i="12"/>
  <c r="AA329" i="12"/>
  <c r="FD329" i="12"/>
  <c r="CF329" i="12"/>
  <c r="EK329" i="12"/>
  <c r="BM329" i="12"/>
  <c r="CY273" i="12"/>
  <c r="CF273" i="12"/>
  <c r="AT273" i="12"/>
  <c r="DR273" i="12"/>
  <c r="FD273" i="12"/>
  <c r="BM273" i="12"/>
  <c r="AA273" i="12"/>
  <c r="EK273" i="12"/>
  <c r="EK297" i="12"/>
  <c r="DR297" i="12"/>
  <c r="CF297" i="12"/>
  <c r="BM297" i="12"/>
  <c r="CY297" i="12"/>
  <c r="AA297" i="12"/>
  <c r="FD297" i="12"/>
  <c r="AT297" i="12"/>
  <c r="FD358" i="12"/>
  <c r="BM358" i="12"/>
  <c r="DR358" i="12"/>
  <c r="AT358" i="12"/>
  <c r="EK358" i="12"/>
  <c r="AA358" i="12"/>
  <c r="CY358" i="12"/>
  <c r="CF358" i="12"/>
  <c r="FD336" i="12"/>
  <c r="BM336" i="12"/>
  <c r="EK336" i="12"/>
  <c r="AA336" i="12"/>
  <c r="CY336" i="12"/>
  <c r="AT336" i="12"/>
  <c r="DR336" i="12"/>
  <c r="CF336" i="12"/>
  <c r="CY279" i="12"/>
  <c r="EK279" i="12"/>
  <c r="CF279" i="12"/>
  <c r="AT279" i="12"/>
  <c r="FD279" i="12"/>
  <c r="AA279" i="12"/>
  <c r="DR279" i="12"/>
  <c r="BM279" i="12"/>
  <c r="BM340" i="12"/>
  <c r="FD340" i="12"/>
  <c r="EK340" i="12"/>
  <c r="AT340" i="12"/>
  <c r="AA340" i="12"/>
  <c r="DR340" i="12"/>
  <c r="CY340" i="12"/>
  <c r="CF340" i="12"/>
  <c r="CF286" i="12"/>
  <c r="FD286" i="12"/>
  <c r="AA286" i="12"/>
  <c r="CY286" i="12"/>
  <c r="BM286" i="12"/>
  <c r="EK286" i="12"/>
  <c r="DR286" i="12"/>
  <c r="AT286" i="12"/>
  <c r="AT315" i="12"/>
  <c r="CY315" i="12"/>
  <c r="AA315" i="12"/>
  <c r="FD315" i="12"/>
  <c r="CF315" i="12"/>
  <c r="EK315" i="12"/>
  <c r="BM315" i="12"/>
  <c r="DR315" i="12"/>
  <c r="EK348" i="12"/>
  <c r="BM348" i="12"/>
  <c r="CY348" i="12"/>
  <c r="AA348" i="12"/>
  <c r="CF348" i="12"/>
  <c r="FD348" i="12"/>
  <c r="AT348" i="12"/>
  <c r="DR348" i="12"/>
  <c r="F16" i="9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F109" i="9" s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F141" i="9" s="1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F168" i="9" s="1"/>
  <c r="F169" i="9" s="1"/>
  <c r="F170" i="9" s="1"/>
  <c r="F171" i="9" s="1"/>
  <c r="F172" i="9" s="1"/>
  <c r="F173" i="9" s="1"/>
  <c r="F174" i="9" s="1"/>
  <c r="F175" i="9" s="1"/>
  <c r="F176" i="9" s="1"/>
  <c r="F177" i="9" s="1"/>
  <c r="F178" i="9" s="1"/>
  <c r="F179" i="9" s="1"/>
  <c r="F180" i="9" s="1"/>
  <c r="F181" i="9" s="1"/>
  <c r="F182" i="9" s="1"/>
  <c r="F183" i="9" s="1"/>
  <c r="F184" i="9" s="1"/>
  <c r="F185" i="9" s="1"/>
  <c r="F186" i="9" s="1"/>
  <c r="F187" i="9" s="1"/>
  <c r="F188" i="9" s="1"/>
  <c r="F189" i="9" s="1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F210" i="9" s="1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F221" i="9" s="1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F246" i="9" s="1"/>
  <c r="F247" i="9" s="1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F291" i="9" s="1"/>
  <c r="F292" i="9" s="1"/>
  <c r="F293" i="9" s="1"/>
  <c r="F294" i="9" s="1"/>
  <c r="F295" i="9" s="1"/>
  <c r="F296" i="9" s="1"/>
  <c r="F297" i="9" s="1"/>
  <c r="F298" i="9" s="1"/>
  <c r="F299" i="9" s="1"/>
  <c r="F300" i="9" s="1"/>
  <c r="F301" i="9" s="1"/>
  <c r="F302" i="9" s="1"/>
  <c r="F303" i="9" s="1"/>
  <c r="F304" i="9" s="1"/>
  <c r="F305" i="9" s="1"/>
  <c r="F306" i="9" s="1"/>
  <c r="F307" i="9" s="1"/>
  <c r="F308" i="9" s="1"/>
  <c r="F309" i="9" s="1"/>
  <c r="F310" i="9" s="1"/>
  <c r="F311" i="9" s="1"/>
  <c r="F312" i="9" s="1"/>
  <c r="F313" i="9" s="1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F334" i="9" s="1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F353" i="9" s="1"/>
  <c r="F354" i="9" s="1"/>
  <c r="F355" i="9" s="1"/>
  <c r="F356" i="9" s="1"/>
  <c r="F357" i="9" s="1"/>
  <c r="F358" i="9" s="1"/>
  <c r="F359" i="9" s="1"/>
  <c r="F360" i="9" s="1"/>
  <c r="F361" i="9" s="1"/>
  <c r="F362" i="9" s="1"/>
  <c r="F363" i="9" s="1"/>
  <c r="C14" i="9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C189" i="9" s="1"/>
  <c r="C190" i="9" s="1"/>
  <c r="C191" i="9" s="1"/>
  <c r="C192" i="9" s="1"/>
  <c r="C193" i="9" s="1"/>
  <c r="C194" i="9" s="1"/>
  <c r="C195" i="9" s="1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C209" i="9" s="1"/>
  <c r="C210" i="9" s="1"/>
  <c r="C211" i="9" s="1"/>
  <c r="C212" i="9" s="1"/>
  <c r="C213" i="9" s="1"/>
  <c r="C214" i="9" s="1"/>
  <c r="C215" i="9" s="1"/>
  <c r="C216" i="9" s="1"/>
  <c r="C217" i="9" s="1"/>
  <c r="C218" i="9" s="1"/>
  <c r="C219" i="9" s="1"/>
  <c r="C220" i="9" s="1"/>
  <c r="C221" i="9" s="1"/>
  <c r="C222" i="9" s="1"/>
  <c r="C223" i="9" s="1"/>
  <c r="C224" i="9" s="1"/>
  <c r="C225" i="9" s="1"/>
  <c r="C226" i="9" s="1"/>
  <c r="C227" i="9" s="1"/>
  <c r="C228" i="9" s="1"/>
  <c r="C229" i="9" s="1"/>
  <c r="C230" i="9" s="1"/>
  <c r="C231" i="9" s="1"/>
  <c r="C232" i="9" s="1"/>
  <c r="C233" i="9" s="1"/>
  <c r="C234" i="9" s="1"/>
  <c r="C235" i="9" s="1"/>
  <c r="C236" i="9" s="1"/>
  <c r="C237" i="9" s="1"/>
  <c r="C238" i="9" s="1"/>
  <c r="C239" i="9" s="1"/>
  <c r="C240" i="9" s="1"/>
  <c r="C241" i="9" s="1"/>
  <c r="C242" i="9" s="1"/>
  <c r="C243" i="9" s="1"/>
  <c r="C244" i="9" s="1"/>
  <c r="C245" i="9" s="1"/>
  <c r="C246" i="9" s="1"/>
  <c r="C247" i="9" s="1"/>
  <c r="C248" i="9" s="1"/>
  <c r="C249" i="9" s="1"/>
  <c r="C250" i="9" s="1"/>
  <c r="C251" i="9" s="1"/>
  <c r="C252" i="9" s="1"/>
  <c r="C253" i="9" s="1"/>
  <c r="C254" i="9" s="1"/>
  <c r="C255" i="9" s="1"/>
  <c r="C256" i="9" s="1"/>
  <c r="C257" i="9" s="1"/>
  <c r="C258" i="9" s="1"/>
  <c r="C259" i="9" s="1"/>
  <c r="C260" i="9" s="1"/>
  <c r="C261" i="9" s="1"/>
  <c r="C262" i="9" s="1"/>
  <c r="C263" i="9" s="1"/>
  <c r="C264" i="9" s="1"/>
  <c r="C265" i="9" s="1"/>
  <c r="C266" i="9" s="1"/>
  <c r="C267" i="9" s="1"/>
  <c r="C268" i="9" s="1"/>
  <c r="C269" i="9" s="1"/>
  <c r="C270" i="9" s="1"/>
  <c r="C271" i="9" s="1"/>
  <c r="C272" i="9" s="1"/>
  <c r="C273" i="9" s="1"/>
  <c r="C274" i="9" s="1"/>
  <c r="C275" i="9" s="1"/>
  <c r="C276" i="9" s="1"/>
  <c r="C277" i="9" s="1"/>
  <c r="C278" i="9" s="1"/>
  <c r="C279" i="9" s="1"/>
  <c r="C280" i="9" s="1"/>
  <c r="C281" i="9" s="1"/>
  <c r="C282" i="9" s="1"/>
  <c r="C283" i="9" s="1"/>
  <c r="C284" i="9" s="1"/>
  <c r="C285" i="9" s="1"/>
  <c r="C286" i="9" s="1"/>
  <c r="C287" i="9" s="1"/>
  <c r="C288" i="9" s="1"/>
  <c r="C289" i="9" s="1"/>
  <c r="C290" i="9" s="1"/>
  <c r="C291" i="9" s="1"/>
  <c r="C292" i="9" s="1"/>
  <c r="C293" i="9" s="1"/>
  <c r="C294" i="9" s="1"/>
  <c r="C295" i="9" s="1"/>
  <c r="C296" i="9" s="1"/>
  <c r="C297" i="9" s="1"/>
  <c r="C298" i="9" s="1"/>
  <c r="C299" i="9" s="1"/>
  <c r="C300" i="9" s="1"/>
  <c r="C301" i="9" s="1"/>
  <c r="C302" i="9" s="1"/>
  <c r="C303" i="9" s="1"/>
  <c r="C304" i="9" s="1"/>
  <c r="C305" i="9" s="1"/>
  <c r="C306" i="9" s="1"/>
  <c r="C307" i="9" s="1"/>
  <c r="C308" i="9" s="1"/>
  <c r="C309" i="9" s="1"/>
  <c r="C310" i="9" s="1"/>
  <c r="C311" i="9" s="1"/>
  <c r="C312" i="9" s="1"/>
  <c r="C313" i="9" s="1"/>
  <c r="C314" i="9" s="1"/>
  <c r="C315" i="9" s="1"/>
  <c r="C316" i="9" s="1"/>
  <c r="C317" i="9" s="1"/>
  <c r="C318" i="9" s="1"/>
  <c r="C319" i="9" s="1"/>
  <c r="C320" i="9" s="1"/>
  <c r="C321" i="9" s="1"/>
  <c r="C322" i="9" s="1"/>
  <c r="C323" i="9" s="1"/>
  <c r="C324" i="9" s="1"/>
  <c r="C325" i="9" s="1"/>
  <c r="C326" i="9" s="1"/>
  <c r="C327" i="9" s="1"/>
  <c r="C328" i="9" s="1"/>
  <c r="C329" i="9" s="1"/>
  <c r="C330" i="9" s="1"/>
  <c r="C331" i="9" s="1"/>
  <c r="C332" i="9" s="1"/>
  <c r="C333" i="9" s="1"/>
  <c r="C334" i="9" s="1"/>
  <c r="C335" i="9" s="1"/>
  <c r="C336" i="9" s="1"/>
  <c r="C337" i="9" s="1"/>
  <c r="C338" i="9" s="1"/>
  <c r="C339" i="9" s="1"/>
  <c r="C340" i="9" s="1"/>
  <c r="C341" i="9" s="1"/>
  <c r="C342" i="9" s="1"/>
  <c r="C343" i="9" s="1"/>
  <c r="C344" i="9" s="1"/>
  <c r="C345" i="9" s="1"/>
  <c r="C346" i="9" s="1"/>
  <c r="C347" i="9" s="1"/>
  <c r="C348" i="9" s="1"/>
  <c r="C349" i="9" s="1"/>
  <c r="C350" i="9" s="1"/>
  <c r="C351" i="9" s="1"/>
  <c r="C352" i="9" s="1"/>
  <c r="C353" i="9" s="1"/>
  <c r="C354" i="9" s="1"/>
  <c r="C355" i="9" s="1"/>
  <c r="C356" i="9" s="1"/>
  <c r="C357" i="9" s="1"/>
  <c r="C358" i="9" s="1"/>
  <c r="C359" i="9" s="1"/>
  <c r="C360" i="9" s="1"/>
  <c r="C361" i="9" s="1"/>
  <c r="C362" i="9" s="1"/>
  <c r="C363" i="9" s="1"/>
  <c r="D14" i="9"/>
  <c r="D15" i="9" s="1"/>
  <c r="AA52" i="12"/>
  <c r="CY52" i="12"/>
  <c r="DR52" i="12"/>
  <c r="BM52" i="12"/>
  <c r="EK52" i="12"/>
  <c r="CF52" i="12"/>
  <c r="FD52" i="12"/>
  <c r="AT52" i="12"/>
  <c r="AA165" i="12"/>
  <c r="CF165" i="12"/>
  <c r="FD165" i="12"/>
  <c r="AT165" i="12"/>
  <c r="EK165" i="12"/>
  <c r="CY165" i="12"/>
  <c r="DR165" i="12"/>
  <c r="BM165" i="12"/>
  <c r="FD66" i="12"/>
  <c r="BM66" i="12"/>
  <c r="EK66" i="12"/>
  <c r="AA66" i="12"/>
  <c r="AT66" i="12"/>
  <c r="CF66" i="12"/>
  <c r="DR66" i="12"/>
  <c r="CY66" i="12"/>
  <c r="DR84" i="12"/>
  <c r="AT84" i="12"/>
  <c r="EK84" i="12"/>
  <c r="BM84" i="12"/>
  <c r="CY84" i="12"/>
  <c r="AA84" i="12"/>
  <c r="FD84" i="12"/>
  <c r="CF84" i="12"/>
  <c r="FD169" i="12"/>
  <c r="EK169" i="12"/>
  <c r="BM169" i="12"/>
  <c r="AA169" i="12"/>
  <c r="DR169" i="12"/>
  <c r="CY169" i="12"/>
  <c r="AT169" i="12"/>
  <c r="CF169" i="12"/>
  <c r="EK130" i="12"/>
  <c r="FD130" i="12"/>
  <c r="DR130" i="12"/>
  <c r="BM130" i="12"/>
  <c r="AA130" i="12"/>
  <c r="AT130" i="12"/>
  <c r="CY130" i="12"/>
  <c r="CF130" i="12"/>
  <c r="BM78" i="12"/>
  <c r="EK78" i="12"/>
  <c r="AT78" i="12"/>
  <c r="DR78" i="12"/>
  <c r="FD78" i="12"/>
  <c r="AA78" i="12"/>
  <c r="CY78" i="12"/>
  <c r="CF78" i="12"/>
  <c r="CY47" i="12"/>
  <c r="DR47" i="12"/>
  <c r="AT47" i="12"/>
  <c r="BM47" i="12"/>
  <c r="EK47" i="12"/>
  <c r="AA47" i="12"/>
  <c r="CF47" i="12"/>
  <c r="FD47" i="12"/>
  <c r="AA119" i="12"/>
  <c r="DR119" i="12"/>
  <c r="CY119" i="12"/>
  <c r="AT119" i="12"/>
  <c r="BM119" i="12"/>
  <c r="EK119" i="12"/>
  <c r="CF119" i="12"/>
  <c r="FD119" i="12"/>
  <c r="FD114" i="12"/>
  <c r="AA114" i="12"/>
  <c r="CY114" i="12"/>
  <c r="EK114" i="12"/>
  <c r="BM114" i="12"/>
  <c r="DR114" i="12"/>
  <c r="AT114" i="12"/>
  <c r="CF114" i="12"/>
  <c r="CF148" i="12"/>
  <c r="BM148" i="12"/>
  <c r="DR148" i="12"/>
  <c r="AT148" i="12"/>
  <c r="CY148" i="12"/>
  <c r="AA148" i="12"/>
  <c r="FD148" i="12"/>
  <c r="EK148" i="12"/>
  <c r="CF51" i="12"/>
  <c r="CY51" i="12"/>
  <c r="AA51" i="12"/>
  <c r="EK51" i="12"/>
  <c r="BM51" i="12"/>
  <c r="FD51" i="12"/>
  <c r="AT51" i="12"/>
  <c r="DR51" i="12"/>
  <c r="CY146" i="12"/>
  <c r="AA146" i="12"/>
  <c r="FD146" i="12"/>
  <c r="CF146" i="12"/>
  <c r="EK146" i="12"/>
  <c r="AT146" i="12"/>
  <c r="BM146" i="12"/>
  <c r="DR146" i="12"/>
  <c r="FD178" i="12"/>
  <c r="CY178" i="12"/>
  <c r="BM178" i="12"/>
  <c r="DR178" i="12"/>
  <c r="AT178" i="12"/>
  <c r="AA178" i="12"/>
  <c r="EK178" i="12"/>
  <c r="CF178" i="12"/>
  <c r="FD89" i="12"/>
  <c r="BM89" i="12"/>
  <c r="EK89" i="12"/>
  <c r="AA89" i="12"/>
  <c r="CY89" i="12"/>
  <c r="CF89" i="12"/>
  <c r="AT89" i="12"/>
  <c r="DR89" i="12"/>
  <c r="EK25" i="12"/>
  <c r="CF25" i="12"/>
  <c r="FD25" i="12"/>
  <c r="AT25" i="12"/>
  <c r="AA25" i="12"/>
  <c r="CY25" i="12"/>
  <c r="DR25" i="12"/>
  <c r="BM25" i="12"/>
  <c r="AA57" i="12"/>
  <c r="FD57" i="12"/>
  <c r="CF57" i="12"/>
  <c r="EK57" i="12"/>
  <c r="BM57" i="12"/>
  <c r="DR57" i="12"/>
  <c r="AT57" i="12"/>
  <c r="CY57" i="12"/>
  <c r="DR88" i="12"/>
  <c r="AT88" i="12"/>
  <c r="BM88" i="12"/>
  <c r="CY88" i="12"/>
  <c r="AA88" i="12"/>
  <c r="FD88" i="12"/>
  <c r="CF88" i="12"/>
  <c r="EK88" i="12"/>
  <c r="AA172" i="12"/>
  <c r="BM172" i="12"/>
  <c r="EK172" i="12"/>
  <c r="DR172" i="12"/>
  <c r="AT172" i="12"/>
  <c r="CY172" i="12"/>
  <c r="FD172" i="12"/>
  <c r="CF172" i="12"/>
  <c r="CF246" i="12"/>
  <c r="CY246" i="12"/>
  <c r="FD246" i="12"/>
  <c r="AT246" i="12"/>
  <c r="DR246" i="12"/>
  <c r="BM246" i="12"/>
  <c r="EK246" i="12"/>
  <c r="AA246" i="12"/>
  <c r="FD106" i="12"/>
  <c r="CY106" i="12"/>
  <c r="CF106" i="12"/>
  <c r="BM106" i="12"/>
  <c r="EK106" i="12"/>
  <c r="AT106" i="12"/>
  <c r="DR106" i="12"/>
  <c r="AA106" i="12"/>
  <c r="EK132" i="12"/>
  <c r="AA132" i="12"/>
  <c r="CY132" i="12"/>
  <c r="FD132" i="12"/>
  <c r="BM132" i="12"/>
  <c r="DR132" i="12"/>
  <c r="CF132" i="12"/>
  <c r="AT132" i="12"/>
  <c r="AT260" i="12"/>
  <c r="DR260" i="12"/>
  <c r="BM260" i="12"/>
  <c r="FD260" i="12"/>
  <c r="CF260" i="12"/>
  <c r="AA260" i="12"/>
  <c r="EK260" i="12"/>
  <c r="CY260" i="12"/>
  <c r="FD245" i="12"/>
  <c r="AA245" i="12"/>
  <c r="CY245" i="12"/>
  <c r="BM245" i="12"/>
  <c r="EK245" i="12"/>
  <c r="CF245" i="12"/>
  <c r="AT245" i="12"/>
  <c r="DR245" i="12"/>
  <c r="FD290" i="12"/>
  <c r="AA290" i="12"/>
  <c r="DR290" i="12"/>
  <c r="CF290" i="12"/>
  <c r="CY290" i="12"/>
  <c r="AT290" i="12"/>
  <c r="EK290" i="12"/>
  <c r="BM290" i="12"/>
  <c r="FD242" i="12"/>
  <c r="CY242" i="12"/>
  <c r="CF242" i="12"/>
  <c r="AA242" i="12"/>
  <c r="BM242" i="12"/>
  <c r="EK242" i="12"/>
  <c r="AT242" i="12"/>
  <c r="DR242" i="12"/>
  <c r="EK352" i="12"/>
  <c r="CF352" i="12"/>
  <c r="DR352" i="12"/>
  <c r="AT352" i="12"/>
  <c r="CY352" i="12"/>
  <c r="AA352" i="12"/>
  <c r="BM352" i="12"/>
  <c r="FD352" i="12"/>
  <c r="FD241" i="12"/>
  <c r="AT241" i="12"/>
  <c r="CF241" i="12"/>
  <c r="DR241" i="12"/>
  <c r="AA241" i="12"/>
  <c r="CY241" i="12"/>
  <c r="BM241" i="12"/>
  <c r="EK241" i="12"/>
  <c r="CY192" i="12"/>
  <c r="AA192" i="12"/>
  <c r="DR192" i="12"/>
  <c r="AT192" i="12"/>
  <c r="FD192" i="12"/>
  <c r="CF192" i="12"/>
  <c r="EK192" i="12"/>
  <c r="BM192" i="12"/>
  <c r="FD256" i="12"/>
  <c r="CF256" i="12"/>
  <c r="EK256" i="12"/>
  <c r="BM256" i="12"/>
  <c r="AT256" i="12"/>
  <c r="DR256" i="12"/>
  <c r="CY256" i="12"/>
  <c r="AA256" i="12"/>
  <c r="CY248" i="12"/>
  <c r="EK248" i="12"/>
  <c r="BM248" i="12"/>
  <c r="AT248" i="12"/>
  <c r="DR248" i="12"/>
  <c r="CF248" i="12"/>
  <c r="AA248" i="12"/>
  <c r="FD248" i="12"/>
  <c r="AA313" i="12"/>
  <c r="CF313" i="12"/>
  <c r="FD313" i="12"/>
  <c r="BM313" i="12"/>
  <c r="CY313" i="12"/>
  <c r="EK313" i="12"/>
  <c r="AT313" i="12"/>
  <c r="DR313" i="12"/>
  <c r="FD277" i="12"/>
  <c r="DR277" i="12"/>
  <c r="BM277" i="12"/>
  <c r="CF277" i="12"/>
  <c r="EK277" i="12"/>
  <c r="CY277" i="12"/>
  <c r="AA277" i="12"/>
  <c r="AT277" i="12"/>
  <c r="DR308" i="12"/>
  <c r="CY308" i="12"/>
  <c r="BM308" i="12"/>
  <c r="EK308" i="12"/>
  <c r="CF308" i="12"/>
  <c r="FD308" i="12"/>
  <c r="AT308" i="12"/>
  <c r="AA308" i="12"/>
  <c r="EK330" i="12"/>
  <c r="AT330" i="12"/>
  <c r="BM330" i="12"/>
  <c r="CF330" i="12"/>
  <c r="CY330" i="12"/>
  <c r="AA330" i="12"/>
  <c r="DR330" i="12"/>
  <c r="FD330" i="12"/>
  <c r="FD274" i="12"/>
  <c r="DR274" i="12"/>
  <c r="CF274" i="12"/>
  <c r="CY274" i="12"/>
  <c r="AA274" i="12"/>
  <c r="EK274" i="12"/>
  <c r="BM274" i="12"/>
  <c r="AT274" i="12"/>
  <c r="FD302" i="12"/>
  <c r="EK302" i="12"/>
  <c r="CF302" i="12"/>
  <c r="DR302" i="12"/>
  <c r="BM302" i="12"/>
  <c r="AA302" i="12"/>
  <c r="AT302" i="12"/>
  <c r="CY302" i="12"/>
  <c r="BM337" i="12"/>
  <c r="CF337" i="12"/>
  <c r="FD337" i="12"/>
  <c r="CY337" i="12"/>
  <c r="AA337" i="12"/>
  <c r="DR337" i="12"/>
  <c r="AT337" i="12"/>
  <c r="EK337" i="12"/>
  <c r="AT265" i="12"/>
  <c r="DR265" i="12"/>
  <c r="AA265" i="12"/>
  <c r="CF265" i="12"/>
  <c r="BM265" i="12"/>
  <c r="FD265" i="12"/>
  <c r="EK265" i="12"/>
  <c r="CY265" i="12"/>
  <c r="BM311" i="12"/>
  <c r="AT311" i="12"/>
  <c r="AA311" i="12"/>
  <c r="FD311" i="12"/>
  <c r="CF311" i="12"/>
  <c r="CY311" i="12"/>
  <c r="EK311" i="12"/>
  <c r="DR311" i="12"/>
  <c r="AA343" i="12"/>
  <c r="CY343" i="12"/>
  <c r="FD343" i="12"/>
  <c r="CF343" i="12"/>
  <c r="EK343" i="12"/>
  <c r="BM343" i="12"/>
  <c r="DR343" i="12"/>
  <c r="AT343" i="12"/>
  <c r="EK316" i="12"/>
  <c r="FD316" i="12"/>
  <c r="BM316" i="12"/>
  <c r="AT316" i="12"/>
  <c r="DR316" i="12"/>
  <c r="CF316" i="12"/>
  <c r="AA316" i="12"/>
  <c r="CY316" i="12"/>
  <c r="EK349" i="12"/>
  <c r="DR349" i="12"/>
  <c r="BM349" i="12"/>
  <c r="CF349" i="12"/>
  <c r="AA349" i="12"/>
  <c r="FD349" i="12"/>
  <c r="AT349" i="12"/>
  <c r="CY349" i="12"/>
  <c r="FD160" i="12"/>
  <c r="CF160" i="12"/>
  <c r="EK160" i="12"/>
  <c r="BM160" i="12"/>
  <c r="DR160" i="12"/>
  <c r="AT160" i="12"/>
  <c r="CY160" i="12"/>
  <c r="AA160" i="12"/>
  <c r="BM180" i="12"/>
  <c r="AA180" i="12"/>
  <c r="EK180" i="12"/>
  <c r="FD180" i="12"/>
  <c r="CF180" i="12"/>
  <c r="DR180" i="12"/>
  <c r="AT180" i="12"/>
  <c r="CY180" i="12"/>
  <c r="AA103" i="12"/>
  <c r="DR103" i="12"/>
  <c r="CY103" i="12"/>
  <c r="BM103" i="12"/>
  <c r="EK103" i="12"/>
  <c r="CF103" i="12"/>
  <c r="FD103" i="12"/>
  <c r="AT103" i="12"/>
  <c r="AA24" i="12"/>
  <c r="EK24" i="12"/>
  <c r="DR24" i="12"/>
  <c r="CY24" i="12"/>
  <c r="BM24" i="12"/>
  <c r="CF24" i="12"/>
  <c r="FD24" i="12"/>
  <c r="AT24" i="12"/>
  <c r="BM174" i="12"/>
  <c r="AA174" i="12"/>
  <c r="CY174" i="12"/>
  <c r="DR174" i="12"/>
  <c r="EK174" i="12"/>
  <c r="AT174" i="12"/>
  <c r="FD174" i="12"/>
  <c r="CF174" i="12"/>
  <c r="FD152" i="12"/>
  <c r="CF152" i="12"/>
  <c r="DR152" i="12"/>
  <c r="AT152" i="12"/>
  <c r="CY152" i="12"/>
  <c r="AA152" i="12"/>
  <c r="EK152" i="12"/>
  <c r="BM152" i="12"/>
  <c r="FD261" i="12"/>
  <c r="BM261" i="12"/>
  <c r="EK261" i="12"/>
  <c r="CF261" i="12"/>
  <c r="DR261" i="12"/>
  <c r="AT261" i="12"/>
  <c r="CY261" i="12"/>
  <c r="AA261" i="12"/>
  <c r="BM117" i="12"/>
  <c r="DR117" i="12"/>
  <c r="AT117" i="12"/>
  <c r="CY117" i="12"/>
  <c r="AA117" i="12"/>
  <c r="FD117" i="12"/>
  <c r="CF117" i="12"/>
  <c r="EK117" i="12"/>
  <c r="AA87" i="12"/>
  <c r="DR87" i="12"/>
  <c r="CY87" i="12"/>
  <c r="AT87" i="12"/>
  <c r="CF87" i="12"/>
  <c r="FD87" i="12"/>
  <c r="BM87" i="12"/>
  <c r="EK87" i="12"/>
  <c r="DR17" i="12"/>
  <c r="CF17" i="12"/>
  <c r="FD17" i="12"/>
  <c r="EK17" i="12"/>
  <c r="BM17" i="12"/>
  <c r="AT17" i="12"/>
  <c r="AA17" i="12"/>
  <c r="CY17" i="12"/>
  <c r="EK21" i="12"/>
  <c r="DR21" i="12"/>
  <c r="BM21" i="12"/>
  <c r="FD21" i="12"/>
  <c r="AA21" i="12"/>
  <c r="CY21" i="12"/>
  <c r="CF21" i="12"/>
  <c r="AT21" i="12"/>
  <c r="EK85" i="12"/>
  <c r="CF85" i="12"/>
  <c r="DR85" i="12"/>
  <c r="AT85" i="12"/>
  <c r="CY85" i="12"/>
  <c r="AA85" i="12"/>
  <c r="BM85" i="12"/>
  <c r="FD85" i="12"/>
  <c r="CF120" i="12"/>
  <c r="CY120" i="12"/>
  <c r="AA120" i="12"/>
  <c r="DR120" i="12"/>
  <c r="EK120" i="12"/>
  <c r="FD120" i="12"/>
  <c r="BM120" i="12"/>
  <c r="AT120" i="12"/>
  <c r="DR243" i="12"/>
  <c r="AA243" i="12"/>
  <c r="CY243" i="12"/>
  <c r="AT243" i="12"/>
  <c r="CF243" i="12"/>
  <c r="FD243" i="12"/>
  <c r="BM243" i="12"/>
  <c r="EK243" i="12"/>
  <c r="AA46" i="12"/>
  <c r="FD46" i="12"/>
  <c r="CY46" i="12"/>
  <c r="DR46" i="12"/>
  <c r="BM46" i="12"/>
  <c r="CF46" i="12"/>
  <c r="EK46" i="12"/>
  <c r="AT46" i="12"/>
  <c r="DR115" i="12"/>
  <c r="CY115" i="12"/>
  <c r="AA115" i="12"/>
  <c r="BM115" i="12"/>
  <c r="CF115" i="12"/>
  <c r="EK115" i="12"/>
  <c r="FD115" i="12"/>
  <c r="AT115" i="12"/>
  <c r="AA149" i="12"/>
  <c r="CY149" i="12"/>
  <c r="BM149" i="12"/>
  <c r="DR149" i="12"/>
  <c r="AT149" i="12"/>
  <c r="FD149" i="12"/>
  <c r="CF149" i="12"/>
  <c r="EK149" i="12"/>
  <c r="CY83" i="12"/>
  <c r="AA83" i="12"/>
  <c r="DR83" i="12"/>
  <c r="BM83" i="12"/>
  <c r="EK83" i="12"/>
  <c r="CF83" i="12"/>
  <c r="FD83" i="12"/>
  <c r="AT83" i="12"/>
  <c r="DR147" i="12"/>
  <c r="EK147" i="12"/>
  <c r="BM147" i="12"/>
  <c r="AT147" i="12"/>
  <c r="CF147" i="12"/>
  <c r="AA147" i="12"/>
  <c r="FD147" i="12"/>
  <c r="CY147" i="12"/>
  <c r="FD179" i="12"/>
  <c r="AT179" i="12"/>
  <c r="DR179" i="12"/>
  <c r="CF179" i="12"/>
  <c r="CY179" i="12"/>
  <c r="AA179" i="12"/>
  <c r="EK179" i="12"/>
  <c r="BM179" i="12"/>
  <c r="AT31" i="12"/>
  <c r="DR31" i="12"/>
  <c r="CY31" i="12"/>
  <c r="EK31" i="12"/>
  <c r="CF31" i="12"/>
  <c r="AA31" i="12"/>
  <c r="FD31" i="12"/>
  <c r="BM31" i="12"/>
  <c r="FD63" i="12"/>
  <c r="CY63" i="12"/>
  <c r="CF63" i="12"/>
  <c r="DR63" i="12"/>
  <c r="AT63" i="12"/>
  <c r="BM63" i="12"/>
  <c r="EK63" i="12"/>
  <c r="AA63" i="12"/>
  <c r="FD90" i="12"/>
  <c r="CY90" i="12"/>
  <c r="CF90" i="12"/>
  <c r="EK90" i="12"/>
  <c r="AT90" i="12"/>
  <c r="DR90" i="12"/>
  <c r="AA90" i="12"/>
  <c r="BM90" i="12"/>
  <c r="AT154" i="12"/>
  <c r="CY154" i="12"/>
  <c r="DR154" i="12"/>
  <c r="CF154" i="12"/>
  <c r="BM154" i="12"/>
  <c r="FD154" i="12"/>
  <c r="AA154" i="12"/>
  <c r="EK154" i="12"/>
  <c r="FD110" i="12"/>
  <c r="CY110" i="12"/>
  <c r="CF110" i="12"/>
  <c r="AA110" i="12"/>
  <c r="AT110" i="12"/>
  <c r="DR110" i="12"/>
  <c r="BM110" i="12"/>
  <c r="EK110" i="12"/>
  <c r="FD177" i="12"/>
  <c r="EK177" i="12"/>
  <c r="CF177" i="12"/>
  <c r="CY177" i="12"/>
  <c r="DR177" i="12"/>
  <c r="AA177" i="12"/>
  <c r="AT177" i="12"/>
  <c r="BM177" i="12"/>
  <c r="BM48" i="12"/>
  <c r="EK48" i="12"/>
  <c r="DR48" i="12"/>
  <c r="CY48" i="12"/>
  <c r="CF48" i="12"/>
  <c r="FD48" i="12"/>
  <c r="AT48" i="12"/>
  <c r="AA48" i="12"/>
  <c r="BM77" i="12"/>
  <c r="DR77" i="12"/>
  <c r="AT77" i="12"/>
  <c r="CY77" i="12"/>
  <c r="AA77" i="12"/>
  <c r="FD77" i="12"/>
  <c r="CF77" i="12"/>
  <c r="EK77" i="12"/>
  <c r="FD108" i="12"/>
  <c r="CF108" i="12"/>
  <c r="EK108" i="12"/>
  <c r="BM108" i="12"/>
  <c r="DR108" i="12"/>
  <c r="AT108" i="12"/>
  <c r="CY108" i="12"/>
  <c r="AA108" i="12"/>
  <c r="FD133" i="12"/>
  <c r="DR133" i="12"/>
  <c r="AA133" i="12"/>
  <c r="CY133" i="12"/>
  <c r="EK133" i="12"/>
  <c r="CF133" i="12"/>
  <c r="AT133" i="12"/>
  <c r="BM133" i="12"/>
  <c r="BM324" i="12"/>
  <c r="CY324" i="12"/>
  <c r="AA324" i="12"/>
  <c r="DR324" i="12"/>
  <c r="EK324" i="12"/>
  <c r="CF324" i="12"/>
  <c r="FD324" i="12"/>
  <c r="AT324" i="12"/>
  <c r="DR214" i="12"/>
  <c r="FD214" i="12"/>
  <c r="CF214" i="12"/>
  <c r="BM214" i="12"/>
  <c r="EK214" i="12"/>
  <c r="AT214" i="12"/>
  <c r="CY214" i="12"/>
  <c r="AA214" i="12"/>
  <c r="FD251" i="12"/>
  <c r="AA251" i="12"/>
  <c r="CY251" i="12"/>
  <c r="DR251" i="12"/>
  <c r="EK251" i="12"/>
  <c r="CF251" i="12"/>
  <c r="AT251" i="12"/>
  <c r="BM251" i="12"/>
  <c r="BM360" i="12"/>
  <c r="CY360" i="12"/>
  <c r="DR360" i="12"/>
  <c r="AA360" i="12"/>
  <c r="AT360" i="12"/>
  <c r="FD360" i="12"/>
  <c r="EK360" i="12"/>
  <c r="CF360" i="12"/>
  <c r="FD213" i="12"/>
  <c r="AT213" i="12"/>
  <c r="EK213" i="12"/>
  <c r="CY213" i="12"/>
  <c r="AA213" i="12"/>
  <c r="DR213" i="12"/>
  <c r="CF213" i="12"/>
  <c r="BM213" i="12"/>
  <c r="DR193" i="12"/>
  <c r="CF193" i="12"/>
  <c r="FD193" i="12"/>
  <c r="BM193" i="12"/>
  <c r="EK193" i="12"/>
  <c r="CY193" i="12"/>
  <c r="AT193" i="12"/>
  <c r="AA193" i="12"/>
  <c r="DR231" i="12"/>
  <c r="CY231" i="12"/>
  <c r="FD231" i="12"/>
  <c r="CF231" i="12"/>
  <c r="AT231" i="12"/>
  <c r="EK231" i="12"/>
  <c r="AA231" i="12"/>
  <c r="BM231" i="12"/>
  <c r="FD257" i="12"/>
  <c r="EK257" i="12"/>
  <c r="CY257" i="12"/>
  <c r="CF257" i="12"/>
  <c r="BM257" i="12"/>
  <c r="AT257" i="12"/>
  <c r="AA257" i="12"/>
  <c r="DR257" i="12"/>
  <c r="EK232" i="12"/>
  <c r="AT232" i="12"/>
  <c r="DR232" i="12"/>
  <c r="CF232" i="12"/>
  <c r="BM232" i="12"/>
  <c r="FD232" i="12"/>
  <c r="CY232" i="12"/>
  <c r="AA232" i="12"/>
  <c r="CF262" i="12"/>
  <c r="FD262" i="12"/>
  <c r="AT262" i="12"/>
  <c r="AA262" i="12"/>
  <c r="CY262" i="12"/>
  <c r="DR262" i="12"/>
  <c r="BM262" i="12"/>
  <c r="EK262" i="12"/>
  <c r="FD200" i="12"/>
  <c r="AT200" i="12"/>
  <c r="CF200" i="12"/>
  <c r="DR200" i="12"/>
  <c r="AA200" i="12"/>
  <c r="CY200" i="12"/>
  <c r="BM200" i="12"/>
  <c r="EK200" i="12"/>
  <c r="DR223" i="12"/>
  <c r="FD223" i="12"/>
  <c r="BM223" i="12"/>
  <c r="EK223" i="12"/>
  <c r="CY223" i="12"/>
  <c r="AT223" i="12"/>
  <c r="AA223" i="12"/>
  <c r="CF223" i="12"/>
  <c r="DR249" i="12"/>
  <c r="CY249" i="12"/>
  <c r="EK249" i="12"/>
  <c r="CF249" i="12"/>
  <c r="FD249" i="12"/>
  <c r="BM249" i="12"/>
  <c r="AT249" i="12"/>
  <c r="AA249" i="12"/>
  <c r="AT285" i="12"/>
  <c r="DR285" i="12"/>
  <c r="CF285" i="12"/>
  <c r="EK285" i="12"/>
  <c r="FD285" i="12"/>
  <c r="AA285" i="12"/>
  <c r="CY285" i="12"/>
  <c r="BM285" i="12"/>
  <c r="BM309" i="12"/>
  <c r="FD309" i="12"/>
  <c r="CY309" i="12"/>
  <c r="AA309" i="12"/>
  <c r="DR309" i="12"/>
  <c r="EK309" i="12"/>
  <c r="CF309" i="12"/>
  <c r="AT309" i="12"/>
  <c r="AA331" i="12"/>
  <c r="FD331" i="12"/>
  <c r="CF331" i="12"/>
  <c r="AT331" i="12"/>
  <c r="EK331" i="12"/>
  <c r="BM331" i="12"/>
  <c r="DR331" i="12"/>
  <c r="CY331" i="12"/>
  <c r="CF357" i="12"/>
  <c r="AT357" i="12"/>
  <c r="EK357" i="12"/>
  <c r="DR357" i="12"/>
  <c r="FD357" i="12"/>
  <c r="AA357" i="12"/>
  <c r="BM357" i="12"/>
  <c r="CY357" i="12"/>
  <c r="EK271" i="12"/>
  <c r="BM271" i="12"/>
  <c r="DR271" i="12"/>
  <c r="AT271" i="12"/>
  <c r="CY271" i="12"/>
  <c r="AA271" i="12"/>
  <c r="FD271" i="12"/>
  <c r="CF271" i="12"/>
  <c r="EK341" i="12"/>
  <c r="CY341" i="12"/>
  <c r="CF341" i="12"/>
  <c r="BM341" i="12"/>
  <c r="AT341" i="12"/>
  <c r="FD341" i="12"/>
  <c r="AA341" i="12"/>
  <c r="DR341" i="12"/>
  <c r="AT291" i="12"/>
  <c r="CY291" i="12"/>
  <c r="EK291" i="12"/>
  <c r="DR291" i="12"/>
  <c r="FD291" i="12"/>
  <c r="CF291" i="12"/>
  <c r="AA291" i="12"/>
  <c r="BM291" i="12"/>
  <c r="DR295" i="12"/>
  <c r="AT295" i="12"/>
  <c r="CY295" i="12"/>
  <c r="AA295" i="12"/>
  <c r="FD295" i="12"/>
  <c r="CF295" i="12"/>
  <c r="EK295" i="12"/>
  <c r="BM295" i="12"/>
  <c r="K13" i="9" a="1"/>
  <c r="K13" i="9" s="1"/>
  <c r="N13" i="9" a="1"/>
  <c r="N13" i="9" s="1"/>
  <c r="L13" i="9" a="1"/>
  <c r="L13" i="9" s="1"/>
  <c r="H13" i="9" a="1"/>
  <c r="H13" i="9" s="1"/>
  <c r="G13" i="9" a="1"/>
  <c r="G13" i="9" s="1"/>
  <c r="J13" i="9" a="1"/>
  <c r="J13" i="9" s="1"/>
  <c r="O13" i="9" a="1"/>
  <c r="O13" i="9" s="1"/>
  <c r="O13" i="12" a="1"/>
  <c r="O13" i="12" s="1"/>
  <c r="G13" i="12" a="1"/>
  <c r="G13" i="12" s="1"/>
  <c r="L13" i="12" a="1"/>
  <c r="L13" i="12" s="1"/>
  <c r="J13" i="12" a="1"/>
  <c r="J13" i="12" s="1"/>
  <c r="H13" i="12" a="1"/>
  <c r="H13" i="12" s="1"/>
  <c r="N13" i="12" a="1"/>
  <c r="N13" i="12" s="1"/>
  <c r="M19" i="6"/>
  <c r="O2" i="1"/>
  <c r="U2" i="1" s="1"/>
  <c r="Q10" i="1"/>
  <c r="P10" i="1"/>
  <c r="S17" i="6"/>
  <c r="V17" i="6" s="1"/>
  <c r="C112" i="7"/>
  <c r="I13" i="2" a="1"/>
  <c r="I13" i="2" s="1"/>
  <c r="O13" i="2"/>
  <c r="H13" i="2" a="1"/>
  <c r="H13" i="2" s="1"/>
  <c r="J13" i="2" a="1"/>
  <c r="J13" i="2" s="1"/>
  <c r="N13" i="2" a="1"/>
  <c r="N13" i="2" s="1"/>
  <c r="L13" i="2" a="1"/>
  <c r="L13" i="2" s="1"/>
  <c r="P8" i="2" a="1"/>
  <c r="P8" i="2" s="1"/>
  <c r="H10" i="2" a="1"/>
  <c r="H10" i="2" s="1"/>
  <c r="C109" i="7"/>
  <c r="G76" i="8"/>
  <c r="N9" i="2" a="1"/>
  <c r="N9" i="2" s="1"/>
  <c r="I10" i="2" a="1"/>
  <c r="I10" i="2" s="1"/>
  <c r="N8" i="2" a="1"/>
  <c r="N8" i="2" s="1"/>
  <c r="J10" i="2" a="1"/>
  <c r="J10" i="2" s="1"/>
  <c r="N10" i="2" a="1"/>
  <c r="N10" i="2" s="1"/>
  <c r="P10" i="2" a="1"/>
  <c r="P10" i="2" s="1"/>
  <c r="H8" i="2" a="1"/>
  <c r="H8" i="2" s="1"/>
  <c r="J8" i="2" a="1"/>
  <c r="J8" i="2" s="1"/>
  <c r="C107" i="7"/>
  <c r="L8" i="2" a="1"/>
  <c r="L8" i="2" s="1"/>
  <c r="I8" i="2" a="1"/>
  <c r="I8" i="2" s="1"/>
  <c r="N15" i="2" a="1"/>
  <c r="N15" i="2" s="1"/>
  <c r="L10" i="2" a="1"/>
  <c r="L10" i="2" s="1"/>
  <c r="I12" i="2" a="1"/>
  <c r="I12" i="2" s="1"/>
  <c r="H12" i="2" a="1"/>
  <c r="H12" i="2" s="1"/>
  <c r="C111" i="7"/>
  <c r="L12" i="2" a="1"/>
  <c r="L12" i="2" s="1"/>
  <c r="J12" i="2" a="1"/>
  <c r="J12" i="2" s="1"/>
  <c r="N12" i="2" a="1"/>
  <c r="N12" i="2" s="1"/>
  <c r="J15" i="2" a="1"/>
  <c r="J15" i="2" s="1"/>
  <c r="I15" i="2" a="1"/>
  <c r="I15" i="2" s="1"/>
  <c r="O15" i="2"/>
  <c r="C114" i="7"/>
  <c r="L15" i="2" a="1"/>
  <c r="L15" i="2" s="1"/>
  <c r="H15" i="2" a="1"/>
  <c r="H15" i="2" s="1"/>
  <c r="B12" i="2"/>
  <c r="D11" i="2"/>
  <c r="H17" i="2" a="1"/>
  <c r="H17" i="2" s="1"/>
  <c r="I17" i="2" a="1"/>
  <c r="I17" i="2" s="1"/>
  <c r="N17" i="2" a="1"/>
  <c r="N17" i="2" s="1"/>
  <c r="H18" i="2" a="1"/>
  <c r="H18" i="2" s="1"/>
  <c r="I18" i="2" a="1"/>
  <c r="I18" i="2" s="1"/>
  <c r="P17" i="2" a="1"/>
  <c r="P17" i="2" s="1"/>
  <c r="N18" i="2" a="1"/>
  <c r="N18" i="2" s="1"/>
  <c r="L17" i="2" a="1"/>
  <c r="L17" i="2" s="1"/>
  <c r="J18" i="2" a="1"/>
  <c r="J18" i="2" s="1"/>
  <c r="C110" i="7"/>
  <c r="H11" i="2" a="1"/>
  <c r="H11" i="2" s="1"/>
  <c r="P11" i="2" a="1"/>
  <c r="P11" i="2" s="1"/>
  <c r="L11" i="2" a="1"/>
  <c r="L11" i="2" s="1"/>
  <c r="J11" i="2" a="1"/>
  <c r="J11" i="2" s="1"/>
  <c r="N11" i="2" a="1"/>
  <c r="N11" i="2" s="1"/>
  <c r="I11" i="2" a="1"/>
  <c r="I11" i="2" s="1"/>
  <c r="C115" i="7"/>
  <c r="O16" i="2"/>
  <c r="P7" i="2" a="1"/>
  <c r="P7" i="2" s="1"/>
  <c r="I13" i="9" s="1"/>
  <c r="I14" i="9" s="1"/>
  <c r="J9" i="2" a="1"/>
  <c r="J9" i="2" s="1"/>
  <c r="H16" i="2" a="1"/>
  <c r="H16" i="2" s="1"/>
  <c r="N14" i="2" a="1"/>
  <c r="N14" i="2" s="1"/>
  <c r="L7" i="2" a="1"/>
  <c r="L7" i="2" s="1"/>
  <c r="L18" i="2" a="1"/>
  <c r="L18" i="2" s="1"/>
  <c r="H7" i="2" a="1"/>
  <c r="H7" i="2" s="1"/>
  <c r="C108" i="7"/>
  <c r="J14" i="2" a="1"/>
  <c r="J14" i="2" s="1"/>
  <c r="J17" i="2" a="1"/>
  <c r="J17" i="2" s="1"/>
  <c r="L9" i="2" a="1"/>
  <c r="L9" i="2" s="1"/>
  <c r="I16" i="2" a="1"/>
  <c r="I16" i="2" s="1"/>
  <c r="P14" i="2" a="1"/>
  <c r="P14" i="2" s="1"/>
  <c r="C106" i="7"/>
  <c r="I7" i="2" a="1"/>
  <c r="I7" i="2" s="1"/>
  <c r="I9" i="2" a="1"/>
  <c r="I9" i="2" s="1"/>
  <c r="N16" i="2" a="1"/>
  <c r="N16" i="2" s="1"/>
  <c r="L14" i="2" a="1"/>
  <c r="L14" i="2" s="1"/>
  <c r="N7" i="2" a="1"/>
  <c r="N7" i="2" s="1"/>
  <c r="P9" i="2" a="1"/>
  <c r="P9" i="2" s="1"/>
  <c r="J16" i="2" a="1"/>
  <c r="J16" i="2" s="1"/>
  <c r="J7" i="2" a="1"/>
  <c r="J7" i="2" s="1"/>
  <c r="H9" i="2" a="1"/>
  <c r="H9" i="2" s="1"/>
  <c r="P16" i="2" a="1"/>
  <c r="P16" i="2" s="1"/>
  <c r="C113" i="7"/>
  <c r="O14" i="2"/>
  <c r="P18" i="2" a="1"/>
  <c r="P18" i="2" s="1"/>
  <c r="L16" i="2" a="1"/>
  <c r="L16" i="2" s="1"/>
  <c r="I14" i="2" a="1"/>
  <c r="I14" i="2" s="1"/>
  <c r="K9" i="2" l="1"/>
  <c r="M9" i="2" s="1"/>
  <c r="K8" i="2"/>
  <c r="M8" i="2" s="1"/>
  <c r="K10" i="2"/>
  <c r="M10" i="2" s="1"/>
  <c r="O10" i="2" s="1"/>
  <c r="M13" i="9"/>
  <c r="M13" i="12"/>
  <c r="P13" i="12" s="1"/>
  <c r="Q13" i="12" s="1"/>
  <c r="E31" i="9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BL14" i="9"/>
  <c r="BM14" i="9" s="1"/>
  <c r="AS14" i="9"/>
  <c r="AT14" i="9" s="1"/>
  <c r="FC14" i="9"/>
  <c r="FD14" i="9" s="1"/>
  <c r="Z14" i="9"/>
  <c r="AA14" i="9" s="1"/>
  <c r="DQ14" i="9"/>
  <c r="DR14" i="9" s="1"/>
  <c r="CX14" i="9"/>
  <c r="CY14" i="9" s="1"/>
  <c r="EJ14" i="9"/>
  <c r="EK14" i="9" s="1"/>
  <c r="CE14" i="9"/>
  <c r="CF14" i="9" s="1"/>
  <c r="I15" i="9"/>
  <c r="E26" i="12"/>
  <c r="E27" i="12" s="1"/>
  <c r="E28" i="12" s="1"/>
  <c r="E29" i="12" s="1"/>
  <c r="E30" i="12" s="1"/>
  <c r="E31" i="12" s="1"/>
  <c r="E32" i="12" s="1"/>
  <c r="E33" i="12" s="1"/>
  <c r="E34" i="12" s="1"/>
  <c r="E35" i="12" s="1"/>
  <c r="E36" i="12" s="1"/>
  <c r="E37" i="12" s="1"/>
  <c r="O15" i="9" a="1"/>
  <c r="O15" i="9" s="1"/>
  <c r="N15" i="9" a="1"/>
  <c r="N15" i="9" s="1"/>
  <c r="J15" i="9" a="1"/>
  <c r="J15" i="9" s="1"/>
  <c r="L15" i="9" a="1"/>
  <c r="L15" i="9" s="1"/>
  <c r="K15" i="9" a="1"/>
  <c r="K15" i="9" s="1"/>
  <c r="G15" i="9" a="1"/>
  <c r="G15" i="9" s="1"/>
  <c r="H15" i="9" a="1"/>
  <c r="H15" i="9" s="1"/>
  <c r="N14" i="12" a="1"/>
  <c r="N14" i="12" s="1"/>
  <c r="H14" i="12" a="1"/>
  <c r="H14" i="12" s="1"/>
  <c r="G14" i="12" a="1"/>
  <c r="G14" i="12" s="1"/>
  <c r="L14" i="12" a="1"/>
  <c r="L14" i="12" s="1"/>
  <c r="J14" i="12" a="1"/>
  <c r="J14" i="12" s="1"/>
  <c r="O14" i="12" a="1"/>
  <c r="O14" i="12" s="1"/>
  <c r="K14" i="12" a="1"/>
  <c r="K14" i="12" s="1"/>
  <c r="D15" i="12"/>
  <c r="D16" i="9"/>
  <c r="P13" i="9"/>
  <c r="Q13" i="9" s="1"/>
  <c r="G14" i="9" a="1"/>
  <c r="G14" i="9" s="1"/>
  <c r="H14" i="9" a="1"/>
  <c r="H14" i="9" s="1"/>
  <c r="K14" i="9" a="1"/>
  <c r="K14" i="9" s="1"/>
  <c r="J14" i="9" a="1"/>
  <c r="J14" i="9" s="1"/>
  <c r="N14" i="9" a="1"/>
  <c r="N14" i="9" s="1"/>
  <c r="O14" i="9" a="1"/>
  <c r="O14" i="9" s="1"/>
  <c r="L14" i="9" a="1"/>
  <c r="L14" i="9" s="1"/>
  <c r="S2" i="1"/>
  <c r="S10" i="1" s="1"/>
  <c r="O10" i="1"/>
  <c r="U10" i="1"/>
  <c r="G107" i="7"/>
  <c r="F107" i="7"/>
  <c r="G111" i="7"/>
  <c r="F111" i="7"/>
  <c r="G112" i="7"/>
  <c r="F112" i="7"/>
  <c r="F114" i="7"/>
  <c r="G114" i="7"/>
  <c r="G113" i="7"/>
  <c r="F113" i="7"/>
  <c r="G108" i="7"/>
  <c r="F108" i="7"/>
  <c r="G110" i="7"/>
  <c r="F110" i="7"/>
  <c r="F109" i="7"/>
  <c r="G109" i="7"/>
  <c r="G115" i="7"/>
  <c r="F115" i="7"/>
  <c r="G106" i="7"/>
  <c r="F106" i="7"/>
  <c r="D46" i="8"/>
  <c r="D45" i="8"/>
  <c r="H43" i="8"/>
  <c r="D43" i="8"/>
  <c r="B43" i="8"/>
  <c r="O12" i="2"/>
  <c r="M15" i="9" l="1"/>
  <c r="P15" i="9" s="1"/>
  <c r="Q15" i="9" s="1"/>
  <c r="M14" i="12"/>
  <c r="P14" i="12" s="1"/>
  <c r="Q14" i="12" s="1"/>
  <c r="H16" i="9" a="1"/>
  <c r="H16" i="9" s="1"/>
  <c r="G16" i="9" a="1"/>
  <c r="G16" i="9" s="1"/>
  <c r="L16" i="9" a="1"/>
  <c r="L16" i="9" s="1"/>
  <c r="J16" i="9" a="1"/>
  <c r="J16" i="9" s="1"/>
  <c r="K16" i="9" a="1"/>
  <c r="K16" i="9" s="1"/>
  <c r="O16" i="9" a="1"/>
  <c r="O16" i="9" s="1"/>
  <c r="N16" i="9" a="1"/>
  <c r="N16" i="9" s="1"/>
  <c r="D17" i="9"/>
  <c r="L15" i="12" a="1"/>
  <c r="L15" i="12" s="1"/>
  <c r="N15" i="12" a="1"/>
  <c r="N15" i="12" s="1"/>
  <c r="G15" i="12" a="1"/>
  <c r="G15" i="12" s="1"/>
  <c r="K15" i="12" a="1"/>
  <c r="K15" i="12" s="1"/>
  <c r="O15" i="12" a="1"/>
  <c r="O15" i="12" s="1"/>
  <c r="J15" i="12" a="1"/>
  <c r="J15" i="12" s="1"/>
  <c r="H15" i="12" a="1"/>
  <c r="H15" i="12" s="1"/>
  <c r="D16" i="12"/>
  <c r="E38" i="12"/>
  <c r="E39" i="12" s="1"/>
  <c r="E40" i="12" s="1"/>
  <c r="E41" i="12" s="1"/>
  <c r="E42" i="12" s="1"/>
  <c r="E43" i="12" s="1"/>
  <c r="E44" i="12" s="1"/>
  <c r="E45" i="12" s="1"/>
  <c r="E46" i="12" s="1"/>
  <c r="E47" i="12" s="1"/>
  <c r="E48" i="12" s="1"/>
  <c r="E49" i="12" s="1"/>
  <c r="E50" i="12" s="1"/>
  <c r="E51" i="12" s="1"/>
  <c r="E52" i="12" s="1"/>
  <c r="E53" i="12" s="1"/>
  <c r="E54" i="12" s="1"/>
  <c r="E55" i="12" s="1"/>
  <c r="E56" i="12" s="1"/>
  <c r="E57" i="12" s="1"/>
  <c r="E58" i="12" s="1"/>
  <c r="E59" i="12" s="1"/>
  <c r="E60" i="12" s="1"/>
  <c r="E61" i="12" s="1"/>
  <c r="M14" i="9"/>
  <c r="P14" i="9" s="1"/>
  <c r="Q14" i="9" s="1"/>
  <c r="Z15" i="9"/>
  <c r="AA15" i="9" s="1"/>
  <c r="DQ15" i="9"/>
  <c r="DR15" i="9" s="1"/>
  <c r="CX15" i="9"/>
  <c r="CY15" i="9" s="1"/>
  <c r="FC15" i="9"/>
  <c r="FD15" i="9" s="1"/>
  <c r="CE15" i="9"/>
  <c r="CF15" i="9" s="1"/>
  <c r="BL15" i="9"/>
  <c r="BM15" i="9" s="1"/>
  <c r="EJ15" i="9"/>
  <c r="EK15" i="9" s="1"/>
  <c r="AS15" i="9"/>
  <c r="AT15" i="9" s="1"/>
  <c r="I16" i="9"/>
  <c r="E55" i="9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O7" i="2"/>
  <c r="M40" i="8"/>
  <c r="J45" i="8" s="1"/>
  <c r="O9" i="2"/>
  <c r="O11" i="2"/>
  <c r="O8" i="2"/>
  <c r="EM14" i="9" l="1"/>
  <c r="DS14" i="9"/>
  <c r="DU14" i="9" s="1"/>
  <c r="DT14" i="9"/>
  <c r="CZ14" i="9"/>
  <c r="DB14" i="9" s="1"/>
  <c r="CZ15" i="9" s="1"/>
  <c r="DB15" i="9" s="1"/>
  <c r="BO14" i="9"/>
  <c r="CG14" i="9"/>
  <c r="CI14" i="9" s="1"/>
  <c r="CH15" i="9" s="1"/>
  <c r="EL14" i="9"/>
  <c r="EN14" i="9" s="1"/>
  <c r="EM15" i="9" s="1"/>
  <c r="FE14" i="9"/>
  <c r="FG14" i="9" s="1"/>
  <c r="FF15" i="9" s="1"/>
  <c r="AC14" i="9"/>
  <c r="FF14" i="9"/>
  <c r="AU14" i="9"/>
  <c r="AW14" i="9" s="1"/>
  <c r="AB14" i="9"/>
  <c r="AD14" i="9" s="1"/>
  <c r="BN14" i="9"/>
  <c r="BP14" i="9" s="1"/>
  <c r="BO15" i="9" s="1"/>
  <c r="DA14" i="9"/>
  <c r="CH14" i="9"/>
  <c r="AV14" i="9"/>
  <c r="M16" i="9"/>
  <c r="M15" i="12"/>
  <c r="P15" i="12" s="1"/>
  <c r="Q15" i="12" s="1"/>
  <c r="EJ16" i="9"/>
  <c r="EK16" i="9" s="1"/>
  <c r="DQ16" i="9"/>
  <c r="DR16" i="9" s="1"/>
  <c r="FC16" i="9"/>
  <c r="FD16" i="9" s="1"/>
  <c r="CX16" i="9"/>
  <c r="CY16" i="9" s="1"/>
  <c r="AS16" i="9"/>
  <c r="AT16" i="9" s="1"/>
  <c r="CE16" i="9"/>
  <c r="CF16" i="9" s="1"/>
  <c r="Z16" i="9"/>
  <c r="AA16" i="9" s="1"/>
  <c r="BL16" i="9"/>
  <c r="BM16" i="9" s="1"/>
  <c r="I17" i="9"/>
  <c r="AU15" i="9"/>
  <c r="AW15" i="9" s="1"/>
  <c r="AV15" i="9"/>
  <c r="E62" i="12"/>
  <c r="E63" i="12" s="1"/>
  <c r="E64" i="12" s="1"/>
  <c r="E65" i="12" s="1"/>
  <c r="E66" i="12" s="1"/>
  <c r="H16" i="12" a="1"/>
  <c r="H16" i="12" s="1"/>
  <c r="G16" i="12" a="1"/>
  <c r="G16" i="12" s="1"/>
  <c r="K16" i="12" a="1"/>
  <c r="K16" i="12" s="1"/>
  <c r="L16" i="12" a="1"/>
  <c r="L16" i="12" s="1"/>
  <c r="J16" i="12" a="1"/>
  <c r="J16" i="12" s="1"/>
  <c r="O16" i="12" a="1"/>
  <c r="O16" i="12" s="1"/>
  <c r="N16" i="12" a="1"/>
  <c r="N16" i="12" s="1"/>
  <c r="D17" i="12"/>
  <c r="O17" i="9" a="1"/>
  <c r="O17" i="9" s="1"/>
  <c r="K17" i="9" a="1"/>
  <c r="K17" i="9" s="1"/>
  <c r="J17" i="9" a="1"/>
  <c r="J17" i="9" s="1"/>
  <c r="L17" i="9" a="1"/>
  <c r="L17" i="9" s="1"/>
  <c r="G17" i="9" a="1"/>
  <c r="G17" i="9" s="1"/>
  <c r="N17" i="9" a="1"/>
  <c r="N17" i="9" s="1"/>
  <c r="H17" i="9" a="1"/>
  <c r="H17" i="9" s="1"/>
  <c r="D18" i="9"/>
  <c r="P16" i="9"/>
  <c r="Q16" i="9" s="1"/>
  <c r="BN14" i="12"/>
  <c r="BP14" i="12" s="1"/>
  <c r="BN15" i="12" s="1"/>
  <c r="BP15" i="12" s="1"/>
  <c r="BU15" i="12" s="1"/>
  <c r="AB14" i="12"/>
  <c r="AD14" i="12" s="1"/>
  <c r="FE14" i="12"/>
  <c r="FG14" i="12" s="1"/>
  <c r="AY14" i="12"/>
  <c r="EP14" i="12"/>
  <c r="EP15" i="12" s="1"/>
  <c r="BR14" i="12"/>
  <c r="EL14" i="12"/>
  <c r="EN14" i="12" s="1"/>
  <c r="DA14" i="12"/>
  <c r="CZ14" i="12"/>
  <c r="DB14" i="12" s="1"/>
  <c r="DA15" i="12" s="1"/>
  <c r="DS14" i="12"/>
  <c r="DU14" i="12" s="1"/>
  <c r="BO14" i="12"/>
  <c r="DT14" i="12"/>
  <c r="CG14" i="12"/>
  <c r="CI14" i="12" s="1"/>
  <c r="AC14" i="12"/>
  <c r="DW14" i="12"/>
  <c r="DD14" i="12"/>
  <c r="DD15" i="12" s="1"/>
  <c r="FF14" i="12"/>
  <c r="AV14" i="12"/>
  <c r="EM14" i="12"/>
  <c r="CH14" i="12"/>
  <c r="AF14" i="12"/>
  <c r="AF15" i="12" s="1"/>
  <c r="CK14" i="12"/>
  <c r="FI14" i="12"/>
  <c r="AU14" i="12"/>
  <c r="AW14" i="12" s="1"/>
  <c r="E107" i="9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DA15" i="9"/>
  <c r="G46" i="8"/>
  <c r="F83" i="8" s="1"/>
  <c r="J46" i="8"/>
  <c r="L45" i="8" s="1"/>
  <c r="G45" i="8"/>
  <c r="H45" i="8" s="1"/>
  <c r="CG15" i="9" l="1"/>
  <c r="CI15" i="9" s="1"/>
  <c r="CG16" i="9" s="1"/>
  <c r="CI16" i="9" s="1"/>
  <c r="DT15" i="12"/>
  <c r="EL15" i="9"/>
  <c r="EN15" i="9" s="1"/>
  <c r="DS15" i="12"/>
  <c r="DU15" i="12" s="1"/>
  <c r="DX15" i="12" s="1"/>
  <c r="CZ16" i="9"/>
  <c r="DB16" i="9" s="1"/>
  <c r="DA16" i="9"/>
  <c r="DW15" i="12"/>
  <c r="EL15" i="12"/>
  <c r="EN15" i="12" s="1"/>
  <c r="EQ15" i="12" s="1"/>
  <c r="AU15" i="12"/>
  <c r="AW15" i="12" s="1"/>
  <c r="CK15" i="12"/>
  <c r="BN15" i="9"/>
  <c r="BP15" i="9" s="1"/>
  <c r="BS15" i="12"/>
  <c r="AB15" i="9"/>
  <c r="AD15" i="9" s="1"/>
  <c r="AC16" i="9" s="1"/>
  <c r="AC15" i="9"/>
  <c r="AV16" i="9"/>
  <c r="BB14" i="12"/>
  <c r="BA14" i="12"/>
  <c r="AZ14" i="12"/>
  <c r="AV15" i="12"/>
  <c r="FE15" i="9"/>
  <c r="FG15" i="9" s="1"/>
  <c r="FF16" i="9" s="1"/>
  <c r="AY15" i="12"/>
  <c r="BT15" i="12"/>
  <c r="FF15" i="12"/>
  <c r="DS15" i="9"/>
  <c r="DU15" i="9" s="1"/>
  <c r="DT15" i="9"/>
  <c r="DZ14" i="12"/>
  <c r="DX14" i="12"/>
  <c r="DY14" i="12"/>
  <c r="EA14" i="12" s="1"/>
  <c r="AC15" i="12"/>
  <c r="AU16" i="9"/>
  <c r="AW16" i="9" s="1"/>
  <c r="BO15" i="12"/>
  <c r="M17" i="9"/>
  <c r="P17" i="9" s="1"/>
  <c r="Q17" i="9" s="1"/>
  <c r="FE15" i="12"/>
  <c r="FG15" i="12" s="1"/>
  <c r="FK15" i="12" s="1"/>
  <c r="EM16" i="9"/>
  <c r="CL14" i="12"/>
  <c r="CN14" i="12"/>
  <c r="CM14" i="12"/>
  <c r="BR15" i="12"/>
  <c r="O17" i="12" a="1"/>
  <c r="O17" i="12" s="1"/>
  <c r="G17" i="12" a="1"/>
  <c r="G17" i="12" s="1"/>
  <c r="L17" i="12" a="1"/>
  <c r="L17" i="12" s="1"/>
  <c r="J17" i="12" a="1"/>
  <c r="J17" i="12" s="1"/>
  <c r="H17" i="12" a="1"/>
  <c r="H17" i="12" s="1"/>
  <c r="N17" i="12" a="1"/>
  <c r="N17" i="12" s="1"/>
  <c r="K17" i="12" a="1"/>
  <c r="K17" i="12" s="1"/>
  <c r="D18" i="12"/>
  <c r="E67" i="12"/>
  <c r="E68" i="12" s="1"/>
  <c r="E69" i="12" s="1"/>
  <c r="E70" i="12" s="1"/>
  <c r="E71" i="12" s="1"/>
  <c r="E72" i="12" s="1"/>
  <c r="E73" i="12" s="1"/>
  <c r="E74" i="12" s="1"/>
  <c r="E75" i="12" s="1"/>
  <c r="CH15" i="12"/>
  <c r="AS17" i="9"/>
  <c r="AT17" i="9" s="1"/>
  <c r="Z17" i="9"/>
  <c r="AA17" i="9" s="1"/>
  <c r="CE17" i="9"/>
  <c r="CF17" i="9" s="1"/>
  <c r="DQ17" i="9"/>
  <c r="DR17" i="9" s="1"/>
  <c r="EJ17" i="9"/>
  <c r="EK17" i="9" s="1"/>
  <c r="FC17" i="9"/>
  <c r="FD17" i="9" s="1"/>
  <c r="BL17" i="9"/>
  <c r="BM17" i="9" s="1"/>
  <c r="CX17" i="9"/>
  <c r="CY17" i="9" s="1"/>
  <c r="I18" i="9"/>
  <c r="H18" i="9" a="1"/>
  <c r="H18" i="9" s="1"/>
  <c r="J18" i="9" a="1"/>
  <c r="J18" i="9" s="1"/>
  <c r="O18" i="9" a="1"/>
  <c r="O18" i="9" s="1"/>
  <c r="N18" i="9" a="1"/>
  <c r="N18" i="9" s="1"/>
  <c r="L18" i="9" a="1"/>
  <c r="L18" i="9" s="1"/>
  <c r="G18" i="9" a="1"/>
  <c r="G18" i="9" s="1"/>
  <c r="K18" i="9" a="1"/>
  <c r="K18" i="9" s="1"/>
  <c r="D19" i="9"/>
  <c r="FJ14" i="12"/>
  <c r="FL14" i="12"/>
  <c r="FK14" i="12"/>
  <c r="AG14" i="12"/>
  <c r="AI14" i="12"/>
  <c r="AH14" i="12"/>
  <c r="FI15" i="12"/>
  <c r="CG15" i="12"/>
  <c r="CI15" i="12" s="1"/>
  <c r="E124" i="9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DE14" i="12"/>
  <c r="DF14" i="12"/>
  <c r="DG14" i="12"/>
  <c r="BS14" i="12"/>
  <c r="BU14" i="12"/>
  <c r="BT14" i="12"/>
  <c r="M16" i="12"/>
  <c r="P16" i="12" s="1"/>
  <c r="Q16" i="12" s="1"/>
  <c r="CZ15" i="12"/>
  <c r="DB15" i="12" s="1"/>
  <c r="EQ14" i="12"/>
  <c r="ER14" i="12"/>
  <c r="ES14" i="12"/>
  <c r="EL16" i="9"/>
  <c r="EN16" i="9" s="1"/>
  <c r="EM15" i="12"/>
  <c r="AB15" i="12"/>
  <c r="AD15" i="12" s="1"/>
  <c r="H46" i="8"/>
  <c r="E46" i="8"/>
  <c r="E45" i="8"/>
  <c r="ES15" i="12" l="1"/>
  <c r="ER15" i="12"/>
  <c r="CH16" i="9"/>
  <c r="DZ15" i="12"/>
  <c r="DY15" i="12"/>
  <c r="FE16" i="9"/>
  <c r="FG16" i="9" s="1"/>
  <c r="FE17" i="9" s="1"/>
  <c r="FG17" i="9" s="1"/>
  <c r="BV15" i="12"/>
  <c r="BA15" i="12"/>
  <c r="AZ15" i="12"/>
  <c r="BB15" i="12"/>
  <c r="BO16" i="9"/>
  <c r="BN16" i="9"/>
  <c r="BP16" i="9" s="1"/>
  <c r="BO17" i="9" s="1"/>
  <c r="BC14" i="12"/>
  <c r="DS16" i="9"/>
  <c r="DU16" i="9" s="1"/>
  <c r="DT17" i="9" s="1"/>
  <c r="AI15" i="12"/>
  <c r="AH15" i="12"/>
  <c r="AG15" i="12"/>
  <c r="CN15" i="12"/>
  <c r="CM15" i="12"/>
  <c r="CL15" i="12"/>
  <c r="DT16" i="9"/>
  <c r="AB16" i="9"/>
  <c r="AD16" i="9" s="1"/>
  <c r="AC17" i="9" s="1"/>
  <c r="M18" i="9"/>
  <c r="P18" i="9" s="1"/>
  <c r="Q18" i="9" s="1"/>
  <c r="FL15" i="12"/>
  <c r="BV14" i="12"/>
  <c r="FJ15" i="12"/>
  <c r="CO14" i="12"/>
  <c r="FM14" i="12"/>
  <c r="AJ14" i="12"/>
  <c r="EP16" i="12"/>
  <c r="FE16" i="12"/>
  <c r="FG16" i="12" s="1"/>
  <c r="FF16" i="12"/>
  <c r="AB16" i="12"/>
  <c r="AD16" i="12" s="1"/>
  <c r="BN16" i="12"/>
  <c r="BP16" i="12" s="1"/>
  <c r="BO16" i="12"/>
  <c r="BR16" i="12"/>
  <c r="DS16" i="12"/>
  <c r="DU16" i="12" s="1"/>
  <c r="DA16" i="12"/>
  <c r="AY16" i="12"/>
  <c r="DT16" i="12"/>
  <c r="CG16" i="12"/>
  <c r="CI16" i="12" s="1"/>
  <c r="AF16" i="12"/>
  <c r="CZ16" i="12"/>
  <c r="DB16" i="12" s="1"/>
  <c r="EM16" i="12"/>
  <c r="FI16" i="12"/>
  <c r="EL16" i="12"/>
  <c r="EN16" i="12" s="1"/>
  <c r="DW16" i="12"/>
  <c r="AC16" i="12"/>
  <c r="CH16" i="12"/>
  <c r="AV16" i="12"/>
  <c r="AU16" i="12"/>
  <c r="AW16" i="12" s="1"/>
  <c r="DD16" i="12"/>
  <c r="CK16" i="12"/>
  <c r="EJ18" i="9"/>
  <c r="EK18" i="9" s="1"/>
  <c r="CX18" i="9"/>
  <c r="CY18" i="9" s="1"/>
  <c r="CE18" i="9"/>
  <c r="CF18" i="9" s="1"/>
  <c r="BL18" i="9"/>
  <c r="BM18" i="9" s="1"/>
  <c r="FC18" i="9"/>
  <c r="FD18" i="9" s="1"/>
  <c r="AS18" i="9"/>
  <c r="AT18" i="9" s="1"/>
  <c r="Z18" i="9"/>
  <c r="AA18" i="9" s="1"/>
  <c r="DQ18" i="9"/>
  <c r="DR18" i="9" s="1"/>
  <c r="I19" i="9"/>
  <c r="E156" i="9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K19" i="9" a="1"/>
  <c r="K19" i="9" s="1"/>
  <c r="L19" i="9" a="1"/>
  <c r="L19" i="9" s="1"/>
  <c r="O19" i="9" a="1"/>
  <c r="O19" i="9" s="1"/>
  <c r="N19" i="9" a="1"/>
  <c r="N19" i="9" s="1"/>
  <c r="H19" i="9" a="1"/>
  <c r="H19" i="9" s="1"/>
  <c r="G19" i="9" a="1"/>
  <c r="G19" i="9" s="1"/>
  <c r="J19" i="9" a="1"/>
  <c r="J19" i="9" s="1"/>
  <c r="D20" i="9"/>
  <c r="EA15" i="12"/>
  <c r="M17" i="12"/>
  <c r="P17" i="12" s="1"/>
  <c r="Q17" i="12" s="1"/>
  <c r="ET15" i="12"/>
  <c r="ET14" i="12"/>
  <c r="N18" i="12" a="1"/>
  <c r="N18" i="12" s="1"/>
  <c r="H18" i="12" a="1"/>
  <c r="H18" i="12" s="1"/>
  <c r="K18" i="12" a="1"/>
  <c r="K18" i="12" s="1"/>
  <c r="G18" i="12" a="1"/>
  <c r="G18" i="12" s="1"/>
  <c r="L18" i="12" a="1"/>
  <c r="L18" i="12" s="1"/>
  <c r="J18" i="12" a="1"/>
  <c r="J18" i="12" s="1"/>
  <c r="O18" i="12" a="1"/>
  <c r="O18" i="12" s="1"/>
  <c r="D19" i="12"/>
  <c r="DH14" i="12"/>
  <c r="DE15" i="12"/>
  <c r="DG15" i="12"/>
  <c r="DF15" i="12"/>
  <c r="E76" i="12"/>
  <c r="E77" i="12" s="1"/>
  <c r="E78" i="12" s="1"/>
  <c r="E79" i="12" s="1"/>
  <c r="E80" i="12" s="1"/>
  <c r="E81" i="12" s="1"/>
  <c r="E82" i="12" s="1"/>
  <c r="E83" i="12" s="1"/>
  <c r="E84" i="12" s="1"/>
  <c r="E85" i="12" s="1"/>
  <c r="E86" i="12" s="1"/>
  <c r="E87" i="12" s="1"/>
  <c r="E88" i="12" s="1"/>
  <c r="E89" i="12" s="1"/>
  <c r="E90" i="12" s="1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U17" i="9"/>
  <c r="AW17" i="9" s="1"/>
  <c r="AV17" i="9"/>
  <c r="CH17" i="9"/>
  <c r="CG17" i="9"/>
  <c r="CI17" i="9" s="1"/>
  <c r="FF17" i="9"/>
  <c r="EL17" i="9"/>
  <c r="EN17" i="9" s="1"/>
  <c r="CZ17" i="9"/>
  <c r="DB17" i="9" s="1"/>
  <c r="DA17" i="9"/>
  <c r="EM17" i="9"/>
  <c r="DS17" i="9"/>
  <c r="DU17" i="9" s="1"/>
  <c r="AB17" i="9" l="1"/>
  <c r="AD17" i="9" s="1"/>
  <c r="FM15" i="12"/>
  <c r="CO15" i="12"/>
  <c r="BN17" i="9"/>
  <c r="BP17" i="9" s="1"/>
  <c r="BO18" i="9" s="1"/>
  <c r="BC15" i="12"/>
  <c r="DH15" i="12"/>
  <c r="AB18" i="9"/>
  <c r="AD18" i="9" s="1"/>
  <c r="DT18" i="9"/>
  <c r="CG18" i="9"/>
  <c r="CI18" i="9" s="1"/>
  <c r="CZ18" i="9"/>
  <c r="DB18" i="9" s="1"/>
  <c r="EL18" i="9"/>
  <c r="EN18" i="9" s="1"/>
  <c r="AV18" i="9"/>
  <c r="AJ15" i="12"/>
  <c r="FF18" i="9"/>
  <c r="EM18" i="9"/>
  <c r="FF17" i="12"/>
  <c r="FE17" i="12"/>
  <c r="FG17" i="12" s="1"/>
  <c r="CK17" i="12"/>
  <c r="DD17" i="12"/>
  <c r="BO17" i="12"/>
  <c r="AC17" i="12"/>
  <c r="BN17" i="12"/>
  <c r="BP17" i="12" s="1"/>
  <c r="AB17" i="12"/>
  <c r="AD17" i="12" s="1"/>
  <c r="CG17" i="12"/>
  <c r="CI17" i="12" s="1"/>
  <c r="BR17" i="12"/>
  <c r="AY17" i="12"/>
  <c r="DS17" i="12"/>
  <c r="DU17" i="12" s="1"/>
  <c r="EM17" i="12"/>
  <c r="FI17" i="12"/>
  <c r="DT17" i="12"/>
  <c r="DW17" i="12"/>
  <c r="EL17" i="12"/>
  <c r="EN17" i="12" s="1"/>
  <c r="DA17" i="12"/>
  <c r="CH17" i="12"/>
  <c r="AF17" i="12"/>
  <c r="CZ17" i="12"/>
  <c r="DB17" i="12" s="1"/>
  <c r="AV17" i="12"/>
  <c r="AU17" i="12"/>
  <c r="AW17" i="12" s="1"/>
  <c r="EQ16" i="12"/>
  <c r="ER16" i="12"/>
  <c r="ES16" i="12"/>
  <c r="EP17" i="12"/>
  <c r="DX16" i="12"/>
  <c r="DZ16" i="12"/>
  <c r="DY16" i="12"/>
  <c r="FE18" i="9"/>
  <c r="FG18" i="9" s="1"/>
  <c r="EJ19" i="9"/>
  <c r="EK19" i="9" s="1"/>
  <c r="FC19" i="9"/>
  <c r="FD19" i="9" s="1"/>
  <c r="AS19" i="9"/>
  <c r="AT19" i="9" s="1"/>
  <c r="CE19" i="9"/>
  <c r="CF19" i="9" s="1"/>
  <c r="Z19" i="9"/>
  <c r="AA19" i="9" s="1"/>
  <c r="DQ19" i="9"/>
  <c r="DR19" i="9" s="1"/>
  <c r="BL19" i="9"/>
  <c r="BM19" i="9" s="1"/>
  <c r="CX19" i="9"/>
  <c r="CY19" i="9" s="1"/>
  <c r="I20" i="9"/>
  <c r="J19" i="12" a="1"/>
  <c r="J19" i="12" s="1"/>
  <c r="L19" i="12" a="1"/>
  <c r="L19" i="12" s="1"/>
  <c r="G19" i="12" a="1"/>
  <c r="G19" i="12" s="1"/>
  <c r="K19" i="12" a="1"/>
  <c r="K19" i="12" s="1"/>
  <c r="H19" i="12" a="1"/>
  <c r="H19" i="12" s="1"/>
  <c r="O19" i="12" a="1"/>
  <c r="O19" i="12" s="1"/>
  <c r="N19" i="12" a="1"/>
  <c r="N19" i="12" s="1"/>
  <c r="D20" i="12"/>
  <c r="DA18" i="9"/>
  <c r="CH18" i="9"/>
  <c r="L20" i="9" a="1"/>
  <c r="L20" i="9" s="1"/>
  <c r="H20" i="9" a="1"/>
  <c r="H20" i="9" s="1"/>
  <c r="G20" i="9" a="1"/>
  <c r="G20" i="9" s="1"/>
  <c r="K20" i="9" a="1"/>
  <c r="K20" i="9" s="1"/>
  <c r="J20" i="9" a="1"/>
  <c r="J20" i="9" s="1"/>
  <c r="O20" i="9" a="1"/>
  <c r="O20" i="9" s="1"/>
  <c r="N20" i="9" a="1"/>
  <c r="N20" i="9" s="1"/>
  <c r="D21" i="9"/>
  <c r="M19" i="9"/>
  <c r="P19" i="9" s="1"/>
  <c r="Q19" i="9" s="1"/>
  <c r="AZ16" i="12"/>
  <c r="BB16" i="12"/>
  <c r="BA16" i="12"/>
  <c r="DE16" i="12"/>
  <c r="DG16" i="12"/>
  <c r="DF16" i="12"/>
  <c r="E237" i="9"/>
  <c r="E238" i="9" s="1"/>
  <c r="E239" i="9" s="1"/>
  <c r="E240" i="9" s="1"/>
  <c r="E241" i="9" s="1"/>
  <c r="E242" i="9" s="1"/>
  <c r="E243" i="9" s="1"/>
  <c r="E244" i="9" s="1"/>
  <c r="DS18" i="9"/>
  <c r="DU18" i="9" s="1"/>
  <c r="BS16" i="12"/>
  <c r="BT16" i="12"/>
  <c r="BU16" i="12"/>
  <c r="E113" i="12"/>
  <c r="E114" i="12" s="1"/>
  <c r="E115" i="12" s="1"/>
  <c r="E116" i="12" s="1"/>
  <c r="E117" i="12" s="1"/>
  <c r="E118" i="12" s="1"/>
  <c r="E119" i="12" s="1"/>
  <c r="E120" i="12" s="1"/>
  <c r="E121" i="12" s="1"/>
  <c r="E122" i="12" s="1"/>
  <c r="E123" i="12" s="1"/>
  <c r="E124" i="12" s="1"/>
  <c r="M18" i="12"/>
  <c r="P18" i="12" s="1"/>
  <c r="Q18" i="12" s="1"/>
  <c r="BN18" i="9"/>
  <c r="BP18" i="9" s="1"/>
  <c r="CN16" i="12"/>
  <c r="CM16" i="12"/>
  <c r="CL16" i="12"/>
  <c r="AH16" i="12"/>
  <c r="AI16" i="12"/>
  <c r="AG16" i="12"/>
  <c r="FJ16" i="12"/>
  <c r="FL16" i="12"/>
  <c r="FK16" i="12"/>
  <c r="AC18" i="9"/>
  <c r="AU18" i="9"/>
  <c r="AW18" i="9" s="1"/>
  <c r="O15" i="8"/>
  <c r="T15" i="8" s="1"/>
  <c r="O18" i="8"/>
  <c r="Q18" i="8" s="1"/>
  <c r="O17" i="8"/>
  <c r="AF17" i="8" s="1"/>
  <c r="AG17" i="8" s="1"/>
  <c r="O13" i="8"/>
  <c r="AE13" i="8" s="1"/>
  <c r="O16" i="8"/>
  <c r="T16" i="8" s="1"/>
  <c r="O10" i="8"/>
  <c r="Q10" i="8" s="1"/>
  <c r="O11" i="8"/>
  <c r="Q11" i="8" s="1"/>
  <c r="O12" i="8"/>
  <c r="AF12" i="8" s="1"/>
  <c r="O14" i="8"/>
  <c r="Q14" i="8" s="1"/>
  <c r="O19" i="8"/>
  <c r="AF19" i="8" s="1"/>
  <c r="O20" i="8"/>
  <c r="T20" i="8" s="1"/>
  <c r="O9" i="8"/>
  <c r="BO18" i="12" l="1"/>
  <c r="CH18" i="12"/>
  <c r="BN18" i="12"/>
  <c r="BP18" i="12" s="1"/>
  <c r="EL18" i="12"/>
  <c r="EN18" i="12" s="1"/>
  <c r="ES18" i="12" s="1"/>
  <c r="AU18" i="12"/>
  <c r="AW18" i="12" s="1"/>
  <c r="BA18" i="12" s="1"/>
  <c r="CG18" i="12"/>
  <c r="CI18" i="12" s="1"/>
  <c r="CN18" i="12" s="1"/>
  <c r="EM18" i="12"/>
  <c r="FE18" i="12"/>
  <c r="FG18" i="12" s="1"/>
  <c r="FL18" i="12" s="1"/>
  <c r="AV18" i="12"/>
  <c r="EP18" i="12"/>
  <c r="AA20" i="8"/>
  <c r="Y20" i="8"/>
  <c r="CZ18" i="12"/>
  <c r="DB18" i="12" s="1"/>
  <c r="DE18" i="12" s="1"/>
  <c r="AA15" i="8"/>
  <c r="Y15" i="8"/>
  <c r="M19" i="12"/>
  <c r="P19" i="12" s="1"/>
  <c r="Q19" i="12" s="1"/>
  <c r="AY18" i="12"/>
  <c r="CK18" i="12"/>
  <c r="DD18" i="12"/>
  <c r="BR18" i="12"/>
  <c r="FF18" i="12"/>
  <c r="DT18" i="12"/>
  <c r="DW18" i="12"/>
  <c r="AC18" i="12"/>
  <c r="AA16" i="8"/>
  <c r="Y16" i="8"/>
  <c r="FI18" i="12"/>
  <c r="EA16" i="12"/>
  <c r="M20" i="9"/>
  <c r="P20" i="9" s="1"/>
  <c r="Q20" i="9" s="1"/>
  <c r="BV16" i="12"/>
  <c r="DA18" i="12"/>
  <c r="FM16" i="12"/>
  <c r="AJ16" i="12"/>
  <c r="BC16" i="12"/>
  <c r="AB18" i="12"/>
  <c r="AD18" i="12" s="1"/>
  <c r="AI18" i="12" s="1"/>
  <c r="CO16" i="12"/>
  <c r="FF19" i="9"/>
  <c r="CH19" i="9"/>
  <c r="BO19" i="9"/>
  <c r="AU19" i="9"/>
  <c r="AW19" i="9" s="1"/>
  <c r="FE19" i="9"/>
  <c r="FG19" i="9" s="1"/>
  <c r="AV19" i="9"/>
  <c r="CG19" i="9"/>
  <c r="CI19" i="9" s="1"/>
  <c r="BN19" i="9"/>
  <c r="BP19" i="9" s="1"/>
  <c r="DA19" i="9"/>
  <c r="AC19" i="9"/>
  <c r="CZ19" i="9"/>
  <c r="DB19" i="9" s="1"/>
  <c r="AB19" i="9"/>
  <c r="AD19" i="9" s="1"/>
  <c r="EM19" i="9"/>
  <c r="EL19" i="9"/>
  <c r="EN19" i="9" s="1"/>
  <c r="DS19" i="9"/>
  <c r="DU19" i="9" s="1"/>
  <c r="DT19" i="9"/>
  <c r="P5" i="12"/>
  <c r="P5" i="9"/>
  <c r="FJ17" i="12"/>
  <c r="FK17" i="12"/>
  <c r="FL17" i="12"/>
  <c r="DX17" i="12"/>
  <c r="DY17" i="12"/>
  <c r="DZ17" i="12"/>
  <c r="CE20" i="9"/>
  <c r="CF20" i="9" s="1"/>
  <c r="BL20" i="9"/>
  <c r="BM20" i="9" s="1"/>
  <c r="FC20" i="9"/>
  <c r="FD20" i="9" s="1"/>
  <c r="AS20" i="9"/>
  <c r="AT20" i="9" s="1"/>
  <c r="CX20" i="9"/>
  <c r="CY20" i="9" s="1"/>
  <c r="EJ20" i="9"/>
  <c r="EK20" i="9" s="1"/>
  <c r="DQ20" i="9"/>
  <c r="DR20" i="9" s="1"/>
  <c r="Z20" i="9"/>
  <c r="AA20" i="9" s="1"/>
  <c r="I21" i="9"/>
  <c r="EQ17" i="12"/>
  <c r="ES17" i="12"/>
  <c r="ER17" i="12"/>
  <c r="CL17" i="12"/>
  <c r="CM17" i="12"/>
  <c r="CN17" i="12"/>
  <c r="AF18" i="12"/>
  <c r="AG17" i="12"/>
  <c r="AI17" i="12"/>
  <c r="AH17" i="12"/>
  <c r="DS18" i="12"/>
  <c r="DU18" i="12" s="1"/>
  <c r="E245" i="9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AZ17" i="12"/>
  <c r="BB17" i="12"/>
  <c r="BA17" i="12"/>
  <c r="BS17" i="12"/>
  <c r="BU17" i="12"/>
  <c r="BT17" i="12"/>
  <c r="E125" i="12"/>
  <c r="E126" i="12" s="1"/>
  <c r="E127" i="12" s="1"/>
  <c r="E128" i="12" s="1"/>
  <c r="EQ18" i="12"/>
  <c r="BS18" i="12"/>
  <c r="BT18" i="12"/>
  <c r="BU18" i="12"/>
  <c r="L21" i="9" a="1"/>
  <c r="L21" i="9" s="1"/>
  <c r="N21" i="9" a="1"/>
  <c r="N21" i="9" s="1"/>
  <c r="K21" i="9" a="1"/>
  <c r="K21" i="9" s="1"/>
  <c r="J21" i="9" a="1"/>
  <c r="J21" i="9" s="1"/>
  <c r="O21" i="9" a="1"/>
  <c r="O21" i="9" s="1"/>
  <c r="G21" i="9" a="1"/>
  <c r="G21" i="9" s="1"/>
  <c r="H21" i="9" a="1"/>
  <c r="H21" i="9" s="1"/>
  <c r="D22" i="9"/>
  <c r="G20" i="12" a="1"/>
  <c r="G20" i="12" s="1"/>
  <c r="L20" i="12" a="1"/>
  <c r="L20" i="12" s="1"/>
  <c r="H20" i="12" a="1"/>
  <c r="H20" i="12" s="1"/>
  <c r="N20" i="12" a="1"/>
  <c r="N20" i="12" s="1"/>
  <c r="K20" i="12" a="1"/>
  <c r="K20" i="12" s="1"/>
  <c r="J20" i="12" a="1"/>
  <c r="J20" i="12" s="1"/>
  <c r="O20" i="12" a="1"/>
  <c r="O20" i="12" s="1"/>
  <c r="D21" i="12"/>
  <c r="P6" i="12"/>
  <c r="P6" i="9"/>
  <c r="P9" i="12"/>
  <c r="P9" i="9"/>
  <c r="DH16" i="12"/>
  <c r="ET16" i="12"/>
  <c r="DE17" i="12"/>
  <c r="DF17" i="12"/>
  <c r="DG17" i="12"/>
  <c r="S16" i="8"/>
  <c r="T11" i="8"/>
  <c r="T10" i="8"/>
  <c r="Q19" i="8"/>
  <c r="T13" i="8"/>
  <c r="AF13" i="8"/>
  <c r="AG13" i="8" s="1"/>
  <c r="AF18" i="8"/>
  <c r="AG18" i="8" s="1"/>
  <c r="Q13" i="8"/>
  <c r="S14" i="8"/>
  <c r="S10" i="8"/>
  <c r="Q16" i="8"/>
  <c r="R16" i="8" s="1"/>
  <c r="T19" i="8"/>
  <c r="AE16" i="8"/>
  <c r="AF15" i="8"/>
  <c r="AG15" i="8" s="1"/>
  <c r="S12" i="8"/>
  <c r="S11" i="8"/>
  <c r="AF16" i="8"/>
  <c r="AG16" i="8" s="1"/>
  <c r="AE9" i="8"/>
  <c r="T9" i="8"/>
  <c r="AF9" i="8"/>
  <c r="H24" i="8" s="1"/>
  <c r="S9" i="8"/>
  <c r="S20" i="8"/>
  <c r="AE20" i="8"/>
  <c r="AF20" i="8"/>
  <c r="Q20" i="8"/>
  <c r="R20" i="8" s="1"/>
  <c r="Q9" i="8"/>
  <c r="AG12" i="8"/>
  <c r="P19" i="8"/>
  <c r="R18" i="8"/>
  <c r="AG19" i="8"/>
  <c r="R11" i="8"/>
  <c r="P12" i="8"/>
  <c r="R14" i="8"/>
  <c r="P15" i="8"/>
  <c r="P11" i="8"/>
  <c r="R10" i="8"/>
  <c r="Q12" i="8"/>
  <c r="AE17" i="8"/>
  <c r="S13" i="8"/>
  <c r="S17" i="8"/>
  <c r="U17" i="8" s="1" a="1"/>
  <c r="U17" i="8" s="1"/>
  <c r="X17" i="8" s="1" a="1"/>
  <c r="X17" i="8" s="1"/>
  <c r="AF14" i="8"/>
  <c r="AE12" i="8"/>
  <c r="T17" i="8"/>
  <c r="AE19" i="8"/>
  <c r="AE14" i="8"/>
  <c r="AE15" i="8"/>
  <c r="S19" i="8"/>
  <c r="AF11" i="8"/>
  <c r="Q17" i="8"/>
  <c r="AE18" i="8"/>
  <c r="T18" i="8"/>
  <c r="AE11" i="8"/>
  <c r="AE10" i="8"/>
  <c r="T14" i="8"/>
  <c r="T12" i="8"/>
  <c r="S18" i="8"/>
  <c r="S15" i="8"/>
  <c r="AF10" i="8"/>
  <c r="Q15" i="8"/>
  <c r="BB18" i="12" l="1"/>
  <c r="AZ18" i="12"/>
  <c r="BC18" i="12" s="1"/>
  <c r="ER18" i="12"/>
  <c r="ET18" i="12" s="1"/>
  <c r="FK18" i="12"/>
  <c r="FJ18" i="12"/>
  <c r="FM17" i="12"/>
  <c r="CL18" i="12"/>
  <c r="AA13" i="8"/>
  <c r="Y13" i="8"/>
  <c r="AA19" i="8"/>
  <c r="Y19" i="8"/>
  <c r="DG18" i="12"/>
  <c r="DF18" i="12"/>
  <c r="AA14" i="8"/>
  <c r="Y14" i="8"/>
  <c r="AA18" i="8"/>
  <c r="Y18" i="8"/>
  <c r="CM18" i="12"/>
  <c r="Y17" i="8"/>
  <c r="AA17" i="8"/>
  <c r="AA9" i="8"/>
  <c r="Y9" i="8"/>
  <c r="AG18" i="12"/>
  <c r="AH18" i="12"/>
  <c r="AJ17" i="12"/>
  <c r="BV17" i="12"/>
  <c r="M20" i="12"/>
  <c r="P20" i="12" s="1"/>
  <c r="Q20" i="12" s="1"/>
  <c r="CO17" i="12"/>
  <c r="ET17" i="12"/>
  <c r="BV18" i="12"/>
  <c r="DH17" i="12"/>
  <c r="BC17" i="12"/>
  <c r="P10" i="12"/>
  <c r="P10" i="9"/>
  <c r="M21" i="9"/>
  <c r="P21" i="9" s="1"/>
  <c r="Q21" i="9" s="1"/>
  <c r="DX18" i="12"/>
  <c r="DZ18" i="12"/>
  <c r="DY18" i="12"/>
  <c r="P8" i="12"/>
  <c r="P8" i="9"/>
  <c r="E129" i="12"/>
  <c r="E130" i="12" s="1"/>
  <c r="E131" i="12" s="1"/>
  <c r="E132" i="12" s="1"/>
  <c r="E133" i="12" s="1"/>
  <c r="E134" i="12" s="1"/>
  <c r="E135" i="12" s="1"/>
  <c r="E136" i="12" s="1"/>
  <c r="E137" i="12" s="1"/>
  <c r="E138" i="12" s="1"/>
  <c r="E139" i="12" s="1"/>
  <c r="E273" i="9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P7" i="12"/>
  <c r="P7" i="9"/>
  <c r="CH20" i="9"/>
  <c r="BN20" i="9"/>
  <c r="BP20" i="9" s="1"/>
  <c r="CG20" i="9"/>
  <c r="CI20" i="9" s="1"/>
  <c r="BO20" i="9"/>
  <c r="FF20" i="9"/>
  <c r="AU20" i="9"/>
  <c r="AW20" i="9" s="1"/>
  <c r="FE20" i="9"/>
  <c r="FG20" i="9" s="1"/>
  <c r="AV20" i="9"/>
  <c r="EL20" i="9"/>
  <c r="EN20" i="9" s="1"/>
  <c r="AC20" i="9"/>
  <c r="AB20" i="9"/>
  <c r="AD20" i="9" s="1"/>
  <c r="CZ20" i="9"/>
  <c r="DB20" i="9" s="1"/>
  <c r="EM20" i="9"/>
  <c r="DA20" i="9"/>
  <c r="DT20" i="9"/>
  <c r="DS20" i="9"/>
  <c r="DU20" i="9" s="1"/>
  <c r="O21" i="12" a="1"/>
  <c r="O21" i="12" s="1"/>
  <c r="J21" i="12" a="1"/>
  <c r="J21" i="12" s="1"/>
  <c r="L21" i="12" a="1"/>
  <c r="L21" i="12" s="1"/>
  <c r="K21" i="12" a="1"/>
  <c r="K21" i="12" s="1"/>
  <c r="G21" i="12" a="1"/>
  <c r="G21" i="12" s="1"/>
  <c r="H21" i="12" a="1"/>
  <c r="H21" i="12" s="1"/>
  <c r="N21" i="12" a="1"/>
  <c r="N21" i="12" s="1"/>
  <c r="D22" i="12"/>
  <c r="G22" i="9" a="1"/>
  <c r="G22" i="9" s="1"/>
  <c r="K22" i="9" a="1"/>
  <c r="K22" i="9" s="1"/>
  <c r="J22" i="9" a="1"/>
  <c r="J22" i="9" s="1"/>
  <c r="N22" i="9" a="1"/>
  <c r="N22" i="9" s="1"/>
  <c r="O22" i="9" a="1"/>
  <c r="O22" i="9" s="1"/>
  <c r="L22" i="9" a="1"/>
  <c r="L22" i="9" s="1"/>
  <c r="H22" i="9" a="1"/>
  <c r="H22" i="9" s="1"/>
  <c r="D23" i="9"/>
  <c r="EA17" i="12"/>
  <c r="EP19" i="12"/>
  <c r="FE19" i="12"/>
  <c r="FG19" i="12" s="1"/>
  <c r="FF19" i="12"/>
  <c r="DD19" i="12"/>
  <c r="DD20" i="12" s="1"/>
  <c r="CK19" i="12"/>
  <c r="AC19" i="12"/>
  <c r="BO19" i="12"/>
  <c r="AB19" i="12"/>
  <c r="AD19" i="12" s="1"/>
  <c r="BN19" i="12"/>
  <c r="BP19" i="12" s="1"/>
  <c r="EL19" i="12"/>
  <c r="EN19" i="12" s="1"/>
  <c r="FI19" i="12"/>
  <c r="AF19" i="12"/>
  <c r="AF20" i="12" s="1"/>
  <c r="EM19" i="12"/>
  <c r="DW19" i="12"/>
  <c r="DA19" i="12"/>
  <c r="BR19" i="12"/>
  <c r="CZ19" i="12"/>
  <c r="DB19" i="12" s="1"/>
  <c r="DT19" i="12"/>
  <c r="CG19" i="12"/>
  <c r="CI19" i="12" s="1"/>
  <c r="AY19" i="12"/>
  <c r="CH19" i="12"/>
  <c r="DS19" i="12"/>
  <c r="DU19" i="12" s="1"/>
  <c r="AV19" i="12"/>
  <c r="AU19" i="12"/>
  <c r="AW19" i="12" s="1"/>
  <c r="P4" i="12"/>
  <c r="P4" i="9"/>
  <c r="BL21" i="9"/>
  <c r="BM21" i="9" s="1"/>
  <c r="FC21" i="9"/>
  <c r="FD21" i="9" s="1"/>
  <c r="AS21" i="9"/>
  <c r="AT21" i="9" s="1"/>
  <c r="DQ21" i="9"/>
  <c r="DR21" i="9" s="1"/>
  <c r="CX21" i="9"/>
  <c r="CY21" i="9" s="1"/>
  <c r="CE21" i="9"/>
  <c r="CF21" i="9" s="1"/>
  <c r="Z21" i="9"/>
  <c r="AA21" i="9" s="1"/>
  <c r="EJ21" i="9"/>
  <c r="EK21" i="9" s="1"/>
  <c r="I22" i="9"/>
  <c r="P17" i="8"/>
  <c r="U12" i="8" a="1"/>
  <c r="U12" i="8" s="1"/>
  <c r="X12" i="8" s="1" a="1"/>
  <c r="X12" i="8" s="1"/>
  <c r="U16" i="8" a="1"/>
  <c r="U16" i="8" s="1"/>
  <c r="W16" i="8" s="1" a="1"/>
  <c r="W16" i="8" s="1"/>
  <c r="P14" i="8"/>
  <c r="U19" i="8" a="1"/>
  <c r="U19" i="8" s="1"/>
  <c r="AC19" i="8" s="1"/>
  <c r="R13" i="8"/>
  <c r="U13" i="8" a="1"/>
  <c r="U13" i="8" s="1"/>
  <c r="V13" i="8" s="1" a="1"/>
  <c r="V13" i="8" s="1"/>
  <c r="U18" i="8" a="1"/>
  <c r="U18" i="8" s="1"/>
  <c r="W18" i="8" s="1" a="1"/>
  <c r="W18" i="8" s="1"/>
  <c r="R19" i="8"/>
  <c r="P20" i="8"/>
  <c r="R15" i="8"/>
  <c r="P16" i="8"/>
  <c r="W17" i="8" a="1"/>
  <c r="W17" i="8" s="1"/>
  <c r="AG20" i="8"/>
  <c r="U20" i="8" s="1" a="1"/>
  <c r="U20" i="8" s="1"/>
  <c r="AC20" i="8" s="1"/>
  <c r="R12" i="8"/>
  <c r="P13" i="8"/>
  <c r="AB17" i="8" a="1"/>
  <c r="AB17" i="8" s="1"/>
  <c r="E25" i="8"/>
  <c r="AG10" i="8"/>
  <c r="U10" i="8" s="1" a="1"/>
  <c r="U10" i="8" s="1"/>
  <c r="W10" i="8" s="1" a="1"/>
  <c r="W10" i="8" s="1"/>
  <c r="R9" i="8"/>
  <c r="C25" i="8" s="1"/>
  <c r="P10" i="8"/>
  <c r="AG9" i="8"/>
  <c r="U9" i="8" s="1" a="1"/>
  <c r="U9" i="8" s="1"/>
  <c r="U15" i="8" a="1"/>
  <c r="U15" i="8" s="1"/>
  <c r="AC17" i="8"/>
  <c r="Z17" i="8" a="1"/>
  <c r="Z17" i="8" s="1"/>
  <c r="V17" i="8" a="1"/>
  <c r="V17" i="8" s="1"/>
  <c r="AD17" i="8" a="1"/>
  <c r="AD17" i="8" s="1"/>
  <c r="P18" i="8"/>
  <c r="R17" i="8"/>
  <c r="AG11" i="8"/>
  <c r="U11" i="8" s="1" a="1"/>
  <c r="U11" i="8" s="1"/>
  <c r="X11" i="8" s="1" a="1"/>
  <c r="X11" i="8" s="1"/>
  <c r="F32" i="8"/>
  <c r="F27" i="8"/>
  <c r="F26" i="8"/>
  <c r="F34" i="8"/>
  <c r="S6" i="8"/>
  <c r="C22" i="8" s="1"/>
  <c r="F29" i="8"/>
  <c r="F28" i="8"/>
  <c r="D25" i="8"/>
  <c r="F25" i="8"/>
  <c r="F33" i="8"/>
  <c r="F30" i="8"/>
  <c r="F35" i="8"/>
  <c r="F31" i="8"/>
  <c r="F36" i="8"/>
  <c r="AG14" i="8"/>
  <c r="U14" i="8" s="1" a="1"/>
  <c r="U14" i="8" s="1"/>
  <c r="AC14" i="8" s="1"/>
  <c r="CO18" i="12" l="1"/>
  <c r="FM18" i="12"/>
  <c r="DH18" i="12"/>
  <c r="M21" i="12"/>
  <c r="AJ18" i="12"/>
  <c r="DW20" i="12"/>
  <c r="CH20" i="12"/>
  <c r="FF20" i="12"/>
  <c r="BN20" i="12"/>
  <c r="BP20" i="12" s="1"/>
  <c r="BU20" i="12" s="1"/>
  <c r="EP20" i="12"/>
  <c r="AV20" i="12"/>
  <c r="AB20" i="12"/>
  <c r="AD20" i="12" s="1"/>
  <c r="AG20" i="12" s="1"/>
  <c r="DT21" i="9"/>
  <c r="CZ21" i="9"/>
  <c r="DB21" i="9" s="1"/>
  <c r="AC21" i="9"/>
  <c r="CG21" i="9"/>
  <c r="CI21" i="9" s="1"/>
  <c r="EA18" i="12"/>
  <c r="CK20" i="12"/>
  <c r="BR20" i="12"/>
  <c r="FI20" i="12"/>
  <c r="EQ19" i="12"/>
  <c r="ER19" i="12"/>
  <c r="ES19" i="12"/>
  <c r="DE19" i="12"/>
  <c r="DG19" i="12"/>
  <c r="DF19" i="12"/>
  <c r="O23" i="9" a="1"/>
  <c r="O23" i="9" s="1"/>
  <c r="N23" i="9" a="1"/>
  <c r="N23" i="9" s="1"/>
  <c r="L23" i="9" a="1"/>
  <c r="L23" i="9" s="1"/>
  <c r="K23" i="9" a="1"/>
  <c r="K23" i="9" s="1"/>
  <c r="G23" i="9" a="1"/>
  <c r="G23" i="9" s="1"/>
  <c r="H23" i="9" a="1"/>
  <c r="H23" i="9" s="1"/>
  <c r="J23" i="9" a="1"/>
  <c r="J23" i="9" s="1"/>
  <c r="D24" i="9"/>
  <c r="EL21" i="9"/>
  <c r="EN21" i="9" s="1"/>
  <c r="DX19" i="12"/>
  <c r="DZ19" i="12"/>
  <c r="DY19" i="12"/>
  <c r="CG20" i="12"/>
  <c r="CI20" i="12" s="1"/>
  <c r="BO20" i="12"/>
  <c r="AB21" i="9"/>
  <c r="AD21" i="9" s="1"/>
  <c r="AV21" i="9"/>
  <c r="FJ19" i="12"/>
  <c r="FL19" i="12"/>
  <c r="FK19" i="12"/>
  <c r="AK67" i="12"/>
  <c r="AM67" i="12" s="1"/>
  <c r="AN67" i="12" s="1"/>
  <c r="BW69" i="12"/>
  <c r="BY69" i="12" s="1"/>
  <c r="BZ69" i="12" s="1"/>
  <c r="DI15" i="12"/>
  <c r="DK15" i="12" s="1"/>
  <c r="DL15" i="12" s="1"/>
  <c r="DI19" i="12"/>
  <c r="DK19" i="12" s="1"/>
  <c r="DL19" i="12" s="1"/>
  <c r="EU16" i="12"/>
  <c r="EW16" i="12" s="1"/>
  <c r="EX16" i="12" s="1"/>
  <c r="EU20" i="12"/>
  <c r="EW20" i="12" s="1"/>
  <c r="EX20" i="12" s="1"/>
  <c r="BD16" i="12"/>
  <c r="BF16" i="12" s="1"/>
  <c r="BG16" i="12" s="1"/>
  <c r="BD20" i="12"/>
  <c r="BF20" i="12" s="1"/>
  <c r="BG20" i="12" s="1"/>
  <c r="R13" i="12"/>
  <c r="T13" i="12" s="1"/>
  <c r="R17" i="12"/>
  <c r="T17" i="12" s="1"/>
  <c r="U17" i="12" s="1"/>
  <c r="R21" i="12"/>
  <c r="T21" i="12" s="1"/>
  <c r="U21" i="12" s="1"/>
  <c r="EB16" i="12"/>
  <c r="ED16" i="12" s="1"/>
  <c r="EE16" i="12" s="1"/>
  <c r="EB20" i="12"/>
  <c r="ED20" i="12" s="1"/>
  <c r="EE20" i="12" s="1"/>
  <c r="R78" i="12"/>
  <c r="T78" i="12" s="1"/>
  <c r="U78" i="12" s="1"/>
  <c r="CP13" i="12"/>
  <c r="CR13" i="12" s="1"/>
  <c r="CP17" i="12"/>
  <c r="CR17" i="12" s="1"/>
  <c r="CS17" i="12" s="1"/>
  <c r="AK13" i="12"/>
  <c r="AM13" i="12" s="1"/>
  <c r="BW17" i="12"/>
  <c r="BY17" i="12" s="1"/>
  <c r="BZ17" i="12" s="1"/>
  <c r="BW21" i="12"/>
  <c r="BY21" i="12" s="1"/>
  <c r="BZ21" i="12" s="1"/>
  <c r="AK14" i="12"/>
  <c r="AM14" i="12" s="1"/>
  <c r="AN14" i="12" s="1"/>
  <c r="AK18" i="12"/>
  <c r="AM18" i="12" s="1"/>
  <c r="AN18" i="12" s="1"/>
  <c r="DI13" i="12"/>
  <c r="DK13" i="12" s="1"/>
  <c r="EU17" i="12"/>
  <c r="EW17" i="12" s="1"/>
  <c r="EX17" i="12" s="1"/>
  <c r="EU21" i="12"/>
  <c r="EW21" i="12" s="1"/>
  <c r="EX21" i="12" s="1"/>
  <c r="DI14" i="12"/>
  <c r="DK14" i="12" s="1"/>
  <c r="DL14" i="12" s="1"/>
  <c r="DI18" i="12"/>
  <c r="DK18" i="12" s="1"/>
  <c r="DL18" i="12" s="1"/>
  <c r="R14" i="12"/>
  <c r="T14" i="12" s="1"/>
  <c r="U14" i="12" s="1"/>
  <c r="R18" i="12"/>
  <c r="T18" i="12" s="1"/>
  <c r="U18" i="12" s="1"/>
  <c r="R22" i="12"/>
  <c r="T22" i="12" s="1"/>
  <c r="U22" i="12" s="1"/>
  <c r="BD15" i="12"/>
  <c r="BF15" i="12" s="1"/>
  <c r="BG15" i="12" s="1"/>
  <c r="BD19" i="12"/>
  <c r="BF19" i="12" s="1"/>
  <c r="BG19" i="12" s="1"/>
  <c r="CP14" i="12"/>
  <c r="CR14" i="12" s="1"/>
  <c r="CS14" i="12" s="1"/>
  <c r="CP18" i="12"/>
  <c r="CR18" i="12" s="1"/>
  <c r="CS18" i="12" s="1"/>
  <c r="EB15" i="12"/>
  <c r="ED15" i="12" s="1"/>
  <c r="EE15" i="12" s="1"/>
  <c r="EB19" i="12"/>
  <c r="ED19" i="12" s="1"/>
  <c r="EE19" i="12" s="1"/>
  <c r="BW16" i="12"/>
  <c r="BY16" i="12" s="1"/>
  <c r="BZ16" i="12" s="1"/>
  <c r="EU13" i="12"/>
  <c r="EW13" i="12" s="1"/>
  <c r="DI17" i="12"/>
  <c r="DK17" i="12" s="1"/>
  <c r="DL17" i="12" s="1"/>
  <c r="DI21" i="12"/>
  <c r="DK21" i="12" s="1"/>
  <c r="DL21" i="12" s="1"/>
  <c r="EB363" i="12"/>
  <c r="ED363" i="12" s="1"/>
  <c r="EE363" i="12" s="1"/>
  <c r="EB359" i="12"/>
  <c r="ED359" i="12" s="1"/>
  <c r="EE359" i="12" s="1"/>
  <c r="EB360" i="12"/>
  <c r="ED360" i="12" s="1"/>
  <c r="EE360" i="12" s="1"/>
  <c r="R363" i="12"/>
  <c r="T363" i="12" s="1"/>
  <c r="U363" i="12" s="1"/>
  <c r="CP363" i="12"/>
  <c r="CR363" i="12" s="1"/>
  <c r="CS363" i="12" s="1"/>
  <c r="R360" i="12"/>
  <c r="T360" i="12" s="1"/>
  <c r="U360" i="12" s="1"/>
  <c r="CP360" i="12"/>
  <c r="CR360" i="12" s="1"/>
  <c r="CS360" i="12" s="1"/>
  <c r="AK355" i="12"/>
  <c r="AM355" i="12" s="1"/>
  <c r="AN355" i="12" s="1"/>
  <c r="EB354" i="12"/>
  <c r="ED354" i="12" s="1"/>
  <c r="EE354" i="12" s="1"/>
  <c r="BD352" i="12"/>
  <c r="BF352" i="12" s="1"/>
  <c r="BG352" i="12" s="1"/>
  <c r="R355" i="12"/>
  <c r="T355" i="12" s="1"/>
  <c r="U355" i="12" s="1"/>
  <c r="DI349" i="12"/>
  <c r="DK349" i="12" s="1"/>
  <c r="DL349" i="12" s="1"/>
  <c r="AK356" i="12"/>
  <c r="AM356" i="12" s="1"/>
  <c r="AN356" i="12" s="1"/>
  <c r="BW349" i="12"/>
  <c r="BY349" i="12" s="1"/>
  <c r="BZ349" i="12" s="1"/>
  <c r="EB349" i="12"/>
  <c r="ED349" i="12" s="1"/>
  <c r="EE349" i="12" s="1"/>
  <c r="R346" i="12"/>
  <c r="T346" i="12" s="1"/>
  <c r="U346" i="12" s="1"/>
  <c r="AK350" i="12"/>
  <c r="AM350" i="12" s="1"/>
  <c r="AN350" i="12" s="1"/>
  <c r="AK345" i="12"/>
  <c r="AM345" i="12" s="1"/>
  <c r="AN345" i="12" s="1"/>
  <c r="CP345" i="12"/>
  <c r="CR345" i="12" s="1"/>
  <c r="CS345" i="12" s="1"/>
  <c r="CP341" i="12"/>
  <c r="CR341" i="12" s="1"/>
  <c r="CS341" i="12" s="1"/>
  <c r="DI344" i="12"/>
  <c r="DK344" i="12" s="1"/>
  <c r="DL344" i="12" s="1"/>
  <c r="DI339" i="12"/>
  <c r="DK339" i="12" s="1"/>
  <c r="DL339" i="12" s="1"/>
  <c r="CP344" i="12"/>
  <c r="CR344" i="12" s="1"/>
  <c r="CS344" i="12" s="1"/>
  <c r="EU338" i="12"/>
  <c r="EW338" i="12" s="1"/>
  <c r="EX338" i="12" s="1"/>
  <c r="EU339" i="12"/>
  <c r="EW339" i="12" s="1"/>
  <c r="EX339" i="12" s="1"/>
  <c r="BD335" i="12"/>
  <c r="BF335" i="12" s="1"/>
  <c r="BG335" i="12" s="1"/>
  <c r="BD336" i="12"/>
  <c r="BF336" i="12" s="1"/>
  <c r="BG336" i="12" s="1"/>
  <c r="BD332" i="12"/>
  <c r="BF332" i="12" s="1"/>
  <c r="BG332" i="12" s="1"/>
  <c r="AK338" i="12"/>
  <c r="AM338" i="12" s="1"/>
  <c r="AN338" i="12" s="1"/>
  <c r="BD333" i="12"/>
  <c r="BF333" i="12" s="1"/>
  <c r="BG333" i="12" s="1"/>
  <c r="EB338" i="12"/>
  <c r="ED338" i="12" s="1"/>
  <c r="EE338" i="12" s="1"/>
  <c r="EB329" i="12"/>
  <c r="ED329" i="12" s="1"/>
  <c r="EE329" i="12" s="1"/>
  <c r="EU335" i="12"/>
  <c r="EW335" i="12" s="1"/>
  <c r="EX335" i="12" s="1"/>
  <c r="BD326" i="12"/>
  <c r="BF326" i="12" s="1"/>
  <c r="BG326" i="12" s="1"/>
  <c r="EB334" i="12"/>
  <c r="ED334" i="12" s="1"/>
  <c r="EE334" i="12" s="1"/>
  <c r="EB327" i="12"/>
  <c r="ED327" i="12" s="1"/>
  <c r="EE327" i="12" s="1"/>
  <c r="CP332" i="12"/>
  <c r="CR332" i="12" s="1"/>
  <c r="CS332" i="12" s="1"/>
  <c r="EU326" i="12"/>
  <c r="EW326" i="12" s="1"/>
  <c r="EX326" i="12" s="1"/>
  <c r="CP320" i="12"/>
  <c r="CR320" i="12" s="1"/>
  <c r="CS320" i="12" s="1"/>
  <c r="R330" i="12"/>
  <c r="T330" i="12" s="1"/>
  <c r="U330" i="12" s="1"/>
  <c r="EB323" i="12"/>
  <c r="ED323" i="12" s="1"/>
  <c r="EE323" i="12" s="1"/>
  <c r="EB319" i="12"/>
  <c r="ED319" i="12" s="1"/>
  <c r="EE319" i="12" s="1"/>
  <c r="R326" i="12"/>
  <c r="T326" i="12" s="1"/>
  <c r="U326" i="12" s="1"/>
  <c r="EB320" i="12"/>
  <c r="ED320" i="12" s="1"/>
  <c r="EE320" i="12" s="1"/>
  <c r="EB321" i="12"/>
  <c r="ED321" i="12" s="1"/>
  <c r="EE321" i="12" s="1"/>
  <c r="BW316" i="12"/>
  <c r="BY316" i="12" s="1"/>
  <c r="BZ316" i="12" s="1"/>
  <c r="DI315" i="12"/>
  <c r="DK315" i="12" s="1"/>
  <c r="DL315" i="12" s="1"/>
  <c r="DI311" i="12"/>
  <c r="DK311" i="12" s="1"/>
  <c r="DL311" i="12" s="1"/>
  <c r="R323" i="12"/>
  <c r="T323" i="12" s="1"/>
  <c r="U323" i="12" s="1"/>
  <c r="R315" i="12"/>
  <c r="T315" i="12" s="1"/>
  <c r="U315" i="12" s="1"/>
  <c r="R311" i="12"/>
  <c r="T311" i="12" s="1"/>
  <c r="U311" i="12" s="1"/>
  <c r="EB308" i="12"/>
  <c r="ED308" i="12" s="1"/>
  <c r="EE308" i="12" s="1"/>
  <c r="EB304" i="12"/>
  <c r="ED304" i="12" s="1"/>
  <c r="EE304" i="12" s="1"/>
  <c r="EU311" i="12"/>
  <c r="EW311" i="12" s="1"/>
  <c r="EX311" i="12" s="1"/>
  <c r="EU306" i="12"/>
  <c r="EW306" i="12" s="1"/>
  <c r="EX306" i="12" s="1"/>
  <c r="DI313" i="12"/>
  <c r="DK313" i="12" s="1"/>
  <c r="DL313" i="12" s="1"/>
  <c r="R308" i="12"/>
  <c r="T308" i="12" s="1"/>
  <c r="U308" i="12" s="1"/>
  <c r="R304" i="12"/>
  <c r="T304" i="12" s="1"/>
  <c r="U304" i="12" s="1"/>
  <c r="R313" i="12"/>
  <c r="T313" i="12" s="1"/>
  <c r="U313" i="12" s="1"/>
  <c r="BD307" i="12"/>
  <c r="BF307" i="12" s="1"/>
  <c r="BG307" i="12" s="1"/>
  <c r="CP303" i="12"/>
  <c r="CR303" i="12" s="1"/>
  <c r="CS303" i="12" s="1"/>
  <c r="EB299" i="12"/>
  <c r="ED299" i="12" s="1"/>
  <c r="EE299" i="12" s="1"/>
  <c r="EB303" i="12"/>
  <c r="ED303" i="12" s="1"/>
  <c r="EE303" i="12" s="1"/>
  <c r="DI299" i="12"/>
  <c r="DK299" i="12" s="1"/>
  <c r="DL299" i="12" s="1"/>
  <c r="DI295" i="12"/>
  <c r="DK295" i="12" s="1"/>
  <c r="DL295" i="12" s="1"/>
  <c r="DI291" i="12"/>
  <c r="DK291" i="12" s="1"/>
  <c r="DL291" i="12" s="1"/>
  <c r="DI300" i="12"/>
  <c r="DK300" i="12" s="1"/>
  <c r="DL300" i="12" s="1"/>
  <c r="DI296" i="12"/>
  <c r="DK296" i="12" s="1"/>
  <c r="DL296" i="12" s="1"/>
  <c r="DI292" i="12"/>
  <c r="DK292" i="12" s="1"/>
  <c r="DL292" i="12" s="1"/>
  <c r="DI290" i="12"/>
  <c r="DK290" i="12" s="1"/>
  <c r="DL290" i="12" s="1"/>
  <c r="BD288" i="12"/>
  <c r="BF288" i="12" s="1"/>
  <c r="BG288" i="12" s="1"/>
  <c r="BD284" i="12"/>
  <c r="BF284" i="12" s="1"/>
  <c r="BG284" i="12" s="1"/>
  <c r="BD280" i="12"/>
  <c r="BF280" i="12" s="1"/>
  <c r="BG280" i="12" s="1"/>
  <c r="R290" i="12"/>
  <c r="T290" i="12" s="1"/>
  <c r="U290" i="12" s="1"/>
  <c r="AK288" i="12"/>
  <c r="AM288" i="12" s="1"/>
  <c r="AN288" i="12" s="1"/>
  <c r="AK284" i="12"/>
  <c r="AM284" i="12" s="1"/>
  <c r="AN284" i="12" s="1"/>
  <c r="AK280" i="12"/>
  <c r="AM280" i="12" s="1"/>
  <c r="AN280" i="12" s="1"/>
  <c r="EB290" i="12"/>
  <c r="ED290" i="12" s="1"/>
  <c r="EE290" i="12" s="1"/>
  <c r="CP288" i="12"/>
  <c r="CR288" i="12" s="1"/>
  <c r="CS288" i="12" s="1"/>
  <c r="CP284" i="12"/>
  <c r="CR284" i="12" s="1"/>
  <c r="CS284" i="12" s="1"/>
  <c r="CP280" i="12"/>
  <c r="CR280" i="12" s="1"/>
  <c r="CS280" i="12" s="1"/>
  <c r="CP276" i="12"/>
  <c r="CR276" i="12" s="1"/>
  <c r="CS276" i="12" s="1"/>
  <c r="EB298" i="12"/>
  <c r="ED298" i="12" s="1"/>
  <c r="EE298" i="12" s="1"/>
  <c r="CP273" i="12"/>
  <c r="CR273" i="12" s="1"/>
  <c r="CS273" i="12" s="1"/>
  <c r="CP269" i="12"/>
  <c r="CR269" i="12" s="1"/>
  <c r="CS269" i="12" s="1"/>
  <c r="BW280" i="12"/>
  <c r="BY280" i="12" s="1"/>
  <c r="BZ280" i="12" s="1"/>
  <c r="BD276" i="12"/>
  <c r="BF276" i="12" s="1"/>
  <c r="BG276" i="12" s="1"/>
  <c r="BD272" i="12"/>
  <c r="BF272" i="12" s="1"/>
  <c r="BG272" i="12" s="1"/>
  <c r="BD268" i="12"/>
  <c r="BF268" i="12" s="1"/>
  <c r="BG268" i="12" s="1"/>
  <c r="EB291" i="12"/>
  <c r="ED291" i="12" s="1"/>
  <c r="EE291" i="12" s="1"/>
  <c r="CP289" i="12"/>
  <c r="CR289" i="12" s="1"/>
  <c r="CS289" i="12" s="1"/>
  <c r="BW277" i="12"/>
  <c r="BY277" i="12" s="1"/>
  <c r="BZ277" i="12" s="1"/>
  <c r="BD273" i="12"/>
  <c r="BF273" i="12" s="1"/>
  <c r="BG273" i="12" s="1"/>
  <c r="BD269" i="12"/>
  <c r="BF269" i="12" s="1"/>
  <c r="BG269" i="12" s="1"/>
  <c r="BD265" i="12"/>
  <c r="BF265" i="12" s="1"/>
  <c r="BG265" i="12" s="1"/>
  <c r="DI279" i="12"/>
  <c r="DK279" i="12" s="1"/>
  <c r="DL279" i="12" s="1"/>
  <c r="EU262" i="12"/>
  <c r="EW262" i="12" s="1"/>
  <c r="EX262" i="12" s="1"/>
  <c r="EU258" i="12"/>
  <c r="EW258" i="12" s="1"/>
  <c r="EX258" i="12" s="1"/>
  <c r="EU254" i="12"/>
  <c r="EW254" i="12" s="1"/>
  <c r="EX254" i="12" s="1"/>
  <c r="EU250" i="12"/>
  <c r="EW250" i="12" s="1"/>
  <c r="EX250" i="12" s="1"/>
  <c r="EU267" i="12"/>
  <c r="EW267" i="12" s="1"/>
  <c r="EX267" i="12" s="1"/>
  <c r="CP260" i="12"/>
  <c r="CR260" i="12" s="1"/>
  <c r="CS260" i="12" s="1"/>
  <c r="CP256" i="12"/>
  <c r="CR256" i="12" s="1"/>
  <c r="CS256" i="12" s="1"/>
  <c r="CP252" i="12"/>
  <c r="CR252" i="12" s="1"/>
  <c r="CS252" i="12" s="1"/>
  <c r="BD270" i="12"/>
  <c r="BF270" i="12" s="1"/>
  <c r="BG270" i="12" s="1"/>
  <c r="BD263" i="12"/>
  <c r="BF263" i="12" s="1"/>
  <c r="BG263" i="12" s="1"/>
  <c r="BD259" i="12"/>
  <c r="BF259" i="12" s="1"/>
  <c r="BG259" i="12" s="1"/>
  <c r="BD255" i="12"/>
  <c r="BF255" i="12" s="1"/>
  <c r="BG255" i="12" s="1"/>
  <c r="BD251" i="12"/>
  <c r="BF251" i="12" s="1"/>
  <c r="BG251" i="12" s="1"/>
  <c r="CP278" i="12"/>
  <c r="CR278" i="12" s="1"/>
  <c r="CS278" i="12" s="1"/>
  <c r="EB270" i="12"/>
  <c r="ED270" i="12" s="1"/>
  <c r="EE270" i="12" s="1"/>
  <c r="EB260" i="12"/>
  <c r="ED260" i="12" s="1"/>
  <c r="EE260" i="12" s="1"/>
  <c r="EB256" i="12"/>
  <c r="ED256" i="12" s="1"/>
  <c r="EE256" i="12" s="1"/>
  <c r="EB252" i="12"/>
  <c r="ED252" i="12" s="1"/>
  <c r="EE252" i="12" s="1"/>
  <c r="EB248" i="12"/>
  <c r="ED248" i="12" s="1"/>
  <c r="EE248" i="12" s="1"/>
  <c r="BW245" i="12"/>
  <c r="BY245" i="12" s="1"/>
  <c r="BZ245" i="12" s="1"/>
  <c r="BW241" i="12"/>
  <c r="BY241" i="12" s="1"/>
  <c r="BZ241" i="12" s="1"/>
  <c r="BD250" i="12"/>
  <c r="BF250" i="12" s="1"/>
  <c r="BG250" i="12" s="1"/>
  <c r="BD245" i="12"/>
  <c r="BF245" i="12" s="1"/>
  <c r="BG245" i="12" s="1"/>
  <c r="BD241" i="12"/>
  <c r="BF241" i="12" s="1"/>
  <c r="BG241" i="12" s="1"/>
  <c r="BD237" i="12"/>
  <c r="BF237" i="12" s="1"/>
  <c r="BG237" i="12" s="1"/>
  <c r="CP248" i="12"/>
  <c r="CR248" i="12" s="1"/>
  <c r="CS248" i="12" s="1"/>
  <c r="CP244" i="12"/>
  <c r="CR244" i="12" s="1"/>
  <c r="CS244" i="12" s="1"/>
  <c r="CP240" i="12"/>
  <c r="CR240" i="12" s="1"/>
  <c r="CS240" i="12" s="1"/>
  <c r="AK273" i="12"/>
  <c r="AM273" i="12" s="1"/>
  <c r="AN273" i="12" s="1"/>
  <c r="DI234" i="12"/>
  <c r="DK234" i="12" s="1"/>
  <c r="DL234" i="12" s="1"/>
  <c r="AK230" i="12"/>
  <c r="AM230" i="12" s="1"/>
  <c r="AN230" i="12" s="1"/>
  <c r="AK226" i="12"/>
  <c r="AM226" i="12" s="1"/>
  <c r="AN226" i="12" s="1"/>
  <c r="AK222" i="12"/>
  <c r="AM222" i="12" s="1"/>
  <c r="AN222" i="12" s="1"/>
  <c r="BW236" i="12"/>
  <c r="BY236" i="12" s="1"/>
  <c r="BZ236" i="12" s="1"/>
  <c r="AK231" i="12"/>
  <c r="AM231" i="12" s="1"/>
  <c r="AN231" i="12" s="1"/>
  <c r="AK227" i="12"/>
  <c r="AM227" i="12" s="1"/>
  <c r="AN227" i="12" s="1"/>
  <c r="AK223" i="12"/>
  <c r="AM223" i="12" s="1"/>
  <c r="AN223" i="12" s="1"/>
  <c r="BD243" i="12"/>
  <c r="BF243" i="12" s="1"/>
  <c r="BG243" i="12" s="1"/>
  <c r="AK232" i="12"/>
  <c r="AM232" i="12" s="1"/>
  <c r="AN232" i="12" s="1"/>
  <c r="EU244" i="12"/>
  <c r="EW244" i="12" s="1"/>
  <c r="EX244" i="12" s="1"/>
  <c r="CP238" i="12"/>
  <c r="CR238" i="12" s="1"/>
  <c r="CS238" i="12" s="1"/>
  <c r="CP232" i="12"/>
  <c r="CR232" i="12" s="1"/>
  <c r="CS232" i="12" s="1"/>
  <c r="CP228" i="12"/>
  <c r="CR228" i="12" s="1"/>
  <c r="CS228" i="12" s="1"/>
  <c r="CP224" i="12"/>
  <c r="CR224" i="12" s="1"/>
  <c r="CS224" i="12" s="1"/>
  <c r="AK224" i="12"/>
  <c r="AM224" i="12" s="1"/>
  <c r="AN224" i="12" s="1"/>
  <c r="BW220" i="12"/>
  <c r="BY220" i="12" s="1"/>
  <c r="BZ220" i="12" s="1"/>
  <c r="BW216" i="12"/>
  <c r="BY216" i="12" s="1"/>
  <c r="BZ216" i="12" s="1"/>
  <c r="BW212" i="12"/>
  <c r="BY212" i="12" s="1"/>
  <c r="BZ212" i="12" s="1"/>
  <c r="BW208" i="12"/>
  <c r="BY208" i="12" s="1"/>
  <c r="BZ208" i="12" s="1"/>
  <c r="BD220" i="12"/>
  <c r="BF220" i="12" s="1"/>
  <c r="BG220" i="12" s="1"/>
  <c r="BD216" i="12"/>
  <c r="BF216" i="12" s="1"/>
  <c r="BG216" i="12" s="1"/>
  <c r="BD212" i="12"/>
  <c r="BF212" i="12" s="1"/>
  <c r="BG212" i="12" s="1"/>
  <c r="BD208" i="12"/>
  <c r="BF208" i="12" s="1"/>
  <c r="BG208" i="12" s="1"/>
  <c r="BW226" i="12"/>
  <c r="BY226" i="12" s="1"/>
  <c r="BZ226" i="12" s="1"/>
  <c r="EB217" i="12"/>
  <c r="ED217" i="12" s="1"/>
  <c r="EE217" i="12" s="1"/>
  <c r="EB213" i="12"/>
  <c r="ED213" i="12" s="1"/>
  <c r="EE213" i="12" s="1"/>
  <c r="EB209" i="12"/>
  <c r="ED209" i="12" s="1"/>
  <c r="EE209" i="12" s="1"/>
  <c r="EU219" i="12"/>
  <c r="EW219" i="12" s="1"/>
  <c r="EX219" i="12" s="1"/>
  <c r="EB218" i="12"/>
  <c r="ED218" i="12" s="1"/>
  <c r="EE218" i="12" s="1"/>
  <c r="EU204" i="12"/>
  <c r="EW204" i="12" s="1"/>
  <c r="EX204" i="12" s="1"/>
  <c r="EU200" i="12"/>
  <c r="EW200" i="12" s="1"/>
  <c r="EX200" i="12" s="1"/>
  <c r="EU196" i="12"/>
  <c r="EW196" i="12" s="1"/>
  <c r="EX196" i="12" s="1"/>
  <c r="BW211" i="12"/>
  <c r="BY211" i="12" s="1"/>
  <c r="BZ211" i="12" s="1"/>
  <c r="AK203" i="12"/>
  <c r="AM203" i="12" s="1"/>
  <c r="AN203" i="12" s="1"/>
  <c r="AK199" i="12"/>
  <c r="AM199" i="12" s="1"/>
  <c r="AN199" i="12" s="1"/>
  <c r="BD214" i="12"/>
  <c r="BF214" i="12" s="1"/>
  <c r="BG214" i="12" s="1"/>
  <c r="EU199" i="12"/>
  <c r="EW199" i="12" s="1"/>
  <c r="EX199" i="12" s="1"/>
  <c r="R196" i="12"/>
  <c r="T196" i="12" s="1"/>
  <c r="U196" i="12" s="1"/>
  <c r="EU202" i="12"/>
  <c r="EW202" i="12" s="1"/>
  <c r="EX202" i="12" s="1"/>
  <c r="EB201" i="12"/>
  <c r="ED201" i="12" s="1"/>
  <c r="EE201" i="12" s="1"/>
  <c r="DI191" i="12"/>
  <c r="DK191" i="12" s="1"/>
  <c r="DL191" i="12" s="1"/>
  <c r="DI187" i="12"/>
  <c r="DK187" i="12" s="1"/>
  <c r="DL187" i="12" s="1"/>
  <c r="DI183" i="12"/>
  <c r="DK183" i="12" s="1"/>
  <c r="DL183" i="12" s="1"/>
  <c r="DI179" i="12"/>
  <c r="DK179" i="12" s="1"/>
  <c r="DL179" i="12" s="1"/>
  <c r="DI175" i="12"/>
  <c r="DK175" i="12" s="1"/>
  <c r="DL175" i="12" s="1"/>
  <c r="DI171" i="12"/>
  <c r="DK171" i="12" s="1"/>
  <c r="DL171" i="12" s="1"/>
  <c r="DI167" i="12"/>
  <c r="DK167" i="12" s="1"/>
  <c r="DL167" i="12" s="1"/>
  <c r="AK201" i="12"/>
  <c r="AM201" i="12" s="1"/>
  <c r="AN201" i="12" s="1"/>
  <c r="DI200" i="12"/>
  <c r="DK200" i="12" s="1"/>
  <c r="DL200" i="12" s="1"/>
  <c r="BD193" i="12"/>
  <c r="BF193" i="12" s="1"/>
  <c r="BG193" i="12" s="1"/>
  <c r="BD189" i="12"/>
  <c r="BF189" i="12" s="1"/>
  <c r="BG189" i="12" s="1"/>
  <c r="BD185" i="12"/>
  <c r="BF185" i="12" s="1"/>
  <c r="BG185" i="12" s="1"/>
  <c r="BD181" i="12"/>
  <c r="BF181" i="12" s="1"/>
  <c r="BG181" i="12" s="1"/>
  <c r="BD177" i="12"/>
  <c r="BF177" i="12" s="1"/>
  <c r="BG177" i="12" s="1"/>
  <c r="BD173" i="12"/>
  <c r="BF173" i="12" s="1"/>
  <c r="BG173" i="12" s="1"/>
  <c r="BD169" i="12"/>
  <c r="BF169" i="12" s="1"/>
  <c r="BG169" i="12" s="1"/>
  <c r="BD165" i="12"/>
  <c r="BF165" i="12" s="1"/>
  <c r="BG165" i="12" s="1"/>
  <c r="BD190" i="12"/>
  <c r="BF190" i="12" s="1"/>
  <c r="BG190" i="12" s="1"/>
  <c r="R181" i="12"/>
  <c r="T181" i="12" s="1"/>
  <c r="U181" i="12" s="1"/>
  <c r="AK190" i="12"/>
  <c r="AM190" i="12" s="1"/>
  <c r="AN190" i="12" s="1"/>
  <c r="AK174" i="12"/>
  <c r="AM174" i="12" s="1"/>
  <c r="AN174" i="12" s="1"/>
  <c r="EU161" i="12"/>
  <c r="EW161" i="12" s="1"/>
  <c r="EX161" i="12" s="1"/>
  <c r="EU157" i="12"/>
  <c r="EW157" i="12" s="1"/>
  <c r="EX157" i="12" s="1"/>
  <c r="EU153" i="12"/>
  <c r="EW153" i="12" s="1"/>
  <c r="EX153" i="12" s="1"/>
  <c r="BD187" i="12"/>
  <c r="BF187" i="12" s="1"/>
  <c r="BG187" i="12" s="1"/>
  <c r="DI169" i="12"/>
  <c r="DK169" i="12" s="1"/>
  <c r="DL169" i="12" s="1"/>
  <c r="AK204" i="12"/>
  <c r="AM204" i="12" s="1"/>
  <c r="AN204" i="12" s="1"/>
  <c r="DI182" i="12"/>
  <c r="DK182" i="12" s="1"/>
  <c r="DL182" i="12" s="1"/>
  <c r="R165" i="12"/>
  <c r="T165" i="12" s="1"/>
  <c r="U165" i="12" s="1"/>
  <c r="AK160" i="12"/>
  <c r="AM160" i="12" s="1"/>
  <c r="AN160" i="12" s="1"/>
  <c r="AK156" i="12"/>
  <c r="AM156" i="12" s="1"/>
  <c r="AN156" i="12" s="1"/>
  <c r="AK152" i="12"/>
  <c r="AM152" i="12" s="1"/>
  <c r="AN152" i="12" s="1"/>
  <c r="R188" i="12"/>
  <c r="T188" i="12" s="1"/>
  <c r="U188" i="12" s="1"/>
  <c r="BD178" i="12"/>
  <c r="BF178" i="12" s="1"/>
  <c r="BG178" i="12" s="1"/>
  <c r="AK197" i="12"/>
  <c r="AM197" i="12" s="1"/>
  <c r="AN197" i="12" s="1"/>
  <c r="CP180" i="12"/>
  <c r="CR180" i="12" s="1"/>
  <c r="CS180" i="12" s="1"/>
  <c r="BW163" i="12"/>
  <c r="BY163" i="12" s="1"/>
  <c r="BZ163" i="12" s="1"/>
  <c r="BW159" i="12"/>
  <c r="BY159" i="12" s="1"/>
  <c r="BZ159" i="12" s="1"/>
  <c r="BW155" i="12"/>
  <c r="BY155" i="12" s="1"/>
  <c r="BZ155" i="12" s="1"/>
  <c r="BW151" i="12"/>
  <c r="BY151" i="12" s="1"/>
  <c r="BZ151" i="12" s="1"/>
  <c r="BW147" i="12"/>
  <c r="BY147" i="12" s="1"/>
  <c r="BZ147" i="12" s="1"/>
  <c r="BD183" i="12"/>
  <c r="BF183" i="12" s="1"/>
  <c r="BG183" i="12" s="1"/>
  <c r="BW148" i="12"/>
  <c r="BY148" i="12" s="1"/>
  <c r="BZ148" i="12" s="1"/>
  <c r="DI141" i="12"/>
  <c r="DK141" i="12" s="1"/>
  <c r="DL141" i="12" s="1"/>
  <c r="DI137" i="12"/>
  <c r="DK137" i="12" s="1"/>
  <c r="DL137" i="12" s="1"/>
  <c r="DI133" i="12"/>
  <c r="DK133" i="12" s="1"/>
  <c r="DL133" i="12" s="1"/>
  <c r="DI129" i="12"/>
  <c r="DK129" i="12" s="1"/>
  <c r="DL129" i="12" s="1"/>
  <c r="DI125" i="12"/>
  <c r="DK125" i="12" s="1"/>
  <c r="DL125" i="12" s="1"/>
  <c r="EU194" i="12"/>
  <c r="EW194" i="12" s="1"/>
  <c r="EX194" i="12" s="1"/>
  <c r="BW152" i="12"/>
  <c r="BY152" i="12" s="1"/>
  <c r="BZ152" i="12" s="1"/>
  <c r="R168" i="12"/>
  <c r="T168" i="12" s="1"/>
  <c r="U168" i="12" s="1"/>
  <c r="BD147" i="12"/>
  <c r="BF147" i="12" s="1"/>
  <c r="BG147" i="12" s="1"/>
  <c r="AK142" i="12"/>
  <c r="AM142" i="12" s="1"/>
  <c r="AN142" i="12" s="1"/>
  <c r="AK138" i="12"/>
  <c r="AM138" i="12" s="1"/>
  <c r="AN138" i="12" s="1"/>
  <c r="AK134" i="12"/>
  <c r="AM134" i="12" s="1"/>
  <c r="AN134" i="12" s="1"/>
  <c r="AK130" i="12"/>
  <c r="AM130" i="12" s="1"/>
  <c r="AN130" i="12" s="1"/>
  <c r="AK126" i="12"/>
  <c r="AM126" i="12" s="1"/>
  <c r="AN126" i="12" s="1"/>
  <c r="AK122" i="12"/>
  <c r="AM122" i="12" s="1"/>
  <c r="AN122" i="12" s="1"/>
  <c r="AK151" i="12"/>
  <c r="AM151" i="12" s="1"/>
  <c r="AN151" i="12" s="1"/>
  <c r="BD175" i="12"/>
  <c r="BF175" i="12" s="1"/>
  <c r="BG175" i="12" s="1"/>
  <c r="EB149" i="12"/>
  <c r="ED149" i="12" s="1"/>
  <c r="EE149" i="12" s="1"/>
  <c r="AK143" i="12"/>
  <c r="AM143" i="12" s="1"/>
  <c r="AN143" i="12" s="1"/>
  <c r="AK139" i="12"/>
  <c r="AM139" i="12" s="1"/>
  <c r="AN139" i="12" s="1"/>
  <c r="AK135" i="12"/>
  <c r="AM135" i="12" s="1"/>
  <c r="AN135" i="12" s="1"/>
  <c r="AK131" i="12"/>
  <c r="AM131" i="12" s="1"/>
  <c r="AN131" i="12" s="1"/>
  <c r="AK127" i="12"/>
  <c r="AM127" i="12" s="1"/>
  <c r="AN127" i="12" s="1"/>
  <c r="AK123" i="12"/>
  <c r="AM123" i="12" s="1"/>
  <c r="AN123" i="12" s="1"/>
  <c r="R147" i="12"/>
  <c r="T147" i="12" s="1"/>
  <c r="U147" i="12" s="1"/>
  <c r="CP150" i="12"/>
  <c r="CR150" i="12" s="1"/>
  <c r="CS150" i="12" s="1"/>
  <c r="EU142" i="12"/>
  <c r="EW142" i="12" s="1"/>
  <c r="EX142" i="12" s="1"/>
  <c r="EU138" i="12"/>
  <c r="EW138" i="12" s="1"/>
  <c r="EX138" i="12" s="1"/>
  <c r="EU134" i="12"/>
  <c r="EW134" i="12" s="1"/>
  <c r="EX134" i="12" s="1"/>
  <c r="EU130" i="12"/>
  <c r="EW130" i="12" s="1"/>
  <c r="EX130" i="12" s="1"/>
  <c r="EU126" i="12"/>
  <c r="EW126" i="12" s="1"/>
  <c r="EX126" i="12" s="1"/>
  <c r="EU122" i="12"/>
  <c r="EW122" i="12" s="1"/>
  <c r="EX122" i="12" s="1"/>
  <c r="DI150" i="12"/>
  <c r="DK150" i="12" s="1"/>
  <c r="DL150" i="12" s="1"/>
  <c r="BW118" i="12"/>
  <c r="BY118" i="12" s="1"/>
  <c r="BZ118" i="12" s="1"/>
  <c r="R120" i="12"/>
  <c r="T120" i="12" s="1"/>
  <c r="U120" i="12" s="1"/>
  <c r="R116" i="12"/>
  <c r="T116" i="12" s="1"/>
  <c r="U116" i="12" s="1"/>
  <c r="R146" i="12"/>
  <c r="T146" i="12" s="1"/>
  <c r="U146" i="12" s="1"/>
  <c r="EB113" i="12"/>
  <c r="ED113" i="12" s="1"/>
  <c r="EE113" i="12" s="1"/>
  <c r="EU109" i="12"/>
  <c r="EW109" i="12" s="1"/>
  <c r="EX109" i="12" s="1"/>
  <c r="EU105" i="12"/>
  <c r="EW105" i="12" s="1"/>
  <c r="EX105" i="12" s="1"/>
  <c r="EU101" i="12"/>
  <c r="EW101" i="12" s="1"/>
  <c r="EX101" i="12" s="1"/>
  <c r="EU97" i="12"/>
  <c r="EW97" i="12" s="1"/>
  <c r="EX97" i="12" s="1"/>
  <c r="EU93" i="12"/>
  <c r="EW93" i="12" s="1"/>
  <c r="EX93" i="12" s="1"/>
  <c r="EU89" i="12"/>
  <c r="EW89" i="12" s="1"/>
  <c r="EX89" i="12" s="1"/>
  <c r="BD120" i="12"/>
  <c r="BF120" i="12" s="1"/>
  <c r="BG120" i="12" s="1"/>
  <c r="EU113" i="12"/>
  <c r="EW113" i="12" s="1"/>
  <c r="EX113" i="12" s="1"/>
  <c r="BD109" i="12"/>
  <c r="BF109" i="12" s="1"/>
  <c r="BG109" i="12" s="1"/>
  <c r="BD105" i="12"/>
  <c r="BF105" i="12" s="1"/>
  <c r="BG105" i="12" s="1"/>
  <c r="BD101" i="12"/>
  <c r="BF101" i="12" s="1"/>
  <c r="BG101" i="12" s="1"/>
  <c r="BD97" i="12"/>
  <c r="BF97" i="12" s="1"/>
  <c r="BG97" i="12" s="1"/>
  <c r="BD93" i="12"/>
  <c r="BF93" i="12" s="1"/>
  <c r="BG93" i="12" s="1"/>
  <c r="BD89" i="12"/>
  <c r="BF89" i="12" s="1"/>
  <c r="BG89" i="12" s="1"/>
  <c r="BD85" i="12"/>
  <c r="BF85" i="12" s="1"/>
  <c r="BG85" i="12" s="1"/>
  <c r="EB116" i="12"/>
  <c r="ED116" i="12" s="1"/>
  <c r="EE116" i="12" s="1"/>
  <c r="BD112" i="12"/>
  <c r="BF112" i="12" s="1"/>
  <c r="BG112" i="12" s="1"/>
  <c r="R108" i="12"/>
  <c r="T108" i="12" s="1"/>
  <c r="U108" i="12" s="1"/>
  <c r="R104" i="12"/>
  <c r="T104" i="12" s="1"/>
  <c r="U104" i="12" s="1"/>
  <c r="R100" i="12"/>
  <c r="T100" i="12" s="1"/>
  <c r="U100" i="12" s="1"/>
  <c r="R96" i="12"/>
  <c r="T96" i="12" s="1"/>
  <c r="U96" i="12" s="1"/>
  <c r="R92" i="12"/>
  <c r="T92" i="12" s="1"/>
  <c r="U92" i="12" s="1"/>
  <c r="R88" i="12"/>
  <c r="T88" i="12" s="1"/>
  <c r="U88" i="12" s="1"/>
  <c r="R84" i="12"/>
  <c r="T84" i="12" s="1"/>
  <c r="U84" i="12" s="1"/>
  <c r="DI113" i="12"/>
  <c r="DK113" i="12" s="1"/>
  <c r="DL113" i="12" s="1"/>
  <c r="EB95" i="12"/>
  <c r="ED95" i="12" s="1"/>
  <c r="EE95" i="12" s="1"/>
  <c r="CP93" i="12"/>
  <c r="CR93" i="12" s="1"/>
  <c r="CS93" i="12" s="1"/>
  <c r="CP79" i="12"/>
  <c r="CR79" i="12" s="1"/>
  <c r="CS79" i="12" s="1"/>
  <c r="CP75" i="12"/>
  <c r="CR75" i="12" s="1"/>
  <c r="CS75" i="12" s="1"/>
  <c r="CP71" i="12"/>
  <c r="CR71" i="12" s="1"/>
  <c r="CS71" i="12" s="1"/>
  <c r="CP67" i="12"/>
  <c r="CR67" i="12" s="1"/>
  <c r="CS67" i="12" s="1"/>
  <c r="CP63" i="12"/>
  <c r="CR63" i="12" s="1"/>
  <c r="CS63" i="12" s="1"/>
  <c r="CP59" i="12"/>
  <c r="CR59" i="12" s="1"/>
  <c r="CS59" i="12" s="1"/>
  <c r="CP55" i="12"/>
  <c r="CR55" i="12" s="1"/>
  <c r="CS55" i="12" s="1"/>
  <c r="AK87" i="12"/>
  <c r="AM87" i="12" s="1"/>
  <c r="AN87" i="12" s="1"/>
  <c r="BD99" i="12"/>
  <c r="BF99" i="12" s="1"/>
  <c r="BG99" i="12" s="1"/>
  <c r="AK81" i="12"/>
  <c r="AM81" i="12" s="1"/>
  <c r="AN81" i="12" s="1"/>
  <c r="AK77" i="12"/>
  <c r="AM77" i="12" s="1"/>
  <c r="AN77" i="12" s="1"/>
  <c r="AK73" i="12"/>
  <c r="AM73" i="12" s="1"/>
  <c r="AN73" i="12" s="1"/>
  <c r="AK69" i="12"/>
  <c r="AM69" i="12" s="1"/>
  <c r="AN69" i="12" s="1"/>
  <c r="AK65" i="12"/>
  <c r="AM65" i="12" s="1"/>
  <c r="AN65" i="12" s="1"/>
  <c r="AK61" i="12"/>
  <c r="AM61" i="12" s="1"/>
  <c r="AN61" i="12" s="1"/>
  <c r="AK57" i="12"/>
  <c r="AM57" i="12" s="1"/>
  <c r="AN57" i="12" s="1"/>
  <c r="BW20" i="12"/>
  <c r="BY20" i="12" s="1"/>
  <c r="BZ20" i="12" s="1"/>
  <c r="DI71" i="12"/>
  <c r="DK71" i="12" s="1"/>
  <c r="DL71" i="12" s="1"/>
  <c r="BD14" i="12"/>
  <c r="BF14" i="12" s="1"/>
  <c r="BG14" i="12" s="1"/>
  <c r="BD18" i="12"/>
  <c r="BF18" i="12" s="1"/>
  <c r="BG18" i="12" s="1"/>
  <c r="AK22" i="12"/>
  <c r="AM22" i="12" s="1"/>
  <c r="AN22" i="12" s="1"/>
  <c r="BD363" i="12"/>
  <c r="BF363" i="12" s="1"/>
  <c r="BG363" i="12" s="1"/>
  <c r="BD359" i="12"/>
  <c r="BF359" i="12" s="1"/>
  <c r="BG359" i="12" s="1"/>
  <c r="BD360" i="12"/>
  <c r="BF360" i="12" s="1"/>
  <c r="BG360" i="12" s="1"/>
  <c r="EB361" i="12"/>
  <c r="ED361" i="12" s="1"/>
  <c r="EE361" i="12" s="1"/>
  <c r="BD362" i="12"/>
  <c r="BF362" i="12" s="1"/>
  <c r="BG362" i="12" s="1"/>
  <c r="BW359" i="12"/>
  <c r="BY359" i="12" s="1"/>
  <c r="BZ359" i="12" s="1"/>
  <c r="BW356" i="12"/>
  <c r="BY356" i="12" s="1"/>
  <c r="BZ356" i="12" s="1"/>
  <c r="R358" i="12"/>
  <c r="T358" i="12" s="1"/>
  <c r="U358" i="12" s="1"/>
  <c r="DI354" i="12"/>
  <c r="DK354" i="12" s="1"/>
  <c r="DL354" i="12" s="1"/>
  <c r="EU357" i="12"/>
  <c r="EW357" i="12" s="1"/>
  <c r="EX357" i="12" s="1"/>
  <c r="EU354" i="12"/>
  <c r="EW354" i="12" s="1"/>
  <c r="EX354" i="12" s="1"/>
  <c r="AK349" i="12"/>
  <c r="AM349" i="12" s="1"/>
  <c r="AN349" i="12" s="1"/>
  <c r="CP355" i="12"/>
  <c r="CR355" i="12" s="1"/>
  <c r="CS355" i="12" s="1"/>
  <c r="EB348" i="12"/>
  <c r="ED348" i="12" s="1"/>
  <c r="EE348" i="12" s="1"/>
  <c r="BD349" i="12"/>
  <c r="BF349" i="12" s="1"/>
  <c r="BG349" i="12" s="1"/>
  <c r="EU345" i="12"/>
  <c r="EW345" i="12" s="1"/>
  <c r="EX345" i="12" s="1"/>
  <c r="EU348" i="12"/>
  <c r="EW348" i="12" s="1"/>
  <c r="EX348" i="12" s="1"/>
  <c r="EU352" i="12"/>
  <c r="EW352" i="12" s="1"/>
  <c r="EX352" i="12" s="1"/>
  <c r="R345" i="12"/>
  <c r="T345" i="12" s="1"/>
  <c r="U345" i="12" s="1"/>
  <c r="AK344" i="12"/>
  <c r="AM344" i="12" s="1"/>
  <c r="AN344" i="12" s="1"/>
  <c r="CP343" i="12"/>
  <c r="CR343" i="12" s="1"/>
  <c r="CS343" i="12" s="1"/>
  <c r="AK339" i="12"/>
  <c r="AM339" i="12" s="1"/>
  <c r="AN339" i="12" s="1"/>
  <c r="BW343" i="12"/>
  <c r="BY343" i="12" s="1"/>
  <c r="BZ343" i="12" s="1"/>
  <c r="BW338" i="12"/>
  <c r="BY338" i="12" s="1"/>
  <c r="BZ338" i="12" s="1"/>
  <c r="R338" i="12"/>
  <c r="T338" i="12" s="1"/>
  <c r="U338" i="12" s="1"/>
  <c r="DI334" i="12"/>
  <c r="DK334" i="12" s="1"/>
  <c r="DL334" i="12" s="1"/>
  <c r="DI335" i="12"/>
  <c r="DK335" i="12" s="1"/>
  <c r="DL335" i="12" s="1"/>
  <c r="DI331" i="12"/>
  <c r="DK331" i="12" s="1"/>
  <c r="DL331" i="12" s="1"/>
  <c r="DI336" i="12"/>
  <c r="DK336" i="12" s="1"/>
  <c r="DL336" i="12" s="1"/>
  <c r="DI332" i="12"/>
  <c r="DK332" i="12" s="1"/>
  <c r="DL332" i="12" s="1"/>
  <c r="DI337" i="12"/>
  <c r="DK337" i="12" s="1"/>
  <c r="DL337" i="12" s="1"/>
  <c r="BD329" i="12"/>
  <c r="BF329" i="12" s="1"/>
  <c r="BG329" i="12" s="1"/>
  <c r="DI329" i="12"/>
  <c r="DK329" i="12" s="1"/>
  <c r="DL329" i="12" s="1"/>
  <c r="R336" i="12"/>
  <c r="T336" i="12" s="1"/>
  <c r="U336" i="12" s="1"/>
  <c r="BW332" i="12"/>
  <c r="BY332" i="12" s="1"/>
  <c r="BZ332" i="12" s="1"/>
  <c r="BD327" i="12"/>
  <c r="BF327" i="12" s="1"/>
  <c r="BG327" i="12" s="1"/>
  <c r="AK327" i="12"/>
  <c r="AM327" i="12" s="1"/>
  <c r="AN327" i="12" s="1"/>
  <c r="DI324" i="12"/>
  <c r="DK324" i="12" s="1"/>
  <c r="DL324" i="12" s="1"/>
  <c r="R320" i="12"/>
  <c r="T320" i="12" s="1"/>
  <c r="U320" i="12" s="1"/>
  <c r="BD328" i="12"/>
  <c r="BF328" i="12" s="1"/>
  <c r="BG328" i="12" s="1"/>
  <c r="BD323" i="12"/>
  <c r="BF323" i="12" s="1"/>
  <c r="BG323" i="12" s="1"/>
  <c r="BD319" i="12"/>
  <c r="BF319" i="12" s="1"/>
  <c r="BG319" i="12" s="1"/>
  <c r="BD325" i="12"/>
  <c r="BF325" i="12" s="1"/>
  <c r="BG325" i="12" s="1"/>
  <c r="BD320" i="12"/>
  <c r="BF320" i="12" s="1"/>
  <c r="BG320" i="12" s="1"/>
  <c r="EB317" i="12"/>
  <c r="ED317" i="12" s="1"/>
  <c r="EE317" i="12" s="1"/>
  <c r="EB315" i="12"/>
  <c r="ED315" i="12" s="1"/>
  <c r="EE315" i="12" s="1"/>
  <c r="AK315" i="12"/>
  <c r="AM315" i="12" s="1"/>
  <c r="AN315" i="12" s="1"/>
  <c r="AK311" i="12"/>
  <c r="AM311" i="12" s="1"/>
  <c r="AN311" i="12" s="1"/>
  <c r="EU322" i="12"/>
  <c r="EW322" i="12" s="1"/>
  <c r="EX322" i="12" s="1"/>
  <c r="EU314" i="12"/>
  <c r="EW314" i="12" s="1"/>
  <c r="EX314" i="12" s="1"/>
  <c r="EU310" i="12"/>
  <c r="EW310" i="12" s="1"/>
  <c r="EX310" i="12" s="1"/>
  <c r="BD308" i="12"/>
  <c r="BF308" i="12" s="1"/>
  <c r="BG308" i="12" s="1"/>
  <c r="BD304" i="12"/>
  <c r="BF304" i="12" s="1"/>
  <c r="BG304" i="12" s="1"/>
  <c r="BD310" i="12"/>
  <c r="BF310" i="12" s="1"/>
  <c r="BG310" i="12" s="1"/>
  <c r="BW306" i="12"/>
  <c r="BY306" i="12" s="1"/>
  <c r="BZ306" i="12" s="1"/>
  <c r="EB310" i="12"/>
  <c r="ED310" i="12" s="1"/>
  <c r="EE310" i="12" s="1"/>
  <c r="EU307" i="12"/>
  <c r="EW307" i="12" s="1"/>
  <c r="EX307" i="12" s="1"/>
  <c r="EU303" i="12"/>
  <c r="EW303" i="12" s="1"/>
  <c r="EX303" i="12" s="1"/>
  <c r="EB311" i="12"/>
  <c r="ED311" i="12" s="1"/>
  <c r="EE311" i="12" s="1"/>
  <c r="DI306" i="12"/>
  <c r="DK306" i="12" s="1"/>
  <c r="DL306" i="12" s="1"/>
  <c r="BD303" i="12"/>
  <c r="BF303" i="12" s="1"/>
  <c r="BG303" i="12" s="1"/>
  <c r="BD299" i="12"/>
  <c r="BF299" i="12" s="1"/>
  <c r="BG299" i="12" s="1"/>
  <c r="AK303" i="12"/>
  <c r="AM303" i="12" s="1"/>
  <c r="AN303" i="12" s="1"/>
  <c r="AK299" i="12"/>
  <c r="AM299" i="12" s="1"/>
  <c r="AN299" i="12" s="1"/>
  <c r="AK295" i="12"/>
  <c r="AM295" i="12" s="1"/>
  <c r="AN295" i="12" s="1"/>
  <c r="AK291" i="12"/>
  <c r="AM291" i="12" s="1"/>
  <c r="AN291" i="12" s="1"/>
  <c r="AK300" i="12"/>
  <c r="AM300" i="12" s="1"/>
  <c r="AN300" i="12" s="1"/>
  <c r="AK296" i="12"/>
  <c r="AM296" i="12" s="1"/>
  <c r="AN296" i="12" s="1"/>
  <c r="AK292" i="12"/>
  <c r="AM292" i="12" s="1"/>
  <c r="AN292" i="12" s="1"/>
  <c r="AK301" i="12"/>
  <c r="AM301" i="12" s="1"/>
  <c r="AN301" i="12" s="1"/>
  <c r="DI287" i="12"/>
  <c r="DK287" i="12" s="1"/>
  <c r="DL287" i="12" s="1"/>
  <c r="DI283" i="12"/>
  <c r="DK283" i="12" s="1"/>
  <c r="DL283" i="12" s="1"/>
  <c r="BD302" i="12"/>
  <c r="BF302" i="12" s="1"/>
  <c r="BG302" i="12" s="1"/>
  <c r="DI301" i="12"/>
  <c r="DK301" i="12" s="1"/>
  <c r="DL301" i="12" s="1"/>
  <c r="CP287" i="12"/>
  <c r="CR287" i="12" s="1"/>
  <c r="CS287" i="12" s="1"/>
  <c r="CP283" i="12"/>
  <c r="CR283" i="12" s="1"/>
  <c r="CS283" i="12" s="1"/>
  <c r="CP279" i="12"/>
  <c r="CR279" i="12" s="1"/>
  <c r="CS279" i="12" s="1"/>
  <c r="BD290" i="12"/>
  <c r="BF290" i="12" s="1"/>
  <c r="BG290" i="12" s="1"/>
  <c r="R288" i="12"/>
  <c r="T288" i="12" s="1"/>
  <c r="U288" i="12" s="1"/>
  <c r="R284" i="12"/>
  <c r="T284" i="12" s="1"/>
  <c r="U284" i="12" s="1"/>
  <c r="R280" i="12"/>
  <c r="T280" i="12" s="1"/>
  <c r="U280" i="12" s="1"/>
  <c r="R300" i="12"/>
  <c r="T300" i="12" s="1"/>
  <c r="U300" i="12" s="1"/>
  <c r="EB294" i="12"/>
  <c r="ED294" i="12" s="1"/>
  <c r="EE294" i="12" s="1"/>
  <c r="R273" i="12"/>
  <c r="T273" i="12" s="1"/>
  <c r="U273" i="12" s="1"/>
  <c r="R269" i="12"/>
  <c r="T269" i="12" s="1"/>
  <c r="U269" i="12" s="1"/>
  <c r="EB279" i="12"/>
  <c r="ED279" i="12" s="1"/>
  <c r="EE279" i="12" s="1"/>
  <c r="DI275" i="12"/>
  <c r="DK275" i="12" s="1"/>
  <c r="DL275" i="12" s="1"/>
  <c r="DI271" i="12"/>
  <c r="DK271" i="12" s="1"/>
  <c r="DL271" i="12" s="1"/>
  <c r="DI267" i="12"/>
  <c r="DK267" i="12" s="1"/>
  <c r="DL267" i="12" s="1"/>
  <c r="R289" i="12"/>
  <c r="T289" i="12" s="1"/>
  <c r="U289" i="12" s="1"/>
  <c r="EB287" i="12"/>
  <c r="ED287" i="12" s="1"/>
  <c r="EE287" i="12" s="1"/>
  <c r="EU276" i="12"/>
  <c r="EW276" i="12" s="1"/>
  <c r="EX276" i="12" s="1"/>
  <c r="DI272" i="12"/>
  <c r="DK272" i="12" s="1"/>
  <c r="DL272" i="12" s="1"/>
  <c r="DI268" i="12"/>
  <c r="DK268" i="12" s="1"/>
  <c r="DL268" i="12" s="1"/>
  <c r="DI264" i="12"/>
  <c r="DK264" i="12" s="1"/>
  <c r="DL264" i="12" s="1"/>
  <c r="EU277" i="12"/>
  <c r="EW277" i="12" s="1"/>
  <c r="EX277" i="12" s="1"/>
  <c r="BW262" i="12"/>
  <c r="BY262" i="12" s="1"/>
  <c r="BZ262" i="12" s="1"/>
  <c r="BW258" i="12"/>
  <c r="BY258" i="12" s="1"/>
  <c r="BZ258" i="12" s="1"/>
  <c r="BW254" i="12"/>
  <c r="BY254" i="12" s="1"/>
  <c r="BZ254" i="12" s="1"/>
  <c r="BW250" i="12"/>
  <c r="BY250" i="12" s="1"/>
  <c r="BZ250" i="12" s="1"/>
  <c r="AK266" i="12"/>
  <c r="AM266" i="12" s="1"/>
  <c r="AN266" i="12" s="1"/>
  <c r="R260" i="12"/>
  <c r="T260" i="12" s="1"/>
  <c r="U260" i="12" s="1"/>
  <c r="R256" i="12"/>
  <c r="T256" i="12" s="1"/>
  <c r="U256" i="12" s="1"/>
  <c r="R252" i="12"/>
  <c r="T252" i="12" s="1"/>
  <c r="U252" i="12" s="1"/>
  <c r="R268" i="12"/>
  <c r="T268" i="12" s="1"/>
  <c r="U268" i="12" s="1"/>
  <c r="DI262" i="12"/>
  <c r="DK262" i="12" s="1"/>
  <c r="DL262" i="12" s="1"/>
  <c r="DI258" i="12"/>
  <c r="DK258" i="12" s="1"/>
  <c r="DL258" i="12" s="1"/>
  <c r="DI254" i="12"/>
  <c r="DK254" i="12" s="1"/>
  <c r="DL254" i="12" s="1"/>
  <c r="DI250" i="12"/>
  <c r="DK250" i="12" s="1"/>
  <c r="DL250" i="12" s="1"/>
  <c r="CP268" i="12"/>
  <c r="CR268" i="12" s="1"/>
  <c r="CS268" i="12" s="1"/>
  <c r="AK269" i="12"/>
  <c r="AM269" i="12" s="1"/>
  <c r="AN269" i="12" s="1"/>
  <c r="BD260" i="12"/>
  <c r="BF260" i="12" s="1"/>
  <c r="BG260" i="12" s="1"/>
  <c r="BD256" i="12"/>
  <c r="BF256" i="12" s="1"/>
  <c r="BG256" i="12" s="1"/>
  <c r="BD252" i="12"/>
  <c r="BF252" i="12" s="1"/>
  <c r="BG252" i="12" s="1"/>
  <c r="BW275" i="12"/>
  <c r="BY275" i="12" s="1"/>
  <c r="BZ275" i="12" s="1"/>
  <c r="EB244" i="12"/>
  <c r="ED244" i="12" s="1"/>
  <c r="EE244" i="12" s="1"/>
  <c r="EB240" i="12"/>
  <c r="ED240" i="12" s="1"/>
  <c r="EE240" i="12" s="1"/>
  <c r="AK249" i="12"/>
  <c r="AM249" i="12" s="1"/>
  <c r="AN249" i="12" s="1"/>
  <c r="DI244" i="12"/>
  <c r="DK244" i="12" s="1"/>
  <c r="DL244" i="12" s="1"/>
  <c r="DI240" i="12"/>
  <c r="DK240" i="12" s="1"/>
  <c r="DL240" i="12" s="1"/>
  <c r="DI236" i="12"/>
  <c r="DK236" i="12" s="1"/>
  <c r="DL236" i="12" s="1"/>
  <c r="R248" i="12"/>
  <c r="T248" i="12" s="1"/>
  <c r="U248" i="12" s="1"/>
  <c r="R244" i="12"/>
  <c r="T244" i="12" s="1"/>
  <c r="U244" i="12" s="1"/>
  <c r="R240" i="12"/>
  <c r="T240" i="12" s="1"/>
  <c r="U240" i="12" s="1"/>
  <c r="EB247" i="12"/>
  <c r="ED247" i="12" s="1"/>
  <c r="EE247" i="12" s="1"/>
  <c r="CP233" i="12"/>
  <c r="CR233" i="12" s="1"/>
  <c r="CS233" i="12" s="1"/>
  <c r="CP229" i="12"/>
  <c r="CR229" i="12" s="1"/>
  <c r="CS229" i="12" s="1"/>
  <c r="CP225" i="12"/>
  <c r="CR225" i="12" s="1"/>
  <c r="CS225" i="12" s="1"/>
  <c r="CP221" i="12"/>
  <c r="CR221" i="12" s="1"/>
  <c r="CS221" i="12" s="1"/>
  <c r="CP234" i="12"/>
  <c r="CR234" i="12" s="1"/>
  <c r="CS234" i="12" s="1"/>
  <c r="CP230" i="12"/>
  <c r="CR230" i="12" s="1"/>
  <c r="CS230" i="12" s="1"/>
  <c r="CP226" i="12"/>
  <c r="CR226" i="12" s="1"/>
  <c r="CS226" i="12" s="1"/>
  <c r="CP222" i="12"/>
  <c r="CR222" i="12" s="1"/>
  <c r="CS222" i="12" s="1"/>
  <c r="EB236" i="12"/>
  <c r="ED236" i="12" s="1"/>
  <c r="EE236" i="12" s="1"/>
  <c r="CP231" i="12"/>
  <c r="CR231" i="12" s="1"/>
  <c r="CS231" i="12" s="1"/>
  <c r="R241" i="12"/>
  <c r="T241" i="12" s="1"/>
  <c r="U241" i="12" s="1"/>
  <c r="AK238" i="12"/>
  <c r="AM238" i="12" s="1"/>
  <c r="AN238" i="12" s="1"/>
  <c r="R232" i="12"/>
  <c r="T232" i="12" s="1"/>
  <c r="U232" i="12" s="1"/>
  <c r="R228" i="12"/>
  <c r="T228" i="12" s="1"/>
  <c r="U228" i="12" s="1"/>
  <c r="R224" i="12"/>
  <c r="T224" i="12" s="1"/>
  <c r="U224" i="12" s="1"/>
  <c r="DI220" i="12"/>
  <c r="DK220" i="12" s="1"/>
  <c r="DL220" i="12" s="1"/>
  <c r="EB219" i="12"/>
  <c r="ED219" i="12" s="1"/>
  <c r="EE219" i="12" s="1"/>
  <c r="EB215" i="12"/>
  <c r="ED215" i="12" s="1"/>
  <c r="EE215" i="12" s="1"/>
  <c r="EB211" i="12"/>
  <c r="ED211" i="12" s="1"/>
  <c r="EE211" i="12" s="1"/>
  <c r="EB207" i="12"/>
  <c r="ED207" i="12" s="1"/>
  <c r="EE207" i="12" s="1"/>
  <c r="DI219" i="12"/>
  <c r="DK219" i="12" s="1"/>
  <c r="DL219" i="12" s="1"/>
  <c r="DI215" i="12"/>
  <c r="DK215" i="12" s="1"/>
  <c r="DL215" i="12" s="1"/>
  <c r="DI211" i="12"/>
  <c r="DK211" i="12" s="1"/>
  <c r="DL211" i="12" s="1"/>
  <c r="EB234" i="12"/>
  <c r="ED234" i="12" s="1"/>
  <c r="EE234" i="12" s="1"/>
  <c r="EB225" i="12"/>
  <c r="ED225" i="12" s="1"/>
  <c r="EE225" i="12" s="1"/>
  <c r="BD217" i="12"/>
  <c r="BF217" i="12" s="1"/>
  <c r="BG217" i="12" s="1"/>
  <c r="BD213" i="12"/>
  <c r="BF213" i="12" s="1"/>
  <c r="BG213" i="12" s="1"/>
  <c r="BD209" i="12"/>
  <c r="BF209" i="12" s="1"/>
  <c r="BG209" i="12" s="1"/>
  <c r="DI217" i="12"/>
  <c r="DK217" i="12" s="1"/>
  <c r="DL217" i="12" s="1"/>
  <c r="BD218" i="12"/>
  <c r="BF218" i="12" s="1"/>
  <c r="BG218" i="12" s="1"/>
  <c r="BW204" i="12"/>
  <c r="BY204" i="12" s="1"/>
  <c r="BZ204" i="12" s="1"/>
  <c r="BW200" i="12"/>
  <c r="BY200" i="12" s="1"/>
  <c r="BZ200" i="12" s="1"/>
  <c r="BW196" i="12"/>
  <c r="BY196" i="12" s="1"/>
  <c r="BZ196" i="12" s="1"/>
  <c r="EB206" i="12"/>
  <c r="ED206" i="12" s="1"/>
  <c r="EE206" i="12" s="1"/>
  <c r="CP202" i="12"/>
  <c r="CR202" i="12" s="1"/>
  <c r="CS202" i="12" s="1"/>
  <c r="CP198" i="12"/>
  <c r="CR198" i="12" s="1"/>
  <c r="CS198" i="12" s="1"/>
  <c r="EU205" i="12"/>
  <c r="EW205" i="12" s="1"/>
  <c r="EX205" i="12" s="1"/>
  <c r="BW198" i="12"/>
  <c r="BY198" i="12" s="1"/>
  <c r="BZ198" i="12" s="1"/>
  <c r="DI194" i="12"/>
  <c r="DK194" i="12" s="1"/>
  <c r="DL194" i="12" s="1"/>
  <c r="CP200" i="12"/>
  <c r="CR200" i="12" s="1"/>
  <c r="CS200" i="12" s="1"/>
  <c r="DI195" i="12"/>
  <c r="DK195" i="12" s="1"/>
  <c r="DL195" i="12" s="1"/>
  <c r="AK191" i="12"/>
  <c r="AM191" i="12" s="1"/>
  <c r="AN191" i="12" s="1"/>
  <c r="AK187" i="12"/>
  <c r="AM187" i="12" s="1"/>
  <c r="AN187" i="12" s="1"/>
  <c r="AK183" i="12"/>
  <c r="AM183" i="12" s="1"/>
  <c r="AN183" i="12" s="1"/>
  <c r="AK179" i="12"/>
  <c r="AM179" i="12" s="1"/>
  <c r="AN179" i="12" s="1"/>
  <c r="AK175" i="12"/>
  <c r="AM175" i="12" s="1"/>
  <c r="AN175" i="12" s="1"/>
  <c r="AK171" i="12"/>
  <c r="AM171" i="12" s="1"/>
  <c r="AN171" i="12" s="1"/>
  <c r="AK167" i="12"/>
  <c r="AM167" i="12" s="1"/>
  <c r="AN167" i="12" s="1"/>
  <c r="BW199" i="12"/>
  <c r="BY199" i="12" s="1"/>
  <c r="BZ199" i="12" s="1"/>
  <c r="BD198" i="12"/>
  <c r="BF198" i="12" s="1"/>
  <c r="BG198" i="12" s="1"/>
  <c r="DI192" i="12"/>
  <c r="DK192" i="12" s="1"/>
  <c r="DL192" i="12" s="1"/>
  <c r="DI188" i="12"/>
  <c r="DK188" i="12" s="1"/>
  <c r="DL188" i="12" s="1"/>
  <c r="DI184" i="12"/>
  <c r="DK184" i="12" s="1"/>
  <c r="DL184" i="12" s="1"/>
  <c r="DI180" i="12"/>
  <c r="DK180" i="12" s="1"/>
  <c r="DL180" i="12" s="1"/>
  <c r="DI176" i="12"/>
  <c r="DK176" i="12" s="1"/>
  <c r="DL176" i="12" s="1"/>
  <c r="DI172" i="12"/>
  <c r="DK172" i="12" s="1"/>
  <c r="DL172" i="12" s="1"/>
  <c r="DI168" i="12"/>
  <c r="DK168" i="12" s="1"/>
  <c r="DL168" i="12" s="1"/>
  <c r="DI164" i="12"/>
  <c r="DK164" i="12" s="1"/>
  <c r="DL164" i="12" s="1"/>
  <c r="CP189" i="12"/>
  <c r="CR189" i="12" s="1"/>
  <c r="CS189" i="12" s="1"/>
  <c r="EU180" i="12"/>
  <c r="EW180" i="12" s="1"/>
  <c r="EX180" i="12" s="1"/>
  <c r="BW187" i="12"/>
  <c r="BY187" i="12" s="1"/>
  <c r="BZ187" i="12" s="1"/>
  <c r="R173" i="12"/>
  <c r="T173" i="12" s="1"/>
  <c r="U173" i="12" s="1"/>
  <c r="BW161" i="12"/>
  <c r="BY161" i="12" s="1"/>
  <c r="BZ161" i="12" s="1"/>
  <c r="BW157" i="12"/>
  <c r="BY157" i="12" s="1"/>
  <c r="BZ157" i="12" s="1"/>
  <c r="BW153" i="12"/>
  <c r="BY153" i="12" s="1"/>
  <c r="BZ153" i="12" s="1"/>
  <c r="BW184" i="12"/>
  <c r="BY184" i="12" s="1"/>
  <c r="BZ184" i="12" s="1"/>
  <c r="AK169" i="12"/>
  <c r="AM169" i="12" s="1"/>
  <c r="AN169" i="12" s="1"/>
  <c r="BD201" i="12"/>
  <c r="BF201" i="12" s="1"/>
  <c r="BG201" i="12" s="1"/>
  <c r="EU179" i="12"/>
  <c r="EW179" i="12" s="1"/>
  <c r="EX179" i="12" s="1"/>
  <c r="CP163" i="12"/>
  <c r="CR163" i="12" s="1"/>
  <c r="CS163" i="12" s="1"/>
  <c r="CP159" i="12"/>
  <c r="CR159" i="12" s="1"/>
  <c r="CS159" i="12" s="1"/>
  <c r="CP155" i="12"/>
  <c r="CR155" i="12" s="1"/>
  <c r="CS155" i="12" s="1"/>
  <c r="CP151" i="12"/>
  <c r="CR151" i="12" s="1"/>
  <c r="CS151" i="12" s="1"/>
  <c r="EB187" i="12"/>
  <c r="ED187" i="12" s="1"/>
  <c r="EE187" i="12" s="1"/>
  <c r="CP177" i="12"/>
  <c r="CR177" i="12" s="1"/>
  <c r="CS177" i="12" s="1"/>
  <c r="BW192" i="12"/>
  <c r="BY192" i="12" s="1"/>
  <c r="BZ192" i="12" s="1"/>
  <c r="AK178" i="12"/>
  <c r="AM178" i="12" s="1"/>
  <c r="AN178" i="12" s="1"/>
  <c r="EB162" i="12"/>
  <c r="ED162" i="12" s="1"/>
  <c r="EE162" i="12" s="1"/>
  <c r="EB158" i="12"/>
  <c r="ED158" i="12" s="1"/>
  <c r="EE158" i="12" s="1"/>
  <c r="EB154" i="12"/>
  <c r="ED154" i="12" s="1"/>
  <c r="EE154" i="12" s="1"/>
  <c r="EB150" i="12"/>
  <c r="ED150" i="12" s="1"/>
  <c r="EE150" i="12" s="1"/>
  <c r="EB146" i="12"/>
  <c r="ED146" i="12" s="1"/>
  <c r="EE146" i="12" s="1"/>
  <c r="DI178" i="12"/>
  <c r="DK178" i="12" s="1"/>
  <c r="DL178" i="12" s="1"/>
  <c r="DI146" i="12"/>
  <c r="DK146" i="12" s="1"/>
  <c r="DL146" i="12" s="1"/>
  <c r="AK141" i="12"/>
  <c r="AM141" i="12" s="1"/>
  <c r="AN141" i="12" s="1"/>
  <c r="AK137" i="12"/>
  <c r="AM137" i="12" s="1"/>
  <c r="AN137" i="12" s="1"/>
  <c r="AK133" i="12"/>
  <c r="AM133" i="12" s="1"/>
  <c r="AN133" i="12" s="1"/>
  <c r="AK129" i="12"/>
  <c r="AM129" i="12" s="1"/>
  <c r="AN129" i="12" s="1"/>
  <c r="AK125" i="12"/>
  <c r="AM125" i="12" s="1"/>
  <c r="AN125" i="12" s="1"/>
  <c r="DI189" i="12"/>
  <c r="DK189" i="12" s="1"/>
  <c r="DL189" i="12" s="1"/>
  <c r="AK150" i="12"/>
  <c r="AM150" i="12" s="1"/>
  <c r="AN150" i="12" s="1"/>
  <c r="DI166" i="12"/>
  <c r="DK166" i="12" s="1"/>
  <c r="DL166" i="12" s="1"/>
  <c r="BW146" i="12"/>
  <c r="BY146" i="12" s="1"/>
  <c r="BZ146" i="12" s="1"/>
  <c r="CP141" i="12"/>
  <c r="CR141" i="12" s="1"/>
  <c r="CS141" i="12" s="1"/>
  <c r="CP137" i="12"/>
  <c r="CR137" i="12" s="1"/>
  <c r="CS137" i="12" s="1"/>
  <c r="CP133" i="12"/>
  <c r="CR133" i="12" s="1"/>
  <c r="CS133" i="12" s="1"/>
  <c r="CP129" i="12"/>
  <c r="CR129" i="12" s="1"/>
  <c r="CS129" i="12" s="1"/>
  <c r="CP125" i="12"/>
  <c r="CR125" i="12" s="1"/>
  <c r="CS125" i="12" s="1"/>
  <c r="CP121" i="12"/>
  <c r="CR121" i="12" s="1"/>
  <c r="CS121" i="12" s="1"/>
  <c r="R150" i="12"/>
  <c r="T150" i="12" s="1"/>
  <c r="U150" i="12" s="1"/>
  <c r="CP169" i="12"/>
  <c r="CR169" i="12" s="1"/>
  <c r="CS169" i="12" s="1"/>
  <c r="R149" i="12"/>
  <c r="T149" i="12" s="1"/>
  <c r="U149" i="12" s="1"/>
  <c r="CP142" i="12"/>
  <c r="CR142" i="12" s="1"/>
  <c r="CS142" i="12" s="1"/>
  <c r="CP138" i="12"/>
  <c r="CR138" i="12" s="1"/>
  <c r="CS138" i="12" s="1"/>
  <c r="CP134" i="12"/>
  <c r="CR134" i="12" s="1"/>
  <c r="CS134" i="12" s="1"/>
  <c r="CP130" i="12"/>
  <c r="CR130" i="12" s="1"/>
  <c r="CS130" i="12" s="1"/>
  <c r="CP126" i="12"/>
  <c r="CR126" i="12" s="1"/>
  <c r="CS126" i="12" s="1"/>
  <c r="CP122" i="12"/>
  <c r="CR122" i="12" s="1"/>
  <c r="CS122" i="12" s="1"/>
  <c r="EU146" i="12"/>
  <c r="EW146" i="12" s="1"/>
  <c r="EX146" i="12" s="1"/>
  <c r="BW150" i="12"/>
  <c r="BY150" i="12" s="1"/>
  <c r="BZ150" i="12" s="1"/>
  <c r="BW142" i="12"/>
  <c r="BY142" i="12" s="1"/>
  <c r="BZ142" i="12" s="1"/>
  <c r="BW138" i="12"/>
  <c r="BY138" i="12" s="1"/>
  <c r="BZ138" i="12" s="1"/>
  <c r="BW134" i="12"/>
  <c r="BY134" i="12" s="1"/>
  <c r="BZ134" i="12" s="1"/>
  <c r="BW130" i="12"/>
  <c r="BY130" i="12" s="1"/>
  <c r="BZ130" i="12" s="1"/>
  <c r="BW126" i="12"/>
  <c r="BY126" i="12" s="1"/>
  <c r="BZ126" i="12" s="1"/>
  <c r="BW122" i="12"/>
  <c r="BY122" i="12" s="1"/>
  <c r="BZ122" i="12" s="1"/>
  <c r="CP147" i="12"/>
  <c r="CR147" i="12" s="1"/>
  <c r="CS147" i="12" s="1"/>
  <c r="EB117" i="12"/>
  <c r="ED117" i="12" s="1"/>
  <c r="EE117" i="12" s="1"/>
  <c r="EU119" i="12"/>
  <c r="EW119" i="12" s="1"/>
  <c r="EX119" i="12" s="1"/>
  <c r="EU115" i="12"/>
  <c r="EW115" i="12" s="1"/>
  <c r="EX115" i="12" s="1"/>
  <c r="EB120" i="12"/>
  <c r="ED120" i="12" s="1"/>
  <c r="EE120" i="12" s="1"/>
  <c r="BW113" i="12"/>
  <c r="BY113" i="12" s="1"/>
  <c r="BZ113" i="12" s="1"/>
  <c r="BW109" i="12"/>
  <c r="BY109" i="12" s="1"/>
  <c r="BZ109" i="12" s="1"/>
  <c r="BW105" i="12"/>
  <c r="BY105" i="12" s="1"/>
  <c r="BZ105" i="12" s="1"/>
  <c r="BW101" i="12"/>
  <c r="BY101" i="12" s="1"/>
  <c r="BZ101" i="12" s="1"/>
  <c r="BW97" i="12"/>
  <c r="BY97" i="12" s="1"/>
  <c r="BZ97" i="12" s="1"/>
  <c r="BW93" i="12"/>
  <c r="BY93" i="12" s="1"/>
  <c r="BZ93" i="12" s="1"/>
  <c r="BW89" i="12"/>
  <c r="BY89" i="12" s="1"/>
  <c r="BZ89" i="12" s="1"/>
  <c r="EB119" i="12"/>
  <c r="ED119" i="12" s="1"/>
  <c r="EE119" i="12" s="1"/>
  <c r="CP113" i="12"/>
  <c r="CR113" i="12" s="1"/>
  <c r="CS113" i="12" s="1"/>
  <c r="DI108" i="12"/>
  <c r="DK108" i="12" s="1"/>
  <c r="DL108" i="12" s="1"/>
  <c r="DI104" i="12"/>
  <c r="DK104" i="12" s="1"/>
  <c r="DL104" i="12" s="1"/>
  <c r="DI100" i="12"/>
  <c r="DK100" i="12" s="1"/>
  <c r="DL100" i="12" s="1"/>
  <c r="DI96" i="12"/>
  <c r="DK96" i="12" s="1"/>
  <c r="DL96" i="12" s="1"/>
  <c r="DI92" i="12"/>
  <c r="DK92" i="12" s="1"/>
  <c r="DL92" i="12" s="1"/>
  <c r="DI88" i="12"/>
  <c r="DK88" i="12" s="1"/>
  <c r="DL88" i="12" s="1"/>
  <c r="DI84" i="12"/>
  <c r="DK84" i="12" s="1"/>
  <c r="DL84" i="12" s="1"/>
  <c r="AK113" i="12"/>
  <c r="AM113" i="12" s="1"/>
  <c r="AN113" i="12" s="1"/>
  <c r="EU111" i="12"/>
  <c r="EW111" i="12" s="1"/>
  <c r="EX111" i="12" s="1"/>
  <c r="EU107" i="12"/>
  <c r="EW107" i="12" s="1"/>
  <c r="EX107" i="12" s="1"/>
  <c r="EU103" i="12"/>
  <c r="EW103" i="12" s="1"/>
  <c r="EX103" i="12" s="1"/>
  <c r="EU99" i="12"/>
  <c r="EW99" i="12" s="1"/>
  <c r="EX99" i="12" s="1"/>
  <c r="EU95" i="12"/>
  <c r="EW95" i="12" s="1"/>
  <c r="EX95" i="12" s="1"/>
  <c r="EU91" i="12"/>
  <c r="EW91" i="12" s="1"/>
  <c r="EX91" i="12" s="1"/>
  <c r="EU87" i="12"/>
  <c r="EW87" i="12" s="1"/>
  <c r="EX87" i="12" s="1"/>
  <c r="EU83" i="12"/>
  <c r="EW83" i="12" s="1"/>
  <c r="EX83" i="12" s="1"/>
  <c r="BW117" i="12"/>
  <c r="BY117" i="12" s="1"/>
  <c r="BZ117" i="12" s="1"/>
  <c r="DI94" i="12"/>
  <c r="DK94" i="12" s="1"/>
  <c r="DL94" i="12" s="1"/>
  <c r="EB91" i="12"/>
  <c r="ED91" i="12" s="1"/>
  <c r="EE91" i="12" s="1"/>
  <c r="R79" i="12"/>
  <c r="T79" i="12" s="1"/>
  <c r="U79" i="12" s="1"/>
  <c r="R75" i="12"/>
  <c r="T75" i="12" s="1"/>
  <c r="U75" i="12" s="1"/>
  <c r="R71" i="12"/>
  <c r="T71" i="12" s="1"/>
  <c r="U71" i="12" s="1"/>
  <c r="R67" i="12"/>
  <c r="T67" i="12" s="1"/>
  <c r="U67" i="12" s="1"/>
  <c r="R63" i="12"/>
  <c r="T63" i="12" s="1"/>
  <c r="U63" i="12" s="1"/>
  <c r="R59" i="12"/>
  <c r="T59" i="12" s="1"/>
  <c r="U59" i="12" s="1"/>
  <c r="R55" i="12"/>
  <c r="T55" i="12" s="1"/>
  <c r="U55" i="12" s="1"/>
  <c r="AK83" i="12"/>
  <c r="AM83" i="12" s="1"/>
  <c r="AN83" i="12" s="1"/>
  <c r="AK98" i="12"/>
  <c r="AM98" i="12" s="1"/>
  <c r="AN98" i="12" s="1"/>
  <c r="CP80" i="12"/>
  <c r="CR80" i="12" s="1"/>
  <c r="CS80" i="12" s="1"/>
  <c r="CP76" i="12"/>
  <c r="CR76" i="12" s="1"/>
  <c r="CS76" i="12" s="1"/>
  <c r="CP72" i="12"/>
  <c r="CR72" i="12" s="1"/>
  <c r="CS72" i="12" s="1"/>
  <c r="CP68" i="12"/>
  <c r="CR68" i="12" s="1"/>
  <c r="CS68" i="12" s="1"/>
  <c r="CP64" i="12"/>
  <c r="CR64" i="12" s="1"/>
  <c r="CS64" i="12" s="1"/>
  <c r="CP60" i="12"/>
  <c r="CR60" i="12" s="1"/>
  <c r="CS60" i="12" s="1"/>
  <c r="CP56" i="12"/>
  <c r="CR56" i="12" s="1"/>
  <c r="CS56" i="12" s="1"/>
  <c r="CP21" i="12"/>
  <c r="CR21" i="12" s="1"/>
  <c r="CS21" i="12" s="1"/>
  <c r="CP78" i="12"/>
  <c r="CR78" i="12" s="1"/>
  <c r="CS78" i="12" s="1"/>
  <c r="EB14" i="12"/>
  <c r="ED14" i="12" s="1"/>
  <c r="EE14" i="12" s="1"/>
  <c r="EB18" i="12"/>
  <c r="ED18" i="12" s="1"/>
  <c r="EE18" i="12" s="1"/>
  <c r="AK51" i="12"/>
  <c r="AM51" i="12" s="1"/>
  <c r="AN51" i="12" s="1"/>
  <c r="DI362" i="12"/>
  <c r="DK362" i="12" s="1"/>
  <c r="DL362" i="12" s="1"/>
  <c r="DI363" i="12"/>
  <c r="DK363" i="12" s="1"/>
  <c r="DL363" i="12" s="1"/>
  <c r="DI359" i="12"/>
  <c r="DK359" i="12" s="1"/>
  <c r="DL359" i="12" s="1"/>
  <c r="DI360" i="12"/>
  <c r="DK360" i="12" s="1"/>
  <c r="DL360" i="12" s="1"/>
  <c r="BD361" i="12"/>
  <c r="BF361" i="12" s="1"/>
  <c r="BG361" i="12" s="1"/>
  <c r="DI358" i="12"/>
  <c r="DK358" i="12" s="1"/>
  <c r="DL358" i="12" s="1"/>
  <c r="EB355" i="12"/>
  <c r="ED355" i="12" s="1"/>
  <c r="EE355" i="12" s="1"/>
  <c r="EB356" i="12"/>
  <c r="ED356" i="12" s="1"/>
  <c r="EE356" i="12" s="1"/>
  <c r="DI356" i="12"/>
  <c r="DK356" i="12" s="1"/>
  <c r="DL356" i="12" s="1"/>
  <c r="BW354" i="12"/>
  <c r="BY354" i="12" s="1"/>
  <c r="BZ354" i="12" s="1"/>
  <c r="CP353" i="12"/>
  <c r="CR353" i="12" s="1"/>
  <c r="CS353" i="12" s="1"/>
  <c r="CP348" i="12"/>
  <c r="CR348" i="12" s="1"/>
  <c r="CS348" i="12" s="1"/>
  <c r="BW352" i="12"/>
  <c r="BY352" i="12" s="1"/>
  <c r="BZ352" i="12" s="1"/>
  <c r="BD348" i="12"/>
  <c r="BF348" i="12" s="1"/>
  <c r="BG348" i="12" s="1"/>
  <c r="DI348" i="12"/>
  <c r="DK348" i="12" s="1"/>
  <c r="DL348" i="12" s="1"/>
  <c r="BW345" i="12"/>
  <c r="BY345" i="12" s="1"/>
  <c r="BZ345" i="12" s="1"/>
  <c r="BW348" i="12"/>
  <c r="BY348" i="12" s="1"/>
  <c r="BZ348" i="12" s="1"/>
  <c r="DI350" i="12"/>
  <c r="DK350" i="12" s="1"/>
  <c r="DL350" i="12" s="1"/>
  <c r="EU344" i="12"/>
  <c r="EW344" i="12" s="1"/>
  <c r="EX344" i="12" s="1"/>
  <c r="R343" i="12"/>
  <c r="T343" i="12" s="1"/>
  <c r="U343" i="12" s="1"/>
  <c r="BD342" i="12"/>
  <c r="BF342" i="12" s="1"/>
  <c r="BG342" i="12" s="1"/>
  <c r="CP349" i="12"/>
  <c r="CR349" i="12" s="1"/>
  <c r="CS349" i="12" s="1"/>
  <c r="R342" i="12"/>
  <c r="T342" i="12" s="1"/>
  <c r="U342" i="12" s="1"/>
  <c r="EB337" i="12"/>
  <c r="ED337" i="12" s="1"/>
  <c r="EE337" i="12" s="1"/>
  <c r="BW337" i="12"/>
  <c r="BY337" i="12" s="1"/>
  <c r="BZ337" i="12" s="1"/>
  <c r="AK334" i="12"/>
  <c r="AM334" i="12" s="1"/>
  <c r="AN334" i="12" s="1"/>
  <c r="AK335" i="12"/>
  <c r="AM335" i="12" s="1"/>
  <c r="AN335" i="12" s="1"/>
  <c r="AK331" i="12"/>
  <c r="AM331" i="12" s="1"/>
  <c r="AN331" i="12" s="1"/>
  <c r="AK336" i="12"/>
  <c r="AM336" i="12" s="1"/>
  <c r="AN336" i="12" s="1"/>
  <c r="AK332" i="12"/>
  <c r="AM332" i="12" s="1"/>
  <c r="AN332" i="12" s="1"/>
  <c r="EU343" i="12"/>
  <c r="EW343" i="12" s="1"/>
  <c r="EX343" i="12" s="1"/>
  <c r="DI328" i="12"/>
  <c r="DK328" i="12" s="1"/>
  <c r="DL328" i="12" s="1"/>
  <c r="AK329" i="12"/>
  <c r="AM329" i="12" s="1"/>
  <c r="AN329" i="12" s="1"/>
  <c r="R332" i="12"/>
  <c r="T332" i="12" s="1"/>
  <c r="U332" i="12" s="1"/>
  <c r="EU331" i="12"/>
  <c r="EW331" i="12" s="1"/>
  <c r="EX331" i="12" s="1"/>
  <c r="DI326" i="12"/>
  <c r="DK326" i="12" s="1"/>
  <c r="DL326" i="12" s="1"/>
  <c r="EB325" i="12"/>
  <c r="ED325" i="12" s="1"/>
  <c r="EE325" i="12" s="1"/>
  <c r="EU323" i="12"/>
  <c r="EW323" i="12" s="1"/>
  <c r="EX323" i="12" s="1"/>
  <c r="EU319" i="12"/>
  <c r="EW319" i="12" s="1"/>
  <c r="EX319" i="12" s="1"/>
  <c r="CP327" i="12"/>
  <c r="CR327" i="12" s="1"/>
  <c r="CS327" i="12" s="1"/>
  <c r="DI322" i="12"/>
  <c r="DK322" i="12" s="1"/>
  <c r="DL322" i="12" s="1"/>
  <c r="DI318" i="12"/>
  <c r="DK318" i="12" s="1"/>
  <c r="DL318" i="12" s="1"/>
  <c r="DI323" i="12"/>
  <c r="DK323" i="12" s="1"/>
  <c r="DL323" i="12" s="1"/>
  <c r="DI319" i="12"/>
  <c r="DK319" i="12" s="1"/>
  <c r="DL319" i="12" s="1"/>
  <c r="BW322" i="12"/>
  <c r="BY322" i="12" s="1"/>
  <c r="BZ322" i="12" s="1"/>
  <c r="BD315" i="12"/>
  <c r="BF315" i="12" s="1"/>
  <c r="BG315" i="12" s="1"/>
  <c r="CP314" i="12"/>
  <c r="CR314" i="12" s="1"/>
  <c r="CS314" i="12" s="1"/>
  <c r="CP310" i="12"/>
  <c r="CR310" i="12" s="1"/>
  <c r="CS310" i="12" s="1"/>
  <c r="AK320" i="12"/>
  <c r="AM320" i="12" s="1"/>
  <c r="AN320" i="12" s="1"/>
  <c r="BW314" i="12"/>
  <c r="BY314" i="12" s="1"/>
  <c r="BZ314" i="12" s="1"/>
  <c r="BW310" i="12"/>
  <c r="BY310" i="12" s="1"/>
  <c r="BZ310" i="12" s="1"/>
  <c r="DI307" i="12"/>
  <c r="DK307" i="12" s="1"/>
  <c r="DL307" i="12" s="1"/>
  <c r="DI303" i="12"/>
  <c r="DK303" i="12" s="1"/>
  <c r="DL303" i="12" s="1"/>
  <c r="EB309" i="12"/>
  <c r="ED309" i="12" s="1"/>
  <c r="EE309" i="12" s="1"/>
  <c r="EB305" i="12"/>
  <c r="ED305" i="12" s="1"/>
  <c r="EE305" i="12" s="1"/>
  <c r="CP316" i="12"/>
  <c r="CR316" i="12" s="1"/>
  <c r="CS316" i="12" s="1"/>
  <c r="BW307" i="12"/>
  <c r="BY307" i="12" s="1"/>
  <c r="BZ307" i="12" s="1"/>
  <c r="BW303" i="12"/>
  <c r="BY303" i="12" s="1"/>
  <c r="BZ303" i="12" s="1"/>
  <c r="AK310" i="12"/>
  <c r="AM310" i="12" s="1"/>
  <c r="AN310" i="12" s="1"/>
  <c r="AK306" i="12"/>
  <c r="AM306" i="12" s="1"/>
  <c r="AN306" i="12" s="1"/>
  <c r="DI302" i="12"/>
  <c r="DK302" i="12" s="1"/>
  <c r="DL302" i="12" s="1"/>
  <c r="DI298" i="12"/>
  <c r="DK298" i="12" s="1"/>
  <c r="DL298" i="12" s="1"/>
  <c r="CP302" i="12"/>
  <c r="CR302" i="12" s="1"/>
  <c r="CS302" i="12" s="1"/>
  <c r="CP298" i="12"/>
  <c r="CR298" i="12" s="1"/>
  <c r="CS298" i="12" s="1"/>
  <c r="CP294" i="12"/>
  <c r="CR294" i="12" s="1"/>
  <c r="CS294" i="12" s="1"/>
  <c r="CP290" i="12"/>
  <c r="CR290" i="12" s="1"/>
  <c r="CS290" i="12" s="1"/>
  <c r="CP299" i="12"/>
  <c r="CR299" i="12" s="1"/>
  <c r="CS299" i="12" s="1"/>
  <c r="CP295" i="12"/>
  <c r="CR295" i="12" s="1"/>
  <c r="CS295" i="12" s="1"/>
  <c r="CP291" i="12"/>
  <c r="CR291" i="12" s="1"/>
  <c r="CS291" i="12" s="1"/>
  <c r="BW299" i="12"/>
  <c r="BY299" i="12" s="1"/>
  <c r="BZ299" i="12" s="1"/>
  <c r="AK287" i="12"/>
  <c r="AM287" i="12" s="1"/>
  <c r="AN287" i="12" s="1"/>
  <c r="AK283" i="12"/>
  <c r="AM283" i="12" s="1"/>
  <c r="AN283" i="12" s="1"/>
  <c r="BD295" i="12"/>
  <c r="BF295" i="12" s="1"/>
  <c r="BG295" i="12" s="1"/>
  <c r="CP296" i="12"/>
  <c r="CR296" i="12" s="1"/>
  <c r="CS296" i="12" s="1"/>
  <c r="R287" i="12"/>
  <c r="T287" i="12" s="1"/>
  <c r="U287" i="12" s="1"/>
  <c r="R283" i="12"/>
  <c r="T283" i="12" s="1"/>
  <c r="U283" i="12" s="1"/>
  <c r="R279" i="12"/>
  <c r="T279" i="12" s="1"/>
  <c r="U279" i="12" s="1"/>
  <c r="EU299" i="12"/>
  <c r="EW299" i="12" s="1"/>
  <c r="EX299" i="12" s="1"/>
  <c r="EU287" i="12"/>
  <c r="EW287" i="12" s="1"/>
  <c r="EX287" i="12" s="1"/>
  <c r="EU283" i="12"/>
  <c r="EW283" i="12" s="1"/>
  <c r="EX283" i="12" s="1"/>
  <c r="EU279" i="12"/>
  <c r="EW279" i="12" s="1"/>
  <c r="EX279" i="12" s="1"/>
  <c r="DI297" i="12"/>
  <c r="DK297" i="12" s="1"/>
  <c r="DL297" i="12" s="1"/>
  <c r="BD279" i="12"/>
  <c r="BF279" i="12" s="1"/>
  <c r="BG279" i="12" s="1"/>
  <c r="EU272" i="12"/>
  <c r="EW272" i="12" s="1"/>
  <c r="EX272" i="12" s="1"/>
  <c r="EU268" i="12"/>
  <c r="EW268" i="12" s="1"/>
  <c r="EX268" i="12" s="1"/>
  <c r="AK278" i="12"/>
  <c r="AM278" i="12" s="1"/>
  <c r="AN278" i="12" s="1"/>
  <c r="AK275" i="12"/>
  <c r="AM275" i="12" s="1"/>
  <c r="AN275" i="12" s="1"/>
  <c r="AK271" i="12"/>
  <c r="AM271" i="12" s="1"/>
  <c r="AN271" i="12" s="1"/>
  <c r="AK267" i="12"/>
  <c r="AM267" i="12" s="1"/>
  <c r="AN267" i="12" s="1"/>
  <c r="BD287" i="12"/>
  <c r="BF287" i="12" s="1"/>
  <c r="BG287" i="12" s="1"/>
  <c r="DI286" i="12"/>
  <c r="DK286" i="12" s="1"/>
  <c r="DL286" i="12" s="1"/>
  <c r="AK276" i="12"/>
  <c r="AM276" i="12" s="1"/>
  <c r="AN276" i="12" s="1"/>
  <c r="AK272" i="12"/>
  <c r="AM272" i="12" s="1"/>
  <c r="AN272" i="12" s="1"/>
  <c r="AK268" i="12"/>
  <c r="AM268" i="12" s="1"/>
  <c r="AN268" i="12" s="1"/>
  <c r="AK264" i="12"/>
  <c r="AM264" i="12" s="1"/>
  <c r="AN264" i="12" s="1"/>
  <c r="R277" i="12"/>
  <c r="T277" i="12" s="1"/>
  <c r="U277" i="12" s="1"/>
  <c r="EB261" i="12"/>
  <c r="ED261" i="12" s="1"/>
  <c r="EE261" i="12" s="1"/>
  <c r="EB257" i="12"/>
  <c r="ED257" i="12" s="1"/>
  <c r="EE257" i="12" s="1"/>
  <c r="EB253" i="12"/>
  <c r="ED253" i="12" s="1"/>
  <c r="EE253" i="12" s="1"/>
  <c r="EB249" i="12"/>
  <c r="ED249" i="12" s="1"/>
  <c r="EE249" i="12" s="1"/>
  <c r="CP264" i="12"/>
  <c r="CR264" i="12" s="1"/>
  <c r="CS264" i="12" s="1"/>
  <c r="EU259" i="12"/>
  <c r="EW259" i="12" s="1"/>
  <c r="EX259" i="12" s="1"/>
  <c r="EU255" i="12"/>
  <c r="EW255" i="12" s="1"/>
  <c r="EX255" i="12" s="1"/>
  <c r="EU251" i="12"/>
  <c r="EW251" i="12" s="1"/>
  <c r="EX251" i="12" s="1"/>
  <c r="R265" i="12"/>
  <c r="T265" i="12" s="1"/>
  <c r="U265" i="12" s="1"/>
  <c r="AK262" i="12"/>
  <c r="AM262" i="12" s="1"/>
  <c r="AN262" i="12" s="1"/>
  <c r="AK258" i="12"/>
  <c r="AM258" i="12" s="1"/>
  <c r="AN258" i="12" s="1"/>
  <c r="AK254" i="12"/>
  <c r="AM254" i="12" s="1"/>
  <c r="AN254" i="12" s="1"/>
  <c r="AK250" i="12"/>
  <c r="AM250" i="12" s="1"/>
  <c r="AN250" i="12" s="1"/>
  <c r="DI266" i="12"/>
  <c r="DK266" i="12" s="1"/>
  <c r="DL266" i="12" s="1"/>
  <c r="BW267" i="12"/>
  <c r="BY267" i="12" s="1"/>
  <c r="BZ267" i="12" s="1"/>
  <c r="DI259" i="12"/>
  <c r="DK259" i="12" s="1"/>
  <c r="DL259" i="12" s="1"/>
  <c r="DI255" i="12"/>
  <c r="DK255" i="12" s="1"/>
  <c r="DL255" i="12" s="1"/>
  <c r="DI251" i="12"/>
  <c r="DK251" i="12" s="1"/>
  <c r="DL251" i="12" s="1"/>
  <c r="R264" i="12"/>
  <c r="T264" i="12" s="1"/>
  <c r="U264" i="12" s="1"/>
  <c r="BD244" i="12"/>
  <c r="BF244" i="12" s="1"/>
  <c r="BG244" i="12" s="1"/>
  <c r="BD240" i="12"/>
  <c r="BF240" i="12" s="1"/>
  <c r="BG240" i="12" s="1"/>
  <c r="AK248" i="12"/>
  <c r="AM248" i="12" s="1"/>
  <c r="AN248" i="12" s="1"/>
  <c r="AK244" i="12"/>
  <c r="AM244" i="12" s="1"/>
  <c r="AN244" i="12" s="1"/>
  <c r="AK240" i="12"/>
  <c r="AM240" i="12" s="1"/>
  <c r="AN240" i="12" s="1"/>
  <c r="AK236" i="12"/>
  <c r="AM236" i="12" s="1"/>
  <c r="AN236" i="12" s="1"/>
  <c r="EU247" i="12"/>
  <c r="EW247" i="12" s="1"/>
  <c r="EX247" i="12" s="1"/>
  <c r="EU243" i="12"/>
  <c r="EW243" i="12" s="1"/>
  <c r="EX243" i="12" s="1"/>
  <c r="EU239" i="12"/>
  <c r="EW239" i="12" s="1"/>
  <c r="EX239" i="12" s="1"/>
  <c r="AK246" i="12"/>
  <c r="AM246" i="12" s="1"/>
  <c r="AN246" i="12" s="1"/>
  <c r="R233" i="12"/>
  <c r="T233" i="12" s="1"/>
  <c r="U233" i="12" s="1"/>
  <c r="R229" i="12"/>
  <c r="T229" i="12" s="1"/>
  <c r="U229" i="12" s="1"/>
  <c r="R225" i="12"/>
  <c r="T225" i="12" s="1"/>
  <c r="U225" i="12" s="1"/>
  <c r="R221" i="12"/>
  <c r="T221" i="12" s="1"/>
  <c r="U221" i="12" s="1"/>
  <c r="CP236" i="12"/>
  <c r="CR236" i="12" s="1"/>
  <c r="CS236" i="12" s="1"/>
  <c r="R230" i="12"/>
  <c r="T230" i="12" s="1"/>
  <c r="U230" i="12" s="1"/>
  <c r="R226" i="12"/>
  <c r="T226" i="12" s="1"/>
  <c r="U226" i="12" s="1"/>
  <c r="R222" i="12"/>
  <c r="T222" i="12" s="1"/>
  <c r="U222" i="12" s="1"/>
  <c r="BW235" i="12"/>
  <c r="BY235" i="12" s="1"/>
  <c r="BZ235" i="12" s="1"/>
  <c r="R231" i="12"/>
  <c r="T231" i="12" s="1"/>
  <c r="U231" i="12" s="1"/>
  <c r="EU240" i="12"/>
  <c r="EW240" i="12" s="1"/>
  <c r="EX240" i="12" s="1"/>
  <c r="R236" i="12"/>
  <c r="T236" i="12" s="1"/>
  <c r="U236" i="12" s="1"/>
  <c r="EU231" i="12"/>
  <c r="EW231" i="12" s="1"/>
  <c r="EX231" i="12" s="1"/>
  <c r="EU227" i="12"/>
  <c r="EW227" i="12" s="1"/>
  <c r="EX227" i="12" s="1"/>
  <c r="EU223" i="12"/>
  <c r="EW223" i="12" s="1"/>
  <c r="EX223" i="12" s="1"/>
  <c r="EB239" i="12"/>
  <c r="ED239" i="12" s="1"/>
  <c r="EE239" i="12" s="1"/>
  <c r="BD219" i="12"/>
  <c r="BF219" i="12" s="1"/>
  <c r="BG219" i="12" s="1"/>
  <c r="BD215" i="12"/>
  <c r="BF215" i="12" s="1"/>
  <c r="BG215" i="12" s="1"/>
  <c r="BD211" i="12"/>
  <c r="BF211" i="12" s="1"/>
  <c r="BG211" i="12" s="1"/>
  <c r="BD207" i="12"/>
  <c r="BF207" i="12" s="1"/>
  <c r="BG207" i="12" s="1"/>
  <c r="AK219" i="12"/>
  <c r="AM219" i="12" s="1"/>
  <c r="AN219" i="12" s="1"/>
  <c r="AK215" i="12"/>
  <c r="AM215" i="12" s="1"/>
  <c r="AN215" i="12" s="1"/>
  <c r="AK211" i="12"/>
  <c r="AM211" i="12" s="1"/>
  <c r="AN211" i="12" s="1"/>
  <c r="BW222" i="12"/>
  <c r="BY222" i="12" s="1"/>
  <c r="BZ222" i="12" s="1"/>
  <c r="EU222" i="12"/>
  <c r="EW222" i="12" s="1"/>
  <c r="EX222" i="12" s="1"/>
  <c r="DI216" i="12"/>
  <c r="DK216" i="12" s="1"/>
  <c r="DL216" i="12" s="1"/>
  <c r="DI212" i="12"/>
  <c r="DK212" i="12" s="1"/>
  <c r="DL212" i="12" s="1"/>
  <c r="DI208" i="12"/>
  <c r="DK208" i="12" s="1"/>
  <c r="DL208" i="12" s="1"/>
  <c r="BD210" i="12"/>
  <c r="BF210" i="12" s="1"/>
  <c r="BG210" i="12" s="1"/>
  <c r="R216" i="12"/>
  <c r="T216" i="12" s="1"/>
  <c r="U216" i="12" s="1"/>
  <c r="EB203" i="12"/>
  <c r="ED203" i="12" s="1"/>
  <c r="EE203" i="12" s="1"/>
  <c r="EB199" i="12"/>
  <c r="ED199" i="12" s="1"/>
  <c r="EE199" i="12" s="1"/>
  <c r="EB195" i="12"/>
  <c r="ED195" i="12" s="1"/>
  <c r="EE195" i="12" s="1"/>
  <c r="CP206" i="12"/>
  <c r="CR206" i="12" s="1"/>
  <c r="CS206" i="12" s="1"/>
  <c r="R202" i="12"/>
  <c r="T202" i="12" s="1"/>
  <c r="U202" i="12" s="1"/>
  <c r="R198" i="12"/>
  <c r="T198" i="12" s="1"/>
  <c r="U198" i="12" s="1"/>
  <c r="EU211" i="12"/>
  <c r="EW211" i="12" s="1"/>
  <c r="EX211" i="12" s="1"/>
  <c r="EB194" i="12"/>
  <c r="ED194" i="12" s="1"/>
  <c r="EE194" i="12" s="1"/>
  <c r="AK194" i="12"/>
  <c r="AM194" i="12" s="1"/>
  <c r="AN194" i="12" s="1"/>
  <c r="DI197" i="12"/>
  <c r="DK197" i="12" s="1"/>
  <c r="DL197" i="12" s="1"/>
  <c r="CP195" i="12"/>
  <c r="CR195" i="12" s="1"/>
  <c r="CS195" i="12" s="1"/>
  <c r="CP190" i="12"/>
  <c r="CR190" i="12" s="1"/>
  <c r="CS190" i="12" s="1"/>
  <c r="CP186" i="12"/>
  <c r="CR186" i="12" s="1"/>
  <c r="CS186" i="12" s="1"/>
  <c r="CP182" i="12"/>
  <c r="CR182" i="12" s="1"/>
  <c r="CS182" i="12" s="1"/>
  <c r="CP178" i="12"/>
  <c r="CR178" i="12" s="1"/>
  <c r="CS178" i="12" s="1"/>
  <c r="CP174" i="12"/>
  <c r="CR174" i="12" s="1"/>
  <c r="CS174" i="12" s="1"/>
  <c r="CP170" i="12"/>
  <c r="CR170" i="12" s="1"/>
  <c r="CS170" i="12" s="1"/>
  <c r="CP166" i="12"/>
  <c r="CR166" i="12" s="1"/>
  <c r="CS166" i="12" s="1"/>
  <c r="R199" i="12"/>
  <c r="T199" i="12" s="1"/>
  <c r="U199" i="12" s="1"/>
  <c r="EB197" i="12"/>
  <c r="ED197" i="12" s="1"/>
  <c r="EE197" i="12" s="1"/>
  <c r="AK192" i="12"/>
  <c r="AM192" i="12" s="1"/>
  <c r="AN192" i="12" s="1"/>
  <c r="AK188" i="12"/>
  <c r="AM188" i="12" s="1"/>
  <c r="AN188" i="12" s="1"/>
  <c r="AK184" i="12"/>
  <c r="AM184" i="12" s="1"/>
  <c r="AN184" i="12" s="1"/>
  <c r="AK180" i="12"/>
  <c r="AM180" i="12" s="1"/>
  <c r="AN180" i="12" s="1"/>
  <c r="AK176" i="12"/>
  <c r="AM176" i="12" s="1"/>
  <c r="AN176" i="12" s="1"/>
  <c r="AK172" i="12"/>
  <c r="AM172" i="12" s="1"/>
  <c r="AN172" i="12" s="1"/>
  <c r="AK168" i="12"/>
  <c r="AM168" i="12" s="1"/>
  <c r="AN168" i="12" s="1"/>
  <c r="AK164" i="12"/>
  <c r="AM164" i="12" s="1"/>
  <c r="AN164" i="12" s="1"/>
  <c r="R189" i="12"/>
  <c r="T189" i="12" s="1"/>
  <c r="U189" i="12" s="1"/>
  <c r="R176" i="12"/>
  <c r="T176" i="12" s="1"/>
  <c r="U176" i="12" s="1"/>
  <c r="AK185" i="12"/>
  <c r="AM185" i="12" s="1"/>
  <c r="AN185" i="12" s="1"/>
  <c r="EU172" i="12"/>
  <c r="EW172" i="12" s="1"/>
  <c r="EX172" i="12" s="1"/>
  <c r="EB160" i="12"/>
  <c r="ED160" i="12" s="1"/>
  <c r="EE160" i="12" s="1"/>
  <c r="EB156" i="12"/>
  <c r="ED156" i="12" s="1"/>
  <c r="EE156" i="12" s="1"/>
  <c r="EB152" i="12"/>
  <c r="ED152" i="12" s="1"/>
  <c r="EE152" i="12" s="1"/>
  <c r="EB182" i="12"/>
  <c r="ED182" i="12" s="1"/>
  <c r="EE182" i="12" s="1"/>
  <c r="EU167" i="12"/>
  <c r="EW167" i="12" s="1"/>
  <c r="EX167" i="12" s="1"/>
  <c r="BD194" i="12"/>
  <c r="BF194" i="12" s="1"/>
  <c r="BG194" i="12" s="1"/>
  <c r="DI177" i="12"/>
  <c r="DK177" i="12" s="1"/>
  <c r="DL177" i="12" s="1"/>
  <c r="R163" i="12"/>
  <c r="T163" i="12" s="1"/>
  <c r="U163" i="12" s="1"/>
  <c r="R159" i="12"/>
  <c r="T159" i="12" s="1"/>
  <c r="U159" i="12" s="1"/>
  <c r="R155" i="12"/>
  <c r="T155" i="12" s="1"/>
  <c r="U155" i="12" s="1"/>
  <c r="R151" i="12"/>
  <c r="T151" i="12" s="1"/>
  <c r="U151" i="12" s="1"/>
  <c r="BD186" i="12"/>
  <c r="BF186" i="12" s="1"/>
  <c r="BG186" i="12" s="1"/>
  <c r="R177" i="12"/>
  <c r="T177" i="12" s="1"/>
  <c r="U177" i="12" s="1"/>
  <c r="BW191" i="12"/>
  <c r="BY191" i="12" s="1"/>
  <c r="BZ191" i="12" s="1"/>
  <c r="BW175" i="12"/>
  <c r="BY175" i="12" s="1"/>
  <c r="BZ175" i="12" s="1"/>
  <c r="BD162" i="12"/>
  <c r="BF162" i="12" s="1"/>
  <c r="BG162" i="12" s="1"/>
  <c r="BD158" i="12"/>
  <c r="BF158" i="12" s="1"/>
  <c r="BG158" i="12" s="1"/>
  <c r="BD154" i="12"/>
  <c r="BF154" i="12" s="1"/>
  <c r="BG154" i="12" s="1"/>
  <c r="BD150" i="12"/>
  <c r="BF150" i="12" s="1"/>
  <c r="BG150" i="12" s="1"/>
  <c r="BD146" i="12"/>
  <c r="BF146" i="12" s="1"/>
  <c r="BG146" i="12" s="1"/>
  <c r="BD170" i="12"/>
  <c r="BF170" i="12" s="1"/>
  <c r="BG170" i="12" s="1"/>
  <c r="CP144" i="12"/>
  <c r="CR144" i="12" s="1"/>
  <c r="CS144" i="12" s="1"/>
  <c r="CP140" i="12"/>
  <c r="CR140" i="12" s="1"/>
  <c r="CS140" i="12" s="1"/>
  <c r="CP136" i="12"/>
  <c r="CR136" i="12" s="1"/>
  <c r="CS136" i="12" s="1"/>
  <c r="CP132" i="12"/>
  <c r="CR132" i="12" s="1"/>
  <c r="CS132" i="12" s="1"/>
  <c r="CP128" i="12"/>
  <c r="CR128" i="12" s="1"/>
  <c r="CS128" i="12" s="1"/>
  <c r="CP124" i="12"/>
  <c r="CR124" i="12" s="1"/>
  <c r="CS124" i="12" s="1"/>
  <c r="AK173" i="12"/>
  <c r="AM173" i="12" s="1"/>
  <c r="AN173" i="12" s="1"/>
  <c r="BD149" i="12"/>
  <c r="BF149" i="12" s="1"/>
  <c r="BG149" i="12" s="1"/>
  <c r="EU164" i="12"/>
  <c r="EW164" i="12" s="1"/>
  <c r="EX164" i="12" s="1"/>
  <c r="R145" i="12"/>
  <c r="T145" i="12" s="1"/>
  <c r="U145" i="12" s="1"/>
  <c r="R141" i="12"/>
  <c r="T141" i="12" s="1"/>
  <c r="U141" i="12" s="1"/>
  <c r="R137" i="12"/>
  <c r="T137" i="12" s="1"/>
  <c r="U137" i="12" s="1"/>
  <c r="R133" i="12"/>
  <c r="T133" i="12" s="1"/>
  <c r="U133" i="12" s="1"/>
  <c r="R129" i="12"/>
  <c r="T129" i="12" s="1"/>
  <c r="U129" i="12" s="1"/>
  <c r="R125" i="12"/>
  <c r="T125" i="12" s="1"/>
  <c r="U125" i="12" s="1"/>
  <c r="R204" i="12"/>
  <c r="T204" i="12" s="1"/>
  <c r="U204" i="12" s="1"/>
  <c r="EU149" i="12"/>
  <c r="EW149" i="12" s="1"/>
  <c r="EX149" i="12" s="1"/>
  <c r="EB167" i="12"/>
  <c r="ED167" i="12" s="1"/>
  <c r="EE167" i="12" s="1"/>
  <c r="EB148" i="12"/>
  <c r="ED148" i="12" s="1"/>
  <c r="EE148" i="12" s="1"/>
  <c r="R142" i="12"/>
  <c r="T142" i="12" s="1"/>
  <c r="U142" i="12" s="1"/>
  <c r="R138" i="12"/>
  <c r="T138" i="12" s="1"/>
  <c r="U138" i="12" s="1"/>
  <c r="R134" i="12"/>
  <c r="T134" i="12" s="1"/>
  <c r="U134" i="12" s="1"/>
  <c r="R130" i="12"/>
  <c r="T130" i="12" s="1"/>
  <c r="U130" i="12" s="1"/>
  <c r="R126" i="12"/>
  <c r="T126" i="12" s="1"/>
  <c r="U126" i="12" s="1"/>
  <c r="DI162" i="12"/>
  <c r="DK162" i="12" s="1"/>
  <c r="DL162" i="12" s="1"/>
  <c r="AK146" i="12"/>
  <c r="AM146" i="12" s="1"/>
  <c r="AN146" i="12" s="1"/>
  <c r="DI147" i="12"/>
  <c r="DK147" i="12" s="1"/>
  <c r="DL147" i="12" s="1"/>
  <c r="EB141" i="12"/>
  <c r="ED141" i="12" s="1"/>
  <c r="EE141" i="12" s="1"/>
  <c r="EB137" i="12"/>
  <c r="ED137" i="12" s="1"/>
  <c r="EE137" i="12" s="1"/>
  <c r="EB133" i="12"/>
  <c r="ED133" i="12" s="1"/>
  <c r="EE133" i="12" s="1"/>
  <c r="EB129" i="12"/>
  <c r="ED129" i="12" s="1"/>
  <c r="EE129" i="12" s="1"/>
  <c r="EB125" i="12"/>
  <c r="ED125" i="12" s="1"/>
  <c r="EE125" i="12" s="1"/>
  <c r="EB121" i="12"/>
  <c r="ED121" i="12" s="1"/>
  <c r="EE121" i="12" s="1"/>
  <c r="AK121" i="12"/>
  <c r="AM121" i="12" s="1"/>
  <c r="AN121" i="12" s="1"/>
  <c r="BD117" i="12"/>
  <c r="BF117" i="12" s="1"/>
  <c r="BG117" i="12" s="1"/>
  <c r="BW119" i="12"/>
  <c r="BY119" i="12" s="1"/>
  <c r="BZ119" i="12" s="1"/>
  <c r="BW115" i="12"/>
  <c r="BY115" i="12" s="1"/>
  <c r="BZ115" i="12" s="1"/>
  <c r="DI119" i="12"/>
  <c r="DK119" i="12" s="1"/>
  <c r="DL119" i="12" s="1"/>
  <c r="R113" i="12"/>
  <c r="T113" i="12" s="1"/>
  <c r="U113" i="12" s="1"/>
  <c r="EB108" i="12"/>
  <c r="ED108" i="12" s="1"/>
  <c r="EE108" i="12" s="1"/>
  <c r="EB104" i="12"/>
  <c r="ED104" i="12" s="1"/>
  <c r="EE104" i="12" s="1"/>
  <c r="EB100" i="12"/>
  <c r="ED100" i="12" s="1"/>
  <c r="EE100" i="12" s="1"/>
  <c r="EB96" i="12"/>
  <c r="ED96" i="12" s="1"/>
  <c r="EE96" i="12" s="1"/>
  <c r="EB92" i="12"/>
  <c r="ED92" i="12" s="1"/>
  <c r="EE92" i="12" s="1"/>
  <c r="R118" i="12"/>
  <c r="T118" i="12" s="1"/>
  <c r="U118" i="12" s="1"/>
  <c r="AK118" i="12"/>
  <c r="AM118" i="12" s="1"/>
  <c r="AN118" i="12" s="1"/>
  <c r="AK112" i="12"/>
  <c r="AM112" i="12" s="1"/>
  <c r="AN112" i="12" s="1"/>
  <c r="AK108" i="12"/>
  <c r="AM108" i="12" s="1"/>
  <c r="AN108" i="12" s="1"/>
  <c r="AK104" i="12"/>
  <c r="AM104" i="12" s="1"/>
  <c r="AN104" i="12" s="1"/>
  <c r="AK100" i="12"/>
  <c r="AM100" i="12" s="1"/>
  <c r="AN100" i="12" s="1"/>
  <c r="AK96" i="12"/>
  <c r="AM96" i="12" s="1"/>
  <c r="AN96" i="12" s="1"/>
  <c r="AK92" i="12"/>
  <c r="AM92" i="12" s="1"/>
  <c r="AN92" i="12" s="1"/>
  <c r="AK88" i="12"/>
  <c r="AM88" i="12" s="1"/>
  <c r="AN88" i="12" s="1"/>
  <c r="AK84" i="12"/>
  <c r="AM84" i="12" s="1"/>
  <c r="AN84" i="12" s="1"/>
  <c r="EU120" i="12"/>
  <c r="EW120" i="12" s="1"/>
  <c r="EX120" i="12" s="1"/>
  <c r="BW111" i="12"/>
  <c r="BY111" i="12" s="1"/>
  <c r="BZ111" i="12" s="1"/>
  <c r="BW107" i="12"/>
  <c r="BY107" i="12" s="1"/>
  <c r="BZ107" i="12" s="1"/>
  <c r="BW103" i="12"/>
  <c r="BY103" i="12" s="1"/>
  <c r="BZ103" i="12" s="1"/>
  <c r="BW99" i="12"/>
  <c r="BY99" i="12" s="1"/>
  <c r="BZ99" i="12" s="1"/>
  <c r="BW95" i="12"/>
  <c r="BY95" i="12" s="1"/>
  <c r="BZ95" i="12" s="1"/>
  <c r="BW91" i="12"/>
  <c r="BY91" i="12" s="1"/>
  <c r="BZ91" i="12" s="1"/>
  <c r="BW87" i="12"/>
  <c r="BY87" i="12" s="1"/>
  <c r="BZ87" i="12" s="1"/>
  <c r="BW83" i="12"/>
  <c r="BY83" i="12" s="1"/>
  <c r="BZ83" i="12" s="1"/>
  <c r="EB107" i="12"/>
  <c r="ED107" i="12" s="1"/>
  <c r="EE107" i="12" s="1"/>
  <c r="R93" i="12"/>
  <c r="T93" i="12" s="1"/>
  <c r="U93" i="12" s="1"/>
  <c r="R89" i="12"/>
  <c r="T89" i="12" s="1"/>
  <c r="U89" i="12" s="1"/>
  <c r="EU78" i="12"/>
  <c r="EW78" i="12" s="1"/>
  <c r="EX78" i="12" s="1"/>
  <c r="EU74" i="12"/>
  <c r="EW74" i="12" s="1"/>
  <c r="EX74" i="12" s="1"/>
  <c r="EU70" i="12"/>
  <c r="EW70" i="12" s="1"/>
  <c r="EX70" i="12" s="1"/>
  <c r="EU66" i="12"/>
  <c r="EW66" i="12" s="1"/>
  <c r="EX66" i="12" s="1"/>
  <c r="EU62" i="12"/>
  <c r="EW62" i="12" s="1"/>
  <c r="EX62" i="12" s="1"/>
  <c r="EU58" i="12"/>
  <c r="EW58" i="12" s="1"/>
  <c r="EX58" i="12" s="1"/>
  <c r="EU54" i="12"/>
  <c r="EW54" i="12" s="1"/>
  <c r="EX54" i="12" s="1"/>
  <c r="BD111" i="12"/>
  <c r="BF111" i="12" s="1"/>
  <c r="BG111" i="12" s="1"/>
  <c r="EU92" i="12"/>
  <c r="EW92" i="12" s="1"/>
  <c r="EX92" i="12" s="1"/>
  <c r="R80" i="12"/>
  <c r="T80" i="12" s="1"/>
  <c r="U80" i="12" s="1"/>
  <c r="R76" i="12"/>
  <c r="T76" i="12" s="1"/>
  <c r="U76" i="12" s="1"/>
  <c r="R72" i="12"/>
  <c r="T72" i="12" s="1"/>
  <c r="U72" i="12" s="1"/>
  <c r="R68" i="12"/>
  <c r="T68" i="12" s="1"/>
  <c r="U68" i="12" s="1"/>
  <c r="R64" i="12"/>
  <c r="T64" i="12" s="1"/>
  <c r="U64" i="12" s="1"/>
  <c r="R60" i="12"/>
  <c r="T60" i="12" s="1"/>
  <c r="U60" i="12" s="1"/>
  <c r="R56" i="12"/>
  <c r="T56" i="12" s="1"/>
  <c r="U56" i="12" s="1"/>
  <c r="BW15" i="12"/>
  <c r="BY15" i="12" s="1"/>
  <c r="BZ15" i="12" s="1"/>
  <c r="BW19" i="12"/>
  <c r="BY19" i="12" s="1"/>
  <c r="BZ19" i="12" s="1"/>
  <c r="AK362" i="12"/>
  <c r="AM362" i="12" s="1"/>
  <c r="AN362" i="12" s="1"/>
  <c r="AK363" i="12"/>
  <c r="AM363" i="12" s="1"/>
  <c r="AN363" i="12" s="1"/>
  <c r="EU362" i="12"/>
  <c r="EW362" i="12" s="1"/>
  <c r="EX362" i="12" s="1"/>
  <c r="R359" i="12"/>
  <c r="T359" i="12" s="1"/>
  <c r="U359" i="12" s="1"/>
  <c r="EB358" i="12"/>
  <c r="ED358" i="12" s="1"/>
  <c r="EE358" i="12" s="1"/>
  <c r="AK358" i="12"/>
  <c r="AM358" i="12" s="1"/>
  <c r="AN358" i="12" s="1"/>
  <c r="BD355" i="12"/>
  <c r="BF355" i="12" s="1"/>
  <c r="BG355" i="12" s="1"/>
  <c r="R356" i="12"/>
  <c r="T356" i="12" s="1"/>
  <c r="U356" i="12" s="1"/>
  <c r="CP354" i="12"/>
  <c r="CR354" i="12" s="1"/>
  <c r="CS354" i="12" s="1"/>
  <c r="EB353" i="12"/>
  <c r="ED353" i="12" s="1"/>
  <c r="EE353" i="12" s="1"/>
  <c r="EU351" i="12"/>
  <c r="EW351" i="12" s="1"/>
  <c r="EX351" i="12" s="1"/>
  <c r="AK354" i="12"/>
  <c r="AM354" i="12" s="1"/>
  <c r="AN354" i="12" s="1"/>
  <c r="EB351" i="12"/>
  <c r="ED351" i="12" s="1"/>
  <c r="EE351" i="12" s="1"/>
  <c r="CP352" i="12"/>
  <c r="CR352" i="12" s="1"/>
  <c r="CS352" i="12" s="1"/>
  <c r="AK348" i="12"/>
  <c r="AM348" i="12" s="1"/>
  <c r="AN348" i="12" s="1"/>
  <c r="R349" i="12"/>
  <c r="T349" i="12" s="1"/>
  <c r="U349" i="12" s="1"/>
  <c r="R348" i="12"/>
  <c r="T348" i="12" s="1"/>
  <c r="U348" i="12" s="1"/>
  <c r="EU347" i="12"/>
  <c r="EW347" i="12" s="1"/>
  <c r="EX347" i="12" s="1"/>
  <c r="BW344" i="12"/>
  <c r="BY344" i="12" s="1"/>
  <c r="BZ344" i="12" s="1"/>
  <c r="EB341" i="12"/>
  <c r="ED341" i="12" s="1"/>
  <c r="EE341" i="12" s="1"/>
  <c r="EU342" i="12"/>
  <c r="EW342" i="12" s="1"/>
  <c r="EX342" i="12" s="1"/>
  <c r="EB345" i="12"/>
  <c r="ED345" i="12" s="1"/>
  <c r="EE345" i="12" s="1"/>
  <c r="BD341" i="12"/>
  <c r="BF341" i="12" s="1"/>
  <c r="BG341" i="12" s="1"/>
  <c r="BD337" i="12"/>
  <c r="BF337" i="12" s="1"/>
  <c r="BG337" i="12" s="1"/>
  <c r="AK341" i="12"/>
  <c r="AM341" i="12" s="1"/>
  <c r="AN341" i="12" s="1"/>
  <c r="CP333" i="12"/>
  <c r="CR333" i="12" s="1"/>
  <c r="CS333" i="12" s="1"/>
  <c r="CP334" i="12"/>
  <c r="CR334" i="12" s="1"/>
  <c r="CS334" i="12" s="1"/>
  <c r="CP340" i="12"/>
  <c r="CR340" i="12" s="1"/>
  <c r="CS340" i="12" s="1"/>
  <c r="CP335" i="12"/>
  <c r="CR335" i="12" s="1"/>
  <c r="CS335" i="12" s="1"/>
  <c r="CP331" i="12"/>
  <c r="CR331" i="12" s="1"/>
  <c r="CS331" i="12" s="1"/>
  <c r="EU337" i="12"/>
  <c r="EW337" i="12" s="1"/>
  <c r="EX337" i="12" s="1"/>
  <c r="AK328" i="12"/>
  <c r="AM328" i="12" s="1"/>
  <c r="AN328" i="12" s="1"/>
  <c r="CP328" i="12"/>
  <c r="CR328" i="12" s="1"/>
  <c r="CS328" i="12" s="1"/>
  <c r="EB331" i="12"/>
  <c r="ED331" i="12" s="1"/>
  <c r="EE331" i="12" s="1"/>
  <c r="AK330" i="12"/>
  <c r="AM330" i="12" s="1"/>
  <c r="AN330" i="12" s="1"/>
  <c r="AK326" i="12"/>
  <c r="AM326" i="12" s="1"/>
  <c r="AN326" i="12" s="1"/>
  <c r="EB324" i="12"/>
  <c r="ED324" i="12" s="1"/>
  <c r="EE324" i="12" s="1"/>
  <c r="BW323" i="12"/>
  <c r="BY323" i="12" s="1"/>
  <c r="BZ323" i="12" s="1"/>
  <c r="BW319" i="12"/>
  <c r="BY319" i="12" s="1"/>
  <c r="BZ319" i="12" s="1"/>
  <c r="DI325" i="12"/>
  <c r="DK325" i="12" s="1"/>
  <c r="DL325" i="12" s="1"/>
  <c r="AK322" i="12"/>
  <c r="AM322" i="12" s="1"/>
  <c r="AN322" i="12" s="1"/>
  <c r="AK318" i="12"/>
  <c r="AM318" i="12" s="1"/>
  <c r="AN318" i="12" s="1"/>
  <c r="AK323" i="12"/>
  <c r="AM323" i="12" s="1"/>
  <c r="AN323" i="12" s="1"/>
  <c r="AK319" i="12"/>
  <c r="AM319" i="12" s="1"/>
  <c r="AN319" i="12" s="1"/>
  <c r="BW317" i="12"/>
  <c r="BY317" i="12" s="1"/>
  <c r="BZ317" i="12" s="1"/>
  <c r="DI314" i="12"/>
  <c r="DK314" i="12" s="1"/>
  <c r="DL314" i="12" s="1"/>
  <c r="R314" i="12"/>
  <c r="T314" i="12" s="1"/>
  <c r="U314" i="12" s="1"/>
  <c r="R310" i="12"/>
  <c r="T310" i="12" s="1"/>
  <c r="U310" i="12" s="1"/>
  <c r="CP319" i="12"/>
  <c r="CR319" i="12" s="1"/>
  <c r="CS319" i="12" s="1"/>
  <c r="EB313" i="12"/>
  <c r="ED313" i="12" s="1"/>
  <c r="EE313" i="12" s="1"/>
  <c r="BD321" i="12"/>
  <c r="BF321" i="12" s="1"/>
  <c r="BG321" i="12" s="1"/>
  <c r="AK307" i="12"/>
  <c r="AM307" i="12" s="1"/>
  <c r="AN307" i="12" s="1"/>
  <c r="DI320" i="12"/>
  <c r="DK320" i="12" s="1"/>
  <c r="DL320" i="12" s="1"/>
  <c r="BD309" i="12"/>
  <c r="BF309" i="12" s="1"/>
  <c r="BG309" i="12" s="1"/>
  <c r="BD305" i="12"/>
  <c r="BF305" i="12" s="1"/>
  <c r="BG305" i="12" s="1"/>
  <c r="EB314" i="12"/>
  <c r="ED314" i="12" s="1"/>
  <c r="EE314" i="12" s="1"/>
  <c r="EB306" i="12"/>
  <c r="ED306" i="12" s="1"/>
  <c r="EE306" i="12" s="1"/>
  <c r="EU325" i="12"/>
  <c r="EW325" i="12" s="1"/>
  <c r="EX325" i="12" s="1"/>
  <c r="CP309" i="12"/>
  <c r="CR309" i="12" s="1"/>
  <c r="CS309" i="12" s="1"/>
  <c r="CP305" i="12"/>
  <c r="CR305" i="12" s="1"/>
  <c r="CS305" i="12" s="1"/>
  <c r="AK302" i="12"/>
  <c r="AM302" i="12" s="1"/>
  <c r="AN302" i="12" s="1"/>
  <c r="AK298" i="12"/>
  <c r="AM298" i="12" s="1"/>
  <c r="AN298" i="12" s="1"/>
  <c r="R302" i="12"/>
  <c r="T302" i="12" s="1"/>
  <c r="U302" i="12" s="1"/>
  <c r="R298" i="12"/>
  <c r="T298" i="12" s="1"/>
  <c r="U298" i="12" s="1"/>
  <c r="R294" i="12"/>
  <c r="T294" i="12" s="1"/>
  <c r="U294" i="12" s="1"/>
  <c r="R303" i="12"/>
  <c r="T303" i="12" s="1"/>
  <c r="U303" i="12" s="1"/>
  <c r="R299" i="12"/>
  <c r="T299" i="12" s="1"/>
  <c r="U299" i="12" s="1"/>
  <c r="R295" i="12"/>
  <c r="T295" i="12" s="1"/>
  <c r="U295" i="12" s="1"/>
  <c r="R291" i="12"/>
  <c r="T291" i="12" s="1"/>
  <c r="U291" i="12" s="1"/>
  <c r="R296" i="12"/>
  <c r="T296" i="12" s="1"/>
  <c r="U296" i="12" s="1"/>
  <c r="CP286" i="12"/>
  <c r="CR286" i="12" s="1"/>
  <c r="CS286" i="12" s="1"/>
  <c r="CP282" i="12"/>
  <c r="CR282" i="12" s="1"/>
  <c r="CS282" i="12" s="1"/>
  <c r="AK294" i="12"/>
  <c r="AM294" i="12" s="1"/>
  <c r="AN294" i="12" s="1"/>
  <c r="EU292" i="12"/>
  <c r="EW292" i="12" s="1"/>
  <c r="EX292" i="12" s="1"/>
  <c r="EU286" i="12"/>
  <c r="EW286" i="12" s="1"/>
  <c r="EX286" i="12" s="1"/>
  <c r="EU282" i="12"/>
  <c r="EW282" i="12" s="1"/>
  <c r="EX282" i="12" s="1"/>
  <c r="EU278" i="12"/>
  <c r="EW278" i="12" s="1"/>
  <c r="EX278" i="12" s="1"/>
  <c r="BD298" i="12"/>
  <c r="BF298" i="12" s="1"/>
  <c r="BG298" i="12" s="1"/>
  <c r="BW287" i="12"/>
  <c r="BY287" i="12" s="1"/>
  <c r="BZ287" i="12" s="1"/>
  <c r="BW283" i="12"/>
  <c r="BY283" i="12" s="1"/>
  <c r="BZ283" i="12" s="1"/>
  <c r="BW279" i="12"/>
  <c r="BY279" i="12" s="1"/>
  <c r="BZ279" i="12" s="1"/>
  <c r="EB295" i="12"/>
  <c r="ED295" i="12" s="1"/>
  <c r="EE295" i="12" s="1"/>
  <c r="DI276" i="12"/>
  <c r="DK276" i="12" s="1"/>
  <c r="DL276" i="12" s="1"/>
  <c r="BW272" i="12"/>
  <c r="BY272" i="12" s="1"/>
  <c r="BZ272" i="12" s="1"/>
  <c r="BW268" i="12"/>
  <c r="BY268" i="12" s="1"/>
  <c r="BZ268" i="12" s="1"/>
  <c r="EU288" i="12"/>
  <c r="EW288" i="12" s="1"/>
  <c r="EX288" i="12" s="1"/>
  <c r="CP274" i="12"/>
  <c r="CR274" i="12" s="1"/>
  <c r="CS274" i="12" s="1"/>
  <c r="CP270" i="12"/>
  <c r="CR270" i="12" s="1"/>
  <c r="CS270" i="12" s="1"/>
  <c r="CP266" i="12"/>
  <c r="CR266" i="12" s="1"/>
  <c r="CS266" i="12" s="1"/>
  <c r="AK286" i="12"/>
  <c r="AM286" i="12" s="1"/>
  <c r="AN286" i="12" s="1"/>
  <c r="CP285" i="12"/>
  <c r="CR285" i="12" s="1"/>
  <c r="CS285" i="12" s="1"/>
  <c r="CP275" i="12"/>
  <c r="CR275" i="12" s="1"/>
  <c r="CS275" i="12" s="1"/>
  <c r="CP271" i="12"/>
  <c r="CR271" i="12" s="1"/>
  <c r="CS271" i="12" s="1"/>
  <c r="CP267" i="12"/>
  <c r="CR267" i="12" s="1"/>
  <c r="CS267" i="12" s="1"/>
  <c r="CP263" i="12"/>
  <c r="CR263" i="12" s="1"/>
  <c r="CS263" i="12" s="1"/>
  <c r="EB266" i="12"/>
  <c r="ED266" i="12" s="1"/>
  <c r="EE266" i="12" s="1"/>
  <c r="BD261" i="12"/>
  <c r="BF261" i="12" s="1"/>
  <c r="BG261" i="12" s="1"/>
  <c r="BD257" i="12"/>
  <c r="BF257" i="12" s="1"/>
  <c r="BG257" i="12" s="1"/>
  <c r="BD253" i="12"/>
  <c r="BF253" i="12" s="1"/>
  <c r="BG253" i="12" s="1"/>
  <c r="BD249" i="12"/>
  <c r="BF249" i="12" s="1"/>
  <c r="BG249" i="12" s="1"/>
  <c r="BW263" i="12"/>
  <c r="BY263" i="12" s="1"/>
  <c r="BZ263" i="12" s="1"/>
  <c r="BW259" i="12"/>
  <c r="BY259" i="12" s="1"/>
  <c r="BZ259" i="12" s="1"/>
  <c r="BW255" i="12"/>
  <c r="BY255" i="12" s="1"/>
  <c r="BZ255" i="12" s="1"/>
  <c r="BW251" i="12"/>
  <c r="BY251" i="12" s="1"/>
  <c r="BZ251" i="12" s="1"/>
  <c r="CP277" i="12"/>
  <c r="CR277" i="12" s="1"/>
  <c r="CS277" i="12" s="1"/>
  <c r="CP261" i="12"/>
  <c r="CR261" i="12" s="1"/>
  <c r="CS261" i="12" s="1"/>
  <c r="CP257" i="12"/>
  <c r="CR257" i="12" s="1"/>
  <c r="CS257" i="12" s="1"/>
  <c r="CP253" i="12"/>
  <c r="CR253" i="12" s="1"/>
  <c r="CS253" i="12" s="1"/>
  <c r="CP249" i="12"/>
  <c r="CR249" i="12" s="1"/>
  <c r="CS249" i="12" s="1"/>
  <c r="BD266" i="12"/>
  <c r="BF266" i="12" s="1"/>
  <c r="BG266" i="12" s="1"/>
  <c r="AK263" i="12"/>
  <c r="AM263" i="12" s="1"/>
  <c r="AN263" i="12" s="1"/>
  <c r="AK259" i="12"/>
  <c r="AM259" i="12" s="1"/>
  <c r="AN259" i="12" s="1"/>
  <c r="AK255" i="12"/>
  <c r="AM255" i="12" s="1"/>
  <c r="AN255" i="12" s="1"/>
  <c r="AK251" i="12"/>
  <c r="AM251" i="12" s="1"/>
  <c r="AN251" i="12" s="1"/>
  <c r="DI247" i="12"/>
  <c r="DK247" i="12" s="1"/>
  <c r="DL247" i="12" s="1"/>
  <c r="DI243" i="12"/>
  <c r="DK243" i="12" s="1"/>
  <c r="DL243" i="12" s="1"/>
  <c r="DI239" i="12"/>
  <c r="DK239" i="12" s="1"/>
  <c r="DL239" i="12" s="1"/>
  <c r="CP247" i="12"/>
  <c r="CR247" i="12" s="1"/>
  <c r="CS247" i="12" s="1"/>
  <c r="CP243" i="12"/>
  <c r="CR243" i="12" s="1"/>
  <c r="CS243" i="12" s="1"/>
  <c r="CP239" i="12"/>
  <c r="CR239" i="12" s="1"/>
  <c r="CS239" i="12" s="1"/>
  <c r="CP235" i="12"/>
  <c r="CR235" i="12" s="1"/>
  <c r="CS235" i="12" s="1"/>
  <c r="BW247" i="12"/>
  <c r="BY247" i="12" s="1"/>
  <c r="BZ247" i="12" s="1"/>
  <c r="BW243" i="12"/>
  <c r="BY243" i="12" s="1"/>
  <c r="BZ243" i="12" s="1"/>
  <c r="BW239" i="12"/>
  <c r="BY239" i="12" s="1"/>
  <c r="BZ239" i="12" s="1"/>
  <c r="EB243" i="12"/>
  <c r="ED243" i="12" s="1"/>
  <c r="EE243" i="12" s="1"/>
  <c r="EU232" i="12"/>
  <c r="EW232" i="12" s="1"/>
  <c r="EX232" i="12" s="1"/>
  <c r="EU228" i="12"/>
  <c r="EW228" i="12" s="1"/>
  <c r="EX228" i="12" s="1"/>
  <c r="EU224" i="12"/>
  <c r="EW224" i="12" s="1"/>
  <c r="EX224" i="12" s="1"/>
  <c r="EU220" i="12"/>
  <c r="EW220" i="12" s="1"/>
  <c r="EX220" i="12" s="1"/>
  <c r="EU233" i="12"/>
  <c r="EW233" i="12" s="1"/>
  <c r="EX233" i="12" s="1"/>
  <c r="EU229" i="12"/>
  <c r="EW229" i="12" s="1"/>
  <c r="EX229" i="12" s="1"/>
  <c r="EU225" i="12"/>
  <c r="EW225" i="12" s="1"/>
  <c r="EX225" i="12" s="1"/>
  <c r="EU221" i="12"/>
  <c r="EW221" i="12" s="1"/>
  <c r="EX221" i="12" s="1"/>
  <c r="BD234" i="12"/>
  <c r="BF234" i="12" s="1"/>
  <c r="BG234" i="12" s="1"/>
  <c r="EU230" i="12"/>
  <c r="EW230" i="12" s="1"/>
  <c r="EX230" i="12" s="1"/>
  <c r="R238" i="12"/>
  <c r="T238" i="12" s="1"/>
  <c r="U238" i="12" s="1"/>
  <c r="DI235" i="12"/>
  <c r="DK235" i="12" s="1"/>
  <c r="DL235" i="12" s="1"/>
  <c r="BW231" i="12"/>
  <c r="BY231" i="12" s="1"/>
  <c r="BZ231" i="12" s="1"/>
  <c r="BW227" i="12"/>
  <c r="BY227" i="12" s="1"/>
  <c r="BZ227" i="12" s="1"/>
  <c r="BW223" i="12"/>
  <c r="BY223" i="12" s="1"/>
  <c r="BZ223" i="12" s="1"/>
  <c r="CP227" i="12"/>
  <c r="CR227" i="12" s="1"/>
  <c r="CS227" i="12" s="1"/>
  <c r="DI218" i="12"/>
  <c r="DK218" i="12" s="1"/>
  <c r="DL218" i="12" s="1"/>
  <c r="DI214" i="12"/>
  <c r="DK214" i="12" s="1"/>
  <c r="DL214" i="12" s="1"/>
  <c r="DI210" i="12"/>
  <c r="DK210" i="12" s="1"/>
  <c r="DL210" i="12" s="1"/>
  <c r="DI206" i="12"/>
  <c r="DK206" i="12" s="1"/>
  <c r="DL206" i="12" s="1"/>
  <c r="CP218" i="12"/>
  <c r="CR218" i="12" s="1"/>
  <c r="CS218" i="12" s="1"/>
  <c r="CP214" i="12"/>
  <c r="CR214" i="12" s="1"/>
  <c r="CS214" i="12" s="1"/>
  <c r="CP210" i="12"/>
  <c r="CR210" i="12" s="1"/>
  <c r="CS210" i="12" s="1"/>
  <c r="EB220" i="12"/>
  <c r="ED220" i="12" s="1"/>
  <c r="EE220" i="12" s="1"/>
  <c r="AK220" i="12"/>
  <c r="AM220" i="12" s="1"/>
  <c r="AN220" i="12" s="1"/>
  <c r="AK216" i="12"/>
  <c r="AM216" i="12" s="1"/>
  <c r="AN216" i="12" s="1"/>
  <c r="AK212" i="12"/>
  <c r="AM212" i="12" s="1"/>
  <c r="AN212" i="12" s="1"/>
  <c r="AK208" i="12"/>
  <c r="AM208" i="12" s="1"/>
  <c r="AN208" i="12" s="1"/>
  <c r="DI209" i="12"/>
  <c r="DK209" i="12" s="1"/>
  <c r="DL209" i="12" s="1"/>
  <c r="BW215" i="12"/>
  <c r="BY215" i="12" s="1"/>
  <c r="BZ215" i="12" s="1"/>
  <c r="BD203" i="12"/>
  <c r="BF203" i="12" s="1"/>
  <c r="BG203" i="12" s="1"/>
  <c r="BD199" i="12"/>
  <c r="BF199" i="12" s="1"/>
  <c r="BG199" i="12" s="1"/>
  <c r="EU226" i="12"/>
  <c r="EW226" i="12" s="1"/>
  <c r="EX226" i="12" s="1"/>
  <c r="R206" i="12"/>
  <c r="T206" i="12" s="1"/>
  <c r="U206" i="12" s="1"/>
  <c r="EU201" i="12"/>
  <c r="EW201" i="12" s="1"/>
  <c r="EX201" i="12" s="1"/>
  <c r="EU197" i="12"/>
  <c r="EW197" i="12" s="1"/>
  <c r="EX197" i="12" s="1"/>
  <c r="R220" i="12"/>
  <c r="T220" i="12" s="1"/>
  <c r="U220" i="12" s="1"/>
  <c r="AK209" i="12"/>
  <c r="AM209" i="12" s="1"/>
  <c r="AN209" i="12" s="1"/>
  <c r="CP193" i="12"/>
  <c r="CR193" i="12" s="1"/>
  <c r="CS193" i="12" s="1"/>
  <c r="BD196" i="12"/>
  <c r="BF196" i="12" s="1"/>
  <c r="BG196" i="12" s="1"/>
  <c r="R194" i="12"/>
  <c r="T194" i="12" s="1"/>
  <c r="U194" i="12" s="1"/>
  <c r="R190" i="12"/>
  <c r="T190" i="12" s="1"/>
  <c r="U190" i="12" s="1"/>
  <c r="R186" i="12"/>
  <c r="T186" i="12" s="1"/>
  <c r="U186" i="12" s="1"/>
  <c r="R182" i="12"/>
  <c r="T182" i="12" s="1"/>
  <c r="U182" i="12" s="1"/>
  <c r="R178" i="12"/>
  <c r="T178" i="12" s="1"/>
  <c r="U178" i="12" s="1"/>
  <c r="R174" i="12"/>
  <c r="T174" i="12" s="1"/>
  <c r="U174" i="12" s="1"/>
  <c r="R170" i="12"/>
  <c r="T170" i="12" s="1"/>
  <c r="U170" i="12" s="1"/>
  <c r="R166" i="12"/>
  <c r="T166" i="12" s="1"/>
  <c r="U166" i="12" s="1"/>
  <c r="EU198" i="12"/>
  <c r="EW198" i="12" s="1"/>
  <c r="EX198" i="12" s="1"/>
  <c r="DI196" i="12"/>
  <c r="DK196" i="12" s="1"/>
  <c r="DL196" i="12" s="1"/>
  <c r="CP191" i="12"/>
  <c r="CR191" i="12" s="1"/>
  <c r="CS191" i="12" s="1"/>
  <c r="CP187" i="12"/>
  <c r="CR187" i="12" s="1"/>
  <c r="CS187" i="12" s="1"/>
  <c r="CP183" i="12"/>
  <c r="CR183" i="12" s="1"/>
  <c r="CS183" i="12" s="1"/>
  <c r="CP179" i="12"/>
  <c r="CR179" i="12" s="1"/>
  <c r="CS179" i="12" s="1"/>
  <c r="CP175" i="12"/>
  <c r="CR175" i="12" s="1"/>
  <c r="CS175" i="12" s="1"/>
  <c r="CP171" i="12"/>
  <c r="CR171" i="12" s="1"/>
  <c r="CS171" i="12" s="1"/>
  <c r="CP167" i="12"/>
  <c r="CR167" i="12" s="1"/>
  <c r="CS167" i="12" s="1"/>
  <c r="CP216" i="12"/>
  <c r="CR216" i="12" s="1"/>
  <c r="CS216" i="12" s="1"/>
  <c r="EU188" i="12"/>
  <c r="EW188" i="12" s="1"/>
  <c r="EX188" i="12" s="1"/>
  <c r="EB175" i="12"/>
  <c r="ED175" i="12" s="1"/>
  <c r="EE175" i="12" s="1"/>
  <c r="CP184" i="12"/>
  <c r="CR184" i="12" s="1"/>
  <c r="CS184" i="12" s="1"/>
  <c r="BW167" i="12"/>
  <c r="BY167" i="12" s="1"/>
  <c r="BZ167" i="12" s="1"/>
  <c r="BD160" i="12"/>
  <c r="BF160" i="12" s="1"/>
  <c r="BG160" i="12" s="1"/>
  <c r="BD156" i="12"/>
  <c r="BF156" i="12" s="1"/>
  <c r="BG156" i="12" s="1"/>
  <c r="BD152" i="12"/>
  <c r="BF152" i="12" s="1"/>
  <c r="BG152" i="12" s="1"/>
  <c r="BD179" i="12"/>
  <c r="BF179" i="12" s="1"/>
  <c r="BG179" i="12" s="1"/>
  <c r="BD166" i="12"/>
  <c r="BF166" i="12" s="1"/>
  <c r="BG166" i="12" s="1"/>
  <c r="AK193" i="12"/>
  <c r="AM193" i="12" s="1"/>
  <c r="AN193" i="12" s="1"/>
  <c r="DI174" i="12"/>
  <c r="DK174" i="12" s="1"/>
  <c r="DL174" i="12" s="1"/>
  <c r="EU162" i="12"/>
  <c r="EW162" i="12" s="1"/>
  <c r="EX162" i="12" s="1"/>
  <c r="EU158" i="12"/>
  <c r="EW158" i="12" s="1"/>
  <c r="EX158" i="12" s="1"/>
  <c r="EU154" i="12"/>
  <c r="EW154" i="12" s="1"/>
  <c r="EX154" i="12" s="1"/>
  <c r="EU150" i="12"/>
  <c r="EW150" i="12" s="1"/>
  <c r="EX150" i="12" s="1"/>
  <c r="CP185" i="12"/>
  <c r="CR185" i="12" s="1"/>
  <c r="CS185" i="12" s="1"/>
  <c r="EU176" i="12"/>
  <c r="EW176" i="12" s="1"/>
  <c r="EX176" i="12" s="1"/>
  <c r="AK189" i="12"/>
  <c r="AM189" i="12" s="1"/>
  <c r="AN189" i="12" s="1"/>
  <c r="R172" i="12"/>
  <c r="T172" i="12" s="1"/>
  <c r="U172" i="12" s="1"/>
  <c r="DI161" i="12"/>
  <c r="DK161" i="12" s="1"/>
  <c r="DL161" i="12" s="1"/>
  <c r="DI157" i="12"/>
  <c r="DK157" i="12" s="1"/>
  <c r="DL157" i="12" s="1"/>
  <c r="DI153" i="12"/>
  <c r="DK153" i="12" s="1"/>
  <c r="DL153" i="12" s="1"/>
  <c r="DI149" i="12"/>
  <c r="DK149" i="12" s="1"/>
  <c r="DL149" i="12" s="1"/>
  <c r="CP192" i="12"/>
  <c r="CR192" i="12" s="1"/>
  <c r="CS192" i="12" s="1"/>
  <c r="CP168" i="12"/>
  <c r="CR168" i="12" s="1"/>
  <c r="CS168" i="12" s="1"/>
  <c r="R144" i="12"/>
  <c r="T144" i="12" s="1"/>
  <c r="U144" i="12" s="1"/>
  <c r="R140" i="12"/>
  <c r="T140" i="12" s="1"/>
  <c r="U140" i="12" s="1"/>
  <c r="R136" i="12"/>
  <c r="T136" i="12" s="1"/>
  <c r="U136" i="12" s="1"/>
  <c r="R132" i="12"/>
  <c r="T132" i="12" s="1"/>
  <c r="U132" i="12" s="1"/>
  <c r="R128" i="12"/>
  <c r="T128" i="12" s="1"/>
  <c r="U128" i="12" s="1"/>
  <c r="R124" i="12"/>
  <c r="T124" i="12" s="1"/>
  <c r="U124" i="12" s="1"/>
  <c r="EB170" i="12"/>
  <c r="ED170" i="12" s="1"/>
  <c r="EE170" i="12" s="1"/>
  <c r="BD148" i="12"/>
  <c r="BF148" i="12" s="1"/>
  <c r="BG148" i="12" s="1"/>
  <c r="AK162" i="12"/>
  <c r="AM162" i="12" s="1"/>
  <c r="AN162" i="12" s="1"/>
  <c r="EU144" i="12"/>
  <c r="EW144" i="12" s="1"/>
  <c r="EX144" i="12" s="1"/>
  <c r="EU140" i="12"/>
  <c r="EW140" i="12" s="1"/>
  <c r="EX140" i="12" s="1"/>
  <c r="EU136" i="12"/>
  <c r="EW136" i="12" s="1"/>
  <c r="EX136" i="12" s="1"/>
  <c r="EU132" i="12"/>
  <c r="EW132" i="12" s="1"/>
  <c r="EX132" i="12" s="1"/>
  <c r="EU128" i="12"/>
  <c r="EW128" i="12" s="1"/>
  <c r="EX128" i="12" s="1"/>
  <c r="EU124" i="12"/>
  <c r="EW124" i="12" s="1"/>
  <c r="EX124" i="12" s="1"/>
  <c r="BW180" i="12"/>
  <c r="BY180" i="12" s="1"/>
  <c r="BZ180" i="12" s="1"/>
  <c r="EU148" i="12"/>
  <c r="EW148" i="12" s="1"/>
  <c r="EX148" i="12" s="1"/>
  <c r="DI165" i="12"/>
  <c r="DK165" i="12" s="1"/>
  <c r="DL165" i="12" s="1"/>
  <c r="EB145" i="12"/>
  <c r="ED145" i="12" s="1"/>
  <c r="EE145" i="12" s="1"/>
  <c r="EU141" i="12"/>
  <c r="EW141" i="12" s="1"/>
  <c r="EX141" i="12" s="1"/>
  <c r="EU137" i="12"/>
  <c r="EW137" i="12" s="1"/>
  <c r="EX137" i="12" s="1"/>
  <c r="EU133" i="12"/>
  <c r="EW133" i="12" s="1"/>
  <c r="EX133" i="12" s="1"/>
  <c r="EU129" i="12"/>
  <c r="EW129" i="12" s="1"/>
  <c r="EX129" i="12" s="1"/>
  <c r="EU125" i="12"/>
  <c r="EW125" i="12" s="1"/>
  <c r="EX125" i="12" s="1"/>
  <c r="BW160" i="12"/>
  <c r="BY160" i="12" s="1"/>
  <c r="BZ160" i="12" s="1"/>
  <c r="EU175" i="12"/>
  <c r="EW175" i="12" s="1"/>
  <c r="EX175" i="12" s="1"/>
  <c r="BW145" i="12"/>
  <c r="BY145" i="12" s="1"/>
  <c r="BZ145" i="12" s="1"/>
  <c r="BD141" i="12"/>
  <c r="BF141" i="12" s="1"/>
  <c r="BG141" i="12" s="1"/>
  <c r="BD137" i="12"/>
  <c r="BF137" i="12" s="1"/>
  <c r="BG137" i="12" s="1"/>
  <c r="BD133" i="12"/>
  <c r="BF133" i="12" s="1"/>
  <c r="BG133" i="12" s="1"/>
  <c r="BD129" i="12"/>
  <c r="BF129" i="12" s="1"/>
  <c r="BG129" i="12" s="1"/>
  <c r="BD125" i="12"/>
  <c r="BF125" i="12" s="1"/>
  <c r="BG125" i="12" s="1"/>
  <c r="BD121" i="12"/>
  <c r="BF121" i="12" s="1"/>
  <c r="BG121" i="12" s="1"/>
  <c r="CP120" i="12"/>
  <c r="CR120" i="12" s="1"/>
  <c r="CS120" i="12" s="1"/>
  <c r="DI116" i="12"/>
  <c r="DK116" i="12" s="1"/>
  <c r="DL116" i="12" s="1"/>
  <c r="EB118" i="12"/>
  <c r="ED118" i="12" s="1"/>
  <c r="EE118" i="12" s="1"/>
  <c r="DI158" i="12"/>
  <c r="DK158" i="12" s="1"/>
  <c r="DL158" i="12" s="1"/>
  <c r="BD119" i="12"/>
  <c r="BF119" i="12" s="1"/>
  <c r="BG119" i="12" s="1"/>
  <c r="EU112" i="12"/>
  <c r="EW112" i="12" s="1"/>
  <c r="EX112" i="12" s="1"/>
  <c r="BD108" i="12"/>
  <c r="BF108" i="12" s="1"/>
  <c r="BG108" i="12" s="1"/>
  <c r="BD104" i="12"/>
  <c r="BF104" i="12" s="1"/>
  <c r="BG104" i="12" s="1"/>
  <c r="BD100" i="12"/>
  <c r="BF100" i="12" s="1"/>
  <c r="BG100" i="12" s="1"/>
  <c r="BD96" i="12"/>
  <c r="BF96" i="12" s="1"/>
  <c r="BG96" i="12" s="1"/>
  <c r="BD92" i="12"/>
  <c r="BF92" i="12" s="1"/>
  <c r="BG92" i="12" s="1"/>
  <c r="CP117" i="12"/>
  <c r="CR117" i="12" s="1"/>
  <c r="CS117" i="12" s="1"/>
  <c r="EU117" i="12"/>
  <c r="EW117" i="12" s="1"/>
  <c r="EX117" i="12" s="1"/>
  <c r="CP111" i="12"/>
  <c r="CR111" i="12" s="1"/>
  <c r="CS111" i="12" s="1"/>
  <c r="CP107" i="12"/>
  <c r="CR107" i="12" s="1"/>
  <c r="CS107" i="12" s="1"/>
  <c r="CP103" i="12"/>
  <c r="CR103" i="12" s="1"/>
  <c r="CS103" i="12" s="1"/>
  <c r="CP99" i="12"/>
  <c r="CR99" i="12" s="1"/>
  <c r="CS99" i="12" s="1"/>
  <c r="CP95" i="12"/>
  <c r="CR95" i="12" s="1"/>
  <c r="CS95" i="12" s="1"/>
  <c r="CP91" i="12"/>
  <c r="CR91" i="12" s="1"/>
  <c r="CS91" i="12" s="1"/>
  <c r="CP87" i="12"/>
  <c r="CR87" i="12" s="1"/>
  <c r="CS87" i="12" s="1"/>
  <c r="CP83" i="12"/>
  <c r="CR83" i="12" s="1"/>
  <c r="CS83" i="12" s="1"/>
  <c r="AK119" i="12"/>
  <c r="AM119" i="12" s="1"/>
  <c r="AN119" i="12" s="1"/>
  <c r="EB110" i="12"/>
  <c r="ED110" i="12" s="1"/>
  <c r="EE110" i="12" s="1"/>
  <c r="EB106" i="12"/>
  <c r="ED106" i="12" s="1"/>
  <c r="EE106" i="12" s="1"/>
  <c r="EB102" i="12"/>
  <c r="ED102" i="12" s="1"/>
  <c r="EE102" i="12" s="1"/>
  <c r="EB98" i="12"/>
  <c r="ED98" i="12" s="1"/>
  <c r="EE98" i="12" s="1"/>
  <c r="EB94" i="12"/>
  <c r="ED94" i="12" s="1"/>
  <c r="EE94" i="12" s="1"/>
  <c r="EB90" i="12"/>
  <c r="ED90" i="12" s="1"/>
  <c r="EE90" i="12" s="1"/>
  <c r="EB86" i="12"/>
  <c r="ED86" i="12" s="1"/>
  <c r="EE86" i="12" s="1"/>
  <c r="EB82" i="12"/>
  <c r="ED82" i="12" s="1"/>
  <c r="EE82" i="12" s="1"/>
  <c r="DI106" i="12"/>
  <c r="DK106" i="12" s="1"/>
  <c r="DL106" i="12" s="1"/>
  <c r="EU88" i="12"/>
  <c r="EW88" i="12" s="1"/>
  <c r="EX88" i="12" s="1"/>
  <c r="CP82" i="12"/>
  <c r="CR82" i="12" s="1"/>
  <c r="CS82" i="12" s="1"/>
  <c r="BW78" i="12"/>
  <c r="BY78" i="12" s="1"/>
  <c r="BZ78" i="12" s="1"/>
  <c r="BW74" i="12"/>
  <c r="BY74" i="12" s="1"/>
  <c r="BZ74" i="12" s="1"/>
  <c r="BW70" i="12"/>
  <c r="BY70" i="12" s="1"/>
  <c r="BZ70" i="12" s="1"/>
  <c r="BW66" i="12"/>
  <c r="BY66" i="12" s="1"/>
  <c r="BZ66" i="12" s="1"/>
  <c r="BW62" i="12"/>
  <c r="BY62" i="12" s="1"/>
  <c r="BZ62" i="12" s="1"/>
  <c r="BW58" i="12"/>
  <c r="BY58" i="12" s="1"/>
  <c r="BZ58" i="12" s="1"/>
  <c r="BW54" i="12"/>
  <c r="BY54" i="12" s="1"/>
  <c r="BZ54" i="12" s="1"/>
  <c r="AK110" i="12"/>
  <c r="AM110" i="12" s="1"/>
  <c r="AN110" i="12" s="1"/>
  <c r="AK90" i="12"/>
  <c r="AM90" i="12" s="1"/>
  <c r="AN90" i="12" s="1"/>
  <c r="EU79" i="12"/>
  <c r="EW79" i="12" s="1"/>
  <c r="EX79" i="12" s="1"/>
  <c r="EU75" i="12"/>
  <c r="EW75" i="12" s="1"/>
  <c r="EX75" i="12" s="1"/>
  <c r="EU71" i="12"/>
  <c r="EW71" i="12" s="1"/>
  <c r="EX71" i="12" s="1"/>
  <c r="EU67" i="12"/>
  <c r="EW67" i="12" s="1"/>
  <c r="EX67" i="12" s="1"/>
  <c r="EU63" i="12"/>
  <c r="EW63" i="12" s="1"/>
  <c r="EX63" i="12" s="1"/>
  <c r="EU59" i="12"/>
  <c r="EW59" i="12" s="1"/>
  <c r="EX59" i="12" s="1"/>
  <c r="EU55" i="12"/>
  <c r="EW55" i="12" s="1"/>
  <c r="EX55" i="12" s="1"/>
  <c r="EU15" i="12"/>
  <c r="EW15" i="12" s="1"/>
  <c r="EX15" i="12" s="1"/>
  <c r="EU19" i="12"/>
  <c r="EW19" i="12" s="1"/>
  <c r="EX19" i="12" s="1"/>
  <c r="CP361" i="12"/>
  <c r="CR361" i="12" s="1"/>
  <c r="CS361" i="12" s="1"/>
  <c r="CP362" i="12"/>
  <c r="CR362" i="12" s="1"/>
  <c r="CS362" i="12" s="1"/>
  <c r="AK360" i="12"/>
  <c r="AM360" i="12" s="1"/>
  <c r="AN360" i="12" s="1"/>
  <c r="EU358" i="12"/>
  <c r="EW358" i="12" s="1"/>
  <c r="EX358" i="12" s="1"/>
  <c r="BD358" i="12"/>
  <c r="BF358" i="12" s="1"/>
  <c r="BG358" i="12" s="1"/>
  <c r="CP357" i="12"/>
  <c r="CR357" i="12" s="1"/>
  <c r="CS357" i="12" s="1"/>
  <c r="BW362" i="12"/>
  <c r="BY362" i="12" s="1"/>
  <c r="BZ362" i="12" s="1"/>
  <c r="EU355" i="12"/>
  <c r="EW355" i="12" s="1"/>
  <c r="EX355" i="12" s="1"/>
  <c r="R354" i="12"/>
  <c r="T354" i="12" s="1"/>
  <c r="U354" i="12" s="1"/>
  <c r="BD353" i="12"/>
  <c r="BF353" i="12" s="1"/>
  <c r="BG353" i="12" s="1"/>
  <c r="DI351" i="12"/>
  <c r="DK351" i="12" s="1"/>
  <c r="DL351" i="12" s="1"/>
  <c r="DI353" i="12"/>
  <c r="DK353" i="12" s="1"/>
  <c r="DL353" i="12" s="1"/>
  <c r="AK351" i="12"/>
  <c r="AM351" i="12" s="1"/>
  <c r="AN351" i="12" s="1"/>
  <c r="AK353" i="12"/>
  <c r="AM353" i="12" s="1"/>
  <c r="AN353" i="12" s="1"/>
  <c r="R353" i="12"/>
  <c r="T353" i="12" s="1"/>
  <c r="U353" i="12" s="1"/>
  <c r="CP347" i="12"/>
  <c r="CR347" i="12" s="1"/>
  <c r="CS347" i="12" s="1"/>
  <c r="BW347" i="12"/>
  <c r="BY347" i="12" s="1"/>
  <c r="BZ347" i="12" s="1"/>
  <c r="EB347" i="12"/>
  <c r="ED347" i="12" s="1"/>
  <c r="EE347" i="12" s="1"/>
  <c r="EB343" i="12"/>
  <c r="ED343" i="12" s="1"/>
  <c r="EE343" i="12" s="1"/>
  <c r="R341" i="12"/>
  <c r="T341" i="12" s="1"/>
  <c r="U341" i="12" s="1"/>
  <c r="EU341" i="12"/>
  <c r="EW341" i="12" s="1"/>
  <c r="EX341" i="12" s="1"/>
  <c r="BD344" i="12"/>
  <c r="BF344" i="12" s="1"/>
  <c r="BG344" i="12" s="1"/>
  <c r="DI340" i="12"/>
  <c r="DK340" i="12" s="1"/>
  <c r="DL340" i="12" s="1"/>
  <c r="EB344" i="12"/>
  <c r="ED344" i="12" s="1"/>
  <c r="EE344" i="12" s="1"/>
  <c r="CP338" i="12"/>
  <c r="CR338" i="12" s="1"/>
  <c r="CS338" i="12" s="1"/>
  <c r="CP337" i="12"/>
  <c r="CR337" i="12" s="1"/>
  <c r="CS337" i="12" s="1"/>
  <c r="R334" i="12"/>
  <c r="T334" i="12" s="1"/>
  <c r="U334" i="12" s="1"/>
  <c r="BD339" i="12"/>
  <c r="BF339" i="12" s="1"/>
  <c r="BG339" i="12" s="1"/>
  <c r="R335" i="12"/>
  <c r="T335" i="12" s="1"/>
  <c r="U335" i="12" s="1"/>
  <c r="R331" i="12"/>
  <c r="T331" i="12" s="1"/>
  <c r="U331" i="12" s="1"/>
  <c r="R333" i="12"/>
  <c r="T333" i="12" s="1"/>
  <c r="U333" i="12" s="1"/>
  <c r="BD334" i="12"/>
  <c r="BF334" i="12" s="1"/>
  <c r="BG334" i="12" s="1"/>
  <c r="R328" i="12"/>
  <c r="T328" i="12" s="1"/>
  <c r="U328" i="12" s="1"/>
  <c r="DI330" i="12"/>
  <c r="DK330" i="12" s="1"/>
  <c r="DL330" i="12" s="1"/>
  <c r="CP329" i="12"/>
  <c r="CR329" i="12" s="1"/>
  <c r="CS329" i="12" s="1"/>
  <c r="CP325" i="12"/>
  <c r="CR325" i="12" s="1"/>
  <c r="CS325" i="12" s="1"/>
  <c r="BD324" i="12"/>
  <c r="BF324" i="12" s="1"/>
  <c r="BG324" i="12" s="1"/>
  <c r="EB322" i="12"/>
  <c r="ED322" i="12" s="1"/>
  <c r="EE322" i="12" s="1"/>
  <c r="EB318" i="12"/>
  <c r="ED318" i="12" s="1"/>
  <c r="EE318" i="12" s="1"/>
  <c r="DI333" i="12"/>
  <c r="DK333" i="12" s="1"/>
  <c r="DL333" i="12" s="1"/>
  <c r="CP321" i="12"/>
  <c r="CR321" i="12" s="1"/>
  <c r="CS321" i="12" s="1"/>
  <c r="BW335" i="12"/>
  <c r="BY335" i="12" s="1"/>
  <c r="BZ335" i="12" s="1"/>
  <c r="CP322" i="12"/>
  <c r="CR322" i="12" s="1"/>
  <c r="CS322" i="12" s="1"/>
  <c r="CP318" i="12"/>
  <c r="CR318" i="12" s="1"/>
  <c r="CS318" i="12" s="1"/>
  <c r="BD317" i="12"/>
  <c r="BF317" i="12" s="1"/>
  <c r="BG317" i="12" s="1"/>
  <c r="AK314" i="12"/>
  <c r="AM314" i="12" s="1"/>
  <c r="AN314" i="12" s="1"/>
  <c r="EU313" i="12"/>
  <c r="EW313" i="12" s="1"/>
  <c r="EX313" i="12" s="1"/>
  <c r="EU309" i="12"/>
  <c r="EW309" i="12" s="1"/>
  <c r="EX309" i="12" s="1"/>
  <c r="R319" i="12"/>
  <c r="T319" i="12" s="1"/>
  <c r="U319" i="12" s="1"/>
  <c r="BD313" i="12"/>
  <c r="BF313" i="12" s="1"/>
  <c r="BG313" i="12" s="1"/>
  <c r="EU318" i="12"/>
  <c r="EW318" i="12" s="1"/>
  <c r="EX318" i="12" s="1"/>
  <c r="CP306" i="12"/>
  <c r="CR306" i="12" s="1"/>
  <c r="CS306" i="12" s="1"/>
  <c r="BW311" i="12"/>
  <c r="BY311" i="12" s="1"/>
  <c r="BZ311" i="12" s="1"/>
  <c r="DI308" i="12"/>
  <c r="DK308" i="12" s="1"/>
  <c r="DL308" i="12" s="1"/>
  <c r="DI304" i="12"/>
  <c r="DK304" i="12" s="1"/>
  <c r="DL304" i="12" s="1"/>
  <c r="BW312" i="12"/>
  <c r="BY312" i="12" s="1"/>
  <c r="BZ312" i="12" s="1"/>
  <c r="BD306" i="12"/>
  <c r="BF306" i="12" s="1"/>
  <c r="BG306" i="12" s="1"/>
  <c r="CP313" i="12"/>
  <c r="CR313" i="12" s="1"/>
  <c r="CS313" i="12" s="1"/>
  <c r="R309" i="12"/>
  <c r="T309" i="12" s="1"/>
  <c r="U309" i="12" s="1"/>
  <c r="R305" i="12"/>
  <c r="T305" i="12" s="1"/>
  <c r="U305" i="12" s="1"/>
  <c r="CP301" i="12"/>
  <c r="CR301" i="12" s="1"/>
  <c r="CS301" i="12" s="1"/>
  <c r="CP297" i="12"/>
  <c r="CR297" i="12" s="1"/>
  <c r="CS297" i="12" s="1"/>
  <c r="EU301" i="12"/>
  <c r="EW301" i="12" s="1"/>
  <c r="EX301" i="12" s="1"/>
  <c r="EU297" i="12"/>
  <c r="EW297" i="12" s="1"/>
  <c r="EX297" i="12" s="1"/>
  <c r="EU293" i="12"/>
  <c r="EW293" i="12" s="1"/>
  <c r="EX293" i="12" s="1"/>
  <c r="EU302" i="12"/>
  <c r="EW302" i="12" s="1"/>
  <c r="EX302" i="12" s="1"/>
  <c r="EU298" i="12"/>
  <c r="EW298" i="12" s="1"/>
  <c r="EX298" i="12" s="1"/>
  <c r="EU294" i="12"/>
  <c r="EW294" i="12" s="1"/>
  <c r="EX294" i="12" s="1"/>
  <c r="EU290" i="12"/>
  <c r="EW290" i="12" s="1"/>
  <c r="EX290" i="12" s="1"/>
  <c r="EU295" i="12"/>
  <c r="EW295" i="12" s="1"/>
  <c r="EX295" i="12" s="1"/>
  <c r="R286" i="12"/>
  <c r="T286" i="12" s="1"/>
  <c r="U286" i="12" s="1"/>
  <c r="R282" i="12"/>
  <c r="T282" i="12" s="1"/>
  <c r="U282" i="12" s="1"/>
  <c r="DI293" i="12"/>
  <c r="DK293" i="12" s="1"/>
  <c r="DL293" i="12" s="1"/>
  <c r="EU291" i="12"/>
  <c r="EW291" i="12" s="1"/>
  <c r="EX291" i="12" s="1"/>
  <c r="BW286" i="12"/>
  <c r="BY286" i="12" s="1"/>
  <c r="BZ286" i="12" s="1"/>
  <c r="BW282" i="12"/>
  <c r="BY282" i="12" s="1"/>
  <c r="BZ282" i="12" s="1"/>
  <c r="BW278" i="12"/>
  <c r="BY278" i="12" s="1"/>
  <c r="BZ278" i="12" s="1"/>
  <c r="BW295" i="12"/>
  <c r="BY295" i="12" s="1"/>
  <c r="BZ295" i="12" s="1"/>
  <c r="EB286" i="12"/>
  <c r="ED286" i="12" s="1"/>
  <c r="EE286" i="12" s="1"/>
  <c r="EB282" i="12"/>
  <c r="ED282" i="12" s="1"/>
  <c r="EE282" i="12" s="1"/>
  <c r="EB278" i="12"/>
  <c r="ED278" i="12" s="1"/>
  <c r="EE278" i="12" s="1"/>
  <c r="R292" i="12"/>
  <c r="T292" i="12" s="1"/>
  <c r="U292" i="12" s="1"/>
  <c r="EB275" i="12"/>
  <c r="ED275" i="12" s="1"/>
  <c r="EE275" i="12" s="1"/>
  <c r="EB271" i="12"/>
  <c r="ED271" i="12" s="1"/>
  <c r="EE271" i="12" s="1"/>
  <c r="EB267" i="12"/>
  <c r="ED267" i="12" s="1"/>
  <c r="EE267" i="12" s="1"/>
  <c r="EU280" i="12"/>
  <c r="EW280" i="12" s="1"/>
  <c r="EX280" i="12" s="1"/>
  <c r="R274" i="12"/>
  <c r="T274" i="12" s="1"/>
  <c r="U274" i="12" s="1"/>
  <c r="R270" i="12"/>
  <c r="T270" i="12" s="1"/>
  <c r="U270" i="12" s="1"/>
  <c r="R266" i="12"/>
  <c r="T266" i="12" s="1"/>
  <c r="U266" i="12" s="1"/>
  <c r="EU284" i="12"/>
  <c r="EW284" i="12" s="1"/>
  <c r="EX284" i="12" s="1"/>
  <c r="R285" i="12"/>
  <c r="T285" i="12" s="1"/>
  <c r="U285" i="12" s="1"/>
  <c r="R275" i="12"/>
  <c r="T275" i="12" s="1"/>
  <c r="U275" i="12" s="1"/>
  <c r="R271" i="12"/>
  <c r="T271" i="12" s="1"/>
  <c r="U271" i="12" s="1"/>
  <c r="R267" i="12"/>
  <c r="T267" i="12" s="1"/>
  <c r="U267" i="12" s="1"/>
  <c r="EB283" i="12"/>
  <c r="ED283" i="12" s="1"/>
  <c r="EE283" i="12" s="1"/>
  <c r="DI265" i="12"/>
  <c r="DK265" i="12" s="1"/>
  <c r="DL265" i="12" s="1"/>
  <c r="DI260" i="12"/>
  <c r="DK260" i="12" s="1"/>
  <c r="DL260" i="12" s="1"/>
  <c r="DI256" i="12"/>
  <c r="DK256" i="12" s="1"/>
  <c r="DL256" i="12" s="1"/>
  <c r="DI252" i="12"/>
  <c r="DK252" i="12" s="1"/>
  <c r="DL252" i="12" s="1"/>
  <c r="DI248" i="12"/>
  <c r="DK248" i="12" s="1"/>
  <c r="DL248" i="12" s="1"/>
  <c r="EB262" i="12"/>
  <c r="ED262" i="12" s="1"/>
  <c r="EE262" i="12" s="1"/>
  <c r="EB258" i="12"/>
  <c r="ED258" i="12" s="1"/>
  <c r="EE258" i="12" s="1"/>
  <c r="EB254" i="12"/>
  <c r="ED254" i="12" s="1"/>
  <c r="EE254" i="12" s="1"/>
  <c r="EB250" i="12"/>
  <c r="ED250" i="12" s="1"/>
  <c r="EE250" i="12" s="1"/>
  <c r="R276" i="12"/>
  <c r="T276" i="12" s="1"/>
  <c r="U276" i="12" s="1"/>
  <c r="R261" i="12"/>
  <c r="T261" i="12" s="1"/>
  <c r="U261" i="12" s="1"/>
  <c r="R257" i="12"/>
  <c r="T257" i="12" s="1"/>
  <c r="U257" i="12" s="1"/>
  <c r="R253" i="12"/>
  <c r="T253" i="12" s="1"/>
  <c r="U253" i="12" s="1"/>
  <c r="R249" i="12"/>
  <c r="T249" i="12" s="1"/>
  <c r="U249" i="12" s="1"/>
  <c r="CP265" i="12"/>
  <c r="CR265" i="12" s="1"/>
  <c r="CS265" i="12" s="1"/>
  <c r="CP262" i="12"/>
  <c r="CR262" i="12" s="1"/>
  <c r="CS262" i="12" s="1"/>
  <c r="CP258" i="12"/>
  <c r="CR258" i="12" s="1"/>
  <c r="CS258" i="12" s="1"/>
  <c r="CP254" i="12"/>
  <c r="CR254" i="12" s="1"/>
  <c r="CS254" i="12" s="1"/>
  <c r="CP250" i="12"/>
  <c r="CR250" i="12" s="1"/>
  <c r="CS250" i="12" s="1"/>
  <c r="AK247" i="12"/>
  <c r="AM247" i="12" s="1"/>
  <c r="AN247" i="12" s="1"/>
  <c r="AK243" i="12"/>
  <c r="AM243" i="12" s="1"/>
  <c r="AN243" i="12" s="1"/>
  <c r="AK239" i="12"/>
  <c r="AM239" i="12" s="1"/>
  <c r="AN239" i="12" s="1"/>
  <c r="R247" i="12"/>
  <c r="T247" i="12" s="1"/>
  <c r="U247" i="12" s="1"/>
  <c r="R243" i="12"/>
  <c r="T243" i="12" s="1"/>
  <c r="U243" i="12" s="1"/>
  <c r="R239" i="12"/>
  <c r="T239" i="12" s="1"/>
  <c r="U239" i="12" s="1"/>
  <c r="R235" i="12"/>
  <c r="T235" i="12" s="1"/>
  <c r="U235" i="12" s="1"/>
  <c r="EB246" i="12"/>
  <c r="ED246" i="12" s="1"/>
  <c r="EE246" i="12" s="1"/>
  <c r="EB242" i="12"/>
  <c r="ED242" i="12" s="1"/>
  <c r="EE242" i="12" s="1"/>
  <c r="EB238" i="12"/>
  <c r="ED238" i="12" s="1"/>
  <c r="EE238" i="12" s="1"/>
  <c r="AK242" i="12"/>
  <c r="AM242" i="12" s="1"/>
  <c r="AN242" i="12" s="1"/>
  <c r="BW232" i="12"/>
  <c r="BY232" i="12" s="1"/>
  <c r="BZ232" i="12" s="1"/>
  <c r="BW228" i="12"/>
  <c r="BY228" i="12" s="1"/>
  <c r="BZ228" i="12" s="1"/>
  <c r="BW224" i="12"/>
  <c r="BY224" i="12" s="1"/>
  <c r="BZ224" i="12" s="1"/>
  <c r="BW244" i="12"/>
  <c r="BY244" i="12" s="1"/>
  <c r="BZ244" i="12" s="1"/>
  <c r="BW233" i="12"/>
  <c r="BY233" i="12" s="1"/>
  <c r="BZ233" i="12" s="1"/>
  <c r="BW229" i="12"/>
  <c r="BY229" i="12" s="1"/>
  <c r="BZ229" i="12" s="1"/>
  <c r="BW225" i="12"/>
  <c r="BY225" i="12" s="1"/>
  <c r="BZ225" i="12" s="1"/>
  <c r="DI246" i="12"/>
  <c r="DK246" i="12" s="1"/>
  <c r="DL246" i="12" s="1"/>
  <c r="R234" i="12"/>
  <c r="T234" i="12" s="1"/>
  <c r="U234" i="12" s="1"/>
  <c r="BW230" i="12"/>
  <c r="BY230" i="12" s="1"/>
  <c r="BZ230" i="12" s="1"/>
  <c r="BW237" i="12"/>
  <c r="BY237" i="12" s="1"/>
  <c r="BZ237" i="12" s="1"/>
  <c r="AK235" i="12"/>
  <c r="AM235" i="12" s="1"/>
  <c r="AN235" i="12" s="1"/>
  <c r="EB230" i="12"/>
  <c r="ED230" i="12" s="1"/>
  <c r="EE230" i="12" s="1"/>
  <c r="EB226" i="12"/>
  <c r="ED226" i="12" s="1"/>
  <c r="EE226" i="12" s="1"/>
  <c r="EB222" i="12"/>
  <c r="ED222" i="12" s="1"/>
  <c r="EE222" i="12" s="1"/>
  <c r="R227" i="12"/>
  <c r="T227" i="12" s="1"/>
  <c r="U227" i="12" s="1"/>
  <c r="AK218" i="12"/>
  <c r="AM218" i="12" s="1"/>
  <c r="AN218" i="12" s="1"/>
  <c r="AK214" i="12"/>
  <c r="AM214" i="12" s="1"/>
  <c r="AN214" i="12" s="1"/>
  <c r="AK210" i="12"/>
  <c r="AM210" i="12" s="1"/>
  <c r="AN210" i="12" s="1"/>
  <c r="AK206" i="12"/>
  <c r="AM206" i="12" s="1"/>
  <c r="AN206" i="12" s="1"/>
  <c r="R218" i="12"/>
  <c r="T218" i="12" s="1"/>
  <c r="U218" i="12" s="1"/>
  <c r="R214" i="12"/>
  <c r="T214" i="12" s="1"/>
  <c r="U214" i="12" s="1"/>
  <c r="R210" i="12"/>
  <c r="T210" i="12" s="1"/>
  <c r="U210" i="12" s="1"/>
  <c r="CP245" i="12"/>
  <c r="CR245" i="12" s="1"/>
  <c r="CS245" i="12" s="1"/>
  <c r="CP219" i="12"/>
  <c r="CR219" i="12" s="1"/>
  <c r="CS219" i="12" s="1"/>
  <c r="CP215" i="12"/>
  <c r="CR215" i="12" s="1"/>
  <c r="CS215" i="12" s="1"/>
  <c r="CP211" i="12"/>
  <c r="CR211" i="12" s="1"/>
  <c r="CS211" i="12" s="1"/>
  <c r="CP207" i="12"/>
  <c r="CR207" i="12" s="1"/>
  <c r="CS207" i="12" s="1"/>
  <c r="CP208" i="12"/>
  <c r="CR208" i="12" s="1"/>
  <c r="CS208" i="12" s="1"/>
  <c r="EB210" i="12"/>
  <c r="ED210" i="12" s="1"/>
  <c r="EE210" i="12" s="1"/>
  <c r="DI202" i="12"/>
  <c r="DK202" i="12" s="1"/>
  <c r="DL202" i="12" s="1"/>
  <c r="DI198" i="12"/>
  <c r="DK198" i="12" s="1"/>
  <c r="DL198" i="12" s="1"/>
  <c r="AK213" i="12"/>
  <c r="AM213" i="12" s="1"/>
  <c r="AN213" i="12" s="1"/>
  <c r="BW205" i="12"/>
  <c r="BY205" i="12" s="1"/>
  <c r="BZ205" i="12" s="1"/>
  <c r="BW201" i="12"/>
  <c r="BY201" i="12" s="1"/>
  <c r="BZ201" i="12" s="1"/>
  <c r="BW197" i="12"/>
  <c r="BY197" i="12" s="1"/>
  <c r="BZ197" i="12" s="1"/>
  <c r="R212" i="12"/>
  <c r="T212" i="12" s="1"/>
  <c r="U212" i="12" s="1"/>
  <c r="AK200" i="12"/>
  <c r="AM200" i="12" s="1"/>
  <c r="AN200" i="12" s="1"/>
  <c r="AK217" i="12"/>
  <c r="AM217" i="12" s="1"/>
  <c r="AN217" i="12" s="1"/>
  <c r="CP212" i="12"/>
  <c r="CR212" i="12" s="1"/>
  <c r="CS212" i="12" s="1"/>
  <c r="EU193" i="12"/>
  <c r="EW193" i="12" s="1"/>
  <c r="EX193" i="12" s="1"/>
  <c r="EU189" i="12"/>
  <c r="EW189" i="12" s="1"/>
  <c r="EX189" i="12" s="1"/>
  <c r="EU185" i="12"/>
  <c r="EW185" i="12" s="1"/>
  <c r="EX185" i="12" s="1"/>
  <c r="EU181" i="12"/>
  <c r="EW181" i="12" s="1"/>
  <c r="EX181" i="12" s="1"/>
  <c r="EU177" i="12"/>
  <c r="EW177" i="12" s="1"/>
  <c r="EX177" i="12" s="1"/>
  <c r="EU173" i="12"/>
  <c r="EW173" i="12" s="1"/>
  <c r="EX173" i="12" s="1"/>
  <c r="EU169" i="12"/>
  <c r="EW169" i="12" s="1"/>
  <c r="EX169" i="12" s="1"/>
  <c r="EU165" i="12"/>
  <c r="EW165" i="12" s="1"/>
  <c r="EX165" i="12" s="1"/>
  <c r="CP196" i="12"/>
  <c r="CR196" i="12" s="1"/>
  <c r="CS196" i="12" s="1"/>
  <c r="EU195" i="12"/>
  <c r="EW195" i="12" s="1"/>
  <c r="EX195" i="12" s="1"/>
  <c r="R191" i="12"/>
  <c r="T191" i="12" s="1"/>
  <c r="U191" i="12" s="1"/>
  <c r="R187" i="12"/>
  <c r="T187" i="12" s="1"/>
  <c r="U187" i="12" s="1"/>
  <c r="R183" i="12"/>
  <c r="T183" i="12" s="1"/>
  <c r="U183" i="12" s="1"/>
  <c r="R179" i="12"/>
  <c r="T179" i="12" s="1"/>
  <c r="U179" i="12" s="1"/>
  <c r="R175" i="12"/>
  <c r="T175" i="12" s="1"/>
  <c r="U175" i="12" s="1"/>
  <c r="R171" i="12"/>
  <c r="T171" i="12" s="1"/>
  <c r="U171" i="12" s="1"/>
  <c r="R167" i="12"/>
  <c r="T167" i="12" s="1"/>
  <c r="U167" i="12" s="1"/>
  <c r="BD205" i="12"/>
  <c r="BF205" i="12" s="1"/>
  <c r="BG205" i="12" s="1"/>
  <c r="R184" i="12"/>
  <c r="T184" i="12" s="1"/>
  <c r="U184" i="12" s="1"/>
  <c r="BD174" i="12"/>
  <c r="BF174" i="12" s="1"/>
  <c r="BG174" i="12" s="1"/>
  <c r="AK182" i="12"/>
  <c r="AM182" i="12" s="1"/>
  <c r="AN182" i="12" s="1"/>
  <c r="DI163" i="12"/>
  <c r="DK163" i="12" s="1"/>
  <c r="DL163" i="12" s="1"/>
  <c r="DI159" i="12"/>
  <c r="DK159" i="12" s="1"/>
  <c r="DL159" i="12" s="1"/>
  <c r="DI155" i="12"/>
  <c r="DK155" i="12" s="1"/>
  <c r="DL155" i="12" s="1"/>
  <c r="BW219" i="12"/>
  <c r="BY219" i="12" s="1"/>
  <c r="BZ219" i="12" s="1"/>
  <c r="BW176" i="12"/>
  <c r="BY176" i="12" s="1"/>
  <c r="BZ176" i="12" s="1"/>
  <c r="CP165" i="12"/>
  <c r="CR165" i="12" s="1"/>
  <c r="CS165" i="12" s="1"/>
  <c r="R193" i="12"/>
  <c r="T193" i="12" s="1"/>
  <c r="U193" i="12" s="1"/>
  <c r="BD171" i="12"/>
  <c r="BF171" i="12" s="1"/>
  <c r="BG171" i="12" s="1"/>
  <c r="BW162" i="12"/>
  <c r="BY162" i="12" s="1"/>
  <c r="BZ162" i="12" s="1"/>
  <c r="BW158" i="12"/>
  <c r="BY158" i="12" s="1"/>
  <c r="BZ158" i="12" s="1"/>
  <c r="BW154" i="12"/>
  <c r="BY154" i="12" s="1"/>
  <c r="BZ154" i="12" s="1"/>
  <c r="CP199" i="12"/>
  <c r="CR199" i="12" s="1"/>
  <c r="CS199" i="12" s="1"/>
  <c r="R185" i="12"/>
  <c r="T185" i="12" s="1"/>
  <c r="U185" i="12" s="1"/>
  <c r="EU171" i="12"/>
  <c r="EW171" i="12" s="1"/>
  <c r="EX171" i="12" s="1"/>
  <c r="CP188" i="12"/>
  <c r="CR188" i="12" s="1"/>
  <c r="CS188" i="12" s="1"/>
  <c r="EB171" i="12"/>
  <c r="ED171" i="12" s="1"/>
  <c r="EE171" i="12" s="1"/>
  <c r="AK161" i="12"/>
  <c r="AM161" i="12" s="1"/>
  <c r="AN161" i="12" s="1"/>
  <c r="AK157" i="12"/>
  <c r="AM157" i="12" s="1"/>
  <c r="AN157" i="12" s="1"/>
  <c r="AK153" i="12"/>
  <c r="AM153" i="12" s="1"/>
  <c r="AN153" i="12" s="1"/>
  <c r="AK149" i="12"/>
  <c r="AM149" i="12" s="1"/>
  <c r="AN149" i="12" s="1"/>
  <c r="EB191" i="12"/>
  <c r="ED191" i="12" s="1"/>
  <c r="EE191" i="12" s="1"/>
  <c r="BW164" i="12"/>
  <c r="BY164" i="12" s="1"/>
  <c r="BZ164" i="12" s="1"/>
  <c r="EU143" i="12"/>
  <c r="EW143" i="12" s="1"/>
  <c r="EX143" i="12" s="1"/>
  <c r="EU139" i="12"/>
  <c r="EW139" i="12" s="1"/>
  <c r="EX139" i="12" s="1"/>
  <c r="EU135" i="12"/>
  <c r="EW135" i="12" s="1"/>
  <c r="EX135" i="12" s="1"/>
  <c r="EU131" i="12"/>
  <c r="EW131" i="12" s="1"/>
  <c r="EX131" i="12" s="1"/>
  <c r="EU127" i="12"/>
  <c r="EW127" i="12" s="1"/>
  <c r="EX127" i="12" s="1"/>
  <c r="EU123" i="12"/>
  <c r="EW123" i="12" s="1"/>
  <c r="EX123" i="12" s="1"/>
  <c r="AK166" i="12"/>
  <c r="AM166" i="12" s="1"/>
  <c r="AN166" i="12" s="1"/>
  <c r="CP146" i="12"/>
  <c r="CR146" i="12" s="1"/>
  <c r="CS146" i="12" s="1"/>
  <c r="CP161" i="12"/>
  <c r="CR161" i="12" s="1"/>
  <c r="CS161" i="12" s="1"/>
  <c r="BW144" i="12"/>
  <c r="BY144" i="12" s="1"/>
  <c r="BZ144" i="12" s="1"/>
  <c r="BW140" i="12"/>
  <c r="BY140" i="12" s="1"/>
  <c r="BZ140" i="12" s="1"/>
  <c r="BW136" i="12"/>
  <c r="BY136" i="12" s="1"/>
  <c r="BZ136" i="12" s="1"/>
  <c r="BW132" i="12"/>
  <c r="BY132" i="12" s="1"/>
  <c r="BZ132" i="12" s="1"/>
  <c r="BW128" i="12"/>
  <c r="BY128" i="12" s="1"/>
  <c r="BZ128" i="12" s="1"/>
  <c r="BW124" i="12"/>
  <c r="BY124" i="12" s="1"/>
  <c r="BZ124" i="12" s="1"/>
  <c r="DI173" i="12"/>
  <c r="DK173" i="12" s="1"/>
  <c r="DL173" i="12" s="1"/>
  <c r="AK147" i="12"/>
  <c r="AM147" i="12" s="1"/>
  <c r="AN147" i="12" s="1"/>
  <c r="AK158" i="12"/>
  <c r="AM158" i="12" s="1"/>
  <c r="AN158" i="12" s="1"/>
  <c r="AK145" i="12"/>
  <c r="AM145" i="12" s="1"/>
  <c r="AN145" i="12" s="1"/>
  <c r="BW141" i="12"/>
  <c r="BY141" i="12" s="1"/>
  <c r="BZ141" i="12" s="1"/>
  <c r="BW137" i="12"/>
  <c r="BY137" i="12" s="1"/>
  <c r="BZ137" i="12" s="1"/>
  <c r="BW133" i="12"/>
  <c r="BY133" i="12" s="1"/>
  <c r="BZ133" i="12" s="1"/>
  <c r="BW129" i="12"/>
  <c r="BY129" i="12" s="1"/>
  <c r="BZ129" i="12" s="1"/>
  <c r="BW125" i="12"/>
  <c r="BY125" i="12" s="1"/>
  <c r="BZ125" i="12" s="1"/>
  <c r="EB155" i="12"/>
  <c r="ED155" i="12" s="1"/>
  <c r="EE155" i="12" s="1"/>
  <c r="BD163" i="12"/>
  <c r="BF163" i="12" s="1"/>
  <c r="BG163" i="12" s="1"/>
  <c r="DI144" i="12"/>
  <c r="DK144" i="12" s="1"/>
  <c r="DL144" i="12" s="1"/>
  <c r="DI140" i="12"/>
  <c r="DK140" i="12" s="1"/>
  <c r="DL140" i="12" s="1"/>
  <c r="DI136" i="12"/>
  <c r="DK136" i="12" s="1"/>
  <c r="DL136" i="12" s="1"/>
  <c r="DI132" i="12"/>
  <c r="DK132" i="12" s="1"/>
  <c r="DL132" i="12" s="1"/>
  <c r="DI128" i="12"/>
  <c r="DK128" i="12" s="1"/>
  <c r="DL128" i="12" s="1"/>
  <c r="DI124" i="12"/>
  <c r="DK124" i="12" s="1"/>
  <c r="DL124" i="12" s="1"/>
  <c r="DI120" i="12"/>
  <c r="DK120" i="12" s="1"/>
  <c r="DL120" i="12" s="1"/>
  <c r="AK120" i="12"/>
  <c r="AM120" i="12" s="1"/>
  <c r="AN120" i="12" s="1"/>
  <c r="AK116" i="12"/>
  <c r="AM116" i="12" s="1"/>
  <c r="AN116" i="12" s="1"/>
  <c r="BD118" i="12"/>
  <c r="BF118" i="12" s="1"/>
  <c r="BG118" i="12" s="1"/>
  <c r="BW156" i="12"/>
  <c r="BY156" i="12" s="1"/>
  <c r="BZ156" i="12" s="1"/>
  <c r="CP115" i="12"/>
  <c r="CR115" i="12" s="1"/>
  <c r="CS115" i="12" s="1"/>
  <c r="DI111" i="12"/>
  <c r="DK111" i="12" s="1"/>
  <c r="DL111" i="12" s="1"/>
  <c r="DI107" i="12"/>
  <c r="DK107" i="12" s="1"/>
  <c r="DL107" i="12" s="1"/>
  <c r="DI103" i="12"/>
  <c r="DK103" i="12" s="1"/>
  <c r="DL103" i="12" s="1"/>
  <c r="DI99" i="12"/>
  <c r="DK99" i="12" s="1"/>
  <c r="DL99" i="12" s="1"/>
  <c r="DI95" i="12"/>
  <c r="DK95" i="12" s="1"/>
  <c r="DL95" i="12" s="1"/>
  <c r="DI91" i="12"/>
  <c r="DK91" i="12" s="1"/>
  <c r="DL91" i="12" s="1"/>
  <c r="BD115" i="12"/>
  <c r="BF115" i="12" s="1"/>
  <c r="BG115" i="12" s="1"/>
  <c r="BW116" i="12"/>
  <c r="BY116" i="12" s="1"/>
  <c r="BZ116" i="12" s="1"/>
  <c r="R111" i="12"/>
  <c r="T111" i="12" s="1"/>
  <c r="U111" i="12" s="1"/>
  <c r="R107" i="12"/>
  <c r="T107" i="12" s="1"/>
  <c r="U107" i="12" s="1"/>
  <c r="R103" i="12"/>
  <c r="T103" i="12" s="1"/>
  <c r="U103" i="12" s="1"/>
  <c r="R99" i="12"/>
  <c r="T99" i="12" s="1"/>
  <c r="U99" i="12" s="1"/>
  <c r="R95" i="12"/>
  <c r="T95" i="12" s="1"/>
  <c r="U95" i="12" s="1"/>
  <c r="R91" i="12"/>
  <c r="T91" i="12" s="1"/>
  <c r="U91" i="12" s="1"/>
  <c r="R87" i="12"/>
  <c r="T87" i="12" s="1"/>
  <c r="U87" i="12" s="1"/>
  <c r="R83" i="12"/>
  <c r="T83" i="12" s="1"/>
  <c r="U83" i="12" s="1"/>
  <c r="EB115" i="12"/>
  <c r="ED115" i="12" s="1"/>
  <c r="EE115" i="12" s="1"/>
  <c r="BD110" i="12"/>
  <c r="BF110" i="12" s="1"/>
  <c r="BG110" i="12" s="1"/>
  <c r="BD106" i="12"/>
  <c r="BF106" i="12" s="1"/>
  <c r="BG106" i="12" s="1"/>
  <c r="BD102" i="12"/>
  <c r="BF102" i="12" s="1"/>
  <c r="BG102" i="12" s="1"/>
  <c r="BD98" i="12"/>
  <c r="BF98" i="12" s="1"/>
  <c r="BG98" i="12" s="1"/>
  <c r="BD94" i="12"/>
  <c r="BF94" i="12" s="1"/>
  <c r="BG94" i="12" s="1"/>
  <c r="BD90" i="12"/>
  <c r="BF90" i="12" s="1"/>
  <c r="BG90" i="12" s="1"/>
  <c r="BD86" i="12"/>
  <c r="BF86" i="12" s="1"/>
  <c r="BG86" i="12" s="1"/>
  <c r="EU121" i="12"/>
  <c r="EW121" i="12" s="1"/>
  <c r="EX121" i="12" s="1"/>
  <c r="R105" i="12"/>
  <c r="T105" i="12" s="1"/>
  <c r="U105" i="12" s="1"/>
  <c r="EU85" i="12"/>
  <c r="EW85" i="12" s="1"/>
  <c r="EX85" i="12" s="1"/>
  <c r="EB81" i="12"/>
  <c r="ED81" i="12" s="1"/>
  <c r="EE81" i="12" s="1"/>
  <c r="EB77" i="12"/>
  <c r="ED77" i="12" s="1"/>
  <c r="EE77" i="12" s="1"/>
  <c r="EB73" i="12"/>
  <c r="ED73" i="12" s="1"/>
  <c r="EE73" i="12" s="1"/>
  <c r="EB69" i="12"/>
  <c r="ED69" i="12" s="1"/>
  <c r="EE69" i="12" s="1"/>
  <c r="EB65" i="12"/>
  <c r="ED65" i="12" s="1"/>
  <c r="EE65" i="12" s="1"/>
  <c r="EB61" i="12"/>
  <c r="ED61" i="12" s="1"/>
  <c r="EE61" i="12" s="1"/>
  <c r="EB57" i="12"/>
  <c r="ED57" i="12" s="1"/>
  <c r="EE57" i="12" s="1"/>
  <c r="BD113" i="12"/>
  <c r="BF113" i="12" s="1"/>
  <c r="BG113" i="12" s="1"/>
  <c r="EB103" i="12"/>
  <c r="ED103" i="12" s="1"/>
  <c r="EE103" i="12" s="1"/>
  <c r="BD87" i="12"/>
  <c r="BF87" i="12" s="1"/>
  <c r="BG87" i="12" s="1"/>
  <c r="BW79" i="12"/>
  <c r="BY79" i="12" s="1"/>
  <c r="BZ79" i="12" s="1"/>
  <c r="BW75" i="12"/>
  <c r="BY75" i="12" s="1"/>
  <c r="BZ75" i="12" s="1"/>
  <c r="BW71" i="12"/>
  <c r="BY71" i="12" s="1"/>
  <c r="BZ71" i="12" s="1"/>
  <c r="BW67" i="12"/>
  <c r="BY67" i="12" s="1"/>
  <c r="BZ67" i="12" s="1"/>
  <c r="BW63" i="12"/>
  <c r="BY63" i="12" s="1"/>
  <c r="BZ63" i="12" s="1"/>
  <c r="BW59" i="12"/>
  <c r="BY59" i="12" s="1"/>
  <c r="BZ59" i="12" s="1"/>
  <c r="BW55" i="12"/>
  <c r="BY55" i="12" s="1"/>
  <c r="BZ55" i="12" s="1"/>
  <c r="R16" i="12"/>
  <c r="T16" i="12" s="1"/>
  <c r="U16" i="12" s="1"/>
  <c r="R20" i="12"/>
  <c r="T20" i="12" s="1"/>
  <c r="U20" i="12" s="1"/>
  <c r="EU363" i="12"/>
  <c r="EW363" i="12" s="1"/>
  <c r="EX363" i="12" s="1"/>
  <c r="R361" i="12"/>
  <c r="T361" i="12" s="1"/>
  <c r="U361" i="12" s="1"/>
  <c r="R362" i="12"/>
  <c r="T362" i="12" s="1"/>
  <c r="U362" i="12" s="1"/>
  <c r="EU359" i="12"/>
  <c r="EW359" i="12" s="1"/>
  <c r="EX359" i="12" s="1"/>
  <c r="BW358" i="12"/>
  <c r="BY358" i="12" s="1"/>
  <c r="BZ358" i="12" s="1"/>
  <c r="DI357" i="12"/>
  <c r="DK357" i="12" s="1"/>
  <c r="DL357" i="12" s="1"/>
  <c r="R357" i="12"/>
  <c r="T357" i="12" s="1"/>
  <c r="U357" i="12" s="1"/>
  <c r="CP358" i="12"/>
  <c r="CR358" i="12" s="1"/>
  <c r="CS358" i="12" s="1"/>
  <c r="BW355" i="12"/>
  <c r="BY355" i="12" s="1"/>
  <c r="BZ355" i="12" s="1"/>
  <c r="EU353" i="12"/>
  <c r="EW353" i="12" s="1"/>
  <c r="EX353" i="12" s="1"/>
  <c r="DI352" i="12"/>
  <c r="DK352" i="12" s="1"/>
  <c r="DL352" i="12" s="1"/>
  <c r="BW351" i="12"/>
  <c r="BY351" i="12" s="1"/>
  <c r="BZ351" i="12" s="1"/>
  <c r="R351" i="12"/>
  <c r="T351" i="12" s="1"/>
  <c r="U351" i="12" s="1"/>
  <c r="CP350" i="12"/>
  <c r="CR350" i="12" s="1"/>
  <c r="CS350" i="12" s="1"/>
  <c r="BD351" i="12"/>
  <c r="BF351" i="12" s="1"/>
  <c r="BG351" i="12" s="1"/>
  <c r="DI347" i="12"/>
  <c r="DK347" i="12" s="1"/>
  <c r="DL347" i="12" s="1"/>
  <c r="R347" i="12"/>
  <c r="T347" i="12" s="1"/>
  <c r="U347" i="12" s="1"/>
  <c r="EB346" i="12"/>
  <c r="ED346" i="12" s="1"/>
  <c r="EE346" i="12" s="1"/>
  <c r="BD347" i="12"/>
  <c r="BF347" i="12" s="1"/>
  <c r="BG347" i="12" s="1"/>
  <c r="BD343" i="12"/>
  <c r="BF343" i="12" s="1"/>
  <c r="BG343" i="12" s="1"/>
  <c r="EU340" i="12"/>
  <c r="EW340" i="12" s="1"/>
  <c r="EX340" i="12" s="1"/>
  <c r="BW341" i="12"/>
  <c r="BY341" i="12" s="1"/>
  <c r="BZ341" i="12" s="1"/>
  <c r="R344" i="12"/>
  <c r="T344" i="12" s="1"/>
  <c r="U344" i="12" s="1"/>
  <c r="AK340" i="12"/>
  <c r="AM340" i="12" s="1"/>
  <c r="AN340" i="12" s="1"/>
  <c r="DI343" i="12"/>
  <c r="DK343" i="12" s="1"/>
  <c r="DL343" i="12" s="1"/>
  <c r="EU336" i="12"/>
  <c r="EW336" i="12" s="1"/>
  <c r="EX336" i="12" s="1"/>
  <c r="R337" i="12"/>
  <c r="T337" i="12" s="1"/>
  <c r="U337" i="12" s="1"/>
  <c r="EU333" i="12"/>
  <c r="EW333" i="12" s="1"/>
  <c r="EX333" i="12" s="1"/>
  <c r="BD338" i="12"/>
  <c r="BF338" i="12" s="1"/>
  <c r="BG338" i="12" s="1"/>
  <c r="EU334" i="12"/>
  <c r="EW334" i="12" s="1"/>
  <c r="EX334" i="12" s="1"/>
  <c r="EU330" i="12"/>
  <c r="EW330" i="12" s="1"/>
  <c r="EX330" i="12" s="1"/>
  <c r="EU332" i="12"/>
  <c r="EW332" i="12" s="1"/>
  <c r="EX332" i="12" s="1"/>
  <c r="BW331" i="12"/>
  <c r="BY331" i="12" s="1"/>
  <c r="BZ331" i="12" s="1"/>
  <c r="EU327" i="12"/>
  <c r="EW327" i="12" s="1"/>
  <c r="EX327" i="12" s="1"/>
  <c r="CP330" i="12"/>
  <c r="CR330" i="12" s="1"/>
  <c r="CS330" i="12" s="1"/>
  <c r="R329" i="12"/>
  <c r="T329" i="12" s="1"/>
  <c r="U329" i="12" s="1"/>
  <c r="R325" i="12"/>
  <c r="T325" i="12" s="1"/>
  <c r="U325" i="12" s="1"/>
  <c r="R324" i="12"/>
  <c r="T324" i="12" s="1"/>
  <c r="U324" i="12" s="1"/>
  <c r="BD322" i="12"/>
  <c r="BF322" i="12" s="1"/>
  <c r="BG322" i="12" s="1"/>
  <c r="BD318" i="12"/>
  <c r="BF318" i="12" s="1"/>
  <c r="BG318" i="12" s="1"/>
  <c r="DI327" i="12"/>
  <c r="DK327" i="12" s="1"/>
  <c r="DL327" i="12" s="1"/>
  <c r="R321" i="12"/>
  <c r="T321" i="12" s="1"/>
  <c r="U321" i="12" s="1"/>
  <c r="EB328" i="12"/>
  <c r="ED328" i="12" s="1"/>
  <c r="EE328" i="12" s="1"/>
  <c r="R322" i="12"/>
  <c r="T322" i="12" s="1"/>
  <c r="U322" i="12" s="1"/>
  <c r="R318" i="12"/>
  <c r="T318" i="12" s="1"/>
  <c r="U318" i="12" s="1"/>
  <c r="AK317" i="12"/>
  <c r="AM317" i="12" s="1"/>
  <c r="AN317" i="12" s="1"/>
  <c r="CP317" i="12"/>
  <c r="CR317" i="12" s="1"/>
  <c r="CS317" i="12" s="1"/>
  <c r="BW313" i="12"/>
  <c r="BY313" i="12" s="1"/>
  <c r="BZ313" i="12" s="1"/>
  <c r="AK325" i="12"/>
  <c r="AM325" i="12" s="1"/>
  <c r="AN325" i="12" s="1"/>
  <c r="DI316" i="12"/>
  <c r="DK316" i="12" s="1"/>
  <c r="DL316" i="12" s="1"/>
  <c r="DI312" i="12"/>
  <c r="DK312" i="12" s="1"/>
  <c r="DL312" i="12" s="1"/>
  <c r="CP312" i="12"/>
  <c r="CR312" i="12" s="1"/>
  <c r="CS312" i="12" s="1"/>
  <c r="R306" i="12"/>
  <c r="T306" i="12" s="1"/>
  <c r="U306" i="12" s="1"/>
  <c r="CP326" i="12"/>
  <c r="CR326" i="12" s="1"/>
  <c r="CS326" i="12" s="1"/>
  <c r="AK308" i="12"/>
  <c r="AM308" i="12" s="1"/>
  <c r="AN308" i="12" s="1"/>
  <c r="AK304" i="12"/>
  <c r="AM304" i="12" s="1"/>
  <c r="AN304" i="12" s="1"/>
  <c r="DI309" i="12"/>
  <c r="DK309" i="12" s="1"/>
  <c r="DL309" i="12" s="1"/>
  <c r="DI305" i="12"/>
  <c r="DK305" i="12" s="1"/>
  <c r="DL305" i="12" s="1"/>
  <c r="EU312" i="12"/>
  <c r="EW312" i="12" s="1"/>
  <c r="EX312" i="12" s="1"/>
  <c r="EU308" i="12"/>
  <c r="EW308" i="12" s="1"/>
  <c r="EX308" i="12" s="1"/>
  <c r="EU304" i="12"/>
  <c r="EW304" i="12" s="1"/>
  <c r="EX304" i="12" s="1"/>
  <c r="R301" i="12"/>
  <c r="T301" i="12" s="1"/>
  <c r="U301" i="12" s="1"/>
  <c r="R297" i="12"/>
  <c r="T297" i="12" s="1"/>
  <c r="U297" i="12" s="1"/>
  <c r="BW301" i="12"/>
  <c r="BY301" i="12" s="1"/>
  <c r="BZ301" i="12" s="1"/>
  <c r="BW297" i="12"/>
  <c r="BY297" i="12" s="1"/>
  <c r="BZ297" i="12" s="1"/>
  <c r="BW293" i="12"/>
  <c r="BY293" i="12" s="1"/>
  <c r="BZ293" i="12" s="1"/>
  <c r="BW302" i="12"/>
  <c r="BY302" i="12" s="1"/>
  <c r="BZ302" i="12" s="1"/>
  <c r="BW298" i="12"/>
  <c r="BY298" i="12" s="1"/>
  <c r="BZ298" i="12" s="1"/>
  <c r="BW294" i="12"/>
  <c r="BY294" i="12" s="1"/>
  <c r="BZ294" i="12" s="1"/>
  <c r="BW290" i="12"/>
  <c r="BY290" i="12" s="1"/>
  <c r="BZ290" i="12" s="1"/>
  <c r="EU289" i="12"/>
  <c r="EW289" i="12" s="1"/>
  <c r="EX289" i="12" s="1"/>
  <c r="EU285" i="12"/>
  <c r="EW285" i="12" s="1"/>
  <c r="EX285" i="12" s="1"/>
  <c r="EU281" i="12"/>
  <c r="EW281" i="12" s="1"/>
  <c r="EX281" i="12" s="1"/>
  <c r="CP292" i="12"/>
  <c r="CR292" i="12" s="1"/>
  <c r="CS292" i="12" s="1"/>
  <c r="EB289" i="12"/>
  <c r="ED289" i="12" s="1"/>
  <c r="EE289" i="12" s="1"/>
  <c r="EB285" i="12"/>
  <c r="ED285" i="12" s="1"/>
  <c r="EE285" i="12" s="1"/>
  <c r="EB281" i="12"/>
  <c r="ED281" i="12" s="1"/>
  <c r="EE281" i="12" s="1"/>
  <c r="EB302" i="12"/>
  <c r="ED302" i="12" s="1"/>
  <c r="EE302" i="12" s="1"/>
  <c r="BD294" i="12"/>
  <c r="BF294" i="12" s="1"/>
  <c r="BG294" i="12" s="1"/>
  <c r="BD286" i="12"/>
  <c r="BF286" i="12" s="1"/>
  <c r="BG286" i="12" s="1"/>
  <c r="BD282" i="12"/>
  <c r="BF282" i="12" s="1"/>
  <c r="BG282" i="12" s="1"/>
  <c r="BD278" i="12"/>
  <c r="BF278" i="12" s="1"/>
  <c r="BG278" i="12" s="1"/>
  <c r="BD291" i="12"/>
  <c r="BF291" i="12" s="1"/>
  <c r="BG291" i="12" s="1"/>
  <c r="BD275" i="12"/>
  <c r="BF275" i="12" s="1"/>
  <c r="BG275" i="12" s="1"/>
  <c r="BD271" i="12"/>
  <c r="BF271" i="12" s="1"/>
  <c r="BG271" i="12" s="1"/>
  <c r="BD267" i="12"/>
  <c r="BF267" i="12" s="1"/>
  <c r="BG267" i="12" s="1"/>
  <c r="DI278" i="12"/>
  <c r="DK278" i="12" s="1"/>
  <c r="DL278" i="12" s="1"/>
  <c r="EU273" i="12"/>
  <c r="EW273" i="12" s="1"/>
  <c r="EX273" i="12" s="1"/>
  <c r="EU269" i="12"/>
  <c r="EW269" i="12" s="1"/>
  <c r="EX269" i="12" s="1"/>
  <c r="EU265" i="12"/>
  <c r="EW265" i="12" s="1"/>
  <c r="EX265" i="12" s="1"/>
  <c r="EB277" i="12"/>
  <c r="ED277" i="12" s="1"/>
  <c r="EE277" i="12" s="1"/>
  <c r="BD283" i="12"/>
  <c r="BF283" i="12" s="1"/>
  <c r="BG283" i="12" s="1"/>
  <c r="EU274" i="12"/>
  <c r="EW274" i="12" s="1"/>
  <c r="EX274" i="12" s="1"/>
  <c r="EU270" i="12"/>
  <c r="EW270" i="12" s="1"/>
  <c r="EX270" i="12" s="1"/>
  <c r="EU266" i="12"/>
  <c r="EW266" i="12" s="1"/>
  <c r="EX266" i="12" s="1"/>
  <c r="DI282" i="12"/>
  <c r="DK282" i="12" s="1"/>
  <c r="DL282" i="12" s="1"/>
  <c r="BD264" i="12"/>
  <c r="BF264" i="12" s="1"/>
  <c r="BG264" i="12" s="1"/>
  <c r="AK260" i="12"/>
  <c r="AM260" i="12" s="1"/>
  <c r="AN260" i="12" s="1"/>
  <c r="AK256" i="12"/>
  <c r="AM256" i="12" s="1"/>
  <c r="AN256" i="12" s="1"/>
  <c r="AK252" i="12"/>
  <c r="AM252" i="12" s="1"/>
  <c r="AN252" i="12" s="1"/>
  <c r="BW264" i="12"/>
  <c r="BY264" i="12" s="1"/>
  <c r="BZ264" i="12" s="1"/>
  <c r="BD262" i="12"/>
  <c r="BF262" i="12" s="1"/>
  <c r="BG262" i="12" s="1"/>
  <c r="BD258" i="12"/>
  <c r="BF258" i="12" s="1"/>
  <c r="BG258" i="12" s="1"/>
  <c r="BD254" i="12"/>
  <c r="BF254" i="12" s="1"/>
  <c r="BG254" i="12" s="1"/>
  <c r="EU275" i="12"/>
  <c r="EW275" i="12" s="1"/>
  <c r="EX275" i="12" s="1"/>
  <c r="R272" i="12"/>
  <c r="T272" i="12" s="1"/>
  <c r="U272" i="12" s="1"/>
  <c r="EU260" i="12"/>
  <c r="EW260" i="12" s="1"/>
  <c r="EX260" i="12" s="1"/>
  <c r="EU256" i="12"/>
  <c r="EW256" i="12" s="1"/>
  <c r="EX256" i="12" s="1"/>
  <c r="EU252" i="12"/>
  <c r="EW252" i="12" s="1"/>
  <c r="EX252" i="12" s="1"/>
  <c r="EU248" i="12"/>
  <c r="EW248" i="12" s="1"/>
  <c r="EX248" i="12" s="1"/>
  <c r="EU263" i="12"/>
  <c r="EW263" i="12" s="1"/>
  <c r="EX263" i="12" s="1"/>
  <c r="R262" i="12"/>
  <c r="T262" i="12" s="1"/>
  <c r="U262" i="12" s="1"/>
  <c r="R258" i="12"/>
  <c r="T258" i="12" s="1"/>
  <c r="U258" i="12" s="1"/>
  <c r="R254" i="12"/>
  <c r="T254" i="12" s="1"/>
  <c r="U254" i="12" s="1"/>
  <c r="R250" i="12"/>
  <c r="T250" i="12" s="1"/>
  <c r="U250" i="12" s="1"/>
  <c r="CP246" i="12"/>
  <c r="CR246" i="12" s="1"/>
  <c r="CS246" i="12" s="1"/>
  <c r="CP242" i="12"/>
  <c r="CR242" i="12" s="1"/>
  <c r="CS242" i="12" s="1"/>
  <c r="BD248" i="12"/>
  <c r="BF248" i="12" s="1"/>
  <c r="BG248" i="12" s="1"/>
  <c r="EU246" i="12"/>
  <c r="EW246" i="12" s="1"/>
  <c r="EX246" i="12" s="1"/>
  <c r="EU242" i="12"/>
  <c r="EW242" i="12" s="1"/>
  <c r="EX242" i="12" s="1"/>
  <c r="EU238" i="12"/>
  <c r="EW238" i="12" s="1"/>
  <c r="EX238" i="12" s="1"/>
  <c r="EU234" i="12"/>
  <c r="EW234" i="12" s="1"/>
  <c r="EX234" i="12" s="1"/>
  <c r="BD246" i="12"/>
  <c r="BF246" i="12" s="1"/>
  <c r="BG246" i="12" s="1"/>
  <c r="BD242" i="12"/>
  <c r="BF242" i="12" s="1"/>
  <c r="BG242" i="12" s="1"/>
  <c r="BD238" i="12"/>
  <c r="BF238" i="12" s="1"/>
  <c r="BG238" i="12" s="1"/>
  <c r="CP237" i="12"/>
  <c r="CR237" i="12" s="1"/>
  <c r="CS237" i="12" s="1"/>
  <c r="EB231" i="12"/>
  <c r="ED231" i="12" s="1"/>
  <c r="EE231" i="12" s="1"/>
  <c r="EB227" i="12"/>
  <c r="ED227" i="12" s="1"/>
  <c r="EE227" i="12" s="1"/>
  <c r="EB223" i="12"/>
  <c r="ED223" i="12" s="1"/>
  <c r="EE223" i="12" s="1"/>
  <c r="BW240" i="12"/>
  <c r="BY240" i="12" s="1"/>
  <c r="BZ240" i="12" s="1"/>
  <c r="EB232" i="12"/>
  <c r="ED232" i="12" s="1"/>
  <c r="EE232" i="12" s="1"/>
  <c r="EB228" i="12"/>
  <c r="ED228" i="12" s="1"/>
  <c r="EE228" i="12" s="1"/>
  <c r="EB224" i="12"/>
  <c r="ED224" i="12" s="1"/>
  <c r="EE224" i="12" s="1"/>
  <c r="DI242" i="12"/>
  <c r="DK242" i="12" s="1"/>
  <c r="DL242" i="12" s="1"/>
  <c r="EB233" i="12"/>
  <c r="ED233" i="12" s="1"/>
  <c r="EE233" i="12" s="1"/>
  <c r="EB229" i="12"/>
  <c r="ED229" i="12" s="1"/>
  <c r="EE229" i="12" s="1"/>
  <c r="R237" i="12"/>
  <c r="T237" i="12" s="1"/>
  <c r="U237" i="12" s="1"/>
  <c r="AK234" i="12"/>
  <c r="AM234" i="12" s="1"/>
  <c r="AN234" i="12" s="1"/>
  <c r="BD230" i="12"/>
  <c r="BF230" i="12" s="1"/>
  <c r="BG230" i="12" s="1"/>
  <c r="BD226" i="12"/>
  <c r="BF226" i="12" s="1"/>
  <c r="BG226" i="12" s="1"/>
  <c r="BD222" i="12"/>
  <c r="BF222" i="12" s="1"/>
  <c r="BG222" i="12" s="1"/>
  <c r="CP223" i="12"/>
  <c r="CR223" i="12" s="1"/>
  <c r="CS223" i="12" s="1"/>
  <c r="CP217" i="12"/>
  <c r="CR217" i="12" s="1"/>
  <c r="CS217" i="12" s="1"/>
  <c r="CP213" i="12"/>
  <c r="CR213" i="12" s="1"/>
  <c r="CS213" i="12" s="1"/>
  <c r="CP209" i="12"/>
  <c r="CR209" i="12" s="1"/>
  <c r="CS209" i="12" s="1"/>
  <c r="DI224" i="12"/>
  <c r="DK224" i="12" s="1"/>
  <c r="DL224" i="12" s="1"/>
  <c r="EU217" i="12"/>
  <c r="EW217" i="12" s="1"/>
  <c r="EX217" i="12" s="1"/>
  <c r="EU213" i="12"/>
  <c r="EW213" i="12" s="1"/>
  <c r="EX213" i="12" s="1"/>
  <c r="EU209" i="12"/>
  <c r="EW209" i="12" s="1"/>
  <c r="EX209" i="12" s="1"/>
  <c r="CP241" i="12"/>
  <c r="CR241" i="12" s="1"/>
  <c r="CS241" i="12" s="1"/>
  <c r="R219" i="12"/>
  <c r="T219" i="12" s="1"/>
  <c r="U219" i="12" s="1"/>
  <c r="R215" i="12"/>
  <c r="T215" i="12" s="1"/>
  <c r="U215" i="12" s="1"/>
  <c r="R211" i="12"/>
  <c r="T211" i="12" s="1"/>
  <c r="U211" i="12" s="1"/>
  <c r="R207" i="12"/>
  <c r="T207" i="12" s="1"/>
  <c r="U207" i="12" s="1"/>
  <c r="EU207" i="12"/>
  <c r="EW207" i="12" s="1"/>
  <c r="EX207" i="12" s="1"/>
  <c r="R208" i="12"/>
  <c r="T208" i="12" s="1"/>
  <c r="U208" i="12" s="1"/>
  <c r="AK202" i="12"/>
  <c r="AM202" i="12" s="1"/>
  <c r="AN202" i="12" s="1"/>
  <c r="AK198" i="12"/>
  <c r="AM198" i="12" s="1"/>
  <c r="AN198" i="12" s="1"/>
  <c r="BD206" i="12"/>
  <c r="BF206" i="12" s="1"/>
  <c r="BG206" i="12" s="1"/>
  <c r="EB204" i="12"/>
  <c r="ED204" i="12" s="1"/>
  <c r="EE204" i="12" s="1"/>
  <c r="EB200" i="12"/>
  <c r="ED200" i="12" s="1"/>
  <c r="EE200" i="12" s="1"/>
  <c r="DI228" i="12"/>
  <c r="DK228" i="12" s="1"/>
  <c r="DL228" i="12" s="1"/>
  <c r="CP204" i="12"/>
  <c r="CR204" i="12" s="1"/>
  <c r="CS204" i="12" s="1"/>
  <c r="EB198" i="12"/>
  <c r="ED198" i="12" s="1"/>
  <c r="EE198" i="12" s="1"/>
  <c r="EB205" i="12"/>
  <c r="ED205" i="12" s="1"/>
  <c r="EE205" i="12" s="1"/>
  <c r="AK205" i="12"/>
  <c r="AM205" i="12" s="1"/>
  <c r="AN205" i="12" s="1"/>
  <c r="BW193" i="12"/>
  <c r="BY193" i="12" s="1"/>
  <c r="BZ193" i="12" s="1"/>
  <c r="BW189" i="12"/>
  <c r="BY189" i="12" s="1"/>
  <c r="BZ189" i="12" s="1"/>
  <c r="BW185" i="12"/>
  <c r="BY185" i="12" s="1"/>
  <c r="BZ185" i="12" s="1"/>
  <c r="BW181" i="12"/>
  <c r="BY181" i="12" s="1"/>
  <c r="BZ181" i="12" s="1"/>
  <c r="BW177" i="12"/>
  <c r="BY177" i="12" s="1"/>
  <c r="BZ177" i="12" s="1"/>
  <c r="BW173" i="12"/>
  <c r="BY173" i="12" s="1"/>
  <c r="BZ173" i="12" s="1"/>
  <c r="BW169" i="12"/>
  <c r="BY169" i="12" s="1"/>
  <c r="BZ169" i="12" s="1"/>
  <c r="BW165" i="12"/>
  <c r="BY165" i="12" s="1"/>
  <c r="BZ165" i="12" s="1"/>
  <c r="BW195" i="12"/>
  <c r="BY195" i="12" s="1"/>
  <c r="BZ195" i="12" s="1"/>
  <c r="BD195" i="12"/>
  <c r="BF195" i="12" s="1"/>
  <c r="BG195" i="12" s="1"/>
  <c r="EU190" i="12"/>
  <c r="EW190" i="12" s="1"/>
  <c r="EX190" i="12" s="1"/>
  <c r="EU186" i="12"/>
  <c r="EW186" i="12" s="1"/>
  <c r="EX186" i="12" s="1"/>
  <c r="EU182" i="12"/>
  <c r="EW182" i="12" s="1"/>
  <c r="EX182" i="12" s="1"/>
  <c r="EU178" i="12"/>
  <c r="EW178" i="12" s="1"/>
  <c r="EX178" i="12" s="1"/>
  <c r="EU174" i="12"/>
  <c r="EW174" i="12" s="1"/>
  <c r="EX174" i="12" s="1"/>
  <c r="EU170" i="12"/>
  <c r="EW170" i="12" s="1"/>
  <c r="EX170" i="12" s="1"/>
  <c r="EU166" i="12"/>
  <c r="EW166" i="12" s="1"/>
  <c r="EX166" i="12" s="1"/>
  <c r="EB202" i="12"/>
  <c r="ED202" i="12" s="1"/>
  <c r="EE202" i="12" s="1"/>
  <c r="EB183" i="12"/>
  <c r="ED183" i="12" s="1"/>
  <c r="EE183" i="12" s="1"/>
  <c r="CP173" i="12"/>
  <c r="CR173" i="12" s="1"/>
  <c r="CS173" i="12" s="1"/>
  <c r="BW179" i="12"/>
  <c r="BY179" i="12" s="1"/>
  <c r="BZ179" i="12" s="1"/>
  <c r="AK163" i="12"/>
  <c r="AM163" i="12" s="1"/>
  <c r="AN163" i="12" s="1"/>
  <c r="AK159" i="12"/>
  <c r="AM159" i="12" s="1"/>
  <c r="AN159" i="12" s="1"/>
  <c r="AK155" i="12"/>
  <c r="AM155" i="12" s="1"/>
  <c r="AN155" i="12" s="1"/>
  <c r="EU203" i="12"/>
  <c r="EW203" i="12" s="1"/>
  <c r="EX203" i="12" s="1"/>
  <c r="EB174" i="12"/>
  <c r="ED174" i="12" s="1"/>
  <c r="EE174" i="12" s="1"/>
  <c r="CP164" i="12"/>
  <c r="CR164" i="12" s="1"/>
  <c r="CS164" i="12" s="1"/>
  <c r="DI190" i="12"/>
  <c r="DK190" i="12" s="1"/>
  <c r="DL190" i="12" s="1"/>
  <c r="DI170" i="12"/>
  <c r="DK170" i="12" s="1"/>
  <c r="DL170" i="12" s="1"/>
  <c r="EB161" i="12"/>
  <c r="ED161" i="12" s="1"/>
  <c r="EE161" i="12" s="1"/>
  <c r="EB157" i="12"/>
  <c r="ED157" i="12" s="1"/>
  <c r="EE157" i="12" s="1"/>
  <c r="EB153" i="12"/>
  <c r="ED153" i="12" s="1"/>
  <c r="EE153" i="12" s="1"/>
  <c r="AK195" i="12"/>
  <c r="AM195" i="12" s="1"/>
  <c r="AN195" i="12" s="1"/>
  <c r="EU184" i="12"/>
  <c r="EW184" i="12" s="1"/>
  <c r="EX184" i="12" s="1"/>
  <c r="EU168" i="12"/>
  <c r="EW168" i="12" s="1"/>
  <c r="EX168" i="12" s="1"/>
  <c r="AK186" i="12"/>
  <c r="AM186" i="12" s="1"/>
  <c r="AN186" i="12" s="1"/>
  <c r="BD167" i="12"/>
  <c r="BF167" i="12" s="1"/>
  <c r="BG167" i="12" s="1"/>
  <c r="CP160" i="12"/>
  <c r="CR160" i="12" s="1"/>
  <c r="CS160" i="12" s="1"/>
  <c r="CP156" i="12"/>
  <c r="CR156" i="12" s="1"/>
  <c r="CS156" i="12" s="1"/>
  <c r="CP152" i="12"/>
  <c r="CR152" i="12" s="1"/>
  <c r="CS152" i="12" s="1"/>
  <c r="CP148" i="12"/>
  <c r="CR148" i="12" s="1"/>
  <c r="CS148" i="12" s="1"/>
  <c r="BD191" i="12"/>
  <c r="BF191" i="12" s="1"/>
  <c r="BG191" i="12" s="1"/>
  <c r="EU160" i="12"/>
  <c r="EW160" i="12" s="1"/>
  <c r="EX160" i="12" s="1"/>
  <c r="BW143" i="12"/>
  <c r="BY143" i="12" s="1"/>
  <c r="BZ143" i="12" s="1"/>
  <c r="BW139" i="12"/>
  <c r="BY139" i="12" s="1"/>
  <c r="BZ139" i="12" s="1"/>
  <c r="BW135" i="12"/>
  <c r="BY135" i="12" s="1"/>
  <c r="BZ135" i="12" s="1"/>
  <c r="BW131" i="12"/>
  <c r="BY131" i="12" s="1"/>
  <c r="BZ131" i="12" s="1"/>
  <c r="BW127" i="12"/>
  <c r="BY127" i="12" s="1"/>
  <c r="BZ127" i="12" s="1"/>
  <c r="BW123" i="12"/>
  <c r="BY123" i="12" s="1"/>
  <c r="BZ123" i="12" s="1"/>
  <c r="EB163" i="12"/>
  <c r="ED163" i="12" s="1"/>
  <c r="EE163" i="12" s="1"/>
  <c r="EU145" i="12"/>
  <c r="EW145" i="12" s="1"/>
  <c r="EX145" i="12" s="1"/>
  <c r="EU156" i="12"/>
  <c r="EW156" i="12" s="1"/>
  <c r="EX156" i="12" s="1"/>
  <c r="EB143" i="12"/>
  <c r="ED143" i="12" s="1"/>
  <c r="EE143" i="12" s="1"/>
  <c r="EB139" i="12"/>
  <c r="ED139" i="12" s="1"/>
  <c r="EE139" i="12" s="1"/>
  <c r="EB135" i="12"/>
  <c r="ED135" i="12" s="1"/>
  <c r="EE135" i="12" s="1"/>
  <c r="EB131" i="12"/>
  <c r="ED131" i="12" s="1"/>
  <c r="EE131" i="12" s="1"/>
  <c r="EB127" i="12"/>
  <c r="ED127" i="12" s="1"/>
  <c r="EE127" i="12" s="1"/>
  <c r="EB123" i="12"/>
  <c r="ED123" i="12" s="1"/>
  <c r="EE123" i="12" s="1"/>
  <c r="CP172" i="12"/>
  <c r="CR172" i="12" s="1"/>
  <c r="CS172" i="12" s="1"/>
  <c r="CP145" i="12"/>
  <c r="CR145" i="12" s="1"/>
  <c r="CS145" i="12" s="1"/>
  <c r="CP157" i="12"/>
  <c r="CR157" i="12" s="1"/>
  <c r="CS157" i="12" s="1"/>
  <c r="EB144" i="12"/>
  <c r="ED144" i="12" s="1"/>
  <c r="EE144" i="12" s="1"/>
  <c r="EB140" i="12"/>
  <c r="ED140" i="12" s="1"/>
  <c r="EE140" i="12" s="1"/>
  <c r="EB136" i="12"/>
  <c r="ED136" i="12" s="1"/>
  <c r="EE136" i="12" s="1"/>
  <c r="EB132" i="12"/>
  <c r="ED132" i="12" s="1"/>
  <c r="EE132" i="12" s="1"/>
  <c r="EB128" i="12"/>
  <c r="ED128" i="12" s="1"/>
  <c r="EE128" i="12" s="1"/>
  <c r="EB124" i="12"/>
  <c r="ED124" i="12" s="1"/>
  <c r="EE124" i="12" s="1"/>
  <c r="R153" i="12"/>
  <c r="T153" i="12" s="1"/>
  <c r="U153" i="12" s="1"/>
  <c r="AK154" i="12"/>
  <c r="AM154" i="12" s="1"/>
  <c r="AN154" i="12" s="1"/>
  <c r="AK144" i="12"/>
  <c r="AM144" i="12" s="1"/>
  <c r="AN144" i="12" s="1"/>
  <c r="AK140" i="12"/>
  <c r="AM140" i="12" s="1"/>
  <c r="AN140" i="12" s="1"/>
  <c r="AK136" i="12"/>
  <c r="AM136" i="12" s="1"/>
  <c r="AN136" i="12" s="1"/>
  <c r="AK132" i="12"/>
  <c r="AM132" i="12" s="1"/>
  <c r="AN132" i="12" s="1"/>
  <c r="AK128" i="12"/>
  <c r="AM128" i="12" s="1"/>
  <c r="AN128" i="12" s="1"/>
  <c r="AK124" i="12"/>
  <c r="AM124" i="12" s="1"/>
  <c r="AN124" i="12" s="1"/>
  <c r="DI145" i="12"/>
  <c r="DK145" i="12" s="1"/>
  <c r="DL145" i="12" s="1"/>
  <c r="CP119" i="12"/>
  <c r="CR119" i="12" s="1"/>
  <c r="CS119" i="12" s="1"/>
  <c r="DI181" i="12"/>
  <c r="DK181" i="12" s="1"/>
  <c r="DL181" i="12" s="1"/>
  <c r="DI117" i="12"/>
  <c r="DK117" i="12" s="1"/>
  <c r="DL117" i="12" s="1"/>
  <c r="R122" i="12"/>
  <c r="T122" i="12" s="1"/>
  <c r="U122" i="12" s="1"/>
  <c r="DI114" i="12"/>
  <c r="DK114" i="12" s="1"/>
  <c r="DL114" i="12" s="1"/>
  <c r="AK111" i="12"/>
  <c r="AM111" i="12" s="1"/>
  <c r="AN111" i="12" s="1"/>
  <c r="AK107" i="12"/>
  <c r="AM107" i="12" s="1"/>
  <c r="AN107" i="12" s="1"/>
  <c r="AK103" i="12"/>
  <c r="AM103" i="12" s="1"/>
  <c r="AN103" i="12" s="1"/>
  <c r="AK99" i="12"/>
  <c r="AM99" i="12" s="1"/>
  <c r="AN99" i="12" s="1"/>
  <c r="AK95" i="12"/>
  <c r="AM95" i="12" s="1"/>
  <c r="AN95" i="12" s="1"/>
  <c r="AK91" i="12"/>
  <c r="AM91" i="12" s="1"/>
  <c r="AN91" i="12" s="1"/>
  <c r="EU114" i="12"/>
  <c r="EW114" i="12" s="1"/>
  <c r="EX114" i="12" s="1"/>
  <c r="AK115" i="12"/>
  <c r="AM115" i="12" s="1"/>
  <c r="AN115" i="12" s="1"/>
  <c r="EU110" i="12"/>
  <c r="EW110" i="12" s="1"/>
  <c r="EX110" i="12" s="1"/>
  <c r="EU106" i="12"/>
  <c r="EW106" i="12" s="1"/>
  <c r="EX106" i="12" s="1"/>
  <c r="EU102" i="12"/>
  <c r="EW102" i="12" s="1"/>
  <c r="EX102" i="12" s="1"/>
  <c r="EU98" i="12"/>
  <c r="EW98" i="12" s="1"/>
  <c r="EX98" i="12" s="1"/>
  <c r="EU94" i="12"/>
  <c r="EW94" i="12" s="1"/>
  <c r="EX94" i="12" s="1"/>
  <c r="EU90" i="12"/>
  <c r="EW90" i="12" s="1"/>
  <c r="EX90" i="12" s="1"/>
  <c r="EU86" i="12"/>
  <c r="EW86" i="12" s="1"/>
  <c r="EX86" i="12" s="1"/>
  <c r="EU82" i="12"/>
  <c r="EW82" i="12" s="1"/>
  <c r="EX82" i="12" s="1"/>
  <c r="EB114" i="12"/>
  <c r="ED114" i="12" s="1"/>
  <c r="EE114" i="12" s="1"/>
  <c r="DI109" i="12"/>
  <c r="DK109" i="12" s="1"/>
  <c r="DL109" i="12" s="1"/>
  <c r="DI105" i="12"/>
  <c r="DK105" i="12" s="1"/>
  <c r="DL105" i="12" s="1"/>
  <c r="DI101" i="12"/>
  <c r="DK101" i="12" s="1"/>
  <c r="DL101" i="12" s="1"/>
  <c r="DI97" i="12"/>
  <c r="DK97" i="12" s="1"/>
  <c r="DL97" i="12" s="1"/>
  <c r="DI93" i="12"/>
  <c r="DK93" i="12" s="1"/>
  <c r="DL93" i="12" s="1"/>
  <c r="DI89" i="12"/>
  <c r="DK89" i="12" s="1"/>
  <c r="DL89" i="12" s="1"/>
  <c r="DI85" i="12"/>
  <c r="DK85" i="12" s="1"/>
  <c r="DL85" i="12" s="1"/>
  <c r="BW120" i="12"/>
  <c r="BY120" i="12" s="1"/>
  <c r="BZ120" i="12" s="1"/>
  <c r="BW104" i="12"/>
  <c r="BY104" i="12" s="1"/>
  <c r="BZ104" i="12" s="1"/>
  <c r="EU84" i="12"/>
  <c r="EW84" i="12" s="1"/>
  <c r="EX84" i="12" s="1"/>
  <c r="BD81" i="12"/>
  <c r="BF81" i="12" s="1"/>
  <c r="BG81" i="12" s="1"/>
  <c r="BD77" i="12"/>
  <c r="BF77" i="12" s="1"/>
  <c r="BG77" i="12" s="1"/>
  <c r="BD73" i="12"/>
  <c r="BF73" i="12" s="1"/>
  <c r="BG73" i="12" s="1"/>
  <c r="BD69" i="12"/>
  <c r="BF69" i="12" s="1"/>
  <c r="BG69" i="12" s="1"/>
  <c r="BD65" i="12"/>
  <c r="BF65" i="12" s="1"/>
  <c r="BG65" i="12" s="1"/>
  <c r="BD61" i="12"/>
  <c r="BF61" i="12" s="1"/>
  <c r="BG61" i="12" s="1"/>
  <c r="BD57" i="12"/>
  <c r="BF57" i="12" s="1"/>
  <c r="BG57" i="12" s="1"/>
  <c r="EU108" i="12"/>
  <c r="EW108" i="12" s="1"/>
  <c r="EX108" i="12" s="1"/>
  <c r="DI102" i="12"/>
  <c r="DK102" i="12" s="1"/>
  <c r="DL102" i="12" s="1"/>
  <c r="AK86" i="12"/>
  <c r="AM86" i="12" s="1"/>
  <c r="AN86" i="12" s="1"/>
  <c r="EB78" i="12"/>
  <c r="ED78" i="12" s="1"/>
  <c r="EE78" i="12" s="1"/>
  <c r="EB74" i="12"/>
  <c r="ED74" i="12" s="1"/>
  <c r="EE74" i="12" s="1"/>
  <c r="EB70" i="12"/>
  <c r="ED70" i="12" s="1"/>
  <c r="EE70" i="12" s="1"/>
  <c r="EB66" i="12"/>
  <c r="ED66" i="12" s="1"/>
  <c r="EE66" i="12" s="1"/>
  <c r="EB62" i="12"/>
  <c r="ED62" i="12" s="1"/>
  <c r="EE62" i="12" s="1"/>
  <c r="EB58" i="12"/>
  <c r="ED58" i="12" s="1"/>
  <c r="EE58" i="12" s="1"/>
  <c r="EB54" i="12"/>
  <c r="ED54" i="12" s="1"/>
  <c r="EE54" i="12" s="1"/>
  <c r="AK15" i="12"/>
  <c r="AM15" i="12" s="1"/>
  <c r="AN15" i="12" s="1"/>
  <c r="CP16" i="12"/>
  <c r="CR16" i="12" s="1"/>
  <c r="CS16" i="12" s="1"/>
  <c r="CP20" i="12"/>
  <c r="CR20" i="12" s="1"/>
  <c r="CS20" i="12" s="1"/>
  <c r="BW363" i="12"/>
  <c r="BY363" i="12" s="1"/>
  <c r="BZ363" i="12" s="1"/>
  <c r="EU360" i="12"/>
  <c r="EW360" i="12" s="1"/>
  <c r="EX360" i="12" s="1"/>
  <c r="EU361" i="12"/>
  <c r="EW361" i="12" s="1"/>
  <c r="EX361" i="12" s="1"/>
  <c r="CP359" i="12"/>
  <c r="CR359" i="12" s="1"/>
  <c r="CS359" i="12" s="1"/>
  <c r="EB357" i="12"/>
  <c r="ED357" i="12" s="1"/>
  <c r="EE357" i="12" s="1"/>
  <c r="AK357" i="12"/>
  <c r="AM357" i="12" s="1"/>
  <c r="AN357" i="12" s="1"/>
  <c r="EU356" i="12"/>
  <c r="EW356" i="12" s="1"/>
  <c r="EX356" i="12" s="1"/>
  <c r="BD356" i="12"/>
  <c r="BF356" i="12" s="1"/>
  <c r="BG356" i="12" s="1"/>
  <c r="BW357" i="12"/>
  <c r="BY357" i="12" s="1"/>
  <c r="BZ357" i="12" s="1"/>
  <c r="BW353" i="12"/>
  <c r="BY353" i="12" s="1"/>
  <c r="BZ353" i="12" s="1"/>
  <c r="AK352" i="12"/>
  <c r="AM352" i="12" s="1"/>
  <c r="AN352" i="12" s="1"/>
  <c r="EB350" i="12"/>
  <c r="ED350" i="12" s="1"/>
  <c r="EE350" i="12" s="1"/>
  <c r="BD354" i="12"/>
  <c r="BF354" i="12" s="1"/>
  <c r="BG354" i="12" s="1"/>
  <c r="R350" i="12"/>
  <c r="T350" i="12" s="1"/>
  <c r="U350" i="12" s="1"/>
  <c r="EU350" i="12"/>
  <c r="EW350" i="12" s="1"/>
  <c r="EX350" i="12" s="1"/>
  <c r="AK347" i="12"/>
  <c r="AM347" i="12" s="1"/>
  <c r="AN347" i="12" s="1"/>
  <c r="EU346" i="12"/>
  <c r="EW346" i="12" s="1"/>
  <c r="EX346" i="12" s="1"/>
  <c r="BD346" i="12"/>
  <c r="BF346" i="12" s="1"/>
  <c r="BG346" i="12" s="1"/>
  <c r="DI346" i="12"/>
  <c r="DK346" i="12" s="1"/>
  <c r="DL346" i="12" s="1"/>
  <c r="DI342" i="12"/>
  <c r="DK342" i="12" s="1"/>
  <c r="DL342" i="12" s="1"/>
  <c r="BW340" i="12"/>
  <c r="BY340" i="12" s="1"/>
  <c r="BZ340" i="12" s="1"/>
  <c r="EB340" i="12"/>
  <c r="ED340" i="12" s="1"/>
  <c r="EE340" i="12" s="1"/>
  <c r="AK343" i="12"/>
  <c r="AM343" i="12" s="1"/>
  <c r="AN343" i="12" s="1"/>
  <c r="CP339" i="12"/>
  <c r="CR339" i="12" s="1"/>
  <c r="CS339" i="12" s="1"/>
  <c r="EB342" i="12"/>
  <c r="ED342" i="12" s="1"/>
  <c r="EE342" i="12" s="1"/>
  <c r="BW336" i="12"/>
  <c r="BY336" i="12" s="1"/>
  <c r="BZ336" i="12" s="1"/>
  <c r="R340" i="12"/>
  <c r="T340" i="12" s="1"/>
  <c r="U340" i="12" s="1"/>
  <c r="BW333" i="12"/>
  <c r="BY333" i="12" s="1"/>
  <c r="BZ333" i="12" s="1"/>
  <c r="AK337" i="12"/>
  <c r="AM337" i="12" s="1"/>
  <c r="AN337" i="12" s="1"/>
  <c r="BW334" i="12"/>
  <c r="BY334" i="12" s="1"/>
  <c r="BZ334" i="12" s="1"/>
  <c r="BW330" i="12"/>
  <c r="BY330" i="12" s="1"/>
  <c r="BZ330" i="12" s="1"/>
  <c r="EB330" i="12"/>
  <c r="ED330" i="12" s="1"/>
  <c r="EE330" i="12" s="1"/>
  <c r="EB339" i="12"/>
  <c r="ED339" i="12" s="1"/>
  <c r="EE339" i="12" s="1"/>
  <c r="BW327" i="12"/>
  <c r="BY327" i="12" s="1"/>
  <c r="BZ327" i="12" s="1"/>
  <c r="BD330" i="12"/>
  <c r="BF330" i="12" s="1"/>
  <c r="BG330" i="12" s="1"/>
  <c r="EU328" i="12"/>
  <c r="EW328" i="12" s="1"/>
  <c r="EX328" i="12" s="1"/>
  <c r="EU324" i="12"/>
  <c r="EW324" i="12" s="1"/>
  <c r="EX324" i="12" s="1"/>
  <c r="EU329" i="12"/>
  <c r="EW329" i="12" s="1"/>
  <c r="EX329" i="12" s="1"/>
  <c r="DI321" i="12"/>
  <c r="DK321" i="12" s="1"/>
  <c r="DL321" i="12" s="1"/>
  <c r="DI317" i="12"/>
  <c r="DK317" i="12" s="1"/>
  <c r="DL317" i="12" s="1"/>
  <c r="CP324" i="12"/>
  <c r="CR324" i="12" s="1"/>
  <c r="CS324" i="12" s="1"/>
  <c r="EU320" i="12"/>
  <c r="EW320" i="12" s="1"/>
  <c r="EX320" i="12" s="1"/>
  <c r="BW325" i="12"/>
  <c r="BY325" i="12" s="1"/>
  <c r="BZ325" i="12" s="1"/>
  <c r="EU321" i="12"/>
  <c r="EW321" i="12" s="1"/>
  <c r="EX321" i="12" s="1"/>
  <c r="EU317" i="12"/>
  <c r="EW317" i="12" s="1"/>
  <c r="EX317" i="12" s="1"/>
  <c r="R317" i="12"/>
  <c r="T317" i="12" s="1"/>
  <c r="U317" i="12" s="1"/>
  <c r="EB316" i="12"/>
  <c r="ED316" i="12" s="1"/>
  <c r="EE316" i="12" s="1"/>
  <c r="EB312" i="12"/>
  <c r="ED312" i="12" s="1"/>
  <c r="EE312" i="12" s="1"/>
  <c r="BW318" i="12"/>
  <c r="BY318" i="12" s="1"/>
  <c r="BZ318" i="12" s="1"/>
  <c r="AK316" i="12"/>
  <c r="AM316" i="12" s="1"/>
  <c r="AN316" i="12" s="1"/>
  <c r="AK312" i="12"/>
  <c r="AM312" i="12" s="1"/>
  <c r="AN312" i="12" s="1"/>
  <c r="R312" i="12"/>
  <c r="T312" i="12" s="1"/>
  <c r="U312" i="12" s="1"/>
  <c r="EU305" i="12"/>
  <c r="EW305" i="12" s="1"/>
  <c r="EX305" i="12" s="1"/>
  <c r="EU315" i="12"/>
  <c r="EW315" i="12" s="1"/>
  <c r="EX315" i="12" s="1"/>
  <c r="CP307" i="12"/>
  <c r="CR307" i="12" s="1"/>
  <c r="CS307" i="12" s="1"/>
  <c r="R316" i="12"/>
  <c r="T316" i="12" s="1"/>
  <c r="U316" i="12" s="1"/>
  <c r="AK309" i="12"/>
  <c r="AM309" i="12" s="1"/>
  <c r="AN309" i="12" s="1"/>
  <c r="AK305" i="12"/>
  <c r="AM305" i="12" s="1"/>
  <c r="AN305" i="12" s="1"/>
  <c r="BD311" i="12"/>
  <c r="BF311" i="12" s="1"/>
  <c r="BG311" i="12" s="1"/>
  <c r="BW308" i="12"/>
  <c r="BY308" i="12" s="1"/>
  <c r="BZ308" i="12" s="1"/>
  <c r="BW304" i="12"/>
  <c r="BY304" i="12" s="1"/>
  <c r="BZ304" i="12" s="1"/>
  <c r="EU300" i="12"/>
  <c r="EW300" i="12" s="1"/>
  <c r="EX300" i="12" s="1"/>
  <c r="EU296" i="12"/>
  <c r="EW296" i="12" s="1"/>
  <c r="EX296" i="12" s="1"/>
  <c r="EB300" i="12"/>
  <c r="ED300" i="12" s="1"/>
  <c r="EE300" i="12" s="1"/>
  <c r="EB296" i="12"/>
  <c r="ED296" i="12" s="1"/>
  <c r="EE296" i="12" s="1"/>
  <c r="EB292" i="12"/>
  <c r="ED292" i="12" s="1"/>
  <c r="EE292" i="12" s="1"/>
  <c r="EB301" i="12"/>
  <c r="ED301" i="12" s="1"/>
  <c r="EE301" i="12" s="1"/>
  <c r="EB297" i="12"/>
  <c r="ED297" i="12" s="1"/>
  <c r="EE297" i="12" s="1"/>
  <c r="EB293" i="12"/>
  <c r="ED293" i="12" s="1"/>
  <c r="EE293" i="12" s="1"/>
  <c r="CP300" i="12"/>
  <c r="CR300" i="12" s="1"/>
  <c r="CS300" i="12" s="1"/>
  <c r="BW289" i="12"/>
  <c r="BY289" i="12" s="1"/>
  <c r="BZ289" i="12" s="1"/>
  <c r="BW285" i="12"/>
  <c r="BY285" i="12" s="1"/>
  <c r="BZ285" i="12" s="1"/>
  <c r="BW281" i="12"/>
  <c r="BY281" i="12" s="1"/>
  <c r="BZ281" i="12" s="1"/>
  <c r="BW291" i="12"/>
  <c r="BY291" i="12" s="1"/>
  <c r="BZ291" i="12" s="1"/>
  <c r="BD289" i="12"/>
  <c r="BF289" i="12" s="1"/>
  <c r="BG289" i="12" s="1"/>
  <c r="BD285" i="12"/>
  <c r="BF285" i="12" s="1"/>
  <c r="BG285" i="12" s="1"/>
  <c r="BD281" i="12"/>
  <c r="BF281" i="12" s="1"/>
  <c r="BG281" i="12" s="1"/>
  <c r="AK297" i="12"/>
  <c r="AM297" i="12" s="1"/>
  <c r="AN297" i="12" s="1"/>
  <c r="DI289" i="12"/>
  <c r="DK289" i="12" s="1"/>
  <c r="DL289" i="12" s="1"/>
  <c r="DI285" i="12"/>
  <c r="DK285" i="12" s="1"/>
  <c r="DL285" i="12" s="1"/>
  <c r="DI281" i="12"/>
  <c r="DK281" i="12" s="1"/>
  <c r="DL281" i="12" s="1"/>
  <c r="DI277" i="12"/>
  <c r="DK277" i="12" s="1"/>
  <c r="DL277" i="12" s="1"/>
  <c r="BW284" i="12"/>
  <c r="BY284" i="12" s="1"/>
  <c r="BZ284" i="12" s="1"/>
  <c r="DI274" i="12"/>
  <c r="DK274" i="12" s="1"/>
  <c r="DL274" i="12" s="1"/>
  <c r="DI270" i="12"/>
  <c r="DK270" i="12" s="1"/>
  <c r="DL270" i="12" s="1"/>
  <c r="CP293" i="12"/>
  <c r="CR293" i="12" s="1"/>
  <c r="CS293" i="12" s="1"/>
  <c r="BD277" i="12"/>
  <c r="BF277" i="12" s="1"/>
  <c r="BG277" i="12" s="1"/>
  <c r="BW273" i="12"/>
  <c r="BY273" i="12" s="1"/>
  <c r="BZ273" i="12" s="1"/>
  <c r="BW269" i="12"/>
  <c r="BY269" i="12" s="1"/>
  <c r="BZ269" i="12" s="1"/>
  <c r="BW265" i="12"/>
  <c r="BY265" i="12" s="1"/>
  <c r="BZ265" i="12" s="1"/>
  <c r="BW276" i="12"/>
  <c r="BY276" i="12" s="1"/>
  <c r="BZ276" i="12" s="1"/>
  <c r="AK282" i="12"/>
  <c r="AM282" i="12" s="1"/>
  <c r="AN282" i="12" s="1"/>
  <c r="BW274" i="12"/>
  <c r="BY274" i="12" s="1"/>
  <c r="BZ274" i="12" s="1"/>
  <c r="BW270" i="12"/>
  <c r="BY270" i="12" s="1"/>
  <c r="BZ270" i="12" s="1"/>
  <c r="BW266" i="12"/>
  <c r="BY266" i="12" s="1"/>
  <c r="BZ266" i="12" s="1"/>
  <c r="CP281" i="12"/>
  <c r="CR281" i="12" s="1"/>
  <c r="CS281" i="12" s="1"/>
  <c r="EB263" i="12"/>
  <c r="ED263" i="12" s="1"/>
  <c r="EE263" i="12" s="1"/>
  <c r="CP259" i="12"/>
  <c r="CR259" i="12" s="1"/>
  <c r="CS259" i="12" s="1"/>
  <c r="CP255" i="12"/>
  <c r="CR255" i="12" s="1"/>
  <c r="CS255" i="12" s="1"/>
  <c r="CP251" i="12"/>
  <c r="CR251" i="12" s="1"/>
  <c r="CS251" i="12" s="1"/>
  <c r="DI273" i="12"/>
  <c r="DK273" i="12" s="1"/>
  <c r="DL273" i="12" s="1"/>
  <c r="DI261" i="12"/>
  <c r="DK261" i="12" s="1"/>
  <c r="DL261" i="12" s="1"/>
  <c r="DI257" i="12"/>
  <c r="DK257" i="12" s="1"/>
  <c r="DL257" i="12" s="1"/>
  <c r="DI253" i="12"/>
  <c r="DK253" i="12" s="1"/>
  <c r="DL253" i="12" s="1"/>
  <c r="BD274" i="12"/>
  <c r="BF274" i="12" s="1"/>
  <c r="BG274" i="12" s="1"/>
  <c r="AK265" i="12"/>
  <c r="AM265" i="12" s="1"/>
  <c r="AN265" i="12" s="1"/>
  <c r="BW260" i="12"/>
  <c r="BY260" i="12" s="1"/>
  <c r="BZ260" i="12" s="1"/>
  <c r="BW256" i="12"/>
  <c r="BY256" i="12" s="1"/>
  <c r="BZ256" i="12" s="1"/>
  <c r="BW252" i="12"/>
  <c r="BY252" i="12" s="1"/>
  <c r="BZ252" i="12" s="1"/>
  <c r="BW248" i="12"/>
  <c r="BY248" i="12" s="1"/>
  <c r="BZ248" i="12" s="1"/>
  <c r="EB274" i="12"/>
  <c r="ED274" i="12" s="1"/>
  <c r="EE274" i="12" s="1"/>
  <c r="EU261" i="12"/>
  <c r="EW261" i="12" s="1"/>
  <c r="EX261" i="12" s="1"/>
  <c r="EU257" i="12"/>
  <c r="EW257" i="12" s="1"/>
  <c r="EX257" i="12" s="1"/>
  <c r="EU253" i="12"/>
  <c r="EW253" i="12" s="1"/>
  <c r="EX253" i="12" s="1"/>
  <c r="EU249" i="12"/>
  <c r="EW249" i="12" s="1"/>
  <c r="EX249" i="12" s="1"/>
  <c r="R246" i="12"/>
  <c r="T246" i="12" s="1"/>
  <c r="U246" i="12" s="1"/>
  <c r="R242" i="12"/>
  <c r="T242" i="12" s="1"/>
  <c r="U242" i="12" s="1"/>
  <c r="BW271" i="12"/>
  <c r="BY271" i="12" s="1"/>
  <c r="BZ271" i="12" s="1"/>
  <c r="BW246" i="12"/>
  <c r="BY246" i="12" s="1"/>
  <c r="BZ246" i="12" s="1"/>
  <c r="BW242" i="12"/>
  <c r="BY242" i="12" s="1"/>
  <c r="BZ242" i="12" s="1"/>
  <c r="BW238" i="12"/>
  <c r="BY238" i="12" s="1"/>
  <c r="BZ238" i="12" s="1"/>
  <c r="BW234" i="12"/>
  <c r="BY234" i="12" s="1"/>
  <c r="BZ234" i="12" s="1"/>
  <c r="DI245" i="12"/>
  <c r="DK245" i="12" s="1"/>
  <c r="DL245" i="12" s="1"/>
  <c r="DI241" i="12"/>
  <c r="DK241" i="12" s="1"/>
  <c r="DL241" i="12" s="1"/>
  <c r="DI237" i="12"/>
  <c r="DK237" i="12" s="1"/>
  <c r="DL237" i="12" s="1"/>
  <c r="BD236" i="12"/>
  <c r="BF236" i="12" s="1"/>
  <c r="BG236" i="12" s="1"/>
  <c r="BD231" i="12"/>
  <c r="BF231" i="12" s="1"/>
  <c r="BG231" i="12" s="1"/>
  <c r="BD227" i="12"/>
  <c r="BF227" i="12" s="1"/>
  <c r="BG227" i="12" s="1"/>
  <c r="BD223" i="12"/>
  <c r="BF223" i="12" s="1"/>
  <c r="BG223" i="12" s="1"/>
  <c r="DI238" i="12"/>
  <c r="DK238" i="12" s="1"/>
  <c r="DL238" i="12" s="1"/>
  <c r="BD232" i="12"/>
  <c r="BF232" i="12" s="1"/>
  <c r="BG232" i="12" s="1"/>
  <c r="BD228" i="12"/>
  <c r="BF228" i="12" s="1"/>
  <c r="BG228" i="12" s="1"/>
  <c r="BD224" i="12"/>
  <c r="BF224" i="12" s="1"/>
  <c r="BG224" i="12" s="1"/>
  <c r="BD239" i="12"/>
  <c r="BF239" i="12" s="1"/>
  <c r="BG239" i="12" s="1"/>
  <c r="BD233" i="12"/>
  <c r="BF233" i="12" s="1"/>
  <c r="BG233" i="12" s="1"/>
  <c r="BD229" i="12"/>
  <c r="BF229" i="12" s="1"/>
  <c r="BG229" i="12" s="1"/>
  <c r="EU236" i="12"/>
  <c r="EW236" i="12" s="1"/>
  <c r="EX236" i="12" s="1"/>
  <c r="DI233" i="12"/>
  <c r="DK233" i="12" s="1"/>
  <c r="DL233" i="12" s="1"/>
  <c r="DI229" i="12"/>
  <c r="DK229" i="12" s="1"/>
  <c r="DL229" i="12" s="1"/>
  <c r="DI225" i="12"/>
  <c r="DK225" i="12" s="1"/>
  <c r="DL225" i="12" s="1"/>
  <c r="DI221" i="12"/>
  <c r="DK221" i="12" s="1"/>
  <c r="DL221" i="12" s="1"/>
  <c r="R223" i="12"/>
  <c r="T223" i="12" s="1"/>
  <c r="U223" i="12" s="1"/>
  <c r="R217" i="12"/>
  <c r="T217" i="12" s="1"/>
  <c r="U217" i="12" s="1"/>
  <c r="R213" i="12"/>
  <c r="T213" i="12" s="1"/>
  <c r="U213" i="12" s="1"/>
  <c r="R209" i="12"/>
  <c r="T209" i="12" s="1"/>
  <c r="U209" i="12" s="1"/>
  <c r="BD225" i="12"/>
  <c r="BF225" i="12" s="1"/>
  <c r="BG225" i="12" s="1"/>
  <c r="BW217" i="12"/>
  <c r="BY217" i="12" s="1"/>
  <c r="BZ217" i="12" s="1"/>
  <c r="BW213" i="12"/>
  <c r="BY213" i="12" s="1"/>
  <c r="BZ213" i="12" s="1"/>
  <c r="BW209" i="12"/>
  <c r="BY209" i="12" s="1"/>
  <c r="BZ209" i="12" s="1"/>
  <c r="EB235" i="12"/>
  <c r="ED235" i="12" s="1"/>
  <c r="EE235" i="12" s="1"/>
  <c r="EU218" i="12"/>
  <c r="EW218" i="12" s="1"/>
  <c r="EX218" i="12" s="1"/>
  <c r="EU214" i="12"/>
  <c r="EW214" i="12" s="1"/>
  <c r="EX214" i="12" s="1"/>
  <c r="EU210" i="12"/>
  <c r="EW210" i="12" s="1"/>
  <c r="EX210" i="12" s="1"/>
  <c r="EU206" i="12"/>
  <c r="EW206" i="12" s="1"/>
  <c r="EX206" i="12" s="1"/>
  <c r="DI207" i="12"/>
  <c r="DK207" i="12" s="1"/>
  <c r="DL207" i="12" s="1"/>
  <c r="CP205" i="12"/>
  <c r="CR205" i="12" s="1"/>
  <c r="CS205" i="12" s="1"/>
  <c r="CP201" i="12"/>
  <c r="CR201" i="12" s="1"/>
  <c r="CS201" i="12" s="1"/>
  <c r="CP197" i="12"/>
  <c r="CR197" i="12" s="1"/>
  <c r="CS197" i="12" s="1"/>
  <c r="CP220" i="12"/>
  <c r="CR220" i="12" s="1"/>
  <c r="CS220" i="12" s="1"/>
  <c r="BD204" i="12"/>
  <c r="BF204" i="12" s="1"/>
  <c r="BG204" i="12" s="1"/>
  <c r="BD200" i="12"/>
  <c r="BF200" i="12" s="1"/>
  <c r="BG200" i="12" s="1"/>
  <c r="EU215" i="12"/>
  <c r="EW215" i="12" s="1"/>
  <c r="EX215" i="12" s="1"/>
  <c r="DI201" i="12"/>
  <c r="DK201" i="12" s="1"/>
  <c r="DL201" i="12" s="1"/>
  <c r="BD197" i="12"/>
  <c r="BF197" i="12" s="1"/>
  <c r="BG197" i="12" s="1"/>
  <c r="BW203" i="12"/>
  <c r="BY203" i="12" s="1"/>
  <c r="BZ203" i="12" s="1"/>
  <c r="DI204" i="12"/>
  <c r="DK204" i="12" s="1"/>
  <c r="DL204" i="12" s="1"/>
  <c r="EB192" i="12"/>
  <c r="ED192" i="12" s="1"/>
  <c r="EE192" i="12" s="1"/>
  <c r="EB188" i="12"/>
  <c r="ED188" i="12" s="1"/>
  <c r="EE188" i="12" s="1"/>
  <c r="EB184" i="12"/>
  <c r="ED184" i="12" s="1"/>
  <c r="EE184" i="12" s="1"/>
  <c r="EB180" i="12"/>
  <c r="ED180" i="12" s="1"/>
  <c r="EE180" i="12" s="1"/>
  <c r="EB176" i="12"/>
  <c r="ED176" i="12" s="1"/>
  <c r="EE176" i="12" s="1"/>
  <c r="EB172" i="12"/>
  <c r="ED172" i="12" s="1"/>
  <c r="EE172" i="12" s="1"/>
  <c r="EB168" i="12"/>
  <c r="ED168" i="12" s="1"/>
  <c r="EE168" i="12" s="1"/>
  <c r="EB164" i="12"/>
  <c r="ED164" i="12" s="1"/>
  <c r="EE164" i="12" s="1"/>
  <c r="CP194" i="12"/>
  <c r="CR194" i="12" s="1"/>
  <c r="CS194" i="12" s="1"/>
  <c r="BW194" i="12"/>
  <c r="BY194" i="12" s="1"/>
  <c r="BZ194" i="12" s="1"/>
  <c r="BW190" i="12"/>
  <c r="BY190" i="12" s="1"/>
  <c r="BZ190" i="12" s="1"/>
  <c r="BW186" i="12"/>
  <c r="BY186" i="12" s="1"/>
  <c r="BZ186" i="12" s="1"/>
  <c r="BW182" i="12"/>
  <c r="BY182" i="12" s="1"/>
  <c r="BZ182" i="12" s="1"/>
  <c r="BW178" i="12"/>
  <c r="BY178" i="12" s="1"/>
  <c r="BZ178" i="12" s="1"/>
  <c r="BW174" i="12"/>
  <c r="BY174" i="12" s="1"/>
  <c r="BZ174" i="12" s="1"/>
  <c r="BW170" i="12"/>
  <c r="BY170" i="12" s="1"/>
  <c r="BZ170" i="12" s="1"/>
  <c r="BW166" i="12"/>
  <c r="BY166" i="12" s="1"/>
  <c r="BZ166" i="12" s="1"/>
  <c r="EB196" i="12"/>
  <c r="ED196" i="12" s="1"/>
  <c r="EE196" i="12" s="1"/>
  <c r="BD182" i="12"/>
  <c r="BF182" i="12" s="1"/>
  <c r="BG182" i="12" s="1"/>
  <c r="R169" i="12"/>
  <c r="T169" i="12" s="1"/>
  <c r="U169" i="12" s="1"/>
  <c r="AK177" i="12"/>
  <c r="AM177" i="12" s="1"/>
  <c r="AN177" i="12" s="1"/>
  <c r="CP162" i="12"/>
  <c r="CR162" i="12" s="1"/>
  <c r="CS162" i="12" s="1"/>
  <c r="CP158" i="12"/>
  <c r="CR158" i="12" s="1"/>
  <c r="CS158" i="12" s="1"/>
  <c r="CP154" i="12"/>
  <c r="CR154" i="12" s="1"/>
  <c r="CS154" i="12" s="1"/>
  <c r="R195" i="12"/>
  <c r="T195" i="12" s="1"/>
  <c r="U195" i="12" s="1"/>
  <c r="BW171" i="12"/>
  <c r="BY171" i="12" s="1"/>
  <c r="BZ171" i="12" s="1"/>
  <c r="R164" i="12"/>
  <c r="T164" i="12" s="1"/>
  <c r="U164" i="12" s="1"/>
  <c r="EU187" i="12"/>
  <c r="EW187" i="12" s="1"/>
  <c r="EX187" i="12" s="1"/>
  <c r="BW168" i="12"/>
  <c r="BY168" i="12" s="1"/>
  <c r="BZ168" i="12" s="1"/>
  <c r="BD161" i="12"/>
  <c r="BF161" i="12" s="1"/>
  <c r="BG161" i="12" s="1"/>
  <c r="BD157" i="12"/>
  <c r="BF157" i="12" s="1"/>
  <c r="BG157" i="12" s="1"/>
  <c r="BD153" i="12"/>
  <c r="BF153" i="12" s="1"/>
  <c r="BG153" i="12" s="1"/>
  <c r="DI193" i="12"/>
  <c r="DK193" i="12" s="1"/>
  <c r="DL193" i="12" s="1"/>
  <c r="R180" i="12"/>
  <c r="T180" i="12" s="1"/>
  <c r="U180" i="12" s="1"/>
  <c r="BW207" i="12"/>
  <c r="BY207" i="12" s="1"/>
  <c r="BZ207" i="12" s="1"/>
  <c r="BW183" i="12"/>
  <c r="BY183" i="12" s="1"/>
  <c r="BZ183" i="12" s="1"/>
  <c r="AK165" i="12"/>
  <c r="AM165" i="12" s="1"/>
  <c r="AN165" i="12" s="1"/>
  <c r="R160" i="12"/>
  <c r="T160" i="12" s="1"/>
  <c r="U160" i="12" s="1"/>
  <c r="R156" i="12"/>
  <c r="T156" i="12" s="1"/>
  <c r="U156" i="12" s="1"/>
  <c r="R152" i="12"/>
  <c r="T152" i="12" s="1"/>
  <c r="U152" i="12" s="1"/>
  <c r="R148" i="12"/>
  <c r="T148" i="12" s="1"/>
  <c r="U148" i="12" s="1"/>
  <c r="EU191" i="12"/>
  <c r="EW191" i="12" s="1"/>
  <c r="EX191" i="12" s="1"/>
  <c r="BD159" i="12"/>
  <c r="BF159" i="12" s="1"/>
  <c r="BG159" i="12" s="1"/>
  <c r="EB142" i="12"/>
  <c r="ED142" i="12" s="1"/>
  <c r="EE142" i="12" s="1"/>
  <c r="EB138" i="12"/>
  <c r="ED138" i="12" s="1"/>
  <c r="EE138" i="12" s="1"/>
  <c r="EB134" i="12"/>
  <c r="ED134" i="12" s="1"/>
  <c r="EE134" i="12" s="1"/>
  <c r="EB130" i="12"/>
  <c r="ED130" i="12" s="1"/>
  <c r="EE130" i="12" s="1"/>
  <c r="EB126" i="12"/>
  <c r="ED126" i="12" s="1"/>
  <c r="EE126" i="12" s="1"/>
  <c r="EB122" i="12"/>
  <c r="ED122" i="12" s="1"/>
  <c r="EE122" i="12" s="1"/>
  <c r="R161" i="12"/>
  <c r="T161" i="12" s="1"/>
  <c r="U161" i="12" s="1"/>
  <c r="BD145" i="12"/>
  <c r="BF145" i="12" s="1"/>
  <c r="BG145" i="12" s="1"/>
  <c r="BD155" i="12"/>
  <c r="BF155" i="12" s="1"/>
  <c r="BG155" i="12" s="1"/>
  <c r="BD143" i="12"/>
  <c r="BF143" i="12" s="1"/>
  <c r="BG143" i="12" s="1"/>
  <c r="BD139" i="12"/>
  <c r="BF139" i="12" s="1"/>
  <c r="BG139" i="12" s="1"/>
  <c r="BD135" i="12"/>
  <c r="BF135" i="12" s="1"/>
  <c r="BG135" i="12" s="1"/>
  <c r="BD131" i="12"/>
  <c r="BF131" i="12" s="1"/>
  <c r="BG131" i="12" s="1"/>
  <c r="BD127" i="12"/>
  <c r="BF127" i="12" s="1"/>
  <c r="BG127" i="12" s="1"/>
  <c r="BD123" i="12"/>
  <c r="BF123" i="12" s="1"/>
  <c r="BG123" i="12" s="1"/>
  <c r="EB159" i="12"/>
  <c r="ED159" i="12" s="1"/>
  <c r="EE159" i="12" s="1"/>
  <c r="DI186" i="12"/>
  <c r="DK186" i="12" s="1"/>
  <c r="DL186" i="12" s="1"/>
  <c r="EU152" i="12"/>
  <c r="EW152" i="12" s="1"/>
  <c r="EX152" i="12" s="1"/>
  <c r="BD144" i="12"/>
  <c r="BF144" i="12" s="1"/>
  <c r="BG144" i="12" s="1"/>
  <c r="BD140" i="12"/>
  <c r="BF140" i="12" s="1"/>
  <c r="BG140" i="12" s="1"/>
  <c r="BD136" i="12"/>
  <c r="BF136" i="12" s="1"/>
  <c r="BG136" i="12" s="1"/>
  <c r="BD132" i="12"/>
  <c r="BF132" i="12" s="1"/>
  <c r="BG132" i="12" s="1"/>
  <c r="BD128" i="12"/>
  <c r="BF128" i="12" s="1"/>
  <c r="BG128" i="12" s="1"/>
  <c r="BD124" i="12"/>
  <c r="BF124" i="12" s="1"/>
  <c r="BG124" i="12" s="1"/>
  <c r="DI148" i="12"/>
  <c r="DK148" i="12" s="1"/>
  <c r="DL148" i="12" s="1"/>
  <c r="CP153" i="12"/>
  <c r="CR153" i="12" s="1"/>
  <c r="CS153" i="12" s="1"/>
  <c r="CP143" i="12"/>
  <c r="CR143" i="12" s="1"/>
  <c r="CS143" i="12" s="1"/>
  <c r="CP139" i="12"/>
  <c r="CR139" i="12" s="1"/>
  <c r="CS139" i="12" s="1"/>
  <c r="CP135" i="12"/>
  <c r="CR135" i="12" s="1"/>
  <c r="CS135" i="12" s="1"/>
  <c r="CP131" i="12"/>
  <c r="CR131" i="12" s="1"/>
  <c r="CS131" i="12" s="1"/>
  <c r="CP127" i="12"/>
  <c r="CR127" i="12" s="1"/>
  <c r="CS127" i="12" s="1"/>
  <c r="CP123" i="12"/>
  <c r="CR123" i="12" s="1"/>
  <c r="CS123" i="12" s="1"/>
  <c r="DI121" i="12"/>
  <c r="DK121" i="12" s="1"/>
  <c r="DL121" i="12" s="1"/>
  <c r="R119" i="12"/>
  <c r="T119" i="12" s="1"/>
  <c r="U119" i="12" s="1"/>
  <c r="BW188" i="12"/>
  <c r="BY188" i="12" s="1"/>
  <c r="BZ188" i="12" s="1"/>
  <c r="AK117" i="12"/>
  <c r="AM117" i="12" s="1"/>
  <c r="AN117" i="12" s="1"/>
  <c r="EB151" i="12"/>
  <c r="ED151" i="12" s="1"/>
  <c r="EE151" i="12" s="1"/>
  <c r="R112" i="12"/>
  <c r="T112" i="12" s="1"/>
  <c r="U112" i="12" s="1"/>
  <c r="CP110" i="12"/>
  <c r="CR110" i="12" s="1"/>
  <c r="CS110" i="12" s="1"/>
  <c r="CP106" i="12"/>
  <c r="CR106" i="12" s="1"/>
  <c r="CS106" i="12" s="1"/>
  <c r="CP102" i="12"/>
  <c r="CR102" i="12" s="1"/>
  <c r="CS102" i="12" s="1"/>
  <c r="CP98" i="12"/>
  <c r="CR98" i="12" s="1"/>
  <c r="CS98" i="12" s="1"/>
  <c r="CP94" i="12"/>
  <c r="CR94" i="12" s="1"/>
  <c r="CS94" i="12" s="1"/>
  <c r="CP90" i="12"/>
  <c r="CR90" i="12" s="1"/>
  <c r="CS90" i="12" s="1"/>
  <c r="BD114" i="12"/>
  <c r="BF114" i="12" s="1"/>
  <c r="BG114" i="12" s="1"/>
  <c r="CP114" i="12"/>
  <c r="CR114" i="12" s="1"/>
  <c r="CS114" i="12" s="1"/>
  <c r="BW110" i="12"/>
  <c r="BY110" i="12" s="1"/>
  <c r="BZ110" i="12" s="1"/>
  <c r="BW106" i="12"/>
  <c r="BY106" i="12" s="1"/>
  <c r="BZ106" i="12" s="1"/>
  <c r="BW102" i="12"/>
  <c r="BY102" i="12" s="1"/>
  <c r="BZ102" i="12" s="1"/>
  <c r="BW98" i="12"/>
  <c r="BY98" i="12" s="1"/>
  <c r="BZ98" i="12" s="1"/>
  <c r="BW94" i="12"/>
  <c r="BY94" i="12" s="1"/>
  <c r="BZ94" i="12" s="1"/>
  <c r="BW90" i="12"/>
  <c r="BY90" i="12" s="1"/>
  <c r="BZ90" i="12" s="1"/>
  <c r="BW86" i="12"/>
  <c r="BY86" i="12" s="1"/>
  <c r="BZ86" i="12" s="1"/>
  <c r="R121" i="12"/>
  <c r="T121" i="12" s="1"/>
  <c r="U121" i="12" s="1"/>
  <c r="AK114" i="12"/>
  <c r="AM114" i="12" s="1"/>
  <c r="AN114" i="12" s="1"/>
  <c r="AK109" i="12"/>
  <c r="AM109" i="12" s="1"/>
  <c r="AN109" i="12" s="1"/>
  <c r="AK105" i="12"/>
  <c r="AM105" i="12" s="1"/>
  <c r="AN105" i="12" s="1"/>
  <c r="AK101" i="12"/>
  <c r="AM101" i="12" s="1"/>
  <c r="AN101" i="12" s="1"/>
  <c r="AK97" i="12"/>
  <c r="AM97" i="12" s="1"/>
  <c r="AN97" i="12" s="1"/>
  <c r="AK93" i="12"/>
  <c r="AM93" i="12" s="1"/>
  <c r="AN93" i="12" s="1"/>
  <c r="AK89" i="12"/>
  <c r="AM89" i="12" s="1"/>
  <c r="AN89" i="12" s="1"/>
  <c r="AK85" i="12"/>
  <c r="AM85" i="12" s="1"/>
  <c r="AN85" i="12" s="1"/>
  <c r="DI115" i="12"/>
  <c r="DK115" i="12" s="1"/>
  <c r="DL115" i="12" s="1"/>
  <c r="BD103" i="12"/>
  <c r="BF103" i="12" s="1"/>
  <c r="BG103" i="12" s="1"/>
  <c r="EU116" i="12"/>
  <c r="EW116" i="12" s="1"/>
  <c r="EX116" i="12" s="1"/>
  <c r="DI80" i="12"/>
  <c r="DK80" i="12" s="1"/>
  <c r="DL80" i="12" s="1"/>
  <c r="DI76" i="12"/>
  <c r="DK76" i="12" s="1"/>
  <c r="DL76" i="12" s="1"/>
  <c r="DI72" i="12"/>
  <c r="DK72" i="12" s="1"/>
  <c r="DL72" i="12" s="1"/>
  <c r="DI68" i="12"/>
  <c r="DK68" i="12" s="1"/>
  <c r="DL68" i="12" s="1"/>
  <c r="DI64" i="12"/>
  <c r="DK64" i="12" s="1"/>
  <c r="DL64" i="12" s="1"/>
  <c r="DI60" i="12"/>
  <c r="DK60" i="12" s="1"/>
  <c r="DL60" i="12" s="1"/>
  <c r="DI56" i="12"/>
  <c r="DK56" i="12" s="1"/>
  <c r="DL56" i="12" s="1"/>
  <c r="EU96" i="12"/>
  <c r="EW96" i="12" s="1"/>
  <c r="EX96" i="12" s="1"/>
  <c r="R101" i="12"/>
  <c r="T101" i="12" s="1"/>
  <c r="U101" i="12" s="1"/>
  <c r="BD83" i="12"/>
  <c r="BF83" i="12" s="1"/>
  <c r="BG83" i="12" s="1"/>
  <c r="BD78" i="12"/>
  <c r="BF78" i="12" s="1"/>
  <c r="BG78" i="12" s="1"/>
  <c r="BD74" i="12"/>
  <c r="BF74" i="12" s="1"/>
  <c r="BG74" i="12" s="1"/>
  <c r="BD70" i="12"/>
  <c r="BF70" i="12" s="1"/>
  <c r="BG70" i="12" s="1"/>
  <c r="BD66" i="12"/>
  <c r="BF66" i="12" s="1"/>
  <c r="BG66" i="12" s="1"/>
  <c r="BD62" i="12"/>
  <c r="BF62" i="12" s="1"/>
  <c r="BG62" i="12" s="1"/>
  <c r="BD58" i="12"/>
  <c r="BF58" i="12" s="1"/>
  <c r="BG58" i="12" s="1"/>
  <c r="BD54" i="12"/>
  <c r="BF54" i="12" s="1"/>
  <c r="BG54" i="12" s="1"/>
  <c r="BW13" i="12"/>
  <c r="BY13" i="12" s="1"/>
  <c r="BD357" i="12"/>
  <c r="BF357" i="12" s="1"/>
  <c r="BG357" i="12" s="1"/>
  <c r="R352" i="12"/>
  <c r="T352" i="12" s="1"/>
  <c r="U352" i="12" s="1"/>
  <c r="BD345" i="12"/>
  <c r="BF345" i="12" s="1"/>
  <c r="BG345" i="12" s="1"/>
  <c r="BW339" i="12"/>
  <c r="BY339" i="12" s="1"/>
  <c r="BZ339" i="12" s="1"/>
  <c r="BW324" i="12"/>
  <c r="BY324" i="12" s="1"/>
  <c r="BZ324" i="12" s="1"/>
  <c r="BW326" i="12"/>
  <c r="BY326" i="12" s="1"/>
  <c r="BZ326" i="12" s="1"/>
  <c r="BW305" i="12"/>
  <c r="BY305" i="12" s="1"/>
  <c r="BZ305" i="12" s="1"/>
  <c r="DI310" i="12"/>
  <c r="DK310" i="12" s="1"/>
  <c r="DL310" i="12" s="1"/>
  <c r="BD293" i="12"/>
  <c r="BF293" i="12" s="1"/>
  <c r="BG293" i="12" s="1"/>
  <c r="DI280" i="12"/>
  <c r="DK280" i="12" s="1"/>
  <c r="DL280" i="12" s="1"/>
  <c r="AK270" i="12"/>
  <c r="AM270" i="12" s="1"/>
  <c r="AN270" i="12" s="1"/>
  <c r="EB273" i="12"/>
  <c r="ED273" i="12" s="1"/>
  <c r="EE273" i="12" s="1"/>
  <c r="DI269" i="12"/>
  <c r="DK269" i="12" s="1"/>
  <c r="DL269" i="12" s="1"/>
  <c r="EB251" i="12"/>
  <c r="ED251" i="12" s="1"/>
  <c r="EE251" i="12" s="1"/>
  <c r="EU241" i="12"/>
  <c r="EW241" i="12" s="1"/>
  <c r="EX241" i="12" s="1"/>
  <c r="AK237" i="12"/>
  <c r="AM237" i="12" s="1"/>
  <c r="AN237" i="12" s="1"/>
  <c r="DI223" i="12"/>
  <c r="DK223" i="12" s="1"/>
  <c r="DL223" i="12" s="1"/>
  <c r="AK221" i="12"/>
  <c r="AM221" i="12" s="1"/>
  <c r="AN221" i="12" s="1"/>
  <c r="EB208" i="12"/>
  <c r="ED208" i="12" s="1"/>
  <c r="EE208" i="12" s="1"/>
  <c r="R201" i="12"/>
  <c r="T201" i="12" s="1"/>
  <c r="U201" i="12" s="1"/>
  <c r="R203" i="12"/>
  <c r="T203" i="12" s="1"/>
  <c r="U203" i="12" s="1"/>
  <c r="BD168" i="12"/>
  <c r="BF168" i="12" s="1"/>
  <c r="BG168" i="12" s="1"/>
  <c r="EB173" i="12"/>
  <c r="ED173" i="12" s="1"/>
  <c r="EE173" i="12" s="1"/>
  <c r="R158" i="12"/>
  <c r="T158" i="12" s="1"/>
  <c r="U158" i="12" s="1"/>
  <c r="DI156" i="12"/>
  <c r="DK156" i="12" s="1"/>
  <c r="DL156" i="12" s="1"/>
  <c r="EU155" i="12"/>
  <c r="EW155" i="12" s="1"/>
  <c r="EX155" i="12" s="1"/>
  <c r="BD130" i="12"/>
  <c r="BF130" i="12" s="1"/>
  <c r="BG130" i="12" s="1"/>
  <c r="DI134" i="12"/>
  <c r="DK134" i="12" s="1"/>
  <c r="DL134" i="12" s="1"/>
  <c r="DI139" i="12"/>
  <c r="DK139" i="12" s="1"/>
  <c r="DL139" i="12" s="1"/>
  <c r="R139" i="12"/>
  <c r="T139" i="12" s="1"/>
  <c r="U139" i="12" s="1"/>
  <c r="CP116" i="12"/>
  <c r="CR116" i="12" s="1"/>
  <c r="CS116" i="12" s="1"/>
  <c r="R90" i="12"/>
  <c r="T90" i="12" s="1"/>
  <c r="U90" i="12" s="1"/>
  <c r="EB89" i="12"/>
  <c r="ED89" i="12" s="1"/>
  <c r="EE89" i="12" s="1"/>
  <c r="CP92" i="12"/>
  <c r="CR92" i="12" s="1"/>
  <c r="CS92" i="12" s="1"/>
  <c r="AK72" i="12"/>
  <c r="AM72" i="12" s="1"/>
  <c r="AN72" i="12" s="1"/>
  <c r="DI77" i="12"/>
  <c r="DK77" i="12" s="1"/>
  <c r="DL77" i="12" s="1"/>
  <c r="CP52" i="12"/>
  <c r="CR52" i="12" s="1"/>
  <c r="CS52" i="12" s="1"/>
  <c r="R85" i="12"/>
  <c r="T85" i="12" s="1"/>
  <c r="U85" i="12" s="1"/>
  <c r="AK94" i="12"/>
  <c r="AM94" i="12" s="1"/>
  <c r="AN94" i="12" s="1"/>
  <c r="CP81" i="12"/>
  <c r="CR81" i="12" s="1"/>
  <c r="CS81" i="12" s="1"/>
  <c r="CP77" i="12"/>
  <c r="CR77" i="12" s="1"/>
  <c r="CS77" i="12" s="1"/>
  <c r="CP73" i="12"/>
  <c r="CR73" i="12" s="1"/>
  <c r="CS73" i="12" s="1"/>
  <c r="CP69" i="12"/>
  <c r="CR69" i="12" s="1"/>
  <c r="CS69" i="12" s="1"/>
  <c r="CP65" i="12"/>
  <c r="CR65" i="12" s="1"/>
  <c r="CS65" i="12" s="1"/>
  <c r="CP61" i="12"/>
  <c r="CR61" i="12" s="1"/>
  <c r="CS61" i="12" s="1"/>
  <c r="CP57" i="12"/>
  <c r="CR57" i="12" s="1"/>
  <c r="CS57" i="12" s="1"/>
  <c r="CP53" i="12"/>
  <c r="CR53" i="12" s="1"/>
  <c r="CS53" i="12" s="1"/>
  <c r="EB112" i="12"/>
  <c r="ED112" i="12" s="1"/>
  <c r="EE112" i="12" s="1"/>
  <c r="BW96" i="12"/>
  <c r="BY96" i="12" s="1"/>
  <c r="BZ96" i="12" s="1"/>
  <c r="EU81" i="12"/>
  <c r="EW81" i="12" s="1"/>
  <c r="EX81" i="12" s="1"/>
  <c r="CP50" i="12"/>
  <c r="CR50" i="12" s="1"/>
  <c r="CS50" i="12" s="1"/>
  <c r="CP46" i="12"/>
  <c r="CR46" i="12" s="1"/>
  <c r="CS46" i="12" s="1"/>
  <c r="CP42" i="12"/>
  <c r="CR42" i="12" s="1"/>
  <c r="CS42" i="12" s="1"/>
  <c r="CP38" i="12"/>
  <c r="CR38" i="12" s="1"/>
  <c r="CS38" i="12" s="1"/>
  <c r="CP34" i="12"/>
  <c r="CR34" i="12" s="1"/>
  <c r="CS34" i="12" s="1"/>
  <c r="CP30" i="12"/>
  <c r="CR30" i="12" s="1"/>
  <c r="CS30" i="12" s="1"/>
  <c r="CP26" i="12"/>
  <c r="CR26" i="12" s="1"/>
  <c r="CS26" i="12" s="1"/>
  <c r="CP22" i="12"/>
  <c r="CR22" i="12" s="1"/>
  <c r="CS22" i="12" s="1"/>
  <c r="AK79" i="12"/>
  <c r="AM79" i="12" s="1"/>
  <c r="AN79" i="12" s="1"/>
  <c r="AK63" i="12"/>
  <c r="AM63" i="12" s="1"/>
  <c r="AN63" i="12" s="1"/>
  <c r="DI48" i="12"/>
  <c r="DK48" i="12" s="1"/>
  <c r="DL48" i="12" s="1"/>
  <c r="DI44" i="12"/>
  <c r="DK44" i="12" s="1"/>
  <c r="DL44" i="12" s="1"/>
  <c r="DI40" i="12"/>
  <c r="DK40" i="12" s="1"/>
  <c r="DL40" i="12" s="1"/>
  <c r="DI36" i="12"/>
  <c r="DK36" i="12" s="1"/>
  <c r="DL36" i="12" s="1"/>
  <c r="DI32" i="12"/>
  <c r="DK32" i="12" s="1"/>
  <c r="DL32" i="12" s="1"/>
  <c r="DI28" i="12"/>
  <c r="DK28" i="12" s="1"/>
  <c r="DL28" i="12" s="1"/>
  <c r="DI24" i="12"/>
  <c r="DK24" i="12" s="1"/>
  <c r="DL24" i="12" s="1"/>
  <c r="R66" i="12"/>
  <c r="T66" i="12" s="1"/>
  <c r="U66" i="12" s="1"/>
  <c r="BD72" i="12"/>
  <c r="BF72" i="12" s="1"/>
  <c r="BG72" i="12" s="1"/>
  <c r="DI49" i="12"/>
  <c r="DK49" i="12" s="1"/>
  <c r="DL49" i="12" s="1"/>
  <c r="DI45" i="12"/>
  <c r="DK45" i="12" s="1"/>
  <c r="DL45" i="12" s="1"/>
  <c r="DI41" i="12"/>
  <c r="DK41" i="12" s="1"/>
  <c r="DL41" i="12" s="1"/>
  <c r="DI37" i="12"/>
  <c r="DK37" i="12" s="1"/>
  <c r="DL37" i="12" s="1"/>
  <c r="DI33" i="12"/>
  <c r="DK33" i="12" s="1"/>
  <c r="DL33" i="12" s="1"/>
  <c r="DI29" i="12"/>
  <c r="DK29" i="12" s="1"/>
  <c r="DL29" i="12" s="1"/>
  <c r="DI25" i="12"/>
  <c r="DK25" i="12" s="1"/>
  <c r="DL25" i="12" s="1"/>
  <c r="CP109" i="12"/>
  <c r="CR109" i="12" s="1"/>
  <c r="CS109" i="12" s="1"/>
  <c r="BW61" i="12"/>
  <c r="BY61" i="12" s="1"/>
  <c r="BZ61" i="12" s="1"/>
  <c r="BW77" i="12"/>
  <c r="BY77" i="12" s="1"/>
  <c r="BZ77" i="12" s="1"/>
  <c r="DI50" i="12"/>
  <c r="DK50" i="12" s="1"/>
  <c r="DL50" i="12" s="1"/>
  <c r="DI46" i="12"/>
  <c r="DK46" i="12" s="1"/>
  <c r="DL46" i="12" s="1"/>
  <c r="DI42" i="12"/>
  <c r="DK42" i="12" s="1"/>
  <c r="DL42" i="12" s="1"/>
  <c r="DI38" i="12"/>
  <c r="DK38" i="12" s="1"/>
  <c r="DL38" i="12" s="1"/>
  <c r="DI34" i="12"/>
  <c r="DK34" i="12" s="1"/>
  <c r="DL34" i="12" s="1"/>
  <c r="DI30" i="12"/>
  <c r="DK30" i="12" s="1"/>
  <c r="DL30" i="12" s="1"/>
  <c r="DI26" i="12"/>
  <c r="DK26" i="12" s="1"/>
  <c r="DL26" i="12" s="1"/>
  <c r="DI22" i="12"/>
  <c r="DK22" i="12" s="1"/>
  <c r="DL22" i="12" s="1"/>
  <c r="EU14" i="12"/>
  <c r="EW14" i="12" s="1"/>
  <c r="EX14" i="12" s="1"/>
  <c r="EU18" i="12"/>
  <c r="EW18" i="12" s="1"/>
  <c r="EX18" i="12" s="1"/>
  <c r="CP54" i="12"/>
  <c r="CR54" i="12" s="1"/>
  <c r="CS54" i="12" s="1"/>
  <c r="AK17" i="12"/>
  <c r="AM17" i="12" s="1"/>
  <c r="AN17" i="12" s="1"/>
  <c r="DI361" i="12"/>
  <c r="DK361" i="12" s="1"/>
  <c r="DL361" i="12" s="1"/>
  <c r="EU349" i="12"/>
  <c r="EW349" i="12" s="1"/>
  <c r="EX349" i="12" s="1"/>
  <c r="BD340" i="12"/>
  <c r="BF340" i="12" s="1"/>
  <c r="BG340" i="12" s="1"/>
  <c r="EB333" i="12"/>
  <c r="ED333" i="12" s="1"/>
  <c r="EE333" i="12" s="1"/>
  <c r="R327" i="12"/>
  <c r="T327" i="12" s="1"/>
  <c r="U327" i="12" s="1"/>
  <c r="EU316" i="12"/>
  <c r="EW316" i="12" s="1"/>
  <c r="EX316" i="12" s="1"/>
  <c r="AK313" i="12"/>
  <c r="AM313" i="12" s="1"/>
  <c r="AN313" i="12" s="1"/>
  <c r="BW300" i="12"/>
  <c r="BY300" i="12" s="1"/>
  <c r="BZ300" i="12" s="1"/>
  <c r="AK293" i="12"/>
  <c r="AM293" i="12" s="1"/>
  <c r="AN293" i="12" s="1"/>
  <c r="DI294" i="12"/>
  <c r="DK294" i="12" s="1"/>
  <c r="DL294" i="12" s="1"/>
  <c r="BW292" i="12"/>
  <c r="BY292" i="12" s="1"/>
  <c r="BZ292" i="12" s="1"/>
  <c r="EB269" i="12"/>
  <c r="ED269" i="12" s="1"/>
  <c r="EE269" i="12" s="1"/>
  <c r="AK261" i="12"/>
  <c r="AM261" i="12" s="1"/>
  <c r="AN261" i="12" s="1"/>
  <c r="BW288" i="12"/>
  <c r="BY288" i="12" s="1"/>
  <c r="BZ288" i="12" s="1"/>
  <c r="EU264" i="12"/>
  <c r="EW264" i="12" s="1"/>
  <c r="EX264" i="12" s="1"/>
  <c r="EU235" i="12"/>
  <c r="EW235" i="12" s="1"/>
  <c r="EX235" i="12" s="1"/>
  <c r="BD247" i="12"/>
  <c r="BF247" i="12" s="1"/>
  <c r="BG247" i="12" s="1"/>
  <c r="EB221" i="12"/>
  <c r="ED221" i="12" s="1"/>
  <c r="EE221" i="12" s="1"/>
  <c r="AK228" i="12"/>
  <c r="AM228" i="12" s="1"/>
  <c r="AN228" i="12" s="1"/>
  <c r="R197" i="12"/>
  <c r="T197" i="12" s="1"/>
  <c r="U197" i="12" s="1"/>
  <c r="BD202" i="12"/>
  <c r="BF202" i="12" s="1"/>
  <c r="BG202" i="12" s="1"/>
  <c r="BD164" i="12"/>
  <c r="BF164" i="12" s="1"/>
  <c r="BG164" i="12" s="1"/>
  <c r="EB169" i="12"/>
  <c r="ED169" i="12" s="1"/>
  <c r="EE169" i="12" s="1"/>
  <c r="R154" i="12"/>
  <c r="T154" i="12" s="1"/>
  <c r="U154" i="12" s="1"/>
  <c r="DI152" i="12"/>
  <c r="DK152" i="12" s="1"/>
  <c r="DL152" i="12" s="1"/>
  <c r="EU151" i="12"/>
  <c r="EW151" i="12" s="1"/>
  <c r="EX151" i="12" s="1"/>
  <c r="BD126" i="12"/>
  <c r="BF126" i="12" s="1"/>
  <c r="BG126" i="12" s="1"/>
  <c r="DI130" i="12"/>
  <c r="DK130" i="12" s="1"/>
  <c r="DL130" i="12" s="1"/>
  <c r="DI135" i="12"/>
  <c r="DK135" i="12" s="1"/>
  <c r="DL135" i="12" s="1"/>
  <c r="R135" i="12"/>
  <c r="T135" i="12" s="1"/>
  <c r="U135" i="12" s="1"/>
  <c r="CP149" i="12"/>
  <c r="CR149" i="12" s="1"/>
  <c r="CS149" i="12" s="1"/>
  <c r="CP112" i="12"/>
  <c r="CR112" i="12" s="1"/>
  <c r="CS112" i="12" s="1"/>
  <c r="EB85" i="12"/>
  <c r="ED85" i="12" s="1"/>
  <c r="EE85" i="12" s="1"/>
  <c r="CP88" i="12"/>
  <c r="CR88" i="12" s="1"/>
  <c r="CS88" i="12" s="1"/>
  <c r="AK68" i="12"/>
  <c r="AM68" i="12" s="1"/>
  <c r="AN68" i="12" s="1"/>
  <c r="DI73" i="12"/>
  <c r="DK73" i="12" s="1"/>
  <c r="DL73" i="12" s="1"/>
  <c r="R52" i="12"/>
  <c r="T52" i="12" s="1"/>
  <c r="U52" i="12" s="1"/>
  <c r="BD84" i="12"/>
  <c r="BF84" i="12" s="1"/>
  <c r="BG84" i="12" s="1"/>
  <c r="BW88" i="12"/>
  <c r="BY88" i="12" s="1"/>
  <c r="BZ88" i="12" s="1"/>
  <c r="R81" i="12"/>
  <c r="T81" i="12" s="1"/>
  <c r="U81" i="12" s="1"/>
  <c r="R77" i="12"/>
  <c r="T77" i="12" s="1"/>
  <c r="U77" i="12" s="1"/>
  <c r="R73" i="12"/>
  <c r="T73" i="12" s="1"/>
  <c r="U73" i="12" s="1"/>
  <c r="R69" i="12"/>
  <c r="T69" i="12" s="1"/>
  <c r="U69" i="12" s="1"/>
  <c r="R65" i="12"/>
  <c r="T65" i="12" s="1"/>
  <c r="U65" i="12" s="1"/>
  <c r="R61" i="12"/>
  <c r="T61" i="12" s="1"/>
  <c r="U61" i="12" s="1"/>
  <c r="R57" i="12"/>
  <c r="T57" i="12" s="1"/>
  <c r="U57" i="12" s="1"/>
  <c r="R53" i="12"/>
  <c r="T53" i="12" s="1"/>
  <c r="U53" i="12" s="1"/>
  <c r="EB111" i="12"/>
  <c r="ED111" i="12" s="1"/>
  <c r="EE111" i="12" s="1"/>
  <c r="BD91" i="12"/>
  <c r="BF91" i="12" s="1"/>
  <c r="BG91" i="12" s="1"/>
  <c r="BD76" i="12"/>
  <c r="BF76" i="12" s="1"/>
  <c r="BG76" i="12" s="1"/>
  <c r="R50" i="12"/>
  <c r="T50" i="12" s="1"/>
  <c r="U50" i="12" s="1"/>
  <c r="R46" i="12"/>
  <c r="T46" i="12" s="1"/>
  <c r="U46" i="12" s="1"/>
  <c r="R42" i="12"/>
  <c r="T42" i="12" s="1"/>
  <c r="U42" i="12" s="1"/>
  <c r="R38" i="12"/>
  <c r="T38" i="12" s="1"/>
  <c r="U38" i="12" s="1"/>
  <c r="R34" i="12"/>
  <c r="T34" i="12" s="1"/>
  <c r="U34" i="12" s="1"/>
  <c r="R30" i="12"/>
  <c r="T30" i="12" s="1"/>
  <c r="U30" i="12" s="1"/>
  <c r="R26" i="12"/>
  <c r="T26" i="12" s="1"/>
  <c r="U26" i="12" s="1"/>
  <c r="BW92" i="12"/>
  <c r="BY92" i="12" s="1"/>
  <c r="BZ92" i="12" s="1"/>
  <c r="EU77" i="12"/>
  <c r="EW77" i="12" s="1"/>
  <c r="EX77" i="12" s="1"/>
  <c r="BD56" i="12"/>
  <c r="BF56" i="12" s="1"/>
  <c r="BG56" i="12" s="1"/>
  <c r="AK48" i="12"/>
  <c r="AM48" i="12" s="1"/>
  <c r="AN48" i="12" s="1"/>
  <c r="AK44" i="12"/>
  <c r="AM44" i="12" s="1"/>
  <c r="AN44" i="12" s="1"/>
  <c r="AK40" i="12"/>
  <c r="AM40" i="12" s="1"/>
  <c r="AN40" i="12" s="1"/>
  <c r="AK36" i="12"/>
  <c r="AM36" i="12" s="1"/>
  <c r="AN36" i="12" s="1"/>
  <c r="AK32" i="12"/>
  <c r="AM32" i="12" s="1"/>
  <c r="AN32" i="12" s="1"/>
  <c r="AK28" i="12"/>
  <c r="AM28" i="12" s="1"/>
  <c r="AN28" i="12" s="1"/>
  <c r="AK24" i="12"/>
  <c r="AM24" i="12" s="1"/>
  <c r="AN24" i="12" s="1"/>
  <c r="BD60" i="12"/>
  <c r="BF60" i="12" s="1"/>
  <c r="BG60" i="12" s="1"/>
  <c r="AK71" i="12"/>
  <c r="AM71" i="12" s="1"/>
  <c r="AN71" i="12" s="1"/>
  <c r="AK49" i="12"/>
  <c r="AM49" i="12" s="1"/>
  <c r="AN49" i="12" s="1"/>
  <c r="AK45" i="12"/>
  <c r="AM45" i="12" s="1"/>
  <c r="AN45" i="12" s="1"/>
  <c r="AK41" i="12"/>
  <c r="AM41" i="12" s="1"/>
  <c r="AN41" i="12" s="1"/>
  <c r="AK37" i="12"/>
  <c r="AM37" i="12" s="1"/>
  <c r="AN37" i="12" s="1"/>
  <c r="AK33" i="12"/>
  <c r="AM33" i="12" s="1"/>
  <c r="AN33" i="12" s="1"/>
  <c r="AK29" i="12"/>
  <c r="AM29" i="12" s="1"/>
  <c r="AN29" i="12" s="1"/>
  <c r="AK25" i="12"/>
  <c r="AM25" i="12" s="1"/>
  <c r="AN25" i="12" s="1"/>
  <c r="DI82" i="12"/>
  <c r="DK82" i="12" s="1"/>
  <c r="DL82" i="12" s="1"/>
  <c r="BW57" i="12"/>
  <c r="BY57" i="12" s="1"/>
  <c r="BZ57" i="12" s="1"/>
  <c r="EB72" i="12"/>
  <c r="ED72" i="12" s="1"/>
  <c r="EE72" i="12" s="1"/>
  <c r="AK50" i="12"/>
  <c r="AM50" i="12" s="1"/>
  <c r="AN50" i="12" s="1"/>
  <c r="AK46" i="12"/>
  <c r="AM46" i="12" s="1"/>
  <c r="AN46" i="12" s="1"/>
  <c r="AK42" i="12"/>
  <c r="AM42" i="12" s="1"/>
  <c r="AN42" i="12" s="1"/>
  <c r="AK38" i="12"/>
  <c r="AM38" i="12" s="1"/>
  <c r="AN38" i="12" s="1"/>
  <c r="AK34" i="12"/>
  <c r="AM34" i="12" s="1"/>
  <c r="AN34" i="12" s="1"/>
  <c r="AK30" i="12"/>
  <c r="AM30" i="12" s="1"/>
  <c r="AN30" i="12" s="1"/>
  <c r="AK26" i="12"/>
  <c r="AM26" i="12" s="1"/>
  <c r="AN26" i="12" s="1"/>
  <c r="R15" i="12"/>
  <c r="T15" i="12" s="1"/>
  <c r="U15" i="12" s="1"/>
  <c r="R19" i="12"/>
  <c r="T19" i="12" s="1"/>
  <c r="U19" i="12" s="1"/>
  <c r="BD68" i="12"/>
  <c r="BF68" i="12" s="1"/>
  <c r="BG68" i="12" s="1"/>
  <c r="AK21" i="12"/>
  <c r="AM21" i="12" s="1"/>
  <c r="AN21" i="12" s="1"/>
  <c r="AK361" i="12"/>
  <c r="AM361" i="12" s="1"/>
  <c r="AN361" i="12" s="1"/>
  <c r="BW350" i="12"/>
  <c r="BY350" i="12" s="1"/>
  <c r="BZ350" i="12" s="1"/>
  <c r="BW342" i="12"/>
  <c r="BY342" i="12" s="1"/>
  <c r="BZ342" i="12" s="1"/>
  <c r="DI341" i="12"/>
  <c r="DK341" i="12" s="1"/>
  <c r="DL341" i="12" s="1"/>
  <c r="AK321" i="12"/>
  <c r="AM321" i="12" s="1"/>
  <c r="AN321" i="12" s="1"/>
  <c r="BD316" i="12"/>
  <c r="BF316" i="12" s="1"/>
  <c r="BG316" i="12" s="1"/>
  <c r="R307" i="12"/>
  <c r="T307" i="12" s="1"/>
  <c r="U307" i="12" s="1"/>
  <c r="BW296" i="12"/>
  <c r="BY296" i="12" s="1"/>
  <c r="BZ296" i="12" s="1"/>
  <c r="EB288" i="12"/>
  <c r="ED288" i="12" s="1"/>
  <c r="EE288" i="12" s="1"/>
  <c r="AK289" i="12"/>
  <c r="AM289" i="12" s="1"/>
  <c r="AN289" i="12" s="1"/>
  <c r="EB276" i="12"/>
  <c r="ED276" i="12" s="1"/>
  <c r="EE276" i="12" s="1"/>
  <c r="EB265" i="12"/>
  <c r="ED265" i="12" s="1"/>
  <c r="EE265" i="12" s="1"/>
  <c r="AK257" i="12"/>
  <c r="AM257" i="12" s="1"/>
  <c r="AN257" i="12" s="1"/>
  <c r="CP272" i="12"/>
  <c r="CR272" i="12" s="1"/>
  <c r="CS272" i="12" s="1"/>
  <c r="EB245" i="12"/>
  <c r="ED245" i="12" s="1"/>
  <c r="EE245" i="12" s="1"/>
  <c r="DI230" i="12"/>
  <c r="DK230" i="12" s="1"/>
  <c r="DL230" i="12" s="1"/>
  <c r="DI232" i="12"/>
  <c r="DK232" i="12" s="1"/>
  <c r="DL232" i="12" s="1"/>
  <c r="EU216" i="12"/>
  <c r="EW216" i="12" s="1"/>
  <c r="EX216" i="12" s="1"/>
  <c r="BW218" i="12"/>
  <c r="BY218" i="12" s="1"/>
  <c r="BZ218" i="12" s="1"/>
  <c r="DI213" i="12"/>
  <c r="DK213" i="12" s="1"/>
  <c r="DL213" i="12" s="1"/>
  <c r="BD192" i="12"/>
  <c r="BF192" i="12" s="1"/>
  <c r="BG192" i="12" s="1"/>
  <c r="CP203" i="12"/>
  <c r="CR203" i="12" s="1"/>
  <c r="CS203" i="12" s="1"/>
  <c r="EB165" i="12"/>
  <c r="ED165" i="12" s="1"/>
  <c r="EE165" i="12" s="1"/>
  <c r="EB190" i="12"/>
  <c r="ED190" i="12" s="1"/>
  <c r="EE190" i="12" s="1"/>
  <c r="R192" i="12"/>
  <c r="T192" i="12" s="1"/>
  <c r="U192" i="12" s="1"/>
  <c r="EU147" i="12"/>
  <c r="EW147" i="12" s="1"/>
  <c r="EX147" i="12" s="1"/>
  <c r="BD122" i="12"/>
  <c r="BF122" i="12" s="1"/>
  <c r="BG122" i="12" s="1"/>
  <c r="DI126" i="12"/>
  <c r="DK126" i="12" s="1"/>
  <c r="DL126" i="12" s="1"/>
  <c r="DI131" i="12"/>
  <c r="DK131" i="12" s="1"/>
  <c r="DL131" i="12" s="1"/>
  <c r="R131" i="12"/>
  <c r="T131" i="12" s="1"/>
  <c r="U131" i="12" s="1"/>
  <c r="BD116" i="12"/>
  <c r="BF116" i="12" s="1"/>
  <c r="BG116" i="12" s="1"/>
  <c r="R114" i="12"/>
  <c r="T114" i="12" s="1"/>
  <c r="U114" i="12" s="1"/>
  <c r="CP118" i="12"/>
  <c r="CR118" i="12" s="1"/>
  <c r="CS118" i="12" s="1"/>
  <c r="CP84" i="12"/>
  <c r="CR84" i="12" s="1"/>
  <c r="CS84" i="12" s="1"/>
  <c r="AK64" i="12"/>
  <c r="AM64" i="12" s="1"/>
  <c r="AN64" i="12" s="1"/>
  <c r="DI69" i="12"/>
  <c r="DK69" i="12" s="1"/>
  <c r="DL69" i="12" s="1"/>
  <c r="EU51" i="12"/>
  <c r="EW51" i="12" s="1"/>
  <c r="EX51" i="12" s="1"/>
  <c r="BD82" i="12"/>
  <c r="BF82" i="12" s="1"/>
  <c r="BG82" i="12" s="1"/>
  <c r="DI87" i="12"/>
  <c r="DK87" i="12" s="1"/>
  <c r="DL87" i="12" s="1"/>
  <c r="EU80" i="12"/>
  <c r="EW80" i="12" s="1"/>
  <c r="EX80" i="12" s="1"/>
  <c r="EU76" i="12"/>
  <c r="EW76" i="12" s="1"/>
  <c r="EX76" i="12" s="1"/>
  <c r="EU72" i="12"/>
  <c r="EW72" i="12" s="1"/>
  <c r="EX72" i="12" s="1"/>
  <c r="EU68" i="12"/>
  <c r="EW68" i="12" s="1"/>
  <c r="EX68" i="12" s="1"/>
  <c r="EU64" i="12"/>
  <c r="EW64" i="12" s="1"/>
  <c r="EX64" i="12" s="1"/>
  <c r="EU60" i="12"/>
  <c r="EW60" i="12" s="1"/>
  <c r="EX60" i="12" s="1"/>
  <c r="EU56" i="12"/>
  <c r="EW56" i="12" s="1"/>
  <c r="EX56" i="12" s="1"/>
  <c r="EU52" i="12"/>
  <c r="EW52" i="12" s="1"/>
  <c r="EX52" i="12" s="1"/>
  <c r="DI110" i="12"/>
  <c r="DK110" i="12" s="1"/>
  <c r="DL110" i="12" s="1"/>
  <c r="DI90" i="12"/>
  <c r="DK90" i="12" s="1"/>
  <c r="DL90" i="12" s="1"/>
  <c r="EU73" i="12"/>
  <c r="EW73" i="12" s="1"/>
  <c r="EX73" i="12" s="1"/>
  <c r="EU49" i="12"/>
  <c r="EW49" i="12" s="1"/>
  <c r="EX49" i="12" s="1"/>
  <c r="EU45" i="12"/>
  <c r="EW45" i="12" s="1"/>
  <c r="EX45" i="12" s="1"/>
  <c r="EU41" i="12"/>
  <c r="EW41" i="12" s="1"/>
  <c r="EX41" i="12" s="1"/>
  <c r="EU37" i="12"/>
  <c r="EW37" i="12" s="1"/>
  <c r="EX37" i="12" s="1"/>
  <c r="EU33" i="12"/>
  <c r="EW33" i="12" s="1"/>
  <c r="EX33" i="12" s="1"/>
  <c r="EU29" i="12"/>
  <c r="EW29" i="12" s="1"/>
  <c r="EX29" i="12" s="1"/>
  <c r="EU25" i="12"/>
  <c r="EW25" i="12" s="1"/>
  <c r="EX25" i="12" s="1"/>
  <c r="EB68" i="12"/>
  <c r="ED68" i="12" s="1"/>
  <c r="EE68" i="12" s="1"/>
  <c r="EB76" i="12"/>
  <c r="ED76" i="12" s="1"/>
  <c r="EE76" i="12" s="1"/>
  <c r="AK55" i="12"/>
  <c r="AM55" i="12" s="1"/>
  <c r="AN55" i="12" s="1"/>
  <c r="CP47" i="12"/>
  <c r="CR47" i="12" s="1"/>
  <c r="CS47" i="12" s="1"/>
  <c r="CP43" i="12"/>
  <c r="CR43" i="12" s="1"/>
  <c r="CS43" i="12" s="1"/>
  <c r="CP39" i="12"/>
  <c r="CR39" i="12" s="1"/>
  <c r="CS39" i="12" s="1"/>
  <c r="CP35" i="12"/>
  <c r="CR35" i="12" s="1"/>
  <c r="CS35" i="12" s="1"/>
  <c r="CP31" i="12"/>
  <c r="CR31" i="12" s="1"/>
  <c r="CS31" i="12" s="1"/>
  <c r="CP27" i="12"/>
  <c r="CR27" i="12" s="1"/>
  <c r="CS27" i="12" s="1"/>
  <c r="CP23" i="12"/>
  <c r="CR23" i="12" s="1"/>
  <c r="CS23" i="12" s="1"/>
  <c r="AK59" i="12"/>
  <c r="AM59" i="12" s="1"/>
  <c r="AN59" i="12" s="1"/>
  <c r="EB64" i="12"/>
  <c r="ED64" i="12" s="1"/>
  <c r="EE64" i="12" s="1"/>
  <c r="CP48" i="12"/>
  <c r="CR48" i="12" s="1"/>
  <c r="CS48" i="12" s="1"/>
  <c r="CP44" i="12"/>
  <c r="CR44" i="12" s="1"/>
  <c r="CS44" i="12" s="1"/>
  <c r="CP40" i="12"/>
  <c r="CR40" i="12" s="1"/>
  <c r="CS40" i="12" s="1"/>
  <c r="CP36" i="12"/>
  <c r="CR36" i="12" s="1"/>
  <c r="CS36" i="12" s="1"/>
  <c r="CP32" i="12"/>
  <c r="CR32" i="12" s="1"/>
  <c r="CS32" i="12" s="1"/>
  <c r="CP28" i="12"/>
  <c r="CR28" i="12" s="1"/>
  <c r="CS28" i="12" s="1"/>
  <c r="CP24" i="12"/>
  <c r="CR24" i="12" s="1"/>
  <c r="CS24" i="12" s="1"/>
  <c r="R82" i="12"/>
  <c r="T82" i="12" s="1"/>
  <c r="U82" i="12" s="1"/>
  <c r="EB56" i="12"/>
  <c r="ED56" i="12" s="1"/>
  <c r="EE56" i="12" s="1"/>
  <c r="EU65" i="12"/>
  <c r="EW65" i="12" s="1"/>
  <c r="EX65" i="12" s="1"/>
  <c r="CP49" i="12"/>
  <c r="CR49" i="12" s="1"/>
  <c r="CS49" i="12" s="1"/>
  <c r="CP45" i="12"/>
  <c r="CR45" i="12" s="1"/>
  <c r="CS45" i="12" s="1"/>
  <c r="CP41" i="12"/>
  <c r="CR41" i="12" s="1"/>
  <c r="CS41" i="12" s="1"/>
  <c r="CP37" i="12"/>
  <c r="CR37" i="12" s="1"/>
  <c r="CS37" i="12" s="1"/>
  <c r="CP33" i="12"/>
  <c r="CR33" i="12" s="1"/>
  <c r="CS33" i="12" s="1"/>
  <c r="CP29" i="12"/>
  <c r="CR29" i="12" s="1"/>
  <c r="CS29" i="12" s="1"/>
  <c r="CP25" i="12"/>
  <c r="CR25" i="12" s="1"/>
  <c r="CS25" i="12" s="1"/>
  <c r="CP15" i="12"/>
  <c r="CR15" i="12" s="1"/>
  <c r="CS15" i="12" s="1"/>
  <c r="CP19" i="12"/>
  <c r="CR19" i="12" s="1"/>
  <c r="CS19" i="12" s="1"/>
  <c r="AK75" i="12"/>
  <c r="AM75" i="12" s="1"/>
  <c r="AN75" i="12" s="1"/>
  <c r="AK19" i="12"/>
  <c r="AM19" i="12" s="1"/>
  <c r="AN19" i="12" s="1"/>
  <c r="DI355" i="12"/>
  <c r="DK355" i="12" s="1"/>
  <c r="DL355" i="12" s="1"/>
  <c r="CP346" i="12"/>
  <c r="CR346" i="12" s="1"/>
  <c r="CS346" i="12" s="1"/>
  <c r="R339" i="12"/>
  <c r="T339" i="12" s="1"/>
  <c r="U339" i="12" s="1"/>
  <c r="BD331" i="12"/>
  <c r="BF331" i="12" s="1"/>
  <c r="BG331" i="12" s="1"/>
  <c r="AK333" i="12"/>
  <c r="AM333" i="12" s="1"/>
  <c r="AN333" i="12" s="1"/>
  <c r="BD312" i="12"/>
  <c r="BF312" i="12" s="1"/>
  <c r="BG312" i="12" s="1"/>
  <c r="BD314" i="12"/>
  <c r="BF314" i="12" s="1"/>
  <c r="BG314" i="12" s="1"/>
  <c r="BD300" i="12"/>
  <c r="BF300" i="12" s="1"/>
  <c r="BG300" i="12" s="1"/>
  <c r="EB284" i="12"/>
  <c r="ED284" i="12" s="1"/>
  <c r="EE284" i="12" s="1"/>
  <c r="AK285" i="12"/>
  <c r="AM285" i="12" s="1"/>
  <c r="AN285" i="12" s="1"/>
  <c r="EB272" i="12"/>
  <c r="ED272" i="12" s="1"/>
  <c r="EE272" i="12" s="1"/>
  <c r="R281" i="12"/>
  <c r="T281" i="12" s="1"/>
  <c r="U281" i="12" s="1"/>
  <c r="AK253" i="12"/>
  <c r="AM253" i="12" s="1"/>
  <c r="AN253" i="12" s="1"/>
  <c r="BW261" i="12"/>
  <c r="BY261" i="12" s="1"/>
  <c r="BZ261" i="12" s="1"/>
  <c r="EB241" i="12"/>
  <c r="ED241" i="12" s="1"/>
  <c r="EE241" i="12" s="1"/>
  <c r="DI226" i="12"/>
  <c r="DK226" i="12" s="1"/>
  <c r="DL226" i="12" s="1"/>
  <c r="R245" i="12"/>
  <c r="T245" i="12" s="1"/>
  <c r="U245" i="12" s="1"/>
  <c r="EU212" i="12"/>
  <c r="EW212" i="12" s="1"/>
  <c r="EX212" i="12" s="1"/>
  <c r="BW214" i="12"/>
  <c r="BY214" i="12" s="1"/>
  <c r="BZ214" i="12" s="1"/>
  <c r="DI203" i="12"/>
  <c r="DK203" i="12" s="1"/>
  <c r="DL203" i="12" s="1"/>
  <c r="BD188" i="12"/>
  <c r="BF188" i="12" s="1"/>
  <c r="BG188" i="12" s="1"/>
  <c r="EB193" i="12"/>
  <c r="ED193" i="12" s="1"/>
  <c r="EE193" i="12" s="1"/>
  <c r="EU192" i="12"/>
  <c r="EW192" i="12" s="1"/>
  <c r="EX192" i="12" s="1"/>
  <c r="AK170" i="12"/>
  <c r="AM170" i="12" s="1"/>
  <c r="AN170" i="12" s="1"/>
  <c r="EB179" i="12"/>
  <c r="ED179" i="12" s="1"/>
  <c r="EE179" i="12" s="1"/>
  <c r="EB186" i="12"/>
  <c r="ED186" i="12" s="1"/>
  <c r="EE186" i="12" s="1"/>
  <c r="DI154" i="12"/>
  <c r="DK154" i="12" s="1"/>
  <c r="DL154" i="12" s="1"/>
  <c r="DI122" i="12"/>
  <c r="DK122" i="12" s="1"/>
  <c r="DL122" i="12" s="1"/>
  <c r="DI127" i="12"/>
  <c r="DK127" i="12" s="1"/>
  <c r="DL127" i="12" s="1"/>
  <c r="R127" i="12"/>
  <c r="T127" i="12" s="1"/>
  <c r="U127" i="12" s="1"/>
  <c r="R110" i="12"/>
  <c r="T110" i="12" s="1"/>
  <c r="U110" i="12" s="1"/>
  <c r="EB109" i="12"/>
  <c r="ED109" i="12" s="1"/>
  <c r="EE109" i="12" s="1"/>
  <c r="DI112" i="12"/>
  <c r="DK112" i="12" s="1"/>
  <c r="DL112" i="12" s="1"/>
  <c r="R115" i="12"/>
  <c r="T115" i="12" s="1"/>
  <c r="U115" i="12" s="1"/>
  <c r="AK60" i="12"/>
  <c r="AM60" i="12" s="1"/>
  <c r="AN60" i="12" s="1"/>
  <c r="DI65" i="12"/>
  <c r="DK65" i="12" s="1"/>
  <c r="DL65" i="12" s="1"/>
  <c r="BW51" i="12"/>
  <c r="BY51" i="12" s="1"/>
  <c r="BZ51" i="12" s="1"/>
  <c r="DI118" i="12"/>
  <c r="DK118" i="12" s="1"/>
  <c r="DL118" i="12" s="1"/>
  <c r="CP86" i="12"/>
  <c r="CR86" i="12" s="1"/>
  <c r="CS86" i="12" s="1"/>
  <c r="BW80" i="12"/>
  <c r="BY80" i="12" s="1"/>
  <c r="BZ80" i="12" s="1"/>
  <c r="BW76" i="12"/>
  <c r="BY76" i="12" s="1"/>
  <c r="BZ76" i="12" s="1"/>
  <c r="BW72" i="12"/>
  <c r="BY72" i="12" s="1"/>
  <c r="BZ72" i="12" s="1"/>
  <c r="BW68" i="12"/>
  <c r="BY68" i="12" s="1"/>
  <c r="BZ68" i="12" s="1"/>
  <c r="BW64" i="12"/>
  <c r="BY64" i="12" s="1"/>
  <c r="BZ64" i="12" s="1"/>
  <c r="BW60" i="12"/>
  <c r="BY60" i="12" s="1"/>
  <c r="BZ60" i="12" s="1"/>
  <c r="BW56" i="12"/>
  <c r="BY56" i="12" s="1"/>
  <c r="BZ56" i="12" s="1"/>
  <c r="BW52" i="12"/>
  <c r="BY52" i="12" s="1"/>
  <c r="BZ52" i="12" s="1"/>
  <c r="R109" i="12"/>
  <c r="T109" i="12" s="1"/>
  <c r="U109" i="12" s="1"/>
  <c r="EB87" i="12"/>
  <c r="ED87" i="12" s="1"/>
  <c r="EE87" i="12" s="1"/>
  <c r="R70" i="12"/>
  <c r="T70" i="12" s="1"/>
  <c r="U70" i="12" s="1"/>
  <c r="BW49" i="12"/>
  <c r="BY49" i="12" s="1"/>
  <c r="BZ49" i="12" s="1"/>
  <c r="BW45" i="12"/>
  <c r="BY45" i="12" s="1"/>
  <c r="BZ45" i="12" s="1"/>
  <c r="BW41" i="12"/>
  <c r="BY41" i="12" s="1"/>
  <c r="BZ41" i="12" s="1"/>
  <c r="BW37" i="12"/>
  <c r="BY37" i="12" s="1"/>
  <c r="BZ37" i="12" s="1"/>
  <c r="BW33" i="12"/>
  <c r="BY33" i="12" s="1"/>
  <c r="BZ33" i="12" s="1"/>
  <c r="BW29" i="12"/>
  <c r="BY29" i="12" s="1"/>
  <c r="BZ29" i="12" s="1"/>
  <c r="BW25" i="12"/>
  <c r="BY25" i="12" s="1"/>
  <c r="BZ25" i="12" s="1"/>
  <c r="EU61" i="12"/>
  <c r="EW61" i="12" s="1"/>
  <c r="EX61" i="12" s="1"/>
  <c r="DI75" i="12"/>
  <c r="DK75" i="12" s="1"/>
  <c r="DL75" i="12" s="1"/>
  <c r="EB53" i="12"/>
  <c r="ED53" i="12" s="1"/>
  <c r="EE53" i="12" s="1"/>
  <c r="R47" i="12"/>
  <c r="T47" i="12" s="1"/>
  <c r="U47" i="12" s="1"/>
  <c r="R43" i="12"/>
  <c r="T43" i="12" s="1"/>
  <c r="U43" i="12" s="1"/>
  <c r="R39" i="12"/>
  <c r="T39" i="12" s="1"/>
  <c r="U39" i="12" s="1"/>
  <c r="R35" i="12"/>
  <c r="T35" i="12" s="1"/>
  <c r="U35" i="12" s="1"/>
  <c r="R31" i="12"/>
  <c r="T31" i="12" s="1"/>
  <c r="U31" i="12" s="1"/>
  <c r="R27" i="12"/>
  <c r="T27" i="12" s="1"/>
  <c r="U27" i="12" s="1"/>
  <c r="R23" i="12"/>
  <c r="T23" i="12" s="1"/>
  <c r="U23" i="12" s="1"/>
  <c r="EU53" i="12"/>
  <c r="EW53" i="12" s="1"/>
  <c r="EX53" i="12" s="1"/>
  <c r="DI52" i="12"/>
  <c r="DK52" i="12" s="1"/>
  <c r="DL52" i="12" s="1"/>
  <c r="R48" i="12"/>
  <c r="T48" i="12" s="1"/>
  <c r="U48" i="12" s="1"/>
  <c r="R44" i="12"/>
  <c r="T44" i="12" s="1"/>
  <c r="U44" i="12" s="1"/>
  <c r="R40" i="12"/>
  <c r="T40" i="12" s="1"/>
  <c r="U40" i="12" s="1"/>
  <c r="R36" i="12"/>
  <c r="T36" i="12" s="1"/>
  <c r="U36" i="12" s="1"/>
  <c r="R32" i="12"/>
  <c r="T32" i="12" s="1"/>
  <c r="U32" i="12" s="1"/>
  <c r="R28" i="12"/>
  <c r="T28" i="12" s="1"/>
  <c r="U28" i="12" s="1"/>
  <c r="R24" i="12"/>
  <c r="T24" i="12" s="1"/>
  <c r="U24" i="12" s="1"/>
  <c r="DI79" i="12"/>
  <c r="DK79" i="12" s="1"/>
  <c r="DL79" i="12" s="1"/>
  <c r="DI55" i="12"/>
  <c r="DK55" i="12" s="1"/>
  <c r="DL55" i="12" s="1"/>
  <c r="R62" i="12"/>
  <c r="T62" i="12" s="1"/>
  <c r="U62" i="12" s="1"/>
  <c r="R49" i="12"/>
  <c r="T49" i="12" s="1"/>
  <c r="U49" i="12" s="1"/>
  <c r="R45" i="12"/>
  <c r="T45" i="12" s="1"/>
  <c r="U45" i="12" s="1"/>
  <c r="R41" i="12"/>
  <c r="T41" i="12" s="1"/>
  <c r="U41" i="12" s="1"/>
  <c r="R37" i="12"/>
  <c r="T37" i="12" s="1"/>
  <c r="U37" i="12" s="1"/>
  <c r="R33" i="12"/>
  <c r="T33" i="12" s="1"/>
  <c r="U33" i="12" s="1"/>
  <c r="R29" i="12"/>
  <c r="T29" i="12" s="1"/>
  <c r="U29" i="12" s="1"/>
  <c r="R25" i="12"/>
  <c r="T25" i="12" s="1"/>
  <c r="U25" i="12" s="1"/>
  <c r="AK16" i="12"/>
  <c r="AM16" i="12" s="1"/>
  <c r="AN16" i="12" s="1"/>
  <c r="AK20" i="12"/>
  <c r="AM20" i="12" s="1"/>
  <c r="AN20" i="12" s="1"/>
  <c r="EB362" i="12"/>
  <c r="ED362" i="12" s="1"/>
  <c r="EE362" i="12" s="1"/>
  <c r="CP356" i="12"/>
  <c r="CR356" i="12" s="1"/>
  <c r="CS356" i="12" s="1"/>
  <c r="BW346" i="12"/>
  <c r="BY346" i="12" s="1"/>
  <c r="BZ346" i="12" s="1"/>
  <c r="CP342" i="12"/>
  <c r="CR342" i="12" s="1"/>
  <c r="CS342" i="12" s="1"/>
  <c r="DI338" i="12"/>
  <c r="DK338" i="12" s="1"/>
  <c r="DL338" i="12" s="1"/>
  <c r="AK324" i="12"/>
  <c r="AM324" i="12" s="1"/>
  <c r="AN324" i="12" s="1"/>
  <c r="CP323" i="12"/>
  <c r="CR323" i="12" s="1"/>
  <c r="CS323" i="12" s="1"/>
  <c r="CP308" i="12"/>
  <c r="CR308" i="12" s="1"/>
  <c r="CS308" i="12" s="1"/>
  <c r="BD296" i="12"/>
  <c r="BF296" i="12" s="1"/>
  <c r="BG296" i="12" s="1"/>
  <c r="EB280" i="12"/>
  <c r="ED280" i="12" s="1"/>
  <c r="EE280" i="12" s="1"/>
  <c r="AK281" i="12"/>
  <c r="AM281" i="12" s="1"/>
  <c r="AN281" i="12" s="1"/>
  <c r="EB268" i="12"/>
  <c r="ED268" i="12" s="1"/>
  <c r="EE268" i="12" s="1"/>
  <c r="R263" i="12"/>
  <c r="T263" i="12" s="1"/>
  <c r="U263" i="12" s="1"/>
  <c r="EU271" i="12"/>
  <c r="EW271" i="12" s="1"/>
  <c r="EX271" i="12" s="1"/>
  <c r="BW257" i="12"/>
  <c r="BY257" i="12" s="1"/>
  <c r="BZ257" i="12" s="1"/>
  <c r="EB237" i="12"/>
  <c r="ED237" i="12" s="1"/>
  <c r="EE237" i="12" s="1"/>
  <c r="DI222" i="12"/>
  <c r="DK222" i="12" s="1"/>
  <c r="DL222" i="12" s="1"/>
  <c r="BD235" i="12"/>
  <c r="BF235" i="12" s="1"/>
  <c r="BG235" i="12" s="1"/>
  <c r="EU208" i="12"/>
  <c r="EW208" i="12" s="1"/>
  <c r="EX208" i="12" s="1"/>
  <c r="BW210" i="12"/>
  <c r="BY210" i="12" s="1"/>
  <c r="BZ210" i="12" s="1"/>
  <c r="DI199" i="12"/>
  <c r="DK199" i="12" s="1"/>
  <c r="DL199" i="12" s="1"/>
  <c r="BD184" i="12"/>
  <c r="BF184" i="12" s="1"/>
  <c r="BG184" i="12" s="1"/>
  <c r="EB189" i="12"/>
  <c r="ED189" i="12" s="1"/>
  <c r="EE189" i="12" s="1"/>
  <c r="CP181" i="12"/>
  <c r="CR181" i="12" s="1"/>
  <c r="CS181" i="12" s="1"/>
  <c r="DI205" i="12"/>
  <c r="DK205" i="12" s="1"/>
  <c r="DL205" i="12" s="1"/>
  <c r="BW202" i="12"/>
  <c r="BY202" i="12" s="1"/>
  <c r="BZ202" i="12" s="1"/>
  <c r="BW149" i="12"/>
  <c r="BY149" i="12" s="1"/>
  <c r="BZ149" i="12" s="1"/>
  <c r="EU183" i="12"/>
  <c r="EW183" i="12" s="1"/>
  <c r="EX183" i="12" s="1"/>
  <c r="R157" i="12"/>
  <c r="T157" i="12" s="1"/>
  <c r="U157" i="12" s="1"/>
  <c r="DI123" i="12"/>
  <c r="DK123" i="12" s="1"/>
  <c r="DL123" i="12" s="1"/>
  <c r="R123" i="12"/>
  <c r="T123" i="12" s="1"/>
  <c r="U123" i="12" s="1"/>
  <c r="R106" i="12"/>
  <c r="T106" i="12" s="1"/>
  <c r="U106" i="12" s="1"/>
  <c r="EB105" i="12"/>
  <c r="ED105" i="12" s="1"/>
  <c r="EE105" i="12" s="1"/>
  <c r="CP108" i="12"/>
  <c r="CR108" i="12" s="1"/>
  <c r="CS108" i="12" s="1"/>
  <c r="AK102" i="12"/>
  <c r="AM102" i="12" s="1"/>
  <c r="AN102" i="12" s="1"/>
  <c r="AK56" i="12"/>
  <c r="AM56" i="12" s="1"/>
  <c r="AN56" i="12" s="1"/>
  <c r="DI61" i="12"/>
  <c r="DK61" i="12" s="1"/>
  <c r="DL61" i="12" s="1"/>
  <c r="EU104" i="12"/>
  <c r="EW104" i="12" s="1"/>
  <c r="EX104" i="12" s="1"/>
  <c r="BW112" i="12"/>
  <c r="BY112" i="12" s="1"/>
  <c r="BZ112" i="12" s="1"/>
  <c r="BW85" i="12"/>
  <c r="BY85" i="12" s="1"/>
  <c r="BZ85" i="12" s="1"/>
  <c r="EB79" i="12"/>
  <c r="ED79" i="12" s="1"/>
  <c r="EE79" i="12" s="1"/>
  <c r="EB75" i="12"/>
  <c r="ED75" i="12" s="1"/>
  <c r="EE75" i="12" s="1"/>
  <c r="EB71" i="12"/>
  <c r="ED71" i="12" s="1"/>
  <c r="EE71" i="12" s="1"/>
  <c r="EB67" i="12"/>
  <c r="ED67" i="12" s="1"/>
  <c r="EE67" i="12" s="1"/>
  <c r="EB63" i="12"/>
  <c r="ED63" i="12" s="1"/>
  <c r="EE63" i="12" s="1"/>
  <c r="EB59" i="12"/>
  <c r="ED59" i="12" s="1"/>
  <c r="EE59" i="12" s="1"/>
  <c r="EB55" i="12"/>
  <c r="ED55" i="12" s="1"/>
  <c r="EE55" i="12" s="1"/>
  <c r="EB51" i="12"/>
  <c r="ED51" i="12" s="1"/>
  <c r="EE51" i="12" s="1"/>
  <c r="BW108" i="12"/>
  <c r="BY108" i="12" s="1"/>
  <c r="BZ108" i="12" s="1"/>
  <c r="DI86" i="12"/>
  <c r="DK86" i="12" s="1"/>
  <c r="DL86" i="12" s="1"/>
  <c r="CP62" i="12"/>
  <c r="CR62" i="12" s="1"/>
  <c r="CS62" i="12" s="1"/>
  <c r="EB48" i="12"/>
  <c r="ED48" i="12" s="1"/>
  <c r="EE48" i="12" s="1"/>
  <c r="EB44" i="12"/>
  <c r="ED44" i="12" s="1"/>
  <c r="EE44" i="12" s="1"/>
  <c r="EB40" i="12"/>
  <c r="ED40" i="12" s="1"/>
  <c r="EE40" i="12" s="1"/>
  <c r="EB36" i="12"/>
  <c r="ED36" i="12" s="1"/>
  <c r="EE36" i="12" s="1"/>
  <c r="EB32" i="12"/>
  <c r="ED32" i="12" s="1"/>
  <c r="EE32" i="12" s="1"/>
  <c r="EB28" i="12"/>
  <c r="ED28" i="12" s="1"/>
  <c r="EE28" i="12" s="1"/>
  <c r="EB24" i="12"/>
  <c r="ED24" i="12" s="1"/>
  <c r="EE24" i="12" s="1"/>
  <c r="EU57" i="12"/>
  <c r="EW57" i="12" s="1"/>
  <c r="EX57" i="12" s="1"/>
  <c r="CP70" i="12"/>
  <c r="CR70" i="12" s="1"/>
  <c r="CS70" i="12" s="1"/>
  <c r="AK52" i="12"/>
  <c r="AM52" i="12" s="1"/>
  <c r="AN52" i="12" s="1"/>
  <c r="EU46" i="12"/>
  <c r="EW46" i="12" s="1"/>
  <c r="EX46" i="12" s="1"/>
  <c r="EU42" i="12"/>
  <c r="EW42" i="12" s="1"/>
  <c r="EX42" i="12" s="1"/>
  <c r="EU38" i="12"/>
  <c r="EW38" i="12" s="1"/>
  <c r="EX38" i="12" s="1"/>
  <c r="EU34" i="12"/>
  <c r="EW34" i="12" s="1"/>
  <c r="EX34" i="12" s="1"/>
  <c r="EU30" i="12"/>
  <c r="EW30" i="12" s="1"/>
  <c r="EX30" i="12" s="1"/>
  <c r="EU26" i="12"/>
  <c r="EW26" i="12" s="1"/>
  <c r="EX26" i="12" s="1"/>
  <c r="EU22" i="12"/>
  <c r="EW22" i="12" s="1"/>
  <c r="EX22" i="12" s="1"/>
  <c r="EB52" i="12"/>
  <c r="ED52" i="12" s="1"/>
  <c r="EE52" i="12" s="1"/>
  <c r="R51" i="12"/>
  <c r="T51" i="12" s="1"/>
  <c r="U51" i="12" s="1"/>
  <c r="EU47" i="12"/>
  <c r="EW47" i="12" s="1"/>
  <c r="EX47" i="12" s="1"/>
  <c r="EU43" i="12"/>
  <c r="EW43" i="12" s="1"/>
  <c r="EX43" i="12" s="1"/>
  <c r="EU39" i="12"/>
  <c r="EW39" i="12" s="1"/>
  <c r="EX39" i="12" s="1"/>
  <c r="EU35" i="12"/>
  <c r="EW35" i="12" s="1"/>
  <c r="EX35" i="12" s="1"/>
  <c r="EU31" i="12"/>
  <c r="EW31" i="12" s="1"/>
  <c r="EX31" i="12" s="1"/>
  <c r="EU27" i="12"/>
  <c r="EW27" i="12" s="1"/>
  <c r="EX27" i="12" s="1"/>
  <c r="EU23" i="12"/>
  <c r="EW23" i="12" s="1"/>
  <c r="EX23" i="12" s="1"/>
  <c r="CP74" i="12"/>
  <c r="CR74" i="12" s="1"/>
  <c r="CS74" i="12" s="1"/>
  <c r="BW53" i="12"/>
  <c r="BY53" i="12" s="1"/>
  <c r="BZ53" i="12" s="1"/>
  <c r="EB60" i="12"/>
  <c r="ED60" i="12" s="1"/>
  <c r="EE60" i="12" s="1"/>
  <c r="EU48" i="12"/>
  <c r="EW48" i="12" s="1"/>
  <c r="EX48" i="12" s="1"/>
  <c r="EU44" i="12"/>
  <c r="EW44" i="12" s="1"/>
  <c r="EX44" i="12" s="1"/>
  <c r="EU40" i="12"/>
  <c r="EW40" i="12" s="1"/>
  <c r="EX40" i="12" s="1"/>
  <c r="EU36" i="12"/>
  <c r="EW36" i="12" s="1"/>
  <c r="EX36" i="12" s="1"/>
  <c r="EU32" i="12"/>
  <c r="EW32" i="12" s="1"/>
  <c r="EX32" i="12" s="1"/>
  <c r="EU28" i="12"/>
  <c r="EW28" i="12" s="1"/>
  <c r="EX28" i="12" s="1"/>
  <c r="EU24" i="12"/>
  <c r="EW24" i="12" s="1"/>
  <c r="EX24" i="12" s="1"/>
  <c r="DI16" i="12"/>
  <c r="DK16" i="12" s="1"/>
  <c r="DL16" i="12" s="1"/>
  <c r="DI20" i="12"/>
  <c r="DK20" i="12" s="1"/>
  <c r="DL20" i="12" s="1"/>
  <c r="BW360" i="12"/>
  <c r="BY360" i="12" s="1"/>
  <c r="BZ360" i="12" s="1"/>
  <c r="EB352" i="12"/>
  <c r="ED352" i="12" s="1"/>
  <c r="EE352" i="12" s="1"/>
  <c r="DI345" i="12"/>
  <c r="DK345" i="12" s="1"/>
  <c r="DL345" i="12" s="1"/>
  <c r="EB335" i="12"/>
  <c r="ED335" i="12" s="1"/>
  <c r="EE335" i="12" s="1"/>
  <c r="EB326" i="12"/>
  <c r="ED326" i="12" s="1"/>
  <c r="EE326" i="12" s="1"/>
  <c r="BW320" i="12"/>
  <c r="BY320" i="12" s="1"/>
  <c r="BZ320" i="12" s="1"/>
  <c r="CP315" i="12"/>
  <c r="CR315" i="12" s="1"/>
  <c r="CS315" i="12" s="1"/>
  <c r="CP304" i="12"/>
  <c r="CR304" i="12" s="1"/>
  <c r="CS304" i="12" s="1"/>
  <c r="BD292" i="12"/>
  <c r="BF292" i="12" s="1"/>
  <c r="BG292" i="12" s="1"/>
  <c r="AK290" i="12"/>
  <c r="AM290" i="12" s="1"/>
  <c r="AN290" i="12" s="1"/>
  <c r="AK277" i="12"/>
  <c r="AM277" i="12" s="1"/>
  <c r="AN277" i="12" s="1"/>
  <c r="EB264" i="12"/>
  <c r="ED264" i="12" s="1"/>
  <c r="EE264" i="12" s="1"/>
  <c r="R259" i="12"/>
  <c r="T259" i="12" s="1"/>
  <c r="U259" i="12" s="1"/>
  <c r="DI263" i="12"/>
  <c r="DK263" i="12" s="1"/>
  <c r="DL263" i="12" s="1"/>
  <c r="BW253" i="12"/>
  <c r="BY253" i="12" s="1"/>
  <c r="BZ253" i="12" s="1"/>
  <c r="DI249" i="12"/>
  <c r="DK249" i="12" s="1"/>
  <c r="DL249" i="12" s="1"/>
  <c r="EU237" i="12"/>
  <c r="EW237" i="12" s="1"/>
  <c r="EX237" i="12" s="1"/>
  <c r="AK233" i="12"/>
  <c r="AM233" i="12" s="1"/>
  <c r="AN233" i="12" s="1"/>
  <c r="BW221" i="12"/>
  <c r="BY221" i="12" s="1"/>
  <c r="BZ221" i="12" s="1"/>
  <c r="BW206" i="12"/>
  <c r="BY206" i="12" s="1"/>
  <c r="BZ206" i="12" s="1"/>
  <c r="EB214" i="12"/>
  <c r="ED214" i="12" s="1"/>
  <c r="EE214" i="12" s="1"/>
  <c r="BD180" i="12"/>
  <c r="BF180" i="12" s="1"/>
  <c r="BG180" i="12" s="1"/>
  <c r="EB185" i="12"/>
  <c r="ED185" i="12" s="1"/>
  <c r="EE185" i="12" s="1"/>
  <c r="AK207" i="12"/>
  <c r="AM207" i="12" s="1"/>
  <c r="AN207" i="12" s="1"/>
  <c r="DI185" i="12"/>
  <c r="DK185" i="12" s="1"/>
  <c r="DL185" i="12" s="1"/>
  <c r="AK181" i="12"/>
  <c r="AM181" i="12" s="1"/>
  <c r="AN181" i="12" s="1"/>
  <c r="BD142" i="12"/>
  <c r="BF142" i="12" s="1"/>
  <c r="BG142" i="12" s="1"/>
  <c r="AK148" i="12"/>
  <c r="AM148" i="12" s="1"/>
  <c r="AN148" i="12" s="1"/>
  <c r="EB178" i="12"/>
  <c r="ED178" i="12" s="1"/>
  <c r="EE178" i="12" s="1"/>
  <c r="EB147" i="12"/>
  <c r="ED147" i="12" s="1"/>
  <c r="EE147" i="12" s="1"/>
  <c r="BW121" i="12"/>
  <c r="BY121" i="12" s="1"/>
  <c r="BZ121" i="12" s="1"/>
  <c r="R102" i="12"/>
  <c r="T102" i="12" s="1"/>
  <c r="U102" i="12" s="1"/>
  <c r="EB101" i="12"/>
  <c r="ED101" i="12" s="1"/>
  <c r="EE101" i="12" s="1"/>
  <c r="CP104" i="12"/>
  <c r="CR104" i="12" s="1"/>
  <c r="CS104" i="12" s="1"/>
  <c r="CP105" i="12"/>
  <c r="CR105" i="12" s="1"/>
  <c r="CS105" i="12" s="1"/>
  <c r="CP89" i="12"/>
  <c r="CR89" i="12" s="1"/>
  <c r="CS89" i="12" s="1"/>
  <c r="DI57" i="12"/>
  <c r="DK57" i="12" s="1"/>
  <c r="DL57" i="12" s="1"/>
  <c r="CP101" i="12"/>
  <c r="CR101" i="12" s="1"/>
  <c r="CS101" i="12" s="1"/>
  <c r="BD107" i="12"/>
  <c r="BF107" i="12" s="1"/>
  <c r="BG107" i="12" s="1"/>
  <c r="BW84" i="12"/>
  <c r="BY84" i="12" s="1"/>
  <c r="BZ84" i="12" s="1"/>
  <c r="BD79" i="12"/>
  <c r="BF79" i="12" s="1"/>
  <c r="BG79" i="12" s="1"/>
  <c r="BD75" i="12"/>
  <c r="BF75" i="12" s="1"/>
  <c r="BG75" i="12" s="1"/>
  <c r="BD71" i="12"/>
  <c r="BF71" i="12" s="1"/>
  <c r="BG71" i="12" s="1"/>
  <c r="BD67" i="12"/>
  <c r="BF67" i="12" s="1"/>
  <c r="BG67" i="12" s="1"/>
  <c r="BD63" i="12"/>
  <c r="BF63" i="12" s="1"/>
  <c r="BG63" i="12" s="1"/>
  <c r="BD59" i="12"/>
  <c r="BF59" i="12" s="1"/>
  <c r="BG59" i="12" s="1"/>
  <c r="BD55" i="12"/>
  <c r="BF55" i="12" s="1"/>
  <c r="BG55" i="12" s="1"/>
  <c r="BD51" i="12"/>
  <c r="BF51" i="12" s="1"/>
  <c r="BG51" i="12" s="1"/>
  <c r="EB99" i="12"/>
  <c r="ED99" i="12" s="1"/>
  <c r="EE99" i="12" s="1"/>
  <c r="CP85" i="12"/>
  <c r="CR85" i="12" s="1"/>
  <c r="CS85" i="12" s="1"/>
  <c r="CP58" i="12"/>
  <c r="CR58" i="12" s="1"/>
  <c r="CS58" i="12" s="1"/>
  <c r="BD48" i="12"/>
  <c r="BF48" i="12" s="1"/>
  <c r="BG48" i="12" s="1"/>
  <c r="BD44" i="12"/>
  <c r="BF44" i="12" s="1"/>
  <c r="BG44" i="12" s="1"/>
  <c r="BD40" i="12"/>
  <c r="BF40" i="12" s="1"/>
  <c r="BG40" i="12" s="1"/>
  <c r="BD36" i="12"/>
  <c r="BF36" i="12" s="1"/>
  <c r="BG36" i="12" s="1"/>
  <c r="BD32" i="12"/>
  <c r="BF32" i="12" s="1"/>
  <c r="BG32" i="12" s="1"/>
  <c r="BD28" i="12"/>
  <c r="BF28" i="12" s="1"/>
  <c r="BG28" i="12" s="1"/>
  <c r="BD24" i="12"/>
  <c r="BF24" i="12" s="1"/>
  <c r="BG24" i="12" s="1"/>
  <c r="BD52" i="12"/>
  <c r="BF52" i="12" s="1"/>
  <c r="BG52" i="12" s="1"/>
  <c r="DI67" i="12"/>
  <c r="DK67" i="12" s="1"/>
  <c r="DL67" i="12" s="1"/>
  <c r="BW50" i="12"/>
  <c r="BY50" i="12" s="1"/>
  <c r="BZ50" i="12" s="1"/>
  <c r="BW46" i="12"/>
  <c r="BY46" i="12" s="1"/>
  <c r="BZ46" i="12" s="1"/>
  <c r="BW42" i="12"/>
  <c r="BY42" i="12" s="1"/>
  <c r="BZ42" i="12" s="1"/>
  <c r="BW38" i="12"/>
  <c r="BY38" i="12" s="1"/>
  <c r="BZ38" i="12" s="1"/>
  <c r="BW34" i="12"/>
  <c r="BY34" i="12" s="1"/>
  <c r="BZ34" i="12" s="1"/>
  <c r="BW30" i="12"/>
  <c r="BY30" i="12" s="1"/>
  <c r="BZ30" i="12" s="1"/>
  <c r="BW26" i="12"/>
  <c r="BY26" i="12" s="1"/>
  <c r="BZ26" i="12" s="1"/>
  <c r="BW22" i="12"/>
  <c r="BY22" i="12" s="1"/>
  <c r="BZ22" i="12" s="1"/>
  <c r="BW81" i="12"/>
  <c r="BY81" i="12" s="1"/>
  <c r="BZ81" i="12" s="1"/>
  <c r="EU50" i="12"/>
  <c r="EW50" i="12" s="1"/>
  <c r="EX50" i="12" s="1"/>
  <c r="BW47" i="12"/>
  <c r="BY47" i="12" s="1"/>
  <c r="BZ47" i="12" s="1"/>
  <c r="BW43" i="12"/>
  <c r="BY43" i="12" s="1"/>
  <c r="BZ43" i="12" s="1"/>
  <c r="BW39" i="12"/>
  <c r="BY39" i="12" s="1"/>
  <c r="BZ39" i="12" s="1"/>
  <c r="BW35" i="12"/>
  <c r="BY35" i="12" s="1"/>
  <c r="BZ35" i="12" s="1"/>
  <c r="BW31" i="12"/>
  <c r="BY31" i="12" s="1"/>
  <c r="BZ31" i="12" s="1"/>
  <c r="BW27" i="12"/>
  <c r="BY27" i="12" s="1"/>
  <c r="BZ27" i="12" s="1"/>
  <c r="BW23" i="12"/>
  <c r="BY23" i="12" s="1"/>
  <c r="BZ23" i="12" s="1"/>
  <c r="R74" i="12"/>
  <c r="T74" i="12" s="1"/>
  <c r="U74" i="12" s="1"/>
  <c r="CP97" i="12"/>
  <c r="CR97" i="12" s="1"/>
  <c r="CS97" i="12" s="1"/>
  <c r="DI59" i="12"/>
  <c r="DK59" i="12" s="1"/>
  <c r="DL59" i="12" s="1"/>
  <c r="BW48" i="12"/>
  <c r="BY48" i="12" s="1"/>
  <c r="BZ48" i="12" s="1"/>
  <c r="BW44" i="12"/>
  <c r="BY44" i="12" s="1"/>
  <c r="BZ44" i="12" s="1"/>
  <c r="BW40" i="12"/>
  <c r="BY40" i="12" s="1"/>
  <c r="BZ40" i="12" s="1"/>
  <c r="BW36" i="12"/>
  <c r="BY36" i="12" s="1"/>
  <c r="BZ36" i="12" s="1"/>
  <c r="BW32" i="12"/>
  <c r="BY32" i="12" s="1"/>
  <c r="BZ32" i="12" s="1"/>
  <c r="BW28" i="12"/>
  <c r="BY28" i="12" s="1"/>
  <c r="BZ28" i="12" s="1"/>
  <c r="BW24" i="12"/>
  <c r="BY24" i="12" s="1"/>
  <c r="BZ24" i="12" s="1"/>
  <c r="BD13" i="12"/>
  <c r="BF13" i="12" s="1"/>
  <c r="BD17" i="12"/>
  <c r="BF17" i="12" s="1"/>
  <c r="BG17" i="12" s="1"/>
  <c r="BD21" i="12"/>
  <c r="BF21" i="12" s="1"/>
  <c r="BG21" i="12" s="1"/>
  <c r="BW361" i="12"/>
  <c r="BY361" i="12" s="1"/>
  <c r="BZ361" i="12" s="1"/>
  <c r="CP351" i="12"/>
  <c r="CR351" i="12" s="1"/>
  <c r="CS351" i="12" s="1"/>
  <c r="AK346" i="12"/>
  <c r="AM346" i="12" s="1"/>
  <c r="AN346" i="12" s="1"/>
  <c r="EB336" i="12"/>
  <c r="ED336" i="12" s="1"/>
  <c r="EE336" i="12" s="1"/>
  <c r="CP336" i="12"/>
  <c r="CR336" i="12" s="1"/>
  <c r="CS336" i="12" s="1"/>
  <c r="BW329" i="12"/>
  <c r="BY329" i="12" s="1"/>
  <c r="BZ329" i="12" s="1"/>
  <c r="CP311" i="12"/>
  <c r="CR311" i="12" s="1"/>
  <c r="CS311" i="12" s="1"/>
  <c r="BW315" i="12"/>
  <c r="BY315" i="12" s="1"/>
  <c r="BZ315" i="12" s="1"/>
  <c r="BD301" i="12"/>
  <c r="BF301" i="12" s="1"/>
  <c r="BG301" i="12" s="1"/>
  <c r="DI288" i="12"/>
  <c r="DK288" i="12" s="1"/>
  <c r="DL288" i="12" s="1"/>
  <c r="R278" i="12"/>
  <c r="T278" i="12" s="1"/>
  <c r="U278" i="12" s="1"/>
  <c r="R293" i="12"/>
  <c r="T293" i="12" s="1"/>
  <c r="U293" i="12" s="1"/>
  <c r="R255" i="12"/>
  <c r="T255" i="12" s="1"/>
  <c r="U255" i="12" s="1"/>
  <c r="EB259" i="12"/>
  <c r="ED259" i="12" s="1"/>
  <c r="EE259" i="12" s="1"/>
  <c r="BW249" i="12"/>
  <c r="BY249" i="12" s="1"/>
  <c r="BZ249" i="12" s="1"/>
  <c r="AK245" i="12"/>
  <c r="AM245" i="12" s="1"/>
  <c r="AN245" i="12" s="1"/>
  <c r="DI231" i="12"/>
  <c r="DK231" i="12" s="1"/>
  <c r="DL231" i="12" s="1"/>
  <c r="AK229" i="12"/>
  <c r="AM229" i="12" s="1"/>
  <c r="AN229" i="12" s="1"/>
  <c r="EB216" i="12"/>
  <c r="ED216" i="12" s="1"/>
  <c r="EE216" i="12" s="1"/>
  <c r="BD221" i="12"/>
  <c r="BF221" i="12" s="1"/>
  <c r="BG221" i="12" s="1"/>
  <c r="R200" i="12"/>
  <c r="T200" i="12" s="1"/>
  <c r="U200" i="12" s="1"/>
  <c r="BD176" i="12"/>
  <c r="BF176" i="12" s="1"/>
  <c r="BG176" i="12" s="1"/>
  <c r="EB181" i="12"/>
  <c r="ED181" i="12" s="1"/>
  <c r="EE181" i="12" s="1"/>
  <c r="CP176" i="12"/>
  <c r="CR176" i="12" s="1"/>
  <c r="CS176" i="12" s="1"/>
  <c r="EB166" i="12"/>
  <c r="ED166" i="12" s="1"/>
  <c r="EE166" i="12" s="1"/>
  <c r="EU163" i="12"/>
  <c r="EW163" i="12" s="1"/>
  <c r="EX163" i="12" s="1"/>
  <c r="BD138" i="12"/>
  <c r="BF138" i="12" s="1"/>
  <c r="BG138" i="12" s="1"/>
  <c r="DI142" i="12"/>
  <c r="DK142" i="12" s="1"/>
  <c r="DL142" i="12" s="1"/>
  <c r="BD151" i="12"/>
  <c r="BF151" i="12" s="1"/>
  <c r="BG151" i="12" s="1"/>
  <c r="DI151" i="12"/>
  <c r="DK151" i="12" s="1"/>
  <c r="DL151" i="12" s="1"/>
  <c r="EU118" i="12"/>
  <c r="EW118" i="12" s="1"/>
  <c r="EX118" i="12" s="1"/>
  <c r="R98" i="12"/>
  <c r="T98" i="12" s="1"/>
  <c r="U98" i="12" s="1"/>
  <c r="EB97" i="12"/>
  <c r="ED97" i="12" s="1"/>
  <c r="EE97" i="12" s="1"/>
  <c r="CP100" i="12"/>
  <c r="CR100" i="12" s="1"/>
  <c r="CS100" i="12" s="1"/>
  <c r="AK80" i="12"/>
  <c r="AM80" i="12" s="1"/>
  <c r="AN80" i="12" s="1"/>
  <c r="BW100" i="12"/>
  <c r="BY100" i="12" s="1"/>
  <c r="BZ100" i="12" s="1"/>
  <c r="DI53" i="12"/>
  <c r="DK53" i="12" s="1"/>
  <c r="DL53" i="12" s="1"/>
  <c r="BD88" i="12"/>
  <c r="BF88" i="12" s="1"/>
  <c r="BG88" i="12" s="1"/>
  <c r="AK106" i="12"/>
  <c r="AM106" i="12" s="1"/>
  <c r="AN106" i="12" s="1"/>
  <c r="DI83" i="12"/>
  <c r="DK83" i="12" s="1"/>
  <c r="DL83" i="12" s="1"/>
  <c r="DI78" i="12"/>
  <c r="DK78" i="12" s="1"/>
  <c r="DL78" i="12" s="1"/>
  <c r="DI74" i="12"/>
  <c r="DK74" i="12" s="1"/>
  <c r="DL74" i="12" s="1"/>
  <c r="DI70" i="12"/>
  <c r="DK70" i="12" s="1"/>
  <c r="DL70" i="12" s="1"/>
  <c r="DI66" i="12"/>
  <c r="DK66" i="12" s="1"/>
  <c r="DL66" i="12" s="1"/>
  <c r="DI62" i="12"/>
  <c r="DK62" i="12" s="1"/>
  <c r="DL62" i="12" s="1"/>
  <c r="DI58" i="12"/>
  <c r="DK58" i="12" s="1"/>
  <c r="DL58" i="12" s="1"/>
  <c r="DI54" i="12"/>
  <c r="DK54" i="12" s="1"/>
  <c r="DL54" i="12" s="1"/>
  <c r="R117" i="12"/>
  <c r="T117" i="12" s="1"/>
  <c r="U117" i="12" s="1"/>
  <c r="DI98" i="12"/>
  <c r="DK98" i="12" s="1"/>
  <c r="DL98" i="12" s="1"/>
  <c r="EB83" i="12"/>
  <c r="ED83" i="12" s="1"/>
  <c r="EE83" i="12" s="1"/>
  <c r="R54" i="12"/>
  <c r="T54" i="12" s="1"/>
  <c r="U54" i="12" s="1"/>
  <c r="DI47" i="12"/>
  <c r="DK47" i="12" s="1"/>
  <c r="DL47" i="12" s="1"/>
  <c r="DI43" i="12"/>
  <c r="DK43" i="12" s="1"/>
  <c r="DL43" i="12" s="1"/>
  <c r="DI39" i="12"/>
  <c r="DK39" i="12" s="1"/>
  <c r="DL39" i="12" s="1"/>
  <c r="DI35" i="12"/>
  <c r="DK35" i="12" s="1"/>
  <c r="DL35" i="12" s="1"/>
  <c r="DI31" i="12"/>
  <c r="DK31" i="12" s="1"/>
  <c r="DL31" i="12" s="1"/>
  <c r="DI27" i="12"/>
  <c r="DK27" i="12" s="1"/>
  <c r="DL27" i="12" s="1"/>
  <c r="DI23" i="12"/>
  <c r="DK23" i="12" s="1"/>
  <c r="DL23" i="12" s="1"/>
  <c r="CP51" i="12"/>
  <c r="CR51" i="12" s="1"/>
  <c r="CS51" i="12" s="1"/>
  <c r="BW65" i="12"/>
  <c r="BY65" i="12" s="1"/>
  <c r="BZ65" i="12" s="1"/>
  <c r="EB49" i="12"/>
  <c r="ED49" i="12" s="1"/>
  <c r="EE49" i="12" s="1"/>
  <c r="EB45" i="12"/>
  <c r="ED45" i="12" s="1"/>
  <c r="EE45" i="12" s="1"/>
  <c r="EB41" i="12"/>
  <c r="ED41" i="12" s="1"/>
  <c r="EE41" i="12" s="1"/>
  <c r="EB37" i="12"/>
  <c r="ED37" i="12" s="1"/>
  <c r="EE37" i="12" s="1"/>
  <c r="EB33" i="12"/>
  <c r="ED33" i="12" s="1"/>
  <c r="EE33" i="12" s="1"/>
  <c r="EB29" i="12"/>
  <c r="ED29" i="12" s="1"/>
  <c r="EE29" i="12" s="1"/>
  <c r="EB25" i="12"/>
  <c r="ED25" i="12" s="1"/>
  <c r="EE25" i="12" s="1"/>
  <c r="EB88" i="12"/>
  <c r="ED88" i="12" s="1"/>
  <c r="EE88" i="12" s="1"/>
  <c r="BD80" i="12"/>
  <c r="BF80" i="12" s="1"/>
  <c r="BG80" i="12" s="1"/>
  <c r="EB50" i="12"/>
  <c r="ED50" i="12" s="1"/>
  <c r="EE50" i="12" s="1"/>
  <c r="EB46" i="12"/>
  <c r="ED46" i="12" s="1"/>
  <c r="EE46" i="12" s="1"/>
  <c r="EB42" i="12"/>
  <c r="ED42" i="12" s="1"/>
  <c r="EE42" i="12" s="1"/>
  <c r="EB38" i="12"/>
  <c r="ED38" i="12" s="1"/>
  <c r="EE38" i="12" s="1"/>
  <c r="EB34" i="12"/>
  <c r="ED34" i="12" s="1"/>
  <c r="EE34" i="12" s="1"/>
  <c r="EB30" i="12"/>
  <c r="ED30" i="12" s="1"/>
  <c r="EE30" i="12" s="1"/>
  <c r="EB26" i="12"/>
  <c r="ED26" i="12" s="1"/>
  <c r="EE26" i="12" s="1"/>
  <c r="EB22" i="12"/>
  <c r="ED22" i="12" s="1"/>
  <c r="EE22" i="12" s="1"/>
  <c r="CP66" i="12"/>
  <c r="CR66" i="12" s="1"/>
  <c r="CS66" i="12" s="1"/>
  <c r="EB84" i="12"/>
  <c r="ED84" i="12" s="1"/>
  <c r="EE84" i="12" s="1"/>
  <c r="R58" i="12"/>
  <c r="T58" i="12" s="1"/>
  <c r="U58" i="12" s="1"/>
  <c r="EB47" i="12"/>
  <c r="ED47" i="12" s="1"/>
  <c r="EE47" i="12" s="1"/>
  <c r="EB43" i="12"/>
  <c r="ED43" i="12" s="1"/>
  <c r="EE43" i="12" s="1"/>
  <c r="EB39" i="12"/>
  <c r="ED39" i="12" s="1"/>
  <c r="EE39" i="12" s="1"/>
  <c r="EB35" i="12"/>
  <c r="ED35" i="12" s="1"/>
  <c r="EE35" i="12" s="1"/>
  <c r="EB31" i="12"/>
  <c r="ED31" i="12" s="1"/>
  <c r="EE31" i="12" s="1"/>
  <c r="EB27" i="12"/>
  <c r="ED27" i="12" s="1"/>
  <c r="EE27" i="12" s="1"/>
  <c r="EB23" i="12"/>
  <c r="ED23" i="12" s="1"/>
  <c r="EE23" i="12" s="1"/>
  <c r="EB13" i="12"/>
  <c r="ED13" i="12" s="1"/>
  <c r="EB17" i="12"/>
  <c r="ED17" i="12" s="1"/>
  <c r="EE17" i="12" s="1"/>
  <c r="EB21" i="12"/>
  <c r="ED21" i="12" s="1"/>
  <c r="EE21" i="12" s="1"/>
  <c r="AK342" i="12"/>
  <c r="AM342" i="12" s="1"/>
  <c r="AN342" i="12" s="1"/>
  <c r="AK274" i="12"/>
  <c r="AM274" i="12" s="1"/>
  <c r="AN274" i="12" s="1"/>
  <c r="EB212" i="12"/>
  <c r="ED212" i="12" s="1"/>
  <c r="EE212" i="12" s="1"/>
  <c r="BD134" i="12"/>
  <c r="BF134" i="12" s="1"/>
  <c r="BG134" i="12" s="1"/>
  <c r="AK76" i="12"/>
  <c r="AM76" i="12" s="1"/>
  <c r="AN76" i="12" s="1"/>
  <c r="AK70" i="12"/>
  <c r="AM70" i="12" s="1"/>
  <c r="AN70" i="12" s="1"/>
  <c r="DI51" i="12"/>
  <c r="DK51" i="12" s="1"/>
  <c r="DL51" i="12" s="1"/>
  <c r="EU100" i="12"/>
  <c r="EW100" i="12" s="1"/>
  <c r="EX100" i="12" s="1"/>
  <c r="BD25" i="12"/>
  <c r="BF25" i="12" s="1"/>
  <c r="BG25" i="12" s="1"/>
  <c r="BD30" i="12"/>
  <c r="BF30" i="12" s="1"/>
  <c r="BG30" i="12" s="1"/>
  <c r="BD39" i="12"/>
  <c r="BF39" i="12" s="1"/>
  <c r="BG39" i="12" s="1"/>
  <c r="BW18" i="12"/>
  <c r="BY18" i="12" s="1"/>
  <c r="BZ18" i="12" s="1"/>
  <c r="EB332" i="12"/>
  <c r="ED332" i="12" s="1"/>
  <c r="EE332" i="12" s="1"/>
  <c r="AK279" i="12"/>
  <c r="AM279" i="12" s="1"/>
  <c r="AN279" i="12" s="1"/>
  <c r="R205" i="12"/>
  <c r="T205" i="12" s="1"/>
  <c r="U205" i="12" s="1"/>
  <c r="DI138" i="12"/>
  <c r="DK138" i="12" s="1"/>
  <c r="DL138" i="12" s="1"/>
  <c r="DI81" i="12"/>
  <c r="DK81" i="12" s="1"/>
  <c r="DL81" i="12" s="1"/>
  <c r="AK66" i="12"/>
  <c r="AM66" i="12" s="1"/>
  <c r="AN66" i="12" s="1"/>
  <c r="AK47" i="12"/>
  <c r="AM47" i="12" s="1"/>
  <c r="AN47" i="12" s="1"/>
  <c r="BD64" i="12"/>
  <c r="BF64" i="12" s="1"/>
  <c r="BG64" i="12" s="1"/>
  <c r="EU69" i="12"/>
  <c r="EW69" i="12" s="1"/>
  <c r="EX69" i="12" s="1"/>
  <c r="BD26" i="12"/>
  <c r="BF26" i="12" s="1"/>
  <c r="BG26" i="12" s="1"/>
  <c r="BD35" i="12"/>
  <c r="BF35" i="12" s="1"/>
  <c r="BG35" i="12" s="1"/>
  <c r="BW328" i="12"/>
  <c r="BY328" i="12" s="1"/>
  <c r="BZ328" i="12" s="1"/>
  <c r="R251" i="12"/>
  <c r="T251" i="12" s="1"/>
  <c r="U251" i="12" s="1"/>
  <c r="AK196" i="12"/>
  <c r="AM196" i="12" s="1"/>
  <c r="AN196" i="12" s="1"/>
  <c r="DI143" i="12"/>
  <c r="DK143" i="12" s="1"/>
  <c r="DL143" i="12" s="1"/>
  <c r="AK53" i="12"/>
  <c r="AM53" i="12" s="1"/>
  <c r="AN53" i="12" s="1"/>
  <c r="AK62" i="12"/>
  <c r="AM62" i="12" s="1"/>
  <c r="AN62" i="12" s="1"/>
  <c r="AK43" i="12"/>
  <c r="AM43" i="12" s="1"/>
  <c r="AN43" i="12" s="1"/>
  <c r="BD49" i="12"/>
  <c r="BF49" i="12" s="1"/>
  <c r="BG49" i="12" s="1"/>
  <c r="BW73" i="12"/>
  <c r="BY73" i="12" s="1"/>
  <c r="BZ73" i="12" s="1"/>
  <c r="BD22" i="12"/>
  <c r="BF22" i="12" s="1"/>
  <c r="BG22" i="12" s="1"/>
  <c r="BD31" i="12"/>
  <c r="BF31" i="12" s="1"/>
  <c r="BG31" i="12" s="1"/>
  <c r="BW321" i="12"/>
  <c r="BY321" i="12" s="1"/>
  <c r="BZ321" i="12" s="1"/>
  <c r="EB255" i="12"/>
  <c r="ED255" i="12" s="1"/>
  <c r="EE255" i="12" s="1"/>
  <c r="BD172" i="12"/>
  <c r="BF172" i="12" s="1"/>
  <c r="BG172" i="12" s="1"/>
  <c r="R143" i="12"/>
  <c r="T143" i="12" s="1"/>
  <c r="U143" i="12" s="1"/>
  <c r="R86" i="12"/>
  <c r="T86" i="12" s="1"/>
  <c r="U86" i="12" s="1"/>
  <c r="AK58" i="12"/>
  <c r="AM58" i="12" s="1"/>
  <c r="AN58" i="12" s="1"/>
  <c r="AK39" i="12"/>
  <c r="AM39" i="12" s="1"/>
  <c r="AN39" i="12" s="1"/>
  <c r="BD45" i="12"/>
  <c r="BF45" i="12" s="1"/>
  <c r="BG45" i="12" s="1"/>
  <c r="BD50" i="12"/>
  <c r="BF50" i="12" s="1"/>
  <c r="BG50" i="12" s="1"/>
  <c r="DI63" i="12"/>
  <c r="DK63" i="12" s="1"/>
  <c r="DL63" i="12" s="1"/>
  <c r="BD27" i="12"/>
  <c r="BF27" i="12" s="1"/>
  <c r="BG27" i="12" s="1"/>
  <c r="BW309" i="12"/>
  <c r="BY309" i="12" s="1"/>
  <c r="BZ309" i="12" s="1"/>
  <c r="EU245" i="12"/>
  <c r="EW245" i="12" s="1"/>
  <c r="EX245" i="12" s="1"/>
  <c r="EB177" i="12"/>
  <c r="ED177" i="12" s="1"/>
  <c r="EE177" i="12" s="1"/>
  <c r="BW172" i="12"/>
  <c r="BY172" i="12" s="1"/>
  <c r="BZ172" i="12" s="1"/>
  <c r="BD95" i="12"/>
  <c r="BF95" i="12" s="1"/>
  <c r="BG95" i="12" s="1"/>
  <c r="AK54" i="12"/>
  <c r="AM54" i="12" s="1"/>
  <c r="AN54" i="12" s="1"/>
  <c r="AK35" i="12"/>
  <c r="AM35" i="12" s="1"/>
  <c r="AN35" i="12" s="1"/>
  <c r="BD41" i="12"/>
  <c r="BF41" i="12" s="1"/>
  <c r="BG41" i="12" s="1"/>
  <c r="BD46" i="12"/>
  <c r="BF46" i="12" s="1"/>
  <c r="BG46" i="12" s="1"/>
  <c r="EB80" i="12"/>
  <c r="ED80" i="12" s="1"/>
  <c r="EE80" i="12" s="1"/>
  <c r="BD23" i="12"/>
  <c r="BF23" i="12" s="1"/>
  <c r="BG23" i="12" s="1"/>
  <c r="EB307" i="12"/>
  <c r="ED307" i="12" s="1"/>
  <c r="EE307" i="12" s="1"/>
  <c r="AK241" i="12"/>
  <c r="AM241" i="12" s="1"/>
  <c r="AN241" i="12" s="1"/>
  <c r="R162" i="12"/>
  <c r="T162" i="12" s="1"/>
  <c r="U162" i="12" s="1"/>
  <c r="R94" i="12"/>
  <c r="T94" i="12" s="1"/>
  <c r="U94" i="12" s="1"/>
  <c r="AK82" i="12"/>
  <c r="AM82" i="12" s="1"/>
  <c r="AN82" i="12" s="1"/>
  <c r="BW114" i="12"/>
  <c r="BY114" i="12" s="1"/>
  <c r="BZ114" i="12" s="1"/>
  <c r="AK31" i="12"/>
  <c r="AM31" i="12" s="1"/>
  <c r="AN31" i="12" s="1"/>
  <c r="BD37" i="12"/>
  <c r="BF37" i="12" s="1"/>
  <c r="BG37" i="12" s="1"/>
  <c r="BD42" i="12"/>
  <c r="BF42" i="12" s="1"/>
  <c r="BG42" i="12" s="1"/>
  <c r="BD53" i="12"/>
  <c r="BF53" i="12" s="1"/>
  <c r="BG53" i="12" s="1"/>
  <c r="AK359" i="12"/>
  <c r="AM359" i="12" s="1"/>
  <c r="AN359" i="12" s="1"/>
  <c r="BD297" i="12"/>
  <c r="BF297" i="12" s="1"/>
  <c r="BG297" i="12" s="1"/>
  <c r="DI227" i="12"/>
  <c r="DK227" i="12" s="1"/>
  <c r="DL227" i="12" s="1"/>
  <c r="DI160" i="12"/>
  <c r="DK160" i="12" s="1"/>
  <c r="DL160" i="12" s="1"/>
  <c r="EB93" i="12"/>
  <c r="ED93" i="12" s="1"/>
  <c r="EE93" i="12" s="1"/>
  <c r="AK78" i="12"/>
  <c r="AM78" i="12" s="1"/>
  <c r="AN78" i="12" s="1"/>
  <c r="R97" i="12"/>
  <c r="T97" i="12" s="1"/>
  <c r="U97" i="12" s="1"/>
  <c r="AK27" i="12"/>
  <c r="AM27" i="12" s="1"/>
  <c r="AN27" i="12" s="1"/>
  <c r="BD33" i="12"/>
  <c r="BF33" i="12" s="1"/>
  <c r="BG33" i="12" s="1"/>
  <c r="BD38" i="12"/>
  <c r="BF38" i="12" s="1"/>
  <c r="BG38" i="12" s="1"/>
  <c r="BD47" i="12"/>
  <c r="BF47" i="12" s="1"/>
  <c r="BG47" i="12" s="1"/>
  <c r="BW82" i="12"/>
  <c r="BY82" i="12" s="1"/>
  <c r="BZ82" i="12" s="1"/>
  <c r="BW14" i="12"/>
  <c r="BY14" i="12" s="1"/>
  <c r="BZ14" i="12" s="1"/>
  <c r="AK23" i="12"/>
  <c r="AM23" i="12" s="1"/>
  <c r="AN23" i="12" s="1"/>
  <c r="BD350" i="12"/>
  <c r="BF350" i="12" s="1"/>
  <c r="BG350" i="12" s="1"/>
  <c r="BD29" i="12"/>
  <c r="BF29" i="12" s="1"/>
  <c r="BG29" i="12" s="1"/>
  <c r="DI284" i="12"/>
  <c r="DK284" i="12" s="1"/>
  <c r="DL284" i="12" s="1"/>
  <c r="BD34" i="12"/>
  <c r="BF34" i="12" s="1"/>
  <c r="BG34" i="12" s="1"/>
  <c r="AK74" i="12"/>
  <c r="AM74" i="12" s="1"/>
  <c r="AN74" i="12" s="1"/>
  <c r="AK225" i="12"/>
  <c r="AM225" i="12" s="1"/>
  <c r="AN225" i="12" s="1"/>
  <c r="BD43" i="12"/>
  <c r="BF43" i="12" s="1"/>
  <c r="BG43" i="12" s="1"/>
  <c r="EU159" i="12"/>
  <c r="EW159" i="12" s="1"/>
  <c r="EX159" i="12" s="1"/>
  <c r="CP96" i="12"/>
  <c r="CR96" i="12" s="1"/>
  <c r="CS96" i="12" s="1"/>
  <c r="EL20" i="12"/>
  <c r="EN20" i="12" s="1"/>
  <c r="AU20" i="12"/>
  <c r="AW20" i="12" s="1"/>
  <c r="DA20" i="12"/>
  <c r="AC20" i="12"/>
  <c r="AU21" i="9"/>
  <c r="AW21" i="9" s="1"/>
  <c r="P21" i="12"/>
  <c r="Q21" i="12" s="1"/>
  <c r="BN21" i="9"/>
  <c r="BP21" i="9" s="1"/>
  <c r="DS21" i="9"/>
  <c r="DU21" i="9" s="1"/>
  <c r="FE21" i="9"/>
  <c r="FG21" i="9" s="1"/>
  <c r="DQ22" i="9"/>
  <c r="DR22" i="9" s="1"/>
  <c r="CX22" i="9"/>
  <c r="CY22" i="9" s="1"/>
  <c r="FC22" i="9"/>
  <c r="FD22" i="9" s="1"/>
  <c r="BL22" i="9"/>
  <c r="BM22" i="9" s="1"/>
  <c r="AS22" i="9"/>
  <c r="AT22" i="9" s="1"/>
  <c r="Z22" i="9"/>
  <c r="AA22" i="9" s="1"/>
  <c r="CE22" i="9"/>
  <c r="CF22" i="9" s="1"/>
  <c r="EJ22" i="9"/>
  <c r="EK22" i="9" s="1"/>
  <c r="I23" i="9"/>
  <c r="CN19" i="12"/>
  <c r="CM19" i="12"/>
  <c r="CL19" i="12"/>
  <c r="M22" i="9"/>
  <c r="P22" i="9" s="1"/>
  <c r="Q22" i="9" s="1"/>
  <c r="AY20" i="12"/>
  <c r="EM20" i="12"/>
  <c r="FF21" i="9"/>
  <c r="E313" i="9"/>
  <c r="E314" i="9" s="1"/>
  <c r="DT20" i="12"/>
  <c r="EM21" i="9"/>
  <c r="CH21" i="9"/>
  <c r="BD58" i="9"/>
  <c r="BF58" i="9" s="1"/>
  <c r="BG58" i="9" s="1"/>
  <c r="AK41" i="9"/>
  <c r="AM41" i="9" s="1"/>
  <c r="AN41" i="9" s="1"/>
  <c r="DI32" i="9"/>
  <c r="DK32" i="9" s="1"/>
  <c r="DL32" i="9" s="1"/>
  <c r="BD31" i="9"/>
  <c r="BF31" i="9" s="1"/>
  <c r="BG31" i="9" s="1"/>
  <c r="EU28" i="9"/>
  <c r="EW28" i="9" s="1"/>
  <c r="EX28" i="9" s="1"/>
  <c r="AK28" i="9"/>
  <c r="AM28" i="9" s="1"/>
  <c r="AN28" i="9" s="1"/>
  <c r="EB26" i="9"/>
  <c r="ED26" i="9" s="1"/>
  <c r="EE26" i="9" s="1"/>
  <c r="EU22" i="9"/>
  <c r="EW22" i="9" s="1"/>
  <c r="EX22" i="9" s="1"/>
  <c r="R22" i="9"/>
  <c r="T22" i="9" s="1"/>
  <c r="U22" i="9" s="1"/>
  <c r="EU19" i="9"/>
  <c r="EW19" i="9" s="1"/>
  <c r="EX19" i="9" s="1"/>
  <c r="EB18" i="9"/>
  <c r="ED18" i="9" s="1"/>
  <c r="EE18" i="9" s="1"/>
  <c r="BW17" i="9"/>
  <c r="BY17" i="9" s="1"/>
  <c r="BZ17" i="9" s="1"/>
  <c r="DI15" i="9"/>
  <c r="DK15" i="9" s="1"/>
  <c r="DL15" i="9" s="1"/>
  <c r="BD14" i="9"/>
  <c r="BF14" i="9" s="1"/>
  <c r="BG14" i="9" s="1"/>
  <c r="BD13" i="9"/>
  <c r="BF13" i="9" s="1"/>
  <c r="BW52" i="9"/>
  <c r="BY52" i="9" s="1"/>
  <c r="BZ52" i="9" s="1"/>
  <c r="R41" i="9"/>
  <c r="T41" i="9" s="1"/>
  <c r="U41" i="9" s="1"/>
  <c r="EU37" i="9"/>
  <c r="EW37" i="9" s="1"/>
  <c r="EX37" i="9" s="1"/>
  <c r="BD37" i="9"/>
  <c r="BF37" i="9" s="1"/>
  <c r="BG37" i="9" s="1"/>
  <c r="BD36" i="9"/>
  <c r="BF36" i="9" s="1"/>
  <c r="BG36" i="9" s="1"/>
  <c r="AK35" i="9"/>
  <c r="AM35" i="9" s="1"/>
  <c r="AN35" i="9" s="1"/>
  <c r="BW33" i="9"/>
  <c r="BY33" i="9" s="1"/>
  <c r="BZ33" i="9" s="1"/>
  <c r="BW32" i="9"/>
  <c r="BY32" i="9" s="1"/>
  <c r="BZ32" i="9" s="1"/>
  <c r="DI30" i="9"/>
  <c r="DK30" i="9" s="1"/>
  <c r="DL30" i="9" s="1"/>
  <c r="CP26" i="9"/>
  <c r="CR26" i="9" s="1"/>
  <c r="CS26" i="9" s="1"/>
  <c r="AK25" i="9"/>
  <c r="AM25" i="9" s="1"/>
  <c r="AN25" i="9" s="1"/>
  <c r="DI24" i="9"/>
  <c r="DK24" i="9" s="1"/>
  <c r="DL24" i="9" s="1"/>
  <c r="BW23" i="9"/>
  <c r="BY23" i="9" s="1"/>
  <c r="BZ23" i="9" s="1"/>
  <c r="BD21" i="9"/>
  <c r="BF21" i="9" s="1"/>
  <c r="BG21" i="9" s="1"/>
  <c r="BW20" i="9"/>
  <c r="BY20" i="9" s="1"/>
  <c r="BZ20" i="9" s="1"/>
  <c r="DI18" i="9"/>
  <c r="DK18" i="9" s="1"/>
  <c r="DL18" i="9" s="1"/>
  <c r="BD17" i="9"/>
  <c r="BF17" i="9" s="1"/>
  <c r="BG17" i="9" s="1"/>
  <c r="EB16" i="9"/>
  <c r="ED16" i="9" s="1"/>
  <c r="EE16" i="9" s="1"/>
  <c r="R15" i="9"/>
  <c r="T15" i="9" s="1"/>
  <c r="U15" i="9" s="1"/>
  <c r="EB13" i="9"/>
  <c r="ED13" i="9" s="1"/>
  <c r="DI92" i="9"/>
  <c r="DK92" i="9" s="1"/>
  <c r="DL92" i="9" s="1"/>
  <c r="EU48" i="9"/>
  <c r="EW48" i="9" s="1"/>
  <c r="EX48" i="9" s="1"/>
  <c r="EB40" i="9"/>
  <c r="ED40" i="9" s="1"/>
  <c r="EE40" i="9" s="1"/>
  <c r="BD38" i="9"/>
  <c r="BF38" i="9" s="1"/>
  <c r="BG38" i="9" s="1"/>
  <c r="R32" i="9"/>
  <c r="T32" i="9" s="1"/>
  <c r="U32" i="9" s="1"/>
  <c r="CP29" i="9"/>
  <c r="CR29" i="9" s="1"/>
  <c r="CS29" i="9" s="1"/>
  <c r="EU27" i="9"/>
  <c r="EW27" i="9" s="1"/>
  <c r="EX27" i="9" s="1"/>
  <c r="BW26" i="9"/>
  <c r="BY26" i="9" s="1"/>
  <c r="BZ26" i="9" s="1"/>
  <c r="DI22" i="9"/>
  <c r="DK22" i="9" s="1"/>
  <c r="DL22" i="9" s="1"/>
  <c r="EB19" i="9"/>
  <c r="ED19" i="9" s="1"/>
  <c r="EE19" i="9" s="1"/>
  <c r="CP18" i="9"/>
  <c r="CR18" i="9" s="1"/>
  <c r="CS18" i="9" s="1"/>
  <c r="CP15" i="9"/>
  <c r="CR15" i="9" s="1"/>
  <c r="CS15" i="9" s="1"/>
  <c r="AK14" i="9"/>
  <c r="AM14" i="9" s="1"/>
  <c r="AN14" i="9" s="1"/>
  <c r="AK13" i="9"/>
  <c r="AM13" i="9" s="1"/>
  <c r="EU16" i="9"/>
  <c r="EW16" i="9" s="1"/>
  <c r="EX16" i="9" s="1"/>
  <c r="EU13" i="9"/>
  <c r="EW13" i="9" s="1"/>
  <c r="R45" i="9"/>
  <c r="T45" i="9" s="1"/>
  <c r="U45" i="9" s="1"/>
  <c r="DI40" i="9"/>
  <c r="DK40" i="9" s="1"/>
  <c r="DL40" i="9" s="1"/>
  <c r="DI37" i="9"/>
  <c r="DK37" i="9" s="1"/>
  <c r="DL37" i="9" s="1"/>
  <c r="AK36" i="9"/>
  <c r="AM36" i="9" s="1"/>
  <c r="AN36" i="9" s="1"/>
  <c r="EB34" i="9"/>
  <c r="ED34" i="9" s="1"/>
  <c r="EE34" i="9" s="1"/>
  <c r="CP28" i="9"/>
  <c r="CR28" i="9" s="1"/>
  <c r="CS28" i="9" s="1"/>
  <c r="EB27" i="9"/>
  <c r="ED27" i="9" s="1"/>
  <c r="EE27" i="9" s="1"/>
  <c r="AK26" i="9"/>
  <c r="AM26" i="9" s="1"/>
  <c r="AN26" i="9" s="1"/>
  <c r="BW24" i="9"/>
  <c r="BY24" i="9" s="1"/>
  <c r="BZ24" i="9" s="1"/>
  <c r="BD23" i="9"/>
  <c r="BF23" i="9" s="1"/>
  <c r="BG23" i="9" s="1"/>
  <c r="EU21" i="9"/>
  <c r="EW21" i="9" s="1"/>
  <c r="EX21" i="9" s="1"/>
  <c r="BD20" i="9"/>
  <c r="BF20" i="9" s="1"/>
  <c r="BG20" i="9" s="1"/>
  <c r="CP19" i="9"/>
  <c r="CR19" i="9" s="1"/>
  <c r="CS19" i="9" s="1"/>
  <c r="BW18" i="9"/>
  <c r="BY18" i="9" s="1"/>
  <c r="BZ18" i="9" s="1"/>
  <c r="AK17" i="9"/>
  <c r="AM17" i="9" s="1"/>
  <c r="AN17" i="9" s="1"/>
  <c r="DI16" i="9"/>
  <c r="DK16" i="9" s="1"/>
  <c r="DL16" i="9" s="1"/>
  <c r="DI13" i="9"/>
  <c r="DK13" i="9" s="1"/>
  <c r="EB24" i="9"/>
  <c r="ED24" i="9" s="1"/>
  <c r="EE24" i="9" s="1"/>
  <c r="DI43" i="9"/>
  <c r="DK43" i="9" s="1"/>
  <c r="DL43" i="9" s="1"/>
  <c r="DI39" i="9"/>
  <c r="DK39" i="9" s="1"/>
  <c r="DL39" i="9" s="1"/>
  <c r="EU36" i="9"/>
  <c r="EW36" i="9" s="1"/>
  <c r="EX36" i="9" s="1"/>
  <c r="R33" i="9"/>
  <c r="T33" i="9" s="1"/>
  <c r="U33" i="9" s="1"/>
  <c r="R31" i="9"/>
  <c r="T31" i="9" s="1"/>
  <c r="U31" i="9" s="1"/>
  <c r="BD29" i="9"/>
  <c r="BF29" i="9" s="1"/>
  <c r="BG29" i="9" s="1"/>
  <c r="CP27" i="9"/>
  <c r="CR27" i="9" s="1"/>
  <c r="CS27" i="9" s="1"/>
  <c r="R25" i="9"/>
  <c r="T25" i="9" s="1"/>
  <c r="U25" i="9" s="1"/>
  <c r="R24" i="9"/>
  <c r="T24" i="9" s="1"/>
  <c r="U24" i="9" s="1"/>
  <c r="BD22" i="9"/>
  <c r="BF22" i="9" s="1"/>
  <c r="BG22" i="9" s="1"/>
  <c r="AK19" i="9"/>
  <c r="AM19" i="9" s="1"/>
  <c r="AN19" i="9" s="1"/>
  <c r="AK18" i="9"/>
  <c r="AM18" i="9" s="1"/>
  <c r="AN18" i="9" s="1"/>
  <c r="BW16" i="9"/>
  <c r="BY16" i="9" s="1"/>
  <c r="BZ16" i="9" s="1"/>
  <c r="BW15" i="9"/>
  <c r="BY15" i="9" s="1"/>
  <c r="BZ15" i="9" s="1"/>
  <c r="EU14" i="9"/>
  <c r="EW14" i="9" s="1"/>
  <c r="EX14" i="9" s="1"/>
  <c r="R14" i="9"/>
  <c r="T14" i="9" s="1"/>
  <c r="U14" i="9" s="1"/>
  <c r="BW41" i="9"/>
  <c r="BY41" i="9" s="1"/>
  <c r="BZ41" i="9" s="1"/>
  <c r="CP20" i="9"/>
  <c r="CR20" i="9" s="1"/>
  <c r="CS20" i="9" s="1"/>
  <c r="CP89" i="9"/>
  <c r="CR89" i="9" s="1"/>
  <c r="CS89" i="9" s="1"/>
  <c r="CP42" i="9"/>
  <c r="CR42" i="9" s="1"/>
  <c r="CS42" i="9" s="1"/>
  <c r="BW34" i="9"/>
  <c r="BY34" i="9" s="1"/>
  <c r="BZ34" i="9" s="1"/>
  <c r="EB25" i="9"/>
  <c r="ED25" i="9" s="1"/>
  <c r="EE25" i="9" s="1"/>
  <c r="R23" i="9"/>
  <c r="T23" i="9" s="1"/>
  <c r="U23" i="9" s="1"/>
  <c r="DI21" i="9"/>
  <c r="DK21" i="9" s="1"/>
  <c r="DL21" i="9" s="1"/>
  <c r="EU20" i="9"/>
  <c r="EW20" i="9" s="1"/>
  <c r="EX20" i="9" s="1"/>
  <c r="AK20" i="9"/>
  <c r="AM20" i="9" s="1"/>
  <c r="AN20" i="9" s="1"/>
  <c r="R19" i="9"/>
  <c r="T19" i="9" s="1"/>
  <c r="U19" i="9" s="1"/>
  <c r="R17" i="9"/>
  <c r="T17" i="9" s="1"/>
  <c r="U17" i="9" s="1"/>
  <c r="R16" i="9"/>
  <c r="T16" i="9" s="1"/>
  <c r="U16" i="9" s="1"/>
  <c r="BD59" i="9"/>
  <c r="BF59" i="9" s="1"/>
  <c r="BG59" i="9" s="1"/>
  <c r="EB35" i="9"/>
  <c r="ED35" i="9" s="1"/>
  <c r="EE35" i="9" s="1"/>
  <c r="EU29" i="9"/>
  <c r="EW29" i="9" s="1"/>
  <c r="EX29" i="9" s="1"/>
  <c r="BW25" i="9"/>
  <c r="BY25" i="9" s="1"/>
  <c r="BZ25" i="9" s="1"/>
  <c r="EB77" i="9"/>
  <c r="ED77" i="9" s="1"/>
  <c r="EE77" i="9" s="1"/>
  <c r="BW42" i="9"/>
  <c r="BY42" i="9" s="1"/>
  <c r="BZ42" i="9" s="1"/>
  <c r="EU38" i="9"/>
  <c r="EW38" i="9" s="1"/>
  <c r="EX38" i="9" s="1"/>
  <c r="R38" i="9"/>
  <c r="T38" i="9" s="1"/>
  <c r="U38" i="9" s="1"/>
  <c r="CP37" i="9"/>
  <c r="CR37" i="9" s="1"/>
  <c r="CS37" i="9" s="1"/>
  <c r="CP36" i="9"/>
  <c r="CR36" i="9" s="1"/>
  <c r="CS36" i="9" s="1"/>
  <c r="EU35" i="9"/>
  <c r="EW35" i="9" s="1"/>
  <c r="EX35" i="9" s="1"/>
  <c r="BD28" i="9"/>
  <c r="BF28" i="9" s="1"/>
  <c r="BG28" i="9" s="1"/>
  <c r="AK27" i="9"/>
  <c r="AM27" i="9" s="1"/>
  <c r="AN27" i="9" s="1"/>
  <c r="DI23" i="9"/>
  <c r="DK23" i="9" s="1"/>
  <c r="DL23" i="9" s="1"/>
  <c r="EB17" i="9"/>
  <c r="ED17" i="9" s="1"/>
  <c r="EE17" i="9" s="1"/>
  <c r="BD15" i="9"/>
  <c r="BF15" i="9" s="1"/>
  <c r="BG15" i="9" s="1"/>
  <c r="DI14" i="9"/>
  <c r="DK14" i="9" s="1"/>
  <c r="DL14" i="9" s="1"/>
  <c r="BW13" i="9"/>
  <c r="BY13" i="9" s="1"/>
  <c r="BD74" i="9"/>
  <c r="BF74" i="9" s="1"/>
  <c r="BG74" i="9" s="1"/>
  <c r="EB33" i="9"/>
  <c r="ED33" i="9" s="1"/>
  <c r="EE33" i="9" s="1"/>
  <c r="EU30" i="9"/>
  <c r="EW30" i="9" s="1"/>
  <c r="EX30" i="9" s="1"/>
  <c r="CP21" i="9"/>
  <c r="CR21" i="9" s="1"/>
  <c r="CS21" i="9" s="1"/>
  <c r="R103" i="9"/>
  <c r="T103" i="9" s="1"/>
  <c r="U103" i="9" s="1"/>
  <c r="R67" i="9"/>
  <c r="T67" i="9" s="1"/>
  <c r="U67" i="9" s="1"/>
  <c r="EU74" i="9"/>
  <c r="EW74" i="9" s="1"/>
  <c r="EX74" i="9" s="1"/>
  <c r="AK62" i="9"/>
  <c r="AM62" i="9" s="1"/>
  <c r="AN62" i="9" s="1"/>
  <c r="AK88" i="9"/>
  <c r="AM88" i="9" s="1"/>
  <c r="AN88" i="9" s="1"/>
  <c r="CP87" i="9"/>
  <c r="CR87" i="9" s="1"/>
  <c r="CS87" i="9" s="1"/>
  <c r="R106" i="9"/>
  <c r="T106" i="9" s="1"/>
  <c r="U106" i="9" s="1"/>
  <c r="BW92" i="9"/>
  <c r="BY92" i="9" s="1"/>
  <c r="BZ92" i="9" s="1"/>
  <c r="DI29" i="9"/>
  <c r="DK29" i="9" s="1"/>
  <c r="DL29" i="9" s="1"/>
  <c r="CP79" i="9"/>
  <c r="CR79" i="9" s="1"/>
  <c r="CS79" i="9" s="1"/>
  <c r="BW62" i="9"/>
  <c r="BY62" i="9" s="1"/>
  <c r="BZ62" i="9" s="1"/>
  <c r="CP71" i="9"/>
  <c r="CR71" i="9" s="1"/>
  <c r="CS71" i="9" s="1"/>
  <c r="DI60" i="9"/>
  <c r="DK60" i="9" s="1"/>
  <c r="DL60" i="9" s="1"/>
  <c r="BD73" i="9"/>
  <c r="BF73" i="9" s="1"/>
  <c r="BG73" i="9" s="1"/>
  <c r="DI84" i="9"/>
  <c r="DK84" i="9" s="1"/>
  <c r="DL84" i="9" s="1"/>
  <c r="R40" i="9"/>
  <c r="T40" i="9" s="1"/>
  <c r="U40" i="9" s="1"/>
  <c r="AK48" i="9"/>
  <c r="AM48" i="9" s="1"/>
  <c r="AN48" i="9" s="1"/>
  <c r="R75" i="9"/>
  <c r="T75" i="9" s="1"/>
  <c r="U75" i="9" s="1"/>
  <c r="R76" i="9"/>
  <c r="T76" i="9" s="1"/>
  <c r="U76" i="9" s="1"/>
  <c r="R59" i="9"/>
  <c r="T59" i="9" s="1"/>
  <c r="U59" i="9" s="1"/>
  <c r="EB69" i="9"/>
  <c r="ED69" i="9" s="1"/>
  <c r="EE69" i="9" s="1"/>
  <c r="EU57" i="9"/>
  <c r="EW57" i="9" s="1"/>
  <c r="EX57" i="9" s="1"/>
  <c r="AK72" i="9"/>
  <c r="AM72" i="9" s="1"/>
  <c r="AN72" i="9" s="1"/>
  <c r="EB70" i="9"/>
  <c r="ED70" i="9" s="1"/>
  <c r="EE70" i="9" s="1"/>
  <c r="BD39" i="9"/>
  <c r="BF39" i="9" s="1"/>
  <c r="BG39" i="9" s="1"/>
  <c r="CP44" i="9"/>
  <c r="CR44" i="9" s="1"/>
  <c r="CS44" i="9" s="1"/>
  <c r="BW61" i="9"/>
  <c r="BY61" i="9" s="1"/>
  <c r="BZ61" i="9" s="1"/>
  <c r="EU73" i="9"/>
  <c r="EW73" i="9" s="1"/>
  <c r="EX73" i="9" s="1"/>
  <c r="DI52" i="9"/>
  <c r="DK52" i="9" s="1"/>
  <c r="DL52" i="9" s="1"/>
  <c r="BD51" i="9"/>
  <c r="BF51" i="9" s="1"/>
  <c r="BG51" i="9" s="1"/>
  <c r="BD50" i="9"/>
  <c r="BF50" i="9" s="1"/>
  <c r="BG50" i="9" s="1"/>
  <c r="EU58" i="9"/>
  <c r="EW58" i="9" s="1"/>
  <c r="EX58" i="9" s="1"/>
  <c r="DI66" i="9"/>
  <c r="DK66" i="9" s="1"/>
  <c r="DL66" i="9" s="1"/>
  <c r="CP35" i="9"/>
  <c r="CR35" i="9" s="1"/>
  <c r="CS35" i="9" s="1"/>
  <c r="BW39" i="9"/>
  <c r="BY39" i="9" s="1"/>
  <c r="BZ39" i="9" s="1"/>
  <c r="BD57" i="9"/>
  <c r="BF57" i="9" s="1"/>
  <c r="BG57" i="9" s="1"/>
  <c r="CP72" i="9"/>
  <c r="CR72" i="9" s="1"/>
  <c r="CS72" i="9" s="1"/>
  <c r="DI50" i="9"/>
  <c r="DK50" i="9" s="1"/>
  <c r="DL50" i="9" s="1"/>
  <c r="EB111" i="9"/>
  <c r="ED111" i="9" s="1"/>
  <c r="EE111" i="9" s="1"/>
  <c r="BD49" i="9"/>
  <c r="BF49" i="9" s="1"/>
  <c r="BG49" i="9" s="1"/>
  <c r="AK54" i="9"/>
  <c r="AM54" i="9" s="1"/>
  <c r="AN54" i="9" s="1"/>
  <c r="CP64" i="9"/>
  <c r="CR64" i="9" s="1"/>
  <c r="CS64" i="9" s="1"/>
  <c r="AK34" i="9"/>
  <c r="AM34" i="9" s="1"/>
  <c r="AN34" i="9" s="1"/>
  <c r="CP34" i="9"/>
  <c r="CR34" i="9" s="1"/>
  <c r="CS34" i="9" s="1"/>
  <c r="R61" i="9"/>
  <c r="T61" i="9" s="1"/>
  <c r="U61" i="9" s="1"/>
  <c r="CP49" i="9"/>
  <c r="CR49" i="9" s="1"/>
  <c r="CS49" i="9" s="1"/>
  <c r="DI93" i="9"/>
  <c r="DK93" i="9" s="1"/>
  <c r="DL93" i="9" s="1"/>
  <c r="AK47" i="9"/>
  <c r="AM47" i="9" s="1"/>
  <c r="AN47" i="9" s="1"/>
  <c r="R52" i="9"/>
  <c r="T52" i="9" s="1"/>
  <c r="U52" i="9" s="1"/>
  <c r="AK63" i="9"/>
  <c r="AM63" i="9" s="1"/>
  <c r="AN63" i="9" s="1"/>
  <c r="AK33" i="9"/>
  <c r="AM33" i="9" s="1"/>
  <c r="AN33" i="9" s="1"/>
  <c r="EB32" i="9"/>
  <c r="ED32" i="9" s="1"/>
  <c r="EE32" i="9" s="1"/>
  <c r="CP122" i="9"/>
  <c r="CR122" i="9" s="1"/>
  <c r="CS122" i="9" s="1"/>
  <c r="EU115" i="9"/>
  <c r="EW115" i="9" s="1"/>
  <c r="EX115" i="9" s="1"/>
  <c r="EB78" i="9"/>
  <c r="ED78" i="9" s="1"/>
  <c r="EE78" i="9" s="1"/>
  <c r="DI110" i="9"/>
  <c r="DK110" i="9" s="1"/>
  <c r="DL110" i="9" s="1"/>
  <c r="CP107" i="9"/>
  <c r="CR107" i="9" s="1"/>
  <c r="CS107" i="9" s="1"/>
  <c r="AK56" i="9"/>
  <c r="AM56" i="9" s="1"/>
  <c r="AN56" i="9" s="1"/>
  <c r="BW31" i="9"/>
  <c r="BY31" i="9" s="1"/>
  <c r="BZ31" i="9" s="1"/>
  <c r="DI31" i="9"/>
  <c r="DK31" i="9" s="1"/>
  <c r="DL31" i="9" s="1"/>
  <c r="R30" i="9"/>
  <c r="T30" i="9" s="1"/>
  <c r="U30" i="9" s="1"/>
  <c r="R39" i="9"/>
  <c r="T39" i="9" s="1"/>
  <c r="U39" i="9" s="1"/>
  <c r="DI46" i="9"/>
  <c r="DK46" i="9" s="1"/>
  <c r="DL46" i="9" s="1"/>
  <c r="R69" i="9"/>
  <c r="T69" i="9" s="1"/>
  <c r="U69" i="9" s="1"/>
  <c r="R84" i="9"/>
  <c r="T84" i="9" s="1"/>
  <c r="U84" i="9" s="1"/>
  <c r="CP362" i="9"/>
  <c r="CR362" i="9" s="1"/>
  <c r="CS362" i="9" s="1"/>
  <c r="BW361" i="9"/>
  <c r="BY361" i="9" s="1"/>
  <c r="BZ361" i="9" s="1"/>
  <c r="EU361" i="9"/>
  <c r="EW361" i="9" s="1"/>
  <c r="EX361" i="9" s="1"/>
  <c r="EU359" i="9"/>
  <c r="EW359" i="9" s="1"/>
  <c r="EX359" i="9" s="1"/>
  <c r="AK358" i="9"/>
  <c r="AM358" i="9" s="1"/>
  <c r="AN358" i="9" s="1"/>
  <c r="EB355" i="9"/>
  <c r="ED355" i="9" s="1"/>
  <c r="EE355" i="9" s="1"/>
  <c r="BD357" i="9"/>
  <c r="BF357" i="9" s="1"/>
  <c r="BG357" i="9" s="1"/>
  <c r="EU355" i="9"/>
  <c r="EW355" i="9" s="1"/>
  <c r="EX355" i="9" s="1"/>
  <c r="EU353" i="9"/>
  <c r="EW353" i="9" s="1"/>
  <c r="EX353" i="9" s="1"/>
  <c r="R352" i="9"/>
  <c r="T352" i="9" s="1"/>
  <c r="U352" i="9" s="1"/>
  <c r="DI360" i="9"/>
  <c r="DK360" i="9" s="1"/>
  <c r="DL360" i="9" s="1"/>
  <c r="EU357" i="9"/>
  <c r="EW357" i="9" s="1"/>
  <c r="EX357" i="9" s="1"/>
  <c r="DI350" i="9"/>
  <c r="DK350" i="9" s="1"/>
  <c r="DL350" i="9" s="1"/>
  <c r="DI348" i="9"/>
  <c r="DK348" i="9" s="1"/>
  <c r="DL348" i="9" s="1"/>
  <c r="DI351" i="9"/>
  <c r="DK351" i="9" s="1"/>
  <c r="DL351" i="9" s="1"/>
  <c r="EU351" i="9"/>
  <c r="EW351" i="9" s="1"/>
  <c r="EX351" i="9" s="1"/>
  <c r="R347" i="9"/>
  <c r="T347" i="9" s="1"/>
  <c r="U347" i="9" s="1"/>
  <c r="EB339" i="9"/>
  <c r="ED339" i="9" s="1"/>
  <c r="EE339" i="9" s="1"/>
  <c r="EU344" i="9"/>
  <c r="EW344" i="9" s="1"/>
  <c r="EX344" i="9" s="1"/>
  <c r="CP344" i="9"/>
  <c r="CR344" i="9" s="1"/>
  <c r="CS344" i="9" s="1"/>
  <c r="EB343" i="9"/>
  <c r="ED343" i="9" s="1"/>
  <c r="EE343" i="9" s="1"/>
  <c r="EB340" i="9"/>
  <c r="ED340" i="9" s="1"/>
  <c r="EE340" i="9" s="1"/>
  <c r="BD338" i="9"/>
  <c r="BF338" i="9" s="1"/>
  <c r="BG338" i="9" s="1"/>
  <c r="CP350" i="9"/>
  <c r="CR350" i="9" s="1"/>
  <c r="CS350" i="9" s="1"/>
  <c r="R343" i="9"/>
  <c r="T343" i="9" s="1"/>
  <c r="U343" i="9" s="1"/>
  <c r="AK345" i="9"/>
  <c r="AM345" i="9" s="1"/>
  <c r="AN345" i="9" s="1"/>
  <c r="DI335" i="9"/>
  <c r="DK335" i="9" s="1"/>
  <c r="DL335" i="9" s="1"/>
  <c r="DI336" i="9"/>
  <c r="DK336" i="9" s="1"/>
  <c r="DL336" i="9" s="1"/>
  <c r="EU340" i="9"/>
  <c r="EW340" i="9" s="1"/>
  <c r="EX340" i="9" s="1"/>
  <c r="R334" i="9"/>
  <c r="T334" i="9" s="1"/>
  <c r="U334" i="9" s="1"/>
  <c r="EU332" i="9"/>
  <c r="EW332" i="9" s="1"/>
  <c r="EX332" i="9" s="1"/>
  <c r="BD334" i="9"/>
  <c r="BF334" i="9" s="1"/>
  <c r="BG334" i="9" s="1"/>
  <c r="EB330" i="9"/>
  <c r="ED330" i="9" s="1"/>
  <c r="EE330" i="9" s="1"/>
  <c r="AK333" i="9"/>
  <c r="AM333" i="9" s="1"/>
  <c r="AN333" i="9" s="1"/>
  <c r="R327" i="9"/>
  <c r="T327" i="9" s="1"/>
  <c r="U327" i="9" s="1"/>
  <c r="DI327" i="9"/>
  <c r="DK327" i="9" s="1"/>
  <c r="DL327" i="9" s="1"/>
  <c r="BD327" i="9"/>
  <c r="BF327" i="9" s="1"/>
  <c r="BG327" i="9" s="1"/>
  <c r="AK325" i="9"/>
  <c r="AM325" i="9" s="1"/>
  <c r="AN325" i="9" s="1"/>
  <c r="EU319" i="9"/>
  <c r="EW319" i="9" s="1"/>
  <c r="EX319" i="9" s="1"/>
  <c r="AK318" i="9"/>
  <c r="AM318" i="9" s="1"/>
  <c r="AN318" i="9" s="1"/>
  <c r="CP320" i="9"/>
  <c r="CR320" i="9" s="1"/>
  <c r="CS320" i="9" s="1"/>
  <c r="R317" i="9"/>
  <c r="T317" i="9" s="1"/>
  <c r="U317" i="9" s="1"/>
  <c r="R318" i="9"/>
  <c r="T318" i="9" s="1"/>
  <c r="U318" i="9" s="1"/>
  <c r="R319" i="9"/>
  <c r="T319" i="9" s="1"/>
  <c r="U319" i="9" s="1"/>
  <c r="AK317" i="9"/>
  <c r="AM317" i="9" s="1"/>
  <c r="AN317" i="9" s="1"/>
  <c r="BD157" i="9"/>
  <c r="BF157" i="9" s="1"/>
  <c r="BG157" i="9" s="1"/>
  <c r="BD30" i="9"/>
  <c r="BF30" i="9" s="1"/>
  <c r="BG30" i="9" s="1"/>
  <c r="BW40" i="9"/>
  <c r="BY40" i="9" s="1"/>
  <c r="BZ40" i="9" s="1"/>
  <c r="CP48" i="9"/>
  <c r="CR48" i="9" s="1"/>
  <c r="CS48" i="9" s="1"/>
  <c r="BW69" i="9"/>
  <c r="BY69" i="9" s="1"/>
  <c r="BZ69" i="9" s="1"/>
  <c r="EB85" i="9"/>
  <c r="ED85" i="9" s="1"/>
  <c r="EE85" i="9" s="1"/>
  <c r="AK361" i="9"/>
  <c r="AM361" i="9" s="1"/>
  <c r="AN361" i="9" s="1"/>
  <c r="BW363" i="9"/>
  <c r="BY363" i="9" s="1"/>
  <c r="BZ363" i="9" s="1"/>
  <c r="AK360" i="9"/>
  <c r="AM360" i="9" s="1"/>
  <c r="AN360" i="9" s="1"/>
  <c r="CP358" i="9"/>
  <c r="CR358" i="9" s="1"/>
  <c r="CS358" i="9" s="1"/>
  <c r="BD356" i="9"/>
  <c r="BF356" i="9" s="1"/>
  <c r="BG356" i="9" s="1"/>
  <c r="CP360" i="9"/>
  <c r="CR360" i="9" s="1"/>
  <c r="CS360" i="9" s="1"/>
  <c r="BW355" i="9"/>
  <c r="BY355" i="9" s="1"/>
  <c r="BZ355" i="9" s="1"/>
  <c r="DI355" i="9"/>
  <c r="DK355" i="9" s="1"/>
  <c r="DL355" i="9" s="1"/>
  <c r="CP353" i="9"/>
  <c r="CR353" i="9" s="1"/>
  <c r="CS353" i="9" s="1"/>
  <c r="DI352" i="9"/>
  <c r="DK352" i="9" s="1"/>
  <c r="DL352" i="9" s="1"/>
  <c r="EB354" i="9"/>
  <c r="ED354" i="9" s="1"/>
  <c r="EE354" i="9" s="1"/>
  <c r="DI353" i="9"/>
  <c r="DK353" i="9" s="1"/>
  <c r="DL353" i="9" s="1"/>
  <c r="EU350" i="9"/>
  <c r="EW350" i="9" s="1"/>
  <c r="EX350" i="9" s="1"/>
  <c r="BD347" i="9"/>
  <c r="BF347" i="9" s="1"/>
  <c r="BG347" i="9" s="1"/>
  <c r="BD349" i="9"/>
  <c r="BF349" i="9" s="1"/>
  <c r="BG349" i="9" s="1"/>
  <c r="CP349" i="9"/>
  <c r="CR349" i="9" s="1"/>
  <c r="CS349" i="9" s="1"/>
  <c r="EB345" i="9"/>
  <c r="ED345" i="9" s="1"/>
  <c r="EE345" i="9" s="1"/>
  <c r="DI346" i="9"/>
  <c r="DK346" i="9" s="1"/>
  <c r="DL346" i="9" s="1"/>
  <c r="CP343" i="9"/>
  <c r="CR343" i="9" s="1"/>
  <c r="CS343" i="9" s="1"/>
  <c r="AK343" i="9"/>
  <c r="AM343" i="9" s="1"/>
  <c r="AN343" i="9" s="1"/>
  <c r="BW342" i="9"/>
  <c r="BY342" i="9" s="1"/>
  <c r="BZ342" i="9" s="1"/>
  <c r="R339" i="9"/>
  <c r="T339" i="9" s="1"/>
  <c r="U339" i="9" s="1"/>
  <c r="EU337" i="9"/>
  <c r="EW337" i="9" s="1"/>
  <c r="EX337" i="9" s="1"/>
  <c r="DI342" i="9"/>
  <c r="DK342" i="9" s="1"/>
  <c r="DL342" i="9" s="1"/>
  <c r="BD341" i="9"/>
  <c r="BF341" i="9" s="1"/>
  <c r="BG341" i="9" s="1"/>
  <c r="EU341" i="9"/>
  <c r="EW341" i="9" s="1"/>
  <c r="EX341" i="9" s="1"/>
  <c r="CP339" i="9"/>
  <c r="CR339" i="9" s="1"/>
  <c r="CS339" i="9" s="1"/>
  <c r="EB334" i="9"/>
  <c r="ED334" i="9" s="1"/>
  <c r="EE334" i="9" s="1"/>
  <c r="AK335" i="9"/>
  <c r="AM335" i="9" s="1"/>
  <c r="AN335" i="9" s="1"/>
  <c r="DI333" i="9"/>
  <c r="DK333" i="9" s="1"/>
  <c r="DL333" i="9" s="1"/>
  <c r="AK341" i="9"/>
  <c r="AM341" i="9" s="1"/>
  <c r="AN341" i="9" s="1"/>
  <c r="CP329" i="9"/>
  <c r="CR329" i="9" s="1"/>
  <c r="CS329" i="9" s="1"/>
  <c r="AK330" i="9"/>
  <c r="AM330" i="9" s="1"/>
  <c r="AN330" i="9" s="1"/>
  <c r="BW332" i="9"/>
  <c r="BY332" i="9" s="1"/>
  <c r="BZ332" i="9" s="1"/>
  <c r="DI326" i="9"/>
  <c r="DK326" i="9" s="1"/>
  <c r="DL326" i="9" s="1"/>
  <c r="BD326" i="9"/>
  <c r="BF326" i="9" s="1"/>
  <c r="BG326" i="9" s="1"/>
  <c r="EU326" i="9"/>
  <c r="EW326" i="9" s="1"/>
  <c r="EX326" i="9" s="1"/>
  <c r="EB324" i="9"/>
  <c r="ED324" i="9" s="1"/>
  <c r="EE324" i="9" s="1"/>
  <c r="R330" i="9"/>
  <c r="T330" i="9" s="1"/>
  <c r="U330" i="9" s="1"/>
  <c r="EB317" i="9"/>
  <c r="ED317" i="9" s="1"/>
  <c r="EE317" i="9" s="1"/>
  <c r="AK319" i="9"/>
  <c r="AM319" i="9" s="1"/>
  <c r="AN319" i="9" s="1"/>
  <c r="AK331" i="9"/>
  <c r="AM331" i="9" s="1"/>
  <c r="AN331" i="9" s="1"/>
  <c r="DI317" i="9"/>
  <c r="DK317" i="9" s="1"/>
  <c r="DL317" i="9" s="1"/>
  <c r="DI318" i="9"/>
  <c r="DK318" i="9" s="1"/>
  <c r="DL318" i="9" s="1"/>
  <c r="AK315" i="9"/>
  <c r="AM315" i="9" s="1"/>
  <c r="AN315" i="9" s="1"/>
  <c r="BD100" i="9"/>
  <c r="BF100" i="9" s="1"/>
  <c r="BG100" i="9" s="1"/>
  <c r="EB41" i="9"/>
  <c r="ED41" i="9" s="1"/>
  <c r="EE41" i="9" s="1"/>
  <c r="DI51" i="9"/>
  <c r="DK51" i="9" s="1"/>
  <c r="DL51" i="9" s="1"/>
  <c r="BW70" i="9"/>
  <c r="BY70" i="9" s="1"/>
  <c r="BZ70" i="9" s="1"/>
  <c r="EB86" i="9"/>
  <c r="ED86" i="9" s="1"/>
  <c r="EE86" i="9" s="1"/>
  <c r="EB360" i="9"/>
  <c r="ED360" i="9" s="1"/>
  <c r="EE360" i="9" s="1"/>
  <c r="R362" i="9"/>
  <c r="T362" i="9" s="1"/>
  <c r="U362" i="9" s="1"/>
  <c r="R360" i="9"/>
  <c r="T360" i="9" s="1"/>
  <c r="U360" i="9" s="1"/>
  <c r="DI362" i="9"/>
  <c r="DK362" i="9" s="1"/>
  <c r="DL362" i="9" s="1"/>
  <c r="BW360" i="9"/>
  <c r="BY360" i="9" s="1"/>
  <c r="BZ360" i="9" s="1"/>
  <c r="EB357" i="9"/>
  <c r="ED357" i="9" s="1"/>
  <c r="EE357" i="9" s="1"/>
  <c r="R354" i="9"/>
  <c r="T354" i="9" s="1"/>
  <c r="U354" i="9" s="1"/>
  <c r="BD353" i="9"/>
  <c r="BF353" i="9" s="1"/>
  <c r="BG353" i="9" s="1"/>
  <c r="CP361" i="9"/>
  <c r="CR361" i="9" s="1"/>
  <c r="CS361" i="9" s="1"/>
  <c r="BW352" i="9"/>
  <c r="BY352" i="9" s="1"/>
  <c r="BZ352" i="9" s="1"/>
  <c r="EB353" i="9"/>
  <c r="ED353" i="9" s="1"/>
  <c r="EE353" i="9" s="1"/>
  <c r="EB352" i="9"/>
  <c r="ED352" i="9" s="1"/>
  <c r="EE352" i="9" s="1"/>
  <c r="EU349" i="9"/>
  <c r="EW349" i="9" s="1"/>
  <c r="EX349" i="9" s="1"/>
  <c r="EU346" i="9"/>
  <c r="EW346" i="9" s="1"/>
  <c r="EX346" i="9" s="1"/>
  <c r="EU348" i="9"/>
  <c r="EW348" i="9" s="1"/>
  <c r="EX348" i="9" s="1"/>
  <c r="AK349" i="9"/>
  <c r="AM349" i="9" s="1"/>
  <c r="AN349" i="9" s="1"/>
  <c r="R345" i="9"/>
  <c r="T345" i="9" s="1"/>
  <c r="U345" i="9" s="1"/>
  <c r="BD344" i="9"/>
  <c r="BF344" i="9" s="1"/>
  <c r="BG344" i="9" s="1"/>
  <c r="AK342" i="9"/>
  <c r="AM342" i="9" s="1"/>
  <c r="AN342" i="9" s="1"/>
  <c r="EB342" i="9"/>
  <c r="ED342" i="9" s="1"/>
  <c r="EE342" i="9" s="1"/>
  <c r="R341" i="9"/>
  <c r="T341" i="9" s="1"/>
  <c r="U341" i="9" s="1"/>
  <c r="DI338" i="9"/>
  <c r="DK338" i="9" s="1"/>
  <c r="DL338" i="9" s="1"/>
  <c r="CP336" i="9"/>
  <c r="CR336" i="9" s="1"/>
  <c r="CS336" i="9" s="1"/>
  <c r="CP340" i="9"/>
  <c r="CR340" i="9" s="1"/>
  <c r="CS340" i="9" s="1"/>
  <c r="EU339" i="9"/>
  <c r="EW339" i="9" s="1"/>
  <c r="EX339" i="9" s="1"/>
  <c r="BD340" i="9"/>
  <c r="BF340" i="9" s="1"/>
  <c r="BG340" i="9" s="1"/>
  <c r="BD336" i="9"/>
  <c r="BF336" i="9" s="1"/>
  <c r="BG336" i="9" s="1"/>
  <c r="BW333" i="9"/>
  <c r="BY333" i="9" s="1"/>
  <c r="BZ333" i="9" s="1"/>
  <c r="BW334" i="9"/>
  <c r="BY334" i="9" s="1"/>
  <c r="BZ334" i="9" s="1"/>
  <c r="BD332" i="9"/>
  <c r="BF332" i="9" s="1"/>
  <c r="BG332" i="9" s="1"/>
  <c r="R338" i="9"/>
  <c r="T338" i="9" s="1"/>
  <c r="U338" i="9" s="1"/>
  <c r="AK328" i="9"/>
  <c r="AM328" i="9" s="1"/>
  <c r="AN328" i="9" s="1"/>
  <c r="BW329" i="9"/>
  <c r="BY329" i="9" s="1"/>
  <c r="BZ329" i="9" s="1"/>
  <c r="CP331" i="9"/>
  <c r="CR331" i="9" s="1"/>
  <c r="CS331" i="9" s="1"/>
  <c r="BD325" i="9"/>
  <c r="BF325" i="9" s="1"/>
  <c r="BG325" i="9" s="1"/>
  <c r="EU325" i="9"/>
  <c r="EW325" i="9" s="1"/>
  <c r="EX325" i="9" s="1"/>
  <c r="CP325" i="9"/>
  <c r="CR325" i="9" s="1"/>
  <c r="CS325" i="9" s="1"/>
  <c r="BD335" i="9"/>
  <c r="BF335" i="9" s="1"/>
  <c r="BG335" i="9" s="1"/>
  <c r="CP328" i="9"/>
  <c r="CR328" i="9" s="1"/>
  <c r="CS328" i="9" s="1"/>
  <c r="EU328" i="9"/>
  <c r="EW328" i="9" s="1"/>
  <c r="EX328" i="9" s="1"/>
  <c r="BD323" i="9"/>
  <c r="BF323" i="9" s="1"/>
  <c r="BG323" i="9" s="1"/>
  <c r="BD324" i="9"/>
  <c r="BF324" i="9" s="1"/>
  <c r="BG324" i="9" s="1"/>
  <c r="AK326" i="9"/>
  <c r="AM326" i="9" s="1"/>
  <c r="AN326" i="9" s="1"/>
  <c r="BD317" i="9"/>
  <c r="BF317" i="9" s="1"/>
  <c r="BG317" i="9" s="1"/>
  <c r="EB314" i="9"/>
  <c r="ED314" i="9" s="1"/>
  <c r="EE314" i="9" s="1"/>
  <c r="CP81" i="9"/>
  <c r="CR81" i="9" s="1"/>
  <c r="CS81" i="9" s="1"/>
  <c r="AK42" i="9"/>
  <c r="AM42" i="9" s="1"/>
  <c r="AN42" i="9" s="1"/>
  <c r="EB55" i="9"/>
  <c r="ED55" i="9" s="1"/>
  <c r="EE55" i="9" s="1"/>
  <c r="AK71" i="9"/>
  <c r="AM71" i="9" s="1"/>
  <c r="AN71" i="9" s="1"/>
  <c r="DI363" i="9"/>
  <c r="DK363" i="9" s="1"/>
  <c r="DL363" i="9" s="1"/>
  <c r="CP363" i="9"/>
  <c r="CR363" i="9" s="1"/>
  <c r="CS363" i="9" s="1"/>
  <c r="DI361" i="9"/>
  <c r="DK361" i="9" s="1"/>
  <c r="DL361" i="9" s="1"/>
  <c r="BD359" i="9"/>
  <c r="BF359" i="9" s="1"/>
  <c r="BG359" i="9" s="1"/>
  <c r="CP359" i="9"/>
  <c r="CR359" i="9" s="1"/>
  <c r="CS359" i="9" s="1"/>
  <c r="CP356" i="9"/>
  <c r="CR356" i="9" s="1"/>
  <c r="CS356" i="9" s="1"/>
  <c r="AK357" i="9"/>
  <c r="AM357" i="9" s="1"/>
  <c r="AN357" i="9" s="1"/>
  <c r="EU356" i="9"/>
  <c r="EW356" i="9" s="1"/>
  <c r="EX356" i="9" s="1"/>
  <c r="EU352" i="9"/>
  <c r="EW352" i="9" s="1"/>
  <c r="EX352" i="9" s="1"/>
  <c r="EB359" i="9"/>
  <c r="ED359" i="9" s="1"/>
  <c r="EE359" i="9" s="1"/>
  <c r="BW356" i="9"/>
  <c r="BY356" i="9" s="1"/>
  <c r="BZ356" i="9" s="1"/>
  <c r="AK351" i="9"/>
  <c r="AM351" i="9" s="1"/>
  <c r="AN351" i="9" s="1"/>
  <c r="BD352" i="9"/>
  <c r="BF352" i="9" s="1"/>
  <c r="BG352" i="9" s="1"/>
  <c r="R348" i="9"/>
  <c r="T348" i="9" s="1"/>
  <c r="U348" i="9" s="1"/>
  <c r="EB350" i="9"/>
  <c r="ED350" i="9" s="1"/>
  <c r="EE350" i="9" s="1"/>
  <c r="CP347" i="9"/>
  <c r="CR347" i="9" s="1"/>
  <c r="CS347" i="9" s="1"/>
  <c r="EB348" i="9"/>
  <c r="ED348" i="9" s="1"/>
  <c r="EE348" i="9" s="1"/>
  <c r="DI344" i="9"/>
  <c r="DK344" i="9" s="1"/>
  <c r="DL344" i="9" s="1"/>
  <c r="EU343" i="9"/>
  <c r="EW343" i="9" s="1"/>
  <c r="EX343" i="9" s="1"/>
  <c r="EB341" i="9"/>
  <c r="ED341" i="9" s="1"/>
  <c r="EE341" i="9" s="1"/>
  <c r="BW341" i="9"/>
  <c r="BY341" i="9" s="1"/>
  <c r="BZ341" i="9" s="1"/>
  <c r="DI340" i="9"/>
  <c r="DK340" i="9" s="1"/>
  <c r="DL340" i="9" s="1"/>
  <c r="BD337" i="9"/>
  <c r="BF337" i="9" s="1"/>
  <c r="BG337" i="9" s="1"/>
  <c r="BD339" i="9"/>
  <c r="BF339" i="9" s="1"/>
  <c r="BG339" i="9" s="1"/>
  <c r="CP338" i="9"/>
  <c r="CR338" i="9" s="1"/>
  <c r="CS338" i="9" s="1"/>
  <c r="AK338" i="9"/>
  <c r="AM338" i="9" s="1"/>
  <c r="AN338" i="9" s="1"/>
  <c r="DI339" i="9"/>
  <c r="DK339" i="9" s="1"/>
  <c r="DL339" i="9" s="1"/>
  <c r="EU335" i="9"/>
  <c r="EW335" i="9" s="1"/>
  <c r="EX335" i="9" s="1"/>
  <c r="R332" i="9"/>
  <c r="T332" i="9" s="1"/>
  <c r="U332" i="9" s="1"/>
  <c r="R333" i="9"/>
  <c r="T333" i="9" s="1"/>
  <c r="U333" i="9" s="1"/>
  <c r="EU331" i="9"/>
  <c r="EW331" i="9" s="1"/>
  <c r="EX331" i="9" s="1"/>
  <c r="CP333" i="9"/>
  <c r="CR333" i="9" s="1"/>
  <c r="CS333" i="9" s="1"/>
  <c r="EB327" i="9"/>
  <c r="ED327" i="9" s="1"/>
  <c r="EE327" i="9" s="1"/>
  <c r="EB328" i="9"/>
  <c r="ED328" i="9" s="1"/>
  <c r="EE328" i="9" s="1"/>
  <c r="R331" i="9"/>
  <c r="T331" i="9" s="1"/>
  <c r="U331" i="9" s="1"/>
  <c r="EU324" i="9"/>
  <c r="EW324" i="9" s="1"/>
  <c r="EX324" i="9" s="1"/>
  <c r="CP324" i="9"/>
  <c r="CR324" i="9" s="1"/>
  <c r="CS324" i="9" s="1"/>
  <c r="EU333" i="9"/>
  <c r="EW333" i="9" s="1"/>
  <c r="EX333" i="9" s="1"/>
  <c r="CP327" i="9"/>
  <c r="CR327" i="9" s="1"/>
  <c r="CS327" i="9" s="1"/>
  <c r="R323" i="9"/>
  <c r="T323" i="9" s="1"/>
  <c r="U323" i="9" s="1"/>
  <c r="BW324" i="9"/>
  <c r="BY324" i="9" s="1"/>
  <c r="BZ324" i="9" s="1"/>
  <c r="EU322" i="9"/>
  <c r="EW322" i="9" s="1"/>
  <c r="EX322" i="9" s="1"/>
  <c r="EU323" i="9"/>
  <c r="EW323" i="9" s="1"/>
  <c r="EX323" i="9" s="1"/>
  <c r="BW325" i="9"/>
  <c r="BY325" i="9" s="1"/>
  <c r="BZ325" i="9" s="1"/>
  <c r="EU316" i="9"/>
  <c r="EW316" i="9" s="1"/>
  <c r="EX316" i="9" s="1"/>
  <c r="EB323" i="9"/>
  <c r="ED323" i="9" s="1"/>
  <c r="EE323" i="9" s="1"/>
  <c r="DI67" i="9"/>
  <c r="DK67" i="9" s="1"/>
  <c r="DL67" i="9" s="1"/>
  <c r="R43" i="9"/>
  <c r="T43" i="9" s="1"/>
  <c r="U43" i="9" s="1"/>
  <c r="AK64" i="9"/>
  <c r="AM64" i="9" s="1"/>
  <c r="AN64" i="9" s="1"/>
  <c r="DI76" i="9"/>
  <c r="DK76" i="9" s="1"/>
  <c r="DL76" i="9" s="1"/>
  <c r="BD362" i="9"/>
  <c r="BF362" i="9" s="1"/>
  <c r="BG362" i="9" s="1"/>
  <c r="AK362" i="9"/>
  <c r="AM362" i="9" s="1"/>
  <c r="AN362" i="9" s="1"/>
  <c r="EB363" i="9"/>
  <c r="ED363" i="9" s="1"/>
  <c r="EE363" i="9" s="1"/>
  <c r="EU358" i="9"/>
  <c r="EW358" i="9" s="1"/>
  <c r="EX358" i="9" s="1"/>
  <c r="BW362" i="9"/>
  <c r="BY362" i="9" s="1"/>
  <c r="BZ362" i="9" s="1"/>
  <c r="R363" i="9"/>
  <c r="T363" i="9" s="1"/>
  <c r="U363" i="9" s="1"/>
  <c r="EB356" i="9"/>
  <c r="ED356" i="9" s="1"/>
  <c r="EE356" i="9" s="1"/>
  <c r="R355" i="9"/>
  <c r="T355" i="9" s="1"/>
  <c r="U355" i="9" s="1"/>
  <c r="EU354" i="9"/>
  <c r="EW354" i="9" s="1"/>
  <c r="EX354" i="9" s="1"/>
  <c r="DI358" i="9"/>
  <c r="DK358" i="9" s="1"/>
  <c r="DL358" i="9" s="1"/>
  <c r="AK353" i="9"/>
  <c r="AM353" i="9" s="1"/>
  <c r="AN353" i="9" s="1"/>
  <c r="AK355" i="9"/>
  <c r="AM355" i="9" s="1"/>
  <c r="AN355" i="9" s="1"/>
  <c r="BW351" i="9"/>
  <c r="BY351" i="9" s="1"/>
  <c r="BZ351" i="9" s="1"/>
  <c r="DI347" i="9"/>
  <c r="DK347" i="9" s="1"/>
  <c r="DL347" i="9" s="1"/>
  <c r="BD348" i="9"/>
  <c r="BF348" i="9" s="1"/>
  <c r="BG348" i="9" s="1"/>
  <c r="AK346" i="9"/>
  <c r="AM346" i="9" s="1"/>
  <c r="AN346" i="9" s="1"/>
  <c r="BW347" i="9"/>
  <c r="BY347" i="9" s="1"/>
  <c r="BZ347" i="9" s="1"/>
  <c r="BD343" i="9"/>
  <c r="BF343" i="9" s="1"/>
  <c r="BG343" i="9" s="1"/>
  <c r="CP342" i="9"/>
  <c r="CR342" i="9" s="1"/>
  <c r="CS342" i="9" s="1"/>
  <c r="BW340" i="9"/>
  <c r="BY340" i="9" s="1"/>
  <c r="BZ340" i="9" s="1"/>
  <c r="R340" i="9"/>
  <c r="T340" i="9" s="1"/>
  <c r="U340" i="9" s="1"/>
  <c r="AK347" i="9"/>
  <c r="AM347" i="9" s="1"/>
  <c r="AN347" i="9" s="1"/>
  <c r="EU336" i="9"/>
  <c r="EW336" i="9" s="1"/>
  <c r="EX336" i="9" s="1"/>
  <c r="EU338" i="9"/>
  <c r="EW338" i="9" s="1"/>
  <c r="EX338" i="9" s="1"/>
  <c r="AK337" i="9"/>
  <c r="AM337" i="9" s="1"/>
  <c r="AN337" i="9" s="1"/>
  <c r="EB337" i="9"/>
  <c r="ED337" i="9" s="1"/>
  <c r="EE337" i="9" s="1"/>
  <c r="AK339" i="9"/>
  <c r="AM339" i="9" s="1"/>
  <c r="AN339" i="9" s="1"/>
  <c r="EU334" i="9"/>
  <c r="EW334" i="9" s="1"/>
  <c r="EX334" i="9" s="1"/>
  <c r="DI331" i="9"/>
  <c r="DK331" i="9" s="1"/>
  <c r="DL331" i="9" s="1"/>
  <c r="DI332" i="9"/>
  <c r="DK332" i="9" s="1"/>
  <c r="DL332" i="9" s="1"/>
  <c r="CP330" i="9"/>
  <c r="CR330" i="9" s="1"/>
  <c r="CS330" i="9" s="1"/>
  <c r="AK332" i="9"/>
  <c r="AM332" i="9" s="1"/>
  <c r="AN332" i="9" s="1"/>
  <c r="BW326" i="9"/>
  <c r="BY326" i="9" s="1"/>
  <c r="BZ326" i="9" s="1"/>
  <c r="BW327" i="9"/>
  <c r="BY327" i="9" s="1"/>
  <c r="BZ327" i="9" s="1"/>
  <c r="DI329" i="9"/>
  <c r="DK329" i="9" s="1"/>
  <c r="DL329" i="9" s="1"/>
  <c r="DI341" i="9"/>
  <c r="DK341" i="9" s="1"/>
  <c r="DL341" i="9" s="1"/>
  <c r="BW338" i="9"/>
  <c r="BY338" i="9" s="1"/>
  <c r="BZ338" i="9" s="1"/>
  <c r="EB329" i="9"/>
  <c r="ED329" i="9" s="1"/>
  <c r="EE329" i="9" s="1"/>
  <c r="BW323" i="9"/>
  <c r="BY323" i="9" s="1"/>
  <c r="BZ323" i="9" s="1"/>
  <c r="DI322" i="9"/>
  <c r="DK322" i="9" s="1"/>
  <c r="DL322" i="9" s="1"/>
  <c r="R324" i="9"/>
  <c r="T324" i="9" s="1"/>
  <c r="U324" i="9" s="1"/>
  <c r="CP321" i="9"/>
  <c r="CR321" i="9" s="1"/>
  <c r="CS321" i="9" s="1"/>
  <c r="CP322" i="9"/>
  <c r="CR322" i="9" s="1"/>
  <c r="CS322" i="9" s="1"/>
  <c r="CP323" i="9"/>
  <c r="CR323" i="9" s="1"/>
  <c r="CS323" i="9" s="1"/>
  <c r="AK323" i="9"/>
  <c r="AM323" i="9" s="1"/>
  <c r="AN323" i="9" s="1"/>
  <c r="EU92" i="9"/>
  <c r="EW92" i="9" s="1"/>
  <c r="EX92" i="9" s="1"/>
  <c r="CP43" i="9"/>
  <c r="CR43" i="9" s="1"/>
  <c r="CS43" i="9" s="1"/>
  <c r="BD65" i="9"/>
  <c r="BF65" i="9" s="1"/>
  <c r="BG65" i="9" s="1"/>
  <c r="BD363" i="9"/>
  <c r="BF363" i="9" s="1"/>
  <c r="BG363" i="9" s="1"/>
  <c r="EB361" i="9"/>
  <c r="ED361" i="9" s="1"/>
  <c r="EE361" i="9" s="1"/>
  <c r="BD360" i="9"/>
  <c r="BF360" i="9" s="1"/>
  <c r="BG360" i="9" s="1"/>
  <c r="CP357" i="9"/>
  <c r="CR357" i="9" s="1"/>
  <c r="CS357" i="9" s="1"/>
  <c r="EU360" i="9"/>
  <c r="EW360" i="9" s="1"/>
  <c r="EX360" i="9" s="1"/>
  <c r="BW359" i="9"/>
  <c r="BY359" i="9" s="1"/>
  <c r="BZ359" i="9" s="1"/>
  <c r="CP355" i="9"/>
  <c r="CR355" i="9" s="1"/>
  <c r="CS355" i="9" s="1"/>
  <c r="DI354" i="9"/>
  <c r="DK354" i="9" s="1"/>
  <c r="DL354" i="9" s="1"/>
  <c r="AK354" i="9"/>
  <c r="AM354" i="9" s="1"/>
  <c r="AN354" i="9" s="1"/>
  <c r="R358" i="9"/>
  <c r="T358" i="9" s="1"/>
  <c r="U358" i="9" s="1"/>
  <c r="CP351" i="9"/>
  <c r="CR351" i="9" s="1"/>
  <c r="CS351" i="9" s="1"/>
  <c r="CP354" i="9"/>
  <c r="CR354" i="9" s="1"/>
  <c r="CS354" i="9" s="1"/>
  <c r="R350" i="9"/>
  <c r="T350" i="9" s="1"/>
  <c r="U350" i="9" s="1"/>
  <c r="AK352" i="9"/>
  <c r="AM352" i="9" s="1"/>
  <c r="AN352" i="9" s="1"/>
  <c r="EU347" i="9"/>
  <c r="EW347" i="9" s="1"/>
  <c r="EX347" i="9" s="1"/>
  <c r="BW349" i="9"/>
  <c r="BY349" i="9" s="1"/>
  <c r="BZ349" i="9" s="1"/>
  <c r="R346" i="9"/>
  <c r="T346" i="9" s="1"/>
  <c r="U346" i="9" s="1"/>
  <c r="EU342" i="9"/>
  <c r="EW342" i="9" s="1"/>
  <c r="EX342" i="9" s="1"/>
  <c r="BD355" i="9"/>
  <c r="BF355" i="9" s="1"/>
  <c r="BG355" i="9" s="1"/>
  <c r="BD350" i="9"/>
  <c r="BF350" i="9" s="1"/>
  <c r="BG350" i="9" s="1"/>
  <c r="BW348" i="9"/>
  <c r="BY348" i="9" s="1"/>
  <c r="BZ348" i="9" s="1"/>
  <c r="BD346" i="9"/>
  <c r="BF346" i="9" s="1"/>
  <c r="BG346" i="9" s="1"/>
  <c r="AK348" i="9"/>
  <c r="AM348" i="9" s="1"/>
  <c r="AN348" i="9" s="1"/>
  <c r="CP337" i="9"/>
  <c r="CR337" i="9" s="1"/>
  <c r="CS337" i="9" s="1"/>
  <c r="EB336" i="9"/>
  <c r="ED336" i="9" s="1"/>
  <c r="EE336" i="9" s="1"/>
  <c r="BW336" i="9"/>
  <c r="BY336" i="9" s="1"/>
  <c r="BZ336" i="9" s="1"/>
  <c r="EB338" i="9"/>
  <c r="ED338" i="9" s="1"/>
  <c r="EE338" i="9" s="1"/>
  <c r="AK334" i="9"/>
  <c r="AM334" i="9" s="1"/>
  <c r="AN334" i="9" s="1"/>
  <c r="BD330" i="9"/>
  <c r="BF330" i="9" s="1"/>
  <c r="BG330" i="9" s="1"/>
  <c r="BD331" i="9"/>
  <c r="BF331" i="9" s="1"/>
  <c r="BG331" i="9" s="1"/>
  <c r="R337" i="9"/>
  <c r="T337" i="9" s="1"/>
  <c r="U337" i="9" s="1"/>
  <c r="EB331" i="9"/>
  <c r="ED331" i="9" s="1"/>
  <c r="EE331" i="9" s="1"/>
  <c r="R325" i="9"/>
  <c r="T325" i="9" s="1"/>
  <c r="U325" i="9" s="1"/>
  <c r="R326" i="9"/>
  <c r="T326" i="9" s="1"/>
  <c r="U326" i="9" s="1"/>
  <c r="BD329" i="9"/>
  <c r="BF329" i="9" s="1"/>
  <c r="BG329" i="9" s="1"/>
  <c r="EB332" i="9"/>
  <c r="ED332" i="9" s="1"/>
  <c r="EE332" i="9" s="1"/>
  <c r="BW331" i="9"/>
  <c r="BY331" i="9" s="1"/>
  <c r="BZ331" i="9" s="1"/>
  <c r="BD328" i="9"/>
  <c r="BF328" i="9" s="1"/>
  <c r="BG328" i="9" s="1"/>
  <c r="R322" i="9"/>
  <c r="T322" i="9" s="1"/>
  <c r="U322" i="9" s="1"/>
  <c r="BD321" i="9"/>
  <c r="BF321" i="9" s="1"/>
  <c r="BG321" i="9" s="1"/>
  <c r="DI323" i="9"/>
  <c r="DK323" i="9" s="1"/>
  <c r="DL323" i="9" s="1"/>
  <c r="AK320" i="9"/>
  <c r="AM320" i="9" s="1"/>
  <c r="AN320" i="9" s="1"/>
  <c r="AK321" i="9"/>
  <c r="AM321" i="9" s="1"/>
  <c r="AN321" i="9" s="1"/>
  <c r="AK322" i="9"/>
  <c r="AM322" i="9" s="1"/>
  <c r="AN322" i="9" s="1"/>
  <c r="BW321" i="9"/>
  <c r="BY321" i="9" s="1"/>
  <c r="BZ321" i="9" s="1"/>
  <c r="DI90" i="9"/>
  <c r="DK90" i="9" s="1"/>
  <c r="DL90" i="9" s="1"/>
  <c r="BD45" i="9"/>
  <c r="BF45" i="9" s="1"/>
  <c r="BG45" i="9" s="1"/>
  <c r="BD66" i="9"/>
  <c r="BF66" i="9" s="1"/>
  <c r="BG66" i="9" s="1"/>
  <c r="EU80" i="9"/>
  <c r="EW80" i="9" s="1"/>
  <c r="EX80" i="9" s="1"/>
  <c r="EU362" i="9"/>
  <c r="EW362" i="9" s="1"/>
  <c r="EX362" i="9" s="1"/>
  <c r="AK363" i="9"/>
  <c r="AM363" i="9" s="1"/>
  <c r="AN363" i="9" s="1"/>
  <c r="DI359" i="9"/>
  <c r="DK359" i="9" s="1"/>
  <c r="DL359" i="9" s="1"/>
  <c r="BD361" i="9"/>
  <c r="BF361" i="9" s="1"/>
  <c r="BG361" i="9" s="1"/>
  <c r="AK359" i="9"/>
  <c r="AM359" i="9" s="1"/>
  <c r="AN359" i="9" s="1"/>
  <c r="R359" i="9"/>
  <c r="T359" i="9" s="1"/>
  <c r="U359" i="9" s="1"/>
  <c r="BW354" i="9"/>
  <c r="BY354" i="9" s="1"/>
  <c r="BZ354" i="9" s="1"/>
  <c r="R357" i="9"/>
  <c r="T357" i="9" s="1"/>
  <c r="U357" i="9" s="1"/>
  <c r="CP352" i="9"/>
  <c r="CR352" i="9" s="1"/>
  <c r="CS352" i="9" s="1"/>
  <c r="BW357" i="9"/>
  <c r="BY357" i="9" s="1"/>
  <c r="BZ357" i="9" s="1"/>
  <c r="AK350" i="9"/>
  <c r="AM350" i="9" s="1"/>
  <c r="AN350" i="9" s="1"/>
  <c r="EB351" i="9"/>
  <c r="ED351" i="9" s="1"/>
  <c r="EE351" i="9" s="1"/>
  <c r="R353" i="9"/>
  <c r="T353" i="9" s="1"/>
  <c r="U353" i="9" s="1"/>
  <c r="BD351" i="9"/>
  <c r="BF351" i="9" s="1"/>
  <c r="BG351" i="9" s="1"/>
  <c r="CP346" i="9"/>
  <c r="CR346" i="9" s="1"/>
  <c r="CS346" i="9" s="1"/>
  <c r="CP348" i="9"/>
  <c r="CR348" i="9" s="1"/>
  <c r="CS348" i="9" s="1"/>
  <c r="DI345" i="9"/>
  <c r="DK345" i="9" s="1"/>
  <c r="DL345" i="9" s="1"/>
  <c r="CP341" i="9"/>
  <c r="CR341" i="9" s="1"/>
  <c r="CS341" i="9" s="1"/>
  <c r="EU345" i="9"/>
  <c r="EW345" i="9" s="1"/>
  <c r="EX345" i="9" s="1"/>
  <c r="EB347" i="9"/>
  <c r="ED347" i="9" s="1"/>
  <c r="EE347" i="9" s="1"/>
  <c r="BW346" i="9"/>
  <c r="BY346" i="9" s="1"/>
  <c r="BZ346" i="9" s="1"/>
  <c r="BW344" i="9"/>
  <c r="BY344" i="9" s="1"/>
  <c r="BZ344" i="9" s="1"/>
  <c r="CP345" i="9"/>
  <c r="CR345" i="9" s="1"/>
  <c r="CS345" i="9" s="1"/>
  <c r="AK336" i="9"/>
  <c r="AM336" i="9" s="1"/>
  <c r="AN336" i="9" s="1"/>
  <c r="BW335" i="9"/>
  <c r="BY335" i="9" s="1"/>
  <c r="BZ335" i="9" s="1"/>
  <c r="R335" i="9"/>
  <c r="T335" i="9" s="1"/>
  <c r="U335" i="9" s="1"/>
  <c r="BW337" i="9"/>
  <c r="BY337" i="9" s="1"/>
  <c r="BZ337" i="9" s="1"/>
  <c r="EB333" i="9"/>
  <c r="ED333" i="9" s="1"/>
  <c r="EE333" i="9" s="1"/>
  <c r="EU329" i="9"/>
  <c r="EW329" i="9" s="1"/>
  <c r="EX329" i="9" s="1"/>
  <c r="EU330" i="9"/>
  <c r="EW330" i="9" s="1"/>
  <c r="EX330" i="9" s="1"/>
  <c r="DI334" i="9"/>
  <c r="DK334" i="9" s="1"/>
  <c r="DL334" i="9" s="1"/>
  <c r="BW330" i="9"/>
  <c r="BY330" i="9" s="1"/>
  <c r="BZ330" i="9" s="1"/>
  <c r="CP335" i="9"/>
  <c r="CR335" i="9" s="1"/>
  <c r="CS335" i="9" s="1"/>
  <c r="DI325" i="9"/>
  <c r="DK325" i="9" s="1"/>
  <c r="DL325" i="9" s="1"/>
  <c r="AK329" i="9"/>
  <c r="AM329" i="9" s="1"/>
  <c r="AN329" i="9" s="1"/>
  <c r="DI330" i="9"/>
  <c r="DK330" i="9" s="1"/>
  <c r="DL330" i="9" s="1"/>
  <c r="R329" i="9"/>
  <c r="T329" i="9" s="1"/>
  <c r="U329" i="9" s="1"/>
  <c r="EU327" i="9"/>
  <c r="EW327" i="9" s="1"/>
  <c r="EX327" i="9" s="1"/>
  <c r="DI321" i="9"/>
  <c r="DK321" i="9" s="1"/>
  <c r="DL321" i="9" s="1"/>
  <c r="EU320" i="9"/>
  <c r="EW320" i="9" s="1"/>
  <c r="EX320" i="9" s="1"/>
  <c r="BD322" i="9"/>
  <c r="BF322" i="9" s="1"/>
  <c r="BG322" i="9" s="1"/>
  <c r="EB319" i="9"/>
  <c r="ED319" i="9" s="1"/>
  <c r="EE319" i="9" s="1"/>
  <c r="EB320" i="9"/>
  <c r="ED320" i="9" s="1"/>
  <c r="EE320" i="9" s="1"/>
  <c r="EB321" i="9"/>
  <c r="ED321" i="9" s="1"/>
  <c r="EE321" i="9" s="1"/>
  <c r="R320" i="9"/>
  <c r="T320" i="9" s="1"/>
  <c r="U320" i="9" s="1"/>
  <c r="R110" i="9"/>
  <c r="T110" i="9" s="1"/>
  <c r="U110" i="9" s="1"/>
  <c r="R361" i="9"/>
  <c r="T361" i="9" s="1"/>
  <c r="U361" i="9" s="1"/>
  <c r="BW350" i="9"/>
  <c r="BY350" i="9" s="1"/>
  <c r="BZ350" i="9" s="1"/>
  <c r="BW345" i="9"/>
  <c r="BY345" i="9" s="1"/>
  <c r="BZ345" i="9" s="1"/>
  <c r="DI343" i="9"/>
  <c r="DK343" i="9" s="1"/>
  <c r="DL343" i="9" s="1"/>
  <c r="R328" i="9"/>
  <c r="T328" i="9" s="1"/>
  <c r="U328" i="9" s="1"/>
  <c r="BW320" i="9"/>
  <c r="BY320" i="9" s="1"/>
  <c r="BZ320" i="9" s="1"/>
  <c r="EB315" i="9"/>
  <c r="ED315" i="9" s="1"/>
  <c r="EE315" i="9" s="1"/>
  <c r="EU318" i="9"/>
  <c r="EW318" i="9" s="1"/>
  <c r="EX318" i="9" s="1"/>
  <c r="CP317" i="9"/>
  <c r="CR317" i="9" s="1"/>
  <c r="CS317" i="9" s="1"/>
  <c r="R316" i="9"/>
  <c r="T316" i="9" s="1"/>
  <c r="U316" i="9" s="1"/>
  <c r="BD315" i="9"/>
  <c r="BF315" i="9" s="1"/>
  <c r="BG315" i="9" s="1"/>
  <c r="AK306" i="9"/>
  <c r="AM306" i="9" s="1"/>
  <c r="AN306" i="9" s="1"/>
  <c r="CP308" i="9"/>
  <c r="CR308" i="9" s="1"/>
  <c r="CS308" i="9" s="1"/>
  <c r="CP300" i="9"/>
  <c r="CR300" i="9" s="1"/>
  <c r="CS300" i="9" s="1"/>
  <c r="AK308" i="9"/>
  <c r="AM308" i="9" s="1"/>
  <c r="AN308" i="9" s="1"/>
  <c r="AK314" i="9"/>
  <c r="AM314" i="9" s="1"/>
  <c r="AN314" i="9" s="1"/>
  <c r="BD304" i="9"/>
  <c r="BF304" i="9" s="1"/>
  <c r="BG304" i="9" s="1"/>
  <c r="AK310" i="9"/>
  <c r="AM310" i="9" s="1"/>
  <c r="AN310" i="9" s="1"/>
  <c r="AK302" i="9"/>
  <c r="AM302" i="9" s="1"/>
  <c r="AN302" i="9" s="1"/>
  <c r="R308" i="9"/>
  <c r="T308" i="9" s="1"/>
  <c r="U308" i="9" s="1"/>
  <c r="R300" i="9"/>
  <c r="T300" i="9" s="1"/>
  <c r="U300" i="9" s="1"/>
  <c r="CP297" i="9"/>
  <c r="CR297" i="9" s="1"/>
  <c r="CS297" i="9" s="1"/>
  <c r="DI320" i="9"/>
  <c r="DK320" i="9" s="1"/>
  <c r="DL320" i="9" s="1"/>
  <c r="R294" i="9"/>
  <c r="T294" i="9" s="1"/>
  <c r="U294" i="9" s="1"/>
  <c r="R302" i="9"/>
  <c r="T302" i="9" s="1"/>
  <c r="U302" i="9" s="1"/>
  <c r="R295" i="9"/>
  <c r="T295" i="9" s="1"/>
  <c r="U295" i="9" s="1"/>
  <c r="BD308" i="9"/>
  <c r="BF308" i="9" s="1"/>
  <c r="BG308" i="9" s="1"/>
  <c r="DI295" i="9"/>
  <c r="DK295" i="9" s="1"/>
  <c r="DL295" i="9" s="1"/>
  <c r="EB304" i="9"/>
  <c r="ED304" i="9" s="1"/>
  <c r="EE304" i="9" s="1"/>
  <c r="AK292" i="9"/>
  <c r="AM292" i="9" s="1"/>
  <c r="AN292" i="9" s="1"/>
  <c r="R303" i="9"/>
  <c r="T303" i="9" s="1"/>
  <c r="U303" i="9" s="1"/>
  <c r="EB293" i="9"/>
  <c r="ED293" i="9" s="1"/>
  <c r="EE293" i="9" s="1"/>
  <c r="EU284" i="9"/>
  <c r="EW284" i="9" s="1"/>
  <c r="EX284" i="9" s="1"/>
  <c r="DI287" i="9"/>
  <c r="DK287" i="9" s="1"/>
  <c r="DL287" i="9" s="1"/>
  <c r="CP296" i="9"/>
  <c r="CR296" i="9" s="1"/>
  <c r="CS296" i="9" s="1"/>
  <c r="EU297" i="9"/>
  <c r="EW297" i="9" s="1"/>
  <c r="EX297" i="9" s="1"/>
  <c r="BW283" i="9"/>
  <c r="BY283" i="9" s="1"/>
  <c r="BZ283" i="9" s="1"/>
  <c r="DI290" i="9"/>
  <c r="DK290" i="9" s="1"/>
  <c r="DL290" i="9" s="1"/>
  <c r="BD283" i="9"/>
  <c r="BF283" i="9" s="1"/>
  <c r="BG283" i="9" s="1"/>
  <c r="CP287" i="9"/>
  <c r="CR287" i="9" s="1"/>
  <c r="CS287" i="9" s="1"/>
  <c r="DI273" i="9"/>
  <c r="DK273" i="9" s="1"/>
  <c r="DL273" i="9" s="1"/>
  <c r="EU280" i="9"/>
  <c r="EW280" i="9" s="1"/>
  <c r="EX280" i="9" s="1"/>
  <c r="DI274" i="9"/>
  <c r="DK274" i="9" s="1"/>
  <c r="DL274" i="9" s="1"/>
  <c r="DI302" i="9"/>
  <c r="DK302" i="9" s="1"/>
  <c r="DL302" i="9" s="1"/>
  <c r="R276" i="9"/>
  <c r="T276" i="9" s="1"/>
  <c r="U276" i="9" s="1"/>
  <c r="DI289" i="9"/>
  <c r="DK289" i="9" s="1"/>
  <c r="DL289" i="9" s="1"/>
  <c r="CP273" i="9"/>
  <c r="CR273" i="9" s="1"/>
  <c r="CS273" i="9" s="1"/>
  <c r="DI285" i="9"/>
  <c r="DK285" i="9" s="1"/>
  <c r="DL285" i="9" s="1"/>
  <c r="R284" i="9"/>
  <c r="T284" i="9" s="1"/>
  <c r="U284" i="9" s="1"/>
  <c r="EB274" i="9"/>
  <c r="ED274" i="9" s="1"/>
  <c r="EE274" i="9" s="1"/>
  <c r="R273" i="9"/>
  <c r="T273" i="9" s="1"/>
  <c r="U273" i="9" s="1"/>
  <c r="DI265" i="9"/>
  <c r="DK265" i="9" s="1"/>
  <c r="DL265" i="9" s="1"/>
  <c r="DI278" i="9"/>
  <c r="DK278" i="9" s="1"/>
  <c r="DL278" i="9" s="1"/>
  <c r="CP263" i="9"/>
  <c r="CR263" i="9" s="1"/>
  <c r="CS263" i="9" s="1"/>
  <c r="DI269" i="9"/>
  <c r="DK269" i="9" s="1"/>
  <c r="DL269" i="9" s="1"/>
  <c r="BW261" i="9"/>
  <c r="BY261" i="9" s="1"/>
  <c r="BZ261" i="9" s="1"/>
  <c r="CP274" i="9"/>
  <c r="CR274" i="9" s="1"/>
  <c r="CS274" i="9" s="1"/>
  <c r="R269" i="9"/>
  <c r="T269" i="9" s="1"/>
  <c r="U269" i="9" s="1"/>
  <c r="R261" i="9"/>
  <c r="T261" i="9" s="1"/>
  <c r="U261" i="9" s="1"/>
  <c r="AK265" i="9"/>
  <c r="AM265" i="9" s="1"/>
  <c r="AN265" i="9" s="1"/>
  <c r="BD281" i="9"/>
  <c r="BF281" i="9" s="1"/>
  <c r="BG281" i="9" s="1"/>
  <c r="BW264" i="9"/>
  <c r="BY264" i="9" s="1"/>
  <c r="BZ264" i="9" s="1"/>
  <c r="DI258" i="9"/>
  <c r="DK258" i="9" s="1"/>
  <c r="DL258" i="9" s="1"/>
  <c r="BD251" i="9"/>
  <c r="BF251" i="9" s="1"/>
  <c r="BG251" i="9" s="1"/>
  <c r="R264" i="9"/>
  <c r="T264" i="9" s="1"/>
  <c r="U264" i="9" s="1"/>
  <c r="EU251" i="9"/>
  <c r="EW251" i="9" s="1"/>
  <c r="EX251" i="9" s="1"/>
  <c r="CP258" i="9"/>
  <c r="CR258" i="9" s="1"/>
  <c r="CS258" i="9" s="1"/>
  <c r="CP251" i="9"/>
  <c r="CR251" i="9" s="1"/>
  <c r="CS251" i="9" s="1"/>
  <c r="EU262" i="9"/>
  <c r="EW262" i="9" s="1"/>
  <c r="EX262" i="9" s="1"/>
  <c r="EB250" i="9"/>
  <c r="ED250" i="9" s="1"/>
  <c r="EE250" i="9" s="1"/>
  <c r="DI256" i="9"/>
  <c r="DK256" i="9" s="1"/>
  <c r="DL256" i="9" s="1"/>
  <c r="DI248" i="9"/>
  <c r="DK248" i="9" s="1"/>
  <c r="DL248" i="9" s="1"/>
  <c r="EU256" i="9"/>
  <c r="EW256" i="9" s="1"/>
  <c r="EX256" i="9" s="1"/>
  <c r="EU248" i="9"/>
  <c r="EW248" i="9" s="1"/>
  <c r="EX248" i="9" s="1"/>
  <c r="R242" i="9"/>
  <c r="T242" i="9" s="1"/>
  <c r="U242" i="9" s="1"/>
  <c r="BD256" i="9"/>
  <c r="BF256" i="9" s="1"/>
  <c r="BG256" i="9" s="1"/>
  <c r="R243" i="9"/>
  <c r="T243" i="9" s="1"/>
  <c r="U243" i="9" s="1"/>
  <c r="R235" i="9"/>
  <c r="T235" i="9" s="1"/>
  <c r="U235" i="9" s="1"/>
  <c r="DI243" i="9"/>
  <c r="DK243" i="9" s="1"/>
  <c r="DL243" i="9" s="1"/>
  <c r="DI235" i="9"/>
  <c r="DK235" i="9" s="1"/>
  <c r="DL235" i="9" s="1"/>
  <c r="EU242" i="9"/>
  <c r="EW242" i="9" s="1"/>
  <c r="EX242" i="9" s="1"/>
  <c r="EB267" i="9"/>
  <c r="ED267" i="9" s="1"/>
  <c r="EE267" i="9" s="1"/>
  <c r="EU243" i="9"/>
  <c r="EW243" i="9" s="1"/>
  <c r="EX243" i="9" s="1"/>
  <c r="EU235" i="9"/>
  <c r="EW235" i="9" s="1"/>
  <c r="EX235" i="9" s="1"/>
  <c r="EU255" i="9"/>
  <c r="EW255" i="9" s="1"/>
  <c r="EX255" i="9" s="1"/>
  <c r="EB242" i="9"/>
  <c r="ED242" i="9" s="1"/>
  <c r="EE242" i="9" s="1"/>
  <c r="EU233" i="9"/>
  <c r="EW233" i="9" s="1"/>
  <c r="EX233" i="9" s="1"/>
  <c r="EU225" i="9"/>
  <c r="EW225" i="9" s="1"/>
  <c r="EX225" i="9" s="1"/>
  <c r="EU217" i="9"/>
  <c r="EW217" i="9" s="1"/>
  <c r="EX217" i="9" s="1"/>
  <c r="EU209" i="9"/>
  <c r="EW209" i="9" s="1"/>
  <c r="EX209" i="9" s="1"/>
  <c r="BW230" i="9"/>
  <c r="BY230" i="9" s="1"/>
  <c r="BZ230" i="9" s="1"/>
  <c r="BW222" i="9"/>
  <c r="BY222" i="9" s="1"/>
  <c r="BZ222" i="9" s="1"/>
  <c r="BW214" i="9"/>
  <c r="BY214" i="9" s="1"/>
  <c r="BZ214" i="9" s="1"/>
  <c r="R258" i="9"/>
  <c r="T258" i="9" s="1"/>
  <c r="U258" i="9" s="1"/>
  <c r="BW231" i="9"/>
  <c r="BY231" i="9" s="1"/>
  <c r="BZ231" i="9" s="1"/>
  <c r="BW223" i="9"/>
  <c r="BY223" i="9" s="1"/>
  <c r="BZ223" i="9" s="1"/>
  <c r="BW215" i="9"/>
  <c r="BY215" i="9" s="1"/>
  <c r="BZ215" i="9" s="1"/>
  <c r="BW207" i="9"/>
  <c r="BY207" i="9" s="1"/>
  <c r="BZ207" i="9" s="1"/>
  <c r="BW232" i="9"/>
  <c r="BY232" i="9" s="1"/>
  <c r="BZ232" i="9" s="1"/>
  <c r="BW224" i="9"/>
  <c r="BY224" i="9" s="1"/>
  <c r="BZ224" i="9" s="1"/>
  <c r="BW216" i="9"/>
  <c r="BY216" i="9" s="1"/>
  <c r="BZ216" i="9" s="1"/>
  <c r="BW240" i="9"/>
  <c r="BY240" i="9" s="1"/>
  <c r="BZ240" i="9" s="1"/>
  <c r="AK227" i="9"/>
  <c r="AM227" i="9" s="1"/>
  <c r="AN227" i="9" s="1"/>
  <c r="AK219" i="9"/>
  <c r="AM219" i="9" s="1"/>
  <c r="AN219" i="9" s="1"/>
  <c r="AK211" i="9"/>
  <c r="AM211" i="9" s="1"/>
  <c r="AN211" i="9" s="1"/>
  <c r="AK235" i="9"/>
  <c r="AM235" i="9" s="1"/>
  <c r="AN235" i="9" s="1"/>
  <c r="EB227" i="9"/>
  <c r="ED227" i="9" s="1"/>
  <c r="EE227" i="9" s="1"/>
  <c r="EB219" i="9"/>
  <c r="ED219" i="9" s="1"/>
  <c r="EE219" i="9" s="1"/>
  <c r="EB211" i="9"/>
  <c r="ED211" i="9" s="1"/>
  <c r="EE211" i="9" s="1"/>
  <c r="BD232" i="9"/>
  <c r="BF232" i="9" s="1"/>
  <c r="BG232" i="9" s="1"/>
  <c r="BD224" i="9"/>
  <c r="BF224" i="9" s="1"/>
  <c r="BG224" i="9" s="1"/>
  <c r="BD216" i="9"/>
  <c r="BF216" i="9" s="1"/>
  <c r="BG216" i="9" s="1"/>
  <c r="BD208" i="9"/>
  <c r="BF208" i="9" s="1"/>
  <c r="BG208" i="9" s="1"/>
  <c r="BW203" i="9"/>
  <c r="BY203" i="9" s="1"/>
  <c r="BZ203" i="9" s="1"/>
  <c r="BW195" i="9"/>
  <c r="BY195" i="9" s="1"/>
  <c r="BZ195" i="9" s="1"/>
  <c r="BW187" i="9"/>
  <c r="BY187" i="9" s="1"/>
  <c r="BZ187" i="9" s="1"/>
  <c r="BW179" i="9"/>
  <c r="BY179" i="9" s="1"/>
  <c r="BZ179" i="9" s="1"/>
  <c r="DI202" i="9"/>
  <c r="DK202" i="9" s="1"/>
  <c r="DL202" i="9" s="1"/>
  <c r="DI194" i="9"/>
  <c r="DK194" i="9" s="1"/>
  <c r="DL194" i="9" s="1"/>
  <c r="DI186" i="9"/>
  <c r="DK186" i="9" s="1"/>
  <c r="DL186" i="9" s="1"/>
  <c r="BW251" i="9"/>
  <c r="BY251" i="9" s="1"/>
  <c r="BZ251" i="9" s="1"/>
  <c r="BD209" i="9"/>
  <c r="BF209" i="9" s="1"/>
  <c r="BG209" i="9" s="1"/>
  <c r="AK199" i="9"/>
  <c r="AM199" i="9" s="1"/>
  <c r="AN199" i="9" s="1"/>
  <c r="AK191" i="9"/>
  <c r="AM191" i="9" s="1"/>
  <c r="AN191" i="9" s="1"/>
  <c r="AK183" i="9"/>
  <c r="AM183" i="9" s="1"/>
  <c r="AN183" i="9" s="1"/>
  <c r="AK230" i="9"/>
  <c r="AM230" i="9" s="1"/>
  <c r="AN230" i="9" s="1"/>
  <c r="DI204" i="9"/>
  <c r="DK204" i="9" s="1"/>
  <c r="DL204" i="9" s="1"/>
  <c r="DI196" i="9"/>
  <c r="DK196" i="9" s="1"/>
  <c r="DL196" i="9" s="1"/>
  <c r="DI188" i="9"/>
  <c r="DK188" i="9" s="1"/>
  <c r="DL188" i="9" s="1"/>
  <c r="DI180" i="9"/>
  <c r="DK180" i="9" s="1"/>
  <c r="DL180" i="9" s="1"/>
  <c r="DI205" i="9"/>
  <c r="DK205" i="9" s="1"/>
  <c r="DL205" i="9" s="1"/>
  <c r="DI197" i="9"/>
  <c r="DK197" i="9" s="1"/>
  <c r="DL197" i="9" s="1"/>
  <c r="DI189" i="9"/>
  <c r="DK189" i="9" s="1"/>
  <c r="DL189" i="9" s="1"/>
  <c r="DI181" i="9"/>
  <c r="DK181" i="9" s="1"/>
  <c r="DL181" i="9" s="1"/>
  <c r="BD205" i="9"/>
  <c r="BF205" i="9" s="1"/>
  <c r="BG205" i="9" s="1"/>
  <c r="BD197" i="9"/>
  <c r="BF197" i="9" s="1"/>
  <c r="BG197" i="9" s="1"/>
  <c r="BD189" i="9"/>
  <c r="BF189" i="9" s="1"/>
  <c r="BG189" i="9" s="1"/>
  <c r="BD181" i="9"/>
  <c r="BF181" i="9" s="1"/>
  <c r="BG181" i="9" s="1"/>
  <c r="EU205" i="9"/>
  <c r="EW205" i="9" s="1"/>
  <c r="EX205" i="9" s="1"/>
  <c r="EU197" i="9"/>
  <c r="EW197" i="9" s="1"/>
  <c r="EX197" i="9" s="1"/>
  <c r="EU189" i="9"/>
  <c r="EW189" i="9" s="1"/>
  <c r="EX189" i="9" s="1"/>
  <c r="EU181" i="9"/>
  <c r="EW181" i="9" s="1"/>
  <c r="EX181" i="9" s="1"/>
  <c r="BW174" i="9"/>
  <c r="BY174" i="9" s="1"/>
  <c r="BZ174" i="9" s="1"/>
  <c r="AK180" i="9"/>
  <c r="AM180" i="9" s="1"/>
  <c r="AN180" i="9" s="1"/>
  <c r="EB178" i="9"/>
  <c r="ED178" i="9" s="1"/>
  <c r="EE178" i="9" s="1"/>
  <c r="EB170" i="9"/>
  <c r="ED170" i="9" s="1"/>
  <c r="EE170" i="9" s="1"/>
  <c r="EB162" i="9"/>
  <c r="ED162" i="9" s="1"/>
  <c r="EE162" i="9" s="1"/>
  <c r="EB154" i="9"/>
  <c r="ED154" i="9" s="1"/>
  <c r="EE154" i="9" s="1"/>
  <c r="BW178" i="9"/>
  <c r="BY178" i="9" s="1"/>
  <c r="BZ178" i="9" s="1"/>
  <c r="BW170" i="9"/>
  <c r="BY170" i="9" s="1"/>
  <c r="BZ170" i="9" s="1"/>
  <c r="BW162" i="9"/>
  <c r="BY162" i="9" s="1"/>
  <c r="BZ162" i="9" s="1"/>
  <c r="BW154" i="9"/>
  <c r="BY154" i="9" s="1"/>
  <c r="BZ154" i="9" s="1"/>
  <c r="R178" i="9"/>
  <c r="T178" i="9" s="1"/>
  <c r="U178" i="9" s="1"/>
  <c r="R170" i="9"/>
  <c r="T170" i="9" s="1"/>
  <c r="U170" i="9" s="1"/>
  <c r="R162" i="9"/>
  <c r="T162" i="9" s="1"/>
  <c r="U162" i="9" s="1"/>
  <c r="R154" i="9"/>
  <c r="T154" i="9" s="1"/>
  <c r="U154" i="9" s="1"/>
  <c r="BD177" i="9"/>
  <c r="BF177" i="9" s="1"/>
  <c r="BG177" i="9" s="1"/>
  <c r="BD169" i="9"/>
  <c r="BF169" i="9" s="1"/>
  <c r="BG169" i="9" s="1"/>
  <c r="BD161" i="9"/>
  <c r="BF161" i="9" s="1"/>
  <c r="BG161" i="9" s="1"/>
  <c r="CP170" i="9"/>
  <c r="CR170" i="9" s="1"/>
  <c r="CS170" i="9" s="1"/>
  <c r="EB153" i="9"/>
  <c r="ED153" i="9" s="1"/>
  <c r="EE153" i="9" s="1"/>
  <c r="EU144" i="9"/>
  <c r="EW144" i="9" s="1"/>
  <c r="EX144" i="9" s="1"/>
  <c r="EU136" i="9"/>
  <c r="EW136" i="9" s="1"/>
  <c r="EX136" i="9" s="1"/>
  <c r="CP171" i="9"/>
  <c r="CR171" i="9" s="1"/>
  <c r="CS171" i="9" s="1"/>
  <c r="CP151" i="9"/>
  <c r="CR151" i="9" s="1"/>
  <c r="CS151" i="9" s="1"/>
  <c r="AK143" i="9"/>
  <c r="AM143" i="9" s="1"/>
  <c r="AN143" i="9" s="1"/>
  <c r="AK135" i="9"/>
  <c r="AM135" i="9" s="1"/>
  <c r="AN135" i="9" s="1"/>
  <c r="CP163" i="9"/>
  <c r="CR163" i="9" s="1"/>
  <c r="CS163" i="9" s="1"/>
  <c r="EU152" i="9"/>
  <c r="EW152" i="9" s="1"/>
  <c r="EX152" i="9" s="1"/>
  <c r="AK144" i="9"/>
  <c r="AM144" i="9" s="1"/>
  <c r="AN144" i="9" s="1"/>
  <c r="AK136" i="9"/>
  <c r="AM136" i="9" s="1"/>
  <c r="AN136" i="9" s="1"/>
  <c r="AK161" i="9"/>
  <c r="AM161" i="9" s="1"/>
  <c r="AN161" i="9" s="1"/>
  <c r="BD149" i="9"/>
  <c r="BF149" i="9" s="1"/>
  <c r="BG149" i="9" s="1"/>
  <c r="BD141" i="9"/>
  <c r="BF141" i="9" s="1"/>
  <c r="BG141" i="9" s="1"/>
  <c r="BD133" i="9"/>
  <c r="BF133" i="9" s="1"/>
  <c r="BG133" i="9" s="1"/>
  <c r="EB161" i="9"/>
  <c r="ED161" i="9" s="1"/>
  <c r="EE161" i="9" s="1"/>
  <c r="R136" i="9"/>
  <c r="T136" i="9" s="1"/>
  <c r="U136" i="9" s="1"/>
  <c r="EB126" i="9"/>
  <c r="ED126" i="9" s="1"/>
  <c r="EE126" i="9" s="1"/>
  <c r="EB118" i="9"/>
  <c r="ED118" i="9" s="1"/>
  <c r="EE118" i="9" s="1"/>
  <c r="DI165" i="9"/>
  <c r="DK165" i="9" s="1"/>
  <c r="DL165" i="9" s="1"/>
  <c r="DI149" i="9"/>
  <c r="DK149" i="9" s="1"/>
  <c r="DL149" i="9" s="1"/>
  <c r="DI132" i="9"/>
  <c r="DK132" i="9" s="1"/>
  <c r="DL132" i="9" s="1"/>
  <c r="DI124" i="9"/>
  <c r="DK124" i="9" s="1"/>
  <c r="DL124" i="9" s="1"/>
  <c r="DI116" i="9"/>
  <c r="DK116" i="9" s="1"/>
  <c r="DL116" i="9" s="1"/>
  <c r="BD162" i="9"/>
  <c r="BF162" i="9" s="1"/>
  <c r="BG162" i="9" s="1"/>
  <c r="DI137" i="9"/>
  <c r="DK137" i="9" s="1"/>
  <c r="DL137" i="9" s="1"/>
  <c r="BW127" i="9"/>
  <c r="BY127" i="9" s="1"/>
  <c r="BZ127" i="9" s="1"/>
  <c r="CP149" i="9"/>
  <c r="CR149" i="9" s="1"/>
  <c r="CS149" i="9" s="1"/>
  <c r="AK130" i="9"/>
  <c r="AM130" i="9" s="1"/>
  <c r="AN130" i="9" s="1"/>
  <c r="AK122" i="9"/>
  <c r="AM122" i="9" s="1"/>
  <c r="AN122" i="9" s="1"/>
  <c r="BW176" i="9"/>
  <c r="BY176" i="9" s="1"/>
  <c r="BZ176" i="9" s="1"/>
  <c r="CP153" i="9"/>
  <c r="CR153" i="9" s="1"/>
  <c r="CS153" i="9" s="1"/>
  <c r="AK140" i="9"/>
  <c r="AM140" i="9" s="1"/>
  <c r="AN140" i="9" s="1"/>
  <c r="BW129" i="9"/>
  <c r="BY129" i="9" s="1"/>
  <c r="BZ129" i="9" s="1"/>
  <c r="BW121" i="9"/>
  <c r="BY121" i="9" s="1"/>
  <c r="BZ121" i="9" s="1"/>
  <c r="R167" i="9"/>
  <c r="T167" i="9" s="1"/>
  <c r="U167" i="9" s="1"/>
  <c r="AK145" i="9"/>
  <c r="AM145" i="9" s="1"/>
  <c r="AN145" i="9" s="1"/>
  <c r="EB131" i="9"/>
  <c r="ED131" i="9" s="1"/>
  <c r="EE131" i="9" s="1"/>
  <c r="EB123" i="9"/>
  <c r="ED123" i="9" s="1"/>
  <c r="EE123" i="9" s="1"/>
  <c r="EB115" i="9"/>
  <c r="ED115" i="9" s="1"/>
  <c r="EE115" i="9" s="1"/>
  <c r="EB120" i="9"/>
  <c r="ED120" i="9" s="1"/>
  <c r="EE120" i="9" s="1"/>
  <c r="EU149" i="9"/>
  <c r="EW149" i="9" s="1"/>
  <c r="EX149" i="9" s="1"/>
  <c r="R112" i="9"/>
  <c r="T112" i="9" s="1"/>
  <c r="U112" i="9" s="1"/>
  <c r="R104" i="9"/>
  <c r="T104" i="9" s="1"/>
  <c r="U104" i="9" s="1"/>
  <c r="R96" i="9"/>
  <c r="T96" i="9" s="1"/>
  <c r="U96" i="9" s="1"/>
  <c r="AK118" i="9"/>
  <c r="AM118" i="9" s="1"/>
  <c r="AN118" i="9" s="1"/>
  <c r="AK108" i="9"/>
  <c r="AM108" i="9" s="1"/>
  <c r="AN108" i="9" s="1"/>
  <c r="AK100" i="9"/>
  <c r="AM100" i="9" s="1"/>
  <c r="AN100" i="9" s="1"/>
  <c r="AK169" i="9"/>
  <c r="AM169" i="9" s="1"/>
  <c r="AN169" i="9" s="1"/>
  <c r="CP118" i="9"/>
  <c r="CR118" i="9" s="1"/>
  <c r="CS118" i="9" s="1"/>
  <c r="EB109" i="9"/>
  <c r="ED109" i="9" s="1"/>
  <c r="EE109" i="9" s="1"/>
  <c r="EB101" i="9"/>
  <c r="ED101" i="9" s="1"/>
  <c r="EE101" i="9" s="1"/>
  <c r="R219" i="9"/>
  <c r="T219" i="9" s="1"/>
  <c r="U219" i="9" s="1"/>
  <c r="BW131" i="9"/>
  <c r="BY131" i="9" s="1"/>
  <c r="BZ131" i="9" s="1"/>
  <c r="BD114" i="9"/>
  <c r="BF114" i="9" s="1"/>
  <c r="BG114" i="9" s="1"/>
  <c r="BD106" i="9"/>
  <c r="BF106" i="9" s="1"/>
  <c r="BG106" i="9" s="1"/>
  <c r="BD98" i="9"/>
  <c r="BF98" i="9" s="1"/>
  <c r="BG98" i="9" s="1"/>
  <c r="EB136" i="9"/>
  <c r="ED136" i="9" s="1"/>
  <c r="EE136" i="9" s="1"/>
  <c r="EU103" i="9"/>
  <c r="EW103" i="9" s="1"/>
  <c r="EX103" i="9" s="1"/>
  <c r="AK89" i="9"/>
  <c r="AM89" i="9" s="1"/>
  <c r="AN89" i="9" s="1"/>
  <c r="AK81" i="9"/>
  <c r="AM81" i="9" s="1"/>
  <c r="AN81" i="9" s="1"/>
  <c r="AK73" i="9"/>
  <c r="AM73" i="9" s="1"/>
  <c r="AN73" i="9" s="1"/>
  <c r="AK65" i="9"/>
  <c r="AM65" i="9" s="1"/>
  <c r="AN65" i="9" s="1"/>
  <c r="AK57" i="9"/>
  <c r="AM57" i="9" s="1"/>
  <c r="AN57" i="9" s="1"/>
  <c r="AK49" i="9"/>
  <c r="AM49" i="9" s="1"/>
  <c r="AN49" i="9" s="1"/>
  <c r="AK112" i="9"/>
  <c r="AM112" i="9" s="1"/>
  <c r="AN112" i="9" s="1"/>
  <c r="AK98" i="9"/>
  <c r="AM98" i="9" s="1"/>
  <c r="AN98" i="9" s="1"/>
  <c r="DI86" i="9"/>
  <c r="DK86" i="9" s="1"/>
  <c r="DL86" i="9" s="1"/>
  <c r="DI78" i="9"/>
  <c r="DK78" i="9" s="1"/>
  <c r="DL78" i="9" s="1"/>
  <c r="DI70" i="9"/>
  <c r="DK70" i="9" s="1"/>
  <c r="DL70" i="9" s="1"/>
  <c r="DI62" i="9"/>
  <c r="DK62" i="9" s="1"/>
  <c r="DL62" i="9" s="1"/>
  <c r="DI54" i="9"/>
  <c r="DK54" i="9" s="1"/>
  <c r="DL54" i="9" s="1"/>
  <c r="EB147" i="9"/>
  <c r="ED147" i="9" s="1"/>
  <c r="EE147" i="9" s="1"/>
  <c r="R109" i="9"/>
  <c r="T109" i="9" s="1"/>
  <c r="U109" i="9" s="1"/>
  <c r="BW89" i="9"/>
  <c r="BY89" i="9" s="1"/>
  <c r="BZ89" i="9" s="1"/>
  <c r="BW81" i="9"/>
  <c r="BY81" i="9" s="1"/>
  <c r="BZ81" i="9" s="1"/>
  <c r="BW73" i="9"/>
  <c r="BY73" i="9" s="1"/>
  <c r="BZ73" i="9" s="1"/>
  <c r="BW65" i="9"/>
  <c r="BY65" i="9" s="1"/>
  <c r="BZ65" i="9" s="1"/>
  <c r="BW57" i="9"/>
  <c r="BY57" i="9" s="1"/>
  <c r="BZ57" i="9" s="1"/>
  <c r="BW49" i="9"/>
  <c r="BY49" i="9" s="1"/>
  <c r="BZ49" i="9" s="1"/>
  <c r="DI121" i="9"/>
  <c r="DK121" i="9" s="1"/>
  <c r="DL121" i="9" s="1"/>
  <c r="R98" i="9"/>
  <c r="T98" i="9" s="1"/>
  <c r="U98" i="9" s="1"/>
  <c r="EB91" i="9"/>
  <c r="ED91" i="9" s="1"/>
  <c r="EE91" i="9" s="1"/>
  <c r="EB83" i="9"/>
  <c r="ED83" i="9" s="1"/>
  <c r="EE83" i="9" s="1"/>
  <c r="EB75" i="9"/>
  <c r="ED75" i="9" s="1"/>
  <c r="EE75" i="9" s="1"/>
  <c r="EB67" i="9"/>
  <c r="ED67" i="9" s="1"/>
  <c r="EE67" i="9" s="1"/>
  <c r="EB59" i="9"/>
  <c r="ED59" i="9" s="1"/>
  <c r="EE59" i="9" s="1"/>
  <c r="EB51" i="9"/>
  <c r="ED51" i="9" s="1"/>
  <c r="EE51" i="9" s="1"/>
  <c r="EB43" i="9"/>
  <c r="ED43" i="9" s="1"/>
  <c r="EE43" i="9" s="1"/>
  <c r="AK101" i="9"/>
  <c r="AM101" i="9" s="1"/>
  <c r="AN101" i="9" s="1"/>
  <c r="BD88" i="9"/>
  <c r="BF88" i="9" s="1"/>
  <c r="BG88" i="9" s="1"/>
  <c r="BD80" i="9"/>
  <c r="BF80" i="9" s="1"/>
  <c r="BG80" i="9" s="1"/>
  <c r="BD72" i="9"/>
  <c r="BF72" i="9" s="1"/>
  <c r="BG72" i="9" s="1"/>
  <c r="BD64" i="9"/>
  <c r="BF64" i="9" s="1"/>
  <c r="BG64" i="9" s="1"/>
  <c r="BD56" i="9"/>
  <c r="BF56" i="9" s="1"/>
  <c r="BG56" i="9" s="1"/>
  <c r="BD48" i="9"/>
  <c r="BF48" i="9" s="1"/>
  <c r="BG48" i="9" s="1"/>
  <c r="EB113" i="9"/>
  <c r="ED113" i="9" s="1"/>
  <c r="EE113" i="9" s="1"/>
  <c r="EB97" i="9"/>
  <c r="ED97" i="9" s="1"/>
  <c r="EE97" i="9" s="1"/>
  <c r="CP88" i="9"/>
  <c r="CR88" i="9" s="1"/>
  <c r="CS88" i="9" s="1"/>
  <c r="BD19" i="9"/>
  <c r="BF19" i="9" s="1"/>
  <c r="BG19" i="9" s="1"/>
  <c r="DI36" i="9"/>
  <c r="DK36" i="9" s="1"/>
  <c r="DL36" i="9" s="1"/>
  <c r="EB54" i="9"/>
  <c r="ED54" i="9" s="1"/>
  <c r="EE54" i="9" s="1"/>
  <c r="BW85" i="9"/>
  <c r="BY85" i="9" s="1"/>
  <c r="BZ85" i="9" s="1"/>
  <c r="EB14" i="9"/>
  <c r="ED14" i="9" s="1"/>
  <c r="EE14" i="9" s="1"/>
  <c r="BW21" i="9"/>
  <c r="BY21" i="9" s="1"/>
  <c r="BZ21" i="9" s="1"/>
  <c r="CP24" i="9"/>
  <c r="CR24" i="9" s="1"/>
  <c r="CS24" i="9" s="1"/>
  <c r="R28" i="9"/>
  <c r="T28" i="9" s="1"/>
  <c r="U28" i="9" s="1"/>
  <c r="CP32" i="9"/>
  <c r="CR32" i="9" s="1"/>
  <c r="CS32" i="9" s="1"/>
  <c r="BD42" i="9"/>
  <c r="BF42" i="9" s="1"/>
  <c r="BG42" i="9" s="1"/>
  <c r="CP47" i="9"/>
  <c r="CR47" i="9" s="1"/>
  <c r="CS47" i="9" s="1"/>
  <c r="AK70" i="9"/>
  <c r="AM70" i="9" s="1"/>
  <c r="AN70" i="9" s="1"/>
  <c r="AK80" i="9"/>
  <c r="AM80" i="9" s="1"/>
  <c r="AN80" i="9" s="1"/>
  <c r="R114" i="9"/>
  <c r="T114" i="9" s="1"/>
  <c r="U114" i="9" s="1"/>
  <c r="R27" i="9"/>
  <c r="T27" i="9" s="1"/>
  <c r="U27" i="9" s="1"/>
  <c r="EU32" i="9"/>
  <c r="EW32" i="9" s="1"/>
  <c r="EX32" i="9" s="1"/>
  <c r="R44" i="9"/>
  <c r="T44" i="9" s="1"/>
  <c r="U44" i="9" s="1"/>
  <c r="EB61" i="9"/>
  <c r="ED61" i="9" s="1"/>
  <c r="EE61" i="9" s="1"/>
  <c r="AK104" i="9"/>
  <c r="AM104" i="9" s="1"/>
  <c r="AN104" i="9" s="1"/>
  <c r="BW19" i="9"/>
  <c r="BY19" i="9" s="1"/>
  <c r="BZ19" i="9" s="1"/>
  <c r="R26" i="9"/>
  <c r="T26" i="9" s="1"/>
  <c r="U26" i="9" s="1"/>
  <c r="DI33" i="9"/>
  <c r="DK33" i="9" s="1"/>
  <c r="DL33" i="9" s="1"/>
  <c r="BD40" i="9"/>
  <c r="BF40" i="9" s="1"/>
  <c r="BG40" i="9" s="1"/>
  <c r="CP56" i="9"/>
  <c r="CR56" i="9" s="1"/>
  <c r="CS56" i="9" s="1"/>
  <c r="AK86" i="9"/>
  <c r="AM86" i="9" s="1"/>
  <c r="AN86" i="9" s="1"/>
  <c r="BD89" i="9"/>
  <c r="BF89" i="9" s="1"/>
  <c r="BG89" i="9" s="1"/>
  <c r="BD358" i="9"/>
  <c r="BF358" i="9" s="1"/>
  <c r="BG358" i="9" s="1"/>
  <c r="EB322" i="9"/>
  <c r="ED322" i="9" s="1"/>
  <c r="EE322" i="9" s="1"/>
  <c r="CP309" i="9"/>
  <c r="CR309" i="9" s="1"/>
  <c r="CS309" i="9" s="1"/>
  <c r="EU290" i="9"/>
  <c r="EW290" i="9" s="1"/>
  <c r="EX290" i="9" s="1"/>
  <c r="AK294" i="9"/>
  <c r="AM294" i="9" s="1"/>
  <c r="AN294" i="9" s="1"/>
  <c r="EB294" i="9"/>
  <c r="ED294" i="9" s="1"/>
  <c r="EE294" i="9" s="1"/>
  <c r="BW277" i="9"/>
  <c r="BY277" i="9" s="1"/>
  <c r="BZ277" i="9" s="1"/>
  <c r="R266" i="9"/>
  <c r="T266" i="9" s="1"/>
  <c r="U266" i="9" s="1"/>
  <c r="BW262" i="9"/>
  <c r="BY262" i="9" s="1"/>
  <c r="BZ262" i="9" s="1"/>
  <c r="BD252" i="9"/>
  <c r="BF252" i="9" s="1"/>
  <c r="BG252" i="9" s="1"/>
  <c r="BD257" i="9"/>
  <c r="BF257" i="9" s="1"/>
  <c r="BG257" i="9" s="1"/>
  <c r="R236" i="9"/>
  <c r="T236" i="9" s="1"/>
  <c r="U236" i="9" s="1"/>
  <c r="BD234" i="9"/>
  <c r="BF234" i="9" s="1"/>
  <c r="BG234" i="9" s="1"/>
  <c r="EB207" i="9"/>
  <c r="ED207" i="9" s="1"/>
  <c r="EE207" i="9" s="1"/>
  <c r="BW242" i="9"/>
  <c r="BY242" i="9" s="1"/>
  <c r="BZ242" i="9" s="1"/>
  <c r="AK212" i="9"/>
  <c r="AM212" i="9" s="1"/>
  <c r="AN212" i="9" s="1"/>
  <c r="EB188" i="9"/>
  <c r="ED188" i="9" s="1"/>
  <c r="EE188" i="9" s="1"/>
  <c r="CP200" i="9"/>
  <c r="CR200" i="9" s="1"/>
  <c r="CS200" i="9" s="1"/>
  <c r="R189" i="9"/>
  <c r="T189" i="9" s="1"/>
  <c r="U189" i="9" s="1"/>
  <c r="DI198" i="9"/>
  <c r="DK198" i="9" s="1"/>
  <c r="DL198" i="9" s="1"/>
  <c r="EB175" i="9"/>
  <c r="ED175" i="9" s="1"/>
  <c r="EE175" i="9" s="1"/>
  <c r="EB171" i="9"/>
  <c r="ED171" i="9" s="1"/>
  <c r="EE171" i="9" s="1"/>
  <c r="BW155" i="9"/>
  <c r="BY155" i="9" s="1"/>
  <c r="BZ155" i="9" s="1"/>
  <c r="BD137" i="9"/>
  <c r="BF137" i="9" s="1"/>
  <c r="BG137" i="9" s="1"/>
  <c r="DI154" i="9"/>
  <c r="DK154" i="9" s="1"/>
  <c r="DL154" i="9" s="1"/>
  <c r="DI134" i="9"/>
  <c r="DK134" i="9" s="1"/>
  <c r="DL134" i="9" s="1"/>
  <c r="CP150" i="9"/>
  <c r="CR150" i="9" s="1"/>
  <c r="CS150" i="9" s="1"/>
  <c r="EB128" i="9"/>
  <c r="ED128" i="9" s="1"/>
  <c r="EE128" i="9" s="1"/>
  <c r="EU142" i="9"/>
  <c r="EW142" i="9" s="1"/>
  <c r="EX142" i="9" s="1"/>
  <c r="AK124" i="9"/>
  <c r="AM124" i="9" s="1"/>
  <c r="AN124" i="9" s="1"/>
  <c r="BW105" i="9"/>
  <c r="BY105" i="9" s="1"/>
  <c r="BZ105" i="9" s="1"/>
  <c r="BW119" i="9"/>
  <c r="BY119" i="9" s="1"/>
  <c r="BZ119" i="9" s="1"/>
  <c r="DI99" i="9"/>
  <c r="DK99" i="9" s="1"/>
  <c r="DL99" i="9" s="1"/>
  <c r="CP66" i="9"/>
  <c r="CR66" i="9" s="1"/>
  <c r="CS66" i="9" s="1"/>
  <c r="R79" i="9"/>
  <c r="T79" i="9" s="1"/>
  <c r="U79" i="9" s="1"/>
  <c r="EB90" i="9"/>
  <c r="ED90" i="9" s="1"/>
  <c r="EE90" i="9" s="1"/>
  <c r="CP126" i="9"/>
  <c r="CR126" i="9" s="1"/>
  <c r="CS126" i="9" s="1"/>
  <c r="AK60" i="9"/>
  <c r="AM60" i="9" s="1"/>
  <c r="AN60" i="9" s="1"/>
  <c r="DI73" i="9"/>
  <c r="DK73" i="9" s="1"/>
  <c r="DL73" i="9" s="1"/>
  <c r="EU89" i="9"/>
  <c r="EW89" i="9" s="1"/>
  <c r="EX89" i="9" s="1"/>
  <c r="R29" i="9"/>
  <c r="T29" i="9" s="1"/>
  <c r="U29" i="9" s="1"/>
  <c r="DI68" i="9"/>
  <c r="DK68" i="9" s="1"/>
  <c r="DL68" i="9" s="1"/>
  <c r="BD43" i="9"/>
  <c r="BF43" i="9" s="1"/>
  <c r="BG43" i="9" s="1"/>
  <c r="AK55" i="9"/>
  <c r="AM55" i="9" s="1"/>
  <c r="AN55" i="9" s="1"/>
  <c r="DI38" i="9"/>
  <c r="DK38" i="9" s="1"/>
  <c r="DL38" i="9" s="1"/>
  <c r="EB358" i="9"/>
  <c r="ED358" i="9" s="1"/>
  <c r="EE358" i="9" s="1"/>
  <c r="R351" i="9"/>
  <c r="T351" i="9" s="1"/>
  <c r="U351" i="9" s="1"/>
  <c r="AK344" i="9"/>
  <c r="AM344" i="9" s="1"/>
  <c r="AN344" i="9" s="1"/>
  <c r="R342" i="9"/>
  <c r="T342" i="9" s="1"/>
  <c r="U342" i="9" s="1"/>
  <c r="DI328" i="9"/>
  <c r="DK328" i="9" s="1"/>
  <c r="DL328" i="9" s="1"/>
  <c r="EB318" i="9"/>
  <c r="ED318" i="9" s="1"/>
  <c r="EE318" i="9" s="1"/>
  <c r="BW314" i="9"/>
  <c r="BY314" i="9" s="1"/>
  <c r="BZ314" i="9" s="1"/>
  <c r="BW315" i="9"/>
  <c r="BY315" i="9" s="1"/>
  <c r="BZ315" i="9" s="1"/>
  <c r="BW316" i="9"/>
  <c r="BY316" i="9" s="1"/>
  <c r="BZ316" i="9" s="1"/>
  <c r="DI315" i="9"/>
  <c r="DK315" i="9" s="1"/>
  <c r="DL315" i="9" s="1"/>
  <c r="CP313" i="9"/>
  <c r="CR313" i="9" s="1"/>
  <c r="CS313" i="9" s="1"/>
  <c r="EB305" i="9"/>
  <c r="ED305" i="9" s="1"/>
  <c r="EE305" i="9" s="1"/>
  <c r="AK307" i="9"/>
  <c r="AM307" i="9" s="1"/>
  <c r="AN307" i="9" s="1"/>
  <c r="BW313" i="9"/>
  <c r="BY313" i="9" s="1"/>
  <c r="BZ313" i="9" s="1"/>
  <c r="EB307" i="9"/>
  <c r="ED307" i="9" s="1"/>
  <c r="EE307" i="9" s="1"/>
  <c r="EU313" i="9"/>
  <c r="EW313" i="9" s="1"/>
  <c r="EX313" i="9" s="1"/>
  <c r="EU303" i="9"/>
  <c r="EW303" i="9" s="1"/>
  <c r="EX303" i="9" s="1"/>
  <c r="EB309" i="9"/>
  <c r="ED309" i="9" s="1"/>
  <c r="EE309" i="9" s="1"/>
  <c r="EB301" i="9"/>
  <c r="ED301" i="9" s="1"/>
  <c r="EE301" i="9" s="1"/>
  <c r="DI307" i="9"/>
  <c r="DK307" i="9" s="1"/>
  <c r="DL307" i="9" s="1"/>
  <c r="DI299" i="9"/>
  <c r="DK299" i="9" s="1"/>
  <c r="DL299" i="9" s="1"/>
  <c r="AK296" i="9"/>
  <c r="AM296" i="9" s="1"/>
  <c r="AN296" i="9" s="1"/>
  <c r="EU307" i="9"/>
  <c r="EW307" i="9" s="1"/>
  <c r="EX307" i="9" s="1"/>
  <c r="DI293" i="9"/>
  <c r="DK293" i="9" s="1"/>
  <c r="DL293" i="9" s="1"/>
  <c r="AK300" i="9"/>
  <c r="AM300" i="9" s="1"/>
  <c r="AN300" i="9" s="1"/>
  <c r="DI294" i="9"/>
  <c r="DK294" i="9" s="1"/>
  <c r="DL294" i="9" s="1"/>
  <c r="AK304" i="9"/>
  <c r="AM304" i="9" s="1"/>
  <c r="AN304" i="9" s="1"/>
  <c r="BD294" i="9"/>
  <c r="BF294" i="9" s="1"/>
  <c r="BG294" i="9" s="1"/>
  <c r="DI301" i="9"/>
  <c r="DK301" i="9" s="1"/>
  <c r="DL301" i="9" s="1"/>
  <c r="EB291" i="9"/>
  <c r="ED291" i="9" s="1"/>
  <c r="EE291" i="9" s="1"/>
  <c r="CP301" i="9"/>
  <c r="CR301" i="9" s="1"/>
  <c r="CS301" i="9" s="1"/>
  <c r="BW292" i="9"/>
  <c r="BY292" i="9" s="1"/>
  <c r="BZ292" i="9" s="1"/>
  <c r="CP283" i="9"/>
  <c r="CR283" i="9" s="1"/>
  <c r="CS283" i="9" s="1"/>
  <c r="BD286" i="9"/>
  <c r="BF286" i="9" s="1"/>
  <c r="BG286" i="9" s="1"/>
  <c r="DI291" i="9"/>
  <c r="DK291" i="9" s="1"/>
  <c r="DL291" i="9" s="1"/>
  <c r="BD296" i="9"/>
  <c r="BF296" i="9" s="1"/>
  <c r="BG296" i="9" s="1"/>
  <c r="R282" i="9"/>
  <c r="T282" i="9" s="1"/>
  <c r="U282" i="9" s="1"/>
  <c r="EU289" i="9"/>
  <c r="EW289" i="9" s="1"/>
  <c r="EX289" i="9" s="1"/>
  <c r="EU282" i="9"/>
  <c r="EW282" i="9" s="1"/>
  <c r="EX282" i="9" s="1"/>
  <c r="BW287" i="9"/>
  <c r="BY287" i="9" s="1"/>
  <c r="BZ287" i="9" s="1"/>
  <c r="BD272" i="9"/>
  <c r="BF272" i="9" s="1"/>
  <c r="BG272" i="9" s="1"/>
  <c r="DI280" i="9"/>
  <c r="DK280" i="9" s="1"/>
  <c r="DL280" i="9" s="1"/>
  <c r="BD273" i="9"/>
  <c r="BF273" i="9" s="1"/>
  <c r="BG273" i="9" s="1"/>
  <c r="AK293" i="9"/>
  <c r="AM293" i="9" s="1"/>
  <c r="AN293" i="9" s="1"/>
  <c r="DI275" i="9"/>
  <c r="DK275" i="9" s="1"/>
  <c r="DL275" i="9" s="1"/>
  <c r="BW282" i="9"/>
  <c r="BY282" i="9" s="1"/>
  <c r="BZ282" i="9" s="1"/>
  <c r="AK272" i="9"/>
  <c r="AM272" i="9" s="1"/>
  <c r="AN272" i="9" s="1"/>
  <c r="DI283" i="9"/>
  <c r="DK283" i="9" s="1"/>
  <c r="DL283" i="9" s="1"/>
  <c r="EU283" i="9"/>
  <c r="EW283" i="9" s="1"/>
  <c r="EX283" i="9" s="1"/>
  <c r="BW273" i="9"/>
  <c r="BY273" i="9" s="1"/>
  <c r="BZ273" i="9" s="1"/>
  <c r="EB272" i="9"/>
  <c r="ED272" i="9" s="1"/>
  <c r="EE272" i="9" s="1"/>
  <c r="BD264" i="9"/>
  <c r="BF264" i="9" s="1"/>
  <c r="BG264" i="9" s="1"/>
  <c r="AK276" i="9"/>
  <c r="AM276" i="9" s="1"/>
  <c r="AN276" i="9" s="1"/>
  <c r="AK262" i="9"/>
  <c r="AM262" i="9" s="1"/>
  <c r="AN262" i="9" s="1"/>
  <c r="R268" i="9"/>
  <c r="T268" i="9" s="1"/>
  <c r="U268" i="9" s="1"/>
  <c r="R260" i="9"/>
  <c r="T260" i="9" s="1"/>
  <c r="U260" i="9" s="1"/>
  <c r="BW274" i="9"/>
  <c r="BY274" i="9" s="1"/>
  <c r="BZ274" i="9" s="1"/>
  <c r="DI268" i="9"/>
  <c r="DK268" i="9" s="1"/>
  <c r="DL268" i="9" s="1"/>
  <c r="DI260" i="9"/>
  <c r="DK260" i="9" s="1"/>
  <c r="DL260" i="9" s="1"/>
  <c r="EB264" i="9"/>
  <c r="ED264" i="9" s="1"/>
  <c r="EE264" i="9" s="1"/>
  <c r="EB280" i="9"/>
  <c r="ED280" i="9" s="1"/>
  <c r="EE280" i="9" s="1"/>
  <c r="R263" i="9"/>
  <c r="T263" i="9" s="1"/>
  <c r="U263" i="9" s="1"/>
  <c r="BW258" i="9"/>
  <c r="BY258" i="9" s="1"/>
  <c r="BZ258" i="9" s="1"/>
  <c r="EU250" i="9"/>
  <c r="EW250" i="9" s="1"/>
  <c r="EX250" i="9" s="1"/>
  <c r="EU261" i="9"/>
  <c r="EW261" i="9" s="1"/>
  <c r="EX261" i="9" s="1"/>
  <c r="CP250" i="9"/>
  <c r="CR250" i="9" s="1"/>
  <c r="CS250" i="9" s="1"/>
  <c r="AK258" i="9"/>
  <c r="AM258" i="9" s="1"/>
  <c r="AN258" i="9" s="1"/>
  <c r="AK250" i="9"/>
  <c r="AM250" i="9" s="1"/>
  <c r="AN250" i="9" s="1"/>
  <c r="BW257" i="9"/>
  <c r="BY257" i="9" s="1"/>
  <c r="BZ257" i="9" s="1"/>
  <c r="BW249" i="9"/>
  <c r="BY249" i="9" s="1"/>
  <c r="BZ249" i="9" s="1"/>
  <c r="BD255" i="9"/>
  <c r="BF255" i="9" s="1"/>
  <c r="BG255" i="9" s="1"/>
  <c r="BD247" i="9"/>
  <c r="BF247" i="9" s="1"/>
  <c r="BG247" i="9" s="1"/>
  <c r="CP255" i="9"/>
  <c r="CR255" i="9" s="1"/>
  <c r="CS255" i="9" s="1"/>
  <c r="CP247" i="9"/>
  <c r="CR247" i="9" s="1"/>
  <c r="CS247" i="9" s="1"/>
  <c r="DI241" i="9"/>
  <c r="DK241" i="9" s="1"/>
  <c r="DL241" i="9" s="1"/>
  <c r="BW253" i="9"/>
  <c r="BY253" i="9" s="1"/>
  <c r="BZ253" i="9" s="1"/>
  <c r="DI242" i="9"/>
  <c r="DK242" i="9" s="1"/>
  <c r="DL242" i="9" s="1"/>
  <c r="AK268" i="9"/>
  <c r="AM268" i="9" s="1"/>
  <c r="AN268" i="9" s="1"/>
  <c r="BD242" i="9"/>
  <c r="BF242" i="9" s="1"/>
  <c r="BG242" i="9" s="1"/>
  <c r="DI257" i="9"/>
  <c r="DK257" i="9" s="1"/>
  <c r="DL257" i="9" s="1"/>
  <c r="CP241" i="9"/>
  <c r="CR241" i="9" s="1"/>
  <c r="CS241" i="9" s="1"/>
  <c r="AK260" i="9"/>
  <c r="AM260" i="9" s="1"/>
  <c r="AN260" i="9" s="1"/>
  <c r="CP242" i="9"/>
  <c r="CR242" i="9" s="1"/>
  <c r="CS242" i="9" s="1"/>
  <c r="BD263" i="9"/>
  <c r="BF263" i="9" s="1"/>
  <c r="BG263" i="9" s="1"/>
  <c r="DI251" i="9"/>
  <c r="DK251" i="9" s="1"/>
  <c r="DL251" i="9" s="1"/>
  <c r="DI247" i="9"/>
  <c r="DK247" i="9" s="1"/>
  <c r="DL247" i="9" s="1"/>
  <c r="CP232" i="9"/>
  <c r="CR232" i="9" s="1"/>
  <c r="CS232" i="9" s="1"/>
  <c r="CP224" i="9"/>
  <c r="CR224" i="9" s="1"/>
  <c r="CS224" i="9" s="1"/>
  <c r="CP216" i="9"/>
  <c r="CR216" i="9" s="1"/>
  <c r="CS216" i="9" s="1"/>
  <c r="CP208" i="9"/>
  <c r="CR208" i="9" s="1"/>
  <c r="CS208" i="9" s="1"/>
  <c r="R229" i="9"/>
  <c r="T229" i="9" s="1"/>
  <c r="U229" i="9" s="1"/>
  <c r="R221" i="9"/>
  <c r="T221" i="9" s="1"/>
  <c r="U221" i="9" s="1"/>
  <c r="R213" i="9"/>
  <c r="T213" i="9" s="1"/>
  <c r="U213" i="9" s="1"/>
  <c r="EU244" i="9"/>
  <c r="EW244" i="9" s="1"/>
  <c r="EX244" i="9" s="1"/>
  <c r="R230" i="9"/>
  <c r="T230" i="9" s="1"/>
  <c r="U230" i="9" s="1"/>
  <c r="R222" i="9"/>
  <c r="T222" i="9" s="1"/>
  <c r="U222" i="9" s="1"/>
  <c r="R214" i="9"/>
  <c r="T214" i="9" s="1"/>
  <c r="U214" i="9" s="1"/>
  <c r="DI239" i="9"/>
  <c r="DK239" i="9" s="1"/>
  <c r="DL239" i="9" s="1"/>
  <c r="R231" i="9"/>
  <c r="T231" i="9" s="1"/>
  <c r="U231" i="9" s="1"/>
  <c r="R223" i="9"/>
  <c r="T223" i="9" s="1"/>
  <c r="U223" i="9" s="1"/>
  <c r="R215" i="9"/>
  <c r="T215" i="9" s="1"/>
  <c r="U215" i="9" s="1"/>
  <c r="R240" i="9"/>
  <c r="T240" i="9" s="1"/>
  <c r="U240" i="9" s="1"/>
  <c r="EB226" i="9"/>
  <c r="ED226" i="9" s="1"/>
  <c r="EE226" i="9" s="1"/>
  <c r="EB218" i="9"/>
  <c r="ED218" i="9" s="1"/>
  <c r="EE218" i="9" s="1"/>
  <c r="EB210" i="9"/>
  <c r="ED210" i="9" s="1"/>
  <c r="EE210" i="9" s="1"/>
  <c r="BW234" i="9"/>
  <c r="BY234" i="9" s="1"/>
  <c r="BZ234" i="9" s="1"/>
  <c r="BW226" i="9"/>
  <c r="BY226" i="9" s="1"/>
  <c r="BZ226" i="9" s="1"/>
  <c r="BW218" i="9"/>
  <c r="BY218" i="9" s="1"/>
  <c r="BZ218" i="9" s="1"/>
  <c r="BW210" i="9"/>
  <c r="BY210" i="9" s="1"/>
  <c r="BZ210" i="9" s="1"/>
  <c r="EU231" i="9"/>
  <c r="EW231" i="9" s="1"/>
  <c r="EX231" i="9" s="1"/>
  <c r="EU223" i="9"/>
  <c r="EW223" i="9" s="1"/>
  <c r="EX223" i="9" s="1"/>
  <c r="EU215" i="9"/>
  <c r="EW215" i="9" s="1"/>
  <c r="EX215" i="9" s="1"/>
  <c r="EU207" i="9"/>
  <c r="EW207" i="9" s="1"/>
  <c r="EX207" i="9" s="1"/>
  <c r="R202" i="9"/>
  <c r="T202" i="9" s="1"/>
  <c r="U202" i="9" s="1"/>
  <c r="R194" i="9"/>
  <c r="T194" i="9" s="1"/>
  <c r="U194" i="9" s="1"/>
  <c r="R186" i="9"/>
  <c r="T186" i="9" s="1"/>
  <c r="U186" i="9" s="1"/>
  <c r="CP245" i="9"/>
  <c r="CR245" i="9" s="1"/>
  <c r="CS245" i="9" s="1"/>
  <c r="BD201" i="9"/>
  <c r="BF201" i="9" s="1"/>
  <c r="BG201" i="9" s="1"/>
  <c r="BD193" i="9"/>
  <c r="BF193" i="9" s="1"/>
  <c r="BG193" i="9" s="1"/>
  <c r="BD185" i="9"/>
  <c r="BF185" i="9" s="1"/>
  <c r="BG185" i="9" s="1"/>
  <c r="EB243" i="9"/>
  <c r="ED243" i="9" s="1"/>
  <c r="EE243" i="9" s="1"/>
  <c r="EB206" i="9"/>
  <c r="ED206" i="9" s="1"/>
  <c r="EE206" i="9" s="1"/>
  <c r="EB198" i="9"/>
  <c r="ED198" i="9" s="1"/>
  <c r="EE198" i="9" s="1"/>
  <c r="EB190" i="9"/>
  <c r="ED190" i="9" s="1"/>
  <c r="EE190" i="9" s="1"/>
  <c r="EB182" i="9"/>
  <c r="ED182" i="9" s="1"/>
  <c r="EE182" i="9" s="1"/>
  <c r="DI226" i="9"/>
  <c r="DK226" i="9" s="1"/>
  <c r="DL226" i="9" s="1"/>
  <c r="BD203" i="9"/>
  <c r="BF203" i="9" s="1"/>
  <c r="BG203" i="9" s="1"/>
  <c r="BD195" i="9"/>
  <c r="BF195" i="9" s="1"/>
  <c r="BG195" i="9" s="1"/>
  <c r="BD187" i="9"/>
  <c r="BF187" i="9" s="1"/>
  <c r="BG187" i="9" s="1"/>
  <c r="BD179" i="9"/>
  <c r="BF179" i="9" s="1"/>
  <c r="BG179" i="9" s="1"/>
  <c r="BD204" i="9"/>
  <c r="BF204" i="9" s="1"/>
  <c r="BG204" i="9" s="1"/>
  <c r="BD196" i="9"/>
  <c r="BF196" i="9" s="1"/>
  <c r="BG196" i="9" s="1"/>
  <c r="BD188" i="9"/>
  <c r="BF188" i="9" s="1"/>
  <c r="BG188" i="9" s="1"/>
  <c r="BD180" i="9"/>
  <c r="BF180" i="9" s="1"/>
  <c r="BG180" i="9" s="1"/>
  <c r="EU204" i="9"/>
  <c r="EW204" i="9" s="1"/>
  <c r="EX204" i="9" s="1"/>
  <c r="EU196" i="9"/>
  <c r="EW196" i="9" s="1"/>
  <c r="EX196" i="9" s="1"/>
  <c r="EU188" i="9"/>
  <c r="EW188" i="9" s="1"/>
  <c r="EX188" i="9" s="1"/>
  <c r="EU180" i="9"/>
  <c r="EW180" i="9" s="1"/>
  <c r="EX180" i="9" s="1"/>
  <c r="CP204" i="9"/>
  <c r="CR204" i="9" s="1"/>
  <c r="CS204" i="9" s="1"/>
  <c r="CP196" i="9"/>
  <c r="CR196" i="9" s="1"/>
  <c r="CS196" i="9" s="1"/>
  <c r="CP188" i="9"/>
  <c r="CR188" i="9" s="1"/>
  <c r="CS188" i="9" s="1"/>
  <c r="CP180" i="9"/>
  <c r="CR180" i="9" s="1"/>
  <c r="CS180" i="9" s="1"/>
  <c r="R173" i="9"/>
  <c r="T173" i="9" s="1"/>
  <c r="U173" i="9" s="1"/>
  <c r="CP178" i="9"/>
  <c r="CR178" i="9" s="1"/>
  <c r="CS178" i="9" s="1"/>
  <c r="BW177" i="9"/>
  <c r="BY177" i="9" s="1"/>
  <c r="BZ177" i="9" s="1"/>
  <c r="BW169" i="9"/>
  <c r="BY169" i="9" s="1"/>
  <c r="BZ169" i="9" s="1"/>
  <c r="BW161" i="9"/>
  <c r="BY161" i="9" s="1"/>
  <c r="BZ161" i="9" s="1"/>
  <c r="BW153" i="9"/>
  <c r="BY153" i="9" s="1"/>
  <c r="BZ153" i="9" s="1"/>
  <c r="R177" i="9"/>
  <c r="T177" i="9" s="1"/>
  <c r="U177" i="9" s="1"/>
  <c r="R169" i="9"/>
  <c r="T169" i="9" s="1"/>
  <c r="U169" i="9" s="1"/>
  <c r="R161" i="9"/>
  <c r="T161" i="9" s="1"/>
  <c r="U161" i="9" s="1"/>
  <c r="R153" i="9"/>
  <c r="T153" i="9" s="1"/>
  <c r="U153" i="9" s="1"/>
  <c r="DI177" i="9"/>
  <c r="DK177" i="9" s="1"/>
  <c r="DL177" i="9" s="1"/>
  <c r="DI169" i="9"/>
  <c r="DK169" i="9" s="1"/>
  <c r="DL169" i="9" s="1"/>
  <c r="DI161" i="9"/>
  <c r="DK161" i="9" s="1"/>
  <c r="DL161" i="9" s="1"/>
  <c r="DI153" i="9"/>
  <c r="DK153" i="9" s="1"/>
  <c r="DL153" i="9" s="1"/>
  <c r="EU176" i="9"/>
  <c r="EW176" i="9" s="1"/>
  <c r="EX176" i="9" s="1"/>
  <c r="EU168" i="9"/>
  <c r="EW168" i="9" s="1"/>
  <c r="EX168" i="9" s="1"/>
  <c r="EU160" i="9"/>
  <c r="EW160" i="9" s="1"/>
  <c r="EX160" i="9" s="1"/>
  <c r="EU169" i="9"/>
  <c r="EW169" i="9" s="1"/>
  <c r="EX169" i="9" s="1"/>
  <c r="BW151" i="9"/>
  <c r="BY151" i="9" s="1"/>
  <c r="BZ151" i="9" s="1"/>
  <c r="CP143" i="9"/>
  <c r="CR143" i="9" s="1"/>
  <c r="CS143" i="9" s="1"/>
  <c r="CP135" i="9"/>
  <c r="CR135" i="9" s="1"/>
  <c r="CS135" i="9" s="1"/>
  <c r="AK167" i="9"/>
  <c r="AM167" i="9" s="1"/>
  <c r="AN167" i="9" s="1"/>
  <c r="EB150" i="9"/>
  <c r="ED150" i="9" s="1"/>
  <c r="EE150" i="9" s="1"/>
  <c r="EB142" i="9"/>
  <c r="ED142" i="9" s="1"/>
  <c r="EE142" i="9" s="1"/>
  <c r="EB134" i="9"/>
  <c r="ED134" i="9" s="1"/>
  <c r="EE134" i="9" s="1"/>
  <c r="AK162" i="9"/>
  <c r="AM162" i="9" s="1"/>
  <c r="AN162" i="9" s="1"/>
  <c r="AK152" i="9"/>
  <c r="AM152" i="9" s="1"/>
  <c r="AN152" i="9" s="1"/>
  <c r="EB143" i="9"/>
  <c r="ED143" i="9" s="1"/>
  <c r="EE143" i="9" s="1"/>
  <c r="EB135" i="9"/>
  <c r="ED135" i="9" s="1"/>
  <c r="EE135" i="9" s="1"/>
  <c r="BW160" i="9"/>
  <c r="BY160" i="9" s="1"/>
  <c r="BZ160" i="9" s="1"/>
  <c r="EU148" i="9"/>
  <c r="EW148" i="9" s="1"/>
  <c r="EX148" i="9" s="1"/>
  <c r="EU140" i="9"/>
  <c r="EW140" i="9" s="1"/>
  <c r="EX140" i="9" s="1"/>
  <c r="EU132" i="9"/>
  <c r="EW132" i="9" s="1"/>
  <c r="EX132" i="9" s="1"/>
  <c r="EU155" i="9"/>
  <c r="EW155" i="9" s="1"/>
  <c r="EX155" i="9" s="1"/>
  <c r="EB132" i="9"/>
  <c r="ED132" i="9" s="1"/>
  <c r="EE132" i="9" s="1"/>
  <c r="BW125" i="9"/>
  <c r="BY125" i="9" s="1"/>
  <c r="BZ125" i="9" s="1"/>
  <c r="BW117" i="9"/>
  <c r="BY117" i="9" s="1"/>
  <c r="BZ117" i="9" s="1"/>
  <c r="EB158" i="9"/>
  <c r="ED158" i="9" s="1"/>
  <c r="EE158" i="9" s="1"/>
  <c r="R145" i="9"/>
  <c r="T145" i="9" s="1"/>
  <c r="U145" i="9" s="1"/>
  <c r="BD131" i="9"/>
  <c r="BF131" i="9" s="1"/>
  <c r="BG131" i="9" s="1"/>
  <c r="BD123" i="9"/>
  <c r="BF123" i="9" s="1"/>
  <c r="BG123" i="9" s="1"/>
  <c r="EB187" i="9"/>
  <c r="ED187" i="9" s="1"/>
  <c r="EE187" i="9" s="1"/>
  <c r="CP161" i="9"/>
  <c r="CR161" i="9" s="1"/>
  <c r="CS161" i="9" s="1"/>
  <c r="EU135" i="9"/>
  <c r="EW135" i="9" s="1"/>
  <c r="EX135" i="9" s="1"/>
  <c r="R126" i="9"/>
  <c r="T126" i="9" s="1"/>
  <c r="U126" i="9" s="1"/>
  <c r="BW147" i="9"/>
  <c r="BY147" i="9" s="1"/>
  <c r="BZ147" i="9" s="1"/>
  <c r="EB129" i="9"/>
  <c r="ED129" i="9" s="1"/>
  <c r="EE129" i="9" s="1"/>
  <c r="EB121" i="9"/>
  <c r="ED121" i="9" s="1"/>
  <c r="EE121" i="9" s="1"/>
  <c r="R174" i="9"/>
  <c r="T174" i="9" s="1"/>
  <c r="U174" i="9" s="1"/>
  <c r="EB151" i="9"/>
  <c r="ED151" i="9" s="1"/>
  <c r="EE151" i="9" s="1"/>
  <c r="BW139" i="9"/>
  <c r="BY139" i="9" s="1"/>
  <c r="BZ139" i="9" s="1"/>
  <c r="R128" i="9"/>
  <c r="T128" i="9" s="1"/>
  <c r="U128" i="9" s="1"/>
  <c r="R120" i="9"/>
  <c r="T120" i="9" s="1"/>
  <c r="U120" i="9" s="1"/>
  <c r="R164" i="9"/>
  <c r="T164" i="9" s="1"/>
  <c r="U164" i="9" s="1"/>
  <c r="EB140" i="9"/>
  <c r="ED140" i="9" s="1"/>
  <c r="EE140" i="9" s="1"/>
  <c r="BW130" i="9"/>
  <c r="BY130" i="9" s="1"/>
  <c r="BZ130" i="9" s="1"/>
  <c r="BW122" i="9"/>
  <c r="BY122" i="9" s="1"/>
  <c r="BZ122" i="9" s="1"/>
  <c r="BW158" i="9"/>
  <c r="BY158" i="9" s="1"/>
  <c r="BZ158" i="9" s="1"/>
  <c r="AK117" i="9"/>
  <c r="AM117" i="9" s="1"/>
  <c r="AN117" i="9" s="1"/>
  <c r="CP138" i="9"/>
  <c r="CR138" i="9" s="1"/>
  <c r="CS138" i="9" s="1"/>
  <c r="DI111" i="9"/>
  <c r="DK111" i="9" s="1"/>
  <c r="DL111" i="9" s="1"/>
  <c r="DI103" i="9"/>
  <c r="DK103" i="9" s="1"/>
  <c r="DL103" i="9" s="1"/>
  <c r="DI95" i="9"/>
  <c r="DK95" i="9" s="1"/>
  <c r="DL95" i="9" s="1"/>
  <c r="R118" i="9"/>
  <c r="T118" i="9" s="1"/>
  <c r="U118" i="9" s="1"/>
  <c r="EB107" i="9"/>
  <c r="ED107" i="9" s="1"/>
  <c r="EE107" i="9" s="1"/>
  <c r="EB99" i="9"/>
  <c r="ED99" i="9" s="1"/>
  <c r="EE99" i="9" s="1"/>
  <c r="R142" i="9"/>
  <c r="T142" i="9" s="1"/>
  <c r="U142" i="9" s="1"/>
  <c r="DI117" i="9"/>
  <c r="DK117" i="9" s="1"/>
  <c r="DL117" i="9" s="1"/>
  <c r="BW108" i="9"/>
  <c r="BY108" i="9" s="1"/>
  <c r="BZ108" i="9" s="1"/>
  <c r="BW100" i="9"/>
  <c r="BY100" i="9" s="1"/>
  <c r="BZ100" i="9" s="1"/>
  <c r="DI192" i="9"/>
  <c r="DK192" i="9" s="1"/>
  <c r="DL192" i="9" s="1"/>
  <c r="BD129" i="9"/>
  <c r="BF129" i="9" s="1"/>
  <c r="BG129" i="9" s="1"/>
  <c r="EU113" i="9"/>
  <c r="EW113" i="9" s="1"/>
  <c r="EX113" i="9" s="1"/>
  <c r="EU105" i="9"/>
  <c r="EW105" i="9" s="1"/>
  <c r="EX105" i="9" s="1"/>
  <c r="EU97" i="9"/>
  <c r="EW97" i="9" s="1"/>
  <c r="EX97" i="9" s="1"/>
  <c r="BW135" i="9"/>
  <c r="BY135" i="9" s="1"/>
  <c r="BZ135" i="9" s="1"/>
  <c r="EU100" i="9"/>
  <c r="EW100" i="9" s="1"/>
  <c r="EX100" i="9" s="1"/>
  <c r="EB88" i="9"/>
  <c r="ED88" i="9" s="1"/>
  <c r="EE88" i="9" s="1"/>
  <c r="EB80" i="9"/>
  <c r="ED80" i="9" s="1"/>
  <c r="EE80" i="9" s="1"/>
  <c r="EB72" i="9"/>
  <c r="ED72" i="9" s="1"/>
  <c r="EE72" i="9" s="1"/>
  <c r="EB64" i="9"/>
  <c r="ED64" i="9" s="1"/>
  <c r="EE64" i="9" s="1"/>
  <c r="EB56" i="9"/>
  <c r="ED56" i="9" s="1"/>
  <c r="EE56" i="9" s="1"/>
  <c r="EB48" i="9"/>
  <c r="ED48" i="9" s="1"/>
  <c r="EE48" i="9" s="1"/>
  <c r="R111" i="9"/>
  <c r="T111" i="9" s="1"/>
  <c r="U111" i="9" s="1"/>
  <c r="EB96" i="9"/>
  <c r="ED96" i="9" s="1"/>
  <c r="EE96" i="9" s="1"/>
  <c r="BD85" i="9"/>
  <c r="BF85" i="9" s="1"/>
  <c r="BG85" i="9" s="1"/>
  <c r="BD77" i="9"/>
  <c r="BF77" i="9" s="1"/>
  <c r="BG77" i="9" s="1"/>
  <c r="BD69" i="9"/>
  <c r="BF69" i="9" s="1"/>
  <c r="BG69" i="9" s="1"/>
  <c r="BD61" i="9"/>
  <c r="BF61" i="9" s="1"/>
  <c r="BG61" i="9" s="1"/>
  <c r="BD53" i="9"/>
  <c r="BF53" i="9" s="1"/>
  <c r="BG53" i="9" s="1"/>
  <c r="DI130" i="9"/>
  <c r="DK130" i="9" s="1"/>
  <c r="DL130" i="9" s="1"/>
  <c r="EB105" i="9"/>
  <c r="ED105" i="9" s="1"/>
  <c r="EE105" i="9" s="1"/>
  <c r="R88" i="9"/>
  <c r="T88" i="9" s="1"/>
  <c r="U88" i="9" s="1"/>
  <c r="R80" i="9"/>
  <c r="T80" i="9" s="1"/>
  <c r="U80" i="9" s="1"/>
  <c r="R72" i="9"/>
  <c r="T72" i="9" s="1"/>
  <c r="U72" i="9" s="1"/>
  <c r="R64" i="9"/>
  <c r="T64" i="9" s="1"/>
  <c r="U64" i="9" s="1"/>
  <c r="R56" i="9"/>
  <c r="T56" i="9" s="1"/>
  <c r="U56" i="9" s="1"/>
  <c r="R48" i="9"/>
  <c r="T48" i="9" s="1"/>
  <c r="U48" i="9" s="1"/>
  <c r="BD108" i="9"/>
  <c r="BF108" i="9" s="1"/>
  <c r="BG108" i="9" s="1"/>
  <c r="EU95" i="9"/>
  <c r="EW95" i="9" s="1"/>
  <c r="EX95" i="9" s="1"/>
  <c r="BW90" i="9"/>
  <c r="BY90" i="9" s="1"/>
  <c r="BZ90" i="9" s="1"/>
  <c r="BW82" i="9"/>
  <c r="BY82" i="9" s="1"/>
  <c r="BZ82" i="9" s="1"/>
  <c r="BW74" i="9"/>
  <c r="BY74" i="9" s="1"/>
  <c r="BZ74" i="9" s="1"/>
  <c r="BW66" i="9"/>
  <c r="BY66" i="9" s="1"/>
  <c r="BZ66" i="9" s="1"/>
  <c r="BW58" i="9"/>
  <c r="BY58" i="9" s="1"/>
  <c r="BZ58" i="9" s="1"/>
  <c r="BW50" i="9"/>
  <c r="BY50" i="9" s="1"/>
  <c r="BZ50" i="9" s="1"/>
  <c r="R150" i="9"/>
  <c r="T150" i="9" s="1"/>
  <c r="U150" i="9" s="1"/>
  <c r="EU99" i="9"/>
  <c r="EW99" i="9" s="1"/>
  <c r="EX99" i="9" s="1"/>
  <c r="EU87" i="9"/>
  <c r="EW87" i="9" s="1"/>
  <c r="EX87" i="9" s="1"/>
  <c r="EU79" i="9"/>
  <c r="EW79" i="9" s="1"/>
  <c r="EX79" i="9" s="1"/>
  <c r="EU71" i="9"/>
  <c r="EW71" i="9" s="1"/>
  <c r="EX71" i="9" s="1"/>
  <c r="EU63" i="9"/>
  <c r="EW63" i="9" s="1"/>
  <c r="EX63" i="9" s="1"/>
  <c r="EU55" i="9"/>
  <c r="EW55" i="9" s="1"/>
  <c r="EX55" i="9" s="1"/>
  <c r="EU47" i="9"/>
  <c r="EW47" i="9" s="1"/>
  <c r="EX47" i="9" s="1"/>
  <c r="CP110" i="9"/>
  <c r="CR110" i="9" s="1"/>
  <c r="CS110" i="9" s="1"/>
  <c r="BW96" i="9"/>
  <c r="BY96" i="9" s="1"/>
  <c r="BZ96" i="9" s="1"/>
  <c r="R131" i="9"/>
  <c r="T131" i="9" s="1"/>
  <c r="U131" i="9" s="1"/>
  <c r="AK16" i="9"/>
  <c r="AM16" i="9" s="1"/>
  <c r="AN16" i="9" s="1"/>
  <c r="EB23" i="9"/>
  <c r="ED23" i="9" s="1"/>
  <c r="EE23" i="9" s="1"/>
  <c r="AK40" i="9"/>
  <c r="AM40" i="9" s="1"/>
  <c r="AN40" i="9" s="1"/>
  <c r="R60" i="9"/>
  <c r="T60" i="9" s="1"/>
  <c r="U60" i="9" s="1"/>
  <c r="BW86" i="9"/>
  <c r="BY86" i="9" s="1"/>
  <c r="BZ86" i="9" s="1"/>
  <c r="BD18" i="9"/>
  <c r="BF18" i="9" s="1"/>
  <c r="BG18" i="9" s="1"/>
  <c r="BW37" i="9"/>
  <c r="BY37" i="9" s="1"/>
  <c r="BZ37" i="9" s="1"/>
  <c r="DI42" i="9"/>
  <c r="DK42" i="9" s="1"/>
  <c r="DL42" i="9" s="1"/>
  <c r="CP55" i="9"/>
  <c r="CR55" i="9" s="1"/>
  <c r="CS55" i="9" s="1"/>
  <c r="EB71" i="9"/>
  <c r="ED71" i="9" s="1"/>
  <c r="EE71" i="9" s="1"/>
  <c r="BD82" i="9"/>
  <c r="BF82" i="9" s="1"/>
  <c r="BG82" i="9" s="1"/>
  <c r="AK22" i="9"/>
  <c r="AM22" i="9" s="1"/>
  <c r="AN22" i="9" s="1"/>
  <c r="BW28" i="9"/>
  <c r="BY28" i="9" s="1"/>
  <c r="BZ28" i="9" s="1"/>
  <c r="BD33" i="9"/>
  <c r="BF33" i="9" s="1"/>
  <c r="BG33" i="9" s="1"/>
  <c r="BW45" i="9"/>
  <c r="BY45" i="9" s="1"/>
  <c r="BZ45" i="9" s="1"/>
  <c r="EB62" i="9"/>
  <c r="ED62" i="9" s="1"/>
  <c r="EE62" i="9" s="1"/>
  <c r="EB20" i="9"/>
  <c r="ED20" i="9" s="1"/>
  <c r="EE20" i="9" s="1"/>
  <c r="BW27" i="9"/>
  <c r="BY27" i="9" s="1"/>
  <c r="BZ27" i="9" s="1"/>
  <c r="R34" i="9"/>
  <c r="T34" i="9" s="1"/>
  <c r="U34" i="9" s="1"/>
  <c r="DI41" i="9"/>
  <c r="DK41" i="9" s="1"/>
  <c r="DL41" i="9" s="1"/>
  <c r="DI59" i="9"/>
  <c r="DK59" i="9" s="1"/>
  <c r="DL59" i="9" s="1"/>
  <c r="EU88" i="9"/>
  <c r="EW88" i="9" s="1"/>
  <c r="EX88" i="9" s="1"/>
  <c r="BD96" i="9"/>
  <c r="BF96" i="9" s="1"/>
  <c r="BG96" i="9" s="1"/>
  <c r="R336" i="9"/>
  <c r="T336" i="9" s="1"/>
  <c r="U336" i="9" s="1"/>
  <c r="EB312" i="9"/>
  <c r="ED312" i="9" s="1"/>
  <c r="EE312" i="9" s="1"/>
  <c r="CP303" i="9"/>
  <c r="CR303" i="9" s="1"/>
  <c r="CS303" i="9" s="1"/>
  <c r="R312" i="9"/>
  <c r="T312" i="9" s="1"/>
  <c r="U312" i="9" s="1"/>
  <c r="R280" i="9"/>
  <c r="T280" i="9" s="1"/>
  <c r="U280" i="9" s="1"/>
  <c r="R281" i="9"/>
  <c r="T281" i="9" s="1"/>
  <c r="U281" i="9" s="1"/>
  <c r="AK287" i="9"/>
  <c r="AM287" i="9" s="1"/>
  <c r="AN287" i="9" s="1"/>
  <c r="EU270" i="9"/>
  <c r="EW270" i="9" s="1"/>
  <c r="EX270" i="9" s="1"/>
  <c r="EB265" i="9"/>
  <c r="ED265" i="9" s="1"/>
  <c r="EE265" i="9" s="1"/>
  <c r="R265" i="9"/>
  <c r="T265" i="9" s="1"/>
  <c r="U265" i="9" s="1"/>
  <c r="BW235" i="9"/>
  <c r="BY235" i="9" s="1"/>
  <c r="BZ235" i="9" s="1"/>
  <c r="BD244" i="9"/>
  <c r="BF244" i="9" s="1"/>
  <c r="BG244" i="9" s="1"/>
  <c r="BD210" i="9"/>
  <c r="BF210" i="9" s="1"/>
  <c r="BG210" i="9" s="1"/>
  <c r="EB216" i="9"/>
  <c r="ED216" i="9" s="1"/>
  <c r="EE216" i="9" s="1"/>
  <c r="CP220" i="9"/>
  <c r="CR220" i="9" s="1"/>
  <c r="CS220" i="9" s="1"/>
  <c r="DI225" i="9"/>
  <c r="DK225" i="9" s="1"/>
  <c r="DL225" i="9" s="1"/>
  <c r="EB180" i="9"/>
  <c r="ED180" i="9" s="1"/>
  <c r="EE180" i="9" s="1"/>
  <c r="CP192" i="9"/>
  <c r="CR192" i="9" s="1"/>
  <c r="CS192" i="9" s="1"/>
  <c r="R206" i="9"/>
  <c r="T206" i="9" s="1"/>
  <c r="U206" i="9" s="1"/>
  <c r="DI182" i="9"/>
  <c r="DK182" i="9" s="1"/>
  <c r="DL182" i="9" s="1"/>
  <c r="EB179" i="9"/>
  <c r="ED179" i="9" s="1"/>
  <c r="EE179" i="9" s="1"/>
  <c r="EB163" i="9"/>
  <c r="ED163" i="9" s="1"/>
  <c r="EE163" i="9" s="1"/>
  <c r="DI170" i="9"/>
  <c r="DK170" i="9" s="1"/>
  <c r="DL170" i="9" s="1"/>
  <c r="DI171" i="9"/>
  <c r="DK171" i="9" s="1"/>
  <c r="DL171" i="9" s="1"/>
  <c r="CP145" i="9"/>
  <c r="CR145" i="9" s="1"/>
  <c r="CS145" i="9" s="1"/>
  <c r="CP162" i="9"/>
  <c r="CR162" i="9" s="1"/>
  <c r="CS162" i="9" s="1"/>
  <c r="CP133" i="9"/>
  <c r="CR133" i="9" s="1"/>
  <c r="CS133" i="9" s="1"/>
  <c r="BD150" i="9"/>
  <c r="BF150" i="9" s="1"/>
  <c r="BG150" i="9" s="1"/>
  <c r="EB130" i="9"/>
  <c r="ED130" i="9" s="1"/>
  <c r="EE130" i="9" s="1"/>
  <c r="AK116" i="9"/>
  <c r="AM116" i="9" s="1"/>
  <c r="AN116" i="9" s="1"/>
  <c r="AK126" i="9"/>
  <c r="AM126" i="9" s="1"/>
  <c r="AN126" i="9" s="1"/>
  <c r="AK102" i="9"/>
  <c r="AM102" i="9" s="1"/>
  <c r="AN102" i="9" s="1"/>
  <c r="CP106" i="9"/>
  <c r="CR106" i="9" s="1"/>
  <c r="CS106" i="9" s="1"/>
  <c r="CP50" i="9"/>
  <c r="CR50" i="9" s="1"/>
  <c r="CS50" i="9" s="1"/>
  <c r="R63" i="9"/>
  <c r="T63" i="9" s="1"/>
  <c r="U63" i="9" s="1"/>
  <c r="EB74" i="9"/>
  <c r="ED74" i="9" s="1"/>
  <c r="EE74" i="9" s="1"/>
  <c r="AK92" i="9"/>
  <c r="AM92" i="9" s="1"/>
  <c r="AN92" i="9" s="1"/>
  <c r="AK44" i="9"/>
  <c r="AM44" i="9" s="1"/>
  <c r="AN44" i="9" s="1"/>
  <c r="DI57" i="9"/>
  <c r="DK57" i="9" s="1"/>
  <c r="DL57" i="9" s="1"/>
  <c r="AK32" i="9"/>
  <c r="AM32" i="9" s="1"/>
  <c r="AN32" i="9" s="1"/>
  <c r="EU17" i="9"/>
  <c r="EW17" i="9" s="1"/>
  <c r="EX17" i="9" s="1"/>
  <c r="AK31" i="9"/>
  <c r="AM31" i="9" s="1"/>
  <c r="AN31" i="9" s="1"/>
  <c r="AK79" i="9"/>
  <c r="AM79" i="9" s="1"/>
  <c r="AN79" i="9" s="1"/>
  <c r="EB37" i="9"/>
  <c r="ED37" i="9" s="1"/>
  <c r="EE37" i="9" s="1"/>
  <c r="DI25" i="9"/>
  <c r="DK25" i="9" s="1"/>
  <c r="DL25" i="9" s="1"/>
  <c r="EU81" i="9"/>
  <c r="EW81" i="9" s="1"/>
  <c r="EX81" i="9" s="1"/>
  <c r="EB45" i="9"/>
  <c r="ED45" i="9" s="1"/>
  <c r="EE45" i="9" s="1"/>
  <c r="AK356" i="9"/>
  <c r="AM356" i="9" s="1"/>
  <c r="AN356" i="9" s="1"/>
  <c r="R349" i="9"/>
  <c r="T349" i="9" s="1"/>
  <c r="U349" i="9" s="1"/>
  <c r="R344" i="9"/>
  <c r="T344" i="9" s="1"/>
  <c r="U344" i="9" s="1"/>
  <c r="DI337" i="9"/>
  <c r="DK337" i="9" s="1"/>
  <c r="DL337" i="9" s="1"/>
  <c r="CP326" i="9"/>
  <c r="CR326" i="9" s="1"/>
  <c r="CS326" i="9" s="1"/>
  <c r="BW322" i="9"/>
  <c r="BY322" i="9" s="1"/>
  <c r="BZ322" i="9" s="1"/>
  <c r="R313" i="9"/>
  <c r="T313" i="9" s="1"/>
  <c r="U313" i="9" s="1"/>
  <c r="R314" i="9"/>
  <c r="T314" i="9" s="1"/>
  <c r="U314" i="9" s="1"/>
  <c r="R315" i="9"/>
  <c r="T315" i="9" s="1"/>
  <c r="U315" i="9" s="1"/>
  <c r="EU317" i="9"/>
  <c r="EW317" i="9" s="1"/>
  <c r="EX317" i="9" s="1"/>
  <c r="EU311" i="9"/>
  <c r="EW311" i="9" s="1"/>
  <c r="EX311" i="9" s="1"/>
  <c r="BW304" i="9"/>
  <c r="BY304" i="9" s="1"/>
  <c r="BZ304" i="9" s="1"/>
  <c r="EB306" i="9"/>
  <c r="ED306" i="9" s="1"/>
  <c r="EE306" i="9" s="1"/>
  <c r="CP312" i="9"/>
  <c r="CR312" i="9" s="1"/>
  <c r="CS312" i="9" s="1"/>
  <c r="BW306" i="9"/>
  <c r="BY306" i="9" s="1"/>
  <c r="BZ306" i="9" s="1"/>
  <c r="CP310" i="9"/>
  <c r="CR310" i="9" s="1"/>
  <c r="CS310" i="9" s="1"/>
  <c r="CP302" i="9"/>
  <c r="CR302" i="9" s="1"/>
  <c r="CS302" i="9" s="1"/>
  <c r="BW308" i="9"/>
  <c r="BY308" i="9" s="1"/>
  <c r="BZ308" i="9" s="1"/>
  <c r="BW300" i="9"/>
  <c r="BY300" i="9" s="1"/>
  <c r="BZ300" i="9" s="1"/>
  <c r="BD306" i="9"/>
  <c r="BF306" i="9" s="1"/>
  <c r="BG306" i="9" s="1"/>
  <c r="BW311" i="9"/>
  <c r="BY311" i="9" s="1"/>
  <c r="BZ311" i="9" s="1"/>
  <c r="EB295" i="9"/>
  <c r="ED295" i="9" s="1"/>
  <c r="EE295" i="9" s="1"/>
  <c r="BD301" i="9"/>
  <c r="BF301" i="9" s="1"/>
  <c r="BG301" i="9" s="1"/>
  <c r="BD292" i="9"/>
  <c r="BF292" i="9" s="1"/>
  <c r="BG292" i="9" s="1"/>
  <c r="EB299" i="9"/>
  <c r="ED299" i="9" s="1"/>
  <c r="EE299" i="9" s="1"/>
  <c r="BD293" i="9"/>
  <c r="BF293" i="9" s="1"/>
  <c r="BG293" i="9" s="1"/>
  <c r="R301" i="9"/>
  <c r="T301" i="9" s="1"/>
  <c r="U301" i="9" s="1"/>
  <c r="EU293" i="9"/>
  <c r="EW293" i="9" s="1"/>
  <c r="EX293" i="9" s="1"/>
  <c r="BW298" i="9"/>
  <c r="BY298" i="9" s="1"/>
  <c r="BZ298" i="9" s="1"/>
  <c r="BW290" i="9"/>
  <c r="BY290" i="9" s="1"/>
  <c r="BZ290" i="9" s="1"/>
  <c r="CP299" i="9"/>
  <c r="CR299" i="9" s="1"/>
  <c r="CS299" i="9" s="1"/>
  <c r="EU299" i="9"/>
  <c r="EW299" i="9" s="1"/>
  <c r="EX299" i="9" s="1"/>
  <c r="AK282" i="9"/>
  <c r="AM282" i="9" s="1"/>
  <c r="AN282" i="9" s="1"/>
  <c r="EU285" i="9"/>
  <c r="EW285" i="9" s="1"/>
  <c r="EX285" i="9" s="1"/>
  <c r="CP289" i="9"/>
  <c r="CR289" i="9" s="1"/>
  <c r="CS289" i="9" s="1"/>
  <c r="BW291" i="9"/>
  <c r="BY291" i="9" s="1"/>
  <c r="BZ291" i="9" s="1"/>
  <c r="DI281" i="9"/>
  <c r="DK281" i="9" s="1"/>
  <c r="DL281" i="9" s="1"/>
  <c r="EU288" i="9"/>
  <c r="EW288" i="9" s="1"/>
  <c r="EX288" i="9" s="1"/>
  <c r="CP281" i="9"/>
  <c r="CR281" i="9" s="1"/>
  <c r="CS281" i="9" s="1"/>
  <c r="DI282" i="9"/>
  <c r="DK282" i="9" s="1"/>
  <c r="DL282" i="9" s="1"/>
  <c r="EU271" i="9"/>
  <c r="EW271" i="9" s="1"/>
  <c r="EX271" i="9" s="1"/>
  <c r="BW280" i="9"/>
  <c r="BY280" i="9" s="1"/>
  <c r="BZ280" i="9" s="1"/>
  <c r="EU272" i="9"/>
  <c r="EW272" i="9" s="1"/>
  <c r="EX272" i="9" s="1"/>
  <c r="AK286" i="9"/>
  <c r="AM286" i="9" s="1"/>
  <c r="AN286" i="9" s="1"/>
  <c r="BD274" i="9"/>
  <c r="BF274" i="9" s="1"/>
  <c r="BG274" i="9" s="1"/>
  <c r="EB279" i="9"/>
  <c r="ED279" i="9" s="1"/>
  <c r="EE279" i="9" s="1"/>
  <c r="EB271" i="9"/>
  <c r="ED271" i="9" s="1"/>
  <c r="EE271" i="9" s="1"/>
  <c r="BW279" i="9"/>
  <c r="BY279" i="9" s="1"/>
  <c r="BZ279" i="9" s="1"/>
  <c r="EU281" i="9"/>
  <c r="EW281" i="9" s="1"/>
  <c r="EX281" i="9" s="1"/>
  <c r="R272" i="9"/>
  <c r="T272" i="9" s="1"/>
  <c r="U272" i="9" s="1"/>
  <c r="DI272" i="9"/>
  <c r="DK272" i="9" s="1"/>
  <c r="DL272" i="9" s="1"/>
  <c r="EU263" i="9"/>
  <c r="EW263" i="9" s="1"/>
  <c r="EX263" i="9" s="1"/>
  <c r="AK274" i="9"/>
  <c r="AM274" i="9" s="1"/>
  <c r="AN274" i="9" s="1"/>
  <c r="EB261" i="9"/>
  <c r="ED261" i="9" s="1"/>
  <c r="EE261" i="9" s="1"/>
  <c r="DI267" i="9"/>
  <c r="DK267" i="9" s="1"/>
  <c r="DL267" i="9" s="1"/>
  <c r="DI259" i="9"/>
  <c r="DK259" i="9" s="1"/>
  <c r="DL259" i="9" s="1"/>
  <c r="EB273" i="9"/>
  <c r="ED273" i="9" s="1"/>
  <c r="EE273" i="9" s="1"/>
  <c r="BD267" i="9"/>
  <c r="BF267" i="9" s="1"/>
  <c r="BG267" i="9" s="1"/>
  <c r="BD259" i="9"/>
  <c r="BF259" i="9" s="1"/>
  <c r="BG259" i="9" s="1"/>
  <c r="BW263" i="9"/>
  <c r="BY263" i="9" s="1"/>
  <c r="BZ263" i="9" s="1"/>
  <c r="R279" i="9"/>
  <c r="T279" i="9" s="1"/>
  <c r="U279" i="9" s="1"/>
  <c r="DI262" i="9"/>
  <c r="DK262" i="9" s="1"/>
  <c r="DL262" i="9" s="1"/>
  <c r="CP257" i="9"/>
  <c r="CR257" i="9" s="1"/>
  <c r="CS257" i="9" s="1"/>
  <c r="CP249" i="9"/>
  <c r="CR249" i="9" s="1"/>
  <c r="CS249" i="9" s="1"/>
  <c r="AK257" i="9"/>
  <c r="AM257" i="9" s="1"/>
  <c r="AN257" i="9" s="1"/>
  <c r="AK249" i="9"/>
  <c r="AM249" i="9" s="1"/>
  <c r="AN249" i="9" s="1"/>
  <c r="EB257" i="9"/>
  <c r="ED257" i="9" s="1"/>
  <c r="EE257" i="9" s="1"/>
  <c r="EB249" i="9"/>
  <c r="ED249" i="9" s="1"/>
  <c r="EE249" i="9" s="1"/>
  <c r="R256" i="9"/>
  <c r="T256" i="9" s="1"/>
  <c r="U256" i="9" s="1"/>
  <c r="R248" i="9"/>
  <c r="T248" i="9" s="1"/>
  <c r="U248" i="9" s="1"/>
  <c r="EU254" i="9"/>
  <c r="EW254" i="9" s="1"/>
  <c r="EX254" i="9" s="1"/>
  <c r="BD277" i="9"/>
  <c r="BF277" i="9" s="1"/>
  <c r="BG277" i="9" s="1"/>
  <c r="AK254" i="9"/>
  <c r="AM254" i="9" s="1"/>
  <c r="AN254" i="9" s="1"/>
  <c r="CP256" i="9"/>
  <c r="CR256" i="9" s="1"/>
  <c r="CS256" i="9" s="1"/>
  <c r="BD240" i="9"/>
  <c r="BF240" i="9" s="1"/>
  <c r="BG240" i="9" s="1"/>
  <c r="R252" i="9"/>
  <c r="T252" i="9" s="1"/>
  <c r="U252" i="9" s="1"/>
  <c r="BD241" i="9"/>
  <c r="BF241" i="9" s="1"/>
  <c r="BG241" i="9" s="1"/>
  <c r="EU257" i="9"/>
  <c r="EW257" i="9" s="1"/>
  <c r="EX257" i="9" s="1"/>
  <c r="EU241" i="9"/>
  <c r="EW241" i="9" s="1"/>
  <c r="EX241" i="9" s="1"/>
  <c r="AK255" i="9"/>
  <c r="AM255" i="9" s="1"/>
  <c r="AN255" i="9" s="1"/>
  <c r="AK240" i="9"/>
  <c r="AM240" i="9" s="1"/>
  <c r="AN240" i="9" s="1"/>
  <c r="CP254" i="9"/>
  <c r="CR254" i="9" s="1"/>
  <c r="CS254" i="9" s="1"/>
  <c r="AK241" i="9"/>
  <c r="AM241" i="9" s="1"/>
  <c r="AN241" i="9" s="1"/>
  <c r="BD258" i="9"/>
  <c r="BF258" i="9" s="1"/>
  <c r="BG258" i="9" s="1"/>
  <c r="R250" i="9"/>
  <c r="T250" i="9" s="1"/>
  <c r="U250" i="9" s="1"/>
  <c r="CP243" i="9"/>
  <c r="CR243" i="9" s="1"/>
  <c r="CS243" i="9" s="1"/>
  <c r="AK231" i="9"/>
  <c r="AM231" i="9" s="1"/>
  <c r="AN231" i="9" s="1"/>
  <c r="AK223" i="9"/>
  <c r="AM223" i="9" s="1"/>
  <c r="AN223" i="9" s="1"/>
  <c r="AK215" i="9"/>
  <c r="AM215" i="9" s="1"/>
  <c r="AN215" i="9" s="1"/>
  <c r="BD239" i="9"/>
  <c r="BF239" i="9" s="1"/>
  <c r="BG239" i="9" s="1"/>
  <c r="DI228" i="9"/>
  <c r="DK228" i="9" s="1"/>
  <c r="DL228" i="9" s="1"/>
  <c r="DI220" i="9"/>
  <c r="DK220" i="9" s="1"/>
  <c r="DL220" i="9" s="1"/>
  <c r="DI212" i="9"/>
  <c r="DK212" i="9" s="1"/>
  <c r="DL212" i="9" s="1"/>
  <c r="EB241" i="9"/>
  <c r="ED241" i="9" s="1"/>
  <c r="EE241" i="9" s="1"/>
  <c r="DI229" i="9"/>
  <c r="DK229" i="9" s="1"/>
  <c r="DL229" i="9" s="1"/>
  <c r="DI221" i="9"/>
  <c r="DK221" i="9" s="1"/>
  <c r="DL221" i="9" s="1"/>
  <c r="DI213" i="9"/>
  <c r="DK213" i="9" s="1"/>
  <c r="DL213" i="9" s="1"/>
  <c r="BD238" i="9"/>
  <c r="BF238" i="9" s="1"/>
  <c r="BG238" i="9" s="1"/>
  <c r="DI230" i="9"/>
  <c r="DK230" i="9" s="1"/>
  <c r="DL230" i="9" s="1"/>
  <c r="DI222" i="9"/>
  <c r="DK222" i="9" s="1"/>
  <c r="DL222" i="9" s="1"/>
  <c r="DI214" i="9"/>
  <c r="DK214" i="9" s="1"/>
  <c r="DL214" i="9" s="1"/>
  <c r="BW233" i="9"/>
  <c r="BY233" i="9" s="1"/>
  <c r="BZ233" i="9" s="1"/>
  <c r="BW225" i="9"/>
  <c r="BY225" i="9" s="1"/>
  <c r="BZ225" i="9" s="1"/>
  <c r="BW217" i="9"/>
  <c r="BY217" i="9" s="1"/>
  <c r="BZ217" i="9" s="1"/>
  <c r="BW209" i="9"/>
  <c r="BY209" i="9" s="1"/>
  <c r="BZ209" i="9" s="1"/>
  <c r="R233" i="9"/>
  <c r="T233" i="9" s="1"/>
  <c r="U233" i="9" s="1"/>
  <c r="R225" i="9"/>
  <c r="T225" i="9" s="1"/>
  <c r="U225" i="9" s="1"/>
  <c r="R217" i="9"/>
  <c r="T217" i="9" s="1"/>
  <c r="U217" i="9" s="1"/>
  <c r="R209" i="9"/>
  <c r="T209" i="9" s="1"/>
  <c r="U209" i="9" s="1"/>
  <c r="CP230" i="9"/>
  <c r="CR230" i="9" s="1"/>
  <c r="CS230" i="9" s="1"/>
  <c r="CP222" i="9"/>
  <c r="CR222" i="9" s="1"/>
  <c r="CS222" i="9" s="1"/>
  <c r="CP214" i="9"/>
  <c r="CR214" i="9" s="1"/>
  <c r="CS214" i="9" s="1"/>
  <c r="EU232" i="9"/>
  <c r="EW232" i="9" s="1"/>
  <c r="EX232" i="9" s="1"/>
  <c r="DI201" i="9"/>
  <c r="DK201" i="9" s="1"/>
  <c r="DL201" i="9" s="1"/>
  <c r="DI193" i="9"/>
  <c r="DK193" i="9" s="1"/>
  <c r="DL193" i="9" s="1"/>
  <c r="DI185" i="9"/>
  <c r="DK185" i="9" s="1"/>
  <c r="DL185" i="9" s="1"/>
  <c r="EU224" i="9"/>
  <c r="EW224" i="9" s="1"/>
  <c r="EX224" i="9" s="1"/>
  <c r="EU200" i="9"/>
  <c r="EW200" i="9" s="1"/>
  <c r="EX200" i="9" s="1"/>
  <c r="EU192" i="9"/>
  <c r="EW192" i="9" s="1"/>
  <c r="EX192" i="9" s="1"/>
  <c r="EU184" i="9"/>
  <c r="EW184" i="9" s="1"/>
  <c r="EX184" i="9" s="1"/>
  <c r="CP231" i="9"/>
  <c r="CR231" i="9" s="1"/>
  <c r="CS231" i="9" s="1"/>
  <c r="BW205" i="9"/>
  <c r="BY205" i="9" s="1"/>
  <c r="BZ205" i="9" s="1"/>
  <c r="BW197" i="9"/>
  <c r="BY197" i="9" s="1"/>
  <c r="BZ197" i="9" s="1"/>
  <c r="BW189" i="9"/>
  <c r="BY189" i="9" s="1"/>
  <c r="BZ189" i="9" s="1"/>
  <c r="BW181" i="9"/>
  <c r="BY181" i="9" s="1"/>
  <c r="BZ181" i="9" s="1"/>
  <c r="CP223" i="9"/>
  <c r="CR223" i="9" s="1"/>
  <c r="CS223" i="9" s="1"/>
  <c r="EU202" i="9"/>
  <c r="EW202" i="9" s="1"/>
  <c r="EX202" i="9" s="1"/>
  <c r="EU194" i="9"/>
  <c r="EW194" i="9" s="1"/>
  <c r="EX194" i="9" s="1"/>
  <c r="EU186" i="9"/>
  <c r="EW186" i="9" s="1"/>
  <c r="EX186" i="9" s="1"/>
  <c r="CP235" i="9"/>
  <c r="CR235" i="9" s="1"/>
  <c r="CS235" i="9" s="1"/>
  <c r="EU203" i="9"/>
  <c r="EW203" i="9" s="1"/>
  <c r="EX203" i="9" s="1"/>
  <c r="EU195" i="9"/>
  <c r="EW195" i="9" s="1"/>
  <c r="EX195" i="9" s="1"/>
  <c r="EU187" i="9"/>
  <c r="EW187" i="9" s="1"/>
  <c r="EX187" i="9" s="1"/>
  <c r="EU179" i="9"/>
  <c r="EW179" i="9" s="1"/>
  <c r="EX179" i="9" s="1"/>
  <c r="CP203" i="9"/>
  <c r="CR203" i="9" s="1"/>
  <c r="CS203" i="9" s="1"/>
  <c r="CP195" i="9"/>
  <c r="CR195" i="9" s="1"/>
  <c r="CS195" i="9" s="1"/>
  <c r="CP187" i="9"/>
  <c r="CR187" i="9" s="1"/>
  <c r="CS187" i="9" s="1"/>
  <c r="CP179" i="9"/>
  <c r="CR179" i="9" s="1"/>
  <c r="CS179" i="9" s="1"/>
  <c r="AK203" i="9"/>
  <c r="AM203" i="9" s="1"/>
  <c r="AN203" i="9" s="1"/>
  <c r="AK195" i="9"/>
  <c r="AM195" i="9" s="1"/>
  <c r="AN195" i="9" s="1"/>
  <c r="AK187" i="9"/>
  <c r="AM187" i="9" s="1"/>
  <c r="AN187" i="9" s="1"/>
  <c r="BW202" i="9"/>
  <c r="BY202" i="9" s="1"/>
  <c r="BZ202" i="9" s="1"/>
  <c r="DI172" i="9"/>
  <c r="DK172" i="9" s="1"/>
  <c r="DL172" i="9" s="1"/>
  <c r="AK177" i="9"/>
  <c r="AM177" i="9" s="1"/>
  <c r="AN177" i="9" s="1"/>
  <c r="R176" i="9"/>
  <c r="T176" i="9" s="1"/>
  <c r="U176" i="9" s="1"/>
  <c r="R168" i="9"/>
  <c r="T168" i="9" s="1"/>
  <c r="U168" i="9" s="1"/>
  <c r="R160" i="9"/>
  <c r="T160" i="9" s="1"/>
  <c r="U160" i="9" s="1"/>
  <c r="R152" i="9"/>
  <c r="T152" i="9" s="1"/>
  <c r="U152" i="9" s="1"/>
  <c r="DI176" i="9"/>
  <c r="DK176" i="9" s="1"/>
  <c r="DL176" i="9" s="1"/>
  <c r="DI168" i="9"/>
  <c r="DK168" i="9" s="1"/>
  <c r="DL168" i="9" s="1"/>
  <c r="DI160" i="9"/>
  <c r="DK160" i="9" s="1"/>
  <c r="DL160" i="9" s="1"/>
  <c r="DI152" i="9"/>
  <c r="DK152" i="9" s="1"/>
  <c r="DL152" i="9" s="1"/>
  <c r="BD176" i="9"/>
  <c r="BF176" i="9" s="1"/>
  <c r="BG176" i="9" s="1"/>
  <c r="BD168" i="9"/>
  <c r="BF168" i="9" s="1"/>
  <c r="BG168" i="9" s="1"/>
  <c r="BD160" i="9"/>
  <c r="BF160" i="9" s="1"/>
  <c r="BG160" i="9" s="1"/>
  <c r="BD152" i="9"/>
  <c r="BF152" i="9" s="1"/>
  <c r="BG152" i="9" s="1"/>
  <c r="CP175" i="9"/>
  <c r="CR175" i="9" s="1"/>
  <c r="CS175" i="9" s="1"/>
  <c r="CP167" i="9"/>
  <c r="CR167" i="9" s="1"/>
  <c r="CS167" i="9" s="1"/>
  <c r="CP159" i="9"/>
  <c r="CR159" i="9" s="1"/>
  <c r="CS159" i="9" s="1"/>
  <c r="EB169" i="9"/>
  <c r="ED169" i="9" s="1"/>
  <c r="EE169" i="9" s="1"/>
  <c r="AK150" i="9"/>
  <c r="AM150" i="9" s="1"/>
  <c r="AN150" i="9" s="1"/>
  <c r="AK142" i="9"/>
  <c r="AM142" i="9" s="1"/>
  <c r="AN142" i="9" s="1"/>
  <c r="AK134" i="9"/>
  <c r="AM134" i="9" s="1"/>
  <c r="AN134" i="9" s="1"/>
  <c r="DI166" i="9"/>
  <c r="DK166" i="9" s="1"/>
  <c r="DL166" i="9" s="1"/>
  <c r="BW149" i="9"/>
  <c r="BY149" i="9" s="1"/>
  <c r="BZ149" i="9" s="1"/>
  <c r="BW141" i="9"/>
  <c r="BY141" i="9" s="1"/>
  <c r="BZ141" i="9" s="1"/>
  <c r="BW133" i="9"/>
  <c r="BY133" i="9" s="1"/>
  <c r="BZ133" i="9" s="1"/>
  <c r="EU161" i="9"/>
  <c r="EW161" i="9" s="1"/>
  <c r="EX161" i="9" s="1"/>
  <c r="BW150" i="9"/>
  <c r="BY150" i="9" s="1"/>
  <c r="BZ150" i="9" s="1"/>
  <c r="BW142" i="9"/>
  <c r="BY142" i="9" s="1"/>
  <c r="BZ142" i="9" s="1"/>
  <c r="BW134" i="9"/>
  <c r="BY134" i="9" s="1"/>
  <c r="BZ134" i="9" s="1"/>
  <c r="DI156" i="9"/>
  <c r="DK156" i="9" s="1"/>
  <c r="DL156" i="9" s="1"/>
  <c r="CP147" i="9"/>
  <c r="CR147" i="9" s="1"/>
  <c r="CS147" i="9" s="1"/>
  <c r="CP139" i="9"/>
  <c r="CR139" i="9" s="1"/>
  <c r="CS139" i="9" s="1"/>
  <c r="R201" i="9"/>
  <c r="T201" i="9" s="1"/>
  <c r="U201" i="9" s="1"/>
  <c r="AK154" i="9"/>
  <c r="AM154" i="9" s="1"/>
  <c r="AN154" i="9" s="1"/>
  <c r="R132" i="9"/>
  <c r="T132" i="9" s="1"/>
  <c r="U132" i="9" s="1"/>
  <c r="R124" i="9"/>
  <c r="T124" i="9" s="1"/>
  <c r="U124" i="9" s="1"/>
  <c r="R175" i="9"/>
  <c r="T175" i="9" s="1"/>
  <c r="U175" i="9" s="1"/>
  <c r="DI157" i="9"/>
  <c r="DK157" i="9" s="1"/>
  <c r="DL157" i="9" s="1"/>
  <c r="DI143" i="9"/>
  <c r="DK143" i="9" s="1"/>
  <c r="DL143" i="9" s="1"/>
  <c r="EU130" i="9"/>
  <c r="EW130" i="9" s="1"/>
  <c r="EX130" i="9" s="1"/>
  <c r="EU122" i="9"/>
  <c r="EW122" i="9" s="1"/>
  <c r="EX122" i="9" s="1"/>
  <c r="CP176" i="9"/>
  <c r="CR176" i="9" s="1"/>
  <c r="CS176" i="9" s="1"/>
  <c r="R157" i="9"/>
  <c r="T157" i="9" s="1"/>
  <c r="U157" i="9" s="1"/>
  <c r="EB133" i="9"/>
  <c r="ED133" i="9" s="1"/>
  <c r="EE133" i="9" s="1"/>
  <c r="DI125" i="9"/>
  <c r="DK125" i="9" s="1"/>
  <c r="DL125" i="9" s="1"/>
  <c r="BD144" i="9"/>
  <c r="BF144" i="9" s="1"/>
  <c r="BG144" i="9" s="1"/>
  <c r="BW128" i="9"/>
  <c r="BY128" i="9" s="1"/>
  <c r="BZ128" i="9" s="1"/>
  <c r="BW120" i="9"/>
  <c r="BY120" i="9" s="1"/>
  <c r="BZ120" i="9" s="1"/>
  <c r="BD170" i="9"/>
  <c r="BF170" i="9" s="1"/>
  <c r="BG170" i="9" s="1"/>
  <c r="EU150" i="9"/>
  <c r="EW150" i="9" s="1"/>
  <c r="EX150" i="9" s="1"/>
  <c r="BW137" i="9"/>
  <c r="BY137" i="9" s="1"/>
  <c r="BZ137" i="9" s="1"/>
  <c r="DI127" i="9"/>
  <c r="DK127" i="9" s="1"/>
  <c r="DL127" i="9" s="1"/>
  <c r="DI119" i="9"/>
  <c r="DK119" i="9" s="1"/>
  <c r="DL119" i="9" s="1"/>
  <c r="R159" i="9"/>
  <c r="T159" i="9" s="1"/>
  <c r="U159" i="9" s="1"/>
  <c r="EU139" i="9"/>
  <c r="EW139" i="9" s="1"/>
  <c r="EX139" i="9" s="1"/>
  <c r="R129" i="9"/>
  <c r="T129" i="9" s="1"/>
  <c r="U129" i="9" s="1"/>
  <c r="R121" i="9"/>
  <c r="T121" i="9" s="1"/>
  <c r="U121" i="9" s="1"/>
  <c r="BW152" i="9"/>
  <c r="BY152" i="9" s="1"/>
  <c r="BZ152" i="9" s="1"/>
  <c r="BD116" i="9"/>
  <c r="BF116" i="9" s="1"/>
  <c r="BG116" i="9" s="1"/>
  <c r="BW132" i="9"/>
  <c r="BY132" i="9" s="1"/>
  <c r="BZ132" i="9" s="1"/>
  <c r="BD110" i="9"/>
  <c r="BF110" i="9" s="1"/>
  <c r="BG110" i="9" s="1"/>
  <c r="BD102" i="9"/>
  <c r="BF102" i="9" s="1"/>
  <c r="BG102" i="9" s="1"/>
  <c r="BD94" i="9"/>
  <c r="BF94" i="9" s="1"/>
  <c r="BG94" i="9" s="1"/>
  <c r="BW114" i="9"/>
  <c r="BY114" i="9" s="1"/>
  <c r="BZ114" i="9" s="1"/>
  <c r="BW106" i="9"/>
  <c r="BY106" i="9" s="1"/>
  <c r="BZ106" i="9" s="1"/>
  <c r="BW98" i="9"/>
  <c r="BY98" i="9" s="1"/>
  <c r="BZ98" i="9" s="1"/>
  <c r="R130" i="9"/>
  <c r="T130" i="9" s="1"/>
  <c r="U130" i="9" s="1"/>
  <c r="R115" i="9"/>
  <c r="T115" i="9" s="1"/>
  <c r="U115" i="9" s="1"/>
  <c r="R107" i="9"/>
  <c r="T107" i="9" s="1"/>
  <c r="U107" i="9" s="1"/>
  <c r="R99" i="9"/>
  <c r="T99" i="9" s="1"/>
  <c r="U99" i="9" s="1"/>
  <c r="BW146" i="9"/>
  <c r="BY146" i="9" s="1"/>
  <c r="BZ146" i="9" s="1"/>
  <c r="EB125" i="9"/>
  <c r="ED125" i="9" s="1"/>
  <c r="EE125" i="9" s="1"/>
  <c r="CP112" i="9"/>
  <c r="CR112" i="9" s="1"/>
  <c r="CS112" i="9" s="1"/>
  <c r="CP104" i="9"/>
  <c r="CR104" i="9" s="1"/>
  <c r="CS104" i="9" s="1"/>
  <c r="CP96" i="9"/>
  <c r="CR96" i="9" s="1"/>
  <c r="CS96" i="9" s="1"/>
  <c r="CP114" i="9"/>
  <c r="CR114" i="9" s="1"/>
  <c r="CS114" i="9" s="1"/>
  <c r="CP97" i="9"/>
  <c r="CR97" i="9" s="1"/>
  <c r="CS97" i="9" s="1"/>
  <c r="BW87" i="9"/>
  <c r="BY87" i="9" s="1"/>
  <c r="BZ87" i="9" s="1"/>
  <c r="BW79" i="9"/>
  <c r="BY79" i="9" s="1"/>
  <c r="BZ79" i="9" s="1"/>
  <c r="BW71" i="9"/>
  <c r="BY71" i="9" s="1"/>
  <c r="BZ71" i="9" s="1"/>
  <c r="BW63" i="9"/>
  <c r="BY63" i="9" s="1"/>
  <c r="BZ63" i="9" s="1"/>
  <c r="BW55" i="9"/>
  <c r="BY55" i="9" s="1"/>
  <c r="BZ55" i="9" s="1"/>
  <c r="BW47" i="9"/>
  <c r="BY47" i="9" s="1"/>
  <c r="BZ47" i="9" s="1"/>
  <c r="AK105" i="9"/>
  <c r="AM105" i="9" s="1"/>
  <c r="AN105" i="9" s="1"/>
  <c r="BW95" i="9"/>
  <c r="BY95" i="9" s="1"/>
  <c r="BZ95" i="9" s="1"/>
  <c r="EU84" i="9"/>
  <c r="EW84" i="9" s="1"/>
  <c r="EX84" i="9" s="1"/>
  <c r="EU76" i="9"/>
  <c r="EW76" i="9" s="1"/>
  <c r="EX76" i="9" s="1"/>
  <c r="EU68" i="9"/>
  <c r="EW68" i="9" s="1"/>
  <c r="EX68" i="9" s="1"/>
  <c r="EU60" i="9"/>
  <c r="EW60" i="9" s="1"/>
  <c r="EX60" i="9" s="1"/>
  <c r="EU52" i="9"/>
  <c r="EW52" i="9" s="1"/>
  <c r="EX52" i="9" s="1"/>
  <c r="BD128" i="9"/>
  <c r="BF128" i="9" s="1"/>
  <c r="BG128" i="9" s="1"/>
  <c r="CP102" i="9"/>
  <c r="CR102" i="9" s="1"/>
  <c r="CS102" i="9" s="1"/>
  <c r="DI87" i="9"/>
  <c r="DK87" i="9" s="1"/>
  <c r="DL87" i="9" s="1"/>
  <c r="DI79" i="9"/>
  <c r="DK79" i="9" s="1"/>
  <c r="DL79" i="9" s="1"/>
  <c r="DI71" i="9"/>
  <c r="DK71" i="9" s="1"/>
  <c r="DL71" i="9" s="1"/>
  <c r="DI63" i="9"/>
  <c r="DK63" i="9" s="1"/>
  <c r="DL63" i="9" s="1"/>
  <c r="DI55" i="9"/>
  <c r="DK55" i="9" s="1"/>
  <c r="DL55" i="9" s="1"/>
  <c r="DI47" i="9"/>
  <c r="DK47" i="9" s="1"/>
  <c r="DL47" i="9" s="1"/>
  <c r="EU106" i="9"/>
  <c r="EW106" i="9" s="1"/>
  <c r="EX106" i="9" s="1"/>
  <c r="DI94" i="9"/>
  <c r="DK94" i="9" s="1"/>
  <c r="DL94" i="9" s="1"/>
  <c r="R89" i="9"/>
  <c r="T89" i="9" s="1"/>
  <c r="U89" i="9" s="1"/>
  <c r="R81" i="9"/>
  <c r="T81" i="9" s="1"/>
  <c r="U81" i="9" s="1"/>
  <c r="R73" i="9"/>
  <c r="T73" i="9" s="1"/>
  <c r="U73" i="9" s="1"/>
  <c r="R65" i="9"/>
  <c r="T65" i="9" s="1"/>
  <c r="U65" i="9" s="1"/>
  <c r="R57" i="9"/>
  <c r="T57" i="9" s="1"/>
  <c r="U57" i="9" s="1"/>
  <c r="R49" i="9"/>
  <c r="T49" i="9" s="1"/>
  <c r="U49" i="9" s="1"/>
  <c r="BW123" i="9"/>
  <c r="BY123" i="9" s="1"/>
  <c r="BZ123" i="9" s="1"/>
  <c r="CP98" i="9"/>
  <c r="CR98" i="9" s="1"/>
  <c r="CS98" i="9" s="1"/>
  <c r="CP86" i="9"/>
  <c r="CR86" i="9" s="1"/>
  <c r="CS86" i="9" s="1"/>
  <c r="CP78" i="9"/>
  <c r="CR78" i="9" s="1"/>
  <c r="CS78" i="9" s="1"/>
  <c r="CP70" i="9"/>
  <c r="CR70" i="9" s="1"/>
  <c r="CS70" i="9" s="1"/>
  <c r="CP62" i="9"/>
  <c r="CR62" i="9" s="1"/>
  <c r="CS62" i="9" s="1"/>
  <c r="CP54" i="9"/>
  <c r="CR54" i="9" s="1"/>
  <c r="CS54" i="9" s="1"/>
  <c r="CP46" i="9"/>
  <c r="CR46" i="9" s="1"/>
  <c r="CS46" i="9" s="1"/>
  <c r="DI108" i="9"/>
  <c r="DK108" i="9" s="1"/>
  <c r="DL108" i="9" s="1"/>
  <c r="AK93" i="9"/>
  <c r="AM93" i="9" s="1"/>
  <c r="AN93" i="9" s="1"/>
  <c r="BW116" i="9"/>
  <c r="BY116" i="9" s="1"/>
  <c r="BZ116" i="9" s="1"/>
  <c r="R13" i="9"/>
  <c r="T13" i="9" s="1"/>
  <c r="DI20" i="9"/>
  <c r="DK20" i="9" s="1"/>
  <c r="DL20" i="9" s="1"/>
  <c r="EU26" i="9"/>
  <c r="EW26" i="9" s="1"/>
  <c r="EX26" i="9" s="1"/>
  <c r="BW30" i="9"/>
  <c r="BY30" i="9" s="1"/>
  <c r="BZ30" i="9" s="1"/>
  <c r="CP33" i="9"/>
  <c r="CR33" i="9" s="1"/>
  <c r="CS33" i="9" s="1"/>
  <c r="R37" i="9"/>
  <c r="T37" i="9" s="1"/>
  <c r="U37" i="9" s="1"/>
  <c r="CP41" i="9"/>
  <c r="CR41" i="9" s="1"/>
  <c r="CS41" i="9" s="1"/>
  <c r="BW60" i="9"/>
  <c r="BY60" i="9" s="1"/>
  <c r="BZ60" i="9" s="1"/>
  <c r="AK87" i="9"/>
  <c r="AM87" i="9" s="1"/>
  <c r="AN87" i="9" s="1"/>
  <c r="AK15" i="9"/>
  <c r="AM15" i="9" s="1"/>
  <c r="AN15" i="9" s="1"/>
  <c r="EB22" i="9"/>
  <c r="ED22" i="9" s="1"/>
  <c r="EE22" i="9" s="1"/>
  <c r="EU25" i="9"/>
  <c r="EW25" i="9" s="1"/>
  <c r="EX25" i="9" s="1"/>
  <c r="EU33" i="9"/>
  <c r="EW33" i="9" s="1"/>
  <c r="EX33" i="9" s="1"/>
  <c r="EB42" i="9"/>
  <c r="ED42" i="9" s="1"/>
  <c r="EE42" i="9" s="1"/>
  <c r="EU56" i="9"/>
  <c r="EW56" i="9" s="1"/>
  <c r="EX56" i="9" s="1"/>
  <c r="CP73" i="9"/>
  <c r="CR73" i="9" s="1"/>
  <c r="CS73" i="9" s="1"/>
  <c r="DI82" i="9"/>
  <c r="DK82" i="9" s="1"/>
  <c r="DL82" i="9" s="1"/>
  <c r="CP23" i="9"/>
  <c r="CR23" i="9" s="1"/>
  <c r="CS23" i="9" s="1"/>
  <c r="AK38" i="9"/>
  <c r="AM38" i="9" s="1"/>
  <c r="AN38" i="9" s="1"/>
  <c r="EU49" i="9"/>
  <c r="EW49" i="9" s="1"/>
  <c r="EX49" i="9" s="1"/>
  <c r="R68" i="9"/>
  <c r="T68" i="9" s="1"/>
  <c r="U68" i="9" s="1"/>
  <c r="CP14" i="9"/>
  <c r="CR14" i="9" s="1"/>
  <c r="CS14" i="9" s="1"/>
  <c r="EB28" i="9"/>
  <c r="ED28" i="9" s="1"/>
  <c r="EE28" i="9" s="1"/>
  <c r="BW35" i="9"/>
  <c r="BY35" i="9" s="1"/>
  <c r="BZ35" i="9" s="1"/>
  <c r="R42" i="9"/>
  <c r="T42" i="9" s="1"/>
  <c r="U42" i="9" s="1"/>
  <c r="CP63" i="9"/>
  <c r="CR63" i="9" s="1"/>
  <c r="CS63" i="9" s="1"/>
  <c r="BD91" i="9"/>
  <c r="BF91" i="9" s="1"/>
  <c r="BG91" i="9" s="1"/>
  <c r="EU98" i="9"/>
  <c r="EW98" i="9" s="1"/>
  <c r="EX98" i="9" s="1"/>
  <c r="BD345" i="9"/>
  <c r="BF345" i="9" s="1"/>
  <c r="BG345" i="9" s="1"/>
  <c r="BD319" i="9"/>
  <c r="BF319" i="9" s="1"/>
  <c r="BG319" i="9" s="1"/>
  <c r="DI305" i="9"/>
  <c r="DK305" i="9" s="1"/>
  <c r="DL305" i="9" s="1"/>
  <c r="BW295" i="9"/>
  <c r="BY295" i="9" s="1"/>
  <c r="BZ295" i="9" s="1"/>
  <c r="BD285" i="9"/>
  <c r="BF285" i="9" s="1"/>
  <c r="BG285" i="9" s="1"/>
  <c r="AK295" i="9"/>
  <c r="AM295" i="9" s="1"/>
  <c r="AN295" i="9" s="1"/>
  <c r="EU274" i="9"/>
  <c r="EW274" i="9" s="1"/>
  <c r="EX274" i="9" s="1"/>
  <c r="EU264" i="9"/>
  <c r="EW264" i="9" s="1"/>
  <c r="EX264" i="9" s="1"/>
  <c r="CP266" i="9"/>
  <c r="CR266" i="9" s="1"/>
  <c r="CS266" i="9" s="1"/>
  <c r="BD262" i="9"/>
  <c r="BF262" i="9" s="1"/>
  <c r="BG262" i="9" s="1"/>
  <c r="BD249" i="9"/>
  <c r="BF249" i="9" s="1"/>
  <c r="BG249" i="9" s="1"/>
  <c r="BD243" i="9"/>
  <c r="BF243" i="9" s="1"/>
  <c r="BG243" i="9" s="1"/>
  <c r="BD218" i="9"/>
  <c r="BF218" i="9" s="1"/>
  <c r="BG218" i="9" s="1"/>
  <c r="EB208" i="9"/>
  <c r="ED208" i="9" s="1"/>
  <c r="EE208" i="9" s="1"/>
  <c r="EU236" i="9"/>
  <c r="EW236" i="9" s="1"/>
  <c r="EX236" i="9" s="1"/>
  <c r="DI209" i="9"/>
  <c r="DK209" i="9" s="1"/>
  <c r="DL209" i="9" s="1"/>
  <c r="R195" i="9"/>
  <c r="T195" i="9" s="1"/>
  <c r="U195" i="9" s="1"/>
  <c r="R239" i="9"/>
  <c r="T239" i="9" s="1"/>
  <c r="U239" i="9" s="1"/>
  <c r="R190" i="9"/>
  <c r="T190" i="9" s="1"/>
  <c r="U190" i="9" s="1"/>
  <c r="BD198" i="9"/>
  <c r="BF198" i="9" s="1"/>
  <c r="BG198" i="9" s="1"/>
  <c r="AK171" i="9"/>
  <c r="AM171" i="9" s="1"/>
  <c r="AN171" i="9" s="1"/>
  <c r="AK179" i="9"/>
  <c r="AM179" i="9" s="1"/>
  <c r="AN179" i="9" s="1"/>
  <c r="BW157" i="9"/>
  <c r="BY157" i="9" s="1"/>
  <c r="BZ157" i="9" s="1"/>
  <c r="CP144" i="9"/>
  <c r="CR144" i="9" s="1"/>
  <c r="CS144" i="9" s="1"/>
  <c r="BD163" i="9"/>
  <c r="BF163" i="9" s="1"/>
  <c r="BG163" i="9" s="1"/>
  <c r="AK127" i="9"/>
  <c r="AM127" i="9" s="1"/>
  <c r="AN127" i="9" s="1"/>
  <c r="R117" i="9"/>
  <c r="T117" i="9" s="1"/>
  <c r="U117" i="9" s="1"/>
  <c r="CP123" i="9"/>
  <c r="CR123" i="9" s="1"/>
  <c r="CS123" i="9" s="1"/>
  <c r="BD173" i="9"/>
  <c r="BF173" i="9" s="1"/>
  <c r="BG173" i="9" s="1"/>
  <c r="BD153" i="9"/>
  <c r="BF153" i="9" s="1"/>
  <c r="BG153" i="9" s="1"/>
  <c r="CP101" i="9"/>
  <c r="CR101" i="9" s="1"/>
  <c r="CS101" i="9" s="1"/>
  <c r="EU134" i="9"/>
  <c r="EW134" i="9" s="1"/>
  <c r="EX134" i="9" s="1"/>
  <c r="CP82" i="9"/>
  <c r="CR82" i="9" s="1"/>
  <c r="CS82" i="9" s="1"/>
  <c r="CP99" i="9"/>
  <c r="CR99" i="9" s="1"/>
  <c r="CS99" i="9" s="1"/>
  <c r="CP148" i="9"/>
  <c r="CR148" i="9" s="1"/>
  <c r="CS148" i="9" s="1"/>
  <c r="EB58" i="9"/>
  <c r="ED58" i="9" s="1"/>
  <c r="EE58" i="9" s="1"/>
  <c r="AK76" i="9"/>
  <c r="AM76" i="9" s="1"/>
  <c r="AN76" i="9" s="1"/>
  <c r="DI89" i="9"/>
  <c r="DK89" i="9" s="1"/>
  <c r="DL89" i="9" s="1"/>
  <c r="BD115" i="9"/>
  <c r="BF115" i="9" s="1"/>
  <c r="BG115" i="9" s="1"/>
  <c r="CP25" i="9"/>
  <c r="CR25" i="9" s="1"/>
  <c r="CS25" i="9" s="1"/>
  <c r="EU41" i="9"/>
  <c r="EW41" i="9" s="1"/>
  <c r="EX41" i="9" s="1"/>
  <c r="CP31" i="9"/>
  <c r="CR31" i="9" s="1"/>
  <c r="CS31" i="9" s="1"/>
  <c r="BD32" i="9"/>
  <c r="BF32" i="9" s="1"/>
  <c r="BG32" i="9" s="1"/>
  <c r="BD67" i="9"/>
  <c r="BF67" i="9" s="1"/>
  <c r="BG67" i="9" s="1"/>
  <c r="BW358" i="9"/>
  <c r="BY358" i="9" s="1"/>
  <c r="BZ358" i="9" s="1"/>
  <c r="R356" i="9"/>
  <c r="T356" i="9" s="1"/>
  <c r="U356" i="9" s="1"/>
  <c r="BD342" i="9"/>
  <c r="BF342" i="9" s="1"/>
  <c r="BG342" i="9" s="1"/>
  <c r="BD333" i="9"/>
  <c r="BF333" i="9" s="1"/>
  <c r="BG333" i="9" s="1"/>
  <c r="BD320" i="9"/>
  <c r="BF320" i="9" s="1"/>
  <c r="BG320" i="9" s="1"/>
  <c r="R321" i="9"/>
  <c r="T321" i="9" s="1"/>
  <c r="U321" i="9" s="1"/>
  <c r="DI312" i="9"/>
  <c r="DK312" i="9" s="1"/>
  <c r="DL312" i="9" s="1"/>
  <c r="DI313" i="9"/>
  <c r="DK313" i="9" s="1"/>
  <c r="DL313" i="9" s="1"/>
  <c r="DI314" i="9"/>
  <c r="DK314" i="9" s="1"/>
  <c r="DL314" i="9" s="1"/>
  <c r="BD316" i="9"/>
  <c r="BF316" i="9" s="1"/>
  <c r="BG316" i="9" s="1"/>
  <c r="R311" i="9"/>
  <c r="T311" i="9" s="1"/>
  <c r="U311" i="9" s="1"/>
  <c r="BW317" i="9"/>
  <c r="BY317" i="9" s="1"/>
  <c r="BZ317" i="9" s="1"/>
  <c r="BW305" i="9"/>
  <c r="BY305" i="9" s="1"/>
  <c r="BZ305" i="9" s="1"/>
  <c r="AK312" i="9"/>
  <c r="AM312" i="9" s="1"/>
  <c r="AN312" i="9" s="1"/>
  <c r="R305" i="9"/>
  <c r="T305" i="9" s="1"/>
  <c r="U305" i="9" s="1"/>
  <c r="AK309" i="9"/>
  <c r="AM309" i="9" s="1"/>
  <c r="AN309" i="9" s="1"/>
  <c r="AK301" i="9"/>
  <c r="AM301" i="9" s="1"/>
  <c r="AN301" i="9" s="1"/>
  <c r="R307" i="9"/>
  <c r="T307" i="9" s="1"/>
  <c r="U307" i="9" s="1"/>
  <c r="EU314" i="9"/>
  <c r="EW314" i="9" s="1"/>
  <c r="EX314" i="9" s="1"/>
  <c r="EU305" i="9"/>
  <c r="EW305" i="9" s="1"/>
  <c r="EX305" i="9" s="1"/>
  <c r="R310" i="9"/>
  <c r="T310" i="9" s="1"/>
  <c r="U310" i="9" s="1"/>
  <c r="BW294" i="9"/>
  <c r="BY294" i="9" s="1"/>
  <c r="BZ294" i="9" s="1"/>
  <c r="EU300" i="9"/>
  <c r="EW300" i="9" s="1"/>
  <c r="EX300" i="9" s="1"/>
  <c r="EU291" i="9"/>
  <c r="EW291" i="9" s="1"/>
  <c r="EX291" i="9" s="1"/>
  <c r="BD299" i="9"/>
  <c r="BF299" i="9" s="1"/>
  <c r="BG299" i="9" s="1"/>
  <c r="EU292" i="9"/>
  <c r="EW292" i="9" s="1"/>
  <c r="EX292" i="9" s="1"/>
  <c r="DI300" i="9"/>
  <c r="DK300" i="9" s="1"/>
  <c r="DL300" i="9" s="1"/>
  <c r="CP292" i="9"/>
  <c r="CR292" i="9" s="1"/>
  <c r="CS292" i="9" s="1"/>
  <c r="R297" i="9"/>
  <c r="T297" i="9" s="1"/>
  <c r="U297" i="9" s="1"/>
  <c r="R289" i="9"/>
  <c r="T289" i="9" s="1"/>
  <c r="U289" i="9" s="1"/>
  <c r="DI298" i="9"/>
  <c r="DK298" i="9" s="1"/>
  <c r="DL298" i="9" s="1"/>
  <c r="R298" i="9"/>
  <c r="T298" i="9" s="1"/>
  <c r="U298" i="9" s="1"/>
  <c r="EB281" i="9"/>
  <c r="ED281" i="9" s="1"/>
  <c r="EE281" i="9" s="1"/>
  <c r="CP284" i="9"/>
  <c r="CR284" i="9" s="1"/>
  <c r="CS284" i="9" s="1"/>
  <c r="BD287" i="9"/>
  <c r="BF287" i="9" s="1"/>
  <c r="BG287" i="9" s="1"/>
  <c r="R290" i="9"/>
  <c r="T290" i="9" s="1"/>
  <c r="U290" i="9" s="1"/>
  <c r="BD280" i="9"/>
  <c r="BF280" i="9" s="1"/>
  <c r="BG280" i="9" s="1"/>
  <c r="AK288" i="9"/>
  <c r="AM288" i="9" s="1"/>
  <c r="AN288" i="9" s="1"/>
  <c r="AK280" i="9"/>
  <c r="AM280" i="9" s="1"/>
  <c r="AN280" i="9" s="1"/>
  <c r="CP278" i="9"/>
  <c r="CR278" i="9" s="1"/>
  <c r="CS278" i="9" s="1"/>
  <c r="CP270" i="9"/>
  <c r="CR270" i="9" s="1"/>
  <c r="CS270" i="9" s="1"/>
  <c r="CP279" i="9"/>
  <c r="CR279" i="9" s="1"/>
  <c r="CS279" i="9" s="1"/>
  <c r="CP271" i="9"/>
  <c r="CR271" i="9" s="1"/>
  <c r="CS271" i="9" s="1"/>
  <c r="BW285" i="9"/>
  <c r="BY285" i="9" s="1"/>
  <c r="BZ285" i="9" s="1"/>
  <c r="EU273" i="9"/>
  <c r="EW273" i="9" s="1"/>
  <c r="EX273" i="9" s="1"/>
  <c r="BW278" i="9"/>
  <c r="BY278" i="9" s="1"/>
  <c r="BZ278" i="9" s="1"/>
  <c r="BW270" i="9"/>
  <c r="BY270" i="9" s="1"/>
  <c r="BZ270" i="9" s="1"/>
  <c r="R278" i="9"/>
  <c r="T278" i="9" s="1"/>
  <c r="U278" i="9" s="1"/>
  <c r="DI279" i="9"/>
  <c r="DK279" i="9" s="1"/>
  <c r="DL279" i="9" s="1"/>
  <c r="DI271" i="9"/>
  <c r="DK271" i="9" s="1"/>
  <c r="DL271" i="9" s="1"/>
  <c r="BD270" i="9"/>
  <c r="BF270" i="9" s="1"/>
  <c r="BG270" i="9" s="1"/>
  <c r="CP262" i="9"/>
  <c r="CR262" i="9" s="1"/>
  <c r="CS262" i="9" s="1"/>
  <c r="BW268" i="9"/>
  <c r="BY268" i="9" s="1"/>
  <c r="BZ268" i="9" s="1"/>
  <c r="BW260" i="9"/>
  <c r="BY260" i="9" s="1"/>
  <c r="BZ260" i="9" s="1"/>
  <c r="BD266" i="9"/>
  <c r="BF266" i="9" s="1"/>
  <c r="BG266" i="9" s="1"/>
  <c r="DI297" i="9"/>
  <c r="DK297" i="9" s="1"/>
  <c r="DL297" i="9" s="1"/>
  <c r="BW271" i="9"/>
  <c r="BY271" i="9" s="1"/>
  <c r="BZ271" i="9" s="1"/>
  <c r="EU266" i="9"/>
  <c r="EW266" i="9" s="1"/>
  <c r="EX266" i="9" s="1"/>
  <c r="EB286" i="9"/>
  <c r="ED286" i="9" s="1"/>
  <c r="EE286" i="9" s="1"/>
  <c r="R262" i="9"/>
  <c r="T262" i="9" s="1"/>
  <c r="U262" i="9" s="1"/>
  <c r="BD269" i="9"/>
  <c r="BF269" i="9" s="1"/>
  <c r="BG269" i="9" s="1"/>
  <c r="BD261" i="9"/>
  <c r="BF261" i="9" s="1"/>
  <c r="BG261" i="9" s="1"/>
  <c r="AK256" i="9"/>
  <c r="AM256" i="9" s="1"/>
  <c r="AN256" i="9" s="1"/>
  <c r="AK248" i="9"/>
  <c r="AM248" i="9" s="1"/>
  <c r="AN248" i="9" s="1"/>
  <c r="EB256" i="9"/>
  <c r="ED256" i="9" s="1"/>
  <c r="EE256" i="9" s="1"/>
  <c r="EB248" i="9"/>
  <c r="ED248" i="9" s="1"/>
  <c r="EE248" i="9" s="1"/>
  <c r="BW256" i="9"/>
  <c r="BY256" i="9" s="1"/>
  <c r="BZ256" i="9" s="1"/>
  <c r="BW248" i="9"/>
  <c r="BY248" i="9" s="1"/>
  <c r="BZ248" i="9" s="1"/>
  <c r="DI255" i="9"/>
  <c r="DK255" i="9" s="1"/>
  <c r="DL255" i="9" s="1"/>
  <c r="BD284" i="9"/>
  <c r="BF284" i="9" s="1"/>
  <c r="BG284" i="9" s="1"/>
  <c r="CP253" i="9"/>
  <c r="CR253" i="9" s="1"/>
  <c r="CS253" i="9" s="1"/>
  <c r="CP268" i="9"/>
  <c r="CR268" i="9" s="1"/>
  <c r="CS268" i="9" s="1"/>
  <c r="EB253" i="9"/>
  <c r="ED253" i="9" s="1"/>
  <c r="EE253" i="9" s="1"/>
  <c r="BD248" i="9"/>
  <c r="BF248" i="9" s="1"/>
  <c r="BG248" i="9" s="1"/>
  <c r="EU239" i="9"/>
  <c r="EW239" i="9" s="1"/>
  <c r="EX239" i="9" s="1"/>
  <c r="EU249" i="9"/>
  <c r="EW249" i="9" s="1"/>
  <c r="EX249" i="9" s="1"/>
  <c r="EU240" i="9"/>
  <c r="EW240" i="9" s="1"/>
  <c r="EX240" i="9" s="1"/>
  <c r="AK253" i="9"/>
  <c r="AM253" i="9" s="1"/>
  <c r="AN253" i="9" s="1"/>
  <c r="CP240" i="9"/>
  <c r="CR240" i="9" s="1"/>
  <c r="CS240" i="9" s="1"/>
  <c r="EB254" i="9"/>
  <c r="ED254" i="9" s="1"/>
  <c r="EE254" i="9" s="1"/>
  <c r="EB239" i="9"/>
  <c r="ED239" i="9" s="1"/>
  <c r="EE239" i="9" s="1"/>
  <c r="BD250" i="9"/>
  <c r="BF250" i="9" s="1"/>
  <c r="BG250" i="9" s="1"/>
  <c r="EB240" i="9"/>
  <c r="ED240" i="9" s="1"/>
  <c r="EE240" i="9" s="1"/>
  <c r="EB246" i="9"/>
  <c r="ED246" i="9" s="1"/>
  <c r="EE246" i="9" s="1"/>
  <c r="EU246" i="9"/>
  <c r="EW246" i="9" s="1"/>
  <c r="EX246" i="9" s="1"/>
  <c r="BW241" i="9"/>
  <c r="BY241" i="9" s="1"/>
  <c r="BZ241" i="9" s="1"/>
  <c r="EB230" i="9"/>
  <c r="ED230" i="9" s="1"/>
  <c r="EE230" i="9" s="1"/>
  <c r="EB222" i="9"/>
  <c r="ED222" i="9" s="1"/>
  <c r="EE222" i="9" s="1"/>
  <c r="EB214" i="9"/>
  <c r="ED214" i="9" s="1"/>
  <c r="EE214" i="9" s="1"/>
  <c r="CP237" i="9"/>
  <c r="CR237" i="9" s="1"/>
  <c r="CS237" i="9" s="1"/>
  <c r="BD227" i="9"/>
  <c r="BF227" i="9" s="1"/>
  <c r="BG227" i="9" s="1"/>
  <c r="BD219" i="9"/>
  <c r="BF219" i="9" s="1"/>
  <c r="BG219" i="9" s="1"/>
  <c r="BD211" i="9"/>
  <c r="BF211" i="9" s="1"/>
  <c r="BG211" i="9" s="1"/>
  <c r="EB235" i="9"/>
  <c r="ED235" i="9" s="1"/>
  <c r="EE235" i="9" s="1"/>
  <c r="BD228" i="9"/>
  <c r="BF228" i="9" s="1"/>
  <c r="BG228" i="9" s="1"/>
  <c r="BD220" i="9"/>
  <c r="BF220" i="9" s="1"/>
  <c r="BG220" i="9" s="1"/>
  <c r="BD212" i="9"/>
  <c r="BF212" i="9" s="1"/>
  <c r="BG212" i="9" s="1"/>
  <c r="EU237" i="9"/>
  <c r="EW237" i="9" s="1"/>
  <c r="EX237" i="9" s="1"/>
  <c r="BD229" i="9"/>
  <c r="BF229" i="9" s="1"/>
  <c r="BG229" i="9" s="1"/>
  <c r="BD221" i="9"/>
  <c r="BF221" i="9" s="1"/>
  <c r="BG221" i="9" s="1"/>
  <c r="BD213" i="9"/>
  <c r="BF213" i="9" s="1"/>
  <c r="BG213" i="9" s="1"/>
  <c r="R232" i="9"/>
  <c r="T232" i="9" s="1"/>
  <c r="U232" i="9" s="1"/>
  <c r="R224" i="9"/>
  <c r="T224" i="9" s="1"/>
  <c r="U224" i="9" s="1"/>
  <c r="R216" i="9"/>
  <c r="T216" i="9" s="1"/>
  <c r="U216" i="9" s="1"/>
  <c r="R208" i="9"/>
  <c r="T208" i="9" s="1"/>
  <c r="U208" i="9" s="1"/>
  <c r="DI232" i="9"/>
  <c r="DK232" i="9" s="1"/>
  <c r="DL232" i="9" s="1"/>
  <c r="DI224" i="9"/>
  <c r="DK224" i="9" s="1"/>
  <c r="DL224" i="9" s="1"/>
  <c r="DI216" i="9"/>
  <c r="DK216" i="9" s="1"/>
  <c r="DL216" i="9" s="1"/>
  <c r="DI208" i="9"/>
  <c r="DK208" i="9" s="1"/>
  <c r="DL208" i="9" s="1"/>
  <c r="AK229" i="9"/>
  <c r="AM229" i="9" s="1"/>
  <c r="AN229" i="9" s="1"/>
  <c r="AK221" i="9"/>
  <c r="AM221" i="9" s="1"/>
  <c r="AN221" i="9" s="1"/>
  <c r="AK213" i="9"/>
  <c r="AM213" i="9" s="1"/>
  <c r="AN213" i="9" s="1"/>
  <c r="R227" i="9"/>
  <c r="T227" i="9" s="1"/>
  <c r="U227" i="9" s="1"/>
  <c r="BD200" i="9"/>
  <c r="BF200" i="9" s="1"/>
  <c r="BG200" i="9" s="1"/>
  <c r="BD192" i="9"/>
  <c r="BF192" i="9" s="1"/>
  <c r="BG192" i="9" s="1"/>
  <c r="BD184" i="9"/>
  <c r="BF184" i="9" s="1"/>
  <c r="BG184" i="9" s="1"/>
  <c r="EB213" i="9"/>
  <c r="ED213" i="9" s="1"/>
  <c r="EE213" i="9" s="1"/>
  <c r="CP199" i="9"/>
  <c r="CR199" i="9" s="1"/>
  <c r="CS199" i="9" s="1"/>
  <c r="CP191" i="9"/>
  <c r="CR191" i="9" s="1"/>
  <c r="CS191" i="9" s="1"/>
  <c r="CP183" i="9"/>
  <c r="CR183" i="9" s="1"/>
  <c r="CS183" i="9" s="1"/>
  <c r="EB229" i="9"/>
  <c r="ED229" i="9" s="1"/>
  <c r="EE229" i="9" s="1"/>
  <c r="R204" i="9"/>
  <c r="T204" i="9" s="1"/>
  <c r="U204" i="9" s="1"/>
  <c r="R196" i="9"/>
  <c r="T196" i="9" s="1"/>
  <c r="U196" i="9" s="1"/>
  <c r="R188" i="9"/>
  <c r="T188" i="9" s="1"/>
  <c r="U188" i="9" s="1"/>
  <c r="R180" i="9"/>
  <c r="T180" i="9" s="1"/>
  <c r="U180" i="9" s="1"/>
  <c r="AK222" i="9"/>
  <c r="AM222" i="9" s="1"/>
  <c r="AN222" i="9" s="1"/>
  <c r="CP201" i="9"/>
  <c r="CR201" i="9" s="1"/>
  <c r="CS201" i="9" s="1"/>
  <c r="CP193" i="9"/>
  <c r="CR193" i="9" s="1"/>
  <c r="CS193" i="9" s="1"/>
  <c r="CP185" i="9"/>
  <c r="CR185" i="9" s="1"/>
  <c r="CS185" i="9" s="1"/>
  <c r="BD233" i="9"/>
  <c r="BF233" i="9" s="1"/>
  <c r="BG233" i="9" s="1"/>
  <c r="CP202" i="9"/>
  <c r="CR202" i="9" s="1"/>
  <c r="CS202" i="9" s="1"/>
  <c r="CP194" i="9"/>
  <c r="CR194" i="9" s="1"/>
  <c r="CS194" i="9" s="1"/>
  <c r="CP186" i="9"/>
  <c r="CR186" i="9" s="1"/>
  <c r="CS186" i="9" s="1"/>
  <c r="BD225" i="9"/>
  <c r="BF225" i="9" s="1"/>
  <c r="BG225" i="9" s="1"/>
  <c r="AK202" i="9"/>
  <c r="AM202" i="9" s="1"/>
  <c r="AN202" i="9" s="1"/>
  <c r="AK194" i="9"/>
  <c r="AM194" i="9" s="1"/>
  <c r="AN194" i="9" s="1"/>
  <c r="AK186" i="9"/>
  <c r="AM186" i="9" s="1"/>
  <c r="AN186" i="9" s="1"/>
  <c r="DI240" i="9"/>
  <c r="DK240" i="9" s="1"/>
  <c r="DL240" i="9" s="1"/>
  <c r="EB202" i="9"/>
  <c r="ED202" i="9" s="1"/>
  <c r="EE202" i="9" s="1"/>
  <c r="EB194" i="9"/>
  <c r="ED194" i="9" s="1"/>
  <c r="EE194" i="9" s="1"/>
  <c r="EB186" i="9"/>
  <c r="ED186" i="9" s="1"/>
  <c r="EE186" i="9" s="1"/>
  <c r="AK188" i="9"/>
  <c r="AM188" i="9" s="1"/>
  <c r="AN188" i="9" s="1"/>
  <c r="BD171" i="9"/>
  <c r="BF171" i="9" s="1"/>
  <c r="BG171" i="9" s="1"/>
  <c r="EB176" i="9"/>
  <c r="ED176" i="9" s="1"/>
  <c r="EE176" i="9" s="1"/>
  <c r="DI175" i="9"/>
  <c r="DK175" i="9" s="1"/>
  <c r="DL175" i="9" s="1"/>
  <c r="DI167" i="9"/>
  <c r="DK167" i="9" s="1"/>
  <c r="DL167" i="9" s="1"/>
  <c r="DI159" i="9"/>
  <c r="DK159" i="9" s="1"/>
  <c r="DL159" i="9" s="1"/>
  <c r="CP205" i="9"/>
  <c r="CR205" i="9" s="1"/>
  <c r="CS205" i="9" s="1"/>
  <c r="BD175" i="9"/>
  <c r="BF175" i="9" s="1"/>
  <c r="BG175" i="9" s="1"/>
  <c r="BD167" i="9"/>
  <c r="BF167" i="9" s="1"/>
  <c r="BG167" i="9" s="1"/>
  <c r="BD159" i="9"/>
  <c r="BF159" i="9" s="1"/>
  <c r="BG159" i="9" s="1"/>
  <c r="BD151" i="9"/>
  <c r="BF151" i="9" s="1"/>
  <c r="BG151" i="9" s="1"/>
  <c r="EU175" i="9"/>
  <c r="EW175" i="9" s="1"/>
  <c r="EX175" i="9" s="1"/>
  <c r="EU167" i="9"/>
  <c r="EW167" i="9" s="1"/>
  <c r="EX167" i="9" s="1"/>
  <c r="EU159" i="9"/>
  <c r="EW159" i="9" s="1"/>
  <c r="EX159" i="9" s="1"/>
  <c r="EU151" i="9"/>
  <c r="EW151" i="9" s="1"/>
  <c r="EX151" i="9" s="1"/>
  <c r="AK174" i="9"/>
  <c r="AM174" i="9" s="1"/>
  <c r="AN174" i="9" s="1"/>
  <c r="AK166" i="9"/>
  <c r="AM166" i="9" s="1"/>
  <c r="AN166" i="9" s="1"/>
  <c r="AK158" i="9"/>
  <c r="AM158" i="9" s="1"/>
  <c r="AN158" i="9" s="1"/>
  <c r="CP168" i="9"/>
  <c r="CR168" i="9" s="1"/>
  <c r="CS168" i="9" s="1"/>
  <c r="EB149" i="9"/>
  <c r="ED149" i="9" s="1"/>
  <c r="EE149" i="9" s="1"/>
  <c r="EB141" i="9"/>
  <c r="ED141" i="9" s="1"/>
  <c r="EE141" i="9" s="1"/>
  <c r="CP197" i="9"/>
  <c r="CR197" i="9" s="1"/>
  <c r="CS197" i="9" s="1"/>
  <c r="EU164" i="9"/>
  <c r="EW164" i="9" s="1"/>
  <c r="EX164" i="9" s="1"/>
  <c r="R148" i="9"/>
  <c r="T148" i="9" s="1"/>
  <c r="U148" i="9" s="1"/>
  <c r="R140" i="9"/>
  <c r="T140" i="9" s="1"/>
  <c r="U140" i="9" s="1"/>
  <c r="EU190" i="9"/>
  <c r="EW190" i="9" s="1"/>
  <c r="EX190" i="9" s="1"/>
  <c r="EB159" i="9"/>
  <c r="ED159" i="9" s="1"/>
  <c r="EE159" i="9" s="1"/>
  <c r="R149" i="9"/>
  <c r="T149" i="9" s="1"/>
  <c r="U149" i="9" s="1"/>
  <c r="R141" i="9"/>
  <c r="T141" i="9" s="1"/>
  <c r="U141" i="9" s="1"/>
  <c r="R133" i="9"/>
  <c r="T133" i="9" s="1"/>
  <c r="U133" i="9" s="1"/>
  <c r="R156" i="9"/>
  <c r="T156" i="9" s="1"/>
  <c r="U156" i="9" s="1"/>
  <c r="AK146" i="9"/>
  <c r="AM146" i="9" s="1"/>
  <c r="AN146" i="9" s="1"/>
  <c r="AK138" i="9"/>
  <c r="AM138" i="9" s="1"/>
  <c r="AN138" i="9" s="1"/>
  <c r="BW186" i="9"/>
  <c r="BY186" i="9" s="1"/>
  <c r="BZ186" i="9" s="1"/>
  <c r="AK149" i="9"/>
  <c r="AM149" i="9" s="1"/>
  <c r="AN149" i="9" s="1"/>
  <c r="DI131" i="9"/>
  <c r="DK131" i="9" s="1"/>
  <c r="DL131" i="9" s="1"/>
  <c r="DI123" i="9"/>
  <c r="DK123" i="9" s="1"/>
  <c r="DL123" i="9" s="1"/>
  <c r="BW173" i="9"/>
  <c r="BY173" i="9" s="1"/>
  <c r="BZ173" i="9" s="1"/>
  <c r="CP155" i="9"/>
  <c r="CR155" i="9" s="1"/>
  <c r="CS155" i="9" s="1"/>
  <c r="CP142" i="9"/>
  <c r="CR142" i="9" s="1"/>
  <c r="CS142" i="9" s="1"/>
  <c r="CP129" i="9"/>
  <c r="CR129" i="9" s="1"/>
  <c r="CS129" i="9" s="1"/>
  <c r="CP121" i="9"/>
  <c r="CR121" i="9" s="1"/>
  <c r="CS121" i="9" s="1"/>
  <c r="AK175" i="9"/>
  <c r="AM175" i="9" s="1"/>
  <c r="AN175" i="9" s="1"/>
  <c r="BD154" i="9"/>
  <c r="BF154" i="9" s="1"/>
  <c r="BG154" i="9" s="1"/>
  <c r="BD132" i="9"/>
  <c r="BF132" i="9" s="1"/>
  <c r="BG132" i="9" s="1"/>
  <c r="BD124" i="9"/>
  <c r="BF124" i="9" s="1"/>
  <c r="BG124" i="9" s="1"/>
  <c r="BD142" i="9"/>
  <c r="BF142" i="9" s="1"/>
  <c r="BG142" i="9" s="1"/>
  <c r="R127" i="9"/>
  <c r="T127" i="9" s="1"/>
  <c r="U127" i="9" s="1"/>
  <c r="R119" i="9"/>
  <c r="T119" i="9" s="1"/>
  <c r="U119" i="9" s="1"/>
  <c r="BW167" i="9"/>
  <c r="BY167" i="9" s="1"/>
  <c r="BZ167" i="9" s="1"/>
  <c r="AK148" i="9"/>
  <c r="AM148" i="9" s="1"/>
  <c r="AN148" i="9" s="1"/>
  <c r="DI135" i="9"/>
  <c r="DK135" i="9" s="1"/>
  <c r="DL135" i="9" s="1"/>
  <c r="BD126" i="9"/>
  <c r="BF126" i="9" s="1"/>
  <c r="BG126" i="9" s="1"/>
  <c r="BD118" i="9"/>
  <c r="BF118" i="9" s="1"/>
  <c r="BG118" i="9" s="1"/>
  <c r="AK153" i="9"/>
  <c r="AM153" i="9" s="1"/>
  <c r="AN153" i="9" s="1"/>
  <c r="BD136" i="9"/>
  <c r="BF136" i="9" s="1"/>
  <c r="BG136" i="9" s="1"/>
  <c r="DI128" i="9"/>
  <c r="DK128" i="9" s="1"/>
  <c r="DL128" i="9" s="1"/>
  <c r="DI120" i="9"/>
  <c r="DK120" i="9" s="1"/>
  <c r="DL120" i="9" s="1"/>
  <c r="AK137" i="9"/>
  <c r="AM137" i="9" s="1"/>
  <c r="AN137" i="9" s="1"/>
  <c r="CP115" i="9"/>
  <c r="CR115" i="9" s="1"/>
  <c r="CS115" i="9" s="1"/>
  <c r="CP127" i="9"/>
  <c r="CR127" i="9" s="1"/>
  <c r="CS127" i="9" s="1"/>
  <c r="EU109" i="9"/>
  <c r="EW109" i="9" s="1"/>
  <c r="EX109" i="9" s="1"/>
  <c r="EU101" i="9"/>
  <c r="EW101" i="9" s="1"/>
  <c r="EX101" i="9" s="1"/>
  <c r="EU93" i="9"/>
  <c r="EW93" i="9" s="1"/>
  <c r="EX93" i="9" s="1"/>
  <c r="R113" i="9"/>
  <c r="T113" i="9" s="1"/>
  <c r="U113" i="9" s="1"/>
  <c r="R105" i="9"/>
  <c r="T105" i="9" s="1"/>
  <c r="U105" i="9" s="1"/>
  <c r="R97" i="9"/>
  <c r="T97" i="9" s="1"/>
  <c r="U97" i="9" s="1"/>
  <c r="AK125" i="9"/>
  <c r="AM125" i="9" s="1"/>
  <c r="AN125" i="9" s="1"/>
  <c r="DI114" i="9"/>
  <c r="DK114" i="9" s="1"/>
  <c r="DL114" i="9" s="1"/>
  <c r="DI106" i="9"/>
  <c r="DK106" i="9" s="1"/>
  <c r="DL106" i="9" s="1"/>
  <c r="DI98" i="9"/>
  <c r="DK98" i="9" s="1"/>
  <c r="DL98" i="9" s="1"/>
  <c r="DI144" i="9"/>
  <c r="DK144" i="9" s="1"/>
  <c r="DL144" i="9" s="1"/>
  <c r="BD121" i="9"/>
  <c r="BF121" i="9" s="1"/>
  <c r="BG121" i="9" s="1"/>
  <c r="AK111" i="9"/>
  <c r="AM111" i="9" s="1"/>
  <c r="AN111" i="9" s="1"/>
  <c r="AK103" i="9"/>
  <c r="AM103" i="9" s="1"/>
  <c r="AN103" i="9" s="1"/>
  <c r="AK95" i="9"/>
  <c r="AM95" i="9" s="1"/>
  <c r="AN95" i="9" s="1"/>
  <c r="CP113" i="9"/>
  <c r="CR113" i="9" s="1"/>
  <c r="CS113" i="9" s="1"/>
  <c r="AK96" i="9"/>
  <c r="AM96" i="9" s="1"/>
  <c r="AN96" i="9" s="1"/>
  <c r="R86" i="9"/>
  <c r="T86" i="9" s="1"/>
  <c r="U86" i="9" s="1"/>
  <c r="R78" i="9"/>
  <c r="T78" i="9" s="1"/>
  <c r="U78" i="9" s="1"/>
  <c r="R70" i="9"/>
  <c r="T70" i="9" s="1"/>
  <c r="U70" i="9" s="1"/>
  <c r="R62" i="9"/>
  <c r="T62" i="9" s="1"/>
  <c r="U62" i="9" s="1"/>
  <c r="R54" i="9"/>
  <c r="T54" i="9" s="1"/>
  <c r="U54" i="9" s="1"/>
  <c r="R46" i="9"/>
  <c r="T46" i="9" s="1"/>
  <c r="U46" i="9" s="1"/>
  <c r="EB103" i="9"/>
  <c r="ED103" i="9" s="1"/>
  <c r="EE103" i="9" s="1"/>
  <c r="CP91" i="9"/>
  <c r="CR91" i="9" s="1"/>
  <c r="CS91" i="9" s="1"/>
  <c r="CP83" i="9"/>
  <c r="CR83" i="9" s="1"/>
  <c r="CS83" i="9" s="1"/>
  <c r="CP75" i="9"/>
  <c r="CR75" i="9" s="1"/>
  <c r="CS75" i="9" s="1"/>
  <c r="CP67" i="9"/>
  <c r="CR67" i="9" s="1"/>
  <c r="CS67" i="9" s="1"/>
  <c r="CP59" i="9"/>
  <c r="CR59" i="9" s="1"/>
  <c r="CS59" i="9" s="1"/>
  <c r="CP51" i="9"/>
  <c r="CR51" i="9" s="1"/>
  <c r="CS51" i="9" s="1"/>
  <c r="EU119" i="9"/>
  <c r="EW119" i="9" s="1"/>
  <c r="EX119" i="9" s="1"/>
  <c r="DI100" i="9"/>
  <c r="DK100" i="9" s="1"/>
  <c r="DL100" i="9" s="1"/>
  <c r="BD86" i="9"/>
  <c r="BF86" i="9" s="1"/>
  <c r="BG86" i="9" s="1"/>
  <c r="BD78" i="9"/>
  <c r="BF78" i="9" s="1"/>
  <c r="BG78" i="9" s="1"/>
  <c r="BD70" i="9"/>
  <c r="BF70" i="9" s="1"/>
  <c r="BG70" i="9" s="1"/>
  <c r="BD62" i="9"/>
  <c r="BF62" i="9" s="1"/>
  <c r="BG62" i="9" s="1"/>
  <c r="BD54" i="9"/>
  <c r="BF54" i="9" s="1"/>
  <c r="BG54" i="9" s="1"/>
  <c r="BD46" i="9"/>
  <c r="BF46" i="9" s="1"/>
  <c r="BG46" i="9" s="1"/>
  <c r="DI105" i="9"/>
  <c r="DK105" i="9" s="1"/>
  <c r="DL105" i="9" s="1"/>
  <c r="R94" i="9"/>
  <c r="T94" i="9" s="1"/>
  <c r="U94" i="9" s="1"/>
  <c r="DI88" i="9"/>
  <c r="DK88" i="9" s="1"/>
  <c r="DL88" i="9" s="1"/>
  <c r="DI80" i="9"/>
  <c r="DK80" i="9" s="1"/>
  <c r="DL80" i="9" s="1"/>
  <c r="DI72" i="9"/>
  <c r="DK72" i="9" s="1"/>
  <c r="DL72" i="9" s="1"/>
  <c r="DI64" i="9"/>
  <c r="DK64" i="9" s="1"/>
  <c r="DL64" i="9" s="1"/>
  <c r="DI56" i="9"/>
  <c r="DK56" i="9" s="1"/>
  <c r="DL56" i="9" s="1"/>
  <c r="DI48" i="9"/>
  <c r="DK48" i="9" s="1"/>
  <c r="DL48" i="9" s="1"/>
  <c r="R116" i="9"/>
  <c r="T116" i="9" s="1"/>
  <c r="U116" i="9" s="1"/>
  <c r="EB95" i="9"/>
  <c r="ED95" i="9" s="1"/>
  <c r="EE95" i="9" s="1"/>
  <c r="AK85" i="9"/>
  <c r="AM85" i="9" s="1"/>
  <c r="AN85" i="9" s="1"/>
  <c r="AK77" i="9"/>
  <c r="AM77" i="9" s="1"/>
  <c r="AN77" i="9" s="1"/>
  <c r="AK69" i="9"/>
  <c r="AM69" i="9" s="1"/>
  <c r="AN69" i="9" s="1"/>
  <c r="AK61" i="9"/>
  <c r="AM61" i="9" s="1"/>
  <c r="AN61" i="9" s="1"/>
  <c r="AK53" i="9"/>
  <c r="AM53" i="9" s="1"/>
  <c r="AN53" i="9" s="1"/>
  <c r="AK45" i="9"/>
  <c r="AM45" i="9" s="1"/>
  <c r="AN45" i="9" s="1"/>
  <c r="BW107" i="9"/>
  <c r="BY107" i="9" s="1"/>
  <c r="BZ107" i="9" s="1"/>
  <c r="EB92" i="9"/>
  <c r="ED92" i="9" s="1"/>
  <c r="EE92" i="9" s="1"/>
  <c r="BW115" i="9"/>
  <c r="BY115" i="9" s="1"/>
  <c r="BZ115" i="9" s="1"/>
  <c r="CP13" i="9"/>
  <c r="CR13" i="9" s="1"/>
  <c r="BD27" i="9"/>
  <c r="BF27" i="9" s="1"/>
  <c r="BG27" i="9" s="1"/>
  <c r="DI44" i="9"/>
  <c r="DK44" i="9" s="1"/>
  <c r="DL44" i="9" s="1"/>
  <c r="EB63" i="9"/>
  <c r="ED63" i="9" s="1"/>
  <c r="EE63" i="9" s="1"/>
  <c r="EB87" i="9"/>
  <c r="ED87" i="9" s="1"/>
  <c r="EE87" i="9" s="1"/>
  <c r="BW29" i="9"/>
  <c r="BY29" i="9" s="1"/>
  <c r="BZ29" i="9" s="1"/>
  <c r="EB38" i="9"/>
  <c r="ED38" i="9" s="1"/>
  <c r="EE38" i="9" s="1"/>
  <c r="EU43" i="9"/>
  <c r="EW43" i="9" s="1"/>
  <c r="EX43" i="9" s="1"/>
  <c r="CP57" i="9"/>
  <c r="CR57" i="9" s="1"/>
  <c r="CS57" i="9" s="1"/>
  <c r="BW76" i="9"/>
  <c r="BY76" i="9" s="1"/>
  <c r="BZ76" i="9" s="1"/>
  <c r="DI83" i="9"/>
  <c r="DK83" i="9" s="1"/>
  <c r="DL83" i="9" s="1"/>
  <c r="EU24" i="9"/>
  <c r="EW24" i="9" s="1"/>
  <c r="EX24" i="9" s="1"/>
  <c r="EB29" i="9"/>
  <c r="ED29" i="9" s="1"/>
  <c r="EE29" i="9" s="1"/>
  <c r="CP39" i="9"/>
  <c r="CR39" i="9" s="1"/>
  <c r="CS39" i="9" s="1"/>
  <c r="EU50" i="9"/>
  <c r="EW50" i="9" s="1"/>
  <c r="EX50" i="9" s="1"/>
  <c r="BW68" i="9"/>
  <c r="BY68" i="9" s="1"/>
  <c r="BZ68" i="9" s="1"/>
  <c r="EU15" i="9"/>
  <c r="EW15" i="9" s="1"/>
  <c r="EX15" i="9" s="1"/>
  <c r="AK21" i="9"/>
  <c r="AM21" i="9" s="1"/>
  <c r="AN21" i="9" s="1"/>
  <c r="EB36" i="9"/>
  <c r="ED36" i="9" s="1"/>
  <c r="EE36" i="9" s="1"/>
  <c r="EU64" i="9"/>
  <c r="EW64" i="9" s="1"/>
  <c r="EX64" i="9" s="1"/>
  <c r="BW94" i="9"/>
  <c r="BY94" i="9" s="1"/>
  <c r="BZ94" i="9" s="1"/>
  <c r="EB108" i="9"/>
  <c r="ED108" i="9" s="1"/>
  <c r="EE108" i="9" s="1"/>
  <c r="EU309" i="9"/>
  <c r="EW309" i="9" s="1"/>
  <c r="EX309" i="9" s="1"/>
  <c r="BW309" i="9"/>
  <c r="BY309" i="9" s="1"/>
  <c r="BZ309" i="9" s="1"/>
  <c r="AK305" i="9"/>
  <c r="AM305" i="9" s="1"/>
  <c r="AN305" i="9" s="1"/>
  <c r="EB284" i="9"/>
  <c r="ED284" i="9" s="1"/>
  <c r="EE284" i="9" s="1"/>
  <c r="EU306" i="9"/>
  <c r="EW306" i="9" s="1"/>
  <c r="EX306" i="9" s="1"/>
  <c r="AK275" i="9"/>
  <c r="AM275" i="9" s="1"/>
  <c r="AN275" i="9" s="1"/>
  <c r="BD279" i="9"/>
  <c r="BF279" i="9" s="1"/>
  <c r="BG279" i="9" s="1"/>
  <c r="DI252" i="9"/>
  <c r="DK252" i="9" s="1"/>
  <c r="DL252" i="9" s="1"/>
  <c r="R257" i="9"/>
  <c r="T257" i="9" s="1"/>
  <c r="U257" i="9" s="1"/>
  <c r="BW236" i="9"/>
  <c r="BY236" i="9" s="1"/>
  <c r="BZ236" i="9" s="1"/>
  <c r="EU258" i="9"/>
  <c r="EW258" i="9" s="1"/>
  <c r="EX258" i="9" s="1"/>
  <c r="EB223" i="9"/>
  <c r="ED223" i="9" s="1"/>
  <c r="EE223" i="9" s="1"/>
  <c r="EB225" i="9"/>
  <c r="ED225" i="9" s="1"/>
  <c r="EE225" i="9" s="1"/>
  <c r="AK228" i="9"/>
  <c r="AM228" i="9" s="1"/>
  <c r="AN228" i="9" s="1"/>
  <c r="EB204" i="9"/>
  <c r="ED204" i="9" s="1"/>
  <c r="EE204" i="9" s="1"/>
  <c r="R179" i="9"/>
  <c r="T179" i="9" s="1"/>
  <c r="U179" i="9" s="1"/>
  <c r="R197" i="9"/>
  <c r="T197" i="9" s="1"/>
  <c r="U197" i="9" s="1"/>
  <c r="R182" i="9"/>
  <c r="T182" i="9" s="1"/>
  <c r="U182" i="9" s="1"/>
  <c r="BD190" i="9"/>
  <c r="BF190" i="9" s="1"/>
  <c r="BG190" i="9" s="1"/>
  <c r="AK155" i="9"/>
  <c r="AM155" i="9" s="1"/>
  <c r="AN155" i="9" s="1"/>
  <c r="BW163" i="9"/>
  <c r="BY163" i="9" s="1"/>
  <c r="BZ163" i="9" s="1"/>
  <c r="BD145" i="9"/>
  <c r="BF145" i="9" s="1"/>
  <c r="BG145" i="9" s="1"/>
  <c r="CP136" i="9"/>
  <c r="CR136" i="9" s="1"/>
  <c r="CS136" i="9" s="1"/>
  <c r="DI150" i="9"/>
  <c r="DK150" i="9" s="1"/>
  <c r="DL150" i="9" s="1"/>
  <c r="AK119" i="9"/>
  <c r="AM119" i="9" s="1"/>
  <c r="AN119" i="9" s="1"/>
  <c r="DI163" i="9"/>
  <c r="DK163" i="9" s="1"/>
  <c r="DL163" i="9" s="1"/>
  <c r="BD178" i="9"/>
  <c r="BF178" i="9" s="1"/>
  <c r="BG178" i="9" s="1"/>
  <c r="R146" i="9"/>
  <c r="T146" i="9" s="1"/>
  <c r="U146" i="9" s="1"/>
  <c r="BW113" i="9"/>
  <c r="BY113" i="9" s="1"/>
  <c r="BZ113" i="9" s="1"/>
  <c r="CP93" i="9"/>
  <c r="CR93" i="9" s="1"/>
  <c r="CS93" i="9" s="1"/>
  <c r="DI115" i="9"/>
  <c r="DK115" i="9" s="1"/>
  <c r="DL115" i="9" s="1"/>
  <c r="CP74" i="9"/>
  <c r="CR74" i="9" s="1"/>
  <c r="CS74" i="9" s="1"/>
  <c r="R87" i="9"/>
  <c r="T87" i="9" s="1"/>
  <c r="U87" i="9" s="1"/>
  <c r="DI109" i="9"/>
  <c r="DK109" i="9" s="1"/>
  <c r="DL109" i="9" s="1"/>
  <c r="EB50" i="9"/>
  <c r="ED50" i="9" s="1"/>
  <c r="EE50" i="9" s="1"/>
  <c r="AK68" i="9"/>
  <c r="AM68" i="9" s="1"/>
  <c r="AN68" i="9" s="1"/>
  <c r="DI81" i="9"/>
  <c r="DK81" i="9" s="1"/>
  <c r="DL81" i="9" s="1"/>
  <c r="R101" i="9"/>
  <c r="T101" i="9" s="1"/>
  <c r="U101" i="9" s="1"/>
  <c r="BW22" i="9"/>
  <c r="BY22" i="9" s="1"/>
  <c r="BZ22" i="9" s="1"/>
  <c r="EB53" i="9"/>
  <c r="ED53" i="9" s="1"/>
  <c r="EE53" i="9" s="1"/>
  <c r="R47" i="9"/>
  <c r="T47" i="9" s="1"/>
  <c r="U47" i="9" s="1"/>
  <c r="DI26" i="9"/>
  <c r="DK26" i="9" s="1"/>
  <c r="DL26" i="9" s="1"/>
  <c r="DI58" i="9"/>
  <c r="DK58" i="9" s="1"/>
  <c r="DL58" i="9" s="1"/>
  <c r="EU39" i="9"/>
  <c r="EW39" i="9" s="1"/>
  <c r="EX39" i="9" s="1"/>
  <c r="EU82" i="9"/>
  <c r="EW82" i="9" s="1"/>
  <c r="EX82" i="9" s="1"/>
  <c r="DI356" i="9"/>
  <c r="DK356" i="9" s="1"/>
  <c r="DL356" i="9" s="1"/>
  <c r="DI357" i="9"/>
  <c r="DK357" i="9" s="1"/>
  <c r="DL357" i="9" s="1"/>
  <c r="EB335" i="9"/>
  <c r="ED335" i="9" s="1"/>
  <c r="EE335" i="9" s="1"/>
  <c r="EB344" i="9"/>
  <c r="ED344" i="9" s="1"/>
  <c r="EE344" i="9" s="1"/>
  <c r="CP319" i="9"/>
  <c r="CR319" i="9" s="1"/>
  <c r="CS319" i="9" s="1"/>
  <c r="EB316" i="9"/>
  <c r="ED316" i="9" s="1"/>
  <c r="EE316" i="9" s="1"/>
  <c r="AK327" i="9"/>
  <c r="AM327" i="9" s="1"/>
  <c r="AN327" i="9" s="1"/>
  <c r="BD312" i="9"/>
  <c r="BF312" i="9" s="1"/>
  <c r="BG312" i="9" s="1"/>
  <c r="BD313" i="9"/>
  <c r="BF313" i="9" s="1"/>
  <c r="BG313" i="9" s="1"/>
  <c r="EU315" i="9"/>
  <c r="EW315" i="9" s="1"/>
  <c r="EX315" i="9" s="1"/>
  <c r="DI310" i="9"/>
  <c r="DK310" i="9" s="1"/>
  <c r="DL310" i="9" s="1"/>
  <c r="BD314" i="9"/>
  <c r="BF314" i="9" s="1"/>
  <c r="BG314" i="9" s="1"/>
  <c r="R304" i="9"/>
  <c r="T304" i="9" s="1"/>
  <c r="U304" i="9" s="1"/>
  <c r="DI311" i="9"/>
  <c r="DK311" i="9" s="1"/>
  <c r="DL311" i="9" s="1"/>
  <c r="DI304" i="9"/>
  <c r="DK304" i="9" s="1"/>
  <c r="DL304" i="9" s="1"/>
  <c r="EB308" i="9"/>
  <c r="ED308" i="9" s="1"/>
  <c r="EE308" i="9" s="1"/>
  <c r="EB300" i="9"/>
  <c r="ED300" i="9" s="1"/>
  <c r="EE300" i="9" s="1"/>
  <c r="DI306" i="9"/>
  <c r="DK306" i="9" s="1"/>
  <c r="DL306" i="9" s="1"/>
  <c r="EB313" i="9"/>
  <c r="ED313" i="9" s="1"/>
  <c r="EE313" i="9" s="1"/>
  <c r="CP304" i="9"/>
  <c r="CR304" i="9" s="1"/>
  <c r="CS304" i="9" s="1"/>
  <c r="BD307" i="9"/>
  <c r="BF307" i="9" s="1"/>
  <c r="BG307" i="9" s="1"/>
  <c r="R293" i="9"/>
  <c r="T293" i="9" s="1"/>
  <c r="U293" i="9" s="1"/>
  <c r="CP298" i="9"/>
  <c r="CR298" i="9" s="1"/>
  <c r="CS298" i="9" s="1"/>
  <c r="CP290" i="9"/>
  <c r="CR290" i="9" s="1"/>
  <c r="CS290" i="9" s="1"/>
  <c r="AK299" i="9"/>
  <c r="AM299" i="9" s="1"/>
  <c r="AN299" i="9" s="1"/>
  <c r="CP291" i="9"/>
  <c r="CR291" i="9" s="1"/>
  <c r="CS291" i="9" s="1"/>
  <c r="R299" i="9"/>
  <c r="T299" i="9" s="1"/>
  <c r="U299" i="9" s="1"/>
  <c r="AK291" i="9"/>
  <c r="AM291" i="9" s="1"/>
  <c r="AN291" i="9" s="1"/>
  <c r="DI296" i="9"/>
  <c r="DK296" i="9" s="1"/>
  <c r="DL296" i="9" s="1"/>
  <c r="DI288" i="9"/>
  <c r="DK288" i="9" s="1"/>
  <c r="DL288" i="9" s="1"/>
  <c r="BD297" i="9"/>
  <c r="BF297" i="9" s="1"/>
  <c r="BG297" i="9" s="1"/>
  <c r="EU295" i="9"/>
  <c r="EW295" i="9" s="1"/>
  <c r="EX295" i="9" s="1"/>
  <c r="R309" i="9"/>
  <c r="T309" i="9" s="1"/>
  <c r="U309" i="9" s="1"/>
  <c r="AK283" i="9"/>
  <c r="AM283" i="9" s="1"/>
  <c r="AN283" i="9" s="1"/>
  <c r="EU286" i="9"/>
  <c r="EW286" i="9" s="1"/>
  <c r="EX286" i="9" s="1"/>
  <c r="EU287" i="9"/>
  <c r="EW287" i="9" s="1"/>
  <c r="EX287" i="9" s="1"/>
  <c r="EU279" i="9"/>
  <c r="EW279" i="9" s="1"/>
  <c r="EX279" i="9" s="1"/>
  <c r="EB287" i="9"/>
  <c r="ED287" i="9" s="1"/>
  <c r="EE287" i="9" s="1"/>
  <c r="CP305" i="9"/>
  <c r="CR305" i="9" s="1"/>
  <c r="CS305" i="9" s="1"/>
  <c r="AK277" i="9"/>
  <c r="AM277" i="9" s="1"/>
  <c r="AN277" i="9" s="1"/>
  <c r="CP315" i="9"/>
  <c r="CR315" i="9" s="1"/>
  <c r="CS315" i="9" s="1"/>
  <c r="AK278" i="9"/>
  <c r="AM278" i="9" s="1"/>
  <c r="AN278" i="9" s="1"/>
  <c r="AK270" i="9"/>
  <c r="AM270" i="9" s="1"/>
  <c r="AN270" i="9" s="1"/>
  <c r="CP282" i="9"/>
  <c r="CR282" i="9" s="1"/>
  <c r="CS282" i="9" s="1"/>
  <c r="CP272" i="9"/>
  <c r="CR272" i="9" s="1"/>
  <c r="CS272" i="9" s="1"/>
  <c r="R277" i="9"/>
  <c r="T277" i="9" s="1"/>
  <c r="U277" i="9" s="1"/>
  <c r="BW289" i="9"/>
  <c r="BY289" i="9" s="1"/>
  <c r="BZ289" i="9" s="1"/>
  <c r="DI277" i="9"/>
  <c r="DK277" i="9" s="1"/>
  <c r="DL277" i="9" s="1"/>
  <c r="BD278" i="9"/>
  <c r="BF278" i="9" s="1"/>
  <c r="BG278" i="9" s="1"/>
  <c r="AK281" i="9"/>
  <c r="AM281" i="9" s="1"/>
  <c r="AN281" i="9" s="1"/>
  <c r="AK269" i="9"/>
  <c r="AM269" i="9" s="1"/>
  <c r="AN269" i="9" s="1"/>
  <c r="AK261" i="9"/>
  <c r="AM261" i="9" s="1"/>
  <c r="AN261" i="9" s="1"/>
  <c r="R267" i="9"/>
  <c r="T267" i="9" s="1"/>
  <c r="U267" i="9" s="1"/>
  <c r="R259" i="9"/>
  <c r="T259" i="9" s="1"/>
  <c r="U259" i="9" s="1"/>
  <c r="EU265" i="9"/>
  <c r="EW265" i="9" s="1"/>
  <c r="EX265" i="9" s="1"/>
  <c r="BD290" i="9"/>
  <c r="BF290" i="9" s="1"/>
  <c r="BG290" i="9" s="1"/>
  <c r="BD271" i="9"/>
  <c r="BF271" i="9" s="1"/>
  <c r="BG271" i="9" s="1"/>
  <c r="CP265" i="9"/>
  <c r="CR265" i="9" s="1"/>
  <c r="CS265" i="9" s="1"/>
  <c r="EU276" i="9"/>
  <c r="EW276" i="9" s="1"/>
  <c r="EX276" i="9" s="1"/>
  <c r="DI261" i="9"/>
  <c r="DK261" i="9" s="1"/>
  <c r="DL261" i="9" s="1"/>
  <c r="EU268" i="9"/>
  <c r="EW268" i="9" s="1"/>
  <c r="EX268" i="9" s="1"/>
  <c r="EU260" i="9"/>
  <c r="EW260" i="9" s="1"/>
  <c r="EX260" i="9" s="1"/>
  <c r="EB255" i="9"/>
  <c r="ED255" i="9" s="1"/>
  <c r="EE255" i="9" s="1"/>
  <c r="EB247" i="9"/>
  <c r="ED247" i="9" s="1"/>
  <c r="EE247" i="9" s="1"/>
  <c r="BW255" i="9"/>
  <c r="BY255" i="9" s="1"/>
  <c r="BZ255" i="9" s="1"/>
  <c r="BW247" i="9"/>
  <c r="BY247" i="9" s="1"/>
  <c r="BZ247" i="9" s="1"/>
  <c r="R255" i="9"/>
  <c r="T255" i="9" s="1"/>
  <c r="U255" i="9" s="1"/>
  <c r="R247" i="9"/>
  <c r="T247" i="9" s="1"/>
  <c r="U247" i="9" s="1"/>
  <c r="BD254" i="9"/>
  <c r="BF254" i="9" s="1"/>
  <c r="BG254" i="9" s="1"/>
  <c r="AK267" i="9"/>
  <c r="AM267" i="9" s="1"/>
  <c r="AN267" i="9" s="1"/>
  <c r="AK252" i="9"/>
  <c r="AM252" i="9" s="1"/>
  <c r="AN252" i="9" s="1"/>
  <c r="DI263" i="9"/>
  <c r="DK263" i="9" s="1"/>
  <c r="DL263" i="9" s="1"/>
  <c r="BW252" i="9"/>
  <c r="BY252" i="9" s="1"/>
  <c r="BZ252" i="9" s="1"/>
  <c r="CP246" i="9"/>
  <c r="CR246" i="9" s="1"/>
  <c r="CS246" i="9" s="1"/>
  <c r="CP238" i="9"/>
  <c r="CR238" i="9" s="1"/>
  <c r="CS238" i="9" s="1"/>
  <c r="EU247" i="9"/>
  <c r="EW247" i="9" s="1"/>
  <c r="EX247" i="9" s="1"/>
  <c r="CP239" i="9"/>
  <c r="CR239" i="9" s="1"/>
  <c r="CS239" i="9" s="1"/>
  <c r="EB252" i="9"/>
  <c r="ED252" i="9" s="1"/>
  <c r="EE252" i="9" s="1"/>
  <c r="AK239" i="9"/>
  <c r="AM239" i="9" s="1"/>
  <c r="AN239" i="9" s="1"/>
  <c r="BW246" i="9"/>
  <c r="BY246" i="9" s="1"/>
  <c r="BZ246" i="9" s="1"/>
  <c r="BW238" i="9"/>
  <c r="BY238" i="9" s="1"/>
  <c r="BZ238" i="9" s="1"/>
  <c r="AK247" i="9"/>
  <c r="AM247" i="9" s="1"/>
  <c r="AN247" i="9" s="1"/>
  <c r="BW239" i="9"/>
  <c r="BY239" i="9" s="1"/>
  <c r="BZ239" i="9" s="1"/>
  <c r="DI246" i="9"/>
  <c r="DK246" i="9" s="1"/>
  <c r="DL246" i="9" s="1"/>
  <c r="BD246" i="9"/>
  <c r="BF246" i="9" s="1"/>
  <c r="BG246" i="9" s="1"/>
  <c r="R241" i="9"/>
  <c r="T241" i="9" s="1"/>
  <c r="U241" i="9" s="1"/>
  <c r="BW229" i="9"/>
  <c r="BY229" i="9" s="1"/>
  <c r="BZ229" i="9" s="1"/>
  <c r="BW221" i="9"/>
  <c r="BY221" i="9" s="1"/>
  <c r="BZ221" i="9" s="1"/>
  <c r="BW213" i="9"/>
  <c r="BY213" i="9" s="1"/>
  <c r="BZ213" i="9" s="1"/>
  <c r="AK236" i="9"/>
  <c r="AM236" i="9" s="1"/>
  <c r="AN236" i="9" s="1"/>
  <c r="EU226" i="9"/>
  <c r="EW226" i="9" s="1"/>
  <c r="EX226" i="9" s="1"/>
  <c r="EU218" i="9"/>
  <c r="EW218" i="9" s="1"/>
  <c r="EX218" i="9" s="1"/>
  <c r="EU210" i="9"/>
  <c r="EW210" i="9" s="1"/>
  <c r="EX210" i="9" s="1"/>
  <c r="EB234" i="9"/>
  <c r="ED234" i="9" s="1"/>
  <c r="EE234" i="9" s="1"/>
  <c r="EU227" i="9"/>
  <c r="EW227" i="9" s="1"/>
  <c r="EX227" i="9" s="1"/>
  <c r="EU219" i="9"/>
  <c r="EW219" i="9" s="1"/>
  <c r="EX219" i="9" s="1"/>
  <c r="EU211" i="9"/>
  <c r="EW211" i="9" s="1"/>
  <c r="EX211" i="9" s="1"/>
  <c r="CP236" i="9"/>
  <c r="CR236" i="9" s="1"/>
  <c r="CS236" i="9" s="1"/>
  <c r="EU228" i="9"/>
  <c r="EW228" i="9" s="1"/>
  <c r="EX228" i="9" s="1"/>
  <c r="EU220" i="9"/>
  <c r="EW220" i="9" s="1"/>
  <c r="EX220" i="9" s="1"/>
  <c r="EU212" i="9"/>
  <c r="EW212" i="9" s="1"/>
  <c r="EX212" i="9" s="1"/>
  <c r="DI231" i="9"/>
  <c r="DK231" i="9" s="1"/>
  <c r="DL231" i="9" s="1"/>
  <c r="DI223" i="9"/>
  <c r="DK223" i="9" s="1"/>
  <c r="DL223" i="9" s="1"/>
  <c r="DI215" i="9"/>
  <c r="DK215" i="9" s="1"/>
  <c r="DL215" i="9" s="1"/>
  <c r="DI207" i="9"/>
  <c r="DK207" i="9" s="1"/>
  <c r="DL207" i="9" s="1"/>
  <c r="BD231" i="9"/>
  <c r="BF231" i="9" s="1"/>
  <c r="BG231" i="9" s="1"/>
  <c r="BD223" i="9"/>
  <c r="BF223" i="9" s="1"/>
  <c r="BG223" i="9" s="1"/>
  <c r="BD215" i="9"/>
  <c r="BF215" i="9" s="1"/>
  <c r="BG215" i="9" s="1"/>
  <c r="BD207" i="9"/>
  <c r="BF207" i="9" s="1"/>
  <c r="BG207" i="9" s="1"/>
  <c r="EB228" i="9"/>
  <c r="ED228" i="9" s="1"/>
  <c r="EE228" i="9" s="1"/>
  <c r="EB220" i="9"/>
  <c r="ED220" i="9" s="1"/>
  <c r="EE220" i="9" s="1"/>
  <c r="EB212" i="9"/>
  <c r="ED212" i="9" s="1"/>
  <c r="EE212" i="9" s="1"/>
  <c r="EU216" i="9"/>
  <c r="EW216" i="9" s="1"/>
  <c r="EX216" i="9" s="1"/>
  <c r="EU199" i="9"/>
  <c r="EW199" i="9" s="1"/>
  <c r="EX199" i="9" s="1"/>
  <c r="EU191" i="9"/>
  <c r="EW191" i="9" s="1"/>
  <c r="EX191" i="9" s="1"/>
  <c r="EU183" i="9"/>
  <c r="EW183" i="9" s="1"/>
  <c r="EX183" i="9" s="1"/>
  <c r="AK206" i="9"/>
  <c r="AM206" i="9" s="1"/>
  <c r="AN206" i="9" s="1"/>
  <c r="AK198" i="9"/>
  <c r="AM198" i="9" s="1"/>
  <c r="AN198" i="9" s="1"/>
  <c r="AK190" i="9"/>
  <c r="AM190" i="9" s="1"/>
  <c r="AN190" i="9" s="1"/>
  <c r="AK182" i="9"/>
  <c r="AM182" i="9" s="1"/>
  <c r="AN182" i="9" s="1"/>
  <c r="EB221" i="9"/>
  <c r="ED221" i="9" s="1"/>
  <c r="EE221" i="9" s="1"/>
  <c r="DI203" i="9"/>
  <c r="DK203" i="9" s="1"/>
  <c r="DL203" i="9" s="1"/>
  <c r="DI195" i="9"/>
  <c r="DK195" i="9" s="1"/>
  <c r="DL195" i="9" s="1"/>
  <c r="DI187" i="9"/>
  <c r="DK187" i="9" s="1"/>
  <c r="DL187" i="9" s="1"/>
  <c r="DI179" i="9"/>
  <c r="DK179" i="9" s="1"/>
  <c r="DL179" i="9" s="1"/>
  <c r="BW220" i="9"/>
  <c r="BY220" i="9" s="1"/>
  <c r="BZ220" i="9" s="1"/>
  <c r="AK200" i="9"/>
  <c r="AM200" i="9" s="1"/>
  <c r="AN200" i="9" s="1"/>
  <c r="AK192" i="9"/>
  <c r="AM192" i="9" s="1"/>
  <c r="AN192" i="9" s="1"/>
  <c r="AK184" i="9"/>
  <c r="AM184" i="9" s="1"/>
  <c r="AN184" i="9" s="1"/>
  <c r="BW228" i="9"/>
  <c r="BY228" i="9" s="1"/>
  <c r="BZ228" i="9" s="1"/>
  <c r="AK201" i="9"/>
  <c r="AM201" i="9" s="1"/>
  <c r="AN201" i="9" s="1"/>
  <c r="AK193" i="9"/>
  <c r="AM193" i="9" s="1"/>
  <c r="AN193" i="9" s="1"/>
  <c r="AK185" i="9"/>
  <c r="AM185" i="9" s="1"/>
  <c r="AN185" i="9" s="1"/>
  <c r="BW212" i="9"/>
  <c r="BY212" i="9" s="1"/>
  <c r="BZ212" i="9" s="1"/>
  <c r="EB201" i="9"/>
  <c r="ED201" i="9" s="1"/>
  <c r="EE201" i="9" s="1"/>
  <c r="EB193" i="9"/>
  <c r="ED193" i="9" s="1"/>
  <c r="EE193" i="9" s="1"/>
  <c r="EB185" i="9"/>
  <c r="ED185" i="9" s="1"/>
  <c r="EE185" i="9" s="1"/>
  <c r="R211" i="9"/>
  <c r="T211" i="9" s="1"/>
  <c r="U211" i="9" s="1"/>
  <c r="BW201" i="9"/>
  <c r="BY201" i="9" s="1"/>
  <c r="BZ201" i="9" s="1"/>
  <c r="BW193" i="9"/>
  <c r="BY193" i="9" s="1"/>
  <c r="BZ193" i="9" s="1"/>
  <c r="BW185" i="9"/>
  <c r="BY185" i="9" s="1"/>
  <c r="BZ185" i="9" s="1"/>
  <c r="EU178" i="9"/>
  <c r="EW178" i="9" s="1"/>
  <c r="EX178" i="9" s="1"/>
  <c r="EU170" i="9"/>
  <c r="EW170" i="9" s="1"/>
  <c r="EX170" i="9" s="1"/>
  <c r="BW175" i="9"/>
  <c r="BY175" i="9" s="1"/>
  <c r="BZ175" i="9" s="1"/>
  <c r="BD174" i="9"/>
  <c r="BF174" i="9" s="1"/>
  <c r="BG174" i="9" s="1"/>
  <c r="BD166" i="9"/>
  <c r="BF166" i="9" s="1"/>
  <c r="BG166" i="9" s="1"/>
  <c r="BD158" i="9"/>
  <c r="BF158" i="9" s="1"/>
  <c r="BG158" i="9" s="1"/>
  <c r="EB203" i="9"/>
  <c r="ED203" i="9" s="1"/>
  <c r="EE203" i="9" s="1"/>
  <c r="EU174" i="9"/>
  <c r="EW174" i="9" s="1"/>
  <c r="EX174" i="9" s="1"/>
  <c r="EU166" i="9"/>
  <c r="EW166" i="9" s="1"/>
  <c r="EX166" i="9" s="1"/>
  <c r="EU158" i="9"/>
  <c r="EW158" i="9" s="1"/>
  <c r="EX158" i="9" s="1"/>
  <c r="EB209" i="9"/>
  <c r="ED209" i="9" s="1"/>
  <c r="EE209" i="9" s="1"/>
  <c r="CP174" i="9"/>
  <c r="CR174" i="9" s="1"/>
  <c r="CS174" i="9" s="1"/>
  <c r="CP166" i="9"/>
  <c r="CR166" i="9" s="1"/>
  <c r="CS166" i="9" s="1"/>
  <c r="CP158" i="9"/>
  <c r="CR158" i="9" s="1"/>
  <c r="CS158" i="9" s="1"/>
  <c r="EU206" i="9"/>
  <c r="EW206" i="9" s="1"/>
  <c r="EX206" i="9" s="1"/>
  <c r="EB173" i="9"/>
  <c r="ED173" i="9" s="1"/>
  <c r="EE173" i="9" s="1"/>
  <c r="EB165" i="9"/>
  <c r="ED165" i="9" s="1"/>
  <c r="EE165" i="9" s="1"/>
  <c r="EB157" i="9"/>
  <c r="ED157" i="9" s="1"/>
  <c r="EE157" i="9" s="1"/>
  <c r="BW165" i="9"/>
  <c r="BY165" i="9" s="1"/>
  <c r="BZ165" i="9" s="1"/>
  <c r="BW148" i="9"/>
  <c r="BY148" i="9" s="1"/>
  <c r="BZ148" i="9" s="1"/>
  <c r="BW140" i="9"/>
  <c r="BY140" i="9" s="1"/>
  <c r="BZ140" i="9" s="1"/>
  <c r="EU182" i="9"/>
  <c r="EW182" i="9" s="1"/>
  <c r="EX182" i="9" s="1"/>
  <c r="CP160" i="9"/>
  <c r="CR160" i="9" s="1"/>
  <c r="CS160" i="9" s="1"/>
  <c r="DI147" i="9"/>
  <c r="DK147" i="9" s="1"/>
  <c r="DL147" i="9" s="1"/>
  <c r="DI139" i="9"/>
  <c r="DK139" i="9" s="1"/>
  <c r="DL139" i="9" s="1"/>
  <c r="R185" i="9"/>
  <c r="T185" i="9" s="1"/>
  <c r="U185" i="9" s="1"/>
  <c r="R158" i="9"/>
  <c r="T158" i="9" s="1"/>
  <c r="U158" i="9" s="1"/>
  <c r="DI148" i="9"/>
  <c r="DK148" i="9" s="1"/>
  <c r="DL148" i="9" s="1"/>
  <c r="DI140" i="9"/>
  <c r="DK140" i="9" s="1"/>
  <c r="DL140" i="9" s="1"/>
  <c r="DI184" i="9"/>
  <c r="DK184" i="9" s="1"/>
  <c r="DL184" i="9" s="1"/>
  <c r="DI151" i="9"/>
  <c r="DK151" i="9" s="1"/>
  <c r="DL151" i="9" s="1"/>
  <c r="EB145" i="9"/>
  <c r="ED145" i="9" s="1"/>
  <c r="EE145" i="9" s="1"/>
  <c r="EB137" i="9"/>
  <c r="ED137" i="9" s="1"/>
  <c r="EE137" i="9" s="1"/>
  <c r="AK170" i="9"/>
  <c r="AM170" i="9" s="1"/>
  <c r="AN170" i="9" s="1"/>
  <c r="DI145" i="9"/>
  <c r="DK145" i="9" s="1"/>
  <c r="DL145" i="9" s="1"/>
  <c r="BD130" i="9"/>
  <c r="BF130" i="9" s="1"/>
  <c r="BG130" i="9" s="1"/>
  <c r="BD122" i="9"/>
  <c r="BF122" i="9" s="1"/>
  <c r="BG122" i="9" s="1"/>
  <c r="R172" i="9"/>
  <c r="T172" i="9" s="1"/>
  <c r="U172" i="9" s="1"/>
  <c r="R155" i="9"/>
  <c r="T155" i="9" s="1"/>
  <c r="U155" i="9" s="1"/>
  <c r="DI141" i="9"/>
  <c r="DK141" i="9" s="1"/>
  <c r="DL141" i="9" s="1"/>
  <c r="AK128" i="9"/>
  <c r="AM128" i="9" s="1"/>
  <c r="AN128" i="9" s="1"/>
  <c r="AK120" i="9"/>
  <c r="AM120" i="9" s="1"/>
  <c r="AN120" i="9" s="1"/>
  <c r="BD172" i="9"/>
  <c r="BF172" i="9" s="1"/>
  <c r="BG172" i="9" s="1"/>
  <c r="BD148" i="9"/>
  <c r="BF148" i="9" s="1"/>
  <c r="BG148" i="9" s="1"/>
  <c r="EU131" i="9"/>
  <c r="EW131" i="9" s="1"/>
  <c r="EX131" i="9" s="1"/>
  <c r="EU123" i="9"/>
  <c r="EW123" i="9" s="1"/>
  <c r="EX123" i="9" s="1"/>
  <c r="CP141" i="9"/>
  <c r="CR141" i="9" s="1"/>
  <c r="CS141" i="9" s="1"/>
  <c r="DI126" i="9"/>
  <c r="DK126" i="9" s="1"/>
  <c r="DL126" i="9" s="1"/>
  <c r="DI118" i="9"/>
  <c r="DK118" i="9" s="1"/>
  <c r="DL118" i="9" s="1"/>
  <c r="EB160" i="9"/>
  <c r="ED160" i="9" s="1"/>
  <c r="EE160" i="9" s="1"/>
  <c r="EU147" i="9"/>
  <c r="EW147" i="9" s="1"/>
  <c r="EX147" i="9" s="1"/>
  <c r="CP134" i="9"/>
  <c r="CR134" i="9" s="1"/>
  <c r="CS134" i="9" s="1"/>
  <c r="EU125" i="9"/>
  <c r="EW125" i="9" s="1"/>
  <c r="EX125" i="9" s="1"/>
  <c r="EU117" i="9"/>
  <c r="EW117" i="9" s="1"/>
  <c r="EX117" i="9" s="1"/>
  <c r="EB148" i="9"/>
  <c r="ED148" i="9" s="1"/>
  <c r="EE148" i="9" s="1"/>
  <c r="EU133" i="9"/>
  <c r="EW133" i="9" s="1"/>
  <c r="EX133" i="9" s="1"/>
  <c r="BD127" i="9"/>
  <c r="BF127" i="9" s="1"/>
  <c r="BG127" i="9" s="1"/>
  <c r="BD119" i="9"/>
  <c r="BF119" i="9" s="1"/>
  <c r="BG119" i="9" s="1"/>
  <c r="BD134" i="9"/>
  <c r="BF134" i="9" s="1"/>
  <c r="BG134" i="9" s="1"/>
  <c r="AK114" i="9"/>
  <c r="AM114" i="9" s="1"/>
  <c r="AN114" i="9" s="1"/>
  <c r="EU120" i="9"/>
  <c r="EW120" i="9" s="1"/>
  <c r="EX120" i="9" s="1"/>
  <c r="CP108" i="9"/>
  <c r="CR108" i="9" s="1"/>
  <c r="CS108" i="9" s="1"/>
  <c r="CP100" i="9"/>
  <c r="CR100" i="9" s="1"/>
  <c r="CS100" i="9" s="1"/>
  <c r="EU143" i="9"/>
  <c r="EW143" i="9" s="1"/>
  <c r="EX143" i="9" s="1"/>
  <c r="DI112" i="9"/>
  <c r="DK112" i="9" s="1"/>
  <c r="DL112" i="9" s="1"/>
  <c r="DI104" i="9"/>
  <c r="DK104" i="9" s="1"/>
  <c r="DL104" i="9" s="1"/>
  <c r="DI96" i="9"/>
  <c r="DK96" i="9" s="1"/>
  <c r="DL96" i="9" s="1"/>
  <c r="R122" i="9"/>
  <c r="T122" i="9" s="1"/>
  <c r="U122" i="9" s="1"/>
  <c r="BD113" i="9"/>
  <c r="BF113" i="9" s="1"/>
  <c r="BG113" i="9" s="1"/>
  <c r="BD105" i="9"/>
  <c r="BF105" i="9" s="1"/>
  <c r="BG105" i="9" s="1"/>
  <c r="BD97" i="9"/>
  <c r="BF97" i="9" s="1"/>
  <c r="BG97" i="9" s="1"/>
  <c r="BD143" i="9"/>
  <c r="BF143" i="9" s="1"/>
  <c r="BG143" i="9" s="1"/>
  <c r="CP119" i="9"/>
  <c r="CR119" i="9" s="1"/>
  <c r="CS119" i="9" s="1"/>
  <c r="EB110" i="9"/>
  <c r="ED110" i="9" s="1"/>
  <c r="EE110" i="9" s="1"/>
  <c r="EB102" i="9"/>
  <c r="ED102" i="9" s="1"/>
  <c r="EE102" i="9" s="1"/>
  <c r="EB94" i="9"/>
  <c r="ED94" i="9" s="1"/>
  <c r="EE94" i="9" s="1"/>
  <c r="BD112" i="9"/>
  <c r="BF112" i="9" s="1"/>
  <c r="BG112" i="9" s="1"/>
  <c r="R95" i="9"/>
  <c r="T95" i="9" s="1"/>
  <c r="U95" i="9" s="1"/>
  <c r="DI85" i="9"/>
  <c r="DK85" i="9" s="1"/>
  <c r="DL85" i="9" s="1"/>
  <c r="DI77" i="9"/>
  <c r="DK77" i="9" s="1"/>
  <c r="DL77" i="9" s="1"/>
  <c r="DI69" i="9"/>
  <c r="DK69" i="9" s="1"/>
  <c r="DL69" i="9" s="1"/>
  <c r="DI61" i="9"/>
  <c r="DK61" i="9" s="1"/>
  <c r="DL61" i="9" s="1"/>
  <c r="DI53" i="9"/>
  <c r="DK53" i="9" s="1"/>
  <c r="DL53" i="9" s="1"/>
  <c r="DI45" i="9"/>
  <c r="DK45" i="9" s="1"/>
  <c r="DL45" i="9" s="1"/>
  <c r="DI102" i="9"/>
  <c r="DK102" i="9" s="1"/>
  <c r="DL102" i="9" s="1"/>
  <c r="AK90" i="9"/>
  <c r="AM90" i="9" s="1"/>
  <c r="AN90" i="9" s="1"/>
  <c r="AK82" i="9"/>
  <c r="AM82" i="9" s="1"/>
  <c r="AN82" i="9" s="1"/>
  <c r="AK74" i="9"/>
  <c r="AM74" i="9" s="1"/>
  <c r="AN74" i="9" s="1"/>
  <c r="AK66" i="9"/>
  <c r="AM66" i="9" s="1"/>
  <c r="AN66" i="9" s="1"/>
  <c r="AK58" i="9"/>
  <c r="AM58" i="9" s="1"/>
  <c r="AN58" i="9" s="1"/>
  <c r="AK50" i="9"/>
  <c r="AM50" i="9" s="1"/>
  <c r="AN50" i="9" s="1"/>
  <c r="EU114" i="9"/>
  <c r="EW114" i="9" s="1"/>
  <c r="EX114" i="9" s="1"/>
  <c r="BW99" i="9"/>
  <c r="BY99" i="9" s="1"/>
  <c r="BZ99" i="9" s="1"/>
  <c r="EU85" i="9"/>
  <c r="EW85" i="9" s="1"/>
  <c r="EX85" i="9" s="1"/>
  <c r="EU77" i="9"/>
  <c r="EW77" i="9" s="1"/>
  <c r="EX77" i="9" s="1"/>
  <c r="EU69" i="9"/>
  <c r="EW69" i="9" s="1"/>
  <c r="EX69" i="9" s="1"/>
  <c r="EU61" i="9"/>
  <c r="EW61" i="9" s="1"/>
  <c r="EX61" i="9" s="1"/>
  <c r="EU53" i="9"/>
  <c r="EW53" i="9" s="1"/>
  <c r="EX53" i="9" s="1"/>
  <c r="BD165" i="9"/>
  <c r="BF165" i="9" s="1"/>
  <c r="BG165" i="9" s="1"/>
  <c r="BW104" i="9"/>
  <c r="BY104" i="9" s="1"/>
  <c r="BZ104" i="9" s="1"/>
  <c r="EB93" i="9"/>
  <c r="ED93" i="9" s="1"/>
  <c r="EE93" i="9" s="1"/>
  <c r="BD87" i="9"/>
  <c r="BF87" i="9" s="1"/>
  <c r="BG87" i="9" s="1"/>
  <c r="BD79" i="9"/>
  <c r="BF79" i="9" s="1"/>
  <c r="BG79" i="9" s="1"/>
  <c r="BD71" i="9"/>
  <c r="BF71" i="9" s="1"/>
  <c r="BG71" i="9" s="1"/>
  <c r="BD63" i="9"/>
  <c r="BF63" i="9" s="1"/>
  <c r="BG63" i="9" s="1"/>
  <c r="BD55" i="9"/>
  <c r="BF55" i="9" s="1"/>
  <c r="BG55" i="9" s="1"/>
  <c r="BD47" i="9"/>
  <c r="BF47" i="9" s="1"/>
  <c r="BG47" i="9" s="1"/>
  <c r="EU111" i="9"/>
  <c r="EW111" i="9" s="1"/>
  <c r="EX111" i="9" s="1"/>
  <c r="CP94" i="9"/>
  <c r="CR94" i="9" s="1"/>
  <c r="CS94" i="9" s="1"/>
  <c r="EB84" i="9"/>
  <c r="ED84" i="9" s="1"/>
  <c r="EE84" i="9" s="1"/>
  <c r="EB76" i="9"/>
  <c r="ED76" i="9" s="1"/>
  <c r="EE76" i="9" s="1"/>
  <c r="EB68" i="9"/>
  <c r="ED68" i="9" s="1"/>
  <c r="EE68" i="9" s="1"/>
  <c r="EB60" i="9"/>
  <c r="ED60" i="9" s="1"/>
  <c r="EE60" i="9" s="1"/>
  <c r="EB52" i="9"/>
  <c r="ED52" i="9" s="1"/>
  <c r="EE52" i="9" s="1"/>
  <c r="EB44" i="9"/>
  <c r="ED44" i="9" s="1"/>
  <c r="EE44" i="9" s="1"/>
  <c r="EB104" i="9"/>
  <c r="ED104" i="9" s="1"/>
  <c r="EE104" i="9" s="1"/>
  <c r="R92" i="9"/>
  <c r="T92" i="9" s="1"/>
  <c r="U92" i="9" s="1"/>
  <c r="DI113" i="9"/>
  <c r="DK113" i="9" s="1"/>
  <c r="DL113" i="9" s="1"/>
  <c r="BW14" i="9"/>
  <c r="BY14" i="9" s="1"/>
  <c r="BZ14" i="9" s="1"/>
  <c r="CP17" i="9"/>
  <c r="CR17" i="9" s="1"/>
  <c r="CS17" i="9" s="1"/>
  <c r="R21" i="9"/>
  <c r="T21" i="9" s="1"/>
  <c r="U21" i="9" s="1"/>
  <c r="AK24" i="9"/>
  <c r="AM24" i="9" s="1"/>
  <c r="AN24" i="9" s="1"/>
  <c r="EB31" i="9"/>
  <c r="ED31" i="9" s="1"/>
  <c r="EE31" i="9" s="1"/>
  <c r="EU44" i="9"/>
  <c r="EW44" i="9" s="1"/>
  <c r="EX44" i="9" s="1"/>
  <c r="CP80" i="9"/>
  <c r="CR80" i="9" s="1"/>
  <c r="CS80" i="9" s="1"/>
  <c r="EU90" i="9"/>
  <c r="EW90" i="9" s="1"/>
  <c r="EX90" i="9" s="1"/>
  <c r="DI19" i="9"/>
  <c r="DK19" i="9" s="1"/>
  <c r="DL19" i="9" s="1"/>
  <c r="BD26" i="9"/>
  <c r="BF26" i="9" s="1"/>
  <c r="BG26" i="9" s="1"/>
  <c r="BD34" i="9"/>
  <c r="BF34" i="9" s="1"/>
  <c r="BG34" i="9" s="1"/>
  <c r="BW44" i="9"/>
  <c r="BY44" i="9" s="1"/>
  <c r="BZ44" i="9" s="1"/>
  <c r="R77" i="9"/>
  <c r="T77" i="9" s="1"/>
  <c r="U77" i="9" s="1"/>
  <c r="R91" i="9"/>
  <c r="T91" i="9" s="1"/>
  <c r="U91" i="9" s="1"/>
  <c r="BD25" i="9"/>
  <c r="BF25" i="9" s="1"/>
  <c r="BG25" i="9" s="1"/>
  <c r="DI34" i="9"/>
  <c r="DK34" i="9" s="1"/>
  <c r="DL34" i="9" s="1"/>
  <c r="EU40" i="9"/>
  <c r="EW40" i="9" s="1"/>
  <c r="EX40" i="9" s="1"/>
  <c r="R53" i="9"/>
  <c r="T53" i="9" s="1"/>
  <c r="U53" i="9" s="1"/>
  <c r="EU72" i="9"/>
  <c r="EW72" i="9" s="1"/>
  <c r="EX72" i="9" s="1"/>
  <c r="BD16" i="9"/>
  <c r="BF16" i="9" s="1"/>
  <c r="BG16" i="9" s="1"/>
  <c r="CP22" i="9"/>
  <c r="CR22" i="9" s="1"/>
  <c r="CS22" i="9" s="1"/>
  <c r="AK29" i="9"/>
  <c r="AM29" i="9" s="1"/>
  <c r="AN29" i="9" s="1"/>
  <c r="AK43" i="9"/>
  <c r="AM43" i="9" s="1"/>
  <c r="AN43" i="9" s="1"/>
  <c r="CP65" i="9"/>
  <c r="CR65" i="9" s="1"/>
  <c r="CS65" i="9" s="1"/>
  <c r="R296" i="9"/>
  <c r="T296" i="9" s="1"/>
  <c r="U296" i="9" s="1"/>
  <c r="EB232" i="9"/>
  <c r="ED232" i="9" s="1"/>
  <c r="EE232" i="9" s="1"/>
  <c r="DI162" i="9"/>
  <c r="DK162" i="9" s="1"/>
  <c r="DL162" i="9" s="1"/>
  <c r="DI107" i="9"/>
  <c r="DK107" i="9" s="1"/>
  <c r="DL107" i="9" s="1"/>
  <c r="EB39" i="9"/>
  <c r="ED39" i="9" s="1"/>
  <c r="EE39" i="9" s="1"/>
  <c r="EU363" i="9"/>
  <c r="EW363" i="9" s="1"/>
  <c r="EX363" i="9" s="1"/>
  <c r="BD354" i="9"/>
  <c r="BF354" i="9" s="1"/>
  <c r="BG354" i="9" s="1"/>
  <c r="EB346" i="9"/>
  <c r="ED346" i="9" s="1"/>
  <c r="EE346" i="9" s="1"/>
  <c r="BW343" i="9"/>
  <c r="BY343" i="9" s="1"/>
  <c r="BZ343" i="9" s="1"/>
  <c r="CP332" i="9"/>
  <c r="CR332" i="9" s="1"/>
  <c r="CS332" i="9" s="1"/>
  <c r="EU321" i="9"/>
  <c r="EW321" i="9" s="1"/>
  <c r="EX321" i="9" s="1"/>
  <c r="DI316" i="9"/>
  <c r="DK316" i="9" s="1"/>
  <c r="DL316" i="9" s="1"/>
  <c r="DI324" i="9"/>
  <c r="DK324" i="9" s="1"/>
  <c r="DL324" i="9" s="1"/>
  <c r="CP334" i="9"/>
  <c r="CR334" i="9" s="1"/>
  <c r="CS334" i="9" s="1"/>
  <c r="EU312" i="9"/>
  <c r="EW312" i="9" s="1"/>
  <c r="EX312" i="9" s="1"/>
  <c r="CP314" i="9"/>
  <c r="CR314" i="9" s="1"/>
  <c r="CS314" i="9" s="1"/>
  <c r="BD309" i="9"/>
  <c r="BF309" i="9" s="1"/>
  <c r="BG309" i="9" s="1"/>
  <c r="EB311" i="9"/>
  <c r="ED311" i="9" s="1"/>
  <c r="EE311" i="9" s="1"/>
  <c r="DI303" i="9"/>
  <c r="DK303" i="9" s="1"/>
  <c r="DL303" i="9" s="1"/>
  <c r="BD311" i="9"/>
  <c r="BF311" i="9" s="1"/>
  <c r="BG311" i="9" s="1"/>
  <c r="BD303" i="9"/>
  <c r="BF303" i="9" s="1"/>
  <c r="BG303" i="9" s="1"/>
  <c r="BW307" i="9"/>
  <c r="BY307" i="9" s="1"/>
  <c r="BZ307" i="9" s="1"/>
  <c r="DI319" i="9"/>
  <c r="DK319" i="9" s="1"/>
  <c r="DL319" i="9" s="1"/>
  <c r="BD305" i="9"/>
  <c r="BF305" i="9" s="1"/>
  <c r="BG305" i="9" s="1"/>
  <c r="AK311" i="9"/>
  <c r="AM311" i="9" s="1"/>
  <c r="AN311" i="9" s="1"/>
  <c r="AK303" i="9"/>
  <c r="AM303" i="9" s="1"/>
  <c r="AN303" i="9" s="1"/>
  <c r="EB303" i="9"/>
  <c r="ED303" i="9" s="1"/>
  <c r="EE303" i="9" s="1"/>
  <c r="DI292" i="9"/>
  <c r="DK292" i="9" s="1"/>
  <c r="DL292" i="9" s="1"/>
  <c r="AK297" i="9"/>
  <c r="AM297" i="9" s="1"/>
  <c r="AN297" i="9" s="1"/>
  <c r="AK289" i="9"/>
  <c r="AM289" i="9" s="1"/>
  <c r="AN289" i="9" s="1"/>
  <c r="AK298" i="9"/>
  <c r="AM298" i="9" s="1"/>
  <c r="AN298" i="9" s="1"/>
  <c r="AK290" i="9"/>
  <c r="AM290" i="9" s="1"/>
  <c r="AN290" i="9" s="1"/>
  <c r="EB298" i="9"/>
  <c r="ED298" i="9" s="1"/>
  <c r="EE298" i="9" s="1"/>
  <c r="EB290" i="9"/>
  <c r="ED290" i="9" s="1"/>
  <c r="EE290" i="9" s="1"/>
  <c r="BD295" i="9"/>
  <c r="BF295" i="9" s="1"/>
  <c r="BG295" i="9" s="1"/>
  <c r="DI309" i="9"/>
  <c r="DK309" i="9" s="1"/>
  <c r="DL309" i="9" s="1"/>
  <c r="EU296" i="9"/>
  <c r="EW296" i="9" s="1"/>
  <c r="EX296" i="9" s="1"/>
  <c r="R287" i="9"/>
  <c r="T287" i="9" s="1"/>
  <c r="U287" i="9" s="1"/>
  <c r="BD289" i="9"/>
  <c r="BF289" i="9" s="1"/>
  <c r="BG289" i="9" s="1"/>
  <c r="EB282" i="9"/>
  <c r="ED282" i="9" s="1"/>
  <c r="EE282" i="9" s="1"/>
  <c r="CP285" i="9"/>
  <c r="CR285" i="9" s="1"/>
  <c r="CS285" i="9" s="1"/>
  <c r="CP286" i="9"/>
  <c r="CR286" i="9" s="1"/>
  <c r="CS286" i="9" s="1"/>
  <c r="BW299" i="9"/>
  <c r="BY299" i="9" s="1"/>
  <c r="BZ299" i="9" s="1"/>
  <c r="BW286" i="9"/>
  <c r="BY286" i="9" s="1"/>
  <c r="BZ286" i="9" s="1"/>
  <c r="CP294" i="9"/>
  <c r="CR294" i="9" s="1"/>
  <c r="CS294" i="9" s="1"/>
  <c r="EB276" i="9"/>
  <c r="ED276" i="9" s="1"/>
  <c r="EE276" i="9" s="1"/>
  <c r="BD288" i="9"/>
  <c r="BF288" i="9" s="1"/>
  <c r="BG288" i="9" s="1"/>
  <c r="EB277" i="9"/>
  <c r="ED277" i="9" s="1"/>
  <c r="EE277" i="9" s="1"/>
  <c r="EB269" i="9"/>
  <c r="ED269" i="9" s="1"/>
  <c r="EE269" i="9" s="1"/>
  <c r="AK279" i="9"/>
  <c r="AM279" i="9" s="1"/>
  <c r="AN279" i="9" s="1"/>
  <c r="AK271" i="9"/>
  <c r="AM271" i="9" s="1"/>
  <c r="AN271" i="9" s="1"/>
  <c r="DI276" i="9"/>
  <c r="DK276" i="9" s="1"/>
  <c r="DL276" i="9" s="1"/>
  <c r="BW288" i="9"/>
  <c r="BY288" i="9" s="1"/>
  <c r="BZ288" i="9" s="1"/>
  <c r="BD276" i="9"/>
  <c r="BF276" i="9" s="1"/>
  <c r="BG276" i="9" s="1"/>
  <c r="EU277" i="9"/>
  <c r="EW277" i="9" s="1"/>
  <c r="EX277" i="9" s="1"/>
  <c r="EU278" i="9"/>
  <c r="EW278" i="9" s="1"/>
  <c r="EX278" i="9" s="1"/>
  <c r="EB268" i="9"/>
  <c r="ED268" i="9" s="1"/>
  <c r="EE268" i="9" s="1"/>
  <c r="EB260" i="9"/>
  <c r="ED260" i="9" s="1"/>
  <c r="EE260" i="9" s="1"/>
  <c r="DI266" i="9"/>
  <c r="DK266" i="9" s="1"/>
  <c r="DL266" i="9" s="1"/>
  <c r="BW293" i="9"/>
  <c r="BY293" i="9" s="1"/>
  <c r="BZ293" i="9" s="1"/>
  <c r="CP264" i="9"/>
  <c r="CR264" i="9" s="1"/>
  <c r="CS264" i="9" s="1"/>
  <c r="BD282" i="9"/>
  <c r="BF282" i="9" s="1"/>
  <c r="BG282" i="9" s="1"/>
  <c r="DI270" i="9"/>
  <c r="DK270" i="9" s="1"/>
  <c r="DL270" i="9" s="1"/>
  <c r="AK264" i="9"/>
  <c r="AM264" i="9" s="1"/>
  <c r="AN264" i="9" s="1"/>
  <c r="BD268" i="9"/>
  <c r="BF268" i="9" s="1"/>
  <c r="BG268" i="9" s="1"/>
  <c r="BD260" i="9"/>
  <c r="BF260" i="9" s="1"/>
  <c r="BG260" i="9" s="1"/>
  <c r="CP267" i="9"/>
  <c r="CR267" i="9" s="1"/>
  <c r="CS267" i="9" s="1"/>
  <c r="CP259" i="9"/>
  <c r="CR259" i="9" s="1"/>
  <c r="CS259" i="9" s="1"/>
  <c r="BW254" i="9"/>
  <c r="BY254" i="9" s="1"/>
  <c r="BZ254" i="9" s="1"/>
  <c r="CP275" i="9"/>
  <c r="CR275" i="9" s="1"/>
  <c r="CS275" i="9" s="1"/>
  <c r="R254" i="9"/>
  <c r="T254" i="9" s="1"/>
  <c r="U254" i="9" s="1"/>
  <c r="BW272" i="9"/>
  <c r="BY272" i="9" s="1"/>
  <c r="BZ272" i="9" s="1"/>
  <c r="DI254" i="9"/>
  <c r="DK254" i="9" s="1"/>
  <c r="DL254" i="9" s="1"/>
  <c r="CP277" i="9"/>
  <c r="CR277" i="9" s="1"/>
  <c r="CS277" i="9" s="1"/>
  <c r="EU253" i="9"/>
  <c r="EW253" i="9" s="1"/>
  <c r="EX253" i="9" s="1"/>
  <c r="EB266" i="9"/>
  <c r="ED266" i="9" s="1"/>
  <c r="EE266" i="9" s="1"/>
  <c r="EB251" i="9"/>
  <c r="ED251" i="9" s="1"/>
  <c r="EE251" i="9" s="1"/>
  <c r="CP260" i="9"/>
  <c r="CR260" i="9" s="1"/>
  <c r="CS260" i="9" s="1"/>
  <c r="R251" i="9"/>
  <c r="T251" i="9" s="1"/>
  <c r="U251" i="9" s="1"/>
  <c r="AK245" i="9"/>
  <c r="AM245" i="9" s="1"/>
  <c r="AN245" i="9" s="1"/>
  <c r="AK237" i="9"/>
  <c r="AM237" i="9" s="1"/>
  <c r="AN237" i="9" s="1"/>
  <c r="AK246" i="9"/>
  <c r="AM246" i="9" s="1"/>
  <c r="AN246" i="9" s="1"/>
  <c r="AK238" i="9"/>
  <c r="AM238" i="9" s="1"/>
  <c r="AN238" i="9" s="1"/>
  <c r="DI249" i="9"/>
  <c r="DK249" i="9" s="1"/>
  <c r="DL249" i="9" s="1"/>
  <c r="EB238" i="9"/>
  <c r="ED238" i="9" s="1"/>
  <c r="EE238" i="9" s="1"/>
  <c r="R245" i="9"/>
  <c r="T245" i="9" s="1"/>
  <c r="U245" i="9" s="1"/>
  <c r="R237" i="9"/>
  <c r="T237" i="9" s="1"/>
  <c r="U237" i="9" s="1"/>
  <c r="R246" i="9"/>
  <c r="T246" i="9" s="1"/>
  <c r="U246" i="9" s="1"/>
  <c r="R238" i="9"/>
  <c r="T238" i="9" s="1"/>
  <c r="U238" i="9" s="1"/>
  <c r="BD245" i="9"/>
  <c r="BF245" i="9" s="1"/>
  <c r="BG245" i="9" s="1"/>
  <c r="EU245" i="9"/>
  <c r="EW245" i="9" s="1"/>
  <c r="EX245" i="9" s="1"/>
  <c r="EU238" i="9"/>
  <c r="EW238" i="9" s="1"/>
  <c r="EX238" i="9" s="1"/>
  <c r="R228" i="9"/>
  <c r="T228" i="9" s="1"/>
  <c r="U228" i="9" s="1"/>
  <c r="R220" i="9"/>
  <c r="T220" i="9" s="1"/>
  <c r="U220" i="9" s="1"/>
  <c r="R212" i="9"/>
  <c r="T212" i="9" s="1"/>
  <c r="U212" i="9" s="1"/>
  <c r="CP233" i="9"/>
  <c r="CR233" i="9" s="1"/>
  <c r="CS233" i="9" s="1"/>
  <c r="CP225" i="9"/>
  <c r="CR225" i="9" s="1"/>
  <c r="CS225" i="9" s="1"/>
  <c r="CP217" i="9"/>
  <c r="CR217" i="9" s="1"/>
  <c r="CS217" i="9" s="1"/>
  <c r="CP209" i="9"/>
  <c r="CR209" i="9" s="1"/>
  <c r="CS209" i="9" s="1"/>
  <c r="CP234" i="9"/>
  <c r="CR234" i="9" s="1"/>
  <c r="CS234" i="9" s="1"/>
  <c r="CP226" i="9"/>
  <c r="CR226" i="9" s="1"/>
  <c r="CS226" i="9" s="1"/>
  <c r="CP218" i="9"/>
  <c r="CR218" i="9" s="1"/>
  <c r="CS218" i="9" s="1"/>
  <c r="CP210" i="9"/>
  <c r="CR210" i="9" s="1"/>
  <c r="CS210" i="9" s="1"/>
  <c r="EU234" i="9"/>
  <c r="EW234" i="9" s="1"/>
  <c r="EX234" i="9" s="1"/>
  <c r="CP227" i="9"/>
  <c r="CR227" i="9" s="1"/>
  <c r="CS227" i="9" s="1"/>
  <c r="CP219" i="9"/>
  <c r="CR219" i="9" s="1"/>
  <c r="CS219" i="9" s="1"/>
  <c r="CP211" i="9"/>
  <c r="CR211" i="9" s="1"/>
  <c r="CS211" i="9" s="1"/>
  <c r="BD230" i="9"/>
  <c r="BF230" i="9" s="1"/>
  <c r="BG230" i="9" s="1"/>
  <c r="BD222" i="9"/>
  <c r="BF222" i="9" s="1"/>
  <c r="BG222" i="9" s="1"/>
  <c r="BD214" i="9"/>
  <c r="BF214" i="9" s="1"/>
  <c r="BG214" i="9" s="1"/>
  <c r="AK242" i="9"/>
  <c r="AM242" i="9" s="1"/>
  <c r="AN242" i="9" s="1"/>
  <c r="EU230" i="9"/>
  <c r="EW230" i="9" s="1"/>
  <c r="EX230" i="9" s="1"/>
  <c r="EU222" i="9"/>
  <c r="EW222" i="9" s="1"/>
  <c r="EX222" i="9" s="1"/>
  <c r="EU214" i="9"/>
  <c r="EW214" i="9" s="1"/>
  <c r="EX214" i="9" s="1"/>
  <c r="BD237" i="9"/>
  <c r="BF237" i="9" s="1"/>
  <c r="BG237" i="9" s="1"/>
  <c r="BW227" i="9"/>
  <c r="BY227" i="9" s="1"/>
  <c r="BZ227" i="9" s="1"/>
  <c r="BW219" i="9"/>
  <c r="BY219" i="9" s="1"/>
  <c r="BZ219" i="9" s="1"/>
  <c r="BW211" i="9"/>
  <c r="BY211" i="9" s="1"/>
  <c r="BZ211" i="9" s="1"/>
  <c r="CP206" i="9"/>
  <c r="CR206" i="9" s="1"/>
  <c r="CS206" i="9" s="1"/>
  <c r="CP198" i="9"/>
  <c r="CR198" i="9" s="1"/>
  <c r="CS198" i="9" s="1"/>
  <c r="CP190" i="9"/>
  <c r="CR190" i="9" s="1"/>
  <c r="CS190" i="9" s="1"/>
  <c r="CP182" i="9"/>
  <c r="CR182" i="9" s="1"/>
  <c r="CS182" i="9" s="1"/>
  <c r="EB205" i="9"/>
  <c r="ED205" i="9" s="1"/>
  <c r="EE205" i="9" s="1"/>
  <c r="EB197" i="9"/>
  <c r="ED197" i="9" s="1"/>
  <c r="EE197" i="9" s="1"/>
  <c r="EB189" i="9"/>
  <c r="ED189" i="9" s="1"/>
  <c r="EE189" i="9" s="1"/>
  <c r="EB181" i="9"/>
  <c r="ED181" i="9" s="1"/>
  <c r="EE181" i="9" s="1"/>
  <c r="DI218" i="9"/>
  <c r="DK218" i="9" s="1"/>
  <c r="DL218" i="9" s="1"/>
  <c r="BD202" i="9"/>
  <c r="BF202" i="9" s="1"/>
  <c r="BG202" i="9" s="1"/>
  <c r="BD194" i="9"/>
  <c r="BF194" i="9" s="1"/>
  <c r="BG194" i="9" s="1"/>
  <c r="BD186" i="9"/>
  <c r="BF186" i="9" s="1"/>
  <c r="BG186" i="9" s="1"/>
  <c r="CP248" i="9"/>
  <c r="CR248" i="9" s="1"/>
  <c r="CS248" i="9" s="1"/>
  <c r="EU208" i="9"/>
  <c r="EW208" i="9" s="1"/>
  <c r="EX208" i="9" s="1"/>
  <c r="EB199" i="9"/>
  <c r="ED199" i="9" s="1"/>
  <c r="EE199" i="9" s="1"/>
  <c r="EB191" i="9"/>
  <c r="ED191" i="9" s="1"/>
  <c r="EE191" i="9" s="1"/>
  <c r="EB183" i="9"/>
  <c r="ED183" i="9" s="1"/>
  <c r="EE183" i="9" s="1"/>
  <c r="BD217" i="9"/>
  <c r="BF217" i="9" s="1"/>
  <c r="BG217" i="9" s="1"/>
  <c r="EB200" i="9"/>
  <c r="ED200" i="9" s="1"/>
  <c r="EE200" i="9" s="1"/>
  <c r="EB192" i="9"/>
  <c r="ED192" i="9" s="1"/>
  <c r="EE192" i="9" s="1"/>
  <c r="EB184" i="9"/>
  <c r="ED184" i="9" s="1"/>
  <c r="EE184" i="9" s="1"/>
  <c r="CP207" i="9"/>
  <c r="CR207" i="9" s="1"/>
  <c r="CS207" i="9" s="1"/>
  <c r="BW200" i="9"/>
  <c r="BY200" i="9" s="1"/>
  <c r="BZ200" i="9" s="1"/>
  <c r="BW192" i="9"/>
  <c r="BY192" i="9" s="1"/>
  <c r="BZ192" i="9" s="1"/>
  <c r="BW184" i="9"/>
  <c r="BY184" i="9" s="1"/>
  <c r="BZ184" i="9" s="1"/>
  <c r="DI210" i="9"/>
  <c r="DK210" i="9" s="1"/>
  <c r="DL210" i="9" s="1"/>
  <c r="R200" i="9"/>
  <c r="T200" i="9" s="1"/>
  <c r="U200" i="9" s="1"/>
  <c r="R192" i="9"/>
  <c r="T192" i="9" s="1"/>
  <c r="U192" i="9" s="1"/>
  <c r="R184" i="9"/>
  <c r="T184" i="9" s="1"/>
  <c r="U184" i="9" s="1"/>
  <c r="CP177" i="9"/>
  <c r="CR177" i="9" s="1"/>
  <c r="CS177" i="9" s="1"/>
  <c r="CP169" i="9"/>
  <c r="CR169" i="9" s="1"/>
  <c r="CS169" i="9" s="1"/>
  <c r="DI200" i="9"/>
  <c r="DK200" i="9" s="1"/>
  <c r="DL200" i="9" s="1"/>
  <c r="EU173" i="9"/>
  <c r="EW173" i="9" s="1"/>
  <c r="EX173" i="9" s="1"/>
  <c r="EU165" i="9"/>
  <c r="EW165" i="9" s="1"/>
  <c r="EX165" i="9" s="1"/>
  <c r="EU157" i="9"/>
  <c r="EW157" i="9" s="1"/>
  <c r="EX157" i="9" s="1"/>
  <c r="EU198" i="9"/>
  <c r="EW198" i="9" s="1"/>
  <c r="EX198" i="9" s="1"/>
  <c r="CP173" i="9"/>
  <c r="CR173" i="9" s="1"/>
  <c r="CS173" i="9" s="1"/>
  <c r="CP165" i="9"/>
  <c r="CR165" i="9" s="1"/>
  <c r="CS165" i="9" s="1"/>
  <c r="CP157" i="9"/>
  <c r="CR157" i="9" s="1"/>
  <c r="CS157" i="9" s="1"/>
  <c r="BW194" i="9"/>
  <c r="BY194" i="9" s="1"/>
  <c r="BZ194" i="9" s="1"/>
  <c r="AK173" i="9"/>
  <c r="AM173" i="9" s="1"/>
  <c r="AN173" i="9" s="1"/>
  <c r="AK165" i="9"/>
  <c r="AM165" i="9" s="1"/>
  <c r="AN165" i="9" s="1"/>
  <c r="AK157" i="9"/>
  <c r="AM157" i="9" s="1"/>
  <c r="AN157" i="9" s="1"/>
  <c r="AK196" i="9"/>
  <c r="AM196" i="9" s="1"/>
  <c r="AN196" i="9" s="1"/>
  <c r="BW172" i="9"/>
  <c r="BY172" i="9" s="1"/>
  <c r="BZ172" i="9" s="1"/>
  <c r="BW164" i="9"/>
  <c r="BY164" i="9" s="1"/>
  <c r="BZ164" i="9" s="1"/>
  <c r="BW156" i="9"/>
  <c r="BY156" i="9" s="1"/>
  <c r="BZ156" i="9" s="1"/>
  <c r="BD164" i="9"/>
  <c r="BF164" i="9" s="1"/>
  <c r="BG164" i="9" s="1"/>
  <c r="R147" i="9"/>
  <c r="T147" i="9" s="1"/>
  <c r="U147" i="9" s="1"/>
  <c r="R139" i="9"/>
  <c r="T139" i="9" s="1"/>
  <c r="U139" i="9" s="1"/>
  <c r="EB174" i="9"/>
  <c r="ED174" i="9" s="1"/>
  <c r="EE174" i="9" s="1"/>
  <c r="AK159" i="9"/>
  <c r="AM159" i="9" s="1"/>
  <c r="AN159" i="9" s="1"/>
  <c r="BD146" i="9"/>
  <c r="BF146" i="9" s="1"/>
  <c r="BG146" i="9" s="1"/>
  <c r="BD138" i="9"/>
  <c r="BF138" i="9" s="1"/>
  <c r="BG138" i="9" s="1"/>
  <c r="EB177" i="9"/>
  <c r="ED177" i="9" s="1"/>
  <c r="EE177" i="9" s="1"/>
  <c r="EU156" i="9"/>
  <c r="EW156" i="9" s="1"/>
  <c r="EX156" i="9" s="1"/>
  <c r="BD147" i="9"/>
  <c r="BF147" i="9" s="1"/>
  <c r="BG147" i="9" s="1"/>
  <c r="BD139" i="9"/>
  <c r="BF139" i="9" s="1"/>
  <c r="BG139" i="9" s="1"/>
  <c r="R193" i="9"/>
  <c r="T193" i="9" s="1"/>
  <c r="U193" i="9" s="1"/>
  <c r="AK151" i="9"/>
  <c r="AM151" i="9" s="1"/>
  <c r="AN151" i="9" s="1"/>
  <c r="BW144" i="9"/>
  <c r="BY144" i="9" s="1"/>
  <c r="BZ144" i="9" s="1"/>
  <c r="BW136" i="9"/>
  <c r="BY136" i="9" s="1"/>
  <c r="BZ136" i="9" s="1"/>
  <c r="BW168" i="9"/>
  <c r="BY168" i="9" s="1"/>
  <c r="BZ168" i="9" s="1"/>
  <c r="AK141" i="9"/>
  <c r="AM141" i="9" s="1"/>
  <c r="AN141" i="9" s="1"/>
  <c r="EU129" i="9"/>
  <c r="EW129" i="9" s="1"/>
  <c r="EX129" i="9" s="1"/>
  <c r="EU121" i="9"/>
  <c r="EW121" i="9" s="1"/>
  <c r="EX121" i="9" s="1"/>
  <c r="EU171" i="9"/>
  <c r="EW171" i="9" s="1"/>
  <c r="EX171" i="9" s="1"/>
  <c r="EU153" i="9"/>
  <c r="EW153" i="9" s="1"/>
  <c r="EX153" i="9" s="1"/>
  <c r="BD135" i="9"/>
  <c r="BF135" i="9" s="1"/>
  <c r="BG135" i="9" s="1"/>
  <c r="EB127" i="9"/>
  <c r="ED127" i="9" s="1"/>
  <c r="EE127" i="9" s="1"/>
  <c r="EB119" i="9"/>
  <c r="ED119" i="9" s="1"/>
  <c r="EE119" i="9" s="1"/>
  <c r="EB168" i="9"/>
  <c r="ED168" i="9" s="1"/>
  <c r="EE168" i="9" s="1"/>
  <c r="EB146" i="9"/>
  <c r="ED146" i="9" s="1"/>
  <c r="EE146" i="9" s="1"/>
  <c r="CP130" i="9"/>
  <c r="CR130" i="9" s="1"/>
  <c r="CS130" i="9" s="1"/>
  <c r="DI164" i="9"/>
  <c r="DK164" i="9" s="1"/>
  <c r="DL164" i="9" s="1"/>
  <c r="EB138" i="9"/>
  <c r="ED138" i="9" s="1"/>
  <c r="EE138" i="9" s="1"/>
  <c r="BD125" i="9"/>
  <c r="BF125" i="9" s="1"/>
  <c r="BG125" i="9" s="1"/>
  <c r="BD117" i="9"/>
  <c r="BF117" i="9" s="1"/>
  <c r="BG117" i="9" s="1"/>
  <c r="BW159" i="9"/>
  <c r="BY159" i="9" s="1"/>
  <c r="BZ159" i="9" s="1"/>
  <c r="EB144" i="9"/>
  <c r="ED144" i="9" s="1"/>
  <c r="EE144" i="9" s="1"/>
  <c r="CP132" i="9"/>
  <c r="CR132" i="9" s="1"/>
  <c r="CS132" i="9" s="1"/>
  <c r="CP124" i="9"/>
  <c r="CR124" i="9" s="1"/>
  <c r="CS124" i="9" s="1"/>
  <c r="CP116" i="9"/>
  <c r="CR116" i="9" s="1"/>
  <c r="CS116" i="9" s="1"/>
  <c r="AK147" i="9"/>
  <c r="AM147" i="9" s="1"/>
  <c r="AN147" i="9" s="1"/>
  <c r="DI133" i="9"/>
  <c r="DK133" i="9" s="1"/>
  <c r="DL133" i="9" s="1"/>
  <c r="EU126" i="9"/>
  <c r="EW126" i="9" s="1"/>
  <c r="EX126" i="9" s="1"/>
  <c r="EU118" i="9"/>
  <c r="EW118" i="9" s="1"/>
  <c r="EX118" i="9" s="1"/>
  <c r="EU128" i="9"/>
  <c r="EW128" i="9" s="1"/>
  <c r="EX128" i="9" s="1"/>
  <c r="BW166" i="9"/>
  <c r="BY166" i="9" s="1"/>
  <c r="BZ166" i="9" s="1"/>
  <c r="AK115" i="9"/>
  <c r="AM115" i="9" s="1"/>
  <c r="AN115" i="9" s="1"/>
  <c r="AK107" i="9"/>
  <c r="AM107" i="9" s="1"/>
  <c r="AN107" i="9" s="1"/>
  <c r="AK99" i="9"/>
  <c r="AM99" i="9" s="1"/>
  <c r="AN99" i="9" s="1"/>
  <c r="AK139" i="9"/>
  <c r="AM139" i="9" s="1"/>
  <c r="AN139" i="9" s="1"/>
  <c r="BD111" i="9"/>
  <c r="BF111" i="9" s="1"/>
  <c r="BG111" i="9" s="1"/>
  <c r="BD103" i="9"/>
  <c r="BF103" i="9" s="1"/>
  <c r="BG103" i="9" s="1"/>
  <c r="BD95" i="9"/>
  <c r="BF95" i="9" s="1"/>
  <c r="BG95" i="9" s="1"/>
  <c r="AK121" i="9"/>
  <c r="AM121" i="9" s="1"/>
  <c r="AN121" i="9" s="1"/>
  <c r="EU112" i="9"/>
  <c r="EW112" i="9" s="1"/>
  <c r="EX112" i="9" s="1"/>
  <c r="EU104" i="9"/>
  <c r="EW104" i="9" s="1"/>
  <c r="EX104" i="9" s="1"/>
  <c r="EU96" i="9"/>
  <c r="EW96" i="9" s="1"/>
  <c r="EX96" i="9" s="1"/>
  <c r="CP140" i="9"/>
  <c r="CR140" i="9" s="1"/>
  <c r="CS140" i="9" s="1"/>
  <c r="EB117" i="9"/>
  <c r="ED117" i="9" s="1"/>
  <c r="EE117" i="9" s="1"/>
  <c r="BW109" i="9"/>
  <c r="BY109" i="9" s="1"/>
  <c r="BZ109" i="9" s="1"/>
  <c r="BW101" i="9"/>
  <c r="BY101" i="9" s="1"/>
  <c r="BZ101" i="9" s="1"/>
  <c r="BW93" i="9"/>
  <c r="BY93" i="9" s="1"/>
  <c r="BZ93" i="9" s="1"/>
  <c r="AK109" i="9"/>
  <c r="AM109" i="9" s="1"/>
  <c r="AN109" i="9" s="1"/>
  <c r="BD92" i="9"/>
  <c r="BF92" i="9" s="1"/>
  <c r="BG92" i="9" s="1"/>
  <c r="BD84" i="9"/>
  <c r="BF84" i="9" s="1"/>
  <c r="BG84" i="9" s="1"/>
  <c r="BD76" i="9"/>
  <c r="BF76" i="9" s="1"/>
  <c r="BG76" i="9" s="1"/>
  <c r="BD68" i="9"/>
  <c r="BF68" i="9" s="1"/>
  <c r="BG68" i="9" s="1"/>
  <c r="BD60" i="9"/>
  <c r="BF60" i="9" s="1"/>
  <c r="BG60" i="9" s="1"/>
  <c r="BD52" i="9"/>
  <c r="BF52" i="9" s="1"/>
  <c r="BG52" i="9" s="1"/>
  <c r="BD44" i="9"/>
  <c r="BF44" i="9" s="1"/>
  <c r="BG44" i="9" s="1"/>
  <c r="R102" i="9"/>
  <c r="T102" i="9" s="1"/>
  <c r="U102" i="9" s="1"/>
  <c r="EB89" i="9"/>
  <c r="ED89" i="9" s="1"/>
  <c r="EE89" i="9" s="1"/>
  <c r="EB81" i="9"/>
  <c r="ED81" i="9" s="1"/>
  <c r="EE81" i="9" s="1"/>
  <c r="EB73" i="9"/>
  <c r="ED73" i="9" s="1"/>
  <c r="EE73" i="9" s="1"/>
  <c r="EB65" i="9"/>
  <c r="ED65" i="9" s="1"/>
  <c r="EE65" i="9" s="1"/>
  <c r="EB57" i="9"/>
  <c r="ED57" i="9" s="1"/>
  <c r="EE57" i="9" s="1"/>
  <c r="EB49" i="9"/>
  <c r="ED49" i="9" s="1"/>
  <c r="EE49" i="9" s="1"/>
  <c r="EB112" i="9"/>
  <c r="ED112" i="9" s="1"/>
  <c r="EE112" i="9" s="1"/>
  <c r="CP92" i="9"/>
  <c r="CR92" i="9" s="1"/>
  <c r="CS92" i="9" s="1"/>
  <c r="CP84" i="9"/>
  <c r="CR84" i="9" s="1"/>
  <c r="CS84" i="9" s="1"/>
  <c r="CP76" i="9"/>
  <c r="CR76" i="9" s="1"/>
  <c r="CS76" i="9" s="1"/>
  <c r="CP68" i="9"/>
  <c r="CR68" i="9" s="1"/>
  <c r="CS68" i="9" s="1"/>
  <c r="CP60" i="9"/>
  <c r="CR60" i="9" s="1"/>
  <c r="CS60" i="9" s="1"/>
  <c r="CP52" i="9"/>
  <c r="CR52" i="9" s="1"/>
  <c r="CS52" i="9" s="1"/>
  <c r="EB139" i="9"/>
  <c r="ED139" i="9" s="1"/>
  <c r="EE139" i="9" s="1"/>
  <c r="BW102" i="9"/>
  <c r="BY102" i="9" s="1"/>
  <c r="BZ102" i="9" s="1"/>
  <c r="BD93" i="9"/>
  <c r="BF93" i="9" s="1"/>
  <c r="BG93" i="9" s="1"/>
  <c r="EU86" i="9"/>
  <c r="EW86" i="9" s="1"/>
  <c r="EX86" i="9" s="1"/>
  <c r="EU78" i="9"/>
  <c r="EW78" i="9" s="1"/>
  <c r="EX78" i="9" s="1"/>
  <c r="EU70" i="9"/>
  <c r="EW70" i="9" s="1"/>
  <c r="EX70" i="9" s="1"/>
  <c r="EU62" i="9"/>
  <c r="EW62" i="9" s="1"/>
  <c r="EX62" i="9" s="1"/>
  <c r="EU54" i="9"/>
  <c r="EW54" i="9" s="1"/>
  <c r="EX54" i="9" s="1"/>
  <c r="EU46" i="9"/>
  <c r="EW46" i="9" s="1"/>
  <c r="EX46" i="9" s="1"/>
  <c r="EU108" i="9"/>
  <c r="EW108" i="9" s="1"/>
  <c r="EX108" i="9" s="1"/>
  <c r="BW91" i="9"/>
  <c r="BY91" i="9" s="1"/>
  <c r="BZ91" i="9" s="1"/>
  <c r="BW83" i="9"/>
  <c r="BY83" i="9" s="1"/>
  <c r="BZ83" i="9" s="1"/>
  <c r="BW75" i="9"/>
  <c r="BY75" i="9" s="1"/>
  <c r="BZ75" i="9" s="1"/>
  <c r="BW67" i="9"/>
  <c r="BY67" i="9" s="1"/>
  <c r="BZ67" i="9" s="1"/>
  <c r="BW59" i="9"/>
  <c r="BY59" i="9" s="1"/>
  <c r="BZ59" i="9" s="1"/>
  <c r="BW51" i="9"/>
  <c r="BY51" i="9" s="1"/>
  <c r="BZ51" i="9" s="1"/>
  <c r="BW43" i="9"/>
  <c r="BY43" i="9" s="1"/>
  <c r="BZ43" i="9" s="1"/>
  <c r="BW103" i="9"/>
  <c r="BY103" i="9" s="1"/>
  <c r="BZ103" i="9" s="1"/>
  <c r="DI91" i="9"/>
  <c r="DK91" i="9" s="1"/>
  <c r="DL91" i="9" s="1"/>
  <c r="BW112" i="9"/>
  <c r="BY112" i="9" s="1"/>
  <c r="BZ112" i="9" s="1"/>
  <c r="DI28" i="9"/>
  <c r="DK28" i="9" s="1"/>
  <c r="DL28" i="9" s="1"/>
  <c r="EU34" i="9"/>
  <c r="EW34" i="9" s="1"/>
  <c r="EX34" i="9" s="1"/>
  <c r="BW38" i="9"/>
  <c r="BY38" i="9" s="1"/>
  <c r="BZ38" i="9" s="1"/>
  <c r="EB46" i="9"/>
  <c r="ED46" i="9" s="1"/>
  <c r="EE46" i="9" s="1"/>
  <c r="BD81" i="9"/>
  <c r="BF81" i="9" s="1"/>
  <c r="BG81" i="9" s="1"/>
  <c r="AK97" i="9"/>
  <c r="AM97" i="9" s="1"/>
  <c r="AN97" i="9" s="1"/>
  <c r="CP16" i="9"/>
  <c r="CR16" i="9" s="1"/>
  <c r="CS16" i="9" s="1"/>
  <c r="R20" i="9"/>
  <c r="T20" i="9" s="1"/>
  <c r="U20" i="9" s="1"/>
  <c r="AK23" i="9"/>
  <c r="AM23" i="9" s="1"/>
  <c r="AN23" i="9" s="1"/>
  <c r="EB30" i="9"/>
  <c r="ED30" i="9" s="1"/>
  <c r="EE30" i="9" s="1"/>
  <c r="AK39" i="9"/>
  <c r="AM39" i="9" s="1"/>
  <c r="AN39" i="9" s="1"/>
  <c r="EU45" i="9"/>
  <c r="EW45" i="9" s="1"/>
  <c r="EX45" i="9" s="1"/>
  <c r="EU65" i="9"/>
  <c r="EW65" i="9" s="1"/>
  <c r="EX65" i="9" s="1"/>
  <c r="BW77" i="9"/>
  <c r="BY77" i="9" s="1"/>
  <c r="BZ77" i="9" s="1"/>
  <c r="DI97" i="9"/>
  <c r="DK97" i="9" s="1"/>
  <c r="DL97" i="9" s="1"/>
  <c r="R35" i="9"/>
  <c r="T35" i="9" s="1"/>
  <c r="U35" i="9" s="1"/>
  <c r="BD41" i="9"/>
  <c r="BF41" i="9" s="1"/>
  <c r="BG41" i="9" s="1"/>
  <c r="BW53" i="9"/>
  <c r="BY53" i="9" s="1"/>
  <c r="BZ53" i="9" s="1"/>
  <c r="DI74" i="9"/>
  <c r="DK74" i="9" s="1"/>
  <c r="DL74" i="9" s="1"/>
  <c r="EU23" i="9"/>
  <c r="EW23" i="9" s="1"/>
  <c r="EX23" i="9" s="1"/>
  <c r="CP30" i="9"/>
  <c r="CR30" i="9" s="1"/>
  <c r="CS30" i="9" s="1"/>
  <c r="AK37" i="9"/>
  <c r="AM37" i="9" s="1"/>
  <c r="AN37" i="9" s="1"/>
  <c r="BW46" i="9"/>
  <c r="BY46" i="9" s="1"/>
  <c r="BZ46" i="9" s="1"/>
  <c r="AK78" i="9"/>
  <c r="AM78" i="9" s="1"/>
  <c r="AN78" i="9" s="1"/>
  <c r="BW328" i="9"/>
  <c r="BY328" i="9" s="1"/>
  <c r="BZ328" i="9" s="1"/>
  <c r="AK316" i="9"/>
  <c r="AM316" i="9" s="1"/>
  <c r="AN316" i="9" s="1"/>
  <c r="CP307" i="9"/>
  <c r="CR307" i="9" s="1"/>
  <c r="CS307" i="9" s="1"/>
  <c r="BD318" i="9"/>
  <c r="BF318" i="9" s="1"/>
  <c r="BG318" i="9" s="1"/>
  <c r="BW301" i="9"/>
  <c r="BY301" i="9" s="1"/>
  <c r="BZ301" i="9" s="1"/>
  <c r="BW302" i="9"/>
  <c r="BY302" i="9" s="1"/>
  <c r="BZ302" i="9" s="1"/>
  <c r="CP293" i="9"/>
  <c r="CR293" i="9" s="1"/>
  <c r="CS293" i="9" s="1"/>
  <c r="R288" i="9"/>
  <c r="T288" i="9" s="1"/>
  <c r="U288" i="9" s="1"/>
  <c r="DI284" i="9"/>
  <c r="DK284" i="9" s="1"/>
  <c r="DL284" i="9" s="1"/>
  <c r="R275" i="9"/>
  <c r="T275" i="9" s="1"/>
  <c r="U275" i="9" s="1"/>
  <c r="EB285" i="9"/>
  <c r="ED285" i="9" s="1"/>
  <c r="EE285" i="9" s="1"/>
  <c r="EB292" i="9"/>
  <c r="ED292" i="9" s="1"/>
  <c r="EE292" i="9" s="1"/>
  <c r="EU269" i="9"/>
  <c r="EW269" i="9" s="1"/>
  <c r="EX269" i="9" s="1"/>
  <c r="CP261" i="9"/>
  <c r="CR261" i="9" s="1"/>
  <c r="CS261" i="9" s="1"/>
  <c r="EU252" i="9"/>
  <c r="EW252" i="9" s="1"/>
  <c r="EX252" i="9" s="1"/>
  <c r="R249" i="9"/>
  <c r="T249" i="9" s="1"/>
  <c r="U249" i="9" s="1"/>
  <c r="BW244" i="9"/>
  <c r="BY244" i="9" s="1"/>
  <c r="BZ244" i="9" s="1"/>
  <c r="BD235" i="9"/>
  <c r="BF235" i="9" s="1"/>
  <c r="BG235" i="9" s="1"/>
  <c r="AK243" i="9"/>
  <c r="AM243" i="9" s="1"/>
  <c r="AN243" i="9" s="1"/>
  <c r="EB231" i="9"/>
  <c r="ED231" i="9" s="1"/>
  <c r="EE231" i="9" s="1"/>
  <c r="EB224" i="9"/>
  <c r="ED224" i="9" s="1"/>
  <c r="EE224" i="9" s="1"/>
  <c r="EB217" i="9"/>
  <c r="ED217" i="9" s="1"/>
  <c r="EE217" i="9" s="1"/>
  <c r="CP212" i="9"/>
  <c r="CR212" i="9" s="1"/>
  <c r="CS212" i="9" s="1"/>
  <c r="DI233" i="9"/>
  <c r="DK233" i="9" s="1"/>
  <c r="DL233" i="9" s="1"/>
  <c r="EB196" i="9"/>
  <c r="ED196" i="9" s="1"/>
  <c r="EE196" i="9" s="1"/>
  <c r="R187" i="9"/>
  <c r="T187" i="9" s="1"/>
  <c r="U187" i="9" s="1"/>
  <c r="CP184" i="9"/>
  <c r="CR184" i="9" s="1"/>
  <c r="CS184" i="9" s="1"/>
  <c r="R181" i="9"/>
  <c r="T181" i="9" s="1"/>
  <c r="U181" i="9" s="1"/>
  <c r="DI206" i="9"/>
  <c r="DK206" i="9" s="1"/>
  <c r="DL206" i="9" s="1"/>
  <c r="BD206" i="9"/>
  <c r="BF206" i="9" s="1"/>
  <c r="BG206" i="9" s="1"/>
  <c r="EB195" i="9"/>
  <c r="ED195" i="9" s="1"/>
  <c r="EE195" i="9" s="1"/>
  <c r="CP181" i="9"/>
  <c r="CR181" i="9" s="1"/>
  <c r="CS181" i="9" s="1"/>
  <c r="BW171" i="9"/>
  <c r="BY171" i="9" s="1"/>
  <c r="BZ171" i="9" s="1"/>
  <c r="DI173" i="9"/>
  <c r="DK173" i="9" s="1"/>
  <c r="DL173" i="9" s="1"/>
  <c r="BD156" i="9"/>
  <c r="BF156" i="9" s="1"/>
  <c r="BG156" i="9" s="1"/>
  <c r="CP137" i="9"/>
  <c r="CR137" i="9" s="1"/>
  <c r="CS137" i="9" s="1"/>
  <c r="DI136" i="9"/>
  <c r="DK136" i="9" s="1"/>
  <c r="DL136" i="9" s="1"/>
  <c r="R125" i="9"/>
  <c r="T125" i="9" s="1"/>
  <c r="U125" i="9" s="1"/>
  <c r="CP131" i="9"/>
  <c r="CR131" i="9" s="1"/>
  <c r="CS131" i="9" s="1"/>
  <c r="EB122" i="9"/>
  <c r="ED122" i="9" s="1"/>
  <c r="EE122" i="9" s="1"/>
  <c r="DI122" i="9"/>
  <c r="DK122" i="9" s="1"/>
  <c r="DL122" i="9" s="1"/>
  <c r="CP109" i="9"/>
  <c r="CR109" i="9" s="1"/>
  <c r="CS109" i="9" s="1"/>
  <c r="AK94" i="9"/>
  <c r="AM94" i="9" s="1"/>
  <c r="AN94" i="9" s="1"/>
  <c r="CP90" i="9"/>
  <c r="CR90" i="9" s="1"/>
  <c r="CS90" i="9" s="1"/>
  <c r="BW124" i="9"/>
  <c r="BY124" i="9" s="1"/>
  <c r="BZ124" i="9" s="1"/>
  <c r="R55" i="9"/>
  <c r="T55" i="9" s="1"/>
  <c r="U55" i="9" s="1"/>
  <c r="EB66" i="9"/>
  <c r="ED66" i="9" s="1"/>
  <c r="EE66" i="9" s="1"/>
  <c r="AK84" i="9"/>
  <c r="AM84" i="9" s="1"/>
  <c r="AN84" i="9" s="1"/>
  <c r="BD104" i="9"/>
  <c r="BF104" i="9" s="1"/>
  <c r="BG104" i="9" s="1"/>
  <c r="DI49" i="9"/>
  <c r="DK49" i="9" s="1"/>
  <c r="DL49" i="9" s="1"/>
  <c r="EU18" i="9"/>
  <c r="EW18" i="9" s="1"/>
  <c r="EX18" i="9" s="1"/>
  <c r="R85" i="9"/>
  <c r="T85" i="9" s="1"/>
  <c r="U85" i="9" s="1"/>
  <c r="R36" i="9"/>
  <c r="T36" i="9" s="1"/>
  <c r="U36" i="9" s="1"/>
  <c r="R18" i="9"/>
  <c r="T18" i="9" s="1"/>
  <c r="U18" i="9" s="1"/>
  <c r="EB362" i="9"/>
  <c r="ED362" i="9" s="1"/>
  <c r="EE362" i="9" s="1"/>
  <c r="BW353" i="9"/>
  <c r="BY353" i="9" s="1"/>
  <c r="BZ353" i="9" s="1"/>
  <c r="AK340" i="9"/>
  <c r="AM340" i="9" s="1"/>
  <c r="AN340" i="9" s="1"/>
  <c r="DI349" i="9"/>
  <c r="DK349" i="9" s="1"/>
  <c r="DL349" i="9" s="1"/>
  <c r="BW339" i="9"/>
  <c r="BY339" i="9" s="1"/>
  <c r="BZ339" i="9" s="1"/>
  <c r="BW318" i="9"/>
  <c r="BY318" i="9" s="1"/>
  <c r="BZ318" i="9" s="1"/>
  <c r="CP316" i="9"/>
  <c r="CR316" i="9" s="1"/>
  <c r="CS316" i="9" s="1"/>
  <c r="AK324" i="9"/>
  <c r="AM324" i="9" s="1"/>
  <c r="AN324" i="9" s="1"/>
  <c r="EB326" i="9"/>
  <c r="ED326" i="9" s="1"/>
  <c r="EE326" i="9" s="1"/>
  <c r="EB325" i="9"/>
  <c r="ED325" i="9" s="1"/>
  <c r="EE325" i="9" s="1"/>
  <c r="AK313" i="9"/>
  <c r="AM313" i="9" s="1"/>
  <c r="AN313" i="9" s="1"/>
  <c r="EU308" i="9"/>
  <c r="EW308" i="9" s="1"/>
  <c r="EX308" i="9" s="1"/>
  <c r="BD310" i="9"/>
  <c r="BF310" i="9" s="1"/>
  <c r="BG310" i="9" s="1"/>
  <c r="BD302" i="9"/>
  <c r="BF302" i="9" s="1"/>
  <c r="BG302" i="9" s="1"/>
  <c r="EU310" i="9"/>
  <c r="EW310" i="9" s="1"/>
  <c r="EX310" i="9" s="1"/>
  <c r="EU302" i="9"/>
  <c r="EW302" i="9" s="1"/>
  <c r="EX302" i="9" s="1"/>
  <c r="R306" i="9"/>
  <c r="T306" i="9" s="1"/>
  <c r="U306" i="9" s="1"/>
  <c r="BW312" i="9"/>
  <c r="BY312" i="9" s="1"/>
  <c r="BZ312" i="9" s="1"/>
  <c r="EU304" i="9"/>
  <c r="EW304" i="9" s="1"/>
  <c r="EX304" i="9" s="1"/>
  <c r="EB310" i="9"/>
  <c r="ED310" i="9" s="1"/>
  <c r="EE310" i="9" s="1"/>
  <c r="EB302" i="9"/>
  <c r="ED302" i="9" s="1"/>
  <c r="EE302" i="9" s="1"/>
  <c r="BD300" i="9"/>
  <c r="BF300" i="9" s="1"/>
  <c r="BG300" i="9" s="1"/>
  <c r="BD291" i="9"/>
  <c r="BF291" i="9" s="1"/>
  <c r="BG291" i="9" s="1"/>
  <c r="EB296" i="9"/>
  <c r="ED296" i="9" s="1"/>
  <c r="EE296" i="9" s="1"/>
  <c r="EB288" i="9"/>
  <c r="ED288" i="9" s="1"/>
  <c r="EE288" i="9" s="1"/>
  <c r="EB297" i="9"/>
  <c r="ED297" i="9" s="1"/>
  <c r="EE297" i="9" s="1"/>
  <c r="EB289" i="9"/>
  <c r="ED289" i="9" s="1"/>
  <c r="EE289" i="9" s="1"/>
  <c r="BW297" i="9"/>
  <c r="BY297" i="9" s="1"/>
  <c r="BZ297" i="9" s="1"/>
  <c r="DI308" i="9"/>
  <c r="DK308" i="9" s="1"/>
  <c r="DL308" i="9" s="1"/>
  <c r="EU294" i="9"/>
  <c r="EW294" i="9" s="1"/>
  <c r="EX294" i="9" s="1"/>
  <c r="CP306" i="9"/>
  <c r="CR306" i="9" s="1"/>
  <c r="CS306" i="9" s="1"/>
  <c r="CP295" i="9"/>
  <c r="CR295" i="9" s="1"/>
  <c r="CS295" i="9" s="1"/>
  <c r="DI286" i="9"/>
  <c r="DK286" i="9" s="1"/>
  <c r="DL286" i="9" s="1"/>
  <c r="CP288" i="9"/>
  <c r="CR288" i="9" s="1"/>
  <c r="CS288" i="9" s="1"/>
  <c r="BW281" i="9"/>
  <c r="BY281" i="9" s="1"/>
  <c r="BZ281" i="9" s="1"/>
  <c r="AK284" i="9"/>
  <c r="AM284" i="9" s="1"/>
  <c r="AN284" i="9" s="1"/>
  <c r="AK285" i="9"/>
  <c r="AM285" i="9" s="1"/>
  <c r="AN285" i="9" s="1"/>
  <c r="BD298" i="9"/>
  <c r="BF298" i="9" s="1"/>
  <c r="BG298" i="9" s="1"/>
  <c r="R285" i="9"/>
  <c r="T285" i="9" s="1"/>
  <c r="U285" i="9" s="1"/>
  <c r="R291" i="9"/>
  <c r="T291" i="9" s="1"/>
  <c r="U291" i="9" s="1"/>
  <c r="BW275" i="9"/>
  <c r="BY275" i="9" s="1"/>
  <c r="BZ275" i="9" s="1"/>
  <c r="R283" i="9"/>
  <c r="T283" i="9" s="1"/>
  <c r="U283" i="9" s="1"/>
  <c r="BW276" i="9"/>
  <c r="BY276" i="9" s="1"/>
  <c r="BZ276" i="9" s="1"/>
  <c r="BW310" i="9"/>
  <c r="BY310" i="9" s="1"/>
  <c r="BZ310" i="9" s="1"/>
  <c r="EB278" i="9"/>
  <c r="ED278" i="9" s="1"/>
  <c r="EE278" i="9" s="1"/>
  <c r="EB270" i="9"/>
  <c r="ED270" i="9" s="1"/>
  <c r="EE270" i="9" s="1"/>
  <c r="BD275" i="9"/>
  <c r="BF275" i="9" s="1"/>
  <c r="BG275" i="9" s="1"/>
  <c r="R286" i="9"/>
  <c r="T286" i="9" s="1"/>
  <c r="U286" i="9" s="1"/>
  <c r="R292" i="9"/>
  <c r="T292" i="9" s="1"/>
  <c r="U292" i="9" s="1"/>
  <c r="CP276" i="9"/>
  <c r="CR276" i="9" s="1"/>
  <c r="CS276" i="9" s="1"/>
  <c r="EU275" i="9"/>
  <c r="EW275" i="9" s="1"/>
  <c r="EX275" i="9" s="1"/>
  <c r="BW267" i="9"/>
  <c r="BY267" i="9" s="1"/>
  <c r="BZ267" i="9" s="1"/>
  <c r="BW259" i="9"/>
  <c r="BY259" i="9" s="1"/>
  <c r="BZ259" i="9" s="1"/>
  <c r="BD265" i="9"/>
  <c r="BF265" i="9" s="1"/>
  <c r="BG265" i="9" s="1"/>
  <c r="R271" i="9"/>
  <c r="T271" i="9" s="1"/>
  <c r="U271" i="9" s="1"/>
  <c r="AK263" i="9"/>
  <c r="AM263" i="9" s="1"/>
  <c r="AN263" i="9" s="1"/>
  <c r="CP280" i="9"/>
  <c r="CR280" i="9" s="1"/>
  <c r="CS280" i="9" s="1"/>
  <c r="R270" i="9"/>
  <c r="T270" i="9" s="1"/>
  <c r="U270" i="9" s="1"/>
  <c r="EB263" i="9"/>
  <c r="ED263" i="9" s="1"/>
  <c r="EE263" i="9" s="1"/>
  <c r="EU267" i="9"/>
  <c r="EW267" i="9" s="1"/>
  <c r="EX267" i="9" s="1"/>
  <c r="EU259" i="9"/>
  <c r="EW259" i="9" s="1"/>
  <c r="EX259" i="9" s="1"/>
  <c r="AK266" i="9"/>
  <c r="AM266" i="9" s="1"/>
  <c r="AN266" i="9" s="1"/>
  <c r="DI264" i="9"/>
  <c r="DK264" i="9" s="1"/>
  <c r="DL264" i="9" s="1"/>
  <c r="R253" i="9"/>
  <c r="T253" i="9" s="1"/>
  <c r="U253" i="9" s="1"/>
  <c r="AK273" i="9"/>
  <c r="AM273" i="9" s="1"/>
  <c r="AN273" i="9" s="1"/>
  <c r="DI253" i="9"/>
  <c r="DK253" i="9" s="1"/>
  <c r="DL253" i="9" s="1"/>
  <c r="BW265" i="9"/>
  <c r="BY265" i="9" s="1"/>
  <c r="BZ265" i="9" s="1"/>
  <c r="BD253" i="9"/>
  <c r="BF253" i="9" s="1"/>
  <c r="BG253" i="9" s="1"/>
  <c r="BW266" i="9"/>
  <c r="BY266" i="9" s="1"/>
  <c r="BZ266" i="9" s="1"/>
  <c r="CP252" i="9"/>
  <c r="CR252" i="9" s="1"/>
  <c r="CS252" i="9" s="1"/>
  <c r="AK259" i="9"/>
  <c r="AM259" i="9" s="1"/>
  <c r="AN259" i="9" s="1"/>
  <c r="BW250" i="9"/>
  <c r="BY250" i="9" s="1"/>
  <c r="BZ250" i="9" s="1"/>
  <c r="EB258" i="9"/>
  <c r="ED258" i="9" s="1"/>
  <c r="EE258" i="9" s="1"/>
  <c r="DI250" i="9"/>
  <c r="DK250" i="9" s="1"/>
  <c r="DL250" i="9" s="1"/>
  <c r="EB244" i="9"/>
  <c r="ED244" i="9" s="1"/>
  <c r="EE244" i="9" s="1"/>
  <c r="EB236" i="9"/>
  <c r="ED236" i="9" s="1"/>
  <c r="EE236" i="9" s="1"/>
  <c r="EB245" i="9"/>
  <c r="ED245" i="9" s="1"/>
  <c r="EE245" i="9" s="1"/>
  <c r="EB237" i="9"/>
  <c r="ED237" i="9" s="1"/>
  <c r="EE237" i="9" s="1"/>
  <c r="BW245" i="9"/>
  <c r="BY245" i="9" s="1"/>
  <c r="BZ245" i="9" s="1"/>
  <c r="BW237" i="9"/>
  <c r="BY237" i="9" s="1"/>
  <c r="BZ237" i="9" s="1"/>
  <c r="DI244" i="9"/>
  <c r="DK244" i="9" s="1"/>
  <c r="DL244" i="9" s="1"/>
  <c r="DI236" i="9"/>
  <c r="DK236" i="9" s="1"/>
  <c r="DL236" i="9" s="1"/>
  <c r="DI245" i="9"/>
  <c r="DK245" i="9" s="1"/>
  <c r="DL245" i="9" s="1"/>
  <c r="DI237" i="9"/>
  <c r="DK237" i="9" s="1"/>
  <c r="DL237" i="9" s="1"/>
  <c r="EB259" i="9"/>
  <c r="ED259" i="9" s="1"/>
  <c r="EE259" i="9" s="1"/>
  <c r="CP244" i="9"/>
  <c r="CR244" i="9" s="1"/>
  <c r="CS244" i="9" s="1"/>
  <c r="DI234" i="9"/>
  <c r="DK234" i="9" s="1"/>
  <c r="DL234" i="9" s="1"/>
  <c r="DI227" i="9"/>
  <c r="DK227" i="9" s="1"/>
  <c r="DL227" i="9" s="1"/>
  <c r="DI219" i="9"/>
  <c r="DK219" i="9" s="1"/>
  <c r="DL219" i="9" s="1"/>
  <c r="DI211" i="9"/>
  <c r="DK211" i="9" s="1"/>
  <c r="DL211" i="9" s="1"/>
  <c r="AK232" i="9"/>
  <c r="AM232" i="9" s="1"/>
  <c r="AN232" i="9" s="1"/>
  <c r="AK224" i="9"/>
  <c r="AM224" i="9" s="1"/>
  <c r="AN224" i="9" s="1"/>
  <c r="AK216" i="9"/>
  <c r="AM216" i="9" s="1"/>
  <c r="AN216" i="9" s="1"/>
  <c r="AK208" i="9"/>
  <c r="AM208" i="9" s="1"/>
  <c r="AN208" i="9" s="1"/>
  <c r="AK233" i="9"/>
  <c r="AM233" i="9" s="1"/>
  <c r="AN233" i="9" s="1"/>
  <c r="AK225" i="9"/>
  <c r="AM225" i="9" s="1"/>
  <c r="AN225" i="9" s="1"/>
  <c r="AK217" i="9"/>
  <c r="AM217" i="9" s="1"/>
  <c r="AN217" i="9" s="1"/>
  <c r="AK209" i="9"/>
  <c r="AM209" i="9" s="1"/>
  <c r="AN209" i="9" s="1"/>
  <c r="AK234" i="9"/>
  <c r="AM234" i="9" s="1"/>
  <c r="AN234" i="9" s="1"/>
  <c r="AK226" i="9"/>
  <c r="AM226" i="9" s="1"/>
  <c r="AN226" i="9" s="1"/>
  <c r="AK218" i="9"/>
  <c r="AM218" i="9" s="1"/>
  <c r="AN218" i="9" s="1"/>
  <c r="AK210" i="9"/>
  <c r="AM210" i="9" s="1"/>
  <c r="AN210" i="9" s="1"/>
  <c r="EU229" i="9"/>
  <c r="EW229" i="9" s="1"/>
  <c r="EX229" i="9" s="1"/>
  <c r="EU221" i="9"/>
  <c r="EW221" i="9" s="1"/>
  <c r="EX221" i="9" s="1"/>
  <c r="EU213" i="9"/>
  <c r="EW213" i="9" s="1"/>
  <c r="EX213" i="9" s="1"/>
  <c r="DI238" i="9"/>
  <c r="DK238" i="9" s="1"/>
  <c r="DL238" i="9" s="1"/>
  <c r="CP229" i="9"/>
  <c r="CR229" i="9" s="1"/>
  <c r="CS229" i="9" s="1"/>
  <c r="CP221" i="9"/>
  <c r="CR221" i="9" s="1"/>
  <c r="CS221" i="9" s="1"/>
  <c r="CP213" i="9"/>
  <c r="CR213" i="9" s="1"/>
  <c r="CS213" i="9" s="1"/>
  <c r="R234" i="9"/>
  <c r="T234" i="9" s="1"/>
  <c r="U234" i="9" s="1"/>
  <c r="R226" i="9"/>
  <c r="T226" i="9" s="1"/>
  <c r="U226" i="9" s="1"/>
  <c r="R218" i="9"/>
  <c r="T218" i="9" s="1"/>
  <c r="U218" i="9" s="1"/>
  <c r="R210" i="9"/>
  <c r="T210" i="9" s="1"/>
  <c r="U210" i="9" s="1"/>
  <c r="AK205" i="9"/>
  <c r="AM205" i="9" s="1"/>
  <c r="AN205" i="9" s="1"/>
  <c r="AK197" i="9"/>
  <c r="AM197" i="9" s="1"/>
  <c r="AN197" i="9" s="1"/>
  <c r="AK189" i="9"/>
  <c r="AM189" i="9" s="1"/>
  <c r="AN189" i="9" s="1"/>
  <c r="AK181" i="9"/>
  <c r="AM181" i="9" s="1"/>
  <c r="AN181" i="9" s="1"/>
  <c r="BW204" i="9"/>
  <c r="BY204" i="9" s="1"/>
  <c r="BZ204" i="9" s="1"/>
  <c r="BW196" i="9"/>
  <c r="BY196" i="9" s="1"/>
  <c r="BZ196" i="9" s="1"/>
  <c r="BW188" i="9"/>
  <c r="BY188" i="9" s="1"/>
  <c r="BZ188" i="9" s="1"/>
  <c r="BW180" i="9"/>
  <c r="BY180" i="9" s="1"/>
  <c r="BZ180" i="9" s="1"/>
  <c r="CP215" i="9"/>
  <c r="CR215" i="9" s="1"/>
  <c r="CS215" i="9" s="1"/>
  <c r="EU201" i="9"/>
  <c r="EW201" i="9" s="1"/>
  <c r="EX201" i="9" s="1"/>
  <c r="EU193" i="9"/>
  <c r="EW193" i="9" s="1"/>
  <c r="EX193" i="9" s="1"/>
  <c r="EU185" i="9"/>
  <c r="EW185" i="9" s="1"/>
  <c r="EX185" i="9" s="1"/>
  <c r="AK244" i="9"/>
  <c r="AM244" i="9" s="1"/>
  <c r="AN244" i="9" s="1"/>
  <c r="BW206" i="9"/>
  <c r="BY206" i="9" s="1"/>
  <c r="BZ206" i="9" s="1"/>
  <c r="BW198" i="9"/>
  <c r="BY198" i="9" s="1"/>
  <c r="BZ198" i="9" s="1"/>
  <c r="BW190" i="9"/>
  <c r="BY190" i="9" s="1"/>
  <c r="BZ190" i="9" s="1"/>
  <c r="BW182" i="9"/>
  <c r="BY182" i="9" s="1"/>
  <c r="BZ182" i="9" s="1"/>
  <c r="AK207" i="9"/>
  <c r="AM207" i="9" s="1"/>
  <c r="AN207" i="9" s="1"/>
  <c r="BW199" i="9"/>
  <c r="BY199" i="9" s="1"/>
  <c r="BZ199" i="9" s="1"/>
  <c r="BW191" i="9"/>
  <c r="BY191" i="9" s="1"/>
  <c r="BZ191" i="9" s="1"/>
  <c r="BW183" i="9"/>
  <c r="BY183" i="9" s="1"/>
  <c r="BZ183" i="9" s="1"/>
  <c r="R207" i="9"/>
  <c r="T207" i="9" s="1"/>
  <c r="U207" i="9" s="1"/>
  <c r="R199" i="9"/>
  <c r="T199" i="9" s="1"/>
  <c r="U199" i="9" s="1"/>
  <c r="R191" i="9"/>
  <c r="T191" i="9" s="1"/>
  <c r="U191" i="9" s="1"/>
  <c r="R183" i="9"/>
  <c r="T183" i="9" s="1"/>
  <c r="U183" i="9" s="1"/>
  <c r="BW208" i="9"/>
  <c r="BY208" i="9" s="1"/>
  <c r="BZ208" i="9" s="1"/>
  <c r="DI199" i="9"/>
  <c r="DK199" i="9" s="1"/>
  <c r="DL199" i="9" s="1"/>
  <c r="DI191" i="9"/>
  <c r="DK191" i="9" s="1"/>
  <c r="DL191" i="9" s="1"/>
  <c r="DI183" i="9"/>
  <c r="DK183" i="9" s="1"/>
  <c r="DL183" i="9" s="1"/>
  <c r="AK176" i="9"/>
  <c r="AM176" i="9" s="1"/>
  <c r="AN176" i="9" s="1"/>
  <c r="AK204" i="9"/>
  <c r="AM204" i="9" s="1"/>
  <c r="AN204" i="9" s="1"/>
  <c r="BD199" i="9"/>
  <c r="BF199" i="9" s="1"/>
  <c r="BG199" i="9" s="1"/>
  <c r="CP172" i="9"/>
  <c r="CR172" i="9" s="1"/>
  <c r="CS172" i="9" s="1"/>
  <c r="CP164" i="9"/>
  <c r="CR164" i="9" s="1"/>
  <c r="CS164" i="9" s="1"/>
  <c r="CP156" i="9"/>
  <c r="CR156" i="9" s="1"/>
  <c r="CS156" i="9" s="1"/>
  <c r="CP189" i="9"/>
  <c r="CR189" i="9" s="1"/>
  <c r="CS189" i="9" s="1"/>
  <c r="AK172" i="9"/>
  <c r="AM172" i="9" s="1"/>
  <c r="AN172" i="9" s="1"/>
  <c r="AK164" i="9"/>
  <c r="AM164" i="9" s="1"/>
  <c r="AN164" i="9" s="1"/>
  <c r="AK156" i="9"/>
  <c r="AM156" i="9" s="1"/>
  <c r="AN156" i="9" s="1"/>
  <c r="BD183" i="9"/>
  <c r="BF183" i="9" s="1"/>
  <c r="BG183" i="9" s="1"/>
  <c r="EB172" i="9"/>
  <c r="ED172" i="9" s="1"/>
  <c r="EE172" i="9" s="1"/>
  <c r="EB164" i="9"/>
  <c r="ED164" i="9" s="1"/>
  <c r="EE164" i="9" s="1"/>
  <c r="EB156" i="9"/>
  <c r="ED156" i="9" s="1"/>
  <c r="EE156" i="9" s="1"/>
  <c r="BD191" i="9"/>
  <c r="BF191" i="9" s="1"/>
  <c r="BG191" i="9" s="1"/>
  <c r="R171" i="9"/>
  <c r="T171" i="9" s="1"/>
  <c r="U171" i="9" s="1"/>
  <c r="R163" i="9"/>
  <c r="T163" i="9" s="1"/>
  <c r="U163" i="9" s="1"/>
  <c r="AK178" i="9"/>
  <c r="AM178" i="9" s="1"/>
  <c r="AN178" i="9" s="1"/>
  <c r="EU162" i="9"/>
  <c r="EW162" i="9" s="1"/>
  <c r="EX162" i="9" s="1"/>
  <c r="DI146" i="9"/>
  <c r="DK146" i="9" s="1"/>
  <c r="DL146" i="9" s="1"/>
  <c r="DI138" i="9"/>
  <c r="DK138" i="9" s="1"/>
  <c r="DL138" i="9" s="1"/>
  <c r="DI174" i="9"/>
  <c r="DK174" i="9" s="1"/>
  <c r="DL174" i="9" s="1"/>
  <c r="DI158" i="9"/>
  <c r="DK158" i="9" s="1"/>
  <c r="DL158" i="9" s="1"/>
  <c r="EU145" i="9"/>
  <c r="EW145" i="9" s="1"/>
  <c r="EX145" i="9" s="1"/>
  <c r="EU137" i="9"/>
  <c r="EW137" i="9" s="1"/>
  <c r="EX137" i="9" s="1"/>
  <c r="EB167" i="9"/>
  <c r="ED167" i="9" s="1"/>
  <c r="EE167" i="9" s="1"/>
  <c r="DI155" i="9"/>
  <c r="DK155" i="9" s="1"/>
  <c r="DL155" i="9" s="1"/>
  <c r="EU146" i="9"/>
  <c r="EW146" i="9" s="1"/>
  <c r="EX146" i="9" s="1"/>
  <c r="EU138" i="9"/>
  <c r="EW138" i="9" s="1"/>
  <c r="EX138" i="9" s="1"/>
  <c r="EU172" i="9"/>
  <c r="EW172" i="9" s="1"/>
  <c r="EX172" i="9" s="1"/>
  <c r="R151" i="9"/>
  <c r="T151" i="9" s="1"/>
  <c r="U151" i="9" s="1"/>
  <c r="R143" i="9"/>
  <c r="T143" i="9" s="1"/>
  <c r="U143" i="9" s="1"/>
  <c r="R135" i="9"/>
  <c r="T135" i="9" s="1"/>
  <c r="U135" i="9" s="1"/>
  <c r="EU163" i="9"/>
  <c r="EW163" i="9" s="1"/>
  <c r="EX163" i="9" s="1"/>
  <c r="BW138" i="9"/>
  <c r="BY138" i="9" s="1"/>
  <c r="BZ138" i="9" s="1"/>
  <c r="CP128" i="9"/>
  <c r="CR128" i="9" s="1"/>
  <c r="CS128" i="9" s="1"/>
  <c r="CP120" i="9"/>
  <c r="CR120" i="9" s="1"/>
  <c r="CS120" i="9" s="1"/>
  <c r="AK168" i="9"/>
  <c r="AM168" i="9" s="1"/>
  <c r="AN168" i="9" s="1"/>
  <c r="CP152" i="9"/>
  <c r="CR152" i="9" s="1"/>
  <c r="CS152" i="9" s="1"/>
  <c r="R134" i="9"/>
  <c r="T134" i="9" s="1"/>
  <c r="U134" i="9" s="1"/>
  <c r="BW126" i="9"/>
  <c r="BY126" i="9" s="1"/>
  <c r="BZ126" i="9" s="1"/>
  <c r="BW118" i="9"/>
  <c r="BY118" i="9" s="1"/>
  <c r="BZ118" i="9" s="1"/>
  <c r="R165" i="9"/>
  <c r="T165" i="9" s="1"/>
  <c r="U165" i="9" s="1"/>
  <c r="BW145" i="9"/>
  <c r="BY145" i="9" s="1"/>
  <c r="BZ145" i="9" s="1"/>
  <c r="AK129" i="9"/>
  <c r="AM129" i="9" s="1"/>
  <c r="AN129" i="9" s="1"/>
  <c r="AK160" i="9"/>
  <c r="AM160" i="9" s="1"/>
  <c r="AN160" i="9" s="1"/>
  <c r="R137" i="9"/>
  <c r="T137" i="9" s="1"/>
  <c r="U137" i="9" s="1"/>
  <c r="EU124" i="9"/>
  <c r="EW124" i="9" s="1"/>
  <c r="EX124" i="9" s="1"/>
  <c r="EU116" i="9"/>
  <c r="EW116" i="9" s="1"/>
  <c r="EX116" i="9" s="1"/>
  <c r="BD155" i="9"/>
  <c r="BF155" i="9" s="1"/>
  <c r="BG155" i="9" s="1"/>
  <c r="BW143" i="9"/>
  <c r="BY143" i="9" s="1"/>
  <c r="BZ143" i="9" s="1"/>
  <c r="AK131" i="9"/>
  <c r="AM131" i="9" s="1"/>
  <c r="AN131" i="9" s="1"/>
  <c r="AK123" i="9"/>
  <c r="AM123" i="9" s="1"/>
  <c r="AN123" i="9" s="1"/>
  <c r="EU177" i="9"/>
  <c r="EW177" i="9" s="1"/>
  <c r="EX177" i="9" s="1"/>
  <c r="CP146" i="9"/>
  <c r="CR146" i="9" s="1"/>
  <c r="CS146" i="9" s="1"/>
  <c r="AK133" i="9"/>
  <c r="AM133" i="9" s="1"/>
  <c r="AN133" i="9" s="1"/>
  <c r="CP125" i="9"/>
  <c r="CR125" i="9" s="1"/>
  <c r="CS125" i="9" s="1"/>
  <c r="CP117" i="9"/>
  <c r="CR117" i="9" s="1"/>
  <c r="CS117" i="9" s="1"/>
  <c r="EB124" i="9"/>
  <c r="ED124" i="9" s="1"/>
  <c r="EE124" i="9" s="1"/>
  <c r="CP154" i="9"/>
  <c r="CR154" i="9" s="1"/>
  <c r="CS154" i="9" s="1"/>
  <c r="EB114" i="9"/>
  <c r="ED114" i="9" s="1"/>
  <c r="EE114" i="9" s="1"/>
  <c r="EB106" i="9"/>
  <c r="ED106" i="9" s="1"/>
  <c r="EE106" i="9" s="1"/>
  <c r="EB98" i="9"/>
  <c r="ED98" i="9" s="1"/>
  <c r="EE98" i="9" s="1"/>
  <c r="EU127" i="9"/>
  <c r="EW127" i="9" s="1"/>
  <c r="EX127" i="9" s="1"/>
  <c r="EU110" i="9"/>
  <c r="EW110" i="9" s="1"/>
  <c r="EX110" i="9" s="1"/>
  <c r="EU102" i="9"/>
  <c r="EW102" i="9" s="1"/>
  <c r="EX102" i="9" s="1"/>
  <c r="EU94" i="9"/>
  <c r="EW94" i="9" s="1"/>
  <c r="EX94" i="9" s="1"/>
  <c r="BD120" i="9"/>
  <c r="BF120" i="9" s="1"/>
  <c r="BG120" i="9" s="1"/>
  <c r="CP111" i="9"/>
  <c r="CR111" i="9" s="1"/>
  <c r="CS111" i="9" s="1"/>
  <c r="CP103" i="9"/>
  <c r="CR103" i="9" s="1"/>
  <c r="CS103" i="9" s="1"/>
  <c r="CP95" i="9"/>
  <c r="CR95" i="9" s="1"/>
  <c r="CS95" i="9" s="1"/>
  <c r="R138" i="9"/>
  <c r="T138" i="9" s="1"/>
  <c r="U138" i="9" s="1"/>
  <c r="EB116" i="9"/>
  <c r="ED116" i="9" s="1"/>
  <c r="EE116" i="9" s="1"/>
  <c r="R108" i="9"/>
  <c r="T108" i="9" s="1"/>
  <c r="U108" i="9" s="1"/>
  <c r="R100" i="9"/>
  <c r="T100" i="9" s="1"/>
  <c r="U100" i="9" s="1"/>
  <c r="R144" i="9"/>
  <c r="T144" i="9" s="1"/>
  <c r="U144" i="9" s="1"/>
  <c r="EU107" i="9"/>
  <c r="EW107" i="9" s="1"/>
  <c r="EX107" i="9" s="1"/>
  <c r="EU91" i="9"/>
  <c r="EW91" i="9" s="1"/>
  <c r="EX91" i="9" s="1"/>
  <c r="EU83" i="9"/>
  <c r="EW83" i="9" s="1"/>
  <c r="EX83" i="9" s="1"/>
  <c r="EU75" i="9"/>
  <c r="EW75" i="9" s="1"/>
  <c r="EX75" i="9" s="1"/>
  <c r="EU67" i="9"/>
  <c r="EW67" i="9" s="1"/>
  <c r="EX67" i="9" s="1"/>
  <c r="EU59" i="9"/>
  <c r="EW59" i="9" s="1"/>
  <c r="EX59" i="9" s="1"/>
  <c r="EU51" i="9"/>
  <c r="EW51" i="9" s="1"/>
  <c r="EX51" i="9" s="1"/>
  <c r="EB152" i="9"/>
  <c r="ED152" i="9" s="1"/>
  <c r="EE152" i="9" s="1"/>
  <c r="EB100" i="9"/>
  <c r="ED100" i="9" s="1"/>
  <c r="EE100" i="9" s="1"/>
  <c r="BW88" i="9"/>
  <c r="BY88" i="9" s="1"/>
  <c r="BZ88" i="9" s="1"/>
  <c r="BW80" i="9"/>
  <c r="BY80" i="9" s="1"/>
  <c r="BZ80" i="9" s="1"/>
  <c r="BW72" i="9"/>
  <c r="BY72" i="9" s="1"/>
  <c r="BZ72" i="9" s="1"/>
  <c r="BW64" i="9"/>
  <c r="BY64" i="9" s="1"/>
  <c r="BZ64" i="9" s="1"/>
  <c r="BW56" i="9"/>
  <c r="BY56" i="9" s="1"/>
  <c r="BZ56" i="9" s="1"/>
  <c r="BW48" i="9"/>
  <c r="BY48" i="9" s="1"/>
  <c r="BZ48" i="9" s="1"/>
  <c r="BW111" i="9"/>
  <c r="BY111" i="9" s="1"/>
  <c r="BZ111" i="9" s="1"/>
  <c r="AK91" i="9"/>
  <c r="AM91" i="9" s="1"/>
  <c r="AN91" i="9" s="1"/>
  <c r="AK83" i="9"/>
  <c r="AM83" i="9" s="1"/>
  <c r="AN83" i="9" s="1"/>
  <c r="AK75" i="9"/>
  <c r="AM75" i="9" s="1"/>
  <c r="AN75" i="9" s="1"/>
  <c r="AK67" i="9"/>
  <c r="AM67" i="9" s="1"/>
  <c r="AN67" i="9" s="1"/>
  <c r="AK59" i="9"/>
  <c r="AM59" i="9" s="1"/>
  <c r="AN59" i="9" s="1"/>
  <c r="AK51" i="9"/>
  <c r="AM51" i="9" s="1"/>
  <c r="AN51" i="9" s="1"/>
  <c r="DI129" i="9"/>
  <c r="DK129" i="9" s="1"/>
  <c r="DL129" i="9" s="1"/>
  <c r="BD101" i="9"/>
  <c r="BF101" i="9" s="1"/>
  <c r="BG101" i="9" s="1"/>
  <c r="R93" i="9"/>
  <c r="T93" i="9" s="1"/>
  <c r="U93" i="9" s="1"/>
  <c r="CP85" i="9"/>
  <c r="CR85" i="9" s="1"/>
  <c r="CS85" i="9" s="1"/>
  <c r="CP77" i="9"/>
  <c r="CR77" i="9" s="1"/>
  <c r="CS77" i="9" s="1"/>
  <c r="CP69" i="9"/>
  <c r="CR69" i="9" s="1"/>
  <c r="CS69" i="9" s="1"/>
  <c r="CP61" i="9"/>
  <c r="CR61" i="9" s="1"/>
  <c r="CS61" i="9" s="1"/>
  <c r="CP53" i="9"/>
  <c r="CR53" i="9" s="1"/>
  <c r="CS53" i="9" s="1"/>
  <c r="CP45" i="9"/>
  <c r="CR45" i="9" s="1"/>
  <c r="CS45" i="9" s="1"/>
  <c r="CP105" i="9"/>
  <c r="CR105" i="9" s="1"/>
  <c r="CS105" i="9" s="1"/>
  <c r="R90" i="9"/>
  <c r="T90" i="9" s="1"/>
  <c r="U90" i="9" s="1"/>
  <c r="R82" i="9"/>
  <c r="T82" i="9" s="1"/>
  <c r="U82" i="9" s="1"/>
  <c r="R74" i="9"/>
  <c r="T74" i="9" s="1"/>
  <c r="U74" i="9" s="1"/>
  <c r="R66" i="9"/>
  <c r="T66" i="9" s="1"/>
  <c r="U66" i="9" s="1"/>
  <c r="R58" i="9"/>
  <c r="T58" i="9" s="1"/>
  <c r="U58" i="9" s="1"/>
  <c r="R50" i="9"/>
  <c r="T50" i="9" s="1"/>
  <c r="U50" i="9" s="1"/>
  <c r="R123" i="9"/>
  <c r="T123" i="9" s="1"/>
  <c r="U123" i="9" s="1"/>
  <c r="DI101" i="9"/>
  <c r="DK101" i="9" s="1"/>
  <c r="DL101" i="9" s="1"/>
  <c r="BD90" i="9"/>
  <c r="BF90" i="9" s="1"/>
  <c r="BG90" i="9" s="1"/>
  <c r="BW110" i="9"/>
  <c r="BY110" i="9" s="1"/>
  <c r="BZ110" i="9" s="1"/>
  <c r="EB15" i="9"/>
  <c r="ED15" i="9" s="1"/>
  <c r="EE15" i="9" s="1"/>
  <c r="BD35" i="9"/>
  <c r="BF35" i="9" s="1"/>
  <c r="BG35" i="9" s="1"/>
  <c r="R51" i="9"/>
  <c r="T51" i="9" s="1"/>
  <c r="U51" i="9" s="1"/>
  <c r="BW84" i="9"/>
  <c r="BY84" i="9" s="1"/>
  <c r="BZ84" i="9" s="1"/>
  <c r="AK113" i="9"/>
  <c r="AM113" i="9" s="1"/>
  <c r="AN113" i="9" s="1"/>
  <c r="DI35" i="9"/>
  <c r="DK35" i="9" s="1"/>
  <c r="DL35" i="9" s="1"/>
  <c r="CP40" i="9"/>
  <c r="CR40" i="9" s="1"/>
  <c r="CS40" i="9" s="1"/>
  <c r="AK46" i="9"/>
  <c r="AM46" i="9" s="1"/>
  <c r="AN46" i="9" s="1"/>
  <c r="EU66" i="9"/>
  <c r="EW66" i="9" s="1"/>
  <c r="EX66" i="9" s="1"/>
  <c r="BW78" i="9"/>
  <c r="BY78" i="9" s="1"/>
  <c r="BZ78" i="9" s="1"/>
  <c r="AK106" i="9"/>
  <c r="AM106" i="9" s="1"/>
  <c r="AN106" i="9" s="1"/>
  <c r="EB21" i="9"/>
  <c r="ED21" i="9" s="1"/>
  <c r="EE21" i="9" s="1"/>
  <c r="AK30" i="9"/>
  <c r="AM30" i="9" s="1"/>
  <c r="AN30" i="9" s="1"/>
  <c r="BW36" i="9"/>
  <c r="BY36" i="9" s="1"/>
  <c r="BZ36" i="9" s="1"/>
  <c r="EU42" i="9"/>
  <c r="EW42" i="9" s="1"/>
  <c r="EX42" i="9" s="1"/>
  <c r="BW54" i="9"/>
  <c r="BY54" i="9" s="1"/>
  <c r="BZ54" i="9" s="1"/>
  <c r="DI75" i="9"/>
  <c r="DK75" i="9" s="1"/>
  <c r="DL75" i="9" s="1"/>
  <c r="DI17" i="9"/>
  <c r="DK17" i="9" s="1"/>
  <c r="DL17" i="9" s="1"/>
  <c r="BD24" i="9"/>
  <c r="BF24" i="9" s="1"/>
  <c r="BG24" i="9" s="1"/>
  <c r="EU31" i="9"/>
  <c r="EW31" i="9" s="1"/>
  <c r="EX31" i="9" s="1"/>
  <c r="CP38" i="9"/>
  <c r="CR38" i="9" s="1"/>
  <c r="CS38" i="9" s="1"/>
  <c r="EB47" i="9"/>
  <c r="ED47" i="9" s="1"/>
  <c r="EE47" i="9" s="1"/>
  <c r="BD75" i="9"/>
  <c r="BF75" i="9" s="1"/>
  <c r="BG75" i="9" s="1"/>
  <c r="EB79" i="9"/>
  <c r="ED79" i="9" s="1"/>
  <c r="EE79" i="9" s="1"/>
  <c r="EB349" i="9"/>
  <c r="ED349" i="9" s="1"/>
  <c r="EE349" i="9" s="1"/>
  <c r="BW319" i="9"/>
  <c r="BY319" i="9" s="1"/>
  <c r="BZ319" i="9" s="1"/>
  <c r="CP318" i="9"/>
  <c r="CR318" i="9" s="1"/>
  <c r="CS318" i="9" s="1"/>
  <c r="EU301" i="9"/>
  <c r="EW301" i="9" s="1"/>
  <c r="EX301" i="9" s="1"/>
  <c r="CP311" i="9"/>
  <c r="CR311" i="9" s="1"/>
  <c r="CS311" i="9" s="1"/>
  <c r="EU298" i="9"/>
  <c r="EW298" i="9" s="1"/>
  <c r="EX298" i="9" s="1"/>
  <c r="BW296" i="9"/>
  <c r="BY296" i="9" s="1"/>
  <c r="BZ296" i="9" s="1"/>
  <c r="BW303" i="9"/>
  <c r="BY303" i="9" s="1"/>
  <c r="BZ303" i="9" s="1"/>
  <c r="EB283" i="9"/>
  <c r="ED283" i="9" s="1"/>
  <c r="EE283" i="9" s="1"/>
  <c r="R274" i="9"/>
  <c r="T274" i="9" s="1"/>
  <c r="U274" i="9" s="1"/>
  <c r="BW269" i="9"/>
  <c r="BY269" i="9" s="1"/>
  <c r="BZ269" i="9" s="1"/>
  <c r="EB275" i="9"/>
  <c r="ED275" i="9" s="1"/>
  <c r="EE275" i="9" s="1"/>
  <c r="EB262" i="9"/>
  <c r="ED262" i="9" s="1"/>
  <c r="EE262" i="9" s="1"/>
  <c r="BW284" i="9"/>
  <c r="BY284" i="9" s="1"/>
  <c r="BZ284" i="9" s="1"/>
  <c r="CP269" i="9"/>
  <c r="CR269" i="9" s="1"/>
  <c r="CS269" i="9" s="1"/>
  <c r="AK251" i="9"/>
  <c r="AM251" i="9" s="1"/>
  <c r="AN251" i="9" s="1"/>
  <c r="BW243" i="9"/>
  <c r="BY243" i="9" s="1"/>
  <c r="BZ243" i="9" s="1"/>
  <c r="R244" i="9"/>
  <c r="T244" i="9" s="1"/>
  <c r="U244" i="9" s="1"/>
  <c r="BD236" i="9"/>
  <c r="BF236" i="9" s="1"/>
  <c r="BG236" i="9" s="1"/>
  <c r="BD226" i="9"/>
  <c r="BF226" i="9" s="1"/>
  <c r="BG226" i="9" s="1"/>
  <c r="EB215" i="9"/>
  <c r="ED215" i="9" s="1"/>
  <c r="EE215" i="9" s="1"/>
  <c r="EB233" i="9"/>
  <c r="ED233" i="9" s="1"/>
  <c r="EE233" i="9" s="1"/>
  <c r="CP228" i="9"/>
  <c r="CR228" i="9" s="1"/>
  <c r="CS228" i="9" s="1"/>
  <c r="AK220" i="9"/>
  <c r="AM220" i="9" s="1"/>
  <c r="AN220" i="9" s="1"/>
  <c r="DI217" i="9"/>
  <c r="DK217" i="9" s="1"/>
  <c r="DL217" i="9" s="1"/>
  <c r="R203" i="9"/>
  <c r="T203" i="9" s="1"/>
  <c r="U203" i="9" s="1"/>
  <c r="AK214" i="9"/>
  <c r="AM214" i="9" s="1"/>
  <c r="AN214" i="9" s="1"/>
  <c r="R205" i="9"/>
  <c r="T205" i="9" s="1"/>
  <c r="U205" i="9" s="1"/>
  <c r="R198" i="9"/>
  <c r="T198" i="9" s="1"/>
  <c r="U198" i="9" s="1"/>
  <c r="DI190" i="9"/>
  <c r="DK190" i="9" s="1"/>
  <c r="DL190" i="9" s="1"/>
  <c r="BD182" i="9"/>
  <c r="BF182" i="9" s="1"/>
  <c r="BG182" i="9" s="1"/>
  <c r="AK163" i="9"/>
  <c r="AM163" i="9" s="1"/>
  <c r="AN163" i="9" s="1"/>
  <c r="EB155" i="9"/>
  <c r="ED155" i="9" s="1"/>
  <c r="EE155" i="9" s="1"/>
  <c r="DI178" i="9"/>
  <c r="DK178" i="9" s="1"/>
  <c r="DL178" i="9" s="1"/>
  <c r="R166" i="9"/>
  <c r="T166" i="9" s="1"/>
  <c r="U166" i="9" s="1"/>
  <c r="DI142" i="9"/>
  <c r="DK142" i="9" s="1"/>
  <c r="DL142" i="9" s="1"/>
  <c r="EB166" i="9"/>
  <c r="ED166" i="9" s="1"/>
  <c r="EE166" i="9" s="1"/>
  <c r="BD140" i="9"/>
  <c r="BF140" i="9" s="1"/>
  <c r="BG140" i="9" s="1"/>
  <c r="EU154" i="9"/>
  <c r="EW154" i="9" s="1"/>
  <c r="EX154" i="9" s="1"/>
  <c r="AK132" i="9"/>
  <c r="AM132" i="9" s="1"/>
  <c r="AN132" i="9" s="1"/>
  <c r="BW97" i="9"/>
  <c r="BY97" i="9" s="1"/>
  <c r="BZ97" i="9" s="1"/>
  <c r="AK110" i="9"/>
  <c r="AM110" i="9" s="1"/>
  <c r="AN110" i="9" s="1"/>
  <c r="EU141" i="9"/>
  <c r="EW141" i="9" s="1"/>
  <c r="EX141" i="9" s="1"/>
  <c r="CP58" i="9"/>
  <c r="CR58" i="9" s="1"/>
  <c r="CS58" i="9" s="1"/>
  <c r="R71" i="9"/>
  <c r="T71" i="9" s="1"/>
  <c r="U71" i="9" s="1"/>
  <c r="EB82" i="9"/>
  <c r="ED82" i="9" s="1"/>
  <c r="EE82" i="9" s="1"/>
  <c r="BD99" i="9"/>
  <c r="BF99" i="9" s="1"/>
  <c r="BG99" i="9" s="1"/>
  <c r="AK52" i="9"/>
  <c r="AM52" i="9" s="1"/>
  <c r="AN52" i="9" s="1"/>
  <c r="DI65" i="9"/>
  <c r="DK65" i="9" s="1"/>
  <c r="DL65" i="9" s="1"/>
  <c r="BD109" i="9"/>
  <c r="BF109" i="9" s="1"/>
  <c r="BG109" i="9" s="1"/>
  <c r="DI27" i="9"/>
  <c r="DK27" i="9" s="1"/>
  <c r="DL27" i="9" s="1"/>
  <c r="BD107" i="9"/>
  <c r="BF107" i="9" s="1"/>
  <c r="BG107" i="9" s="1"/>
  <c r="BD83" i="9"/>
  <c r="BF83" i="9" s="1"/>
  <c r="BG83" i="9" s="1"/>
  <c r="R83" i="9"/>
  <c r="T83" i="9" s="1"/>
  <c r="U83" i="9" s="1"/>
  <c r="BS19" i="12"/>
  <c r="BT19" i="12"/>
  <c r="BU19" i="12"/>
  <c r="AZ19" i="12"/>
  <c r="BB19" i="12"/>
  <c r="BA19" i="12"/>
  <c r="AI19" i="12"/>
  <c r="AH19" i="12"/>
  <c r="AG19" i="12"/>
  <c r="N22" i="12" a="1"/>
  <c r="N22" i="12" s="1"/>
  <c r="H22" i="12" a="1"/>
  <c r="H22" i="12" s="1"/>
  <c r="G22" i="12" a="1"/>
  <c r="G22" i="12" s="1"/>
  <c r="L22" i="12" a="1"/>
  <c r="L22" i="12" s="1"/>
  <c r="J22" i="12" a="1"/>
  <c r="J22" i="12" s="1"/>
  <c r="O22" i="12" a="1"/>
  <c r="O22" i="12" s="1"/>
  <c r="K22" i="12" a="1"/>
  <c r="K22" i="12" s="1"/>
  <c r="D23" i="12"/>
  <c r="E140" i="12"/>
  <c r="E141" i="12" s="1"/>
  <c r="E142" i="12" s="1"/>
  <c r="E143" i="12" s="1"/>
  <c r="E144" i="12" s="1"/>
  <c r="E145" i="12" s="1"/>
  <c r="E146" i="12" s="1"/>
  <c r="E147" i="12" s="1"/>
  <c r="CZ20" i="12"/>
  <c r="DB20" i="12" s="1"/>
  <c r="DS20" i="12"/>
  <c r="DU20" i="12" s="1"/>
  <c r="FE20" i="12"/>
  <c r="FG20" i="12" s="1"/>
  <c r="DA21" i="9"/>
  <c r="BO21" i="9"/>
  <c r="V16" i="8" a="1"/>
  <c r="V16" i="8" s="1"/>
  <c r="AB18" i="8" a="1"/>
  <c r="AB18" i="8" s="1"/>
  <c r="X16" i="8" a="1"/>
  <c r="X16" i="8" s="1"/>
  <c r="W12" i="8" a="1"/>
  <c r="W12" i="8" s="1"/>
  <c r="AB12" i="8" a="1"/>
  <c r="AB12" i="8" s="1"/>
  <c r="V12" i="8" a="1"/>
  <c r="V12" i="8" s="1"/>
  <c r="V19" i="8" a="1"/>
  <c r="V19" i="8" s="1"/>
  <c r="Z12" i="8" a="1"/>
  <c r="Z12" i="8" s="1"/>
  <c r="AD19" i="8" a="1"/>
  <c r="AD19" i="8" s="1"/>
  <c r="AD13" i="8" a="1"/>
  <c r="AD13" i="8" s="1"/>
  <c r="AD12" i="8" a="1"/>
  <c r="AD12" i="8" s="1"/>
  <c r="Z19" i="8" a="1"/>
  <c r="Z19" i="8" s="1"/>
  <c r="W13" i="8" a="1"/>
  <c r="W13" i="8" s="1"/>
  <c r="AB13" i="8" a="1"/>
  <c r="AB13" i="8" s="1"/>
  <c r="V18" i="8" a="1"/>
  <c r="V18" i="8" s="1"/>
  <c r="Z18" i="8" a="1"/>
  <c r="Z18" i="8" s="1"/>
  <c r="X13" i="8" a="1"/>
  <c r="X13" i="8" s="1"/>
  <c r="V11" i="8" a="1"/>
  <c r="V11" i="8" s="1"/>
  <c r="W19" i="8" a="1"/>
  <c r="W19" i="8" s="1"/>
  <c r="V10" i="8" a="1"/>
  <c r="V10" i="8" s="1"/>
  <c r="AC18" i="8"/>
  <c r="Z13" i="8" a="1"/>
  <c r="Z13" i="8" s="1"/>
  <c r="AD10" i="8" a="1"/>
  <c r="AD10" i="8" s="1"/>
  <c r="AB19" i="8" a="1"/>
  <c r="AB19" i="8" s="1"/>
  <c r="AC16" i="8"/>
  <c r="Z16" i="8" a="1"/>
  <c r="Z16" i="8" s="1"/>
  <c r="AB16" i="8" a="1"/>
  <c r="AB16" i="8" s="1"/>
  <c r="X19" i="8" a="1"/>
  <c r="X19" i="8" s="1"/>
  <c r="AD16" i="8" a="1"/>
  <c r="AD16" i="8" s="1"/>
  <c r="W14" i="8" a="1"/>
  <c r="W14" i="8" s="1"/>
  <c r="V14" i="8" a="1"/>
  <c r="V14" i="8" s="1"/>
  <c r="AB14" i="8" a="1"/>
  <c r="AB14" i="8" s="1"/>
  <c r="Z10" i="8" a="1"/>
  <c r="Z10" i="8" s="1"/>
  <c r="X14" i="8" a="1"/>
  <c r="X14" i="8" s="1"/>
  <c r="AB10" i="8" a="1"/>
  <c r="AB10" i="8" s="1"/>
  <c r="X18" i="8" a="1"/>
  <c r="X18" i="8" s="1"/>
  <c r="AD18" i="8" a="1"/>
  <c r="AD18" i="8" s="1"/>
  <c r="AD14" i="8" a="1"/>
  <c r="AD14" i="8" s="1"/>
  <c r="V20" i="8" a="1"/>
  <c r="V20" i="8" s="1"/>
  <c r="Z14" i="8" a="1"/>
  <c r="Z14" i="8" s="1"/>
  <c r="V9" i="8" a="1"/>
  <c r="V9" i="8" s="1"/>
  <c r="X9" i="8" a="1"/>
  <c r="X9" i="8" s="1"/>
  <c r="Z9" i="8" a="1"/>
  <c r="Z9" i="8" s="1"/>
  <c r="W9" i="8" a="1"/>
  <c r="W9" i="8" s="1"/>
  <c r="AB9" i="8" a="1"/>
  <c r="AB9" i="8" s="1"/>
  <c r="AD9" i="8" a="1"/>
  <c r="AD9" i="8" s="1"/>
  <c r="X10" i="8" a="1"/>
  <c r="X10" i="8" s="1"/>
  <c r="W20" i="8" a="1"/>
  <c r="W20" i="8" s="1"/>
  <c r="AC15" i="8"/>
  <c r="Z15" i="8" a="1"/>
  <c r="Z15" i="8" s="1"/>
  <c r="W15" i="8" a="1"/>
  <c r="W15" i="8" s="1"/>
  <c r="X15" i="8" a="1"/>
  <c r="X15" i="8" s="1"/>
  <c r="V15" i="8" a="1"/>
  <c r="V15" i="8" s="1"/>
  <c r="AB15" i="8" a="1"/>
  <c r="AB15" i="8" s="1"/>
  <c r="AD15" i="8" a="1"/>
  <c r="AD15" i="8" s="1"/>
  <c r="W11" i="8" a="1"/>
  <c r="W11" i="8" s="1"/>
  <c r="AB20" i="8" a="1"/>
  <c r="AB20" i="8" s="1"/>
  <c r="AD11" i="8" a="1"/>
  <c r="AD11" i="8" s="1"/>
  <c r="AD20" i="8" a="1"/>
  <c r="AD20" i="8" s="1"/>
  <c r="A33" i="8"/>
  <c r="H33" i="8" s="1"/>
  <c r="A32" i="8"/>
  <c r="H32" i="8" s="1"/>
  <c r="A31" i="8"/>
  <c r="H31" i="8" s="1"/>
  <c r="A27" i="8"/>
  <c r="C27" i="8" s="1"/>
  <c r="A35" i="8"/>
  <c r="H35" i="8" s="1"/>
  <c r="A30" i="8"/>
  <c r="H30" i="8" s="1"/>
  <c r="A29" i="8"/>
  <c r="A28" i="8"/>
  <c r="A34" i="8"/>
  <c r="H34" i="8" s="1"/>
  <c r="A36" i="8"/>
  <c r="H36" i="8" s="1"/>
  <c r="A26" i="8"/>
  <c r="C26" i="8" s="1"/>
  <c r="AB11" i="8" a="1"/>
  <c r="AB11" i="8" s="1"/>
  <c r="Z20" i="8" a="1"/>
  <c r="Z20" i="8" s="1"/>
  <c r="Z11" i="8" a="1"/>
  <c r="Z11" i="8" s="1"/>
  <c r="X20" i="8" a="1"/>
  <c r="X20" i="8" s="1"/>
  <c r="ET19" i="12" l="1"/>
  <c r="Y10" i="8"/>
  <c r="AA10" i="8" s="1"/>
  <c r="AC10" i="8" s="1"/>
  <c r="G26" i="8" s="1"/>
  <c r="Y11" i="8"/>
  <c r="AA11" i="8" s="1"/>
  <c r="AC11" i="8" s="1"/>
  <c r="G27" i="8" s="1"/>
  <c r="BT20" i="12"/>
  <c r="CH22" i="9"/>
  <c r="BS20" i="12"/>
  <c r="BV20" i="12" s="1"/>
  <c r="Y12" i="8"/>
  <c r="AA12" i="8" s="1"/>
  <c r="AC12" i="8" s="1"/>
  <c r="G28" i="8" s="1"/>
  <c r="AH20" i="12"/>
  <c r="AC22" i="9"/>
  <c r="AI20" i="12"/>
  <c r="BN22" i="9"/>
  <c r="BP22" i="9" s="1"/>
  <c r="CZ22" i="9"/>
  <c r="DB22" i="9" s="1"/>
  <c r="EM22" i="9"/>
  <c r="DA22" i="9"/>
  <c r="FE22" i="9"/>
  <c r="FG22" i="9" s="1"/>
  <c r="AB22" i="9"/>
  <c r="AD22" i="9" s="1"/>
  <c r="DS22" i="9"/>
  <c r="DU22" i="9" s="1"/>
  <c r="CG22" i="9"/>
  <c r="CI22" i="9" s="1"/>
  <c r="FM19" i="12"/>
  <c r="BC19" i="12"/>
  <c r="AJ19" i="12"/>
  <c r="EL22" i="9"/>
  <c r="EN22" i="9" s="1"/>
  <c r="CO19" i="12"/>
  <c r="BV19" i="12"/>
  <c r="EA19" i="12"/>
  <c r="AQ203" i="9"/>
  <c r="AO203" i="9"/>
  <c r="AP203" i="9" s="1"/>
  <c r="AR203" i="9" s="1"/>
  <c r="W203" i="9"/>
  <c r="Y203" i="9" s="1"/>
  <c r="AO66" i="9"/>
  <c r="AP66" i="9" s="1"/>
  <c r="AR66" i="9" s="1"/>
  <c r="AQ66" i="9"/>
  <c r="W66" i="9"/>
  <c r="Y66" i="9" s="1"/>
  <c r="AQ171" i="9"/>
  <c r="AO171" i="9"/>
  <c r="AP171" i="9" s="1"/>
  <c r="AR171" i="9" s="1"/>
  <c r="W171" i="9"/>
  <c r="Y171" i="9" s="1"/>
  <c r="BH210" i="9"/>
  <c r="BI210" i="9" s="1"/>
  <c r="BK210" i="9" s="1"/>
  <c r="BJ210" i="9"/>
  <c r="FA270" i="9"/>
  <c r="EY270" i="9"/>
  <c r="EZ270" i="9" s="1"/>
  <c r="FB270" i="9" s="1"/>
  <c r="DO90" i="9"/>
  <c r="DM90" i="9"/>
  <c r="DN90" i="9" s="1"/>
  <c r="DP90" i="9" s="1"/>
  <c r="CC103" i="9"/>
  <c r="CA103" i="9"/>
  <c r="CB103" i="9" s="1"/>
  <c r="CD103" i="9" s="1"/>
  <c r="DO157" i="9"/>
  <c r="DM157" i="9"/>
  <c r="DN157" i="9" s="1"/>
  <c r="DP157" i="9" s="1"/>
  <c r="DM226" i="9"/>
  <c r="DN226" i="9" s="1"/>
  <c r="DP226" i="9" s="1"/>
  <c r="DO226" i="9"/>
  <c r="DM294" i="9"/>
  <c r="DN294" i="9" s="1"/>
  <c r="DP294" i="9" s="1"/>
  <c r="DO294" i="9"/>
  <c r="AQ77" i="9"/>
  <c r="AO77" i="9"/>
  <c r="AP77" i="9" s="1"/>
  <c r="AR77" i="9" s="1"/>
  <c r="W77" i="9"/>
  <c r="Y77" i="9" s="1"/>
  <c r="EY102" i="9"/>
  <c r="EZ102" i="9" s="1"/>
  <c r="FB102" i="9" s="1"/>
  <c r="FA102" i="9"/>
  <c r="CT165" i="9"/>
  <c r="CU165" i="9" s="1"/>
  <c r="CW165" i="9" s="1"/>
  <c r="CV165" i="9"/>
  <c r="EF215" i="9"/>
  <c r="EG215" i="9" s="1"/>
  <c r="EI215" i="9" s="1"/>
  <c r="EH215" i="9"/>
  <c r="EF277" i="9"/>
  <c r="EG277" i="9" s="1"/>
  <c r="EI277" i="9" s="1"/>
  <c r="EH277" i="9"/>
  <c r="EH81" i="9"/>
  <c r="EF81" i="9"/>
  <c r="EG81" i="9" s="1"/>
  <c r="EI81" i="9" s="1"/>
  <c r="EH44" i="9"/>
  <c r="EF44" i="9"/>
  <c r="EG44" i="9" s="1"/>
  <c r="EI44" i="9" s="1"/>
  <c r="AQ113" i="9"/>
  <c r="AO113" i="9"/>
  <c r="AP113" i="9" s="1"/>
  <c r="AR113" i="9" s="1"/>
  <c r="W113" i="9"/>
  <c r="Y113" i="9" s="1"/>
  <c r="CC167" i="9"/>
  <c r="CA167" i="9"/>
  <c r="CB167" i="9" s="1"/>
  <c r="CD167" i="9" s="1"/>
  <c r="FA235" i="9"/>
  <c r="EY235" i="9"/>
  <c r="EZ235" i="9" s="1"/>
  <c r="FB235" i="9" s="1"/>
  <c r="BJ288" i="9"/>
  <c r="BH288" i="9"/>
  <c r="BI288" i="9" s="1"/>
  <c r="BK288" i="9" s="1"/>
  <c r="BJ127" i="9"/>
  <c r="BH127" i="9"/>
  <c r="BI127" i="9" s="1"/>
  <c r="BK127" i="9" s="1"/>
  <c r="EH108" i="9"/>
  <c r="EF108" i="9"/>
  <c r="EG108" i="9" s="1"/>
  <c r="EI108" i="9" s="1"/>
  <c r="CC116" i="9"/>
  <c r="CA116" i="9"/>
  <c r="CB116" i="9" s="1"/>
  <c r="CD116" i="9" s="1"/>
  <c r="AQ176" i="9"/>
  <c r="AO176" i="9"/>
  <c r="AP176" i="9" s="1"/>
  <c r="AR176" i="9" s="1"/>
  <c r="W176" i="9"/>
  <c r="Y176" i="9" s="1"/>
  <c r="BJ215" i="9"/>
  <c r="BH215" i="9"/>
  <c r="BI215" i="9" s="1"/>
  <c r="BK215" i="9" s="1"/>
  <c r="BJ282" i="9"/>
  <c r="BH282" i="9"/>
  <c r="BI282" i="9" s="1"/>
  <c r="BK282" i="9" s="1"/>
  <c r="EF171" i="9"/>
  <c r="EG171" i="9" s="1"/>
  <c r="EI171" i="9" s="1"/>
  <c r="EH171" i="9"/>
  <c r="CC179" i="9"/>
  <c r="CA179" i="9"/>
  <c r="CB179" i="9" s="1"/>
  <c r="CD179" i="9" s="1"/>
  <c r="DM247" i="9"/>
  <c r="DN247" i="9" s="1"/>
  <c r="DP247" i="9" s="1"/>
  <c r="DO247" i="9"/>
  <c r="FA309" i="9"/>
  <c r="EY309" i="9"/>
  <c r="EZ309" i="9" s="1"/>
  <c r="FB309" i="9" s="1"/>
  <c r="CV242" i="9"/>
  <c r="CT242" i="9"/>
  <c r="CU242" i="9" s="1"/>
  <c r="CW242" i="9" s="1"/>
  <c r="AQ104" i="9"/>
  <c r="AO104" i="9"/>
  <c r="AP104" i="9" s="1"/>
  <c r="AR104" i="9" s="1"/>
  <c r="W104" i="9"/>
  <c r="Y104" i="9" s="1"/>
  <c r="AQ154" i="9"/>
  <c r="AO154" i="9"/>
  <c r="AP154" i="9" s="1"/>
  <c r="AR154" i="9" s="1"/>
  <c r="W154" i="9"/>
  <c r="Y154" i="9" s="1"/>
  <c r="AO335" i="9"/>
  <c r="AP335" i="9" s="1"/>
  <c r="AR335" i="9" s="1"/>
  <c r="AQ335" i="9"/>
  <c r="W335" i="9"/>
  <c r="Y335" i="9" s="1"/>
  <c r="CC355" i="9"/>
  <c r="CA355" i="9"/>
  <c r="CB355" i="9" s="1"/>
  <c r="CD355" i="9" s="1"/>
  <c r="CA332" i="9"/>
  <c r="CB332" i="9" s="1"/>
  <c r="CD332" i="9" s="1"/>
  <c r="CC332" i="9"/>
  <c r="DM349" i="9"/>
  <c r="DN349" i="9" s="1"/>
  <c r="DP349" i="9" s="1"/>
  <c r="DO349" i="9"/>
  <c r="FA32" i="9"/>
  <c r="EY32" i="9"/>
  <c r="EZ32" i="9" s="1"/>
  <c r="FB32" i="9" s="1"/>
  <c r="FA35" i="9"/>
  <c r="EY35" i="9"/>
  <c r="EZ35" i="9" s="1"/>
  <c r="FB35" i="9" s="1"/>
  <c r="EH22" i="9"/>
  <c r="EF22" i="9"/>
  <c r="EG22" i="9" s="1"/>
  <c r="EI22" i="9" s="1"/>
  <c r="BH241" i="12"/>
  <c r="BI241" i="12" s="1"/>
  <c r="BK241" i="12" s="1"/>
  <c r="BJ241" i="12"/>
  <c r="FA35" i="12"/>
  <c r="EY35" i="12"/>
  <c r="EZ35" i="12" s="1"/>
  <c r="FB35" i="12" s="1"/>
  <c r="CC221" i="12"/>
  <c r="CA221" i="12"/>
  <c r="CB221" i="12" s="1"/>
  <c r="CD221" i="12" s="1"/>
  <c r="CA40" i="12"/>
  <c r="CB40" i="12" s="1"/>
  <c r="CD40" i="12" s="1"/>
  <c r="CC40" i="12"/>
  <c r="CV53" i="12"/>
  <c r="CT53" i="12"/>
  <c r="CU53" i="12" s="1"/>
  <c r="CW53" i="12" s="1"/>
  <c r="AQ123" i="12"/>
  <c r="AO123" i="12"/>
  <c r="AP123" i="12" s="1"/>
  <c r="AR123" i="12" s="1"/>
  <c r="W123" i="12"/>
  <c r="Y123" i="12" s="1"/>
  <c r="AQ44" i="12"/>
  <c r="AO44" i="12"/>
  <c r="AP44" i="12" s="1"/>
  <c r="AR44" i="12" s="1"/>
  <c r="W44" i="12"/>
  <c r="Y44" i="12" s="1"/>
  <c r="BJ75" i="12"/>
  <c r="BH75" i="12"/>
  <c r="BI75" i="12" s="1"/>
  <c r="BK75" i="12" s="1"/>
  <c r="DO118" i="12"/>
  <c r="DM118" i="12"/>
  <c r="DN118" i="12" s="1"/>
  <c r="DP118" i="12" s="1"/>
  <c r="BH24" i="12"/>
  <c r="BI24" i="12" s="1"/>
  <c r="BK24" i="12" s="1"/>
  <c r="BJ24" i="12"/>
  <c r="CT292" i="12"/>
  <c r="CU292" i="12" s="1"/>
  <c r="CW292" i="12" s="1"/>
  <c r="CV292" i="12"/>
  <c r="DM57" i="12"/>
  <c r="DN57" i="12" s="1"/>
  <c r="DP57" i="12" s="1"/>
  <c r="DO57" i="12"/>
  <c r="CV326" i="12"/>
  <c r="CT326" i="12"/>
  <c r="CU326" i="12" s="1"/>
  <c r="CW326" i="12" s="1"/>
  <c r="EH121" i="12"/>
  <c r="EF121" i="12"/>
  <c r="EG121" i="12" s="1"/>
  <c r="EI121" i="12" s="1"/>
  <c r="EH233" i="12"/>
  <c r="EF233" i="12"/>
  <c r="EG233" i="12" s="1"/>
  <c r="EI233" i="12" s="1"/>
  <c r="EH277" i="12"/>
  <c r="EF277" i="12"/>
  <c r="EG277" i="12" s="1"/>
  <c r="EI277" i="12" s="1"/>
  <c r="CV336" i="12"/>
  <c r="CT336" i="12"/>
  <c r="CU336" i="12" s="1"/>
  <c r="CW336" i="12" s="1"/>
  <c r="FA114" i="12"/>
  <c r="EY114" i="12"/>
  <c r="EZ114" i="12" s="1"/>
  <c r="FB114" i="12" s="1"/>
  <c r="EY163" i="12"/>
  <c r="EZ163" i="12" s="1"/>
  <c r="FB163" i="12" s="1"/>
  <c r="FA163" i="12"/>
  <c r="EY204" i="12"/>
  <c r="EZ204" i="12" s="1"/>
  <c r="FB204" i="12" s="1"/>
  <c r="FA204" i="12"/>
  <c r="CC254" i="12"/>
  <c r="CA254" i="12"/>
  <c r="CB254" i="12" s="1"/>
  <c r="CD254" i="12" s="1"/>
  <c r="BH304" i="12"/>
  <c r="BI304" i="12" s="1"/>
  <c r="BK304" i="12" s="1"/>
  <c r="BJ304" i="12"/>
  <c r="EY73" i="12"/>
  <c r="EZ73" i="12" s="1"/>
  <c r="FB73" i="12" s="1"/>
  <c r="FA73" i="12"/>
  <c r="CV136" i="12"/>
  <c r="CT136" i="12"/>
  <c r="CU136" i="12" s="1"/>
  <c r="CW136" i="12" s="1"/>
  <c r="AO175" i="12"/>
  <c r="AP175" i="12" s="1"/>
  <c r="AR175" i="12" s="1"/>
  <c r="AQ175" i="12"/>
  <c r="W175" i="12"/>
  <c r="Y175" i="12" s="1"/>
  <c r="BH243" i="12"/>
  <c r="BI243" i="12" s="1"/>
  <c r="BK243" i="12" s="1"/>
  <c r="BJ243" i="12"/>
  <c r="CT282" i="12"/>
  <c r="CU282" i="12" s="1"/>
  <c r="CW282" i="12" s="1"/>
  <c r="CV282" i="12"/>
  <c r="DO325" i="12"/>
  <c r="DM325" i="12"/>
  <c r="DN325" i="12" s="1"/>
  <c r="DP325" i="12" s="1"/>
  <c r="AQ341" i="12"/>
  <c r="AO341" i="12"/>
  <c r="AP341" i="12" s="1"/>
  <c r="AR341" i="12" s="1"/>
  <c r="W341" i="12"/>
  <c r="Y341" i="12" s="1"/>
  <c r="FA110" i="12"/>
  <c r="EY110" i="12"/>
  <c r="EZ110" i="12" s="1"/>
  <c r="FB110" i="12" s="1"/>
  <c r="CT180" i="12"/>
  <c r="CU180" i="12" s="1"/>
  <c r="CW180" i="12" s="1"/>
  <c r="CV180" i="12"/>
  <c r="EH210" i="12"/>
  <c r="EF210" i="12"/>
  <c r="EG210" i="12" s="1"/>
  <c r="EI210" i="12" s="1"/>
  <c r="CV251" i="12"/>
  <c r="CT251" i="12"/>
  <c r="CU251" i="12" s="1"/>
  <c r="CW251" i="12" s="1"/>
  <c r="CV283" i="12"/>
  <c r="CT283" i="12"/>
  <c r="CU283" i="12" s="1"/>
  <c r="CW283" i="12" s="1"/>
  <c r="EF325" i="12"/>
  <c r="EG325" i="12" s="1"/>
  <c r="EI325" i="12" s="1"/>
  <c r="EH325" i="12"/>
  <c r="CV19" i="12"/>
  <c r="CT19" i="12"/>
  <c r="CU19" i="12" s="1"/>
  <c r="CW19" i="12" s="1"/>
  <c r="CV119" i="12"/>
  <c r="CT119" i="12"/>
  <c r="CU119" i="12" s="1"/>
  <c r="CW119" i="12" s="1"/>
  <c r="CC158" i="12"/>
  <c r="CA158" i="12"/>
  <c r="CB158" i="12" s="1"/>
  <c r="CD158" i="12" s="1"/>
  <c r="BJ176" i="12"/>
  <c r="BH176" i="12"/>
  <c r="BI176" i="12" s="1"/>
  <c r="BK176" i="12" s="1"/>
  <c r="EY249" i="12"/>
  <c r="EZ249" i="12" s="1"/>
  <c r="FB249" i="12" s="1"/>
  <c r="FA249" i="12"/>
  <c r="BJ306" i="12"/>
  <c r="BH306" i="12"/>
  <c r="BI306" i="12" s="1"/>
  <c r="BK306" i="12" s="1"/>
  <c r="EH326" i="12"/>
  <c r="EF326" i="12"/>
  <c r="EG326" i="12" s="1"/>
  <c r="EI326" i="12" s="1"/>
  <c r="EH360" i="12"/>
  <c r="EF360" i="12"/>
  <c r="EG360" i="12" s="1"/>
  <c r="EI360" i="12" s="1"/>
  <c r="CV150" i="12"/>
  <c r="CT150" i="12"/>
  <c r="CU150" i="12" s="1"/>
  <c r="CW150" i="12" s="1"/>
  <c r="DO163" i="12"/>
  <c r="DM163" i="12"/>
  <c r="DN163" i="12" s="1"/>
  <c r="DP163" i="12" s="1"/>
  <c r="BJ175" i="12"/>
  <c r="BH175" i="12"/>
  <c r="BI175" i="12" s="1"/>
  <c r="BK175" i="12" s="1"/>
  <c r="DM230" i="12"/>
  <c r="DN230" i="12" s="1"/>
  <c r="DP230" i="12" s="1"/>
  <c r="DO230" i="12"/>
  <c r="CT254" i="12"/>
  <c r="CU254" i="12" s="1"/>
  <c r="CW254" i="12" s="1"/>
  <c r="CV254" i="12"/>
  <c r="BJ300" i="12"/>
  <c r="BH300" i="12"/>
  <c r="BI300" i="12" s="1"/>
  <c r="BK300" i="12" s="1"/>
  <c r="CV332" i="12"/>
  <c r="CT332" i="12"/>
  <c r="CU332" i="12" s="1"/>
  <c r="CW332" i="12" s="1"/>
  <c r="CC360" i="12"/>
  <c r="CA360" i="12"/>
  <c r="CB360" i="12" s="1"/>
  <c r="CD360" i="12" s="1"/>
  <c r="CA101" i="12"/>
  <c r="CB101" i="12" s="1"/>
  <c r="CD101" i="12" s="1"/>
  <c r="CC101" i="12"/>
  <c r="AQ147" i="12"/>
  <c r="AO147" i="12"/>
  <c r="AP147" i="12" s="1"/>
  <c r="AR147" i="12" s="1"/>
  <c r="W147" i="12"/>
  <c r="Y147" i="12" s="1"/>
  <c r="CA185" i="12"/>
  <c r="CB185" i="12" s="1"/>
  <c r="CD185" i="12" s="1"/>
  <c r="CC185" i="12"/>
  <c r="DO232" i="12"/>
  <c r="DM232" i="12"/>
  <c r="DN232" i="12" s="1"/>
  <c r="DP232" i="12" s="1"/>
  <c r="EY252" i="12"/>
  <c r="EZ252" i="12" s="1"/>
  <c r="FB252" i="12" s="1"/>
  <c r="FA252" i="12"/>
  <c r="EH291" i="12"/>
  <c r="EF291" i="12"/>
  <c r="EG291" i="12" s="1"/>
  <c r="EI291" i="12" s="1"/>
  <c r="CC335" i="12"/>
  <c r="CA335" i="12"/>
  <c r="CB335" i="12" s="1"/>
  <c r="CD335" i="12" s="1"/>
  <c r="EH14" i="12"/>
  <c r="EF14" i="12"/>
  <c r="EG14" i="12" s="1"/>
  <c r="EI14" i="12" s="1"/>
  <c r="EH65" i="9"/>
  <c r="EF65" i="9"/>
  <c r="EG65" i="9" s="1"/>
  <c r="EI65" i="9" s="1"/>
  <c r="CT97" i="9"/>
  <c r="CU97" i="9" s="1"/>
  <c r="CW97" i="9" s="1"/>
  <c r="CV97" i="9"/>
  <c r="FA155" i="9"/>
  <c r="EY155" i="9"/>
  <c r="EZ155" i="9" s="1"/>
  <c r="FB155" i="9" s="1"/>
  <c r="EH217" i="9"/>
  <c r="EF217" i="9"/>
  <c r="EG217" i="9" s="1"/>
  <c r="EI217" i="9" s="1"/>
  <c r="CT243" i="9"/>
  <c r="CU243" i="9" s="1"/>
  <c r="CW243" i="9" s="1"/>
  <c r="CV243" i="9"/>
  <c r="FA283" i="9"/>
  <c r="EY283" i="9"/>
  <c r="EZ283" i="9" s="1"/>
  <c r="FB283" i="9" s="1"/>
  <c r="EY349" i="9"/>
  <c r="EZ349" i="9" s="1"/>
  <c r="FB349" i="9" s="1"/>
  <c r="FA349" i="9"/>
  <c r="EH75" i="9"/>
  <c r="EF75" i="9"/>
  <c r="EG75" i="9" s="1"/>
  <c r="EI75" i="9" s="1"/>
  <c r="FA15" i="9"/>
  <c r="EY15" i="9"/>
  <c r="EZ15" i="9" s="1"/>
  <c r="FB15" i="9" s="1"/>
  <c r="AQ74" i="9"/>
  <c r="AO74" i="9"/>
  <c r="AP74" i="9" s="1"/>
  <c r="AR74" i="9" s="1"/>
  <c r="W74" i="9"/>
  <c r="Y74" i="9" s="1"/>
  <c r="DO77" i="9"/>
  <c r="DM77" i="9"/>
  <c r="DN77" i="9" s="1"/>
  <c r="DP77" i="9" s="1"/>
  <c r="BH75" i="9"/>
  <c r="BI75" i="9" s="1"/>
  <c r="BK75" i="9" s="1"/>
  <c r="BJ75" i="9"/>
  <c r="CT80" i="9"/>
  <c r="CU80" i="9" s="1"/>
  <c r="CW80" i="9" s="1"/>
  <c r="CV80" i="9"/>
  <c r="DO95" i="9"/>
  <c r="DM95" i="9"/>
  <c r="DN95" i="9" s="1"/>
  <c r="DP95" i="9" s="1"/>
  <c r="EY98" i="9"/>
  <c r="EZ98" i="9" s="1"/>
  <c r="FB98" i="9" s="1"/>
  <c r="FA98" i="9"/>
  <c r="DO146" i="9"/>
  <c r="DM146" i="9"/>
  <c r="DN146" i="9" s="1"/>
  <c r="DP146" i="9" s="1"/>
  <c r="AO137" i="9"/>
  <c r="AP137" i="9" s="1"/>
  <c r="AR137" i="9" s="1"/>
  <c r="AQ137" i="9"/>
  <c r="W137" i="9"/>
  <c r="Y137" i="9" s="1"/>
  <c r="DM152" i="9"/>
  <c r="DN152" i="9" s="1"/>
  <c r="DP152" i="9" s="1"/>
  <c r="DO152" i="9"/>
  <c r="AO151" i="9"/>
  <c r="AP151" i="9" s="1"/>
  <c r="AR151" i="9" s="1"/>
  <c r="AQ151" i="9"/>
  <c r="W151" i="9"/>
  <c r="Y151" i="9" s="1"/>
  <c r="EF158" i="9"/>
  <c r="EG158" i="9" s="1"/>
  <c r="EI158" i="9" s="1"/>
  <c r="EH158" i="9"/>
  <c r="CC191" i="9"/>
  <c r="CA191" i="9"/>
  <c r="CB191" i="9" s="1"/>
  <c r="CD191" i="9" s="1"/>
  <c r="DO189" i="9"/>
  <c r="DM189" i="9"/>
  <c r="DN189" i="9" s="1"/>
  <c r="DP189" i="9" s="1"/>
  <c r="EH191" i="9"/>
  <c r="EF191" i="9"/>
  <c r="EG191" i="9" s="1"/>
  <c r="EI191" i="9" s="1"/>
  <c r="CT191" i="9"/>
  <c r="CU191" i="9" s="1"/>
  <c r="CW191" i="9" s="1"/>
  <c r="CV191" i="9"/>
  <c r="BJ181" i="9"/>
  <c r="BH181" i="9"/>
  <c r="BI181" i="9" s="1"/>
  <c r="BK181" i="9" s="1"/>
  <c r="DO213" i="9"/>
  <c r="DM213" i="9"/>
  <c r="DN213" i="9" s="1"/>
  <c r="DP213" i="9" s="1"/>
  <c r="BJ218" i="9"/>
  <c r="BH218" i="9"/>
  <c r="BI218" i="9" s="1"/>
  <c r="BK218" i="9" s="1"/>
  <c r="BJ216" i="9"/>
  <c r="BH216" i="9"/>
  <c r="BI216" i="9" s="1"/>
  <c r="BK216" i="9" s="1"/>
  <c r="EY259" i="9"/>
  <c r="EZ259" i="9" s="1"/>
  <c r="FB259" i="9" s="1"/>
  <c r="FA259" i="9"/>
  <c r="EY245" i="9"/>
  <c r="EZ245" i="9" s="1"/>
  <c r="FB245" i="9" s="1"/>
  <c r="FA245" i="9"/>
  <c r="CV266" i="9"/>
  <c r="CT266" i="9"/>
  <c r="CU266" i="9" s="1"/>
  <c r="CW266" i="9" s="1"/>
  <c r="CV259" i="9"/>
  <c r="CT259" i="9"/>
  <c r="CU259" i="9" s="1"/>
  <c r="CW259" i="9" s="1"/>
  <c r="FA278" i="9"/>
  <c r="EY278" i="9"/>
  <c r="EZ278" i="9" s="1"/>
  <c r="FB278" i="9" s="1"/>
  <c r="BH285" i="9"/>
  <c r="BI285" i="9" s="1"/>
  <c r="BK285" i="9" s="1"/>
  <c r="BJ285" i="9"/>
  <c r="EH308" i="9"/>
  <c r="EF308" i="9"/>
  <c r="EG308" i="9" s="1"/>
  <c r="EI308" i="9" s="1"/>
  <c r="FA302" i="9"/>
  <c r="EY302" i="9"/>
  <c r="EZ302" i="9" s="1"/>
  <c r="FB302" i="9" s="1"/>
  <c r="CC310" i="9"/>
  <c r="CA310" i="9"/>
  <c r="CB310" i="9" s="1"/>
  <c r="CD310" i="9" s="1"/>
  <c r="CV339" i="9"/>
  <c r="CT339" i="9"/>
  <c r="CU339" i="9" s="1"/>
  <c r="CW339" i="9" s="1"/>
  <c r="BJ94" i="9"/>
  <c r="BH94" i="9"/>
  <c r="BI94" i="9" s="1"/>
  <c r="BK94" i="9" s="1"/>
  <c r="CC156" i="9"/>
  <c r="CA156" i="9"/>
  <c r="CB156" i="9" s="1"/>
  <c r="CD156" i="9" s="1"/>
  <c r="DM184" i="9"/>
  <c r="DN184" i="9" s="1"/>
  <c r="DP184" i="9" s="1"/>
  <c r="DO184" i="9"/>
  <c r="BJ243" i="9"/>
  <c r="BH243" i="9"/>
  <c r="BI243" i="9" s="1"/>
  <c r="BK243" i="9" s="1"/>
  <c r="EY285" i="9"/>
  <c r="EZ285" i="9" s="1"/>
  <c r="FB285" i="9" s="1"/>
  <c r="FA285" i="9"/>
  <c r="DO307" i="9"/>
  <c r="DM307" i="9"/>
  <c r="DN307" i="9" s="1"/>
  <c r="DP307" i="9" s="1"/>
  <c r="EF74" i="9"/>
  <c r="EG74" i="9" s="1"/>
  <c r="EI74" i="9" s="1"/>
  <c r="EH74" i="9"/>
  <c r="BH39" i="9"/>
  <c r="BI39" i="9" s="1"/>
  <c r="BK39" i="9" s="1"/>
  <c r="BJ39" i="9"/>
  <c r="CV38" i="9"/>
  <c r="CT38" i="9"/>
  <c r="CU38" i="9" s="1"/>
  <c r="CW38" i="9" s="1"/>
  <c r="CV59" i="9"/>
  <c r="CT59" i="9"/>
  <c r="CU59" i="9" s="1"/>
  <c r="CW59" i="9" s="1"/>
  <c r="DO60" i="9"/>
  <c r="DM60" i="9"/>
  <c r="DN60" i="9" s="1"/>
  <c r="DP60" i="9" s="1"/>
  <c r="FA65" i="9"/>
  <c r="EY65" i="9"/>
  <c r="EZ65" i="9" s="1"/>
  <c r="FB65" i="9" s="1"/>
  <c r="CA68" i="9"/>
  <c r="CB68" i="9" s="1"/>
  <c r="CD68" i="9" s="1"/>
  <c r="CC68" i="9"/>
  <c r="FA117" i="9"/>
  <c r="EY117" i="9"/>
  <c r="EZ117" i="9" s="1"/>
  <c r="FB117" i="9" s="1"/>
  <c r="CC111" i="9"/>
  <c r="CA111" i="9"/>
  <c r="CB111" i="9" s="1"/>
  <c r="CD111" i="9" s="1"/>
  <c r="CA117" i="9"/>
  <c r="CB117" i="9" s="1"/>
  <c r="CD117" i="9" s="1"/>
  <c r="CC117" i="9"/>
  <c r="EY127" i="9"/>
  <c r="EZ127" i="9" s="1"/>
  <c r="FB127" i="9" s="1"/>
  <c r="FA127" i="9"/>
  <c r="CV136" i="9"/>
  <c r="CT136" i="9"/>
  <c r="CU136" i="9" s="1"/>
  <c r="CW136" i="9" s="1"/>
  <c r="CC138" i="9"/>
  <c r="CA138" i="9"/>
  <c r="CB138" i="9" s="1"/>
  <c r="CD138" i="9" s="1"/>
  <c r="CV164" i="9"/>
  <c r="CT164" i="9"/>
  <c r="CU164" i="9" s="1"/>
  <c r="CW164" i="9" s="1"/>
  <c r="DM165" i="9"/>
  <c r="DN165" i="9" s="1"/>
  <c r="DP165" i="9" s="1"/>
  <c r="DO165" i="9"/>
  <c r="DO177" i="9"/>
  <c r="DM177" i="9"/>
  <c r="DN177" i="9" s="1"/>
  <c r="DP177" i="9" s="1"/>
  <c r="DO207" i="9"/>
  <c r="DM207" i="9"/>
  <c r="DN207" i="9" s="1"/>
  <c r="DP207" i="9" s="1"/>
  <c r="EY197" i="9"/>
  <c r="EZ197" i="9" s="1"/>
  <c r="FB197" i="9" s="1"/>
  <c r="FA197" i="9"/>
  <c r="CV227" i="9"/>
  <c r="CT227" i="9"/>
  <c r="CU227" i="9" s="1"/>
  <c r="CW227" i="9" s="1"/>
  <c r="CC230" i="9"/>
  <c r="CA230" i="9"/>
  <c r="CB230" i="9" s="1"/>
  <c r="CD230" i="9" s="1"/>
  <c r="DO234" i="9"/>
  <c r="DM234" i="9"/>
  <c r="DN234" i="9" s="1"/>
  <c r="DP234" i="9" s="1"/>
  <c r="EF249" i="9"/>
  <c r="EG249" i="9" s="1"/>
  <c r="EI249" i="9" s="1"/>
  <c r="EH249" i="9"/>
  <c r="FA266" i="9"/>
  <c r="EY266" i="9"/>
  <c r="EZ266" i="9" s="1"/>
  <c r="FB266" i="9" s="1"/>
  <c r="DO259" i="9"/>
  <c r="DM259" i="9"/>
  <c r="DN259" i="9" s="1"/>
  <c r="DP259" i="9" s="1"/>
  <c r="CT293" i="9"/>
  <c r="CU293" i="9" s="1"/>
  <c r="CW293" i="9" s="1"/>
  <c r="CV293" i="9"/>
  <c r="EF276" i="9"/>
  <c r="EG276" i="9" s="1"/>
  <c r="EI276" i="9" s="1"/>
  <c r="EH276" i="9"/>
  <c r="CT286" i="9"/>
  <c r="CU286" i="9" s="1"/>
  <c r="CW286" i="9" s="1"/>
  <c r="CV286" i="9"/>
  <c r="EF309" i="9"/>
  <c r="EG309" i="9" s="1"/>
  <c r="EI309" i="9" s="1"/>
  <c r="EH309" i="9"/>
  <c r="EF292" i="9"/>
  <c r="EG292" i="9" s="1"/>
  <c r="EI292" i="9" s="1"/>
  <c r="EH292" i="9"/>
  <c r="CA311" i="9"/>
  <c r="CB311" i="9" s="1"/>
  <c r="CD311" i="9" s="1"/>
  <c r="CC311" i="9"/>
  <c r="EH316" i="9"/>
  <c r="EF316" i="9"/>
  <c r="EG316" i="9" s="1"/>
  <c r="EI316" i="9" s="1"/>
  <c r="EF107" i="9"/>
  <c r="EG107" i="9" s="1"/>
  <c r="EI107" i="9" s="1"/>
  <c r="EH107" i="9"/>
  <c r="CC16" i="9"/>
  <c r="CA16" i="9"/>
  <c r="CB16" i="9" s="1"/>
  <c r="CD16" i="9" s="1"/>
  <c r="CV44" i="9"/>
  <c r="CT44" i="9"/>
  <c r="CU44" i="9" s="1"/>
  <c r="CW44" i="9" s="1"/>
  <c r="BJ24" i="9"/>
  <c r="BH24" i="9"/>
  <c r="BI24" i="9" s="1"/>
  <c r="BK24" i="9" s="1"/>
  <c r="FA52" i="9"/>
  <c r="EY52" i="9"/>
  <c r="EZ52" i="9" s="1"/>
  <c r="FB52" i="9" s="1"/>
  <c r="CC55" i="9"/>
  <c r="CA55" i="9"/>
  <c r="CB55" i="9" s="1"/>
  <c r="CD55" i="9" s="1"/>
  <c r="BJ58" i="9"/>
  <c r="BH58" i="9"/>
  <c r="BI58" i="9" s="1"/>
  <c r="BK58" i="9" s="1"/>
  <c r="EH61" i="9"/>
  <c r="EF61" i="9"/>
  <c r="EG61" i="9" s="1"/>
  <c r="EI61" i="9" s="1"/>
  <c r="FA110" i="9"/>
  <c r="EY110" i="9"/>
  <c r="EZ110" i="9" s="1"/>
  <c r="FB110" i="9" s="1"/>
  <c r="EH104" i="9"/>
  <c r="EF104" i="9"/>
  <c r="EG104" i="9" s="1"/>
  <c r="EI104" i="9" s="1"/>
  <c r="CA119" i="9"/>
  <c r="CB119" i="9" s="1"/>
  <c r="CD119" i="9" s="1"/>
  <c r="CC119" i="9"/>
  <c r="FA160" i="9"/>
  <c r="EY160" i="9"/>
  <c r="EZ160" i="9" s="1"/>
  <c r="FB160" i="9" s="1"/>
  <c r="BH120" i="9"/>
  <c r="BI120" i="9" s="1"/>
  <c r="BK120" i="9" s="1"/>
  <c r="BJ120" i="9"/>
  <c r="BH170" i="9"/>
  <c r="BI170" i="9" s="1"/>
  <c r="BK170" i="9" s="1"/>
  <c r="BJ170" i="9"/>
  <c r="AO185" i="9"/>
  <c r="AP185" i="9" s="1"/>
  <c r="AR185" i="9" s="1"/>
  <c r="AQ185" i="9"/>
  <c r="W185" i="9"/>
  <c r="Y185" i="9" s="1"/>
  <c r="FA157" i="9"/>
  <c r="EY157" i="9"/>
  <c r="EZ157" i="9" s="1"/>
  <c r="FB157" i="9" s="1"/>
  <c r="FA201" i="9"/>
  <c r="EY201" i="9"/>
  <c r="EZ201" i="9" s="1"/>
  <c r="FB201" i="9" s="1"/>
  <c r="BJ200" i="9"/>
  <c r="BH200" i="9"/>
  <c r="BI200" i="9" s="1"/>
  <c r="BK200" i="9" s="1"/>
  <c r="BJ190" i="9"/>
  <c r="BH190" i="9"/>
  <c r="BI190" i="9" s="1"/>
  <c r="BK190" i="9" s="1"/>
  <c r="EY220" i="9"/>
  <c r="EZ220" i="9" s="1"/>
  <c r="FB220" i="9" s="1"/>
  <c r="FA220" i="9"/>
  <c r="EF223" i="9"/>
  <c r="EG223" i="9" s="1"/>
  <c r="EI223" i="9" s="1"/>
  <c r="EH223" i="9"/>
  <c r="CV229" i="9"/>
  <c r="CT229" i="9"/>
  <c r="CU229" i="9" s="1"/>
  <c r="CW229" i="9" s="1"/>
  <c r="BJ239" i="9"/>
  <c r="BH239" i="9"/>
  <c r="BI239" i="9" s="1"/>
  <c r="BK239" i="9" s="1"/>
  <c r="BJ252" i="9"/>
  <c r="BH252" i="9"/>
  <c r="BI252" i="9" s="1"/>
  <c r="BK252" i="9" s="1"/>
  <c r="EY255" i="9"/>
  <c r="EZ255" i="9" s="1"/>
  <c r="FB255" i="9" s="1"/>
  <c r="FA255" i="9"/>
  <c r="CV289" i="9"/>
  <c r="CT289" i="9"/>
  <c r="CU289" i="9" s="1"/>
  <c r="CW289" i="9" s="1"/>
  <c r="DO305" i="9"/>
  <c r="DM305" i="9"/>
  <c r="DN305" i="9" s="1"/>
  <c r="DP305" i="9" s="1"/>
  <c r="CC297" i="9"/>
  <c r="CA297" i="9"/>
  <c r="CB297" i="9" s="1"/>
  <c r="CD297" i="9" s="1"/>
  <c r="DO298" i="9"/>
  <c r="DM298" i="9"/>
  <c r="DN298" i="9" s="1"/>
  <c r="DP298" i="9" s="1"/>
  <c r="EH304" i="9"/>
  <c r="EF304" i="9"/>
  <c r="EG304" i="9" s="1"/>
  <c r="EI304" i="9" s="1"/>
  <c r="BH327" i="9"/>
  <c r="BI327" i="9" s="1"/>
  <c r="BK327" i="9" s="1"/>
  <c r="BJ327" i="9"/>
  <c r="BJ68" i="9"/>
  <c r="BH68" i="9"/>
  <c r="BI68" i="9" s="1"/>
  <c r="BK68" i="9" s="1"/>
  <c r="AQ146" i="9"/>
  <c r="AO146" i="9"/>
  <c r="AP146" i="9" s="1"/>
  <c r="AR146" i="9" s="1"/>
  <c r="W146" i="9"/>
  <c r="Y146" i="9" s="1"/>
  <c r="BJ155" i="9"/>
  <c r="BH155" i="9"/>
  <c r="BI155" i="9" s="1"/>
  <c r="BK155" i="9" s="1"/>
  <c r="FA223" i="9"/>
  <c r="EY223" i="9"/>
  <c r="EZ223" i="9" s="1"/>
  <c r="FB223" i="9" s="1"/>
  <c r="FA284" i="9"/>
  <c r="EY284" i="9"/>
  <c r="EZ284" i="9" s="1"/>
  <c r="FB284" i="9" s="1"/>
  <c r="BJ21" i="9"/>
  <c r="BH21" i="9"/>
  <c r="BI21" i="9" s="1"/>
  <c r="BK21" i="9" s="1"/>
  <c r="CV76" i="9"/>
  <c r="CT76" i="9"/>
  <c r="CU76" i="9" s="1"/>
  <c r="CW76" i="9" s="1"/>
  <c r="CA27" i="9"/>
  <c r="CB27" i="9" s="1"/>
  <c r="CD27" i="9" s="1"/>
  <c r="CC27" i="9"/>
  <c r="BH69" i="9"/>
  <c r="BI69" i="9" s="1"/>
  <c r="BK69" i="9" s="1"/>
  <c r="BJ69" i="9"/>
  <c r="EH72" i="9"/>
  <c r="EF72" i="9"/>
  <c r="EG72" i="9" s="1"/>
  <c r="EI72" i="9" s="1"/>
  <c r="CC70" i="9"/>
  <c r="CA70" i="9"/>
  <c r="CB70" i="9" s="1"/>
  <c r="CD70" i="9" s="1"/>
  <c r="DM75" i="9"/>
  <c r="DN75" i="9" s="1"/>
  <c r="DP75" i="9" s="1"/>
  <c r="DO75" i="9"/>
  <c r="AQ78" i="9"/>
  <c r="AO78" i="9"/>
  <c r="AP78" i="9" s="1"/>
  <c r="AR78" i="9" s="1"/>
  <c r="W78" i="9"/>
  <c r="EF144" i="9"/>
  <c r="EG144" i="9" s="1"/>
  <c r="EI144" i="9" s="1"/>
  <c r="EH144" i="9"/>
  <c r="CC136" i="9"/>
  <c r="CA136" i="9"/>
  <c r="CB136" i="9" s="1"/>
  <c r="CD136" i="9" s="1"/>
  <c r="AQ127" i="9"/>
  <c r="AO127" i="9"/>
  <c r="AP127" i="9" s="1"/>
  <c r="AR127" i="9" s="1"/>
  <c r="W127" i="9"/>
  <c r="Y127" i="9" s="1"/>
  <c r="DM142" i="9"/>
  <c r="DN142" i="9" s="1"/>
  <c r="DP142" i="9" s="1"/>
  <c r="DO142" i="9"/>
  <c r="BH146" i="9"/>
  <c r="BI146" i="9" s="1"/>
  <c r="BK146" i="9" s="1"/>
  <c r="BJ146" i="9"/>
  <c r="AQ148" i="9"/>
  <c r="AO148" i="9"/>
  <c r="AP148" i="9" s="1"/>
  <c r="AR148" i="9" s="1"/>
  <c r="W148" i="9"/>
  <c r="Y148" i="9" s="1"/>
  <c r="BH174" i="9"/>
  <c r="BI174" i="9" s="1"/>
  <c r="BK174" i="9" s="1"/>
  <c r="BJ174" i="9"/>
  <c r="CC175" i="9"/>
  <c r="CA175" i="9"/>
  <c r="CB175" i="9" s="1"/>
  <c r="CD175" i="9" s="1"/>
  <c r="FA186" i="9"/>
  <c r="EY186" i="9"/>
  <c r="EZ186" i="9" s="1"/>
  <c r="FB186" i="9" s="1"/>
  <c r="DM186" i="9"/>
  <c r="DN186" i="9" s="1"/>
  <c r="DP186" i="9" s="1"/>
  <c r="DO186" i="9"/>
  <c r="AO180" i="9"/>
  <c r="AP180" i="9" s="1"/>
  <c r="AR180" i="9" s="1"/>
  <c r="AQ180" i="9"/>
  <c r="W180" i="9"/>
  <c r="Y180" i="9" s="1"/>
  <c r="FA213" i="9"/>
  <c r="EY213" i="9"/>
  <c r="EZ213" i="9" s="1"/>
  <c r="FB213" i="9" s="1"/>
  <c r="EF208" i="9"/>
  <c r="EG208" i="9" s="1"/>
  <c r="EI208" i="9" s="1"/>
  <c r="EH208" i="9"/>
  <c r="CC213" i="9"/>
  <c r="CA213" i="9"/>
  <c r="CB213" i="9" s="1"/>
  <c r="CD213" i="9" s="1"/>
  <c r="CC211" i="9"/>
  <c r="CA211" i="9"/>
  <c r="CB211" i="9" s="1"/>
  <c r="CD211" i="9" s="1"/>
  <c r="EH255" i="9"/>
  <c r="EF255" i="9"/>
  <c r="EG255" i="9" s="1"/>
  <c r="EI255" i="9" s="1"/>
  <c r="CC269" i="9"/>
  <c r="CA269" i="9"/>
  <c r="CB269" i="9" s="1"/>
  <c r="CD269" i="9" s="1"/>
  <c r="CV268" i="9"/>
  <c r="CT268" i="9"/>
  <c r="CU268" i="9" s="1"/>
  <c r="CW268" i="9" s="1"/>
  <c r="CA280" i="9"/>
  <c r="CB280" i="9" s="1"/>
  <c r="CD280" i="9" s="1"/>
  <c r="CC280" i="9"/>
  <c r="AQ297" i="9"/>
  <c r="AO297" i="9"/>
  <c r="AP297" i="9" s="1"/>
  <c r="AR297" i="9" s="1"/>
  <c r="W297" i="9"/>
  <c r="Y297" i="9" s="1"/>
  <c r="AO310" i="9"/>
  <c r="AP310" i="9" s="1"/>
  <c r="AR310" i="9" s="1"/>
  <c r="AQ310" i="9"/>
  <c r="W310" i="9"/>
  <c r="Y310" i="9" s="1"/>
  <c r="CV305" i="9"/>
  <c r="CT305" i="9"/>
  <c r="CU305" i="9" s="1"/>
  <c r="CW305" i="9" s="1"/>
  <c r="CC320" i="9"/>
  <c r="CA320" i="9"/>
  <c r="CB320" i="9" s="1"/>
  <c r="CD320" i="9" s="1"/>
  <c r="DO82" i="9"/>
  <c r="DM82" i="9"/>
  <c r="DN82" i="9" s="1"/>
  <c r="DP82" i="9" s="1"/>
  <c r="CC163" i="9"/>
  <c r="CA163" i="9"/>
  <c r="CB163" i="9" s="1"/>
  <c r="CD163" i="9" s="1"/>
  <c r="AO195" i="9"/>
  <c r="AP195" i="9" s="1"/>
  <c r="AR195" i="9" s="1"/>
  <c r="AQ195" i="9"/>
  <c r="W195" i="9"/>
  <c r="Y195" i="9" s="1"/>
  <c r="DO266" i="9"/>
  <c r="DM266" i="9"/>
  <c r="DN266" i="9" s="1"/>
  <c r="DP266" i="9" s="1"/>
  <c r="CC345" i="9"/>
  <c r="CA345" i="9"/>
  <c r="CB345" i="9" s="1"/>
  <c r="CD345" i="9" s="1"/>
  <c r="AO68" i="9"/>
  <c r="AP68" i="9" s="1"/>
  <c r="AR68" i="9" s="1"/>
  <c r="AQ68" i="9"/>
  <c r="W68" i="9"/>
  <c r="Y68" i="9" s="1"/>
  <c r="DO33" i="9"/>
  <c r="DM33" i="9"/>
  <c r="DN33" i="9" s="1"/>
  <c r="DP33" i="9" s="1"/>
  <c r="DM46" i="9"/>
  <c r="DN46" i="9" s="1"/>
  <c r="DP46" i="9" s="1"/>
  <c r="DO46" i="9"/>
  <c r="AO49" i="9"/>
  <c r="AP49" i="9" s="1"/>
  <c r="AR49" i="9" s="1"/>
  <c r="AQ49" i="9"/>
  <c r="W49" i="9"/>
  <c r="Y49" i="9" s="1"/>
  <c r="EH47" i="9"/>
  <c r="EF47" i="9"/>
  <c r="EG47" i="9" s="1"/>
  <c r="EI47" i="9" s="1"/>
  <c r="CV55" i="9"/>
  <c r="CT55" i="9"/>
  <c r="CU55" i="9" s="1"/>
  <c r="CW55" i="9" s="1"/>
  <c r="DO104" i="9"/>
  <c r="DM104" i="9"/>
  <c r="DN104" i="9" s="1"/>
  <c r="DP104" i="9" s="1"/>
  <c r="CV98" i="9"/>
  <c r="CT98" i="9"/>
  <c r="CU98" i="9" s="1"/>
  <c r="CW98" i="9" s="1"/>
  <c r="CT152" i="9"/>
  <c r="CU152" i="9" s="1"/>
  <c r="CW152" i="9" s="1"/>
  <c r="CV152" i="9"/>
  <c r="DM176" i="9"/>
  <c r="DN176" i="9" s="1"/>
  <c r="DP176" i="9" s="1"/>
  <c r="DO176" i="9"/>
  <c r="BJ154" i="9"/>
  <c r="BH154" i="9"/>
  <c r="BI154" i="9" s="1"/>
  <c r="BK154" i="9" s="1"/>
  <c r="FA169" i="9"/>
  <c r="EY169" i="9"/>
  <c r="EZ169" i="9" s="1"/>
  <c r="FB169" i="9" s="1"/>
  <c r="EH152" i="9"/>
  <c r="EF152" i="9"/>
  <c r="EG152" i="9" s="1"/>
  <c r="EI152" i="9" s="1"/>
  <c r="BJ177" i="9"/>
  <c r="BH177" i="9"/>
  <c r="BI177" i="9" s="1"/>
  <c r="BK177" i="9" s="1"/>
  <c r="DM195" i="9"/>
  <c r="DN195" i="9" s="1"/>
  <c r="DP195" i="9" s="1"/>
  <c r="DO195" i="9"/>
  <c r="DM214" i="9"/>
  <c r="DN214" i="9" s="1"/>
  <c r="DP214" i="9" s="1"/>
  <c r="DO214" i="9"/>
  <c r="CT217" i="9"/>
  <c r="CU217" i="9" s="1"/>
  <c r="CW217" i="9" s="1"/>
  <c r="CV217" i="9"/>
  <c r="EH221" i="9"/>
  <c r="EF221" i="9"/>
  <c r="EG221" i="9" s="1"/>
  <c r="EI221" i="9" s="1"/>
  <c r="BH223" i="9"/>
  <c r="BI223" i="9" s="1"/>
  <c r="BK223" i="9" s="1"/>
  <c r="BJ223" i="9"/>
  <c r="BJ255" i="9"/>
  <c r="BH255" i="9"/>
  <c r="BI255" i="9" s="1"/>
  <c r="BK255" i="9" s="1"/>
  <c r="CC277" i="9"/>
  <c r="CA277" i="9"/>
  <c r="CB277" i="9" s="1"/>
  <c r="CD277" i="9" s="1"/>
  <c r="DO249" i="9"/>
  <c r="DM249" i="9"/>
  <c r="DN249" i="9" s="1"/>
  <c r="DP249" i="9" s="1"/>
  <c r="EH259" i="9"/>
  <c r="EF259" i="9"/>
  <c r="EG259" i="9" s="1"/>
  <c r="EI259" i="9" s="1"/>
  <c r="CT279" i="9"/>
  <c r="CU279" i="9" s="1"/>
  <c r="CW279" i="9" s="1"/>
  <c r="CV279" i="9"/>
  <c r="EH282" i="9"/>
  <c r="EF282" i="9"/>
  <c r="EG282" i="9" s="1"/>
  <c r="EI282" i="9" s="1"/>
  <c r="CA292" i="9"/>
  <c r="CB292" i="9" s="1"/>
  <c r="CD292" i="9" s="1"/>
  <c r="CC292" i="9"/>
  <c r="DO310" i="9"/>
  <c r="DM310" i="9"/>
  <c r="DN310" i="9" s="1"/>
  <c r="DP310" i="9" s="1"/>
  <c r="AQ314" i="9"/>
  <c r="AO314" i="9"/>
  <c r="AP314" i="9" s="1"/>
  <c r="AR314" i="9" s="1"/>
  <c r="W314" i="9"/>
  <c r="Y314" i="9" s="1"/>
  <c r="EY45" i="9"/>
  <c r="EZ45" i="9" s="1"/>
  <c r="FB45" i="9" s="1"/>
  <c r="FA45" i="9"/>
  <c r="EH57" i="9"/>
  <c r="EF57" i="9"/>
  <c r="EG57" i="9" s="1"/>
  <c r="EI57" i="9" s="1"/>
  <c r="BJ126" i="9"/>
  <c r="BH126" i="9"/>
  <c r="BI126" i="9" s="1"/>
  <c r="BK126" i="9" s="1"/>
  <c r="EH170" i="9"/>
  <c r="EF170" i="9"/>
  <c r="EG170" i="9" s="1"/>
  <c r="EI170" i="9" s="1"/>
  <c r="DM220" i="9"/>
  <c r="DN220" i="9" s="1"/>
  <c r="DP220" i="9" s="1"/>
  <c r="DO220" i="9"/>
  <c r="BJ287" i="9"/>
  <c r="BH287" i="9"/>
  <c r="BI287" i="9" s="1"/>
  <c r="BK287" i="9" s="1"/>
  <c r="CA33" i="9"/>
  <c r="CB33" i="9" s="1"/>
  <c r="CD33" i="9" s="1"/>
  <c r="CC33" i="9"/>
  <c r="CC18" i="9"/>
  <c r="CA18" i="9"/>
  <c r="CB18" i="9" s="1"/>
  <c r="CD18" i="9" s="1"/>
  <c r="DO110" i="9"/>
  <c r="DM110" i="9"/>
  <c r="DN110" i="9" s="1"/>
  <c r="DP110" i="9" s="1"/>
  <c r="AQ150" i="9"/>
  <c r="AO150" i="9"/>
  <c r="AP150" i="9" s="1"/>
  <c r="AR150" i="9" s="1"/>
  <c r="W150" i="9"/>
  <c r="Y150" i="9" s="1"/>
  <c r="CC108" i="9"/>
  <c r="CA108" i="9"/>
  <c r="CB108" i="9" s="1"/>
  <c r="CD108" i="9" s="1"/>
  <c r="EH130" i="9"/>
  <c r="EF130" i="9"/>
  <c r="EG130" i="9" s="1"/>
  <c r="EI130" i="9" s="1"/>
  <c r="FA48" i="9"/>
  <c r="EY48" i="9"/>
  <c r="EZ48" i="9" s="1"/>
  <c r="FB48" i="9" s="1"/>
  <c r="AQ142" i="9"/>
  <c r="AO142" i="9"/>
  <c r="AP142" i="9" s="1"/>
  <c r="AR142" i="9" s="1"/>
  <c r="W142" i="9"/>
  <c r="Y142" i="9" s="1"/>
  <c r="BJ117" i="9"/>
  <c r="BH117" i="9"/>
  <c r="BI117" i="9" s="1"/>
  <c r="BK117" i="9" s="1"/>
  <c r="CV139" i="9"/>
  <c r="CT139" i="9"/>
  <c r="CU139" i="9" s="1"/>
  <c r="CW139" i="9" s="1"/>
  <c r="DM161" i="9"/>
  <c r="DN161" i="9" s="1"/>
  <c r="DP161" i="9" s="1"/>
  <c r="DO161" i="9"/>
  <c r="FA132" i="9"/>
  <c r="EY132" i="9"/>
  <c r="EZ132" i="9" s="1"/>
  <c r="FB132" i="9" s="1"/>
  <c r="BH152" i="9"/>
  <c r="BI152" i="9" s="1"/>
  <c r="BK152" i="9" s="1"/>
  <c r="BJ152" i="9"/>
  <c r="CV151" i="9"/>
  <c r="CT151" i="9"/>
  <c r="CU151" i="9" s="1"/>
  <c r="CW151" i="9" s="1"/>
  <c r="EH177" i="9"/>
  <c r="EF177" i="9"/>
  <c r="EG177" i="9" s="1"/>
  <c r="EI177" i="9" s="1"/>
  <c r="CV177" i="9"/>
  <c r="CT177" i="9"/>
  <c r="CU177" i="9" s="1"/>
  <c r="CW177" i="9" s="1"/>
  <c r="CA187" i="9"/>
  <c r="CB187" i="9" s="1"/>
  <c r="CD187" i="9" s="1"/>
  <c r="CC187" i="9"/>
  <c r="EY243" i="9"/>
  <c r="EZ243" i="9" s="1"/>
  <c r="FB243" i="9" s="1"/>
  <c r="FA243" i="9"/>
  <c r="FA210" i="9"/>
  <c r="EY210" i="9"/>
  <c r="EZ210" i="9" s="1"/>
  <c r="FB210" i="9" s="1"/>
  <c r="AQ214" i="9"/>
  <c r="AO214" i="9"/>
  <c r="AP214" i="9" s="1"/>
  <c r="AR214" i="9" s="1"/>
  <c r="W214" i="9"/>
  <c r="Y214" i="9" s="1"/>
  <c r="DO216" i="9"/>
  <c r="DM216" i="9"/>
  <c r="DN216" i="9" s="1"/>
  <c r="DP216" i="9" s="1"/>
  <c r="DO241" i="9"/>
  <c r="DM241" i="9"/>
  <c r="DN241" i="9" s="1"/>
  <c r="DP241" i="9" s="1"/>
  <c r="DM255" i="9"/>
  <c r="DN255" i="9" s="1"/>
  <c r="DP255" i="9" s="1"/>
  <c r="DO255" i="9"/>
  <c r="CV274" i="9"/>
  <c r="CT274" i="9"/>
  <c r="CU274" i="9" s="1"/>
  <c r="CW274" i="9" s="1"/>
  <c r="CA272" i="9"/>
  <c r="CB272" i="9" s="1"/>
  <c r="CD272" i="9" s="1"/>
  <c r="CC272" i="9"/>
  <c r="DM283" i="9"/>
  <c r="DN283" i="9" s="1"/>
  <c r="DP283" i="9" s="1"/>
  <c r="DO283" i="9"/>
  <c r="BH300" i="9"/>
  <c r="BI300" i="9" s="1"/>
  <c r="BK300" i="9" s="1"/>
  <c r="BJ300" i="9"/>
  <c r="CV316" i="9"/>
  <c r="CT316" i="9"/>
  <c r="CU316" i="9" s="1"/>
  <c r="CW316" i="9" s="1"/>
  <c r="EY358" i="9"/>
  <c r="EZ358" i="9" s="1"/>
  <c r="FB358" i="9" s="1"/>
  <c r="FA358" i="9"/>
  <c r="BJ60" i="9"/>
  <c r="BH60" i="9"/>
  <c r="BI60" i="9" s="1"/>
  <c r="BK60" i="9" s="1"/>
  <c r="BJ124" i="9"/>
  <c r="BH124" i="9"/>
  <c r="BI124" i="9" s="1"/>
  <c r="BK124" i="9" s="1"/>
  <c r="FA171" i="9"/>
  <c r="EY171" i="9"/>
  <c r="EZ171" i="9" s="1"/>
  <c r="FB171" i="9" s="1"/>
  <c r="FA207" i="9"/>
  <c r="EY207" i="9"/>
  <c r="EZ207" i="9" s="1"/>
  <c r="FB207" i="9" s="1"/>
  <c r="EY294" i="9"/>
  <c r="EZ294" i="9" s="1"/>
  <c r="FB294" i="9" s="1"/>
  <c r="FA294" i="9"/>
  <c r="DM56" i="9"/>
  <c r="DN56" i="9" s="1"/>
  <c r="DP56" i="9" s="1"/>
  <c r="DO56" i="9"/>
  <c r="AO28" i="9"/>
  <c r="AP28" i="9" s="1"/>
  <c r="AR28" i="9" s="1"/>
  <c r="AQ28" i="9"/>
  <c r="W28" i="9"/>
  <c r="Y28" i="9" s="1"/>
  <c r="DM88" i="9"/>
  <c r="DN88" i="9" s="1"/>
  <c r="DP88" i="9" s="1"/>
  <c r="DO88" i="9"/>
  <c r="CC88" i="9"/>
  <c r="CA88" i="9"/>
  <c r="CB88" i="9" s="1"/>
  <c r="CD88" i="9" s="1"/>
  <c r="FA91" i="9"/>
  <c r="EY91" i="9"/>
  <c r="EZ91" i="9" s="1"/>
  <c r="FB91" i="9" s="1"/>
  <c r="CV89" i="9"/>
  <c r="CT89" i="9"/>
  <c r="CU89" i="9" s="1"/>
  <c r="CW89" i="9" s="1"/>
  <c r="BJ98" i="9"/>
  <c r="BH98" i="9"/>
  <c r="BI98" i="9" s="1"/>
  <c r="BK98" i="9" s="1"/>
  <c r="FA109" i="9"/>
  <c r="EY109" i="9"/>
  <c r="EZ109" i="9" s="1"/>
  <c r="FB109" i="9" s="1"/>
  <c r="AO112" i="9"/>
  <c r="AP112" i="9" s="1"/>
  <c r="AR112" i="9" s="1"/>
  <c r="AQ112" i="9"/>
  <c r="W112" i="9"/>
  <c r="Y112" i="9" s="1"/>
  <c r="CV121" i="9"/>
  <c r="CT121" i="9"/>
  <c r="CU121" i="9" s="1"/>
  <c r="CW121" i="9" s="1"/>
  <c r="CT127" i="9"/>
  <c r="CU127" i="9" s="1"/>
  <c r="CW127" i="9" s="1"/>
  <c r="CV127" i="9"/>
  <c r="FA118" i="9"/>
  <c r="EY118" i="9"/>
  <c r="EZ118" i="9" s="1"/>
  <c r="FB118" i="9" s="1"/>
  <c r="BJ136" i="9"/>
  <c r="BH136" i="9"/>
  <c r="BI136" i="9" s="1"/>
  <c r="BK136" i="9" s="1"/>
  <c r="AQ162" i="9"/>
  <c r="AO162" i="9"/>
  <c r="AP162" i="9" s="1"/>
  <c r="AR162" i="9" s="1"/>
  <c r="W162" i="9"/>
  <c r="Y162" i="9" s="1"/>
  <c r="EY162" i="9"/>
  <c r="EZ162" i="9" s="1"/>
  <c r="FB162" i="9" s="1"/>
  <c r="FA162" i="9"/>
  <c r="EH205" i="9"/>
  <c r="EF205" i="9"/>
  <c r="EG205" i="9" s="1"/>
  <c r="EI205" i="9" s="1"/>
  <c r="BJ199" i="9"/>
  <c r="BH199" i="9"/>
  <c r="BI199" i="9" s="1"/>
  <c r="BK199" i="9" s="1"/>
  <c r="CV195" i="9"/>
  <c r="CT195" i="9"/>
  <c r="CU195" i="9" s="1"/>
  <c r="CW195" i="9" s="1"/>
  <c r="EY227" i="9"/>
  <c r="EZ227" i="9" s="1"/>
  <c r="FB227" i="9" s="1"/>
  <c r="FA227" i="9"/>
  <c r="CV232" i="9"/>
  <c r="CT232" i="9"/>
  <c r="CU232" i="9" s="1"/>
  <c r="CW232" i="9" s="1"/>
  <c r="CT230" i="9"/>
  <c r="CU230" i="9" s="1"/>
  <c r="CW230" i="9" s="1"/>
  <c r="CV230" i="9"/>
  <c r="AO242" i="9"/>
  <c r="AP242" i="9" s="1"/>
  <c r="AR242" i="9" s="1"/>
  <c r="AQ242" i="9"/>
  <c r="W242" i="9"/>
  <c r="Y242" i="9" s="1"/>
  <c r="DM258" i="9"/>
  <c r="DN258" i="9" s="1"/>
  <c r="DP258" i="9" s="1"/>
  <c r="DO258" i="9"/>
  <c r="AO261" i="9"/>
  <c r="AP261" i="9" s="1"/>
  <c r="AR261" i="9" s="1"/>
  <c r="AQ261" i="9"/>
  <c r="W261" i="9"/>
  <c r="Y261" i="9" s="1"/>
  <c r="AO273" i="9"/>
  <c r="AP273" i="9" s="1"/>
  <c r="AR273" i="9" s="1"/>
  <c r="AQ273" i="9"/>
  <c r="W273" i="9"/>
  <c r="Y273" i="9" s="1"/>
  <c r="EF274" i="9"/>
  <c r="EG274" i="9" s="1"/>
  <c r="EI274" i="9" s="1"/>
  <c r="EH274" i="9"/>
  <c r="DO296" i="9"/>
  <c r="DM296" i="9"/>
  <c r="DN296" i="9" s="1"/>
  <c r="DP296" i="9" s="1"/>
  <c r="CC308" i="9"/>
  <c r="CA308" i="9"/>
  <c r="CB308" i="9" s="1"/>
  <c r="CD308" i="9" s="1"/>
  <c r="BJ302" i="9"/>
  <c r="BH302" i="9"/>
  <c r="BI302" i="9" s="1"/>
  <c r="BK302" i="9" s="1"/>
  <c r="CA315" i="9"/>
  <c r="CB315" i="9" s="1"/>
  <c r="CD315" i="9" s="1"/>
  <c r="CC315" i="9"/>
  <c r="CT345" i="9"/>
  <c r="CU345" i="9" s="1"/>
  <c r="CW345" i="9" s="1"/>
  <c r="CV345" i="9"/>
  <c r="CA322" i="9"/>
  <c r="CB322" i="9" s="1"/>
  <c r="CD322" i="9" s="1"/>
  <c r="CC322" i="9"/>
  <c r="DO335" i="9"/>
  <c r="DM335" i="9"/>
  <c r="DN335" i="9" s="1"/>
  <c r="DP335" i="9" s="1"/>
  <c r="CV335" i="9"/>
  <c r="CT335" i="9"/>
  <c r="CU335" i="9" s="1"/>
  <c r="CW335" i="9" s="1"/>
  <c r="EF345" i="9"/>
  <c r="EG345" i="9" s="1"/>
  <c r="EI345" i="9" s="1"/>
  <c r="EH345" i="9"/>
  <c r="DO352" i="9"/>
  <c r="DM352" i="9"/>
  <c r="DN352" i="9" s="1"/>
  <c r="DP352" i="9" s="1"/>
  <c r="BJ320" i="9"/>
  <c r="BH320" i="9"/>
  <c r="BI320" i="9" s="1"/>
  <c r="BK320" i="9" s="1"/>
  <c r="AO326" i="9"/>
  <c r="AP326" i="9" s="1"/>
  <c r="AR326" i="9" s="1"/>
  <c r="AQ326" i="9"/>
  <c r="W326" i="9"/>
  <c r="Y326" i="9" s="1"/>
  <c r="CT336" i="9"/>
  <c r="CU336" i="9" s="1"/>
  <c r="CW336" i="9" s="1"/>
  <c r="CV336" i="9"/>
  <c r="AQ358" i="9"/>
  <c r="AO358" i="9"/>
  <c r="AP358" i="9" s="1"/>
  <c r="AR358" i="9" s="1"/>
  <c r="W358" i="9"/>
  <c r="Y358" i="9" s="1"/>
  <c r="FA361" i="9"/>
  <c r="EY361" i="9"/>
  <c r="EZ361" i="9" s="1"/>
  <c r="FB361" i="9" s="1"/>
  <c r="DO321" i="9"/>
  <c r="DM321" i="9"/>
  <c r="DN321" i="9" s="1"/>
  <c r="DP321" i="9" s="1"/>
  <c r="CV327" i="9"/>
  <c r="CT327" i="9"/>
  <c r="CU327" i="9" s="1"/>
  <c r="CW327" i="9" s="1"/>
  <c r="FA337" i="9"/>
  <c r="EY337" i="9"/>
  <c r="EZ337" i="9" s="1"/>
  <c r="FB337" i="9" s="1"/>
  <c r="CA343" i="9"/>
  <c r="CB343" i="9" s="1"/>
  <c r="CD343" i="9" s="1"/>
  <c r="CC343" i="9"/>
  <c r="EH358" i="9"/>
  <c r="EF358" i="9"/>
  <c r="EG358" i="9" s="1"/>
  <c r="EI358" i="9" s="1"/>
  <c r="BJ362" i="9"/>
  <c r="BH362" i="9"/>
  <c r="BI362" i="9" s="1"/>
  <c r="BK362" i="9" s="1"/>
  <c r="CT325" i="9"/>
  <c r="CU325" i="9" s="1"/>
  <c r="CW325" i="9" s="1"/>
  <c r="CV325" i="9"/>
  <c r="FA341" i="9"/>
  <c r="EY341" i="9"/>
  <c r="EZ341" i="9" s="1"/>
  <c r="FB341" i="9" s="1"/>
  <c r="BJ351" i="9"/>
  <c r="BH351" i="9"/>
  <c r="BI351" i="9" s="1"/>
  <c r="BK351" i="9" s="1"/>
  <c r="CC359" i="9"/>
  <c r="CA359" i="9"/>
  <c r="CB359" i="9" s="1"/>
  <c r="CD359" i="9" s="1"/>
  <c r="EY314" i="9"/>
  <c r="EZ314" i="9" s="1"/>
  <c r="FB314" i="9" s="1"/>
  <c r="FA314" i="9"/>
  <c r="DO325" i="9"/>
  <c r="DM325" i="9"/>
  <c r="DN325" i="9" s="1"/>
  <c r="DP325" i="9" s="1"/>
  <c r="CV334" i="9"/>
  <c r="CT334" i="9"/>
  <c r="CU334" i="9" s="1"/>
  <c r="CW334" i="9" s="1"/>
  <c r="AO341" i="9"/>
  <c r="AP341" i="9" s="1"/>
  <c r="AR341" i="9" s="1"/>
  <c r="AQ341" i="9"/>
  <c r="W341" i="9"/>
  <c r="Y341" i="9" s="1"/>
  <c r="CV360" i="9"/>
  <c r="CT360" i="9"/>
  <c r="CU360" i="9" s="1"/>
  <c r="CW360" i="9" s="1"/>
  <c r="FA41" i="9"/>
  <c r="EY41" i="9"/>
  <c r="EZ41" i="9" s="1"/>
  <c r="FB41" i="9" s="1"/>
  <c r="AQ330" i="9"/>
  <c r="AO330" i="9"/>
  <c r="AP330" i="9" s="1"/>
  <c r="AR330" i="9" s="1"/>
  <c r="W330" i="9"/>
  <c r="Y330" i="9" s="1"/>
  <c r="BJ341" i="9"/>
  <c r="BH341" i="9"/>
  <c r="BI341" i="9" s="1"/>
  <c r="BK341" i="9" s="1"/>
  <c r="CA349" i="9"/>
  <c r="CB349" i="9" s="1"/>
  <c r="CD349" i="9" s="1"/>
  <c r="CC349" i="9"/>
  <c r="CT355" i="9"/>
  <c r="CU355" i="9" s="1"/>
  <c r="CW355" i="9" s="1"/>
  <c r="CV355" i="9"/>
  <c r="CT69" i="9"/>
  <c r="CU69" i="9" s="1"/>
  <c r="CW69" i="9" s="1"/>
  <c r="CV69" i="9"/>
  <c r="AO317" i="9"/>
  <c r="AP317" i="9" s="1"/>
  <c r="AR317" i="9" s="1"/>
  <c r="AQ317" i="9"/>
  <c r="W317" i="9"/>
  <c r="Y317" i="9" s="1"/>
  <c r="BH333" i="9"/>
  <c r="BI333" i="9" s="1"/>
  <c r="BK333" i="9" s="1"/>
  <c r="BJ333" i="9"/>
  <c r="BJ345" i="9"/>
  <c r="BH345" i="9"/>
  <c r="BI345" i="9" s="1"/>
  <c r="BK345" i="9" s="1"/>
  <c r="FA339" i="9"/>
  <c r="EY339" i="9"/>
  <c r="EZ339" i="9" s="1"/>
  <c r="FB339" i="9" s="1"/>
  <c r="AQ352" i="9"/>
  <c r="AO352" i="9"/>
  <c r="AP352" i="9" s="1"/>
  <c r="AR352" i="9" s="1"/>
  <c r="W352" i="9"/>
  <c r="Y352" i="9" s="1"/>
  <c r="CV361" i="9"/>
  <c r="CT361" i="9"/>
  <c r="CU361" i="9" s="1"/>
  <c r="CW361" i="9" s="1"/>
  <c r="CT31" i="9"/>
  <c r="CU31" i="9" s="1"/>
  <c r="CW31" i="9" s="1"/>
  <c r="CV31" i="9"/>
  <c r="BJ33" i="9"/>
  <c r="BH33" i="9"/>
  <c r="BI33" i="9" s="1"/>
  <c r="BK33" i="9" s="1"/>
  <c r="BJ34" i="9"/>
  <c r="BH34" i="9"/>
  <c r="BI34" i="9" s="1"/>
  <c r="BK34" i="9" s="1"/>
  <c r="CT39" i="9"/>
  <c r="CU39" i="9" s="1"/>
  <c r="CW39" i="9" s="1"/>
  <c r="CV39" i="9"/>
  <c r="CV61" i="9"/>
  <c r="CT61" i="9"/>
  <c r="CU61" i="9" s="1"/>
  <c r="CW61" i="9" s="1"/>
  <c r="AQ76" i="9"/>
  <c r="AO76" i="9"/>
  <c r="AP76" i="9" s="1"/>
  <c r="AR76" i="9" s="1"/>
  <c r="W76" i="9"/>
  <c r="Y76" i="9" s="1"/>
  <c r="CV62" i="9"/>
  <c r="CT62" i="9"/>
  <c r="CU62" i="9" s="1"/>
  <c r="CW62" i="9" s="1"/>
  <c r="EH14" i="9"/>
  <c r="EF14" i="9"/>
  <c r="EG14" i="9" s="1"/>
  <c r="EI14" i="9" s="1"/>
  <c r="DM37" i="9"/>
  <c r="DN37" i="9" s="1"/>
  <c r="DP37" i="9" s="1"/>
  <c r="DO37" i="9"/>
  <c r="CC59" i="9"/>
  <c r="CA59" i="9"/>
  <c r="CB59" i="9" s="1"/>
  <c r="CD59" i="9" s="1"/>
  <c r="FA25" i="9"/>
  <c r="EY25" i="9"/>
  <c r="EZ25" i="9" s="1"/>
  <c r="FB25" i="9" s="1"/>
  <c r="CV15" i="9"/>
  <c r="CT15" i="9"/>
  <c r="CU15" i="9" s="1"/>
  <c r="CW15" i="9" s="1"/>
  <c r="CA29" i="9"/>
  <c r="CB29" i="9" s="1"/>
  <c r="CD29" i="9" s="1"/>
  <c r="CC29" i="9"/>
  <c r="EF16" i="9"/>
  <c r="EG16" i="9" s="1"/>
  <c r="EI16" i="9" s="1"/>
  <c r="EH16" i="9"/>
  <c r="BJ26" i="9"/>
  <c r="BH26" i="9"/>
  <c r="BI26" i="9" s="1"/>
  <c r="BK26" i="9" s="1"/>
  <c r="CT26" i="9"/>
  <c r="CU26" i="9" s="1"/>
  <c r="CW26" i="9" s="1"/>
  <c r="CV26" i="9"/>
  <c r="EF24" i="9"/>
  <c r="EG24" i="9" s="1"/>
  <c r="EI24" i="9" s="1"/>
  <c r="EH24" i="9"/>
  <c r="CA37" i="9"/>
  <c r="CB37" i="9" s="1"/>
  <c r="CD37" i="9" s="1"/>
  <c r="CC37" i="9"/>
  <c r="FA18" i="9"/>
  <c r="EY18" i="9"/>
  <c r="EZ18" i="9" s="1"/>
  <c r="FB18" i="9" s="1"/>
  <c r="EF32" i="9"/>
  <c r="EG32" i="9" s="1"/>
  <c r="EI32" i="9" s="1"/>
  <c r="EH32" i="9"/>
  <c r="FF21" i="12"/>
  <c r="EP21" i="12"/>
  <c r="FE21" i="12"/>
  <c r="FG21" i="12" s="1"/>
  <c r="DD21" i="12"/>
  <c r="CK21" i="12"/>
  <c r="AB21" i="12"/>
  <c r="AD21" i="12" s="1"/>
  <c r="BN21" i="12"/>
  <c r="BP21" i="12" s="1"/>
  <c r="AC21" i="12"/>
  <c r="BO21" i="12"/>
  <c r="CH21" i="12"/>
  <c r="DW21" i="12"/>
  <c r="DS21" i="12"/>
  <c r="DU21" i="12" s="1"/>
  <c r="AY21" i="12"/>
  <c r="CG21" i="12"/>
  <c r="CI21" i="12" s="1"/>
  <c r="DA21" i="12"/>
  <c r="EM21" i="12"/>
  <c r="AF21" i="12"/>
  <c r="FI21" i="12"/>
  <c r="CZ21" i="12"/>
  <c r="DB21" i="12" s="1"/>
  <c r="EL21" i="12"/>
  <c r="EN21" i="12" s="1"/>
  <c r="BR21" i="12"/>
  <c r="DT21" i="12"/>
  <c r="AV21" i="12"/>
  <c r="AU21" i="12"/>
  <c r="AW21" i="12" s="1"/>
  <c r="DM96" i="12"/>
  <c r="DN96" i="12" s="1"/>
  <c r="DP96" i="12" s="1"/>
  <c r="DO96" i="12"/>
  <c r="CC350" i="12"/>
  <c r="CA350" i="12"/>
  <c r="CB350" i="12" s="1"/>
  <c r="CD350" i="12" s="1"/>
  <c r="AQ97" i="12"/>
  <c r="AO97" i="12"/>
  <c r="AP97" i="12" s="1"/>
  <c r="AR97" i="12" s="1"/>
  <c r="W97" i="12"/>
  <c r="Y97" i="12" s="1"/>
  <c r="CC42" i="12"/>
  <c r="CA42" i="12"/>
  <c r="CB42" i="12" s="1"/>
  <c r="CD42" i="12" s="1"/>
  <c r="EY307" i="12"/>
  <c r="EZ307" i="12" s="1"/>
  <c r="FB307" i="12" s="1"/>
  <c r="FA307" i="12"/>
  <c r="CT172" i="12"/>
  <c r="CU172" i="12" s="1"/>
  <c r="CW172" i="12" s="1"/>
  <c r="CV172" i="12"/>
  <c r="BJ39" i="12"/>
  <c r="BH39" i="12"/>
  <c r="BI39" i="12" s="1"/>
  <c r="BK39" i="12" s="1"/>
  <c r="CC22" i="12"/>
  <c r="CA22" i="12"/>
  <c r="CB22" i="12" s="1"/>
  <c r="CD22" i="12" s="1"/>
  <c r="AO251" i="12"/>
  <c r="AP251" i="12" s="1"/>
  <c r="AR251" i="12" s="1"/>
  <c r="AQ251" i="12"/>
  <c r="W251" i="12"/>
  <c r="Y251" i="12" s="1"/>
  <c r="EF81" i="12"/>
  <c r="EG81" i="12" s="1"/>
  <c r="EI81" i="12" s="1"/>
  <c r="EH81" i="12"/>
  <c r="CC25" i="12"/>
  <c r="CA25" i="12"/>
  <c r="CB25" i="12" s="1"/>
  <c r="CD25" i="12" s="1"/>
  <c r="BJ342" i="12"/>
  <c r="BH342" i="12"/>
  <c r="BI342" i="12" s="1"/>
  <c r="BK342" i="12" s="1"/>
  <c r="FA39" i="12"/>
  <c r="EY39" i="12"/>
  <c r="EZ39" i="12" s="1"/>
  <c r="FB39" i="12" s="1"/>
  <c r="FA30" i="12"/>
  <c r="EY30" i="12"/>
  <c r="EZ30" i="12" s="1"/>
  <c r="FB30" i="12" s="1"/>
  <c r="EY25" i="12"/>
  <c r="EZ25" i="12" s="1"/>
  <c r="FB25" i="12" s="1"/>
  <c r="FA25" i="12"/>
  <c r="DM51" i="12"/>
  <c r="DN51" i="12" s="1"/>
  <c r="DP51" i="12" s="1"/>
  <c r="DO51" i="12"/>
  <c r="AO54" i="12"/>
  <c r="AP54" i="12" s="1"/>
  <c r="AR54" i="12" s="1"/>
  <c r="AQ54" i="12"/>
  <c r="W54" i="12"/>
  <c r="Y54" i="12" s="1"/>
  <c r="EH70" i="12"/>
  <c r="EF70" i="12"/>
  <c r="EG70" i="12" s="1"/>
  <c r="EI70" i="12" s="1"/>
  <c r="BJ80" i="12"/>
  <c r="BH80" i="12"/>
  <c r="BI80" i="12" s="1"/>
  <c r="BK80" i="12" s="1"/>
  <c r="CC138" i="12"/>
  <c r="CA138" i="12"/>
  <c r="CB138" i="12" s="1"/>
  <c r="CD138" i="12" s="1"/>
  <c r="FA216" i="12"/>
  <c r="EY216" i="12"/>
  <c r="EZ216" i="12" s="1"/>
  <c r="FB216" i="12" s="1"/>
  <c r="AQ278" i="12"/>
  <c r="AO278" i="12"/>
  <c r="AP278" i="12" s="1"/>
  <c r="AR278" i="12" s="1"/>
  <c r="W278" i="12"/>
  <c r="Y278" i="12" s="1"/>
  <c r="BJ346" i="12"/>
  <c r="BH346" i="12"/>
  <c r="BI346" i="12" s="1"/>
  <c r="BK346" i="12" s="1"/>
  <c r="CT32" i="12"/>
  <c r="CU32" i="12" s="1"/>
  <c r="CW32" i="12" s="1"/>
  <c r="CV32" i="12"/>
  <c r="CV23" i="12"/>
  <c r="CT23" i="12"/>
  <c r="CU23" i="12" s="1"/>
  <c r="CW23" i="12" s="1"/>
  <c r="CV81" i="12"/>
  <c r="CT81" i="12"/>
  <c r="CU81" i="12" s="1"/>
  <c r="CW81" i="12" s="1"/>
  <c r="CT50" i="12"/>
  <c r="CU50" i="12" s="1"/>
  <c r="CW50" i="12" s="1"/>
  <c r="CV50" i="12"/>
  <c r="CC44" i="12"/>
  <c r="CA44" i="12"/>
  <c r="CB44" i="12" s="1"/>
  <c r="CD44" i="12" s="1"/>
  <c r="CC63" i="12"/>
  <c r="CA63" i="12"/>
  <c r="CB63" i="12" s="1"/>
  <c r="CD63" i="12" s="1"/>
  <c r="EF57" i="12"/>
  <c r="EG57" i="12" s="1"/>
  <c r="EI57" i="12" s="1"/>
  <c r="EH57" i="12"/>
  <c r="EY178" i="12"/>
  <c r="EZ178" i="12" s="1"/>
  <c r="FB178" i="12" s="1"/>
  <c r="FA178" i="12"/>
  <c r="FA214" i="12"/>
  <c r="EY214" i="12"/>
  <c r="EZ214" i="12" s="1"/>
  <c r="FB214" i="12" s="1"/>
  <c r="AQ259" i="12"/>
  <c r="AO259" i="12"/>
  <c r="AP259" i="12" s="1"/>
  <c r="AR259" i="12" s="1"/>
  <c r="W259" i="12"/>
  <c r="Y259" i="12" s="1"/>
  <c r="EY326" i="12"/>
  <c r="EZ326" i="12" s="1"/>
  <c r="FB326" i="12" s="1"/>
  <c r="FA326" i="12"/>
  <c r="DM74" i="12"/>
  <c r="DN74" i="12" s="1"/>
  <c r="DP74" i="12" s="1"/>
  <c r="DO74" i="12"/>
  <c r="AO51" i="12"/>
  <c r="AP51" i="12" s="1"/>
  <c r="AR51" i="12" s="1"/>
  <c r="AQ51" i="12"/>
  <c r="W51" i="12"/>
  <c r="Y51" i="12" s="1"/>
  <c r="FA40" i="12"/>
  <c r="EY40" i="12"/>
  <c r="EZ40" i="12" s="1"/>
  <c r="FB40" i="12" s="1"/>
  <c r="EY59" i="12"/>
  <c r="EZ59" i="12" s="1"/>
  <c r="FB59" i="12" s="1"/>
  <c r="FA59" i="12"/>
  <c r="EH123" i="12"/>
  <c r="EF123" i="12"/>
  <c r="EG123" i="12" s="1"/>
  <c r="EI123" i="12" s="1"/>
  <c r="CA184" i="12"/>
  <c r="CB184" i="12" s="1"/>
  <c r="CD184" i="12" s="1"/>
  <c r="CC184" i="12"/>
  <c r="BJ324" i="12"/>
  <c r="BH324" i="12"/>
  <c r="BI324" i="12" s="1"/>
  <c r="BK324" i="12" s="1"/>
  <c r="AQ25" i="12"/>
  <c r="AO25" i="12"/>
  <c r="AP25" i="12" s="1"/>
  <c r="AR25" i="12" s="1"/>
  <c r="W25" i="12"/>
  <c r="Y25" i="12" s="1"/>
  <c r="EH55" i="12"/>
  <c r="EF55" i="12"/>
  <c r="EG55" i="12" s="1"/>
  <c r="EI55" i="12" s="1"/>
  <c r="AQ48" i="12"/>
  <c r="AO48" i="12"/>
  <c r="AP48" i="12" s="1"/>
  <c r="AR48" i="12" s="1"/>
  <c r="W48" i="12"/>
  <c r="Y48" i="12" s="1"/>
  <c r="AO43" i="12"/>
  <c r="AP43" i="12" s="1"/>
  <c r="AR43" i="12" s="1"/>
  <c r="AQ43" i="12"/>
  <c r="W43" i="12"/>
  <c r="Y43" i="12" s="1"/>
  <c r="CV37" i="12"/>
  <c r="CT37" i="12"/>
  <c r="CU37" i="12" s="1"/>
  <c r="CW37" i="12" s="1"/>
  <c r="CV56" i="12"/>
  <c r="CT56" i="12"/>
  <c r="CU56" i="12" s="1"/>
  <c r="CW56" i="12" s="1"/>
  <c r="EH118" i="12"/>
  <c r="EF118" i="12"/>
  <c r="EG118" i="12" s="1"/>
  <c r="EI118" i="12" s="1"/>
  <c r="AQ127" i="12"/>
  <c r="AO127" i="12"/>
  <c r="AP127" i="12" s="1"/>
  <c r="AR127" i="12" s="1"/>
  <c r="W127" i="12"/>
  <c r="Y127" i="12" s="1"/>
  <c r="FA193" i="12"/>
  <c r="EY193" i="12"/>
  <c r="EZ193" i="12" s="1"/>
  <c r="FB193" i="12" s="1"/>
  <c r="CV261" i="12"/>
  <c r="CT261" i="12"/>
  <c r="CU261" i="12" s="1"/>
  <c r="CW261" i="12" s="1"/>
  <c r="CA312" i="12"/>
  <c r="CB312" i="12" s="1"/>
  <c r="CD312" i="12" s="1"/>
  <c r="CC312" i="12"/>
  <c r="DO19" i="12"/>
  <c r="DM19" i="12"/>
  <c r="DN19" i="12" s="1"/>
  <c r="DP19" i="12" s="1"/>
  <c r="DO49" i="12"/>
  <c r="DM49" i="12"/>
  <c r="DN49" i="12" s="1"/>
  <c r="DP49" i="12" s="1"/>
  <c r="DO40" i="12"/>
  <c r="DM40" i="12"/>
  <c r="DN40" i="12" s="1"/>
  <c r="DP40" i="12" s="1"/>
  <c r="DO35" i="12"/>
  <c r="DM35" i="12"/>
  <c r="DN35" i="12" s="1"/>
  <c r="DP35" i="12" s="1"/>
  <c r="EF110" i="12"/>
  <c r="EG110" i="12" s="1"/>
  <c r="EI110" i="12" s="1"/>
  <c r="EH110" i="12"/>
  <c r="AQ114" i="12"/>
  <c r="AO114" i="12"/>
  <c r="AP114" i="12" s="1"/>
  <c r="AR114" i="12" s="1"/>
  <c r="W114" i="12"/>
  <c r="Y114" i="12" s="1"/>
  <c r="FA190" i="12"/>
  <c r="EY190" i="12"/>
  <c r="EZ190" i="12" s="1"/>
  <c r="FB190" i="12" s="1"/>
  <c r="EF230" i="12"/>
  <c r="EG230" i="12" s="1"/>
  <c r="EI230" i="12" s="1"/>
  <c r="EH230" i="12"/>
  <c r="CV296" i="12"/>
  <c r="CT296" i="12"/>
  <c r="CU296" i="12" s="1"/>
  <c r="CW296" i="12" s="1"/>
  <c r="BJ21" i="12"/>
  <c r="BH21" i="12"/>
  <c r="BI21" i="12" s="1"/>
  <c r="BK21" i="12" s="1"/>
  <c r="BJ42" i="12"/>
  <c r="BH42" i="12"/>
  <c r="BI42" i="12" s="1"/>
  <c r="BK42" i="12" s="1"/>
  <c r="BJ33" i="12"/>
  <c r="BH33" i="12"/>
  <c r="BI33" i="12" s="1"/>
  <c r="BK33" i="12" s="1"/>
  <c r="BH28" i="12"/>
  <c r="BI28" i="12" s="1"/>
  <c r="BK28" i="12" s="1"/>
  <c r="BJ28" i="12"/>
  <c r="CT92" i="12"/>
  <c r="CU92" i="12" s="1"/>
  <c r="CW92" i="12" s="1"/>
  <c r="CV92" i="12"/>
  <c r="CC76" i="12"/>
  <c r="CA76" i="12"/>
  <c r="CB76" i="12" s="1"/>
  <c r="CD76" i="12" s="1"/>
  <c r="AO73" i="12"/>
  <c r="AP73" i="12" s="1"/>
  <c r="AR73" i="12" s="1"/>
  <c r="AQ73" i="12"/>
  <c r="W73" i="12"/>
  <c r="Y73" i="12" s="1"/>
  <c r="DO88" i="12"/>
  <c r="DM88" i="12"/>
  <c r="DN88" i="12" s="1"/>
  <c r="DP88" i="12" s="1"/>
  <c r="FA221" i="12"/>
  <c r="EY221" i="12"/>
  <c r="EZ221" i="12" s="1"/>
  <c r="FB221" i="12" s="1"/>
  <c r="EH294" i="12"/>
  <c r="EF294" i="12"/>
  <c r="EG294" i="12" s="1"/>
  <c r="EI294" i="12" s="1"/>
  <c r="EH30" i="12"/>
  <c r="EF30" i="12"/>
  <c r="EG30" i="12" s="1"/>
  <c r="EI30" i="12" s="1"/>
  <c r="DO109" i="12"/>
  <c r="DM109" i="12"/>
  <c r="DN109" i="12" s="1"/>
  <c r="DP109" i="12" s="1"/>
  <c r="CC72" i="12"/>
  <c r="CA72" i="12"/>
  <c r="CB72" i="12" s="1"/>
  <c r="CD72" i="12" s="1"/>
  <c r="EF48" i="12"/>
  <c r="EG48" i="12" s="1"/>
  <c r="EI48" i="12" s="1"/>
  <c r="EH48" i="12"/>
  <c r="DO42" i="12"/>
  <c r="DM42" i="12"/>
  <c r="DN42" i="12" s="1"/>
  <c r="DP42" i="12" s="1"/>
  <c r="DO61" i="12"/>
  <c r="DM61" i="12"/>
  <c r="DN61" i="12" s="1"/>
  <c r="DP61" i="12" s="1"/>
  <c r="DM52" i="12"/>
  <c r="DN52" i="12" s="1"/>
  <c r="DP52" i="12" s="1"/>
  <c r="DO52" i="12"/>
  <c r="EH139" i="12"/>
  <c r="EF139" i="12"/>
  <c r="EG139" i="12" s="1"/>
  <c r="EI139" i="12" s="1"/>
  <c r="AQ203" i="12"/>
  <c r="AO203" i="12"/>
  <c r="AP203" i="12" s="1"/>
  <c r="AR203" i="12" s="1"/>
  <c r="W203" i="12"/>
  <c r="Y203" i="12" s="1"/>
  <c r="EH269" i="12"/>
  <c r="EF269" i="12"/>
  <c r="EG269" i="12" s="1"/>
  <c r="EI269" i="12" s="1"/>
  <c r="CV324" i="12"/>
  <c r="CT324" i="12"/>
  <c r="CU324" i="12" s="1"/>
  <c r="CW324" i="12" s="1"/>
  <c r="CC62" i="12"/>
  <c r="CA62" i="12"/>
  <c r="CB62" i="12" s="1"/>
  <c r="CD62" i="12" s="1"/>
  <c r="EF56" i="12"/>
  <c r="EG56" i="12" s="1"/>
  <c r="EI56" i="12" s="1"/>
  <c r="EH56" i="12"/>
  <c r="CC103" i="12"/>
  <c r="CA103" i="12"/>
  <c r="CB103" i="12" s="1"/>
  <c r="CD103" i="12" s="1"/>
  <c r="BJ109" i="12"/>
  <c r="BH109" i="12"/>
  <c r="BI109" i="12" s="1"/>
  <c r="BK109" i="12" s="1"/>
  <c r="CV106" i="12"/>
  <c r="CT106" i="12"/>
  <c r="CU106" i="12" s="1"/>
  <c r="CW106" i="12" s="1"/>
  <c r="DM106" i="12"/>
  <c r="DN106" i="12" s="1"/>
  <c r="DP106" i="12" s="1"/>
  <c r="DO106" i="12"/>
  <c r="DO123" i="12"/>
  <c r="DM123" i="12"/>
  <c r="DN123" i="12" s="1"/>
  <c r="DP123" i="12" s="1"/>
  <c r="CC124" i="12"/>
  <c r="CA124" i="12"/>
  <c r="CB124" i="12" s="1"/>
  <c r="CD124" i="12" s="1"/>
  <c r="EY159" i="12"/>
  <c r="EZ159" i="12" s="1"/>
  <c r="FB159" i="12" s="1"/>
  <c r="FA159" i="12"/>
  <c r="CC145" i="12"/>
  <c r="CA145" i="12"/>
  <c r="CB145" i="12" s="1"/>
  <c r="CD145" i="12" s="1"/>
  <c r="CC159" i="12"/>
  <c r="CA159" i="12"/>
  <c r="CB159" i="12" s="1"/>
  <c r="CD159" i="12" s="1"/>
  <c r="CV207" i="12"/>
  <c r="CT207" i="12"/>
  <c r="CU207" i="12" s="1"/>
  <c r="CW207" i="12" s="1"/>
  <c r="AQ164" i="12"/>
  <c r="AO164" i="12"/>
  <c r="AP164" i="12" s="1"/>
  <c r="AR164" i="12" s="1"/>
  <c r="W164" i="12"/>
  <c r="Y164" i="12" s="1"/>
  <c r="CC182" i="12"/>
  <c r="CA182" i="12"/>
  <c r="CB182" i="12" s="1"/>
  <c r="CD182" i="12" s="1"/>
  <c r="CV190" i="12"/>
  <c r="CT190" i="12"/>
  <c r="CU190" i="12" s="1"/>
  <c r="CW190" i="12" s="1"/>
  <c r="FA184" i="12"/>
  <c r="EY184" i="12"/>
  <c r="EZ184" i="12" s="1"/>
  <c r="FB184" i="12" s="1"/>
  <c r="CC200" i="12"/>
  <c r="CA200" i="12"/>
  <c r="CB200" i="12" s="1"/>
  <c r="CD200" i="12" s="1"/>
  <c r="AQ209" i="12"/>
  <c r="AO209" i="12"/>
  <c r="AP209" i="12" s="1"/>
  <c r="AR209" i="12" s="1"/>
  <c r="W209" i="12"/>
  <c r="Y209" i="12" s="1"/>
  <c r="CA223" i="12"/>
  <c r="CB223" i="12" s="1"/>
  <c r="CD223" i="12" s="1"/>
  <c r="CC223" i="12"/>
  <c r="CV238" i="12"/>
  <c r="CT238" i="12"/>
  <c r="CU238" i="12" s="1"/>
  <c r="CW238" i="12" s="1"/>
  <c r="CC274" i="12"/>
  <c r="CA274" i="12"/>
  <c r="CB274" i="12" s="1"/>
  <c r="CD274" i="12" s="1"/>
  <c r="FA263" i="12"/>
  <c r="EY263" i="12"/>
  <c r="EZ263" i="12" s="1"/>
  <c r="FB263" i="12" s="1"/>
  <c r="CV269" i="12"/>
  <c r="CT269" i="12"/>
  <c r="CU269" i="12" s="1"/>
  <c r="CW269" i="12" s="1"/>
  <c r="EH281" i="12"/>
  <c r="EF281" i="12"/>
  <c r="EG281" i="12" s="1"/>
  <c r="EI281" i="12" s="1"/>
  <c r="CV281" i="12"/>
  <c r="CT281" i="12"/>
  <c r="CU281" i="12" s="1"/>
  <c r="CW281" i="12" s="1"/>
  <c r="FA296" i="12"/>
  <c r="EY296" i="12"/>
  <c r="EZ296" i="12" s="1"/>
  <c r="FB296" i="12" s="1"/>
  <c r="BH309" i="12"/>
  <c r="BI309" i="12" s="1"/>
  <c r="BK309" i="12" s="1"/>
  <c r="BJ309" i="12"/>
  <c r="CV318" i="12"/>
  <c r="CT318" i="12"/>
  <c r="CU318" i="12" s="1"/>
  <c r="CW318" i="12" s="1"/>
  <c r="DM324" i="12"/>
  <c r="DN324" i="12" s="1"/>
  <c r="DP324" i="12" s="1"/>
  <c r="DO324" i="12"/>
  <c r="FA339" i="12"/>
  <c r="EY339" i="12"/>
  <c r="EZ339" i="12" s="1"/>
  <c r="FB339" i="12" s="1"/>
  <c r="FA342" i="12"/>
  <c r="EY342" i="12"/>
  <c r="EZ342" i="12" s="1"/>
  <c r="FB342" i="12" s="1"/>
  <c r="CV357" i="12"/>
  <c r="CT357" i="12"/>
  <c r="CU357" i="12" s="1"/>
  <c r="CW357" i="12" s="1"/>
  <c r="CT363" i="12"/>
  <c r="CU363" i="12" s="1"/>
  <c r="CW363" i="12" s="1"/>
  <c r="CV363" i="12"/>
  <c r="FA70" i="12"/>
  <c r="EY70" i="12"/>
  <c r="EZ70" i="12" s="1"/>
  <c r="FB70" i="12" s="1"/>
  <c r="CA65" i="12"/>
  <c r="CB65" i="12" s="1"/>
  <c r="CD65" i="12" s="1"/>
  <c r="CC65" i="12"/>
  <c r="EH85" i="12"/>
  <c r="EF85" i="12"/>
  <c r="EG85" i="12" s="1"/>
  <c r="EI85" i="12" s="1"/>
  <c r="BH115" i="12"/>
  <c r="BI115" i="12" s="1"/>
  <c r="BK115" i="12" s="1"/>
  <c r="BJ115" i="12"/>
  <c r="EH114" i="12"/>
  <c r="EF114" i="12"/>
  <c r="EG114" i="12" s="1"/>
  <c r="EI114" i="12" s="1"/>
  <c r="BJ132" i="12"/>
  <c r="BH132" i="12"/>
  <c r="BI132" i="12" s="1"/>
  <c r="BK132" i="12" s="1"/>
  <c r="FA132" i="12"/>
  <c r="EY132" i="12"/>
  <c r="EZ132" i="12" s="1"/>
  <c r="FB132" i="12" s="1"/>
  <c r="FA127" i="12"/>
  <c r="EY127" i="12"/>
  <c r="EZ127" i="12" s="1"/>
  <c r="FB127" i="12" s="1"/>
  <c r="CV123" i="12"/>
  <c r="CT123" i="12"/>
  <c r="CU123" i="12" s="1"/>
  <c r="CW123" i="12" s="1"/>
  <c r="DM148" i="12"/>
  <c r="DN148" i="12" s="1"/>
  <c r="DP148" i="12" s="1"/>
  <c r="DO148" i="12"/>
  <c r="BJ195" i="12"/>
  <c r="BH195" i="12"/>
  <c r="BI195" i="12" s="1"/>
  <c r="BK195" i="12" s="1"/>
  <c r="CV195" i="12"/>
  <c r="CT195" i="12"/>
  <c r="CU195" i="12" s="1"/>
  <c r="CW195" i="12" s="1"/>
  <c r="CV193" i="12"/>
  <c r="CT193" i="12"/>
  <c r="CU193" i="12" s="1"/>
  <c r="CW193" i="12" s="1"/>
  <c r="CA206" i="12"/>
  <c r="CB206" i="12" s="1"/>
  <c r="CD206" i="12" s="1"/>
  <c r="CC206" i="12"/>
  <c r="AQ219" i="12"/>
  <c r="AO219" i="12"/>
  <c r="AP219" i="12" s="1"/>
  <c r="AR219" i="12" s="1"/>
  <c r="W219" i="12"/>
  <c r="Y219" i="12" s="1"/>
  <c r="DO217" i="12"/>
  <c r="DM217" i="12"/>
  <c r="DN217" i="12" s="1"/>
  <c r="DP217" i="12" s="1"/>
  <c r="FA233" i="12"/>
  <c r="EY233" i="12"/>
  <c r="EZ233" i="12" s="1"/>
  <c r="FB233" i="12" s="1"/>
  <c r="EY231" i="12"/>
  <c r="EZ231" i="12" s="1"/>
  <c r="FB231" i="12" s="1"/>
  <c r="FA231" i="12"/>
  <c r="CC258" i="12"/>
  <c r="CA258" i="12"/>
  <c r="CB258" i="12" s="1"/>
  <c r="CD258" i="12" s="1"/>
  <c r="EH278" i="12"/>
  <c r="EF278" i="12"/>
  <c r="EG278" i="12" s="1"/>
  <c r="EI278" i="12" s="1"/>
  <c r="CC294" i="12"/>
  <c r="CA294" i="12"/>
  <c r="CB294" i="12" s="1"/>
  <c r="CD294" i="12" s="1"/>
  <c r="AQ297" i="12"/>
  <c r="AO297" i="12"/>
  <c r="AP297" i="12" s="1"/>
  <c r="AR297" i="12" s="1"/>
  <c r="W297" i="12"/>
  <c r="Y297" i="12" s="1"/>
  <c r="BH308" i="12"/>
  <c r="BI308" i="12" s="1"/>
  <c r="BK308" i="12" s="1"/>
  <c r="BJ308" i="12"/>
  <c r="DM317" i="12"/>
  <c r="DN317" i="12" s="1"/>
  <c r="DP317" i="12" s="1"/>
  <c r="DO317" i="12"/>
  <c r="CA322" i="12"/>
  <c r="CB322" i="12" s="1"/>
  <c r="CD322" i="12" s="1"/>
  <c r="CC322" i="12"/>
  <c r="AQ344" i="12"/>
  <c r="AO344" i="12"/>
  <c r="AP344" i="12" s="1"/>
  <c r="AR344" i="12" s="1"/>
  <c r="W344" i="12"/>
  <c r="Y344" i="12" s="1"/>
  <c r="CC351" i="12"/>
  <c r="CA351" i="12"/>
  <c r="CB351" i="12" s="1"/>
  <c r="CD351" i="12" s="1"/>
  <c r="AQ357" i="12"/>
  <c r="AO357" i="12"/>
  <c r="AP357" i="12" s="1"/>
  <c r="AR357" i="12" s="1"/>
  <c r="W357" i="12"/>
  <c r="Y357" i="12" s="1"/>
  <c r="AQ16" i="12"/>
  <c r="AO16" i="12"/>
  <c r="AP16" i="12" s="1"/>
  <c r="AR16" i="12" s="1"/>
  <c r="W16" i="12"/>
  <c r="Y16" i="12" s="1"/>
  <c r="CC87" i="12"/>
  <c r="CA87" i="12"/>
  <c r="CB87" i="12" s="1"/>
  <c r="CD87" i="12" s="1"/>
  <c r="FA77" i="12"/>
  <c r="EY77" i="12"/>
  <c r="EZ77" i="12" s="1"/>
  <c r="FB77" i="12" s="1"/>
  <c r="CA98" i="12"/>
  <c r="CB98" i="12" s="1"/>
  <c r="CD98" i="12" s="1"/>
  <c r="CC98" i="12"/>
  <c r="AQ95" i="12"/>
  <c r="AO95" i="12"/>
  <c r="AP95" i="12" s="1"/>
  <c r="AR95" i="12" s="1"/>
  <c r="W95" i="12"/>
  <c r="Y95" i="12" s="1"/>
  <c r="EH95" i="12"/>
  <c r="EF95" i="12"/>
  <c r="EG95" i="12" s="1"/>
  <c r="EI95" i="12" s="1"/>
  <c r="BJ116" i="12"/>
  <c r="BH116" i="12"/>
  <c r="BI116" i="12" s="1"/>
  <c r="BK116" i="12" s="1"/>
  <c r="EF144" i="12"/>
  <c r="EG144" i="12" s="1"/>
  <c r="EI144" i="12" s="1"/>
  <c r="EH144" i="12"/>
  <c r="BH145" i="12"/>
  <c r="BI145" i="12" s="1"/>
  <c r="BK145" i="12" s="1"/>
  <c r="BJ145" i="12"/>
  <c r="CV140" i="12"/>
  <c r="CT140" i="12"/>
  <c r="CU140" i="12" s="1"/>
  <c r="CW140" i="12" s="1"/>
  <c r="BJ161" i="12"/>
  <c r="BH161" i="12"/>
  <c r="BI161" i="12" s="1"/>
  <c r="BK161" i="12" s="1"/>
  <c r="CV162" i="12"/>
  <c r="CT162" i="12"/>
  <c r="CU162" i="12" s="1"/>
  <c r="CW162" i="12" s="1"/>
  <c r="EF163" i="12"/>
  <c r="EG163" i="12" s="1"/>
  <c r="EI163" i="12" s="1"/>
  <c r="EH163" i="12"/>
  <c r="AQ179" i="12"/>
  <c r="AO179" i="12"/>
  <c r="AP179" i="12" s="1"/>
  <c r="AR179" i="12" s="1"/>
  <c r="W179" i="12"/>
  <c r="Y179" i="12" s="1"/>
  <c r="BJ200" i="12"/>
  <c r="BH200" i="12"/>
  <c r="BI200" i="12" s="1"/>
  <c r="BK200" i="12" s="1"/>
  <c r="FA210" i="12"/>
  <c r="EY210" i="12"/>
  <c r="EZ210" i="12" s="1"/>
  <c r="FB210" i="12" s="1"/>
  <c r="AO214" i="12"/>
  <c r="AP214" i="12" s="1"/>
  <c r="AR214" i="12" s="1"/>
  <c r="AQ214" i="12"/>
  <c r="W214" i="12"/>
  <c r="Y214" i="12" s="1"/>
  <c r="FA226" i="12"/>
  <c r="EY226" i="12"/>
  <c r="EZ226" i="12" s="1"/>
  <c r="FB226" i="12" s="1"/>
  <c r="CT229" i="12"/>
  <c r="CU229" i="12" s="1"/>
  <c r="CW229" i="12" s="1"/>
  <c r="CV229" i="12"/>
  <c r="FA242" i="12"/>
  <c r="EY242" i="12"/>
  <c r="EZ242" i="12" s="1"/>
  <c r="FB242" i="12" s="1"/>
  <c r="BH247" i="12"/>
  <c r="BI247" i="12" s="1"/>
  <c r="BK247" i="12" s="1"/>
  <c r="BJ247" i="12"/>
  <c r="AQ257" i="12"/>
  <c r="AO257" i="12"/>
  <c r="AP257" i="12" s="1"/>
  <c r="AR257" i="12" s="1"/>
  <c r="W257" i="12"/>
  <c r="Y257" i="12" s="1"/>
  <c r="EF252" i="12"/>
  <c r="EG252" i="12" s="1"/>
  <c r="EI252" i="12" s="1"/>
  <c r="EH252" i="12"/>
  <c r="AO285" i="12"/>
  <c r="AP285" i="12" s="1"/>
  <c r="AR285" i="12" s="1"/>
  <c r="AQ285" i="12"/>
  <c r="W285" i="12"/>
  <c r="Y285" i="12" s="1"/>
  <c r="FA275" i="12"/>
  <c r="EY275" i="12"/>
  <c r="EZ275" i="12" s="1"/>
  <c r="FB275" i="12" s="1"/>
  <c r="CV286" i="12"/>
  <c r="CT286" i="12"/>
  <c r="CU286" i="12" s="1"/>
  <c r="CW286" i="12" s="1"/>
  <c r="AQ309" i="12"/>
  <c r="AO309" i="12"/>
  <c r="AP309" i="12" s="1"/>
  <c r="AR309" i="12" s="1"/>
  <c r="W309" i="12"/>
  <c r="Y309" i="12" s="1"/>
  <c r="DO322" i="12"/>
  <c r="DM322" i="12"/>
  <c r="DN322" i="12" s="1"/>
  <c r="DP322" i="12" s="1"/>
  <c r="DM329" i="12"/>
  <c r="DN329" i="12" s="1"/>
  <c r="DP329" i="12" s="1"/>
  <c r="DO329" i="12"/>
  <c r="AO334" i="12"/>
  <c r="AP334" i="12" s="1"/>
  <c r="AR334" i="12" s="1"/>
  <c r="AQ334" i="12"/>
  <c r="W334" i="12"/>
  <c r="Y334" i="12" s="1"/>
  <c r="FA343" i="12"/>
  <c r="EY343" i="12"/>
  <c r="EZ343" i="12" s="1"/>
  <c r="FB343" i="12" s="1"/>
  <c r="EF351" i="12"/>
  <c r="EG351" i="12" s="1"/>
  <c r="EI351" i="12" s="1"/>
  <c r="EH351" i="12"/>
  <c r="BJ360" i="12"/>
  <c r="BH360" i="12"/>
  <c r="BI360" i="12" s="1"/>
  <c r="BK360" i="12" s="1"/>
  <c r="CT62" i="12"/>
  <c r="CU62" i="12" s="1"/>
  <c r="CW62" i="12" s="1"/>
  <c r="CV62" i="12"/>
  <c r="EY82" i="12"/>
  <c r="EZ82" i="12" s="1"/>
  <c r="FB82" i="12" s="1"/>
  <c r="FA82" i="12"/>
  <c r="BJ119" i="12"/>
  <c r="BH119" i="12"/>
  <c r="BI119" i="12" s="1"/>
  <c r="BK119" i="12" s="1"/>
  <c r="DO111" i="12"/>
  <c r="DM111" i="12"/>
  <c r="DN111" i="12" s="1"/>
  <c r="DP111" i="12" s="1"/>
  <c r="CC129" i="12"/>
  <c r="CA129" i="12"/>
  <c r="CB129" i="12" s="1"/>
  <c r="CD129" i="12" s="1"/>
  <c r="EY170" i="12"/>
  <c r="EZ170" i="12" s="1"/>
  <c r="FB170" i="12" s="1"/>
  <c r="FA170" i="12"/>
  <c r="DM192" i="12"/>
  <c r="DN192" i="12" s="1"/>
  <c r="DP192" i="12" s="1"/>
  <c r="DO192" i="12"/>
  <c r="DM185" i="12"/>
  <c r="DN185" i="12" s="1"/>
  <c r="DP185" i="12" s="1"/>
  <c r="DO185" i="12"/>
  <c r="CA179" i="12"/>
  <c r="CB179" i="12" s="1"/>
  <c r="CD179" i="12" s="1"/>
  <c r="CC179" i="12"/>
  <c r="DO216" i="12"/>
  <c r="DM216" i="12"/>
  <c r="DN216" i="12" s="1"/>
  <c r="DP216" i="12" s="1"/>
  <c r="EH196" i="12"/>
  <c r="EF196" i="12"/>
  <c r="EG196" i="12" s="1"/>
  <c r="EI196" i="12" s="1"/>
  <c r="AQ190" i="12"/>
  <c r="AO190" i="12"/>
  <c r="AP190" i="12" s="1"/>
  <c r="AR190" i="12" s="1"/>
  <c r="W190" i="12"/>
  <c r="Y190" i="12" s="1"/>
  <c r="AO206" i="12"/>
  <c r="AP206" i="12" s="1"/>
  <c r="AR206" i="12" s="1"/>
  <c r="AQ206" i="12"/>
  <c r="W206" i="12"/>
  <c r="Y206" i="12" s="1"/>
  <c r="BJ216" i="12"/>
  <c r="BH216" i="12"/>
  <c r="BI216" i="12" s="1"/>
  <c r="BK216" i="12" s="1"/>
  <c r="EH214" i="12"/>
  <c r="EF214" i="12"/>
  <c r="EG214" i="12" s="1"/>
  <c r="EI214" i="12" s="1"/>
  <c r="DM243" i="12"/>
  <c r="DN243" i="12" s="1"/>
  <c r="DP243" i="12" s="1"/>
  <c r="DO243" i="12"/>
  <c r="BJ263" i="12"/>
  <c r="BH263" i="12"/>
  <c r="BI263" i="12" s="1"/>
  <c r="BK263" i="12" s="1"/>
  <c r="CV255" i="12"/>
  <c r="CT255" i="12"/>
  <c r="CU255" i="12" s="1"/>
  <c r="CW255" i="12" s="1"/>
  <c r="DO263" i="12"/>
  <c r="DM263" i="12"/>
  <c r="DN263" i="12" s="1"/>
  <c r="DP263" i="12" s="1"/>
  <c r="DO274" i="12"/>
  <c r="DM274" i="12"/>
  <c r="DN274" i="12" s="1"/>
  <c r="DP274" i="12" s="1"/>
  <c r="CT287" i="12"/>
  <c r="CU287" i="12" s="1"/>
  <c r="CW287" i="12" s="1"/>
  <c r="CV287" i="12"/>
  <c r="DO286" i="12"/>
  <c r="DM286" i="12"/>
  <c r="DN286" i="12" s="1"/>
  <c r="DP286" i="12" s="1"/>
  <c r="AO302" i="12"/>
  <c r="AP302" i="12" s="1"/>
  <c r="AR302" i="12" s="1"/>
  <c r="AQ302" i="12"/>
  <c r="W302" i="12"/>
  <c r="Y302" i="12" s="1"/>
  <c r="CA305" i="12"/>
  <c r="CB305" i="12" s="1"/>
  <c r="CD305" i="12" s="1"/>
  <c r="CC305" i="12"/>
  <c r="AO314" i="12"/>
  <c r="AP314" i="12" s="1"/>
  <c r="AR314" i="12" s="1"/>
  <c r="AQ314" i="12"/>
  <c r="W314" i="12"/>
  <c r="Y314" i="12" s="1"/>
  <c r="CV319" i="12"/>
  <c r="CT319" i="12"/>
  <c r="CU319" i="12" s="1"/>
  <c r="CW319" i="12" s="1"/>
  <c r="CC341" i="12"/>
  <c r="CA341" i="12"/>
  <c r="CB341" i="12" s="1"/>
  <c r="CD341" i="12" s="1"/>
  <c r="BJ348" i="12"/>
  <c r="BH348" i="12"/>
  <c r="BI348" i="12" s="1"/>
  <c r="BK348" i="12" s="1"/>
  <c r="CA355" i="12"/>
  <c r="CB355" i="12" s="1"/>
  <c r="CD355" i="12" s="1"/>
  <c r="CC355" i="12"/>
  <c r="CV15" i="12"/>
  <c r="CT15" i="12"/>
  <c r="CU15" i="12" s="1"/>
  <c r="CW15" i="12" s="1"/>
  <c r="CV99" i="12"/>
  <c r="CT99" i="12"/>
  <c r="CU99" i="12" s="1"/>
  <c r="CW99" i="12" s="1"/>
  <c r="BJ96" i="12"/>
  <c r="BH96" i="12"/>
  <c r="BI96" i="12" s="1"/>
  <c r="BK96" i="12" s="1"/>
  <c r="FA96" i="12"/>
  <c r="EY96" i="12"/>
  <c r="EZ96" i="12" s="1"/>
  <c r="FB96" i="12" s="1"/>
  <c r="CA117" i="12"/>
  <c r="CB117" i="12" s="1"/>
  <c r="CD117" i="12" s="1"/>
  <c r="CC117" i="12"/>
  <c r="EF147" i="12"/>
  <c r="EG147" i="12" s="1"/>
  <c r="EI147" i="12" s="1"/>
  <c r="EH147" i="12"/>
  <c r="EY148" i="12"/>
  <c r="EZ148" i="12" s="1"/>
  <c r="FB148" i="12" s="1"/>
  <c r="FA148" i="12"/>
  <c r="AQ141" i="12"/>
  <c r="AO141" i="12"/>
  <c r="AP141" i="12" s="1"/>
  <c r="AR141" i="12" s="1"/>
  <c r="W141" i="12"/>
  <c r="Y141" i="12" s="1"/>
  <c r="DO136" i="12"/>
  <c r="DM136" i="12"/>
  <c r="DN136" i="12" s="1"/>
  <c r="DP136" i="12" s="1"/>
  <c r="CC162" i="12"/>
  <c r="CA162" i="12"/>
  <c r="CB162" i="12" s="1"/>
  <c r="CD162" i="12" s="1"/>
  <c r="AQ163" i="12"/>
  <c r="AO163" i="12"/>
  <c r="AP163" i="12" s="1"/>
  <c r="AR163" i="12" s="1"/>
  <c r="W163" i="12"/>
  <c r="Y163" i="12" s="1"/>
  <c r="BH180" i="12"/>
  <c r="BI180" i="12" s="1"/>
  <c r="BK180" i="12" s="1"/>
  <c r="BJ180" i="12"/>
  <c r="DM174" i="12"/>
  <c r="DN174" i="12" s="1"/>
  <c r="DP174" i="12" s="1"/>
  <c r="DO174" i="12"/>
  <c r="FA194" i="12"/>
  <c r="EY194" i="12"/>
  <c r="EZ194" i="12" s="1"/>
  <c r="FB194" i="12" s="1"/>
  <c r="AQ216" i="12"/>
  <c r="AO216" i="12"/>
  <c r="AP216" i="12" s="1"/>
  <c r="AR216" i="12" s="1"/>
  <c r="W216" i="12"/>
  <c r="Y216" i="12" s="1"/>
  <c r="BJ215" i="12"/>
  <c r="BH215" i="12"/>
  <c r="BI215" i="12" s="1"/>
  <c r="BK215" i="12" s="1"/>
  <c r="AO230" i="12"/>
  <c r="AP230" i="12" s="1"/>
  <c r="AR230" i="12" s="1"/>
  <c r="AQ230" i="12"/>
  <c r="W230" i="12"/>
  <c r="Y230" i="12" s="1"/>
  <c r="AQ264" i="12"/>
  <c r="AO264" i="12"/>
  <c r="AP264" i="12" s="1"/>
  <c r="AR264" i="12" s="1"/>
  <c r="W264" i="12"/>
  <c r="Y264" i="12" s="1"/>
  <c r="BH258" i="12"/>
  <c r="BI258" i="12" s="1"/>
  <c r="BK258" i="12" s="1"/>
  <c r="BJ258" i="12"/>
  <c r="EY253" i="12"/>
  <c r="EZ253" i="12" s="1"/>
  <c r="FB253" i="12" s="1"/>
  <c r="FA253" i="12"/>
  <c r="EF286" i="12"/>
  <c r="EG286" i="12" s="1"/>
  <c r="EI286" i="12" s="1"/>
  <c r="EH286" i="12"/>
  <c r="CC279" i="12"/>
  <c r="CA279" i="12"/>
  <c r="CB279" i="12" s="1"/>
  <c r="CD279" i="12" s="1"/>
  <c r="AQ287" i="12"/>
  <c r="AO287" i="12"/>
  <c r="AP287" i="12" s="1"/>
  <c r="AR287" i="12" s="1"/>
  <c r="W287" i="12"/>
  <c r="Y287" i="12" s="1"/>
  <c r="DM299" i="12"/>
  <c r="DN299" i="12" s="1"/>
  <c r="DP299" i="12" s="1"/>
  <c r="DO299" i="12"/>
  <c r="BJ310" i="12"/>
  <c r="BH310" i="12"/>
  <c r="BI310" i="12" s="1"/>
  <c r="BK310" i="12" s="1"/>
  <c r="CV310" i="12"/>
  <c r="CT310" i="12"/>
  <c r="CU310" i="12" s="1"/>
  <c r="CW310" i="12" s="1"/>
  <c r="EH323" i="12"/>
  <c r="EF323" i="12"/>
  <c r="EG323" i="12" s="1"/>
  <c r="EI323" i="12" s="1"/>
  <c r="BJ335" i="12"/>
  <c r="BH335" i="12"/>
  <c r="BI335" i="12" s="1"/>
  <c r="BK335" i="12" s="1"/>
  <c r="DO353" i="12"/>
  <c r="DM353" i="12"/>
  <c r="DN353" i="12" s="1"/>
  <c r="DP353" i="12" s="1"/>
  <c r="EH359" i="12"/>
  <c r="EF359" i="12"/>
  <c r="EG359" i="12" s="1"/>
  <c r="EI359" i="12" s="1"/>
  <c r="DO56" i="12"/>
  <c r="DM56" i="12"/>
  <c r="DN56" i="12" s="1"/>
  <c r="DP56" i="12" s="1"/>
  <c r="BJ83" i="12"/>
  <c r="BH83" i="12"/>
  <c r="BI83" i="12" s="1"/>
  <c r="BK83" i="12" s="1"/>
  <c r="FA91" i="12"/>
  <c r="EY91" i="12"/>
  <c r="EZ91" i="12" s="1"/>
  <c r="FB91" i="12" s="1"/>
  <c r="EH100" i="12"/>
  <c r="EF100" i="12"/>
  <c r="EG100" i="12" s="1"/>
  <c r="EI100" i="12" s="1"/>
  <c r="CV101" i="12"/>
  <c r="CT101" i="12"/>
  <c r="CU101" i="12" s="1"/>
  <c r="CW101" i="12" s="1"/>
  <c r="DO147" i="12"/>
  <c r="DM147" i="12"/>
  <c r="DN147" i="12" s="1"/>
  <c r="DP147" i="12" s="1"/>
  <c r="DM169" i="12"/>
  <c r="DN169" i="12" s="1"/>
  <c r="DP169" i="12" s="1"/>
  <c r="DO169" i="12"/>
  <c r="CT146" i="12"/>
  <c r="CU146" i="12" s="1"/>
  <c r="CW146" i="12" s="1"/>
  <c r="CV146" i="12"/>
  <c r="BJ141" i="12"/>
  <c r="BH141" i="12"/>
  <c r="BI141" i="12" s="1"/>
  <c r="BK141" i="12" s="1"/>
  <c r="BH178" i="12"/>
  <c r="BI178" i="12" s="1"/>
  <c r="BK178" i="12" s="1"/>
  <c r="BJ178" i="12"/>
  <c r="CV187" i="12"/>
  <c r="CT187" i="12"/>
  <c r="CU187" i="12" s="1"/>
  <c r="CW187" i="12" s="1"/>
  <c r="EH184" i="12"/>
  <c r="EF184" i="12"/>
  <c r="EG184" i="12" s="1"/>
  <c r="EI184" i="12" s="1"/>
  <c r="BH179" i="12"/>
  <c r="BI179" i="12" s="1"/>
  <c r="BK179" i="12" s="1"/>
  <c r="BJ179" i="12"/>
  <c r="EH217" i="12"/>
  <c r="EF217" i="12"/>
  <c r="EG217" i="12" s="1"/>
  <c r="EI217" i="12" s="1"/>
  <c r="EH219" i="12"/>
  <c r="EF219" i="12"/>
  <c r="EG219" i="12" s="1"/>
  <c r="EI219" i="12" s="1"/>
  <c r="AQ232" i="12"/>
  <c r="AO232" i="12"/>
  <c r="AP232" i="12" s="1"/>
  <c r="AR232" i="12" s="1"/>
  <c r="W232" i="12"/>
  <c r="Y232" i="12" s="1"/>
  <c r="DM234" i="12"/>
  <c r="DN234" i="12" s="1"/>
  <c r="DP234" i="12" s="1"/>
  <c r="DO234" i="12"/>
  <c r="AQ248" i="12"/>
  <c r="AO248" i="12"/>
  <c r="AP248" i="12" s="1"/>
  <c r="AR248" i="12" s="1"/>
  <c r="W248" i="12"/>
  <c r="Y248" i="12" s="1"/>
  <c r="CA252" i="12"/>
  <c r="CB252" i="12" s="1"/>
  <c r="CD252" i="12" s="1"/>
  <c r="CC252" i="12"/>
  <c r="EH262" i="12"/>
  <c r="EF262" i="12"/>
  <c r="EG262" i="12" s="1"/>
  <c r="EI262" i="12" s="1"/>
  <c r="CV258" i="12"/>
  <c r="CT258" i="12"/>
  <c r="CU258" i="12" s="1"/>
  <c r="CW258" i="12" s="1"/>
  <c r="AO289" i="12"/>
  <c r="AP289" i="12" s="1"/>
  <c r="AR289" i="12" s="1"/>
  <c r="AQ289" i="12"/>
  <c r="W289" i="12"/>
  <c r="Y289" i="12" s="1"/>
  <c r="AO300" i="12"/>
  <c r="AP300" i="12" s="1"/>
  <c r="AR300" i="12" s="1"/>
  <c r="AQ300" i="12"/>
  <c r="W300" i="12"/>
  <c r="Y300" i="12" s="1"/>
  <c r="EF301" i="12"/>
  <c r="EG301" i="12" s="1"/>
  <c r="EI301" i="12" s="1"/>
  <c r="EH301" i="12"/>
  <c r="BH291" i="12"/>
  <c r="BI291" i="12" s="1"/>
  <c r="BK291" i="12" s="1"/>
  <c r="BJ291" i="12"/>
  <c r="CC319" i="12"/>
  <c r="CA319" i="12"/>
  <c r="CB319" i="12" s="1"/>
  <c r="CD319" i="12" s="1"/>
  <c r="AQ336" i="12"/>
  <c r="AO336" i="12"/>
  <c r="AP336" i="12" s="1"/>
  <c r="AR336" i="12" s="1"/>
  <c r="W336" i="12"/>
  <c r="Y336" i="12" s="1"/>
  <c r="EH334" i="12"/>
  <c r="EF334" i="12"/>
  <c r="EG334" i="12" s="1"/>
  <c r="EI334" i="12" s="1"/>
  <c r="CC359" i="12"/>
  <c r="CA359" i="12"/>
  <c r="CB359" i="12" s="1"/>
  <c r="CD359" i="12" s="1"/>
  <c r="BJ61" i="12"/>
  <c r="BH61" i="12"/>
  <c r="BI61" i="12" s="1"/>
  <c r="BK61" i="12" s="1"/>
  <c r="DM55" i="12"/>
  <c r="DN55" i="12" s="1"/>
  <c r="DP55" i="12" s="1"/>
  <c r="DO55" i="12"/>
  <c r="FA95" i="12"/>
  <c r="EY95" i="12"/>
  <c r="EZ95" i="12" s="1"/>
  <c r="FB95" i="12" s="1"/>
  <c r="AQ108" i="12"/>
  <c r="AO108" i="12"/>
  <c r="AP108" i="12" s="1"/>
  <c r="AR108" i="12" s="1"/>
  <c r="W108" i="12"/>
  <c r="Y108" i="12" s="1"/>
  <c r="CC105" i="12"/>
  <c r="CA105" i="12"/>
  <c r="CB105" i="12" s="1"/>
  <c r="CD105" i="12" s="1"/>
  <c r="BH123" i="12"/>
  <c r="BI123" i="12" s="1"/>
  <c r="BK123" i="12" s="1"/>
  <c r="BJ123" i="12"/>
  <c r="BH151" i="12"/>
  <c r="BI151" i="12" s="1"/>
  <c r="BK151" i="12" s="1"/>
  <c r="BJ151" i="12"/>
  <c r="AQ168" i="12"/>
  <c r="AO168" i="12"/>
  <c r="AP168" i="12" s="1"/>
  <c r="AR168" i="12" s="1"/>
  <c r="W168" i="12"/>
  <c r="Y168" i="12" s="1"/>
  <c r="CV148" i="12"/>
  <c r="CT148" i="12"/>
  <c r="CU148" i="12" s="1"/>
  <c r="CW148" i="12" s="1"/>
  <c r="BJ197" i="12"/>
  <c r="BH197" i="12"/>
  <c r="BI197" i="12" s="1"/>
  <c r="BK197" i="12" s="1"/>
  <c r="BJ204" i="12"/>
  <c r="BH204" i="12"/>
  <c r="BI204" i="12" s="1"/>
  <c r="BK204" i="12" s="1"/>
  <c r="AO181" i="12"/>
  <c r="AP181" i="12" s="1"/>
  <c r="AR181" i="12" s="1"/>
  <c r="AQ181" i="12"/>
  <c r="W181" i="12"/>
  <c r="Y181" i="12" s="1"/>
  <c r="CA189" i="12"/>
  <c r="CB189" i="12" s="1"/>
  <c r="CD189" i="12" s="1"/>
  <c r="CC189" i="12"/>
  <c r="EF183" i="12"/>
  <c r="EG183" i="12" s="1"/>
  <c r="EI183" i="12" s="1"/>
  <c r="EH183" i="12"/>
  <c r="BH199" i="12"/>
  <c r="BI199" i="12" s="1"/>
  <c r="BK199" i="12" s="1"/>
  <c r="BJ199" i="12"/>
  <c r="FA209" i="12"/>
  <c r="EY209" i="12"/>
  <c r="EZ209" i="12" s="1"/>
  <c r="FB209" i="12" s="1"/>
  <c r="CV208" i="12"/>
  <c r="CT208" i="12"/>
  <c r="CU208" i="12" s="1"/>
  <c r="CW208" i="12" s="1"/>
  <c r="DM238" i="12"/>
  <c r="DN238" i="12" s="1"/>
  <c r="DP238" i="12" s="1"/>
  <c r="DO238" i="12"/>
  <c r="BJ222" i="12"/>
  <c r="BH222" i="12"/>
  <c r="BI222" i="12" s="1"/>
  <c r="BK222" i="12" s="1"/>
  <c r="CA237" i="12"/>
  <c r="CB237" i="12" s="1"/>
  <c r="CD237" i="12" s="1"/>
  <c r="CC237" i="12"/>
  <c r="EY256" i="12"/>
  <c r="EZ256" i="12" s="1"/>
  <c r="FB256" i="12" s="1"/>
  <c r="FA256" i="12"/>
  <c r="CC270" i="12"/>
  <c r="CA270" i="12"/>
  <c r="CB270" i="12" s="1"/>
  <c r="CD270" i="12" s="1"/>
  <c r="CA268" i="12"/>
  <c r="CB268" i="12" s="1"/>
  <c r="CD268" i="12" s="1"/>
  <c r="CC268" i="12"/>
  <c r="DO280" i="12"/>
  <c r="DM280" i="12"/>
  <c r="DN280" i="12" s="1"/>
  <c r="DP280" i="12" s="1"/>
  <c r="CC280" i="12"/>
  <c r="CA280" i="12"/>
  <c r="CB280" i="12" s="1"/>
  <c r="CD280" i="12" s="1"/>
  <c r="EF295" i="12"/>
  <c r="EG295" i="12" s="1"/>
  <c r="EI295" i="12" s="1"/>
  <c r="EH295" i="12"/>
  <c r="AQ308" i="12"/>
  <c r="AO308" i="12"/>
  <c r="AP308" i="12" s="1"/>
  <c r="AR308" i="12" s="1"/>
  <c r="W308" i="12"/>
  <c r="Y308" i="12" s="1"/>
  <c r="AO323" i="12"/>
  <c r="AP323" i="12" s="1"/>
  <c r="AR323" i="12" s="1"/>
  <c r="AQ323" i="12"/>
  <c r="W323" i="12"/>
  <c r="Y323" i="12" s="1"/>
  <c r="EY323" i="12"/>
  <c r="EZ323" i="12" s="1"/>
  <c r="FB323" i="12" s="1"/>
  <c r="FA323" i="12"/>
  <c r="BJ350" i="12"/>
  <c r="BH350" i="12"/>
  <c r="BI350" i="12" s="1"/>
  <c r="BK350" i="12" s="1"/>
  <c r="FA354" i="12"/>
  <c r="EY354" i="12"/>
  <c r="EZ354" i="12" s="1"/>
  <c r="FB354" i="12" s="1"/>
  <c r="FA363" i="12"/>
  <c r="EY363" i="12"/>
  <c r="EZ363" i="12" s="1"/>
  <c r="FB363" i="12" s="1"/>
  <c r="DO14" i="12"/>
  <c r="DM14" i="12"/>
  <c r="DN14" i="12" s="1"/>
  <c r="DP14" i="12" s="1"/>
  <c r="DO17" i="12"/>
  <c r="DM17" i="12"/>
  <c r="DN17" i="12" s="1"/>
  <c r="DP17" i="12" s="1"/>
  <c r="CC20" i="12"/>
  <c r="CA20" i="12"/>
  <c r="CB20" i="12" s="1"/>
  <c r="CD20" i="12" s="1"/>
  <c r="M23" i="9"/>
  <c r="P23" i="9" s="1"/>
  <c r="Q23" i="9" s="1"/>
  <c r="CT319" i="9"/>
  <c r="CU319" i="9" s="1"/>
  <c r="CW319" i="9" s="1"/>
  <c r="CV319" i="9"/>
  <c r="BJ67" i="9"/>
  <c r="BH67" i="9"/>
  <c r="BI67" i="9" s="1"/>
  <c r="BK67" i="9" s="1"/>
  <c r="CT183" i="9"/>
  <c r="CU183" i="9" s="1"/>
  <c r="CW183" i="9" s="1"/>
  <c r="CV183" i="9"/>
  <c r="FA237" i="9"/>
  <c r="EY237" i="9"/>
  <c r="EZ237" i="9" s="1"/>
  <c r="FB237" i="9" s="1"/>
  <c r="CC300" i="9"/>
  <c r="CA300" i="9"/>
  <c r="CB300" i="9" s="1"/>
  <c r="CD300" i="9" s="1"/>
  <c r="AQ181" i="9"/>
  <c r="AO181" i="9"/>
  <c r="AP181" i="9" s="1"/>
  <c r="AR181" i="9" s="1"/>
  <c r="W181" i="9"/>
  <c r="Y181" i="9" s="1"/>
  <c r="FA46" i="9"/>
  <c r="EY46" i="9"/>
  <c r="EZ46" i="9" s="1"/>
  <c r="FB46" i="9" s="1"/>
  <c r="CT109" i="9"/>
  <c r="CU109" i="9" s="1"/>
  <c r="CW109" i="9" s="1"/>
  <c r="CV109" i="9"/>
  <c r="CV156" i="9"/>
  <c r="CT156" i="9"/>
  <c r="CU156" i="9" s="1"/>
  <c r="CW156" i="9" s="1"/>
  <c r="CV219" i="9"/>
  <c r="CT219" i="9"/>
  <c r="CU219" i="9" s="1"/>
  <c r="CW219" i="9" s="1"/>
  <c r="CT254" i="9"/>
  <c r="CU254" i="9" s="1"/>
  <c r="CW254" i="9" s="1"/>
  <c r="CV254" i="9"/>
  <c r="EH324" i="9"/>
  <c r="EF324" i="9"/>
  <c r="EG324" i="9" s="1"/>
  <c r="EI324" i="9" s="1"/>
  <c r="CC165" i="9"/>
  <c r="CA165" i="9"/>
  <c r="CB165" i="9" s="1"/>
  <c r="CD165" i="9" s="1"/>
  <c r="CC172" i="9"/>
  <c r="CA172" i="9"/>
  <c r="CB172" i="9" s="1"/>
  <c r="CD172" i="9" s="1"/>
  <c r="BJ192" i="9"/>
  <c r="BH192" i="9"/>
  <c r="BI192" i="9" s="1"/>
  <c r="BK192" i="9" s="1"/>
  <c r="EH263" i="9"/>
  <c r="EF263" i="9"/>
  <c r="EG263" i="9" s="1"/>
  <c r="EI263" i="9" s="1"/>
  <c r="FA308" i="9"/>
  <c r="EY308" i="9"/>
  <c r="EZ308" i="9" s="1"/>
  <c r="FB308" i="9" s="1"/>
  <c r="DO67" i="9"/>
  <c r="DM67" i="9"/>
  <c r="DN67" i="9" s="1"/>
  <c r="DP67" i="9" s="1"/>
  <c r="DO129" i="9"/>
  <c r="DM129" i="9"/>
  <c r="DN129" i="9" s="1"/>
  <c r="DP129" i="9" s="1"/>
  <c r="BJ222" i="9"/>
  <c r="BH222" i="9"/>
  <c r="BI222" i="9" s="1"/>
  <c r="BK222" i="9" s="1"/>
  <c r="CC284" i="9"/>
  <c r="CA284" i="9"/>
  <c r="CB284" i="9" s="1"/>
  <c r="CD284" i="9" s="1"/>
  <c r="BJ312" i="9"/>
  <c r="BH312" i="9"/>
  <c r="BI312" i="9" s="1"/>
  <c r="BK312" i="9" s="1"/>
  <c r="CA262" i="9"/>
  <c r="CB262" i="9" s="1"/>
  <c r="CD262" i="9" s="1"/>
  <c r="CC262" i="9"/>
  <c r="AQ157" i="9"/>
  <c r="AO157" i="9"/>
  <c r="AP157" i="9" s="1"/>
  <c r="AR157" i="9" s="1"/>
  <c r="W157" i="9"/>
  <c r="Y157" i="9" s="1"/>
  <c r="DO187" i="9"/>
  <c r="DM187" i="9"/>
  <c r="DN187" i="9" s="1"/>
  <c r="DP187" i="9" s="1"/>
  <c r="BJ240" i="9"/>
  <c r="BH240" i="9"/>
  <c r="BI240" i="9" s="1"/>
  <c r="BK240" i="9" s="1"/>
  <c r="DM302" i="9"/>
  <c r="DN302" i="9" s="1"/>
  <c r="DP302" i="9" s="1"/>
  <c r="DO302" i="9"/>
  <c r="FA105" i="9"/>
  <c r="EY105" i="9"/>
  <c r="EZ105" i="9" s="1"/>
  <c r="FB105" i="9" s="1"/>
  <c r="CV125" i="9"/>
  <c r="CT125" i="9"/>
  <c r="CU125" i="9" s="1"/>
  <c r="CW125" i="9" s="1"/>
  <c r="FA206" i="9"/>
  <c r="EY206" i="9"/>
  <c r="EZ206" i="9" s="1"/>
  <c r="FB206" i="9" s="1"/>
  <c r="DO250" i="9"/>
  <c r="DM250" i="9"/>
  <c r="DN250" i="9" s="1"/>
  <c r="DP250" i="9" s="1"/>
  <c r="EH315" i="9"/>
  <c r="EF315" i="9"/>
  <c r="EG315" i="9" s="1"/>
  <c r="EI315" i="9" s="1"/>
  <c r="BH86" i="9"/>
  <c r="BI86" i="9" s="1"/>
  <c r="BK86" i="9" s="1"/>
  <c r="BJ86" i="9"/>
  <c r="CT81" i="9"/>
  <c r="CU81" i="9" s="1"/>
  <c r="CW81" i="9" s="1"/>
  <c r="CV81" i="9"/>
  <c r="AQ167" i="9"/>
  <c r="AO167" i="9"/>
  <c r="AP167" i="9" s="1"/>
  <c r="AR167" i="9" s="1"/>
  <c r="W167" i="9"/>
  <c r="Y167" i="9" s="1"/>
  <c r="CV222" i="9"/>
  <c r="CT222" i="9"/>
  <c r="CU222" i="9" s="1"/>
  <c r="CW222" i="9" s="1"/>
  <c r="EH295" i="9"/>
  <c r="EF295" i="9"/>
  <c r="EG295" i="9" s="1"/>
  <c r="EI295" i="9" s="1"/>
  <c r="DO341" i="9"/>
  <c r="DM341" i="9"/>
  <c r="DN341" i="9" s="1"/>
  <c r="DP341" i="9" s="1"/>
  <c r="DO351" i="9"/>
  <c r="DM351" i="9"/>
  <c r="DN351" i="9" s="1"/>
  <c r="DP351" i="9" s="1"/>
  <c r="DO342" i="9"/>
  <c r="DM342" i="9"/>
  <c r="DN342" i="9" s="1"/>
  <c r="DP342" i="9" s="1"/>
  <c r="AQ332" i="9"/>
  <c r="AO332" i="9"/>
  <c r="AP332" i="9" s="1"/>
  <c r="AR332" i="9" s="1"/>
  <c r="W332" i="9"/>
  <c r="Y332" i="9" s="1"/>
  <c r="FA317" i="9"/>
  <c r="EY317" i="9"/>
  <c r="EZ317" i="9" s="1"/>
  <c r="FB317" i="9" s="1"/>
  <c r="EH335" i="9"/>
  <c r="EF335" i="9"/>
  <c r="EG335" i="9" s="1"/>
  <c r="EI335" i="9" s="1"/>
  <c r="BH62" i="9"/>
  <c r="BI62" i="9" s="1"/>
  <c r="BK62" i="9" s="1"/>
  <c r="BJ62" i="9"/>
  <c r="W23" i="9"/>
  <c r="Y23" i="9" s="1"/>
  <c r="AQ23" i="9"/>
  <c r="AO23" i="9"/>
  <c r="AP23" i="9" s="1"/>
  <c r="AR23" i="9" s="1"/>
  <c r="CC36" i="9"/>
  <c r="CA36" i="9"/>
  <c r="CB36" i="9" s="1"/>
  <c r="CD36" i="9" s="1"/>
  <c r="CC29" i="12"/>
  <c r="CA29" i="12"/>
  <c r="CB29" i="12" s="1"/>
  <c r="CD29" i="12" s="1"/>
  <c r="BH196" i="12"/>
  <c r="BI196" i="12" s="1"/>
  <c r="BK196" i="12" s="1"/>
  <c r="BJ196" i="12"/>
  <c r="CT65" i="12"/>
  <c r="CU65" i="12" s="1"/>
  <c r="CW65" i="12" s="1"/>
  <c r="CV65" i="12"/>
  <c r="EY336" i="12"/>
  <c r="EZ336" i="12" s="1"/>
  <c r="FB336" i="12" s="1"/>
  <c r="FA336" i="12"/>
  <c r="CT46" i="12"/>
  <c r="CU46" i="12" s="1"/>
  <c r="CW46" i="12" s="1"/>
  <c r="CV46" i="12"/>
  <c r="CV320" i="12"/>
  <c r="CT320" i="12"/>
  <c r="CU320" i="12" s="1"/>
  <c r="CW320" i="12" s="1"/>
  <c r="CV112" i="12"/>
  <c r="CT112" i="12"/>
  <c r="CU112" i="12" s="1"/>
  <c r="CW112" i="12" s="1"/>
  <c r="AO39" i="12"/>
  <c r="AP39" i="12" s="1"/>
  <c r="AR39" i="12" s="1"/>
  <c r="AQ39" i="12"/>
  <c r="W39" i="12"/>
  <c r="Y39" i="12" s="1"/>
  <c r="FA241" i="12"/>
  <c r="EY241" i="12"/>
  <c r="EZ241" i="12" s="1"/>
  <c r="FB241" i="12" s="1"/>
  <c r="BJ29" i="12"/>
  <c r="BH29" i="12"/>
  <c r="BI29" i="12" s="1"/>
  <c r="BK29" i="12" s="1"/>
  <c r="BJ228" i="12"/>
  <c r="BH228" i="12"/>
  <c r="BI228" i="12" s="1"/>
  <c r="BK228" i="12" s="1"/>
  <c r="CV61" i="12"/>
  <c r="CT61" i="12"/>
  <c r="CU61" i="12" s="1"/>
  <c r="CW61" i="12" s="1"/>
  <c r="CA168" i="12"/>
  <c r="CB168" i="12" s="1"/>
  <c r="CD168" i="12" s="1"/>
  <c r="CC168" i="12"/>
  <c r="CV102" i="12"/>
  <c r="CT102" i="12"/>
  <c r="CU102" i="12" s="1"/>
  <c r="CW102" i="12" s="1"/>
  <c r="CV186" i="12"/>
  <c r="CT186" i="12"/>
  <c r="CU186" i="12" s="1"/>
  <c r="CW186" i="12" s="1"/>
  <c r="BJ305" i="12"/>
  <c r="BH305" i="12"/>
  <c r="BI305" i="12" s="1"/>
  <c r="BK305" i="12" s="1"/>
  <c r="FA66" i="12"/>
  <c r="EY66" i="12"/>
  <c r="EZ66" i="12" s="1"/>
  <c r="FB66" i="12" s="1"/>
  <c r="FA128" i="12"/>
  <c r="EY128" i="12"/>
  <c r="EZ128" i="12" s="1"/>
  <c r="FB128" i="12" s="1"/>
  <c r="FA202" i="12"/>
  <c r="EY202" i="12"/>
  <c r="EZ202" i="12" s="1"/>
  <c r="FB202" i="12" s="1"/>
  <c r="FA229" i="12"/>
  <c r="EY229" i="12"/>
  <c r="EZ229" i="12" s="1"/>
  <c r="FB229" i="12" s="1"/>
  <c r="CA286" i="12"/>
  <c r="CB286" i="12" s="1"/>
  <c r="CD286" i="12" s="1"/>
  <c r="CC286" i="12"/>
  <c r="CA94" i="12"/>
  <c r="CB94" i="12" s="1"/>
  <c r="CD94" i="12" s="1"/>
  <c r="CC94" i="12"/>
  <c r="BJ217" i="12"/>
  <c r="BH217" i="12"/>
  <c r="BI217" i="12" s="1"/>
  <c r="BK217" i="12" s="1"/>
  <c r="FA238" i="12"/>
  <c r="EY238" i="12"/>
  <c r="EZ238" i="12" s="1"/>
  <c r="FB238" i="12" s="1"/>
  <c r="FA271" i="12"/>
  <c r="EY271" i="12"/>
  <c r="EZ271" i="12" s="1"/>
  <c r="FB271" i="12" s="1"/>
  <c r="DO318" i="12"/>
  <c r="DM318" i="12"/>
  <c r="DN318" i="12" s="1"/>
  <c r="DP318" i="12" s="1"/>
  <c r="EH353" i="12"/>
  <c r="EF353" i="12"/>
  <c r="EG353" i="12" s="1"/>
  <c r="EI353" i="12" s="1"/>
  <c r="DO107" i="12"/>
  <c r="DM107" i="12"/>
  <c r="DN107" i="12" s="1"/>
  <c r="DP107" i="12" s="1"/>
  <c r="CA148" i="12"/>
  <c r="CB148" i="12" s="1"/>
  <c r="CD148" i="12" s="1"/>
  <c r="CC148" i="12"/>
  <c r="DM191" i="12"/>
  <c r="DN191" i="12" s="1"/>
  <c r="DP191" i="12" s="1"/>
  <c r="DO191" i="12"/>
  <c r="AO238" i="12"/>
  <c r="AP238" i="12" s="1"/>
  <c r="AR238" i="12" s="1"/>
  <c r="AQ238" i="12"/>
  <c r="W238" i="12"/>
  <c r="Y238" i="12" s="1"/>
  <c r="FA266" i="12"/>
  <c r="EY266" i="12"/>
  <c r="EZ266" i="12" s="1"/>
  <c r="FB266" i="12" s="1"/>
  <c r="DO282" i="12"/>
  <c r="DM282" i="12"/>
  <c r="DN282" i="12" s="1"/>
  <c r="DP282" i="12" s="1"/>
  <c r="BJ328" i="12"/>
  <c r="BH328" i="12"/>
  <c r="BI328" i="12" s="1"/>
  <c r="BK328" i="12" s="1"/>
  <c r="EY141" i="12"/>
  <c r="EZ141" i="12" s="1"/>
  <c r="FB141" i="12" s="1"/>
  <c r="FA141" i="12"/>
  <c r="AQ159" i="12"/>
  <c r="AO159" i="12"/>
  <c r="AP159" i="12" s="1"/>
  <c r="AR159" i="12" s="1"/>
  <c r="W159" i="12"/>
  <c r="Y159" i="12" s="1"/>
  <c r="EY203" i="12"/>
  <c r="EZ203" i="12" s="1"/>
  <c r="FB203" i="12" s="1"/>
  <c r="FA203" i="12"/>
  <c r="AQ226" i="12"/>
  <c r="AO226" i="12"/>
  <c r="AP226" i="12" s="1"/>
  <c r="AR226" i="12" s="1"/>
  <c r="W226" i="12"/>
  <c r="Y226" i="12" s="1"/>
  <c r="BJ276" i="12"/>
  <c r="BH276" i="12"/>
  <c r="BI276" i="12" s="1"/>
  <c r="BK276" i="12" s="1"/>
  <c r="EF307" i="12"/>
  <c r="EG307" i="12" s="1"/>
  <c r="EI307" i="12" s="1"/>
  <c r="EH307" i="12"/>
  <c r="AO343" i="12"/>
  <c r="AP343" i="12" s="1"/>
  <c r="AR343" i="12" s="1"/>
  <c r="AQ343" i="12"/>
  <c r="W343" i="12"/>
  <c r="Y343" i="12" s="1"/>
  <c r="BH98" i="12"/>
  <c r="BI98" i="12" s="1"/>
  <c r="BK98" i="12" s="1"/>
  <c r="BJ98" i="12"/>
  <c r="CV97" i="12"/>
  <c r="CT97" i="12"/>
  <c r="CU97" i="12" s="1"/>
  <c r="CW97" i="12" s="1"/>
  <c r="DO141" i="12"/>
  <c r="DM141" i="12"/>
  <c r="DN141" i="12" s="1"/>
  <c r="DP141" i="12" s="1"/>
  <c r="AO173" i="12"/>
  <c r="AP173" i="12" s="1"/>
  <c r="AR173" i="12" s="1"/>
  <c r="AQ173" i="12"/>
  <c r="W173" i="12"/>
  <c r="Y173" i="12" s="1"/>
  <c r="EH215" i="12"/>
  <c r="EF215" i="12"/>
  <c r="EG215" i="12" s="1"/>
  <c r="EI215" i="12" s="1"/>
  <c r="CV275" i="12"/>
  <c r="CT275" i="12"/>
  <c r="CU275" i="12" s="1"/>
  <c r="CW275" i="12" s="1"/>
  <c r="DO287" i="12"/>
  <c r="DM287" i="12"/>
  <c r="DN287" i="12" s="1"/>
  <c r="DP287" i="12" s="1"/>
  <c r="CC325" i="12"/>
  <c r="CA325" i="12"/>
  <c r="CB325" i="12" s="1"/>
  <c r="CD325" i="12" s="1"/>
  <c r="AQ104" i="12"/>
  <c r="AO104" i="12"/>
  <c r="AP104" i="12" s="1"/>
  <c r="AR104" i="12" s="1"/>
  <c r="W104" i="12"/>
  <c r="Y104" i="12" s="1"/>
  <c r="CC147" i="12"/>
  <c r="CA147" i="12"/>
  <c r="CB147" i="12" s="1"/>
  <c r="CD147" i="12" s="1"/>
  <c r="EF182" i="12"/>
  <c r="EG182" i="12" s="1"/>
  <c r="EI182" i="12" s="1"/>
  <c r="EH182" i="12"/>
  <c r="CC220" i="12"/>
  <c r="CA220" i="12"/>
  <c r="CB220" i="12" s="1"/>
  <c r="CD220" i="12" s="1"/>
  <c r="AO304" i="12"/>
  <c r="AP304" i="12" s="1"/>
  <c r="AR304" i="12" s="1"/>
  <c r="AQ304" i="12"/>
  <c r="W304" i="12"/>
  <c r="Y304" i="12" s="1"/>
  <c r="DO18" i="12"/>
  <c r="DM18" i="12"/>
  <c r="DN18" i="12" s="1"/>
  <c r="DP18" i="12" s="1"/>
  <c r="BJ52" i="9"/>
  <c r="BH52" i="9"/>
  <c r="BI52" i="9" s="1"/>
  <c r="BK52" i="9" s="1"/>
  <c r="BH132" i="9"/>
  <c r="BI132" i="9" s="1"/>
  <c r="BK132" i="9" s="1"/>
  <c r="BJ132" i="9"/>
  <c r="BH163" i="9"/>
  <c r="BI163" i="9" s="1"/>
  <c r="BK163" i="9" s="1"/>
  <c r="BJ163" i="9"/>
  <c r="BH220" i="9"/>
  <c r="BI220" i="9" s="1"/>
  <c r="BK220" i="9" s="1"/>
  <c r="BJ220" i="9"/>
  <c r="BJ251" i="9"/>
  <c r="BH251" i="9"/>
  <c r="BI251" i="9" s="1"/>
  <c r="BK251" i="9" s="1"/>
  <c r="CT303" i="9"/>
  <c r="CU303" i="9" s="1"/>
  <c r="CW303" i="9" s="1"/>
  <c r="CV303" i="9"/>
  <c r="FA79" i="9"/>
  <c r="EY79" i="9"/>
  <c r="EZ79" i="9" s="1"/>
  <c r="FB79" i="9" s="1"/>
  <c r="CV54" i="9"/>
  <c r="CT54" i="9"/>
  <c r="CU54" i="9" s="1"/>
  <c r="CW54" i="9" s="1"/>
  <c r="BH46" i="9"/>
  <c r="BI46" i="9" s="1"/>
  <c r="BK46" i="9" s="1"/>
  <c r="BJ46" i="9"/>
  <c r="CV110" i="9"/>
  <c r="CT110" i="9"/>
  <c r="CU110" i="9" s="1"/>
  <c r="CW110" i="9" s="1"/>
  <c r="AQ82" i="9"/>
  <c r="AO82" i="9"/>
  <c r="AP82" i="9" s="1"/>
  <c r="AR82" i="9" s="1"/>
  <c r="W82" i="9"/>
  <c r="Y82" i="9" s="1"/>
  <c r="DO85" i="9"/>
  <c r="DM85" i="9"/>
  <c r="DN85" i="9" s="1"/>
  <c r="DP85" i="9" s="1"/>
  <c r="BH83" i="9"/>
  <c r="BI83" i="9" s="1"/>
  <c r="BK83" i="9" s="1"/>
  <c r="BJ83" i="9"/>
  <c r="CV88" i="9"/>
  <c r="CT88" i="9"/>
  <c r="CU88" i="9" s="1"/>
  <c r="CW88" i="9" s="1"/>
  <c r="DO103" i="9"/>
  <c r="DM103" i="9"/>
  <c r="DN103" i="9" s="1"/>
  <c r="DP103" i="9" s="1"/>
  <c r="FA106" i="9"/>
  <c r="EY106" i="9"/>
  <c r="EZ106" i="9" s="1"/>
  <c r="FB106" i="9" s="1"/>
  <c r="BH160" i="9"/>
  <c r="BI160" i="9" s="1"/>
  <c r="BK160" i="9" s="1"/>
  <c r="BJ160" i="9"/>
  <c r="BJ168" i="9"/>
  <c r="BH168" i="9"/>
  <c r="BI168" i="9" s="1"/>
  <c r="BK168" i="9" s="1"/>
  <c r="EH174" i="9"/>
  <c r="EF174" i="9"/>
  <c r="EG174" i="9" s="1"/>
  <c r="EI174" i="9" s="1"/>
  <c r="FA156" i="9"/>
  <c r="EY156" i="9"/>
  <c r="EZ156" i="9" s="1"/>
  <c r="FB156" i="9" s="1"/>
  <c r="DM156" i="9"/>
  <c r="DN156" i="9" s="1"/>
  <c r="DP156" i="9" s="1"/>
  <c r="DO156" i="9"/>
  <c r="EH199" i="9"/>
  <c r="EF199" i="9"/>
  <c r="EG199" i="9" s="1"/>
  <c r="EI199" i="9" s="1"/>
  <c r="CV199" i="9"/>
  <c r="CT199" i="9"/>
  <c r="CU199" i="9" s="1"/>
  <c r="CW199" i="9" s="1"/>
  <c r="BH189" i="9"/>
  <c r="BI189" i="9" s="1"/>
  <c r="BK189" i="9" s="1"/>
  <c r="BJ189" i="9"/>
  <c r="DO221" i="9"/>
  <c r="DM221" i="9"/>
  <c r="DN221" i="9" s="1"/>
  <c r="DP221" i="9" s="1"/>
  <c r="BH226" i="9"/>
  <c r="BI226" i="9" s="1"/>
  <c r="BK226" i="9" s="1"/>
  <c r="BJ226" i="9"/>
  <c r="BH224" i="9"/>
  <c r="BI224" i="9" s="1"/>
  <c r="BK224" i="9" s="1"/>
  <c r="BJ224" i="9"/>
  <c r="EH237" i="9"/>
  <c r="EF237" i="9"/>
  <c r="EG237" i="9" s="1"/>
  <c r="EI237" i="9" s="1"/>
  <c r="EY236" i="9"/>
  <c r="EZ236" i="9" s="1"/>
  <c r="FB236" i="9" s="1"/>
  <c r="FA236" i="9"/>
  <c r="CC253" i="9"/>
  <c r="CA253" i="9"/>
  <c r="CB253" i="9" s="1"/>
  <c r="CD253" i="9" s="1"/>
  <c r="CT267" i="9"/>
  <c r="CU267" i="9" s="1"/>
  <c r="CW267" i="9" s="1"/>
  <c r="CV267" i="9"/>
  <c r="CV310" i="9"/>
  <c r="CT310" i="9"/>
  <c r="CU310" i="9" s="1"/>
  <c r="CW310" i="9" s="1"/>
  <c r="BJ284" i="9"/>
  <c r="BH284" i="9"/>
  <c r="BI284" i="9" s="1"/>
  <c r="BK284" i="9" s="1"/>
  <c r="CV297" i="9"/>
  <c r="CT297" i="9"/>
  <c r="CU297" i="9" s="1"/>
  <c r="CW297" i="9" s="1"/>
  <c r="FA310" i="9"/>
  <c r="EY310" i="9"/>
  <c r="EZ310" i="9" s="1"/>
  <c r="FB310" i="9" s="1"/>
  <c r="EH349" i="9"/>
  <c r="EF349" i="9"/>
  <c r="EG349" i="9" s="1"/>
  <c r="EI349" i="9" s="1"/>
  <c r="EH49" i="9"/>
  <c r="EF49" i="9"/>
  <c r="EG49" i="9" s="1"/>
  <c r="EI49" i="9" s="1"/>
  <c r="DO109" i="9"/>
  <c r="DM109" i="9"/>
  <c r="DN109" i="9" s="1"/>
  <c r="DP109" i="9" s="1"/>
  <c r="EF173" i="9"/>
  <c r="EG173" i="9" s="1"/>
  <c r="EI173" i="9" s="1"/>
  <c r="EH173" i="9"/>
  <c r="AO187" i="9"/>
  <c r="AP187" i="9" s="1"/>
  <c r="AR187" i="9" s="1"/>
  <c r="AQ187" i="9"/>
  <c r="W187" i="9"/>
  <c r="Y187" i="9" s="1"/>
  <c r="CC235" i="9"/>
  <c r="CA235" i="9"/>
  <c r="CB235" i="9" s="1"/>
  <c r="CD235" i="9" s="1"/>
  <c r="AQ275" i="9"/>
  <c r="AO275" i="9"/>
  <c r="AP275" i="9" s="1"/>
  <c r="AR275" i="9" s="1"/>
  <c r="W275" i="9"/>
  <c r="Y275" i="9" s="1"/>
  <c r="BH316" i="9"/>
  <c r="BI316" i="9" s="1"/>
  <c r="BK316" i="9" s="1"/>
  <c r="BJ316" i="9"/>
  <c r="CV53" i="9"/>
  <c r="CT53" i="9"/>
  <c r="CU53" i="9" s="1"/>
  <c r="CW53" i="9" s="1"/>
  <c r="EY30" i="9"/>
  <c r="EZ30" i="9" s="1"/>
  <c r="FB30" i="9" s="1"/>
  <c r="FA30" i="9"/>
  <c r="CV67" i="9"/>
  <c r="CT67" i="9"/>
  <c r="CU67" i="9" s="1"/>
  <c r="CW67" i="9" s="1"/>
  <c r="DO68" i="9"/>
  <c r="DM68" i="9"/>
  <c r="DN68" i="9" s="1"/>
  <c r="DP68" i="9" s="1"/>
  <c r="FA73" i="9"/>
  <c r="EY73" i="9"/>
  <c r="EZ73" i="9" s="1"/>
  <c r="FB73" i="9" s="1"/>
  <c r="CC76" i="9"/>
  <c r="CA76" i="9"/>
  <c r="CB76" i="9" s="1"/>
  <c r="CD76" i="9" s="1"/>
  <c r="DO140" i="9"/>
  <c r="DM140" i="9"/>
  <c r="DN140" i="9" s="1"/>
  <c r="DP140" i="9" s="1"/>
  <c r="BJ139" i="9"/>
  <c r="BH139" i="9"/>
  <c r="BI139" i="9" s="1"/>
  <c r="BK139" i="9" s="1"/>
  <c r="EH133" i="9"/>
  <c r="EF133" i="9"/>
  <c r="EG133" i="9" s="1"/>
  <c r="EI133" i="9" s="1"/>
  <c r="CA125" i="9"/>
  <c r="CB125" i="9" s="1"/>
  <c r="CD125" i="9" s="1"/>
  <c r="CC125" i="9"/>
  <c r="CA135" i="9"/>
  <c r="CB135" i="9" s="1"/>
  <c r="CD135" i="9" s="1"/>
  <c r="CC135" i="9"/>
  <c r="CT144" i="9"/>
  <c r="CU144" i="9" s="1"/>
  <c r="CW144" i="9" s="1"/>
  <c r="CV144" i="9"/>
  <c r="CC146" i="9"/>
  <c r="CA146" i="9"/>
  <c r="CB146" i="9" s="1"/>
  <c r="CD146" i="9" s="1"/>
  <c r="CV172" i="9"/>
  <c r="CT172" i="9"/>
  <c r="CU172" i="9" s="1"/>
  <c r="CW172" i="9" s="1"/>
  <c r="DO173" i="9"/>
  <c r="DM173" i="9"/>
  <c r="DN173" i="9" s="1"/>
  <c r="DP173" i="9" s="1"/>
  <c r="AQ184" i="9"/>
  <c r="AO184" i="9"/>
  <c r="AP184" i="9" s="1"/>
  <c r="AR184" i="9" s="1"/>
  <c r="W184" i="9"/>
  <c r="Y184" i="9" s="1"/>
  <c r="EY184" i="9"/>
  <c r="EZ184" i="9" s="1"/>
  <c r="FB184" i="9" s="1"/>
  <c r="FA184" i="9"/>
  <c r="DO248" i="9"/>
  <c r="DM248" i="9"/>
  <c r="DN248" i="9" s="1"/>
  <c r="DP248" i="9" s="1"/>
  <c r="FA205" i="9"/>
  <c r="EY205" i="9"/>
  <c r="EZ205" i="9" s="1"/>
  <c r="FB205" i="9" s="1"/>
  <c r="CA237" i="9"/>
  <c r="CB237" i="9" s="1"/>
  <c r="CD237" i="9" s="1"/>
  <c r="CC237" i="9"/>
  <c r="DM211" i="9"/>
  <c r="DN211" i="9" s="1"/>
  <c r="DP211" i="9" s="1"/>
  <c r="DO211" i="9"/>
  <c r="DO209" i="9"/>
  <c r="DM209" i="9"/>
  <c r="DN209" i="9" s="1"/>
  <c r="DP209" i="9" s="1"/>
  <c r="BJ238" i="9"/>
  <c r="BH238" i="9"/>
  <c r="BI238" i="9" s="1"/>
  <c r="BK238" i="9" s="1"/>
  <c r="DO267" i="9"/>
  <c r="DM267" i="9"/>
  <c r="DN267" i="9" s="1"/>
  <c r="DP267" i="9" s="1"/>
  <c r="EH266" i="9"/>
  <c r="EF266" i="9"/>
  <c r="EG266" i="9" s="1"/>
  <c r="EI266" i="9" s="1"/>
  <c r="BJ271" i="9"/>
  <c r="BH271" i="9"/>
  <c r="BI271" i="9" s="1"/>
  <c r="BK271" i="9" s="1"/>
  <c r="CV299" i="9"/>
  <c r="CT299" i="9"/>
  <c r="CU299" i="9" s="1"/>
  <c r="CW299" i="9" s="1"/>
  <c r="CA295" i="9"/>
  <c r="CB295" i="9" s="1"/>
  <c r="CD295" i="9" s="1"/>
  <c r="CC295" i="9"/>
  <c r="FA303" i="9"/>
  <c r="EY303" i="9"/>
  <c r="EZ303" i="9" s="1"/>
  <c r="FB303" i="9" s="1"/>
  <c r="EH303" i="9"/>
  <c r="EF303" i="9"/>
  <c r="EG303" i="9" s="1"/>
  <c r="EI303" i="9" s="1"/>
  <c r="EH162" i="9"/>
  <c r="EF162" i="9"/>
  <c r="EG162" i="9" s="1"/>
  <c r="EI162" i="9" s="1"/>
  <c r="CA34" i="9"/>
  <c r="CB34" i="9" s="1"/>
  <c r="CD34" i="9" s="1"/>
  <c r="CC34" i="9"/>
  <c r="AO21" i="9"/>
  <c r="AP21" i="9" s="1"/>
  <c r="AR21" i="9" s="1"/>
  <c r="AQ21" i="9"/>
  <c r="W21" i="9"/>
  <c r="FA60" i="9"/>
  <c r="EY60" i="9"/>
  <c r="EZ60" i="9" s="1"/>
  <c r="FB60" i="9" s="1"/>
  <c r="CC63" i="9"/>
  <c r="CA63" i="9"/>
  <c r="CB63" i="9" s="1"/>
  <c r="CD63" i="9" s="1"/>
  <c r="BJ66" i="9"/>
  <c r="BH66" i="9"/>
  <c r="BI66" i="9" s="1"/>
  <c r="BK66" i="9" s="1"/>
  <c r="EH69" i="9"/>
  <c r="EF69" i="9"/>
  <c r="EG69" i="9" s="1"/>
  <c r="EI69" i="9" s="1"/>
  <c r="DO119" i="9"/>
  <c r="DM119" i="9"/>
  <c r="DN119" i="9" s="1"/>
  <c r="DP119" i="9" s="1"/>
  <c r="EH112" i="9"/>
  <c r="EF112" i="9"/>
  <c r="EG112" i="9" s="1"/>
  <c r="EI112" i="9" s="1"/>
  <c r="CC127" i="9"/>
  <c r="CA127" i="9"/>
  <c r="CB127" i="9" s="1"/>
  <c r="CD127" i="9" s="1"/>
  <c r="EF118" i="9"/>
  <c r="EG118" i="9" s="1"/>
  <c r="EI118" i="9" s="1"/>
  <c r="EH118" i="9"/>
  <c r="BJ128" i="9"/>
  <c r="BH128" i="9"/>
  <c r="BI128" i="9" s="1"/>
  <c r="BK128" i="9" s="1"/>
  <c r="EY137" i="9"/>
  <c r="EZ137" i="9" s="1"/>
  <c r="FB137" i="9" s="1"/>
  <c r="FA137" i="9"/>
  <c r="EH139" i="9"/>
  <c r="EF139" i="9"/>
  <c r="EG139" i="9" s="1"/>
  <c r="EI139" i="9" s="1"/>
  <c r="EY165" i="9"/>
  <c r="EZ165" i="9" s="1"/>
  <c r="FB165" i="9" s="1"/>
  <c r="FA165" i="9"/>
  <c r="CT212" i="9"/>
  <c r="CU212" i="9" s="1"/>
  <c r="CW212" i="9" s="1"/>
  <c r="CV212" i="9"/>
  <c r="CV220" i="9"/>
  <c r="CT220" i="9"/>
  <c r="CU220" i="9" s="1"/>
  <c r="CW220" i="9" s="1"/>
  <c r="BJ198" i="9"/>
  <c r="BH198" i="9"/>
  <c r="BI198" i="9" s="1"/>
  <c r="BK198" i="9" s="1"/>
  <c r="EY228" i="9"/>
  <c r="EZ228" i="9" s="1"/>
  <c r="FB228" i="9" s="1"/>
  <c r="FA228" i="9"/>
  <c r="EH231" i="9"/>
  <c r="EF231" i="9"/>
  <c r="EG231" i="9" s="1"/>
  <c r="EI231" i="9" s="1"/>
  <c r="FA234" i="9"/>
  <c r="EY234" i="9"/>
  <c r="EZ234" i="9" s="1"/>
  <c r="FB234" i="9" s="1"/>
  <c r="AQ241" i="9"/>
  <c r="AO241" i="9"/>
  <c r="AP241" i="9" s="1"/>
  <c r="AR241" i="9" s="1"/>
  <c r="W241" i="9"/>
  <c r="Y241" i="9" s="1"/>
  <c r="EY252" i="9"/>
  <c r="EZ252" i="9" s="1"/>
  <c r="FB252" i="9" s="1"/>
  <c r="FA252" i="9"/>
  <c r="BJ267" i="9"/>
  <c r="BH267" i="9"/>
  <c r="BI267" i="9" s="1"/>
  <c r="BK267" i="9" s="1"/>
  <c r="AQ259" i="9"/>
  <c r="AO259" i="9"/>
  <c r="AP259" i="9" s="1"/>
  <c r="AR259" i="9" s="1"/>
  <c r="W259" i="9"/>
  <c r="Y259" i="9" s="1"/>
  <c r="AQ277" i="9"/>
  <c r="AO277" i="9"/>
  <c r="AP277" i="9" s="1"/>
  <c r="AR277" i="9" s="1"/>
  <c r="W277" i="9"/>
  <c r="Y277" i="9" s="1"/>
  <c r="FA287" i="9"/>
  <c r="EY287" i="9"/>
  <c r="EZ287" i="9" s="1"/>
  <c r="FB287" i="9" s="1"/>
  <c r="EH288" i="9"/>
  <c r="EF288" i="9"/>
  <c r="EG288" i="9" s="1"/>
  <c r="EI288" i="9" s="1"/>
  <c r="AQ293" i="9"/>
  <c r="AO293" i="9"/>
  <c r="AP293" i="9" s="1"/>
  <c r="AR293" i="9" s="1"/>
  <c r="W293" i="9"/>
  <c r="Y293" i="9" s="1"/>
  <c r="EF311" i="9"/>
  <c r="EG311" i="9" s="1"/>
  <c r="EI311" i="9" s="1"/>
  <c r="EH311" i="9"/>
  <c r="FA316" i="9"/>
  <c r="EY316" i="9"/>
  <c r="EZ316" i="9" s="1"/>
  <c r="FB316" i="9" s="1"/>
  <c r="EF58" i="9"/>
  <c r="EG58" i="9" s="1"/>
  <c r="EI58" i="9" s="1"/>
  <c r="EH58" i="9"/>
  <c r="FA50" i="9"/>
  <c r="EY50" i="9"/>
  <c r="EZ50" i="9" s="1"/>
  <c r="FB50" i="9" s="1"/>
  <c r="CC178" i="9"/>
  <c r="CA178" i="9"/>
  <c r="CB178" i="9" s="1"/>
  <c r="CD178" i="9" s="1"/>
  <c r="CA190" i="9"/>
  <c r="CB190" i="9" s="1"/>
  <c r="CD190" i="9" s="1"/>
  <c r="CC190" i="9"/>
  <c r="BH305" i="9"/>
  <c r="BI305" i="9" s="1"/>
  <c r="BK305" i="9" s="1"/>
  <c r="BJ305" i="9"/>
  <c r="DM57" i="9"/>
  <c r="DN57" i="9" s="1"/>
  <c r="DP57" i="9" s="1"/>
  <c r="DO57" i="9"/>
  <c r="BJ77" i="9"/>
  <c r="BH77" i="9"/>
  <c r="BI77" i="9" s="1"/>
  <c r="BK77" i="9" s="1"/>
  <c r="EF80" i="9"/>
  <c r="EG80" i="9" s="1"/>
  <c r="EI80" i="9" s="1"/>
  <c r="EH80" i="9"/>
  <c r="CC78" i="9"/>
  <c r="CA78" i="9"/>
  <c r="CB78" i="9" s="1"/>
  <c r="CD78" i="9" s="1"/>
  <c r="DO83" i="9"/>
  <c r="DM83" i="9"/>
  <c r="DN83" i="9" s="1"/>
  <c r="DP83" i="9" s="1"/>
  <c r="AQ86" i="9"/>
  <c r="AO86" i="9"/>
  <c r="AP86" i="9" s="1"/>
  <c r="AR86" i="9" s="1"/>
  <c r="W86" i="9"/>
  <c r="Y86" i="9" s="1"/>
  <c r="EH98" i="9"/>
  <c r="EF98" i="9"/>
  <c r="EG98" i="9" s="1"/>
  <c r="EI98" i="9" s="1"/>
  <c r="BJ153" i="9"/>
  <c r="BH153" i="9"/>
  <c r="BI153" i="9" s="1"/>
  <c r="BK153" i="9" s="1"/>
  <c r="CC142" i="9"/>
  <c r="CA142" i="9"/>
  <c r="CB142" i="9" s="1"/>
  <c r="CD142" i="9" s="1"/>
  <c r="DO155" i="9"/>
  <c r="DM155" i="9"/>
  <c r="DN155" i="9" s="1"/>
  <c r="DP155" i="9" s="1"/>
  <c r="AO156" i="9"/>
  <c r="AP156" i="9" s="1"/>
  <c r="AR156" i="9" s="1"/>
  <c r="AQ156" i="9"/>
  <c r="W156" i="9"/>
  <c r="Y156" i="9" s="1"/>
  <c r="DO205" i="9"/>
  <c r="DM205" i="9"/>
  <c r="DN205" i="9" s="1"/>
  <c r="DP205" i="9" s="1"/>
  <c r="FA194" i="9"/>
  <c r="EY194" i="9"/>
  <c r="EZ194" i="9" s="1"/>
  <c r="FB194" i="9" s="1"/>
  <c r="DO194" i="9"/>
  <c r="DM194" i="9"/>
  <c r="DN194" i="9" s="1"/>
  <c r="DP194" i="9" s="1"/>
  <c r="AQ188" i="9"/>
  <c r="AO188" i="9"/>
  <c r="AP188" i="9" s="1"/>
  <c r="AR188" i="9" s="1"/>
  <c r="W188" i="9"/>
  <c r="Y188" i="9" s="1"/>
  <c r="CA184" i="9"/>
  <c r="CB184" i="9" s="1"/>
  <c r="CD184" i="9" s="1"/>
  <c r="CC184" i="9"/>
  <c r="EH216" i="9"/>
  <c r="EF216" i="9"/>
  <c r="EG216" i="9" s="1"/>
  <c r="EI216" i="9" s="1"/>
  <c r="CC221" i="9"/>
  <c r="CA221" i="9"/>
  <c r="CB221" i="9" s="1"/>
  <c r="CD221" i="9" s="1"/>
  <c r="CC219" i="9"/>
  <c r="CA219" i="9"/>
  <c r="CB219" i="9" s="1"/>
  <c r="CD219" i="9" s="1"/>
  <c r="FA246" i="9"/>
  <c r="EY246" i="9"/>
  <c r="EZ246" i="9" s="1"/>
  <c r="FB246" i="9" s="1"/>
  <c r="CV248" i="9"/>
  <c r="CT248" i="9"/>
  <c r="CU248" i="9" s="1"/>
  <c r="CW248" i="9" s="1"/>
  <c r="AO262" i="9"/>
  <c r="AP262" i="9" s="1"/>
  <c r="AR262" i="9" s="1"/>
  <c r="AQ262" i="9"/>
  <c r="W262" i="9"/>
  <c r="Y262" i="9" s="1"/>
  <c r="DO262" i="9"/>
  <c r="DM262" i="9"/>
  <c r="DN262" i="9" s="1"/>
  <c r="DP262" i="9" s="1"/>
  <c r="CV285" i="9"/>
  <c r="CT285" i="9"/>
  <c r="CU285" i="9" s="1"/>
  <c r="CW285" i="9" s="1"/>
  <c r="AQ290" i="9"/>
  <c r="AO290" i="9"/>
  <c r="AP290" i="9" s="1"/>
  <c r="AR290" i="9" s="1"/>
  <c r="W290" i="9"/>
  <c r="Y290" i="9" s="1"/>
  <c r="DO292" i="9"/>
  <c r="DM292" i="9"/>
  <c r="DN292" i="9" s="1"/>
  <c r="DP292" i="9" s="1"/>
  <c r="CT317" i="9"/>
  <c r="CU317" i="9" s="1"/>
  <c r="CW317" i="9" s="1"/>
  <c r="CV317" i="9"/>
  <c r="CC333" i="9"/>
  <c r="CA333" i="9"/>
  <c r="CB333" i="9" s="1"/>
  <c r="CD333" i="9" s="1"/>
  <c r="DO25" i="9"/>
  <c r="DM25" i="9"/>
  <c r="DN25" i="9" s="1"/>
  <c r="DP25" i="9" s="1"/>
  <c r="DO144" i="9"/>
  <c r="DM144" i="9"/>
  <c r="DN144" i="9" s="1"/>
  <c r="DP144" i="9" s="1"/>
  <c r="EH209" i="9"/>
  <c r="EF209" i="9"/>
  <c r="EG209" i="9" s="1"/>
  <c r="EI209" i="9" s="1"/>
  <c r="CV30" i="9"/>
  <c r="CT30" i="9"/>
  <c r="CU30" i="9" s="1"/>
  <c r="CW30" i="9" s="1"/>
  <c r="DO54" i="9"/>
  <c r="DM54" i="9"/>
  <c r="DN54" i="9" s="1"/>
  <c r="DP54" i="9" s="1"/>
  <c r="AQ57" i="9"/>
  <c r="AO57" i="9"/>
  <c r="AP57" i="9" s="1"/>
  <c r="AR57" i="9" s="1"/>
  <c r="W57" i="9"/>
  <c r="Y57" i="9" s="1"/>
  <c r="EF55" i="9"/>
  <c r="EG55" i="9" s="1"/>
  <c r="EI55" i="9" s="1"/>
  <c r="EH55" i="9"/>
  <c r="CT63" i="9"/>
  <c r="CU63" i="9" s="1"/>
  <c r="CW63" i="9" s="1"/>
  <c r="CV63" i="9"/>
  <c r="DO112" i="9"/>
  <c r="DM112" i="9"/>
  <c r="DN112" i="9" s="1"/>
  <c r="DP112" i="9" s="1"/>
  <c r="CV106" i="9"/>
  <c r="CT106" i="9"/>
  <c r="CU106" i="9" s="1"/>
  <c r="CW106" i="9" s="1"/>
  <c r="AQ121" i="9"/>
  <c r="AO121" i="9"/>
  <c r="AP121" i="9" s="1"/>
  <c r="AR121" i="9" s="1"/>
  <c r="W121" i="9"/>
  <c r="Y121" i="9" s="1"/>
  <c r="CA170" i="9"/>
  <c r="CB170" i="9" s="1"/>
  <c r="CD170" i="9" s="1"/>
  <c r="CC170" i="9"/>
  <c r="AO201" i="9"/>
  <c r="AP201" i="9" s="1"/>
  <c r="AR201" i="9" s="1"/>
  <c r="AQ201" i="9"/>
  <c r="W201" i="9"/>
  <c r="Y201" i="9" s="1"/>
  <c r="CV133" i="9"/>
  <c r="CT133" i="9"/>
  <c r="CU133" i="9" s="1"/>
  <c r="CW133" i="9" s="1"/>
  <c r="DO159" i="9"/>
  <c r="DM159" i="9"/>
  <c r="DN159" i="9" s="1"/>
  <c r="DP159" i="9" s="1"/>
  <c r="EH160" i="9"/>
  <c r="EF160" i="9"/>
  <c r="EG160" i="9" s="1"/>
  <c r="EI160" i="9" s="1"/>
  <c r="EH172" i="9"/>
  <c r="EF172" i="9"/>
  <c r="EG172" i="9" s="1"/>
  <c r="EI172" i="9" s="1"/>
  <c r="DO203" i="9"/>
  <c r="DM203" i="9"/>
  <c r="DN203" i="9" s="1"/>
  <c r="DP203" i="9" s="1"/>
  <c r="DM222" i="9"/>
  <c r="DN222" i="9" s="1"/>
  <c r="DP222" i="9" s="1"/>
  <c r="DO222" i="9"/>
  <c r="CT225" i="9"/>
  <c r="CU225" i="9" s="1"/>
  <c r="CW225" i="9" s="1"/>
  <c r="CV225" i="9"/>
  <c r="EF229" i="9"/>
  <c r="EG229" i="9" s="1"/>
  <c r="EI229" i="9" s="1"/>
  <c r="EH229" i="9"/>
  <c r="BH231" i="9"/>
  <c r="BI231" i="9" s="1"/>
  <c r="BK231" i="9" s="1"/>
  <c r="BJ231" i="9"/>
  <c r="DO257" i="9"/>
  <c r="DM257" i="9"/>
  <c r="DN257" i="9" s="1"/>
  <c r="DP257" i="9" s="1"/>
  <c r="EH267" i="9"/>
  <c r="EF267" i="9"/>
  <c r="EG267" i="9" s="1"/>
  <c r="EI267" i="9" s="1"/>
  <c r="FA271" i="9"/>
  <c r="EY271" i="9"/>
  <c r="EZ271" i="9" s="1"/>
  <c r="FB271" i="9" s="1"/>
  <c r="DO281" i="9"/>
  <c r="DM281" i="9"/>
  <c r="DN281" i="9" s="1"/>
  <c r="DP281" i="9" s="1"/>
  <c r="DM299" i="9"/>
  <c r="DN299" i="9" s="1"/>
  <c r="DP299" i="9" s="1"/>
  <c r="DO299" i="9"/>
  <c r="CC301" i="9"/>
  <c r="CA301" i="9"/>
  <c r="CB301" i="9" s="1"/>
  <c r="CD301" i="9" s="1"/>
  <c r="CV306" i="9"/>
  <c r="CT306" i="9"/>
  <c r="CU306" i="9" s="1"/>
  <c r="CW306" i="9" s="1"/>
  <c r="AO313" i="9"/>
  <c r="AP313" i="9" s="1"/>
  <c r="AR313" i="9" s="1"/>
  <c r="AQ313" i="9"/>
  <c r="W313" i="9"/>
  <c r="Y313" i="9" s="1"/>
  <c r="BJ44" i="9"/>
  <c r="BH44" i="9"/>
  <c r="BI44" i="9" s="1"/>
  <c r="BK44" i="9" s="1"/>
  <c r="BJ116" i="9"/>
  <c r="BH116" i="9"/>
  <c r="BI116" i="9" s="1"/>
  <c r="BK116" i="9" s="1"/>
  <c r="FA163" i="9"/>
  <c r="EY163" i="9"/>
  <c r="EZ163" i="9" s="1"/>
  <c r="FB163" i="9" s="1"/>
  <c r="FA216" i="9"/>
  <c r="EY216" i="9"/>
  <c r="EZ216" i="9" s="1"/>
  <c r="FB216" i="9" s="1"/>
  <c r="AQ281" i="9"/>
  <c r="AO281" i="9"/>
  <c r="AP281" i="9" s="1"/>
  <c r="AR281" i="9" s="1"/>
  <c r="W281" i="9"/>
  <c r="Y281" i="9" s="1"/>
  <c r="EF59" i="9"/>
  <c r="EG59" i="9" s="1"/>
  <c r="EI59" i="9" s="1"/>
  <c r="EH59" i="9"/>
  <c r="CV28" i="9"/>
  <c r="CT28" i="9"/>
  <c r="CU28" i="9" s="1"/>
  <c r="CW28" i="9" s="1"/>
  <c r="CV86" i="9"/>
  <c r="CT86" i="9"/>
  <c r="CU86" i="9" s="1"/>
  <c r="CW86" i="9" s="1"/>
  <c r="CV50" i="9"/>
  <c r="CT50" i="9"/>
  <c r="CU50" i="9" s="1"/>
  <c r="CW50" i="9" s="1"/>
  <c r="AO48" i="9"/>
  <c r="AP48" i="9" s="1"/>
  <c r="AR48" i="9" s="1"/>
  <c r="AQ48" i="9"/>
  <c r="W48" i="9"/>
  <c r="Y48" i="9" s="1"/>
  <c r="CC53" i="9"/>
  <c r="CA53" i="9"/>
  <c r="CB53" i="9" s="1"/>
  <c r="CD53" i="9" s="1"/>
  <c r="EY56" i="9"/>
  <c r="EZ56" i="9" s="1"/>
  <c r="FB56" i="9" s="1"/>
  <c r="FA56" i="9"/>
  <c r="FA99" i="9"/>
  <c r="EY99" i="9"/>
  <c r="EZ99" i="9" s="1"/>
  <c r="FB99" i="9" s="1"/>
  <c r="CV158" i="9"/>
  <c r="CT158" i="9"/>
  <c r="CU158" i="9" s="1"/>
  <c r="CW158" i="9" s="1"/>
  <c r="FA151" i="9"/>
  <c r="EY151" i="9"/>
  <c r="EZ151" i="9" s="1"/>
  <c r="FB151" i="9" s="1"/>
  <c r="FA187" i="9"/>
  <c r="EY187" i="9"/>
  <c r="EZ187" i="9" s="1"/>
  <c r="FB187" i="9" s="1"/>
  <c r="BJ162" i="9"/>
  <c r="BH162" i="9"/>
  <c r="BI162" i="9" s="1"/>
  <c r="BK162" i="9" s="1"/>
  <c r="AQ153" i="9"/>
  <c r="AO153" i="9"/>
  <c r="AP153" i="9" s="1"/>
  <c r="AR153" i="9" s="1"/>
  <c r="W153" i="9"/>
  <c r="Y153" i="9" s="1"/>
  <c r="DO178" i="9"/>
  <c r="DM178" i="9"/>
  <c r="DN178" i="9" s="1"/>
  <c r="DP178" i="9" s="1"/>
  <c r="CA195" i="9"/>
  <c r="CB195" i="9" s="1"/>
  <c r="CD195" i="9" s="1"/>
  <c r="CC195" i="9"/>
  <c r="CC185" i="9"/>
  <c r="CA185" i="9"/>
  <c r="CB185" i="9" s="1"/>
  <c r="CD185" i="9" s="1"/>
  <c r="FA218" i="9"/>
  <c r="EY218" i="9"/>
  <c r="EZ218" i="9" s="1"/>
  <c r="FB218" i="9" s="1"/>
  <c r="AQ222" i="9"/>
  <c r="AO222" i="9"/>
  <c r="AP222" i="9" s="1"/>
  <c r="AR222" i="9" s="1"/>
  <c r="W222" i="9"/>
  <c r="Y222" i="9" s="1"/>
  <c r="DM224" i="9"/>
  <c r="DN224" i="9" s="1"/>
  <c r="DP224" i="9" s="1"/>
  <c r="DO224" i="9"/>
  <c r="EH257" i="9"/>
  <c r="EF257" i="9"/>
  <c r="EG257" i="9" s="1"/>
  <c r="EI257" i="9" s="1"/>
  <c r="CC247" i="9"/>
  <c r="CA247" i="9"/>
  <c r="CB247" i="9" s="1"/>
  <c r="CD247" i="9" s="1"/>
  <c r="AQ260" i="9"/>
  <c r="AO260" i="9"/>
  <c r="AP260" i="9" s="1"/>
  <c r="AR260" i="9" s="1"/>
  <c r="W260" i="9"/>
  <c r="Y260" i="9" s="1"/>
  <c r="EH283" i="9"/>
  <c r="EF283" i="9"/>
  <c r="EG283" i="9" s="1"/>
  <c r="EI283" i="9" s="1"/>
  <c r="CT287" i="9"/>
  <c r="CU287" i="9" s="1"/>
  <c r="CW287" i="9" s="1"/>
  <c r="CV287" i="9"/>
  <c r="CV292" i="9"/>
  <c r="CT292" i="9"/>
  <c r="CU292" i="9" s="1"/>
  <c r="CW292" i="9" s="1"/>
  <c r="EH293" i="9"/>
  <c r="EF293" i="9"/>
  <c r="EG293" i="9" s="1"/>
  <c r="EI293" i="9" s="1"/>
  <c r="CV315" i="9"/>
  <c r="CT315" i="9"/>
  <c r="CU315" i="9" s="1"/>
  <c r="CW315" i="9" s="1"/>
  <c r="EH38" i="9"/>
  <c r="EF38" i="9"/>
  <c r="EG38" i="9" s="1"/>
  <c r="EI38" i="9" s="1"/>
  <c r="DO126" i="9"/>
  <c r="DM126" i="9"/>
  <c r="DN126" i="9" s="1"/>
  <c r="DP126" i="9" s="1"/>
  <c r="FA175" i="9"/>
  <c r="EY175" i="9"/>
  <c r="EZ175" i="9" s="1"/>
  <c r="FB175" i="9" s="1"/>
  <c r="CC234" i="9"/>
  <c r="CA234" i="9"/>
  <c r="CB234" i="9" s="1"/>
  <c r="CD234" i="9" s="1"/>
  <c r="BJ294" i="9"/>
  <c r="BH294" i="9"/>
  <c r="BI294" i="9" s="1"/>
  <c r="BK294" i="9" s="1"/>
  <c r="CC40" i="9"/>
  <c r="CA40" i="9"/>
  <c r="CB40" i="9" s="1"/>
  <c r="CD40" i="9" s="1"/>
  <c r="AO27" i="9"/>
  <c r="AP27" i="9" s="1"/>
  <c r="AR27" i="9" s="1"/>
  <c r="AQ27" i="9"/>
  <c r="W27" i="9"/>
  <c r="Y27" i="9" s="1"/>
  <c r="DO24" i="9"/>
  <c r="DM24" i="9"/>
  <c r="DN24" i="9" s="1"/>
  <c r="DP24" i="9" s="1"/>
  <c r="EY97" i="9"/>
  <c r="EZ97" i="9" s="1"/>
  <c r="FB97" i="9" s="1"/>
  <c r="FA97" i="9"/>
  <c r="BJ101" i="9"/>
  <c r="BH101" i="9"/>
  <c r="BI101" i="9" s="1"/>
  <c r="BK101" i="9" s="1"/>
  <c r="AQ98" i="9"/>
  <c r="AO98" i="9"/>
  <c r="AP98" i="9" s="1"/>
  <c r="AR98" i="9" s="1"/>
  <c r="W98" i="9"/>
  <c r="Y98" i="9" s="1"/>
  <c r="AQ109" i="9"/>
  <c r="AO109" i="9"/>
  <c r="AP109" i="9" s="1"/>
  <c r="AR109" i="9" s="1"/>
  <c r="W109" i="9"/>
  <c r="Y109" i="9" s="1"/>
  <c r="BH112" i="9"/>
  <c r="BI112" i="9" s="1"/>
  <c r="BK112" i="9" s="1"/>
  <c r="BJ112" i="9"/>
  <c r="FA136" i="9"/>
  <c r="EY136" i="9"/>
  <c r="EZ136" i="9" s="1"/>
  <c r="FB136" i="9" s="1"/>
  <c r="DO118" i="9"/>
  <c r="DM118" i="9"/>
  <c r="DN118" i="9" s="1"/>
  <c r="DP118" i="9" s="1"/>
  <c r="CV129" i="9"/>
  <c r="CT129" i="9"/>
  <c r="CU129" i="9" s="1"/>
  <c r="CW129" i="9" s="1"/>
  <c r="EH137" i="9"/>
  <c r="EF137" i="9"/>
  <c r="EG137" i="9" s="1"/>
  <c r="EI137" i="9" s="1"/>
  <c r="FA126" i="9"/>
  <c r="EY126" i="9"/>
  <c r="EZ126" i="9" s="1"/>
  <c r="FB126" i="9" s="1"/>
  <c r="BH144" i="9"/>
  <c r="BI144" i="9" s="1"/>
  <c r="BK144" i="9" s="1"/>
  <c r="BJ144" i="9"/>
  <c r="AQ170" i="9"/>
  <c r="AO170" i="9"/>
  <c r="AP170" i="9" s="1"/>
  <c r="AR170" i="9" s="1"/>
  <c r="W170" i="9"/>
  <c r="Y170" i="9" s="1"/>
  <c r="EY170" i="9"/>
  <c r="EZ170" i="9" s="1"/>
  <c r="FB170" i="9" s="1"/>
  <c r="FA170" i="9"/>
  <c r="CC181" i="9"/>
  <c r="CA181" i="9"/>
  <c r="CB181" i="9" s="1"/>
  <c r="CD181" i="9" s="1"/>
  <c r="EH180" i="9"/>
  <c r="EF180" i="9"/>
  <c r="EG180" i="9" s="1"/>
  <c r="EI180" i="9" s="1"/>
  <c r="CC209" i="9"/>
  <c r="CA209" i="9"/>
  <c r="CB209" i="9" s="1"/>
  <c r="CD209" i="9" s="1"/>
  <c r="CT203" i="9"/>
  <c r="CU203" i="9" s="1"/>
  <c r="CW203" i="9" s="1"/>
  <c r="CV203" i="9"/>
  <c r="BH235" i="9"/>
  <c r="BI235" i="9" s="1"/>
  <c r="BK235" i="9" s="1"/>
  <c r="BJ235" i="9"/>
  <c r="CT207" i="9"/>
  <c r="CU207" i="9" s="1"/>
  <c r="CW207" i="9" s="1"/>
  <c r="CV207" i="9"/>
  <c r="FA267" i="9"/>
  <c r="EY267" i="9"/>
  <c r="EZ267" i="9" s="1"/>
  <c r="FB267" i="9" s="1"/>
  <c r="AO269" i="9"/>
  <c r="AP269" i="9" s="1"/>
  <c r="AR269" i="9" s="1"/>
  <c r="AQ269" i="9"/>
  <c r="W269" i="9"/>
  <c r="Y269" i="9" s="1"/>
  <c r="EY274" i="9"/>
  <c r="EZ274" i="9" s="1"/>
  <c r="FB274" i="9" s="1"/>
  <c r="FA274" i="9"/>
  <c r="EH287" i="9"/>
  <c r="EF287" i="9"/>
  <c r="EG287" i="9" s="1"/>
  <c r="EI287" i="9" s="1"/>
  <c r="AQ295" i="9"/>
  <c r="AO295" i="9"/>
  <c r="AP295" i="9" s="1"/>
  <c r="AR295" i="9" s="1"/>
  <c r="W295" i="9"/>
  <c r="Y295" i="9" s="1"/>
  <c r="BJ310" i="9"/>
  <c r="BH310" i="9"/>
  <c r="BI310" i="9" s="1"/>
  <c r="BK310" i="9" s="1"/>
  <c r="AQ316" i="9"/>
  <c r="AO316" i="9"/>
  <c r="AP316" i="9" s="1"/>
  <c r="AR316" i="9" s="1"/>
  <c r="W316" i="9"/>
  <c r="Y316" i="9" s="1"/>
  <c r="CV350" i="9"/>
  <c r="CT350" i="9"/>
  <c r="CU350" i="9" s="1"/>
  <c r="CW350" i="9" s="1"/>
  <c r="CV330" i="9"/>
  <c r="CT330" i="9"/>
  <c r="CU330" i="9" s="1"/>
  <c r="CW330" i="9" s="1"/>
  <c r="BH336" i="9"/>
  <c r="BI336" i="9" s="1"/>
  <c r="BK336" i="9" s="1"/>
  <c r="BJ336" i="9"/>
  <c r="DO348" i="9"/>
  <c r="DM348" i="9"/>
  <c r="DN348" i="9" s="1"/>
  <c r="DP348" i="9" s="1"/>
  <c r="AQ357" i="9"/>
  <c r="AO357" i="9"/>
  <c r="AP357" i="9" s="1"/>
  <c r="AR357" i="9" s="1"/>
  <c r="W357" i="9"/>
  <c r="Y357" i="9" s="1"/>
  <c r="EH323" i="9"/>
  <c r="EF323" i="9"/>
  <c r="EG323" i="9" s="1"/>
  <c r="EI323" i="9" s="1"/>
  <c r="AQ325" i="9"/>
  <c r="AO325" i="9"/>
  <c r="AP325" i="9" s="1"/>
  <c r="AR325" i="9" s="1"/>
  <c r="W325" i="9"/>
  <c r="Y325" i="9" s="1"/>
  <c r="FA336" i="9"/>
  <c r="EY336" i="9"/>
  <c r="EZ336" i="9" s="1"/>
  <c r="FB336" i="9" s="1"/>
  <c r="AQ346" i="9"/>
  <c r="AO346" i="9"/>
  <c r="AP346" i="9" s="1"/>
  <c r="AR346" i="9" s="1"/>
  <c r="W346" i="9"/>
  <c r="Y346" i="9" s="1"/>
  <c r="BH354" i="9"/>
  <c r="BI354" i="9" s="1"/>
  <c r="BK354" i="9" s="1"/>
  <c r="BJ354" i="9"/>
  <c r="CC363" i="9"/>
  <c r="CA363" i="9"/>
  <c r="CB363" i="9" s="1"/>
  <c r="CD363" i="9" s="1"/>
  <c r="AQ324" i="9"/>
  <c r="AO324" i="9"/>
  <c r="AP324" i="9" s="1"/>
  <c r="AR324" i="9" s="1"/>
  <c r="W324" i="9"/>
  <c r="Y324" i="9" s="1"/>
  <c r="CV326" i="9"/>
  <c r="CT326" i="9"/>
  <c r="CU326" i="9" s="1"/>
  <c r="CW326" i="9" s="1"/>
  <c r="BJ337" i="9"/>
  <c r="BH337" i="9"/>
  <c r="BI337" i="9" s="1"/>
  <c r="BK337" i="9" s="1"/>
  <c r="CV347" i="9"/>
  <c r="CT347" i="9"/>
  <c r="CU347" i="9" s="1"/>
  <c r="CW347" i="9" s="1"/>
  <c r="CC362" i="9"/>
  <c r="CA362" i="9"/>
  <c r="CB362" i="9" s="1"/>
  <c r="CD362" i="9" s="1"/>
  <c r="AO331" i="9"/>
  <c r="AP331" i="9" s="1"/>
  <c r="AR331" i="9" s="1"/>
  <c r="AQ331" i="9"/>
  <c r="W331" i="9"/>
  <c r="Y331" i="9" s="1"/>
  <c r="EF339" i="9"/>
  <c r="EG339" i="9" s="1"/>
  <c r="EI339" i="9" s="1"/>
  <c r="EH339" i="9"/>
  <c r="CV356" i="9"/>
  <c r="CT356" i="9"/>
  <c r="CU356" i="9" s="1"/>
  <c r="CW356" i="9" s="1"/>
  <c r="EF361" i="9"/>
  <c r="EG361" i="9" s="1"/>
  <c r="EI361" i="9" s="1"/>
  <c r="EH361" i="9"/>
  <c r="CA317" i="9"/>
  <c r="CB317" i="9" s="1"/>
  <c r="CD317" i="9" s="1"/>
  <c r="CC317" i="9"/>
  <c r="CV333" i="9"/>
  <c r="CT333" i="9"/>
  <c r="CU333" i="9" s="1"/>
  <c r="CW333" i="9" s="1"/>
  <c r="FA342" i="9"/>
  <c r="EY342" i="9"/>
  <c r="EZ342" i="9" s="1"/>
  <c r="FB342" i="9" s="1"/>
  <c r="FA352" i="9"/>
  <c r="EY352" i="9"/>
  <c r="EZ352" i="9" s="1"/>
  <c r="FB352" i="9" s="1"/>
  <c r="EF362" i="9"/>
  <c r="EG362" i="9" s="1"/>
  <c r="EI362" i="9" s="1"/>
  <c r="EH362" i="9"/>
  <c r="CC100" i="9"/>
  <c r="CA100" i="9"/>
  <c r="CB100" i="9" s="1"/>
  <c r="CD100" i="9" s="1"/>
  <c r="EY324" i="9"/>
  <c r="EZ324" i="9" s="1"/>
  <c r="FB324" i="9" s="1"/>
  <c r="FA324" i="9"/>
  <c r="EH333" i="9"/>
  <c r="EF333" i="9"/>
  <c r="EG333" i="9" s="1"/>
  <c r="EI333" i="9" s="1"/>
  <c r="AQ339" i="9"/>
  <c r="AO339" i="9"/>
  <c r="AP339" i="9" s="1"/>
  <c r="AR339" i="9" s="1"/>
  <c r="W339" i="9"/>
  <c r="Y339" i="9" s="1"/>
  <c r="CC347" i="9"/>
  <c r="CA347" i="9"/>
  <c r="CB347" i="9" s="1"/>
  <c r="CD347" i="9" s="1"/>
  <c r="DO360" i="9"/>
  <c r="DM360" i="9"/>
  <c r="DN360" i="9" s="1"/>
  <c r="DP360" i="9" s="1"/>
  <c r="DM48" i="9"/>
  <c r="DN48" i="9" s="1"/>
  <c r="DP48" i="9" s="1"/>
  <c r="DO48" i="9"/>
  <c r="DM320" i="9"/>
  <c r="DN320" i="9" s="1"/>
  <c r="DP320" i="9" s="1"/>
  <c r="DO320" i="9"/>
  <c r="FA330" i="9"/>
  <c r="EY330" i="9"/>
  <c r="EZ330" i="9" s="1"/>
  <c r="FB330" i="9" s="1"/>
  <c r="AO343" i="9"/>
  <c r="AP343" i="9" s="1"/>
  <c r="AR343" i="9" s="1"/>
  <c r="AQ343" i="9"/>
  <c r="W343" i="9"/>
  <c r="Y343" i="9" s="1"/>
  <c r="AQ347" i="9"/>
  <c r="AO347" i="9"/>
  <c r="AP347" i="9" s="1"/>
  <c r="AR347" i="9" s="1"/>
  <c r="W347" i="9"/>
  <c r="Y347" i="9" s="1"/>
  <c r="DO362" i="9"/>
  <c r="DM362" i="9"/>
  <c r="DN362" i="9" s="1"/>
  <c r="DP362" i="9" s="1"/>
  <c r="BJ56" i="9"/>
  <c r="BH56" i="9"/>
  <c r="BI56" i="9" s="1"/>
  <c r="BK56" i="9" s="1"/>
  <c r="BH63" i="9"/>
  <c r="BI63" i="9" s="1"/>
  <c r="BK63" i="9" s="1"/>
  <c r="BJ63" i="9"/>
  <c r="DM64" i="9"/>
  <c r="DN64" i="9" s="1"/>
  <c r="DP64" i="9" s="1"/>
  <c r="DO64" i="9"/>
  <c r="DO35" i="9"/>
  <c r="DM35" i="9"/>
  <c r="DN35" i="9" s="1"/>
  <c r="DP35" i="9" s="1"/>
  <c r="DO44" i="9"/>
  <c r="DM44" i="9"/>
  <c r="DN44" i="9" s="1"/>
  <c r="DP44" i="9" s="1"/>
  <c r="W75" i="9"/>
  <c r="Y75" i="9" s="1"/>
  <c r="AO75" i="9"/>
  <c r="AP75" i="9" s="1"/>
  <c r="AR75" i="9" s="1"/>
  <c r="AQ75" i="9"/>
  <c r="DO79" i="9"/>
  <c r="DM79" i="9"/>
  <c r="DN79" i="9" s="1"/>
  <c r="DP79" i="9" s="1"/>
  <c r="W67" i="9"/>
  <c r="Y67" i="9" s="1"/>
  <c r="AO67" i="9"/>
  <c r="AP67" i="9" s="1"/>
  <c r="AR67" i="9" s="1"/>
  <c r="AQ67" i="9"/>
  <c r="CA15" i="9"/>
  <c r="CB15" i="9" s="1"/>
  <c r="CD15" i="9" s="1"/>
  <c r="CC15" i="9"/>
  <c r="AQ38" i="9"/>
  <c r="AO38" i="9"/>
  <c r="AP38" i="9" s="1"/>
  <c r="AR38" i="9" s="1"/>
  <c r="W38" i="9"/>
  <c r="AQ16" i="9"/>
  <c r="AO16" i="9"/>
  <c r="AP16" i="9" s="1"/>
  <c r="AR16" i="9" s="1"/>
  <c r="W16" i="9"/>
  <c r="CV34" i="9"/>
  <c r="CT34" i="9"/>
  <c r="CU34" i="9" s="1"/>
  <c r="CW34" i="9" s="1"/>
  <c r="CV16" i="9"/>
  <c r="CT16" i="9"/>
  <c r="CU16" i="9" s="1"/>
  <c r="CW16" i="9" s="1"/>
  <c r="AQ31" i="9"/>
  <c r="AO31" i="9"/>
  <c r="AP31" i="9" s="1"/>
  <c r="AR31" i="9" s="1"/>
  <c r="W31" i="9"/>
  <c r="Y31" i="9" s="1"/>
  <c r="BJ17" i="9"/>
  <c r="BH17" i="9"/>
  <c r="BI17" i="9" s="1"/>
  <c r="BK17" i="9" s="1"/>
  <c r="EY27" i="9"/>
  <c r="EZ27" i="9" s="1"/>
  <c r="FB27" i="9" s="1"/>
  <c r="FA27" i="9"/>
  <c r="AO15" i="9"/>
  <c r="AP15" i="9" s="1"/>
  <c r="AR15" i="9" s="1"/>
  <c r="AQ15" i="9"/>
  <c r="W15" i="9"/>
  <c r="BJ25" i="9"/>
  <c r="BH25" i="9"/>
  <c r="BI25" i="9" s="1"/>
  <c r="BK25" i="9" s="1"/>
  <c r="BJ41" i="9"/>
  <c r="BH41" i="9"/>
  <c r="BI41" i="9" s="1"/>
  <c r="BK41" i="9" s="1"/>
  <c r="AV22" i="9"/>
  <c r="BJ23" i="12"/>
  <c r="BH23" i="12"/>
  <c r="BI23" i="12" s="1"/>
  <c r="BK23" i="12" s="1"/>
  <c r="BJ78" i="12"/>
  <c r="BH78" i="12"/>
  <c r="BI78" i="12" s="1"/>
  <c r="BK78" i="12" s="1"/>
  <c r="CA37" i="12"/>
  <c r="CB37" i="12" s="1"/>
  <c r="CD37" i="12" s="1"/>
  <c r="CC37" i="12"/>
  <c r="CC23" i="12"/>
  <c r="CA23" i="12"/>
  <c r="CB23" i="12" s="1"/>
  <c r="CD23" i="12" s="1"/>
  <c r="FA177" i="12"/>
  <c r="EY177" i="12"/>
  <c r="EZ177" i="12" s="1"/>
  <c r="FB177" i="12" s="1"/>
  <c r="BJ58" i="12"/>
  <c r="BH58" i="12"/>
  <c r="BI58" i="12" s="1"/>
  <c r="BK58" i="12" s="1"/>
  <c r="CV73" i="12"/>
  <c r="CT73" i="12"/>
  <c r="CU73" i="12" s="1"/>
  <c r="CW73" i="12" s="1"/>
  <c r="CV328" i="12"/>
  <c r="CT328" i="12"/>
  <c r="CU328" i="12" s="1"/>
  <c r="CW328" i="12" s="1"/>
  <c r="EH138" i="12"/>
  <c r="EF138" i="12"/>
  <c r="EG138" i="12" s="1"/>
  <c r="EI138" i="12" s="1"/>
  <c r="FA21" i="12"/>
  <c r="EY21" i="12"/>
  <c r="EZ21" i="12" s="1"/>
  <c r="FB21" i="12" s="1"/>
  <c r="EY43" i="12"/>
  <c r="EZ43" i="12" s="1"/>
  <c r="FB43" i="12" s="1"/>
  <c r="FA43" i="12"/>
  <c r="FA34" i="12"/>
  <c r="EY34" i="12"/>
  <c r="EZ34" i="12" s="1"/>
  <c r="FB34" i="12" s="1"/>
  <c r="EY29" i="12"/>
  <c r="EZ29" i="12" s="1"/>
  <c r="FB29" i="12" s="1"/>
  <c r="FA29" i="12"/>
  <c r="EH23" i="12"/>
  <c r="EF23" i="12"/>
  <c r="EG23" i="12" s="1"/>
  <c r="EI23" i="12" s="1"/>
  <c r="FA83" i="12"/>
  <c r="EY83" i="12"/>
  <c r="EZ83" i="12" s="1"/>
  <c r="FB83" i="12" s="1"/>
  <c r="EH74" i="12"/>
  <c r="EF74" i="12"/>
  <c r="EG74" i="12" s="1"/>
  <c r="EI74" i="12" s="1"/>
  <c r="DM100" i="12"/>
  <c r="DN100" i="12" s="1"/>
  <c r="DP100" i="12" s="1"/>
  <c r="DO100" i="12"/>
  <c r="BJ229" i="12"/>
  <c r="BH229" i="12"/>
  <c r="BI229" i="12" s="1"/>
  <c r="BK229" i="12" s="1"/>
  <c r="EH288" i="12"/>
  <c r="EF288" i="12"/>
  <c r="EG288" i="12" s="1"/>
  <c r="EI288" i="12" s="1"/>
  <c r="DO351" i="12"/>
  <c r="DM351" i="12"/>
  <c r="DN351" i="12" s="1"/>
  <c r="DP351" i="12" s="1"/>
  <c r="CT36" i="12"/>
  <c r="CU36" i="12" s="1"/>
  <c r="CW36" i="12" s="1"/>
  <c r="CV36" i="12"/>
  <c r="CV27" i="12"/>
  <c r="CT27" i="12"/>
  <c r="CU27" i="12" s="1"/>
  <c r="CW27" i="12" s="1"/>
  <c r="CT22" i="12"/>
  <c r="CU22" i="12" s="1"/>
  <c r="CW22" i="12" s="1"/>
  <c r="CV22" i="12"/>
  <c r="EH67" i="12"/>
  <c r="EF67" i="12"/>
  <c r="EG67" i="12" s="1"/>
  <c r="EI67" i="12" s="1"/>
  <c r="CC48" i="12"/>
  <c r="CA48" i="12"/>
  <c r="CB48" i="12" s="1"/>
  <c r="CD48" i="12" s="1"/>
  <c r="CC67" i="12"/>
  <c r="CA67" i="12"/>
  <c r="CB67" i="12" s="1"/>
  <c r="CD67" i="12" s="1"/>
  <c r="DO89" i="12"/>
  <c r="DM89" i="12"/>
  <c r="DN89" i="12" s="1"/>
  <c r="DP89" i="12" s="1"/>
  <c r="BJ148" i="12"/>
  <c r="BH148" i="12"/>
  <c r="BI148" i="12" s="1"/>
  <c r="BK148" i="12" s="1"/>
  <c r="CV206" i="12"/>
  <c r="CT206" i="12"/>
  <c r="CU206" i="12" s="1"/>
  <c r="CW206" i="12" s="1"/>
  <c r="FA264" i="12"/>
  <c r="EY264" i="12"/>
  <c r="EZ264" i="12" s="1"/>
  <c r="FB264" i="12" s="1"/>
  <c r="FA335" i="12"/>
  <c r="EY335" i="12"/>
  <c r="EZ335" i="12" s="1"/>
  <c r="FB335" i="12" s="1"/>
  <c r="FA52" i="12"/>
  <c r="EY52" i="12"/>
  <c r="EZ52" i="12" s="1"/>
  <c r="FB52" i="12" s="1"/>
  <c r="BH52" i="12"/>
  <c r="BI52" i="12" s="1"/>
  <c r="BK52" i="12" s="1"/>
  <c r="BJ52" i="12"/>
  <c r="FA44" i="12"/>
  <c r="EY44" i="12"/>
  <c r="EZ44" i="12" s="1"/>
  <c r="FB44" i="12" s="1"/>
  <c r="FA63" i="12"/>
  <c r="EY63" i="12"/>
  <c r="EZ63" i="12" s="1"/>
  <c r="FB63" i="12" s="1"/>
  <c r="EH61" i="12"/>
  <c r="EF61" i="12"/>
  <c r="EG61" i="12" s="1"/>
  <c r="EI61" i="12" s="1"/>
  <c r="AO157" i="12"/>
  <c r="AP157" i="12" s="1"/>
  <c r="AR157" i="12" s="1"/>
  <c r="AQ157" i="12"/>
  <c r="W157" i="12"/>
  <c r="Y157" i="12" s="1"/>
  <c r="EF199" i="12"/>
  <c r="EG199" i="12" s="1"/>
  <c r="EI199" i="12" s="1"/>
  <c r="EH199" i="12"/>
  <c r="AO263" i="12"/>
  <c r="AP263" i="12" s="1"/>
  <c r="AR263" i="12" s="1"/>
  <c r="AQ263" i="12"/>
  <c r="W263" i="12"/>
  <c r="Y263" i="12" s="1"/>
  <c r="EH338" i="12"/>
  <c r="EF338" i="12"/>
  <c r="EG338" i="12" s="1"/>
  <c r="EI338" i="12" s="1"/>
  <c r="AQ29" i="12"/>
  <c r="AO29" i="12"/>
  <c r="AP29" i="12" s="1"/>
  <c r="AR29" i="12" s="1"/>
  <c r="W29" i="12"/>
  <c r="Y29" i="12" s="1"/>
  <c r="EF79" i="12"/>
  <c r="EG79" i="12" s="1"/>
  <c r="EI79" i="12" s="1"/>
  <c r="EH79" i="12"/>
  <c r="EF52" i="12"/>
  <c r="EG52" i="12" s="1"/>
  <c r="EI52" i="12" s="1"/>
  <c r="EH52" i="12"/>
  <c r="AO47" i="12"/>
  <c r="AP47" i="12" s="1"/>
  <c r="AR47" i="12" s="1"/>
  <c r="AQ47" i="12"/>
  <c r="W47" i="12"/>
  <c r="Y47" i="12" s="1"/>
  <c r="CV41" i="12"/>
  <c r="CT41" i="12"/>
  <c r="CU41" i="12" s="1"/>
  <c r="CW41" i="12" s="1"/>
  <c r="CT60" i="12"/>
  <c r="CU60" i="12" s="1"/>
  <c r="CW60" i="12" s="1"/>
  <c r="CV60" i="12"/>
  <c r="CV51" i="12"/>
  <c r="CT51" i="12"/>
  <c r="CU51" i="12" s="1"/>
  <c r="CW51" i="12" s="1"/>
  <c r="EF127" i="12"/>
  <c r="EG127" i="12" s="1"/>
  <c r="EI127" i="12" s="1"/>
  <c r="EH127" i="12"/>
  <c r="CC188" i="12"/>
  <c r="CA188" i="12"/>
  <c r="CB188" i="12" s="1"/>
  <c r="CD188" i="12" s="1"/>
  <c r="BJ253" i="12"/>
  <c r="BH253" i="12"/>
  <c r="BI253" i="12" s="1"/>
  <c r="BK253" i="12" s="1"/>
  <c r="BH333" i="12"/>
  <c r="BI333" i="12" s="1"/>
  <c r="BK333" i="12" s="1"/>
  <c r="BJ333" i="12"/>
  <c r="DO15" i="12"/>
  <c r="DM15" i="12"/>
  <c r="DN15" i="12" s="1"/>
  <c r="DP15" i="12" s="1"/>
  <c r="DO44" i="12"/>
  <c r="DM44" i="12"/>
  <c r="DN44" i="12" s="1"/>
  <c r="DP44" i="12" s="1"/>
  <c r="DM39" i="12"/>
  <c r="DN39" i="12" s="1"/>
  <c r="DP39" i="12" s="1"/>
  <c r="DO39" i="12"/>
  <c r="EF87" i="12"/>
  <c r="EG87" i="12" s="1"/>
  <c r="EI87" i="12" s="1"/>
  <c r="EH87" i="12"/>
  <c r="CC116" i="12"/>
  <c r="CA116" i="12"/>
  <c r="CB116" i="12" s="1"/>
  <c r="CD116" i="12" s="1"/>
  <c r="FA165" i="12"/>
  <c r="EY165" i="12"/>
  <c r="EZ165" i="12" s="1"/>
  <c r="FB165" i="12" s="1"/>
  <c r="EY245" i="12"/>
  <c r="EZ245" i="12" s="1"/>
  <c r="FB245" i="12" s="1"/>
  <c r="FA245" i="12"/>
  <c r="AO307" i="12"/>
  <c r="AP307" i="12" s="1"/>
  <c r="AR307" i="12" s="1"/>
  <c r="AQ307" i="12"/>
  <c r="W307" i="12"/>
  <c r="Y307" i="12" s="1"/>
  <c r="CA68" i="12"/>
  <c r="CB68" i="12" s="1"/>
  <c r="CD68" i="12" s="1"/>
  <c r="CC68" i="12"/>
  <c r="BJ46" i="12"/>
  <c r="BH46" i="12"/>
  <c r="BI46" i="12" s="1"/>
  <c r="BK46" i="12" s="1"/>
  <c r="BJ37" i="12"/>
  <c r="BH37" i="12"/>
  <c r="BI37" i="12" s="1"/>
  <c r="BK37" i="12" s="1"/>
  <c r="BH32" i="12"/>
  <c r="BI32" i="12" s="1"/>
  <c r="BK32" i="12" s="1"/>
  <c r="BJ32" i="12"/>
  <c r="AQ26" i="12"/>
  <c r="AO26" i="12"/>
  <c r="AP26" i="12" s="1"/>
  <c r="AR26" i="12" s="1"/>
  <c r="W26" i="12"/>
  <c r="Y26" i="12" s="1"/>
  <c r="CC91" i="12"/>
  <c r="CA91" i="12"/>
  <c r="CB91" i="12" s="1"/>
  <c r="CD91" i="12" s="1"/>
  <c r="AO77" i="12"/>
  <c r="AP77" i="12" s="1"/>
  <c r="AR77" i="12" s="1"/>
  <c r="AQ77" i="12"/>
  <c r="W77" i="12"/>
  <c r="Y77" i="12" s="1"/>
  <c r="FA85" i="12"/>
  <c r="EY85" i="12"/>
  <c r="EZ85" i="12" s="1"/>
  <c r="FB85" i="12" s="1"/>
  <c r="EH152" i="12"/>
  <c r="EF152" i="12"/>
  <c r="EG152" i="12" s="1"/>
  <c r="EI152" i="12" s="1"/>
  <c r="CC247" i="12"/>
  <c r="CA247" i="12"/>
  <c r="CB247" i="12" s="1"/>
  <c r="CD247" i="12" s="1"/>
  <c r="BH293" i="12"/>
  <c r="BI293" i="12" s="1"/>
  <c r="BK293" i="12" s="1"/>
  <c r="BJ293" i="12"/>
  <c r="EF361" i="12"/>
  <c r="EG361" i="12" s="1"/>
  <c r="EI361" i="12" s="1"/>
  <c r="EH361" i="12"/>
  <c r="EH34" i="12"/>
  <c r="EF34" i="12"/>
  <c r="EG34" i="12" s="1"/>
  <c r="EI34" i="12" s="1"/>
  <c r="EH25" i="12"/>
  <c r="EF25" i="12"/>
  <c r="EG25" i="12" s="1"/>
  <c r="EI25" i="12" s="1"/>
  <c r="AQ66" i="12"/>
  <c r="AO66" i="12"/>
  <c r="AP66" i="12" s="1"/>
  <c r="AR66" i="12" s="1"/>
  <c r="W66" i="12"/>
  <c r="Y66" i="12" s="1"/>
  <c r="BH63" i="12"/>
  <c r="BI63" i="12" s="1"/>
  <c r="BK63" i="12" s="1"/>
  <c r="BJ63" i="12"/>
  <c r="DO46" i="12"/>
  <c r="DM46" i="12"/>
  <c r="DN46" i="12" s="1"/>
  <c r="DP46" i="12" s="1"/>
  <c r="DO65" i="12"/>
  <c r="DM65" i="12"/>
  <c r="DN65" i="12" s="1"/>
  <c r="DP65" i="12" s="1"/>
  <c r="EF77" i="12"/>
  <c r="EG77" i="12" s="1"/>
  <c r="EI77" i="12" s="1"/>
  <c r="EH77" i="12"/>
  <c r="EF134" i="12"/>
  <c r="EG134" i="12" s="1"/>
  <c r="EI134" i="12" s="1"/>
  <c r="EH134" i="12"/>
  <c r="AQ201" i="12"/>
  <c r="AO201" i="12"/>
  <c r="AP201" i="12" s="1"/>
  <c r="AR201" i="12" s="1"/>
  <c r="W201" i="12"/>
  <c r="Y201" i="12" s="1"/>
  <c r="FA273" i="12"/>
  <c r="EY273" i="12"/>
  <c r="EZ273" i="12" s="1"/>
  <c r="FB273" i="12" s="1"/>
  <c r="CV339" i="12"/>
  <c r="CT339" i="12"/>
  <c r="CU339" i="12" s="1"/>
  <c r="CW339" i="12" s="1"/>
  <c r="CC66" i="12"/>
  <c r="CA66" i="12"/>
  <c r="CB66" i="12" s="1"/>
  <c r="CD66" i="12" s="1"/>
  <c r="EF60" i="12"/>
  <c r="EG60" i="12" s="1"/>
  <c r="EI60" i="12" s="1"/>
  <c r="EH60" i="12"/>
  <c r="EH115" i="12"/>
  <c r="EF115" i="12"/>
  <c r="EG115" i="12" s="1"/>
  <c r="EI115" i="12" s="1"/>
  <c r="BH114" i="12"/>
  <c r="BI114" i="12" s="1"/>
  <c r="BK114" i="12" s="1"/>
  <c r="BJ114" i="12"/>
  <c r="CT110" i="12"/>
  <c r="CU110" i="12" s="1"/>
  <c r="CW110" i="12" s="1"/>
  <c r="CV110" i="12"/>
  <c r="DO110" i="12"/>
  <c r="DM110" i="12"/>
  <c r="DN110" i="12" s="1"/>
  <c r="DP110" i="12" s="1"/>
  <c r="DO127" i="12"/>
  <c r="DM127" i="12"/>
  <c r="DN127" i="12" s="1"/>
  <c r="DP127" i="12" s="1"/>
  <c r="CC128" i="12"/>
  <c r="CA128" i="12"/>
  <c r="CB128" i="12" s="1"/>
  <c r="CD128" i="12" s="1"/>
  <c r="CC123" i="12"/>
  <c r="CA123" i="12"/>
  <c r="CB123" i="12" s="1"/>
  <c r="CD123" i="12" s="1"/>
  <c r="AO161" i="12"/>
  <c r="AP161" i="12" s="1"/>
  <c r="AR161" i="12" s="1"/>
  <c r="AQ161" i="12"/>
  <c r="W161" i="12"/>
  <c r="Y161" i="12" s="1"/>
  <c r="AQ180" i="12"/>
  <c r="AO180" i="12"/>
  <c r="AP180" i="12" s="1"/>
  <c r="AR180" i="12" s="1"/>
  <c r="W180" i="12"/>
  <c r="Y180" i="12" s="1"/>
  <c r="CT171" i="12"/>
  <c r="CU171" i="12" s="1"/>
  <c r="CW171" i="12" s="1"/>
  <c r="CV171" i="12"/>
  <c r="FA196" i="12"/>
  <c r="EY196" i="12"/>
  <c r="EZ196" i="12" s="1"/>
  <c r="FB196" i="12" s="1"/>
  <c r="CV194" i="12"/>
  <c r="CT194" i="12"/>
  <c r="CU194" i="12" s="1"/>
  <c r="CW194" i="12" s="1"/>
  <c r="FA188" i="12"/>
  <c r="EY188" i="12"/>
  <c r="EZ188" i="12" s="1"/>
  <c r="FB188" i="12" s="1"/>
  <c r="CC204" i="12"/>
  <c r="CA204" i="12"/>
  <c r="CB204" i="12" s="1"/>
  <c r="CD204" i="12" s="1"/>
  <c r="AQ213" i="12"/>
  <c r="AO213" i="12"/>
  <c r="AP213" i="12" s="1"/>
  <c r="AR213" i="12" s="1"/>
  <c r="W213" i="12"/>
  <c r="Y213" i="12" s="1"/>
  <c r="CC229" i="12"/>
  <c r="CA229" i="12"/>
  <c r="CB229" i="12" s="1"/>
  <c r="CD229" i="12" s="1"/>
  <c r="CA227" i="12"/>
  <c r="CB227" i="12" s="1"/>
  <c r="CD227" i="12" s="1"/>
  <c r="CC227" i="12"/>
  <c r="CT242" i="12"/>
  <c r="CU242" i="12" s="1"/>
  <c r="CW242" i="12" s="1"/>
  <c r="CV242" i="12"/>
  <c r="EH253" i="12"/>
  <c r="EF253" i="12"/>
  <c r="EG253" i="12" s="1"/>
  <c r="EI253" i="12" s="1"/>
  <c r="DO281" i="12"/>
  <c r="DM281" i="12"/>
  <c r="DN281" i="12" s="1"/>
  <c r="DP281" i="12" s="1"/>
  <c r="CV273" i="12"/>
  <c r="CT273" i="12"/>
  <c r="CU273" i="12" s="1"/>
  <c r="CW273" i="12" s="1"/>
  <c r="EF285" i="12"/>
  <c r="EG285" i="12" s="1"/>
  <c r="EI285" i="12" s="1"/>
  <c r="EH285" i="12"/>
  <c r="CT285" i="12"/>
  <c r="CU285" i="12" s="1"/>
  <c r="CW285" i="12" s="1"/>
  <c r="CV285" i="12"/>
  <c r="EY300" i="12"/>
  <c r="EZ300" i="12" s="1"/>
  <c r="FB300" i="12" s="1"/>
  <c r="FA300" i="12"/>
  <c r="AQ316" i="12"/>
  <c r="AO316" i="12"/>
  <c r="AP316" i="12" s="1"/>
  <c r="AR316" i="12" s="1"/>
  <c r="W316" i="12"/>
  <c r="Y316" i="12" s="1"/>
  <c r="FA312" i="12"/>
  <c r="EY312" i="12"/>
  <c r="EZ312" i="12" s="1"/>
  <c r="FB312" i="12" s="1"/>
  <c r="EH317" i="12"/>
  <c r="EF317" i="12"/>
  <c r="EG317" i="12" s="1"/>
  <c r="EI317" i="12" s="1"/>
  <c r="EY330" i="12"/>
  <c r="EZ330" i="12" s="1"/>
  <c r="FB330" i="12" s="1"/>
  <c r="FA330" i="12"/>
  <c r="DO339" i="12"/>
  <c r="DM339" i="12"/>
  <c r="DN339" i="12" s="1"/>
  <c r="DP339" i="12" s="1"/>
  <c r="BH347" i="12"/>
  <c r="BI347" i="12" s="1"/>
  <c r="BK347" i="12" s="1"/>
  <c r="BJ347" i="12"/>
  <c r="CC356" i="12"/>
  <c r="CA356" i="12"/>
  <c r="CB356" i="12" s="1"/>
  <c r="CD356" i="12" s="1"/>
  <c r="DM20" i="12"/>
  <c r="DN20" i="12" s="1"/>
  <c r="DP20" i="12" s="1"/>
  <c r="DO20" i="12"/>
  <c r="FA74" i="12"/>
  <c r="EY74" i="12"/>
  <c r="EZ74" i="12" s="1"/>
  <c r="FB74" i="12" s="1"/>
  <c r="CA69" i="12"/>
  <c r="CB69" i="12" s="1"/>
  <c r="CD69" i="12" s="1"/>
  <c r="CC69" i="12"/>
  <c r="EF89" i="12"/>
  <c r="EG89" i="12" s="1"/>
  <c r="EI89" i="12" s="1"/>
  <c r="EH89" i="12"/>
  <c r="AQ122" i="12"/>
  <c r="AO122" i="12"/>
  <c r="AP122" i="12" s="1"/>
  <c r="AR122" i="12" s="1"/>
  <c r="W122" i="12"/>
  <c r="Y122" i="12" s="1"/>
  <c r="BJ136" i="12"/>
  <c r="BH136" i="12"/>
  <c r="BI136" i="12" s="1"/>
  <c r="BK136" i="12" s="1"/>
  <c r="FA136" i="12"/>
  <c r="EY136" i="12"/>
  <c r="EZ136" i="12" s="1"/>
  <c r="FB136" i="12" s="1"/>
  <c r="FA131" i="12"/>
  <c r="EY131" i="12"/>
  <c r="EZ131" i="12" s="1"/>
  <c r="FB131" i="12" s="1"/>
  <c r="CV127" i="12"/>
  <c r="CT127" i="12"/>
  <c r="CU127" i="12" s="1"/>
  <c r="CW127" i="12" s="1"/>
  <c r="DO152" i="12"/>
  <c r="DM152" i="12"/>
  <c r="DN152" i="12" s="1"/>
  <c r="DP152" i="12" s="1"/>
  <c r="FA153" i="12"/>
  <c r="EY153" i="12"/>
  <c r="EZ153" i="12" s="1"/>
  <c r="FB153" i="12" s="1"/>
  <c r="BH155" i="12"/>
  <c r="BI155" i="12" s="1"/>
  <c r="BK155" i="12" s="1"/>
  <c r="BJ155" i="12"/>
  <c r="CT165" i="12"/>
  <c r="CU165" i="12" s="1"/>
  <c r="CW165" i="12" s="1"/>
  <c r="CV165" i="12"/>
  <c r="BJ205" i="12"/>
  <c r="BH205" i="12"/>
  <c r="BI205" i="12" s="1"/>
  <c r="BK205" i="12" s="1"/>
  <c r="BJ198" i="12"/>
  <c r="BH198" i="12"/>
  <c r="BI198" i="12" s="1"/>
  <c r="BK198" i="12" s="1"/>
  <c r="DO241" i="12"/>
  <c r="DM241" i="12"/>
  <c r="DN241" i="12" s="1"/>
  <c r="DP241" i="12" s="1"/>
  <c r="DO223" i="12"/>
  <c r="DM223" i="12"/>
  <c r="DN223" i="12" s="1"/>
  <c r="DP223" i="12" s="1"/>
  <c r="EH242" i="12"/>
  <c r="EF242" i="12"/>
  <c r="EG242" i="12" s="1"/>
  <c r="EI242" i="12" s="1"/>
  <c r="DO237" i="12"/>
  <c r="DM237" i="12"/>
  <c r="DN237" i="12" s="1"/>
  <c r="DP237" i="12" s="1"/>
  <c r="CA248" i="12"/>
  <c r="CB248" i="12" s="1"/>
  <c r="CD248" i="12" s="1"/>
  <c r="CC248" i="12"/>
  <c r="CC262" i="12"/>
  <c r="CA262" i="12"/>
  <c r="CB262" i="12" s="1"/>
  <c r="CD262" i="12" s="1"/>
  <c r="CA267" i="12"/>
  <c r="CB267" i="12" s="1"/>
  <c r="CD267" i="12" s="1"/>
  <c r="CC267" i="12"/>
  <c r="EY302" i="12"/>
  <c r="EZ302" i="12" s="1"/>
  <c r="FB302" i="12" s="1"/>
  <c r="FA302" i="12"/>
  <c r="CV290" i="12"/>
  <c r="CT290" i="12"/>
  <c r="CU290" i="12" s="1"/>
  <c r="CW290" i="12" s="1"/>
  <c r="AQ301" i="12"/>
  <c r="AO301" i="12"/>
  <c r="AP301" i="12" s="1"/>
  <c r="AR301" i="12" s="1"/>
  <c r="W301" i="12"/>
  <c r="Y301" i="12" s="1"/>
  <c r="DO326" i="12"/>
  <c r="DM326" i="12"/>
  <c r="DN326" i="12" s="1"/>
  <c r="DP326" i="12" s="1"/>
  <c r="BJ317" i="12"/>
  <c r="BH317" i="12"/>
  <c r="BI317" i="12" s="1"/>
  <c r="BK317" i="12" s="1"/>
  <c r="AO324" i="12"/>
  <c r="AP324" i="12" s="1"/>
  <c r="AR324" i="12" s="1"/>
  <c r="AQ324" i="12"/>
  <c r="W324" i="12"/>
  <c r="Y324" i="12" s="1"/>
  <c r="CV341" i="12"/>
  <c r="CT341" i="12"/>
  <c r="CU341" i="12" s="1"/>
  <c r="CW341" i="12" s="1"/>
  <c r="DM350" i="12"/>
  <c r="DN350" i="12" s="1"/>
  <c r="DP350" i="12" s="1"/>
  <c r="DO350" i="12"/>
  <c r="EH357" i="12"/>
  <c r="EF357" i="12"/>
  <c r="EG357" i="12" s="1"/>
  <c r="EI357" i="12" s="1"/>
  <c r="CV55" i="12"/>
  <c r="CT55" i="12"/>
  <c r="CU55" i="12" s="1"/>
  <c r="CW55" i="12" s="1"/>
  <c r="FA103" i="12"/>
  <c r="EY103" i="12"/>
  <c r="EZ103" i="12" s="1"/>
  <c r="FB103" i="12" s="1"/>
  <c r="FA81" i="12"/>
  <c r="EY81" i="12"/>
  <c r="EZ81" i="12" s="1"/>
  <c r="FB81" i="12" s="1"/>
  <c r="CC102" i="12"/>
  <c r="CA102" i="12"/>
  <c r="CB102" i="12" s="1"/>
  <c r="CD102" i="12" s="1"/>
  <c r="AQ99" i="12"/>
  <c r="AO99" i="12"/>
  <c r="AP99" i="12" s="1"/>
  <c r="AR99" i="12" s="1"/>
  <c r="W99" i="12"/>
  <c r="Y99" i="12" s="1"/>
  <c r="EH99" i="12"/>
  <c r="EF99" i="12"/>
  <c r="EG99" i="12" s="1"/>
  <c r="EI99" i="12" s="1"/>
  <c r="BJ120" i="12"/>
  <c r="BH120" i="12"/>
  <c r="BI120" i="12" s="1"/>
  <c r="BK120" i="12" s="1"/>
  <c r="CA163" i="12"/>
  <c r="CB163" i="12" s="1"/>
  <c r="CD163" i="12" s="1"/>
  <c r="CC163" i="12"/>
  <c r="BH158" i="12"/>
  <c r="BI158" i="12" s="1"/>
  <c r="BK158" i="12" s="1"/>
  <c r="BJ158" i="12"/>
  <c r="CV144" i="12"/>
  <c r="CT144" i="12"/>
  <c r="CU144" i="12" s="1"/>
  <c r="CW144" i="12" s="1"/>
  <c r="FA171" i="12"/>
  <c r="EY171" i="12"/>
  <c r="EZ171" i="12" s="1"/>
  <c r="FB171" i="12" s="1"/>
  <c r="CA171" i="12"/>
  <c r="CB171" i="12" s="1"/>
  <c r="CD171" i="12" s="1"/>
  <c r="CC171" i="12"/>
  <c r="BH182" i="12"/>
  <c r="BI182" i="12" s="1"/>
  <c r="BK182" i="12" s="1"/>
  <c r="BJ182" i="12"/>
  <c r="AQ183" i="12"/>
  <c r="AO183" i="12"/>
  <c r="AP183" i="12" s="1"/>
  <c r="AR183" i="12" s="1"/>
  <c r="W183" i="12"/>
  <c r="Y183" i="12" s="1"/>
  <c r="AQ212" i="12"/>
  <c r="AO212" i="12"/>
  <c r="AP212" i="12" s="1"/>
  <c r="AR212" i="12" s="1"/>
  <c r="W212" i="12"/>
  <c r="Y212" i="12" s="1"/>
  <c r="DO208" i="12"/>
  <c r="DM208" i="12"/>
  <c r="DN208" i="12" s="1"/>
  <c r="DP208" i="12" s="1"/>
  <c r="AQ218" i="12"/>
  <c r="AO218" i="12"/>
  <c r="AP218" i="12" s="1"/>
  <c r="AR218" i="12" s="1"/>
  <c r="W218" i="12"/>
  <c r="Y218" i="12" s="1"/>
  <c r="FA230" i="12"/>
  <c r="EY230" i="12"/>
  <c r="EZ230" i="12" s="1"/>
  <c r="FB230" i="12" s="1"/>
  <c r="CT233" i="12"/>
  <c r="CU233" i="12" s="1"/>
  <c r="CW233" i="12" s="1"/>
  <c r="CV233" i="12"/>
  <c r="FA246" i="12"/>
  <c r="EY246" i="12"/>
  <c r="EZ246" i="12" s="1"/>
  <c r="FB246" i="12" s="1"/>
  <c r="DO250" i="12"/>
  <c r="DM250" i="12"/>
  <c r="DN250" i="12" s="1"/>
  <c r="DP250" i="12" s="1"/>
  <c r="AQ261" i="12"/>
  <c r="AO261" i="12"/>
  <c r="AP261" i="12" s="1"/>
  <c r="AR261" i="12" s="1"/>
  <c r="W261" i="12"/>
  <c r="Y261" i="12" s="1"/>
  <c r="EH256" i="12"/>
  <c r="EF256" i="12"/>
  <c r="EG256" i="12" s="1"/>
  <c r="EI256" i="12" s="1"/>
  <c r="AO292" i="12"/>
  <c r="AP292" i="12" s="1"/>
  <c r="AR292" i="12" s="1"/>
  <c r="AQ292" i="12"/>
  <c r="W292" i="12"/>
  <c r="Y292" i="12" s="1"/>
  <c r="DO313" i="12"/>
  <c r="DM313" i="12"/>
  <c r="DN313" i="12" s="1"/>
  <c r="DP313" i="12" s="1"/>
  <c r="CC313" i="12"/>
  <c r="CA313" i="12"/>
  <c r="CB313" i="12" s="1"/>
  <c r="CD313" i="12" s="1"/>
  <c r="CV335" i="12"/>
  <c r="CT335" i="12"/>
  <c r="CU335" i="12" s="1"/>
  <c r="CW335" i="12" s="1"/>
  <c r="EH330" i="12"/>
  <c r="EF330" i="12"/>
  <c r="EG330" i="12" s="1"/>
  <c r="EI330" i="12" s="1"/>
  <c r="DO337" i="12"/>
  <c r="DM337" i="12"/>
  <c r="DN337" i="12" s="1"/>
  <c r="DP337" i="12" s="1"/>
  <c r="FA347" i="12"/>
  <c r="EY347" i="12"/>
  <c r="EZ347" i="12" s="1"/>
  <c r="FB347" i="12" s="1"/>
  <c r="CC353" i="12"/>
  <c r="CA353" i="12"/>
  <c r="CB353" i="12" s="1"/>
  <c r="CD353" i="12" s="1"/>
  <c r="DO362" i="12"/>
  <c r="DM362" i="12"/>
  <c r="DN362" i="12" s="1"/>
  <c r="DP362" i="12" s="1"/>
  <c r="CT66" i="12"/>
  <c r="CU66" i="12" s="1"/>
  <c r="CW66" i="12" s="1"/>
  <c r="CV66" i="12"/>
  <c r="EY86" i="12"/>
  <c r="EZ86" i="12" s="1"/>
  <c r="FB86" i="12" s="1"/>
  <c r="FA86" i="12"/>
  <c r="DO83" i="12"/>
  <c r="DM83" i="12"/>
  <c r="DN83" i="12" s="1"/>
  <c r="DP83" i="12" s="1"/>
  <c r="CC119" i="12"/>
  <c r="CA119" i="12"/>
  <c r="CB119" i="12" s="1"/>
  <c r="CD119" i="12" s="1"/>
  <c r="CC133" i="12"/>
  <c r="CA133" i="12"/>
  <c r="CB133" i="12" s="1"/>
  <c r="CD133" i="12" s="1"/>
  <c r="AQ124" i="12"/>
  <c r="AO124" i="12"/>
  <c r="AP124" i="12" s="1"/>
  <c r="AR124" i="12" s="1"/>
  <c r="W124" i="12"/>
  <c r="Y124" i="12" s="1"/>
  <c r="EH149" i="12"/>
  <c r="EF149" i="12"/>
  <c r="EG149" i="12" s="1"/>
  <c r="EI149" i="12" s="1"/>
  <c r="CA152" i="12"/>
  <c r="CB152" i="12" s="1"/>
  <c r="CD152" i="12" s="1"/>
  <c r="CC152" i="12"/>
  <c r="DO167" i="12"/>
  <c r="DM167" i="12"/>
  <c r="DN167" i="12" s="1"/>
  <c r="DP167" i="12" s="1"/>
  <c r="AO194" i="12"/>
  <c r="AP194" i="12" s="1"/>
  <c r="AR194" i="12" s="1"/>
  <c r="AQ194" i="12"/>
  <c r="W194" i="12"/>
  <c r="Y194" i="12" s="1"/>
  <c r="BH220" i="12"/>
  <c r="BI220" i="12" s="1"/>
  <c r="BK220" i="12" s="1"/>
  <c r="BJ220" i="12"/>
  <c r="EH218" i="12"/>
  <c r="EF218" i="12"/>
  <c r="EG218" i="12" s="1"/>
  <c r="EI218" i="12" s="1"/>
  <c r="CC234" i="12"/>
  <c r="CA234" i="12"/>
  <c r="CB234" i="12" s="1"/>
  <c r="CD234" i="12" s="1"/>
  <c r="DM247" i="12"/>
  <c r="DN247" i="12" s="1"/>
  <c r="DP247" i="12" s="1"/>
  <c r="DO247" i="12"/>
  <c r="CA266" i="12"/>
  <c r="CB266" i="12" s="1"/>
  <c r="CD266" i="12" s="1"/>
  <c r="CC266" i="12"/>
  <c r="CV259" i="12"/>
  <c r="CT259" i="12"/>
  <c r="CU259" i="12" s="1"/>
  <c r="CW259" i="12" s="1"/>
  <c r="DO267" i="12"/>
  <c r="DM267" i="12"/>
  <c r="DN267" i="12" s="1"/>
  <c r="DP267" i="12" s="1"/>
  <c r="CC298" i="12"/>
  <c r="CA298" i="12"/>
  <c r="CB298" i="12" s="1"/>
  <c r="CD298" i="12" s="1"/>
  <c r="AQ296" i="12"/>
  <c r="AO296" i="12"/>
  <c r="AP296" i="12" s="1"/>
  <c r="AR296" i="12" s="1"/>
  <c r="W296" i="12"/>
  <c r="Y296" i="12" s="1"/>
  <c r="BJ298" i="12"/>
  <c r="BH298" i="12"/>
  <c r="BI298" i="12" s="1"/>
  <c r="BK298" i="12" s="1"/>
  <c r="CC309" i="12"/>
  <c r="CA309" i="12"/>
  <c r="CB309" i="12" s="1"/>
  <c r="CD309" i="12" s="1"/>
  <c r="EH314" i="12"/>
  <c r="EF314" i="12"/>
  <c r="EG314" i="12" s="1"/>
  <c r="EI314" i="12" s="1"/>
  <c r="CT323" i="12"/>
  <c r="CU323" i="12" s="1"/>
  <c r="CW323" i="12" s="1"/>
  <c r="CV323" i="12"/>
  <c r="DO331" i="12"/>
  <c r="DM331" i="12"/>
  <c r="DN331" i="12" s="1"/>
  <c r="DP331" i="12" s="1"/>
  <c r="FA345" i="12"/>
  <c r="EY345" i="12"/>
  <c r="EZ345" i="12" s="1"/>
  <c r="FB345" i="12" s="1"/>
  <c r="DO352" i="12"/>
  <c r="DM352" i="12"/>
  <c r="DN352" i="12" s="1"/>
  <c r="DP352" i="12" s="1"/>
  <c r="BH358" i="12"/>
  <c r="BI358" i="12" s="1"/>
  <c r="BK358" i="12" s="1"/>
  <c r="BJ358" i="12"/>
  <c r="AQ56" i="12"/>
  <c r="AO56" i="12"/>
  <c r="AP56" i="12" s="1"/>
  <c r="AR56" i="12" s="1"/>
  <c r="W56" i="12"/>
  <c r="Y56" i="12" s="1"/>
  <c r="CC111" i="12"/>
  <c r="CA111" i="12"/>
  <c r="CB111" i="12" s="1"/>
  <c r="CD111" i="12" s="1"/>
  <c r="AQ89" i="12"/>
  <c r="AO89" i="12"/>
  <c r="AP89" i="12" s="1"/>
  <c r="AR89" i="12" s="1"/>
  <c r="W89" i="12"/>
  <c r="Y89" i="12" s="1"/>
  <c r="CT103" i="12"/>
  <c r="CU103" i="12" s="1"/>
  <c r="CW103" i="12" s="1"/>
  <c r="CV103" i="12"/>
  <c r="BJ100" i="12"/>
  <c r="BH100" i="12"/>
  <c r="BI100" i="12" s="1"/>
  <c r="BK100" i="12" s="1"/>
  <c r="FA100" i="12"/>
  <c r="EY100" i="12"/>
  <c r="EZ100" i="12" s="1"/>
  <c r="FB100" i="12" s="1"/>
  <c r="BJ121" i="12"/>
  <c r="BH121" i="12"/>
  <c r="BI121" i="12" s="1"/>
  <c r="BK121" i="12" s="1"/>
  <c r="BJ146" i="12"/>
  <c r="BH146" i="12"/>
  <c r="BI146" i="12" s="1"/>
  <c r="BK146" i="12" s="1"/>
  <c r="FA167" i="12"/>
  <c r="EY167" i="12"/>
  <c r="EZ167" i="12" s="1"/>
  <c r="FB167" i="12" s="1"/>
  <c r="AO145" i="12"/>
  <c r="AP145" i="12" s="1"/>
  <c r="AR145" i="12" s="1"/>
  <c r="AQ145" i="12"/>
  <c r="W145" i="12"/>
  <c r="Y145" i="12" s="1"/>
  <c r="DO140" i="12"/>
  <c r="DM140" i="12"/>
  <c r="DN140" i="12" s="1"/>
  <c r="DP140" i="12" s="1"/>
  <c r="CT175" i="12"/>
  <c r="CU175" i="12" s="1"/>
  <c r="CW175" i="12" s="1"/>
  <c r="CV175" i="12"/>
  <c r="EH177" i="12"/>
  <c r="EF177" i="12"/>
  <c r="EG177" i="12" s="1"/>
  <c r="EI177" i="12" s="1"/>
  <c r="BJ185" i="12"/>
  <c r="BH185" i="12"/>
  <c r="BI185" i="12" s="1"/>
  <c r="BK185" i="12" s="1"/>
  <c r="BJ184" i="12"/>
  <c r="BH184" i="12"/>
  <c r="BI184" i="12" s="1"/>
  <c r="BK184" i="12" s="1"/>
  <c r="DM178" i="12"/>
  <c r="DN178" i="12" s="1"/>
  <c r="DP178" i="12" s="1"/>
  <c r="DO178" i="12"/>
  <c r="CC210" i="12"/>
  <c r="CA210" i="12"/>
  <c r="CB210" i="12" s="1"/>
  <c r="CD210" i="12" s="1"/>
  <c r="BJ219" i="12"/>
  <c r="BH219" i="12"/>
  <c r="BI219" i="12" s="1"/>
  <c r="BK219" i="12" s="1"/>
  <c r="DO236" i="12"/>
  <c r="DM236" i="12"/>
  <c r="DN236" i="12" s="1"/>
  <c r="DP236" i="12" s="1"/>
  <c r="EF251" i="12"/>
  <c r="EG251" i="12" s="1"/>
  <c r="EI251" i="12" s="1"/>
  <c r="EH251" i="12"/>
  <c r="BH262" i="12"/>
  <c r="BI262" i="12" s="1"/>
  <c r="BK262" i="12" s="1"/>
  <c r="BJ262" i="12"/>
  <c r="FA257" i="12"/>
  <c r="EY257" i="12"/>
  <c r="EZ257" i="12" s="1"/>
  <c r="FB257" i="12" s="1"/>
  <c r="CA287" i="12"/>
  <c r="CB287" i="12" s="1"/>
  <c r="CD287" i="12" s="1"/>
  <c r="CC287" i="12"/>
  <c r="EH297" i="12"/>
  <c r="EF297" i="12"/>
  <c r="EG297" i="12" s="1"/>
  <c r="EI297" i="12" s="1"/>
  <c r="DO296" i="12"/>
  <c r="DM296" i="12"/>
  <c r="DN296" i="12" s="1"/>
  <c r="DP296" i="12" s="1"/>
  <c r="DO290" i="12"/>
  <c r="DM290" i="12"/>
  <c r="DN290" i="12" s="1"/>
  <c r="DP290" i="12" s="1"/>
  <c r="CT303" i="12"/>
  <c r="CU303" i="12" s="1"/>
  <c r="CW303" i="12" s="1"/>
  <c r="CV303" i="12"/>
  <c r="CV314" i="12"/>
  <c r="CT314" i="12"/>
  <c r="CU314" i="12" s="1"/>
  <c r="CW314" i="12" s="1"/>
  <c r="EH318" i="12"/>
  <c r="EF318" i="12"/>
  <c r="EG318" i="12" s="1"/>
  <c r="EI318" i="12" s="1"/>
  <c r="AQ332" i="12"/>
  <c r="AO332" i="12"/>
  <c r="AP332" i="12" s="1"/>
  <c r="AR332" i="12" s="1"/>
  <c r="W332" i="12"/>
  <c r="Y332" i="12" s="1"/>
  <c r="BJ334" i="12"/>
  <c r="BH334" i="12"/>
  <c r="BI334" i="12" s="1"/>
  <c r="BK334" i="12" s="1"/>
  <c r="EF350" i="12"/>
  <c r="EG350" i="12" s="1"/>
  <c r="EI350" i="12" s="1"/>
  <c r="EH350" i="12"/>
  <c r="CT354" i="12"/>
  <c r="CU354" i="12" s="1"/>
  <c r="CW354" i="12" s="1"/>
  <c r="CV354" i="12"/>
  <c r="EH363" i="12"/>
  <c r="EF363" i="12"/>
  <c r="EG363" i="12" s="1"/>
  <c r="EI363" i="12" s="1"/>
  <c r="DO60" i="12"/>
  <c r="DM60" i="12"/>
  <c r="DN60" i="12" s="1"/>
  <c r="DP60" i="12" s="1"/>
  <c r="AO55" i="12"/>
  <c r="AP55" i="12" s="1"/>
  <c r="AR55" i="12" s="1"/>
  <c r="AQ55" i="12"/>
  <c r="W55" i="12"/>
  <c r="Y55" i="12" s="1"/>
  <c r="EH94" i="12"/>
  <c r="EF94" i="12"/>
  <c r="EG94" i="12" s="1"/>
  <c r="EI94" i="12" s="1"/>
  <c r="EH104" i="12"/>
  <c r="EF104" i="12"/>
  <c r="EG104" i="12" s="1"/>
  <c r="EI104" i="12" s="1"/>
  <c r="CV105" i="12"/>
  <c r="CT105" i="12"/>
  <c r="CU105" i="12" s="1"/>
  <c r="CW105" i="12" s="1"/>
  <c r="CV122" i="12"/>
  <c r="CT122" i="12"/>
  <c r="CU122" i="12" s="1"/>
  <c r="CW122" i="12" s="1"/>
  <c r="DM122" i="12"/>
  <c r="DN122" i="12" s="1"/>
  <c r="DP122" i="12" s="1"/>
  <c r="DO122" i="12"/>
  <c r="AO150" i="12"/>
  <c r="AP150" i="12" s="1"/>
  <c r="AR150" i="12" s="1"/>
  <c r="AQ150" i="12"/>
  <c r="W150" i="12"/>
  <c r="Y150" i="12" s="1"/>
  <c r="EF166" i="12"/>
  <c r="EG166" i="12" s="1"/>
  <c r="EI166" i="12" s="1"/>
  <c r="EH166" i="12"/>
  <c r="EH146" i="12"/>
  <c r="EF146" i="12"/>
  <c r="EG146" i="12" s="1"/>
  <c r="EI146" i="12" s="1"/>
  <c r="CV192" i="12"/>
  <c r="CT192" i="12"/>
  <c r="CU192" i="12" s="1"/>
  <c r="CW192" i="12" s="1"/>
  <c r="CC201" i="12"/>
  <c r="CA201" i="12"/>
  <c r="CB201" i="12" s="1"/>
  <c r="CD201" i="12" s="1"/>
  <c r="EH188" i="12"/>
  <c r="EF188" i="12"/>
  <c r="EG188" i="12" s="1"/>
  <c r="EI188" i="12" s="1"/>
  <c r="BH183" i="12"/>
  <c r="BI183" i="12" s="1"/>
  <c r="BK183" i="12" s="1"/>
  <c r="BJ183" i="12"/>
  <c r="DO198" i="12"/>
  <c r="DM198" i="12"/>
  <c r="DN198" i="12" s="1"/>
  <c r="DP198" i="12" s="1"/>
  <c r="CC209" i="12"/>
  <c r="CA209" i="12"/>
  <c r="CB209" i="12" s="1"/>
  <c r="CD209" i="12" s="1"/>
  <c r="FA207" i="12"/>
  <c r="EY207" i="12"/>
  <c r="EZ207" i="12" s="1"/>
  <c r="FB207" i="12" s="1"/>
  <c r="BJ238" i="12"/>
  <c r="BH238" i="12"/>
  <c r="BI238" i="12" s="1"/>
  <c r="BK238" i="12" s="1"/>
  <c r="DO221" i="12"/>
  <c r="DM221" i="12"/>
  <c r="DN221" i="12" s="1"/>
  <c r="DP221" i="12" s="1"/>
  <c r="EH236" i="12"/>
  <c r="EF236" i="12"/>
  <c r="EG236" i="12" s="1"/>
  <c r="EI236" i="12" s="1"/>
  <c r="CA256" i="12"/>
  <c r="CB256" i="12" s="1"/>
  <c r="CD256" i="12" s="1"/>
  <c r="CC256" i="12"/>
  <c r="AQ268" i="12"/>
  <c r="AO268" i="12"/>
  <c r="AP268" i="12" s="1"/>
  <c r="AR268" i="12" s="1"/>
  <c r="W268" i="12"/>
  <c r="Y268" i="12" s="1"/>
  <c r="CV262" i="12"/>
  <c r="CT262" i="12"/>
  <c r="CU262" i="12" s="1"/>
  <c r="CW262" i="12" s="1"/>
  <c r="EF267" i="12"/>
  <c r="EG267" i="12" s="1"/>
  <c r="EI267" i="12" s="1"/>
  <c r="EH267" i="12"/>
  <c r="AQ280" i="12"/>
  <c r="AO280" i="12"/>
  <c r="AP280" i="12" s="1"/>
  <c r="AR280" i="12" s="1"/>
  <c r="W280" i="12"/>
  <c r="Y280" i="12" s="1"/>
  <c r="CC302" i="12"/>
  <c r="CA302" i="12"/>
  <c r="CB302" i="12" s="1"/>
  <c r="CD302" i="12" s="1"/>
  <c r="BJ295" i="12"/>
  <c r="BH295" i="12"/>
  <c r="BI295" i="12" s="1"/>
  <c r="BK295" i="12" s="1"/>
  <c r="CC323" i="12"/>
  <c r="CA323" i="12"/>
  <c r="CB323" i="12" s="1"/>
  <c r="CD323" i="12" s="1"/>
  <c r="EH329" i="12"/>
  <c r="EF329" i="12"/>
  <c r="EG329" i="12" s="1"/>
  <c r="EI329" i="12" s="1"/>
  <c r="AQ338" i="12"/>
  <c r="AO338" i="12"/>
  <c r="AP338" i="12" s="1"/>
  <c r="AR338" i="12" s="1"/>
  <c r="W338" i="12"/>
  <c r="Y338" i="12" s="1"/>
  <c r="EH354" i="12"/>
  <c r="EF354" i="12"/>
  <c r="EG354" i="12" s="1"/>
  <c r="EI354" i="12" s="1"/>
  <c r="CA363" i="12"/>
  <c r="CB363" i="12" s="1"/>
  <c r="CD363" i="12" s="1"/>
  <c r="CC363" i="12"/>
  <c r="BJ65" i="12"/>
  <c r="BH65" i="12"/>
  <c r="BI65" i="12" s="1"/>
  <c r="BK65" i="12" s="1"/>
  <c r="DM59" i="12"/>
  <c r="DN59" i="12" s="1"/>
  <c r="DP59" i="12" s="1"/>
  <c r="DO59" i="12"/>
  <c r="EF113" i="12"/>
  <c r="EG113" i="12" s="1"/>
  <c r="EI113" i="12" s="1"/>
  <c r="EH113" i="12"/>
  <c r="CC112" i="12"/>
  <c r="CA112" i="12"/>
  <c r="CB112" i="12" s="1"/>
  <c r="CD112" i="12" s="1"/>
  <c r="CA109" i="12"/>
  <c r="CB109" i="12" s="1"/>
  <c r="CD109" i="12" s="1"/>
  <c r="CC109" i="12"/>
  <c r="BJ127" i="12"/>
  <c r="BH127" i="12"/>
  <c r="BI127" i="12" s="1"/>
  <c r="BK127" i="12" s="1"/>
  <c r="BJ122" i="12"/>
  <c r="BH122" i="12"/>
  <c r="BI122" i="12" s="1"/>
  <c r="BK122" i="12" s="1"/>
  <c r="CV152" i="12"/>
  <c r="CT152" i="12"/>
  <c r="CU152" i="12" s="1"/>
  <c r="CW152" i="12" s="1"/>
  <c r="CA183" i="12"/>
  <c r="CB183" i="12" s="1"/>
  <c r="CD183" i="12" s="1"/>
  <c r="CC183" i="12"/>
  <c r="CC178" i="12"/>
  <c r="CA178" i="12"/>
  <c r="CB178" i="12" s="1"/>
  <c r="CD178" i="12" s="1"/>
  <c r="EH169" i="12"/>
  <c r="EF169" i="12"/>
  <c r="EG169" i="12" s="1"/>
  <c r="EI169" i="12" s="1"/>
  <c r="CC190" i="12"/>
  <c r="CA190" i="12"/>
  <c r="CB190" i="12" s="1"/>
  <c r="CD190" i="12" s="1"/>
  <c r="CC193" i="12"/>
  <c r="CA193" i="12"/>
  <c r="CB193" i="12" s="1"/>
  <c r="CD193" i="12" s="1"/>
  <c r="EH187" i="12"/>
  <c r="EF187" i="12"/>
  <c r="EG187" i="12" s="1"/>
  <c r="EI187" i="12" s="1"/>
  <c r="BJ203" i="12"/>
  <c r="BH203" i="12"/>
  <c r="BI203" i="12" s="1"/>
  <c r="BK203" i="12" s="1"/>
  <c r="EY213" i="12"/>
  <c r="EZ213" i="12" s="1"/>
  <c r="FB213" i="12" s="1"/>
  <c r="FA213" i="12"/>
  <c r="CT212" i="12"/>
  <c r="CU212" i="12" s="1"/>
  <c r="CW212" i="12" s="1"/>
  <c r="CV212" i="12"/>
  <c r="BH226" i="12"/>
  <c r="BI226" i="12" s="1"/>
  <c r="BK226" i="12" s="1"/>
  <c r="BJ226" i="12"/>
  <c r="CC241" i="12"/>
  <c r="CA241" i="12"/>
  <c r="CB241" i="12" s="1"/>
  <c r="CD241" i="12" s="1"/>
  <c r="EY260" i="12"/>
  <c r="EZ260" i="12" s="1"/>
  <c r="FB260" i="12" s="1"/>
  <c r="FA260" i="12"/>
  <c r="DO252" i="12"/>
  <c r="DM252" i="12"/>
  <c r="DN252" i="12" s="1"/>
  <c r="DP252" i="12" s="1"/>
  <c r="EF279" i="12"/>
  <c r="EG279" i="12" s="1"/>
  <c r="EI279" i="12" s="1"/>
  <c r="EH279" i="12"/>
  <c r="CC272" i="12"/>
  <c r="CA272" i="12"/>
  <c r="CB272" i="12" s="1"/>
  <c r="CD272" i="12" s="1"/>
  <c r="DM284" i="12"/>
  <c r="DN284" i="12" s="1"/>
  <c r="DP284" i="12" s="1"/>
  <c r="DO284" i="12"/>
  <c r="CC284" i="12"/>
  <c r="CA284" i="12"/>
  <c r="CB284" i="12" s="1"/>
  <c r="CD284" i="12" s="1"/>
  <c r="EH299" i="12"/>
  <c r="EF299" i="12"/>
  <c r="EG299" i="12" s="1"/>
  <c r="EI299" i="12" s="1"/>
  <c r="EH313" i="12"/>
  <c r="EF313" i="12"/>
  <c r="EG313" i="12" s="1"/>
  <c r="EI313" i="12" s="1"/>
  <c r="EF311" i="12"/>
  <c r="EG311" i="12" s="1"/>
  <c r="EI311" i="12" s="1"/>
  <c r="EH311" i="12"/>
  <c r="AQ330" i="12"/>
  <c r="AO330" i="12"/>
  <c r="AP330" i="12" s="1"/>
  <c r="AR330" i="12" s="1"/>
  <c r="W330" i="12"/>
  <c r="Y330" i="12" s="1"/>
  <c r="FA329" i="12"/>
  <c r="EY329" i="12"/>
  <c r="EZ329" i="12" s="1"/>
  <c r="FB329" i="12" s="1"/>
  <c r="AO346" i="12"/>
  <c r="AP346" i="12" s="1"/>
  <c r="AR346" i="12" s="1"/>
  <c r="AQ346" i="12"/>
  <c r="W346" i="12"/>
  <c r="Y346" i="12" s="1"/>
  <c r="BJ355" i="12"/>
  <c r="BH355" i="12"/>
  <c r="BI355" i="12" s="1"/>
  <c r="BK355" i="12" s="1"/>
  <c r="EH21" i="12"/>
  <c r="EF21" i="12"/>
  <c r="EG21" i="12" s="1"/>
  <c r="EI21" i="12" s="1"/>
  <c r="CA19" i="12"/>
  <c r="CB19" i="12" s="1"/>
  <c r="CD19" i="12" s="1"/>
  <c r="CC19" i="12"/>
  <c r="CC16" i="12"/>
  <c r="CA16" i="12"/>
  <c r="CB16" i="12" s="1"/>
  <c r="CD16" i="12" s="1"/>
  <c r="EH178" i="9"/>
  <c r="EF178" i="9"/>
  <c r="EG178" i="9" s="1"/>
  <c r="EI178" i="9" s="1"/>
  <c r="CC35" i="9"/>
  <c r="CA35" i="9"/>
  <c r="CB35" i="9" s="1"/>
  <c r="CD35" i="9" s="1"/>
  <c r="AQ138" i="9"/>
  <c r="AO138" i="9"/>
  <c r="AP138" i="9" s="1"/>
  <c r="AR138" i="9" s="1"/>
  <c r="W138" i="9"/>
  <c r="Y138" i="9" s="1"/>
  <c r="AO143" i="9"/>
  <c r="AP143" i="9" s="1"/>
  <c r="AR143" i="9" s="1"/>
  <c r="AQ143" i="9"/>
  <c r="W143" i="9"/>
  <c r="Y143" i="9" s="1"/>
  <c r="CV204" i="9"/>
  <c r="CT204" i="9"/>
  <c r="CU204" i="9" s="1"/>
  <c r="CW204" i="9" s="1"/>
  <c r="BJ266" i="9"/>
  <c r="BH266" i="9"/>
  <c r="BI266" i="9" s="1"/>
  <c r="BK266" i="9" s="1"/>
  <c r="CV318" i="9"/>
  <c r="CT318" i="9"/>
  <c r="CU318" i="9" s="1"/>
  <c r="CW318" i="9" s="1"/>
  <c r="CA318" i="9"/>
  <c r="CB318" i="9" s="1"/>
  <c r="CD318" i="9" s="1"/>
  <c r="CC318" i="9"/>
  <c r="EY57" i="9"/>
  <c r="EZ57" i="9" s="1"/>
  <c r="FB57" i="9" s="1"/>
  <c r="FA57" i="9"/>
  <c r="CV168" i="9"/>
  <c r="CT168" i="9"/>
  <c r="CU168" i="9" s="1"/>
  <c r="CW168" i="9" s="1"/>
  <c r="FA189" i="9"/>
  <c r="EY189" i="9"/>
  <c r="EZ189" i="9" s="1"/>
  <c r="FB189" i="9" s="1"/>
  <c r="DO264" i="9"/>
  <c r="DM264" i="9"/>
  <c r="DN264" i="9" s="1"/>
  <c r="DP264" i="9" s="1"/>
  <c r="FA39" i="9"/>
  <c r="EY39" i="9"/>
  <c r="EZ39" i="9" s="1"/>
  <c r="FB39" i="9" s="1"/>
  <c r="BH50" i="9"/>
  <c r="BI50" i="9" s="1"/>
  <c r="BK50" i="9" s="1"/>
  <c r="BJ50" i="9"/>
  <c r="EH145" i="9"/>
  <c r="EF145" i="9"/>
  <c r="EG145" i="9" s="1"/>
  <c r="EI145" i="9" s="1"/>
  <c r="BJ182" i="9"/>
  <c r="BH182" i="9"/>
  <c r="BI182" i="9" s="1"/>
  <c r="BK182" i="9" s="1"/>
  <c r="FA247" i="9"/>
  <c r="EY247" i="9"/>
  <c r="EZ247" i="9" s="1"/>
  <c r="FB247" i="9" s="1"/>
  <c r="CC312" i="9"/>
  <c r="CA312" i="9"/>
  <c r="CB312" i="9" s="1"/>
  <c r="CD312" i="9" s="1"/>
  <c r="FA36" i="9"/>
  <c r="EY36" i="9"/>
  <c r="EZ36" i="9" s="1"/>
  <c r="FB36" i="9" s="1"/>
  <c r="AQ70" i="9"/>
  <c r="AO70" i="9"/>
  <c r="AP70" i="9" s="1"/>
  <c r="AR70" i="9" s="1"/>
  <c r="W70" i="9"/>
  <c r="AQ140" i="9"/>
  <c r="AO140" i="9"/>
  <c r="AP140" i="9" s="1"/>
  <c r="AR140" i="9" s="1"/>
  <c r="W140" i="9"/>
  <c r="Y140" i="9" s="1"/>
  <c r="BJ229" i="9"/>
  <c r="BH229" i="9"/>
  <c r="BI229" i="9" s="1"/>
  <c r="BK229" i="9" s="1"/>
  <c r="CV260" i="9"/>
  <c r="CT260" i="9"/>
  <c r="CU260" i="9" s="1"/>
  <c r="CW260" i="9" s="1"/>
  <c r="DM99" i="9"/>
  <c r="DN99" i="9" s="1"/>
  <c r="DP99" i="9" s="1"/>
  <c r="DO99" i="9"/>
  <c r="AQ37" i="9"/>
  <c r="AO37" i="9"/>
  <c r="AP37" i="9" s="1"/>
  <c r="AR37" i="9" s="1"/>
  <c r="W37" i="9"/>
  <c r="Y37" i="9" s="1"/>
  <c r="AQ130" i="9"/>
  <c r="AO130" i="9"/>
  <c r="AP130" i="9" s="1"/>
  <c r="AR130" i="9" s="1"/>
  <c r="W130" i="9"/>
  <c r="Y130" i="9" s="1"/>
  <c r="CC176" i="9"/>
  <c r="CA176" i="9"/>
  <c r="CB176" i="9" s="1"/>
  <c r="CD176" i="9" s="1"/>
  <c r="EH213" i="9"/>
  <c r="EF213" i="9"/>
  <c r="EG213" i="9" s="1"/>
  <c r="EI213" i="9" s="1"/>
  <c r="BJ102" i="9"/>
  <c r="BH102" i="9"/>
  <c r="BI102" i="9" s="1"/>
  <c r="BK102" i="9" s="1"/>
  <c r="CT96" i="9"/>
  <c r="CU96" i="9" s="1"/>
  <c r="CW96" i="9" s="1"/>
  <c r="CV96" i="9"/>
  <c r="DO138" i="9"/>
  <c r="DM138" i="9"/>
  <c r="DN138" i="9" s="1"/>
  <c r="DP138" i="9" s="1"/>
  <c r="BH260" i="9"/>
  <c r="BI260" i="9" s="1"/>
  <c r="BK260" i="9" s="1"/>
  <c r="BJ260" i="9"/>
  <c r="EH294" i="9"/>
  <c r="EF294" i="9"/>
  <c r="EG294" i="9" s="1"/>
  <c r="EI294" i="9" s="1"/>
  <c r="CV155" i="9"/>
  <c r="CT155" i="9"/>
  <c r="CU155" i="9" s="1"/>
  <c r="CW155" i="9" s="1"/>
  <c r="DM32" i="9"/>
  <c r="DN32" i="9" s="1"/>
  <c r="DP32" i="9" s="1"/>
  <c r="DO32" i="9"/>
  <c r="FA83" i="9"/>
  <c r="EY83" i="9"/>
  <c r="EZ83" i="9" s="1"/>
  <c r="FB83" i="9" s="1"/>
  <c r="EH165" i="9"/>
  <c r="EF165" i="9"/>
  <c r="EG165" i="9" s="1"/>
  <c r="EI165" i="9" s="1"/>
  <c r="BJ191" i="9"/>
  <c r="BH191" i="9"/>
  <c r="BI191" i="9" s="1"/>
  <c r="BK191" i="9" s="1"/>
  <c r="BJ265" i="9"/>
  <c r="BH265" i="9"/>
  <c r="BI265" i="9" s="1"/>
  <c r="BK265" i="9" s="1"/>
  <c r="EH343" i="9"/>
  <c r="EF343" i="9"/>
  <c r="EG343" i="9" s="1"/>
  <c r="EI343" i="9" s="1"/>
  <c r="BJ363" i="9"/>
  <c r="BH363" i="9"/>
  <c r="BI363" i="9" s="1"/>
  <c r="BK363" i="9" s="1"/>
  <c r="DM322" i="9"/>
  <c r="DN322" i="9" s="1"/>
  <c r="DP322" i="9" s="1"/>
  <c r="DO322" i="9"/>
  <c r="DO324" i="9"/>
  <c r="DM324" i="9"/>
  <c r="DN324" i="9" s="1"/>
  <c r="DP324" i="9" s="1"/>
  <c r="DM359" i="9"/>
  <c r="DN359" i="9" s="1"/>
  <c r="DP359" i="9" s="1"/>
  <c r="DO359" i="9"/>
  <c r="W59" i="9"/>
  <c r="Y59" i="9" s="1"/>
  <c r="AO59" i="9"/>
  <c r="AP59" i="9" s="1"/>
  <c r="AR59" i="9" s="1"/>
  <c r="AQ59" i="9"/>
  <c r="EF92" i="9"/>
  <c r="EG92" i="9" s="1"/>
  <c r="EI92" i="9" s="1"/>
  <c r="EH92" i="9"/>
  <c r="EQ20" i="12"/>
  <c r="ER20" i="12"/>
  <c r="ES20" i="12"/>
  <c r="CA31" i="12"/>
  <c r="CB31" i="12" s="1"/>
  <c r="CD31" i="12" s="1"/>
  <c r="CC31" i="12"/>
  <c r="EY88" i="12"/>
  <c r="EZ88" i="12" s="1"/>
  <c r="FB88" i="12" s="1"/>
  <c r="FA88" i="12"/>
  <c r="AQ293" i="12"/>
  <c r="AO293" i="12"/>
  <c r="AP293" i="12" s="1"/>
  <c r="AR293" i="12" s="1"/>
  <c r="W293" i="12"/>
  <c r="Y293" i="12" s="1"/>
  <c r="DM101" i="12"/>
  <c r="DN101" i="12" s="1"/>
  <c r="DP101" i="12" s="1"/>
  <c r="DO101" i="12"/>
  <c r="CT257" i="12"/>
  <c r="CU257" i="12" s="1"/>
  <c r="CW257" i="12" s="1"/>
  <c r="CV257" i="12"/>
  <c r="CV33" i="12"/>
  <c r="CT33" i="12"/>
  <c r="CU33" i="12" s="1"/>
  <c r="CW33" i="12" s="1"/>
  <c r="CC314" i="12"/>
  <c r="CA314" i="12"/>
  <c r="CB314" i="12" s="1"/>
  <c r="CD314" i="12" s="1"/>
  <c r="EH90" i="12"/>
  <c r="EF90" i="12"/>
  <c r="EG90" i="12" s="1"/>
  <c r="EI90" i="12" s="1"/>
  <c r="BJ361" i="12"/>
  <c r="BH361" i="12"/>
  <c r="BI361" i="12" s="1"/>
  <c r="BK361" i="12" s="1"/>
  <c r="BH68" i="12"/>
  <c r="BI68" i="12" s="1"/>
  <c r="BK68" i="12" s="1"/>
  <c r="BJ68" i="12"/>
  <c r="EH26" i="12"/>
  <c r="EF26" i="12"/>
  <c r="EG26" i="12" s="1"/>
  <c r="EI26" i="12" s="1"/>
  <c r="AQ139" i="12"/>
  <c r="AO139" i="12"/>
  <c r="AP139" i="12" s="1"/>
  <c r="AR139" i="12" s="1"/>
  <c r="W139" i="12"/>
  <c r="Y139" i="12" s="1"/>
  <c r="BJ105" i="12"/>
  <c r="BH105" i="12"/>
  <c r="BI105" i="12" s="1"/>
  <c r="BK105" i="12" s="1"/>
  <c r="FA142" i="12"/>
  <c r="EY142" i="12"/>
  <c r="EZ142" i="12" s="1"/>
  <c r="FB142" i="12" s="1"/>
  <c r="DO259" i="12"/>
  <c r="DM259" i="12"/>
  <c r="DN259" i="12" s="1"/>
  <c r="DP259" i="12" s="1"/>
  <c r="CA61" i="12"/>
  <c r="CB61" i="12" s="1"/>
  <c r="CD61" i="12" s="1"/>
  <c r="CC61" i="12"/>
  <c r="FA123" i="12"/>
  <c r="EY123" i="12"/>
  <c r="EZ123" i="12" s="1"/>
  <c r="FB123" i="12" s="1"/>
  <c r="CV189" i="12"/>
  <c r="CT189" i="12"/>
  <c r="CU189" i="12" s="1"/>
  <c r="CW189" i="12" s="1"/>
  <c r="AO262" i="12"/>
  <c r="AP262" i="12" s="1"/>
  <c r="AR262" i="12" s="1"/>
  <c r="AQ262" i="12"/>
  <c r="W262" i="12"/>
  <c r="Y262" i="12" s="1"/>
  <c r="CT313" i="12"/>
  <c r="CU313" i="12" s="1"/>
  <c r="CW313" i="12" s="1"/>
  <c r="CV313" i="12"/>
  <c r="CT79" i="12"/>
  <c r="CU79" i="12" s="1"/>
  <c r="CW79" i="12" s="1"/>
  <c r="CV79" i="12"/>
  <c r="EH140" i="12"/>
  <c r="EF140" i="12"/>
  <c r="EG140" i="12" s="1"/>
  <c r="EI140" i="12" s="1"/>
  <c r="EH202" i="12"/>
  <c r="EF202" i="12"/>
  <c r="EG202" i="12" s="1"/>
  <c r="EI202" i="12" s="1"/>
  <c r="EF248" i="12"/>
  <c r="EG248" i="12" s="1"/>
  <c r="EI248" i="12" s="1"/>
  <c r="EH248" i="12"/>
  <c r="AQ305" i="12"/>
  <c r="AO305" i="12"/>
  <c r="AP305" i="12" s="1"/>
  <c r="AR305" i="12" s="1"/>
  <c r="W305" i="12"/>
  <c r="Y305" i="12" s="1"/>
  <c r="CC125" i="12"/>
  <c r="CA125" i="12"/>
  <c r="CB125" i="12" s="1"/>
  <c r="CD125" i="12" s="1"/>
  <c r="DO168" i="12"/>
  <c r="DM168" i="12"/>
  <c r="DN168" i="12" s="1"/>
  <c r="DP168" i="12" s="1"/>
  <c r="DO239" i="12"/>
  <c r="DM239" i="12"/>
  <c r="DN239" i="12" s="1"/>
  <c r="DP239" i="12" s="1"/>
  <c r="FA314" i="12"/>
  <c r="EY314" i="12"/>
  <c r="EZ314" i="12" s="1"/>
  <c r="FB314" i="12" s="1"/>
  <c r="AQ356" i="12"/>
  <c r="AO356" i="12"/>
  <c r="AP356" i="12" s="1"/>
  <c r="AR356" i="12" s="1"/>
  <c r="W356" i="12"/>
  <c r="Y356" i="12" s="1"/>
  <c r="BJ92" i="12"/>
  <c r="BH92" i="12"/>
  <c r="BI92" i="12" s="1"/>
  <c r="BK92" i="12" s="1"/>
  <c r="AO137" i="12"/>
  <c r="AP137" i="12" s="1"/>
  <c r="AR137" i="12" s="1"/>
  <c r="AQ137" i="12"/>
  <c r="W137" i="12"/>
  <c r="Y137" i="12" s="1"/>
  <c r="BJ194" i="12"/>
  <c r="BH194" i="12"/>
  <c r="BI194" i="12" s="1"/>
  <c r="BK194" i="12" s="1"/>
  <c r="BJ254" i="12"/>
  <c r="BH254" i="12"/>
  <c r="BI254" i="12" s="1"/>
  <c r="BK254" i="12" s="1"/>
  <c r="DO295" i="12"/>
  <c r="DM295" i="12"/>
  <c r="DN295" i="12" s="1"/>
  <c r="DP295" i="12" s="1"/>
  <c r="BH331" i="12"/>
  <c r="BI331" i="12" s="1"/>
  <c r="BK331" i="12" s="1"/>
  <c r="BJ331" i="12"/>
  <c r="AO79" i="12"/>
  <c r="AP79" i="12" s="1"/>
  <c r="AR79" i="12" s="1"/>
  <c r="AQ79" i="12"/>
  <c r="W79" i="12"/>
  <c r="Y79" i="12" s="1"/>
  <c r="AO149" i="12"/>
  <c r="AP149" i="12" s="1"/>
  <c r="AR149" i="12" s="1"/>
  <c r="AQ149" i="12"/>
  <c r="W149" i="12"/>
  <c r="Y149" i="12" s="1"/>
  <c r="EH180" i="12"/>
  <c r="EF180" i="12"/>
  <c r="EG180" i="12" s="1"/>
  <c r="EI180" i="12" s="1"/>
  <c r="AQ228" i="12"/>
  <c r="AO228" i="12"/>
  <c r="AP228" i="12" s="1"/>
  <c r="AR228" i="12" s="1"/>
  <c r="W228" i="12"/>
  <c r="Y228" i="12" s="1"/>
  <c r="EY287" i="12"/>
  <c r="EZ287" i="12" s="1"/>
  <c r="FB287" i="12" s="1"/>
  <c r="FA287" i="12"/>
  <c r="FA311" i="12"/>
  <c r="EY311" i="12"/>
  <c r="EZ311" i="12" s="1"/>
  <c r="FB311" i="12" s="1"/>
  <c r="EH335" i="12"/>
  <c r="EF335" i="12"/>
  <c r="EG335" i="12" s="1"/>
  <c r="EI335" i="12" s="1"/>
  <c r="BJ87" i="12"/>
  <c r="BH87" i="12"/>
  <c r="BI87" i="12" s="1"/>
  <c r="BK87" i="12" s="1"/>
  <c r="EH141" i="12"/>
  <c r="EF141" i="12"/>
  <c r="EG141" i="12" s="1"/>
  <c r="EI141" i="12" s="1"/>
  <c r="EH179" i="12"/>
  <c r="EF179" i="12"/>
  <c r="EG179" i="12" s="1"/>
  <c r="EI179" i="12" s="1"/>
  <c r="CT236" i="12"/>
  <c r="CU236" i="12" s="1"/>
  <c r="CW236" i="12" s="1"/>
  <c r="CV236" i="12"/>
  <c r="DO276" i="12"/>
  <c r="DM276" i="12"/>
  <c r="DN276" i="12" s="1"/>
  <c r="DP276" i="12" s="1"/>
  <c r="AQ315" i="12"/>
  <c r="AO315" i="12"/>
  <c r="AP315" i="12" s="1"/>
  <c r="AR315" i="12" s="1"/>
  <c r="W315" i="12"/>
  <c r="Y315" i="12" s="1"/>
  <c r="BJ345" i="12"/>
  <c r="BH345" i="12"/>
  <c r="BI345" i="12" s="1"/>
  <c r="BK345" i="12" s="1"/>
  <c r="FJ20" i="12"/>
  <c r="FL20" i="12"/>
  <c r="FK20" i="12"/>
  <c r="CC99" i="9"/>
  <c r="CA99" i="9"/>
  <c r="CB99" i="9" s="1"/>
  <c r="CD99" i="9" s="1"/>
  <c r="CC182" i="9"/>
  <c r="CA182" i="9"/>
  <c r="CB182" i="9" s="1"/>
  <c r="CD182" i="9" s="1"/>
  <c r="DO228" i="9"/>
  <c r="DM228" i="9"/>
  <c r="DN228" i="9" s="1"/>
  <c r="DP228" i="9" s="1"/>
  <c r="DO269" i="9"/>
  <c r="DM269" i="9"/>
  <c r="DN269" i="9" s="1"/>
  <c r="DP269" i="9" s="1"/>
  <c r="CV296" i="9"/>
  <c r="CT296" i="9"/>
  <c r="CU296" i="9" s="1"/>
  <c r="CW296" i="9" s="1"/>
  <c r="CA75" i="9"/>
  <c r="CB75" i="9" s="1"/>
  <c r="CD75" i="9" s="1"/>
  <c r="CC75" i="9"/>
  <c r="DM40" i="9"/>
  <c r="DN40" i="9" s="1"/>
  <c r="DP40" i="9" s="1"/>
  <c r="DO40" i="9"/>
  <c r="CC90" i="9"/>
  <c r="CA90" i="9"/>
  <c r="CB90" i="9" s="1"/>
  <c r="CD90" i="9" s="1"/>
  <c r="AQ90" i="9"/>
  <c r="AO90" i="9"/>
  <c r="AP90" i="9" s="1"/>
  <c r="AR90" i="9" s="1"/>
  <c r="W90" i="9"/>
  <c r="Y90" i="9" s="1"/>
  <c r="AO93" i="9"/>
  <c r="AP93" i="9" s="1"/>
  <c r="AR93" i="9" s="1"/>
  <c r="AQ93" i="9"/>
  <c r="W93" i="9"/>
  <c r="Y93" i="9" s="1"/>
  <c r="BJ91" i="9"/>
  <c r="BH91" i="9"/>
  <c r="BI91" i="9" s="1"/>
  <c r="BK91" i="9" s="1"/>
  <c r="EY100" i="9"/>
  <c r="EZ100" i="9" s="1"/>
  <c r="FB100" i="9" s="1"/>
  <c r="FA100" i="9"/>
  <c r="DO111" i="9"/>
  <c r="DM111" i="9"/>
  <c r="DN111" i="9" s="1"/>
  <c r="DP111" i="9" s="1"/>
  <c r="FA114" i="9"/>
  <c r="EY114" i="9"/>
  <c r="EZ114" i="9" s="1"/>
  <c r="FB114" i="9" s="1"/>
  <c r="BJ123" i="9"/>
  <c r="BH123" i="9"/>
  <c r="BI123" i="9" s="1"/>
  <c r="BK123" i="9" s="1"/>
  <c r="BH129" i="9"/>
  <c r="BI129" i="9" s="1"/>
  <c r="BK129" i="9" s="1"/>
  <c r="BJ129" i="9"/>
  <c r="DO120" i="9"/>
  <c r="DM120" i="9"/>
  <c r="DN120" i="9" s="1"/>
  <c r="DP120" i="9" s="1"/>
  <c r="EH138" i="9"/>
  <c r="EF138" i="9"/>
  <c r="EG138" i="9" s="1"/>
  <c r="EI138" i="9" s="1"/>
  <c r="FA164" i="9"/>
  <c r="EY164" i="9"/>
  <c r="EZ164" i="9" s="1"/>
  <c r="FB164" i="9" s="1"/>
  <c r="DO164" i="9"/>
  <c r="DM164" i="9"/>
  <c r="DN164" i="9" s="1"/>
  <c r="DP164" i="9" s="1"/>
  <c r="CV208" i="9"/>
  <c r="CT208" i="9"/>
  <c r="CU208" i="9" s="1"/>
  <c r="CW208" i="9" s="1"/>
  <c r="BJ207" i="9"/>
  <c r="BH207" i="9"/>
  <c r="BI207" i="9" s="1"/>
  <c r="BK207" i="9" s="1"/>
  <c r="BH197" i="9"/>
  <c r="BI197" i="9" s="1"/>
  <c r="BK197" i="9" s="1"/>
  <c r="BJ197" i="9"/>
  <c r="DO229" i="9"/>
  <c r="DM229" i="9"/>
  <c r="DN229" i="9" s="1"/>
  <c r="DP229" i="9" s="1"/>
  <c r="BH234" i="9"/>
  <c r="BI234" i="9" s="1"/>
  <c r="BK234" i="9" s="1"/>
  <c r="BJ234" i="9"/>
  <c r="BH232" i="9"/>
  <c r="BI232" i="9" s="1"/>
  <c r="BK232" i="9" s="1"/>
  <c r="BJ232" i="9"/>
  <c r="EH245" i="9"/>
  <c r="EF245" i="9"/>
  <c r="EG245" i="9" s="1"/>
  <c r="EI245" i="9" s="1"/>
  <c r="EY244" i="9"/>
  <c r="EZ244" i="9" s="1"/>
  <c r="FB244" i="9" s="1"/>
  <c r="FA244" i="9"/>
  <c r="CV265" i="9"/>
  <c r="CT265" i="9"/>
  <c r="CU265" i="9" s="1"/>
  <c r="CW265" i="9" s="1"/>
  <c r="FA263" i="9"/>
  <c r="EY263" i="9"/>
  <c r="EZ263" i="9" s="1"/>
  <c r="FB263" i="9" s="1"/>
  <c r="CV276" i="9"/>
  <c r="CT276" i="9"/>
  <c r="CU276" i="9" s="1"/>
  <c r="CW276" i="9" s="1"/>
  <c r="CT281" i="9"/>
  <c r="CU281" i="9" s="1"/>
  <c r="CW281" i="9" s="1"/>
  <c r="CV281" i="9"/>
  <c r="FA289" i="9"/>
  <c r="EY289" i="9"/>
  <c r="EZ289" i="9" s="1"/>
  <c r="FB289" i="9" s="1"/>
  <c r="BH313" i="9"/>
  <c r="BI313" i="9" s="1"/>
  <c r="BK313" i="9" s="1"/>
  <c r="BJ313" i="9"/>
  <c r="BJ340" i="9"/>
  <c r="BH340" i="9"/>
  <c r="BI340" i="9" s="1"/>
  <c r="BK340" i="9" s="1"/>
  <c r="CC104" i="9"/>
  <c r="CA104" i="9"/>
  <c r="CB104" i="9" s="1"/>
  <c r="CD104" i="9" s="1"/>
  <c r="EH122" i="9"/>
  <c r="EF122" i="9"/>
  <c r="EG122" i="9" s="1"/>
  <c r="EI122" i="9" s="1"/>
  <c r="CV171" i="9"/>
  <c r="CT171" i="9"/>
  <c r="CU171" i="9" s="1"/>
  <c r="CW171" i="9" s="1"/>
  <c r="EY196" i="9"/>
  <c r="EZ196" i="9" s="1"/>
  <c r="FB196" i="9" s="1"/>
  <c r="FA196" i="9"/>
  <c r="CV244" i="9"/>
  <c r="CT244" i="9"/>
  <c r="CU244" i="9" s="1"/>
  <c r="CW244" i="9" s="1"/>
  <c r="EH284" i="9"/>
  <c r="EF284" i="9"/>
  <c r="EG284" i="9" s="1"/>
  <c r="EI284" i="9" s="1"/>
  <c r="CT328" i="9"/>
  <c r="CU328" i="9" s="1"/>
  <c r="CW328" i="9" s="1"/>
  <c r="CV328" i="9"/>
  <c r="CC41" i="9"/>
  <c r="CA41" i="9"/>
  <c r="CB41" i="9" s="1"/>
  <c r="CD41" i="9" s="1"/>
  <c r="BJ23" i="9"/>
  <c r="BH23" i="9"/>
  <c r="BI23" i="9" s="1"/>
  <c r="BK23" i="9" s="1"/>
  <c r="EH28" i="9"/>
  <c r="EF28" i="9"/>
  <c r="EG28" i="9" s="1"/>
  <c r="EI28" i="9" s="1"/>
  <c r="CT75" i="9"/>
  <c r="CU75" i="9" s="1"/>
  <c r="CW75" i="9" s="1"/>
  <c r="CV75" i="9"/>
  <c r="DO76" i="9"/>
  <c r="DM76" i="9"/>
  <c r="DN76" i="9" s="1"/>
  <c r="DP76" i="9" s="1"/>
  <c r="EY81" i="9"/>
  <c r="EZ81" i="9" s="1"/>
  <c r="FB81" i="9" s="1"/>
  <c r="FA81" i="9"/>
  <c r="CC84" i="9"/>
  <c r="CA84" i="9"/>
  <c r="CB84" i="9" s="1"/>
  <c r="CD84" i="9" s="1"/>
  <c r="BJ99" i="9"/>
  <c r="BH99" i="9"/>
  <c r="BI99" i="9" s="1"/>
  <c r="BK99" i="9" s="1"/>
  <c r="BJ147" i="9"/>
  <c r="BH147" i="9"/>
  <c r="BI147" i="9" s="1"/>
  <c r="BK147" i="9" s="1"/>
  <c r="FA138" i="9"/>
  <c r="EY138" i="9"/>
  <c r="EZ138" i="9" s="1"/>
  <c r="FB138" i="9" s="1"/>
  <c r="BJ151" i="9"/>
  <c r="BH151" i="9"/>
  <c r="BI151" i="9" s="1"/>
  <c r="BK151" i="9" s="1"/>
  <c r="BH159" i="9"/>
  <c r="BI159" i="9" s="1"/>
  <c r="BK159" i="9" s="1"/>
  <c r="BJ159" i="9"/>
  <c r="BJ196" i="9"/>
  <c r="BH196" i="9"/>
  <c r="BI196" i="9" s="1"/>
  <c r="BK196" i="9" s="1"/>
  <c r="AQ192" i="9"/>
  <c r="AO192" i="9"/>
  <c r="AP192" i="9" s="1"/>
  <c r="AR192" i="9" s="1"/>
  <c r="W192" i="9"/>
  <c r="Y192" i="9" s="1"/>
  <c r="FA192" i="9"/>
  <c r="EY192" i="9"/>
  <c r="EZ192" i="9" s="1"/>
  <c r="FB192" i="9" s="1"/>
  <c r="CC186" i="9"/>
  <c r="CA186" i="9"/>
  <c r="CB186" i="9" s="1"/>
  <c r="CD186" i="9" s="1"/>
  <c r="DM182" i="9"/>
  <c r="DN182" i="9" s="1"/>
  <c r="DP182" i="9" s="1"/>
  <c r="DO182" i="9"/>
  <c r="DO219" i="9"/>
  <c r="DM219" i="9"/>
  <c r="DN219" i="9" s="1"/>
  <c r="DP219" i="9" s="1"/>
  <c r="DO217" i="9"/>
  <c r="DM217" i="9"/>
  <c r="DN217" i="9" s="1"/>
  <c r="DP217" i="9" s="1"/>
  <c r="CC245" i="9"/>
  <c r="CA245" i="9"/>
  <c r="CB245" i="9" s="1"/>
  <c r="CD245" i="9" s="1"/>
  <c r="BJ246" i="9"/>
  <c r="BH246" i="9"/>
  <c r="BI246" i="9" s="1"/>
  <c r="BK246" i="9" s="1"/>
  <c r="DO277" i="9"/>
  <c r="DM277" i="9"/>
  <c r="DN277" i="9" s="1"/>
  <c r="DP277" i="9" s="1"/>
  <c r="CC260" i="9"/>
  <c r="CA260" i="9"/>
  <c r="CB260" i="9" s="1"/>
  <c r="CD260" i="9" s="1"/>
  <c r="FA260" i="9"/>
  <c r="EY260" i="9"/>
  <c r="EZ260" i="9" s="1"/>
  <c r="FB260" i="9" s="1"/>
  <c r="BJ279" i="9"/>
  <c r="BH279" i="9"/>
  <c r="BI279" i="9" s="1"/>
  <c r="BK279" i="9" s="1"/>
  <c r="DM286" i="9"/>
  <c r="DN286" i="9" s="1"/>
  <c r="DP286" i="9" s="1"/>
  <c r="DO286" i="9"/>
  <c r="EY290" i="9"/>
  <c r="EZ290" i="9" s="1"/>
  <c r="FB290" i="9" s="1"/>
  <c r="FA290" i="9"/>
  <c r="BJ303" i="9"/>
  <c r="BH303" i="9"/>
  <c r="BI303" i="9" s="1"/>
  <c r="BK303" i="9" s="1"/>
  <c r="FA311" i="9"/>
  <c r="EY311" i="9"/>
  <c r="EZ311" i="9" s="1"/>
  <c r="FB311" i="9" s="1"/>
  <c r="DO332" i="9"/>
  <c r="DM332" i="9"/>
  <c r="DN332" i="9" s="1"/>
  <c r="DP332" i="9" s="1"/>
  <c r="FA232" i="9"/>
  <c r="EY232" i="9"/>
  <c r="EZ232" i="9" s="1"/>
  <c r="FB232" i="9" s="1"/>
  <c r="AQ53" i="9"/>
  <c r="AO53" i="9"/>
  <c r="AP53" i="9" s="1"/>
  <c r="AR53" i="9" s="1"/>
  <c r="W53" i="9"/>
  <c r="Y53" i="9" s="1"/>
  <c r="CA26" i="9"/>
  <c r="CB26" i="9" s="1"/>
  <c r="CD26" i="9" s="1"/>
  <c r="CC26" i="9"/>
  <c r="DM17" i="9"/>
  <c r="DN17" i="9" s="1"/>
  <c r="DP17" i="9" s="1"/>
  <c r="DO17" i="9"/>
  <c r="FA68" i="9"/>
  <c r="EY68" i="9"/>
  <c r="EZ68" i="9" s="1"/>
  <c r="FB68" i="9" s="1"/>
  <c r="CC71" i="9"/>
  <c r="CA71" i="9"/>
  <c r="CB71" i="9" s="1"/>
  <c r="CD71" i="9" s="1"/>
  <c r="BJ74" i="9"/>
  <c r="BH74" i="9"/>
  <c r="BI74" i="9" s="1"/>
  <c r="BK74" i="9" s="1"/>
  <c r="EH77" i="9"/>
  <c r="EF77" i="9"/>
  <c r="EG77" i="9" s="1"/>
  <c r="EI77" i="9" s="1"/>
  <c r="CC143" i="9"/>
  <c r="CA143" i="9"/>
  <c r="CB143" i="9" s="1"/>
  <c r="CD143" i="9" s="1"/>
  <c r="EF126" i="9"/>
  <c r="EG126" i="9" s="1"/>
  <c r="EI126" i="9" s="1"/>
  <c r="EH126" i="9"/>
  <c r="EH141" i="9"/>
  <c r="EF141" i="9"/>
  <c r="EG141" i="9" s="1"/>
  <c r="EI141" i="9" s="1"/>
  <c r="EY145" i="9"/>
  <c r="EZ145" i="9" s="1"/>
  <c r="FB145" i="9" s="1"/>
  <c r="FA145" i="9"/>
  <c r="EF147" i="9"/>
  <c r="EG147" i="9" s="1"/>
  <c r="EI147" i="9" s="1"/>
  <c r="EH147" i="9"/>
  <c r="FA173" i="9"/>
  <c r="EY173" i="9"/>
  <c r="EZ173" i="9" s="1"/>
  <c r="FB173" i="9" s="1"/>
  <c r="CV185" i="9"/>
  <c r="CT185" i="9"/>
  <c r="CU185" i="9" s="1"/>
  <c r="CW185" i="9" s="1"/>
  <c r="BH185" i="9"/>
  <c r="BI185" i="9" s="1"/>
  <c r="BK185" i="9" s="1"/>
  <c r="BJ185" i="9"/>
  <c r="EF179" i="9"/>
  <c r="EG179" i="9" s="1"/>
  <c r="EI179" i="9" s="1"/>
  <c r="EH179" i="9"/>
  <c r="BH206" i="9"/>
  <c r="BI206" i="9" s="1"/>
  <c r="BK206" i="9" s="1"/>
  <c r="BJ206" i="9"/>
  <c r="CA207" i="9"/>
  <c r="CB207" i="9" s="1"/>
  <c r="CD207" i="9" s="1"/>
  <c r="CC207" i="9"/>
  <c r="CA246" i="9"/>
  <c r="CB246" i="9" s="1"/>
  <c r="CD246" i="9" s="1"/>
  <c r="CC246" i="9"/>
  <c r="DO239" i="9"/>
  <c r="DM239" i="9"/>
  <c r="DN239" i="9" s="1"/>
  <c r="DP239" i="9" s="1"/>
  <c r="CC254" i="9"/>
  <c r="CA254" i="9"/>
  <c r="CB254" i="9" s="1"/>
  <c r="CD254" i="9" s="1"/>
  <c r="AQ267" i="9"/>
  <c r="AO267" i="9"/>
  <c r="AP267" i="9" s="1"/>
  <c r="AR267" i="9" s="1"/>
  <c r="W267" i="9"/>
  <c r="Y267" i="9" s="1"/>
  <c r="DO272" i="9"/>
  <c r="DM272" i="9"/>
  <c r="DN272" i="9" s="1"/>
  <c r="DP272" i="9" s="1"/>
  <c r="EH296" i="9"/>
  <c r="EF296" i="9"/>
  <c r="EG296" i="9" s="1"/>
  <c r="EI296" i="9" s="1"/>
  <c r="CC307" i="9"/>
  <c r="CA307" i="9"/>
  <c r="CB307" i="9" s="1"/>
  <c r="CD307" i="9" s="1"/>
  <c r="AO304" i="9"/>
  <c r="AP304" i="9" s="1"/>
  <c r="AR304" i="9" s="1"/>
  <c r="AQ304" i="9"/>
  <c r="W304" i="9"/>
  <c r="Y304" i="9" s="1"/>
  <c r="DM319" i="9"/>
  <c r="DN319" i="9" s="1"/>
  <c r="DP319" i="9" s="1"/>
  <c r="DO319" i="9"/>
  <c r="EF26" i="9"/>
  <c r="EG26" i="9" s="1"/>
  <c r="EI26" i="9" s="1"/>
  <c r="EH26" i="9"/>
  <c r="EH109" i="9"/>
  <c r="EF109" i="9"/>
  <c r="EG109" i="9" s="1"/>
  <c r="EI109" i="9" s="1"/>
  <c r="EF163" i="9"/>
  <c r="EG163" i="9" s="1"/>
  <c r="EI163" i="9" s="1"/>
  <c r="EH163" i="9"/>
  <c r="AO182" i="9"/>
  <c r="AP182" i="9" s="1"/>
  <c r="AR182" i="9" s="1"/>
  <c r="AQ182" i="9"/>
  <c r="W182" i="9"/>
  <c r="Y182" i="9" s="1"/>
  <c r="CV236" i="9"/>
  <c r="CT236" i="9"/>
  <c r="CU236" i="9" s="1"/>
  <c r="CW236" i="9" s="1"/>
  <c r="CV309" i="9"/>
  <c r="CT309" i="9"/>
  <c r="CU309" i="9" s="1"/>
  <c r="CW309" i="9" s="1"/>
  <c r="CT68" i="9"/>
  <c r="CU68" i="9" s="1"/>
  <c r="CW68" i="9" s="1"/>
  <c r="CV68" i="9"/>
  <c r="CV115" i="9"/>
  <c r="CT115" i="9"/>
  <c r="CU115" i="9" s="1"/>
  <c r="CW115" i="9" s="1"/>
  <c r="BJ85" i="9"/>
  <c r="BH85" i="9"/>
  <c r="BI85" i="9" s="1"/>
  <c r="BK85" i="9" s="1"/>
  <c r="EH88" i="9"/>
  <c r="EF88" i="9"/>
  <c r="EG88" i="9" s="1"/>
  <c r="EI88" i="9" s="1"/>
  <c r="CA86" i="9"/>
  <c r="CB86" i="9" s="1"/>
  <c r="CD86" i="9" s="1"/>
  <c r="CC86" i="9"/>
  <c r="DO91" i="9"/>
  <c r="DM91" i="9"/>
  <c r="DN91" i="9" s="1"/>
  <c r="DP91" i="9" s="1"/>
  <c r="BJ96" i="9"/>
  <c r="BH96" i="9"/>
  <c r="BI96" i="9" s="1"/>
  <c r="BK96" i="9" s="1"/>
  <c r="EH106" i="9"/>
  <c r="EF106" i="9"/>
  <c r="EG106" i="9" s="1"/>
  <c r="EI106" i="9" s="1"/>
  <c r="CC118" i="9"/>
  <c r="CA118" i="9"/>
  <c r="CB118" i="9" s="1"/>
  <c r="CD118" i="9" s="1"/>
  <c r="CC124" i="9"/>
  <c r="CA124" i="9"/>
  <c r="CB124" i="9" s="1"/>
  <c r="CD124" i="9" s="1"/>
  <c r="CT173" i="9"/>
  <c r="CU173" i="9" s="1"/>
  <c r="CW173" i="9" s="1"/>
  <c r="CV173" i="9"/>
  <c r="AQ133" i="9"/>
  <c r="AO133" i="9"/>
  <c r="AP133" i="9" s="1"/>
  <c r="AR133" i="9" s="1"/>
  <c r="W133" i="9"/>
  <c r="Y133" i="9" s="1"/>
  <c r="DO197" i="9"/>
  <c r="DM197" i="9"/>
  <c r="DN197" i="9" s="1"/>
  <c r="DP197" i="9" s="1"/>
  <c r="EF159" i="9"/>
  <c r="EG159" i="9" s="1"/>
  <c r="EI159" i="9" s="1"/>
  <c r="EH159" i="9"/>
  <c r="FA202" i="9"/>
  <c r="EY202" i="9"/>
  <c r="EZ202" i="9" s="1"/>
  <c r="FB202" i="9" s="1"/>
  <c r="DO202" i="9"/>
  <c r="DM202" i="9"/>
  <c r="DN202" i="9" s="1"/>
  <c r="DP202" i="9" s="1"/>
  <c r="AQ196" i="9"/>
  <c r="AO196" i="9"/>
  <c r="AP196" i="9" s="1"/>
  <c r="AR196" i="9" s="1"/>
  <c r="W196" i="9"/>
  <c r="Y196" i="9" s="1"/>
  <c r="CA192" i="9"/>
  <c r="CB192" i="9" s="1"/>
  <c r="CD192" i="9" s="1"/>
  <c r="CC192" i="9"/>
  <c r="EH224" i="9"/>
  <c r="EF224" i="9"/>
  <c r="EG224" i="9" s="1"/>
  <c r="EI224" i="9" s="1"/>
  <c r="CC229" i="9"/>
  <c r="CA229" i="9"/>
  <c r="CB229" i="9" s="1"/>
  <c r="CD229" i="9" s="1"/>
  <c r="CC227" i="9"/>
  <c r="CA227" i="9"/>
  <c r="CB227" i="9" s="1"/>
  <c r="CD227" i="9" s="1"/>
  <c r="FA240" i="9"/>
  <c r="EY240" i="9"/>
  <c r="EZ240" i="9" s="1"/>
  <c r="FB240" i="9" s="1"/>
  <c r="CV256" i="9"/>
  <c r="CT256" i="9"/>
  <c r="CU256" i="9" s="1"/>
  <c r="CW256" i="9" s="1"/>
  <c r="FA286" i="9"/>
  <c r="EY286" i="9"/>
  <c r="EZ286" i="9" s="1"/>
  <c r="FB286" i="9" s="1"/>
  <c r="CA270" i="9"/>
  <c r="CB270" i="9" s="1"/>
  <c r="CD270" i="9" s="1"/>
  <c r="CC270" i="9"/>
  <c r="DO271" i="9"/>
  <c r="DM271" i="9"/>
  <c r="DN271" i="9" s="1"/>
  <c r="DP271" i="9" s="1"/>
  <c r="CA287" i="9"/>
  <c r="CB287" i="9" s="1"/>
  <c r="CD287" i="9" s="1"/>
  <c r="CC287" i="9"/>
  <c r="EF300" i="9"/>
  <c r="EG300" i="9" s="1"/>
  <c r="EI300" i="9" s="1"/>
  <c r="EH300" i="9"/>
  <c r="AQ311" i="9"/>
  <c r="AO311" i="9"/>
  <c r="AP311" i="9" s="1"/>
  <c r="AR311" i="9" s="1"/>
  <c r="W311" i="9"/>
  <c r="Y311" i="9" s="1"/>
  <c r="CC342" i="9"/>
  <c r="CA342" i="9"/>
  <c r="CB342" i="9" s="1"/>
  <c r="CD342" i="9" s="1"/>
  <c r="CC115" i="9"/>
  <c r="CA115" i="9"/>
  <c r="CB115" i="9" s="1"/>
  <c r="CD115" i="9" s="1"/>
  <c r="DM101" i="9"/>
  <c r="DN101" i="9" s="1"/>
  <c r="DP101" i="9" s="1"/>
  <c r="DO101" i="9"/>
  <c r="CT157" i="9"/>
  <c r="CU157" i="9" s="1"/>
  <c r="CW157" i="9" s="1"/>
  <c r="CV157" i="9"/>
  <c r="CC91" i="9"/>
  <c r="CA91" i="9"/>
  <c r="CB91" i="9" s="1"/>
  <c r="CD91" i="9" s="1"/>
  <c r="BH38" i="9"/>
  <c r="BI38" i="9" s="1"/>
  <c r="BK38" i="9" s="1"/>
  <c r="BJ38" i="9"/>
  <c r="FA22" i="9"/>
  <c r="EY22" i="9"/>
  <c r="EZ22" i="9" s="1"/>
  <c r="FB22" i="9" s="1"/>
  <c r="DO62" i="9"/>
  <c r="DM62" i="9"/>
  <c r="DN62" i="9" s="1"/>
  <c r="DP62" i="9" s="1"/>
  <c r="AQ65" i="9"/>
  <c r="AO65" i="9"/>
  <c r="AP65" i="9" s="1"/>
  <c r="AR65" i="9" s="1"/>
  <c r="W65" i="9"/>
  <c r="Y65" i="9" s="1"/>
  <c r="EH63" i="9"/>
  <c r="EF63" i="9"/>
  <c r="EG63" i="9" s="1"/>
  <c r="EI63" i="9" s="1"/>
  <c r="CV71" i="9"/>
  <c r="CT71" i="9"/>
  <c r="CU71" i="9" s="1"/>
  <c r="CW71" i="9" s="1"/>
  <c r="EY125" i="9"/>
  <c r="EZ125" i="9" s="1"/>
  <c r="FB125" i="9" s="1"/>
  <c r="FA125" i="9"/>
  <c r="CT114" i="9"/>
  <c r="CU114" i="9" s="1"/>
  <c r="CW114" i="9" s="1"/>
  <c r="CV114" i="9"/>
  <c r="AQ129" i="9"/>
  <c r="AO129" i="9"/>
  <c r="AP129" i="9" s="1"/>
  <c r="AR129" i="9" s="1"/>
  <c r="W129" i="9"/>
  <c r="Y129" i="9" s="1"/>
  <c r="CT120" i="9"/>
  <c r="CU120" i="9" s="1"/>
  <c r="CW120" i="9" s="1"/>
  <c r="CV120" i="9"/>
  <c r="DM139" i="9"/>
  <c r="DN139" i="9" s="1"/>
  <c r="DP139" i="9" s="1"/>
  <c r="DO139" i="9"/>
  <c r="CV141" i="9"/>
  <c r="CT141" i="9"/>
  <c r="CU141" i="9" s="1"/>
  <c r="CW141" i="9" s="1"/>
  <c r="DO167" i="9"/>
  <c r="DM167" i="9"/>
  <c r="DN167" i="9" s="1"/>
  <c r="DP167" i="9" s="1"/>
  <c r="EH168" i="9"/>
  <c r="EF168" i="9"/>
  <c r="EG168" i="9" s="1"/>
  <c r="EI168" i="9" s="1"/>
  <c r="CT202" i="9"/>
  <c r="CU202" i="9" s="1"/>
  <c r="CW202" i="9" s="1"/>
  <c r="CV202" i="9"/>
  <c r="DM223" i="9"/>
  <c r="DN223" i="9" s="1"/>
  <c r="DP223" i="9" s="1"/>
  <c r="DO223" i="9"/>
  <c r="DO230" i="9"/>
  <c r="DM230" i="9"/>
  <c r="DN230" i="9" s="1"/>
  <c r="DP230" i="9" s="1"/>
  <c r="CV233" i="9"/>
  <c r="CT233" i="9"/>
  <c r="CU233" i="9" s="1"/>
  <c r="CW233" i="9" s="1"/>
  <c r="FA241" i="9"/>
  <c r="EY241" i="9"/>
  <c r="EZ241" i="9" s="1"/>
  <c r="FB241" i="9" s="1"/>
  <c r="DO243" i="9"/>
  <c r="DM243" i="9"/>
  <c r="DN243" i="9" s="1"/>
  <c r="DP243" i="9" s="1"/>
  <c r="AQ248" i="9"/>
  <c r="AO248" i="9"/>
  <c r="AP248" i="9" s="1"/>
  <c r="AR248" i="9" s="1"/>
  <c r="W248" i="9"/>
  <c r="Y248" i="9" s="1"/>
  <c r="EH262" i="9"/>
  <c r="EF262" i="9"/>
  <c r="EG262" i="9" s="1"/>
  <c r="EI262" i="9" s="1"/>
  <c r="EY261" i="9"/>
  <c r="EZ261" i="9" s="1"/>
  <c r="FB261" i="9" s="1"/>
  <c r="FA261" i="9"/>
  <c r="FA279" i="9"/>
  <c r="EY279" i="9"/>
  <c r="EZ279" i="9" s="1"/>
  <c r="FB279" i="9" s="1"/>
  <c r="CT290" i="9"/>
  <c r="CU290" i="9" s="1"/>
  <c r="CW290" i="9" s="1"/>
  <c r="CV290" i="9"/>
  <c r="FA295" i="9"/>
  <c r="EY295" i="9"/>
  <c r="EZ295" i="9" s="1"/>
  <c r="FB295" i="9" s="1"/>
  <c r="DO312" i="9"/>
  <c r="DM312" i="9"/>
  <c r="DN312" i="9" s="1"/>
  <c r="DP312" i="9" s="1"/>
  <c r="CV322" i="9"/>
  <c r="CT322" i="9"/>
  <c r="CU322" i="9" s="1"/>
  <c r="CW322" i="9" s="1"/>
  <c r="EH25" i="9"/>
  <c r="EF25" i="9"/>
  <c r="EG25" i="9" s="1"/>
  <c r="EI25" i="9" s="1"/>
  <c r="BJ92" i="9"/>
  <c r="BH92" i="9"/>
  <c r="BI92" i="9" s="1"/>
  <c r="BK92" i="9" s="1"/>
  <c r="FA130" i="9"/>
  <c r="EY130" i="9"/>
  <c r="EZ130" i="9" s="1"/>
  <c r="FB130" i="9" s="1"/>
  <c r="FA179" i="9"/>
  <c r="EY179" i="9"/>
  <c r="EZ179" i="9" s="1"/>
  <c r="FB179" i="9" s="1"/>
  <c r="CC210" i="9"/>
  <c r="CA210" i="9"/>
  <c r="CB210" i="9" s="1"/>
  <c r="CD210" i="9" s="1"/>
  <c r="AO280" i="9"/>
  <c r="AP280" i="9" s="1"/>
  <c r="AR280" i="9" s="1"/>
  <c r="AQ280" i="9"/>
  <c r="W280" i="9"/>
  <c r="Y280" i="9" s="1"/>
  <c r="EH41" i="9"/>
  <c r="EF41" i="9"/>
  <c r="EG41" i="9" s="1"/>
  <c r="EI41" i="9" s="1"/>
  <c r="BH22" i="9"/>
  <c r="BI22" i="9" s="1"/>
  <c r="BK22" i="9" s="1"/>
  <c r="BJ22" i="9"/>
  <c r="AO60" i="9"/>
  <c r="AP60" i="9" s="1"/>
  <c r="AR60" i="9" s="1"/>
  <c r="AQ60" i="9"/>
  <c r="W60" i="9"/>
  <c r="Y60" i="9" s="1"/>
  <c r="CV58" i="9"/>
  <c r="CT58" i="9"/>
  <c r="CU58" i="9" s="1"/>
  <c r="CW58" i="9" s="1"/>
  <c r="AQ56" i="9"/>
  <c r="AO56" i="9"/>
  <c r="AP56" i="9" s="1"/>
  <c r="AR56" i="9" s="1"/>
  <c r="W56" i="9"/>
  <c r="Y56" i="9" s="1"/>
  <c r="CA61" i="9"/>
  <c r="CB61" i="9" s="1"/>
  <c r="CD61" i="9" s="1"/>
  <c r="CC61" i="9"/>
  <c r="FA64" i="9"/>
  <c r="EY64" i="9"/>
  <c r="EZ64" i="9" s="1"/>
  <c r="FB64" i="9" s="1"/>
  <c r="FA107" i="9"/>
  <c r="EY107" i="9"/>
  <c r="EZ107" i="9" s="1"/>
  <c r="FB107" i="9" s="1"/>
  <c r="CV122" i="9"/>
  <c r="CT122" i="9"/>
  <c r="CU122" i="9" s="1"/>
  <c r="CW122" i="9" s="1"/>
  <c r="AQ174" i="9"/>
  <c r="AO174" i="9"/>
  <c r="AP174" i="9" s="1"/>
  <c r="AR174" i="9" s="1"/>
  <c r="W174" i="9"/>
  <c r="Y174" i="9" s="1"/>
  <c r="CC123" i="9"/>
  <c r="CA123" i="9"/>
  <c r="CB123" i="9" s="1"/>
  <c r="CD123" i="9" s="1"/>
  <c r="FA134" i="9"/>
  <c r="EY134" i="9"/>
  <c r="EZ134" i="9" s="1"/>
  <c r="FB134" i="9" s="1"/>
  <c r="AQ161" i="9"/>
  <c r="AO161" i="9"/>
  <c r="AP161" i="9" s="1"/>
  <c r="AR161" i="9" s="1"/>
  <c r="W161" i="9"/>
  <c r="Y161" i="9" s="1"/>
  <c r="AO173" i="9"/>
  <c r="AP173" i="9" s="1"/>
  <c r="AR173" i="9" s="1"/>
  <c r="AQ173" i="9"/>
  <c r="W173" i="9"/>
  <c r="Y173" i="9" s="1"/>
  <c r="CC203" i="9"/>
  <c r="CA203" i="9"/>
  <c r="CB203" i="9" s="1"/>
  <c r="CD203" i="9" s="1"/>
  <c r="CC193" i="9"/>
  <c r="CA193" i="9"/>
  <c r="CB193" i="9" s="1"/>
  <c r="CD193" i="9" s="1"/>
  <c r="EY226" i="9"/>
  <c r="EZ226" i="9" s="1"/>
  <c r="FB226" i="9" s="1"/>
  <c r="FA226" i="9"/>
  <c r="AQ230" i="9"/>
  <c r="AO230" i="9"/>
  <c r="AP230" i="9" s="1"/>
  <c r="AR230" i="9" s="1"/>
  <c r="W230" i="9"/>
  <c r="Y230" i="9" s="1"/>
  <c r="DO232" i="9"/>
  <c r="DM232" i="9"/>
  <c r="DN232" i="9" s="1"/>
  <c r="DP232" i="9" s="1"/>
  <c r="CC242" i="9"/>
  <c r="CA242" i="9"/>
  <c r="CB242" i="9" s="1"/>
  <c r="CD242" i="9" s="1"/>
  <c r="CC255" i="9"/>
  <c r="CA255" i="9"/>
  <c r="CB255" i="9" s="1"/>
  <c r="CD255" i="9" s="1"/>
  <c r="CV258" i="9"/>
  <c r="CT258" i="9"/>
  <c r="CU258" i="9" s="1"/>
  <c r="CW258" i="9" s="1"/>
  <c r="AQ268" i="9"/>
  <c r="AO268" i="9"/>
  <c r="AP268" i="9" s="1"/>
  <c r="AR268" i="9" s="1"/>
  <c r="W268" i="9"/>
  <c r="Y268" i="9" s="1"/>
  <c r="BJ272" i="9"/>
  <c r="BH272" i="9"/>
  <c r="BI272" i="9" s="1"/>
  <c r="BK272" i="9" s="1"/>
  <c r="DO301" i="9"/>
  <c r="DM301" i="9"/>
  <c r="DN301" i="9" s="1"/>
  <c r="DP301" i="9" s="1"/>
  <c r="FA307" i="9"/>
  <c r="EY307" i="9"/>
  <c r="EZ307" i="9" s="1"/>
  <c r="FB307" i="9" s="1"/>
  <c r="CV314" i="9"/>
  <c r="CT314" i="9"/>
  <c r="CU314" i="9" s="1"/>
  <c r="CW314" i="9" s="1"/>
  <c r="BJ55" i="9"/>
  <c r="BH55" i="9"/>
  <c r="BI55" i="9" s="1"/>
  <c r="BK55" i="9" s="1"/>
  <c r="FA90" i="9"/>
  <c r="EY90" i="9"/>
  <c r="EZ90" i="9" s="1"/>
  <c r="FB90" i="9" s="1"/>
  <c r="EY128" i="9"/>
  <c r="EZ128" i="9" s="1"/>
  <c r="FB128" i="9" s="1"/>
  <c r="FA128" i="9"/>
  <c r="EH198" i="9"/>
  <c r="EF198" i="9"/>
  <c r="EG198" i="9" s="1"/>
  <c r="EI198" i="9" s="1"/>
  <c r="AO236" i="9"/>
  <c r="AP236" i="9" s="1"/>
  <c r="AR236" i="9" s="1"/>
  <c r="AQ236" i="9"/>
  <c r="W236" i="9"/>
  <c r="Y236" i="9" s="1"/>
  <c r="EF33" i="9"/>
  <c r="EG33" i="9" s="1"/>
  <c r="EI33" i="9" s="1"/>
  <c r="EH33" i="9"/>
  <c r="AQ114" i="9"/>
  <c r="AO114" i="9"/>
  <c r="AP114" i="9" s="1"/>
  <c r="AR114" i="9" s="1"/>
  <c r="W114" i="9"/>
  <c r="Y114" i="9" s="1"/>
  <c r="CV21" i="9"/>
  <c r="CT21" i="9"/>
  <c r="CU21" i="9" s="1"/>
  <c r="CW21" i="9" s="1"/>
  <c r="EY113" i="9"/>
  <c r="EZ113" i="9" s="1"/>
  <c r="FB113" i="9" s="1"/>
  <c r="FA113" i="9"/>
  <c r="FA43" i="9"/>
  <c r="EY43" i="9"/>
  <c r="EZ43" i="9" s="1"/>
  <c r="FB43" i="9" s="1"/>
  <c r="EF121" i="9"/>
  <c r="EG121" i="9" s="1"/>
  <c r="EI121" i="9" s="1"/>
  <c r="EH121" i="9"/>
  <c r="FA147" i="9"/>
  <c r="EY147" i="9"/>
  <c r="EZ147" i="9" s="1"/>
  <c r="FB147" i="9" s="1"/>
  <c r="BH49" i="9"/>
  <c r="BI49" i="9" s="1"/>
  <c r="BK49" i="9" s="1"/>
  <c r="BJ49" i="9"/>
  <c r="CC98" i="9"/>
  <c r="CA98" i="9"/>
  <c r="CB98" i="9" s="1"/>
  <c r="CD98" i="9" s="1"/>
  <c r="BJ169" i="9"/>
  <c r="BH169" i="9"/>
  <c r="BI169" i="9" s="1"/>
  <c r="BK169" i="9" s="1"/>
  <c r="EY120" i="9"/>
  <c r="EZ120" i="9" s="1"/>
  <c r="FB120" i="9" s="1"/>
  <c r="FA120" i="9"/>
  <c r="BJ140" i="9"/>
  <c r="BH140" i="9"/>
  <c r="BI140" i="9" s="1"/>
  <c r="BK140" i="9" s="1"/>
  <c r="CC162" i="9"/>
  <c r="CA162" i="9"/>
  <c r="CB162" i="9" s="1"/>
  <c r="CD162" i="9" s="1"/>
  <c r="AQ136" i="9"/>
  <c r="AO136" i="9"/>
  <c r="AP136" i="9" s="1"/>
  <c r="AR136" i="9" s="1"/>
  <c r="W136" i="9"/>
  <c r="Y136" i="9" s="1"/>
  <c r="EY153" i="9"/>
  <c r="EZ153" i="9" s="1"/>
  <c r="FB153" i="9" s="1"/>
  <c r="FA153" i="9"/>
  <c r="AQ178" i="9"/>
  <c r="AO178" i="9"/>
  <c r="AP178" i="9" s="1"/>
  <c r="AR178" i="9" s="1"/>
  <c r="W178" i="9"/>
  <c r="Y178" i="9" s="1"/>
  <c r="FA178" i="9"/>
  <c r="EY178" i="9"/>
  <c r="EZ178" i="9" s="1"/>
  <c r="FB178" i="9" s="1"/>
  <c r="CC189" i="9"/>
  <c r="CA189" i="9"/>
  <c r="CB189" i="9" s="1"/>
  <c r="CD189" i="9" s="1"/>
  <c r="EH188" i="9"/>
  <c r="EF188" i="9"/>
  <c r="EG188" i="9" s="1"/>
  <c r="EI188" i="9" s="1"/>
  <c r="CT251" i="9"/>
  <c r="CU251" i="9" s="1"/>
  <c r="CW251" i="9" s="1"/>
  <c r="CV251" i="9"/>
  <c r="CA208" i="9"/>
  <c r="CB208" i="9" s="1"/>
  <c r="CD208" i="9" s="1"/>
  <c r="CC208" i="9"/>
  <c r="BH211" i="9"/>
  <c r="BI211" i="9" s="1"/>
  <c r="BK211" i="9" s="1"/>
  <c r="BJ211" i="9"/>
  <c r="CV215" i="9"/>
  <c r="CT215" i="9"/>
  <c r="CU215" i="9" s="1"/>
  <c r="CW215" i="9" s="1"/>
  <c r="AQ264" i="9"/>
  <c r="AO264" i="9"/>
  <c r="AP264" i="9" s="1"/>
  <c r="AR264" i="9" s="1"/>
  <c r="W264" i="9"/>
  <c r="Y264" i="9" s="1"/>
  <c r="DO274" i="9"/>
  <c r="DM274" i="9"/>
  <c r="DN274" i="9" s="1"/>
  <c r="DP274" i="9" s="1"/>
  <c r="AO284" i="9"/>
  <c r="AP284" i="9" s="1"/>
  <c r="AR284" i="9" s="1"/>
  <c r="AQ284" i="9"/>
  <c r="W284" i="9"/>
  <c r="Y284" i="9" s="1"/>
  <c r="EF273" i="9"/>
  <c r="EG273" i="9" s="1"/>
  <c r="EI273" i="9" s="1"/>
  <c r="EH273" i="9"/>
  <c r="AQ302" i="9"/>
  <c r="AO302" i="9"/>
  <c r="AP302" i="9" s="1"/>
  <c r="AR302" i="9" s="1"/>
  <c r="W302" i="9"/>
  <c r="Y302" i="9" s="1"/>
  <c r="CC304" i="9"/>
  <c r="CA304" i="9"/>
  <c r="CB304" i="9" s="1"/>
  <c r="CD304" i="9" s="1"/>
  <c r="DO317" i="9"/>
  <c r="DM317" i="9"/>
  <c r="DN317" i="9" s="1"/>
  <c r="DP317" i="9" s="1"/>
  <c r="AQ361" i="9"/>
  <c r="AO361" i="9"/>
  <c r="AP361" i="9" s="1"/>
  <c r="AR361" i="9" s="1"/>
  <c r="W361" i="9"/>
  <c r="Y361" i="9" s="1"/>
  <c r="EH321" i="9"/>
  <c r="EF321" i="9"/>
  <c r="EG321" i="9" s="1"/>
  <c r="EI321" i="9" s="1"/>
  <c r="EH334" i="9"/>
  <c r="EF334" i="9"/>
  <c r="EG334" i="9" s="1"/>
  <c r="EI334" i="9" s="1"/>
  <c r="DO345" i="9"/>
  <c r="DM345" i="9"/>
  <c r="DN345" i="9" s="1"/>
  <c r="DP345" i="9" s="1"/>
  <c r="DM346" i="9"/>
  <c r="DN346" i="9" s="1"/>
  <c r="DP346" i="9" s="1"/>
  <c r="DO346" i="9"/>
  <c r="CV354" i="9"/>
  <c r="CT354" i="9"/>
  <c r="CU354" i="9" s="1"/>
  <c r="CW354" i="9" s="1"/>
  <c r="CA66" i="9"/>
  <c r="CB66" i="9" s="1"/>
  <c r="CD66" i="9" s="1"/>
  <c r="CC66" i="9"/>
  <c r="CA321" i="9"/>
  <c r="CB321" i="9" s="1"/>
  <c r="CD321" i="9" s="1"/>
  <c r="CC321" i="9"/>
  <c r="FA331" i="9"/>
  <c r="EY331" i="9"/>
  <c r="EZ331" i="9" s="1"/>
  <c r="FB331" i="9" s="1"/>
  <c r="DO337" i="9"/>
  <c r="DM337" i="9"/>
  <c r="DN337" i="9" s="1"/>
  <c r="DP337" i="9" s="1"/>
  <c r="CV349" i="9"/>
  <c r="CT349" i="9"/>
  <c r="CU349" i="9" s="1"/>
  <c r="CW349" i="9" s="1"/>
  <c r="EH354" i="9"/>
  <c r="EF354" i="9"/>
  <c r="EG354" i="9" s="1"/>
  <c r="EI354" i="9" s="1"/>
  <c r="CA65" i="9"/>
  <c r="CB65" i="9" s="1"/>
  <c r="CD65" i="9" s="1"/>
  <c r="CC65" i="9"/>
  <c r="EF322" i="9"/>
  <c r="EG322" i="9" s="1"/>
  <c r="EI322" i="9" s="1"/>
  <c r="EH322" i="9"/>
  <c r="BJ332" i="9"/>
  <c r="BH332" i="9"/>
  <c r="BI332" i="9" s="1"/>
  <c r="BK332" i="9" s="1"/>
  <c r="BJ346" i="9"/>
  <c r="BH346" i="9"/>
  <c r="BI346" i="9" s="1"/>
  <c r="BK346" i="9" s="1"/>
  <c r="AO355" i="9"/>
  <c r="AP355" i="9" s="1"/>
  <c r="AR355" i="9" s="1"/>
  <c r="AQ355" i="9"/>
  <c r="W355" i="9"/>
  <c r="Y355" i="9" s="1"/>
  <c r="EH76" i="9"/>
  <c r="EF76" i="9"/>
  <c r="EG76" i="9" s="1"/>
  <c r="EI76" i="9" s="1"/>
  <c r="FA328" i="9"/>
  <c r="EY328" i="9"/>
  <c r="EZ328" i="9" s="1"/>
  <c r="FB328" i="9" s="1"/>
  <c r="BH338" i="9"/>
  <c r="BI338" i="9" s="1"/>
  <c r="BK338" i="9" s="1"/>
  <c r="BJ338" i="9"/>
  <c r="EF344" i="9"/>
  <c r="EG344" i="9" s="1"/>
  <c r="EI344" i="9" s="1"/>
  <c r="EH344" i="9"/>
  <c r="FA359" i="9"/>
  <c r="EY359" i="9"/>
  <c r="EZ359" i="9" s="1"/>
  <c r="FB359" i="9" s="1"/>
  <c r="DO363" i="9"/>
  <c r="DM363" i="9"/>
  <c r="DN363" i="9" s="1"/>
  <c r="DP363" i="9" s="1"/>
  <c r="BJ326" i="9"/>
  <c r="BH326" i="9"/>
  <c r="BI326" i="9" s="1"/>
  <c r="BK326" i="9" s="1"/>
  <c r="CC325" i="9"/>
  <c r="CA325" i="9"/>
  <c r="CB325" i="9" s="1"/>
  <c r="CD325" i="9" s="1"/>
  <c r="CC336" i="9"/>
  <c r="CA336" i="9"/>
  <c r="CB336" i="9" s="1"/>
  <c r="CD336" i="9" s="1"/>
  <c r="BJ342" i="9"/>
  <c r="BH342" i="9"/>
  <c r="BI342" i="9" s="1"/>
  <c r="BK342" i="9" s="1"/>
  <c r="EY353" i="9"/>
  <c r="EZ353" i="9" s="1"/>
  <c r="FB353" i="9" s="1"/>
  <c r="FA353" i="9"/>
  <c r="AQ360" i="9"/>
  <c r="AO360" i="9"/>
  <c r="AP360" i="9" s="1"/>
  <c r="AR360" i="9" s="1"/>
  <c r="W360" i="9"/>
  <c r="Y360" i="9" s="1"/>
  <c r="BH315" i="9"/>
  <c r="BI315" i="9" s="1"/>
  <c r="BK315" i="9" s="1"/>
  <c r="BJ315" i="9"/>
  <c r="BJ335" i="9"/>
  <c r="BH335" i="9"/>
  <c r="BI335" i="9" s="1"/>
  <c r="BK335" i="9" s="1"/>
  <c r="CV342" i="9"/>
  <c r="CT342" i="9"/>
  <c r="CU342" i="9" s="1"/>
  <c r="CW342" i="9" s="1"/>
  <c r="CC356" i="9"/>
  <c r="CA356" i="9"/>
  <c r="CB356" i="9" s="1"/>
  <c r="CD356" i="9" s="1"/>
  <c r="CV40" i="9"/>
  <c r="CT40" i="9"/>
  <c r="CU40" i="9" s="1"/>
  <c r="CW40" i="9" s="1"/>
  <c r="BH318" i="9"/>
  <c r="BI318" i="9" s="1"/>
  <c r="BK318" i="9" s="1"/>
  <c r="BJ318" i="9"/>
  <c r="CA334" i="9"/>
  <c r="CB334" i="9" s="1"/>
  <c r="CD334" i="9" s="1"/>
  <c r="CC334" i="9"/>
  <c r="DO350" i="9"/>
  <c r="DM350" i="9"/>
  <c r="DN350" i="9" s="1"/>
  <c r="DP350" i="9" s="1"/>
  <c r="AQ84" i="9"/>
  <c r="AO84" i="9"/>
  <c r="AP84" i="9" s="1"/>
  <c r="AR84" i="9" s="1"/>
  <c r="W84" i="9"/>
  <c r="Y84" i="9" s="1"/>
  <c r="DO107" i="9"/>
  <c r="DM107" i="9"/>
  <c r="DN107" i="9" s="1"/>
  <c r="DP107" i="9" s="1"/>
  <c r="AO52" i="9"/>
  <c r="AP52" i="9" s="1"/>
  <c r="AR52" i="9" s="1"/>
  <c r="AQ52" i="9"/>
  <c r="W52" i="9"/>
  <c r="Y52" i="9" s="1"/>
  <c r="BH54" i="9"/>
  <c r="BI54" i="9" s="1"/>
  <c r="BK54" i="9" s="1"/>
  <c r="BJ54" i="9"/>
  <c r="EF66" i="9"/>
  <c r="EG66" i="9" s="1"/>
  <c r="EI66" i="9" s="1"/>
  <c r="EH66" i="9"/>
  <c r="CC39" i="9"/>
  <c r="CA39" i="9"/>
  <c r="CB39" i="9" s="1"/>
  <c r="CD39" i="9" s="1"/>
  <c r="BJ48" i="9"/>
  <c r="BH48" i="9"/>
  <c r="BI48" i="9" s="1"/>
  <c r="BK48" i="9" s="1"/>
  <c r="EH29" i="9"/>
  <c r="EF29" i="9"/>
  <c r="EG29" i="9" s="1"/>
  <c r="EI29" i="9" s="1"/>
  <c r="AQ103" i="9"/>
  <c r="AO103" i="9"/>
  <c r="AP103" i="9" s="1"/>
  <c r="AR103" i="9" s="1"/>
  <c r="W103" i="9"/>
  <c r="Y103" i="9" s="1"/>
  <c r="FA17" i="9"/>
  <c r="EY17" i="9"/>
  <c r="EZ17" i="9" s="1"/>
  <c r="FB17" i="9" s="1"/>
  <c r="AO17" i="9"/>
  <c r="AP17" i="9" s="1"/>
  <c r="AR17" i="9" s="1"/>
  <c r="AQ17" i="9"/>
  <c r="W17" i="9"/>
  <c r="DO42" i="9"/>
  <c r="DM42" i="9"/>
  <c r="DN42" i="9" s="1"/>
  <c r="DP42" i="9" s="1"/>
  <c r="BJ18" i="9"/>
  <c r="BH18" i="9"/>
  <c r="BI18" i="9" s="1"/>
  <c r="BK18" i="9" s="1"/>
  <c r="AQ33" i="9"/>
  <c r="AO33" i="9"/>
  <c r="AP33" i="9" s="1"/>
  <c r="AR33" i="9" s="1"/>
  <c r="W33" i="9"/>
  <c r="CT18" i="9"/>
  <c r="CU18" i="9" s="1"/>
  <c r="CW18" i="9" s="1"/>
  <c r="CV18" i="9"/>
  <c r="DO28" i="9"/>
  <c r="DM28" i="9"/>
  <c r="DN28" i="9" s="1"/>
  <c r="DP28" i="9" s="1"/>
  <c r="DM29" i="9"/>
  <c r="DN29" i="9" s="1"/>
  <c r="DP29" i="9" s="1"/>
  <c r="DO29" i="9"/>
  <c r="FA16" i="9"/>
  <c r="EY16" i="9"/>
  <c r="EZ16" i="9" s="1"/>
  <c r="FB16" i="9" s="1"/>
  <c r="DM26" i="9"/>
  <c r="DN26" i="9" s="1"/>
  <c r="DP26" i="9" s="1"/>
  <c r="DO26" i="9"/>
  <c r="AQ41" i="9"/>
  <c r="AO41" i="9"/>
  <c r="AP41" i="9" s="1"/>
  <c r="AR41" i="9" s="1"/>
  <c r="W41" i="9"/>
  <c r="Y41" i="9" s="1"/>
  <c r="AQ22" i="9"/>
  <c r="AO22" i="9"/>
  <c r="AP22" i="9" s="1"/>
  <c r="AR22" i="9" s="1"/>
  <c r="W22" i="9"/>
  <c r="DC22" i="9" s="1"/>
  <c r="CA58" i="9"/>
  <c r="CB58" i="9" s="1"/>
  <c r="CD58" i="9" s="1"/>
  <c r="CC58" i="9"/>
  <c r="E315" i="9"/>
  <c r="E316" i="9" s="1"/>
  <c r="E317" i="9" s="1"/>
  <c r="E318" i="9" s="1"/>
  <c r="E319" i="9" s="1"/>
  <c r="E320" i="9" s="1"/>
  <c r="E321" i="9" s="1"/>
  <c r="E322" i="9" s="1"/>
  <c r="E323" i="9" s="1"/>
  <c r="E324" i="9" s="1"/>
  <c r="E325" i="9" s="1"/>
  <c r="BO22" i="9"/>
  <c r="CC43" i="12"/>
  <c r="CA43" i="12"/>
  <c r="CB43" i="12" s="1"/>
  <c r="CD43" i="12" s="1"/>
  <c r="CT14" i="12"/>
  <c r="CU14" i="12" s="1"/>
  <c r="CW14" i="12" s="1"/>
  <c r="CV14" i="12"/>
  <c r="FA93" i="12"/>
  <c r="EY93" i="12"/>
  <c r="EZ93" i="12" s="1"/>
  <c r="FB93" i="12" s="1"/>
  <c r="BJ31" i="12"/>
  <c r="BH31" i="12"/>
  <c r="BI31" i="12" s="1"/>
  <c r="BK31" i="12" s="1"/>
  <c r="FA80" i="12"/>
  <c r="EY80" i="12"/>
  <c r="EZ80" i="12" s="1"/>
  <c r="FB80" i="12" s="1"/>
  <c r="AQ86" i="12"/>
  <c r="AO86" i="12"/>
  <c r="AP86" i="12" s="1"/>
  <c r="AR86" i="12" s="1"/>
  <c r="W86" i="12"/>
  <c r="Y86" i="12" s="1"/>
  <c r="CA49" i="12"/>
  <c r="CB49" i="12" s="1"/>
  <c r="CD49" i="12" s="1"/>
  <c r="CC49" i="12"/>
  <c r="CC35" i="12"/>
  <c r="CA35" i="12"/>
  <c r="CB35" i="12" s="1"/>
  <c r="CD35" i="12" s="1"/>
  <c r="AQ205" i="12"/>
  <c r="AO205" i="12"/>
  <c r="AP205" i="12" s="1"/>
  <c r="AR205" i="12" s="1"/>
  <c r="W205" i="12"/>
  <c r="Y205" i="12" s="1"/>
  <c r="EH51" i="12"/>
  <c r="EF51" i="12"/>
  <c r="EG51" i="12" s="1"/>
  <c r="EI51" i="12" s="1"/>
  <c r="EY17" i="12"/>
  <c r="EZ17" i="12" s="1"/>
  <c r="FB17" i="12" s="1"/>
  <c r="FA17" i="12"/>
  <c r="EY47" i="12"/>
  <c r="EZ47" i="12" s="1"/>
  <c r="FB47" i="12" s="1"/>
  <c r="FA47" i="12"/>
  <c r="FA38" i="12"/>
  <c r="EY38" i="12"/>
  <c r="EZ38" i="12" s="1"/>
  <c r="FB38" i="12" s="1"/>
  <c r="EY33" i="12"/>
  <c r="EZ33" i="12" s="1"/>
  <c r="FB33" i="12" s="1"/>
  <c r="FA33" i="12"/>
  <c r="EF27" i="12"/>
  <c r="EG27" i="12" s="1"/>
  <c r="EI27" i="12" s="1"/>
  <c r="EH27" i="12"/>
  <c r="EH98" i="12"/>
  <c r="EF98" i="12"/>
  <c r="EG98" i="12" s="1"/>
  <c r="EI98" i="12" s="1"/>
  <c r="EH78" i="12"/>
  <c r="EF78" i="12"/>
  <c r="EG78" i="12" s="1"/>
  <c r="EI78" i="12" s="1"/>
  <c r="FA97" i="12"/>
  <c r="EY97" i="12"/>
  <c r="EZ97" i="12" s="1"/>
  <c r="FB97" i="12" s="1"/>
  <c r="FA166" i="12"/>
  <c r="EY166" i="12"/>
  <c r="EZ166" i="12" s="1"/>
  <c r="FB166" i="12" s="1"/>
  <c r="EF231" i="12"/>
  <c r="EG231" i="12" s="1"/>
  <c r="EI231" i="12" s="1"/>
  <c r="EH231" i="12"/>
  <c r="CA301" i="12"/>
  <c r="CB301" i="12" s="1"/>
  <c r="CD301" i="12" s="1"/>
  <c r="CC301" i="12"/>
  <c r="CV361" i="12"/>
  <c r="CT361" i="12"/>
  <c r="CU361" i="12" s="1"/>
  <c r="CW361" i="12" s="1"/>
  <c r="CT40" i="12"/>
  <c r="CU40" i="12" s="1"/>
  <c r="CW40" i="12" s="1"/>
  <c r="CV40" i="12"/>
  <c r="CV31" i="12"/>
  <c r="CT31" i="12"/>
  <c r="CU31" i="12" s="1"/>
  <c r="CW31" i="12" s="1"/>
  <c r="CT26" i="12"/>
  <c r="CU26" i="12" s="1"/>
  <c r="CW26" i="12" s="1"/>
  <c r="CV26" i="12"/>
  <c r="CC52" i="12"/>
  <c r="CA52" i="12"/>
  <c r="CB52" i="12" s="1"/>
  <c r="CD52" i="12" s="1"/>
  <c r="DO58" i="12"/>
  <c r="DM58" i="12"/>
  <c r="DN58" i="12" s="1"/>
  <c r="DP58" i="12" s="1"/>
  <c r="CC71" i="12"/>
  <c r="CA71" i="12"/>
  <c r="CB71" i="12" s="1"/>
  <c r="CD71" i="12" s="1"/>
  <c r="DO105" i="12"/>
  <c r="DM105" i="12"/>
  <c r="DN105" i="12" s="1"/>
  <c r="DP105" i="12" s="1"/>
  <c r="CA142" i="12"/>
  <c r="CB142" i="12" s="1"/>
  <c r="CD142" i="12" s="1"/>
  <c r="CC142" i="12"/>
  <c r="CV221" i="12"/>
  <c r="CT221" i="12"/>
  <c r="CU221" i="12" s="1"/>
  <c r="CW221" i="12" s="1"/>
  <c r="BJ277" i="12"/>
  <c r="BH277" i="12"/>
  <c r="BI277" i="12" s="1"/>
  <c r="BK277" i="12" s="1"/>
  <c r="EH345" i="12"/>
  <c r="EF345" i="12"/>
  <c r="EG345" i="12" s="1"/>
  <c r="EI345" i="12" s="1"/>
  <c r="DO70" i="12"/>
  <c r="DM70" i="12"/>
  <c r="DN70" i="12" s="1"/>
  <c r="DP70" i="12" s="1"/>
  <c r="FA48" i="12"/>
  <c r="EY48" i="12"/>
  <c r="EZ48" i="12" s="1"/>
  <c r="FB48" i="12" s="1"/>
  <c r="FA67" i="12"/>
  <c r="EY67" i="12"/>
  <c r="EZ67" i="12" s="1"/>
  <c r="FB67" i="12" s="1"/>
  <c r="BH56" i="12"/>
  <c r="BI56" i="12" s="1"/>
  <c r="BK56" i="12" s="1"/>
  <c r="BJ56" i="12"/>
  <c r="CV210" i="12"/>
  <c r="CT210" i="12"/>
  <c r="CU210" i="12" s="1"/>
  <c r="CW210" i="12" s="1"/>
  <c r="EY268" i="12"/>
  <c r="EZ268" i="12" s="1"/>
  <c r="FB268" i="12" s="1"/>
  <c r="FA268" i="12"/>
  <c r="DM342" i="12"/>
  <c r="DN342" i="12" s="1"/>
  <c r="DP342" i="12" s="1"/>
  <c r="DO342" i="12"/>
  <c r="AQ33" i="12"/>
  <c r="AO33" i="12"/>
  <c r="AP33" i="12" s="1"/>
  <c r="AR33" i="12" s="1"/>
  <c r="W33" i="12"/>
  <c r="Y33" i="12" s="1"/>
  <c r="AQ24" i="12"/>
  <c r="AO24" i="12"/>
  <c r="AP24" i="12" s="1"/>
  <c r="AR24" i="12" s="1"/>
  <c r="W24" i="12"/>
  <c r="Y24" i="12" s="1"/>
  <c r="EY53" i="12"/>
  <c r="EZ53" i="12" s="1"/>
  <c r="FB53" i="12" s="1"/>
  <c r="FA53" i="12"/>
  <c r="CV45" i="12"/>
  <c r="CT45" i="12"/>
  <c r="CU45" i="12" s="1"/>
  <c r="CW45" i="12" s="1"/>
  <c r="CT64" i="12"/>
  <c r="CU64" i="12" s="1"/>
  <c r="CW64" i="12" s="1"/>
  <c r="CV64" i="12"/>
  <c r="EH65" i="12"/>
  <c r="EF65" i="12"/>
  <c r="EG65" i="12" s="1"/>
  <c r="EI65" i="12" s="1"/>
  <c r="EH122" i="12"/>
  <c r="EF122" i="12"/>
  <c r="EG122" i="12" s="1"/>
  <c r="EI122" i="12" s="1"/>
  <c r="EH203" i="12"/>
  <c r="EF203" i="12"/>
  <c r="EG203" i="12" s="1"/>
  <c r="EI203" i="12" s="1"/>
  <c r="AQ281" i="12"/>
  <c r="AO281" i="12"/>
  <c r="AP281" i="12" s="1"/>
  <c r="AR281" i="12" s="1"/>
  <c r="W281" i="12"/>
  <c r="Y281" i="12" s="1"/>
  <c r="CC331" i="12"/>
  <c r="CA331" i="12"/>
  <c r="CB331" i="12" s="1"/>
  <c r="CD331" i="12" s="1"/>
  <c r="DO25" i="12"/>
  <c r="DM25" i="12"/>
  <c r="DN25" i="12" s="1"/>
  <c r="DP25" i="12" s="1"/>
  <c r="EY56" i="12"/>
  <c r="EZ56" i="12" s="1"/>
  <c r="FB56" i="12" s="1"/>
  <c r="FA56" i="12"/>
  <c r="DO48" i="12"/>
  <c r="DM48" i="12"/>
  <c r="DN48" i="12" s="1"/>
  <c r="DP48" i="12" s="1"/>
  <c r="DM43" i="12"/>
  <c r="DN43" i="12" s="1"/>
  <c r="DP43" i="12" s="1"/>
  <c r="DO43" i="12"/>
  <c r="CA82" i="12"/>
  <c r="CB82" i="12" s="1"/>
  <c r="CD82" i="12" s="1"/>
  <c r="CC82" i="12"/>
  <c r="AQ131" i="12"/>
  <c r="AO131" i="12"/>
  <c r="AP131" i="12" s="1"/>
  <c r="AR131" i="12" s="1"/>
  <c r="W131" i="12"/>
  <c r="Y131" i="12" s="1"/>
  <c r="DO203" i="12"/>
  <c r="DM203" i="12"/>
  <c r="DN203" i="12" s="1"/>
  <c r="DP203" i="12" s="1"/>
  <c r="DO272" i="12"/>
  <c r="DM272" i="12"/>
  <c r="DN272" i="12" s="1"/>
  <c r="DP272" i="12" s="1"/>
  <c r="CC316" i="12"/>
  <c r="CA316" i="12"/>
  <c r="CB316" i="12" s="1"/>
  <c r="CD316" i="12" s="1"/>
  <c r="AO19" i="12"/>
  <c r="AP19" i="12" s="1"/>
  <c r="AR19" i="12" s="1"/>
  <c r="AQ19" i="12"/>
  <c r="W19" i="12"/>
  <c r="Y19" i="12" s="1"/>
  <c r="BJ50" i="12"/>
  <c r="BH50" i="12"/>
  <c r="BI50" i="12" s="1"/>
  <c r="BK50" i="12" s="1"/>
  <c r="BH41" i="12"/>
  <c r="BI41" i="12" s="1"/>
  <c r="BK41" i="12" s="1"/>
  <c r="BJ41" i="12"/>
  <c r="BJ36" i="12"/>
  <c r="BH36" i="12"/>
  <c r="BI36" i="12" s="1"/>
  <c r="BK36" i="12" s="1"/>
  <c r="AQ30" i="12"/>
  <c r="AO30" i="12"/>
  <c r="AP30" i="12" s="1"/>
  <c r="AR30" i="12" s="1"/>
  <c r="W30" i="12"/>
  <c r="Y30" i="12" s="1"/>
  <c r="EY111" i="12"/>
  <c r="EZ111" i="12" s="1"/>
  <c r="FB111" i="12" s="1"/>
  <c r="FA111" i="12"/>
  <c r="AQ81" i="12"/>
  <c r="AO81" i="12"/>
  <c r="AP81" i="12" s="1"/>
  <c r="AR81" i="12" s="1"/>
  <c r="W81" i="12"/>
  <c r="Y81" i="12" s="1"/>
  <c r="DO112" i="12"/>
  <c r="DM112" i="12"/>
  <c r="DN112" i="12" s="1"/>
  <c r="DP112" i="12" s="1"/>
  <c r="AO154" i="12"/>
  <c r="AP154" i="12" s="1"/>
  <c r="AR154" i="12" s="1"/>
  <c r="AQ154" i="12"/>
  <c r="W154" i="12"/>
  <c r="Y154" i="12" s="1"/>
  <c r="CV300" i="12"/>
  <c r="CT300" i="12"/>
  <c r="CU300" i="12" s="1"/>
  <c r="CW300" i="12" s="1"/>
  <c r="BH17" i="12"/>
  <c r="BI17" i="12" s="1"/>
  <c r="BK17" i="12" s="1"/>
  <c r="BJ17" i="12"/>
  <c r="EH38" i="12"/>
  <c r="EF38" i="12"/>
  <c r="EG38" i="12" s="1"/>
  <c r="EI38" i="12" s="1"/>
  <c r="EH29" i="12"/>
  <c r="EF29" i="12"/>
  <c r="EG29" i="12" s="1"/>
  <c r="EI29" i="12" s="1"/>
  <c r="EF24" i="12"/>
  <c r="EG24" i="12" s="1"/>
  <c r="EI24" i="12" s="1"/>
  <c r="EH24" i="12"/>
  <c r="BJ79" i="12"/>
  <c r="BH79" i="12"/>
  <c r="BI79" i="12" s="1"/>
  <c r="BK79" i="12" s="1"/>
  <c r="DM50" i="12"/>
  <c r="DN50" i="12" s="1"/>
  <c r="DP50" i="12" s="1"/>
  <c r="DO50" i="12"/>
  <c r="DO69" i="12"/>
  <c r="DM69" i="12"/>
  <c r="DN69" i="12" s="1"/>
  <c r="DP69" i="12" s="1"/>
  <c r="BH72" i="12"/>
  <c r="BI72" i="12" s="1"/>
  <c r="BK72" i="12" s="1"/>
  <c r="BJ72" i="12"/>
  <c r="CA130" i="12"/>
  <c r="CB130" i="12" s="1"/>
  <c r="CD130" i="12" s="1"/>
  <c r="CC130" i="12"/>
  <c r="FA208" i="12"/>
  <c r="EY208" i="12"/>
  <c r="EZ208" i="12" s="1"/>
  <c r="FB208" i="12" s="1"/>
  <c r="BJ270" i="12"/>
  <c r="BH270" i="12"/>
  <c r="BI270" i="12" s="1"/>
  <c r="BK270" i="12" s="1"/>
  <c r="CC345" i="12"/>
  <c r="CA345" i="12"/>
  <c r="CB345" i="12" s="1"/>
  <c r="CD345" i="12" s="1"/>
  <c r="CC70" i="12"/>
  <c r="CA70" i="12"/>
  <c r="CB70" i="12" s="1"/>
  <c r="CD70" i="12" s="1"/>
  <c r="EF64" i="12"/>
  <c r="EG64" i="12" s="1"/>
  <c r="EI64" i="12" s="1"/>
  <c r="EH64" i="12"/>
  <c r="BH85" i="12"/>
  <c r="BI85" i="12" s="1"/>
  <c r="BK85" i="12" s="1"/>
  <c r="BJ85" i="12"/>
  <c r="AO121" i="12"/>
  <c r="AP121" i="12" s="1"/>
  <c r="AR121" i="12" s="1"/>
  <c r="AQ121" i="12"/>
  <c r="W121" i="12"/>
  <c r="Y121" i="12" s="1"/>
  <c r="DO114" i="12"/>
  <c r="DM114" i="12"/>
  <c r="DN114" i="12" s="1"/>
  <c r="DP114" i="12" s="1"/>
  <c r="AQ112" i="12"/>
  <c r="AO112" i="12"/>
  <c r="AP112" i="12" s="1"/>
  <c r="AR112" i="12" s="1"/>
  <c r="W112" i="12"/>
  <c r="Y112" i="12" s="1"/>
  <c r="DO131" i="12"/>
  <c r="DM131" i="12"/>
  <c r="DN131" i="12" s="1"/>
  <c r="DP131" i="12" s="1"/>
  <c r="CC132" i="12"/>
  <c r="CA132" i="12"/>
  <c r="CB132" i="12" s="1"/>
  <c r="CD132" i="12" s="1"/>
  <c r="CC127" i="12"/>
  <c r="CA127" i="12"/>
  <c r="CB127" i="12" s="1"/>
  <c r="CD127" i="12" s="1"/>
  <c r="FA122" i="12"/>
  <c r="EY122" i="12"/>
  <c r="EZ122" i="12" s="1"/>
  <c r="FB122" i="12" s="1"/>
  <c r="AQ148" i="12"/>
  <c r="AO148" i="12"/>
  <c r="AP148" i="12" s="1"/>
  <c r="AR148" i="12" s="1"/>
  <c r="W148" i="12"/>
  <c r="Y148" i="12" s="1"/>
  <c r="EH193" i="12"/>
  <c r="EF193" i="12"/>
  <c r="EG193" i="12" s="1"/>
  <c r="EI193" i="12" s="1"/>
  <c r="AQ195" i="12"/>
  <c r="AO195" i="12"/>
  <c r="AP195" i="12" s="1"/>
  <c r="AR195" i="12" s="1"/>
  <c r="W195" i="12"/>
  <c r="Y195" i="12" s="1"/>
  <c r="CV166" i="12"/>
  <c r="CT166" i="12"/>
  <c r="CU166" i="12" s="1"/>
  <c r="CW166" i="12" s="1"/>
  <c r="DM194" i="12"/>
  <c r="DN194" i="12" s="1"/>
  <c r="DP194" i="12" s="1"/>
  <c r="DO194" i="12"/>
  <c r="FA192" i="12"/>
  <c r="EY192" i="12"/>
  <c r="EZ192" i="12" s="1"/>
  <c r="FB192" i="12" s="1"/>
  <c r="DO220" i="12"/>
  <c r="DM220" i="12"/>
  <c r="DN220" i="12" s="1"/>
  <c r="DP220" i="12" s="1"/>
  <c r="AO217" i="12"/>
  <c r="AP217" i="12" s="1"/>
  <c r="AR217" i="12" s="1"/>
  <c r="AQ217" i="12"/>
  <c r="W217" i="12"/>
  <c r="Y217" i="12" s="1"/>
  <c r="CC233" i="12"/>
  <c r="CA233" i="12"/>
  <c r="CB233" i="12" s="1"/>
  <c r="CD233" i="12" s="1"/>
  <c r="CA231" i="12"/>
  <c r="CB231" i="12" s="1"/>
  <c r="CD231" i="12" s="1"/>
  <c r="CC231" i="12"/>
  <c r="CT246" i="12"/>
  <c r="CU246" i="12" s="1"/>
  <c r="CW246" i="12" s="1"/>
  <c r="CV246" i="12"/>
  <c r="FA274" i="12"/>
  <c r="EY274" i="12"/>
  <c r="EZ274" i="12" s="1"/>
  <c r="FB274" i="12" s="1"/>
  <c r="EH257" i="12"/>
  <c r="EF257" i="12"/>
  <c r="EG257" i="12" s="1"/>
  <c r="EI257" i="12" s="1"/>
  <c r="CV266" i="12"/>
  <c r="CT266" i="12"/>
  <c r="CU266" i="12" s="1"/>
  <c r="CW266" i="12" s="1"/>
  <c r="CC277" i="12"/>
  <c r="CA277" i="12"/>
  <c r="CB277" i="12" s="1"/>
  <c r="CD277" i="12" s="1"/>
  <c r="EF289" i="12"/>
  <c r="EG289" i="12" s="1"/>
  <c r="EI289" i="12" s="1"/>
  <c r="EH289" i="12"/>
  <c r="CV289" i="12"/>
  <c r="CT289" i="12"/>
  <c r="CU289" i="12" s="1"/>
  <c r="CW289" i="12" s="1"/>
  <c r="DO307" i="12"/>
  <c r="DM307" i="12"/>
  <c r="DN307" i="12" s="1"/>
  <c r="DP307" i="12" s="1"/>
  <c r="EY316" i="12"/>
  <c r="EZ316" i="12" s="1"/>
  <c r="FB316" i="12" s="1"/>
  <c r="FA316" i="12"/>
  <c r="EH321" i="12"/>
  <c r="EF321" i="12"/>
  <c r="EG321" i="12" s="1"/>
  <c r="EI321" i="12" s="1"/>
  <c r="CV330" i="12"/>
  <c r="CT330" i="12"/>
  <c r="CU330" i="12" s="1"/>
  <c r="CW330" i="12" s="1"/>
  <c r="BJ343" i="12"/>
  <c r="BH343" i="12"/>
  <c r="BI343" i="12" s="1"/>
  <c r="BK343" i="12" s="1"/>
  <c r="DO16" i="12"/>
  <c r="DM16" i="12"/>
  <c r="DN16" i="12" s="1"/>
  <c r="DP16" i="12" s="1"/>
  <c r="EY78" i="12"/>
  <c r="EZ78" i="12" s="1"/>
  <c r="FB78" i="12" s="1"/>
  <c r="FA78" i="12"/>
  <c r="CA73" i="12"/>
  <c r="CB73" i="12" s="1"/>
  <c r="CD73" i="12" s="1"/>
  <c r="CC73" i="12"/>
  <c r="EF93" i="12"/>
  <c r="EG93" i="12" s="1"/>
  <c r="EI93" i="12" s="1"/>
  <c r="EH93" i="12"/>
  <c r="BH91" i="12"/>
  <c r="BI91" i="12" s="1"/>
  <c r="BK91" i="12" s="1"/>
  <c r="BJ91" i="12"/>
  <c r="EH117" i="12"/>
  <c r="EF117" i="12"/>
  <c r="EG117" i="12" s="1"/>
  <c r="EI117" i="12" s="1"/>
  <c r="BJ140" i="12"/>
  <c r="BH140" i="12"/>
  <c r="BI140" i="12" s="1"/>
  <c r="BK140" i="12" s="1"/>
  <c r="FA140" i="12"/>
  <c r="EY140" i="12"/>
  <c r="EZ140" i="12" s="1"/>
  <c r="FB140" i="12" s="1"/>
  <c r="FA135" i="12"/>
  <c r="EY135" i="12"/>
  <c r="EZ135" i="12" s="1"/>
  <c r="FB135" i="12" s="1"/>
  <c r="CV131" i="12"/>
  <c r="CT131" i="12"/>
  <c r="CU131" i="12" s="1"/>
  <c r="CW131" i="12" s="1"/>
  <c r="DO156" i="12"/>
  <c r="DM156" i="12"/>
  <c r="DN156" i="12" s="1"/>
  <c r="DP156" i="12" s="1"/>
  <c r="EY157" i="12"/>
  <c r="EZ157" i="12" s="1"/>
  <c r="FB157" i="12" s="1"/>
  <c r="FA157" i="12"/>
  <c r="BJ159" i="12"/>
  <c r="BH159" i="12"/>
  <c r="BI159" i="12" s="1"/>
  <c r="BK159" i="12" s="1"/>
  <c r="CT169" i="12"/>
  <c r="CU169" i="12" s="1"/>
  <c r="CW169" i="12" s="1"/>
  <c r="CV169" i="12"/>
  <c r="FA205" i="12"/>
  <c r="EY205" i="12"/>
  <c r="EZ205" i="12" s="1"/>
  <c r="FB205" i="12" s="1"/>
  <c r="BJ202" i="12"/>
  <c r="BH202" i="12"/>
  <c r="BI202" i="12" s="1"/>
  <c r="BK202" i="12" s="1"/>
  <c r="CC222" i="12"/>
  <c r="CA222" i="12"/>
  <c r="CB222" i="12" s="1"/>
  <c r="CD222" i="12" s="1"/>
  <c r="FA224" i="12"/>
  <c r="EY224" i="12"/>
  <c r="EZ224" i="12" s="1"/>
  <c r="FB224" i="12" s="1"/>
  <c r="CA238" i="12"/>
  <c r="CB238" i="12" s="1"/>
  <c r="CD238" i="12" s="1"/>
  <c r="CC238" i="12"/>
  <c r="DM242" i="12"/>
  <c r="DN242" i="12" s="1"/>
  <c r="DP242" i="12" s="1"/>
  <c r="DO242" i="12"/>
  <c r="CV264" i="12"/>
  <c r="CT264" i="12"/>
  <c r="CU264" i="12" s="1"/>
  <c r="CW264" i="12" s="1"/>
  <c r="CC271" i="12"/>
  <c r="CA271" i="12"/>
  <c r="CB271" i="12" s="1"/>
  <c r="CD271" i="12" s="1"/>
  <c r="FA281" i="12"/>
  <c r="EY281" i="12"/>
  <c r="EZ281" i="12" s="1"/>
  <c r="FB281" i="12" s="1"/>
  <c r="CV294" i="12"/>
  <c r="CT294" i="12"/>
  <c r="CU294" i="12" s="1"/>
  <c r="CW294" i="12" s="1"/>
  <c r="AO306" i="12"/>
  <c r="AP306" i="12" s="1"/>
  <c r="AR306" i="12" s="1"/>
  <c r="AQ306" i="12"/>
  <c r="W306" i="12"/>
  <c r="Y306" i="12" s="1"/>
  <c r="AO318" i="12"/>
  <c r="AP318" i="12" s="1"/>
  <c r="AR318" i="12" s="1"/>
  <c r="AQ318" i="12"/>
  <c r="W318" i="12"/>
  <c r="Y318" i="12" s="1"/>
  <c r="AQ325" i="12"/>
  <c r="AO325" i="12"/>
  <c r="AP325" i="12" s="1"/>
  <c r="AR325" i="12" s="1"/>
  <c r="W325" i="12"/>
  <c r="Y325" i="12" s="1"/>
  <c r="CC338" i="12"/>
  <c r="CA338" i="12"/>
  <c r="CB338" i="12" s="1"/>
  <c r="CD338" i="12" s="1"/>
  <c r="AO351" i="12"/>
  <c r="AP351" i="12" s="1"/>
  <c r="AR351" i="12" s="1"/>
  <c r="AQ351" i="12"/>
  <c r="W351" i="12"/>
  <c r="Y351" i="12" s="1"/>
  <c r="CV358" i="12"/>
  <c r="CT358" i="12"/>
  <c r="CU358" i="12" s="1"/>
  <c r="CW358" i="12" s="1"/>
  <c r="CV59" i="12"/>
  <c r="CT59" i="12"/>
  <c r="CU59" i="12" s="1"/>
  <c r="CW59" i="12" s="1"/>
  <c r="CC113" i="12"/>
  <c r="CA113" i="12"/>
  <c r="CB113" i="12" s="1"/>
  <c r="CD113" i="12" s="1"/>
  <c r="CC106" i="12"/>
  <c r="CA106" i="12"/>
  <c r="CB106" i="12" s="1"/>
  <c r="CD106" i="12" s="1"/>
  <c r="AQ103" i="12"/>
  <c r="AO103" i="12"/>
  <c r="AP103" i="12" s="1"/>
  <c r="AR103" i="12" s="1"/>
  <c r="W103" i="12"/>
  <c r="Y103" i="12" s="1"/>
  <c r="EH103" i="12"/>
  <c r="EF103" i="12"/>
  <c r="EG103" i="12" s="1"/>
  <c r="EI103" i="12" s="1"/>
  <c r="EH120" i="12"/>
  <c r="EF120" i="12"/>
  <c r="EG120" i="12" s="1"/>
  <c r="EI120" i="12" s="1"/>
  <c r="FA155" i="12"/>
  <c r="EY155" i="12"/>
  <c r="EZ155" i="12" s="1"/>
  <c r="FB155" i="12" s="1"/>
  <c r="BH147" i="12"/>
  <c r="BI147" i="12" s="1"/>
  <c r="BK147" i="12" s="1"/>
  <c r="BJ147" i="12"/>
  <c r="DM161" i="12"/>
  <c r="DN161" i="12" s="1"/>
  <c r="DP161" i="12" s="1"/>
  <c r="DO161" i="12"/>
  <c r="DO188" i="12"/>
  <c r="DM188" i="12"/>
  <c r="DN188" i="12" s="1"/>
  <c r="DP188" i="12" s="1"/>
  <c r="AQ193" i="12"/>
  <c r="AO193" i="12"/>
  <c r="AP193" i="12" s="1"/>
  <c r="AR193" i="12" s="1"/>
  <c r="W193" i="12"/>
  <c r="Y193" i="12" s="1"/>
  <c r="CC174" i="12"/>
  <c r="CA174" i="12"/>
  <c r="CB174" i="12" s="1"/>
  <c r="CD174" i="12" s="1"/>
  <c r="AQ187" i="12"/>
  <c r="AO187" i="12"/>
  <c r="AP187" i="12" s="1"/>
  <c r="AR187" i="12" s="1"/>
  <c r="W187" i="12"/>
  <c r="Y187" i="12" s="1"/>
  <c r="CT197" i="12"/>
  <c r="CU197" i="12" s="1"/>
  <c r="CW197" i="12" s="1"/>
  <c r="CV197" i="12"/>
  <c r="DO207" i="12"/>
  <c r="DM207" i="12"/>
  <c r="DN207" i="12" s="1"/>
  <c r="DP207" i="12" s="1"/>
  <c r="BJ206" i="12"/>
  <c r="BH206" i="12"/>
  <c r="BI206" i="12" s="1"/>
  <c r="BK206" i="12" s="1"/>
  <c r="BJ235" i="12"/>
  <c r="BH235" i="12"/>
  <c r="BI235" i="12" s="1"/>
  <c r="BK235" i="12" s="1"/>
  <c r="CV244" i="12"/>
  <c r="CT244" i="12"/>
  <c r="CU244" i="12" s="1"/>
  <c r="CW244" i="12" s="1"/>
  <c r="AQ235" i="12"/>
  <c r="AO235" i="12"/>
  <c r="AP235" i="12" s="1"/>
  <c r="AR235" i="12" s="1"/>
  <c r="W235" i="12"/>
  <c r="Y235" i="12" s="1"/>
  <c r="DO254" i="12"/>
  <c r="DM254" i="12"/>
  <c r="DN254" i="12" s="1"/>
  <c r="DP254" i="12" s="1"/>
  <c r="AQ276" i="12"/>
  <c r="AO276" i="12"/>
  <c r="AP276" i="12" s="1"/>
  <c r="AR276" i="12" s="1"/>
  <c r="W276" i="12"/>
  <c r="Y276" i="12" s="1"/>
  <c r="EH260" i="12"/>
  <c r="EF260" i="12"/>
  <c r="EG260" i="12" s="1"/>
  <c r="EI260" i="12" s="1"/>
  <c r="AO266" i="12"/>
  <c r="AP266" i="12" s="1"/>
  <c r="AR266" i="12" s="1"/>
  <c r="AQ266" i="12"/>
  <c r="W266" i="12"/>
  <c r="Y266" i="12" s="1"/>
  <c r="EY278" i="12"/>
  <c r="EZ278" i="12" s="1"/>
  <c r="FB278" i="12" s="1"/>
  <c r="FA278" i="12"/>
  <c r="EH293" i="12"/>
  <c r="EF293" i="12"/>
  <c r="EG293" i="12" s="1"/>
  <c r="EI293" i="12" s="1"/>
  <c r="CA306" i="12"/>
  <c r="CB306" i="12" s="1"/>
  <c r="CD306" i="12" s="1"/>
  <c r="CC306" i="12"/>
  <c r="AQ319" i="12"/>
  <c r="AO319" i="12"/>
  <c r="AP319" i="12" s="1"/>
  <c r="AR319" i="12" s="1"/>
  <c r="W319" i="12"/>
  <c r="Y319" i="12" s="1"/>
  <c r="DO321" i="12"/>
  <c r="DM321" i="12"/>
  <c r="DN321" i="12" s="1"/>
  <c r="DP321" i="12" s="1"/>
  <c r="AQ328" i="12"/>
  <c r="AO328" i="12"/>
  <c r="AP328" i="12" s="1"/>
  <c r="AR328" i="12" s="1"/>
  <c r="W328" i="12"/>
  <c r="Y328" i="12" s="1"/>
  <c r="DO338" i="12"/>
  <c r="DM338" i="12"/>
  <c r="DN338" i="12" s="1"/>
  <c r="DP338" i="12" s="1"/>
  <c r="CV347" i="12"/>
  <c r="CT347" i="12"/>
  <c r="CU347" i="12" s="1"/>
  <c r="CW347" i="12" s="1"/>
  <c r="AQ354" i="12"/>
  <c r="AO354" i="12"/>
  <c r="AP354" i="12" s="1"/>
  <c r="AR354" i="12" s="1"/>
  <c r="W354" i="12"/>
  <c r="Y354" i="12" s="1"/>
  <c r="DO361" i="12"/>
  <c r="DM361" i="12"/>
  <c r="DN361" i="12" s="1"/>
  <c r="DP361" i="12" s="1"/>
  <c r="CT70" i="12"/>
  <c r="CU70" i="12" s="1"/>
  <c r="CW70" i="12" s="1"/>
  <c r="CV70" i="12"/>
  <c r="EY90" i="12"/>
  <c r="EZ90" i="12" s="1"/>
  <c r="FB90" i="12" s="1"/>
  <c r="FA90" i="12"/>
  <c r="DO87" i="12"/>
  <c r="DM87" i="12"/>
  <c r="DN87" i="12" s="1"/>
  <c r="DP87" i="12" s="1"/>
  <c r="DO117" i="12"/>
  <c r="DM117" i="12"/>
  <c r="DN117" i="12" s="1"/>
  <c r="DP117" i="12" s="1"/>
  <c r="EF158" i="12"/>
  <c r="EG158" i="12" s="1"/>
  <c r="EI158" i="12" s="1"/>
  <c r="EH158" i="12"/>
  <c r="CC137" i="12"/>
  <c r="CA137" i="12"/>
  <c r="CB137" i="12" s="1"/>
  <c r="CD137" i="12" s="1"/>
  <c r="AO128" i="12"/>
  <c r="AP128" i="12" s="1"/>
  <c r="AR128" i="12" s="1"/>
  <c r="AQ128" i="12"/>
  <c r="W128" i="12"/>
  <c r="Y128" i="12" s="1"/>
  <c r="EH153" i="12"/>
  <c r="EF153" i="12"/>
  <c r="EG153" i="12" s="1"/>
  <c r="EI153" i="12" s="1"/>
  <c r="CA156" i="12"/>
  <c r="CB156" i="12" s="1"/>
  <c r="CD156" i="12" s="1"/>
  <c r="CC156" i="12"/>
  <c r="DO171" i="12"/>
  <c r="DM171" i="12"/>
  <c r="DN171" i="12" s="1"/>
  <c r="DP171" i="12" s="1"/>
  <c r="AO166" i="12"/>
  <c r="AP166" i="12" s="1"/>
  <c r="AR166" i="12" s="1"/>
  <c r="AQ166" i="12"/>
  <c r="W166" i="12"/>
  <c r="Y166" i="12" s="1"/>
  <c r="CC196" i="12"/>
  <c r="CA196" i="12"/>
  <c r="CB196" i="12" s="1"/>
  <c r="CD196" i="12" s="1"/>
  <c r="CC199" i="12"/>
  <c r="CA199" i="12"/>
  <c r="CB199" i="12" s="1"/>
  <c r="CD199" i="12" s="1"/>
  <c r="FA220" i="12"/>
  <c r="EY220" i="12"/>
  <c r="EZ220" i="12" s="1"/>
  <c r="FB220" i="12" s="1"/>
  <c r="DO227" i="12"/>
  <c r="DM227" i="12"/>
  <c r="DN227" i="12" s="1"/>
  <c r="DP227" i="12" s="1"/>
  <c r="FA243" i="12"/>
  <c r="EY243" i="12"/>
  <c r="EZ243" i="12" s="1"/>
  <c r="FB243" i="12" s="1"/>
  <c r="EF239" i="12"/>
  <c r="EG239" i="12" s="1"/>
  <c r="EI239" i="12" s="1"/>
  <c r="EH239" i="12"/>
  <c r="DO249" i="12"/>
  <c r="DM249" i="12"/>
  <c r="DN249" i="12" s="1"/>
  <c r="DP249" i="12" s="1"/>
  <c r="CV263" i="12"/>
  <c r="CT263" i="12"/>
  <c r="CU263" i="12" s="1"/>
  <c r="CW263" i="12" s="1"/>
  <c r="DO271" i="12"/>
  <c r="DM271" i="12"/>
  <c r="DN271" i="12" s="1"/>
  <c r="DP271" i="12" s="1"/>
  <c r="CT268" i="12"/>
  <c r="CU268" i="12" s="1"/>
  <c r="CW268" i="12" s="1"/>
  <c r="CV268" i="12"/>
  <c r="AQ291" i="12"/>
  <c r="AO291" i="12"/>
  <c r="AP291" i="12" s="1"/>
  <c r="AR291" i="12" s="1"/>
  <c r="W291" i="12"/>
  <c r="Y291" i="12" s="1"/>
  <c r="BH302" i="12"/>
  <c r="BI302" i="12" s="1"/>
  <c r="BK302" i="12" s="1"/>
  <c r="BJ302" i="12"/>
  <c r="EH320" i="12"/>
  <c r="EF320" i="12"/>
  <c r="EG320" i="12" s="1"/>
  <c r="EI320" i="12" s="1"/>
  <c r="CT317" i="12"/>
  <c r="CU317" i="12" s="1"/>
  <c r="CW317" i="12" s="1"/>
  <c r="CV317" i="12"/>
  <c r="FA324" i="12"/>
  <c r="EY324" i="12"/>
  <c r="EZ324" i="12" s="1"/>
  <c r="FB324" i="12" s="1"/>
  <c r="DO335" i="12"/>
  <c r="DM335" i="12"/>
  <c r="DN335" i="12" s="1"/>
  <c r="DP335" i="12" s="1"/>
  <c r="FA351" i="12"/>
  <c r="EY351" i="12"/>
  <c r="EZ351" i="12" s="1"/>
  <c r="FB351" i="12" s="1"/>
  <c r="FA358" i="12"/>
  <c r="EY358" i="12"/>
  <c r="EZ358" i="12" s="1"/>
  <c r="FB358" i="12" s="1"/>
  <c r="AQ60" i="12"/>
  <c r="AO60" i="12"/>
  <c r="AP60" i="12" s="1"/>
  <c r="AR60" i="12" s="1"/>
  <c r="W60" i="12"/>
  <c r="Y60" i="12" s="1"/>
  <c r="AQ93" i="12"/>
  <c r="AO93" i="12"/>
  <c r="AP93" i="12" s="1"/>
  <c r="AR93" i="12" s="1"/>
  <c r="W93" i="12"/>
  <c r="Y93" i="12" s="1"/>
  <c r="CV107" i="12"/>
  <c r="CT107" i="12"/>
  <c r="CU107" i="12" s="1"/>
  <c r="CW107" i="12" s="1"/>
  <c r="BJ104" i="12"/>
  <c r="BH104" i="12"/>
  <c r="BI104" i="12" s="1"/>
  <c r="BK104" i="12" s="1"/>
  <c r="FA104" i="12"/>
  <c r="EY104" i="12"/>
  <c r="EZ104" i="12" s="1"/>
  <c r="FB104" i="12" s="1"/>
  <c r="FA121" i="12"/>
  <c r="EY121" i="12"/>
  <c r="EZ121" i="12" s="1"/>
  <c r="FB121" i="12" s="1"/>
  <c r="EF162" i="12"/>
  <c r="EG162" i="12" s="1"/>
  <c r="EI162" i="12" s="1"/>
  <c r="EH162" i="12"/>
  <c r="DO144" i="12"/>
  <c r="DM144" i="12"/>
  <c r="DN144" i="12" s="1"/>
  <c r="DP144" i="12" s="1"/>
  <c r="CT191" i="12"/>
  <c r="CU191" i="12" s="1"/>
  <c r="CW191" i="12" s="1"/>
  <c r="CV191" i="12"/>
  <c r="CC194" i="12"/>
  <c r="CA194" i="12"/>
  <c r="CB194" i="12" s="1"/>
  <c r="CD194" i="12" s="1"/>
  <c r="AQ176" i="12"/>
  <c r="AO176" i="12"/>
  <c r="AP176" i="12" s="1"/>
  <c r="AR176" i="12" s="1"/>
  <c r="W176" i="12"/>
  <c r="Y176" i="12" s="1"/>
  <c r="BJ188" i="12"/>
  <c r="BH188" i="12"/>
  <c r="BI188" i="12" s="1"/>
  <c r="BK188" i="12" s="1"/>
  <c r="DM182" i="12"/>
  <c r="DN182" i="12" s="1"/>
  <c r="DP182" i="12" s="1"/>
  <c r="DO182" i="12"/>
  <c r="AQ198" i="12"/>
  <c r="AO198" i="12"/>
  <c r="AP198" i="12" s="1"/>
  <c r="AR198" i="12" s="1"/>
  <c r="W198" i="12"/>
  <c r="Y198" i="12" s="1"/>
  <c r="EH208" i="12"/>
  <c r="EF208" i="12"/>
  <c r="EG208" i="12" s="1"/>
  <c r="EI208" i="12" s="1"/>
  <c r="CA207" i="12"/>
  <c r="CB207" i="12" s="1"/>
  <c r="CD207" i="12" s="1"/>
  <c r="CC207" i="12"/>
  <c r="AQ236" i="12"/>
  <c r="AO236" i="12"/>
  <c r="AP236" i="12" s="1"/>
  <c r="AR236" i="12" s="1"/>
  <c r="W236" i="12"/>
  <c r="Y236" i="12" s="1"/>
  <c r="AQ221" i="12"/>
  <c r="AO221" i="12"/>
  <c r="AP221" i="12" s="1"/>
  <c r="AR221" i="12" s="1"/>
  <c r="W221" i="12"/>
  <c r="Y221" i="12" s="1"/>
  <c r="BJ236" i="12"/>
  <c r="BH236" i="12"/>
  <c r="BI236" i="12" s="1"/>
  <c r="BK236" i="12" s="1"/>
  <c r="EF255" i="12"/>
  <c r="EG255" i="12" s="1"/>
  <c r="EI255" i="12" s="1"/>
  <c r="EH255" i="12"/>
  <c r="AO265" i="12"/>
  <c r="AP265" i="12" s="1"/>
  <c r="AR265" i="12" s="1"/>
  <c r="AQ265" i="12"/>
  <c r="W265" i="12"/>
  <c r="Y265" i="12" s="1"/>
  <c r="FA261" i="12"/>
  <c r="EY261" i="12"/>
  <c r="EZ261" i="12" s="1"/>
  <c r="FB261" i="12" s="1"/>
  <c r="BJ267" i="12"/>
  <c r="BH267" i="12"/>
  <c r="BI267" i="12" s="1"/>
  <c r="BK267" i="12" s="1"/>
  <c r="CA295" i="12"/>
  <c r="CB295" i="12" s="1"/>
  <c r="CD295" i="12" s="1"/>
  <c r="CC295" i="12"/>
  <c r="DO294" i="12"/>
  <c r="DM294" i="12"/>
  <c r="DN294" i="12" s="1"/>
  <c r="DP294" i="12" s="1"/>
  <c r="CT307" i="12"/>
  <c r="CU307" i="12" s="1"/>
  <c r="CW307" i="12" s="1"/>
  <c r="CV307" i="12"/>
  <c r="BJ320" i="12"/>
  <c r="BH320" i="12"/>
  <c r="BI320" i="12" s="1"/>
  <c r="BK320" i="12" s="1"/>
  <c r="EH322" i="12"/>
  <c r="EF322" i="12"/>
  <c r="EG322" i="12" s="1"/>
  <c r="EI322" i="12" s="1"/>
  <c r="BJ329" i="12"/>
  <c r="BH329" i="12"/>
  <c r="BI329" i="12" s="1"/>
  <c r="BK329" i="12" s="1"/>
  <c r="CV337" i="12"/>
  <c r="CT337" i="12"/>
  <c r="CU337" i="12" s="1"/>
  <c r="CW337" i="12" s="1"/>
  <c r="CV348" i="12"/>
  <c r="CT348" i="12"/>
  <c r="CU348" i="12" s="1"/>
  <c r="CW348" i="12" s="1"/>
  <c r="EH356" i="12"/>
  <c r="EF356" i="12"/>
  <c r="EG356" i="12" s="1"/>
  <c r="EI356" i="12" s="1"/>
  <c r="EH362" i="12"/>
  <c r="EF362" i="12"/>
  <c r="EG362" i="12" s="1"/>
  <c r="EI362" i="12" s="1"/>
  <c r="DO64" i="12"/>
  <c r="DM64" i="12"/>
  <c r="DN64" i="12" s="1"/>
  <c r="DP64" i="12" s="1"/>
  <c r="AQ59" i="12"/>
  <c r="AO59" i="12"/>
  <c r="AP59" i="12" s="1"/>
  <c r="AR59" i="12" s="1"/>
  <c r="W59" i="12"/>
  <c r="Y59" i="12" s="1"/>
  <c r="CT117" i="12"/>
  <c r="CU117" i="12" s="1"/>
  <c r="CW117" i="12" s="1"/>
  <c r="CV117" i="12"/>
  <c r="EH108" i="12"/>
  <c r="EF108" i="12"/>
  <c r="EG108" i="12" s="1"/>
  <c r="EI108" i="12" s="1"/>
  <c r="CV109" i="12"/>
  <c r="CT109" i="12"/>
  <c r="CU109" i="12" s="1"/>
  <c r="CW109" i="12" s="1"/>
  <c r="CV126" i="12"/>
  <c r="CT126" i="12"/>
  <c r="CU126" i="12" s="1"/>
  <c r="CW126" i="12" s="1"/>
  <c r="DO126" i="12"/>
  <c r="DM126" i="12"/>
  <c r="DN126" i="12" s="1"/>
  <c r="DP126" i="12" s="1"/>
  <c r="DO121" i="12"/>
  <c r="DM121" i="12"/>
  <c r="DN121" i="12" s="1"/>
  <c r="DP121" i="12" s="1"/>
  <c r="BH150" i="12"/>
  <c r="BI150" i="12" s="1"/>
  <c r="BK150" i="12" s="1"/>
  <c r="BJ150" i="12"/>
  <c r="EF178" i="12"/>
  <c r="EG178" i="12" s="1"/>
  <c r="EI178" i="12" s="1"/>
  <c r="EH178" i="12"/>
  <c r="DM177" i="12"/>
  <c r="DN177" i="12" s="1"/>
  <c r="DP177" i="12" s="1"/>
  <c r="DO177" i="12"/>
  <c r="BJ169" i="12"/>
  <c r="BH169" i="12"/>
  <c r="BI169" i="12" s="1"/>
  <c r="BK169" i="12" s="1"/>
  <c r="DO189" i="12"/>
  <c r="DM189" i="12"/>
  <c r="DN189" i="12" s="1"/>
  <c r="DP189" i="12" s="1"/>
  <c r="EH192" i="12"/>
  <c r="EF192" i="12"/>
  <c r="EG192" i="12" s="1"/>
  <c r="EI192" i="12" s="1"/>
  <c r="BJ187" i="12"/>
  <c r="BH187" i="12"/>
  <c r="BI187" i="12" s="1"/>
  <c r="BK187" i="12" s="1"/>
  <c r="DO202" i="12"/>
  <c r="DM202" i="12"/>
  <c r="DN202" i="12" s="1"/>
  <c r="DP202" i="12" s="1"/>
  <c r="CA213" i="12"/>
  <c r="CB213" i="12" s="1"/>
  <c r="CD213" i="12" s="1"/>
  <c r="CC213" i="12"/>
  <c r="EY211" i="12"/>
  <c r="EZ211" i="12" s="1"/>
  <c r="FB211" i="12" s="1"/>
  <c r="FA211" i="12"/>
  <c r="AQ241" i="12"/>
  <c r="AO241" i="12"/>
  <c r="AP241" i="12" s="1"/>
  <c r="AR241" i="12" s="1"/>
  <c r="W241" i="12"/>
  <c r="Y241" i="12" s="1"/>
  <c r="DO225" i="12"/>
  <c r="DM225" i="12"/>
  <c r="DN225" i="12" s="1"/>
  <c r="DP225" i="12" s="1"/>
  <c r="EH240" i="12"/>
  <c r="EF240" i="12"/>
  <c r="EG240" i="12" s="1"/>
  <c r="EI240" i="12" s="1"/>
  <c r="CA260" i="12"/>
  <c r="CB260" i="12" s="1"/>
  <c r="CD260" i="12" s="1"/>
  <c r="CC260" i="12"/>
  <c r="AQ252" i="12"/>
  <c r="AO252" i="12"/>
  <c r="AP252" i="12" s="1"/>
  <c r="AR252" i="12" s="1"/>
  <c r="W252" i="12"/>
  <c r="Y252" i="12" s="1"/>
  <c r="EF271" i="12"/>
  <c r="EG271" i="12" s="1"/>
  <c r="EI271" i="12" s="1"/>
  <c r="EH271" i="12"/>
  <c r="AQ284" i="12"/>
  <c r="AO284" i="12"/>
  <c r="AP284" i="12" s="1"/>
  <c r="AR284" i="12" s="1"/>
  <c r="W284" i="12"/>
  <c r="Y284" i="12" s="1"/>
  <c r="EF283" i="12"/>
  <c r="EG283" i="12" s="1"/>
  <c r="EI283" i="12" s="1"/>
  <c r="EH283" i="12"/>
  <c r="BJ299" i="12"/>
  <c r="BH299" i="12"/>
  <c r="BI299" i="12" s="1"/>
  <c r="BK299" i="12" s="1"/>
  <c r="EY310" i="12"/>
  <c r="EZ310" i="12" s="1"/>
  <c r="FB310" i="12" s="1"/>
  <c r="FA310" i="12"/>
  <c r="BJ311" i="12"/>
  <c r="BH311" i="12"/>
  <c r="BI311" i="12" s="1"/>
  <c r="BK311" i="12" s="1"/>
  <c r="CC328" i="12"/>
  <c r="CA328" i="12"/>
  <c r="CB328" i="12" s="1"/>
  <c r="CD328" i="12" s="1"/>
  <c r="CC329" i="12"/>
  <c r="CA329" i="12"/>
  <c r="CB329" i="12" s="1"/>
  <c r="CD329" i="12" s="1"/>
  <c r="CT338" i="12"/>
  <c r="CU338" i="12" s="1"/>
  <c r="CW338" i="12" s="1"/>
  <c r="CV338" i="12"/>
  <c r="AQ358" i="12"/>
  <c r="AO358" i="12"/>
  <c r="AP358" i="12" s="1"/>
  <c r="AR358" i="12" s="1"/>
  <c r="W358" i="12"/>
  <c r="Y358" i="12" s="1"/>
  <c r="BH22" i="12"/>
  <c r="BI22" i="12" s="1"/>
  <c r="BK22" i="12" s="1"/>
  <c r="BJ22" i="12"/>
  <c r="BJ69" i="12"/>
  <c r="BH69" i="12"/>
  <c r="BI69" i="12" s="1"/>
  <c r="BK69" i="12" s="1"/>
  <c r="DM63" i="12"/>
  <c r="DN63" i="12" s="1"/>
  <c r="DP63" i="12" s="1"/>
  <c r="DO63" i="12"/>
  <c r="AQ84" i="12"/>
  <c r="AO84" i="12"/>
  <c r="AP84" i="12" s="1"/>
  <c r="AR84" i="12" s="1"/>
  <c r="W84" i="12"/>
  <c r="Y84" i="12" s="1"/>
  <c r="FA116" i="12"/>
  <c r="EY116" i="12"/>
  <c r="EZ116" i="12" s="1"/>
  <c r="FB116" i="12" s="1"/>
  <c r="FA113" i="12"/>
  <c r="EY113" i="12"/>
  <c r="EZ113" i="12" s="1"/>
  <c r="FB113" i="12" s="1"/>
  <c r="BH131" i="12"/>
  <c r="BI131" i="12" s="1"/>
  <c r="BK131" i="12" s="1"/>
  <c r="BJ131" i="12"/>
  <c r="BJ126" i="12"/>
  <c r="BH126" i="12"/>
  <c r="BI126" i="12" s="1"/>
  <c r="BK126" i="12" s="1"/>
  <c r="CV147" i="12"/>
  <c r="CT147" i="12"/>
  <c r="CU147" i="12" s="1"/>
  <c r="CW147" i="12" s="1"/>
  <c r="AQ188" i="12"/>
  <c r="AO188" i="12"/>
  <c r="AP188" i="12" s="1"/>
  <c r="AR188" i="12" s="1"/>
  <c r="W188" i="12"/>
  <c r="Y188" i="12" s="1"/>
  <c r="CA187" i="12"/>
  <c r="CB187" i="12" s="1"/>
  <c r="CD187" i="12" s="1"/>
  <c r="CC187" i="12"/>
  <c r="CC165" i="12"/>
  <c r="CA165" i="12"/>
  <c r="CB165" i="12" s="1"/>
  <c r="CD165" i="12" s="1"/>
  <c r="EH200" i="12"/>
  <c r="EF200" i="12"/>
  <c r="EG200" i="12" s="1"/>
  <c r="EI200" i="12" s="1"/>
  <c r="EH191" i="12"/>
  <c r="EF191" i="12"/>
  <c r="EG191" i="12" s="1"/>
  <c r="EI191" i="12" s="1"/>
  <c r="CV211" i="12"/>
  <c r="CT211" i="12"/>
  <c r="CU211" i="12" s="1"/>
  <c r="CW211" i="12" s="1"/>
  <c r="FA217" i="12"/>
  <c r="EY217" i="12"/>
  <c r="EZ217" i="12" s="1"/>
  <c r="FB217" i="12" s="1"/>
  <c r="CT216" i="12"/>
  <c r="CU216" i="12" s="1"/>
  <c r="CW216" i="12" s="1"/>
  <c r="CV216" i="12"/>
  <c r="BJ232" i="12"/>
  <c r="BH232" i="12"/>
  <c r="BI232" i="12" s="1"/>
  <c r="BK232" i="12" s="1"/>
  <c r="BJ230" i="12"/>
  <c r="BH230" i="12"/>
  <c r="BI230" i="12" s="1"/>
  <c r="BK230" i="12" s="1"/>
  <c r="CA245" i="12"/>
  <c r="CB245" i="12" s="1"/>
  <c r="CD245" i="12" s="1"/>
  <c r="CC245" i="12"/>
  <c r="FA270" i="12"/>
  <c r="EY270" i="12"/>
  <c r="EZ270" i="12" s="1"/>
  <c r="FB270" i="12" s="1"/>
  <c r="DO256" i="12"/>
  <c r="DM256" i="12"/>
  <c r="DN256" i="12" s="1"/>
  <c r="DP256" i="12" s="1"/>
  <c r="CC265" i="12"/>
  <c r="CA265" i="12"/>
  <c r="CB265" i="12" s="1"/>
  <c r="CD265" i="12" s="1"/>
  <c r="CC276" i="12"/>
  <c r="CA276" i="12"/>
  <c r="CB276" i="12" s="1"/>
  <c r="CD276" i="12" s="1"/>
  <c r="DO288" i="12"/>
  <c r="DM288" i="12"/>
  <c r="DN288" i="12" s="1"/>
  <c r="DP288" i="12" s="1"/>
  <c r="CA288" i="12"/>
  <c r="CB288" i="12" s="1"/>
  <c r="CD288" i="12" s="1"/>
  <c r="CC288" i="12"/>
  <c r="FA303" i="12"/>
  <c r="EY303" i="12"/>
  <c r="EZ303" i="12" s="1"/>
  <c r="FB303" i="12" s="1"/>
  <c r="EH315" i="12"/>
  <c r="EF315" i="12"/>
  <c r="EG315" i="12" s="1"/>
  <c r="EI315" i="12" s="1"/>
  <c r="DO320" i="12"/>
  <c r="DM320" i="12"/>
  <c r="DN320" i="12" s="1"/>
  <c r="DP320" i="12" s="1"/>
  <c r="EY338" i="12"/>
  <c r="EZ338" i="12" s="1"/>
  <c r="FB338" i="12" s="1"/>
  <c r="FA338" i="12"/>
  <c r="DO344" i="12"/>
  <c r="DM344" i="12"/>
  <c r="DN344" i="12" s="1"/>
  <c r="DP344" i="12" s="1"/>
  <c r="FA349" i="12"/>
  <c r="EY349" i="12"/>
  <c r="EZ349" i="12" s="1"/>
  <c r="FB349" i="12" s="1"/>
  <c r="DO360" i="12"/>
  <c r="DM360" i="12"/>
  <c r="DN360" i="12" s="1"/>
  <c r="DP360" i="12" s="1"/>
  <c r="EH17" i="12"/>
  <c r="EF17" i="12"/>
  <c r="EG17" i="12" s="1"/>
  <c r="EI17" i="12" s="1"/>
  <c r="CC15" i="12"/>
  <c r="CA15" i="12"/>
  <c r="CB15" i="12" s="1"/>
  <c r="CD15" i="12" s="1"/>
  <c r="AQ78" i="12"/>
  <c r="AO78" i="12"/>
  <c r="AP78" i="12" s="1"/>
  <c r="AR78" i="12" s="1"/>
  <c r="W78" i="12"/>
  <c r="Y78" i="12" s="1"/>
  <c r="CM20" i="12"/>
  <c r="CN20" i="12"/>
  <c r="CL20" i="12"/>
  <c r="CC109" i="9"/>
  <c r="CA109" i="9"/>
  <c r="CB109" i="9" s="1"/>
  <c r="CD109" i="9" s="1"/>
  <c r="EF17" i="9"/>
  <c r="EG17" i="9" s="1"/>
  <c r="EI17" i="9" s="1"/>
  <c r="EH17" i="9"/>
  <c r="CV72" i="9"/>
  <c r="CT72" i="9"/>
  <c r="CU72" i="9" s="1"/>
  <c r="CW72" i="9" s="1"/>
  <c r="AQ134" i="9"/>
  <c r="AO134" i="9"/>
  <c r="AP134" i="9" s="1"/>
  <c r="AR134" i="9" s="1"/>
  <c r="W134" i="9"/>
  <c r="Y134" i="9" s="1"/>
  <c r="BJ244" i="9"/>
  <c r="BH244" i="9"/>
  <c r="BI244" i="9" s="1"/>
  <c r="BK244" i="9" s="1"/>
  <c r="DO252" i="9"/>
  <c r="DM252" i="9"/>
  <c r="DN252" i="9" s="1"/>
  <c r="DP252" i="9" s="1"/>
  <c r="CC302" i="9"/>
  <c r="CA302" i="9"/>
  <c r="CB302" i="9" s="1"/>
  <c r="CD302" i="9" s="1"/>
  <c r="FA292" i="9"/>
  <c r="EY292" i="9"/>
  <c r="EZ292" i="9" s="1"/>
  <c r="FB292" i="9" s="1"/>
  <c r="DO52" i="9"/>
  <c r="DM52" i="9"/>
  <c r="DN52" i="9" s="1"/>
  <c r="DP52" i="9" s="1"/>
  <c r="CT159" i="9"/>
  <c r="CU159" i="9" s="1"/>
  <c r="CW159" i="9" s="1"/>
  <c r="CV159" i="9"/>
  <c r="CV200" i="9"/>
  <c r="CT200" i="9"/>
  <c r="CU200" i="9" s="1"/>
  <c r="CW200" i="9" s="1"/>
  <c r="FA238" i="9"/>
  <c r="EY238" i="9"/>
  <c r="EZ238" i="9" s="1"/>
  <c r="FB238" i="9" s="1"/>
  <c r="BJ297" i="9"/>
  <c r="BH297" i="9"/>
  <c r="BI297" i="9" s="1"/>
  <c r="BK297" i="9" s="1"/>
  <c r="FA44" i="9"/>
  <c r="EY44" i="9"/>
  <c r="EZ44" i="9" s="1"/>
  <c r="FB44" i="9" s="1"/>
  <c r="CC134" i="9"/>
  <c r="CA134" i="9"/>
  <c r="CB134" i="9" s="1"/>
  <c r="CD134" i="9" s="1"/>
  <c r="CV175" i="9"/>
  <c r="CT175" i="9"/>
  <c r="CU175" i="9" s="1"/>
  <c r="CW175" i="9" s="1"/>
  <c r="CT221" i="9"/>
  <c r="CU221" i="9" s="1"/>
  <c r="CW221" i="9" s="1"/>
  <c r="CV221" i="9"/>
  <c r="CT163" i="9"/>
  <c r="CU163" i="9" s="1"/>
  <c r="CW163" i="9" s="1"/>
  <c r="CV163" i="9"/>
  <c r="EF64" i="9"/>
  <c r="EG64" i="9" s="1"/>
  <c r="EI64" i="9" s="1"/>
  <c r="EH64" i="9"/>
  <c r="AO119" i="9"/>
  <c r="AP119" i="9" s="1"/>
  <c r="AR119" i="9" s="1"/>
  <c r="AQ119" i="9"/>
  <c r="W119" i="9"/>
  <c r="Y119" i="9" s="1"/>
  <c r="CC225" i="9"/>
  <c r="CA225" i="9"/>
  <c r="CB225" i="9" s="1"/>
  <c r="CD225" i="9" s="1"/>
  <c r="BH253" i="9"/>
  <c r="BI253" i="9" s="1"/>
  <c r="BK253" i="9" s="1"/>
  <c r="BJ253" i="9"/>
  <c r="AQ289" i="9"/>
  <c r="AO289" i="9"/>
  <c r="AP289" i="9" s="1"/>
  <c r="AR289" i="9" s="1"/>
  <c r="W289" i="9"/>
  <c r="Y289" i="9" s="1"/>
  <c r="AQ239" i="9"/>
  <c r="AO239" i="9"/>
  <c r="AP239" i="9" s="1"/>
  <c r="AR239" i="9" s="1"/>
  <c r="W239" i="9"/>
  <c r="Y239" i="9" s="1"/>
  <c r="CT123" i="9"/>
  <c r="CU123" i="9" s="1"/>
  <c r="CW123" i="9" s="1"/>
  <c r="CV123" i="9"/>
  <c r="CV137" i="9"/>
  <c r="CT137" i="9"/>
  <c r="CU137" i="9" s="1"/>
  <c r="CW137" i="9" s="1"/>
  <c r="BJ254" i="9"/>
  <c r="BH254" i="9"/>
  <c r="BI254" i="9" s="1"/>
  <c r="BK254" i="9" s="1"/>
  <c r="FA299" i="9"/>
  <c r="EY299" i="9"/>
  <c r="EZ299" i="9" s="1"/>
  <c r="FB299" i="9" s="1"/>
  <c r="EH225" i="9"/>
  <c r="EF225" i="9"/>
  <c r="EG225" i="9" s="1"/>
  <c r="EI225" i="9" s="1"/>
  <c r="AQ128" i="9"/>
  <c r="AO128" i="9"/>
  <c r="AP128" i="9" s="1"/>
  <c r="AR128" i="9" s="1"/>
  <c r="W128" i="9"/>
  <c r="Y128" i="9" s="1"/>
  <c r="CV169" i="9"/>
  <c r="CT169" i="9"/>
  <c r="CU169" i="9" s="1"/>
  <c r="CW169" i="9" s="1"/>
  <c r="DM208" i="9"/>
  <c r="DN208" i="9" s="1"/>
  <c r="DP208" i="9" s="1"/>
  <c r="DO208" i="9"/>
  <c r="CC286" i="9"/>
  <c r="CA286" i="9"/>
  <c r="CB286" i="9" s="1"/>
  <c r="CD286" i="9" s="1"/>
  <c r="CV277" i="9"/>
  <c r="CT277" i="9"/>
  <c r="CU277" i="9" s="1"/>
  <c r="CW277" i="9" s="1"/>
  <c r="FA101" i="9"/>
  <c r="EY101" i="9"/>
  <c r="EZ101" i="9" s="1"/>
  <c r="FB101" i="9" s="1"/>
  <c r="EY154" i="9"/>
  <c r="EZ154" i="9" s="1"/>
  <c r="FB154" i="9" s="1"/>
  <c r="FA154" i="9"/>
  <c r="CV224" i="9"/>
  <c r="CT224" i="9"/>
  <c r="CU224" i="9" s="1"/>
  <c r="CW224" i="9" s="1"/>
  <c r="EH302" i="9"/>
  <c r="EF302" i="9"/>
  <c r="EG302" i="9" s="1"/>
  <c r="EI302" i="9" s="1"/>
  <c r="FA319" i="9"/>
  <c r="EY319" i="9"/>
  <c r="EZ319" i="9" s="1"/>
  <c r="FB319" i="9" s="1"/>
  <c r="CA329" i="9"/>
  <c r="CB329" i="9" s="1"/>
  <c r="CD329" i="9" s="1"/>
  <c r="CC329" i="9"/>
  <c r="EH329" i="9"/>
  <c r="EF329" i="9"/>
  <c r="EG329" i="9" s="1"/>
  <c r="EI329" i="9" s="1"/>
  <c r="CT341" i="9"/>
  <c r="CU341" i="9" s="1"/>
  <c r="CW341" i="9" s="1"/>
  <c r="CV341" i="9"/>
  <c r="EH338" i="9"/>
  <c r="EF338" i="9"/>
  <c r="EG338" i="9" s="1"/>
  <c r="EI338" i="9" s="1"/>
  <c r="EF342" i="9"/>
  <c r="EG342" i="9" s="1"/>
  <c r="EI342" i="9" s="1"/>
  <c r="EH342" i="9"/>
  <c r="EY85" i="9"/>
  <c r="EZ85" i="9" s="1"/>
  <c r="FB85" i="9" s="1"/>
  <c r="FA85" i="9"/>
  <c r="DM71" i="9"/>
  <c r="DN71" i="9" s="1"/>
  <c r="DP71" i="9" s="1"/>
  <c r="DO71" i="9"/>
  <c r="DO27" i="9"/>
  <c r="DM27" i="9"/>
  <c r="DN27" i="9" s="1"/>
  <c r="DP27" i="9" s="1"/>
  <c r="BH27" i="12"/>
  <c r="BI27" i="12" s="1"/>
  <c r="BK27" i="12" s="1"/>
  <c r="BJ27" i="12"/>
  <c r="BJ66" i="12"/>
  <c r="BH66" i="12"/>
  <c r="BI66" i="12" s="1"/>
  <c r="BK66" i="12" s="1"/>
  <c r="EH47" i="12"/>
  <c r="EF47" i="12"/>
  <c r="EG47" i="12" s="1"/>
  <c r="EI47" i="12" s="1"/>
  <c r="CT28" i="12"/>
  <c r="CU28" i="12" s="1"/>
  <c r="CW28" i="12" s="1"/>
  <c r="CV28" i="12"/>
  <c r="EY147" i="12"/>
  <c r="EZ147" i="12" s="1"/>
  <c r="FB147" i="12" s="1"/>
  <c r="FA147" i="12"/>
  <c r="DO323" i="12"/>
  <c r="DM323" i="12"/>
  <c r="DN323" i="12" s="1"/>
  <c r="DP323" i="12" s="1"/>
  <c r="DO86" i="12"/>
  <c r="DM86" i="12"/>
  <c r="DN86" i="12" s="1"/>
  <c r="DP86" i="12" s="1"/>
  <c r="DM45" i="12"/>
  <c r="DN45" i="12" s="1"/>
  <c r="DP45" i="12" s="1"/>
  <c r="DO45" i="12"/>
  <c r="EH232" i="12"/>
  <c r="EF232" i="12"/>
  <c r="EG232" i="12" s="1"/>
  <c r="EI232" i="12" s="1"/>
  <c r="AQ69" i="12"/>
  <c r="AO69" i="12"/>
  <c r="AP69" i="12" s="1"/>
  <c r="AR69" i="12" s="1"/>
  <c r="W69" i="12"/>
  <c r="Y69" i="12" s="1"/>
  <c r="DO38" i="12"/>
  <c r="DM38" i="12"/>
  <c r="DN38" i="12" s="1"/>
  <c r="DP38" i="12" s="1"/>
  <c r="EH186" i="12"/>
  <c r="EF186" i="12"/>
  <c r="EG186" i="12" s="1"/>
  <c r="EI186" i="12" s="1"/>
  <c r="AQ169" i="12"/>
  <c r="AO169" i="12"/>
  <c r="AP169" i="12" s="1"/>
  <c r="AR169" i="12" s="1"/>
  <c r="W169" i="12"/>
  <c r="Y169" i="12" s="1"/>
  <c r="EH238" i="12"/>
  <c r="EF238" i="12"/>
  <c r="EG238" i="12" s="1"/>
  <c r="EI238" i="12" s="1"/>
  <c r="CT265" i="12"/>
  <c r="CU265" i="12" s="1"/>
  <c r="CW265" i="12" s="1"/>
  <c r="CV265" i="12"/>
  <c r="CT327" i="12"/>
  <c r="CU327" i="12" s="1"/>
  <c r="CW327" i="12" s="1"/>
  <c r="CV327" i="12"/>
  <c r="CV120" i="12"/>
  <c r="CT120" i="12"/>
  <c r="CU120" i="12" s="1"/>
  <c r="CW120" i="12" s="1"/>
  <c r="CC191" i="12"/>
  <c r="CA191" i="12"/>
  <c r="CB191" i="12" s="1"/>
  <c r="CD191" i="12" s="1"/>
  <c r="DO213" i="12"/>
  <c r="DM213" i="12"/>
  <c r="DN213" i="12" s="1"/>
  <c r="DP213" i="12" s="1"/>
  <c r="EH282" i="12"/>
  <c r="EF282" i="12"/>
  <c r="EG282" i="12" s="1"/>
  <c r="EI282" i="12" s="1"/>
  <c r="CC318" i="12"/>
  <c r="CA318" i="12"/>
  <c r="CB318" i="12" s="1"/>
  <c r="CD318" i="12" s="1"/>
  <c r="DO358" i="12"/>
  <c r="DM358" i="12"/>
  <c r="DN358" i="12" s="1"/>
  <c r="DP358" i="12" s="1"/>
  <c r="CC118" i="12"/>
  <c r="CA118" i="12"/>
  <c r="CB118" i="12" s="1"/>
  <c r="CD118" i="12" s="1"/>
  <c r="EF159" i="12"/>
  <c r="EG159" i="12" s="1"/>
  <c r="EI159" i="12" s="1"/>
  <c r="EH159" i="12"/>
  <c r="FA222" i="12"/>
  <c r="EY222" i="12"/>
  <c r="EZ222" i="12" s="1"/>
  <c r="FB222" i="12" s="1"/>
  <c r="AO275" i="12"/>
  <c r="AP275" i="12" s="1"/>
  <c r="AR275" i="12" s="1"/>
  <c r="AQ275" i="12"/>
  <c r="W275" i="12"/>
  <c r="Y275" i="12" s="1"/>
  <c r="DM306" i="12"/>
  <c r="DN306" i="12" s="1"/>
  <c r="DP306" i="12" s="1"/>
  <c r="DO306" i="12"/>
  <c r="CT58" i="12"/>
  <c r="CU58" i="12" s="1"/>
  <c r="CW58" i="12" s="1"/>
  <c r="CV58" i="12"/>
  <c r="CC166" i="12"/>
  <c r="CA166" i="12"/>
  <c r="CB166" i="12" s="1"/>
  <c r="CD166" i="12" s="1"/>
  <c r="AQ186" i="12"/>
  <c r="AO186" i="12"/>
  <c r="AP186" i="12" s="1"/>
  <c r="AR186" i="12" s="1"/>
  <c r="W186" i="12"/>
  <c r="Y186" i="12" s="1"/>
  <c r="DM270" i="12"/>
  <c r="DN270" i="12" s="1"/>
  <c r="DP270" i="12" s="1"/>
  <c r="DO270" i="12"/>
  <c r="AQ310" i="12"/>
  <c r="AO310" i="12"/>
  <c r="AP310" i="12" s="1"/>
  <c r="AR310" i="12" s="1"/>
  <c r="W310" i="12"/>
  <c r="Y310" i="12" s="1"/>
  <c r="CC337" i="12"/>
  <c r="CA337" i="12"/>
  <c r="CB337" i="12" s="1"/>
  <c r="CD337" i="12" s="1"/>
  <c r="AO80" i="12"/>
  <c r="AP80" i="12" s="1"/>
  <c r="AR80" i="12" s="1"/>
  <c r="AQ80" i="12"/>
  <c r="W80" i="12"/>
  <c r="Y80" i="12" s="1"/>
  <c r="FA92" i="12"/>
  <c r="EY92" i="12"/>
  <c r="EZ92" i="12" s="1"/>
  <c r="FB92" i="12" s="1"/>
  <c r="DO132" i="12"/>
  <c r="DM132" i="12"/>
  <c r="DN132" i="12" s="1"/>
  <c r="DP132" i="12" s="1"/>
  <c r="EY160" i="12"/>
  <c r="EZ160" i="12" s="1"/>
  <c r="FB160" i="12" s="1"/>
  <c r="FA160" i="12"/>
  <c r="BJ211" i="12"/>
  <c r="BH211" i="12"/>
  <c r="BI211" i="12" s="1"/>
  <c r="BK211" i="12" s="1"/>
  <c r="CA244" i="12"/>
  <c r="CB244" i="12" s="1"/>
  <c r="CD244" i="12" s="1"/>
  <c r="CC244" i="12"/>
  <c r="EH319" i="12"/>
  <c r="EF319" i="12"/>
  <c r="EG319" i="12" s="1"/>
  <c r="EI319" i="12" s="1"/>
  <c r="DO21" i="12"/>
  <c r="DM21" i="12"/>
  <c r="DN21" i="12" s="1"/>
  <c r="DP21" i="12" s="1"/>
  <c r="EF96" i="12"/>
  <c r="EG96" i="12" s="1"/>
  <c r="EI96" i="12" s="1"/>
  <c r="EH96" i="12"/>
  <c r="BJ137" i="12"/>
  <c r="BH137" i="12"/>
  <c r="BI137" i="12" s="1"/>
  <c r="BK137" i="12" s="1"/>
  <c r="CV198" i="12"/>
  <c r="CT198" i="12"/>
  <c r="CU198" i="12" s="1"/>
  <c r="CW198" i="12" s="1"/>
  <c r="AQ244" i="12"/>
  <c r="AO244" i="12"/>
  <c r="AP244" i="12" s="1"/>
  <c r="AR244" i="12" s="1"/>
  <c r="W244" i="12"/>
  <c r="Y244" i="12" s="1"/>
  <c r="EY294" i="12"/>
  <c r="EZ294" i="12" s="1"/>
  <c r="FB294" i="12" s="1"/>
  <c r="FA294" i="12"/>
  <c r="BJ57" i="12"/>
  <c r="BH57" i="12"/>
  <c r="BI57" i="12" s="1"/>
  <c r="BK57" i="12" s="1"/>
  <c r="DO93" i="12"/>
  <c r="DM93" i="12"/>
  <c r="DN93" i="12" s="1"/>
  <c r="DP93" i="12" s="1"/>
  <c r="EF150" i="12"/>
  <c r="EG150" i="12" s="1"/>
  <c r="EI150" i="12" s="1"/>
  <c r="EH150" i="12"/>
  <c r="BJ190" i="12"/>
  <c r="BH190" i="12"/>
  <c r="BI190" i="12" s="1"/>
  <c r="BK190" i="12" s="1"/>
  <c r="CC263" i="12"/>
  <c r="CA263" i="12"/>
  <c r="CB263" i="12" s="1"/>
  <c r="CD263" i="12" s="1"/>
  <c r="AO290" i="12"/>
  <c r="AP290" i="12" s="1"/>
  <c r="AR290" i="12" s="1"/>
  <c r="AQ290" i="12"/>
  <c r="W290" i="12"/>
  <c r="Y290" i="12" s="1"/>
  <c r="CC326" i="12"/>
  <c r="CA326" i="12"/>
  <c r="CB326" i="12" s="1"/>
  <c r="CD326" i="12" s="1"/>
  <c r="CA352" i="12"/>
  <c r="CB352" i="12" s="1"/>
  <c r="CD352" i="12" s="1"/>
  <c r="CC352" i="12"/>
  <c r="DX20" i="12"/>
  <c r="DZ20" i="12"/>
  <c r="DY20" i="12"/>
  <c r="J23" i="12" a="1"/>
  <c r="J23" i="12" s="1"/>
  <c r="L23" i="12" a="1"/>
  <c r="L23" i="12" s="1"/>
  <c r="G23" i="12" a="1"/>
  <c r="G23" i="12" s="1"/>
  <c r="K23" i="12" a="1"/>
  <c r="K23" i="12" s="1"/>
  <c r="H23" i="12" a="1"/>
  <c r="H23" i="12" s="1"/>
  <c r="O23" i="12" a="1"/>
  <c r="O23" i="12" s="1"/>
  <c r="N23" i="12" a="1"/>
  <c r="N23" i="12" s="1"/>
  <c r="D24" i="12"/>
  <c r="AO83" i="9"/>
  <c r="AP83" i="9" s="1"/>
  <c r="AR83" i="9" s="1"/>
  <c r="AQ83" i="9"/>
  <c r="W83" i="9"/>
  <c r="Y83" i="9" s="1"/>
  <c r="FA82" i="9"/>
  <c r="EY82" i="9"/>
  <c r="EZ82" i="9" s="1"/>
  <c r="FB82" i="9" s="1"/>
  <c r="CA140" i="9"/>
  <c r="CB140" i="9" s="1"/>
  <c r="CD140" i="9" s="1"/>
  <c r="CC140" i="9"/>
  <c r="EH190" i="9"/>
  <c r="EF190" i="9"/>
  <c r="EG190" i="9" s="1"/>
  <c r="EI190" i="9" s="1"/>
  <c r="FA233" i="9"/>
  <c r="EY233" i="9"/>
  <c r="EZ233" i="9" s="1"/>
  <c r="FB233" i="9" s="1"/>
  <c r="CV284" i="9"/>
  <c r="CT284" i="9"/>
  <c r="CU284" i="9" s="1"/>
  <c r="CW284" i="9" s="1"/>
  <c r="FA47" i="9"/>
  <c r="EY47" i="9"/>
  <c r="EZ47" i="9" s="1"/>
  <c r="FB47" i="9" s="1"/>
  <c r="CT36" i="9"/>
  <c r="CU36" i="9" s="1"/>
  <c r="CW36" i="9" s="1"/>
  <c r="CV36" i="9"/>
  <c r="EF35" i="9"/>
  <c r="EG35" i="9" s="1"/>
  <c r="EI35" i="9" s="1"/>
  <c r="EH35" i="9"/>
  <c r="EH101" i="9"/>
  <c r="EF101" i="9"/>
  <c r="EG101" i="9" s="1"/>
  <c r="EI101" i="9" s="1"/>
  <c r="DO105" i="9"/>
  <c r="DM105" i="9"/>
  <c r="DN105" i="9" s="1"/>
  <c r="DP105" i="9" s="1"/>
  <c r="CA101" i="9"/>
  <c r="CB101" i="9" s="1"/>
  <c r="CD101" i="9" s="1"/>
  <c r="CC101" i="9"/>
  <c r="CV111" i="9"/>
  <c r="CT111" i="9"/>
  <c r="CU111" i="9" s="1"/>
  <c r="CW111" i="9" s="1"/>
  <c r="EY152" i="9"/>
  <c r="EZ152" i="9" s="1"/>
  <c r="FB152" i="9" s="1"/>
  <c r="FA152" i="9"/>
  <c r="AQ144" i="9"/>
  <c r="AO144" i="9"/>
  <c r="AP144" i="9" s="1"/>
  <c r="AR144" i="9" s="1"/>
  <c r="W144" i="9"/>
  <c r="Y144" i="9" s="1"/>
  <c r="CC120" i="9"/>
  <c r="CA120" i="9"/>
  <c r="CB120" i="9" s="1"/>
  <c r="CD120" i="9" s="1"/>
  <c r="DO154" i="9"/>
  <c r="DM154" i="9"/>
  <c r="DN154" i="9" s="1"/>
  <c r="DP154" i="9" s="1"/>
  <c r="BH131" i="9"/>
  <c r="BI131" i="9" s="1"/>
  <c r="BK131" i="9" s="1"/>
  <c r="BJ131" i="9"/>
  <c r="CT145" i="9"/>
  <c r="CU145" i="9" s="1"/>
  <c r="CW145" i="9" s="1"/>
  <c r="CV145" i="9"/>
  <c r="DO128" i="9"/>
  <c r="DM128" i="9"/>
  <c r="DN128" i="9" s="1"/>
  <c r="DP128" i="9" s="1"/>
  <c r="EH146" i="9"/>
  <c r="EF146" i="9"/>
  <c r="EG146" i="9" s="1"/>
  <c r="EI146" i="9" s="1"/>
  <c r="FA172" i="9"/>
  <c r="EY172" i="9"/>
  <c r="EZ172" i="9" s="1"/>
  <c r="FB172" i="9" s="1"/>
  <c r="DM172" i="9"/>
  <c r="DN172" i="9" s="1"/>
  <c r="DP172" i="9" s="1"/>
  <c r="DO172" i="9"/>
  <c r="AQ183" i="9"/>
  <c r="AO183" i="9"/>
  <c r="AP183" i="9" s="1"/>
  <c r="AR183" i="9" s="1"/>
  <c r="W183" i="9"/>
  <c r="Y183" i="9" s="1"/>
  <c r="CV182" i="9"/>
  <c r="CT182" i="9"/>
  <c r="CU182" i="9" s="1"/>
  <c r="CW182" i="9" s="1"/>
  <c r="DM215" i="9"/>
  <c r="DN215" i="9" s="1"/>
  <c r="DP215" i="9" s="1"/>
  <c r="DO215" i="9"/>
  <c r="BJ205" i="9"/>
  <c r="BH205" i="9"/>
  <c r="BI205" i="9" s="1"/>
  <c r="BK205" i="9" s="1"/>
  <c r="EF238" i="9"/>
  <c r="EG238" i="9" s="1"/>
  <c r="EI238" i="9" s="1"/>
  <c r="EH238" i="9"/>
  <c r="BJ209" i="9"/>
  <c r="BH209" i="9"/>
  <c r="BI209" i="9" s="1"/>
  <c r="BK209" i="9" s="1"/>
  <c r="EH211" i="9"/>
  <c r="EF211" i="9"/>
  <c r="EG211" i="9" s="1"/>
  <c r="EI211" i="9" s="1"/>
  <c r="EF236" i="9"/>
  <c r="EG236" i="9" s="1"/>
  <c r="EI236" i="9" s="1"/>
  <c r="EH236" i="9"/>
  <c r="EH250" i="9"/>
  <c r="EF250" i="9"/>
  <c r="EG250" i="9" s="1"/>
  <c r="EI250" i="9" s="1"/>
  <c r="EH253" i="9"/>
  <c r="EF253" i="9"/>
  <c r="EG253" i="9" s="1"/>
  <c r="EI253" i="9" s="1"/>
  <c r="AQ270" i="9"/>
  <c r="AO270" i="9"/>
  <c r="AP270" i="9" s="1"/>
  <c r="AR270" i="9" s="1"/>
  <c r="W270" i="9"/>
  <c r="Y270" i="9" s="1"/>
  <c r="DM276" i="9"/>
  <c r="DN276" i="9" s="1"/>
  <c r="DP276" i="9" s="1"/>
  <c r="DO276" i="9"/>
  <c r="AQ283" i="9"/>
  <c r="AO283" i="9"/>
  <c r="AP283" i="9" s="1"/>
  <c r="AR283" i="9" s="1"/>
  <c r="W283" i="9"/>
  <c r="Y283" i="9" s="1"/>
  <c r="DO288" i="9"/>
  <c r="DM288" i="9"/>
  <c r="DN288" i="9" s="1"/>
  <c r="DP288" i="9" s="1"/>
  <c r="FA297" i="9"/>
  <c r="EY297" i="9"/>
  <c r="EZ297" i="9" s="1"/>
  <c r="FB297" i="9" s="1"/>
  <c r="CV312" i="9"/>
  <c r="CT312" i="9"/>
  <c r="CU312" i="9" s="1"/>
  <c r="CW312" i="9" s="1"/>
  <c r="FA325" i="9"/>
  <c r="EY325" i="9"/>
  <c r="EZ325" i="9" s="1"/>
  <c r="FB325" i="9" s="1"/>
  <c r="CV353" i="9"/>
  <c r="CT353" i="9"/>
  <c r="CU353" i="9" s="1"/>
  <c r="CW353" i="9" s="1"/>
  <c r="BJ84" i="9"/>
  <c r="BH84" i="9"/>
  <c r="BI84" i="9" s="1"/>
  <c r="BK84" i="9" s="1"/>
  <c r="EY122" i="9"/>
  <c r="EZ122" i="9" s="1"/>
  <c r="FB122" i="9" s="1"/>
  <c r="FA122" i="9"/>
  <c r="DM181" i="9"/>
  <c r="DN181" i="9" s="1"/>
  <c r="DP181" i="9" s="1"/>
  <c r="DO181" i="9"/>
  <c r="EH233" i="9"/>
  <c r="EF233" i="9"/>
  <c r="EG233" i="9" s="1"/>
  <c r="EI233" i="9" s="1"/>
  <c r="AQ249" i="9"/>
  <c r="AO249" i="9"/>
  <c r="AP249" i="9" s="1"/>
  <c r="AR249" i="9" s="1"/>
  <c r="W249" i="9"/>
  <c r="Y249" i="9" s="1"/>
  <c r="AQ288" i="9"/>
  <c r="AO288" i="9"/>
  <c r="AP288" i="9" s="1"/>
  <c r="AR288" i="9" s="1"/>
  <c r="W288" i="9"/>
  <c r="Y288" i="9" s="1"/>
  <c r="BH78" i="9"/>
  <c r="BI78" i="9" s="1"/>
  <c r="BK78" i="9" s="1"/>
  <c r="BJ78" i="9"/>
  <c r="AQ35" i="9"/>
  <c r="AO35" i="9"/>
  <c r="AP35" i="9" s="1"/>
  <c r="AR35" i="9" s="1"/>
  <c r="W35" i="9"/>
  <c r="Y35" i="9" s="1"/>
  <c r="AQ20" i="9"/>
  <c r="AO20" i="9"/>
  <c r="AP20" i="9" s="1"/>
  <c r="AR20" i="9" s="1"/>
  <c r="W20" i="9"/>
  <c r="CT112" i="9"/>
  <c r="CU112" i="9" s="1"/>
  <c r="CW112" i="9" s="1"/>
  <c r="CV112" i="9"/>
  <c r="CV83" i="9"/>
  <c r="CT83" i="9"/>
  <c r="CU83" i="9" s="1"/>
  <c r="CW83" i="9" s="1"/>
  <c r="DO84" i="9"/>
  <c r="DM84" i="9"/>
  <c r="DN84" i="9" s="1"/>
  <c r="DP84" i="9" s="1"/>
  <c r="FA89" i="9"/>
  <c r="EY89" i="9"/>
  <c r="EZ89" i="9" s="1"/>
  <c r="FB89" i="9" s="1"/>
  <c r="CC92" i="9"/>
  <c r="CA92" i="9"/>
  <c r="CB92" i="9" s="1"/>
  <c r="CD92" i="9" s="1"/>
  <c r="BJ107" i="9"/>
  <c r="BH107" i="9"/>
  <c r="BI107" i="9" s="1"/>
  <c r="BK107" i="9" s="1"/>
  <c r="DM116" i="9"/>
  <c r="DN116" i="9" s="1"/>
  <c r="DP116" i="9" s="1"/>
  <c r="DO116" i="9"/>
  <c r="EH164" i="9"/>
  <c r="EF164" i="9"/>
  <c r="EG164" i="9" s="1"/>
  <c r="EI164" i="9" s="1"/>
  <c r="AQ193" i="9"/>
  <c r="AO193" i="9"/>
  <c r="AP193" i="9" s="1"/>
  <c r="AR193" i="9" s="1"/>
  <c r="W193" i="9"/>
  <c r="Y193" i="9" s="1"/>
  <c r="EY174" i="9"/>
  <c r="EZ174" i="9" s="1"/>
  <c r="FB174" i="9" s="1"/>
  <c r="FA174" i="9"/>
  <c r="BH157" i="9"/>
  <c r="BI157" i="9" s="1"/>
  <c r="BK157" i="9" s="1"/>
  <c r="BJ157" i="9"/>
  <c r="AO200" i="9"/>
  <c r="AP200" i="9" s="1"/>
  <c r="AR200" i="9" s="1"/>
  <c r="AQ200" i="9"/>
  <c r="W200" i="9"/>
  <c r="Y200" i="9" s="1"/>
  <c r="FA200" i="9"/>
  <c r="EY200" i="9"/>
  <c r="EZ200" i="9" s="1"/>
  <c r="FB200" i="9" s="1"/>
  <c r="CA194" i="9"/>
  <c r="CB194" i="9" s="1"/>
  <c r="CD194" i="9" s="1"/>
  <c r="CC194" i="9"/>
  <c r="DM190" i="9"/>
  <c r="DN190" i="9" s="1"/>
  <c r="DP190" i="9" s="1"/>
  <c r="DO190" i="9"/>
  <c r="DM227" i="9"/>
  <c r="DN227" i="9" s="1"/>
  <c r="DP227" i="9" s="1"/>
  <c r="DO227" i="9"/>
  <c r="DO225" i="9"/>
  <c r="DM225" i="9"/>
  <c r="DN225" i="9" s="1"/>
  <c r="DP225" i="9" s="1"/>
  <c r="AQ238" i="9"/>
  <c r="AO238" i="9"/>
  <c r="AP238" i="9" s="1"/>
  <c r="AR238" i="9" s="1"/>
  <c r="W238" i="9"/>
  <c r="Y238" i="9" s="1"/>
  <c r="BJ237" i="9"/>
  <c r="BH237" i="9"/>
  <c r="BI237" i="9" s="1"/>
  <c r="BK237" i="9" s="1"/>
  <c r="EF254" i="9"/>
  <c r="EG254" i="9" s="1"/>
  <c r="EI254" i="9" s="1"/>
  <c r="EH254" i="9"/>
  <c r="CA268" i="9"/>
  <c r="CB268" i="9" s="1"/>
  <c r="CD268" i="9" s="1"/>
  <c r="CC268" i="9"/>
  <c r="FA268" i="9"/>
  <c r="EY268" i="9"/>
  <c r="EZ268" i="9" s="1"/>
  <c r="FB268" i="9" s="1"/>
  <c r="EY269" i="9"/>
  <c r="EZ269" i="9" s="1"/>
  <c r="FB269" i="9" s="1"/>
  <c r="FA269" i="9"/>
  <c r="DO285" i="9"/>
  <c r="DM285" i="9"/>
  <c r="DN285" i="9" s="1"/>
  <c r="DP285" i="9" s="1"/>
  <c r="FA298" i="9"/>
  <c r="EY298" i="9"/>
  <c r="EZ298" i="9" s="1"/>
  <c r="FB298" i="9" s="1"/>
  <c r="BJ311" i="9"/>
  <c r="BH311" i="9"/>
  <c r="BI311" i="9" s="1"/>
  <c r="BK311" i="9" s="1"/>
  <c r="CC309" i="9"/>
  <c r="CA309" i="9"/>
  <c r="CB309" i="9" s="1"/>
  <c r="CD309" i="9" s="1"/>
  <c r="CV343" i="9"/>
  <c r="CT343" i="9"/>
  <c r="CU343" i="9" s="1"/>
  <c r="CW343" i="9" s="1"/>
  <c r="AQ296" i="9"/>
  <c r="AO296" i="9"/>
  <c r="AP296" i="9" s="1"/>
  <c r="AR296" i="9" s="1"/>
  <c r="W296" i="9"/>
  <c r="Y296" i="9" s="1"/>
  <c r="EH19" i="9"/>
  <c r="EF19" i="9"/>
  <c r="EG19" i="9" s="1"/>
  <c r="EI19" i="9" s="1"/>
  <c r="CV14" i="9"/>
  <c r="CT14" i="9"/>
  <c r="CU14" i="9" s="1"/>
  <c r="CW14" i="9" s="1"/>
  <c r="FA76" i="9"/>
  <c r="EY76" i="9"/>
  <c r="EZ76" i="9" s="1"/>
  <c r="FB76" i="9" s="1"/>
  <c r="CC79" i="9"/>
  <c r="CA79" i="9"/>
  <c r="CB79" i="9" s="1"/>
  <c r="CD79" i="9" s="1"/>
  <c r="BJ82" i="9"/>
  <c r="BH82" i="9"/>
  <c r="BI82" i="9" s="1"/>
  <c r="BK82" i="9" s="1"/>
  <c r="EH85" i="9"/>
  <c r="EF85" i="9"/>
  <c r="EG85" i="9" s="1"/>
  <c r="EI85" i="9" s="1"/>
  <c r="CA97" i="9"/>
  <c r="CB97" i="9" s="1"/>
  <c r="CD97" i="9" s="1"/>
  <c r="CC97" i="9"/>
  <c r="DM100" i="9"/>
  <c r="DN100" i="9" s="1"/>
  <c r="DP100" i="9" s="1"/>
  <c r="DO100" i="9"/>
  <c r="FA148" i="9"/>
  <c r="EY148" i="9"/>
  <c r="EZ148" i="9" s="1"/>
  <c r="FB148" i="9" s="1"/>
  <c r="DO141" i="9"/>
  <c r="DM141" i="9"/>
  <c r="DN141" i="9" s="1"/>
  <c r="DP141" i="9" s="1"/>
  <c r="AQ155" i="9"/>
  <c r="AO155" i="9"/>
  <c r="AP155" i="9" s="1"/>
  <c r="AR155" i="9" s="1"/>
  <c r="W155" i="9"/>
  <c r="Y155" i="9" s="1"/>
  <c r="EH151" i="9"/>
  <c r="EF151" i="9"/>
  <c r="EG151" i="9" s="1"/>
  <c r="EI151" i="9" s="1"/>
  <c r="DM160" i="9"/>
  <c r="DN160" i="9" s="1"/>
  <c r="DP160" i="9" s="1"/>
  <c r="DO160" i="9"/>
  <c r="FA203" i="9"/>
  <c r="EY203" i="9"/>
  <c r="EZ203" i="9" s="1"/>
  <c r="FB203" i="9" s="1"/>
  <c r="CV193" i="9"/>
  <c r="CT193" i="9"/>
  <c r="CU193" i="9" s="1"/>
  <c r="CW193" i="9" s="1"/>
  <c r="BH193" i="9"/>
  <c r="BI193" i="9" s="1"/>
  <c r="BK193" i="9" s="1"/>
  <c r="BJ193" i="9"/>
  <c r="EH187" i="9"/>
  <c r="EF187" i="9"/>
  <c r="EG187" i="9" s="1"/>
  <c r="EI187" i="9" s="1"/>
  <c r="CA215" i="9"/>
  <c r="CB215" i="9" s="1"/>
  <c r="CD215" i="9" s="1"/>
  <c r="CC215" i="9"/>
  <c r="EF246" i="9"/>
  <c r="EG246" i="9" s="1"/>
  <c r="EI246" i="9" s="1"/>
  <c r="EH246" i="9"/>
  <c r="AQ247" i="9"/>
  <c r="AO247" i="9"/>
  <c r="AP247" i="9" s="1"/>
  <c r="AR247" i="9" s="1"/>
  <c r="W247" i="9"/>
  <c r="Y247" i="9" s="1"/>
  <c r="EH261" i="9"/>
  <c r="EF261" i="9"/>
  <c r="EG261" i="9" s="1"/>
  <c r="EI261" i="9" s="1"/>
  <c r="BH261" i="9"/>
  <c r="BI261" i="9" s="1"/>
  <c r="BK261" i="9" s="1"/>
  <c r="BJ261" i="9"/>
  <c r="DO282" i="9"/>
  <c r="DM282" i="9"/>
  <c r="DN282" i="9" s="1"/>
  <c r="DP282" i="9" s="1"/>
  <c r="BH291" i="9"/>
  <c r="BI291" i="9" s="1"/>
  <c r="BK291" i="9" s="1"/>
  <c r="BJ291" i="9"/>
  <c r="DM304" i="9"/>
  <c r="DN304" i="9" s="1"/>
  <c r="DP304" i="9" s="1"/>
  <c r="DO304" i="9"/>
  <c r="CC314" i="9"/>
  <c r="CA314" i="9"/>
  <c r="CB314" i="9" s="1"/>
  <c r="CD314" i="9" s="1"/>
  <c r="FA344" i="9"/>
  <c r="EY344" i="9"/>
  <c r="EZ344" i="9" s="1"/>
  <c r="FB344" i="9" s="1"/>
  <c r="AO47" i="9"/>
  <c r="AP47" i="9" s="1"/>
  <c r="AR47" i="9" s="1"/>
  <c r="AQ47" i="9"/>
  <c r="W47" i="9"/>
  <c r="Y47" i="9" s="1"/>
  <c r="AQ87" i="9"/>
  <c r="AO87" i="9"/>
  <c r="AP87" i="9" s="1"/>
  <c r="AR87" i="9" s="1"/>
  <c r="W87" i="9"/>
  <c r="Y87" i="9" s="1"/>
  <c r="BJ119" i="9"/>
  <c r="BH119" i="9"/>
  <c r="BI119" i="9" s="1"/>
  <c r="BK119" i="9" s="1"/>
  <c r="AQ197" i="9"/>
  <c r="AO197" i="9"/>
  <c r="AP197" i="9" s="1"/>
  <c r="AR197" i="9" s="1"/>
  <c r="W197" i="9"/>
  <c r="Y197" i="9" s="1"/>
  <c r="AQ257" i="9"/>
  <c r="AO257" i="9"/>
  <c r="AP257" i="9" s="1"/>
  <c r="AR257" i="9" s="1"/>
  <c r="W257" i="9"/>
  <c r="Y257" i="9" s="1"/>
  <c r="EY38" i="9"/>
  <c r="EZ38" i="9" s="1"/>
  <c r="FB38" i="9" s="1"/>
  <c r="FA38" i="9"/>
  <c r="FA92" i="9"/>
  <c r="EY92" i="9"/>
  <c r="EZ92" i="9" s="1"/>
  <c r="FB92" i="9" s="1"/>
  <c r="FA95" i="9"/>
  <c r="EY95" i="9"/>
  <c r="EZ95" i="9" s="1"/>
  <c r="FB95" i="9" s="1"/>
  <c r="AQ94" i="9"/>
  <c r="AO94" i="9"/>
  <c r="AP94" i="9" s="1"/>
  <c r="AR94" i="9" s="1"/>
  <c r="W94" i="9"/>
  <c r="Y94" i="9" s="1"/>
  <c r="EH100" i="9"/>
  <c r="EF100" i="9"/>
  <c r="EG100" i="9" s="1"/>
  <c r="EI100" i="9" s="1"/>
  <c r="FA103" i="9"/>
  <c r="EY103" i="9"/>
  <c r="EZ103" i="9" s="1"/>
  <c r="FB103" i="9" s="1"/>
  <c r="DO113" i="9"/>
  <c r="DM113" i="9"/>
  <c r="DN113" i="9" s="1"/>
  <c r="DP113" i="9" s="1"/>
  <c r="EH114" i="9"/>
  <c r="EF114" i="9"/>
  <c r="EG114" i="9" s="1"/>
  <c r="EI114" i="9" s="1"/>
  <c r="DO127" i="9"/>
  <c r="DM127" i="9"/>
  <c r="DN127" i="9" s="1"/>
  <c r="DP127" i="9" s="1"/>
  <c r="CC126" i="9"/>
  <c r="CA126" i="9"/>
  <c r="CB126" i="9" s="1"/>
  <c r="CD126" i="9" s="1"/>
  <c r="CC132" i="9"/>
  <c r="CA132" i="9"/>
  <c r="CB132" i="9" s="1"/>
  <c r="CD132" i="9" s="1"/>
  <c r="EF123" i="9"/>
  <c r="EG123" i="9" s="1"/>
  <c r="EI123" i="9" s="1"/>
  <c r="EH123" i="9"/>
  <c r="AQ141" i="9"/>
  <c r="AO141" i="9"/>
  <c r="AP141" i="9" s="1"/>
  <c r="AR141" i="9" s="1"/>
  <c r="W141" i="9"/>
  <c r="Y141" i="9" s="1"/>
  <c r="EY141" i="9"/>
  <c r="EZ141" i="9" s="1"/>
  <c r="FB141" i="9" s="1"/>
  <c r="FA141" i="9"/>
  <c r="EF167" i="9"/>
  <c r="EG167" i="9" s="1"/>
  <c r="EI167" i="9" s="1"/>
  <c r="EH167" i="9"/>
  <c r="EH240" i="9"/>
  <c r="EF240" i="9"/>
  <c r="EG240" i="9" s="1"/>
  <c r="EI240" i="9" s="1"/>
  <c r="CC233" i="9"/>
  <c r="CA233" i="9"/>
  <c r="CB233" i="9" s="1"/>
  <c r="CD233" i="9" s="1"/>
  <c r="AQ204" i="9"/>
  <c r="AO204" i="9"/>
  <c r="AP204" i="9" s="1"/>
  <c r="AR204" i="9" s="1"/>
  <c r="W204" i="9"/>
  <c r="Y204" i="9" s="1"/>
  <c r="CA200" i="9"/>
  <c r="CB200" i="9" s="1"/>
  <c r="CD200" i="9" s="1"/>
  <c r="CC200" i="9"/>
  <c r="EH232" i="9"/>
  <c r="EF232" i="9"/>
  <c r="EG232" i="9" s="1"/>
  <c r="EI232" i="9" s="1"/>
  <c r="DO237" i="9"/>
  <c r="DM237" i="9"/>
  <c r="DN237" i="9" s="1"/>
  <c r="DP237" i="9" s="1"/>
  <c r="CA250" i="9"/>
  <c r="CB250" i="9" s="1"/>
  <c r="CD250" i="9" s="1"/>
  <c r="CC250" i="9"/>
  <c r="CA248" i="9"/>
  <c r="CB248" i="9" s="1"/>
  <c r="CD248" i="9" s="1"/>
  <c r="CC248" i="9"/>
  <c r="FA248" i="9"/>
  <c r="EY248" i="9"/>
  <c r="EZ248" i="9" s="1"/>
  <c r="FB248" i="9" s="1"/>
  <c r="EF271" i="9"/>
  <c r="EG271" i="9" s="1"/>
  <c r="EI271" i="9" s="1"/>
  <c r="EH271" i="9"/>
  <c r="DO279" i="9"/>
  <c r="DM279" i="9"/>
  <c r="DN279" i="9" s="1"/>
  <c r="DP279" i="9" s="1"/>
  <c r="DM284" i="9"/>
  <c r="DN284" i="9" s="1"/>
  <c r="DP284" i="9" s="1"/>
  <c r="DO284" i="9"/>
  <c r="AQ307" i="9"/>
  <c r="AO307" i="9"/>
  <c r="AP307" i="9" s="1"/>
  <c r="AR307" i="9" s="1"/>
  <c r="W307" i="9"/>
  <c r="Y307" i="9" s="1"/>
  <c r="CA316" i="9"/>
  <c r="CB316" i="9" s="1"/>
  <c r="CD316" i="9" s="1"/>
  <c r="CC316" i="9"/>
  <c r="AQ356" i="9"/>
  <c r="AO356" i="9"/>
  <c r="AP356" i="9" s="1"/>
  <c r="AR356" i="9" s="1"/>
  <c r="W356" i="9"/>
  <c r="Y356" i="9" s="1"/>
  <c r="EH89" i="9"/>
  <c r="EF89" i="9"/>
  <c r="EG89" i="9" s="1"/>
  <c r="EI89" i="9" s="1"/>
  <c r="CC153" i="9"/>
  <c r="CA153" i="9"/>
  <c r="CB153" i="9" s="1"/>
  <c r="CD153" i="9" s="1"/>
  <c r="BJ179" i="9"/>
  <c r="BH179" i="9"/>
  <c r="BI179" i="9" s="1"/>
  <c r="BK179" i="9" s="1"/>
  <c r="EY208" i="9"/>
  <c r="EZ208" i="9" s="1"/>
  <c r="FB208" i="9" s="1"/>
  <c r="FA208" i="9"/>
  <c r="BJ295" i="9"/>
  <c r="BH295" i="9"/>
  <c r="BI295" i="9" s="1"/>
  <c r="BK295" i="9" s="1"/>
  <c r="DM63" i="9"/>
  <c r="DN63" i="9" s="1"/>
  <c r="DP63" i="9" s="1"/>
  <c r="DO63" i="9"/>
  <c r="DM23" i="9"/>
  <c r="DN23" i="9" s="1"/>
  <c r="DP23" i="9" s="1"/>
  <c r="DO23" i="9"/>
  <c r="BJ15" i="9"/>
  <c r="BH15" i="9"/>
  <c r="BI15" i="9" s="1"/>
  <c r="BK15" i="9" s="1"/>
  <c r="EH20" i="9"/>
  <c r="EF20" i="9"/>
  <c r="EG20" i="9" s="1"/>
  <c r="EI20" i="9" s="1"/>
  <c r="DO70" i="9"/>
  <c r="DM70" i="9"/>
  <c r="DN70" i="9" s="1"/>
  <c r="DP70" i="9" s="1"/>
  <c r="AQ73" i="9"/>
  <c r="AO73" i="9"/>
  <c r="AP73" i="9" s="1"/>
  <c r="AR73" i="9" s="1"/>
  <c r="W73" i="9"/>
  <c r="Y73" i="9" s="1"/>
  <c r="EH71" i="9"/>
  <c r="EF71" i="9"/>
  <c r="EG71" i="9" s="1"/>
  <c r="EI71" i="9" s="1"/>
  <c r="CV79" i="9"/>
  <c r="CT79" i="9"/>
  <c r="CU79" i="9" s="1"/>
  <c r="CW79" i="9" s="1"/>
  <c r="CV146" i="9"/>
  <c r="CT146" i="9"/>
  <c r="CU146" i="9" s="1"/>
  <c r="CW146" i="9" s="1"/>
  <c r="CA94" i="9"/>
  <c r="CB94" i="9" s="1"/>
  <c r="CD94" i="9" s="1"/>
  <c r="CC94" i="9"/>
  <c r="CT128" i="9"/>
  <c r="CU128" i="9" s="1"/>
  <c r="CW128" i="9" s="1"/>
  <c r="CV128" i="9"/>
  <c r="EF143" i="9"/>
  <c r="EG143" i="9" s="1"/>
  <c r="EI143" i="9" s="1"/>
  <c r="EH143" i="9"/>
  <c r="DM147" i="9"/>
  <c r="DN147" i="9" s="1"/>
  <c r="DP147" i="9" s="1"/>
  <c r="DO147" i="9"/>
  <c r="CV149" i="9"/>
  <c r="CT149" i="9"/>
  <c r="CU149" i="9" s="1"/>
  <c r="CW149" i="9" s="1"/>
  <c r="DO175" i="9"/>
  <c r="DM175" i="9"/>
  <c r="DN175" i="9" s="1"/>
  <c r="DP175" i="9" s="1"/>
  <c r="EH176" i="9"/>
  <c r="EF176" i="9"/>
  <c r="EG176" i="9" s="1"/>
  <c r="EI176" i="9" s="1"/>
  <c r="BJ187" i="9"/>
  <c r="BH187" i="9"/>
  <c r="BI187" i="9" s="1"/>
  <c r="BK187" i="9" s="1"/>
  <c r="CV181" i="9"/>
  <c r="CT181" i="9"/>
  <c r="CU181" i="9" s="1"/>
  <c r="CW181" i="9" s="1"/>
  <c r="AO209" i="9"/>
  <c r="AP209" i="9" s="1"/>
  <c r="AR209" i="9" s="1"/>
  <c r="AQ209" i="9"/>
  <c r="W209" i="9"/>
  <c r="Y209" i="9" s="1"/>
  <c r="EH214" i="9"/>
  <c r="EF214" i="9"/>
  <c r="EG214" i="9" s="1"/>
  <c r="EI214" i="9" s="1"/>
  <c r="EH212" i="9"/>
  <c r="EF212" i="9"/>
  <c r="EG212" i="9" s="1"/>
  <c r="EI212" i="9" s="1"/>
  <c r="AO250" i="9"/>
  <c r="AP250" i="9" s="1"/>
  <c r="AR250" i="9" s="1"/>
  <c r="AQ250" i="9"/>
  <c r="W250" i="9"/>
  <c r="Y250" i="9" s="1"/>
  <c r="CC241" i="9"/>
  <c r="CA241" i="9"/>
  <c r="CB241" i="9" s="1"/>
  <c r="CD241" i="9" s="1"/>
  <c r="AQ256" i="9"/>
  <c r="AO256" i="9"/>
  <c r="AP256" i="9" s="1"/>
  <c r="AR256" i="9" s="1"/>
  <c r="W256" i="9"/>
  <c r="Y256" i="9" s="1"/>
  <c r="AQ279" i="9"/>
  <c r="AO279" i="9"/>
  <c r="AP279" i="9" s="1"/>
  <c r="AR279" i="9" s="1"/>
  <c r="W279" i="9"/>
  <c r="Y279" i="9" s="1"/>
  <c r="BH274" i="9"/>
  <c r="BI274" i="9" s="1"/>
  <c r="BK274" i="9" s="1"/>
  <c r="BJ274" i="9"/>
  <c r="CC274" i="9"/>
  <c r="CA274" i="9"/>
  <c r="CB274" i="9" s="1"/>
  <c r="CD274" i="9" s="1"/>
  <c r="EH281" i="9"/>
  <c r="EF281" i="9"/>
  <c r="EG281" i="9" s="1"/>
  <c r="EI281" i="9" s="1"/>
  <c r="CT298" i="9"/>
  <c r="CU298" i="9" s="1"/>
  <c r="CW298" i="9" s="1"/>
  <c r="CV298" i="9"/>
  <c r="CT311" i="9"/>
  <c r="CU311" i="9" s="1"/>
  <c r="CW311" i="9" s="1"/>
  <c r="CV311" i="9"/>
  <c r="EY306" i="9"/>
  <c r="EZ306" i="9" s="1"/>
  <c r="FB306" i="9" s="1"/>
  <c r="FA306" i="9"/>
  <c r="DO326" i="9"/>
  <c r="DM326" i="9"/>
  <c r="DN326" i="9" s="1"/>
  <c r="DP326" i="9" s="1"/>
  <c r="EY37" i="9"/>
  <c r="EZ37" i="9" s="1"/>
  <c r="FB37" i="9" s="1"/>
  <c r="FA37" i="9"/>
  <c r="EY74" i="9"/>
  <c r="EZ74" i="9" s="1"/>
  <c r="FB74" i="9" s="1"/>
  <c r="FA74" i="9"/>
  <c r="CC150" i="9"/>
  <c r="CA150" i="9"/>
  <c r="CB150" i="9" s="1"/>
  <c r="CD150" i="9" s="1"/>
  <c r="EF182" i="9"/>
  <c r="EG182" i="9" s="1"/>
  <c r="EI182" i="9" s="1"/>
  <c r="EH182" i="9"/>
  <c r="CC244" i="9"/>
  <c r="CA244" i="9"/>
  <c r="CB244" i="9" s="1"/>
  <c r="CD244" i="9" s="1"/>
  <c r="AO312" i="9"/>
  <c r="AP312" i="9" s="1"/>
  <c r="AR312" i="9" s="1"/>
  <c r="AQ312" i="9"/>
  <c r="W312" i="9"/>
  <c r="Y312" i="9" s="1"/>
  <c r="AO34" i="9"/>
  <c r="AP34" i="9" s="1"/>
  <c r="AR34" i="9" s="1"/>
  <c r="AQ34" i="9"/>
  <c r="W34" i="9"/>
  <c r="CC82" i="9"/>
  <c r="CA82" i="9"/>
  <c r="CB82" i="9" s="1"/>
  <c r="CD82" i="9" s="1"/>
  <c r="BH40" i="9"/>
  <c r="BI40" i="9" s="1"/>
  <c r="BK40" i="9" s="1"/>
  <c r="BJ40" i="9"/>
  <c r="CV66" i="9"/>
  <c r="CT66" i="9"/>
  <c r="CU66" i="9" s="1"/>
  <c r="CW66" i="9" s="1"/>
  <c r="AO64" i="9"/>
  <c r="AP64" i="9" s="1"/>
  <c r="AR64" i="9" s="1"/>
  <c r="AQ64" i="9"/>
  <c r="W64" i="9"/>
  <c r="Y64" i="9" s="1"/>
  <c r="CC69" i="9"/>
  <c r="CA69" i="9"/>
  <c r="CB69" i="9" s="1"/>
  <c r="CD69" i="9" s="1"/>
  <c r="FA72" i="9"/>
  <c r="EY72" i="9"/>
  <c r="EZ72" i="9" s="1"/>
  <c r="FB72" i="9" s="1"/>
  <c r="CA129" i="9"/>
  <c r="CB129" i="9" s="1"/>
  <c r="CD129" i="9" s="1"/>
  <c r="CC129" i="9"/>
  <c r="AQ118" i="9"/>
  <c r="AO118" i="9"/>
  <c r="AP118" i="9" s="1"/>
  <c r="AR118" i="9" s="1"/>
  <c r="W118" i="9"/>
  <c r="Y118" i="9" s="1"/>
  <c r="CV130" i="9"/>
  <c r="CT130" i="9"/>
  <c r="CU130" i="9" s="1"/>
  <c r="CW130" i="9" s="1"/>
  <c r="FA121" i="9"/>
  <c r="EY121" i="9"/>
  <c r="EZ121" i="9" s="1"/>
  <c r="FB121" i="9" s="1"/>
  <c r="CC131" i="9"/>
  <c r="CA131" i="9"/>
  <c r="CB131" i="9" s="1"/>
  <c r="CD131" i="9" s="1"/>
  <c r="FA142" i="9"/>
  <c r="EY142" i="9"/>
  <c r="EZ142" i="9" s="1"/>
  <c r="FB142" i="9" s="1"/>
  <c r="AQ169" i="9"/>
  <c r="AO169" i="9"/>
  <c r="AP169" i="9" s="1"/>
  <c r="AR169" i="9" s="1"/>
  <c r="W169" i="9"/>
  <c r="Y169" i="9" s="1"/>
  <c r="DO180" i="9"/>
  <c r="DM180" i="9"/>
  <c r="DN180" i="9" s="1"/>
  <c r="DP180" i="9" s="1"/>
  <c r="CC180" i="9"/>
  <c r="CA180" i="9"/>
  <c r="CB180" i="9" s="1"/>
  <c r="CD180" i="9" s="1"/>
  <c r="EF226" i="9"/>
  <c r="EG226" i="9" s="1"/>
  <c r="EI226" i="9" s="1"/>
  <c r="EH226" i="9"/>
  <c r="CA201" i="9"/>
  <c r="CB201" i="9" s="1"/>
  <c r="CD201" i="9" s="1"/>
  <c r="CC201" i="9"/>
  <c r="AO240" i="9"/>
  <c r="AP240" i="9" s="1"/>
  <c r="AR240" i="9" s="1"/>
  <c r="AQ240" i="9"/>
  <c r="W240" i="9"/>
  <c r="Y240" i="9" s="1"/>
  <c r="EH247" i="9"/>
  <c r="EF247" i="9"/>
  <c r="EG247" i="9" s="1"/>
  <c r="EI247" i="9" s="1"/>
  <c r="BH268" i="9"/>
  <c r="BI268" i="9" s="1"/>
  <c r="BK268" i="9" s="1"/>
  <c r="BJ268" i="9"/>
  <c r="CT249" i="9"/>
  <c r="CU249" i="9" s="1"/>
  <c r="CW249" i="9" s="1"/>
  <c r="CV249" i="9"/>
  <c r="AQ263" i="9"/>
  <c r="AO263" i="9"/>
  <c r="AP263" i="9" s="1"/>
  <c r="AR263" i="9" s="1"/>
  <c r="W263" i="9"/>
  <c r="Y263" i="9" s="1"/>
  <c r="BJ262" i="9"/>
  <c r="BH262" i="9"/>
  <c r="BI262" i="9" s="1"/>
  <c r="BK262" i="9" s="1"/>
  <c r="CT282" i="9"/>
  <c r="CU282" i="9" s="1"/>
  <c r="CW282" i="9" s="1"/>
  <c r="CV282" i="9"/>
  <c r="EY291" i="9"/>
  <c r="EZ291" i="9" s="1"/>
  <c r="FB291" i="9" s="1"/>
  <c r="FA291" i="9"/>
  <c r="BH296" i="9"/>
  <c r="BI296" i="9" s="1"/>
  <c r="BK296" i="9" s="1"/>
  <c r="BJ296" i="9"/>
  <c r="CV313" i="9"/>
  <c r="CT313" i="9"/>
  <c r="CU313" i="9" s="1"/>
  <c r="CW313" i="9" s="1"/>
  <c r="EY318" i="9"/>
  <c r="EZ318" i="9" s="1"/>
  <c r="FB318" i="9" s="1"/>
  <c r="FA318" i="9"/>
  <c r="CC43" i="9"/>
  <c r="CA43" i="9"/>
  <c r="CB43" i="9" s="1"/>
  <c r="CD43" i="9" s="1"/>
  <c r="AQ79" i="9"/>
  <c r="AO79" i="9"/>
  <c r="AP79" i="9" s="1"/>
  <c r="AR79" i="9" s="1"/>
  <c r="W79" i="9"/>
  <c r="Y79" i="9" s="1"/>
  <c r="DO150" i="9"/>
  <c r="DM150" i="9"/>
  <c r="DN150" i="9" s="1"/>
  <c r="DP150" i="9" s="1"/>
  <c r="AQ189" i="9"/>
  <c r="AO189" i="9"/>
  <c r="AP189" i="9" s="1"/>
  <c r="AR189" i="9" s="1"/>
  <c r="W189" i="9"/>
  <c r="Y189" i="9" s="1"/>
  <c r="CC257" i="9"/>
  <c r="CA257" i="9"/>
  <c r="CB257" i="9" s="1"/>
  <c r="CD257" i="9" s="1"/>
  <c r="DO309" i="9"/>
  <c r="DM309" i="9"/>
  <c r="DN309" i="9" s="1"/>
  <c r="DP309" i="9" s="1"/>
  <c r="AO26" i="9"/>
  <c r="AP26" i="9" s="1"/>
  <c r="AR26" i="9" s="1"/>
  <c r="AQ26" i="9"/>
  <c r="W26" i="9"/>
  <c r="Y26" i="9" s="1"/>
  <c r="BJ80" i="9"/>
  <c r="BH80" i="9"/>
  <c r="BI80" i="9" s="1"/>
  <c r="BK80" i="9" s="1"/>
  <c r="FA14" i="9"/>
  <c r="EY14" i="9"/>
  <c r="EZ14" i="9" s="1"/>
  <c r="FB14" i="9" s="1"/>
  <c r="CA48" i="9"/>
  <c r="CB48" i="9" s="1"/>
  <c r="CD48" i="9" s="1"/>
  <c r="CC48" i="9"/>
  <c r="FA51" i="9"/>
  <c r="EY51" i="9"/>
  <c r="EZ51" i="9" s="1"/>
  <c r="FB51" i="9" s="1"/>
  <c r="CV49" i="9"/>
  <c r="CT49" i="9"/>
  <c r="CU49" i="9" s="1"/>
  <c r="CW49" i="9" s="1"/>
  <c r="EH54" i="9"/>
  <c r="EF54" i="9"/>
  <c r="EG54" i="9" s="1"/>
  <c r="EI54" i="9" s="1"/>
  <c r="BJ57" i="9"/>
  <c r="BH57" i="9"/>
  <c r="BI57" i="9" s="1"/>
  <c r="BK57" i="9" s="1"/>
  <c r="CA106" i="9"/>
  <c r="CB106" i="9" s="1"/>
  <c r="CD106" i="9" s="1"/>
  <c r="CC106" i="9"/>
  <c r="BJ100" i="9"/>
  <c r="BH100" i="9"/>
  <c r="BI100" i="9" s="1"/>
  <c r="BK100" i="9" s="1"/>
  <c r="EY115" i="9"/>
  <c r="EZ115" i="9" s="1"/>
  <c r="FB115" i="9" s="1"/>
  <c r="FA115" i="9"/>
  <c r="DM153" i="9"/>
  <c r="DN153" i="9" s="1"/>
  <c r="DP153" i="9" s="1"/>
  <c r="DO153" i="9"/>
  <c r="EH116" i="9"/>
  <c r="EF116" i="9"/>
  <c r="EG116" i="9" s="1"/>
  <c r="EI116" i="9" s="1"/>
  <c r="EY161" i="9"/>
  <c r="EZ161" i="9" s="1"/>
  <c r="FB161" i="9" s="1"/>
  <c r="FA161" i="9"/>
  <c r="DM163" i="9"/>
  <c r="DN163" i="9" s="1"/>
  <c r="DP163" i="9" s="1"/>
  <c r="DO163" i="9"/>
  <c r="DO170" i="9"/>
  <c r="DM170" i="9"/>
  <c r="DN170" i="9" s="1"/>
  <c r="DP170" i="9" s="1"/>
  <c r="CV154" i="9"/>
  <c r="CT154" i="9"/>
  <c r="CU154" i="9" s="1"/>
  <c r="CW154" i="9" s="1"/>
  <c r="BJ180" i="9"/>
  <c r="BH180" i="9"/>
  <c r="BI180" i="9" s="1"/>
  <c r="BK180" i="9" s="1"/>
  <c r="CA197" i="9"/>
  <c r="CB197" i="9" s="1"/>
  <c r="CD197" i="9" s="1"/>
  <c r="CC197" i="9"/>
  <c r="EH196" i="9"/>
  <c r="EF196" i="9"/>
  <c r="EG196" i="9" s="1"/>
  <c r="EI196" i="9" s="1"/>
  <c r="EH186" i="9"/>
  <c r="EF186" i="9"/>
  <c r="EG186" i="9" s="1"/>
  <c r="EI186" i="9" s="1"/>
  <c r="CA216" i="9"/>
  <c r="CB216" i="9" s="1"/>
  <c r="CD216" i="9" s="1"/>
  <c r="CC216" i="9"/>
  <c r="BJ219" i="9"/>
  <c r="BH219" i="9"/>
  <c r="BI219" i="9" s="1"/>
  <c r="BK219" i="9" s="1"/>
  <c r="CV223" i="9"/>
  <c r="CT223" i="9"/>
  <c r="CU223" i="9" s="1"/>
  <c r="CW223" i="9" s="1"/>
  <c r="EF235" i="9"/>
  <c r="EG235" i="9" s="1"/>
  <c r="EI235" i="9" s="1"/>
  <c r="EH235" i="9"/>
  <c r="EF248" i="9"/>
  <c r="EG248" i="9" s="1"/>
  <c r="EI248" i="9" s="1"/>
  <c r="EH248" i="9"/>
  <c r="CA251" i="9"/>
  <c r="CB251" i="9" s="1"/>
  <c r="CD251" i="9" s="1"/>
  <c r="CC251" i="9"/>
  <c r="CV261" i="9"/>
  <c r="CT261" i="9"/>
  <c r="CU261" i="9" s="1"/>
  <c r="CW261" i="9" s="1"/>
  <c r="EF285" i="9"/>
  <c r="EG285" i="9" s="1"/>
  <c r="EI285" i="9" s="1"/>
  <c r="EH285" i="9"/>
  <c r="DO287" i="9"/>
  <c r="DM287" i="9"/>
  <c r="DN287" i="9" s="1"/>
  <c r="DP287" i="9" s="1"/>
  <c r="FA293" i="9"/>
  <c r="EY293" i="9"/>
  <c r="EZ293" i="9" s="1"/>
  <c r="FB293" i="9" s="1"/>
  <c r="AQ294" i="9"/>
  <c r="AO294" i="9"/>
  <c r="AP294" i="9" s="1"/>
  <c r="AR294" i="9" s="1"/>
  <c r="W294" i="9"/>
  <c r="Y294" i="9" s="1"/>
  <c r="BH314" i="9"/>
  <c r="BI314" i="9" s="1"/>
  <c r="BK314" i="9" s="1"/>
  <c r="BJ314" i="9"/>
  <c r="AQ110" i="9"/>
  <c r="AO110" i="9"/>
  <c r="AP110" i="9" s="1"/>
  <c r="AR110" i="9" s="1"/>
  <c r="W110" i="9"/>
  <c r="Y110" i="9" s="1"/>
  <c r="CV344" i="9"/>
  <c r="CT344" i="9"/>
  <c r="CU344" i="9" s="1"/>
  <c r="CW344" i="9" s="1"/>
  <c r="CA351" i="9"/>
  <c r="CB351" i="9" s="1"/>
  <c r="CD351" i="9" s="1"/>
  <c r="CC351" i="9"/>
  <c r="AQ359" i="9"/>
  <c r="AO359" i="9"/>
  <c r="AP359" i="9" s="1"/>
  <c r="AR359" i="9" s="1"/>
  <c r="W359" i="9"/>
  <c r="Y359" i="9" s="1"/>
  <c r="CC45" i="9"/>
  <c r="CA45" i="9"/>
  <c r="CB45" i="9" s="1"/>
  <c r="CD45" i="9" s="1"/>
  <c r="AO322" i="9"/>
  <c r="AP322" i="9" s="1"/>
  <c r="AR322" i="9" s="1"/>
  <c r="AQ322" i="9"/>
  <c r="W322" i="9"/>
  <c r="Y322" i="9" s="1"/>
  <c r="AO337" i="9"/>
  <c r="AP337" i="9" s="1"/>
  <c r="AR337" i="9" s="1"/>
  <c r="AQ337" i="9"/>
  <c r="W337" i="9"/>
  <c r="Y337" i="9" s="1"/>
  <c r="BJ348" i="9"/>
  <c r="BH348" i="9"/>
  <c r="BI348" i="9" s="1"/>
  <c r="BK348" i="9" s="1"/>
  <c r="DM355" i="9"/>
  <c r="DN355" i="9" s="1"/>
  <c r="DP355" i="9" s="1"/>
  <c r="DO355" i="9"/>
  <c r="DO43" i="9"/>
  <c r="DM43" i="9"/>
  <c r="DN43" i="9" s="1"/>
  <c r="DP43" i="9" s="1"/>
  <c r="CV323" i="9"/>
  <c r="CT323" i="9"/>
  <c r="CU323" i="9" s="1"/>
  <c r="CW323" i="9" s="1"/>
  <c r="DM330" i="9"/>
  <c r="DN330" i="9" s="1"/>
  <c r="DP330" i="9" s="1"/>
  <c r="DO330" i="9"/>
  <c r="CC348" i="9"/>
  <c r="CA348" i="9"/>
  <c r="CB348" i="9" s="1"/>
  <c r="CD348" i="9" s="1"/>
  <c r="EY356" i="9"/>
  <c r="EZ356" i="9" s="1"/>
  <c r="FB356" i="9" s="1"/>
  <c r="FA356" i="9"/>
  <c r="BJ64" i="9"/>
  <c r="BH64" i="9"/>
  <c r="BI64" i="9" s="1"/>
  <c r="BK64" i="9" s="1"/>
  <c r="CV324" i="9"/>
  <c r="CT324" i="9"/>
  <c r="CU324" i="9" s="1"/>
  <c r="CW324" i="9" s="1"/>
  <c r="FA327" i="9"/>
  <c r="EY327" i="9"/>
  <c r="EZ327" i="9" s="1"/>
  <c r="FB327" i="9" s="1"/>
  <c r="DO338" i="9"/>
  <c r="DM338" i="9"/>
  <c r="DN338" i="9" s="1"/>
  <c r="DP338" i="9" s="1"/>
  <c r="FA348" i="9"/>
  <c r="EY348" i="9"/>
  <c r="EZ348" i="9" s="1"/>
  <c r="FB348" i="9" s="1"/>
  <c r="EH363" i="9"/>
  <c r="EF363" i="9"/>
  <c r="EG363" i="9" s="1"/>
  <c r="EI363" i="9" s="1"/>
  <c r="CC324" i="9"/>
  <c r="CA324" i="9"/>
  <c r="CB324" i="9" s="1"/>
  <c r="CD324" i="9" s="1"/>
  <c r="DO331" i="9"/>
  <c r="DM331" i="9"/>
  <c r="DN331" i="9" s="1"/>
  <c r="DP331" i="9" s="1"/>
  <c r="CC340" i="9"/>
  <c r="CA340" i="9"/>
  <c r="CB340" i="9" s="1"/>
  <c r="CD340" i="9" s="1"/>
  <c r="CA344" i="9"/>
  <c r="CB344" i="9" s="1"/>
  <c r="CD344" i="9" s="1"/>
  <c r="CC344" i="9"/>
  <c r="CT352" i="9"/>
  <c r="CU352" i="9" s="1"/>
  <c r="CW352" i="9" s="1"/>
  <c r="CV352" i="9"/>
  <c r="AO362" i="9"/>
  <c r="AP362" i="9" s="1"/>
  <c r="AR362" i="9" s="1"/>
  <c r="AQ362" i="9"/>
  <c r="W362" i="9"/>
  <c r="Y362" i="9" s="1"/>
  <c r="EF318" i="9"/>
  <c r="EG318" i="9" s="1"/>
  <c r="EI318" i="9" s="1"/>
  <c r="EH318" i="9"/>
  <c r="CA326" i="9"/>
  <c r="CB326" i="9" s="1"/>
  <c r="CD326" i="9" s="1"/>
  <c r="CC326" i="9"/>
  <c r="FA334" i="9"/>
  <c r="EY334" i="9"/>
  <c r="EZ334" i="9" s="1"/>
  <c r="FB334" i="9" s="1"/>
  <c r="BJ343" i="9"/>
  <c r="BH343" i="9"/>
  <c r="BI343" i="9" s="1"/>
  <c r="BK343" i="9" s="1"/>
  <c r="EH353" i="9"/>
  <c r="EF353" i="9"/>
  <c r="EG353" i="9" s="1"/>
  <c r="EI353" i="9" s="1"/>
  <c r="DO358" i="9"/>
  <c r="DM358" i="9"/>
  <c r="DN358" i="9" s="1"/>
  <c r="DP358" i="9" s="1"/>
  <c r="CA30" i="9"/>
  <c r="CB30" i="9" s="1"/>
  <c r="CD30" i="9" s="1"/>
  <c r="CC30" i="9"/>
  <c r="CC338" i="9"/>
  <c r="CA338" i="9"/>
  <c r="CB338" i="9" s="1"/>
  <c r="CD338" i="9" s="1"/>
  <c r="EH351" i="9"/>
  <c r="EF351" i="9"/>
  <c r="EG351" i="9" s="1"/>
  <c r="EI351" i="9" s="1"/>
  <c r="CC357" i="9"/>
  <c r="CA357" i="9"/>
  <c r="CB357" i="9" s="1"/>
  <c r="CD357" i="9" s="1"/>
  <c r="W69" i="9"/>
  <c r="Y69" i="9" s="1"/>
  <c r="AQ69" i="9"/>
  <c r="AO69" i="9"/>
  <c r="AP69" i="9" s="1"/>
  <c r="AR69" i="9" s="1"/>
  <c r="EF110" i="9"/>
  <c r="EG110" i="9" s="1"/>
  <c r="EI110" i="9" s="1"/>
  <c r="EH110" i="9"/>
  <c r="BJ47" i="9"/>
  <c r="BH47" i="9"/>
  <c r="BI47" i="9" s="1"/>
  <c r="BK47" i="9" s="1"/>
  <c r="CA49" i="9"/>
  <c r="CB49" i="9" s="1"/>
  <c r="CD49" i="9" s="1"/>
  <c r="CC49" i="9"/>
  <c r="EY70" i="9"/>
  <c r="EZ70" i="9" s="1"/>
  <c r="FB70" i="9" s="1"/>
  <c r="FA70" i="9"/>
  <c r="AQ40" i="9"/>
  <c r="AO40" i="9"/>
  <c r="AP40" i="9" s="1"/>
  <c r="AR40" i="9" s="1"/>
  <c r="W40" i="9"/>
  <c r="Y40" i="9" s="1"/>
  <c r="CT92" i="9"/>
  <c r="CU92" i="9" s="1"/>
  <c r="CW92" i="9" s="1"/>
  <c r="CV92" i="9"/>
  <c r="DO21" i="9"/>
  <c r="DM21" i="9"/>
  <c r="DN21" i="9" s="1"/>
  <c r="DP21" i="9" s="1"/>
  <c r="EH23" i="9"/>
  <c r="EF23" i="9"/>
  <c r="EG23" i="9" s="1"/>
  <c r="EI23" i="9" s="1"/>
  <c r="CV42" i="9"/>
  <c r="CT42" i="9"/>
  <c r="CU42" i="9" s="1"/>
  <c r="CW42" i="9" s="1"/>
  <c r="AO19" i="9"/>
  <c r="AP19" i="9" s="1"/>
  <c r="AR19" i="9" s="1"/>
  <c r="AQ19" i="9"/>
  <c r="W19" i="9"/>
  <c r="DM89" i="9"/>
  <c r="DN89" i="9" s="1"/>
  <c r="DP89" i="9" s="1"/>
  <c r="DO89" i="9"/>
  <c r="BJ19" i="9"/>
  <c r="BH19" i="9"/>
  <c r="BI19" i="9" s="1"/>
  <c r="BK19" i="9" s="1"/>
  <c r="DM19" i="9"/>
  <c r="DN19" i="9" s="1"/>
  <c r="DP19" i="9" s="1"/>
  <c r="DO19" i="9"/>
  <c r="FA34" i="9"/>
  <c r="EY34" i="9"/>
  <c r="EZ34" i="9" s="1"/>
  <c r="FB34" i="9" s="1"/>
  <c r="BH14" i="9"/>
  <c r="BI14" i="9" s="1"/>
  <c r="BK14" i="9" s="1"/>
  <c r="BJ14" i="9"/>
  <c r="AQ32" i="9"/>
  <c r="AO32" i="9"/>
  <c r="AP32" i="9" s="1"/>
  <c r="AR32" i="9" s="1"/>
  <c r="W32" i="9"/>
  <c r="CA17" i="9"/>
  <c r="CB17" i="9" s="1"/>
  <c r="CD17" i="9" s="1"/>
  <c r="CC17" i="9"/>
  <c r="EF30" i="9"/>
  <c r="EG30" i="9" s="1"/>
  <c r="EI30" i="9" s="1"/>
  <c r="EH30" i="9"/>
  <c r="CT52" i="9"/>
  <c r="CU52" i="9" s="1"/>
  <c r="CW52" i="9" s="1"/>
  <c r="CV52" i="9"/>
  <c r="BJ225" i="12"/>
  <c r="BH225" i="12"/>
  <c r="BI225" i="12" s="1"/>
  <c r="BK225" i="12" s="1"/>
  <c r="CV82" i="12"/>
  <c r="CT82" i="12"/>
  <c r="CU82" i="12" s="1"/>
  <c r="CW82" i="12" s="1"/>
  <c r="EH160" i="12"/>
  <c r="EF160" i="12"/>
  <c r="EG160" i="12" s="1"/>
  <c r="EI160" i="12" s="1"/>
  <c r="CV114" i="12"/>
  <c r="CT114" i="12"/>
  <c r="CU114" i="12" s="1"/>
  <c r="CW114" i="12" s="1"/>
  <c r="CC46" i="12"/>
  <c r="CA46" i="12"/>
  <c r="CB46" i="12" s="1"/>
  <c r="CD46" i="12" s="1"/>
  <c r="CV309" i="12"/>
  <c r="CT309" i="12"/>
  <c r="CU309" i="12" s="1"/>
  <c r="CW309" i="12" s="1"/>
  <c r="AQ143" i="12"/>
  <c r="AO143" i="12"/>
  <c r="AP143" i="12" s="1"/>
  <c r="AR143" i="12" s="1"/>
  <c r="W143" i="12"/>
  <c r="Y143" i="12" s="1"/>
  <c r="BJ43" i="12"/>
  <c r="BH43" i="12"/>
  <c r="BI43" i="12" s="1"/>
  <c r="BK43" i="12" s="1"/>
  <c r="CA26" i="12"/>
  <c r="CB26" i="12" s="1"/>
  <c r="CD26" i="12" s="1"/>
  <c r="CC26" i="12"/>
  <c r="BJ279" i="12"/>
  <c r="BH279" i="12"/>
  <c r="BI279" i="12" s="1"/>
  <c r="BK279" i="12" s="1"/>
  <c r="BH70" i="12"/>
  <c r="BI70" i="12" s="1"/>
  <c r="BK70" i="12" s="1"/>
  <c r="BJ70" i="12"/>
  <c r="AQ58" i="12"/>
  <c r="AO58" i="12"/>
  <c r="AP58" i="12" s="1"/>
  <c r="AR58" i="12" s="1"/>
  <c r="W58" i="12"/>
  <c r="Y58" i="12" s="1"/>
  <c r="FA42" i="12"/>
  <c r="EY42" i="12"/>
  <c r="EZ42" i="12" s="1"/>
  <c r="FB42" i="12" s="1"/>
  <c r="FA37" i="12"/>
  <c r="EY37" i="12"/>
  <c r="EZ37" i="12" s="1"/>
  <c r="FB37" i="12" s="1"/>
  <c r="EH31" i="12"/>
  <c r="EF31" i="12"/>
  <c r="EG31" i="12" s="1"/>
  <c r="EI31" i="12" s="1"/>
  <c r="AQ117" i="12"/>
  <c r="AO117" i="12"/>
  <c r="AP117" i="12" s="1"/>
  <c r="AR117" i="12" s="1"/>
  <c r="W117" i="12"/>
  <c r="Y117" i="12" s="1"/>
  <c r="EH83" i="12"/>
  <c r="EF83" i="12"/>
  <c r="EG83" i="12" s="1"/>
  <c r="EI83" i="12" s="1"/>
  <c r="AQ98" i="12"/>
  <c r="AO98" i="12"/>
  <c r="AP98" i="12" s="1"/>
  <c r="AR98" i="12" s="1"/>
  <c r="W98" i="12"/>
  <c r="Y98" i="12" s="1"/>
  <c r="DO176" i="12"/>
  <c r="DM176" i="12"/>
  <c r="DN176" i="12" s="1"/>
  <c r="DP176" i="12" s="1"/>
  <c r="BJ245" i="12"/>
  <c r="BH245" i="12"/>
  <c r="BI245" i="12" s="1"/>
  <c r="BK245" i="12" s="1"/>
  <c r="CV315" i="12"/>
  <c r="CT315" i="12"/>
  <c r="CU315" i="12" s="1"/>
  <c r="CW315" i="12" s="1"/>
  <c r="CA21" i="12"/>
  <c r="CB21" i="12" s="1"/>
  <c r="CD21" i="12" s="1"/>
  <c r="CC21" i="12"/>
  <c r="CV44" i="12"/>
  <c r="CT44" i="12"/>
  <c r="CU44" i="12" s="1"/>
  <c r="CW44" i="12" s="1"/>
  <c r="CV35" i="12"/>
  <c r="CT35" i="12"/>
  <c r="CU35" i="12" s="1"/>
  <c r="CW35" i="12" s="1"/>
  <c r="CT30" i="12"/>
  <c r="CU30" i="12" s="1"/>
  <c r="CW30" i="12" s="1"/>
  <c r="CV30" i="12"/>
  <c r="CC24" i="12"/>
  <c r="CA24" i="12"/>
  <c r="CB24" i="12" s="1"/>
  <c r="CD24" i="12" s="1"/>
  <c r="DO85" i="12"/>
  <c r="DM85" i="12"/>
  <c r="DN85" i="12" s="1"/>
  <c r="DP85" i="12" s="1"/>
  <c r="CC75" i="12"/>
  <c r="CA75" i="12"/>
  <c r="CB75" i="12" s="1"/>
  <c r="CD75" i="12" s="1"/>
  <c r="DM104" i="12"/>
  <c r="DN104" i="12" s="1"/>
  <c r="DP104" i="12" s="1"/>
  <c r="DO104" i="12"/>
  <c r="BH181" i="12"/>
  <c r="BI181" i="12" s="1"/>
  <c r="BK181" i="12" s="1"/>
  <c r="BJ181" i="12"/>
  <c r="BJ233" i="12"/>
  <c r="BH233" i="12"/>
  <c r="BI233" i="12" s="1"/>
  <c r="BK233" i="12" s="1"/>
  <c r="BH290" i="12"/>
  <c r="BI290" i="12" s="1"/>
  <c r="BK290" i="12" s="1"/>
  <c r="BJ290" i="12"/>
  <c r="FA352" i="12"/>
  <c r="EY352" i="12"/>
  <c r="EZ352" i="12" s="1"/>
  <c r="FB352" i="12" s="1"/>
  <c r="DO62" i="12"/>
  <c r="DM62" i="12"/>
  <c r="DN62" i="12" s="1"/>
  <c r="DP62" i="12" s="1"/>
  <c r="FA71" i="12"/>
  <c r="EY71" i="12"/>
  <c r="EZ71" i="12" s="1"/>
  <c r="FB71" i="12" s="1"/>
  <c r="BJ102" i="12"/>
  <c r="BH102" i="12"/>
  <c r="BI102" i="12" s="1"/>
  <c r="BK102" i="12" s="1"/>
  <c r="CT149" i="12"/>
  <c r="CU149" i="12" s="1"/>
  <c r="CW149" i="12" s="1"/>
  <c r="CV149" i="12"/>
  <c r="BJ281" i="12"/>
  <c r="BH281" i="12"/>
  <c r="BI281" i="12" s="1"/>
  <c r="BK281" i="12" s="1"/>
  <c r="CT346" i="12"/>
  <c r="CU346" i="12" s="1"/>
  <c r="CW346" i="12" s="1"/>
  <c r="CV346" i="12"/>
  <c r="AO37" i="12"/>
  <c r="AP37" i="12" s="1"/>
  <c r="AR37" i="12" s="1"/>
  <c r="AQ37" i="12"/>
  <c r="W37" i="12"/>
  <c r="Y37" i="12" s="1"/>
  <c r="AQ28" i="12"/>
  <c r="AO28" i="12"/>
  <c r="AP28" i="12" s="1"/>
  <c r="AR28" i="12" s="1"/>
  <c r="W28" i="12"/>
  <c r="Y28" i="12" s="1"/>
  <c r="AO23" i="12"/>
  <c r="AP23" i="12" s="1"/>
  <c r="AR23" i="12" s="1"/>
  <c r="AQ23" i="12"/>
  <c r="W23" i="12"/>
  <c r="Y23" i="12" s="1"/>
  <c r="EH75" i="12"/>
  <c r="EF75" i="12"/>
  <c r="EG75" i="12" s="1"/>
  <c r="EI75" i="12" s="1"/>
  <c r="CV49" i="12"/>
  <c r="CT49" i="12"/>
  <c r="CU49" i="12" s="1"/>
  <c r="CW49" i="12" s="1"/>
  <c r="CV68" i="12"/>
  <c r="CT68" i="12"/>
  <c r="CU68" i="12" s="1"/>
  <c r="CW68" i="12" s="1"/>
  <c r="BH60" i="12"/>
  <c r="BI60" i="12" s="1"/>
  <c r="BK60" i="12" s="1"/>
  <c r="BJ60" i="12"/>
  <c r="EF154" i="12"/>
  <c r="EG154" i="12" s="1"/>
  <c r="EI154" i="12" s="1"/>
  <c r="EH154" i="12"/>
  <c r="CV214" i="12"/>
  <c r="CT214" i="12"/>
  <c r="CU214" i="12" s="1"/>
  <c r="CW214" i="12" s="1"/>
  <c r="FA272" i="12"/>
  <c r="EY272" i="12"/>
  <c r="EZ272" i="12" s="1"/>
  <c r="FB272" i="12" s="1"/>
  <c r="AQ339" i="12"/>
  <c r="AO339" i="12"/>
  <c r="AP339" i="12" s="1"/>
  <c r="AR339" i="12" s="1"/>
  <c r="W339" i="12"/>
  <c r="Y339" i="12" s="1"/>
  <c r="DO29" i="12"/>
  <c r="DM29" i="12"/>
  <c r="DN29" i="12" s="1"/>
  <c r="DP29" i="12" s="1"/>
  <c r="AQ82" i="12"/>
  <c r="AO82" i="12"/>
  <c r="AP82" i="12" s="1"/>
  <c r="AR82" i="12" s="1"/>
  <c r="W82" i="12"/>
  <c r="Y82" i="12" s="1"/>
  <c r="FA64" i="12"/>
  <c r="EY64" i="12"/>
  <c r="EZ64" i="12" s="1"/>
  <c r="FB64" i="12" s="1"/>
  <c r="DO47" i="12"/>
  <c r="DM47" i="12"/>
  <c r="DN47" i="12" s="1"/>
  <c r="DP47" i="12" s="1"/>
  <c r="EF131" i="12"/>
  <c r="EG131" i="12" s="1"/>
  <c r="EI131" i="12" s="1"/>
  <c r="EH131" i="12"/>
  <c r="CC192" i="12"/>
  <c r="CA192" i="12"/>
  <c r="CB192" i="12" s="1"/>
  <c r="CD192" i="12" s="1"/>
  <c r="BJ257" i="12"/>
  <c r="BH257" i="12"/>
  <c r="BI257" i="12" s="1"/>
  <c r="BK257" i="12" s="1"/>
  <c r="BJ321" i="12"/>
  <c r="BH321" i="12"/>
  <c r="BI321" i="12" s="1"/>
  <c r="BK321" i="12" s="1"/>
  <c r="AO15" i="12"/>
  <c r="AP15" i="12" s="1"/>
  <c r="AR15" i="12" s="1"/>
  <c r="AQ15" i="12"/>
  <c r="W15" i="12"/>
  <c r="Y15" i="12" s="1"/>
  <c r="FA72" i="12"/>
  <c r="EY72" i="12"/>
  <c r="EZ72" i="12" s="1"/>
  <c r="FB72" i="12" s="1"/>
  <c r="BJ45" i="12"/>
  <c r="BH45" i="12"/>
  <c r="BI45" i="12" s="1"/>
  <c r="BK45" i="12" s="1"/>
  <c r="BH40" i="12"/>
  <c r="BI40" i="12" s="1"/>
  <c r="BK40" i="12" s="1"/>
  <c r="BJ40" i="12"/>
  <c r="AQ34" i="12"/>
  <c r="AO34" i="12"/>
  <c r="AP34" i="12" s="1"/>
  <c r="AR34" i="12" s="1"/>
  <c r="W34" i="12"/>
  <c r="Y34" i="12" s="1"/>
  <c r="AQ53" i="12"/>
  <c r="AO53" i="12"/>
  <c r="AP53" i="12" s="1"/>
  <c r="AR53" i="12" s="1"/>
  <c r="W53" i="12"/>
  <c r="Y53" i="12" s="1"/>
  <c r="CV88" i="12"/>
  <c r="CT88" i="12"/>
  <c r="CU88" i="12" s="1"/>
  <c r="CW88" i="12" s="1"/>
  <c r="DO149" i="12"/>
  <c r="DM149" i="12"/>
  <c r="DN149" i="12" s="1"/>
  <c r="DP149" i="12" s="1"/>
  <c r="FA169" i="12"/>
  <c r="EY169" i="12"/>
  <c r="EZ169" i="12" s="1"/>
  <c r="FB169" i="12" s="1"/>
  <c r="BJ313" i="12"/>
  <c r="BH313" i="12"/>
  <c r="BI313" i="12" s="1"/>
  <c r="BK313" i="12" s="1"/>
  <c r="DO54" i="12"/>
  <c r="DM54" i="12"/>
  <c r="DN54" i="12" s="1"/>
  <c r="DP54" i="12" s="1"/>
  <c r="EF42" i="12"/>
  <c r="EG42" i="12" s="1"/>
  <c r="EI42" i="12" s="1"/>
  <c r="EH42" i="12"/>
  <c r="EH33" i="12"/>
  <c r="EF33" i="12"/>
  <c r="EG33" i="12" s="1"/>
  <c r="EI33" i="12" s="1"/>
  <c r="EF28" i="12"/>
  <c r="EG28" i="12" s="1"/>
  <c r="EI28" i="12" s="1"/>
  <c r="EH28" i="12"/>
  <c r="DM22" i="12"/>
  <c r="DN22" i="12" s="1"/>
  <c r="DP22" i="12" s="1"/>
  <c r="DO22" i="12"/>
  <c r="DO73" i="12"/>
  <c r="DM73" i="12"/>
  <c r="DN73" i="12" s="1"/>
  <c r="DP73" i="12" s="1"/>
  <c r="DO92" i="12"/>
  <c r="DM92" i="12"/>
  <c r="DN92" i="12" s="1"/>
  <c r="DP92" i="12" s="1"/>
  <c r="BJ221" i="12"/>
  <c r="BH221" i="12"/>
  <c r="BI221" i="12" s="1"/>
  <c r="BK221" i="12" s="1"/>
  <c r="EF280" i="12"/>
  <c r="EG280" i="12" s="1"/>
  <c r="EI280" i="12" s="1"/>
  <c r="EH280" i="12"/>
  <c r="AQ352" i="12"/>
  <c r="AO352" i="12"/>
  <c r="AP352" i="12" s="1"/>
  <c r="AR352" i="12" s="1"/>
  <c r="W352" i="12"/>
  <c r="Y352" i="12" s="1"/>
  <c r="CA74" i="12"/>
  <c r="CB74" i="12" s="1"/>
  <c r="CD74" i="12" s="1"/>
  <c r="CC74" i="12"/>
  <c r="EF68" i="12"/>
  <c r="EG68" i="12" s="1"/>
  <c r="EI68" i="12" s="1"/>
  <c r="EH68" i="12"/>
  <c r="BJ89" i="12"/>
  <c r="BH89" i="12"/>
  <c r="BI89" i="12" s="1"/>
  <c r="BK89" i="12" s="1"/>
  <c r="CV86" i="12"/>
  <c r="CT86" i="12"/>
  <c r="CU86" i="12" s="1"/>
  <c r="CW86" i="12" s="1"/>
  <c r="CC114" i="12"/>
  <c r="CA114" i="12"/>
  <c r="CB114" i="12" s="1"/>
  <c r="CD114" i="12" s="1"/>
  <c r="EY151" i="12"/>
  <c r="EZ151" i="12" s="1"/>
  <c r="FB151" i="12" s="1"/>
  <c r="FA151" i="12"/>
  <c r="DO135" i="12"/>
  <c r="DM135" i="12"/>
  <c r="DN135" i="12" s="1"/>
  <c r="DP135" i="12" s="1"/>
  <c r="CC136" i="12"/>
  <c r="CA136" i="12"/>
  <c r="CB136" i="12" s="1"/>
  <c r="CD136" i="12" s="1"/>
  <c r="CC131" i="12"/>
  <c r="CA131" i="12"/>
  <c r="CB131" i="12" s="1"/>
  <c r="CD131" i="12" s="1"/>
  <c r="FA126" i="12"/>
  <c r="EY126" i="12"/>
  <c r="EZ126" i="12" s="1"/>
  <c r="FB126" i="12" s="1"/>
  <c r="AO152" i="12"/>
  <c r="AP152" i="12" s="1"/>
  <c r="AR152" i="12" s="1"/>
  <c r="AQ152" i="12"/>
  <c r="W152" i="12"/>
  <c r="Y152" i="12" s="1"/>
  <c r="CC153" i="12"/>
  <c r="CA153" i="12"/>
  <c r="CB153" i="12" s="1"/>
  <c r="CD153" i="12" s="1"/>
  <c r="DM154" i="12"/>
  <c r="DN154" i="12" s="1"/>
  <c r="DP154" i="12" s="1"/>
  <c r="DO154" i="12"/>
  <c r="CV170" i="12"/>
  <c r="CT170" i="12"/>
  <c r="CU170" i="12" s="1"/>
  <c r="CW170" i="12" s="1"/>
  <c r="EY164" i="12"/>
  <c r="EZ164" i="12" s="1"/>
  <c r="FB164" i="12" s="1"/>
  <c r="FA164" i="12"/>
  <c r="EH204" i="12"/>
  <c r="EF204" i="12"/>
  <c r="EG204" i="12" s="1"/>
  <c r="EI204" i="12" s="1"/>
  <c r="DM197" i="12"/>
  <c r="DN197" i="12" s="1"/>
  <c r="DP197" i="12" s="1"/>
  <c r="DO197" i="12"/>
  <c r="EY235" i="12"/>
  <c r="EZ235" i="12" s="1"/>
  <c r="FB235" i="12" s="1"/>
  <c r="FA235" i="12"/>
  <c r="AQ223" i="12"/>
  <c r="AO223" i="12"/>
  <c r="AP223" i="12" s="1"/>
  <c r="AR223" i="12" s="1"/>
  <c r="W223" i="12"/>
  <c r="Y223" i="12" s="1"/>
  <c r="CC239" i="12"/>
  <c r="CA239" i="12"/>
  <c r="CB239" i="12" s="1"/>
  <c r="CD239" i="12" s="1"/>
  <c r="CA236" i="12"/>
  <c r="CB236" i="12" s="1"/>
  <c r="CD236" i="12" s="1"/>
  <c r="CC236" i="12"/>
  <c r="CV271" i="12"/>
  <c r="CT271" i="12"/>
  <c r="CU271" i="12" s="1"/>
  <c r="CW271" i="12" s="1"/>
  <c r="CV248" i="12"/>
  <c r="CT248" i="12"/>
  <c r="CU248" i="12" s="1"/>
  <c r="CW248" i="12" s="1"/>
  <c r="EH261" i="12"/>
  <c r="EF261" i="12"/>
  <c r="EG261" i="12" s="1"/>
  <c r="EI261" i="12" s="1"/>
  <c r="CV270" i="12"/>
  <c r="CT270" i="12"/>
  <c r="CU270" i="12" s="1"/>
  <c r="CW270" i="12" s="1"/>
  <c r="DM293" i="12"/>
  <c r="DN293" i="12" s="1"/>
  <c r="DP293" i="12" s="1"/>
  <c r="DO293" i="12"/>
  <c r="BJ297" i="12"/>
  <c r="BH297" i="12"/>
  <c r="BI297" i="12" s="1"/>
  <c r="BK297" i="12" s="1"/>
  <c r="DM300" i="12"/>
  <c r="DN300" i="12" s="1"/>
  <c r="DP300" i="12" s="1"/>
  <c r="DO300" i="12"/>
  <c r="AQ317" i="12"/>
  <c r="AO317" i="12"/>
  <c r="AP317" i="12" s="1"/>
  <c r="AR317" i="12" s="1"/>
  <c r="W317" i="12"/>
  <c r="Y317" i="12" s="1"/>
  <c r="CT334" i="12"/>
  <c r="CU334" i="12" s="1"/>
  <c r="CW334" i="12" s="1"/>
  <c r="CV334" i="12"/>
  <c r="FA340" i="12"/>
  <c r="EY340" i="12"/>
  <c r="EZ340" i="12" s="1"/>
  <c r="FB340" i="12" s="1"/>
  <c r="AO350" i="12"/>
  <c r="AP350" i="12" s="1"/>
  <c r="AR350" i="12" s="1"/>
  <c r="AQ350" i="12"/>
  <c r="W350" i="12"/>
  <c r="Y350" i="12" s="1"/>
  <c r="BJ357" i="12"/>
  <c r="BH357" i="12"/>
  <c r="BI357" i="12" s="1"/>
  <c r="BK357" i="12" s="1"/>
  <c r="BH15" i="12"/>
  <c r="BI15" i="12" s="1"/>
  <c r="BK15" i="12" s="1"/>
  <c r="BJ15" i="12"/>
  <c r="BJ86" i="12"/>
  <c r="BH86" i="12"/>
  <c r="BI86" i="12" s="1"/>
  <c r="BK86" i="12" s="1"/>
  <c r="CC77" i="12"/>
  <c r="CA77" i="12"/>
  <c r="CB77" i="12" s="1"/>
  <c r="CD77" i="12" s="1"/>
  <c r="EF97" i="12"/>
  <c r="EG97" i="12" s="1"/>
  <c r="EI97" i="12" s="1"/>
  <c r="EH97" i="12"/>
  <c r="BJ95" i="12"/>
  <c r="BH95" i="12"/>
  <c r="BI95" i="12" s="1"/>
  <c r="BK95" i="12" s="1"/>
  <c r="EH181" i="12"/>
  <c r="EF181" i="12"/>
  <c r="EG181" i="12" s="1"/>
  <c r="EI181" i="12" s="1"/>
  <c r="BJ144" i="12"/>
  <c r="BH144" i="12"/>
  <c r="BI144" i="12" s="1"/>
  <c r="BK144" i="12" s="1"/>
  <c r="EY144" i="12"/>
  <c r="EZ144" i="12" s="1"/>
  <c r="FB144" i="12" s="1"/>
  <c r="FA144" i="12"/>
  <c r="FA139" i="12"/>
  <c r="EY139" i="12"/>
  <c r="EZ139" i="12" s="1"/>
  <c r="FB139" i="12" s="1"/>
  <c r="CV135" i="12"/>
  <c r="CT135" i="12"/>
  <c r="CU135" i="12" s="1"/>
  <c r="CW135" i="12" s="1"/>
  <c r="DO160" i="12"/>
  <c r="DM160" i="12"/>
  <c r="DN160" i="12" s="1"/>
  <c r="DP160" i="12" s="1"/>
  <c r="FA161" i="12"/>
  <c r="EY161" i="12"/>
  <c r="EZ161" i="12" s="1"/>
  <c r="FB161" i="12" s="1"/>
  <c r="BH163" i="12"/>
  <c r="BI163" i="12" s="1"/>
  <c r="BK163" i="12" s="1"/>
  <c r="BJ163" i="12"/>
  <c r="CT173" i="12"/>
  <c r="CU173" i="12" s="1"/>
  <c r="CW173" i="12" s="1"/>
  <c r="CV173" i="12"/>
  <c r="EY198" i="12"/>
  <c r="EZ198" i="12" s="1"/>
  <c r="FB198" i="12" s="1"/>
  <c r="FA198" i="12"/>
  <c r="AO208" i="12"/>
  <c r="AP208" i="12" s="1"/>
  <c r="AR208" i="12" s="1"/>
  <c r="AQ208" i="12"/>
  <c r="W208" i="12"/>
  <c r="Y208" i="12" s="1"/>
  <c r="CA226" i="12"/>
  <c r="CB226" i="12" s="1"/>
  <c r="CD226" i="12" s="1"/>
  <c r="CC226" i="12"/>
  <c r="FA228" i="12"/>
  <c r="EY228" i="12"/>
  <c r="EZ228" i="12" s="1"/>
  <c r="FB228" i="12" s="1"/>
  <c r="CA242" i="12"/>
  <c r="CB242" i="12" s="1"/>
  <c r="CD242" i="12" s="1"/>
  <c r="CC242" i="12"/>
  <c r="DM246" i="12"/>
  <c r="DN246" i="12" s="1"/>
  <c r="DP246" i="12" s="1"/>
  <c r="DO246" i="12"/>
  <c r="BH252" i="12"/>
  <c r="BI252" i="12" s="1"/>
  <c r="BK252" i="12" s="1"/>
  <c r="BJ252" i="12"/>
  <c r="CA283" i="12"/>
  <c r="CB283" i="12" s="1"/>
  <c r="CD283" i="12" s="1"/>
  <c r="CC283" i="12"/>
  <c r="CC275" i="12"/>
  <c r="CA275" i="12"/>
  <c r="CB275" i="12" s="1"/>
  <c r="CD275" i="12" s="1"/>
  <c r="EY285" i="12"/>
  <c r="EZ285" i="12" s="1"/>
  <c r="FB285" i="12" s="1"/>
  <c r="FA285" i="12"/>
  <c r="CT298" i="12"/>
  <c r="CU298" i="12" s="1"/>
  <c r="CW298" i="12" s="1"/>
  <c r="CV298" i="12"/>
  <c r="DO312" i="12"/>
  <c r="DM312" i="12"/>
  <c r="DN312" i="12" s="1"/>
  <c r="DP312" i="12" s="1"/>
  <c r="AQ322" i="12"/>
  <c r="AO322" i="12"/>
  <c r="AP322" i="12" s="1"/>
  <c r="AR322" i="12" s="1"/>
  <c r="W322" i="12"/>
  <c r="Y322" i="12" s="1"/>
  <c r="AQ329" i="12"/>
  <c r="AO329" i="12"/>
  <c r="AP329" i="12" s="1"/>
  <c r="AR329" i="12" s="1"/>
  <c r="W329" i="12"/>
  <c r="Y329" i="12" s="1"/>
  <c r="CC343" i="12"/>
  <c r="CA343" i="12"/>
  <c r="CB343" i="12" s="1"/>
  <c r="CD343" i="12" s="1"/>
  <c r="CT351" i="12"/>
  <c r="CU351" i="12" s="1"/>
  <c r="CW351" i="12" s="1"/>
  <c r="CV351" i="12"/>
  <c r="CV63" i="12"/>
  <c r="CT63" i="12"/>
  <c r="CU63" i="12" s="1"/>
  <c r="CW63" i="12" s="1"/>
  <c r="EY57" i="12"/>
  <c r="EZ57" i="12" s="1"/>
  <c r="FB57" i="12" s="1"/>
  <c r="FA57" i="12"/>
  <c r="AQ105" i="12"/>
  <c r="AO105" i="12"/>
  <c r="AP105" i="12" s="1"/>
  <c r="AR105" i="12" s="1"/>
  <c r="W105" i="12"/>
  <c r="Y105" i="12" s="1"/>
  <c r="CC110" i="12"/>
  <c r="CA110" i="12"/>
  <c r="CB110" i="12" s="1"/>
  <c r="CD110" i="12" s="1"/>
  <c r="AQ107" i="12"/>
  <c r="AO107" i="12"/>
  <c r="AP107" i="12" s="1"/>
  <c r="AR107" i="12" s="1"/>
  <c r="W107" i="12"/>
  <c r="Y107" i="12" s="1"/>
  <c r="EF107" i="12"/>
  <c r="EG107" i="12" s="1"/>
  <c r="EI107" i="12" s="1"/>
  <c r="EH107" i="12"/>
  <c r="EH124" i="12"/>
  <c r="EF124" i="12"/>
  <c r="EG124" i="12" s="1"/>
  <c r="EI124" i="12" s="1"/>
  <c r="CV125" i="12"/>
  <c r="CT125" i="12"/>
  <c r="CU125" i="12" s="1"/>
  <c r="CW125" i="12" s="1"/>
  <c r="EF173" i="12"/>
  <c r="EG173" i="12" s="1"/>
  <c r="EI173" i="12" s="1"/>
  <c r="EH173" i="12"/>
  <c r="DM146" i="12"/>
  <c r="DN146" i="12" s="1"/>
  <c r="DP146" i="12" s="1"/>
  <c r="DO146" i="12"/>
  <c r="CT164" i="12"/>
  <c r="CU164" i="12" s="1"/>
  <c r="CW164" i="12" s="1"/>
  <c r="CV164" i="12"/>
  <c r="DM165" i="12"/>
  <c r="DN165" i="12" s="1"/>
  <c r="DP165" i="12" s="1"/>
  <c r="DO165" i="12"/>
  <c r="AQ184" i="12"/>
  <c r="AO184" i="12"/>
  <c r="AP184" i="12" s="1"/>
  <c r="AR184" i="12" s="1"/>
  <c r="W184" i="12"/>
  <c r="Y184" i="12" s="1"/>
  <c r="AQ191" i="12"/>
  <c r="AO191" i="12"/>
  <c r="AP191" i="12" s="1"/>
  <c r="AR191" i="12" s="1"/>
  <c r="W191" i="12"/>
  <c r="Y191" i="12" s="1"/>
  <c r="CV201" i="12"/>
  <c r="CT201" i="12"/>
  <c r="CU201" i="12" s="1"/>
  <c r="CW201" i="12" s="1"/>
  <c r="DO211" i="12"/>
  <c r="DM211" i="12"/>
  <c r="DN211" i="12" s="1"/>
  <c r="DP211" i="12" s="1"/>
  <c r="BH210" i="12"/>
  <c r="BI210" i="12" s="1"/>
  <c r="BK210" i="12" s="1"/>
  <c r="BJ210" i="12"/>
  <c r="CV237" i="12"/>
  <c r="CT237" i="12"/>
  <c r="CU237" i="12" s="1"/>
  <c r="CW237" i="12" s="1"/>
  <c r="CV224" i="12"/>
  <c r="CT224" i="12"/>
  <c r="CU224" i="12" s="1"/>
  <c r="CW224" i="12" s="1"/>
  <c r="AO239" i="12"/>
  <c r="AP239" i="12" s="1"/>
  <c r="AR239" i="12" s="1"/>
  <c r="AQ239" i="12"/>
  <c r="W239" i="12"/>
  <c r="Y239" i="12" s="1"/>
  <c r="DM258" i="12"/>
  <c r="DN258" i="12" s="1"/>
  <c r="DP258" i="12" s="1"/>
  <c r="DO258" i="12"/>
  <c r="FA250" i="12"/>
  <c r="EY250" i="12"/>
  <c r="EZ250" i="12" s="1"/>
  <c r="FB250" i="12" s="1"/>
  <c r="EH265" i="12"/>
  <c r="EF265" i="12"/>
  <c r="EG265" i="12" s="1"/>
  <c r="EI265" i="12" s="1"/>
  <c r="AQ270" i="12"/>
  <c r="AO270" i="12"/>
  <c r="AP270" i="12" s="1"/>
  <c r="AR270" i="12" s="1"/>
  <c r="W270" i="12"/>
  <c r="Y270" i="12" s="1"/>
  <c r="FA282" i="12"/>
  <c r="EY282" i="12"/>
  <c r="EZ282" i="12" s="1"/>
  <c r="FB282" i="12" s="1"/>
  <c r="AO282" i="12"/>
  <c r="AP282" i="12" s="1"/>
  <c r="AR282" i="12" s="1"/>
  <c r="AQ282" i="12"/>
  <c r="W282" i="12"/>
  <c r="Y282" i="12" s="1"/>
  <c r="CV312" i="12"/>
  <c r="CT312" i="12"/>
  <c r="CU312" i="12" s="1"/>
  <c r="CW312" i="12" s="1"/>
  <c r="EH333" i="12"/>
  <c r="EF333" i="12"/>
  <c r="EG333" i="12" s="1"/>
  <c r="EI333" i="12" s="1"/>
  <c r="CC334" i="12"/>
  <c r="CA334" i="12"/>
  <c r="CB334" i="12" s="1"/>
  <c r="CD334" i="12" s="1"/>
  <c r="FA344" i="12"/>
  <c r="EY344" i="12"/>
  <c r="EZ344" i="12" s="1"/>
  <c r="FB344" i="12" s="1"/>
  <c r="DM347" i="12"/>
  <c r="DN347" i="12" s="1"/>
  <c r="DP347" i="12" s="1"/>
  <c r="DO347" i="12"/>
  <c r="CV74" i="12"/>
  <c r="CT74" i="12"/>
  <c r="CU74" i="12" s="1"/>
  <c r="CW74" i="12" s="1"/>
  <c r="EY94" i="12"/>
  <c r="EZ94" i="12" s="1"/>
  <c r="FB94" i="12" s="1"/>
  <c r="FA94" i="12"/>
  <c r="DO91" i="12"/>
  <c r="DM91" i="12"/>
  <c r="DN91" i="12" s="1"/>
  <c r="DP91" i="12" s="1"/>
  <c r="CA92" i="12"/>
  <c r="CB92" i="12" s="1"/>
  <c r="CD92" i="12" s="1"/>
  <c r="CC92" i="12"/>
  <c r="FA118" i="12"/>
  <c r="EY118" i="12"/>
  <c r="EZ118" i="12" s="1"/>
  <c r="FB118" i="12" s="1"/>
  <c r="CC141" i="12"/>
  <c r="CA141" i="12"/>
  <c r="CB141" i="12" s="1"/>
  <c r="CD141" i="12" s="1"/>
  <c r="AQ132" i="12"/>
  <c r="AO132" i="12"/>
  <c r="AP132" i="12" s="1"/>
  <c r="AR132" i="12" s="1"/>
  <c r="W132" i="12"/>
  <c r="Y132" i="12" s="1"/>
  <c r="EH157" i="12"/>
  <c r="EF157" i="12"/>
  <c r="EG157" i="12" s="1"/>
  <c r="EI157" i="12" s="1"/>
  <c r="CA160" i="12"/>
  <c r="CB160" i="12" s="1"/>
  <c r="CD160" i="12" s="1"/>
  <c r="CC160" i="12"/>
  <c r="DO175" i="12"/>
  <c r="DM175" i="12"/>
  <c r="DN175" i="12" s="1"/>
  <c r="DP175" i="12" s="1"/>
  <c r="AO170" i="12"/>
  <c r="AP170" i="12" s="1"/>
  <c r="AR170" i="12" s="1"/>
  <c r="AQ170" i="12"/>
  <c r="W170" i="12"/>
  <c r="Y170" i="12" s="1"/>
  <c r="DO193" i="12"/>
  <c r="DM193" i="12"/>
  <c r="DN193" i="12" s="1"/>
  <c r="DP193" i="12" s="1"/>
  <c r="CC203" i="12"/>
  <c r="CA203" i="12"/>
  <c r="CB203" i="12" s="1"/>
  <c r="CD203" i="12" s="1"/>
  <c r="DM210" i="12"/>
  <c r="DN210" i="12" s="1"/>
  <c r="DP210" i="12" s="1"/>
  <c r="DO210" i="12"/>
  <c r="CV223" i="12"/>
  <c r="CT223" i="12"/>
  <c r="CU223" i="12" s="1"/>
  <c r="CW223" i="12" s="1"/>
  <c r="CV239" i="12"/>
  <c r="CT239" i="12"/>
  <c r="CU239" i="12" s="1"/>
  <c r="CW239" i="12" s="1"/>
  <c r="EF243" i="12"/>
  <c r="EG243" i="12" s="1"/>
  <c r="EI243" i="12" s="1"/>
  <c r="EH243" i="12"/>
  <c r="DO253" i="12"/>
  <c r="DM253" i="12"/>
  <c r="DN253" i="12" s="1"/>
  <c r="DP253" i="12" s="1"/>
  <c r="CC249" i="12"/>
  <c r="CA249" i="12"/>
  <c r="CB249" i="12" s="1"/>
  <c r="CD249" i="12" s="1"/>
  <c r="DO275" i="12"/>
  <c r="DM275" i="12"/>
  <c r="DN275" i="12" s="1"/>
  <c r="DP275" i="12" s="1"/>
  <c r="CT272" i="12"/>
  <c r="CU272" i="12" s="1"/>
  <c r="CW272" i="12" s="1"/>
  <c r="CV272" i="12"/>
  <c r="AO295" i="12"/>
  <c r="AP295" i="12" s="1"/>
  <c r="AR295" i="12" s="1"/>
  <c r="AQ295" i="12"/>
  <c r="W295" i="12"/>
  <c r="Y295" i="12" s="1"/>
  <c r="DO305" i="12"/>
  <c r="DM305" i="12"/>
  <c r="DN305" i="12" s="1"/>
  <c r="DP305" i="12" s="1"/>
  <c r="BH307" i="12"/>
  <c r="BI307" i="12" s="1"/>
  <c r="BK307" i="12" s="1"/>
  <c r="BJ307" i="12"/>
  <c r="BJ319" i="12"/>
  <c r="BH319" i="12"/>
  <c r="BI319" i="12" s="1"/>
  <c r="BK319" i="12" s="1"/>
  <c r="BJ326" i="12"/>
  <c r="BH326" i="12"/>
  <c r="BI326" i="12" s="1"/>
  <c r="BK326" i="12" s="1"/>
  <c r="DO340" i="12"/>
  <c r="DM340" i="12"/>
  <c r="DN340" i="12" s="1"/>
  <c r="DP340" i="12" s="1"/>
  <c r="FA341" i="12"/>
  <c r="EY341" i="12"/>
  <c r="EZ341" i="12" s="1"/>
  <c r="FB341" i="12" s="1"/>
  <c r="BJ354" i="12"/>
  <c r="BH354" i="12"/>
  <c r="BI354" i="12" s="1"/>
  <c r="BK354" i="12" s="1"/>
  <c r="AQ359" i="12"/>
  <c r="AO359" i="12"/>
  <c r="AP359" i="12" s="1"/>
  <c r="AR359" i="12" s="1"/>
  <c r="W359" i="12"/>
  <c r="Y359" i="12" s="1"/>
  <c r="AQ64" i="12"/>
  <c r="AO64" i="12"/>
  <c r="AP64" i="12" s="1"/>
  <c r="AR64" i="12" s="1"/>
  <c r="W64" i="12"/>
  <c r="Y64" i="12" s="1"/>
  <c r="FA107" i="12"/>
  <c r="EY107" i="12"/>
  <c r="EZ107" i="12" s="1"/>
  <c r="FB107" i="12" s="1"/>
  <c r="CV111" i="12"/>
  <c r="CT111" i="12"/>
  <c r="CU111" i="12" s="1"/>
  <c r="CW111" i="12" s="1"/>
  <c r="BH108" i="12"/>
  <c r="BI108" i="12" s="1"/>
  <c r="BK108" i="12" s="1"/>
  <c r="BJ108" i="12"/>
  <c r="EY108" i="12"/>
  <c r="EZ108" i="12" s="1"/>
  <c r="FB108" i="12" s="1"/>
  <c r="FA108" i="12"/>
  <c r="FA125" i="12"/>
  <c r="EY125" i="12"/>
  <c r="EZ125" i="12" s="1"/>
  <c r="FB125" i="12" s="1"/>
  <c r="AQ126" i="12"/>
  <c r="AO126" i="12"/>
  <c r="AP126" i="12" s="1"/>
  <c r="AR126" i="12" s="1"/>
  <c r="W126" i="12"/>
  <c r="Y126" i="12" s="1"/>
  <c r="AQ204" i="12"/>
  <c r="AO204" i="12"/>
  <c r="AP204" i="12" s="1"/>
  <c r="AR204" i="12" s="1"/>
  <c r="W204" i="12"/>
  <c r="Y204" i="12" s="1"/>
  <c r="CC149" i="12"/>
  <c r="CA149" i="12"/>
  <c r="CB149" i="12" s="1"/>
  <c r="CD149" i="12" s="1"/>
  <c r="CC170" i="12"/>
  <c r="CA170" i="12"/>
  <c r="CB170" i="12" s="1"/>
  <c r="CD170" i="12" s="1"/>
  <c r="AO177" i="12"/>
  <c r="AP177" i="12" s="1"/>
  <c r="AR177" i="12" s="1"/>
  <c r="AQ177" i="12"/>
  <c r="W177" i="12"/>
  <c r="Y177" i="12" s="1"/>
  <c r="AO189" i="12"/>
  <c r="AP189" i="12" s="1"/>
  <c r="AR189" i="12" s="1"/>
  <c r="AQ189" i="12"/>
  <c r="W189" i="12"/>
  <c r="Y189" i="12" s="1"/>
  <c r="BJ192" i="12"/>
  <c r="BH192" i="12"/>
  <c r="BI192" i="12" s="1"/>
  <c r="BK192" i="12" s="1"/>
  <c r="DM186" i="12"/>
  <c r="DN186" i="12" s="1"/>
  <c r="DP186" i="12" s="1"/>
  <c r="DO186" i="12"/>
  <c r="AO202" i="12"/>
  <c r="AP202" i="12" s="1"/>
  <c r="AR202" i="12" s="1"/>
  <c r="AQ202" i="12"/>
  <c r="W202" i="12"/>
  <c r="Y202" i="12" s="1"/>
  <c r="EF212" i="12"/>
  <c r="EG212" i="12" s="1"/>
  <c r="EI212" i="12" s="1"/>
  <c r="EH212" i="12"/>
  <c r="CC211" i="12"/>
  <c r="CA211" i="12"/>
  <c r="CB211" i="12" s="1"/>
  <c r="CD211" i="12" s="1"/>
  <c r="AQ225" i="12"/>
  <c r="AO225" i="12"/>
  <c r="AP225" i="12" s="1"/>
  <c r="AR225" i="12" s="1"/>
  <c r="W225" i="12"/>
  <c r="Y225" i="12" s="1"/>
  <c r="BJ240" i="12"/>
  <c r="BH240" i="12"/>
  <c r="BI240" i="12" s="1"/>
  <c r="BK240" i="12" s="1"/>
  <c r="EF259" i="12"/>
  <c r="EG259" i="12" s="1"/>
  <c r="EI259" i="12" s="1"/>
  <c r="EH259" i="12"/>
  <c r="AQ277" i="12"/>
  <c r="AO277" i="12"/>
  <c r="AP277" i="12" s="1"/>
  <c r="AR277" i="12" s="1"/>
  <c r="W277" i="12"/>
  <c r="Y277" i="12" s="1"/>
  <c r="BH271" i="12"/>
  <c r="BI271" i="12" s="1"/>
  <c r="BK271" i="12" s="1"/>
  <c r="BJ271" i="12"/>
  <c r="BJ283" i="12"/>
  <c r="BH283" i="12"/>
  <c r="BI283" i="12" s="1"/>
  <c r="BK283" i="12" s="1"/>
  <c r="DO298" i="12"/>
  <c r="DM298" i="12"/>
  <c r="DN298" i="12" s="1"/>
  <c r="DP298" i="12" s="1"/>
  <c r="DO316" i="12"/>
  <c r="DM316" i="12"/>
  <c r="DN316" i="12" s="1"/>
  <c r="DP316" i="12" s="1"/>
  <c r="DO310" i="12"/>
  <c r="DM310" i="12"/>
  <c r="DN310" i="12" s="1"/>
  <c r="DP310" i="12" s="1"/>
  <c r="DO327" i="12"/>
  <c r="DM327" i="12"/>
  <c r="DN327" i="12" s="1"/>
  <c r="DP327" i="12" s="1"/>
  <c r="EH328" i="12"/>
  <c r="EF328" i="12"/>
  <c r="EG328" i="12" s="1"/>
  <c r="EI328" i="12" s="1"/>
  <c r="EY337" i="12"/>
  <c r="EZ337" i="12" s="1"/>
  <c r="FB337" i="12" s="1"/>
  <c r="FA337" i="12"/>
  <c r="CV345" i="12"/>
  <c r="CT345" i="12"/>
  <c r="CU345" i="12" s="1"/>
  <c r="CW345" i="12" s="1"/>
  <c r="FA356" i="12"/>
  <c r="EY356" i="12"/>
  <c r="EZ356" i="12" s="1"/>
  <c r="FB356" i="12" s="1"/>
  <c r="BJ51" i="12"/>
  <c r="BH51" i="12"/>
  <c r="BI51" i="12" s="1"/>
  <c r="BK51" i="12" s="1"/>
  <c r="DO68" i="12"/>
  <c r="DM68" i="12"/>
  <c r="DN68" i="12" s="1"/>
  <c r="DP68" i="12" s="1"/>
  <c r="AO63" i="12"/>
  <c r="AP63" i="12" s="1"/>
  <c r="AR63" i="12" s="1"/>
  <c r="AQ63" i="12"/>
  <c r="W63" i="12"/>
  <c r="Y63" i="12" s="1"/>
  <c r="BJ113" i="12"/>
  <c r="BH113" i="12"/>
  <c r="BI113" i="12" s="1"/>
  <c r="BK113" i="12" s="1"/>
  <c r="DM113" i="12"/>
  <c r="DN113" i="12" s="1"/>
  <c r="DP113" i="12" s="1"/>
  <c r="DO113" i="12"/>
  <c r="CV113" i="12"/>
  <c r="CT113" i="12"/>
  <c r="CU113" i="12" s="1"/>
  <c r="CW113" i="12" s="1"/>
  <c r="CV130" i="12"/>
  <c r="CT130" i="12"/>
  <c r="CU130" i="12" s="1"/>
  <c r="CW130" i="12" s="1"/>
  <c r="DO130" i="12"/>
  <c r="DM130" i="12"/>
  <c r="DN130" i="12" s="1"/>
  <c r="DP130" i="12" s="1"/>
  <c r="DO125" i="12"/>
  <c r="DM125" i="12"/>
  <c r="DN125" i="12" s="1"/>
  <c r="DP125" i="12" s="1"/>
  <c r="EH189" i="12"/>
  <c r="EF189" i="12"/>
  <c r="EG189" i="12" s="1"/>
  <c r="EI189" i="12" s="1"/>
  <c r="FA146" i="12"/>
  <c r="EY146" i="12"/>
  <c r="EZ146" i="12" s="1"/>
  <c r="FB146" i="12" s="1"/>
  <c r="FA187" i="12"/>
  <c r="EY187" i="12"/>
  <c r="EZ187" i="12" s="1"/>
  <c r="FB187" i="12" s="1"/>
  <c r="CV184" i="12"/>
  <c r="CT184" i="12"/>
  <c r="CU184" i="12" s="1"/>
  <c r="CW184" i="12" s="1"/>
  <c r="EH164" i="12"/>
  <c r="EF164" i="12"/>
  <c r="EG164" i="12" s="1"/>
  <c r="EI164" i="12" s="1"/>
  <c r="CC198" i="12"/>
  <c r="CA198" i="12"/>
  <c r="CB198" i="12" s="1"/>
  <c r="CD198" i="12" s="1"/>
  <c r="BJ191" i="12"/>
  <c r="BH191" i="12"/>
  <c r="BI191" i="12" s="1"/>
  <c r="BK191" i="12" s="1"/>
  <c r="FA206" i="12"/>
  <c r="EY206" i="12"/>
  <c r="EZ206" i="12" s="1"/>
  <c r="FB206" i="12" s="1"/>
  <c r="CC217" i="12"/>
  <c r="CA217" i="12"/>
  <c r="CB217" i="12" s="1"/>
  <c r="CD217" i="12" s="1"/>
  <c r="FA215" i="12"/>
  <c r="EY215" i="12"/>
  <c r="EZ215" i="12" s="1"/>
  <c r="FB215" i="12" s="1"/>
  <c r="DO231" i="12"/>
  <c r="DM231" i="12"/>
  <c r="DN231" i="12" s="1"/>
  <c r="DP231" i="12" s="1"/>
  <c r="DM229" i="12"/>
  <c r="DN229" i="12" s="1"/>
  <c r="DP229" i="12" s="1"/>
  <c r="DO229" i="12"/>
  <c r="EF244" i="12"/>
  <c r="EG244" i="12" s="1"/>
  <c r="EI244" i="12" s="1"/>
  <c r="EH244" i="12"/>
  <c r="BJ269" i="12"/>
  <c r="BH269" i="12"/>
  <c r="BI269" i="12" s="1"/>
  <c r="BK269" i="12" s="1"/>
  <c r="AQ256" i="12"/>
  <c r="AO256" i="12"/>
  <c r="AP256" i="12" s="1"/>
  <c r="AR256" i="12" s="1"/>
  <c r="W256" i="12"/>
  <c r="Y256" i="12" s="1"/>
  <c r="EH264" i="12"/>
  <c r="EF264" i="12"/>
  <c r="EG264" i="12" s="1"/>
  <c r="EI264" i="12" s="1"/>
  <c r="EF275" i="12"/>
  <c r="EG275" i="12" s="1"/>
  <c r="EI275" i="12" s="1"/>
  <c r="EH275" i="12"/>
  <c r="AO288" i="12"/>
  <c r="AP288" i="12" s="1"/>
  <c r="AR288" i="12" s="1"/>
  <c r="AQ288" i="12"/>
  <c r="W288" i="12"/>
  <c r="Y288" i="12" s="1"/>
  <c r="EH287" i="12"/>
  <c r="EF287" i="12"/>
  <c r="EG287" i="12" s="1"/>
  <c r="EI287" i="12" s="1"/>
  <c r="BH303" i="12"/>
  <c r="BI303" i="12" s="1"/>
  <c r="BK303" i="12" s="1"/>
  <c r="BJ303" i="12"/>
  <c r="CV306" i="12"/>
  <c r="CT306" i="12"/>
  <c r="CU306" i="12" s="1"/>
  <c r="CW306" i="12" s="1"/>
  <c r="BJ315" i="12"/>
  <c r="BH315" i="12"/>
  <c r="BI315" i="12" s="1"/>
  <c r="BK315" i="12" s="1"/>
  <c r="AQ320" i="12"/>
  <c r="AO320" i="12"/>
  <c r="AP320" i="12" s="1"/>
  <c r="AR320" i="12" s="1"/>
  <c r="W320" i="12"/>
  <c r="Y320" i="12" s="1"/>
  <c r="EH337" i="12"/>
  <c r="EF337" i="12"/>
  <c r="EG337" i="12" s="1"/>
  <c r="EI337" i="12" s="1"/>
  <c r="CV343" i="12"/>
  <c r="CT343" i="12"/>
  <c r="CU343" i="12" s="1"/>
  <c r="CW343" i="12" s="1"/>
  <c r="CC349" i="12"/>
  <c r="CA349" i="12"/>
  <c r="CB349" i="12" s="1"/>
  <c r="CD349" i="12" s="1"/>
  <c r="CV356" i="12"/>
  <c r="CT356" i="12"/>
  <c r="CU356" i="12" s="1"/>
  <c r="CW356" i="12" s="1"/>
  <c r="CC18" i="12"/>
  <c r="CA18" i="12"/>
  <c r="CB18" i="12" s="1"/>
  <c r="CD18" i="12" s="1"/>
  <c r="BH73" i="12"/>
  <c r="BI73" i="12" s="1"/>
  <c r="BK73" i="12" s="1"/>
  <c r="BJ73" i="12"/>
  <c r="DO67" i="12"/>
  <c r="DM67" i="12"/>
  <c r="DN67" i="12" s="1"/>
  <c r="DP67" i="12" s="1"/>
  <c r="AO88" i="12"/>
  <c r="AP88" i="12" s="1"/>
  <c r="AR88" i="12" s="1"/>
  <c r="AQ88" i="12"/>
  <c r="W88" i="12"/>
  <c r="Y88" i="12" s="1"/>
  <c r="CC85" i="12"/>
  <c r="CA85" i="12"/>
  <c r="CB85" i="12" s="1"/>
  <c r="CD85" i="12" s="1"/>
  <c r="CC120" i="12"/>
  <c r="CA120" i="12"/>
  <c r="CB120" i="12" s="1"/>
  <c r="CD120" i="12" s="1"/>
  <c r="AQ146" i="12"/>
  <c r="AO146" i="12"/>
  <c r="AP146" i="12" s="1"/>
  <c r="AR146" i="12" s="1"/>
  <c r="W146" i="12"/>
  <c r="Y146" i="12" s="1"/>
  <c r="BJ135" i="12"/>
  <c r="BH135" i="12"/>
  <c r="BI135" i="12" s="1"/>
  <c r="BK135" i="12" s="1"/>
  <c r="BH130" i="12"/>
  <c r="BI130" i="12" s="1"/>
  <c r="BK130" i="12" s="1"/>
  <c r="BJ130" i="12"/>
  <c r="EF125" i="12"/>
  <c r="EG125" i="12" s="1"/>
  <c r="EI125" i="12" s="1"/>
  <c r="EH125" i="12"/>
  <c r="CV151" i="12"/>
  <c r="CT151" i="12"/>
  <c r="CU151" i="12" s="1"/>
  <c r="CW151" i="12" s="1"/>
  <c r="BJ152" i="12"/>
  <c r="BH152" i="12"/>
  <c r="BI152" i="12" s="1"/>
  <c r="BK152" i="12" s="1"/>
  <c r="CC169" i="12"/>
  <c r="CA169" i="12"/>
  <c r="CB169" i="12" s="1"/>
  <c r="CD169" i="12" s="1"/>
  <c r="BJ201" i="12"/>
  <c r="BH201" i="12"/>
  <c r="BI201" i="12" s="1"/>
  <c r="BK201" i="12" s="1"/>
  <c r="FA201" i="12"/>
  <c r="EY201" i="12"/>
  <c r="EZ201" i="12" s="1"/>
  <c r="FB201" i="12" s="1"/>
  <c r="CV226" i="12"/>
  <c r="CT226" i="12"/>
  <c r="CU226" i="12" s="1"/>
  <c r="CW226" i="12" s="1"/>
  <c r="CV220" i="12"/>
  <c r="CT220" i="12"/>
  <c r="CU220" i="12" s="1"/>
  <c r="CW220" i="12" s="1"/>
  <c r="CC243" i="12"/>
  <c r="CA243" i="12"/>
  <c r="CB243" i="12" s="1"/>
  <c r="CD243" i="12" s="1"/>
  <c r="EF234" i="12"/>
  <c r="EG234" i="12" s="1"/>
  <c r="EI234" i="12" s="1"/>
  <c r="EH234" i="12"/>
  <c r="CC250" i="12"/>
  <c r="CA250" i="12"/>
  <c r="CB250" i="12" s="1"/>
  <c r="CD250" i="12" s="1"/>
  <c r="DO278" i="12"/>
  <c r="DM278" i="12"/>
  <c r="DN278" i="12" s="1"/>
  <c r="DP278" i="12" s="1"/>
  <c r="DO260" i="12"/>
  <c r="DM260" i="12"/>
  <c r="DN260" i="12" s="1"/>
  <c r="DP260" i="12" s="1"/>
  <c r="CA269" i="12"/>
  <c r="CB269" i="12" s="1"/>
  <c r="CD269" i="12" s="1"/>
  <c r="CC269" i="12"/>
  <c r="CV280" i="12"/>
  <c r="CT280" i="12"/>
  <c r="CU280" i="12" s="1"/>
  <c r="CW280" i="12" s="1"/>
  <c r="EY290" i="12"/>
  <c r="EZ290" i="12" s="1"/>
  <c r="FB290" i="12" s="1"/>
  <c r="FA290" i="12"/>
  <c r="EF290" i="12"/>
  <c r="EG290" i="12" s="1"/>
  <c r="EI290" i="12" s="1"/>
  <c r="EH290" i="12"/>
  <c r="EY299" i="12"/>
  <c r="EZ299" i="12" s="1"/>
  <c r="FB299" i="12" s="1"/>
  <c r="FA299" i="12"/>
  <c r="CT316" i="12"/>
  <c r="CU316" i="12" s="1"/>
  <c r="CW316" i="12" s="1"/>
  <c r="CV316" i="12"/>
  <c r="CC333" i="12"/>
  <c r="CA333" i="12"/>
  <c r="CB333" i="12" s="1"/>
  <c r="CD333" i="12" s="1"/>
  <c r="EH339" i="12"/>
  <c r="EF339" i="12"/>
  <c r="EG339" i="12" s="1"/>
  <c r="EI339" i="12" s="1"/>
  <c r="CV349" i="12"/>
  <c r="CT349" i="12"/>
  <c r="CU349" i="12" s="1"/>
  <c r="CW349" i="12" s="1"/>
  <c r="AQ360" i="12"/>
  <c r="AO360" i="12"/>
  <c r="AP360" i="12" s="1"/>
  <c r="AR360" i="12" s="1"/>
  <c r="W360" i="12"/>
  <c r="Y360" i="12" s="1"/>
  <c r="AO22" i="12"/>
  <c r="AP22" i="12" s="1"/>
  <c r="AR22" i="12" s="1"/>
  <c r="AQ22" i="12"/>
  <c r="W22" i="12"/>
  <c r="Y22" i="12" s="1"/>
  <c r="BH18" i="12"/>
  <c r="BI18" i="12" s="1"/>
  <c r="BK18" i="12" s="1"/>
  <c r="BJ18" i="12"/>
  <c r="EY20" i="12"/>
  <c r="EZ20" i="12" s="1"/>
  <c r="FB20" i="12" s="1"/>
  <c r="FA20" i="12"/>
  <c r="DH19" i="12"/>
  <c r="AQ244" i="9"/>
  <c r="AO244" i="9"/>
  <c r="AP244" i="9" s="1"/>
  <c r="AR244" i="9" s="1"/>
  <c r="W244" i="9"/>
  <c r="Y244" i="9" s="1"/>
  <c r="EH183" i="9"/>
  <c r="EF183" i="9"/>
  <c r="EG183" i="9" s="1"/>
  <c r="EI183" i="9" s="1"/>
  <c r="DO244" i="9"/>
  <c r="DM244" i="9"/>
  <c r="DN244" i="9" s="1"/>
  <c r="DP244" i="9" s="1"/>
  <c r="FA231" i="9"/>
  <c r="EY231" i="9"/>
  <c r="EZ231" i="9" s="1"/>
  <c r="FB231" i="9" s="1"/>
  <c r="FA119" i="9"/>
  <c r="EY119" i="9"/>
  <c r="EZ119" i="9" s="1"/>
  <c r="FB119" i="9" s="1"/>
  <c r="FA199" i="9"/>
  <c r="EY199" i="9"/>
  <c r="EZ199" i="9" s="1"/>
  <c r="FB199" i="9" s="1"/>
  <c r="FA251" i="9"/>
  <c r="EY251" i="9"/>
  <c r="EZ251" i="9" s="1"/>
  <c r="FB251" i="9" s="1"/>
  <c r="CC303" i="9"/>
  <c r="CA303" i="9"/>
  <c r="CB303" i="9" s="1"/>
  <c r="CD303" i="9" s="1"/>
  <c r="CC47" i="9"/>
  <c r="CA47" i="9"/>
  <c r="CB47" i="9" s="1"/>
  <c r="CD47" i="9" s="1"/>
  <c r="FA193" i="9"/>
  <c r="EY193" i="9"/>
  <c r="EZ193" i="9" s="1"/>
  <c r="FB193" i="9" s="1"/>
  <c r="CV246" i="9"/>
  <c r="CT246" i="9"/>
  <c r="CU246" i="9" s="1"/>
  <c r="CW246" i="9" s="1"/>
  <c r="DO290" i="9"/>
  <c r="DM290" i="9"/>
  <c r="DN290" i="9" s="1"/>
  <c r="DP290" i="9" s="1"/>
  <c r="EY225" i="9"/>
  <c r="EZ225" i="9" s="1"/>
  <c r="FB225" i="9" s="1"/>
  <c r="FA225" i="9"/>
  <c r="CC62" i="9"/>
  <c r="CA62" i="9"/>
  <c r="CB62" i="9" s="1"/>
  <c r="CD62" i="9" s="1"/>
  <c r="BH138" i="9"/>
  <c r="BI138" i="9" s="1"/>
  <c r="BK138" i="9" s="1"/>
  <c r="BJ138" i="9"/>
  <c r="DO199" i="9"/>
  <c r="DM199" i="9"/>
  <c r="DN199" i="9" s="1"/>
  <c r="DP199" i="9" s="1"/>
  <c r="CC261" i="9"/>
  <c r="CA261" i="9"/>
  <c r="CB261" i="9" s="1"/>
  <c r="CD261" i="9" s="1"/>
  <c r="AQ321" i="9"/>
  <c r="AO321" i="9"/>
  <c r="AP321" i="9" s="1"/>
  <c r="AR321" i="9" s="1"/>
  <c r="W321" i="9"/>
  <c r="Y321" i="9" s="1"/>
  <c r="DO14" i="9"/>
  <c r="DM14" i="9"/>
  <c r="DN14" i="9" s="1"/>
  <c r="DP14" i="9" s="1"/>
  <c r="CV47" i="9"/>
  <c r="CT47" i="9"/>
  <c r="CU47" i="9" s="1"/>
  <c r="CW47" i="9" s="1"/>
  <c r="CV150" i="9"/>
  <c r="CT150" i="9"/>
  <c r="CU150" i="9" s="1"/>
  <c r="CW150" i="9" s="1"/>
  <c r="BJ32" i="9"/>
  <c r="BH32" i="9"/>
  <c r="BI32" i="9" s="1"/>
  <c r="BK32" i="9" s="1"/>
  <c r="CT37" i="9"/>
  <c r="CU37" i="9" s="1"/>
  <c r="CW37" i="9" s="1"/>
  <c r="CV37" i="9"/>
  <c r="EH117" i="9"/>
  <c r="EF117" i="9"/>
  <c r="EG117" i="9" s="1"/>
  <c r="EI117" i="9" s="1"/>
  <c r="EH169" i="9"/>
  <c r="EF169" i="9"/>
  <c r="EG169" i="9" s="1"/>
  <c r="EI169" i="9" s="1"/>
  <c r="EH239" i="9"/>
  <c r="EF239" i="9"/>
  <c r="EG239" i="9" s="1"/>
  <c r="EI239" i="9" s="1"/>
  <c r="EH280" i="9"/>
  <c r="EF280" i="9"/>
  <c r="EG280" i="9" s="1"/>
  <c r="EI280" i="9" s="1"/>
  <c r="EH73" i="9"/>
  <c r="EF73" i="9"/>
  <c r="EG73" i="9" s="1"/>
  <c r="EI73" i="9" s="1"/>
  <c r="AO44" i="9"/>
  <c r="AP44" i="9" s="1"/>
  <c r="AR44" i="9" s="1"/>
  <c r="AQ44" i="9"/>
  <c r="W44" i="9"/>
  <c r="Y44" i="9" s="1"/>
  <c r="BJ89" i="9"/>
  <c r="BH89" i="9"/>
  <c r="BI89" i="9" s="1"/>
  <c r="BK89" i="9" s="1"/>
  <c r="DM171" i="9"/>
  <c r="DN171" i="9" s="1"/>
  <c r="DP171" i="9" s="1"/>
  <c r="DO171" i="9"/>
  <c r="FA219" i="9"/>
  <c r="EY219" i="9"/>
  <c r="EZ219" i="9" s="1"/>
  <c r="FB219" i="9" s="1"/>
  <c r="CA256" i="9"/>
  <c r="CB256" i="9" s="1"/>
  <c r="CD256" i="9" s="1"/>
  <c r="CC256" i="9"/>
  <c r="BJ306" i="9"/>
  <c r="BH306" i="9"/>
  <c r="BI306" i="9" s="1"/>
  <c r="BK306" i="9" s="1"/>
  <c r="BJ321" i="9"/>
  <c r="BH321" i="9"/>
  <c r="BI321" i="9" s="1"/>
  <c r="BK321" i="9" s="1"/>
  <c r="BH339" i="9"/>
  <c r="BI339" i="9" s="1"/>
  <c r="BK339" i="9" s="1"/>
  <c r="BJ339" i="9"/>
  <c r="DO81" i="9"/>
  <c r="DM81" i="9"/>
  <c r="DN81" i="9" s="1"/>
  <c r="DP81" i="9" s="1"/>
  <c r="EF51" i="9"/>
  <c r="EG51" i="9" s="1"/>
  <c r="EI51" i="9" s="1"/>
  <c r="EH51" i="9"/>
  <c r="AQ318" i="9"/>
  <c r="AO318" i="9"/>
  <c r="AP318" i="9" s="1"/>
  <c r="AR318" i="9" s="1"/>
  <c r="W318" i="9"/>
  <c r="Y318" i="9" s="1"/>
  <c r="DO36" i="9"/>
  <c r="DM36" i="9"/>
  <c r="DN36" i="9" s="1"/>
  <c r="DP36" i="9" s="1"/>
  <c r="CC31" i="9"/>
  <c r="CA31" i="9"/>
  <c r="CB31" i="9" s="1"/>
  <c r="CD31" i="9" s="1"/>
  <c r="CC95" i="12"/>
  <c r="CA95" i="12"/>
  <c r="CB95" i="12" s="1"/>
  <c r="CD95" i="12" s="1"/>
  <c r="FA26" i="12"/>
  <c r="EY26" i="12"/>
  <c r="EZ26" i="12" s="1"/>
  <c r="FB26" i="12" s="1"/>
  <c r="CV100" i="12"/>
  <c r="CT100" i="12"/>
  <c r="CU100" i="12" s="1"/>
  <c r="CW100" i="12" s="1"/>
  <c r="CA180" i="12"/>
  <c r="CB180" i="12" s="1"/>
  <c r="CD180" i="12" s="1"/>
  <c r="CC180" i="12"/>
  <c r="FA36" i="12"/>
  <c r="EY36" i="12"/>
  <c r="EZ36" i="12" s="1"/>
  <c r="FB36" i="12" s="1"/>
  <c r="BH16" i="12"/>
  <c r="BI16" i="12" s="1"/>
  <c r="BK16" i="12" s="1"/>
  <c r="BJ16" i="12"/>
  <c r="AQ110" i="12"/>
  <c r="AO110" i="12"/>
  <c r="AP110" i="12" s="1"/>
  <c r="AR110" i="12" s="1"/>
  <c r="W110" i="12"/>
  <c r="Y110" i="12" s="1"/>
  <c r="BJ38" i="12"/>
  <c r="BH38" i="12"/>
  <c r="BI38" i="12" s="1"/>
  <c r="BK38" i="12" s="1"/>
  <c r="CC126" i="12"/>
  <c r="CA126" i="12"/>
  <c r="CB126" i="12" s="1"/>
  <c r="CD126" i="12" s="1"/>
  <c r="CA340" i="12"/>
  <c r="CB340" i="12" s="1"/>
  <c r="CD340" i="12" s="1"/>
  <c r="CC340" i="12"/>
  <c r="AQ85" i="12"/>
  <c r="AO85" i="12"/>
  <c r="AP85" i="12" s="1"/>
  <c r="AR85" i="12" s="1"/>
  <c r="W85" i="12"/>
  <c r="Y85" i="12" s="1"/>
  <c r="CC155" i="12"/>
  <c r="CA155" i="12"/>
  <c r="CB155" i="12" s="1"/>
  <c r="CD155" i="12" s="1"/>
  <c r="BJ265" i="12"/>
  <c r="BH265" i="12"/>
  <c r="BI265" i="12" s="1"/>
  <c r="BK265" i="12" s="1"/>
  <c r="BJ316" i="12"/>
  <c r="BH316" i="12"/>
  <c r="BI316" i="12" s="1"/>
  <c r="BK316" i="12" s="1"/>
  <c r="BJ128" i="12"/>
  <c r="BH128" i="12"/>
  <c r="BI128" i="12" s="1"/>
  <c r="BK128" i="12" s="1"/>
  <c r="CA195" i="12"/>
  <c r="CB195" i="12" s="1"/>
  <c r="CD195" i="12" s="1"/>
  <c r="CC195" i="12"/>
  <c r="FA227" i="12"/>
  <c r="EY227" i="12"/>
  <c r="EZ227" i="12" s="1"/>
  <c r="FB227" i="12" s="1"/>
  <c r="CT301" i="12"/>
  <c r="CU301" i="12" s="1"/>
  <c r="CW301" i="12" s="1"/>
  <c r="CV301" i="12"/>
  <c r="AQ20" i="12"/>
  <c r="AO20" i="12"/>
  <c r="AP20" i="12" s="1"/>
  <c r="AR20" i="12" s="1"/>
  <c r="W20" i="12"/>
  <c r="Y20" i="12" s="1"/>
  <c r="CV141" i="12"/>
  <c r="CT141" i="12"/>
  <c r="CU141" i="12" s="1"/>
  <c r="CW141" i="12" s="1"/>
  <c r="AO253" i="12"/>
  <c r="AP253" i="12" s="1"/>
  <c r="AR253" i="12" s="1"/>
  <c r="AQ253" i="12"/>
  <c r="W253" i="12"/>
  <c r="Y253" i="12" s="1"/>
  <c r="CA339" i="12"/>
  <c r="CB339" i="12" s="1"/>
  <c r="CD339" i="12" s="1"/>
  <c r="CC339" i="12"/>
  <c r="CA108" i="12"/>
  <c r="CB108" i="12" s="1"/>
  <c r="CD108" i="12" s="1"/>
  <c r="CC108" i="12"/>
  <c r="BH212" i="12"/>
  <c r="BI212" i="12" s="1"/>
  <c r="BK212" i="12" s="1"/>
  <c r="BJ212" i="12"/>
  <c r="BH259" i="12"/>
  <c r="BI259" i="12" s="1"/>
  <c r="BK259" i="12" s="1"/>
  <c r="BJ259" i="12"/>
  <c r="AQ298" i="12"/>
  <c r="AO298" i="12"/>
  <c r="AP298" i="12" s="1"/>
  <c r="AR298" i="12" s="1"/>
  <c r="W298" i="12"/>
  <c r="Y298" i="12" s="1"/>
  <c r="AO349" i="12"/>
  <c r="AP349" i="12" s="1"/>
  <c r="AR349" i="12" s="1"/>
  <c r="AQ349" i="12"/>
  <c r="W349" i="12"/>
  <c r="Y349" i="12" s="1"/>
  <c r="CV95" i="12"/>
  <c r="CT95" i="12"/>
  <c r="CU95" i="12" s="1"/>
  <c r="CW95" i="12" s="1"/>
  <c r="AQ142" i="12"/>
  <c r="AO142" i="12"/>
  <c r="AP142" i="12" s="1"/>
  <c r="AR142" i="12" s="1"/>
  <c r="W142" i="12"/>
  <c r="Y142" i="12" s="1"/>
  <c r="DM170" i="12"/>
  <c r="DN170" i="12" s="1"/>
  <c r="DP170" i="12" s="1"/>
  <c r="DO170" i="12"/>
  <c r="AQ283" i="12"/>
  <c r="AO283" i="12"/>
  <c r="AP283" i="12" s="1"/>
  <c r="AR283" i="12" s="1"/>
  <c r="W283" i="12"/>
  <c r="Y283" i="12" s="1"/>
  <c r="DM348" i="12"/>
  <c r="DN348" i="12" s="1"/>
  <c r="DP348" i="12" s="1"/>
  <c r="DO348" i="12"/>
  <c r="FA117" i="12"/>
  <c r="EY117" i="12"/>
  <c r="EZ117" i="12" s="1"/>
  <c r="FB117" i="12" s="1"/>
  <c r="FA162" i="12"/>
  <c r="EY162" i="12"/>
  <c r="EZ162" i="12" s="1"/>
  <c r="FB162" i="12" s="1"/>
  <c r="CC218" i="12"/>
  <c r="CA218" i="12"/>
  <c r="CB218" i="12" s="1"/>
  <c r="CD218" i="12" s="1"/>
  <c r="EH258" i="12"/>
  <c r="EF258" i="12"/>
  <c r="EG258" i="12" s="1"/>
  <c r="EI258" i="12" s="1"/>
  <c r="AQ345" i="12"/>
  <c r="AO345" i="12"/>
  <c r="AP345" i="12" s="1"/>
  <c r="AR345" i="12" s="1"/>
  <c r="W345" i="12"/>
  <c r="Y345" i="12" s="1"/>
  <c r="CA175" i="12"/>
  <c r="CB175" i="12" s="1"/>
  <c r="CD175" i="12" s="1"/>
  <c r="CC175" i="12"/>
  <c r="DO180" i="12"/>
  <c r="DM180" i="12"/>
  <c r="DN180" i="12" s="1"/>
  <c r="DP180" i="12" s="1"/>
  <c r="CC214" i="12"/>
  <c r="CA214" i="12"/>
  <c r="CB214" i="12" s="1"/>
  <c r="CD214" i="12" s="1"/>
  <c r="DM248" i="12"/>
  <c r="DN248" i="12" s="1"/>
  <c r="DP248" i="12" s="1"/>
  <c r="DO248" i="12"/>
  <c r="EY291" i="12"/>
  <c r="EZ291" i="12" s="1"/>
  <c r="FB291" i="12" s="1"/>
  <c r="FA291" i="12"/>
  <c r="EY319" i="12"/>
  <c r="EZ319" i="12" s="1"/>
  <c r="FB319" i="12" s="1"/>
  <c r="FA319" i="12"/>
  <c r="FA359" i="12"/>
  <c r="EY359" i="12"/>
  <c r="EZ359" i="12" s="1"/>
  <c r="FB359" i="12" s="1"/>
  <c r="H24" i="9" a="1"/>
  <c r="H24" i="9" s="1"/>
  <c r="G24" i="9" a="1"/>
  <c r="G24" i="9" s="1"/>
  <c r="L24" i="9" a="1"/>
  <c r="L24" i="9" s="1"/>
  <c r="J24" i="9" a="1"/>
  <c r="J24" i="9" s="1"/>
  <c r="K24" i="9" a="1"/>
  <c r="K24" i="9" s="1"/>
  <c r="O24" i="9" a="1"/>
  <c r="O24" i="9" s="1"/>
  <c r="N24" i="9" a="1"/>
  <c r="N24" i="9" s="1"/>
  <c r="D25" i="9"/>
  <c r="DE20" i="12"/>
  <c r="DG20" i="12"/>
  <c r="DF20" i="12"/>
  <c r="CC83" i="9"/>
  <c r="CA83" i="9"/>
  <c r="CB83" i="9" s="1"/>
  <c r="CD83" i="9" s="1"/>
  <c r="AO71" i="9"/>
  <c r="AP71" i="9" s="1"/>
  <c r="AR71" i="9" s="1"/>
  <c r="AQ71" i="9"/>
  <c r="W71" i="9"/>
  <c r="Y71" i="9" s="1"/>
  <c r="EY166" i="9"/>
  <c r="EZ166" i="9" s="1"/>
  <c r="FB166" i="9" s="1"/>
  <c r="FA166" i="9"/>
  <c r="AQ198" i="9"/>
  <c r="AO198" i="9"/>
  <c r="AP198" i="9" s="1"/>
  <c r="AR198" i="9" s="1"/>
  <c r="W198" i="9"/>
  <c r="Y198" i="9" s="1"/>
  <c r="EY215" i="9"/>
  <c r="EZ215" i="9" s="1"/>
  <c r="FB215" i="9" s="1"/>
  <c r="FA215" i="9"/>
  <c r="FA262" i="9"/>
  <c r="EY262" i="9"/>
  <c r="EZ262" i="9" s="1"/>
  <c r="FB262" i="9" s="1"/>
  <c r="DO311" i="9"/>
  <c r="DM311" i="9"/>
  <c r="DN311" i="9" s="1"/>
  <c r="DP311" i="9" s="1"/>
  <c r="DO38" i="9"/>
  <c r="DM38" i="9"/>
  <c r="DN38" i="9" s="1"/>
  <c r="DP38" i="9" s="1"/>
  <c r="BH30" i="9"/>
  <c r="BI30" i="9" s="1"/>
  <c r="BK30" i="9" s="1"/>
  <c r="BJ30" i="9"/>
  <c r="BJ113" i="9"/>
  <c r="BH113" i="9"/>
  <c r="BI113" i="9" s="1"/>
  <c r="BK113" i="9" s="1"/>
  <c r="AQ123" i="9"/>
  <c r="AO123" i="9"/>
  <c r="AP123" i="9" s="1"/>
  <c r="AR123" i="9" s="1"/>
  <c r="W123" i="9"/>
  <c r="Y123" i="9" s="1"/>
  <c r="DM45" i="9"/>
  <c r="DN45" i="9" s="1"/>
  <c r="DP45" i="9" s="1"/>
  <c r="DO45" i="9"/>
  <c r="EH129" i="9"/>
  <c r="EF129" i="9"/>
  <c r="EG129" i="9" s="1"/>
  <c r="EI129" i="9" s="1"/>
  <c r="CV48" i="9"/>
  <c r="CT48" i="9"/>
  <c r="CU48" i="9" s="1"/>
  <c r="CW48" i="9" s="1"/>
  <c r="AO100" i="9"/>
  <c r="AP100" i="9" s="1"/>
  <c r="AR100" i="9" s="1"/>
  <c r="AQ100" i="9"/>
  <c r="W100" i="9"/>
  <c r="Y100" i="9" s="1"/>
  <c r="EY124" i="9"/>
  <c r="EZ124" i="9" s="1"/>
  <c r="FB124" i="9" s="1"/>
  <c r="FA124" i="9"/>
  <c r="CV143" i="9"/>
  <c r="CT143" i="9"/>
  <c r="CU143" i="9" s="1"/>
  <c r="CW143" i="9" s="1"/>
  <c r="AQ165" i="9"/>
  <c r="AO165" i="9"/>
  <c r="AP165" i="9" s="1"/>
  <c r="AR165" i="9" s="1"/>
  <c r="W165" i="9"/>
  <c r="Y165" i="9" s="1"/>
  <c r="CT138" i="9"/>
  <c r="CU138" i="9" s="1"/>
  <c r="CW138" i="9" s="1"/>
  <c r="CV138" i="9"/>
  <c r="EF155" i="9"/>
  <c r="EG155" i="9" s="1"/>
  <c r="EI155" i="9" s="1"/>
  <c r="EH155" i="9"/>
  <c r="CC183" i="9"/>
  <c r="CA183" i="9"/>
  <c r="CB183" i="9" s="1"/>
  <c r="CD183" i="9" s="1"/>
  <c r="CC199" i="9"/>
  <c r="CA199" i="9"/>
  <c r="CB199" i="9" s="1"/>
  <c r="CD199" i="9" s="1"/>
  <c r="AO191" i="9"/>
  <c r="AP191" i="9" s="1"/>
  <c r="AR191" i="9" s="1"/>
  <c r="AQ191" i="9"/>
  <c r="W191" i="9"/>
  <c r="Y191" i="9" s="1"/>
  <c r="CV190" i="9"/>
  <c r="CT190" i="9"/>
  <c r="CU190" i="9" s="1"/>
  <c r="CW190" i="9" s="1"/>
  <c r="CV180" i="9"/>
  <c r="CT180" i="9"/>
  <c r="CU180" i="9" s="1"/>
  <c r="CW180" i="9" s="1"/>
  <c r="AO210" i="9"/>
  <c r="AP210" i="9" s="1"/>
  <c r="AR210" i="9" s="1"/>
  <c r="AQ210" i="9"/>
  <c r="W210" i="9"/>
  <c r="Y210" i="9" s="1"/>
  <c r="BJ217" i="9"/>
  <c r="BH217" i="9"/>
  <c r="BI217" i="9" s="1"/>
  <c r="BK217" i="9" s="1"/>
  <c r="EF219" i="9"/>
  <c r="EG219" i="9" s="1"/>
  <c r="EI219" i="9" s="1"/>
  <c r="EH219" i="9"/>
  <c r="EH244" i="9"/>
  <c r="EF244" i="9"/>
  <c r="EG244" i="9" s="1"/>
  <c r="EI244" i="9" s="1"/>
  <c r="EY258" i="9"/>
  <c r="EZ258" i="9" s="1"/>
  <c r="FB258" i="9" s="1"/>
  <c r="FA258" i="9"/>
  <c r="BJ273" i="9"/>
  <c r="BH273" i="9"/>
  <c r="BI273" i="9" s="1"/>
  <c r="BK273" i="9" s="1"/>
  <c r="DO280" i="9"/>
  <c r="DM280" i="9"/>
  <c r="DN280" i="9" s="1"/>
  <c r="DP280" i="9" s="1"/>
  <c r="AQ292" i="9"/>
  <c r="AO292" i="9"/>
  <c r="AP292" i="9" s="1"/>
  <c r="AR292" i="9" s="1"/>
  <c r="W292" i="9"/>
  <c r="Y292" i="9" s="1"/>
  <c r="CT275" i="9"/>
  <c r="CU275" i="9" s="1"/>
  <c r="CW275" i="9" s="1"/>
  <c r="CV275" i="9"/>
  <c r="EH286" i="9"/>
  <c r="EF286" i="9"/>
  <c r="EG286" i="9" s="1"/>
  <c r="EI286" i="9" s="1"/>
  <c r="FA288" i="9"/>
  <c r="EY288" i="9"/>
  <c r="EZ288" i="9" s="1"/>
  <c r="FB288" i="9" s="1"/>
  <c r="AQ306" i="9"/>
  <c r="AO306" i="9"/>
  <c r="AP306" i="9" s="1"/>
  <c r="AR306" i="9" s="1"/>
  <c r="W306" i="9"/>
  <c r="Y306" i="9" s="1"/>
  <c r="FA326" i="9"/>
  <c r="EY326" i="9"/>
  <c r="EZ326" i="9" s="1"/>
  <c r="FB326" i="9" s="1"/>
  <c r="FA362" i="9"/>
  <c r="EY362" i="9"/>
  <c r="EZ362" i="9" s="1"/>
  <c r="FB362" i="9" s="1"/>
  <c r="FA66" i="9"/>
  <c r="EY66" i="9"/>
  <c r="EZ66" i="9" s="1"/>
  <c r="FB66" i="9" s="1"/>
  <c r="DM131" i="9"/>
  <c r="DN131" i="9" s="1"/>
  <c r="DP131" i="9" s="1"/>
  <c r="DO131" i="9"/>
  <c r="FA195" i="9"/>
  <c r="EY195" i="9"/>
  <c r="EZ195" i="9" s="1"/>
  <c r="FB195" i="9" s="1"/>
  <c r="DM212" i="9"/>
  <c r="DN212" i="9" s="1"/>
  <c r="DP212" i="9" s="1"/>
  <c r="DO212" i="9"/>
  <c r="DM293" i="9"/>
  <c r="DN293" i="9" s="1"/>
  <c r="DP293" i="9" s="1"/>
  <c r="DO293" i="9"/>
  <c r="CV46" i="9"/>
  <c r="CT46" i="9"/>
  <c r="CU46" i="9" s="1"/>
  <c r="CW46" i="9" s="1"/>
  <c r="EH97" i="9"/>
  <c r="EF97" i="9"/>
  <c r="EG97" i="9" s="1"/>
  <c r="EI97" i="9" s="1"/>
  <c r="DM16" i="9"/>
  <c r="DN16" i="9" s="1"/>
  <c r="DP16" i="9" s="1"/>
  <c r="DO16" i="9"/>
  <c r="EF91" i="9"/>
  <c r="EG91" i="9" s="1"/>
  <c r="EI91" i="9" s="1"/>
  <c r="EH91" i="9"/>
  <c r="CV91" i="9"/>
  <c r="CT91" i="9"/>
  <c r="CU91" i="9" s="1"/>
  <c r="CW91" i="9" s="1"/>
  <c r="CC93" i="9"/>
  <c r="CA93" i="9"/>
  <c r="CB93" i="9" s="1"/>
  <c r="CD93" i="9" s="1"/>
  <c r="DM92" i="9"/>
  <c r="DN92" i="9" s="1"/>
  <c r="DP92" i="9" s="1"/>
  <c r="DO92" i="9"/>
  <c r="AO102" i="9"/>
  <c r="AP102" i="9" s="1"/>
  <c r="AR102" i="9" s="1"/>
  <c r="AQ102" i="9"/>
  <c r="W102" i="9"/>
  <c r="Y102" i="9" s="1"/>
  <c r="BJ109" i="9"/>
  <c r="BH109" i="9"/>
  <c r="BI109" i="9" s="1"/>
  <c r="BK109" i="9" s="1"/>
  <c r="BJ115" i="9"/>
  <c r="BH115" i="9"/>
  <c r="BI115" i="9" s="1"/>
  <c r="BK115" i="9" s="1"/>
  <c r="DM124" i="9"/>
  <c r="DN124" i="9" s="1"/>
  <c r="DP124" i="9" s="1"/>
  <c r="DO124" i="9"/>
  <c r="DM130" i="9"/>
  <c r="DN130" i="9" s="1"/>
  <c r="DP130" i="9" s="1"/>
  <c r="DO130" i="9"/>
  <c r="CC139" i="9"/>
  <c r="CA139" i="9"/>
  <c r="CB139" i="9" s="1"/>
  <c r="CD139" i="9" s="1"/>
  <c r="AQ139" i="9"/>
  <c r="AO139" i="9"/>
  <c r="AP139" i="9" s="1"/>
  <c r="AR139" i="9" s="1"/>
  <c r="W139" i="9"/>
  <c r="Y139" i="9" s="1"/>
  <c r="BJ165" i="9"/>
  <c r="BH165" i="9"/>
  <c r="BI165" i="9" s="1"/>
  <c r="BK165" i="9" s="1"/>
  <c r="EH210" i="9"/>
  <c r="EF210" i="9"/>
  <c r="EG210" i="9" s="1"/>
  <c r="EI210" i="9" s="1"/>
  <c r="CC217" i="9"/>
  <c r="CA217" i="9"/>
  <c r="CB217" i="9" s="1"/>
  <c r="CD217" i="9" s="1"/>
  <c r="CC202" i="9"/>
  <c r="CA202" i="9"/>
  <c r="CB202" i="9" s="1"/>
  <c r="CD202" i="9" s="1"/>
  <c r="DM198" i="9"/>
  <c r="DN198" i="9" s="1"/>
  <c r="DP198" i="9" s="1"/>
  <c r="DO198" i="9"/>
  <c r="DM233" i="9"/>
  <c r="DN233" i="9" s="1"/>
  <c r="DP233" i="9" s="1"/>
  <c r="DO233" i="9"/>
  <c r="AQ246" i="9"/>
  <c r="AO246" i="9"/>
  <c r="AP246" i="9" s="1"/>
  <c r="AR246" i="9" s="1"/>
  <c r="W246" i="9"/>
  <c r="Y246" i="9" s="1"/>
  <c r="BH245" i="9"/>
  <c r="BI245" i="9" s="1"/>
  <c r="BK245" i="9" s="1"/>
  <c r="BJ245" i="9"/>
  <c r="CT272" i="9"/>
  <c r="CU272" i="9" s="1"/>
  <c r="CW272" i="9" s="1"/>
  <c r="CV272" i="9"/>
  <c r="BJ264" i="9"/>
  <c r="BH264" i="9"/>
  <c r="BI264" i="9" s="1"/>
  <c r="BK264" i="9" s="1"/>
  <c r="FA277" i="9"/>
  <c r="EY277" i="9"/>
  <c r="EZ277" i="9" s="1"/>
  <c r="FB277" i="9" s="1"/>
  <c r="EY282" i="9"/>
  <c r="EZ282" i="9" s="1"/>
  <c r="FB282" i="9" s="1"/>
  <c r="FA282" i="9"/>
  <c r="BJ290" i="9"/>
  <c r="BH290" i="9"/>
  <c r="BI290" i="9" s="1"/>
  <c r="BK290" i="9" s="1"/>
  <c r="CC305" i="9"/>
  <c r="CA305" i="9"/>
  <c r="CB305" i="9" s="1"/>
  <c r="CD305" i="9" s="1"/>
  <c r="DM314" i="9"/>
  <c r="DN314" i="9" s="1"/>
  <c r="DP314" i="9" s="1"/>
  <c r="DO314" i="9"/>
  <c r="FA346" i="9"/>
  <c r="EY346" i="9"/>
  <c r="EZ346" i="9" s="1"/>
  <c r="FB346" i="9" s="1"/>
  <c r="DO65" i="9"/>
  <c r="DM65" i="9"/>
  <c r="DN65" i="9" s="1"/>
  <c r="DP65" i="9" s="1"/>
  <c r="EF34" i="9"/>
  <c r="EG34" i="9" s="1"/>
  <c r="EI34" i="9" s="1"/>
  <c r="EH34" i="9"/>
  <c r="EH113" i="9"/>
  <c r="EF113" i="9"/>
  <c r="EG113" i="9" s="1"/>
  <c r="EI113" i="9" s="1"/>
  <c r="FA84" i="9"/>
  <c r="EY84" i="9"/>
  <c r="EZ84" i="9" s="1"/>
  <c r="FB84" i="9" s="1"/>
  <c r="CC87" i="9"/>
  <c r="CA87" i="9"/>
  <c r="CB87" i="9" s="1"/>
  <c r="CD87" i="9" s="1"/>
  <c r="BJ90" i="9"/>
  <c r="BH90" i="9"/>
  <c r="BI90" i="9" s="1"/>
  <c r="BK90" i="9" s="1"/>
  <c r="AQ95" i="9"/>
  <c r="AO95" i="9"/>
  <c r="AP95" i="9" s="1"/>
  <c r="AR95" i="9" s="1"/>
  <c r="W95" i="9"/>
  <c r="Y95" i="9" s="1"/>
  <c r="CC105" i="9"/>
  <c r="CA105" i="9"/>
  <c r="CB105" i="9" s="1"/>
  <c r="CD105" i="9" s="1"/>
  <c r="DO108" i="9"/>
  <c r="DM108" i="9"/>
  <c r="DN108" i="9" s="1"/>
  <c r="DP108" i="9" s="1"/>
  <c r="AO172" i="9"/>
  <c r="AP172" i="9" s="1"/>
  <c r="AR172" i="9" s="1"/>
  <c r="AQ172" i="9"/>
  <c r="W172" i="9"/>
  <c r="Y172" i="9" s="1"/>
  <c r="EH184" i="9"/>
  <c r="EF184" i="9"/>
  <c r="EG184" i="9" s="1"/>
  <c r="EI184" i="9" s="1"/>
  <c r="DM158" i="9"/>
  <c r="DN158" i="9" s="1"/>
  <c r="DP158" i="9" s="1"/>
  <c r="DO158" i="9"/>
  <c r="CA158" i="9"/>
  <c r="CB158" i="9" s="1"/>
  <c r="CD158" i="9" s="1"/>
  <c r="CC158" i="9"/>
  <c r="CT201" i="9"/>
  <c r="CU201" i="9" s="1"/>
  <c r="CW201" i="9" s="1"/>
  <c r="CV201" i="9"/>
  <c r="BJ201" i="9"/>
  <c r="BH201" i="9"/>
  <c r="BI201" i="9" s="1"/>
  <c r="BK201" i="9" s="1"/>
  <c r="EH195" i="9"/>
  <c r="EF195" i="9"/>
  <c r="EG195" i="9" s="1"/>
  <c r="EI195" i="9" s="1"/>
  <c r="CC223" i="9"/>
  <c r="CA223" i="9"/>
  <c r="CB223" i="9" s="1"/>
  <c r="CD223" i="9" s="1"/>
  <c r="CV239" i="9"/>
  <c r="CT239" i="9"/>
  <c r="CU239" i="9" s="1"/>
  <c r="CW239" i="9" s="1"/>
  <c r="DO238" i="9"/>
  <c r="DM238" i="9"/>
  <c r="DN238" i="9" s="1"/>
  <c r="DP238" i="9" s="1"/>
  <c r="AO255" i="9"/>
  <c r="AP255" i="9" s="1"/>
  <c r="AR255" i="9" s="1"/>
  <c r="AQ255" i="9"/>
  <c r="W255" i="9"/>
  <c r="Y255" i="9" s="1"/>
  <c r="BJ269" i="9"/>
  <c r="BH269" i="9"/>
  <c r="BI269" i="9" s="1"/>
  <c r="BK269" i="9" s="1"/>
  <c r="BJ270" i="9"/>
  <c r="BH270" i="9"/>
  <c r="BI270" i="9" s="1"/>
  <c r="BK270" i="9" s="1"/>
  <c r="AQ299" i="9"/>
  <c r="AO299" i="9"/>
  <c r="AP299" i="9" s="1"/>
  <c r="AR299" i="9" s="1"/>
  <c r="W299" i="9"/>
  <c r="Y299" i="9" s="1"/>
  <c r="FA313" i="9"/>
  <c r="EY313" i="9"/>
  <c r="EZ313" i="9" s="1"/>
  <c r="FB313" i="9" s="1"/>
  <c r="EH310" i="9"/>
  <c r="EF310" i="9"/>
  <c r="EG310" i="9" s="1"/>
  <c r="EI310" i="9" s="1"/>
  <c r="EY335" i="9"/>
  <c r="EZ335" i="9" s="1"/>
  <c r="FB335" i="9" s="1"/>
  <c r="FA335" i="9"/>
  <c r="EY53" i="9"/>
  <c r="EZ53" i="9" s="1"/>
  <c r="FB53" i="9" s="1"/>
  <c r="FA53" i="9"/>
  <c r="DM74" i="9"/>
  <c r="DN74" i="9" s="1"/>
  <c r="DP74" i="9" s="1"/>
  <c r="DO74" i="9"/>
  <c r="EH150" i="9"/>
  <c r="EF150" i="9"/>
  <c r="EG150" i="9" s="1"/>
  <c r="EI150" i="9" s="1"/>
  <c r="AO179" i="9"/>
  <c r="AP179" i="9" s="1"/>
  <c r="AR179" i="9" s="1"/>
  <c r="AQ179" i="9"/>
  <c r="W179" i="9"/>
  <c r="Y179" i="9" s="1"/>
  <c r="EH252" i="9"/>
  <c r="EF252" i="9"/>
  <c r="EG252" i="9" s="1"/>
  <c r="EI252" i="9" s="1"/>
  <c r="FA108" i="9"/>
  <c r="EY108" i="9"/>
  <c r="EZ108" i="9" s="1"/>
  <c r="FB108" i="9" s="1"/>
  <c r="DM39" i="9"/>
  <c r="DN39" i="9" s="1"/>
  <c r="DP39" i="9" s="1"/>
  <c r="DO39" i="9"/>
  <c r="CT29" i="9"/>
  <c r="CU29" i="9" s="1"/>
  <c r="CW29" i="9" s="1"/>
  <c r="CV29" i="9"/>
  <c r="CV107" i="9"/>
  <c r="CT107" i="9"/>
  <c r="CU107" i="9" s="1"/>
  <c r="CW107" i="9" s="1"/>
  <c r="AQ116" i="9"/>
  <c r="AO116" i="9"/>
  <c r="AP116" i="9" s="1"/>
  <c r="AR116" i="9" s="1"/>
  <c r="W116" i="9"/>
  <c r="Y116" i="9" s="1"/>
  <c r="EF105" i="9"/>
  <c r="EG105" i="9" s="1"/>
  <c r="EI105" i="9" s="1"/>
  <c r="EH105" i="9"/>
  <c r="AQ46" i="9"/>
  <c r="AO46" i="9"/>
  <c r="AP46" i="9" s="1"/>
  <c r="AR46" i="9" s="1"/>
  <c r="W46" i="9"/>
  <c r="Y46" i="9" s="1"/>
  <c r="BH95" i="9"/>
  <c r="BI95" i="9" s="1"/>
  <c r="BK95" i="9" s="1"/>
  <c r="BJ95" i="9"/>
  <c r="BH125" i="9"/>
  <c r="BI125" i="9" s="1"/>
  <c r="BK125" i="9" s="1"/>
  <c r="BJ125" i="9"/>
  <c r="DO115" i="9"/>
  <c r="DM115" i="9"/>
  <c r="DN115" i="9" s="1"/>
  <c r="DP115" i="9" s="1"/>
  <c r="EH135" i="9"/>
  <c r="EF135" i="9"/>
  <c r="EG135" i="9" s="1"/>
  <c r="EI135" i="9" s="1"/>
  <c r="CA154" i="9"/>
  <c r="CB154" i="9" s="1"/>
  <c r="CD154" i="9" s="1"/>
  <c r="CC154" i="9"/>
  <c r="EF131" i="9"/>
  <c r="EG131" i="9" s="1"/>
  <c r="EI131" i="9" s="1"/>
  <c r="EH131" i="9"/>
  <c r="AQ149" i="9"/>
  <c r="AO149" i="9"/>
  <c r="AP149" i="9" s="1"/>
  <c r="AR149" i="9" s="1"/>
  <c r="W149" i="9"/>
  <c r="Y149" i="9" s="1"/>
  <c r="FA149" i="9"/>
  <c r="EY149" i="9"/>
  <c r="EZ149" i="9" s="1"/>
  <c r="FB149" i="9" s="1"/>
  <c r="EH175" i="9"/>
  <c r="EF175" i="9"/>
  <c r="EG175" i="9" s="1"/>
  <c r="EI175" i="9" s="1"/>
  <c r="BH186" i="9"/>
  <c r="BI186" i="9" s="1"/>
  <c r="BK186" i="9" s="1"/>
  <c r="BJ186" i="9"/>
  <c r="DM185" i="9"/>
  <c r="DN185" i="9" s="1"/>
  <c r="DP185" i="9" s="1"/>
  <c r="DO185" i="9"/>
  <c r="FA229" i="9"/>
  <c r="EY229" i="9"/>
  <c r="EZ229" i="9" s="1"/>
  <c r="FB229" i="9" s="1"/>
  <c r="AQ227" i="9"/>
  <c r="AO227" i="9"/>
  <c r="AP227" i="9" s="1"/>
  <c r="AR227" i="9" s="1"/>
  <c r="W227" i="9"/>
  <c r="Y227" i="9" s="1"/>
  <c r="AQ208" i="9"/>
  <c r="AO208" i="9"/>
  <c r="AP208" i="9" s="1"/>
  <c r="AR208" i="9" s="1"/>
  <c r="W208" i="9"/>
  <c r="Y208" i="9" s="1"/>
  <c r="CA212" i="9"/>
  <c r="CB212" i="9" s="1"/>
  <c r="CD212" i="9" s="1"/>
  <c r="CC212" i="9"/>
  <c r="FA214" i="9"/>
  <c r="EY214" i="9"/>
  <c r="EZ214" i="9" s="1"/>
  <c r="FB214" i="9" s="1"/>
  <c r="FA239" i="9"/>
  <c r="EY239" i="9"/>
  <c r="EZ239" i="9" s="1"/>
  <c r="FB239" i="9" s="1"/>
  <c r="FA253" i="9"/>
  <c r="EY253" i="9"/>
  <c r="EZ253" i="9" s="1"/>
  <c r="FB253" i="9" s="1"/>
  <c r="FA256" i="9"/>
  <c r="EY256" i="9"/>
  <c r="EZ256" i="9" s="1"/>
  <c r="FB256" i="9" s="1"/>
  <c r="CV271" i="9"/>
  <c r="CT271" i="9"/>
  <c r="CU271" i="9" s="1"/>
  <c r="CW271" i="9" s="1"/>
  <c r="EF279" i="9"/>
  <c r="EG279" i="9" s="1"/>
  <c r="EI279" i="9" s="1"/>
  <c r="EH279" i="9"/>
  <c r="DM270" i="9"/>
  <c r="DN270" i="9" s="1"/>
  <c r="DP270" i="9" s="1"/>
  <c r="DO270" i="9"/>
  <c r="FA281" i="9"/>
  <c r="EY281" i="9"/>
  <c r="EZ281" i="9" s="1"/>
  <c r="FB281" i="9" s="1"/>
  <c r="CC299" i="9"/>
  <c r="CA299" i="9"/>
  <c r="CB299" i="9" s="1"/>
  <c r="CD299" i="9" s="1"/>
  <c r="BJ301" i="9"/>
  <c r="BH301" i="9"/>
  <c r="BI301" i="9" s="1"/>
  <c r="BK301" i="9" s="1"/>
  <c r="EH314" i="9"/>
  <c r="EF314" i="9"/>
  <c r="EG314" i="9" s="1"/>
  <c r="EI314" i="9" s="1"/>
  <c r="CV358" i="9"/>
  <c r="CT358" i="9"/>
  <c r="CU358" i="9" s="1"/>
  <c r="CW358" i="9" s="1"/>
  <c r="BJ76" i="9"/>
  <c r="BH76" i="9"/>
  <c r="BI76" i="9" s="1"/>
  <c r="BK76" i="9" s="1"/>
  <c r="CA173" i="9"/>
  <c r="CB173" i="9" s="1"/>
  <c r="CD173" i="9" s="1"/>
  <c r="CC173" i="9"/>
  <c r="BH171" i="9"/>
  <c r="BI171" i="9" s="1"/>
  <c r="BK171" i="9" s="1"/>
  <c r="BJ171" i="9"/>
  <c r="CC218" i="9"/>
  <c r="CA218" i="9"/>
  <c r="CB218" i="9" s="1"/>
  <c r="CD218" i="9" s="1"/>
  <c r="CC285" i="9"/>
  <c r="CA285" i="9"/>
  <c r="CB285" i="9" s="1"/>
  <c r="CD285" i="9" s="1"/>
  <c r="AO42" i="9"/>
  <c r="AP42" i="9" s="1"/>
  <c r="AR42" i="9" s="1"/>
  <c r="AQ42" i="9"/>
  <c r="W42" i="9"/>
  <c r="EF82" i="9"/>
  <c r="EG82" i="9" s="1"/>
  <c r="EI82" i="9" s="1"/>
  <c r="EH82" i="9"/>
  <c r="BJ87" i="9"/>
  <c r="BH87" i="9"/>
  <c r="BI87" i="9" s="1"/>
  <c r="BK87" i="9" s="1"/>
  <c r="DM78" i="9"/>
  <c r="DN78" i="9" s="1"/>
  <c r="DP78" i="9" s="1"/>
  <c r="DO78" i="9"/>
  <c r="AQ81" i="9"/>
  <c r="AO81" i="9"/>
  <c r="AP81" i="9" s="1"/>
  <c r="AR81" i="9" s="1"/>
  <c r="W81" i="9"/>
  <c r="Y81" i="9" s="1"/>
  <c r="EH79" i="9"/>
  <c r="EF79" i="9"/>
  <c r="EG79" i="9" s="1"/>
  <c r="EI79" i="9" s="1"/>
  <c r="CV87" i="9"/>
  <c r="CT87" i="9"/>
  <c r="CU87" i="9" s="1"/>
  <c r="CW87" i="9" s="1"/>
  <c r="AQ99" i="9"/>
  <c r="AO99" i="9"/>
  <c r="AP99" i="9" s="1"/>
  <c r="AR99" i="9" s="1"/>
  <c r="W99" i="9"/>
  <c r="Y99" i="9" s="1"/>
  <c r="CA102" i="9"/>
  <c r="CB102" i="9" s="1"/>
  <c r="CD102" i="9" s="1"/>
  <c r="CC102" i="9"/>
  <c r="AO159" i="9"/>
  <c r="AP159" i="9" s="1"/>
  <c r="AR159" i="9" s="1"/>
  <c r="AQ159" i="9"/>
  <c r="W159" i="9"/>
  <c r="Y159" i="9" s="1"/>
  <c r="CA144" i="9"/>
  <c r="CB144" i="9" s="1"/>
  <c r="CD144" i="9" s="1"/>
  <c r="CC144" i="9"/>
  <c r="EH157" i="9"/>
  <c r="EF157" i="9"/>
  <c r="EG157" i="9" s="1"/>
  <c r="EI157" i="9" s="1"/>
  <c r="EH156" i="9"/>
  <c r="EF156" i="9"/>
  <c r="EG156" i="9" s="1"/>
  <c r="EI156" i="9" s="1"/>
  <c r="EH166" i="9"/>
  <c r="EF166" i="9"/>
  <c r="EG166" i="9" s="1"/>
  <c r="EI166" i="9" s="1"/>
  <c r="CA152" i="9"/>
  <c r="CB152" i="9" s="1"/>
  <c r="CD152" i="9" s="1"/>
  <c r="CC152" i="9"/>
  <c r="AQ152" i="9"/>
  <c r="AO152" i="9"/>
  <c r="AP152" i="9" s="1"/>
  <c r="AR152" i="9" s="1"/>
  <c r="W152" i="9"/>
  <c r="Y152" i="9" s="1"/>
  <c r="BH195" i="9"/>
  <c r="BI195" i="9" s="1"/>
  <c r="BK195" i="9" s="1"/>
  <c r="BJ195" i="9"/>
  <c r="CV189" i="9"/>
  <c r="CT189" i="9"/>
  <c r="CU189" i="9" s="1"/>
  <c r="CW189" i="9" s="1"/>
  <c r="EH185" i="9"/>
  <c r="EF185" i="9"/>
  <c r="EG185" i="9" s="1"/>
  <c r="EI185" i="9" s="1"/>
  <c r="AQ217" i="9"/>
  <c r="AO217" i="9"/>
  <c r="AP217" i="9" s="1"/>
  <c r="AR217" i="9" s="1"/>
  <c r="W217" i="9"/>
  <c r="Y217" i="9" s="1"/>
  <c r="EH222" i="9"/>
  <c r="EF222" i="9"/>
  <c r="EG222" i="9" s="1"/>
  <c r="EI222" i="9" s="1"/>
  <c r="EH220" i="9"/>
  <c r="EF220" i="9"/>
  <c r="EG220" i="9" s="1"/>
  <c r="EI220" i="9" s="1"/>
  <c r="CC258" i="9"/>
  <c r="CA258" i="9"/>
  <c r="CB258" i="9" s="1"/>
  <c r="CD258" i="9" s="1"/>
  <c r="AO252" i="9"/>
  <c r="AP252" i="9" s="1"/>
  <c r="AR252" i="9" s="1"/>
  <c r="AQ252" i="9"/>
  <c r="W252" i="9"/>
  <c r="Y252" i="9" s="1"/>
  <c r="EY249" i="9"/>
  <c r="EZ249" i="9" s="1"/>
  <c r="FB249" i="9" s="1"/>
  <c r="FA249" i="9"/>
  <c r="CT263" i="9"/>
  <c r="CU263" i="9" s="1"/>
  <c r="CW263" i="9" s="1"/>
  <c r="CV263" i="9"/>
  <c r="BH286" i="9"/>
  <c r="BI286" i="9" s="1"/>
  <c r="BK286" i="9" s="1"/>
  <c r="BJ286" i="9"/>
  <c r="CT291" i="9"/>
  <c r="CU291" i="9" s="1"/>
  <c r="CW291" i="9" s="1"/>
  <c r="CV291" i="9"/>
  <c r="CA306" i="9"/>
  <c r="CB306" i="9" s="1"/>
  <c r="CD306" i="9" s="1"/>
  <c r="CC306" i="9"/>
  <c r="CV304" i="9"/>
  <c r="CT304" i="9"/>
  <c r="CU304" i="9" s="1"/>
  <c r="CW304" i="9" s="1"/>
  <c r="EH337" i="9"/>
  <c r="EF337" i="9"/>
  <c r="EG337" i="9" s="1"/>
  <c r="EI337" i="9" s="1"/>
  <c r="BJ79" i="9"/>
  <c r="BH79" i="9"/>
  <c r="BI79" i="9" s="1"/>
  <c r="BK79" i="9" s="1"/>
  <c r="AQ63" i="9"/>
  <c r="AO63" i="9"/>
  <c r="AP63" i="9" s="1"/>
  <c r="AR63" i="9" s="1"/>
  <c r="W63" i="9"/>
  <c r="Y63" i="9" s="1"/>
  <c r="DO133" i="9"/>
  <c r="DM133" i="9"/>
  <c r="DN133" i="9" s="1"/>
  <c r="DP133" i="9" s="1"/>
  <c r="AQ206" i="9"/>
  <c r="AO206" i="9"/>
  <c r="AP206" i="9" s="1"/>
  <c r="AR206" i="9" s="1"/>
  <c r="W206" i="9"/>
  <c r="Y206" i="9" s="1"/>
  <c r="CV235" i="9"/>
  <c r="CT235" i="9"/>
  <c r="CU235" i="9" s="1"/>
  <c r="CW235" i="9" s="1"/>
  <c r="DO303" i="9"/>
  <c r="DM303" i="9"/>
  <c r="DN303" i="9" s="1"/>
  <c r="DP303" i="9" s="1"/>
  <c r="CV27" i="9"/>
  <c r="CT27" i="9"/>
  <c r="CU27" i="9" s="1"/>
  <c r="CW27" i="9" s="1"/>
  <c r="EY71" i="9"/>
  <c r="EZ71" i="9" s="1"/>
  <c r="FB71" i="9" s="1"/>
  <c r="FA71" i="9"/>
  <c r="EY23" i="9"/>
  <c r="EZ23" i="9" s="1"/>
  <c r="FB23" i="9" s="1"/>
  <c r="FA23" i="9"/>
  <c r="CV74" i="9"/>
  <c r="CT74" i="9"/>
  <c r="CU74" i="9" s="1"/>
  <c r="CW74" i="9" s="1"/>
  <c r="AQ72" i="9"/>
  <c r="AO72" i="9"/>
  <c r="AP72" i="9" s="1"/>
  <c r="AR72" i="9" s="1"/>
  <c r="W72" i="9"/>
  <c r="Y72" i="9" s="1"/>
  <c r="CA77" i="9"/>
  <c r="CB77" i="9" s="1"/>
  <c r="CD77" i="9" s="1"/>
  <c r="CC77" i="9"/>
  <c r="EY80" i="9"/>
  <c r="EZ80" i="9" s="1"/>
  <c r="FB80" i="9" s="1"/>
  <c r="FA80" i="9"/>
  <c r="EF192" i="9"/>
  <c r="EG192" i="9" s="1"/>
  <c r="EI192" i="9" s="1"/>
  <c r="EH192" i="9"/>
  <c r="EF95" i="9"/>
  <c r="EG95" i="9" s="1"/>
  <c r="EI95" i="9" s="1"/>
  <c r="EH95" i="9"/>
  <c r="EY140" i="9"/>
  <c r="EZ140" i="9" s="1"/>
  <c r="FB140" i="9" s="1"/>
  <c r="FA140" i="9"/>
  <c r="EY129" i="9"/>
  <c r="EZ129" i="9" s="1"/>
  <c r="FB129" i="9" s="1"/>
  <c r="FA129" i="9"/>
  <c r="AQ145" i="9"/>
  <c r="AO145" i="9"/>
  <c r="AP145" i="9" s="1"/>
  <c r="AR145" i="9" s="1"/>
  <c r="W145" i="9"/>
  <c r="Y145" i="9" s="1"/>
  <c r="FA150" i="9"/>
  <c r="EY150" i="9"/>
  <c r="EZ150" i="9" s="1"/>
  <c r="FB150" i="9" s="1"/>
  <c r="AQ177" i="9"/>
  <c r="AO177" i="9"/>
  <c r="AP177" i="9" s="1"/>
  <c r="AR177" i="9" s="1"/>
  <c r="W177" i="9"/>
  <c r="Y177" i="9" s="1"/>
  <c r="DO188" i="9"/>
  <c r="DM188" i="9"/>
  <c r="DN188" i="9" s="1"/>
  <c r="DP188" i="9" s="1"/>
  <c r="CA188" i="9"/>
  <c r="CB188" i="9" s="1"/>
  <c r="CD188" i="9" s="1"/>
  <c r="CC188" i="9"/>
  <c r="FA182" i="9"/>
  <c r="EY182" i="9"/>
  <c r="EZ182" i="9" s="1"/>
  <c r="FB182" i="9" s="1"/>
  <c r="DO245" i="9"/>
  <c r="DM245" i="9"/>
  <c r="DN245" i="9" s="1"/>
  <c r="DP245" i="9" s="1"/>
  <c r="CT210" i="9"/>
  <c r="CU210" i="9" s="1"/>
  <c r="CW210" i="9" s="1"/>
  <c r="CV210" i="9"/>
  <c r="AQ215" i="9"/>
  <c r="AO215" i="9"/>
  <c r="AP215" i="9" s="1"/>
  <c r="AR215" i="9" s="1"/>
  <c r="W215" i="9"/>
  <c r="Y215" i="9" s="1"/>
  <c r="AO213" i="9"/>
  <c r="AP213" i="9" s="1"/>
  <c r="AR213" i="9" s="1"/>
  <c r="AQ213" i="9"/>
  <c r="W213" i="9"/>
  <c r="Y213" i="9" s="1"/>
  <c r="EH251" i="9"/>
  <c r="EF251" i="9"/>
  <c r="EG251" i="9" s="1"/>
  <c r="EI251" i="9" s="1"/>
  <c r="EH242" i="9"/>
  <c r="EF242" i="9"/>
  <c r="EG242" i="9" s="1"/>
  <c r="EI242" i="9" s="1"/>
  <c r="CV257" i="9"/>
  <c r="CT257" i="9"/>
  <c r="CU257" i="9" s="1"/>
  <c r="CW257" i="9" s="1"/>
  <c r="FA280" i="9"/>
  <c r="EY280" i="9"/>
  <c r="EZ280" i="9" s="1"/>
  <c r="FB280" i="9" s="1"/>
  <c r="BH276" i="9"/>
  <c r="BI276" i="9" s="1"/>
  <c r="BK276" i="9" s="1"/>
  <c r="BJ276" i="9"/>
  <c r="EH275" i="9"/>
  <c r="EF275" i="9"/>
  <c r="EG275" i="9" s="1"/>
  <c r="EI275" i="9" s="1"/>
  <c r="AQ282" i="9"/>
  <c r="AO282" i="9"/>
  <c r="AP282" i="9" s="1"/>
  <c r="AR282" i="9" s="1"/>
  <c r="W282" i="9"/>
  <c r="Y282" i="9" s="1"/>
  <c r="EF301" i="9"/>
  <c r="EG301" i="9" s="1"/>
  <c r="EI301" i="9" s="1"/>
  <c r="EH301" i="9"/>
  <c r="EH299" i="9"/>
  <c r="EF299" i="9"/>
  <c r="EG299" i="9" s="1"/>
  <c r="EI299" i="9" s="1"/>
  <c r="BJ307" i="9"/>
  <c r="BH307" i="9"/>
  <c r="BI307" i="9" s="1"/>
  <c r="BK307" i="9" s="1"/>
  <c r="EH328" i="9"/>
  <c r="EF328" i="9"/>
  <c r="EG328" i="9" s="1"/>
  <c r="EI328" i="9" s="1"/>
  <c r="EF68" i="9"/>
  <c r="EG68" i="9" s="1"/>
  <c r="EI68" i="9" s="1"/>
  <c r="EH68" i="9"/>
  <c r="DM66" i="9"/>
  <c r="DN66" i="9" s="1"/>
  <c r="DP66" i="9" s="1"/>
  <c r="DO66" i="9"/>
  <c r="EH134" i="9"/>
  <c r="EF134" i="9"/>
  <c r="EG134" i="9" s="1"/>
  <c r="EI134" i="9" s="1"/>
  <c r="DO200" i="9"/>
  <c r="DM200" i="9"/>
  <c r="DN200" i="9" s="1"/>
  <c r="DP200" i="9" s="1"/>
  <c r="CC252" i="9"/>
  <c r="CA252" i="9"/>
  <c r="CB252" i="9" s="1"/>
  <c r="CD252" i="9" s="1"/>
  <c r="FA322" i="9"/>
  <c r="EY322" i="9"/>
  <c r="EZ322" i="9" s="1"/>
  <c r="FB322" i="9" s="1"/>
  <c r="CV19" i="9"/>
  <c r="CT19" i="9"/>
  <c r="CU19" i="9" s="1"/>
  <c r="CW19" i="9" s="1"/>
  <c r="BH70" i="9"/>
  <c r="BI70" i="9" s="1"/>
  <c r="BK70" i="9" s="1"/>
  <c r="BJ70" i="9"/>
  <c r="CV85" i="9"/>
  <c r="CT85" i="9"/>
  <c r="CU85" i="9" s="1"/>
  <c r="CW85" i="9" s="1"/>
  <c r="CC56" i="9"/>
  <c r="CA56" i="9"/>
  <c r="CB56" i="9" s="1"/>
  <c r="CD56" i="9" s="1"/>
  <c r="FA59" i="9"/>
  <c r="EY59" i="9"/>
  <c r="EZ59" i="9" s="1"/>
  <c r="FB59" i="9" s="1"/>
  <c r="CV57" i="9"/>
  <c r="CT57" i="9"/>
  <c r="CU57" i="9" s="1"/>
  <c r="CW57" i="9" s="1"/>
  <c r="EH62" i="9"/>
  <c r="EF62" i="9"/>
  <c r="EG62" i="9" s="1"/>
  <c r="EI62" i="9" s="1"/>
  <c r="BJ65" i="9"/>
  <c r="BH65" i="9"/>
  <c r="BI65" i="9" s="1"/>
  <c r="BK65" i="9" s="1"/>
  <c r="CC114" i="9"/>
  <c r="CA114" i="9"/>
  <c r="CB114" i="9" s="1"/>
  <c r="CD114" i="9" s="1"/>
  <c r="BJ108" i="9"/>
  <c r="BH108" i="9"/>
  <c r="BI108" i="9" s="1"/>
  <c r="BK108" i="9" s="1"/>
  <c r="FA123" i="9"/>
  <c r="EY123" i="9"/>
  <c r="EZ123" i="9" s="1"/>
  <c r="FB123" i="9" s="1"/>
  <c r="CV176" i="9"/>
  <c r="CT176" i="9"/>
  <c r="CU176" i="9" s="1"/>
  <c r="CW176" i="9" s="1"/>
  <c r="EH124" i="9"/>
  <c r="EF124" i="9"/>
  <c r="EG124" i="9" s="1"/>
  <c r="EI124" i="9" s="1"/>
  <c r="CA133" i="9"/>
  <c r="CB133" i="9" s="1"/>
  <c r="CD133" i="9" s="1"/>
  <c r="CC133" i="9"/>
  <c r="BJ135" i="9"/>
  <c r="BH135" i="9"/>
  <c r="BI135" i="9" s="1"/>
  <c r="BK135" i="9" s="1"/>
  <c r="CC161" i="9"/>
  <c r="CA161" i="9"/>
  <c r="CB161" i="9" s="1"/>
  <c r="CD161" i="9" s="1"/>
  <c r="CV162" i="9"/>
  <c r="CT162" i="9"/>
  <c r="CU162" i="9" s="1"/>
  <c r="CW162" i="9" s="1"/>
  <c r="CV174" i="9"/>
  <c r="CT174" i="9"/>
  <c r="CU174" i="9" s="1"/>
  <c r="CW174" i="9" s="1"/>
  <c r="CC205" i="9"/>
  <c r="CA205" i="9"/>
  <c r="CB205" i="9" s="1"/>
  <c r="CD205" i="9" s="1"/>
  <c r="EH204" i="9"/>
  <c r="EF204" i="9"/>
  <c r="EG204" i="9" s="1"/>
  <c r="EI204" i="9" s="1"/>
  <c r="EH194" i="9"/>
  <c r="EF194" i="9"/>
  <c r="EG194" i="9" s="1"/>
  <c r="EI194" i="9" s="1"/>
  <c r="CA224" i="9"/>
  <c r="CB224" i="9" s="1"/>
  <c r="CD224" i="9" s="1"/>
  <c r="CC224" i="9"/>
  <c r="BJ227" i="9"/>
  <c r="BH227" i="9"/>
  <c r="BI227" i="9" s="1"/>
  <c r="BK227" i="9" s="1"/>
  <c r="CT231" i="9"/>
  <c r="CU231" i="9" s="1"/>
  <c r="CW231" i="9" s="1"/>
  <c r="CV231" i="9"/>
  <c r="EH243" i="9"/>
  <c r="EF243" i="9"/>
  <c r="EG243" i="9" s="1"/>
  <c r="EI243" i="9" s="1"/>
  <c r="EH256" i="9"/>
  <c r="EF256" i="9"/>
  <c r="EG256" i="9" s="1"/>
  <c r="EI256" i="9" s="1"/>
  <c r="EH258" i="9"/>
  <c r="EF258" i="9"/>
  <c r="EG258" i="9" s="1"/>
  <c r="EI258" i="9" s="1"/>
  <c r="EH269" i="9"/>
  <c r="EF269" i="9"/>
  <c r="EG269" i="9" s="1"/>
  <c r="EI269" i="9" s="1"/>
  <c r="DO273" i="9"/>
  <c r="DM273" i="9"/>
  <c r="DN273" i="9" s="1"/>
  <c r="DP273" i="9" s="1"/>
  <c r="CC283" i="9"/>
  <c r="CA283" i="9"/>
  <c r="CB283" i="9" s="1"/>
  <c r="CD283" i="9" s="1"/>
  <c r="AQ303" i="9"/>
  <c r="AO303" i="9"/>
  <c r="AP303" i="9" s="1"/>
  <c r="AR303" i="9" s="1"/>
  <c r="W303" i="9"/>
  <c r="Y303" i="9" s="1"/>
  <c r="EH320" i="9"/>
  <c r="EF320" i="9"/>
  <c r="EG320" i="9" s="1"/>
  <c r="EI320" i="9" s="1"/>
  <c r="BJ308" i="9"/>
  <c r="BH308" i="9"/>
  <c r="BI308" i="9" s="1"/>
  <c r="BK308" i="9" s="1"/>
  <c r="FA315" i="9"/>
  <c r="EY315" i="9"/>
  <c r="EZ315" i="9" s="1"/>
  <c r="FB315" i="9" s="1"/>
  <c r="AO320" i="9"/>
  <c r="AP320" i="9" s="1"/>
  <c r="AR320" i="9" s="1"/>
  <c r="AQ320" i="9"/>
  <c r="W320" i="9"/>
  <c r="Y320" i="9" s="1"/>
  <c r="AQ329" i="9"/>
  <c r="AO329" i="9"/>
  <c r="AP329" i="9" s="1"/>
  <c r="AR329" i="9" s="1"/>
  <c r="W329" i="9"/>
  <c r="Y329" i="9" s="1"/>
  <c r="CV346" i="9"/>
  <c r="CT346" i="9"/>
  <c r="CU346" i="9" s="1"/>
  <c r="CW346" i="9" s="1"/>
  <c r="AQ353" i="9"/>
  <c r="AO353" i="9"/>
  <c r="AP353" i="9" s="1"/>
  <c r="AR353" i="9" s="1"/>
  <c r="W353" i="9"/>
  <c r="Y353" i="9" s="1"/>
  <c r="BJ359" i="9"/>
  <c r="BH359" i="9"/>
  <c r="BI359" i="9" s="1"/>
  <c r="BK359" i="9" s="1"/>
  <c r="EH90" i="9"/>
  <c r="EF90" i="9"/>
  <c r="EG90" i="9" s="1"/>
  <c r="EI90" i="9" s="1"/>
  <c r="CA328" i="9"/>
  <c r="CB328" i="9" s="1"/>
  <c r="CD328" i="9" s="1"/>
  <c r="CC328" i="9"/>
  <c r="CC331" i="9"/>
  <c r="CA331" i="9"/>
  <c r="CB331" i="9" s="1"/>
  <c r="CD331" i="9" s="1"/>
  <c r="CC346" i="9"/>
  <c r="CA346" i="9"/>
  <c r="CB346" i="9" s="1"/>
  <c r="CD346" i="9" s="1"/>
  <c r="BJ352" i="9"/>
  <c r="BH352" i="9"/>
  <c r="BI352" i="9" s="1"/>
  <c r="BK352" i="9" s="1"/>
  <c r="CV359" i="9"/>
  <c r="CT359" i="9"/>
  <c r="CU359" i="9" s="1"/>
  <c r="CW359" i="9" s="1"/>
  <c r="FA329" i="9"/>
  <c r="EY329" i="9"/>
  <c r="EZ329" i="9" s="1"/>
  <c r="FB329" i="9" s="1"/>
  <c r="EH332" i="9"/>
  <c r="EF332" i="9"/>
  <c r="EG332" i="9" s="1"/>
  <c r="EI332" i="9" s="1"/>
  <c r="BJ347" i="9"/>
  <c r="BH347" i="9"/>
  <c r="BI347" i="9" s="1"/>
  <c r="BK347" i="9" s="1"/>
  <c r="EH347" i="9"/>
  <c r="EF347" i="9"/>
  <c r="EG347" i="9" s="1"/>
  <c r="EI347" i="9" s="1"/>
  <c r="AQ363" i="9"/>
  <c r="AO363" i="9"/>
  <c r="AP363" i="9" s="1"/>
  <c r="AR363" i="9" s="1"/>
  <c r="W363" i="9"/>
  <c r="Y363" i="9" s="1"/>
  <c r="AO43" i="9"/>
  <c r="AP43" i="9" s="1"/>
  <c r="AR43" i="9" s="1"/>
  <c r="AQ43" i="9"/>
  <c r="W43" i="9"/>
  <c r="Y43" i="9" s="1"/>
  <c r="AO323" i="9"/>
  <c r="AP323" i="9" s="1"/>
  <c r="AR323" i="9" s="1"/>
  <c r="AQ323" i="9"/>
  <c r="W323" i="9"/>
  <c r="Y323" i="9" s="1"/>
  <c r="DM333" i="9"/>
  <c r="DN333" i="9" s="1"/>
  <c r="DP333" i="9" s="1"/>
  <c r="DO333" i="9"/>
  <c r="CC339" i="9"/>
  <c r="CA339" i="9"/>
  <c r="CB339" i="9" s="1"/>
  <c r="CD339" i="9" s="1"/>
  <c r="DO347" i="9"/>
  <c r="DM347" i="9"/>
  <c r="DN347" i="9" s="1"/>
  <c r="DP347" i="9" s="1"/>
  <c r="BH71" i="9"/>
  <c r="BI71" i="9" s="1"/>
  <c r="BK71" i="9" s="1"/>
  <c r="BJ71" i="9"/>
  <c r="CC323" i="9"/>
  <c r="CA323" i="9"/>
  <c r="CB323" i="9" s="1"/>
  <c r="CD323" i="9" s="1"/>
  <c r="CV329" i="9"/>
  <c r="CT329" i="9"/>
  <c r="CU329" i="9" s="1"/>
  <c r="CW329" i="9" s="1"/>
  <c r="AO345" i="9"/>
  <c r="AP345" i="9" s="1"/>
  <c r="AR345" i="9" s="1"/>
  <c r="AQ345" i="9"/>
  <c r="W345" i="9"/>
  <c r="Y345" i="9" s="1"/>
  <c r="DO361" i="9"/>
  <c r="DM361" i="9"/>
  <c r="DN361" i="9" s="1"/>
  <c r="DP361" i="9" s="1"/>
  <c r="FA360" i="9"/>
  <c r="EY360" i="9"/>
  <c r="EZ360" i="9" s="1"/>
  <c r="FB360" i="9" s="1"/>
  <c r="EH317" i="9"/>
  <c r="EF317" i="9"/>
  <c r="EG317" i="9" s="1"/>
  <c r="EI317" i="9" s="1"/>
  <c r="EH326" i="9"/>
  <c r="EF326" i="9"/>
  <c r="EG326" i="9" s="1"/>
  <c r="EI326" i="9" s="1"/>
  <c r="DO339" i="9"/>
  <c r="DM339" i="9"/>
  <c r="DN339" i="9" s="1"/>
  <c r="DP339" i="9" s="1"/>
  <c r="DO343" i="9"/>
  <c r="DM343" i="9"/>
  <c r="DN343" i="9" s="1"/>
  <c r="DP343" i="9" s="1"/>
  <c r="EY354" i="9"/>
  <c r="EZ354" i="9" s="1"/>
  <c r="FB354" i="9" s="1"/>
  <c r="FA354" i="9"/>
  <c r="BH360" i="9"/>
  <c r="BI360" i="9" s="1"/>
  <c r="BK360" i="9" s="1"/>
  <c r="BJ360" i="9"/>
  <c r="CC157" i="9"/>
  <c r="CA157" i="9"/>
  <c r="CB157" i="9" s="1"/>
  <c r="CD157" i="9" s="1"/>
  <c r="BH325" i="9"/>
  <c r="BI325" i="9" s="1"/>
  <c r="BK325" i="9" s="1"/>
  <c r="BJ325" i="9"/>
  <c r="AQ334" i="9"/>
  <c r="AO334" i="9"/>
  <c r="AP334" i="9" s="1"/>
  <c r="AR334" i="9" s="1"/>
  <c r="W334" i="9"/>
  <c r="Y334" i="9" s="1"/>
  <c r="FA340" i="9"/>
  <c r="EY340" i="9"/>
  <c r="EZ340" i="9" s="1"/>
  <c r="FB340" i="9" s="1"/>
  <c r="EF348" i="9"/>
  <c r="EG348" i="9" s="1"/>
  <c r="EI348" i="9" s="1"/>
  <c r="EH348" i="9"/>
  <c r="FA355" i="9"/>
  <c r="EY355" i="9"/>
  <c r="EZ355" i="9" s="1"/>
  <c r="FB355" i="9" s="1"/>
  <c r="EH46" i="9"/>
  <c r="EF46" i="9"/>
  <c r="EG46" i="9" s="1"/>
  <c r="EI46" i="9" s="1"/>
  <c r="FA78" i="9"/>
  <c r="EY78" i="9"/>
  <c r="EZ78" i="9" s="1"/>
  <c r="FB78" i="9" s="1"/>
  <c r="EF93" i="9"/>
  <c r="EG93" i="9" s="1"/>
  <c r="EI93" i="9" s="1"/>
  <c r="EH93" i="9"/>
  <c r="FA111" i="9"/>
  <c r="EY111" i="9"/>
  <c r="EZ111" i="9" s="1"/>
  <c r="FB111" i="9" s="1"/>
  <c r="CC50" i="9"/>
  <c r="CA50" i="9"/>
  <c r="CB50" i="9" s="1"/>
  <c r="CD50" i="9" s="1"/>
  <c r="BH72" i="9"/>
  <c r="BI72" i="9" s="1"/>
  <c r="BK72" i="9" s="1"/>
  <c r="BJ72" i="9"/>
  <c r="EH84" i="9"/>
  <c r="EF84" i="9"/>
  <c r="EG84" i="9" s="1"/>
  <c r="EI84" i="9" s="1"/>
  <c r="W106" i="9"/>
  <c r="Y106" i="9" s="1"/>
  <c r="AO106" i="9"/>
  <c r="AP106" i="9" s="1"/>
  <c r="AR106" i="9" s="1"/>
  <c r="AQ106" i="9"/>
  <c r="BH27" i="9"/>
  <c r="BI27" i="9" s="1"/>
  <c r="BK27" i="9" s="1"/>
  <c r="BJ27" i="9"/>
  <c r="EY77" i="9"/>
  <c r="EZ77" i="9" s="1"/>
  <c r="FB77" i="9" s="1"/>
  <c r="FA77" i="9"/>
  <c r="BH20" i="9"/>
  <c r="BI20" i="9" s="1"/>
  <c r="BK20" i="9" s="1"/>
  <c r="BJ20" i="9"/>
  <c r="DO20" i="9"/>
  <c r="DM20" i="9"/>
  <c r="DN20" i="9" s="1"/>
  <c r="DP20" i="9" s="1"/>
  <c r="CC22" i="9"/>
  <c r="CA22" i="9"/>
  <c r="CB22" i="9" s="1"/>
  <c r="CD22" i="9" s="1"/>
  <c r="EF39" i="9"/>
  <c r="EG39" i="9" s="1"/>
  <c r="EI39" i="9" s="1"/>
  <c r="EH39" i="9"/>
  <c r="CC20" i="9"/>
  <c r="CA20" i="9"/>
  <c r="CB20" i="9" s="1"/>
  <c r="CD20" i="9" s="1"/>
  <c r="BH36" i="9"/>
  <c r="BI36" i="9" s="1"/>
  <c r="BK36" i="9" s="1"/>
  <c r="BJ36" i="9"/>
  <c r="DM15" i="9"/>
  <c r="DN15" i="9" s="1"/>
  <c r="DP15" i="9" s="1"/>
  <c r="DO15" i="9"/>
  <c r="CC38" i="9"/>
  <c r="CA38" i="9"/>
  <c r="CB38" i="9" s="1"/>
  <c r="CD38" i="9" s="1"/>
  <c r="EF18" i="9"/>
  <c r="EG18" i="9" s="1"/>
  <c r="EI18" i="9" s="1"/>
  <c r="EH18" i="9"/>
  <c r="CV32" i="9"/>
  <c r="CT32" i="9"/>
  <c r="CU32" i="9" s="1"/>
  <c r="CW32" i="9" s="1"/>
  <c r="FA26" i="9"/>
  <c r="EY26" i="9"/>
  <c r="EZ26" i="9" s="1"/>
  <c r="FB26" i="9" s="1"/>
  <c r="CE23" i="9"/>
  <c r="CF23" i="9" s="1"/>
  <c r="CJ23" i="9" s="1"/>
  <c r="BL23" i="9"/>
  <c r="BM23" i="9" s="1"/>
  <c r="BQ23" i="9" s="1"/>
  <c r="Z23" i="9"/>
  <c r="AA23" i="9" s="1"/>
  <c r="AE23" i="9" s="1"/>
  <c r="CX23" i="9"/>
  <c r="CY23" i="9" s="1"/>
  <c r="DC23" i="9" s="1"/>
  <c r="DQ23" i="9"/>
  <c r="DR23" i="9" s="1"/>
  <c r="DV23" i="9" s="1"/>
  <c r="FC23" i="9"/>
  <c r="FD23" i="9" s="1"/>
  <c r="FH23" i="9" s="1"/>
  <c r="EJ23" i="9"/>
  <c r="EK23" i="9" s="1"/>
  <c r="EO23" i="9" s="1"/>
  <c r="AS23" i="9"/>
  <c r="AT23" i="9" s="1"/>
  <c r="AX23" i="9" s="1"/>
  <c r="I24" i="9"/>
  <c r="BA20" i="12"/>
  <c r="AZ20" i="12"/>
  <c r="BB20" i="12"/>
  <c r="AU22" i="9"/>
  <c r="AW22" i="9" s="1"/>
  <c r="BJ74" i="12"/>
  <c r="BH74" i="12"/>
  <c r="BI74" i="12" s="1"/>
  <c r="BK74" i="12" s="1"/>
  <c r="CC47" i="12"/>
  <c r="CA47" i="12"/>
  <c r="CB47" i="12" s="1"/>
  <c r="CD47" i="12" s="1"/>
  <c r="EF227" i="12"/>
  <c r="EG227" i="12" s="1"/>
  <c r="EI227" i="12" s="1"/>
  <c r="EH227" i="12"/>
  <c r="BJ82" i="12"/>
  <c r="BH82" i="12"/>
  <c r="BI82" i="12" s="1"/>
  <c r="BK82" i="12" s="1"/>
  <c r="CA41" i="12"/>
  <c r="CB41" i="12" s="1"/>
  <c r="CD41" i="12" s="1"/>
  <c r="CC41" i="12"/>
  <c r="CA27" i="12"/>
  <c r="CB27" i="12" s="1"/>
  <c r="CD27" i="12" s="1"/>
  <c r="CC27" i="12"/>
  <c r="CA172" i="12"/>
  <c r="CB172" i="12" s="1"/>
  <c r="CD172" i="12" s="1"/>
  <c r="CC172" i="12"/>
  <c r="BJ62" i="12"/>
  <c r="BH62" i="12"/>
  <c r="BI62" i="12" s="1"/>
  <c r="BK62" i="12" s="1"/>
  <c r="FA332" i="12"/>
  <c r="EY332" i="12"/>
  <c r="EZ332" i="12" s="1"/>
  <c r="FB332" i="12" s="1"/>
  <c r="BJ76" i="12"/>
  <c r="BH76" i="12"/>
  <c r="BI76" i="12" s="1"/>
  <c r="BK76" i="12" s="1"/>
  <c r="FA23" i="12"/>
  <c r="EY23" i="12"/>
  <c r="EZ23" i="12" s="1"/>
  <c r="FB23" i="12" s="1"/>
  <c r="FA84" i="12"/>
  <c r="EY84" i="12"/>
  <c r="EZ84" i="12" s="1"/>
  <c r="FB84" i="12" s="1"/>
  <c r="FA46" i="12"/>
  <c r="EY46" i="12"/>
  <c r="EZ46" i="12" s="1"/>
  <c r="FB46" i="12" s="1"/>
  <c r="FA41" i="12"/>
  <c r="EY41" i="12"/>
  <c r="EZ41" i="12" s="1"/>
  <c r="FB41" i="12" s="1"/>
  <c r="EH35" i="12"/>
  <c r="EF35" i="12"/>
  <c r="EG35" i="12" s="1"/>
  <c r="EI35" i="12" s="1"/>
  <c r="EH54" i="12"/>
  <c r="EF54" i="12"/>
  <c r="EG54" i="12" s="1"/>
  <c r="EI54" i="12" s="1"/>
  <c r="BJ106" i="12"/>
  <c r="BH106" i="12"/>
  <c r="BI106" i="12" s="1"/>
  <c r="BK106" i="12" s="1"/>
  <c r="FA181" i="12"/>
  <c r="EY181" i="12"/>
  <c r="EZ181" i="12" s="1"/>
  <c r="FB181" i="12" s="1"/>
  <c r="CT249" i="12"/>
  <c r="CU249" i="12" s="1"/>
  <c r="CW249" i="12" s="1"/>
  <c r="CV249" i="12"/>
  <c r="DO311" i="12"/>
  <c r="DM311" i="12"/>
  <c r="DN311" i="12" s="1"/>
  <c r="DP311" i="12" s="1"/>
  <c r="CA17" i="12"/>
  <c r="CB17" i="12" s="1"/>
  <c r="CD17" i="12" s="1"/>
  <c r="CC17" i="12"/>
  <c r="CV48" i="12"/>
  <c r="CT48" i="12"/>
  <c r="CU48" i="12" s="1"/>
  <c r="CW48" i="12" s="1"/>
  <c r="CV39" i="12"/>
  <c r="CT39" i="12"/>
  <c r="CU39" i="12" s="1"/>
  <c r="CW39" i="12" s="1"/>
  <c r="CT34" i="12"/>
  <c r="CU34" i="12" s="1"/>
  <c r="CW34" i="12" s="1"/>
  <c r="CV34" i="12"/>
  <c r="CC28" i="12"/>
  <c r="CA28" i="12"/>
  <c r="CB28" i="12" s="1"/>
  <c r="CD28" i="12" s="1"/>
  <c r="FA99" i="12"/>
  <c r="EY99" i="12"/>
  <c r="EZ99" i="12" s="1"/>
  <c r="FB99" i="12" s="1"/>
  <c r="CC79" i="12"/>
  <c r="CA79" i="12"/>
  <c r="CB79" i="12" s="1"/>
  <c r="CD79" i="12" s="1"/>
  <c r="FA101" i="12"/>
  <c r="EY101" i="12"/>
  <c r="EZ101" i="12" s="1"/>
  <c r="FB101" i="12" s="1"/>
  <c r="EH185" i="12"/>
  <c r="EF185" i="12"/>
  <c r="EG185" i="12" s="1"/>
  <c r="EI185" i="12" s="1"/>
  <c r="CA292" i="12"/>
  <c r="CB292" i="12" s="1"/>
  <c r="CD292" i="12" s="1"/>
  <c r="CC292" i="12"/>
  <c r="CV360" i="12"/>
  <c r="CT360" i="12"/>
  <c r="CU360" i="12" s="1"/>
  <c r="CW360" i="12" s="1"/>
  <c r="FA24" i="12"/>
  <c r="EY24" i="12"/>
  <c r="EZ24" i="12" s="1"/>
  <c r="FB24" i="12" s="1"/>
  <c r="EH86" i="12"/>
  <c r="EF86" i="12"/>
  <c r="EG86" i="12" s="1"/>
  <c r="EI86" i="12" s="1"/>
  <c r="FA75" i="12"/>
  <c r="EY75" i="12"/>
  <c r="EZ75" i="12" s="1"/>
  <c r="FB75" i="12" s="1"/>
  <c r="DO108" i="12"/>
  <c r="DM108" i="12"/>
  <c r="DN108" i="12" s="1"/>
  <c r="DP108" i="12" s="1"/>
  <c r="CV202" i="12"/>
  <c r="CT202" i="12"/>
  <c r="CU202" i="12" s="1"/>
  <c r="CW202" i="12" s="1"/>
  <c r="CA235" i="12"/>
  <c r="CB235" i="12" s="1"/>
  <c r="CD235" i="12" s="1"/>
  <c r="CC235" i="12"/>
  <c r="FA280" i="12"/>
  <c r="EY280" i="12"/>
  <c r="EZ280" i="12" s="1"/>
  <c r="FB280" i="12" s="1"/>
  <c r="DO356" i="12"/>
  <c r="DM356" i="12"/>
  <c r="DN356" i="12" s="1"/>
  <c r="DP356" i="12" s="1"/>
  <c r="AO41" i="12"/>
  <c r="AP41" i="12" s="1"/>
  <c r="AR41" i="12" s="1"/>
  <c r="AQ41" i="12"/>
  <c r="W41" i="12"/>
  <c r="Y41" i="12" s="1"/>
  <c r="AQ32" i="12"/>
  <c r="AO32" i="12"/>
  <c r="AP32" i="12" s="1"/>
  <c r="AR32" i="12" s="1"/>
  <c r="W32" i="12"/>
  <c r="Y32" i="12" s="1"/>
  <c r="AO27" i="12"/>
  <c r="AP27" i="12" s="1"/>
  <c r="AR27" i="12" s="1"/>
  <c r="AQ27" i="12"/>
  <c r="W27" i="12"/>
  <c r="Y27" i="12" s="1"/>
  <c r="AO70" i="12"/>
  <c r="AP70" i="12" s="1"/>
  <c r="AR70" i="12" s="1"/>
  <c r="AQ70" i="12"/>
  <c r="W70" i="12"/>
  <c r="Y70" i="12" s="1"/>
  <c r="CV72" i="12"/>
  <c r="CT72" i="12"/>
  <c r="CU72" i="12" s="1"/>
  <c r="CW72" i="12" s="1"/>
  <c r="AQ115" i="12"/>
  <c r="AO115" i="12"/>
  <c r="AP115" i="12" s="1"/>
  <c r="AR115" i="12" s="1"/>
  <c r="W115" i="12"/>
  <c r="Y115" i="12" s="1"/>
  <c r="FA186" i="12"/>
  <c r="EY186" i="12"/>
  <c r="EZ186" i="12" s="1"/>
  <c r="FB186" i="12" s="1"/>
  <c r="BH285" i="12"/>
  <c r="BI285" i="12" s="1"/>
  <c r="BK285" i="12" s="1"/>
  <c r="BJ285" i="12"/>
  <c r="DO346" i="12"/>
  <c r="DM346" i="12"/>
  <c r="DN346" i="12" s="1"/>
  <c r="DP346" i="12" s="1"/>
  <c r="DO33" i="12"/>
  <c r="DM33" i="12"/>
  <c r="DN33" i="12" s="1"/>
  <c r="DP33" i="12" s="1"/>
  <c r="DO24" i="12"/>
  <c r="DM24" i="12"/>
  <c r="DN24" i="12" s="1"/>
  <c r="DP24" i="12" s="1"/>
  <c r="BH59" i="12"/>
  <c r="BI59" i="12" s="1"/>
  <c r="BK59" i="12" s="1"/>
  <c r="BJ59" i="12"/>
  <c r="BH55" i="12"/>
  <c r="BI55" i="12" s="1"/>
  <c r="BK55" i="12" s="1"/>
  <c r="BJ55" i="12"/>
  <c r="EH69" i="12"/>
  <c r="EF69" i="12"/>
  <c r="EG69" i="12" s="1"/>
  <c r="EI69" i="12" s="1"/>
  <c r="EH126" i="12"/>
  <c r="EF126" i="12"/>
  <c r="EG126" i="12" s="1"/>
  <c r="EI126" i="12" s="1"/>
  <c r="EH213" i="12"/>
  <c r="EF213" i="12"/>
  <c r="EG213" i="12" s="1"/>
  <c r="EI213" i="12" s="1"/>
  <c r="FA265" i="12"/>
  <c r="EY265" i="12"/>
  <c r="EZ265" i="12" s="1"/>
  <c r="FB265" i="12" s="1"/>
  <c r="EF341" i="12"/>
  <c r="EG341" i="12" s="1"/>
  <c r="EI341" i="12" s="1"/>
  <c r="EH341" i="12"/>
  <c r="BJ26" i="12"/>
  <c r="BH26" i="12"/>
  <c r="BI26" i="12" s="1"/>
  <c r="BK26" i="12" s="1"/>
  <c r="CV57" i="12"/>
  <c r="CT57" i="12"/>
  <c r="CU57" i="12" s="1"/>
  <c r="CW57" i="12" s="1"/>
  <c r="BJ49" i="12"/>
  <c r="BH49" i="12"/>
  <c r="BI49" i="12" s="1"/>
  <c r="BK49" i="12" s="1"/>
  <c r="BH44" i="12"/>
  <c r="BI44" i="12" s="1"/>
  <c r="BK44" i="12" s="1"/>
  <c r="BJ44" i="12"/>
  <c r="AQ38" i="12"/>
  <c r="AO38" i="12"/>
  <c r="AP38" i="12" s="1"/>
  <c r="AR38" i="12" s="1"/>
  <c r="W38" i="12"/>
  <c r="Y38" i="12" s="1"/>
  <c r="AO57" i="12"/>
  <c r="AP57" i="12" s="1"/>
  <c r="AR57" i="12" s="1"/>
  <c r="AQ57" i="12"/>
  <c r="W57" i="12"/>
  <c r="Y57" i="12" s="1"/>
  <c r="CC84" i="12"/>
  <c r="CA84" i="12"/>
  <c r="CB84" i="12" s="1"/>
  <c r="CD84" i="12" s="1"/>
  <c r="AQ135" i="12"/>
  <c r="AO135" i="12"/>
  <c r="AP135" i="12" s="1"/>
  <c r="AR135" i="12" s="1"/>
  <c r="W135" i="12"/>
  <c r="Y135" i="12" s="1"/>
  <c r="CA164" i="12"/>
  <c r="CB164" i="12" s="1"/>
  <c r="CD164" i="12" s="1"/>
  <c r="CC164" i="12"/>
  <c r="CT288" i="12"/>
  <c r="CU288" i="12" s="1"/>
  <c r="CW288" i="12" s="1"/>
  <c r="CV288" i="12"/>
  <c r="EH46" i="12"/>
  <c r="EF46" i="12"/>
  <c r="EG46" i="12" s="1"/>
  <c r="EI46" i="12" s="1"/>
  <c r="EH37" i="12"/>
  <c r="EF37" i="12"/>
  <c r="EG37" i="12" s="1"/>
  <c r="EI37" i="12" s="1"/>
  <c r="EF32" i="12"/>
  <c r="EG32" i="12" s="1"/>
  <c r="EI32" i="12" s="1"/>
  <c r="EH32" i="12"/>
  <c r="DO26" i="12"/>
  <c r="DM26" i="12"/>
  <c r="DN26" i="12" s="1"/>
  <c r="DP26" i="12" s="1"/>
  <c r="CV96" i="12"/>
  <c r="CT96" i="12"/>
  <c r="CU96" i="12" s="1"/>
  <c r="CW96" i="12" s="1"/>
  <c r="DO77" i="12"/>
  <c r="DM77" i="12"/>
  <c r="DN77" i="12" s="1"/>
  <c r="DP77" i="12" s="1"/>
  <c r="EY89" i="12"/>
  <c r="EZ89" i="12" s="1"/>
  <c r="FB89" i="12" s="1"/>
  <c r="FA89" i="12"/>
  <c r="EH156" i="12"/>
  <c r="EF156" i="12"/>
  <c r="EG156" i="12" s="1"/>
  <c r="EI156" i="12" s="1"/>
  <c r="EF223" i="12"/>
  <c r="EG223" i="12" s="1"/>
  <c r="EI223" i="12" s="1"/>
  <c r="EH223" i="12"/>
  <c r="CC293" i="12"/>
  <c r="CA293" i="12"/>
  <c r="CB293" i="12" s="1"/>
  <c r="CD293" i="12" s="1"/>
  <c r="CC357" i="12"/>
  <c r="CA357" i="12"/>
  <c r="CB357" i="12" s="1"/>
  <c r="CD357" i="12" s="1"/>
  <c r="CC78" i="12"/>
  <c r="CA78" i="12"/>
  <c r="CB78" i="12" s="1"/>
  <c r="CD78" i="12" s="1"/>
  <c r="EF72" i="12"/>
  <c r="EG72" i="12" s="1"/>
  <c r="EI72" i="12" s="1"/>
  <c r="EH72" i="12"/>
  <c r="BH93" i="12"/>
  <c r="BI93" i="12" s="1"/>
  <c r="BK93" i="12" s="1"/>
  <c r="BJ93" i="12"/>
  <c r="CV90" i="12"/>
  <c r="CT90" i="12"/>
  <c r="CU90" i="12" s="1"/>
  <c r="CW90" i="12" s="1"/>
  <c r="DO90" i="12"/>
  <c r="DM90" i="12"/>
  <c r="DN90" i="12" s="1"/>
  <c r="DP90" i="12" s="1"/>
  <c r="BJ117" i="12"/>
  <c r="BH117" i="12"/>
  <c r="BI117" i="12" s="1"/>
  <c r="BK117" i="12" s="1"/>
  <c r="DO139" i="12"/>
  <c r="DM139" i="12"/>
  <c r="DN139" i="12" s="1"/>
  <c r="DP139" i="12" s="1"/>
  <c r="CC140" i="12"/>
  <c r="CA140" i="12"/>
  <c r="CB140" i="12" s="1"/>
  <c r="CD140" i="12" s="1"/>
  <c r="CC135" i="12"/>
  <c r="CA135" i="12"/>
  <c r="CB135" i="12" s="1"/>
  <c r="CD135" i="12" s="1"/>
  <c r="FA130" i="12"/>
  <c r="EY130" i="12"/>
  <c r="EZ130" i="12" s="1"/>
  <c r="FB130" i="12" s="1"/>
  <c r="AQ156" i="12"/>
  <c r="AO156" i="12"/>
  <c r="AP156" i="12" s="1"/>
  <c r="AR156" i="12" s="1"/>
  <c r="W156" i="12"/>
  <c r="Y156" i="12" s="1"/>
  <c r="CC157" i="12"/>
  <c r="CA157" i="12"/>
  <c r="CB157" i="12" s="1"/>
  <c r="CD157" i="12" s="1"/>
  <c r="DM158" i="12"/>
  <c r="DN158" i="12" s="1"/>
  <c r="DP158" i="12" s="1"/>
  <c r="DO158" i="12"/>
  <c r="CV174" i="12"/>
  <c r="CT174" i="12"/>
  <c r="CU174" i="12" s="1"/>
  <c r="CW174" i="12" s="1"/>
  <c r="EY168" i="12"/>
  <c r="EZ168" i="12" s="1"/>
  <c r="FB168" i="12" s="1"/>
  <c r="FA168" i="12"/>
  <c r="CV203" i="12"/>
  <c r="CT203" i="12"/>
  <c r="CU203" i="12" s="1"/>
  <c r="CW203" i="12" s="1"/>
  <c r="DO201" i="12"/>
  <c r="DM201" i="12"/>
  <c r="DN201" i="12" s="1"/>
  <c r="DP201" i="12" s="1"/>
  <c r="CV209" i="12"/>
  <c r="CT209" i="12"/>
  <c r="CU209" i="12" s="1"/>
  <c r="CW209" i="12" s="1"/>
  <c r="EH221" i="12"/>
  <c r="EF221" i="12"/>
  <c r="EG221" i="12" s="1"/>
  <c r="EI221" i="12" s="1"/>
  <c r="CC224" i="12"/>
  <c r="CA224" i="12"/>
  <c r="CB224" i="12" s="1"/>
  <c r="CD224" i="12" s="1"/>
  <c r="EF237" i="12"/>
  <c r="EG237" i="12" s="1"/>
  <c r="EI237" i="12" s="1"/>
  <c r="EH237" i="12"/>
  <c r="AQ242" i="12"/>
  <c r="AO242" i="12"/>
  <c r="AP242" i="12" s="1"/>
  <c r="AR242" i="12" s="1"/>
  <c r="W242" i="12"/>
  <c r="Y242" i="12" s="1"/>
  <c r="CT252" i="12"/>
  <c r="CU252" i="12" s="1"/>
  <c r="CW252" i="12" s="1"/>
  <c r="CV252" i="12"/>
  <c r="EF273" i="12"/>
  <c r="EG273" i="12" s="1"/>
  <c r="EI273" i="12" s="1"/>
  <c r="EH273" i="12"/>
  <c r="CV274" i="12"/>
  <c r="CT274" i="12"/>
  <c r="CU274" i="12" s="1"/>
  <c r="CW274" i="12" s="1"/>
  <c r="EH270" i="12"/>
  <c r="EF270" i="12"/>
  <c r="EG270" i="12" s="1"/>
  <c r="EI270" i="12" s="1"/>
  <c r="CA281" i="12"/>
  <c r="CB281" i="12" s="1"/>
  <c r="CD281" i="12" s="1"/>
  <c r="CC281" i="12"/>
  <c r="FA293" i="12"/>
  <c r="EY293" i="12"/>
  <c r="EZ293" i="12" s="1"/>
  <c r="FB293" i="12" s="1"/>
  <c r="CV304" i="12"/>
  <c r="CT304" i="12"/>
  <c r="CU304" i="12" s="1"/>
  <c r="CW304" i="12" s="1"/>
  <c r="BJ337" i="12"/>
  <c r="BH337" i="12"/>
  <c r="BI337" i="12" s="1"/>
  <c r="BK337" i="12" s="1"/>
  <c r="CV340" i="12"/>
  <c r="CT340" i="12"/>
  <c r="CU340" i="12" s="1"/>
  <c r="CW340" i="12" s="1"/>
  <c r="CC354" i="12"/>
  <c r="CA354" i="12"/>
  <c r="CB354" i="12" s="1"/>
  <c r="CD354" i="12" s="1"/>
  <c r="FA357" i="12"/>
  <c r="EY357" i="12"/>
  <c r="EZ357" i="12" s="1"/>
  <c r="FB357" i="12" s="1"/>
  <c r="FA54" i="12"/>
  <c r="EY54" i="12"/>
  <c r="EZ54" i="12" s="1"/>
  <c r="FB54" i="12" s="1"/>
  <c r="EH102" i="12"/>
  <c r="EF102" i="12"/>
  <c r="EG102" i="12" s="1"/>
  <c r="EI102" i="12" s="1"/>
  <c r="CC81" i="12"/>
  <c r="CA81" i="12"/>
  <c r="CB81" i="12" s="1"/>
  <c r="CD81" i="12" s="1"/>
  <c r="EF101" i="12"/>
  <c r="EG101" i="12" s="1"/>
  <c r="EI101" i="12" s="1"/>
  <c r="EH101" i="12"/>
  <c r="BJ99" i="12"/>
  <c r="BH99" i="12"/>
  <c r="BI99" i="12" s="1"/>
  <c r="BK99" i="12" s="1"/>
  <c r="DO119" i="12"/>
  <c r="DM119" i="12"/>
  <c r="DN119" i="12" s="1"/>
  <c r="DP119" i="12" s="1"/>
  <c r="BJ154" i="12"/>
  <c r="BH154" i="12"/>
  <c r="BI154" i="12" s="1"/>
  <c r="BK154" i="12" s="1"/>
  <c r="DM157" i="12"/>
  <c r="DN157" i="12" s="1"/>
  <c r="DP157" i="12" s="1"/>
  <c r="DO157" i="12"/>
  <c r="FA143" i="12"/>
  <c r="EY143" i="12"/>
  <c r="EZ143" i="12" s="1"/>
  <c r="FB143" i="12" s="1"/>
  <c r="CT139" i="12"/>
  <c r="CU139" i="12" s="1"/>
  <c r="CW139" i="12" s="1"/>
  <c r="CV139" i="12"/>
  <c r="CA167" i="12"/>
  <c r="CB167" i="12" s="1"/>
  <c r="CD167" i="12" s="1"/>
  <c r="CC167" i="12"/>
  <c r="EF170" i="12"/>
  <c r="EG170" i="12" s="1"/>
  <c r="EI170" i="12" s="1"/>
  <c r="EH170" i="12"/>
  <c r="CV179" i="12"/>
  <c r="CT179" i="12"/>
  <c r="CU179" i="12" s="1"/>
  <c r="CW179" i="12" s="1"/>
  <c r="CT177" i="12"/>
  <c r="CU177" i="12" s="1"/>
  <c r="CW177" i="12" s="1"/>
  <c r="CV177" i="12"/>
  <c r="DO204" i="12"/>
  <c r="DM204" i="12"/>
  <c r="DN204" i="12" s="1"/>
  <c r="DP204" i="12" s="1"/>
  <c r="CC230" i="12"/>
  <c r="CA230" i="12"/>
  <c r="CB230" i="12" s="1"/>
  <c r="CD230" i="12" s="1"/>
  <c r="EY232" i="12"/>
  <c r="EZ232" i="12" s="1"/>
  <c r="FB232" i="12" s="1"/>
  <c r="FA232" i="12"/>
  <c r="CC246" i="12"/>
  <c r="CA246" i="12"/>
  <c r="CB246" i="12" s="1"/>
  <c r="CD246" i="12" s="1"/>
  <c r="AQ250" i="12"/>
  <c r="AO250" i="12"/>
  <c r="AP250" i="12" s="1"/>
  <c r="AR250" i="12" s="1"/>
  <c r="W250" i="12"/>
  <c r="Y250" i="12" s="1"/>
  <c r="BH256" i="12"/>
  <c r="BI256" i="12" s="1"/>
  <c r="BK256" i="12" s="1"/>
  <c r="BJ256" i="12"/>
  <c r="FA277" i="12"/>
  <c r="EY277" i="12"/>
  <c r="EZ277" i="12" s="1"/>
  <c r="FB277" i="12" s="1"/>
  <c r="CA291" i="12"/>
  <c r="CB291" i="12" s="1"/>
  <c r="CD291" i="12" s="1"/>
  <c r="CC291" i="12"/>
  <c r="FA289" i="12"/>
  <c r="EY289" i="12"/>
  <c r="EZ289" i="12" s="1"/>
  <c r="FB289" i="12" s="1"/>
  <c r="CV302" i="12"/>
  <c r="CT302" i="12"/>
  <c r="CU302" i="12" s="1"/>
  <c r="CW302" i="12" s="1"/>
  <c r="EH312" i="12"/>
  <c r="EF312" i="12"/>
  <c r="EG312" i="12" s="1"/>
  <c r="EI312" i="12" s="1"/>
  <c r="FA328" i="12"/>
  <c r="EY328" i="12"/>
  <c r="EZ328" i="12" s="1"/>
  <c r="FB328" i="12" s="1"/>
  <c r="DO330" i="12"/>
  <c r="DM330" i="12"/>
  <c r="DN330" i="12" s="1"/>
  <c r="DP330" i="12" s="1"/>
  <c r="AQ337" i="12"/>
  <c r="AO337" i="12"/>
  <c r="AP337" i="12" s="1"/>
  <c r="AR337" i="12" s="1"/>
  <c r="W337" i="12"/>
  <c r="Y337" i="12" s="1"/>
  <c r="CC347" i="12"/>
  <c r="CA347" i="12"/>
  <c r="CB347" i="12" s="1"/>
  <c r="CD347" i="12" s="1"/>
  <c r="EH352" i="12"/>
  <c r="EF352" i="12"/>
  <c r="EG352" i="12" s="1"/>
  <c r="EI352" i="12" s="1"/>
  <c r="AQ362" i="12"/>
  <c r="AO362" i="12"/>
  <c r="AP362" i="12" s="1"/>
  <c r="AR362" i="12" s="1"/>
  <c r="W362" i="12"/>
  <c r="Y362" i="12" s="1"/>
  <c r="CV67" i="12"/>
  <c r="CT67" i="12"/>
  <c r="CU67" i="12" s="1"/>
  <c r="CW67" i="12" s="1"/>
  <c r="FA61" i="12"/>
  <c r="EY61" i="12"/>
  <c r="EZ61" i="12" s="1"/>
  <c r="FB61" i="12" s="1"/>
  <c r="FA115" i="12"/>
  <c r="EY115" i="12"/>
  <c r="EZ115" i="12" s="1"/>
  <c r="FB115" i="12" s="1"/>
  <c r="AQ111" i="12"/>
  <c r="AO111" i="12"/>
  <c r="AP111" i="12" s="1"/>
  <c r="AR111" i="12" s="1"/>
  <c r="W111" i="12"/>
  <c r="Y111" i="12" s="1"/>
  <c r="EF111" i="12"/>
  <c r="EG111" i="12" s="1"/>
  <c r="EI111" i="12" s="1"/>
  <c r="EH111" i="12"/>
  <c r="EH128" i="12"/>
  <c r="EF128" i="12"/>
  <c r="EG128" i="12" s="1"/>
  <c r="EI128" i="12" s="1"/>
  <c r="CV129" i="12"/>
  <c r="CT129" i="12"/>
  <c r="CU129" i="12" s="1"/>
  <c r="CW129" i="12" s="1"/>
  <c r="CV124" i="12"/>
  <c r="CT124" i="12"/>
  <c r="CU124" i="12" s="1"/>
  <c r="CW124" i="12" s="1"/>
  <c r="BH166" i="12"/>
  <c r="BI166" i="12" s="1"/>
  <c r="BK166" i="12" s="1"/>
  <c r="BJ166" i="12"/>
  <c r="FA191" i="12"/>
  <c r="EY191" i="12"/>
  <c r="EZ191" i="12" s="1"/>
  <c r="FB191" i="12" s="1"/>
  <c r="AQ185" i="12"/>
  <c r="AO185" i="12"/>
  <c r="AP185" i="12" s="1"/>
  <c r="AR185" i="12" s="1"/>
  <c r="W185" i="12"/>
  <c r="Y185" i="12" s="1"/>
  <c r="CV176" i="12"/>
  <c r="CT176" i="12"/>
  <c r="CU176" i="12" s="1"/>
  <c r="CW176" i="12" s="1"/>
  <c r="CC205" i="12"/>
  <c r="CA205" i="12"/>
  <c r="CB205" i="12" s="1"/>
  <c r="CD205" i="12" s="1"/>
  <c r="CV205" i="12"/>
  <c r="CT205" i="12"/>
  <c r="CU205" i="12" s="1"/>
  <c r="CW205" i="12" s="1"/>
  <c r="DM215" i="12"/>
  <c r="DN215" i="12" s="1"/>
  <c r="DP215" i="12" s="1"/>
  <c r="DO215" i="12"/>
  <c r="BJ214" i="12"/>
  <c r="BH214" i="12"/>
  <c r="BI214" i="12" s="1"/>
  <c r="BK214" i="12" s="1"/>
  <c r="CV230" i="12"/>
  <c r="CT230" i="12"/>
  <c r="CU230" i="12" s="1"/>
  <c r="CW230" i="12" s="1"/>
  <c r="CV228" i="12"/>
  <c r="CT228" i="12"/>
  <c r="CU228" i="12" s="1"/>
  <c r="CW228" i="12" s="1"/>
  <c r="AQ243" i="12"/>
  <c r="AO243" i="12"/>
  <c r="AP243" i="12" s="1"/>
  <c r="AR243" i="12" s="1"/>
  <c r="W243" i="12"/>
  <c r="Y243" i="12" s="1"/>
  <c r="DM262" i="12"/>
  <c r="DN262" i="12" s="1"/>
  <c r="DP262" i="12" s="1"/>
  <c r="DO262" i="12"/>
  <c r="FA254" i="12"/>
  <c r="EY254" i="12"/>
  <c r="EZ254" i="12" s="1"/>
  <c r="FB254" i="12" s="1"/>
  <c r="EY283" i="12"/>
  <c r="EZ283" i="12" s="1"/>
  <c r="FB283" i="12" s="1"/>
  <c r="FA283" i="12"/>
  <c r="AQ274" i="12"/>
  <c r="AO274" i="12"/>
  <c r="AP274" i="12" s="1"/>
  <c r="AR274" i="12" s="1"/>
  <c r="W274" i="12"/>
  <c r="Y274" i="12" s="1"/>
  <c r="EY286" i="12"/>
  <c r="EZ286" i="12" s="1"/>
  <c r="FB286" i="12" s="1"/>
  <c r="FA286" i="12"/>
  <c r="AQ286" i="12"/>
  <c r="AO286" i="12"/>
  <c r="AP286" i="12" s="1"/>
  <c r="AR286" i="12" s="1"/>
  <c r="W286" i="12"/>
  <c r="Y286" i="12" s="1"/>
  <c r="EH304" i="12"/>
  <c r="EF304" i="12"/>
  <c r="EG304" i="12" s="1"/>
  <c r="EI304" i="12" s="1"/>
  <c r="FA318" i="12"/>
  <c r="EY318" i="12"/>
  <c r="EZ318" i="12" s="1"/>
  <c r="FB318" i="12" s="1"/>
  <c r="AQ333" i="12"/>
  <c r="AO333" i="12"/>
  <c r="AP333" i="12" s="1"/>
  <c r="AR333" i="12" s="1"/>
  <c r="W333" i="12"/>
  <c r="Y333" i="12" s="1"/>
  <c r="EH340" i="12"/>
  <c r="EF340" i="12"/>
  <c r="EG340" i="12" s="1"/>
  <c r="EI340" i="12" s="1"/>
  <c r="AQ353" i="12"/>
  <c r="AO353" i="12"/>
  <c r="AP353" i="12" s="1"/>
  <c r="AR353" i="12" s="1"/>
  <c r="W353" i="12"/>
  <c r="Y353" i="12" s="1"/>
  <c r="CV362" i="12"/>
  <c r="CT362" i="12"/>
  <c r="CU362" i="12" s="1"/>
  <c r="CW362" i="12" s="1"/>
  <c r="BH90" i="12"/>
  <c r="BI90" i="12" s="1"/>
  <c r="BK90" i="12" s="1"/>
  <c r="BJ90" i="12"/>
  <c r="CV78" i="12"/>
  <c r="CT78" i="12"/>
  <c r="CU78" i="12" s="1"/>
  <c r="CW78" i="12" s="1"/>
  <c r="EY98" i="12"/>
  <c r="EZ98" i="12" s="1"/>
  <c r="FB98" i="12" s="1"/>
  <c r="FA98" i="12"/>
  <c r="DO95" i="12"/>
  <c r="DM95" i="12"/>
  <c r="DN95" i="12" s="1"/>
  <c r="DP95" i="12" s="1"/>
  <c r="CC96" i="12"/>
  <c r="CA96" i="12"/>
  <c r="CB96" i="12" s="1"/>
  <c r="CD96" i="12" s="1"/>
  <c r="EH116" i="12"/>
  <c r="EF116" i="12"/>
  <c r="EG116" i="12" s="1"/>
  <c r="EI116" i="12" s="1"/>
  <c r="CT145" i="12"/>
  <c r="CU145" i="12" s="1"/>
  <c r="CW145" i="12" s="1"/>
  <c r="CV145" i="12"/>
  <c r="EY145" i="12"/>
  <c r="EZ145" i="12" s="1"/>
  <c r="FB145" i="12" s="1"/>
  <c r="FA145" i="12"/>
  <c r="AQ136" i="12"/>
  <c r="AO136" i="12"/>
  <c r="AP136" i="12" s="1"/>
  <c r="AR136" i="12" s="1"/>
  <c r="W136" i="12"/>
  <c r="Y136" i="12" s="1"/>
  <c r="EH161" i="12"/>
  <c r="EF161" i="12"/>
  <c r="EG161" i="12" s="1"/>
  <c r="EI161" i="12" s="1"/>
  <c r="CV167" i="12"/>
  <c r="CT167" i="12"/>
  <c r="CU167" i="12" s="1"/>
  <c r="CW167" i="12" s="1"/>
  <c r="DM179" i="12"/>
  <c r="DN179" i="12" s="1"/>
  <c r="DP179" i="12" s="1"/>
  <c r="DO179" i="12"/>
  <c r="AQ174" i="12"/>
  <c r="AO174" i="12"/>
  <c r="AP174" i="12" s="1"/>
  <c r="AR174" i="12" s="1"/>
  <c r="W174" i="12"/>
  <c r="Y174" i="12" s="1"/>
  <c r="BJ209" i="12"/>
  <c r="BH209" i="12"/>
  <c r="BI209" i="12" s="1"/>
  <c r="BK209" i="12" s="1"/>
  <c r="CV215" i="12"/>
  <c r="CT215" i="12"/>
  <c r="CU215" i="12" s="1"/>
  <c r="CW215" i="12" s="1"/>
  <c r="DM214" i="12"/>
  <c r="DN214" i="12" s="1"/>
  <c r="DP214" i="12" s="1"/>
  <c r="DO214" i="12"/>
  <c r="CV227" i="12"/>
  <c r="CT227" i="12"/>
  <c r="CU227" i="12" s="1"/>
  <c r="CW227" i="12" s="1"/>
  <c r="CV243" i="12"/>
  <c r="CT243" i="12"/>
  <c r="CU243" i="12" s="1"/>
  <c r="CW243" i="12" s="1"/>
  <c r="EF247" i="12"/>
  <c r="EG247" i="12" s="1"/>
  <c r="EI247" i="12" s="1"/>
  <c r="EH247" i="12"/>
  <c r="DO257" i="12"/>
  <c r="DM257" i="12"/>
  <c r="DN257" i="12" s="1"/>
  <c r="DP257" i="12" s="1"/>
  <c r="CC253" i="12"/>
  <c r="CA253" i="12"/>
  <c r="CB253" i="12" s="1"/>
  <c r="CD253" i="12" s="1"/>
  <c r="DM285" i="12"/>
  <c r="DN285" i="12" s="1"/>
  <c r="DP285" i="12" s="1"/>
  <c r="DO285" i="12"/>
  <c r="EH276" i="12"/>
  <c r="EF276" i="12"/>
  <c r="EG276" i="12" s="1"/>
  <c r="EI276" i="12" s="1"/>
  <c r="AO299" i="12"/>
  <c r="AP299" i="12" s="1"/>
  <c r="AR299" i="12" s="1"/>
  <c r="AQ299" i="12"/>
  <c r="W299" i="12"/>
  <c r="Y299" i="12" s="1"/>
  <c r="DM309" i="12"/>
  <c r="DN309" i="12" s="1"/>
  <c r="DP309" i="12" s="1"/>
  <c r="DO309" i="12"/>
  <c r="CA321" i="12"/>
  <c r="CB321" i="12" s="1"/>
  <c r="CD321" i="12" s="1"/>
  <c r="CC321" i="12"/>
  <c r="BJ323" i="12"/>
  <c r="BH323" i="12"/>
  <c r="BI323" i="12" s="1"/>
  <c r="BK323" i="12" s="1"/>
  <c r="BJ330" i="12"/>
  <c r="BH330" i="12"/>
  <c r="BI330" i="12" s="1"/>
  <c r="BK330" i="12" s="1"/>
  <c r="DO334" i="12"/>
  <c r="DM334" i="12"/>
  <c r="DN334" i="12" s="1"/>
  <c r="DP334" i="12" s="1"/>
  <c r="CV344" i="12"/>
  <c r="CT344" i="12"/>
  <c r="CU344" i="12" s="1"/>
  <c r="CW344" i="12" s="1"/>
  <c r="AQ68" i="12"/>
  <c r="AO68" i="12"/>
  <c r="AP68" i="12" s="1"/>
  <c r="AR68" i="12" s="1"/>
  <c r="W68" i="12"/>
  <c r="Y68" i="12" s="1"/>
  <c r="CT83" i="12"/>
  <c r="CU83" i="12" s="1"/>
  <c r="CW83" i="12" s="1"/>
  <c r="CV83" i="12"/>
  <c r="BJ112" i="12"/>
  <c r="BH112" i="12"/>
  <c r="BI112" i="12" s="1"/>
  <c r="BK112" i="12" s="1"/>
  <c r="AO113" i="12"/>
  <c r="AP113" i="12" s="1"/>
  <c r="AR113" i="12" s="1"/>
  <c r="AQ113" i="12"/>
  <c r="W113" i="12"/>
  <c r="Y113" i="12" s="1"/>
  <c r="FA129" i="12"/>
  <c r="EY129" i="12"/>
  <c r="EZ129" i="12" s="1"/>
  <c r="FB129" i="12" s="1"/>
  <c r="AQ130" i="12"/>
  <c r="AO130" i="12"/>
  <c r="AP130" i="12" s="1"/>
  <c r="AR130" i="12" s="1"/>
  <c r="W130" i="12"/>
  <c r="Y130" i="12" s="1"/>
  <c r="AQ125" i="12"/>
  <c r="AO125" i="12"/>
  <c r="AP125" i="12" s="1"/>
  <c r="AR125" i="12" s="1"/>
  <c r="W125" i="12"/>
  <c r="Y125" i="12" s="1"/>
  <c r="BJ173" i="12"/>
  <c r="BH173" i="12"/>
  <c r="BI173" i="12" s="1"/>
  <c r="BK173" i="12" s="1"/>
  <c r="CC146" i="12"/>
  <c r="CA146" i="12"/>
  <c r="CB146" i="12" s="1"/>
  <c r="CD146" i="12" s="1"/>
  <c r="CC186" i="12"/>
  <c r="CA186" i="12"/>
  <c r="CB186" i="12" s="1"/>
  <c r="CD186" i="12" s="1"/>
  <c r="FA182" i="12"/>
  <c r="EY182" i="12"/>
  <c r="EZ182" i="12" s="1"/>
  <c r="FB182" i="12" s="1"/>
  <c r="BH164" i="12"/>
  <c r="BI164" i="12" s="1"/>
  <c r="BK164" i="12" s="1"/>
  <c r="BJ164" i="12"/>
  <c r="EY197" i="12"/>
  <c r="EZ197" i="12" s="1"/>
  <c r="FB197" i="12" s="1"/>
  <c r="FA197" i="12"/>
  <c r="DO190" i="12"/>
  <c r="DM190" i="12"/>
  <c r="DN190" i="12" s="1"/>
  <c r="DP190" i="12" s="1"/>
  <c r="DO206" i="12"/>
  <c r="DM206" i="12"/>
  <c r="DN206" i="12" s="1"/>
  <c r="DP206" i="12" s="1"/>
  <c r="EF216" i="12"/>
  <c r="EG216" i="12" s="1"/>
  <c r="EI216" i="12" s="1"/>
  <c r="EH216" i="12"/>
  <c r="CC215" i="12"/>
  <c r="CA215" i="12"/>
  <c r="CB215" i="12" s="1"/>
  <c r="CD215" i="12" s="1"/>
  <c r="AQ231" i="12"/>
  <c r="AO231" i="12"/>
  <c r="AP231" i="12" s="1"/>
  <c r="AR231" i="12" s="1"/>
  <c r="W231" i="12"/>
  <c r="Y231" i="12" s="1"/>
  <c r="AQ229" i="12"/>
  <c r="AO229" i="12"/>
  <c r="AP229" i="12" s="1"/>
  <c r="AR229" i="12" s="1"/>
  <c r="W229" i="12"/>
  <c r="Y229" i="12" s="1"/>
  <c r="BH244" i="12"/>
  <c r="BI244" i="12" s="1"/>
  <c r="BK244" i="12" s="1"/>
  <c r="BJ244" i="12"/>
  <c r="CV267" i="12"/>
  <c r="CT267" i="12"/>
  <c r="CU267" i="12" s="1"/>
  <c r="CW267" i="12" s="1"/>
  <c r="BJ264" i="12"/>
  <c r="BH264" i="12"/>
  <c r="BI264" i="12" s="1"/>
  <c r="BK264" i="12" s="1"/>
  <c r="BJ275" i="12"/>
  <c r="BH275" i="12"/>
  <c r="BI275" i="12" s="1"/>
  <c r="BK275" i="12" s="1"/>
  <c r="BJ287" i="12"/>
  <c r="BH287" i="12"/>
  <c r="BI287" i="12" s="1"/>
  <c r="BK287" i="12" s="1"/>
  <c r="DM302" i="12"/>
  <c r="DN302" i="12" s="1"/>
  <c r="DP302" i="12" s="1"/>
  <c r="DO302" i="12"/>
  <c r="FA305" i="12"/>
  <c r="EY305" i="12"/>
  <c r="EZ305" i="12" s="1"/>
  <c r="FB305" i="12" s="1"/>
  <c r="DM314" i="12"/>
  <c r="DN314" i="12" s="1"/>
  <c r="DP314" i="12" s="1"/>
  <c r="DO314" i="12"/>
  <c r="AO342" i="12"/>
  <c r="AP342" i="12" s="1"/>
  <c r="AR342" i="12" s="1"/>
  <c r="AQ342" i="12"/>
  <c r="W342" i="12"/>
  <c r="Y342" i="12" s="1"/>
  <c r="EF348" i="12"/>
  <c r="EG348" i="12" s="1"/>
  <c r="EI348" i="12" s="1"/>
  <c r="EH348" i="12"/>
  <c r="FA355" i="12"/>
  <c r="EY355" i="12"/>
  <c r="EZ355" i="12" s="1"/>
  <c r="FB355" i="12" s="1"/>
  <c r="FA18" i="12"/>
  <c r="EY18" i="12"/>
  <c r="EZ18" i="12" s="1"/>
  <c r="FB18" i="12" s="1"/>
  <c r="DO72" i="12"/>
  <c r="DM72" i="12"/>
  <c r="DN72" i="12" s="1"/>
  <c r="DP72" i="12" s="1"/>
  <c r="AO67" i="12"/>
  <c r="AP67" i="12" s="1"/>
  <c r="AR67" i="12" s="1"/>
  <c r="AQ67" i="12"/>
  <c r="W67" i="12"/>
  <c r="Y67" i="12" s="1"/>
  <c r="EH84" i="12"/>
  <c r="EF84" i="12"/>
  <c r="EG84" i="12" s="1"/>
  <c r="EI84" i="12" s="1"/>
  <c r="FA119" i="12"/>
  <c r="EY119" i="12"/>
  <c r="EZ119" i="12" s="1"/>
  <c r="FB119" i="12" s="1"/>
  <c r="FA120" i="12"/>
  <c r="EY120" i="12"/>
  <c r="EZ120" i="12" s="1"/>
  <c r="FB120" i="12" s="1"/>
  <c r="CV134" i="12"/>
  <c r="CT134" i="12"/>
  <c r="CU134" i="12" s="1"/>
  <c r="CW134" i="12" s="1"/>
  <c r="DO134" i="12"/>
  <c r="DM134" i="12"/>
  <c r="DN134" i="12" s="1"/>
  <c r="DP134" i="12" s="1"/>
  <c r="DO129" i="12"/>
  <c r="DM129" i="12"/>
  <c r="DN129" i="12" s="1"/>
  <c r="DP129" i="12" s="1"/>
  <c r="BJ125" i="12"/>
  <c r="BH125" i="12"/>
  <c r="BI125" i="12" s="1"/>
  <c r="BK125" i="12" s="1"/>
  <c r="FA150" i="12"/>
  <c r="EY150" i="12"/>
  <c r="EZ150" i="12" s="1"/>
  <c r="FB150" i="12" s="1"/>
  <c r="DO151" i="12"/>
  <c r="DM151" i="12"/>
  <c r="DN151" i="12" s="1"/>
  <c r="DP151" i="12" s="1"/>
  <c r="CV153" i="12"/>
  <c r="CT153" i="12"/>
  <c r="CU153" i="12" s="1"/>
  <c r="CW153" i="12" s="1"/>
  <c r="EH168" i="12"/>
  <c r="EF168" i="12"/>
  <c r="EG168" i="12" s="1"/>
  <c r="EI168" i="12" s="1"/>
  <c r="CV199" i="12"/>
  <c r="CT199" i="12"/>
  <c r="CU199" i="12" s="1"/>
  <c r="CW199" i="12" s="1"/>
  <c r="EH195" i="12"/>
  <c r="EF195" i="12"/>
  <c r="EG195" i="12" s="1"/>
  <c r="EI195" i="12" s="1"/>
  <c r="CV196" i="12"/>
  <c r="CT196" i="12"/>
  <c r="CU196" i="12" s="1"/>
  <c r="CW196" i="12" s="1"/>
  <c r="FA225" i="12"/>
  <c r="EY225" i="12"/>
  <c r="EZ225" i="12" s="1"/>
  <c r="FB225" i="12" s="1"/>
  <c r="EY219" i="12"/>
  <c r="EZ219" i="12" s="1"/>
  <c r="FB219" i="12" s="1"/>
  <c r="FA219" i="12"/>
  <c r="EY236" i="12"/>
  <c r="EZ236" i="12" s="1"/>
  <c r="FB236" i="12" s="1"/>
  <c r="FA236" i="12"/>
  <c r="DO233" i="12"/>
  <c r="DM233" i="12"/>
  <c r="DN233" i="12" s="1"/>
  <c r="DP233" i="12" s="1"/>
  <c r="BJ249" i="12"/>
  <c r="BH249" i="12"/>
  <c r="BI249" i="12" s="1"/>
  <c r="BK249" i="12" s="1"/>
  <c r="DO268" i="12"/>
  <c r="DM268" i="12"/>
  <c r="DN268" i="12" s="1"/>
  <c r="DP268" i="12" s="1"/>
  <c r="AQ260" i="12"/>
  <c r="AO260" i="12"/>
  <c r="AP260" i="12" s="1"/>
  <c r="AR260" i="12" s="1"/>
  <c r="W260" i="12"/>
  <c r="Y260" i="12" s="1"/>
  <c r="EF268" i="12"/>
  <c r="EG268" i="12" s="1"/>
  <c r="EI268" i="12" s="1"/>
  <c r="EH268" i="12"/>
  <c r="FA279" i="12"/>
  <c r="EY279" i="12"/>
  <c r="EZ279" i="12" s="1"/>
  <c r="FB279" i="12" s="1"/>
  <c r="CA290" i="12"/>
  <c r="CB290" i="12" s="1"/>
  <c r="CD290" i="12" s="1"/>
  <c r="CC290" i="12"/>
  <c r="BH301" i="12"/>
  <c r="BI301" i="12" s="1"/>
  <c r="BK301" i="12" s="1"/>
  <c r="BJ301" i="12"/>
  <c r="CC299" i="12"/>
  <c r="CA299" i="12"/>
  <c r="CB299" i="12" s="1"/>
  <c r="CD299" i="12" s="1"/>
  <c r="CC310" i="12"/>
  <c r="CA310" i="12"/>
  <c r="CB310" i="12" s="1"/>
  <c r="CD310" i="12" s="1"/>
  <c r="FA315" i="12"/>
  <c r="EY315" i="12"/>
  <c r="EZ315" i="12" s="1"/>
  <c r="FB315" i="12" s="1"/>
  <c r="EH324" i="12"/>
  <c r="EF324" i="12"/>
  <c r="EG324" i="12" s="1"/>
  <c r="EI324" i="12" s="1"/>
  <c r="EH332" i="12"/>
  <c r="EF332" i="12"/>
  <c r="EG332" i="12" s="1"/>
  <c r="EI332" i="12" s="1"/>
  <c r="BJ339" i="12"/>
  <c r="BH339" i="12"/>
  <c r="BI339" i="12" s="1"/>
  <c r="BK339" i="12" s="1"/>
  <c r="FA348" i="12"/>
  <c r="EY348" i="12"/>
  <c r="EZ348" i="12" s="1"/>
  <c r="FB348" i="12" s="1"/>
  <c r="CV359" i="12"/>
  <c r="CT359" i="12"/>
  <c r="CU359" i="12" s="1"/>
  <c r="CW359" i="12" s="1"/>
  <c r="CC14" i="12"/>
  <c r="CA14" i="12"/>
  <c r="CB14" i="12" s="1"/>
  <c r="CD14" i="12" s="1"/>
  <c r="BJ77" i="12"/>
  <c r="BH77" i="12"/>
  <c r="BI77" i="12" s="1"/>
  <c r="BK77" i="12" s="1"/>
  <c r="DM71" i="12"/>
  <c r="DN71" i="12" s="1"/>
  <c r="DP71" i="12" s="1"/>
  <c r="DO71" i="12"/>
  <c r="AO92" i="12"/>
  <c r="AP92" i="12" s="1"/>
  <c r="AR92" i="12" s="1"/>
  <c r="AQ92" i="12"/>
  <c r="W92" i="12"/>
  <c r="Y92" i="12" s="1"/>
  <c r="CC89" i="12"/>
  <c r="CA89" i="12"/>
  <c r="CB89" i="12" s="1"/>
  <c r="CD89" i="12" s="1"/>
  <c r="AQ116" i="12"/>
  <c r="AO116" i="12"/>
  <c r="AP116" i="12" s="1"/>
  <c r="AR116" i="12" s="1"/>
  <c r="W116" i="12"/>
  <c r="Y116" i="12" s="1"/>
  <c r="BJ139" i="12"/>
  <c r="BH139" i="12"/>
  <c r="BI139" i="12" s="1"/>
  <c r="BK139" i="12" s="1"/>
  <c r="BJ134" i="12"/>
  <c r="BH134" i="12"/>
  <c r="BI134" i="12" s="1"/>
  <c r="BK134" i="12" s="1"/>
  <c r="EH129" i="12"/>
  <c r="EF129" i="12"/>
  <c r="EG129" i="12" s="1"/>
  <c r="EI129" i="12" s="1"/>
  <c r="CV155" i="12"/>
  <c r="CT155" i="12"/>
  <c r="CU155" i="12" s="1"/>
  <c r="CW155" i="12" s="1"/>
  <c r="BJ156" i="12"/>
  <c r="BH156" i="12"/>
  <c r="BI156" i="12" s="1"/>
  <c r="BK156" i="12" s="1"/>
  <c r="CC173" i="12"/>
  <c r="CA173" i="12"/>
  <c r="CB173" i="12" s="1"/>
  <c r="CD173" i="12" s="1"/>
  <c r="EF167" i="12"/>
  <c r="EG167" i="12" s="1"/>
  <c r="EI167" i="12" s="1"/>
  <c r="EH167" i="12"/>
  <c r="CC208" i="12"/>
  <c r="CA208" i="12"/>
  <c r="CB208" i="12" s="1"/>
  <c r="CD208" i="12" s="1"/>
  <c r="BJ224" i="12"/>
  <c r="BH224" i="12"/>
  <c r="BI224" i="12" s="1"/>
  <c r="BK224" i="12" s="1"/>
  <c r="BH223" i="12"/>
  <c r="BI223" i="12" s="1"/>
  <c r="BK223" i="12" s="1"/>
  <c r="BJ223" i="12"/>
  <c r="BH273" i="12"/>
  <c r="BI273" i="12" s="1"/>
  <c r="BK273" i="12" s="1"/>
  <c r="BJ273" i="12"/>
  <c r="CV241" i="12"/>
  <c r="CT241" i="12"/>
  <c r="CU241" i="12" s="1"/>
  <c r="CW241" i="12" s="1"/>
  <c r="CC251" i="12"/>
  <c r="CA251" i="12"/>
  <c r="CB251" i="12" s="1"/>
  <c r="CD251" i="12" s="1"/>
  <c r="CA273" i="12"/>
  <c r="CB273" i="12" s="1"/>
  <c r="CD273" i="12" s="1"/>
  <c r="CC273" i="12"/>
  <c r="DO269" i="12"/>
  <c r="DM269" i="12"/>
  <c r="DN269" i="12" s="1"/>
  <c r="DP269" i="12" s="1"/>
  <c r="BH280" i="12"/>
  <c r="BI280" i="12" s="1"/>
  <c r="BK280" i="12" s="1"/>
  <c r="BJ280" i="12"/>
  <c r="EH292" i="12"/>
  <c r="EF292" i="12"/>
  <c r="EG292" i="12" s="1"/>
  <c r="EI292" i="12" s="1"/>
  <c r="DO303" i="12"/>
  <c r="DM303" i="12"/>
  <c r="DN303" i="12" s="1"/>
  <c r="DP303" i="12" s="1"/>
  <c r="EY304" i="12"/>
  <c r="EZ304" i="12" s="1"/>
  <c r="FB304" i="12" s="1"/>
  <c r="FA304" i="12"/>
  <c r="FA321" i="12"/>
  <c r="EY321" i="12"/>
  <c r="EZ321" i="12" s="1"/>
  <c r="FB321" i="12" s="1"/>
  <c r="DO332" i="12"/>
  <c r="DM332" i="12"/>
  <c r="DN332" i="12" s="1"/>
  <c r="DP332" i="12" s="1"/>
  <c r="BH338" i="12"/>
  <c r="BI338" i="12" s="1"/>
  <c r="BK338" i="12" s="1"/>
  <c r="BJ338" i="12"/>
  <c r="EH344" i="12"/>
  <c r="EF344" i="12"/>
  <c r="EG344" i="12" s="1"/>
  <c r="EI344" i="12" s="1"/>
  <c r="BJ356" i="12"/>
  <c r="BH356" i="12"/>
  <c r="BI356" i="12" s="1"/>
  <c r="BK356" i="12" s="1"/>
  <c r="DO363" i="12"/>
  <c r="DM363" i="12"/>
  <c r="DN363" i="12" s="1"/>
  <c r="DP363" i="12" s="1"/>
  <c r="CV16" i="12"/>
  <c r="CT16" i="12"/>
  <c r="CU16" i="12" s="1"/>
  <c r="CW16" i="12" s="1"/>
  <c r="AQ18" i="12"/>
  <c r="AO18" i="12"/>
  <c r="AP18" i="12" s="1"/>
  <c r="AR18" i="12" s="1"/>
  <c r="W18" i="12"/>
  <c r="Y18" i="12" s="1"/>
  <c r="BJ14" i="12"/>
  <c r="BH14" i="12"/>
  <c r="BI14" i="12" s="1"/>
  <c r="BK14" i="12" s="1"/>
  <c r="FA16" i="12"/>
  <c r="EY16" i="12"/>
  <c r="EZ16" i="12" s="1"/>
  <c r="FB16" i="12" s="1"/>
  <c r="EH19" i="12"/>
  <c r="EF19" i="12"/>
  <c r="EG19" i="12" s="1"/>
  <c r="EI19" i="12" s="1"/>
  <c r="BJ110" i="9"/>
  <c r="BH110" i="9"/>
  <c r="BI110" i="9" s="1"/>
  <c r="BK110" i="9" s="1"/>
  <c r="CV78" i="9"/>
  <c r="CT78" i="9"/>
  <c r="CU78" i="9" s="1"/>
  <c r="CW78" i="9" s="1"/>
  <c r="AQ234" i="9"/>
  <c r="AO234" i="9"/>
  <c r="AP234" i="9" s="1"/>
  <c r="AR234" i="9" s="1"/>
  <c r="W234" i="9"/>
  <c r="Y234" i="9" s="1"/>
  <c r="CC265" i="9"/>
  <c r="CA265" i="9"/>
  <c r="CB265" i="9" s="1"/>
  <c r="CD265" i="9" s="1"/>
  <c r="AQ85" i="9"/>
  <c r="AO85" i="9"/>
  <c r="AP85" i="9" s="1"/>
  <c r="AR85" i="9" s="1"/>
  <c r="W85" i="9"/>
  <c r="Y85" i="9" s="1"/>
  <c r="CC60" i="9"/>
  <c r="CA60" i="9"/>
  <c r="CB60" i="9" s="1"/>
  <c r="CD60" i="9" s="1"/>
  <c r="EY177" i="9"/>
  <c r="EZ177" i="9" s="1"/>
  <c r="FB177" i="9" s="1"/>
  <c r="FA177" i="9"/>
  <c r="CA222" i="9"/>
  <c r="CB222" i="9" s="1"/>
  <c r="CD222" i="9" s="1"/>
  <c r="CC222" i="9"/>
  <c r="CV288" i="9"/>
  <c r="CT288" i="9"/>
  <c r="CU288" i="9" s="1"/>
  <c r="CW288" i="9" s="1"/>
  <c r="DO22" i="9"/>
  <c r="DM22" i="9"/>
  <c r="DN22" i="9" s="1"/>
  <c r="DP22" i="9" s="1"/>
  <c r="EF53" i="9"/>
  <c r="EG53" i="9" s="1"/>
  <c r="EI53" i="9" s="1"/>
  <c r="EH53" i="9"/>
  <c r="AQ158" i="9"/>
  <c r="AO158" i="9"/>
  <c r="AP158" i="9" s="1"/>
  <c r="AR158" i="9" s="1"/>
  <c r="W158" i="9"/>
  <c r="Y158" i="9" s="1"/>
  <c r="EY212" i="9"/>
  <c r="EZ212" i="9" s="1"/>
  <c r="FB212" i="9" s="1"/>
  <c r="FA212" i="9"/>
  <c r="CC290" i="9"/>
  <c r="CA290" i="9"/>
  <c r="CB290" i="9" s="1"/>
  <c r="CD290" i="9" s="1"/>
  <c r="EH83" i="9"/>
  <c r="EF83" i="9"/>
  <c r="EG83" i="9" s="1"/>
  <c r="EI83" i="9" s="1"/>
  <c r="CC121" i="9"/>
  <c r="CA121" i="9"/>
  <c r="CB121" i="9" s="1"/>
  <c r="CD121" i="9" s="1"/>
  <c r="BJ166" i="9"/>
  <c r="BH166" i="9"/>
  <c r="BI166" i="9" s="1"/>
  <c r="BK166" i="9" s="1"/>
  <c r="AO232" i="9"/>
  <c r="AP232" i="9" s="1"/>
  <c r="AR232" i="9" s="1"/>
  <c r="AQ232" i="9"/>
  <c r="W232" i="9"/>
  <c r="Y232" i="9" s="1"/>
  <c r="CV278" i="9"/>
  <c r="CT278" i="9"/>
  <c r="CU278" i="9" s="1"/>
  <c r="CW278" i="9" s="1"/>
  <c r="DM31" i="9"/>
  <c r="DN31" i="9" s="1"/>
  <c r="DP31" i="9" s="1"/>
  <c r="DO31" i="9"/>
  <c r="FA42" i="9"/>
  <c r="EY42" i="9"/>
  <c r="EZ42" i="9" s="1"/>
  <c r="FB42" i="9" s="1"/>
  <c r="DM96" i="9"/>
  <c r="DN96" i="9" s="1"/>
  <c r="DP96" i="9" s="1"/>
  <c r="DO96" i="9"/>
  <c r="BJ150" i="9"/>
  <c r="BH150" i="9"/>
  <c r="BI150" i="9" s="1"/>
  <c r="BK150" i="9" s="1"/>
  <c r="CV209" i="9"/>
  <c r="CT209" i="9"/>
  <c r="CU209" i="9" s="1"/>
  <c r="CW209" i="9" s="1"/>
  <c r="FA273" i="9"/>
  <c r="EY273" i="9"/>
  <c r="EZ273" i="9" s="1"/>
  <c r="FB273" i="9" s="1"/>
  <c r="BH356" i="9"/>
  <c r="BI356" i="9" s="1"/>
  <c r="BK356" i="9" s="1"/>
  <c r="BJ356" i="9"/>
  <c r="CT45" i="9"/>
  <c r="CU45" i="9" s="1"/>
  <c r="CW45" i="9" s="1"/>
  <c r="CV45" i="9"/>
  <c r="CV135" i="9"/>
  <c r="CT135" i="9"/>
  <c r="CU135" i="9" s="1"/>
  <c r="CW135" i="9" s="1"/>
  <c r="FA143" i="9"/>
  <c r="EY143" i="9"/>
  <c r="EZ143" i="9" s="1"/>
  <c r="FB143" i="9" s="1"/>
  <c r="AO202" i="9"/>
  <c r="AP202" i="9" s="1"/>
  <c r="AR202" i="9" s="1"/>
  <c r="AQ202" i="9"/>
  <c r="W202" i="9"/>
  <c r="Y202" i="9" s="1"/>
  <c r="EH268" i="9"/>
  <c r="EF268" i="9"/>
  <c r="EG268" i="9" s="1"/>
  <c r="EI268" i="9" s="1"/>
  <c r="AQ351" i="9"/>
  <c r="AO351" i="9"/>
  <c r="AP351" i="9" s="1"/>
  <c r="AR351" i="9" s="1"/>
  <c r="W351" i="9"/>
  <c r="Y351" i="9" s="1"/>
  <c r="CC80" i="9"/>
  <c r="CA80" i="9"/>
  <c r="CB80" i="9" s="1"/>
  <c r="CD80" i="9" s="1"/>
  <c r="DM149" i="9"/>
  <c r="DN149" i="9" s="1"/>
  <c r="DP149" i="9" s="1"/>
  <c r="DO149" i="9"/>
  <c r="EH197" i="9"/>
  <c r="EF197" i="9"/>
  <c r="EG197" i="9" s="1"/>
  <c r="EI197" i="9" s="1"/>
  <c r="EH265" i="9"/>
  <c r="EF265" i="9"/>
  <c r="EG265" i="9" s="1"/>
  <c r="EI265" i="9" s="1"/>
  <c r="EF325" i="9"/>
  <c r="EG325" i="9" s="1"/>
  <c r="EI325" i="9" s="1"/>
  <c r="EH325" i="9"/>
  <c r="EY338" i="9"/>
  <c r="EZ338" i="9" s="1"/>
  <c r="FB338" i="9" s="1"/>
  <c r="FA338" i="9"/>
  <c r="BH353" i="9"/>
  <c r="BI353" i="9" s="1"/>
  <c r="BK353" i="9" s="1"/>
  <c r="BJ353" i="9"/>
  <c r="CA352" i="9"/>
  <c r="CB352" i="9" s="1"/>
  <c r="CD352" i="9" s="1"/>
  <c r="CC352" i="9"/>
  <c r="FA357" i="9"/>
  <c r="EY357" i="9"/>
  <c r="EZ357" i="9" s="1"/>
  <c r="FB357" i="9" s="1"/>
  <c r="EH355" i="9"/>
  <c r="EF355" i="9"/>
  <c r="EG355" i="9" s="1"/>
  <c r="EI355" i="9" s="1"/>
  <c r="EH360" i="9"/>
  <c r="EF360" i="9"/>
  <c r="EG360" i="9" s="1"/>
  <c r="EI360" i="9" s="1"/>
  <c r="CC57" i="9"/>
  <c r="CA57" i="9"/>
  <c r="CB57" i="9" s="1"/>
  <c r="CD57" i="9" s="1"/>
  <c r="AQ45" i="9"/>
  <c r="AO45" i="9"/>
  <c r="AP45" i="9" s="1"/>
  <c r="AR45" i="9" s="1"/>
  <c r="W45" i="9"/>
  <c r="Y45" i="9" s="1"/>
  <c r="CV23" i="9"/>
  <c r="CT23" i="9"/>
  <c r="CU23" i="9" s="1"/>
  <c r="CW23" i="9" s="1"/>
  <c r="CA45" i="12"/>
  <c r="CB45" i="12" s="1"/>
  <c r="CD45" i="12" s="1"/>
  <c r="CC45" i="12"/>
  <c r="BJ274" i="12"/>
  <c r="BH274" i="12"/>
  <c r="BI274" i="12" s="1"/>
  <c r="BK274" i="12" s="1"/>
  <c r="EH142" i="12"/>
  <c r="EF142" i="12"/>
  <c r="EG142" i="12" s="1"/>
  <c r="EI142" i="12" s="1"/>
  <c r="CC59" i="12"/>
  <c r="CA59" i="12"/>
  <c r="CB59" i="12" s="1"/>
  <c r="CD59" i="12" s="1"/>
  <c r="FA189" i="12"/>
  <c r="EY189" i="12"/>
  <c r="EZ189" i="12" s="1"/>
  <c r="FB189" i="12" s="1"/>
  <c r="CT52" i="12"/>
  <c r="CU52" i="12" s="1"/>
  <c r="CW52" i="12" s="1"/>
  <c r="CV52" i="12"/>
  <c r="DO36" i="12"/>
  <c r="DM36" i="12"/>
  <c r="DN36" i="12" s="1"/>
  <c r="DP36" i="12" s="1"/>
  <c r="AQ192" i="12"/>
  <c r="AO192" i="12"/>
  <c r="AP192" i="12" s="1"/>
  <c r="AR192" i="12" s="1"/>
  <c r="W192" i="12"/>
  <c r="Y192" i="12" s="1"/>
  <c r="EF44" i="12"/>
  <c r="EG44" i="12" s="1"/>
  <c r="EI44" i="12" s="1"/>
  <c r="EH44" i="12"/>
  <c r="FA251" i="12"/>
  <c r="EY251" i="12"/>
  <c r="EZ251" i="12" s="1"/>
  <c r="FB251" i="12" s="1"/>
  <c r="DO102" i="12"/>
  <c r="DM102" i="12"/>
  <c r="DN102" i="12" s="1"/>
  <c r="DP102" i="12" s="1"/>
  <c r="CV183" i="12"/>
  <c r="CT183" i="12"/>
  <c r="CU183" i="12" s="1"/>
  <c r="CW183" i="12" s="1"/>
  <c r="CV234" i="12"/>
  <c r="CT234" i="12"/>
  <c r="CU234" i="12" s="1"/>
  <c r="CW234" i="12" s="1"/>
  <c r="CT291" i="12"/>
  <c r="CU291" i="12" s="1"/>
  <c r="CW291" i="12" s="1"/>
  <c r="CV291" i="12"/>
  <c r="CV353" i="12"/>
  <c r="CT353" i="12"/>
  <c r="CU353" i="12" s="1"/>
  <c r="CW353" i="12" s="1"/>
  <c r="BH111" i="12"/>
  <c r="BI111" i="12" s="1"/>
  <c r="BK111" i="12" s="1"/>
  <c r="BJ111" i="12"/>
  <c r="FA174" i="12"/>
  <c r="EY174" i="12"/>
  <c r="EZ174" i="12" s="1"/>
  <c r="FB174" i="12" s="1"/>
  <c r="BH340" i="12"/>
  <c r="BI340" i="12" s="1"/>
  <c r="BK340" i="12" s="1"/>
  <c r="BJ340" i="12"/>
  <c r="AQ91" i="12"/>
  <c r="AO91" i="12"/>
  <c r="AP91" i="12" s="1"/>
  <c r="AR91" i="12" s="1"/>
  <c r="W91" i="12"/>
  <c r="Y91" i="12" s="1"/>
  <c r="BJ157" i="12"/>
  <c r="BH157" i="12"/>
  <c r="BI157" i="12" s="1"/>
  <c r="BK157" i="12" s="1"/>
  <c r="AQ210" i="12"/>
  <c r="AO210" i="12"/>
  <c r="AP210" i="12" s="1"/>
  <c r="AR210" i="12" s="1"/>
  <c r="W210" i="12"/>
  <c r="Y210" i="12" s="1"/>
  <c r="BJ67" i="12"/>
  <c r="BH67" i="12"/>
  <c r="BI67" i="12" s="1"/>
  <c r="BK67" i="12" s="1"/>
  <c r="E148" i="12"/>
  <c r="E149" i="12" s="1"/>
  <c r="E150" i="12" s="1"/>
  <c r="E151" i="12" s="1"/>
  <c r="E152" i="12" s="1"/>
  <c r="E153" i="12" s="1"/>
  <c r="E154" i="12" s="1"/>
  <c r="E155" i="12" s="1"/>
  <c r="E156" i="12" s="1"/>
  <c r="E157" i="12" s="1"/>
  <c r="E158" i="12" s="1"/>
  <c r="E159" i="12" s="1"/>
  <c r="EF142" i="9"/>
  <c r="EG142" i="9" s="1"/>
  <c r="EI142" i="9" s="1"/>
  <c r="EH142" i="9"/>
  <c r="CC226" i="9"/>
  <c r="CA226" i="9"/>
  <c r="CB226" i="9" s="1"/>
  <c r="CD226" i="9" s="1"/>
  <c r="FA275" i="9"/>
  <c r="EY275" i="9"/>
  <c r="EZ275" i="9" s="1"/>
  <c r="FB275" i="9" s="1"/>
  <c r="CT84" i="9"/>
  <c r="CU84" i="9" s="1"/>
  <c r="CW84" i="9" s="1"/>
  <c r="CV84" i="9"/>
  <c r="DM53" i="9"/>
  <c r="DN53" i="9" s="1"/>
  <c r="DP53" i="9" s="1"/>
  <c r="DO53" i="9"/>
  <c r="CV56" i="9"/>
  <c r="CT56" i="9"/>
  <c r="CU56" i="9" s="1"/>
  <c r="CW56" i="9" s="1"/>
  <c r="AO108" i="9"/>
  <c r="AP108" i="9" s="1"/>
  <c r="AR108" i="9" s="1"/>
  <c r="AQ108" i="9"/>
  <c r="W108" i="9"/>
  <c r="Y108" i="9" s="1"/>
  <c r="DO117" i="9"/>
  <c r="DM117" i="9"/>
  <c r="DN117" i="9" s="1"/>
  <c r="DP117" i="9" s="1"/>
  <c r="CC155" i="9"/>
  <c r="CA155" i="9"/>
  <c r="CB155" i="9" s="1"/>
  <c r="CD155" i="9" s="1"/>
  <c r="BJ178" i="9"/>
  <c r="BH178" i="9"/>
  <c r="BI178" i="9" s="1"/>
  <c r="BK178" i="9" s="1"/>
  <c r="BJ204" i="9"/>
  <c r="BH204" i="9"/>
  <c r="BI204" i="9" s="1"/>
  <c r="BK204" i="9" s="1"/>
  <c r="CV188" i="9"/>
  <c r="CT188" i="9"/>
  <c r="CU188" i="9" s="1"/>
  <c r="CW188" i="9" s="1"/>
  <c r="EH227" i="9"/>
  <c r="EF227" i="9"/>
  <c r="EG227" i="9" s="1"/>
  <c r="EI227" i="9" s="1"/>
  <c r="AQ253" i="9"/>
  <c r="AO253" i="9"/>
  <c r="AP253" i="9" s="1"/>
  <c r="AR253" i="9" s="1"/>
  <c r="W253" i="9"/>
  <c r="Y253" i="9" s="1"/>
  <c r="AO286" i="9"/>
  <c r="AP286" i="9" s="1"/>
  <c r="AR286" i="9" s="1"/>
  <c r="AQ286" i="9"/>
  <c r="W286" i="9"/>
  <c r="Y286" i="9" s="1"/>
  <c r="DO295" i="9"/>
  <c r="DM295" i="9"/>
  <c r="DN295" i="9" s="1"/>
  <c r="DP295" i="9" s="1"/>
  <c r="AO18" i="9"/>
  <c r="AP18" i="9" s="1"/>
  <c r="AR18" i="9" s="1"/>
  <c r="AQ18" i="9"/>
  <c r="W18" i="9"/>
  <c r="AQ125" i="9"/>
  <c r="AO125" i="9"/>
  <c r="AP125" i="9" s="1"/>
  <c r="AR125" i="9" s="1"/>
  <c r="W125" i="9"/>
  <c r="Y125" i="9" s="1"/>
  <c r="EY217" i="9"/>
  <c r="EZ217" i="9" s="1"/>
  <c r="FB217" i="9" s="1"/>
  <c r="FA217" i="9"/>
  <c r="CT302" i="9"/>
  <c r="CU302" i="9" s="1"/>
  <c r="CW302" i="9" s="1"/>
  <c r="CV302" i="9"/>
  <c r="BJ37" i="9"/>
  <c r="BH37" i="9"/>
  <c r="BI37" i="9" s="1"/>
  <c r="BK37" i="9" s="1"/>
  <c r="BJ97" i="9"/>
  <c r="BH97" i="9"/>
  <c r="BI97" i="9" s="1"/>
  <c r="BK97" i="9" s="1"/>
  <c r="EY112" i="9"/>
  <c r="EZ112" i="9" s="1"/>
  <c r="FB112" i="9" s="1"/>
  <c r="FA112" i="9"/>
  <c r="CV93" i="9"/>
  <c r="CT93" i="9"/>
  <c r="CU93" i="9" s="1"/>
  <c r="CW93" i="9" s="1"/>
  <c r="DO132" i="9"/>
  <c r="DM132" i="9"/>
  <c r="DN132" i="9" s="1"/>
  <c r="DP132" i="9" s="1"/>
  <c r="EY146" i="9"/>
  <c r="EZ146" i="9" s="1"/>
  <c r="FB146" i="9" s="1"/>
  <c r="FA146" i="9"/>
  <c r="CA147" i="9"/>
  <c r="CB147" i="9" s="1"/>
  <c r="CD147" i="9" s="1"/>
  <c r="CC147" i="9"/>
  <c r="BJ173" i="9"/>
  <c r="BH173" i="9"/>
  <c r="BI173" i="9" s="1"/>
  <c r="BK173" i="9" s="1"/>
  <c r="CV184" i="9"/>
  <c r="CT184" i="9"/>
  <c r="CU184" i="9" s="1"/>
  <c r="CW184" i="9" s="1"/>
  <c r="EH218" i="9"/>
  <c r="EF218" i="9"/>
  <c r="EG218" i="9" s="1"/>
  <c r="EI218" i="9" s="1"/>
  <c r="BJ242" i="9"/>
  <c r="BH242" i="9"/>
  <c r="BI242" i="9" s="1"/>
  <c r="BK242" i="9" s="1"/>
  <c r="AQ212" i="9"/>
  <c r="AO212" i="9"/>
  <c r="AP212" i="9" s="1"/>
  <c r="AR212" i="9" s="1"/>
  <c r="W212" i="9"/>
  <c r="Y212" i="9" s="1"/>
  <c r="AQ251" i="9"/>
  <c r="AO251" i="9"/>
  <c r="AP251" i="9" s="1"/>
  <c r="AR251" i="9" s="1"/>
  <c r="W251" i="9"/>
  <c r="Y251" i="9" s="1"/>
  <c r="EH270" i="9"/>
  <c r="EF270" i="9"/>
  <c r="EG270" i="9" s="1"/>
  <c r="EI270" i="9" s="1"/>
  <c r="CC288" i="9"/>
  <c r="CA288" i="9"/>
  <c r="CB288" i="9" s="1"/>
  <c r="CD288" i="9" s="1"/>
  <c r="EH319" i="9"/>
  <c r="EF319" i="9"/>
  <c r="EG319" i="9" s="1"/>
  <c r="EI319" i="9" s="1"/>
  <c r="CC354" i="9"/>
  <c r="CA354" i="9"/>
  <c r="CB354" i="9" s="1"/>
  <c r="CD354" i="9" s="1"/>
  <c r="CA25" i="9"/>
  <c r="CB25" i="9" s="1"/>
  <c r="CD25" i="9" s="1"/>
  <c r="CC25" i="9"/>
  <c r="DO94" i="9"/>
  <c r="DM94" i="9"/>
  <c r="DN94" i="9" s="1"/>
  <c r="DP94" i="9" s="1"/>
  <c r="CV99" i="9"/>
  <c r="CT99" i="9"/>
  <c r="CU99" i="9" s="1"/>
  <c r="CW99" i="9" s="1"/>
  <c r="CC112" i="9"/>
  <c r="CA112" i="9"/>
  <c r="CB112" i="9" s="1"/>
  <c r="CD112" i="9" s="1"/>
  <c r="EH140" i="9"/>
  <c r="EF140" i="9"/>
  <c r="EG140" i="9" s="1"/>
  <c r="EI140" i="9" s="1"/>
  <c r="DO166" i="9"/>
  <c r="DM166" i="9"/>
  <c r="DN166" i="9" s="1"/>
  <c r="DP166" i="9" s="1"/>
  <c r="CV228" i="9"/>
  <c r="CT228" i="9"/>
  <c r="CU228" i="9" s="1"/>
  <c r="CW228" i="9" s="1"/>
  <c r="DO236" i="9"/>
  <c r="DM236" i="9"/>
  <c r="DN236" i="9" s="1"/>
  <c r="DP236" i="9" s="1"/>
  <c r="BJ247" i="9"/>
  <c r="BH247" i="9"/>
  <c r="BI247" i="9" s="1"/>
  <c r="BK247" i="9" s="1"/>
  <c r="CV247" i="9"/>
  <c r="CT247" i="9"/>
  <c r="CU247" i="9" s="1"/>
  <c r="CW247" i="9" s="1"/>
  <c r="BJ281" i="9"/>
  <c r="BH281" i="9"/>
  <c r="BI281" i="9" s="1"/>
  <c r="BK281" i="9" s="1"/>
  <c r="BJ278" i="9"/>
  <c r="BH278" i="9"/>
  <c r="BI278" i="9" s="1"/>
  <c r="BK278" i="9" s="1"/>
  <c r="DM291" i="9"/>
  <c r="DN291" i="9" s="1"/>
  <c r="DP291" i="9" s="1"/>
  <c r="DO291" i="9"/>
  <c r="CV22" i="9"/>
  <c r="CT22" i="9"/>
  <c r="CU22" i="9" s="1"/>
  <c r="CW22" i="9" s="1"/>
  <c r="DO136" i="9"/>
  <c r="DM136" i="9"/>
  <c r="DN136" i="9" s="1"/>
  <c r="DP136" i="9" s="1"/>
  <c r="CC279" i="9"/>
  <c r="CA279" i="9"/>
  <c r="CB279" i="9" s="1"/>
  <c r="CD279" i="9" s="1"/>
  <c r="EY29" i="9"/>
  <c r="EZ29" i="9" s="1"/>
  <c r="FB29" i="9" s="1"/>
  <c r="FA29" i="9"/>
  <c r="BJ45" i="9"/>
  <c r="BH45" i="9"/>
  <c r="BI45" i="9" s="1"/>
  <c r="BK45" i="9" s="1"/>
  <c r="CC46" i="9"/>
  <c r="CA46" i="9"/>
  <c r="CB46" i="9" s="1"/>
  <c r="CD46" i="9" s="1"/>
  <c r="AQ54" i="9"/>
  <c r="AO54" i="9"/>
  <c r="AP54" i="9" s="1"/>
  <c r="AR54" i="9" s="1"/>
  <c r="W54" i="9"/>
  <c r="Y54" i="9" s="1"/>
  <c r="AQ97" i="9"/>
  <c r="AO97" i="9"/>
  <c r="AP97" i="9" s="1"/>
  <c r="AR97" i="9" s="1"/>
  <c r="W97" i="9"/>
  <c r="Y97" i="9" s="1"/>
  <c r="BJ148" i="9"/>
  <c r="BH148" i="9"/>
  <c r="BI148" i="9" s="1"/>
  <c r="BK148" i="9" s="1"/>
  <c r="BJ149" i="9"/>
  <c r="BH149" i="9"/>
  <c r="BI149" i="9" s="1"/>
  <c r="BK149" i="9" s="1"/>
  <c r="DM168" i="9"/>
  <c r="DN168" i="9" s="1"/>
  <c r="DP168" i="9" s="1"/>
  <c r="DO168" i="9"/>
  <c r="FA176" i="9"/>
  <c r="EY176" i="9"/>
  <c r="EZ176" i="9" s="1"/>
  <c r="FB176" i="9" s="1"/>
  <c r="DM193" i="9"/>
  <c r="DN193" i="9" s="1"/>
  <c r="DP193" i="9" s="1"/>
  <c r="DO193" i="9"/>
  <c r="BH213" i="9"/>
  <c r="BI213" i="9" s="1"/>
  <c r="BK213" i="9" s="1"/>
  <c r="BJ213" i="9"/>
  <c r="AO216" i="9"/>
  <c r="AP216" i="9" s="1"/>
  <c r="AR216" i="9" s="1"/>
  <c r="AQ216" i="9"/>
  <c r="W216" i="9"/>
  <c r="Y216" i="9" s="1"/>
  <c r="CC220" i="9"/>
  <c r="CA220" i="9"/>
  <c r="CB220" i="9" s="1"/>
  <c r="CD220" i="9" s="1"/>
  <c r="EY222" i="9"/>
  <c r="EZ222" i="9" s="1"/>
  <c r="FB222" i="9" s="1"/>
  <c r="FA222" i="9"/>
  <c r="FA254" i="9"/>
  <c r="EY254" i="9"/>
  <c r="EZ254" i="9" s="1"/>
  <c r="FB254" i="9" s="1"/>
  <c r="DO268" i="9"/>
  <c r="DM268" i="9"/>
  <c r="DN268" i="9" s="1"/>
  <c r="DP268" i="9" s="1"/>
  <c r="BH248" i="9"/>
  <c r="BI248" i="9" s="1"/>
  <c r="BK248" i="9" s="1"/>
  <c r="BJ248" i="9"/>
  <c r="EH297" i="9"/>
  <c r="EF297" i="9"/>
  <c r="EG297" i="9" s="1"/>
  <c r="EI297" i="9" s="1"/>
  <c r="AO278" i="9"/>
  <c r="AP278" i="9" s="1"/>
  <c r="AR278" i="9" s="1"/>
  <c r="AQ278" i="9"/>
  <c r="W278" i="9"/>
  <c r="Y278" i="9" s="1"/>
  <c r="DO278" i="9"/>
  <c r="DM278" i="9"/>
  <c r="DN278" i="9" s="1"/>
  <c r="DP278" i="9" s="1"/>
  <c r="AO298" i="9"/>
  <c r="AP298" i="9" s="1"/>
  <c r="AR298" i="9" s="1"/>
  <c r="AQ298" i="9"/>
  <c r="W298" i="9"/>
  <c r="Y298" i="9" s="1"/>
  <c r="BJ309" i="9"/>
  <c r="BH309" i="9"/>
  <c r="BI309" i="9" s="1"/>
  <c r="BK309" i="9" s="1"/>
  <c r="CC67" i="9"/>
  <c r="CA67" i="9"/>
  <c r="CB67" i="9" s="1"/>
  <c r="CD67" i="9" s="1"/>
  <c r="FA58" i="9"/>
  <c r="EY58" i="9"/>
  <c r="EZ58" i="9" s="1"/>
  <c r="FB58" i="9" s="1"/>
  <c r="DM123" i="9"/>
  <c r="DN123" i="9" s="1"/>
  <c r="DP123" i="9" s="1"/>
  <c r="DO123" i="9"/>
  <c r="CC198" i="9"/>
  <c r="CA198" i="9"/>
  <c r="CB198" i="9" s="1"/>
  <c r="CD198" i="9" s="1"/>
  <c r="CC243" i="9"/>
  <c r="CA243" i="9"/>
  <c r="CB243" i="9" s="1"/>
  <c r="CD243" i="9" s="1"/>
  <c r="CV295" i="9"/>
  <c r="CT295" i="9"/>
  <c r="CU295" i="9" s="1"/>
  <c r="CW295" i="9" s="1"/>
  <c r="CT35" i="9"/>
  <c r="CU35" i="9" s="1"/>
  <c r="CW35" i="9" s="1"/>
  <c r="CV35" i="9"/>
  <c r="DO73" i="9"/>
  <c r="DM73" i="9"/>
  <c r="DN73" i="9" s="1"/>
  <c r="DP73" i="9" s="1"/>
  <c r="CT60" i="9"/>
  <c r="CU60" i="9" s="1"/>
  <c r="CW60" i="9" s="1"/>
  <c r="CV60" i="9"/>
  <c r="CV116" i="9"/>
  <c r="CT116" i="9"/>
  <c r="CU116" i="9" s="1"/>
  <c r="CW116" i="9" s="1"/>
  <c r="DO86" i="9"/>
  <c r="DM86" i="9"/>
  <c r="DN86" i="9" s="1"/>
  <c r="DP86" i="9" s="1"/>
  <c r="AO89" i="9"/>
  <c r="AP89" i="9" s="1"/>
  <c r="AR89" i="9" s="1"/>
  <c r="AQ89" i="9"/>
  <c r="W89" i="9"/>
  <c r="Y89" i="9" s="1"/>
  <c r="EF87" i="9"/>
  <c r="EG87" i="9" s="1"/>
  <c r="EI87" i="9" s="1"/>
  <c r="EH87" i="9"/>
  <c r="CV95" i="9"/>
  <c r="CT95" i="9"/>
  <c r="CU95" i="9" s="1"/>
  <c r="CW95" i="9" s="1"/>
  <c r="DO97" i="9"/>
  <c r="DM97" i="9"/>
  <c r="DN97" i="9" s="1"/>
  <c r="DP97" i="9" s="1"/>
  <c r="AQ107" i="9"/>
  <c r="AO107" i="9"/>
  <c r="AP107" i="9" s="1"/>
  <c r="AR107" i="9" s="1"/>
  <c r="W107" i="9"/>
  <c r="Y107" i="9" s="1"/>
  <c r="CC110" i="9"/>
  <c r="CA110" i="9"/>
  <c r="CB110" i="9" s="1"/>
  <c r="CD110" i="9" s="1"/>
  <c r="EH119" i="9"/>
  <c r="EF119" i="9"/>
  <c r="EG119" i="9" s="1"/>
  <c r="EI119" i="9" s="1"/>
  <c r="EH125" i="9"/>
  <c r="EF125" i="9"/>
  <c r="EG125" i="9" s="1"/>
  <c r="EI125" i="9" s="1"/>
  <c r="AQ175" i="9"/>
  <c r="AO175" i="9"/>
  <c r="AP175" i="9" s="1"/>
  <c r="AR175" i="9" s="1"/>
  <c r="W175" i="9"/>
  <c r="Y175" i="9" s="1"/>
  <c r="CV134" i="9"/>
  <c r="CT134" i="9"/>
  <c r="CU134" i="9" s="1"/>
  <c r="CW134" i="9" s="1"/>
  <c r="BJ134" i="9"/>
  <c r="BH134" i="9"/>
  <c r="BI134" i="9" s="1"/>
  <c r="BK134" i="9" s="1"/>
  <c r="CC160" i="9"/>
  <c r="CA160" i="9"/>
  <c r="CB160" i="9" s="1"/>
  <c r="CD160" i="9" s="1"/>
  <c r="AO160" i="9"/>
  <c r="AP160" i="9" s="1"/>
  <c r="AR160" i="9" s="1"/>
  <c r="AQ160" i="9"/>
  <c r="W160" i="9"/>
  <c r="Y160" i="9" s="1"/>
  <c r="BJ203" i="9"/>
  <c r="BH203" i="9"/>
  <c r="BI203" i="9" s="1"/>
  <c r="BK203" i="9" s="1"/>
  <c r="CV197" i="9"/>
  <c r="CT197" i="9"/>
  <c r="CU197" i="9" s="1"/>
  <c r="CW197" i="9" s="1"/>
  <c r="EF193" i="9"/>
  <c r="EG193" i="9" s="1"/>
  <c r="EI193" i="9" s="1"/>
  <c r="EH193" i="9"/>
  <c r="AO225" i="9"/>
  <c r="AP225" i="9" s="1"/>
  <c r="AR225" i="9" s="1"/>
  <c r="AQ225" i="9"/>
  <c r="W225" i="9"/>
  <c r="Y225" i="9" s="1"/>
  <c r="EF230" i="9"/>
  <c r="EG230" i="9" s="1"/>
  <c r="EI230" i="9" s="1"/>
  <c r="EH230" i="9"/>
  <c r="EH228" i="9"/>
  <c r="EF228" i="9"/>
  <c r="EG228" i="9" s="1"/>
  <c r="EI228" i="9" s="1"/>
  <c r="BJ241" i="9"/>
  <c r="BH241" i="9"/>
  <c r="BI241" i="9" s="1"/>
  <c r="BK241" i="9" s="1"/>
  <c r="CA240" i="9"/>
  <c r="CB240" i="9" s="1"/>
  <c r="CD240" i="9" s="1"/>
  <c r="CC240" i="9"/>
  <c r="FA257" i="9"/>
  <c r="EY257" i="9"/>
  <c r="EZ257" i="9" s="1"/>
  <c r="FB257" i="9" s="1"/>
  <c r="CA259" i="9"/>
  <c r="CB259" i="9" s="1"/>
  <c r="CD259" i="9" s="1"/>
  <c r="CC259" i="9"/>
  <c r="EF272" i="9"/>
  <c r="EG272" i="9" s="1"/>
  <c r="EI272" i="9" s="1"/>
  <c r="EH272" i="9"/>
  <c r="DO289" i="9"/>
  <c r="DM289" i="9"/>
  <c r="DN289" i="9" s="1"/>
  <c r="DP289" i="9" s="1"/>
  <c r="AQ301" i="9"/>
  <c r="AO301" i="9"/>
  <c r="AP301" i="9" s="1"/>
  <c r="AR301" i="9" s="1"/>
  <c r="W301" i="9"/>
  <c r="Y301" i="9" s="1"/>
  <c r="CV300" i="9"/>
  <c r="CT300" i="9"/>
  <c r="CU300" i="9" s="1"/>
  <c r="CW300" i="9" s="1"/>
  <c r="AQ344" i="9"/>
  <c r="AO344" i="9"/>
  <c r="AP344" i="9" s="1"/>
  <c r="AR344" i="9" s="1"/>
  <c r="W344" i="9"/>
  <c r="Y344" i="9" s="1"/>
  <c r="BJ31" i="9"/>
  <c r="BH31" i="9"/>
  <c r="BI31" i="9" s="1"/>
  <c r="BK31" i="9" s="1"/>
  <c r="DM50" i="9"/>
  <c r="DN50" i="9" s="1"/>
  <c r="DP50" i="9" s="1"/>
  <c r="DO50" i="9"/>
  <c r="DO162" i="9"/>
  <c r="DM162" i="9"/>
  <c r="DN162" i="9" s="1"/>
  <c r="DP162" i="9" s="1"/>
  <c r="DO192" i="9"/>
  <c r="DM192" i="9"/>
  <c r="DN192" i="9" s="1"/>
  <c r="DP192" i="9" s="1"/>
  <c r="AO265" i="9"/>
  <c r="AP265" i="9" s="1"/>
  <c r="AR265" i="9" s="1"/>
  <c r="AQ265" i="9"/>
  <c r="W265" i="9"/>
  <c r="Y265" i="9" s="1"/>
  <c r="EY312" i="9"/>
  <c r="EZ312" i="9" s="1"/>
  <c r="FB312" i="9" s="1"/>
  <c r="FA312" i="9"/>
  <c r="FA20" i="9"/>
  <c r="EY20" i="9"/>
  <c r="EZ20" i="9" s="1"/>
  <c r="FB20" i="9" s="1"/>
  <c r="DM55" i="9"/>
  <c r="DN55" i="9" s="1"/>
  <c r="DP55" i="9" s="1"/>
  <c r="DO55" i="9"/>
  <c r="BJ16" i="9"/>
  <c r="BH16" i="9"/>
  <c r="BI16" i="9" s="1"/>
  <c r="BK16" i="9" s="1"/>
  <c r="CT82" i="9"/>
  <c r="CU82" i="9" s="1"/>
  <c r="CW82" i="9" s="1"/>
  <c r="CV82" i="9"/>
  <c r="AQ80" i="9"/>
  <c r="AO80" i="9"/>
  <c r="AP80" i="9" s="1"/>
  <c r="AR80" i="9" s="1"/>
  <c r="W80" i="9"/>
  <c r="Y80" i="9" s="1"/>
  <c r="CC85" i="9"/>
  <c r="CA85" i="9"/>
  <c r="CB85" i="9" s="1"/>
  <c r="CD85" i="9" s="1"/>
  <c r="EY88" i="9"/>
  <c r="EZ88" i="9" s="1"/>
  <c r="FB88" i="9" s="1"/>
  <c r="FA88" i="9"/>
  <c r="CT100" i="9"/>
  <c r="CU100" i="9" s="1"/>
  <c r="CW100" i="9" s="1"/>
  <c r="CV100" i="9"/>
  <c r="EH103" i="9"/>
  <c r="EF103" i="9"/>
  <c r="EG103" i="9" s="1"/>
  <c r="EI103" i="9" s="1"/>
  <c r="AO164" i="9"/>
  <c r="AP164" i="9" s="1"/>
  <c r="AR164" i="9" s="1"/>
  <c r="AQ164" i="9"/>
  <c r="W164" i="9"/>
  <c r="Y164" i="9" s="1"/>
  <c r="CT147" i="9"/>
  <c r="CU147" i="9" s="1"/>
  <c r="CW147" i="9" s="1"/>
  <c r="CV147" i="9"/>
  <c r="EY158" i="9"/>
  <c r="EZ158" i="9" s="1"/>
  <c r="FB158" i="9" s="1"/>
  <c r="FA158" i="9"/>
  <c r="CT160" i="9"/>
  <c r="CU160" i="9" s="1"/>
  <c r="CW160" i="9" s="1"/>
  <c r="CV160" i="9"/>
  <c r="BH167" i="9"/>
  <c r="BI167" i="9" s="1"/>
  <c r="BK167" i="9" s="1"/>
  <c r="BJ167" i="9"/>
  <c r="EF153" i="9"/>
  <c r="EG153" i="9" s="1"/>
  <c r="EI153" i="9" s="1"/>
  <c r="EH153" i="9"/>
  <c r="CV153" i="9"/>
  <c r="CT153" i="9"/>
  <c r="CU153" i="9" s="1"/>
  <c r="CW153" i="9" s="1"/>
  <c r="DM196" i="9"/>
  <c r="DN196" i="9" s="1"/>
  <c r="DP196" i="9" s="1"/>
  <c r="DO196" i="9"/>
  <c r="CA196" i="9"/>
  <c r="CB196" i="9" s="1"/>
  <c r="CD196" i="9" s="1"/>
  <c r="CC196" i="9"/>
  <c r="EY190" i="9"/>
  <c r="EZ190" i="9" s="1"/>
  <c r="FB190" i="9" s="1"/>
  <c r="FA190" i="9"/>
  <c r="AO186" i="9"/>
  <c r="AP186" i="9" s="1"/>
  <c r="AR186" i="9" s="1"/>
  <c r="AQ186" i="9"/>
  <c r="W186" i="9"/>
  <c r="Y186" i="9" s="1"/>
  <c r="CV218" i="9"/>
  <c r="CT218" i="9"/>
  <c r="CU218" i="9" s="1"/>
  <c r="CW218" i="9" s="1"/>
  <c r="AO223" i="9"/>
  <c r="AP223" i="9" s="1"/>
  <c r="AR223" i="9" s="1"/>
  <c r="AQ223" i="9"/>
  <c r="W223" i="9"/>
  <c r="Y223" i="9" s="1"/>
  <c r="AQ221" i="9"/>
  <c r="AO221" i="9"/>
  <c r="AP221" i="9" s="1"/>
  <c r="AR221" i="9" s="1"/>
  <c r="W221" i="9"/>
  <c r="Y221" i="9" s="1"/>
  <c r="CA263" i="9"/>
  <c r="CB263" i="9" s="1"/>
  <c r="CD263" i="9" s="1"/>
  <c r="CC263" i="9"/>
  <c r="CV253" i="9"/>
  <c r="CT253" i="9"/>
  <c r="CU253" i="9" s="1"/>
  <c r="CW253" i="9" s="1"/>
  <c r="BH250" i="9"/>
  <c r="BI250" i="9" s="1"/>
  <c r="BK250" i="9" s="1"/>
  <c r="BJ250" i="9"/>
  <c r="EY264" i="9"/>
  <c r="EZ264" i="9" s="1"/>
  <c r="FB264" i="9" s="1"/>
  <c r="FA264" i="9"/>
  <c r="CC264" i="9"/>
  <c r="CA264" i="9"/>
  <c r="CB264" i="9" s="1"/>
  <c r="CD264" i="9" s="1"/>
  <c r="BJ293" i="9"/>
  <c r="BH293" i="9"/>
  <c r="BI293" i="9" s="1"/>
  <c r="BK293" i="9" s="1"/>
  <c r="CA296" i="9"/>
  <c r="CB296" i="9" s="1"/>
  <c r="CD296" i="9" s="1"/>
  <c r="CC296" i="9"/>
  <c r="CC294" i="9"/>
  <c r="CA294" i="9"/>
  <c r="CB294" i="9" s="1"/>
  <c r="CD294" i="9" s="1"/>
  <c r="EF307" i="9"/>
  <c r="EG307" i="9" s="1"/>
  <c r="EI307" i="9" s="1"/>
  <c r="EH307" i="9"/>
  <c r="FA305" i="9"/>
  <c r="EY305" i="9"/>
  <c r="EZ305" i="9" s="1"/>
  <c r="FB305" i="9" s="1"/>
  <c r="AO342" i="9"/>
  <c r="AP342" i="9" s="1"/>
  <c r="AR342" i="9" s="1"/>
  <c r="AQ342" i="9"/>
  <c r="W342" i="9"/>
  <c r="Y342" i="9" s="1"/>
  <c r="AQ29" i="9"/>
  <c r="AO29" i="9"/>
  <c r="AP29" i="9" s="1"/>
  <c r="AR29" i="9" s="1"/>
  <c r="W29" i="9"/>
  <c r="Y29" i="9" s="1"/>
  <c r="EF99" i="9"/>
  <c r="EG99" i="9" s="1"/>
  <c r="EI99" i="9" s="1"/>
  <c r="EH99" i="9"/>
  <c r="EH154" i="9"/>
  <c r="EF154" i="9"/>
  <c r="EG154" i="9" s="1"/>
  <c r="EI154" i="9" s="1"/>
  <c r="EY188" i="9"/>
  <c r="EZ188" i="9" s="1"/>
  <c r="FB188" i="9" s="1"/>
  <c r="FA188" i="9"/>
  <c r="CT262" i="9"/>
  <c r="CU262" i="9" s="1"/>
  <c r="CW262" i="9" s="1"/>
  <c r="CV262" i="9"/>
  <c r="CC358" i="9"/>
  <c r="CA358" i="9"/>
  <c r="CB358" i="9" s="1"/>
  <c r="CD358" i="9" s="1"/>
  <c r="BJ104" i="9"/>
  <c r="BH104" i="9"/>
  <c r="BI104" i="9" s="1"/>
  <c r="BK104" i="9" s="1"/>
  <c r="DM47" i="9"/>
  <c r="DN47" i="9" s="1"/>
  <c r="DP47" i="9" s="1"/>
  <c r="DO47" i="9"/>
  <c r="EY54" i="9"/>
  <c r="EZ54" i="9" s="1"/>
  <c r="FB54" i="9" s="1"/>
  <c r="FA54" i="9"/>
  <c r="CA64" i="9"/>
  <c r="CB64" i="9" s="1"/>
  <c r="CD64" i="9" s="1"/>
  <c r="CC64" i="9"/>
  <c r="FA67" i="9"/>
  <c r="EY67" i="9"/>
  <c r="EZ67" i="9" s="1"/>
  <c r="FB67" i="9" s="1"/>
  <c r="CV65" i="9"/>
  <c r="CT65" i="9"/>
  <c r="CU65" i="9" s="1"/>
  <c r="CW65" i="9" s="1"/>
  <c r="EH70" i="9"/>
  <c r="EF70" i="9"/>
  <c r="EG70" i="9" s="1"/>
  <c r="EI70" i="9" s="1"/>
  <c r="BH73" i="9"/>
  <c r="BI73" i="9" s="1"/>
  <c r="BK73" i="9" s="1"/>
  <c r="BJ73" i="9"/>
  <c r="CV131" i="9"/>
  <c r="CT131" i="9"/>
  <c r="CU131" i="9" s="1"/>
  <c r="CW131" i="9" s="1"/>
  <c r="BJ118" i="9"/>
  <c r="BH118" i="9"/>
  <c r="BI118" i="9" s="1"/>
  <c r="BK118" i="9" s="1"/>
  <c r="EY131" i="9"/>
  <c r="EZ131" i="9" s="1"/>
  <c r="FB131" i="9" s="1"/>
  <c r="FA131" i="9"/>
  <c r="BJ122" i="9"/>
  <c r="BH122" i="9"/>
  <c r="BI122" i="9" s="1"/>
  <c r="BK122" i="9" s="1"/>
  <c r="EH132" i="9"/>
  <c r="EF132" i="9"/>
  <c r="EG132" i="9" s="1"/>
  <c r="EI132" i="9" s="1"/>
  <c r="CA141" i="9"/>
  <c r="CB141" i="9" s="1"/>
  <c r="CD141" i="9" s="1"/>
  <c r="CC141" i="9"/>
  <c r="BH143" i="9"/>
  <c r="BI143" i="9" s="1"/>
  <c r="BK143" i="9" s="1"/>
  <c r="BJ143" i="9"/>
  <c r="CA169" i="9"/>
  <c r="CB169" i="9" s="1"/>
  <c r="CD169" i="9" s="1"/>
  <c r="CC169" i="9"/>
  <c r="CV170" i="9"/>
  <c r="CT170" i="9"/>
  <c r="CU170" i="9" s="1"/>
  <c r="CW170" i="9" s="1"/>
  <c r="EH181" i="9"/>
  <c r="EF181" i="9"/>
  <c r="EG181" i="9" s="1"/>
  <c r="EI181" i="9" s="1"/>
  <c r="BJ230" i="9"/>
  <c r="BH230" i="9"/>
  <c r="BI230" i="9" s="1"/>
  <c r="BK230" i="9" s="1"/>
  <c r="EH202" i="9"/>
  <c r="EF202" i="9"/>
  <c r="EG202" i="9" s="1"/>
  <c r="EI202" i="9" s="1"/>
  <c r="CA232" i="9"/>
  <c r="CB232" i="9" s="1"/>
  <c r="CD232" i="9" s="1"/>
  <c r="CC232" i="9"/>
  <c r="CV240" i="9"/>
  <c r="CT240" i="9"/>
  <c r="CU240" i="9" s="1"/>
  <c r="CW240" i="9" s="1"/>
  <c r="AQ258" i="9"/>
  <c r="AO258" i="9"/>
  <c r="AP258" i="9" s="1"/>
  <c r="AR258" i="9" s="1"/>
  <c r="W258" i="9"/>
  <c r="Y258" i="9" s="1"/>
  <c r="FA242" i="9"/>
  <c r="EY242" i="9"/>
  <c r="EZ242" i="9" s="1"/>
  <c r="FB242" i="9" s="1"/>
  <c r="AQ235" i="9"/>
  <c r="AO235" i="9"/>
  <c r="AP235" i="9" s="1"/>
  <c r="AR235" i="9" s="1"/>
  <c r="W235" i="9"/>
  <c r="Y235" i="9" s="1"/>
  <c r="FA250" i="9"/>
  <c r="EY250" i="9"/>
  <c r="EZ250" i="9" s="1"/>
  <c r="FB250" i="9" s="1"/>
  <c r="CV264" i="9"/>
  <c r="CT264" i="9"/>
  <c r="CU264" i="9" s="1"/>
  <c r="CW264" i="9" s="1"/>
  <c r="DO263" i="9"/>
  <c r="DM263" i="9"/>
  <c r="DN263" i="9" s="1"/>
  <c r="DP263" i="9" s="1"/>
  <c r="EH289" i="9"/>
  <c r="EF289" i="9"/>
  <c r="EG289" i="9" s="1"/>
  <c r="EI289" i="9" s="1"/>
  <c r="EF290" i="9"/>
  <c r="EG290" i="9" s="1"/>
  <c r="EI290" i="9" s="1"/>
  <c r="EH290" i="9"/>
  <c r="BH292" i="9"/>
  <c r="BI292" i="9" s="1"/>
  <c r="BK292" i="9" s="1"/>
  <c r="BJ292" i="9"/>
  <c r="DM297" i="9"/>
  <c r="DN297" i="9" s="1"/>
  <c r="DP297" i="9" s="1"/>
  <c r="DO297" i="9"/>
  <c r="DO300" i="9"/>
  <c r="DM300" i="9"/>
  <c r="DN300" i="9" s="1"/>
  <c r="DP300" i="9" s="1"/>
  <c r="CV320" i="9"/>
  <c r="CT320" i="9"/>
  <c r="CU320" i="9" s="1"/>
  <c r="CW320" i="9" s="1"/>
  <c r="EY321" i="9"/>
  <c r="EZ321" i="9" s="1"/>
  <c r="FB321" i="9" s="1"/>
  <c r="FA321" i="9"/>
  <c r="EF330" i="9"/>
  <c r="EG330" i="9" s="1"/>
  <c r="EI330" i="9" s="1"/>
  <c r="EH330" i="9"/>
  <c r="EY333" i="9"/>
  <c r="EZ333" i="9" s="1"/>
  <c r="FB333" i="9" s="1"/>
  <c r="FA333" i="9"/>
  <c r="FA347" i="9"/>
  <c r="EY347" i="9"/>
  <c r="EZ347" i="9" s="1"/>
  <c r="FB347" i="9" s="1"/>
  <c r="FA351" i="9"/>
  <c r="EY351" i="9"/>
  <c r="EZ351" i="9" s="1"/>
  <c r="FB351" i="9" s="1"/>
  <c r="CA361" i="9"/>
  <c r="CB361" i="9" s="1"/>
  <c r="CD361" i="9" s="1"/>
  <c r="CC361" i="9"/>
  <c r="CV321" i="9"/>
  <c r="CT321" i="9"/>
  <c r="CU321" i="9" s="1"/>
  <c r="CW321" i="9" s="1"/>
  <c r="CV331" i="9"/>
  <c r="CT331" i="9"/>
  <c r="CU331" i="9" s="1"/>
  <c r="CW331" i="9" s="1"/>
  <c r="CC330" i="9"/>
  <c r="CA330" i="9"/>
  <c r="CB330" i="9" s="1"/>
  <c r="CD330" i="9" s="1"/>
  <c r="CT348" i="9"/>
  <c r="CU348" i="9" s="1"/>
  <c r="CW348" i="9" s="1"/>
  <c r="CV348" i="9"/>
  <c r="AO350" i="9"/>
  <c r="AP350" i="9" s="1"/>
  <c r="AR350" i="9" s="1"/>
  <c r="AQ350" i="9"/>
  <c r="W350" i="9"/>
  <c r="Y350" i="9" s="1"/>
  <c r="BJ323" i="9"/>
  <c r="BH323" i="9"/>
  <c r="BI323" i="9" s="1"/>
  <c r="BK323" i="9" s="1"/>
  <c r="CV338" i="9"/>
  <c r="CT338" i="9"/>
  <c r="CU338" i="9" s="1"/>
  <c r="CW338" i="9" s="1"/>
  <c r="EH331" i="9"/>
  <c r="EF331" i="9"/>
  <c r="EG331" i="9" s="1"/>
  <c r="EI331" i="9" s="1"/>
  <c r="AQ340" i="9"/>
  <c r="AO340" i="9"/>
  <c r="AP340" i="9" s="1"/>
  <c r="AR340" i="9" s="1"/>
  <c r="W340" i="9"/>
  <c r="Y340" i="9" s="1"/>
  <c r="CV351" i="9"/>
  <c r="CT351" i="9"/>
  <c r="CU351" i="9" s="1"/>
  <c r="CW351" i="9" s="1"/>
  <c r="CT362" i="9"/>
  <c r="CU362" i="9" s="1"/>
  <c r="CW362" i="9" s="1"/>
  <c r="CV362" i="9"/>
  <c r="EF67" i="9"/>
  <c r="EG67" i="9" s="1"/>
  <c r="EI67" i="9" s="1"/>
  <c r="EH67" i="9"/>
  <c r="DO327" i="9"/>
  <c r="DM327" i="9"/>
  <c r="DN327" i="9" s="1"/>
  <c r="DP327" i="9" s="1"/>
  <c r="CC337" i="9"/>
  <c r="CA337" i="9"/>
  <c r="CB337" i="9" s="1"/>
  <c r="CD337" i="9" s="1"/>
  <c r="FA350" i="9"/>
  <c r="EY350" i="9"/>
  <c r="EZ350" i="9" s="1"/>
  <c r="FB350" i="9" s="1"/>
  <c r="BH357" i="9"/>
  <c r="BI357" i="9" s="1"/>
  <c r="BK357" i="9" s="1"/>
  <c r="BJ357" i="9"/>
  <c r="FA55" i="9"/>
  <c r="EY55" i="9"/>
  <c r="EZ55" i="9" s="1"/>
  <c r="FB55" i="9" s="1"/>
  <c r="BH328" i="9"/>
  <c r="BI328" i="9" s="1"/>
  <c r="BK328" i="9" s="1"/>
  <c r="BJ328" i="9"/>
  <c r="DO340" i="9"/>
  <c r="DM340" i="9"/>
  <c r="DN340" i="9" s="1"/>
  <c r="DP340" i="9" s="1"/>
  <c r="BJ349" i="9"/>
  <c r="BH349" i="9"/>
  <c r="BI349" i="9" s="1"/>
  <c r="BK349" i="9" s="1"/>
  <c r="CA353" i="9"/>
  <c r="CB353" i="9" s="1"/>
  <c r="CD353" i="9" s="1"/>
  <c r="CC353" i="9"/>
  <c r="FA86" i="9"/>
  <c r="EY86" i="9"/>
  <c r="EZ86" i="9" s="1"/>
  <c r="FB86" i="9" s="1"/>
  <c r="BJ331" i="9"/>
  <c r="BH331" i="9"/>
  <c r="BI331" i="9" s="1"/>
  <c r="BK331" i="9" s="1"/>
  <c r="CT332" i="9"/>
  <c r="CU332" i="9" s="1"/>
  <c r="CW332" i="9" s="1"/>
  <c r="CV332" i="9"/>
  <c r="EH346" i="9"/>
  <c r="EF346" i="9"/>
  <c r="EG346" i="9" s="1"/>
  <c r="EI346" i="9" s="1"/>
  <c r="EF352" i="9"/>
  <c r="EG352" i="9" s="1"/>
  <c r="EI352" i="9" s="1"/>
  <c r="EH352" i="9"/>
  <c r="CV363" i="9"/>
  <c r="CT363" i="9"/>
  <c r="CU363" i="9" s="1"/>
  <c r="CW363" i="9" s="1"/>
  <c r="BJ317" i="9"/>
  <c r="BH317" i="9"/>
  <c r="BI317" i="9" s="1"/>
  <c r="BK317" i="9" s="1"/>
  <c r="CC327" i="9"/>
  <c r="CA327" i="9"/>
  <c r="CB327" i="9" s="1"/>
  <c r="CD327" i="9" s="1"/>
  <c r="FA343" i="9"/>
  <c r="EY343" i="9"/>
  <c r="EZ343" i="9" s="1"/>
  <c r="FB343" i="9" s="1"/>
  <c r="EH350" i="9"/>
  <c r="EF350" i="9"/>
  <c r="EG350" i="9" s="1"/>
  <c r="EI350" i="9" s="1"/>
  <c r="BJ358" i="9"/>
  <c r="BH358" i="9"/>
  <c r="BI358" i="9" s="1"/>
  <c r="BK358" i="9" s="1"/>
  <c r="AO39" i="9"/>
  <c r="AP39" i="9" s="1"/>
  <c r="AR39" i="9" s="1"/>
  <c r="AQ39" i="9"/>
  <c r="W39" i="9"/>
  <c r="Y39" i="9" s="1"/>
  <c r="DO49" i="9"/>
  <c r="DM49" i="9"/>
  <c r="DN49" i="9" s="1"/>
  <c r="DP49" i="9" s="1"/>
  <c r="EF50" i="9"/>
  <c r="EG50" i="9" s="1"/>
  <c r="EI50" i="9" s="1"/>
  <c r="EH50" i="9"/>
  <c r="CC51" i="9"/>
  <c r="CA51" i="9"/>
  <c r="CB51" i="9" s="1"/>
  <c r="CD51" i="9" s="1"/>
  <c r="CA73" i="9"/>
  <c r="CB73" i="9" s="1"/>
  <c r="CD73" i="9" s="1"/>
  <c r="CC73" i="9"/>
  <c r="DM87" i="9"/>
  <c r="DN87" i="9" s="1"/>
  <c r="DP87" i="9" s="1"/>
  <c r="DO87" i="9"/>
  <c r="FA33" i="9"/>
  <c r="EY33" i="9"/>
  <c r="EZ33" i="9" s="1"/>
  <c r="FB33" i="9" s="1"/>
  <c r="CA28" i="9"/>
  <c r="CB28" i="9" s="1"/>
  <c r="CD28" i="9" s="1"/>
  <c r="CC28" i="9"/>
  <c r="CV25" i="9"/>
  <c r="CT25" i="9"/>
  <c r="CU25" i="9" s="1"/>
  <c r="CW25" i="9" s="1"/>
  <c r="CV41" i="9"/>
  <c r="CT41" i="9"/>
  <c r="CU41" i="9" s="1"/>
  <c r="CW41" i="9" s="1"/>
  <c r="AQ24" i="9"/>
  <c r="AO24" i="9"/>
  <c r="AP24" i="9" s="1"/>
  <c r="AR24" i="9" s="1"/>
  <c r="W24" i="9"/>
  <c r="EF43" i="9"/>
  <c r="EG43" i="9" s="1"/>
  <c r="EI43" i="9" s="1"/>
  <c r="EH43" i="9"/>
  <c r="EH37" i="9"/>
  <c r="EF37" i="9"/>
  <c r="EG37" i="9" s="1"/>
  <c r="EI37" i="9" s="1"/>
  <c r="DO18" i="9"/>
  <c r="DM18" i="9"/>
  <c r="DN18" i="9" s="1"/>
  <c r="DP18" i="9" s="1"/>
  <c r="FA40" i="9"/>
  <c r="EY40" i="9"/>
  <c r="EZ40" i="9" s="1"/>
  <c r="FB40" i="9" s="1"/>
  <c r="CT20" i="9"/>
  <c r="CU20" i="9" s="1"/>
  <c r="CW20" i="9" s="1"/>
  <c r="CV20" i="9"/>
  <c r="CV33" i="9"/>
  <c r="CT33" i="9"/>
  <c r="CU33" i="9" s="1"/>
  <c r="CW33" i="9" s="1"/>
  <c r="CC14" i="9"/>
  <c r="CA14" i="9"/>
  <c r="CB14" i="9" s="1"/>
  <c r="CD14" i="9" s="1"/>
  <c r="BJ28" i="9"/>
  <c r="BH28" i="9"/>
  <c r="BI28" i="9" s="1"/>
  <c r="BK28" i="9" s="1"/>
  <c r="CA34" i="12"/>
  <c r="CB34" i="12" s="1"/>
  <c r="CD34" i="12" s="1"/>
  <c r="CC34" i="12"/>
  <c r="CA38" i="12"/>
  <c r="CB38" i="12" s="1"/>
  <c r="CD38" i="12" s="1"/>
  <c r="CC38" i="12"/>
  <c r="CC297" i="12"/>
  <c r="CA297" i="12"/>
  <c r="CB297" i="12" s="1"/>
  <c r="CD297" i="12" s="1"/>
  <c r="AQ94" i="12"/>
  <c r="AO94" i="12"/>
  <c r="AP94" i="12" s="1"/>
  <c r="AR94" i="12" s="1"/>
  <c r="W94" i="12"/>
  <c r="Y94" i="12" s="1"/>
  <c r="BJ35" i="12"/>
  <c r="BH35" i="12"/>
  <c r="BI35" i="12" s="1"/>
  <c r="BK35" i="12" s="1"/>
  <c r="EH63" i="12"/>
  <c r="EF63" i="12"/>
  <c r="EG63" i="12" s="1"/>
  <c r="EI63" i="12" s="1"/>
  <c r="FA255" i="12"/>
  <c r="EY255" i="12"/>
  <c r="EZ255" i="12" s="1"/>
  <c r="FB255" i="12" s="1"/>
  <c r="BJ53" i="12"/>
  <c r="BH53" i="12"/>
  <c r="BI53" i="12" s="1"/>
  <c r="BK53" i="12" s="1"/>
  <c r="CA64" i="12"/>
  <c r="CB64" i="12" s="1"/>
  <c r="CD64" i="12" s="1"/>
  <c r="CC64" i="12"/>
  <c r="CT18" i="12"/>
  <c r="CU18" i="12" s="1"/>
  <c r="CW18" i="12" s="1"/>
  <c r="CV18" i="12"/>
  <c r="CC134" i="12"/>
  <c r="CA134" i="12"/>
  <c r="CB134" i="12" s="1"/>
  <c r="CD134" i="12" s="1"/>
  <c r="FA27" i="12"/>
  <c r="EY27" i="12"/>
  <c r="EZ27" i="12" s="1"/>
  <c r="FB27" i="12" s="1"/>
  <c r="DO66" i="12"/>
  <c r="DM66" i="12"/>
  <c r="DN66" i="12" s="1"/>
  <c r="DP66" i="12" s="1"/>
  <c r="FA50" i="12"/>
  <c r="EY50" i="12"/>
  <c r="EZ50" i="12" s="1"/>
  <c r="FB50" i="12" s="1"/>
  <c r="EY45" i="12"/>
  <c r="EZ45" i="12" s="1"/>
  <c r="FB45" i="12" s="1"/>
  <c r="FA45" i="12"/>
  <c r="EH39" i="12"/>
  <c r="EF39" i="12"/>
  <c r="EG39" i="12" s="1"/>
  <c r="EI39" i="12" s="1"/>
  <c r="EH58" i="12"/>
  <c r="EF58" i="12"/>
  <c r="EG58" i="12" s="1"/>
  <c r="EI58" i="12" s="1"/>
  <c r="CC88" i="12"/>
  <c r="CA88" i="12"/>
  <c r="CB88" i="12" s="1"/>
  <c r="CD88" i="12" s="1"/>
  <c r="EF151" i="12"/>
  <c r="EG151" i="12" s="1"/>
  <c r="EI151" i="12" s="1"/>
  <c r="EH151" i="12"/>
  <c r="CA176" i="12"/>
  <c r="CB176" i="12" s="1"/>
  <c r="CD176" i="12" s="1"/>
  <c r="CC176" i="12"/>
  <c r="FA259" i="12"/>
  <c r="EY259" i="12"/>
  <c r="EZ259" i="12" s="1"/>
  <c r="FB259" i="12" s="1"/>
  <c r="CV329" i="12"/>
  <c r="CT329" i="12"/>
  <c r="CU329" i="12" s="1"/>
  <c r="CW329" i="12" s="1"/>
  <c r="EH59" i="12"/>
  <c r="EF59" i="12"/>
  <c r="EG59" i="12" s="1"/>
  <c r="EI59" i="12" s="1"/>
  <c r="CV43" i="12"/>
  <c r="CT43" i="12"/>
  <c r="CU43" i="12" s="1"/>
  <c r="CW43" i="12" s="1"/>
  <c r="CT38" i="12"/>
  <c r="CU38" i="12" s="1"/>
  <c r="CW38" i="12" s="1"/>
  <c r="CV38" i="12"/>
  <c r="CC32" i="12"/>
  <c r="CA32" i="12"/>
  <c r="CB32" i="12" s="1"/>
  <c r="CD32" i="12" s="1"/>
  <c r="CC51" i="12"/>
  <c r="CA51" i="12"/>
  <c r="CB51" i="12" s="1"/>
  <c r="CD51" i="12" s="1"/>
  <c r="CV84" i="12"/>
  <c r="CT84" i="12"/>
  <c r="CU84" i="12" s="1"/>
  <c r="CW84" i="12" s="1"/>
  <c r="AO102" i="12"/>
  <c r="AP102" i="12" s="1"/>
  <c r="AR102" i="12" s="1"/>
  <c r="AQ102" i="12"/>
  <c r="W102" i="12"/>
  <c r="Y102" i="12" s="1"/>
  <c r="BJ207" i="12"/>
  <c r="BH207" i="12"/>
  <c r="BI207" i="12" s="1"/>
  <c r="BK207" i="12" s="1"/>
  <c r="EH249" i="12"/>
  <c r="EF249" i="12"/>
  <c r="EG249" i="12" s="1"/>
  <c r="EI249" i="12" s="1"/>
  <c r="DM304" i="12"/>
  <c r="DN304" i="12" s="1"/>
  <c r="DP304" i="12" s="1"/>
  <c r="DO304" i="12"/>
  <c r="EF20" i="12"/>
  <c r="EG20" i="12" s="1"/>
  <c r="EI20" i="12" s="1"/>
  <c r="EH20" i="12"/>
  <c r="FA28" i="12"/>
  <c r="EY28" i="12"/>
  <c r="EZ28" i="12" s="1"/>
  <c r="FB28" i="12" s="1"/>
  <c r="CV108" i="12"/>
  <c r="CT108" i="12"/>
  <c r="CU108" i="12" s="1"/>
  <c r="CW108" i="12" s="1"/>
  <c r="EY79" i="12"/>
  <c r="EZ79" i="12" s="1"/>
  <c r="FB79" i="12" s="1"/>
  <c r="FA79" i="12"/>
  <c r="FA105" i="12"/>
  <c r="EY105" i="12"/>
  <c r="EZ105" i="12" s="1"/>
  <c r="FB105" i="12" s="1"/>
  <c r="EF205" i="12"/>
  <c r="EG205" i="12" s="1"/>
  <c r="EI205" i="12" s="1"/>
  <c r="EH205" i="12"/>
  <c r="EH222" i="12"/>
  <c r="EF222" i="12"/>
  <c r="EG222" i="12" s="1"/>
  <c r="EI222" i="12" s="1"/>
  <c r="CA296" i="12"/>
  <c r="CB296" i="12" s="1"/>
  <c r="CD296" i="12" s="1"/>
  <c r="CC296" i="12"/>
  <c r="EY362" i="12"/>
  <c r="EZ362" i="12" s="1"/>
  <c r="FB362" i="12" s="1"/>
  <c r="FA362" i="12"/>
  <c r="AQ45" i="12"/>
  <c r="AO45" i="12"/>
  <c r="AP45" i="12" s="1"/>
  <c r="AR45" i="12" s="1"/>
  <c r="W45" i="12"/>
  <c r="Y45" i="12" s="1"/>
  <c r="AQ36" i="12"/>
  <c r="AO36" i="12"/>
  <c r="AP36" i="12" s="1"/>
  <c r="AR36" i="12" s="1"/>
  <c r="W36" i="12"/>
  <c r="Y36" i="12" s="1"/>
  <c r="AQ31" i="12"/>
  <c r="AO31" i="12"/>
  <c r="AP31" i="12" s="1"/>
  <c r="AR31" i="12" s="1"/>
  <c r="W31" i="12"/>
  <c r="Y31" i="12" s="1"/>
  <c r="CV25" i="12"/>
  <c r="CT25" i="12"/>
  <c r="CU25" i="12" s="1"/>
  <c r="CW25" i="12" s="1"/>
  <c r="FA87" i="12"/>
  <c r="EY87" i="12"/>
  <c r="EZ87" i="12" s="1"/>
  <c r="FB87" i="12" s="1"/>
  <c r="CV76" i="12"/>
  <c r="CT76" i="12"/>
  <c r="CU76" i="12" s="1"/>
  <c r="CW76" i="12" s="1"/>
  <c r="EH112" i="12"/>
  <c r="EF112" i="12"/>
  <c r="EG112" i="12" s="1"/>
  <c r="EI112" i="12" s="1"/>
  <c r="EY179" i="12"/>
  <c r="EZ179" i="12" s="1"/>
  <c r="FB179" i="12" s="1"/>
  <c r="FA179" i="12"/>
  <c r="AO245" i="12"/>
  <c r="AP245" i="12" s="1"/>
  <c r="AR245" i="12" s="1"/>
  <c r="AQ245" i="12"/>
  <c r="W245" i="12"/>
  <c r="Y245" i="12" s="1"/>
  <c r="FA284" i="12"/>
  <c r="EY284" i="12"/>
  <c r="EZ284" i="12" s="1"/>
  <c r="FB284" i="12" s="1"/>
  <c r="EF355" i="12"/>
  <c r="EG355" i="12" s="1"/>
  <c r="EI355" i="12" s="1"/>
  <c r="EH355" i="12"/>
  <c r="DO37" i="12"/>
  <c r="DM37" i="12"/>
  <c r="DN37" i="12" s="1"/>
  <c r="DP37" i="12" s="1"/>
  <c r="DO28" i="12"/>
  <c r="DM28" i="12"/>
  <c r="DN28" i="12" s="1"/>
  <c r="DP28" i="12" s="1"/>
  <c r="DM23" i="12"/>
  <c r="DN23" i="12" s="1"/>
  <c r="DP23" i="12" s="1"/>
  <c r="DO23" i="12"/>
  <c r="FA76" i="12"/>
  <c r="EY76" i="12"/>
  <c r="EZ76" i="12" s="1"/>
  <c r="FB76" i="12" s="1"/>
  <c r="BJ64" i="12"/>
  <c r="BH64" i="12"/>
  <c r="BI64" i="12" s="1"/>
  <c r="BK64" i="12" s="1"/>
  <c r="CA122" i="12"/>
  <c r="CB122" i="12" s="1"/>
  <c r="CD122" i="12" s="1"/>
  <c r="CC122" i="12"/>
  <c r="CV218" i="12"/>
  <c r="CT218" i="12"/>
  <c r="CU218" i="12" s="1"/>
  <c r="CW218" i="12" s="1"/>
  <c r="FA276" i="12"/>
  <c r="EY276" i="12"/>
  <c r="EZ276" i="12" s="1"/>
  <c r="FB276" i="12" s="1"/>
  <c r="CV342" i="12"/>
  <c r="CT342" i="12"/>
  <c r="CU342" i="12" s="1"/>
  <c r="CW342" i="12" s="1"/>
  <c r="BH30" i="12"/>
  <c r="BI30" i="12" s="1"/>
  <c r="BK30" i="12" s="1"/>
  <c r="BJ30" i="12"/>
  <c r="EH82" i="12"/>
  <c r="EF82" i="12"/>
  <c r="EG82" i="12" s="1"/>
  <c r="EI82" i="12" s="1"/>
  <c r="BH71" i="12"/>
  <c r="BI71" i="12" s="1"/>
  <c r="BK71" i="12" s="1"/>
  <c r="BJ71" i="12"/>
  <c r="BH48" i="12"/>
  <c r="BI48" i="12" s="1"/>
  <c r="BK48" i="12" s="1"/>
  <c r="BJ48" i="12"/>
  <c r="AO42" i="12"/>
  <c r="AP42" i="12" s="1"/>
  <c r="AR42" i="12" s="1"/>
  <c r="AQ42" i="12"/>
  <c r="W42" i="12"/>
  <c r="Y42" i="12" s="1"/>
  <c r="AQ61" i="12"/>
  <c r="AO61" i="12"/>
  <c r="AP61" i="12" s="1"/>
  <c r="AR61" i="12" s="1"/>
  <c r="W61" i="12"/>
  <c r="Y61" i="12" s="1"/>
  <c r="AQ52" i="12"/>
  <c r="AO52" i="12"/>
  <c r="AP52" i="12" s="1"/>
  <c r="AR52" i="12" s="1"/>
  <c r="W52" i="12"/>
  <c r="Y52" i="12" s="1"/>
  <c r="EH135" i="12"/>
  <c r="EF135" i="12"/>
  <c r="EG135" i="12" s="1"/>
  <c r="EI135" i="12" s="1"/>
  <c r="CA202" i="12"/>
  <c r="CB202" i="12" s="1"/>
  <c r="CD202" i="12" s="1"/>
  <c r="CC202" i="12"/>
  <c r="BJ261" i="12"/>
  <c r="BH261" i="12"/>
  <c r="BI261" i="12" s="1"/>
  <c r="BK261" i="12" s="1"/>
  <c r="AQ327" i="12"/>
  <c r="AO327" i="12"/>
  <c r="AP327" i="12" s="1"/>
  <c r="AR327" i="12" s="1"/>
  <c r="W327" i="12"/>
  <c r="Y327" i="12" s="1"/>
  <c r="EH50" i="12"/>
  <c r="EF50" i="12"/>
  <c r="EG50" i="12" s="1"/>
  <c r="EI50" i="12" s="1"/>
  <c r="EH41" i="12"/>
  <c r="EF41" i="12"/>
  <c r="EG41" i="12" s="1"/>
  <c r="EI41" i="12" s="1"/>
  <c r="EF36" i="12"/>
  <c r="EG36" i="12" s="1"/>
  <c r="EI36" i="12" s="1"/>
  <c r="EH36" i="12"/>
  <c r="DO30" i="12"/>
  <c r="DM30" i="12"/>
  <c r="DN30" i="12" s="1"/>
  <c r="DP30" i="12" s="1"/>
  <c r="FA112" i="12"/>
  <c r="EY112" i="12"/>
  <c r="EZ112" i="12" s="1"/>
  <c r="FB112" i="12" s="1"/>
  <c r="DO81" i="12"/>
  <c r="DM81" i="12"/>
  <c r="DN81" i="12" s="1"/>
  <c r="DP81" i="12" s="1"/>
  <c r="AQ90" i="12"/>
  <c r="AO90" i="12"/>
  <c r="AP90" i="12" s="1"/>
  <c r="AR90" i="12" s="1"/>
  <c r="W90" i="12"/>
  <c r="Y90" i="12" s="1"/>
  <c r="AO158" i="12"/>
  <c r="AP158" i="12" s="1"/>
  <c r="AR158" i="12" s="1"/>
  <c r="AQ158" i="12"/>
  <c r="W158" i="12"/>
  <c r="Y158" i="12" s="1"/>
  <c r="BJ237" i="12"/>
  <c r="BH237" i="12"/>
  <c r="BI237" i="12" s="1"/>
  <c r="BK237" i="12" s="1"/>
  <c r="EH310" i="12"/>
  <c r="EF310" i="12"/>
  <c r="EG310" i="12" s="1"/>
  <c r="EI310" i="12" s="1"/>
  <c r="CC83" i="12"/>
  <c r="CA83" i="12"/>
  <c r="CB83" i="12" s="1"/>
  <c r="CD83" i="12" s="1"/>
  <c r="EH76" i="12"/>
  <c r="EF76" i="12"/>
  <c r="EG76" i="12" s="1"/>
  <c r="EI76" i="12" s="1"/>
  <c r="BH97" i="12"/>
  <c r="BI97" i="12" s="1"/>
  <c r="BK97" i="12" s="1"/>
  <c r="BJ97" i="12"/>
  <c r="CV94" i="12"/>
  <c r="CT94" i="12"/>
  <c r="CU94" i="12" s="1"/>
  <c r="CW94" i="12" s="1"/>
  <c r="DO94" i="12"/>
  <c r="DM94" i="12"/>
  <c r="DN94" i="12" s="1"/>
  <c r="DP94" i="12" s="1"/>
  <c r="CT188" i="12"/>
  <c r="CU188" i="12" s="1"/>
  <c r="CW188" i="12" s="1"/>
  <c r="CV188" i="12"/>
  <c r="DO143" i="12"/>
  <c r="DM143" i="12"/>
  <c r="DN143" i="12" s="1"/>
  <c r="DP143" i="12" s="1"/>
  <c r="CA144" i="12"/>
  <c r="CB144" i="12" s="1"/>
  <c r="CD144" i="12" s="1"/>
  <c r="CC144" i="12"/>
  <c r="CC139" i="12"/>
  <c r="CA139" i="12"/>
  <c r="CB139" i="12" s="1"/>
  <c r="CD139" i="12" s="1"/>
  <c r="FA134" i="12"/>
  <c r="EY134" i="12"/>
  <c r="EZ134" i="12" s="1"/>
  <c r="FB134" i="12" s="1"/>
  <c r="AQ160" i="12"/>
  <c r="AO160" i="12"/>
  <c r="AP160" i="12" s="1"/>
  <c r="AR160" i="12" s="1"/>
  <c r="W160" i="12"/>
  <c r="Y160" i="12" s="1"/>
  <c r="CC161" i="12"/>
  <c r="CA161" i="12"/>
  <c r="CB161" i="12" s="1"/>
  <c r="CD161" i="12" s="1"/>
  <c r="DO162" i="12"/>
  <c r="DM162" i="12"/>
  <c r="DN162" i="12" s="1"/>
  <c r="DP162" i="12" s="1"/>
  <c r="CT178" i="12"/>
  <c r="CU178" i="12" s="1"/>
  <c r="CW178" i="12" s="1"/>
  <c r="CV178" i="12"/>
  <c r="EY172" i="12"/>
  <c r="EZ172" i="12" s="1"/>
  <c r="FB172" i="12" s="1"/>
  <c r="FA172" i="12"/>
  <c r="CC197" i="12"/>
  <c r="CA197" i="12"/>
  <c r="CB197" i="12" s="1"/>
  <c r="CD197" i="12" s="1"/>
  <c r="DO205" i="12"/>
  <c r="DM205" i="12"/>
  <c r="DN205" i="12" s="1"/>
  <c r="DP205" i="12" s="1"/>
  <c r="CV213" i="12"/>
  <c r="CT213" i="12"/>
  <c r="CU213" i="12" s="1"/>
  <c r="CW213" i="12" s="1"/>
  <c r="EH225" i="12"/>
  <c r="EF225" i="12"/>
  <c r="EG225" i="12" s="1"/>
  <c r="EI225" i="12" s="1"/>
  <c r="CA228" i="12"/>
  <c r="CB228" i="12" s="1"/>
  <c r="CD228" i="12" s="1"/>
  <c r="CC228" i="12"/>
  <c r="EH241" i="12"/>
  <c r="EF241" i="12"/>
  <c r="EG241" i="12" s="1"/>
  <c r="EI241" i="12" s="1"/>
  <c r="AO246" i="12"/>
  <c r="AP246" i="12" s="1"/>
  <c r="AR246" i="12" s="1"/>
  <c r="AQ246" i="12"/>
  <c r="W246" i="12"/>
  <c r="Y246" i="12" s="1"/>
  <c r="CV256" i="12"/>
  <c r="CT256" i="12"/>
  <c r="CU256" i="12" s="1"/>
  <c r="CW256" i="12" s="1"/>
  <c r="DM251" i="12"/>
  <c r="DN251" i="12" s="1"/>
  <c r="DP251" i="12" s="1"/>
  <c r="DO251" i="12"/>
  <c r="BH282" i="12"/>
  <c r="BI282" i="12" s="1"/>
  <c r="BK282" i="12" s="1"/>
  <c r="BJ282" i="12"/>
  <c r="EH274" i="12"/>
  <c r="EF274" i="12"/>
  <c r="EG274" i="12" s="1"/>
  <c r="EI274" i="12" s="1"/>
  <c r="CA285" i="12"/>
  <c r="CB285" i="12" s="1"/>
  <c r="CD285" i="12" s="1"/>
  <c r="CC285" i="12"/>
  <c r="FA297" i="12"/>
  <c r="EY297" i="12"/>
  <c r="EZ297" i="12" s="1"/>
  <c r="FB297" i="12" s="1"/>
  <c r="CV308" i="12"/>
  <c r="CT308" i="12"/>
  <c r="CU308" i="12" s="1"/>
  <c r="CW308" i="12" s="1"/>
  <c r="AQ312" i="12"/>
  <c r="AO312" i="12"/>
  <c r="AP312" i="12" s="1"/>
  <c r="AR312" i="12" s="1"/>
  <c r="W312" i="12"/>
  <c r="Y312" i="12" s="1"/>
  <c r="CT333" i="12"/>
  <c r="CU333" i="12" s="1"/>
  <c r="CW333" i="12" s="1"/>
  <c r="CV333" i="12"/>
  <c r="EH342" i="12"/>
  <c r="EF342" i="12"/>
  <c r="EG342" i="12" s="1"/>
  <c r="EI342" i="12" s="1"/>
  <c r="FA350" i="12"/>
  <c r="EY350" i="12"/>
  <c r="EZ350" i="12" s="1"/>
  <c r="FB350" i="12" s="1"/>
  <c r="DO359" i="12"/>
  <c r="DM359" i="12"/>
  <c r="DN359" i="12" s="1"/>
  <c r="DP359" i="12" s="1"/>
  <c r="FA58" i="12"/>
  <c r="EY58" i="12"/>
  <c r="EZ58" i="12" s="1"/>
  <c r="FB58" i="12" s="1"/>
  <c r="EH105" i="12"/>
  <c r="EF105" i="12"/>
  <c r="EG105" i="12" s="1"/>
  <c r="EI105" i="12" s="1"/>
  <c r="BJ103" i="12"/>
  <c r="BH103" i="12"/>
  <c r="BI103" i="12" s="1"/>
  <c r="BK103" i="12" s="1"/>
  <c r="EH145" i="12"/>
  <c r="EF145" i="12"/>
  <c r="EG145" i="12" s="1"/>
  <c r="EI145" i="12" s="1"/>
  <c r="AQ153" i="12"/>
  <c r="AO153" i="12"/>
  <c r="AP153" i="12" s="1"/>
  <c r="AR153" i="12" s="1"/>
  <c r="W153" i="12"/>
  <c r="Y153" i="12" s="1"/>
  <c r="DM145" i="12"/>
  <c r="DN145" i="12" s="1"/>
  <c r="DP145" i="12" s="1"/>
  <c r="DO145" i="12"/>
  <c r="CV143" i="12"/>
  <c r="CT143" i="12"/>
  <c r="CU143" i="12" s="1"/>
  <c r="CW143" i="12" s="1"/>
  <c r="BH186" i="12"/>
  <c r="BI186" i="12" s="1"/>
  <c r="BK186" i="12" s="1"/>
  <c r="BJ186" i="12"/>
  <c r="EF190" i="12"/>
  <c r="EG190" i="12" s="1"/>
  <c r="EI190" i="12" s="1"/>
  <c r="EH190" i="12"/>
  <c r="DO173" i="12"/>
  <c r="DM173" i="12"/>
  <c r="DN173" i="12" s="1"/>
  <c r="DP173" i="12" s="1"/>
  <c r="CT181" i="12"/>
  <c r="CU181" i="12" s="1"/>
  <c r="CW181" i="12" s="1"/>
  <c r="CV181" i="12"/>
  <c r="EH228" i="12"/>
  <c r="EF228" i="12"/>
  <c r="EG228" i="12" s="1"/>
  <c r="EI228" i="12" s="1"/>
  <c r="AQ207" i="12"/>
  <c r="AO207" i="12"/>
  <c r="AP207" i="12" s="1"/>
  <c r="AR207" i="12" s="1"/>
  <c r="W207" i="12"/>
  <c r="Y207" i="12" s="1"/>
  <c r="EH224" i="12"/>
  <c r="EF224" i="12"/>
  <c r="EG224" i="12" s="1"/>
  <c r="EI224" i="12" s="1"/>
  <c r="BH234" i="12"/>
  <c r="BI234" i="12" s="1"/>
  <c r="BK234" i="12" s="1"/>
  <c r="BJ234" i="12"/>
  <c r="CV240" i="12"/>
  <c r="CT240" i="12"/>
  <c r="CU240" i="12" s="1"/>
  <c r="CW240" i="12" s="1"/>
  <c r="AO254" i="12"/>
  <c r="AP254" i="12" s="1"/>
  <c r="AR254" i="12" s="1"/>
  <c r="AQ254" i="12"/>
  <c r="W254" i="12"/>
  <c r="Y254" i="12" s="1"/>
  <c r="AQ272" i="12"/>
  <c r="AO272" i="12"/>
  <c r="AP272" i="12" s="1"/>
  <c r="AR272" i="12" s="1"/>
  <c r="W272" i="12"/>
  <c r="Y272" i="12" s="1"/>
  <c r="BJ260" i="12"/>
  <c r="BH260" i="12"/>
  <c r="BI260" i="12" s="1"/>
  <c r="BK260" i="12" s="1"/>
  <c r="CC278" i="12"/>
  <c r="CA278" i="12"/>
  <c r="CB278" i="12" s="1"/>
  <c r="CD278" i="12" s="1"/>
  <c r="DM292" i="12"/>
  <c r="DN292" i="12" s="1"/>
  <c r="DP292" i="12" s="1"/>
  <c r="DO292" i="12"/>
  <c r="CV293" i="12"/>
  <c r="CT293" i="12"/>
  <c r="CU293" i="12" s="1"/>
  <c r="CW293" i="12" s="1"/>
  <c r="EF305" i="12"/>
  <c r="EG305" i="12" s="1"/>
  <c r="EI305" i="12" s="1"/>
  <c r="EH305" i="12"/>
  <c r="EH316" i="12"/>
  <c r="EF316" i="12"/>
  <c r="EG316" i="12" s="1"/>
  <c r="EI316" i="12" s="1"/>
  <c r="AQ321" i="12"/>
  <c r="AO321" i="12"/>
  <c r="AP321" i="12" s="1"/>
  <c r="AR321" i="12" s="1"/>
  <c r="W321" i="12"/>
  <c r="Y321" i="12" s="1"/>
  <c r="EY346" i="12"/>
  <c r="EZ346" i="12" s="1"/>
  <c r="FB346" i="12" s="1"/>
  <c r="FA346" i="12"/>
  <c r="AQ361" i="12"/>
  <c r="AO361" i="12"/>
  <c r="AP361" i="12" s="1"/>
  <c r="AR361" i="12" s="1"/>
  <c r="W361" i="12"/>
  <c r="Y361" i="12" s="1"/>
  <c r="CV71" i="12"/>
  <c r="CT71" i="12"/>
  <c r="CU71" i="12" s="1"/>
  <c r="CW71" i="12" s="1"/>
  <c r="EY65" i="12"/>
  <c r="EZ65" i="12" s="1"/>
  <c r="FB65" i="12" s="1"/>
  <c r="FA65" i="12"/>
  <c r="CA86" i="12"/>
  <c r="CB86" i="12" s="1"/>
  <c r="CD86" i="12" s="1"/>
  <c r="CC86" i="12"/>
  <c r="AQ83" i="12"/>
  <c r="AO83" i="12"/>
  <c r="AP83" i="12" s="1"/>
  <c r="AR83" i="12" s="1"/>
  <c r="W83" i="12"/>
  <c r="Y83" i="12" s="1"/>
  <c r="CV116" i="12"/>
  <c r="CT116" i="12"/>
  <c r="CU116" i="12" s="1"/>
  <c r="CW116" i="12" s="1"/>
  <c r="DO115" i="12"/>
  <c r="DM115" i="12"/>
  <c r="DN115" i="12" s="1"/>
  <c r="DP115" i="12" s="1"/>
  <c r="EH132" i="12"/>
  <c r="EF132" i="12"/>
  <c r="EG132" i="12" s="1"/>
  <c r="EI132" i="12" s="1"/>
  <c r="CV133" i="12"/>
  <c r="CT133" i="12"/>
  <c r="CU133" i="12" s="1"/>
  <c r="CW133" i="12" s="1"/>
  <c r="CV128" i="12"/>
  <c r="CT128" i="12"/>
  <c r="CU128" i="12" s="1"/>
  <c r="CW128" i="12" s="1"/>
  <c r="BJ149" i="12"/>
  <c r="BH149" i="12"/>
  <c r="BI149" i="12" s="1"/>
  <c r="BK149" i="12" s="1"/>
  <c r="DO199" i="12"/>
  <c r="DM199" i="12"/>
  <c r="DN199" i="12" s="1"/>
  <c r="DP199" i="12" s="1"/>
  <c r="CV219" i="12"/>
  <c r="CT219" i="12"/>
  <c r="CU219" i="12" s="1"/>
  <c r="CW219" i="12" s="1"/>
  <c r="AQ167" i="12"/>
  <c r="AO167" i="12"/>
  <c r="AP167" i="12" s="1"/>
  <c r="AR167" i="12" s="1"/>
  <c r="W167" i="12"/>
  <c r="Y167" i="12" s="1"/>
  <c r="DO196" i="12"/>
  <c r="DM196" i="12"/>
  <c r="DN196" i="12" s="1"/>
  <c r="DP196" i="12" s="1"/>
  <c r="BJ213" i="12"/>
  <c r="BH213" i="12"/>
  <c r="BI213" i="12" s="1"/>
  <c r="BK213" i="12" s="1"/>
  <c r="DO219" i="12"/>
  <c r="DM219" i="12"/>
  <c r="DN219" i="12" s="1"/>
  <c r="DP219" i="12" s="1"/>
  <c r="BJ218" i="12"/>
  <c r="BH218" i="12"/>
  <c r="BI218" i="12" s="1"/>
  <c r="BK218" i="12" s="1"/>
  <c r="AO234" i="12"/>
  <c r="AP234" i="12" s="1"/>
  <c r="AR234" i="12" s="1"/>
  <c r="AQ234" i="12"/>
  <c r="W234" i="12"/>
  <c r="Y234" i="12" s="1"/>
  <c r="CT232" i="12"/>
  <c r="CU232" i="12" s="1"/>
  <c r="CW232" i="12" s="1"/>
  <c r="CV232" i="12"/>
  <c r="AO247" i="12"/>
  <c r="AP247" i="12" s="1"/>
  <c r="AR247" i="12" s="1"/>
  <c r="AQ247" i="12"/>
  <c r="W247" i="12"/>
  <c r="Y247" i="12" s="1"/>
  <c r="DM265" i="12"/>
  <c r="DN265" i="12" s="1"/>
  <c r="DP265" i="12" s="1"/>
  <c r="DO265" i="12"/>
  <c r="FA258" i="12"/>
  <c r="EY258" i="12"/>
  <c r="EZ258" i="12" s="1"/>
  <c r="FB258" i="12" s="1"/>
  <c r="AQ267" i="12"/>
  <c r="AO267" i="12"/>
  <c r="AP267" i="12" s="1"/>
  <c r="AR267" i="12" s="1"/>
  <c r="W267" i="12"/>
  <c r="Y267" i="12" s="1"/>
  <c r="CT295" i="12"/>
  <c r="CU295" i="12" s="1"/>
  <c r="CW295" i="12" s="1"/>
  <c r="CV295" i="12"/>
  <c r="DO297" i="12"/>
  <c r="DM297" i="12"/>
  <c r="DN297" i="12" s="1"/>
  <c r="DP297" i="12" s="1"/>
  <c r="EH308" i="12"/>
  <c r="EF308" i="12"/>
  <c r="EG308" i="12" s="1"/>
  <c r="EI308" i="12" s="1"/>
  <c r="BJ314" i="12"/>
  <c r="BH314" i="12"/>
  <c r="BI314" i="12" s="1"/>
  <c r="BK314" i="12" s="1"/>
  <c r="FA322" i="12"/>
  <c r="EY322" i="12"/>
  <c r="EZ322" i="12" s="1"/>
  <c r="FB322" i="12" s="1"/>
  <c r="AQ331" i="12"/>
  <c r="AO331" i="12"/>
  <c r="AP331" i="12" s="1"/>
  <c r="AR331" i="12" s="1"/>
  <c r="W331" i="12"/>
  <c r="Y331" i="12" s="1"/>
  <c r="CA344" i="12"/>
  <c r="CB344" i="12" s="1"/>
  <c r="CD344" i="12" s="1"/>
  <c r="CC344" i="12"/>
  <c r="BJ353" i="12"/>
  <c r="BH353" i="12"/>
  <c r="BI353" i="12" s="1"/>
  <c r="BK353" i="12" s="1"/>
  <c r="DO357" i="12"/>
  <c r="DM357" i="12"/>
  <c r="DN357" i="12" s="1"/>
  <c r="DP357" i="12" s="1"/>
  <c r="BJ110" i="12"/>
  <c r="BH110" i="12"/>
  <c r="BI110" i="12" s="1"/>
  <c r="BK110" i="12" s="1"/>
  <c r="DO82" i="12"/>
  <c r="DM82" i="12"/>
  <c r="DN82" i="12" s="1"/>
  <c r="DP82" i="12" s="1"/>
  <c r="EY102" i="12"/>
  <c r="EZ102" i="12" s="1"/>
  <c r="FB102" i="12" s="1"/>
  <c r="FA102" i="12"/>
  <c r="DO99" i="12"/>
  <c r="DM99" i="12"/>
  <c r="DN99" i="12" s="1"/>
  <c r="DP99" i="12" s="1"/>
  <c r="CC100" i="12"/>
  <c r="CA100" i="12"/>
  <c r="CB100" i="12" s="1"/>
  <c r="CD100" i="12" s="1"/>
  <c r="DO120" i="12"/>
  <c r="DM120" i="12"/>
  <c r="DN120" i="12" s="1"/>
  <c r="DP120" i="12" s="1"/>
  <c r="EH165" i="12"/>
  <c r="EF165" i="12"/>
  <c r="EG165" i="12" s="1"/>
  <c r="EI165" i="12" s="1"/>
  <c r="AO140" i="12"/>
  <c r="AP140" i="12" s="1"/>
  <c r="AR140" i="12" s="1"/>
  <c r="AQ140" i="12"/>
  <c r="W140" i="12"/>
  <c r="Y140" i="12" s="1"/>
  <c r="AQ172" i="12"/>
  <c r="AO172" i="12"/>
  <c r="AP172" i="12" s="1"/>
  <c r="AR172" i="12" s="1"/>
  <c r="W172" i="12"/>
  <c r="Y172" i="12" s="1"/>
  <c r="EH174" i="12"/>
  <c r="EF174" i="12"/>
  <c r="EG174" i="12" s="1"/>
  <c r="EI174" i="12" s="1"/>
  <c r="DO184" i="12"/>
  <c r="DM184" i="12"/>
  <c r="DN184" i="12" s="1"/>
  <c r="DP184" i="12" s="1"/>
  <c r="DO183" i="12"/>
  <c r="DM183" i="12"/>
  <c r="DN183" i="12" s="1"/>
  <c r="DP183" i="12" s="1"/>
  <c r="AQ178" i="12"/>
  <c r="AO178" i="12"/>
  <c r="AP178" i="12" s="1"/>
  <c r="AR178" i="12" s="1"/>
  <c r="W178" i="12"/>
  <c r="Y178" i="12" s="1"/>
  <c r="AQ220" i="12"/>
  <c r="AO220" i="12"/>
  <c r="AP220" i="12" s="1"/>
  <c r="AR220" i="12" s="1"/>
  <c r="W220" i="12"/>
  <c r="Y220" i="12" s="1"/>
  <c r="EF209" i="12"/>
  <c r="EG209" i="12" s="1"/>
  <c r="EI209" i="12" s="1"/>
  <c r="EH209" i="12"/>
  <c r="DO218" i="12"/>
  <c r="DM218" i="12"/>
  <c r="DN218" i="12" s="1"/>
  <c r="DP218" i="12" s="1"/>
  <c r="CV231" i="12"/>
  <c r="CT231" i="12"/>
  <c r="CU231" i="12" s="1"/>
  <c r="CW231" i="12" s="1"/>
  <c r="CV247" i="12"/>
  <c r="CT247" i="12"/>
  <c r="CU247" i="12" s="1"/>
  <c r="CW247" i="12" s="1"/>
  <c r="BH251" i="12"/>
  <c r="BI251" i="12" s="1"/>
  <c r="BK251" i="12" s="1"/>
  <c r="BJ251" i="12"/>
  <c r="DO261" i="12"/>
  <c r="DM261" i="12"/>
  <c r="DN261" i="12" s="1"/>
  <c r="DP261" i="12" s="1"/>
  <c r="CC257" i="12"/>
  <c r="CA257" i="12"/>
  <c r="CB257" i="12" s="1"/>
  <c r="CD257" i="12" s="1"/>
  <c r="BH286" i="12"/>
  <c r="BI286" i="12" s="1"/>
  <c r="BK286" i="12" s="1"/>
  <c r="BJ286" i="12"/>
  <c r="FA295" i="12"/>
  <c r="EY295" i="12"/>
  <c r="EZ295" i="12" s="1"/>
  <c r="FB295" i="12" s="1"/>
  <c r="AQ303" i="12"/>
  <c r="AO303" i="12"/>
  <c r="AP303" i="12" s="1"/>
  <c r="AR303" i="12" s="1"/>
  <c r="W303" i="12"/>
  <c r="Y303" i="12" s="1"/>
  <c r="FA313" i="12"/>
  <c r="EY313" i="12"/>
  <c r="EZ313" i="12" s="1"/>
  <c r="FB313" i="12" s="1"/>
  <c r="BJ318" i="12"/>
  <c r="BH318" i="12"/>
  <c r="BI318" i="12" s="1"/>
  <c r="BK318" i="12" s="1"/>
  <c r="FA331" i="12"/>
  <c r="EY331" i="12"/>
  <c r="EZ331" i="12" s="1"/>
  <c r="FB331" i="12" s="1"/>
  <c r="DO333" i="12"/>
  <c r="DM333" i="12"/>
  <c r="DN333" i="12" s="1"/>
  <c r="DP333" i="12" s="1"/>
  <c r="FA353" i="12"/>
  <c r="EY353" i="12"/>
  <c r="EZ353" i="12" s="1"/>
  <c r="FB353" i="12" s="1"/>
  <c r="BH363" i="12"/>
  <c r="BI363" i="12" s="1"/>
  <c r="BK363" i="12" s="1"/>
  <c r="BJ363" i="12"/>
  <c r="AQ72" i="12"/>
  <c r="AO72" i="12"/>
  <c r="AP72" i="12" s="1"/>
  <c r="AR72" i="12" s="1"/>
  <c r="W72" i="12"/>
  <c r="Y72" i="12" s="1"/>
  <c r="CV87" i="12"/>
  <c r="CT87" i="12"/>
  <c r="CU87" i="12" s="1"/>
  <c r="CW87" i="12" s="1"/>
  <c r="BJ84" i="12"/>
  <c r="BH84" i="12"/>
  <c r="BI84" i="12" s="1"/>
  <c r="BK84" i="12" s="1"/>
  <c r="BJ118" i="12"/>
  <c r="BH118" i="12"/>
  <c r="BI118" i="12" s="1"/>
  <c r="BK118" i="12" s="1"/>
  <c r="EH119" i="12"/>
  <c r="EF119" i="12"/>
  <c r="EG119" i="12" s="1"/>
  <c r="EI119" i="12" s="1"/>
  <c r="FA133" i="12"/>
  <c r="EY133" i="12"/>
  <c r="EZ133" i="12" s="1"/>
  <c r="FB133" i="12" s="1"/>
  <c r="AQ134" i="12"/>
  <c r="AO134" i="12"/>
  <c r="AP134" i="12" s="1"/>
  <c r="AR134" i="12" s="1"/>
  <c r="W134" i="12"/>
  <c r="Y134" i="12" s="1"/>
  <c r="AQ129" i="12"/>
  <c r="AO129" i="12"/>
  <c r="AP129" i="12" s="1"/>
  <c r="AR129" i="12" s="1"/>
  <c r="W129" i="12"/>
  <c r="Y129" i="12" s="1"/>
  <c r="DM124" i="12"/>
  <c r="DN124" i="12" s="1"/>
  <c r="DP124" i="12" s="1"/>
  <c r="DO124" i="12"/>
  <c r="CC150" i="12"/>
  <c r="CA150" i="12"/>
  <c r="CB150" i="12" s="1"/>
  <c r="CD150" i="12" s="1"/>
  <c r="AQ151" i="12"/>
  <c r="AO151" i="12"/>
  <c r="AP151" i="12" s="1"/>
  <c r="AR151" i="12" s="1"/>
  <c r="W151" i="12"/>
  <c r="Y151" i="12" s="1"/>
  <c r="EY152" i="12"/>
  <c r="EZ152" i="12" s="1"/>
  <c r="FB152" i="12" s="1"/>
  <c r="FA152" i="12"/>
  <c r="BJ168" i="12"/>
  <c r="BH168" i="12"/>
  <c r="BI168" i="12" s="1"/>
  <c r="BK168" i="12" s="1"/>
  <c r="AQ199" i="12"/>
  <c r="AO199" i="12"/>
  <c r="AP199" i="12" s="1"/>
  <c r="AR199" i="12" s="1"/>
  <c r="W199" i="12"/>
  <c r="Y199" i="12" s="1"/>
  <c r="DO195" i="12"/>
  <c r="DM195" i="12"/>
  <c r="DN195" i="12" s="1"/>
  <c r="DP195" i="12" s="1"/>
  <c r="FA195" i="12"/>
  <c r="EY195" i="12"/>
  <c r="EZ195" i="12" s="1"/>
  <c r="FB195" i="12" s="1"/>
  <c r="CC219" i="12"/>
  <c r="CA219" i="12"/>
  <c r="CB219" i="12" s="1"/>
  <c r="CD219" i="12" s="1"/>
  <c r="CV235" i="12"/>
  <c r="CT235" i="12"/>
  <c r="CU235" i="12" s="1"/>
  <c r="CW235" i="12" s="1"/>
  <c r="AO233" i="12"/>
  <c r="AP233" i="12" s="1"/>
  <c r="AR233" i="12" s="1"/>
  <c r="AQ233" i="12"/>
  <c r="W233" i="12"/>
  <c r="Y233" i="12" s="1"/>
  <c r="BJ248" i="12"/>
  <c r="BH248" i="12"/>
  <c r="BI248" i="12" s="1"/>
  <c r="BK248" i="12" s="1"/>
  <c r="EH266" i="12"/>
  <c r="EF266" i="12"/>
  <c r="EG266" i="12" s="1"/>
  <c r="EI266" i="12" s="1"/>
  <c r="BJ268" i="12"/>
  <c r="BH268" i="12"/>
  <c r="BI268" i="12" s="1"/>
  <c r="BK268" i="12" s="1"/>
  <c r="BJ278" i="12"/>
  <c r="BH278" i="12"/>
  <c r="BI278" i="12" s="1"/>
  <c r="BK278" i="12" s="1"/>
  <c r="CT299" i="12"/>
  <c r="CU299" i="12" s="1"/>
  <c r="CW299" i="12" s="1"/>
  <c r="CV299" i="12"/>
  <c r="EH298" i="12"/>
  <c r="EF298" i="12"/>
  <c r="EG298" i="12" s="1"/>
  <c r="EI298" i="12" s="1"/>
  <c r="EY309" i="12"/>
  <c r="EZ309" i="12" s="1"/>
  <c r="FB309" i="12" s="1"/>
  <c r="FA309" i="12"/>
  <c r="CC315" i="12"/>
  <c r="CA315" i="12"/>
  <c r="CB315" i="12" s="1"/>
  <c r="CD315" i="12" s="1"/>
  <c r="BJ332" i="12"/>
  <c r="BH332" i="12"/>
  <c r="BI332" i="12" s="1"/>
  <c r="BK332" i="12" s="1"/>
  <c r="DO349" i="12"/>
  <c r="DM349" i="12"/>
  <c r="DN349" i="12" s="1"/>
  <c r="DP349" i="12" s="1"/>
  <c r="CA348" i="12"/>
  <c r="CB348" i="12" s="1"/>
  <c r="CD348" i="12" s="1"/>
  <c r="CC348" i="12"/>
  <c r="EH358" i="12"/>
  <c r="EF358" i="12"/>
  <c r="EG358" i="12" s="1"/>
  <c r="EI358" i="12" s="1"/>
  <c r="FA14" i="12"/>
  <c r="EY14" i="12"/>
  <c r="EZ14" i="12" s="1"/>
  <c r="FB14" i="12" s="1"/>
  <c r="DO76" i="12"/>
  <c r="DM76" i="12"/>
  <c r="DN76" i="12" s="1"/>
  <c r="DP76" i="12" s="1"/>
  <c r="AO71" i="12"/>
  <c r="AP71" i="12" s="1"/>
  <c r="AR71" i="12" s="1"/>
  <c r="AQ71" i="12"/>
  <c r="W71" i="12"/>
  <c r="Y71" i="12" s="1"/>
  <c r="EH88" i="12"/>
  <c r="EF88" i="12"/>
  <c r="EG88" i="12" s="1"/>
  <c r="EI88" i="12" s="1"/>
  <c r="CV89" i="12"/>
  <c r="CT89" i="12"/>
  <c r="CU89" i="12" s="1"/>
  <c r="CW89" i="12" s="1"/>
  <c r="CV138" i="12"/>
  <c r="CT138" i="12"/>
  <c r="CU138" i="12" s="1"/>
  <c r="CW138" i="12" s="1"/>
  <c r="DO138" i="12"/>
  <c r="DM138" i="12"/>
  <c r="DN138" i="12" s="1"/>
  <c r="DP138" i="12" s="1"/>
  <c r="DM133" i="12"/>
  <c r="DN133" i="12" s="1"/>
  <c r="DP133" i="12" s="1"/>
  <c r="DO133" i="12"/>
  <c r="BH129" i="12"/>
  <c r="BI129" i="12" s="1"/>
  <c r="BK129" i="12" s="1"/>
  <c r="BJ129" i="12"/>
  <c r="FA154" i="12"/>
  <c r="EY154" i="12"/>
  <c r="EZ154" i="12" s="1"/>
  <c r="FB154" i="12" s="1"/>
  <c r="DO155" i="12"/>
  <c r="DM155" i="12"/>
  <c r="DN155" i="12" s="1"/>
  <c r="DP155" i="12" s="1"/>
  <c r="CT157" i="12"/>
  <c r="CU157" i="12" s="1"/>
  <c r="CW157" i="12" s="1"/>
  <c r="CV157" i="12"/>
  <c r="EH172" i="12"/>
  <c r="EF172" i="12"/>
  <c r="EG172" i="12" s="1"/>
  <c r="EI172" i="12" s="1"/>
  <c r="BH167" i="12"/>
  <c r="BI167" i="12" s="1"/>
  <c r="BK167" i="12" s="1"/>
  <c r="BJ167" i="12"/>
  <c r="DO200" i="12"/>
  <c r="DM200" i="12"/>
  <c r="DN200" i="12" s="1"/>
  <c r="DP200" i="12" s="1"/>
  <c r="CV200" i="12"/>
  <c r="CT200" i="12"/>
  <c r="CU200" i="12" s="1"/>
  <c r="CW200" i="12" s="1"/>
  <c r="FA234" i="12"/>
  <c r="EY234" i="12"/>
  <c r="EZ234" i="12" s="1"/>
  <c r="FB234" i="12" s="1"/>
  <c r="EH220" i="12"/>
  <c r="EF220" i="12"/>
  <c r="EG220" i="12" s="1"/>
  <c r="EI220" i="12" s="1"/>
  <c r="DO222" i="12"/>
  <c r="DM222" i="12"/>
  <c r="DN222" i="12" s="1"/>
  <c r="DP222" i="12" s="1"/>
  <c r="FA247" i="12"/>
  <c r="EY247" i="12"/>
  <c r="EZ247" i="12" s="1"/>
  <c r="FB247" i="12" s="1"/>
  <c r="FA240" i="12"/>
  <c r="EY240" i="12"/>
  <c r="EZ240" i="12" s="1"/>
  <c r="FB240" i="12" s="1"/>
  <c r="EH250" i="12"/>
  <c r="EF250" i="12"/>
  <c r="EG250" i="12" s="1"/>
  <c r="EI250" i="12" s="1"/>
  <c r="BH266" i="12"/>
  <c r="BI266" i="12" s="1"/>
  <c r="BK266" i="12" s="1"/>
  <c r="BJ266" i="12"/>
  <c r="EH272" i="12"/>
  <c r="EF272" i="12"/>
  <c r="EG272" i="12" s="1"/>
  <c r="EI272" i="12" s="1"/>
  <c r="AO269" i="12"/>
  <c r="AP269" i="12" s="1"/>
  <c r="AR269" i="12" s="1"/>
  <c r="AQ269" i="12"/>
  <c r="W269" i="12"/>
  <c r="Y269" i="12" s="1"/>
  <c r="DM279" i="12"/>
  <c r="DN279" i="12" s="1"/>
  <c r="DP279" i="12" s="1"/>
  <c r="DO279" i="12"/>
  <c r="BJ292" i="12"/>
  <c r="BH292" i="12"/>
  <c r="BI292" i="12" s="1"/>
  <c r="BK292" i="12" s="1"/>
  <c r="CC303" i="12"/>
  <c r="CA303" i="12"/>
  <c r="CB303" i="12" s="1"/>
  <c r="CD303" i="12" s="1"/>
  <c r="CC304" i="12"/>
  <c r="CA304" i="12"/>
  <c r="CB304" i="12" s="1"/>
  <c r="CD304" i="12" s="1"/>
  <c r="FA317" i="12"/>
  <c r="EY317" i="12"/>
  <c r="EZ317" i="12" s="1"/>
  <c r="FB317" i="12" s="1"/>
  <c r="BJ327" i="12"/>
  <c r="BH327" i="12"/>
  <c r="BI327" i="12" s="1"/>
  <c r="BK327" i="12" s="1"/>
  <c r="EH336" i="12"/>
  <c r="EF336" i="12"/>
  <c r="EG336" i="12" s="1"/>
  <c r="EI336" i="12" s="1"/>
  <c r="DO343" i="12"/>
  <c r="DM343" i="12"/>
  <c r="DN343" i="12" s="1"/>
  <c r="DP343" i="12" s="1"/>
  <c r="DO355" i="12"/>
  <c r="DM355" i="12"/>
  <c r="DN355" i="12" s="1"/>
  <c r="DP355" i="12" s="1"/>
  <c r="CC362" i="12"/>
  <c r="CA362" i="12"/>
  <c r="CB362" i="12" s="1"/>
  <c r="CD362" i="12" s="1"/>
  <c r="EH71" i="12"/>
  <c r="EF71" i="12"/>
  <c r="EG71" i="12" s="1"/>
  <c r="EI71" i="12" s="1"/>
  <c r="BH81" i="12"/>
  <c r="BI81" i="12" s="1"/>
  <c r="BK81" i="12" s="1"/>
  <c r="BJ81" i="12"/>
  <c r="DO75" i="12"/>
  <c r="DM75" i="12"/>
  <c r="DN75" i="12" s="1"/>
  <c r="DP75" i="12" s="1"/>
  <c r="AO96" i="12"/>
  <c r="AP96" i="12" s="1"/>
  <c r="AR96" i="12" s="1"/>
  <c r="AQ96" i="12"/>
  <c r="W96" i="12"/>
  <c r="Y96" i="12" s="1"/>
  <c r="CC93" i="12"/>
  <c r="CA93" i="12"/>
  <c r="CB93" i="12" s="1"/>
  <c r="CD93" i="12" s="1"/>
  <c r="AQ120" i="12"/>
  <c r="AO120" i="12"/>
  <c r="AP120" i="12" s="1"/>
  <c r="AR120" i="12" s="1"/>
  <c r="W120" i="12"/>
  <c r="Y120" i="12" s="1"/>
  <c r="BJ143" i="12"/>
  <c r="BH143" i="12"/>
  <c r="BI143" i="12" s="1"/>
  <c r="BK143" i="12" s="1"/>
  <c r="BJ138" i="12"/>
  <c r="BH138" i="12"/>
  <c r="BI138" i="12" s="1"/>
  <c r="BK138" i="12" s="1"/>
  <c r="EH133" i="12"/>
  <c r="EF133" i="12"/>
  <c r="EG133" i="12" s="1"/>
  <c r="EI133" i="12" s="1"/>
  <c r="CV159" i="12"/>
  <c r="CT159" i="12"/>
  <c r="CU159" i="12" s="1"/>
  <c r="CW159" i="12" s="1"/>
  <c r="BJ160" i="12"/>
  <c r="BH160" i="12"/>
  <c r="BI160" i="12" s="1"/>
  <c r="BK160" i="12" s="1"/>
  <c r="CC177" i="12"/>
  <c r="CA177" i="12"/>
  <c r="CB177" i="12" s="1"/>
  <c r="CD177" i="12" s="1"/>
  <c r="EF171" i="12"/>
  <c r="EG171" i="12" s="1"/>
  <c r="EI171" i="12" s="1"/>
  <c r="EH171" i="12"/>
  <c r="AQ196" i="12"/>
  <c r="AO196" i="12"/>
  <c r="AP196" i="12" s="1"/>
  <c r="AR196" i="12" s="1"/>
  <c r="W196" i="12"/>
  <c r="Y196" i="12" s="1"/>
  <c r="CC212" i="12"/>
  <c r="CA212" i="12"/>
  <c r="CB212" i="12" s="1"/>
  <c r="CD212" i="12" s="1"/>
  <c r="DO224" i="12"/>
  <c r="DM224" i="12"/>
  <c r="DN224" i="12" s="1"/>
  <c r="DP224" i="12" s="1"/>
  <c r="BJ227" i="12"/>
  <c r="BH227" i="12"/>
  <c r="BI227" i="12" s="1"/>
  <c r="BK227" i="12" s="1"/>
  <c r="DO240" i="12"/>
  <c r="DM240" i="12"/>
  <c r="DN240" i="12" s="1"/>
  <c r="DP240" i="12" s="1"/>
  <c r="CT245" i="12"/>
  <c r="CU245" i="12" s="1"/>
  <c r="CW245" i="12" s="1"/>
  <c r="CV245" i="12"/>
  <c r="CC255" i="12"/>
  <c r="CA255" i="12"/>
  <c r="CB255" i="12" s="1"/>
  <c r="CD255" i="12" s="1"/>
  <c r="CV277" i="12"/>
  <c r="CT277" i="12"/>
  <c r="CU277" i="12" s="1"/>
  <c r="CW277" i="12" s="1"/>
  <c r="DO273" i="12"/>
  <c r="DM273" i="12"/>
  <c r="DN273" i="12" s="1"/>
  <c r="DP273" i="12" s="1"/>
  <c r="BJ284" i="12"/>
  <c r="BH284" i="12"/>
  <c r="BI284" i="12" s="1"/>
  <c r="BK284" i="12" s="1"/>
  <c r="EH296" i="12"/>
  <c r="EF296" i="12"/>
  <c r="EG296" i="12" s="1"/>
  <c r="EI296" i="12" s="1"/>
  <c r="CC307" i="12"/>
  <c r="CA307" i="12"/>
  <c r="CB307" i="12" s="1"/>
  <c r="CD307" i="12" s="1"/>
  <c r="FA308" i="12"/>
  <c r="EY308" i="12"/>
  <c r="EZ308" i="12" s="1"/>
  <c r="FB308" i="12" s="1"/>
  <c r="FA320" i="12"/>
  <c r="EY320" i="12"/>
  <c r="EZ320" i="12" s="1"/>
  <c r="FB320" i="12" s="1"/>
  <c r="FA327" i="12"/>
  <c r="EY327" i="12"/>
  <c r="EZ327" i="12" s="1"/>
  <c r="FB327" i="12" s="1"/>
  <c r="CC332" i="12"/>
  <c r="CA332" i="12"/>
  <c r="CB332" i="12" s="1"/>
  <c r="CD332" i="12" s="1"/>
  <c r="DM341" i="12"/>
  <c r="DN341" i="12" s="1"/>
  <c r="DP341" i="12" s="1"/>
  <c r="DO341" i="12"/>
  <c r="EH349" i="12"/>
  <c r="EF349" i="12"/>
  <c r="EG349" i="12" s="1"/>
  <c r="EI349" i="12" s="1"/>
  <c r="AQ363" i="12"/>
  <c r="AO363" i="12"/>
  <c r="AP363" i="12" s="1"/>
  <c r="AR363" i="12" s="1"/>
  <c r="W363" i="12"/>
  <c r="Y363" i="12" s="1"/>
  <c r="EY19" i="12"/>
  <c r="EZ19" i="12" s="1"/>
  <c r="FB19" i="12" s="1"/>
  <c r="FA19" i="12"/>
  <c r="AQ14" i="12"/>
  <c r="AO14" i="12"/>
  <c r="AP14" i="12" s="1"/>
  <c r="AR14" i="12" s="1"/>
  <c r="W14" i="12"/>
  <c r="Y14" i="12" s="1"/>
  <c r="CV21" i="12"/>
  <c r="CT21" i="12"/>
  <c r="CU21" i="12" s="1"/>
  <c r="CW21" i="12" s="1"/>
  <c r="AQ21" i="12"/>
  <c r="AO21" i="12"/>
  <c r="AP21" i="12" s="1"/>
  <c r="AR21" i="12" s="1"/>
  <c r="W21" i="12"/>
  <c r="Y21" i="12" s="1"/>
  <c r="EH15" i="12"/>
  <c r="EF15" i="12"/>
  <c r="EG15" i="12" s="1"/>
  <c r="EI15" i="12" s="1"/>
  <c r="AO274" i="9"/>
  <c r="AP274" i="9" s="1"/>
  <c r="AR274" i="9" s="1"/>
  <c r="AQ274" i="9"/>
  <c r="W274" i="9"/>
  <c r="Y274" i="9" s="1"/>
  <c r="DO69" i="9"/>
  <c r="DM69" i="9"/>
  <c r="DN69" i="9" s="1"/>
  <c r="DP69" i="9" s="1"/>
  <c r="BJ133" i="9"/>
  <c r="BH133" i="9"/>
  <c r="BI133" i="9" s="1"/>
  <c r="BK133" i="9" s="1"/>
  <c r="BJ172" i="9"/>
  <c r="BH172" i="9"/>
  <c r="BI172" i="9" s="1"/>
  <c r="BK172" i="9" s="1"/>
  <c r="BJ208" i="9"/>
  <c r="BH208" i="9"/>
  <c r="BI208" i="9" s="1"/>
  <c r="BK208" i="9" s="1"/>
  <c r="CC298" i="9"/>
  <c r="CA298" i="9"/>
  <c r="CB298" i="9" s="1"/>
  <c r="CD298" i="9" s="1"/>
  <c r="DO137" i="9"/>
  <c r="DM137" i="9"/>
  <c r="DN137" i="9" s="1"/>
  <c r="DP137" i="9" s="1"/>
  <c r="CV51" i="9"/>
  <c r="CT51" i="9"/>
  <c r="CU51" i="9" s="1"/>
  <c r="CW51" i="9" s="1"/>
  <c r="DO169" i="9"/>
  <c r="DM169" i="9"/>
  <c r="DN169" i="9" s="1"/>
  <c r="DP169" i="9" s="1"/>
  <c r="AQ228" i="9"/>
  <c r="AO228" i="9"/>
  <c r="AP228" i="9" s="1"/>
  <c r="AR228" i="9" s="1"/>
  <c r="W228" i="9"/>
  <c r="Y228" i="9" s="1"/>
  <c r="FA31" i="9"/>
  <c r="EY31" i="9"/>
  <c r="EZ31" i="9" s="1"/>
  <c r="FB31" i="9" s="1"/>
  <c r="EF96" i="9"/>
  <c r="EG96" i="9" s="1"/>
  <c r="EI96" i="9" s="1"/>
  <c r="EH96" i="9"/>
  <c r="FA209" i="9"/>
  <c r="EY209" i="9"/>
  <c r="EZ209" i="9" s="1"/>
  <c r="FB209" i="9" s="1"/>
  <c r="BH277" i="9"/>
  <c r="BI277" i="9" s="1"/>
  <c r="BK277" i="9" s="1"/>
  <c r="BJ277" i="9"/>
  <c r="CT113" i="9"/>
  <c r="CU113" i="9" s="1"/>
  <c r="CW113" i="9" s="1"/>
  <c r="CV113" i="9"/>
  <c r="BJ61" i="9"/>
  <c r="BH61" i="9"/>
  <c r="BI61" i="9" s="1"/>
  <c r="BK61" i="9" s="1"/>
  <c r="EH128" i="9"/>
  <c r="EF128" i="9"/>
  <c r="EG128" i="9" s="1"/>
  <c r="EI128" i="9" s="1"/>
  <c r="BJ188" i="9"/>
  <c r="BH188" i="9"/>
  <c r="BI188" i="9" s="1"/>
  <c r="BK188" i="9" s="1"/>
  <c r="CT241" i="9"/>
  <c r="CU241" i="9" s="1"/>
  <c r="CW241" i="9" s="1"/>
  <c r="CV241" i="9"/>
  <c r="CT294" i="9"/>
  <c r="CU294" i="9" s="1"/>
  <c r="CW294" i="9" s="1"/>
  <c r="CV294" i="9"/>
  <c r="CC319" i="9"/>
  <c r="CA319" i="9"/>
  <c r="CB319" i="9" s="1"/>
  <c r="CD319" i="9" s="1"/>
  <c r="CA128" i="9"/>
  <c r="CB128" i="9" s="1"/>
  <c r="CD128" i="9" s="1"/>
  <c r="CC128" i="9"/>
  <c r="AQ132" i="9"/>
  <c r="AO132" i="9"/>
  <c r="AP132" i="9" s="1"/>
  <c r="AR132" i="9" s="1"/>
  <c r="W132" i="9"/>
  <c r="Y132" i="9" s="1"/>
  <c r="DO231" i="9"/>
  <c r="DM231" i="9"/>
  <c r="DN231" i="9" s="1"/>
  <c r="DP231" i="9" s="1"/>
  <c r="BJ257" i="9"/>
  <c r="BH257" i="9"/>
  <c r="BI257" i="9" s="1"/>
  <c r="BK257" i="9" s="1"/>
  <c r="AQ315" i="9"/>
  <c r="AO315" i="9"/>
  <c r="AP315" i="9" s="1"/>
  <c r="AR315" i="9" s="1"/>
  <c r="W315" i="9"/>
  <c r="Y315" i="9" s="1"/>
  <c r="CA96" i="9"/>
  <c r="CB96" i="9" s="1"/>
  <c r="CD96" i="9" s="1"/>
  <c r="CC96" i="9"/>
  <c r="AO111" i="9"/>
  <c r="AP111" i="9" s="1"/>
  <c r="AR111" i="9" s="1"/>
  <c r="AQ111" i="9"/>
  <c r="W111" i="9"/>
  <c r="Y111" i="9" s="1"/>
  <c r="DM143" i="9"/>
  <c r="DN143" i="9" s="1"/>
  <c r="DP143" i="9" s="1"/>
  <c r="DO143" i="9"/>
  <c r="CV234" i="9"/>
  <c r="CT234" i="9"/>
  <c r="CU234" i="9" s="1"/>
  <c r="CW234" i="9" s="1"/>
  <c r="CT273" i="9"/>
  <c r="CU273" i="9" s="1"/>
  <c r="CW273" i="9" s="1"/>
  <c r="CV273" i="9"/>
  <c r="CV105" i="9"/>
  <c r="CT105" i="9"/>
  <c r="CU105" i="9" s="1"/>
  <c r="CW105" i="9" s="1"/>
  <c r="CC19" i="9"/>
  <c r="CA19" i="9"/>
  <c r="CB19" i="9" s="1"/>
  <c r="CD19" i="9" s="1"/>
  <c r="EH86" i="9"/>
  <c r="EF86" i="9"/>
  <c r="EG86" i="9" s="1"/>
  <c r="EI86" i="9" s="1"/>
  <c r="BJ161" i="9"/>
  <c r="BH161" i="9"/>
  <c r="BI161" i="9" s="1"/>
  <c r="BK161" i="9" s="1"/>
  <c r="CT187" i="9"/>
  <c r="CU187" i="9" s="1"/>
  <c r="CW187" i="9" s="1"/>
  <c r="CV187" i="9"/>
  <c r="DO251" i="9"/>
  <c r="DM251" i="9"/>
  <c r="DN251" i="9" s="1"/>
  <c r="DP251" i="9" s="1"/>
  <c r="AQ308" i="9"/>
  <c r="AO308" i="9"/>
  <c r="AP308" i="9" s="1"/>
  <c r="AR308" i="9" s="1"/>
  <c r="W308" i="9"/>
  <c r="Y308" i="9" s="1"/>
  <c r="CV357" i="9"/>
  <c r="CT357" i="9"/>
  <c r="CU357" i="9" s="1"/>
  <c r="CW357" i="9" s="1"/>
  <c r="CC360" i="9"/>
  <c r="CA360" i="9"/>
  <c r="CB360" i="9" s="1"/>
  <c r="CD360" i="9" s="1"/>
  <c r="FA363" i="9"/>
  <c r="EY363" i="9"/>
  <c r="EZ363" i="9" s="1"/>
  <c r="FB363" i="9" s="1"/>
  <c r="CA335" i="9"/>
  <c r="CB335" i="9" s="1"/>
  <c r="CD335" i="9" s="1"/>
  <c r="CC335" i="9"/>
  <c r="DO329" i="9"/>
  <c r="DM329" i="9"/>
  <c r="DN329" i="9" s="1"/>
  <c r="DP329" i="9" s="1"/>
  <c r="AO327" i="9"/>
  <c r="AP327" i="9" s="1"/>
  <c r="AR327" i="9" s="1"/>
  <c r="AQ327" i="9"/>
  <c r="W327" i="9"/>
  <c r="Y327" i="9" s="1"/>
  <c r="EF31" i="9"/>
  <c r="EG31" i="9" s="1"/>
  <c r="EI31" i="9" s="1"/>
  <c r="EH31" i="9"/>
  <c r="DO34" i="9"/>
  <c r="DM34" i="9"/>
  <c r="DN34" i="9" s="1"/>
  <c r="DP34" i="9" s="1"/>
  <c r="CV24" i="9"/>
  <c r="CT24" i="9"/>
  <c r="CU24" i="9" s="1"/>
  <c r="CW24" i="9" s="1"/>
  <c r="CT17" i="9"/>
  <c r="CU17" i="9" s="1"/>
  <c r="CW17" i="9" s="1"/>
  <c r="CV17" i="9"/>
  <c r="CA53" i="12"/>
  <c r="CB53" i="12" s="1"/>
  <c r="CD53" i="12" s="1"/>
  <c r="CC53" i="12"/>
  <c r="CA30" i="12"/>
  <c r="CB30" i="12" s="1"/>
  <c r="CD30" i="12" s="1"/>
  <c r="CC30" i="12"/>
  <c r="EH66" i="12"/>
  <c r="EF66" i="12"/>
  <c r="EG66" i="12" s="1"/>
  <c r="EI66" i="12" s="1"/>
  <c r="AQ74" i="12"/>
  <c r="AO74" i="12"/>
  <c r="AP74" i="12" s="1"/>
  <c r="AR74" i="12" s="1"/>
  <c r="W74" i="12"/>
  <c r="Y74" i="12" s="1"/>
  <c r="EH263" i="12"/>
  <c r="EF263" i="12"/>
  <c r="EG263" i="12" s="1"/>
  <c r="EI263" i="12" s="1"/>
  <c r="FA55" i="12"/>
  <c r="EY55" i="12"/>
  <c r="EZ55" i="12" s="1"/>
  <c r="FB55" i="12" s="1"/>
  <c r="AQ62" i="12"/>
  <c r="AO62" i="12"/>
  <c r="AP62" i="12" s="1"/>
  <c r="AR62" i="12" s="1"/>
  <c r="W62" i="12"/>
  <c r="Y62" i="12" s="1"/>
  <c r="DM31" i="12"/>
  <c r="DN31" i="12" s="1"/>
  <c r="DP31" i="12" s="1"/>
  <c r="DO31" i="12"/>
  <c r="FA288" i="12"/>
  <c r="EY288" i="12"/>
  <c r="EZ288" i="12" s="1"/>
  <c r="FB288" i="12" s="1"/>
  <c r="AO50" i="12"/>
  <c r="AP50" i="12" s="1"/>
  <c r="AR50" i="12" s="1"/>
  <c r="AQ50" i="12"/>
  <c r="W50" i="12"/>
  <c r="Y50" i="12" s="1"/>
  <c r="EH49" i="12"/>
  <c r="EF49" i="12"/>
  <c r="EG49" i="12" s="1"/>
  <c r="EI49" i="12" s="1"/>
  <c r="CC58" i="12"/>
  <c r="CA58" i="12"/>
  <c r="CB58" i="12" s="1"/>
  <c r="CD58" i="12" s="1"/>
  <c r="EH148" i="12"/>
  <c r="EF148" i="12"/>
  <c r="EG148" i="12" s="1"/>
  <c r="EI148" i="12" s="1"/>
  <c r="EY180" i="12"/>
  <c r="EZ180" i="12" s="1"/>
  <c r="FB180" i="12" s="1"/>
  <c r="FA180" i="12"/>
  <c r="CC225" i="12"/>
  <c r="CA225" i="12"/>
  <c r="CB225" i="12" s="1"/>
  <c r="CD225" i="12" s="1"/>
  <c r="FA292" i="12"/>
  <c r="EY292" i="12"/>
  <c r="EZ292" i="12" s="1"/>
  <c r="FB292" i="12" s="1"/>
  <c r="CC346" i="12"/>
  <c r="CA346" i="12"/>
  <c r="CB346" i="12" s="1"/>
  <c r="CD346" i="12" s="1"/>
  <c r="AQ215" i="12"/>
  <c r="AO215" i="12"/>
  <c r="AP215" i="12" s="1"/>
  <c r="AR215" i="12" s="1"/>
  <c r="W215" i="12"/>
  <c r="Y215" i="12" s="1"/>
  <c r="EF347" i="12"/>
  <c r="EG347" i="12" s="1"/>
  <c r="EI347" i="12" s="1"/>
  <c r="EH347" i="12"/>
  <c r="EH91" i="12"/>
  <c r="EF91" i="12"/>
  <c r="EG91" i="12" s="1"/>
  <c r="EI91" i="12" s="1"/>
  <c r="CV158" i="12"/>
  <c r="CT158" i="12"/>
  <c r="CU158" i="12" s="1"/>
  <c r="CW158" i="12" s="1"/>
  <c r="CT225" i="12"/>
  <c r="CU225" i="12" s="1"/>
  <c r="CW225" i="12" s="1"/>
  <c r="CV225" i="12"/>
  <c r="EH106" i="12"/>
  <c r="EF106" i="12"/>
  <c r="EG106" i="12" s="1"/>
  <c r="EI106" i="12" s="1"/>
  <c r="CC107" i="9"/>
  <c r="CA107" i="9"/>
  <c r="CB107" i="9" s="1"/>
  <c r="CD107" i="9" s="1"/>
  <c r="DO58" i="9"/>
  <c r="DM58" i="9"/>
  <c r="DN58" i="9" s="1"/>
  <c r="DP58" i="9" s="1"/>
  <c r="AQ205" i="9"/>
  <c r="AO205" i="9"/>
  <c r="AP205" i="9" s="1"/>
  <c r="AR205" i="9" s="1"/>
  <c r="W205" i="9"/>
  <c r="Y205" i="9" s="1"/>
  <c r="EY21" i="9"/>
  <c r="EZ21" i="9" s="1"/>
  <c r="FB21" i="9" s="1"/>
  <c r="FA21" i="9"/>
  <c r="AQ50" i="9"/>
  <c r="AO50" i="9"/>
  <c r="AP50" i="9" s="1"/>
  <c r="AR50" i="9" s="1"/>
  <c r="W50" i="9"/>
  <c r="Y50" i="9" s="1"/>
  <c r="BJ51" i="9"/>
  <c r="BH51" i="9"/>
  <c r="BI51" i="9" s="1"/>
  <c r="BK51" i="9" s="1"/>
  <c r="CV118" i="9"/>
  <c r="CT118" i="9"/>
  <c r="CU118" i="9" s="1"/>
  <c r="CW118" i="9" s="1"/>
  <c r="FA167" i="9"/>
  <c r="EY167" i="9"/>
  <c r="EZ167" i="9" s="1"/>
  <c r="FB167" i="9" s="1"/>
  <c r="BJ156" i="9"/>
  <c r="BH156" i="9"/>
  <c r="BI156" i="9" s="1"/>
  <c r="BK156" i="9" s="1"/>
  <c r="AQ199" i="9"/>
  <c r="AO199" i="9"/>
  <c r="AP199" i="9" s="1"/>
  <c r="AR199" i="9" s="1"/>
  <c r="W199" i="9"/>
  <c r="Y199" i="9" s="1"/>
  <c r="CV198" i="9"/>
  <c r="CT198" i="9"/>
  <c r="CU198" i="9" s="1"/>
  <c r="CW198" i="9" s="1"/>
  <c r="AQ218" i="9"/>
  <c r="AO218" i="9"/>
  <c r="AP218" i="9" s="1"/>
  <c r="AR218" i="9" s="1"/>
  <c r="W218" i="9"/>
  <c r="Y218" i="9" s="1"/>
  <c r="BJ225" i="9"/>
  <c r="BH225" i="9"/>
  <c r="BI225" i="9" s="1"/>
  <c r="BK225" i="9" s="1"/>
  <c r="CT237" i="9"/>
  <c r="CU237" i="9" s="1"/>
  <c r="CW237" i="9" s="1"/>
  <c r="CV237" i="9"/>
  <c r="CV250" i="9"/>
  <c r="CT250" i="9"/>
  <c r="CU250" i="9" s="1"/>
  <c r="CW250" i="9" s="1"/>
  <c r="BJ263" i="9"/>
  <c r="BH263" i="9"/>
  <c r="BI263" i="9" s="1"/>
  <c r="BK263" i="9" s="1"/>
  <c r="AQ291" i="9"/>
  <c r="AO291" i="9"/>
  <c r="AP291" i="9" s="1"/>
  <c r="AR291" i="9" s="1"/>
  <c r="W291" i="9"/>
  <c r="Y291" i="9" s="1"/>
  <c r="FA296" i="9"/>
  <c r="EY296" i="9"/>
  <c r="EZ296" i="9" s="1"/>
  <c r="FB296" i="9" s="1"/>
  <c r="BJ324" i="9"/>
  <c r="BH324" i="9"/>
  <c r="BI324" i="9" s="1"/>
  <c r="BK324" i="9" s="1"/>
  <c r="AQ55" i="9"/>
  <c r="AO55" i="9"/>
  <c r="AP55" i="9" s="1"/>
  <c r="AR55" i="9" s="1"/>
  <c r="W55" i="9"/>
  <c r="Y55" i="9" s="1"/>
  <c r="CC206" i="9"/>
  <c r="CA206" i="9"/>
  <c r="CB206" i="9" s="1"/>
  <c r="CD206" i="9" s="1"/>
  <c r="DO261" i="9"/>
  <c r="DM261" i="9"/>
  <c r="DN261" i="9" s="1"/>
  <c r="DP261" i="9" s="1"/>
  <c r="CV77" i="9"/>
  <c r="CT77" i="9"/>
  <c r="CU77" i="9" s="1"/>
  <c r="CW77" i="9" s="1"/>
  <c r="CV103" i="9"/>
  <c r="CT103" i="9"/>
  <c r="CU103" i="9" s="1"/>
  <c r="CW103" i="9" s="1"/>
  <c r="CV102" i="9"/>
  <c r="CT102" i="9"/>
  <c r="CU102" i="9" s="1"/>
  <c r="CW102" i="9" s="1"/>
  <c r="CC44" i="9"/>
  <c r="CA44" i="9"/>
  <c r="CB44" i="9" s="1"/>
  <c r="CD44" i="9" s="1"/>
  <c r="BJ121" i="9"/>
  <c r="BH121" i="9"/>
  <c r="BI121" i="9" s="1"/>
  <c r="BK121" i="9" s="1"/>
  <c r="CT166" i="9"/>
  <c r="CU166" i="9" s="1"/>
  <c r="CW166" i="9" s="1"/>
  <c r="CV166" i="9"/>
  <c r="AQ147" i="9"/>
  <c r="AO147" i="9"/>
  <c r="AP147" i="9" s="1"/>
  <c r="AR147" i="9" s="1"/>
  <c r="W147" i="9"/>
  <c r="Y147" i="9" s="1"/>
  <c r="FA183" i="9"/>
  <c r="EY183" i="9"/>
  <c r="EZ183" i="9" s="1"/>
  <c r="FB183" i="9" s="1"/>
  <c r="DM206" i="9"/>
  <c r="DN206" i="9" s="1"/>
  <c r="DP206" i="9" s="1"/>
  <c r="DO206" i="9"/>
  <c r="DO210" i="9"/>
  <c r="DM210" i="9"/>
  <c r="DN210" i="9" s="1"/>
  <c r="DP210" i="9" s="1"/>
  <c r="AO237" i="9"/>
  <c r="AP237" i="9" s="1"/>
  <c r="AR237" i="9" s="1"/>
  <c r="AQ237" i="9"/>
  <c r="W237" i="9"/>
  <c r="Y237" i="9" s="1"/>
  <c r="AO254" i="9"/>
  <c r="AP254" i="9" s="1"/>
  <c r="AR254" i="9" s="1"/>
  <c r="AQ254" i="9"/>
  <c r="W254" i="9"/>
  <c r="Y254" i="9" s="1"/>
  <c r="CC289" i="9"/>
  <c r="CA289" i="9"/>
  <c r="CB289" i="9" s="1"/>
  <c r="CD289" i="9" s="1"/>
  <c r="BJ298" i="9"/>
  <c r="BH298" i="9"/>
  <c r="BI298" i="9" s="1"/>
  <c r="BK298" i="9" s="1"/>
  <c r="BJ43" i="9"/>
  <c r="BH43" i="9"/>
  <c r="BI43" i="9" s="1"/>
  <c r="BK43" i="9" s="1"/>
  <c r="DO80" i="9"/>
  <c r="DM80" i="9"/>
  <c r="DN80" i="9" s="1"/>
  <c r="DP80" i="9" s="1"/>
  <c r="AQ92" i="9"/>
  <c r="AO92" i="9"/>
  <c r="AP92" i="9" s="1"/>
  <c r="AR92" i="9" s="1"/>
  <c r="W92" i="9"/>
  <c r="Y92" i="9" s="1"/>
  <c r="EY93" i="9"/>
  <c r="EZ93" i="9" s="1"/>
  <c r="FB93" i="9" s="1"/>
  <c r="FA93" i="9"/>
  <c r="EF102" i="9"/>
  <c r="EG102" i="9" s="1"/>
  <c r="EI102" i="9" s="1"/>
  <c r="EH102" i="9"/>
  <c r="CC113" i="9"/>
  <c r="CA113" i="9"/>
  <c r="CB113" i="9" s="1"/>
  <c r="CD113" i="9" s="1"/>
  <c r="CA122" i="9"/>
  <c r="CB122" i="9" s="1"/>
  <c r="CD122" i="9" s="1"/>
  <c r="CC122" i="9"/>
  <c r="CT140" i="9"/>
  <c r="CU140" i="9" s="1"/>
  <c r="CW140" i="9" s="1"/>
  <c r="CV140" i="9"/>
  <c r="CC166" i="9"/>
  <c r="CA166" i="9"/>
  <c r="CB166" i="9" s="1"/>
  <c r="CD166" i="9" s="1"/>
  <c r="AQ211" i="9"/>
  <c r="AO211" i="9"/>
  <c r="AP211" i="9" s="1"/>
  <c r="AR211" i="9" s="1"/>
  <c r="W211" i="9"/>
  <c r="Y211" i="9" s="1"/>
  <c r="EH203" i="9"/>
  <c r="EF203" i="9"/>
  <c r="EG203" i="9" s="1"/>
  <c r="EI203" i="9" s="1"/>
  <c r="CC231" i="9"/>
  <c r="CA231" i="9"/>
  <c r="CB231" i="9" s="1"/>
  <c r="CD231" i="9" s="1"/>
  <c r="BJ236" i="9"/>
  <c r="BH236" i="9"/>
  <c r="BI236" i="9" s="1"/>
  <c r="BK236" i="9" s="1"/>
  <c r="DM246" i="9"/>
  <c r="DN246" i="9" s="1"/>
  <c r="DP246" i="9" s="1"/>
  <c r="DO246" i="9"/>
  <c r="DO265" i="9"/>
  <c r="DM265" i="9"/>
  <c r="DN265" i="9" s="1"/>
  <c r="DP265" i="9" s="1"/>
  <c r="BH283" i="9"/>
  <c r="BI283" i="9" s="1"/>
  <c r="BK283" i="9" s="1"/>
  <c r="BJ283" i="9"/>
  <c r="EH306" i="9"/>
  <c r="EF306" i="9"/>
  <c r="EG306" i="9" s="1"/>
  <c r="EI306" i="9" s="1"/>
  <c r="EH357" i="9"/>
  <c r="EF357" i="9"/>
  <c r="EG357" i="9" s="1"/>
  <c r="EI357" i="9" s="1"/>
  <c r="EH115" i="9"/>
  <c r="EF115" i="9"/>
  <c r="EG115" i="9" s="1"/>
  <c r="EI115" i="9" s="1"/>
  <c r="EY204" i="9"/>
  <c r="EZ204" i="9" s="1"/>
  <c r="FB204" i="9" s="1"/>
  <c r="FA204" i="9"/>
  <c r="CV94" i="9"/>
  <c r="CT94" i="9"/>
  <c r="CU94" i="9" s="1"/>
  <c r="CW94" i="9" s="1"/>
  <c r="FA87" i="9"/>
  <c r="EY87" i="9"/>
  <c r="EZ87" i="9" s="1"/>
  <c r="FB87" i="9" s="1"/>
  <c r="EF48" i="9"/>
  <c r="EG48" i="9" s="1"/>
  <c r="EI48" i="9" s="1"/>
  <c r="EH48" i="9"/>
  <c r="DM51" i="9"/>
  <c r="DN51" i="9" s="1"/>
  <c r="DP51" i="9" s="1"/>
  <c r="DO51" i="9"/>
  <c r="BH103" i="9"/>
  <c r="BI103" i="9" s="1"/>
  <c r="BK103" i="9" s="1"/>
  <c r="BJ103" i="9"/>
  <c r="BJ137" i="9"/>
  <c r="BH137" i="9"/>
  <c r="BI137" i="9" s="1"/>
  <c r="BK137" i="9" s="1"/>
  <c r="BH175" i="9"/>
  <c r="BI175" i="9" s="1"/>
  <c r="BK175" i="9" s="1"/>
  <c r="BJ175" i="9"/>
  <c r="FA159" i="9"/>
  <c r="EY159" i="9"/>
  <c r="EZ159" i="9" s="1"/>
  <c r="FB159" i="9" s="1"/>
  <c r="CA151" i="9"/>
  <c r="CB151" i="9" s="1"/>
  <c r="CD151" i="9" s="1"/>
  <c r="CC151" i="9"/>
  <c r="BH194" i="9"/>
  <c r="BI194" i="9" s="1"/>
  <c r="BK194" i="9" s="1"/>
  <c r="BJ194" i="9"/>
  <c r="DO183" i="9"/>
  <c r="DM183" i="9"/>
  <c r="DN183" i="9" s="1"/>
  <c r="DP183" i="9" s="1"/>
  <c r="EH313" i="9"/>
  <c r="EF313" i="9"/>
  <c r="EG313" i="9" s="1"/>
  <c r="EI313" i="9" s="1"/>
  <c r="M22" i="12"/>
  <c r="P22" i="12" s="1"/>
  <c r="Q22" i="12" s="1"/>
  <c r="EH27" i="9"/>
  <c r="EF27" i="9"/>
  <c r="EG27" i="9" s="1"/>
  <c r="EI27" i="9" s="1"/>
  <c r="AQ166" i="9"/>
  <c r="AO166" i="9"/>
  <c r="AP166" i="9" s="1"/>
  <c r="AR166" i="9" s="1"/>
  <c r="W166" i="9"/>
  <c r="Y166" i="9" s="1"/>
  <c r="BJ214" i="9"/>
  <c r="BH214" i="9"/>
  <c r="BI214" i="9" s="1"/>
  <c r="BK214" i="9" s="1"/>
  <c r="CC236" i="9"/>
  <c r="CA236" i="9"/>
  <c r="CB236" i="9" s="1"/>
  <c r="CD236" i="9" s="1"/>
  <c r="CV269" i="9"/>
  <c r="CT269" i="9"/>
  <c r="CU269" i="9" s="1"/>
  <c r="CW269" i="9" s="1"/>
  <c r="DO318" i="9"/>
  <c r="DM318" i="9"/>
  <c r="DN318" i="9" s="1"/>
  <c r="DP318" i="9" s="1"/>
  <c r="CC24" i="9"/>
  <c r="CA24" i="9"/>
  <c r="CB24" i="9" s="1"/>
  <c r="CD24" i="9" s="1"/>
  <c r="BJ106" i="9"/>
  <c r="BH106" i="9"/>
  <c r="BI106" i="9" s="1"/>
  <c r="BK106" i="9" s="1"/>
  <c r="AO51" i="9"/>
  <c r="AP51" i="9" s="1"/>
  <c r="AR51" i="9" s="1"/>
  <c r="AQ51" i="9"/>
  <c r="W51" i="9"/>
  <c r="Y51" i="9" s="1"/>
  <c r="AQ58" i="9"/>
  <c r="AO58" i="9"/>
  <c r="AP58" i="9" s="1"/>
  <c r="AR58" i="9" s="1"/>
  <c r="W58" i="9"/>
  <c r="Y58" i="9" s="1"/>
  <c r="DO61" i="9"/>
  <c r="DM61" i="9"/>
  <c r="DN61" i="9" s="1"/>
  <c r="DP61" i="9" s="1"/>
  <c r="BH59" i="9"/>
  <c r="BI59" i="9" s="1"/>
  <c r="BK59" i="9" s="1"/>
  <c r="BJ59" i="9"/>
  <c r="CT64" i="9"/>
  <c r="CU64" i="9" s="1"/>
  <c r="CW64" i="9" s="1"/>
  <c r="CV64" i="9"/>
  <c r="EY116" i="9"/>
  <c r="EZ116" i="9" s="1"/>
  <c r="FB116" i="9" s="1"/>
  <c r="FA116" i="9"/>
  <c r="DO125" i="9"/>
  <c r="DM125" i="9"/>
  <c r="DN125" i="9" s="1"/>
  <c r="DP125" i="9" s="1"/>
  <c r="CV126" i="9"/>
  <c r="CT126" i="9"/>
  <c r="CU126" i="9" s="1"/>
  <c r="CW126" i="9" s="1"/>
  <c r="AO135" i="9"/>
  <c r="AP135" i="9" s="1"/>
  <c r="AR135" i="9" s="1"/>
  <c r="AQ135" i="9"/>
  <c r="W135" i="9"/>
  <c r="Y135" i="9" s="1"/>
  <c r="AQ163" i="9"/>
  <c r="AO163" i="9"/>
  <c r="AP163" i="9" s="1"/>
  <c r="AR163" i="9" s="1"/>
  <c r="W163" i="9"/>
  <c r="Y163" i="9" s="1"/>
  <c r="BH164" i="9"/>
  <c r="BI164" i="9" s="1"/>
  <c r="BK164" i="9" s="1"/>
  <c r="BJ164" i="9"/>
  <c r="BJ176" i="9"/>
  <c r="BH176" i="9"/>
  <c r="BI176" i="9" s="1"/>
  <c r="BK176" i="9" s="1"/>
  <c r="AO207" i="9"/>
  <c r="AP207" i="9" s="1"/>
  <c r="AR207" i="9" s="1"/>
  <c r="AQ207" i="9"/>
  <c r="W207" i="9"/>
  <c r="Y207" i="9" s="1"/>
  <c r="CV206" i="9"/>
  <c r="CT206" i="9"/>
  <c r="CU206" i="9" s="1"/>
  <c r="CW206" i="9" s="1"/>
  <c r="CV196" i="9"/>
  <c r="CT196" i="9"/>
  <c r="CU196" i="9" s="1"/>
  <c r="CW196" i="9" s="1"/>
  <c r="AQ226" i="9"/>
  <c r="AO226" i="9"/>
  <c r="AP226" i="9" s="1"/>
  <c r="AR226" i="9" s="1"/>
  <c r="W226" i="9"/>
  <c r="Y226" i="9" s="1"/>
  <c r="BJ233" i="9"/>
  <c r="BH233" i="9"/>
  <c r="BI233" i="9" s="1"/>
  <c r="BK233" i="9" s="1"/>
  <c r="EF234" i="9"/>
  <c r="EG234" i="9" s="1"/>
  <c r="EI234" i="9" s="1"/>
  <c r="EH234" i="9"/>
  <c r="CV245" i="9"/>
  <c r="CT245" i="9"/>
  <c r="CU245" i="9" s="1"/>
  <c r="CW245" i="9" s="1"/>
  <c r="BJ259" i="9"/>
  <c r="BH259" i="9"/>
  <c r="BI259" i="9" s="1"/>
  <c r="BK259" i="9" s="1"/>
  <c r="EH264" i="9"/>
  <c r="EF264" i="9"/>
  <c r="EG264" i="9" s="1"/>
  <c r="EI264" i="9" s="1"/>
  <c r="AQ271" i="9"/>
  <c r="AO271" i="9"/>
  <c r="AP271" i="9" s="1"/>
  <c r="AR271" i="9" s="1"/>
  <c r="W271" i="9"/>
  <c r="Y271" i="9" s="1"/>
  <c r="CC275" i="9"/>
  <c r="CA275" i="9"/>
  <c r="CB275" i="9" s="1"/>
  <c r="CD275" i="9" s="1"/>
  <c r="AQ285" i="9"/>
  <c r="AO285" i="9"/>
  <c r="AP285" i="9" s="1"/>
  <c r="AR285" i="9" s="1"/>
  <c r="W285" i="9"/>
  <c r="Y285" i="9" s="1"/>
  <c r="DM306" i="9"/>
  <c r="DN306" i="9" s="1"/>
  <c r="DP306" i="9" s="1"/>
  <c r="DO306" i="9"/>
  <c r="CC291" i="9"/>
  <c r="CA291" i="9"/>
  <c r="CB291" i="9" s="1"/>
  <c r="CD291" i="9" s="1"/>
  <c r="DO316" i="9"/>
  <c r="DM316" i="9"/>
  <c r="DN316" i="9" s="1"/>
  <c r="DP316" i="9" s="1"/>
  <c r="AQ36" i="9"/>
  <c r="AO36" i="9"/>
  <c r="AP36" i="9" s="1"/>
  <c r="AR36" i="9" s="1"/>
  <c r="W36" i="9"/>
  <c r="Y36" i="9" s="1"/>
  <c r="CV124" i="9"/>
  <c r="CT124" i="9"/>
  <c r="CU124" i="9" s="1"/>
  <c r="CW124" i="9" s="1"/>
  <c r="EF136" i="9"/>
  <c r="EG136" i="9" s="1"/>
  <c r="EI136" i="9" s="1"/>
  <c r="EH136" i="9"/>
  <c r="EH206" i="9"/>
  <c r="EF206" i="9"/>
  <c r="EG206" i="9" s="1"/>
  <c r="EI206" i="9" s="1"/>
  <c r="EY224" i="9"/>
  <c r="EZ224" i="9" s="1"/>
  <c r="FB224" i="9" s="1"/>
  <c r="FA224" i="9"/>
  <c r="CV301" i="9"/>
  <c r="CT301" i="9"/>
  <c r="CU301" i="9" s="1"/>
  <c r="CW301" i="9" s="1"/>
  <c r="DM30" i="9"/>
  <c r="DN30" i="9" s="1"/>
  <c r="DP30" i="9" s="1"/>
  <c r="DO30" i="9"/>
  <c r="CA81" i="9"/>
  <c r="CB81" i="9" s="1"/>
  <c r="CD81" i="9" s="1"/>
  <c r="CC81" i="9"/>
  <c r="CV43" i="9"/>
  <c r="CT43" i="9"/>
  <c r="CU43" i="9" s="1"/>
  <c r="CW43" i="9" s="1"/>
  <c r="EY139" i="9"/>
  <c r="EZ139" i="9" s="1"/>
  <c r="FB139" i="9" s="1"/>
  <c r="FA139" i="9"/>
  <c r="EY49" i="9"/>
  <c r="EZ49" i="9" s="1"/>
  <c r="FB49" i="9" s="1"/>
  <c r="FA49" i="9"/>
  <c r="CC52" i="9"/>
  <c r="CA52" i="9"/>
  <c r="CB52" i="9" s="1"/>
  <c r="CD52" i="9" s="1"/>
  <c r="CT101" i="9"/>
  <c r="CU101" i="9" s="1"/>
  <c r="CW101" i="9" s="1"/>
  <c r="CV101" i="9"/>
  <c r="CA95" i="9"/>
  <c r="CB95" i="9" s="1"/>
  <c r="CD95" i="9" s="1"/>
  <c r="CC95" i="9"/>
  <c r="FA144" i="9"/>
  <c r="EY144" i="9"/>
  <c r="EZ144" i="9" s="1"/>
  <c r="FB144" i="9" s="1"/>
  <c r="FA168" i="9"/>
  <c r="EY168" i="9"/>
  <c r="EZ168" i="9" s="1"/>
  <c r="FB168" i="9" s="1"/>
  <c r="BJ141" i="9"/>
  <c r="BH141" i="9"/>
  <c r="BI141" i="9" s="1"/>
  <c r="BK141" i="9" s="1"/>
  <c r="CC164" i="9"/>
  <c r="CA164" i="9"/>
  <c r="CB164" i="9" s="1"/>
  <c r="CD164" i="9" s="1"/>
  <c r="CV194" i="9"/>
  <c r="CT194" i="9"/>
  <c r="CU194" i="9" s="1"/>
  <c r="CW194" i="9" s="1"/>
  <c r="EH200" i="9"/>
  <c r="EF200" i="9"/>
  <c r="EG200" i="9" s="1"/>
  <c r="EI200" i="9" s="1"/>
  <c r="CT192" i="9"/>
  <c r="CU192" i="9" s="1"/>
  <c r="CW192" i="9" s="1"/>
  <c r="CV192" i="9"/>
  <c r="EY191" i="9"/>
  <c r="EZ191" i="9" s="1"/>
  <c r="FB191" i="9" s="1"/>
  <c r="FA191" i="9"/>
  <c r="EY181" i="9"/>
  <c r="EZ181" i="9" s="1"/>
  <c r="FB181" i="9" s="1"/>
  <c r="FA181" i="9"/>
  <c r="CV211" i="9"/>
  <c r="CT211" i="9"/>
  <c r="CU211" i="9" s="1"/>
  <c r="CW211" i="9" s="1"/>
  <c r="CC214" i="9"/>
  <c r="CA214" i="9"/>
  <c r="CB214" i="9" s="1"/>
  <c r="CD214" i="9" s="1"/>
  <c r="DO218" i="9"/>
  <c r="DM218" i="9"/>
  <c r="DN218" i="9" s="1"/>
  <c r="DP218" i="9" s="1"/>
  <c r="AO220" i="9"/>
  <c r="AP220" i="9" s="1"/>
  <c r="AR220" i="9" s="1"/>
  <c r="AQ220" i="9"/>
  <c r="W220" i="9"/>
  <c r="Y220" i="9" s="1"/>
  <c r="AQ245" i="9"/>
  <c r="AO245" i="9"/>
  <c r="AP245" i="9" s="1"/>
  <c r="AR245" i="9" s="1"/>
  <c r="W245" i="9"/>
  <c r="Y245" i="9" s="1"/>
  <c r="DO260" i="9"/>
  <c r="DM260" i="9"/>
  <c r="DN260" i="9" s="1"/>
  <c r="DP260" i="9" s="1"/>
  <c r="DO275" i="9"/>
  <c r="DM275" i="9"/>
  <c r="DN275" i="9" s="1"/>
  <c r="DP275" i="9" s="1"/>
  <c r="CC282" i="9"/>
  <c r="CA282" i="9"/>
  <c r="CB282" i="9" s="1"/>
  <c r="CD282" i="9" s="1"/>
  <c r="CC276" i="9"/>
  <c r="CA276" i="9"/>
  <c r="CB276" i="9" s="1"/>
  <c r="CD276" i="9" s="1"/>
  <c r="EY276" i="9"/>
  <c r="EZ276" i="9" s="1"/>
  <c r="FB276" i="9" s="1"/>
  <c r="FA276" i="9"/>
  <c r="AO287" i="9"/>
  <c r="AP287" i="9" s="1"/>
  <c r="AR287" i="9" s="1"/>
  <c r="AQ287" i="9"/>
  <c r="W287" i="9"/>
  <c r="Y287" i="9" s="1"/>
  <c r="BH289" i="9"/>
  <c r="BI289" i="9" s="1"/>
  <c r="BK289" i="9" s="1"/>
  <c r="BJ289" i="9"/>
  <c r="CV307" i="9"/>
  <c r="CT307" i="9"/>
  <c r="CU307" i="9" s="1"/>
  <c r="CW307" i="9" s="1"/>
  <c r="DO334" i="9"/>
  <c r="DM334" i="9"/>
  <c r="DN334" i="9" s="1"/>
  <c r="DP334" i="9" s="1"/>
  <c r="BH29" i="9"/>
  <c r="BI29" i="9" s="1"/>
  <c r="BK29" i="9" s="1"/>
  <c r="BJ29" i="9"/>
  <c r="AO91" i="9"/>
  <c r="AP91" i="9" s="1"/>
  <c r="AR91" i="9" s="1"/>
  <c r="AQ91" i="9"/>
  <c r="W91" i="9"/>
  <c r="Y91" i="9" s="1"/>
  <c r="FA104" i="9"/>
  <c r="EY104" i="9"/>
  <c r="EZ104" i="9" s="1"/>
  <c r="FB104" i="9" s="1"/>
  <c r="CT104" i="9"/>
  <c r="CU104" i="9" s="1"/>
  <c r="CW104" i="9" s="1"/>
  <c r="CV104" i="9"/>
  <c r="EH45" i="9"/>
  <c r="EF45" i="9"/>
  <c r="EG45" i="9" s="1"/>
  <c r="EI45" i="9" s="1"/>
  <c r="FA94" i="9"/>
  <c r="EY94" i="9"/>
  <c r="EZ94" i="9" s="1"/>
  <c r="FB94" i="9" s="1"/>
  <c r="AO122" i="9"/>
  <c r="AP122" i="9" s="1"/>
  <c r="AR122" i="9" s="1"/>
  <c r="AQ122" i="9"/>
  <c r="W122" i="9"/>
  <c r="Y122" i="9" s="1"/>
  <c r="BH114" i="9"/>
  <c r="BI114" i="9" s="1"/>
  <c r="BK114" i="9" s="1"/>
  <c r="BJ114" i="9"/>
  <c r="DO134" i="9"/>
  <c r="DM134" i="9"/>
  <c r="DN134" i="9" s="1"/>
  <c r="DP134" i="9" s="1"/>
  <c r="CC148" i="9"/>
  <c r="CA148" i="9"/>
  <c r="CB148" i="9" s="1"/>
  <c r="CD148" i="9" s="1"/>
  <c r="CC130" i="9"/>
  <c r="CA130" i="9"/>
  <c r="CB130" i="9" s="1"/>
  <c r="CD130" i="9" s="1"/>
  <c r="EF148" i="9"/>
  <c r="EG148" i="9" s="1"/>
  <c r="EI148" i="9" s="1"/>
  <c r="EH148" i="9"/>
  <c r="CT148" i="9"/>
  <c r="CU148" i="9" s="1"/>
  <c r="CW148" i="9" s="1"/>
  <c r="CV148" i="9"/>
  <c r="DO174" i="9"/>
  <c r="DM174" i="9"/>
  <c r="DN174" i="9" s="1"/>
  <c r="DP174" i="9" s="1"/>
  <c r="CA174" i="9"/>
  <c r="CB174" i="9" s="1"/>
  <c r="CD174" i="9" s="1"/>
  <c r="CC174" i="9"/>
  <c r="FA185" i="9"/>
  <c r="EY185" i="9"/>
  <c r="EZ185" i="9" s="1"/>
  <c r="FB185" i="9" s="1"/>
  <c r="BJ184" i="9"/>
  <c r="BH184" i="9"/>
  <c r="BI184" i="9" s="1"/>
  <c r="BK184" i="9" s="1"/>
  <c r="FA221" i="9"/>
  <c r="EY221" i="9"/>
  <c r="EZ221" i="9" s="1"/>
  <c r="FB221" i="9" s="1"/>
  <c r="EH207" i="9"/>
  <c r="EF207" i="9"/>
  <c r="EG207" i="9" s="1"/>
  <c r="EI207" i="9" s="1"/>
  <c r="CT213" i="9"/>
  <c r="CU213" i="9" s="1"/>
  <c r="CW213" i="9" s="1"/>
  <c r="CV213" i="9"/>
  <c r="CT238" i="9"/>
  <c r="CU238" i="9" s="1"/>
  <c r="CW238" i="9" s="1"/>
  <c r="CV238" i="9"/>
  <c r="CV252" i="9"/>
  <c r="CT252" i="9"/>
  <c r="CU252" i="9" s="1"/>
  <c r="CW252" i="9" s="1"/>
  <c r="CV255" i="9"/>
  <c r="CT255" i="9"/>
  <c r="CU255" i="9" s="1"/>
  <c r="CW255" i="9" s="1"/>
  <c r="CA271" i="9"/>
  <c r="CB271" i="9" s="1"/>
  <c r="CD271" i="9" s="1"/>
  <c r="CC271" i="9"/>
  <c r="CA278" i="9"/>
  <c r="CB278" i="9" s="1"/>
  <c r="CD278" i="9" s="1"/>
  <c r="CC278" i="9"/>
  <c r="DO315" i="9"/>
  <c r="DM315" i="9"/>
  <c r="DN315" i="9" s="1"/>
  <c r="DP315" i="9" s="1"/>
  <c r="AQ309" i="9"/>
  <c r="AO309" i="9"/>
  <c r="AP309" i="9" s="1"/>
  <c r="AR309" i="9" s="1"/>
  <c r="W309" i="9"/>
  <c r="Y309" i="9" s="1"/>
  <c r="BH299" i="9"/>
  <c r="BI299" i="9" s="1"/>
  <c r="BK299" i="9" s="1"/>
  <c r="BJ299" i="9"/>
  <c r="EY300" i="9"/>
  <c r="EZ300" i="9" s="1"/>
  <c r="FB300" i="9" s="1"/>
  <c r="FA300" i="9"/>
  <c r="CC313" i="9"/>
  <c r="CA313" i="9"/>
  <c r="CB313" i="9" s="1"/>
  <c r="CD313" i="9" s="1"/>
  <c r="EH356" i="9"/>
  <c r="EF356" i="9"/>
  <c r="EG356" i="9" s="1"/>
  <c r="EI356" i="9" s="1"/>
  <c r="AO101" i="9"/>
  <c r="AP101" i="9" s="1"/>
  <c r="AR101" i="9" s="1"/>
  <c r="AQ101" i="9"/>
  <c r="W101" i="9"/>
  <c r="Y101" i="9" s="1"/>
  <c r="DO93" i="9"/>
  <c r="DM93" i="9"/>
  <c r="DN93" i="9" s="1"/>
  <c r="DP93" i="9" s="1"/>
  <c r="CC145" i="9"/>
  <c r="CA145" i="9"/>
  <c r="CB145" i="9" s="1"/>
  <c r="CD145" i="9" s="1"/>
  <c r="BH228" i="9"/>
  <c r="BI228" i="9" s="1"/>
  <c r="BK228" i="9" s="1"/>
  <c r="BJ228" i="9"/>
  <c r="BH275" i="9"/>
  <c r="BI275" i="9" s="1"/>
  <c r="BK275" i="9" s="1"/>
  <c r="BJ275" i="9"/>
  <c r="EY63" i="9"/>
  <c r="EZ63" i="9" s="1"/>
  <c r="FB63" i="9" s="1"/>
  <c r="FA63" i="9"/>
  <c r="BJ53" i="9"/>
  <c r="BH53" i="9"/>
  <c r="BI53" i="9" s="1"/>
  <c r="BK53" i="9" s="1"/>
  <c r="EH56" i="9"/>
  <c r="EF56" i="9"/>
  <c r="EG56" i="9" s="1"/>
  <c r="EI56" i="9" s="1"/>
  <c r="CC54" i="9"/>
  <c r="CA54" i="9"/>
  <c r="CB54" i="9" s="1"/>
  <c r="CD54" i="9" s="1"/>
  <c r="DO59" i="9"/>
  <c r="DM59" i="9"/>
  <c r="DN59" i="9" s="1"/>
  <c r="DP59" i="9" s="1"/>
  <c r="AO62" i="9"/>
  <c r="AP62" i="9" s="1"/>
  <c r="AR62" i="9" s="1"/>
  <c r="AQ62" i="9"/>
  <c r="W62" i="9"/>
  <c r="Y62" i="9" s="1"/>
  <c r="BJ111" i="9"/>
  <c r="BH111" i="9"/>
  <c r="BI111" i="9" s="1"/>
  <c r="BK111" i="9" s="1"/>
  <c r="AQ105" i="9"/>
  <c r="AO105" i="9"/>
  <c r="AP105" i="9" s="1"/>
  <c r="AR105" i="9" s="1"/>
  <c r="W105" i="9"/>
  <c r="Y105" i="9" s="1"/>
  <c r="EF120" i="9"/>
  <c r="EG120" i="9" s="1"/>
  <c r="EI120" i="9" s="1"/>
  <c r="EH120" i="9"/>
  <c r="CV167" i="9"/>
  <c r="CT167" i="9"/>
  <c r="CU167" i="9" s="1"/>
  <c r="CW167" i="9" s="1"/>
  <c r="DO121" i="9"/>
  <c r="DM121" i="9"/>
  <c r="DN121" i="9" s="1"/>
  <c r="DP121" i="9" s="1"/>
  <c r="CV186" i="9"/>
  <c r="CT186" i="9"/>
  <c r="CU186" i="9" s="1"/>
  <c r="CW186" i="9" s="1"/>
  <c r="BJ158" i="9"/>
  <c r="BH158" i="9"/>
  <c r="BI158" i="9" s="1"/>
  <c r="BK158" i="9" s="1"/>
  <c r="CA159" i="9"/>
  <c r="CB159" i="9" s="1"/>
  <c r="CD159" i="9" s="1"/>
  <c r="CC159" i="9"/>
  <c r="CC171" i="9"/>
  <c r="CA171" i="9"/>
  <c r="CB171" i="9" s="1"/>
  <c r="CD171" i="9" s="1"/>
  <c r="BJ202" i="9"/>
  <c r="BH202" i="9"/>
  <c r="BI202" i="9" s="1"/>
  <c r="BK202" i="9" s="1"/>
  <c r="DM201" i="9"/>
  <c r="DN201" i="9" s="1"/>
  <c r="DP201" i="9" s="1"/>
  <c r="DO201" i="9"/>
  <c r="DO191" i="9"/>
  <c r="DM191" i="9"/>
  <c r="DN191" i="9" s="1"/>
  <c r="DP191" i="9" s="1"/>
  <c r="BH221" i="9"/>
  <c r="BI221" i="9" s="1"/>
  <c r="BK221" i="9" s="1"/>
  <c r="BJ221" i="9"/>
  <c r="AQ224" i="9"/>
  <c r="AO224" i="9"/>
  <c r="AP224" i="9" s="1"/>
  <c r="AR224" i="9" s="1"/>
  <c r="W224" i="9"/>
  <c r="Y224" i="9" s="1"/>
  <c r="CC228" i="9"/>
  <c r="CA228" i="9"/>
  <c r="CB228" i="9" s="1"/>
  <c r="CD228" i="9" s="1"/>
  <c r="FA230" i="9"/>
  <c r="EY230" i="9"/>
  <c r="EZ230" i="9" s="1"/>
  <c r="FB230" i="9" s="1"/>
  <c r="DO240" i="9"/>
  <c r="DM240" i="9"/>
  <c r="DN240" i="9" s="1"/>
  <c r="DP240" i="9" s="1"/>
  <c r="DM253" i="9"/>
  <c r="DN253" i="9" s="1"/>
  <c r="DP253" i="9" s="1"/>
  <c r="DO253" i="9"/>
  <c r="BJ256" i="9"/>
  <c r="BH256" i="9"/>
  <c r="BI256" i="9" s="1"/>
  <c r="BK256" i="9" s="1"/>
  <c r="CC266" i="9"/>
  <c r="CA266" i="9"/>
  <c r="CB266" i="9" s="1"/>
  <c r="CD266" i="9" s="1"/>
  <c r="CT270" i="9"/>
  <c r="CU270" i="9" s="1"/>
  <c r="CW270" i="9" s="1"/>
  <c r="CV270" i="9"/>
  <c r="BH280" i="9"/>
  <c r="BI280" i="9" s="1"/>
  <c r="BK280" i="9" s="1"/>
  <c r="BJ280" i="9"/>
  <c r="EH298" i="9"/>
  <c r="EF298" i="9"/>
  <c r="EG298" i="9" s="1"/>
  <c r="EI298" i="9" s="1"/>
  <c r="AQ305" i="9"/>
  <c r="AO305" i="9"/>
  <c r="AP305" i="9" s="1"/>
  <c r="AR305" i="9" s="1"/>
  <c r="W305" i="9"/>
  <c r="Y305" i="9" s="1"/>
  <c r="EH312" i="9"/>
  <c r="EF312" i="9"/>
  <c r="EG312" i="9" s="1"/>
  <c r="EI312" i="9" s="1"/>
  <c r="CA32" i="9"/>
  <c r="CB32" i="9" s="1"/>
  <c r="CD32" i="9" s="1"/>
  <c r="CC32" i="9"/>
  <c r="DO148" i="9"/>
  <c r="DM148" i="9"/>
  <c r="DN148" i="9" s="1"/>
  <c r="DP148" i="9" s="1"/>
  <c r="AQ117" i="9"/>
  <c r="AO117" i="9"/>
  <c r="AP117" i="9" s="1"/>
  <c r="AR117" i="9" s="1"/>
  <c r="W117" i="9"/>
  <c r="Y117" i="9" s="1"/>
  <c r="AQ190" i="9"/>
  <c r="AO190" i="9"/>
  <c r="AP190" i="9" s="1"/>
  <c r="AR190" i="9" s="1"/>
  <c r="W190" i="9"/>
  <c r="Y190" i="9" s="1"/>
  <c r="CC249" i="9"/>
  <c r="CA249" i="9"/>
  <c r="CB249" i="9" s="1"/>
  <c r="CD249" i="9" s="1"/>
  <c r="EF305" i="9"/>
  <c r="EG305" i="9" s="1"/>
  <c r="EI305" i="9" s="1"/>
  <c r="EH305" i="9"/>
  <c r="FA28" i="9"/>
  <c r="EY28" i="9"/>
  <c r="EZ28" i="9" s="1"/>
  <c r="FB28" i="9" s="1"/>
  <c r="DO41" i="9"/>
  <c r="DM41" i="9"/>
  <c r="DN41" i="9" s="1"/>
  <c r="DP41" i="9" s="1"/>
  <c r="BJ93" i="9"/>
  <c r="BH93" i="9"/>
  <c r="BI93" i="9" s="1"/>
  <c r="BK93" i="9" s="1"/>
  <c r="DO98" i="9"/>
  <c r="DM98" i="9"/>
  <c r="DN98" i="9" s="1"/>
  <c r="DP98" i="9" s="1"/>
  <c r="EH94" i="9"/>
  <c r="EF94" i="9"/>
  <c r="EG94" i="9" s="1"/>
  <c r="EI94" i="9" s="1"/>
  <c r="DM102" i="9"/>
  <c r="DN102" i="9" s="1"/>
  <c r="DP102" i="9" s="1"/>
  <c r="DO102" i="9"/>
  <c r="BJ105" i="9"/>
  <c r="BH105" i="9"/>
  <c r="BI105" i="9" s="1"/>
  <c r="BK105" i="9" s="1"/>
  <c r="DO114" i="9"/>
  <c r="DM114" i="9"/>
  <c r="DN114" i="9" s="1"/>
  <c r="DP114" i="9" s="1"/>
  <c r="AQ115" i="9"/>
  <c r="AO115" i="9"/>
  <c r="AP115" i="9" s="1"/>
  <c r="AR115" i="9" s="1"/>
  <c r="W115" i="9"/>
  <c r="Y115" i="9" s="1"/>
  <c r="CV132" i="9"/>
  <c r="CT132" i="9"/>
  <c r="CU132" i="9" s="1"/>
  <c r="CW132" i="9" s="1"/>
  <c r="EH127" i="9"/>
  <c r="EF127" i="9"/>
  <c r="EG127" i="9" s="1"/>
  <c r="EI127" i="9" s="1"/>
  <c r="FA133" i="9"/>
  <c r="EY133" i="9"/>
  <c r="EZ133" i="9" s="1"/>
  <c r="FB133" i="9" s="1"/>
  <c r="AQ124" i="9"/>
  <c r="AO124" i="9"/>
  <c r="AP124" i="9" s="1"/>
  <c r="AR124" i="9" s="1"/>
  <c r="W124" i="9"/>
  <c r="Y124" i="9" s="1"/>
  <c r="CV142" i="9"/>
  <c r="CT142" i="9"/>
  <c r="CU142" i="9" s="1"/>
  <c r="CW142" i="9" s="1"/>
  <c r="BH142" i="9"/>
  <c r="BI142" i="9" s="1"/>
  <c r="BK142" i="9" s="1"/>
  <c r="BJ142" i="9"/>
  <c r="CC168" i="9"/>
  <c r="CA168" i="9"/>
  <c r="CB168" i="9" s="1"/>
  <c r="CD168" i="9" s="1"/>
  <c r="AQ168" i="9"/>
  <c r="AO168" i="9"/>
  <c r="AP168" i="9" s="1"/>
  <c r="AR168" i="9" s="1"/>
  <c r="W168" i="9"/>
  <c r="Y168" i="9" s="1"/>
  <c r="DO179" i="9"/>
  <c r="DM179" i="9"/>
  <c r="DN179" i="9" s="1"/>
  <c r="DP179" i="9" s="1"/>
  <c r="DM235" i="9"/>
  <c r="DN235" i="9" s="1"/>
  <c r="DP235" i="9" s="1"/>
  <c r="DO235" i="9"/>
  <c r="CV205" i="9"/>
  <c r="CT205" i="9"/>
  <c r="CU205" i="9" s="1"/>
  <c r="CW205" i="9" s="1"/>
  <c r="EF201" i="9"/>
  <c r="EG201" i="9" s="1"/>
  <c r="EI201" i="9" s="1"/>
  <c r="EH201" i="9"/>
  <c r="AO233" i="9"/>
  <c r="AP233" i="9" s="1"/>
  <c r="AR233" i="9" s="1"/>
  <c r="AQ233" i="9"/>
  <c r="W233" i="9"/>
  <c r="Y233" i="9" s="1"/>
  <c r="CC238" i="9"/>
  <c r="CA238" i="9"/>
  <c r="CB238" i="9" s="1"/>
  <c r="CD238" i="9" s="1"/>
  <c r="CC239" i="9"/>
  <c r="CA239" i="9"/>
  <c r="CB239" i="9" s="1"/>
  <c r="CD239" i="9" s="1"/>
  <c r="DM254" i="9"/>
  <c r="DN254" i="9" s="1"/>
  <c r="DP254" i="9" s="1"/>
  <c r="DO254" i="9"/>
  <c r="DO256" i="9"/>
  <c r="DM256" i="9"/>
  <c r="DN256" i="9" s="1"/>
  <c r="DP256" i="9" s="1"/>
  <c r="BJ249" i="9"/>
  <c r="BH249" i="9"/>
  <c r="BI249" i="9" s="1"/>
  <c r="BK249" i="9" s="1"/>
  <c r="CC267" i="9"/>
  <c r="CA267" i="9"/>
  <c r="CB267" i="9" s="1"/>
  <c r="CD267" i="9" s="1"/>
  <c r="AQ272" i="9"/>
  <c r="AO272" i="9"/>
  <c r="AP272" i="9" s="1"/>
  <c r="AR272" i="9" s="1"/>
  <c r="W272" i="9"/>
  <c r="Y272" i="9" s="1"/>
  <c r="CV280" i="9"/>
  <c r="CT280" i="9"/>
  <c r="CU280" i="9" s="1"/>
  <c r="CW280" i="9" s="1"/>
  <c r="CC293" i="9"/>
  <c r="CA293" i="9"/>
  <c r="CB293" i="9" s="1"/>
  <c r="CD293" i="9" s="1"/>
  <c r="CV308" i="9"/>
  <c r="CT308" i="9"/>
  <c r="CU308" i="9" s="1"/>
  <c r="CW308" i="9" s="1"/>
  <c r="AO349" i="9"/>
  <c r="AP349" i="9" s="1"/>
  <c r="AR349" i="9" s="1"/>
  <c r="AQ349" i="9"/>
  <c r="W349" i="9"/>
  <c r="Y349" i="9" s="1"/>
  <c r="DO106" i="9"/>
  <c r="DM106" i="9"/>
  <c r="DN106" i="9" s="1"/>
  <c r="DP106" i="9" s="1"/>
  <c r="DO145" i="9"/>
  <c r="DM145" i="9"/>
  <c r="DN145" i="9" s="1"/>
  <c r="DP145" i="9" s="1"/>
  <c r="FA180" i="9"/>
  <c r="EY180" i="9"/>
  <c r="EZ180" i="9" s="1"/>
  <c r="FB180" i="9" s="1"/>
  <c r="FA265" i="9"/>
  <c r="EY265" i="9"/>
  <c r="EZ265" i="9" s="1"/>
  <c r="FB265" i="9" s="1"/>
  <c r="AQ336" i="9"/>
  <c r="AO336" i="9"/>
  <c r="AP336" i="9" s="1"/>
  <c r="AR336" i="9" s="1"/>
  <c r="W336" i="9"/>
  <c r="Y336" i="9" s="1"/>
  <c r="EY62" i="9"/>
  <c r="EZ62" i="9" s="1"/>
  <c r="FB62" i="9" s="1"/>
  <c r="FA62" i="9"/>
  <c r="EF42" i="9"/>
  <c r="EG42" i="9" s="1"/>
  <c r="EI42" i="9" s="1"/>
  <c r="EH42" i="9"/>
  <c r="AQ131" i="9"/>
  <c r="AO131" i="9"/>
  <c r="AP131" i="9" s="1"/>
  <c r="AR131" i="9" s="1"/>
  <c r="W131" i="9"/>
  <c r="Y131" i="9" s="1"/>
  <c r="CV90" i="9"/>
  <c r="CT90" i="9"/>
  <c r="CU90" i="9" s="1"/>
  <c r="CW90" i="9" s="1"/>
  <c r="AQ88" i="9"/>
  <c r="AO88" i="9"/>
  <c r="AP88" i="9" s="1"/>
  <c r="AR88" i="9" s="1"/>
  <c r="W88" i="9"/>
  <c r="Y88" i="9" s="1"/>
  <c r="FA96" i="9"/>
  <c r="EY96" i="9"/>
  <c r="EZ96" i="9" s="1"/>
  <c r="FB96" i="9" s="1"/>
  <c r="CV108" i="9"/>
  <c r="CT108" i="9"/>
  <c r="CU108" i="9" s="1"/>
  <c r="CW108" i="9" s="1"/>
  <c r="EH111" i="9"/>
  <c r="EF111" i="9"/>
  <c r="EG111" i="9" s="1"/>
  <c r="EI111" i="9" s="1"/>
  <c r="AO120" i="9"/>
  <c r="AP120" i="9" s="1"/>
  <c r="AR120" i="9" s="1"/>
  <c r="AQ120" i="9"/>
  <c r="W120" i="9"/>
  <c r="Y120" i="9" s="1"/>
  <c r="AO126" i="9"/>
  <c r="AP126" i="9" s="1"/>
  <c r="AR126" i="9" s="1"/>
  <c r="AQ126" i="9"/>
  <c r="W126" i="9"/>
  <c r="Y126" i="9" s="1"/>
  <c r="CV117" i="9"/>
  <c r="CT117" i="9"/>
  <c r="CU117" i="9" s="1"/>
  <c r="CW117" i="9" s="1"/>
  <c r="FA135" i="9"/>
  <c r="EY135" i="9"/>
  <c r="EZ135" i="9" s="1"/>
  <c r="FB135" i="9" s="1"/>
  <c r="DO135" i="9"/>
  <c r="DM135" i="9"/>
  <c r="DN135" i="9" s="1"/>
  <c r="DP135" i="9" s="1"/>
  <c r="EH161" i="9"/>
  <c r="EF161" i="9"/>
  <c r="EG161" i="9" s="1"/>
  <c r="EI161" i="9" s="1"/>
  <c r="CT161" i="9"/>
  <c r="CU161" i="9" s="1"/>
  <c r="CW161" i="9" s="1"/>
  <c r="CV161" i="9"/>
  <c r="DM204" i="9"/>
  <c r="DN204" i="9" s="1"/>
  <c r="DP204" i="9" s="1"/>
  <c r="DO204" i="9"/>
  <c r="CC204" i="9"/>
  <c r="CA204" i="9"/>
  <c r="CB204" i="9" s="1"/>
  <c r="CD204" i="9" s="1"/>
  <c r="FA198" i="9"/>
  <c r="EY198" i="9"/>
  <c r="EZ198" i="9" s="1"/>
  <c r="FB198" i="9" s="1"/>
  <c r="AO194" i="9"/>
  <c r="AP194" i="9" s="1"/>
  <c r="AR194" i="9" s="1"/>
  <c r="AQ194" i="9"/>
  <c r="W194" i="9"/>
  <c r="Y194" i="9" s="1"/>
  <c r="CV226" i="9"/>
  <c r="CT226" i="9"/>
  <c r="CU226" i="9" s="1"/>
  <c r="CW226" i="9" s="1"/>
  <c r="AO231" i="9"/>
  <c r="AP231" i="9" s="1"/>
  <c r="AR231" i="9" s="1"/>
  <c r="AQ231" i="9"/>
  <c r="W231" i="9"/>
  <c r="Y231" i="9" s="1"/>
  <c r="AQ229" i="9"/>
  <c r="AO229" i="9"/>
  <c r="AP229" i="9" s="1"/>
  <c r="AR229" i="9" s="1"/>
  <c r="W229" i="9"/>
  <c r="Y229" i="9" s="1"/>
  <c r="DO242" i="9"/>
  <c r="DM242" i="9"/>
  <c r="DN242" i="9" s="1"/>
  <c r="DP242" i="9" s="1"/>
  <c r="EF241" i="9"/>
  <c r="EG241" i="9" s="1"/>
  <c r="EI241" i="9" s="1"/>
  <c r="EH241" i="9"/>
  <c r="BH258" i="9"/>
  <c r="BI258" i="9" s="1"/>
  <c r="BK258" i="9" s="1"/>
  <c r="BJ258" i="9"/>
  <c r="EF260" i="9"/>
  <c r="EG260" i="9" s="1"/>
  <c r="EI260" i="9" s="1"/>
  <c r="EH260" i="9"/>
  <c r="FA272" i="9"/>
  <c r="EY272" i="9"/>
  <c r="EZ272" i="9" s="1"/>
  <c r="FB272" i="9" s="1"/>
  <c r="CA273" i="9"/>
  <c r="CB273" i="9" s="1"/>
  <c r="CD273" i="9" s="1"/>
  <c r="CC273" i="9"/>
  <c r="EH291" i="9"/>
  <c r="EF291" i="9"/>
  <c r="EG291" i="9" s="1"/>
  <c r="EI291" i="9" s="1"/>
  <c r="BJ304" i="9"/>
  <c r="BH304" i="9"/>
  <c r="BI304" i="9" s="1"/>
  <c r="BK304" i="9" s="1"/>
  <c r="FA301" i="9"/>
  <c r="EY301" i="9"/>
  <c r="EZ301" i="9" s="1"/>
  <c r="FB301" i="9" s="1"/>
  <c r="DO313" i="9"/>
  <c r="DM313" i="9"/>
  <c r="DN313" i="9" s="1"/>
  <c r="DP313" i="9" s="1"/>
  <c r="BJ344" i="9"/>
  <c r="BH344" i="9"/>
  <c r="BI344" i="9" s="1"/>
  <c r="BK344" i="9" s="1"/>
  <c r="CV119" i="9"/>
  <c r="CT119" i="9"/>
  <c r="CU119" i="9" s="1"/>
  <c r="CW119" i="9" s="1"/>
  <c r="CC137" i="9"/>
  <c r="CA137" i="9"/>
  <c r="CB137" i="9" s="1"/>
  <c r="CD137" i="9" s="1"/>
  <c r="BJ212" i="9"/>
  <c r="BH212" i="9"/>
  <c r="BI212" i="9" s="1"/>
  <c r="BK212" i="9" s="1"/>
  <c r="AQ266" i="9"/>
  <c r="AO266" i="9"/>
  <c r="AP266" i="9" s="1"/>
  <c r="AR266" i="9" s="1"/>
  <c r="W266" i="9"/>
  <c r="Y266" i="9" s="1"/>
  <c r="CA89" i="9"/>
  <c r="CB89" i="9" s="1"/>
  <c r="CD89" i="9" s="1"/>
  <c r="CC89" i="9"/>
  <c r="EY61" i="9"/>
  <c r="EZ61" i="9" s="1"/>
  <c r="FB61" i="9" s="1"/>
  <c r="FA61" i="9"/>
  <c r="CA42" i="9"/>
  <c r="CB42" i="9" s="1"/>
  <c r="CD42" i="9" s="1"/>
  <c r="CC42" i="9"/>
  <c r="EH36" i="9"/>
  <c r="EF36" i="9"/>
  <c r="EG36" i="9" s="1"/>
  <c r="EI36" i="9" s="1"/>
  <c r="CC72" i="9"/>
  <c r="CA72" i="9"/>
  <c r="CB72" i="9" s="1"/>
  <c r="CD72" i="9" s="1"/>
  <c r="FA75" i="9"/>
  <c r="EY75" i="9"/>
  <c r="EZ75" i="9" s="1"/>
  <c r="FB75" i="9" s="1"/>
  <c r="CV73" i="9"/>
  <c r="CT73" i="9"/>
  <c r="CU73" i="9" s="1"/>
  <c r="CW73" i="9" s="1"/>
  <c r="EH78" i="9"/>
  <c r="EF78" i="9"/>
  <c r="EG78" i="9" s="1"/>
  <c r="EI78" i="9" s="1"/>
  <c r="BH81" i="9"/>
  <c r="BI81" i="9" s="1"/>
  <c r="BK81" i="9" s="1"/>
  <c r="BJ81" i="9"/>
  <c r="AQ219" i="9"/>
  <c r="AO219" i="9"/>
  <c r="AP219" i="9" s="1"/>
  <c r="AR219" i="9" s="1"/>
  <c r="W219" i="9"/>
  <c r="Y219" i="9" s="1"/>
  <c r="AO96" i="9"/>
  <c r="AP96" i="9" s="1"/>
  <c r="AR96" i="9" s="1"/>
  <c r="AQ96" i="9"/>
  <c r="W96" i="9"/>
  <c r="Y96" i="9" s="1"/>
  <c r="BJ145" i="9"/>
  <c r="BH145" i="9"/>
  <c r="BI145" i="9" s="1"/>
  <c r="BK145" i="9" s="1"/>
  <c r="BH130" i="9"/>
  <c r="BI130" i="9" s="1"/>
  <c r="BK130" i="9" s="1"/>
  <c r="BJ130" i="9"/>
  <c r="EH149" i="9"/>
  <c r="EF149" i="9"/>
  <c r="EG149" i="9" s="1"/>
  <c r="EI149" i="9" s="1"/>
  <c r="CA149" i="9"/>
  <c r="CB149" i="9" s="1"/>
  <c r="CD149" i="9" s="1"/>
  <c r="CC149" i="9"/>
  <c r="DM151" i="9"/>
  <c r="DN151" i="9" s="1"/>
  <c r="DP151" i="9" s="1"/>
  <c r="DO151" i="9"/>
  <c r="CC177" i="9"/>
  <c r="CA177" i="9"/>
  <c r="CB177" i="9" s="1"/>
  <c r="CD177" i="9" s="1"/>
  <c r="CT178" i="9"/>
  <c r="CU178" i="9" s="1"/>
  <c r="CW178" i="9" s="1"/>
  <c r="CV178" i="9"/>
  <c r="EF189" i="9"/>
  <c r="EG189" i="9" s="1"/>
  <c r="EI189" i="9" s="1"/>
  <c r="EH189" i="9"/>
  <c r="BJ183" i="9"/>
  <c r="BH183" i="9"/>
  <c r="BI183" i="9" s="1"/>
  <c r="BK183" i="9" s="1"/>
  <c r="CV179" i="9"/>
  <c r="CT179" i="9"/>
  <c r="CU179" i="9" s="1"/>
  <c r="CW179" i="9" s="1"/>
  <c r="EY211" i="9"/>
  <c r="EZ211" i="9" s="1"/>
  <c r="FB211" i="9" s="1"/>
  <c r="FA211" i="9"/>
  <c r="CV216" i="9"/>
  <c r="CT216" i="9"/>
  <c r="CU216" i="9" s="1"/>
  <c r="CW216" i="9" s="1"/>
  <c r="CT214" i="9"/>
  <c r="CU214" i="9" s="1"/>
  <c r="CW214" i="9" s="1"/>
  <c r="CV214" i="9"/>
  <c r="AQ243" i="9"/>
  <c r="AO243" i="9"/>
  <c r="AP243" i="9" s="1"/>
  <c r="AR243" i="9" s="1"/>
  <c r="W243" i="9"/>
  <c r="Y243" i="9" s="1"/>
  <c r="CC281" i="9"/>
  <c r="CA281" i="9"/>
  <c r="CB281" i="9" s="1"/>
  <c r="CD281" i="9" s="1"/>
  <c r="EF278" i="9"/>
  <c r="EG278" i="9" s="1"/>
  <c r="EI278" i="9" s="1"/>
  <c r="EH278" i="9"/>
  <c r="AQ276" i="9"/>
  <c r="AO276" i="9"/>
  <c r="AP276" i="9" s="1"/>
  <c r="AR276" i="9" s="1"/>
  <c r="W276" i="9"/>
  <c r="Y276" i="9" s="1"/>
  <c r="CV283" i="9"/>
  <c r="CT283" i="9"/>
  <c r="CU283" i="9" s="1"/>
  <c r="CW283" i="9" s="1"/>
  <c r="EY304" i="9"/>
  <c r="EZ304" i="9" s="1"/>
  <c r="FB304" i="9" s="1"/>
  <c r="FA304" i="9"/>
  <c r="AO300" i="9"/>
  <c r="AP300" i="9" s="1"/>
  <c r="AR300" i="9" s="1"/>
  <c r="AQ300" i="9"/>
  <c r="W300" i="9"/>
  <c r="Y300" i="9" s="1"/>
  <c r="DO308" i="9"/>
  <c r="DM308" i="9"/>
  <c r="DN308" i="9" s="1"/>
  <c r="DP308" i="9" s="1"/>
  <c r="AQ328" i="9"/>
  <c r="AO328" i="9"/>
  <c r="AP328" i="9" s="1"/>
  <c r="AR328" i="9" s="1"/>
  <c r="W328" i="9"/>
  <c r="Y328" i="9" s="1"/>
  <c r="FA320" i="9"/>
  <c r="EY320" i="9"/>
  <c r="EZ320" i="9" s="1"/>
  <c r="FB320" i="9" s="1"/>
  <c r="BJ329" i="9"/>
  <c r="BH329" i="9"/>
  <c r="BI329" i="9" s="1"/>
  <c r="BK329" i="9" s="1"/>
  <c r="CT337" i="9"/>
  <c r="CU337" i="9" s="1"/>
  <c r="CW337" i="9" s="1"/>
  <c r="CV337" i="9"/>
  <c r="BJ350" i="9"/>
  <c r="BH350" i="9"/>
  <c r="BI350" i="9" s="1"/>
  <c r="BK350" i="9" s="1"/>
  <c r="EH359" i="9"/>
  <c r="EF359" i="9"/>
  <c r="EG359" i="9" s="1"/>
  <c r="EI359" i="9" s="1"/>
  <c r="BH322" i="9"/>
  <c r="BI322" i="9" s="1"/>
  <c r="BK322" i="9" s="1"/>
  <c r="BJ322" i="9"/>
  <c r="FA332" i="9"/>
  <c r="EY332" i="9"/>
  <c r="EZ332" i="9" s="1"/>
  <c r="FB332" i="9" s="1"/>
  <c r="BJ334" i="9"/>
  <c r="BH334" i="9"/>
  <c r="BI334" i="9" s="1"/>
  <c r="BK334" i="9" s="1"/>
  <c r="CC350" i="9"/>
  <c r="CA350" i="9"/>
  <c r="CB350" i="9" s="1"/>
  <c r="CD350" i="9" s="1"/>
  <c r="DM354" i="9"/>
  <c r="DN354" i="9" s="1"/>
  <c r="DP354" i="9" s="1"/>
  <c r="DO354" i="9"/>
  <c r="DM357" i="9"/>
  <c r="DN357" i="9" s="1"/>
  <c r="DP357" i="9" s="1"/>
  <c r="DO357" i="9"/>
  <c r="DM323" i="9"/>
  <c r="DN323" i="9" s="1"/>
  <c r="DP323" i="9" s="1"/>
  <c r="DO323" i="9"/>
  <c r="EF341" i="9"/>
  <c r="EG341" i="9" s="1"/>
  <c r="EI341" i="9" s="1"/>
  <c r="EH341" i="9"/>
  <c r="CV340" i="9"/>
  <c r="CT340" i="9"/>
  <c r="CU340" i="9" s="1"/>
  <c r="CW340" i="9" s="1"/>
  <c r="BH355" i="9"/>
  <c r="BI355" i="9" s="1"/>
  <c r="BK355" i="9" s="1"/>
  <c r="BJ355" i="9"/>
  <c r="FA323" i="9"/>
  <c r="EY323" i="9"/>
  <c r="EZ323" i="9" s="1"/>
  <c r="FB323" i="9" s="1"/>
  <c r="AQ333" i="9"/>
  <c r="AO333" i="9"/>
  <c r="AP333" i="9" s="1"/>
  <c r="AR333" i="9" s="1"/>
  <c r="W333" i="9"/>
  <c r="Y333" i="9" s="1"/>
  <c r="EH340" i="9"/>
  <c r="EF340" i="9"/>
  <c r="EG340" i="9" s="1"/>
  <c r="EI340" i="9" s="1"/>
  <c r="AQ348" i="9"/>
  <c r="AO348" i="9"/>
  <c r="AP348" i="9" s="1"/>
  <c r="AR348" i="9" s="1"/>
  <c r="W348" i="9"/>
  <c r="Y348" i="9" s="1"/>
  <c r="DM356" i="9"/>
  <c r="DN356" i="9" s="1"/>
  <c r="DP356" i="9" s="1"/>
  <c r="DO356" i="9"/>
  <c r="BJ42" i="9"/>
  <c r="BH42" i="9"/>
  <c r="BI42" i="9" s="1"/>
  <c r="BK42" i="9" s="1"/>
  <c r="DO328" i="9"/>
  <c r="DM328" i="9"/>
  <c r="DN328" i="9" s="1"/>
  <c r="DP328" i="9" s="1"/>
  <c r="AQ338" i="9"/>
  <c r="AO338" i="9"/>
  <c r="AP338" i="9" s="1"/>
  <c r="AR338" i="9" s="1"/>
  <c r="W338" i="9"/>
  <c r="Y338" i="9" s="1"/>
  <c r="DM336" i="9"/>
  <c r="DN336" i="9" s="1"/>
  <c r="DP336" i="9" s="1"/>
  <c r="DO336" i="9"/>
  <c r="AO354" i="9"/>
  <c r="AP354" i="9" s="1"/>
  <c r="AR354" i="9" s="1"/>
  <c r="AQ354" i="9"/>
  <c r="W354" i="9"/>
  <c r="Y354" i="9" s="1"/>
  <c r="CV70" i="9"/>
  <c r="CT70" i="9"/>
  <c r="CU70" i="9" s="1"/>
  <c r="CW70" i="9" s="1"/>
  <c r="BH319" i="9"/>
  <c r="BI319" i="9" s="1"/>
  <c r="BK319" i="9" s="1"/>
  <c r="BJ319" i="9"/>
  <c r="BJ330" i="9"/>
  <c r="BH330" i="9"/>
  <c r="BI330" i="9" s="1"/>
  <c r="BK330" i="9" s="1"/>
  <c r="CC341" i="9"/>
  <c r="CA341" i="9"/>
  <c r="CB341" i="9" s="1"/>
  <c r="CD341" i="9" s="1"/>
  <c r="FA345" i="9"/>
  <c r="EY345" i="9"/>
  <c r="EZ345" i="9" s="1"/>
  <c r="FB345" i="9" s="1"/>
  <c r="DO353" i="9"/>
  <c r="DM353" i="9"/>
  <c r="DN353" i="9" s="1"/>
  <c r="DP353" i="9" s="1"/>
  <c r="BJ361" i="9"/>
  <c r="BH361" i="9"/>
  <c r="BI361" i="9" s="1"/>
  <c r="BK361" i="9" s="1"/>
  <c r="AQ319" i="9"/>
  <c r="AO319" i="9"/>
  <c r="AP319" i="9" s="1"/>
  <c r="AR319" i="9" s="1"/>
  <c r="W319" i="9"/>
  <c r="Y319" i="9" s="1"/>
  <c r="EF327" i="9"/>
  <c r="EG327" i="9" s="1"/>
  <c r="EI327" i="9" s="1"/>
  <c r="EH327" i="9"/>
  <c r="EH336" i="9"/>
  <c r="EF336" i="9"/>
  <c r="EG336" i="9" s="1"/>
  <c r="EI336" i="9" s="1"/>
  <c r="DO344" i="9"/>
  <c r="DM344" i="9"/>
  <c r="DN344" i="9" s="1"/>
  <c r="DP344" i="9" s="1"/>
  <c r="AQ30" i="9"/>
  <c r="AO30" i="9"/>
  <c r="AP30" i="9" s="1"/>
  <c r="AR30" i="9" s="1"/>
  <c r="W30" i="9"/>
  <c r="DO122" i="9"/>
  <c r="DM122" i="9"/>
  <c r="DN122" i="9" s="1"/>
  <c r="DP122" i="9" s="1"/>
  <c r="AQ61" i="9"/>
  <c r="AO61" i="9"/>
  <c r="AP61" i="9" s="1"/>
  <c r="AR61" i="9" s="1"/>
  <c r="W61" i="9"/>
  <c r="Y61" i="9" s="1"/>
  <c r="DM72" i="9"/>
  <c r="DN72" i="9" s="1"/>
  <c r="DP72" i="9" s="1"/>
  <c r="DO72" i="9"/>
  <c r="EF52" i="9"/>
  <c r="EG52" i="9" s="1"/>
  <c r="EI52" i="9" s="1"/>
  <c r="EH52" i="9"/>
  <c r="EY69" i="9"/>
  <c r="EZ69" i="9" s="1"/>
  <c r="FB69" i="9" s="1"/>
  <c r="FA69" i="9"/>
  <c r="EF60" i="9"/>
  <c r="EG60" i="9" s="1"/>
  <c r="EI60" i="9" s="1"/>
  <c r="EH60" i="9"/>
  <c r="BH88" i="9"/>
  <c r="BI88" i="9" s="1"/>
  <c r="BK88" i="9" s="1"/>
  <c r="BJ88" i="9"/>
  <c r="CC74" i="9"/>
  <c r="CA74" i="9"/>
  <c r="CB74" i="9" s="1"/>
  <c r="CD74" i="9" s="1"/>
  <c r="EH21" i="9"/>
  <c r="EF21" i="9"/>
  <c r="EG21" i="9" s="1"/>
  <c r="EI21" i="9" s="1"/>
  <c r="AQ14" i="9"/>
  <c r="AO14" i="9"/>
  <c r="AP14" i="9" s="1"/>
  <c r="AR14" i="9" s="1"/>
  <c r="W14" i="9"/>
  <c r="AO25" i="9"/>
  <c r="AP25" i="9" s="1"/>
  <c r="AR25" i="9" s="1"/>
  <c r="AQ25" i="9"/>
  <c r="W25" i="9"/>
  <c r="FA24" i="9"/>
  <c r="EY24" i="9"/>
  <c r="EZ24" i="9" s="1"/>
  <c r="FB24" i="9" s="1"/>
  <c r="CA23" i="9"/>
  <c r="CB23" i="9" s="1"/>
  <c r="CD23" i="9" s="1"/>
  <c r="CC23" i="9"/>
  <c r="EH40" i="9"/>
  <c r="EF40" i="9"/>
  <c r="EG40" i="9" s="1"/>
  <c r="EI40" i="9" s="1"/>
  <c r="EY19" i="9"/>
  <c r="EZ19" i="9" s="1"/>
  <c r="FB19" i="9" s="1"/>
  <c r="FA19" i="9"/>
  <c r="CC21" i="9"/>
  <c r="CA21" i="9"/>
  <c r="CB21" i="9" s="1"/>
  <c r="CD21" i="9" s="1"/>
  <c r="BH35" i="9"/>
  <c r="BI35" i="9" s="1"/>
  <c r="BK35" i="9" s="1"/>
  <c r="BJ35" i="9"/>
  <c r="EH15" i="9"/>
  <c r="EF15" i="9"/>
  <c r="EG15" i="9" s="1"/>
  <c r="EI15" i="9" s="1"/>
  <c r="DT22" i="9"/>
  <c r="FF22" i="9"/>
  <c r="EH284" i="12"/>
  <c r="EF284" i="12"/>
  <c r="EG284" i="12" s="1"/>
  <c r="EI284" i="12" s="1"/>
  <c r="CA33" i="12"/>
  <c r="CB33" i="12" s="1"/>
  <c r="CD33" i="12" s="1"/>
  <c r="CC33" i="12"/>
  <c r="BJ359" i="12"/>
  <c r="BH359" i="12"/>
  <c r="BI359" i="12" s="1"/>
  <c r="BK359" i="12" s="1"/>
  <c r="AO162" i="12"/>
  <c r="AP162" i="12" s="1"/>
  <c r="AR162" i="12" s="1"/>
  <c r="AQ162" i="12"/>
  <c r="W162" i="12"/>
  <c r="Y162" i="12" s="1"/>
  <c r="BJ54" i="12"/>
  <c r="BH54" i="12"/>
  <c r="BI54" i="12" s="1"/>
  <c r="BK54" i="12" s="1"/>
  <c r="CC50" i="12"/>
  <c r="CA50" i="12"/>
  <c r="CB50" i="12" s="1"/>
  <c r="CD50" i="12" s="1"/>
  <c r="CV321" i="12"/>
  <c r="CT321" i="12"/>
  <c r="CU321" i="12" s="1"/>
  <c r="CW321" i="12" s="1"/>
  <c r="EH143" i="12"/>
  <c r="EF143" i="12"/>
  <c r="EG143" i="12" s="1"/>
  <c r="EI143" i="12" s="1"/>
  <c r="BJ47" i="12"/>
  <c r="BH47" i="12"/>
  <c r="BI47" i="12" s="1"/>
  <c r="BK47" i="12" s="1"/>
  <c r="CC39" i="12"/>
  <c r="CA39" i="12"/>
  <c r="CB39" i="12" s="1"/>
  <c r="CD39" i="12" s="1"/>
  <c r="FA212" i="12"/>
  <c r="EY212" i="12"/>
  <c r="EZ212" i="12" s="1"/>
  <c r="FB212" i="12" s="1"/>
  <c r="FA31" i="12"/>
  <c r="EY31" i="12"/>
  <c r="EZ31" i="12" s="1"/>
  <c r="FB31" i="12" s="1"/>
  <c r="FA22" i="12"/>
  <c r="EY22" i="12"/>
  <c r="EZ22" i="12" s="1"/>
  <c r="FB22" i="12" s="1"/>
  <c r="CC80" i="12"/>
  <c r="CA80" i="12"/>
  <c r="CB80" i="12" s="1"/>
  <c r="CD80" i="12" s="1"/>
  <c r="EY49" i="12"/>
  <c r="EZ49" i="12" s="1"/>
  <c r="FB49" i="12" s="1"/>
  <c r="FA49" i="12"/>
  <c r="EH43" i="12"/>
  <c r="EF43" i="12"/>
  <c r="EG43" i="12" s="1"/>
  <c r="EI43" i="12" s="1"/>
  <c r="EH62" i="12"/>
  <c r="EF62" i="12"/>
  <c r="EG62" i="12" s="1"/>
  <c r="EI62" i="12" s="1"/>
  <c r="EH53" i="12"/>
  <c r="EF53" i="12"/>
  <c r="EG53" i="12" s="1"/>
  <c r="EI53" i="12" s="1"/>
  <c r="CC151" i="12"/>
  <c r="CA151" i="12"/>
  <c r="CB151" i="12" s="1"/>
  <c r="CD151" i="12" s="1"/>
  <c r="AQ200" i="12"/>
  <c r="AO200" i="12"/>
  <c r="AP200" i="12" s="1"/>
  <c r="AR200" i="12" s="1"/>
  <c r="W200" i="12"/>
  <c r="Y200" i="12" s="1"/>
  <c r="AO255" i="12"/>
  <c r="AP255" i="12" s="1"/>
  <c r="AR255" i="12" s="1"/>
  <c r="AQ255" i="12"/>
  <c r="W255" i="12"/>
  <c r="Y255" i="12" s="1"/>
  <c r="DO336" i="12"/>
  <c r="DM336" i="12"/>
  <c r="DN336" i="12" s="1"/>
  <c r="DP336" i="12" s="1"/>
  <c r="CV24" i="12"/>
  <c r="CT24" i="12"/>
  <c r="CU24" i="12" s="1"/>
  <c r="CW24" i="12" s="1"/>
  <c r="DO97" i="12"/>
  <c r="DM97" i="12"/>
  <c r="DN97" i="12" s="1"/>
  <c r="DP97" i="12" s="1"/>
  <c r="CT47" i="12"/>
  <c r="CU47" i="12" s="1"/>
  <c r="CW47" i="12" s="1"/>
  <c r="CV47" i="12"/>
  <c r="CT42" i="12"/>
  <c r="CU42" i="12" s="1"/>
  <c r="CW42" i="12" s="1"/>
  <c r="CV42" i="12"/>
  <c r="CC36" i="12"/>
  <c r="CA36" i="12"/>
  <c r="CB36" i="12" s="1"/>
  <c r="CD36" i="12" s="1"/>
  <c r="CC55" i="12"/>
  <c r="CA55" i="12"/>
  <c r="CB55" i="12" s="1"/>
  <c r="CD55" i="12" s="1"/>
  <c r="CC107" i="12"/>
  <c r="CA107" i="12"/>
  <c r="CB107" i="12" s="1"/>
  <c r="CD107" i="12" s="1"/>
  <c r="CV121" i="12"/>
  <c r="CT121" i="12"/>
  <c r="CU121" i="12" s="1"/>
  <c r="CW121" i="12" s="1"/>
  <c r="FA185" i="12"/>
  <c r="EY185" i="12"/>
  <c r="EZ185" i="12" s="1"/>
  <c r="FB185" i="12" s="1"/>
  <c r="CV253" i="12"/>
  <c r="CT253" i="12"/>
  <c r="CU253" i="12" s="1"/>
  <c r="CW253" i="12" s="1"/>
  <c r="DO315" i="12"/>
  <c r="DM315" i="12"/>
  <c r="DN315" i="12" s="1"/>
  <c r="DP315" i="12" s="1"/>
  <c r="EH16" i="12"/>
  <c r="EF16" i="12"/>
  <c r="EG16" i="12" s="1"/>
  <c r="EI16" i="12" s="1"/>
  <c r="FA60" i="12"/>
  <c r="EY60" i="12"/>
  <c r="EZ60" i="12" s="1"/>
  <c r="FB60" i="12" s="1"/>
  <c r="FA32" i="12"/>
  <c r="EY32" i="12"/>
  <c r="EZ32" i="12" s="1"/>
  <c r="FB32" i="12" s="1"/>
  <c r="EY51" i="12"/>
  <c r="EZ51" i="12" s="1"/>
  <c r="FB51" i="12" s="1"/>
  <c r="FA51" i="12"/>
  <c r="CV85" i="12"/>
  <c r="CT85" i="12"/>
  <c r="CU85" i="12" s="1"/>
  <c r="CW85" i="12" s="1"/>
  <c r="AQ106" i="12"/>
  <c r="AO106" i="12"/>
  <c r="AP106" i="12" s="1"/>
  <c r="AR106" i="12" s="1"/>
  <c r="W106" i="12"/>
  <c r="Y106" i="12" s="1"/>
  <c r="DM181" i="12"/>
  <c r="DN181" i="12" s="1"/>
  <c r="DP181" i="12" s="1"/>
  <c r="DO181" i="12"/>
  <c r="EY237" i="12"/>
  <c r="EZ237" i="12" s="1"/>
  <c r="FB237" i="12" s="1"/>
  <c r="FA237" i="12"/>
  <c r="DO308" i="12"/>
  <c r="DM308" i="12"/>
  <c r="DN308" i="12" s="1"/>
  <c r="DP308" i="12" s="1"/>
  <c r="BH20" i="12"/>
  <c r="BI20" i="12" s="1"/>
  <c r="BK20" i="12" s="1"/>
  <c r="BJ20" i="12"/>
  <c r="AQ49" i="12"/>
  <c r="AO49" i="12"/>
  <c r="AP49" i="12" s="1"/>
  <c r="AR49" i="12" s="1"/>
  <c r="W49" i="12"/>
  <c r="Y49" i="12" s="1"/>
  <c r="AQ40" i="12"/>
  <c r="AO40" i="12"/>
  <c r="AP40" i="12" s="1"/>
  <c r="AR40" i="12" s="1"/>
  <c r="W40" i="12"/>
  <c r="Y40" i="12" s="1"/>
  <c r="AO35" i="12"/>
  <c r="AP35" i="12" s="1"/>
  <c r="AR35" i="12" s="1"/>
  <c r="AQ35" i="12"/>
  <c r="W35" i="12"/>
  <c r="Y35" i="12" s="1"/>
  <c r="CV29" i="12"/>
  <c r="CT29" i="12"/>
  <c r="CU29" i="12" s="1"/>
  <c r="CW29" i="12" s="1"/>
  <c r="AQ109" i="12"/>
  <c r="AO109" i="12"/>
  <c r="AP109" i="12" s="1"/>
  <c r="AR109" i="12" s="1"/>
  <c r="W109" i="12"/>
  <c r="Y109" i="12" s="1"/>
  <c r="CV80" i="12"/>
  <c r="CT80" i="12"/>
  <c r="CU80" i="12" s="1"/>
  <c r="CW80" i="12" s="1"/>
  <c r="FA109" i="12"/>
  <c r="EY109" i="12"/>
  <c r="EZ109" i="12" s="1"/>
  <c r="FB109" i="12" s="1"/>
  <c r="BJ170" i="12"/>
  <c r="BH170" i="12"/>
  <c r="BI170" i="12" s="1"/>
  <c r="BK170" i="12" s="1"/>
  <c r="EH226" i="12"/>
  <c r="EF226" i="12"/>
  <c r="EG226" i="12" s="1"/>
  <c r="EI226" i="12" s="1"/>
  <c r="CC300" i="12"/>
  <c r="CA300" i="12"/>
  <c r="CB300" i="12" s="1"/>
  <c r="CD300" i="12" s="1"/>
  <c r="BJ19" i="12"/>
  <c r="BH19" i="12"/>
  <c r="BI19" i="12" s="1"/>
  <c r="BK19" i="12" s="1"/>
  <c r="DO41" i="12"/>
  <c r="DM41" i="12"/>
  <c r="DN41" i="12" s="1"/>
  <c r="DP41" i="12" s="1"/>
  <c r="DO32" i="12"/>
  <c r="DM32" i="12"/>
  <c r="DN32" i="12" s="1"/>
  <c r="DP32" i="12" s="1"/>
  <c r="DM27" i="12"/>
  <c r="DN27" i="12" s="1"/>
  <c r="DP27" i="12" s="1"/>
  <c r="DO27" i="12"/>
  <c r="EY68" i="12"/>
  <c r="EZ68" i="12" s="1"/>
  <c r="FB68" i="12" s="1"/>
  <c r="FA68" i="12"/>
  <c r="DO84" i="12"/>
  <c r="DM84" i="12"/>
  <c r="DN84" i="12" s="1"/>
  <c r="DP84" i="12" s="1"/>
  <c r="BH289" i="12"/>
  <c r="BI289" i="12" s="1"/>
  <c r="BK289" i="12" s="1"/>
  <c r="BJ289" i="12"/>
  <c r="CV350" i="12"/>
  <c r="CT350" i="12"/>
  <c r="CU350" i="12" s="1"/>
  <c r="CW350" i="12" s="1"/>
  <c r="BJ34" i="12"/>
  <c r="BH34" i="12"/>
  <c r="BI34" i="12" s="1"/>
  <c r="BK34" i="12" s="1"/>
  <c r="BJ25" i="12"/>
  <c r="BH25" i="12"/>
  <c r="BI25" i="12" s="1"/>
  <c r="BK25" i="12" s="1"/>
  <c r="CC60" i="12"/>
  <c r="CA60" i="12"/>
  <c r="CB60" i="12" s="1"/>
  <c r="CD60" i="12" s="1"/>
  <c r="CC56" i="12"/>
  <c r="CA56" i="12"/>
  <c r="CB56" i="12" s="1"/>
  <c r="CD56" i="12" s="1"/>
  <c r="AQ46" i="12"/>
  <c r="AO46" i="12"/>
  <c r="AP46" i="12" s="1"/>
  <c r="AR46" i="12" s="1"/>
  <c r="W46" i="12"/>
  <c r="Y46" i="12" s="1"/>
  <c r="AQ65" i="12"/>
  <c r="AO65" i="12"/>
  <c r="AP65" i="12" s="1"/>
  <c r="AR65" i="12" s="1"/>
  <c r="W65" i="12"/>
  <c r="Y65" i="12" s="1"/>
  <c r="EH73" i="12"/>
  <c r="EF73" i="12"/>
  <c r="EG73" i="12" s="1"/>
  <c r="EI73" i="12" s="1"/>
  <c r="EH130" i="12"/>
  <c r="EF130" i="12"/>
  <c r="EG130" i="12" s="1"/>
  <c r="EI130" i="12" s="1"/>
  <c r="AQ197" i="12"/>
  <c r="AO197" i="12"/>
  <c r="AP197" i="12" s="1"/>
  <c r="AR197" i="12" s="1"/>
  <c r="W197" i="12"/>
  <c r="Y197" i="12" s="1"/>
  <c r="FA269" i="12"/>
  <c r="EY269" i="12"/>
  <c r="EZ269" i="12" s="1"/>
  <c r="FB269" i="12" s="1"/>
  <c r="FA333" i="12"/>
  <c r="EY333" i="12"/>
  <c r="EZ333" i="12" s="1"/>
  <c r="FB333" i="12" s="1"/>
  <c r="EF22" i="12"/>
  <c r="EG22" i="12" s="1"/>
  <c r="EI22" i="12" s="1"/>
  <c r="EH22" i="12"/>
  <c r="CV77" i="12"/>
  <c r="CT77" i="12"/>
  <c r="CU77" i="12" s="1"/>
  <c r="CW77" i="12" s="1"/>
  <c r="EH45" i="12"/>
  <c r="EF45" i="12"/>
  <c r="EG45" i="12" s="1"/>
  <c r="EI45" i="12" s="1"/>
  <c r="EF40" i="12"/>
  <c r="EG40" i="12" s="1"/>
  <c r="EI40" i="12" s="1"/>
  <c r="EH40" i="12"/>
  <c r="DO34" i="12"/>
  <c r="DM34" i="12"/>
  <c r="DN34" i="12" s="1"/>
  <c r="DP34" i="12" s="1"/>
  <c r="DM53" i="12"/>
  <c r="DN53" i="12" s="1"/>
  <c r="DP53" i="12" s="1"/>
  <c r="DO53" i="12"/>
  <c r="BJ94" i="12"/>
  <c r="BH94" i="12"/>
  <c r="BI94" i="12" s="1"/>
  <c r="BK94" i="12" s="1"/>
  <c r="DM116" i="12"/>
  <c r="DN116" i="12" s="1"/>
  <c r="DP116" i="12" s="1"/>
  <c r="DO116" i="12"/>
  <c r="FA173" i="12"/>
  <c r="EY173" i="12"/>
  <c r="EZ173" i="12" s="1"/>
  <c r="FB173" i="12" s="1"/>
  <c r="CV305" i="12"/>
  <c r="CT305" i="12"/>
  <c r="CU305" i="12" s="1"/>
  <c r="CW305" i="12" s="1"/>
  <c r="CC54" i="12"/>
  <c r="CA54" i="12"/>
  <c r="CB54" i="12" s="1"/>
  <c r="CD54" i="12" s="1"/>
  <c r="AQ101" i="12"/>
  <c r="AO101" i="12"/>
  <c r="AP101" i="12" s="1"/>
  <c r="AR101" i="12" s="1"/>
  <c r="W101" i="12"/>
  <c r="Y101" i="12" s="1"/>
  <c r="EH80" i="12"/>
  <c r="EF80" i="12"/>
  <c r="EG80" i="12" s="1"/>
  <c r="EI80" i="12" s="1"/>
  <c r="BH101" i="12"/>
  <c r="BI101" i="12" s="1"/>
  <c r="BK101" i="12" s="1"/>
  <c r="BJ101" i="12"/>
  <c r="CV98" i="12"/>
  <c r="CT98" i="12"/>
  <c r="CU98" i="12" s="1"/>
  <c r="CW98" i="12" s="1"/>
  <c r="DO98" i="12"/>
  <c r="DM98" i="12"/>
  <c r="DN98" i="12" s="1"/>
  <c r="DP98" i="12" s="1"/>
  <c r="AQ119" i="12"/>
  <c r="AO119" i="12"/>
  <c r="AP119" i="12" s="1"/>
  <c r="AR119" i="12" s="1"/>
  <c r="W119" i="12"/>
  <c r="Y119" i="12" s="1"/>
  <c r="DO153" i="12"/>
  <c r="DM153" i="12"/>
  <c r="DN153" i="12" s="1"/>
  <c r="DP153" i="12" s="1"/>
  <c r="CC143" i="12"/>
  <c r="CA143" i="12"/>
  <c r="CB143" i="12" s="1"/>
  <c r="CD143" i="12" s="1"/>
  <c r="EY138" i="12"/>
  <c r="EZ138" i="12" s="1"/>
  <c r="FB138" i="12" s="1"/>
  <c r="FA138" i="12"/>
  <c r="BJ165" i="12"/>
  <c r="BH165" i="12"/>
  <c r="BI165" i="12" s="1"/>
  <c r="BK165" i="12" s="1"/>
  <c r="CT168" i="12"/>
  <c r="CU168" i="12" s="1"/>
  <c r="CW168" i="12" s="1"/>
  <c r="CV168" i="12"/>
  <c r="BJ177" i="12"/>
  <c r="BH177" i="12"/>
  <c r="BI177" i="12" s="1"/>
  <c r="BK177" i="12" s="1"/>
  <c r="CV182" i="12"/>
  <c r="CT182" i="12"/>
  <c r="CU182" i="12" s="1"/>
  <c r="CW182" i="12" s="1"/>
  <c r="EY176" i="12"/>
  <c r="EZ176" i="12" s="1"/>
  <c r="FB176" i="12" s="1"/>
  <c r="FA176" i="12"/>
  <c r="EF201" i="12"/>
  <c r="EG201" i="12" s="1"/>
  <c r="EI201" i="12" s="1"/>
  <c r="EH201" i="12"/>
  <c r="EF207" i="12"/>
  <c r="EG207" i="12" s="1"/>
  <c r="EI207" i="12" s="1"/>
  <c r="EH207" i="12"/>
  <c r="CV217" i="12"/>
  <c r="CT217" i="12"/>
  <c r="CU217" i="12" s="1"/>
  <c r="CW217" i="12" s="1"/>
  <c r="EH229" i="12"/>
  <c r="EF229" i="12"/>
  <c r="EG229" i="12" s="1"/>
  <c r="EI229" i="12" s="1"/>
  <c r="CC232" i="12"/>
  <c r="CA232" i="12"/>
  <c r="CB232" i="12" s="1"/>
  <c r="CD232" i="12" s="1"/>
  <c r="EH245" i="12"/>
  <c r="EF245" i="12"/>
  <c r="EG245" i="12" s="1"/>
  <c r="EI245" i="12" s="1"/>
  <c r="CV260" i="12"/>
  <c r="CT260" i="12"/>
  <c r="CU260" i="12" s="1"/>
  <c r="CW260" i="12" s="1"/>
  <c r="DM255" i="12"/>
  <c r="DN255" i="12" s="1"/>
  <c r="DP255" i="12" s="1"/>
  <c r="DO255" i="12"/>
  <c r="CV276" i="12"/>
  <c r="CT276" i="12"/>
  <c r="CU276" i="12" s="1"/>
  <c r="CW276" i="12" s="1"/>
  <c r="CT284" i="12"/>
  <c r="CU284" i="12" s="1"/>
  <c r="CW284" i="12" s="1"/>
  <c r="CV284" i="12"/>
  <c r="CC289" i="12"/>
  <c r="CA289" i="12"/>
  <c r="CB289" i="12" s="1"/>
  <c r="CD289" i="12" s="1"/>
  <c r="FA301" i="12"/>
  <c r="EY301" i="12"/>
  <c r="EZ301" i="12" s="1"/>
  <c r="FB301" i="12" s="1"/>
  <c r="CC311" i="12"/>
  <c r="CA311" i="12"/>
  <c r="CB311" i="12" s="1"/>
  <c r="CD311" i="12" s="1"/>
  <c r="BJ312" i="12"/>
  <c r="BH312" i="12"/>
  <c r="BI312" i="12" s="1"/>
  <c r="BK312" i="12" s="1"/>
  <c r="CV325" i="12"/>
  <c r="CT325" i="12"/>
  <c r="CU325" i="12" s="1"/>
  <c r="CW325" i="12" s="1"/>
  <c r="CC330" i="12"/>
  <c r="CA330" i="12"/>
  <c r="CB330" i="12" s="1"/>
  <c r="CD330" i="12" s="1"/>
  <c r="AO340" i="12"/>
  <c r="AP340" i="12" s="1"/>
  <c r="AR340" i="12" s="1"/>
  <c r="AQ340" i="12"/>
  <c r="W340" i="12"/>
  <c r="Y340" i="12" s="1"/>
  <c r="EF346" i="12"/>
  <c r="EG346" i="12" s="1"/>
  <c r="EI346" i="12" s="1"/>
  <c r="EH346" i="12"/>
  <c r="BJ352" i="12"/>
  <c r="BH352" i="12"/>
  <c r="BI352" i="12" s="1"/>
  <c r="BK352" i="12" s="1"/>
  <c r="EY62" i="12"/>
  <c r="EZ62" i="12" s="1"/>
  <c r="FB62" i="12" s="1"/>
  <c r="FA62" i="12"/>
  <c r="CA57" i="12"/>
  <c r="CB57" i="12" s="1"/>
  <c r="CD57" i="12" s="1"/>
  <c r="CC57" i="12"/>
  <c r="CV104" i="12"/>
  <c r="CT104" i="12"/>
  <c r="CU104" i="12" s="1"/>
  <c r="CW104" i="12" s="1"/>
  <c r="EH109" i="12"/>
  <c r="EF109" i="12"/>
  <c r="EG109" i="12" s="1"/>
  <c r="EI109" i="12" s="1"/>
  <c r="BJ107" i="12"/>
  <c r="BH107" i="12"/>
  <c r="BI107" i="12" s="1"/>
  <c r="BK107" i="12" s="1"/>
  <c r="BJ124" i="12"/>
  <c r="BH124" i="12"/>
  <c r="BI124" i="12" s="1"/>
  <c r="BK124" i="12" s="1"/>
  <c r="FA124" i="12"/>
  <c r="EY124" i="12"/>
  <c r="EZ124" i="12" s="1"/>
  <c r="FB124" i="12" s="1"/>
  <c r="DM172" i="12"/>
  <c r="DN172" i="12" s="1"/>
  <c r="DP172" i="12" s="1"/>
  <c r="DO172" i="12"/>
  <c r="DO164" i="12"/>
  <c r="DM164" i="12"/>
  <c r="DN164" i="12" s="1"/>
  <c r="DP164" i="12" s="1"/>
  <c r="EY183" i="12"/>
  <c r="EZ183" i="12" s="1"/>
  <c r="FB183" i="12" s="1"/>
  <c r="FA183" i="12"/>
  <c r="CT185" i="12"/>
  <c r="CU185" i="12" s="1"/>
  <c r="CW185" i="12" s="1"/>
  <c r="CV185" i="12"/>
  <c r="EY200" i="12"/>
  <c r="EZ200" i="12" s="1"/>
  <c r="FB200" i="12" s="1"/>
  <c r="FA200" i="12"/>
  <c r="AQ211" i="12"/>
  <c r="AO211" i="12"/>
  <c r="AP211" i="12" s="1"/>
  <c r="AR211" i="12" s="1"/>
  <c r="W211" i="12"/>
  <c r="Y211" i="12" s="1"/>
  <c r="DM209" i="12"/>
  <c r="DN209" i="12" s="1"/>
  <c r="DP209" i="12" s="1"/>
  <c r="DO209" i="12"/>
  <c r="AO237" i="12"/>
  <c r="AP237" i="12" s="1"/>
  <c r="AR237" i="12" s="1"/>
  <c r="AQ237" i="12"/>
  <c r="W237" i="12"/>
  <c r="Y237" i="12" s="1"/>
  <c r="EY223" i="12"/>
  <c r="EZ223" i="12" s="1"/>
  <c r="FB223" i="12" s="1"/>
  <c r="FA223" i="12"/>
  <c r="AO258" i="12"/>
  <c r="AP258" i="12" s="1"/>
  <c r="AR258" i="12" s="1"/>
  <c r="AQ258" i="12"/>
  <c r="W258" i="12"/>
  <c r="Y258" i="12" s="1"/>
  <c r="CA264" i="12"/>
  <c r="CB264" i="12" s="1"/>
  <c r="CD264" i="12" s="1"/>
  <c r="CC264" i="12"/>
  <c r="CC282" i="12"/>
  <c r="CA282" i="12"/>
  <c r="CB282" i="12" s="1"/>
  <c r="CD282" i="12" s="1"/>
  <c r="CV297" i="12"/>
  <c r="CT297" i="12"/>
  <c r="CU297" i="12" s="1"/>
  <c r="CW297" i="12" s="1"/>
  <c r="EH309" i="12"/>
  <c r="EF309" i="12"/>
  <c r="EG309" i="12" s="1"/>
  <c r="EI309" i="12" s="1"/>
  <c r="BJ325" i="12"/>
  <c r="BH325" i="12"/>
  <c r="BI325" i="12" s="1"/>
  <c r="BK325" i="12" s="1"/>
  <c r="EF327" i="12"/>
  <c r="EG327" i="12" s="1"/>
  <c r="EI327" i="12" s="1"/>
  <c r="EH327" i="12"/>
  <c r="CV331" i="12"/>
  <c r="CT331" i="12"/>
  <c r="CU331" i="12" s="1"/>
  <c r="CW331" i="12" s="1"/>
  <c r="EH343" i="12"/>
  <c r="EF343" i="12"/>
  <c r="EG343" i="12" s="1"/>
  <c r="EI343" i="12" s="1"/>
  <c r="AQ347" i="12"/>
  <c r="AO347" i="12"/>
  <c r="AP347" i="12" s="1"/>
  <c r="AR347" i="12" s="1"/>
  <c r="W347" i="12"/>
  <c r="Y347" i="12" s="1"/>
  <c r="CV355" i="12"/>
  <c r="CT355" i="12"/>
  <c r="CU355" i="12" s="1"/>
  <c r="CW355" i="12" s="1"/>
  <c r="CT75" i="12"/>
  <c r="CU75" i="12" s="1"/>
  <c r="CW75" i="12" s="1"/>
  <c r="CV75" i="12"/>
  <c r="FA69" i="12"/>
  <c r="EY69" i="12"/>
  <c r="EZ69" i="12" s="1"/>
  <c r="FB69" i="12" s="1"/>
  <c r="CA90" i="12"/>
  <c r="CB90" i="12" s="1"/>
  <c r="CD90" i="12" s="1"/>
  <c r="CC90" i="12"/>
  <c r="AQ87" i="12"/>
  <c r="AO87" i="12"/>
  <c r="AP87" i="12" s="1"/>
  <c r="AR87" i="12" s="1"/>
  <c r="W87" i="12"/>
  <c r="Y87" i="12" s="1"/>
  <c r="CA115" i="12"/>
  <c r="CB115" i="12" s="1"/>
  <c r="CD115" i="12" s="1"/>
  <c r="CC115" i="12"/>
  <c r="CV156" i="12"/>
  <c r="CT156" i="12"/>
  <c r="CU156" i="12" s="1"/>
  <c r="CW156" i="12" s="1"/>
  <c r="EH136" i="12"/>
  <c r="EF136" i="12"/>
  <c r="EG136" i="12" s="1"/>
  <c r="EI136" i="12" s="1"/>
  <c r="CV137" i="12"/>
  <c r="CT137" i="12"/>
  <c r="CU137" i="12" s="1"/>
  <c r="CW137" i="12" s="1"/>
  <c r="CV132" i="12"/>
  <c r="CT132" i="12"/>
  <c r="CU132" i="12" s="1"/>
  <c r="CW132" i="12" s="1"/>
  <c r="BJ153" i="12"/>
  <c r="BH153" i="12"/>
  <c r="BI153" i="12" s="1"/>
  <c r="BK153" i="12" s="1"/>
  <c r="CV154" i="12"/>
  <c r="CT154" i="12"/>
  <c r="CU154" i="12" s="1"/>
  <c r="CW154" i="12" s="1"/>
  <c r="EF155" i="12"/>
  <c r="EG155" i="12" s="1"/>
  <c r="EI155" i="12" s="1"/>
  <c r="EH155" i="12"/>
  <c r="AQ171" i="12"/>
  <c r="AO171" i="12"/>
  <c r="AP171" i="12" s="1"/>
  <c r="AR171" i="12" s="1"/>
  <c r="W171" i="12"/>
  <c r="Y171" i="12" s="1"/>
  <c r="DO212" i="12"/>
  <c r="DM212" i="12"/>
  <c r="DN212" i="12" s="1"/>
  <c r="DP212" i="12" s="1"/>
  <c r="EH198" i="12"/>
  <c r="EF198" i="12"/>
  <c r="EG198" i="12" s="1"/>
  <c r="EI198" i="12" s="1"/>
  <c r="DO245" i="12"/>
  <c r="DM245" i="12"/>
  <c r="DN245" i="12" s="1"/>
  <c r="DP245" i="12" s="1"/>
  <c r="AQ227" i="12"/>
  <c r="AO227" i="12"/>
  <c r="AP227" i="12" s="1"/>
  <c r="AR227" i="12" s="1"/>
  <c r="W227" i="12"/>
  <c r="Y227" i="12" s="1"/>
  <c r="EH246" i="12"/>
  <c r="EF246" i="12"/>
  <c r="EG246" i="12" s="1"/>
  <c r="EI246" i="12" s="1"/>
  <c r="BJ242" i="12"/>
  <c r="BH242" i="12"/>
  <c r="BI242" i="12" s="1"/>
  <c r="BK242" i="12" s="1"/>
  <c r="BJ239" i="12"/>
  <c r="BH239" i="12"/>
  <c r="BI239" i="12" s="1"/>
  <c r="BK239" i="12" s="1"/>
  <c r="AO249" i="12"/>
  <c r="AP249" i="12" s="1"/>
  <c r="AR249" i="12" s="1"/>
  <c r="AQ249" i="12"/>
  <c r="W249" i="12"/>
  <c r="Y249" i="12" s="1"/>
  <c r="FA262" i="12"/>
  <c r="EY262" i="12"/>
  <c r="EZ262" i="12" s="1"/>
  <c r="FB262" i="12" s="1"/>
  <c r="AQ271" i="12"/>
  <c r="AO271" i="12"/>
  <c r="AP271" i="12" s="1"/>
  <c r="AR271" i="12" s="1"/>
  <c r="W271" i="12"/>
  <c r="Y271" i="12" s="1"/>
  <c r="FA267" i="12"/>
  <c r="EY267" i="12"/>
  <c r="EZ267" i="12" s="1"/>
  <c r="FB267" i="12" s="1"/>
  <c r="CV278" i="12"/>
  <c r="CT278" i="12"/>
  <c r="CU278" i="12" s="1"/>
  <c r="CW278" i="12" s="1"/>
  <c r="DM301" i="12"/>
  <c r="DN301" i="12" s="1"/>
  <c r="DP301" i="12" s="1"/>
  <c r="DO301" i="12"/>
  <c r="CV311" i="12"/>
  <c r="CT311" i="12"/>
  <c r="CU311" i="12" s="1"/>
  <c r="CW311" i="12" s="1"/>
  <c r="CC317" i="12"/>
  <c r="CA317" i="12"/>
  <c r="CB317" i="12" s="1"/>
  <c r="CD317" i="12" s="1"/>
  <c r="CC324" i="12"/>
  <c r="CA324" i="12"/>
  <c r="CB324" i="12" s="1"/>
  <c r="CD324" i="12" s="1"/>
  <c r="AO335" i="12"/>
  <c r="AP335" i="12" s="1"/>
  <c r="AR335" i="12" s="1"/>
  <c r="AQ335" i="12"/>
  <c r="W335" i="12"/>
  <c r="Y335" i="12" s="1"/>
  <c r="BH351" i="12"/>
  <c r="BI351" i="12" s="1"/>
  <c r="BK351" i="12" s="1"/>
  <c r="BJ351" i="12"/>
  <c r="CC358" i="12"/>
  <c r="CA358" i="12"/>
  <c r="CB358" i="12" s="1"/>
  <c r="CD358" i="12" s="1"/>
  <c r="CT54" i="12"/>
  <c r="CU54" i="12" s="1"/>
  <c r="CW54" i="12" s="1"/>
  <c r="CV54" i="12"/>
  <c r="FA106" i="12"/>
  <c r="EY106" i="12"/>
  <c r="EZ106" i="12" s="1"/>
  <c r="FB106" i="12" s="1"/>
  <c r="DO103" i="12"/>
  <c r="DM103" i="12"/>
  <c r="DN103" i="12" s="1"/>
  <c r="DP103" i="12" s="1"/>
  <c r="CC104" i="12"/>
  <c r="CA104" i="12"/>
  <c r="CB104" i="12" s="1"/>
  <c r="CD104" i="12" s="1"/>
  <c r="CA121" i="12"/>
  <c r="CB121" i="12" s="1"/>
  <c r="CD121" i="12" s="1"/>
  <c r="CC121" i="12"/>
  <c r="CV160" i="12"/>
  <c r="CT160" i="12"/>
  <c r="CU160" i="12" s="1"/>
  <c r="CW160" i="12" s="1"/>
  <c r="BH162" i="12"/>
  <c r="BI162" i="12" s="1"/>
  <c r="BK162" i="12" s="1"/>
  <c r="BJ162" i="12"/>
  <c r="AQ144" i="12"/>
  <c r="AO144" i="12"/>
  <c r="AP144" i="12" s="1"/>
  <c r="AR144" i="12" s="1"/>
  <c r="W144" i="12"/>
  <c r="Y144" i="12" s="1"/>
  <c r="BJ189" i="12"/>
  <c r="BH189" i="12"/>
  <c r="BI189" i="12" s="1"/>
  <c r="BK189" i="12" s="1"/>
  <c r="BJ193" i="12"/>
  <c r="BH193" i="12"/>
  <c r="BI193" i="12" s="1"/>
  <c r="BK193" i="12" s="1"/>
  <c r="EY175" i="12"/>
  <c r="EZ175" i="12" s="1"/>
  <c r="FB175" i="12" s="1"/>
  <c r="FA175" i="12"/>
  <c r="DO187" i="12"/>
  <c r="DM187" i="12"/>
  <c r="DN187" i="12" s="1"/>
  <c r="DP187" i="12" s="1"/>
  <c r="AQ182" i="12"/>
  <c r="AO182" i="12"/>
  <c r="AP182" i="12" s="1"/>
  <c r="AR182" i="12" s="1"/>
  <c r="W182" i="12"/>
  <c r="Y182" i="12" s="1"/>
  <c r="BJ208" i="12"/>
  <c r="BH208" i="12"/>
  <c r="BI208" i="12" s="1"/>
  <c r="BK208" i="12" s="1"/>
  <c r="EH206" i="12"/>
  <c r="EF206" i="12"/>
  <c r="EG206" i="12" s="1"/>
  <c r="EI206" i="12" s="1"/>
  <c r="EF235" i="12"/>
  <c r="EG235" i="12" s="1"/>
  <c r="EI235" i="12" s="1"/>
  <c r="EH235" i="12"/>
  <c r="DO235" i="12"/>
  <c r="DM235" i="12"/>
  <c r="DN235" i="12" s="1"/>
  <c r="DP235" i="12" s="1"/>
  <c r="BH255" i="12"/>
  <c r="BI255" i="12" s="1"/>
  <c r="BK255" i="12" s="1"/>
  <c r="BJ255" i="12"/>
  <c r="DM277" i="12"/>
  <c r="DN277" i="12" s="1"/>
  <c r="DP277" i="12" s="1"/>
  <c r="DO277" i="12"/>
  <c r="CA261" i="12"/>
  <c r="CB261" i="12" s="1"/>
  <c r="CD261" i="12" s="1"/>
  <c r="CC261" i="12"/>
  <c r="DO266" i="12"/>
  <c r="DM266" i="12"/>
  <c r="DN266" i="12" s="1"/>
  <c r="DP266" i="12" s="1"/>
  <c r="CT279" i="12"/>
  <c r="CU279" i="12" s="1"/>
  <c r="CW279" i="12" s="1"/>
  <c r="CV279" i="12"/>
  <c r="BH294" i="12"/>
  <c r="BI294" i="12" s="1"/>
  <c r="BK294" i="12" s="1"/>
  <c r="BJ294" i="12"/>
  <c r="AQ294" i="12"/>
  <c r="AO294" i="12"/>
  <c r="AP294" i="12" s="1"/>
  <c r="AR294" i="12" s="1"/>
  <c r="W294" i="12"/>
  <c r="Y294" i="12" s="1"/>
  <c r="EY306" i="12"/>
  <c r="EZ306" i="12" s="1"/>
  <c r="FB306" i="12" s="1"/>
  <c r="FA306" i="12"/>
  <c r="DO319" i="12"/>
  <c r="DM319" i="12"/>
  <c r="DN319" i="12" s="1"/>
  <c r="DP319" i="12" s="1"/>
  <c r="BJ322" i="12"/>
  <c r="BH322" i="12"/>
  <c r="BI322" i="12" s="1"/>
  <c r="BK322" i="12" s="1"/>
  <c r="DO328" i="12"/>
  <c r="DM328" i="12"/>
  <c r="DN328" i="12" s="1"/>
  <c r="DP328" i="12" s="1"/>
  <c r="BJ341" i="12"/>
  <c r="BH341" i="12"/>
  <c r="BI341" i="12" s="1"/>
  <c r="BK341" i="12" s="1"/>
  <c r="AQ348" i="12"/>
  <c r="AO348" i="12"/>
  <c r="AP348" i="12" s="1"/>
  <c r="AR348" i="12" s="1"/>
  <c r="W348" i="12"/>
  <c r="Y348" i="12" s="1"/>
  <c r="DM354" i="12"/>
  <c r="DN354" i="12" s="1"/>
  <c r="DP354" i="12" s="1"/>
  <c r="DO354" i="12"/>
  <c r="BJ362" i="12"/>
  <c r="BH362" i="12"/>
  <c r="BI362" i="12" s="1"/>
  <c r="BK362" i="12" s="1"/>
  <c r="AO76" i="12"/>
  <c r="AP76" i="12" s="1"/>
  <c r="AR76" i="12" s="1"/>
  <c r="AQ76" i="12"/>
  <c r="W76" i="12"/>
  <c r="Y76" i="12" s="1"/>
  <c r="CT91" i="12"/>
  <c r="CU91" i="12" s="1"/>
  <c r="CW91" i="12" s="1"/>
  <c r="CV91" i="12"/>
  <c r="BJ88" i="12"/>
  <c r="BH88" i="12"/>
  <c r="BI88" i="12" s="1"/>
  <c r="BK88" i="12" s="1"/>
  <c r="AQ118" i="12"/>
  <c r="AO118" i="12"/>
  <c r="AP118" i="12" s="1"/>
  <c r="AR118" i="12" s="1"/>
  <c r="W118" i="12"/>
  <c r="Y118" i="12" s="1"/>
  <c r="CV115" i="12"/>
  <c r="CT115" i="12"/>
  <c r="CU115" i="12" s="1"/>
  <c r="CW115" i="12" s="1"/>
  <c r="FA137" i="12"/>
  <c r="EY137" i="12"/>
  <c r="EZ137" i="12" s="1"/>
  <c r="FB137" i="12" s="1"/>
  <c r="AQ138" i="12"/>
  <c r="AO138" i="12"/>
  <c r="AP138" i="12" s="1"/>
  <c r="AR138" i="12" s="1"/>
  <c r="W138" i="12"/>
  <c r="Y138" i="12" s="1"/>
  <c r="AQ133" i="12"/>
  <c r="AO133" i="12"/>
  <c r="AP133" i="12" s="1"/>
  <c r="AR133" i="12" s="1"/>
  <c r="W133" i="12"/>
  <c r="Y133" i="12" s="1"/>
  <c r="DO128" i="12"/>
  <c r="DM128" i="12"/>
  <c r="DN128" i="12" s="1"/>
  <c r="DP128" i="12" s="1"/>
  <c r="CC154" i="12"/>
  <c r="CA154" i="12"/>
  <c r="CB154" i="12" s="1"/>
  <c r="CD154" i="12" s="1"/>
  <c r="AQ155" i="12"/>
  <c r="AO155" i="12"/>
  <c r="AP155" i="12" s="1"/>
  <c r="AR155" i="12" s="1"/>
  <c r="W155" i="12"/>
  <c r="Y155" i="12" s="1"/>
  <c r="EY156" i="12"/>
  <c r="EZ156" i="12" s="1"/>
  <c r="FB156" i="12" s="1"/>
  <c r="FA156" i="12"/>
  <c r="BH172" i="12"/>
  <c r="BI172" i="12" s="1"/>
  <c r="BK172" i="12" s="1"/>
  <c r="BJ172" i="12"/>
  <c r="DM166" i="12"/>
  <c r="DN166" i="12" s="1"/>
  <c r="DP166" i="12" s="1"/>
  <c r="DO166" i="12"/>
  <c r="EF197" i="12"/>
  <c r="EG197" i="12" s="1"/>
  <c r="EI197" i="12" s="1"/>
  <c r="EH197" i="12"/>
  <c r="EY199" i="12"/>
  <c r="EZ199" i="12" s="1"/>
  <c r="FB199" i="12" s="1"/>
  <c r="FA199" i="12"/>
  <c r="CV222" i="12"/>
  <c r="CT222" i="12"/>
  <c r="CU222" i="12" s="1"/>
  <c r="CW222" i="12" s="1"/>
  <c r="FA239" i="12"/>
  <c r="EY239" i="12"/>
  <c r="EZ239" i="12" s="1"/>
  <c r="FB239" i="12" s="1"/>
  <c r="AQ222" i="12"/>
  <c r="AO222" i="12"/>
  <c r="AP222" i="12" s="1"/>
  <c r="AR222" i="12" s="1"/>
  <c r="W222" i="12"/>
  <c r="Y222" i="12" s="1"/>
  <c r="BH246" i="12"/>
  <c r="BI246" i="12" s="1"/>
  <c r="BK246" i="12" s="1"/>
  <c r="BJ246" i="12"/>
  <c r="CC240" i="12"/>
  <c r="CA240" i="12"/>
  <c r="CB240" i="12" s="1"/>
  <c r="CD240" i="12" s="1"/>
  <c r="BJ250" i="12"/>
  <c r="BH250" i="12"/>
  <c r="BI250" i="12" s="1"/>
  <c r="BK250" i="12" s="1"/>
  <c r="DO264" i="12"/>
  <c r="DM264" i="12"/>
  <c r="DN264" i="12" s="1"/>
  <c r="DP264" i="12" s="1"/>
  <c r="BJ272" i="12"/>
  <c r="BH272" i="12"/>
  <c r="BI272" i="12" s="1"/>
  <c r="BK272" i="12" s="1"/>
  <c r="AO279" i="12"/>
  <c r="AP279" i="12" s="1"/>
  <c r="AR279" i="12" s="1"/>
  <c r="AQ279" i="12"/>
  <c r="W279" i="12"/>
  <c r="Y279" i="12" s="1"/>
  <c r="DO291" i="12"/>
  <c r="DM291" i="12"/>
  <c r="DN291" i="12" s="1"/>
  <c r="DP291" i="12" s="1"/>
  <c r="EH302" i="12"/>
  <c r="EF302" i="12"/>
  <c r="EG302" i="12" s="1"/>
  <c r="EI302" i="12" s="1"/>
  <c r="EF303" i="12"/>
  <c r="EG303" i="12" s="1"/>
  <c r="EI303" i="12" s="1"/>
  <c r="EH303" i="12"/>
  <c r="CT322" i="12"/>
  <c r="CU322" i="12" s="1"/>
  <c r="CW322" i="12" s="1"/>
  <c r="CV322" i="12"/>
  <c r="FA325" i="12"/>
  <c r="EY325" i="12"/>
  <c r="EZ325" i="12" s="1"/>
  <c r="FB325" i="12" s="1"/>
  <c r="BJ336" i="12"/>
  <c r="BH336" i="12"/>
  <c r="BI336" i="12" s="1"/>
  <c r="BK336" i="12" s="1"/>
  <c r="CC342" i="12"/>
  <c r="CA342" i="12"/>
  <c r="CB342" i="12" s="1"/>
  <c r="CD342" i="12" s="1"/>
  <c r="CV352" i="12"/>
  <c r="CT352" i="12"/>
  <c r="CU352" i="12" s="1"/>
  <c r="CW352" i="12" s="1"/>
  <c r="CA361" i="12"/>
  <c r="CB361" i="12" s="1"/>
  <c r="CD361" i="12" s="1"/>
  <c r="CC361" i="12"/>
  <c r="DO78" i="12"/>
  <c r="DM78" i="12"/>
  <c r="DN78" i="12" s="1"/>
  <c r="DP78" i="12" s="1"/>
  <c r="DM80" i="12"/>
  <c r="DN80" i="12" s="1"/>
  <c r="DP80" i="12" s="1"/>
  <c r="DO80" i="12"/>
  <c r="AQ75" i="12"/>
  <c r="AO75" i="12"/>
  <c r="AP75" i="12" s="1"/>
  <c r="AR75" i="12" s="1"/>
  <c r="W75" i="12"/>
  <c r="Y75" i="12" s="1"/>
  <c r="EH92" i="12"/>
  <c r="EF92" i="12"/>
  <c r="EG92" i="12" s="1"/>
  <c r="EI92" i="12" s="1"/>
  <c r="CV93" i="12"/>
  <c r="CT93" i="12"/>
  <c r="CU93" i="12" s="1"/>
  <c r="CW93" i="12" s="1"/>
  <c r="CT142" i="12"/>
  <c r="CU142" i="12" s="1"/>
  <c r="CW142" i="12" s="1"/>
  <c r="CV142" i="12"/>
  <c r="DO142" i="12"/>
  <c r="DM142" i="12"/>
  <c r="DN142" i="12" s="1"/>
  <c r="DP142" i="12" s="1"/>
  <c r="DO137" i="12"/>
  <c r="DM137" i="12"/>
  <c r="DN137" i="12" s="1"/>
  <c r="DP137" i="12" s="1"/>
  <c r="BJ133" i="12"/>
  <c r="BH133" i="12"/>
  <c r="BI133" i="12" s="1"/>
  <c r="BK133" i="12" s="1"/>
  <c r="FA158" i="12"/>
  <c r="EY158" i="12"/>
  <c r="EZ158" i="12" s="1"/>
  <c r="FB158" i="12" s="1"/>
  <c r="DO159" i="12"/>
  <c r="DM159" i="12"/>
  <c r="DN159" i="12" s="1"/>
  <c r="DP159" i="12" s="1"/>
  <c r="CT161" i="12"/>
  <c r="CU161" i="12" s="1"/>
  <c r="CW161" i="12" s="1"/>
  <c r="CV161" i="12"/>
  <c r="EH176" i="12"/>
  <c r="EF176" i="12"/>
  <c r="EG176" i="12" s="1"/>
  <c r="EI176" i="12" s="1"/>
  <c r="BJ171" i="12"/>
  <c r="BH171" i="12"/>
  <c r="BI171" i="12" s="1"/>
  <c r="BK171" i="12" s="1"/>
  <c r="EH194" i="12"/>
  <c r="EF194" i="12"/>
  <c r="EG194" i="12" s="1"/>
  <c r="EI194" i="12" s="1"/>
  <c r="CV204" i="12"/>
  <c r="CT204" i="12"/>
  <c r="CU204" i="12" s="1"/>
  <c r="CW204" i="12" s="1"/>
  <c r="EH211" i="12"/>
  <c r="EF211" i="12"/>
  <c r="EG211" i="12" s="1"/>
  <c r="EI211" i="12" s="1"/>
  <c r="AQ224" i="12"/>
  <c r="AO224" i="12"/>
  <c r="AP224" i="12" s="1"/>
  <c r="AR224" i="12" s="1"/>
  <c r="W224" i="12"/>
  <c r="Y224" i="12" s="1"/>
  <c r="DO226" i="12"/>
  <c r="DM226" i="12"/>
  <c r="DN226" i="12" s="1"/>
  <c r="DP226" i="12" s="1"/>
  <c r="AQ240" i="12"/>
  <c r="AO240" i="12"/>
  <c r="AP240" i="12" s="1"/>
  <c r="AR240" i="12" s="1"/>
  <c r="W240" i="12"/>
  <c r="Y240" i="12" s="1"/>
  <c r="EY244" i="12"/>
  <c r="EZ244" i="12" s="1"/>
  <c r="FB244" i="12" s="1"/>
  <c r="FA244" i="12"/>
  <c r="EH254" i="12"/>
  <c r="EF254" i="12"/>
  <c r="EG254" i="12" s="1"/>
  <c r="EI254" i="12" s="1"/>
  <c r="CT250" i="12"/>
  <c r="CU250" i="12" s="1"/>
  <c r="CW250" i="12" s="1"/>
  <c r="CV250" i="12"/>
  <c r="AQ273" i="12"/>
  <c r="AO273" i="12"/>
  <c r="AP273" i="12" s="1"/>
  <c r="AR273" i="12" s="1"/>
  <c r="W273" i="12"/>
  <c r="Y273" i="12" s="1"/>
  <c r="DO283" i="12"/>
  <c r="DM283" i="12"/>
  <c r="DN283" i="12" s="1"/>
  <c r="DP283" i="12" s="1"/>
  <c r="BJ296" i="12"/>
  <c r="BH296" i="12"/>
  <c r="BI296" i="12" s="1"/>
  <c r="BK296" i="12" s="1"/>
  <c r="EH306" i="12"/>
  <c r="EF306" i="12"/>
  <c r="EG306" i="12" s="1"/>
  <c r="EI306" i="12" s="1"/>
  <c r="CA308" i="12"/>
  <c r="CB308" i="12" s="1"/>
  <c r="CD308" i="12" s="1"/>
  <c r="CC308" i="12"/>
  <c r="CC320" i="12"/>
  <c r="CA320" i="12"/>
  <c r="CB320" i="12" s="1"/>
  <c r="CD320" i="12" s="1"/>
  <c r="CC327" i="12"/>
  <c r="CA327" i="12"/>
  <c r="CB327" i="12" s="1"/>
  <c r="CD327" i="12" s="1"/>
  <c r="EH331" i="12"/>
  <c r="EF331" i="12"/>
  <c r="EG331" i="12" s="1"/>
  <c r="EI331" i="12" s="1"/>
  <c r="BJ344" i="12"/>
  <c r="BH344" i="12"/>
  <c r="BI344" i="12" s="1"/>
  <c r="BK344" i="12" s="1"/>
  <c r="BJ349" i="12"/>
  <c r="BH349" i="12"/>
  <c r="BI349" i="12" s="1"/>
  <c r="BK349" i="12" s="1"/>
  <c r="FA361" i="12"/>
  <c r="EY361" i="12"/>
  <c r="EZ361" i="12" s="1"/>
  <c r="FB361" i="12" s="1"/>
  <c r="CV20" i="12"/>
  <c r="CT20" i="12"/>
  <c r="CU20" i="12" s="1"/>
  <c r="CW20" i="12" s="1"/>
  <c r="CC99" i="12"/>
  <c r="CA99" i="12"/>
  <c r="CB99" i="12" s="1"/>
  <c r="CD99" i="12" s="1"/>
  <c r="DM79" i="12"/>
  <c r="DN79" i="12" s="1"/>
  <c r="DP79" i="12" s="1"/>
  <c r="DO79" i="12"/>
  <c r="AQ100" i="12"/>
  <c r="AO100" i="12"/>
  <c r="AP100" i="12" s="1"/>
  <c r="AR100" i="12" s="1"/>
  <c r="W100" i="12"/>
  <c r="Y100" i="12" s="1"/>
  <c r="CA97" i="12"/>
  <c r="CB97" i="12" s="1"/>
  <c r="CD97" i="12" s="1"/>
  <c r="CC97" i="12"/>
  <c r="CT118" i="12"/>
  <c r="CU118" i="12" s="1"/>
  <c r="CW118" i="12" s="1"/>
  <c r="CV118" i="12"/>
  <c r="DO150" i="12"/>
  <c r="DM150" i="12"/>
  <c r="DN150" i="12" s="1"/>
  <c r="DP150" i="12" s="1"/>
  <c r="FA149" i="12"/>
  <c r="EY149" i="12"/>
  <c r="EZ149" i="12" s="1"/>
  <c r="FB149" i="12" s="1"/>
  <c r="BJ142" i="12"/>
  <c r="BH142" i="12"/>
  <c r="BI142" i="12" s="1"/>
  <c r="BK142" i="12" s="1"/>
  <c r="EH137" i="12"/>
  <c r="EF137" i="12"/>
  <c r="EG137" i="12" s="1"/>
  <c r="EI137" i="12" s="1"/>
  <c r="CV163" i="12"/>
  <c r="CT163" i="12"/>
  <c r="CU163" i="12" s="1"/>
  <c r="CW163" i="12" s="1"/>
  <c r="AO165" i="12"/>
  <c r="AP165" i="12" s="1"/>
  <c r="AR165" i="12" s="1"/>
  <c r="AQ165" i="12"/>
  <c r="W165" i="12"/>
  <c r="Y165" i="12" s="1"/>
  <c r="BH174" i="12"/>
  <c r="BI174" i="12" s="1"/>
  <c r="BK174" i="12" s="1"/>
  <c r="BJ174" i="12"/>
  <c r="CC181" i="12"/>
  <c r="CA181" i="12"/>
  <c r="CB181" i="12" s="1"/>
  <c r="CD181" i="12" s="1"/>
  <c r="EH175" i="12"/>
  <c r="EF175" i="12"/>
  <c r="EG175" i="12" s="1"/>
  <c r="EI175" i="12" s="1"/>
  <c r="FA218" i="12"/>
  <c r="EY218" i="12"/>
  <c r="EZ218" i="12" s="1"/>
  <c r="FB218" i="12" s="1"/>
  <c r="CA216" i="12"/>
  <c r="CB216" i="12" s="1"/>
  <c r="CD216" i="12" s="1"/>
  <c r="CC216" i="12"/>
  <c r="DO228" i="12"/>
  <c r="DM228" i="12"/>
  <c r="DN228" i="12" s="1"/>
  <c r="DP228" i="12" s="1"/>
  <c r="BJ231" i="12"/>
  <c r="BH231" i="12"/>
  <c r="BI231" i="12" s="1"/>
  <c r="BK231" i="12" s="1"/>
  <c r="DO244" i="12"/>
  <c r="DM244" i="12"/>
  <c r="DN244" i="12" s="1"/>
  <c r="DP244" i="12" s="1"/>
  <c r="EY248" i="12"/>
  <c r="EZ248" i="12" s="1"/>
  <c r="FB248" i="12" s="1"/>
  <c r="FA248" i="12"/>
  <c r="CC259" i="12"/>
  <c r="CA259" i="12"/>
  <c r="CB259" i="12" s="1"/>
  <c r="CD259" i="12" s="1"/>
  <c r="DM289" i="12"/>
  <c r="DN289" i="12" s="1"/>
  <c r="DP289" i="12" s="1"/>
  <c r="DO289" i="12"/>
  <c r="EY298" i="12"/>
  <c r="EZ298" i="12" s="1"/>
  <c r="FB298" i="12" s="1"/>
  <c r="FA298" i="12"/>
  <c r="BJ288" i="12"/>
  <c r="BH288" i="12"/>
  <c r="BI288" i="12" s="1"/>
  <c r="BK288" i="12" s="1"/>
  <c r="EH300" i="12"/>
  <c r="EF300" i="12"/>
  <c r="EG300" i="12" s="1"/>
  <c r="EI300" i="12" s="1"/>
  <c r="AO313" i="12"/>
  <c r="AP313" i="12" s="1"/>
  <c r="AR313" i="12" s="1"/>
  <c r="AQ313" i="12"/>
  <c r="W313" i="12"/>
  <c r="Y313" i="12" s="1"/>
  <c r="AQ311" i="12"/>
  <c r="AO311" i="12"/>
  <c r="AP311" i="12" s="1"/>
  <c r="AR311" i="12" s="1"/>
  <c r="W311" i="12"/>
  <c r="Y311" i="12" s="1"/>
  <c r="AQ326" i="12"/>
  <c r="AO326" i="12"/>
  <c r="AP326" i="12" s="1"/>
  <c r="AR326" i="12" s="1"/>
  <c r="W326" i="12"/>
  <c r="Y326" i="12" s="1"/>
  <c r="EY334" i="12"/>
  <c r="EZ334" i="12" s="1"/>
  <c r="FB334" i="12" s="1"/>
  <c r="FA334" i="12"/>
  <c r="CC336" i="12"/>
  <c r="CA336" i="12"/>
  <c r="CB336" i="12" s="1"/>
  <c r="CD336" i="12" s="1"/>
  <c r="DO345" i="12"/>
  <c r="DM345" i="12"/>
  <c r="DN345" i="12" s="1"/>
  <c r="DP345" i="12" s="1"/>
  <c r="AO355" i="12"/>
  <c r="AP355" i="12" s="1"/>
  <c r="AR355" i="12" s="1"/>
  <c r="AQ355" i="12"/>
  <c r="W355" i="12"/>
  <c r="Y355" i="12" s="1"/>
  <c r="FA360" i="12"/>
  <c r="EY360" i="12"/>
  <c r="EZ360" i="12" s="1"/>
  <c r="FB360" i="12" s="1"/>
  <c r="FA15" i="12"/>
  <c r="EY15" i="12"/>
  <c r="EZ15" i="12" s="1"/>
  <c r="FB15" i="12" s="1"/>
  <c r="EH18" i="12"/>
  <c r="EF18" i="12"/>
  <c r="EG18" i="12" s="1"/>
  <c r="EI18" i="12" s="1"/>
  <c r="CV17" i="12"/>
  <c r="CT17" i="12"/>
  <c r="CU17" i="12" s="1"/>
  <c r="CW17" i="12" s="1"/>
  <c r="AQ17" i="12"/>
  <c r="AO17" i="12"/>
  <c r="AP17" i="12" s="1"/>
  <c r="AR17" i="12" s="1"/>
  <c r="W17" i="12"/>
  <c r="Y17" i="12" s="1"/>
  <c r="CV69" i="12"/>
  <c r="CT69" i="12"/>
  <c r="CU69" i="12" s="1"/>
  <c r="CW69" i="12" s="1"/>
  <c r="C28" i="8"/>
  <c r="C29" i="8"/>
  <c r="AC9" i="8"/>
  <c r="G25" i="8" s="1"/>
  <c r="C33" i="8"/>
  <c r="C30" i="8"/>
  <c r="C34" i="8"/>
  <c r="C35" i="8"/>
  <c r="C31" i="8"/>
  <c r="C36" i="8"/>
  <c r="C32" i="8"/>
  <c r="AC13" i="8"/>
  <c r="G29" i="8" s="1"/>
  <c r="D28" i="8"/>
  <c r="E28" i="8"/>
  <c r="D30" i="8"/>
  <c r="E30" i="8"/>
  <c r="G30" i="8"/>
  <c r="D35" i="8"/>
  <c r="G35" i="8"/>
  <c r="E35" i="8"/>
  <c r="D29" i="8"/>
  <c r="E29" i="8"/>
  <c r="D27" i="8"/>
  <c r="E27" i="8"/>
  <c r="D26" i="8"/>
  <c r="E26" i="8"/>
  <c r="G31" i="8"/>
  <c r="D31" i="8"/>
  <c r="E31" i="8"/>
  <c r="D36" i="8"/>
  <c r="E36" i="8"/>
  <c r="G36" i="8"/>
  <c r="D32" i="8"/>
  <c r="E32" i="8"/>
  <c r="G32" i="8"/>
  <c r="E34" i="8"/>
  <c r="G34" i="8"/>
  <c r="D34" i="8"/>
  <c r="D33" i="8"/>
  <c r="G33" i="8"/>
  <c r="E33" i="8"/>
  <c r="AJ20" i="12" l="1"/>
  <c r="DD22" i="9"/>
  <c r="DG22" i="9"/>
  <c r="DE22" i="9"/>
  <c r="DF22" i="9"/>
  <c r="DA23" i="9"/>
  <c r="FE23" i="9"/>
  <c r="FG23" i="9" s="1"/>
  <c r="FL23" i="9" s="1"/>
  <c r="AC23" i="9"/>
  <c r="BN23" i="9"/>
  <c r="BP23" i="9" s="1"/>
  <c r="BS23" i="9" s="1"/>
  <c r="CZ23" i="9"/>
  <c r="DB23" i="9" s="1"/>
  <c r="DT23" i="9"/>
  <c r="BO23" i="9"/>
  <c r="EL23" i="9"/>
  <c r="EN23" i="9" s="1"/>
  <c r="EP23" i="9" s="1"/>
  <c r="CG23" i="9"/>
  <c r="CI23" i="9" s="1"/>
  <c r="CN23" i="9" s="1"/>
  <c r="EM23" i="9"/>
  <c r="CH23" i="9"/>
  <c r="FF23" i="9"/>
  <c r="DS23" i="9"/>
  <c r="DU23" i="9" s="1"/>
  <c r="AB23" i="9"/>
  <c r="AD23" i="9" s="1"/>
  <c r="AH23" i="9" s="1"/>
  <c r="BC20" i="12"/>
  <c r="AE16" i="9"/>
  <c r="DV16" i="9"/>
  <c r="BQ16" i="9"/>
  <c r="AX16" i="9"/>
  <c r="EO16" i="9"/>
  <c r="CJ16" i="9"/>
  <c r="FH16" i="9"/>
  <c r="AX22" i="9"/>
  <c r="Y18" i="9"/>
  <c r="EO18" i="9"/>
  <c r="AE18" i="9"/>
  <c r="AX18" i="9"/>
  <c r="DV18" i="9"/>
  <c r="BQ18" i="9"/>
  <c r="CJ18" i="9"/>
  <c r="DC18" i="9"/>
  <c r="FH18" i="9"/>
  <c r="BQ22" i="9"/>
  <c r="FH15" i="9"/>
  <c r="AX15" i="9"/>
  <c r="BQ15" i="9"/>
  <c r="CJ15" i="9"/>
  <c r="DC15" i="9"/>
  <c r="DV15" i="9"/>
  <c r="AE15" i="9"/>
  <c r="EO22" i="9"/>
  <c r="AU23" i="9"/>
  <c r="AW23" i="9" s="1"/>
  <c r="AY23" i="9" s="1"/>
  <c r="Y17" i="9"/>
  <c r="FH17" i="9"/>
  <c r="CJ17" i="9"/>
  <c r="AE17" i="9"/>
  <c r="BQ17" i="9"/>
  <c r="AX17" i="9"/>
  <c r="DC17" i="9"/>
  <c r="EO17" i="9"/>
  <c r="DV17" i="9"/>
  <c r="AE22" i="9"/>
  <c r="DC14" i="9"/>
  <c r="DV14" i="9"/>
  <c r="AX14" i="9"/>
  <c r="BQ14" i="9"/>
  <c r="EO14" i="9"/>
  <c r="FH14" i="9"/>
  <c r="CJ14" i="9"/>
  <c r="EO19" i="9"/>
  <c r="FH19" i="9"/>
  <c r="AE19" i="9"/>
  <c r="DC19" i="9"/>
  <c r="BQ19" i="9"/>
  <c r="DV19" i="9"/>
  <c r="CJ19" i="9"/>
  <c r="Y20" i="9"/>
  <c r="FH20" i="9"/>
  <c r="AE20" i="9"/>
  <c r="EO20" i="9"/>
  <c r="BQ20" i="9"/>
  <c r="DV20" i="9"/>
  <c r="CJ20" i="9"/>
  <c r="DC20" i="9"/>
  <c r="AX20" i="9"/>
  <c r="CJ22" i="9"/>
  <c r="Y21" i="9"/>
  <c r="AE21" i="9"/>
  <c r="FH21" i="9"/>
  <c r="CJ21" i="9"/>
  <c r="BQ21" i="9"/>
  <c r="EO21" i="9"/>
  <c r="AX21" i="9"/>
  <c r="DC21" i="9"/>
  <c r="DV21" i="9"/>
  <c r="FH22" i="9"/>
  <c r="DH20" i="12"/>
  <c r="AV23" i="9"/>
  <c r="M23" i="12"/>
  <c r="P23" i="12" s="1"/>
  <c r="ET20" i="12"/>
  <c r="EA20" i="12"/>
  <c r="FF22" i="12"/>
  <c r="FE22" i="12"/>
  <c r="FG22" i="12" s="1"/>
  <c r="EP22" i="12"/>
  <c r="CK22" i="12"/>
  <c r="DD22" i="12"/>
  <c r="AB22" i="12"/>
  <c r="AD22" i="12" s="1"/>
  <c r="BO22" i="12"/>
  <c r="AC22" i="12"/>
  <c r="BN22" i="12"/>
  <c r="BP22" i="12" s="1"/>
  <c r="EL22" i="12"/>
  <c r="EN22" i="12" s="1"/>
  <c r="DA22" i="12"/>
  <c r="AF22" i="12"/>
  <c r="BR22" i="12"/>
  <c r="EM22" i="12"/>
  <c r="CG22" i="12"/>
  <c r="CI22" i="12" s="1"/>
  <c r="CH22" i="12"/>
  <c r="DT22" i="12"/>
  <c r="DW22" i="12"/>
  <c r="CZ22" i="12"/>
  <c r="DB22" i="12" s="1"/>
  <c r="FI22" i="12"/>
  <c r="DS22" i="12"/>
  <c r="DU22" i="12" s="1"/>
  <c r="AY22" i="12"/>
  <c r="AV22" i="12"/>
  <c r="AU22" i="12"/>
  <c r="AW22" i="12" s="1"/>
  <c r="Y25" i="9"/>
  <c r="DV22" i="9"/>
  <c r="Y22" i="9"/>
  <c r="Y33" i="9"/>
  <c r="EQ21" i="12"/>
  <c r="ER21" i="12"/>
  <c r="ES21" i="12"/>
  <c r="DX21" i="12"/>
  <c r="DZ21" i="12"/>
  <c r="DY21" i="12"/>
  <c r="ER23" i="9"/>
  <c r="CL23" i="9"/>
  <c r="AE14" i="9"/>
  <c r="Y14" i="9"/>
  <c r="DE21" i="12"/>
  <c r="DG21" i="12"/>
  <c r="DF21" i="12"/>
  <c r="FJ21" i="12"/>
  <c r="FK21" i="12"/>
  <c r="FL21" i="12"/>
  <c r="AI23" i="9"/>
  <c r="AF23" i="9"/>
  <c r="AG23" i="9"/>
  <c r="O25" i="9" a="1"/>
  <c r="O25" i="9" s="1"/>
  <c r="K25" i="9" a="1"/>
  <c r="K25" i="9" s="1"/>
  <c r="J25" i="9" a="1"/>
  <c r="J25" i="9" s="1"/>
  <c r="L25" i="9" a="1"/>
  <c r="L25" i="9" s="1"/>
  <c r="N25" i="9" a="1"/>
  <c r="N25" i="9" s="1"/>
  <c r="H25" i="9" a="1"/>
  <c r="H25" i="9" s="1"/>
  <c r="G25" i="9" a="1"/>
  <c r="G25" i="9" s="1"/>
  <c r="D26" i="9"/>
  <c r="Y32" i="9"/>
  <c r="FM20" i="12"/>
  <c r="BB23" i="9"/>
  <c r="DW23" i="9"/>
  <c r="DX23" i="9"/>
  <c r="DY23" i="9"/>
  <c r="DZ23" i="9"/>
  <c r="DC16" i="9"/>
  <c r="Y16" i="9"/>
  <c r="DE23" i="9"/>
  <c r="DD23" i="9"/>
  <c r="DG23" i="9"/>
  <c r="DF23" i="9"/>
  <c r="Y30" i="9"/>
  <c r="Y24" i="9"/>
  <c r="BB22" i="9"/>
  <c r="AY22" i="9"/>
  <c r="BA22" i="9"/>
  <c r="AZ22" i="9"/>
  <c r="DQ24" i="9"/>
  <c r="DR24" i="9" s="1"/>
  <c r="DV24" i="9" s="1"/>
  <c r="EJ24" i="9"/>
  <c r="EK24" i="9" s="1"/>
  <c r="EO24" i="9" s="1"/>
  <c r="BL24" i="9"/>
  <c r="BM24" i="9" s="1"/>
  <c r="BQ24" i="9" s="1"/>
  <c r="Z24" i="9"/>
  <c r="AA24" i="9" s="1"/>
  <c r="AE24" i="9" s="1"/>
  <c r="FC24" i="9"/>
  <c r="FD24" i="9" s="1"/>
  <c r="FH24" i="9" s="1"/>
  <c r="CX24" i="9"/>
  <c r="CY24" i="9" s="1"/>
  <c r="DC24" i="9" s="1"/>
  <c r="AS24" i="9"/>
  <c r="AT24" i="9" s="1"/>
  <c r="AX24" i="9" s="1"/>
  <c r="CE24" i="9"/>
  <c r="CF24" i="9" s="1"/>
  <c r="CJ24" i="9" s="1"/>
  <c r="I25" i="9"/>
  <c r="Y34" i="9"/>
  <c r="CO20" i="12"/>
  <c r="E326" i="9"/>
  <c r="E327" i="9" s="1"/>
  <c r="E328" i="9" s="1"/>
  <c r="E329" i="9" s="1"/>
  <c r="E330" i="9" s="1"/>
  <c r="E331" i="9" s="1"/>
  <c r="E332" i="9" s="1"/>
  <c r="E333" i="9" s="1"/>
  <c r="E334" i="9" s="1"/>
  <c r="E335" i="9" s="1"/>
  <c r="E336" i="9" s="1"/>
  <c r="E337" i="9" s="1"/>
  <c r="E338" i="9" s="1"/>
  <c r="E339" i="9" s="1"/>
  <c r="E340" i="9" s="1"/>
  <c r="E341" i="9" s="1"/>
  <c r="E342" i="9" s="1"/>
  <c r="E343" i="9" s="1"/>
  <c r="E344" i="9" s="1"/>
  <c r="E345" i="9" s="1"/>
  <c r="E346" i="9" s="1"/>
  <c r="E347" i="9" s="1"/>
  <c r="E348" i="9" s="1"/>
  <c r="E349" i="9" s="1"/>
  <c r="E350" i="9" s="1"/>
  <c r="E351" i="9" s="1"/>
  <c r="E352" i="9" s="1"/>
  <c r="E353" i="9" s="1"/>
  <c r="E354" i="9" s="1"/>
  <c r="E355" i="9" s="1"/>
  <c r="E356" i="9" s="1"/>
  <c r="E357" i="9" s="1"/>
  <c r="E358" i="9" s="1"/>
  <c r="E359" i="9" s="1"/>
  <c r="E360" i="9" s="1"/>
  <c r="E361" i="9" s="1"/>
  <c r="E362" i="9" s="1"/>
  <c r="E363" i="9" s="1"/>
  <c r="AZ21" i="12"/>
  <c r="BB21" i="12"/>
  <c r="BA21" i="12"/>
  <c r="Y42" i="9"/>
  <c r="M24" i="9"/>
  <c r="P24" i="9" s="1"/>
  <c r="Q24" i="9" s="1"/>
  <c r="Y70" i="9"/>
  <c r="EO15" i="9"/>
  <c r="Y15" i="9"/>
  <c r="BS21" i="12"/>
  <c r="BU21" i="12"/>
  <c r="BT21" i="12"/>
  <c r="L24" i="12" a="1"/>
  <c r="L24" i="12" s="1"/>
  <c r="J24" i="12" a="1"/>
  <c r="J24" i="12" s="1"/>
  <c r="O24" i="12" a="1"/>
  <c r="O24" i="12" s="1"/>
  <c r="K24" i="12" a="1"/>
  <c r="K24" i="12" s="1"/>
  <c r="H24" i="12" a="1"/>
  <c r="H24" i="12" s="1"/>
  <c r="N24" i="12" a="1"/>
  <c r="N24" i="12" s="1"/>
  <c r="G24" i="12" a="1"/>
  <c r="G24" i="12" s="1"/>
  <c r="D25" i="12"/>
  <c r="Y38" i="9"/>
  <c r="CN21" i="12"/>
  <c r="CL21" i="12"/>
  <c r="CM21" i="12"/>
  <c r="AH21" i="12"/>
  <c r="AI21" i="12"/>
  <c r="AG21" i="12"/>
  <c r="Y78" i="9"/>
  <c r="E160" i="12"/>
  <c r="E161" i="12" s="1"/>
  <c r="E162" i="12" s="1"/>
  <c r="E163" i="12" s="1"/>
  <c r="AX19" i="9"/>
  <c r="Y19" i="9"/>
  <c r="Q23" i="12"/>
  <c r="CK23" i="9" l="1"/>
  <c r="CM23" i="9"/>
  <c r="FK23" i="9"/>
  <c r="FI23" i="9"/>
  <c r="FJ23" i="9"/>
  <c r="AZ23" i="9"/>
  <c r="BA23" i="9"/>
  <c r="ES23" i="9"/>
  <c r="EQ23" i="9"/>
  <c r="BC21" i="12"/>
  <c r="BU23" i="9"/>
  <c r="BT23" i="9"/>
  <c r="BR23" i="9"/>
  <c r="BB21" i="9"/>
  <c r="AY21" i="9"/>
  <c r="BA21" i="9"/>
  <c r="AZ21" i="9"/>
  <c r="BB20" i="9"/>
  <c r="BA20" i="9"/>
  <c r="AY20" i="9"/>
  <c r="AZ20" i="9"/>
  <c r="CN14" i="9"/>
  <c r="CK14" i="9"/>
  <c r="CL14" i="9"/>
  <c r="CM14" i="9"/>
  <c r="DW17" i="9"/>
  <c r="DY17" i="9"/>
  <c r="DX17" i="9"/>
  <c r="DZ17" i="9"/>
  <c r="BA15" i="9"/>
  <c r="AZ15" i="9"/>
  <c r="BB15" i="9"/>
  <c r="AY15" i="9"/>
  <c r="BA18" i="9"/>
  <c r="BB18" i="9"/>
  <c r="AY18" i="9"/>
  <c r="AZ18" i="9"/>
  <c r="BA16" i="9"/>
  <c r="AY16" i="9"/>
  <c r="AZ16" i="9"/>
  <c r="BB16" i="9"/>
  <c r="EP21" i="9"/>
  <c r="EQ21" i="9"/>
  <c r="ES21" i="9"/>
  <c r="ER21" i="9"/>
  <c r="DF20" i="9"/>
  <c r="DE20" i="9"/>
  <c r="DD20" i="9"/>
  <c r="DG20" i="9"/>
  <c r="CM19" i="9"/>
  <c r="CL19" i="9"/>
  <c r="CN19" i="9"/>
  <c r="CK19" i="9"/>
  <c r="FJ14" i="9"/>
  <c r="FI14" i="9"/>
  <c r="FK14" i="9"/>
  <c r="FL14" i="9"/>
  <c r="ER17" i="9"/>
  <c r="EP17" i="9"/>
  <c r="ES17" i="9"/>
  <c r="EQ17" i="9"/>
  <c r="FJ15" i="9"/>
  <c r="FK15" i="9"/>
  <c r="FL15" i="9"/>
  <c r="FI15" i="9"/>
  <c r="AG18" i="9"/>
  <c r="AI18" i="9"/>
  <c r="AF18" i="9"/>
  <c r="AH18" i="9"/>
  <c r="BU16" i="9"/>
  <c r="BS16" i="9"/>
  <c r="BT16" i="9"/>
  <c r="BR16" i="9"/>
  <c r="BR21" i="9"/>
  <c r="BT21" i="9"/>
  <c r="BS21" i="9"/>
  <c r="BU21" i="9"/>
  <c r="CM20" i="9"/>
  <c r="CN20" i="9"/>
  <c r="CL20" i="9"/>
  <c r="CK20" i="9"/>
  <c r="DW19" i="9"/>
  <c r="DX19" i="9"/>
  <c r="DZ19" i="9"/>
  <c r="DY19" i="9"/>
  <c r="EP14" i="9"/>
  <c r="EQ14" i="9"/>
  <c r="ER14" i="9"/>
  <c r="ES14" i="9"/>
  <c r="DD17" i="9"/>
  <c r="DF17" i="9"/>
  <c r="DE17" i="9"/>
  <c r="DG17" i="9"/>
  <c r="EQ22" i="9"/>
  <c r="EP22" i="9"/>
  <c r="ES22" i="9"/>
  <c r="ER22" i="9"/>
  <c r="BS22" i="9"/>
  <c r="BT22" i="9"/>
  <c r="BR22" i="9"/>
  <c r="EP18" i="9"/>
  <c r="ER18" i="9"/>
  <c r="EQ18" i="9"/>
  <c r="ES18" i="9"/>
  <c r="DZ16" i="9"/>
  <c r="DX16" i="9"/>
  <c r="DY16" i="9"/>
  <c r="DW16" i="9"/>
  <c r="CM21" i="9"/>
  <c r="CN21" i="9"/>
  <c r="CL21" i="9"/>
  <c r="CK21" i="9"/>
  <c r="DZ20" i="9"/>
  <c r="DW20" i="9"/>
  <c r="DX20" i="9"/>
  <c r="DY20" i="9"/>
  <c r="BS19" i="9"/>
  <c r="BU19" i="9"/>
  <c r="BR19" i="9"/>
  <c r="BT19" i="9"/>
  <c r="BR14" i="9"/>
  <c r="BU14" i="9"/>
  <c r="BT14" i="9"/>
  <c r="BS14" i="9"/>
  <c r="BA17" i="9"/>
  <c r="AZ17" i="9"/>
  <c r="AY17" i="9"/>
  <c r="BB17" i="9"/>
  <c r="AI15" i="9"/>
  <c r="AF15" i="9"/>
  <c r="AH15" i="9"/>
  <c r="AG15" i="9"/>
  <c r="FI18" i="9"/>
  <c r="FK18" i="9"/>
  <c r="FL18" i="9"/>
  <c r="FJ18" i="9"/>
  <c r="AH16" i="9"/>
  <c r="AF16" i="9"/>
  <c r="AI16" i="9"/>
  <c r="AG16" i="9"/>
  <c r="FJ21" i="9"/>
  <c r="FL21" i="9"/>
  <c r="FI21" i="9"/>
  <c r="FK21" i="9"/>
  <c r="BR20" i="9"/>
  <c r="BS20" i="9"/>
  <c r="BT20" i="9"/>
  <c r="BU20" i="9"/>
  <c r="DE19" i="9"/>
  <c r="DF19" i="9"/>
  <c r="DD19" i="9"/>
  <c r="DG19" i="9"/>
  <c r="BA14" i="9"/>
  <c r="AY14" i="9"/>
  <c r="BB14" i="9"/>
  <c r="AZ14" i="9"/>
  <c r="BT17" i="9"/>
  <c r="BS17" i="9"/>
  <c r="BU17" i="9"/>
  <c r="BR17" i="9"/>
  <c r="DW15" i="9"/>
  <c r="DY15" i="9"/>
  <c r="DX15" i="9"/>
  <c r="DZ15" i="9"/>
  <c r="DG18" i="9"/>
  <c r="DF18" i="9"/>
  <c r="DD18" i="9"/>
  <c r="DE18" i="9"/>
  <c r="FI22" i="9"/>
  <c r="FL22" i="9"/>
  <c r="FK22" i="9"/>
  <c r="FJ22" i="9"/>
  <c r="AG21" i="9"/>
  <c r="AI21" i="9"/>
  <c r="AF21" i="9"/>
  <c r="AH21" i="9"/>
  <c r="ES20" i="9"/>
  <c r="EP20" i="9"/>
  <c r="EQ20" i="9"/>
  <c r="ER20" i="9"/>
  <c r="AH19" i="9"/>
  <c r="AI19" i="9"/>
  <c r="AG19" i="9"/>
  <c r="AF19" i="9"/>
  <c r="DZ14" i="9"/>
  <c r="DX14" i="9"/>
  <c r="DY14" i="9"/>
  <c r="DW14" i="9"/>
  <c r="AI17" i="9"/>
  <c r="AF17" i="9"/>
  <c r="AH17" i="9"/>
  <c r="AG17" i="9"/>
  <c r="DG15" i="9"/>
  <c r="DF15" i="9"/>
  <c r="DD15" i="9"/>
  <c r="DE15" i="9"/>
  <c r="CK18" i="9"/>
  <c r="CN18" i="9"/>
  <c r="CL18" i="9"/>
  <c r="CM18" i="9"/>
  <c r="FL16" i="9"/>
  <c r="FK16" i="9"/>
  <c r="FJ16" i="9"/>
  <c r="FI16" i="9"/>
  <c r="BU22" i="9"/>
  <c r="DY21" i="9"/>
  <c r="DX21" i="9"/>
  <c r="DW21" i="9"/>
  <c r="DZ21" i="9"/>
  <c r="AG20" i="9"/>
  <c r="AF20" i="9"/>
  <c r="AH20" i="9"/>
  <c r="AI20" i="9"/>
  <c r="FI19" i="9"/>
  <c r="FL19" i="9"/>
  <c r="FK19" i="9"/>
  <c r="FJ19" i="9"/>
  <c r="DE14" i="9"/>
  <c r="DG14" i="9"/>
  <c r="DF14" i="9"/>
  <c r="DD14" i="9"/>
  <c r="CL17" i="9"/>
  <c r="CK17" i="9"/>
  <c r="CM17" i="9"/>
  <c r="CN17" i="9"/>
  <c r="CK15" i="9"/>
  <c r="CL15" i="9"/>
  <c r="CN15" i="9"/>
  <c r="CM15" i="9"/>
  <c r="BU18" i="9"/>
  <c r="BS18" i="9"/>
  <c r="BT18" i="9"/>
  <c r="BR18" i="9"/>
  <c r="CN16" i="9"/>
  <c r="CM16" i="9"/>
  <c r="CK16" i="9"/>
  <c r="CL16" i="9"/>
  <c r="DE21" i="9"/>
  <c r="DG21" i="9"/>
  <c r="DD21" i="9"/>
  <c r="DF21" i="9"/>
  <c r="CK22" i="9"/>
  <c r="CM22" i="9"/>
  <c r="CL22" i="9"/>
  <c r="CN22" i="9"/>
  <c r="FJ20" i="9"/>
  <c r="FK20" i="9"/>
  <c r="FL20" i="9"/>
  <c r="FI20" i="9"/>
  <c r="EP19" i="9"/>
  <c r="ES19" i="9"/>
  <c r="ER19" i="9"/>
  <c r="EQ19" i="9"/>
  <c r="AH22" i="9"/>
  <c r="AF22" i="9"/>
  <c r="AI22" i="9"/>
  <c r="AG22" i="9"/>
  <c r="FL17" i="9"/>
  <c r="FJ17" i="9"/>
  <c r="FK17" i="9"/>
  <c r="FI17" i="9"/>
  <c r="BT15" i="9"/>
  <c r="BR15" i="9"/>
  <c r="BU15" i="9"/>
  <c r="BS15" i="9"/>
  <c r="DX18" i="9"/>
  <c r="DW18" i="9"/>
  <c r="DY18" i="9"/>
  <c r="DZ18" i="9"/>
  <c r="EP16" i="9"/>
  <c r="ES16" i="9"/>
  <c r="EQ16" i="9"/>
  <c r="ER16" i="9"/>
  <c r="FM21" i="12"/>
  <c r="BV21" i="12"/>
  <c r="DH21" i="12"/>
  <c r="AJ21" i="12"/>
  <c r="BN24" i="9"/>
  <c r="BP24" i="9" s="1"/>
  <c r="FF24" i="9"/>
  <c r="FE24" i="9"/>
  <c r="FG24" i="9" s="1"/>
  <c r="CG24" i="9"/>
  <c r="CI24" i="9" s="1"/>
  <c r="CH24" i="9"/>
  <c r="AV24" i="9"/>
  <c r="AU24" i="9"/>
  <c r="AW24" i="9" s="1"/>
  <c r="BO24" i="9"/>
  <c r="AB24" i="9"/>
  <c r="AD24" i="9" s="1"/>
  <c r="EM24" i="9"/>
  <c r="DA24" i="9"/>
  <c r="AC24" i="9"/>
  <c r="EL24" i="9"/>
  <c r="EN24" i="9" s="1"/>
  <c r="CZ24" i="9"/>
  <c r="DB24" i="9" s="1"/>
  <c r="DT24" i="9"/>
  <c r="DS24" i="9"/>
  <c r="DU24" i="9" s="1"/>
  <c r="E164" i="12"/>
  <c r="E165" i="12" s="1"/>
  <c r="E166" i="12" s="1"/>
  <c r="E167" i="12" s="1"/>
  <c r="E168" i="12" s="1"/>
  <c r="E169" i="12" s="1"/>
  <c r="E170" i="12" s="1"/>
  <c r="E171" i="12" s="1"/>
  <c r="E172" i="12" s="1"/>
  <c r="E173" i="12" s="1"/>
  <c r="E174" i="12" s="1"/>
  <c r="E175" i="12" s="1"/>
  <c r="E176" i="12" s="1"/>
  <c r="E177" i="12" s="1"/>
  <c r="E178" i="12" s="1"/>
  <c r="E179" i="12" s="1"/>
  <c r="M24" i="12"/>
  <c r="P24" i="12" s="1"/>
  <c r="Q24" i="12" s="1"/>
  <c r="DW22" i="9"/>
  <c r="DX22" i="9"/>
  <c r="DY22" i="9"/>
  <c r="DZ22" i="9"/>
  <c r="AI22" i="12"/>
  <c r="AG22" i="12"/>
  <c r="AH22" i="12"/>
  <c r="DX22" i="12"/>
  <c r="DZ22" i="12"/>
  <c r="DY22" i="12"/>
  <c r="L25" i="12" a="1"/>
  <c r="L25" i="12" s="1"/>
  <c r="J25" i="12" a="1"/>
  <c r="J25" i="12" s="1"/>
  <c r="G25" i="12" a="1"/>
  <c r="G25" i="12" s="1"/>
  <c r="H25" i="12" a="1"/>
  <c r="H25" i="12" s="1"/>
  <c r="N25" i="12" a="1"/>
  <c r="N25" i="12" s="1"/>
  <c r="O25" i="12" a="1"/>
  <c r="O25" i="12" s="1"/>
  <c r="D26" i="12"/>
  <c r="K25" i="12" a="1"/>
  <c r="K25" i="12" s="1"/>
  <c r="DG16" i="9"/>
  <c r="DF16" i="9"/>
  <c r="DD16" i="9"/>
  <c r="DE16" i="9"/>
  <c r="H26" i="9" a="1"/>
  <c r="H26" i="9" s="1"/>
  <c r="J26" i="9" a="1"/>
  <c r="J26" i="9" s="1"/>
  <c r="O26" i="9" a="1"/>
  <c r="O26" i="9" s="1"/>
  <c r="N26" i="9" a="1"/>
  <c r="N26" i="9" s="1"/>
  <c r="G26" i="9" a="1"/>
  <c r="G26" i="9" s="1"/>
  <c r="L26" i="9" a="1"/>
  <c r="L26" i="9" s="1"/>
  <c r="K26" i="9" a="1"/>
  <c r="K26" i="9" s="1"/>
  <c r="D27" i="9"/>
  <c r="ET21" i="12"/>
  <c r="CO21" i="12"/>
  <c r="DE22" i="12"/>
  <c r="DG22" i="12"/>
  <c r="DF22" i="12"/>
  <c r="CM22" i="12"/>
  <c r="CL22" i="12"/>
  <c r="CN22" i="12"/>
  <c r="AZ19" i="9"/>
  <c r="AY19" i="9"/>
  <c r="BB19" i="9"/>
  <c r="BA19" i="9"/>
  <c r="EQ22" i="12"/>
  <c r="ER22" i="12"/>
  <c r="ES22" i="12"/>
  <c r="FJ22" i="12"/>
  <c r="FL22" i="12"/>
  <c r="FK22" i="12"/>
  <c r="AS25" i="9"/>
  <c r="AT25" i="9" s="1"/>
  <c r="AX25" i="9" s="1"/>
  <c r="Z25" i="9"/>
  <c r="AA25" i="9" s="1"/>
  <c r="AE25" i="9" s="1"/>
  <c r="DQ25" i="9"/>
  <c r="DR25" i="9" s="1"/>
  <c r="DV25" i="9" s="1"/>
  <c r="CE25" i="9"/>
  <c r="CF25" i="9" s="1"/>
  <c r="CJ25" i="9" s="1"/>
  <c r="EJ25" i="9"/>
  <c r="EK25" i="9" s="1"/>
  <c r="EO25" i="9" s="1"/>
  <c r="CX25" i="9"/>
  <c r="CY25" i="9" s="1"/>
  <c r="DC25" i="9" s="1"/>
  <c r="FC25" i="9"/>
  <c r="FD25" i="9" s="1"/>
  <c r="FH25" i="9" s="1"/>
  <c r="BL25" i="9"/>
  <c r="BM25" i="9" s="1"/>
  <c r="BQ25" i="9" s="1"/>
  <c r="I26" i="9"/>
  <c r="EP23" i="12"/>
  <c r="FE23" i="12"/>
  <c r="FG23" i="12" s="1"/>
  <c r="FF23" i="12"/>
  <c r="DD23" i="12"/>
  <c r="CK23" i="12"/>
  <c r="BO23" i="12"/>
  <c r="AB23" i="12"/>
  <c r="AD23" i="12" s="1"/>
  <c r="AC23" i="12"/>
  <c r="BN23" i="12"/>
  <c r="BP23" i="12" s="1"/>
  <c r="BR23" i="12"/>
  <c r="DA23" i="12"/>
  <c r="CG23" i="12"/>
  <c r="CI23" i="12" s="1"/>
  <c r="FI23" i="12"/>
  <c r="CH23" i="12"/>
  <c r="AY23" i="12"/>
  <c r="CZ23" i="12"/>
  <c r="DB23" i="12" s="1"/>
  <c r="DW23" i="12"/>
  <c r="DT23" i="12"/>
  <c r="EM23" i="12"/>
  <c r="DS23" i="12"/>
  <c r="DU23" i="12" s="1"/>
  <c r="EL23" i="12"/>
  <c r="EN23" i="12" s="1"/>
  <c r="AF23" i="12"/>
  <c r="AU23" i="12"/>
  <c r="AW23" i="12" s="1"/>
  <c r="AV23" i="12"/>
  <c r="AI14" i="9"/>
  <c r="AH14" i="9"/>
  <c r="AF14" i="9"/>
  <c r="AG14" i="9"/>
  <c r="BS22" i="12"/>
  <c r="BU22" i="12"/>
  <c r="BT22" i="12"/>
  <c r="EP15" i="9"/>
  <c r="EQ15" i="9"/>
  <c r="ES15" i="9"/>
  <c r="ER15" i="9"/>
  <c r="M25" i="9"/>
  <c r="P25" i="9" s="1"/>
  <c r="Q25" i="9" s="1"/>
  <c r="EA21" i="12"/>
  <c r="BA22" i="12"/>
  <c r="BB22" i="12"/>
  <c r="AZ22" i="12"/>
  <c r="ET14" i="9" l="1"/>
  <c r="ET15" i="9" s="1"/>
  <c r="ET16" i="9" s="1"/>
  <c r="ET17" i="9" s="1"/>
  <c r="ET18" i="9" s="1"/>
  <c r="ET19" i="9" s="1"/>
  <c r="ET20" i="9" s="1"/>
  <c r="ET21" i="9" s="1"/>
  <c r="ET22" i="9" s="1"/>
  <c r="ET23" i="9" s="1"/>
  <c r="DH14" i="9"/>
  <c r="EA14" i="9"/>
  <c r="BC14" i="9"/>
  <c r="BV14" i="9"/>
  <c r="FM14" i="9"/>
  <c r="CO14" i="9"/>
  <c r="BC22" i="12"/>
  <c r="CO22" i="12"/>
  <c r="AJ22" i="12"/>
  <c r="BV22" i="12"/>
  <c r="FM22" i="12"/>
  <c r="ET22" i="12"/>
  <c r="EP24" i="12"/>
  <c r="FE24" i="12"/>
  <c r="FG24" i="12" s="1"/>
  <c r="FF24" i="12"/>
  <c r="CK24" i="12"/>
  <c r="DD24" i="12"/>
  <c r="AB24" i="12"/>
  <c r="AD24" i="12" s="1"/>
  <c r="BN24" i="12"/>
  <c r="BP24" i="12" s="1"/>
  <c r="BO24" i="12"/>
  <c r="AC24" i="12"/>
  <c r="CH24" i="12"/>
  <c r="EM24" i="12"/>
  <c r="AF24" i="12"/>
  <c r="CG24" i="12"/>
  <c r="CI24" i="12" s="1"/>
  <c r="AY24" i="12"/>
  <c r="EL24" i="12"/>
  <c r="EN24" i="12" s="1"/>
  <c r="DW24" i="12"/>
  <c r="BR24" i="12"/>
  <c r="DA24" i="12"/>
  <c r="FI24" i="12"/>
  <c r="CZ24" i="12"/>
  <c r="DB24" i="12" s="1"/>
  <c r="DT24" i="12"/>
  <c r="DS24" i="12"/>
  <c r="DU24" i="12" s="1"/>
  <c r="AV24" i="12"/>
  <c r="AU24" i="12"/>
  <c r="AW24" i="12" s="1"/>
  <c r="DX23" i="12"/>
  <c r="DZ23" i="12"/>
  <c r="DY23" i="12"/>
  <c r="N26" i="12" a="1"/>
  <c r="N26" i="12" s="1"/>
  <c r="J26" i="12" a="1"/>
  <c r="J26" i="12" s="1"/>
  <c r="K26" i="12" a="1"/>
  <c r="K26" i="12" s="1"/>
  <c r="O26" i="12" a="1"/>
  <c r="O26" i="12" s="1"/>
  <c r="G26" i="12" a="1"/>
  <c r="G26" i="12" s="1"/>
  <c r="H26" i="12" a="1"/>
  <c r="H26" i="12" s="1"/>
  <c r="L26" i="12" a="1"/>
  <c r="L26" i="12" s="1"/>
  <c r="D27" i="12"/>
  <c r="DX24" i="9"/>
  <c r="DW24" i="9"/>
  <c r="DZ24" i="9"/>
  <c r="DY24" i="9"/>
  <c r="BS23" i="12"/>
  <c r="BU23" i="12"/>
  <c r="BT23" i="12"/>
  <c r="M26" i="9"/>
  <c r="P26" i="9" s="1"/>
  <c r="Q26" i="9" s="1"/>
  <c r="EA22" i="12"/>
  <c r="AY24" i="9"/>
  <c r="BA24" i="9"/>
  <c r="AZ24" i="9"/>
  <c r="BB24" i="9"/>
  <c r="DE23" i="12"/>
  <c r="DG23" i="12"/>
  <c r="DF23" i="12"/>
  <c r="CX26" i="9"/>
  <c r="CY26" i="9" s="1"/>
  <c r="DC26" i="9" s="1"/>
  <c r="FC26" i="9"/>
  <c r="FD26" i="9" s="1"/>
  <c r="FH26" i="9" s="1"/>
  <c r="AS26" i="9"/>
  <c r="AT26" i="9" s="1"/>
  <c r="AX26" i="9" s="1"/>
  <c r="CE26" i="9"/>
  <c r="CF26" i="9" s="1"/>
  <c r="CJ26" i="9" s="1"/>
  <c r="Z26" i="9"/>
  <c r="AA26" i="9" s="1"/>
  <c r="AE26" i="9" s="1"/>
  <c r="EJ26" i="9"/>
  <c r="EK26" i="9" s="1"/>
  <c r="EO26" i="9" s="1"/>
  <c r="DQ26" i="9"/>
  <c r="DR26" i="9" s="1"/>
  <c r="DV26" i="9" s="1"/>
  <c r="BL26" i="9"/>
  <c r="BM26" i="9" s="1"/>
  <c r="BQ26" i="9" s="1"/>
  <c r="I27" i="9"/>
  <c r="DH22" i="12"/>
  <c r="DF24" i="9"/>
  <c r="DG24" i="9"/>
  <c r="DE24" i="9"/>
  <c r="DD24" i="9"/>
  <c r="BB23" i="12"/>
  <c r="BA23" i="12"/>
  <c r="AZ23" i="12"/>
  <c r="AH23" i="12"/>
  <c r="AG23" i="12"/>
  <c r="AI23" i="12"/>
  <c r="L27" i="9" a="1"/>
  <c r="L27" i="9" s="1"/>
  <c r="K27" i="9" a="1"/>
  <c r="K27" i="9" s="1"/>
  <c r="H27" i="9" a="1"/>
  <c r="H27" i="9" s="1"/>
  <c r="G27" i="9" a="1"/>
  <c r="G27" i="9" s="1"/>
  <c r="J27" i="9" a="1"/>
  <c r="J27" i="9" s="1"/>
  <c r="N27" i="9" a="1"/>
  <c r="N27" i="9" s="1"/>
  <c r="O27" i="9" a="1"/>
  <c r="O27" i="9" s="1"/>
  <c r="D28" i="9"/>
  <c r="EP24" i="9"/>
  <c r="EQ24" i="9"/>
  <c r="ES24" i="9"/>
  <c r="ER24" i="9"/>
  <c r="CM23" i="12"/>
  <c r="CL23" i="12"/>
  <c r="CN23" i="12"/>
  <c r="FJ23" i="12"/>
  <c r="FL23" i="12"/>
  <c r="FK23" i="12"/>
  <c r="CM24" i="9"/>
  <c r="CN24" i="9"/>
  <c r="CL24" i="9"/>
  <c r="CK24" i="9"/>
  <c r="EQ23" i="12"/>
  <c r="ER23" i="12"/>
  <c r="ES23" i="12"/>
  <c r="M25" i="12"/>
  <c r="P25" i="12" s="1"/>
  <c r="Q25" i="12" s="1"/>
  <c r="FI24" i="9"/>
  <c r="FL24" i="9"/>
  <c r="FK24" i="9"/>
  <c r="FJ24" i="9"/>
  <c r="E180" i="12"/>
  <c r="E181" i="12" s="1"/>
  <c r="E182" i="12" s="1"/>
  <c r="E183" i="12" s="1"/>
  <c r="E184" i="12" s="1"/>
  <c r="E185" i="12" s="1"/>
  <c r="E186" i="12" s="1"/>
  <c r="E187" i="12" s="1"/>
  <c r="E188" i="12" s="1"/>
  <c r="E189" i="12" s="1"/>
  <c r="E190" i="12" s="1"/>
  <c r="E191" i="12" s="1"/>
  <c r="E192" i="12" s="1"/>
  <c r="E193" i="12" s="1"/>
  <c r="E194" i="12" s="1"/>
  <c r="E195" i="12" s="1"/>
  <c r="E196" i="12" s="1"/>
  <c r="E197" i="12" s="1"/>
  <c r="E198" i="12" s="1"/>
  <c r="E199" i="12" s="1"/>
  <c r="E200" i="12" s="1"/>
  <c r="E201" i="12" s="1"/>
  <c r="E202" i="12" s="1"/>
  <c r="BO25" i="9"/>
  <c r="FF25" i="9"/>
  <c r="AV25" i="9"/>
  <c r="BN25" i="9"/>
  <c r="BP25" i="9" s="1"/>
  <c r="AU25" i="9"/>
  <c r="AW25" i="9" s="1"/>
  <c r="FE25" i="9"/>
  <c r="FG25" i="9" s="1"/>
  <c r="CG25" i="9"/>
  <c r="CI25" i="9" s="1"/>
  <c r="CH25" i="9"/>
  <c r="EL25" i="9"/>
  <c r="EN25" i="9" s="1"/>
  <c r="DA25" i="9"/>
  <c r="AB25" i="9"/>
  <c r="AD25" i="9" s="1"/>
  <c r="CZ25" i="9"/>
  <c r="DB25" i="9" s="1"/>
  <c r="AC25" i="9"/>
  <c r="EM25" i="9"/>
  <c r="DS25" i="9"/>
  <c r="DU25" i="9" s="1"/>
  <c r="DT25" i="9"/>
  <c r="AJ14" i="9"/>
  <c r="AF24" i="9"/>
  <c r="AG24" i="9"/>
  <c r="AH24" i="9"/>
  <c r="AI24" i="9"/>
  <c r="BR24" i="9"/>
  <c r="BT24" i="9"/>
  <c r="BS24" i="9"/>
  <c r="BU24" i="9"/>
  <c r="ET24" i="9" l="1"/>
  <c r="DH15" i="9"/>
  <c r="DH16" i="9" s="1"/>
  <c r="DH17" i="9" s="1"/>
  <c r="DH18" i="9" s="1"/>
  <c r="DH19" i="9" s="1"/>
  <c r="DH20" i="9" s="1"/>
  <c r="DH21" i="9" s="1"/>
  <c r="DH22" i="9" s="1"/>
  <c r="DH23" i="9" s="1"/>
  <c r="DH24" i="9" s="1"/>
  <c r="CO15" i="9"/>
  <c r="CO16" i="9" s="1"/>
  <c r="CO17" i="9" s="1"/>
  <c r="CO18" i="9" s="1"/>
  <c r="CO19" i="9" s="1"/>
  <c r="CO20" i="9" s="1"/>
  <c r="CO21" i="9" s="1"/>
  <c r="CO22" i="9" s="1"/>
  <c r="CO23" i="9" s="1"/>
  <c r="CO24" i="9" s="1"/>
  <c r="FM15" i="9"/>
  <c r="FM16" i="9" s="1"/>
  <c r="FM17" i="9" s="1"/>
  <c r="FM18" i="9" s="1"/>
  <c r="FM19" i="9" s="1"/>
  <c r="FM20" i="9" s="1"/>
  <c r="FM21" i="9" s="1"/>
  <c r="FM22" i="9" s="1"/>
  <c r="FM23" i="9" s="1"/>
  <c r="FM24" i="9" s="1"/>
  <c r="BV15" i="9"/>
  <c r="BV16" i="9" s="1"/>
  <c r="BV17" i="9" s="1"/>
  <c r="BV18" i="9" s="1"/>
  <c r="BV19" i="9" s="1"/>
  <c r="BV20" i="9" s="1"/>
  <c r="BV21" i="9" s="1"/>
  <c r="BV22" i="9" s="1"/>
  <c r="BV23" i="9" s="1"/>
  <c r="BV24" i="9" s="1"/>
  <c r="EA15" i="9"/>
  <c r="EA16" i="9" s="1"/>
  <c r="EA17" i="9" s="1"/>
  <c r="EA18" i="9" s="1"/>
  <c r="EA19" i="9" s="1"/>
  <c r="EA20" i="9" s="1"/>
  <c r="EA21" i="9" s="1"/>
  <c r="EA22" i="9" s="1"/>
  <c r="EA23" i="9" s="1"/>
  <c r="EA24" i="9" s="1"/>
  <c r="BC15" i="9"/>
  <c r="BC16" i="9" s="1"/>
  <c r="BC17" i="9" s="1"/>
  <c r="BC18" i="9" s="1"/>
  <c r="BC19" i="9" s="1"/>
  <c r="BC20" i="9" s="1"/>
  <c r="BC21" i="9" s="1"/>
  <c r="BC22" i="9" s="1"/>
  <c r="BC23" i="9" s="1"/>
  <c r="BC24" i="9" s="1"/>
  <c r="BC23" i="12"/>
  <c r="BV23" i="12"/>
  <c r="ET23" i="12"/>
  <c r="AJ23" i="12"/>
  <c r="FM23" i="12"/>
  <c r="CO23" i="12"/>
  <c r="M27" i="9"/>
  <c r="P27" i="9" s="1"/>
  <c r="Q27" i="9" s="1"/>
  <c r="EP25" i="12"/>
  <c r="FE25" i="12"/>
  <c r="FG25" i="12" s="1"/>
  <c r="FF25" i="12"/>
  <c r="DD25" i="12"/>
  <c r="CK25" i="12"/>
  <c r="AC25" i="12"/>
  <c r="AB25" i="12"/>
  <c r="AD25" i="12" s="1"/>
  <c r="BN25" i="12"/>
  <c r="BP25" i="12" s="1"/>
  <c r="BO25" i="12"/>
  <c r="BR25" i="12"/>
  <c r="AF25" i="12"/>
  <c r="EL25" i="12"/>
  <c r="EN25" i="12" s="1"/>
  <c r="FI25" i="12"/>
  <c r="DT25" i="12"/>
  <c r="DS25" i="12"/>
  <c r="DU25" i="12" s="1"/>
  <c r="CZ25" i="12"/>
  <c r="DB25" i="12" s="1"/>
  <c r="DW25" i="12"/>
  <c r="CH25" i="12"/>
  <c r="AY25" i="12"/>
  <c r="CG25" i="12"/>
  <c r="CI25" i="12" s="1"/>
  <c r="DA25" i="12"/>
  <c r="EM25" i="12"/>
  <c r="AU25" i="12"/>
  <c r="AW25" i="12" s="1"/>
  <c r="AV25" i="12"/>
  <c r="FC27" i="9"/>
  <c r="FD27" i="9" s="1"/>
  <c r="FH27" i="9" s="1"/>
  <c r="CX27" i="9"/>
  <c r="CY27" i="9" s="1"/>
  <c r="DC27" i="9" s="1"/>
  <c r="EJ27" i="9"/>
  <c r="EK27" i="9" s="1"/>
  <c r="EO27" i="9" s="1"/>
  <c r="CE27" i="9"/>
  <c r="CF27" i="9" s="1"/>
  <c r="CJ27" i="9" s="1"/>
  <c r="AS27" i="9"/>
  <c r="AT27" i="9" s="1"/>
  <c r="AX27" i="9" s="1"/>
  <c r="Z27" i="9"/>
  <c r="AA27" i="9" s="1"/>
  <c r="AE27" i="9" s="1"/>
  <c r="DQ27" i="9"/>
  <c r="DR27" i="9" s="1"/>
  <c r="DV27" i="9" s="1"/>
  <c r="BL27" i="9"/>
  <c r="BM27" i="9" s="1"/>
  <c r="BQ27" i="9" s="1"/>
  <c r="I28" i="9"/>
  <c r="M26" i="12"/>
  <c r="P26" i="12" s="1"/>
  <c r="Q26" i="12" s="1"/>
  <c r="EQ24" i="12"/>
  <c r="ES24" i="12"/>
  <c r="ER24" i="12"/>
  <c r="BS24" i="12"/>
  <c r="BU24" i="12"/>
  <c r="BT24" i="12"/>
  <c r="AJ15" i="9"/>
  <c r="AJ16" i="9" s="1"/>
  <c r="AJ17" i="9" s="1"/>
  <c r="AJ18" i="9" s="1"/>
  <c r="AJ19" i="9" s="1"/>
  <c r="AJ20" i="9" s="1"/>
  <c r="AJ21" i="9" s="1"/>
  <c r="AJ22" i="9" s="1"/>
  <c r="AJ23" i="9" s="1"/>
  <c r="AJ24" i="9" s="1"/>
  <c r="EP25" i="9"/>
  <c r="EQ25" i="9"/>
  <c r="ER25" i="9"/>
  <c r="ES25" i="9"/>
  <c r="DH23" i="12"/>
  <c r="DX24" i="12"/>
  <c r="DZ24" i="12"/>
  <c r="DY24" i="12"/>
  <c r="AH24" i="12"/>
  <c r="AG24" i="12"/>
  <c r="AI24" i="12"/>
  <c r="E203" i="12"/>
  <c r="E204" i="12" s="1"/>
  <c r="E205" i="12" s="1"/>
  <c r="E206" i="12" s="1"/>
  <c r="E207" i="12" s="1"/>
  <c r="E208" i="12" s="1"/>
  <c r="E209" i="12" s="1"/>
  <c r="E210" i="12" s="1"/>
  <c r="E211" i="12" s="1"/>
  <c r="BN26" i="9"/>
  <c r="BP26" i="9" s="1"/>
  <c r="BO26" i="9"/>
  <c r="AV26" i="9"/>
  <c r="FF26" i="9"/>
  <c r="AU26" i="9"/>
  <c r="AW26" i="9" s="1"/>
  <c r="CH26" i="9"/>
  <c r="FE26" i="9"/>
  <c r="FG26" i="9" s="1"/>
  <c r="CG26" i="9"/>
  <c r="CI26" i="9" s="1"/>
  <c r="EM26" i="9"/>
  <c r="EL26" i="9"/>
  <c r="EN26" i="9" s="1"/>
  <c r="DA26" i="9"/>
  <c r="CZ26" i="9"/>
  <c r="DB26" i="9" s="1"/>
  <c r="AC26" i="9"/>
  <c r="AB26" i="9"/>
  <c r="AD26" i="9" s="1"/>
  <c r="DT26" i="9"/>
  <c r="DS26" i="9"/>
  <c r="DU26" i="9" s="1"/>
  <c r="K27" i="12" a="1"/>
  <c r="K27" i="12" s="1"/>
  <c r="G27" i="12" a="1"/>
  <c r="G27" i="12" s="1"/>
  <c r="O27" i="12" a="1"/>
  <c r="O27" i="12" s="1"/>
  <c r="H27" i="12" a="1"/>
  <c r="H27" i="12" s="1"/>
  <c r="N27" i="12" a="1"/>
  <c r="N27" i="12" s="1"/>
  <c r="J27" i="12" a="1"/>
  <c r="J27" i="12" s="1"/>
  <c r="L27" i="12" a="1"/>
  <c r="L27" i="12" s="1"/>
  <c r="D28" i="12"/>
  <c r="CN24" i="12"/>
  <c r="CL24" i="12"/>
  <c r="CM24" i="12"/>
  <c r="DX25" i="9"/>
  <c r="DY25" i="9"/>
  <c r="DZ25" i="9"/>
  <c r="DW25" i="9"/>
  <c r="CL25" i="9"/>
  <c r="CK25" i="9"/>
  <c r="CN25" i="9"/>
  <c r="CM25" i="9"/>
  <c r="EA23" i="12"/>
  <c r="DE24" i="12"/>
  <c r="DG24" i="12"/>
  <c r="DF24" i="12"/>
  <c r="AI25" i="9"/>
  <c r="AH25" i="9"/>
  <c r="AF25" i="9"/>
  <c r="AG25" i="9"/>
  <c r="FJ25" i="9"/>
  <c r="FL25" i="9"/>
  <c r="FI25" i="9"/>
  <c r="FK25" i="9"/>
  <c r="J28" i="9" a="1"/>
  <c r="J28" i="9" s="1"/>
  <c r="L28" i="9" a="1"/>
  <c r="L28" i="9" s="1"/>
  <c r="K28" i="9" a="1"/>
  <c r="K28" i="9" s="1"/>
  <c r="G28" i="9" a="1"/>
  <c r="G28" i="9" s="1"/>
  <c r="N28" i="9" a="1"/>
  <c r="N28" i="9" s="1"/>
  <c r="O28" i="9" a="1"/>
  <c r="O28" i="9" s="1"/>
  <c r="H28" i="9" a="1"/>
  <c r="H28" i="9" s="1"/>
  <c r="D29" i="9"/>
  <c r="BB25" i="9"/>
  <c r="AZ25" i="9"/>
  <c r="BA25" i="9"/>
  <c r="AY25" i="9"/>
  <c r="FJ24" i="12"/>
  <c r="FL24" i="12"/>
  <c r="FK24" i="12"/>
  <c r="BA24" i="12"/>
  <c r="BB24" i="12"/>
  <c r="AZ24" i="12"/>
  <c r="DE25" i="9"/>
  <c r="DG25" i="9"/>
  <c r="DF25" i="9"/>
  <c r="DD25" i="9"/>
  <c r="BR25" i="9"/>
  <c r="BT25" i="9"/>
  <c r="BU25" i="9"/>
  <c r="BS25" i="9"/>
  <c r="BV25" i="9" l="1"/>
  <c r="FM25" i="9"/>
  <c r="DH25" i="9"/>
  <c r="CO25" i="9"/>
  <c r="AJ25" i="9"/>
  <c r="ET25" i="9"/>
  <c r="BC25" i="9"/>
  <c r="EA25" i="9"/>
  <c r="BV24" i="12"/>
  <c r="AJ24" i="12"/>
  <c r="M28" i="9"/>
  <c r="P28" i="9" s="1"/>
  <c r="Q28" i="9" s="1"/>
  <c r="DH24" i="12"/>
  <c r="FM24" i="12"/>
  <c r="BA26" i="9"/>
  <c r="BB26" i="9"/>
  <c r="AY26" i="9"/>
  <c r="AZ26" i="9"/>
  <c r="AV27" i="9"/>
  <c r="FF27" i="9"/>
  <c r="CG27" i="9"/>
  <c r="CI27" i="9" s="1"/>
  <c r="AU27" i="9"/>
  <c r="AW27" i="9" s="1"/>
  <c r="FE27" i="9"/>
  <c r="FG27" i="9" s="1"/>
  <c r="CH27" i="9"/>
  <c r="BN27" i="9"/>
  <c r="BP27" i="9" s="1"/>
  <c r="BO27" i="9"/>
  <c r="AB27" i="9"/>
  <c r="AD27" i="9" s="1"/>
  <c r="DA27" i="9"/>
  <c r="EM27" i="9"/>
  <c r="AC27" i="9"/>
  <c r="CZ27" i="9"/>
  <c r="DB27" i="9" s="1"/>
  <c r="EL27" i="9"/>
  <c r="EN27" i="9" s="1"/>
  <c r="DS27" i="9"/>
  <c r="DU27" i="9" s="1"/>
  <c r="DT27" i="9"/>
  <c r="DF26" i="9"/>
  <c r="DE26" i="9"/>
  <c r="DD26" i="9"/>
  <c r="DG26" i="9"/>
  <c r="BS25" i="12"/>
  <c r="BU25" i="12"/>
  <c r="BT25" i="12"/>
  <c r="BC24" i="12"/>
  <c r="EA24" i="12"/>
  <c r="AZ25" i="12"/>
  <c r="BB25" i="12"/>
  <c r="BA25" i="12"/>
  <c r="DX25" i="12"/>
  <c r="DZ25" i="12"/>
  <c r="DY25" i="12"/>
  <c r="AI25" i="12"/>
  <c r="AH25" i="12"/>
  <c r="AG25" i="12"/>
  <c r="DE25" i="12"/>
  <c r="DG25" i="12"/>
  <c r="DF25" i="12"/>
  <c r="CO24" i="12"/>
  <c r="ER26" i="9"/>
  <c r="EP26" i="9"/>
  <c r="EQ26" i="9"/>
  <c r="ES26" i="9"/>
  <c r="BS26" i="9"/>
  <c r="BR26" i="9"/>
  <c r="BT26" i="9"/>
  <c r="BU26" i="9"/>
  <c r="ET24" i="12"/>
  <c r="L29" i="9" a="1"/>
  <c r="L29" i="9" s="1"/>
  <c r="J29" i="9" a="1"/>
  <c r="J29" i="9" s="1"/>
  <c r="G29" i="9" a="1"/>
  <c r="G29" i="9" s="1"/>
  <c r="N29" i="9" a="1"/>
  <c r="N29" i="9" s="1"/>
  <c r="O29" i="9" a="1"/>
  <c r="O29" i="9" s="1"/>
  <c r="H29" i="9" a="1"/>
  <c r="H29" i="9" s="1"/>
  <c r="K29" i="9" a="1"/>
  <c r="K29" i="9" s="1"/>
  <c r="D30" i="9"/>
  <c r="J28" i="12" a="1"/>
  <c r="J28" i="12" s="1"/>
  <c r="O28" i="12" a="1"/>
  <c r="O28" i="12" s="1"/>
  <c r="K28" i="12" a="1"/>
  <c r="K28" i="12" s="1"/>
  <c r="H28" i="12" a="1"/>
  <c r="H28" i="12" s="1"/>
  <c r="N28" i="12" a="1"/>
  <c r="N28" i="12" s="1"/>
  <c r="G28" i="12" a="1"/>
  <c r="G28" i="12" s="1"/>
  <c r="L28" i="12" a="1"/>
  <c r="L28" i="12" s="1"/>
  <c r="D29" i="12"/>
  <c r="DY26" i="9"/>
  <c r="DZ26" i="9"/>
  <c r="DX26" i="9"/>
  <c r="DW26" i="9"/>
  <c r="CL26" i="9"/>
  <c r="CM26" i="9"/>
  <c r="CK26" i="9"/>
  <c r="CN26" i="9"/>
  <c r="E212" i="12"/>
  <c r="E213" i="12" s="1"/>
  <c r="CL25" i="12"/>
  <c r="CN25" i="12"/>
  <c r="CM25" i="12"/>
  <c r="EQ25" i="12"/>
  <c r="ER25" i="12"/>
  <c r="ES25" i="12"/>
  <c r="FI26" i="9"/>
  <c r="FL26" i="9"/>
  <c r="FJ26" i="9"/>
  <c r="FK26" i="9"/>
  <c r="M27" i="12"/>
  <c r="P27" i="12" s="1"/>
  <c r="Q27" i="12" s="1"/>
  <c r="AI26" i="9"/>
  <c r="AG26" i="9"/>
  <c r="AF26" i="9"/>
  <c r="AH26" i="9"/>
  <c r="EP26" i="12"/>
  <c r="FE26" i="12"/>
  <c r="FG26" i="12" s="1"/>
  <c r="FF26" i="12"/>
  <c r="DD26" i="12"/>
  <c r="CK26" i="12"/>
  <c r="AC26" i="12"/>
  <c r="AB26" i="12"/>
  <c r="AD26" i="12" s="1"/>
  <c r="BO26" i="12"/>
  <c r="BN26" i="12"/>
  <c r="BP26" i="12" s="1"/>
  <c r="FI26" i="12"/>
  <c r="EM26" i="12"/>
  <c r="AF26" i="12"/>
  <c r="EL26" i="12"/>
  <c r="EN26" i="12" s="1"/>
  <c r="CG26" i="12"/>
  <c r="CI26" i="12" s="1"/>
  <c r="CZ26" i="12"/>
  <c r="DB26" i="12" s="1"/>
  <c r="DA26" i="12"/>
  <c r="DS26" i="12"/>
  <c r="DU26" i="12" s="1"/>
  <c r="CH26" i="12"/>
  <c r="AY26" i="12"/>
  <c r="BR26" i="12"/>
  <c r="DW26" i="12"/>
  <c r="DT26" i="12"/>
  <c r="AV26" i="12"/>
  <c r="AU26" i="12"/>
  <c r="AW26" i="12" s="1"/>
  <c r="FJ25" i="12"/>
  <c r="FL25" i="12"/>
  <c r="FK25" i="12"/>
  <c r="EJ28" i="9"/>
  <c r="EK28" i="9" s="1"/>
  <c r="EO28" i="9" s="1"/>
  <c r="CX28" i="9"/>
  <c r="CY28" i="9" s="1"/>
  <c r="DC28" i="9" s="1"/>
  <c r="FC28" i="9"/>
  <c r="FD28" i="9" s="1"/>
  <c r="FH28" i="9" s="1"/>
  <c r="CE28" i="9"/>
  <c r="CF28" i="9" s="1"/>
  <c r="CJ28" i="9" s="1"/>
  <c r="AS28" i="9"/>
  <c r="AT28" i="9" s="1"/>
  <c r="AX28" i="9" s="1"/>
  <c r="BL28" i="9"/>
  <c r="BM28" i="9" s="1"/>
  <c r="BQ28" i="9" s="1"/>
  <c r="Z28" i="9"/>
  <c r="AA28" i="9" s="1"/>
  <c r="AE28" i="9" s="1"/>
  <c r="DQ28" i="9"/>
  <c r="DR28" i="9" s="1"/>
  <c r="DV28" i="9" s="1"/>
  <c r="I29" i="9"/>
  <c r="H29" i="8"/>
  <c r="BV26" i="9" l="1"/>
  <c r="BV25" i="12"/>
  <c r="DH26" i="9"/>
  <c r="FM26" i="9"/>
  <c r="AJ26" i="9"/>
  <c r="EA26" i="9"/>
  <c r="CO26" i="9"/>
  <c r="BC26" i="9"/>
  <c r="ET26" i="9"/>
  <c r="M29" i="9"/>
  <c r="P29" i="9" s="1"/>
  <c r="Q29" i="9" s="1"/>
  <c r="EA25" i="12"/>
  <c r="FM25" i="12"/>
  <c r="DH25" i="12"/>
  <c r="AJ25" i="12"/>
  <c r="CH28" i="9"/>
  <c r="AB28" i="9"/>
  <c r="AD28" i="9" s="1"/>
  <c r="AG28" i="9" s="1"/>
  <c r="DT28" i="9"/>
  <c r="CO25" i="12"/>
  <c r="AC28" i="9"/>
  <c r="DS28" i="9"/>
  <c r="DU28" i="9" s="1"/>
  <c r="DZ28" i="9" s="1"/>
  <c r="BO28" i="9"/>
  <c r="DA28" i="9"/>
  <c r="FF28" i="9"/>
  <c r="FE27" i="12"/>
  <c r="FG27" i="12" s="1"/>
  <c r="FF27" i="12"/>
  <c r="EP27" i="12"/>
  <c r="DD27" i="12"/>
  <c r="CK27" i="12"/>
  <c r="AC27" i="12"/>
  <c r="AB27" i="12"/>
  <c r="AD27" i="12" s="1"/>
  <c r="BN27" i="12"/>
  <c r="BP27" i="12" s="1"/>
  <c r="BO27" i="12"/>
  <c r="AF27" i="12"/>
  <c r="DT27" i="12"/>
  <c r="DW27" i="12"/>
  <c r="CH27" i="12"/>
  <c r="EM27" i="12"/>
  <c r="EL27" i="12"/>
  <c r="EN27" i="12" s="1"/>
  <c r="FI27" i="12"/>
  <c r="CZ27" i="12"/>
  <c r="DB27" i="12" s="1"/>
  <c r="BR27" i="12"/>
  <c r="CG27" i="12"/>
  <c r="CI27" i="12" s="1"/>
  <c r="DS27" i="12"/>
  <c r="DU27" i="12" s="1"/>
  <c r="AY27" i="12"/>
  <c r="DA27" i="12"/>
  <c r="AV27" i="12"/>
  <c r="AU27" i="12"/>
  <c r="AW27" i="12" s="1"/>
  <c r="DQ29" i="9"/>
  <c r="DR29" i="9" s="1"/>
  <c r="DV29" i="9" s="1"/>
  <c r="CX29" i="9"/>
  <c r="CY29" i="9" s="1"/>
  <c r="DC29" i="9" s="1"/>
  <c r="BL29" i="9"/>
  <c r="BM29" i="9" s="1"/>
  <c r="BQ29" i="9" s="1"/>
  <c r="AS29" i="9"/>
  <c r="AT29" i="9" s="1"/>
  <c r="AX29" i="9" s="1"/>
  <c r="FC29" i="9"/>
  <c r="FD29" i="9" s="1"/>
  <c r="FH29" i="9" s="1"/>
  <c r="Z29" i="9"/>
  <c r="AA29" i="9" s="1"/>
  <c r="AE29" i="9" s="1"/>
  <c r="CE29" i="9"/>
  <c r="CF29" i="9" s="1"/>
  <c r="CJ29" i="9" s="1"/>
  <c r="EJ29" i="9"/>
  <c r="EK29" i="9" s="1"/>
  <c r="EO29" i="9" s="1"/>
  <c r="I30" i="9"/>
  <c r="L30" i="9" a="1"/>
  <c r="L30" i="9" s="1"/>
  <c r="J30" i="9" a="1"/>
  <c r="J30" i="9" s="1"/>
  <c r="O30" i="9" a="1"/>
  <c r="O30" i="9" s="1"/>
  <c r="G30" i="9" a="1"/>
  <c r="G30" i="9" s="1"/>
  <c r="H30" i="9" a="1"/>
  <c r="H30" i="9" s="1"/>
  <c r="K30" i="9" a="1"/>
  <c r="K30" i="9" s="1"/>
  <c r="D31" i="9"/>
  <c r="N30" i="9" a="1"/>
  <c r="N30" i="9" s="1"/>
  <c r="BB27" i="9"/>
  <c r="BA27" i="9"/>
  <c r="AY27" i="9"/>
  <c r="AZ27" i="9"/>
  <c r="ET25" i="12"/>
  <c r="CM27" i="9"/>
  <c r="CN27" i="9"/>
  <c r="CL27" i="9"/>
  <c r="CK27" i="9"/>
  <c r="FE28" i="9"/>
  <c r="FG28" i="9" s="1"/>
  <c r="EQ26" i="12"/>
  <c r="ES26" i="12"/>
  <c r="ER26" i="12"/>
  <c r="L29" i="12" a="1"/>
  <c r="L29" i="12" s="1"/>
  <c r="J29" i="12" a="1"/>
  <c r="J29" i="12" s="1"/>
  <c r="H29" i="12" a="1"/>
  <c r="H29" i="12" s="1"/>
  <c r="N29" i="12" a="1"/>
  <c r="N29" i="12" s="1"/>
  <c r="O29" i="12" a="1"/>
  <c r="O29" i="12" s="1"/>
  <c r="G29" i="12" a="1"/>
  <c r="G29" i="12" s="1"/>
  <c r="K29" i="12" a="1"/>
  <c r="K29" i="12" s="1"/>
  <c r="D30" i="12"/>
  <c r="BC25" i="12"/>
  <c r="FJ26" i="12"/>
  <c r="FK26" i="12"/>
  <c r="FL26" i="12"/>
  <c r="AH27" i="9"/>
  <c r="AI27" i="9"/>
  <c r="AF27" i="9"/>
  <c r="AG27" i="9"/>
  <c r="CZ28" i="9"/>
  <c r="DB28" i="9" s="1"/>
  <c r="AV28" i="9"/>
  <c r="DX26" i="12"/>
  <c r="DZ26" i="12"/>
  <c r="DY26" i="12"/>
  <c r="BS26" i="12"/>
  <c r="BT26" i="12"/>
  <c r="BU26" i="12"/>
  <c r="DZ27" i="9"/>
  <c r="DX27" i="9"/>
  <c r="DY27" i="9"/>
  <c r="DW27" i="9"/>
  <c r="BR27" i="9"/>
  <c r="BS27" i="9"/>
  <c r="BT27" i="9"/>
  <c r="BU27" i="9"/>
  <c r="BN28" i="9"/>
  <c r="BP28" i="9" s="1"/>
  <c r="AZ26" i="12"/>
  <c r="BB26" i="12"/>
  <c r="BA26" i="12"/>
  <c r="AG26" i="12"/>
  <c r="AI26" i="12"/>
  <c r="AH26" i="12"/>
  <c r="EQ27" i="9"/>
  <c r="ES27" i="9"/>
  <c r="EP27" i="9"/>
  <c r="ER27" i="9"/>
  <c r="EL28" i="9"/>
  <c r="EN28" i="9" s="1"/>
  <c r="AU28" i="9"/>
  <c r="AW28" i="9" s="1"/>
  <c r="DE26" i="12"/>
  <c r="DG26" i="12"/>
  <c r="DF26" i="12"/>
  <c r="E214" i="12"/>
  <c r="E215" i="12" s="1"/>
  <c r="E216" i="12" s="1"/>
  <c r="E217" i="12" s="1"/>
  <c r="E218" i="12" s="1"/>
  <c r="E219" i="12" s="1"/>
  <c r="CL26" i="12"/>
  <c r="CN26" i="12"/>
  <c r="CM26" i="12"/>
  <c r="M28" i="12"/>
  <c r="P28" i="12" s="1"/>
  <c r="Q28" i="12" s="1"/>
  <c r="DD27" i="9"/>
  <c r="DE27" i="9"/>
  <c r="DG27" i="9"/>
  <c r="DF27" i="9"/>
  <c r="FJ27" i="9"/>
  <c r="FI27" i="9"/>
  <c r="FK27" i="9"/>
  <c r="FL27" i="9"/>
  <c r="EM28" i="9"/>
  <c r="CG28" i="9"/>
  <c r="CI28" i="9" s="1"/>
  <c r="AF28" i="9" l="1"/>
  <c r="BV27" i="9"/>
  <c r="AH28" i="9"/>
  <c r="AI28" i="9"/>
  <c r="BC27" i="9"/>
  <c r="AJ27" i="9"/>
  <c r="CO27" i="9"/>
  <c r="DH27" i="9"/>
  <c r="ET27" i="9"/>
  <c r="EA27" i="9"/>
  <c r="FM27" i="9"/>
  <c r="AJ26" i="12"/>
  <c r="BC26" i="12"/>
  <c r="DX28" i="9"/>
  <c r="DW28" i="9"/>
  <c r="DH26" i="12"/>
  <c r="ET26" i="12"/>
  <c r="CO26" i="12"/>
  <c r="DY28" i="9"/>
  <c r="FM26" i="12"/>
  <c r="BV26" i="12"/>
  <c r="BT28" i="9"/>
  <c r="BS28" i="9"/>
  <c r="BU28" i="9"/>
  <c r="BR28" i="9"/>
  <c r="M30" i="9"/>
  <c r="P30" i="9" s="1"/>
  <c r="Q30" i="9" s="1"/>
  <c r="EQ27" i="12"/>
  <c r="ER27" i="12"/>
  <c r="ES27" i="12"/>
  <c r="AG27" i="12"/>
  <c r="AH27" i="12"/>
  <c r="AI27" i="12"/>
  <c r="EQ28" i="9"/>
  <c r="EP28" i="9"/>
  <c r="ER28" i="9"/>
  <c r="ES28" i="9"/>
  <c r="BA27" i="12"/>
  <c r="AZ27" i="12"/>
  <c r="BB27" i="12"/>
  <c r="M29" i="12"/>
  <c r="P29" i="12" s="1"/>
  <c r="Q29" i="12" s="1"/>
  <c r="EP28" i="12"/>
  <c r="FE28" i="12"/>
  <c r="FG28" i="12" s="1"/>
  <c r="FF28" i="12"/>
  <c r="CK28" i="12"/>
  <c r="DD28" i="12"/>
  <c r="AB28" i="12"/>
  <c r="AD28" i="12" s="1"/>
  <c r="AC28" i="12"/>
  <c r="BN28" i="12"/>
  <c r="BP28" i="12" s="1"/>
  <c r="BO28" i="12"/>
  <c r="CH28" i="12"/>
  <c r="DS28" i="12"/>
  <c r="DU28" i="12" s="1"/>
  <c r="EM28" i="12"/>
  <c r="DA28" i="12"/>
  <c r="DW28" i="12"/>
  <c r="CG28" i="12"/>
  <c r="CI28" i="12" s="1"/>
  <c r="EL28" i="12"/>
  <c r="EN28" i="12" s="1"/>
  <c r="AF28" i="12"/>
  <c r="BR28" i="12"/>
  <c r="CZ28" i="12"/>
  <c r="DB28" i="12" s="1"/>
  <c r="DT28" i="12"/>
  <c r="FI28" i="12"/>
  <c r="AY28" i="12"/>
  <c r="AV28" i="12"/>
  <c r="AU28" i="12"/>
  <c r="AW28" i="12" s="1"/>
  <c r="DD28" i="9"/>
  <c r="DE28" i="9"/>
  <c r="DF28" i="9"/>
  <c r="DG28" i="9"/>
  <c r="CL28" i="9"/>
  <c r="CN28" i="9"/>
  <c r="CM28" i="9"/>
  <c r="CK28" i="9"/>
  <c r="DQ30" i="9"/>
  <c r="DR30" i="9" s="1"/>
  <c r="DV30" i="9" s="1"/>
  <c r="BL30" i="9"/>
  <c r="BM30" i="9" s="1"/>
  <c r="BQ30" i="9" s="1"/>
  <c r="AS30" i="9"/>
  <c r="AT30" i="9" s="1"/>
  <c r="AX30" i="9" s="1"/>
  <c r="Z30" i="9"/>
  <c r="AA30" i="9" s="1"/>
  <c r="AE30" i="9" s="1"/>
  <c r="CX30" i="9"/>
  <c r="CY30" i="9" s="1"/>
  <c r="DC30" i="9" s="1"/>
  <c r="FC30" i="9"/>
  <c r="FD30" i="9" s="1"/>
  <c r="FH30" i="9" s="1"/>
  <c r="CE30" i="9"/>
  <c r="CF30" i="9" s="1"/>
  <c r="CJ30" i="9" s="1"/>
  <c r="EJ30" i="9"/>
  <c r="EK30" i="9" s="1"/>
  <c r="EO30" i="9" s="1"/>
  <c r="I31" i="9"/>
  <c r="E220" i="12"/>
  <c r="E221" i="12" s="1"/>
  <c r="E222" i="12" s="1"/>
  <c r="BS27" i="12"/>
  <c r="BU27" i="12"/>
  <c r="BT27" i="12"/>
  <c r="EA26" i="12"/>
  <c r="J30" i="12" a="1"/>
  <c r="J30" i="12" s="1"/>
  <c r="O30" i="12" a="1"/>
  <c r="O30" i="12" s="1"/>
  <c r="G30" i="12" a="1"/>
  <c r="G30" i="12" s="1"/>
  <c r="H30" i="12" a="1"/>
  <c r="H30" i="12" s="1"/>
  <c r="L30" i="12" a="1"/>
  <c r="L30" i="12" s="1"/>
  <c r="N30" i="12" a="1"/>
  <c r="N30" i="12" s="1"/>
  <c r="K30" i="12" a="1"/>
  <c r="K30" i="12" s="1"/>
  <c r="D31" i="12"/>
  <c r="DX27" i="12"/>
  <c r="DZ27" i="12"/>
  <c r="DY27" i="12"/>
  <c r="BA28" i="9"/>
  <c r="AY28" i="9"/>
  <c r="BB28" i="9"/>
  <c r="AZ28" i="9"/>
  <c r="N31" i="9" a="1"/>
  <c r="N31" i="9" s="1"/>
  <c r="K31" i="9" a="1"/>
  <c r="K31" i="9" s="1"/>
  <c r="H31" i="9" a="1"/>
  <c r="H31" i="9" s="1"/>
  <c r="O31" i="9" a="1"/>
  <c r="O31" i="9" s="1"/>
  <c r="G31" i="9" a="1"/>
  <c r="G31" i="9" s="1"/>
  <c r="L31" i="9" a="1"/>
  <c r="L31" i="9" s="1"/>
  <c r="J31" i="9" a="1"/>
  <c r="J31" i="9" s="1"/>
  <c r="D32" i="9"/>
  <c r="CM27" i="12"/>
  <c r="CL27" i="12"/>
  <c r="CN27" i="12"/>
  <c r="FF29" i="9"/>
  <c r="BN29" i="9"/>
  <c r="BP29" i="9" s="1"/>
  <c r="CG29" i="9"/>
  <c r="CI29" i="9" s="1"/>
  <c r="AU29" i="9"/>
  <c r="AW29" i="9" s="1"/>
  <c r="BO29" i="9"/>
  <c r="FE29" i="9"/>
  <c r="FG29" i="9" s="1"/>
  <c r="CH29" i="9"/>
  <c r="AV29" i="9"/>
  <c r="AC29" i="9"/>
  <c r="EM29" i="9"/>
  <c r="EL29" i="9"/>
  <c r="EN29" i="9" s="1"/>
  <c r="CZ29" i="9"/>
  <c r="DB29" i="9" s="1"/>
  <c r="DA29" i="9"/>
  <c r="AB29" i="9"/>
  <c r="AD29" i="9" s="1"/>
  <c r="DS29" i="9"/>
  <c r="DU29" i="9" s="1"/>
  <c r="DT29" i="9"/>
  <c r="FL28" i="9"/>
  <c r="FI28" i="9"/>
  <c r="FJ28" i="9"/>
  <c r="FK28" i="9"/>
  <c r="DE27" i="12"/>
  <c r="DG27" i="12"/>
  <c r="DF27" i="12"/>
  <c r="FJ27" i="12"/>
  <c r="FK27" i="12"/>
  <c r="FL27" i="12"/>
  <c r="BV28" i="9" l="1"/>
  <c r="AJ28" i="9"/>
  <c r="DH28" i="9"/>
  <c r="EA28" i="9"/>
  <c r="BC28" i="9"/>
  <c r="CO28" i="9"/>
  <c r="FM28" i="9"/>
  <c r="ET28" i="9"/>
  <c r="BV27" i="12"/>
  <c r="BN30" i="9"/>
  <c r="BP30" i="9" s="1"/>
  <c r="BT30" i="9" s="1"/>
  <c r="DS30" i="9"/>
  <c r="DU30" i="9" s="1"/>
  <c r="DZ30" i="9" s="1"/>
  <c r="FF30" i="9"/>
  <c r="AJ27" i="12"/>
  <c r="AB30" i="9"/>
  <c r="AD30" i="9" s="1"/>
  <c r="AH30" i="9" s="1"/>
  <c r="DA30" i="9"/>
  <c r="AV30" i="9"/>
  <c r="EL30" i="9"/>
  <c r="EN30" i="9" s="1"/>
  <c r="EQ30" i="9" s="1"/>
  <c r="CH30" i="9"/>
  <c r="DH27" i="12"/>
  <c r="CO27" i="12"/>
  <c r="M30" i="12"/>
  <c r="P30" i="12" s="1"/>
  <c r="Q30" i="12" s="1"/>
  <c r="ET27" i="12"/>
  <c r="FM27" i="12"/>
  <c r="AF30" i="9"/>
  <c r="DW30" i="9"/>
  <c r="DT30" i="9"/>
  <c r="EA27" i="12"/>
  <c r="DE28" i="12"/>
  <c r="DG28" i="12"/>
  <c r="DF28" i="12"/>
  <c r="DX28" i="12"/>
  <c r="DZ28" i="12"/>
  <c r="DY28" i="12"/>
  <c r="DW29" i="9"/>
  <c r="DX29" i="9"/>
  <c r="DZ29" i="9"/>
  <c r="DY29" i="9"/>
  <c r="FJ28" i="12"/>
  <c r="FK28" i="12"/>
  <c r="FL28" i="12"/>
  <c r="BO30" i="9"/>
  <c r="FL29" i="9"/>
  <c r="FK29" i="9"/>
  <c r="FJ29" i="9"/>
  <c r="FI29" i="9"/>
  <c r="AS31" i="9"/>
  <c r="AT31" i="9" s="1"/>
  <c r="AX31" i="9" s="1"/>
  <c r="Z31" i="9"/>
  <c r="AA31" i="9" s="1"/>
  <c r="AE31" i="9" s="1"/>
  <c r="DQ31" i="9"/>
  <c r="DR31" i="9" s="1"/>
  <c r="DV31" i="9" s="1"/>
  <c r="CX31" i="9"/>
  <c r="CY31" i="9" s="1"/>
  <c r="DC31" i="9" s="1"/>
  <c r="FC31" i="9"/>
  <c r="FD31" i="9" s="1"/>
  <c r="FH31" i="9" s="1"/>
  <c r="BL31" i="9"/>
  <c r="BM31" i="9" s="1"/>
  <c r="BQ31" i="9" s="1"/>
  <c r="CE31" i="9"/>
  <c r="CF31" i="9" s="1"/>
  <c r="CJ31" i="9" s="1"/>
  <c r="EJ31" i="9"/>
  <c r="EK31" i="9" s="1"/>
  <c r="EO31" i="9" s="1"/>
  <c r="I32" i="9"/>
  <c r="E223" i="12"/>
  <c r="E224" i="12" s="1"/>
  <c r="E225" i="12" s="1"/>
  <c r="E226" i="12" s="1"/>
  <c r="E227" i="12" s="1"/>
  <c r="E228" i="12" s="1"/>
  <c r="E229" i="12" s="1"/>
  <c r="E230" i="12" s="1"/>
  <c r="E231" i="12" s="1"/>
  <c r="E232" i="12" s="1"/>
  <c r="E233" i="12" s="1"/>
  <c r="E234" i="12" s="1"/>
  <c r="E235" i="12" s="1"/>
  <c r="E236" i="12" s="1"/>
  <c r="E237" i="12" s="1"/>
  <c r="E238" i="12" s="1"/>
  <c r="E239" i="12" s="1"/>
  <c r="E240" i="12" s="1"/>
  <c r="E241" i="12" s="1"/>
  <c r="J31" i="12" a="1"/>
  <c r="J31" i="12" s="1"/>
  <c r="L31" i="12" a="1"/>
  <c r="L31" i="12" s="1"/>
  <c r="H31" i="12" a="1"/>
  <c r="H31" i="12" s="1"/>
  <c r="K31" i="12" a="1"/>
  <c r="K31" i="12" s="1"/>
  <c r="N31" i="12" a="1"/>
  <c r="N31" i="12" s="1"/>
  <c r="G31" i="12" a="1"/>
  <c r="G31" i="12" s="1"/>
  <c r="O31" i="12" a="1"/>
  <c r="O31" i="12" s="1"/>
  <c r="D32" i="12"/>
  <c r="BB28" i="12"/>
  <c r="BA28" i="12"/>
  <c r="AZ28" i="12"/>
  <c r="EQ28" i="12"/>
  <c r="ES28" i="12"/>
  <c r="ER28" i="12"/>
  <c r="BS28" i="12"/>
  <c r="BU28" i="12"/>
  <c r="BT28" i="12"/>
  <c r="FF29" i="12"/>
  <c r="FE29" i="12"/>
  <c r="FG29" i="12" s="1"/>
  <c r="EP29" i="12"/>
  <c r="EP30" i="12" s="1"/>
  <c r="DD29" i="12"/>
  <c r="CK29" i="12"/>
  <c r="AB29" i="12"/>
  <c r="AD29" i="12" s="1"/>
  <c r="AC29" i="12"/>
  <c r="BO29" i="12"/>
  <c r="BN29" i="12"/>
  <c r="BP29" i="12" s="1"/>
  <c r="BR29" i="12"/>
  <c r="CZ29" i="12"/>
  <c r="DB29" i="12" s="1"/>
  <c r="AF29" i="12"/>
  <c r="FI29" i="12"/>
  <c r="CG29" i="12"/>
  <c r="CI29" i="12" s="1"/>
  <c r="CH29" i="12"/>
  <c r="EM29" i="12"/>
  <c r="EL29" i="12"/>
  <c r="EN29" i="12" s="1"/>
  <c r="EM30" i="12" s="1"/>
  <c r="DA29" i="12"/>
  <c r="AY29" i="12"/>
  <c r="AY30" i="12" s="1"/>
  <c r="DW29" i="12"/>
  <c r="DT29" i="12"/>
  <c r="DS29" i="12"/>
  <c r="DU29" i="12" s="1"/>
  <c r="AV29" i="12"/>
  <c r="AU29" i="12"/>
  <c r="AW29" i="12" s="1"/>
  <c r="AG29" i="9"/>
  <c r="AF29" i="9"/>
  <c r="AI29" i="9"/>
  <c r="AH29" i="9"/>
  <c r="DD29" i="9"/>
  <c r="DF29" i="9"/>
  <c r="DE29" i="9"/>
  <c r="DG29" i="9"/>
  <c r="BA29" i="9"/>
  <c r="BB29" i="9"/>
  <c r="AZ29" i="9"/>
  <c r="AY29" i="9"/>
  <c r="J32" i="9" a="1"/>
  <c r="J32" i="9" s="1"/>
  <c r="L32" i="9" a="1"/>
  <c r="L32" i="9" s="1"/>
  <c r="G32" i="9" a="1"/>
  <c r="G32" i="9" s="1"/>
  <c r="H32" i="9" a="1"/>
  <c r="H32" i="9" s="1"/>
  <c r="O32" i="9" a="1"/>
  <c r="O32" i="9" s="1"/>
  <c r="N32" i="9" a="1"/>
  <c r="N32" i="9" s="1"/>
  <c r="K32" i="9" a="1"/>
  <c r="K32" i="9" s="1"/>
  <c r="D33" i="9"/>
  <c r="CN28" i="12"/>
  <c r="CM28" i="12"/>
  <c r="CL28" i="12"/>
  <c r="AC30" i="9"/>
  <c r="AU30" i="9"/>
  <c r="AW30" i="9" s="1"/>
  <c r="EQ29" i="9"/>
  <c r="ES29" i="9"/>
  <c r="ER29" i="9"/>
  <c r="EP29" i="9"/>
  <c r="CK29" i="9"/>
  <c r="CL29" i="9"/>
  <c r="CN29" i="9"/>
  <c r="CM29" i="9"/>
  <c r="M31" i="9"/>
  <c r="P31" i="9" s="1"/>
  <c r="Q31" i="9" s="1"/>
  <c r="AH28" i="12"/>
  <c r="AI28" i="12"/>
  <c r="AG28" i="12"/>
  <c r="BC27" i="12"/>
  <c r="EM30" i="9"/>
  <c r="FE30" i="9"/>
  <c r="FG30" i="9" s="1"/>
  <c r="BT29" i="9"/>
  <c r="BU29" i="9"/>
  <c r="BS29" i="9"/>
  <c r="BR29" i="9"/>
  <c r="CZ30" i="9"/>
  <c r="DB30" i="9" s="1"/>
  <c r="CG30" i="9"/>
  <c r="CI30" i="9" s="1"/>
  <c r="DY30" i="9" l="1"/>
  <c r="DX30" i="9"/>
  <c r="BV29" i="9"/>
  <c r="EA29" i="9"/>
  <c r="BR30" i="9"/>
  <c r="BC29" i="9"/>
  <c r="BU30" i="9"/>
  <c r="CO29" i="9"/>
  <c r="AJ29" i="9"/>
  <c r="ET29" i="9"/>
  <c r="DH29" i="9"/>
  <c r="FM29" i="9"/>
  <c r="BR30" i="12"/>
  <c r="FF30" i="12"/>
  <c r="AI30" i="9"/>
  <c r="BN30" i="12"/>
  <c r="BP30" i="12" s="1"/>
  <c r="BS30" i="12" s="1"/>
  <c r="AU30" i="12"/>
  <c r="AW30" i="12" s="1"/>
  <c r="BA30" i="12" s="1"/>
  <c r="DS30" i="12"/>
  <c r="DU30" i="12" s="1"/>
  <c r="DY30" i="12" s="1"/>
  <c r="AB30" i="12"/>
  <c r="AD30" i="12" s="1"/>
  <c r="AI30" i="12" s="1"/>
  <c r="FI30" i="12"/>
  <c r="CK30" i="12"/>
  <c r="DW30" i="12"/>
  <c r="DD30" i="12"/>
  <c r="BS30" i="9"/>
  <c r="AG30" i="9"/>
  <c r="ES30" i="9"/>
  <c r="EP30" i="9"/>
  <c r="ER30" i="9"/>
  <c r="DA30" i="12"/>
  <c r="FM28" i="12"/>
  <c r="AJ28" i="12"/>
  <c r="BC28" i="12"/>
  <c r="CO28" i="12"/>
  <c r="BV28" i="12"/>
  <c r="AV30" i="12"/>
  <c r="FE30" i="12"/>
  <c r="FG30" i="12" s="1"/>
  <c r="FK30" i="12" s="1"/>
  <c r="CG31" i="9"/>
  <c r="CI31" i="9" s="1"/>
  <c r="AU31" i="9"/>
  <c r="AW31" i="9" s="1"/>
  <c r="FF31" i="9"/>
  <c r="CH31" i="9"/>
  <c r="AV31" i="9"/>
  <c r="FE31" i="9"/>
  <c r="FG31" i="9" s="1"/>
  <c r="BN31" i="9"/>
  <c r="BP31" i="9" s="1"/>
  <c r="BO31" i="9"/>
  <c r="EL31" i="9"/>
  <c r="EN31" i="9" s="1"/>
  <c r="AC31" i="9"/>
  <c r="DA31" i="9"/>
  <c r="CZ31" i="9"/>
  <c r="DB31" i="9" s="1"/>
  <c r="EM31" i="9"/>
  <c r="AB31" i="9"/>
  <c r="AD31" i="9" s="1"/>
  <c r="DT31" i="9"/>
  <c r="DS31" i="9"/>
  <c r="DU31" i="9" s="1"/>
  <c r="CL29" i="12"/>
  <c r="CM29" i="12"/>
  <c r="CN29" i="12"/>
  <c r="O33" i="9" a="1"/>
  <c r="O33" i="9" s="1"/>
  <c r="G33" i="9" a="1"/>
  <c r="G33" i="9" s="1"/>
  <c r="N33" i="9" a="1"/>
  <c r="N33" i="9" s="1"/>
  <c r="L33" i="9" a="1"/>
  <c r="L33" i="9" s="1"/>
  <c r="H33" i="9" a="1"/>
  <c r="H33" i="9" s="1"/>
  <c r="K33" i="9" a="1"/>
  <c r="K33" i="9" s="1"/>
  <c r="J33" i="9" a="1"/>
  <c r="J33" i="9" s="1"/>
  <c r="D34" i="9"/>
  <c r="DE29" i="12"/>
  <c r="DF29" i="12"/>
  <c r="DG29" i="12"/>
  <c r="DQ32" i="9"/>
  <c r="DR32" i="9" s="1"/>
  <c r="DV32" i="9" s="1"/>
  <c r="EJ32" i="9"/>
  <c r="EK32" i="9" s="1"/>
  <c r="EO32" i="9" s="1"/>
  <c r="BL32" i="9"/>
  <c r="BM32" i="9" s="1"/>
  <c r="BQ32" i="9" s="1"/>
  <c r="FC32" i="9"/>
  <c r="FD32" i="9" s="1"/>
  <c r="FH32" i="9" s="1"/>
  <c r="CX32" i="9"/>
  <c r="CY32" i="9" s="1"/>
  <c r="DC32" i="9" s="1"/>
  <c r="AS32" i="9"/>
  <c r="AT32" i="9" s="1"/>
  <c r="AX32" i="9" s="1"/>
  <c r="CE32" i="9"/>
  <c r="CF32" i="9" s="1"/>
  <c r="CJ32" i="9" s="1"/>
  <c r="Z32" i="9"/>
  <c r="AA32" i="9" s="1"/>
  <c r="AE32" i="9" s="1"/>
  <c r="I33" i="9"/>
  <c r="FJ29" i="12"/>
  <c r="FL29" i="12"/>
  <c r="FK29" i="12"/>
  <c r="DT30" i="12"/>
  <c r="BO30" i="12"/>
  <c r="DH28" i="12"/>
  <c r="AG29" i="12"/>
  <c r="AI29" i="12"/>
  <c r="AH29" i="12"/>
  <c r="FL30" i="9"/>
  <c r="FI30" i="9"/>
  <c r="FJ30" i="9"/>
  <c r="FK30" i="9"/>
  <c r="AZ30" i="9"/>
  <c r="BB30" i="9"/>
  <c r="AY30" i="9"/>
  <c r="BA30" i="9"/>
  <c r="EQ29" i="12"/>
  <c r="ES29" i="12"/>
  <c r="ER29" i="12"/>
  <c r="EL30" i="12"/>
  <c r="EN30" i="12" s="1"/>
  <c r="BS29" i="12"/>
  <c r="BU29" i="12"/>
  <c r="BT29" i="12"/>
  <c r="CK30" i="9"/>
  <c r="CN30" i="9"/>
  <c r="CL30" i="9"/>
  <c r="CM30" i="9"/>
  <c r="AZ29" i="12"/>
  <c r="BB29" i="12"/>
  <c r="BA29" i="12"/>
  <c r="M31" i="12"/>
  <c r="P31" i="12" s="1"/>
  <c r="Q31" i="12" s="1"/>
  <c r="CZ30" i="12"/>
  <c r="DB30" i="12" s="1"/>
  <c r="AC30" i="12"/>
  <c r="DF30" i="9"/>
  <c r="DD30" i="9"/>
  <c r="DG30" i="9"/>
  <c r="DE30" i="9"/>
  <c r="H32" i="12" a="1"/>
  <c r="H32" i="12" s="1"/>
  <c r="N32" i="12" a="1"/>
  <c r="N32" i="12" s="1"/>
  <c r="G32" i="12" a="1"/>
  <c r="G32" i="12" s="1"/>
  <c r="L32" i="12" a="1"/>
  <c r="L32" i="12" s="1"/>
  <c r="J32" i="12" a="1"/>
  <c r="J32" i="12" s="1"/>
  <c r="K32" i="12" a="1"/>
  <c r="K32" i="12" s="1"/>
  <c r="O32" i="12" a="1"/>
  <c r="O32" i="12" s="1"/>
  <c r="D33" i="12"/>
  <c r="CG30" i="12"/>
  <c r="CI30" i="12" s="1"/>
  <c r="E242" i="12"/>
  <c r="E243" i="12" s="1"/>
  <c r="E244" i="12" s="1"/>
  <c r="E245" i="12" s="1"/>
  <c r="E246" i="12" s="1"/>
  <c r="E247" i="12" s="1"/>
  <c r="E248" i="12" s="1"/>
  <c r="E249" i="12" s="1"/>
  <c r="E250" i="12" s="1"/>
  <c r="E251" i="12" s="1"/>
  <c r="E252" i="12" s="1"/>
  <c r="E253" i="12" s="1"/>
  <c r="E254" i="12" s="1"/>
  <c r="E255" i="12" s="1"/>
  <c r="E256" i="12" s="1"/>
  <c r="DX29" i="12"/>
  <c r="DZ29" i="12"/>
  <c r="DY29" i="12"/>
  <c r="M32" i="9"/>
  <c r="P32" i="9" s="1"/>
  <c r="Q32" i="9" s="1"/>
  <c r="ET28" i="12"/>
  <c r="CH30" i="12"/>
  <c r="AF30" i="12"/>
  <c r="EA28" i="12"/>
  <c r="BU30" i="12" l="1"/>
  <c r="AH30" i="12"/>
  <c r="AZ30" i="12"/>
  <c r="BT30" i="12"/>
  <c r="EA30" i="9"/>
  <c r="BB30" i="12"/>
  <c r="BV30" i="9"/>
  <c r="ET30" i="9"/>
  <c r="FM30" i="9"/>
  <c r="AJ30" i="9"/>
  <c r="AG30" i="12"/>
  <c r="BC30" i="9"/>
  <c r="DH30" i="9"/>
  <c r="CO30" i="9"/>
  <c r="DZ30" i="12"/>
  <c r="DX30" i="12"/>
  <c r="EA30" i="12" s="1"/>
  <c r="CG32" i="9"/>
  <c r="CI32" i="9" s="1"/>
  <c r="CK32" i="9" s="1"/>
  <c r="AV32" i="9"/>
  <c r="EL32" i="9"/>
  <c r="EN32" i="9" s="1"/>
  <c r="EP32" i="9" s="1"/>
  <c r="CH32" i="9"/>
  <c r="DT32" i="9"/>
  <c r="AU32" i="9"/>
  <c r="AW32" i="9" s="1"/>
  <c r="AY32" i="9" s="1"/>
  <c r="BN32" i="9"/>
  <c r="BP32" i="9" s="1"/>
  <c r="BT32" i="9" s="1"/>
  <c r="AB32" i="9"/>
  <c r="AD32" i="9" s="1"/>
  <c r="AG32" i="9" s="1"/>
  <c r="FF32" i="9"/>
  <c r="DA32" i="9"/>
  <c r="DS32" i="9"/>
  <c r="DU32" i="9" s="1"/>
  <c r="DW32" i="9" s="1"/>
  <c r="EA29" i="12"/>
  <c r="CO29" i="12"/>
  <c r="FJ30" i="12"/>
  <c r="FL30" i="12"/>
  <c r="FM29" i="12"/>
  <c r="AJ29" i="12"/>
  <c r="BV30" i="12"/>
  <c r="EM32" i="9"/>
  <c r="CZ32" i="9"/>
  <c r="DB32" i="9" s="1"/>
  <c r="DF32" i="9" s="1"/>
  <c r="BO32" i="9"/>
  <c r="AC32" i="9"/>
  <c r="FE32" i="9"/>
  <c r="FG32" i="9" s="1"/>
  <c r="FK32" i="9" s="1"/>
  <c r="BV29" i="12"/>
  <c r="BC29" i="12"/>
  <c r="EQ30" i="12"/>
  <c r="ER30" i="12"/>
  <c r="ES30" i="12"/>
  <c r="CE33" i="9"/>
  <c r="CF33" i="9" s="1"/>
  <c r="CJ33" i="9" s="1"/>
  <c r="AS33" i="9"/>
  <c r="AT33" i="9" s="1"/>
  <c r="AX33" i="9" s="1"/>
  <c r="Z33" i="9"/>
  <c r="AA33" i="9" s="1"/>
  <c r="AE33" i="9" s="1"/>
  <c r="DQ33" i="9"/>
  <c r="DR33" i="9" s="1"/>
  <c r="DV33" i="9" s="1"/>
  <c r="EJ33" i="9"/>
  <c r="EK33" i="9" s="1"/>
  <c r="EO33" i="9" s="1"/>
  <c r="BL33" i="9"/>
  <c r="BM33" i="9" s="1"/>
  <c r="BQ33" i="9" s="1"/>
  <c r="CX33" i="9"/>
  <c r="CY33" i="9" s="1"/>
  <c r="DC33" i="9" s="1"/>
  <c r="FC33" i="9"/>
  <c r="FD33" i="9" s="1"/>
  <c r="FH33" i="9" s="1"/>
  <c r="I34" i="9"/>
  <c r="DX31" i="9"/>
  <c r="DZ31" i="9"/>
  <c r="DW31" i="9"/>
  <c r="DY31" i="9"/>
  <c r="M32" i="12"/>
  <c r="P32" i="12" s="1"/>
  <c r="Q32" i="12" s="1"/>
  <c r="CN32" i="9"/>
  <c r="ET29" i="12"/>
  <c r="BR31" i="9"/>
  <c r="BS31" i="9"/>
  <c r="BU31" i="9"/>
  <c r="BT31" i="9"/>
  <c r="DH29" i="12"/>
  <c r="AI31" i="9"/>
  <c r="AF31" i="9"/>
  <c r="AG31" i="9"/>
  <c r="AH31" i="9"/>
  <c r="FJ31" i="9"/>
  <c r="FI31" i="9"/>
  <c r="FL31" i="9"/>
  <c r="FK31" i="9"/>
  <c r="E257" i="12"/>
  <c r="E258" i="12" s="1"/>
  <c r="E259" i="12" s="1"/>
  <c r="E260" i="12" s="1"/>
  <c r="E261" i="12" s="1"/>
  <c r="E262" i="12" s="1"/>
  <c r="E263" i="12" s="1"/>
  <c r="E264" i="12" s="1"/>
  <c r="E265" i="12" s="1"/>
  <c r="E266" i="12" s="1"/>
  <c r="E267" i="12" s="1"/>
  <c r="E268" i="12" s="1"/>
  <c r="E269" i="12" s="1"/>
  <c r="E270" i="12" s="1"/>
  <c r="E271" i="12" s="1"/>
  <c r="E272" i="12" s="1"/>
  <c r="E273" i="12" s="1"/>
  <c r="E274" i="12" s="1"/>
  <c r="E275" i="12" s="1"/>
  <c r="E276" i="12" s="1"/>
  <c r="E277" i="12" s="1"/>
  <c r="E278" i="12" s="1"/>
  <c r="E279" i="12" s="1"/>
  <c r="E280" i="12" s="1"/>
  <c r="DE30" i="12"/>
  <c r="DG30" i="12"/>
  <c r="DF30" i="12"/>
  <c r="FE31" i="12"/>
  <c r="FG31" i="12" s="1"/>
  <c r="FF31" i="12"/>
  <c r="EP31" i="12"/>
  <c r="CK31" i="12"/>
  <c r="DD31" i="12"/>
  <c r="BN31" i="12"/>
  <c r="BP31" i="12" s="1"/>
  <c r="BO31" i="12"/>
  <c r="AC31" i="12"/>
  <c r="AB31" i="12"/>
  <c r="AD31" i="12" s="1"/>
  <c r="EM31" i="12"/>
  <c r="DA31" i="12"/>
  <c r="DW31" i="12"/>
  <c r="CG31" i="12"/>
  <c r="CI31" i="12" s="1"/>
  <c r="AF31" i="12"/>
  <c r="EL31" i="12"/>
  <c r="EN31" i="12" s="1"/>
  <c r="CZ31" i="12"/>
  <c r="DB31" i="12" s="1"/>
  <c r="DT31" i="12"/>
  <c r="CH31" i="12"/>
  <c r="BR31" i="12"/>
  <c r="DS31" i="12"/>
  <c r="DU31" i="12" s="1"/>
  <c r="FI31" i="12"/>
  <c r="AY31" i="12"/>
  <c r="AV31" i="12"/>
  <c r="AU31" i="12"/>
  <c r="AW31" i="12" s="1"/>
  <c r="BS32" i="9"/>
  <c r="DG31" i="9"/>
  <c r="DF31" i="9"/>
  <c r="DE31" i="9"/>
  <c r="DD31" i="9"/>
  <c r="CL30" i="12"/>
  <c r="CN30" i="12"/>
  <c r="CM30" i="12"/>
  <c r="H34" i="9" a="1"/>
  <c r="H34" i="9" s="1"/>
  <c r="K34" i="9" a="1"/>
  <c r="K34" i="9" s="1"/>
  <c r="L34" i="9" a="1"/>
  <c r="L34" i="9" s="1"/>
  <c r="N34" i="9" a="1"/>
  <c r="N34" i="9" s="1"/>
  <c r="G34" i="9" a="1"/>
  <c r="G34" i="9" s="1"/>
  <c r="O34" i="9" a="1"/>
  <c r="O34" i="9" s="1"/>
  <c r="J34" i="9" a="1"/>
  <c r="J34" i="9" s="1"/>
  <c r="D35" i="9"/>
  <c r="M33" i="9"/>
  <c r="P33" i="9" s="1"/>
  <c r="Q33" i="9" s="1"/>
  <c r="L33" i="12" a="1"/>
  <c r="L33" i="12" s="1"/>
  <c r="J33" i="12" a="1"/>
  <c r="J33" i="12" s="1"/>
  <c r="H33" i="12" a="1"/>
  <c r="H33" i="12" s="1"/>
  <c r="O33" i="12" a="1"/>
  <c r="O33" i="12" s="1"/>
  <c r="N33" i="12" a="1"/>
  <c r="N33" i="12" s="1"/>
  <c r="G33" i="12" a="1"/>
  <c r="G33" i="12" s="1"/>
  <c r="K33" i="12" a="1"/>
  <c r="K33" i="12" s="1"/>
  <c r="D34" i="12"/>
  <c r="AZ31" i="9"/>
  <c r="BA31" i="9"/>
  <c r="AY31" i="9"/>
  <c r="BB31" i="9"/>
  <c r="DX32" i="9"/>
  <c r="EP31" i="9"/>
  <c r="EQ31" i="9"/>
  <c r="ES31" i="9"/>
  <c r="ER31" i="9"/>
  <c r="CN31" i="9"/>
  <c r="CK31" i="9"/>
  <c r="CL31" i="9"/>
  <c r="CM31" i="9"/>
  <c r="BC30" i="12" l="1"/>
  <c r="CL32" i="9"/>
  <c r="CM32" i="9"/>
  <c r="AJ30" i="12"/>
  <c r="DZ32" i="9"/>
  <c r="DY32" i="9"/>
  <c r="EA31" i="9"/>
  <c r="EA32" i="9" s="1"/>
  <c r="BV31" i="9"/>
  <c r="AJ31" i="9"/>
  <c r="BC31" i="9"/>
  <c r="FM31" i="9"/>
  <c r="ET31" i="9"/>
  <c r="CO31" i="9"/>
  <c r="DH31" i="9"/>
  <c r="BA32" i="9"/>
  <c r="BB32" i="9"/>
  <c r="AZ32" i="9"/>
  <c r="ER32" i="9"/>
  <c r="FM30" i="12"/>
  <c r="FL32" i="9"/>
  <c r="EQ32" i="9"/>
  <c r="AH32" i="9"/>
  <c r="BU32" i="9"/>
  <c r="BR32" i="9"/>
  <c r="AF32" i="9"/>
  <c r="ES32" i="9"/>
  <c r="AI32" i="9"/>
  <c r="DE32" i="9"/>
  <c r="DD32" i="9"/>
  <c r="DG32" i="9"/>
  <c r="FI32" i="9"/>
  <c r="FJ32" i="9"/>
  <c r="ET30" i="12"/>
  <c r="M34" i="9"/>
  <c r="P34" i="9" s="1"/>
  <c r="CH33" i="9"/>
  <c r="CG33" i="9"/>
  <c r="CI33" i="9" s="1"/>
  <c r="FF33" i="9"/>
  <c r="AU33" i="9"/>
  <c r="AW33" i="9" s="1"/>
  <c r="BN33" i="9"/>
  <c r="BP33" i="9" s="1"/>
  <c r="AV33" i="9"/>
  <c r="FE33" i="9"/>
  <c r="FG33" i="9" s="1"/>
  <c r="BO33" i="9"/>
  <c r="AC33" i="9"/>
  <c r="EL33" i="9"/>
  <c r="EN33" i="9" s="1"/>
  <c r="AB33" i="9"/>
  <c r="AD33" i="9" s="1"/>
  <c r="DA33" i="9"/>
  <c r="EM33" i="9"/>
  <c r="CZ33" i="9"/>
  <c r="DB33" i="9" s="1"/>
  <c r="DT33" i="9"/>
  <c r="DS33" i="9"/>
  <c r="DU33" i="9" s="1"/>
  <c r="EP32" i="12"/>
  <c r="FF32" i="12"/>
  <c r="FE32" i="12"/>
  <c r="FG32" i="12" s="1"/>
  <c r="DD32" i="12"/>
  <c r="CK32" i="12"/>
  <c r="BN32" i="12"/>
  <c r="BP32" i="12" s="1"/>
  <c r="AB32" i="12"/>
  <c r="AD32" i="12" s="1"/>
  <c r="BO32" i="12"/>
  <c r="AC32" i="12"/>
  <c r="DW32" i="12"/>
  <c r="DT32" i="12"/>
  <c r="AF32" i="12"/>
  <c r="DS32" i="12"/>
  <c r="DU32" i="12" s="1"/>
  <c r="FI32" i="12"/>
  <c r="AY32" i="12"/>
  <c r="CG32" i="12"/>
  <c r="CI32" i="12" s="1"/>
  <c r="BR32" i="12"/>
  <c r="DA32" i="12"/>
  <c r="CH32" i="12"/>
  <c r="CZ32" i="12"/>
  <c r="DB32" i="12" s="1"/>
  <c r="EM32" i="12"/>
  <c r="EL32" i="12"/>
  <c r="EN32" i="12" s="1"/>
  <c r="AU32" i="12"/>
  <c r="AW32" i="12" s="1"/>
  <c r="AV32" i="12"/>
  <c r="DX31" i="12"/>
  <c r="DY31" i="12"/>
  <c r="DZ31" i="12"/>
  <c r="AG31" i="12"/>
  <c r="AI31" i="12"/>
  <c r="AH31" i="12"/>
  <c r="FJ31" i="12"/>
  <c r="FL31" i="12"/>
  <c r="FK31" i="12"/>
  <c r="AZ31" i="12"/>
  <c r="BB31" i="12"/>
  <c r="BA31" i="12"/>
  <c r="DE31" i="12"/>
  <c r="DF31" i="12"/>
  <c r="DG31" i="12"/>
  <c r="M33" i="12"/>
  <c r="P33" i="12" s="1"/>
  <c r="Q33" i="12" s="1"/>
  <c r="EQ31" i="12"/>
  <c r="ES31" i="12"/>
  <c r="ER31" i="12"/>
  <c r="BS31" i="12"/>
  <c r="BT31" i="12"/>
  <c r="BU31" i="12"/>
  <c r="EJ34" i="9"/>
  <c r="EK34" i="9" s="1"/>
  <c r="EO34" i="9" s="1"/>
  <c r="CX34" i="9"/>
  <c r="CY34" i="9" s="1"/>
  <c r="DC34" i="9" s="1"/>
  <c r="CE34" i="9"/>
  <c r="CF34" i="9" s="1"/>
  <c r="CJ34" i="9" s="1"/>
  <c r="Z34" i="9"/>
  <c r="AA34" i="9" s="1"/>
  <c r="AE34" i="9" s="1"/>
  <c r="DQ34" i="9"/>
  <c r="DR34" i="9" s="1"/>
  <c r="DV34" i="9" s="1"/>
  <c r="BL34" i="9"/>
  <c r="BM34" i="9" s="1"/>
  <c r="BQ34" i="9" s="1"/>
  <c r="FC34" i="9"/>
  <c r="FD34" i="9" s="1"/>
  <c r="FH34" i="9" s="1"/>
  <c r="AS34" i="9"/>
  <c r="AT34" i="9" s="1"/>
  <c r="AX34" i="9" s="1"/>
  <c r="I35" i="9"/>
  <c r="CO30" i="12"/>
  <c r="O34" i="12" a="1"/>
  <c r="O34" i="12" s="1"/>
  <c r="H34" i="12" a="1"/>
  <c r="H34" i="12" s="1"/>
  <c r="G34" i="12" a="1"/>
  <c r="G34" i="12" s="1"/>
  <c r="N34" i="12" a="1"/>
  <c r="N34" i="12" s="1"/>
  <c r="L34" i="12" a="1"/>
  <c r="L34" i="12" s="1"/>
  <c r="K34" i="12" a="1"/>
  <c r="K34" i="12" s="1"/>
  <c r="J34" i="12" a="1"/>
  <c r="J34" i="12" s="1"/>
  <c r="D35" i="12"/>
  <c r="CM31" i="12"/>
  <c r="CL31" i="12"/>
  <c r="CN31" i="12"/>
  <c r="E281" i="12"/>
  <c r="E282" i="12" s="1"/>
  <c r="E283" i="12" s="1"/>
  <c r="E284" i="12" s="1"/>
  <c r="E285" i="12" s="1"/>
  <c r="E286" i="12" s="1"/>
  <c r="E287" i="12" s="1"/>
  <c r="E288" i="12" s="1"/>
  <c r="E289" i="12" s="1"/>
  <c r="E290" i="12" s="1"/>
  <c r="E291" i="12" s="1"/>
  <c r="E292" i="12" s="1"/>
  <c r="E293" i="12" s="1"/>
  <c r="E294" i="12" s="1"/>
  <c r="E295" i="12" s="1"/>
  <c r="E296" i="12" s="1"/>
  <c r="E297" i="12" s="1"/>
  <c r="E298" i="12" s="1"/>
  <c r="E299" i="12" s="1"/>
  <c r="E300" i="12" s="1"/>
  <c r="E301" i="12" s="1"/>
  <c r="E302" i="12" s="1"/>
  <c r="E303" i="12" s="1"/>
  <c r="E304" i="12" s="1"/>
  <c r="E305" i="12" s="1"/>
  <c r="E306" i="12" s="1"/>
  <c r="E307" i="12" s="1"/>
  <c r="E308" i="12" s="1"/>
  <c r="E309" i="12" s="1"/>
  <c r="E310" i="12" s="1"/>
  <c r="E311" i="12" s="1"/>
  <c r="E312" i="12" s="1"/>
  <c r="E313" i="12" s="1"/>
  <c r="E314" i="12" s="1"/>
  <c r="E315" i="12" s="1"/>
  <c r="E316" i="12" s="1"/>
  <c r="E317" i="12" s="1"/>
  <c r="E318" i="12" s="1"/>
  <c r="H35" i="9" a="1"/>
  <c r="H35" i="9" s="1"/>
  <c r="K35" i="9" a="1"/>
  <c r="K35" i="9" s="1"/>
  <c r="G35" i="9" a="1"/>
  <c r="G35" i="9" s="1"/>
  <c r="L35" i="9" a="1"/>
  <c r="L35" i="9" s="1"/>
  <c r="J35" i="9" a="1"/>
  <c r="J35" i="9" s="1"/>
  <c r="O35" i="9" a="1"/>
  <c r="O35" i="9" s="1"/>
  <c r="N35" i="9" a="1"/>
  <c r="N35" i="9" s="1"/>
  <c r="D36" i="9"/>
  <c r="Q34" i="9"/>
  <c r="DH30" i="12"/>
  <c r="CO32" i="9" l="1"/>
  <c r="BV32" i="9"/>
  <c r="DH32" i="9"/>
  <c r="FM32" i="9"/>
  <c r="BC32" i="9"/>
  <c r="AJ32" i="9"/>
  <c r="ET32" i="9"/>
  <c r="FM31" i="12"/>
  <c r="BV31" i="12"/>
  <c r="AJ31" i="12"/>
  <c r="BC31" i="12"/>
  <c r="J36" i="9" a="1"/>
  <c r="J36" i="9" s="1"/>
  <c r="K36" i="9" a="1"/>
  <c r="K36" i="9" s="1"/>
  <c r="N36" i="9" a="1"/>
  <c r="N36" i="9" s="1"/>
  <c r="H36" i="9" a="1"/>
  <c r="H36" i="9" s="1"/>
  <c r="G36" i="9" a="1"/>
  <c r="G36" i="9" s="1"/>
  <c r="O36" i="9" a="1"/>
  <c r="O36" i="9" s="1"/>
  <c r="L36" i="9" a="1"/>
  <c r="L36" i="9" s="1"/>
  <c r="D37" i="9"/>
  <c r="FF33" i="12"/>
  <c r="FE33" i="12"/>
  <c r="FG33" i="12" s="1"/>
  <c r="EP33" i="12"/>
  <c r="DD33" i="12"/>
  <c r="CK33" i="12"/>
  <c r="AB33" i="12"/>
  <c r="AD33" i="12" s="1"/>
  <c r="AC33" i="12"/>
  <c r="BO33" i="12"/>
  <c r="BN33" i="12"/>
  <c r="BP33" i="12" s="1"/>
  <c r="FI33" i="12"/>
  <c r="DS33" i="12"/>
  <c r="DU33" i="12" s="1"/>
  <c r="AF33" i="12"/>
  <c r="EL33" i="12"/>
  <c r="EN33" i="12" s="1"/>
  <c r="BR33" i="12"/>
  <c r="AY33" i="12"/>
  <c r="CG33" i="12"/>
  <c r="CI33" i="12" s="1"/>
  <c r="DA33" i="12"/>
  <c r="CH33" i="12"/>
  <c r="CZ33" i="12"/>
  <c r="DB33" i="12" s="1"/>
  <c r="DW33" i="12"/>
  <c r="EM33" i="12"/>
  <c r="DT33" i="12"/>
  <c r="AU33" i="12"/>
  <c r="AW33" i="12" s="1"/>
  <c r="AV33" i="12"/>
  <c r="AZ32" i="12"/>
  <c r="BB32" i="12"/>
  <c r="BA32" i="12"/>
  <c r="AH32" i="12"/>
  <c r="AI32" i="12"/>
  <c r="AG32" i="12"/>
  <c r="FL33" i="9"/>
  <c r="FJ33" i="9"/>
  <c r="FK33" i="9"/>
  <c r="FI33" i="9"/>
  <c r="DW33" i="9"/>
  <c r="DX33" i="9"/>
  <c r="DY33" i="9"/>
  <c r="DZ33" i="9"/>
  <c r="DH31" i="12"/>
  <c r="EQ32" i="12"/>
  <c r="ES32" i="12"/>
  <c r="ER32" i="12"/>
  <c r="BS32" i="12"/>
  <c r="BT32" i="12"/>
  <c r="BU32" i="12"/>
  <c r="DG33" i="9"/>
  <c r="DD33" i="9"/>
  <c r="DF33" i="9"/>
  <c r="DE33" i="9"/>
  <c r="AU34" i="9"/>
  <c r="AW34" i="9" s="1"/>
  <c r="AV34" i="9"/>
  <c r="FF34" i="9"/>
  <c r="BO34" i="9"/>
  <c r="FE34" i="9"/>
  <c r="FG34" i="9" s="1"/>
  <c r="CG34" i="9"/>
  <c r="CI34" i="9" s="1"/>
  <c r="CH34" i="9"/>
  <c r="BN34" i="9"/>
  <c r="BP34" i="9" s="1"/>
  <c r="DA34" i="9"/>
  <c r="AB34" i="9"/>
  <c r="AD34" i="9" s="1"/>
  <c r="EM34" i="9"/>
  <c r="AC34" i="9"/>
  <c r="EL34" i="9"/>
  <c r="EN34" i="9" s="1"/>
  <c r="CZ34" i="9"/>
  <c r="DB34" i="9" s="1"/>
  <c r="DS34" i="9"/>
  <c r="DU34" i="9" s="1"/>
  <c r="DT34" i="9"/>
  <c r="M35" i="9"/>
  <c r="P35" i="9" s="1"/>
  <c r="Q35" i="9" s="1"/>
  <c r="CO31" i="12"/>
  <c r="DX32" i="12"/>
  <c r="DZ32" i="12"/>
  <c r="DY32" i="12"/>
  <c r="BR33" i="9"/>
  <c r="BU33" i="9"/>
  <c r="BT33" i="9"/>
  <c r="BS33" i="9"/>
  <c r="CL32" i="12"/>
  <c r="CM32" i="12"/>
  <c r="CN32" i="12"/>
  <c r="ET31" i="12"/>
  <c r="DE32" i="12"/>
  <c r="DG32" i="12"/>
  <c r="DF32" i="12"/>
  <c r="AY33" i="9"/>
  <c r="BA33" i="9"/>
  <c r="AZ33" i="9"/>
  <c r="BB33" i="9"/>
  <c r="E319" i="12"/>
  <c r="FJ32" i="12"/>
  <c r="FL32" i="12"/>
  <c r="FK32" i="12"/>
  <c r="AF33" i="9"/>
  <c r="AI33" i="9"/>
  <c r="AH33" i="9"/>
  <c r="AG33" i="9"/>
  <c r="H35" i="12" a="1"/>
  <c r="H35" i="12" s="1"/>
  <c r="N35" i="12" a="1"/>
  <c r="N35" i="12" s="1"/>
  <c r="G35" i="12" a="1"/>
  <c r="G35" i="12" s="1"/>
  <c r="J35" i="12" a="1"/>
  <c r="J35" i="12" s="1"/>
  <c r="O35" i="12" a="1"/>
  <c r="O35" i="12" s="1"/>
  <c r="L35" i="12" a="1"/>
  <c r="L35" i="12" s="1"/>
  <c r="K35" i="12" a="1"/>
  <c r="K35" i="12" s="1"/>
  <c r="D36" i="12"/>
  <c r="EA31" i="12"/>
  <c r="ER33" i="9"/>
  <c r="EP33" i="9"/>
  <c r="ES33" i="9"/>
  <c r="EQ33" i="9"/>
  <c r="CL33" i="9"/>
  <c r="CK33" i="9"/>
  <c r="CN33" i="9"/>
  <c r="CM33" i="9"/>
  <c r="M34" i="12"/>
  <c r="P34" i="12" s="1"/>
  <c r="Q34" i="12" s="1"/>
  <c r="AS35" i="9"/>
  <c r="AT35" i="9" s="1"/>
  <c r="AX35" i="9" s="1"/>
  <c r="EJ35" i="9"/>
  <c r="EK35" i="9" s="1"/>
  <c r="EO35" i="9" s="1"/>
  <c r="CE35" i="9"/>
  <c r="CF35" i="9" s="1"/>
  <c r="CJ35" i="9" s="1"/>
  <c r="Z35" i="9"/>
  <c r="AA35" i="9" s="1"/>
  <c r="AE35" i="9" s="1"/>
  <c r="DQ35" i="9"/>
  <c r="DR35" i="9" s="1"/>
  <c r="DV35" i="9" s="1"/>
  <c r="BL35" i="9"/>
  <c r="BM35" i="9" s="1"/>
  <c r="BQ35" i="9" s="1"/>
  <c r="CX35" i="9"/>
  <c r="CY35" i="9" s="1"/>
  <c r="DC35" i="9" s="1"/>
  <c r="FC35" i="9"/>
  <c r="FD35" i="9" s="1"/>
  <c r="FH35" i="9" s="1"/>
  <c r="I36" i="9"/>
  <c r="BV33" i="9" l="1"/>
  <c r="EA33" i="9"/>
  <c r="CO33" i="9"/>
  <c r="FM32" i="12"/>
  <c r="AJ33" i="9"/>
  <c r="BC33" i="9"/>
  <c r="ET33" i="9"/>
  <c r="FM33" i="9"/>
  <c r="DH33" i="9"/>
  <c r="BV32" i="12"/>
  <c r="AJ32" i="12"/>
  <c r="BC32" i="12"/>
  <c r="M36" i="9"/>
  <c r="P36" i="9" s="1"/>
  <c r="Q36" i="9" s="1"/>
  <c r="FF34" i="12"/>
  <c r="EP34" i="12"/>
  <c r="FE34" i="12"/>
  <c r="FG34" i="12" s="1"/>
  <c r="DD34" i="12"/>
  <c r="CK34" i="12"/>
  <c r="BN34" i="12"/>
  <c r="BP34" i="12" s="1"/>
  <c r="BO34" i="12"/>
  <c r="AB34" i="12"/>
  <c r="AD34" i="12" s="1"/>
  <c r="AC34" i="12"/>
  <c r="DW34" i="12"/>
  <c r="FI34" i="12"/>
  <c r="BR34" i="12"/>
  <c r="AY34" i="12"/>
  <c r="DA34" i="12"/>
  <c r="CZ34" i="12"/>
  <c r="DB34" i="12" s="1"/>
  <c r="AF34" i="12"/>
  <c r="DT34" i="12"/>
  <c r="EM34" i="12"/>
  <c r="CG34" i="12"/>
  <c r="CI34" i="12" s="1"/>
  <c r="CH34" i="12"/>
  <c r="DS34" i="12"/>
  <c r="DU34" i="12" s="1"/>
  <c r="EL34" i="12"/>
  <c r="EN34" i="12" s="1"/>
  <c r="AV34" i="12"/>
  <c r="AU34" i="12"/>
  <c r="AW34" i="12" s="1"/>
  <c r="FE35" i="9"/>
  <c r="FG35" i="9" s="1"/>
  <c r="AU35" i="9"/>
  <c r="AW35" i="9" s="1"/>
  <c r="BO35" i="9"/>
  <c r="FF35" i="9"/>
  <c r="CG35" i="9"/>
  <c r="CI35" i="9" s="1"/>
  <c r="BN35" i="9"/>
  <c r="BP35" i="9" s="1"/>
  <c r="CH35" i="9"/>
  <c r="AV35" i="9"/>
  <c r="EM35" i="9"/>
  <c r="AB35" i="9"/>
  <c r="AD35" i="9" s="1"/>
  <c r="EL35" i="9"/>
  <c r="EN35" i="9" s="1"/>
  <c r="DA35" i="9"/>
  <c r="AC35" i="9"/>
  <c r="CZ35" i="9"/>
  <c r="DB35" i="9" s="1"/>
  <c r="DT35" i="9"/>
  <c r="DS35" i="9"/>
  <c r="DU35" i="9" s="1"/>
  <c r="FI34" i="9"/>
  <c r="FJ34" i="9"/>
  <c r="FL34" i="9"/>
  <c r="FK34" i="9"/>
  <c r="L37" i="9" a="1"/>
  <c r="L37" i="9" s="1"/>
  <c r="K37" i="9" a="1"/>
  <c r="K37" i="9" s="1"/>
  <c r="G37" i="9" a="1"/>
  <c r="G37" i="9" s="1"/>
  <c r="N37" i="9" a="1"/>
  <c r="N37" i="9" s="1"/>
  <c r="O37" i="9" a="1"/>
  <c r="O37" i="9" s="1"/>
  <c r="H37" i="9" a="1"/>
  <c r="H37" i="9" s="1"/>
  <c r="J37" i="9" a="1"/>
  <c r="J37" i="9" s="1"/>
  <c r="D38" i="9"/>
  <c r="AZ33" i="12"/>
  <c r="BB33" i="12"/>
  <c r="BA33" i="12"/>
  <c r="M35" i="12"/>
  <c r="P35" i="12" s="1"/>
  <c r="Q35" i="12" s="1"/>
  <c r="CO32" i="12"/>
  <c r="AG33" i="12"/>
  <c r="AI33" i="12"/>
  <c r="AH33" i="12"/>
  <c r="ER34" i="9"/>
  <c r="ES34" i="9"/>
  <c r="EP34" i="9"/>
  <c r="EQ34" i="9"/>
  <c r="AF34" i="9"/>
  <c r="AH34" i="9"/>
  <c r="AI34" i="9"/>
  <c r="AG34" i="9"/>
  <c r="EQ33" i="12"/>
  <c r="ES33" i="12"/>
  <c r="ER33" i="12"/>
  <c r="G36" i="12" a="1"/>
  <c r="G36" i="12" s="1"/>
  <c r="J36" i="12" a="1"/>
  <c r="J36" i="12" s="1"/>
  <c r="K36" i="12" a="1"/>
  <c r="K36" i="12" s="1"/>
  <c r="L36" i="12" a="1"/>
  <c r="L36" i="12" s="1"/>
  <c r="O36" i="12" a="1"/>
  <c r="O36" i="12" s="1"/>
  <c r="H36" i="12" a="1"/>
  <c r="H36" i="12" s="1"/>
  <c r="N36" i="12" a="1"/>
  <c r="N36" i="12" s="1"/>
  <c r="D37" i="12"/>
  <c r="CL33" i="12"/>
  <c r="CN33" i="12"/>
  <c r="CM33" i="12"/>
  <c r="BL36" i="9"/>
  <c r="BM36" i="9" s="1"/>
  <c r="BQ36" i="9" s="1"/>
  <c r="AS36" i="9"/>
  <c r="AT36" i="9" s="1"/>
  <c r="AX36" i="9" s="1"/>
  <c r="FC36" i="9"/>
  <c r="FD36" i="9" s="1"/>
  <c r="FH36" i="9" s="1"/>
  <c r="Z36" i="9"/>
  <c r="AA36" i="9" s="1"/>
  <c r="AE36" i="9" s="1"/>
  <c r="CX36" i="9"/>
  <c r="CY36" i="9" s="1"/>
  <c r="DC36" i="9" s="1"/>
  <c r="EJ36" i="9"/>
  <c r="EK36" i="9" s="1"/>
  <c r="EO36" i="9" s="1"/>
  <c r="CE36" i="9"/>
  <c r="CF36" i="9" s="1"/>
  <c r="CJ36" i="9" s="1"/>
  <c r="DQ36" i="9"/>
  <c r="DR36" i="9" s="1"/>
  <c r="DV36" i="9" s="1"/>
  <c r="I37" i="9"/>
  <c r="DH32" i="12"/>
  <c r="BB34" i="9"/>
  <c r="BA34" i="9"/>
  <c r="AZ34" i="9"/>
  <c r="AY34" i="9"/>
  <c r="DZ34" i="9"/>
  <c r="DX34" i="9"/>
  <c r="DW34" i="9"/>
  <c r="DY34" i="9"/>
  <c r="E320" i="12"/>
  <c r="E321" i="12" s="1"/>
  <c r="E322" i="12" s="1"/>
  <c r="E323" i="12" s="1"/>
  <c r="BU34" i="9"/>
  <c r="BT34" i="9"/>
  <c r="BS34" i="9"/>
  <c r="BR34" i="9"/>
  <c r="ET32" i="12"/>
  <c r="DE33" i="12"/>
  <c r="DF33" i="12"/>
  <c r="DG33" i="12"/>
  <c r="DX33" i="12"/>
  <c r="DZ33" i="12"/>
  <c r="DY33" i="12"/>
  <c r="FJ33" i="12"/>
  <c r="FK33" i="12"/>
  <c r="FL33" i="12"/>
  <c r="EA32" i="12"/>
  <c r="DE34" i="9"/>
  <c r="DD34" i="9"/>
  <c r="DG34" i="9"/>
  <c r="DF34" i="9"/>
  <c r="CL34" i="9"/>
  <c r="CN34" i="9"/>
  <c r="CM34" i="9"/>
  <c r="CK34" i="9"/>
  <c r="CO34" i="9" s="1"/>
  <c r="BS33" i="12"/>
  <c r="BU33" i="12"/>
  <c r="BT33" i="12"/>
  <c r="EA34" i="9" l="1"/>
  <c r="BV34" i="9"/>
  <c r="BC34" i="9"/>
  <c r="AJ34" i="9"/>
  <c r="DH34" i="9"/>
  <c r="FM34" i="9"/>
  <c r="ET34" i="9"/>
  <c r="AJ33" i="12"/>
  <c r="M37" i="9"/>
  <c r="P37" i="9" s="1"/>
  <c r="Q37" i="9" s="1"/>
  <c r="M36" i="12"/>
  <c r="P36" i="12" s="1"/>
  <c r="Q36" i="12" s="1"/>
  <c r="DH33" i="12"/>
  <c r="BV33" i="12"/>
  <c r="FM33" i="12"/>
  <c r="ET33" i="12"/>
  <c r="FF35" i="12"/>
  <c r="FE35" i="12"/>
  <c r="FG35" i="12" s="1"/>
  <c r="EP35" i="12"/>
  <c r="DD35" i="12"/>
  <c r="CK35" i="12"/>
  <c r="BO35" i="12"/>
  <c r="BN35" i="12"/>
  <c r="BP35" i="12" s="1"/>
  <c r="AB35" i="12"/>
  <c r="AD35" i="12" s="1"/>
  <c r="AC35" i="12"/>
  <c r="EL35" i="12"/>
  <c r="EN35" i="12" s="1"/>
  <c r="DS35" i="12"/>
  <c r="DU35" i="12" s="1"/>
  <c r="EM35" i="12"/>
  <c r="FI35" i="12"/>
  <c r="BR35" i="12"/>
  <c r="AY35" i="12"/>
  <c r="CG35" i="12"/>
  <c r="CI35" i="12" s="1"/>
  <c r="DA35" i="12"/>
  <c r="AF35" i="12"/>
  <c r="CH35" i="12"/>
  <c r="CZ35" i="12"/>
  <c r="DB35" i="12" s="1"/>
  <c r="DW35" i="12"/>
  <c r="DT35" i="12"/>
  <c r="AU35" i="12"/>
  <c r="AW35" i="12" s="1"/>
  <c r="AV35" i="12"/>
  <c r="L37" i="12" a="1"/>
  <c r="L37" i="12" s="1"/>
  <c r="J37" i="12" a="1"/>
  <c r="J37" i="12" s="1"/>
  <c r="O37" i="12" a="1"/>
  <c r="O37" i="12" s="1"/>
  <c r="H37" i="12" a="1"/>
  <c r="H37" i="12" s="1"/>
  <c r="G37" i="12" a="1"/>
  <c r="G37" i="12" s="1"/>
  <c r="N37" i="12" a="1"/>
  <c r="N37" i="12" s="1"/>
  <c r="D38" i="12"/>
  <c r="K37" i="12" a="1"/>
  <c r="K37" i="12" s="1"/>
  <c r="DE34" i="12"/>
  <c r="DG34" i="12"/>
  <c r="DF34" i="12"/>
  <c r="DD35" i="9"/>
  <c r="DG35" i="9"/>
  <c r="DE35" i="9"/>
  <c r="DF35" i="9"/>
  <c r="BU35" i="9"/>
  <c r="BT35" i="9"/>
  <c r="BS35" i="9"/>
  <c r="BR35" i="9"/>
  <c r="EQ34" i="12"/>
  <c r="ES34" i="12"/>
  <c r="ER34" i="12"/>
  <c r="BS34" i="12"/>
  <c r="BT34" i="12"/>
  <c r="BU34" i="12"/>
  <c r="AG34" i="12"/>
  <c r="AI34" i="12"/>
  <c r="AH34" i="12"/>
  <c r="AU36" i="9"/>
  <c r="AW36" i="9" s="1"/>
  <c r="FE36" i="9"/>
  <c r="FG36" i="9" s="1"/>
  <c r="FF36" i="9"/>
  <c r="AV36" i="9"/>
  <c r="CG36" i="9"/>
  <c r="CI36" i="9" s="1"/>
  <c r="CH36" i="9"/>
  <c r="BO36" i="9"/>
  <c r="BN36" i="9"/>
  <c r="BP36" i="9" s="1"/>
  <c r="AB36" i="9"/>
  <c r="AD36" i="9" s="1"/>
  <c r="EM36" i="9"/>
  <c r="EL36" i="9"/>
  <c r="EN36" i="9" s="1"/>
  <c r="DA36" i="9"/>
  <c r="CZ36" i="9"/>
  <c r="DB36" i="9" s="1"/>
  <c r="AC36" i="9"/>
  <c r="DS36" i="9"/>
  <c r="DU36" i="9" s="1"/>
  <c r="DT36" i="9"/>
  <c r="BC33" i="12"/>
  <c r="CN35" i="9"/>
  <c r="CM35" i="9"/>
  <c r="CL35" i="9"/>
  <c r="CK35" i="9"/>
  <c r="DX34" i="12"/>
  <c r="DZ34" i="12"/>
  <c r="DY34" i="12"/>
  <c r="BB34" i="12"/>
  <c r="BA34" i="12"/>
  <c r="AZ34" i="12"/>
  <c r="EA33" i="12"/>
  <c r="FC37" i="9"/>
  <c r="FD37" i="9" s="1"/>
  <c r="FH37" i="9" s="1"/>
  <c r="BL37" i="9"/>
  <c r="BM37" i="9" s="1"/>
  <c r="BQ37" i="9" s="1"/>
  <c r="DQ37" i="9"/>
  <c r="DR37" i="9" s="1"/>
  <c r="DV37" i="9" s="1"/>
  <c r="AS37" i="9"/>
  <c r="AT37" i="9" s="1"/>
  <c r="AX37" i="9" s="1"/>
  <c r="CX37" i="9"/>
  <c r="CY37" i="9" s="1"/>
  <c r="DC37" i="9" s="1"/>
  <c r="EJ37" i="9"/>
  <c r="EK37" i="9" s="1"/>
  <c r="EO37" i="9" s="1"/>
  <c r="CE37" i="9"/>
  <c r="CF37" i="9" s="1"/>
  <c r="CJ37" i="9" s="1"/>
  <c r="Z37" i="9"/>
  <c r="AA37" i="9" s="1"/>
  <c r="AE37" i="9" s="1"/>
  <c r="I38" i="9"/>
  <c r="L38" i="9" a="1"/>
  <c r="L38" i="9" s="1"/>
  <c r="K38" i="9" a="1"/>
  <c r="K38" i="9" s="1"/>
  <c r="H38" i="9" a="1"/>
  <c r="H38" i="9" s="1"/>
  <c r="J38" i="9" a="1"/>
  <c r="J38" i="9" s="1"/>
  <c r="N38" i="9" a="1"/>
  <c r="N38" i="9" s="1"/>
  <c r="G38" i="9" a="1"/>
  <c r="G38" i="9" s="1"/>
  <c r="O38" i="9" a="1"/>
  <c r="O38" i="9" s="1"/>
  <c r="D39" i="9"/>
  <c r="DW35" i="9"/>
  <c r="DX35" i="9"/>
  <c r="DZ35" i="9"/>
  <c r="DY35" i="9"/>
  <c r="ES35" i="9"/>
  <c r="EQ35" i="9"/>
  <c r="EP35" i="9"/>
  <c r="ER35" i="9"/>
  <c r="CL34" i="12"/>
  <c r="CN34" i="12"/>
  <c r="CM34" i="12"/>
  <c r="FJ34" i="12"/>
  <c r="FK34" i="12"/>
  <c r="FL34" i="12"/>
  <c r="AF35" i="9"/>
  <c r="AG35" i="9"/>
  <c r="AI35" i="9"/>
  <c r="AH35" i="9"/>
  <c r="BA35" i="9"/>
  <c r="AY35" i="9"/>
  <c r="AZ35" i="9"/>
  <c r="BB35" i="9"/>
  <c r="E324" i="12"/>
  <c r="E325" i="12" s="1"/>
  <c r="E326" i="12" s="1"/>
  <c r="E327" i="12" s="1"/>
  <c r="E328" i="12" s="1"/>
  <c r="E329" i="12" s="1"/>
  <c r="E330" i="12" s="1"/>
  <c r="E331" i="12" s="1"/>
  <c r="E332" i="12" s="1"/>
  <c r="E333" i="12" s="1"/>
  <c r="E334" i="12" s="1"/>
  <c r="E335" i="12" s="1"/>
  <c r="E336" i="12" s="1"/>
  <c r="E337" i="12" s="1"/>
  <c r="E338" i="12" s="1"/>
  <c r="E339" i="12" s="1"/>
  <c r="E340" i="12" s="1"/>
  <c r="E341" i="12" s="1"/>
  <c r="E342" i="12" s="1"/>
  <c r="E343" i="12" s="1"/>
  <c r="CO33" i="12"/>
  <c r="FK35" i="9"/>
  <c r="FL35" i="9"/>
  <c r="FI35" i="9"/>
  <c r="FJ35" i="9"/>
  <c r="BV35" i="9" l="1"/>
  <c r="BV34" i="12"/>
  <c r="EA35" i="9"/>
  <c r="CO35" i="9"/>
  <c r="FM35" i="9"/>
  <c r="DH35" i="9"/>
  <c r="AJ35" i="9"/>
  <c r="BC35" i="9"/>
  <c r="ET35" i="9"/>
  <c r="EL37" i="9"/>
  <c r="EN37" i="9" s="1"/>
  <c r="EQ37" i="9" s="1"/>
  <c r="ET34" i="12"/>
  <c r="AC37" i="9"/>
  <c r="BN37" i="9"/>
  <c r="BP37" i="9" s="1"/>
  <c r="BU37" i="9" s="1"/>
  <c r="CZ37" i="9"/>
  <c r="DB37" i="9" s="1"/>
  <c r="DD37" i="9" s="1"/>
  <c r="CG37" i="9"/>
  <c r="CI37" i="9" s="1"/>
  <c r="CL37" i="9" s="1"/>
  <c r="DH34" i="12"/>
  <c r="FM34" i="12"/>
  <c r="EA34" i="12"/>
  <c r="AJ34" i="12"/>
  <c r="M38" i="9"/>
  <c r="P38" i="9" s="1"/>
  <c r="Q38" i="9" s="1"/>
  <c r="AB37" i="9"/>
  <c r="AD37" i="9" s="1"/>
  <c r="DE37" i="9"/>
  <c r="CK37" i="9"/>
  <c r="BS37" i="9"/>
  <c r="BR37" i="9"/>
  <c r="BA36" i="9"/>
  <c r="BB36" i="9"/>
  <c r="AZ36" i="9"/>
  <c r="AY36" i="9"/>
  <c r="AV37" i="9"/>
  <c r="G38" i="12" a="1"/>
  <c r="G38" i="12" s="1"/>
  <c r="K38" i="12" a="1"/>
  <c r="K38" i="12" s="1"/>
  <c r="L38" i="12" a="1"/>
  <c r="L38" i="12" s="1"/>
  <c r="J38" i="12" a="1"/>
  <c r="J38" i="12" s="1"/>
  <c r="H38" i="12" a="1"/>
  <c r="H38" i="12" s="1"/>
  <c r="O38" i="12" a="1"/>
  <c r="O38" i="12" s="1"/>
  <c r="N38" i="12" a="1"/>
  <c r="N38" i="12" s="1"/>
  <c r="D39" i="12"/>
  <c r="AZ35" i="12"/>
  <c r="BB35" i="12"/>
  <c r="BA35" i="12"/>
  <c r="BS35" i="12"/>
  <c r="BU35" i="12"/>
  <c r="BT35" i="12"/>
  <c r="AF37" i="9"/>
  <c r="AH37" i="9"/>
  <c r="AI37" i="9"/>
  <c r="AG37" i="9"/>
  <c r="AI36" i="9"/>
  <c r="AG36" i="9"/>
  <c r="AH36" i="9"/>
  <c r="AF36" i="9"/>
  <c r="CO34" i="12"/>
  <c r="BS36" i="9"/>
  <c r="BU36" i="9"/>
  <c r="BR36" i="9"/>
  <c r="BV36" i="9" s="1"/>
  <c r="BT36" i="9"/>
  <c r="AU37" i="9"/>
  <c r="AW37" i="9" s="1"/>
  <c r="DY36" i="9"/>
  <c r="DW36" i="9"/>
  <c r="DX36" i="9"/>
  <c r="DZ36" i="9"/>
  <c r="FJ36" i="9"/>
  <c r="FI36" i="9"/>
  <c r="FM36" i="9" s="1"/>
  <c r="FL36" i="9"/>
  <c r="FK36" i="9"/>
  <c r="CL35" i="12"/>
  <c r="CN35" i="12"/>
  <c r="CM35" i="12"/>
  <c r="DS37" i="9"/>
  <c r="DU37" i="9" s="1"/>
  <c r="FE37" i="9"/>
  <c r="FG37" i="9" s="1"/>
  <c r="DE35" i="12"/>
  <c r="DG35" i="12"/>
  <c r="DF35" i="12"/>
  <c r="AG35" i="12"/>
  <c r="AI35" i="12"/>
  <c r="AH35" i="12"/>
  <c r="DQ38" i="9"/>
  <c r="DR38" i="9" s="1"/>
  <c r="DV38" i="9" s="1"/>
  <c r="BL38" i="9"/>
  <c r="BM38" i="9" s="1"/>
  <c r="BQ38" i="9" s="1"/>
  <c r="AS38" i="9"/>
  <c r="AT38" i="9" s="1"/>
  <c r="AX38" i="9" s="1"/>
  <c r="Z38" i="9"/>
  <c r="AA38" i="9" s="1"/>
  <c r="AE38" i="9" s="1"/>
  <c r="FC38" i="9"/>
  <c r="FD38" i="9" s="1"/>
  <c r="FH38" i="9" s="1"/>
  <c r="CX38" i="9"/>
  <c r="CY38" i="9" s="1"/>
  <c r="DC38" i="9" s="1"/>
  <c r="EJ38" i="9"/>
  <c r="EK38" i="9" s="1"/>
  <c r="EO38" i="9" s="1"/>
  <c r="CE38" i="9"/>
  <c r="CF38" i="9" s="1"/>
  <c r="CJ38" i="9" s="1"/>
  <c r="I39" i="9"/>
  <c r="DG36" i="9"/>
  <c r="DF36" i="9"/>
  <c r="DE36" i="9"/>
  <c r="DD36" i="9"/>
  <c r="CL36" i="9"/>
  <c r="CN36" i="9"/>
  <c r="CK36" i="9"/>
  <c r="CM36" i="9"/>
  <c r="DT37" i="9"/>
  <c r="FF37" i="9"/>
  <c r="DX35" i="12"/>
  <c r="DY35" i="12"/>
  <c r="DZ35" i="12"/>
  <c r="E344" i="12"/>
  <c r="E345" i="12" s="1"/>
  <c r="E346" i="12" s="1"/>
  <c r="E347" i="12" s="1"/>
  <c r="E348" i="12" s="1"/>
  <c r="E349" i="12" s="1"/>
  <c r="E350" i="12" s="1"/>
  <c r="E351" i="12" s="1"/>
  <c r="E352" i="12" s="1"/>
  <c r="E353" i="12" s="1"/>
  <c r="E354" i="12" s="1"/>
  <c r="E355" i="12" s="1"/>
  <c r="E356" i="12" s="1"/>
  <c r="E357" i="12" s="1"/>
  <c r="E358" i="12" s="1"/>
  <c r="E359" i="12" s="1"/>
  <c r="E360" i="12" s="1"/>
  <c r="E361" i="12" s="1"/>
  <c r="E362" i="12" s="1"/>
  <c r="E363" i="12" s="1"/>
  <c r="L39" i="9" a="1"/>
  <c r="L39" i="9" s="1"/>
  <c r="J39" i="9" a="1"/>
  <c r="J39" i="9" s="1"/>
  <c r="N39" i="9" a="1"/>
  <c r="N39" i="9" s="1"/>
  <c r="K39" i="9" a="1"/>
  <c r="K39" i="9" s="1"/>
  <c r="H39" i="9" a="1"/>
  <c r="H39" i="9" s="1"/>
  <c r="G39" i="9" a="1"/>
  <c r="G39" i="9" s="1"/>
  <c r="O39" i="9" a="1"/>
  <c r="O39" i="9" s="1"/>
  <c r="D40" i="9"/>
  <c r="DA37" i="9"/>
  <c r="CH37" i="9"/>
  <c r="M37" i="12"/>
  <c r="P37" i="12" s="1"/>
  <c r="Q37" i="12" s="1"/>
  <c r="EQ35" i="12"/>
  <c r="ER35" i="12"/>
  <c r="ES35" i="12"/>
  <c r="FJ35" i="12"/>
  <c r="FL35" i="12"/>
  <c r="FK35" i="12"/>
  <c r="BC34" i="12"/>
  <c r="ES36" i="9"/>
  <c r="ER36" i="9"/>
  <c r="EQ36" i="9"/>
  <c r="EP36" i="9"/>
  <c r="EM37" i="9"/>
  <c r="BO37" i="9"/>
  <c r="EP36" i="12"/>
  <c r="FE36" i="12"/>
  <c r="FG36" i="12" s="1"/>
  <c r="FF36" i="12"/>
  <c r="CK36" i="12"/>
  <c r="DD36" i="12"/>
  <c r="BN36" i="12"/>
  <c r="BP36" i="12" s="1"/>
  <c r="BO36" i="12"/>
  <c r="AB36" i="12"/>
  <c r="AD36" i="12" s="1"/>
  <c r="AC36" i="12"/>
  <c r="BR36" i="12"/>
  <c r="EM36" i="12"/>
  <c r="CH36" i="12"/>
  <c r="EL36" i="12"/>
  <c r="EN36" i="12" s="1"/>
  <c r="DT36" i="12"/>
  <c r="AF36" i="12"/>
  <c r="CG36" i="12"/>
  <c r="CI36" i="12" s="1"/>
  <c r="DS36" i="12"/>
  <c r="DU36" i="12" s="1"/>
  <c r="DW36" i="12"/>
  <c r="DA36" i="12"/>
  <c r="AY36" i="12"/>
  <c r="FI36" i="12"/>
  <c r="CZ36" i="12"/>
  <c r="DB36" i="12" s="1"/>
  <c r="AV36" i="12"/>
  <c r="AU36" i="12"/>
  <c r="AW36" i="12" s="1"/>
  <c r="EA36" i="9" l="1"/>
  <c r="ET36" i="9"/>
  <c r="BT37" i="9"/>
  <c r="BV37" i="9"/>
  <c r="CO36" i="9"/>
  <c r="CO37" i="9" s="1"/>
  <c r="ES37" i="9"/>
  <c r="BC36" i="9"/>
  <c r="DF37" i="9"/>
  <c r="AJ36" i="9"/>
  <c r="AJ37" i="9" s="1"/>
  <c r="DH36" i="9"/>
  <c r="EP37" i="9"/>
  <c r="CM37" i="9"/>
  <c r="DG37" i="9"/>
  <c r="ER37" i="9"/>
  <c r="CN37" i="9"/>
  <c r="BV35" i="12"/>
  <c r="FM35" i="12"/>
  <c r="CO35" i="12"/>
  <c r="BN38" i="9"/>
  <c r="BP38" i="9" s="1"/>
  <c r="BR38" i="9" s="1"/>
  <c r="CH38" i="9"/>
  <c r="EL38" i="9"/>
  <c r="EN38" i="9" s="1"/>
  <c r="EQ38" i="9" s="1"/>
  <c r="DA38" i="9"/>
  <c r="EM38" i="9"/>
  <c r="CZ38" i="9"/>
  <c r="DB38" i="9" s="1"/>
  <c r="DF38" i="9" s="1"/>
  <c r="BO38" i="9"/>
  <c r="AC38" i="9"/>
  <c r="CG38" i="9"/>
  <c r="CI38" i="9" s="1"/>
  <c r="CN38" i="9" s="1"/>
  <c r="AB38" i="9"/>
  <c r="AD38" i="9" s="1"/>
  <c r="AG38" i="9" s="1"/>
  <c r="AU38" i="9"/>
  <c r="AW38" i="9" s="1"/>
  <c r="AZ38" i="9" s="1"/>
  <c r="FE38" i="9"/>
  <c r="FG38" i="9" s="1"/>
  <c r="FJ38" i="9" s="1"/>
  <c r="DS38" i="9"/>
  <c r="DU38" i="9" s="1"/>
  <c r="DZ38" i="9" s="1"/>
  <c r="AJ35" i="12"/>
  <c r="ET35" i="12"/>
  <c r="EP37" i="12"/>
  <c r="FE37" i="12"/>
  <c r="FG37" i="12" s="1"/>
  <c r="FF37" i="12"/>
  <c r="DD37" i="12"/>
  <c r="CK37" i="12"/>
  <c r="AB37" i="12"/>
  <c r="AD37" i="12" s="1"/>
  <c r="AC37" i="12"/>
  <c r="BN37" i="12"/>
  <c r="BP37" i="12" s="1"/>
  <c r="BO37" i="12"/>
  <c r="AY37" i="12"/>
  <c r="AF37" i="12"/>
  <c r="FI37" i="12"/>
  <c r="DA37" i="12"/>
  <c r="EM37" i="12"/>
  <c r="DS37" i="12"/>
  <c r="DU37" i="12" s="1"/>
  <c r="CZ37" i="12"/>
  <c r="DB37" i="12" s="1"/>
  <c r="EL37" i="12"/>
  <c r="EN37" i="12" s="1"/>
  <c r="CH37" i="12"/>
  <c r="BR37" i="12"/>
  <c r="DW37" i="12"/>
  <c r="CG37" i="12"/>
  <c r="CI37" i="12" s="1"/>
  <c r="DT37" i="12"/>
  <c r="AU37" i="12"/>
  <c r="AW37" i="12" s="1"/>
  <c r="AV37" i="12"/>
  <c r="EA35" i="12"/>
  <c r="BC35" i="12"/>
  <c r="FJ36" i="12"/>
  <c r="FL36" i="12"/>
  <c r="FK36" i="12"/>
  <c r="DH35" i="12"/>
  <c r="L39" i="12" a="1"/>
  <c r="L39" i="12" s="1"/>
  <c r="G39" i="12" a="1"/>
  <c r="G39" i="12" s="1"/>
  <c r="N39" i="12" a="1"/>
  <c r="N39" i="12" s="1"/>
  <c r="K39" i="12" a="1"/>
  <c r="K39" i="12" s="1"/>
  <c r="O39" i="12" a="1"/>
  <c r="O39" i="12" s="1"/>
  <c r="H39" i="12" a="1"/>
  <c r="H39" i="12" s="1"/>
  <c r="J39" i="12" a="1"/>
  <c r="J39" i="12" s="1"/>
  <c r="D40" i="12"/>
  <c r="EQ36" i="12"/>
  <c r="ES36" i="12"/>
  <c r="ER36" i="12"/>
  <c r="DX36" i="12"/>
  <c r="DZ36" i="12"/>
  <c r="DY36" i="12"/>
  <c r="AV38" i="9"/>
  <c r="AZ36" i="12"/>
  <c r="BB36" i="12"/>
  <c r="BA36" i="12"/>
  <c r="CL36" i="12"/>
  <c r="CN36" i="12"/>
  <c r="CM36" i="12"/>
  <c r="AG36" i="12"/>
  <c r="AI36" i="12"/>
  <c r="AH36" i="12"/>
  <c r="DT38" i="9"/>
  <c r="L40" i="9" a="1"/>
  <c r="L40" i="9" s="1"/>
  <c r="J40" i="9" a="1"/>
  <c r="J40" i="9" s="1"/>
  <c r="G40" i="9" a="1"/>
  <c r="G40" i="9" s="1"/>
  <c r="N40" i="9" a="1"/>
  <c r="N40" i="9" s="1"/>
  <c r="K40" i="9" a="1"/>
  <c r="K40" i="9" s="1"/>
  <c r="O40" i="9" a="1"/>
  <c r="O40" i="9" s="1"/>
  <c r="H40" i="9" a="1"/>
  <c r="H40" i="9" s="1"/>
  <c r="D41" i="9"/>
  <c r="M39" i="9"/>
  <c r="P39" i="9" s="1"/>
  <c r="Q39" i="9" s="1"/>
  <c r="FI37" i="9"/>
  <c r="FJ37" i="9"/>
  <c r="FL37" i="9"/>
  <c r="FK37" i="9"/>
  <c r="DE36" i="12"/>
  <c r="DG36" i="12"/>
  <c r="DF36" i="12"/>
  <c r="BS36" i="12"/>
  <c r="BU36" i="12"/>
  <c r="BT36" i="12"/>
  <c r="I40" i="9"/>
  <c r="EJ39" i="9"/>
  <c r="EK39" i="9" s="1"/>
  <c r="EO39" i="9" s="1"/>
  <c r="CX39" i="9"/>
  <c r="CY39" i="9" s="1"/>
  <c r="DC39" i="9" s="1"/>
  <c r="FC39" i="9"/>
  <c r="FD39" i="9" s="1"/>
  <c r="FH39" i="9" s="1"/>
  <c r="CE39" i="9"/>
  <c r="CF39" i="9" s="1"/>
  <c r="CJ39" i="9" s="1"/>
  <c r="BL39" i="9"/>
  <c r="BM39" i="9" s="1"/>
  <c r="BQ39" i="9" s="1"/>
  <c r="AS39" i="9"/>
  <c r="AT39" i="9" s="1"/>
  <c r="AX39" i="9" s="1"/>
  <c r="DQ39" i="9"/>
  <c r="DR39" i="9" s="1"/>
  <c r="DV39" i="9" s="1"/>
  <c r="Z39" i="9"/>
  <c r="AA39" i="9" s="1"/>
  <c r="AE39" i="9" s="1"/>
  <c r="DW37" i="9"/>
  <c r="EA37" i="9" s="1"/>
  <c r="DZ37" i="9"/>
  <c r="DY37" i="9"/>
  <c r="DX37" i="9"/>
  <c r="AZ37" i="9"/>
  <c r="AY37" i="9"/>
  <c r="BA37" i="9"/>
  <c r="BB37" i="9"/>
  <c r="AH38" i="9"/>
  <c r="FF38" i="9"/>
  <c r="M38" i="12"/>
  <c r="P38" i="12" s="1"/>
  <c r="Q38" i="12" s="1"/>
  <c r="DY38" i="9" l="1"/>
  <c r="FM37" i="9"/>
  <c r="ET37" i="9"/>
  <c r="DH37" i="9"/>
  <c r="BC37" i="9"/>
  <c r="CO38" i="9"/>
  <c r="EP38" i="9"/>
  <c r="DW38" i="9"/>
  <c r="BV36" i="12"/>
  <c r="AJ36" i="12"/>
  <c r="CK38" i="9"/>
  <c r="CM38" i="9"/>
  <c r="CL38" i="9"/>
  <c r="ER38" i="9"/>
  <c r="DD38" i="9"/>
  <c r="DG38" i="9"/>
  <c r="DE38" i="9"/>
  <c r="DX38" i="9"/>
  <c r="BA38" i="9"/>
  <c r="BB38" i="9"/>
  <c r="AF38" i="9"/>
  <c r="AJ38" i="9" s="1"/>
  <c r="ES38" i="9"/>
  <c r="AY38" i="9"/>
  <c r="AI38" i="9"/>
  <c r="BU38" i="9"/>
  <c r="BV38" i="9" s="1"/>
  <c r="FL38" i="9"/>
  <c r="BS38" i="9"/>
  <c r="FK38" i="9"/>
  <c r="BT38" i="9"/>
  <c r="FI38" i="9"/>
  <c r="M40" i="9"/>
  <c r="P40" i="9" s="1"/>
  <c r="Q40" i="9" s="1"/>
  <c r="DH36" i="12"/>
  <c r="FM36" i="12"/>
  <c r="BN39" i="9"/>
  <c r="BP39" i="9" s="1"/>
  <c r="FE39" i="9"/>
  <c r="FG39" i="9" s="1"/>
  <c r="FF39" i="9"/>
  <c r="AV39" i="9"/>
  <c r="CH39" i="9"/>
  <c r="CG39" i="9"/>
  <c r="CI39" i="9" s="1"/>
  <c r="AU39" i="9"/>
  <c r="AW39" i="9" s="1"/>
  <c r="BO39" i="9"/>
  <c r="AC39" i="9"/>
  <c r="DA39" i="9"/>
  <c r="CZ39" i="9"/>
  <c r="DB39" i="9" s="1"/>
  <c r="EM39" i="9"/>
  <c r="EL39" i="9"/>
  <c r="EN39" i="9" s="1"/>
  <c r="AB39" i="9"/>
  <c r="AD39" i="9" s="1"/>
  <c r="DT39" i="9"/>
  <c r="DS39" i="9"/>
  <c r="DU39" i="9" s="1"/>
  <c r="BS37" i="12"/>
  <c r="BU37" i="12"/>
  <c r="BT37" i="12"/>
  <c r="N41" i="9" a="1"/>
  <c r="N41" i="9" s="1"/>
  <c r="G41" i="9" a="1"/>
  <c r="G41" i="9" s="1"/>
  <c r="L41" i="9" a="1"/>
  <c r="L41" i="9" s="1"/>
  <c r="J41" i="9" a="1"/>
  <c r="J41" i="9" s="1"/>
  <c r="H41" i="9" a="1"/>
  <c r="H41" i="9" s="1"/>
  <c r="K41" i="9" a="1"/>
  <c r="K41" i="9" s="1"/>
  <c r="O41" i="9" a="1"/>
  <c r="O41" i="9" s="1"/>
  <c r="D42" i="9"/>
  <c r="CO36" i="12"/>
  <c r="M39" i="12"/>
  <c r="P39" i="12" s="1"/>
  <c r="Q39" i="12" s="1"/>
  <c r="BA37" i="12"/>
  <c r="BB37" i="12"/>
  <c r="AZ37" i="12"/>
  <c r="DX37" i="12"/>
  <c r="DY37" i="12"/>
  <c r="DZ37" i="12"/>
  <c r="FF38" i="12"/>
  <c r="FE38" i="12"/>
  <c r="FG38" i="12" s="1"/>
  <c r="EP38" i="12"/>
  <c r="DD38" i="12"/>
  <c r="CK38" i="12"/>
  <c r="BN38" i="12"/>
  <c r="BP38" i="12" s="1"/>
  <c r="AB38" i="12"/>
  <c r="AD38" i="12" s="1"/>
  <c r="BO38" i="12"/>
  <c r="AC38" i="12"/>
  <c r="DW38" i="12"/>
  <c r="AY38" i="12"/>
  <c r="DT38" i="12"/>
  <c r="FI38" i="12"/>
  <c r="AF38" i="12"/>
  <c r="DS38" i="12"/>
  <c r="DU38" i="12" s="1"/>
  <c r="BR38" i="12"/>
  <c r="EM38" i="12"/>
  <c r="DA38" i="12"/>
  <c r="CG38" i="12"/>
  <c r="CI38" i="12" s="1"/>
  <c r="CH38" i="12"/>
  <c r="EL38" i="12"/>
  <c r="EN38" i="12" s="1"/>
  <c r="CZ38" i="12"/>
  <c r="DB38" i="12" s="1"/>
  <c r="AV38" i="12"/>
  <c r="AU38" i="12"/>
  <c r="AW38" i="12" s="1"/>
  <c r="AG37" i="12"/>
  <c r="AI37" i="12"/>
  <c r="AH37" i="12"/>
  <c r="DE37" i="12"/>
  <c r="DG37" i="12"/>
  <c r="DF37" i="12"/>
  <c r="CL37" i="12"/>
  <c r="CN37" i="12"/>
  <c r="CM37" i="12"/>
  <c r="K40" i="12" a="1"/>
  <c r="K40" i="12" s="1"/>
  <c r="G40" i="12" a="1"/>
  <c r="G40" i="12" s="1"/>
  <c r="J40" i="12" a="1"/>
  <c r="J40" i="12" s="1"/>
  <c r="L40" i="12" a="1"/>
  <c r="L40" i="12" s="1"/>
  <c r="H40" i="12" a="1"/>
  <c r="H40" i="12" s="1"/>
  <c r="O40" i="12" a="1"/>
  <c r="O40" i="12" s="1"/>
  <c r="N40" i="12" a="1"/>
  <c r="N40" i="12" s="1"/>
  <c r="D41" i="12"/>
  <c r="BC36" i="12"/>
  <c r="I41" i="9"/>
  <c r="AS40" i="9"/>
  <c r="AT40" i="9" s="1"/>
  <c r="AX40" i="9" s="1"/>
  <c r="EJ40" i="9"/>
  <c r="EK40" i="9" s="1"/>
  <c r="EO40" i="9" s="1"/>
  <c r="BL40" i="9"/>
  <c r="BM40" i="9" s="1"/>
  <c r="BQ40" i="9" s="1"/>
  <c r="Z40" i="9"/>
  <c r="AA40" i="9" s="1"/>
  <c r="AE40" i="9" s="1"/>
  <c r="CX40" i="9"/>
  <c r="CY40" i="9" s="1"/>
  <c r="DC40" i="9" s="1"/>
  <c r="DQ40" i="9"/>
  <c r="DR40" i="9" s="1"/>
  <c r="DV40" i="9" s="1"/>
  <c r="FC40" i="9"/>
  <c r="FD40" i="9" s="1"/>
  <c r="FH40" i="9" s="1"/>
  <c r="CE40" i="9"/>
  <c r="CF40" i="9" s="1"/>
  <c r="CJ40" i="9" s="1"/>
  <c r="ET36" i="12"/>
  <c r="EA36" i="12"/>
  <c r="FJ37" i="12"/>
  <c r="FL37" i="12"/>
  <c r="FK37" i="12"/>
  <c r="EQ37" i="12"/>
  <c r="ES37" i="12"/>
  <c r="ER37" i="12"/>
  <c r="BV37" i="12" l="1"/>
  <c r="EA38" i="9"/>
  <c r="DH38" i="9"/>
  <c r="ET38" i="9"/>
  <c r="FM38" i="9"/>
  <c r="BC38" i="9"/>
  <c r="FM37" i="12"/>
  <c r="AV40" i="9"/>
  <c r="AU40" i="9"/>
  <c r="AW40" i="9" s="1"/>
  <c r="BB40" i="9" s="1"/>
  <c r="DT40" i="9"/>
  <c r="DS40" i="9"/>
  <c r="DU40" i="9" s="1"/>
  <c r="DZ40" i="9" s="1"/>
  <c r="EM40" i="9"/>
  <c r="DA40" i="9"/>
  <c r="FF40" i="9"/>
  <c r="BO40" i="9"/>
  <c r="AC40" i="9"/>
  <c r="CH40" i="9"/>
  <c r="AB40" i="9"/>
  <c r="AD40" i="9" s="1"/>
  <c r="AH40" i="9" s="1"/>
  <c r="CG40" i="9"/>
  <c r="CI40" i="9" s="1"/>
  <c r="CN40" i="9" s="1"/>
  <c r="BC37" i="12"/>
  <c r="AJ37" i="12"/>
  <c r="DH37" i="12"/>
  <c r="CZ40" i="9"/>
  <c r="DB40" i="9" s="1"/>
  <c r="DF40" i="9" s="1"/>
  <c r="FE40" i="9"/>
  <c r="FG40" i="9" s="1"/>
  <c r="FJ40" i="9" s="1"/>
  <c r="BN40" i="9"/>
  <c r="BP40" i="9" s="1"/>
  <c r="BR40" i="9" s="1"/>
  <c r="CO37" i="12"/>
  <c r="DY39" i="9"/>
  <c r="DX39" i="9"/>
  <c r="DW39" i="9"/>
  <c r="DZ39" i="9"/>
  <c r="CX41" i="9"/>
  <c r="CY41" i="9" s="1"/>
  <c r="DC41" i="9" s="1"/>
  <c r="I42" i="9"/>
  <c r="AS41" i="9"/>
  <c r="AT41" i="9" s="1"/>
  <c r="AX41" i="9" s="1"/>
  <c r="FC41" i="9"/>
  <c r="FD41" i="9" s="1"/>
  <c r="FH41" i="9" s="1"/>
  <c r="CE41" i="9"/>
  <c r="CF41" i="9" s="1"/>
  <c r="CJ41" i="9" s="1"/>
  <c r="BL41" i="9"/>
  <c r="BM41" i="9" s="1"/>
  <c r="BQ41" i="9" s="1"/>
  <c r="DQ41" i="9"/>
  <c r="DR41" i="9" s="1"/>
  <c r="DV41" i="9" s="1"/>
  <c r="EJ41" i="9"/>
  <c r="EK41" i="9" s="1"/>
  <c r="EO41" i="9" s="1"/>
  <c r="Z41" i="9"/>
  <c r="AA41" i="9" s="1"/>
  <c r="AE41" i="9" s="1"/>
  <c r="M40" i="12"/>
  <c r="P40" i="12" s="1"/>
  <c r="Q40" i="12" s="1"/>
  <c r="M41" i="9"/>
  <c r="P41" i="9" s="1"/>
  <c r="Q41" i="9" s="1"/>
  <c r="AZ39" i="9"/>
  <c r="BB39" i="9"/>
  <c r="BA39" i="9"/>
  <c r="AY39" i="9"/>
  <c r="EQ38" i="12"/>
  <c r="ES38" i="12"/>
  <c r="ER38" i="12"/>
  <c r="CL38" i="12"/>
  <c r="CN38" i="12"/>
  <c r="CM38" i="12"/>
  <c r="AH39" i="9"/>
  <c r="AI39" i="9"/>
  <c r="AF39" i="9"/>
  <c r="AG39" i="9"/>
  <c r="CN39" i="9"/>
  <c r="CL39" i="9"/>
  <c r="CK39" i="9"/>
  <c r="CM39" i="9"/>
  <c r="DE38" i="12"/>
  <c r="DF38" i="12"/>
  <c r="DG38" i="12"/>
  <c r="FJ38" i="12"/>
  <c r="FL38" i="12"/>
  <c r="FK38" i="12"/>
  <c r="EP39" i="9"/>
  <c r="EQ39" i="9"/>
  <c r="ER39" i="9"/>
  <c r="ES39" i="9"/>
  <c r="FF39" i="12"/>
  <c r="FE39" i="12"/>
  <c r="FG39" i="12" s="1"/>
  <c r="EP39" i="12"/>
  <c r="CK39" i="12"/>
  <c r="DD39" i="12"/>
  <c r="BO39" i="12"/>
  <c r="BN39" i="12"/>
  <c r="BP39" i="12" s="1"/>
  <c r="AB39" i="12"/>
  <c r="AD39" i="12" s="1"/>
  <c r="AC39" i="12"/>
  <c r="BR39" i="12"/>
  <c r="DW39" i="12"/>
  <c r="DA39" i="12"/>
  <c r="CZ39" i="12"/>
  <c r="DB39" i="12" s="1"/>
  <c r="DS39" i="12"/>
  <c r="DU39" i="12" s="1"/>
  <c r="AF39" i="12"/>
  <c r="CH39" i="12"/>
  <c r="FI39" i="12"/>
  <c r="CG39" i="12"/>
  <c r="CI39" i="12" s="1"/>
  <c r="EM39" i="12"/>
  <c r="AY39" i="12"/>
  <c r="EL39" i="12"/>
  <c r="EN39" i="12" s="1"/>
  <c r="DT39" i="12"/>
  <c r="AU39" i="12"/>
  <c r="AW39" i="12" s="1"/>
  <c r="AV39" i="12"/>
  <c r="L41" i="12" a="1"/>
  <c r="L41" i="12" s="1"/>
  <c r="J41" i="12" a="1"/>
  <c r="J41" i="12" s="1"/>
  <c r="O41" i="12" a="1"/>
  <c r="O41" i="12" s="1"/>
  <c r="K41" i="12" a="1"/>
  <c r="K41" i="12" s="1"/>
  <c r="H41" i="12" a="1"/>
  <c r="H41" i="12" s="1"/>
  <c r="G41" i="12" a="1"/>
  <c r="G41" i="12" s="1"/>
  <c r="N41" i="12" a="1"/>
  <c r="N41" i="12" s="1"/>
  <c r="D42" i="12"/>
  <c r="ET37" i="12"/>
  <c r="EL40" i="9"/>
  <c r="EN40" i="9" s="1"/>
  <c r="CK40" i="9"/>
  <c r="CL40" i="9"/>
  <c r="CM40" i="9"/>
  <c r="AZ38" i="12"/>
  <c r="BA38" i="12"/>
  <c r="BB38" i="12"/>
  <c r="J42" i="9" a="1"/>
  <c r="J42" i="9" s="1"/>
  <c r="N42" i="9" a="1"/>
  <c r="N42" i="9" s="1"/>
  <c r="L42" i="9" a="1"/>
  <c r="L42" i="9" s="1"/>
  <c r="K42" i="9" a="1"/>
  <c r="K42" i="9" s="1"/>
  <c r="O42" i="9" a="1"/>
  <c r="O42" i="9" s="1"/>
  <c r="H42" i="9" a="1"/>
  <c r="H42" i="9" s="1"/>
  <c r="G42" i="9" a="1"/>
  <c r="G42" i="9" s="1"/>
  <c r="D43" i="9"/>
  <c r="DF39" i="9"/>
  <c r="DE39" i="9"/>
  <c r="DG39" i="9"/>
  <c r="DD39" i="9"/>
  <c r="DD40" i="9"/>
  <c r="DX38" i="12"/>
  <c r="DY38" i="12"/>
  <c r="DZ38" i="12"/>
  <c r="AH38" i="12"/>
  <c r="AG38" i="12"/>
  <c r="AI38" i="12"/>
  <c r="EA37" i="12"/>
  <c r="FL39" i="9"/>
  <c r="FK39" i="9"/>
  <c r="FJ39" i="9"/>
  <c r="FI39" i="9"/>
  <c r="DX40" i="9"/>
  <c r="DY40" i="9"/>
  <c r="DW40" i="9"/>
  <c r="BS38" i="12"/>
  <c r="BU38" i="12"/>
  <c r="BT38" i="12"/>
  <c r="BR39" i="9"/>
  <c r="BU39" i="9"/>
  <c r="BS39" i="9"/>
  <c r="BT39" i="9"/>
  <c r="AF40" i="9" l="1"/>
  <c r="FL40" i="9"/>
  <c r="AG40" i="9"/>
  <c r="EA39" i="9"/>
  <c r="EA40" i="9" s="1"/>
  <c r="AI40" i="9"/>
  <c r="FI40" i="9"/>
  <c r="FK40" i="9"/>
  <c r="AZ40" i="9"/>
  <c r="AY40" i="9"/>
  <c r="ET39" i="9"/>
  <c r="CO39" i="9"/>
  <c r="CO40" i="9" s="1"/>
  <c r="BC39" i="9"/>
  <c r="BC40" i="9" s="1"/>
  <c r="BA40" i="9"/>
  <c r="FM39" i="9"/>
  <c r="FM40" i="9" s="1"/>
  <c r="DH39" i="9"/>
  <c r="BV39" i="9"/>
  <c r="AJ39" i="9"/>
  <c r="AJ40" i="9" s="1"/>
  <c r="DG40" i="9"/>
  <c r="DE40" i="9"/>
  <c r="BU40" i="9"/>
  <c r="BT40" i="9"/>
  <c r="M41" i="12"/>
  <c r="BS40" i="9"/>
  <c r="BV38" i="12"/>
  <c r="CO38" i="12"/>
  <c r="AJ38" i="12"/>
  <c r="BC38" i="12"/>
  <c r="FM38" i="12"/>
  <c r="CG41" i="9"/>
  <c r="CI41" i="9" s="1"/>
  <c r="BO41" i="9"/>
  <c r="AV41" i="9"/>
  <c r="FF41" i="9"/>
  <c r="CH41" i="9"/>
  <c r="AU41" i="9"/>
  <c r="AW41" i="9" s="1"/>
  <c r="FE41" i="9"/>
  <c r="FG41" i="9" s="1"/>
  <c r="BN41" i="9"/>
  <c r="BP41" i="9" s="1"/>
  <c r="DA41" i="9"/>
  <c r="AB41" i="9"/>
  <c r="AD41" i="9" s="1"/>
  <c r="CZ41" i="9"/>
  <c r="DB41" i="9" s="1"/>
  <c r="EL41" i="9"/>
  <c r="EN41" i="9" s="1"/>
  <c r="AC41" i="9"/>
  <c r="EM41" i="9"/>
  <c r="DT41" i="9"/>
  <c r="DS41" i="9"/>
  <c r="DU41" i="9" s="1"/>
  <c r="M42" i="9"/>
  <c r="P42" i="9" s="1"/>
  <c r="Q42" i="9" s="1"/>
  <c r="ET38" i="12"/>
  <c r="I43" i="9"/>
  <c r="EJ42" i="9"/>
  <c r="EK42" i="9" s="1"/>
  <c r="EO42" i="9" s="1"/>
  <c r="FC42" i="9"/>
  <c r="FD42" i="9" s="1"/>
  <c r="FH42" i="9" s="1"/>
  <c r="BL42" i="9"/>
  <c r="BM42" i="9" s="1"/>
  <c r="BQ42" i="9" s="1"/>
  <c r="DQ42" i="9"/>
  <c r="DR42" i="9" s="1"/>
  <c r="DV42" i="9" s="1"/>
  <c r="CE42" i="9"/>
  <c r="CF42" i="9" s="1"/>
  <c r="CJ42" i="9" s="1"/>
  <c r="AS42" i="9"/>
  <c r="AT42" i="9" s="1"/>
  <c r="AX42" i="9" s="1"/>
  <c r="CX42" i="9"/>
  <c r="CY42" i="9" s="1"/>
  <c r="DC42" i="9" s="1"/>
  <c r="Z42" i="9"/>
  <c r="AA42" i="9" s="1"/>
  <c r="AE42" i="9" s="1"/>
  <c r="EQ40" i="9"/>
  <c r="EP40" i="9"/>
  <c r="ES40" i="9"/>
  <c r="ER40" i="9"/>
  <c r="H42" i="12" a="1"/>
  <c r="H42" i="12" s="1"/>
  <c r="N42" i="12" a="1"/>
  <c r="N42" i="12" s="1"/>
  <c r="J42" i="12" a="1"/>
  <c r="J42" i="12" s="1"/>
  <c r="O42" i="12" a="1"/>
  <c r="O42" i="12" s="1"/>
  <c r="K42" i="12" a="1"/>
  <c r="K42" i="12" s="1"/>
  <c r="G42" i="12" a="1"/>
  <c r="G42" i="12" s="1"/>
  <c r="L42" i="12" a="1"/>
  <c r="L42" i="12" s="1"/>
  <c r="D43" i="12"/>
  <c r="AI39" i="12"/>
  <c r="AH39" i="12"/>
  <c r="AG39" i="12"/>
  <c r="FJ39" i="12"/>
  <c r="FL39" i="12"/>
  <c r="FK39" i="12"/>
  <c r="EP40" i="12"/>
  <c r="FE40" i="12"/>
  <c r="FG40" i="12" s="1"/>
  <c r="FF40" i="12"/>
  <c r="CK40" i="12"/>
  <c r="DD40" i="12"/>
  <c r="AB40" i="12"/>
  <c r="AD40" i="12" s="1"/>
  <c r="BN40" i="12"/>
  <c r="BP40" i="12" s="1"/>
  <c r="BO40" i="12"/>
  <c r="AC40" i="12"/>
  <c r="CG40" i="12"/>
  <c r="CI40" i="12" s="1"/>
  <c r="DA40" i="12"/>
  <c r="CZ40" i="12"/>
  <c r="DB40" i="12" s="1"/>
  <c r="EM40" i="12"/>
  <c r="CH40" i="12"/>
  <c r="BR40" i="12"/>
  <c r="AY40" i="12"/>
  <c r="FI40" i="12"/>
  <c r="EL40" i="12"/>
  <c r="EN40" i="12" s="1"/>
  <c r="DW40" i="12"/>
  <c r="DT40" i="12"/>
  <c r="DS40" i="12"/>
  <c r="DU40" i="12" s="1"/>
  <c r="AF40" i="12"/>
  <c r="AU40" i="12"/>
  <c r="AW40" i="12" s="1"/>
  <c r="AV40" i="12"/>
  <c r="P41" i="12"/>
  <c r="Q41" i="12" s="1"/>
  <c r="AZ39" i="12"/>
  <c r="BB39" i="12"/>
  <c r="BA39" i="12"/>
  <c r="BS39" i="12"/>
  <c r="BU39" i="12"/>
  <c r="BT39" i="12"/>
  <c r="CL39" i="12"/>
  <c r="CN39" i="12"/>
  <c r="CM39" i="12"/>
  <c r="H43" i="9" a="1"/>
  <c r="H43" i="9" s="1"/>
  <c r="K43" i="9" a="1"/>
  <c r="K43" i="9" s="1"/>
  <c r="J43" i="9" a="1"/>
  <c r="J43" i="9" s="1"/>
  <c r="L43" i="9" a="1"/>
  <c r="L43" i="9" s="1"/>
  <c r="O43" i="9" a="1"/>
  <c r="O43" i="9" s="1"/>
  <c r="G43" i="9" a="1"/>
  <c r="G43" i="9" s="1"/>
  <c r="N43" i="9" a="1"/>
  <c r="N43" i="9" s="1"/>
  <c r="D44" i="9"/>
  <c r="DX39" i="12"/>
  <c r="DZ39" i="12"/>
  <c r="DY39" i="12"/>
  <c r="EA38" i="12"/>
  <c r="EQ39" i="12"/>
  <c r="ES39" i="12"/>
  <c r="ER39" i="12"/>
  <c r="DE39" i="12"/>
  <c r="DF39" i="12"/>
  <c r="DG39" i="12"/>
  <c r="DH38" i="12"/>
  <c r="DH40" i="9" l="1"/>
  <c r="ET40" i="9"/>
  <c r="BV40" i="9"/>
  <c r="M43" i="9"/>
  <c r="FI41" i="12"/>
  <c r="DS41" i="12"/>
  <c r="DU41" i="12" s="1"/>
  <c r="DY41" i="12" s="1"/>
  <c r="EP41" i="12"/>
  <c r="DA41" i="12"/>
  <c r="AU41" i="12"/>
  <c r="AW41" i="12" s="1"/>
  <c r="BB41" i="12" s="1"/>
  <c r="AF41" i="12"/>
  <c r="AB41" i="12"/>
  <c r="AD41" i="12" s="1"/>
  <c r="AG41" i="12" s="1"/>
  <c r="DD41" i="12"/>
  <c r="BO41" i="12"/>
  <c r="DT41" i="12"/>
  <c r="CZ41" i="12"/>
  <c r="DB41" i="12" s="1"/>
  <c r="DE41" i="12" s="1"/>
  <c r="CK41" i="12"/>
  <c r="BR41" i="12"/>
  <c r="DW41" i="12"/>
  <c r="AJ39" i="12"/>
  <c r="CH41" i="12"/>
  <c r="AY41" i="12"/>
  <c r="CO39" i="12"/>
  <c r="AC41" i="12"/>
  <c r="BC39" i="12"/>
  <c r="EA39" i="12"/>
  <c r="BV39" i="12"/>
  <c r="AV41" i="12"/>
  <c r="BN41" i="12"/>
  <c r="BP41" i="12" s="1"/>
  <c r="BT41" i="12" s="1"/>
  <c r="FM39" i="12"/>
  <c r="P43" i="9"/>
  <c r="Q43" i="9" s="1"/>
  <c r="ET39" i="12"/>
  <c r="FI41" i="9"/>
  <c r="FM41" i="9" s="1"/>
  <c r="FL41" i="9"/>
  <c r="FK41" i="9"/>
  <c r="FJ41" i="9"/>
  <c r="BS41" i="9"/>
  <c r="BR41" i="9"/>
  <c r="BT41" i="9"/>
  <c r="BU41" i="9"/>
  <c r="AV42" i="9"/>
  <c r="BN42" i="9"/>
  <c r="BP42" i="9" s="1"/>
  <c r="BO42" i="9"/>
  <c r="AU42" i="9"/>
  <c r="AW42" i="9" s="1"/>
  <c r="FF42" i="9"/>
  <c r="CH42" i="9"/>
  <c r="CG42" i="9"/>
  <c r="CI42" i="9" s="1"/>
  <c r="FE42" i="9"/>
  <c r="FG42" i="9" s="1"/>
  <c r="AC42" i="9"/>
  <c r="AB42" i="9"/>
  <c r="AD42" i="9" s="1"/>
  <c r="CZ42" i="9"/>
  <c r="DB42" i="9" s="1"/>
  <c r="EM42" i="9"/>
  <c r="DA42" i="9"/>
  <c r="EL42" i="9"/>
  <c r="EN42" i="9" s="1"/>
  <c r="DS42" i="9"/>
  <c r="DU42" i="9" s="1"/>
  <c r="DT42" i="9"/>
  <c r="AY41" i="9"/>
  <c r="BC41" i="9" s="1"/>
  <c r="AZ41" i="9"/>
  <c r="BB41" i="9"/>
  <c r="BA41" i="9"/>
  <c r="EQ40" i="12"/>
  <c r="ES40" i="12"/>
  <c r="ER40" i="12"/>
  <c r="CG41" i="12"/>
  <c r="CI41" i="12" s="1"/>
  <c r="AZ40" i="12"/>
  <c r="BB40" i="12"/>
  <c r="BA40" i="12"/>
  <c r="BS40" i="12"/>
  <c r="BT40" i="12"/>
  <c r="BU40" i="12"/>
  <c r="O44" i="9" a="1"/>
  <c r="O44" i="9" s="1"/>
  <c r="K44" i="9" a="1"/>
  <c r="K44" i="9" s="1"/>
  <c r="J44" i="9" a="1"/>
  <c r="J44" i="9" s="1"/>
  <c r="L44" i="9" a="1"/>
  <c r="L44" i="9" s="1"/>
  <c r="N44" i="9" a="1"/>
  <c r="N44" i="9" s="1"/>
  <c r="H44" i="9" a="1"/>
  <c r="H44" i="9" s="1"/>
  <c r="G44" i="9" a="1"/>
  <c r="G44" i="9" s="1"/>
  <c r="D45" i="9"/>
  <c r="DW41" i="9"/>
  <c r="DX41" i="9"/>
  <c r="DZ41" i="9"/>
  <c r="DY41" i="9"/>
  <c r="AG40" i="12"/>
  <c r="AI40" i="12"/>
  <c r="AH40" i="12"/>
  <c r="I44" i="9"/>
  <c r="EJ43" i="9"/>
  <c r="EK43" i="9" s="1"/>
  <c r="EO43" i="9" s="1"/>
  <c r="CX43" i="9"/>
  <c r="CY43" i="9" s="1"/>
  <c r="DC43" i="9" s="1"/>
  <c r="DQ43" i="9"/>
  <c r="DR43" i="9" s="1"/>
  <c r="DV43" i="9" s="1"/>
  <c r="Z43" i="9"/>
  <c r="AA43" i="9" s="1"/>
  <c r="AE43" i="9" s="1"/>
  <c r="BL43" i="9"/>
  <c r="BM43" i="9" s="1"/>
  <c r="BQ43" i="9" s="1"/>
  <c r="CE43" i="9"/>
  <c r="CF43" i="9" s="1"/>
  <c r="CJ43" i="9" s="1"/>
  <c r="FC43" i="9"/>
  <c r="FD43" i="9" s="1"/>
  <c r="FH43" i="9" s="1"/>
  <c r="AS43" i="9"/>
  <c r="AT43" i="9" s="1"/>
  <c r="AX43" i="9" s="1"/>
  <c r="EP41" i="9"/>
  <c r="ER41" i="9"/>
  <c r="ES41" i="9"/>
  <c r="EQ41" i="9"/>
  <c r="FJ40" i="12"/>
  <c r="FL40" i="12"/>
  <c r="FK40" i="12"/>
  <c r="BS41" i="12"/>
  <c r="BU41" i="12"/>
  <c r="DX40" i="12"/>
  <c r="DZ40" i="12"/>
  <c r="DY40" i="12"/>
  <c r="M42" i="12"/>
  <c r="P42" i="12" s="1"/>
  <c r="Q42" i="12" s="1"/>
  <c r="DG41" i="9"/>
  <c r="DD41" i="9"/>
  <c r="DF41" i="9"/>
  <c r="DE41" i="9"/>
  <c r="J43" i="12" a="1"/>
  <c r="J43" i="12" s="1"/>
  <c r="L43" i="12" a="1"/>
  <c r="L43" i="12" s="1"/>
  <c r="K43" i="12" a="1"/>
  <c r="K43" i="12" s="1"/>
  <c r="G43" i="12" a="1"/>
  <c r="G43" i="12" s="1"/>
  <c r="H43" i="12" a="1"/>
  <c r="H43" i="12" s="1"/>
  <c r="O43" i="12" a="1"/>
  <c r="O43" i="12" s="1"/>
  <c r="N43" i="12" a="1"/>
  <c r="N43" i="12" s="1"/>
  <c r="D44" i="12"/>
  <c r="BA41" i="12"/>
  <c r="AZ41" i="12"/>
  <c r="EM41" i="12"/>
  <c r="EL41" i="12"/>
  <c r="EN41" i="12" s="1"/>
  <c r="FF41" i="12"/>
  <c r="DE40" i="12"/>
  <c r="DG40" i="12"/>
  <c r="DF40" i="12"/>
  <c r="AF41" i="9"/>
  <c r="AH41" i="9"/>
  <c r="AG41" i="9"/>
  <c r="AI41" i="9"/>
  <c r="CL40" i="12"/>
  <c r="CN40" i="12"/>
  <c r="CM40" i="12"/>
  <c r="DX41" i="12"/>
  <c r="DZ41" i="12"/>
  <c r="FE41" i="12"/>
  <c r="FG41" i="12" s="1"/>
  <c r="DH39" i="12"/>
  <c r="CK41" i="9"/>
  <c r="CN41" i="9"/>
  <c r="CM41" i="9"/>
  <c r="CL41" i="9"/>
  <c r="ET41" i="9" l="1"/>
  <c r="BV41" i="9"/>
  <c r="DF41" i="12"/>
  <c r="DH41" i="9"/>
  <c r="DG41" i="12"/>
  <c r="EA41" i="9"/>
  <c r="CO41" i="9"/>
  <c r="AJ41" i="9"/>
  <c r="AI41" i="12"/>
  <c r="FF43" i="9"/>
  <c r="CZ43" i="9"/>
  <c r="DB43" i="9" s="1"/>
  <c r="DE43" i="9" s="1"/>
  <c r="DA43" i="9"/>
  <c r="AB43" i="9"/>
  <c r="AD43" i="9" s="1"/>
  <c r="AG43" i="9" s="1"/>
  <c r="BO43" i="9"/>
  <c r="AV43" i="9"/>
  <c r="FE43" i="9"/>
  <c r="FG43" i="9" s="1"/>
  <c r="FK43" i="9" s="1"/>
  <c r="AH41" i="12"/>
  <c r="AJ41" i="12" s="1"/>
  <c r="EM43" i="9"/>
  <c r="M43" i="12"/>
  <c r="P43" i="12" s="1"/>
  <c r="Q43" i="12" s="1"/>
  <c r="BC40" i="12"/>
  <c r="AJ40" i="12"/>
  <c r="AC43" i="9"/>
  <c r="BN43" i="9"/>
  <c r="BP43" i="9" s="1"/>
  <c r="BR43" i="9" s="1"/>
  <c r="BV41" i="12"/>
  <c r="AU43" i="9"/>
  <c r="AW43" i="9" s="1"/>
  <c r="AY43" i="9" s="1"/>
  <c r="CO40" i="12"/>
  <c r="FM40" i="12"/>
  <c r="BC41" i="12"/>
  <c r="BV40" i="12"/>
  <c r="EQ41" i="12"/>
  <c r="ES41" i="12"/>
  <c r="ER41" i="12"/>
  <c r="J44" i="12" a="1"/>
  <c r="J44" i="12" s="1"/>
  <c r="G44" i="12" a="1"/>
  <c r="G44" i="12" s="1"/>
  <c r="N44" i="12" a="1"/>
  <c r="N44" i="12" s="1"/>
  <c r="O44" i="12" a="1"/>
  <c r="O44" i="12" s="1"/>
  <c r="L44" i="12" a="1"/>
  <c r="L44" i="12" s="1"/>
  <c r="K44" i="12" a="1"/>
  <c r="K44" i="12" s="1"/>
  <c r="H44" i="12" a="1"/>
  <c r="H44" i="12" s="1"/>
  <c r="D45" i="12"/>
  <c r="EQ42" i="9"/>
  <c r="EP42" i="9"/>
  <c r="ES42" i="9"/>
  <c r="ER42" i="9"/>
  <c r="CN42" i="9"/>
  <c r="CK42" i="9"/>
  <c r="CL42" i="9"/>
  <c r="CM42" i="9"/>
  <c r="DG43" i="9"/>
  <c r="DD43" i="9"/>
  <c r="CG43" i="9"/>
  <c r="CI43" i="9" s="1"/>
  <c r="AZ42" i="9"/>
  <c r="AY42" i="9"/>
  <c r="BA42" i="9"/>
  <c r="BB42" i="9"/>
  <c r="L45" i="9" a="1"/>
  <c r="L45" i="9" s="1"/>
  <c r="K45" i="9" a="1"/>
  <c r="K45" i="9" s="1"/>
  <c r="G45" i="9" a="1"/>
  <c r="G45" i="9" s="1"/>
  <c r="N45" i="9" a="1"/>
  <c r="N45" i="9" s="1"/>
  <c r="H45" i="9" a="1"/>
  <c r="H45" i="9" s="1"/>
  <c r="J45" i="9" a="1"/>
  <c r="J45" i="9" s="1"/>
  <c r="O45" i="9" a="1"/>
  <c r="O45" i="9" s="1"/>
  <c r="D46" i="9"/>
  <c r="I45" i="9"/>
  <c r="EJ44" i="9"/>
  <c r="EK44" i="9" s="1"/>
  <c r="EO44" i="9" s="1"/>
  <c r="BL44" i="9"/>
  <c r="BM44" i="9" s="1"/>
  <c r="BQ44" i="9" s="1"/>
  <c r="Z44" i="9"/>
  <c r="AA44" i="9" s="1"/>
  <c r="AE44" i="9" s="1"/>
  <c r="AS44" i="9"/>
  <c r="AT44" i="9" s="1"/>
  <c r="AX44" i="9" s="1"/>
  <c r="CX44" i="9"/>
  <c r="CY44" i="9" s="1"/>
  <c r="DC44" i="9" s="1"/>
  <c r="FC44" i="9"/>
  <c r="FD44" i="9" s="1"/>
  <c r="FH44" i="9" s="1"/>
  <c r="CE44" i="9"/>
  <c r="CF44" i="9" s="1"/>
  <c r="CJ44" i="9" s="1"/>
  <c r="DQ44" i="9"/>
  <c r="DR44" i="9" s="1"/>
  <c r="DV44" i="9" s="1"/>
  <c r="M44" i="9"/>
  <c r="P44" i="9" s="1"/>
  <c r="Q44" i="9" s="1"/>
  <c r="CH43" i="9"/>
  <c r="DG42" i="9"/>
  <c r="DE42" i="9"/>
  <c r="DD42" i="9"/>
  <c r="DF42" i="9"/>
  <c r="DY42" i="9"/>
  <c r="DZ42" i="9"/>
  <c r="DW42" i="9"/>
  <c r="DX42" i="9"/>
  <c r="FF42" i="12"/>
  <c r="EP42" i="12"/>
  <c r="FE42" i="12"/>
  <c r="FG42" i="12" s="1"/>
  <c r="DD42" i="12"/>
  <c r="CK42" i="12"/>
  <c r="AC42" i="12"/>
  <c r="BO42" i="12"/>
  <c r="AB42" i="12"/>
  <c r="AD42" i="12" s="1"/>
  <c r="BN42" i="12"/>
  <c r="BP42" i="12" s="1"/>
  <c r="DW42" i="12"/>
  <c r="CH42" i="12"/>
  <c r="CG42" i="12"/>
  <c r="CI42" i="12" s="1"/>
  <c r="AY42" i="12"/>
  <c r="EM42" i="12"/>
  <c r="DS42" i="12"/>
  <c r="DU42" i="12" s="1"/>
  <c r="AF42" i="12"/>
  <c r="EL42" i="12"/>
  <c r="EN42" i="12" s="1"/>
  <c r="DA42" i="12"/>
  <c r="FI42" i="12"/>
  <c r="CZ42" i="12"/>
  <c r="DB42" i="12" s="1"/>
  <c r="BR42" i="12"/>
  <c r="DT42" i="12"/>
  <c r="AU42" i="12"/>
  <c r="AW42" i="12" s="1"/>
  <c r="AV42" i="12"/>
  <c r="AG42" i="9"/>
  <c r="AF42" i="9"/>
  <c r="AI42" i="9"/>
  <c r="AH42" i="9"/>
  <c r="BS42" i="9"/>
  <c r="BU42" i="9"/>
  <c r="BT42" i="9"/>
  <c r="BR42" i="9"/>
  <c r="DT43" i="9"/>
  <c r="FJ41" i="12"/>
  <c r="FL41" i="12"/>
  <c r="FK41" i="12"/>
  <c r="DH40" i="12"/>
  <c r="EA41" i="12"/>
  <c r="EA40" i="12"/>
  <c r="CM41" i="12"/>
  <c r="CL41" i="12"/>
  <c r="CN41" i="12"/>
  <c r="EL43" i="9"/>
  <c r="EN43" i="9" s="1"/>
  <c r="ET40" i="12"/>
  <c r="DS43" i="9"/>
  <c r="DU43" i="9" s="1"/>
  <c r="FJ42" i="9"/>
  <c r="FI42" i="9"/>
  <c r="FL42" i="9"/>
  <c r="FK42" i="9"/>
  <c r="AI43" i="9" l="1"/>
  <c r="AF43" i="9"/>
  <c r="DH41" i="12"/>
  <c r="DF43" i="9"/>
  <c r="AH43" i="9"/>
  <c r="FI43" i="9"/>
  <c r="ET42" i="9"/>
  <c r="BV42" i="9"/>
  <c r="FM42" i="9"/>
  <c r="DH42" i="9"/>
  <c r="DH43" i="9" s="1"/>
  <c r="BC42" i="9"/>
  <c r="FL43" i="9"/>
  <c r="CO42" i="9"/>
  <c r="AJ42" i="9"/>
  <c r="AJ43" i="9" s="1"/>
  <c r="FJ43" i="9"/>
  <c r="EA42" i="9"/>
  <c r="AV43" i="12"/>
  <c r="BR43" i="12"/>
  <c r="AY43" i="12"/>
  <c r="DA43" i="12"/>
  <c r="DD43" i="12"/>
  <c r="DT43" i="12"/>
  <c r="DW43" i="12"/>
  <c r="EP43" i="12"/>
  <c r="EM43" i="12"/>
  <c r="AC43" i="12"/>
  <c r="AZ43" i="9"/>
  <c r="BC43" i="9" s="1"/>
  <c r="BT43" i="9"/>
  <c r="BU43" i="9"/>
  <c r="BS43" i="9"/>
  <c r="BA43" i="9"/>
  <c r="BB43" i="9"/>
  <c r="M44" i="12"/>
  <c r="P44" i="12" s="1"/>
  <c r="Q44" i="12" s="1"/>
  <c r="FM41" i="12"/>
  <c r="CL42" i="12"/>
  <c r="CM42" i="12"/>
  <c r="CN42" i="12"/>
  <c r="FJ42" i="12"/>
  <c r="FL42" i="12"/>
  <c r="FK42" i="12"/>
  <c r="M45" i="9"/>
  <c r="P45" i="9" s="1"/>
  <c r="Q45" i="9" s="1"/>
  <c r="J45" i="12" a="1"/>
  <c r="J45" i="12" s="1"/>
  <c r="L45" i="12" a="1"/>
  <c r="L45" i="12" s="1"/>
  <c r="G45" i="12" a="1"/>
  <c r="G45" i="12" s="1"/>
  <c r="H45" i="12" a="1"/>
  <c r="H45" i="12" s="1"/>
  <c r="K45" i="12" a="1"/>
  <c r="K45" i="12" s="1"/>
  <c r="N45" i="12" a="1"/>
  <c r="N45" i="12" s="1"/>
  <c r="O45" i="12" a="1"/>
  <c r="O45" i="12" s="1"/>
  <c r="D46" i="12"/>
  <c r="ET41" i="12"/>
  <c r="FE43" i="12"/>
  <c r="FG43" i="12" s="1"/>
  <c r="CG43" i="12"/>
  <c r="CI43" i="12" s="1"/>
  <c r="EQ42" i="12"/>
  <c r="ER42" i="12"/>
  <c r="ES42" i="12"/>
  <c r="BS42" i="12"/>
  <c r="BU42" i="12"/>
  <c r="BT42" i="12"/>
  <c r="CK43" i="9"/>
  <c r="CL43" i="9"/>
  <c r="CN43" i="9"/>
  <c r="CM43" i="9"/>
  <c r="FI43" i="12"/>
  <c r="FF43" i="12"/>
  <c r="AG42" i="12"/>
  <c r="AI42" i="12"/>
  <c r="AH42" i="12"/>
  <c r="AF43" i="12"/>
  <c r="AB43" i="12"/>
  <c r="AD43" i="12" s="1"/>
  <c r="DE42" i="12"/>
  <c r="DG42" i="12"/>
  <c r="DF42" i="12"/>
  <c r="DW43" i="9"/>
  <c r="DY43" i="9"/>
  <c r="DX43" i="9"/>
  <c r="DZ43" i="9"/>
  <c r="ER43" i="9"/>
  <c r="EQ43" i="9"/>
  <c r="ES43" i="9"/>
  <c r="EP43" i="9"/>
  <c r="AZ42" i="12"/>
  <c r="BB42" i="12"/>
  <c r="BA42" i="12"/>
  <c r="DX42" i="12"/>
  <c r="DZ42" i="12"/>
  <c r="DY42" i="12"/>
  <c r="CG44" i="9"/>
  <c r="CI44" i="9" s="1"/>
  <c r="CH44" i="9"/>
  <c r="FF44" i="9"/>
  <c r="FE44" i="9"/>
  <c r="FG44" i="9" s="1"/>
  <c r="BN44" i="9"/>
  <c r="BP44" i="9" s="1"/>
  <c r="AU44" i="9"/>
  <c r="AW44" i="9" s="1"/>
  <c r="BO44" i="9"/>
  <c r="AV44" i="9"/>
  <c r="DA44" i="9"/>
  <c r="CZ44" i="9"/>
  <c r="DB44" i="9" s="1"/>
  <c r="AB44" i="9"/>
  <c r="AD44" i="9" s="1"/>
  <c r="EL44" i="9"/>
  <c r="EN44" i="9" s="1"/>
  <c r="EM44" i="9"/>
  <c r="AC44" i="9"/>
  <c r="DS44" i="9"/>
  <c r="DU44" i="9" s="1"/>
  <c r="DT44" i="9"/>
  <c r="AU43" i="12"/>
  <c r="AW43" i="12" s="1"/>
  <c r="EL43" i="12"/>
  <c r="EN43" i="12" s="1"/>
  <c r="BN43" i="12"/>
  <c r="BP43" i="12" s="1"/>
  <c r="I46" i="9"/>
  <c r="Z45" i="9"/>
  <c r="AA45" i="9" s="1"/>
  <c r="AE45" i="9" s="1"/>
  <c r="EJ45" i="9"/>
  <c r="EK45" i="9" s="1"/>
  <c r="EO45" i="9" s="1"/>
  <c r="BL45" i="9"/>
  <c r="BM45" i="9" s="1"/>
  <c r="BQ45" i="9" s="1"/>
  <c r="FC45" i="9"/>
  <c r="FD45" i="9" s="1"/>
  <c r="FH45" i="9" s="1"/>
  <c r="AS45" i="9"/>
  <c r="AT45" i="9" s="1"/>
  <c r="AX45" i="9" s="1"/>
  <c r="CE45" i="9"/>
  <c r="CF45" i="9" s="1"/>
  <c r="CJ45" i="9" s="1"/>
  <c r="CX45" i="9"/>
  <c r="CY45" i="9" s="1"/>
  <c r="DC45" i="9" s="1"/>
  <c r="DQ45" i="9"/>
  <c r="DR45" i="9" s="1"/>
  <c r="DV45" i="9" s="1"/>
  <c r="CZ43" i="12"/>
  <c r="DB43" i="12" s="1"/>
  <c r="BO43" i="12"/>
  <c r="CO41" i="12"/>
  <c r="K46" i="9" a="1"/>
  <c r="K46" i="9" s="1"/>
  <c r="O46" i="9" a="1"/>
  <c r="O46" i="9" s="1"/>
  <c r="N46" i="9" a="1"/>
  <c r="N46" i="9" s="1"/>
  <c r="G46" i="9" a="1"/>
  <c r="G46" i="9" s="1"/>
  <c r="J46" i="9" a="1"/>
  <c r="J46" i="9" s="1"/>
  <c r="H46" i="9" a="1"/>
  <c r="H46" i="9" s="1"/>
  <c r="L46" i="9" a="1"/>
  <c r="L46" i="9" s="1"/>
  <c r="D47" i="9"/>
  <c r="DS43" i="12"/>
  <c r="DU43" i="12" s="1"/>
  <c r="CH43" i="12"/>
  <c r="CK43" i="12"/>
  <c r="BV43" i="9" l="1"/>
  <c r="ET43" i="9"/>
  <c r="FM43" i="9"/>
  <c r="CO43" i="9"/>
  <c r="EA43" i="9"/>
  <c r="M46" i="9"/>
  <c r="P46" i="9" s="1"/>
  <c r="Q46" i="9" s="1"/>
  <c r="BC42" i="12"/>
  <c r="BV42" i="12"/>
  <c r="CO42" i="12"/>
  <c r="FM42" i="12"/>
  <c r="AJ42" i="12"/>
  <c r="DE43" i="12"/>
  <c r="DF43" i="12"/>
  <c r="DG43" i="12"/>
  <c r="BB44" i="9"/>
  <c r="BA44" i="9"/>
  <c r="AY44" i="9"/>
  <c r="AZ44" i="9"/>
  <c r="ET42" i="12"/>
  <c r="EP44" i="12"/>
  <c r="FE44" i="12"/>
  <c r="FG44" i="12" s="1"/>
  <c r="FF44" i="12"/>
  <c r="DD44" i="12"/>
  <c r="CK44" i="12"/>
  <c r="AB44" i="12"/>
  <c r="AD44" i="12" s="1"/>
  <c r="BN44" i="12"/>
  <c r="BP44" i="12" s="1"/>
  <c r="AC44" i="12"/>
  <c r="BO44" i="12"/>
  <c r="AF44" i="12"/>
  <c r="AY44" i="12"/>
  <c r="DA44" i="12"/>
  <c r="EM44" i="12"/>
  <c r="CG44" i="12"/>
  <c r="CI44" i="12" s="1"/>
  <c r="DW44" i="12"/>
  <c r="BR44" i="12"/>
  <c r="CZ44" i="12"/>
  <c r="DB44" i="12" s="1"/>
  <c r="EL44" i="12"/>
  <c r="EN44" i="12" s="1"/>
  <c r="DS44" i="12"/>
  <c r="DU44" i="12" s="1"/>
  <c r="FI44" i="12"/>
  <c r="DT44" i="12"/>
  <c r="CH44" i="12"/>
  <c r="AU44" i="12"/>
  <c r="AW44" i="12" s="1"/>
  <c r="AV44" i="12"/>
  <c r="BU44" i="9"/>
  <c r="BR44" i="9"/>
  <c r="BT44" i="9"/>
  <c r="BS44" i="9"/>
  <c r="DZ44" i="9"/>
  <c r="DY44" i="9"/>
  <c r="DX44" i="9"/>
  <c r="DW44" i="9"/>
  <c r="DX43" i="12"/>
  <c r="DZ43" i="12"/>
  <c r="DY43" i="12"/>
  <c r="I47" i="9"/>
  <c r="Z46" i="9"/>
  <c r="AA46" i="9" s="1"/>
  <c r="AE46" i="9" s="1"/>
  <c r="FC46" i="9"/>
  <c r="FD46" i="9" s="1"/>
  <c r="FH46" i="9" s="1"/>
  <c r="EJ46" i="9"/>
  <c r="EK46" i="9" s="1"/>
  <c r="EO46" i="9" s="1"/>
  <c r="DQ46" i="9"/>
  <c r="DR46" i="9" s="1"/>
  <c r="DV46" i="9" s="1"/>
  <c r="CE46" i="9"/>
  <c r="CF46" i="9" s="1"/>
  <c r="CJ46" i="9" s="1"/>
  <c r="BL46" i="9"/>
  <c r="BM46" i="9" s="1"/>
  <c r="BQ46" i="9" s="1"/>
  <c r="AS46" i="9"/>
  <c r="AT46" i="9" s="1"/>
  <c r="AX46" i="9" s="1"/>
  <c r="CX46" i="9"/>
  <c r="CY46" i="9" s="1"/>
  <c r="DC46" i="9" s="1"/>
  <c r="EQ44" i="9"/>
  <c r="ES44" i="9"/>
  <c r="EP44" i="9"/>
  <c r="ER44" i="9"/>
  <c r="FJ44" i="9"/>
  <c r="FL44" i="9"/>
  <c r="FK44" i="9"/>
  <c r="FI44" i="9"/>
  <c r="FM44" i="9" s="1"/>
  <c r="CL43" i="12"/>
  <c r="CN43" i="12"/>
  <c r="CM43" i="12"/>
  <c r="BS43" i="12"/>
  <c r="BU43" i="12"/>
  <c r="BT43" i="12"/>
  <c r="AH44" i="9"/>
  <c r="AG44" i="9"/>
  <c r="AF44" i="9"/>
  <c r="AI44" i="9"/>
  <c r="AU45" i="9"/>
  <c r="AW45" i="9" s="1"/>
  <c r="CH45" i="9"/>
  <c r="BN45" i="9"/>
  <c r="BP45" i="9" s="1"/>
  <c r="AV45" i="9"/>
  <c r="CG45" i="9"/>
  <c r="CI45" i="9" s="1"/>
  <c r="BO45" i="9"/>
  <c r="FE45" i="9"/>
  <c r="FG45" i="9" s="1"/>
  <c r="FF45" i="9"/>
  <c r="EL45" i="9"/>
  <c r="EN45" i="9" s="1"/>
  <c r="DA45" i="9"/>
  <c r="AC45" i="9"/>
  <c r="AB45" i="9"/>
  <c r="AD45" i="9" s="1"/>
  <c r="CZ45" i="9"/>
  <c r="DB45" i="9" s="1"/>
  <c r="EM45" i="9"/>
  <c r="DT45" i="9"/>
  <c r="DS45" i="9"/>
  <c r="DU45" i="9" s="1"/>
  <c r="FJ43" i="12"/>
  <c r="FL43" i="12"/>
  <c r="FK43" i="12"/>
  <c r="AG43" i="12"/>
  <c r="AI43" i="12"/>
  <c r="AH43" i="12"/>
  <c r="N47" i="9" a="1"/>
  <c r="N47" i="9" s="1"/>
  <c r="H47" i="9" a="1"/>
  <c r="H47" i="9" s="1"/>
  <c r="G47" i="9" a="1"/>
  <c r="G47" i="9" s="1"/>
  <c r="O47" i="9" a="1"/>
  <c r="O47" i="9" s="1"/>
  <c r="L47" i="9" a="1"/>
  <c r="L47" i="9" s="1"/>
  <c r="J47" i="9" a="1"/>
  <c r="J47" i="9" s="1"/>
  <c r="K47" i="9" a="1"/>
  <c r="K47" i="9" s="1"/>
  <c r="D48" i="9"/>
  <c r="EQ43" i="12"/>
  <c r="ER43" i="12"/>
  <c r="ES43" i="12"/>
  <c r="DG44" i="9"/>
  <c r="DE44" i="9"/>
  <c r="DF44" i="9"/>
  <c r="DD44" i="9"/>
  <c r="DH42" i="12"/>
  <c r="M45" i="12"/>
  <c r="P45" i="12" s="1"/>
  <c r="Q45" i="12" s="1"/>
  <c r="AZ43" i="12"/>
  <c r="BB43" i="12"/>
  <c r="BA43" i="12"/>
  <c r="CM44" i="9"/>
  <c r="CL44" i="9"/>
  <c r="CK44" i="9"/>
  <c r="CN44" i="9"/>
  <c r="H46" i="12" a="1"/>
  <c r="H46" i="12" s="1"/>
  <c r="N46" i="12" a="1"/>
  <c r="N46" i="12" s="1"/>
  <c r="K46" i="12" a="1"/>
  <c r="K46" i="12" s="1"/>
  <c r="J46" i="12" a="1"/>
  <c r="J46" i="12" s="1"/>
  <c r="G46" i="12" a="1"/>
  <c r="G46" i="12" s="1"/>
  <c r="O46" i="12" a="1"/>
  <c r="O46" i="12" s="1"/>
  <c r="L46" i="12" a="1"/>
  <c r="L46" i="12" s="1"/>
  <c r="D47" i="12"/>
  <c r="EA42" i="12"/>
  <c r="BC44" i="9" l="1"/>
  <c r="AJ44" i="9"/>
  <c r="DH44" i="9"/>
  <c r="BV44" i="9"/>
  <c r="ET44" i="9"/>
  <c r="EA44" i="9"/>
  <c r="CO44" i="9"/>
  <c r="FM43" i="12"/>
  <c r="DA46" i="9"/>
  <c r="BO46" i="9"/>
  <c r="CH46" i="9"/>
  <c r="BN46" i="9"/>
  <c r="BP46" i="9" s="1"/>
  <c r="BS46" i="9" s="1"/>
  <c r="CG46" i="9"/>
  <c r="CI46" i="9" s="1"/>
  <c r="CM46" i="9" s="1"/>
  <c r="CZ46" i="9"/>
  <c r="DB46" i="9" s="1"/>
  <c r="DE46" i="9" s="1"/>
  <c r="AC46" i="9"/>
  <c r="AB46" i="9"/>
  <c r="AD46" i="9" s="1"/>
  <c r="AI46" i="9" s="1"/>
  <c r="EL46" i="9"/>
  <c r="EN46" i="9" s="1"/>
  <c r="EQ46" i="9" s="1"/>
  <c r="AU46" i="9"/>
  <c r="AW46" i="9" s="1"/>
  <c r="AZ46" i="9" s="1"/>
  <c r="FE46" i="9"/>
  <c r="FG46" i="9" s="1"/>
  <c r="AJ43" i="12"/>
  <c r="FF46" i="9"/>
  <c r="AV46" i="9"/>
  <c r="EM46" i="9"/>
  <c r="EP45" i="12"/>
  <c r="FE45" i="12"/>
  <c r="FG45" i="12" s="1"/>
  <c r="FF45" i="12"/>
  <c r="DD45" i="12"/>
  <c r="CK45" i="12"/>
  <c r="AB45" i="12"/>
  <c r="AD45" i="12" s="1"/>
  <c r="AC45" i="12"/>
  <c r="BN45" i="12"/>
  <c r="BP45" i="12" s="1"/>
  <c r="BO45" i="12"/>
  <c r="CH45" i="12"/>
  <c r="BR45" i="12"/>
  <c r="AF45" i="12"/>
  <c r="EM45" i="12"/>
  <c r="DS45" i="12"/>
  <c r="DU45" i="12" s="1"/>
  <c r="DW45" i="12"/>
  <c r="CG45" i="12"/>
  <c r="CI45" i="12" s="1"/>
  <c r="AY45" i="12"/>
  <c r="EL45" i="12"/>
  <c r="EN45" i="12" s="1"/>
  <c r="DT45" i="12"/>
  <c r="FI45" i="12"/>
  <c r="DA45" i="12"/>
  <c r="CZ45" i="12"/>
  <c r="DB45" i="12" s="1"/>
  <c r="AU45" i="12"/>
  <c r="AW45" i="12" s="1"/>
  <c r="AV45" i="12"/>
  <c r="DZ45" i="9"/>
  <c r="DX45" i="9"/>
  <c r="DW45" i="9"/>
  <c r="DY45" i="9"/>
  <c r="FK46" i="9"/>
  <c r="FI46" i="9"/>
  <c r="FJ46" i="9"/>
  <c r="FL46" i="9"/>
  <c r="BC43" i="12"/>
  <c r="ET43" i="12"/>
  <c r="FJ45" i="9"/>
  <c r="FL45" i="9"/>
  <c r="FK45" i="9"/>
  <c r="FI45" i="9"/>
  <c r="FM45" i="9" s="1"/>
  <c r="CO43" i="12"/>
  <c r="AH44" i="12"/>
  <c r="AG44" i="12"/>
  <c r="AI44" i="12"/>
  <c r="I48" i="9"/>
  <c r="FC47" i="9"/>
  <c r="FD47" i="9" s="1"/>
  <c r="FH47" i="9" s="1"/>
  <c r="Z47" i="9"/>
  <c r="AA47" i="9" s="1"/>
  <c r="AE47" i="9" s="1"/>
  <c r="CE47" i="9"/>
  <c r="CF47" i="9" s="1"/>
  <c r="CJ47" i="9" s="1"/>
  <c r="CX47" i="9"/>
  <c r="CY47" i="9" s="1"/>
  <c r="DC47" i="9" s="1"/>
  <c r="BL47" i="9"/>
  <c r="BM47" i="9" s="1"/>
  <c r="BQ47" i="9" s="1"/>
  <c r="DQ47" i="9"/>
  <c r="DR47" i="9" s="1"/>
  <c r="DV47" i="9" s="1"/>
  <c r="EJ47" i="9"/>
  <c r="EK47" i="9" s="1"/>
  <c r="EO47" i="9" s="1"/>
  <c r="AS47" i="9"/>
  <c r="AT47" i="9" s="1"/>
  <c r="AX47" i="9" s="1"/>
  <c r="DT46" i="9"/>
  <c r="L48" i="9" a="1"/>
  <c r="L48" i="9" s="1"/>
  <c r="G48" i="9" a="1"/>
  <c r="G48" i="9" s="1"/>
  <c r="O48" i="9" a="1"/>
  <c r="O48" i="9" s="1"/>
  <c r="H48" i="9" a="1"/>
  <c r="H48" i="9" s="1"/>
  <c r="J48" i="9" a="1"/>
  <c r="J48" i="9" s="1"/>
  <c r="K48" i="9" a="1"/>
  <c r="K48" i="9" s="1"/>
  <c r="N48" i="9" a="1"/>
  <c r="N48" i="9" s="1"/>
  <c r="D49" i="9"/>
  <c r="DF45" i="9"/>
  <c r="DE45" i="9"/>
  <c r="DD45" i="9"/>
  <c r="DH45" i="9" s="1"/>
  <c r="DG45" i="9"/>
  <c r="CK45" i="9"/>
  <c r="CM45" i="9"/>
  <c r="CL45" i="9"/>
  <c r="CN45" i="9"/>
  <c r="EA43" i="12"/>
  <c r="DX44" i="12"/>
  <c r="DZ44" i="12"/>
  <c r="DY44" i="12"/>
  <c r="AF46" i="9"/>
  <c r="M47" i="9"/>
  <c r="P47" i="9" s="1"/>
  <c r="Q47" i="9" s="1"/>
  <c r="AG45" i="9"/>
  <c r="AF45" i="9"/>
  <c r="AI45" i="9"/>
  <c r="AH45" i="9"/>
  <c r="EQ44" i="12"/>
  <c r="ES44" i="12"/>
  <c r="ER44" i="12"/>
  <c r="FJ44" i="12"/>
  <c r="FL44" i="12"/>
  <c r="FK44" i="12"/>
  <c r="BR45" i="9"/>
  <c r="BV45" i="9" s="1"/>
  <c r="BV46" i="9" s="1"/>
  <c r="BS45" i="9"/>
  <c r="BU45" i="9"/>
  <c r="BT45" i="9"/>
  <c r="DE44" i="12"/>
  <c r="DG44" i="12"/>
  <c r="DF44" i="12"/>
  <c r="DH43" i="12"/>
  <c r="CM44" i="12"/>
  <c r="CL44" i="12"/>
  <c r="CN44" i="12"/>
  <c r="G47" i="12" a="1"/>
  <c r="G47" i="12" s="1"/>
  <c r="O47" i="12" a="1"/>
  <c r="O47" i="12" s="1"/>
  <c r="J47" i="12" a="1"/>
  <c r="J47" i="12" s="1"/>
  <c r="H47" i="12" a="1"/>
  <c r="H47" i="12" s="1"/>
  <c r="L47" i="12" a="1"/>
  <c r="L47" i="12" s="1"/>
  <c r="N47" i="12" a="1"/>
  <c r="N47" i="12" s="1"/>
  <c r="K47" i="12" a="1"/>
  <c r="K47" i="12" s="1"/>
  <c r="D48" i="12"/>
  <c r="DS46" i="9"/>
  <c r="DU46" i="9" s="1"/>
  <c r="BA46" i="9"/>
  <c r="BB46" i="9"/>
  <c r="BV43" i="12"/>
  <c r="M46" i="12"/>
  <c r="P46" i="12" s="1"/>
  <c r="Q46" i="12" s="1"/>
  <c r="EP45" i="9"/>
  <c r="ES45" i="9"/>
  <c r="ER45" i="9"/>
  <c r="EQ45" i="9"/>
  <c r="AZ45" i="9"/>
  <c r="BB45" i="9"/>
  <c r="BA45" i="9"/>
  <c r="AY45" i="9"/>
  <c r="BC45" i="9" s="1"/>
  <c r="BB44" i="12"/>
  <c r="AZ44" i="12"/>
  <c r="BA44" i="12"/>
  <c r="BS44" i="12"/>
  <c r="BT44" i="12"/>
  <c r="BU44" i="12"/>
  <c r="AY46" i="9" l="1"/>
  <c r="BR46" i="9"/>
  <c r="BU46" i="9"/>
  <c r="BT46" i="9"/>
  <c r="AG46" i="9"/>
  <c r="AH46" i="9"/>
  <c r="CO45" i="9"/>
  <c r="AJ45" i="9"/>
  <c r="AJ46" i="9" s="1"/>
  <c r="FM46" i="9"/>
  <c r="BC46" i="9"/>
  <c r="ET45" i="9"/>
  <c r="EA45" i="9"/>
  <c r="CN46" i="9"/>
  <c r="CK46" i="9"/>
  <c r="CL46" i="9"/>
  <c r="BC44" i="12"/>
  <c r="EP46" i="9"/>
  <c r="ES46" i="9"/>
  <c r="ER46" i="9"/>
  <c r="DG46" i="9"/>
  <c r="DF46" i="9"/>
  <c r="DD46" i="9"/>
  <c r="AJ44" i="12"/>
  <c r="EA44" i="12"/>
  <c r="FM44" i="12"/>
  <c r="BV44" i="12"/>
  <c r="CO44" i="12"/>
  <c r="ET44" i="12"/>
  <c r="L48" i="12" a="1"/>
  <c r="L48" i="12" s="1"/>
  <c r="K48" i="12" a="1"/>
  <c r="K48" i="12" s="1"/>
  <c r="H48" i="12" a="1"/>
  <c r="H48" i="12" s="1"/>
  <c r="N48" i="12" a="1"/>
  <c r="N48" i="12" s="1"/>
  <c r="J48" i="12" a="1"/>
  <c r="J48" i="12" s="1"/>
  <c r="G48" i="12" a="1"/>
  <c r="G48" i="12" s="1"/>
  <c r="O48" i="12" a="1"/>
  <c r="O48" i="12" s="1"/>
  <c r="D49" i="12"/>
  <c r="I49" i="9"/>
  <c r="CE48" i="9"/>
  <c r="CF48" i="9" s="1"/>
  <c r="CJ48" i="9" s="1"/>
  <c r="CX48" i="9"/>
  <c r="CY48" i="9" s="1"/>
  <c r="DC48" i="9" s="1"/>
  <c r="BL48" i="9"/>
  <c r="BM48" i="9" s="1"/>
  <c r="BQ48" i="9" s="1"/>
  <c r="FC48" i="9"/>
  <c r="FD48" i="9" s="1"/>
  <c r="FH48" i="9" s="1"/>
  <c r="DQ48" i="9"/>
  <c r="DR48" i="9" s="1"/>
  <c r="DV48" i="9" s="1"/>
  <c r="EJ48" i="9"/>
  <c r="EK48" i="9" s="1"/>
  <c r="EO48" i="9" s="1"/>
  <c r="Z48" i="9"/>
  <c r="AA48" i="9" s="1"/>
  <c r="AE48" i="9" s="1"/>
  <c r="AS48" i="9"/>
  <c r="AT48" i="9" s="1"/>
  <c r="AX48" i="9" s="1"/>
  <c r="BA45" i="12"/>
  <c r="AZ45" i="12"/>
  <c r="BB45" i="12"/>
  <c r="BS45" i="12"/>
  <c r="BT45" i="12"/>
  <c r="BU45" i="12"/>
  <c r="DE45" i="12"/>
  <c r="DG45" i="12"/>
  <c r="DF45" i="12"/>
  <c r="DX45" i="12"/>
  <c r="DZ45" i="12"/>
  <c r="DY45" i="12"/>
  <c r="AI45" i="12"/>
  <c r="AG45" i="12"/>
  <c r="AH45" i="12"/>
  <c r="BO47" i="9"/>
  <c r="FF47" i="9"/>
  <c r="AU47" i="9"/>
  <c r="AW47" i="9" s="1"/>
  <c r="FE47" i="9"/>
  <c r="FG47" i="9" s="1"/>
  <c r="AV47" i="9"/>
  <c r="CH47" i="9"/>
  <c r="BN47" i="9"/>
  <c r="BP47" i="9" s="1"/>
  <c r="CG47" i="9"/>
  <c r="CI47" i="9" s="1"/>
  <c r="AC47" i="9"/>
  <c r="DA47" i="9"/>
  <c r="CZ47" i="9"/>
  <c r="DB47" i="9" s="1"/>
  <c r="EM47" i="9"/>
  <c r="AB47" i="9"/>
  <c r="AD47" i="9" s="1"/>
  <c r="EL47" i="9"/>
  <c r="EN47" i="9" s="1"/>
  <c r="DS47" i="9"/>
  <c r="DU47" i="9" s="1"/>
  <c r="DT47" i="9"/>
  <c r="H49" i="9" a="1"/>
  <c r="H49" i="9" s="1"/>
  <c r="O49" i="9" a="1"/>
  <c r="O49" i="9" s="1"/>
  <c r="N49" i="9" a="1"/>
  <c r="N49" i="9" s="1"/>
  <c r="J49" i="9" a="1"/>
  <c r="J49" i="9" s="1"/>
  <c r="G49" i="9" a="1"/>
  <c r="G49" i="9" s="1"/>
  <c r="L49" i="9" a="1"/>
  <c r="L49" i="9" s="1"/>
  <c r="K49" i="9" a="1"/>
  <c r="K49" i="9" s="1"/>
  <c r="D50" i="9"/>
  <c r="FE46" i="12"/>
  <c r="FG46" i="12" s="1"/>
  <c r="FF46" i="12"/>
  <c r="EP46" i="12"/>
  <c r="DD46" i="12"/>
  <c r="CK46" i="12"/>
  <c r="BN46" i="12"/>
  <c r="BP46" i="12" s="1"/>
  <c r="AC46" i="12"/>
  <c r="BO46" i="12"/>
  <c r="AB46" i="12"/>
  <c r="AD46" i="12" s="1"/>
  <c r="AF46" i="12"/>
  <c r="FI46" i="12"/>
  <c r="EM46" i="12"/>
  <c r="DT46" i="12"/>
  <c r="EL46" i="12"/>
  <c r="EN46" i="12" s="1"/>
  <c r="DS46" i="12"/>
  <c r="DU46" i="12" s="1"/>
  <c r="BR46" i="12"/>
  <c r="CH46" i="12"/>
  <c r="DA46" i="12"/>
  <c r="CG46" i="12"/>
  <c r="CI46" i="12" s="1"/>
  <c r="CZ46" i="12"/>
  <c r="DB46" i="12" s="1"/>
  <c r="DW46" i="12"/>
  <c r="AY46" i="12"/>
  <c r="AU46" i="12"/>
  <c r="AW46" i="12" s="1"/>
  <c r="AV46" i="12"/>
  <c r="DH44" i="12"/>
  <c r="M47" i="12"/>
  <c r="P47" i="12" s="1"/>
  <c r="Q47" i="12" s="1"/>
  <c r="M48" i="9"/>
  <c r="P48" i="9" s="1"/>
  <c r="Q48" i="9" s="1"/>
  <c r="EQ45" i="12"/>
  <c r="ES45" i="12"/>
  <c r="ER45" i="12"/>
  <c r="FJ45" i="12"/>
  <c r="FK45" i="12"/>
  <c r="FL45" i="12"/>
  <c r="DY46" i="9"/>
  <c r="DX46" i="9"/>
  <c r="DW46" i="9"/>
  <c r="DZ46" i="9"/>
  <c r="CM45" i="12"/>
  <c r="CL45" i="12"/>
  <c r="CN45" i="12"/>
  <c r="CO46" i="9" l="1"/>
  <c r="ET46" i="9"/>
  <c r="DH46" i="9"/>
  <c r="EA46" i="9"/>
  <c r="BV45" i="12"/>
  <c r="BC45" i="12"/>
  <c r="AJ45" i="12"/>
  <c r="FM45" i="12"/>
  <c r="EA45" i="12"/>
  <c r="AU48" i="9"/>
  <c r="AW48" i="9" s="1"/>
  <c r="BN48" i="9"/>
  <c r="BP48" i="9" s="1"/>
  <c r="AV48" i="9"/>
  <c r="BO48" i="9"/>
  <c r="CH48" i="9"/>
  <c r="FF48" i="9"/>
  <c r="CG48" i="9"/>
  <c r="CI48" i="9" s="1"/>
  <c r="FE48" i="9"/>
  <c r="FG48" i="9" s="1"/>
  <c r="EL48" i="9"/>
  <c r="EN48" i="9" s="1"/>
  <c r="AB48" i="9"/>
  <c r="AD48" i="9" s="1"/>
  <c r="CZ48" i="9"/>
  <c r="DB48" i="9" s="1"/>
  <c r="AC48" i="9"/>
  <c r="DA48" i="9"/>
  <c r="EM48" i="9"/>
  <c r="DT48" i="9"/>
  <c r="DS48" i="9"/>
  <c r="DU48" i="9" s="1"/>
  <c r="EP47" i="12"/>
  <c r="FF47" i="12"/>
  <c r="FE47" i="12"/>
  <c r="FG47" i="12" s="1"/>
  <c r="CK47" i="12"/>
  <c r="DD47" i="12"/>
  <c r="BN47" i="12"/>
  <c r="BP47" i="12" s="1"/>
  <c r="AB47" i="12"/>
  <c r="AD47" i="12" s="1"/>
  <c r="BO47" i="12"/>
  <c r="AC47" i="12"/>
  <c r="AY47" i="12"/>
  <c r="CH47" i="12"/>
  <c r="EL47" i="12"/>
  <c r="EN47" i="12" s="1"/>
  <c r="DT47" i="12"/>
  <c r="AF47" i="12"/>
  <c r="CG47" i="12"/>
  <c r="CI47" i="12" s="1"/>
  <c r="EM47" i="12"/>
  <c r="DS47" i="12"/>
  <c r="DU47" i="12" s="1"/>
  <c r="DA47" i="12"/>
  <c r="FI47" i="12"/>
  <c r="BR47" i="12"/>
  <c r="DW47" i="12"/>
  <c r="CZ47" i="12"/>
  <c r="DB47" i="12" s="1"/>
  <c r="AU47" i="12"/>
  <c r="AW47" i="12" s="1"/>
  <c r="AV47" i="12"/>
  <c r="DE46" i="12"/>
  <c r="DG46" i="12"/>
  <c r="DF46" i="12"/>
  <c r="BR47" i="9"/>
  <c r="BS47" i="9"/>
  <c r="BT47" i="9"/>
  <c r="BU47" i="9"/>
  <c r="CN46" i="12"/>
  <c r="CM46" i="12"/>
  <c r="CL46" i="12"/>
  <c r="AG47" i="9"/>
  <c r="AI47" i="9"/>
  <c r="AF47" i="9"/>
  <c r="AH47" i="9"/>
  <c r="DY47" i="9"/>
  <c r="DZ47" i="9"/>
  <c r="DX47" i="9"/>
  <c r="DW47" i="9"/>
  <c r="M49" i="9"/>
  <c r="P49" i="9" s="1"/>
  <c r="Q49" i="9" s="1"/>
  <c r="FI47" i="9"/>
  <c r="FL47" i="9"/>
  <c r="FJ47" i="9"/>
  <c r="FK47" i="9"/>
  <c r="M48" i="12"/>
  <c r="P48" i="12" s="1"/>
  <c r="Q48" i="12" s="1"/>
  <c r="L49" i="12" a="1"/>
  <c r="L49" i="12" s="1"/>
  <c r="J49" i="12" a="1"/>
  <c r="J49" i="12" s="1"/>
  <c r="H49" i="12" a="1"/>
  <c r="H49" i="12" s="1"/>
  <c r="N49" i="12" a="1"/>
  <c r="N49" i="12" s="1"/>
  <c r="K49" i="12" a="1"/>
  <c r="K49" i="12" s="1"/>
  <c r="O49" i="12" a="1"/>
  <c r="O49" i="12" s="1"/>
  <c r="G49" i="12" a="1"/>
  <c r="G49" i="12" s="1"/>
  <c r="D50" i="12"/>
  <c r="DG47" i="9"/>
  <c r="DF47" i="9"/>
  <c r="DD47" i="9"/>
  <c r="DE47" i="9"/>
  <c r="AZ47" i="9"/>
  <c r="AY47" i="9"/>
  <c r="BB47" i="9"/>
  <c r="BA47" i="9"/>
  <c r="O50" i="9" a="1"/>
  <c r="O50" i="9" s="1"/>
  <c r="H50" i="9" a="1"/>
  <c r="H50" i="9" s="1"/>
  <c r="L50" i="9" a="1"/>
  <c r="L50" i="9" s="1"/>
  <c r="K50" i="9" a="1"/>
  <c r="K50" i="9" s="1"/>
  <c r="N50" i="9" a="1"/>
  <c r="N50" i="9" s="1"/>
  <c r="G50" i="9" a="1"/>
  <c r="G50" i="9" s="1"/>
  <c r="J50" i="9" a="1"/>
  <c r="J50" i="9" s="1"/>
  <c r="D51" i="9"/>
  <c r="EQ47" i="9"/>
  <c r="ES47" i="9"/>
  <c r="ER47" i="9"/>
  <c r="EP47" i="9"/>
  <c r="ET47" i="9" s="1"/>
  <c r="FJ46" i="12"/>
  <c r="FL46" i="12"/>
  <c r="FK46" i="12"/>
  <c r="CO45" i="12"/>
  <c r="AG46" i="12"/>
  <c r="AH46" i="12"/>
  <c r="AI46" i="12"/>
  <c r="ET45" i="12"/>
  <c r="BA46" i="12"/>
  <c r="BB46" i="12"/>
  <c r="AZ46" i="12"/>
  <c r="DX46" i="12"/>
  <c r="DZ46" i="12"/>
  <c r="DY46" i="12"/>
  <c r="DH45" i="12"/>
  <c r="EQ46" i="12"/>
  <c r="ES46" i="12"/>
  <c r="ER46" i="12"/>
  <c r="BS46" i="12"/>
  <c r="BU46" i="12"/>
  <c r="BT46" i="12"/>
  <c r="CL47" i="9"/>
  <c r="CM47" i="9"/>
  <c r="CK47" i="9"/>
  <c r="CO47" i="9" s="1"/>
  <c r="CN47" i="9"/>
  <c r="I50" i="9"/>
  <c r="Z49" i="9"/>
  <c r="AA49" i="9" s="1"/>
  <c r="AE49" i="9" s="1"/>
  <c r="BL49" i="9"/>
  <c r="BM49" i="9" s="1"/>
  <c r="BQ49" i="9" s="1"/>
  <c r="CE49" i="9"/>
  <c r="CF49" i="9" s="1"/>
  <c r="CJ49" i="9" s="1"/>
  <c r="DQ49" i="9"/>
  <c r="DR49" i="9" s="1"/>
  <c r="DV49" i="9" s="1"/>
  <c r="EJ49" i="9"/>
  <c r="EK49" i="9" s="1"/>
  <c r="EO49" i="9" s="1"/>
  <c r="AS49" i="9"/>
  <c r="AT49" i="9" s="1"/>
  <c r="AX49" i="9" s="1"/>
  <c r="FC49" i="9"/>
  <c r="FD49" i="9" s="1"/>
  <c r="FH49" i="9" s="1"/>
  <c r="CX49" i="9"/>
  <c r="CY49" i="9" s="1"/>
  <c r="DC49" i="9" s="1"/>
  <c r="DH47" i="9" l="1"/>
  <c r="CO46" i="12"/>
  <c r="BC47" i="9"/>
  <c r="AJ47" i="9"/>
  <c r="FM47" i="9"/>
  <c r="BV47" i="9"/>
  <c r="EA47" i="9"/>
  <c r="EA46" i="12"/>
  <c r="BC46" i="12"/>
  <c r="FM46" i="12"/>
  <c r="BV46" i="12"/>
  <c r="AJ46" i="12"/>
  <c r="EP48" i="12"/>
  <c r="FF48" i="12"/>
  <c r="FE48" i="12"/>
  <c r="FG48" i="12" s="1"/>
  <c r="CK48" i="12"/>
  <c r="DD48" i="12"/>
  <c r="AC48" i="12"/>
  <c r="AB48" i="12"/>
  <c r="AD48" i="12" s="1"/>
  <c r="BN48" i="12"/>
  <c r="BP48" i="12" s="1"/>
  <c r="BO48" i="12"/>
  <c r="DS48" i="12"/>
  <c r="DU48" i="12" s="1"/>
  <c r="DA48" i="12"/>
  <c r="DW48" i="12"/>
  <c r="CH48" i="12"/>
  <c r="AF48" i="12"/>
  <c r="FI48" i="12"/>
  <c r="AY48" i="12"/>
  <c r="EL48" i="12"/>
  <c r="EN48" i="12" s="1"/>
  <c r="DT48" i="12"/>
  <c r="CG48" i="12"/>
  <c r="CI48" i="12" s="1"/>
  <c r="BR48" i="12"/>
  <c r="EM48" i="12"/>
  <c r="CZ48" i="12"/>
  <c r="DB48" i="12" s="1"/>
  <c r="AU48" i="12"/>
  <c r="AW48" i="12" s="1"/>
  <c r="AV48" i="12"/>
  <c r="DX48" i="9"/>
  <c r="DZ48" i="9"/>
  <c r="DY48" i="9"/>
  <c r="DW48" i="9"/>
  <c r="FL48" i="9"/>
  <c r="FK48" i="9"/>
  <c r="FJ48" i="9"/>
  <c r="FI48" i="9"/>
  <c r="AZ47" i="12"/>
  <c r="BA47" i="12"/>
  <c r="BB47" i="12"/>
  <c r="CL47" i="12"/>
  <c r="CN47" i="12"/>
  <c r="CM47" i="12"/>
  <c r="AI47" i="12"/>
  <c r="AH47" i="12"/>
  <c r="AG47" i="12"/>
  <c r="CK48" i="9"/>
  <c r="CN48" i="9"/>
  <c r="CL48" i="9"/>
  <c r="CM48" i="9"/>
  <c r="DE47" i="12"/>
  <c r="DG47" i="12"/>
  <c r="DF47" i="12"/>
  <c r="BS47" i="12"/>
  <c r="BU47" i="12"/>
  <c r="BT47" i="12"/>
  <c r="I51" i="9"/>
  <c r="FC50" i="9"/>
  <c r="FD50" i="9" s="1"/>
  <c r="FH50" i="9" s="1"/>
  <c r="CE50" i="9"/>
  <c r="CF50" i="9" s="1"/>
  <c r="CJ50" i="9" s="1"/>
  <c r="AS50" i="9"/>
  <c r="AT50" i="9" s="1"/>
  <c r="AX50" i="9" s="1"/>
  <c r="BL50" i="9"/>
  <c r="BM50" i="9" s="1"/>
  <c r="BQ50" i="9" s="1"/>
  <c r="CX50" i="9"/>
  <c r="CY50" i="9" s="1"/>
  <c r="DC50" i="9" s="1"/>
  <c r="EJ50" i="9"/>
  <c r="EK50" i="9" s="1"/>
  <c r="EO50" i="9" s="1"/>
  <c r="DQ50" i="9"/>
  <c r="DR50" i="9" s="1"/>
  <c r="DV50" i="9" s="1"/>
  <c r="Z50" i="9"/>
  <c r="AA50" i="9" s="1"/>
  <c r="AE50" i="9" s="1"/>
  <c r="ET46" i="12"/>
  <c r="EQ47" i="12"/>
  <c r="ES47" i="12"/>
  <c r="ER47" i="12"/>
  <c r="M49" i="12"/>
  <c r="P49" i="12" s="1"/>
  <c r="Q49" i="12" s="1"/>
  <c r="DH46" i="12"/>
  <c r="FJ47" i="12"/>
  <c r="FL47" i="12"/>
  <c r="FK47" i="12"/>
  <c r="DD48" i="9"/>
  <c r="DF48" i="9"/>
  <c r="DG48" i="9"/>
  <c r="DE48" i="9"/>
  <c r="K51" i="9" a="1"/>
  <c r="K51" i="9" s="1"/>
  <c r="O51" i="9" a="1"/>
  <c r="O51" i="9" s="1"/>
  <c r="N51" i="9" a="1"/>
  <c r="N51" i="9" s="1"/>
  <c r="G51" i="9" a="1"/>
  <c r="G51" i="9" s="1"/>
  <c r="J51" i="9" a="1"/>
  <c r="J51" i="9" s="1"/>
  <c r="L51" i="9" a="1"/>
  <c r="L51" i="9" s="1"/>
  <c r="H51" i="9" a="1"/>
  <c r="H51" i="9" s="1"/>
  <c r="D52" i="9"/>
  <c r="M50" i="9"/>
  <c r="P50" i="9" s="1"/>
  <c r="Q50" i="9" s="1"/>
  <c r="CH49" i="9"/>
  <c r="AU49" i="9"/>
  <c r="AW49" i="9" s="1"/>
  <c r="CG49" i="9"/>
  <c r="CI49" i="9" s="1"/>
  <c r="AV49" i="9"/>
  <c r="BN49" i="9"/>
  <c r="BP49" i="9" s="1"/>
  <c r="FF49" i="9"/>
  <c r="BO49" i="9"/>
  <c r="FE49" i="9"/>
  <c r="FG49" i="9" s="1"/>
  <c r="EM49" i="9"/>
  <c r="DA49" i="9"/>
  <c r="AC49" i="9"/>
  <c r="EL49" i="9"/>
  <c r="EN49" i="9" s="1"/>
  <c r="CZ49" i="9"/>
  <c r="DB49" i="9" s="1"/>
  <c r="AB49" i="9"/>
  <c r="AD49" i="9" s="1"/>
  <c r="DS49" i="9"/>
  <c r="DU49" i="9" s="1"/>
  <c r="DT49" i="9"/>
  <c r="AH48" i="9"/>
  <c r="AF48" i="9"/>
  <c r="AG48" i="9"/>
  <c r="AI48" i="9"/>
  <c r="BS48" i="9"/>
  <c r="BR48" i="9"/>
  <c r="BU48" i="9"/>
  <c r="BT48" i="9"/>
  <c r="G50" i="12" a="1"/>
  <c r="G50" i="12" s="1"/>
  <c r="J50" i="12" a="1"/>
  <c r="J50" i="12" s="1"/>
  <c r="L50" i="12" a="1"/>
  <c r="L50" i="12" s="1"/>
  <c r="O50" i="12" a="1"/>
  <c r="O50" i="12" s="1"/>
  <c r="H50" i="12" a="1"/>
  <c r="H50" i="12" s="1"/>
  <c r="N50" i="12" a="1"/>
  <c r="N50" i="12" s="1"/>
  <c r="K50" i="12" a="1"/>
  <c r="K50" i="12" s="1"/>
  <c r="D51" i="12"/>
  <c r="DX47" i="12"/>
  <c r="DZ47" i="12"/>
  <c r="DY47" i="12"/>
  <c r="ES48" i="9"/>
  <c r="EP48" i="9"/>
  <c r="ET48" i="9" s="1"/>
  <c r="EQ48" i="9"/>
  <c r="ER48" i="9"/>
  <c r="AY48" i="9"/>
  <c r="AZ48" i="9"/>
  <c r="BA48" i="9"/>
  <c r="BB48" i="9"/>
  <c r="CO47" i="12" l="1"/>
  <c r="EA48" i="9"/>
  <c r="CO48" i="9"/>
  <c r="DH48" i="9"/>
  <c r="BV48" i="9"/>
  <c r="FM48" i="9"/>
  <c r="AJ48" i="9"/>
  <c r="BC48" i="9"/>
  <c r="FM47" i="12"/>
  <c r="BV47" i="12"/>
  <c r="BC47" i="12"/>
  <c r="ET47" i="12"/>
  <c r="DH47" i="12"/>
  <c r="AJ47" i="12"/>
  <c r="EP49" i="12"/>
  <c r="FE49" i="12"/>
  <c r="FG49" i="12" s="1"/>
  <c r="FF49" i="12"/>
  <c r="CK49" i="12"/>
  <c r="DD49" i="12"/>
  <c r="AB49" i="12"/>
  <c r="AD49" i="12" s="1"/>
  <c r="AC49" i="12"/>
  <c r="BN49" i="12"/>
  <c r="BP49" i="12" s="1"/>
  <c r="BO49" i="12"/>
  <c r="AY49" i="12"/>
  <c r="AF49" i="12"/>
  <c r="CZ49" i="12"/>
  <c r="DB49" i="12" s="1"/>
  <c r="CH49" i="12"/>
  <c r="DA49" i="12"/>
  <c r="EM49" i="12"/>
  <c r="FI49" i="12"/>
  <c r="DS49" i="12"/>
  <c r="DU49" i="12" s="1"/>
  <c r="CG49" i="12"/>
  <c r="CI49" i="12" s="1"/>
  <c r="BR49" i="12"/>
  <c r="EL49" i="12"/>
  <c r="EN49" i="12" s="1"/>
  <c r="DW49" i="12"/>
  <c r="DT49" i="12"/>
  <c r="AU49" i="12"/>
  <c r="AW49" i="12" s="1"/>
  <c r="AV49" i="12"/>
  <c r="FF50" i="9"/>
  <c r="FE50" i="9"/>
  <c r="FG50" i="9" s="1"/>
  <c r="BO50" i="9"/>
  <c r="CH50" i="9"/>
  <c r="AV50" i="9"/>
  <c r="CG50" i="9"/>
  <c r="CI50" i="9" s="1"/>
  <c r="BN50" i="9"/>
  <c r="BP50" i="9" s="1"/>
  <c r="AU50" i="9"/>
  <c r="AW50" i="9" s="1"/>
  <c r="AC50" i="9"/>
  <c r="DA50" i="9"/>
  <c r="CZ50" i="9"/>
  <c r="DB50" i="9" s="1"/>
  <c r="EM50" i="9"/>
  <c r="EL50" i="9"/>
  <c r="EN50" i="9" s="1"/>
  <c r="AB50" i="9"/>
  <c r="AD50" i="9" s="1"/>
  <c r="DT50" i="9"/>
  <c r="DS50" i="9"/>
  <c r="DU50" i="9" s="1"/>
  <c r="I52" i="9"/>
  <c r="CE51" i="9"/>
  <c r="CF51" i="9" s="1"/>
  <c r="CJ51" i="9" s="1"/>
  <c r="Z51" i="9"/>
  <c r="AA51" i="9" s="1"/>
  <c r="AE51" i="9" s="1"/>
  <c r="FC51" i="9"/>
  <c r="FD51" i="9" s="1"/>
  <c r="FH51" i="9" s="1"/>
  <c r="BL51" i="9"/>
  <c r="BM51" i="9" s="1"/>
  <c r="BQ51" i="9" s="1"/>
  <c r="DQ51" i="9"/>
  <c r="DR51" i="9" s="1"/>
  <c r="DV51" i="9" s="1"/>
  <c r="AS51" i="9"/>
  <c r="AT51" i="9" s="1"/>
  <c r="AX51" i="9" s="1"/>
  <c r="CX51" i="9"/>
  <c r="CY51" i="9" s="1"/>
  <c r="DC51" i="9" s="1"/>
  <c r="EJ51" i="9"/>
  <c r="EK51" i="9" s="1"/>
  <c r="EO51" i="9" s="1"/>
  <c r="BS48" i="12"/>
  <c r="BU48" i="12"/>
  <c r="BT48" i="12"/>
  <c r="FI49" i="9"/>
  <c r="FJ49" i="9"/>
  <c r="FL49" i="9"/>
  <c r="FK49" i="9"/>
  <c r="DY49" i="9"/>
  <c r="DW49" i="9"/>
  <c r="DX49" i="9"/>
  <c r="DZ49" i="9"/>
  <c r="L52" i="9" a="1"/>
  <c r="L52" i="9" s="1"/>
  <c r="K52" i="9" a="1"/>
  <c r="K52" i="9" s="1"/>
  <c r="J52" i="9" a="1"/>
  <c r="J52" i="9" s="1"/>
  <c r="N52" i="9" a="1"/>
  <c r="N52" i="9" s="1"/>
  <c r="H52" i="9" a="1"/>
  <c r="H52" i="9" s="1"/>
  <c r="G52" i="9" a="1"/>
  <c r="G52" i="9" s="1"/>
  <c r="O52" i="9" a="1"/>
  <c r="O52" i="9" s="1"/>
  <c r="D53" i="9"/>
  <c r="AZ48" i="12"/>
  <c r="BB48" i="12"/>
  <c r="BA48" i="12"/>
  <c r="AH48" i="12"/>
  <c r="AI48" i="12"/>
  <c r="AG48" i="12"/>
  <c r="AI49" i="9"/>
  <c r="AG49" i="9"/>
  <c r="AF49" i="9"/>
  <c r="AH49" i="9"/>
  <c r="DE48" i="12"/>
  <c r="DG48" i="12"/>
  <c r="DF48" i="12"/>
  <c r="BU49" i="9"/>
  <c r="BT49" i="9"/>
  <c r="BS49" i="9"/>
  <c r="BR49" i="9"/>
  <c r="M51" i="9"/>
  <c r="P51" i="9" s="1"/>
  <c r="Q51" i="9" s="1"/>
  <c r="DF49" i="9"/>
  <c r="DE49" i="9"/>
  <c r="DG49" i="9"/>
  <c r="DD49" i="9"/>
  <c r="DH49" i="9" s="1"/>
  <c r="EA47" i="12"/>
  <c r="ES49" i="9"/>
  <c r="ER49" i="9"/>
  <c r="EQ49" i="9"/>
  <c r="EP49" i="9"/>
  <c r="M50" i="12"/>
  <c r="P50" i="12" s="1"/>
  <c r="Q50" i="12" s="1"/>
  <c r="CN49" i="9"/>
  <c r="CM49" i="9"/>
  <c r="CL49" i="9"/>
  <c r="CK49" i="9"/>
  <c r="CL48" i="12"/>
  <c r="CN48" i="12"/>
  <c r="CM48" i="12"/>
  <c r="FJ48" i="12"/>
  <c r="FL48" i="12"/>
  <c r="FK48" i="12"/>
  <c r="AY49" i="9"/>
  <c r="BA49" i="9"/>
  <c r="BB49" i="9"/>
  <c r="AZ49" i="9"/>
  <c r="DX48" i="12"/>
  <c r="DZ48" i="12"/>
  <c r="DY48" i="12"/>
  <c r="J51" i="12" a="1"/>
  <c r="J51" i="12" s="1"/>
  <c r="O51" i="12" a="1"/>
  <c r="O51" i="12" s="1"/>
  <c r="L51" i="12" a="1"/>
  <c r="L51" i="12" s="1"/>
  <c r="K51" i="12" a="1"/>
  <c r="K51" i="12" s="1"/>
  <c r="H51" i="12" a="1"/>
  <c r="H51" i="12" s="1"/>
  <c r="N51" i="12" a="1"/>
  <c r="N51" i="12" s="1"/>
  <c r="G51" i="12" a="1"/>
  <c r="G51" i="12" s="1"/>
  <c r="D52" i="12"/>
  <c r="EQ48" i="12"/>
  <c r="ES48" i="12"/>
  <c r="ER48" i="12"/>
  <c r="EA49" i="9" l="1"/>
  <c r="ET49" i="9"/>
  <c r="CO49" i="9"/>
  <c r="BC49" i="9"/>
  <c r="AJ49" i="9"/>
  <c r="FM49" i="9"/>
  <c r="BV49" i="9"/>
  <c r="BV48" i="12"/>
  <c r="FM48" i="12"/>
  <c r="AJ48" i="12"/>
  <c r="DH48" i="12"/>
  <c r="BC48" i="12"/>
  <c r="M51" i="12"/>
  <c r="EA48" i="12"/>
  <c r="CO48" i="12"/>
  <c r="FE50" i="12"/>
  <c r="FG50" i="12" s="1"/>
  <c r="EP50" i="12"/>
  <c r="FF50" i="12"/>
  <c r="DD50" i="12"/>
  <c r="CK50" i="12"/>
  <c r="BO50" i="12"/>
  <c r="BN50" i="12"/>
  <c r="BP50" i="12" s="1"/>
  <c r="AB50" i="12"/>
  <c r="AD50" i="12" s="1"/>
  <c r="AC50" i="12"/>
  <c r="EM50" i="12"/>
  <c r="BR50" i="12"/>
  <c r="EL50" i="12"/>
  <c r="EN50" i="12" s="1"/>
  <c r="DT50" i="12"/>
  <c r="FI50" i="12"/>
  <c r="CG50" i="12"/>
  <c r="CI50" i="12" s="1"/>
  <c r="DA50" i="12"/>
  <c r="AY50" i="12"/>
  <c r="DW50" i="12"/>
  <c r="CH50" i="12"/>
  <c r="DS50" i="12"/>
  <c r="DU50" i="12" s="1"/>
  <c r="CZ50" i="12"/>
  <c r="DB50" i="12" s="1"/>
  <c r="AF50" i="12"/>
  <c r="AV50" i="12"/>
  <c r="AU50" i="12"/>
  <c r="AW50" i="12" s="1"/>
  <c r="AV51" i="9"/>
  <c r="CH51" i="9"/>
  <c r="BN51" i="9"/>
  <c r="BP51" i="9" s="1"/>
  <c r="AU51" i="9"/>
  <c r="AW51" i="9" s="1"/>
  <c r="CG51" i="9"/>
  <c r="CI51" i="9" s="1"/>
  <c r="BO51" i="9"/>
  <c r="FF51" i="9"/>
  <c r="FE51" i="9"/>
  <c r="FG51" i="9" s="1"/>
  <c r="AB51" i="9"/>
  <c r="AD51" i="9" s="1"/>
  <c r="EM51" i="9"/>
  <c r="EL51" i="9"/>
  <c r="EN51" i="9" s="1"/>
  <c r="DA51" i="9"/>
  <c r="CZ51" i="9"/>
  <c r="DB51" i="9" s="1"/>
  <c r="AC51" i="9"/>
  <c r="DS51" i="9"/>
  <c r="DU51" i="9" s="1"/>
  <c r="DT51" i="9"/>
  <c r="BS49" i="12"/>
  <c r="BU49" i="12"/>
  <c r="BT49" i="12"/>
  <c r="BS50" i="9"/>
  <c r="BT50" i="9"/>
  <c r="BR50" i="9"/>
  <c r="BU50" i="9"/>
  <c r="BB49" i="12"/>
  <c r="AZ49" i="12"/>
  <c r="BA49" i="12"/>
  <c r="AG50" i="9"/>
  <c r="AH50" i="9"/>
  <c r="AI50" i="9"/>
  <c r="AF50" i="9"/>
  <c r="CM50" i="9"/>
  <c r="CL50" i="9"/>
  <c r="CN50" i="9"/>
  <c r="CK50" i="9"/>
  <c r="AG49" i="12"/>
  <c r="AI49" i="12"/>
  <c r="AH49" i="12"/>
  <c r="K52" i="12" a="1"/>
  <c r="K52" i="12" s="1"/>
  <c r="H52" i="12" a="1"/>
  <c r="H52" i="12" s="1"/>
  <c r="N52" i="12" a="1"/>
  <c r="N52" i="12" s="1"/>
  <c r="J52" i="12" a="1"/>
  <c r="J52" i="12" s="1"/>
  <c r="O52" i="12" a="1"/>
  <c r="O52" i="12" s="1"/>
  <c r="G52" i="12" a="1"/>
  <c r="G52" i="12" s="1"/>
  <c r="L52" i="12" a="1"/>
  <c r="L52" i="12" s="1"/>
  <c r="D53" i="12"/>
  <c r="P51" i="12"/>
  <c r="Q51" i="12" s="1"/>
  <c r="L53" i="9" a="1"/>
  <c r="L53" i="9" s="1"/>
  <c r="G53" i="9" a="1"/>
  <c r="G53" i="9" s="1"/>
  <c r="N53" i="9" a="1"/>
  <c r="N53" i="9" s="1"/>
  <c r="O53" i="9" a="1"/>
  <c r="O53" i="9" s="1"/>
  <c r="K53" i="9" a="1"/>
  <c r="K53" i="9" s="1"/>
  <c r="H53" i="9" a="1"/>
  <c r="H53" i="9" s="1"/>
  <c r="J53" i="9" a="1"/>
  <c r="J53" i="9" s="1"/>
  <c r="D54" i="9"/>
  <c r="ER50" i="9"/>
  <c r="EQ50" i="9"/>
  <c r="EP50" i="9"/>
  <c r="ET50" i="9" s="1"/>
  <c r="ES50" i="9"/>
  <c r="BA50" i="9"/>
  <c r="BB50" i="9"/>
  <c r="AZ50" i="9"/>
  <c r="AY50" i="9"/>
  <c r="EQ49" i="12"/>
  <c r="ER49" i="12"/>
  <c r="ES49" i="12"/>
  <c r="DE49" i="12"/>
  <c r="DG49" i="12"/>
  <c r="DF49" i="12"/>
  <c r="DZ50" i="9"/>
  <c r="DY50" i="9"/>
  <c r="DX50" i="9"/>
  <c r="DW50" i="9"/>
  <c r="ET48" i="12"/>
  <c r="DF50" i="9"/>
  <c r="DD50" i="9"/>
  <c r="DH50" i="9" s="1"/>
  <c r="DG50" i="9"/>
  <c r="DE50" i="9"/>
  <c r="FK50" i="9"/>
  <c r="FL50" i="9"/>
  <c r="FJ50" i="9"/>
  <c r="FI50" i="9"/>
  <c r="CL49" i="12"/>
  <c r="CN49" i="12"/>
  <c r="CM49" i="12"/>
  <c r="FJ49" i="12"/>
  <c r="FL49" i="12"/>
  <c r="FK49" i="12"/>
  <c r="M52" i="9"/>
  <c r="P52" i="9" s="1"/>
  <c r="Q52" i="9" s="1"/>
  <c r="I53" i="9"/>
  <c r="EJ52" i="9"/>
  <c r="EK52" i="9" s="1"/>
  <c r="EO52" i="9" s="1"/>
  <c r="CE52" i="9"/>
  <c r="CF52" i="9" s="1"/>
  <c r="CJ52" i="9" s="1"/>
  <c r="Z52" i="9"/>
  <c r="AA52" i="9" s="1"/>
  <c r="AE52" i="9" s="1"/>
  <c r="AS52" i="9"/>
  <c r="AT52" i="9" s="1"/>
  <c r="AX52" i="9" s="1"/>
  <c r="BL52" i="9"/>
  <c r="BM52" i="9" s="1"/>
  <c r="BQ52" i="9" s="1"/>
  <c r="DQ52" i="9"/>
  <c r="DR52" i="9" s="1"/>
  <c r="DV52" i="9" s="1"/>
  <c r="FC52" i="9"/>
  <c r="FD52" i="9" s="1"/>
  <c r="FH52" i="9" s="1"/>
  <c r="CX52" i="9"/>
  <c r="CY52" i="9" s="1"/>
  <c r="DC52" i="9" s="1"/>
  <c r="DX49" i="12"/>
  <c r="DZ49" i="12"/>
  <c r="DY49" i="12"/>
  <c r="EA50" i="9" l="1"/>
  <c r="BV50" i="9"/>
  <c r="CO50" i="9"/>
  <c r="FM50" i="9"/>
  <c r="AJ50" i="9"/>
  <c r="BC50" i="9"/>
  <c r="M52" i="12"/>
  <c r="P52" i="12" s="1"/>
  <c r="Q52" i="12" s="1"/>
  <c r="BC49" i="12"/>
  <c r="ET49" i="12"/>
  <c r="AJ49" i="12"/>
  <c r="FM49" i="12"/>
  <c r="EA49" i="12"/>
  <c r="BV49" i="12"/>
  <c r="M53" i="9"/>
  <c r="P53" i="9" s="1"/>
  <c r="Q53" i="9" s="1"/>
  <c r="CG52" i="9"/>
  <c r="CI52" i="9" s="1"/>
  <c r="BN52" i="9"/>
  <c r="BP52" i="9" s="1"/>
  <c r="AU52" i="9"/>
  <c r="AW52" i="9" s="1"/>
  <c r="AV52" i="9"/>
  <c r="BO52" i="9"/>
  <c r="FF52" i="9"/>
  <c r="FE52" i="9"/>
  <c r="FG52" i="9" s="1"/>
  <c r="CH52" i="9"/>
  <c r="EM52" i="9"/>
  <c r="AC52" i="9"/>
  <c r="EL52" i="9"/>
  <c r="EN52" i="9" s="1"/>
  <c r="AB52" i="9"/>
  <c r="AD52" i="9" s="1"/>
  <c r="DA52" i="9"/>
  <c r="CZ52" i="9"/>
  <c r="DB52" i="9" s="1"/>
  <c r="DS52" i="9"/>
  <c r="DU52" i="9" s="1"/>
  <c r="DT52" i="9"/>
  <c r="AH50" i="12"/>
  <c r="AG50" i="12"/>
  <c r="AI50" i="12"/>
  <c r="DY51" i="9"/>
  <c r="DX51" i="9"/>
  <c r="DW51" i="9"/>
  <c r="DZ51" i="9"/>
  <c r="CL50" i="12"/>
  <c r="CN50" i="12"/>
  <c r="CM50" i="12"/>
  <c r="BS50" i="12"/>
  <c r="BT50" i="12"/>
  <c r="BU50" i="12"/>
  <c r="FK51" i="9"/>
  <c r="FL51" i="9"/>
  <c r="FI51" i="9"/>
  <c r="FJ51" i="9"/>
  <c r="FE51" i="12"/>
  <c r="FG51" i="12" s="1"/>
  <c r="EP51" i="12"/>
  <c r="FF51" i="12"/>
  <c r="CK51" i="12"/>
  <c r="DD51" i="12"/>
  <c r="AB51" i="12"/>
  <c r="AD51" i="12" s="1"/>
  <c r="BN51" i="12"/>
  <c r="BP51" i="12" s="1"/>
  <c r="AC51" i="12"/>
  <c r="BO51" i="12"/>
  <c r="CG51" i="12"/>
  <c r="CI51" i="12" s="1"/>
  <c r="DW51" i="12"/>
  <c r="CZ51" i="12"/>
  <c r="DB51" i="12" s="1"/>
  <c r="BR51" i="12"/>
  <c r="AF51" i="12"/>
  <c r="FI51" i="12"/>
  <c r="EM51" i="12"/>
  <c r="CH51" i="12"/>
  <c r="AY51" i="12"/>
  <c r="EL51" i="12"/>
  <c r="EN51" i="12" s="1"/>
  <c r="DS51" i="12"/>
  <c r="DU51" i="12" s="1"/>
  <c r="DT51" i="12"/>
  <c r="DA51" i="12"/>
  <c r="AU51" i="12"/>
  <c r="AW51" i="12" s="1"/>
  <c r="AV51" i="12"/>
  <c r="H54" i="9" a="1"/>
  <c r="H54" i="9" s="1"/>
  <c r="K54" i="9" a="1"/>
  <c r="K54" i="9" s="1"/>
  <c r="J54" i="9" a="1"/>
  <c r="J54" i="9" s="1"/>
  <c r="G54" i="9" a="1"/>
  <c r="G54" i="9" s="1"/>
  <c r="O54" i="9" a="1"/>
  <c r="O54" i="9" s="1"/>
  <c r="N54" i="9" a="1"/>
  <c r="N54" i="9" s="1"/>
  <c r="D55" i="9"/>
  <c r="L54" i="9" a="1"/>
  <c r="L54" i="9" s="1"/>
  <c r="J53" i="12" a="1"/>
  <c r="J53" i="12" s="1"/>
  <c r="L53" i="12" a="1"/>
  <c r="L53" i="12" s="1"/>
  <c r="K53" i="12" a="1"/>
  <c r="K53" i="12" s="1"/>
  <c r="O53" i="12" a="1"/>
  <c r="O53" i="12" s="1"/>
  <c r="G53" i="12" a="1"/>
  <c r="G53" i="12" s="1"/>
  <c r="H53" i="12" a="1"/>
  <c r="H53" i="12" s="1"/>
  <c r="N53" i="12" a="1"/>
  <c r="N53" i="12" s="1"/>
  <c r="D54" i="12"/>
  <c r="DE51" i="9"/>
  <c r="DG51" i="9"/>
  <c r="DD51" i="9"/>
  <c r="DF51" i="9"/>
  <c r="CN51" i="9"/>
  <c r="CL51" i="9"/>
  <c r="CK51" i="9"/>
  <c r="CM51" i="9"/>
  <c r="DE50" i="12"/>
  <c r="DG50" i="12"/>
  <c r="DF50" i="12"/>
  <c r="AZ50" i="12"/>
  <c r="BB50" i="12"/>
  <c r="BA50" i="12"/>
  <c r="BA51" i="9"/>
  <c r="AZ51" i="9"/>
  <c r="BB51" i="9"/>
  <c r="AY51" i="9"/>
  <c r="DX50" i="12"/>
  <c r="DZ50" i="12"/>
  <c r="DY50" i="12"/>
  <c r="EQ50" i="12"/>
  <c r="ES50" i="12"/>
  <c r="ER50" i="12"/>
  <c r="I54" i="9"/>
  <c r="EJ53" i="9"/>
  <c r="EK53" i="9" s="1"/>
  <c r="EO53" i="9" s="1"/>
  <c r="Z53" i="9"/>
  <c r="AA53" i="9" s="1"/>
  <c r="AE53" i="9" s="1"/>
  <c r="CE53" i="9"/>
  <c r="CF53" i="9" s="1"/>
  <c r="CJ53" i="9" s="1"/>
  <c r="BL53" i="9"/>
  <c r="BM53" i="9" s="1"/>
  <c r="BQ53" i="9" s="1"/>
  <c r="CX53" i="9"/>
  <c r="CY53" i="9" s="1"/>
  <c r="DC53" i="9" s="1"/>
  <c r="DQ53" i="9"/>
  <c r="DR53" i="9" s="1"/>
  <c r="DV53" i="9" s="1"/>
  <c r="AS53" i="9"/>
  <c r="AT53" i="9" s="1"/>
  <c r="AX53" i="9" s="1"/>
  <c r="FC53" i="9"/>
  <c r="FD53" i="9" s="1"/>
  <c r="FH53" i="9" s="1"/>
  <c r="DH49" i="12"/>
  <c r="ER51" i="9"/>
  <c r="ES51" i="9"/>
  <c r="EQ51" i="9"/>
  <c r="EP51" i="9"/>
  <c r="ET51" i="9" s="1"/>
  <c r="BU51" i="9"/>
  <c r="BS51" i="9"/>
  <c r="BR51" i="9"/>
  <c r="BV51" i="9" s="1"/>
  <c r="BT51" i="9"/>
  <c r="CO49" i="12"/>
  <c r="AG51" i="9"/>
  <c r="AH51" i="9"/>
  <c r="AI51" i="9"/>
  <c r="AF51" i="9"/>
  <c r="FJ50" i="12"/>
  <c r="FL50" i="12"/>
  <c r="FK50" i="12"/>
  <c r="CO51" i="9" l="1"/>
  <c r="EA51" i="9"/>
  <c r="DH51" i="9"/>
  <c r="AJ51" i="9"/>
  <c r="BC51" i="9"/>
  <c r="FM51" i="9"/>
  <c r="FF52" i="12"/>
  <c r="AF52" i="12"/>
  <c r="AC52" i="12"/>
  <c r="CH52" i="12"/>
  <c r="FE52" i="12"/>
  <c r="FG52" i="12" s="1"/>
  <c r="FJ52" i="12" s="1"/>
  <c r="AJ50" i="12"/>
  <c r="AU52" i="12"/>
  <c r="AW52" i="12" s="1"/>
  <c r="AZ52" i="12" s="1"/>
  <c r="BN52" i="12"/>
  <c r="BP52" i="12" s="1"/>
  <c r="BS52" i="12" s="1"/>
  <c r="AB52" i="12"/>
  <c r="AD52" i="12" s="1"/>
  <c r="AI52" i="12" s="1"/>
  <c r="BR52" i="12"/>
  <c r="DD52" i="12"/>
  <c r="DT52" i="12"/>
  <c r="DA52" i="12"/>
  <c r="CK52" i="12"/>
  <c r="EL52" i="12"/>
  <c r="EN52" i="12" s="1"/>
  <c r="ER52" i="12" s="1"/>
  <c r="DW52" i="12"/>
  <c r="AY52" i="12"/>
  <c r="CG52" i="12"/>
  <c r="CI52" i="12" s="1"/>
  <c r="CL52" i="12" s="1"/>
  <c r="EP52" i="12"/>
  <c r="BV50" i="12"/>
  <c r="EA50" i="12"/>
  <c r="DH50" i="12"/>
  <c r="DS52" i="12"/>
  <c r="DU52" i="12" s="1"/>
  <c r="DX52" i="12" s="1"/>
  <c r="BN53" i="9"/>
  <c r="BP53" i="9" s="1"/>
  <c r="BT53" i="9" s="1"/>
  <c r="CZ53" i="9"/>
  <c r="DB53" i="9" s="1"/>
  <c r="DG53" i="9" s="1"/>
  <c r="EL53" i="9"/>
  <c r="EN53" i="9" s="1"/>
  <c r="ER53" i="9" s="1"/>
  <c r="CH53" i="9"/>
  <c r="AV53" i="9"/>
  <c r="AU53" i="9"/>
  <c r="AW53" i="9" s="1"/>
  <c r="BB53" i="9" s="1"/>
  <c r="DT53" i="9"/>
  <c r="FF53" i="9"/>
  <c r="BO53" i="9"/>
  <c r="DS53" i="9"/>
  <c r="DU53" i="9" s="1"/>
  <c r="DY53" i="9" s="1"/>
  <c r="CG53" i="9"/>
  <c r="CI53" i="9" s="1"/>
  <c r="CN53" i="9" s="1"/>
  <c r="DA53" i="9"/>
  <c r="FE53" i="9"/>
  <c r="FG53" i="9" s="1"/>
  <c r="FJ53" i="9" s="1"/>
  <c r="EM53" i="9"/>
  <c r="AC53" i="9"/>
  <c r="AB53" i="9"/>
  <c r="AD53" i="9" s="1"/>
  <c r="AI53" i="9" s="1"/>
  <c r="CZ52" i="12"/>
  <c r="DB52" i="12" s="1"/>
  <c r="DE52" i="12" s="1"/>
  <c r="EM52" i="12"/>
  <c r="CO50" i="12"/>
  <c r="BC50" i="12"/>
  <c r="FM50" i="12"/>
  <c r="AG51" i="12"/>
  <c r="AI51" i="12"/>
  <c r="AH51" i="12"/>
  <c r="DX52" i="9"/>
  <c r="DW52" i="9"/>
  <c r="DY52" i="9"/>
  <c r="DZ52" i="9"/>
  <c r="FL52" i="9"/>
  <c r="FK52" i="9"/>
  <c r="FJ52" i="9"/>
  <c r="FI52" i="9"/>
  <c r="FL52" i="12"/>
  <c r="M54" i="9"/>
  <c r="P54" i="9" s="1"/>
  <c r="Q54" i="9" s="1"/>
  <c r="DE52" i="9"/>
  <c r="DG52" i="9"/>
  <c r="DD52" i="9"/>
  <c r="DF52" i="9"/>
  <c r="BB51" i="12"/>
  <c r="AZ51" i="12"/>
  <c r="BA51" i="12"/>
  <c r="AV52" i="12"/>
  <c r="FI52" i="12"/>
  <c r="DX51" i="12"/>
  <c r="DY51" i="12"/>
  <c r="DZ51" i="12"/>
  <c r="DE51" i="12"/>
  <c r="DG51" i="12"/>
  <c r="DF51" i="12"/>
  <c r="N55" i="9" a="1"/>
  <c r="N55" i="9" s="1"/>
  <c r="J55" i="9" a="1"/>
  <c r="J55" i="9" s="1"/>
  <c r="L55" i="9" a="1"/>
  <c r="L55" i="9" s="1"/>
  <c r="H55" i="9" a="1"/>
  <c r="H55" i="9" s="1"/>
  <c r="G55" i="9" a="1"/>
  <c r="G55" i="9" s="1"/>
  <c r="O55" i="9" a="1"/>
  <c r="O55" i="9" s="1"/>
  <c r="K55" i="9" a="1"/>
  <c r="K55" i="9" s="1"/>
  <c r="D56" i="9"/>
  <c r="BS51" i="12"/>
  <c r="BU51" i="12"/>
  <c r="BT51" i="12"/>
  <c r="BO52" i="12"/>
  <c r="I55" i="9"/>
  <c r="DQ54" i="9"/>
  <c r="DR54" i="9" s="1"/>
  <c r="DV54" i="9" s="1"/>
  <c r="CE54" i="9"/>
  <c r="CF54" i="9" s="1"/>
  <c r="CJ54" i="9" s="1"/>
  <c r="Z54" i="9"/>
  <c r="AA54" i="9" s="1"/>
  <c r="AE54" i="9" s="1"/>
  <c r="FC54" i="9"/>
  <c r="FD54" i="9" s="1"/>
  <c r="FH54" i="9" s="1"/>
  <c r="EJ54" i="9"/>
  <c r="EK54" i="9" s="1"/>
  <c r="EO54" i="9" s="1"/>
  <c r="BL54" i="9"/>
  <c r="BM54" i="9" s="1"/>
  <c r="BQ54" i="9" s="1"/>
  <c r="AS54" i="9"/>
  <c r="AT54" i="9" s="1"/>
  <c r="AX54" i="9" s="1"/>
  <c r="CX54" i="9"/>
  <c r="CY54" i="9" s="1"/>
  <c r="DC54" i="9" s="1"/>
  <c r="EQ51" i="12"/>
  <c r="ES51" i="12"/>
  <c r="ER51" i="12"/>
  <c r="AG52" i="9"/>
  <c r="AF52" i="9"/>
  <c r="AH52" i="9"/>
  <c r="AI52" i="9"/>
  <c r="EQ52" i="12"/>
  <c r="ET50" i="12"/>
  <c r="M53" i="12"/>
  <c r="P53" i="12" s="1"/>
  <c r="Q53" i="12" s="1"/>
  <c r="CN51" i="12"/>
  <c r="CM51" i="12"/>
  <c r="CL51" i="12"/>
  <c r="EP52" i="9"/>
  <c r="ES52" i="9"/>
  <c r="EQ52" i="9"/>
  <c r="ER52" i="9"/>
  <c r="BB52" i="9"/>
  <c r="AZ52" i="9"/>
  <c r="BA52" i="9"/>
  <c r="AY52" i="9"/>
  <c r="FI53" i="9"/>
  <c r="DY52" i="12"/>
  <c r="G54" i="12" a="1"/>
  <c r="G54" i="12" s="1"/>
  <c r="L54" i="12" a="1"/>
  <c r="L54" i="12" s="1"/>
  <c r="J54" i="12" a="1"/>
  <c r="J54" i="12" s="1"/>
  <c r="H54" i="12" a="1"/>
  <c r="H54" i="12" s="1"/>
  <c r="O54" i="12" a="1"/>
  <c r="O54" i="12" s="1"/>
  <c r="N54" i="12" a="1"/>
  <c r="N54" i="12" s="1"/>
  <c r="K54" i="12" a="1"/>
  <c r="K54" i="12" s="1"/>
  <c r="D55" i="12"/>
  <c r="FJ51" i="12"/>
  <c r="FL51" i="12"/>
  <c r="FK51" i="12"/>
  <c r="BS52" i="9"/>
  <c r="BR52" i="9"/>
  <c r="BV52" i="9" s="1"/>
  <c r="BT52" i="9"/>
  <c r="BU52" i="9"/>
  <c r="CL52" i="9"/>
  <c r="CK52" i="9"/>
  <c r="CN52" i="9"/>
  <c r="CM52" i="9"/>
  <c r="CN52" i="12" l="1"/>
  <c r="EP53" i="9"/>
  <c r="ET52" i="9"/>
  <c r="CM52" i="12"/>
  <c r="ES53" i="9"/>
  <c r="EA52" i="9"/>
  <c r="FM52" i="9"/>
  <c r="FM53" i="9" s="1"/>
  <c r="DH52" i="9"/>
  <c r="CO52" i="9"/>
  <c r="AY53" i="9"/>
  <c r="BC52" i="9"/>
  <c r="AJ52" i="9"/>
  <c r="AZ53" i="9"/>
  <c r="BT52" i="12"/>
  <c r="BU52" i="12"/>
  <c r="DF52" i="12"/>
  <c r="DH52" i="12" s="1"/>
  <c r="FK52" i="12"/>
  <c r="DG52" i="12"/>
  <c r="BA52" i="12"/>
  <c r="EQ53" i="9"/>
  <c r="ET53" i="9" s="1"/>
  <c r="BB52" i="12"/>
  <c r="AG52" i="12"/>
  <c r="AH52" i="12"/>
  <c r="FK53" i="9"/>
  <c r="FL53" i="9"/>
  <c r="M54" i="12"/>
  <c r="P54" i="12" s="1"/>
  <c r="Q54" i="12" s="1"/>
  <c r="ES52" i="12"/>
  <c r="ET52" i="12" s="1"/>
  <c r="DZ52" i="12"/>
  <c r="EA52" i="12" s="1"/>
  <c r="EA51" i="12"/>
  <c r="ET51" i="12"/>
  <c r="BC51" i="12"/>
  <c r="DE53" i="9"/>
  <c r="BS53" i="9"/>
  <c r="DX53" i="9"/>
  <c r="DD53" i="9"/>
  <c r="BR53" i="9"/>
  <c r="DF53" i="9"/>
  <c r="BU53" i="9"/>
  <c r="DZ53" i="9"/>
  <c r="DW53" i="9"/>
  <c r="EA53" i="9" s="1"/>
  <c r="BA53" i="9"/>
  <c r="CK53" i="9"/>
  <c r="CL53" i="9"/>
  <c r="CM53" i="9"/>
  <c r="AF53" i="9"/>
  <c r="AG53" i="9"/>
  <c r="BV51" i="12"/>
  <c r="AH53" i="9"/>
  <c r="FM52" i="12"/>
  <c r="AJ51" i="12"/>
  <c r="FM51" i="12"/>
  <c r="FF54" i="9"/>
  <c r="FE54" i="9"/>
  <c r="FG54" i="9" s="1"/>
  <c r="BO54" i="9"/>
  <c r="AU54" i="9"/>
  <c r="AW54" i="9" s="1"/>
  <c r="AV54" i="9"/>
  <c r="BN54" i="9"/>
  <c r="BP54" i="9" s="1"/>
  <c r="CH54" i="9"/>
  <c r="CG54" i="9"/>
  <c r="CI54" i="9" s="1"/>
  <c r="DA54" i="9"/>
  <c r="AB54" i="9"/>
  <c r="AD54" i="9" s="1"/>
  <c r="AC54" i="9"/>
  <c r="EL54" i="9"/>
  <c r="EN54" i="9" s="1"/>
  <c r="EM54" i="9"/>
  <c r="CZ54" i="9"/>
  <c r="DB54" i="9" s="1"/>
  <c r="DT54" i="9"/>
  <c r="DS54" i="9"/>
  <c r="DU54" i="9" s="1"/>
  <c r="CO51" i="12"/>
  <c r="L56" i="9" a="1"/>
  <c r="L56" i="9" s="1"/>
  <c r="K56" i="9" a="1"/>
  <c r="K56" i="9" s="1"/>
  <c r="J56" i="9" a="1"/>
  <c r="J56" i="9" s="1"/>
  <c r="G56" i="9" a="1"/>
  <c r="G56" i="9" s="1"/>
  <c r="O56" i="9" a="1"/>
  <c r="O56" i="9" s="1"/>
  <c r="H56" i="9" a="1"/>
  <c r="H56" i="9" s="1"/>
  <c r="N56" i="9" a="1"/>
  <c r="N56" i="9" s="1"/>
  <c r="D57" i="9"/>
  <c r="DH51" i="12"/>
  <c r="J55" i="12" a="1"/>
  <c r="J55" i="12" s="1"/>
  <c r="H55" i="12" a="1"/>
  <c r="H55" i="12" s="1"/>
  <c r="L55" i="12" a="1"/>
  <c r="L55" i="12" s="1"/>
  <c r="G55" i="12" a="1"/>
  <c r="G55" i="12" s="1"/>
  <c r="N55" i="12" a="1"/>
  <c r="N55" i="12" s="1"/>
  <c r="K55" i="12" a="1"/>
  <c r="K55" i="12" s="1"/>
  <c r="O55" i="12" a="1"/>
  <c r="O55" i="12" s="1"/>
  <c r="D56" i="12"/>
  <c r="I56" i="9"/>
  <c r="FC55" i="9"/>
  <c r="FD55" i="9" s="1"/>
  <c r="FH55" i="9" s="1"/>
  <c r="CX55" i="9"/>
  <c r="CY55" i="9" s="1"/>
  <c r="DC55" i="9" s="1"/>
  <c r="Z55" i="9"/>
  <c r="AA55" i="9" s="1"/>
  <c r="AE55" i="9" s="1"/>
  <c r="CE55" i="9"/>
  <c r="CF55" i="9" s="1"/>
  <c r="CJ55" i="9" s="1"/>
  <c r="DQ55" i="9"/>
  <c r="DR55" i="9" s="1"/>
  <c r="DV55" i="9" s="1"/>
  <c r="EJ55" i="9"/>
  <c r="EK55" i="9" s="1"/>
  <c r="EO55" i="9" s="1"/>
  <c r="AS55" i="9"/>
  <c r="AT55" i="9" s="1"/>
  <c r="AX55" i="9" s="1"/>
  <c r="BL55" i="9"/>
  <c r="BM55" i="9" s="1"/>
  <c r="BQ55" i="9" s="1"/>
  <c r="FF53" i="12"/>
  <c r="FE53" i="12"/>
  <c r="FG53" i="12" s="1"/>
  <c r="EP53" i="12"/>
  <c r="DD53" i="12"/>
  <c r="CK53" i="12"/>
  <c r="AC53" i="12"/>
  <c r="BO53" i="12"/>
  <c r="AB53" i="12"/>
  <c r="AD53" i="12" s="1"/>
  <c r="BN53" i="12"/>
  <c r="BP53" i="12" s="1"/>
  <c r="DW53" i="12"/>
  <c r="CG53" i="12"/>
  <c r="CI53" i="12" s="1"/>
  <c r="DA53" i="12"/>
  <c r="BR53" i="12"/>
  <c r="DS53" i="12"/>
  <c r="DU53" i="12" s="1"/>
  <c r="CZ53" i="12"/>
  <c r="DB53" i="12" s="1"/>
  <c r="CH53" i="12"/>
  <c r="AY53" i="12"/>
  <c r="DT53" i="12"/>
  <c r="FI53" i="12"/>
  <c r="EM53" i="12"/>
  <c r="AF53" i="12"/>
  <c r="EL53" i="12"/>
  <c r="EN53" i="12" s="1"/>
  <c r="AU53" i="12"/>
  <c r="AW53" i="12" s="1"/>
  <c r="AV53" i="12"/>
  <c r="CO52" i="12"/>
  <c r="M55" i="9"/>
  <c r="P55" i="9" s="1"/>
  <c r="Q55" i="9" s="1"/>
  <c r="DH53" i="9" l="1"/>
  <c r="BV52" i="12"/>
  <c r="BV53" i="9"/>
  <c r="BC52" i="12"/>
  <c r="CO53" i="9"/>
  <c r="AJ53" i="9"/>
  <c r="BC53" i="9"/>
  <c r="AJ52" i="12"/>
  <c r="EL54" i="12"/>
  <c r="EN54" i="12" s="1"/>
  <c r="EQ54" i="12" s="1"/>
  <c r="DS54" i="12"/>
  <c r="DU54" i="12" s="1"/>
  <c r="AF54" i="12"/>
  <c r="BR54" i="12"/>
  <c r="CK54" i="12"/>
  <c r="DD54" i="12"/>
  <c r="CH54" i="12"/>
  <c r="EP54" i="12"/>
  <c r="FI54" i="12"/>
  <c r="DW54" i="12"/>
  <c r="CZ54" i="12"/>
  <c r="DB54" i="12" s="1"/>
  <c r="DF54" i="12" s="1"/>
  <c r="FF54" i="12"/>
  <c r="DA54" i="12"/>
  <c r="M56" i="9"/>
  <c r="P56" i="9" s="1"/>
  <c r="Q56" i="9" s="1"/>
  <c r="DE54" i="12"/>
  <c r="DX54" i="12"/>
  <c r="DZ54" i="12"/>
  <c r="DY54" i="12"/>
  <c r="FE55" i="9"/>
  <c r="FG55" i="9" s="1"/>
  <c r="BN55" i="9"/>
  <c r="BP55" i="9" s="1"/>
  <c r="FF55" i="9"/>
  <c r="BO55" i="9"/>
  <c r="CG55" i="9"/>
  <c r="CI55" i="9" s="1"/>
  <c r="AU55" i="9"/>
  <c r="AW55" i="9" s="1"/>
  <c r="CH55" i="9"/>
  <c r="AV55" i="9"/>
  <c r="CZ55" i="9"/>
  <c r="DB55" i="9" s="1"/>
  <c r="EL55" i="9"/>
  <c r="EN55" i="9" s="1"/>
  <c r="AB55" i="9"/>
  <c r="AD55" i="9" s="1"/>
  <c r="AC55" i="9"/>
  <c r="DA55" i="9"/>
  <c r="EM55" i="9"/>
  <c r="DS55" i="9"/>
  <c r="DU55" i="9" s="1"/>
  <c r="DT55" i="9"/>
  <c r="DW54" i="9"/>
  <c r="DZ54" i="9"/>
  <c r="DX54" i="9"/>
  <c r="DY54" i="9"/>
  <c r="CN54" i="9"/>
  <c r="CM54" i="9"/>
  <c r="CL54" i="9"/>
  <c r="CK54" i="9"/>
  <c r="FJ53" i="12"/>
  <c r="FK53" i="12"/>
  <c r="FL53" i="12"/>
  <c r="CL53" i="12"/>
  <c r="CM53" i="12"/>
  <c r="CN53" i="12"/>
  <c r="DG54" i="9"/>
  <c r="DE54" i="9"/>
  <c r="DD54" i="9"/>
  <c r="DH54" i="9" s="1"/>
  <c r="DF54" i="9"/>
  <c r="AG53" i="12"/>
  <c r="AI53" i="12"/>
  <c r="AH53" i="12"/>
  <c r="I57" i="9"/>
  <c r="EJ56" i="9"/>
  <c r="EK56" i="9" s="1"/>
  <c r="EO56" i="9" s="1"/>
  <c r="CE56" i="9"/>
  <c r="CF56" i="9" s="1"/>
  <c r="CJ56" i="9" s="1"/>
  <c r="FC56" i="9"/>
  <c r="FD56" i="9" s="1"/>
  <c r="FH56" i="9" s="1"/>
  <c r="CX56" i="9"/>
  <c r="CY56" i="9" s="1"/>
  <c r="DC56" i="9" s="1"/>
  <c r="Z56" i="9"/>
  <c r="AA56" i="9" s="1"/>
  <c r="AE56" i="9" s="1"/>
  <c r="DQ56" i="9"/>
  <c r="DR56" i="9" s="1"/>
  <c r="DV56" i="9" s="1"/>
  <c r="AS56" i="9"/>
  <c r="AT56" i="9" s="1"/>
  <c r="AX56" i="9" s="1"/>
  <c r="BL56" i="9"/>
  <c r="BM56" i="9" s="1"/>
  <c r="BQ56" i="9" s="1"/>
  <c r="M55" i="12"/>
  <c r="P55" i="12" s="1"/>
  <c r="Q55" i="12" s="1"/>
  <c r="CG54" i="12"/>
  <c r="CI54" i="12" s="1"/>
  <c r="BS54" i="9"/>
  <c r="BT54" i="9"/>
  <c r="BR54" i="9"/>
  <c r="BU54" i="9"/>
  <c r="BA53" i="12"/>
  <c r="BB53" i="12"/>
  <c r="AZ53" i="12"/>
  <c r="DE53" i="12"/>
  <c r="DF53" i="12"/>
  <c r="DG53" i="12"/>
  <c r="J56" i="12" a="1"/>
  <c r="J56" i="12" s="1"/>
  <c r="O56" i="12" a="1"/>
  <c r="O56" i="12" s="1"/>
  <c r="K56" i="12" a="1"/>
  <c r="K56" i="12" s="1"/>
  <c r="G56" i="12" a="1"/>
  <c r="G56" i="12" s="1"/>
  <c r="L56" i="12" a="1"/>
  <c r="L56" i="12" s="1"/>
  <c r="H56" i="12" a="1"/>
  <c r="H56" i="12" s="1"/>
  <c r="N56" i="12" a="1"/>
  <c r="N56" i="12" s="1"/>
  <c r="D57" i="12"/>
  <c r="AB54" i="12"/>
  <c r="AD54" i="12" s="1"/>
  <c r="FE54" i="12"/>
  <c r="FG54" i="12" s="1"/>
  <c r="EP54" i="9"/>
  <c r="EQ54" i="9"/>
  <c r="ER54" i="9"/>
  <c r="ES54" i="9"/>
  <c r="AY54" i="9"/>
  <c r="BB54" i="9"/>
  <c r="BA54" i="9"/>
  <c r="AZ54" i="9"/>
  <c r="DX53" i="12"/>
  <c r="DY53" i="12"/>
  <c r="DZ53" i="12"/>
  <c r="AV54" i="12"/>
  <c r="AC54" i="12"/>
  <c r="BS53" i="12"/>
  <c r="BU53" i="12"/>
  <c r="BT53" i="12"/>
  <c r="J57" i="9" a="1"/>
  <c r="J57" i="9" s="1"/>
  <c r="N57" i="9" a="1"/>
  <c r="N57" i="9" s="1"/>
  <c r="L57" i="9" a="1"/>
  <c r="L57" i="9" s="1"/>
  <c r="K57" i="9" a="1"/>
  <c r="K57" i="9" s="1"/>
  <c r="O57" i="9" a="1"/>
  <c r="O57" i="9" s="1"/>
  <c r="G57" i="9" a="1"/>
  <c r="G57" i="9" s="1"/>
  <c r="H57" i="9" a="1"/>
  <c r="H57" i="9" s="1"/>
  <c r="D58" i="9"/>
  <c r="AU54" i="12"/>
  <c r="AW54" i="12" s="1"/>
  <c r="AY54" i="12"/>
  <c r="BO54" i="12"/>
  <c r="AF54" i="9"/>
  <c r="AH54" i="9"/>
  <c r="AI54" i="9"/>
  <c r="AG54" i="9"/>
  <c r="FI54" i="9"/>
  <c r="FM54" i="9" s="1"/>
  <c r="FK54" i="9"/>
  <c r="FJ54" i="9"/>
  <c r="FL54" i="9"/>
  <c r="EQ53" i="12"/>
  <c r="ES53" i="12"/>
  <c r="ER53" i="12"/>
  <c r="EM54" i="12"/>
  <c r="DT54" i="12"/>
  <c r="BN54" i="12"/>
  <c r="BP54" i="12" s="1"/>
  <c r="BV54" i="9" l="1"/>
  <c r="EA54" i="9"/>
  <c r="CO54" i="9"/>
  <c r="ER54" i="12"/>
  <c r="ES54" i="12"/>
  <c r="ET54" i="9"/>
  <c r="BC54" i="9"/>
  <c r="AJ54" i="9"/>
  <c r="DG54" i="12"/>
  <c r="DH54" i="12" s="1"/>
  <c r="AJ53" i="12"/>
  <c r="EA54" i="12"/>
  <c r="BV53" i="12"/>
  <c r="DH53" i="12"/>
  <c r="FM53" i="12"/>
  <c r="BC53" i="12"/>
  <c r="M57" i="9"/>
  <c r="P57" i="9" s="1"/>
  <c r="Q57" i="9" s="1"/>
  <c r="CG56" i="9"/>
  <c r="CI56" i="9" s="1"/>
  <c r="AU56" i="9"/>
  <c r="AW56" i="9" s="1"/>
  <c r="AV56" i="9"/>
  <c r="BN56" i="9"/>
  <c r="BP56" i="9" s="1"/>
  <c r="FF56" i="9"/>
  <c r="FE56" i="9"/>
  <c r="FG56" i="9" s="1"/>
  <c r="BO56" i="9"/>
  <c r="CH56" i="9"/>
  <c r="EM56" i="9"/>
  <c r="DA56" i="9"/>
  <c r="CZ56" i="9"/>
  <c r="DB56" i="9" s="1"/>
  <c r="AC56" i="9"/>
  <c r="EL56" i="9"/>
  <c r="EN56" i="9" s="1"/>
  <c r="AB56" i="9"/>
  <c r="AD56" i="9" s="1"/>
  <c r="DT56" i="9"/>
  <c r="DS56" i="9"/>
  <c r="DU56" i="9" s="1"/>
  <c r="L57" i="12" a="1"/>
  <c r="L57" i="12" s="1"/>
  <c r="J57" i="12" a="1"/>
  <c r="J57" i="12" s="1"/>
  <c r="G57" i="12" a="1"/>
  <c r="G57" i="12" s="1"/>
  <c r="H57" i="12" a="1"/>
  <c r="H57" i="12" s="1"/>
  <c r="N57" i="12" a="1"/>
  <c r="N57" i="12" s="1"/>
  <c r="O57" i="12" a="1"/>
  <c r="O57" i="12" s="1"/>
  <c r="K57" i="12" a="1"/>
  <c r="K57" i="12" s="1"/>
  <c r="D58" i="12"/>
  <c r="EQ55" i="9"/>
  <c r="ER55" i="9"/>
  <c r="ES55" i="9"/>
  <c r="EP55" i="9"/>
  <c r="BS55" i="9"/>
  <c r="BU55" i="9"/>
  <c r="BR55" i="9"/>
  <c r="BT55" i="9"/>
  <c r="DG55" i="9"/>
  <c r="DF55" i="9"/>
  <c r="DE55" i="9"/>
  <c r="DD55" i="9"/>
  <c r="DH55" i="9" s="1"/>
  <c r="FI55" i="9"/>
  <c r="FM55" i="9" s="1"/>
  <c r="FL55" i="9"/>
  <c r="FK55" i="9"/>
  <c r="FJ55" i="9"/>
  <c r="AZ54" i="12"/>
  <c r="BB54" i="12"/>
  <c r="BA54" i="12"/>
  <c r="DY55" i="9"/>
  <c r="DX55" i="9"/>
  <c r="DW55" i="9"/>
  <c r="DZ55" i="9"/>
  <c r="J58" i="9" a="1"/>
  <c r="J58" i="9" s="1"/>
  <c r="H58" i="9" a="1"/>
  <c r="H58" i="9" s="1"/>
  <c r="L58" i="9" a="1"/>
  <c r="L58" i="9" s="1"/>
  <c r="K58" i="9" a="1"/>
  <c r="K58" i="9" s="1"/>
  <c r="N58" i="9" a="1"/>
  <c r="N58" i="9" s="1"/>
  <c r="G58" i="9" a="1"/>
  <c r="G58" i="9" s="1"/>
  <c r="O58" i="9" a="1"/>
  <c r="O58" i="9" s="1"/>
  <c r="D59" i="9"/>
  <c r="EA53" i="12"/>
  <c r="I58" i="9"/>
  <c r="CE57" i="9"/>
  <c r="CF57" i="9" s="1"/>
  <c r="CJ57" i="9" s="1"/>
  <c r="AS57" i="9"/>
  <c r="AT57" i="9" s="1"/>
  <c r="AX57" i="9" s="1"/>
  <c r="EJ57" i="9"/>
  <c r="EK57" i="9" s="1"/>
  <c r="EO57" i="9" s="1"/>
  <c r="Z57" i="9"/>
  <c r="AA57" i="9" s="1"/>
  <c r="AE57" i="9" s="1"/>
  <c r="DQ57" i="9"/>
  <c r="DR57" i="9" s="1"/>
  <c r="DV57" i="9" s="1"/>
  <c r="CX57" i="9"/>
  <c r="CY57" i="9" s="1"/>
  <c r="DC57" i="9" s="1"/>
  <c r="BL57" i="9"/>
  <c r="BM57" i="9" s="1"/>
  <c r="BQ57" i="9" s="1"/>
  <c r="FC57" i="9"/>
  <c r="FD57" i="9" s="1"/>
  <c r="FH57" i="9" s="1"/>
  <c r="AY55" i="9"/>
  <c r="BB55" i="9"/>
  <c r="AZ55" i="9"/>
  <c r="BA55" i="9"/>
  <c r="FE55" i="12"/>
  <c r="FG55" i="12" s="1"/>
  <c r="EP55" i="12"/>
  <c r="FF55" i="12"/>
  <c r="CK55" i="12"/>
  <c r="DD55" i="12"/>
  <c r="BO55" i="12"/>
  <c r="BN55" i="12"/>
  <c r="BP55" i="12" s="1"/>
  <c r="AB55" i="12"/>
  <c r="AD55" i="12" s="1"/>
  <c r="AC55" i="12"/>
  <c r="DA55" i="12"/>
  <c r="CG55" i="12"/>
  <c r="CI55" i="12" s="1"/>
  <c r="CZ55" i="12"/>
  <c r="DB55" i="12" s="1"/>
  <c r="FI55" i="12"/>
  <c r="AY55" i="12"/>
  <c r="DT55" i="12"/>
  <c r="DS55" i="12"/>
  <c r="DU55" i="12" s="1"/>
  <c r="BR55" i="12"/>
  <c r="CH55" i="12"/>
  <c r="DW55" i="12"/>
  <c r="EM55" i="12"/>
  <c r="AF55" i="12"/>
  <c r="EL55" i="12"/>
  <c r="EN55" i="12" s="1"/>
  <c r="AU55" i="12"/>
  <c r="AW55" i="12" s="1"/>
  <c r="AV55" i="12"/>
  <c r="ET53" i="12"/>
  <c r="CM55" i="9"/>
  <c r="CK55" i="9"/>
  <c r="CL55" i="9"/>
  <c r="CN55" i="9"/>
  <c r="CL54" i="12"/>
  <c r="CN54" i="12"/>
  <c r="CM54" i="12"/>
  <c r="FJ54" i="12"/>
  <c r="FK54" i="12"/>
  <c r="FL54" i="12"/>
  <c r="BS54" i="12"/>
  <c r="BU54" i="12"/>
  <c r="BT54" i="12"/>
  <c r="AG54" i="12"/>
  <c r="AH54" i="12"/>
  <c r="AI54" i="12"/>
  <c r="M56" i="12"/>
  <c r="P56" i="12" s="1"/>
  <c r="Q56" i="12" s="1"/>
  <c r="CO53" i="12"/>
  <c r="AF55" i="9"/>
  <c r="AG55" i="9"/>
  <c r="AI55" i="9"/>
  <c r="AH55" i="9"/>
  <c r="ET54" i="12" l="1"/>
  <c r="ET55" i="9"/>
  <c r="CO55" i="9"/>
  <c r="BV55" i="9"/>
  <c r="EA55" i="9"/>
  <c r="AJ55" i="9"/>
  <c r="BC55" i="9"/>
  <c r="BV54" i="12"/>
  <c r="CG57" i="9"/>
  <c r="CI57" i="9" s="1"/>
  <c r="CL57" i="9" s="1"/>
  <c r="FE57" i="9"/>
  <c r="FG57" i="9" s="1"/>
  <c r="CH57" i="9"/>
  <c r="AV57" i="9"/>
  <c r="EL57" i="9"/>
  <c r="EN57" i="9" s="1"/>
  <c r="ES57" i="9" s="1"/>
  <c r="AB57" i="9"/>
  <c r="AD57" i="9" s="1"/>
  <c r="AI57" i="9" s="1"/>
  <c r="AU57" i="9"/>
  <c r="AW57" i="9" s="1"/>
  <c r="AZ57" i="9" s="1"/>
  <c r="DA57" i="9"/>
  <c r="BN57" i="9"/>
  <c r="BP57" i="9" s="1"/>
  <c r="BR57" i="9" s="1"/>
  <c r="CZ57" i="9"/>
  <c r="DB57" i="9" s="1"/>
  <c r="DE57" i="9" s="1"/>
  <c r="FF57" i="9"/>
  <c r="EM57" i="9"/>
  <c r="BO57" i="9"/>
  <c r="AC57" i="9"/>
  <c r="AJ54" i="12"/>
  <c r="BC54" i="12"/>
  <c r="CO54" i="12"/>
  <c r="M58" i="9"/>
  <c r="DW56" i="9"/>
  <c r="EA56" i="9" s="1"/>
  <c r="DX56" i="9"/>
  <c r="DZ56" i="9"/>
  <c r="DY56" i="9"/>
  <c r="CM55" i="12"/>
  <c r="CN55" i="12"/>
  <c r="CL55" i="12"/>
  <c r="DF57" i="9"/>
  <c r="EP56" i="12"/>
  <c r="FF56" i="12"/>
  <c r="FE56" i="12"/>
  <c r="FG56" i="12" s="1"/>
  <c r="DD56" i="12"/>
  <c r="CK56" i="12"/>
  <c r="BO56" i="12"/>
  <c r="BN56" i="12"/>
  <c r="BP56" i="12" s="1"/>
  <c r="AB56" i="12"/>
  <c r="AD56" i="12" s="1"/>
  <c r="AC56" i="12"/>
  <c r="EL56" i="12"/>
  <c r="EN56" i="12" s="1"/>
  <c r="CZ56" i="12"/>
  <c r="DB56" i="12" s="1"/>
  <c r="DS56" i="12"/>
  <c r="DU56" i="12" s="1"/>
  <c r="AF56" i="12"/>
  <c r="EM56" i="12"/>
  <c r="DA56" i="12"/>
  <c r="DW56" i="12"/>
  <c r="CG56" i="12"/>
  <c r="CI56" i="12" s="1"/>
  <c r="BR56" i="12"/>
  <c r="CH56" i="12"/>
  <c r="AY56" i="12"/>
  <c r="DT56" i="12"/>
  <c r="FI56" i="12"/>
  <c r="AV56" i="12"/>
  <c r="AU56" i="12"/>
  <c r="AW56" i="12" s="1"/>
  <c r="K59" i="9" a="1"/>
  <c r="K59" i="9" s="1"/>
  <c r="H59" i="9" a="1"/>
  <c r="H59" i="9" s="1"/>
  <c r="O59" i="9" a="1"/>
  <c r="O59" i="9" s="1"/>
  <c r="L59" i="9" a="1"/>
  <c r="L59" i="9" s="1"/>
  <c r="J59" i="9" a="1"/>
  <c r="J59" i="9" s="1"/>
  <c r="G59" i="9" a="1"/>
  <c r="G59" i="9" s="1"/>
  <c r="N59" i="9" a="1"/>
  <c r="N59" i="9" s="1"/>
  <c r="D60" i="9"/>
  <c r="AF56" i="9"/>
  <c r="AG56" i="9"/>
  <c r="AI56" i="9"/>
  <c r="AH56" i="9"/>
  <c r="FI56" i="9"/>
  <c r="FM56" i="9" s="1"/>
  <c r="FJ56" i="9"/>
  <c r="FK56" i="9"/>
  <c r="FL56" i="9"/>
  <c r="I59" i="9"/>
  <c r="CX58" i="9"/>
  <c r="CY58" i="9" s="1"/>
  <c r="DC58" i="9" s="1"/>
  <c r="AS58" i="9"/>
  <c r="AT58" i="9" s="1"/>
  <c r="AX58" i="9" s="1"/>
  <c r="BL58" i="9"/>
  <c r="BM58" i="9" s="1"/>
  <c r="BQ58" i="9" s="1"/>
  <c r="Z58" i="9"/>
  <c r="AA58" i="9" s="1"/>
  <c r="AE58" i="9" s="1"/>
  <c r="EJ58" i="9"/>
  <c r="EK58" i="9" s="1"/>
  <c r="EO58" i="9" s="1"/>
  <c r="DQ58" i="9"/>
  <c r="DR58" i="9" s="1"/>
  <c r="DV58" i="9" s="1"/>
  <c r="FC58" i="9"/>
  <c r="FD58" i="9" s="1"/>
  <c r="FH58" i="9" s="1"/>
  <c r="CE58" i="9"/>
  <c r="CF58" i="9" s="1"/>
  <c r="CJ58" i="9" s="1"/>
  <c r="FM54" i="12"/>
  <c r="FJ55" i="12"/>
  <c r="FL55" i="12"/>
  <c r="FK55" i="12"/>
  <c r="EP57" i="9"/>
  <c r="EQ56" i="9"/>
  <c r="EP56" i="9"/>
  <c r="ER56" i="9"/>
  <c r="ES56" i="9"/>
  <c r="DE55" i="12"/>
  <c r="DG55" i="12"/>
  <c r="DF55" i="12"/>
  <c r="DX55" i="12"/>
  <c r="DY55" i="12"/>
  <c r="DZ55" i="12"/>
  <c r="AG55" i="12"/>
  <c r="AI55" i="12"/>
  <c r="AH55" i="12"/>
  <c r="DS57" i="9"/>
  <c r="DU57" i="9" s="1"/>
  <c r="P58" i="9"/>
  <c r="Q58" i="9" s="1"/>
  <c r="BR56" i="9"/>
  <c r="BU56" i="9"/>
  <c r="BT56" i="9"/>
  <c r="BS56" i="9"/>
  <c r="BB55" i="12"/>
  <c r="AZ55" i="12"/>
  <c r="BA55" i="12"/>
  <c r="BS55" i="12"/>
  <c r="BU55" i="12"/>
  <c r="BT55" i="12"/>
  <c r="DT57" i="9"/>
  <c r="DE56" i="9"/>
  <c r="DF56" i="9"/>
  <c r="DD56" i="9"/>
  <c r="DG56" i="9"/>
  <c r="EQ55" i="12"/>
  <c r="ES55" i="12"/>
  <c r="ER55" i="12"/>
  <c r="FL57" i="9"/>
  <c r="FI57" i="9"/>
  <c r="FJ57" i="9"/>
  <c r="FK57" i="9"/>
  <c r="M57" i="12"/>
  <c r="P57" i="12" s="1"/>
  <c r="Q57" i="12" s="1"/>
  <c r="AZ56" i="9"/>
  <c r="AY56" i="9"/>
  <c r="BB56" i="9"/>
  <c r="BA56" i="9"/>
  <c r="N58" i="12" a="1"/>
  <c r="N58" i="12" s="1"/>
  <c r="J58" i="12" a="1"/>
  <c r="J58" i="12" s="1"/>
  <c r="O58" i="12" a="1"/>
  <c r="O58" i="12" s="1"/>
  <c r="K58" i="12" a="1"/>
  <c r="K58" i="12" s="1"/>
  <c r="G58" i="12" a="1"/>
  <c r="G58" i="12" s="1"/>
  <c r="L58" i="12" a="1"/>
  <c r="L58" i="12" s="1"/>
  <c r="H58" i="12" a="1"/>
  <c r="H58" i="12" s="1"/>
  <c r="D59" i="12"/>
  <c r="CL56" i="9"/>
  <c r="CK56" i="9"/>
  <c r="CN56" i="9"/>
  <c r="CM56" i="9"/>
  <c r="AH57" i="9" l="1"/>
  <c r="AG57" i="9"/>
  <c r="AF57" i="9"/>
  <c r="ET56" i="9"/>
  <c r="CO56" i="9"/>
  <c r="FM57" i="9"/>
  <c r="DH56" i="9"/>
  <c r="BC56" i="9"/>
  <c r="AJ56" i="9"/>
  <c r="AJ57" i="9" s="1"/>
  <c r="BV56" i="9"/>
  <c r="AJ55" i="12"/>
  <c r="DD57" i="9"/>
  <c r="BC55" i="12"/>
  <c r="FM55" i="12"/>
  <c r="BB57" i="9"/>
  <c r="AY57" i="9"/>
  <c r="BA57" i="9"/>
  <c r="DG57" i="9"/>
  <c r="BT57" i="9"/>
  <c r="BS57" i="9"/>
  <c r="EQ57" i="9"/>
  <c r="ET57" i="9" s="1"/>
  <c r="BU57" i="9"/>
  <c r="CM57" i="9"/>
  <c r="CN57" i="9"/>
  <c r="ER57" i="9"/>
  <c r="CK57" i="9"/>
  <c r="CO57" i="9" s="1"/>
  <c r="BV55" i="12"/>
  <c r="ET55" i="12"/>
  <c r="M59" i="9"/>
  <c r="CM56" i="12"/>
  <c r="CL56" i="12"/>
  <c r="CN56" i="12"/>
  <c r="EA55" i="12"/>
  <c r="AZ56" i="12"/>
  <c r="BB56" i="12"/>
  <c r="BA56" i="12"/>
  <c r="AH56" i="12"/>
  <c r="AG56" i="12"/>
  <c r="AI56" i="12"/>
  <c r="CO55" i="12"/>
  <c r="FF58" i="9"/>
  <c r="CG58" i="9"/>
  <c r="CI58" i="9" s="1"/>
  <c r="FE58" i="9"/>
  <c r="FG58" i="9" s="1"/>
  <c r="CH58" i="9"/>
  <c r="AU58" i="9"/>
  <c r="AW58" i="9" s="1"/>
  <c r="AV58" i="9"/>
  <c r="BO58" i="9"/>
  <c r="BN58" i="9"/>
  <c r="BP58" i="9" s="1"/>
  <c r="CZ58" i="9"/>
  <c r="DB58" i="9" s="1"/>
  <c r="AC58" i="9"/>
  <c r="AB58" i="9"/>
  <c r="AD58" i="9" s="1"/>
  <c r="DA58" i="9"/>
  <c r="EM58" i="9"/>
  <c r="EL58" i="9"/>
  <c r="EN58" i="9" s="1"/>
  <c r="DT58" i="9"/>
  <c r="DS58" i="9"/>
  <c r="DU58" i="9" s="1"/>
  <c r="DH55" i="12"/>
  <c r="BS56" i="12"/>
  <c r="BT56" i="12"/>
  <c r="BU56" i="12"/>
  <c r="DW57" i="9"/>
  <c r="EA57" i="9" s="1"/>
  <c r="DY57" i="9"/>
  <c r="DX57" i="9"/>
  <c r="DZ57" i="9"/>
  <c r="I60" i="9"/>
  <c r="CE59" i="9"/>
  <c r="CF59" i="9" s="1"/>
  <c r="CJ59" i="9" s="1"/>
  <c r="DQ59" i="9"/>
  <c r="DR59" i="9" s="1"/>
  <c r="DV59" i="9" s="1"/>
  <c r="CX59" i="9"/>
  <c r="CY59" i="9" s="1"/>
  <c r="DC59" i="9" s="1"/>
  <c r="AS59" i="9"/>
  <c r="AT59" i="9" s="1"/>
  <c r="AX59" i="9" s="1"/>
  <c r="FC59" i="9"/>
  <c r="FD59" i="9" s="1"/>
  <c r="FH59" i="9" s="1"/>
  <c r="BL59" i="9"/>
  <c r="BM59" i="9" s="1"/>
  <c r="BQ59" i="9" s="1"/>
  <c r="Z59" i="9"/>
  <c r="AA59" i="9" s="1"/>
  <c r="AE59" i="9" s="1"/>
  <c r="EJ59" i="9"/>
  <c r="EK59" i="9" s="1"/>
  <c r="EO59" i="9" s="1"/>
  <c r="FF57" i="12"/>
  <c r="EP57" i="12"/>
  <c r="FE57" i="12"/>
  <c r="FG57" i="12" s="1"/>
  <c r="CK57" i="12"/>
  <c r="DD57" i="12"/>
  <c r="BN57" i="12"/>
  <c r="BP57" i="12" s="1"/>
  <c r="AB57" i="12"/>
  <c r="AD57" i="12" s="1"/>
  <c r="BO57" i="12"/>
  <c r="AC57" i="12"/>
  <c r="EL57" i="12"/>
  <c r="EN57" i="12" s="1"/>
  <c r="FI57" i="12"/>
  <c r="DW57" i="12"/>
  <c r="AY57" i="12"/>
  <c r="CG57" i="12"/>
  <c r="CI57" i="12" s="1"/>
  <c r="DT57" i="12"/>
  <c r="CH57" i="12"/>
  <c r="DS57" i="12"/>
  <c r="DU57" i="12" s="1"/>
  <c r="AF57" i="12"/>
  <c r="CZ57" i="12"/>
  <c r="DB57" i="12" s="1"/>
  <c r="EM57" i="12"/>
  <c r="BR57" i="12"/>
  <c r="DA57" i="12"/>
  <c r="AU57" i="12"/>
  <c r="AW57" i="12" s="1"/>
  <c r="AV57" i="12"/>
  <c r="J60" i="9" a="1"/>
  <c r="J60" i="9" s="1"/>
  <c r="K60" i="9" a="1"/>
  <c r="K60" i="9" s="1"/>
  <c r="O60" i="9" a="1"/>
  <c r="O60" i="9" s="1"/>
  <c r="L60" i="9" a="1"/>
  <c r="L60" i="9" s="1"/>
  <c r="N60" i="9" a="1"/>
  <c r="N60" i="9" s="1"/>
  <c r="H60" i="9" a="1"/>
  <c r="H60" i="9" s="1"/>
  <c r="G60" i="9" a="1"/>
  <c r="G60" i="9" s="1"/>
  <c r="D61" i="9"/>
  <c r="DX56" i="12"/>
  <c r="DY56" i="12"/>
  <c r="DZ56" i="12"/>
  <c r="P59" i="9"/>
  <c r="Q59" i="9" s="1"/>
  <c r="DE56" i="12"/>
  <c r="DG56" i="12"/>
  <c r="DF56" i="12"/>
  <c r="FJ56" i="12"/>
  <c r="FK56" i="12"/>
  <c r="FL56" i="12"/>
  <c r="M58" i="12"/>
  <c r="P58" i="12" s="1"/>
  <c r="Q58" i="12" s="1"/>
  <c r="K59" i="12" a="1"/>
  <c r="K59" i="12" s="1"/>
  <c r="G59" i="12" a="1"/>
  <c r="G59" i="12" s="1"/>
  <c r="L59" i="12" a="1"/>
  <c r="L59" i="12" s="1"/>
  <c r="H59" i="12" a="1"/>
  <c r="H59" i="12" s="1"/>
  <c r="J59" i="12" a="1"/>
  <c r="J59" i="12" s="1"/>
  <c r="N59" i="12" a="1"/>
  <c r="N59" i="12" s="1"/>
  <c r="O59" i="12" a="1"/>
  <c r="O59" i="12" s="1"/>
  <c r="D60" i="12"/>
  <c r="EQ56" i="12"/>
  <c r="ES56" i="12"/>
  <c r="ER56" i="12"/>
  <c r="BV57" i="9" l="1"/>
  <c r="DH57" i="9"/>
  <c r="BC57" i="9"/>
  <c r="M59" i="12"/>
  <c r="P59" i="12" s="1"/>
  <c r="Q59" i="12" s="1"/>
  <c r="CO56" i="12"/>
  <c r="AJ56" i="12"/>
  <c r="FM56" i="12"/>
  <c r="M60" i="9"/>
  <c r="P60" i="9" s="1"/>
  <c r="Q60" i="9" s="1"/>
  <c r="BC56" i="12"/>
  <c r="BV56" i="12"/>
  <c r="EP58" i="12"/>
  <c r="FF58" i="12"/>
  <c r="FE58" i="12"/>
  <c r="FG58" i="12" s="1"/>
  <c r="DD58" i="12"/>
  <c r="CK58" i="12"/>
  <c r="BN58" i="12"/>
  <c r="BP58" i="12" s="1"/>
  <c r="BO58" i="12"/>
  <c r="AB58" i="12"/>
  <c r="AD58" i="12" s="1"/>
  <c r="AC58" i="12"/>
  <c r="BR58" i="12"/>
  <c r="EL58" i="12"/>
  <c r="EN58" i="12" s="1"/>
  <c r="AF58" i="12"/>
  <c r="CG58" i="12"/>
  <c r="CI58" i="12" s="1"/>
  <c r="DT58" i="12"/>
  <c r="CH58" i="12"/>
  <c r="DS58" i="12"/>
  <c r="DU58" i="12" s="1"/>
  <c r="EM58" i="12"/>
  <c r="DW58" i="12"/>
  <c r="FI58" i="12"/>
  <c r="DA58" i="12"/>
  <c r="AY58" i="12"/>
  <c r="CZ58" i="12"/>
  <c r="DB58" i="12" s="1"/>
  <c r="AU58" i="12"/>
  <c r="AW58" i="12" s="1"/>
  <c r="AV58" i="12"/>
  <c r="ET56" i="12"/>
  <c r="DH56" i="12"/>
  <c r="AZ57" i="12"/>
  <c r="BB57" i="12"/>
  <c r="BA57" i="12"/>
  <c r="AH57" i="12"/>
  <c r="AI57" i="12"/>
  <c r="AG57" i="12"/>
  <c r="AH58" i="9"/>
  <c r="AF58" i="9"/>
  <c r="AG58" i="9"/>
  <c r="AI58" i="9"/>
  <c r="FI58" i="9"/>
  <c r="FJ58" i="9"/>
  <c r="FL58" i="9"/>
  <c r="FK58" i="9"/>
  <c r="H61" i="9" a="1"/>
  <c r="H61" i="9" s="1"/>
  <c r="L61" i="9" a="1"/>
  <c r="L61" i="9" s="1"/>
  <c r="J61" i="9" a="1"/>
  <c r="J61" i="9" s="1"/>
  <c r="G61" i="9" a="1"/>
  <c r="G61" i="9" s="1"/>
  <c r="N61" i="9" a="1"/>
  <c r="N61" i="9" s="1"/>
  <c r="O61" i="9" a="1"/>
  <c r="O61" i="9" s="1"/>
  <c r="K61" i="9" a="1"/>
  <c r="K61" i="9" s="1"/>
  <c r="D62" i="9"/>
  <c r="CN57" i="12"/>
  <c r="CM57" i="12"/>
  <c r="CL57" i="12"/>
  <c r="BS57" i="12"/>
  <c r="BU57" i="12"/>
  <c r="BT57" i="12"/>
  <c r="I61" i="9"/>
  <c r="Z60" i="9"/>
  <c r="AA60" i="9" s="1"/>
  <c r="AE60" i="9" s="1"/>
  <c r="FC60" i="9"/>
  <c r="FD60" i="9" s="1"/>
  <c r="FH60" i="9" s="1"/>
  <c r="EJ60" i="9"/>
  <c r="EK60" i="9" s="1"/>
  <c r="EO60" i="9" s="1"/>
  <c r="CE60" i="9"/>
  <c r="CF60" i="9" s="1"/>
  <c r="CJ60" i="9" s="1"/>
  <c r="AS60" i="9"/>
  <c r="AT60" i="9" s="1"/>
  <c r="AX60" i="9" s="1"/>
  <c r="BL60" i="9"/>
  <c r="BM60" i="9" s="1"/>
  <c r="BQ60" i="9" s="1"/>
  <c r="CX60" i="9"/>
  <c r="CY60" i="9" s="1"/>
  <c r="DC60" i="9" s="1"/>
  <c r="DQ60" i="9"/>
  <c r="DR60" i="9" s="1"/>
  <c r="DV60" i="9" s="1"/>
  <c r="CL58" i="9"/>
  <c r="CK58" i="9"/>
  <c r="CN58" i="9"/>
  <c r="CM58" i="9"/>
  <c r="DE58" i="9"/>
  <c r="DD58" i="9"/>
  <c r="DF58" i="9"/>
  <c r="DG58" i="9"/>
  <c r="CH59" i="9"/>
  <c r="CG59" i="9"/>
  <c r="CI59" i="9" s="1"/>
  <c r="AV59" i="9"/>
  <c r="AU59" i="9"/>
  <c r="AW59" i="9" s="1"/>
  <c r="BO59" i="9"/>
  <c r="FF59" i="9"/>
  <c r="BN59" i="9"/>
  <c r="BP59" i="9" s="1"/>
  <c r="FE59" i="9"/>
  <c r="FG59" i="9" s="1"/>
  <c r="AB59" i="9"/>
  <c r="AD59" i="9" s="1"/>
  <c r="DA59" i="9"/>
  <c r="EL59" i="9"/>
  <c r="EN59" i="9" s="1"/>
  <c r="AC59" i="9"/>
  <c r="CZ59" i="9"/>
  <c r="DB59" i="9" s="1"/>
  <c r="EM59" i="9"/>
  <c r="DS59" i="9"/>
  <c r="DU59" i="9" s="1"/>
  <c r="DT59" i="9"/>
  <c r="DZ58" i="9"/>
  <c r="DY58" i="9"/>
  <c r="DW58" i="9"/>
  <c r="DX58" i="9"/>
  <c r="BS58" i="9"/>
  <c r="BU58" i="9"/>
  <c r="BT58" i="9"/>
  <c r="BR58" i="9"/>
  <c r="J60" i="12" a="1"/>
  <c r="J60" i="12" s="1"/>
  <c r="O60" i="12" a="1"/>
  <c r="O60" i="12" s="1"/>
  <c r="K60" i="12" a="1"/>
  <c r="K60" i="12" s="1"/>
  <c r="G60" i="12" a="1"/>
  <c r="G60" i="12" s="1"/>
  <c r="H60" i="12" a="1"/>
  <c r="H60" i="12" s="1"/>
  <c r="L60" i="12" a="1"/>
  <c r="L60" i="12" s="1"/>
  <c r="N60" i="12" a="1"/>
  <c r="N60" i="12" s="1"/>
  <c r="D61" i="12"/>
  <c r="DE57" i="12"/>
  <c r="DG57" i="12"/>
  <c r="DF57" i="12"/>
  <c r="FJ57" i="12"/>
  <c r="FK57" i="12"/>
  <c r="FL57" i="12"/>
  <c r="EQ57" i="12"/>
  <c r="ER57" i="12"/>
  <c r="ES57" i="12"/>
  <c r="EP58" i="9"/>
  <c r="EQ58" i="9"/>
  <c r="ES58" i="9"/>
  <c r="ER58" i="9"/>
  <c r="EA56" i="12"/>
  <c r="DX57" i="12"/>
  <c r="DY57" i="12"/>
  <c r="DZ57" i="12"/>
  <c r="BA58" i="9"/>
  <c r="AY58" i="9"/>
  <c r="AZ58" i="9"/>
  <c r="BB58" i="9"/>
  <c r="DH58" i="9" l="1"/>
  <c r="EA58" i="9"/>
  <c r="AJ58" i="9"/>
  <c r="CO58" i="9"/>
  <c r="ET58" i="9"/>
  <c r="BV58" i="9"/>
  <c r="BC58" i="9"/>
  <c r="FM58" i="9"/>
  <c r="BO60" i="9"/>
  <c r="DS60" i="9"/>
  <c r="DU60" i="9" s="1"/>
  <c r="DT60" i="9"/>
  <c r="BN60" i="9"/>
  <c r="BP60" i="9" s="1"/>
  <c r="AC60" i="9"/>
  <c r="FF60" i="9"/>
  <c r="CZ60" i="9"/>
  <c r="DB60" i="9" s="1"/>
  <c r="DD60" i="9" s="1"/>
  <c r="AV60" i="9"/>
  <c r="ET57" i="12"/>
  <c r="EL60" i="9"/>
  <c r="EN60" i="9" s="1"/>
  <c r="ER60" i="9" s="1"/>
  <c r="CG60" i="9"/>
  <c r="CI60" i="9" s="1"/>
  <c r="CM60" i="9" s="1"/>
  <c r="AB60" i="9"/>
  <c r="AD60" i="9" s="1"/>
  <c r="AH60" i="9" s="1"/>
  <c r="CH60" i="9"/>
  <c r="CO57" i="12"/>
  <c r="BV57" i="12"/>
  <c r="AJ57" i="12"/>
  <c r="FE60" i="9"/>
  <c r="FG60" i="9" s="1"/>
  <c r="FL60" i="9" s="1"/>
  <c r="DA60" i="9"/>
  <c r="AU60" i="9"/>
  <c r="AW60" i="9" s="1"/>
  <c r="BA60" i="9" s="1"/>
  <c r="DH57" i="12"/>
  <c r="EM60" i="9"/>
  <c r="FM57" i="12"/>
  <c r="CN60" i="9"/>
  <c r="CK60" i="9"/>
  <c r="CL60" i="9"/>
  <c r="DD59" i="9"/>
  <c r="DG59" i="9"/>
  <c r="DE59" i="9"/>
  <c r="DF59" i="9"/>
  <c r="I62" i="9"/>
  <c r="DQ61" i="9"/>
  <c r="DR61" i="9" s="1"/>
  <c r="DV61" i="9" s="1"/>
  <c r="Z61" i="9"/>
  <c r="AA61" i="9" s="1"/>
  <c r="AE61" i="9" s="1"/>
  <c r="BL61" i="9"/>
  <c r="BM61" i="9" s="1"/>
  <c r="BQ61" i="9" s="1"/>
  <c r="CE61" i="9"/>
  <c r="CF61" i="9" s="1"/>
  <c r="CJ61" i="9" s="1"/>
  <c r="AS61" i="9"/>
  <c r="AT61" i="9" s="1"/>
  <c r="AX61" i="9" s="1"/>
  <c r="FC61" i="9"/>
  <c r="FD61" i="9" s="1"/>
  <c r="FH61" i="9" s="1"/>
  <c r="EJ61" i="9"/>
  <c r="EK61" i="9" s="1"/>
  <c r="EO61" i="9" s="1"/>
  <c r="CX61" i="9"/>
  <c r="CY61" i="9" s="1"/>
  <c r="DC61" i="9" s="1"/>
  <c r="AZ58" i="12"/>
  <c r="BB58" i="12"/>
  <c r="BA58" i="12"/>
  <c r="AY59" i="9"/>
  <c r="AZ59" i="9"/>
  <c r="BB59" i="9"/>
  <c r="BA59" i="9"/>
  <c r="DE58" i="12"/>
  <c r="DF58" i="12"/>
  <c r="DG58" i="12"/>
  <c r="BS58" i="12"/>
  <c r="BT58" i="12"/>
  <c r="BU58" i="12"/>
  <c r="EA57" i="12"/>
  <c r="BU60" i="9"/>
  <c r="BS60" i="9"/>
  <c r="BT60" i="9"/>
  <c r="BR60" i="9"/>
  <c r="ER59" i="9"/>
  <c r="EQ59" i="9"/>
  <c r="EP59" i="9"/>
  <c r="ES59" i="9"/>
  <c r="CL58" i="12"/>
  <c r="CN58" i="12"/>
  <c r="CM58" i="12"/>
  <c r="M60" i="12"/>
  <c r="P60" i="12" s="1"/>
  <c r="Q60" i="12" s="1"/>
  <c r="CK59" i="9"/>
  <c r="CN59" i="9"/>
  <c r="CL59" i="9"/>
  <c r="CM59" i="9"/>
  <c r="L62" i="9" a="1"/>
  <c r="L62" i="9" s="1"/>
  <c r="O62" i="9" a="1"/>
  <c r="O62" i="9" s="1"/>
  <c r="N62" i="9" a="1"/>
  <c r="N62" i="9" s="1"/>
  <c r="G62" i="9" a="1"/>
  <c r="G62" i="9" s="1"/>
  <c r="K62" i="9" a="1"/>
  <c r="K62" i="9" s="1"/>
  <c r="H62" i="9" a="1"/>
  <c r="H62" i="9" s="1"/>
  <c r="J62" i="9" a="1"/>
  <c r="J62" i="9" s="1"/>
  <c r="D63" i="9"/>
  <c r="EP59" i="12"/>
  <c r="FF59" i="12"/>
  <c r="FE59" i="12"/>
  <c r="FG59" i="12" s="1"/>
  <c r="CK59" i="12"/>
  <c r="DD59" i="12"/>
  <c r="BN59" i="12"/>
  <c r="BP59" i="12" s="1"/>
  <c r="AC59" i="12"/>
  <c r="BO59" i="12"/>
  <c r="AB59" i="12"/>
  <c r="AD59" i="12" s="1"/>
  <c r="AF59" i="12"/>
  <c r="DW59" i="12"/>
  <c r="CZ59" i="12"/>
  <c r="DB59" i="12" s="1"/>
  <c r="DA59" i="12"/>
  <c r="BR59" i="12"/>
  <c r="CH59" i="12"/>
  <c r="EM59" i="12"/>
  <c r="DT59" i="12"/>
  <c r="CG59" i="12"/>
  <c r="CI59" i="12" s="1"/>
  <c r="FI59" i="12"/>
  <c r="EL59" i="12"/>
  <c r="EN59" i="12" s="1"/>
  <c r="DS59" i="12"/>
  <c r="DU59" i="12" s="1"/>
  <c r="AY59" i="12"/>
  <c r="AV59" i="12"/>
  <c r="AU59" i="12"/>
  <c r="AW59" i="12" s="1"/>
  <c r="L61" i="12" a="1"/>
  <c r="L61" i="12" s="1"/>
  <c r="J61" i="12" a="1"/>
  <c r="J61" i="12" s="1"/>
  <c r="H61" i="12" a="1"/>
  <c r="H61" i="12" s="1"/>
  <c r="N61" i="12" a="1"/>
  <c r="N61" i="12" s="1"/>
  <c r="O61" i="12" a="1"/>
  <c r="O61" i="12" s="1"/>
  <c r="G61" i="12" a="1"/>
  <c r="G61" i="12" s="1"/>
  <c r="D62" i="12"/>
  <c r="K61" i="12" a="1"/>
  <c r="K61" i="12" s="1"/>
  <c r="AF59" i="9"/>
  <c r="AJ59" i="9" s="1"/>
  <c r="AI59" i="9"/>
  <c r="AG59" i="9"/>
  <c r="AH59" i="9"/>
  <c r="M61" i="9"/>
  <c r="P61" i="9" s="1"/>
  <c r="Q61" i="9" s="1"/>
  <c r="BC57" i="12"/>
  <c r="EQ58" i="12"/>
  <c r="ES58" i="12"/>
  <c r="ER58" i="12"/>
  <c r="FJ58" i="12"/>
  <c r="FL58" i="12"/>
  <c r="FK58" i="12"/>
  <c r="AG58" i="12"/>
  <c r="AH58" i="12"/>
  <c r="AI58" i="12"/>
  <c r="DX60" i="9"/>
  <c r="DW60" i="9"/>
  <c r="DZ60" i="9"/>
  <c r="DY60" i="9"/>
  <c r="FK59" i="9"/>
  <c r="FJ59" i="9"/>
  <c r="FI59" i="9"/>
  <c r="FL59" i="9"/>
  <c r="DX58" i="12"/>
  <c r="DZ58" i="12"/>
  <c r="DY58" i="12"/>
  <c r="ES60" i="9"/>
  <c r="EP60" i="9"/>
  <c r="DW59" i="9"/>
  <c r="EA59" i="9" s="1"/>
  <c r="EA60" i="9" s="1"/>
  <c r="DX59" i="9"/>
  <c r="DZ59" i="9"/>
  <c r="DY59" i="9"/>
  <c r="BR59" i="9"/>
  <c r="BS59" i="9"/>
  <c r="BT59" i="9"/>
  <c r="BU59" i="9"/>
  <c r="FJ60" i="9" l="1"/>
  <c r="FI60" i="9"/>
  <c r="FK60" i="9"/>
  <c r="DF60" i="9"/>
  <c r="DE60" i="9"/>
  <c r="AF60" i="9"/>
  <c r="ET59" i="9"/>
  <c r="BV59" i="9"/>
  <c r="BV60" i="9" s="1"/>
  <c r="CO59" i="9"/>
  <c r="CO60" i="9" s="1"/>
  <c r="DH59" i="9"/>
  <c r="DH60" i="9" s="1"/>
  <c r="FM59" i="9"/>
  <c r="FM60" i="9" s="1"/>
  <c r="BC59" i="9"/>
  <c r="DG60" i="9"/>
  <c r="EQ60" i="9"/>
  <c r="AI60" i="9"/>
  <c r="M62" i="9"/>
  <c r="P62" i="9" s="1"/>
  <c r="Q62" i="9" s="1"/>
  <c r="AG60" i="9"/>
  <c r="AJ60" i="9" s="1"/>
  <c r="BB60" i="9"/>
  <c r="AY60" i="9"/>
  <c r="AZ60" i="9"/>
  <c r="BC58" i="12"/>
  <c r="BV58" i="12"/>
  <c r="AJ58" i="12"/>
  <c r="EA58" i="12"/>
  <c r="FM58" i="12"/>
  <c r="CM59" i="12"/>
  <c r="CN59" i="12"/>
  <c r="CL59" i="12"/>
  <c r="AG59" i="12"/>
  <c r="AH59" i="12"/>
  <c r="AI59" i="12"/>
  <c r="BB59" i="12"/>
  <c r="BA59" i="12"/>
  <c r="AZ59" i="12"/>
  <c r="L63" i="9" a="1"/>
  <c r="L63" i="9" s="1"/>
  <c r="K63" i="9" a="1"/>
  <c r="K63" i="9" s="1"/>
  <c r="H63" i="9" a="1"/>
  <c r="H63" i="9" s="1"/>
  <c r="G63" i="9" a="1"/>
  <c r="G63" i="9" s="1"/>
  <c r="O63" i="9" a="1"/>
  <c r="O63" i="9" s="1"/>
  <c r="N63" i="9" a="1"/>
  <c r="N63" i="9" s="1"/>
  <c r="J63" i="9" a="1"/>
  <c r="J63" i="9" s="1"/>
  <c r="D64" i="9"/>
  <c r="CX62" i="9"/>
  <c r="CY62" i="9" s="1"/>
  <c r="DC62" i="9" s="1"/>
  <c r="I63" i="9"/>
  <c r="AS62" i="9"/>
  <c r="AT62" i="9" s="1"/>
  <c r="AX62" i="9" s="1"/>
  <c r="FC62" i="9"/>
  <c r="FD62" i="9" s="1"/>
  <c r="FH62" i="9" s="1"/>
  <c r="BL62" i="9"/>
  <c r="BM62" i="9" s="1"/>
  <c r="BQ62" i="9" s="1"/>
  <c r="Z62" i="9"/>
  <c r="AA62" i="9" s="1"/>
  <c r="AE62" i="9" s="1"/>
  <c r="CE62" i="9"/>
  <c r="CF62" i="9" s="1"/>
  <c r="CJ62" i="9" s="1"/>
  <c r="DQ62" i="9"/>
  <c r="DR62" i="9" s="1"/>
  <c r="DV62" i="9" s="1"/>
  <c r="EJ62" i="9"/>
  <c r="EK62" i="9" s="1"/>
  <c r="EO62" i="9" s="1"/>
  <c r="ET58" i="12"/>
  <c r="M61" i="12"/>
  <c r="P61" i="12" s="1"/>
  <c r="Q61" i="12" s="1"/>
  <c r="BS59" i="12"/>
  <c r="BT59" i="12"/>
  <c r="BU59" i="12"/>
  <c r="DX59" i="12"/>
  <c r="DY59" i="12"/>
  <c r="DZ59" i="12"/>
  <c r="FF61" i="9"/>
  <c r="FE61" i="9"/>
  <c r="FG61" i="9" s="1"/>
  <c r="AU61" i="9"/>
  <c r="AW61" i="9" s="1"/>
  <c r="AV61" i="9"/>
  <c r="CH61" i="9"/>
  <c r="BN61" i="9"/>
  <c r="BP61" i="9" s="1"/>
  <c r="CG61" i="9"/>
  <c r="CI61" i="9" s="1"/>
  <c r="BO61" i="9"/>
  <c r="DA61" i="9"/>
  <c r="CZ61" i="9"/>
  <c r="DB61" i="9" s="1"/>
  <c r="EM61" i="9"/>
  <c r="EL61" i="9"/>
  <c r="EN61" i="9" s="1"/>
  <c r="AB61" i="9"/>
  <c r="AD61" i="9" s="1"/>
  <c r="AC61" i="9"/>
  <c r="DT61" i="9"/>
  <c r="DS61" i="9"/>
  <c r="DU61" i="9" s="1"/>
  <c r="EQ59" i="12"/>
  <c r="ES59" i="12"/>
  <c r="ER59" i="12"/>
  <c r="DE59" i="12"/>
  <c r="DG59" i="12"/>
  <c r="DF59" i="12"/>
  <c r="CO58" i="12"/>
  <c r="DH58" i="12"/>
  <c r="G62" i="12" a="1"/>
  <c r="G62" i="12" s="1"/>
  <c r="H62" i="12" a="1"/>
  <c r="H62" i="12" s="1"/>
  <c r="L62" i="12" a="1"/>
  <c r="L62" i="12" s="1"/>
  <c r="N62" i="12" a="1"/>
  <c r="N62" i="12" s="1"/>
  <c r="J62" i="12" a="1"/>
  <c r="J62" i="12" s="1"/>
  <c r="K62" i="12" a="1"/>
  <c r="K62" i="12" s="1"/>
  <c r="O62" i="12" a="1"/>
  <c r="O62" i="12" s="1"/>
  <c r="D63" i="12"/>
  <c r="FJ59" i="12"/>
  <c r="FL59" i="12"/>
  <c r="FK59" i="12"/>
  <c r="EP60" i="12"/>
  <c r="FE60" i="12"/>
  <c r="FG60" i="12" s="1"/>
  <c r="FF60" i="12"/>
  <c r="DD60" i="12"/>
  <c r="CK60" i="12"/>
  <c r="BN60" i="12"/>
  <c r="BP60" i="12" s="1"/>
  <c r="BO60" i="12"/>
  <c r="AB60" i="12"/>
  <c r="AD60" i="12" s="1"/>
  <c r="AC60" i="12"/>
  <c r="DW60" i="12"/>
  <c r="AF60" i="12"/>
  <c r="CZ60" i="12"/>
  <c r="DB60" i="12" s="1"/>
  <c r="AY60" i="12"/>
  <c r="CH60" i="12"/>
  <c r="CG60" i="12"/>
  <c r="CI60" i="12" s="1"/>
  <c r="DT60" i="12"/>
  <c r="DS60" i="12"/>
  <c r="DU60" i="12" s="1"/>
  <c r="EM60" i="12"/>
  <c r="BR60" i="12"/>
  <c r="EL60" i="12"/>
  <c r="EN60" i="12" s="1"/>
  <c r="DA60" i="12"/>
  <c r="FI60" i="12"/>
  <c r="AU60" i="12"/>
  <c r="AW60" i="12" s="1"/>
  <c r="AV60" i="12"/>
  <c r="ET60" i="9" l="1"/>
  <c r="CO59" i="12"/>
  <c r="BC60" i="9"/>
  <c r="AJ59" i="12"/>
  <c r="BV59" i="12"/>
  <c r="FM59" i="12"/>
  <c r="M63" i="9"/>
  <c r="P63" i="9" s="1"/>
  <c r="Q63" i="9" s="1"/>
  <c r="FE61" i="12"/>
  <c r="FG61" i="12" s="1"/>
  <c r="EP61" i="12"/>
  <c r="FF61" i="12"/>
  <c r="DD61" i="12"/>
  <c r="CK61" i="12"/>
  <c r="AB61" i="12"/>
  <c r="AD61" i="12" s="1"/>
  <c r="AC61" i="12"/>
  <c r="BN61" i="12"/>
  <c r="BP61" i="12" s="1"/>
  <c r="BO61" i="12"/>
  <c r="AY61" i="12"/>
  <c r="DW61" i="12"/>
  <c r="DA61" i="12"/>
  <c r="EL61" i="12"/>
  <c r="EN61" i="12" s="1"/>
  <c r="FI61" i="12"/>
  <c r="CZ61" i="12"/>
  <c r="DB61" i="12" s="1"/>
  <c r="DT61" i="12"/>
  <c r="BR61" i="12"/>
  <c r="DS61" i="12"/>
  <c r="DU61" i="12" s="1"/>
  <c r="CG61" i="12"/>
  <c r="CI61" i="12" s="1"/>
  <c r="AF61" i="12"/>
  <c r="CH61" i="12"/>
  <c r="EM61" i="12"/>
  <c r="AU61" i="12"/>
  <c r="AW61" i="12" s="1"/>
  <c r="AV61" i="12"/>
  <c r="ET59" i="12"/>
  <c r="AZ61" i="9"/>
  <c r="BB61" i="9"/>
  <c r="BA61" i="9"/>
  <c r="AY61" i="9"/>
  <c r="L63" i="12" a="1"/>
  <c r="L63" i="12" s="1"/>
  <c r="H63" i="12" a="1"/>
  <c r="H63" i="12" s="1"/>
  <c r="J63" i="12" a="1"/>
  <c r="J63" i="12" s="1"/>
  <c r="N63" i="12" a="1"/>
  <c r="N63" i="12" s="1"/>
  <c r="O63" i="12" a="1"/>
  <c r="O63" i="12" s="1"/>
  <c r="K63" i="12" a="1"/>
  <c r="K63" i="12" s="1"/>
  <c r="G63" i="12" a="1"/>
  <c r="G63" i="12" s="1"/>
  <c r="D64" i="12"/>
  <c r="DE61" i="9"/>
  <c r="DD61" i="9"/>
  <c r="DG61" i="9"/>
  <c r="DF61" i="9"/>
  <c r="FK61" i="9"/>
  <c r="FL61" i="9"/>
  <c r="FI61" i="9"/>
  <c r="FJ61" i="9"/>
  <c r="BS60" i="12"/>
  <c r="BT60" i="12"/>
  <c r="BU60" i="12"/>
  <c r="ES61" i="9"/>
  <c r="EQ61" i="9"/>
  <c r="EP61" i="9"/>
  <c r="ET61" i="9" s="1"/>
  <c r="ER61" i="9"/>
  <c r="DE60" i="12"/>
  <c r="DF60" i="12"/>
  <c r="DG60" i="12"/>
  <c r="FJ60" i="12"/>
  <c r="FL60" i="12"/>
  <c r="FK60" i="12"/>
  <c r="DW61" i="9"/>
  <c r="DX61" i="9"/>
  <c r="DY61" i="9"/>
  <c r="DZ61" i="9"/>
  <c r="I64" i="9"/>
  <c r="CE63" i="9"/>
  <c r="CF63" i="9" s="1"/>
  <c r="CJ63" i="9" s="1"/>
  <c r="EJ63" i="9"/>
  <c r="EK63" i="9" s="1"/>
  <c r="EO63" i="9" s="1"/>
  <c r="FC63" i="9"/>
  <c r="FD63" i="9" s="1"/>
  <c r="FH63" i="9" s="1"/>
  <c r="AS63" i="9"/>
  <c r="AT63" i="9" s="1"/>
  <c r="AX63" i="9" s="1"/>
  <c r="BL63" i="9"/>
  <c r="BM63" i="9" s="1"/>
  <c r="BQ63" i="9" s="1"/>
  <c r="Z63" i="9"/>
  <c r="AA63" i="9" s="1"/>
  <c r="AE63" i="9" s="1"/>
  <c r="CX63" i="9"/>
  <c r="CY63" i="9" s="1"/>
  <c r="DC63" i="9" s="1"/>
  <c r="DQ63" i="9"/>
  <c r="DR63" i="9" s="1"/>
  <c r="DV63" i="9" s="1"/>
  <c r="DX60" i="12"/>
  <c r="DZ60" i="12"/>
  <c r="DY60" i="12"/>
  <c r="M62" i="12"/>
  <c r="P62" i="12" s="1"/>
  <c r="Q62" i="12" s="1"/>
  <c r="CN61" i="9"/>
  <c r="CK61" i="9"/>
  <c r="CM61" i="9"/>
  <c r="CL61" i="9"/>
  <c r="EA59" i="12"/>
  <c r="EQ60" i="12"/>
  <c r="ER60" i="12"/>
  <c r="ES60" i="12"/>
  <c r="AH60" i="12"/>
  <c r="AI60" i="12"/>
  <c r="AG60" i="12"/>
  <c r="DH59" i="12"/>
  <c r="BR61" i="9"/>
  <c r="BS61" i="9"/>
  <c r="BU61" i="9"/>
  <c r="BT61" i="9"/>
  <c r="BO62" i="9"/>
  <c r="BN62" i="9"/>
  <c r="BP62" i="9" s="1"/>
  <c r="FE62" i="9"/>
  <c r="FG62" i="9" s="1"/>
  <c r="AV62" i="9"/>
  <c r="AU62" i="9"/>
  <c r="AW62" i="9" s="1"/>
  <c r="CG62" i="9"/>
  <c r="CI62" i="9" s="1"/>
  <c r="FF62" i="9"/>
  <c r="CH62" i="9"/>
  <c r="EL62" i="9"/>
  <c r="EN62" i="9" s="1"/>
  <c r="DA62" i="9"/>
  <c r="EM62" i="9"/>
  <c r="CZ62" i="9"/>
  <c r="DB62" i="9" s="1"/>
  <c r="AC62" i="9"/>
  <c r="AB62" i="9"/>
  <c r="AD62" i="9" s="1"/>
  <c r="DS62" i="9"/>
  <c r="DU62" i="9" s="1"/>
  <c r="DT62" i="9"/>
  <c r="BC59" i="12"/>
  <c r="BA60" i="12"/>
  <c r="AZ60" i="12"/>
  <c r="BB60" i="12"/>
  <c r="CL60" i="12"/>
  <c r="CN60" i="12"/>
  <c r="CM60" i="12"/>
  <c r="AF61" i="9"/>
  <c r="AJ61" i="9" s="1"/>
  <c r="AI61" i="9"/>
  <c r="AG61" i="9"/>
  <c r="AH61" i="9"/>
  <c r="L64" i="9" a="1"/>
  <c r="L64" i="9" s="1"/>
  <c r="G64" i="9" a="1"/>
  <c r="G64" i="9" s="1"/>
  <c r="O64" i="9" a="1"/>
  <c r="O64" i="9" s="1"/>
  <c r="H64" i="9" a="1"/>
  <c r="H64" i="9" s="1"/>
  <c r="J64" i="9" a="1"/>
  <c r="J64" i="9" s="1"/>
  <c r="N64" i="9" a="1"/>
  <c r="N64" i="9" s="1"/>
  <c r="K64" i="9" a="1"/>
  <c r="K64" i="9" s="1"/>
  <c r="D65" i="9"/>
  <c r="DH61" i="9" l="1"/>
  <c r="BC61" i="9"/>
  <c r="FM61" i="9"/>
  <c r="CO61" i="9"/>
  <c r="EA61" i="9"/>
  <c r="BV61" i="9"/>
  <c r="DT63" i="9"/>
  <c r="CG63" i="9"/>
  <c r="CI63" i="9" s="1"/>
  <c r="CN63" i="9" s="1"/>
  <c r="DA63" i="9"/>
  <c r="FF63" i="9"/>
  <c r="BO63" i="9"/>
  <c r="EM63" i="9"/>
  <c r="FM60" i="12"/>
  <c r="CH63" i="9"/>
  <c r="DH60" i="12"/>
  <c r="BN63" i="9"/>
  <c r="BP63" i="9" s="1"/>
  <c r="BT63" i="9" s="1"/>
  <c r="BC60" i="12"/>
  <c r="AJ60" i="12"/>
  <c r="M64" i="9"/>
  <c r="P64" i="9" s="1"/>
  <c r="Q64" i="9" s="1"/>
  <c r="BV60" i="12"/>
  <c r="EA60" i="12"/>
  <c r="FE62" i="12"/>
  <c r="FG62" i="12" s="1"/>
  <c r="FF62" i="12"/>
  <c r="EP62" i="12"/>
  <c r="DD62" i="12"/>
  <c r="CK62" i="12"/>
  <c r="AB62" i="12"/>
  <c r="AD62" i="12" s="1"/>
  <c r="AC62" i="12"/>
  <c r="BN62" i="12"/>
  <c r="BP62" i="12" s="1"/>
  <c r="BO62" i="12"/>
  <c r="AF62" i="12"/>
  <c r="FI62" i="12"/>
  <c r="DW62" i="12"/>
  <c r="BR62" i="12"/>
  <c r="DS62" i="12"/>
  <c r="DU62" i="12" s="1"/>
  <c r="CH62" i="12"/>
  <c r="AY62" i="12"/>
  <c r="DA62" i="12"/>
  <c r="CG62" i="12"/>
  <c r="CI62" i="12" s="1"/>
  <c r="CZ62" i="12"/>
  <c r="DB62" i="12" s="1"/>
  <c r="DT62" i="12"/>
  <c r="EM62" i="12"/>
  <c r="EL62" i="12"/>
  <c r="EN62" i="12" s="1"/>
  <c r="AU62" i="12"/>
  <c r="AW62" i="12" s="1"/>
  <c r="AV62" i="12"/>
  <c r="BS61" i="12"/>
  <c r="BU61" i="12"/>
  <c r="BT61" i="12"/>
  <c r="DW62" i="9"/>
  <c r="DX62" i="9"/>
  <c r="DZ62" i="9"/>
  <c r="DY62" i="9"/>
  <c r="J64" i="12" a="1"/>
  <c r="J64" i="12" s="1"/>
  <c r="O64" i="12" a="1"/>
  <c r="O64" i="12" s="1"/>
  <c r="K64" i="12" a="1"/>
  <c r="K64" i="12" s="1"/>
  <c r="G64" i="12" a="1"/>
  <c r="G64" i="12" s="1"/>
  <c r="H64" i="12" a="1"/>
  <c r="H64" i="12" s="1"/>
  <c r="L64" i="12" a="1"/>
  <c r="L64" i="12" s="1"/>
  <c r="N64" i="12" a="1"/>
  <c r="N64" i="12" s="1"/>
  <c r="D65" i="12"/>
  <c r="AZ61" i="12"/>
  <c r="BB61" i="12"/>
  <c r="BA61" i="12"/>
  <c r="DE61" i="12"/>
  <c r="DG61" i="12"/>
  <c r="DF61" i="12"/>
  <c r="EL63" i="9"/>
  <c r="EN63" i="9" s="1"/>
  <c r="AH61" i="12"/>
  <c r="AI61" i="12"/>
  <c r="AG61" i="12"/>
  <c r="BB62" i="9"/>
  <c r="AZ62" i="9"/>
  <c r="AY62" i="9"/>
  <c r="BC62" i="9" s="1"/>
  <c r="BA62" i="9"/>
  <c r="ET60" i="12"/>
  <c r="FE63" i="9"/>
  <c r="FG63" i="9" s="1"/>
  <c r="EQ61" i="12"/>
  <c r="ES61" i="12"/>
  <c r="ER61" i="12"/>
  <c r="ER62" i="9"/>
  <c r="EQ62" i="9"/>
  <c r="EP62" i="9"/>
  <c r="ES62" i="9"/>
  <c r="AG62" i="9"/>
  <c r="AF62" i="9"/>
  <c r="AH62" i="9"/>
  <c r="AI62" i="9"/>
  <c r="DG62" i="9"/>
  <c r="DD62" i="9"/>
  <c r="DH62" i="9" s="1"/>
  <c r="DE62" i="9"/>
  <c r="DF62" i="9"/>
  <c r="AB63" i="9"/>
  <c r="AD63" i="9" s="1"/>
  <c r="CO60" i="12"/>
  <c r="FL62" i="9"/>
  <c r="FK62" i="9"/>
  <c r="FI62" i="9"/>
  <c r="FJ62" i="9"/>
  <c r="AC63" i="9"/>
  <c r="CM61" i="12"/>
  <c r="CL61" i="12"/>
  <c r="CN61" i="12"/>
  <c r="CN62" i="9"/>
  <c r="CM62" i="9"/>
  <c r="CL62" i="9"/>
  <c r="CK62" i="9"/>
  <c r="G65" i="9" a="1"/>
  <c r="G65" i="9" s="1"/>
  <c r="H65" i="9" a="1"/>
  <c r="H65" i="9" s="1"/>
  <c r="O65" i="9" a="1"/>
  <c r="O65" i="9" s="1"/>
  <c r="J65" i="9" a="1"/>
  <c r="J65" i="9" s="1"/>
  <c r="N65" i="9" a="1"/>
  <c r="N65" i="9" s="1"/>
  <c r="L65" i="9" a="1"/>
  <c r="L65" i="9" s="1"/>
  <c r="K65" i="9" a="1"/>
  <c r="K65" i="9" s="1"/>
  <c r="D66" i="9"/>
  <c r="BS62" i="9"/>
  <c r="BR62" i="9"/>
  <c r="BU62" i="9"/>
  <c r="BT62" i="9"/>
  <c r="M63" i="12"/>
  <c r="P63" i="12" s="1"/>
  <c r="Q63" i="12" s="1"/>
  <c r="CZ63" i="9"/>
  <c r="DB63" i="9" s="1"/>
  <c r="AV63" i="9"/>
  <c r="DX61" i="12"/>
  <c r="DZ61" i="12"/>
  <c r="DY61" i="12"/>
  <c r="I65" i="9"/>
  <c r="CX64" i="9"/>
  <c r="CY64" i="9" s="1"/>
  <c r="DC64" i="9" s="1"/>
  <c r="BL64" i="9"/>
  <c r="BM64" i="9" s="1"/>
  <c r="BQ64" i="9" s="1"/>
  <c r="Z64" i="9"/>
  <c r="AA64" i="9" s="1"/>
  <c r="AE64" i="9" s="1"/>
  <c r="CE64" i="9"/>
  <c r="CF64" i="9" s="1"/>
  <c r="CJ64" i="9" s="1"/>
  <c r="DQ64" i="9"/>
  <c r="DR64" i="9" s="1"/>
  <c r="DV64" i="9" s="1"/>
  <c r="FC64" i="9"/>
  <c r="FD64" i="9" s="1"/>
  <c r="FH64" i="9" s="1"/>
  <c r="AS64" i="9"/>
  <c r="AT64" i="9" s="1"/>
  <c r="AX64" i="9" s="1"/>
  <c r="EJ64" i="9"/>
  <c r="EK64" i="9" s="1"/>
  <c r="EO64" i="9" s="1"/>
  <c r="DS63" i="9"/>
  <c r="DU63" i="9" s="1"/>
  <c r="AU63" i="9"/>
  <c r="AW63" i="9" s="1"/>
  <c r="FJ61" i="12"/>
  <c r="FL61" i="12"/>
  <c r="FK61" i="12"/>
  <c r="BS63" i="9" l="1"/>
  <c r="CM63" i="9"/>
  <c r="FM62" i="9"/>
  <c r="CK63" i="9"/>
  <c r="CL63" i="9"/>
  <c r="BV62" i="9"/>
  <c r="AJ62" i="9"/>
  <c r="BR63" i="9"/>
  <c r="ET62" i="9"/>
  <c r="BU63" i="9"/>
  <c r="EA62" i="9"/>
  <c r="CO62" i="9"/>
  <c r="CO63" i="9" s="1"/>
  <c r="BV61" i="12"/>
  <c r="EA61" i="12"/>
  <c r="FM61" i="12"/>
  <c r="AU64" i="9"/>
  <c r="AW64" i="9" s="1"/>
  <c r="AY64" i="9" s="1"/>
  <c r="CG64" i="9"/>
  <c r="CI64" i="9" s="1"/>
  <c r="CK64" i="9" s="1"/>
  <c r="DS64" i="9"/>
  <c r="DU64" i="9" s="1"/>
  <c r="BN64" i="9"/>
  <c r="BP64" i="9" s="1"/>
  <c r="CZ64" i="9"/>
  <c r="DB64" i="9" s="1"/>
  <c r="DE64" i="9" s="1"/>
  <c r="AV64" i="9"/>
  <c r="EL64" i="9"/>
  <c r="EN64" i="9" s="1"/>
  <c r="EP64" i="9" s="1"/>
  <c r="EM64" i="9"/>
  <c r="BO64" i="9"/>
  <c r="CH64" i="9"/>
  <c r="DA64" i="9"/>
  <c r="FE64" i="9"/>
  <c r="FG64" i="9" s="1"/>
  <c r="FL64" i="9" s="1"/>
  <c r="AJ61" i="12"/>
  <c r="DT64" i="9"/>
  <c r="EP63" i="12"/>
  <c r="FE63" i="12"/>
  <c r="FG63" i="12" s="1"/>
  <c r="FF63" i="12"/>
  <c r="DD63" i="12"/>
  <c r="CK63" i="12"/>
  <c r="AC63" i="12"/>
  <c r="BN63" i="12"/>
  <c r="BP63" i="12" s="1"/>
  <c r="BO63" i="12"/>
  <c r="AB63" i="12"/>
  <c r="AD63" i="12" s="1"/>
  <c r="EM63" i="12"/>
  <c r="FI63" i="12"/>
  <c r="EL63" i="12"/>
  <c r="EN63" i="12" s="1"/>
  <c r="AY63" i="12"/>
  <c r="CH63" i="12"/>
  <c r="BR63" i="12"/>
  <c r="CG63" i="12"/>
  <c r="CI63" i="12" s="1"/>
  <c r="DW63" i="12"/>
  <c r="AF63" i="12"/>
  <c r="DT63" i="12"/>
  <c r="DS63" i="12"/>
  <c r="DU63" i="12" s="1"/>
  <c r="CZ63" i="12"/>
  <c r="DB63" i="12" s="1"/>
  <c r="DA63" i="12"/>
  <c r="AU63" i="12"/>
  <c r="AW63" i="12" s="1"/>
  <c r="AV63" i="12"/>
  <c r="BS62" i="12"/>
  <c r="BU62" i="12"/>
  <c r="BT62" i="12"/>
  <c r="BU64" i="9"/>
  <c r="BT64" i="9"/>
  <c r="BR64" i="9"/>
  <c r="BS64" i="9"/>
  <c r="AZ62" i="12"/>
  <c r="BB62" i="12"/>
  <c r="BA62" i="12"/>
  <c r="EQ62" i="12"/>
  <c r="ER62" i="12"/>
  <c r="ES62" i="12"/>
  <c r="DX62" i="12"/>
  <c r="DZ62" i="12"/>
  <c r="DY62" i="12"/>
  <c r="AG62" i="12"/>
  <c r="AH62" i="12"/>
  <c r="AI62" i="12"/>
  <c r="AI63" i="9"/>
  <c r="AH63" i="9"/>
  <c r="AF63" i="9"/>
  <c r="AG63" i="9"/>
  <c r="N66" i="9" a="1"/>
  <c r="N66" i="9" s="1"/>
  <c r="L66" i="9" a="1"/>
  <c r="L66" i="9" s="1"/>
  <c r="K66" i="9" a="1"/>
  <c r="K66" i="9" s="1"/>
  <c r="J66" i="9" a="1"/>
  <c r="J66" i="9" s="1"/>
  <c r="O66" i="9" a="1"/>
  <c r="O66" i="9" s="1"/>
  <c r="G66" i="9" a="1"/>
  <c r="G66" i="9" s="1"/>
  <c r="H66" i="9" a="1"/>
  <c r="H66" i="9" s="1"/>
  <c r="D67" i="9"/>
  <c r="AB64" i="9"/>
  <c r="AD64" i="9" s="1"/>
  <c r="DE63" i="9"/>
  <c r="DD63" i="9"/>
  <c r="DG63" i="9"/>
  <c r="DF63" i="9"/>
  <c r="BC61" i="12"/>
  <c r="M64" i="12"/>
  <c r="P64" i="12" s="1"/>
  <c r="Q64" i="12" s="1"/>
  <c r="I66" i="9"/>
  <c r="DQ65" i="9"/>
  <c r="DR65" i="9" s="1"/>
  <c r="DV65" i="9" s="1"/>
  <c r="CX65" i="9"/>
  <c r="CY65" i="9" s="1"/>
  <c r="DC65" i="9" s="1"/>
  <c r="CE65" i="9"/>
  <c r="CF65" i="9" s="1"/>
  <c r="CJ65" i="9" s="1"/>
  <c r="Z65" i="9"/>
  <c r="AA65" i="9" s="1"/>
  <c r="AE65" i="9" s="1"/>
  <c r="BL65" i="9"/>
  <c r="BM65" i="9" s="1"/>
  <c r="BQ65" i="9" s="1"/>
  <c r="EJ65" i="9"/>
  <c r="EK65" i="9" s="1"/>
  <c r="EO65" i="9" s="1"/>
  <c r="AS65" i="9"/>
  <c r="AT65" i="9" s="1"/>
  <c r="AX65" i="9" s="1"/>
  <c r="FC65" i="9"/>
  <c r="FD65" i="9" s="1"/>
  <c r="FH65" i="9" s="1"/>
  <c r="FL63" i="9"/>
  <c r="FK63" i="9"/>
  <c r="FJ63" i="9"/>
  <c r="FI63" i="9"/>
  <c r="FM63" i="9" s="1"/>
  <c r="AY63" i="9"/>
  <c r="BC63" i="9" s="1"/>
  <c r="BA63" i="9"/>
  <c r="BB63" i="9"/>
  <c r="AZ63" i="9"/>
  <c r="FF64" i="9"/>
  <c r="M65" i="9"/>
  <c r="P65" i="9" s="1"/>
  <c r="Q65" i="9" s="1"/>
  <c r="L65" i="12" a="1"/>
  <c r="L65" i="12" s="1"/>
  <c r="J65" i="12" a="1"/>
  <c r="J65" i="12" s="1"/>
  <c r="H65" i="12" a="1"/>
  <c r="H65" i="12" s="1"/>
  <c r="O65" i="12" a="1"/>
  <c r="O65" i="12" s="1"/>
  <c r="N65" i="12" a="1"/>
  <c r="N65" i="12" s="1"/>
  <c r="K65" i="12" a="1"/>
  <c r="K65" i="12" s="1"/>
  <c r="G65" i="12" a="1"/>
  <c r="G65" i="12" s="1"/>
  <c r="D66" i="12"/>
  <c r="DE62" i="12"/>
  <c r="DF62" i="12"/>
  <c r="DG62" i="12"/>
  <c r="DZ64" i="9"/>
  <c r="DY64" i="9"/>
  <c r="DW64" i="9"/>
  <c r="DX64" i="9"/>
  <c r="DY63" i="9"/>
  <c r="DX63" i="9"/>
  <c r="DW63" i="9"/>
  <c r="DZ63" i="9"/>
  <c r="AC64" i="9"/>
  <c r="CO61" i="12"/>
  <c r="ET61" i="12"/>
  <c r="EQ63" i="9"/>
  <c r="EP63" i="9"/>
  <c r="ER63" i="9"/>
  <c r="ES63" i="9"/>
  <c r="CL62" i="12"/>
  <c r="CN62" i="12"/>
  <c r="CM62" i="12"/>
  <c r="DH61" i="12"/>
  <c r="FJ62" i="12"/>
  <c r="FL62" i="12"/>
  <c r="FK62" i="12"/>
  <c r="AZ64" i="9" l="1"/>
  <c r="CM64" i="9"/>
  <c r="CL64" i="9"/>
  <c r="CN64" i="9"/>
  <c r="EQ64" i="9"/>
  <c r="ER64" i="9"/>
  <c r="ES64" i="9"/>
  <c r="ET63" i="9"/>
  <c r="ET64" i="9" s="1"/>
  <c r="BA64" i="9"/>
  <c r="BV63" i="9"/>
  <c r="BV64" i="9" s="1"/>
  <c r="DH63" i="9"/>
  <c r="AJ63" i="9"/>
  <c r="BB64" i="9"/>
  <c r="BC64" i="9"/>
  <c r="CO64" i="9"/>
  <c r="EA63" i="9"/>
  <c r="EA64" i="9" s="1"/>
  <c r="DG64" i="9"/>
  <c r="DD64" i="9"/>
  <c r="DF64" i="9"/>
  <c r="FI64" i="9"/>
  <c r="FM64" i="9" s="1"/>
  <c r="FJ64" i="9"/>
  <c r="FM62" i="12"/>
  <c r="AJ62" i="12"/>
  <c r="BV62" i="12"/>
  <c r="BC62" i="12"/>
  <c r="DH62" i="12"/>
  <c r="CO62" i="12"/>
  <c r="EA62" i="12"/>
  <c r="FK64" i="9"/>
  <c r="CH65" i="9"/>
  <c r="CG65" i="9"/>
  <c r="CI65" i="9" s="1"/>
  <c r="FF65" i="9"/>
  <c r="FE65" i="9"/>
  <c r="FG65" i="9" s="1"/>
  <c r="BO65" i="9"/>
  <c r="BN65" i="9"/>
  <c r="BP65" i="9" s="1"/>
  <c r="AU65" i="9"/>
  <c r="AW65" i="9" s="1"/>
  <c r="AV65" i="9"/>
  <c r="EM65" i="9"/>
  <c r="EL65" i="9"/>
  <c r="EN65" i="9" s="1"/>
  <c r="AB65" i="9"/>
  <c r="AD65" i="9" s="1"/>
  <c r="AC65" i="9"/>
  <c r="DA65" i="9"/>
  <c r="CZ65" i="9"/>
  <c r="DB65" i="9" s="1"/>
  <c r="DS65" i="9"/>
  <c r="DU65" i="9" s="1"/>
  <c r="DT65" i="9"/>
  <c r="EQ63" i="12"/>
  <c r="ER63" i="12"/>
  <c r="ES63" i="12"/>
  <c r="FF64" i="12"/>
  <c r="FE64" i="12"/>
  <c r="FG64" i="12" s="1"/>
  <c r="EP64" i="12"/>
  <c r="CK64" i="12"/>
  <c r="DD64" i="12"/>
  <c r="AC64" i="12"/>
  <c r="AB64" i="12"/>
  <c r="AD64" i="12" s="1"/>
  <c r="BN64" i="12"/>
  <c r="BP64" i="12" s="1"/>
  <c r="BO64" i="12"/>
  <c r="DW64" i="12"/>
  <c r="CG64" i="12"/>
  <c r="CI64" i="12" s="1"/>
  <c r="AF64" i="12"/>
  <c r="BR64" i="12"/>
  <c r="CH64" i="12"/>
  <c r="EM64" i="12"/>
  <c r="DT64" i="12"/>
  <c r="AY64" i="12"/>
  <c r="EL64" i="12"/>
  <c r="EN64" i="12" s="1"/>
  <c r="DS64" i="12"/>
  <c r="DU64" i="12" s="1"/>
  <c r="FI64" i="12"/>
  <c r="DA64" i="12"/>
  <c r="CZ64" i="12"/>
  <c r="DB64" i="12" s="1"/>
  <c r="AV64" i="12"/>
  <c r="AU64" i="12"/>
  <c r="AW64" i="12" s="1"/>
  <c r="DX63" i="12"/>
  <c r="DZ63" i="12"/>
  <c r="DY63" i="12"/>
  <c r="M65" i="12"/>
  <c r="P65" i="12" s="1"/>
  <c r="Q65" i="12" s="1"/>
  <c r="I67" i="9"/>
  <c r="CE66" i="9"/>
  <c r="CF66" i="9" s="1"/>
  <c r="CJ66" i="9" s="1"/>
  <c r="Z66" i="9"/>
  <c r="AA66" i="9" s="1"/>
  <c r="AE66" i="9" s="1"/>
  <c r="DQ66" i="9"/>
  <c r="DR66" i="9" s="1"/>
  <c r="DV66" i="9" s="1"/>
  <c r="FC66" i="9"/>
  <c r="FD66" i="9" s="1"/>
  <c r="FH66" i="9" s="1"/>
  <c r="BL66" i="9"/>
  <c r="BM66" i="9" s="1"/>
  <c r="BQ66" i="9" s="1"/>
  <c r="AS66" i="9"/>
  <c r="AT66" i="9" s="1"/>
  <c r="AX66" i="9" s="1"/>
  <c r="CX66" i="9"/>
  <c r="CY66" i="9" s="1"/>
  <c r="DC66" i="9" s="1"/>
  <c r="EJ66" i="9"/>
  <c r="EK66" i="9" s="1"/>
  <c r="EO66" i="9" s="1"/>
  <c r="FJ63" i="12"/>
  <c r="FL63" i="12"/>
  <c r="FK63" i="12"/>
  <c r="AI64" i="9"/>
  <c r="AH64" i="9"/>
  <c r="AG64" i="9"/>
  <c r="AF64" i="9"/>
  <c r="AJ64" i="9" s="1"/>
  <c r="AH63" i="12"/>
  <c r="AG63" i="12"/>
  <c r="AI63" i="12"/>
  <c r="H66" i="12" a="1"/>
  <c r="H66" i="12" s="1"/>
  <c r="G66" i="12" a="1"/>
  <c r="G66" i="12" s="1"/>
  <c r="N66" i="12" a="1"/>
  <c r="N66" i="12" s="1"/>
  <c r="L66" i="12" a="1"/>
  <c r="L66" i="12" s="1"/>
  <c r="J66" i="12" a="1"/>
  <c r="J66" i="12" s="1"/>
  <c r="O66" i="12" a="1"/>
  <c r="O66" i="12" s="1"/>
  <c r="D67" i="12"/>
  <c r="K66" i="12" a="1"/>
  <c r="K66" i="12" s="1"/>
  <c r="K67" i="9" a="1"/>
  <c r="K67" i="9" s="1"/>
  <c r="L67" i="9" a="1"/>
  <c r="L67" i="9" s="1"/>
  <c r="G67" i="9" a="1"/>
  <c r="G67" i="9" s="1"/>
  <c r="J67" i="9" a="1"/>
  <c r="J67" i="9" s="1"/>
  <c r="O67" i="9" a="1"/>
  <c r="O67" i="9" s="1"/>
  <c r="N67" i="9" a="1"/>
  <c r="N67" i="9" s="1"/>
  <c r="H67" i="9" a="1"/>
  <c r="H67" i="9" s="1"/>
  <c r="D68" i="9"/>
  <c r="CN63" i="12"/>
  <c r="CM63" i="12"/>
  <c r="CL63" i="12"/>
  <c r="BA63" i="12"/>
  <c r="BB63" i="12"/>
  <c r="AZ63" i="12"/>
  <c r="BS63" i="12"/>
  <c r="BU63" i="12"/>
  <c r="BT63" i="12"/>
  <c r="M66" i="9"/>
  <c r="P66" i="9" s="1"/>
  <c r="Q66" i="9" s="1"/>
  <c r="ET62" i="12"/>
  <c r="DE63" i="12"/>
  <c r="DG63" i="12"/>
  <c r="DF63" i="12"/>
  <c r="DH64" i="9" l="1"/>
  <c r="ET63" i="12"/>
  <c r="BV63" i="12"/>
  <c r="AJ63" i="12"/>
  <c r="FM63" i="12"/>
  <c r="BC63" i="12"/>
  <c r="M66" i="12"/>
  <c r="P66" i="12" s="1"/>
  <c r="Q66" i="12" s="1"/>
  <c r="CO63" i="12"/>
  <c r="AV66" i="9"/>
  <c r="BN66" i="9"/>
  <c r="BP66" i="9" s="1"/>
  <c r="CG66" i="9"/>
  <c r="CI66" i="9" s="1"/>
  <c r="FF66" i="9"/>
  <c r="FE66" i="9"/>
  <c r="FG66" i="9" s="1"/>
  <c r="CH66" i="9"/>
  <c r="AU66" i="9"/>
  <c r="AW66" i="9" s="1"/>
  <c r="BO66" i="9"/>
  <c r="DA66" i="9"/>
  <c r="CZ66" i="9"/>
  <c r="DB66" i="9" s="1"/>
  <c r="AC66" i="9"/>
  <c r="AB66" i="9"/>
  <c r="AD66" i="9" s="1"/>
  <c r="EM66" i="9"/>
  <c r="EL66" i="9"/>
  <c r="EN66" i="9" s="1"/>
  <c r="DT66" i="9"/>
  <c r="DS66" i="9"/>
  <c r="DU66" i="9" s="1"/>
  <c r="EA63" i="12"/>
  <c r="DX64" i="12"/>
  <c r="DZ64" i="12"/>
  <c r="DY64" i="12"/>
  <c r="CN64" i="12"/>
  <c r="CM64" i="12"/>
  <c r="CL64" i="12"/>
  <c r="DW65" i="9"/>
  <c r="DX65" i="9"/>
  <c r="DZ65" i="9"/>
  <c r="DY65" i="9"/>
  <c r="BB65" i="9"/>
  <c r="BA65" i="9"/>
  <c r="AZ65" i="9"/>
  <c r="AY65" i="9"/>
  <c r="EQ64" i="12"/>
  <c r="ER64" i="12"/>
  <c r="ES64" i="12"/>
  <c r="FJ64" i="12"/>
  <c r="FK64" i="12"/>
  <c r="FL64" i="12"/>
  <c r="DD65" i="9"/>
  <c r="DH65" i="9" s="1"/>
  <c r="DE65" i="9"/>
  <c r="DG65" i="9"/>
  <c r="DF65" i="9"/>
  <c r="BR65" i="9"/>
  <c r="BS65" i="9"/>
  <c r="BU65" i="9"/>
  <c r="BT65" i="9"/>
  <c r="FE65" i="12"/>
  <c r="FG65" i="12" s="1"/>
  <c r="FF65" i="12"/>
  <c r="EP65" i="12"/>
  <c r="DD65" i="12"/>
  <c r="CK65" i="12"/>
  <c r="AB65" i="12"/>
  <c r="AD65" i="12" s="1"/>
  <c r="AC65" i="12"/>
  <c r="BN65" i="12"/>
  <c r="BP65" i="12" s="1"/>
  <c r="BO65" i="12"/>
  <c r="AF65" i="12"/>
  <c r="CH65" i="12"/>
  <c r="DT65" i="12"/>
  <c r="CG65" i="12"/>
  <c r="CI65" i="12" s="1"/>
  <c r="DS65" i="12"/>
  <c r="DU65" i="12" s="1"/>
  <c r="BR65" i="12"/>
  <c r="AY65" i="12"/>
  <c r="DW65" i="12"/>
  <c r="EM65" i="12"/>
  <c r="DA65" i="12"/>
  <c r="FI65" i="12"/>
  <c r="EL65" i="12"/>
  <c r="EN65" i="12" s="1"/>
  <c r="CZ65" i="12"/>
  <c r="DB65" i="12" s="1"/>
  <c r="AU65" i="12"/>
  <c r="AW65" i="12" s="1"/>
  <c r="AV65" i="12"/>
  <c r="O68" i="9" a="1"/>
  <c r="O68" i="9" s="1"/>
  <c r="N68" i="9" a="1"/>
  <c r="N68" i="9" s="1"/>
  <c r="H68" i="9" a="1"/>
  <c r="H68" i="9" s="1"/>
  <c r="G68" i="9" a="1"/>
  <c r="G68" i="9" s="1"/>
  <c r="L68" i="9" a="1"/>
  <c r="L68" i="9" s="1"/>
  <c r="J68" i="9" a="1"/>
  <c r="J68" i="9" s="1"/>
  <c r="K68" i="9" a="1"/>
  <c r="K68" i="9" s="1"/>
  <c r="D69" i="9"/>
  <c r="N67" i="12" a="1"/>
  <c r="N67" i="12" s="1"/>
  <c r="G67" i="12" a="1"/>
  <c r="G67" i="12" s="1"/>
  <c r="J67" i="12" a="1"/>
  <c r="J67" i="12" s="1"/>
  <c r="K67" i="12" a="1"/>
  <c r="K67" i="12" s="1"/>
  <c r="L67" i="12" a="1"/>
  <c r="L67" i="12" s="1"/>
  <c r="O67" i="12" a="1"/>
  <c r="O67" i="12" s="1"/>
  <c r="H67" i="12" a="1"/>
  <c r="H67" i="12" s="1"/>
  <c r="D68" i="12"/>
  <c r="BB64" i="12"/>
  <c r="BA64" i="12"/>
  <c r="AZ64" i="12"/>
  <c r="BS64" i="12"/>
  <c r="BT64" i="12"/>
  <c r="BU64" i="12"/>
  <c r="FL65" i="9"/>
  <c r="FK65" i="9"/>
  <c r="FI65" i="9"/>
  <c r="FM65" i="9" s="1"/>
  <c r="FJ65" i="9"/>
  <c r="AG64" i="12"/>
  <c r="AH64" i="12"/>
  <c r="AI64" i="12"/>
  <c r="AI65" i="9"/>
  <c r="AH65" i="9"/>
  <c r="AG65" i="9"/>
  <c r="AF65" i="9"/>
  <c r="AJ65" i="9" s="1"/>
  <c r="CO64" i="12"/>
  <c r="DH63" i="12"/>
  <c r="DE64" i="12"/>
  <c r="DG64" i="12"/>
  <c r="DF64" i="12"/>
  <c r="ER65" i="9"/>
  <c r="EP65" i="9"/>
  <c r="ES65" i="9"/>
  <c r="EQ65" i="9"/>
  <c r="CL65" i="9"/>
  <c r="CK65" i="9"/>
  <c r="CO65" i="9" s="1"/>
  <c r="CN65" i="9"/>
  <c r="CM65" i="9"/>
  <c r="M67" i="9"/>
  <c r="P67" i="9" s="1"/>
  <c r="Q67" i="9" s="1"/>
  <c r="I68" i="9"/>
  <c r="DQ67" i="9"/>
  <c r="DR67" i="9" s="1"/>
  <c r="DV67" i="9" s="1"/>
  <c r="FC67" i="9"/>
  <c r="FD67" i="9" s="1"/>
  <c r="FH67" i="9" s="1"/>
  <c r="CE67" i="9"/>
  <c r="CF67" i="9" s="1"/>
  <c r="CJ67" i="9" s="1"/>
  <c r="AS67" i="9"/>
  <c r="AT67" i="9" s="1"/>
  <c r="AX67" i="9" s="1"/>
  <c r="Z67" i="9"/>
  <c r="AA67" i="9" s="1"/>
  <c r="AE67" i="9" s="1"/>
  <c r="EJ67" i="9"/>
  <c r="EK67" i="9" s="1"/>
  <c r="EO67" i="9" s="1"/>
  <c r="BL67" i="9"/>
  <c r="BM67" i="9" s="1"/>
  <c r="BQ67" i="9" s="1"/>
  <c r="CX67" i="9"/>
  <c r="CY67" i="9" s="1"/>
  <c r="DC67" i="9" s="1"/>
  <c r="EP66" i="12" l="1"/>
  <c r="EA65" i="9"/>
  <c r="BC65" i="9"/>
  <c r="BC66" i="9" s="1"/>
  <c r="BV65" i="9"/>
  <c r="AC66" i="12"/>
  <c r="ET65" i="9"/>
  <c r="BV64" i="12"/>
  <c r="AF66" i="12"/>
  <c r="BN66" i="12"/>
  <c r="BP66" i="12" s="1"/>
  <c r="BS66" i="12" s="1"/>
  <c r="AB66" i="12"/>
  <c r="AD66" i="12" s="1"/>
  <c r="AI66" i="12" s="1"/>
  <c r="AV66" i="12"/>
  <c r="DS66" i="12"/>
  <c r="DU66" i="12" s="1"/>
  <c r="DZ66" i="12" s="1"/>
  <c r="AU66" i="12"/>
  <c r="AW66" i="12" s="1"/>
  <c r="AZ66" i="12" s="1"/>
  <c r="DT66" i="12"/>
  <c r="CK66" i="12"/>
  <c r="EM66" i="12"/>
  <c r="CG66" i="12"/>
  <c r="CI66" i="12" s="1"/>
  <c r="FF66" i="12"/>
  <c r="DW66" i="12"/>
  <c r="CZ66" i="12"/>
  <c r="DB66" i="12" s="1"/>
  <c r="DE66" i="12" s="1"/>
  <c r="EL66" i="12"/>
  <c r="EN66" i="12" s="1"/>
  <c r="ES66" i="12" s="1"/>
  <c r="AY66" i="12"/>
  <c r="CH66" i="12"/>
  <c r="BR66" i="12"/>
  <c r="BO66" i="12"/>
  <c r="DA66" i="12"/>
  <c r="FI66" i="12"/>
  <c r="DD66" i="12"/>
  <c r="FM64" i="12"/>
  <c r="DH64" i="12"/>
  <c r="AJ64" i="12"/>
  <c r="EA64" i="12"/>
  <c r="BS65" i="12"/>
  <c r="BU65" i="12"/>
  <c r="BT65" i="12"/>
  <c r="BB66" i="9"/>
  <c r="BA66" i="9"/>
  <c r="AZ66" i="9"/>
  <c r="AY66" i="9"/>
  <c r="BT66" i="12"/>
  <c r="O68" i="12" a="1"/>
  <c r="O68" i="12" s="1"/>
  <c r="N68" i="12" a="1"/>
  <c r="N68" i="12" s="1"/>
  <c r="G68" i="12" a="1"/>
  <c r="G68" i="12" s="1"/>
  <c r="L68" i="12" a="1"/>
  <c r="L68" i="12" s="1"/>
  <c r="K68" i="12" a="1"/>
  <c r="K68" i="12" s="1"/>
  <c r="J68" i="12" a="1"/>
  <c r="J68" i="12" s="1"/>
  <c r="H68" i="12" a="1"/>
  <c r="H68" i="12" s="1"/>
  <c r="D69" i="12"/>
  <c r="L69" i="9" a="1"/>
  <c r="L69" i="9" s="1"/>
  <c r="G69" i="9" a="1"/>
  <c r="G69" i="9" s="1"/>
  <c r="N69" i="9" a="1"/>
  <c r="N69" i="9" s="1"/>
  <c r="O69" i="9" a="1"/>
  <c r="O69" i="9" s="1"/>
  <c r="J69" i="9" a="1"/>
  <c r="J69" i="9" s="1"/>
  <c r="K69" i="9" a="1"/>
  <c r="K69" i="9" s="1"/>
  <c r="H69" i="9" a="1"/>
  <c r="H69" i="9" s="1"/>
  <c r="D70" i="9"/>
  <c r="BA65" i="12"/>
  <c r="AZ65" i="12"/>
  <c r="BB65" i="12"/>
  <c r="EQ66" i="9"/>
  <c r="EP66" i="9"/>
  <c r="ES66" i="9"/>
  <c r="ER66" i="9"/>
  <c r="BO67" i="9"/>
  <c r="BN67" i="9"/>
  <c r="BP67" i="9" s="1"/>
  <c r="AU67" i="9"/>
  <c r="AW67" i="9" s="1"/>
  <c r="AV67" i="9"/>
  <c r="FF67" i="9"/>
  <c r="FE67" i="9"/>
  <c r="FG67" i="9" s="1"/>
  <c r="CG67" i="9"/>
  <c r="CI67" i="9" s="1"/>
  <c r="CH67" i="9"/>
  <c r="DA67" i="9"/>
  <c r="EM67" i="9"/>
  <c r="CZ67" i="9"/>
  <c r="DB67" i="9" s="1"/>
  <c r="EL67" i="9"/>
  <c r="EN67" i="9" s="1"/>
  <c r="AB67" i="9"/>
  <c r="AD67" i="9" s="1"/>
  <c r="AC67" i="9"/>
  <c r="DT67" i="9"/>
  <c r="DS67" i="9"/>
  <c r="DU67" i="9" s="1"/>
  <c r="AG66" i="12"/>
  <c r="M68" i="9"/>
  <c r="P68" i="9" s="1"/>
  <c r="Q68" i="9" s="1"/>
  <c r="DE65" i="12"/>
  <c r="DG65" i="12"/>
  <c r="DF65" i="12"/>
  <c r="DX65" i="12"/>
  <c r="DZ65" i="12"/>
  <c r="DY65" i="12"/>
  <c r="AI65" i="12"/>
  <c r="AH65" i="12"/>
  <c r="AG65" i="12"/>
  <c r="FL66" i="9"/>
  <c r="FI66" i="9"/>
  <c r="FK66" i="9"/>
  <c r="FJ66" i="9"/>
  <c r="FJ65" i="12"/>
  <c r="FK65" i="12"/>
  <c r="FL65" i="12"/>
  <c r="I69" i="9"/>
  <c r="CX68" i="9"/>
  <c r="CY68" i="9" s="1"/>
  <c r="DC68" i="9" s="1"/>
  <c r="Z68" i="9"/>
  <c r="AA68" i="9" s="1"/>
  <c r="AE68" i="9" s="1"/>
  <c r="AS68" i="9"/>
  <c r="AT68" i="9" s="1"/>
  <c r="AX68" i="9" s="1"/>
  <c r="EJ68" i="9"/>
  <c r="EK68" i="9" s="1"/>
  <c r="EO68" i="9" s="1"/>
  <c r="DQ68" i="9"/>
  <c r="DR68" i="9" s="1"/>
  <c r="DV68" i="9" s="1"/>
  <c r="FC68" i="9"/>
  <c r="FD68" i="9" s="1"/>
  <c r="FH68" i="9" s="1"/>
  <c r="BL68" i="9"/>
  <c r="BM68" i="9" s="1"/>
  <c r="BQ68" i="9" s="1"/>
  <c r="CE68" i="9"/>
  <c r="CF68" i="9" s="1"/>
  <c r="CJ68" i="9" s="1"/>
  <c r="EQ65" i="12"/>
  <c r="ES65" i="12"/>
  <c r="ER65" i="12"/>
  <c r="CL65" i="12"/>
  <c r="CN65" i="12"/>
  <c r="CM65" i="12"/>
  <c r="AF66" i="9"/>
  <c r="AG66" i="9"/>
  <c r="AI66" i="9"/>
  <c r="AH66" i="9"/>
  <c r="CN66" i="12"/>
  <c r="CL66" i="12"/>
  <c r="CM66" i="12"/>
  <c r="ET64" i="12"/>
  <c r="CM66" i="9"/>
  <c r="CK66" i="9"/>
  <c r="CL66" i="9"/>
  <c r="CN66" i="9"/>
  <c r="DG66" i="9"/>
  <c r="DF66" i="9"/>
  <c r="DE66" i="9"/>
  <c r="DD66" i="9"/>
  <c r="BU66" i="9"/>
  <c r="BS66" i="9"/>
  <c r="BR66" i="9"/>
  <c r="BT66" i="9"/>
  <c r="DX66" i="9"/>
  <c r="DW66" i="9"/>
  <c r="DZ66" i="9"/>
  <c r="DY66" i="9"/>
  <c r="FE66" i="12"/>
  <c r="FG66" i="12" s="1"/>
  <c r="BC64" i="12"/>
  <c r="M67" i="12"/>
  <c r="P67" i="12" s="1"/>
  <c r="Q67" i="12" s="1"/>
  <c r="EA66" i="9" l="1"/>
  <c r="FM66" i="9"/>
  <c r="AJ66" i="9"/>
  <c r="CO66" i="9"/>
  <c r="DH66" i="9"/>
  <c r="DX66" i="12"/>
  <c r="EA66" i="12" s="1"/>
  <c r="ER66" i="12"/>
  <c r="BV66" i="9"/>
  <c r="EQ66" i="12"/>
  <c r="ET66" i="9"/>
  <c r="AH66" i="12"/>
  <c r="AJ66" i="12" s="1"/>
  <c r="BB66" i="12"/>
  <c r="DY66" i="12"/>
  <c r="BU66" i="12"/>
  <c r="BV66" i="12" s="1"/>
  <c r="BA66" i="12"/>
  <c r="DF66" i="12"/>
  <c r="DG66" i="12"/>
  <c r="AJ65" i="12"/>
  <c r="BV65" i="12"/>
  <c r="BC65" i="12"/>
  <c r="CO66" i="12"/>
  <c r="CO65" i="12"/>
  <c r="FM65" i="12"/>
  <c r="M69" i="9"/>
  <c r="P69" i="9" s="1"/>
  <c r="Q69" i="9" s="1"/>
  <c r="EP67" i="12"/>
  <c r="FE67" i="12"/>
  <c r="FG67" i="12" s="1"/>
  <c r="FF67" i="12"/>
  <c r="CK67" i="12"/>
  <c r="DD67" i="12"/>
  <c r="BN67" i="12"/>
  <c r="BP67" i="12" s="1"/>
  <c r="AB67" i="12"/>
  <c r="AD67" i="12" s="1"/>
  <c r="BO67" i="12"/>
  <c r="AC67" i="12"/>
  <c r="CH67" i="12"/>
  <c r="DW67" i="12"/>
  <c r="DS67" i="12"/>
  <c r="DU67" i="12" s="1"/>
  <c r="FI67" i="12"/>
  <c r="EM67" i="12"/>
  <c r="EL67" i="12"/>
  <c r="EN67" i="12" s="1"/>
  <c r="DA67" i="12"/>
  <c r="AY67" i="12"/>
  <c r="BR67" i="12"/>
  <c r="CZ67" i="12"/>
  <c r="DB67" i="12" s="1"/>
  <c r="CG67" i="12"/>
  <c r="CI67" i="12" s="1"/>
  <c r="AF67" i="12"/>
  <c r="DT67" i="12"/>
  <c r="AV67" i="12"/>
  <c r="AU67" i="12"/>
  <c r="AW67" i="12" s="1"/>
  <c r="CH68" i="9"/>
  <c r="FF68" i="9"/>
  <c r="FE68" i="9"/>
  <c r="FG68" i="9" s="1"/>
  <c r="BO68" i="9"/>
  <c r="AV68" i="9"/>
  <c r="CG68" i="9"/>
  <c r="CI68" i="9" s="1"/>
  <c r="BN68" i="9"/>
  <c r="BP68" i="9" s="1"/>
  <c r="AU68" i="9"/>
  <c r="AW68" i="9" s="1"/>
  <c r="CZ68" i="9"/>
  <c r="DB68" i="9" s="1"/>
  <c r="EM68" i="9"/>
  <c r="EL68" i="9"/>
  <c r="EN68" i="9" s="1"/>
  <c r="DA68" i="9"/>
  <c r="AC68" i="9"/>
  <c r="AB68" i="9"/>
  <c r="AD68" i="9" s="1"/>
  <c r="DT68" i="9"/>
  <c r="DS68" i="9"/>
  <c r="DU68" i="9" s="1"/>
  <c r="DE67" i="9"/>
  <c r="DD67" i="9"/>
  <c r="DG67" i="9"/>
  <c r="DF67" i="9"/>
  <c r="BB67" i="9"/>
  <c r="BA67" i="9"/>
  <c r="AY67" i="9"/>
  <c r="AZ67" i="9"/>
  <c r="EA65" i="12"/>
  <c r="BR67" i="9"/>
  <c r="BT67" i="9"/>
  <c r="BU67" i="9"/>
  <c r="BS67" i="9"/>
  <c r="ET65" i="12"/>
  <c r="DZ67" i="9"/>
  <c r="DX67" i="9"/>
  <c r="DY67" i="9"/>
  <c r="DW67" i="9"/>
  <c r="K70" i="9" a="1"/>
  <c r="K70" i="9" s="1"/>
  <c r="L70" i="9" a="1"/>
  <c r="L70" i="9" s="1"/>
  <c r="H70" i="9" a="1"/>
  <c r="H70" i="9" s="1"/>
  <c r="J70" i="9" a="1"/>
  <c r="J70" i="9" s="1"/>
  <c r="G70" i="9" a="1"/>
  <c r="G70" i="9" s="1"/>
  <c r="O70" i="9" a="1"/>
  <c r="O70" i="9" s="1"/>
  <c r="N70" i="9" a="1"/>
  <c r="N70" i="9" s="1"/>
  <c r="D71" i="9"/>
  <c r="DH65" i="12"/>
  <c r="CL67" i="9"/>
  <c r="CK67" i="9"/>
  <c r="CO67" i="9" s="1"/>
  <c r="CN67" i="9"/>
  <c r="CM67" i="9"/>
  <c r="J69" i="12" a="1"/>
  <c r="J69" i="12" s="1"/>
  <c r="O69" i="12" a="1"/>
  <c r="O69" i="12" s="1"/>
  <c r="H69" i="12" a="1"/>
  <c r="H69" i="12" s="1"/>
  <c r="G69" i="12" a="1"/>
  <c r="G69" i="12" s="1"/>
  <c r="N69" i="12" a="1"/>
  <c r="N69" i="12" s="1"/>
  <c r="L69" i="12" a="1"/>
  <c r="L69" i="12" s="1"/>
  <c r="K69" i="12" a="1"/>
  <c r="K69" i="12" s="1"/>
  <c r="D70" i="12"/>
  <c r="ES67" i="9"/>
  <c r="EQ67" i="9"/>
  <c r="ER67" i="9"/>
  <c r="EP67" i="9"/>
  <c r="FJ66" i="12"/>
  <c r="FL66" i="12"/>
  <c r="FK66" i="12"/>
  <c r="FI67" i="9"/>
  <c r="FM67" i="9" s="1"/>
  <c r="FK67" i="9"/>
  <c r="FJ67" i="9"/>
  <c r="FL67" i="9"/>
  <c r="I70" i="9"/>
  <c r="FC69" i="9"/>
  <c r="FD69" i="9" s="1"/>
  <c r="FH69" i="9" s="1"/>
  <c r="CE69" i="9"/>
  <c r="CF69" i="9" s="1"/>
  <c r="CJ69" i="9" s="1"/>
  <c r="EJ69" i="9"/>
  <c r="EK69" i="9" s="1"/>
  <c r="EO69" i="9" s="1"/>
  <c r="CX69" i="9"/>
  <c r="CY69" i="9" s="1"/>
  <c r="DC69" i="9" s="1"/>
  <c r="Z69" i="9"/>
  <c r="AA69" i="9" s="1"/>
  <c r="AE69" i="9" s="1"/>
  <c r="BL69" i="9"/>
  <c r="BM69" i="9" s="1"/>
  <c r="BQ69" i="9" s="1"/>
  <c r="DQ69" i="9"/>
  <c r="DR69" i="9" s="1"/>
  <c r="DV69" i="9" s="1"/>
  <c r="AS69" i="9"/>
  <c r="AT69" i="9" s="1"/>
  <c r="AX69" i="9" s="1"/>
  <c r="AG67" i="9"/>
  <c r="AF67" i="9"/>
  <c r="AI67" i="9"/>
  <c r="AH67" i="9"/>
  <c r="M68" i="12"/>
  <c r="P68" i="12" s="1"/>
  <c r="Q68" i="12" s="1"/>
  <c r="AU69" i="9" l="1"/>
  <c r="AW69" i="9" s="1"/>
  <c r="AZ69" i="9" s="1"/>
  <c r="DT69" i="9"/>
  <c r="BC67" i="9"/>
  <c r="AJ67" i="9"/>
  <c r="BC66" i="12"/>
  <c r="EA67" i="9"/>
  <c r="DH67" i="9"/>
  <c r="ET66" i="12"/>
  <c r="BV67" i="9"/>
  <c r="ET67" i="9"/>
  <c r="AC69" i="9"/>
  <c r="AB69" i="9"/>
  <c r="AD69" i="9" s="1"/>
  <c r="AV69" i="9"/>
  <c r="BN69" i="9"/>
  <c r="BP69" i="9" s="1"/>
  <c r="BT69" i="9" s="1"/>
  <c r="CH69" i="9"/>
  <c r="CG69" i="9"/>
  <c r="CI69" i="9" s="1"/>
  <c r="CM69" i="9" s="1"/>
  <c r="BO69" i="9"/>
  <c r="EM69" i="9"/>
  <c r="FF69" i="9"/>
  <c r="DS69" i="9"/>
  <c r="DU69" i="9" s="1"/>
  <c r="DX69" i="9" s="1"/>
  <c r="DA69" i="9"/>
  <c r="EL69" i="9"/>
  <c r="EN69" i="9" s="1"/>
  <c r="FE69" i="9"/>
  <c r="FG69" i="9" s="1"/>
  <c r="FK69" i="9" s="1"/>
  <c r="DH66" i="12"/>
  <c r="M70" i="9"/>
  <c r="P70" i="9" s="1"/>
  <c r="Q70" i="9" s="1"/>
  <c r="DY68" i="9"/>
  <c r="DX68" i="9"/>
  <c r="DZ68" i="9"/>
  <c r="DW68" i="9"/>
  <c r="M69" i="12"/>
  <c r="P69" i="12" s="1"/>
  <c r="Q69" i="12" s="1"/>
  <c r="BR68" i="9"/>
  <c r="BS68" i="9"/>
  <c r="BT68" i="9"/>
  <c r="BU68" i="9"/>
  <c r="EQ67" i="12"/>
  <c r="ER67" i="12"/>
  <c r="ES67" i="12"/>
  <c r="AG67" i="12"/>
  <c r="AH67" i="12"/>
  <c r="AI67" i="12"/>
  <c r="N71" i="9" a="1"/>
  <c r="N71" i="9" s="1"/>
  <c r="J71" i="9" a="1"/>
  <c r="J71" i="9" s="1"/>
  <c r="K71" i="9" a="1"/>
  <c r="K71" i="9" s="1"/>
  <c r="L71" i="9" a="1"/>
  <c r="L71" i="9" s="1"/>
  <c r="H71" i="9" a="1"/>
  <c r="H71" i="9" s="1"/>
  <c r="G71" i="9" a="1"/>
  <c r="G71" i="9" s="1"/>
  <c r="O71" i="9" a="1"/>
  <c r="O71" i="9" s="1"/>
  <c r="D72" i="9"/>
  <c r="BB67" i="12"/>
  <c r="AZ67" i="12"/>
  <c r="BA67" i="12"/>
  <c r="H70" i="12" a="1"/>
  <c r="H70" i="12" s="1"/>
  <c r="N70" i="12" a="1"/>
  <c r="N70" i="12" s="1"/>
  <c r="G70" i="12" a="1"/>
  <c r="G70" i="12" s="1"/>
  <c r="K70" i="12" a="1"/>
  <c r="K70" i="12" s="1"/>
  <c r="L70" i="12" a="1"/>
  <c r="L70" i="12" s="1"/>
  <c r="J70" i="12" a="1"/>
  <c r="J70" i="12" s="1"/>
  <c r="O70" i="12" a="1"/>
  <c r="O70" i="12" s="1"/>
  <c r="D71" i="12"/>
  <c r="AG68" i="9"/>
  <c r="AI68" i="9"/>
  <c r="AH68" i="9"/>
  <c r="AF68" i="9"/>
  <c r="AJ68" i="9" s="1"/>
  <c r="AJ69" i="9" s="1"/>
  <c r="CN68" i="9"/>
  <c r="CL68" i="9"/>
  <c r="CM68" i="9"/>
  <c r="CK68" i="9"/>
  <c r="BS67" i="12"/>
  <c r="BU67" i="12"/>
  <c r="BT67" i="12"/>
  <c r="BS69" i="9"/>
  <c r="BU69" i="9"/>
  <c r="BR69" i="9"/>
  <c r="AI69" i="9"/>
  <c r="AH69" i="9"/>
  <c r="AG69" i="9"/>
  <c r="AF69" i="9"/>
  <c r="I71" i="9"/>
  <c r="EJ70" i="9"/>
  <c r="EK70" i="9" s="1"/>
  <c r="EO70" i="9" s="1"/>
  <c r="CE70" i="9"/>
  <c r="CF70" i="9" s="1"/>
  <c r="CJ70" i="9" s="1"/>
  <c r="DQ70" i="9"/>
  <c r="DR70" i="9" s="1"/>
  <c r="DV70" i="9" s="1"/>
  <c r="BL70" i="9"/>
  <c r="BM70" i="9" s="1"/>
  <c r="BQ70" i="9" s="1"/>
  <c r="CX70" i="9"/>
  <c r="CY70" i="9" s="1"/>
  <c r="DC70" i="9" s="1"/>
  <c r="AS70" i="9"/>
  <c r="AT70" i="9" s="1"/>
  <c r="AX70" i="9" s="1"/>
  <c r="FC70" i="9"/>
  <c r="FD70" i="9" s="1"/>
  <c r="FH70" i="9" s="1"/>
  <c r="Z70" i="9"/>
  <c r="AA70" i="9" s="1"/>
  <c r="AE70" i="9" s="1"/>
  <c r="FM66" i="12"/>
  <c r="CZ69" i="9"/>
  <c r="DB69" i="9" s="1"/>
  <c r="CL67" i="12"/>
  <c r="CN67" i="12"/>
  <c r="CM67" i="12"/>
  <c r="DX67" i="12"/>
  <c r="DY67" i="12"/>
  <c r="DZ67" i="12"/>
  <c r="FF68" i="12"/>
  <c r="FE68" i="12"/>
  <c r="FG68" i="12" s="1"/>
  <c r="EP68" i="12"/>
  <c r="CK68" i="12"/>
  <c r="DD68" i="12"/>
  <c r="BN68" i="12"/>
  <c r="BP68" i="12" s="1"/>
  <c r="BO68" i="12"/>
  <c r="AB68" i="12"/>
  <c r="AD68" i="12" s="1"/>
  <c r="AC68" i="12"/>
  <c r="AY68" i="12"/>
  <c r="FI68" i="12"/>
  <c r="DW68" i="12"/>
  <c r="EM68" i="12"/>
  <c r="CG68" i="12"/>
  <c r="CI68" i="12" s="1"/>
  <c r="EL68" i="12"/>
  <c r="EN68" i="12" s="1"/>
  <c r="CH68" i="12"/>
  <c r="DT68" i="12"/>
  <c r="DA68" i="12"/>
  <c r="AF68" i="12"/>
  <c r="BR68" i="12"/>
  <c r="DS68" i="12"/>
  <c r="DU68" i="12" s="1"/>
  <c r="CZ68" i="12"/>
  <c r="DB68" i="12" s="1"/>
  <c r="AU68" i="12"/>
  <c r="AW68" i="12" s="1"/>
  <c r="AV68" i="12"/>
  <c r="EQ68" i="9"/>
  <c r="EP68" i="9"/>
  <c r="ER68" i="9"/>
  <c r="ES68" i="9"/>
  <c r="FK68" i="9"/>
  <c r="FL68" i="9"/>
  <c r="FJ68" i="9"/>
  <c r="FI68" i="9"/>
  <c r="DE67" i="12"/>
  <c r="DG67" i="12"/>
  <c r="DF67" i="12"/>
  <c r="BB68" i="9"/>
  <c r="BA68" i="9"/>
  <c r="AZ68" i="9"/>
  <c r="AY68" i="9"/>
  <c r="EP69" i="9"/>
  <c r="ES69" i="9"/>
  <c r="EQ69" i="9"/>
  <c r="ER69" i="9"/>
  <c r="FJ67" i="12"/>
  <c r="FL67" i="12"/>
  <c r="FK67" i="12"/>
  <c r="DG68" i="9"/>
  <c r="DF68" i="9"/>
  <c r="DE68" i="9"/>
  <c r="DD68" i="9"/>
  <c r="DH68" i="9" s="1"/>
  <c r="AY69" i="9" l="1"/>
  <c r="BA69" i="9"/>
  <c r="BB69" i="9"/>
  <c r="FM68" i="9"/>
  <c r="CN69" i="9"/>
  <c r="CO68" i="9"/>
  <c r="CO69" i="9" s="1"/>
  <c r="ET68" i="9"/>
  <c r="ET69" i="9" s="1"/>
  <c r="BC68" i="9"/>
  <c r="BC69" i="9" s="1"/>
  <c r="CK69" i="9"/>
  <c r="EA68" i="9"/>
  <c r="CL69" i="9"/>
  <c r="FI69" i="9"/>
  <c r="FL69" i="9"/>
  <c r="BV68" i="9"/>
  <c r="BV69" i="9" s="1"/>
  <c r="FJ69" i="9"/>
  <c r="DZ69" i="9"/>
  <c r="DY69" i="9"/>
  <c r="DW69" i="9"/>
  <c r="BV67" i="12"/>
  <c r="BC67" i="12"/>
  <c r="AJ67" i="12"/>
  <c r="FM67" i="12"/>
  <c r="M70" i="12"/>
  <c r="P70" i="12" s="1"/>
  <c r="Q70" i="12" s="1"/>
  <c r="ET67" i="12"/>
  <c r="EA67" i="12"/>
  <c r="M71" i="9"/>
  <c r="P71" i="9" s="1"/>
  <c r="Q71" i="9" s="1"/>
  <c r="DF69" i="9"/>
  <c r="DG69" i="9"/>
  <c r="DD69" i="9"/>
  <c r="DE69" i="9"/>
  <c r="L72" i="9" a="1"/>
  <c r="L72" i="9" s="1"/>
  <c r="K72" i="9" a="1"/>
  <c r="K72" i="9" s="1"/>
  <c r="J72" i="9" a="1"/>
  <c r="J72" i="9" s="1"/>
  <c r="O72" i="9" a="1"/>
  <c r="O72" i="9" s="1"/>
  <c r="H72" i="9" a="1"/>
  <c r="H72" i="9" s="1"/>
  <c r="N72" i="9" a="1"/>
  <c r="N72" i="9" s="1"/>
  <c r="G72" i="9" a="1"/>
  <c r="G72" i="9" s="1"/>
  <c r="D73" i="9"/>
  <c r="FJ68" i="12"/>
  <c r="FL68" i="12"/>
  <c r="FK68" i="12"/>
  <c r="EP69" i="12"/>
  <c r="FE69" i="12"/>
  <c r="FG69" i="12" s="1"/>
  <c r="FF69" i="12"/>
  <c r="DD69" i="12"/>
  <c r="CK69" i="12"/>
  <c r="AB69" i="12"/>
  <c r="AD69" i="12" s="1"/>
  <c r="AC69" i="12"/>
  <c r="BN69" i="12"/>
  <c r="BP69" i="12" s="1"/>
  <c r="BO69" i="12"/>
  <c r="FI69" i="12"/>
  <c r="CZ69" i="12"/>
  <c r="DB69" i="12" s="1"/>
  <c r="DT69" i="12"/>
  <c r="DS69" i="12"/>
  <c r="DU69" i="12" s="1"/>
  <c r="BR69" i="12"/>
  <c r="AY69" i="12"/>
  <c r="EM69" i="12"/>
  <c r="AF69" i="12"/>
  <c r="CH69" i="12"/>
  <c r="EL69" i="12"/>
  <c r="EN69" i="12" s="1"/>
  <c r="DW69" i="12"/>
  <c r="CG69" i="12"/>
  <c r="CI69" i="12" s="1"/>
  <c r="DA69" i="12"/>
  <c r="AU69" i="12"/>
  <c r="AW69" i="12" s="1"/>
  <c r="AV69" i="12"/>
  <c r="CO67" i="12"/>
  <c r="DH67" i="12"/>
  <c r="AI68" i="12"/>
  <c r="AH68" i="12"/>
  <c r="AG68" i="12"/>
  <c r="I72" i="9"/>
  <c r="AS71" i="9"/>
  <c r="AT71" i="9" s="1"/>
  <c r="AX71" i="9" s="1"/>
  <c r="CE71" i="9"/>
  <c r="CF71" i="9" s="1"/>
  <c r="CJ71" i="9" s="1"/>
  <c r="DQ71" i="9"/>
  <c r="DR71" i="9" s="1"/>
  <c r="DV71" i="9" s="1"/>
  <c r="EJ71" i="9"/>
  <c r="EK71" i="9" s="1"/>
  <c r="EO71" i="9" s="1"/>
  <c r="BL71" i="9"/>
  <c r="BM71" i="9" s="1"/>
  <c r="BQ71" i="9" s="1"/>
  <c r="Z71" i="9"/>
  <c r="AA71" i="9" s="1"/>
  <c r="AE71" i="9" s="1"/>
  <c r="FC71" i="9"/>
  <c r="FD71" i="9" s="1"/>
  <c r="FH71" i="9" s="1"/>
  <c r="CX71" i="9"/>
  <c r="CY71" i="9" s="1"/>
  <c r="DC71" i="9" s="1"/>
  <c r="AZ68" i="12"/>
  <c r="BB68" i="12"/>
  <c r="BA68" i="12"/>
  <c r="EQ68" i="12"/>
  <c r="ER68" i="12"/>
  <c r="ES68" i="12"/>
  <c r="DE68" i="12"/>
  <c r="DG68" i="12"/>
  <c r="DF68" i="12"/>
  <c r="CM68" i="12"/>
  <c r="CL68" i="12"/>
  <c r="CN68" i="12"/>
  <c r="BS68" i="12"/>
  <c r="BT68" i="12"/>
  <c r="BU68" i="12"/>
  <c r="BO70" i="9"/>
  <c r="FE70" i="9"/>
  <c r="FG70" i="9" s="1"/>
  <c r="FF70" i="9"/>
  <c r="AU70" i="9"/>
  <c r="AW70" i="9" s="1"/>
  <c r="AV70" i="9"/>
  <c r="CG70" i="9"/>
  <c r="CI70" i="9" s="1"/>
  <c r="CH70" i="9"/>
  <c r="BN70" i="9"/>
  <c r="BP70" i="9" s="1"/>
  <c r="EM70" i="9"/>
  <c r="EL70" i="9"/>
  <c r="EN70" i="9" s="1"/>
  <c r="DA70" i="9"/>
  <c r="AC70" i="9"/>
  <c r="CZ70" i="9"/>
  <c r="DB70" i="9" s="1"/>
  <c r="AB70" i="9"/>
  <c r="AD70" i="9" s="1"/>
  <c r="DS70" i="9"/>
  <c r="DU70" i="9" s="1"/>
  <c r="DT70" i="9"/>
  <c r="DX68" i="12"/>
  <c r="DZ68" i="12"/>
  <c r="DY68" i="12"/>
  <c r="G71" i="12" a="1"/>
  <c r="G71" i="12" s="1"/>
  <c r="L71" i="12" a="1"/>
  <c r="L71" i="12" s="1"/>
  <c r="J71" i="12" a="1"/>
  <c r="J71" i="12" s="1"/>
  <c r="K71" i="12" a="1"/>
  <c r="K71" i="12" s="1"/>
  <c r="O71" i="12" a="1"/>
  <c r="O71" i="12" s="1"/>
  <c r="H71" i="12" a="1"/>
  <c r="H71" i="12" s="1"/>
  <c r="N71" i="12" a="1"/>
  <c r="N71" i="12" s="1"/>
  <c r="D72" i="12"/>
  <c r="FM69" i="9" l="1"/>
  <c r="EA69" i="9"/>
  <c r="DH69" i="9"/>
  <c r="BC68" i="12"/>
  <c r="BN71" i="9"/>
  <c r="BP71" i="9" s="1"/>
  <c r="BU71" i="9" s="1"/>
  <c r="FF71" i="9"/>
  <c r="AV71" i="9"/>
  <c r="CO68" i="12"/>
  <c r="EA68" i="12"/>
  <c r="EL71" i="9"/>
  <c r="EN71" i="9" s="1"/>
  <c r="ES71" i="9" s="1"/>
  <c r="DA71" i="9"/>
  <c r="BO71" i="9"/>
  <c r="FM68" i="12"/>
  <c r="AJ68" i="12"/>
  <c r="BV68" i="12"/>
  <c r="DX70" i="9"/>
  <c r="DY70" i="9"/>
  <c r="DW70" i="9"/>
  <c r="EA70" i="9" s="1"/>
  <c r="DZ70" i="9"/>
  <c r="BS69" i="12"/>
  <c r="BU69" i="12"/>
  <c r="BT69" i="12"/>
  <c r="M71" i="12"/>
  <c r="P71" i="12" s="1"/>
  <c r="Q71" i="12" s="1"/>
  <c r="AF70" i="9"/>
  <c r="AH70" i="9"/>
  <c r="AG70" i="9"/>
  <c r="AI70" i="9"/>
  <c r="CM70" i="9"/>
  <c r="CK70" i="9"/>
  <c r="CN70" i="9"/>
  <c r="CL70" i="9"/>
  <c r="EP70" i="12"/>
  <c r="FE70" i="12"/>
  <c r="FG70" i="12" s="1"/>
  <c r="FF70" i="12"/>
  <c r="DD70" i="12"/>
  <c r="CK70" i="12"/>
  <c r="AB70" i="12"/>
  <c r="AD70" i="12" s="1"/>
  <c r="AC70" i="12"/>
  <c r="BN70" i="12"/>
  <c r="BP70" i="12" s="1"/>
  <c r="BO70" i="12"/>
  <c r="AY70" i="12"/>
  <c r="EL70" i="12"/>
  <c r="EN70" i="12" s="1"/>
  <c r="DW70" i="12"/>
  <c r="AF70" i="12"/>
  <c r="BR70" i="12"/>
  <c r="DT70" i="12"/>
  <c r="FI70" i="12"/>
  <c r="DS70" i="12"/>
  <c r="DU70" i="12" s="1"/>
  <c r="DA70" i="12"/>
  <c r="CG70" i="12"/>
  <c r="CI70" i="12" s="1"/>
  <c r="CZ70" i="12"/>
  <c r="DB70" i="12" s="1"/>
  <c r="EM70" i="12"/>
  <c r="CH70" i="12"/>
  <c r="AV70" i="12"/>
  <c r="AU70" i="12"/>
  <c r="AW70" i="12" s="1"/>
  <c r="AZ69" i="12"/>
  <c r="BB69" i="12"/>
  <c r="BA69" i="12"/>
  <c r="CL69" i="12"/>
  <c r="CM69" i="12"/>
  <c r="CN69" i="12"/>
  <c r="DX69" i="12"/>
  <c r="DZ69" i="12"/>
  <c r="DY69" i="12"/>
  <c r="DS71" i="9"/>
  <c r="DU71" i="9" s="1"/>
  <c r="J73" i="9" a="1"/>
  <c r="J73" i="9" s="1"/>
  <c r="N73" i="9" a="1"/>
  <c r="N73" i="9" s="1"/>
  <c r="G73" i="9" a="1"/>
  <c r="G73" i="9" s="1"/>
  <c r="H73" i="9" a="1"/>
  <c r="H73" i="9" s="1"/>
  <c r="L73" i="9" a="1"/>
  <c r="L73" i="9" s="1"/>
  <c r="K73" i="9" a="1"/>
  <c r="K73" i="9" s="1"/>
  <c r="O73" i="9" a="1"/>
  <c r="O73" i="9" s="1"/>
  <c r="D74" i="9"/>
  <c r="I73" i="9"/>
  <c r="CX72" i="9"/>
  <c r="CY72" i="9" s="1"/>
  <c r="DC72" i="9" s="1"/>
  <c r="BL72" i="9"/>
  <c r="BM72" i="9" s="1"/>
  <c r="BQ72" i="9" s="1"/>
  <c r="FC72" i="9"/>
  <c r="FD72" i="9" s="1"/>
  <c r="FH72" i="9" s="1"/>
  <c r="CE72" i="9"/>
  <c r="CF72" i="9" s="1"/>
  <c r="CJ72" i="9" s="1"/>
  <c r="DQ72" i="9"/>
  <c r="DR72" i="9" s="1"/>
  <c r="DV72" i="9" s="1"/>
  <c r="AS72" i="9"/>
  <c r="AT72" i="9" s="1"/>
  <c r="AX72" i="9" s="1"/>
  <c r="Z72" i="9"/>
  <c r="AA72" i="9" s="1"/>
  <c r="AE72" i="9" s="1"/>
  <c r="EJ72" i="9"/>
  <c r="EK72" i="9" s="1"/>
  <c r="EO72" i="9" s="1"/>
  <c r="DT71" i="9"/>
  <c r="CH71" i="9"/>
  <c r="AB71" i="9"/>
  <c r="AD71" i="9" s="1"/>
  <c r="AZ70" i="9"/>
  <c r="AY70" i="9"/>
  <c r="BC70" i="9" s="1"/>
  <c r="BB70" i="9"/>
  <c r="BA70" i="9"/>
  <c r="ES70" i="9"/>
  <c r="EP70" i="9"/>
  <c r="ER70" i="9"/>
  <c r="EQ70" i="9"/>
  <c r="FJ70" i="9"/>
  <c r="FI70" i="9"/>
  <c r="FM70" i="9" s="1"/>
  <c r="FL70" i="9"/>
  <c r="FK70" i="9"/>
  <c r="DH68" i="12"/>
  <c r="EQ69" i="12"/>
  <c r="ES69" i="12"/>
  <c r="ER69" i="12"/>
  <c r="DE69" i="12"/>
  <c r="DG69" i="12"/>
  <c r="DF69" i="12"/>
  <c r="AC71" i="9"/>
  <c r="AU71" i="9"/>
  <c r="AW71" i="9" s="1"/>
  <c r="DF70" i="9"/>
  <c r="DE70" i="9"/>
  <c r="DD70" i="9"/>
  <c r="DG70" i="9"/>
  <c r="BR71" i="9"/>
  <c r="ET68" i="12"/>
  <c r="FJ69" i="12"/>
  <c r="FK69" i="12"/>
  <c r="FL69" i="12"/>
  <c r="EM71" i="9"/>
  <c r="FE71" i="9"/>
  <c r="FG71" i="9" s="1"/>
  <c r="AH69" i="12"/>
  <c r="AG69" i="12"/>
  <c r="AI69" i="12"/>
  <c r="G72" i="12" a="1"/>
  <c r="G72" i="12" s="1"/>
  <c r="L72" i="12" a="1"/>
  <c r="L72" i="12" s="1"/>
  <c r="K72" i="12" a="1"/>
  <c r="K72" i="12" s="1"/>
  <c r="J72" i="12" a="1"/>
  <c r="J72" i="12" s="1"/>
  <c r="H72" i="12" a="1"/>
  <c r="H72" i="12" s="1"/>
  <c r="O72" i="12" a="1"/>
  <c r="O72" i="12" s="1"/>
  <c r="N72" i="12" a="1"/>
  <c r="N72" i="12" s="1"/>
  <c r="D73" i="12"/>
  <c r="BT70" i="9"/>
  <c r="BR70" i="9"/>
  <c r="BV70" i="9" s="1"/>
  <c r="BU70" i="9"/>
  <c r="BS70" i="9"/>
  <c r="CZ71" i="9"/>
  <c r="DB71" i="9" s="1"/>
  <c r="CG71" i="9"/>
  <c r="CI71" i="9" s="1"/>
  <c r="M72" i="9"/>
  <c r="P72" i="9" s="1"/>
  <c r="Q72" i="9" s="1"/>
  <c r="DH70" i="9" l="1"/>
  <c r="CO70" i="9"/>
  <c r="ET70" i="9"/>
  <c r="AJ70" i="9"/>
  <c r="FM69" i="12"/>
  <c r="BC69" i="12"/>
  <c r="AJ69" i="12"/>
  <c r="BS71" i="9"/>
  <c r="BV71" i="9" s="1"/>
  <c r="BT71" i="9"/>
  <c r="EQ71" i="9"/>
  <c r="EP71" i="9"/>
  <c r="ER71" i="9"/>
  <c r="BV69" i="12"/>
  <c r="FE72" i="9"/>
  <c r="FG72" i="9" s="1"/>
  <c r="CH72" i="9"/>
  <c r="BN72" i="9"/>
  <c r="BP72" i="9" s="1"/>
  <c r="CG72" i="9"/>
  <c r="CI72" i="9" s="1"/>
  <c r="BO72" i="9"/>
  <c r="AU72" i="9"/>
  <c r="AW72" i="9" s="1"/>
  <c r="AV72" i="9"/>
  <c r="FF72" i="9"/>
  <c r="AB72" i="9"/>
  <c r="AD72" i="9" s="1"/>
  <c r="AC72" i="9"/>
  <c r="EM72" i="9"/>
  <c r="EL72" i="9"/>
  <c r="EN72" i="9" s="1"/>
  <c r="CZ72" i="9"/>
  <c r="DB72" i="9" s="1"/>
  <c r="DA72" i="9"/>
  <c r="DT72" i="9"/>
  <c r="DS72" i="9"/>
  <c r="DU72" i="9" s="1"/>
  <c r="FI71" i="9"/>
  <c r="FJ71" i="9"/>
  <c r="FL71" i="9"/>
  <c r="FK71" i="9"/>
  <c r="FE71" i="12"/>
  <c r="FG71" i="12" s="1"/>
  <c r="FF71" i="12"/>
  <c r="EP71" i="12"/>
  <c r="CK71" i="12"/>
  <c r="DD71" i="12"/>
  <c r="BO71" i="12"/>
  <c r="BN71" i="12"/>
  <c r="BP71" i="12" s="1"/>
  <c r="AB71" i="12"/>
  <c r="AD71" i="12" s="1"/>
  <c r="AC71" i="12"/>
  <c r="AY71" i="12"/>
  <c r="BR71" i="12"/>
  <c r="DT71" i="12"/>
  <c r="EM71" i="12"/>
  <c r="CZ71" i="12"/>
  <c r="DB71" i="12" s="1"/>
  <c r="DS71" i="12"/>
  <c r="DU71" i="12" s="1"/>
  <c r="EL71" i="12"/>
  <c r="EN71" i="12" s="1"/>
  <c r="AF71" i="12"/>
  <c r="DW71" i="12"/>
  <c r="CG71" i="12"/>
  <c r="CI71" i="12" s="1"/>
  <c r="CH71" i="12"/>
  <c r="FI71" i="12"/>
  <c r="DA71" i="12"/>
  <c r="AV71" i="12"/>
  <c r="AU71" i="12"/>
  <c r="AW71" i="12" s="1"/>
  <c r="DW71" i="9"/>
  <c r="EA71" i="9" s="1"/>
  <c r="DX71" i="9"/>
  <c r="DY71" i="9"/>
  <c r="DZ71" i="9"/>
  <c r="CM70" i="12"/>
  <c r="CN70" i="12"/>
  <c r="CL70" i="12"/>
  <c r="EQ70" i="12"/>
  <c r="ER70" i="12"/>
  <c r="ES70" i="12"/>
  <c r="CK71" i="9"/>
  <c r="CM71" i="9"/>
  <c r="CN71" i="9"/>
  <c r="CL71" i="9"/>
  <c r="M72" i="12"/>
  <c r="P72" i="12" s="1"/>
  <c r="Q72" i="12" s="1"/>
  <c r="DH69" i="12"/>
  <c r="I74" i="9"/>
  <c r="CE73" i="9"/>
  <c r="CF73" i="9" s="1"/>
  <c r="CJ73" i="9" s="1"/>
  <c r="BL73" i="9"/>
  <c r="BM73" i="9" s="1"/>
  <c r="BQ73" i="9" s="1"/>
  <c r="DQ73" i="9"/>
  <c r="DR73" i="9" s="1"/>
  <c r="DV73" i="9" s="1"/>
  <c r="AS73" i="9"/>
  <c r="AT73" i="9" s="1"/>
  <c r="AX73" i="9" s="1"/>
  <c r="FC73" i="9"/>
  <c r="FD73" i="9" s="1"/>
  <c r="FH73" i="9" s="1"/>
  <c r="EJ73" i="9"/>
  <c r="EK73" i="9" s="1"/>
  <c r="EO73" i="9" s="1"/>
  <c r="CX73" i="9"/>
  <c r="CY73" i="9" s="1"/>
  <c r="DC73" i="9" s="1"/>
  <c r="Z73" i="9"/>
  <c r="AA73" i="9" s="1"/>
  <c r="AE73" i="9" s="1"/>
  <c r="EA69" i="12"/>
  <c r="FJ70" i="12"/>
  <c r="FK70" i="12"/>
  <c r="FL70" i="12"/>
  <c r="J74" i="9" a="1"/>
  <c r="J74" i="9" s="1"/>
  <c r="O74" i="9" a="1"/>
  <c r="O74" i="9" s="1"/>
  <c r="H74" i="9" a="1"/>
  <c r="H74" i="9" s="1"/>
  <c r="L74" i="9" a="1"/>
  <c r="L74" i="9" s="1"/>
  <c r="G74" i="9" a="1"/>
  <c r="G74" i="9" s="1"/>
  <c r="K74" i="9" a="1"/>
  <c r="K74" i="9" s="1"/>
  <c r="N74" i="9" a="1"/>
  <c r="N74" i="9" s="1"/>
  <c r="D75" i="9"/>
  <c r="DX70" i="12"/>
  <c r="DY70" i="12"/>
  <c r="DZ70" i="12"/>
  <c r="BB70" i="12"/>
  <c r="BA70" i="12"/>
  <c r="AZ70" i="12"/>
  <c r="BS70" i="12"/>
  <c r="BT70" i="12"/>
  <c r="BU70" i="12"/>
  <c r="ET69" i="12"/>
  <c r="J73" i="12" a="1"/>
  <c r="J73" i="12" s="1"/>
  <c r="H73" i="12" a="1"/>
  <c r="H73" i="12" s="1"/>
  <c r="G73" i="12" a="1"/>
  <c r="G73" i="12" s="1"/>
  <c r="N73" i="12" a="1"/>
  <c r="N73" i="12" s="1"/>
  <c r="L73" i="12" a="1"/>
  <c r="L73" i="12" s="1"/>
  <c r="K73" i="12" a="1"/>
  <c r="K73" i="12" s="1"/>
  <c r="O73" i="12" a="1"/>
  <c r="O73" i="12" s="1"/>
  <c r="D74" i="12"/>
  <c r="AH71" i="9"/>
  <c r="AG71" i="9"/>
  <c r="AI71" i="9"/>
  <c r="AF71" i="9"/>
  <c r="AG70" i="12"/>
  <c r="AH70" i="12"/>
  <c r="AI70" i="12"/>
  <c r="CO69" i="12"/>
  <c r="DD71" i="9"/>
  <c r="DG71" i="9"/>
  <c r="DF71" i="9"/>
  <c r="DE71" i="9"/>
  <c r="BB71" i="9"/>
  <c r="BA71" i="9"/>
  <c r="AY71" i="9"/>
  <c r="AZ71" i="9"/>
  <c r="M73" i="9"/>
  <c r="P73" i="9" s="1"/>
  <c r="Q73" i="9" s="1"/>
  <c r="DE70" i="12"/>
  <c r="DF70" i="12"/>
  <c r="DG70" i="12"/>
  <c r="BC71" i="9" l="1"/>
  <c r="FM71" i="9"/>
  <c r="DH71" i="9"/>
  <c r="ET71" i="9"/>
  <c r="CO71" i="9"/>
  <c r="AJ71" i="9"/>
  <c r="M73" i="12"/>
  <c r="P73" i="12" s="1"/>
  <c r="Q73" i="12" s="1"/>
  <c r="FM70" i="12"/>
  <c r="BC70" i="12"/>
  <c r="CO70" i="12"/>
  <c r="ET70" i="12"/>
  <c r="M74" i="9"/>
  <c r="AJ70" i="12"/>
  <c r="BV70" i="12"/>
  <c r="DX72" i="9"/>
  <c r="DY72" i="9"/>
  <c r="DW72" i="9"/>
  <c r="DZ72" i="9"/>
  <c r="CL71" i="12"/>
  <c r="CN71" i="12"/>
  <c r="CM71" i="12"/>
  <c r="BB72" i="9"/>
  <c r="AZ72" i="9"/>
  <c r="BA72" i="9"/>
  <c r="AY72" i="9"/>
  <c r="CH73" i="9"/>
  <c r="FF73" i="9"/>
  <c r="CG73" i="9"/>
  <c r="CI73" i="9" s="1"/>
  <c r="FE73" i="9"/>
  <c r="FG73" i="9" s="1"/>
  <c r="AV73" i="9"/>
  <c r="BO73" i="9"/>
  <c r="AU73" i="9"/>
  <c r="AW73" i="9" s="1"/>
  <c r="BN73" i="9"/>
  <c r="BP73" i="9" s="1"/>
  <c r="DA73" i="9"/>
  <c r="CZ73" i="9"/>
  <c r="DB73" i="9" s="1"/>
  <c r="EL73" i="9"/>
  <c r="EN73" i="9" s="1"/>
  <c r="AC73" i="9"/>
  <c r="AB73" i="9"/>
  <c r="AD73" i="9" s="1"/>
  <c r="EM73" i="9"/>
  <c r="DT73" i="9"/>
  <c r="DS73" i="9"/>
  <c r="DU73" i="9" s="1"/>
  <c r="I75" i="9"/>
  <c r="EJ74" i="9"/>
  <c r="EK74" i="9" s="1"/>
  <c r="EO74" i="9" s="1"/>
  <c r="BL74" i="9"/>
  <c r="BM74" i="9" s="1"/>
  <c r="BQ74" i="9" s="1"/>
  <c r="DQ74" i="9"/>
  <c r="DR74" i="9" s="1"/>
  <c r="DV74" i="9" s="1"/>
  <c r="CX74" i="9"/>
  <c r="CY74" i="9" s="1"/>
  <c r="DC74" i="9" s="1"/>
  <c r="Z74" i="9"/>
  <c r="AA74" i="9" s="1"/>
  <c r="AE74" i="9" s="1"/>
  <c r="FC74" i="9"/>
  <c r="FD74" i="9" s="1"/>
  <c r="FH74" i="9" s="1"/>
  <c r="AS74" i="9"/>
  <c r="AT74" i="9" s="1"/>
  <c r="AX74" i="9" s="1"/>
  <c r="CE74" i="9"/>
  <c r="CF74" i="9" s="1"/>
  <c r="CJ74" i="9" s="1"/>
  <c r="FJ71" i="12"/>
  <c r="FK71" i="12"/>
  <c r="FL71" i="12"/>
  <c r="DE72" i="9"/>
  <c r="DD72" i="9"/>
  <c r="DH72" i="9" s="1"/>
  <c r="DF72" i="9"/>
  <c r="DG72" i="9"/>
  <c r="N74" i="12" a="1"/>
  <c r="N74" i="12" s="1"/>
  <c r="G74" i="12" a="1"/>
  <c r="G74" i="12" s="1"/>
  <c r="K74" i="12" a="1"/>
  <c r="K74" i="12" s="1"/>
  <c r="L74" i="12" a="1"/>
  <c r="L74" i="12" s="1"/>
  <c r="J74" i="12" a="1"/>
  <c r="J74" i="12" s="1"/>
  <c r="O74" i="12" a="1"/>
  <c r="O74" i="12" s="1"/>
  <c r="H74" i="12" a="1"/>
  <c r="H74" i="12" s="1"/>
  <c r="D75" i="12"/>
  <c r="EA70" i="12"/>
  <c r="AZ71" i="12"/>
  <c r="BA71" i="12"/>
  <c r="BB71" i="12"/>
  <c r="EQ71" i="12"/>
  <c r="ER71" i="12"/>
  <c r="ES71" i="12"/>
  <c r="AG71" i="12"/>
  <c r="AI71" i="12"/>
  <c r="AH71" i="12"/>
  <c r="ER72" i="9"/>
  <c r="ES72" i="9"/>
  <c r="EP72" i="9"/>
  <c r="EQ72" i="9"/>
  <c r="CM72" i="9"/>
  <c r="CN72" i="9"/>
  <c r="CK72" i="9"/>
  <c r="CL72" i="9"/>
  <c r="DX71" i="12"/>
  <c r="DY71" i="12"/>
  <c r="DZ71" i="12"/>
  <c r="BS71" i="12"/>
  <c r="BU71" i="12"/>
  <c r="BT71" i="12"/>
  <c r="BR72" i="9"/>
  <c r="BS72" i="9"/>
  <c r="BU72" i="9"/>
  <c r="BT72" i="9"/>
  <c r="DE71" i="12"/>
  <c r="DG71" i="12"/>
  <c r="DF71" i="12"/>
  <c r="EP72" i="12"/>
  <c r="FE72" i="12"/>
  <c r="FG72" i="12" s="1"/>
  <c r="FF72" i="12"/>
  <c r="CK72" i="12"/>
  <c r="DD72" i="12"/>
  <c r="AC72" i="12"/>
  <c r="AB72" i="12"/>
  <c r="AD72" i="12" s="1"/>
  <c r="BN72" i="12"/>
  <c r="BP72" i="12" s="1"/>
  <c r="BO72" i="12"/>
  <c r="AY72" i="12"/>
  <c r="FI72" i="12"/>
  <c r="BR72" i="12"/>
  <c r="EM72" i="12"/>
  <c r="CZ72" i="12"/>
  <c r="DB72" i="12" s="1"/>
  <c r="AF72" i="12"/>
  <c r="EL72" i="12"/>
  <c r="EN72" i="12" s="1"/>
  <c r="CH72" i="12"/>
  <c r="CG72" i="12"/>
  <c r="CI72" i="12" s="1"/>
  <c r="DT72" i="12"/>
  <c r="DS72" i="12"/>
  <c r="DU72" i="12" s="1"/>
  <c r="DA72" i="12"/>
  <c r="DW72" i="12"/>
  <c r="AV72" i="12"/>
  <c r="AU72" i="12"/>
  <c r="AW72" i="12" s="1"/>
  <c r="DH70" i="12"/>
  <c r="L75" i="9" a="1"/>
  <c r="L75" i="9" s="1"/>
  <c r="K75" i="9" a="1"/>
  <c r="K75" i="9" s="1"/>
  <c r="H75" i="9" a="1"/>
  <c r="H75" i="9" s="1"/>
  <c r="J75" i="9" a="1"/>
  <c r="J75" i="9" s="1"/>
  <c r="O75" i="9" a="1"/>
  <c r="O75" i="9" s="1"/>
  <c r="G75" i="9" a="1"/>
  <c r="G75" i="9" s="1"/>
  <c r="N75" i="9" a="1"/>
  <c r="N75" i="9" s="1"/>
  <c r="D76" i="9"/>
  <c r="P74" i="9"/>
  <c r="Q74" i="9" s="1"/>
  <c r="AI72" i="9"/>
  <c r="AF72" i="9"/>
  <c r="AG72" i="9"/>
  <c r="AH72" i="9"/>
  <c r="FI72" i="9"/>
  <c r="FM72" i="9" s="1"/>
  <c r="FK72" i="9"/>
  <c r="FJ72" i="9"/>
  <c r="FL72" i="9"/>
  <c r="FM71" i="12" l="1"/>
  <c r="BV72" i="9"/>
  <c r="BC72" i="9"/>
  <c r="EA72" i="9"/>
  <c r="AJ72" i="9"/>
  <c r="CO72" i="9"/>
  <c r="ET72" i="9"/>
  <c r="BC71" i="12"/>
  <c r="DH71" i="12"/>
  <c r="BV71" i="12"/>
  <c r="M74" i="12"/>
  <c r="P74" i="12" s="1"/>
  <c r="Q74" i="12" s="1"/>
  <c r="AJ71" i="12"/>
  <c r="DG73" i="9"/>
  <c r="DF73" i="9"/>
  <c r="DD73" i="9"/>
  <c r="DE73" i="9"/>
  <c r="J76" i="9" a="1"/>
  <c r="J76" i="9" s="1"/>
  <c r="K76" i="9" a="1"/>
  <c r="K76" i="9" s="1"/>
  <c r="N76" i="9" a="1"/>
  <c r="N76" i="9" s="1"/>
  <c r="H76" i="9" a="1"/>
  <c r="H76" i="9" s="1"/>
  <c r="O76" i="9" a="1"/>
  <c r="O76" i="9" s="1"/>
  <c r="L76" i="9" a="1"/>
  <c r="L76" i="9" s="1"/>
  <c r="G76" i="9" a="1"/>
  <c r="G76" i="9" s="1"/>
  <c r="D77" i="9"/>
  <c r="O75" i="12" a="1"/>
  <c r="O75" i="12" s="1"/>
  <c r="H75" i="12" a="1"/>
  <c r="H75" i="12" s="1"/>
  <c r="L75" i="12" a="1"/>
  <c r="L75" i="12" s="1"/>
  <c r="N75" i="12" a="1"/>
  <c r="N75" i="12" s="1"/>
  <c r="G75" i="12" a="1"/>
  <c r="G75" i="12" s="1"/>
  <c r="K75" i="12" a="1"/>
  <c r="K75" i="12" s="1"/>
  <c r="D76" i="12"/>
  <c r="J75" i="12" a="1"/>
  <c r="J75" i="12" s="1"/>
  <c r="I76" i="9"/>
  <c r="AS75" i="9"/>
  <c r="AT75" i="9" s="1"/>
  <c r="AX75" i="9" s="1"/>
  <c r="EJ75" i="9"/>
  <c r="EK75" i="9" s="1"/>
  <c r="EO75" i="9" s="1"/>
  <c r="BL75" i="9"/>
  <c r="BM75" i="9" s="1"/>
  <c r="BQ75" i="9" s="1"/>
  <c r="DQ75" i="9"/>
  <c r="DR75" i="9" s="1"/>
  <c r="DV75" i="9" s="1"/>
  <c r="Z75" i="9"/>
  <c r="AA75" i="9" s="1"/>
  <c r="AE75" i="9" s="1"/>
  <c r="CE75" i="9"/>
  <c r="CF75" i="9" s="1"/>
  <c r="CJ75" i="9" s="1"/>
  <c r="CX75" i="9"/>
  <c r="CY75" i="9" s="1"/>
  <c r="DC75" i="9" s="1"/>
  <c r="FC75" i="9"/>
  <c r="FD75" i="9" s="1"/>
  <c r="FH75" i="9" s="1"/>
  <c r="EQ72" i="12"/>
  <c r="ES72" i="12"/>
  <c r="ER72" i="12"/>
  <c r="BS72" i="12"/>
  <c r="BT72" i="12"/>
  <c r="BU72" i="12"/>
  <c r="DX73" i="9"/>
  <c r="DW73" i="9"/>
  <c r="DZ73" i="9"/>
  <c r="DY73" i="9"/>
  <c r="BT73" i="9"/>
  <c r="BU73" i="9"/>
  <c r="BS73" i="9"/>
  <c r="BR73" i="9"/>
  <c r="CO71" i="12"/>
  <c r="BO74" i="9"/>
  <c r="AV74" i="9"/>
  <c r="CH74" i="9"/>
  <c r="AU74" i="9"/>
  <c r="AW74" i="9" s="1"/>
  <c r="FE74" i="9"/>
  <c r="FG74" i="9" s="1"/>
  <c r="FF74" i="9"/>
  <c r="BN74" i="9"/>
  <c r="BP74" i="9" s="1"/>
  <c r="CG74" i="9"/>
  <c r="CI74" i="9" s="1"/>
  <c r="EL74" i="9"/>
  <c r="EN74" i="9" s="1"/>
  <c r="EM74" i="9"/>
  <c r="DA74" i="9"/>
  <c r="AC74" i="9"/>
  <c r="CZ74" i="9"/>
  <c r="DB74" i="9" s="1"/>
  <c r="AB74" i="9"/>
  <c r="AD74" i="9" s="1"/>
  <c r="DS74" i="9"/>
  <c r="DU74" i="9" s="1"/>
  <c r="DT74" i="9"/>
  <c r="AG72" i="12"/>
  <c r="AI72" i="12"/>
  <c r="AH72" i="12"/>
  <c r="ET71" i="12"/>
  <c r="AY73" i="9"/>
  <c r="BA73" i="9"/>
  <c r="AZ73" i="9"/>
  <c r="BB73" i="9"/>
  <c r="FJ72" i="12"/>
  <c r="FL72" i="12"/>
  <c r="FK72" i="12"/>
  <c r="DE72" i="12"/>
  <c r="DG72" i="12"/>
  <c r="DF72" i="12"/>
  <c r="CL72" i="12"/>
  <c r="CN72" i="12"/>
  <c r="CM72" i="12"/>
  <c r="M75" i="9"/>
  <c r="P75" i="9" s="1"/>
  <c r="Q75" i="9" s="1"/>
  <c r="EA71" i="12"/>
  <c r="AF73" i="9"/>
  <c r="AI73" i="9"/>
  <c r="AG73" i="9"/>
  <c r="AH73" i="9"/>
  <c r="BA72" i="12"/>
  <c r="BB72" i="12"/>
  <c r="AZ72" i="12"/>
  <c r="DX72" i="12"/>
  <c r="DZ72" i="12"/>
  <c r="DY72" i="12"/>
  <c r="FI73" i="9"/>
  <c r="FM73" i="9" s="1"/>
  <c r="FL73" i="9"/>
  <c r="FK73" i="9"/>
  <c r="FJ73" i="9"/>
  <c r="EP73" i="9"/>
  <c r="EQ73" i="9"/>
  <c r="ES73" i="9"/>
  <c r="ER73" i="9"/>
  <c r="CN73" i="9"/>
  <c r="CK73" i="9"/>
  <c r="CL73" i="9"/>
  <c r="CM73" i="9"/>
  <c r="EP73" i="12"/>
  <c r="FF73" i="12"/>
  <c r="FE73" i="12"/>
  <c r="FG73" i="12" s="1"/>
  <c r="CK73" i="12"/>
  <c r="DD73" i="12"/>
  <c r="AB73" i="12"/>
  <c r="AD73" i="12" s="1"/>
  <c r="AC73" i="12"/>
  <c r="BN73" i="12"/>
  <c r="BP73" i="12" s="1"/>
  <c r="BO73" i="12"/>
  <c r="CG73" i="12"/>
  <c r="CI73" i="12" s="1"/>
  <c r="DT73" i="12"/>
  <c r="BR73" i="12"/>
  <c r="FI73" i="12"/>
  <c r="CH73" i="12"/>
  <c r="EM73" i="12"/>
  <c r="DA73" i="12"/>
  <c r="CZ73" i="12"/>
  <c r="DB73" i="12" s="1"/>
  <c r="DW73" i="12"/>
  <c r="EL73" i="12"/>
  <c r="EN73" i="12" s="1"/>
  <c r="AF73" i="12"/>
  <c r="AY73" i="12"/>
  <c r="DS73" i="12"/>
  <c r="DU73" i="12" s="1"/>
  <c r="AU73" i="12"/>
  <c r="AW73" i="12" s="1"/>
  <c r="AV73" i="12"/>
  <c r="BV73" i="9" l="1"/>
  <c r="DH73" i="9"/>
  <c r="ET73" i="9"/>
  <c r="BC73" i="9"/>
  <c r="EA73" i="9"/>
  <c r="CO73" i="9"/>
  <c r="AJ73" i="9"/>
  <c r="AY74" i="12"/>
  <c r="EM74" i="12"/>
  <c r="DA74" i="12"/>
  <c r="DD74" i="12"/>
  <c r="DS74" i="12"/>
  <c r="DU74" i="12" s="1"/>
  <c r="DX74" i="12" s="1"/>
  <c r="AC74" i="12"/>
  <c r="AF74" i="12"/>
  <c r="CK74" i="12"/>
  <c r="DW74" i="12"/>
  <c r="CH74" i="12"/>
  <c r="EP74" i="12"/>
  <c r="BN74" i="12"/>
  <c r="BP74" i="12" s="1"/>
  <c r="BU74" i="12" s="1"/>
  <c r="AU74" i="12"/>
  <c r="AW74" i="12" s="1"/>
  <c r="AZ74" i="12" s="1"/>
  <c r="FM72" i="12"/>
  <c r="AJ72" i="12"/>
  <c r="BV72" i="12"/>
  <c r="CZ74" i="12"/>
  <c r="DB74" i="12" s="1"/>
  <c r="DF74" i="12" s="1"/>
  <c r="BC72" i="12"/>
  <c r="M75" i="12"/>
  <c r="DH72" i="12"/>
  <c r="EA72" i="12"/>
  <c r="BA74" i="9"/>
  <c r="BB74" i="9"/>
  <c r="AZ74" i="9"/>
  <c r="AY74" i="9"/>
  <c r="ET72" i="12"/>
  <c r="P75" i="12"/>
  <c r="Q75" i="12" s="1"/>
  <c r="AV74" i="12"/>
  <c r="BO74" i="12"/>
  <c r="DX73" i="12"/>
  <c r="DZ73" i="12"/>
  <c r="DY73" i="12"/>
  <c r="AG73" i="12"/>
  <c r="AI73" i="12"/>
  <c r="AH73" i="12"/>
  <c r="FE75" i="9"/>
  <c r="FG75" i="9" s="1"/>
  <c r="BN75" i="9"/>
  <c r="BP75" i="9" s="1"/>
  <c r="AV75" i="9"/>
  <c r="AU75" i="9"/>
  <c r="AW75" i="9" s="1"/>
  <c r="FF75" i="9"/>
  <c r="BO75" i="9"/>
  <c r="CG75" i="9"/>
  <c r="CI75" i="9" s="1"/>
  <c r="CH75" i="9"/>
  <c r="DA75" i="9"/>
  <c r="CZ75" i="9"/>
  <c r="DB75" i="9" s="1"/>
  <c r="AC75" i="9"/>
  <c r="EL75" i="9"/>
  <c r="EN75" i="9" s="1"/>
  <c r="AB75" i="9"/>
  <c r="AD75" i="9" s="1"/>
  <c r="EM75" i="9"/>
  <c r="DT75" i="9"/>
  <c r="DS75" i="9"/>
  <c r="DU75" i="9" s="1"/>
  <c r="FJ73" i="12"/>
  <c r="FK73" i="12"/>
  <c r="FL73" i="12"/>
  <c r="EP74" i="9"/>
  <c r="ET74" i="9" s="1"/>
  <c r="ES74" i="9"/>
  <c r="EQ74" i="9"/>
  <c r="ER74" i="9"/>
  <c r="I77" i="9"/>
  <c r="EJ76" i="9"/>
  <c r="EK76" i="9" s="1"/>
  <c r="EO76" i="9" s="1"/>
  <c r="FC76" i="9"/>
  <c r="FD76" i="9" s="1"/>
  <c r="FH76" i="9" s="1"/>
  <c r="CX76" i="9"/>
  <c r="CY76" i="9" s="1"/>
  <c r="DC76" i="9" s="1"/>
  <c r="Z76" i="9"/>
  <c r="AA76" i="9" s="1"/>
  <c r="AE76" i="9" s="1"/>
  <c r="AS76" i="9"/>
  <c r="AT76" i="9" s="1"/>
  <c r="AX76" i="9" s="1"/>
  <c r="CE76" i="9"/>
  <c r="CF76" i="9" s="1"/>
  <c r="CJ76" i="9" s="1"/>
  <c r="DQ76" i="9"/>
  <c r="DR76" i="9" s="1"/>
  <c r="DV76" i="9" s="1"/>
  <c r="BL76" i="9"/>
  <c r="BM76" i="9" s="1"/>
  <c r="BQ76" i="9" s="1"/>
  <c r="M76" i="9"/>
  <c r="P76" i="9" s="1"/>
  <c r="Q76" i="9" s="1"/>
  <c r="CG74" i="12"/>
  <c r="CI74" i="12" s="1"/>
  <c r="CO72" i="12"/>
  <c r="CL74" i="9"/>
  <c r="CK74" i="9"/>
  <c r="CN74" i="9"/>
  <c r="CM74" i="9"/>
  <c r="L77" i="9" a="1"/>
  <c r="L77" i="9" s="1"/>
  <c r="G77" i="9" a="1"/>
  <c r="G77" i="9" s="1"/>
  <c r="N77" i="9" a="1"/>
  <c r="N77" i="9" s="1"/>
  <c r="H77" i="9" a="1"/>
  <c r="H77" i="9" s="1"/>
  <c r="J77" i="9" a="1"/>
  <c r="J77" i="9" s="1"/>
  <c r="O77" i="9" a="1"/>
  <c r="O77" i="9" s="1"/>
  <c r="K77" i="9" a="1"/>
  <c r="K77" i="9" s="1"/>
  <c r="D78" i="9"/>
  <c r="DT74" i="12"/>
  <c r="BR74" i="12"/>
  <c r="DX74" i="9"/>
  <c r="DW74" i="9"/>
  <c r="DZ74" i="9"/>
  <c r="DY74" i="9"/>
  <c r="BT74" i="9"/>
  <c r="BS74" i="9"/>
  <c r="BU74" i="9"/>
  <c r="BR74" i="9"/>
  <c r="H76" i="12" a="1"/>
  <c r="H76" i="12" s="1"/>
  <c r="G76" i="12" a="1"/>
  <c r="G76" i="12" s="1"/>
  <c r="K76" i="12" a="1"/>
  <c r="K76" i="12" s="1"/>
  <c r="L76" i="12" a="1"/>
  <c r="L76" i="12" s="1"/>
  <c r="O76" i="12" a="1"/>
  <c r="O76" i="12" s="1"/>
  <c r="J76" i="12" a="1"/>
  <c r="J76" i="12" s="1"/>
  <c r="N76" i="12" a="1"/>
  <c r="N76" i="12" s="1"/>
  <c r="D77" i="12"/>
  <c r="FI74" i="12"/>
  <c r="FF74" i="12"/>
  <c r="EQ73" i="12"/>
  <c r="ES73" i="12"/>
  <c r="ER73" i="12"/>
  <c r="DE73" i="12"/>
  <c r="DG73" i="12"/>
  <c r="DF73" i="12"/>
  <c r="BS73" i="12"/>
  <c r="BT73" i="12"/>
  <c r="BU73" i="12"/>
  <c r="AI74" i="9"/>
  <c r="AH74" i="9"/>
  <c r="AG74" i="9"/>
  <c r="AF74" i="9"/>
  <c r="FE74" i="12"/>
  <c r="FG74" i="12" s="1"/>
  <c r="CL73" i="12"/>
  <c r="CN73" i="12"/>
  <c r="CM73" i="12"/>
  <c r="BA73" i="12"/>
  <c r="BB73" i="12"/>
  <c r="AZ73" i="12"/>
  <c r="DE74" i="9"/>
  <c r="DF74" i="9"/>
  <c r="DD74" i="9"/>
  <c r="DG74" i="9"/>
  <c r="FI74" i="9"/>
  <c r="FM74" i="9" s="1"/>
  <c r="FK74" i="9"/>
  <c r="FL74" i="9"/>
  <c r="FJ74" i="9"/>
  <c r="EL74" i="12"/>
  <c r="EN74" i="12" s="1"/>
  <c r="AB74" i="12"/>
  <c r="AD74" i="12" s="1"/>
  <c r="BV74" i="9" l="1"/>
  <c r="DE74" i="12"/>
  <c r="EA74" i="9"/>
  <c r="DH74" i="9"/>
  <c r="DG74" i="12"/>
  <c r="AJ74" i="9"/>
  <c r="BT74" i="12"/>
  <c r="BC74" i="9"/>
  <c r="CO74" i="9"/>
  <c r="BS74" i="12"/>
  <c r="BA74" i="12"/>
  <c r="DY74" i="12"/>
  <c r="DZ74" i="12"/>
  <c r="BB74" i="12"/>
  <c r="AJ73" i="12"/>
  <c r="FM73" i="12"/>
  <c r="ET73" i="12"/>
  <c r="EA73" i="12"/>
  <c r="BV73" i="12"/>
  <c r="AV76" i="9"/>
  <c r="FE76" i="9"/>
  <c r="FG76" i="9" s="1"/>
  <c r="CH76" i="9"/>
  <c r="CG76" i="9"/>
  <c r="CI76" i="9" s="1"/>
  <c r="BN76" i="9"/>
  <c r="BP76" i="9" s="1"/>
  <c r="BO76" i="9"/>
  <c r="FF76" i="9"/>
  <c r="AU76" i="9"/>
  <c r="AW76" i="9" s="1"/>
  <c r="AB76" i="9"/>
  <c r="AD76" i="9" s="1"/>
  <c r="CZ76" i="9"/>
  <c r="DB76" i="9" s="1"/>
  <c r="DA76" i="9"/>
  <c r="AC76" i="9"/>
  <c r="EM76" i="9"/>
  <c r="EL76" i="9"/>
  <c r="EN76" i="9" s="1"/>
  <c r="DS76" i="9"/>
  <c r="DU76" i="9" s="1"/>
  <c r="DT76" i="9"/>
  <c r="EQ74" i="12"/>
  <c r="ES74" i="12"/>
  <c r="ER74" i="12"/>
  <c r="I78" i="9"/>
  <c r="FC77" i="9"/>
  <c r="FD77" i="9" s="1"/>
  <c r="FH77" i="9" s="1"/>
  <c r="EJ77" i="9"/>
  <c r="EK77" i="9" s="1"/>
  <c r="EO77" i="9" s="1"/>
  <c r="DQ77" i="9"/>
  <c r="DR77" i="9" s="1"/>
  <c r="DV77" i="9" s="1"/>
  <c r="AS77" i="9"/>
  <c r="AT77" i="9" s="1"/>
  <c r="AX77" i="9" s="1"/>
  <c r="CX77" i="9"/>
  <c r="CY77" i="9" s="1"/>
  <c r="DC77" i="9" s="1"/>
  <c r="CE77" i="9"/>
  <c r="CF77" i="9" s="1"/>
  <c r="CJ77" i="9" s="1"/>
  <c r="BL77" i="9"/>
  <c r="BM77" i="9" s="1"/>
  <c r="BQ77" i="9" s="1"/>
  <c r="Z77" i="9"/>
  <c r="AA77" i="9" s="1"/>
  <c r="AE77" i="9" s="1"/>
  <c r="FJ75" i="9"/>
  <c r="FI75" i="9"/>
  <c r="FM75" i="9" s="1"/>
  <c r="FL75" i="9"/>
  <c r="FK75" i="9"/>
  <c r="BC73" i="12"/>
  <c r="M76" i="12"/>
  <c r="P76" i="12" s="1"/>
  <c r="Q76" i="12" s="1"/>
  <c r="DW75" i="9"/>
  <c r="EA75" i="9" s="1"/>
  <c r="DX75" i="9"/>
  <c r="DZ75" i="9"/>
  <c r="DY75" i="9"/>
  <c r="J78" i="9" a="1"/>
  <c r="J78" i="9" s="1"/>
  <c r="O78" i="9" a="1"/>
  <c r="O78" i="9" s="1"/>
  <c r="N78" i="9" a="1"/>
  <c r="N78" i="9" s="1"/>
  <c r="G78" i="9" a="1"/>
  <c r="G78" i="9" s="1"/>
  <c r="K78" i="9" a="1"/>
  <c r="K78" i="9" s="1"/>
  <c r="H78" i="9" a="1"/>
  <c r="H78" i="9" s="1"/>
  <c r="L78" i="9" a="1"/>
  <c r="L78" i="9" s="1"/>
  <c r="D79" i="9"/>
  <c r="M77" i="9"/>
  <c r="P77" i="9" s="1"/>
  <c r="Q77" i="9" s="1"/>
  <c r="AF75" i="9"/>
  <c r="AG75" i="9"/>
  <c r="AH75" i="9"/>
  <c r="AI75" i="9"/>
  <c r="EA74" i="12"/>
  <c r="ER75" i="9"/>
  <c r="ES75" i="9"/>
  <c r="EQ75" i="9"/>
  <c r="EP75" i="9"/>
  <c r="AY75" i="9"/>
  <c r="AZ75" i="9"/>
  <c r="BA75" i="9"/>
  <c r="BB75" i="9"/>
  <c r="CO73" i="12"/>
  <c r="CN74" i="12"/>
  <c r="CM74" i="12"/>
  <c r="CL74" i="12"/>
  <c r="FE75" i="12"/>
  <c r="FG75" i="12" s="1"/>
  <c r="FF75" i="12"/>
  <c r="EP75" i="12"/>
  <c r="DD75" i="12"/>
  <c r="CK75" i="12"/>
  <c r="BN75" i="12"/>
  <c r="BP75" i="12" s="1"/>
  <c r="BO75" i="12"/>
  <c r="AC75" i="12"/>
  <c r="AB75" i="12"/>
  <c r="AD75" i="12" s="1"/>
  <c r="EL75" i="12"/>
  <c r="EN75" i="12" s="1"/>
  <c r="FI75" i="12"/>
  <c r="BR75" i="12"/>
  <c r="CZ75" i="12"/>
  <c r="DB75" i="12" s="1"/>
  <c r="CH75" i="12"/>
  <c r="CG75" i="12"/>
  <c r="CI75" i="12" s="1"/>
  <c r="AY75" i="12"/>
  <c r="AF75" i="12"/>
  <c r="DS75" i="12"/>
  <c r="DU75" i="12" s="1"/>
  <c r="DW75" i="12"/>
  <c r="DA75" i="12"/>
  <c r="EM75" i="12"/>
  <c r="DT75" i="12"/>
  <c r="AU75" i="12"/>
  <c r="AW75" i="12" s="1"/>
  <c r="AV75" i="12"/>
  <c r="CL75" i="9"/>
  <c r="CM75" i="9"/>
  <c r="CN75" i="9"/>
  <c r="CK75" i="9"/>
  <c r="AG74" i="12"/>
  <c r="AH74" i="12"/>
  <c r="AI74" i="12"/>
  <c r="FJ74" i="12"/>
  <c r="FK74" i="12"/>
  <c r="FL74" i="12"/>
  <c r="DH73" i="12"/>
  <c r="J77" i="12" a="1"/>
  <c r="J77" i="12" s="1"/>
  <c r="L77" i="12" a="1"/>
  <c r="L77" i="12" s="1"/>
  <c r="O77" i="12" a="1"/>
  <c r="O77" i="12" s="1"/>
  <c r="G77" i="12" a="1"/>
  <c r="G77" i="12" s="1"/>
  <c r="K77" i="12" a="1"/>
  <c r="K77" i="12" s="1"/>
  <c r="H77" i="12" a="1"/>
  <c r="H77" i="12" s="1"/>
  <c r="N77" i="12" a="1"/>
  <c r="N77" i="12" s="1"/>
  <c r="D78" i="12"/>
  <c r="DF75" i="9"/>
  <c r="DE75" i="9"/>
  <c r="DD75" i="9"/>
  <c r="DG75" i="9"/>
  <c r="BS75" i="9"/>
  <c r="BU75" i="9"/>
  <c r="BT75" i="9"/>
  <c r="BR75" i="9"/>
  <c r="DH74" i="12" l="1"/>
  <c r="BV74" i="12"/>
  <c r="BC74" i="12"/>
  <c r="BV75" i="9"/>
  <c r="AJ75" i="9"/>
  <c r="BC75" i="9"/>
  <c r="ET75" i="9"/>
  <c r="DH75" i="9"/>
  <c r="CO75" i="9"/>
  <c r="FM74" i="12"/>
  <c r="CO74" i="12"/>
  <c r="AJ74" i="12"/>
  <c r="M77" i="12"/>
  <c r="P77" i="12" s="1"/>
  <c r="Q77" i="12" s="1"/>
  <c r="BS75" i="12"/>
  <c r="BT75" i="12"/>
  <c r="BU75" i="12"/>
  <c r="M78" i="9"/>
  <c r="P78" i="9" s="1"/>
  <c r="Q78" i="9" s="1"/>
  <c r="BA76" i="9"/>
  <c r="BB76" i="9"/>
  <c r="AY76" i="9"/>
  <c r="BC76" i="9" s="1"/>
  <c r="AZ76" i="9"/>
  <c r="DE75" i="12"/>
  <c r="DG75" i="12"/>
  <c r="DF75" i="12"/>
  <c r="AV77" i="9"/>
  <c r="CH77" i="9"/>
  <c r="FF77" i="9"/>
  <c r="BN77" i="9"/>
  <c r="BP77" i="9" s="1"/>
  <c r="AU77" i="9"/>
  <c r="AW77" i="9" s="1"/>
  <c r="CG77" i="9"/>
  <c r="CI77" i="9" s="1"/>
  <c r="FE77" i="9"/>
  <c r="FG77" i="9" s="1"/>
  <c r="BO77" i="9"/>
  <c r="AC77" i="9"/>
  <c r="EM77" i="9"/>
  <c r="AB77" i="9"/>
  <c r="AD77" i="9" s="1"/>
  <c r="EL77" i="9"/>
  <c r="EN77" i="9" s="1"/>
  <c r="DA77" i="9"/>
  <c r="CZ77" i="9"/>
  <c r="DB77" i="9" s="1"/>
  <c r="DT77" i="9"/>
  <c r="DS77" i="9"/>
  <c r="DU77" i="9" s="1"/>
  <c r="DX76" i="9"/>
  <c r="DW76" i="9"/>
  <c r="DY76" i="9"/>
  <c r="DZ76" i="9"/>
  <c r="N78" i="12" a="1"/>
  <c r="N78" i="12" s="1"/>
  <c r="L78" i="12" a="1"/>
  <c r="L78" i="12" s="1"/>
  <c r="J78" i="12" a="1"/>
  <c r="J78" i="12" s="1"/>
  <c r="G78" i="12" a="1"/>
  <c r="G78" i="12" s="1"/>
  <c r="H78" i="12" a="1"/>
  <c r="H78" i="12" s="1"/>
  <c r="K78" i="12" a="1"/>
  <c r="K78" i="12" s="1"/>
  <c r="O78" i="12" a="1"/>
  <c r="O78" i="12" s="1"/>
  <c r="D79" i="12"/>
  <c r="H79" i="9" a="1"/>
  <c r="H79" i="9" s="1"/>
  <c r="G79" i="9" a="1"/>
  <c r="G79" i="9" s="1"/>
  <c r="O79" i="9" a="1"/>
  <c r="O79" i="9" s="1"/>
  <c r="J79" i="9" a="1"/>
  <c r="J79" i="9" s="1"/>
  <c r="N79" i="9" a="1"/>
  <c r="N79" i="9" s="1"/>
  <c r="K79" i="9" a="1"/>
  <c r="K79" i="9" s="1"/>
  <c r="L79" i="9" a="1"/>
  <c r="L79" i="9" s="1"/>
  <c r="D80" i="9"/>
  <c r="BS76" i="9"/>
  <c r="BU76" i="9"/>
  <c r="BR76" i="9"/>
  <c r="BV76" i="9" s="1"/>
  <c r="BT76" i="9"/>
  <c r="DX75" i="12"/>
  <c r="DY75" i="12"/>
  <c r="DZ75" i="12"/>
  <c r="EQ75" i="12"/>
  <c r="ER75" i="12"/>
  <c r="ES75" i="12"/>
  <c r="I79" i="9"/>
  <c r="FC78" i="9"/>
  <c r="FD78" i="9" s="1"/>
  <c r="FH78" i="9" s="1"/>
  <c r="CX78" i="9"/>
  <c r="CY78" i="9" s="1"/>
  <c r="DC78" i="9" s="1"/>
  <c r="CE78" i="9"/>
  <c r="CF78" i="9" s="1"/>
  <c r="CJ78" i="9" s="1"/>
  <c r="EJ78" i="9"/>
  <c r="EK78" i="9" s="1"/>
  <c r="EO78" i="9" s="1"/>
  <c r="DQ78" i="9"/>
  <c r="DR78" i="9" s="1"/>
  <c r="DV78" i="9" s="1"/>
  <c r="AS78" i="9"/>
  <c r="AT78" i="9" s="1"/>
  <c r="AX78" i="9" s="1"/>
  <c r="BL78" i="9"/>
  <c r="BM78" i="9" s="1"/>
  <c r="BQ78" i="9" s="1"/>
  <c r="Z78" i="9"/>
  <c r="AA78" i="9" s="1"/>
  <c r="AE78" i="9" s="1"/>
  <c r="CM76" i="9"/>
  <c r="CN76" i="9"/>
  <c r="CK76" i="9"/>
  <c r="CL76" i="9"/>
  <c r="EP76" i="9"/>
  <c r="ES76" i="9"/>
  <c r="ER76" i="9"/>
  <c r="EQ76" i="9"/>
  <c r="AG75" i="12"/>
  <c r="AH75" i="12"/>
  <c r="AI75" i="12"/>
  <c r="FJ75" i="12"/>
  <c r="FL75" i="12"/>
  <c r="FK75" i="12"/>
  <c r="ET74" i="12"/>
  <c r="EP76" i="12"/>
  <c r="EP77" i="12" s="1"/>
  <c r="FF76" i="12"/>
  <c r="FE76" i="12"/>
  <c r="FG76" i="12" s="1"/>
  <c r="FE77" i="12" s="1"/>
  <c r="FG77" i="12" s="1"/>
  <c r="CK76" i="12"/>
  <c r="DD76" i="12"/>
  <c r="DD77" i="12" s="1"/>
  <c r="BO76" i="12"/>
  <c r="BN76" i="12"/>
  <c r="BP76" i="12" s="1"/>
  <c r="BN77" i="12" s="1"/>
  <c r="BP77" i="12" s="1"/>
  <c r="AB76" i="12"/>
  <c r="AD76" i="12" s="1"/>
  <c r="AC77" i="12" s="1"/>
  <c r="AC76" i="12"/>
  <c r="CZ76" i="12"/>
  <c r="DB76" i="12" s="1"/>
  <c r="EL76" i="12"/>
  <c r="EN76" i="12" s="1"/>
  <c r="EL77" i="12" s="1"/>
  <c r="EN77" i="12" s="1"/>
  <c r="BR76" i="12"/>
  <c r="BR77" i="12" s="1"/>
  <c r="EM76" i="12"/>
  <c r="DA76" i="12"/>
  <c r="CG76" i="12"/>
  <c r="CI76" i="12" s="1"/>
  <c r="CH77" i="12" s="1"/>
  <c r="AF76" i="12"/>
  <c r="CH76" i="12"/>
  <c r="DS76" i="12"/>
  <c r="DU76" i="12" s="1"/>
  <c r="FI76" i="12"/>
  <c r="FI77" i="12" s="1"/>
  <c r="DW76" i="12"/>
  <c r="DW77" i="12" s="1"/>
  <c r="DT76" i="12"/>
  <c r="AY76" i="12"/>
  <c r="AY77" i="12" s="1"/>
  <c r="AV76" i="12"/>
  <c r="AU76" i="12"/>
  <c r="AW76" i="12" s="1"/>
  <c r="AU77" i="12" s="1"/>
  <c r="AW77" i="12" s="1"/>
  <c r="DE76" i="9"/>
  <c r="DG76" i="9"/>
  <c r="DD76" i="9"/>
  <c r="DF76" i="9"/>
  <c r="FK76" i="9"/>
  <c r="FL76" i="9"/>
  <c r="FI76" i="9"/>
  <c r="FJ76" i="9"/>
  <c r="BB75" i="12"/>
  <c r="BA75" i="12"/>
  <c r="AZ75" i="12"/>
  <c r="CN75" i="12"/>
  <c r="CL75" i="12"/>
  <c r="CM75" i="12"/>
  <c r="AI76" i="9"/>
  <c r="AG76" i="9"/>
  <c r="AF76" i="9"/>
  <c r="AJ76" i="9" s="1"/>
  <c r="AH76" i="9"/>
  <c r="ET76" i="9" l="1"/>
  <c r="DH76" i="9"/>
  <c r="EA76" i="9"/>
  <c r="FM76" i="9"/>
  <c r="CO76" i="9"/>
  <c r="DH75" i="12"/>
  <c r="BV75" i="12"/>
  <c r="AJ75" i="12"/>
  <c r="M79" i="9"/>
  <c r="P79" i="9" s="1"/>
  <c r="Q79" i="9" s="1"/>
  <c r="M78" i="12"/>
  <c r="P78" i="12" s="1"/>
  <c r="Q78" i="12" s="1"/>
  <c r="CO75" i="12"/>
  <c r="FM75" i="12"/>
  <c r="ET75" i="12"/>
  <c r="FJ77" i="12"/>
  <c r="FL77" i="12"/>
  <c r="FK77" i="12"/>
  <c r="EQ77" i="12"/>
  <c r="ES77" i="12"/>
  <c r="ER77" i="12"/>
  <c r="BS77" i="12"/>
  <c r="BU77" i="12"/>
  <c r="BT77" i="12"/>
  <c r="AZ77" i="12"/>
  <c r="BB77" i="12"/>
  <c r="BA77" i="12"/>
  <c r="DX76" i="12"/>
  <c r="DZ76" i="12"/>
  <c r="DY76" i="12"/>
  <c r="DE76" i="12"/>
  <c r="DG76" i="12"/>
  <c r="DF76" i="12"/>
  <c r="DS77" i="12"/>
  <c r="DU77" i="12" s="1"/>
  <c r="AI77" i="9"/>
  <c r="AG77" i="9"/>
  <c r="AH77" i="9"/>
  <c r="AF77" i="9"/>
  <c r="BO77" i="12"/>
  <c r="I80" i="9"/>
  <c r="BL79" i="9"/>
  <c r="BM79" i="9" s="1"/>
  <c r="BQ79" i="9" s="1"/>
  <c r="DQ79" i="9"/>
  <c r="DR79" i="9" s="1"/>
  <c r="DV79" i="9" s="1"/>
  <c r="EJ79" i="9"/>
  <c r="EK79" i="9" s="1"/>
  <c r="EO79" i="9" s="1"/>
  <c r="CX79" i="9"/>
  <c r="CY79" i="9" s="1"/>
  <c r="DC79" i="9" s="1"/>
  <c r="Z79" i="9"/>
  <c r="AA79" i="9" s="1"/>
  <c r="AE79" i="9" s="1"/>
  <c r="FC79" i="9"/>
  <c r="FD79" i="9" s="1"/>
  <c r="FH79" i="9" s="1"/>
  <c r="AS79" i="9"/>
  <c r="AT79" i="9" s="1"/>
  <c r="AX79" i="9" s="1"/>
  <c r="CE79" i="9"/>
  <c r="CF79" i="9" s="1"/>
  <c r="CJ79" i="9" s="1"/>
  <c r="AV77" i="12"/>
  <c r="EM77" i="12"/>
  <c r="DW77" i="9"/>
  <c r="DX77" i="9"/>
  <c r="DY77" i="9"/>
  <c r="DZ77" i="9"/>
  <c r="BN78" i="9"/>
  <c r="BP78" i="9" s="1"/>
  <c r="FF78" i="9"/>
  <c r="BO78" i="9"/>
  <c r="AU78" i="9"/>
  <c r="AW78" i="9" s="1"/>
  <c r="FE78" i="9"/>
  <c r="FG78" i="9" s="1"/>
  <c r="AV78" i="9"/>
  <c r="CH78" i="9"/>
  <c r="CG78" i="9"/>
  <c r="CI78" i="9" s="1"/>
  <c r="DA78" i="9"/>
  <c r="EM78" i="9"/>
  <c r="EL78" i="9"/>
  <c r="EN78" i="9" s="1"/>
  <c r="CZ78" i="9"/>
  <c r="DB78" i="9" s="1"/>
  <c r="AC78" i="9"/>
  <c r="AB78" i="9"/>
  <c r="AD78" i="9" s="1"/>
  <c r="DS78" i="9"/>
  <c r="DU78" i="9" s="1"/>
  <c r="DT78" i="9"/>
  <c r="CL76" i="12"/>
  <c r="CN76" i="12"/>
  <c r="CM76" i="12"/>
  <c r="AF77" i="12"/>
  <c r="DT77" i="12"/>
  <c r="FJ77" i="9"/>
  <c r="FI77" i="9"/>
  <c r="FM77" i="9" s="1"/>
  <c r="FL77" i="9"/>
  <c r="FK77" i="9"/>
  <c r="AH76" i="12"/>
  <c r="AI76" i="12"/>
  <c r="AG76" i="12"/>
  <c r="BS76" i="12"/>
  <c r="BT76" i="12"/>
  <c r="BU76" i="12"/>
  <c r="DA77" i="12"/>
  <c r="DF77" i="9"/>
  <c r="DE77" i="9"/>
  <c r="DD77" i="9"/>
  <c r="DH77" i="9" s="1"/>
  <c r="DG77" i="9"/>
  <c r="CN77" i="9"/>
  <c r="CM77" i="9"/>
  <c r="CK77" i="9"/>
  <c r="CL77" i="9"/>
  <c r="BA76" i="12"/>
  <c r="BB76" i="12"/>
  <c r="AZ76" i="12"/>
  <c r="CK77" i="12"/>
  <c r="L80" i="9" a="1"/>
  <c r="L80" i="9" s="1"/>
  <c r="O80" i="9" a="1"/>
  <c r="O80" i="9" s="1"/>
  <c r="H80" i="9" a="1"/>
  <c r="H80" i="9" s="1"/>
  <c r="G80" i="9" a="1"/>
  <c r="G80" i="9" s="1"/>
  <c r="N80" i="9" a="1"/>
  <c r="N80" i="9" s="1"/>
  <c r="K80" i="9" a="1"/>
  <c r="K80" i="9" s="1"/>
  <c r="J80" i="9" a="1"/>
  <c r="J80" i="9" s="1"/>
  <c r="D81" i="9"/>
  <c r="BB77" i="9"/>
  <c r="BA77" i="9"/>
  <c r="AZ77" i="9"/>
  <c r="AY77" i="9"/>
  <c r="AB77" i="12"/>
  <c r="AD77" i="12" s="1"/>
  <c r="BC75" i="12"/>
  <c r="EQ76" i="12"/>
  <c r="ER76" i="12"/>
  <c r="ES76" i="12"/>
  <c r="FJ76" i="12"/>
  <c r="FL76" i="12"/>
  <c r="FK76" i="12"/>
  <c r="EA75" i="12"/>
  <c r="CG77" i="12"/>
  <c r="CI77" i="12" s="1"/>
  <c r="CZ77" i="12"/>
  <c r="DB77" i="12" s="1"/>
  <c r="FF77" i="12"/>
  <c r="L79" i="12" a="1"/>
  <c r="L79" i="12" s="1"/>
  <c r="K79" i="12" a="1"/>
  <c r="K79" i="12" s="1"/>
  <c r="G79" i="12" a="1"/>
  <c r="G79" i="12" s="1"/>
  <c r="H79" i="12" a="1"/>
  <c r="H79" i="12" s="1"/>
  <c r="O79" i="12" a="1"/>
  <c r="O79" i="12" s="1"/>
  <c r="J79" i="12" a="1"/>
  <c r="J79" i="12" s="1"/>
  <c r="N79" i="12" a="1"/>
  <c r="N79" i="12" s="1"/>
  <c r="D80" i="12"/>
  <c r="EQ77" i="9"/>
  <c r="EP77" i="9"/>
  <c r="ET77" i="9" s="1"/>
  <c r="ER77" i="9"/>
  <c r="ES77" i="9"/>
  <c r="BR77" i="9"/>
  <c r="BS77" i="9"/>
  <c r="BU77" i="9"/>
  <c r="BT77" i="9"/>
  <c r="EA77" i="9" l="1"/>
  <c r="BV77" i="9"/>
  <c r="BC77" i="9"/>
  <c r="AJ77" i="9"/>
  <c r="CO77" i="9"/>
  <c r="CO76" i="12"/>
  <c r="BV76" i="12"/>
  <c r="BC76" i="12"/>
  <c r="FM76" i="12"/>
  <c r="BC77" i="12"/>
  <c r="FM77" i="12"/>
  <c r="BV77" i="12"/>
  <c r="AJ76" i="12"/>
  <c r="AG77" i="12"/>
  <c r="AI77" i="12"/>
  <c r="AH77" i="12"/>
  <c r="DE78" i="9"/>
  <c r="DG78" i="9"/>
  <c r="DF78" i="9"/>
  <c r="DD78" i="9"/>
  <c r="AZ78" i="9"/>
  <c r="BA78" i="9"/>
  <c r="AY78" i="9"/>
  <c r="BB78" i="9"/>
  <c r="ES78" i="9"/>
  <c r="ER78" i="9"/>
  <c r="EP78" i="9"/>
  <c r="EQ78" i="9"/>
  <c r="I81" i="9"/>
  <c r="Z80" i="9"/>
  <c r="AA80" i="9" s="1"/>
  <c r="AE80" i="9" s="1"/>
  <c r="CE80" i="9"/>
  <c r="CF80" i="9" s="1"/>
  <c r="CJ80" i="9" s="1"/>
  <c r="AS80" i="9"/>
  <c r="AT80" i="9" s="1"/>
  <c r="AX80" i="9" s="1"/>
  <c r="FC80" i="9"/>
  <c r="FD80" i="9" s="1"/>
  <c r="FH80" i="9" s="1"/>
  <c r="EJ80" i="9"/>
  <c r="EK80" i="9" s="1"/>
  <c r="EO80" i="9" s="1"/>
  <c r="CX80" i="9"/>
  <c r="CY80" i="9" s="1"/>
  <c r="DC80" i="9" s="1"/>
  <c r="BL80" i="9"/>
  <c r="BM80" i="9" s="1"/>
  <c r="BQ80" i="9" s="1"/>
  <c r="DQ80" i="9"/>
  <c r="DR80" i="9" s="1"/>
  <c r="DV80" i="9" s="1"/>
  <c r="DX77" i="12"/>
  <c r="DZ77" i="12"/>
  <c r="DY77" i="12"/>
  <c r="ET77" i="12"/>
  <c r="BT78" i="9"/>
  <c r="BU78" i="9"/>
  <c r="BS78" i="9"/>
  <c r="BR78" i="9"/>
  <c r="DH76" i="12"/>
  <c r="L80" i="12" a="1"/>
  <c r="L80" i="12" s="1"/>
  <c r="K80" i="12" a="1"/>
  <c r="K80" i="12" s="1"/>
  <c r="G80" i="12" a="1"/>
  <c r="G80" i="12" s="1"/>
  <c r="O80" i="12" a="1"/>
  <c r="O80" i="12" s="1"/>
  <c r="N80" i="12" a="1"/>
  <c r="N80" i="12" s="1"/>
  <c r="J80" i="12" a="1"/>
  <c r="J80" i="12" s="1"/>
  <c r="H80" i="12" a="1"/>
  <c r="H80" i="12" s="1"/>
  <c r="D81" i="12"/>
  <c r="ET76" i="12"/>
  <c r="CL78" i="9"/>
  <c r="CK78" i="9"/>
  <c r="CM78" i="9"/>
  <c r="CN78" i="9"/>
  <c r="FF79" i="9"/>
  <c r="AV79" i="9"/>
  <c r="AU79" i="9"/>
  <c r="AW79" i="9" s="1"/>
  <c r="CG79" i="9"/>
  <c r="CI79" i="9" s="1"/>
  <c r="FE79" i="9"/>
  <c r="FG79" i="9" s="1"/>
  <c r="BN79" i="9"/>
  <c r="BP79" i="9" s="1"/>
  <c r="BO79" i="9"/>
  <c r="CH79" i="9"/>
  <c r="EM79" i="9"/>
  <c r="DA79" i="9"/>
  <c r="EL79" i="9"/>
  <c r="EN79" i="9" s="1"/>
  <c r="CZ79" i="9"/>
  <c r="DB79" i="9" s="1"/>
  <c r="AB79" i="9"/>
  <c r="AD79" i="9" s="1"/>
  <c r="AC79" i="9"/>
  <c r="DT79" i="9"/>
  <c r="DS79" i="9"/>
  <c r="DU79" i="9" s="1"/>
  <c r="DE77" i="12"/>
  <c r="DG77" i="12"/>
  <c r="DF77" i="12"/>
  <c r="FE78" i="12"/>
  <c r="FG78" i="12" s="1"/>
  <c r="EP78" i="12"/>
  <c r="FF78" i="12"/>
  <c r="CK78" i="12"/>
  <c r="DD78" i="12"/>
  <c r="BN78" i="12"/>
  <c r="BP78" i="12" s="1"/>
  <c r="AB78" i="12"/>
  <c r="AD78" i="12" s="1"/>
  <c r="BO78" i="12"/>
  <c r="AC78" i="12"/>
  <c r="BR78" i="12"/>
  <c r="CZ78" i="12"/>
  <c r="DB78" i="12" s="1"/>
  <c r="CH78" i="12"/>
  <c r="EM78" i="12"/>
  <c r="CG78" i="12"/>
  <c r="CI78" i="12" s="1"/>
  <c r="AY78" i="12"/>
  <c r="EL78" i="12"/>
  <c r="EN78" i="12" s="1"/>
  <c r="DT78" i="12"/>
  <c r="DA78" i="12"/>
  <c r="FI78" i="12"/>
  <c r="DS78" i="12"/>
  <c r="DU78" i="12" s="1"/>
  <c r="DW78" i="12"/>
  <c r="AF78" i="12"/>
  <c r="AU78" i="12"/>
  <c r="AW78" i="12" s="1"/>
  <c r="AV78" i="12"/>
  <c r="DX78" i="9"/>
  <c r="DW78" i="9"/>
  <c r="DY78" i="9"/>
  <c r="DZ78" i="9"/>
  <c r="M79" i="12"/>
  <c r="P79" i="12" s="1"/>
  <c r="Q79" i="12" s="1"/>
  <c r="CL77" i="12"/>
  <c r="CN77" i="12"/>
  <c r="CM77" i="12"/>
  <c r="L81" i="9" a="1"/>
  <c r="L81" i="9" s="1"/>
  <c r="K81" i="9" a="1"/>
  <c r="K81" i="9" s="1"/>
  <c r="J81" i="9" a="1"/>
  <c r="J81" i="9" s="1"/>
  <c r="H81" i="9" a="1"/>
  <c r="H81" i="9" s="1"/>
  <c r="G81" i="9" a="1"/>
  <c r="G81" i="9" s="1"/>
  <c r="N81" i="9" a="1"/>
  <c r="N81" i="9" s="1"/>
  <c r="O81" i="9" a="1"/>
  <c r="O81" i="9" s="1"/>
  <c r="D82" i="9"/>
  <c r="M80" i="9"/>
  <c r="P80" i="9" s="1"/>
  <c r="Q80" i="9" s="1"/>
  <c r="AF78" i="9"/>
  <c r="AI78" i="9"/>
  <c r="AG78" i="9"/>
  <c r="AH78" i="9"/>
  <c r="EA76" i="12"/>
  <c r="FK78" i="9"/>
  <c r="FI78" i="9"/>
  <c r="FM78" i="9" s="1"/>
  <c r="FJ78" i="9"/>
  <c r="FL78" i="9"/>
  <c r="AJ78" i="9" l="1"/>
  <c r="EA78" i="9"/>
  <c r="BC78" i="9"/>
  <c r="BV78" i="9"/>
  <c r="CO78" i="9"/>
  <c r="DH78" i="9"/>
  <c r="DH79" i="9" s="1"/>
  <c r="ET78" i="9"/>
  <c r="CO77" i="12"/>
  <c r="AJ77" i="12"/>
  <c r="M80" i="12"/>
  <c r="FE79" i="12"/>
  <c r="FG79" i="12" s="1"/>
  <c r="FF79" i="12"/>
  <c r="EP79" i="12"/>
  <c r="CK79" i="12"/>
  <c r="DD79" i="12"/>
  <c r="AB79" i="12"/>
  <c r="AD79" i="12" s="1"/>
  <c r="AC79" i="12"/>
  <c r="BO79" i="12"/>
  <c r="BN79" i="12"/>
  <c r="BP79" i="12" s="1"/>
  <c r="AY79" i="12"/>
  <c r="AF79" i="12"/>
  <c r="DA79" i="12"/>
  <c r="DW79" i="12"/>
  <c r="CH79" i="12"/>
  <c r="CZ79" i="12"/>
  <c r="DB79" i="12" s="1"/>
  <c r="CG79" i="12"/>
  <c r="CI79" i="12" s="1"/>
  <c r="FI79" i="12"/>
  <c r="DT79" i="12"/>
  <c r="EM79" i="12"/>
  <c r="BR79" i="12"/>
  <c r="DS79" i="12"/>
  <c r="DU79" i="12" s="1"/>
  <c r="EL79" i="12"/>
  <c r="EN79" i="12" s="1"/>
  <c r="AV79" i="12"/>
  <c r="AU79" i="12"/>
  <c r="AW79" i="12" s="1"/>
  <c r="M81" i="9"/>
  <c r="P81" i="9" s="1"/>
  <c r="Q81" i="9" s="1"/>
  <c r="DX78" i="12"/>
  <c r="DZ78" i="12"/>
  <c r="DY78" i="12"/>
  <c r="DW79" i="9"/>
  <c r="EA79" i="9" s="1"/>
  <c r="DX79" i="9"/>
  <c r="DY79" i="9"/>
  <c r="DZ79" i="9"/>
  <c r="P80" i="12"/>
  <c r="Q80" i="12" s="1"/>
  <c r="DE78" i="12"/>
  <c r="DG78" i="12"/>
  <c r="DF78" i="12"/>
  <c r="BR79" i="9"/>
  <c r="BV79" i="9" s="1"/>
  <c r="BS79" i="9"/>
  <c r="BU79" i="9"/>
  <c r="BT79" i="9"/>
  <c r="AU80" i="9"/>
  <c r="AW80" i="9" s="1"/>
  <c r="CG80" i="9"/>
  <c r="CI80" i="9" s="1"/>
  <c r="FE80" i="9"/>
  <c r="FG80" i="9" s="1"/>
  <c r="BO80" i="9"/>
  <c r="BN80" i="9"/>
  <c r="BP80" i="9" s="1"/>
  <c r="AV80" i="9"/>
  <c r="CH80" i="9"/>
  <c r="FF80" i="9"/>
  <c r="DA80" i="9"/>
  <c r="AC80" i="9"/>
  <c r="EL80" i="9"/>
  <c r="EN80" i="9" s="1"/>
  <c r="CZ80" i="9"/>
  <c r="DB80" i="9" s="1"/>
  <c r="AB80" i="9"/>
  <c r="AD80" i="9" s="1"/>
  <c r="EM80" i="9"/>
  <c r="DT80" i="9"/>
  <c r="DS80" i="9"/>
  <c r="DU80" i="9" s="1"/>
  <c r="FJ78" i="12"/>
  <c r="FL78" i="12"/>
  <c r="FK78" i="12"/>
  <c r="AF79" i="9"/>
  <c r="AI79" i="9"/>
  <c r="AG79" i="9"/>
  <c r="AH79" i="9"/>
  <c r="FL79" i="9"/>
  <c r="FK79" i="9"/>
  <c r="FJ79" i="9"/>
  <c r="FI79" i="9"/>
  <c r="EA77" i="12"/>
  <c r="K82" i="9" a="1"/>
  <c r="K82" i="9" s="1"/>
  <c r="O82" i="9" a="1"/>
  <c r="O82" i="9" s="1"/>
  <c r="H82" i="9" a="1"/>
  <c r="H82" i="9" s="1"/>
  <c r="G82" i="9" a="1"/>
  <c r="G82" i="9" s="1"/>
  <c r="N82" i="9" a="1"/>
  <c r="N82" i="9" s="1"/>
  <c r="L82" i="9" a="1"/>
  <c r="L82" i="9" s="1"/>
  <c r="J82" i="9" a="1"/>
  <c r="J82" i="9" s="1"/>
  <c r="D83" i="9"/>
  <c r="EQ78" i="12"/>
  <c r="ES78" i="12"/>
  <c r="ER78" i="12"/>
  <c r="DH77" i="12"/>
  <c r="DG79" i="9"/>
  <c r="DD79" i="9"/>
  <c r="DE79" i="9"/>
  <c r="DF79" i="9"/>
  <c r="CN79" i="9"/>
  <c r="CL79" i="9"/>
  <c r="CK79" i="9"/>
  <c r="CM79" i="9"/>
  <c r="AZ78" i="12"/>
  <c r="BB78" i="12"/>
  <c r="BA78" i="12"/>
  <c r="AI78" i="12"/>
  <c r="AG78" i="12"/>
  <c r="AH78" i="12"/>
  <c r="ES79" i="9"/>
  <c r="ER79" i="9"/>
  <c r="EP79" i="9"/>
  <c r="ET79" i="9" s="1"/>
  <c r="EQ79" i="9"/>
  <c r="BB79" i="9"/>
  <c r="AY79" i="9"/>
  <c r="AZ79" i="9"/>
  <c r="BA79" i="9"/>
  <c r="N81" i="12" a="1"/>
  <c r="N81" i="12" s="1"/>
  <c r="L81" i="12" a="1"/>
  <c r="L81" i="12" s="1"/>
  <c r="H81" i="12" a="1"/>
  <c r="H81" i="12" s="1"/>
  <c r="O81" i="12" a="1"/>
  <c r="O81" i="12" s="1"/>
  <c r="G81" i="12" a="1"/>
  <c r="G81" i="12" s="1"/>
  <c r="J81" i="12" a="1"/>
  <c r="J81" i="12" s="1"/>
  <c r="K81" i="12" a="1"/>
  <c r="K81" i="12" s="1"/>
  <c r="D82" i="12"/>
  <c r="CN78" i="12"/>
  <c r="CM78" i="12"/>
  <c r="CL78" i="12"/>
  <c r="BS78" i="12"/>
  <c r="BU78" i="12"/>
  <c r="BT78" i="12"/>
  <c r="I82" i="9"/>
  <c r="CX81" i="9"/>
  <c r="CY81" i="9" s="1"/>
  <c r="DC81" i="9" s="1"/>
  <c r="BL81" i="9"/>
  <c r="BM81" i="9" s="1"/>
  <c r="BQ81" i="9" s="1"/>
  <c r="Z81" i="9"/>
  <c r="AA81" i="9" s="1"/>
  <c r="AE81" i="9" s="1"/>
  <c r="DQ81" i="9"/>
  <c r="DR81" i="9" s="1"/>
  <c r="DV81" i="9" s="1"/>
  <c r="FC81" i="9"/>
  <c r="FD81" i="9" s="1"/>
  <c r="FH81" i="9" s="1"/>
  <c r="CE81" i="9"/>
  <c r="CF81" i="9" s="1"/>
  <c r="CJ81" i="9" s="1"/>
  <c r="EJ81" i="9"/>
  <c r="EK81" i="9" s="1"/>
  <c r="EO81" i="9" s="1"/>
  <c r="AS81" i="9"/>
  <c r="AT81" i="9" s="1"/>
  <c r="AX81" i="9" s="1"/>
  <c r="BC79" i="9" l="1"/>
  <c r="AJ79" i="9"/>
  <c r="FM79" i="9"/>
  <c r="CO79" i="9"/>
  <c r="AJ78" i="12"/>
  <c r="M81" i="12"/>
  <c r="P81" i="12" s="1"/>
  <c r="Q81" i="12" s="1"/>
  <c r="CO78" i="12"/>
  <c r="FM78" i="12"/>
  <c r="BV78" i="12"/>
  <c r="ET78" i="12"/>
  <c r="BB79" i="12"/>
  <c r="AZ79" i="12"/>
  <c r="BA79" i="12"/>
  <c r="CL79" i="12"/>
  <c r="CN79" i="12"/>
  <c r="CM79" i="12"/>
  <c r="DG80" i="9"/>
  <c r="DE80" i="9"/>
  <c r="DD80" i="9"/>
  <c r="DF80" i="9"/>
  <c r="DH80" i="9" s="1"/>
  <c r="DE79" i="12"/>
  <c r="DG79" i="12"/>
  <c r="DF79" i="12"/>
  <c r="BS80" i="9"/>
  <c r="BT80" i="9"/>
  <c r="BR80" i="9"/>
  <c r="BU80" i="9"/>
  <c r="L83" i="9" a="1"/>
  <c r="L83" i="9" s="1"/>
  <c r="K83" i="9" a="1"/>
  <c r="K83" i="9" s="1"/>
  <c r="O83" i="9" a="1"/>
  <c r="O83" i="9" s="1"/>
  <c r="G83" i="9" a="1"/>
  <c r="G83" i="9" s="1"/>
  <c r="N83" i="9" a="1"/>
  <c r="N83" i="9" s="1"/>
  <c r="J83" i="9" a="1"/>
  <c r="J83" i="9" s="1"/>
  <c r="H83" i="9" a="1"/>
  <c r="H83" i="9" s="1"/>
  <c r="D84" i="9"/>
  <c r="M82" i="9"/>
  <c r="P82" i="9" s="1"/>
  <c r="Q82" i="9" s="1"/>
  <c r="ES80" i="9"/>
  <c r="EP80" i="9"/>
  <c r="EQ80" i="9"/>
  <c r="ER80" i="9"/>
  <c r="FK80" i="9"/>
  <c r="FJ80" i="9"/>
  <c r="FI80" i="9"/>
  <c r="FL80" i="9"/>
  <c r="DH78" i="12"/>
  <c r="EQ79" i="12"/>
  <c r="ES79" i="12"/>
  <c r="ER79" i="12"/>
  <c r="AG79" i="12"/>
  <c r="AI79" i="12"/>
  <c r="AH79" i="12"/>
  <c r="J82" i="12" a="1"/>
  <c r="J82" i="12" s="1"/>
  <c r="L82" i="12" a="1"/>
  <c r="L82" i="12" s="1"/>
  <c r="K82" i="12" a="1"/>
  <c r="K82" i="12" s="1"/>
  <c r="N82" i="12" a="1"/>
  <c r="N82" i="12" s="1"/>
  <c r="H82" i="12" a="1"/>
  <c r="H82" i="12" s="1"/>
  <c r="O82" i="12" a="1"/>
  <c r="O82" i="12" s="1"/>
  <c r="G82" i="12" a="1"/>
  <c r="G82" i="12" s="1"/>
  <c r="D83" i="12"/>
  <c r="DX79" i="12"/>
  <c r="DY79" i="12"/>
  <c r="DZ79" i="12"/>
  <c r="BA80" i="9"/>
  <c r="AZ80" i="9"/>
  <c r="BB80" i="9"/>
  <c r="AY80" i="9"/>
  <c r="EA78" i="12"/>
  <c r="I83" i="9"/>
  <c r="CE82" i="9"/>
  <c r="CF82" i="9" s="1"/>
  <c r="CJ82" i="9" s="1"/>
  <c r="CX82" i="9"/>
  <c r="CY82" i="9" s="1"/>
  <c r="DC82" i="9" s="1"/>
  <c r="Z82" i="9"/>
  <c r="AA82" i="9" s="1"/>
  <c r="AE82" i="9" s="1"/>
  <c r="EJ82" i="9"/>
  <c r="EK82" i="9" s="1"/>
  <c r="EO82" i="9" s="1"/>
  <c r="DQ82" i="9"/>
  <c r="DR82" i="9" s="1"/>
  <c r="DV82" i="9" s="1"/>
  <c r="BL82" i="9"/>
  <c r="BM82" i="9" s="1"/>
  <c r="BQ82" i="9" s="1"/>
  <c r="FC82" i="9"/>
  <c r="FD82" i="9" s="1"/>
  <c r="FH82" i="9" s="1"/>
  <c r="AS82" i="9"/>
  <c r="AT82" i="9" s="1"/>
  <c r="AX82" i="9" s="1"/>
  <c r="AG80" i="9"/>
  <c r="AF80" i="9"/>
  <c r="AH80" i="9"/>
  <c r="AI80" i="9"/>
  <c r="BC78" i="12"/>
  <c r="DW80" i="9"/>
  <c r="DX80" i="9"/>
  <c r="DZ80" i="9"/>
  <c r="DY80" i="9"/>
  <c r="CM80" i="9"/>
  <c r="CK80" i="9"/>
  <c r="CL80" i="9"/>
  <c r="CN80" i="9"/>
  <c r="FE80" i="12"/>
  <c r="FG80" i="12" s="1"/>
  <c r="EP80" i="12"/>
  <c r="FF80" i="12"/>
  <c r="CK80" i="12"/>
  <c r="DD80" i="12"/>
  <c r="BN80" i="12"/>
  <c r="BP80" i="12" s="1"/>
  <c r="BO80" i="12"/>
  <c r="AB80" i="12"/>
  <c r="AD80" i="12" s="1"/>
  <c r="AC80" i="12"/>
  <c r="CG80" i="12"/>
  <c r="CI80" i="12" s="1"/>
  <c r="BR80" i="12"/>
  <c r="DS80" i="12"/>
  <c r="DU80" i="12" s="1"/>
  <c r="FI80" i="12"/>
  <c r="EM80" i="12"/>
  <c r="DT80" i="12"/>
  <c r="DW80" i="12"/>
  <c r="AF80" i="12"/>
  <c r="EL80" i="12"/>
  <c r="EN80" i="12" s="1"/>
  <c r="CH80" i="12"/>
  <c r="AY80" i="12"/>
  <c r="CZ80" i="12"/>
  <c r="DB80" i="12" s="1"/>
  <c r="DA80" i="12"/>
  <c r="AV80" i="12"/>
  <c r="AU80" i="12"/>
  <c r="AW80" i="12" s="1"/>
  <c r="FF81" i="9"/>
  <c r="CH81" i="9"/>
  <c r="CG81" i="9"/>
  <c r="CI81" i="9" s="1"/>
  <c r="AU81" i="9"/>
  <c r="AW81" i="9" s="1"/>
  <c r="BO81" i="9"/>
  <c r="FE81" i="9"/>
  <c r="FG81" i="9" s="1"/>
  <c r="BN81" i="9"/>
  <c r="BP81" i="9" s="1"/>
  <c r="AV81" i="9"/>
  <c r="EM81" i="9"/>
  <c r="AB81" i="9"/>
  <c r="AD81" i="9" s="1"/>
  <c r="DA81" i="9"/>
  <c r="EL81" i="9"/>
  <c r="EN81" i="9" s="1"/>
  <c r="CZ81" i="9"/>
  <c r="DB81" i="9" s="1"/>
  <c r="AC81" i="9"/>
  <c r="DS81" i="9"/>
  <c r="DU81" i="9" s="1"/>
  <c r="DT81" i="9"/>
  <c r="BS79" i="12"/>
  <c r="BT79" i="12"/>
  <c r="BU79" i="12"/>
  <c r="FJ79" i="12"/>
  <c r="FK79" i="12"/>
  <c r="FL79" i="12"/>
  <c r="CO80" i="9" l="1"/>
  <c r="AJ80" i="9"/>
  <c r="ET80" i="9"/>
  <c r="FM80" i="9"/>
  <c r="EA80" i="9"/>
  <c r="BC80" i="9"/>
  <c r="BV80" i="9"/>
  <c r="ET81" i="9"/>
  <c r="BC79" i="12"/>
  <c r="DT81" i="12"/>
  <c r="EM81" i="12"/>
  <c r="CG81" i="12"/>
  <c r="CI81" i="12" s="1"/>
  <c r="CN81" i="12" s="1"/>
  <c r="EP81" i="12"/>
  <c r="AF81" i="12"/>
  <c r="FE81" i="12"/>
  <c r="FG81" i="12" s="1"/>
  <c r="FL81" i="12" s="1"/>
  <c r="AV81" i="12"/>
  <c r="AB81" i="12"/>
  <c r="AD81" i="12" s="1"/>
  <c r="AG81" i="12" s="1"/>
  <c r="DW81" i="12"/>
  <c r="BN81" i="12"/>
  <c r="BP81" i="12" s="1"/>
  <c r="DA81" i="12"/>
  <c r="FI81" i="12"/>
  <c r="AJ79" i="12"/>
  <c r="FM79" i="12"/>
  <c r="M82" i="12"/>
  <c r="P82" i="12" s="1"/>
  <c r="Q82" i="12" s="1"/>
  <c r="M83" i="9"/>
  <c r="P83" i="9" s="1"/>
  <c r="Q83" i="9" s="1"/>
  <c r="DH79" i="12"/>
  <c r="BV79" i="12"/>
  <c r="CH82" i="9"/>
  <c r="BO82" i="9"/>
  <c r="BN82" i="9"/>
  <c r="BP82" i="9" s="1"/>
  <c r="CG82" i="9"/>
  <c r="CI82" i="9" s="1"/>
  <c r="FF82" i="9"/>
  <c r="FE82" i="9"/>
  <c r="FG82" i="9" s="1"/>
  <c r="AU82" i="9"/>
  <c r="AW82" i="9" s="1"/>
  <c r="AV82" i="9"/>
  <c r="DA82" i="9"/>
  <c r="CZ82" i="9"/>
  <c r="DB82" i="9" s="1"/>
  <c r="EM82" i="9"/>
  <c r="AC82" i="9"/>
  <c r="EL82" i="9"/>
  <c r="EN82" i="9" s="1"/>
  <c r="AB82" i="9"/>
  <c r="AD82" i="9" s="1"/>
  <c r="DT82" i="9"/>
  <c r="DS82" i="9"/>
  <c r="DU82" i="9" s="1"/>
  <c r="CL81" i="12"/>
  <c r="CM81" i="12"/>
  <c r="FK81" i="12"/>
  <c r="AU81" i="12"/>
  <c r="AW81" i="12" s="1"/>
  <c r="BS81" i="12"/>
  <c r="BU81" i="12"/>
  <c r="BT81" i="12"/>
  <c r="DF81" i="9"/>
  <c r="DG81" i="9"/>
  <c r="DE81" i="9"/>
  <c r="DD81" i="9"/>
  <c r="BS80" i="12"/>
  <c r="BT80" i="12"/>
  <c r="BU80" i="12"/>
  <c r="AC81" i="12"/>
  <c r="DW81" i="9"/>
  <c r="DZ81" i="9"/>
  <c r="DX81" i="9"/>
  <c r="DY81" i="9"/>
  <c r="ES81" i="9"/>
  <c r="EQ81" i="9"/>
  <c r="ER81" i="9"/>
  <c r="EP81" i="9"/>
  <c r="AY81" i="9"/>
  <c r="BB81" i="9"/>
  <c r="BA81" i="9"/>
  <c r="AZ81" i="9"/>
  <c r="DE80" i="12"/>
  <c r="DG80" i="12"/>
  <c r="DF80" i="12"/>
  <c r="EL81" i="12"/>
  <c r="EN81" i="12" s="1"/>
  <c r="BB80" i="12"/>
  <c r="BA80" i="12"/>
  <c r="AZ80" i="12"/>
  <c r="N84" i="9" a="1"/>
  <c r="N84" i="9" s="1"/>
  <c r="H84" i="9" a="1"/>
  <c r="H84" i="9" s="1"/>
  <c r="O84" i="9" a="1"/>
  <c r="O84" i="9" s="1"/>
  <c r="G84" i="9" a="1"/>
  <c r="G84" i="9" s="1"/>
  <c r="J84" i="9" a="1"/>
  <c r="J84" i="9" s="1"/>
  <c r="K84" i="9" a="1"/>
  <c r="K84" i="9" s="1"/>
  <c r="L84" i="9" a="1"/>
  <c r="L84" i="9" s="1"/>
  <c r="D85" i="9"/>
  <c r="DD81" i="12"/>
  <c r="AH80" i="12"/>
  <c r="AI80" i="12"/>
  <c r="AG80" i="12"/>
  <c r="L83" i="12" a="1"/>
  <c r="L83" i="12" s="1"/>
  <c r="N83" i="12" a="1"/>
  <c r="N83" i="12" s="1"/>
  <c r="O83" i="12" a="1"/>
  <c r="O83" i="12" s="1"/>
  <c r="K83" i="12" a="1"/>
  <c r="K83" i="12" s="1"/>
  <c r="H83" i="12" a="1"/>
  <c r="H83" i="12" s="1"/>
  <c r="J83" i="12" a="1"/>
  <c r="J83" i="12" s="1"/>
  <c r="G83" i="12" a="1"/>
  <c r="G83" i="12" s="1"/>
  <c r="D84" i="12"/>
  <c r="CM81" i="9"/>
  <c r="CL81" i="9"/>
  <c r="CK81" i="9"/>
  <c r="CN81" i="9"/>
  <c r="AG81" i="9"/>
  <c r="AI81" i="9"/>
  <c r="AF81" i="9"/>
  <c r="AH81" i="9"/>
  <c r="ET79" i="12"/>
  <c r="CO79" i="12"/>
  <c r="CK81" i="12"/>
  <c r="BS81" i="9"/>
  <c r="BT81" i="9"/>
  <c r="BU81" i="9"/>
  <c r="BR81" i="9"/>
  <c r="EQ80" i="12"/>
  <c r="ER80" i="12"/>
  <c r="ES80" i="12"/>
  <c r="CL80" i="12"/>
  <c r="CN80" i="12"/>
  <c r="CM80" i="12"/>
  <c r="I84" i="9"/>
  <c r="AS83" i="9"/>
  <c r="AT83" i="9" s="1"/>
  <c r="AX83" i="9" s="1"/>
  <c r="DQ83" i="9"/>
  <c r="DR83" i="9" s="1"/>
  <c r="DV83" i="9" s="1"/>
  <c r="CE83" i="9"/>
  <c r="CF83" i="9" s="1"/>
  <c r="CJ83" i="9" s="1"/>
  <c r="BL83" i="9"/>
  <c r="BM83" i="9" s="1"/>
  <c r="BQ83" i="9" s="1"/>
  <c r="EJ83" i="9"/>
  <c r="EK83" i="9" s="1"/>
  <c r="EO83" i="9" s="1"/>
  <c r="Z83" i="9"/>
  <c r="AA83" i="9" s="1"/>
  <c r="AE83" i="9" s="1"/>
  <c r="CX83" i="9"/>
  <c r="CY83" i="9" s="1"/>
  <c r="DC83" i="9" s="1"/>
  <c r="FC83" i="9"/>
  <c r="FD83" i="9" s="1"/>
  <c r="FH83" i="9" s="1"/>
  <c r="CH81" i="12"/>
  <c r="BR81" i="12"/>
  <c r="FL81" i="9"/>
  <c r="FK81" i="9"/>
  <c r="FI81" i="9"/>
  <c r="FJ81" i="9"/>
  <c r="DX80" i="12"/>
  <c r="DY80" i="12"/>
  <c r="DZ80" i="12"/>
  <c r="FJ80" i="12"/>
  <c r="FL80" i="12"/>
  <c r="FK80" i="12"/>
  <c r="EA79" i="12"/>
  <c r="CZ81" i="12"/>
  <c r="DB81" i="12" s="1"/>
  <c r="AY81" i="12"/>
  <c r="FF81" i="12"/>
  <c r="DS81" i="12"/>
  <c r="DU81" i="12" s="1"/>
  <c r="BO81" i="12"/>
  <c r="FJ81" i="12" l="1"/>
  <c r="FM81" i="9"/>
  <c r="CO81" i="9"/>
  <c r="BC81" i="9"/>
  <c r="EA81" i="9"/>
  <c r="BV81" i="9"/>
  <c r="AJ81" i="9"/>
  <c r="DH81" i="9"/>
  <c r="M84" i="9"/>
  <c r="AH81" i="12"/>
  <c r="AI81" i="12"/>
  <c r="AJ81" i="12" s="1"/>
  <c r="BC80" i="12"/>
  <c r="FM81" i="12"/>
  <c r="BV80" i="12"/>
  <c r="CO80" i="12"/>
  <c r="DH80" i="12"/>
  <c r="BV81" i="12"/>
  <c r="DA83" i="9"/>
  <c r="CZ83" i="9"/>
  <c r="DB83" i="9" s="1"/>
  <c r="EM83" i="9"/>
  <c r="DT83" i="9"/>
  <c r="BN83" i="9"/>
  <c r="BP83" i="9" s="1"/>
  <c r="BU83" i="9" s="1"/>
  <c r="AB83" i="9"/>
  <c r="AD83" i="9" s="1"/>
  <c r="BO83" i="9"/>
  <c r="EL83" i="9"/>
  <c r="EN83" i="9" s="1"/>
  <c r="FF83" i="9"/>
  <c r="AC83" i="9"/>
  <c r="CH83" i="9"/>
  <c r="DS83" i="9"/>
  <c r="DU83" i="9" s="1"/>
  <c r="DW83" i="9" s="1"/>
  <c r="FE83" i="9"/>
  <c r="FG83" i="9" s="1"/>
  <c r="M83" i="12"/>
  <c r="P83" i="12" s="1"/>
  <c r="Q83" i="12" s="1"/>
  <c r="AJ80" i="12"/>
  <c r="P84" i="9"/>
  <c r="Q84" i="9" s="1"/>
  <c r="CO81" i="12"/>
  <c r="FM80" i="12"/>
  <c r="CG83" i="9"/>
  <c r="CI83" i="9" s="1"/>
  <c r="CN83" i="9"/>
  <c r="CL83" i="9"/>
  <c r="BA82" i="9"/>
  <c r="AY82" i="9"/>
  <c r="AZ82" i="9"/>
  <c r="BB82" i="9"/>
  <c r="AV83" i="9"/>
  <c r="AH82" i="9"/>
  <c r="AI82" i="9"/>
  <c r="AG82" i="9"/>
  <c r="AF82" i="9"/>
  <c r="FK82" i="9"/>
  <c r="FL82" i="9"/>
  <c r="FI82" i="9"/>
  <c r="FJ82" i="9"/>
  <c r="ET80" i="12"/>
  <c r="EQ82" i="9"/>
  <c r="ER82" i="9"/>
  <c r="EP82" i="9"/>
  <c r="ES82" i="9"/>
  <c r="DX81" i="12"/>
  <c r="DZ81" i="12"/>
  <c r="DY81" i="12"/>
  <c r="EP82" i="12"/>
  <c r="FE82" i="12"/>
  <c r="FG82" i="12" s="1"/>
  <c r="FF82" i="12"/>
  <c r="CK82" i="12"/>
  <c r="DD82" i="12"/>
  <c r="BN82" i="12"/>
  <c r="BP82" i="12" s="1"/>
  <c r="BO82" i="12"/>
  <c r="AB82" i="12"/>
  <c r="AD82" i="12" s="1"/>
  <c r="AC82" i="12"/>
  <c r="DS82" i="12"/>
  <c r="DU82" i="12" s="1"/>
  <c r="DA82" i="12"/>
  <c r="AF82" i="12"/>
  <c r="CZ82" i="12"/>
  <c r="DB82" i="12" s="1"/>
  <c r="AY82" i="12"/>
  <c r="CH82" i="12"/>
  <c r="BR82" i="12"/>
  <c r="DW82" i="12"/>
  <c r="FI82" i="12"/>
  <c r="CG82" i="12"/>
  <c r="CI82" i="12" s="1"/>
  <c r="EM82" i="12"/>
  <c r="EL82" i="12"/>
  <c r="EN82" i="12" s="1"/>
  <c r="DT82" i="12"/>
  <c r="AU82" i="12"/>
  <c r="AW82" i="12" s="1"/>
  <c r="AV82" i="12"/>
  <c r="BA81" i="12"/>
  <c r="AZ81" i="12"/>
  <c r="BB81" i="12"/>
  <c r="CK82" i="9"/>
  <c r="CM82" i="9"/>
  <c r="CL82" i="9"/>
  <c r="CN82" i="9"/>
  <c r="L85" i="9" a="1"/>
  <c r="L85" i="9" s="1"/>
  <c r="G85" i="9" a="1"/>
  <c r="G85" i="9" s="1"/>
  <c r="N85" i="9" a="1"/>
  <c r="N85" i="9" s="1"/>
  <c r="H85" i="9" a="1"/>
  <c r="H85" i="9" s="1"/>
  <c r="K85" i="9" a="1"/>
  <c r="K85" i="9" s="1"/>
  <c r="O85" i="9" a="1"/>
  <c r="O85" i="9" s="1"/>
  <c r="J85" i="9" a="1"/>
  <c r="J85" i="9" s="1"/>
  <c r="D86" i="9"/>
  <c r="AU83" i="9"/>
  <c r="AW83" i="9" s="1"/>
  <c r="BT82" i="9"/>
  <c r="BR82" i="9"/>
  <c r="BS82" i="9"/>
  <c r="BU82" i="9"/>
  <c r="EA80" i="12"/>
  <c r="I85" i="9"/>
  <c r="DQ84" i="9"/>
  <c r="DR84" i="9" s="1"/>
  <c r="DV84" i="9" s="1"/>
  <c r="Z84" i="9"/>
  <c r="AA84" i="9" s="1"/>
  <c r="AE84" i="9" s="1"/>
  <c r="AS84" i="9"/>
  <c r="AT84" i="9" s="1"/>
  <c r="AX84" i="9" s="1"/>
  <c r="EJ84" i="9"/>
  <c r="EK84" i="9" s="1"/>
  <c r="EO84" i="9" s="1"/>
  <c r="CX84" i="9"/>
  <c r="CY84" i="9" s="1"/>
  <c r="DC84" i="9" s="1"/>
  <c r="BL84" i="9"/>
  <c r="BM84" i="9" s="1"/>
  <c r="BQ84" i="9" s="1"/>
  <c r="FC84" i="9"/>
  <c r="FD84" i="9" s="1"/>
  <c r="FH84" i="9" s="1"/>
  <c r="CE84" i="9"/>
  <c r="CF84" i="9" s="1"/>
  <c r="CJ84" i="9" s="1"/>
  <c r="DG83" i="9"/>
  <c r="DD83" i="9"/>
  <c r="DF82" i="9"/>
  <c r="DG82" i="9"/>
  <c r="DE82" i="9"/>
  <c r="DD82" i="9"/>
  <c r="DE81" i="12"/>
  <c r="DF81" i="12"/>
  <c r="DG81" i="12"/>
  <c r="L84" i="12" a="1"/>
  <c r="L84" i="12" s="1"/>
  <c r="H84" i="12" a="1"/>
  <c r="H84" i="12" s="1"/>
  <c r="G84" i="12" a="1"/>
  <c r="G84" i="12" s="1"/>
  <c r="J84" i="12" a="1"/>
  <c r="J84" i="12" s="1"/>
  <c r="O84" i="12" a="1"/>
  <c r="O84" i="12" s="1"/>
  <c r="K84" i="12" a="1"/>
  <c r="K84" i="12" s="1"/>
  <c r="N84" i="12" a="1"/>
  <c r="N84" i="12" s="1"/>
  <c r="D85" i="12"/>
  <c r="EQ81" i="12"/>
  <c r="ES81" i="12"/>
  <c r="ER81" i="12"/>
  <c r="DX82" i="9"/>
  <c r="DW82" i="9"/>
  <c r="DZ82" i="9"/>
  <c r="DY82" i="9"/>
  <c r="ET82" i="9" l="1"/>
  <c r="BC82" i="9"/>
  <c r="EA82" i="9"/>
  <c r="DH82" i="9"/>
  <c r="CO82" i="9"/>
  <c r="AJ82" i="9"/>
  <c r="AJ83" i="9" s="1"/>
  <c r="AJ84" i="9" s="1"/>
  <c r="BV82" i="9"/>
  <c r="FM82" i="9"/>
  <c r="BC81" i="12"/>
  <c r="BO84" i="9"/>
  <c r="CG84" i="9"/>
  <c r="CI84" i="9" s="1"/>
  <c r="DA84" i="9"/>
  <c r="CZ84" i="9"/>
  <c r="DB84" i="9" s="1"/>
  <c r="DF84" i="9" s="1"/>
  <c r="AU84" i="9"/>
  <c r="AW84" i="9" s="1"/>
  <c r="BA84" i="9" s="1"/>
  <c r="BS83" i="9"/>
  <c r="FF84" i="9"/>
  <c r="FJ83" i="9"/>
  <c r="DX83" i="9"/>
  <c r="AB84" i="9"/>
  <c r="AD84" i="9" s="1"/>
  <c r="FL83" i="9"/>
  <c r="DF83" i="9"/>
  <c r="BR83" i="9"/>
  <c r="CH84" i="9"/>
  <c r="EL84" i="9"/>
  <c r="EN84" i="9" s="1"/>
  <c r="ES84" i="9" s="1"/>
  <c r="DE83" i="9"/>
  <c r="DH83" i="9" s="1"/>
  <c r="DT84" i="9"/>
  <c r="AH83" i="9"/>
  <c r="DS84" i="9"/>
  <c r="DU84" i="9" s="1"/>
  <c r="DX84" i="9" s="1"/>
  <c r="AF83" i="9"/>
  <c r="BT83" i="9"/>
  <c r="AG83" i="9"/>
  <c r="FE84" i="9"/>
  <c r="FG84" i="9" s="1"/>
  <c r="FL84" i="9" s="1"/>
  <c r="BN84" i="9"/>
  <c r="BP84" i="9" s="1"/>
  <c r="BU84" i="9" s="1"/>
  <c r="AI83" i="9"/>
  <c r="FI83" i="9"/>
  <c r="AC84" i="9"/>
  <c r="FK83" i="9"/>
  <c r="CM83" i="9"/>
  <c r="CK83" i="9"/>
  <c r="DZ83" i="9"/>
  <c r="ER83" i="9"/>
  <c r="EM84" i="9"/>
  <c r="DH81" i="12"/>
  <c r="EP83" i="9"/>
  <c r="DY83" i="9"/>
  <c r="ES83" i="9"/>
  <c r="EQ83" i="9"/>
  <c r="J85" i="12" a="1"/>
  <c r="J85" i="12" s="1"/>
  <c r="O85" i="12" a="1"/>
  <c r="O85" i="12" s="1"/>
  <c r="L85" i="12" a="1"/>
  <c r="L85" i="12" s="1"/>
  <c r="N85" i="12" a="1"/>
  <c r="N85" i="12" s="1"/>
  <c r="H85" i="12" a="1"/>
  <c r="H85" i="12" s="1"/>
  <c r="G85" i="12" a="1"/>
  <c r="G85" i="12" s="1"/>
  <c r="K85" i="12" a="1"/>
  <c r="K85" i="12" s="1"/>
  <c r="D86" i="12"/>
  <c r="K86" i="9" a="1"/>
  <c r="K86" i="9" s="1"/>
  <c r="H86" i="9" a="1"/>
  <c r="H86" i="9" s="1"/>
  <c r="J86" i="9" a="1"/>
  <c r="J86" i="9" s="1"/>
  <c r="G86" i="9" a="1"/>
  <c r="G86" i="9" s="1"/>
  <c r="L86" i="9" a="1"/>
  <c r="L86" i="9" s="1"/>
  <c r="O86" i="9" a="1"/>
  <c r="O86" i="9" s="1"/>
  <c r="N86" i="9" a="1"/>
  <c r="N86" i="9" s="1"/>
  <c r="D87" i="9"/>
  <c r="M85" i="9"/>
  <c r="P85" i="9" s="1"/>
  <c r="Q85" i="9" s="1"/>
  <c r="BS82" i="12"/>
  <c r="BU82" i="12"/>
  <c r="BT82" i="12"/>
  <c r="EA81" i="12"/>
  <c r="FF83" i="12"/>
  <c r="EP83" i="12"/>
  <c r="FE83" i="12"/>
  <c r="FG83" i="12" s="1"/>
  <c r="DD83" i="12"/>
  <c r="CK83" i="12"/>
  <c r="AC83" i="12"/>
  <c r="BN83" i="12"/>
  <c r="BP83" i="12" s="1"/>
  <c r="AB83" i="12"/>
  <c r="AD83" i="12" s="1"/>
  <c r="BO83" i="12"/>
  <c r="AF83" i="12"/>
  <c r="AY83" i="12"/>
  <c r="DT83" i="12"/>
  <c r="CH83" i="12"/>
  <c r="DW83" i="12"/>
  <c r="DS83" i="12"/>
  <c r="DU83" i="12" s="1"/>
  <c r="EL83" i="12"/>
  <c r="EN83" i="12" s="1"/>
  <c r="BR83" i="12"/>
  <c r="CG83" i="12"/>
  <c r="CI83" i="12" s="1"/>
  <c r="FI83" i="12"/>
  <c r="EM83" i="12"/>
  <c r="DA83" i="12"/>
  <c r="CZ83" i="12"/>
  <c r="DB83" i="12" s="1"/>
  <c r="AU83" i="12"/>
  <c r="AW83" i="12" s="1"/>
  <c r="AV83" i="12"/>
  <c r="EQ82" i="12"/>
  <c r="ES82" i="12"/>
  <c r="ER82" i="12"/>
  <c r="DE82" i="12"/>
  <c r="DG82" i="12"/>
  <c r="DF82" i="12"/>
  <c r="AZ82" i="12"/>
  <c r="BB82" i="12"/>
  <c r="BA82" i="12"/>
  <c r="CL82" i="12"/>
  <c r="CN82" i="12"/>
  <c r="CM82" i="12"/>
  <c r="DW84" i="9"/>
  <c r="DX82" i="12"/>
  <c r="DY82" i="12"/>
  <c r="DZ82" i="12"/>
  <c r="FJ82" i="12"/>
  <c r="FL82" i="12"/>
  <c r="FK82" i="12"/>
  <c r="AV84" i="9"/>
  <c r="I86" i="9"/>
  <c r="Z85" i="9"/>
  <c r="AA85" i="9" s="1"/>
  <c r="AE85" i="9" s="1"/>
  <c r="BL85" i="9"/>
  <c r="BM85" i="9" s="1"/>
  <c r="BQ85" i="9" s="1"/>
  <c r="CX85" i="9"/>
  <c r="CY85" i="9" s="1"/>
  <c r="DC85" i="9" s="1"/>
  <c r="AS85" i="9"/>
  <c r="AT85" i="9" s="1"/>
  <c r="AX85" i="9" s="1"/>
  <c r="CE85" i="9"/>
  <c r="CF85" i="9" s="1"/>
  <c r="CJ85" i="9" s="1"/>
  <c r="FC85" i="9"/>
  <c r="FD85" i="9" s="1"/>
  <c r="FH85" i="9" s="1"/>
  <c r="DQ85" i="9"/>
  <c r="DR85" i="9" s="1"/>
  <c r="DV85" i="9" s="1"/>
  <c r="EJ85" i="9"/>
  <c r="EK85" i="9" s="1"/>
  <c r="EO85" i="9" s="1"/>
  <c r="M84" i="12"/>
  <c r="P84" i="12" s="1"/>
  <c r="Q84" i="12" s="1"/>
  <c r="ET81" i="12"/>
  <c r="AF84" i="9"/>
  <c r="AH84" i="9"/>
  <c r="AG84" i="9"/>
  <c r="AI84" i="9"/>
  <c r="BB83" i="9"/>
  <c r="AY83" i="9"/>
  <c r="AZ83" i="9"/>
  <c r="BA83" i="9"/>
  <c r="AG82" i="12"/>
  <c r="AH82" i="12"/>
  <c r="AI82" i="12"/>
  <c r="DD84" i="9"/>
  <c r="DG84" i="9"/>
  <c r="CK84" i="9"/>
  <c r="CM84" i="9"/>
  <c r="CN84" i="9"/>
  <c r="CL84" i="9"/>
  <c r="DE84" i="9" l="1"/>
  <c r="CO83" i="9"/>
  <c r="CO84" i="9"/>
  <c r="BV83" i="9"/>
  <c r="ET83" i="9"/>
  <c r="BC83" i="9"/>
  <c r="FM83" i="9"/>
  <c r="EA83" i="9"/>
  <c r="BB84" i="9"/>
  <c r="DH84" i="9"/>
  <c r="AY84" i="9"/>
  <c r="FI84" i="9"/>
  <c r="FJ84" i="9"/>
  <c r="ER84" i="9"/>
  <c r="AZ84" i="9"/>
  <c r="AJ82" i="12"/>
  <c r="FK84" i="9"/>
  <c r="BV82" i="12"/>
  <c r="DZ84" i="9"/>
  <c r="EQ84" i="9"/>
  <c r="DY84" i="9"/>
  <c r="EP84" i="9"/>
  <c r="ET84" i="9" s="1"/>
  <c r="M85" i="12"/>
  <c r="P85" i="12" s="1"/>
  <c r="Q85" i="12" s="1"/>
  <c r="BS84" i="9"/>
  <c r="BR84" i="9"/>
  <c r="BT84" i="9"/>
  <c r="BC82" i="12"/>
  <c r="FM82" i="12"/>
  <c r="ET82" i="12"/>
  <c r="CO82" i="12"/>
  <c r="J86" i="12" a="1"/>
  <c r="J86" i="12" s="1"/>
  <c r="N86" i="12" a="1"/>
  <c r="N86" i="12" s="1"/>
  <c r="H86" i="12" a="1"/>
  <c r="H86" i="12" s="1"/>
  <c r="L86" i="12" a="1"/>
  <c r="L86" i="12" s="1"/>
  <c r="G86" i="12" a="1"/>
  <c r="G86" i="12" s="1"/>
  <c r="O86" i="12" a="1"/>
  <c r="O86" i="12" s="1"/>
  <c r="K86" i="12" a="1"/>
  <c r="K86" i="12" s="1"/>
  <c r="D87" i="12"/>
  <c r="CM83" i="12"/>
  <c r="CL83" i="12"/>
  <c r="CN83" i="12"/>
  <c r="N87" i="9" a="1"/>
  <c r="N87" i="9" s="1"/>
  <c r="L87" i="9" a="1"/>
  <c r="L87" i="9" s="1"/>
  <c r="J87" i="9" a="1"/>
  <c r="J87" i="9" s="1"/>
  <c r="H87" i="9" a="1"/>
  <c r="H87" i="9" s="1"/>
  <c r="G87" i="9" a="1"/>
  <c r="G87" i="9" s="1"/>
  <c r="O87" i="9" a="1"/>
  <c r="O87" i="9" s="1"/>
  <c r="K87" i="9" a="1"/>
  <c r="K87" i="9" s="1"/>
  <c r="D88" i="9"/>
  <c r="I87" i="9"/>
  <c r="CE86" i="9"/>
  <c r="CF86" i="9" s="1"/>
  <c r="CJ86" i="9" s="1"/>
  <c r="DQ86" i="9"/>
  <c r="DR86" i="9" s="1"/>
  <c r="DV86" i="9" s="1"/>
  <c r="BL86" i="9"/>
  <c r="BM86" i="9" s="1"/>
  <c r="BQ86" i="9" s="1"/>
  <c r="FC86" i="9"/>
  <c r="FD86" i="9" s="1"/>
  <c r="FH86" i="9" s="1"/>
  <c r="CX86" i="9"/>
  <c r="CY86" i="9" s="1"/>
  <c r="DC86" i="9" s="1"/>
  <c r="EJ86" i="9"/>
  <c r="EK86" i="9" s="1"/>
  <c r="EO86" i="9" s="1"/>
  <c r="AS86" i="9"/>
  <c r="AT86" i="9" s="1"/>
  <c r="AX86" i="9" s="1"/>
  <c r="Z86" i="9"/>
  <c r="AA86" i="9" s="1"/>
  <c r="AE86" i="9" s="1"/>
  <c r="EQ83" i="12"/>
  <c r="ER83" i="12"/>
  <c r="ES83" i="12"/>
  <c r="AG83" i="12"/>
  <c r="AH83" i="12"/>
  <c r="AI83" i="12"/>
  <c r="FJ83" i="12"/>
  <c r="FL83" i="12"/>
  <c r="FK83" i="12"/>
  <c r="AZ83" i="12"/>
  <c r="BB83" i="12"/>
  <c r="BA83" i="12"/>
  <c r="DX83" i="12"/>
  <c r="DY83" i="12"/>
  <c r="DZ83" i="12"/>
  <c r="BS83" i="12"/>
  <c r="BT83" i="12"/>
  <c r="BU83" i="12"/>
  <c r="AU85" i="9"/>
  <c r="AW85" i="9" s="1"/>
  <c r="CG85" i="9"/>
  <c r="CI85" i="9" s="1"/>
  <c r="FF85" i="9"/>
  <c r="CH85" i="9"/>
  <c r="FE85" i="9"/>
  <c r="FG85" i="9" s="1"/>
  <c r="BO85" i="9"/>
  <c r="BN85" i="9"/>
  <c r="BP85" i="9" s="1"/>
  <c r="AV85" i="9"/>
  <c r="DA85" i="9"/>
  <c r="CZ85" i="9"/>
  <c r="DB85" i="9" s="1"/>
  <c r="AB85" i="9"/>
  <c r="AD85" i="9" s="1"/>
  <c r="AC85" i="9"/>
  <c r="EL85" i="9"/>
  <c r="EN85" i="9" s="1"/>
  <c r="EM85" i="9"/>
  <c r="DS85" i="9"/>
  <c r="DU85" i="9" s="1"/>
  <c r="DT85" i="9"/>
  <c r="DH82" i="12"/>
  <c r="DE83" i="12"/>
  <c r="DF83" i="12"/>
  <c r="DG83" i="12"/>
  <c r="M86" i="9"/>
  <c r="P86" i="9" s="1"/>
  <c r="Q86" i="9" s="1"/>
  <c r="EA82" i="12"/>
  <c r="FE84" i="12"/>
  <c r="FG84" i="12" s="1"/>
  <c r="EP84" i="12"/>
  <c r="FF84" i="12"/>
  <c r="DD84" i="12"/>
  <c r="CK84" i="12"/>
  <c r="AC84" i="12"/>
  <c r="AB84" i="12"/>
  <c r="AD84" i="12" s="1"/>
  <c r="BO84" i="12"/>
  <c r="BN84" i="12"/>
  <c r="BP84" i="12" s="1"/>
  <c r="CH84" i="12"/>
  <c r="DA84" i="12"/>
  <c r="DT84" i="12"/>
  <c r="BR84" i="12"/>
  <c r="AY84" i="12"/>
  <c r="CG84" i="12"/>
  <c r="CI84" i="12" s="1"/>
  <c r="CZ84" i="12"/>
  <c r="DB84" i="12" s="1"/>
  <c r="DS84" i="12"/>
  <c r="DU84" i="12" s="1"/>
  <c r="AF84" i="12"/>
  <c r="EM84" i="12"/>
  <c r="FI84" i="12"/>
  <c r="DW84" i="12"/>
  <c r="EL84" i="12"/>
  <c r="EN84" i="12" s="1"/>
  <c r="AU84" i="12"/>
  <c r="AW84" i="12" s="1"/>
  <c r="AV84" i="12"/>
  <c r="BC84" i="9" l="1"/>
  <c r="BV84" i="9"/>
  <c r="FM84" i="9"/>
  <c r="EA84" i="9"/>
  <c r="DH83" i="12"/>
  <c r="CO83" i="12"/>
  <c r="AJ83" i="12"/>
  <c r="BC83" i="12"/>
  <c r="BV83" i="12"/>
  <c r="FM83" i="12"/>
  <c r="L87" i="12" a="1"/>
  <c r="L87" i="12" s="1"/>
  <c r="H87" i="12" a="1"/>
  <c r="H87" i="12" s="1"/>
  <c r="K87" i="12" a="1"/>
  <c r="K87" i="12" s="1"/>
  <c r="O87" i="12" a="1"/>
  <c r="O87" i="12" s="1"/>
  <c r="J87" i="12" a="1"/>
  <c r="J87" i="12" s="1"/>
  <c r="G87" i="12" a="1"/>
  <c r="G87" i="12" s="1"/>
  <c r="N87" i="12" a="1"/>
  <c r="N87" i="12" s="1"/>
  <c r="D88" i="12"/>
  <c r="AV86" i="9"/>
  <c r="BO86" i="9"/>
  <c r="AU86" i="9"/>
  <c r="AW86" i="9" s="1"/>
  <c r="FF86" i="9"/>
  <c r="CG86" i="9"/>
  <c r="CI86" i="9" s="1"/>
  <c r="FE86" i="9"/>
  <c r="FG86" i="9" s="1"/>
  <c r="CH86" i="9"/>
  <c r="BN86" i="9"/>
  <c r="BP86" i="9" s="1"/>
  <c r="EM86" i="9"/>
  <c r="EL86" i="9"/>
  <c r="EN86" i="9" s="1"/>
  <c r="CZ86" i="9"/>
  <c r="DB86" i="9" s="1"/>
  <c r="AB86" i="9"/>
  <c r="AD86" i="9" s="1"/>
  <c r="DA86" i="9"/>
  <c r="AC86" i="9"/>
  <c r="DT86" i="9"/>
  <c r="DS86" i="9"/>
  <c r="DU86" i="9" s="1"/>
  <c r="EP85" i="9"/>
  <c r="ES85" i="9"/>
  <c r="EQ85" i="9"/>
  <c r="ER85" i="9"/>
  <c r="FL85" i="9"/>
  <c r="FK85" i="9"/>
  <c r="FI85" i="9"/>
  <c r="FJ85" i="9"/>
  <c r="M87" i="9"/>
  <c r="P87" i="9" s="1"/>
  <c r="Q87" i="9" s="1"/>
  <c r="AG84" i="12"/>
  <c r="AI84" i="12"/>
  <c r="AH84" i="12"/>
  <c r="AG85" i="9"/>
  <c r="AI85" i="9"/>
  <c r="AH85" i="9"/>
  <c r="AF85" i="9"/>
  <c r="EA83" i="12"/>
  <c r="DE84" i="12"/>
  <c r="DG84" i="12"/>
  <c r="DF84" i="12"/>
  <c r="AZ84" i="12"/>
  <c r="BB84" i="12"/>
  <c r="BA84" i="12"/>
  <c r="DG85" i="9"/>
  <c r="DF85" i="9"/>
  <c r="DD85" i="9"/>
  <c r="DE85" i="9"/>
  <c r="CM85" i="9"/>
  <c r="CN85" i="9"/>
  <c r="CL85" i="9"/>
  <c r="CK85" i="9"/>
  <c r="I88" i="9"/>
  <c r="EJ87" i="9"/>
  <c r="EK87" i="9" s="1"/>
  <c r="EO87" i="9" s="1"/>
  <c r="CE87" i="9"/>
  <c r="CF87" i="9" s="1"/>
  <c r="CJ87" i="9" s="1"/>
  <c r="DQ87" i="9"/>
  <c r="DR87" i="9" s="1"/>
  <c r="DV87" i="9" s="1"/>
  <c r="AS87" i="9"/>
  <c r="AT87" i="9" s="1"/>
  <c r="AX87" i="9" s="1"/>
  <c r="BL87" i="9"/>
  <c r="BM87" i="9" s="1"/>
  <c r="BQ87" i="9" s="1"/>
  <c r="FC87" i="9"/>
  <c r="FD87" i="9" s="1"/>
  <c r="FH87" i="9" s="1"/>
  <c r="CX87" i="9"/>
  <c r="CY87" i="9" s="1"/>
  <c r="DC87" i="9" s="1"/>
  <c r="Z87" i="9"/>
  <c r="AA87" i="9" s="1"/>
  <c r="AE87" i="9" s="1"/>
  <c r="CN84" i="12"/>
  <c r="CM84" i="12"/>
  <c r="CL84" i="12"/>
  <c r="BA85" i="9"/>
  <c r="AZ85" i="9"/>
  <c r="BB85" i="9"/>
  <c r="AY85" i="9"/>
  <c r="L88" i="9" a="1"/>
  <c r="L88" i="9" s="1"/>
  <c r="G88" i="9" a="1"/>
  <c r="G88" i="9" s="1"/>
  <c r="J88" i="9" a="1"/>
  <c r="J88" i="9" s="1"/>
  <c r="O88" i="9" a="1"/>
  <c r="O88" i="9" s="1"/>
  <c r="H88" i="9" a="1"/>
  <c r="H88" i="9" s="1"/>
  <c r="N88" i="9" a="1"/>
  <c r="N88" i="9" s="1"/>
  <c r="K88" i="9" a="1"/>
  <c r="K88" i="9" s="1"/>
  <c r="D89" i="9"/>
  <c r="EQ84" i="12"/>
  <c r="ES84" i="12"/>
  <c r="ER84" i="12"/>
  <c r="EP85" i="12"/>
  <c r="FE85" i="12"/>
  <c r="FG85" i="12" s="1"/>
  <c r="FF85" i="12"/>
  <c r="DD85" i="12"/>
  <c r="CK85" i="12"/>
  <c r="AC85" i="12"/>
  <c r="BN85" i="12"/>
  <c r="BP85" i="12" s="1"/>
  <c r="AB85" i="12"/>
  <c r="AD85" i="12" s="1"/>
  <c r="BO85" i="12"/>
  <c r="EL85" i="12"/>
  <c r="EN85" i="12" s="1"/>
  <c r="CH85" i="12"/>
  <c r="FI85" i="12"/>
  <c r="EM85" i="12"/>
  <c r="DT85" i="12"/>
  <c r="CG85" i="12"/>
  <c r="CI85" i="12" s="1"/>
  <c r="DW85" i="12"/>
  <c r="DS85" i="12"/>
  <c r="DU85" i="12" s="1"/>
  <c r="CZ85" i="12"/>
  <c r="DB85" i="12" s="1"/>
  <c r="AF85" i="12"/>
  <c r="BR85" i="12"/>
  <c r="AY85" i="12"/>
  <c r="DA85" i="12"/>
  <c r="AU85" i="12"/>
  <c r="AW85" i="12" s="1"/>
  <c r="AV85" i="12"/>
  <c r="DX84" i="12"/>
  <c r="DZ84" i="12"/>
  <c r="DY84" i="12"/>
  <c r="BS84" i="12"/>
  <c r="BU84" i="12"/>
  <c r="BT84" i="12"/>
  <c r="FJ84" i="12"/>
  <c r="FK84" i="12"/>
  <c r="FL84" i="12"/>
  <c r="DX85" i="9"/>
  <c r="DW85" i="9"/>
  <c r="EA85" i="9" s="1"/>
  <c r="DZ85" i="9"/>
  <c r="DY85" i="9"/>
  <c r="BT85" i="9"/>
  <c r="BR85" i="9"/>
  <c r="BV85" i="9" s="1"/>
  <c r="BU85" i="9"/>
  <c r="BS85" i="9"/>
  <c r="ET83" i="12"/>
  <c r="M86" i="12"/>
  <c r="P86" i="12" s="1"/>
  <c r="Q86" i="12" s="1"/>
  <c r="BC85" i="9" l="1"/>
  <c r="FM85" i="9"/>
  <c r="ET85" i="9"/>
  <c r="DH85" i="9"/>
  <c r="AJ85" i="9"/>
  <c r="CO85" i="9"/>
  <c r="CO84" i="12"/>
  <c r="AJ84" i="12"/>
  <c r="M88" i="9"/>
  <c r="BC84" i="12"/>
  <c r="M87" i="12"/>
  <c r="DH84" i="12"/>
  <c r="P88" i="9"/>
  <c r="Q88" i="9" s="1"/>
  <c r="EA84" i="12"/>
  <c r="FM84" i="12"/>
  <c r="BV84" i="12"/>
  <c r="FF86" i="12"/>
  <c r="EP86" i="12"/>
  <c r="FE86" i="12"/>
  <c r="FG86" i="12" s="1"/>
  <c r="CK86" i="12"/>
  <c r="DD86" i="12"/>
  <c r="AB86" i="12"/>
  <c r="AD86" i="12" s="1"/>
  <c r="AC86" i="12"/>
  <c r="BO86" i="12"/>
  <c r="BN86" i="12"/>
  <c r="BP86" i="12" s="1"/>
  <c r="FI86" i="12"/>
  <c r="DW86" i="12"/>
  <c r="DT86" i="12"/>
  <c r="AF86" i="12"/>
  <c r="DS86" i="12"/>
  <c r="DU86" i="12" s="1"/>
  <c r="AY86" i="12"/>
  <c r="CH86" i="12"/>
  <c r="EM86" i="12"/>
  <c r="DA86" i="12"/>
  <c r="CG86" i="12"/>
  <c r="CI86" i="12" s="1"/>
  <c r="BR86" i="12"/>
  <c r="EL86" i="12"/>
  <c r="EN86" i="12" s="1"/>
  <c r="CZ86" i="12"/>
  <c r="DB86" i="12" s="1"/>
  <c r="AV86" i="12"/>
  <c r="AU86" i="12"/>
  <c r="AW86" i="12" s="1"/>
  <c r="DE85" i="12"/>
  <c r="DF85" i="12"/>
  <c r="DG85" i="12"/>
  <c r="FJ85" i="12"/>
  <c r="FL85" i="12"/>
  <c r="FK85" i="12"/>
  <c r="DZ86" i="9"/>
  <c r="DY86" i="9"/>
  <c r="DW86" i="9"/>
  <c r="DX86" i="9"/>
  <c r="BT86" i="9"/>
  <c r="BR86" i="9"/>
  <c r="BS86" i="9"/>
  <c r="BU86" i="9"/>
  <c r="G88" i="12" a="1"/>
  <c r="G88" i="12" s="1"/>
  <c r="K88" i="12" a="1"/>
  <c r="K88" i="12" s="1"/>
  <c r="O88" i="12" a="1"/>
  <c r="O88" i="12" s="1"/>
  <c r="J88" i="12" a="1"/>
  <c r="J88" i="12" s="1"/>
  <c r="N88" i="12" a="1"/>
  <c r="N88" i="12" s="1"/>
  <c r="H88" i="12" a="1"/>
  <c r="H88" i="12" s="1"/>
  <c r="L88" i="12" a="1"/>
  <c r="L88" i="12" s="1"/>
  <c r="D89" i="12"/>
  <c r="EQ85" i="12"/>
  <c r="ES85" i="12"/>
  <c r="ER85" i="12"/>
  <c r="DX85" i="12"/>
  <c r="DY85" i="12"/>
  <c r="DZ85" i="12"/>
  <c r="P87" i="12"/>
  <c r="Q87" i="12" s="1"/>
  <c r="AH85" i="12"/>
  <c r="AI85" i="12"/>
  <c r="AG85" i="12"/>
  <c r="FJ86" i="9"/>
  <c r="FK86" i="9"/>
  <c r="FI86" i="9"/>
  <c r="FL86" i="9"/>
  <c r="CM86" i="9"/>
  <c r="CN86" i="9"/>
  <c r="CL86" i="9"/>
  <c r="CK86" i="9"/>
  <c r="BS85" i="12"/>
  <c r="BT85" i="12"/>
  <c r="BU85" i="12"/>
  <c r="ET84" i="12"/>
  <c r="AG86" i="9"/>
  <c r="AF86" i="9"/>
  <c r="AH86" i="9"/>
  <c r="AI86" i="9"/>
  <c r="CL85" i="12"/>
  <c r="CM85" i="12"/>
  <c r="CN85" i="12"/>
  <c r="DG86" i="9"/>
  <c r="DF86" i="9"/>
  <c r="DE86" i="9"/>
  <c r="DD86" i="9"/>
  <c r="AZ86" i="9"/>
  <c r="BB86" i="9"/>
  <c r="AY86" i="9"/>
  <c r="BA86" i="9"/>
  <c r="BA85" i="12"/>
  <c r="BB85" i="12"/>
  <c r="AZ85" i="12"/>
  <c r="I89" i="9"/>
  <c r="EJ88" i="9"/>
  <c r="EK88" i="9" s="1"/>
  <c r="EO88" i="9" s="1"/>
  <c r="DQ88" i="9"/>
  <c r="DR88" i="9" s="1"/>
  <c r="DV88" i="9" s="1"/>
  <c r="BL88" i="9"/>
  <c r="BM88" i="9" s="1"/>
  <c r="BQ88" i="9" s="1"/>
  <c r="CE88" i="9"/>
  <c r="CF88" i="9" s="1"/>
  <c r="CJ88" i="9" s="1"/>
  <c r="Z88" i="9"/>
  <c r="AA88" i="9" s="1"/>
  <c r="AE88" i="9" s="1"/>
  <c r="FC88" i="9"/>
  <c r="FD88" i="9" s="1"/>
  <c r="FH88" i="9" s="1"/>
  <c r="AS88" i="9"/>
  <c r="AT88" i="9" s="1"/>
  <c r="AX88" i="9" s="1"/>
  <c r="CX88" i="9"/>
  <c r="CY88" i="9" s="1"/>
  <c r="DC88" i="9" s="1"/>
  <c r="ER86" i="9"/>
  <c r="EP86" i="9"/>
  <c r="EQ86" i="9"/>
  <c r="ES86" i="9"/>
  <c r="N89" i="9" a="1"/>
  <c r="N89" i="9" s="1"/>
  <c r="O89" i="9" a="1"/>
  <c r="O89" i="9" s="1"/>
  <c r="J89" i="9" a="1"/>
  <c r="J89" i="9" s="1"/>
  <c r="L89" i="9" a="1"/>
  <c r="L89" i="9" s="1"/>
  <c r="H89" i="9" a="1"/>
  <c r="H89" i="9" s="1"/>
  <c r="K89" i="9" a="1"/>
  <c r="K89" i="9" s="1"/>
  <c r="G89" i="9" a="1"/>
  <c r="G89" i="9" s="1"/>
  <c r="D90" i="9"/>
  <c r="AV87" i="9"/>
  <c r="BN87" i="9"/>
  <c r="BP87" i="9" s="1"/>
  <c r="CG87" i="9"/>
  <c r="CI87" i="9" s="1"/>
  <c r="CG88" i="9" s="1"/>
  <c r="CI88" i="9" s="1"/>
  <c r="FE87" i="9"/>
  <c r="FG87" i="9" s="1"/>
  <c r="AU87" i="9"/>
  <c r="AW87" i="9" s="1"/>
  <c r="CH87" i="9"/>
  <c r="BO87" i="9"/>
  <c r="FF87" i="9"/>
  <c r="DA87" i="9"/>
  <c r="AB87" i="9"/>
  <c r="AD87" i="9" s="1"/>
  <c r="AC88" i="9" s="1"/>
  <c r="CZ87" i="9"/>
  <c r="DB87" i="9" s="1"/>
  <c r="DA88" i="9" s="1"/>
  <c r="AC87" i="9"/>
  <c r="EL87" i="9"/>
  <c r="EN87" i="9" s="1"/>
  <c r="EM87" i="9"/>
  <c r="DT87" i="9"/>
  <c r="DS87" i="9"/>
  <c r="DU87" i="9" s="1"/>
  <c r="BV86" i="9" l="1"/>
  <c r="FM86" i="9"/>
  <c r="BC86" i="9"/>
  <c r="ET86" i="9"/>
  <c r="EA86" i="9"/>
  <c r="AJ86" i="9"/>
  <c r="DH86" i="9"/>
  <c r="CO86" i="9"/>
  <c r="CO87" i="9" s="1"/>
  <c r="CO88" i="9" s="1"/>
  <c r="AJ85" i="12"/>
  <c r="AV88" i="9"/>
  <c r="FF88" i="9"/>
  <c r="M89" i="9"/>
  <c r="FM85" i="12"/>
  <c r="BV85" i="12"/>
  <c r="CO85" i="12"/>
  <c r="CN88" i="9"/>
  <c r="CM88" i="9"/>
  <c r="CL88" i="9"/>
  <c r="CK88" i="9"/>
  <c r="AB88" i="9"/>
  <c r="AD88" i="9" s="1"/>
  <c r="AZ86" i="12"/>
  <c r="BB86" i="12"/>
  <c r="BA86" i="12"/>
  <c r="BS87" i="9"/>
  <c r="BR87" i="9"/>
  <c r="BU87" i="9"/>
  <c r="BT87" i="9"/>
  <c r="P89" i="9"/>
  <c r="Q89" i="9" s="1"/>
  <c r="CZ88" i="9"/>
  <c r="DB88" i="9" s="1"/>
  <c r="BN88" i="9"/>
  <c r="BP88" i="9" s="1"/>
  <c r="CN87" i="9"/>
  <c r="CK87" i="9"/>
  <c r="CL87" i="9"/>
  <c r="CM87" i="9"/>
  <c r="BC85" i="12"/>
  <c r="CH88" i="9"/>
  <c r="J89" i="12" a="1"/>
  <c r="J89" i="12" s="1"/>
  <c r="N89" i="12" a="1"/>
  <c r="N89" i="12" s="1"/>
  <c r="H89" i="12" a="1"/>
  <c r="H89" i="12" s="1"/>
  <c r="O89" i="12" a="1"/>
  <c r="O89" i="12" s="1"/>
  <c r="G89" i="12" a="1"/>
  <c r="G89" i="12" s="1"/>
  <c r="K89" i="12" a="1"/>
  <c r="K89" i="12" s="1"/>
  <c r="L89" i="12" a="1"/>
  <c r="L89" i="12" s="1"/>
  <c r="D90" i="12"/>
  <c r="DE86" i="12"/>
  <c r="DF86" i="12"/>
  <c r="DG86" i="12"/>
  <c r="DX86" i="12"/>
  <c r="DY86" i="12"/>
  <c r="DZ86" i="12"/>
  <c r="AI86" i="12"/>
  <c r="AG86" i="12"/>
  <c r="AH86" i="12"/>
  <c r="K90" i="9" a="1"/>
  <c r="K90" i="9" s="1"/>
  <c r="H90" i="9" a="1"/>
  <c r="H90" i="9" s="1"/>
  <c r="J90" i="9" a="1"/>
  <c r="J90" i="9" s="1"/>
  <c r="O90" i="9" a="1"/>
  <c r="O90" i="9" s="1"/>
  <c r="G90" i="9" a="1"/>
  <c r="G90" i="9" s="1"/>
  <c r="L90" i="9" a="1"/>
  <c r="L90" i="9" s="1"/>
  <c r="N90" i="9" a="1"/>
  <c r="N90" i="9" s="1"/>
  <c r="D91" i="9"/>
  <c r="BO88" i="9"/>
  <c r="FF87" i="12"/>
  <c r="FE87" i="12"/>
  <c r="FG87" i="12" s="1"/>
  <c r="EP87" i="12"/>
  <c r="DD87" i="12"/>
  <c r="CK87" i="12"/>
  <c r="AC87" i="12"/>
  <c r="BO87" i="12"/>
  <c r="BN87" i="12"/>
  <c r="BP87" i="12" s="1"/>
  <c r="AB87" i="12"/>
  <c r="AD87" i="12" s="1"/>
  <c r="DS87" i="12"/>
  <c r="DU87" i="12" s="1"/>
  <c r="DW87" i="12"/>
  <c r="BR87" i="12"/>
  <c r="AY87" i="12"/>
  <c r="CH87" i="12"/>
  <c r="EM87" i="12"/>
  <c r="DA87" i="12"/>
  <c r="CG87" i="12"/>
  <c r="CI87" i="12" s="1"/>
  <c r="EL87" i="12"/>
  <c r="EN87" i="12" s="1"/>
  <c r="CZ87" i="12"/>
  <c r="DB87" i="12" s="1"/>
  <c r="DT87" i="12"/>
  <c r="AF87" i="12"/>
  <c r="FI87" i="12"/>
  <c r="AU87" i="12"/>
  <c r="AW87" i="12" s="1"/>
  <c r="AV87" i="12"/>
  <c r="EQ86" i="12"/>
  <c r="ES86" i="12"/>
  <c r="ER86" i="12"/>
  <c r="DZ87" i="9"/>
  <c r="DX87" i="9"/>
  <c r="DY87" i="9"/>
  <c r="DW87" i="9"/>
  <c r="EA87" i="9" s="1"/>
  <c r="DS88" i="9"/>
  <c r="DU88" i="9" s="1"/>
  <c r="FE88" i="9"/>
  <c r="FG88" i="9" s="1"/>
  <c r="AI87" i="9"/>
  <c r="AH87" i="9"/>
  <c r="AF87" i="9"/>
  <c r="AG87" i="9"/>
  <c r="DT88" i="9"/>
  <c r="EA85" i="12"/>
  <c r="CL86" i="12"/>
  <c r="CN86" i="12"/>
  <c r="CM86" i="12"/>
  <c r="FJ86" i="12"/>
  <c r="FL86" i="12"/>
  <c r="FK86" i="12"/>
  <c r="DG87" i="9"/>
  <c r="DF87" i="9"/>
  <c r="DE87" i="9"/>
  <c r="DD87" i="9"/>
  <c r="ER87" i="9"/>
  <c r="ES87" i="9"/>
  <c r="EQ87" i="9"/>
  <c r="EP87" i="9"/>
  <c r="BB87" i="9"/>
  <c r="AY87" i="9"/>
  <c r="BC87" i="9" s="1"/>
  <c r="BA87" i="9"/>
  <c r="AZ87" i="9"/>
  <c r="EM88" i="9"/>
  <c r="M88" i="12"/>
  <c r="P88" i="12" s="1"/>
  <c r="Q88" i="12" s="1"/>
  <c r="DH85" i="12"/>
  <c r="FK87" i="9"/>
  <c r="FL87" i="9"/>
  <c r="FJ87" i="9"/>
  <c r="FI87" i="9"/>
  <c r="FM87" i="9" s="1"/>
  <c r="I90" i="9"/>
  <c r="CE89" i="9"/>
  <c r="CF89" i="9" s="1"/>
  <c r="CJ89" i="9" s="1"/>
  <c r="AS89" i="9"/>
  <c r="AT89" i="9" s="1"/>
  <c r="AX89" i="9" s="1"/>
  <c r="BL89" i="9"/>
  <c r="BM89" i="9" s="1"/>
  <c r="BQ89" i="9" s="1"/>
  <c r="EJ89" i="9"/>
  <c r="EK89" i="9" s="1"/>
  <c r="EO89" i="9" s="1"/>
  <c r="Z89" i="9"/>
  <c r="AA89" i="9" s="1"/>
  <c r="AE89" i="9" s="1"/>
  <c r="CX89" i="9"/>
  <c r="CY89" i="9" s="1"/>
  <c r="DC89" i="9" s="1"/>
  <c r="DQ89" i="9"/>
  <c r="DR89" i="9" s="1"/>
  <c r="DV89" i="9" s="1"/>
  <c r="FC89" i="9"/>
  <c r="FD89" i="9" s="1"/>
  <c r="FH89" i="9" s="1"/>
  <c r="EL88" i="9"/>
  <c r="EN88" i="9" s="1"/>
  <c r="AU88" i="9"/>
  <c r="AW88" i="9" s="1"/>
  <c r="ET85" i="12"/>
  <c r="BS86" i="12"/>
  <c r="BT86" i="12"/>
  <c r="BU86" i="12"/>
  <c r="ET87" i="9" l="1"/>
  <c r="BV87" i="9"/>
  <c r="DH87" i="9"/>
  <c r="AJ87" i="9"/>
  <c r="M89" i="12"/>
  <c r="CO86" i="12"/>
  <c r="BV86" i="12"/>
  <c r="AJ86" i="12"/>
  <c r="FM86" i="12"/>
  <c r="BC86" i="12"/>
  <c r="ET86" i="12"/>
  <c r="M90" i="9"/>
  <c r="P90" i="9" s="1"/>
  <c r="Q90" i="9" s="1"/>
  <c r="FE88" i="12"/>
  <c r="FG88" i="12" s="1"/>
  <c r="FF88" i="12"/>
  <c r="EP88" i="12"/>
  <c r="CK88" i="12"/>
  <c r="DD88" i="12"/>
  <c r="AB88" i="12"/>
  <c r="AD88" i="12" s="1"/>
  <c r="BO88" i="12"/>
  <c r="AC88" i="12"/>
  <c r="BN88" i="12"/>
  <c r="BP88" i="12" s="1"/>
  <c r="EM88" i="12"/>
  <c r="BR88" i="12"/>
  <c r="FI88" i="12"/>
  <c r="DW88" i="12"/>
  <c r="EL88" i="12"/>
  <c r="EN88" i="12" s="1"/>
  <c r="AF88" i="12"/>
  <c r="DT88" i="12"/>
  <c r="CG88" i="12"/>
  <c r="CI88" i="12" s="1"/>
  <c r="DS88" i="12"/>
  <c r="DU88" i="12" s="1"/>
  <c r="DA88" i="12"/>
  <c r="AY88" i="12"/>
  <c r="CZ88" i="12"/>
  <c r="DB88" i="12" s="1"/>
  <c r="CH88" i="12"/>
  <c r="AV88" i="12"/>
  <c r="AU88" i="12"/>
  <c r="AW88" i="12" s="1"/>
  <c r="FI88" i="9"/>
  <c r="FJ88" i="9"/>
  <c r="FL88" i="9"/>
  <c r="FK88" i="9"/>
  <c r="EQ87" i="12"/>
  <c r="ES87" i="12"/>
  <c r="ER87" i="12"/>
  <c r="DX87" i="12"/>
  <c r="DY87" i="12"/>
  <c r="DZ87" i="12"/>
  <c r="FJ87" i="12"/>
  <c r="FL87" i="12"/>
  <c r="FK87" i="12"/>
  <c r="DH86" i="12"/>
  <c r="DY88" i="9"/>
  <c r="DZ88" i="9"/>
  <c r="DW88" i="9"/>
  <c r="EA88" i="9" s="1"/>
  <c r="DX88" i="9"/>
  <c r="CL87" i="12"/>
  <c r="CN87" i="12"/>
  <c r="CM87" i="12"/>
  <c r="AH87" i="12"/>
  <c r="AG87" i="12"/>
  <c r="AI87" i="12"/>
  <c r="P89" i="12"/>
  <c r="Q89" i="12" s="1"/>
  <c r="BU88" i="9"/>
  <c r="BT88" i="9"/>
  <c r="BR88" i="9"/>
  <c r="BS88" i="9"/>
  <c r="BS87" i="12"/>
  <c r="BT87" i="12"/>
  <c r="BU87" i="12"/>
  <c r="DE88" i="9"/>
  <c r="DF88" i="9"/>
  <c r="DD88" i="9"/>
  <c r="DG88" i="9"/>
  <c r="AY88" i="9"/>
  <c r="BC88" i="9" s="1"/>
  <c r="AZ88" i="9"/>
  <c r="BA88" i="9"/>
  <c r="BB88" i="9"/>
  <c r="AZ87" i="12"/>
  <c r="BB87" i="12"/>
  <c r="BA87" i="12"/>
  <c r="O90" i="12" a="1"/>
  <c r="O90" i="12" s="1"/>
  <c r="J90" i="12" a="1"/>
  <c r="J90" i="12" s="1"/>
  <c r="N90" i="12" a="1"/>
  <c r="N90" i="12" s="1"/>
  <c r="L90" i="12" a="1"/>
  <c r="L90" i="12" s="1"/>
  <c r="H90" i="12" a="1"/>
  <c r="H90" i="12" s="1"/>
  <c r="K90" i="12" a="1"/>
  <c r="K90" i="12" s="1"/>
  <c r="G90" i="12" a="1"/>
  <c r="G90" i="12" s="1"/>
  <c r="D91" i="12"/>
  <c r="FE89" i="9"/>
  <c r="FG89" i="9" s="1"/>
  <c r="FF89" i="9"/>
  <c r="AV89" i="9"/>
  <c r="BN89" i="9"/>
  <c r="BP89" i="9" s="1"/>
  <c r="CH89" i="9"/>
  <c r="BO89" i="9"/>
  <c r="CG89" i="9"/>
  <c r="CI89" i="9" s="1"/>
  <c r="AU89" i="9"/>
  <c r="AW89" i="9" s="1"/>
  <c r="CZ89" i="9"/>
  <c r="DB89" i="9" s="1"/>
  <c r="AB89" i="9"/>
  <c r="AD89" i="9" s="1"/>
  <c r="EM89" i="9"/>
  <c r="AC89" i="9"/>
  <c r="EL89" i="9"/>
  <c r="EN89" i="9" s="1"/>
  <c r="DA89" i="9"/>
  <c r="DS89" i="9"/>
  <c r="DU89" i="9" s="1"/>
  <c r="DT89" i="9"/>
  <c r="AI88" i="9"/>
  <c r="AH88" i="9"/>
  <c r="AF88" i="9"/>
  <c r="AG88" i="9"/>
  <c r="DE87" i="12"/>
  <c r="DG87" i="12"/>
  <c r="DF87" i="12"/>
  <c r="L91" i="9" a="1"/>
  <c r="L91" i="9" s="1"/>
  <c r="K91" i="9" a="1"/>
  <c r="K91" i="9" s="1"/>
  <c r="J91" i="9" a="1"/>
  <c r="J91" i="9" s="1"/>
  <c r="H91" i="9" a="1"/>
  <c r="H91" i="9" s="1"/>
  <c r="O91" i="9" a="1"/>
  <c r="O91" i="9" s="1"/>
  <c r="G91" i="9" a="1"/>
  <c r="G91" i="9" s="1"/>
  <c r="N91" i="9" a="1"/>
  <c r="N91" i="9" s="1"/>
  <c r="D92" i="9"/>
  <c r="ER88" i="9"/>
  <c r="ES88" i="9"/>
  <c r="EQ88" i="9"/>
  <c r="EP88" i="9"/>
  <c r="I91" i="9"/>
  <c r="BL90" i="9"/>
  <c r="BM90" i="9" s="1"/>
  <c r="BQ90" i="9" s="1"/>
  <c r="AS90" i="9"/>
  <c r="AT90" i="9" s="1"/>
  <c r="AX90" i="9" s="1"/>
  <c r="CE90" i="9"/>
  <c r="CF90" i="9" s="1"/>
  <c r="CJ90" i="9" s="1"/>
  <c r="EJ90" i="9"/>
  <c r="EK90" i="9" s="1"/>
  <c r="EO90" i="9" s="1"/>
  <c r="Z90" i="9"/>
  <c r="AA90" i="9" s="1"/>
  <c r="AE90" i="9" s="1"/>
  <c r="FC90" i="9"/>
  <c r="FD90" i="9" s="1"/>
  <c r="FH90" i="9" s="1"/>
  <c r="CX90" i="9"/>
  <c r="CY90" i="9" s="1"/>
  <c r="DC90" i="9" s="1"/>
  <c r="DQ90" i="9"/>
  <c r="DR90" i="9" s="1"/>
  <c r="DV90" i="9" s="1"/>
  <c r="EA86" i="12"/>
  <c r="CO87" i="12" l="1"/>
  <c r="FM87" i="12"/>
  <c r="FM88" i="9"/>
  <c r="BV88" i="9"/>
  <c r="ET88" i="9"/>
  <c r="AJ88" i="9"/>
  <c r="DH88" i="9"/>
  <c r="BC87" i="12"/>
  <c r="AJ87" i="12"/>
  <c r="BV87" i="12"/>
  <c r="ET87" i="12"/>
  <c r="EA87" i="12"/>
  <c r="M91" i="9"/>
  <c r="ER89" i="9"/>
  <c r="ES89" i="9"/>
  <c r="EQ89" i="9"/>
  <c r="EP89" i="9"/>
  <c r="AZ88" i="12"/>
  <c r="BB88" i="12"/>
  <c r="BA88" i="12"/>
  <c r="BT89" i="9"/>
  <c r="BU89" i="9"/>
  <c r="BR89" i="9"/>
  <c r="BV89" i="9" s="1"/>
  <c r="BS89" i="9"/>
  <c r="I92" i="9"/>
  <c r="BL91" i="9"/>
  <c r="BM91" i="9" s="1"/>
  <c r="BQ91" i="9" s="1"/>
  <c r="DQ91" i="9"/>
  <c r="DR91" i="9" s="1"/>
  <c r="DV91" i="9" s="1"/>
  <c r="FC91" i="9"/>
  <c r="FD91" i="9" s="1"/>
  <c r="FH91" i="9" s="1"/>
  <c r="EJ91" i="9"/>
  <c r="EK91" i="9" s="1"/>
  <c r="EO91" i="9" s="1"/>
  <c r="CE91" i="9"/>
  <c r="CF91" i="9" s="1"/>
  <c r="CJ91" i="9" s="1"/>
  <c r="Z91" i="9"/>
  <c r="AA91" i="9" s="1"/>
  <c r="AE91" i="9" s="1"/>
  <c r="AS91" i="9"/>
  <c r="AT91" i="9" s="1"/>
  <c r="AX91" i="9" s="1"/>
  <c r="CX91" i="9"/>
  <c r="CY91" i="9" s="1"/>
  <c r="DC91" i="9" s="1"/>
  <c r="EQ88" i="12"/>
  <c r="ES88" i="12"/>
  <c r="ER88" i="12"/>
  <c r="AG88" i="12"/>
  <c r="AI88" i="12"/>
  <c r="AH88" i="12"/>
  <c r="AF89" i="9"/>
  <c r="AH89" i="9"/>
  <c r="AG89" i="9"/>
  <c r="AI89" i="9"/>
  <c r="M90" i="12"/>
  <c r="P90" i="12" s="1"/>
  <c r="Q90" i="12" s="1"/>
  <c r="DE88" i="12"/>
  <c r="DG88" i="12"/>
  <c r="DF88" i="12"/>
  <c r="P91" i="9"/>
  <c r="Q91" i="9" s="1"/>
  <c r="DG89" i="9"/>
  <c r="DF89" i="9"/>
  <c r="DE89" i="9"/>
  <c r="DD89" i="9"/>
  <c r="FI89" i="9"/>
  <c r="FL89" i="9"/>
  <c r="FJ89" i="9"/>
  <c r="FK89" i="9"/>
  <c r="K92" i="9" a="1"/>
  <c r="K92" i="9" s="1"/>
  <c r="L92" i="9" a="1"/>
  <c r="L92" i="9" s="1"/>
  <c r="J92" i="9" a="1"/>
  <c r="J92" i="9" s="1"/>
  <c r="N92" i="9" a="1"/>
  <c r="N92" i="9" s="1"/>
  <c r="H92" i="9" a="1"/>
  <c r="H92" i="9" s="1"/>
  <c r="O92" i="9" a="1"/>
  <c r="O92" i="9" s="1"/>
  <c r="G92" i="9" a="1"/>
  <c r="G92" i="9" s="1"/>
  <c r="D93" i="9"/>
  <c r="FF90" i="9"/>
  <c r="AU90" i="9"/>
  <c r="AW90" i="9" s="1"/>
  <c r="FE90" i="9"/>
  <c r="FG90" i="9" s="1"/>
  <c r="CH90" i="9"/>
  <c r="AV90" i="9"/>
  <c r="CG90" i="9"/>
  <c r="CI90" i="9" s="1"/>
  <c r="BN90" i="9"/>
  <c r="BP90" i="9" s="1"/>
  <c r="BO90" i="9"/>
  <c r="AB90" i="9"/>
  <c r="AD90" i="9" s="1"/>
  <c r="DA90" i="9"/>
  <c r="EM90" i="9"/>
  <c r="AC90" i="9"/>
  <c r="CZ90" i="9"/>
  <c r="DB90" i="9" s="1"/>
  <c r="EL90" i="9"/>
  <c r="EN90" i="9" s="1"/>
  <c r="DT90" i="9"/>
  <c r="DS90" i="9"/>
  <c r="DU90" i="9" s="1"/>
  <c r="BB89" i="9"/>
  <c r="AZ89" i="9"/>
  <c r="BA89" i="9"/>
  <c r="AY89" i="9"/>
  <c r="L91" i="12" a="1"/>
  <c r="L91" i="12" s="1"/>
  <c r="J91" i="12" a="1"/>
  <c r="J91" i="12" s="1"/>
  <c r="O91" i="12" a="1"/>
  <c r="O91" i="12" s="1"/>
  <c r="N91" i="12" a="1"/>
  <c r="N91" i="12" s="1"/>
  <c r="H91" i="12" a="1"/>
  <c r="H91" i="12" s="1"/>
  <c r="G91" i="12" a="1"/>
  <c r="G91" i="12" s="1"/>
  <c r="K91" i="12" a="1"/>
  <c r="K91" i="12" s="1"/>
  <c r="D92" i="12"/>
  <c r="DH87" i="12"/>
  <c r="DZ89" i="9"/>
  <c r="DY89" i="9"/>
  <c r="DW89" i="9"/>
  <c r="DX89" i="9"/>
  <c r="CL89" i="9"/>
  <c r="CK89" i="9"/>
  <c r="CM89" i="9"/>
  <c r="CN89" i="9"/>
  <c r="DX88" i="12"/>
  <c r="DZ88" i="12"/>
  <c r="DY88" i="12"/>
  <c r="FE89" i="12"/>
  <c r="FG89" i="12" s="1"/>
  <c r="FF89" i="12"/>
  <c r="EP89" i="12"/>
  <c r="DD89" i="12"/>
  <c r="CK89" i="12"/>
  <c r="BN89" i="12"/>
  <c r="BP89" i="12" s="1"/>
  <c r="AB89" i="12"/>
  <c r="AD89" i="12" s="1"/>
  <c r="AC89" i="12"/>
  <c r="BO89" i="12"/>
  <c r="DW89" i="12"/>
  <c r="AF89" i="12"/>
  <c r="BR89" i="12"/>
  <c r="AY89" i="12"/>
  <c r="CZ89" i="12"/>
  <c r="DB89" i="12" s="1"/>
  <c r="EL89" i="12"/>
  <c r="EN89" i="12" s="1"/>
  <c r="DA89" i="12"/>
  <c r="CH89" i="12"/>
  <c r="DT89" i="12"/>
  <c r="CG89" i="12"/>
  <c r="CI89" i="12" s="1"/>
  <c r="DS89" i="12"/>
  <c r="DU89" i="12" s="1"/>
  <c r="EM89" i="12"/>
  <c r="FI89" i="12"/>
  <c r="AU89" i="12"/>
  <c r="AW89" i="12" s="1"/>
  <c r="AV89" i="12"/>
  <c r="CL88" i="12"/>
  <c r="CM88" i="12"/>
  <c r="CN88" i="12"/>
  <c r="BS88" i="12"/>
  <c r="BU88" i="12"/>
  <c r="BT88" i="12"/>
  <c r="FJ88" i="12"/>
  <c r="FK88" i="12"/>
  <c r="FL88" i="12"/>
  <c r="ET89" i="9" l="1"/>
  <c r="EA89" i="9"/>
  <c r="FM89" i="9"/>
  <c r="BC89" i="9"/>
  <c r="CO89" i="9"/>
  <c r="DH89" i="9"/>
  <c r="AJ89" i="9"/>
  <c r="FM88" i="12"/>
  <c r="CO88" i="12"/>
  <c r="BC88" i="12"/>
  <c r="BV88" i="12"/>
  <c r="EA88" i="12"/>
  <c r="DH88" i="12"/>
  <c r="AJ88" i="12"/>
  <c r="AG90" i="9"/>
  <c r="AF90" i="9"/>
  <c r="AI90" i="9"/>
  <c r="AH90" i="9"/>
  <c r="EQ89" i="12"/>
  <c r="ES89" i="12"/>
  <c r="ER89" i="12"/>
  <c r="AG89" i="12"/>
  <c r="AH89" i="12"/>
  <c r="AI89" i="12"/>
  <c r="DX90" i="9"/>
  <c r="DW90" i="9"/>
  <c r="EA90" i="9" s="1"/>
  <c r="DY90" i="9"/>
  <c r="DZ90" i="9"/>
  <c r="L93" i="9" a="1"/>
  <c r="L93" i="9" s="1"/>
  <c r="J93" i="9" a="1"/>
  <c r="J93" i="9" s="1"/>
  <c r="K93" i="9" a="1"/>
  <c r="K93" i="9" s="1"/>
  <c r="G93" i="9" a="1"/>
  <c r="G93" i="9" s="1"/>
  <c r="N93" i="9" a="1"/>
  <c r="N93" i="9" s="1"/>
  <c r="H93" i="9" a="1"/>
  <c r="H93" i="9" s="1"/>
  <c r="O93" i="9" a="1"/>
  <c r="O93" i="9" s="1"/>
  <c r="D94" i="9"/>
  <c r="BT90" i="9"/>
  <c r="BU90" i="9"/>
  <c r="BS90" i="9"/>
  <c r="BR90" i="9"/>
  <c r="BV90" i="9" s="1"/>
  <c r="I93" i="9"/>
  <c r="FC92" i="9"/>
  <c r="FD92" i="9" s="1"/>
  <c r="FH92" i="9" s="1"/>
  <c r="AS92" i="9"/>
  <c r="AT92" i="9" s="1"/>
  <c r="AX92" i="9" s="1"/>
  <c r="DQ92" i="9"/>
  <c r="DR92" i="9" s="1"/>
  <c r="DV92" i="9" s="1"/>
  <c r="BL92" i="9"/>
  <c r="BM92" i="9" s="1"/>
  <c r="BQ92" i="9" s="1"/>
  <c r="EJ92" i="9"/>
  <c r="EK92" i="9" s="1"/>
  <c r="EO92" i="9" s="1"/>
  <c r="CE92" i="9"/>
  <c r="CF92" i="9" s="1"/>
  <c r="CJ92" i="9" s="1"/>
  <c r="CX92" i="9"/>
  <c r="CY92" i="9" s="1"/>
  <c r="DC92" i="9" s="1"/>
  <c r="Z92" i="9"/>
  <c r="AA92" i="9" s="1"/>
  <c r="AE92" i="9" s="1"/>
  <c r="BS89" i="12"/>
  <c r="BU89" i="12"/>
  <c r="BT89" i="12"/>
  <c r="M91" i="12"/>
  <c r="P91" i="12" s="1"/>
  <c r="Q91" i="12" s="1"/>
  <c r="ES90" i="9"/>
  <c r="EQ90" i="9"/>
  <c r="ER90" i="9"/>
  <c r="EP90" i="9"/>
  <c r="CN90" i="9"/>
  <c r="CK90" i="9"/>
  <c r="CM90" i="9"/>
  <c r="CL90" i="9"/>
  <c r="AU91" i="9"/>
  <c r="AW91" i="9" s="1"/>
  <c r="BO91" i="9"/>
  <c r="AV91" i="9"/>
  <c r="FF91" i="9"/>
  <c r="FE91" i="9"/>
  <c r="FG91" i="9" s="1"/>
  <c r="CH91" i="9"/>
  <c r="CG91" i="9"/>
  <c r="CI91" i="9" s="1"/>
  <c r="BN91" i="9"/>
  <c r="BP91" i="9" s="1"/>
  <c r="CZ91" i="9"/>
  <c r="DB91" i="9" s="1"/>
  <c r="DA91" i="9"/>
  <c r="AB91" i="9"/>
  <c r="AD91" i="9" s="1"/>
  <c r="AC91" i="9"/>
  <c r="EL91" i="9"/>
  <c r="EN91" i="9" s="1"/>
  <c r="EM91" i="9"/>
  <c r="DT91" i="9"/>
  <c r="DS91" i="9"/>
  <c r="DU91" i="9" s="1"/>
  <c r="DE89" i="12"/>
  <c r="DF89" i="12"/>
  <c r="DG89" i="12"/>
  <c r="DD90" i="9"/>
  <c r="DF90" i="9"/>
  <c r="DG90" i="9"/>
  <c r="DE90" i="9"/>
  <c r="AZ89" i="12"/>
  <c r="BB89" i="12"/>
  <c r="BA89" i="12"/>
  <c r="CL89" i="12"/>
  <c r="CN89" i="12"/>
  <c r="CM89" i="12"/>
  <c r="L92" i="12" a="1"/>
  <c r="L92" i="12" s="1"/>
  <c r="H92" i="12" a="1"/>
  <c r="H92" i="12" s="1"/>
  <c r="K92" i="12" a="1"/>
  <c r="K92" i="12" s="1"/>
  <c r="G92" i="12" a="1"/>
  <c r="G92" i="12" s="1"/>
  <c r="J92" i="12" a="1"/>
  <c r="J92" i="12" s="1"/>
  <c r="O92" i="12" a="1"/>
  <c r="O92" i="12" s="1"/>
  <c r="N92" i="12" a="1"/>
  <c r="N92" i="12" s="1"/>
  <c r="D93" i="12"/>
  <c r="M92" i="9"/>
  <c r="P92" i="9" s="1"/>
  <c r="Q92" i="9" s="1"/>
  <c r="DX89" i="12"/>
  <c r="DY89" i="12"/>
  <c r="DZ89" i="12"/>
  <c r="FJ90" i="9"/>
  <c r="FK90" i="9"/>
  <c r="FI90" i="9"/>
  <c r="FL90" i="9"/>
  <c r="FJ89" i="12"/>
  <c r="FL89" i="12"/>
  <c r="FK89" i="12"/>
  <c r="BB90" i="9"/>
  <c r="AY90" i="9"/>
  <c r="AZ90" i="9"/>
  <c r="BA90" i="9"/>
  <c r="FF90" i="12"/>
  <c r="EP90" i="12"/>
  <c r="FE90" i="12"/>
  <c r="FG90" i="12" s="1"/>
  <c r="CK90" i="12"/>
  <c r="DD90" i="12"/>
  <c r="BN90" i="12"/>
  <c r="BP90" i="12" s="1"/>
  <c r="BO90" i="12"/>
  <c r="AB90" i="12"/>
  <c r="AD90" i="12" s="1"/>
  <c r="AC90" i="12"/>
  <c r="CG90" i="12"/>
  <c r="CI90" i="12" s="1"/>
  <c r="DT90" i="12"/>
  <c r="AF90" i="12"/>
  <c r="DS90" i="12"/>
  <c r="DU90" i="12" s="1"/>
  <c r="CH90" i="12"/>
  <c r="FI90" i="12"/>
  <c r="DW90" i="12"/>
  <c r="AY90" i="12"/>
  <c r="CZ90" i="12"/>
  <c r="DB90" i="12" s="1"/>
  <c r="BR90" i="12"/>
  <c r="DA90" i="12"/>
  <c r="EM90" i="12"/>
  <c r="EL90" i="12"/>
  <c r="EN90" i="12" s="1"/>
  <c r="AV90" i="12"/>
  <c r="AU90" i="12"/>
  <c r="AW90" i="12" s="1"/>
  <c r="ET88" i="12"/>
  <c r="CO90" i="9" l="1"/>
  <c r="BC90" i="9"/>
  <c r="FM90" i="9"/>
  <c r="ET90" i="9"/>
  <c r="AJ90" i="9"/>
  <c r="DH90" i="9"/>
  <c r="M92" i="12"/>
  <c r="P92" i="12" s="1"/>
  <c r="Q92" i="12" s="1"/>
  <c r="M93" i="9"/>
  <c r="EA89" i="12"/>
  <c r="BV89" i="12"/>
  <c r="AJ89" i="12"/>
  <c r="FM89" i="12"/>
  <c r="BC89" i="12"/>
  <c r="ET89" i="12"/>
  <c r="CO89" i="12"/>
  <c r="K93" i="12" a="1"/>
  <c r="K93" i="12" s="1"/>
  <c r="J93" i="12" a="1"/>
  <c r="J93" i="12" s="1"/>
  <c r="L93" i="12" a="1"/>
  <c r="L93" i="12" s="1"/>
  <c r="N93" i="12" a="1"/>
  <c r="N93" i="12" s="1"/>
  <c r="O93" i="12" a="1"/>
  <c r="O93" i="12" s="1"/>
  <c r="H93" i="12" a="1"/>
  <c r="H93" i="12" s="1"/>
  <c r="G93" i="12" a="1"/>
  <c r="G93" i="12" s="1"/>
  <c r="D94" i="12"/>
  <c r="AV92" i="9"/>
  <c r="FF92" i="9"/>
  <c r="BN92" i="9"/>
  <c r="BP92" i="9" s="1"/>
  <c r="BO92" i="9"/>
  <c r="CH92" i="9"/>
  <c r="CG92" i="9"/>
  <c r="CI92" i="9" s="1"/>
  <c r="FE92" i="9"/>
  <c r="FG92" i="9" s="1"/>
  <c r="AU92" i="9"/>
  <c r="AW92" i="9" s="1"/>
  <c r="AC92" i="9"/>
  <c r="DA92" i="9"/>
  <c r="EM92" i="9"/>
  <c r="CZ92" i="9"/>
  <c r="DB92" i="9" s="1"/>
  <c r="EL92" i="9"/>
  <c r="EN92" i="9" s="1"/>
  <c r="AB92" i="9"/>
  <c r="AD92" i="9" s="1"/>
  <c r="DS92" i="9"/>
  <c r="DU92" i="9" s="1"/>
  <c r="DT92" i="9"/>
  <c r="DW91" i="9"/>
  <c r="DX91" i="9"/>
  <c r="DY91" i="9"/>
  <c r="DZ91" i="9"/>
  <c r="BR91" i="9"/>
  <c r="BU91" i="9"/>
  <c r="BS91" i="9"/>
  <c r="BT91" i="9"/>
  <c r="EP91" i="12"/>
  <c r="FE91" i="12"/>
  <c r="FG91" i="12" s="1"/>
  <c r="FF91" i="12"/>
  <c r="DD91" i="12"/>
  <c r="CK91" i="12"/>
  <c r="AC91" i="12"/>
  <c r="BN91" i="12"/>
  <c r="BP91" i="12" s="1"/>
  <c r="AB91" i="12"/>
  <c r="AD91" i="12" s="1"/>
  <c r="BO91" i="12"/>
  <c r="DW91" i="12"/>
  <c r="CG91" i="12"/>
  <c r="CI91" i="12" s="1"/>
  <c r="BR91" i="12"/>
  <c r="AY91" i="12"/>
  <c r="AF91" i="12"/>
  <c r="DA91" i="12"/>
  <c r="EL91" i="12"/>
  <c r="EN91" i="12" s="1"/>
  <c r="CZ91" i="12"/>
  <c r="DB91" i="12" s="1"/>
  <c r="CH91" i="12"/>
  <c r="FI91" i="12"/>
  <c r="DT91" i="12"/>
  <c r="EM91" i="12"/>
  <c r="DS91" i="12"/>
  <c r="DU91" i="12" s="1"/>
  <c r="AV91" i="12"/>
  <c r="AU91" i="12"/>
  <c r="AW91" i="12" s="1"/>
  <c r="BB91" i="9"/>
  <c r="BA91" i="9"/>
  <c r="AZ91" i="9"/>
  <c r="AY91" i="9"/>
  <c r="DX90" i="12"/>
  <c r="DY90" i="12"/>
  <c r="DZ90" i="12"/>
  <c r="CK91" i="9"/>
  <c r="CL91" i="9"/>
  <c r="CN91" i="9"/>
  <c r="CM91" i="9"/>
  <c r="DF91" i="9"/>
  <c r="DG91" i="9"/>
  <c r="DD91" i="9"/>
  <c r="DE91" i="9"/>
  <c r="J94" i="9" a="1"/>
  <c r="J94" i="9" s="1"/>
  <c r="O94" i="9" a="1"/>
  <c r="O94" i="9" s="1"/>
  <c r="N94" i="9" a="1"/>
  <c r="N94" i="9" s="1"/>
  <c r="G94" i="9" a="1"/>
  <c r="G94" i="9" s="1"/>
  <c r="H94" i="9" a="1"/>
  <c r="H94" i="9" s="1"/>
  <c r="L94" i="9" a="1"/>
  <c r="L94" i="9" s="1"/>
  <c r="K94" i="9" a="1"/>
  <c r="K94" i="9" s="1"/>
  <c r="D95" i="9"/>
  <c r="FJ90" i="12"/>
  <c r="FK90" i="12"/>
  <c r="FL90" i="12"/>
  <c r="ER91" i="9"/>
  <c r="EQ91" i="9"/>
  <c r="ES91" i="9"/>
  <c r="EP91" i="9"/>
  <c r="FK91" i="9"/>
  <c r="FL91" i="9"/>
  <c r="FJ91" i="9"/>
  <c r="FI91" i="9"/>
  <c r="FM91" i="9" s="1"/>
  <c r="BS90" i="12"/>
  <c r="BU90" i="12"/>
  <c r="BT90" i="12"/>
  <c r="CL90" i="12"/>
  <c r="CN90" i="12"/>
  <c r="CM90" i="12"/>
  <c r="P93" i="9"/>
  <c r="Q93" i="9" s="1"/>
  <c r="DE90" i="12"/>
  <c r="DG90" i="12"/>
  <c r="DF90" i="12"/>
  <c r="AI91" i="9"/>
  <c r="AH91" i="9"/>
  <c r="AF91" i="9"/>
  <c r="AG91" i="9"/>
  <c r="I94" i="9"/>
  <c r="BL93" i="9"/>
  <c r="BM93" i="9" s="1"/>
  <c r="BQ93" i="9" s="1"/>
  <c r="AS93" i="9"/>
  <c r="AT93" i="9" s="1"/>
  <c r="AX93" i="9" s="1"/>
  <c r="EJ93" i="9"/>
  <c r="EK93" i="9" s="1"/>
  <c r="EO93" i="9" s="1"/>
  <c r="DQ93" i="9"/>
  <c r="DR93" i="9" s="1"/>
  <c r="DV93" i="9" s="1"/>
  <c r="Z93" i="9"/>
  <c r="AA93" i="9" s="1"/>
  <c r="AE93" i="9" s="1"/>
  <c r="CX93" i="9"/>
  <c r="CY93" i="9" s="1"/>
  <c r="DC93" i="9" s="1"/>
  <c r="CE93" i="9"/>
  <c r="CF93" i="9" s="1"/>
  <c r="CJ93" i="9" s="1"/>
  <c r="FC93" i="9"/>
  <c r="FD93" i="9" s="1"/>
  <c r="FH93" i="9" s="1"/>
  <c r="EQ90" i="12"/>
  <c r="ES90" i="12"/>
  <c r="ER90" i="12"/>
  <c r="BA90" i="12"/>
  <c r="BB90" i="12"/>
  <c r="AZ90" i="12"/>
  <c r="AI90" i="12"/>
  <c r="AH90" i="12"/>
  <c r="AG90" i="12"/>
  <c r="DH89" i="12"/>
  <c r="EA91" i="9" l="1"/>
  <c r="CO91" i="9"/>
  <c r="ET91" i="9"/>
  <c r="BV91" i="9"/>
  <c r="BC91" i="9"/>
  <c r="DH91" i="9"/>
  <c r="AJ91" i="9"/>
  <c r="BO92" i="12"/>
  <c r="BR92" i="12"/>
  <c r="DD92" i="12"/>
  <c r="FI92" i="12"/>
  <c r="AJ90" i="12"/>
  <c r="DW92" i="12"/>
  <c r="FE92" i="12"/>
  <c r="FG92" i="12" s="1"/>
  <c r="FJ92" i="12" s="1"/>
  <c r="CG92" i="12"/>
  <c r="CI92" i="12" s="1"/>
  <c r="CM92" i="12" s="1"/>
  <c r="CZ92" i="12"/>
  <c r="DB92" i="12" s="1"/>
  <c r="DE92" i="12" s="1"/>
  <c r="EP92" i="12"/>
  <c r="AU92" i="12"/>
  <c r="AW92" i="12" s="1"/>
  <c r="AZ92" i="12" s="1"/>
  <c r="AC92" i="12"/>
  <c r="BC90" i="12"/>
  <c r="FM90" i="12"/>
  <c r="BV90" i="12"/>
  <c r="M93" i="12"/>
  <c r="P93" i="12" s="1"/>
  <c r="Q93" i="12" s="1"/>
  <c r="CO90" i="12"/>
  <c r="BA92" i="12"/>
  <c r="EQ91" i="12"/>
  <c r="ER91" i="12"/>
  <c r="ES91" i="12"/>
  <c r="ET90" i="12"/>
  <c r="BS91" i="12"/>
  <c r="BT91" i="12"/>
  <c r="BU91" i="12"/>
  <c r="DX92" i="9"/>
  <c r="DW92" i="9"/>
  <c r="DZ92" i="9"/>
  <c r="DY92" i="9"/>
  <c r="FK92" i="9"/>
  <c r="FJ92" i="9"/>
  <c r="FI92" i="9"/>
  <c r="FM92" i="9" s="1"/>
  <c r="FL92" i="9"/>
  <c r="AB92" i="12"/>
  <c r="AD92" i="12" s="1"/>
  <c r="DH90" i="12"/>
  <c r="EA90" i="12"/>
  <c r="DX91" i="12"/>
  <c r="DZ91" i="12"/>
  <c r="DY91" i="12"/>
  <c r="AH92" i="9"/>
  <c r="AF92" i="9"/>
  <c r="AI92" i="9"/>
  <c r="AG92" i="9"/>
  <c r="CN92" i="9"/>
  <c r="CM92" i="9"/>
  <c r="CK92" i="9"/>
  <c r="CL92" i="9"/>
  <c r="DA92" i="12"/>
  <c r="AF92" i="12"/>
  <c r="BB91" i="12"/>
  <c r="AZ91" i="12"/>
  <c r="BA91" i="12"/>
  <c r="EQ92" i="9"/>
  <c r="EP92" i="9"/>
  <c r="ET92" i="9" s="1"/>
  <c r="ER92" i="9"/>
  <c r="ES92" i="9"/>
  <c r="EM92" i="12"/>
  <c r="K95" i="9" a="1"/>
  <c r="K95" i="9" s="1"/>
  <c r="H95" i="9" a="1"/>
  <c r="H95" i="9" s="1"/>
  <c r="G95" i="9" a="1"/>
  <c r="G95" i="9" s="1"/>
  <c r="O95" i="9" a="1"/>
  <c r="O95" i="9" s="1"/>
  <c r="N95" i="9" a="1"/>
  <c r="N95" i="9" s="1"/>
  <c r="J95" i="9" a="1"/>
  <c r="J95" i="9" s="1"/>
  <c r="L95" i="9" a="1"/>
  <c r="L95" i="9" s="1"/>
  <c r="D96" i="9"/>
  <c r="AY92" i="9"/>
  <c r="BA92" i="9"/>
  <c r="AZ92" i="9"/>
  <c r="BB92" i="9"/>
  <c r="I95" i="9"/>
  <c r="BL94" i="9"/>
  <c r="BM94" i="9" s="1"/>
  <c r="BQ94" i="9" s="1"/>
  <c r="CE94" i="9"/>
  <c r="CF94" i="9" s="1"/>
  <c r="CJ94" i="9" s="1"/>
  <c r="EJ94" i="9"/>
  <c r="EK94" i="9" s="1"/>
  <c r="EO94" i="9" s="1"/>
  <c r="DQ94" i="9"/>
  <c r="DR94" i="9" s="1"/>
  <c r="DV94" i="9" s="1"/>
  <c r="FC94" i="9"/>
  <c r="FD94" i="9" s="1"/>
  <c r="FH94" i="9" s="1"/>
  <c r="CX94" i="9"/>
  <c r="CY94" i="9" s="1"/>
  <c r="DC94" i="9" s="1"/>
  <c r="AS94" i="9"/>
  <c r="AT94" i="9" s="1"/>
  <c r="AX94" i="9" s="1"/>
  <c r="Z94" i="9"/>
  <c r="AA94" i="9" s="1"/>
  <c r="AE94" i="9" s="1"/>
  <c r="DE92" i="9"/>
  <c r="DF92" i="9"/>
  <c r="DG92" i="9"/>
  <c r="DD92" i="9"/>
  <c r="CK92" i="12"/>
  <c r="J94" i="12" a="1"/>
  <c r="J94" i="12" s="1"/>
  <c r="O94" i="12" a="1"/>
  <c r="O94" i="12" s="1"/>
  <c r="K94" i="12" a="1"/>
  <c r="K94" i="12" s="1"/>
  <c r="N94" i="12" a="1"/>
  <c r="N94" i="12" s="1"/>
  <c r="G94" i="12" a="1"/>
  <c r="G94" i="12" s="1"/>
  <c r="H94" i="12" a="1"/>
  <c r="H94" i="12" s="1"/>
  <c r="L94" i="12" a="1"/>
  <c r="L94" i="12" s="1"/>
  <c r="D95" i="12"/>
  <c r="BO93" i="9"/>
  <c r="AV93" i="9"/>
  <c r="FF93" i="9"/>
  <c r="AU93" i="9"/>
  <c r="AW93" i="9" s="1"/>
  <c r="FE93" i="9"/>
  <c r="FG93" i="9" s="1"/>
  <c r="CH93" i="9"/>
  <c r="BN93" i="9"/>
  <c r="BP93" i="9" s="1"/>
  <c r="CG93" i="9"/>
  <c r="CI93" i="9" s="1"/>
  <c r="DA93" i="9"/>
  <c r="AC93" i="9"/>
  <c r="EM93" i="9"/>
  <c r="CZ93" i="9"/>
  <c r="DB93" i="9" s="1"/>
  <c r="AB93" i="9"/>
  <c r="AD93" i="9" s="1"/>
  <c r="EL93" i="9"/>
  <c r="EN93" i="9" s="1"/>
  <c r="DS93" i="9"/>
  <c r="DU93" i="9" s="1"/>
  <c r="DT93" i="9"/>
  <c r="CL91" i="12"/>
  <c r="CN91" i="12"/>
  <c r="CM91" i="12"/>
  <c r="BR92" i="9"/>
  <c r="BU92" i="9"/>
  <c r="BT92" i="9"/>
  <c r="BS92" i="9"/>
  <c r="DS92" i="12"/>
  <c r="DU92" i="12" s="1"/>
  <c r="EL92" i="12"/>
  <c r="EN92" i="12" s="1"/>
  <c r="M94" i="9"/>
  <c r="P94" i="9" s="1"/>
  <c r="Q94" i="9" s="1"/>
  <c r="FJ91" i="12"/>
  <c r="FL91" i="12"/>
  <c r="FK91" i="12"/>
  <c r="CH92" i="12"/>
  <c r="AY92" i="12"/>
  <c r="FF92" i="12"/>
  <c r="AI91" i="12"/>
  <c r="AG91" i="12"/>
  <c r="AH91" i="12"/>
  <c r="AV92" i="12"/>
  <c r="DE91" i="12"/>
  <c r="DG91" i="12"/>
  <c r="DF91" i="12"/>
  <c r="DT92" i="12"/>
  <c r="BN92" i="12"/>
  <c r="BP92" i="12" s="1"/>
  <c r="BB92" i="12" l="1"/>
  <c r="EA92" i="9"/>
  <c r="AJ92" i="9"/>
  <c r="BC92" i="9"/>
  <c r="BV92" i="9"/>
  <c r="DF92" i="12"/>
  <c r="CO92" i="9"/>
  <c r="DG92" i="12"/>
  <c r="AJ91" i="12"/>
  <c r="EA91" i="12"/>
  <c r="DH92" i="9"/>
  <c r="FL92" i="12"/>
  <c r="FK92" i="12"/>
  <c r="CL92" i="12"/>
  <c r="CN92" i="12"/>
  <c r="DH91" i="12"/>
  <c r="CO91" i="12"/>
  <c r="M94" i="12"/>
  <c r="BV91" i="12"/>
  <c r="ET91" i="12"/>
  <c r="BC91" i="12"/>
  <c r="FM91" i="12"/>
  <c r="FF94" i="9"/>
  <c r="CG94" i="9"/>
  <c r="CI94" i="9" s="1"/>
  <c r="FE94" i="9"/>
  <c r="FG94" i="9" s="1"/>
  <c r="BN94" i="9"/>
  <c r="BP94" i="9" s="1"/>
  <c r="CH94" i="9"/>
  <c r="AU94" i="9"/>
  <c r="AW94" i="9" s="1"/>
  <c r="AV94" i="9"/>
  <c r="BO94" i="9"/>
  <c r="EM94" i="9"/>
  <c r="EL94" i="9"/>
  <c r="EN94" i="9" s="1"/>
  <c r="AC94" i="9"/>
  <c r="AB94" i="9"/>
  <c r="AD94" i="9" s="1"/>
  <c r="DA94" i="9"/>
  <c r="CZ94" i="9"/>
  <c r="DB94" i="9" s="1"/>
  <c r="DT94" i="9"/>
  <c r="DS94" i="9"/>
  <c r="DU94" i="9" s="1"/>
  <c r="BA93" i="9"/>
  <c r="AY93" i="9"/>
  <c r="BB93" i="9"/>
  <c r="AZ93" i="9"/>
  <c r="P94" i="12"/>
  <c r="Q94" i="12" s="1"/>
  <c r="G96" i="9" a="1"/>
  <c r="G96" i="9" s="1"/>
  <c r="J96" i="9" a="1"/>
  <c r="J96" i="9" s="1"/>
  <c r="K96" i="9" a="1"/>
  <c r="K96" i="9" s="1"/>
  <c r="L96" i="9" a="1"/>
  <c r="L96" i="9" s="1"/>
  <c r="N96" i="9" a="1"/>
  <c r="N96" i="9" s="1"/>
  <c r="O96" i="9" a="1"/>
  <c r="O96" i="9" s="1"/>
  <c r="H96" i="9" a="1"/>
  <c r="H96" i="9" s="1"/>
  <c r="D97" i="9"/>
  <c r="DF93" i="9"/>
  <c r="DG93" i="9"/>
  <c r="DD93" i="9"/>
  <c r="DE93" i="9"/>
  <c r="FE93" i="12"/>
  <c r="FG93" i="12" s="1"/>
  <c r="EP93" i="12"/>
  <c r="FF93" i="12"/>
  <c r="DD93" i="12"/>
  <c r="CK93" i="12"/>
  <c r="AB93" i="12"/>
  <c r="AD93" i="12" s="1"/>
  <c r="AC93" i="12"/>
  <c r="BN93" i="12"/>
  <c r="BP93" i="12" s="1"/>
  <c r="BO93" i="12"/>
  <c r="BR93" i="12"/>
  <c r="DT93" i="12"/>
  <c r="FI93" i="12"/>
  <c r="DS93" i="12"/>
  <c r="DU93" i="12" s="1"/>
  <c r="CH93" i="12"/>
  <c r="EM93" i="12"/>
  <c r="DA93" i="12"/>
  <c r="CG93" i="12"/>
  <c r="CI93" i="12" s="1"/>
  <c r="EL93" i="12"/>
  <c r="EN93" i="12" s="1"/>
  <c r="CZ93" i="12"/>
  <c r="DB93" i="12" s="1"/>
  <c r="AF93" i="12"/>
  <c r="AY93" i="12"/>
  <c r="DW93" i="12"/>
  <c r="AV93" i="12"/>
  <c r="AU93" i="12"/>
  <c r="AW93" i="12" s="1"/>
  <c r="M95" i="9"/>
  <c r="P95" i="9" s="1"/>
  <c r="Q95" i="9" s="1"/>
  <c r="AG92" i="12"/>
  <c r="AH92" i="12"/>
  <c r="AI92" i="12"/>
  <c r="AH93" i="9"/>
  <c r="AI93" i="9"/>
  <c r="AF93" i="9"/>
  <c r="AG93" i="9"/>
  <c r="I96" i="9"/>
  <c r="AS95" i="9"/>
  <c r="AT95" i="9" s="1"/>
  <c r="AX95" i="9" s="1"/>
  <c r="CE95" i="9"/>
  <c r="CF95" i="9" s="1"/>
  <c r="CJ95" i="9" s="1"/>
  <c r="DQ95" i="9"/>
  <c r="DR95" i="9" s="1"/>
  <c r="DV95" i="9" s="1"/>
  <c r="EJ95" i="9"/>
  <c r="EK95" i="9" s="1"/>
  <c r="EO95" i="9" s="1"/>
  <c r="Z95" i="9"/>
  <c r="AA95" i="9" s="1"/>
  <c r="AE95" i="9" s="1"/>
  <c r="CX95" i="9"/>
  <c r="CY95" i="9" s="1"/>
  <c r="DC95" i="9" s="1"/>
  <c r="FC95" i="9"/>
  <c r="FD95" i="9" s="1"/>
  <c r="FH95" i="9" s="1"/>
  <c r="BL95" i="9"/>
  <c r="BM95" i="9" s="1"/>
  <c r="BQ95" i="9" s="1"/>
  <c r="BC92" i="12"/>
  <c r="BS92" i="12"/>
  <c r="BU92" i="12"/>
  <c r="BT92" i="12"/>
  <c r="DX92" i="12"/>
  <c r="DZ92" i="12"/>
  <c r="DY92" i="12"/>
  <c r="L95" i="12" a="1"/>
  <c r="L95" i="12" s="1"/>
  <c r="G95" i="12" a="1"/>
  <c r="G95" i="12" s="1"/>
  <c r="J95" i="12" a="1"/>
  <c r="J95" i="12" s="1"/>
  <c r="O95" i="12" a="1"/>
  <c r="O95" i="12" s="1"/>
  <c r="N95" i="12" a="1"/>
  <c r="N95" i="12" s="1"/>
  <c r="H95" i="12" a="1"/>
  <c r="H95" i="12" s="1"/>
  <c r="K95" i="12" a="1"/>
  <c r="K95" i="12" s="1"/>
  <c r="D96" i="12"/>
  <c r="CK93" i="9"/>
  <c r="CM93" i="9"/>
  <c r="CN93" i="9"/>
  <c r="CL93" i="9"/>
  <c r="BR93" i="9"/>
  <c r="BT93" i="9"/>
  <c r="BS93" i="9"/>
  <c r="BU93" i="9"/>
  <c r="DH92" i="12"/>
  <c r="FJ93" i="9"/>
  <c r="FL93" i="9"/>
  <c r="FI93" i="9"/>
  <c r="FK93" i="9"/>
  <c r="EQ92" i="12"/>
  <c r="ES92" i="12"/>
  <c r="ER92" i="12"/>
  <c r="DW93" i="9"/>
  <c r="DX93" i="9"/>
  <c r="DZ93" i="9"/>
  <c r="DY93" i="9"/>
  <c r="EP93" i="9"/>
  <c r="ET93" i="9" s="1"/>
  <c r="EQ93" i="9"/>
  <c r="ES93" i="9"/>
  <c r="ER93" i="9"/>
  <c r="BC93" i="9" l="1"/>
  <c r="AJ93" i="9"/>
  <c r="CO92" i="12"/>
  <c r="CO93" i="9"/>
  <c r="FM92" i="12"/>
  <c r="EA93" i="9"/>
  <c r="FM93" i="9"/>
  <c r="FM94" i="9" s="1"/>
  <c r="DH93" i="9"/>
  <c r="BV93" i="9"/>
  <c r="AJ92" i="12"/>
  <c r="CG95" i="9"/>
  <c r="CI95" i="9" s="1"/>
  <c r="FF95" i="9"/>
  <c r="AU95" i="9"/>
  <c r="AW95" i="9" s="1"/>
  <c r="BN95" i="9"/>
  <c r="BP95" i="9" s="1"/>
  <c r="CH95" i="9"/>
  <c r="AV95" i="9"/>
  <c r="BO95" i="9"/>
  <c r="FE95" i="9"/>
  <c r="FG95" i="9" s="1"/>
  <c r="EM95" i="9"/>
  <c r="AC95" i="9"/>
  <c r="AB95" i="9"/>
  <c r="AD95" i="9" s="1"/>
  <c r="DA95" i="9"/>
  <c r="EL95" i="9"/>
  <c r="EN95" i="9" s="1"/>
  <c r="CZ95" i="9"/>
  <c r="DB95" i="9" s="1"/>
  <c r="DT95" i="9"/>
  <c r="DS95" i="9"/>
  <c r="DU95" i="9" s="1"/>
  <c r="CL93" i="12"/>
  <c r="CM93" i="12"/>
  <c r="CN93" i="12"/>
  <c r="BB93" i="12"/>
  <c r="BA93" i="12"/>
  <c r="AZ93" i="12"/>
  <c r="BS93" i="12"/>
  <c r="BU93" i="12"/>
  <c r="BT93" i="12"/>
  <c r="M96" i="9"/>
  <c r="DZ94" i="9"/>
  <c r="DY94" i="9"/>
  <c r="DW94" i="9"/>
  <c r="DX94" i="9"/>
  <c r="DD94" i="9"/>
  <c r="DE94" i="9"/>
  <c r="DG94" i="9"/>
  <c r="DF94" i="9"/>
  <c r="BB94" i="9"/>
  <c r="AZ94" i="9"/>
  <c r="AY94" i="9"/>
  <c r="BA94" i="9"/>
  <c r="AG93" i="12"/>
  <c r="AI93" i="12"/>
  <c r="AH93" i="12"/>
  <c r="FE94" i="12"/>
  <c r="FG94" i="12" s="1"/>
  <c r="FF94" i="12"/>
  <c r="EP94" i="12"/>
  <c r="DD94" i="12"/>
  <c r="CK94" i="12"/>
  <c r="BN94" i="12"/>
  <c r="BP94" i="12" s="1"/>
  <c r="AB94" i="12"/>
  <c r="AD94" i="12" s="1"/>
  <c r="AC94" i="12"/>
  <c r="BO94" i="12"/>
  <c r="DT94" i="12"/>
  <c r="DA94" i="12"/>
  <c r="BR94" i="12"/>
  <c r="DS94" i="12"/>
  <c r="DU94" i="12" s="1"/>
  <c r="CZ94" i="12"/>
  <c r="DB94" i="12" s="1"/>
  <c r="AF94" i="12"/>
  <c r="DW94" i="12"/>
  <c r="CG94" i="12"/>
  <c r="CI94" i="12" s="1"/>
  <c r="FI94" i="12"/>
  <c r="CH94" i="12"/>
  <c r="EM94" i="12"/>
  <c r="EL94" i="12"/>
  <c r="EN94" i="12" s="1"/>
  <c r="AY94" i="12"/>
  <c r="AV94" i="12"/>
  <c r="AU94" i="12"/>
  <c r="AW94" i="12" s="1"/>
  <c r="M95" i="12"/>
  <c r="P95" i="12" s="1"/>
  <c r="Q95" i="12" s="1"/>
  <c r="BV92" i="12"/>
  <c r="DX93" i="12"/>
  <c r="DY93" i="12"/>
  <c r="DZ93" i="12"/>
  <c r="AH94" i="9"/>
  <c r="AG94" i="9"/>
  <c r="AF94" i="9"/>
  <c r="AI94" i="9"/>
  <c r="BS94" i="9"/>
  <c r="BU94" i="9"/>
  <c r="BR94" i="9"/>
  <c r="BT94" i="9"/>
  <c r="K97" i="9" a="1"/>
  <c r="K97" i="9" s="1"/>
  <c r="L97" i="9" a="1"/>
  <c r="L97" i="9" s="1"/>
  <c r="J97" i="9" a="1"/>
  <c r="J97" i="9" s="1"/>
  <c r="N97" i="9" a="1"/>
  <c r="N97" i="9" s="1"/>
  <c r="H97" i="9" a="1"/>
  <c r="H97" i="9" s="1"/>
  <c r="G97" i="9" a="1"/>
  <c r="G97" i="9" s="1"/>
  <c r="O97" i="9" a="1"/>
  <c r="O97" i="9" s="1"/>
  <c r="D98" i="9"/>
  <c r="FK94" i="9"/>
  <c r="FL94" i="9"/>
  <c r="FI94" i="9"/>
  <c r="FJ94" i="9"/>
  <c r="FJ93" i="12"/>
  <c r="FL93" i="12"/>
  <c r="FK93" i="12"/>
  <c r="I97" i="9"/>
  <c r="FC96" i="9"/>
  <c r="FD96" i="9" s="1"/>
  <c r="FH96" i="9" s="1"/>
  <c r="Z96" i="9"/>
  <c r="AA96" i="9" s="1"/>
  <c r="AE96" i="9" s="1"/>
  <c r="DQ96" i="9"/>
  <c r="DR96" i="9" s="1"/>
  <c r="DV96" i="9" s="1"/>
  <c r="CE96" i="9"/>
  <c r="CF96" i="9" s="1"/>
  <c r="CJ96" i="9" s="1"/>
  <c r="CX96" i="9"/>
  <c r="CY96" i="9" s="1"/>
  <c r="DC96" i="9" s="1"/>
  <c r="AS96" i="9"/>
  <c r="AT96" i="9" s="1"/>
  <c r="AX96" i="9" s="1"/>
  <c r="EJ96" i="9"/>
  <c r="EK96" i="9" s="1"/>
  <c r="EO96" i="9" s="1"/>
  <c r="BL96" i="9"/>
  <c r="BM96" i="9" s="1"/>
  <c r="BQ96" i="9" s="1"/>
  <c r="DE93" i="12"/>
  <c r="DG93" i="12"/>
  <c r="DF93" i="12"/>
  <c r="P96" i="9"/>
  <c r="Q96" i="9" s="1"/>
  <c r="ER94" i="9"/>
  <c r="EP94" i="9"/>
  <c r="ES94" i="9"/>
  <c r="EQ94" i="9"/>
  <c r="CM94" i="9"/>
  <c r="CL94" i="9"/>
  <c r="CN94" i="9"/>
  <c r="CK94" i="9"/>
  <c r="CO94" i="9" s="1"/>
  <c r="ET92" i="12"/>
  <c r="O96" i="12" a="1"/>
  <c r="O96" i="12" s="1"/>
  <c r="N96" i="12" a="1"/>
  <c r="N96" i="12" s="1"/>
  <c r="G96" i="12" a="1"/>
  <c r="G96" i="12" s="1"/>
  <c r="K96" i="12" a="1"/>
  <c r="K96" i="12" s="1"/>
  <c r="H96" i="12" a="1"/>
  <c r="H96" i="12" s="1"/>
  <c r="J96" i="12" a="1"/>
  <c r="J96" i="12" s="1"/>
  <c r="L96" i="12" a="1"/>
  <c r="L96" i="12" s="1"/>
  <c r="D97" i="12"/>
  <c r="EA92" i="12"/>
  <c r="EQ93" i="12"/>
  <c r="ES93" i="12"/>
  <c r="ER93" i="12"/>
  <c r="CO93" i="12" l="1"/>
  <c r="ET94" i="9"/>
  <c r="BC94" i="9"/>
  <c r="EA94" i="9"/>
  <c r="AJ94" i="9"/>
  <c r="DH94" i="9"/>
  <c r="BV94" i="9"/>
  <c r="BC93" i="12"/>
  <c r="M97" i="9"/>
  <c r="P97" i="9" s="1"/>
  <c r="Q97" i="9" s="1"/>
  <c r="FM93" i="12"/>
  <c r="DH93" i="12"/>
  <c r="AJ93" i="12"/>
  <c r="BV93" i="12"/>
  <c r="AG94" i="12"/>
  <c r="AI94" i="12"/>
  <c r="AH94" i="12"/>
  <c r="K97" i="12" a="1"/>
  <c r="K97" i="12" s="1"/>
  <c r="N97" i="12" a="1"/>
  <c r="N97" i="12" s="1"/>
  <c r="O97" i="12" a="1"/>
  <c r="O97" i="12" s="1"/>
  <c r="H97" i="12" a="1"/>
  <c r="H97" i="12" s="1"/>
  <c r="G97" i="12" a="1"/>
  <c r="G97" i="12" s="1"/>
  <c r="J97" i="12" a="1"/>
  <c r="J97" i="12" s="1"/>
  <c r="L97" i="12" a="1"/>
  <c r="L97" i="12" s="1"/>
  <c r="D98" i="12"/>
  <c r="DE94" i="12"/>
  <c r="DF94" i="12"/>
  <c r="DG94" i="12"/>
  <c r="BS94" i="12"/>
  <c r="BT94" i="12"/>
  <c r="BU94" i="12"/>
  <c r="CH96" i="9"/>
  <c r="CG96" i="9"/>
  <c r="CI96" i="9" s="1"/>
  <c r="BN96" i="9"/>
  <c r="BP96" i="9" s="1"/>
  <c r="AU96" i="9"/>
  <c r="AW96" i="9" s="1"/>
  <c r="FE96" i="9"/>
  <c r="FG96" i="9" s="1"/>
  <c r="BO96" i="9"/>
  <c r="AV96" i="9"/>
  <c r="FF96" i="9"/>
  <c r="AB96" i="9"/>
  <c r="AD96" i="9" s="1"/>
  <c r="AC96" i="9"/>
  <c r="EM96" i="9"/>
  <c r="CZ96" i="9"/>
  <c r="DB96" i="9" s="1"/>
  <c r="EL96" i="9"/>
  <c r="EN96" i="9" s="1"/>
  <c r="DA96" i="9"/>
  <c r="DS96" i="9"/>
  <c r="DU96" i="9" s="1"/>
  <c r="DT96" i="9"/>
  <c r="EA93" i="12"/>
  <c r="EQ94" i="12"/>
  <c r="ES94" i="12"/>
  <c r="ER94" i="12"/>
  <c r="DX94" i="12"/>
  <c r="DY94" i="12"/>
  <c r="DZ94" i="12"/>
  <c r="DE95" i="9"/>
  <c r="DG95" i="9"/>
  <c r="DD95" i="9"/>
  <c r="DF95" i="9"/>
  <c r="M96" i="12"/>
  <c r="P96" i="12" s="1"/>
  <c r="Q96" i="12" s="1"/>
  <c r="ES95" i="9"/>
  <c r="ER95" i="9"/>
  <c r="EQ95" i="9"/>
  <c r="EP95" i="9"/>
  <c r="DX95" i="9"/>
  <c r="DW95" i="9"/>
  <c r="EA95" i="9" s="1"/>
  <c r="DY95" i="9"/>
  <c r="DZ95" i="9"/>
  <c r="BR95" i="9"/>
  <c r="BT95" i="9"/>
  <c r="BS95" i="9"/>
  <c r="BU95" i="9"/>
  <c r="FL95" i="9"/>
  <c r="FK95" i="9"/>
  <c r="FI95" i="9"/>
  <c r="FM95" i="9" s="1"/>
  <c r="FJ95" i="9"/>
  <c r="ET93" i="12"/>
  <c r="AF95" i="9"/>
  <c r="AI95" i="9"/>
  <c r="AG95" i="9"/>
  <c r="AH95" i="9"/>
  <c r="BA95" i="9"/>
  <c r="BB95" i="9"/>
  <c r="AZ95" i="9"/>
  <c r="AY95" i="9"/>
  <c r="I98" i="9"/>
  <c r="Z97" i="9"/>
  <c r="AA97" i="9" s="1"/>
  <c r="AE97" i="9" s="1"/>
  <c r="CE97" i="9"/>
  <c r="CF97" i="9" s="1"/>
  <c r="CJ97" i="9" s="1"/>
  <c r="AS97" i="9"/>
  <c r="AT97" i="9" s="1"/>
  <c r="AX97" i="9" s="1"/>
  <c r="CX97" i="9"/>
  <c r="CY97" i="9" s="1"/>
  <c r="DC97" i="9" s="1"/>
  <c r="BL97" i="9"/>
  <c r="BM97" i="9" s="1"/>
  <c r="BQ97" i="9" s="1"/>
  <c r="DQ97" i="9"/>
  <c r="DR97" i="9" s="1"/>
  <c r="DV97" i="9" s="1"/>
  <c r="FC97" i="9"/>
  <c r="FD97" i="9" s="1"/>
  <c r="FH97" i="9" s="1"/>
  <c r="EJ97" i="9"/>
  <c r="EK97" i="9" s="1"/>
  <c r="EO97" i="9" s="1"/>
  <c r="K98" i="9" a="1"/>
  <c r="K98" i="9" s="1"/>
  <c r="G98" i="9" a="1"/>
  <c r="G98" i="9" s="1"/>
  <c r="O98" i="9" a="1"/>
  <c r="O98" i="9" s="1"/>
  <c r="L98" i="9" a="1"/>
  <c r="L98" i="9" s="1"/>
  <c r="J98" i="9" a="1"/>
  <c r="J98" i="9" s="1"/>
  <c r="N98" i="9" a="1"/>
  <c r="N98" i="9" s="1"/>
  <c r="H98" i="9" a="1"/>
  <c r="H98" i="9" s="1"/>
  <c r="D99" i="9"/>
  <c r="FF95" i="12"/>
  <c r="EP95" i="12"/>
  <c r="FE95" i="12"/>
  <c r="FG95" i="12" s="1"/>
  <c r="CK95" i="12"/>
  <c r="DD95" i="12"/>
  <c r="AC95" i="12"/>
  <c r="BN95" i="12"/>
  <c r="BP95" i="12" s="1"/>
  <c r="BO95" i="12"/>
  <c r="AB95" i="12"/>
  <c r="AD95" i="12" s="1"/>
  <c r="DW95" i="12"/>
  <c r="EL95" i="12"/>
  <c r="EN95" i="12" s="1"/>
  <c r="DA95" i="12"/>
  <c r="CZ95" i="12"/>
  <c r="DB95" i="12" s="1"/>
  <c r="EM95" i="12"/>
  <c r="FI95" i="12"/>
  <c r="BR95" i="12"/>
  <c r="AF95" i="12"/>
  <c r="DT95" i="12"/>
  <c r="DS95" i="12"/>
  <c r="DU95" i="12" s="1"/>
  <c r="AY95" i="12"/>
  <c r="CH95" i="12"/>
  <c r="CG95" i="12"/>
  <c r="CI95" i="12" s="1"/>
  <c r="AV95" i="12"/>
  <c r="AU95" i="12"/>
  <c r="AW95" i="12" s="1"/>
  <c r="CL94" i="12"/>
  <c r="CN94" i="12"/>
  <c r="CM94" i="12"/>
  <c r="FJ94" i="12"/>
  <c r="FL94" i="12"/>
  <c r="FK94" i="12"/>
  <c r="AZ94" i="12"/>
  <c r="BA94" i="12"/>
  <c r="BB94" i="12"/>
  <c r="CK95" i="9"/>
  <c r="CL95" i="9"/>
  <c r="CM95" i="9"/>
  <c r="CN95" i="9"/>
  <c r="CO95" i="9" l="1"/>
  <c r="ET95" i="9"/>
  <c r="DH95" i="9"/>
  <c r="AJ95" i="9"/>
  <c r="BC95" i="9"/>
  <c r="BV95" i="9"/>
  <c r="DT97" i="9"/>
  <c r="EM97" i="9"/>
  <c r="AU97" i="9"/>
  <c r="AW97" i="9" s="1"/>
  <c r="BB97" i="9" s="1"/>
  <c r="BO97" i="9"/>
  <c r="CG97" i="9"/>
  <c r="CI97" i="9" s="1"/>
  <c r="AC97" i="9"/>
  <c r="M97" i="12"/>
  <c r="P97" i="12" s="1"/>
  <c r="Q97" i="12" s="1"/>
  <c r="AJ94" i="12"/>
  <c r="FM94" i="12"/>
  <c r="DH94" i="12"/>
  <c r="CO94" i="12"/>
  <c r="BV94" i="12"/>
  <c r="BC94" i="12"/>
  <c r="ET94" i="12"/>
  <c r="FF96" i="12"/>
  <c r="EP96" i="12"/>
  <c r="FE96" i="12"/>
  <c r="FG96" i="12" s="1"/>
  <c r="DD96" i="12"/>
  <c r="CK96" i="12"/>
  <c r="AB96" i="12"/>
  <c r="AD96" i="12" s="1"/>
  <c r="AC96" i="12"/>
  <c r="BN96" i="12"/>
  <c r="BP96" i="12" s="1"/>
  <c r="BO96" i="12"/>
  <c r="BR96" i="12"/>
  <c r="AF96" i="12"/>
  <c r="CH96" i="12"/>
  <c r="EM96" i="12"/>
  <c r="EL96" i="12"/>
  <c r="EN96" i="12" s="1"/>
  <c r="FI96" i="12"/>
  <c r="DW96" i="12"/>
  <c r="AY96" i="12"/>
  <c r="DT96" i="12"/>
  <c r="CG96" i="12"/>
  <c r="CI96" i="12" s="1"/>
  <c r="DS96" i="12"/>
  <c r="DU96" i="12" s="1"/>
  <c r="DA96" i="12"/>
  <c r="CZ96" i="12"/>
  <c r="DB96" i="12" s="1"/>
  <c r="AU96" i="12"/>
  <c r="AW96" i="12" s="1"/>
  <c r="AV96" i="12"/>
  <c r="CK97" i="9"/>
  <c r="CN97" i="9"/>
  <c r="CL97" i="9"/>
  <c r="CM97" i="9"/>
  <c r="DX95" i="12"/>
  <c r="DZ95" i="12"/>
  <c r="DY95" i="12"/>
  <c r="EQ95" i="12"/>
  <c r="ES95" i="12"/>
  <c r="ER95" i="12"/>
  <c r="FJ95" i="12"/>
  <c r="FL95" i="12"/>
  <c r="FK95" i="12"/>
  <c r="DF96" i="9"/>
  <c r="DG96" i="9"/>
  <c r="DD96" i="9"/>
  <c r="DE96" i="9"/>
  <c r="BB96" i="9"/>
  <c r="BA96" i="9"/>
  <c r="AY96" i="9"/>
  <c r="AZ96" i="9"/>
  <c r="EL97" i="9"/>
  <c r="EN97" i="9" s="1"/>
  <c r="BU96" i="9"/>
  <c r="BT96" i="9"/>
  <c r="BR96" i="9"/>
  <c r="BS96" i="9"/>
  <c r="CZ97" i="9"/>
  <c r="DB97" i="9" s="1"/>
  <c r="FK96" i="9"/>
  <c r="FL96" i="9"/>
  <c r="FI96" i="9"/>
  <c r="FM96" i="9" s="1"/>
  <c r="FJ96" i="9"/>
  <c r="AI95" i="12"/>
  <c r="AH95" i="12"/>
  <c r="AG95" i="12"/>
  <c r="I99" i="9"/>
  <c r="CX98" i="9"/>
  <c r="CY98" i="9" s="1"/>
  <c r="DC98" i="9" s="1"/>
  <c r="BL98" i="9"/>
  <c r="BM98" i="9" s="1"/>
  <c r="BQ98" i="9" s="1"/>
  <c r="AS98" i="9"/>
  <c r="AT98" i="9" s="1"/>
  <c r="AX98" i="9" s="1"/>
  <c r="FC98" i="9"/>
  <c r="FD98" i="9" s="1"/>
  <c r="FH98" i="9" s="1"/>
  <c r="CE98" i="9"/>
  <c r="CF98" i="9" s="1"/>
  <c r="CJ98" i="9" s="1"/>
  <c r="EJ98" i="9"/>
  <c r="EK98" i="9" s="1"/>
  <c r="EO98" i="9" s="1"/>
  <c r="Z98" i="9"/>
  <c r="AA98" i="9" s="1"/>
  <c r="AE98" i="9" s="1"/>
  <c r="DQ98" i="9"/>
  <c r="DR98" i="9" s="1"/>
  <c r="DV98" i="9" s="1"/>
  <c r="CL96" i="9"/>
  <c r="CM96" i="9"/>
  <c r="CK96" i="9"/>
  <c r="CN96" i="9"/>
  <c r="CH97" i="9"/>
  <c r="AF96" i="9"/>
  <c r="AG96" i="9"/>
  <c r="AH96" i="9"/>
  <c r="AI96" i="9"/>
  <c r="DA97" i="9"/>
  <c r="FE97" i="9"/>
  <c r="FG97" i="9" s="1"/>
  <c r="ES96" i="9"/>
  <c r="EQ96" i="9"/>
  <c r="ER96" i="9"/>
  <c r="EP96" i="9"/>
  <c r="AZ95" i="12"/>
  <c r="BB95" i="12"/>
  <c r="BA95" i="12"/>
  <c r="BS95" i="12"/>
  <c r="BT95" i="12"/>
  <c r="BU95" i="12"/>
  <c r="FF97" i="9"/>
  <c r="O98" i="12" a="1"/>
  <c r="O98" i="12" s="1"/>
  <c r="J98" i="12" a="1"/>
  <c r="J98" i="12" s="1"/>
  <c r="H98" i="12" a="1"/>
  <c r="H98" i="12" s="1"/>
  <c r="L98" i="12" a="1"/>
  <c r="L98" i="12" s="1"/>
  <c r="K98" i="12" a="1"/>
  <c r="K98" i="12" s="1"/>
  <c r="N98" i="12" a="1"/>
  <c r="N98" i="12" s="1"/>
  <c r="G98" i="12" a="1"/>
  <c r="G98" i="12" s="1"/>
  <c r="D99" i="12"/>
  <c r="N99" i="9" a="1"/>
  <c r="N99" i="9" s="1"/>
  <c r="H99" i="9" a="1"/>
  <c r="H99" i="9" s="1"/>
  <c r="K99" i="9" a="1"/>
  <c r="K99" i="9" s="1"/>
  <c r="L99" i="9" a="1"/>
  <c r="L99" i="9" s="1"/>
  <c r="G99" i="9" a="1"/>
  <c r="G99" i="9" s="1"/>
  <c r="J99" i="9" a="1"/>
  <c r="J99" i="9" s="1"/>
  <c r="O99" i="9" a="1"/>
  <c r="O99" i="9" s="1"/>
  <c r="D100" i="9"/>
  <c r="CM95" i="12"/>
  <c r="CN95" i="12"/>
  <c r="CL95" i="12"/>
  <c r="M98" i="9"/>
  <c r="P98" i="9" s="1"/>
  <c r="Q98" i="9" s="1"/>
  <c r="DY96" i="9"/>
  <c r="DW96" i="9"/>
  <c r="EA96" i="9" s="1"/>
  <c r="DX96" i="9"/>
  <c r="DZ96" i="9"/>
  <c r="DS97" i="9"/>
  <c r="DU97" i="9" s="1"/>
  <c r="AV97" i="9"/>
  <c r="DE95" i="12"/>
  <c r="DG95" i="12"/>
  <c r="DF95" i="12"/>
  <c r="EA94" i="12"/>
  <c r="AB97" i="9"/>
  <c r="AD97" i="9" s="1"/>
  <c r="BN97" i="9"/>
  <c r="BP97" i="9" s="1"/>
  <c r="AY97" i="9" l="1"/>
  <c r="AZ97" i="9"/>
  <c r="BA97" i="9"/>
  <c r="BV96" i="9"/>
  <c r="CO96" i="9"/>
  <c r="CO97" i="9" s="1"/>
  <c r="DH96" i="9"/>
  <c r="ET96" i="9"/>
  <c r="AJ96" i="9"/>
  <c r="BC96" i="9"/>
  <c r="BC97" i="9" s="1"/>
  <c r="EA95" i="12"/>
  <c r="CO95" i="12"/>
  <c r="BC95" i="12"/>
  <c r="FM95" i="12"/>
  <c r="DH95" i="12"/>
  <c r="BV95" i="12"/>
  <c r="AJ95" i="12"/>
  <c r="AF97" i="9"/>
  <c r="AG97" i="9"/>
  <c r="AI97" i="9"/>
  <c r="AH97" i="9"/>
  <c r="L100" i="9" a="1"/>
  <c r="L100" i="9" s="1"/>
  <c r="K100" i="9" a="1"/>
  <c r="K100" i="9" s="1"/>
  <c r="G100" i="9" a="1"/>
  <c r="G100" i="9" s="1"/>
  <c r="N100" i="9" a="1"/>
  <c r="N100" i="9" s="1"/>
  <c r="O100" i="9" a="1"/>
  <c r="O100" i="9" s="1"/>
  <c r="J100" i="9" a="1"/>
  <c r="J100" i="9" s="1"/>
  <c r="H100" i="9" a="1"/>
  <c r="H100" i="9" s="1"/>
  <c r="D101" i="9"/>
  <c r="L99" i="12" a="1"/>
  <c r="L99" i="12" s="1"/>
  <c r="O99" i="12" a="1"/>
  <c r="O99" i="12" s="1"/>
  <c r="K99" i="12" a="1"/>
  <c r="K99" i="12" s="1"/>
  <c r="H99" i="12" a="1"/>
  <c r="H99" i="12" s="1"/>
  <c r="G99" i="12" a="1"/>
  <c r="G99" i="12" s="1"/>
  <c r="J99" i="12" a="1"/>
  <c r="J99" i="12" s="1"/>
  <c r="N99" i="12" a="1"/>
  <c r="N99" i="12" s="1"/>
  <c r="D100" i="12"/>
  <c r="BS96" i="12"/>
  <c r="BU96" i="12"/>
  <c r="BT96" i="12"/>
  <c r="M99" i="9"/>
  <c r="P99" i="9" s="1"/>
  <c r="Q99" i="9" s="1"/>
  <c r="AZ96" i="12"/>
  <c r="BB96" i="12"/>
  <c r="BA96" i="12"/>
  <c r="EQ96" i="12"/>
  <c r="ER96" i="12"/>
  <c r="ES96" i="12"/>
  <c r="AG96" i="12"/>
  <c r="AI96" i="12"/>
  <c r="AH96" i="12"/>
  <c r="FL97" i="9"/>
  <c r="FK97" i="9"/>
  <c r="FI97" i="9"/>
  <c r="FM97" i="9" s="1"/>
  <c r="FJ97" i="9"/>
  <c r="DE96" i="12"/>
  <c r="DG96" i="12"/>
  <c r="DF96" i="12"/>
  <c r="BO98" i="9"/>
  <c r="CH98" i="9"/>
  <c r="FE98" i="9"/>
  <c r="FG98" i="9" s="1"/>
  <c r="CG98" i="9"/>
  <c r="CI98" i="9" s="1"/>
  <c r="FF98" i="9"/>
  <c r="BN98" i="9"/>
  <c r="BP98" i="9" s="1"/>
  <c r="AU98" i="9"/>
  <c r="AW98" i="9" s="1"/>
  <c r="AV98" i="9"/>
  <c r="EL98" i="9"/>
  <c r="EN98" i="9" s="1"/>
  <c r="CZ98" i="9"/>
  <c r="DB98" i="9" s="1"/>
  <c r="EM98" i="9"/>
  <c r="DA98" i="9"/>
  <c r="AC98" i="9"/>
  <c r="AB98" i="9"/>
  <c r="AD98" i="9" s="1"/>
  <c r="DT98" i="9"/>
  <c r="DS98" i="9"/>
  <c r="DU98" i="9" s="1"/>
  <c r="DX96" i="12"/>
  <c r="DZ96" i="12"/>
  <c r="DY96" i="12"/>
  <c r="EP97" i="9"/>
  <c r="EQ97" i="9"/>
  <c r="ER97" i="9"/>
  <c r="ES97" i="9"/>
  <c r="DE97" i="9"/>
  <c r="DG97" i="9"/>
  <c r="DF97" i="9"/>
  <c r="DD97" i="9"/>
  <c r="CN96" i="12"/>
  <c r="CL96" i="12"/>
  <c r="CM96" i="12"/>
  <c r="FJ96" i="12"/>
  <c r="FK96" i="12"/>
  <c r="FL96" i="12"/>
  <c r="EP97" i="12"/>
  <c r="FE97" i="12"/>
  <c r="FG97" i="12" s="1"/>
  <c r="FF97" i="12"/>
  <c r="DD97" i="12"/>
  <c r="CK97" i="12"/>
  <c r="AC97" i="12"/>
  <c r="AB97" i="12"/>
  <c r="AD97" i="12" s="1"/>
  <c r="BN97" i="12"/>
  <c r="BP97" i="12" s="1"/>
  <c r="BO97" i="12"/>
  <c r="CH97" i="12"/>
  <c r="CZ97" i="12"/>
  <c r="DB97" i="12" s="1"/>
  <c r="EM97" i="12"/>
  <c r="AY97" i="12"/>
  <c r="BR97" i="12"/>
  <c r="EL97" i="12"/>
  <c r="EN97" i="12" s="1"/>
  <c r="DW97" i="12"/>
  <c r="DT97" i="12"/>
  <c r="DS97" i="12"/>
  <c r="DU97" i="12" s="1"/>
  <c r="DA97" i="12"/>
  <c r="CG97" i="12"/>
  <c r="CI97" i="12" s="1"/>
  <c r="AF97" i="12"/>
  <c r="FI97" i="12"/>
  <c r="AV97" i="12"/>
  <c r="AU97" i="12"/>
  <c r="AW97" i="12" s="1"/>
  <c r="M98" i="12"/>
  <c r="P98" i="12" s="1"/>
  <c r="Q98" i="12" s="1"/>
  <c r="ET95" i="12"/>
  <c r="BS97" i="9"/>
  <c r="BT97" i="9"/>
  <c r="BU97" i="9"/>
  <c r="BR97" i="9"/>
  <c r="BV97" i="9" s="1"/>
  <c r="DW97" i="9"/>
  <c r="DZ97" i="9"/>
  <c r="DX97" i="9"/>
  <c r="DY97" i="9"/>
  <c r="I100" i="9"/>
  <c r="CE99" i="9"/>
  <c r="CF99" i="9" s="1"/>
  <c r="CJ99" i="9" s="1"/>
  <c r="EJ99" i="9"/>
  <c r="EK99" i="9" s="1"/>
  <c r="EO99" i="9" s="1"/>
  <c r="CX99" i="9"/>
  <c r="CY99" i="9" s="1"/>
  <c r="DC99" i="9" s="1"/>
  <c r="FC99" i="9"/>
  <c r="FD99" i="9" s="1"/>
  <c r="FH99" i="9" s="1"/>
  <c r="Z99" i="9"/>
  <c r="AA99" i="9" s="1"/>
  <c r="AE99" i="9" s="1"/>
  <c r="DQ99" i="9"/>
  <c r="DR99" i="9" s="1"/>
  <c r="DV99" i="9" s="1"/>
  <c r="BL99" i="9"/>
  <c r="BM99" i="9" s="1"/>
  <c r="BQ99" i="9" s="1"/>
  <c r="AS99" i="9"/>
  <c r="AT99" i="9" s="1"/>
  <c r="AX99" i="9" s="1"/>
  <c r="DH97" i="9" l="1"/>
  <c r="EA97" i="9"/>
  <c r="AJ97" i="9"/>
  <c r="ET97" i="9"/>
  <c r="AJ96" i="12"/>
  <c r="EA96" i="12"/>
  <c r="BC96" i="12"/>
  <c r="BV96" i="12"/>
  <c r="CO96" i="12"/>
  <c r="ET96" i="12"/>
  <c r="FM96" i="12"/>
  <c r="FJ97" i="12"/>
  <c r="FL97" i="12"/>
  <c r="FK97" i="12"/>
  <c r="CL97" i="12"/>
  <c r="CN97" i="12"/>
  <c r="CM97" i="12"/>
  <c r="AF98" i="9"/>
  <c r="AI98" i="9"/>
  <c r="AH98" i="9"/>
  <c r="AG98" i="9"/>
  <c r="BU98" i="9"/>
  <c r="BT98" i="9"/>
  <c r="BR98" i="9"/>
  <c r="BS98" i="9"/>
  <c r="DE97" i="12"/>
  <c r="DG97" i="12"/>
  <c r="DF97" i="12"/>
  <c r="AV99" i="9"/>
  <c r="FF99" i="9"/>
  <c r="FE99" i="9"/>
  <c r="FG99" i="9" s="1"/>
  <c r="AU99" i="9"/>
  <c r="AW99" i="9" s="1"/>
  <c r="CH99" i="9"/>
  <c r="BN99" i="9"/>
  <c r="BP99" i="9" s="1"/>
  <c r="CG99" i="9"/>
  <c r="CI99" i="9" s="1"/>
  <c r="BO99" i="9"/>
  <c r="EM99" i="9"/>
  <c r="DA99" i="9"/>
  <c r="CZ99" i="9"/>
  <c r="DB99" i="9" s="1"/>
  <c r="AC99" i="9"/>
  <c r="AB99" i="9"/>
  <c r="AD99" i="9" s="1"/>
  <c r="EL99" i="9"/>
  <c r="EN99" i="9" s="1"/>
  <c r="DT99" i="9"/>
  <c r="DS99" i="9"/>
  <c r="DU99" i="9" s="1"/>
  <c r="FK98" i="9"/>
  <c r="FL98" i="9"/>
  <c r="FJ98" i="9"/>
  <c r="FI98" i="9"/>
  <c r="FM98" i="9" s="1"/>
  <c r="CN98" i="9"/>
  <c r="CM98" i="9"/>
  <c r="CL98" i="9"/>
  <c r="CK98" i="9"/>
  <c r="AZ97" i="12"/>
  <c r="BB97" i="12"/>
  <c r="BA97" i="12"/>
  <c r="BS97" i="12"/>
  <c r="BU97" i="12"/>
  <c r="BT97" i="12"/>
  <c r="DF98" i="9"/>
  <c r="DG98" i="9"/>
  <c r="DD98" i="9"/>
  <c r="DE98" i="9"/>
  <c r="DX97" i="12"/>
  <c r="DZ97" i="12"/>
  <c r="DY97" i="12"/>
  <c r="EQ97" i="12"/>
  <c r="ER97" i="12"/>
  <c r="ES97" i="12"/>
  <c r="AI97" i="12"/>
  <c r="AH97" i="12"/>
  <c r="AG97" i="12"/>
  <c r="ES98" i="9"/>
  <c r="EQ98" i="9"/>
  <c r="ER98" i="9"/>
  <c r="EP98" i="9"/>
  <c r="L100" i="12" a="1"/>
  <c r="L100" i="12" s="1"/>
  <c r="G100" i="12" a="1"/>
  <c r="G100" i="12" s="1"/>
  <c r="H100" i="12" a="1"/>
  <c r="H100" i="12" s="1"/>
  <c r="O100" i="12" a="1"/>
  <c r="O100" i="12" s="1"/>
  <c r="K100" i="12" a="1"/>
  <c r="K100" i="12" s="1"/>
  <c r="N100" i="12" a="1"/>
  <c r="N100" i="12" s="1"/>
  <c r="J100" i="12" a="1"/>
  <c r="J100" i="12" s="1"/>
  <c r="D101" i="12"/>
  <c r="J101" i="9" a="1"/>
  <c r="J101" i="9" s="1"/>
  <c r="G101" i="9" a="1"/>
  <c r="G101" i="9" s="1"/>
  <c r="O101" i="9" a="1"/>
  <c r="O101" i="9" s="1"/>
  <c r="N101" i="9" a="1"/>
  <c r="N101" i="9" s="1"/>
  <c r="H101" i="9" a="1"/>
  <c r="H101" i="9" s="1"/>
  <c r="L101" i="9" a="1"/>
  <c r="L101" i="9" s="1"/>
  <c r="K101" i="9" a="1"/>
  <c r="K101" i="9" s="1"/>
  <c r="D102" i="9"/>
  <c r="FF98" i="12"/>
  <c r="FE98" i="12"/>
  <c r="FG98" i="12" s="1"/>
  <c r="EP98" i="12"/>
  <c r="DD98" i="12"/>
  <c r="CK98" i="12"/>
  <c r="BO98" i="12"/>
  <c r="AB98" i="12"/>
  <c r="AD98" i="12" s="1"/>
  <c r="AC98" i="12"/>
  <c r="BN98" i="12"/>
  <c r="BP98" i="12" s="1"/>
  <c r="AY98" i="12"/>
  <c r="EM98" i="12"/>
  <c r="BR98" i="12"/>
  <c r="EL98" i="12"/>
  <c r="EN98" i="12" s="1"/>
  <c r="DA98" i="12"/>
  <c r="DW98" i="12"/>
  <c r="CZ98" i="12"/>
  <c r="DB98" i="12" s="1"/>
  <c r="AF98" i="12"/>
  <c r="CH98" i="12"/>
  <c r="DT98" i="12"/>
  <c r="CG98" i="12"/>
  <c r="CI98" i="12" s="1"/>
  <c r="DS98" i="12"/>
  <c r="DU98" i="12" s="1"/>
  <c r="FI98" i="12"/>
  <c r="AV98" i="12"/>
  <c r="AU98" i="12"/>
  <c r="AW98" i="12" s="1"/>
  <c r="DY98" i="9"/>
  <c r="DZ98" i="9"/>
  <c r="DX98" i="9"/>
  <c r="DW98" i="9"/>
  <c r="EA98" i="9" s="1"/>
  <c r="DH96" i="12"/>
  <c r="M100" i="9"/>
  <c r="P100" i="9" s="1"/>
  <c r="Q100" i="9" s="1"/>
  <c r="I101" i="9"/>
  <c r="FC100" i="9"/>
  <c r="FD100" i="9" s="1"/>
  <c r="FH100" i="9" s="1"/>
  <c r="DQ100" i="9"/>
  <c r="DR100" i="9" s="1"/>
  <c r="DV100" i="9" s="1"/>
  <c r="CE100" i="9"/>
  <c r="CF100" i="9" s="1"/>
  <c r="CJ100" i="9" s="1"/>
  <c r="CX100" i="9"/>
  <c r="CY100" i="9" s="1"/>
  <c r="DC100" i="9" s="1"/>
  <c r="Z100" i="9"/>
  <c r="AA100" i="9" s="1"/>
  <c r="AE100" i="9" s="1"/>
  <c r="BL100" i="9"/>
  <c r="BM100" i="9" s="1"/>
  <c r="BQ100" i="9" s="1"/>
  <c r="AS100" i="9"/>
  <c r="AT100" i="9" s="1"/>
  <c r="AX100" i="9" s="1"/>
  <c r="EJ100" i="9"/>
  <c r="EK100" i="9" s="1"/>
  <c r="EO100" i="9" s="1"/>
  <c r="AY98" i="9"/>
  <c r="BA98" i="9"/>
  <c r="BB98" i="9"/>
  <c r="AZ98" i="9"/>
  <c r="M99" i="12"/>
  <c r="P99" i="12" s="1"/>
  <c r="Q99" i="12" s="1"/>
  <c r="BV98" i="9" l="1"/>
  <c r="DH98" i="9"/>
  <c r="ET98" i="9"/>
  <c r="AJ98" i="9"/>
  <c r="CO98" i="9"/>
  <c r="BC98" i="9"/>
  <c r="FM97" i="12"/>
  <c r="AJ97" i="12"/>
  <c r="BC97" i="12"/>
  <c r="CO97" i="12"/>
  <c r="EA97" i="12"/>
  <c r="M100" i="12"/>
  <c r="P100" i="12" s="1"/>
  <c r="Q100" i="12" s="1"/>
  <c r="BV97" i="12"/>
  <c r="FF100" i="9"/>
  <c r="BN100" i="9"/>
  <c r="BP100" i="9" s="1"/>
  <c r="AU100" i="9"/>
  <c r="AW100" i="9" s="1"/>
  <c r="CG100" i="9"/>
  <c r="CI100" i="9" s="1"/>
  <c r="BO100" i="9"/>
  <c r="FE100" i="9"/>
  <c r="FG100" i="9" s="1"/>
  <c r="CH100" i="9"/>
  <c r="AV100" i="9"/>
  <c r="EM100" i="9"/>
  <c r="AC100" i="9"/>
  <c r="DA100" i="9"/>
  <c r="EL100" i="9"/>
  <c r="EN100" i="9" s="1"/>
  <c r="AB100" i="9"/>
  <c r="AD100" i="9" s="1"/>
  <c r="CZ100" i="9"/>
  <c r="DB100" i="9" s="1"/>
  <c r="DS100" i="9"/>
  <c r="DU100" i="9" s="1"/>
  <c r="DT100" i="9"/>
  <c r="AI99" i="9"/>
  <c r="AG99" i="9"/>
  <c r="AH99" i="9"/>
  <c r="AF99" i="9"/>
  <c r="AY99" i="9"/>
  <c r="BB99" i="9"/>
  <c r="BA99" i="9"/>
  <c r="AZ99" i="9"/>
  <c r="AG98" i="12"/>
  <c r="AI98" i="12"/>
  <c r="AH98" i="12"/>
  <c r="DG99" i="9"/>
  <c r="DE99" i="9"/>
  <c r="DD99" i="9"/>
  <c r="DF99" i="9"/>
  <c r="FK99" i="9"/>
  <c r="FJ99" i="9"/>
  <c r="FI99" i="9"/>
  <c r="FL99" i="9"/>
  <c r="CL98" i="12"/>
  <c r="CN98" i="12"/>
  <c r="CM98" i="12"/>
  <c r="BT99" i="9"/>
  <c r="BU99" i="9"/>
  <c r="BS99" i="9"/>
  <c r="BR99" i="9"/>
  <c r="EQ98" i="12"/>
  <c r="ES98" i="12"/>
  <c r="ER98" i="12"/>
  <c r="I102" i="9"/>
  <c r="FC101" i="9"/>
  <c r="FD101" i="9" s="1"/>
  <c r="FH101" i="9" s="1"/>
  <c r="EJ101" i="9"/>
  <c r="EK101" i="9" s="1"/>
  <c r="EO101" i="9" s="1"/>
  <c r="Z101" i="9"/>
  <c r="AA101" i="9" s="1"/>
  <c r="AE101" i="9" s="1"/>
  <c r="CX101" i="9"/>
  <c r="CY101" i="9" s="1"/>
  <c r="DC101" i="9" s="1"/>
  <c r="AS101" i="9"/>
  <c r="AT101" i="9" s="1"/>
  <c r="AX101" i="9" s="1"/>
  <c r="CE101" i="9"/>
  <c r="CF101" i="9" s="1"/>
  <c r="CJ101" i="9" s="1"/>
  <c r="BL101" i="9"/>
  <c r="BM101" i="9" s="1"/>
  <c r="BQ101" i="9" s="1"/>
  <c r="DQ101" i="9"/>
  <c r="DR101" i="9" s="1"/>
  <c r="DV101" i="9" s="1"/>
  <c r="FJ98" i="12"/>
  <c r="FK98" i="12"/>
  <c r="FL98" i="12"/>
  <c r="M101" i="9"/>
  <c r="P101" i="9" s="1"/>
  <c r="Q101" i="9" s="1"/>
  <c r="ER99" i="9"/>
  <c r="ES99" i="9"/>
  <c r="EQ99" i="9"/>
  <c r="EP99" i="9"/>
  <c r="DX98" i="12"/>
  <c r="DY98" i="12"/>
  <c r="DZ98" i="12"/>
  <c r="BS98" i="12"/>
  <c r="BU98" i="12"/>
  <c r="BT98" i="12"/>
  <c r="J101" i="12" a="1"/>
  <c r="J101" i="12" s="1"/>
  <c r="K101" i="12" a="1"/>
  <c r="K101" i="12" s="1"/>
  <c r="N101" i="12" a="1"/>
  <c r="N101" i="12" s="1"/>
  <c r="O101" i="12" a="1"/>
  <c r="O101" i="12" s="1"/>
  <c r="H101" i="12" a="1"/>
  <c r="H101" i="12" s="1"/>
  <c r="G101" i="12" a="1"/>
  <c r="G101" i="12" s="1"/>
  <c r="L101" i="12" a="1"/>
  <c r="L101" i="12" s="1"/>
  <c r="D102" i="12"/>
  <c r="ET97" i="12"/>
  <c r="DX99" i="9"/>
  <c r="DW99" i="9"/>
  <c r="DY99" i="9"/>
  <c r="DZ99" i="9"/>
  <c r="DH97" i="12"/>
  <c r="FE99" i="12"/>
  <c r="FG99" i="12" s="1"/>
  <c r="EP99" i="12"/>
  <c r="FF99" i="12"/>
  <c r="CK99" i="12"/>
  <c r="DD99" i="12"/>
  <c r="AB99" i="12"/>
  <c r="AD99" i="12" s="1"/>
  <c r="BN99" i="12"/>
  <c r="BP99" i="12" s="1"/>
  <c r="BO99" i="12"/>
  <c r="AC99" i="12"/>
  <c r="DW99" i="12"/>
  <c r="AF99" i="12"/>
  <c r="CG99" i="12"/>
  <c r="CI99" i="12" s="1"/>
  <c r="AY99" i="12"/>
  <c r="FI99" i="12"/>
  <c r="DT99" i="12"/>
  <c r="CZ99" i="12"/>
  <c r="DB99" i="12" s="1"/>
  <c r="DS99" i="12"/>
  <c r="DU99" i="12" s="1"/>
  <c r="EL99" i="12"/>
  <c r="EN99" i="12" s="1"/>
  <c r="CH99" i="12"/>
  <c r="BR99" i="12"/>
  <c r="DA99" i="12"/>
  <c r="EM99" i="12"/>
  <c r="AV99" i="12"/>
  <c r="AU99" i="12"/>
  <c r="AW99" i="12" s="1"/>
  <c r="AZ98" i="12"/>
  <c r="BA98" i="12"/>
  <c r="BB98" i="12"/>
  <c r="DE98" i="12"/>
  <c r="DG98" i="12"/>
  <c r="DF98" i="12"/>
  <c r="G102" i="9" a="1"/>
  <c r="G102" i="9" s="1"/>
  <c r="H102" i="9" a="1"/>
  <c r="H102" i="9" s="1"/>
  <c r="K102" i="9" a="1"/>
  <c r="K102" i="9" s="1"/>
  <c r="L102" i="9" a="1"/>
  <c r="L102" i="9" s="1"/>
  <c r="O102" i="9" a="1"/>
  <c r="O102" i="9" s="1"/>
  <c r="J102" i="9" a="1"/>
  <c r="J102" i="9" s="1"/>
  <c r="N102" i="9" a="1"/>
  <c r="N102" i="9" s="1"/>
  <c r="D103" i="9"/>
  <c r="CL99" i="9"/>
  <c r="CK99" i="9"/>
  <c r="CM99" i="9"/>
  <c r="CN99" i="9"/>
  <c r="BV99" i="9" l="1"/>
  <c r="FM99" i="9"/>
  <c r="BC99" i="9"/>
  <c r="EA99" i="9"/>
  <c r="ET99" i="9"/>
  <c r="DH99" i="9"/>
  <c r="AJ99" i="9"/>
  <c r="CO99" i="9"/>
  <c r="AY100" i="12"/>
  <c r="FI100" i="12"/>
  <c r="CK100" i="12"/>
  <c r="BR100" i="12"/>
  <c r="EL100" i="12"/>
  <c r="EN100" i="12" s="1"/>
  <c r="EQ100" i="12" s="1"/>
  <c r="DW100" i="12"/>
  <c r="EP100" i="12"/>
  <c r="CO98" i="12"/>
  <c r="BC98" i="12"/>
  <c r="DS100" i="12"/>
  <c r="DU100" i="12" s="1"/>
  <c r="DY100" i="12" s="1"/>
  <c r="FE100" i="12"/>
  <c r="FG100" i="12" s="1"/>
  <c r="AV100" i="12"/>
  <c r="CG100" i="12"/>
  <c r="CI100" i="12" s="1"/>
  <c r="CM100" i="12" s="1"/>
  <c r="BV98" i="12"/>
  <c r="AJ98" i="12"/>
  <c r="M102" i="9"/>
  <c r="P102" i="9" s="1"/>
  <c r="Q102" i="9" s="1"/>
  <c r="FM98" i="12"/>
  <c r="M101" i="12"/>
  <c r="P101" i="12" s="1"/>
  <c r="Q101" i="12" s="1"/>
  <c r="DT100" i="12"/>
  <c r="FF101" i="9"/>
  <c r="CH101" i="9"/>
  <c r="FE101" i="9"/>
  <c r="FG101" i="9" s="1"/>
  <c r="CG101" i="9"/>
  <c r="CI101" i="9" s="1"/>
  <c r="AU101" i="9"/>
  <c r="AW101" i="9" s="1"/>
  <c r="BN101" i="9"/>
  <c r="BP101" i="9" s="1"/>
  <c r="AV101" i="9"/>
  <c r="BO101" i="9"/>
  <c r="CZ101" i="9"/>
  <c r="DB101" i="9" s="1"/>
  <c r="EL101" i="9"/>
  <c r="EN101" i="9" s="1"/>
  <c r="AB101" i="9"/>
  <c r="AD101" i="9" s="1"/>
  <c r="AC101" i="9"/>
  <c r="DA101" i="9"/>
  <c r="EM101" i="9"/>
  <c r="DT101" i="9"/>
  <c r="DS101" i="9"/>
  <c r="DU101" i="9" s="1"/>
  <c r="FJ100" i="12"/>
  <c r="FL100" i="12"/>
  <c r="FK100" i="12"/>
  <c r="DX100" i="12"/>
  <c r="DZ100" i="12"/>
  <c r="DE99" i="12"/>
  <c r="DG99" i="12"/>
  <c r="DF99" i="12"/>
  <c r="BS99" i="12"/>
  <c r="BT99" i="12"/>
  <c r="BU99" i="12"/>
  <c r="EM100" i="12"/>
  <c r="FF100" i="12"/>
  <c r="DW100" i="9"/>
  <c r="DX100" i="9"/>
  <c r="DZ100" i="9"/>
  <c r="DY100" i="9"/>
  <c r="AH99" i="12"/>
  <c r="AI99" i="12"/>
  <c r="AG99" i="12"/>
  <c r="BN100" i="12"/>
  <c r="BP100" i="12" s="1"/>
  <c r="DE100" i="9"/>
  <c r="DD100" i="9"/>
  <c r="DF100" i="9"/>
  <c r="DG100" i="9"/>
  <c r="FJ100" i="9"/>
  <c r="FL100" i="9"/>
  <c r="FI100" i="9"/>
  <c r="FK100" i="9"/>
  <c r="DH98" i="12"/>
  <c r="EA98" i="12"/>
  <c r="AU100" i="12"/>
  <c r="AW100" i="12" s="1"/>
  <c r="AC100" i="12"/>
  <c r="AI100" i="9"/>
  <c r="AH100" i="9"/>
  <c r="AG100" i="9"/>
  <c r="AF100" i="9"/>
  <c r="CM99" i="12"/>
  <c r="CN99" i="12"/>
  <c r="CL99" i="12"/>
  <c r="AB100" i="12"/>
  <c r="AD100" i="12" s="1"/>
  <c r="EQ100" i="9"/>
  <c r="EP100" i="9"/>
  <c r="ES100" i="9"/>
  <c r="ER100" i="9"/>
  <c r="CN100" i="9"/>
  <c r="CM100" i="9"/>
  <c r="CK100" i="9"/>
  <c r="CL100" i="9"/>
  <c r="CZ100" i="12"/>
  <c r="DB100" i="12" s="1"/>
  <c r="BO100" i="12"/>
  <c r="AY100" i="9"/>
  <c r="BC100" i="9" s="1"/>
  <c r="BB100" i="9"/>
  <c r="BA100" i="9"/>
  <c r="AZ100" i="9"/>
  <c r="BB99" i="12"/>
  <c r="BA99" i="12"/>
  <c r="AZ99" i="12"/>
  <c r="O103" i="9" a="1"/>
  <c r="O103" i="9" s="1"/>
  <c r="N103" i="9" a="1"/>
  <c r="N103" i="9" s="1"/>
  <c r="K103" i="9" a="1"/>
  <c r="K103" i="9" s="1"/>
  <c r="J103" i="9" a="1"/>
  <c r="J103" i="9" s="1"/>
  <c r="H103" i="9" a="1"/>
  <c r="H103" i="9" s="1"/>
  <c r="G103" i="9" a="1"/>
  <c r="G103" i="9" s="1"/>
  <c r="L103" i="9" a="1"/>
  <c r="L103" i="9" s="1"/>
  <c r="D104" i="9"/>
  <c r="EQ99" i="12"/>
  <c r="ES99" i="12"/>
  <c r="ER99" i="12"/>
  <c r="J102" i="12" a="1"/>
  <c r="J102" i="12" s="1"/>
  <c r="O102" i="12" a="1"/>
  <c r="O102" i="12" s="1"/>
  <c r="K102" i="12" a="1"/>
  <c r="K102" i="12" s="1"/>
  <c r="L102" i="12" a="1"/>
  <c r="L102" i="12" s="1"/>
  <c r="N102" i="12" a="1"/>
  <c r="N102" i="12" s="1"/>
  <c r="G102" i="12" a="1"/>
  <c r="G102" i="12" s="1"/>
  <c r="H102" i="12" a="1"/>
  <c r="H102" i="12" s="1"/>
  <c r="D103" i="12"/>
  <c r="I103" i="9"/>
  <c r="BL102" i="9"/>
  <c r="BM102" i="9" s="1"/>
  <c r="BQ102" i="9" s="1"/>
  <c r="CE102" i="9"/>
  <c r="CF102" i="9" s="1"/>
  <c r="CJ102" i="9" s="1"/>
  <c r="Z102" i="9"/>
  <c r="AA102" i="9" s="1"/>
  <c r="AE102" i="9" s="1"/>
  <c r="DQ102" i="9"/>
  <c r="DR102" i="9" s="1"/>
  <c r="DV102" i="9" s="1"/>
  <c r="EJ102" i="9"/>
  <c r="EK102" i="9" s="1"/>
  <c r="EO102" i="9" s="1"/>
  <c r="CX102" i="9"/>
  <c r="CY102" i="9" s="1"/>
  <c r="DC102" i="9" s="1"/>
  <c r="AS102" i="9"/>
  <c r="AT102" i="9" s="1"/>
  <c r="AX102" i="9" s="1"/>
  <c r="FC102" i="9"/>
  <c r="FD102" i="9" s="1"/>
  <c r="FH102" i="9" s="1"/>
  <c r="AF100" i="12"/>
  <c r="CH100" i="12"/>
  <c r="BU100" i="9"/>
  <c r="BT100" i="9"/>
  <c r="BS100" i="9"/>
  <c r="BR100" i="9"/>
  <c r="DX99" i="12"/>
  <c r="DY99" i="12"/>
  <c r="DZ99" i="12"/>
  <c r="FJ99" i="12"/>
  <c r="FL99" i="12"/>
  <c r="FK99" i="12"/>
  <c r="ET98" i="12"/>
  <c r="DA100" i="12"/>
  <c r="DD100" i="12"/>
  <c r="ET100" i="9" l="1"/>
  <c r="CN100" i="12"/>
  <c r="CL100" i="12"/>
  <c r="DH100" i="9"/>
  <c r="EA100" i="9"/>
  <c r="AJ100" i="9"/>
  <c r="BV100" i="9"/>
  <c r="FM100" i="9"/>
  <c r="CO100" i="9"/>
  <c r="AJ99" i="12"/>
  <c r="ES100" i="12"/>
  <c r="ER100" i="12"/>
  <c r="BV99" i="12"/>
  <c r="EA99" i="12"/>
  <c r="EL102" i="9"/>
  <c r="EN102" i="9" s="1"/>
  <c r="EQ102" i="9" s="1"/>
  <c r="DA102" i="9"/>
  <c r="DT102" i="9"/>
  <c r="CH102" i="9"/>
  <c r="EM102" i="9"/>
  <c r="BN102" i="9"/>
  <c r="BP102" i="9" s="1"/>
  <c r="BR102" i="9" s="1"/>
  <c r="FF102" i="9"/>
  <c r="AB102" i="9"/>
  <c r="AD102" i="9" s="1"/>
  <c r="AF102" i="9" s="1"/>
  <c r="CG102" i="9"/>
  <c r="CI102" i="9" s="1"/>
  <c r="CK102" i="9" s="1"/>
  <c r="AC102" i="9"/>
  <c r="DS102" i="9"/>
  <c r="DU102" i="9" s="1"/>
  <c r="DZ102" i="9" s="1"/>
  <c r="BO102" i="9"/>
  <c r="CZ102" i="9"/>
  <c r="DB102" i="9" s="1"/>
  <c r="DF102" i="9" s="1"/>
  <c r="FE102" i="9"/>
  <c r="FG102" i="9" s="1"/>
  <c r="FL102" i="9" s="1"/>
  <c r="FM99" i="12"/>
  <c r="CO99" i="12"/>
  <c r="CO100" i="12"/>
  <c r="M103" i="9"/>
  <c r="P103" i="9" s="1"/>
  <c r="Q103" i="9" s="1"/>
  <c r="DH99" i="12"/>
  <c r="EA100" i="12"/>
  <c r="FM100" i="12"/>
  <c r="BB101" i="9"/>
  <c r="AY101" i="9"/>
  <c r="BC101" i="9" s="1"/>
  <c r="BA101" i="9"/>
  <c r="AZ101" i="9"/>
  <c r="AH100" i="12"/>
  <c r="AG100" i="12"/>
  <c r="AI100" i="12"/>
  <c r="AV102" i="9"/>
  <c r="CK101" i="9"/>
  <c r="CL101" i="9"/>
  <c r="CM101" i="9"/>
  <c r="CN101" i="9"/>
  <c r="AU102" i="9"/>
  <c r="AW102" i="9" s="1"/>
  <c r="AG101" i="9"/>
  <c r="AF101" i="9"/>
  <c r="AJ101" i="9" s="1"/>
  <c r="AH101" i="9"/>
  <c r="AI101" i="9"/>
  <c r="FI101" i="9"/>
  <c r="FJ101" i="9"/>
  <c r="FL101" i="9"/>
  <c r="FK101" i="9"/>
  <c r="BS100" i="12"/>
  <c r="BU100" i="12"/>
  <c r="BT100" i="12"/>
  <c r="H103" i="12" a="1"/>
  <c r="H103" i="12" s="1"/>
  <c r="L103" i="12" a="1"/>
  <c r="L103" i="12" s="1"/>
  <c r="J103" i="12" a="1"/>
  <c r="J103" i="12" s="1"/>
  <c r="G103" i="12" a="1"/>
  <c r="G103" i="12" s="1"/>
  <c r="K103" i="12" a="1"/>
  <c r="K103" i="12" s="1"/>
  <c r="O103" i="12" a="1"/>
  <c r="O103" i="12" s="1"/>
  <c r="N103" i="12" a="1"/>
  <c r="N103" i="12" s="1"/>
  <c r="D104" i="12"/>
  <c r="BA100" i="12"/>
  <c r="AZ100" i="12"/>
  <c r="BB100" i="12"/>
  <c r="ER101" i="9"/>
  <c r="EQ101" i="9"/>
  <c r="EP101" i="9"/>
  <c r="ES101" i="9"/>
  <c r="ET99" i="12"/>
  <c r="DD101" i="9"/>
  <c r="DF101" i="9"/>
  <c r="DE101" i="9"/>
  <c r="DG101" i="9"/>
  <c r="I104" i="9"/>
  <c r="FC103" i="9"/>
  <c r="FD103" i="9" s="1"/>
  <c r="FH103" i="9" s="1"/>
  <c r="DQ103" i="9"/>
  <c r="DR103" i="9" s="1"/>
  <c r="DV103" i="9" s="1"/>
  <c r="CX103" i="9"/>
  <c r="CY103" i="9" s="1"/>
  <c r="DC103" i="9" s="1"/>
  <c r="CE103" i="9"/>
  <c r="CF103" i="9" s="1"/>
  <c r="CJ103" i="9" s="1"/>
  <c r="EJ103" i="9"/>
  <c r="EK103" i="9" s="1"/>
  <c r="EO103" i="9" s="1"/>
  <c r="BL103" i="9"/>
  <c r="BM103" i="9" s="1"/>
  <c r="BQ103" i="9" s="1"/>
  <c r="AS103" i="9"/>
  <c r="AT103" i="9" s="1"/>
  <c r="AX103" i="9" s="1"/>
  <c r="Z103" i="9"/>
  <c r="AA103" i="9" s="1"/>
  <c r="AE103" i="9" s="1"/>
  <c r="FE101" i="12"/>
  <c r="FG101" i="12" s="1"/>
  <c r="EP101" i="12"/>
  <c r="FF101" i="12"/>
  <c r="DD101" i="12"/>
  <c r="CK101" i="12"/>
  <c r="AB101" i="12"/>
  <c r="AD101" i="12" s="1"/>
  <c r="BN101" i="12"/>
  <c r="BP101" i="12" s="1"/>
  <c r="AC101" i="12"/>
  <c r="BO101" i="12"/>
  <c r="AY101" i="12"/>
  <c r="EL101" i="12"/>
  <c r="EN101" i="12" s="1"/>
  <c r="BR101" i="12"/>
  <c r="DW101" i="12"/>
  <c r="EM101" i="12"/>
  <c r="FI101" i="12"/>
  <c r="AF101" i="12"/>
  <c r="DT101" i="12"/>
  <c r="DA101" i="12"/>
  <c r="CH101" i="12"/>
  <c r="DS101" i="12"/>
  <c r="DU101" i="12" s="1"/>
  <c r="CZ101" i="12"/>
  <c r="DB101" i="12" s="1"/>
  <c r="CG101" i="12"/>
  <c r="CI101" i="12" s="1"/>
  <c r="AU101" i="12"/>
  <c r="AW101" i="12" s="1"/>
  <c r="AV101" i="12"/>
  <c r="CM102" i="9"/>
  <c r="DX101" i="9"/>
  <c r="DY101" i="9"/>
  <c r="DZ101" i="9"/>
  <c r="DW101" i="9"/>
  <c r="EA101" i="9" s="1"/>
  <c r="M102" i="12"/>
  <c r="P102" i="12" s="1"/>
  <c r="Q102" i="12" s="1"/>
  <c r="J104" i="9" a="1"/>
  <c r="J104" i="9" s="1"/>
  <c r="O104" i="9" a="1"/>
  <c r="O104" i="9" s="1"/>
  <c r="N104" i="9" a="1"/>
  <c r="N104" i="9" s="1"/>
  <c r="G104" i="9" a="1"/>
  <c r="G104" i="9" s="1"/>
  <c r="L104" i="9" a="1"/>
  <c r="L104" i="9" s="1"/>
  <c r="K104" i="9" a="1"/>
  <c r="K104" i="9" s="1"/>
  <c r="H104" i="9" a="1"/>
  <c r="H104" i="9" s="1"/>
  <c r="D105" i="9"/>
  <c r="BC99" i="12"/>
  <c r="DE100" i="12"/>
  <c r="DG100" i="12"/>
  <c r="DF100" i="12"/>
  <c r="ER102" i="9"/>
  <c r="BU101" i="9"/>
  <c r="BR101" i="9"/>
  <c r="BV101" i="9" s="1"/>
  <c r="BT101" i="9"/>
  <c r="BS101" i="9"/>
  <c r="ET100" i="12" l="1"/>
  <c r="ET101" i="9"/>
  <c r="DH101" i="9"/>
  <c r="FM101" i="9"/>
  <c r="CO101" i="9"/>
  <c r="DX102" i="9"/>
  <c r="DE102" i="9"/>
  <c r="DD102" i="9"/>
  <c r="DY102" i="9"/>
  <c r="DW102" i="9"/>
  <c r="ES102" i="9"/>
  <c r="EP102" i="9"/>
  <c r="CN102" i="9"/>
  <c r="CL102" i="9"/>
  <c r="BU102" i="9"/>
  <c r="BT102" i="9"/>
  <c r="AI102" i="9"/>
  <c r="BS102" i="9"/>
  <c r="BC100" i="12"/>
  <c r="DG102" i="9"/>
  <c r="AJ100" i="12"/>
  <c r="AH102" i="9"/>
  <c r="AG102" i="9"/>
  <c r="FK102" i="9"/>
  <c r="FI102" i="9"/>
  <c r="FM102" i="9" s="1"/>
  <c r="DH100" i="12"/>
  <c r="M104" i="9"/>
  <c r="FJ102" i="9"/>
  <c r="AZ101" i="12"/>
  <c r="BB101" i="12"/>
  <c r="BA101" i="12"/>
  <c r="BS101" i="12"/>
  <c r="BU101" i="12"/>
  <c r="BT101" i="12"/>
  <c r="FE103" i="9"/>
  <c r="FG103" i="9" s="1"/>
  <c r="CH103" i="9"/>
  <c r="BN103" i="9"/>
  <c r="BP103" i="9" s="1"/>
  <c r="CG103" i="9"/>
  <c r="CI103" i="9" s="1"/>
  <c r="BO103" i="9"/>
  <c r="AU103" i="9"/>
  <c r="AW103" i="9" s="1"/>
  <c r="AV103" i="9"/>
  <c r="FF103" i="9"/>
  <c r="EM103" i="9"/>
  <c r="AC103" i="9"/>
  <c r="EL103" i="9"/>
  <c r="EN103" i="9" s="1"/>
  <c r="AB103" i="9"/>
  <c r="AD103" i="9" s="1"/>
  <c r="DA103" i="9"/>
  <c r="CZ103" i="9"/>
  <c r="DB103" i="9" s="1"/>
  <c r="DT103" i="9"/>
  <c r="DS103" i="9"/>
  <c r="DU103" i="9" s="1"/>
  <c r="BV100" i="12"/>
  <c r="CM101" i="12"/>
  <c r="CL101" i="12"/>
  <c r="CN101" i="12"/>
  <c r="AI101" i="12"/>
  <c r="AG101" i="12"/>
  <c r="AH101" i="12"/>
  <c r="BA102" i="9"/>
  <c r="BB102" i="9"/>
  <c r="AZ102" i="9"/>
  <c r="AY102" i="9"/>
  <c r="BC102" i="9" s="1"/>
  <c r="K105" i="9" a="1"/>
  <c r="K105" i="9" s="1"/>
  <c r="L105" i="9" a="1"/>
  <c r="L105" i="9" s="1"/>
  <c r="H105" i="9" a="1"/>
  <c r="H105" i="9" s="1"/>
  <c r="J105" i="9" a="1"/>
  <c r="J105" i="9" s="1"/>
  <c r="O105" i="9" a="1"/>
  <c r="O105" i="9" s="1"/>
  <c r="N105" i="9" a="1"/>
  <c r="N105" i="9" s="1"/>
  <c r="G105" i="9" a="1"/>
  <c r="G105" i="9" s="1"/>
  <c r="D106" i="9"/>
  <c r="DE101" i="12"/>
  <c r="DF101" i="12"/>
  <c r="DG101" i="12"/>
  <c r="M103" i="12"/>
  <c r="P103" i="12" s="1"/>
  <c r="Q103" i="12" s="1"/>
  <c r="I105" i="9"/>
  <c r="EJ104" i="9"/>
  <c r="EK104" i="9" s="1"/>
  <c r="EO104" i="9" s="1"/>
  <c r="BL104" i="9"/>
  <c r="BM104" i="9" s="1"/>
  <c r="BQ104" i="9" s="1"/>
  <c r="FC104" i="9"/>
  <c r="FD104" i="9" s="1"/>
  <c r="FH104" i="9" s="1"/>
  <c r="DQ104" i="9"/>
  <c r="DR104" i="9" s="1"/>
  <c r="DV104" i="9" s="1"/>
  <c r="CX104" i="9"/>
  <c r="CY104" i="9" s="1"/>
  <c r="DC104" i="9" s="1"/>
  <c r="Z104" i="9"/>
  <c r="AA104" i="9" s="1"/>
  <c r="AE104" i="9" s="1"/>
  <c r="AS104" i="9"/>
  <c r="AT104" i="9" s="1"/>
  <c r="AX104" i="9" s="1"/>
  <c r="CE104" i="9"/>
  <c r="CF104" i="9" s="1"/>
  <c r="CJ104" i="9" s="1"/>
  <c r="DX101" i="12"/>
  <c r="DZ101" i="12"/>
  <c r="DY101" i="12"/>
  <c r="EP102" i="12"/>
  <c r="FE102" i="12"/>
  <c r="FG102" i="12" s="1"/>
  <c r="FF102" i="12"/>
  <c r="CK102" i="12"/>
  <c r="DD102" i="12"/>
  <c r="BO102" i="12"/>
  <c r="AC102" i="12"/>
  <c r="BN102" i="12"/>
  <c r="BP102" i="12" s="1"/>
  <c r="AB102" i="12"/>
  <c r="AD102" i="12" s="1"/>
  <c r="CH102" i="12"/>
  <c r="BR102" i="12"/>
  <c r="EL102" i="12"/>
  <c r="EN102" i="12" s="1"/>
  <c r="DS102" i="12"/>
  <c r="DU102" i="12" s="1"/>
  <c r="CG102" i="12"/>
  <c r="CI102" i="12" s="1"/>
  <c r="EM102" i="12"/>
  <c r="DA102" i="12"/>
  <c r="DW102" i="12"/>
  <c r="CZ102" i="12"/>
  <c r="DB102" i="12" s="1"/>
  <c r="AY102" i="12"/>
  <c r="FI102" i="12"/>
  <c r="AF102" i="12"/>
  <c r="DT102" i="12"/>
  <c r="AU102" i="12"/>
  <c r="AW102" i="12" s="1"/>
  <c r="AV102" i="12"/>
  <c r="EQ101" i="12"/>
  <c r="ES101" i="12"/>
  <c r="ER101" i="12"/>
  <c r="G104" i="12" a="1"/>
  <c r="G104" i="12" s="1"/>
  <c r="O104" i="12" a="1"/>
  <c r="O104" i="12" s="1"/>
  <c r="N104" i="12" a="1"/>
  <c r="N104" i="12" s="1"/>
  <c r="H104" i="12" a="1"/>
  <c r="H104" i="12" s="1"/>
  <c r="L104" i="12" a="1"/>
  <c r="L104" i="12" s="1"/>
  <c r="K104" i="12" a="1"/>
  <c r="K104" i="12" s="1"/>
  <c r="J104" i="12" a="1"/>
  <c r="J104" i="12" s="1"/>
  <c r="D105" i="12"/>
  <c r="P104" i="9"/>
  <c r="Q104" i="9" s="1"/>
  <c r="FJ101" i="12"/>
  <c r="FL101" i="12"/>
  <c r="FK101" i="12"/>
  <c r="ET102" i="9" l="1"/>
  <c r="DH102" i="9"/>
  <c r="AJ102" i="9"/>
  <c r="CO102" i="9"/>
  <c r="BV102" i="9"/>
  <c r="EA102" i="9"/>
  <c r="BC101" i="12"/>
  <c r="AJ101" i="12"/>
  <c r="BV101" i="12"/>
  <c r="M104" i="12"/>
  <c r="ET101" i="12"/>
  <c r="CO101" i="12"/>
  <c r="FM101" i="12"/>
  <c r="FF104" i="9"/>
  <c r="AU104" i="9"/>
  <c r="AW104" i="9" s="1"/>
  <c r="CH104" i="9"/>
  <c r="FE104" i="9"/>
  <c r="FG104" i="9" s="1"/>
  <c r="AV104" i="9"/>
  <c r="CG104" i="9"/>
  <c r="CI104" i="9" s="1"/>
  <c r="BO104" i="9"/>
  <c r="BN104" i="9"/>
  <c r="BP104" i="9" s="1"/>
  <c r="EM104" i="9"/>
  <c r="DA104" i="9"/>
  <c r="AC104" i="9"/>
  <c r="CZ104" i="9"/>
  <c r="DB104" i="9" s="1"/>
  <c r="AB104" i="9"/>
  <c r="AD104" i="9" s="1"/>
  <c r="EL104" i="9"/>
  <c r="EN104" i="9" s="1"/>
  <c r="DT104" i="9"/>
  <c r="DS104" i="9"/>
  <c r="DU104" i="9" s="1"/>
  <c r="DX102" i="12"/>
  <c r="DY102" i="12"/>
  <c r="DZ102" i="12"/>
  <c r="DZ103" i="9"/>
  <c r="DX103" i="9"/>
  <c r="DW103" i="9"/>
  <c r="DY103" i="9"/>
  <c r="CL102" i="12"/>
  <c r="CM102" i="12"/>
  <c r="CN102" i="12"/>
  <c r="FI103" i="9"/>
  <c r="FJ103" i="9"/>
  <c r="FL103" i="9"/>
  <c r="FK103" i="9"/>
  <c r="N105" i="12" a="1"/>
  <c r="N105" i="12" s="1"/>
  <c r="K105" i="12" a="1"/>
  <c r="K105" i="12" s="1"/>
  <c r="G105" i="12" a="1"/>
  <c r="G105" i="12" s="1"/>
  <c r="O105" i="12" a="1"/>
  <c r="O105" i="12" s="1"/>
  <c r="L105" i="12" a="1"/>
  <c r="L105" i="12" s="1"/>
  <c r="H105" i="12" a="1"/>
  <c r="H105" i="12" s="1"/>
  <c r="J105" i="12" a="1"/>
  <c r="J105" i="12" s="1"/>
  <c r="D106" i="12"/>
  <c r="EQ102" i="12"/>
  <c r="ES102" i="12"/>
  <c r="ER102" i="12"/>
  <c r="I106" i="9"/>
  <c r="Z105" i="9"/>
  <c r="AA105" i="9" s="1"/>
  <c r="AE105" i="9" s="1"/>
  <c r="CE105" i="9"/>
  <c r="CF105" i="9" s="1"/>
  <c r="CJ105" i="9" s="1"/>
  <c r="AS105" i="9"/>
  <c r="AT105" i="9" s="1"/>
  <c r="AX105" i="9" s="1"/>
  <c r="EJ105" i="9"/>
  <c r="EK105" i="9" s="1"/>
  <c r="EO105" i="9" s="1"/>
  <c r="BL105" i="9"/>
  <c r="BM105" i="9" s="1"/>
  <c r="BQ105" i="9" s="1"/>
  <c r="CX105" i="9"/>
  <c r="CY105" i="9" s="1"/>
  <c r="DC105" i="9" s="1"/>
  <c r="DQ105" i="9"/>
  <c r="DR105" i="9" s="1"/>
  <c r="DV105" i="9" s="1"/>
  <c r="FC105" i="9"/>
  <c r="FD105" i="9" s="1"/>
  <c r="FH105" i="9" s="1"/>
  <c r="M105" i="9"/>
  <c r="P105" i="9" s="1"/>
  <c r="Q105" i="9" s="1"/>
  <c r="EP103" i="12"/>
  <c r="FE103" i="12"/>
  <c r="FG103" i="12" s="1"/>
  <c r="FF103" i="12"/>
  <c r="CK103" i="12"/>
  <c r="DD103" i="12"/>
  <c r="BN103" i="12"/>
  <c r="BP103" i="12" s="1"/>
  <c r="AB103" i="12"/>
  <c r="AD103" i="12" s="1"/>
  <c r="BO103" i="12"/>
  <c r="AC103" i="12"/>
  <c r="AY103" i="12"/>
  <c r="DW103" i="12"/>
  <c r="FI103" i="12"/>
  <c r="EM103" i="12"/>
  <c r="DA103" i="12"/>
  <c r="AF103" i="12"/>
  <c r="CG103" i="12"/>
  <c r="CI103" i="12" s="1"/>
  <c r="EL103" i="12"/>
  <c r="EN103" i="12" s="1"/>
  <c r="CZ103" i="12"/>
  <c r="DB103" i="12" s="1"/>
  <c r="BR103" i="12"/>
  <c r="CH103" i="12"/>
  <c r="DT103" i="12"/>
  <c r="DS103" i="12"/>
  <c r="DU103" i="12" s="1"/>
  <c r="AV103" i="12"/>
  <c r="AU103" i="12"/>
  <c r="AW103" i="12" s="1"/>
  <c r="DG103" i="9"/>
  <c r="DD103" i="9"/>
  <c r="DF103" i="9"/>
  <c r="DE103" i="9"/>
  <c r="AZ103" i="9"/>
  <c r="AY103" i="9"/>
  <c r="BC103" i="9" s="1"/>
  <c r="BB103" i="9"/>
  <c r="BA103" i="9"/>
  <c r="DE102" i="12"/>
  <c r="DG102" i="12"/>
  <c r="DF102" i="12"/>
  <c r="FJ102" i="12"/>
  <c r="FL102" i="12"/>
  <c r="FK102" i="12"/>
  <c r="AG102" i="12"/>
  <c r="AI102" i="12"/>
  <c r="AH102" i="12"/>
  <c r="DH101" i="12"/>
  <c r="AG103" i="9"/>
  <c r="AF103" i="9"/>
  <c r="AJ103" i="9" s="1"/>
  <c r="AI103" i="9"/>
  <c r="AH103" i="9"/>
  <c r="CK103" i="9"/>
  <c r="CL103" i="9"/>
  <c r="CN103" i="9"/>
  <c r="CM103" i="9"/>
  <c r="BS102" i="12"/>
  <c r="BU102" i="12"/>
  <c r="BT102" i="12"/>
  <c r="EQ103" i="9"/>
  <c r="ES103" i="9"/>
  <c r="ER103" i="9"/>
  <c r="EP103" i="9"/>
  <c r="ET103" i="9" s="1"/>
  <c r="BT103" i="9"/>
  <c r="BU103" i="9"/>
  <c r="BS103" i="9"/>
  <c r="BR103" i="9"/>
  <c r="P104" i="12"/>
  <c r="Q104" i="12" s="1"/>
  <c r="AZ102" i="12"/>
  <c r="BA102" i="12"/>
  <c r="BB102" i="12"/>
  <c r="EA101" i="12"/>
  <c r="J106" i="9" a="1"/>
  <c r="J106" i="9" s="1"/>
  <c r="N106" i="9" a="1"/>
  <c r="N106" i="9" s="1"/>
  <c r="H106" i="9" a="1"/>
  <c r="H106" i="9" s="1"/>
  <c r="G106" i="9" a="1"/>
  <c r="G106" i="9" s="1"/>
  <c r="L106" i="9" a="1"/>
  <c r="L106" i="9" s="1"/>
  <c r="O106" i="9" a="1"/>
  <c r="O106" i="9" s="1"/>
  <c r="D107" i="9"/>
  <c r="K106" i="9" a="1"/>
  <c r="K106" i="9" s="1"/>
  <c r="CO103" i="9" l="1"/>
  <c r="FM103" i="9"/>
  <c r="BV103" i="9"/>
  <c r="EA103" i="9"/>
  <c r="DH103" i="9"/>
  <c r="CO102" i="12"/>
  <c r="AJ102" i="12"/>
  <c r="EA102" i="12"/>
  <c r="BC102" i="12"/>
  <c r="FM102" i="12"/>
  <c r="BV102" i="12"/>
  <c r="EP104" i="12"/>
  <c r="FF104" i="12"/>
  <c r="FE104" i="12"/>
  <c r="FG104" i="12" s="1"/>
  <c r="DD104" i="12"/>
  <c r="CK104" i="12"/>
  <c r="AB104" i="12"/>
  <c r="AD104" i="12" s="1"/>
  <c r="AC104" i="12"/>
  <c r="BN104" i="12"/>
  <c r="BP104" i="12" s="1"/>
  <c r="BO104" i="12"/>
  <c r="DW104" i="12"/>
  <c r="CH104" i="12"/>
  <c r="BR104" i="12"/>
  <c r="CG104" i="12"/>
  <c r="CI104" i="12" s="1"/>
  <c r="FI104" i="12"/>
  <c r="EL104" i="12"/>
  <c r="EN104" i="12" s="1"/>
  <c r="DA104" i="12"/>
  <c r="DT104" i="12"/>
  <c r="AY104" i="12"/>
  <c r="CZ104" i="12"/>
  <c r="DB104" i="12" s="1"/>
  <c r="DS104" i="12"/>
  <c r="DU104" i="12" s="1"/>
  <c r="EM104" i="12"/>
  <c r="AF104" i="12"/>
  <c r="AU104" i="12"/>
  <c r="AW104" i="12" s="1"/>
  <c r="AV104" i="12"/>
  <c r="AZ103" i="12"/>
  <c r="BB103" i="12"/>
  <c r="BA103" i="12"/>
  <c r="CM103" i="12"/>
  <c r="CL103" i="12"/>
  <c r="CN103" i="12"/>
  <c r="L106" i="12" a="1"/>
  <c r="L106" i="12" s="1"/>
  <c r="K106" i="12" a="1"/>
  <c r="K106" i="12" s="1"/>
  <c r="J106" i="12" a="1"/>
  <c r="J106" i="12" s="1"/>
  <c r="H106" i="12" a="1"/>
  <c r="H106" i="12" s="1"/>
  <c r="G106" i="12" a="1"/>
  <c r="G106" i="12" s="1"/>
  <c r="N106" i="12" a="1"/>
  <c r="N106" i="12" s="1"/>
  <c r="O106" i="12" a="1"/>
  <c r="O106" i="12" s="1"/>
  <c r="D107" i="12"/>
  <c r="BS104" i="9"/>
  <c r="BR104" i="9"/>
  <c r="BU104" i="9"/>
  <c r="BT104" i="9"/>
  <c r="AG103" i="12"/>
  <c r="AI103" i="12"/>
  <c r="AH103" i="12"/>
  <c r="AV105" i="9"/>
  <c r="FF105" i="9"/>
  <c r="AU105" i="9"/>
  <c r="AW105" i="9" s="1"/>
  <c r="FE105" i="9"/>
  <c r="FG105" i="9" s="1"/>
  <c r="BO105" i="9"/>
  <c r="CG105" i="9"/>
  <c r="CI105" i="9" s="1"/>
  <c r="CH105" i="9"/>
  <c r="BN105" i="9"/>
  <c r="BP105" i="9" s="1"/>
  <c r="CZ105" i="9"/>
  <c r="DB105" i="9" s="1"/>
  <c r="EM105" i="9"/>
  <c r="EL105" i="9"/>
  <c r="EN105" i="9" s="1"/>
  <c r="AB105" i="9"/>
  <c r="AD105" i="9" s="1"/>
  <c r="AC105" i="9"/>
  <c r="DA105" i="9"/>
  <c r="DS105" i="9"/>
  <c r="DU105" i="9" s="1"/>
  <c r="DT105" i="9"/>
  <c r="M105" i="12"/>
  <c r="P105" i="12" s="1"/>
  <c r="Q105" i="12" s="1"/>
  <c r="ER104" i="9"/>
  <c r="ES104" i="9"/>
  <c r="EP104" i="9"/>
  <c r="ET104" i="9" s="1"/>
  <c r="EQ104" i="9"/>
  <c r="CK104" i="9"/>
  <c r="CN104" i="9"/>
  <c r="CL104" i="9"/>
  <c r="CM104" i="9"/>
  <c r="DX103" i="12"/>
  <c r="DZ103" i="12"/>
  <c r="DY103" i="12"/>
  <c r="BS103" i="12"/>
  <c r="BT103" i="12"/>
  <c r="BU103" i="12"/>
  <c r="I107" i="9"/>
  <c r="EJ106" i="9"/>
  <c r="EK106" i="9" s="1"/>
  <c r="EO106" i="9" s="1"/>
  <c r="DQ106" i="9"/>
  <c r="DR106" i="9" s="1"/>
  <c r="DV106" i="9" s="1"/>
  <c r="CE106" i="9"/>
  <c r="CF106" i="9" s="1"/>
  <c r="CJ106" i="9" s="1"/>
  <c r="CX106" i="9"/>
  <c r="CY106" i="9" s="1"/>
  <c r="DC106" i="9" s="1"/>
  <c r="BL106" i="9"/>
  <c r="BM106" i="9" s="1"/>
  <c r="BQ106" i="9" s="1"/>
  <c r="Z106" i="9"/>
  <c r="AA106" i="9" s="1"/>
  <c r="AE106" i="9" s="1"/>
  <c r="AS106" i="9"/>
  <c r="AT106" i="9" s="1"/>
  <c r="AX106" i="9" s="1"/>
  <c r="FC106" i="9"/>
  <c r="FD106" i="9" s="1"/>
  <c r="FH106" i="9" s="1"/>
  <c r="AH104" i="9"/>
  <c r="AF104" i="9"/>
  <c r="AI104" i="9"/>
  <c r="AG104" i="9"/>
  <c r="DE104" i="9"/>
  <c r="DF104" i="9"/>
  <c r="DD104" i="9"/>
  <c r="DG104" i="9"/>
  <c r="FL104" i="9"/>
  <c r="FI104" i="9"/>
  <c r="FJ104" i="9"/>
  <c r="FK104" i="9"/>
  <c r="ET102" i="12"/>
  <c r="M106" i="9"/>
  <c r="P106" i="9" s="1"/>
  <c r="Q106" i="9" s="1"/>
  <c r="J107" i="9" a="1"/>
  <c r="J107" i="9" s="1"/>
  <c r="G107" i="9" a="1"/>
  <c r="G107" i="9" s="1"/>
  <c r="O107" i="9" a="1"/>
  <c r="O107" i="9" s="1"/>
  <c r="K107" i="9" a="1"/>
  <c r="K107" i="9" s="1"/>
  <c r="N107" i="9" a="1"/>
  <c r="N107" i="9" s="1"/>
  <c r="L107" i="9" a="1"/>
  <c r="L107" i="9" s="1"/>
  <c r="H107" i="9" a="1"/>
  <c r="H107" i="9" s="1"/>
  <c r="D108" i="9"/>
  <c r="DH102" i="12"/>
  <c r="BA104" i="9"/>
  <c r="BB104" i="9"/>
  <c r="AY104" i="9"/>
  <c r="BC104" i="9" s="1"/>
  <c r="AZ104" i="9"/>
  <c r="EQ103" i="12"/>
  <c r="ER103" i="12"/>
  <c r="ES103" i="12"/>
  <c r="DW104" i="9"/>
  <c r="EA104" i="9" s="1"/>
  <c r="DY104" i="9"/>
  <c r="DX104" i="9"/>
  <c r="DZ104" i="9"/>
  <c r="DE103" i="12"/>
  <c r="DG103" i="12"/>
  <c r="DF103" i="12"/>
  <c r="FJ103" i="12"/>
  <c r="FL103" i="12"/>
  <c r="FK103" i="12"/>
  <c r="DH104" i="9" l="1"/>
  <c r="CO104" i="9"/>
  <c r="BC103" i="12"/>
  <c r="BV104" i="9"/>
  <c r="FM104" i="9"/>
  <c r="AJ104" i="9"/>
  <c r="CO103" i="12"/>
  <c r="FM103" i="12"/>
  <c r="M107" i="9"/>
  <c r="P107" i="9" s="1"/>
  <c r="Q107" i="9" s="1"/>
  <c r="BV103" i="12"/>
  <c r="DH103" i="12"/>
  <c r="AJ103" i="12"/>
  <c r="CG106" i="9"/>
  <c r="CI106" i="9" s="1"/>
  <c r="AU106" i="9"/>
  <c r="AW106" i="9" s="1"/>
  <c r="AV106" i="9"/>
  <c r="FF106" i="9"/>
  <c r="BN106" i="9"/>
  <c r="BP106" i="9" s="1"/>
  <c r="CH106" i="9"/>
  <c r="BO106" i="9"/>
  <c r="FE106" i="9"/>
  <c r="FG106" i="9" s="1"/>
  <c r="CZ106" i="9"/>
  <c r="DB106" i="9" s="1"/>
  <c r="AB106" i="9"/>
  <c r="AD106" i="9" s="1"/>
  <c r="EM106" i="9"/>
  <c r="AC106" i="9"/>
  <c r="EL106" i="9"/>
  <c r="EN106" i="9" s="1"/>
  <c r="DA106" i="9"/>
  <c r="DT106" i="9"/>
  <c r="DS106" i="9"/>
  <c r="DU106" i="9" s="1"/>
  <c r="I108" i="9"/>
  <c r="CE107" i="9"/>
  <c r="CF107" i="9" s="1"/>
  <c r="CJ107" i="9" s="1"/>
  <c r="EJ107" i="9"/>
  <c r="EK107" i="9" s="1"/>
  <c r="EO107" i="9" s="1"/>
  <c r="CX107" i="9"/>
  <c r="CY107" i="9" s="1"/>
  <c r="DC107" i="9" s="1"/>
  <c r="AS107" i="9"/>
  <c r="AT107" i="9" s="1"/>
  <c r="AX107" i="9" s="1"/>
  <c r="BL107" i="9"/>
  <c r="BM107" i="9" s="1"/>
  <c r="BQ107" i="9" s="1"/>
  <c r="FC107" i="9"/>
  <c r="FD107" i="9" s="1"/>
  <c r="FH107" i="9" s="1"/>
  <c r="Z107" i="9"/>
  <c r="AA107" i="9" s="1"/>
  <c r="AE107" i="9" s="1"/>
  <c r="DQ107" i="9"/>
  <c r="DR107" i="9" s="1"/>
  <c r="DV107" i="9" s="1"/>
  <c r="DF105" i="9"/>
  <c r="DD105" i="9"/>
  <c r="DE105" i="9"/>
  <c r="DG105" i="9"/>
  <c r="BB104" i="12"/>
  <c r="BA104" i="12"/>
  <c r="AZ104" i="12"/>
  <c r="EQ104" i="12"/>
  <c r="ES104" i="12"/>
  <c r="ER104" i="12"/>
  <c r="ET103" i="12"/>
  <c r="L108" i="9" a="1"/>
  <c r="L108" i="9" s="1"/>
  <c r="K108" i="9" a="1"/>
  <c r="K108" i="9" s="1"/>
  <c r="O108" i="9" a="1"/>
  <c r="O108" i="9" s="1"/>
  <c r="H108" i="9" a="1"/>
  <c r="H108" i="9" s="1"/>
  <c r="N108" i="9" a="1"/>
  <c r="N108" i="9" s="1"/>
  <c r="J108" i="9" a="1"/>
  <c r="J108" i="9" s="1"/>
  <c r="G108" i="9" a="1"/>
  <c r="G108" i="9" s="1"/>
  <c r="D109" i="9"/>
  <c r="BR105" i="9"/>
  <c r="BS105" i="9"/>
  <c r="BT105" i="9"/>
  <c r="BU105" i="9"/>
  <c r="H107" i="12" a="1"/>
  <c r="H107" i="12" s="1"/>
  <c r="N107" i="12" a="1"/>
  <c r="N107" i="12" s="1"/>
  <c r="L107" i="12" a="1"/>
  <c r="L107" i="12" s="1"/>
  <c r="K107" i="12" a="1"/>
  <c r="K107" i="12" s="1"/>
  <c r="G107" i="12" a="1"/>
  <c r="G107" i="12" s="1"/>
  <c r="J107" i="12" a="1"/>
  <c r="J107" i="12" s="1"/>
  <c r="O107" i="12" a="1"/>
  <c r="O107" i="12" s="1"/>
  <c r="D108" i="12"/>
  <c r="AG104" i="12"/>
  <c r="AH104" i="12"/>
  <c r="AI104" i="12"/>
  <c r="EP105" i="12"/>
  <c r="FE105" i="12"/>
  <c r="FG105" i="12" s="1"/>
  <c r="FF105" i="12"/>
  <c r="DD105" i="12"/>
  <c r="CK105" i="12"/>
  <c r="AB105" i="12"/>
  <c r="AD105" i="12" s="1"/>
  <c r="BO105" i="12"/>
  <c r="AC105" i="12"/>
  <c r="BN105" i="12"/>
  <c r="BP105" i="12" s="1"/>
  <c r="BR105" i="12"/>
  <c r="EM105" i="12"/>
  <c r="DW105" i="12"/>
  <c r="CG105" i="12"/>
  <c r="CI105" i="12" s="1"/>
  <c r="FI105" i="12"/>
  <c r="DT105" i="12"/>
  <c r="CH105" i="12"/>
  <c r="AF105" i="12"/>
  <c r="DS105" i="12"/>
  <c r="DU105" i="12" s="1"/>
  <c r="CZ105" i="12"/>
  <c r="DB105" i="12" s="1"/>
  <c r="AY105" i="12"/>
  <c r="DA105" i="12"/>
  <c r="EL105" i="12"/>
  <c r="EN105" i="12" s="1"/>
  <c r="AU105" i="12"/>
  <c r="AW105" i="12" s="1"/>
  <c r="AV105" i="12"/>
  <c r="DX105" i="9"/>
  <c r="DW105" i="9"/>
  <c r="EA105" i="9" s="1"/>
  <c r="DZ105" i="9"/>
  <c r="DY105" i="9"/>
  <c r="CL104" i="12"/>
  <c r="CM104" i="12"/>
  <c r="CN104" i="12"/>
  <c r="CM105" i="9"/>
  <c r="CL105" i="9"/>
  <c r="CN105" i="9"/>
  <c r="CK105" i="9"/>
  <c r="CO105" i="9" s="1"/>
  <c r="DX104" i="12"/>
  <c r="DY104" i="12"/>
  <c r="DZ104" i="12"/>
  <c r="EA103" i="12"/>
  <c r="DE104" i="12"/>
  <c r="DG104" i="12"/>
  <c r="DF104" i="12"/>
  <c r="FJ104" i="12"/>
  <c r="FK104" i="12"/>
  <c r="FL104" i="12"/>
  <c r="AI105" i="9"/>
  <c r="AH105" i="9"/>
  <c r="AG105" i="9"/>
  <c r="AF105" i="9"/>
  <c r="FI105" i="9"/>
  <c r="FJ105" i="9"/>
  <c r="FK105" i="9"/>
  <c r="FL105" i="9"/>
  <c r="BS104" i="12"/>
  <c r="BU104" i="12"/>
  <c r="BT104" i="12"/>
  <c r="EP105" i="9"/>
  <c r="ET105" i="9" s="1"/>
  <c r="ES105" i="9"/>
  <c r="ER105" i="9"/>
  <c r="EQ105" i="9"/>
  <c r="AY105" i="9"/>
  <c r="BB105" i="9"/>
  <c r="AZ105" i="9"/>
  <c r="BA105" i="9"/>
  <c r="M106" i="12"/>
  <c r="P106" i="12" s="1"/>
  <c r="Q106" i="12" s="1"/>
  <c r="DH105" i="9" l="1"/>
  <c r="BC105" i="9"/>
  <c r="FM105" i="9"/>
  <c r="BV105" i="9"/>
  <c r="AJ105" i="9"/>
  <c r="AJ104" i="12"/>
  <c r="BC104" i="12"/>
  <c r="M107" i="12"/>
  <c r="P107" i="12" s="1"/>
  <c r="Q107" i="12" s="1"/>
  <c r="BV104" i="12"/>
  <c r="CO104" i="12"/>
  <c r="FM104" i="12"/>
  <c r="DE105" i="12"/>
  <c r="DF105" i="12"/>
  <c r="DG105" i="12"/>
  <c r="L108" i="12" a="1"/>
  <c r="L108" i="12" s="1"/>
  <c r="K108" i="12" a="1"/>
  <c r="K108" i="12" s="1"/>
  <c r="J108" i="12" a="1"/>
  <c r="J108" i="12" s="1"/>
  <c r="G108" i="12" a="1"/>
  <c r="G108" i="12" s="1"/>
  <c r="O108" i="12" a="1"/>
  <c r="O108" i="12" s="1"/>
  <c r="H108" i="12" a="1"/>
  <c r="H108" i="12" s="1"/>
  <c r="N108" i="12" a="1"/>
  <c r="N108" i="12" s="1"/>
  <c r="D109" i="12"/>
  <c r="DY106" i="9"/>
  <c r="DZ106" i="9"/>
  <c r="DW106" i="9"/>
  <c r="DX106" i="9"/>
  <c r="DX105" i="12"/>
  <c r="DZ105" i="12"/>
  <c r="DY105" i="12"/>
  <c r="FJ105" i="12"/>
  <c r="FL105" i="12"/>
  <c r="FK105" i="12"/>
  <c r="ER106" i="9"/>
  <c r="ES106" i="9"/>
  <c r="EP106" i="9"/>
  <c r="ET106" i="9" s="1"/>
  <c r="EQ106" i="9"/>
  <c r="BU106" i="9"/>
  <c r="BT106" i="9"/>
  <c r="BR106" i="9"/>
  <c r="BS106" i="9"/>
  <c r="BS105" i="12"/>
  <c r="BU105" i="12"/>
  <c r="BT105" i="12"/>
  <c r="FI106" i="9"/>
  <c r="FL106" i="9"/>
  <c r="FJ106" i="9"/>
  <c r="FK106" i="9"/>
  <c r="CG107" i="9"/>
  <c r="CI107" i="9" s="1"/>
  <c r="FE107" i="9"/>
  <c r="FG107" i="9" s="1"/>
  <c r="AU107" i="9"/>
  <c r="AW107" i="9" s="1"/>
  <c r="AV107" i="9"/>
  <c r="BN107" i="9"/>
  <c r="BP107" i="9" s="1"/>
  <c r="BO107" i="9"/>
  <c r="CH107" i="9"/>
  <c r="FF107" i="9"/>
  <c r="CZ107" i="9"/>
  <c r="DB107" i="9" s="1"/>
  <c r="AB107" i="9"/>
  <c r="AD107" i="9" s="1"/>
  <c r="DA107" i="9"/>
  <c r="EM107" i="9"/>
  <c r="AC107" i="9"/>
  <c r="EL107" i="9"/>
  <c r="EN107" i="9" s="1"/>
  <c r="DS107" i="9"/>
  <c r="DU107" i="9" s="1"/>
  <c r="DT107" i="9"/>
  <c r="EA104" i="12"/>
  <c r="AZ105" i="12"/>
  <c r="BB105" i="12"/>
  <c r="BA105" i="12"/>
  <c r="L109" i="9" a="1"/>
  <c r="L109" i="9" s="1"/>
  <c r="K109" i="9" a="1"/>
  <c r="K109" i="9" s="1"/>
  <c r="J109" i="9" a="1"/>
  <c r="J109" i="9" s="1"/>
  <c r="O109" i="9" a="1"/>
  <c r="O109" i="9" s="1"/>
  <c r="G109" i="9" a="1"/>
  <c r="G109" i="9" s="1"/>
  <c r="N109" i="9" a="1"/>
  <c r="N109" i="9" s="1"/>
  <c r="H109" i="9" a="1"/>
  <c r="H109" i="9" s="1"/>
  <c r="D110" i="9"/>
  <c r="ET104" i="12"/>
  <c r="EQ105" i="12"/>
  <c r="ES105" i="12"/>
  <c r="ER105" i="12"/>
  <c r="AG105" i="12"/>
  <c r="AH105" i="12"/>
  <c r="AI105" i="12"/>
  <c r="M108" i="9"/>
  <c r="P108" i="9" s="1"/>
  <c r="Q108" i="9" s="1"/>
  <c r="AI106" i="9"/>
  <c r="AH106" i="9"/>
  <c r="AG106" i="9"/>
  <c r="AF106" i="9"/>
  <c r="BA106" i="9"/>
  <c r="BB106" i="9"/>
  <c r="AZ106" i="9"/>
  <c r="AY106" i="9"/>
  <c r="FE106" i="12"/>
  <c r="FG106" i="12" s="1"/>
  <c r="EP106" i="12"/>
  <c r="FF106" i="12"/>
  <c r="DD106" i="12"/>
  <c r="CK106" i="12"/>
  <c r="CK107" i="12" s="1"/>
  <c r="AC106" i="12"/>
  <c r="AB106" i="12"/>
  <c r="AD106" i="12" s="1"/>
  <c r="BO106" i="12"/>
  <c r="BN106" i="12"/>
  <c r="BP106" i="12" s="1"/>
  <c r="CG106" i="12"/>
  <c r="CI106" i="12" s="1"/>
  <c r="DT106" i="12"/>
  <c r="CH106" i="12"/>
  <c r="FI106" i="12"/>
  <c r="BR106" i="12"/>
  <c r="AY106" i="12"/>
  <c r="EL106" i="12"/>
  <c r="EN106" i="12" s="1"/>
  <c r="DW106" i="12"/>
  <c r="DS106" i="12"/>
  <c r="DU106" i="12" s="1"/>
  <c r="DA106" i="12"/>
  <c r="AF106" i="12"/>
  <c r="CZ106" i="12"/>
  <c r="DB106" i="12" s="1"/>
  <c r="EM106" i="12"/>
  <c r="AU106" i="12"/>
  <c r="AW106" i="12" s="1"/>
  <c r="AV106" i="12"/>
  <c r="DH104" i="12"/>
  <c r="CL105" i="12"/>
  <c r="CN105" i="12"/>
  <c r="CM105" i="12"/>
  <c r="I109" i="9"/>
  <c r="Z108" i="9"/>
  <c r="AA108" i="9" s="1"/>
  <c r="AE108" i="9" s="1"/>
  <c r="AS108" i="9"/>
  <c r="AT108" i="9" s="1"/>
  <c r="AX108" i="9" s="1"/>
  <c r="CX108" i="9"/>
  <c r="CY108" i="9" s="1"/>
  <c r="DC108" i="9" s="1"/>
  <c r="FC108" i="9"/>
  <c r="FD108" i="9" s="1"/>
  <c r="FH108" i="9" s="1"/>
  <c r="DQ108" i="9"/>
  <c r="DR108" i="9" s="1"/>
  <c r="DV108" i="9" s="1"/>
  <c r="EJ108" i="9"/>
  <c r="EK108" i="9" s="1"/>
  <c r="EO108" i="9" s="1"/>
  <c r="BL108" i="9"/>
  <c r="BM108" i="9" s="1"/>
  <c r="BQ108" i="9" s="1"/>
  <c r="CE108" i="9"/>
  <c r="CF108" i="9" s="1"/>
  <c r="CJ108" i="9" s="1"/>
  <c r="DD106" i="9"/>
  <c r="DH106" i="9" s="1"/>
  <c r="DF106" i="9"/>
  <c r="DG106" i="9"/>
  <c r="DE106" i="9"/>
  <c r="CN106" i="9"/>
  <c r="CL106" i="9"/>
  <c r="CM106" i="9"/>
  <c r="CK106" i="9"/>
  <c r="CO106" i="9" s="1"/>
  <c r="DD107" i="12" l="1"/>
  <c r="AJ106" i="9"/>
  <c r="BV106" i="9"/>
  <c r="DT107" i="12"/>
  <c r="CG107" i="12"/>
  <c r="CI107" i="12" s="1"/>
  <c r="CM107" i="12" s="1"/>
  <c r="EP107" i="12"/>
  <c r="DW107" i="12"/>
  <c r="BN107" i="12"/>
  <c r="BP107" i="12" s="1"/>
  <c r="BS107" i="12" s="1"/>
  <c r="FF107" i="12"/>
  <c r="FM106" i="9"/>
  <c r="EM107" i="12"/>
  <c r="BC106" i="9"/>
  <c r="AV107" i="12"/>
  <c r="AY107" i="12"/>
  <c r="AB107" i="12"/>
  <c r="AD107" i="12" s="1"/>
  <c r="AG107" i="12" s="1"/>
  <c r="EA106" i="9"/>
  <c r="ET105" i="12"/>
  <c r="M109" i="9"/>
  <c r="P109" i="9" s="1"/>
  <c r="Q109" i="9" s="1"/>
  <c r="FM105" i="12"/>
  <c r="DH105" i="12"/>
  <c r="CO105" i="12"/>
  <c r="BC105" i="12"/>
  <c r="BV105" i="12"/>
  <c r="AJ105" i="12"/>
  <c r="EL107" i="12"/>
  <c r="EN107" i="12" s="1"/>
  <c r="EQ107" i="12" s="1"/>
  <c r="BO107" i="12"/>
  <c r="CN107" i="12"/>
  <c r="CL107" i="12"/>
  <c r="AH107" i="12"/>
  <c r="AI107" i="12"/>
  <c r="DE106" i="12"/>
  <c r="DG106" i="12"/>
  <c r="DF106" i="12"/>
  <c r="DF107" i="9"/>
  <c r="DD107" i="9"/>
  <c r="DE107" i="9"/>
  <c r="DG107" i="9"/>
  <c r="CN107" i="9"/>
  <c r="CK107" i="9"/>
  <c r="CO107" i="9" s="1"/>
  <c r="CL107" i="9"/>
  <c r="CM107" i="9"/>
  <c r="AU107" i="12"/>
  <c r="AW107" i="12" s="1"/>
  <c r="AF107" i="9"/>
  <c r="AJ107" i="9" s="1"/>
  <c r="AH107" i="9"/>
  <c r="AG107" i="9"/>
  <c r="AI107" i="9"/>
  <c r="AC107" i="12"/>
  <c r="M108" i="12"/>
  <c r="DW107" i="9"/>
  <c r="DZ107" i="9"/>
  <c r="DY107" i="9"/>
  <c r="DX107" i="9"/>
  <c r="DX106" i="12"/>
  <c r="DY106" i="12"/>
  <c r="DZ106" i="12"/>
  <c r="CM106" i="12"/>
  <c r="CL106" i="12"/>
  <c r="CN106" i="12"/>
  <c r="ES107" i="9"/>
  <c r="EP107" i="9"/>
  <c r="ER107" i="9"/>
  <c r="EQ107" i="9"/>
  <c r="DA107" i="12"/>
  <c r="AF107" i="12"/>
  <c r="BS106" i="12"/>
  <c r="BU106" i="12"/>
  <c r="BT106" i="12"/>
  <c r="FJ106" i="12"/>
  <c r="FL106" i="12"/>
  <c r="FK106" i="12"/>
  <c r="BU107" i="9"/>
  <c r="BT107" i="9"/>
  <c r="BS107" i="9"/>
  <c r="BR107" i="9"/>
  <c r="FI107" i="12"/>
  <c r="DS107" i="12"/>
  <c r="DU107" i="12" s="1"/>
  <c r="L109" i="12" a="1"/>
  <c r="L109" i="12" s="1"/>
  <c r="K109" i="12" a="1"/>
  <c r="K109" i="12" s="1"/>
  <c r="N109" i="12" a="1"/>
  <c r="N109" i="12" s="1"/>
  <c r="H109" i="12" a="1"/>
  <c r="H109" i="12" s="1"/>
  <c r="O109" i="12" a="1"/>
  <c r="O109" i="12" s="1"/>
  <c r="G109" i="12" a="1"/>
  <c r="G109" i="12" s="1"/>
  <c r="J109" i="12" a="1"/>
  <c r="J109" i="12" s="1"/>
  <c r="D110" i="12"/>
  <c r="EQ106" i="12"/>
  <c r="ES106" i="12"/>
  <c r="ER106" i="12"/>
  <c r="BR107" i="12"/>
  <c r="FE107" i="12"/>
  <c r="FG107" i="12" s="1"/>
  <c r="EA105" i="12"/>
  <c r="P108" i="12"/>
  <c r="Q108" i="12" s="1"/>
  <c r="CG108" i="9"/>
  <c r="CI108" i="9" s="1"/>
  <c r="FE108" i="9"/>
  <c r="FG108" i="9" s="1"/>
  <c r="BO108" i="9"/>
  <c r="AV108" i="9"/>
  <c r="FF108" i="9"/>
  <c r="CH108" i="9"/>
  <c r="BN108" i="9"/>
  <c r="BP108" i="9" s="1"/>
  <c r="AU108" i="9"/>
  <c r="AW108" i="9" s="1"/>
  <c r="AC108" i="9"/>
  <c r="EL108" i="9"/>
  <c r="EN108" i="9" s="1"/>
  <c r="DA108" i="9"/>
  <c r="CZ108" i="9"/>
  <c r="DB108" i="9" s="1"/>
  <c r="EM108" i="9"/>
  <c r="AB108" i="9"/>
  <c r="AD108" i="9" s="1"/>
  <c r="DT108" i="9"/>
  <c r="DS108" i="9"/>
  <c r="DU108" i="9" s="1"/>
  <c r="FI107" i="9"/>
  <c r="FM107" i="9" s="1"/>
  <c r="FJ107" i="9"/>
  <c r="FK107" i="9"/>
  <c r="FL107" i="9"/>
  <c r="I110" i="9"/>
  <c r="Z109" i="9"/>
  <c r="AA109" i="9" s="1"/>
  <c r="AE109" i="9" s="1"/>
  <c r="CX109" i="9"/>
  <c r="CY109" i="9" s="1"/>
  <c r="DC109" i="9" s="1"/>
  <c r="BL109" i="9"/>
  <c r="BM109" i="9" s="1"/>
  <c r="BQ109" i="9" s="1"/>
  <c r="FC109" i="9"/>
  <c r="FD109" i="9" s="1"/>
  <c r="FH109" i="9" s="1"/>
  <c r="DQ109" i="9"/>
  <c r="DR109" i="9" s="1"/>
  <c r="DV109" i="9" s="1"/>
  <c r="AS109" i="9"/>
  <c r="AT109" i="9" s="1"/>
  <c r="AX109" i="9" s="1"/>
  <c r="CE109" i="9"/>
  <c r="CF109" i="9" s="1"/>
  <c r="CJ109" i="9" s="1"/>
  <c r="EJ109" i="9"/>
  <c r="EK109" i="9" s="1"/>
  <c r="EO109" i="9" s="1"/>
  <c r="AZ106" i="12"/>
  <c r="BB106" i="12"/>
  <c r="BA106" i="12"/>
  <c r="AH106" i="12"/>
  <c r="AI106" i="12"/>
  <c r="AG106" i="12"/>
  <c r="L110" i="9" a="1"/>
  <c r="L110" i="9" s="1"/>
  <c r="O110" i="9" a="1"/>
  <c r="O110" i="9" s="1"/>
  <c r="H110" i="9" a="1"/>
  <c r="H110" i="9" s="1"/>
  <c r="G110" i="9" a="1"/>
  <c r="G110" i="9" s="1"/>
  <c r="N110" i="9" a="1"/>
  <c r="N110" i="9" s="1"/>
  <c r="K110" i="9" a="1"/>
  <c r="K110" i="9" s="1"/>
  <c r="J110" i="9" a="1"/>
  <c r="J110" i="9" s="1"/>
  <c r="D111" i="9"/>
  <c r="AZ107" i="9"/>
  <c r="AY107" i="9"/>
  <c r="BB107" i="9"/>
  <c r="BA107" i="9"/>
  <c r="CZ107" i="12"/>
  <c r="DB107" i="12" s="1"/>
  <c r="CH107" i="12"/>
  <c r="DS109" i="9" l="1"/>
  <c r="DU109" i="9" s="1"/>
  <c r="DZ109" i="9" s="1"/>
  <c r="AV109" i="9"/>
  <c r="BN109" i="9"/>
  <c r="BP109" i="9" s="1"/>
  <c r="AC109" i="9"/>
  <c r="EA107" i="9"/>
  <c r="CZ109" i="9"/>
  <c r="DB109" i="9" s="1"/>
  <c r="DF109" i="9" s="1"/>
  <c r="BC107" i="9"/>
  <c r="BU107" i="12"/>
  <c r="BV107" i="12" s="1"/>
  <c r="BT107" i="12"/>
  <c r="ET107" i="9"/>
  <c r="DH107" i="9"/>
  <c r="BV107" i="9"/>
  <c r="CO107" i="12"/>
  <c r="ES107" i="12"/>
  <c r="AJ106" i="12"/>
  <c r="ER107" i="12"/>
  <c r="ET107" i="12" s="1"/>
  <c r="ET106" i="12"/>
  <c r="FM106" i="12"/>
  <c r="DH106" i="12"/>
  <c r="BC106" i="12"/>
  <c r="BV106" i="12"/>
  <c r="DW109" i="9"/>
  <c r="DY109" i="9"/>
  <c r="DX109" i="9"/>
  <c r="CL108" i="9"/>
  <c r="CN108" i="9"/>
  <c r="CK108" i="9"/>
  <c r="CO108" i="9" s="1"/>
  <c r="CM108" i="9"/>
  <c r="J110" i="12" a="1"/>
  <c r="J110" i="12" s="1"/>
  <c r="H110" i="12" a="1"/>
  <c r="H110" i="12" s="1"/>
  <c r="O110" i="12" a="1"/>
  <c r="O110" i="12" s="1"/>
  <c r="N110" i="12" a="1"/>
  <c r="N110" i="12" s="1"/>
  <c r="L110" i="12" a="1"/>
  <c r="L110" i="12" s="1"/>
  <c r="K110" i="12" a="1"/>
  <c r="K110" i="12" s="1"/>
  <c r="G110" i="12" a="1"/>
  <c r="G110" i="12" s="1"/>
  <c r="D111" i="12"/>
  <c r="DX107" i="12"/>
  <c r="DZ107" i="12"/>
  <c r="DY107" i="12"/>
  <c r="CG109" i="9"/>
  <c r="CI109" i="9" s="1"/>
  <c r="K111" i="9" a="1"/>
  <c r="K111" i="9" s="1"/>
  <c r="N111" i="9" a="1"/>
  <c r="N111" i="9" s="1"/>
  <c r="G111" i="9" a="1"/>
  <c r="G111" i="9" s="1"/>
  <c r="L111" i="9" a="1"/>
  <c r="L111" i="9" s="1"/>
  <c r="H111" i="9" a="1"/>
  <c r="H111" i="9" s="1"/>
  <c r="O111" i="9" a="1"/>
  <c r="O111" i="9" s="1"/>
  <c r="J111" i="9" a="1"/>
  <c r="J111" i="9" s="1"/>
  <c r="D112" i="9"/>
  <c r="ES108" i="9"/>
  <c r="EQ108" i="9"/>
  <c r="ER108" i="9"/>
  <c r="EP108" i="9"/>
  <c r="AZ107" i="12"/>
  <c r="BB107" i="12"/>
  <c r="BA107" i="12"/>
  <c r="DX108" i="9"/>
  <c r="DW108" i="9"/>
  <c r="DY108" i="9"/>
  <c r="DZ108" i="9"/>
  <c r="BB108" i="9"/>
  <c r="BA108" i="9"/>
  <c r="AY108" i="9"/>
  <c r="AZ108" i="9"/>
  <c r="EP108" i="12"/>
  <c r="FE108" i="12"/>
  <c r="FG108" i="12" s="1"/>
  <c r="FF108" i="12"/>
  <c r="DD108" i="12"/>
  <c r="CK108" i="12"/>
  <c r="AB108" i="12"/>
  <c r="AD108" i="12" s="1"/>
  <c r="AC108" i="12"/>
  <c r="BN108" i="12"/>
  <c r="BP108" i="12" s="1"/>
  <c r="BO108" i="12"/>
  <c r="DA108" i="12"/>
  <c r="DW108" i="12"/>
  <c r="CH108" i="12"/>
  <c r="BR108" i="12"/>
  <c r="CZ108" i="12"/>
  <c r="DB108" i="12" s="1"/>
  <c r="CG108" i="12"/>
  <c r="CI108" i="12" s="1"/>
  <c r="AY108" i="12"/>
  <c r="AF108" i="12"/>
  <c r="DT108" i="12"/>
  <c r="EM108" i="12"/>
  <c r="FI108" i="12"/>
  <c r="DS108" i="12"/>
  <c r="DU108" i="12" s="1"/>
  <c r="EL108" i="12"/>
  <c r="EN108" i="12" s="1"/>
  <c r="AV108" i="12"/>
  <c r="AU108" i="12"/>
  <c r="AW108" i="12" s="1"/>
  <c r="M109" i="12"/>
  <c r="P109" i="12" s="1"/>
  <c r="Q109" i="12" s="1"/>
  <c r="DA109" i="9"/>
  <c r="CH109" i="9"/>
  <c r="FJ108" i="9"/>
  <c r="FI108" i="9"/>
  <c r="FK108" i="9"/>
  <c r="FL108" i="9"/>
  <c r="DE107" i="12"/>
  <c r="DF107" i="12"/>
  <c r="DG107" i="12"/>
  <c r="BR108" i="9"/>
  <c r="BS108" i="9"/>
  <c r="BU108" i="9"/>
  <c r="BT108" i="9"/>
  <c r="EL109" i="9"/>
  <c r="EN109" i="9" s="1"/>
  <c r="FE109" i="9"/>
  <c r="FG109" i="9" s="1"/>
  <c r="AG108" i="9"/>
  <c r="AH108" i="9"/>
  <c r="AF108" i="9"/>
  <c r="AI108" i="9"/>
  <c r="FJ107" i="12"/>
  <c r="FL107" i="12"/>
  <c r="FK107" i="12"/>
  <c r="EM109" i="9"/>
  <c r="FF109" i="9"/>
  <c r="CO106" i="12"/>
  <c r="I111" i="9"/>
  <c r="CX110" i="9"/>
  <c r="CY110" i="9" s="1"/>
  <c r="DC110" i="9" s="1"/>
  <c r="BL110" i="9"/>
  <c r="BM110" i="9" s="1"/>
  <c r="BQ110" i="9" s="1"/>
  <c r="AS110" i="9"/>
  <c r="AT110" i="9" s="1"/>
  <c r="AX110" i="9" s="1"/>
  <c r="CE110" i="9"/>
  <c r="CF110" i="9" s="1"/>
  <c r="CJ110" i="9" s="1"/>
  <c r="Z110" i="9"/>
  <c r="AA110" i="9" s="1"/>
  <c r="AE110" i="9" s="1"/>
  <c r="EJ110" i="9"/>
  <c r="EK110" i="9" s="1"/>
  <c r="EO110" i="9" s="1"/>
  <c r="DQ110" i="9"/>
  <c r="DR110" i="9" s="1"/>
  <c r="DV110" i="9" s="1"/>
  <c r="FC110" i="9"/>
  <c r="FD110" i="9" s="1"/>
  <c r="FH110" i="9" s="1"/>
  <c r="DT109" i="9"/>
  <c r="BO109" i="9"/>
  <c r="AJ107" i="12"/>
  <c r="DG108" i="9"/>
  <c r="DD108" i="9"/>
  <c r="DH108" i="9" s="1"/>
  <c r="DH109" i="9" s="1"/>
  <c r="DE108" i="9"/>
  <c r="DF108" i="9"/>
  <c r="BU109" i="9"/>
  <c r="BT109" i="9"/>
  <c r="BR109" i="9"/>
  <c r="BS109" i="9"/>
  <c r="M110" i="9"/>
  <c r="P110" i="9" s="1"/>
  <c r="Q110" i="9" s="1"/>
  <c r="AB109" i="9"/>
  <c r="AD109" i="9" s="1"/>
  <c r="AU109" i="9"/>
  <c r="AW109" i="9" s="1"/>
  <c r="EA106" i="12"/>
  <c r="DD109" i="9" l="1"/>
  <c r="DE109" i="9"/>
  <c r="DG109" i="9"/>
  <c r="BC108" i="9"/>
  <c r="FM108" i="9"/>
  <c r="ET108" i="9"/>
  <c r="AJ108" i="9"/>
  <c r="BV108" i="9"/>
  <c r="BV109" i="9" s="1"/>
  <c r="EA108" i="9"/>
  <c r="EA109" i="9" s="1"/>
  <c r="EA107" i="12"/>
  <c r="FM107" i="12"/>
  <c r="M111" i="9"/>
  <c r="P111" i="9" s="1"/>
  <c r="Q111" i="9" s="1"/>
  <c r="M110" i="12"/>
  <c r="P110" i="12" s="1"/>
  <c r="EP109" i="12"/>
  <c r="FE109" i="12"/>
  <c r="FG109" i="12" s="1"/>
  <c r="FF109" i="12"/>
  <c r="CK109" i="12"/>
  <c r="DD109" i="12"/>
  <c r="AB109" i="12"/>
  <c r="AD109" i="12" s="1"/>
  <c r="BN109" i="12"/>
  <c r="BP109" i="12" s="1"/>
  <c r="AC109" i="12"/>
  <c r="BO109" i="12"/>
  <c r="AF109" i="12"/>
  <c r="CH109" i="12"/>
  <c r="DT109" i="12"/>
  <c r="AY109" i="12"/>
  <c r="DS109" i="12"/>
  <c r="DU109" i="12" s="1"/>
  <c r="EM109" i="12"/>
  <c r="FI109" i="12"/>
  <c r="EL109" i="12"/>
  <c r="EN109" i="12" s="1"/>
  <c r="BR109" i="12"/>
  <c r="DW109" i="12"/>
  <c r="DA109" i="12"/>
  <c r="CG109" i="12"/>
  <c r="CI109" i="12" s="1"/>
  <c r="CZ109" i="12"/>
  <c r="DB109" i="12" s="1"/>
  <c r="AV109" i="12"/>
  <c r="AU109" i="12"/>
  <c r="AW109" i="12" s="1"/>
  <c r="CG110" i="9"/>
  <c r="CI110" i="9" s="1"/>
  <c r="CG111" i="9" s="1"/>
  <c r="CI111" i="9" s="1"/>
  <c r="AV110" i="9"/>
  <c r="FF110" i="9"/>
  <c r="BO110" i="9"/>
  <c r="CH110" i="9"/>
  <c r="FE110" i="9"/>
  <c r="FG110" i="9" s="1"/>
  <c r="FF111" i="9" s="1"/>
  <c r="BN110" i="9"/>
  <c r="BP110" i="9" s="1"/>
  <c r="BN111" i="9" s="1"/>
  <c r="BP111" i="9" s="1"/>
  <c r="AU110" i="9"/>
  <c r="AW110" i="9" s="1"/>
  <c r="AU111" i="9" s="1"/>
  <c r="AW111" i="9" s="1"/>
  <c r="AC110" i="9"/>
  <c r="CZ110" i="9"/>
  <c r="DB110" i="9" s="1"/>
  <c r="DA111" i="9" s="1"/>
  <c r="EM110" i="9"/>
  <c r="EL110" i="9"/>
  <c r="EN110" i="9" s="1"/>
  <c r="EL111" i="9" s="1"/>
  <c r="EN111" i="9" s="1"/>
  <c r="AB110" i="9"/>
  <c r="AD110" i="9" s="1"/>
  <c r="AC111" i="9" s="1"/>
  <c r="DA110" i="9"/>
  <c r="DT110" i="9"/>
  <c r="DS110" i="9"/>
  <c r="DU110" i="9" s="1"/>
  <c r="ER109" i="9"/>
  <c r="EQ109" i="9"/>
  <c r="ES109" i="9"/>
  <c r="EP109" i="9"/>
  <c r="BA108" i="12"/>
  <c r="BB108" i="12"/>
  <c r="AZ108" i="12"/>
  <c r="BS108" i="12"/>
  <c r="BT108" i="12"/>
  <c r="BU108" i="12"/>
  <c r="CN108" i="12"/>
  <c r="CM108" i="12"/>
  <c r="CL108" i="12"/>
  <c r="Q110" i="12"/>
  <c r="EQ108" i="12"/>
  <c r="ES108" i="12"/>
  <c r="ER108" i="12"/>
  <c r="DE108" i="12"/>
  <c r="DG108" i="12"/>
  <c r="DF108" i="12"/>
  <c r="AH108" i="12"/>
  <c r="AI108" i="12"/>
  <c r="AG108" i="12"/>
  <c r="BC107" i="12"/>
  <c r="L111" i="12" a="1"/>
  <c r="L111" i="12" s="1"/>
  <c r="J111" i="12" a="1"/>
  <c r="J111" i="12" s="1"/>
  <c r="O111" i="12" a="1"/>
  <c r="O111" i="12" s="1"/>
  <c r="K111" i="12" a="1"/>
  <c r="K111" i="12" s="1"/>
  <c r="H111" i="12" a="1"/>
  <c r="H111" i="12" s="1"/>
  <c r="G111" i="12" a="1"/>
  <c r="G111" i="12" s="1"/>
  <c r="N111" i="12" a="1"/>
  <c r="N111" i="12" s="1"/>
  <c r="D112" i="12"/>
  <c r="I112" i="9"/>
  <c r="BL111" i="9"/>
  <c r="BM111" i="9" s="1"/>
  <c r="BQ111" i="9" s="1"/>
  <c r="AS111" i="9"/>
  <c r="AT111" i="9" s="1"/>
  <c r="AX111" i="9" s="1"/>
  <c r="CX111" i="9"/>
  <c r="CY111" i="9" s="1"/>
  <c r="DC111" i="9" s="1"/>
  <c r="FC111" i="9"/>
  <c r="FD111" i="9" s="1"/>
  <c r="FH111" i="9" s="1"/>
  <c r="EJ111" i="9"/>
  <c r="EK111" i="9" s="1"/>
  <c r="EO111" i="9" s="1"/>
  <c r="CE111" i="9"/>
  <c r="CF111" i="9" s="1"/>
  <c r="CJ111" i="9" s="1"/>
  <c r="DQ111" i="9"/>
  <c r="DR111" i="9" s="1"/>
  <c r="DV111" i="9" s="1"/>
  <c r="Z111" i="9"/>
  <c r="AA111" i="9" s="1"/>
  <c r="AE111" i="9" s="1"/>
  <c r="DX108" i="12"/>
  <c r="DY108" i="12"/>
  <c r="DZ108" i="12"/>
  <c r="BB109" i="9"/>
  <c r="AZ109" i="9"/>
  <c r="BA109" i="9"/>
  <c r="AY109" i="9"/>
  <c r="DH107" i="12"/>
  <c r="G112" i="9" a="1"/>
  <c r="G112" i="9" s="1"/>
  <c r="N112" i="9" a="1"/>
  <c r="N112" i="9" s="1"/>
  <c r="H112" i="9" a="1"/>
  <c r="H112" i="9" s="1"/>
  <c r="O112" i="9" a="1"/>
  <c r="O112" i="9" s="1"/>
  <c r="L112" i="9" a="1"/>
  <c r="L112" i="9" s="1"/>
  <c r="J112" i="9" a="1"/>
  <c r="J112" i="9" s="1"/>
  <c r="K112" i="9" a="1"/>
  <c r="K112" i="9" s="1"/>
  <c r="D113" i="9"/>
  <c r="AI109" i="9"/>
  <c r="AG109" i="9"/>
  <c r="AF109" i="9"/>
  <c r="AH109" i="9"/>
  <c r="FK109" i="9"/>
  <c r="FL109" i="9"/>
  <c r="FI109" i="9"/>
  <c r="FJ109" i="9"/>
  <c r="FJ108" i="12"/>
  <c r="FK108" i="12"/>
  <c r="FL108" i="12"/>
  <c r="CK109" i="9"/>
  <c r="CO109" i="9" s="1"/>
  <c r="CL109" i="9"/>
  <c r="CM109" i="9"/>
  <c r="CN109" i="9"/>
  <c r="AJ109" i="9" l="1"/>
  <c r="ET109" i="9"/>
  <c r="FM109" i="9"/>
  <c r="BC109" i="9"/>
  <c r="BV108" i="12"/>
  <c r="FM108" i="12"/>
  <c r="CO108" i="12"/>
  <c r="AJ108" i="12"/>
  <c r="CZ111" i="9"/>
  <c r="DB111" i="9" s="1"/>
  <c r="DG111" i="9" s="1"/>
  <c r="BO111" i="9"/>
  <c r="CH111" i="9"/>
  <c r="EM111" i="9"/>
  <c r="FE111" i="9"/>
  <c r="FG111" i="9" s="1"/>
  <c r="FJ111" i="9" s="1"/>
  <c r="DH108" i="12"/>
  <c r="BC108" i="12"/>
  <c r="AZ111" i="9"/>
  <c r="AY111" i="9"/>
  <c r="BB111" i="9"/>
  <c r="BA111" i="9"/>
  <c r="DY110" i="9"/>
  <c r="DW110" i="9"/>
  <c r="DX110" i="9"/>
  <c r="DZ110" i="9"/>
  <c r="AV111" i="9"/>
  <c r="BR110" i="9"/>
  <c r="BU110" i="9"/>
  <c r="BT110" i="9"/>
  <c r="BS110" i="9"/>
  <c r="BS109" i="12"/>
  <c r="BU109" i="12"/>
  <c r="BT109" i="12"/>
  <c r="ES111" i="9"/>
  <c r="ER111" i="9"/>
  <c r="EQ111" i="9"/>
  <c r="EP111" i="9"/>
  <c r="FI110" i="9"/>
  <c r="FJ110" i="9"/>
  <c r="FL110" i="9"/>
  <c r="FK110" i="9"/>
  <c r="DE109" i="12"/>
  <c r="DF109" i="12"/>
  <c r="DG109" i="12"/>
  <c r="DX109" i="12"/>
  <c r="DZ109" i="12"/>
  <c r="DY109" i="12"/>
  <c r="AG109" i="12"/>
  <c r="AH109" i="12"/>
  <c r="AI109" i="12"/>
  <c r="EA108" i="12"/>
  <c r="BS111" i="9"/>
  <c r="BU111" i="9"/>
  <c r="BR111" i="9"/>
  <c r="BT111" i="9"/>
  <c r="AI110" i="9"/>
  <c r="AH110" i="9"/>
  <c r="AG110" i="9"/>
  <c r="AF110" i="9"/>
  <c r="CN109" i="12"/>
  <c r="CM109" i="12"/>
  <c r="CL109" i="12"/>
  <c r="M112" i="9"/>
  <c r="P112" i="9" s="1"/>
  <c r="Q112" i="9" s="1"/>
  <c r="M111" i="12"/>
  <c r="P111" i="12" s="1"/>
  <c r="Q111" i="12" s="1"/>
  <c r="DS111" i="9"/>
  <c r="DU111" i="9" s="1"/>
  <c r="ES110" i="9"/>
  <c r="ER110" i="9"/>
  <c r="EP110" i="9"/>
  <c r="EQ110" i="9"/>
  <c r="BA109" i="12"/>
  <c r="BB109" i="12"/>
  <c r="AZ109" i="12"/>
  <c r="I113" i="9"/>
  <c r="Z112" i="9"/>
  <c r="AA112" i="9" s="1"/>
  <c r="AE112" i="9" s="1"/>
  <c r="CE112" i="9"/>
  <c r="CF112" i="9" s="1"/>
  <c r="CJ112" i="9" s="1"/>
  <c r="EJ112" i="9"/>
  <c r="EK112" i="9" s="1"/>
  <c r="EO112" i="9" s="1"/>
  <c r="CX112" i="9"/>
  <c r="CY112" i="9" s="1"/>
  <c r="DC112" i="9" s="1"/>
  <c r="FC112" i="9"/>
  <c r="FD112" i="9" s="1"/>
  <c r="FH112" i="9" s="1"/>
  <c r="BL112" i="9"/>
  <c r="BM112" i="9" s="1"/>
  <c r="BQ112" i="9" s="1"/>
  <c r="DQ112" i="9"/>
  <c r="DR112" i="9" s="1"/>
  <c r="DV112" i="9" s="1"/>
  <c r="AS112" i="9"/>
  <c r="AT112" i="9" s="1"/>
  <c r="AX112" i="9" s="1"/>
  <c r="ET108" i="12"/>
  <c r="DT111" i="9"/>
  <c r="BA110" i="9"/>
  <c r="BB110" i="9"/>
  <c r="AY110" i="9"/>
  <c r="AZ110" i="9"/>
  <c r="H112" i="12" a="1"/>
  <c r="H112" i="12" s="1"/>
  <c r="N112" i="12" a="1"/>
  <c r="N112" i="12" s="1"/>
  <c r="K112" i="12" a="1"/>
  <c r="K112" i="12" s="1"/>
  <c r="J112" i="12" a="1"/>
  <c r="J112" i="12" s="1"/>
  <c r="G112" i="12" a="1"/>
  <c r="G112" i="12" s="1"/>
  <c r="O112" i="12" a="1"/>
  <c r="O112" i="12" s="1"/>
  <c r="D113" i="12"/>
  <c r="L112" i="12" a="1"/>
  <c r="L112" i="12" s="1"/>
  <c r="DG110" i="9"/>
  <c r="DF110" i="9"/>
  <c r="DD110" i="9"/>
  <c r="DE110" i="9"/>
  <c r="FJ109" i="12"/>
  <c r="FL109" i="12"/>
  <c r="FK109" i="12"/>
  <c r="FF110" i="12"/>
  <c r="EP110" i="12"/>
  <c r="FE110" i="12"/>
  <c r="FG110" i="12" s="1"/>
  <c r="DD110" i="12"/>
  <c r="CK110" i="12"/>
  <c r="BO110" i="12"/>
  <c r="AB110" i="12"/>
  <c r="AD110" i="12" s="1"/>
  <c r="AC110" i="12"/>
  <c r="BN110" i="12"/>
  <c r="BP110" i="12" s="1"/>
  <c r="DW110" i="12"/>
  <c r="AF110" i="12"/>
  <c r="AY110" i="12"/>
  <c r="CH110" i="12"/>
  <c r="EM110" i="12"/>
  <c r="DA110" i="12"/>
  <c r="CG110" i="12"/>
  <c r="CI110" i="12" s="1"/>
  <c r="FI110" i="12"/>
  <c r="EL110" i="12"/>
  <c r="EN110" i="12" s="1"/>
  <c r="CZ110" i="12"/>
  <c r="DB110" i="12" s="1"/>
  <c r="DS110" i="12"/>
  <c r="DU110" i="12" s="1"/>
  <c r="BR110" i="12"/>
  <c r="DT110" i="12"/>
  <c r="AV110" i="12"/>
  <c r="AU110" i="12"/>
  <c r="AW110" i="12" s="1"/>
  <c r="L113" i="9" a="1"/>
  <c r="L113" i="9" s="1"/>
  <c r="G113" i="9" a="1"/>
  <c r="G113" i="9" s="1"/>
  <c r="K113" i="9" a="1"/>
  <c r="K113" i="9" s="1"/>
  <c r="N113" i="9" a="1"/>
  <c r="N113" i="9" s="1"/>
  <c r="J113" i="9" a="1"/>
  <c r="J113" i="9" s="1"/>
  <c r="H113" i="9" a="1"/>
  <c r="H113" i="9" s="1"/>
  <c r="O113" i="9" a="1"/>
  <c r="O113" i="9" s="1"/>
  <c r="D114" i="9"/>
  <c r="AB111" i="9"/>
  <c r="AD111" i="9" s="1"/>
  <c r="CN111" i="9"/>
  <c r="CM111" i="9"/>
  <c r="CK111" i="9"/>
  <c r="CL111" i="9"/>
  <c r="CN110" i="9"/>
  <c r="CM110" i="9"/>
  <c r="CL110" i="9"/>
  <c r="CK110" i="9"/>
  <c r="CO110" i="9" s="1"/>
  <c r="EQ109" i="12"/>
  <c r="ES109" i="12"/>
  <c r="ER109" i="12"/>
  <c r="DD111" i="9" l="1"/>
  <c r="DE111" i="9"/>
  <c r="DF111" i="9"/>
  <c r="CO111" i="9"/>
  <c r="BC110" i="9"/>
  <c r="BC111" i="9" s="1"/>
  <c r="FM110" i="9"/>
  <c r="ET110" i="9"/>
  <c r="ET111" i="9" s="1"/>
  <c r="AJ110" i="9"/>
  <c r="EA110" i="9"/>
  <c r="DH110" i="9"/>
  <c r="DH111" i="9" s="1"/>
  <c r="BV110" i="9"/>
  <c r="BV111" i="9" s="1"/>
  <c r="FK111" i="9"/>
  <c r="AJ109" i="12"/>
  <c r="CO109" i="12"/>
  <c r="FL111" i="9"/>
  <c r="FI111" i="9"/>
  <c r="FM109" i="12"/>
  <c r="BV109" i="12"/>
  <c r="AU112" i="9"/>
  <c r="AW112" i="9" s="1"/>
  <c r="CG112" i="9"/>
  <c r="CI112" i="9" s="1"/>
  <c r="AV112" i="9"/>
  <c r="BO112" i="9"/>
  <c r="BN112" i="9"/>
  <c r="BP112" i="9" s="1"/>
  <c r="FF112" i="9"/>
  <c r="FE112" i="9"/>
  <c r="FG112" i="9" s="1"/>
  <c r="CH112" i="9"/>
  <c r="DA112" i="9"/>
  <c r="EM112" i="9"/>
  <c r="CZ112" i="9"/>
  <c r="DB112" i="9" s="1"/>
  <c r="EL112" i="9"/>
  <c r="EN112" i="9" s="1"/>
  <c r="AB112" i="9"/>
  <c r="AD112" i="9" s="1"/>
  <c r="AC112" i="9"/>
  <c r="DT112" i="9"/>
  <c r="DS112" i="9"/>
  <c r="DU112" i="9" s="1"/>
  <c r="L113" i="12" a="1"/>
  <c r="L113" i="12" s="1"/>
  <c r="J113" i="12" a="1"/>
  <c r="J113" i="12" s="1"/>
  <c r="K113" i="12" a="1"/>
  <c r="K113" i="12" s="1"/>
  <c r="G113" i="12" a="1"/>
  <c r="G113" i="12" s="1"/>
  <c r="N113" i="12" a="1"/>
  <c r="N113" i="12" s="1"/>
  <c r="O113" i="12" a="1"/>
  <c r="O113" i="12" s="1"/>
  <c r="H113" i="12" a="1"/>
  <c r="H113" i="12" s="1"/>
  <c r="D114" i="12"/>
  <c r="M113" i="9"/>
  <c r="P113" i="9" s="1"/>
  <c r="Q113" i="9" s="1"/>
  <c r="DH109" i="12"/>
  <c r="DX110" i="12"/>
  <c r="DY110" i="12"/>
  <c r="DZ110" i="12"/>
  <c r="AG110" i="12"/>
  <c r="AI110" i="12"/>
  <c r="AH110" i="12"/>
  <c r="DE110" i="12"/>
  <c r="DG110" i="12"/>
  <c r="DF110" i="12"/>
  <c r="FJ110" i="12"/>
  <c r="FL110" i="12"/>
  <c r="FK110" i="12"/>
  <c r="M112" i="12"/>
  <c r="G114" i="9" a="1"/>
  <c r="G114" i="9" s="1"/>
  <c r="L114" i="9" a="1"/>
  <c r="L114" i="9" s="1"/>
  <c r="J114" i="9" a="1"/>
  <c r="J114" i="9" s="1"/>
  <c r="K114" i="9" a="1"/>
  <c r="K114" i="9" s="1"/>
  <c r="N114" i="9" a="1"/>
  <c r="N114" i="9" s="1"/>
  <c r="H114" i="9" a="1"/>
  <c r="H114" i="9" s="1"/>
  <c r="O114" i="9" a="1"/>
  <c r="O114" i="9" s="1"/>
  <c r="D115" i="9"/>
  <c r="ET109" i="12"/>
  <c r="EQ110" i="12"/>
  <c r="ES110" i="12"/>
  <c r="ER110" i="12"/>
  <c r="BS110" i="12"/>
  <c r="BU110" i="12"/>
  <c r="BT110" i="12"/>
  <c r="P112" i="12"/>
  <c r="Q112" i="12" s="1"/>
  <c r="I114" i="9"/>
  <c r="CE113" i="9"/>
  <c r="CF113" i="9" s="1"/>
  <c r="CJ113" i="9" s="1"/>
  <c r="BL113" i="9"/>
  <c r="BM113" i="9" s="1"/>
  <c r="BQ113" i="9" s="1"/>
  <c r="AS113" i="9"/>
  <c r="AT113" i="9" s="1"/>
  <c r="AX113" i="9" s="1"/>
  <c r="FC113" i="9"/>
  <c r="FD113" i="9" s="1"/>
  <c r="FH113" i="9" s="1"/>
  <c r="CX113" i="9"/>
  <c r="CY113" i="9" s="1"/>
  <c r="DC113" i="9" s="1"/>
  <c r="EJ113" i="9"/>
  <c r="EK113" i="9" s="1"/>
  <c r="EO113" i="9" s="1"/>
  <c r="DQ113" i="9"/>
  <c r="DR113" i="9" s="1"/>
  <c r="DV113" i="9" s="1"/>
  <c r="Z113" i="9"/>
  <c r="AA113" i="9" s="1"/>
  <c r="AE113" i="9" s="1"/>
  <c r="DY111" i="9"/>
  <c r="DW111" i="9"/>
  <c r="DX111" i="9"/>
  <c r="DZ111" i="9"/>
  <c r="EA109" i="12"/>
  <c r="AF111" i="9"/>
  <c r="AI111" i="9"/>
  <c r="AG111" i="9"/>
  <c r="AH111" i="9"/>
  <c r="AZ110" i="12"/>
  <c r="BB110" i="12"/>
  <c r="BA110" i="12"/>
  <c r="CN110" i="12"/>
  <c r="CL110" i="12"/>
  <c r="CM110" i="12"/>
  <c r="BC109" i="12"/>
  <c r="EP111" i="12"/>
  <c r="FF111" i="12"/>
  <c r="FE111" i="12"/>
  <c r="FG111" i="12" s="1"/>
  <c r="DD111" i="12"/>
  <c r="CK111" i="12"/>
  <c r="AB111" i="12"/>
  <c r="AD111" i="12" s="1"/>
  <c r="AC111" i="12"/>
  <c r="BN111" i="12"/>
  <c r="BP111" i="12" s="1"/>
  <c r="BO111" i="12"/>
  <c r="CH111" i="12"/>
  <c r="AY111" i="12"/>
  <c r="EL111" i="12"/>
  <c r="EN111" i="12" s="1"/>
  <c r="CZ111" i="12"/>
  <c r="DB111" i="12" s="1"/>
  <c r="CG111" i="12"/>
  <c r="CI111" i="12" s="1"/>
  <c r="DW111" i="12"/>
  <c r="AF111" i="12"/>
  <c r="EM111" i="12"/>
  <c r="FI111" i="12"/>
  <c r="BR111" i="12"/>
  <c r="DT111" i="12"/>
  <c r="DA111" i="12"/>
  <c r="DS111" i="12"/>
  <c r="DU111" i="12" s="1"/>
  <c r="AV111" i="12"/>
  <c r="AU111" i="12"/>
  <c r="AW111" i="12" s="1"/>
  <c r="FM111" i="9" l="1"/>
  <c r="AJ111" i="9"/>
  <c r="EA111" i="9"/>
  <c r="M113" i="12"/>
  <c r="P113" i="12" s="1"/>
  <c r="Q113" i="12" s="1"/>
  <c r="ET110" i="12"/>
  <c r="AJ110" i="12"/>
  <c r="FM110" i="12"/>
  <c r="EA110" i="12"/>
  <c r="BV110" i="12"/>
  <c r="DH110" i="12"/>
  <c r="M114" i="9"/>
  <c r="P114" i="9" s="1"/>
  <c r="Q114" i="9" s="1"/>
  <c r="BC110" i="12"/>
  <c r="FK112" i="9"/>
  <c r="FL112" i="9"/>
  <c r="FJ112" i="9"/>
  <c r="FI112" i="9"/>
  <c r="FM112" i="9" s="1"/>
  <c r="FJ111" i="12"/>
  <c r="FL111" i="12"/>
  <c r="FK111" i="12"/>
  <c r="K114" i="12" a="1"/>
  <c r="K114" i="12" s="1"/>
  <c r="J114" i="12" a="1"/>
  <c r="J114" i="12" s="1"/>
  <c r="G114" i="12" a="1"/>
  <c r="G114" i="12" s="1"/>
  <c r="H114" i="12" a="1"/>
  <c r="H114" i="12" s="1"/>
  <c r="L114" i="12" a="1"/>
  <c r="L114" i="12" s="1"/>
  <c r="N114" i="12" a="1"/>
  <c r="N114" i="12" s="1"/>
  <c r="O114" i="12" a="1"/>
  <c r="O114" i="12" s="1"/>
  <c r="D115" i="12"/>
  <c r="AG112" i="9"/>
  <c r="AI112" i="9"/>
  <c r="AH112" i="9"/>
  <c r="AF112" i="9"/>
  <c r="AJ112" i="9" s="1"/>
  <c r="BR112" i="9"/>
  <c r="BV112" i="9" s="1"/>
  <c r="BT112" i="9"/>
  <c r="BU112" i="9"/>
  <c r="BS112" i="9"/>
  <c r="EQ112" i="9"/>
  <c r="ES112" i="9"/>
  <c r="ER112" i="9"/>
  <c r="EP112" i="9"/>
  <c r="DW112" i="9"/>
  <c r="DZ112" i="9"/>
  <c r="DY112" i="9"/>
  <c r="DX112" i="9"/>
  <c r="I115" i="9"/>
  <c r="CE114" i="9"/>
  <c r="CF114" i="9" s="1"/>
  <c r="CJ114" i="9" s="1"/>
  <c r="AS114" i="9"/>
  <c r="AT114" i="9" s="1"/>
  <c r="AX114" i="9" s="1"/>
  <c r="FC114" i="9"/>
  <c r="FD114" i="9" s="1"/>
  <c r="FH114" i="9" s="1"/>
  <c r="BL114" i="9"/>
  <c r="BM114" i="9" s="1"/>
  <c r="BQ114" i="9" s="1"/>
  <c r="CX114" i="9"/>
  <c r="CY114" i="9" s="1"/>
  <c r="DC114" i="9" s="1"/>
  <c r="DQ114" i="9"/>
  <c r="DR114" i="9" s="1"/>
  <c r="DV114" i="9" s="1"/>
  <c r="EJ114" i="9"/>
  <c r="EK114" i="9" s="1"/>
  <c r="EO114" i="9" s="1"/>
  <c r="Z114" i="9"/>
  <c r="AA114" i="9" s="1"/>
  <c r="AE114" i="9" s="1"/>
  <c r="DF112" i="9"/>
  <c r="DD112" i="9"/>
  <c r="DG112" i="9"/>
  <c r="DE112" i="9"/>
  <c r="DE111" i="12"/>
  <c r="DG111" i="12"/>
  <c r="DF111" i="12"/>
  <c r="AZ111" i="12"/>
  <c r="BB111" i="12"/>
  <c r="BA111" i="12"/>
  <c r="BS111" i="12"/>
  <c r="BU111" i="12"/>
  <c r="BT111" i="12"/>
  <c r="FE112" i="12"/>
  <c r="FG112" i="12" s="1"/>
  <c r="EP112" i="12"/>
  <c r="FF112" i="12"/>
  <c r="DD112" i="12"/>
  <c r="CK112" i="12"/>
  <c r="BN112" i="12"/>
  <c r="BP112" i="12" s="1"/>
  <c r="BO112" i="12"/>
  <c r="AB112" i="12"/>
  <c r="AD112" i="12" s="1"/>
  <c r="AC112" i="12"/>
  <c r="AY112" i="12"/>
  <c r="CZ112" i="12"/>
  <c r="DB112" i="12" s="1"/>
  <c r="CG112" i="12"/>
  <c r="CI112" i="12" s="1"/>
  <c r="FI112" i="12"/>
  <c r="DT112" i="12"/>
  <c r="EL112" i="12"/>
  <c r="EN112" i="12" s="1"/>
  <c r="AF112" i="12"/>
  <c r="DS112" i="12"/>
  <c r="DU112" i="12" s="1"/>
  <c r="DA112" i="12"/>
  <c r="BR112" i="12"/>
  <c r="DW112" i="12"/>
  <c r="CH112" i="12"/>
  <c r="EM112" i="12"/>
  <c r="AV112" i="12"/>
  <c r="AU112" i="12"/>
  <c r="AW112" i="12" s="1"/>
  <c r="CN112" i="9"/>
  <c r="CM112" i="9"/>
  <c r="CL112" i="9"/>
  <c r="CK112" i="9"/>
  <c r="EQ111" i="12"/>
  <c r="ER111" i="12"/>
  <c r="ES111" i="12"/>
  <c r="DX111" i="12"/>
  <c r="DZ111" i="12"/>
  <c r="DY111" i="12"/>
  <c r="CL111" i="12"/>
  <c r="CN111" i="12"/>
  <c r="CM111" i="12"/>
  <c r="AG111" i="12"/>
  <c r="AI111" i="12"/>
  <c r="AH111" i="12"/>
  <c r="CO110" i="12"/>
  <c r="N115" i="9" a="1"/>
  <c r="N115" i="9" s="1"/>
  <c r="L115" i="9" a="1"/>
  <c r="L115" i="9" s="1"/>
  <c r="J115" i="9" a="1"/>
  <c r="J115" i="9" s="1"/>
  <c r="G115" i="9" a="1"/>
  <c r="G115" i="9" s="1"/>
  <c r="K115" i="9" a="1"/>
  <c r="K115" i="9" s="1"/>
  <c r="H115" i="9" a="1"/>
  <c r="H115" i="9" s="1"/>
  <c r="O115" i="9" a="1"/>
  <c r="O115" i="9" s="1"/>
  <c r="D116" i="9"/>
  <c r="CH113" i="9"/>
  <c r="FE113" i="9"/>
  <c r="FG113" i="9" s="1"/>
  <c r="BO113" i="9"/>
  <c r="AV113" i="9"/>
  <c r="BN113" i="9"/>
  <c r="BP113" i="9" s="1"/>
  <c r="AU113" i="9"/>
  <c r="AW113" i="9" s="1"/>
  <c r="CG113" i="9"/>
  <c r="CI113" i="9" s="1"/>
  <c r="FF113" i="9"/>
  <c r="DA113" i="9"/>
  <c r="AC113" i="9"/>
  <c r="AB113" i="9"/>
  <c r="AD113" i="9" s="1"/>
  <c r="EL113" i="9"/>
  <c r="EN113" i="9" s="1"/>
  <c r="EM113" i="9"/>
  <c r="CZ113" i="9"/>
  <c r="DB113" i="9" s="1"/>
  <c r="DT113" i="9"/>
  <c r="DS113" i="9"/>
  <c r="DU113" i="9" s="1"/>
  <c r="BA112" i="9"/>
  <c r="AZ112" i="9"/>
  <c r="AY112" i="9"/>
  <c r="BB112" i="9"/>
  <c r="DH112" i="9" l="1"/>
  <c r="CO112" i="9"/>
  <c r="EA112" i="9"/>
  <c r="BC112" i="9"/>
  <c r="ET112" i="9"/>
  <c r="EM113" i="12"/>
  <c r="CK113" i="12"/>
  <c r="DW113" i="12"/>
  <c r="DD113" i="12"/>
  <c r="BR113" i="12"/>
  <c r="DA113" i="12"/>
  <c r="AY113" i="12"/>
  <c r="EP113" i="12"/>
  <c r="DS113" i="12"/>
  <c r="DU113" i="12" s="1"/>
  <c r="DX113" i="12" s="1"/>
  <c r="FF113" i="12"/>
  <c r="AV113" i="12"/>
  <c r="AF113" i="12"/>
  <c r="AC113" i="12"/>
  <c r="BC111" i="12"/>
  <c r="DH111" i="12"/>
  <c r="AJ111" i="12"/>
  <c r="BV111" i="12"/>
  <c r="FM111" i="12"/>
  <c r="M115" i="9"/>
  <c r="P115" i="9" s="1"/>
  <c r="Q115" i="9" s="1"/>
  <c r="EL113" i="12"/>
  <c r="EN113" i="12" s="1"/>
  <c r="BS112" i="12"/>
  <c r="BU112" i="12"/>
  <c r="BT112" i="12"/>
  <c r="ER113" i="9"/>
  <c r="EQ113" i="9"/>
  <c r="EP113" i="9"/>
  <c r="ES113" i="9"/>
  <c r="BR113" i="9"/>
  <c r="BS113" i="9"/>
  <c r="BU113" i="9"/>
  <c r="BT113" i="9"/>
  <c r="AI113" i="9"/>
  <c r="AF113" i="9"/>
  <c r="AH113" i="9"/>
  <c r="AG113" i="9"/>
  <c r="CO111" i="12"/>
  <c r="CL112" i="12"/>
  <c r="CN112" i="12"/>
  <c r="CM112" i="12"/>
  <c r="FE113" i="12"/>
  <c r="FG113" i="12" s="1"/>
  <c r="FK113" i="9"/>
  <c r="FJ113" i="9"/>
  <c r="FI113" i="9"/>
  <c r="FL113" i="9"/>
  <c r="EA111" i="12"/>
  <c r="DE112" i="12"/>
  <c r="DG112" i="12"/>
  <c r="DF112" i="12"/>
  <c r="I116" i="9"/>
  <c r="AS115" i="9"/>
  <c r="AT115" i="9" s="1"/>
  <c r="AX115" i="9" s="1"/>
  <c r="EJ115" i="9"/>
  <c r="EK115" i="9" s="1"/>
  <c r="EO115" i="9" s="1"/>
  <c r="BL115" i="9"/>
  <c r="BM115" i="9" s="1"/>
  <c r="BQ115" i="9" s="1"/>
  <c r="DQ115" i="9"/>
  <c r="DR115" i="9" s="1"/>
  <c r="DV115" i="9" s="1"/>
  <c r="CX115" i="9"/>
  <c r="CY115" i="9" s="1"/>
  <c r="DC115" i="9" s="1"/>
  <c r="CE115" i="9"/>
  <c r="CF115" i="9" s="1"/>
  <c r="CJ115" i="9" s="1"/>
  <c r="FC115" i="9"/>
  <c r="FD115" i="9" s="1"/>
  <c r="FH115" i="9" s="1"/>
  <c r="Z115" i="9"/>
  <c r="AA115" i="9" s="1"/>
  <c r="AE115" i="9" s="1"/>
  <c r="CG113" i="12"/>
  <c r="CI113" i="12" s="1"/>
  <c r="BN113" i="12"/>
  <c r="BP113" i="12" s="1"/>
  <c r="L116" i="9" a="1"/>
  <c r="L116" i="9" s="1"/>
  <c r="K116" i="9" a="1"/>
  <c r="K116" i="9" s="1"/>
  <c r="N116" i="9" a="1"/>
  <c r="N116" i="9" s="1"/>
  <c r="G116" i="9" a="1"/>
  <c r="G116" i="9" s="1"/>
  <c r="O116" i="9" a="1"/>
  <c r="O116" i="9" s="1"/>
  <c r="H116" i="9" a="1"/>
  <c r="H116" i="9" s="1"/>
  <c r="J116" i="9" a="1"/>
  <c r="J116" i="9" s="1"/>
  <c r="D117" i="9"/>
  <c r="DX112" i="12"/>
  <c r="DZ112" i="12"/>
  <c r="DY112" i="12"/>
  <c r="FJ112" i="12"/>
  <c r="FL112" i="12"/>
  <c r="FK112" i="12"/>
  <c r="FI113" i="12"/>
  <c r="FF114" i="9"/>
  <c r="CG114" i="9"/>
  <c r="CI114" i="9" s="1"/>
  <c r="CH114" i="9"/>
  <c r="FE114" i="9"/>
  <c r="FG114" i="9" s="1"/>
  <c r="BO114" i="9"/>
  <c r="AV114" i="9"/>
  <c r="BN114" i="9"/>
  <c r="BP114" i="9" s="1"/>
  <c r="AU114" i="9"/>
  <c r="AW114" i="9" s="1"/>
  <c r="EM114" i="9"/>
  <c r="AC114" i="9"/>
  <c r="EL114" i="9"/>
  <c r="EN114" i="9" s="1"/>
  <c r="AB114" i="9"/>
  <c r="AD114" i="9" s="1"/>
  <c r="CZ114" i="9"/>
  <c r="DB114" i="9" s="1"/>
  <c r="DA114" i="9"/>
  <c r="DT114" i="9"/>
  <c r="DS114" i="9"/>
  <c r="DU114" i="9" s="1"/>
  <c r="M114" i="12"/>
  <c r="P114" i="12" s="1"/>
  <c r="Q114" i="12" s="1"/>
  <c r="EQ113" i="12"/>
  <c r="ER113" i="12"/>
  <c r="ES113" i="12"/>
  <c r="DZ113" i="9"/>
  <c r="DY113" i="9"/>
  <c r="DW113" i="9"/>
  <c r="DX113" i="9"/>
  <c r="CN113" i="9"/>
  <c r="CM113" i="9"/>
  <c r="CK113" i="9"/>
  <c r="CL113" i="9"/>
  <c r="AZ112" i="12"/>
  <c r="BA112" i="12"/>
  <c r="BB112" i="12"/>
  <c r="AI112" i="12"/>
  <c r="AG112" i="12"/>
  <c r="AH112" i="12"/>
  <c r="AU113" i="12"/>
  <c r="AW113" i="12" s="1"/>
  <c r="DT113" i="12"/>
  <c r="AB113" i="12"/>
  <c r="AD113" i="12" s="1"/>
  <c r="DD113" i="9"/>
  <c r="DG113" i="9"/>
  <c r="DF113" i="9"/>
  <c r="DE113" i="9"/>
  <c r="AY113" i="9"/>
  <c r="BA113" i="9"/>
  <c r="BB113" i="9"/>
  <c r="AZ113" i="9"/>
  <c r="ET111" i="12"/>
  <c r="EQ112" i="12"/>
  <c r="ES112" i="12"/>
  <c r="ER112" i="12"/>
  <c r="CH113" i="12"/>
  <c r="CZ113" i="12"/>
  <c r="DB113" i="12" s="1"/>
  <c r="BO113" i="12"/>
  <c r="L115" i="12" a="1"/>
  <c r="L115" i="12" s="1"/>
  <c r="J115" i="12" a="1"/>
  <c r="J115" i="12" s="1"/>
  <c r="H115" i="12" a="1"/>
  <c r="H115" i="12" s="1"/>
  <c r="N115" i="12" a="1"/>
  <c r="N115" i="12" s="1"/>
  <c r="K115" i="12" a="1"/>
  <c r="K115" i="12" s="1"/>
  <c r="G115" i="12" a="1"/>
  <c r="G115" i="12" s="1"/>
  <c r="O115" i="12" a="1"/>
  <c r="O115" i="12" s="1"/>
  <c r="D116" i="12"/>
  <c r="DZ113" i="12" l="1"/>
  <c r="DY113" i="12"/>
  <c r="EA113" i="12" s="1"/>
  <c r="ET113" i="9"/>
  <c r="BV113" i="9"/>
  <c r="FM113" i="9"/>
  <c r="DH113" i="9"/>
  <c r="AJ113" i="9"/>
  <c r="BC113" i="9"/>
  <c r="EA113" i="9"/>
  <c r="CO113" i="9"/>
  <c r="AJ112" i="12"/>
  <c r="FM112" i="12"/>
  <c r="CO112" i="12"/>
  <c r="M115" i="12"/>
  <c r="P115" i="12" s="1"/>
  <c r="Q115" i="12" s="1"/>
  <c r="EA112" i="12"/>
  <c r="BV112" i="12"/>
  <c r="BS114" i="9"/>
  <c r="BV114" i="9" s="1"/>
  <c r="BR114" i="9"/>
  <c r="BU114" i="9"/>
  <c r="BT114" i="9"/>
  <c r="CL113" i="12"/>
  <c r="CM113" i="12"/>
  <c r="CN113" i="12"/>
  <c r="FE115" i="9"/>
  <c r="FG115" i="9" s="1"/>
  <c r="BN115" i="9"/>
  <c r="BP115" i="9" s="1"/>
  <c r="AV115" i="9"/>
  <c r="BO115" i="9"/>
  <c r="AU115" i="9"/>
  <c r="AW115" i="9" s="1"/>
  <c r="CH115" i="9"/>
  <c r="CG115" i="9"/>
  <c r="CI115" i="9" s="1"/>
  <c r="FF115" i="9"/>
  <c r="AB115" i="9"/>
  <c r="AD115" i="9" s="1"/>
  <c r="EM115" i="9"/>
  <c r="EL115" i="9"/>
  <c r="EN115" i="9" s="1"/>
  <c r="AC115" i="9"/>
  <c r="CZ115" i="9"/>
  <c r="DB115" i="9" s="1"/>
  <c r="DA115" i="9"/>
  <c r="DT115" i="9"/>
  <c r="DS115" i="9"/>
  <c r="DU115" i="9" s="1"/>
  <c r="AH113" i="12"/>
  <c r="AG113" i="12"/>
  <c r="AI113" i="12"/>
  <c r="I117" i="9"/>
  <c r="Z116" i="9"/>
  <c r="AA116" i="9" s="1"/>
  <c r="AE116" i="9" s="1"/>
  <c r="EJ116" i="9"/>
  <c r="EK116" i="9" s="1"/>
  <c r="EO116" i="9" s="1"/>
  <c r="FC116" i="9"/>
  <c r="FD116" i="9" s="1"/>
  <c r="FH116" i="9" s="1"/>
  <c r="AS116" i="9"/>
  <c r="AT116" i="9" s="1"/>
  <c r="AX116" i="9" s="1"/>
  <c r="CX116" i="9"/>
  <c r="CY116" i="9" s="1"/>
  <c r="DC116" i="9" s="1"/>
  <c r="CE116" i="9"/>
  <c r="CF116" i="9" s="1"/>
  <c r="CJ116" i="9" s="1"/>
  <c r="DQ116" i="9"/>
  <c r="DR116" i="9" s="1"/>
  <c r="DV116" i="9" s="1"/>
  <c r="BL116" i="9"/>
  <c r="BM116" i="9" s="1"/>
  <c r="BQ116" i="9" s="1"/>
  <c r="DX114" i="9"/>
  <c r="DW114" i="9"/>
  <c r="DY114" i="9"/>
  <c r="DZ114" i="9"/>
  <c r="L116" i="12" a="1"/>
  <c r="L116" i="12" s="1"/>
  <c r="K116" i="12" a="1"/>
  <c r="K116" i="12" s="1"/>
  <c r="O116" i="12" a="1"/>
  <c r="O116" i="12" s="1"/>
  <c r="H116" i="12" a="1"/>
  <c r="H116" i="12" s="1"/>
  <c r="J116" i="12" a="1"/>
  <c r="J116" i="12" s="1"/>
  <c r="N116" i="12" a="1"/>
  <c r="N116" i="12" s="1"/>
  <c r="G116" i="12" a="1"/>
  <c r="G116" i="12" s="1"/>
  <c r="D117" i="12"/>
  <c r="BC112" i="12"/>
  <c r="DD114" i="9"/>
  <c r="DF114" i="9"/>
  <c r="DE114" i="9"/>
  <c r="DG114" i="9"/>
  <c r="DH112" i="12"/>
  <c r="DE113" i="12"/>
  <c r="DF113" i="12"/>
  <c r="DG113" i="12"/>
  <c r="AG114" i="9"/>
  <c r="AF114" i="9"/>
  <c r="AI114" i="9"/>
  <c r="AH114" i="9"/>
  <c r="FJ114" i="9"/>
  <c r="FL114" i="9"/>
  <c r="FI114" i="9"/>
  <c r="FK114" i="9"/>
  <c r="ET113" i="12"/>
  <c r="ER114" i="9"/>
  <c r="EQ114" i="9"/>
  <c r="EP114" i="9"/>
  <c r="ET114" i="9" s="1"/>
  <c r="ES114" i="9"/>
  <c r="FJ113" i="12"/>
  <c r="FK113" i="12"/>
  <c r="FL113" i="12"/>
  <c r="AZ113" i="12"/>
  <c r="BB113" i="12"/>
  <c r="BA113" i="12"/>
  <c r="ET112" i="12"/>
  <c r="CM114" i="9"/>
  <c r="CN114" i="9"/>
  <c r="CL114" i="9"/>
  <c r="CK114" i="9"/>
  <c r="BB114" i="9"/>
  <c r="AY114" i="9"/>
  <c r="AZ114" i="9"/>
  <c r="BA114" i="9"/>
  <c r="EP114" i="12"/>
  <c r="FF114" i="12"/>
  <c r="FE114" i="12"/>
  <c r="FG114" i="12" s="1"/>
  <c r="DD114" i="12"/>
  <c r="CK114" i="12"/>
  <c r="AC114" i="12"/>
  <c r="AB114" i="12"/>
  <c r="AD114" i="12" s="1"/>
  <c r="BO114" i="12"/>
  <c r="BN114" i="12"/>
  <c r="BP114" i="12" s="1"/>
  <c r="AF114" i="12"/>
  <c r="EL114" i="12"/>
  <c r="EN114" i="12" s="1"/>
  <c r="AY114" i="12"/>
  <c r="CH114" i="12"/>
  <c r="EM114" i="12"/>
  <c r="BR114" i="12"/>
  <c r="CG114" i="12"/>
  <c r="CI114" i="12" s="1"/>
  <c r="DA114" i="12"/>
  <c r="FI114" i="12"/>
  <c r="CZ114" i="12"/>
  <c r="DB114" i="12" s="1"/>
  <c r="DT114" i="12"/>
  <c r="DW114" i="12"/>
  <c r="DS114" i="12"/>
  <c r="DU114" i="12" s="1"/>
  <c r="AU114" i="12"/>
  <c r="AW114" i="12" s="1"/>
  <c r="AV114" i="12"/>
  <c r="O117" i="9" a="1"/>
  <c r="O117" i="9" s="1"/>
  <c r="G117" i="9" a="1"/>
  <c r="G117" i="9" s="1"/>
  <c r="N117" i="9" a="1"/>
  <c r="N117" i="9" s="1"/>
  <c r="H117" i="9" a="1"/>
  <c r="H117" i="9" s="1"/>
  <c r="L117" i="9" a="1"/>
  <c r="L117" i="9" s="1"/>
  <c r="K117" i="9" a="1"/>
  <c r="K117" i="9" s="1"/>
  <c r="J117" i="9" a="1"/>
  <c r="J117" i="9" s="1"/>
  <c r="D118" i="9"/>
  <c r="M116" i="9"/>
  <c r="P116" i="9" s="1"/>
  <c r="Q116" i="9" s="1"/>
  <c r="BS113" i="12"/>
  <c r="BT113" i="12"/>
  <c r="BU113" i="12"/>
  <c r="FM114" i="9" l="1"/>
  <c r="DH114" i="9"/>
  <c r="CO114" i="9"/>
  <c r="AJ114" i="9"/>
  <c r="EA114" i="9"/>
  <c r="BC114" i="9"/>
  <c r="BV113" i="12"/>
  <c r="FM113" i="12"/>
  <c r="CO113" i="12"/>
  <c r="DH113" i="12"/>
  <c r="CG116" i="9"/>
  <c r="CI116" i="9" s="1"/>
  <c r="FF116" i="9"/>
  <c r="AU116" i="9"/>
  <c r="AW116" i="9" s="1"/>
  <c r="BN116" i="9"/>
  <c r="BP116" i="9" s="1"/>
  <c r="AV116" i="9"/>
  <c r="FE116" i="9"/>
  <c r="FG116" i="9" s="1"/>
  <c r="BO116" i="9"/>
  <c r="CH116" i="9"/>
  <c r="DA116" i="9"/>
  <c r="AB116" i="9"/>
  <c r="AD116" i="9" s="1"/>
  <c r="AC116" i="9"/>
  <c r="CZ116" i="9"/>
  <c r="DB116" i="9" s="1"/>
  <c r="EL116" i="9"/>
  <c r="EN116" i="9" s="1"/>
  <c r="EM116" i="9"/>
  <c r="DS116" i="9"/>
  <c r="DU116" i="9" s="1"/>
  <c r="DT116" i="9"/>
  <c r="FI115" i="9"/>
  <c r="FK115" i="9"/>
  <c r="FJ115" i="9"/>
  <c r="FL115" i="9"/>
  <c r="CL114" i="12"/>
  <c r="CM114" i="12"/>
  <c r="CN114" i="12"/>
  <c r="FE115" i="12"/>
  <c r="FG115" i="12" s="1"/>
  <c r="FF115" i="12"/>
  <c r="EP115" i="12"/>
  <c r="CK115" i="12"/>
  <c r="DD115" i="12"/>
  <c r="AC115" i="12"/>
  <c r="BO115" i="12"/>
  <c r="AB115" i="12"/>
  <c r="AD115" i="12" s="1"/>
  <c r="BN115" i="12"/>
  <c r="BP115" i="12" s="1"/>
  <c r="DW115" i="12"/>
  <c r="CZ115" i="12"/>
  <c r="DB115" i="12" s="1"/>
  <c r="EL115" i="12"/>
  <c r="EN115" i="12" s="1"/>
  <c r="FI115" i="12"/>
  <c r="BR115" i="12"/>
  <c r="DT115" i="12"/>
  <c r="DA115" i="12"/>
  <c r="CH115" i="12"/>
  <c r="AF115" i="12"/>
  <c r="DS115" i="12"/>
  <c r="DU115" i="12" s="1"/>
  <c r="CG115" i="12"/>
  <c r="CI115" i="12" s="1"/>
  <c r="EM115" i="12"/>
  <c r="AY115" i="12"/>
  <c r="AU115" i="12"/>
  <c r="AW115" i="12" s="1"/>
  <c r="AV115" i="12"/>
  <c r="J117" i="12" a="1"/>
  <c r="J117" i="12" s="1"/>
  <c r="N117" i="12" a="1"/>
  <c r="N117" i="12" s="1"/>
  <c r="H117" i="12" a="1"/>
  <c r="H117" i="12" s="1"/>
  <c r="L117" i="12" a="1"/>
  <c r="L117" i="12" s="1"/>
  <c r="G117" i="12" a="1"/>
  <c r="G117" i="12" s="1"/>
  <c r="O117" i="12" a="1"/>
  <c r="O117" i="12" s="1"/>
  <c r="K117" i="12" a="1"/>
  <c r="K117" i="12" s="1"/>
  <c r="D118" i="12"/>
  <c r="DY115" i="9"/>
  <c r="DZ115" i="9"/>
  <c r="DW115" i="9"/>
  <c r="DX115" i="9"/>
  <c r="M117" i="9"/>
  <c r="P117" i="9" s="1"/>
  <c r="Q117" i="9" s="1"/>
  <c r="BA114" i="12"/>
  <c r="BB114" i="12"/>
  <c r="AZ114" i="12"/>
  <c r="AG114" i="12"/>
  <c r="AH114" i="12"/>
  <c r="AI114" i="12"/>
  <c r="AJ114" i="12" s="1"/>
  <c r="CN115" i="9"/>
  <c r="CL115" i="9"/>
  <c r="CK115" i="9"/>
  <c r="CM115" i="9"/>
  <c r="BS114" i="12"/>
  <c r="BT114" i="12"/>
  <c r="BU114" i="12"/>
  <c r="DX114" i="12"/>
  <c r="DY114" i="12"/>
  <c r="DZ114" i="12"/>
  <c r="L118" i="9" a="1"/>
  <c r="L118" i="9" s="1"/>
  <c r="N118" i="9" a="1"/>
  <c r="N118" i="9" s="1"/>
  <c r="K118" i="9" a="1"/>
  <c r="K118" i="9" s="1"/>
  <c r="G118" i="9" a="1"/>
  <c r="G118" i="9" s="1"/>
  <c r="J118" i="9" a="1"/>
  <c r="J118" i="9" s="1"/>
  <c r="H118" i="9" a="1"/>
  <c r="H118" i="9" s="1"/>
  <c r="O118" i="9" a="1"/>
  <c r="O118" i="9" s="1"/>
  <c r="D119" i="9"/>
  <c r="M116" i="12"/>
  <c r="P116" i="12" s="1"/>
  <c r="Q116" i="12" s="1"/>
  <c r="DG115" i="9"/>
  <c r="DE115" i="9"/>
  <c r="DD115" i="9"/>
  <c r="DF115" i="9"/>
  <c r="BB115" i="9"/>
  <c r="AY115" i="9"/>
  <c r="AZ115" i="9"/>
  <c r="BA115" i="9"/>
  <c r="AI115" i="9"/>
  <c r="AF115" i="9"/>
  <c r="AG115" i="9"/>
  <c r="AH115" i="9"/>
  <c r="BC113" i="12"/>
  <c r="I118" i="9"/>
  <c r="DQ117" i="9"/>
  <c r="DR117" i="9" s="1"/>
  <c r="DV117" i="9" s="1"/>
  <c r="Z117" i="9"/>
  <c r="AA117" i="9" s="1"/>
  <c r="AE117" i="9" s="1"/>
  <c r="CE117" i="9"/>
  <c r="CF117" i="9" s="1"/>
  <c r="CJ117" i="9" s="1"/>
  <c r="AS117" i="9"/>
  <c r="AT117" i="9" s="1"/>
  <c r="AX117" i="9" s="1"/>
  <c r="FC117" i="9"/>
  <c r="FD117" i="9" s="1"/>
  <c r="FH117" i="9" s="1"/>
  <c r="CX117" i="9"/>
  <c r="CY117" i="9" s="1"/>
  <c r="DC117" i="9" s="1"/>
  <c r="EJ117" i="9"/>
  <c r="EK117" i="9" s="1"/>
  <c r="EO117" i="9" s="1"/>
  <c r="BL117" i="9"/>
  <c r="BM117" i="9" s="1"/>
  <c r="BQ117" i="9" s="1"/>
  <c r="DE114" i="12"/>
  <c r="DG114" i="12"/>
  <c r="DF114" i="12"/>
  <c r="EQ114" i="12"/>
  <c r="ER114" i="12"/>
  <c r="ES114" i="12"/>
  <c r="FJ114" i="12"/>
  <c r="FK114" i="12"/>
  <c r="FL114" i="12"/>
  <c r="EQ115" i="9"/>
  <c r="ER115" i="9"/>
  <c r="EP115" i="9"/>
  <c r="ES115" i="9"/>
  <c r="AJ113" i="12"/>
  <c r="BS115" i="9"/>
  <c r="BT115" i="9"/>
  <c r="BU115" i="9"/>
  <c r="BR115" i="9"/>
  <c r="AJ115" i="9" l="1"/>
  <c r="ET115" i="9"/>
  <c r="BV115" i="9"/>
  <c r="CO115" i="9"/>
  <c r="FM115" i="9"/>
  <c r="DH115" i="9"/>
  <c r="BC115" i="9"/>
  <c r="EA115" i="9"/>
  <c r="BV114" i="12"/>
  <c r="FM114" i="12"/>
  <c r="BC114" i="12"/>
  <c r="DH114" i="12"/>
  <c r="CO114" i="12"/>
  <c r="EA114" i="12"/>
  <c r="M118" i="9"/>
  <c r="P118" i="9" s="1"/>
  <c r="Q118" i="9" s="1"/>
  <c r="M117" i="12"/>
  <c r="P117" i="12" s="1"/>
  <c r="Q117" i="12" s="1"/>
  <c r="EP116" i="12"/>
  <c r="FE116" i="12"/>
  <c r="FG116" i="12" s="1"/>
  <c r="FF116" i="12"/>
  <c r="CK116" i="12"/>
  <c r="DD116" i="12"/>
  <c r="AB116" i="12"/>
  <c r="AD116" i="12" s="1"/>
  <c r="BN116" i="12"/>
  <c r="BP116" i="12" s="1"/>
  <c r="BO116" i="12"/>
  <c r="AC116" i="12"/>
  <c r="DW116" i="12"/>
  <c r="FI116" i="12"/>
  <c r="DS116" i="12"/>
  <c r="DU116" i="12" s="1"/>
  <c r="BR116" i="12"/>
  <c r="AF116" i="12"/>
  <c r="AY116" i="12"/>
  <c r="EM116" i="12"/>
  <c r="DA116" i="12"/>
  <c r="CH116" i="12"/>
  <c r="EL116" i="12"/>
  <c r="EN116" i="12" s="1"/>
  <c r="CZ116" i="12"/>
  <c r="DB116" i="12" s="1"/>
  <c r="CG116" i="12"/>
  <c r="CI116" i="12" s="1"/>
  <c r="DT116" i="12"/>
  <c r="AU116" i="12"/>
  <c r="AW116" i="12" s="1"/>
  <c r="AV116" i="12"/>
  <c r="FJ115" i="12"/>
  <c r="FL115" i="12"/>
  <c r="FK115" i="12"/>
  <c r="K118" i="12" a="1"/>
  <c r="K118" i="12" s="1"/>
  <c r="N118" i="12" a="1"/>
  <c r="N118" i="12" s="1"/>
  <c r="O118" i="12" a="1"/>
  <c r="O118" i="12" s="1"/>
  <c r="H118" i="12" a="1"/>
  <c r="H118" i="12" s="1"/>
  <c r="L118" i="12" a="1"/>
  <c r="L118" i="12" s="1"/>
  <c r="J118" i="12" a="1"/>
  <c r="J118" i="12" s="1"/>
  <c r="G118" i="12" a="1"/>
  <c r="G118" i="12" s="1"/>
  <c r="D119" i="12"/>
  <c r="AH115" i="12"/>
  <c r="AI115" i="12"/>
  <c r="AG115" i="12"/>
  <c r="DW116" i="9"/>
  <c r="DX116" i="9"/>
  <c r="DZ116" i="9"/>
  <c r="DY116" i="9"/>
  <c r="BS115" i="12"/>
  <c r="BT115" i="12"/>
  <c r="BU115" i="12"/>
  <c r="BA115" i="12"/>
  <c r="AZ115" i="12"/>
  <c r="BB115" i="12"/>
  <c r="FK116" i="9"/>
  <c r="FL116" i="9"/>
  <c r="FI116" i="9"/>
  <c r="FJ116" i="9"/>
  <c r="K119" i="9" a="1"/>
  <c r="K119" i="9" s="1"/>
  <c r="O119" i="9" a="1"/>
  <c r="O119" i="9" s="1"/>
  <c r="J119" i="9" a="1"/>
  <c r="J119" i="9" s="1"/>
  <c r="L119" i="9" a="1"/>
  <c r="L119" i="9" s="1"/>
  <c r="N119" i="9" a="1"/>
  <c r="N119" i="9" s="1"/>
  <c r="H119" i="9" a="1"/>
  <c r="H119" i="9" s="1"/>
  <c r="G119" i="9" a="1"/>
  <c r="G119" i="9" s="1"/>
  <c r="D120" i="9"/>
  <c r="ES116" i="9"/>
  <c r="ER116" i="9"/>
  <c r="EP116" i="9"/>
  <c r="ET116" i="9" s="1"/>
  <c r="EQ116" i="9"/>
  <c r="AU117" i="9"/>
  <c r="AW117" i="9" s="1"/>
  <c r="CH117" i="9"/>
  <c r="BO117" i="9"/>
  <c r="BN117" i="9"/>
  <c r="BP117" i="9" s="1"/>
  <c r="CG117" i="9"/>
  <c r="CI117" i="9" s="1"/>
  <c r="FF117" i="9"/>
  <c r="AV117" i="9"/>
  <c r="FE117" i="9"/>
  <c r="FG117" i="9" s="1"/>
  <c r="AB117" i="9"/>
  <c r="AD117" i="9" s="1"/>
  <c r="EL117" i="9"/>
  <c r="EN117" i="9" s="1"/>
  <c r="EM117" i="9"/>
  <c r="DA117" i="9"/>
  <c r="CZ117" i="9"/>
  <c r="DB117" i="9" s="1"/>
  <c r="AC117" i="9"/>
  <c r="DS117" i="9"/>
  <c r="DU117" i="9" s="1"/>
  <c r="DT117" i="9"/>
  <c r="DE116" i="9"/>
  <c r="DG116" i="9"/>
  <c r="DF116" i="9"/>
  <c r="DD116" i="9"/>
  <c r="BS116" i="9"/>
  <c r="BR116" i="9"/>
  <c r="BT116" i="9"/>
  <c r="BU116" i="9"/>
  <c r="CN115" i="12"/>
  <c r="CM115" i="12"/>
  <c r="CL115" i="12"/>
  <c r="EQ115" i="12"/>
  <c r="ER115" i="12"/>
  <c r="ES115" i="12"/>
  <c r="AY116" i="9"/>
  <c r="BB116" i="9"/>
  <c r="AZ116" i="9"/>
  <c r="BA116" i="9"/>
  <c r="I119" i="9"/>
  <c r="AS118" i="9"/>
  <c r="AT118" i="9" s="1"/>
  <c r="AX118" i="9" s="1"/>
  <c r="Z118" i="9"/>
  <c r="AA118" i="9" s="1"/>
  <c r="AE118" i="9" s="1"/>
  <c r="CX118" i="9"/>
  <c r="CY118" i="9" s="1"/>
  <c r="DC118" i="9" s="1"/>
  <c r="CE118" i="9"/>
  <c r="CF118" i="9" s="1"/>
  <c r="CJ118" i="9" s="1"/>
  <c r="DQ118" i="9"/>
  <c r="DR118" i="9" s="1"/>
  <c r="DV118" i="9" s="1"/>
  <c r="BL118" i="9"/>
  <c r="BM118" i="9" s="1"/>
  <c r="BQ118" i="9" s="1"/>
  <c r="FC118" i="9"/>
  <c r="FD118" i="9" s="1"/>
  <c r="FH118" i="9" s="1"/>
  <c r="EJ118" i="9"/>
  <c r="EK118" i="9" s="1"/>
  <c r="EO118" i="9" s="1"/>
  <c r="ET114" i="12"/>
  <c r="DX115" i="12"/>
  <c r="DZ115" i="12"/>
  <c r="DY115" i="12"/>
  <c r="DE115" i="12"/>
  <c r="DF115" i="12"/>
  <c r="DG115" i="12"/>
  <c r="AF116" i="9"/>
  <c r="AH116" i="9"/>
  <c r="AG116" i="9"/>
  <c r="AI116" i="9"/>
  <c r="CL116" i="9"/>
  <c r="CM116" i="9"/>
  <c r="CK116" i="9"/>
  <c r="CN116" i="9"/>
  <c r="CO116" i="9" l="1"/>
  <c r="EA116" i="9"/>
  <c r="BV116" i="9"/>
  <c r="DH116" i="9"/>
  <c r="FM116" i="9"/>
  <c r="AJ116" i="9"/>
  <c r="BC116" i="9"/>
  <c r="AJ115" i="12"/>
  <c r="BV115" i="12"/>
  <c r="FM115" i="12"/>
  <c r="CG118" i="9"/>
  <c r="CI118" i="9" s="1"/>
  <c r="BO118" i="9"/>
  <c r="AC118" i="9"/>
  <c r="FF118" i="9"/>
  <c r="CZ118" i="9"/>
  <c r="DB118" i="9" s="1"/>
  <c r="DD118" i="9" s="1"/>
  <c r="AU118" i="9"/>
  <c r="AW118" i="9" s="1"/>
  <c r="AZ118" i="9" s="1"/>
  <c r="AB118" i="9"/>
  <c r="AD118" i="9" s="1"/>
  <c r="AH118" i="9" s="1"/>
  <c r="CH118" i="9"/>
  <c r="DA118" i="9"/>
  <c r="FE118" i="9"/>
  <c r="FG118" i="9" s="1"/>
  <c r="EM118" i="9"/>
  <c r="BN118" i="9"/>
  <c r="BP118" i="9" s="1"/>
  <c r="BU118" i="9" s="1"/>
  <c r="AV118" i="9"/>
  <c r="EL118" i="9"/>
  <c r="EN118" i="9" s="1"/>
  <c r="ER118" i="9" s="1"/>
  <c r="DH115" i="12"/>
  <c r="BC115" i="12"/>
  <c r="CO115" i="12"/>
  <c r="ET115" i="12"/>
  <c r="M119" i="9"/>
  <c r="P119" i="9" s="1"/>
  <c r="Q119" i="9" s="1"/>
  <c r="AZ116" i="12"/>
  <c r="BB116" i="12"/>
  <c r="BA116" i="12"/>
  <c r="BS116" i="12"/>
  <c r="BU116" i="12"/>
  <c r="BT116" i="12"/>
  <c r="DG117" i="9"/>
  <c r="DF117" i="9"/>
  <c r="DE117" i="9"/>
  <c r="DD117" i="9"/>
  <c r="CN117" i="9"/>
  <c r="CK117" i="9"/>
  <c r="CO117" i="9" s="1"/>
  <c r="CM117" i="9"/>
  <c r="CL117" i="9"/>
  <c r="AG116" i="12"/>
  <c r="AH116" i="12"/>
  <c r="AI116" i="12"/>
  <c r="DZ117" i="9"/>
  <c r="DY117" i="9"/>
  <c r="DW117" i="9"/>
  <c r="DX117" i="9"/>
  <c r="BR117" i="9"/>
  <c r="BS117" i="9"/>
  <c r="BT117" i="9"/>
  <c r="BU117" i="9"/>
  <c r="CL116" i="12"/>
  <c r="CM116" i="12"/>
  <c r="CN116" i="12"/>
  <c r="I120" i="9"/>
  <c r="EJ119" i="9"/>
  <c r="EK119" i="9" s="1"/>
  <c r="EO119" i="9" s="1"/>
  <c r="DQ119" i="9"/>
  <c r="DR119" i="9" s="1"/>
  <c r="DV119" i="9" s="1"/>
  <c r="AS119" i="9"/>
  <c r="AT119" i="9" s="1"/>
  <c r="AX119" i="9" s="1"/>
  <c r="BL119" i="9"/>
  <c r="BM119" i="9" s="1"/>
  <c r="BQ119" i="9" s="1"/>
  <c r="CX119" i="9"/>
  <c r="CY119" i="9" s="1"/>
  <c r="DC119" i="9" s="1"/>
  <c r="FC119" i="9"/>
  <c r="FD119" i="9" s="1"/>
  <c r="FH119" i="9" s="1"/>
  <c r="Z119" i="9"/>
  <c r="AA119" i="9" s="1"/>
  <c r="AE119" i="9" s="1"/>
  <c r="CE119" i="9"/>
  <c r="CF119" i="9" s="1"/>
  <c r="CJ119" i="9" s="1"/>
  <c r="DT118" i="9"/>
  <c r="CL118" i="9"/>
  <c r="CK118" i="9"/>
  <c r="CM118" i="9"/>
  <c r="CN118" i="9"/>
  <c r="DE116" i="12"/>
  <c r="DG116" i="12"/>
  <c r="DF116" i="12"/>
  <c r="DX116" i="12"/>
  <c r="DZ116" i="12"/>
  <c r="DY116" i="12"/>
  <c r="DS118" i="9"/>
  <c r="DU118" i="9" s="1"/>
  <c r="ER117" i="9"/>
  <c r="EP117" i="9"/>
  <c r="EQ117" i="9"/>
  <c r="ES117" i="9"/>
  <c r="J120" i="9" a="1"/>
  <c r="J120" i="9" s="1"/>
  <c r="G120" i="9" a="1"/>
  <c r="G120" i="9" s="1"/>
  <c r="N120" i="9" a="1"/>
  <c r="N120" i="9" s="1"/>
  <c r="O120" i="9" a="1"/>
  <c r="O120" i="9" s="1"/>
  <c r="L120" i="9" a="1"/>
  <c r="L120" i="9" s="1"/>
  <c r="H120" i="9" a="1"/>
  <c r="H120" i="9" s="1"/>
  <c r="K120" i="9" a="1"/>
  <c r="K120" i="9" s="1"/>
  <c r="D121" i="9"/>
  <c r="L119" i="12" a="1"/>
  <c r="L119" i="12" s="1"/>
  <c r="J119" i="12" a="1"/>
  <c r="J119" i="12" s="1"/>
  <c r="G119" i="12" a="1"/>
  <c r="G119" i="12" s="1"/>
  <c r="O119" i="12" a="1"/>
  <c r="O119" i="12" s="1"/>
  <c r="N119" i="12" a="1"/>
  <c r="N119" i="12" s="1"/>
  <c r="H119" i="12" a="1"/>
  <c r="H119" i="12" s="1"/>
  <c r="K119" i="12" a="1"/>
  <c r="K119" i="12" s="1"/>
  <c r="D120" i="12"/>
  <c r="EQ116" i="12"/>
  <c r="ER116" i="12"/>
  <c r="ES116" i="12"/>
  <c r="AF117" i="9"/>
  <c r="AG117" i="9"/>
  <c r="AH117" i="9"/>
  <c r="AI117" i="9"/>
  <c r="BB117" i="9"/>
  <c r="AZ117" i="9"/>
  <c r="BA117" i="9"/>
  <c r="AY117" i="9"/>
  <c r="FJ116" i="12"/>
  <c r="FK116" i="12"/>
  <c r="FL116" i="12"/>
  <c r="EP117" i="12"/>
  <c r="FE117" i="12"/>
  <c r="FG117" i="12" s="1"/>
  <c r="FF117" i="12"/>
  <c r="DD117" i="12"/>
  <c r="CK117" i="12"/>
  <c r="BN117" i="12"/>
  <c r="BP117" i="12" s="1"/>
  <c r="BO117" i="12"/>
  <c r="AB117" i="12"/>
  <c r="AD117" i="12" s="1"/>
  <c r="AC117" i="12"/>
  <c r="AF117" i="12"/>
  <c r="CZ117" i="12"/>
  <c r="DB117" i="12" s="1"/>
  <c r="AY117" i="12"/>
  <c r="DA117" i="12"/>
  <c r="DW117" i="12"/>
  <c r="DT117" i="12"/>
  <c r="CG117" i="12"/>
  <c r="CI117" i="12" s="1"/>
  <c r="DS117" i="12"/>
  <c r="DU117" i="12" s="1"/>
  <c r="EL117" i="12"/>
  <c r="EN117" i="12" s="1"/>
  <c r="CH117" i="12"/>
  <c r="FI117" i="12"/>
  <c r="BR117" i="12"/>
  <c r="EM117" i="12"/>
  <c r="AU117" i="12"/>
  <c r="AW117" i="12" s="1"/>
  <c r="AV117" i="12"/>
  <c r="EA115" i="12"/>
  <c r="FI118" i="9"/>
  <c r="FL118" i="9"/>
  <c r="FK118" i="9"/>
  <c r="FJ118" i="9"/>
  <c r="FL117" i="9"/>
  <c r="FK117" i="9"/>
  <c r="FI117" i="9"/>
  <c r="FM117" i="9" s="1"/>
  <c r="FJ117" i="9"/>
  <c r="M118" i="12"/>
  <c r="P118" i="12" s="1"/>
  <c r="Q118" i="12" s="1"/>
  <c r="BR118" i="9" l="1"/>
  <c r="BT118" i="9"/>
  <c r="EA117" i="9"/>
  <c r="DH117" i="9"/>
  <c r="ET117" i="9"/>
  <c r="BV117" i="9"/>
  <c r="BV118" i="9" s="1"/>
  <c r="FM118" i="9"/>
  <c r="AJ117" i="9"/>
  <c r="AJ118" i="9" s="1"/>
  <c r="BS118" i="9"/>
  <c r="CO118" i="9"/>
  <c r="BC117" i="9"/>
  <c r="EQ118" i="9"/>
  <c r="EP118" i="9"/>
  <c r="ET118" i="9" s="1"/>
  <c r="ES118" i="9"/>
  <c r="AY118" i="9"/>
  <c r="BC116" i="12"/>
  <c r="BV116" i="12"/>
  <c r="DG118" i="9"/>
  <c r="DE118" i="9"/>
  <c r="DH118" i="9" s="1"/>
  <c r="BB118" i="9"/>
  <c r="BA118" i="9"/>
  <c r="AF118" i="9"/>
  <c r="AG118" i="9"/>
  <c r="DF118" i="9"/>
  <c r="FM116" i="12"/>
  <c r="EA116" i="12"/>
  <c r="AJ116" i="12"/>
  <c r="AI118" i="9"/>
  <c r="CO116" i="12"/>
  <c r="ET116" i="12"/>
  <c r="M119" i="12"/>
  <c r="P119" i="12" s="1"/>
  <c r="Q119" i="12" s="1"/>
  <c r="DX117" i="12"/>
  <c r="DY117" i="12"/>
  <c r="DZ117" i="12"/>
  <c r="FJ117" i="12"/>
  <c r="FK117" i="12"/>
  <c r="FL117" i="12"/>
  <c r="CN117" i="12"/>
  <c r="CL117" i="12"/>
  <c r="CM117" i="12"/>
  <c r="AG117" i="12"/>
  <c r="AH117" i="12"/>
  <c r="AI117" i="12"/>
  <c r="DH116" i="12"/>
  <c r="I121" i="9"/>
  <c r="BL120" i="9"/>
  <c r="BM120" i="9" s="1"/>
  <c r="BQ120" i="9" s="1"/>
  <c r="AS120" i="9"/>
  <c r="AT120" i="9" s="1"/>
  <c r="AX120" i="9" s="1"/>
  <c r="CE120" i="9"/>
  <c r="CF120" i="9" s="1"/>
  <c r="CJ120" i="9" s="1"/>
  <c r="FC120" i="9"/>
  <c r="FD120" i="9" s="1"/>
  <c r="FH120" i="9" s="1"/>
  <c r="Z120" i="9"/>
  <c r="AA120" i="9" s="1"/>
  <c r="AE120" i="9" s="1"/>
  <c r="CX120" i="9"/>
  <c r="CY120" i="9" s="1"/>
  <c r="DC120" i="9" s="1"/>
  <c r="EJ120" i="9"/>
  <c r="EK120" i="9" s="1"/>
  <c r="EO120" i="9" s="1"/>
  <c r="DQ120" i="9"/>
  <c r="DR120" i="9" s="1"/>
  <c r="DV120" i="9" s="1"/>
  <c r="EQ117" i="12"/>
  <c r="ER117" i="12"/>
  <c r="ES117" i="12"/>
  <c r="AZ117" i="12"/>
  <c r="BA117" i="12"/>
  <c r="BB117" i="12"/>
  <c r="M120" i="9"/>
  <c r="P120" i="9" s="1"/>
  <c r="Q120" i="9" s="1"/>
  <c r="CH119" i="9"/>
  <c r="BN119" i="9"/>
  <c r="BP119" i="9" s="1"/>
  <c r="CG119" i="9"/>
  <c r="CI119" i="9" s="1"/>
  <c r="BO119" i="9"/>
  <c r="FE119" i="9"/>
  <c r="FG119" i="9" s="1"/>
  <c r="FF119" i="9"/>
  <c r="AU119" i="9"/>
  <c r="AW119" i="9" s="1"/>
  <c r="AV119" i="9"/>
  <c r="EL119" i="9"/>
  <c r="EN119" i="9" s="1"/>
  <c r="AC119" i="9"/>
  <c r="AB119" i="9"/>
  <c r="AD119" i="9" s="1"/>
  <c r="CZ119" i="9"/>
  <c r="DB119" i="9" s="1"/>
  <c r="EM119" i="9"/>
  <c r="DA119" i="9"/>
  <c r="DT119" i="9"/>
  <c r="DS119" i="9"/>
  <c r="DU119" i="9" s="1"/>
  <c r="BS117" i="12"/>
  <c r="BU117" i="12"/>
  <c r="BT117" i="12"/>
  <c r="DZ118" i="9"/>
  <c r="DW118" i="9"/>
  <c r="DX118" i="9"/>
  <c r="DY118" i="9"/>
  <c r="L120" i="12" a="1"/>
  <c r="L120" i="12" s="1"/>
  <c r="K120" i="12" a="1"/>
  <c r="K120" i="12" s="1"/>
  <c r="N120" i="12" a="1"/>
  <c r="N120" i="12" s="1"/>
  <c r="J120" i="12" a="1"/>
  <c r="J120" i="12" s="1"/>
  <c r="O120" i="12" a="1"/>
  <c r="O120" i="12" s="1"/>
  <c r="G120" i="12" a="1"/>
  <c r="G120" i="12" s="1"/>
  <c r="H120" i="12" a="1"/>
  <c r="H120" i="12" s="1"/>
  <c r="D121" i="12"/>
  <c r="L121" i="9" a="1"/>
  <c r="L121" i="9" s="1"/>
  <c r="O121" i="9" a="1"/>
  <c r="O121" i="9" s="1"/>
  <c r="H121" i="9" a="1"/>
  <c r="H121" i="9" s="1"/>
  <c r="K121" i="9" a="1"/>
  <c r="K121" i="9" s="1"/>
  <c r="G121" i="9" a="1"/>
  <c r="G121" i="9" s="1"/>
  <c r="N121" i="9" a="1"/>
  <c r="N121" i="9" s="1"/>
  <c r="J121" i="9" a="1"/>
  <c r="J121" i="9" s="1"/>
  <c r="D122" i="9"/>
  <c r="FF118" i="12"/>
  <c r="FE118" i="12"/>
  <c r="FG118" i="12" s="1"/>
  <c r="EP118" i="12"/>
  <c r="CK118" i="12"/>
  <c r="DD118" i="12"/>
  <c r="AC118" i="12"/>
  <c r="BO118" i="12"/>
  <c r="BN118" i="12"/>
  <c r="BP118" i="12" s="1"/>
  <c r="AB118" i="12"/>
  <c r="AD118" i="12" s="1"/>
  <c r="CZ118" i="12"/>
  <c r="DB118" i="12" s="1"/>
  <c r="EM118" i="12"/>
  <c r="DT118" i="12"/>
  <c r="CG118" i="12"/>
  <c r="CI118" i="12" s="1"/>
  <c r="EL118" i="12"/>
  <c r="EN118" i="12" s="1"/>
  <c r="DS118" i="12"/>
  <c r="DU118" i="12" s="1"/>
  <c r="FI118" i="12"/>
  <c r="BR118" i="12"/>
  <c r="AY118" i="12"/>
  <c r="CH118" i="12"/>
  <c r="DW118" i="12"/>
  <c r="DA118" i="12"/>
  <c r="AF118" i="12"/>
  <c r="AV118" i="12"/>
  <c r="AU118" i="12"/>
  <c r="AW118" i="12" s="1"/>
  <c r="DE117" i="12"/>
  <c r="DF117" i="12"/>
  <c r="DG117" i="12"/>
  <c r="AJ117" i="12" l="1"/>
  <c r="BC117" i="12"/>
  <c r="FM117" i="12"/>
  <c r="BC118" i="9"/>
  <c r="EA118" i="9"/>
  <c r="EA117" i="12"/>
  <c r="CO117" i="12"/>
  <c r="BV117" i="12"/>
  <c r="M120" i="12"/>
  <c r="P120" i="12" s="1"/>
  <c r="Q120" i="12" s="1"/>
  <c r="BN120" i="9"/>
  <c r="BP120" i="9" s="1"/>
  <c r="FF120" i="9"/>
  <c r="AV120" i="9"/>
  <c r="BO120" i="9"/>
  <c r="AU120" i="9"/>
  <c r="AW120" i="9" s="1"/>
  <c r="CG120" i="9"/>
  <c r="CI120" i="9" s="1"/>
  <c r="FE120" i="9"/>
  <c r="FG120" i="9" s="1"/>
  <c r="CH120" i="9"/>
  <c r="EM120" i="9"/>
  <c r="AC120" i="9"/>
  <c r="DA120" i="9"/>
  <c r="AB120" i="9"/>
  <c r="AD120" i="9" s="1"/>
  <c r="CZ120" i="9"/>
  <c r="DB120" i="9" s="1"/>
  <c r="EL120" i="9"/>
  <c r="EN120" i="9" s="1"/>
  <c r="DS120" i="9"/>
  <c r="DU120" i="9" s="1"/>
  <c r="DT120" i="9"/>
  <c r="DX119" i="9"/>
  <c r="DY119" i="9"/>
  <c r="DW119" i="9"/>
  <c r="DZ119" i="9"/>
  <c r="CN118" i="12"/>
  <c r="CM118" i="12"/>
  <c r="CL118" i="12"/>
  <c r="I122" i="9"/>
  <c r="CX121" i="9"/>
  <c r="CY121" i="9" s="1"/>
  <c r="DC121" i="9" s="1"/>
  <c r="CE121" i="9"/>
  <c r="CF121" i="9" s="1"/>
  <c r="CJ121" i="9" s="1"/>
  <c r="EJ121" i="9"/>
  <c r="EK121" i="9" s="1"/>
  <c r="EO121" i="9" s="1"/>
  <c r="DQ121" i="9"/>
  <c r="DR121" i="9" s="1"/>
  <c r="DV121" i="9" s="1"/>
  <c r="AS121" i="9"/>
  <c r="AT121" i="9" s="1"/>
  <c r="AX121" i="9" s="1"/>
  <c r="Z121" i="9"/>
  <c r="AA121" i="9" s="1"/>
  <c r="AE121" i="9" s="1"/>
  <c r="BL121" i="9"/>
  <c r="BM121" i="9" s="1"/>
  <c r="BQ121" i="9" s="1"/>
  <c r="FC121" i="9"/>
  <c r="FD121" i="9" s="1"/>
  <c r="FH121" i="9" s="1"/>
  <c r="BA119" i="9"/>
  <c r="BB119" i="9"/>
  <c r="AZ119" i="9"/>
  <c r="AY119" i="9"/>
  <c r="DE118" i="12"/>
  <c r="DF118" i="12"/>
  <c r="DG118" i="12"/>
  <c r="FJ118" i="12"/>
  <c r="FL118" i="12"/>
  <c r="FK118" i="12"/>
  <c r="AG118" i="12"/>
  <c r="AH118" i="12"/>
  <c r="AI118" i="12"/>
  <c r="FK119" i="9"/>
  <c r="FL119" i="9"/>
  <c r="FI119" i="9"/>
  <c r="FJ119" i="9"/>
  <c r="FE119" i="12"/>
  <c r="FG119" i="12" s="1"/>
  <c r="EP119" i="12"/>
  <c r="FF119" i="12"/>
  <c r="DD119" i="12"/>
  <c r="CK119" i="12"/>
  <c r="AC119" i="12"/>
  <c r="BN119" i="12"/>
  <c r="BP119" i="12" s="1"/>
  <c r="BO119" i="12"/>
  <c r="AB119" i="12"/>
  <c r="AD119" i="12" s="1"/>
  <c r="DS119" i="12"/>
  <c r="DU119" i="12" s="1"/>
  <c r="CH119" i="12"/>
  <c r="AF119" i="12"/>
  <c r="AY119" i="12"/>
  <c r="BR119" i="12"/>
  <c r="DW119" i="12"/>
  <c r="EM119" i="12"/>
  <c r="DA119" i="12"/>
  <c r="EL119" i="12"/>
  <c r="EN119" i="12" s="1"/>
  <c r="CZ119" i="12"/>
  <c r="DB119" i="12" s="1"/>
  <c r="CG119" i="12"/>
  <c r="CI119" i="12" s="1"/>
  <c r="FI119" i="12"/>
  <c r="DT119" i="12"/>
  <c r="AU119" i="12"/>
  <c r="AW119" i="12" s="1"/>
  <c r="AV119" i="12"/>
  <c r="DH117" i="12"/>
  <c r="AZ118" i="12"/>
  <c r="BA118" i="12"/>
  <c r="BB118" i="12"/>
  <c r="BS118" i="12"/>
  <c r="BU118" i="12"/>
  <c r="BT118" i="12"/>
  <c r="G121" i="12" a="1"/>
  <c r="G121" i="12" s="1"/>
  <c r="K121" i="12" a="1"/>
  <c r="K121" i="12" s="1"/>
  <c r="N121" i="12" a="1"/>
  <c r="N121" i="12" s="1"/>
  <c r="J121" i="12" a="1"/>
  <c r="J121" i="12" s="1"/>
  <c r="H121" i="12" a="1"/>
  <c r="H121" i="12" s="1"/>
  <c r="O121" i="12" a="1"/>
  <c r="O121" i="12" s="1"/>
  <c r="L121" i="12" a="1"/>
  <c r="L121" i="12" s="1"/>
  <c r="D122" i="12"/>
  <c r="DE119" i="9"/>
  <c r="DD119" i="9"/>
  <c r="DF119" i="9"/>
  <c r="DG119" i="9"/>
  <c r="EP119" i="9"/>
  <c r="ER119" i="9"/>
  <c r="EQ119" i="9"/>
  <c r="ES119" i="9"/>
  <c r="DX118" i="12"/>
  <c r="DY118" i="12"/>
  <c r="DZ118" i="12"/>
  <c r="K122" i="9" a="1"/>
  <c r="K122" i="9" s="1"/>
  <c r="J122" i="9" a="1"/>
  <c r="J122" i="9" s="1"/>
  <c r="N122" i="9" a="1"/>
  <c r="N122" i="9" s="1"/>
  <c r="H122" i="9" a="1"/>
  <c r="H122" i="9" s="1"/>
  <c r="L122" i="9" a="1"/>
  <c r="L122" i="9" s="1"/>
  <c r="O122" i="9" a="1"/>
  <c r="O122" i="9" s="1"/>
  <c r="G122" i="9" a="1"/>
  <c r="G122" i="9" s="1"/>
  <c r="D123" i="9"/>
  <c r="M121" i="9"/>
  <c r="P121" i="9" s="1"/>
  <c r="Q121" i="9" s="1"/>
  <c r="AG119" i="9"/>
  <c r="AF119" i="9"/>
  <c r="AH119" i="9"/>
  <c r="AI119" i="9"/>
  <c r="CL119" i="9"/>
  <c r="CK119" i="9"/>
  <c r="CN119" i="9"/>
  <c r="CM119" i="9"/>
  <c r="ET117" i="12"/>
  <c r="EQ118" i="12"/>
  <c r="ES118" i="12"/>
  <c r="ER118" i="12"/>
  <c r="BU119" i="9"/>
  <c r="BT119" i="9"/>
  <c r="BR119" i="9"/>
  <c r="BV119" i="9" s="1"/>
  <c r="BS119" i="9"/>
  <c r="AJ119" i="9" l="1"/>
  <c r="ET119" i="9"/>
  <c r="BC119" i="9"/>
  <c r="EA119" i="9"/>
  <c r="DH119" i="9"/>
  <c r="CO119" i="9"/>
  <c r="FM119" i="9"/>
  <c r="AJ118" i="12"/>
  <c r="FM118" i="12"/>
  <c r="BC118" i="12"/>
  <c r="ET118" i="12"/>
  <c r="CO118" i="12"/>
  <c r="BV118" i="12"/>
  <c r="CG121" i="9"/>
  <c r="CI121" i="9" s="1"/>
  <c r="AV121" i="9"/>
  <c r="FF121" i="9"/>
  <c r="CH121" i="9"/>
  <c r="AU121" i="9"/>
  <c r="AW121" i="9" s="1"/>
  <c r="FE121" i="9"/>
  <c r="FG121" i="9" s="1"/>
  <c r="BN121" i="9"/>
  <c r="BP121" i="9" s="1"/>
  <c r="BO121" i="9"/>
  <c r="EL121" i="9"/>
  <c r="EN121" i="9" s="1"/>
  <c r="AB121" i="9"/>
  <c r="AD121" i="9" s="1"/>
  <c r="CZ121" i="9"/>
  <c r="DB121" i="9" s="1"/>
  <c r="DA121" i="9"/>
  <c r="EM121" i="9"/>
  <c r="AC121" i="9"/>
  <c r="DT121" i="9"/>
  <c r="DS121" i="9"/>
  <c r="DU121" i="9" s="1"/>
  <c r="G123" i="9" a="1"/>
  <c r="G123" i="9" s="1"/>
  <c r="H123" i="9" a="1"/>
  <c r="H123" i="9" s="1"/>
  <c r="O123" i="9" a="1"/>
  <c r="O123" i="9" s="1"/>
  <c r="J123" i="9" a="1"/>
  <c r="J123" i="9" s="1"/>
  <c r="N123" i="9" a="1"/>
  <c r="N123" i="9" s="1"/>
  <c r="K123" i="9" a="1"/>
  <c r="K123" i="9" s="1"/>
  <c r="D124" i="9"/>
  <c r="L123" i="9" a="1"/>
  <c r="L123" i="9" s="1"/>
  <c r="EA118" i="12"/>
  <c r="EQ119" i="12"/>
  <c r="ER119" i="12"/>
  <c r="ES119" i="12"/>
  <c r="DX119" i="12"/>
  <c r="DY119" i="12"/>
  <c r="DZ119" i="12"/>
  <c r="DW120" i="9"/>
  <c r="DX120" i="9"/>
  <c r="DY120" i="9"/>
  <c r="DZ120" i="9"/>
  <c r="FK120" i="9"/>
  <c r="FI120" i="9"/>
  <c r="FJ120" i="9"/>
  <c r="FL120" i="9"/>
  <c r="AG119" i="12"/>
  <c r="AI119" i="12"/>
  <c r="AH119" i="12"/>
  <c r="FJ119" i="12"/>
  <c r="FL119" i="12"/>
  <c r="FK119" i="12"/>
  <c r="EP120" i="9"/>
  <c r="ER120" i="9"/>
  <c r="ES120" i="9"/>
  <c r="EQ120" i="9"/>
  <c r="CK120" i="9"/>
  <c r="CL120" i="9"/>
  <c r="CM120" i="9"/>
  <c r="CN120" i="9"/>
  <c r="K122" i="12" a="1"/>
  <c r="K122" i="12" s="1"/>
  <c r="J122" i="12" a="1"/>
  <c r="J122" i="12" s="1"/>
  <c r="N122" i="12" a="1"/>
  <c r="N122" i="12" s="1"/>
  <c r="G122" i="12" a="1"/>
  <c r="G122" i="12" s="1"/>
  <c r="H122" i="12" a="1"/>
  <c r="H122" i="12" s="1"/>
  <c r="L122" i="12" a="1"/>
  <c r="L122" i="12" s="1"/>
  <c r="O122" i="12" a="1"/>
  <c r="O122" i="12" s="1"/>
  <c r="D123" i="12"/>
  <c r="DE120" i="9"/>
  <c r="DG120" i="9"/>
  <c r="DD120" i="9"/>
  <c r="DH120" i="9" s="1"/>
  <c r="DF120" i="9"/>
  <c r="AZ120" i="9"/>
  <c r="AY120" i="9"/>
  <c r="BA120" i="9"/>
  <c r="BB120" i="9"/>
  <c r="DE119" i="12"/>
  <c r="DG119" i="12"/>
  <c r="DF119" i="12"/>
  <c r="AZ119" i="12"/>
  <c r="BA119" i="12"/>
  <c r="BB119" i="12"/>
  <c r="BS119" i="12"/>
  <c r="BT119" i="12"/>
  <c r="BU119" i="12"/>
  <c r="AF120" i="9"/>
  <c r="AG120" i="9"/>
  <c r="AI120" i="9"/>
  <c r="AH120" i="9"/>
  <c r="M122" i="9"/>
  <c r="P122" i="9" s="1"/>
  <c r="Q122" i="9" s="1"/>
  <c r="I123" i="9"/>
  <c r="DQ122" i="9"/>
  <c r="DR122" i="9" s="1"/>
  <c r="DV122" i="9" s="1"/>
  <c r="Z122" i="9"/>
  <c r="AA122" i="9" s="1"/>
  <c r="AE122" i="9" s="1"/>
  <c r="CX122" i="9"/>
  <c r="CY122" i="9" s="1"/>
  <c r="DC122" i="9" s="1"/>
  <c r="EJ122" i="9"/>
  <c r="EK122" i="9" s="1"/>
  <c r="EO122" i="9" s="1"/>
  <c r="BL122" i="9"/>
  <c r="BM122" i="9" s="1"/>
  <c r="BQ122" i="9" s="1"/>
  <c r="FC122" i="9"/>
  <c r="FD122" i="9" s="1"/>
  <c r="FH122" i="9" s="1"/>
  <c r="AS122" i="9"/>
  <c r="AT122" i="9" s="1"/>
  <c r="AX122" i="9" s="1"/>
  <c r="CE122" i="9"/>
  <c r="CF122" i="9" s="1"/>
  <c r="CJ122" i="9" s="1"/>
  <c r="EP120" i="12"/>
  <c r="FF120" i="12"/>
  <c r="FE120" i="12"/>
  <c r="FG120" i="12" s="1"/>
  <c r="DD120" i="12"/>
  <c r="CK120" i="12"/>
  <c r="AB120" i="12"/>
  <c r="AD120" i="12" s="1"/>
  <c r="BO120" i="12"/>
  <c r="AC120" i="12"/>
  <c r="BN120" i="12"/>
  <c r="BP120" i="12" s="1"/>
  <c r="FI120" i="12"/>
  <c r="DS120" i="12"/>
  <c r="DU120" i="12" s="1"/>
  <c r="EM120" i="12"/>
  <c r="AY120" i="12"/>
  <c r="DW120" i="12"/>
  <c r="EL120" i="12"/>
  <c r="EN120" i="12" s="1"/>
  <c r="BR120" i="12"/>
  <c r="AF120" i="12"/>
  <c r="DA120" i="12"/>
  <c r="CG120" i="12"/>
  <c r="CI120" i="12" s="1"/>
  <c r="CZ120" i="12"/>
  <c r="DB120" i="12" s="1"/>
  <c r="CH120" i="12"/>
  <c r="DT120" i="12"/>
  <c r="AV120" i="12"/>
  <c r="AU120" i="12"/>
  <c r="AW120" i="12" s="1"/>
  <c r="M121" i="12"/>
  <c r="P121" i="12" s="1"/>
  <c r="Q121" i="12" s="1"/>
  <c r="CL119" i="12"/>
  <c r="CN119" i="12"/>
  <c r="CM119" i="12"/>
  <c r="DH118" i="12"/>
  <c r="BU120" i="9"/>
  <c r="BS120" i="9"/>
  <c r="BT120" i="9"/>
  <c r="BR120" i="9"/>
  <c r="FM120" i="9" l="1"/>
  <c r="EA120" i="9"/>
  <c r="AJ120" i="9"/>
  <c r="BC120" i="9"/>
  <c r="ET120" i="9"/>
  <c r="BV120" i="9"/>
  <c r="CO120" i="9"/>
  <c r="ET119" i="12"/>
  <c r="BV119" i="12"/>
  <c r="FM119" i="12"/>
  <c r="BC119" i="12"/>
  <c r="AJ119" i="12"/>
  <c r="EP121" i="12"/>
  <c r="FE121" i="12"/>
  <c r="FG121" i="12" s="1"/>
  <c r="FF121" i="12"/>
  <c r="DD121" i="12"/>
  <c r="CK121" i="12"/>
  <c r="AB121" i="12"/>
  <c r="AD121" i="12" s="1"/>
  <c r="BN121" i="12"/>
  <c r="BP121" i="12" s="1"/>
  <c r="AC121" i="12"/>
  <c r="BO121" i="12"/>
  <c r="FI121" i="12"/>
  <c r="AF121" i="12"/>
  <c r="DW121" i="12"/>
  <c r="CH121" i="12"/>
  <c r="EM121" i="12"/>
  <c r="CZ121" i="12"/>
  <c r="DB121" i="12" s="1"/>
  <c r="BR121" i="12"/>
  <c r="CG121" i="12"/>
  <c r="CI121" i="12" s="1"/>
  <c r="EL121" i="12"/>
  <c r="EN121" i="12" s="1"/>
  <c r="DS121" i="12"/>
  <c r="DU121" i="12" s="1"/>
  <c r="AY121" i="12"/>
  <c r="DT121" i="12"/>
  <c r="DA121" i="12"/>
  <c r="AV121" i="12"/>
  <c r="AU121" i="12"/>
  <c r="AW121" i="12" s="1"/>
  <c r="FF122" i="9"/>
  <c r="BN122" i="9"/>
  <c r="BP122" i="9" s="1"/>
  <c r="FE122" i="9"/>
  <c r="FG122" i="9" s="1"/>
  <c r="CH122" i="9"/>
  <c r="AV122" i="9"/>
  <c r="CG122" i="9"/>
  <c r="CI122" i="9" s="1"/>
  <c r="AU122" i="9"/>
  <c r="AW122" i="9" s="1"/>
  <c r="BO122" i="9"/>
  <c r="DA122" i="9"/>
  <c r="AB122" i="9"/>
  <c r="AD122" i="9" s="1"/>
  <c r="CZ122" i="9"/>
  <c r="DB122" i="9" s="1"/>
  <c r="AC122" i="9"/>
  <c r="EM122" i="9"/>
  <c r="EL122" i="9"/>
  <c r="EN122" i="9" s="1"/>
  <c r="DT122" i="9"/>
  <c r="DS122" i="9"/>
  <c r="DU122" i="9" s="1"/>
  <c r="AG120" i="12"/>
  <c r="AI120" i="12"/>
  <c r="AH120" i="12"/>
  <c r="DH119" i="12"/>
  <c r="M122" i="12"/>
  <c r="BU121" i="9"/>
  <c r="BT121" i="9"/>
  <c r="BS121" i="9"/>
  <c r="BR121" i="9"/>
  <c r="AZ120" i="12"/>
  <c r="BB120" i="12"/>
  <c r="BA120" i="12"/>
  <c r="L124" i="9" a="1"/>
  <c r="L124" i="9" s="1"/>
  <c r="K124" i="9" a="1"/>
  <c r="K124" i="9" s="1"/>
  <c r="O124" i="9" a="1"/>
  <c r="O124" i="9" s="1"/>
  <c r="J124" i="9" a="1"/>
  <c r="J124" i="9" s="1"/>
  <c r="H124" i="9" a="1"/>
  <c r="H124" i="9" s="1"/>
  <c r="N124" i="9" a="1"/>
  <c r="N124" i="9" s="1"/>
  <c r="G124" i="9" a="1"/>
  <c r="G124" i="9" s="1"/>
  <c r="D125" i="9"/>
  <c r="FK121" i="9"/>
  <c r="FI121" i="9"/>
  <c r="FL121" i="9"/>
  <c r="FJ121" i="9"/>
  <c r="I124" i="9"/>
  <c r="AS123" i="9"/>
  <c r="AT123" i="9" s="1"/>
  <c r="AX123" i="9" s="1"/>
  <c r="CE123" i="9"/>
  <c r="CF123" i="9" s="1"/>
  <c r="CJ123" i="9" s="1"/>
  <c r="CX123" i="9"/>
  <c r="CY123" i="9" s="1"/>
  <c r="DC123" i="9" s="1"/>
  <c r="EJ123" i="9"/>
  <c r="EK123" i="9" s="1"/>
  <c r="EO123" i="9" s="1"/>
  <c r="BL123" i="9"/>
  <c r="BM123" i="9" s="1"/>
  <c r="BQ123" i="9" s="1"/>
  <c r="FC123" i="9"/>
  <c r="FD123" i="9" s="1"/>
  <c r="FH123" i="9" s="1"/>
  <c r="DQ123" i="9"/>
  <c r="DR123" i="9" s="1"/>
  <c r="DV123" i="9" s="1"/>
  <c r="Z123" i="9"/>
  <c r="AA123" i="9" s="1"/>
  <c r="AE123" i="9" s="1"/>
  <c r="DE120" i="12"/>
  <c r="DG120" i="12"/>
  <c r="DF120" i="12"/>
  <c r="L123" i="12" a="1"/>
  <c r="L123" i="12" s="1"/>
  <c r="J123" i="12" a="1"/>
  <c r="J123" i="12" s="1"/>
  <c r="N123" i="12" a="1"/>
  <c r="N123" i="12" s="1"/>
  <c r="O123" i="12" a="1"/>
  <c r="O123" i="12" s="1"/>
  <c r="H123" i="12" a="1"/>
  <c r="H123" i="12" s="1"/>
  <c r="G123" i="12" a="1"/>
  <c r="G123" i="12" s="1"/>
  <c r="K123" i="12" a="1"/>
  <c r="K123" i="12" s="1"/>
  <c r="D124" i="12"/>
  <c r="EA119" i="12"/>
  <c r="BB121" i="9"/>
  <c r="BA121" i="9"/>
  <c r="AY121" i="9"/>
  <c r="BC121" i="9" s="1"/>
  <c r="AZ121" i="9"/>
  <c r="CN120" i="12"/>
  <c r="CM120" i="12"/>
  <c r="CL120" i="12"/>
  <c r="DX120" i="12"/>
  <c r="DZ120" i="12"/>
  <c r="DY120" i="12"/>
  <c r="FJ120" i="12"/>
  <c r="FL120" i="12"/>
  <c r="FK120" i="12"/>
  <c r="M123" i="9"/>
  <c r="P123" i="9" s="1"/>
  <c r="Q123" i="9" s="1"/>
  <c r="P122" i="12"/>
  <c r="Q122" i="12" s="1"/>
  <c r="CO119" i="12"/>
  <c r="DD121" i="9"/>
  <c r="DF121" i="9"/>
  <c r="DE121" i="9"/>
  <c r="DG121" i="9"/>
  <c r="EQ120" i="12"/>
  <c r="ER120" i="12"/>
  <c r="ES120" i="12"/>
  <c r="DY121" i="9"/>
  <c r="DX121" i="9"/>
  <c r="DW121" i="9"/>
  <c r="DZ121" i="9"/>
  <c r="BS120" i="12"/>
  <c r="BT120" i="12"/>
  <c r="BU120" i="12"/>
  <c r="AI121" i="9"/>
  <c r="AH121" i="9"/>
  <c r="AG121" i="9"/>
  <c r="AF121" i="9"/>
  <c r="ES121" i="9"/>
  <c r="EQ121" i="9"/>
  <c r="EP121" i="9"/>
  <c r="ER121" i="9"/>
  <c r="CM121" i="9"/>
  <c r="CK121" i="9"/>
  <c r="CL121" i="9"/>
  <c r="CN121" i="9"/>
  <c r="BV121" i="9" l="1"/>
  <c r="CO121" i="9"/>
  <c r="ET121" i="9"/>
  <c r="AJ121" i="9"/>
  <c r="EA121" i="9"/>
  <c r="DH121" i="9"/>
  <c r="FM121" i="9"/>
  <c r="BC120" i="12"/>
  <c r="AJ120" i="12"/>
  <c r="FM120" i="12"/>
  <c r="M123" i="12"/>
  <c r="BV120" i="12"/>
  <c r="ET120" i="12"/>
  <c r="CO120" i="12"/>
  <c r="DH120" i="12"/>
  <c r="BS121" i="12"/>
  <c r="BU121" i="12"/>
  <c r="BT121" i="12"/>
  <c r="EP122" i="12"/>
  <c r="FF122" i="12"/>
  <c r="FE122" i="12"/>
  <c r="FG122" i="12" s="1"/>
  <c r="DD122" i="12"/>
  <c r="CK122" i="12"/>
  <c r="BN122" i="12"/>
  <c r="BP122" i="12" s="1"/>
  <c r="BO122" i="12"/>
  <c r="AB122" i="12"/>
  <c r="AD122" i="12" s="1"/>
  <c r="AC122" i="12"/>
  <c r="CH122" i="12"/>
  <c r="EL122" i="12"/>
  <c r="EN122" i="12" s="1"/>
  <c r="CG122" i="12"/>
  <c r="CI122" i="12" s="1"/>
  <c r="DA122" i="12"/>
  <c r="AF122" i="12"/>
  <c r="CZ122" i="12"/>
  <c r="DB122" i="12" s="1"/>
  <c r="DT122" i="12"/>
  <c r="FI122" i="12"/>
  <c r="AY122" i="12"/>
  <c r="DS122" i="12"/>
  <c r="DU122" i="12" s="1"/>
  <c r="EM122" i="12"/>
  <c r="BR122" i="12"/>
  <c r="DW122" i="12"/>
  <c r="AU122" i="12"/>
  <c r="AW122" i="12" s="1"/>
  <c r="AV122" i="12"/>
  <c r="ER122" i="9"/>
  <c r="EQ122" i="9"/>
  <c r="EP122" i="9"/>
  <c r="ES122" i="9"/>
  <c r="CN122" i="9"/>
  <c r="CM122" i="9"/>
  <c r="CL122" i="9"/>
  <c r="CK122" i="9"/>
  <c r="AG121" i="12"/>
  <c r="AI121" i="12"/>
  <c r="AH121" i="12"/>
  <c r="AJ121" i="12" s="1"/>
  <c r="AZ121" i="12"/>
  <c r="BB121" i="12"/>
  <c r="BA121" i="12"/>
  <c r="O124" i="12" a="1"/>
  <c r="O124" i="12" s="1"/>
  <c r="G124" i="12" a="1"/>
  <c r="G124" i="12" s="1"/>
  <c r="N124" i="12" a="1"/>
  <c r="N124" i="12" s="1"/>
  <c r="L124" i="12" a="1"/>
  <c r="L124" i="12" s="1"/>
  <c r="H124" i="12" a="1"/>
  <c r="H124" i="12" s="1"/>
  <c r="K124" i="12" a="1"/>
  <c r="K124" i="12" s="1"/>
  <c r="D125" i="12"/>
  <c r="J124" i="12" a="1"/>
  <c r="J124" i="12" s="1"/>
  <c r="J125" i="9" a="1"/>
  <c r="J125" i="9" s="1"/>
  <c r="G125" i="9" a="1"/>
  <c r="G125" i="9" s="1"/>
  <c r="N125" i="9" a="1"/>
  <c r="N125" i="9" s="1"/>
  <c r="O125" i="9" a="1"/>
  <c r="O125" i="9" s="1"/>
  <c r="L125" i="9" a="1"/>
  <c r="L125" i="9" s="1"/>
  <c r="H125" i="9" a="1"/>
  <c r="H125" i="9" s="1"/>
  <c r="K125" i="9" a="1"/>
  <c r="K125" i="9" s="1"/>
  <c r="D126" i="9"/>
  <c r="DE121" i="12"/>
  <c r="DF121" i="12"/>
  <c r="DG121" i="12"/>
  <c r="DY122" i="9"/>
  <c r="DX122" i="9"/>
  <c r="DZ122" i="9"/>
  <c r="DW122" i="9"/>
  <c r="BA122" i="9"/>
  <c r="AZ122" i="9"/>
  <c r="AY122" i="9"/>
  <c r="BB122" i="9"/>
  <c r="DE122" i="9"/>
  <c r="DD122" i="9"/>
  <c r="DF122" i="9"/>
  <c r="DG122" i="9"/>
  <c r="FJ122" i="9"/>
  <c r="FK122" i="9"/>
  <c r="FL122" i="9"/>
  <c r="FI122" i="9"/>
  <c r="DX121" i="12"/>
  <c r="DZ121" i="12"/>
  <c r="DY121" i="12"/>
  <c r="P123" i="12"/>
  <c r="Q123" i="12" s="1"/>
  <c r="I125" i="9"/>
  <c r="EJ124" i="9"/>
  <c r="EK124" i="9" s="1"/>
  <c r="EO124" i="9" s="1"/>
  <c r="FC124" i="9"/>
  <c r="FD124" i="9" s="1"/>
  <c r="FH124" i="9" s="1"/>
  <c r="CE124" i="9"/>
  <c r="CF124" i="9" s="1"/>
  <c r="CJ124" i="9" s="1"/>
  <c r="AS124" i="9"/>
  <c r="AT124" i="9" s="1"/>
  <c r="AX124" i="9" s="1"/>
  <c r="CX124" i="9"/>
  <c r="CY124" i="9" s="1"/>
  <c r="DC124" i="9" s="1"/>
  <c r="Z124" i="9"/>
  <c r="AA124" i="9" s="1"/>
  <c r="AE124" i="9" s="1"/>
  <c r="DQ124" i="9"/>
  <c r="DR124" i="9" s="1"/>
  <c r="DV124" i="9" s="1"/>
  <c r="BL124" i="9"/>
  <c r="BM124" i="9" s="1"/>
  <c r="BQ124" i="9" s="1"/>
  <c r="M124" i="9"/>
  <c r="P124" i="9" s="1"/>
  <c r="Q124" i="9" s="1"/>
  <c r="AG122" i="9"/>
  <c r="AF122" i="9"/>
  <c r="AI122" i="9"/>
  <c r="AH122" i="9"/>
  <c r="BU122" i="9"/>
  <c r="BS122" i="9"/>
  <c r="BR122" i="9"/>
  <c r="BT122" i="9"/>
  <c r="EQ121" i="12"/>
  <c r="ES121" i="12"/>
  <c r="ER121" i="12"/>
  <c r="FJ121" i="12"/>
  <c r="FK121" i="12"/>
  <c r="FL121" i="12"/>
  <c r="CG123" i="9"/>
  <c r="CI123" i="9" s="1"/>
  <c r="AV123" i="9"/>
  <c r="BN123" i="9"/>
  <c r="BP123" i="9" s="1"/>
  <c r="FF123" i="9"/>
  <c r="FE123" i="9"/>
  <c r="FG123" i="9" s="1"/>
  <c r="CH123" i="9"/>
  <c r="BO123" i="9"/>
  <c r="AU123" i="9"/>
  <c r="AW123" i="9" s="1"/>
  <c r="DA123" i="9"/>
  <c r="CZ123" i="9"/>
  <c r="DB123" i="9" s="1"/>
  <c r="EM123" i="9"/>
  <c r="AC123" i="9"/>
  <c r="EL123" i="9"/>
  <c r="EN123" i="9" s="1"/>
  <c r="AB123" i="9"/>
  <c r="AD123" i="9" s="1"/>
  <c r="DT123" i="9"/>
  <c r="DS123" i="9"/>
  <c r="DU123" i="9" s="1"/>
  <c r="EA120" i="12"/>
  <c r="CN121" i="12"/>
  <c r="CL121" i="12"/>
  <c r="CM121" i="12"/>
  <c r="EA122" i="9" l="1"/>
  <c r="CO122" i="9"/>
  <c r="BV122" i="9"/>
  <c r="BV123" i="9" s="1"/>
  <c r="DH122" i="9"/>
  <c r="ET122" i="9"/>
  <c r="AJ122" i="9"/>
  <c r="FM122" i="9"/>
  <c r="BC122" i="9"/>
  <c r="CO121" i="12"/>
  <c r="BV121" i="12"/>
  <c r="BC121" i="12"/>
  <c r="FM121" i="12"/>
  <c r="EA121" i="12"/>
  <c r="AU124" i="9"/>
  <c r="AW124" i="9" s="1"/>
  <c r="BN124" i="9"/>
  <c r="BP124" i="9" s="1"/>
  <c r="AV124" i="9"/>
  <c r="BO124" i="9"/>
  <c r="FF124" i="9"/>
  <c r="CG124" i="9"/>
  <c r="CI124" i="9" s="1"/>
  <c r="CH124" i="9"/>
  <c r="FE124" i="9"/>
  <c r="FG124" i="9" s="1"/>
  <c r="AC124" i="9"/>
  <c r="EM124" i="9"/>
  <c r="DA124" i="9"/>
  <c r="EL124" i="9"/>
  <c r="EN124" i="9" s="1"/>
  <c r="CZ124" i="9"/>
  <c r="DB124" i="9" s="1"/>
  <c r="AB124" i="9"/>
  <c r="AD124" i="9" s="1"/>
  <c r="DS124" i="9"/>
  <c r="DU124" i="9" s="1"/>
  <c r="DT124" i="9"/>
  <c r="DD123" i="9"/>
  <c r="DE123" i="9"/>
  <c r="DG123" i="9"/>
  <c r="DF123" i="9"/>
  <c r="EQ122" i="12"/>
  <c r="ES122" i="12"/>
  <c r="ER122" i="12"/>
  <c r="CN123" i="9"/>
  <c r="CM123" i="9"/>
  <c r="CL123" i="9"/>
  <c r="CK123" i="9"/>
  <c r="FJ122" i="12"/>
  <c r="FL122" i="12"/>
  <c r="FK122" i="12"/>
  <c r="DY123" i="9"/>
  <c r="DX123" i="9"/>
  <c r="DZ123" i="9"/>
  <c r="DW123" i="9"/>
  <c r="AY123" i="9"/>
  <c r="AZ123" i="9"/>
  <c r="BA123" i="9"/>
  <c r="BB123" i="9"/>
  <c r="I126" i="9"/>
  <c r="CE125" i="9"/>
  <c r="CF125" i="9" s="1"/>
  <c r="CJ125" i="9" s="1"/>
  <c r="EJ125" i="9"/>
  <c r="EK125" i="9" s="1"/>
  <c r="EO125" i="9" s="1"/>
  <c r="CX125" i="9"/>
  <c r="CY125" i="9" s="1"/>
  <c r="DC125" i="9" s="1"/>
  <c r="BL125" i="9"/>
  <c r="BM125" i="9" s="1"/>
  <c r="BQ125" i="9" s="1"/>
  <c r="AS125" i="9"/>
  <c r="AT125" i="9" s="1"/>
  <c r="AX125" i="9" s="1"/>
  <c r="DQ125" i="9"/>
  <c r="DR125" i="9" s="1"/>
  <c r="DV125" i="9" s="1"/>
  <c r="FC125" i="9"/>
  <c r="FD125" i="9" s="1"/>
  <c r="FH125" i="9" s="1"/>
  <c r="Z125" i="9"/>
  <c r="AA125" i="9" s="1"/>
  <c r="AE125" i="9" s="1"/>
  <c r="DX122" i="12"/>
  <c r="DZ122" i="12"/>
  <c r="DY122" i="12"/>
  <c r="AI122" i="12"/>
  <c r="AH122" i="12"/>
  <c r="AG122" i="12"/>
  <c r="CL122" i="12"/>
  <c r="CN122" i="12"/>
  <c r="CM122" i="12"/>
  <c r="DH121" i="12"/>
  <c r="M125" i="9"/>
  <c r="P125" i="9" s="1"/>
  <c r="Q125" i="9" s="1"/>
  <c r="BB122" i="12"/>
  <c r="BA122" i="12"/>
  <c r="AZ122" i="12"/>
  <c r="DE122" i="12"/>
  <c r="DG122" i="12"/>
  <c r="DF122" i="12"/>
  <c r="EP123" i="12"/>
  <c r="FF123" i="12"/>
  <c r="FE123" i="12"/>
  <c r="FG123" i="12" s="1"/>
  <c r="DD123" i="12"/>
  <c r="CK123" i="12"/>
  <c r="BO123" i="12"/>
  <c r="BN123" i="12"/>
  <c r="BP123" i="12" s="1"/>
  <c r="AC123" i="12"/>
  <c r="AB123" i="12"/>
  <c r="AD123" i="12" s="1"/>
  <c r="EL123" i="12"/>
  <c r="EN123" i="12" s="1"/>
  <c r="BR123" i="12"/>
  <c r="DW123" i="12"/>
  <c r="DT123" i="12"/>
  <c r="CG123" i="12"/>
  <c r="CI123" i="12" s="1"/>
  <c r="FI123" i="12"/>
  <c r="DS123" i="12"/>
  <c r="DU123" i="12" s="1"/>
  <c r="CH123" i="12"/>
  <c r="AF123" i="12"/>
  <c r="CZ123" i="12"/>
  <c r="DB123" i="12" s="1"/>
  <c r="AY123" i="12"/>
  <c r="DA123" i="12"/>
  <c r="EM123" i="12"/>
  <c r="AU123" i="12"/>
  <c r="AW123" i="12" s="1"/>
  <c r="AV123" i="12"/>
  <c r="AG123" i="9"/>
  <c r="AF123" i="9"/>
  <c r="AH123" i="9"/>
  <c r="AI123" i="9"/>
  <c r="FI123" i="9"/>
  <c r="FJ123" i="9"/>
  <c r="FL123" i="9"/>
  <c r="FK123" i="9"/>
  <c r="M124" i="12"/>
  <c r="P124" i="12" s="1"/>
  <c r="Q124" i="12" s="1"/>
  <c r="BS122" i="12"/>
  <c r="BU122" i="12"/>
  <c r="BT122" i="12"/>
  <c r="BT123" i="9"/>
  <c r="BS123" i="9"/>
  <c r="BR123" i="9"/>
  <c r="BU123" i="9"/>
  <c r="ES123" i="9"/>
  <c r="EP123" i="9"/>
  <c r="ET123" i="9" s="1"/>
  <c r="ER123" i="9"/>
  <c r="EQ123" i="9"/>
  <c r="ET121" i="12"/>
  <c r="J126" i="9" a="1"/>
  <c r="J126" i="9" s="1"/>
  <c r="O126" i="9" a="1"/>
  <c r="O126" i="9" s="1"/>
  <c r="H126" i="9" a="1"/>
  <c r="H126" i="9" s="1"/>
  <c r="N126" i="9" a="1"/>
  <c r="N126" i="9" s="1"/>
  <c r="L126" i="9" a="1"/>
  <c r="L126" i="9" s="1"/>
  <c r="G126" i="9" a="1"/>
  <c r="G126" i="9" s="1"/>
  <c r="K126" i="9" a="1"/>
  <c r="K126" i="9" s="1"/>
  <c r="D127" i="9"/>
  <c r="L125" i="12" a="1"/>
  <c r="L125" i="12" s="1"/>
  <c r="K125" i="12" a="1"/>
  <c r="K125" i="12" s="1"/>
  <c r="N125" i="12" a="1"/>
  <c r="N125" i="12" s="1"/>
  <c r="J125" i="12" a="1"/>
  <c r="J125" i="12" s="1"/>
  <c r="H125" i="12" a="1"/>
  <c r="H125" i="12" s="1"/>
  <c r="O125" i="12" a="1"/>
  <c r="O125" i="12" s="1"/>
  <c r="G125" i="12" a="1"/>
  <c r="G125" i="12" s="1"/>
  <c r="D126" i="12"/>
  <c r="AJ123" i="9" l="1"/>
  <c r="EA123" i="9"/>
  <c r="DH123" i="9"/>
  <c r="FM123" i="9"/>
  <c r="BC123" i="9"/>
  <c r="CO123" i="9"/>
  <c r="AJ122" i="12"/>
  <c r="M125" i="12"/>
  <c r="FM122" i="12"/>
  <c r="BV122" i="12"/>
  <c r="EA122" i="12"/>
  <c r="DH122" i="12"/>
  <c r="BC122" i="12"/>
  <c r="CH125" i="9"/>
  <c r="FF125" i="9"/>
  <c r="BO125" i="9"/>
  <c r="CG125" i="9"/>
  <c r="CI125" i="9" s="1"/>
  <c r="AU125" i="9"/>
  <c r="AW125" i="9" s="1"/>
  <c r="AV125" i="9"/>
  <c r="FE125" i="9"/>
  <c r="FG125" i="9" s="1"/>
  <c r="BN125" i="9"/>
  <c r="BP125" i="9" s="1"/>
  <c r="CZ125" i="9"/>
  <c r="DB125" i="9" s="1"/>
  <c r="EM125" i="9"/>
  <c r="AC125" i="9"/>
  <c r="EL125" i="9"/>
  <c r="EN125" i="9" s="1"/>
  <c r="AB125" i="9"/>
  <c r="AD125" i="9" s="1"/>
  <c r="DA125" i="9"/>
  <c r="DT125" i="9"/>
  <c r="DS125" i="9"/>
  <c r="DU125" i="9" s="1"/>
  <c r="EP124" i="12"/>
  <c r="FF124" i="12"/>
  <c r="FE124" i="12"/>
  <c r="FG124" i="12" s="1"/>
  <c r="CK124" i="12"/>
  <c r="DD124" i="12"/>
  <c r="AB124" i="12"/>
  <c r="AD124" i="12" s="1"/>
  <c r="BO124" i="12"/>
  <c r="BN124" i="12"/>
  <c r="BP124" i="12" s="1"/>
  <c r="AC124" i="12"/>
  <c r="FI124" i="12"/>
  <c r="DW124" i="12"/>
  <c r="CZ124" i="12"/>
  <c r="DB124" i="12" s="1"/>
  <c r="DT124" i="12"/>
  <c r="AF124" i="12"/>
  <c r="DS124" i="12"/>
  <c r="DU124" i="12" s="1"/>
  <c r="DA124" i="12"/>
  <c r="CH124" i="12"/>
  <c r="EL124" i="12"/>
  <c r="EN124" i="12" s="1"/>
  <c r="CG124" i="12"/>
  <c r="CI124" i="12" s="1"/>
  <c r="BR124" i="12"/>
  <c r="AY124" i="12"/>
  <c r="EM124" i="12"/>
  <c r="AU124" i="12"/>
  <c r="AW124" i="12" s="1"/>
  <c r="AV124" i="12"/>
  <c r="J126" i="12" a="1"/>
  <c r="J126" i="12" s="1"/>
  <c r="H126" i="12" a="1"/>
  <c r="H126" i="12" s="1"/>
  <c r="O126" i="12" a="1"/>
  <c r="O126" i="12" s="1"/>
  <c r="K126" i="12" a="1"/>
  <c r="K126" i="12" s="1"/>
  <c r="N126" i="12" a="1"/>
  <c r="N126" i="12" s="1"/>
  <c r="L126" i="12" a="1"/>
  <c r="L126" i="12" s="1"/>
  <c r="G126" i="12" a="1"/>
  <c r="G126" i="12" s="1"/>
  <c r="D127" i="12"/>
  <c r="K127" i="9" a="1"/>
  <c r="K127" i="9" s="1"/>
  <c r="G127" i="9" a="1"/>
  <c r="G127" i="9" s="1"/>
  <c r="L127" i="9" a="1"/>
  <c r="L127" i="9" s="1"/>
  <c r="H127" i="9" a="1"/>
  <c r="H127" i="9" s="1"/>
  <c r="N127" i="9" a="1"/>
  <c r="N127" i="9" s="1"/>
  <c r="O127" i="9" a="1"/>
  <c r="O127" i="9" s="1"/>
  <c r="J127" i="9" a="1"/>
  <c r="J127" i="9" s="1"/>
  <c r="D128" i="9"/>
  <c r="I127" i="9"/>
  <c r="FC126" i="9"/>
  <c r="FD126" i="9" s="1"/>
  <c r="FH126" i="9" s="1"/>
  <c r="BL126" i="9"/>
  <c r="BM126" i="9" s="1"/>
  <c r="BQ126" i="9" s="1"/>
  <c r="EJ126" i="9"/>
  <c r="EK126" i="9" s="1"/>
  <c r="EO126" i="9" s="1"/>
  <c r="Z126" i="9"/>
  <c r="AA126" i="9" s="1"/>
  <c r="AE126" i="9" s="1"/>
  <c r="AS126" i="9"/>
  <c r="AT126" i="9" s="1"/>
  <c r="AX126" i="9" s="1"/>
  <c r="CX126" i="9"/>
  <c r="CY126" i="9" s="1"/>
  <c r="DC126" i="9" s="1"/>
  <c r="DQ126" i="9"/>
  <c r="DR126" i="9" s="1"/>
  <c r="DV126" i="9" s="1"/>
  <c r="CE126" i="9"/>
  <c r="CF126" i="9" s="1"/>
  <c r="CJ126" i="9" s="1"/>
  <c r="FL124" i="9"/>
  <c r="FK124" i="9"/>
  <c r="FI124" i="9"/>
  <c r="FJ124" i="9"/>
  <c r="DE123" i="12"/>
  <c r="DG123" i="12"/>
  <c r="DF123" i="12"/>
  <c r="FJ123" i="12"/>
  <c r="FL123" i="12"/>
  <c r="FK123" i="12"/>
  <c r="ET122" i="12"/>
  <c r="DX124" i="9"/>
  <c r="DW124" i="9"/>
  <c r="EA124" i="9" s="1"/>
  <c r="DZ124" i="9"/>
  <c r="DY124" i="9"/>
  <c r="AG123" i="12"/>
  <c r="AI123" i="12"/>
  <c r="AH123" i="12"/>
  <c r="DG124" i="9"/>
  <c r="DD124" i="9"/>
  <c r="DE124" i="9"/>
  <c r="DF124" i="9"/>
  <c r="DX123" i="12"/>
  <c r="DY123" i="12"/>
  <c r="DZ123" i="12"/>
  <c r="EQ124" i="9"/>
  <c r="ES124" i="9"/>
  <c r="EP124" i="9"/>
  <c r="ER124" i="9"/>
  <c r="AH124" i="9"/>
  <c r="AI124" i="9"/>
  <c r="AF124" i="9"/>
  <c r="AG124" i="9"/>
  <c r="P125" i="12"/>
  <c r="Q125" i="12" s="1"/>
  <c r="M126" i="9"/>
  <c r="P126" i="9" s="1"/>
  <c r="Q126" i="9" s="1"/>
  <c r="AZ123" i="12"/>
  <c r="BB123" i="12"/>
  <c r="BA123" i="12"/>
  <c r="BS123" i="12"/>
  <c r="BU123" i="12"/>
  <c r="BT123" i="12"/>
  <c r="CK124" i="9"/>
  <c r="CL124" i="9"/>
  <c r="CN124" i="9"/>
  <c r="CM124" i="9"/>
  <c r="CL123" i="12"/>
  <c r="CN123" i="12"/>
  <c r="CM123" i="12"/>
  <c r="CO122" i="12"/>
  <c r="BU124" i="9"/>
  <c r="BT124" i="9"/>
  <c r="BR124" i="9"/>
  <c r="BS124" i="9"/>
  <c r="EQ123" i="12"/>
  <c r="ES123" i="12"/>
  <c r="ER123" i="12"/>
  <c r="AY124" i="9"/>
  <c r="BA124" i="9"/>
  <c r="BB124" i="9"/>
  <c r="AZ124" i="9"/>
  <c r="BC124" i="9" l="1"/>
  <c r="BV124" i="9"/>
  <c r="FM124" i="9"/>
  <c r="CO124" i="9"/>
  <c r="AJ124" i="9"/>
  <c r="ET124" i="9"/>
  <c r="DH124" i="9"/>
  <c r="CO123" i="12"/>
  <c r="EP125" i="12"/>
  <c r="DT125" i="12"/>
  <c r="FF125" i="12"/>
  <c r="DW125" i="12"/>
  <c r="FE125" i="12"/>
  <c r="FG125" i="12" s="1"/>
  <c r="FK125" i="12" s="1"/>
  <c r="CH125" i="12"/>
  <c r="BN125" i="12"/>
  <c r="BP125" i="12" s="1"/>
  <c r="BS125" i="12" s="1"/>
  <c r="CG125" i="12"/>
  <c r="CI125" i="12" s="1"/>
  <c r="CM125" i="12" s="1"/>
  <c r="BO125" i="12"/>
  <c r="AV125" i="12"/>
  <c r="AY125" i="12"/>
  <c r="DS125" i="12"/>
  <c r="DU125" i="12" s="1"/>
  <c r="AU125" i="12"/>
  <c r="AW125" i="12" s="1"/>
  <c r="AZ125" i="12" s="1"/>
  <c r="FI125" i="12"/>
  <c r="DD125" i="12"/>
  <c r="BR125" i="12"/>
  <c r="CZ125" i="12"/>
  <c r="DB125" i="12" s="1"/>
  <c r="DE125" i="12" s="1"/>
  <c r="CK125" i="12"/>
  <c r="EL125" i="12"/>
  <c r="EN125" i="12" s="1"/>
  <c r="EM125" i="12"/>
  <c r="DA125" i="12"/>
  <c r="BV123" i="12"/>
  <c r="ET123" i="12"/>
  <c r="BC123" i="12"/>
  <c r="AJ123" i="12"/>
  <c r="FM123" i="12"/>
  <c r="M127" i="9"/>
  <c r="P127" i="9" s="1"/>
  <c r="BO126" i="9"/>
  <c r="FE126" i="9"/>
  <c r="FG126" i="9" s="1"/>
  <c r="CH126" i="9"/>
  <c r="AU126" i="9"/>
  <c r="AW126" i="9" s="1"/>
  <c r="AV126" i="9"/>
  <c r="CG126" i="9"/>
  <c r="CI126" i="9" s="1"/>
  <c r="BN126" i="9"/>
  <c r="BP126" i="9" s="1"/>
  <c r="FF126" i="9"/>
  <c r="DA126" i="9"/>
  <c r="CZ126" i="9"/>
  <c r="DB126" i="9" s="1"/>
  <c r="EM126" i="9"/>
  <c r="EL126" i="9"/>
  <c r="EN126" i="9" s="1"/>
  <c r="AB126" i="9"/>
  <c r="AD126" i="9" s="1"/>
  <c r="AC126" i="9"/>
  <c r="DT126" i="9"/>
  <c r="DS126" i="9"/>
  <c r="DU126" i="9" s="1"/>
  <c r="EQ125" i="12"/>
  <c r="ES125" i="12"/>
  <c r="ER125" i="12"/>
  <c r="DH123" i="12"/>
  <c r="O127" i="12" a="1"/>
  <c r="O127" i="12" s="1"/>
  <c r="J127" i="12" a="1"/>
  <c r="J127" i="12" s="1"/>
  <c r="L127" i="12" a="1"/>
  <c r="L127" i="12" s="1"/>
  <c r="K127" i="12" a="1"/>
  <c r="K127" i="12" s="1"/>
  <c r="H127" i="12" a="1"/>
  <c r="H127" i="12" s="1"/>
  <c r="N127" i="12" a="1"/>
  <c r="N127" i="12" s="1"/>
  <c r="G127" i="12" a="1"/>
  <c r="G127" i="12" s="1"/>
  <c r="D128" i="12"/>
  <c r="BS124" i="12"/>
  <c r="BU124" i="12"/>
  <c r="BT124" i="12"/>
  <c r="DY125" i="9"/>
  <c r="DZ125" i="9"/>
  <c r="DW125" i="9"/>
  <c r="EA125" i="9" s="1"/>
  <c r="DX125" i="9"/>
  <c r="BR125" i="9"/>
  <c r="BV125" i="9" s="1"/>
  <c r="BS125" i="9"/>
  <c r="BU125" i="9"/>
  <c r="BT125" i="9"/>
  <c r="AI124" i="12"/>
  <c r="AH124" i="12"/>
  <c r="AG124" i="12"/>
  <c r="J128" i="9" a="1"/>
  <c r="J128" i="9" s="1"/>
  <c r="H128" i="9" a="1"/>
  <c r="H128" i="9" s="1"/>
  <c r="K128" i="9" a="1"/>
  <c r="K128" i="9" s="1"/>
  <c r="L128" i="9" a="1"/>
  <c r="L128" i="9" s="1"/>
  <c r="G128" i="9" a="1"/>
  <c r="G128" i="9" s="1"/>
  <c r="O128" i="9" a="1"/>
  <c r="O128" i="9" s="1"/>
  <c r="N128" i="9" a="1"/>
  <c r="N128" i="9" s="1"/>
  <c r="D129" i="9"/>
  <c r="AZ124" i="12"/>
  <c r="BA124" i="12"/>
  <c r="BB124" i="12"/>
  <c r="DX124" i="12"/>
  <c r="DZ124" i="12"/>
  <c r="DY124" i="12"/>
  <c r="FI125" i="9"/>
  <c r="FK125" i="9"/>
  <c r="FJ125" i="9"/>
  <c r="FL125" i="9"/>
  <c r="DE124" i="12"/>
  <c r="DG124" i="12"/>
  <c r="DF124" i="12"/>
  <c r="ES125" i="9"/>
  <c r="ER125" i="9"/>
  <c r="EQ125" i="9"/>
  <c r="EP125" i="9"/>
  <c r="CL125" i="9"/>
  <c r="CM125" i="9"/>
  <c r="CK125" i="9"/>
  <c r="CN125" i="9"/>
  <c r="BA125" i="12"/>
  <c r="AB125" i="12"/>
  <c r="AD125" i="12" s="1"/>
  <c r="BB125" i="9"/>
  <c r="BA125" i="9"/>
  <c r="AZ125" i="9"/>
  <c r="AY125" i="9"/>
  <c r="CL124" i="12"/>
  <c r="CN124" i="12"/>
  <c r="CM124" i="12"/>
  <c r="FJ124" i="12"/>
  <c r="FL124" i="12"/>
  <c r="FK124" i="12"/>
  <c r="Q127" i="9"/>
  <c r="AF125" i="12"/>
  <c r="EA123" i="12"/>
  <c r="EQ124" i="12"/>
  <c r="ES124" i="12"/>
  <c r="ER124" i="12"/>
  <c r="DF125" i="12"/>
  <c r="AG125" i="9"/>
  <c r="AH125" i="9"/>
  <c r="AF125" i="9"/>
  <c r="AI125" i="9"/>
  <c r="AC125" i="12"/>
  <c r="DX125" i="12"/>
  <c r="DZ125" i="12"/>
  <c r="DY125" i="12"/>
  <c r="FJ125" i="12"/>
  <c r="I128" i="9"/>
  <c r="CX127" i="9"/>
  <c r="CY127" i="9" s="1"/>
  <c r="DC127" i="9" s="1"/>
  <c r="Z127" i="9"/>
  <c r="AA127" i="9" s="1"/>
  <c r="AE127" i="9" s="1"/>
  <c r="BL127" i="9"/>
  <c r="BM127" i="9" s="1"/>
  <c r="BQ127" i="9" s="1"/>
  <c r="AS127" i="9"/>
  <c r="AT127" i="9" s="1"/>
  <c r="AX127" i="9" s="1"/>
  <c r="CE127" i="9"/>
  <c r="CF127" i="9" s="1"/>
  <c r="CJ127" i="9" s="1"/>
  <c r="DQ127" i="9"/>
  <c r="DR127" i="9" s="1"/>
  <c r="DV127" i="9" s="1"/>
  <c r="FC127" i="9"/>
  <c r="FD127" i="9" s="1"/>
  <c r="FH127" i="9" s="1"/>
  <c r="EJ127" i="9"/>
  <c r="EK127" i="9" s="1"/>
  <c r="EO127" i="9" s="1"/>
  <c r="M126" i="12"/>
  <c r="P126" i="12" s="1"/>
  <c r="Q126" i="12" s="1"/>
  <c r="DF125" i="9"/>
  <c r="DE125" i="9"/>
  <c r="DD125" i="9"/>
  <c r="DG125" i="9"/>
  <c r="BB125" i="12" l="1"/>
  <c r="FL125" i="12"/>
  <c r="AJ125" i="9"/>
  <c r="DG125" i="12"/>
  <c r="BC125" i="9"/>
  <c r="CO125" i="9"/>
  <c r="DH125" i="9"/>
  <c r="ET125" i="9"/>
  <c r="FM125" i="9"/>
  <c r="BC124" i="12"/>
  <c r="BT125" i="12"/>
  <c r="BU125" i="12"/>
  <c r="CN125" i="12"/>
  <c r="CL125" i="12"/>
  <c r="CO125" i="12" s="1"/>
  <c r="FM125" i="12"/>
  <c r="BV124" i="12"/>
  <c r="ET124" i="12"/>
  <c r="BC125" i="12"/>
  <c r="AJ124" i="12"/>
  <c r="DH124" i="12"/>
  <c r="EA124" i="12"/>
  <c r="FM124" i="12"/>
  <c r="CO124" i="12"/>
  <c r="M128" i="9"/>
  <c r="P128" i="9" s="1"/>
  <c r="Q128" i="9" s="1"/>
  <c r="FE126" i="12"/>
  <c r="FG126" i="12" s="1"/>
  <c r="FF126" i="12"/>
  <c r="EP126" i="12"/>
  <c r="DD126" i="12"/>
  <c r="CK126" i="12"/>
  <c r="AB126" i="12"/>
  <c r="AD126" i="12" s="1"/>
  <c r="AC126" i="12"/>
  <c r="BO126" i="12"/>
  <c r="BN126" i="12"/>
  <c r="BP126" i="12" s="1"/>
  <c r="DS126" i="12"/>
  <c r="DU126" i="12" s="1"/>
  <c r="FI126" i="12"/>
  <c r="CH126" i="12"/>
  <c r="BR126" i="12"/>
  <c r="DW126" i="12"/>
  <c r="DA126" i="12"/>
  <c r="EM126" i="12"/>
  <c r="AY126" i="12"/>
  <c r="AF126" i="12"/>
  <c r="CZ126" i="12"/>
  <c r="DB126" i="12" s="1"/>
  <c r="EL126" i="12"/>
  <c r="EN126" i="12" s="1"/>
  <c r="DT126" i="12"/>
  <c r="CG126" i="12"/>
  <c r="CI126" i="12" s="1"/>
  <c r="AV126" i="12"/>
  <c r="AU126" i="12"/>
  <c r="AW126" i="12" s="1"/>
  <c r="I129" i="9"/>
  <c r="CE128" i="9"/>
  <c r="CF128" i="9" s="1"/>
  <c r="CJ128" i="9" s="1"/>
  <c r="BL128" i="9"/>
  <c r="BM128" i="9" s="1"/>
  <c r="BQ128" i="9" s="1"/>
  <c r="DQ128" i="9"/>
  <c r="DR128" i="9" s="1"/>
  <c r="DV128" i="9" s="1"/>
  <c r="FC128" i="9"/>
  <c r="FD128" i="9" s="1"/>
  <c r="FH128" i="9" s="1"/>
  <c r="AS128" i="9"/>
  <c r="AT128" i="9" s="1"/>
  <c r="AX128" i="9" s="1"/>
  <c r="EJ128" i="9"/>
  <c r="EK128" i="9" s="1"/>
  <c r="EO128" i="9" s="1"/>
  <c r="Z128" i="9"/>
  <c r="AA128" i="9" s="1"/>
  <c r="AE128" i="9" s="1"/>
  <c r="CX128" i="9"/>
  <c r="CY128" i="9" s="1"/>
  <c r="DC128" i="9" s="1"/>
  <c r="BT126" i="9"/>
  <c r="BS126" i="9"/>
  <c r="BR126" i="9"/>
  <c r="BU126" i="9"/>
  <c r="DW126" i="9"/>
  <c r="DX126" i="9"/>
  <c r="DZ126" i="9"/>
  <c r="DY126" i="9"/>
  <c r="M127" i="12"/>
  <c r="P127" i="12" s="1"/>
  <c r="Q127" i="12" s="1"/>
  <c r="CK126" i="9"/>
  <c r="CM126" i="9"/>
  <c r="CL126" i="9"/>
  <c r="CN126" i="9"/>
  <c r="AF126" i="9"/>
  <c r="AI126" i="9"/>
  <c r="AH126" i="9"/>
  <c r="AG126" i="9"/>
  <c r="EA125" i="12"/>
  <c r="N128" i="12" a="1"/>
  <c r="N128" i="12" s="1"/>
  <c r="H128" i="12" a="1"/>
  <c r="H128" i="12" s="1"/>
  <c r="G128" i="12" a="1"/>
  <c r="G128" i="12" s="1"/>
  <c r="K128" i="12" a="1"/>
  <c r="K128" i="12" s="1"/>
  <c r="J128" i="12" a="1"/>
  <c r="J128" i="12" s="1"/>
  <c r="O128" i="12" a="1"/>
  <c r="O128" i="12" s="1"/>
  <c r="D129" i="12"/>
  <c r="L128" i="12" a="1"/>
  <c r="L128" i="12" s="1"/>
  <c r="ES126" i="9"/>
  <c r="ER126" i="9"/>
  <c r="EP126" i="9"/>
  <c r="EQ126" i="9"/>
  <c r="BB126" i="9"/>
  <c r="AZ126" i="9"/>
  <c r="BA126" i="9"/>
  <c r="AY126" i="9"/>
  <c r="AH125" i="12"/>
  <c r="AI125" i="12"/>
  <c r="AG125" i="12"/>
  <c r="DH125" i="12"/>
  <c r="ET125" i="12"/>
  <c r="L129" i="9" a="1"/>
  <c r="L129" i="9" s="1"/>
  <c r="N129" i="9" a="1"/>
  <c r="N129" i="9" s="1"/>
  <c r="K129" i="9" a="1"/>
  <c r="K129" i="9" s="1"/>
  <c r="J129" i="9" a="1"/>
  <c r="J129" i="9" s="1"/>
  <c r="O129" i="9" a="1"/>
  <c r="O129" i="9" s="1"/>
  <c r="H129" i="9" a="1"/>
  <c r="H129" i="9" s="1"/>
  <c r="G129" i="9" a="1"/>
  <c r="G129" i="9" s="1"/>
  <c r="D130" i="9"/>
  <c r="DE126" i="9"/>
  <c r="DD126" i="9"/>
  <c r="DG126" i="9"/>
  <c r="DF126" i="9"/>
  <c r="FK126" i="9"/>
  <c r="FL126" i="9"/>
  <c r="FJ126" i="9"/>
  <c r="FI126" i="9"/>
  <c r="CH127" i="9"/>
  <c r="AV127" i="9"/>
  <c r="FE127" i="9"/>
  <c r="FG127" i="9" s="1"/>
  <c r="CG127" i="9"/>
  <c r="CI127" i="9" s="1"/>
  <c r="AU127" i="9"/>
  <c r="AW127" i="9" s="1"/>
  <c r="FF127" i="9"/>
  <c r="BN127" i="9"/>
  <c r="BP127" i="9" s="1"/>
  <c r="BO127" i="9"/>
  <c r="CZ127" i="9"/>
  <c r="DB127" i="9" s="1"/>
  <c r="AC127" i="9"/>
  <c r="AB127" i="9"/>
  <c r="AD127" i="9" s="1"/>
  <c r="EM127" i="9"/>
  <c r="EL127" i="9"/>
  <c r="EN127" i="9" s="1"/>
  <c r="DA127" i="9"/>
  <c r="DS127" i="9"/>
  <c r="DU127" i="9" s="1"/>
  <c r="DT127" i="9"/>
  <c r="CO126" i="9" l="1"/>
  <c r="BV126" i="9"/>
  <c r="DH126" i="9"/>
  <c r="FM126" i="9"/>
  <c r="BC126" i="9"/>
  <c r="AJ126" i="9"/>
  <c r="ET126" i="9"/>
  <c r="EA126" i="9"/>
  <c r="BV125" i="12"/>
  <c r="AJ125" i="12"/>
  <c r="M129" i="9"/>
  <c r="M128" i="12"/>
  <c r="P128" i="12" s="1"/>
  <c r="Q128" i="12" s="1"/>
  <c r="CK127" i="9"/>
  <c r="CN127" i="9"/>
  <c r="CM127" i="9"/>
  <c r="CL127" i="9"/>
  <c r="CM126" i="12"/>
  <c r="CL126" i="12"/>
  <c r="CN126" i="12"/>
  <c r="AI126" i="12"/>
  <c r="AH126" i="12"/>
  <c r="AG126" i="12"/>
  <c r="FJ127" i="9"/>
  <c r="FI127" i="9"/>
  <c r="FM127" i="9" s="1"/>
  <c r="FL127" i="9"/>
  <c r="FK127" i="9"/>
  <c r="AF127" i="9"/>
  <c r="AI127" i="9"/>
  <c r="AG127" i="9"/>
  <c r="AH127" i="9"/>
  <c r="DG127" i="9"/>
  <c r="DE127" i="9"/>
  <c r="DH127" i="9" s="1"/>
  <c r="DF127" i="9"/>
  <c r="DD127" i="9"/>
  <c r="P129" i="9"/>
  <c r="Q129" i="9" s="1"/>
  <c r="O129" i="12" a="1"/>
  <c r="O129" i="12" s="1"/>
  <c r="G129" i="12" a="1"/>
  <c r="G129" i="12" s="1"/>
  <c r="K129" i="12" a="1"/>
  <c r="K129" i="12" s="1"/>
  <c r="J129" i="12" a="1"/>
  <c r="J129" i="12" s="1"/>
  <c r="N129" i="12" a="1"/>
  <c r="N129" i="12" s="1"/>
  <c r="H129" i="12" a="1"/>
  <c r="H129" i="12" s="1"/>
  <c r="L129" i="12" a="1"/>
  <c r="L129" i="12" s="1"/>
  <c r="D130" i="12"/>
  <c r="EQ126" i="12"/>
  <c r="ES126" i="12"/>
  <c r="ER126" i="12"/>
  <c r="EP127" i="12"/>
  <c r="FE127" i="12"/>
  <c r="FG127" i="12" s="1"/>
  <c r="FF127" i="12"/>
  <c r="CK127" i="12"/>
  <c r="DD127" i="12"/>
  <c r="AC127" i="12"/>
  <c r="BO127" i="12"/>
  <c r="AB127" i="12"/>
  <c r="AD127" i="12" s="1"/>
  <c r="BN127" i="12"/>
  <c r="BP127" i="12" s="1"/>
  <c r="DW127" i="12"/>
  <c r="EL127" i="12"/>
  <c r="EN127" i="12" s="1"/>
  <c r="AY127" i="12"/>
  <c r="CG127" i="12"/>
  <c r="CI127" i="12" s="1"/>
  <c r="CH127" i="12"/>
  <c r="BR127" i="12"/>
  <c r="AF127" i="12"/>
  <c r="DA127" i="12"/>
  <c r="DT127" i="12"/>
  <c r="FI127" i="12"/>
  <c r="EM127" i="12"/>
  <c r="CZ127" i="12"/>
  <c r="DB127" i="12" s="1"/>
  <c r="DS127" i="12"/>
  <c r="DU127" i="12" s="1"/>
  <c r="AV127" i="12"/>
  <c r="AU127" i="12"/>
  <c r="AW127" i="12" s="1"/>
  <c r="DE126" i="12"/>
  <c r="DG126" i="12"/>
  <c r="DF126" i="12"/>
  <c r="BA127" i="9"/>
  <c r="AZ127" i="9"/>
  <c r="AY127" i="9"/>
  <c r="BC127" i="9" s="1"/>
  <c r="BB127" i="9"/>
  <c r="DZ127" i="9"/>
  <c r="DY127" i="9"/>
  <c r="DW127" i="9"/>
  <c r="DX127" i="9"/>
  <c r="BU127" i="9"/>
  <c r="BR127" i="9"/>
  <c r="BT127" i="9"/>
  <c r="BS127" i="9"/>
  <c r="FE128" i="9"/>
  <c r="FG128" i="9" s="1"/>
  <c r="BN128" i="9"/>
  <c r="BP128" i="9" s="1"/>
  <c r="CH128" i="9"/>
  <c r="AV128" i="9"/>
  <c r="BO128" i="9"/>
  <c r="CG128" i="9"/>
  <c r="CI128" i="9" s="1"/>
  <c r="FF128" i="9"/>
  <c r="AU128" i="9"/>
  <c r="AW128" i="9" s="1"/>
  <c r="CZ128" i="9"/>
  <c r="DB128" i="9" s="1"/>
  <c r="EM128" i="9"/>
  <c r="EL128" i="9"/>
  <c r="EN128" i="9" s="1"/>
  <c r="AB128" i="9"/>
  <c r="AD128" i="9" s="1"/>
  <c r="AC128" i="9"/>
  <c r="DA128" i="9"/>
  <c r="DT128" i="9"/>
  <c r="DS128" i="9"/>
  <c r="DU128" i="9" s="1"/>
  <c r="DX126" i="12"/>
  <c r="DZ126" i="12"/>
  <c r="DY126" i="12"/>
  <c r="EP127" i="9"/>
  <c r="ES127" i="9"/>
  <c r="ER127" i="9"/>
  <c r="EQ127" i="9"/>
  <c r="BB126" i="12"/>
  <c r="BA126" i="12"/>
  <c r="AZ126" i="12"/>
  <c r="K130" i="9" a="1"/>
  <c r="K130" i="9" s="1"/>
  <c r="N130" i="9" a="1"/>
  <c r="N130" i="9" s="1"/>
  <c r="L130" i="9" a="1"/>
  <c r="L130" i="9" s="1"/>
  <c r="J130" i="9" a="1"/>
  <c r="J130" i="9" s="1"/>
  <c r="H130" i="9" a="1"/>
  <c r="H130" i="9" s="1"/>
  <c r="O130" i="9" a="1"/>
  <c r="O130" i="9" s="1"/>
  <c r="G130" i="9" a="1"/>
  <c r="G130" i="9" s="1"/>
  <c r="D131" i="9"/>
  <c r="I130" i="9"/>
  <c r="AS129" i="9"/>
  <c r="AT129" i="9" s="1"/>
  <c r="AX129" i="9" s="1"/>
  <c r="FC129" i="9"/>
  <c r="FD129" i="9" s="1"/>
  <c r="FH129" i="9" s="1"/>
  <c r="DQ129" i="9"/>
  <c r="DR129" i="9" s="1"/>
  <c r="DV129" i="9" s="1"/>
  <c r="EJ129" i="9"/>
  <c r="EK129" i="9" s="1"/>
  <c r="EO129" i="9" s="1"/>
  <c r="BL129" i="9"/>
  <c r="BM129" i="9" s="1"/>
  <c r="BQ129" i="9" s="1"/>
  <c r="CE129" i="9"/>
  <c r="CF129" i="9" s="1"/>
  <c r="CJ129" i="9" s="1"/>
  <c r="Z129" i="9"/>
  <c r="AA129" i="9" s="1"/>
  <c r="AE129" i="9" s="1"/>
  <c r="CX129" i="9"/>
  <c r="CY129" i="9" s="1"/>
  <c r="DC129" i="9" s="1"/>
  <c r="BS126" i="12"/>
  <c r="BU126" i="12"/>
  <c r="BT126" i="12"/>
  <c r="FJ126" i="12"/>
  <c r="FL126" i="12"/>
  <c r="FK126" i="12"/>
  <c r="EA127" i="9" l="1"/>
  <c r="CO127" i="9"/>
  <c r="BV127" i="9"/>
  <c r="AJ127" i="9"/>
  <c r="ET127" i="9"/>
  <c r="ET128" i="9"/>
  <c r="BV126" i="12"/>
  <c r="BC126" i="12"/>
  <c r="CO126" i="12"/>
  <c r="FM126" i="12"/>
  <c r="DS128" i="12"/>
  <c r="DU128" i="12" s="1"/>
  <c r="CG128" i="12"/>
  <c r="CI128" i="12" s="1"/>
  <c r="CM128" i="12" s="1"/>
  <c r="BR128" i="12"/>
  <c r="DA128" i="12"/>
  <c r="CH128" i="12"/>
  <c r="DD128" i="12"/>
  <c r="AJ126" i="12"/>
  <c r="AY128" i="12"/>
  <c r="EA126" i="12"/>
  <c r="DW128" i="12"/>
  <c r="FE128" i="12"/>
  <c r="FG128" i="12" s="1"/>
  <c r="FJ128" i="12" s="1"/>
  <c r="EP128" i="12"/>
  <c r="AB128" i="12"/>
  <c r="AD128" i="12" s="1"/>
  <c r="AI128" i="12" s="1"/>
  <c r="I131" i="9"/>
  <c r="CX130" i="9"/>
  <c r="CY130" i="9" s="1"/>
  <c r="DC130" i="9" s="1"/>
  <c r="CE130" i="9"/>
  <c r="CF130" i="9" s="1"/>
  <c r="CJ130" i="9" s="1"/>
  <c r="BL130" i="9"/>
  <c r="BM130" i="9" s="1"/>
  <c r="BQ130" i="9" s="1"/>
  <c r="DQ130" i="9"/>
  <c r="DR130" i="9" s="1"/>
  <c r="DV130" i="9" s="1"/>
  <c r="Z130" i="9"/>
  <c r="AA130" i="9" s="1"/>
  <c r="AE130" i="9" s="1"/>
  <c r="AS130" i="9"/>
  <c r="AT130" i="9" s="1"/>
  <c r="AX130" i="9" s="1"/>
  <c r="FC130" i="9"/>
  <c r="FD130" i="9" s="1"/>
  <c r="FH130" i="9" s="1"/>
  <c r="EJ130" i="9"/>
  <c r="EK130" i="9" s="1"/>
  <c r="EO130" i="9" s="1"/>
  <c r="ES128" i="9"/>
  <c r="ER128" i="9"/>
  <c r="EP128" i="9"/>
  <c r="EQ128" i="9"/>
  <c r="DH126" i="12"/>
  <c r="EQ127" i="12"/>
  <c r="ES127" i="12"/>
  <c r="ER127" i="12"/>
  <c r="CZ128" i="12"/>
  <c r="DB128" i="12" s="1"/>
  <c r="EL128" i="12"/>
  <c r="EN128" i="12" s="1"/>
  <c r="DX128" i="12"/>
  <c r="DY128" i="12"/>
  <c r="DZ128" i="12"/>
  <c r="L131" i="9" a="1"/>
  <c r="L131" i="9" s="1"/>
  <c r="G131" i="9" a="1"/>
  <c r="G131" i="9" s="1"/>
  <c r="J131" i="9" a="1"/>
  <c r="J131" i="9" s="1"/>
  <c r="H131" i="9" a="1"/>
  <c r="H131" i="9" s="1"/>
  <c r="K131" i="9" a="1"/>
  <c r="K131" i="9" s="1"/>
  <c r="N131" i="9" a="1"/>
  <c r="N131" i="9" s="1"/>
  <c r="O131" i="9" a="1"/>
  <c r="O131" i="9" s="1"/>
  <c r="D132" i="9"/>
  <c r="BT128" i="9"/>
  <c r="BU128" i="9"/>
  <c r="BR128" i="9"/>
  <c r="BS128" i="9"/>
  <c r="FJ127" i="12"/>
  <c r="FL127" i="12"/>
  <c r="FK127" i="12"/>
  <c r="FF128" i="12"/>
  <c r="AF128" i="9"/>
  <c r="AJ128" i="9" s="1"/>
  <c r="AH128" i="9"/>
  <c r="AI128" i="9"/>
  <c r="AG128" i="9"/>
  <c r="DE128" i="9"/>
  <c r="DG128" i="9"/>
  <c r="DD128" i="9"/>
  <c r="DH128" i="9" s="1"/>
  <c r="DF128" i="9"/>
  <c r="FI128" i="9"/>
  <c r="FM128" i="9" s="1"/>
  <c r="FK128" i="9"/>
  <c r="FL128" i="9"/>
  <c r="FJ128" i="9"/>
  <c r="BS127" i="12"/>
  <c r="BU127" i="12"/>
  <c r="BT127" i="12"/>
  <c r="M129" i="12"/>
  <c r="P129" i="12" s="1"/>
  <c r="Q129" i="12" s="1"/>
  <c r="DY128" i="9"/>
  <c r="DW128" i="9"/>
  <c r="DX128" i="9"/>
  <c r="DZ128" i="9"/>
  <c r="AY128" i="9"/>
  <c r="BB128" i="9"/>
  <c r="AZ128" i="9"/>
  <c r="BA128" i="9"/>
  <c r="AZ127" i="12"/>
  <c r="BA127" i="12"/>
  <c r="BB127" i="12"/>
  <c r="AG127" i="12"/>
  <c r="AI127" i="12"/>
  <c r="AH127" i="12"/>
  <c r="ET126" i="12"/>
  <c r="AU128" i="12"/>
  <c r="AW128" i="12" s="1"/>
  <c r="BN128" i="12"/>
  <c r="BP128" i="12" s="1"/>
  <c r="M130" i="9"/>
  <c r="P130" i="9" s="1"/>
  <c r="Q130" i="9" s="1"/>
  <c r="AV128" i="12"/>
  <c r="AF128" i="12"/>
  <c r="BO128" i="12"/>
  <c r="CK128" i="9"/>
  <c r="CL128" i="9"/>
  <c r="CN128" i="9"/>
  <c r="CM128" i="9"/>
  <c r="DX127" i="12"/>
  <c r="DY127" i="12"/>
  <c r="DZ127" i="12"/>
  <c r="DT128" i="12"/>
  <c r="FI128" i="12"/>
  <c r="AC128" i="12"/>
  <c r="CK128" i="12"/>
  <c r="DE127" i="12"/>
  <c r="DG127" i="12"/>
  <c r="DF127" i="12"/>
  <c r="CL127" i="12"/>
  <c r="CN127" i="12"/>
  <c r="CM127" i="12"/>
  <c r="K130" i="12" a="1"/>
  <c r="K130" i="12" s="1"/>
  <c r="J130" i="12" a="1"/>
  <c r="J130" i="12" s="1"/>
  <c r="L130" i="12" a="1"/>
  <c r="L130" i="12" s="1"/>
  <c r="G130" i="12" a="1"/>
  <c r="G130" i="12" s="1"/>
  <c r="O130" i="12" a="1"/>
  <c r="O130" i="12" s="1"/>
  <c r="N130" i="12" a="1"/>
  <c r="N130" i="12" s="1"/>
  <c r="H130" i="12" a="1"/>
  <c r="H130" i="12" s="1"/>
  <c r="D131" i="12"/>
  <c r="AV129" i="9"/>
  <c r="CG129" i="9"/>
  <c r="CI129" i="9" s="1"/>
  <c r="BO129" i="9"/>
  <c r="BN129" i="9"/>
  <c r="BP129" i="9" s="1"/>
  <c r="CH129" i="9"/>
  <c r="AU129" i="9"/>
  <c r="AW129" i="9" s="1"/>
  <c r="FF129" i="9"/>
  <c r="FE129" i="9"/>
  <c r="FG129" i="9" s="1"/>
  <c r="AC129" i="9"/>
  <c r="AB129" i="9"/>
  <c r="AD129" i="9" s="1"/>
  <c r="DA129" i="9"/>
  <c r="CZ129" i="9"/>
  <c r="DB129" i="9" s="1"/>
  <c r="EM129" i="9"/>
  <c r="EL129" i="9"/>
  <c r="EN129" i="9" s="1"/>
  <c r="DS129" i="9"/>
  <c r="DU129" i="9" s="1"/>
  <c r="DT129" i="9"/>
  <c r="EM128" i="12"/>
  <c r="BV128" i="9" l="1"/>
  <c r="EA128" i="9"/>
  <c r="CO128" i="9"/>
  <c r="BC128" i="9"/>
  <c r="DS129" i="12"/>
  <c r="DU129" i="12" s="1"/>
  <c r="DT129" i="12"/>
  <c r="EM129" i="12"/>
  <c r="CH129" i="12"/>
  <c r="CG129" i="12"/>
  <c r="CI129" i="12" s="1"/>
  <c r="DD129" i="12"/>
  <c r="DW129" i="12"/>
  <c r="AC129" i="12"/>
  <c r="AU129" i="12"/>
  <c r="AW129" i="12" s="1"/>
  <c r="AB129" i="12"/>
  <c r="AD129" i="12" s="1"/>
  <c r="AI129" i="12" s="1"/>
  <c r="AV129" i="12"/>
  <c r="CZ129" i="12"/>
  <c r="DB129" i="12" s="1"/>
  <c r="DF129" i="12" s="1"/>
  <c r="AY129" i="12"/>
  <c r="BR129" i="12"/>
  <c r="CK129" i="12"/>
  <c r="CN128" i="12"/>
  <c r="BN129" i="12"/>
  <c r="BP129" i="12" s="1"/>
  <c r="EP129" i="12"/>
  <c r="AJ127" i="12"/>
  <c r="FM127" i="12"/>
  <c r="CL128" i="12"/>
  <c r="FK128" i="12"/>
  <c r="FE129" i="12"/>
  <c r="FG129" i="12" s="1"/>
  <c r="FL128" i="12"/>
  <c r="FF129" i="12"/>
  <c r="BO129" i="12"/>
  <c r="EA127" i="12"/>
  <c r="ET127" i="12"/>
  <c r="DA129" i="12"/>
  <c r="FI129" i="12"/>
  <c r="EA128" i="12"/>
  <c r="AH128" i="12"/>
  <c r="AG128" i="12"/>
  <c r="CO127" i="12"/>
  <c r="AF129" i="12"/>
  <c r="BV127" i="12"/>
  <c r="AF129" i="9"/>
  <c r="AI129" i="9"/>
  <c r="AG129" i="9"/>
  <c r="AH129" i="9"/>
  <c r="CM129" i="9"/>
  <c r="CN129" i="9"/>
  <c r="CK129" i="9"/>
  <c r="CL129" i="9"/>
  <c r="M130" i="12"/>
  <c r="P130" i="12" s="1"/>
  <c r="Q130" i="12" s="1"/>
  <c r="CH130" i="9"/>
  <c r="CG130" i="9"/>
  <c r="CI130" i="9" s="1"/>
  <c r="BN130" i="9"/>
  <c r="BP130" i="9" s="1"/>
  <c r="FF130" i="9"/>
  <c r="FE130" i="9"/>
  <c r="FG130" i="9" s="1"/>
  <c r="BO130" i="9"/>
  <c r="AU130" i="9"/>
  <c r="AW130" i="9" s="1"/>
  <c r="AV130" i="9"/>
  <c r="CZ130" i="9"/>
  <c r="DB130" i="9" s="1"/>
  <c r="EL130" i="9"/>
  <c r="EN130" i="9" s="1"/>
  <c r="AB130" i="9"/>
  <c r="AD130" i="9" s="1"/>
  <c r="DA130" i="9"/>
  <c r="AC130" i="9"/>
  <c r="EM130" i="9"/>
  <c r="DS130" i="9"/>
  <c r="DU130" i="9" s="1"/>
  <c r="DT130" i="9"/>
  <c r="DE128" i="12"/>
  <c r="DG128" i="12"/>
  <c r="DF128" i="12"/>
  <c r="BA129" i="12"/>
  <c r="AZ129" i="12"/>
  <c r="BB129" i="12"/>
  <c r="M131" i="9"/>
  <c r="P131" i="9" s="1"/>
  <c r="Q131" i="9" s="1"/>
  <c r="FI129" i="9"/>
  <c r="FK129" i="9"/>
  <c r="FJ129" i="9"/>
  <c r="FL129" i="9"/>
  <c r="L131" i="12" a="1"/>
  <c r="L131" i="12" s="1"/>
  <c r="J131" i="12" a="1"/>
  <c r="J131" i="12" s="1"/>
  <c r="O131" i="12" a="1"/>
  <c r="O131" i="12" s="1"/>
  <c r="H131" i="12" a="1"/>
  <c r="H131" i="12" s="1"/>
  <c r="K131" i="12" a="1"/>
  <c r="K131" i="12" s="1"/>
  <c r="G131" i="12" a="1"/>
  <c r="G131" i="12" s="1"/>
  <c r="N131" i="12" a="1"/>
  <c r="N131" i="12" s="1"/>
  <c r="D132" i="12"/>
  <c r="BS128" i="12"/>
  <c r="BU128" i="12"/>
  <c r="BT128" i="12"/>
  <c r="I132" i="9"/>
  <c r="CX131" i="9"/>
  <c r="CY131" i="9" s="1"/>
  <c r="DC131" i="9" s="1"/>
  <c r="EJ131" i="9"/>
  <c r="EK131" i="9" s="1"/>
  <c r="EO131" i="9" s="1"/>
  <c r="CE131" i="9"/>
  <c r="CF131" i="9" s="1"/>
  <c r="CJ131" i="9" s="1"/>
  <c r="BL131" i="9"/>
  <c r="BM131" i="9" s="1"/>
  <c r="BQ131" i="9" s="1"/>
  <c r="DQ131" i="9"/>
  <c r="DR131" i="9" s="1"/>
  <c r="DV131" i="9" s="1"/>
  <c r="AS131" i="9"/>
  <c r="AT131" i="9" s="1"/>
  <c r="AX131" i="9" s="1"/>
  <c r="Z131" i="9"/>
  <c r="AA131" i="9" s="1"/>
  <c r="AE131" i="9" s="1"/>
  <c r="FC131" i="9"/>
  <c r="FD131" i="9" s="1"/>
  <c r="FH131" i="9" s="1"/>
  <c r="BT129" i="9"/>
  <c r="BU129" i="9"/>
  <c r="BR129" i="9"/>
  <c r="BV129" i="9" s="1"/>
  <c r="BS129" i="9"/>
  <c r="EQ128" i="12"/>
  <c r="ES128" i="12"/>
  <c r="ER128" i="12"/>
  <c r="DZ129" i="9"/>
  <c r="DY129" i="9"/>
  <c r="DW129" i="9"/>
  <c r="DX129" i="9"/>
  <c r="EL129" i="12"/>
  <c r="EN129" i="12" s="1"/>
  <c r="DX129" i="12"/>
  <c r="DZ129" i="12"/>
  <c r="DY129" i="12"/>
  <c r="BB128" i="12"/>
  <c r="BA128" i="12"/>
  <c r="AZ128" i="12"/>
  <c r="BC127" i="12"/>
  <c r="DG129" i="9"/>
  <c r="DF129" i="9"/>
  <c r="DD129" i="9"/>
  <c r="DE129" i="9"/>
  <c r="EP129" i="9"/>
  <c r="ET129" i="9" s="1"/>
  <c r="ES129" i="9"/>
  <c r="EQ129" i="9"/>
  <c r="ER129" i="9"/>
  <c r="AZ129" i="9"/>
  <c r="BA129" i="9"/>
  <c r="AY129" i="9"/>
  <c r="BB129" i="9"/>
  <c r="CL129" i="12"/>
  <c r="CN129" i="12"/>
  <c r="CM129" i="12"/>
  <c r="FJ129" i="12"/>
  <c r="FK129" i="12"/>
  <c r="FL129" i="12"/>
  <c r="DH127" i="12"/>
  <c r="K132" i="9" a="1"/>
  <c r="K132" i="9" s="1"/>
  <c r="L132" i="9" a="1"/>
  <c r="L132" i="9" s="1"/>
  <c r="N132" i="9" a="1"/>
  <c r="N132" i="9" s="1"/>
  <c r="G132" i="9" a="1"/>
  <c r="G132" i="9" s="1"/>
  <c r="J132" i="9" a="1"/>
  <c r="J132" i="9" s="1"/>
  <c r="H132" i="9" a="1"/>
  <c r="H132" i="9" s="1"/>
  <c r="O132" i="9" a="1"/>
  <c r="O132" i="9" s="1"/>
  <c r="D133" i="9"/>
  <c r="BS129" i="12"/>
  <c r="BU129" i="12"/>
  <c r="BT129" i="12"/>
  <c r="DG129" i="12" l="1"/>
  <c r="DE129" i="12"/>
  <c r="BC129" i="9"/>
  <c r="EA129" i="9"/>
  <c r="AG129" i="12"/>
  <c r="CO129" i="9"/>
  <c r="DH129" i="9"/>
  <c r="AH129" i="12"/>
  <c r="AJ129" i="12" s="1"/>
  <c r="FM129" i="9"/>
  <c r="AJ129" i="9"/>
  <c r="BC128" i="12"/>
  <c r="CO128" i="12"/>
  <c r="FM128" i="12"/>
  <c r="BV129" i="12"/>
  <c r="EA129" i="12"/>
  <c r="ET128" i="12"/>
  <c r="AJ128" i="12"/>
  <c r="FM129" i="12"/>
  <c r="CO129" i="12"/>
  <c r="BC129" i="12"/>
  <c r="M132" i="9"/>
  <c r="P132" i="9" s="1"/>
  <c r="Q132" i="9" s="1"/>
  <c r="L132" i="12" a="1"/>
  <c r="L132" i="12" s="1"/>
  <c r="H132" i="12" a="1"/>
  <c r="H132" i="12" s="1"/>
  <c r="O132" i="12" a="1"/>
  <c r="O132" i="12" s="1"/>
  <c r="N132" i="12" a="1"/>
  <c r="N132" i="12" s="1"/>
  <c r="J132" i="12" a="1"/>
  <c r="J132" i="12" s="1"/>
  <c r="G132" i="12" a="1"/>
  <c r="G132" i="12" s="1"/>
  <c r="K132" i="12" a="1"/>
  <c r="K132" i="12" s="1"/>
  <c r="D133" i="12"/>
  <c r="FI130" i="9"/>
  <c r="FM130" i="9" s="1"/>
  <c r="FK130" i="9"/>
  <c r="FL130" i="9"/>
  <c r="FJ130" i="9"/>
  <c r="I133" i="9"/>
  <c r="DQ132" i="9"/>
  <c r="DR132" i="9" s="1"/>
  <c r="DV132" i="9" s="1"/>
  <c r="CX132" i="9"/>
  <c r="CY132" i="9" s="1"/>
  <c r="DC132" i="9" s="1"/>
  <c r="EJ132" i="9"/>
  <c r="EK132" i="9" s="1"/>
  <c r="EO132" i="9" s="1"/>
  <c r="Z132" i="9"/>
  <c r="AA132" i="9" s="1"/>
  <c r="AE132" i="9" s="1"/>
  <c r="BL132" i="9"/>
  <c r="BM132" i="9" s="1"/>
  <c r="BQ132" i="9" s="1"/>
  <c r="AS132" i="9"/>
  <c r="AT132" i="9" s="1"/>
  <c r="AX132" i="9" s="1"/>
  <c r="CE132" i="9"/>
  <c r="CF132" i="9" s="1"/>
  <c r="CJ132" i="9" s="1"/>
  <c r="FC132" i="9"/>
  <c r="FD132" i="9" s="1"/>
  <c r="FH132" i="9" s="1"/>
  <c r="EQ129" i="12"/>
  <c r="ES129" i="12"/>
  <c r="ER129" i="12"/>
  <c r="AH130" i="9"/>
  <c r="AF130" i="9"/>
  <c r="AJ130" i="9" s="1"/>
  <c r="AG130" i="9"/>
  <c r="AI130" i="9"/>
  <c r="BU130" i="9"/>
  <c r="BT130" i="9"/>
  <c r="BS130" i="9"/>
  <c r="BR130" i="9"/>
  <c r="BV130" i="9" s="1"/>
  <c r="O133" i="9" a="1"/>
  <c r="O133" i="9" s="1"/>
  <c r="G133" i="9" a="1"/>
  <c r="G133" i="9" s="1"/>
  <c r="H133" i="9" a="1"/>
  <c r="H133" i="9" s="1"/>
  <c r="N133" i="9" a="1"/>
  <c r="N133" i="9" s="1"/>
  <c r="L133" i="9" a="1"/>
  <c r="L133" i="9" s="1"/>
  <c r="K133" i="9" a="1"/>
  <c r="K133" i="9" s="1"/>
  <c r="J133" i="9" a="1"/>
  <c r="J133" i="9" s="1"/>
  <c r="D134" i="9"/>
  <c r="ER130" i="9"/>
  <c r="EP130" i="9"/>
  <c r="ET130" i="9" s="1"/>
  <c r="EQ130" i="9"/>
  <c r="ES130" i="9"/>
  <c r="CN130" i="9"/>
  <c r="CM130" i="9"/>
  <c r="CL130" i="9"/>
  <c r="CK130" i="9"/>
  <c r="BV128" i="12"/>
  <c r="DH128" i="12"/>
  <c r="DF130" i="9"/>
  <c r="DE130" i="9"/>
  <c r="DG130" i="9"/>
  <c r="DD130" i="9"/>
  <c r="DH129" i="12"/>
  <c r="FE130" i="12"/>
  <c r="FG130" i="12" s="1"/>
  <c r="FF130" i="12"/>
  <c r="EP130" i="12"/>
  <c r="CK130" i="12"/>
  <c r="DD130" i="12"/>
  <c r="AC130" i="12"/>
  <c r="BN130" i="12"/>
  <c r="BP130" i="12" s="1"/>
  <c r="AB130" i="12"/>
  <c r="AD130" i="12" s="1"/>
  <c r="BO130" i="12"/>
  <c r="AY130" i="12"/>
  <c r="FI130" i="12"/>
  <c r="AF130" i="12"/>
  <c r="EM130" i="12"/>
  <c r="DA130" i="12"/>
  <c r="EL130" i="12"/>
  <c r="EN130" i="12" s="1"/>
  <c r="DS130" i="12"/>
  <c r="DU130" i="12" s="1"/>
  <c r="CH130" i="12"/>
  <c r="CZ130" i="12"/>
  <c r="DB130" i="12" s="1"/>
  <c r="CG130" i="12"/>
  <c r="CI130" i="12" s="1"/>
  <c r="DT130" i="12"/>
  <c r="DW130" i="12"/>
  <c r="BR130" i="12"/>
  <c r="AV130" i="12"/>
  <c r="AU130" i="12"/>
  <c r="AW130" i="12" s="1"/>
  <c r="AV131" i="9"/>
  <c r="BO131" i="9"/>
  <c r="FE131" i="9"/>
  <c r="FG131" i="9" s="1"/>
  <c r="BN131" i="9"/>
  <c r="BP131" i="9" s="1"/>
  <c r="AU131" i="9"/>
  <c r="AW131" i="9" s="1"/>
  <c r="CH131" i="9"/>
  <c r="CG131" i="9"/>
  <c r="CI131" i="9" s="1"/>
  <c r="FF131" i="9"/>
  <c r="AC131" i="9"/>
  <c r="EL131" i="9"/>
  <c r="EN131" i="9" s="1"/>
  <c r="AB131" i="9"/>
  <c r="AD131" i="9" s="1"/>
  <c r="EM131" i="9"/>
  <c r="DA131" i="9"/>
  <c r="CZ131" i="9"/>
  <c r="DB131" i="9" s="1"/>
  <c r="DS131" i="9"/>
  <c r="DU131" i="9" s="1"/>
  <c r="DT131" i="9"/>
  <c r="M131" i="12"/>
  <c r="P131" i="12" s="1"/>
  <c r="Q131" i="12" s="1"/>
  <c r="DX130" i="9"/>
  <c r="DW130" i="9"/>
  <c r="EA130" i="9" s="1"/>
  <c r="DZ130" i="9"/>
  <c r="DY130" i="9"/>
  <c r="AY130" i="9"/>
  <c r="BB130" i="9"/>
  <c r="AZ130" i="9"/>
  <c r="BA130" i="9"/>
  <c r="CO130" i="9" l="1"/>
  <c r="DH130" i="9"/>
  <c r="BC130" i="9"/>
  <c r="FF131" i="12"/>
  <c r="FE131" i="12"/>
  <c r="FG131" i="12" s="1"/>
  <c r="EP131" i="12"/>
  <c r="CK131" i="12"/>
  <c r="DD131" i="12"/>
  <c r="BO131" i="12"/>
  <c r="AC131" i="12"/>
  <c r="BN131" i="12"/>
  <c r="BP131" i="12" s="1"/>
  <c r="AB131" i="12"/>
  <c r="AD131" i="12" s="1"/>
  <c r="AY131" i="12"/>
  <c r="AF131" i="12"/>
  <c r="EM131" i="12"/>
  <c r="CG131" i="12"/>
  <c r="CI131" i="12" s="1"/>
  <c r="EL131" i="12"/>
  <c r="EN131" i="12" s="1"/>
  <c r="CZ131" i="12"/>
  <c r="DB131" i="12" s="1"/>
  <c r="BR131" i="12"/>
  <c r="CH131" i="12"/>
  <c r="DW131" i="12"/>
  <c r="DT131" i="12"/>
  <c r="DA131" i="12"/>
  <c r="DS131" i="12"/>
  <c r="DU131" i="12" s="1"/>
  <c r="FI131" i="12"/>
  <c r="AV131" i="12"/>
  <c r="AU131" i="12"/>
  <c r="AW131" i="12" s="1"/>
  <c r="DF131" i="9"/>
  <c r="DG131" i="9"/>
  <c r="DD131" i="9"/>
  <c r="DH131" i="9" s="1"/>
  <c r="DE131" i="9"/>
  <c r="DZ131" i="9"/>
  <c r="DX131" i="9"/>
  <c r="DW131" i="9"/>
  <c r="DY131" i="9"/>
  <c r="AZ131" i="9"/>
  <c r="BA131" i="9"/>
  <c r="BB131" i="9"/>
  <c r="AY131" i="9"/>
  <c r="I134" i="9"/>
  <c r="EJ133" i="9"/>
  <c r="EK133" i="9" s="1"/>
  <c r="EO133" i="9" s="1"/>
  <c r="CX133" i="9"/>
  <c r="CY133" i="9" s="1"/>
  <c r="DC133" i="9" s="1"/>
  <c r="BL133" i="9"/>
  <c r="BM133" i="9" s="1"/>
  <c r="BQ133" i="9" s="1"/>
  <c r="AS133" i="9"/>
  <c r="AT133" i="9" s="1"/>
  <c r="AX133" i="9" s="1"/>
  <c r="CE133" i="9"/>
  <c r="CF133" i="9" s="1"/>
  <c r="CJ133" i="9" s="1"/>
  <c r="FC133" i="9"/>
  <c r="FD133" i="9" s="1"/>
  <c r="FH133" i="9" s="1"/>
  <c r="DQ133" i="9"/>
  <c r="DR133" i="9" s="1"/>
  <c r="DV133" i="9" s="1"/>
  <c r="Z133" i="9"/>
  <c r="AA133" i="9" s="1"/>
  <c r="AE133" i="9" s="1"/>
  <c r="M132" i="12"/>
  <c r="P132" i="12" s="1"/>
  <c r="Q132" i="12" s="1"/>
  <c r="EQ130" i="12"/>
  <c r="ER130" i="12"/>
  <c r="ES130" i="12"/>
  <c r="BU131" i="9"/>
  <c r="BT131" i="9"/>
  <c r="BS131" i="9"/>
  <c r="BR131" i="9"/>
  <c r="BV131" i="9" s="1"/>
  <c r="CM131" i="9"/>
  <c r="CL131" i="9"/>
  <c r="CK131" i="9"/>
  <c r="CN131" i="9"/>
  <c r="AG131" i="9"/>
  <c r="AH131" i="9"/>
  <c r="AF131" i="9"/>
  <c r="AI131" i="9"/>
  <c r="CL130" i="12"/>
  <c r="CM130" i="12"/>
  <c r="CN130" i="12"/>
  <c r="CG132" i="9"/>
  <c r="CI132" i="9" s="1"/>
  <c r="BO132" i="9"/>
  <c r="AV132" i="9"/>
  <c r="FE132" i="9"/>
  <c r="FG132" i="9" s="1"/>
  <c r="CH132" i="9"/>
  <c r="FF132" i="9"/>
  <c r="BN132" i="9"/>
  <c r="BP132" i="9" s="1"/>
  <c r="AU132" i="9"/>
  <c r="AW132" i="9" s="1"/>
  <c r="CZ132" i="9"/>
  <c r="DB132" i="9" s="1"/>
  <c r="AC132" i="9"/>
  <c r="AB132" i="9"/>
  <c r="AD132" i="9" s="1"/>
  <c r="EM132" i="9"/>
  <c r="EL132" i="9"/>
  <c r="EN132" i="9" s="1"/>
  <c r="DA132" i="9"/>
  <c r="DT132" i="9"/>
  <c r="DS132" i="9"/>
  <c r="DU132" i="9" s="1"/>
  <c r="FL131" i="9"/>
  <c r="FK131" i="9"/>
  <c r="FJ131" i="9"/>
  <c r="FI131" i="9"/>
  <c r="ES131" i="9"/>
  <c r="ER131" i="9"/>
  <c r="EP131" i="9"/>
  <c r="EQ131" i="9"/>
  <c r="DE130" i="12"/>
  <c r="DG130" i="12"/>
  <c r="DF130" i="12"/>
  <c r="ET129" i="12"/>
  <c r="FJ130" i="12"/>
  <c r="FK130" i="12"/>
  <c r="FL130" i="12"/>
  <c r="K134" i="9" a="1"/>
  <c r="K134" i="9" s="1"/>
  <c r="O134" i="9" a="1"/>
  <c r="O134" i="9" s="1"/>
  <c r="N134" i="9" a="1"/>
  <c r="N134" i="9" s="1"/>
  <c r="H134" i="9" a="1"/>
  <c r="H134" i="9" s="1"/>
  <c r="G134" i="9" a="1"/>
  <c r="G134" i="9" s="1"/>
  <c r="J134" i="9" a="1"/>
  <c r="J134" i="9" s="1"/>
  <c r="L134" i="9" a="1"/>
  <c r="L134" i="9" s="1"/>
  <c r="D135" i="9"/>
  <c r="M133" i="9"/>
  <c r="P133" i="9" s="1"/>
  <c r="Q133" i="9" s="1"/>
  <c r="BS130" i="12"/>
  <c r="BU130" i="12"/>
  <c r="BT130" i="12"/>
  <c r="BB130" i="12"/>
  <c r="AZ130" i="12"/>
  <c r="BA130" i="12"/>
  <c r="DX130" i="12"/>
  <c r="DZ130" i="12"/>
  <c r="DY130" i="12"/>
  <c r="AG130" i="12"/>
  <c r="AI130" i="12"/>
  <c r="AH130" i="12"/>
  <c r="L133" i="12" a="1"/>
  <c r="L133" i="12" s="1"/>
  <c r="K133" i="12" a="1"/>
  <c r="K133" i="12" s="1"/>
  <c r="N133" i="12" a="1"/>
  <c r="N133" i="12" s="1"/>
  <c r="H133" i="12" a="1"/>
  <c r="H133" i="12" s="1"/>
  <c r="G133" i="12" a="1"/>
  <c r="G133" i="12" s="1"/>
  <c r="O133" i="12" a="1"/>
  <c r="O133" i="12" s="1"/>
  <c r="J133" i="12" a="1"/>
  <c r="J133" i="12" s="1"/>
  <c r="D134" i="12"/>
  <c r="FM131" i="9" l="1"/>
  <c r="AJ131" i="9"/>
  <c r="BC131" i="9"/>
  <c r="CO131" i="9"/>
  <c r="ET131" i="9"/>
  <c r="EA131" i="9"/>
  <c r="BV130" i="12"/>
  <c r="EA130" i="12"/>
  <c r="FM130" i="12"/>
  <c r="BC130" i="12"/>
  <c r="DH130" i="12"/>
  <c r="M133" i="12"/>
  <c r="AJ130" i="12"/>
  <c r="CO130" i="12"/>
  <c r="BN133" i="9"/>
  <c r="BP133" i="9" s="1"/>
  <c r="BO133" i="9"/>
  <c r="AV133" i="9"/>
  <c r="CH133" i="9"/>
  <c r="FF133" i="9"/>
  <c r="AU133" i="9"/>
  <c r="AW133" i="9" s="1"/>
  <c r="FE133" i="9"/>
  <c r="FG133" i="9" s="1"/>
  <c r="CG133" i="9"/>
  <c r="CI133" i="9" s="1"/>
  <c r="EM133" i="9"/>
  <c r="CZ133" i="9"/>
  <c r="DB133" i="9" s="1"/>
  <c r="AC133" i="9"/>
  <c r="EL133" i="9"/>
  <c r="EN133" i="9" s="1"/>
  <c r="DA133" i="9"/>
  <c r="AB133" i="9"/>
  <c r="AD133" i="9" s="1"/>
  <c r="DS133" i="9"/>
  <c r="DU133" i="9" s="1"/>
  <c r="DT133" i="9"/>
  <c r="EP132" i="12"/>
  <c r="FE132" i="12"/>
  <c r="FG132" i="12" s="1"/>
  <c r="FF132" i="12"/>
  <c r="DD132" i="12"/>
  <c r="CK132" i="12"/>
  <c r="AC132" i="12"/>
  <c r="AB132" i="12"/>
  <c r="AD132" i="12" s="1"/>
  <c r="BN132" i="12"/>
  <c r="BP132" i="12" s="1"/>
  <c r="BO132" i="12"/>
  <c r="DW132" i="12"/>
  <c r="BR132" i="12"/>
  <c r="AF132" i="12"/>
  <c r="CZ132" i="12"/>
  <c r="DB132" i="12" s="1"/>
  <c r="AY132" i="12"/>
  <c r="CG132" i="12"/>
  <c r="CI132" i="12" s="1"/>
  <c r="EM132" i="12"/>
  <c r="DS132" i="12"/>
  <c r="DU132" i="12" s="1"/>
  <c r="CH132" i="12"/>
  <c r="FI132" i="12"/>
  <c r="EL132" i="12"/>
  <c r="EN132" i="12" s="1"/>
  <c r="DT132" i="12"/>
  <c r="DA132" i="12"/>
  <c r="AU132" i="12"/>
  <c r="AW132" i="12" s="1"/>
  <c r="AV132" i="12"/>
  <c r="I135" i="9"/>
  <c r="CX134" i="9"/>
  <c r="CY134" i="9" s="1"/>
  <c r="DC134" i="9" s="1"/>
  <c r="BL134" i="9"/>
  <c r="BM134" i="9" s="1"/>
  <c r="BQ134" i="9" s="1"/>
  <c r="EJ134" i="9"/>
  <c r="EK134" i="9" s="1"/>
  <c r="EO134" i="9" s="1"/>
  <c r="DQ134" i="9"/>
  <c r="DR134" i="9" s="1"/>
  <c r="DV134" i="9" s="1"/>
  <c r="Z134" i="9"/>
  <c r="AA134" i="9" s="1"/>
  <c r="AE134" i="9" s="1"/>
  <c r="AS134" i="9"/>
  <c r="AT134" i="9" s="1"/>
  <c r="AX134" i="9" s="1"/>
  <c r="CE134" i="9"/>
  <c r="CF134" i="9" s="1"/>
  <c r="CJ134" i="9" s="1"/>
  <c r="FC134" i="9"/>
  <c r="FD134" i="9" s="1"/>
  <c r="FH134" i="9" s="1"/>
  <c r="DE131" i="12"/>
  <c r="DG131" i="12"/>
  <c r="DF131" i="12"/>
  <c r="DF132" i="9"/>
  <c r="DE132" i="9"/>
  <c r="DD132" i="9"/>
  <c r="DH132" i="9" s="1"/>
  <c r="DG132" i="9"/>
  <c r="CL132" i="9"/>
  <c r="CK132" i="9"/>
  <c r="CO132" i="9" s="1"/>
  <c r="CN132" i="9"/>
  <c r="CM132" i="9"/>
  <c r="EQ131" i="12"/>
  <c r="ES131" i="12"/>
  <c r="ER131" i="12"/>
  <c r="DZ132" i="9"/>
  <c r="DY132" i="9"/>
  <c r="DW132" i="9"/>
  <c r="DX132" i="9"/>
  <c r="BB132" i="9"/>
  <c r="BA132" i="9"/>
  <c r="AZ132" i="9"/>
  <c r="AY132" i="9"/>
  <c r="BC132" i="9" s="1"/>
  <c r="DX131" i="12"/>
  <c r="DZ131" i="12"/>
  <c r="DY131" i="12"/>
  <c r="CL131" i="12"/>
  <c r="CN131" i="12"/>
  <c r="CM131" i="12"/>
  <c r="P133" i="12"/>
  <c r="Q133" i="12" s="1"/>
  <c r="K135" i="9" a="1"/>
  <c r="K135" i="9" s="1"/>
  <c r="O135" i="9" a="1"/>
  <c r="O135" i="9" s="1"/>
  <c r="L135" i="9" a="1"/>
  <c r="L135" i="9" s="1"/>
  <c r="N135" i="9" a="1"/>
  <c r="N135" i="9" s="1"/>
  <c r="J135" i="9" a="1"/>
  <c r="J135" i="9" s="1"/>
  <c r="H135" i="9" a="1"/>
  <c r="H135" i="9" s="1"/>
  <c r="G135" i="9" a="1"/>
  <c r="G135" i="9" s="1"/>
  <c r="D136" i="9"/>
  <c r="BR132" i="9"/>
  <c r="BU132" i="9"/>
  <c r="BS132" i="9"/>
  <c r="BT132" i="9"/>
  <c r="BS131" i="12"/>
  <c r="BU131" i="12"/>
  <c r="BT131" i="12"/>
  <c r="M134" i="9"/>
  <c r="P134" i="9" s="1"/>
  <c r="Q134" i="9" s="1"/>
  <c r="BB131" i="12"/>
  <c r="AZ131" i="12"/>
  <c r="BA131" i="12"/>
  <c r="EP132" i="9"/>
  <c r="ET132" i="9" s="1"/>
  <c r="EQ132" i="9"/>
  <c r="ER132" i="9"/>
  <c r="ES132" i="9"/>
  <c r="ET130" i="12"/>
  <c r="FJ131" i="12"/>
  <c r="FK131" i="12"/>
  <c r="FL131" i="12"/>
  <c r="AI132" i="9"/>
  <c r="AG132" i="9"/>
  <c r="AF132" i="9"/>
  <c r="AH132" i="9"/>
  <c r="N134" i="12" a="1"/>
  <c r="N134" i="12" s="1"/>
  <c r="J134" i="12" a="1"/>
  <c r="J134" i="12" s="1"/>
  <c r="H134" i="12" a="1"/>
  <c r="H134" i="12" s="1"/>
  <c r="L134" i="12" a="1"/>
  <c r="L134" i="12" s="1"/>
  <c r="O134" i="12" a="1"/>
  <c r="O134" i="12" s="1"/>
  <c r="G134" i="12" a="1"/>
  <c r="G134" i="12" s="1"/>
  <c r="K134" i="12" a="1"/>
  <c r="K134" i="12" s="1"/>
  <c r="D135" i="12"/>
  <c r="FJ132" i="9"/>
  <c r="FI132" i="9"/>
  <c r="FM132" i="9" s="1"/>
  <c r="FK132" i="9"/>
  <c r="FL132" i="9"/>
  <c r="AH131" i="12"/>
  <c r="AG131" i="12"/>
  <c r="AI131" i="12"/>
  <c r="EA132" i="9" l="1"/>
  <c r="ET131" i="12"/>
  <c r="BV132" i="9"/>
  <c r="AJ132" i="9"/>
  <c r="BV131" i="12"/>
  <c r="CO131" i="12"/>
  <c r="FM131" i="12"/>
  <c r="M134" i="12"/>
  <c r="P134" i="12" s="1"/>
  <c r="Q134" i="12" s="1"/>
  <c r="AJ131" i="12"/>
  <c r="BC131" i="12"/>
  <c r="DH131" i="12"/>
  <c r="M135" i="9"/>
  <c r="L136" i="9" a="1"/>
  <c r="L136" i="9" s="1"/>
  <c r="H136" i="9" a="1"/>
  <c r="H136" i="9" s="1"/>
  <c r="G136" i="9" a="1"/>
  <c r="G136" i="9" s="1"/>
  <c r="N136" i="9" a="1"/>
  <c r="N136" i="9" s="1"/>
  <c r="J136" i="9" a="1"/>
  <c r="J136" i="9" s="1"/>
  <c r="K136" i="9" a="1"/>
  <c r="K136" i="9" s="1"/>
  <c r="O136" i="9" a="1"/>
  <c r="O136" i="9" s="1"/>
  <c r="D137" i="9"/>
  <c r="BA132" i="12"/>
  <c r="BB132" i="12"/>
  <c r="AZ132" i="12"/>
  <c r="CM132" i="12"/>
  <c r="CL132" i="12"/>
  <c r="CN132" i="12"/>
  <c r="AG132" i="12"/>
  <c r="AI132" i="12"/>
  <c r="AH132" i="12"/>
  <c r="DW133" i="9"/>
  <c r="DX133" i="9"/>
  <c r="DZ133" i="9"/>
  <c r="DY133" i="9"/>
  <c r="FI133" i="9"/>
  <c r="FM133" i="9" s="1"/>
  <c r="FL133" i="9"/>
  <c r="FJ133" i="9"/>
  <c r="FK133" i="9"/>
  <c r="FF133" i="12"/>
  <c r="EP133" i="12"/>
  <c r="FE133" i="12"/>
  <c r="FG133" i="12" s="1"/>
  <c r="CK133" i="12"/>
  <c r="DD133" i="12"/>
  <c r="BN133" i="12"/>
  <c r="BP133" i="12" s="1"/>
  <c r="BO133" i="12"/>
  <c r="AB133" i="12"/>
  <c r="AD133" i="12" s="1"/>
  <c r="AC133" i="12"/>
  <c r="AY133" i="12"/>
  <c r="AF133" i="12"/>
  <c r="FI133" i="12"/>
  <c r="DT133" i="12"/>
  <c r="EL133" i="12"/>
  <c r="EN133" i="12" s="1"/>
  <c r="BR133" i="12"/>
  <c r="DW133" i="12"/>
  <c r="DS133" i="12"/>
  <c r="DU133" i="12" s="1"/>
  <c r="CZ133" i="12"/>
  <c r="DB133" i="12" s="1"/>
  <c r="CH133" i="12"/>
  <c r="CG133" i="12"/>
  <c r="CI133" i="12" s="1"/>
  <c r="DA133" i="12"/>
  <c r="EM133" i="12"/>
  <c r="AU133" i="12"/>
  <c r="AW133" i="12" s="1"/>
  <c r="AV133" i="12"/>
  <c r="AF133" i="9"/>
  <c r="AG133" i="9"/>
  <c r="AI133" i="9"/>
  <c r="AH133" i="9"/>
  <c r="BA133" i="9"/>
  <c r="BB133" i="9"/>
  <c r="AY133" i="9"/>
  <c r="AZ133" i="9"/>
  <c r="CG134" i="9"/>
  <c r="CI134" i="9" s="1"/>
  <c r="BN134" i="9"/>
  <c r="BP134" i="9" s="1"/>
  <c r="BO134" i="9"/>
  <c r="CH134" i="9"/>
  <c r="AU134" i="9"/>
  <c r="AW134" i="9" s="1"/>
  <c r="AV134" i="9"/>
  <c r="FF134" i="9"/>
  <c r="FE134" i="9"/>
  <c r="FG134" i="9" s="1"/>
  <c r="AB134" i="9"/>
  <c r="AD134" i="9" s="1"/>
  <c r="DA134" i="9"/>
  <c r="EM134" i="9"/>
  <c r="EL134" i="9"/>
  <c r="EN134" i="9" s="1"/>
  <c r="CZ134" i="9"/>
  <c r="DB134" i="9" s="1"/>
  <c r="AC134" i="9"/>
  <c r="DS134" i="9"/>
  <c r="DU134" i="9" s="1"/>
  <c r="DT134" i="9"/>
  <c r="DE132" i="12"/>
  <c r="DG132" i="12"/>
  <c r="DF132" i="12"/>
  <c r="P135" i="9"/>
  <c r="Q135" i="9" s="1"/>
  <c r="EQ132" i="12"/>
  <c r="ES132" i="12"/>
  <c r="ER132" i="12"/>
  <c r="ER133" i="9"/>
  <c r="ES133" i="9"/>
  <c r="EP133" i="9"/>
  <c r="ET133" i="9" s="1"/>
  <c r="EQ133" i="9"/>
  <c r="EA131" i="12"/>
  <c r="BS132" i="12"/>
  <c r="BT132" i="12"/>
  <c r="BU132" i="12"/>
  <c r="L135" i="12" a="1"/>
  <c r="L135" i="12" s="1"/>
  <c r="J135" i="12" a="1"/>
  <c r="J135" i="12" s="1"/>
  <c r="H135" i="12" a="1"/>
  <c r="H135" i="12" s="1"/>
  <c r="G135" i="12" a="1"/>
  <c r="G135" i="12" s="1"/>
  <c r="N135" i="12" a="1"/>
  <c r="N135" i="12" s="1"/>
  <c r="O135" i="12" a="1"/>
  <c r="O135" i="12" s="1"/>
  <c r="K135" i="12" a="1"/>
  <c r="K135" i="12" s="1"/>
  <c r="D136" i="12"/>
  <c r="FJ132" i="12"/>
  <c r="FL132" i="12"/>
  <c r="FK132" i="12"/>
  <c r="DD133" i="9"/>
  <c r="DF133" i="9"/>
  <c r="DE133" i="9"/>
  <c r="DG133" i="9"/>
  <c r="CK133" i="9"/>
  <c r="CL133" i="9"/>
  <c r="CM133" i="9"/>
  <c r="CN133" i="9"/>
  <c r="I136" i="9"/>
  <c r="Z135" i="9"/>
  <c r="AA135" i="9" s="1"/>
  <c r="AE135" i="9" s="1"/>
  <c r="DQ135" i="9"/>
  <c r="DR135" i="9" s="1"/>
  <c r="DV135" i="9" s="1"/>
  <c r="FC135" i="9"/>
  <c r="FD135" i="9" s="1"/>
  <c r="FH135" i="9" s="1"/>
  <c r="CE135" i="9"/>
  <c r="CF135" i="9" s="1"/>
  <c r="CJ135" i="9" s="1"/>
  <c r="BL135" i="9"/>
  <c r="BM135" i="9" s="1"/>
  <c r="BQ135" i="9" s="1"/>
  <c r="CX135" i="9"/>
  <c r="CY135" i="9" s="1"/>
  <c r="DC135" i="9" s="1"/>
  <c r="AS135" i="9"/>
  <c r="AT135" i="9" s="1"/>
  <c r="AX135" i="9" s="1"/>
  <c r="EJ135" i="9"/>
  <c r="EK135" i="9" s="1"/>
  <c r="EO135" i="9" s="1"/>
  <c r="DX132" i="12"/>
  <c r="DZ132" i="12"/>
  <c r="DY132" i="12"/>
  <c r="BU133" i="9"/>
  <c r="BT133" i="9"/>
  <c r="BS133" i="9"/>
  <c r="BR133" i="9"/>
  <c r="BV133" i="9" l="1"/>
  <c r="AJ133" i="9"/>
  <c r="EA133" i="9"/>
  <c r="CO133" i="9"/>
  <c r="BC133" i="9"/>
  <c r="DH133" i="9"/>
  <c r="BV132" i="12"/>
  <c r="M136" i="9"/>
  <c r="P136" i="9" s="1"/>
  <c r="Q136" i="9" s="1"/>
  <c r="DH132" i="12"/>
  <c r="FM132" i="12"/>
  <c r="ET132" i="12"/>
  <c r="EA132" i="12"/>
  <c r="CO132" i="12"/>
  <c r="AJ132" i="12"/>
  <c r="BC132" i="12"/>
  <c r="BB133" i="12"/>
  <c r="AZ133" i="12"/>
  <c r="BA133" i="12"/>
  <c r="L137" i="9" a="1"/>
  <c r="L137" i="9" s="1"/>
  <c r="K137" i="9" a="1"/>
  <c r="K137" i="9" s="1"/>
  <c r="O137" i="9" a="1"/>
  <c r="O137" i="9" s="1"/>
  <c r="G137" i="9" a="1"/>
  <c r="G137" i="9" s="1"/>
  <c r="N137" i="9" a="1"/>
  <c r="N137" i="9" s="1"/>
  <c r="H137" i="9" a="1"/>
  <c r="H137" i="9" s="1"/>
  <c r="J137" i="9" a="1"/>
  <c r="J137" i="9" s="1"/>
  <c r="D138" i="9"/>
  <c r="M135" i="12"/>
  <c r="FE134" i="12"/>
  <c r="FG134" i="12" s="1"/>
  <c r="FF134" i="12"/>
  <c r="EP134" i="12"/>
  <c r="CK134" i="12"/>
  <c r="DD134" i="12"/>
  <c r="AC134" i="12"/>
  <c r="BN134" i="12"/>
  <c r="BP134" i="12" s="1"/>
  <c r="BO134" i="12"/>
  <c r="AB134" i="12"/>
  <c r="AD134" i="12" s="1"/>
  <c r="CH134" i="12"/>
  <c r="DS134" i="12"/>
  <c r="DU134" i="12" s="1"/>
  <c r="EL134" i="12"/>
  <c r="EN134" i="12" s="1"/>
  <c r="DT134" i="12"/>
  <c r="FI134" i="12"/>
  <c r="CG134" i="12"/>
  <c r="CI134" i="12" s="1"/>
  <c r="AY134" i="12"/>
  <c r="DA134" i="12"/>
  <c r="BR134" i="12"/>
  <c r="AF134" i="12"/>
  <c r="CZ134" i="12"/>
  <c r="DB134" i="12" s="1"/>
  <c r="EM134" i="12"/>
  <c r="DW134" i="12"/>
  <c r="AV134" i="12"/>
  <c r="AU134" i="12"/>
  <c r="AW134" i="12" s="1"/>
  <c r="DF134" i="9"/>
  <c r="DD134" i="9"/>
  <c r="DG134" i="9"/>
  <c r="DE134" i="9"/>
  <c r="BA134" i="9"/>
  <c r="BB134" i="9"/>
  <c r="AY134" i="9"/>
  <c r="AZ134" i="9"/>
  <c r="EQ133" i="12"/>
  <c r="ES133" i="12"/>
  <c r="ER133" i="12"/>
  <c r="BS133" i="12"/>
  <c r="BU133" i="12"/>
  <c r="BT133" i="12"/>
  <c r="DW134" i="9"/>
  <c r="EA134" i="9" s="1"/>
  <c r="DX134" i="9"/>
  <c r="DY134" i="9"/>
  <c r="DZ134" i="9"/>
  <c r="BN135" i="9"/>
  <c r="BP135" i="9" s="1"/>
  <c r="CH135" i="9"/>
  <c r="CG135" i="9"/>
  <c r="CI135" i="9" s="1"/>
  <c r="FE135" i="9"/>
  <c r="FG135" i="9" s="1"/>
  <c r="BO135" i="9"/>
  <c r="FF135" i="9"/>
  <c r="AV135" i="9"/>
  <c r="AU135" i="9"/>
  <c r="AW135" i="9" s="1"/>
  <c r="EM135" i="9"/>
  <c r="EL135" i="9"/>
  <c r="EN135" i="9" s="1"/>
  <c r="DA135" i="9"/>
  <c r="AC135" i="9"/>
  <c r="CZ135" i="9"/>
  <c r="DB135" i="9" s="1"/>
  <c r="AB135" i="9"/>
  <c r="AD135" i="9" s="1"/>
  <c r="DS135" i="9"/>
  <c r="DU135" i="9" s="1"/>
  <c r="DT135" i="9"/>
  <c r="EQ134" i="9"/>
  <c r="EP134" i="9"/>
  <c r="ET134" i="9" s="1"/>
  <c r="ES134" i="9"/>
  <c r="ER134" i="9"/>
  <c r="AG133" i="12"/>
  <c r="AI133" i="12"/>
  <c r="AH133" i="12"/>
  <c r="L136" i="12" a="1"/>
  <c r="L136" i="12" s="1"/>
  <c r="G136" i="12" a="1"/>
  <c r="G136" i="12" s="1"/>
  <c r="K136" i="12" a="1"/>
  <c r="K136" i="12" s="1"/>
  <c r="N136" i="12" a="1"/>
  <c r="N136" i="12" s="1"/>
  <c r="O136" i="12" a="1"/>
  <c r="O136" i="12" s="1"/>
  <c r="J136" i="12" a="1"/>
  <c r="J136" i="12" s="1"/>
  <c r="H136" i="12" a="1"/>
  <c r="H136" i="12" s="1"/>
  <c r="D137" i="12"/>
  <c r="CL133" i="12"/>
  <c r="CM133" i="12"/>
  <c r="CN133" i="12"/>
  <c r="BR134" i="9"/>
  <c r="BS134" i="9"/>
  <c r="BU134" i="9"/>
  <c r="BT134" i="9"/>
  <c r="FJ133" i="12"/>
  <c r="FK133" i="12"/>
  <c r="FL133" i="12"/>
  <c r="I137" i="9"/>
  <c r="CE136" i="9"/>
  <c r="CF136" i="9" s="1"/>
  <c r="CJ136" i="9" s="1"/>
  <c r="Z136" i="9"/>
  <c r="AA136" i="9" s="1"/>
  <c r="AE136" i="9" s="1"/>
  <c r="BL136" i="9"/>
  <c r="BM136" i="9" s="1"/>
  <c r="BQ136" i="9" s="1"/>
  <c r="FC136" i="9"/>
  <c r="FD136" i="9" s="1"/>
  <c r="FH136" i="9" s="1"/>
  <c r="DQ136" i="9"/>
  <c r="DR136" i="9" s="1"/>
  <c r="DV136" i="9" s="1"/>
  <c r="AS136" i="9"/>
  <c r="AT136" i="9" s="1"/>
  <c r="AX136" i="9" s="1"/>
  <c r="CX136" i="9"/>
  <c r="CY136" i="9" s="1"/>
  <c r="DC136" i="9" s="1"/>
  <c r="EJ136" i="9"/>
  <c r="EK136" i="9" s="1"/>
  <c r="EO136" i="9" s="1"/>
  <c r="AH134" i="9"/>
  <c r="AG134" i="9"/>
  <c r="AI134" i="9"/>
  <c r="AF134" i="9"/>
  <c r="CM134" i="9"/>
  <c r="CK134" i="9"/>
  <c r="CL134" i="9"/>
  <c r="CN134" i="9"/>
  <c r="DE133" i="12"/>
  <c r="DG133" i="12"/>
  <c r="DF133" i="12"/>
  <c r="P135" i="12"/>
  <c r="Q135" i="12" s="1"/>
  <c r="FL134" i="9"/>
  <c r="FK134" i="9"/>
  <c r="FI134" i="9"/>
  <c r="FJ134" i="9"/>
  <c r="DX133" i="12"/>
  <c r="DZ133" i="12"/>
  <c r="DY133" i="12"/>
  <c r="BV133" i="12" l="1"/>
  <c r="FM134" i="9"/>
  <c r="DH134" i="9"/>
  <c r="AJ134" i="9"/>
  <c r="CO134" i="9"/>
  <c r="BC134" i="9"/>
  <c r="BV134" i="9"/>
  <c r="FM133" i="12"/>
  <c r="M137" i="9"/>
  <c r="P137" i="9" s="1"/>
  <c r="Q137" i="9" s="1"/>
  <c r="BN136" i="9"/>
  <c r="BP136" i="9" s="1"/>
  <c r="FE136" i="9"/>
  <c r="FG136" i="9" s="1"/>
  <c r="FI136" i="9" s="1"/>
  <c r="FF136" i="9"/>
  <c r="BO136" i="9"/>
  <c r="CH136" i="9"/>
  <c r="CG136" i="9"/>
  <c r="CI136" i="9" s="1"/>
  <c r="CM136" i="9" s="1"/>
  <c r="EL136" i="9"/>
  <c r="EN136" i="9" s="1"/>
  <c r="ER136" i="9" s="1"/>
  <c r="AV136" i="9"/>
  <c r="DT136" i="9"/>
  <c r="AB136" i="9"/>
  <c r="AD136" i="9" s="1"/>
  <c r="AF136" i="9" s="1"/>
  <c r="CZ136" i="9"/>
  <c r="DB136" i="9" s="1"/>
  <c r="DG136" i="9" s="1"/>
  <c r="AJ133" i="12"/>
  <c r="BC133" i="12"/>
  <c r="DS136" i="9"/>
  <c r="DU136" i="9" s="1"/>
  <c r="DX136" i="9" s="1"/>
  <c r="AU136" i="9"/>
  <c r="AW136" i="9" s="1"/>
  <c r="BB136" i="9" s="1"/>
  <c r="DA136" i="9"/>
  <c r="DH133" i="12"/>
  <c r="AC136" i="9"/>
  <c r="EA133" i="12"/>
  <c r="CO133" i="12"/>
  <c r="ET133" i="12"/>
  <c r="BS135" i="9"/>
  <c r="BT135" i="9"/>
  <c r="BR135" i="9"/>
  <c r="BU135" i="9"/>
  <c r="DX134" i="12"/>
  <c r="DZ134" i="12"/>
  <c r="DY134" i="12"/>
  <c r="DE134" i="12"/>
  <c r="DG134" i="12"/>
  <c r="DF134" i="12"/>
  <c r="DE136" i="9"/>
  <c r="DD136" i="9"/>
  <c r="BA135" i="9"/>
  <c r="AZ135" i="9"/>
  <c r="BB135" i="9"/>
  <c r="AY135" i="9"/>
  <c r="FL136" i="9"/>
  <c r="O137" i="12" a="1"/>
  <c r="O137" i="12" s="1"/>
  <c r="J137" i="12" a="1"/>
  <c r="J137" i="12" s="1"/>
  <c r="G137" i="12" a="1"/>
  <c r="G137" i="12" s="1"/>
  <c r="L137" i="12" a="1"/>
  <c r="L137" i="12" s="1"/>
  <c r="K137" i="12" a="1"/>
  <c r="K137" i="12" s="1"/>
  <c r="N137" i="12" a="1"/>
  <c r="N137" i="12" s="1"/>
  <c r="H137" i="12" a="1"/>
  <c r="H137" i="12" s="1"/>
  <c r="D138" i="12"/>
  <c r="DZ135" i="9"/>
  <c r="DW135" i="9"/>
  <c r="DX135" i="9"/>
  <c r="EA135" i="9" s="1"/>
  <c r="DY135" i="9"/>
  <c r="AI134" i="12"/>
  <c r="AG134" i="12"/>
  <c r="AH134" i="12"/>
  <c r="FJ134" i="12"/>
  <c r="FL134" i="12"/>
  <c r="FK134" i="12"/>
  <c r="I138" i="9"/>
  <c r="FC137" i="9"/>
  <c r="FD137" i="9" s="1"/>
  <c r="FH137" i="9" s="1"/>
  <c r="CX137" i="9"/>
  <c r="CY137" i="9" s="1"/>
  <c r="DC137" i="9" s="1"/>
  <c r="BL137" i="9"/>
  <c r="BM137" i="9" s="1"/>
  <c r="BQ137" i="9" s="1"/>
  <c r="Z137" i="9"/>
  <c r="AA137" i="9" s="1"/>
  <c r="AE137" i="9" s="1"/>
  <c r="AS137" i="9"/>
  <c r="AT137" i="9" s="1"/>
  <c r="AX137" i="9" s="1"/>
  <c r="CE137" i="9"/>
  <c r="CF137" i="9" s="1"/>
  <c r="CJ137" i="9" s="1"/>
  <c r="DQ137" i="9"/>
  <c r="DR137" i="9" s="1"/>
  <c r="DV137" i="9" s="1"/>
  <c r="EJ137" i="9"/>
  <c r="EK137" i="9" s="1"/>
  <c r="EO137" i="9" s="1"/>
  <c r="AG136" i="9"/>
  <c r="AH136" i="9"/>
  <c r="AI135" i="9"/>
  <c r="AF135" i="9"/>
  <c r="AJ135" i="9" s="1"/>
  <c r="AG135" i="9"/>
  <c r="AH135" i="9"/>
  <c r="AZ134" i="12"/>
  <c r="BB134" i="12"/>
  <c r="BA134" i="12"/>
  <c r="BT136" i="9"/>
  <c r="BS136" i="9"/>
  <c r="BR136" i="9"/>
  <c r="BU136" i="9"/>
  <c r="M136" i="12"/>
  <c r="P136" i="12" s="1"/>
  <c r="Q136" i="12" s="1"/>
  <c r="DD135" i="9"/>
  <c r="DG135" i="9"/>
  <c r="DF135" i="9"/>
  <c r="DE135" i="9"/>
  <c r="CL134" i="12"/>
  <c r="CN134" i="12"/>
  <c r="CM134" i="12"/>
  <c r="BS134" i="12"/>
  <c r="BU134" i="12"/>
  <c r="BT134" i="12"/>
  <c r="H138" i="9" a="1"/>
  <c r="H138" i="9" s="1"/>
  <c r="O138" i="9" a="1"/>
  <c r="O138" i="9" s="1"/>
  <c r="N138" i="9" a="1"/>
  <c r="N138" i="9" s="1"/>
  <c r="G138" i="9" a="1"/>
  <c r="G138" i="9" s="1"/>
  <c r="K138" i="9" a="1"/>
  <c r="K138" i="9" s="1"/>
  <c r="J138" i="9" a="1"/>
  <c r="J138" i="9" s="1"/>
  <c r="L138" i="9" a="1"/>
  <c r="L138" i="9" s="1"/>
  <c r="D139" i="9"/>
  <c r="ER135" i="9"/>
  <c r="EP135" i="9"/>
  <c r="ET135" i="9" s="1"/>
  <c r="EQ135" i="9"/>
  <c r="ES135" i="9"/>
  <c r="FK135" i="9"/>
  <c r="FI135" i="9"/>
  <c r="FJ135" i="9"/>
  <c r="FL135" i="9"/>
  <c r="EM136" i="9"/>
  <c r="EQ134" i="12"/>
  <c r="ES134" i="12"/>
  <c r="ER134" i="12"/>
  <c r="EP135" i="12"/>
  <c r="FE135" i="12"/>
  <c r="FG135" i="12" s="1"/>
  <c r="FF135" i="12"/>
  <c r="DD135" i="12"/>
  <c r="CK135" i="12"/>
  <c r="AB135" i="12"/>
  <c r="AD135" i="12" s="1"/>
  <c r="AC135" i="12"/>
  <c r="BN135" i="12"/>
  <c r="BP135" i="12" s="1"/>
  <c r="BO135" i="12"/>
  <c r="BR135" i="12"/>
  <c r="AY135" i="12"/>
  <c r="EL135" i="12"/>
  <c r="EN135" i="12" s="1"/>
  <c r="AF135" i="12"/>
  <c r="DW135" i="12"/>
  <c r="DA135" i="12"/>
  <c r="DT135" i="12"/>
  <c r="FI135" i="12"/>
  <c r="CZ135" i="12"/>
  <c r="DB135" i="12" s="1"/>
  <c r="DS135" i="12"/>
  <c r="DU135" i="12" s="1"/>
  <c r="CH135" i="12"/>
  <c r="EM135" i="12"/>
  <c r="CG135" i="12"/>
  <c r="CI135" i="12" s="1"/>
  <c r="AU135" i="12"/>
  <c r="AW135" i="12" s="1"/>
  <c r="AV135" i="12"/>
  <c r="CM135" i="9"/>
  <c r="CN135" i="9"/>
  <c r="CL135" i="9"/>
  <c r="CK135" i="9"/>
  <c r="CO135" i="9" l="1"/>
  <c r="DF136" i="9"/>
  <c r="ES136" i="9"/>
  <c r="AY136" i="9"/>
  <c r="EP136" i="9"/>
  <c r="DH135" i="9"/>
  <c r="DH136" i="9" s="1"/>
  <c r="FM135" i="9"/>
  <c r="BC135" i="9"/>
  <c r="BV135" i="9"/>
  <c r="BV136" i="9" s="1"/>
  <c r="AJ136" i="9"/>
  <c r="AI136" i="9"/>
  <c r="FJ136" i="9"/>
  <c r="FM136" i="9" s="1"/>
  <c r="FK136" i="9"/>
  <c r="CK136" i="9"/>
  <c r="CL136" i="9"/>
  <c r="CN136" i="9"/>
  <c r="DZ136" i="9"/>
  <c r="DY136" i="9"/>
  <c r="DW136" i="9"/>
  <c r="EQ136" i="9"/>
  <c r="ET136" i="9" s="1"/>
  <c r="BV134" i="12"/>
  <c r="AZ136" i="9"/>
  <c r="BA136" i="9"/>
  <c r="EA134" i="12"/>
  <c r="CO134" i="12"/>
  <c r="FM134" i="12"/>
  <c r="AJ134" i="12"/>
  <c r="DX135" i="12"/>
  <c r="DY135" i="12"/>
  <c r="DZ135" i="12"/>
  <c r="FE137" i="9"/>
  <c r="FG137" i="9" s="1"/>
  <c r="BN137" i="9"/>
  <c r="BP137" i="9" s="1"/>
  <c r="BO137" i="9"/>
  <c r="CH137" i="9"/>
  <c r="CG137" i="9"/>
  <c r="CI137" i="9" s="1"/>
  <c r="AU137" i="9"/>
  <c r="AW137" i="9" s="1"/>
  <c r="FF137" i="9"/>
  <c r="AV137" i="9"/>
  <c r="AB137" i="9"/>
  <c r="AD137" i="9" s="1"/>
  <c r="DA137" i="9"/>
  <c r="EM137" i="9"/>
  <c r="CZ137" i="9"/>
  <c r="DB137" i="9" s="1"/>
  <c r="EL137" i="9"/>
  <c r="EN137" i="9" s="1"/>
  <c r="AC137" i="9"/>
  <c r="DS137" i="9"/>
  <c r="DU137" i="9" s="1"/>
  <c r="DT137" i="9"/>
  <c r="FJ135" i="12"/>
  <c r="FL135" i="12"/>
  <c r="FK135" i="12"/>
  <c r="DH134" i="12"/>
  <c r="DE135" i="12"/>
  <c r="DF135" i="12"/>
  <c r="DG135" i="12"/>
  <c r="J138" i="12" a="1"/>
  <c r="J138" i="12" s="1"/>
  <c r="K138" i="12" a="1"/>
  <c r="K138" i="12" s="1"/>
  <c r="O138" i="12" a="1"/>
  <c r="O138" i="12" s="1"/>
  <c r="G138" i="12" a="1"/>
  <c r="G138" i="12" s="1"/>
  <c r="N138" i="12" a="1"/>
  <c r="N138" i="12" s="1"/>
  <c r="H138" i="12" a="1"/>
  <c r="H138" i="12" s="1"/>
  <c r="L138" i="12" a="1"/>
  <c r="L138" i="12" s="1"/>
  <c r="D139" i="12"/>
  <c r="BS135" i="12"/>
  <c r="BU135" i="12"/>
  <c r="BT135" i="12"/>
  <c r="ET134" i="12"/>
  <c r="L139" i="9" a="1"/>
  <c r="L139" i="9" s="1"/>
  <c r="H139" i="9" a="1"/>
  <c r="H139" i="9" s="1"/>
  <c r="N139" i="9" a="1"/>
  <c r="N139" i="9" s="1"/>
  <c r="G139" i="9" a="1"/>
  <c r="G139" i="9" s="1"/>
  <c r="O139" i="9" a="1"/>
  <c r="O139" i="9" s="1"/>
  <c r="J139" i="9" a="1"/>
  <c r="J139" i="9" s="1"/>
  <c r="K139" i="9" a="1"/>
  <c r="K139" i="9" s="1"/>
  <c r="D140" i="9"/>
  <c r="BC134" i="12"/>
  <c r="AG135" i="12"/>
  <c r="AH135" i="12"/>
  <c r="AI135" i="12"/>
  <c r="M138" i="9"/>
  <c r="P138" i="9" s="1"/>
  <c r="Q138" i="9" s="1"/>
  <c r="I139" i="9"/>
  <c r="AS138" i="9"/>
  <c r="AT138" i="9" s="1"/>
  <c r="AX138" i="9" s="1"/>
  <c r="EJ138" i="9"/>
  <c r="EK138" i="9" s="1"/>
  <c r="EO138" i="9" s="1"/>
  <c r="FC138" i="9"/>
  <c r="FD138" i="9" s="1"/>
  <c r="FH138" i="9" s="1"/>
  <c r="CE138" i="9"/>
  <c r="CF138" i="9" s="1"/>
  <c r="CJ138" i="9" s="1"/>
  <c r="CX138" i="9"/>
  <c r="CY138" i="9" s="1"/>
  <c r="DC138" i="9" s="1"/>
  <c r="DQ138" i="9"/>
  <c r="DR138" i="9" s="1"/>
  <c r="DV138" i="9" s="1"/>
  <c r="BL138" i="9"/>
  <c r="BM138" i="9" s="1"/>
  <c r="BQ138" i="9" s="1"/>
  <c r="Z138" i="9"/>
  <c r="AA138" i="9" s="1"/>
  <c r="AE138" i="9" s="1"/>
  <c r="AZ135" i="12"/>
  <c r="BA135" i="12"/>
  <c r="BB135" i="12"/>
  <c r="CL135" i="12"/>
  <c r="CN135" i="12"/>
  <c r="CM135" i="12"/>
  <c r="FF136" i="12"/>
  <c r="EP136" i="12"/>
  <c r="FE136" i="12"/>
  <c r="FG136" i="12" s="1"/>
  <c r="DD136" i="12"/>
  <c r="CK136" i="12"/>
  <c r="BN136" i="12"/>
  <c r="BP136" i="12" s="1"/>
  <c r="BO136" i="12"/>
  <c r="AB136" i="12"/>
  <c r="AD136" i="12" s="1"/>
  <c r="AC136" i="12"/>
  <c r="FI136" i="12"/>
  <c r="DT136" i="12"/>
  <c r="AF136" i="12"/>
  <c r="DS136" i="12"/>
  <c r="DU136" i="12" s="1"/>
  <c r="DA136" i="12"/>
  <c r="DW136" i="12"/>
  <c r="CZ136" i="12"/>
  <c r="DB136" i="12" s="1"/>
  <c r="BR136" i="12"/>
  <c r="CH136" i="12"/>
  <c r="EM136" i="12"/>
  <c r="CG136" i="12"/>
  <c r="CI136" i="12" s="1"/>
  <c r="EL136" i="12"/>
  <c r="EN136" i="12" s="1"/>
  <c r="AY136" i="12"/>
  <c r="AU136" i="12"/>
  <c r="AW136" i="12" s="1"/>
  <c r="AV136" i="12"/>
  <c r="M137" i="12"/>
  <c r="P137" i="12" s="1"/>
  <c r="Q137" i="12" s="1"/>
  <c r="EQ135" i="12"/>
  <c r="ES135" i="12"/>
  <c r="ER135" i="12"/>
  <c r="BC136" i="9" l="1"/>
  <c r="EA136" i="9"/>
  <c r="CO136" i="9"/>
  <c r="M139" i="9"/>
  <c r="P139" i="9" s="1"/>
  <c r="Q139" i="9" s="1"/>
  <c r="FM135" i="12"/>
  <c r="BC135" i="12"/>
  <c r="AJ135" i="12"/>
  <c r="ET135" i="12"/>
  <c r="EA135" i="12"/>
  <c r="CO135" i="12"/>
  <c r="BV135" i="12"/>
  <c r="FF137" i="12"/>
  <c r="EP137" i="12"/>
  <c r="FE137" i="12"/>
  <c r="FG137" i="12" s="1"/>
  <c r="CK137" i="12"/>
  <c r="DD137" i="12"/>
  <c r="BN137" i="12"/>
  <c r="BP137" i="12" s="1"/>
  <c r="AB137" i="12"/>
  <c r="AD137" i="12" s="1"/>
  <c r="BO137" i="12"/>
  <c r="AC137" i="12"/>
  <c r="FI137" i="12"/>
  <c r="AF137" i="12"/>
  <c r="DW137" i="12"/>
  <c r="CG137" i="12"/>
  <c r="CI137" i="12" s="1"/>
  <c r="BR137" i="12"/>
  <c r="AY137" i="12"/>
  <c r="CH137" i="12"/>
  <c r="DA137" i="12"/>
  <c r="EM137" i="12"/>
  <c r="DT137" i="12"/>
  <c r="CZ137" i="12"/>
  <c r="DB137" i="12" s="1"/>
  <c r="EL137" i="12"/>
  <c r="EN137" i="12" s="1"/>
  <c r="DS137" i="12"/>
  <c r="DU137" i="12" s="1"/>
  <c r="AU137" i="12"/>
  <c r="AW137" i="12" s="1"/>
  <c r="AV137" i="12"/>
  <c r="I140" i="9"/>
  <c r="AS139" i="9"/>
  <c r="AT139" i="9" s="1"/>
  <c r="AX139" i="9" s="1"/>
  <c r="CE139" i="9"/>
  <c r="CF139" i="9" s="1"/>
  <c r="CJ139" i="9" s="1"/>
  <c r="FC139" i="9"/>
  <c r="FD139" i="9" s="1"/>
  <c r="FH139" i="9" s="1"/>
  <c r="BL139" i="9"/>
  <c r="BM139" i="9" s="1"/>
  <c r="BQ139" i="9" s="1"/>
  <c r="CX139" i="9"/>
  <c r="CY139" i="9" s="1"/>
  <c r="DC139" i="9" s="1"/>
  <c r="EJ139" i="9"/>
  <c r="EK139" i="9" s="1"/>
  <c r="EO139" i="9" s="1"/>
  <c r="DQ139" i="9"/>
  <c r="DR139" i="9" s="1"/>
  <c r="DV139" i="9" s="1"/>
  <c r="Z139" i="9"/>
  <c r="AA139" i="9" s="1"/>
  <c r="AE139" i="9" s="1"/>
  <c r="CK137" i="9"/>
  <c r="CN137" i="9"/>
  <c r="CL137" i="9"/>
  <c r="CM137" i="9"/>
  <c r="DG137" i="9"/>
  <c r="DF137" i="9"/>
  <c r="DE137" i="9"/>
  <c r="DD137" i="9"/>
  <c r="DE136" i="12"/>
  <c r="DG136" i="12"/>
  <c r="DF136" i="12"/>
  <c r="AG136" i="12"/>
  <c r="AI136" i="12"/>
  <c r="AH136" i="12"/>
  <c r="M138" i="12"/>
  <c r="P138" i="12" s="1"/>
  <c r="Q138" i="12" s="1"/>
  <c r="EQ137" i="9"/>
  <c r="EP137" i="9"/>
  <c r="ES137" i="9"/>
  <c r="ER137" i="9"/>
  <c r="AZ136" i="12"/>
  <c r="BB136" i="12"/>
  <c r="BA136" i="12"/>
  <c r="J139" i="12" a="1"/>
  <c r="J139" i="12" s="1"/>
  <c r="L139" i="12" a="1"/>
  <c r="L139" i="12" s="1"/>
  <c r="H139" i="12" a="1"/>
  <c r="H139" i="12" s="1"/>
  <c r="O139" i="12" a="1"/>
  <c r="O139" i="12" s="1"/>
  <c r="G139" i="12" a="1"/>
  <c r="G139" i="12" s="1"/>
  <c r="N139" i="12" a="1"/>
  <c r="N139" i="12" s="1"/>
  <c r="D140" i="12"/>
  <c r="K139" i="12" a="1"/>
  <c r="K139" i="12" s="1"/>
  <c r="BR137" i="9"/>
  <c r="BT137" i="9"/>
  <c r="BS137" i="9"/>
  <c r="BU137" i="9"/>
  <c r="AI137" i="9"/>
  <c r="AH137" i="9"/>
  <c r="AF137" i="9"/>
  <c r="AJ137" i="9" s="1"/>
  <c r="AG137" i="9"/>
  <c r="FK137" i="9"/>
  <c r="FI137" i="9"/>
  <c r="FM137" i="9" s="1"/>
  <c r="FL137" i="9"/>
  <c r="FJ137" i="9"/>
  <c r="EQ136" i="12"/>
  <c r="ES136" i="12"/>
  <c r="ER136" i="12"/>
  <c r="DX136" i="12"/>
  <c r="DZ136" i="12"/>
  <c r="DY136" i="12"/>
  <c r="BS136" i="12"/>
  <c r="BU136" i="12"/>
  <c r="BT136" i="12"/>
  <c r="CL136" i="12"/>
  <c r="CN136" i="12"/>
  <c r="CM136" i="12"/>
  <c r="DH135" i="12"/>
  <c r="DY137" i="9"/>
  <c r="DW137" i="9"/>
  <c r="DX137" i="9"/>
  <c r="DZ137" i="9"/>
  <c r="AV138" i="9"/>
  <c r="FF138" i="9"/>
  <c r="AU138" i="9"/>
  <c r="AW138" i="9" s="1"/>
  <c r="BN138" i="9"/>
  <c r="BP138" i="9" s="1"/>
  <c r="FE138" i="9"/>
  <c r="FG138" i="9" s="1"/>
  <c r="BO138" i="9"/>
  <c r="CH138" i="9"/>
  <c r="CG138" i="9"/>
  <c r="CI138" i="9" s="1"/>
  <c r="EL138" i="9"/>
  <c r="EN138" i="9" s="1"/>
  <c r="DA138" i="9"/>
  <c r="EM138" i="9"/>
  <c r="CZ138" i="9"/>
  <c r="DB138" i="9" s="1"/>
  <c r="AB138" i="9"/>
  <c r="AD138" i="9" s="1"/>
  <c r="AC138" i="9"/>
  <c r="DT138" i="9"/>
  <c r="DS138" i="9"/>
  <c r="DU138" i="9" s="1"/>
  <c r="FJ136" i="12"/>
  <c r="FL136" i="12"/>
  <c r="FK136" i="12"/>
  <c r="O140" i="9" a="1"/>
  <c r="O140" i="9" s="1"/>
  <c r="H140" i="9" a="1"/>
  <c r="H140" i="9" s="1"/>
  <c r="G140" i="9" a="1"/>
  <c r="G140" i="9" s="1"/>
  <c r="L140" i="9" a="1"/>
  <c r="L140" i="9" s="1"/>
  <c r="J140" i="9" a="1"/>
  <c r="J140" i="9" s="1"/>
  <c r="N140" i="9" a="1"/>
  <c r="N140" i="9" s="1"/>
  <c r="K140" i="9" a="1"/>
  <c r="K140" i="9" s="1"/>
  <c r="D141" i="9"/>
  <c r="BB137" i="9"/>
  <c r="BA137" i="9"/>
  <c r="AZ137" i="9"/>
  <c r="AY137" i="9"/>
  <c r="BC137" i="9" l="1"/>
  <c r="EA137" i="9"/>
  <c r="ET137" i="9"/>
  <c r="CO137" i="9"/>
  <c r="DH137" i="9"/>
  <c r="BV137" i="9"/>
  <c r="M140" i="9"/>
  <c r="FM136" i="12"/>
  <c r="AJ136" i="12"/>
  <c r="BC136" i="12"/>
  <c r="CO136" i="12"/>
  <c r="BV136" i="12"/>
  <c r="AG138" i="9"/>
  <c r="AI138" i="9"/>
  <c r="AF138" i="9"/>
  <c r="AH138" i="9"/>
  <c r="FI138" i="9"/>
  <c r="FL138" i="9"/>
  <c r="FJ138" i="9"/>
  <c r="FK138" i="9"/>
  <c r="AZ137" i="12"/>
  <c r="BA137" i="12"/>
  <c r="BB137" i="12"/>
  <c r="AG137" i="12"/>
  <c r="AH137" i="12"/>
  <c r="AI137" i="12"/>
  <c r="DG138" i="9"/>
  <c r="DE138" i="9"/>
  <c r="DD138" i="9"/>
  <c r="DH138" i="9" s="1"/>
  <c r="DF138" i="9"/>
  <c r="BR138" i="9"/>
  <c r="BS138" i="9"/>
  <c r="BT138" i="9"/>
  <c r="BU138" i="9"/>
  <c r="DX137" i="12"/>
  <c r="DZ137" i="12"/>
  <c r="DY137" i="12"/>
  <c r="BS137" i="12"/>
  <c r="BT137" i="12"/>
  <c r="BU137" i="12"/>
  <c r="L140" i="12" a="1"/>
  <c r="L140" i="12" s="1"/>
  <c r="H140" i="12" a="1"/>
  <c r="H140" i="12" s="1"/>
  <c r="J140" i="12" a="1"/>
  <c r="J140" i="12" s="1"/>
  <c r="K140" i="12" a="1"/>
  <c r="K140" i="12" s="1"/>
  <c r="O140" i="12" a="1"/>
  <c r="O140" i="12" s="1"/>
  <c r="G140" i="12" a="1"/>
  <c r="G140" i="12" s="1"/>
  <c r="N140" i="12" a="1"/>
  <c r="N140" i="12" s="1"/>
  <c r="D141" i="12"/>
  <c r="AY138" i="9"/>
  <c r="AZ138" i="9"/>
  <c r="BA138" i="9"/>
  <c r="BB138" i="9"/>
  <c r="DH136" i="12"/>
  <c r="EQ137" i="12"/>
  <c r="ER137" i="12"/>
  <c r="ES137" i="12"/>
  <c r="CL137" i="12"/>
  <c r="CN137" i="12"/>
  <c r="CM137" i="12"/>
  <c r="O141" i="9" a="1"/>
  <c r="O141" i="9" s="1"/>
  <c r="N141" i="9" a="1"/>
  <c r="N141" i="9" s="1"/>
  <c r="L141" i="9" a="1"/>
  <c r="L141" i="9" s="1"/>
  <c r="G141" i="9" a="1"/>
  <c r="G141" i="9" s="1"/>
  <c r="K141" i="9" a="1"/>
  <c r="K141" i="9" s="1"/>
  <c r="J141" i="9" a="1"/>
  <c r="J141" i="9" s="1"/>
  <c r="H141" i="9" a="1"/>
  <c r="H141" i="9" s="1"/>
  <c r="D142" i="9"/>
  <c r="FF138" i="12"/>
  <c r="EP138" i="12"/>
  <c r="FE138" i="12"/>
  <c r="FG138" i="12" s="1"/>
  <c r="CK138" i="12"/>
  <c r="DD138" i="12"/>
  <c r="AB138" i="12"/>
  <c r="AD138" i="12" s="1"/>
  <c r="BN138" i="12"/>
  <c r="BP138" i="12" s="1"/>
  <c r="BO138" i="12"/>
  <c r="AC138" i="12"/>
  <c r="AF138" i="12"/>
  <c r="BR138" i="12"/>
  <c r="EM138" i="12"/>
  <c r="AY138" i="12"/>
  <c r="EL138" i="12"/>
  <c r="EN138" i="12" s="1"/>
  <c r="CH138" i="12"/>
  <c r="DA138" i="12"/>
  <c r="DT138" i="12"/>
  <c r="CG138" i="12"/>
  <c r="CI138" i="12" s="1"/>
  <c r="CZ138" i="12"/>
  <c r="DB138" i="12" s="1"/>
  <c r="DS138" i="12"/>
  <c r="DU138" i="12" s="1"/>
  <c r="FI138" i="12"/>
  <c r="DW138" i="12"/>
  <c r="AU138" i="12"/>
  <c r="AW138" i="12" s="1"/>
  <c r="AV138" i="12"/>
  <c r="EA136" i="12"/>
  <c r="DE137" i="12"/>
  <c r="DG137" i="12"/>
  <c r="DF137" i="12"/>
  <c r="P140" i="9"/>
  <c r="Q140" i="9" s="1"/>
  <c r="ER138" i="9"/>
  <c r="EQ138" i="9"/>
  <c r="EP138" i="9"/>
  <c r="ES138" i="9"/>
  <c r="FJ137" i="12"/>
  <c r="FL137" i="12"/>
  <c r="FK137" i="12"/>
  <c r="CM138" i="9"/>
  <c r="CN138" i="9"/>
  <c r="CK138" i="9"/>
  <c r="CL138" i="9"/>
  <c r="M139" i="12"/>
  <c r="P139" i="12" s="1"/>
  <c r="Q139" i="12" s="1"/>
  <c r="DY138" i="9"/>
  <c r="DZ138" i="9"/>
  <c r="DX138" i="9"/>
  <c r="DW138" i="9"/>
  <c r="EA138" i="9" s="1"/>
  <c r="ET136" i="12"/>
  <c r="BO139" i="9"/>
  <c r="CH139" i="9"/>
  <c r="FF139" i="9"/>
  <c r="AU139" i="9"/>
  <c r="AW139" i="9" s="1"/>
  <c r="FE139" i="9"/>
  <c r="FG139" i="9" s="1"/>
  <c r="BN139" i="9"/>
  <c r="BP139" i="9" s="1"/>
  <c r="CG139" i="9"/>
  <c r="CI139" i="9" s="1"/>
  <c r="AV139" i="9"/>
  <c r="DA139" i="9"/>
  <c r="EL139" i="9"/>
  <c r="EN139" i="9" s="1"/>
  <c r="CZ139" i="9"/>
  <c r="DB139" i="9" s="1"/>
  <c r="EM139" i="9"/>
  <c r="AC139" i="9"/>
  <c r="AB139" i="9"/>
  <c r="AD139" i="9" s="1"/>
  <c r="DT139" i="9"/>
  <c r="DS139" i="9"/>
  <c r="DU139" i="9" s="1"/>
  <c r="I141" i="9"/>
  <c r="CE140" i="9"/>
  <c r="CF140" i="9" s="1"/>
  <c r="CJ140" i="9" s="1"/>
  <c r="Z140" i="9"/>
  <c r="AA140" i="9" s="1"/>
  <c r="AE140" i="9" s="1"/>
  <c r="AS140" i="9"/>
  <c r="AT140" i="9" s="1"/>
  <c r="AX140" i="9" s="1"/>
  <c r="DQ140" i="9"/>
  <c r="DR140" i="9" s="1"/>
  <c r="DV140" i="9" s="1"/>
  <c r="CX140" i="9"/>
  <c r="CY140" i="9" s="1"/>
  <c r="DC140" i="9" s="1"/>
  <c r="BL140" i="9"/>
  <c r="BM140" i="9" s="1"/>
  <c r="BQ140" i="9" s="1"/>
  <c r="FC140" i="9"/>
  <c r="FD140" i="9" s="1"/>
  <c r="FH140" i="9" s="1"/>
  <c r="EJ140" i="9"/>
  <c r="EK140" i="9" s="1"/>
  <c r="EO140" i="9" s="1"/>
  <c r="AJ138" i="9" l="1"/>
  <c r="BV138" i="9"/>
  <c r="ET138" i="9"/>
  <c r="CO138" i="9"/>
  <c r="BC138" i="9"/>
  <c r="FM138" i="9"/>
  <c r="BC137" i="12"/>
  <c r="FM137" i="12"/>
  <c r="CO137" i="12"/>
  <c r="AJ137" i="12"/>
  <c r="DH137" i="12"/>
  <c r="BV137" i="12"/>
  <c r="EA137" i="12"/>
  <c r="FF139" i="12"/>
  <c r="EP139" i="12"/>
  <c r="FE139" i="12"/>
  <c r="FG139" i="12" s="1"/>
  <c r="CK139" i="12"/>
  <c r="DD139" i="12"/>
  <c r="BN139" i="12"/>
  <c r="BP139" i="12" s="1"/>
  <c r="BO139" i="12"/>
  <c r="AB139" i="12"/>
  <c r="AD139" i="12" s="1"/>
  <c r="AC139" i="12"/>
  <c r="CZ139" i="12"/>
  <c r="DB139" i="12" s="1"/>
  <c r="CH139" i="12"/>
  <c r="AF139" i="12"/>
  <c r="CG139" i="12"/>
  <c r="CI139" i="12" s="1"/>
  <c r="AY139" i="12"/>
  <c r="FI139" i="12"/>
  <c r="DT139" i="12"/>
  <c r="DS139" i="12"/>
  <c r="DU139" i="12" s="1"/>
  <c r="EL139" i="12"/>
  <c r="EN139" i="12" s="1"/>
  <c r="DW139" i="12"/>
  <c r="BR139" i="12"/>
  <c r="EM139" i="12"/>
  <c r="DA139" i="12"/>
  <c r="AU139" i="12"/>
  <c r="AW139" i="12" s="1"/>
  <c r="AV139" i="12"/>
  <c r="AG139" i="9"/>
  <c r="AF139" i="9"/>
  <c r="AJ139" i="9" s="1"/>
  <c r="AH139" i="9"/>
  <c r="AI139" i="9"/>
  <c r="BA138" i="12"/>
  <c r="AZ138" i="12"/>
  <c r="BB138" i="12"/>
  <c r="BS138" i="12"/>
  <c r="BT138" i="12"/>
  <c r="BU138" i="12"/>
  <c r="M141" i="9"/>
  <c r="P141" i="9" s="1"/>
  <c r="Q141" i="9" s="1"/>
  <c r="BS139" i="9"/>
  <c r="BU139" i="9"/>
  <c r="BR139" i="9"/>
  <c r="BV139" i="9" s="1"/>
  <c r="BT139" i="9"/>
  <c r="FJ139" i="9"/>
  <c r="FL139" i="9"/>
  <c r="FI139" i="9"/>
  <c r="FK139" i="9"/>
  <c r="CG140" i="9"/>
  <c r="CI140" i="9" s="1"/>
  <c r="BO140" i="9"/>
  <c r="AV140" i="9"/>
  <c r="FF140" i="9"/>
  <c r="AU140" i="9"/>
  <c r="AW140" i="9" s="1"/>
  <c r="FE140" i="9"/>
  <c r="FG140" i="9" s="1"/>
  <c r="CH140" i="9"/>
  <c r="BN140" i="9"/>
  <c r="BP140" i="9" s="1"/>
  <c r="AB140" i="9"/>
  <c r="AD140" i="9" s="1"/>
  <c r="CZ140" i="9"/>
  <c r="DB140" i="9" s="1"/>
  <c r="AC140" i="9"/>
  <c r="EM140" i="9"/>
  <c r="EL140" i="9"/>
  <c r="EN140" i="9" s="1"/>
  <c r="DA140" i="9"/>
  <c r="DT140" i="9"/>
  <c r="DS140" i="9"/>
  <c r="DU140" i="9" s="1"/>
  <c r="EQ138" i="12"/>
  <c r="ES138" i="12"/>
  <c r="ER138" i="12"/>
  <c r="AG138" i="12"/>
  <c r="AI138" i="12"/>
  <c r="AH138" i="12"/>
  <c r="L141" i="12" a="1"/>
  <c r="L141" i="12" s="1"/>
  <c r="K141" i="12" a="1"/>
  <c r="K141" i="12" s="1"/>
  <c r="N141" i="12" a="1"/>
  <c r="N141" i="12" s="1"/>
  <c r="H141" i="12" a="1"/>
  <c r="H141" i="12" s="1"/>
  <c r="O141" i="12" a="1"/>
  <c r="O141" i="12" s="1"/>
  <c r="G141" i="12" a="1"/>
  <c r="G141" i="12" s="1"/>
  <c r="J141" i="12" a="1"/>
  <c r="J141" i="12" s="1"/>
  <c r="D142" i="12"/>
  <c r="AY139" i="9"/>
  <c r="BC139" i="9" s="1"/>
  <c r="BB139" i="9"/>
  <c r="BA139" i="9"/>
  <c r="AZ139" i="9"/>
  <c r="BC138" i="12"/>
  <c r="ET137" i="12"/>
  <c r="DF139" i="9"/>
  <c r="DE139" i="9"/>
  <c r="DD139" i="9"/>
  <c r="DG139" i="9"/>
  <c r="DX138" i="12"/>
  <c r="DZ138" i="12"/>
  <c r="DY138" i="12"/>
  <c r="EQ139" i="9"/>
  <c r="ES139" i="9"/>
  <c r="EP139" i="9"/>
  <c r="ER139" i="9"/>
  <c r="DE138" i="12"/>
  <c r="DG138" i="12"/>
  <c r="DF138" i="12"/>
  <c r="FJ138" i="12"/>
  <c r="FL138" i="12"/>
  <c r="FK138" i="12"/>
  <c r="CL138" i="12"/>
  <c r="CM138" i="12"/>
  <c r="CN138" i="12"/>
  <c r="DZ139" i="9"/>
  <c r="DY139" i="9"/>
  <c r="DW139" i="9"/>
  <c r="EA139" i="9" s="1"/>
  <c r="DX139" i="9"/>
  <c r="M140" i="12"/>
  <c r="P140" i="12" s="1"/>
  <c r="Q140" i="12" s="1"/>
  <c r="I142" i="9"/>
  <c r="EJ141" i="9"/>
  <c r="EK141" i="9" s="1"/>
  <c r="EO141" i="9" s="1"/>
  <c r="Z141" i="9"/>
  <c r="AA141" i="9" s="1"/>
  <c r="AE141" i="9" s="1"/>
  <c r="CX141" i="9"/>
  <c r="CY141" i="9" s="1"/>
  <c r="DC141" i="9" s="1"/>
  <c r="BL141" i="9"/>
  <c r="BM141" i="9" s="1"/>
  <c r="BQ141" i="9" s="1"/>
  <c r="AS141" i="9"/>
  <c r="AT141" i="9" s="1"/>
  <c r="AX141" i="9" s="1"/>
  <c r="CE141" i="9"/>
  <c r="CF141" i="9" s="1"/>
  <c r="CJ141" i="9" s="1"/>
  <c r="FC141" i="9"/>
  <c r="FD141" i="9" s="1"/>
  <c r="FH141" i="9" s="1"/>
  <c r="DQ141" i="9"/>
  <c r="DR141" i="9" s="1"/>
  <c r="DV141" i="9" s="1"/>
  <c r="CL139" i="9"/>
  <c r="CK139" i="9"/>
  <c r="CN139" i="9"/>
  <c r="CM139" i="9"/>
  <c r="K142" i="9" a="1"/>
  <c r="K142" i="9" s="1"/>
  <c r="G142" i="9" a="1"/>
  <c r="G142" i="9" s="1"/>
  <c r="O142" i="9" a="1"/>
  <c r="O142" i="9" s="1"/>
  <c r="N142" i="9" a="1"/>
  <c r="N142" i="9" s="1"/>
  <c r="H142" i="9" a="1"/>
  <c r="H142" i="9" s="1"/>
  <c r="L142" i="9" a="1"/>
  <c r="L142" i="9" s="1"/>
  <c r="J142" i="9" a="1"/>
  <c r="J142" i="9" s="1"/>
  <c r="D143" i="9"/>
  <c r="DH139" i="9" l="1"/>
  <c r="FM139" i="9"/>
  <c r="ET139" i="9"/>
  <c r="BV138" i="12"/>
  <c r="CO139" i="9"/>
  <c r="AJ138" i="12"/>
  <c r="ET138" i="12"/>
  <c r="CO138" i="12"/>
  <c r="FM138" i="12"/>
  <c r="M141" i="12"/>
  <c r="DH138" i="12"/>
  <c r="EA138" i="12"/>
  <c r="BA139" i="12"/>
  <c r="AZ139" i="12"/>
  <c r="BB139" i="12"/>
  <c r="I143" i="9"/>
  <c r="AS142" i="9"/>
  <c r="AT142" i="9" s="1"/>
  <c r="AX142" i="9" s="1"/>
  <c r="CX142" i="9"/>
  <c r="CY142" i="9" s="1"/>
  <c r="DC142" i="9" s="1"/>
  <c r="CE142" i="9"/>
  <c r="CF142" i="9" s="1"/>
  <c r="CJ142" i="9" s="1"/>
  <c r="EJ142" i="9"/>
  <c r="EK142" i="9" s="1"/>
  <c r="EO142" i="9" s="1"/>
  <c r="DQ142" i="9"/>
  <c r="DR142" i="9" s="1"/>
  <c r="DV142" i="9" s="1"/>
  <c r="FC142" i="9"/>
  <c r="FD142" i="9" s="1"/>
  <c r="FH142" i="9" s="1"/>
  <c r="BL142" i="9"/>
  <c r="BM142" i="9" s="1"/>
  <c r="BQ142" i="9" s="1"/>
  <c r="Z142" i="9"/>
  <c r="AA142" i="9" s="1"/>
  <c r="AE142" i="9" s="1"/>
  <c r="BS139" i="12"/>
  <c r="BU139" i="12"/>
  <c r="BT139" i="12"/>
  <c r="EP140" i="9"/>
  <c r="ES140" i="9"/>
  <c r="ER140" i="9"/>
  <c r="EQ140" i="9"/>
  <c r="FE140" i="12"/>
  <c r="FG140" i="12" s="1"/>
  <c r="FF140" i="12"/>
  <c r="EP140" i="12"/>
  <c r="DD140" i="12"/>
  <c r="CK140" i="12"/>
  <c r="BN140" i="12"/>
  <c r="BP140" i="12" s="1"/>
  <c r="AB140" i="12"/>
  <c r="AD140" i="12" s="1"/>
  <c r="AC140" i="12"/>
  <c r="BO140" i="12"/>
  <c r="DW140" i="12"/>
  <c r="CZ140" i="12"/>
  <c r="DB140" i="12" s="1"/>
  <c r="AY140" i="12"/>
  <c r="CH140" i="12"/>
  <c r="EL140" i="12"/>
  <c r="EN140" i="12" s="1"/>
  <c r="CG140" i="12"/>
  <c r="CI140" i="12" s="1"/>
  <c r="BR140" i="12"/>
  <c r="DT140" i="12"/>
  <c r="DS140" i="12"/>
  <c r="DU140" i="12" s="1"/>
  <c r="DA140" i="12"/>
  <c r="AF140" i="12"/>
  <c r="FI140" i="12"/>
  <c r="EM140" i="12"/>
  <c r="AV140" i="12"/>
  <c r="AU140" i="12"/>
  <c r="AW140" i="12" s="1"/>
  <c r="DF140" i="9"/>
  <c r="DG140" i="9"/>
  <c r="DE140" i="9"/>
  <c r="DD140" i="9"/>
  <c r="CM139" i="12"/>
  <c r="CL139" i="12"/>
  <c r="CN139" i="12"/>
  <c r="AY140" i="9"/>
  <c r="AZ140" i="9"/>
  <c r="BB140" i="9"/>
  <c r="BA140" i="9"/>
  <c r="BO141" i="9"/>
  <c r="AV141" i="9"/>
  <c r="FF141" i="9"/>
  <c r="BN141" i="9"/>
  <c r="BP141" i="9" s="1"/>
  <c r="AU141" i="9"/>
  <c r="AW141" i="9" s="1"/>
  <c r="CH141" i="9"/>
  <c r="CG141" i="9"/>
  <c r="CI141" i="9" s="1"/>
  <c r="FE141" i="9"/>
  <c r="FG141" i="9" s="1"/>
  <c r="EL141" i="9"/>
  <c r="EN141" i="9" s="1"/>
  <c r="AC141" i="9"/>
  <c r="DA141" i="9"/>
  <c r="CZ141" i="9"/>
  <c r="DB141" i="9" s="1"/>
  <c r="AB141" i="9"/>
  <c r="AD141" i="9" s="1"/>
  <c r="EM141" i="9"/>
  <c r="DT141" i="9"/>
  <c r="DS141" i="9"/>
  <c r="DU141" i="9" s="1"/>
  <c r="P141" i="12"/>
  <c r="Q141" i="12" s="1"/>
  <c r="AG140" i="9"/>
  <c r="AI140" i="9"/>
  <c r="AF140" i="9"/>
  <c r="AH140" i="9"/>
  <c r="CM140" i="9"/>
  <c r="CN140" i="9"/>
  <c r="CK140" i="9"/>
  <c r="CL140" i="9"/>
  <c r="BV139" i="12"/>
  <c r="DZ140" i="9"/>
  <c r="DY140" i="9"/>
  <c r="DX140" i="9"/>
  <c r="DW140" i="9"/>
  <c r="BS140" i="9"/>
  <c r="BR140" i="9"/>
  <c r="BV140" i="9" s="1"/>
  <c r="BU140" i="9"/>
  <c r="BT140" i="9"/>
  <c r="FJ139" i="12"/>
  <c r="FK139" i="12"/>
  <c r="FL139" i="12"/>
  <c r="EQ139" i="12"/>
  <c r="ES139" i="12"/>
  <c r="ER139" i="12"/>
  <c r="DE139" i="12"/>
  <c r="DG139" i="12"/>
  <c r="DF139" i="12"/>
  <c r="AH139" i="12"/>
  <c r="AI139" i="12"/>
  <c r="AG139" i="12"/>
  <c r="K143" i="9" a="1"/>
  <c r="K143" i="9" s="1"/>
  <c r="O143" i="9" a="1"/>
  <c r="O143" i="9" s="1"/>
  <c r="H143" i="9" a="1"/>
  <c r="H143" i="9" s="1"/>
  <c r="G143" i="9" a="1"/>
  <c r="G143" i="9" s="1"/>
  <c r="L143" i="9" a="1"/>
  <c r="L143" i="9" s="1"/>
  <c r="J143" i="9" a="1"/>
  <c r="J143" i="9" s="1"/>
  <c r="N143" i="9" a="1"/>
  <c r="N143" i="9" s="1"/>
  <c r="D144" i="9"/>
  <c r="M142" i="9"/>
  <c r="P142" i="9" s="1"/>
  <c r="Q142" i="9" s="1"/>
  <c r="L142" i="12" a="1"/>
  <c r="L142" i="12" s="1"/>
  <c r="N142" i="12" a="1"/>
  <c r="N142" i="12" s="1"/>
  <c r="K142" i="12" a="1"/>
  <c r="K142" i="12" s="1"/>
  <c r="H142" i="12" a="1"/>
  <c r="H142" i="12" s="1"/>
  <c r="O142" i="12" a="1"/>
  <c r="O142" i="12" s="1"/>
  <c r="G142" i="12" a="1"/>
  <c r="G142" i="12" s="1"/>
  <c r="J142" i="12" a="1"/>
  <c r="J142" i="12" s="1"/>
  <c r="D143" i="12"/>
  <c r="FI140" i="9"/>
  <c r="FJ140" i="9"/>
  <c r="FK140" i="9"/>
  <c r="FL140" i="9"/>
  <c r="DX139" i="12"/>
  <c r="DZ139" i="12"/>
  <c r="DY139" i="12"/>
  <c r="CO140" i="9" l="1"/>
  <c r="BC140" i="9"/>
  <c r="AJ140" i="9"/>
  <c r="ET140" i="9"/>
  <c r="DH140" i="9"/>
  <c r="FM140" i="9"/>
  <c r="EA140" i="9"/>
  <c r="M143" i="9"/>
  <c r="BC139" i="12"/>
  <c r="AJ139" i="12"/>
  <c r="DH139" i="12"/>
  <c r="FM139" i="12"/>
  <c r="CO139" i="12"/>
  <c r="ET139" i="12"/>
  <c r="AV142" i="9"/>
  <c r="FF142" i="9"/>
  <c r="BN142" i="9"/>
  <c r="BP142" i="9" s="1"/>
  <c r="FE142" i="9"/>
  <c r="FG142" i="9" s="1"/>
  <c r="BO142" i="9"/>
  <c r="CH142" i="9"/>
  <c r="CG142" i="9"/>
  <c r="CI142" i="9" s="1"/>
  <c r="AU142" i="9"/>
  <c r="AW142" i="9" s="1"/>
  <c r="EM142" i="9"/>
  <c r="DA142" i="9"/>
  <c r="EL142" i="9"/>
  <c r="EN142" i="9" s="1"/>
  <c r="CZ142" i="9"/>
  <c r="DB142" i="9" s="1"/>
  <c r="AC142" i="9"/>
  <c r="AB142" i="9"/>
  <c r="AD142" i="9" s="1"/>
  <c r="DT142" i="9"/>
  <c r="DS142" i="9"/>
  <c r="DU142" i="9" s="1"/>
  <c r="DD141" i="9"/>
  <c r="DE141" i="9"/>
  <c r="DG141" i="9"/>
  <c r="DF141" i="9"/>
  <c r="BU141" i="9"/>
  <c r="BS141" i="9"/>
  <c r="BR141" i="9"/>
  <c r="BV141" i="9" s="1"/>
  <c r="BT141" i="9"/>
  <c r="CL140" i="12"/>
  <c r="CN140" i="12"/>
  <c r="CM140" i="12"/>
  <c r="AI140" i="12"/>
  <c r="AJ140" i="12" s="1"/>
  <c r="AH140" i="12"/>
  <c r="AG140" i="12"/>
  <c r="AZ141" i="9"/>
  <c r="AY141" i="9"/>
  <c r="BA141" i="9"/>
  <c r="BB141" i="9"/>
  <c r="EQ140" i="12"/>
  <c r="ER140" i="12"/>
  <c r="ES140" i="12"/>
  <c r="BS140" i="12"/>
  <c r="BU140" i="12"/>
  <c r="BT140" i="12"/>
  <c r="AG141" i="9"/>
  <c r="AF141" i="9"/>
  <c r="AI141" i="9"/>
  <c r="AH141" i="9"/>
  <c r="FE141" i="12"/>
  <c r="FG141" i="12" s="1"/>
  <c r="FF141" i="12"/>
  <c r="EP141" i="12"/>
  <c r="DD141" i="12"/>
  <c r="CK141" i="12"/>
  <c r="AC141" i="12"/>
  <c r="BO141" i="12"/>
  <c r="AB141" i="12"/>
  <c r="AD141" i="12" s="1"/>
  <c r="BN141" i="12"/>
  <c r="BP141" i="12" s="1"/>
  <c r="DW141" i="12"/>
  <c r="FI141" i="12"/>
  <c r="DA141" i="12"/>
  <c r="CG141" i="12"/>
  <c r="CI141" i="12" s="1"/>
  <c r="CZ141" i="12"/>
  <c r="DB141" i="12" s="1"/>
  <c r="BR141" i="12"/>
  <c r="CH141" i="12"/>
  <c r="AF141" i="12"/>
  <c r="EM141" i="12"/>
  <c r="DT141" i="12"/>
  <c r="AY141" i="12"/>
  <c r="EL141" i="12"/>
  <c r="EN141" i="12" s="1"/>
  <c r="DS141" i="12"/>
  <c r="DU141" i="12" s="1"/>
  <c r="AV141" i="12"/>
  <c r="AU141" i="12"/>
  <c r="AW141" i="12" s="1"/>
  <c r="EQ141" i="9"/>
  <c r="EP141" i="9"/>
  <c r="ER141" i="9"/>
  <c r="ES141" i="9"/>
  <c r="I144" i="9"/>
  <c r="FC143" i="9"/>
  <c r="FD143" i="9" s="1"/>
  <c r="FH143" i="9" s="1"/>
  <c r="CX143" i="9"/>
  <c r="CY143" i="9" s="1"/>
  <c r="DC143" i="9" s="1"/>
  <c r="AS143" i="9"/>
  <c r="AT143" i="9" s="1"/>
  <c r="AX143" i="9" s="1"/>
  <c r="CE143" i="9"/>
  <c r="CF143" i="9" s="1"/>
  <c r="CJ143" i="9" s="1"/>
  <c r="EJ143" i="9"/>
  <c r="EK143" i="9" s="1"/>
  <c r="EO143" i="9" s="1"/>
  <c r="DQ143" i="9"/>
  <c r="DR143" i="9" s="1"/>
  <c r="DV143" i="9" s="1"/>
  <c r="Z143" i="9"/>
  <c r="AA143" i="9" s="1"/>
  <c r="AE143" i="9" s="1"/>
  <c r="BL143" i="9"/>
  <c r="BM143" i="9" s="1"/>
  <c r="BQ143" i="9" s="1"/>
  <c r="DZ141" i="9"/>
  <c r="DY141" i="9"/>
  <c r="DX141" i="9"/>
  <c r="DW141" i="9"/>
  <c r="FK141" i="9"/>
  <c r="FI141" i="9"/>
  <c r="FM141" i="9" s="1"/>
  <c r="FJ141" i="9"/>
  <c r="FL141" i="9"/>
  <c r="DE140" i="12"/>
  <c r="DF140" i="12"/>
  <c r="DG140" i="12"/>
  <c r="L143" i="12" a="1"/>
  <c r="L143" i="12" s="1"/>
  <c r="J143" i="12" a="1"/>
  <c r="J143" i="12" s="1"/>
  <c r="G143" i="12" a="1"/>
  <c r="G143" i="12" s="1"/>
  <c r="K143" i="12" a="1"/>
  <c r="K143" i="12" s="1"/>
  <c r="H143" i="12" a="1"/>
  <c r="H143" i="12" s="1"/>
  <c r="O143" i="12" a="1"/>
  <c r="O143" i="12" s="1"/>
  <c r="N143" i="12" a="1"/>
  <c r="N143" i="12" s="1"/>
  <c r="D144" i="12"/>
  <c r="CN141" i="9"/>
  <c r="CM141" i="9"/>
  <c r="CL141" i="9"/>
  <c r="CK141" i="9"/>
  <c r="DX140" i="12"/>
  <c r="DZ140" i="12"/>
  <c r="DY140" i="12"/>
  <c r="BB140" i="12"/>
  <c r="AZ140" i="12"/>
  <c r="BA140" i="12"/>
  <c r="EA139" i="12"/>
  <c r="M142" i="12"/>
  <c r="P142" i="12" s="1"/>
  <c r="Q142" i="12" s="1"/>
  <c r="L144" i="9" a="1"/>
  <c r="L144" i="9" s="1"/>
  <c r="K144" i="9" a="1"/>
  <c r="K144" i="9" s="1"/>
  <c r="H144" i="9" a="1"/>
  <c r="H144" i="9" s="1"/>
  <c r="O144" i="9" a="1"/>
  <c r="O144" i="9" s="1"/>
  <c r="J144" i="9" a="1"/>
  <c r="J144" i="9" s="1"/>
  <c r="G144" i="9" a="1"/>
  <c r="G144" i="9" s="1"/>
  <c r="N144" i="9" a="1"/>
  <c r="N144" i="9" s="1"/>
  <c r="D145" i="9"/>
  <c r="P143" i="9"/>
  <c r="Q143" i="9" s="1"/>
  <c r="FJ140" i="12"/>
  <c r="FL140" i="12"/>
  <c r="FK140" i="12"/>
  <c r="BC141" i="9" l="1"/>
  <c r="FM140" i="12"/>
  <c r="DH141" i="9"/>
  <c r="CO141" i="9"/>
  <c r="AJ141" i="9"/>
  <c r="EA141" i="9"/>
  <c r="ET141" i="9"/>
  <c r="BC140" i="12"/>
  <c r="CO140" i="12"/>
  <c r="BV140" i="12"/>
  <c r="M143" i="12"/>
  <c r="P143" i="12" s="1"/>
  <c r="Q143" i="12" s="1"/>
  <c r="EA140" i="12"/>
  <c r="EP142" i="12"/>
  <c r="FE142" i="12"/>
  <c r="FG142" i="12" s="1"/>
  <c r="FF142" i="12"/>
  <c r="CK142" i="12"/>
  <c r="DD142" i="12"/>
  <c r="AC142" i="12"/>
  <c r="BO142" i="12"/>
  <c r="AB142" i="12"/>
  <c r="AD142" i="12" s="1"/>
  <c r="BN142" i="12"/>
  <c r="BP142" i="12" s="1"/>
  <c r="CZ142" i="12"/>
  <c r="DB142" i="12" s="1"/>
  <c r="DW142" i="12"/>
  <c r="FI142" i="12"/>
  <c r="CH142" i="12"/>
  <c r="AF142" i="12"/>
  <c r="CG142" i="12"/>
  <c r="CI142" i="12" s="1"/>
  <c r="AY142" i="12"/>
  <c r="BR142" i="12"/>
  <c r="DA142" i="12"/>
  <c r="EL142" i="12"/>
  <c r="EN142" i="12" s="1"/>
  <c r="EM142" i="12"/>
  <c r="DT142" i="12"/>
  <c r="DS142" i="12"/>
  <c r="DU142" i="12" s="1"/>
  <c r="AV142" i="12"/>
  <c r="AU142" i="12"/>
  <c r="AW142" i="12" s="1"/>
  <c r="DW142" i="9"/>
  <c r="DX142" i="9"/>
  <c r="DY142" i="9"/>
  <c r="DZ142" i="9"/>
  <c r="AY142" i="9"/>
  <c r="BA142" i="9"/>
  <c r="BB142" i="9"/>
  <c r="AZ142" i="9"/>
  <c r="DH140" i="12"/>
  <c r="BS141" i="12"/>
  <c r="BU141" i="12"/>
  <c r="BT141" i="12"/>
  <c r="FJ141" i="12"/>
  <c r="FL141" i="12"/>
  <c r="FK141" i="12"/>
  <c r="CL142" i="9"/>
  <c r="CK142" i="9"/>
  <c r="CN142" i="9"/>
  <c r="CM142" i="9"/>
  <c r="AZ141" i="12"/>
  <c r="BA141" i="12"/>
  <c r="BB141" i="12"/>
  <c r="AG141" i="12"/>
  <c r="AI141" i="12"/>
  <c r="AH141" i="12"/>
  <c r="AH142" i="9"/>
  <c r="AI142" i="9"/>
  <c r="AF142" i="9"/>
  <c r="AG142" i="9"/>
  <c r="I145" i="9"/>
  <c r="DQ144" i="9"/>
  <c r="DR144" i="9" s="1"/>
  <c r="DV144" i="9" s="1"/>
  <c r="CE144" i="9"/>
  <c r="CF144" i="9" s="1"/>
  <c r="CJ144" i="9" s="1"/>
  <c r="Z144" i="9"/>
  <c r="AA144" i="9" s="1"/>
  <c r="AE144" i="9" s="1"/>
  <c r="FC144" i="9"/>
  <c r="FD144" i="9" s="1"/>
  <c r="FH144" i="9" s="1"/>
  <c r="CX144" i="9"/>
  <c r="CY144" i="9" s="1"/>
  <c r="DC144" i="9" s="1"/>
  <c r="EJ144" i="9"/>
  <c r="EK144" i="9" s="1"/>
  <c r="EO144" i="9" s="1"/>
  <c r="BL144" i="9"/>
  <c r="BM144" i="9" s="1"/>
  <c r="BQ144" i="9" s="1"/>
  <c r="AS144" i="9"/>
  <c r="AT144" i="9" s="1"/>
  <c r="AX144" i="9" s="1"/>
  <c r="CH143" i="9"/>
  <c r="FE143" i="9"/>
  <c r="FG143" i="9" s="1"/>
  <c r="CG143" i="9"/>
  <c r="CI143" i="9" s="1"/>
  <c r="AU143" i="9"/>
  <c r="AW143" i="9" s="1"/>
  <c r="BO143" i="9"/>
  <c r="AV143" i="9"/>
  <c r="FF143" i="9"/>
  <c r="BN143" i="9"/>
  <c r="BP143" i="9" s="1"/>
  <c r="DA143" i="9"/>
  <c r="CZ143" i="9"/>
  <c r="DB143" i="9" s="1"/>
  <c r="EM143" i="9"/>
  <c r="EL143" i="9"/>
  <c r="EN143" i="9" s="1"/>
  <c r="AC143" i="9"/>
  <c r="AB143" i="9"/>
  <c r="AD143" i="9" s="1"/>
  <c r="DS143" i="9"/>
  <c r="DU143" i="9" s="1"/>
  <c r="DT143" i="9"/>
  <c r="DX141" i="12"/>
  <c r="DZ141" i="12"/>
  <c r="DY141" i="12"/>
  <c r="DE141" i="12"/>
  <c r="DG141" i="12"/>
  <c r="DF141" i="12"/>
  <c r="ET140" i="12"/>
  <c r="DE142" i="9"/>
  <c r="DG142" i="9"/>
  <c r="DD142" i="9"/>
  <c r="DF142" i="9"/>
  <c r="FL142" i="9"/>
  <c r="FK142" i="9"/>
  <c r="FI142" i="9"/>
  <c r="FM142" i="9" s="1"/>
  <c r="FJ142" i="9"/>
  <c r="L145" i="9" a="1"/>
  <c r="L145" i="9" s="1"/>
  <c r="K145" i="9" a="1"/>
  <c r="K145" i="9" s="1"/>
  <c r="N145" i="9" a="1"/>
  <c r="N145" i="9" s="1"/>
  <c r="H145" i="9" a="1"/>
  <c r="H145" i="9" s="1"/>
  <c r="O145" i="9" a="1"/>
  <c r="O145" i="9" s="1"/>
  <c r="G145" i="9" a="1"/>
  <c r="G145" i="9" s="1"/>
  <c r="J145" i="9" a="1"/>
  <c r="J145" i="9" s="1"/>
  <c r="D146" i="9"/>
  <c r="EQ141" i="12"/>
  <c r="ES141" i="12"/>
  <c r="ER141" i="12"/>
  <c r="CM141" i="12"/>
  <c r="CL141" i="12"/>
  <c r="CN141" i="12"/>
  <c r="EP142" i="9"/>
  <c r="ER142" i="9"/>
  <c r="EQ142" i="9"/>
  <c r="ES142" i="9"/>
  <c r="BU142" i="9"/>
  <c r="BT142" i="9"/>
  <c r="BS142" i="9"/>
  <c r="BR142" i="9"/>
  <c r="M144" i="9"/>
  <c r="P144" i="9" s="1"/>
  <c r="Q144" i="9" s="1"/>
  <c r="L144" i="12" a="1"/>
  <c r="L144" i="12" s="1"/>
  <c r="J144" i="12" a="1"/>
  <c r="J144" i="12" s="1"/>
  <c r="O144" i="12" a="1"/>
  <c r="O144" i="12" s="1"/>
  <c r="H144" i="12" a="1"/>
  <c r="H144" i="12" s="1"/>
  <c r="N144" i="12" a="1"/>
  <c r="N144" i="12" s="1"/>
  <c r="K144" i="12" a="1"/>
  <c r="K144" i="12" s="1"/>
  <c r="G144" i="12" a="1"/>
  <c r="G144" i="12" s="1"/>
  <c r="D145" i="12"/>
  <c r="BC142" i="9" l="1"/>
  <c r="AJ142" i="9"/>
  <c r="BV142" i="9"/>
  <c r="ET142" i="9"/>
  <c r="CO142" i="9"/>
  <c r="EA142" i="9"/>
  <c r="DH142" i="9"/>
  <c r="DD143" i="12"/>
  <c r="AF143" i="12"/>
  <c r="CH143" i="12"/>
  <c r="DT143" i="12"/>
  <c r="CG143" i="12"/>
  <c r="CI143" i="12" s="1"/>
  <c r="AY143" i="12"/>
  <c r="EP143" i="12"/>
  <c r="FI143" i="12"/>
  <c r="FE143" i="12"/>
  <c r="FG143" i="12" s="1"/>
  <c r="FJ143" i="12" s="1"/>
  <c r="DA143" i="12"/>
  <c r="FF143" i="12"/>
  <c r="CZ143" i="12"/>
  <c r="DB143" i="12" s="1"/>
  <c r="EM143" i="12"/>
  <c r="DW143" i="12"/>
  <c r="BR143" i="12"/>
  <c r="BO143" i="12"/>
  <c r="AU143" i="12"/>
  <c r="AW143" i="12" s="1"/>
  <c r="BB143" i="12" s="1"/>
  <c r="CK143" i="12"/>
  <c r="BC141" i="12"/>
  <c r="BV141" i="12"/>
  <c r="EL143" i="12"/>
  <c r="EN143" i="12" s="1"/>
  <c r="AJ141" i="12"/>
  <c r="FM141" i="12"/>
  <c r="M145" i="9"/>
  <c r="P145" i="9" s="1"/>
  <c r="Q145" i="9" s="1"/>
  <c r="BN143" i="12"/>
  <c r="BP143" i="12" s="1"/>
  <c r="BT143" i="12" s="1"/>
  <c r="BN144" i="9"/>
  <c r="BP144" i="9" s="1"/>
  <c r="AU144" i="9"/>
  <c r="AW144" i="9" s="1"/>
  <c r="AV144" i="9"/>
  <c r="FF144" i="9"/>
  <c r="CG144" i="9"/>
  <c r="CI144" i="9" s="1"/>
  <c r="FE144" i="9"/>
  <c r="FG144" i="9" s="1"/>
  <c r="BO144" i="9"/>
  <c r="CH144" i="9"/>
  <c r="AC144" i="9"/>
  <c r="AB144" i="9"/>
  <c r="AD144" i="9" s="1"/>
  <c r="DA144" i="9"/>
  <c r="CZ144" i="9"/>
  <c r="DB144" i="9" s="1"/>
  <c r="EL144" i="9"/>
  <c r="EN144" i="9" s="1"/>
  <c r="EM144" i="9"/>
  <c r="DT144" i="9"/>
  <c r="DS144" i="9"/>
  <c r="DU144" i="9" s="1"/>
  <c r="L145" i="12" a="1"/>
  <c r="L145" i="12" s="1"/>
  <c r="J145" i="12" a="1"/>
  <c r="J145" i="12" s="1"/>
  <c r="N145" i="12" a="1"/>
  <c r="N145" i="12" s="1"/>
  <c r="G145" i="12" a="1"/>
  <c r="G145" i="12" s="1"/>
  <c r="K145" i="12" a="1"/>
  <c r="K145" i="12" s="1"/>
  <c r="H145" i="12" a="1"/>
  <c r="H145" i="12" s="1"/>
  <c r="O145" i="12" a="1"/>
  <c r="O145" i="12" s="1"/>
  <c r="D146" i="12"/>
  <c r="J146" i="9" a="1"/>
  <c r="J146" i="9" s="1"/>
  <c r="L146" i="9" a="1"/>
  <c r="L146" i="9" s="1"/>
  <c r="H146" i="9" a="1"/>
  <c r="H146" i="9" s="1"/>
  <c r="K146" i="9" a="1"/>
  <c r="K146" i="9" s="1"/>
  <c r="O146" i="9" a="1"/>
  <c r="O146" i="9" s="1"/>
  <c r="N146" i="9" a="1"/>
  <c r="N146" i="9" s="1"/>
  <c r="G146" i="9" a="1"/>
  <c r="G146" i="9" s="1"/>
  <c r="D147" i="9"/>
  <c r="DH141" i="12"/>
  <c r="AG143" i="9"/>
  <c r="AF143" i="9"/>
  <c r="AJ143" i="9" s="1"/>
  <c r="AH143" i="9"/>
  <c r="AI143" i="9"/>
  <c r="CL143" i="12"/>
  <c r="CN143" i="12"/>
  <c r="CM143" i="12"/>
  <c r="CM142" i="12"/>
  <c r="CL142" i="12"/>
  <c r="CN142" i="12"/>
  <c r="I146" i="9"/>
  <c r="CE145" i="9"/>
  <c r="CF145" i="9" s="1"/>
  <c r="CJ145" i="9" s="1"/>
  <c r="DQ145" i="9"/>
  <c r="DR145" i="9" s="1"/>
  <c r="DV145" i="9" s="1"/>
  <c r="EJ145" i="9"/>
  <c r="EK145" i="9" s="1"/>
  <c r="EO145" i="9" s="1"/>
  <c r="BL145" i="9"/>
  <c r="BM145" i="9" s="1"/>
  <c r="BQ145" i="9" s="1"/>
  <c r="Z145" i="9"/>
  <c r="AA145" i="9" s="1"/>
  <c r="AE145" i="9" s="1"/>
  <c r="CX145" i="9"/>
  <c r="CY145" i="9" s="1"/>
  <c r="DC145" i="9" s="1"/>
  <c r="FC145" i="9"/>
  <c r="FD145" i="9" s="1"/>
  <c r="FH145" i="9" s="1"/>
  <c r="AS145" i="9"/>
  <c r="AT145" i="9" s="1"/>
  <c r="AX145" i="9" s="1"/>
  <c r="AI142" i="12"/>
  <c r="AH142" i="12"/>
  <c r="AG142" i="12"/>
  <c r="AC143" i="12"/>
  <c r="DX142" i="12"/>
  <c r="DY142" i="12"/>
  <c r="DZ142" i="12"/>
  <c r="BB142" i="12"/>
  <c r="AZ142" i="12"/>
  <c r="BA142" i="12"/>
  <c r="ES143" i="9"/>
  <c r="EP143" i="9"/>
  <c r="ER143" i="9"/>
  <c r="EQ143" i="9"/>
  <c r="AZ143" i="9"/>
  <c r="BA143" i="9"/>
  <c r="AY143" i="9"/>
  <c r="BB143" i="9"/>
  <c r="EQ143" i="12"/>
  <c r="ER143" i="12"/>
  <c r="ES143" i="12"/>
  <c r="CO141" i="12"/>
  <c r="EA141" i="12"/>
  <c r="CK143" i="9"/>
  <c r="CO143" i="9" s="1"/>
  <c r="CL143" i="9"/>
  <c r="CN143" i="9"/>
  <c r="CM143" i="9"/>
  <c r="DE143" i="12"/>
  <c r="DG143" i="12"/>
  <c r="DF143" i="12"/>
  <c r="DZ143" i="9"/>
  <c r="DY143" i="9"/>
  <c r="DW143" i="9"/>
  <c r="DX143" i="9"/>
  <c r="DG143" i="9"/>
  <c r="DE143" i="9"/>
  <c r="DD143" i="9"/>
  <c r="DF143" i="9"/>
  <c r="FJ143" i="9"/>
  <c r="FK143" i="9"/>
  <c r="FI143" i="9"/>
  <c r="FL143" i="9"/>
  <c r="EQ142" i="12"/>
  <c r="ES142" i="12"/>
  <c r="ER142" i="12"/>
  <c r="ET141" i="12"/>
  <c r="DE142" i="12"/>
  <c r="DG142" i="12"/>
  <c r="DF142" i="12"/>
  <c r="FJ142" i="12"/>
  <c r="FL142" i="12"/>
  <c r="FK142" i="12"/>
  <c r="AV143" i="12"/>
  <c r="M144" i="12"/>
  <c r="P144" i="12" s="1"/>
  <c r="Q144" i="12" s="1"/>
  <c r="BT143" i="9"/>
  <c r="BS143" i="9"/>
  <c r="BR143" i="9"/>
  <c r="BV143" i="9" s="1"/>
  <c r="BU143" i="9"/>
  <c r="DS143" i="12"/>
  <c r="DU143" i="12" s="1"/>
  <c r="AB143" i="12"/>
  <c r="AD143" i="12" s="1"/>
  <c r="BS142" i="12"/>
  <c r="BU142" i="12"/>
  <c r="BT142" i="12"/>
  <c r="FL143" i="12" l="1"/>
  <c r="FK143" i="12"/>
  <c r="BS143" i="12"/>
  <c r="AZ143" i="12"/>
  <c r="FM143" i="9"/>
  <c r="EA143" i="9"/>
  <c r="BC143" i="9"/>
  <c r="DH143" i="9"/>
  <c r="ET143" i="9"/>
  <c r="CO142" i="12"/>
  <c r="BA143" i="12"/>
  <c r="BV142" i="12"/>
  <c r="FM143" i="12"/>
  <c r="AJ142" i="12"/>
  <c r="BC142" i="12"/>
  <c r="BU143" i="12"/>
  <c r="FM142" i="12"/>
  <c r="M145" i="12"/>
  <c r="P145" i="12" s="1"/>
  <c r="Q145" i="12" s="1"/>
  <c r="ET143" i="12"/>
  <c r="AH143" i="12"/>
  <c r="AG143" i="12"/>
  <c r="AI143" i="12"/>
  <c r="DX143" i="12"/>
  <c r="DZ143" i="12"/>
  <c r="DY143" i="12"/>
  <c r="EA142" i="12"/>
  <c r="FI144" i="9"/>
  <c r="FK144" i="9"/>
  <c r="FL144" i="9"/>
  <c r="FJ144" i="9"/>
  <c r="FM144" i="9" s="1"/>
  <c r="M146" i="9"/>
  <c r="P146" i="9" s="1"/>
  <c r="Q146" i="9" s="1"/>
  <c r="EQ144" i="9"/>
  <c r="ES144" i="9"/>
  <c r="EP144" i="9"/>
  <c r="ER144" i="9"/>
  <c r="CK144" i="9"/>
  <c r="CL144" i="9"/>
  <c r="CM144" i="9"/>
  <c r="CN144" i="9"/>
  <c r="ET142" i="12"/>
  <c r="O146" i="12" a="1"/>
  <c r="O146" i="12" s="1"/>
  <c r="G146" i="12" a="1"/>
  <c r="G146" i="12" s="1"/>
  <c r="N146" i="12" a="1"/>
  <c r="N146" i="12" s="1"/>
  <c r="J146" i="12" a="1"/>
  <c r="J146" i="12" s="1"/>
  <c r="H146" i="12" a="1"/>
  <c r="H146" i="12" s="1"/>
  <c r="L146" i="12" a="1"/>
  <c r="L146" i="12" s="1"/>
  <c r="K146" i="12" a="1"/>
  <c r="K146" i="12" s="1"/>
  <c r="D147" i="12"/>
  <c r="DE144" i="9"/>
  <c r="DD144" i="9"/>
  <c r="DG144" i="9"/>
  <c r="DF144" i="9"/>
  <c r="DH142" i="12"/>
  <c r="L147" i="9" a="1"/>
  <c r="L147" i="9" s="1"/>
  <c r="K147" i="9" a="1"/>
  <c r="K147" i="9" s="1"/>
  <c r="H147" i="9" a="1"/>
  <c r="H147" i="9" s="1"/>
  <c r="G147" i="9" a="1"/>
  <c r="G147" i="9" s="1"/>
  <c r="J147" i="9" a="1"/>
  <c r="J147" i="9" s="1"/>
  <c r="O147" i="9" a="1"/>
  <c r="O147" i="9" s="1"/>
  <c r="N147" i="9" a="1"/>
  <c r="N147" i="9" s="1"/>
  <c r="D148" i="9"/>
  <c r="DZ144" i="9"/>
  <c r="DY144" i="9"/>
  <c r="DX144" i="9"/>
  <c r="DW144" i="9"/>
  <c r="AH144" i="9"/>
  <c r="AI144" i="9"/>
  <c r="AF144" i="9"/>
  <c r="AJ144" i="9" s="1"/>
  <c r="AG144" i="9"/>
  <c r="BB144" i="9"/>
  <c r="AZ144" i="9"/>
  <c r="BA144" i="9"/>
  <c r="AY144" i="9"/>
  <c r="I147" i="9"/>
  <c r="CE146" i="9"/>
  <c r="CF146" i="9" s="1"/>
  <c r="CJ146" i="9" s="1"/>
  <c r="CX146" i="9"/>
  <c r="CY146" i="9" s="1"/>
  <c r="DC146" i="9" s="1"/>
  <c r="DQ146" i="9"/>
  <c r="DR146" i="9" s="1"/>
  <c r="DV146" i="9" s="1"/>
  <c r="EJ146" i="9"/>
  <c r="EK146" i="9" s="1"/>
  <c r="EO146" i="9" s="1"/>
  <c r="BL146" i="9"/>
  <c r="BM146" i="9" s="1"/>
  <c r="BQ146" i="9" s="1"/>
  <c r="FC146" i="9"/>
  <c r="FD146" i="9" s="1"/>
  <c r="FH146" i="9" s="1"/>
  <c r="Z146" i="9"/>
  <c r="AA146" i="9" s="1"/>
  <c r="AE146" i="9" s="1"/>
  <c r="AS146" i="9"/>
  <c r="AT146" i="9" s="1"/>
  <c r="AX146" i="9" s="1"/>
  <c r="DH143" i="12"/>
  <c r="EP144" i="12"/>
  <c r="FE144" i="12"/>
  <c r="FG144" i="12" s="1"/>
  <c r="FF144" i="12"/>
  <c r="DD144" i="12"/>
  <c r="CK144" i="12"/>
  <c r="AB144" i="12"/>
  <c r="AD144" i="12" s="1"/>
  <c r="AC144" i="12"/>
  <c r="BN144" i="12"/>
  <c r="BP144" i="12" s="1"/>
  <c r="BO144" i="12"/>
  <c r="CH144" i="12"/>
  <c r="EL144" i="12"/>
  <c r="EN144" i="12" s="1"/>
  <c r="CZ144" i="12"/>
  <c r="DB144" i="12" s="1"/>
  <c r="DT144" i="12"/>
  <c r="CG144" i="12"/>
  <c r="CI144" i="12" s="1"/>
  <c r="BR144" i="12"/>
  <c r="AY144" i="12"/>
  <c r="DW144" i="12"/>
  <c r="DS144" i="12"/>
  <c r="DU144" i="12" s="1"/>
  <c r="AF144" i="12"/>
  <c r="FI144" i="12"/>
  <c r="EM144" i="12"/>
  <c r="DA144" i="12"/>
  <c r="AV144" i="12"/>
  <c r="AU144" i="12"/>
  <c r="AW144" i="12" s="1"/>
  <c r="BO145" i="9"/>
  <c r="CH145" i="9"/>
  <c r="AU145" i="9"/>
  <c r="AW145" i="9" s="1"/>
  <c r="CG145" i="9"/>
  <c r="CI145" i="9" s="1"/>
  <c r="FE145" i="9"/>
  <c r="FG145" i="9" s="1"/>
  <c r="BN145" i="9"/>
  <c r="BP145" i="9" s="1"/>
  <c r="FF145" i="9"/>
  <c r="AV145" i="9"/>
  <c r="EM145" i="9"/>
  <c r="EL145" i="9"/>
  <c r="EN145" i="9" s="1"/>
  <c r="AC145" i="9"/>
  <c r="DA145" i="9"/>
  <c r="AB145" i="9"/>
  <c r="AD145" i="9" s="1"/>
  <c r="CZ145" i="9"/>
  <c r="DB145" i="9" s="1"/>
  <c r="DT145" i="9"/>
  <c r="DS145" i="9"/>
  <c r="DU145" i="9" s="1"/>
  <c r="CO143" i="12"/>
  <c r="BU144" i="9"/>
  <c r="BR144" i="9"/>
  <c r="BS144" i="9"/>
  <c r="BT144" i="9"/>
  <c r="BC143" i="12" l="1"/>
  <c r="DH144" i="9"/>
  <c r="BV143" i="12"/>
  <c r="BC144" i="9"/>
  <c r="ET144" i="9"/>
  <c r="EA144" i="9"/>
  <c r="BV144" i="9"/>
  <c r="CO144" i="9"/>
  <c r="CG145" i="12"/>
  <c r="CI145" i="12" s="1"/>
  <c r="EP145" i="12"/>
  <c r="AB145" i="12"/>
  <c r="AD145" i="12" s="1"/>
  <c r="AI145" i="12" s="1"/>
  <c r="FI145" i="12"/>
  <c r="AU145" i="12"/>
  <c r="AW145" i="12" s="1"/>
  <c r="AZ145" i="12" s="1"/>
  <c r="DD145" i="12"/>
  <c r="CH145" i="12"/>
  <c r="AC145" i="12"/>
  <c r="CK145" i="12"/>
  <c r="AF145" i="12"/>
  <c r="EL145" i="12"/>
  <c r="EN145" i="12" s="1"/>
  <c r="EQ145" i="12" s="1"/>
  <c r="DA145" i="12"/>
  <c r="DT145" i="12"/>
  <c r="FE145" i="12"/>
  <c r="FG145" i="12" s="1"/>
  <c r="FJ145" i="12" s="1"/>
  <c r="DW145" i="12"/>
  <c r="BS144" i="12"/>
  <c r="BU144" i="12"/>
  <c r="BT144" i="12"/>
  <c r="I148" i="9"/>
  <c r="DQ147" i="9"/>
  <c r="DR147" i="9" s="1"/>
  <c r="DV147" i="9" s="1"/>
  <c r="EJ147" i="9"/>
  <c r="EK147" i="9" s="1"/>
  <c r="EO147" i="9" s="1"/>
  <c r="CE147" i="9"/>
  <c r="CF147" i="9" s="1"/>
  <c r="CJ147" i="9" s="1"/>
  <c r="BL147" i="9"/>
  <c r="BM147" i="9" s="1"/>
  <c r="BQ147" i="9" s="1"/>
  <c r="FC147" i="9"/>
  <c r="FD147" i="9" s="1"/>
  <c r="FH147" i="9" s="1"/>
  <c r="Z147" i="9"/>
  <c r="AA147" i="9" s="1"/>
  <c r="AE147" i="9" s="1"/>
  <c r="AS147" i="9"/>
  <c r="AT147" i="9" s="1"/>
  <c r="AX147" i="9" s="1"/>
  <c r="CX147" i="9"/>
  <c r="CY147" i="9" s="1"/>
  <c r="DC147" i="9" s="1"/>
  <c r="M147" i="9"/>
  <c r="P147" i="9" s="1"/>
  <c r="Q147" i="9" s="1"/>
  <c r="CZ145" i="12"/>
  <c r="DB145" i="12" s="1"/>
  <c r="DY145" i="9"/>
  <c r="DZ145" i="9"/>
  <c r="DX145" i="9"/>
  <c r="DW145" i="9"/>
  <c r="BR145" i="9"/>
  <c r="BT145" i="9"/>
  <c r="BS145" i="9"/>
  <c r="BU145" i="9"/>
  <c r="CN144" i="12"/>
  <c r="CL144" i="12"/>
  <c r="CM144" i="12"/>
  <c r="AG144" i="12"/>
  <c r="AI144" i="12"/>
  <c r="AH144" i="12"/>
  <c r="AU146" i="9"/>
  <c r="AW146" i="9" s="1"/>
  <c r="AV146" i="9"/>
  <c r="BO146" i="9"/>
  <c r="BN146" i="9"/>
  <c r="BP146" i="9" s="1"/>
  <c r="FF146" i="9"/>
  <c r="CH146" i="9"/>
  <c r="FE146" i="9"/>
  <c r="FG146" i="9" s="1"/>
  <c r="CG146" i="9"/>
  <c r="CI146" i="9" s="1"/>
  <c r="DA146" i="9"/>
  <c r="EM146" i="9"/>
  <c r="AB146" i="9"/>
  <c r="AD146" i="9" s="1"/>
  <c r="CZ146" i="9"/>
  <c r="DB146" i="9" s="1"/>
  <c r="EL146" i="9"/>
  <c r="EN146" i="9" s="1"/>
  <c r="AC146" i="9"/>
  <c r="DT146" i="9"/>
  <c r="DS146" i="9"/>
  <c r="DU146" i="9" s="1"/>
  <c r="EA143" i="12"/>
  <c r="DF145" i="9"/>
  <c r="DD145" i="9"/>
  <c r="DE145" i="9"/>
  <c r="DG145" i="9"/>
  <c r="AF145" i="9"/>
  <c r="AG145" i="9"/>
  <c r="AI145" i="9"/>
  <c r="AH145" i="9"/>
  <c r="FI145" i="9"/>
  <c r="FL145" i="9"/>
  <c r="FJ145" i="9"/>
  <c r="FK145" i="9"/>
  <c r="J147" i="12" a="1"/>
  <c r="J147" i="12" s="1"/>
  <c r="L147" i="12" a="1"/>
  <c r="L147" i="12" s="1"/>
  <c r="H147" i="12" a="1"/>
  <c r="H147" i="12" s="1"/>
  <c r="O147" i="12" a="1"/>
  <c r="O147" i="12" s="1"/>
  <c r="G147" i="12" a="1"/>
  <c r="G147" i="12" s="1"/>
  <c r="N147" i="12" a="1"/>
  <c r="N147" i="12" s="1"/>
  <c r="D148" i="12"/>
  <c r="K147" i="12" a="1"/>
  <c r="K147" i="12" s="1"/>
  <c r="CN145" i="9"/>
  <c r="CL145" i="9"/>
  <c r="CK145" i="9"/>
  <c r="CM145" i="9"/>
  <c r="DE144" i="12"/>
  <c r="DG144" i="12"/>
  <c r="DF144" i="12"/>
  <c r="BR145" i="12"/>
  <c r="AZ144" i="12"/>
  <c r="BB144" i="12"/>
  <c r="BA144" i="12"/>
  <c r="EQ144" i="12"/>
  <c r="ES144" i="12"/>
  <c r="ER144" i="12"/>
  <c r="CM145" i="12"/>
  <c r="CL145" i="12"/>
  <c r="CN145" i="12"/>
  <c r="EM145" i="12"/>
  <c r="EQ145" i="9"/>
  <c r="EP145" i="9"/>
  <c r="ET145" i="9" s="1"/>
  <c r="ES145" i="9"/>
  <c r="ER145" i="9"/>
  <c r="DX144" i="12"/>
  <c r="DZ144" i="12"/>
  <c r="DY144" i="12"/>
  <c r="FJ144" i="12"/>
  <c r="FL144" i="12"/>
  <c r="FK144" i="12"/>
  <c r="DS145" i="12"/>
  <c r="DU145" i="12" s="1"/>
  <c r="BO145" i="12"/>
  <c r="FF145" i="12"/>
  <c r="AJ143" i="12"/>
  <c r="BB145" i="9"/>
  <c r="BA145" i="9"/>
  <c r="AY145" i="9"/>
  <c r="AZ145" i="9"/>
  <c r="K148" i="9" a="1"/>
  <c r="K148" i="9" s="1"/>
  <c r="N148" i="9" a="1"/>
  <c r="N148" i="9" s="1"/>
  <c r="G148" i="9" a="1"/>
  <c r="G148" i="9" s="1"/>
  <c r="O148" i="9" a="1"/>
  <c r="O148" i="9" s="1"/>
  <c r="H148" i="9" a="1"/>
  <c r="H148" i="9" s="1"/>
  <c r="J148" i="9" a="1"/>
  <c r="J148" i="9" s="1"/>
  <c r="L148" i="9" a="1"/>
  <c r="L148" i="9" s="1"/>
  <c r="D149" i="9"/>
  <c r="AV145" i="12"/>
  <c r="AY145" i="12"/>
  <c r="BN145" i="12"/>
  <c r="BP145" i="12" s="1"/>
  <c r="M146" i="12"/>
  <c r="P146" i="12" s="1"/>
  <c r="Q146" i="12" s="1"/>
  <c r="BC145" i="9" l="1"/>
  <c r="CO145" i="9"/>
  <c r="BV145" i="9"/>
  <c r="AJ145" i="9"/>
  <c r="AJ144" i="12"/>
  <c r="EA145" i="9"/>
  <c r="EA146" i="9" s="1"/>
  <c r="BA145" i="12"/>
  <c r="DH145" i="9"/>
  <c r="FM145" i="9"/>
  <c r="AH145" i="12"/>
  <c r="AG145" i="12"/>
  <c r="CO144" i="12"/>
  <c r="BV144" i="12"/>
  <c r="ES145" i="12"/>
  <c r="ER145" i="12"/>
  <c r="M148" i="9"/>
  <c r="P148" i="9" s="1"/>
  <c r="Q148" i="9" s="1"/>
  <c r="FM144" i="12"/>
  <c r="BC144" i="12"/>
  <c r="M147" i="12"/>
  <c r="P147" i="12" s="1"/>
  <c r="FK145" i="12"/>
  <c r="CO145" i="12"/>
  <c r="FL145" i="12"/>
  <c r="ET144" i="12"/>
  <c r="BB145" i="12"/>
  <c r="BC145" i="12" s="1"/>
  <c r="FE146" i="12"/>
  <c r="FG146" i="12" s="1"/>
  <c r="FF146" i="12"/>
  <c r="EP146" i="12"/>
  <c r="CK146" i="12"/>
  <c r="DD146" i="12"/>
  <c r="BN146" i="12"/>
  <c r="BP146" i="12" s="1"/>
  <c r="BO146" i="12"/>
  <c r="AC146" i="12"/>
  <c r="AB146" i="12"/>
  <c r="AD146" i="12" s="1"/>
  <c r="CG146" i="12"/>
  <c r="CI146" i="12" s="1"/>
  <c r="FI146" i="12"/>
  <c r="DW146" i="12"/>
  <c r="EL146" i="12"/>
  <c r="EN146" i="12" s="1"/>
  <c r="AF146" i="12"/>
  <c r="DT146" i="12"/>
  <c r="BR146" i="12"/>
  <c r="DS146" i="12"/>
  <c r="DU146" i="12" s="1"/>
  <c r="AY146" i="12"/>
  <c r="DA146" i="12"/>
  <c r="CH146" i="12"/>
  <c r="CZ146" i="12"/>
  <c r="DB146" i="12" s="1"/>
  <c r="EM146" i="12"/>
  <c r="AU146" i="12"/>
  <c r="AW146" i="12" s="1"/>
  <c r="AV146" i="12"/>
  <c r="Q147" i="12"/>
  <c r="DF146" i="9"/>
  <c r="DE146" i="9"/>
  <c r="DD146" i="9"/>
  <c r="DG146" i="9"/>
  <c r="BS146" i="9"/>
  <c r="BU146" i="9"/>
  <c r="BR146" i="9"/>
  <c r="BT146" i="9"/>
  <c r="AI146" i="9"/>
  <c r="AG146" i="9"/>
  <c r="AH146" i="9"/>
  <c r="AF146" i="9"/>
  <c r="AJ146" i="9" s="1"/>
  <c r="EA144" i="12"/>
  <c r="AZ146" i="9"/>
  <c r="BA146" i="9"/>
  <c r="AY146" i="9"/>
  <c r="BB146" i="9"/>
  <c r="DE145" i="12"/>
  <c r="DF145" i="12"/>
  <c r="DG145" i="12"/>
  <c r="BS145" i="12"/>
  <c r="BT145" i="12"/>
  <c r="BU145" i="12"/>
  <c r="DH144" i="12"/>
  <c r="DZ146" i="9"/>
  <c r="DW146" i="9"/>
  <c r="DX146" i="9"/>
  <c r="DY146" i="9"/>
  <c r="CK146" i="9"/>
  <c r="CO146" i="9" s="1"/>
  <c r="CN146" i="9"/>
  <c r="CM146" i="9"/>
  <c r="CL146" i="9"/>
  <c r="FL146" i="9"/>
  <c r="FK146" i="9"/>
  <c r="FI146" i="9"/>
  <c r="FM146" i="9" s="1"/>
  <c r="FJ146" i="9"/>
  <c r="I149" i="9"/>
  <c r="DQ148" i="9"/>
  <c r="DR148" i="9" s="1"/>
  <c r="DV148" i="9" s="1"/>
  <c r="CX148" i="9"/>
  <c r="CY148" i="9" s="1"/>
  <c r="DC148" i="9" s="1"/>
  <c r="Z148" i="9"/>
  <c r="AA148" i="9" s="1"/>
  <c r="AE148" i="9" s="1"/>
  <c r="FC148" i="9"/>
  <c r="FD148" i="9" s="1"/>
  <c r="FH148" i="9" s="1"/>
  <c r="EJ148" i="9"/>
  <c r="EK148" i="9" s="1"/>
  <c r="EO148" i="9" s="1"/>
  <c r="AS148" i="9"/>
  <c r="AT148" i="9" s="1"/>
  <c r="AX148" i="9" s="1"/>
  <c r="CE148" i="9"/>
  <c r="CF148" i="9" s="1"/>
  <c r="CJ148" i="9" s="1"/>
  <c r="BL148" i="9"/>
  <c r="BM148" i="9" s="1"/>
  <c r="BQ148" i="9" s="1"/>
  <c r="FE147" i="9"/>
  <c r="FG147" i="9" s="1"/>
  <c r="CG147" i="9"/>
  <c r="CI147" i="9" s="1"/>
  <c r="BN147" i="9"/>
  <c r="BP147" i="9" s="1"/>
  <c r="CH147" i="9"/>
  <c r="BO147" i="9"/>
  <c r="FF147" i="9"/>
  <c r="AU147" i="9"/>
  <c r="AW147" i="9" s="1"/>
  <c r="AV147" i="9"/>
  <c r="DA147" i="9"/>
  <c r="EM147" i="9"/>
  <c r="CZ147" i="9"/>
  <c r="DB147" i="9" s="1"/>
  <c r="EL147" i="9"/>
  <c r="EN147" i="9" s="1"/>
  <c r="AB147" i="9"/>
  <c r="AD147" i="9" s="1"/>
  <c r="AC147" i="9"/>
  <c r="DT147" i="9"/>
  <c r="DS147" i="9"/>
  <c r="DU147" i="9" s="1"/>
  <c r="DX145" i="12"/>
  <c r="DZ145" i="12"/>
  <c r="DY145" i="12"/>
  <c r="J149" i="9" a="1"/>
  <c r="J149" i="9" s="1"/>
  <c r="N149" i="9" a="1"/>
  <c r="N149" i="9" s="1"/>
  <c r="G149" i="9" a="1"/>
  <c r="G149" i="9" s="1"/>
  <c r="L149" i="9" a="1"/>
  <c r="L149" i="9" s="1"/>
  <c r="H149" i="9" a="1"/>
  <c r="H149" i="9" s="1"/>
  <c r="K149" i="9" a="1"/>
  <c r="K149" i="9" s="1"/>
  <c r="O149" i="9" a="1"/>
  <c r="O149" i="9" s="1"/>
  <c r="D150" i="9"/>
  <c r="K148" i="12" a="1"/>
  <c r="K148" i="12" s="1"/>
  <c r="O148" i="12" a="1"/>
  <c r="O148" i="12" s="1"/>
  <c r="N148" i="12" a="1"/>
  <c r="N148" i="12" s="1"/>
  <c r="J148" i="12" a="1"/>
  <c r="J148" i="12" s="1"/>
  <c r="L148" i="12" a="1"/>
  <c r="L148" i="12" s="1"/>
  <c r="G148" i="12" a="1"/>
  <c r="G148" i="12" s="1"/>
  <c r="H148" i="12" a="1"/>
  <c r="H148" i="12" s="1"/>
  <c r="D149" i="12"/>
  <c r="ER146" i="9"/>
  <c r="EQ146" i="9"/>
  <c r="EP146" i="9"/>
  <c r="ET146" i="9" s="1"/>
  <c r="ES146" i="9"/>
  <c r="ET145" i="12"/>
  <c r="AJ145" i="12" l="1"/>
  <c r="DH146" i="9"/>
  <c r="BC146" i="9"/>
  <c r="BV146" i="9"/>
  <c r="BV145" i="12"/>
  <c r="EA145" i="12"/>
  <c r="FM145" i="12"/>
  <c r="M148" i="12"/>
  <c r="P148" i="12" s="1"/>
  <c r="Q148" i="12" s="1"/>
  <c r="L149" i="12" a="1"/>
  <c r="L149" i="12" s="1"/>
  <c r="J149" i="12" a="1"/>
  <c r="J149" i="12" s="1"/>
  <c r="O149" i="12" a="1"/>
  <c r="O149" i="12" s="1"/>
  <c r="N149" i="12" a="1"/>
  <c r="N149" i="12" s="1"/>
  <c r="H149" i="12" a="1"/>
  <c r="H149" i="12" s="1"/>
  <c r="G149" i="12" a="1"/>
  <c r="G149" i="12" s="1"/>
  <c r="K149" i="12" a="1"/>
  <c r="K149" i="12" s="1"/>
  <c r="D150" i="12"/>
  <c r="DX147" i="9"/>
  <c r="DW147" i="9"/>
  <c r="EA147" i="9" s="1"/>
  <c r="DZ147" i="9"/>
  <c r="DY147" i="9"/>
  <c r="I150" i="9"/>
  <c r="DQ149" i="9"/>
  <c r="DR149" i="9" s="1"/>
  <c r="DV149" i="9" s="1"/>
  <c r="AS149" i="9"/>
  <c r="AT149" i="9" s="1"/>
  <c r="AX149" i="9" s="1"/>
  <c r="FC149" i="9"/>
  <c r="FD149" i="9" s="1"/>
  <c r="FH149" i="9" s="1"/>
  <c r="Z149" i="9"/>
  <c r="AA149" i="9" s="1"/>
  <c r="AE149" i="9" s="1"/>
  <c r="CX149" i="9"/>
  <c r="CY149" i="9" s="1"/>
  <c r="DC149" i="9" s="1"/>
  <c r="CE149" i="9"/>
  <c r="CF149" i="9" s="1"/>
  <c r="CJ149" i="9" s="1"/>
  <c r="EJ149" i="9"/>
  <c r="EK149" i="9" s="1"/>
  <c r="EO149" i="9" s="1"/>
  <c r="BL149" i="9"/>
  <c r="BM149" i="9" s="1"/>
  <c r="BQ149" i="9" s="1"/>
  <c r="BA147" i="9"/>
  <c r="AY147" i="9"/>
  <c r="BB147" i="9"/>
  <c r="AZ147" i="9"/>
  <c r="BB146" i="12"/>
  <c r="BA146" i="12"/>
  <c r="AZ146" i="12"/>
  <c r="AH147" i="9"/>
  <c r="AI147" i="9"/>
  <c r="AF147" i="9"/>
  <c r="AJ147" i="9" s="1"/>
  <c r="AG147" i="9"/>
  <c r="DH145" i="12"/>
  <c r="DE146" i="12"/>
  <c r="DF146" i="12"/>
  <c r="DG146" i="12"/>
  <c r="EQ146" i="12"/>
  <c r="ES146" i="12"/>
  <c r="ER146" i="12"/>
  <c r="BS146" i="12"/>
  <c r="BT146" i="12"/>
  <c r="BU146" i="12"/>
  <c r="M149" i="9"/>
  <c r="P149" i="9" s="1"/>
  <c r="Q149" i="9" s="1"/>
  <c r="ER147" i="9"/>
  <c r="EP147" i="9"/>
  <c r="EQ147" i="9"/>
  <c r="ES147" i="9"/>
  <c r="DD147" i="9"/>
  <c r="DE147" i="9"/>
  <c r="DF147" i="9"/>
  <c r="DG147" i="9"/>
  <c r="BT147" i="9"/>
  <c r="BS147" i="9"/>
  <c r="BR147" i="9"/>
  <c r="BU147" i="9"/>
  <c r="K150" i="9" a="1"/>
  <c r="K150" i="9" s="1"/>
  <c r="O150" i="9" a="1"/>
  <c r="O150" i="9" s="1"/>
  <c r="N150" i="9" a="1"/>
  <c r="N150" i="9" s="1"/>
  <c r="J150" i="9" a="1"/>
  <c r="J150" i="9" s="1"/>
  <c r="H150" i="9" a="1"/>
  <c r="H150" i="9" s="1"/>
  <c r="L150" i="9" a="1"/>
  <c r="L150" i="9" s="1"/>
  <c r="G150" i="9" a="1"/>
  <c r="G150" i="9" s="1"/>
  <c r="D151" i="9"/>
  <c r="CL147" i="9"/>
  <c r="CN147" i="9"/>
  <c r="CM147" i="9"/>
  <c r="CK147" i="9"/>
  <c r="CO147" i="9" s="1"/>
  <c r="FE148" i="9"/>
  <c r="FG148" i="9" s="1"/>
  <c r="BO148" i="9"/>
  <c r="FF148" i="9"/>
  <c r="BN148" i="9"/>
  <c r="BP148" i="9" s="1"/>
  <c r="CG148" i="9"/>
  <c r="CI148" i="9" s="1"/>
  <c r="AV148" i="9"/>
  <c r="AU148" i="9"/>
  <c r="AW148" i="9" s="1"/>
  <c r="CH148" i="9"/>
  <c r="EM148" i="9"/>
  <c r="DA148" i="9"/>
  <c r="AB148" i="9"/>
  <c r="AD148" i="9" s="1"/>
  <c r="EL148" i="9"/>
  <c r="EN148" i="9" s="1"/>
  <c r="CZ148" i="9"/>
  <c r="DB148" i="9" s="1"/>
  <c r="AC148" i="9"/>
  <c r="DS148" i="9"/>
  <c r="DU148" i="9" s="1"/>
  <c r="DT148" i="9"/>
  <c r="CL146" i="12"/>
  <c r="CM146" i="12"/>
  <c r="CN146" i="12"/>
  <c r="FK147" i="9"/>
  <c r="FJ147" i="9"/>
  <c r="FI147" i="9"/>
  <c r="FL147" i="9"/>
  <c r="FE147" i="12"/>
  <c r="FG147" i="12" s="1"/>
  <c r="FF147" i="12"/>
  <c r="EP147" i="12"/>
  <c r="DD147" i="12"/>
  <c r="CK147" i="12"/>
  <c r="AC147" i="12"/>
  <c r="AB147" i="12"/>
  <c r="AD147" i="12" s="1"/>
  <c r="BN147" i="12"/>
  <c r="BP147" i="12" s="1"/>
  <c r="BO147" i="12"/>
  <c r="BR147" i="12"/>
  <c r="EL147" i="12"/>
  <c r="EN147" i="12" s="1"/>
  <c r="DA147" i="12"/>
  <c r="FI147" i="12"/>
  <c r="CH147" i="12"/>
  <c r="DS147" i="12"/>
  <c r="DU147" i="12" s="1"/>
  <c r="CG147" i="12"/>
  <c r="CI147" i="12" s="1"/>
  <c r="AF147" i="12"/>
  <c r="DT147" i="12"/>
  <c r="DW147" i="12"/>
  <c r="AY147" i="12"/>
  <c r="EM147" i="12"/>
  <c r="CZ147" i="12"/>
  <c r="DB147" i="12" s="1"/>
  <c r="AV147" i="12"/>
  <c r="AU147" i="12"/>
  <c r="AW147" i="12" s="1"/>
  <c r="DX146" i="12"/>
  <c r="DY146" i="12"/>
  <c r="DZ146" i="12"/>
  <c r="AG146" i="12"/>
  <c r="AI146" i="12"/>
  <c r="AH146" i="12"/>
  <c r="FJ146" i="12"/>
  <c r="FL146" i="12"/>
  <c r="FK146" i="12"/>
  <c r="BV147" i="9" l="1"/>
  <c r="BC147" i="9"/>
  <c r="ET147" i="9"/>
  <c r="FM147" i="9"/>
  <c r="DH147" i="9"/>
  <c r="BC146" i="12"/>
  <c r="BV146" i="12"/>
  <c r="CO146" i="12"/>
  <c r="DH146" i="12"/>
  <c r="EA146" i="12"/>
  <c r="FM146" i="12"/>
  <c r="AJ146" i="12"/>
  <c r="BN149" i="9"/>
  <c r="BP149" i="9" s="1"/>
  <c r="AU149" i="9"/>
  <c r="AW149" i="9" s="1"/>
  <c r="CH149" i="9"/>
  <c r="BO149" i="9"/>
  <c r="AV149" i="9"/>
  <c r="FF149" i="9"/>
  <c r="CG149" i="9"/>
  <c r="CI149" i="9" s="1"/>
  <c r="FE149" i="9"/>
  <c r="FG149" i="9" s="1"/>
  <c r="AC149" i="9"/>
  <c r="CZ149" i="9"/>
  <c r="DB149" i="9" s="1"/>
  <c r="EM149" i="9"/>
  <c r="AB149" i="9"/>
  <c r="AD149" i="9" s="1"/>
  <c r="EL149" i="9"/>
  <c r="EN149" i="9" s="1"/>
  <c r="DA149" i="9"/>
  <c r="DS149" i="9"/>
  <c r="DU149" i="9" s="1"/>
  <c r="DT149" i="9"/>
  <c r="DX147" i="12"/>
  <c r="DY147" i="12"/>
  <c r="DZ147" i="12"/>
  <c r="AH147" i="12"/>
  <c r="AI147" i="12"/>
  <c r="AG147" i="12"/>
  <c r="K150" i="12" a="1"/>
  <c r="K150" i="12" s="1"/>
  <c r="O150" i="12" a="1"/>
  <c r="O150" i="12" s="1"/>
  <c r="J150" i="12" a="1"/>
  <c r="J150" i="12" s="1"/>
  <c r="N150" i="12" a="1"/>
  <c r="N150" i="12" s="1"/>
  <c r="L150" i="12" a="1"/>
  <c r="L150" i="12" s="1"/>
  <c r="H150" i="12" a="1"/>
  <c r="H150" i="12" s="1"/>
  <c r="G150" i="12" a="1"/>
  <c r="G150" i="12" s="1"/>
  <c r="D151" i="12"/>
  <c r="DE147" i="12"/>
  <c r="DF147" i="12"/>
  <c r="DG147" i="12"/>
  <c r="DW148" i="9"/>
  <c r="EA148" i="9" s="1"/>
  <c r="DX148" i="9"/>
  <c r="DZ148" i="9"/>
  <c r="DY148" i="9"/>
  <c r="AZ148" i="9"/>
  <c r="BB148" i="9"/>
  <c r="AY148" i="9"/>
  <c r="BC148" i="9" s="1"/>
  <c r="BA148" i="9"/>
  <c r="DG148" i="9"/>
  <c r="DD148" i="9"/>
  <c r="DH148" i="9" s="1"/>
  <c r="DE148" i="9"/>
  <c r="DF148" i="9"/>
  <c r="CK148" i="9"/>
  <c r="CN148" i="9"/>
  <c r="CM148" i="9"/>
  <c r="CL148" i="9"/>
  <c r="I151" i="9"/>
  <c r="EJ150" i="9"/>
  <c r="EK150" i="9" s="1"/>
  <c r="EO150" i="9" s="1"/>
  <c r="AS150" i="9"/>
  <c r="AT150" i="9" s="1"/>
  <c r="AX150" i="9" s="1"/>
  <c r="Z150" i="9"/>
  <c r="AA150" i="9" s="1"/>
  <c r="AE150" i="9" s="1"/>
  <c r="CX150" i="9"/>
  <c r="CY150" i="9" s="1"/>
  <c r="DC150" i="9" s="1"/>
  <c r="CE150" i="9"/>
  <c r="CF150" i="9" s="1"/>
  <c r="CJ150" i="9" s="1"/>
  <c r="FC150" i="9"/>
  <c r="FD150" i="9" s="1"/>
  <c r="FH150" i="9" s="1"/>
  <c r="DQ150" i="9"/>
  <c r="DR150" i="9" s="1"/>
  <c r="DV150" i="9" s="1"/>
  <c r="BL150" i="9"/>
  <c r="BM150" i="9" s="1"/>
  <c r="BQ150" i="9" s="1"/>
  <c r="EQ147" i="12"/>
  <c r="ER147" i="12"/>
  <c r="ES147" i="12"/>
  <c r="ES148" i="9"/>
  <c r="ER148" i="9"/>
  <c r="EQ148" i="9"/>
  <c r="EP148" i="9"/>
  <c r="BR148" i="9"/>
  <c r="BT148" i="9"/>
  <c r="BS148" i="9"/>
  <c r="BU148" i="9"/>
  <c r="K151" i="9" a="1"/>
  <c r="K151" i="9" s="1"/>
  <c r="N151" i="9" a="1"/>
  <c r="N151" i="9" s="1"/>
  <c r="J151" i="9" a="1"/>
  <c r="J151" i="9" s="1"/>
  <c r="O151" i="9" a="1"/>
  <c r="O151" i="9" s="1"/>
  <c r="L151" i="9" a="1"/>
  <c r="L151" i="9" s="1"/>
  <c r="G151" i="9" a="1"/>
  <c r="G151" i="9" s="1"/>
  <c r="H151" i="9" a="1"/>
  <c r="H151" i="9" s="1"/>
  <c r="D152" i="9"/>
  <c r="AG148" i="9"/>
  <c r="AF148" i="9"/>
  <c r="AI148" i="9"/>
  <c r="AH148" i="9"/>
  <c r="FJ147" i="12"/>
  <c r="FL147" i="12"/>
  <c r="FK147" i="12"/>
  <c r="ET146" i="12"/>
  <c r="M149" i="12"/>
  <c r="P149" i="12" s="1"/>
  <c r="Q149" i="12" s="1"/>
  <c r="EP148" i="12"/>
  <c r="FF148" i="12"/>
  <c r="FE148" i="12"/>
  <c r="FG148" i="12" s="1"/>
  <c r="CK148" i="12"/>
  <c r="DD148" i="12"/>
  <c r="BO148" i="12"/>
  <c r="BN148" i="12"/>
  <c r="BP148" i="12" s="1"/>
  <c r="AB148" i="12"/>
  <c r="AD148" i="12" s="1"/>
  <c r="AC148" i="12"/>
  <c r="DT148" i="12"/>
  <c r="BR148" i="12"/>
  <c r="DS148" i="12"/>
  <c r="DU148" i="12" s="1"/>
  <c r="AF148" i="12"/>
  <c r="DA148" i="12"/>
  <c r="EM148" i="12"/>
  <c r="CH148" i="12"/>
  <c r="FI148" i="12"/>
  <c r="DW148" i="12"/>
  <c r="CZ148" i="12"/>
  <c r="DB148" i="12" s="1"/>
  <c r="EL148" i="12"/>
  <c r="EN148" i="12" s="1"/>
  <c r="CG148" i="12"/>
  <c r="CI148" i="12" s="1"/>
  <c r="AY148" i="12"/>
  <c r="AU148" i="12"/>
  <c r="AW148" i="12" s="1"/>
  <c r="AV148" i="12"/>
  <c r="AZ147" i="12"/>
  <c r="BA147" i="12"/>
  <c r="BB147" i="12"/>
  <c r="CL147" i="12"/>
  <c r="CN147" i="12"/>
  <c r="CM147" i="12"/>
  <c r="BS147" i="12"/>
  <c r="BT147" i="12"/>
  <c r="BU147" i="12"/>
  <c r="FL148" i="9"/>
  <c r="FK148" i="9"/>
  <c r="FJ148" i="9"/>
  <c r="FI148" i="9"/>
  <c r="FM148" i="9" s="1"/>
  <c r="M150" i="9"/>
  <c r="P150" i="9" s="1"/>
  <c r="Q150" i="9" s="1"/>
  <c r="BV148" i="9" l="1"/>
  <c r="ET148" i="9"/>
  <c r="AJ148" i="9"/>
  <c r="CO148" i="9"/>
  <c r="CO147" i="12"/>
  <c r="FM147" i="12"/>
  <c r="AJ147" i="12"/>
  <c r="BV147" i="12"/>
  <c r="EA147" i="12"/>
  <c r="BC147" i="12"/>
  <c r="DH147" i="12"/>
  <c r="AV150" i="9"/>
  <c r="FF150" i="9"/>
  <c r="AU150" i="9"/>
  <c r="AW150" i="9" s="1"/>
  <c r="FE150" i="9"/>
  <c r="FG150" i="9" s="1"/>
  <c r="BN150" i="9"/>
  <c r="BP150" i="9" s="1"/>
  <c r="BO150" i="9"/>
  <c r="CH150" i="9"/>
  <c r="CG150" i="9"/>
  <c r="CI150" i="9" s="1"/>
  <c r="EL150" i="9"/>
  <c r="EN150" i="9" s="1"/>
  <c r="DA150" i="9"/>
  <c r="CZ150" i="9"/>
  <c r="DB150" i="9" s="1"/>
  <c r="AB150" i="9"/>
  <c r="AD150" i="9" s="1"/>
  <c r="AC150" i="9"/>
  <c r="EM150" i="9"/>
  <c r="DS150" i="9"/>
  <c r="DU150" i="9" s="1"/>
  <c r="DT150" i="9"/>
  <c r="J151" i="12" a="1"/>
  <c r="J151" i="12" s="1"/>
  <c r="L151" i="12" a="1"/>
  <c r="L151" i="12" s="1"/>
  <c r="O151" i="12" a="1"/>
  <c r="O151" i="12" s="1"/>
  <c r="N151" i="12" a="1"/>
  <c r="N151" i="12" s="1"/>
  <c r="H151" i="12" a="1"/>
  <c r="H151" i="12" s="1"/>
  <c r="K151" i="12" a="1"/>
  <c r="K151" i="12" s="1"/>
  <c r="G151" i="12" a="1"/>
  <c r="G151" i="12" s="1"/>
  <c r="D152" i="12"/>
  <c r="DY149" i="9"/>
  <c r="DX149" i="9"/>
  <c r="DW149" i="9"/>
  <c r="DZ149" i="9"/>
  <c r="CM149" i="9"/>
  <c r="CK149" i="9"/>
  <c r="CL149" i="9"/>
  <c r="CN149" i="9"/>
  <c r="EQ148" i="12"/>
  <c r="ER148" i="12"/>
  <c r="ES148" i="12"/>
  <c r="G152" i="9" a="1"/>
  <c r="G152" i="9" s="1"/>
  <c r="K152" i="9" a="1"/>
  <c r="K152" i="9" s="1"/>
  <c r="N152" i="9" a="1"/>
  <c r="N152" i="9" s="1"/>
  <c r="H152" i="9" a="1"/>
  <c r="H152" i="9" s="1"/>
  <c r="O152" i="9" a="1"/>
  <c r="O152" i="9" s="1"/>
  <c r="L152" i="9" a="1"/>
  <c r="L152" i="9" s="1"/>
  <c r="J152" i="9" a="1"/>
  <c r="J152" i="9" s="1"/>
  <c r="D153" i="9"/>
  <c r="DE148" i="12"/>
  <c r="DG148" i="12"/>
  <c r="DF148" i="12"/>
  <c r="I152" i="9"/>
  <c r="EJ151" i="9"/>
  <c r="EK151" i="9" s="1"/>
  <c r="EO151" i="9" s="1"/>
  <c r="AS151" i="9"/>
  <c r="AT151" i="9" s="1"/>
  <c r="AX151" i="9" s="1"/>
  <c r="FC151" i="9"/>
  <c r="FD151" i="9" s="1"/>
  <c r="FH151" i="9" s="1"/>
  <c r="DQ151" i="9"/>
  <c r="DR151" i="9" s="1"/>
  <c r="DV151" i="9" s="1"/>
  <c r="Z151" i="9"/>
  <c r="AA151" i="9" s="1"/>
  <c r="AE151" i="9" s="1"/>
  <c r="CX151" i="9"/>
  <c r="CY151" i="9" s="1"/>
  <c r="DC151" i="9" s="1"/>
  <c r="CE151" i="9"/>
  <c r="CF151" i="9" s="1"/>
  <c r="CJ151" i="9" s="1"/>
  <c r="BL151" i="9"/>
  <c r="BM151" i="9" s="1"/>
  <c r="BQ151" i="9" s="1"/>
  <c r="EP149" i="9"/>
  <c r="EQ149" i="9"/>
  <c r="ES149" i="9"/>
  <c r="ER149" i="9"/>
  <c r="FI149" i="9"/>
  <c r="FJ149" i="9"/>
  <c r="FK149" i="9"/>
  <c r="FL149" i="9"/>
  <c r="AG148" i="12"/>
  <c r="AI148" i="12"/>
  <c r="AH148" i="12"/>
  <c r="AI149" i="9"/>
  <c r="AH149" i="9"/>
  <c r="AF149" i="9"/>
  <c r="AJ149" i="9" s="1"/>
  <c r="AG149" i="9"/>
  <c r="ET147" i="12"/>
  <c r="BB148" i="12"/>
  <c r="AZ148" i="12"/>
  <c r="BA148" i="12"/>
  <c r="BS148" i="12"/>
  <c r="BT148" i="12"/>
  <c r="BU148" i="12"/>
  <c r="M151" i="9"/>
  <c r="P151" i="9" s="1"/>
  <c r="Q151" i="9" s="1"/>
  <c r="FF149" i="12"/>
  <c r="EP149" i="12"/>
  <c r="FE149" i="12"/>
  <c r="FG149" i="12" s="1"/>
  <c r="CK149" i="12"/>
  <c r="DD149" i="12"/>
  <c r="AB149" i="12"/>
  <c r="AD149" i="12" s="1"/>
  <c r="BN149" i="12"/>
  <c r="BP149" i="12" s="1"/>
  <c r="AC149" i="12"/>
  <c r="BO149" i="12"/>
  <c r="AF149" i="12"/>
  <c r="FI149" i="12"/>
  <c r="AY149" i="12"/>
  <c r="EM149" i="12"/>
  <c r="EL149" i="12"/>
  <c r="EN149" i="12" s="1"/>
  <c r="DW149" i="12"/>
  <c r="CG149" i="12"/>
  <c r="CI149" i="12" s="1"/>
  <c r="BR149" i="12"/>
  <c r="DT149" i="12"/>
  <c r="CH149" i="12"/>
  <c r="DS149" i="12"/>
  <c r="DU149" i="12" s="1"/>
  <c r="DA149" i="12"/>
  <c r="CZ149" i="12"/>
  <c r="DB149" i="12" s="1"/>
  <c r="AV149" i="12"/>
  <c r="AU149" i="12"/>
  <c r="AW149" i="12" s="1"/>
  <c r="M150" i="12"/>
  <c r="P150" i="12" s="1"/>
  <c r="Q150" i="12" s="1"/>
  <c r="DD149" i="9"/>
  <c r="DE149" i="9"/>
  <c r="DF149" i="9"/>
  <c r="DG149" i="9"/>
  <c r="AZ149" i="9"/>
  <c r="AY149" i="9"/>
  <c r="BC149" i="9" s="1"/>
  <c r="BA149" i="9"/>
  <c r="BB149" i="9"/>
  <c r="DX148" i="12"/>
  <c r="DY148" i="12"/>
  <c r="DZ148" i="12"/>
  <c r="FJ148" i="12"/>
  <c r="FK148" i="12"/>
  <c r="FL148" i="12"/>
  <c r="CL148" i="12"/>
  <c r="CM148" i="12"/>
  <c r="CN148" i="12"/>
  <c r="BU149" i="9"/>
  <c r="BT149" i="9"/>
  <c r="BS149" i="9"/>
  <c r="BR149" i="9"/>
  <c r="BV149" i="9" s="1"/>
  <c r="FM149" i="9" l="1"/>
  <c r="EA149" i="9"/>
  <c r="DH149" i="9"/>
  <c r="ET149" i="9"/>
  <c r="CO149" i="9"/>
  <c r="AJ148" i="12"/>
  <c r="CO148" i="12"/>
  <c r="DH148" i="12"/>
  <c r="BV148" i="12"/>
  <c r="EA148" i="12"/>
  <c r="FM148" i="12"/>
  <c r="BC148" i="12"/>
  <c r="G152" i="12" a="1"/>
  <c r="G152" i="12" s="1"/>
  <c r="K152" i="12" a="1"/>
  <c r="K152" i="12" s="1"/>
  <c r="H152" i="12" a="1"/>
  <c r="H152" i="12" s="1"/>
  <c r="J152" i="12" a="1"/>
  <c r="J152" i="12" s="1"/>
  <c r="L152" i="12" a="1"/>
  <c r="L152" i="12" s="1"/>
  <c r="O152" i="12" a="1"/>
  <c r="O152" i="12" s="1"/>
  <c r="N152" i="12" a="1"/>
  <c r="N152" i="12" s="1"/>
  <c r="D153" i="12"/>
  <c r="CK150" i="9"/>
  <c r="CN150" i="9"/>
  <c r="CM150" i="9"/>
  <c r="CL150" i="9"/>
  <c r="DW150" i="9"/>
  <c r="DX150" i="9"/>
  <c r="DY150" i="9"/>
  <c r="DZ150" i="9"/>
  <c r="BS149" i="12"/>
  <c r="BT149" i="12"/>
  <c r="BU149" i="12"/>
  <c r="I153" i="9"/>
  <c r="CX152" i="9"/>
  <c r="CY152" i="9" s="1"/>
  <c r="DC152" i="9" s="1"/>
  <c r="DQ152" i="9"/>
  <c r="DR152" i="9" s="1"/>
  <c r="DV152" i="9" s="1"/>
  <c r="CE152" i="9"/>
  <c r="CF152" i="9" s="1"/>
  <c r="CJ152" i="9" s="1"/>
  <c r="FC152" i="9"/>
  <c r="FD152" i="9" s="1"/>
  <c r="FH152" i="9" s="1"/>
  <c r="Z152" i="9"/>
  <c r="AA152" i="9" s="1"/>
  <c r="AE152" i="9" s="1"/>
  <c r="EJ152" i="9"/>
  <c r="EK152" i="9" s="1"/>
  <c r="EO152" i="9" s="1"/>
  <c r="BL152" i="9"/>
  <c r="BM152" i="9" s="1"/>
  <c r="BQ152" i="9" s="1"/>
  <c r="AS152" i="9"/>
  <c r="AT152" i="9" s="1"/>
  <c r="AX152" i="9" s="1"/>
  <c r="AH149" i="12"/>
  <c r="AI149" i="12"/>
  <c r="AG149" i="12"/>
  <c r="BR150" i="9"/>
  <c r="BS150" i="9"/>
  <c r="BU150" i="9"/>
  <c r="BT150" i="9"/>
  <c r="DE149" i="12"/>
  <c r="DF149" i="12"/>
  <c r="DG149" i="12"/>
  <c r="AH150" i="9"/>
  <c r="AI150" i="9"/>
  <c r="AG150" i="9"/>
  <c r="AF150" i="9"/>
  <c r="AJ150" i="9" s="1"/>
  <c r="FI150" i="9"/>
  <c r="FM150" i="9" s="1"/>
  <c r="FJ150" i="9"/>
  <c r="FK150" i="9"/>
  <c r="FL150" i="9"/>
  <c r="FE150" i="12"/>
  <c r="FG150" i="12" s="1"/>
  <c r="EP150" i="12"/>
  <c r="FF150" i="12"/>
  <c r="CK150" i="12"/>
  <c r="DD150" i="12"/>
  <c r="AB150" i="12"/>
  <c r="AD150" i="12" s="1"/>
  <c r="BO150" i="12"/>
  <c r="AC150" i="12"/>
  <c r="BN150" i="12"/>
  <c r="BP150" i="12" s="1"/>
  <c r="EL150" i="12"/>
  <c r="EN150" i="12" s="1"/>
  <c r="DA150" i="12"/>
  <c r="AF150" i="12"/>
  <c r="CH150" i="12"/>
  <c r="AY150" i="12"/>
  <c r="CG150" i="12"/>
  <c r="CI150" i="12" s="1"/>
  <c r="DW150" i="12"/>
  <c r="BR150" i="12"/>
  <c r="DS150" i="12"/>
  <c r="DU150" i="12" s="1"/>
  <c r="DT150" i="12"/>
  <c r="FI150" i="12"/>
  <c r="EM150" i="12"/>
  <c r="CZ150" i="12"/>
  <c r="DB150" i="12" s="1"/>
  <c r="AV150" i="12"/>
  <c r="AU150" i="12"/>
  <c r="AW150" i="12" s="1"/>
  <c r="DX149" i="12"/>
  <c r="DZ149" i="12"/>
  <c r="DY149" i="12"/>
  <c r="DF150" i="9"/>
  <c r="DG150" i="9"/>
  <c r="DD150" i="9"/>
  <c r="DE150" i="9"/>
  <c r="AZ150" i="9"/>
  <c r="BB150" i="9"/>
  <c r="BA150" i="9"/>
  <c r="AY150" i="9"/>
  <c r="CN149" i="12"/>
  <c r="CM149" i="12"/>
  <c r="CL149" i="12"/>
  <c r="EQ149" i="12"/>
  <c r="ER149" i="12"/>
  <c r="ES149" i="12"/>
  <c r="FJ149" i="12"/>
  <c r="FK149" i="12"/>
  <c r="FL149" i="12"/>
  <c r="L153" i="9" a="1"/>
  <c r="L153" i="9" s="1"/>
  <c r="K153" i="9" a="1"/>
  <c r="K153" i="9" s="1"/>
  <c r="O153" i="9" a="1"/>
  <c r="O153" i="9" s="1"/>
  <c r="J153" i="9" a="1"/>
  <c r="J153" i="9" s="1"/>
  <c r="G153" i="9" a="1"/>
  <c r="G153" i="9" s="1"/>
  <c r="N153" i="9" a="1"/>
  <c r="N153" i="9" s="1"/>
  <c r="H153" i="9" a="1"/>
  <c r="H153" i="9" s="1"/>
  <c r="D154" i="9"/>
  <c r="M152" i="9"/>
  <c r="P152" i="9" s="1"/>
  <c r="Q152" i="9" s="1"/>
  <c r="ET148" i="12"/>
  <c r="AZ149" i="12"/>
  <c r="BA149" i="12"/>
  <c r="BB149" i="12"/>
  <c r="BO151" i="9"/>
  <c r="AU151" i="9"/>
  <c r="AW151" i="9" s="1"/>
  <c r="AV151" i="9"/>
  <c r="CH151" i="9"/>
  <c r="CG151" i="9"/>
  <c r="CI151" i="9" s="1"/>
  <c r="FF151" i="9"/>
  <c r="FE151" i="9"/>
  <c r="FG151" i="9" s="1"/>
  <c r="BN151" i="9"/>
  <c r="BP151" i="9" s="1"/>
  <c r="DA151" i="9"/>
  <c r="AC151" i="9"/>
  <c r="CZ151" i="9"/>
  <c r="DB151" i="9" s="1"/>
  <c r="AB151" i="9"/>
  <c r="AD151" i="9" s="1"/>
  <c r="EM151" i="9"/>
  <c r="EL151" i="9"/>
  <c r="EN151" i="9" s="1"/>
  <c r="DS151" i="9"/>
  <c r="DU151" i="9" s="1"/>
  <c r="DT151" i="9"/>
  <c r="M151" i="12"/>
  <c r="P151" i="12" s="1"/>
  <c r="Q151" i="12" s="1"/>
  <c r="ES150" i="9"/>
  <c r="EQ150" i="9"/>
  <c r="EP150" i="9"/>
  <c r="ET150" i="9" s="1"/>
  <c r="ER150" i="9"/>
  <c r="BC150" i="9" l="1"/>
  <c r="CO150" i="9"/>
  <c r="BV150" i="9"/>
  <c r="EA150" i="9"/>
  <c r="DH150" i="9"/>
  <c r="BC149" i="12"/>
  <c r="CO149" i="12"/>
  <c r="M152" i="12"/>
  <c r="P152" i="12" s="1"/>
  <c r="Q152" i="12" s="1"/>
  <c r="FM149" i="12"/>
  <c r="BV149" i="12"/>
  <c r="AJ149" i="12"/>
  <c r="CL151" i="9"/>
  <c r="CM151" i="9"/>
  <c r="CK151" i="9"/>
  <c r="CN151" i="9"/>
  <c r="CL150" i="12"/>
  <c r="CN150" i="12"/>
  <c r="CO150" i="12" s="1"/>
  <c r="CM150" i="12"/>
  <c r="AH151" i="9"/>
  <c r="AI151" i="9"/>
  <c r="AF151" i="9"/>
  <c r="AG151" i="9"/>
  <c r="FE152" i="9"/>
  <c r="FG152" i="9" s="1"/>
  <c r="BO152" i="9"/>
  <c r="AV152" i="9"/>
  <c r="CH152" i="9"/>
  <c r="BN152" i="9"/>
  <c r="BP152" i="9" s="1"/>
  <c r="AU152" i="9"/>
  <c r="AW152" i="9" s="1"/>
  <c r="CG152" i="9"/>
  <c r="CI152" i="9" s="1"/>
  <c r="FF152" i="9"/>
  <c r="DA152" i="9"/>
  <c r="CZ152" i="9"/>
  <c r="DB152" i="9" s="1"/>
  <c r="EM152" i="9"/>
  <c r="AC152" i="9"/>
  <c r="EL152" i="9"/>
  <c r="EN152" i="9" s="1"/>
  <c r="AB152" i="9"/>
  <c r="AD152" i="9" s="1"/>
  <c r="DT152" i="9"/>
  <c r="DS152" i="9"/>
  <c r="DU152" i="9" s="1"/>
  <c r="DE150" i="12"/>
  <c r="DG150" i="12"/>
  <c r="DF150" i="12"/>
  <c r="AG150" i="12"/>
  <c r="AH150" i="12"/>
  <c r="AI150" i="12"/>
  <c r="DH149" i="12"/>
  <c r="FF151" i="12"/>
  <c r="EP151" i="12"/>
  <c r="FE151" i="12"/>
  <c r="FG151" i="12" s="1"/>
  <c r="CK151" i="12"/>
  <c r="DD151" i="12"/>
  <c r="AB151" i="12"/>
  <c r="AD151" i="12" s="1"/>
  <c r="BO151" i="12"/>
  <c r="AC151" i="12"/>
  <c r="BN151" i="12"/>
  <c r="BP151" i="12" s="1"/>
  <c r="DS151" i="12"/>
  <c r="DU151" i="12" s="1"/>
  <c r="DA151" i="12"/>
  <c r="EM151" i="12"/>
  <c r="AY151" i="12"/>
  <c r="FI151" i="12"/>
  <c r="CZ151" i="12"/>
  <c r="DB151" i="12" s="1"/>
  <c r="EL151" i="12"/>
  <c r="EN151" i="12" s="1"/>
  <c r="DT151" i="12"/>
  <c r="AF151" i="12"/>
  <c r="DW151" i="12"/>
  <c r="BR151" i="12"/>
  <c r="CG151" i="12"/>
  <c r="CI151" i="12" s="1"/>
  <c r="CH151" i="12"/>
  <c r="AV151" i="12"/>
  <c r="AU151" i="12"/>
  <c r="AW151" i="12" s="1"/>
  <c r="H154" i="9" a="1"/>
  <c r="H154" i="9" s="1"/>
  <c r="G154" i="9" a="1"/>
  <c r="G154" i="9" s="1"/>
  <c r="K154" i="9" a="1"/>
  <c r="K154" i="9" s="1"/>
  <c r="J154" i="9" a="1"/>
  <c r="J154" i="9" s="1"/>
  <c r="L154" i="9" a="1"/>
  <c r="L154" i="9" s="1"/>
  <c r="N154" i="9" a="1"/>
  <c r="N154" i="9" s="1"/>
  <c r="O154" i="9" a="1"/>
  <c r="O154" i="9" s="1"/>
  <c r="D155" i="9"/>
  <c r="I154" i="9"/>
  <c r="Z153" i="9"/>
  <c r="AA153" i="9" s="1"/>
  <c r="AE153" i="9" s="1"/>
  <c r="CX153" i="9"/>
  <c r="CY153" i="9" s="1"/>
  <c r="DC153" i="9" s="1"/>
  <c r="AS153" i="9"/>
  <c r="AT153" i="9" s="1"/>
  <c r="AX153" i="9" s="1"/>
  <c r="BL153" i="9"/>
  <c r="BM153" i="9" s="1"/>
  <c r="BQ153" i="9" s="1"/>
  <c r="DQ153" i="9"/>
  <c r="DR153" i="9" s="1"/>
  <c r="DV153" i="9" s="1"/>
  <c r="FC153" i="9"/>
  <c r="FD153" i="9" s="1"/>
  <c r="FH153" i="9" s="1"/>
  <c r="CE153" i="9"/>
  <c r="CF153" i="9" s="1"/>
  <c r="CJ153" i="9" s="1"/>
  <c r="EJ153" i="9"/>
  <c r="EK153" i="9" s="1"/>
  <c r="EO153" i="9" s="1"/>
  <c r="DD151" i="9"/>
  <c r="DG151" i="9"/>
  <c r="DF151" i="9"/>
  <c r="DE151" i="9"/>
  <c r="AY151" i="9"/>
  <c r="BB151" i="9"/>
  <c r="AZ151" i="9"/>
  <c r="BA151" i="9"/>
  <c r="AJ150" i="12"/>
  <c r="ES151" i="9"/>
  <c r="EP151" i="9"/>
  <c r="ET151" i="9" s="1"/>
  <c r="ER151" i="9"/>
  <c r="EQ151" i="9"/>
  <c r="EA149" i="12"/>
  <c r="BA150" i="12"/>
  <c r="AZ150" i="12"/>
  <c r="BB150" i="12"/>
  <c r="BU151" i="9"/>
  <c r="BR151" i="9"/>
  <c r="BV151" i="9" s="1"/>
  <c r="BS151" i="9"/>
  <c r="BT151" i="9"/>
  <c r="M153" i="9"/>
  <c r="P153" i="9" s="1"/>
  <c r="Q153" i="9" s="1"/>
  <c r="DX150" i="12"/>
  <c r="DY150" i="12"/>
  <c r="DZ150" i="12"/>
  <c r="EQ150" i="12"/>
  <c r="ER150" i="12"/>
  <c r="ES150" i="12"/>
  <c r="DX151" i="9"/>
  <c r="DW151" i="9"/>
  <c r="DY151" i="9"/>
  <c r="DZ151" i="9"/>
  <c r="FL151" i="9"/>
  <c r="FK151" i="9"/>
  <c r="FJ151" i="9"/>
  <c r="FI151" i="9"/>
  <c r="FM151" i="9" s="1"/>
  <c r="ET149" i="12"/>
  <c r="BS150" i="12"/>
  <c r="BU150" i="12"/>
  <c r="BT150" i="12"/>
  <c r="FJ150" i="12"/>
  <c r="FL150" i="12"/>
  <c r="FK150" i="12"/>
  <c r="L153" i="12" a="1"/>
  <c r="L153" i="12" s="1"/>
  <c r="N153" i="12" a="1"/>
  <c r="N153" i="12" s="1"/>
  <c r="O153" i="12" a="1"/>
  <c r="O153" i="12" s="1"/>
  <c r="H153" i="12" a="1"/>
  <c r="H153" i="12" s="1"/>
  <c r="J153" i="12" a="1"/>
  <c r="J153" i="12" s="1"/>
  <c r="K153" i="12" a="1"/>
  <c r="K153" i="12" s="1"/>
  <c r="G153" i="12" a="1"/>
  <c r="G153" i="12" s="1"/>
  <c r="D154" i="12"/>
  <c r="DH150" i="12" l="1"/>
  <c r="EA151" i="9"/>
  <c r="CO151" i="9"/>
  <c r="BV150" i="12"/>
  <c r="AJ151" i="9"/>
  <c r="BC151" i="9"/>
  <c r="DH151" i="9"/>
  <c r="AV152" i="12"/>
  <c r="CZ152" i="12"/>
  <c r="DB152" i="12" s="1"/>
  <c r="DE152" i="12" s="1"/>
  <c r="DD152" i="12"/>
  <c r="CK152" i="12"/>
  <c r="DW152" i="12"/>
  <c r="AF152" i="12"/>
  <c r="DT152" i="12"/>
  <c r="EM152" i="12"/>
  <c r="BN152" i="12"/>
  <c r="BP152" i="12" s="1"/>
  <c r="BS152" i="12" s="1"/>
  <c r="FM150" i="12"/>
  <c r="BC150" i="12"/>
  <c r="BO153" i="9"/>
  <c r="CG153" i="9"/>
  <c r="CI153" i="9" s="1"/>
  <c r="FF153" i="9"/>
  <c r="AU153" i="9"/>
  <c r="AW153" i="9" s="1"/>
  <c r="FE153" i="9"/>
  <c r="FG153" i="9" s="1"/>
  <c r="AV153" i="9"/>
  <c r="BN153" i="9"/>
  <c r="BP153" i="9" s="1"/>
  <c r="CH153" i="9"/>
  <c r="AC153" i="9"/>
  <c r="AB153" i="9"/>
  <c r="AD153" i="9" s="1"/>
  <c r="EL153" i="9"/>
  <c r="EN153" i="9" s="1"/>
  <c r="DA153" i="9"/>
  <c r="CZ153" i="9"/>
  <c r="DB153" i="9" s="1"/>
  <c r="EM153" i="9"/>
  <c r="DT153" i="9"/>
  <c r="DS153" i="9"/>
  <c r="DU153" i="9" s="1"/>
  <c r="J154" i="12" a="1"/>
  <c r="J154" i="12" s="1"/>
  <c r="L154" i="12" a="1"/>
  <c r="L154" i="12" s="1"/>
  <c r="K154" i="12" a="1"/>
  <c r="K154" i="12" s="1"/>
  <c r="H154" i="12" a="1"/>
  <c r="H154" i="12" s="1"/>
  <c r="O154" i="12" a="1"/>
  <c r="O154" i="12" s="1"/>
  <c r="N154" i="12" a="1"/>
  <c r="N154" i="12" s="1"/>
  <c r="G154" i="12" a="1"/>
  <c r="G154" i="12" s="1"/>
  <c r="D155" i="12"/>
  <c r="AG151" i="12"/>
  <c r="AI151" i="12"/>
  <c r="AH151" i="12"/>
  <c r="EQ152" i="9"/>
  <c r="EP152" i="9"/>
  <c r="ES152" i="9"/>
  <c r="ER152" i="9"/>
  <c r="BS152" i="9"/>
  <c r="BR152" i="9"/>
  <c r="BV152" i="9" s="1"/>
  <c r="BU152" i="9"/>
  <c r="BT152" i="9"/>
  <c r="AU152" i="12"/>
  <c r="AW152" i="12" s="1"/>
  <c r="M153" i="12"/>
  <c r="P153" i="12" s="1"/>
  <c r="Q153" i="12" s="1"/>
  <c r="EA150" i="12"/>
  <c r="CN151" i="12"/>
  <c r="CL151" i="12"/>
  <c r="CM151" i="12"/>
  <c r="AB152" i="12"/>
  <c r="AD152" i="12" s="1"/>
  <c r="M154" i="9"/>
  <c r="P154" i="9" s="1"/>
  <c r="Q154" i="9" s="1"/>
  <c r="DA152" i="12"/>
  <c r="AC152" i="12"/>
  <c r="FJ151" i="12"/>
  <c r="FL151" i="12"/>
  <c r="FK151" i="12"/>
  <c r="DF152" i="9"/>
  <c r="DG152" i="9"/>
  <c r="DD152" i="9"/>
  <c r="DE152" i="9"/>
  <c r="DH152" i="9" s="1"/>
  <c r="BR152" i="12"/>
  <c r="DX151" i="12"/>
  <c r="DY151" i="12"/>
  <c r="DZ151" i="12"/>
  <c r="FJ152" i="9"/>
  <c r="FI152" i="9"/>
  <c r="FL152" i="9"/>
  <c r="FK152" i="9"/>
  <c r="CG152" i="12"/>
  <c r="CI152" i="12" s="1"/>
  <c r="I155" i="9"/>
  <c r="CX154" i="9"/>
  <c r="CY154" i="9" s="1"/>
  <c r="DC154" i="9" s="1"/>
  <c r="FC154" i="9"/>
  <c r="FD154" i="9" s="1"/>
  <c r="FH154" i="9" s="1"/>
  <c r="BL154" i="9"/>
  <c r="BM154" i="9" s="1"/>
  <c r="BQ154" i="9" s="1"/>
  <c r="EJ154" i="9"/>
  <c r="EK154" i="9" s="1"/>
  <c r="EO154" i="9" s="1"/>
  <c r="AS154" i="9"/>
  <c r="AT154" i="9" s="1"/>
  <c r="AX154" i="9" s="1"/>
  <c r="DQ154" i="9"/>
  <c r="DR154" i="9" s="1"/>
  <c r="DV154" i="9" s="1"/>
  <c r="Z154" i="9"/>
  <c r="AA154" i="9" s="1"/>
  <c r="AE154" i="9" s="1"/>
  <c r="CE154" i="9"/>
  <c r="CF154" i="9" s="1"/>
  <c r="CJ154" i="9" s="1"/>
  <c r="BS151" i="12"/>
  <c r="BT151" i="12"/>
  <c r="BU151" i="12"/>
  <c r="DX152" i="9"/>
  <c r="DW152" i="9"/>
  <c r="DZ152" i="9"/>
  <c r="DY152" i="9"/>
  <c r="CH152" i="12"/>
  <c r="DS152" i="12"/>
  <c r="DU152" i="12" s="1"/>
  <c r="FF152" i="12"/>
  <c r="AZ151" i="12"/>
  <c r="BA151" i="12"/>
  <c r="BB151" i="12"/>
  <c r="EQ151" i="12"/>
  <c r="ER151" i="12"/>
  <c r="ES151" i="12"/>
  <c r="CL152" i="9"/>
  <c r="CK152" i="9"/>
  <c r="CN152" i="9"/>
  <c r="CM152" i="9"/>
  <c r="EL152" i="12"/>
  <c r="EN152" i="12" s="1"/>
  <c r="AY152" i="12"/>
  <c r="FE152" i="12"/>
  <c r="FG152" i="12" s="1"/>
  <c r="ET150" i="12"/>
  <c r="O155" i="9" a="1"/>
  <c r="O155" i="9" s="1"/>
  <c r="L155" i="9" a="1"/>
  <c r="L155" i="9" s="1"/>
  <c r="J155" i="9" a="1"/>
  <c r="J155" i="9" s="1"/>
  <c r="G155" i="9" a="1"/>
  <c r="G155" i="9" s="1"/>
  <c r="H155" i="9" a="1"/>
  <c r="H155" i="9" s="1"/>
  <c r="N155" i="9" a="1"/>
  <c r="N155" i="9" s="1"/>
  <c r="D156" i="9"/>
  <c r="K155" i="9" a="1"/>
  <c r="K155" i="9" s="1"/>
  <c r="DE151" i="12"/>
  <c r="DG151" i="12"/>
  <c r="DF151" i="12"/>
  <c r="AF152" i="9"/>
  <c r="AH152" i="9"/>
  <c r="AI152" i="9"/>
  <c r="AG152" i="9"/>
  <c r="AY152" i="9"/>
  <c r="AZ152" i="9"/>
  <c r="BA152" i="9"/>
  <c r="BB152" i="9"/>
  <c r="FI152" i="12"/>
  <c r="BO152" i="12"/>
  <c r="EP152" i="12"/>
  <c r="BC152" i="9" l="1"/>
  <c r="BC153" i="9" s="1"/>
  <c r="ET152" i="9"/>
  <c r="EA152" i="9"/>
  <c r="FM152" i="9"/>
  <c r="AJ151" i="12"/>
  <c r="AJ152" i="9"/>
  <c r="CO152" i="9"/>
  <c r="DF152" i="12"/>
  <c r="DH152" i="12" s="1"/>
  <c r="DG152" i="12"/>
  <c r="BT152" i="12"/>
  <c r="BU152" i="12"/>
  <c r="BV151" i="12"/>
  <c r="BC151" i="12"/>
  <c r="FM151" i="12"/>
  <c r="ET151" i="12"/>
  <c r="EA151" i="12"/>
  <c r="M154" i="12"/>
  <c r="FF154" i="9"/>
  <c r="CG154" i="9"/>
  <c r="CI154" i="9" s="1"/>
  <c r="FE154" i="9"/>
  <c r="FG154" i="9" s="1"/>
  <c r="AU154" i="9"/>
  <c r="AW154" i="9" s="1"/>
  <c r="AV154" i="9"/>
  <c r="BN154" i="9"/>
  <c r="BP154" i="9" s="1"/>
  <c r="BO154" i="9"/>
  <c r="CH154" i="9"/>
  <c r="DA154" i="9"/>
  <c r="CZ154" i="9"/>
  <c r="DB154" i="9" s="1"/>
  <c r="EM154" i="9"/>
  <c r="EL154" i="9"/>
  <c r="EN154" i="9" s="1"/>
  <c r="AC154" i="9"/>
  <c r="AB154" i="9"/>
  <c r="AD154" i="9" s="1"/>
  <c r="DT154" i="9"/>
  <c r="DS154" i="9"/>
  <c r="DU154" i="9" s="1"/>
  <c r="BB153" i="9"/>
  <c r="BA153" i="9"/>
  <c r="AZ153" i="9"/>
  <c r="AY153" i="9"/>
  <c r="M155" i="9"/>
  <c r="L155" i="12" a="1"/>
  <c r="L155" i="12" s="1"/>
  <c r="O155" i="12" a="1"/>
  <c r="O155" i="12" s="1"/>
  <c r="N155" i="12" a="1"/>
  <c r="N155" i="12" s="1"/>
  <c r="K155" i="12" a="1"/>
  <c r="K155" i="12" s="1"/>
  <c r="H155" i="12" a="1"/>
  <c r="H155" i="12" s="1"/>
  <c r="G155" i="12" a="1"/>
  <c r="G155" i="12" s="1"/>
  <c r="J155" i="12" a="1"/>
  <c r="J155" i="12" s="1"/>
  <c r="D156" i="12"/>
  <c r="ER153" i="9"/>
  <c r="ES153" i="9"/>
  <c r="EQ153" i="9"/>
  <c r="EP153" i="9"/>
  <c r="ET153" i="9" s="1"/>
  <c r="DH151" i="12"/>
  <c r="EP153" i="12"/>
  <c r="FF153" i="12"/>
  <c r="FE153" i="12"/>
  <c r="FG153" i="12" s="1"/>
  <c r="DD153" i="12"/>
  <c r="CK153" i="12"/>
  <c r="AC153" i="12"/>
  <c r="AB153" i="12"/>
  <c r="AD153" i="12" s="1"/>
  <c r="BO153" i="12"/>
  <c r="BN153" i="12"/>
  <c r="BP153" i="12" s="1"/>
  <c r="DW153" i="12"/>
  <c r="DT153" i="12"/>
  <c r="DS153" i="12"/>
  <c r="DU153" i="12" s="1"/>
  <c r="AF153" i="12"/>
  <c r="CH153" i="12"/>
  <c r="FI153" i="12"/>
  <c r="AY153" i="12"/>
  <c r="CG153" i="12"/>
  <c r="CI153" i="12" s="1"/>
  <c r="DA153" i="12"/>
  <c r="CZ153" i="12"/>
  <c r="DB153" i="12" s="1"/>
  <c r="EM153" i="12"/>
  <c r="BR153" i="12"/>
  <c r="EL153" i="12"/>
  <c r="EN153" i="12" s="1"/>
  <c r="AV153" i="12"/>
  <c r="AU153" i="12"/>
  <c r="AW153" i="12" s="1"/>
  <c r="AI153" i="9"/>
  <c r="AH153" i="9"/>
  <c r="AF153" i="9"/>
  <c r="AJ153" i="9" s="1"/>
  <c r="AG153" i="9"/>
  <c r="CL153" i="9"/>
  <c r="CK153" i="9"/>
  <c r="CM153" i="9"/>
  <c r="CN153" i="9"/>
  <c r="DX152" i="12"/>
  <c r="DZ152" i="12"/>
  <c r="DY152" i="12"/>
  <c r="AZ152" i="12"/>
  <c r="BB152" i="12"/>
  <c r="BA152" i="12"/>
  <c r="P154" i="12"/>
  <c r="Q154" i="12" s="1"/>
  <c r="I156" i="9"/>
  <c r="CE155" i="9"/>
  <c r="CF155" i="9" s="1"/>
  <c r="CJ155" i="9" s="1"/>
  <c r="AS155" i="9"/>
  <c r="AT155" i="9" s="1"/>
  <c r="AX155" i="9" s="1"/>
  <c r="Z155" i="9"/>
  <c r="AA155" i="9" s="1"/>
  <c r="AE155" i="9" s="1"/>
  <c r="CX155" i="9"/>
  <c r="CY155" i="9" s="1"/>
  <c r="DC155" i="9" s="1"/>
  <c r="BL155" i="9"/>
  <c r="BM155" i="9" s="1"/>
  <c r="BQ155" i="9" s="1"/>
  <c r="FC155" i="9"/>
  <c r="FD155" i="9" s="1"/>
  <c r="FH155" i="9" s="1"/>
  <c r="DQ155" i="9"/>
  <c r="DR155" i="9" s="1"/>
  <c r="DV155" i="9" s="1"/>
  <c r="EJ155" i="9"/>
  <c r="EK155" i="9" s="1"/>
  <c r="EO155" i="9" s="1"/>
  <c r="AH152" i="12"/>
  <c r="AG152" i="12"/>
  <c r="AI152" i="12"/>
  <c r="DW153" i="9"/>
  <c r="DX153" i="9"/>
  <c r="DZ153" i="9"/>
  <c r="DY153" i="9"/>
  <c r="FJ152" i="12"/>
  <c r="FK152" i="12"/>
  <c r="FL152" i="12"/>
  <c r="CL152" i="12"/>
  <c r="CM152" i="12"/>
  <c r="CN152" i="12"/>
  <c r="BS153" i="9"/>
  <c r="BU153" i="9"/>
  <c r="BT153" i="9"/>
  <c r="BR153" i="9"/>
  <c r="BV153" i="9" s="1"/>
  <c r="K156" i="9" a="1"/>
  <c r="K156" i="9" s="1"/>
  <c r="L156" i="9" a="1"/>
  <c r="L156" i="9" s="1"/>
  <c r="N156" i="9" a="1"/>
  <c r="N156" i="9" s="1"/>
  <c r="O156" i="9" a="1"/>
  <c r="O156" i="9" s="1"/>
  <c r="G156" i="9" a="1"/>
  <c r="G156" i="9" s="1"/>
  <c r="J156" i="9" a="1"/>
  <c r="J156" i="9" s="1"/>
  <c r="H156" i="9" a="1"/>
  <c r="H156" i="9" s="1"/>
  <c r="D157" i="9"/>
  <c r="P155" i="9"/>
  <c r="Q155" i="9" s="1"/>
  <c r="EQ152" i="12"/>
  <c r="ES152" i="12"/>
  <c r="ER152" i="12"/>
  <c r="CO151" i="12"/>
  <c r="DD153" i="9"/>
  <c r="DE153" i="9"/>
  <c r="DG153" i="9"/>
  <c r="DF153" i="9"/>
  <c r="FK153" i="9"/>
  <c r="FL153" i="9"/>
  <c r="FI153" i="9"/>
  <c r="FJ153" i="9"/>
  <c r="DH153" i="9" l="1"/>
  <c r="CO153" i="9"/>
  <c r="BV152" i="12"/>
  <c r="FM153" i="9"/>
  <c r="EA153" i="9"/>
  <c r="M155" i="12"/>
  <c r="BC152" i="12"/>
  <c r="ET152" i="12"/>
  <c r="FM152" i="12"/>
  <c r="EA152" i="12"/>
  <c r="CO152" i="12"/>
  <c r="DE153" i="12"/>
  <c r="DF153" i="12"/>
  <c r="DG153" i="12"/>
  <c r="FJ153" i="12"/>
  <c r="FL153" i="12"/>
  <c r="FK153" i="12"/>
  <c r="DX154" i="9"/>
  <c r="DY154" i="9"/>
  <c r="DZ154" i="9"/>
  <c r="DW154" i="9"/>
  <c r="AJ152" i="12"/>
  <c r="G156" i="12" a="1"/>
  <c r="G156" i="12" s="1"/>
  <c r="J156" i="12" a="1"/>
  <c r="J156" i="12" s="1"/>
  <c r="L156" i="12" a="1"/>
  <c r="L156" i="12" s="1"/>
  <c r="O156" i="12" a="1"/>
  <c r="O156" i="12" s="1"/>
  <c r="N156" i="12" a="1"/>
  <c r="N156" i="12" s="1"/>
  <c r="H156" i="12" a="1"/>
  <c r="H156" i="12" s="1"/>
  <c r="K156" i="12" a="1"/>
  <c r="K156" i="12" s="1"/>
  <c r="D157" i="12"/>
  <c r="AH154" i="9"/>
  <c r="AG154" i="9"/>
  <c r="AI154" i="9"/>
  <c r="AF154" i="9"/>
  <c r="BU154" i="9"/>
  <c r="BR154" i="9"/>
  <c r="BV154" i="9" s="1"/>
  <c r="BS154" i="9"/>
  <c r="BT154" i="9"/>
  <c r="BN155" i="9"/>
  <c r="BP155" i="9" s="1"/>
  <c r="BO155" i="9"/>
  <c r="CG155" i="9"/>
  <c r="CI155" i="9" s="1"/>
  <c r="FF155" i="9"/>
  <c r="FE155" i="9"/>
  <c r="FG155" i="9" s="1"/>
  <c r="CH155" i="9"/>
  <c r="AU155" i="9"/>
  <c r="AW155" i="9" s="1"/>
  <c r="AV155" i="9"/>
  <c r="AB155" i="9"/>
  <c r="AD155" i="9" s="1"/>
  <c r="DA155" i="9"/>
  <c r="AC155" i="9"/>
  <c r="EM155" i="9"/>
  <c r="EL155" i="9"/>
  <c r="EN155" i="9" s="1"/>
  <c r="CZ155" i="9"/>
  <c r="DB155" i="9" s="1"/>
  <c r="DT155" i="9"/>
  <c r="DS155" i="9"/>
  <c r="DU155" i="9" s="1"/>
  <c r="CM153" i="12"/>
  <c r="CN153" i="12"/>
  <c r="CL153" i="12"/>
  <c r="BS153" i="12"/>
  <c r="BT153" i="12"/>
  <c r="BU153" i="12"/>
  <c r="DX153" i="12"/>
  <c r="DZ153" i="12"/>
  <c r="DY153" i="12"/>
  <c r="I157" i="9"/>
  <c r="Z156" i="9"/>
  <c r="AA156" i="9" s="1"/>
  <c r="AE156" i="9" s="1"/>
  <c r="EJ156" i="9"/>
  <c r="EK156" i="9" s="1"/>
  <c r="EO156" i="9" s="1"/>
  <c r="BL156" i="9"/>
  <c r="BM156" i="9" s="1"/>
  <c r="BQ156" i="9" s="1"/>
  <c r="CE156" i="9"/>
  <c r="CF156" i="9" s="1"/>
  <c r="CJ156" i="9" s="1"/>
  <c r="DQ156" i="9"/>
  <c r="DR156" i="9" s="1"/>
  <c r="DV156" i="9" s="1"/>
  <c r="CX156" i="9"/>
  <c r="CY156" i="9" s="1"/>
  <c r="DC156" i="9" s="1"/>
  <c r="FC156" i="9"/>
  <c r="FD156" i="9" s="1"/>
  <c r="FH156" i="9" s="1"/>
  <c r="AS156" i="9"/>
  <c r="AT156" i="9" s="1"/>
  <c r="AX156" i="9" s="1"/>
  <c r="AZ153" i="12"/>
  <c r="BA153" i="12"/>
  <c r="BB153" i="12"/>
  <c r="ES154" i="9"/>
  <c r="EQ154" i="9"/>
  <c r="EP154" i="9"/>
  <c r="ER154" i="9"/>
  <c r="AY154" i="9"/>
  <c r="BC154" i="9" s="1"/>
  <c r="BA154" i="9"/>
  <c r="AZ154" i="9"/>
  <c r="BB154" i="9"/>
  <c r="N157" i="9" a="1"/>
  <c r="N157" i="9" s="1"/>
  <c r="K157" i="9" a="1"/>
  <c r="K157" i="9" s="1"/>
  <c r="G157" i="9" a="1"/>
  <c r="G157" i="9" s="1"/>
  <c r="H157" i="9" a="1"/>
  <c r="H157" i="9" s="1"/>
  <c r="O157" i="9" a="1"/>
  <c r="O157" i="9" s="1"/>
  <c r="L157" i="9" a="1"/>
  <c r="L157" i="9" s="1"/>
  <c r="J157" i="9" a="1"/>
  <c r="J157" i="9" s="1"/>
  <c r="D158" i="9"/>
  <c r="M156" i="9"/>
  <c r="P156" i="9" s="1"/>
  <c r="Q156" i="9" s="1"/>
  <c r="EP154" i="12"/>
  <c r="FE154" i="12"/>
  <c r="FG154" i="12" s="1"/>
  <c r="FF154" i="12"/>
  <c r="DD154" i="12"/>
  <c r="CK154" i="12"/>
  <c r="AB154" i="12"/>
  <c r="AD154" i="12" s="1"/>
  <c r="AC154" i="12"/>
  <c r="BN154" i="12"/>
  <c r="BP154" i="12" s="1"/>
  <c r="BO154" i="12"/>
  <c r="CG154" i="12"/>
  <c r="CI154" i="12" s="1"/>
  <c r="FI154" i="12"/>
  <c r="BR154" i="12"/>
  <c r="AF154" i="12"/>
  <c r="EM154" i="12"/>
  <c r="DA154" i="12"/>
  <c r="AY154" i="12"/>
  <c r="EL154" i="12"/>
  <c r="EN154" i="12" s="1"/>
  <c r="CZ154" i="12"/>
  <c r="DB154" i="12" s="1"/>
  <c r="DT154" i="12"/>
  <c r="CH154" i="12"/>
  <c r="DW154" i="12"/>
  <c r="DS154" i="12"/>
  <c r="DU154" i="12" s="1"/>
  <c r="AU154" i="12"/>
  <c r="AW154" i="12" s="1"/>
  <c r="AV154" i="12"/>
  <c r="AG153" i="12"/>
  <c r="AH153" i="12"/>
  <c r="AI153" i="12"/>
  <c r="FL154" i="9"/>
  <c r="FK154" i="9"/>
  <c r="FI154" i="9"/>
  <c r="FM154" i="9" s="1"/>
  <c r="FJ154" i="9"/>
  <c r="EQ153" i="12"/>
  <c r="ES153" i="12"/>
  <c r="ER153" i="12"/>
  <c r="DD154" i="9"/>
  <c r="DH154" i="9" s="1"/>
  <c r="DF154" i="9"/>
  <c r="DE154" i="9"/>
  <c r="DG154" i="9"/>
  <c r="CK154" i="9"/>
  <c r="CL154" i="9"/>
  <c r="CN154" i="9"/>
  <c r="CM154" i="9"/>
  <c r="BV153" i="12"/>
  <c r="P155" i="12"/>
  <c r="Q155" i="12" s="1"/>
  <c r="ET154" i="9" l="1"/>
  <c r="EA154" i="9"/>
  <c r="CO154" i="9"/>
  <c r="AJ154" i="9"/>
  <c r="AJ153" i="12"/>
  <c r="DH153" i="12"/>
  <c r="BC153" i="12"/>
  <c r="CO153" i="12"/>
  <c r="FM153" i="12"/>
  <c r="I158" i="9"/>
  <c r="Z157" i="9"/>
  <c r="AA157" i="9" s="1"/>
  <c r="AE157" i="9" s="1"/>
  <c r="DQ157" i="9"/>
  <c r="DR157" i="9" s="1"/>
  <c r="DV157" i="9" s="1"/>
  <c r="CE157" i="9"/>
  <c r="CF157" i="9" s="1"/>
  <c r="CJ157" i="9" s="1"/>
  <c r="AS157" i="9"/>
  <c r="AT157" i="9" s="1"/>
  <c r="AX157" i="9" s="1"/>
  <c r="FC157" i="9"/>
  <c r="FD157" i="9" s="1"/>
  <c r="FH157" i="9" s="1"/>
  <c r="EJ157" i="9"/>
  <c r="EK157" i="9" s="1"/>
  <c r="EO157" i="9" s="1"/>
  <c r="BL157" i="9"/>
  <c r="BM157" i="9" s="1"/>
  <c r="BQ157" i="9" s="1"/>
  <c r="CX157" i="9"/>
  <c r="CY157" i="9" s="1"/>
  <c r="DC157" i="9" s="1"/>
  <c r="M156" i="12"/>
  <c r="CK155" i="9"/>
  <c r="CN155" i="9"/>
  <c r="CL155" i="9"/>
  <c r="CM155" i="9"/>
  <c r="ET153" i="12"/>
  <c r="EA153" i="12"/>
  <c r="AF155" i="9"/>
  <c r="AH155" i="9"/>
  <c r="AG155" i="9"/>
  <c r="AI155" i="9"/>
  <c r="BU155" i="9"/>
  <c r="BT155" i="9"/>
  <c r="BR155" i="9"/>
  <c r="BS155" i="9"/>
  <c r="DE154" i="12"/>
  <c r="DG154" i="12"/>
  <c r="DF154" i="12"/>
  <c r="CN154" i="12"/>
  <c r="CM154" i="12"/>
  <c r="CL154" i="12"/>
  <c r="FJ154" i="12"/>
  <c r="FL154" i="12"/>
  <c r="FK154" i="12"/>
  <c r="DW155" i="9"/>
  <c r="DX155" i="9"/>
  <c r="DZ155" i="9"/>
  <c r="DY155" i="9"/>
  <c r="J157" i="12" a="1"/>
  <c r="J157" i="12" s="1"/>
  <c r="N157" i="12" a="1"/>
  <c r="N157" i="12" s="1"/>
  <c r="O157" i="12" a="1"/>
  <c r="O157" i="12" s="1"/>
  <c r="H157" i="12" a="1"/>
  <c r="H157" i="12" s="1"/>
  <c r="G157" i="12" a="1"/>
  <c r="G157" i="12" s="1"/>
  <c r="L157" i="12" a="1"/>
  <c r="L157" i="12" s="1"/>
  <c r="K157" i="12" a="1"/>
  <c r="K157" i="12" s="1"/>
  <c r="D158" i="12"/>
  <c r="BA155" i="9"/>
  <c r="AY155" i="9"/>
  <c r="BC155" i="9" s="1"/>
  <c r="BB155" i="9"/>
  <c r="AZ155" i="9"/>
  <c r="EQ154" i="12"/>
  <c r="ES154" i="12"/>
  <c r="ER154" i="12"/>
  <c r="BS154" i="12"/>
  <c r="BT154" i="12"/>
  <c r="BU154" i="12"/>
  <c r="BN156" i="9"/>
  <c r="BP156" i="9" s="1"/>
  <c r="BO156" i="9"/>
  <c r="AV156" i="9"/>
  <c r="FF156" i="9"/>
  <c r="CH156" i="9"/>
  <c r="AU156" i="9"/>
  <c r="AW156" i="9" s="1"/>
  <c r="CG156" i="9"/>
  <c r="CI156" i="9" s="1"/>
  <c r="FE156" i="9"/>
  <c r="FG156" i="9" s="1"/>
  <c r="AC156" i="9"/>
  <c r="DA156" i="9"/>
  <c r="EM156" i="9"/>
  <c r="AB156" i="9"/>
  <c r="AD156" i="9" s="1"/>
  <c r="CZ156" i="9"/>
  <c r="DB156" i="9" s="1"/>
  <c r="EL156" i="9"/>
  <c r="EN156" i="9" s="1"/>
  <c r="DT156" i="9"/>
  <c r="DS156" i="9"/>
  <c r="DU156" i="9" s="1"/>
  <c r="DF155" i="9"/>
  <c r="DE155" i="9"/>
  <c r="DG155" i="9"/>
  <c r="DD155" i="9"/>
  <c r="DH155" i="9" s="1"/>
  <c r="FF155" i="12"/>
  <c r="EP155" i="12"/>
  <c r="FE155" i="12"/>
  <c r="FG155" i="12" s="1"/>
  <c r="DD155" i="12"/>
  <c r="CK155" i="12"/>
  <c r="BN155" i="12"/>
  <c r="BP155" i="12" s="1"/>
  <c r="AC155" i="12"/>
  <c r="BO155" i="12"/>
  <c r="AB155" i="12"/>
  <c r="AD155" i="12" s="1"/>
  <c r="AY155" i="12"/>
  <c r="AF155" i="12"/>
  <c r="CH155" i="12"/>
  <c r="DS155" i="12"/>
  <c r="DU155" i="12" s="1"/>
  <c r="CG155" i="12"/>
  <c r="CI155" i="12" s="1"/>
  <c r="DT155" i="12"/>
  <c r="DA155" i="12"/>
  <c r="CZ155" i="12"/>
  <c r="DB155" i="12" s="1"/>
  <c r="BR155" i="12"/>
  <c r="DW155" i="12"/>
  <c r="EM155" i="12"/>
  <c r="FI155" i="12"/>
  <c r="EL155" i="12"/>
  <c r="EN155" i="12" s="1"/>
  <c r="AU155" i="12"/>
  <c r="AW155" i="12" s="1"/>
  <c r="AV155" i="12"/>
  <c r="N158" i="9" a="1"/>
  <c r="N158" i="9" s="1"/>
  <c r="J158" i="9" a="1"/>
  <c r="J158" i="9" s="1"/>
  <c r="H158" i="9" a="1"/>
  <c r="H158" i="9" s="1"/>
  <c r="O158" i="9" a="1"/>
  <c r="O158" i="9" s="1"/>
  <c r="K158" i="9" a="1"/>
  <c r="K158" i="9" s="1"/>
  <c r="G158" i="9" a="1"/>
  <c r="G158" i="9" s="1"/>
  <c r="L158" i="9" a="1"/>
  <c r="L158" i="9" s="1"/>
  <c r="D159" i="9"/>
  <c r="M157" i="9"/>
  <c r="P157" i="9" s="1"/>
  <c r="Q157" i="9" s="1"/>
  <c r="ES155" i="9"/>
  <c r="ER155" i="9"/>
  <c r="EQ155" i="9"/>
  <c r="EP155" i="9"/>
  <c r="ET155" i="9" s="1"/>
  <c r="FI155" i="9"/>
  <c r="FJ155" i="9"/>
  <c r="FL155" i="9"/>
  <c r="FK155" i="9"/>
  <c r="P156" i="12"/>
  <c r="Q156" i="12" s="1"/>
  <c r="BA154" i="12"/>
  <c r="BB154" i="12"/>
  <c r="AZ154" i="12"/>
  <c r="DX154" i="12"/>
  <c r="DY154" i="12"/>
  <c r="DZ154" i="12"/>
  <c r="AI154" i="12"/>
  <c r="AH154" i="12"/>
  <c r="AG154" i="12"/>
  <c r="CO155" i="9" l="1"/>
  <c r="EA155" i="9"/>
  <c r="FM155" i="9"/>
  <c r="AJ155" i="9"/>
  <c r="BV155" i="9"/>
  <c r="FM154" i="12"/>
  <c r="ET154" i="12"/>
  <c r="EA154" i="12"/>
  <c r="AJ154" i="12"/>
  <c r="M158" i="9"/>
  <c r="BV154" i="12"/>
  <c r="FF157" i="9"/>
  <c r="AU157" i="9"/>
  <c r="AW157" i="9" s="1"/>
  <c r="CH157" i="9"/>
  <c r="FE157" i="9"/>
  <c r="FG157" i="9" s="1"/>
  <c r="AV157" i="9"/>
  <c r="CG157" i="9"/>
  <c r="CI157" i="9" s="1"/>
  <c r="BN157" i="9"/>
  <c r="BP157" i="9" s="1"/>
  <c r="BO157" i="9"/>
  <c r="DA157" i="9"/>
  <c r="AC157" i="9"/>
  <c r="EM157" i="9"/>
  <c r="CZ157" i="9"/>
  <c r="DB157" i="9" s="1"/>
  <c r="AB157" i="9"/>
  <c r="AD157" i="9" s="1"/>
  <c r="EL157" i="9"/>
  <c r="EN157" i="9" s="1"/>
  <c r="DT157" i="9"/>
  <c r="DS157" i="9"/>
  <c r="DU157" i="9" s="1"/>
  <c r="AG155" i="12"/>
  <c r="AI155" i="12"/>
  <c r="AH155" i="12"/>
  <c r="O158" i="12" a="1"/>
  <c r="O158" i="12" s="1"/>
  <c r="N158" i="12" a="1"/>
  <c r="N158" i="12" s="1"/>
  <c r="G158" i="12" a="1"/>
  <c r="G158" i="12" s="1"/>
  <c r="L158" i="12" a="1"/>
  <c r="L158" i="12" s="1"/>
  <c r="K158" i="12" a="1"/>
  <c r="K158" i="12" s="1"/>
  <c r="J158" i="12" a="1"/>
  <c r="J158" i="12" s="1"/>
  <c r="H158" i="12" a="1"/>
  <c r="H158" i="12" s="1"/>
  <c r="D159" i="12"/>
  <c r="AF156" i="9"/>
  <c r="AJ156" i="9" s="1"/>
  <c r="AG156" i="9"/>
  <c r="AI156" i="9"/>
  <c r="AH156" i="9"/>
  <c r="EP156" i="12"/>
  <c r="FE156" i="12"/>
  <c r="FG156" i="12" s="1"/>
  <c r="FF156" i="12"/>
  <c r="CK156" i="12"/>
  <c r="DD156" i="12"/>
  <c r="BO156" i="12"/>
  <c r="AB156" i="12"/>
  <c r="AD156" i="12" s="1"/>
  <c r="BN156" i="12"/>
  <c r="BP156" i="12" s="1"/>
  <c r="AC156" i="12"/>
  <c r="AY156" i="12"/>
  <c r="CG156" i="12"/>
  <c r="CI156" i="12" s="1"/>
  <c r="DA156" i="12"/>
  <c r="EM156" i="12"/>
  <c r="FI156" i="12"/>
  <c r="DW156" i="12"/>
  <c r="CZ156" i="12"/>
  <c r="DB156" i="12" s="1"/>
  <c r="EL156" i="12"/>
  <c r="EN156" i="12" s="1"/>
  <c r="AF156" i="12"/>
  <c r="DT156" i="12"/>
  <c r="BR156" i="12"/>
  <c r="CH156" i="12"/>
  <c r="DS156" i="12"/>
  <c r="DU156" i="12" s="1"/>
  <c r="AU156" i="12"/>
  <c r="AW156" i="12" s="1"/>
  <c r="AV156" i="12"/>
  <c r="K159" i="9" a="1"/>
  <c r="K159" i="9" s="1"/>
  <c r="H159" i="9" a="1"/>
  <c r="H159" i="9" s="1"/>
  <c r="J159" i="9" a="1"/>
  <c r="J159" i="9" s="1"/>
  <c r="L159" i="9" a="1"/>
  <c r="L159" i="9" s="1"/>
  <c r="N159" i="9" a="1"/>
  <c r="N159" i="9" s="1"/>
  <c r="O159" i="9" a="1"/>
  <c r="O159" i="9" s="1"/>
  <c r="G159" i="9" a="1"/>
  <c r="G159" i="9" s="1"/>
  <c r="D160" i="9"/>
  <c r="AZ155" i="12"/>
  <c r="BB155" i="12"/>
  <c r="BA155" i="12"/>
  <c r="DH154" i="12"/>
  <c r="DE155" i="12"/>
  <c r="DG155" i="12"/>
  <c r="DF155" i="12"/>
  <c r="EQ155" i="12"/>
  <c r="ER155" i="12"/>
  <c r="ES155" i="12"/>
  <c r="CN155" i="12"/>
  <c r="CM155" i="12"/>
  <c r="CL155" i="12"/>
  <c r="BS155" i="12"/>
  <c r="BT155" i="12"/>
  <c r="BU155" i="12"/>
  <c r="ER156" i="9"/>
  <c r="ES156" i="9"/>
  <c r="EP156" i="9"/>
  <c r="EQ156" i="9"/>
  <c r="DE156" i="9"/>
  <c r="DD156" i="9"/>
  <c r="DF156" i="9"/>
  <c r="DG156" i="9"/>
  <c r="DX155" i="12"/>
  <c r="DZ155" i="12"/>
  <c r="DY155" i="12"/>
  <c r="BT156" i="9"/>
  <c r="BR156" i="9"/>
  <c r="BS156" i="9"/>
  <c r="BU156" i="9"/>
  <c r="P158" i="9"/>
  <c r="Q158" i="9" s="1"/>
  <c r="BC154" i="12"/>
  <c r="DX156" i="9"/>
  <c r="DW156" i="9"/>
  <c r="DZ156" i="9"/>
  <c r="DY156" i="9"/>
  <c r="FI156" i="9"/>
  <c r="FM156" i="9" s="1"/>
  <c r="FJ156" i="9"/>
  <c r="FL156" i="9"/>
  <c r="FK156" i="9"/>
  <c r="FJ155" i="12"/>
  <c r="FL155" i="12"/>
  <c r="FK155" i="12"/>
  <c r="CL156" i="9"/>
  <c r="CN156" i="9"/>
  <c r="CK156" i="9"/>
  <c r="CM156" i="9"/>
  <c r="I159" i="9"/>
  <c r="DQ158" i="9"/>
  <c r="DR158" i="9" s="1"/>
  <c r="DV158" i="9" s="1"/>
  <c r="BL158" i="9"/>
  <c r="BM158" i="9" s="1"/>
  <c r="BQ158" i="9" s="1"/>
  <c r="Z158" i="9"/>
  <c r="AA158" i="9" s="1"/>
  <c r="AE158" i="9" s="1"/>
  <c r="EJ158" i="9"/>
  <c r="EK158" i="9" s="1"/>
  <c r="EO158" i="9" s="1"/>
  <c r="CE158" i="9"/>
  <c r="CF158" i="9" s="1"/>
  <c r="CJ158" i="9" s="1"/>
  <c r="CX158" i="9"/>
  <c r="CY158" i="9" s="1"/>
  <c r="DC158" i="9" s="1"/>
  <c r="FC158" i="9"/>
  <c r="FD158" i="9" s="1"/>
  <c r="FH158" i="9" s="1"/>
  <c r="AS158" i="9"/>
  <c r="AT158" i="9" s="1"/>
  <c r="AX158" i="9" s="1"/>
  <c r="AY156" i="9"/>
  <c r="AZ156" i="9"/>
  <c r="BB156" i="9"/>
  <c r="BA156" i="9"/>
  <c r="M157" i="12"/>
  <c r="P157" i="12" s="1"/>
  <c r="Q157" i="12" s="1"/>
  <c r="CO154" i="12"/>
  <c r="DH156" i="9" l="1"/>
  <c r="BV156" i="9"/>
  <c r="BC156" i="9"/>
  <c r="EA156" i="9"/>
  <c r="ET156" i="9"/>
  <c r="CO156" i="9"/>
  <c r="FM155" i="12"/>
  <c r="BC155" i="12"/>
  <c r="EA155" i="12"/>
  <c r="ET155" i="12"/>
  <c r="CO155" i="12"/>
  <c r="AJ155" i="12"/>
  <c r="DH155" i="12"/>
  <c r="BV155" i="12"/>
  <c r="AH156" i="12"/>
  <c r="AG156" i="12"/>
  <c r="AJ156" i="12" s="1"/>
  <c r="AI156" i="12"/>
  <c r="DX156" i="12"/>
  <c r="DZ156" i="12"/>
  <c r="DY156" i="12"/>
  <c r="BU157" i="9"/>
  <c r="BT157" i="9"/>
  <c r="BR157" i="9"/>
  <c r="BS157" i="9"/>
  <c r="EP157" i="9"/>
  <c r="ET157" i="9" s="1"/>
  <c r="EQ157" i="9"/>
  <c r="ES157" i="9"/>
  <c r="ER157" i="9"/>
  <c r="CK157" i="9"/>
  <c r="CN157" i="9"/>
  <c r="CM157" i="9"/>
  <c r="CL157" i="9"/>
  <c r="K160" i="9" a="1"/>
  <c r="K160" i="9" s="1"/>
  <c r="L160" i="9" a="1"/>
  <c r="L160" i="9" s="1"/>
  <c r="N160" i="9" a="1"/>
  <c r="N160" i="9" s="1"/>
  <c r="G160" i="9" a="1"/>
  <c r="G160" i="9" s="1"/>
  <c r="H160" i="9" a="1"/>
  <c r="H160" i="9" s="1"/>
  <c r="O160" i="9" a="1"/>
  <c r="O160" i="9" s="1"/>
  <c r="J160" i="9" a="1"/>
  <c r="J160" i="9" s="1"/>
  <c r="D161" i="9"/>
  <c r="DX157" i="9"/>
  <c r="DW157" i="9"/>
  <c r="DZ157" i="9"/>
  <c r="DY157" i="9"/>
  <c r="FE157" i="12"/>
  <c r="FG157" i="12" s="1"/>
  <c r="FF157" i="12"/>
  <c r="EP157" i="12"/>
  <c r="DD157" i="12"/>
  <c r="CK157" i="12"/>
  <c r="AC157" i="12"/>
  <c r="AB157" i="12"/>
  <c r="AD157" i="12" s="1"/>
  <c r="BN157" i="12"/>
  <c r="BP157" i="12" s="1"/>
  <c r="BO157" i="12"/>
  <c r="CZ157" i="12"/>
  <c r="DB157" i="12" s="1"/>
  <c r="AF157" i="12"/>
  <c r="BR157" i="12"/>
  <c r="EM157" i="12"/>
  <c r="AY157" i="12"/>
  <c r="EL157" i="12"/>
  <c r="EN157" i="12" s="1"/>
  <c r="FI157" i="12"/>
  <c r="DT157" i="12"/>
  <c r="DW157" i="12"/>
  <c r="CG157" i="12"/>
  <c r="CI157" i="12" s="1"/>
  <c r="DS157" i="12"/>
  <c r="DU157" i="12" s="1"/>
  <c r="CH157" i="12"/>
  <c r="DA157" i="12"/>
  <c r="AU157" i="12"/>
  <c r="AW157" i="12" s="1"/>
  <c r="AV157" i="12"/>
  <c r="AG157" i="9"/>
  <c r="AF157" i="9"/>
  <c r="AI157" i="9"/>
  <c r="AH157" i="9"/>
  <c r="M159" i="9"/>
  <c r="P159" i="9" s="1"/>
  <c r="Q159" i="9" s="1"/>
  <c r="CM156" i="12"/>
  <c r="CN156" i="12"/>
  <c r="CL156" i="12"/>
  <c r="L159" i="12" a="1"/>
  <c r="L159" i="12" s="1"/>
  <c r="J159" i="12" a="1"/>
  <c r="J159" i="12" s="1"/>
  <c r="O159" i="12" a="1"/>
  <c r="O159" i="12" s="1"/>
  <c r="N159" i="12" a="1"/>
  <c r="N159" i="12" s="1"/>
  <c r="G159" i="12" a="1"/>
  <c r="G159" i="12" s="1"/>
  <c r="H159" i="12" a="1"/>
  <c r="H159" i="12" s="1"/>
  <c r="D160" i="12"/>
  <c r="K159" i="12" a="1"/>
  <c r="K159" i="12" s="1"/>
  <c r="DF157" i="9"/>
  <c r="DE157" i="9"/>
  <c r="DD157" i="9"/>
  <c r="DG157" i="9"/>
  <c r="FJ157" i="9"/>
  <c r="FK157" i="9"/>
  <c r="FI157" i="9"/>
  <c r="FL157" i="9"/>
  <c r="I160" i="9"/>
  <c r="CE159" i="9"/>
  <c r="CF159" i="9" s="1"/>
  <c r="CJ159" i="9" s="1"/>
  <c r="FC159" i="9"/>
  <c r="FD159" i="9" s="1"/>
  <c r="FH159" i="9" s="1"/>
  <c r="EJ159" i="9"/>
  <c r="EK159" i="9" s="1"/>
  <c r="EO159" i="9" s="1"/>
  <c r="AS159" i="9"/>
  <c r="AT159" i="9" s="1"/>
  <c r="AX159" i="9" s="1"/>
  <c r="DQ159" i="9"/>
  <c r="DR159" i="9" s="1"/>
  <c r="DV159" i="9" s="1"/>
  <c r="BL159" i="9"/>
  <c r="BM159" i="9" s="1"/>
  <c r="BQ159" i="9" s="1"/>
  <c r="CX159" i="9"/>
  <c r="CY159" i="9" s="1"/>
  <c r="DC159" i="9" s="1"/>
  <c r="Z159" i="9"/>
  <c r="AA159" i="9" s="1"/>
  <c r="AE159" i="9" s="1"/>
  <c r="FJ156" i="12"/>
  <c r="FL156" i="12"/>
  <c r="FK156" i="12"/>
  <c r="BA156" i="12"/>
  <c r="AZ156" i="12"/>
  <c r="BB156" i="12"/>
  <c r="EQ156" i="12"/>
  <c r="ER156" i="12"/>
  <c r="ES156" i="12"/>
  <c r="M158" i="12"/>
  <c r="P158" i="12" s="1"/>
  <c r="Q158" i="12" s="1"/>
  <c r="BA157" i="9"/>
  <c r="AY157" i="9"/>
  <c r="BB157" i="9"/>
  <c r="AZ157" i="9"/>
  <c r="AU158" i="9"/>
  <c r="AW158" i="9" s="1"/>
  <c r="AV158" i="9"/>
  <c r="FF158" i="9"/>
  <c r="CH158" i="9"/>
  <c r="BN158" i="9"/>
  <c r="BP158" i="9" s="1"/>
  <c r="FE158" i="9"/>
  <c r="FG158" i="9" s="1"/>
  <c r="BO158" i="9"/>
  <c r="CG158" i="9"/>
  <c r="CI158" i="9" s="1"/>
  <c r="DA158" i="9"/>
  <c r="CZ158" i="9"/>
  <c r="DB158" i="9" s="1"/>
  <c r="AC158" i="9"/>
  <c r="EM158" i="9"/>
  <c r="AB158" i="9"/>
  <c r="AD158" i="9" s="1"/>
  <c r="EL158" i="9"/>
  <c r="EN158" i="9" s="1"/>
  <c r="DS158" i="9"/>
  <c r="DU158" i="9" s="1"/>
  <c r="DT158" i="9"/>
  <c r="DE156" i="12"/>
  <c r="DG156" i="12"/>
  <c r="DF156" i="12"/>
  <c r="BS156" i="12"/>
  <c r="BU156" i="12"/>
  <c r="BT156" i="12"/>
  <c r="DH157" i="9" l="1"/>
  <c r="BV157" i="9"/>
  <c r="AJ157" i="9"/>
  <c r="CO157" i="9"/>
  <c r="FM157" i="9"/>
  <c r="BC157" i="9"/>
  <c r="EA157" i="9"/>
  <c r="FM156" i="12"/>
  <c r="BV156" i="12"/>
  <c r="CO156" i="12"/>
  <c r="EA156" i="12"/>
  <c r="BC156" i="12"/>
  <c r="EP158" i="12"/>
  <c r="FE158" i="12"/>
  <c r="FG158" i="12" s="1"/>
  <c r="FF158" i="12"/>
  <c r="CK158" i="12"/>
  <c r="DD158" i="12"/>
  <c r="BO158" i="12"/>
  <c r="BN158" i="12"/>
  <c r="BP158" i="12" s="1"/>
  <c r="AB158" i="12"/>
  <c r="AD158" i="12" s="1"/>
  <c r="AC158" i="12"/>
  <c r="DS158" i="12"/>
  <c r="DU158" i="12" s="1"/>
  <c r="AF158" i="12"/>
  <c r="FI158" i="12"/>
  <c r="EM158" i="12"/>
  <c r="EL158" i="12"/>
  <c r="EN158" i="12" s="1"/>
  <c r="DW158" i="12"/>
  <c r="BR158" i="12"/>
  <c r="CG158" i="12"/>
  <c r="CI158" i="12" s="1"/>
  <c r="AY158" i="12"/>
  <c r="DA158" i="12"/>
  <c r="CH158" i="12"/>
  <c r="CZ158" i="12"/>
  <c r="DB158" i="12" s="1"/>
  <c r="DT158" i="12"/>
  <c r="AV158" i="12"/>
  <c r="AU158" i="12"/>
  <c r="AW158" i="12" s="1"/>
  <c r="ES158" i="9"/>
  <c r="ER158" i="9"/>
  <c r="EP158" i="9"/>
  <c r="EQ158" i="9"/>
  <c r="FL158" i="9"/>
  <c r="FK158" i="9"/>
  <c r="FI158" i="9"/>
  <c r="FJ158" i="9"/>
  <c r="BS157" i="12"/>
  <c r="BU157" i="12"/>
  <c r="BT157" i="12"/>
  <c r="FJ157" i="12"/>
  <c r="FL157" i="12"/>
  <c r="FK157" i="12"/>
  <c r="AV159" i="9"/>
  <c r="AU159" i="9"/>
  <c r="AW159" i="9" s="1"/>
  <c r="FF159" i="9"/>
  <c r="CG159" i="9"/>
  <c r="CI159" i="9" s="1"/>
  <c r="FE159" i="9"/>
  <c r="FG159" i="9" s="1"/>
  <c r="CH159" i="9"/>
  <c r="BO159" i="9"/>
  <c r="BN159" i="9"/>
  <c r="BP159" i="9" s="1"/>
  <c r="DA159" i="9"/>
  <c r="CZ159" i="9"/>
  <c r="DB159" i="9" s="1"/>
  <c r="AC159" i="9"/>
  <c r="AB159" i="9"/>
  <c r="AD159" i="9" s="1"/>
  <c r="EM159" i="9"/>
  <c r="EL159" i="9"/>
  <c r="EN159" i="9" s="1"/>
  <c r="DT159" i="9"/>
  <c r="DS159" i="9"/>
  <c r="DU159" i="9" s="1"/>
  <c r="AZ157" i="12"/>
  <c r="BB157" i="12"/>
  <c r="BA157" i="12"/>
  <c r="EQ157" i="12"/>
  <c r="ES157" i="12"/>
  <c r="ER157" i="12"/>
  <c r="AG157" i="12"/>
  <c r="AH157" i="12"/>
  <c r="AI157" i="12"/>
  <c r="AF158" i="9"/>
  <c r="AI158" i="9"/>
  <c r="AG158" i="9"/>
  <c r="AH158" i="9"/>
  <c r="DH156" i="12"/>
  <c r="DW158" i="9"/>
  <c r="DX158" i="9"/>
  <c r="DY158" i="9"/>
  <c r="DZ158" i="9"/>
  <c r="DE158" i="9"/>
  <c r="DD158" i="9"/>
  <c r="DH158" i="9" s="1"/>
  <c r="DG158" i="9"/>
  <c r="DF158" i="9"/>
  <c r="ET156" i="12"/>
  <c r="M159" i="12"/>
  <c r="P159" i="12" s="1"/>
  <c r="Q159" i="12" s="1"/>
  <c r="DX157" i="12"/>
  <c r="DZ157" i="12"/>
  <c r="DY157" i="12"/>
  <c r="L161" i="9" a="1"/>
  <c r="L161" i="9" s="1"/>
  <c r="G161" i="9" a="1"/>
  <c r="G161" i="9" s="1"/>
  <c r="J161" i="9" a="1"/>
  <c r="J161" i="9" s="1"/>
  <c r="O161" i="9" a="1"/>
  <c r="O161" i="9" s="1"/>
  <c r="K161" i="9" a="1"/>
  <c r="K161" i="9" s="1"/>
  <c r="H161" i="9" a="1"/>
  <c r="H161" i="9" s="1"/>
  <c r="N161" i="9" a="1"/>
  <c r="N161" i="9" s="1"/>
  <c r="D162" i="9"/>
  <c r="M160" i="9"/>
  <c r="P160" i="9" s="1"/>
  <c r="Q160" i="9" s="1"/>
  <c r="K160" i="12" a="1"/>
  <c r="K160" i="12" s="1"/>
  <c r="O160" i="12" a="1"/>
  <c r="O160" i="12" s="1"/>
  <c r="N160" i="12" a="1"/>
  <c r="N160" i="12" s="1"/>
  <c r="H160" i="12" a="1"/>
  <c r="H160" i="12" s="1"/>
  <c r="L160" i="12" a="1"/>
  <c r="L160" i="12" s="1"/>
  <c r="J160" i="12" a="1"/>
  <c r="J160" i="12" s="1"/>
  <c r="G160" i="12" a="1"/>
  <c r="G160" i="12" s="1"/>
  <c r="D161" i="12"/>
  <c r="BT158" i="9"/>
  <c r="BS158" i="9"/>
  <c r="BU158" i="9"/>
  <c r="BR158" i="9"/>
  <c r="I161" i="9"/>
  <c r="BL160" i="9"/>
  <c r="BM160" i="9" s="1"/>
  <c r="BQ160" i="9" s="1"/>
  <c r="Z160" i="9"/>
  <c r="AA160" i="9" s="1"/>
  <c r="AE160" i="9" s="1"/>
  <c r="DQ160" i="9"/>
  <c r="DR160" i="9" s="1"/>
  <c r="DV160" i="9" s="1"/>
  <c r="CE160" i="9"/>
  <c r="CF160" i="9" s="1"/>
  <c r="CJ160" i="9" s="1"/>
  <c r="EJ160" i="9"/>
  <c r="EK160" i="9" s="1"/>
  <c r="EO160" i="9" s="1"/>
  <c r="AS160" i="9"/>
  <c r="AT160" i="9" s="1"/>
  <c r="AX160" i="9" s="1"/>
  <c r="CX160" i="9"/>
  <c r="CY160" i="9" s="1"/>
  <c r="DC160" i="9" s="1"/>
  <c r="FC160" i="9"/>
  <c r="FD160" i="9" s="1"/>
  <c r="FH160" i="9" s="1"/>
  <c r="CN157" i="12"/>
  <c r="CM157" i="12"/>
  <c r="CL157" i="12"/>
  <c r="AZ158" i="9"/>
  <c r="BA158" i="9"/>
  <c r="AY158" i="9"/>
  <c r="BB158" i="9"/>
  <c r="CN158" i="9"/>
  <c r="CM158" i="9"/>
  <c r="CL158" i="9"/>
  <c r="CK158" i="9"/>
  <c r="CO158" i="9" s="1"/>
  <c r="EA157" i="12"/>
  <c r="DE157" i="12"/>
  <c r="DF157" i="12"/>
  <c r="DG157" i="12"/>
  <c r="BC158" i="9" l="1"/>
  <c r="BV158" i="9"/>
  <c r="BV157" i="12"/>
  <c r="ET158" i="9"/>
  <c r="FM158" i="9"/>
  <c r="AJ158" i="9"/>
  <c r="EA158" i="9"/>
  <c r="ET157" i="12"/>
  <c r="FM157" i="12"/>
  <c r="BC157" i="12"/>
  <c r="AJ157" i="12"/>
  <c r="DH157" i="12"/>
  <c r="CO157" i="12"/>
  <c r="M160" i="12"/>
  <c r="P160" i="12" s="1"/>
  <c r="Q160" i="12" s="1"/>
  <c r="EP159" i="12"/>
  <c r="FE159" i="12"/>
  <c r="FG159" i="12" s="1"/>
  <c r="FF159" i="12"/>
  <c r="DD159" i="12"/>
  <c r="CK159" i="12"/>
  <c r="AC159" i="12"/>
  <c r="AB159" i="12"/>
  <c r="AD159" i="12" s="1"/>
  <c r="BN159" i="12"/>
  <c r="BP159" i="12" s="1"/>
  <c r="BO159" i="12"/>
  <c r="DW159" i="12"/>
  <c r="AY159" i="12"/>
  <c r="DT159" i="12"/>
  <c r="BR159" i="12"/>
  <c r="DS159" i="12"/>
  <c r="DU159" i="12" s="1"/>
  <c r="AF159" i="12"/>
  <c r="FI159" i="12"/>
  <c r="EM159" i="12"/>
  <c r="CH159" i="12"/>
  <c r="EL159" i="12"/>
  <c r="EN159" i="12" s="1"/>
  <c r="CZ159" i="12"/>
  <c r="DB159" i="12" s="1"/>
  <c r="CG159" i="12"/>
  <c r="CI159" i="12" s="1"/>
  <c r="DA159" i="12"/>
  <c r="AV159" i="12"/>
  <c r="AU159" i="12"/>
  <c r="AW159" i="12" s="1"/>
  <c r="FF160" i="9"/>
  <c r="FE160" i="9"/>
  <c r="FG160" i="9" s="1"/>
  <c r="CH160" i="9"/>
  <c r="CG160" i="9"/>
  <c r="CI160" i="9" s="1"/>
  <c r="AU160" i="9"/>
  <c r="AW160" i="9" s="1"/>
  <c r="BN160" i="9"/>
  <c r="BP160" i="9" s="1"/>
  <c r="AV160" i="9"/>
  <c r="BO160" i="9"/>
  <c r="EM160" i="9"/>
  <c r="DA160" i="9"/>
  <c r="EL160" i="9"/>
  <c r="EN160" i="9" s="1"/>
  <c r="CZ160" i="9"/>
  <c r="DB160" i="9" s="1"/>
  <c r="AC160" i="9"/>
  <c r="AB160" i="9"/>
  <c r="AD160" i="9" s="1"/>
  <c r="DT160" i="9"/>
  <c r="DS160" i="9"/>
  <c r="DU160" i="9" s="1"/>
  <c r="BS158" i="12"/>
  <c r="BU158" i="12"/>
  <c r="BT158" i="12"/>
  <c r="BR159" i="9"/>
  <c r="BV159" i="9" s="1"/>
  <c r="BS159" i="9"/>
  <c r="BU159" i="9"/>
  <c r="BT159" i="9"/>
  <c r="N161" i="12" a="1"/>
  <c r="N161" i="12" s="1"/>
  <c r="J161" i="12" a="1"/>
  <c r="J161" i="12" s="1"/>
  <c r="H161" i="12" a="1"/>
  <c r="H161" i="12" s="1"/>
  <c r="G161" i="12" a="1"/>
  <c r="G161" i="12" s="1"/>
  <c r="L161" i="12" a="1"/>
  <c r="L161" i="12" s="1"/>
  <c r="K161" i="12" a="1"/>
  <c r="K161" i="12" s="1"/>
  <c r="O161" i="12" a="1"/>
  <c r="O161" i="12" s="1"/>
  <c r="D162" i="12"/>
  <c r="EP159" i="9"/>
  <c r="ET159" i="9" s="1"/>
  <c r="EQ159" i="9"/>
  <c r="ES159" i="9"/>
  <c r="ER159" i="9"/>
  <c r="EQ158" i="12"/>
  <c r="ES158" i="12"/>
  <c r="ER158" i="12"/>
  <c r="L162" i="9" a="1"/>
  <c r="L162" i="9" s="1"/>
  <c r="K162" i="9" a="1"/>
  <c r="K162" i="9" s="1"/>
  <c r="N162" i="9" a="1"/>
  <c r="N162" i="9" s="1"/>
  <c r="H162" i="9" a="1"/>
  <c r="H162" i="9" s="1"/>
  <c r="O162" i="9" a="1"/>
  <c r="O162" i="9" s="1"/>
  <c r="J162" i="9" a="1"/>
  <c r="J162" i="9" s="1"/>
  <c r="G162" i="9" a="1"/>
  <c r="G162" i="9" s="1"/>
  <c r="D163" i="9"/>
  <c r="FJ159" i="9"/>
  <c r="FK159" i="9"/>
  <c r="FI159" i="9"/>
  <c r="FL159" i="9"/>
  <c r="DE158" i="12"/>
  <c r="DG158" i="12"/>
  <c r="DF158" i="12"/>
  <c r="AG158" i="12"/>
  <c r="AH158" i="12"/>
  <c r="AI158" i="12"/>
  <c r="AH159" i="9"/>
  <c r="AI159" i="9"/>
  <c r="AG159" i="9"/>
  <c r="AF159" i="9"/>
  <c r="CL159" i="9"/>
  <c r="CK159" i="9"/>
  <c r="CM159" i="9"/>
  <c r="CN159" i="9"/>
  <c r="I162" i="9"/>
  <c r="EJ161" i="9"/>
  <c r="EK161" i="9" s="1"/>
  <c r="EO161" i="9" s="1"/>
  <c r="BL161" i="9"/>
  <c r="BM161" i="9" s="1"/>
  <c r="BQ161" i="9" s="1"/>
  <c r="AS161" i="9"/>
  <c r="AT161" i="9" s="1"/>
  <c r="AX161" i="9" s="1"/>
  <c r="FC161" i="9"/>
  <c r="FD161" i="9" s="1"/>
  <c r="FH161" i="9" s="1"/>
  <c r="Z161" i="9"/>
  <c r="AA161" i="9" s="1"/>
  <c r="AE161" i="9" s="1"/>
  <c r="CE161" i="9"/>
  <c r="CF161" i="9" s="1"/>
  <c r="CJ161" i="9" s="1"/>
  <c r="DQ161" i="9"/>
  <c r="DR161" i="9" s="1"/>
  <c r="DV161" i="9" s="1"/>
  <c r="CX161" i="9"/>
  <c r="CY161" i="9" s="1"/>
  <c r="DC161" i="9" s="1"/>
  <c r="AZ158" i="12"/>
  <c r="BB158" i="12"/>
  <c r="BA158" i="12"/>
  <c r="DG159" i="9"/>
  <c r="DD159" i="9"/>
  <c r="DF159" i="9"/>
  <c r="DE159" i="9"/>
  <c r="BB159" i="9"/>
  <c r="AY159" i="9"/>
  <c r="BA159" i="9"/>
  <c r="AZ159" i="9"/>
  <c r="DX158" i="12"/>
  <c r="DZ158" i="12"/>
  <c r="DY158" i="12"/>
  <c r="FJ158" i="12"/>
  <c r="FL158" i="12"/>
  <c r="FK158" i="12"/>
  <c r="DY159" i="9"/>
  <c r="DZ159" i="9"/>
  <c r="DX159" i="9"/>
  <c r="DW159" i="9"/>
  <c r="M161" i="9"/>
  <c r="P161" i="9" s="1"/>
  <c r="Q161" i="9" s="1"/>
  <c r="CL158" i="12"/>
  <c r="CN158" i="12"/>
  <c r="CM158" i="12"/>
  <c r="BC159" i="9" l="1"/>
  <c r="FM159" i="9"/>
  <c r="DH159" i="9"/>
  <c r="CO159" i="9"/>
  <c r="EA159" i="9"/>
  <c r="AJ159" i="9"/>
  <c r="FM158" i="12"/>
  <c r="BV158" i="12"/>
  <c r="AJ158" i="12"/>
  <c r="AV161" i="9"/>
  <c r="FE161" i="9"/>
  <c r="FG161" i="9" s="1"/>
  <c r="BN161" i="9"/>
  <c r="BP161" i="9" s="1"/>
  <c r="CH161" i="9"/>
  <c r="BO161" i="9"/>
  <c r="CG161" i="9"/>
  <c r="CI161" i="9" s="1"/>
  <c r="AU161" i="9"/>
  <c r="AW161" i="9" s="1"/>
  <c r="FF161" i="9"/>
  <c r="AB161" i="9"/>
  <c r="AD161" i="9" s="1"/>
  <c r="EL161" i="9"/>
  <c r="EN161" i="9" s="1"/>
  <c r="DA161" i="9"/>
  <c r="CZ161" i="9"/>
  <c r="DB161" i="9" s="1"/>
  <c r="EM161" i="9"/>
  <c r="AC161" i="9"/>
  <c r="DT161" i="9"/>
  <c r="DS161" i="9"/>
  <c r="DU161" i="9" s="1"/>
  <c r="BA159" i="12"/>
  <c r="BB159" i="12"/>
  <c r="AZ159" i="12"/>
  <c r="BS159" i="12"/>
  <c r="BU159" i="12"/>
  <c r="BT159" i="12"/>
  <c r="N162" i="12" a="1"/>
  <c r="N162" i="12" s="1"/>
  <c r="H162" i="12" a="1"/>
  <c r="H162" i="12" s="1"/>
  <c r="L162" i="12" a="1"/>
  <c r="L162" i="12" s="1"/>
  <c r="O162" i="12" a="1"/>
  <c r="O162" i="12" s="1"/>
  <c r="K162" i="12" a="1"/>
  <c r="K162" i="12" s="1"/>
  <c r="J162" i="12" a="1"/>
  <c r="J162" i="12" s="1"/>
  <c r="G162" i="12" a="1"/>
  <c r="G162" i="12" s="1"/>
  <c r="D163" i="12"/>
  <c r="AI159" i="12"/>
  <c r="AG159" i="12"/>
  <c r="AH159" i="12"/>
  <c r="BC158" i="12"/>
  <c r="DH158" i="12"/>
  <c r="G163" i="9" a="1"/>
  <c r="G163" i="9" s="1"/>
  <c r="H163" i="9" a="1"/>
  <c r="H163" i="9" s="1"/>
  <c r="K163" i="9" a="1"/>
  <c r="K163" i="9" s="1"/>
  <c r="O163" i="9" a="1"/>
  <c r="O163" i="9" s="1"/>
  <c r="N163" i="9" a="1"/>
  <c r="N163" i="9" s="1"/>
  <c r="J163" i="9" a="1"/>
  <c r="J163" i="9" s="1"/>
  <c r="L163" i="9" a="1"/>
  <c r="L163" i="9" s="1"/>
  <c r="D164" i="9"/>
  <c r="ET158" i="12"/>
  <c r="AF160" i="9"/>
  <c r="AH160" i="9"/>
  <c r="AI160" i="9"/>
  <c r="AG160" i="9"/>
  <c r="BR160" i="9"/>
  <c r="BT160" i="9"/>
  <c r="BS160" i="9"/>
  <c r="BU160" i="9"/>
  <c r="DX159" i="12"/>
  <c r="DZ159" i="12"/>
  <c r="DY159" i="12"/>
  <c r="M162" i="9"/>
  <c r="AY160" i="9"/>
  <c r="BC160" i="9" s="1"/>
  <c r="AZ160" i="9"/>
  <c r="BB160" i="9"/>
  <c r="BA160" i="9"/>
  <c r="CL159" i="12"/>
  <c r="CN159" i="12"/>
  <c r="CM159" i="12"/>
  <c r="CO158" i="12"/>
  <c r="I163" i="9"/>
  <c r="CE162" i="9"/>
  <c r="CF162" i="9" s="1"/>
  <c r="CJ162" i="9" s="1"/>
  <c r="CX162" i="9"/>
  <c r="CY162" i="9" s="1"/>
  <c r="DC162" i="9" s="1"/>
  <c r="EJ162" i="9"/>
  <c r="EK162" i="9" s="1"/>
  <c r="EO162" i="9" s="1"/>
  <c r="BL162" i="9"/>
  <c r="BM162" i="9" s="1"/>
  <c r="BQ162" i="9" s="1"/>
  <c r="FC162" i="9"/>
  <c r="FD162" i="9" s="1"/>
  <c r="FH162" i="9" s="1"/>
  <c r="Z162" i="9"/>
  <c r="AA162" i="9" s="1"/>
  <c r="AE162" i="9" s="1"/>
  <c r="AS162" i="9"/>
  <c r="AT162" i="9" s="1"/>
  <c r="AX162" i="9" s="1"/>
  <c r="DQ162" i="9"/>
  <c r="DR162" i="9" s="1"/>
  <c r="DV162" i="9" s="1"/>
  <c r="DE160" i="9"/>
  <c r="DG160" i="9"/>
  <c r="DD160" i="9"/>
  <c r="DH160" i="9" s="1"/>
  <c r="DF160" i="9"/>
  <c r="CK160" i="9"/>
  <c r="CO160" i="9" s="1"/>
  <c r="CL160" i="9"/>
  <c r="CN160" i="9"/>
  <c r="CM160" i="9"/>
  <c r="DE159" i="12"/>
  <c r="DG159" i="12"/>
  <c r="DF159" i="12"/>
  <c r="DY160" i="9"/>
  <c r="DZ160" i="9"/>
  <c r="DW160" i="9"/>
  <c r="DX160" i="9"/>
  <c r="EA158" i="12"/>
  <c r="ER160" i="9"/>
  <c r="EP160" i="9"/>
  <c r="ES160" i="9"/>
  <c r="EQ160" i="9"/>
  <c r="EQ159" i="12"/>
  <c r="ES159" i="12"/>
  <c r="ER159" i="12"/>
  <c r="BC159" i="12"/>
  <c r="EP160" i="12"/>
  <c r="FF160" i="12"/>
  <c r="FE160" i="12"/>
  <c r="FG160" i="12" s="1"/>
  <c r="DD160" i="12"/>
  <c r="CK160" i="12"/>
  <c r="BO160" i="12"/>
  <c r="BN160" i="12"/>
  <c r="BP160" i="12" s="1"/>
  <c r="AC160" i="12"/>
  <c r="AB160" i="12"/>
  <c r="AD160" i="12" s="1"/>
  <c r="FI160" i="12"/>
  <c r="DW160" i="12"/>
  <c r="AF160" i="12"/>
  <c r="EM160" i="12"/>
  <c r="EL160" i="12"/>
  <c r="EN160" i="12" s="1"/>
  <c r="DA160" i="12"/>
  <c r="CH160" i="12"/>
  <c r="CZ160" i="12"/>
  <c r="DB160" i="12" s="1"/>
  <c r="CG160" i="12"/>
  <c r="CI160" i="12" s="1"/>
  <c r="DT160" i="12"/>
  <c r="BR160" i="12"/>
  <c r="DS160" i="12"/>
  <c r="DU160" i="12" s="1"/>
  <c r="AY160" i="12"/>
  <c r="AU160" i="12"/>
  <c r="AW160" i="12" s="1"/>
  <c r="AV160" i="12"/>
  <c r="P162" i="9"/>
  <c r="Q162" i="9" s="1"/>
  <c r="FI160" i="9"/>
  <c r="FL160" i="9"/>
  <c r="FJ160" i="9"/>
  <c r="FK160" i="9"/>
  <c r="FJ159" i="12"/>
  <c r="FL159" i="12"/>
  <c r="FK159" i="12"/>
  <c r="M161" i="12"/>
  <c r="P161" i="12" s="1"/>
  <c r="Q161" i="12" s="1"/>
  <c r="AJ160" i="9" l="1"/>
  <c r="FM160" i="9"/>
  <c r="ET160" i="9"/>
  <c r="BV160" i="9"/>
  <c r="EA160" i="9"/>
  <c r="FM159" i="12"/>
  <c r="AJ159" i="12"/>
  <c r="BV159" i="12"/>
  <c r="DH159" i="12"/>
  <c r="EA159" i="12"/>
  <c r="M162" i="12"/>
  <c r="P162" i="12" s="1"/>
  <c r="Q162" i="12" s="1"/>
  <c r="FF161" i="12"/>
  <c r="EP161" i="12"/>
  <c r="FE161" i="12"/>
  <c r="FG161" i="12" s="1"/>
  <c r="DD161" i="12"/>
  <c r="CK161" i="12"/>
  <c r="AB161" i="12"/>
  <c r="AD161" i="12" s="1"/>
  <c r="AC161" i="12"/>
  <c r="BO161" i="12"/>
  <c r="BN161" i="12"/>
  <c r="BP161" i="12" s="1"/>
  <c r="BR161" i="12"/>
  <c r="CH161" i="12"/>
  <c r="CG161" i="12"/>
  <c r="CI161" i="12" s="1"/>
  <c r="EM161" i="12"/>
  <c r="EL161" i="12"/>
  <c r="EN161" i="12" s="1"/>
  <c r="DS161" i="12"/>
  <c r="DU161" i="12" s="1"/>
  <c r="FI161" i="12"/>
  <c r="DA161" i="12"/>
  <c r="DW161" i="12"/>
  <c r="CZ161" i="12"/>
  <c r="DB161" i="12" s="1"/>
  <c r="AF161" i="12"/>
  <c r="AY161" i="12"/>
  <c r="DT161" i="12"/>
  <c r="AU161" i="12"/>
  <c r="AW161" i="12" s="1"/>
  <c r="AV161" i="12"/>
  <c r="DW161" i="9"/>
  <c r="DZ161" i="9"/>
  <c r="DY161" i="9"/>
  <c r="DX161" i="9"/>
  <c r="FJ160" i="12"/>
  <c r="FK160" i="12"/>
  <c r="FL160" i="12"/>
  <c r="L163" i="12" a="1"/>
  <c r="L163" i="12" s="1"/>
  <c r="O163" i="12" a="1"/>
  <c r="O163" i="12" s="1"/>
  <c r="G163" i="12" a="1"/>
  <c r="G163" i="12" s="1"/>
  <c r="J163" i="12" a="1"/>
  <c r="J163" i="12" s="1"/>
  <c r="N163" i="12" a="1"/>
  <c r="N163" i="12" s="1"/>
  <c r="H163" i="12" a="1"/>
  <c r="H163" i="12" s="1"/>
  <c r="D164" i="12"/>
  <c r="K163" i="12" a="1"/>
  <c r="K163" i="12" s="1"/>
  <c r="AY161" i="9"/>
  <c r="BC161" i="9" s="1"/>
  <c r="BA161" i="9"/>
  <c r="BB161" i="9"/>
  <c r="AZ161" i="9"/>
  <c r="CO159" i="12"/>
  <c r="CK161" i="9"/>
  <c r="CM161" i="9"/>
  <c r="CL161" i="9"/>
  <c r="CN161" i="9"/>
  <c r="DE160" i="12"/>
  <c r="DG160" i="12"/>
  <c r="DF160" i="12"/>
  <c r="AG160" i="12"/>
  <c r="AH160" i="12"/>
  <c r="AI160" i="12"/>
  <c r="BO162" i="9"/>
  <c r="CG162" i="9"/>
  <c r="CI162" i="9" s="1"/>
  <c r="FF162" i="9"/>
  <c r="FE162" i="9"/>
  <c r="FG162" i="9" s="1"/>
  <c r="CH162" i="9"/>
  <c r="AU162" i="9"/>
  <c r="AW162" i="9" s="1"/>
  <c r="AV162" i="9"/>
  <c r="BN162" i="9"/>
  <c r="BP162" i="9" s="1"/>
  <c r="EL162" i="9"/>
  <c r="EN162" i="9" s="1"/>
  <c r="AB162" i="9"/>
  <c r="AD162" i="9" s="1"/>
  <c r="EM162" i="9"/>
  <c r="CZ162" i="9"/>
  <c r="DB162" i="9" s="1"/>
  <c r="AC162" i="9"/>
  <c r="DA162" i="9"/>
  <c r="DT162" i="9"/>
  <c r="DS162" i="9"/>
  <c r="DU162" i="9" s="1"/>
  <c r="L164" i="9" a="1"/>
  <c r="L164" i="9" s="1"/>
  <c r="K164" i="9" a="1"/>
  <c r="K164" i="9" s="1"/>
  <c r="J164" i="9" a="1"/>
  <c r="J164" i="9" s="1"/>
  <c r="N164" i="9" a="1"/>
  <c r="N164" i="9" s="1"/>
  <c r="H164" i="9" a="1"/>
  <c r="H164" i="9" s="1"/>
  <c r="G164" i="9" a="1"/>
  <c r="G164" i="9" s="1"/>
  <c r="O164" i="9" a="1"/>
  <c r="O164" i="9" s="1"/>
  <c r="D165" i="9"/>
  <c r="DD161" i="9"/>
  <c r="DE161" i="9"/>
  <c r="DG161" i="9"/>
  <c r="DF161" i="9"/>
  <c r="CM160" i="12"/>
  <c r="CN160" i="12"/>
  <c r="CL160" i="12"/>
  <c r="BA160" i="12"/>
  <c r="AZ160" i="12"/>
  <c r="BB160" i="12"/>
  <c r="BS160" i="12"/>
  <c r="BU160" i="12"/>
  <c r="BT160" i="12"/>
  <c r="I164" i="9"/>
  <c r="BL163" i="9"/>
  <c r="BM163" i="9" s="1"/>
  <c r="BQ163" i="9" s="1"/>
  <c r="EJ163" i="9"/>
  <c r="EK163" i="9" s="1"/>
  <c r="EO163" i="9" s="1"/>
  <c r="AS163" i="9"/>
  <c r="AT163" i="9" s="1"/>
  <c r="AX163" i="9" s="1"/>
  <c r="CX163" i="9"/>
  <c r="CY163" i="9" s="1"/>
  <c r="DC163" i="9" s="1"/>
  <c r="Z163" i="9"/>
  <c r="AA163" i="9" s="1"/>
  <c r="AE163" i="9" s="1"/>
  <c r="DQ163" i="9"/>
  <c r="DR163" i="9" s="1"/>
  <c r="DV163" i="9" s="1"/>
  <c r="FC163" i="9"/>
  <c r="FD163" i="9" s="1"/>
  <c r="FH163" i="9" s="1"/>
  <c r="CE163" i="9"/>
  <c r="CF163" i="9" s="1"/>
  <c r="CJ163" i="9" s="1"/>
  <c r="M163" i="9"/>
  <c r="P163" i="9" s="1"/>
  <c r="Q163" i="9" s="1"/>
  <c r="BR161" i="9"/>
  <c r="BU161" i="9"/>
  <c r="BS161" i="9"/>
  <c r="BT161" i="9"/>
  <c r="EQ160" i="12"/>
  <c r="ER160" i="12"/>
  <c r="ES160" i="12"/>
  <c r="EQ161" i="9"/>
  <c r="EP161" i="9"/>
  <c r="ES161" i="9"/>
  <c r="ER161" i="9"/>
  <c r="FJ161" i="9"/>
  <c r="FK161" i="9"/>
  <c r="FI161" i="9"/>
  <c r="FL161" i="9"/>
  <c r="DX160" i="12"/>
  <c r="DZ160" i="12"/>
  <c r="DY160" i="12"/>
  <c r="ET159" i="12"/>
  <c r="AF161" i="9"/>
  <c r="AI161" i="9"/>
  <c r="AH161" i="9"/>
  <c r="AG161" i="9"/>
  <c r="FM161" i="9" l="1"/>
  <c r="EA161" i="9"/>
  <c r="AJ161" i="9"/>
  <c r="DH161" i="9"/>
  <c r="ET161" i="9"/>
  <c r="BV161" i="9"/>
  <c r="CO161" i="9"/>
  <c r="AJ160" i="12"/>
  <c r="FM160" i="12"/>
  <c r="BN162" i="12"/>
  <c r="BP162" i="12" s="1"/>
  <c r="CH162" i="12"/>
  <c r="AB162" i="12"/>
  <c r="AD162" i="12" s="1"/>
  <c r="AF162" i="12"/>
  <c r="EP162" i="12"/>
  <c r="DW162" i="12"/>
  <c r="EL162" i="12"/>
  <c r="EN162" i="12" s="1"/>
  <c r="ER162" i="12" s="1"/>
  <c r="BO162" i="12"/>
  <c r="FE162" i="12"/>
  <c r="FG162" i="12" s="1"/>
  <c r="AY162" i="12"/>
  <c r="AU162" i="12"/>
  <c r="AW162" i="12" s="1"/>
  <c r="BA162" i="12" s="1"/>
  <c r="FF162" i="12"/>
  <c r="CG162" i="12"/>
  <c r="CI162" i="12" s="1"/>
  <c r="CM162" i="12" s="1"/>
  <c r="AV162" i="12"/>
  <c r="CK162" i="12"/>
  <c r="DS162" i="12"/>
  <c r="DU162" i="12" s="1"/>
  <c r="DX162" i="12" s="1"/>
  <c r="BR162" i="12"/>
  <c r="DD162" i="12"/>
  <c r="DA162" i="12"/>
  <c r="BC160" i="12"/>
  <c r="CO160" i="12"/>
  <c r="BV160" i="12"/>
  <c r="DH160" i="12"/>
  <c r="DY162" i="9"/>
  <c r="DW162" i="9"/>
  <c r="DX162" i="9"/>
  <c r="DZ162" i="9"/>
  <c r="BU162" i="9"/>
  <c r="BT162" i="9"/>
  <c r="BR162" i="9"/>
  <c r="BS162" i="9"/>
  <c r="AZ162" i="12"/>
  <c r="BS162" i="12"/>
  <c r="BU162" i="12"/>
  <c r="BT162" i="12"/>
  <c r="BA161" i="12"/>
  <c r="AZ161" i="12"/>
  <c r="BB161" i="12"/>
  <c r="DX161" i="12"/>
  <c r="DY161" i="12"/>
  <c r="DZ161" i="12"/>
  <c r="J165" i="9" a="1"/>
  <c r="J165" i="9" s="1"/>
  <c r="O165" i="9" a="1"/>
  <c r="O165" i="9" s="1"/>
  <c r="G165" i="9" a="1"/>
  <c r="G165" i="9" s="1"/>
  <c r="L165" i="9" a="1"/>
  <c r="L165" i="9" s="1"/>
  <c r="K165" i="9" a="1"/>
  <c r="K165" i="9" s="1"/>
  <c r="N165" i="9" a="1"/>
  <c r="N165" i="9" s="1"/>
  <c r="H165" i="9" a="1"/>
  <c r="H165" i="9" s="1"/>
  <c r="D166" i="9"/>
  <c r="G164" i="12" a="1"/>
  <c r="G164" i="12" s="1"/>
  <c r="K164" i="12" a="1"/>
  <c r="K164" i="12" s="1"/>
  <c r="L164" i="12" a="1"/>
  <c r="L164" i="12" s="1"/>
  <c r="J164" i="12" a="1"/>
  <c r="J164" i="12" s="1"/>
  <c r="O164" i="12" a="1"/>
  <c r="O164" i="12" s="1"/>
  <c r="N164" i="12" a="1"/>
  <c r="N164" i="12" s="1"/>
  <c r="H164" i="12" a="1"/>
  <c r="H164" i="12" s="1"/>
  <c r="D165" i="12"/>
  <c r="FI162" i="12"/>
  <c r="EQ161" i="12"/>
  <c r="ES161" i="12"/>
  <c r="ER161" i="12"/>
  <c r="AH161" i="12"/>
  <c r="AG161" i="12"/>
  <c r="AI161" i="12"/>
  <c r="ER162" i="9"/>
  <c r="ES162" i="9"/>
  <c r="EQ162" i="9"/>
  <c r="EP162" i="9"/>
  <c r="AG162" i="12"/>
  <c r="AH162" i="12"/>
  <c r="AI162" i="12"/>
  <c r="AZ162" i="9"/>
  <c r="BB162" i="9"/>
  <c r="AY162" i="9"/>
  <c r="BC162" i="9" s="1"/>
  <c r="BA162" i="9"/>
  <c r="DT162" i="12"/>
  <c r="I165" i="9"/>
  <c r="DQ164" i="9"/>
  <c r="DR164" i="9" s="1"/>
  <c r="DV164" i="9" s="1"/>
  <c r="BL164" i="9"/>
  <c r="BM164" i="9" s="1"/>
  <c r="BQ164" i="9" s="1"/>
  <c r="Z164" i="9"/>
  <c r="AA164" i="9" s="1"/>
  <c r="AE164" i="9" s="1"/>
  <c r="CE164" i="9"/>
  <c r="CF164" i="9" s="1"/>
  <c r="CJ164" i="9" s="1"/>
  <c r="AS164" i="9"/>
  <c r="AT164" i="9" s="1"/>
  <c r="AX164" i="9" s="1"/>
  <c r="CX164" i="9"/>
  <c r="CY164" i="9" s="1"/>
  <c r="DC164" i="9" s="1"/>
  <c r="EJ164" i="9"/>
  <c r="EK164" i="9" s="1"/>
  <c r="EO164" i="9" s="1"/>
  <c r="FC164" i="9"/>
  <c r="FD164" i="9" s="1"/>
  <c r="FH164" i="9" s="1"/>
  <c r="CL161" i="12"/>
  <c r="CN161" i="12"/>
  <c r="CM161" i="12"/>
  <c r="DG162" i="9"/>
  <c r="DF162" i="9"/>
  <c r="DE162" i="9"/>
  <c r="DD162" i="9"/>
  <c r="FJ162" i="9"/>
  <c r="FI162" i="9"/>
  <c r="FK162" i="9"/>
  <c r="FL162" i="9"/>
  <c r="M163" i="12"/>
  <c r="P163" i="12" s="1"/>
  <c r="Q163" i="12" s="1"/>
  <c r="DE161" i="12"/>
  <c r="DF161" i="12"/>
  <c r="DG161" i="12"/>
  <c r="FJ161" i="12"/>
  <c r="FL161" i="12"/>
  <c r="FK161" i="12"/>
  <c r="BV162" i="12"/>
  <c r="ET160" i="12"/>
  <c r="EA160" i="12"/>
  <c r="M164" i="9"/>
  <c r="P164" i="9" s="1"/>
  <c r="Q164" i="9" s="1"/>
  <c r="EM162" i="12"/>
  <c r="FJ162" i="12"/>
  <c r="FL162" i="12"/>
  <c r="FK162" i="12"/>
  <c r="BN163" i="9"/>
  <c r="BP163" i="9" s="1"/>
  <c r="AU163" i="9"/>
  <c r="AW163" i="9" s="1"/>
  <c r="CH163" i="9"/>
  <c r="BO163" i="9"/>
  <c r="AV163" i="9"/>
  <c r="CG163" i="9"/>
  <c r="CI163" i="9" s="1"/>
  <c r="FE163" i="9"/>
  <c r="FG163" i="9" s="1"/>
  <c r="FF163" i="9"/>
  <c r="EM163" i="9"/>
  <c r="CZ163" i="9"/>
  <c r="DB163" i="9" s="1"/>
  <c r="DA163" i="9"/>
  <c r="AB163" i="9"/>
  <c r="AD163" i="9" s="1"/>
  <c r="EL163" i="9"/>
  <c r="EN163" i="9" s="1"/>
  <c r="AC163" i="9"/>
  <c r="DT163" i="9"/>
  <c r="DS163" i="9"/>
  <c r="DU163" i="9" s="1"/>
  <c r="AG162" i="9"/>
  <c r="AI162" i="9"/>
  <c r="AH162" i="9"/>
  <c r="AF162" i="9"/>
  <c r="AJ162" i="9" s="1"/>
  <c r="CN162" i="9"/>
  <c r="CM162" i="9"/>
  <c r="CK162" i="9"/>
  <c r="CL162" i="9"/>
  <c r="CZ162" i="12"/>
  <c r="DB162" i="12" s="1"/>
  <c r="AC162" i="12"/>
  <c r="BS161" i="12"/>
  <c r="BU161" i="12"/>
  <c r="BT161" i="12"/>
  <c r="CN162" i="12" l="1"/>
  <c r="CL162" i="12"/>
  <c r="BV162" i="9"/>
  <c r="ET162" i="9"/>
  <c r="CO162" i="9"/>
  <c r="FM162" i="9"/>
  <c r="EA162" i="9"/>
  <c r="DH162" i="9"/>
  <c r="M164" i="12"/>
  <c r="P164" i="12" s="1"/>
  <c r="Q164" i="12" s="1"/>
  <c r="AJ162" i="12"/>
  <c r="CO161" i="12"/>
  <c r="ES162" i="12"/>
  <c r="FM161" i="12"/>
  <c r="EQ162" i="12"/>
  <c r="BB162" i="12"/>
  <c r="BC162" i="12" s="1"/>
  <c r="AJ161" i="12"/>
  <c r="DZ162" i="12"/>
  <c r="BC161" i="12"/>
  <c r="BV161" i="12"/>
  <c r="DY162" i="12"/>
  <c r="M165" i="9"/>
  <c r="P165" i="9" s="1"/>
  <c r="Q165" i="9" s="1"/>
  <c r="ET161" i="12"/>
  <c r="CK163" i="9"/>
  <c r="CM163" i="9"/>
  <c r="CL163" i="9"/>
  <c r="CN163" i="9"/>
  <c r="AG163" i="9"/>
  <c r="AI163" i="9"/>
  <c r="AH163" i="9"/>
  <c r="AF163" i="9"/>
  <c r="AJ163" i="9" s="1"/>
  <c r="FM162" i="12"/>
  <c r="ER163" i="9"/>
  <c r="EQ163" i="9"/>
  <c r="ES163" i="9"/>
  <c r="EP163" i="9"/>
  <c r="DH161" i="12"/>
  <c r="O165" i="12" a="1"/>
  <c r="O165" i="12" s="1"/>
  <c r="J165" i="12" a="1"/>
  <c r="J165" i="12" s="1"/>
  <c r="L165" i="12" a="1"/>
  <c r="L165" i="12" s="1"/>
  <c r="N165" i="12" a="1"/>
  <c r="N165" i="12" s="1"/>
  <c r="K165" i="12" a="1"/>
  <c r="K165" i="12" s="1"/>
  <c r="H165" i="12" a="1"/>
  <c r="H165" i="12" s="1"/>
  <c r="G165" i="12" a="1"/>
  <c r="G165" i="12" s="1"/>
  <c r="D166" i="12"/>
  <c r="L166" i="9" a="1"/>
  <c r="L166" i="9" s="1"/>
  <c r="O166" i="9" a="1"/>
  <c r="O166" i="9" s="1"/>
  <c r="H166" i="9" a="1"/>
  <c r="H166" i="9" s="1"/>
  <c r="J166" i="9" a="1"/>
  <c r="J166" i="9" s="1"/>
  <c r="K166" i="9" a="1"/>
  <c r="K166" i="9" s="1"/>
  <c r="G166" i="9" a="1"/>
  <c r="G166" i="9" s="1"/>
  <c r="N166" i="9" a="1"/>
  <c r="N166" i="9" s="1"/>
  <c r="D167" i="9"/>
  <c r="EA161" i="12"/>
  <c r="DF163" i="9"/>
  <c r="DD163" i="9"/>
  <c r="DG163" i="9"/>
  <c r="DE163" i="9"/>
  <c r="AY163" i="9"/>
  <c r="BA163" i="9"/>
  <c r="AZ163" i="9"/>
  <c r="BB163" i="9"/>
  <c r="BC163" i="9" s="1"/>
  <c r="FK163" i="9"/>
  <c r="FL163" i="9"/>
  <c r="FI163" i="9"/>
  <c r="FM163" i="9" s="1"/>
  <c r="FJ163" i="9"/>
  <c r="DE162" i="12"/>
  <c r="DG162" i="12"/>
  <c r="DF162" i="12"/>
  <c r="BT163" i="9"/>
  <c r="BR163" i="9"/>
  <c r="BS163" i="9"/>
  <c r="BU163" i="9"/>
  <c r="FE163" i="12"/>
  <c r="FG163" i="12" s="1"/>
  <c r="EP163" i="12"/>
  <c r="FF163" i="12"/>
  <c r="DD163" i="12"/>
  <c r="CK163" i="12"/>
  <c r="AC163" i="12"/>
  <c r="BO163" i="12"/>
  <c r="AB163" i="12"/>
  <c r="AD163" i="12" s="1"/>
  <c r="BN163" i="12"/>
  <c r="BP163" i="12" s="1"/>
  <c r="DW163" i="12"/>
  <c r="CZ163" i="12"/>
  <c r="DB163" i="12" s="1"/>
  <c r="EL163" i="12"/>
  <c r="EN163" i="12" s="1"/>
  <c r="DS163" i="12"/>
  <c r="DU163" i="12" s="1"/>
  <c r="CH163" i="12"/>
  <c r="BR163" i="12"/>
  <c r="AF163" i="12"/>
  <c r="EM163" i="12"/>
  <c r="CG163" i="12"/>
  <c r="CI163" i="12" s="1"/>
  <c r="AY163" i="12"/>
  <c r="FI163" i="12"/>
  <c r="DA163" i="12"/>
  <c r="DT163" i="12"/>
  <c r="AV163" i="12"/>
  <c r="AU163" i="12"/>
  <c r="AW163" i="12" s="1"/>
  <c r="CO162" i="12"/>
  <c r="I166" i="9"/>
  <c r="AS165" i="9"/>
  <c r="AT165" i="9" s="1"/>
  <c r="AX165" i="9" s="1"/>
  <c r="BL165" i="9"/>
  <c r="BM165" i="9" s="1"/>
  <c r="BQ165" i="9" s="1"/>
  <c r="CE165" i="9"/>
  <c r="CF165" i="9" s="1"/>
  <c r="CJ165" i="9" s="1"/>
  <c r="EJ165" i="9"/>
  <c r="EK165" i="9" s="1"/>
  <c r="EO165" i="9" s="1"/>
  <c r="DQ165" i="9"/>
  <c r="DR165" i="9" s="1"/>
  <c r="DV165" i="9" s="1"/>
  <c r="FC165" i="9"/>
  <c r="FD165" i="9" s="1"/>
  <c r="FH165" i="9" s="1"/>
  <c r="CX165" i="9"/>
  <c r="CY165" i="9" s="1"/>
  <c r="DC165" i="9" s="1"/>
  <c r="Z165" i="9"/>
  <c r="AA165" i="9" s="1"/>
  <c r="AE165" i="9" s="1"/>
  <c r="DZ163" i="9"/>
  <c r="DW163" i="9"/>
  <c r="EA163" i="9" s="1"/>
  <c r="DY163" i="9"/>
  <c r="DX163" i="9"/>
  <c r="AU164" i="9"/>
  <c r="AW164" i="9" s="1"/>
  <c r="FF164" i="9"/>
  <c r="CG164" i="9"/>
  <c r="CI164" i="9" s="1"/>
  <c r="BN164" i="9"/>
  <c r="BP164" i="9" s="1"/>
  <c r="AV164" i="9"/>
  <c r="FE164" i="9"/>
  <c r="FG164" i="9" s="1"/>
  <c r="BO164" i="9"/>
  <c r="CH164" i="9"/>
  <c r="EM164" i="9"/>
  <c r="DA164" i="9"/>
  <c r="AB164" i="9"/>
  <c r="AD164" i="9" s="1"/>
  <c r="CZ164" i="9"/>
  <c r="DB164" i="9" s="1"/>
  <c r="EL164" i="9"/>
  <c r="EN164" i="9" s="1"/>
  <c r="AC164" i="9"/>
  <c r="DS164" i="9"/>
  <c r="DU164" i="9" s="1"/>
  <c r="DT164" i="9"/>
  <c r="ET162" i="12" l="1"/>
  <c r="DT164" i="12"/>
  <c r="CK164" i="12"/>
  <c r="DA164" i="12"/>
  <c r="DW164" i="12"/>
  <c r="EP164" i="12"/>
  <c r="EM164" i="12"/>
  <c r="BN164" i="12"/>
  <c r="BP164" i="12" s="1"/>
  <c r="BS164" i="12" s="1"/>
  <c r="FE164" i="12"/>
  <c r="FG164" i="12" s="1"/>
  <c r="FJ164" i="12" s="1"/>
  <c r="AU164" i="12"/>
  <c r="AW164" i="12" s="1"/>
  <c r="AF164" i="12"/>
  <c r="AC164" i="12"/>
  <c r="DD164" i="12"/>
  <c r="BR164" i="12"/>
  <c r="DH163" i="9"/>
  <c r="BV163" i="9"/>
  <c r="CO163" i="9"/>
  <c r="CO164" i="9" s="1"/>
  <c r="ET163" i="9"/>
  <c r="AU165" i="9"/>
  <c r="AW165" i="9" s="1"/>
  <c r="BA165" i="9" s="1"/>
  <c r="AV165" i="9"/>
  <c r="DH162" i="12"/>
  <c r="M165" i="12"/>
  <c r="P165" i="12" s="1"/>
  <c r="Q165" i="12" s="1"/>
  <c r="AC165" i="9"/>
  <c r="EL165" i="9"/>
  <c r="EN165" i="9" s="1"/>
  <c r="EQ165" i="9" s="1"/>
  <c r="CG165" i="9"/>
  <c r="CI165" i="9" s="1"/>
  <c r="CN165" i="9" s="1"/>
  <c r="EA162" i="12"/>
  <c r="AZ164" i="12"/>
  <c r="BB164" i="12"/>
  <c r="BA164" i="12"/>
  <c r="DX164" i="9"/>
  <c r="DW164" i="9"/>
  <c r="EA164" i="9" s="1"/>
  <c r="DZ164" i="9"/>
  <c r="DY164" i="9"/>
  <c r="FL164" i="9"/>
  <c r="FK164" i="9"/>
  <c r="FJ164" i="9"/>
  <c r="FI164" i="9"/>
  <c r="FM164" i="9" s="1"/>
  <c r="DX163" i="12"/>
  <c r="DY163" i="12"/>
  <c r="DZ163" i="12"/>
  <c r="DT165" i="9"/>
  <c r="O166" i="12" a="1"/>
  <c r="O166" i="12" s="1"/>
  <c r="G166" i="12" a="1"/>
  <c r="G166" i="12" s="1"/>
  <c r="L166" i="12" a="1"/>
  <c r="L166" i="12" s="1"/>
  <c r="K166" i="12" a="1"/>
  <c r="K166" i="12" s="1"/>
  <c r="N166" i="12" a="1"/>
  <c r="N166" i="12" s="1"/>
  <c r="J166" i="12" a="1"/>
  <c r="J166" i="12" s="1"/>
  <c r="H166" i="12" a="1"/>
  <c r="H166" i="12" s="1"/>
  <c r="D167" i="12"/>
  <c r="FF164" i="12"/>
  <c r="EQ163" i="12"/>
  <c r="ER163" i="12"/>
  <c r="ES163" i="12"/>
  <c r="DS165" i="9"/>
  <c r="DU165" i="9" s="1"/>
  <c r="FE165" i="9"/>
  <c r="FG165" i="9" s="1"/>
  <c r="H167" i="9" a="1"/>
  <c r="H167" i="9" s="1"/>
  <c r="N167" i="9" a="1"/>
  <c r="N167" i="9" s="1"/>
  <c r="K167" i="9" a="1"/>
  <c r="K167" i="9" s="1"/>
  <c r="O167" i="9" a="1"/>
  <c r="O167" i="9" s="1"/>
  <c r="G167" i="9" a="1"/>
  <c r="G167" i="9" s="1"/>
  <c r="L167" i="9" a="1"/>
  <c r="L167" i="9" s="1"/>
  <c r="J167" i="9" a="1"/>
  <c r="J167" i="9" s="1"/>
  <c r="D168" i="9"/>
  <c r="DE164" i="9"/>
  <c r="DF164" i="9"/>
  <c r="DD164" i="9"/>
  <c r="DG164" i="9"/>
  <c r="BU164" i="9"/>
  <c r="BR164" i="9"/>
  <c r="BT164" i="9"/>
  <c r="BS164" i="9"/>
  <c r="I167" i="9"/>
  <c r="Z166" i="9"/>
  <c r="AA166" i="9" s="1"/>
  <c r="AE166" i="9" s="1"/>
  <c r="FC166" i="9"/>
  <c r="FD166" i="9" s="1"/>
  <c r="FH166" i="9" s="1"/>
  <c r="BL166" i="9"/>
  <c r="BM166" i="9" s="1"/>
  <c r="BQ166" i="9" s="1"/>
  <c r="AS166" i="9"/>
  <c r="AT166" i="9" s="1"/>
  <c r="AX166" i="9" s="1"/>
  <c r="CE166" i="9"/>
  <c r="CF166" i="9" s="1"/>
  <c r="CJ166" i="9" s="1"/>
  <c r="DQ166" i="9"/>
  <c r="DR166" i="9" s="1"/>
  <c r="DV166" i="9" s="1"/>
  <c r="EJ166" i="9"/>
  <c r="EK166" i="9" s="1"/>
  <c r="EO166" i="9" s="1"/>
  <c r="CX166" i="9"/>
  <c r="CY166" i="9" s="1"/>
  <c r="DC166" i="9" s="1"/>
  <c r="DE163" i="12"/>
  <c r="DG163" i="12"/>
  <c r="DF163" i="12"/>
  <c r="FF165" i="9"/>
  <c r="AY164" i="12"/>
  <c r="BO164" i="12"/>
  <c r="EP164" i="9"/>
  <c r="ER164" i="9"/>
  <c r="EQ164" i="9"/>
  <c r="ES164" i="9"/>
  <c r="AI164" i="9"/>
  <c r="AH164" i="9"/>
  <c r="AF164" i="9"/>
  <c r="AG164" i="9"/>
  <c r="CK164" i="9"/>
  <c r="CL164" i="9"/>
  <c r="CN164" i="9"/>
  <c r="CM164" i="9"/>
  <c r="CN163" i="12"/>
  <c r="CL163" i="12"/>
  <c r="CM163" i="12"/>
  <c r="EM165" i="9"/>
  <c r="AV164" i="12"/>
  <c r="CG164" i="12"/>
  <c r="CI164" i="12" s="1"/>
  <c r="BS163" i="12"/>
  <c r="BT163" i="12"/>
  <c r="BU163" i="12"/>
  <c r="FJ163" i="12"/>
  <c r="FL163" i="12"/>
  <c r="FK163" i="12"/>
  <c r="CZ165" i="9"/>
  <c r="DB165" i="9" s="1"/>
  <c r="BO165" i="9"/>
  <c r="M166" i="9"/>
  <c r="P166" i="9" s="1"/>
  <c r="Q166" i="9" s="1"/>
  <c r="DS164" i="12"/>
  <c r="DU164" i="12" s="1"/>
  <c r="AZ164" i="9"/>
  <c r="AY164" i="9"/>
  <c r="BB164" i="9"/>
  <c r="BA164" i="9"/>
  <c r="AG163" i="12"/>
  <c r="AH163" i="12"/>
  <c r="AI163" i="12"/>
  <c r="AB165" i="9"/>
  <c r="AD165" i="9" s="1"/>
  <c r="CH165" i="9"/>
  <c r="EL164" i="12"/>
  <c r="EN164" i="12" s="1"/>
  <c r="FI164" i="12"/>
  <c r="AB164" i="12"/>
  <c r="AD164" i="12" s="1"/>
  <c r="BB163" i="12"/>
  <c r="BA163" i="12"/>
  <c r="AZ163" i="12"/>
  <c r="DA165" i="9"/>
  <c r="BN165" i="9"/>
  <c r="BP165" i="9" s="1"/>
  <c r="CZ164" i="12"/>
  <c r="DB164" i="12" s="1"/>
  <c r="CH164" i="12"/>
  <c r="DH164" i="9" l="1"/>
  <c r="BB165" i="9"/>
  <c r="FK164" i="12"/>
  <c r="FL164" i="12"/>
  <c r="BT164" i="12"/>
  <c r="BU164" i="12"/>
  <c r="BV164" i="9"/>
  <c r="AJ164" i="9"/>
  <c r="BC164" i="9"/>
  <c r="ET164" i="9"/>
  <c r="BV163" i="12"/>
  <c r="AY165" i="9"/>
  <c r="AZ165" i="9"/>
  <c r="EA163" i="12"/>
  <c r="FM163" i="12"/>
  <c r="EP165" i="9"/>
  <c r="CL165" i="9"/>
  <c r="AJ163" i="12"/>
  <c r="CK165" i="9"/>
  <c r="CO165" i="9" s="1"/>
  <c r="ER165" i="9"/>
  <c r="ES165" i="9"/>
  <c r="CO163" i="12"/>
  <c r="ET163" i="12"/>
  <c r="FM164" i="12"/>
  <c r="CM165" i="9"/>
  <c r="BC163" i="12"/>
  <c r="DH163" i="12"/>
  <c r="M167" i="9"/>
  <c r="P167" i="9" s="1"/>
  <c r="Q167" i="9" s="1"/>
  <c r="DX164" i="12"/>
  <c r="DZ164" i="12"/>
  <c r="DY164" i="12"/>
  <c r="BC164" i="12"/>
  <c r="EP165" i="12"/>
  <c r="FE165" i="12"/>
  <c r="FG165" i="12" s="1"/>
  <c r="FF165" i="12"/>
  <c r="DD165" i="12"/>
  <c r="CK165" i="12"/>
  <c r="AB165" i="12"/>
  <c r="AD165" i="12" s="1"/>
  <c r="BN165" i="12"/>
  <c r="BP165" i="12" s="1"/>
  <c r="AC165" i="12"/>
  <c r="BO165" i="12"/>
  <c r="CH165" i="12"/>
  <c r="BR165" i="12"/>
  <c r="CZ165" i="12"/>
  <c r="DB165" i="12" s="1"/>
  <c r="CG165" i="12"/>
  <c r="CI165" i="12" s="1"/>
  <c r="EM165" i="12"/>
  <c r="DW165" i="12"/>
  <c r="EL165" i="12"/>
  <c r="EN165" i="12" s="1"/>
  <c r="DS165" i="12"/>
  <c r="DU165" i="12" s="1"/>
  <c r="AF165" i="12"/>
  <c r="FI165" i="12"/>
  <c r="DA165" i="12"/>
  <c r="DT165" i="12"/>
  <c r="AY165" i="12"/>
  <c r="AU165" i="12"/>
  <c r="AW165" i="12" s="1"/>
  <c r="AV165" i="12"/>
  <c r="CH166" i="9"/>
  <c r="BN166" i="9"/>
  <c r="BP166" i="9" s="1"/>
  <c r="CG166" i="9"/>
  <c r="CI166" i="9" s="1"/>
  <c r="FE166" i="9"/>
  <c r="FG166" i="9" s="1"/>
  <c r="AU166" i="9"/>
  <c r="AW166" i="9" s="1"/>
  <c r="FF166" i="9"/>
  <c r="BO166" i="9"/>
  <c r="AV166" i="9"/>
  <c r="AC166" i="9"/>
  <c r="EL166" i="9"/>
  <c r="EN166" i="9" s="1"/>
  <c r="AB166" i="9"/>
  <c r="AD166" i="9" s="1"/>
  <c r="CZ166" i="9"/>
  <c r="DB166" i="9" s="1"/>
  <c r="DA166" i="9"/>
  <c r="EM166" i="9"/>
  <c r="DT166" i="9"/>
  <c r="DS166" i="9"/>
  <c r="DU166" i="9" s="1"/>
  <c r="K168" i="9" a="1"/>
  <c r="K168" i="9" s="1"/>
  <c r="G168" i="9" a="1"/>
  <c r="G168" i="9" s="1"/>
  <c r="N168" i="9" a="1"/>
  <c r="N168" i="9" s="1"/>
  <c r="J168" i="9" a="1"/>
  <c r="J168" i="9" s="1"/>
  <c r="H168" i="9" a="1"/>
  <c r="H168" i="9" s="1"/>
  <c r="O168" i="9" a="1"/>
  <c r="O168" i="9" s="1"/>
  <c r="L168" i="9" a="1"/>
  <c r="L168" i="9" s="1"/>
  <c r="D169" i="9"/>
  <c r="CM164" i="12"/>
  <c r="CN164" i="12"/>
  <c r="CL164" i="12"/>
  <c r="DD165" i="9"/>
  <c r="DH165" i="9" s="1"/>
  <c r="DE165" i="9"/>
  <c r="DG165" i="9"/>
  <c r="DF165" i="9"/>
  <c r="L167" i="12" a="1"/>
  <c r="L167" i="12" s="1"/>
  <c r="J167" i="12" a="1"/>
  <c r="J167" i="12" s="1"/>
  <c r="O167" i="12" a="1"/>
  <c r="O167" i="12" s="1"/>
  <c r="G167" i="12" a="1"/>
  <c r="G167" i="12" s="1"/>
  <c r="N167" i="12" a="1"/>
  <c r="N167" i="12" s="1"/>
  <c r="K167" i="12" a="1"/>
  <c r="K167" i="12" s="1"/>
  <c r="H167" i="12" a="1"/>
  <c r="H167" i="12" s="1"/>
  <c r="D168" i="12"/>
  <c r="AI165" i="9"/>
  <c r="AF165" i="9"/>
  <c r="AG165" i="9"/>
  <c r="AH165" i="9"/>
  <c r="DX165" i="9"/>
  <c r="DW165" i="9"/>
  <c r="DZ165" i="9"/>
  <c r="DY165" i="9"/>
  <c r="DE164" i="12"/>
  <c r="DG164" i="12"/>
  <c r="DF164" i="12"/>
  <c r="EQ164" i="12"/>
  <c r="ES164" i="12"/>
  <c r="ER164" i="12"/>
  <c r="I168" i="9"/>
  <c r="AS167" i="9"/>
  <c r="AT167" i="9" s="1"/>
  <c r="AX167" i="9" s="1"/>
  <c r="BL167" i="9"/>
  <c r="BM167" i="9" s="1"/>
  <c r="BQ167" i="9" s="1"/>
  <c r="Z167" i="9"/>
  <c r="AA167" i="9" s="1"/>
  <c r="AE167" i="9" s="1"/>
  <c r="EJ167" i="9"/>
  <c r="EK167" i="9" s="1"/>
  <c r="EO167" i="9" s="1"/>
  <c r="CX167" i="9"/>
  <c r="CY167" i="9" s="1"/>
  <c r="DC167" i="9" s="1"/>
  <c r="DQ167" i="9"/>
  <c r="DR167" i="9" s="1"/>
  <c r="DV167" i="9" s="1"/>
  <c r="CE167" i="9"/>
  <c r="CF167" i="9" s="1"/>
  <c r="CJ167" i="9" s="1"/>
  <c r="FC167" i="9"/>
  <c r="FD167" i="9" s="1"/>
  <c r="FH167" i="9" s="1"/>
  <c r="AG164" i="12"/>
  <c r="AH164" i="12"/>
  <c r="AI164" i="12"/>
  <c r="BS165" i="9"/>
  <c r="BR165" i="9"/>
  <c r="BV165" i="9" s="1"/>
  <c r="BT165" i="9"/>
  <c r="BU165" i="9"/>
  <c r="FL165" i="9"/>
  <c r="FJ165" i="9"/>
  <c r="FK165" i="9"/>
  <c r="FI165" i="9"/>
  <c r="FM165" i="9" s="1"/>
  <c r="M166" i="12"/>
  <c r="P166" i="12" s="1"/>
  <c r="Q166" i="12" s="1"/>
  <c r="BV164" i="12" l="1"/>
  <c r="BC165" i="9"/>
  <c r="AJ165" i="9"/>
  <c r="ET165" i="9"/>
  <c r="EA165" i="9"/>
  <c r="M167" i="12"/>
  <c r="M168" i="9"/>
  <c r="P168" i="9" s="1"/>
  <c r="Q168" i="9" s="1"/>
  <c r="DH164" i="12"/>
  <c r="CO164" i="12"/>
  <c r="EP166" i="12"/>
  <c r="FF166" i="12"/>
  <c r="FE166" i="12"/>
  <c r="FG166" i="12" s="1"/>
  <c r="CK166" i="12"/>
  <c r="DD166" i="12"/>
  <c r="AB166" i="12"/>
  <c r="AD166" i="12" s="1"/>
  <c r="AC166" i="12"/>
  <c r="BO166" i="12"/>
  <c r="BN166" i="12"/>
  <c r="BP166" i="12" s="1"/>
  <c r="DW166" i="12"/>
  <c r="CG166" i="12"/>
  <c r="CI166" i="12" s="1"/>
  <c r="EM166" i="12"/>
  <c r="EL166" i="12"/>
  <c r="EN166" i="12" s="1"/>
  <c r="AF166" i="12"/>
  <c r="CH166" i="12"/>
  <c r="FI166" i="12"/>
  <c r="AY166" i="12"/>
  <c r="DT166" i="12"/>
  <c r="DA166" i="12"/>
  <c r="BR166" i="12"/>
  <c r="DS166" i="12"/>
  <c r="DU166" i="12" s="1"/>
  <c r="CZ166" i="12"/>
  <c r="DB166" i="12" s="1"/>
  <c r="AU166" i="12"/>
  <c r="AW166" i="12" s="1"/>
  <c r="AV166" i="12"/>
  <c r="DD166" i="9"/>
  <c r="DH166" i="9" s="1"/>
  <c r="DG166" i="9"/>
  <c r="DE166" i="9"/>
  <c r="DF166" i="9"/>
  <c r="AG166" i="9"/>
  <c r="AH166" i="9"/>
  <c r="AF166" i="9"/>
  <c r="AI166" i="9"/>
  <c r="CL166" i="9"/>
  <c r="CN166" i="9"/>
  <c r="CM166" i="9"/>
  <c r="CK166" i="9"/>
  <c r="EP166" i="9"/>
  <c r="ET166" i="9" s="1"/>
  <c r="EQ166" i="9"/>
  <c r="ES166" i="9"/>
  <c r="ER166" i="9"/>
  <c r="BS166" i="9"/>
  <c r="BR166" i="9"/>
  <c r="BT166" i="9"/>
  <c r="BU166" i="9"/>
  <c r="FJ165" i="12"/>
  <c r="FL165" i="12"/>
  <c r="FK165" i="12"/>
  <c r="FI166" i="9"/>
  <c r="FM166" i="9" s="1"/>
  <c r="FK166" i="9"/>
  <c r="FJ166" i="9"/>
  <c r="FL166" i="9"/>
  <c r="DX165" i="12"/>
  <c r="DZ165" i="12"/>
  <c r="DY165" i="12"/>
  <c r="AJ164" i="12"/>
  <c r="O168" i="12" a="1"/>
  <c r="O168" i="12" s="1"/>
  <c r="N168" i="12" a="1"/>
  <c r="N168" i="12" s="1"/>
  <c r="K168" i="12" a="1"/>
  <c r="K168" i="12" s="1"/>
  <c r="H168" i="12" a="1"/>
  <c r="H168" i="12" s="1"/>
  <c r="G168" i="12" a="1"/>
  <c r="G168" i="12" s="1"/>
  <c r="L168" i="12" a="1"/>
  <c r="L168" i="12" s="1"/>
  <c r="J168" i="12" a="1"/>
  <c r="J168" i="12" s="1"/>
  <c r="D169" i="12"/>
  <c r="FF167" i="9"/>
  <c r="BN167" i="9"/>
  <c r="BP167" i="9" s="1"/>
  <c r="FE167" i="9"/>
  <c r="FG167" i="9" s="1"/>
  <c r="BO167" i="9"/>
  <c r="CH167" i="9"/>
  <c r="AV167" i="9"/>
  <c r="CG167" i="9"/>
  <c r="CI167" i="9" s="1"/>
  <c r="AU167" i="9"/>
  <c r="AW167" i="9" s="1"/>
  <c r="CZ167" i="9"/>
  <c r="DB167" i="9" s="1"/>
  <c r="EL167" i="9"/>
  <c r="EN167" i="9" s="1"/>
  <c r="AB167" i="9"/>
  <c r="AD167" i="9" s="1"/>
  <c r="AC167" i="9"/>
  <c r="DA167" i="9"/>
  <c r="EM167" i="9"/>
  <c r="DS167" i="9"/>
  <c r="DU167" i="9" s="1"/>
  <c r="DT167" i="9"/>
  <c r="DX166" i="9"/>
  <c r="DZ166" i="9"/>
  <c r="DY166" i="9"/>
  <c r="DW166" i="9"/>
  <c r="EQ165" i="12"/>
  <c r="ER165" i="12"/>
  <c r="ES165" i="12"/>
  <c r="I169" i="9"/>
  <c r="Z168" i="9"/>
  <c r="AA168" i="9" s="1"/>
  <c r="AE168" i="9" s="1"/>
  <c r="CX168" i="9"/>
  <c r="CY168" i="9" s="1"/>
  <c r="DC168" i="9" s="1"/>
  <c r="CE168" i="9"/>
  <c r="CF168" i="9" s="1"/>
  <c r="CJ168" i="9" s="1"/>
  <c r="AS168" i="9"/>
  <c r="AT168" i="9" s="1"/>
  <c r="AX168" i="9" s="1"/>
  <c r="FC168" i="9"/>
  <c r="FD168" i="9" s="1"/>
  <c r="FH168" i="9" s="1"/>
  <c r="DQ168" i="9"/>
  <c r="DR168" i="9" s="1"/>
  <c r="DV168" i="9" s="1"/>
  <c r="EJ168" i="9"/>
  <c r="EK168" i="9" s="1"/>
  <c r="EO168" i="9" s="1"/>
  <c r="BL168" i="9"/>
  <c r="BM168" i="9" s="1"/>
  <c r="BQ168" i="9" s="1"/>
  <c r="L169" i="9" a="1"/>
  <c r="L169" i="9" s="1"/>
  <c r="H169" i="9" a="1"/>
  <c r="H169" i="9" s="1"/>
  <c r="N169" i="9" a="1"/>
  <c r="N169" i="9" s="1"/>
  <c r="J169" i="9" a="1"/>
  <c r="J169" i="9" s="1"/>
  <c r="K169" i="9" a="1"/>
  <c r="K169" i="9" s="1"/>
  <c r="G169" i="9" a="1"/>
  <c r="G169" i="9" s="1"/>
  <c r="O169" i="9" a="1"/>
  <c r="O169" i="9" s="1"/>
  <c r="D170" i="9"/>
  <c r="BA165" i="12"/>
  <c r="BB165" i="12"/>
  <c r="AZ165" i="12"/>
  <c r="BC165" i="12" s="1"/>
  <c r="BS165" i="12"/>
  <c r="BU165" i="12"/>
  <c r="BT165" i="12"/>
  <c r="DE165" i="12"/>
  <c r="DG165" i="12"/>
  <c r="DF165" i="12"/>
  <c r="AI165" i="12"/>
  <c r="AG165" i="12"/>
  <c r="AH165" i="12"/>
  <c r="EA164" i="12"/>
  <c r="ET164" i="12"/>
  <c r="P167" i="12"/>
  <c r="Q167" i="12" s="1"/>
  <c r="BB166" i="9"/>
  <c r="BA166" i="9"/>
  <c r="AY166" i="9"/>
  <c r="AZ166" i="9"/>
  <c r="CN165" i="12"/>
  <c r="CM165" i="12"/>
  <c r="CL165" i="12"/>
  <c r="AJ166" i="9" l="1"/>
  <c r="EA166" i="9"/>
  <c r="CO166" i="9"/>
  <c r="BV166" i="9"/>
  <c r="BC166" i="9"/>
  <c r="AJ165" i="12"/>
  <c r="FM165" i="12"/>
  <c r="CO165" i="12"/>
  <c r="BV165" i="12"/>
  <c r="M168" i="12"/>
  <c r="P168" i="12" s="1"/>
  <c r="Q168" i="12" s="1"/>
  <c r="DZ167" i="9"/>
  <c r="DY167" i="9"/>
  <c r="DW167" i="9"/>
  <c r="DX167" i="9"/>
  <c r="M169" i="9"/>
  <c r="P169" i="9" s="1"/>
  <c r="Q169" i="9" s="1"/>
  <c r="AZ166" i="12"/>
  <c r="BA166" i="12"/>
  <c r="BB166" i="12"/>
  <c r="G170" i="9" a="1"/>
  <c r="G170" i="9" s="1"/>
  <c r="J170" i="9" a="1"/>
  <c r="J170" i="9" s="1"/>
  <c r="L170" i="9" a="1"/>
  <c r="L170" i="9" s="1"/>
  <c r="O170" i="9" a="1"/>
  <c r="O170" i="9" s="1"/>
  <c r="K170" i="9" a="1"/>
  <c r="K170" i="9" s="1"/>
  <c r="N170" i="9" a="1"/>
  <c r="N170" i="9" s="1"/>
  <c r="H170" i="9" a="1"/>
  <c r="H170" i="9" s="1"/>
  <c r="D171" i="9"/>
  <c r="AG167" i="9"/>
  <c r="AI167" i="9"/>
  <c r="AF167" i="9"/>
  <c r="AH167" i="9"/>
  <c r="FL167" i="9"/>
  <c r="FK167" i="9"/>
  <c r="FJ167" i="9"/>
  <c r="FI167" i="9"/>
  <c r="DE166" i="12"/>
  <c r="DG166" i="12"/>
  <c r="DF166" i="12"/>
  <c r="AG166" i="12"/>
  <c r="AI166" i="12"/>
  <c r="AH166" i="12"/>
  <c r="ER167" i="9"/>
  <c r="ES167" i="9"/>
  <c r="EQ167" i="9"/>
  <c r="EP167" i="9"/>
  <c r="ET167" i="9" s="1"/>
  <c r="BS167" i="9"/>
  <c r="BR167" i="9"/>
  <c r="BV167" i="9" s="1"/>
  <c r="BU167" i="9"/>
  <c r="BT167" i="9"/>
  <c r="AU168" i="9"/>
  <c r="AW168" i="9" s="1"/>
  <c r="FF168" i="9"/>
  <c r="AV168" i="9"/>
  <c r="FE168" i="9"/>
  <c r="FG168" i="9" s="1"/>
  <c r="CG168" i="9"/>
  <c r="CI168" i="9" s="1"/>
  <c r="BO168" i="9"/>
  <c r="BN168" i="9"/>
  <c r="BP168" i="9" s="1"/>
  <c r="CH168" i="9"/>
  <c r="EM168" i="9"/>
  <c r="DA168" i="9"/>
  <c r="AC168" i="9"/>
  <c r="EL168" i="9"/>
  <c r="EN168" i="9" s="1"/>
  <c r="CZ168" i="9"/>
  <c r="DB168" i="9" s="1"/>
  <c r="AB168" i="9"/>
  <c r="AD168" i="9" s="1"/>
  <c r="DT168" i="9"/>
  <c r="DS168" i="9"/>
  <c r="DU168" i="9" s="1"/>
  <c r="DX166" i="12"/>
  <c r="DZ166" i="12"/>
  <c r="DY166" i="12"/>
  <c r="EQ166" i="12"/>
  <c r="ES166" i="12"/>
  <c r="ER166" i="12"/>
  <c r="DF167" i="9"/>
  <c r="DE167" i="9"/>
  <c r="DG167" i="9"/>
  <c r="DD167" i="9"/>
  <c r="DH165" i="12"/>
  <c r="I170" i="9"/>
  <c r="FC169" i="9"/>
  <c r="FD169" i="9" s="1"/>
  <c r="FH169" i="9" s="1"/>
  <c r="AS169" i="9"/>
  <c r="AT169" i="9" s="1"/>
  <c r="AX169" i="9" s="1"/>
  <c r="EJ169" i="9"/>
  <c r="EK169" i="9" s="1"/>
  <c r="EO169" i="9" s="1"/>
  <c r="CX169" i="9"/>
  <c r="CY169" i="9" s="1"/>
  <c r="DC169" i="9" s="1"/>
  <c r="DQ169" i="9"/>
  <c r="DR169" i="9" s="1"/>
  <c r="DV169" i="9" s="1"/>
  <c r="CE169" i="9"/>
  <c r="CF169" i="9" s="1"/>
  <c r="CJ169" i="9" s="1"/>
  <c r="BL169" i="9"/>
  <c r="BM169" i="9" s="1"/>
  <c r="BQ169" i="9" s="1"/>
  <c r="Z169" i="9"/>
  <c r="AA169" i="9" s="1"/>
  <c r="AE169" i="9" s="1"/>
  <c r="BB167" i="9"/>
  <c r="AY167" i="9"/>
  <c r="BA167" i="9"/>
  <c r="AZ167" i="9"/>
  <c r="N169" i="12" a="1"/>
  <c r="N169" i="12" s="1"/>
  <c r="J169" i="12" a="1"/>
  <c r="J169" i="12" s="1"/>
  <c r="H169" i="12" a="1"/>
  <c r="H169" i="12" s="1"/>
  <c r="G169" i="12" a="1"/>
  <c r="G169" i="12" s="1"/>
  <c r="L169" i="12" a="1"/>
  <c r="L169" i="12" s="1"/>
  <c r="K169" i="12" a="1"/>
  <c r="K169" i="12" s="1"/>
  <c r="O169" i="12" a="1"/>
  <c r="O169" i="12" s="1"/>
  <c r="D170" i="12"/>
  <c r="CL166" i="12"/>
  <c r="CN166" i="12"/>
  <c r="CM166" i="12"/>
  <c r="FJ166" i="12"/>
  <c r="FK166" i="12"/>
  <c r="FL166" i="12"/>
  <c r="FE167" i="12"/>
  <c r="FG167" i="12" s="1"/>
  <c r="EP167" i="12"/>
  <c r="FF167" i="12"/>
  <c r="CK167" i="12"/>
  <c r="DD167" i="12"/>
  <c r="AB167" i="12"/>
  <c r="AD167" i="12" s="1"/>
  <c r="BN167" i="12"/>
  <c r="BP167" i="12" s="1"/>
  <c r="AC167" i="12"/>
  <c r="BO167" i="12"/>
  <c r="AF167" i="12"/>
  <c r="BR167" i="12"/>
  <c r="FI167" i="12"/>
  <c r="EL167" i="12"/>
  <c r="EN167" i="12" s="1"/>
  <c r="DT167" i="12"/>
  <c r="DS167" i="12"/>
  <c r="DU167" i="12" s="1"/>
  <c r="CZ167" i="12"/>
  <c r="DB167" i="12" s="1"/>
  <c r="CH167" i="12"/>
  <c r="DW167" i="12"/>
  <c r="CG167" i="12"/>
  <c r="CI167" i="12" s="1"/>
  <c r="AY167" i="12"/>
  <c r="DA167" i="12"/>
  <c r="EM167" i="12"/>
  <c r="AU167" i="12"/>
  <c r="AW167" i="12" s="1"/>
  <c r="AV167" i="12"/>
  <c r="CK167" i="9"/>
  <c r="CO167" i="9" s="1"/>
  <c r="CL167" i="9"/>
  <c r="CM167" i="9"/>
  <c r="CN167" i="9"/>
  <c r="EA165" i="12"/>
  <c r="ET165" i="12"/>
  <c r="BS166" i="12"/>
  <c r="BT166" i="12"/>
  <c r="BU166" i="12"/>
  <c r="BC167" i="9" l="1"/>
  <c r="AJ167" i="9"/>
  <c r="EA167" i="9"/>
  <c r="DH167" i="9"/>
  <c r="FM167" i="9"/>
  <c r="AJ166" i="12"/>
  <c r="ET166" i="12"/>
  <c r="FM166" i="12"/>
  <c r="EA166" i="12"/>
  <c r="BV166" i="12"/>
  <c r="CH169" i="9"/>
  <c r="AU169" i="9"/>
  <c r="AW169" i="9" s="1"/>
  <c r="BN169" i="9"/>
  <c r="BP169" i="9" s="1"/>
  <c r="FF169" i="9"/>
  <c r="CG169" i="9"/>
  <c r="CI169" i="9" s="1"/>
  <c r="AV169" i="9"/>
  <c r="BO169" i="9"/>
  <c r="FE169" i="9"/>
  <c r="FG169" i="9" s="1"/>
  <c r="EL169" i="9"/>
  <c r="EN169" i="9" s="1"/>
  <c r="AC169" i="9"/>
  <c r="AB169" i="9"/>
  <c r="AD169" i="9" s="1"/>
  <c r="CZ169" i="9"/>
  <c r="DB169" i="9" s="1"/>
  <c r="DA169" i="9"/>
  <c r="EM169" i="9"/>
  <c r="DS169" i="9"/>
  <c r="DU169" i="9" s="1"/>
  <c r="DT169" i="9"/>
  <c r="DE167" i="12"/>
  <c r="DF167" i="12"/>
  <c r="DG167" i="12"/>
  <c r="BU168" i="9"/>
  <c r="BT168" i="9"/>
  <c r="BS168" i="9"/>
  <c r="BR168" i="9"/>
  <c r="BV168" i="9" s="1"/>
  <c r="O171" i="9" a="1"/>
  <c r="O171" i="9" s="1"/>
  <c r="N171" i="9" a="1"/>
  <c r="N171" i="9" s="1"/>
  <c r="H171" i="9" a="1"/>
  <c r="H171" i="9" s="1"/>
  <c r="G171" i="9" a="1"/>
  <c r="G171" i="9" s="1"/>
  <c r="K171" i="9" a="1"/>
  <c r="K171" i="9" s="1"/>
  <c r="J171" i="9" a="1"/>
  <c r="J171" i="9" s="1"/>
  <c r="L171" i="9" a="1"/>
  <c r="L171" i="9" s="1"/>
  <c r="D172" i="9"/>
  <c r="BB167" i="12"/>
  <c r="BA167" i="12"/>
  <c r="AZ167" i="12"/>
  <c r="DX167" i="12"/>
  <c r="DZ167" i="12"/>
  <c r="DY167" i="12"/>
  <c r="BS167" i="12"/>
  <c r="BU167" i="12"/>
  <c r="BT167" i="12"/>
  <c r="AH168" i="9"/>
  <c r="AI168" i="9"/>
  <c r="AF168" i="9"/>
  <c r="AJ168" i="9" s="1"/>
  <c r="AG168" i="9"/>
  <c r="BC166" i="12"/>
  <c r="I171" i="9"/>
  <c r="BL170" i="9"/>
  <c r="BM170" i="9" s="1"/>
  <c r="BQ170" i="9" s="1"/>
  <c r="FC170" i="9"/>
  <c r="FD170" i="9" s="1"/>
  <c r="FH170" i="9" s="1"/>
  <c r="Z170" i="9"/>
  <c r="AA170" i="9" s="1"/>
  <c r="AE170" i="9" s="1"/>
  <c r="CE170" i="9"/>
  <c r="CF170" i="9" s="1"/>
  <c r="CJ170" i="9" s="1"/>
  <c r="EJ170" i="9"/>
  <c r="EK170" i="9" s="1"/>
  <c r="EO170" i="9" s="1"/>
  <c r="DQ170" i="9"/>
  <c r="DR170" i="9" s="1"/>
  <c r="DV170" i="9" s="1"/>
  <c r="CX170" i="9"/>
  <c r="CY170" i="9" s="1"/>
  <c r="DC170" i="9" s="1"/>
  <c r="AS170" i="9"/>
  <c r="AT170" i="9" s="1"/>
  <c r="AX170" i="9" s="1"/>
  <c r="EQ168" i="9"/>
  <c r="EP168" i="9"/>
  <c r="ES168" i="9"/>
  <c r="ER168" i="9"/>
  <c r="FJ168" i="9"/>
  <c r="FL168" i="9"/>
  <c r="FK168" i="9"/>
  <c r="FI168" i="9"/>
  <c r="CL168" i="9"/>
  <c r="CK168" i="9"/>
  <c r="CO168" i="9" s="1"/>
  <c r="CN168" i="9"/>
  <c r="CM168" i="9"/>
  <c r="M169" i="12"/>
  <c r="P169" i="12" s="1"/>
  <c r="Q169" i="12" s="1"/>
  <c r="DH166" i="12"/>
  <c r="CO166" i="12"/>
  <c r="M170" i="9"/>
  <c r="P170" i="9" s="1"/>
  <c r="Q170" i="9" s="1"/>
  <c r="CL167" i="12"/>
  <c r="CM167" i="12"/>
  <c r="CN167" i="12"/>
  <c r="J170" i="12" a="1"/>
  <c r="J170" i="12" s="1"/>
  <c r="N170" i="12" a="1"/>
  <c r="N170" i="12" s="1"/>
  <c r="H170" i="12" a="1"/>
  <c r="H170" i="12" s="1"/>
  <c r="O170" i="12" a="1"/>
  <c r="O170" i="12" s="1"/>
  <c r="L170" i="12" a="1"/>
  <c r="L170" i="12" s="1"/>
  <c r="K170" i="12" a="1"/>
  <c r="K170" i="12" s="1"/>
  <c r="G170" i="12" a="1"/>
  <c r="G170" i="12" s="1"/>
  <c r="D171" i="12"/>
  <c r="AZ168" i="9"/>
  <c r="AY168" i="9"/>
  <c r="BB168" i="9"/>
  <c r="BA168" i="9"/>
  <c r="AG167" i="12"/>
  <c r="AI167" i="12"/>
  <c r="AH167" i="12"/>
  <c r="DE168" i="9"/>
  <c r="DG168" i="9"/>
  <c r="DF168" i="9"/>
  <c r="DD168" i="9"/>
  <c r="EQ167" i="12"/>
  <c r="ES167" i="12"/>
  <c r="ER167" i="12"/>
  <c r="FJ167" i="12"/>
  <c r="FL167" i="12"/>
  <c r="FK167" i="12"/>
  <c r="DZ168" i="9"/>
  <c r="DY168" i="9"/>
  <c r="DX168" i="9"/>
  <c r="DW168" i="9"/>
  <c r="FF168" i="12"/>
  <c r="EP168" i="12"/>
  <c r="FE168" i="12"/>
  <c r="FG168" i="12" s="1"/>
  <c r="CK168" i="12"/>
  <c r="DD168" i="12"/>
  <c r="BN168" i="12"/>
  <c r="BP168" i="12" s="1"/>
  <c r="BO168" i="12"/>
  <c r="AB168" i="12"/>
  <c r="AD168" i="12" s="1"/>
  <c r="AC168" i="12"/>
  <c r="FI168" i="12"/>
  <c r="BR168" i="12"/>
  <c r="DW168" i="12"/>
  <c r="DA168" i="12"/>
  <c r="AY168" i="12"/>
  <c r="CZ168" i="12"/>
  <c r="DB168" i="12" s="1"/>
  <c r="CH168" i="12"/>
  <c r="CG168" i="12"/>
  <c r="CI168" i="12" s="1"/>
  <c r="AF168" i="12"/>
  <c r="DT168" i="12"/>
  <c r="EM168" i="12"/>
  <c r="DS168" i="12"/>
  <c r="DU168" i="12" s="1"/>
  <c r="EL168" i="12"/>
  <c r="EN168" i="12" s="1"/>
  <c r="AU168" i="12"/>
  <c r="AW168" i="12" s="1"/>
  <c r="AV168" i="12"/>
  <c r="DH168" i="9" l="1"/>
  <c r="BC168" i="9"/>
  <c r="ET168" i="9"/>
  <c r="EA168" i="9"/>
  <c r="FM168" i="9"/>
  <c r="M171" i="9"/>
  <c r="P171" i="9" s="1"/>
  <c r="Q171" i="9" s="1"/>
  <c r="BV167" i="12"/>
  <c r="EA167" i="12"/>
  <c r="M170" i="12"/>
  <c r="P170" i="12" s="1"/>
  <c r="Q170" i="12" s="1"/>
  <c r="AJ167" i="12"/>
  <c r="FM167" i="12"/>
  <c r="BC167" i="12"/>
  <c r="FE170" i="9"/>
  <c r="FG170" i="9" s="1"/>
  <c r="BN170" i="9"/>
  <c r="BP170" i="9" s="1"/>
  <c r="AU170" i="9"/>
  <c r="AW170" i="9" s="1"/>
  <c r="CG170" i="9"/>
  <c r="CI170" i="9" s="1"/>
  <c r="BO170" i="9"/>
  <c r="AV170" i="9"/>
  <c r="CH170" i="9"/>
  <c r="FF170" i="9"/>
  <c r="EM170" i="9"/>
  <c r="EL170" i="9"/>
  <c r="EN170" i="9" s="1"/>
  <c r="AC170" i="9"/>
  <c r="DA170" i="9"/>
  <c r="AB170" i="9"/>
  <c r="AD170" i="9" s="1"/>
  <c r="CZ170" i="9"/>
  <c r="DB170" i="9" s="1"/>
  <c r="DT170" i="9"/>
  <c r="DS170" i="9"/>
  <c r="DU170" i="9" s="1"/>
  <c r="EP169" i="12"/>
  <c r="FE169" i="12"/>
  <c r="FG169" i="12" s="1"/>
  <c r="FF169" i="12"/>
  <c r="CK169" i="12"/>
  <c r="DD169" i="12"/>
  <c r="AC169" i="12"/>
  <c r="AB169" i="12"/>
  <c r="AD169" i="12" s="1"/>
  <c r="BN169" i="12"/>
  <c r="BP169" i="12" s="1"/>
  <c r="BO169" i="12"/>
  <c r="AF169" i="12"/>
  <c r="AY169" i="12"/>
  <c r="CH169" i="12"/>
  <c r="DA169" i="12"/>
  <c r="EM169" i="12"/>
  <c r="CZ169" i="12"/>
  <c r="DB169" i="12" s="1"/>
  <c r="EL169" i="12"/>
  <c r="EN169" i="12" s="1"/>
  <c r="BR169" i="12"/>
  <c r="CG169" i="12"/>
  <c r="CI169" i="12" s="1"/>
  <c r="DS169" i="12"/>
  <c r="DU169" i="12" s="1"/>
  <c r="DW169" i="12"/>
  <c r="FI169" i="12"/>
  <c r="DT169" i="12"/>
  <c r="AV169" i="12"/>
  <c r="AU169" i="12"/>
  <c r="AW169" i="12" s="1"/>
  <c r="L171" i="12" a="1"/>
  <c r="L171" i="12" s="1"/>
  <c r="O171" i="12" a="1"/>
  <c r="O171" i="12" s="1"/>
  <c r="K171" i="12" a="1"/>
  <c r="K171" i="12" s="1"/>
  <c r="G171" i="12" a="1"/>
  <c r="G171" i="12" s="1"/>
  <c r="N171" i="12" a="1"/>
  <c r="N171" i="12" s="1"/>
  <c r="H171" i="12" a="1"/>
  <c r="H171" i="12" s="1"/>
  <c r="J171" i="12" a="1"/>
  <c r="J171" i="12" s="1"/>
  <c r="D172" i="12"/>
  <c r="I172" i="9"/>
  <c r="CX171" i="9"/>
  <c r="CY171" i="9" s="1"/>
  <c r="DC171" i="9" s="1"/>
  <c r="BL171" i="9"/>
  <c r="BM171" i="9" s="1"/>
  <c r="BQ171" i="9" s="1"/>
  <c r="CE171" i="9"/>
  <c r="CF171" i="9" s="1"/>
  <c r="CJ171" i="9" s="1"/>
  <c r="Z171" i="9"/>
  <c r="AA171" i="9" s="1"/>
  <c r="AE171" i="9" s="1"/>
  <c r="FC171" i="9"/>
  <c r="FD171" i="9" s="1"/>
  <c r="FH171" i="9" s="1"/>
  <c r="AS171" i="9"/>
  <c r="AT171" i="9" s="1"/>
  <c r="AX171" i="9" s="1"/>
  <c r="EJ171" i="9"/>
  <c r="EK171" i="9" s="1"/>
  <c r="EO171" i="9" s="1"/>
  <c r="DQ171" i="9"/>
  <c r="DR171" i="9" s="1"/>
  <c r="DV171" i="9" s="1"/>
  <c r="L172" i="9" a="1"/>
  <c r="L172" i="9" s="1"/>
  <c r="K172" i="9" a="1"/>
  <c r="K172" i="9" s="1"/>
  <c r="O172" i="9" a="1"/>
  <c r="O172" i="9" s="1"/>
  <c r="J172" i="9" a="1"/>
  <c r="J172" i="9" s="1"/>
  <c r="G172" i="9" a="1"/>
  <c r="G172" i="9" s="1"/>
  <c r="H172" i="9" a="1"/>
  <c r="H172" i="9" s="1"/>
  <c r="N172" i="9" a="1"/>
  <c r="N172" i="9" s="1"/>
  <c r="D173" i="9"/>
  <c r="DY169" i="9"/>
  <c r="DW169" i="9"/>
  <c r="EA169" i="9" s="1"/>
  <c r="DX169" i="9"/>
  <c r="DZ169" i="9"/>
  <c r="CL168" i="12"/>
  <c r="CM168" i="12"/>
  <c r="CN168" i="12"/>
  <c r="CL169" i="9"/>
  <c r="CK169" i="9"/>
  <c r="CM169" i="9"/>
  <c r="CN169" i="9"/>
  <c r="AG168" i="12"/>
  <c r="AI168" i="12"/>
  <c r="AH168" i="12"/>
  <c r="ET167" i="12"/>
  <c r="DF169" i="9"/>
  <c r="DG169" i="9"/>
  <c r="DD169" i="9"/>
  <c r="DH169" i="9" s="1"/>
  <c r="DE169" i="9"/>
  <c r="FI169" i="9"/>
  <c r="FJ169" i="9"/>
  <c r="FL169" i="9"/>
  <c r="FK169" i="9"/>
  <c r="BB168" i="12"/>
  <c r="AZ168" i="12"/>
  <c r="BA168" i="12"/>
  <c r="DE168" i="12"/>
  <c r="DG168" i="12"/>
  <c r="DF168" i="12"/>
  <c r="CO167" i="12"/>
  <c r="AF169" i="9"/>
  <c r="AI169" i="9"/>
  <c r="AG169" i="9"/>
  <c r="AH169" i="9"/>
  <c r="BU169" i="9"/>
  <c r="BT169" i="9"/>
  <c r="BS169" i="9"/>
  <c r="BR169" i="9"/>
  <c r="BV169" i="9" s="1"/>
  <c r="FJ168" i="12"/>
  <c r="FL168" i="12"/>
  <c r="FK168" i="12"/>
  <c r="EQ168" i="12"/>
  <c r="ES168" i="12"/>
  <c r="ER168" i="12"/>
  <c r="BS168" i="12"/>
  <c r="BU168" i="12"/>
  <c r="BT168" i="12"/>
  <c r="DH167" i="12"/>
  <c r="BB169" i="9"/>
  <c r="BA169" i="9"/>
  <c r="AZ169" i="9"/>
  <c r="AY169" i="9"/>
  <c r="DX168" i="12"/>
  <c r="DZ168" i="12"/>
  <c r="DY168" i="12"/>
  <c r="EP169" i="9"/>
  <c r="ER169" i="9"/>
  <c r="EQ169" i="9"/>
  <c r="ES169" i="9"/>
  <c r="CO169" i="9" l="1"/>
  <c r="AJ169" i="9"/>
  <c r="ET169" i="9"/>
  <c r="BC169" i="9"/>
  <c r="FM169" i="9"/>
  <c r="EL170" i="12"/>
  <c r="EN170" i="12" s="1"/>
  <c r="CZ170" i="12"/>
  <c r="DB170" i="12" s="1"/>
  <c r="DE170" i="12" s="1"/>
  <c r="AF170" i="12"/>
  <c r="CH170" i="12"/>
  <c r="CG170" i="12"/>
  <c r="CI170" i="12" s="1"/>
  <c r="FF170" i="12"/>
  <c r="EP170" i="12"/>
  <c r="BN170" i="12"/>
  <c r="BP170" i="12" s="1"/>
  <c r="BS170" i="12" s="1"/>
  <c r="AU170" i="12"/>
  <c r="AW170" i="12" s="1"/>
  <c r="BA170" i="12" s="1"/>
  <c r="FE170" i="12"/>
  <c r="FG170" i="12" s="1"/>
  <c r="FJ170" i="12" s="1"/>
  <c r="BR170" i="12"/>
  <c r="BO170" i="12"/>
  <c r="AV170" i="12"/>
  <c r="EM170" i="12"/>
  <c r="AY170" i="12"/>
  <c r="DT170" i="12"/>
  <c r="DA170" i="12"/>
  <c r="FI170" i="12"/>
  <c r="DD170" i="12"/>
  <c r="DW170" i="12"/>
  <c r="CK170" i="12"/>
  <c r="DS170" i="12"/>
  <c r="DU170" i="12" s="1"/>
  <c r="M172" i="9"/>
  <c r="DH168" i="12"/>
  <c r="FM168" i="12"/>
  <c r="AJ168" i="12"/>
  <c r="BV168" i="12"/>
  <c r="ET168" i="12"/>
  <c r="M171" i="12"/>
  <c r="P171" i="12" s="1"/>
  <c r="Q171" i="12" s="1"/>
  <c r="CO168" i="12"/>
  <c r="BB169" i="12"/>
  <c r="BA169" i="12"/>
  <c r="AZ169" i="12"/>
  <c r="EQ169" i="12"/>
  <c r="ER169" i="12"/>
  <c r="ES169" i="12"/>
  <c r="BS169" i="12"/>
  <c r="BU169" i="12"/>
  <c r="BT169" i="12"/>
  <c r="DW170" i="9"/>
  <c r="DX170" i="9"/>
  <c r="DZ170" i="9"/>
  <c r="DY170" i="9"/>
  <c r="AI169" i="12"/>
  <c r="AH169" i="12"/>
  <c r="AG169" i="12"/>
  <c r="AC170" i="12"/>
  <c r="DD170" i="9"/>
  <c r="DE170" i="9"/>
  <c r="DG170" i="9"/>
  <c r="DF170" i="9"/>
  <c r="AB170" i="12"/>
  <c r="AD170" i="12" s="1"/>
  <c r="AI170" i="9"/>
  <c r="AH170" i="9"/>
  <c r="AG170" i="9"/>
  <c r="AF170" i="9"/>
  <c r="AJ170" i="9" s="1"/>
  <c r="EQ170" i="12"/>
  <c r="ER170" i="12"/>
  <c r="ES170" i="12"/>
  <c r="BC168" i="12"/>
  <c r="CM170" i="9"/>
  <c r="CN170" i="9"/>
  <c r="CK170" i="9"/>
  <c r="CL170" i="9"/>
  <c r="CH171" i="9"/>
  <c r="AU171" i="9"/>
  <c r="AW171" i="9" s="1"/>
  <c r="CG171" i="9"/>
  <c r="CI171" i="9" s="1"/>
  <c r="AV171" i="9"/>
  <c r="FF171" i="9"/>
  <c r="BN171" i="9"/>
  <c r="BP171" i="9" s="1"/>
  <c r="FE171" i="9"/>
  <c r="FG171" i="9" s="1"/>
  <c r="BO171" i="9"/>
  <c r="DA171" i="9"/>
  <c r="AC171" i="9"/>
  <c r="AB171" i="9"/>
  <c r="AD171" i="9" s="1"/>
  <c r="CZ171" i="9"/>
  <c r="DB171" i="9" s="1"/>
  <c r="EM171" i="9"/>
  <c r="EL171" i="9"/>
  <c r="EN171" i="9" s="1"/>
  <c r="DS171" i="9"/>
  <c r="DU171" i="9" s="1"/>
  <c r="DT171" i="9"/>
  <c r="CM170" i="12"/>
  <c r="CL170" i="12"/>
  <c r="CN170" i="12"/>
  <c r="EA168" i="12"/>
  <c r="DX169" i="12"/>
  <c r="DY169" i="12"/>
  <c r="DZ169" i="12"/>
  <c r="AZ170" i="9"/>
  <c r="BB170" i="9"/>
  <c r="AY170" i="9"/>
  <c r="BA170" i="9"/>
  <c r="DE169" i="12"/>
  <c r="DG169" i="12"/>
  <c r="DF169" i="12"/>
  <c r="I173" i="9"/>
  <c r="BL172" i="9"/>
  <c r="BM172" i="9" s="1"/>
  <c r="BQ172" i="9" s="1"/>
  <c r="EJ172" i="9"/>
  <c r="EK172" i="9" s="1"/>
  <c r="EO172" i="9" s="1"/>
  <c r="CE172" i="9"/>
  <c r="CF172" i="9" s="1"/>
  <c r="CJ172" i="9" s="1"/>
  <c r="CX172" i="9"/>
  <c r="CY172" i="9" s="1"/>
  <c r="DC172" i="9" s="1"/>
  <c r="Z172" i="9"/>
  <c r="AA172" i="9" s="1"/>
  <c r="AE172" i="9" s="1"/>
  <c r="DQ172" i="9"/>
  <c r="DR172" i="9" s="1"/>
  <c r="DV172" i="9" s="1"/>
  <c r="FC172" i="9"/>
  <c r="FD172" i="9" s="1"/>
  <c r="FH172" i="9" s="1"/>
  <c r="AS172" i="9"/>
  <c r="AT172" i="9" s="1"/>
  <c r="AX172" i="9" s="1"/>
  <c r="CL169" i="12"/>
  <c r="CN169" i="12"/>
  <c r="CM169" i="12"/>
  <c r="FJ169" i="12"/>
  <c r="FL169" i="12"/>
  <c r="FK169" i="12"/>
  <c r="ER170" i="9"/>
  <c r="ES170" i="9"/>
  <c r="EQ170" i="9"/>
  <c r="EP170" i="9"/>
  <c r="BR170" i="9"/>
  <c r="BS170" i="9"/>
  <c r="BU170" i="9"/>
  <c r="BT170" i="9"/>
  <c r="BV170" i="9" s="1"/>
  <c r="BB170" i="12"/>
  <c r="AZ170" i="12"/>
  <c r="DX170" i="12"/>
  <c r="DZ170" i="12"/>
  <c r="DY170" i="12"/>
  <c r="J173" i="9" a="1"/>
  <c r="J173" i="9" s="1"/>
  <c r="N173" i="9" a="1"/>
  <c r="N173" i="9" s="1"/>
  <c r="L173" i="9" a="1"/>
  <c r="L173" i="9" s="1"/>
  <c r="K173" i="9" a="1"/>
  <c r="K173" i="9" s="1"/>
  <c r="H173" i="9" a="1"/>
  <c r="H173" i="9" s="1"/>
  <c r="G173" i="9" a="1"/>
  <c r="G173" i="9" s="1"/>
  <c r="O173" i="9" a="1"/>
  <c r="O173" i="9" s="1"/>
  <c r="D174" i="9"/>
  <c r="P172" i="9"/>
  <c r="Q172" i="9" s="1"/>
  <c r="G172" i="12" a="1"/>
  <c r="G172" i="12" s="1"/>
  <c r="J172" i="12" a="1"/>
  <c r="J172" i="12" s="1"/>
  <c r="K172" i="12" a="1"/>
  <c r="K172" i="12" s="1"/>
  <c r="O172" i="12" a="1"/>
  <c r="O172" i="12" s="1"/>
  <c r="N172" i="12" a="1"/>
  <c r="N172" i="12" s="1"/>
  <c r="L172" i="12" a="1"/>
  <c r="L172" i="12" s="1"/>
  <c r="H172" i="12" a="1"/>
  <c r="H172" i="12" s="1"/>
  <c r="D173" i="12"/>
  <c r="FI170" i="9"/>
  <c r="FM170" i="9" s="1"/>
  <c r="FJ170" i="9"/>
  <c r="FK170" i="9"/>
  <c r="FL170" i="9"/>
  <c r="DF170" i="12" l="1"/>
  <c r="DG170" i="12"/>
  <c r="FL170" i="12"/>
  <c r="FK170" i="12"/>
  <c r="CO170" i="9"/>
  <c r="DH170" i="9"/>
  <c r="EA170" i="9"/>
  <c r="BC170" i="9"/>
  <c r="ET170" i="9"/>
  <c r="BT170" i="12"/>
  <c r="BU170" i="12"/>
  <c r="BC169" i="12"/>
  <c r="M173" i="9"/>
  <c r="AJ169" i="12"/>
  <c r="EA170" i="12"/>
  <c r="CO170" i="12"/>
  <c r="BC170" i="12"/>
  <c r="DH170" i="12"/>
  <c r="CO169" i="12"/>
  <c r="FM170" i="12"/>
  <c r="BV169" i="12"/>
  <c r="EA169" i="12"/>
  <c r="M172" i="12"/>
  <c r="P173" i="9"/>
  <c r="Q173" i="9" s="1"/>
  <c r="FM169" i="12"/>
  <c r="L174" i="9" a="1"/>
  <c r="L174" i="9" s="1"/>
  <c r="J174" i="9" a="1"/>
  <c r="J174" i="9" s="1"/>
  <c r="O174" i="9" a="1"/>
  <c r="O174" i="9" s="1"/>
  <c r="K174" i="9" a="1"/>
  <c r="K174" i="9" s="1"/>
  <c r="H174" i="9" a="1"/>
  <c r="H174" i="9" s="1"/>
  <c r="G174" i="9" a="1"/>
  <c r="G174" i="9" s="1"/>
  <c r="N174" i="9" a="1"/>
  <c r="N174" i="9" s="1"/>
  <c r="D175" i="9"/>
  <c r="ET170" i="12"/>
  <c r="AH170" i="12"/>
  <c r="AI170" i="12"/>
  <c r="AG170" i="12"/>
  <c r="ER171" i="9"/>
  <c r="ES171" i="9"/>
  <c r="EP171" i="9"/>
  <c r="EQ171" i="9"/>
  <c r="DE171" i="9"/>
  <c r="DD171" i="9"/>
  <c r="DG171" i="9"/>
  <c r="DF171" i="9"/>
  <c r="BU171" i="9"/>
  <c r="BT171" i="9"/>
  <c r="BR171" i="9"/>
  <c r="BS171" i="9"/>
  <c r="P172" i="12"/>
  <c r="Q172" i="12" s="1"/>
  <c r="I174" i="9"/>
  <c r="Z173" i="9"/>
  <c r="AA173" i="9" s="1"/>
  <c r="AE173" i="9" s="1"/>
  <c r="CX173" i="9"/>
  <c r="CY173" i="9" s="1"/>
  <c r="DC173" i="9" s="1"/>
  <c r="FC173" i="9"/>
  <c r="FD173" i="9" s="1"/>
  <c r="FH173" i="9" s="1"/>
  <c r="DQ173" i="9"/>
  <c r="DR173" i="9" s="1"/>
  <c r="DV173" i="9" s="1"/>
  <c r="EJ173" i="9"/>
  <c r="EK173" i="9" s="1"/>
  <c r="EO173" i="9" s="1"/>
  <c r="AS173" i="9"/>
  <c r="AT173" i="9" s="1"/>
  <c r="AX173" i="9" s="1"/>
  <c r="BL173" i="9"/>
  <c r="BM173" i="9" s="1"/>
  <c r="BQ173" i="9" s="1"/>
  <c r="CE173" i="9"/>
  <c r="CF173" i="9" s="1"/>
  <c r="CJ173" i="9" s="1"/>
  <c r="AG171" i="9"/>
  <c r="AI171" i="9"/>
  <c r="AH171" i="9"/>
  <c r="AF171" i="9"/>
  <c r="AJ171" i="9" s="1"/>
  <c r="CN171" i="9"/>
  <c r="CM171" i="9"/>
  <c r="CL171" i="9"/>
  <c r="CK171" i="9"/>
  <c r="ET169" i="12"/>
  <c r="AY171" i="9"/>
  <c r="AZ171" i="9"/>
  <c r="BA171" i="9"/>
  <c r="BB171" i="9"/>
  <c r="AV172" i="9"/>
  <c r="FF172" i="9"/>
  <c r="CH172" i="9"/>
  <c r="AU172" i="9"/>
  <c r="AW172" i="9" s="1"/>
  <c r="FE172" i="9"/>
  <c r="FG172" i="9" s="1"/>
  <c r="CG172" i="9"/>
  <c r="CI172" i="9" s="1"/>
  <c r="BN172" i="9"/>
  <c r="BP172" i="9" s="1"/>
  <c r="BO172" i="9"/>
  <c r="EM172" i="9"/>
  <c r="EL172" i="9"/>
  <c r="EN172" i="9" s="1"/>
  <c r="DA172" i="9"/>
  <c r="AC172" i="9"/>
  <c r="CZ172" i="9"/>
  <c r="DB172" i="9" s="1"/>
  <c r="AB172" i="9"/>
  <c r="AD172" i="9" s="1"/>
  <c r="DT172" i="9"/>
  <c r="DS172" i="9"/>
  <c r="DU172" i="9" s="1"/>
  <c r="DH169" i="12"/>
  <c r="O173" i="12" a="1"/>
  <c r="O173" i="12" s="1"/>
  <c r="K173" i="12" a="1"/>
  <c r="K173" i="12" s="1"/>
  <c r="N173" i="12" a="1"/>
  <c r="N173" i="12" s="1"/>
  <c r="H173" i="12" a="1"/>
  <c r="H173" i="12" s="1"/>
  <c r="G173" i="12" a="1"/>
  <c r="G173" i="12" s="1"/>
  <c r="J173" i="12" a="1"/>
  <c r="J173" i="12" s="1"/>
  <c r="L173" i="12" a="1"/>
  <c r="L173" i="12" s="1"/>
  <c r="D174" i="12"/>
  <c r="FE171" i="12"/>
  <c r="FG171" i="12" s="1"/>
  <c r="FF171" i="12"/>
  <c r="EP171" i="12"/>
  <c r="CK171" i="12"/>
  <c r="DD171" i="12"/>
  <c r="AC171" i="12"/>
  <c r="BN171" i="12"/>
  <c r="BP171" i="12" s="1"/>
  <c r="AB171" i="12"/>
  <c r="AD171" i="12" s="1"/>
  <c r="BO171" i="12"/>
  <c r="CH171" i="12"/>
  <c r="CZ171" i="12"/>
  <c r="DB171" i="12" s="1"/>
  <c r="FI171" i="12"/>
  <c r="CG171" i="12"/>
  <c r="CI171" i="12" s="1"/>
  <c r="BR171" i="12"/>
  <c r="AY171" i="12"/>
  <c r="DS171" i="12"/>
  <c r="DU171" i="12" s="1"/>
  <c r="AF171" i="12"/>
  <c r="DW171" i="12"/>
  <c r="EL171" i="12"/>
  <c r="EN171" i="12" s="1"/>
  <c r="DT171" i="12"/>
  <c r="DA171" i="12"/>
  <c r="EM171" i="12"/>
  <c r="AU171" i="12"/>
  <c r="AW171" i="12" s="1"/>
  <c r="AV171" i="12"/>
  <c r="DX171" i="9"/>
  <c r="DW171" i="9"/>
  <c r="DZ171" i="9"/>
  <c r="DY171" i="9"/>
  <c r="FL171" i="9"/>
  <c r="FK171" i="9"/>
  <c r="FJ171" i="9"/>
  <c r="FI171" i="9"/>
  <c r="FM171" i="9" s="1"/>
  <c r="BV170" i="12" l="1"/>
  <c r="DH171" i="9"/>
  <c r="EA171" i="9"/>
  <c r="CO171" i="9"/>
  <c r="BV171" i="9"/>
  <c r="ET171" i="9"/>
  <c r="BC171" i="9"/>
  <c r="AV173" i="9"/>
  <c r="AU173" i="9"/>
  <c r="AW173" i="9" s="1"/>
  <c r="AZ173" i="9" s="1"/>
  <c r="AJ170" i="12"/>
  <c r="BO173" i="9"/>
  <c r="BN173" i="9"/>
  <c r="BP173" i="9" s="1"/>
  <c r="DS173" i="9"/>
  <c r="DU173" i="9" s="1"/>
  <c r="DZ173" i="9" s="1"/>
  <c r="FE173" i="9"/>
  <c r="FG173" i="9" s="1"/>
  <c r="DT173" i="9"/>
  <c r="CG173" i="9"/>
  <c r="CI173" i="9" s="1"/>
  <c r="CN173" i="9" s="1"/>
  <c r="AB173" i="9"/>
  <c r="AD173" i="9" s="1"/>
  <c r="AI173" i="9" s="1"/>
  <c r="FF173" i="9"/>
  <c r="AC173" i="9"/>
  <c r="CH173" i="9"/>
  <c r="DA173" i="9"/>
  <c r="DW173" i="9"/>
  <c r="O174" i="12" a="1"/>
  <c r="O174" i="12" s="1"/>
  <c r="J174" i="12" a="1"/>
  <c r="J174" i="12" s="1"/>
  <c r="G174" i="12" a="1"/>
  <c r="G174" i="12" s="1"/>
  <c r="N174" i="12" a="1"/>
  <c r="N174" i="12" s="1"/>
  <c r="L174" i="12" a="1"/>
  <c r="L174" i="12" s="1"/>
  <c r="H174" i="12" a="1"/>
  <c r="H174" i="12" s="1"/>
  <c r="K174" i="12" a="1"/>
  <c r="K174" i="12" s="1"/>
  <c r="D175" i="12"/>
  <c r="J175" i="9" a="1"/>
  <c r="J175" i="9" s="1"/>
  <c r="H175" i="9" a="1"/>
  <c r="H175" i="9" s="1"/>
  <c r="N175" i="9" a="1"/>
  <c r="N175" i="9" s="1"/>
  <c r="O175" i="9" a="1"/>
  <c r="O175" i="9" s="1"/>
  <c r="G175" i="9" a="1"/>
  <c r="G175" i="9" s="1"/>
  <c r="L175" i="9" a="1"/>
  <c r="L175" i="9" s="1"/>
  <c r="K175" i="9" a="1"/>
  <c r="K175" i="9" s="1"/>
  <c r="D176" i="9"/>
  <c r="EP172" i="9"/>
  <c r="ET172" i="9" s="1"/>
  <c r="EQ172" i="9"/>
  <c r="ES172" i="9"/>
  <c r="ER172" i="9"/>
  <c r="EP172" i="12"/>
  <c r="FF172" i="12"/>
  <c r="FE172" i="12"/>
  <c r="FG172" i="12" s="1"/>
  <c r="DD172" i="12"/>
  <c r="CK172" i="12"/>
  <c r="BO172" i="12"/>
  <c r="AB172" i="12"/>
  <c r="AD172" i="12" s="1"/>
  <c r="BN172" i="12"/>
  <c r="BP172" i="12" s="1"/>
  <c r="AC172" i="12"/>
  <c r="CH172" i="12"/>
  <c r="AF172" i="12"/>
  <c r="DT172" i="12"/>
  <c r="BR172" i="12"/>
  <c r="CG172" i="12"/>
  <c r="CI172" i="12" s="1"/>
  <c r="DS172" i="12"/>
  <c r="DU172" i="12" s="1"/>
  <c r="FI172" i="12"/>
  <c r="DW172" i="12"/>
  <c r="AY172" i="12"/>
  <c r="EM172" i="12"/>
  <c r="DA172" i="12"/>
  <c r="EL172" i="12"/>
  <c r="EN172" i="12" s="1"/>
  <c r="CZ172" i="12"/>
  <c r="DB172" i="12" s="1"/>
  <c r="AU172" i="12"/>
  <c r="AW172" i="12" s="1"/>
  <c r="AV172" i="12"/>
  <c r="AG171" i="12"/>
  <c r="AI171" i="12"/>
  <c r="AH171" i="12"/>
  <c r="AZ171" i="12"/>
  <c r="BB171" i="12"/>
  <c r="BA171" i="12"/>
  <c r="BS171" i="12"/>
  <c r="BU171" i="12"/>
  <c r="BT171" i="12"/>
  <c r="DW172" i="9"/>
  <c r="DY172" i="9"/>
  <c r="DZ172" i="9"/>
  <c r="DX172" i="9"/>
  <c r="DX171" i="12"/>
  <c r="DY171" i="12"/>
  <c r="DZ171" i="12"/>
  <c r="EL173" i="9"/>
  <c r="EN173" i="9" s="1"/>
  <c r="BT173" i="9"/>
  <c r="BU173" i="9"/>
  <c r="BS173" i="9"/>
  <c r="BR173" i="9"/>
  <c r="M173" i="12"/>
  <c r="P173" i="12" s="1"/>
  <c r="Q173" i="12" s="1"/>
  <c r="BS172" i="9"/>
  <c r="BT172" i="9"/>
  <c r="BU172" i="9"/>
  <c r="BR172" i="9"/>
  <c r="CL171" i="12"/>
  <c r="CM171" i="12"/>
  <c r="CN171" i="12"/>
  <c r="FJ173" i="9"/>
  <c r="FI173" i="9"/>
  <c r="FK173" i="9"/>
  <c r="FL173" i="9"/>
  <c r="AF172" i="9"/>
  <c r="AI172" i="9"/>
  <c r="AG172" i="9"/>
  <c r="AH172" i="9"/>
  <c r="CM172" i="9"/>
  <c r="CK172" i="9"/>
  <c r="CO172" i="9" s="1"/>
  <c r="CN172" i="9"/>
  <c r="CL172" i="9"/>
  <c r="EM173" i="9"/>
  <c r="DF172" i="9"/>
  <c r="DG172" i="9"/>
  <c r="DD172" i="9"/>
  <c r="DE172" i="9"/>
  <c r="FK172" i="9"/>
  <c r="FL172" i="9"/>
  <c r="FI172" i="9"/>
  <c r="FM172" i="9" s="1"/>
  <c r="FJ172" i="9"/>
  <c r="FJ171" i="12"/>
  <c r="FK171" i="12"/>
  <c r="FL171" i="12"/>
  <c r="EQ171" i="12"/>
  <c r="ES171" i="12"/>
  <c r="ER171" i="12"/>
  <c r="AY172" i="9"/>
  <c r="BA172" i="9"/>
  <c r="AZ172" i="9"/>
  <c r="BB172" i="9"/>
  <c r="M174" i="9"/>
  <c r="P174" i="9" s="1"/>
  <c r="Q174" i="9" s="1"/>
  <c r="DE171" i="12"/>
  <c r="DG171" i="12"/>
  <c r="DF171" i="12"/>
  <c r="CZ173" i="9"/>
  <c r="DB173" i="9" s="1"/>
  <c r="I175" i="9"/>
  <c r="Z174" i="9"/>
  <c r="AA174" i="9" s="1"/>
  <c r="AE174" i="9" s="1"/>
  <c r="BL174" i="9"/>
  <c r="BM174" i="9" s="1"/>
  <c r="BQ174" i="9" s="1"/>
  <c r="CE174" i="9"/>
  <c r="CF174" i="9" s="1"/>
  <c r="CJ174" i="9" s="1"/>
  <c r="FC174" i="9"/>
  <c r="FD174" i="9" s="1"/>
  <c r="FH174" i="9" s="1"/>
  <c r="AS174" i="9"/>
  <c r="AT174" i="9" s="1"/>
  <c r="AX174" i="9" s="1"/>
  <c r="CX174" i="9"/>
  <c r="CY174" i="9" s="1"/>
  <c r="DC174" i="9" s="1"/>
  <c r="DQ174" i="9"/>
  <c r="DR174" i="9" s="1"/>
  <c r="DV174" i="9" s="1"/>
  <c r="EJ174" i="9"/>
  <c r="EK174" i="9" s="1"/>
  <c r="EO174" i="9" s="1"/>
  <c r="CK173" i="9" l="1"/>
  <c r="CO171" i="12"/>
  <c r="BA173" i="9"/>
  <c r="AF173" i="9"/>
  <c r="BB173" i="9"/>
  <c r="AH173" i="9"/>
  <c r="AY173" i="9"/>
  <c r="AG173" i="9"/>
  <c r="DH172" i="9"/>
  <c r="AJ172" i="9"/>
  <c r="AJ173" i="9" s="1"/>
  <c r="BV172" i="9"/>
  <c r="BV173" i="9" s="1"/>
  <c r="EA172" i="9"/>
  <c r="BC172" i="9"/>
  <c r="BC173" i="9" s="1"/>
  <c r="FM173" i="9"/>
  <c r="DX173" i="9"/>
  <c r="EA173" i="9" s="1"/>
  <c r="M175" i="9"/>
  <c r="P175" i="9" s="1"/>
  <c r="Q175" i="9" s="1"/>
  <c r="CL173" i="9"/>
  <c r="CO173" i="9" s="1"/>
  <c r="CM173" i="9"/>
  <c r="DY173" i="9"/>
  <c r="ET171" i="12"/>
  <c r="AJ171" i="12"/>
  <c r="FM171" i="12"/>
  <c r="EA171" i="12"/>
  <c r="BV171" i="12"/>
  <c r="M174" i="12"/>
  <c r="P174" i="12" s="1"/>
  <c r="Q174" i="12" s="1"/>
  <c r="DD174" i="12" s="1"/>
  <c r="FE173" i="12"/>
  <c r="FG173" i="12" s="1"/>
  <c r="EP173" i="12"/>
  <c r="FF173" i="12"/>
  <c r="DD173" i="12"/>
  <c r="CK173" i="12"/>
  <c r="AB173" i="12"/>
  <c r="AD173" i="12" s="1"/>
  <c r="AC173" i="12"/>
  <c r="BN173" i="12"/>
  <c r="BP173" i="12" s="1"/>
  <c r="BO173" i="12"/>
  <c r="CH173" i="12"/>
  <c r="BR173" i="12"/>
  <c r="EL173" i="12"/>
  <c r="EN173" i="12" s="1"/>
  <c r="CG173" i="12"/>
  <c r="CI173" i="12" s="1"/>
  <c r="DT173" i="12"/>
  <c r="DA173" i="12"/>
  <c r="AY173" i="12"/>
  <c r="FI173" i="12"/>
  <c r="DS173" i="12"/>
  <c r="DU173" i="12" s="1"/>
  <c r="CZ173" i="12"/>
  <c r="DB173" i="12" s="1"/>
  <c r="AF173" i="12"/>
  <c r="DW173" i="12"/>
  <c r="EM173" i="12"/>
  <c r="AV173" i="12"/>
  <c r="AU173" i="12"/>
  <c r="AW173" i="12" s="1"/>
  <c r="AU174" i="12" s="1"/>
  <c r="AW174" i="12" s="1"/>
  <c r="CH174" i="9"/>
  <c r="BN174" i="9"/>
  <c r="BP174" i="9" s="1"/>
  <c r="CG174" i="9"/>
  <c r="CI174" i="9" s="1"/>
  <c r="BO174" i="9"/>
  <c r="AU174" i="9"/>
  <c r="AW174" i="9" s="1"/>
  <c r="FF174" i="9"/>
  <c r="FE174" i="9"/>
  <c r="FG174" i="9" s="1"/>
  <c r="AV174" i="9"/>
  <c r="DA174" i="9"/>
  <c r="AC174" i="9"/>
  <c r="CZ174" i="9"/>
  <c r="DB174" i="9" s="1"/>
  <c r="AB174" i="9"/>
  <c r="AD174" i="9" s="1"/>
  <c r="EM174" i="9"/>
  <c r="EL174" i="9"/>
  <c r="EN174" i="9" s="1"/>
  <c r="DT174" i="9"/>
  <c r="DS174" i="9"/>
  <c r="DU174" i="9" s="1"/>
  <c r="EQ172" i="12"/>
  <c r="ES172" i="12"/>
  <c r="ER172" i="12"/>
  <c r="AI172" i="12"/>
  <c r="AG172" i="12"/>
  <c r="AH172" i="12"/>
  <c r="BC171" i="12"/>
  <c r="L175" i="12" a="1"/>
  <c r="L175" i="12" s="1"/>
  <c r="K175" i="12" a="1"/>
  <c r="K175" i="12" s="1"/>
  <c r="O175" i="12" a="1"/>
  <c r="O175" i="12" s="1"/>
  <c r="J175" i="12" a="1"/>
  <c r="J175" i="12" s="1"/>
  <c r="G175" i="12" a="1"/>
  <c r="G175" i="12" s="1"/>
  <c r="N175" i="12" a="1"/>
  <c r="N175" i="12" s="1"/>
  <c r="H175" i="12" a="1"/>
  <c r="H175" i="12" s="1"/>
  <c r="D176" i="12"/>
  <c r="FJ172" i="12"/>
  <c r="FM172" i="12" s="1"/>
  <c r="FL172" i="12"/>
  <c r="FK172" i="12"/>
  <c r="K176" i="9" a="1"/>
  <c r="K176" i="9" s="1"/>
  <c r="J176" i="9" a="1"/>
  <c r="J176" i="9" s="1"/>
  <c r="G176" i="9" a="1"/>
  <c r="G176" i="9" s="1"/>
  <c r="H176" i="9" a="1"/>
  <c r="H176" i="9" s="1"/>
  <c r="O176" i="9" a="1"/>
  <c r="O176" i="9" s="1"/>
  <c r="N176" i="9" a="1"/>
  <c r="N176" i="9" s="1"/>
  <c r="L176" i="9" a="1"/>
  <c r="L176" i="9" s="1"/>
  <c r="D177" i="9"/>
  <c r="AZ172" i="12"/>
  <c r="BA172" i="12"/>
  <c r="BB172" i="12"/>
  <c r="I176" i="9"/>
  <c r="DQ175" i="9"/>
  <c r="DR175" i="9" s="1"/>
  <c r="DV175" i="9" s="1"/>
  <c r="FC175" i="9"/>
  <c r="FD175" i="9" s="1"/>
  <c r="FH175" i="9" s="1"/>
  <c r="CE175" i="9"/>
  <c r="CF175" i="9" s="1"/>
  <c r="CJ175" i="9" s="1"/>
  <c r="BL175" i="9"/>
  <c r="BM175" i="9" s="1"/>
  <c r="BQ175" i="9" s="1"/>
  <c r="CX175" i="9"/>
  <c r="CY175" i="9" s="1"/>
  <c r="DC175" i="9" s="1"/>
  <c r="EJ175" i="9"/>
  <c r="EK175" i="9" s="1"/>
  <c r="EO175" i="9" s="1"/>
  <c r="Z175" i="9"/>
  <c r="AA175" i="9" s="1"/>
  <c r="AE175" i="9" s="1"/>
  <c r="AS175" i="9"/>
  <c r="AT175" i="9" s="1"/>
  <c r="AX175" i="9" s="1"/>
  <c r="EQ173" i="9"/>
  <c r="EP173" i="9"/>
  <c r="ES173" i="9"/>
  <c r="ER173" i="9"/>
  <c r="DE172" i="12"/>
  <c r="DF172" i="12"/>
  <c r="DG172" i="12"/>
  <c r="DD173" i="9"/>
  <c r="DF173" i="9"/>
  <c r="DG173" i="9"/>
  <c r="DE173" i="9"/>
  <c r="DX172" i="12"/>
  <c r="DZ172" i="12"/>
  <c r="DY172" i="12"/>
  <c r="CM172" i="12"/>
  <c r="CN172" i="12"/>
  <c r="CL172" i="12"/>
  <c r="DH171" i="12"/>
  <c r="BS172" i="12"/>
  <c r="BU172" i="12"/>
  <c r="BT172" i="12"/>
  <c r="EL174" i="12" l="1"/>
  <c r="EN174" i="12" s="1"/>
  <c r="CZ174" i="12"/>
  <c r="DB174" i="12" s="1"/>
  <c r="DW174" i="12"/>
  <c r="CH174" i="12"/>
  <c r="CK174" i="12"/>
  <c r="BR174" i="12"/>
  <c r="AF174" i="12"/>
  <c r="DT174" i="12"/>
  <c r="EM174" i="12"/>
  <c r="DA174" i="12"/>
  <c r="FI174" i="12"/>
  <c r="DH173" i="9"/>
  <c r="ET173" i="9"/>
  <c r="M175" i="12"/>
  <c r="AB174" i="12"/>
  <c r="AD174" i="12" s="1"/>
  <c r="AH174" i="12" s="1"/>
  <c r="BV172" i="12"/>
  <c r="AC174" i="12"/>
  <c r="EP174" i="12"/>
  <c r="FF174" i="12"/>
  <c r="FE174" i="12"/>
  <c r="FG174" i="12" s="1"/>
  <c r="FL174" i="12" s="1"/>
  <c r="AJ172" i="12"/>
  <c r="ET172" i="12"/>
  <c r="CG174" i="12"/>
  <c r="CI174" i="12" s="1"/>
  <c r="CM174" i="12" s="1"/>
  <c r="DS174" i="12"/>
  <c r="DU174" i="12" s="1"/>
  <c r="DX174" i="12" s="1"/>
  <c r="BC172" i="12"/>
  <c r="BA174" i="12"/>
  <c r="BB174" i="12"/>
  <c r="AZ174" i="12"/>
  <c r="DE174" i="12"/>
  <c r="DF174" i="12"/>
  <c r="DG174" i="12"/>
  <c r="BS173" i="12"/>
  <c r="BU173" i="12"/>
  <c r="BT173" i="12"/>
  <c r="EA172" i="12"/>
  <c r="DH172" i="12"/>
  <c r="M176" i="9"/>
  <c r="P175" i="12"/>
  <c r="Q175" i="12" s="1"/>
  <c r="BO174" i="12"/>
  <c r="FJ174" i="9"/>
  <c r="FK174" i="9"/>
  <c r="FI174" i="9"/>
  <c r="FL174" i="9"/>
  <c r="I177" i="9"/>
  <c r="BL176" i="9"/>
  <c r="BM176" i="9" s="1"/>
  <c r="BQ176" i="9" s="1"/>
  <c r="FC176" i="9"/>
  <c r="FD176" i="9" s="1"/>
  <c r="FH176" i="9" s="1"/>
  <c r="Z176" i="9"/>
  <c r="AA176" i="9" s="1"/>
  <c r="AE176" i="9" s="1"/>
  <c r="EJ176" i="9"/>
  <c r="EK176" i="9" s="1"/>
  <c r="EO176" i="9" s="1"/>
  <c r="AS176" i="9"/>
  <c r="AT176" i="9" s="1"/>
  <c r="AX176" i="9" s="1"/>
  <c r="DQ176" i="9"/>
  <c r="DR176" i="9" s="1"/>
  <c r="DV176" i="9" s="1"/>
  <c r="CX176" i="9"/>
  <c r="CY176" i="9" s="1"/>
  <c r="DC176" i="9" s="1"/>
  <c r="CE176" i="9"/>
  <c r="CF176" i="9" s="1"/>
  <c r="CJ176" i="9" s="1"/>
  <c r="AZ173" i="12"/>
  <c r="BB173" i="12"/>
  <c r="BA173" i="12"/>
  <c r="EQ174" i="12"/>
  <c r="ER174" i="12"/>
  <c r="ES174" i="12"/>
  <c r="AI174" i="12"/>
  <c r="ES174" i="9"/>
  <c r="ER174" i="9"/>
  <c r="EQ174" i="9"/>
  <c r="EP174" i="9"/>
  <c r="AG173" i="12"/>
  <c r="AH173" i="12"/>
  <c r="AI173" i="12"/>
  <c r="AV174" i="12"/>
  <c r="FF175" i="9"/>
  <c r="AU175" i="9"/>
  <c r="AW175" i="9" s="1"/>
  <c r="FE175" i="9"/>
  <c r="FG175" i="9" s="1"/>
  <c r="BN175" i="9"/>
  <c r="BP175" i="9" s="1"/>
  <c r="CG175" i="9"/>
  <c r="CI175" i="9" s="1"/>
  <c r="AV175" i="9"/>
  <c r="CH175" i="9"/>
  <c r="BO175" i="9"/>
  <c r="AB175" i="9"/>
  <c r="AD175" i="9" s="1"/>
  <c r="DA175" i="9"/>
  <c r="CZ175" i="9"/>
  <c r="DB175" i="9" s="1"/>
  <c r="AC175" i="9"/>
  <c r="EM175" i="9"/>
  <c r="EL175" i="9"/>
  <c r="EN175" i="9" s="1"/>
  <c r="DT175" i="9"/>
  <c r="DS175" i="9"/>
  <c r="DU175" i="9" s="1"/>
  <c r="AY174" i="12"/>
  <c r="AZ174" i="9"/>
  <c r="BB174" i="9"/>
  <c r="BA174" i="9"/>
  <c r="AY174" i="9"/>
  <c r="CL173" i="12"/>
  <c r="CM173" i="12"/>
  <c r="CN173" i="12"/>
  <c r="L177" i="9" a="1"/>
  <c r="L177" i="9" s="1"/>
  <c r="K177" i="9" a="1"/>
  <c r="K177" i="9" s="1"/>
  <c r="O177" i="9" a="1"/>
  <c r="O177" i="9" s="1"/>
  <c r="H177" i="9" a="1"/>
  <c r="H177" i="9" s="1"/>
  <c r="G177" i="9" a="1"/>
  <c r="G177" i="9" s="1"/>
  <c r="J177" i="9" a="1"/>
  <c r="J177" i="9" s="1"/>
  <c r="N177" i="9" a="1"/>
  <c r="N177" i="9" s="1"/>
  <c r="D178" i="9"/>
  <c r="AF174" i="9"/>
  <c r="AH174" i="9"/>
  <c r="AG174" i="9"/>
  <c r="AI174" i="9"/>
  <c r="EQ173" i="12"/>
  <c r="ES173" i="12"/>
  <c r="ER173" i="12"/>
  <c r="P176" i="9"/>
  <c r="Q176" i="9" s="1"/>
  <c r="DD174" i="9"/>
  <c r="DF174" i="9"/>
  <c r="DG174" i="9"/>
  <c r="DE174" i="9"/>
  <c r="CM174" i="9"/>
  <c r="CN174" i="9"/>
  <c r="CK174" i="9"/>
  <c r="CL174" i="9"/>
  <c r="DE173" i="12"/>
  <c r="DF173" i="12"/>
  <c r="DG173" i="12"/>
  <c r="DY174" i="9"/>
  <c r="DZ174" i="9"/>
  <c r="DW174" i="9"/>
  <c r="EA174" i="9" s="1"/>
  <c r="DX174" i="9"/>
  <c r="CO172" i="12"/>
  <c r="FJ174" i="12"/>
  <c r="FK174" i="12"/>
  <c r="BS174" i="9"/>
  <c r="BR174" i="9"/>
  <c r="BT174" i="9"/>
  <c r="BU174" i="9"/>
  <c r="DX173" i="12"/>
  <c r="DZ173" i="12"/>
  <c r="DY173" i="12"/>
  <c r="O176" i="12" a="1"/>
  <c r="O176" i="12" s="1"/>
  <c r="N176" i="12" a="1"/>
  <c r="N176" i="12" s="1"/>
  <c r="H176" i="12" a="1"/>
  <c r="H176" i="12" s="1"/>
  <c r="J176" i="12" a="1"/>
  <c r="J176" i="12" s="1"/>
  <c r="K176" i="12" a="1"/>
  <c r="K176" i="12" s="1"/>
  <c r="G176" i="12" a="1"/>
  <c r="G176" i="12" s="1"/>
  <c r="L176" i="12" a="1"/>
  <c r="L176" i="12" s="1"/>
  <c r="D177" i="12"/>
  <c r="BN174" i="12"/>
  <c r="BP174" i="12" s="1"/>
  <c r="FJ173" i="12"/>
  <c r="FL173" i="12"/>
  <c r="FK173" i="12"/>
  <c r="CL174" i="12" l="1"/>
  <c r="AG174" i="12"/>
  <c r="FM174" i="9"/>
  <c r="ET174" i="9"/>
  <c r="DH174" i="9"/>
  <c r="CO174" i="9"/>
  <c r="AJ174" i="9"/>
  <c r="BV174" i="9"/>
  <c r="BC174" i="9"/>
  <c r="CN174" i="12"/>
  <c r="CO174" i="12" s="1"/>
  <c r="BC173" i="12"/>
  <c r="DY174" i="12"/>
  <c r="DZ174" i="12"/>
  <c r="FM173" i="12"/>
  <c r="FM174" i="12"/>
  <c r="AJ173" i="12"/>
  <c r="AJ174" i="12"/>
  <c r="BC174" i="12"/>
  <c r="CO173" i="12"/>
  <c r="BV173" i="12"/>
  <c r="N177" i="12" a="1"/>
  <c r="N177" i="12" s="1"/>
  <c r="H177" i="12" a="1"/>
  <c r="H177" i="12" s="1"/>
  <c r="G177" i="12" a="1"/>
  <c r="G177" i="12" s="1"/>
  <c r="J177" i="12" a="1"/>
  <c r="J177" i="12" s="1"/>
  <c r="L177" i="12" a="1"/>
  <c r="L177" i="12" s="1"/>
  <c r="K177" i="12" a="1"/>
  <c r="K177" i="12" s="1"/>
  <c r="O177" i="12" a="1"/>
  <c r="O177" i="12" s="1"/>
  <c r="D178" i="12"/>
  <c r="EA173" i="12"/>
  <c r="BN176" i="9"/>
  <c r="BP176" i="9" s="1"/>
  <c r="BO176" i="9"/>
  <c r="AU176" i="9"/>
  <c r="AW176" i="9" s="1"/>
  <c r="CH176" i="9"/>
  <c r="FF176" i="9"/>
  <c r="AV176" i="9"/>
  <c r="CG176" i="9"/>
  <c r="CI176" i="9" s="1"/>
  <c r="FE176" i="9"/>
  <c r="FG176" i="9" s="1"/>
  <c r="AC176" i="9"/>
  <c r="EM176" i="9"/>
  <c r="DA176" i="9"/>
  <c r="AB176" i="9"/>
  <c r="AD176" i="9" s="1"/>
  <c r="CZ176" i="9"/>
  <c r="DB176" i="9" s="1"/>
  <c r="EL176" i="9"/>
  <c r="EN176" i="9" s="1"/>
  <c r="DT176" i="9"/>
  <c r="DS176" i="9"/>
  <c r="DU176" i="9" s="1"/>
  <c r="AF175" i="9"/>
  <c r="AH175" i="9"/>
  <c r="AG175" i="9"/>
  <c r="AI175" i="9"/>
  <c r="ET173" i="12"/>
  <c r="N178" i="9" a="1"/>
  <c r="N178" i="9" s="1"/>
  <c r="H178" i="9" a="1"/>
  <c r="H178" i="9" s="1"/>
  <c r="L178" i="9" a="1"/>
  <c r="L178" i="9" s="1"/>
  <c r="G178" i="9" a="1"/>
  <c r="G178" i="9" s="1"/>
  <c r="K178" i="9" a="1"/>
  <c r="K178" i="9" s="1"/>
  <c r="J178" i="9" a="1"/>
  <c r="J178" i="9" s="1"/>
  <c r="O178" i="9" a="1"/>
  <c r="O178" i="9" s="1"/>
  <c r="D179" i="9"/>
  <c r="DX175" i="9"/>
  <c r="DW175" i="9"/>
  <c r="DZ175" i="9"/>
  <c r="DY175" i="9"/>
  <c r="M177" i="9"/>
  <c r="P177" i="9" s="1"/>
  <c r="Q177" i="9" s="1"/>
  <c r="FE175" i="12"/>
  <c r="FG175" i="12" s="1"/>
  <c r="FF175" i="12"/>
  <c r="EP175" i="12"/>
  <c r="CK175" i="12"/>
  <c r="DD175" i="12"/>
  <c r="AC175" i="12"/>
  <c r="AB175" i="12"/>
  <c r="AD175" i="12" s="1"/>
  <c r="BO175" i="12"/>
  <c r="BN175" i="12"/>
  <c r="BP175" i="12" s="1"/>
  <c r="CG175" i="12"/>
  <c r="CI175" i="12" s="1"/>
  <c r="DA175" i="12"/>
  <c r="AF175" i="12"/>
  <c r="DW175" i="12"/>
  <c r="FI175" i="12"/>
  <c r="CZ175" i="12"/>
  <c r="DB175" i="12" s="1"/>
  <c r="BR175" i="12"/>
  <c r="AY175" i="12"/>
  <c r="EM175" i="12"/>
  <c r="DT175" i="12"/>
  <c r="CH175" i="12"/>
  <c r="EL175" i="12"/>
  <c r="EN175" i="12" s="1"/>
  <c r="DS175" i="12"/>
  <c r="DU175" i="12" s="1"/>
  <c r="AU175" i="12"/>
  <c r="AW175" i="12" s="1"/>
  <c r="AV175" i="12"/>
  <c r="DH174" i="12"/>
  <c r="EP175" i="9"/>
  <c r="ET175" i="9" s="1"/>
  <c r="EQ175" i="9"/>
  <c r="ES175" i="9"/>
  <c r="ER175" i="9"/>
  <c r="I178" i="9"/>
  <c r="BL177" i="9"/>
  <c r="BM177" i="9" s="1"/>
  <c r="BQ177" i="9" s="1"/>
  <c r="AS177" i="9"/>
  <c r="AT177" i="9" s="1"/>
  <c r="AX177" i="9" s="1"/>
  <c r="FC177" i="9"/>
  <c r="FD177" i="9" s="1"/>
  <c r="FH177" i="9" s="1"/>
  <c r="EJ177" i="9"/>
  <c r="EK177" i="9" s="1"/>
  <c r="EO177" i="9" s="1"/>
  <c r="CX177" i="9"/>
  <c r="CY177" i="9" s="1"/>
  <c r="DC177" i="9" s="1"/>
  <c r="CE177" i="9"/>
  <c r="CF177" i="9" s="1"/>
  <c r="CJ177" i="9" s="1"/>
  <c r="DQ177" i="9"/>
  <c r="DR177" i="9" s="1"/>
  <c r="DV177" i="9" s="1"/>
  <c r="Z177" i="9"/>
  <c r="AA177" i="9" s="1"/>
  <c r="AE177" i="9" s="1"/>
  <c r="BS174" i="12"/>
  <c r="BT174" i="12"/>
  <c r="BU174" i="12"/>
  <c r="M176" i="12"/>
  <c r="P176" i="12" s="1"/>
  <c r="Q176" i="12" s="1"/>
  <c r="DH173" i="12"/>
  <c r="CL175" i="9"/>
  <c r="CK175" i="9"/>
  <c r="CN175" i="9"/>
  <c r="CM175" i="9"/>
  <c r="AY175" i="9"/>
  <c r="AZ175" i="9"/>
  <c r="BB175" i="9"/>
  <c r="BA175" i="9"/>
  <c r="EA174" i="12"/>
  <c r="BT175" i="9"/>
  <c r="BS175" i="9"/>
  <c r="BU175" i="9"/>
  <c r="BR175" i="9"/>
  <c r="DE175" i="9"/>
  <c r="DF175" i="9"/>
  <c r="DG175" i="9"/>
  <c r="DD175" i="9"/>
  <c r="FL175" i="9"/>
  <c r="FK175" i="9"/>
  <c r="FJ175" i="9"/>
  <c r="FI175" i="9"/>
  <c r="ET174" i="12"/>
  <c r="M178" i="9" l="1"/>
  <c r="FM175" i="9"/>
  <c r="CO175" i="9"/>
  <c r="EA175" i="9"/>
  <c r="DH175" i="9"/>
  <c r="BV175" i="9"/>
  <c r="AJ175" i="9"/>
  <c r="BC175" i="9"/>
  <c r="BV174" i="12"/>
  <c r="EP176" i="12"/>
  <c r="FE176" i="12"/>
  <c r="FG176" i="12" s="1"/>
  <c r="FF176" i="12"/>
  <c r="DD176" i="12"/>
  <c r="CK176" i="12"/>
  <c r="BO176" i="12"/>
  <c r="BN176" i="12"/>
  <c r="BP176" i="12" s="1"/>
  <c r="AB176" i="12"/>
  <c r="AD176" i="12" s="1"/>
  <c r="AC176" i="12"/>
  <c r="BR176" i="12"/>
  <c r="DW176" i="12"/>
  <c r="DT176" i="12"/>
  <c r="CZ176" i="12"/>
  <c r="DB176" i="12" s="1"/>
  <c r="CH176" i="12"/>
  <c r="AY176" i="12"/>
  <c r="DS176" i="12"/>
  <c r="DU176" i="12" s="1"/>
  <c r="AF176" i="12"/>
  <c r="CG176" i="12"/>
  <c r="CI176" i="12" s="1"/>
  <c r="EL176" i="12"/>
  <c r="EN176" i="12" s="1"/>
  <c r="DA176" i="12"/>
  <c r="EM176" i="12"/>
  <c r="FI176" i="12"/>
  <c r="AV176" i="12"/>
  <c r="AU176" i="12"/>
  <c r="AW176" i="12" s="1"/>
  <c r="P178" i="9"/>
  <c r="Q178" i="9" s="1"/>
  <c r="ES176" i="9"/>
  <c r="ER176" i="9"/>
  <c r="EQ176" i="9"/>
  <c r="EP176" i="9"/>
  <c r="ET176" i="9" s="1"/>
  <c r="CM176" i="9"/>
  <c r="CK176" i="9"/>
  <c r="CO176" i="9" s="1"/>
  <c r="CN176" i="9"/>
  <c r="CL176" i="9"/>
  <c r="CH177" i="9"/>
  <c r="AU177" i="9"/>
  <c r="AW177" i="9" s="1"/>
  <c r="FF177" i="9"/>
  <c r="CG177" i="9"/>
  <c r="CI177" i="9" s="1"/>
  <c r="AV177" i="9"/>
  <c r="BN177" i="9"/>
  <c r="BP177" i="9" s="1"/>
  <c r="BO177" i="9"/>
  <c r="FE177" i="9"/>
  <c r="FG177" i="9" s="1"/>
  <c r="CZ177" i="9"/>
  <c r="DB177" i="9" s="1"/>
  <c r="EL177" i="9"/>
  <c r="EN177" i="9" s="1"/>
  <c r="AC177" i="9"/>
  <c r="AB177" i="9"/>
  <c r="AD177" i="9" s="1"/>
  <c r="DA177" i="9"/>
  <c r="EM177" i="9"/>
  <c r="DT177" i="9"/>
  <c r="DS177" i="9"/>
  <c r="DU177" i="9" s="1"/>
  <c r="DG176" i="9"/>
  <c r="DF176" i="9"/>
  <c r="DE176" i="9"/>
  <c r="DD176" i="9"/>
  <c r="DH176" i="9" s="1"/>
  <c r="CM175" i="12"/>
  <c r="CN175" i="12"/>
  <c r="CL175" i="12"/>
  <c r="G179" i="9" a="1"/>
  <c r="G179" i="9" s="1"/>
  <c r="H179" i="9" a="1"/>
  <c r="H179" i="9" s="1"/>
  <c r="L179" i="9" a="1"/>
  <c r="L179" i="9" s="1"/>
  <c r="O179" i="9" a="1"/>
  <c r="O179" i="9" s="1"/>
  <c r="K179" i="9" a="1"/>
  <c r="K179" i="9" s="1"/>
  <c r="N179" i="9" a="1"/>
  <c r="N179" i="9" s="1"/>
  <c r="J179" i="9" a="1"/>
  <c r="J179" i="9" s="1"/>
  <c r="D180" i="9"/>
  <c r="AG176" i="9"/>
  <c r="AH176" i="9"/>
  <c r="AI176" i="9"/>
  <c r="AF176" i="9"/>
  <c r="EQ175" i="12"/>
  <c r="ES175" i="12"/>
  <c r="ER175" i="12"/>
  <c r="N178" i="12" a="1"/>
  <c r="N178" i="12" s="1"/>
  <c r="H178" i="12" a="1"/>
  <c r="H178" i="12" s="1"/>
  <c r="L178" i="12" a="1"/>
  <c r="L178" i="12" s="1"/>
  <c r="O178" i="12" a="1"/>
  <c r="O178" i="12" s="1"/>
  <c r="K178" i="12" a="1"/>
  <c r="K178" i="12" s="1"/>
  <c r="J178" i="12" a="1"/>
  <c r="J178" i="12" s="1"/>
  <c r="G178" i="12" a="1"/>
  <c r="G178" i="12" s="1"/>
  <c r="D179" i="12"/>
  <c r="BS175" i="12"/>
  <c r="BT175" i="12"/>
  <c r="BU175" i="12"/>
  <c r="FJ175" i="12"/>
  <c r="FK175" i="12"/>
  <c r="FL175" i="12"/>
  <c r="BB176" i="9"/>
  <c r="AY176" i="9"/>
  <c r="AZ176" i="9"/>
  <c r="BA176" i="9"/>
  <c r="M177" i="12"/>
  <c r="BA175" i="12"/>
  <c r="BB175" i="12"/>
  <c r="AZ175" i="12"/>
  <c r="DE175" i="12"/>
  <c r="DG175" i="12"/>
  <c r="DF175" i="12"/>
  <c r="AI175" i="12"/>
  <c r="AG175" i="12"/>
  <c r="AH175" i="12"/>
  <c r="BT176" i="9"/>
  <c r="BR176" i="9"/>
  <c r="BU176" i="9"/>
  <c r="BS176" i="9"/>
  <c r="I179" i="9"/>
  <c r="BL178" i="9"/>
  <c r="BM178" i="9" s="1"/>
  <c r="BQ178" i="9" s="1"/>
  <c r="Z178" i="9"/>
  <c r="AA178" i="9" s="1"/>
  <c r="AE178" i="9" s="1"/>
  <c r="DQ178" i="9"/>
  <c r="DR178" i="9" s="1"/>
  <c r="DV178" i="9" s="1"/>
  <c r="AS178" i="9"/>
  <c r="AT178" i="9" s="1"/>
  <c r="AX178" i="9" s="1"/>
  <c r="FC178" i="9"/>
  <c r="FD178" i="9" s="1"/>
  <c r="FH178" i="9" s="1"/>
  <c r="CX178" i="9"/>
  <c r="CY178" i="9" s="1"/>
  <c r="DC178" i="9" s="1"/>
  <c r="CE178" i="9"/>
  <c r="CF178" i="9" s="1"/>
  <c r="CJ178" i="9" s="1"/>
  <c r="EJ178" i="9"/>
  <c r="EK178" i="9" s="1"/>
  <c r="EO178" i="9" s="1"/>
  <c r="DX175" i="12"/>
  <c r="DY175" i="12"/>
  <c r="DZ175" i="12"/>
  <c r="DZ176" i="9"/>
  <c r="DY176" i="9"/>
  <c r="DW176" i="9"/>
  <c r="DX176" i="9"/>
  <c r="FJ176" i="9"/>
  <c r="FL176" i="9"/>
  <c r="FK176" i="9"/>
  <c r="FI176" i="9"/>
  <c r="P177" i="12"/>
  <c r="Q177" i="12" s="1"/>
  <c r="EA176" i="9" l="1"/>
  <c r="FM176" i="9"/>
  <c r="BV175" i="12"/>
  <c r="AJ176" i="9"/>
  <c r="BV176" i="9"/>
  <c r="BC176" i="9"/>
  <c r="FM175" i="12"/>
  <c r="BC175" i="12"/>
  <c r="ET175" i="12"/>
  <c r="AJ175" i="12"/>
  <c r="DH175" i="12"/>
  <c r="CO175" i="12"/>
  <c r="L179" i="12" a="1"/>
  <c r="L179" i="12" s="1"/>
  <c r="O179" i="12" a="1"/>
  <c r="O179" i="12" s="1"/>
  <c r="G179" i="12" a="1"/>
  <c r="G179" i="12" s="1"/>
  <c r="N179" i="12" a="1"/>
  <c r="N179" i="12" s="1"/>
  <c r="H179" i="12" a="1"/>
  <c r="H179" i="12" s="1"/>
  <c r="J179" i="12" a="1"/>
  <c r="J179" i="12" s="1"/>
  <c r="D180" i="12"/>
  <c r="K179" i="12" a="1"/>
  <c r="K179" i="12" s="1"/>
  <c r="AG177" i="9"/>
  <c r="AF177" i="9"/>
  <c r="AI177" i="9"/>
  <c r="AH177" i="9"/>
  <c r="CM177" i="9"/>
  <c r="CN177" i="9"/>
  <c r="CL177" i="9"/>
  <c r="CK177" i="9"/>
  <c r="CO177" i="9" s="1"/>
  <c r="BS176" i="12"/>
  <c r="BT176" i="12"/>
  <c r="BU176" i="12"/>
  <c r="EP177" i="12"/>
  <c r="FE177" i="12"/>
  <c r="FG177" i="12" s="1"/>
  <c r="FF177" i="12"/>
  <c r="CK177" i="12"/>
  <c r="DD177" i="12"/>
  <c r="BN177" i="12"/>
  <c r="BP177" i="12" s="1"/>
  <c r="BO177" i="12"/>
  <c r="AB177" i="12"/>
  <c r="AD177" i="12" s="1"/>
  <c r="AC177" i="12"/>
  <c r="DS177" i="12"/>
  <c r="DU177" i="12" s="1"/>
  <c r="CZ177" i="12"/>
  <c r="DB177" i="12" s="1"/>
  <c r="EL177" i="12"/>
  <c r="EN177" i="12" s="1"/>
  <c r="AY177" i="12"/>
  <c r="CG177" i="12"/>
  <c r="CI177" i="12" s="1"/>
  <c r="BR177" i="12"/>
  <c r="AF177" i="12"/>
  <c r="DT177" i="12"/>
  <c r="EM177" i="12"/>
  <c r="DW177" i="12"/>
  <c r="CH177" i="12"/>
  <c r="FI177" i="12"/>
  <c r="DA177" i="12"/>
  <c r="AV177" i="12"/>
  <c r="AU177" i="12"/>
  <c r="AW177" i="12" s="1"/>
  <c r="BB176" i="12"/>
  <c r="AZ176" i="12"/>
  <c r="BA176" i="12"/>
  <c r="M178" i="12"/>
  <c r="P178" i="12" s="1"/>
  <c r="Q178" i="12" s="1"/>
  <c r="ER177" i="9"/>
  <c r="EQ177" i="9"/>
  <c r="ES177" i="9"/>
  <c r="EP177" i="9"/>
  <c r="AZ177" i="9"/>
  <c r="BB177" i="9"/>
  <c r="AY177" i="9"/>
  <c r="BA177" i="9"/>
  <c r="DE176" i="12"/>
  <c r="DG176" i="12"/>
  <c r="DF176" i="12"/>
  <c r="DX176" i="12"/>
  <c r="DZ176" i="12"/>
  <c r="DY176" i="12"/>
  <c r="EA175" i="12"/>
  <c r="DD177" i="9"/>
  <c r="DF177" i="9"/>
  <c r="DE177" i="9"/>
  <c r="DG177" i="9"/>
  <c r="DX177" i="9"/>
  <c r="DW177" i="9"/>
  <c r="EA177" i="9" s="1"/>
  <c r="DY177" i="9"/>
  <c r="DZ177" i="9"/>
  <c r="FI177" i="9"/>
  <c r="FL177" i="9"/>
  <c r="FJ177" i="9"/>
  <c r="FK177" i="9"/>
  <c r="BO178" i="9"/>
  <c r="AV178" i="9"/>
  <c r="FE178" i="9"/>
  <c r="FG178" i="9" s="1"/>
  <c r="FF178" i="9"/>
  <c r="CH178" i="9"/>
  <c r="AU178" i="9"/>
  <c r="AW178" i="9" s="1"/>
  <c r="CG178" i="9"/>
  <c r="CI178" i="9" s="1"/>
  <c r="BN178" i="9"/>
  <c r="BP178" i="9" s="1"/>
  <c r="EM178" i="9"/>
  <c r="DA178" i="9"/>
  <c r="AB178" i="9"/>
  <c r="AD178" i="9" s="1"/>
  <c r="EL178" i="9"/>
  <c r="EN178" i="9" s="1"/>
  <c r="CZ178" i="9"/>
  <c r="DB178" i="9" s="1"/>
  <c r="AC178" i="9"/>
  <c r="DT178" i="9"/>
  <c r="DS178" i="9"/>
  <c r="DU178" i="9" s="1"/>
  <c r="EQ176" i="12"/>
  <c r="ER176" i="12"/>
  <c r="ES176" i="12"/>
  <c r="I180" i="9"/>
  <c r="CE179" i="9"/>
  <c r="CF179" i="9" s="1"/>
  <c r="CJ179" i="9" s="1"/>
  <c r="EJ179" i="9"/>
  <c r="EK179" i="9" s="1"/>
  <c r="EO179" i="9" s="1"/>
  <c r="BL179" i="9"/>
  <c r="BM179" i="9" s="1"/>
  <c r="BQ179" i="9" s="1"/>
  <c r="AS179" i="9"/>
  <c r="AT179" i="9" s="1"/>
  <c r="AX179" i="9" s="1"/>
  <c r="CX179" i="9"/>
  <c r="CY179" i="9" s="1"/>
  <c r="DC179" i="9" s="1"/>
  <c r="DQ179" i="9"/>
  <c r="DR179" i="9" s="1"/>
  <c r="DV179" i="9" s="1"/>
  <c r="Z179" i="9"/>
  <c r="AA179" i="9" s="1"/>
  <c r="AE179" i="9" s="1"/>
  <c r="FC179" i="9"/>
  <c r="FD179" i="9" s="1"/>
  <c r="FH179" i="9" s="1"/>
  <c r="CL176" i="12"/>
  <c r="CN176" i="12"/>
  <c r="CM176" i="12"/>
  <c r="BV176" i="12"/>
  <c r="FJ176" i="12"/>
  <c r="FL176" i="12"/>
  <c r="FK176" i="12"/>
  <c r="AH176" i="12"/>
  <c r="AG176" i="12"/>
  <c r="AI176" i="12"/>
  <c r="L180" i="9" a="1"/>
  <c r="L180" i="9" s="1"/>
  <c r="K180" i="9" a="1"/>
  <c r="K180" i="9" s="1"/>
  <c r="N180" i="9" a="1"/>
  <c r="N180" i="9" s="1"/>
  <c r="H180" i="9" a="1"/>
  <c r="H180" i="9" s="1"/>
  <c r="G180" i="9" a="1"/>
  <c r="G180" i="9" s="1"/>
  <c r="J180" i="9" a="1"/>
  <c r="J180" i="9" s="1"/>
  <c r="O180" i="9" a="1"/>
  <c r="O180" i="9" s="1"/>
  <c r="D181" i="9"/>
  <c r="M179" i="9"/>
  <c r="P179" i="9" s="1"/>
  <c r="Q179" i="9" s="1"/>
  <c r="BT177" i="9"/>
  <c r="BU177" i="9"/>
  <c r="BR177" i="9"/>
  <c r="BS177" i="9"/>
  <c r="ET177" i="9" l="1"/>
  <c r="BC177" i="9"/>
  <c r="FM177" i="9"/>
  <c r="DH177" i="9"/>
  <c r="BV177" i="9"/>
  <c r="AJ177" i="9"/>
  <c r="AJ176" i="12"/>
  <c r="EA176" i="12"/>
  <c r="CO176" i="12"/>
  <c r="FM176" i="12"/>
  <c r="BC176" i="12"/>
  <c r="FF179" i="9"/>
  <c r="CH179" i="9"/>
  <c r="FE179" i="9"/>
  <c r="FG179" i="9" s="1"/>
  <c r="CG179" i="9"/>
  <c r="CI179" i="9" s="1"/>
  <c r="AU179" i="9"/>
  <c r="AW179" i="9" s="1"/>
  <c r="BO179" i="9"/>
  <c r="BN179" i="9"/>
  <c r="BP179" i="9" s="1"/>
  <c r="AV179" i="9"/>
  <c r="EM179" i="9"/>
  <c r="EL179" i="9"/>
  <c r="EN179" i="9" s="1"/>
  <c r="DA179" i="9"/>
  <c r="AC179" i="9"/>
  <c r="CZ179" i="9"/>
  <c r="DB179" i="9" s="1"/>
  <c r="AB179" i="9"/>
  <c r="AD179" i="9" s="1"/>
  <c r="DT179" i="9"/>
  <c r="DS179" i="9"/>
  <c r="DU179" i="9" s="1"/>
  <c r="FI178" i="9"/>
  <c r="FJ178" i="9"/>
  <c r="FK178" i="9"/>
  <c r="FL178" i="9"/>
  <c r="ET176" i="12"/>
  <c r="EP178" i="12"/>
  <c r="FE178" i="12"/>
  <c r="FG178" i="12" s="1"/>
  <c r="FF178" i="12"/>
  <c r="CK178" i="12"/>
  <c r="DD178" i="12"/>
  <c r="AB178" i="12"/>
  <c r="AD178" i="12" s="1"/>
  <c r="AC178" i="12"/>
  <c r="BN178" i="12"/>
  <c r="BP178" i="12" s="1"/>
  <c r="BO178" i="12"/>
  <c r="DW178" i="12"/>
  <c r="BR178" i="12"/>
  <c r="CH178" i="12"/>
  <c r="FI178" i="12"/>
  <c r="EL178" i="12"/>
  <c r="EN178" i="12" s="1"/>
  <c r="AY178" i="12"/>
  <c r="DS178" i="12"/>
  <c r="DU178" i="12" s="1"/>
  <c r="AF178" i="12"/>
  <c r="CZ178" i="12"/>
  <c r="DB178" i="12" s="1"/>
  <c r="CG178" i="12"/>
  <c r="CI178" i="12" s="1"/>
  <c r="EM178" i="12"/>
  <c r="DT178" i="12"/>
  <c r="DA178" i="12"/>
  <c r="AU178" i="12"/>
  <c r="AW178" i="12" s="1"/>
  <c r="AV178" i="12"/>
  <c r="EQ177" i="12"/>
  <c r="ES177" i="12"/>
  <c r="ER177" i="12"/>
  <c r="L180" i="12" a="1"/>
  <c r="L180" i="12" s="1"/>
  <c r="G180" i="12" a="1"/>
  <c r="G180" i="12" s="1"/>
  <c r="J180" i="12" a="1"/>
  <c r="J180" i="12" s="1"/>
  <c r="K180" i="12" a="1"/>
  <c r="K180" i="12" s="1"/>
  <c r="O180" i="12" a="1"/>
  <c r="O180" i="12" s="1"/>
  <c r="N180" i="12" a="1"/>
  <c r="N180" i="12" s="1"/>
  <c r="H180" i="12" a="1"/>
  <c r="H180" i="12" s="1"/>
  <c r="D181" i="12"/>
  <c r="AH178" i="9"/>
  <c r="AI178" i="9"/>
  <c r="AG178" i="9"/>
  <c r="AF178" i="9"/>
  <c r="DE177" i="12"/>
  <c r="DG177" i="12"/>
  <c r="DF177" i="12"/>
  <c r="M179" i="12"/>
  <c r="P179" i="12" s="1"/>
  <c r="Q179" i="12" s="1"/>
  <c r="DY178" i="9"/>
  <c r="DZ178" i="9"/>
  <c r="DX178" i="9"/>
  <c r="DW178" i="9"/>
  <c r="BS178" i="9"/>
  <c r="BR178" i="9"/>
  <c r="BU178" i="9"/>
  <c r="BT178" i="9"/>
  <c r="DX177" i="12"/>
  <c r="DY177" i="12"/>
  <c r="DZ177" i="12"/>
  <c r="FJ177" i="12"/>
  <c r="FL177" i="12"/>
  <c r="FK177" i="12"/>
  <c r="CK178" i="9"/>
  <c r="CL178" i="9"/>
  <c r="CN178" i="9"/>
  <c r="CM178" i="9"/>
  <c r="G181" i="9" a="1"/>
  <c r="G181" i="9" s="1"/>
  <c r="O181" i="9" a="1"/>
  <c r="O181" i="9" s="1"/>
  <c r="N181" i="9" a="1"/>
  <c r="N181" i="9" s="1"/>
  <c r="L181" i="9" a="1"/>
  <c r="L181" i="9" s="1"/>
  <c r="H181" i="9" a="1"/>
  <c r="H181" i="9" s="1"/>
  <c r="K181" i="9" a="1"/>
  <c r="K181" i="9" s="1"/>
  <c r="J181" i="9" a="1"/>
  <c r="J181" i="9" s="1"/>
  <c r="D182" i="9"/>
  <c r="BB178" i="9"/>
  <c r="BA178" i="9"/>
  <c r="AZ178" i="9"/>
  <c r="AY178" i="9"/>
  <c r="DH176" i="12"/>
  <c r="BA177" i="12"/>
  <c r="BB177" i="12"/>
  <c r="AZ177" i="12"/>
  <c r="AI177" i="12"/>
  <c r="AH177" i="12"/>
  <c r="AG177" i="12"/>
  <c r="M180" i="9"/>
  <c r="P180" i="9" s="1"/>
  <c r="Q180" i="9" s="1"/>
  <c r="I181" i="9"/>
  <c r="AS180" i="9"/>
  <c r="AT180" i="9" s="1"/>
  <c r="AX180" i="9" s="1"/>
  <c r="CE180" i="9"/>
  <c r="CF180" i="9" s="1"/>
  <c r="CJ180" i="9" s="1"/>
  <c r="FC180" i="9"/>
  <c r="FD180" i="9" s="1"/>
  <c r="FH180" i="9" s="1"/>
  <c r="CX180" i="9"/>
  <c r="CY180" i="9" s="1"/>
  <c r="DC180" i="9" s="1"/>
  <c r="BL180" i="9"/>
  <c r="BM180" i="9" s="1"/>
  <c r="BQ180" i="9" s="1"/>
  <c r="DQ180" i="9"/>
  <c r="DR180" i="9" s="1"/>
  <c r="DV180" i="9" s="1"/>
  <c r="Z180" i="9"/>
  <c r="AA180" i="9" s="1"/>
  <c r="AE180" i="9" s="1"/>
  <c r="EJ180" i="9"/>
  <c r="EK180" i="9" s="1"/>
  <c r="EO180" i="9" s="1"/>
  <c r="DE178" i="9"/>
  <c r="DD178" i="9"/>
  <c r="DG178" i="9"/>
  <c r="DF178" i="9"/>
  <c r="ER178" i="9"/>
  <c r="ES178" i="9"/>
  <c r="EP178" i="9"/>
  <c r="EQ178" i="9"/>
  <c r="CL177" i="12"/>
  <c r="CN177" i="12"/>
  <c r="CM177" i="12"/>
  <c r="BS177" i="12"/>
  <c r="BU177" i="12"/>
  <c r="BT177" i="12"/>
  <c r="EA178" i="9" l="1"/>
  <c r="DH178" i="9"/>
  <c r="FM178" i="9"/>
  <c r="CO178" i="9"/>
  <c r="ET178" i="9"/>
  <c r="BC178" i="9"/>
  <c r="AJ178" i="9"/>
  <c r="BV178" i="9"/>
  <c r="BC177" i="12"/>
  <c r="AJ177" i="12"/>
  <c r="M180" i="12"/>
  <c r="M181" i="9"/>
  <c r="P181" i="9" s="1"/>
  <c r="Q181" i="9" s="1"/>
  <c r="BV177" i="12"/>
  <c r="FM177" i="12"/>
  <c r="P180" i="12"/>
  <c r="Q180" i="12" s="1"/>
  <c r="BO180" i="9"/>
  <c r="AU180" i="9"/>
  <c r="AW180" i="9" s="1"/>
  <c r="BN180" i="9"/>
  <c r="BP180" i="9" s="1"/>
  <c r="CH180" i="9"/>
  <c r="CG180" i="9"/>
  <c r="CI180" i="9" s="1"/>
  <c r="FF180" i="9"/>
  <c r="AV180" i="9"/>
  <c r="FE180" i="9"/>
  <c r="FG180" i="9" s="1"/>
  <c r="AC180" i="9"/>
  <c r="EM180" i="9"/>
  <c r="AB180" i="9"/>
  <c r="AD180" i="9" s="1"/>
  <c r="DA180" i="9"/>
  <c r="CZ180" i="9"/>
  <c r="DB180" i="9" s="1"/>
  <c r="EL180" i="9"/>
  <c r="EN180" i="9" s="1"/>
  <c r="DT180" i="9"/>
  <c r="DS180" i="9"/>
  <c r="DU180" i="9" s="1"/>
  <c r="DX178" i="12"/>
  <c r="DY178" i="12"/>
  <c r="DZ178" i="12"/>
  <c r="BS178" i="12"/>
  <c r="BT178" i="12"/>
  <c r="BU178" i="12"/>
  <c r="BR179" i="9"/>
  <c r="BT179" i="9"/>
  <c r="BS179" i="9"/>
  <c r="BU179" i="9"/>
  <c r="DZ179" i="9"/>
  <c r="DY179" i="9"/>
  <c r="DX179" i="9"/>
  <c r="DW179" i="9"/>
  <c r="EA179" i="9" s="1"/>
  <c r="AZ178" i="12"/>
  <c r="BB178" i="12"/>
  <c r="BA178" i="12"/>
  <c r="AH179" i="9"/>
  <c r="AF179" i="9"/>
  <c r="AG179" i="9"/>
  <c r="AI179" i="9"/>
  <c r="CO177" i="12"/>
  <c r="FE179" i="12"/>
  <c r="FG179" i="12" s="1"/>
  <c r="EP179" i="12"/>
  <c r="FF179" i="12"/>
  <c r="CK179" i="12"/>
  <c r="DD179" i="12"/>
  <c r="AB179" i="12"/>
  <c r="AD179" i="12" s="1"/>
  <c r="BO179" i="12"/>
  <c r="BN179" i="12"/>
  <c r="BP179" i="12" s="1"/>
  <c r="AC179" i="12"/>
  <c r="AF179" i="12"/>
  <c r="DW179" i="12"/>
  <c r="DW180" i="12" s="1"/>
  <c r="DA179" i="12"/>
  <c r="CG179" i="12"/>
  <c r="CI179" i="12" s="1"/>
  <c r="FI179" i="12"/>
  <c r="BR179" i="12"/>
  <c r="CZ179" i="12"/>
  <c r="DB179" i="12" s="1"/>
  <c r="DS179" i="12"/>
  <c r="DU179" i="12" s="1"/>
  <c r="CH179" i="12"/>
  <c r="EL179" i="12"/>
  <c r="EN179" i="12" s="1"/>
  <c r="EM180" i="12" s="1"/>
  <c r="AY179" i="12"/>
  <c r="DT179" i="12"/>
  <c r="EM179" i="12"/>
  <c r="AV179" i="12"/>
  <c r="AU179" i="12"/>
  <c r="AW179" i="12" s="1"/>
  <c r="EQ178" i="12"/>
  <c r="ER178" i="12"/>
  <c r="ES178" i="12"/>
  <c r="AI178" i="12"/>
  <c r="AH178" i="12"/>
  <c r="AG178" i="12"/>
  <c r="DE179" i="9"/>
  <c r="DD179" i="9"/>
  <c r="DG179" i="9"/>
  <c r="DF179" i="9"/>
  <c r="BB179" i="9"/>
  <c r="BA179" i="9"/>
  <c r="AY179" i="9"/>
  <c r="AZ179" i="9"/>
  <c r="L182" i="9" a="1"/>
  <c r="L182" i="9" s="1"/>
  <c r="K182" i="9" a="1"/>
  <c r="K182" i="9" s="1"/>
  <c r="H182" i="9" a="1"/>
  <c r="H182" i="9" s="1"/>
  <c r="G182" i="9" a="1"/>
  <c r="G182" i="9" s="1"/>
  <c r="N182" i="9" a="1"/>
  <c r="N182" i="9" s="1"/>
  <c r="J182" i="9" a="1"/>
  <c r="J182" i="9" s="1"/>
  <c r="O182" i="9" a="1"/>
  <c r="O182" i="9" s="1"/>
  <c r="D183" i="9"/>
  <c r="EA177" i="12"/>
  <c r="CM179" i="9"/>
  <c r="CN179" i="9"/>
  <c r="CK179" i="9"/>
  <c r="CL179" i="9"/>
  <c r="I182" i="9"/>
  <c r="DQ181" i="9"/>
  <c r="DR181" i="9" s="1"/>
  <c r="DV181" i="9" s="1"/>
  <c r="Z181" i="9"/>
  <c r="AA181" i="9" s="1"/>
  <c r="AE181" i="9" s="1"/>
  <c r="AS181" i="9"/>
  <c r="AT181" i="9" s="1"/>
  <c r="AX181" i="9" s="1"/>
  <c r="CX181" i="9"/>
  <c r="CY181" i="9" s="1"/>
  <c r="DC181" i="9" s="1"/>
  <c r="EJ181" i="9"/>
  <c r="EK181" i="9" s="1"/>
  <c r="EO181" i="9" s="1"/>
  <c r="FC181" i="9"/>
  <c r="FD181" i="9" s="1"/>
  <c r="FH181" i="9" s="1"/>
  <c r="CE181" i="9"/>
  <c r="CF181" i="9" s="1"/>
  <c r="CJ181" i="9" s="1"/>
  <c r="BL181" i="9"/>
  <c r="BM181" i="9" s="1"/>
  <c r="BQ181" i="9" s="1"/>
  <c r="FI179" i="9"/>
  <c r="FL179" i="9"/>
  <c r="FJ179" i="9"/>
  <c r="FK179" i="9"/>
  <c r="O181" i="12" a="1"/>
  <c r="O181" i="12" s="1"/>
  <c r="L181" i="12" a="1"/>
  <c r="L181" i="12" s="1"/>
  <c r="K181" i="12" a="1"/>
  <c r="K181" i="12" s="1"/>
  <c r="N181" i="12" a="1"/>
  <c r="N181" i="12" s="1"/>
  <c r="H181" i="12" a="1"/>
  <c r="H181" i="12" s="1"/>
  <c r="G181" i="12" a="1"/>
  <c r="G181" i="12" s="1"/>
  <c r="J181" i="12" a="1"/>
  <c r="J181" i="12" s="1"/>
  <c r="D182" i="12"/>
  <c r="ET177" i="12"/>
  <c r="CL178" i="12"/>
  <c r="CN178" i="12"/>
  <c r="CM178" i="12"/>
  <c r="EP179" i="9"/>
  <c r="ES179" i="9"/>
  <c r="ER179" i="9"/>
  <c r="EQ179" i="9"/>
  <c r="DH177" i="12"/>
  <c r="DE178" i="12"/>
  <c r="DG178" i="12"/>
  <c r="DF178" i="12"/>
  <c r="FJ178" i="12"/>
  <c r="FL178" i="12"/>
  <c r="FK178" i="12"/>
  <c r="BV179" i="9" l="1"/>
  <c r="CO179" i="9"/>
  <c r="DH179" i="9"/>
  <c r="ET179" i="9"/>
  <c r="FM179" i="9"/>
  <c r="BC179" i="9"/>
  <c r="AJ179" i="9"/>
  <c r="FF180" i="12"/>
  <c r="BN181" i="9"/>
  <c r="BP181" i="9" s="1"/>
  <c r="AJ178" i="12"/>
  <c r="DT181" i="9"/>
  <c r="AV180" i="12"/>
  <c r="CZ180" i="12"/>
  <c r="DB180" i="12" s="1"/>
  <c r="BN180" i="12"/>
  <c r="BP180" i="12" s="1"/>
  <c r="BS180" i="12" s="1"/>
  <c r="FF181" i="9"/>
  <c r="EM181" i="9"/>
  <c r="FI180" i="12"/>
  <c r="AB180" i="12"/>
  <c r="AD180" i="12" s="1"/>
  <c r="AG180" i="12" s="1"/>
  <c r="CZ181" i="9"/>
  <c r="DB181" i="9" s="1"/>
  <c r="CG181" i="9"/>
  <c r="CI181" i="9" s="1"/>
  <c r="CK181" i="9" s="1"/>
  <c r="CH180" i="12"/>
  <c r="DD180" i="12"/>
  <c r="AY180" i="12"/>
  <c r="AC181" i="9"/>
  <c r="BO181" i="9"/>
  <c r="AV181" i="9"/>
  <c r="AF180" i="12"/>
  <c r="EP180" i="12"/>
  <c r="FE181" i="9"/>
  <c r="FG181" i="9" s="1"/>
  <c r="FL181" i="9" s="1"/>
  <c r="BV178" i="12"/>
  <c r="FM178" i="12"/>
  <c r="ET178" i="12"/>
  <c r="AB181" i="9"/>
  <c r="AD181" i="9" s="1"/>
  <c r="AU181" i="9"/>
  <c r="AW181" i="9" s="1"/>
  <c r="AZ181" i="9" s="1"/>
  <c r="M181" i="12"/>
  <c r="P181" i="12" s="1"/>
  <c r="Q181" i="12" s="1"/>
  <c r="AU180" i="12"/>
  <c r="AW180" i="12" s="1"/>
  <c r="BB180" i="12" s="1"/>
  <c r="BC178" i="12"/>
  <c r="EL180" i="12"/>
  <c r="EN180" i="12" s="1"/>
  <c r="ER180" i="12" s="1"/>
  <c r="DH178" i="12"/>
  <c r="CL181" i="9"/>
  <c r="DX179" i="12"/>
  <c r="DZ179" i="12"/>
  <c r="DY179" i="12"/>
  <c r="FJ179" i="12"/>
  <c r="FK179" i="12"/>
  <c r="FL179" i="12"/>
  <c r="CG180" i="12"/>
  <c r="CI180" i="12" s="1"/>
  <c r="EL181" i="9"/>
  <c r="EN181" i="9" s="1"/>
  <c r="DZ180" i="9"/>
  <c r="DY180" i="9"/>
  <c r="DW180" i="9"/>
  <c r="DX180" i="9"/>
  <c r="FK180" i="9"/>
  <c r="FJ180" i="9"/>
  <c r="FL180" i="9"/>
  <c r="FI180" i="9"/>
  <c r="FM180" i="9" s="1"/>
  <c r="FM181" i="9" s="1"/>
  <c r="AI180" i="12"/>
  <c r="O182" i="12" a="1"/>
  <c r="O182" i="12" s="1"/>
  <c r="G182" i="12" a="1"/>
  <c r="G182" i="12" s="1"/>
  <c r="L182" i="12" a="1"/>
  <c r="L182" i="12" s="1"/>
  <c r="N182" i="12" a="1"/>
  <c r="N182" i="12" s="1"/>
  <c r="K182" i="12" a="1"/>
  <c r="K182" i="12" s="1"/>
  <c r="H182" i="12" a="1"/>
  <c r="H182" i="12" s="1"/>
  <c r="J182" i="12" a="1"/>
  <c r="J182" i="12" s="1"/>
  <c r="D183" i="12"/>
  <c r="BB179" i="12"/>
  <c r="AZ179" i="12"/>
  <c r="BA179" i="12"/>
  <c r="DE179" i="12"/>
  <c r="DF179" i="12"/>
  <c r="DG179" i="12"/>
  <c r="BS179" i="12"/>
  <c r="BU179" i="12"/>
  <c r="BT179" i="12"/>
  <c r="BO180" i="12"/>
  <c r="FE180" i="12"/>
  <c r="FG180" i="12" s="1"/>
  <c r="DE180" i="12"/>
  <c r="DF180" i="12"/>
  <c r="DG180" i="12"/>
  <c r="DF181" i="9"/>
  <c r="DD181" i="9"/>
  <c r="DE181" i="9"/>
  <c r="DG181" i="9"/>
  <c r="DG180" i="9"/>
  <c r="DF180" i="9"/>
  <c r="DD180" i="9"/>
  <c r="DE180" i="9"/>
  <c r="CL180" i="9"/>
  <c r="CM180" i="9"/>
  <c r="CK180" i="9"/>
  <c r="CN180" i="9"/>
  <c r="ER180" i="9"/>
  <c r="ES180" i="9"/>
  <c r="EP180" i="9"/>
  <c r="EQ180" i="9"/>
  <c r="AI179" i="12"/>
  <c r="AG179" i="12"/>
  <c r="AH179" i="12"/>
  <c r="L183" i="9" a="1"/>
  <c r="L183" i="9" s="1"/>
  <c r="O183" i="9" a="1"/>
  <c r="O183" i="9" s="1"/>
  <c r="G183" i="9" a="1"/>
  <c r="G183" i="9" s="1"/>
  <c r="N183" i="9" a="1"/>
  <c r="N183" i="9" s="1"/>
  <c r="K183" i="9" a="1"/>
  <c r="K183" i="9" s="1"/>
  <c r="H183" i="9" a="1"/>
  <c r="H183" i="9" s="1"/>
  <c r="J183" i="9" a="1"/>
  <c r="J183" i="9" s="1"/>
  <c r="D184" i="9"/>
  <c r="CL179" i="12"/>
  <c r="CN179" i="12"/>
  <c r="CM179" i="12"/>
  <c r="DS180" i="12"/>
  <c r="DU180" i="12" s="1"/>
  <c r="AC180" i="12"/>
  <c r="BT181" i="9"/>
  <c r="BR181" i="9"/>
  <c r="BS181" i="9"/>
  <c r="BU181" i="9"/>
  <c r="BR180" i="12"/>
  <c r="M182" i="9"/>
  <c r="P182" i="9" s="1"/>
  <c r="Q182" i="9" s="1"/>
  <c r="CK180" i="12"/>
  <c r="DA181" i="9"/>
  <c r="AG180" i="9"/>
  <c r="AI180" i="9"/>
  <c r="AF180" i="9"/>
  <c r="AH180" i="9"/>
  <c r="BS180" i="9"/>
  <c r="BV180" i="9" s="1"/>
  <c r="BV181" i="9" s="1"/>
  <c r="BR180" i="9"/>
  <c r="BU180" i="9"/>
  <c r="BT180" i="9"/>
  <c r="CO178" i="12"/>
  <c r="EQ179" i="12"/>
  <c r="ES179" i="12"/>
  <c r="ER179" i="12"/>
  <c r="DT180" i="12"/>
  <c r="DA180" i="12"/>
  <c r="DS181" i="9"/>
  <c r="DU181" i="9" s="1"/>
  <c r="EA178" i="12"/>
  <c r="BA180" i="9"/>
  <c r="AY180" i="9"/>
  <c r="AZ180" i="9"/>
  <c r="BB180" i="9"/>
  <c r="AH181" i="9"/>
  <c r="AF181" i="9"/>
  <c r="AG181" i="9"/>
  <c r="AI181" i="9"/>
  <c r="I183" i="9"/>
  <c r="AS182" i="9"/>
  <c r="AT182" i="9" s="1"/>
  <c r="AX182" i="9" s="1"/>
  <c r="CX182" i="9"/>
  <c r="CY182" i="9" s="1"/>
  <c r="DC182" i="9" s="1"/>
  <c r="CE182" i="9"/>
  <c r="CF182" i="9" s="1"/>
  <c r="CJ182" i="9" s="1"/>
  <c r="DQ182" i="9"/>
  <c r="DR182" i="9" s="1"/>
  <c r="DV182" i="9" s="1"/>
  <c r="FC182" i="9"/>
  <c r="FD182" i="9" s="1"/>
  <c r="FH182" i="9" s="1"/>
  <c r="BL182" i="9"/>
  <c r="BM182" i="9" s="1"/>
  <c r="BQ182" i="9" s="1"/>
  <c r="Z182" i="9"/>
  <c r="AA182" i="9" s="1"/>
  <c r="AE182" i="9" s="1"/>
  <c r="EJ182" i="9"/>
  <c r="EK182" i="9" s="1"/>
  <c r="EO182" i="9" s="1"/>
  <c r="CH181" i="9"/>
  <c r="FJ181" i="9" l="1"/>
  <c r="FI181" i="9"/>
  <c r="FK181" i="9"/>
  <c r="CM181" i="9"/>
  <c r="BU180" i="12"/>
  <c r="CN181" i="9"/>
  <c r="CO180" i="9"/>
  <c r="CO181" i="9" s="1"/>
  <c r="ES180" i="12"/>
  <c r="ET180" i="12" s="1"/>
  <c r="BT180" i="12"/>
  <c r="ET180" i="9"/>
  <c r="DH180" i="9"/>
  <c r="DH181" i="9" s="1"/>
  <c r="BC180" i="9"/>
  <c r="EA180" i="9"/>
  <c r="AJ180" i="9"/>
  <c r="AJ181" i="9" s="1"/>
  <c r="AH180" i="12"/>
  <c r="BB181" i="9"/>
  <c r="BA181" i="9"/>
  <c r="AY181" i="9"/>
  <c r="AZ180" i="12"/>
  <c r="AB181" i="12"/>
  <c r="AD181" i="12" s="1"/>
  <c r="AG181" i="12" s="1"/>
  <c r="DW181" i="12"/>
  <c r="AC181" i="12"/>
  <c r="DT181" i="12"/>
  <c r="AY181" i="12"/>
  <c r="FI181" i="12"/>
  <c r="BO181" i="12"/>
  <c r="AF181" i="12"/>
  <c r="EM181" i="12"/>
  <c r="AU181" i="12"/>
  <c r="AW181" i="12" s="1"/>
  <c r="CZ181" i="12"/>
  <c r="DB181" i="12" s="1"/>
  <c r="DG181" i="12" s="1"/>
  <c r="DA181" i="12"/>
  <c r="EP181" i="12"/>
  <c r="AV181" i="12"/>
  <c r="DS181" i="12"/>
  <c r="DU181" i="12" s="1"/>
  <c r="DY181" i="12" s="1"/>
  <c r="DD181" i="12"/>
  <c r="BN181" i="12"/>
  <c r="BP181" i="12" s="1"/>
  <c r="BU181" i="12" s="1"/>
  <c r="EL181" i="12"/>
  <c r="EN181" i="12" s="1"/>
  <c r="CK181" i="12"/>
  <c r="BV179" i="12"/>
  <c r="AJ180" i="12"/>
  <c r="CH181" i="12"/>
  <c r="BR181" i="12"/>
  <c r="FE181" i="12"/>
  <c r="FG181" i="12" s="1"/>
  <c r="FJ181" i="12" s="1"/>
  <c r="BC179" i="12"/>
  <c r="EQ180" i="12"/>
  <c r="FM179" i="12"/>
  <c r="AJ179" i="12"/>
  <c r="CG181" i="12"/>
  <c r="CI181" i="12" s="1"/>
  <c r="CM181" i="12" s="1"/>
  <c r="BA180" i="12"/>
  <c r="CO179" i="12"/>
  <c r="M183" i="9"/>
  <c r="P183" i="9" s="1"/>
  <c r="Q183" i="9" s="1"/>
  <c r="ET179" i="12"/>
  <c r="BN182" i="9"/>
  <c r="BP182" i="9" s="1"/>
  <c r="FF182" i="9"/>
  <c r="AU182" i="9"/>
  <c r="AW182" i="9" s="1"/>
  <c r="FE182" i="9"/>
  <c r="FG182" i="9" s="1"/>
  <c r="BO182" i="9"/>
  <c r="AV182" i="9"/>
  <c r="CG182" i="9"/>
  <c r="CI182" i="9" s="1"/>
  <c r="CH182" i="9"/>
  <c r="EM182" i="9"/>
  <c r="AC182" i="9"/>
  <c r="EL182" i="9"/>
  <c r="EN182" i="9" s="1"/>
  <c r="AB182" i="9"/>
  <c r="AD182" i="9" s="1"/>
  <c r="DA182" i="9"/>
  <c r="CZ182" i="9"/>
  <c r="DB182" i="9" s="1"/>
  <c r="DT182" i="9"/>
  <c r="DS182" i="9"/>
  <c r="DU182" i="9" s="1"/>
  <c r="J184" i="9" a="1"/>
  <c r="J184" i="9" s="1"/>
  <c r="K184" i="9" a="1"/>
  <c r="K184" i="9" s="1"/>
  <c r="L184" i="9" a="1"/>
  <c r="L184" i="9" s="1"/>
  <c r="G184" i="9" a="1"/>
  <c r="G184" i="9" s="1"/>
  <c r="N184" i="9" a="1"/>
  <c r="N184" i="9" s="1"/>
  <c r="O184" i="9" a="1"/>
  <c r="O184" i="9" s="1"/>
  <c r="H184" i="9" a="1"/>
  <c r="H184" i="9" s="1"/>
  <c r="D185" i="9"/>
  <c r="FF181" i="12"/>
  <c r="I184" i="9"/>
  <c r="BL183" i="9"/>
  <c r="BM183" i="9" s="1"/>
  <c r="BQ183" i="9" s="1"/>
  <c r="Z183" i="9"/>
  <c r="AA183" i="9" s="1"/>
  <c r="AE183" i="9" s="1"/>
  <c r="DQ183" i="9"/>
  <c r="DR183" i="9" s="1"/>
  <c r="DV183" i="9" s="1"/>
  <c r="EJ183" i="9"/>
  <c r="EK183" i="9" s="1"/>
  <c r="EO183" i="9" s="1"/>
  <c r="CX183" i="9"/>
  <c r="CY183" i="9" s="1"/>
  <c r="DC183" i="9" s="1"/>
  <c r="CE183" i="9"/>
  <c r="CF183" i="9" s="1"/>
  <c r="CJ183" i="9" s="1"/>
  <c r="FC183" i="9"/>
  <c r="FD183" i="9" s="1"/>
  <c r="FH183" i="9" s="1"/>
  <c r="AS183" i="9"/>
  <c r="AT183" i="9" s="1"/>
  <c r="AX183" i="9" s="1"/>
  <c r="DH180" i="12"/>
  <c r="L183" i="12" a="1"/>
  <c r="L183" i="12" s="1"/>
  <c r="O183" i="12" a="1"/>
  <c r="O183" i="12" s="1"/>
  <c r="G183" i="12" a="1"/>
  <c r="G183" i="12" s="1"/>
  <c r="K183" i="12" a="1"/>
  <c r="K183" i="12" s="1"/>
  <c r="N183" i="12" a="1"/>
  <c r="N183" i="12" s="1"/>
  <c r="J183" i="12" a="1"/>
  <c r="J183" i="12" s="1"/>
  <c r="H183" i="12" a="1"/>
  <c r="H183" i="12" s="1"/>
  <c r="D184" i="12"/>
  <c r="EA179" i="12"/>
  <c r="DX180" i="12"/>
  <c r="DZ180" i="12"/>
  <c r="DY180" i="12"/>
  <c r="M182" i="12"/>
  <c r="P182" i="12" s="1"/>
  <c r="Q182" i="12" s="1"/>
  <c r="FJ180" i="12"/>
  <c r="FL180" i="12"/>
  <c r="FK180" i="12"/>
  <c r="DZ181" i="9"/>
  <c r="DY181" i="9"/>
  <c r="DW181" i="9"/>
  <c r="DX181" i="9"/>
  <c r="EQ181" i="12"/>
  <c r="ES181" i="12"/>
  <c r="ER181" i="12"/>
  <c r="AH181" i="12"/>
  <c r="BA181" i="12"/>
  <c r="BB181" i="12"/>
  <c r="AZ181" i="12"/>
  <c r="DH179" i="12"/>
  <c r="EQ181" i="9"/>
  <c r="ER181" i="9"/>
  <c r="EP181" i="9"/>
  <c r="ET181" i="9" s="1"/>
  <c r="ES181" i="9"/>
  <c r="BS181" i="12"/>
  <c r="CL180" i="12"/>
  <c r="CM180" i="12"/>
  <c r="CN180" i="12"/>
  <c r="CL181" i="12" l="1"/>
  <c r="CN181" i="12"/>
  <c r="BV180" i="12"/>
  <c r="AI181" i="12"/>
  <c r="AJ181" i="12" s="1"/>
  <c r="BT181" i="12"/>
  <c r="EA181" i="9"/>
  <c r="BC181" i="9"/>
  <c r="BC180" i="12"/>
  <c r="DE181" i="12"/>
  <c r="DF181" i="12"/>
  <c r="DX181" i="12"/>
  <c r="DZ181" i="12"/>
  <c r="BV181" i="12"/>
  <c r="FK181" i="12"/>
  <c r="FL181" i="12"/>
  <c r="CO181" i="12"/>
  <c r="CO180" i="12"/>
  <c r="EP182" i="12"/>
  <c r="FF182" i="12"/>
  <c r="FE182" i="12"/>
  <c r="FG182" i="12" s="1"/>
  <c r="DD182" i="12"/>
  <c r="CK182" i="12"/>
  <c r="BO182" i="12"/>
  <c r="BN182" i="12"/>
  <c r="BP182" i="12" s="1"/>
  <c r="AB182" i="12"/>
  <c r="AD182" i="12" s="1"/>
  <c r="AC182" i="12"/>
  <c r="AF182" i="12"/>
  <c r="BR182" i="12"/>
  <c r="AY182" i="12"/>
  <c r="DA182" i="12"/>
  <c r="DT182" i="12"/>
  <c r="CH182" i="12"/>
  <c r="CZ182" i="12"/>
  <c r="DB182" i="12" s="1"/>
  <c r="DS182" i="12"/>
  <c r="DU182" i="12" s="1"/>
  <c r="CG182" i="12"/>
  <c r="CI182" i="12" s="1"/>
  <c r="DW182" i="12"/>
  <c r="EM182" i="12"/>
  <c r="FI182" i="12"/>
  <c r="EL182" i="12"/>
  <c r="EN182" i="12" s="1"/>
  <c r="AV182" i="12"/>
  <c r="AU182" i="12"/>
  <c r="AW182" i="12" s="1"/>
  <c r="DY182" i="9"/>
  <c r="DW182" i="9"/>
  <c r="DZ182" i="9"/>
  <c r="DX182" i="9"/>
  <c r="EA180" i="12"/>
  <c r="L184" i="12" a="1"/>
  <c r="L184" i="12" s="1"/>
  <c r="O184" i="12" a="1"/>
  <c r="O184" i="12" s="1"/>
  <c r="N184" i="12" a="1"/>
  <c r="N184" i="12" s="1"/>
  <c r="H184" i="12" a="1"/>
  <c r="H184" i="12" s="1"/>
  <c r="G184" i="12" a="1"/>
  <c r="G184" i="12" s="1"/>
  <c r="J184" i="12" a="1"/>
  <c r="J184" i="12" s="1"/>
  <c r="K184" i="12" a="1"/>
  <c r="K184" i="12" s="1"/>
  <c r="D185" i="12"/>
  <c r="CM182" i="9"/>
  <c r="CK182" i="9"/>
  <c r="CN182" i="9"/>
  <c r="CL182" i="9"/>
  <c r="AU183" i="9"/>
  <c r="AW183" i="9" s="1"/>
  <c r="CH183" i="9"/>
  <c r="BN183" i="9"/>
  <c r="BP183" i="9" s="1"/>
  <c r="CG183" i="9"/>
  <c r="CI183" i="9" s="1"/>
  <c r="AV183" i="9"/>
  <c r="FF183" i="9"/>
  <c r="BO183" i="9"/>
  <c r="FE183" i="9"/>
  <c r="FG183" i="9" s="1"/>
  <c r="DA183" i="9"/>
  <c r="CZ183" i="9"/>
  <c r="DB183" i="9" s="1"/>
  <c r="EL183" i="9"/>
  <c r="EN183" i="9" s="1"/>
  <c r="AC183" i="9"/>
  <c r="EM183" i="9"/>
  <c r="AB183" i="9"/>
  <c r="AD183" i="9" s="1"/>
  <c r="DT183" i="9"/>
  <c r="DS183" i="9"/>
  <c r="DU183" i="9" s="1"/>
  <c r="M184" i="9"/>
  <c r="P184" i="9" s="1"/>
  <c r="Q184" i="9" s="1"/>
  <c r="DF182" i="9"/>
  <c r="DG182" i="9"/>
  <c r="DD182" i="9"/>
  <c r="DE182" i="9"/>
  <c r="M183" i="12"/>
  <c r="P183" i="12" s="1"/>
  <c r="Q183" i="12" s="1"/>
  <c r="O185" i="9" a="1"/>
  <c r="O185" i="9" s="1"/>
  <c r="H185" i="9" a="1"/>
  <c r="H185" i="9" s="1"/>
  <c r="G185" i="9" a="1"/>
  <c r="G185" i="9" s="1"/>
  <c r="L185" i="9" a="1"/>
  <c r="L185" i="9" s="1"/>
  <c r="N185" i="9" a="1"/>
  <c r="N185" i="9" s="1"/>
  <c r="K185" i="9" a="1"/>
  <c r="K185" i="9" s="1"/>
  <c r="J185" i="9" a="1"/>
  <c r="J185" i="9" s="1"/>
  <c r="D186" i="9"/>
  <c r="AF182" i="9"/>
  <c r="AI182" i="9"/>
  <c r="AG182" i="9"/>
  <c r="AH182" i="9"/>
  <c r="FI182" i="9"/>
  <c r="FK182" i="9"/>
  <c r="FJ182" i="9"/>
  <c r="FL182" i="9"/>
  <c r="EP182" i="9"/>
  <c r="ES182" i="9"/>
  <c r="EQ182" i="9"/>
  <c r="ER182" i="9"/>
  <c r="BA182" i="9"/>
  <c r="AZ182" i="9"/>
  <c r="AY182" i="9"/>
  <c r="BB182" i="9"/>
  <c r="ET181" i="12"/>
  <c r="BC181" i="12"/>
  <c r="FM180" i="12"/>
  <c r="I185" i="9"/>
  <c r="FC184" i="9"/>
  <c r="FD184" i="9" s="1"/>
  <c r="FH184" i="9" s="1"/>
  <c r="AS184" i="9"/>
  <c r="AT184" i="9" s="1"/>
  <c r="AX184" i="9" s="1"/>
  <c r="BL184" i="9"/>
  <c r="BM184" i="9" s="1"/>
  <c r="BQ184" i="9" s="1"/>
  <c r="DQ184" i="9"/>
  <c r="DR184" i="9" s="1"/>
  <c r="DV184" i="9" s="1"/>
  <c r="CX184" i="9"/>
  <c r="CY184" i="9" s="1"/>
  <c r="DC184" i="9" s="1"/>
  <c r="CE184" i="9"/>
  <c r="CF184" i="9" s="1"/>
  <c r="CJ184" i="9" s="1"/>
  <c r="Z184" i="9"/>
  <c r="AA184" i="9" s="1"/>
  <c r="AE184" i="9" s="1"/>
  <c r="EJ184" i="9"/>
  <c r="EK184" i="9" s="1"/>
  <c r="EO184" i="9" s="1"/>
  <c r="BT182" i="9"/>
  <c r="BR182" i="9"/>
  <c r="BU182" i="9"/>
  <c r="BS182" i="9"/>
  <c r="EA182" i="9" l="1"/>
  <c r="EA181" i="12"/>
  <c r="ET182" i="9"/>
  <c r="AJ182" i="9"/>
  <c r="BC182" i="9"/>
  <c r="DH182" i="9"/>
  <c r="DH181" i="12"/>
  <c r="CO182" i="9"/>
  <c r="BV182" i="9"/>
  <c r="FM182" i="9"/>
  <c r="FM181" i="12"/>
  <c r="M185" i="9"/>
  <c r="EP183" i="12"/>
  <c r="FE183" i="12"/>
  <c r="FG183" i="12" s="1"/>
  <c r="FF183" i="12"/>
  <c r="CK183" i="12"/>
  <c r="DD183" i="12"/>
  <c r="AB183" i="12"/>
  <c r="AD183" i="12" s="1"/>
  <c r="BN183" i="12"/>
  <c r="BP183" i="12" s="1"/>
  <c r="AC183" i="12"/>
  <c r="BO183" i="12"/>
  <c r="AY183" i="12"/>
  <c r="CG183" i="12"/>
  <c r="CI183" i="12" s="1"/>
  <c r="CH183" i="12"/>
  <c r="DW183" i="12"/>
  <c r="EL183" i="12"/>
  <c r="EN183" i="12" s="1"/>
  <c r="DA183" i="12"/>
  <c r="DS183" i="12"/>
  <c r="DU183" i="12" s="1"/>
  <c r="AF183" i="12"/>
  <c r="CZ183" i="12"/>
  <c r="DB183" i="12" s="1"/>
  <c r="BR183" i="12"/>
  <c r="FI183" i="12"/>
  <c r="EM183" i="12"/>
  <c r="DT183" i="12"/>
  <c r="AU183" i="12"/>
  <c r="AW183" i="12" s="1"/>
  <c r="AV183" i="12"/>
  <c r="AZ182" i="12"/>
  <c r="BB182" i="12"/>
  <c r="BA182" i="12"/>
  <c r="DE182" i="12"/>
  <c r="DG182" i="12"/>
  <c r="DF182" i="12"/>
  <c r="AG182" i="12"/>
  <c r="AI182" i="12"/>
  <c r="AH182" i="12"/>
  <c r="K186" i="9" a="1"/>
  <c r="K186" i="9" s="1"/>
  <c r="H186" i="9" a="1"/>
  <c r="H186" i="9" s="1"/>
  <c r="J186" i="9" a="1"/>
  <c r="J186" i="9" s="1"/>
  <c r="N186" i="9" a="1"/>
  <c r="N186" i="9" s="1"/>
  <c r="L186" i="9" a="1"/>
  <c r="L186" i="9" s="1"/>
  <c r="O186" i="9" a="1"/>
  <c r="O186" i="9" s="1"/>
  <c r="G186" i="9" a="1"/>
  <c r="G186" i="9" s="1"/>
  <c r="D187" i="9"/>
  <c r="AI183" i="9"/>
  <c r="AH183" i="9"/>
  <c r="AG183" i="9"/>
  <c r="AF183" i="9"/>
  <c r="BS182" i="12"/>
  <c r="BT182" i="12"/>
  <c r="BU182" i="12"/>
  <c r="EQ182" i="12"/>
  <c r="ER182" i="12"/>
  <c r="ES182" i="12"/>
  <c r="P185" i="9"/>
  <c r="Q185" i="9" s="1"/>
  <c r="CL183" i="9"/>
  <c r="CN183" i="9"/>
  <c r="CK183" i="9"/>
  <c r="CM183" i="9"/>
  <c r="N185" i="12" a="1"/>
  <c r="N185" i="12" s="1"/>
  <c r="H185" i="12" a="1"/>
  <c r="H185" i="12" s="1"/>
  <c r="G185" i="12" a="1"/>
  <c r="G185" i="12" s="1"/>
  <c r="J185" i="12" a="1"/>
  <c r="J185" i="12" s="1"/>
  <c r="L185" i="12" a="1"/>
  <c r="L185" i="12" s="1"/>
  <c r="K185" i="12" a="1"/>
  <c r="K185" i="12" s="1"/>
  <c r="O185" i="12" a="1"/>
  <c r="O185" i="12" s="1"/>
  <c r="D186" i="12"/>
  <c r="EQ183" i="9"/>
  <c r="EP183" i="9"/>
  <c r="ES183" i="9"/>
  <c r="ER183" i="9"/>
  <c r="BU183" i="9"/>
  <c r="BR183" i="9"/>
  <c r="BS183" i="9"/>
  <c r="BT183" i="9"/>
  <c r="DE183" i="9"/>
  <c r="DF183" i="9"/>
  <c r="DG183" i="9"/>
  <c r="DD183" i="9"/>
  <c r="DH183" i="9" s="1"/>
  <c r="M184" i="12"/>
  <c r="P184" i="12" s="1"/>
  <c r="Q184" i="12" s="1"/>
  <c r="FJ182" i="12"/>
  <c r="FL182" i="12"/>
  <c r="FK182" i="12"/>
  <c r="I186" i="9"/>
  <c r="CX185" i="9"/>
  <c r="CY185" i="9" s="1"/>
  <c r="DC185" i="9" s="1"/>
  <c r="CE185" i="9"/>
  <c r="CF185" i="9" s="1"/>
  <c r="CJ185" i="9" s="1"/>
  <c r="DQ185" i="9"/>
  <c r="DR185" i="9" s="1"/>
  <c r="DV185" i="9" s="1"/>
  <c r="FC185" i="9"/>
  <c r="FD185" i="9" s="1"/>
  <c r="FH185" i="9" s="1"/>
  <c r="BL185" i="9"/>
  <c r="BM185" i="9" s="1"/>
  <c r="BQ185" i="9" s="1"/>
  <c r="Z185" i="9"/>
  <c r="AA185" i="9" s="1"/>
  <c r="AE185" i="9" s="1"/>
  <c r="EJ185" i="9"/>
  <c r="EK185" i="9" s="1"/>
  <c r="EO185" i="9" s="1"/>
  <c r="AS185" i="9"/>
  <c r="AT185" i="9" s="1"/>
  <c r="AX185" i="9" s="1"/>
  <c r="AY183" i="9"/>
  <c r="BB183" i="9"/>
  <c r="AZ183" i="9"/>
  <c r="BA183" i="9"/>
  <c r="CN182" i="12"/>
  <c r="CL182" i="12"/>
  <c r="CM182" i="12"/>
  <c r="CH184" i="9"/>
  <c r="AU184" i="9"/>
  <c r="AW184" i="9" s="1"/>
  <c r="CG184" i="9"/>
  <c r="CI184" i="9" s="1"/>
  <c r="AV184" i="9"/>
  <c r="BO184" i="9"/>
  <c r="FE184" i="9"/>
  <c r="FG184" i="9" s="1"/>
  <c r="BN184" i="9"/>
  <c r="BP184" i="9" s="1"/>
  <c r="FF184" i="9"/>
  <c r="EL184" i="9"/>
  <c r="EN184" i="9" s="1"/>
  <c r="CZ184" i="9"/>
  <c r="DB184" i="9" s="1"/>
  <c r="AC184" i="9"/>
  <c r="EM184" i="9"/>
  <c r="DA184" i="9"/>
  <c r="AB184" i="9"/>
  <c r="AD184" i="9" s="1"/>
  <c r="DT184" i="9"/>
  <c r="DS184" i="9"/>
  <c r="DU184" i="9" s="1"/>
  <c r="DY183" i="9"/>
  <c r="DZ183" i="9"/>
  <c r="DX183" i="9"/>
  <c r="DW183" i="9"/>
  <c r="EA183" i="9" s="1"/>
  <c r="FK183" i="9"/>
  <c r="FI183" i="9"/>
  <c r="FJ183" i="9"/>
  <c r="FL183" i="9"/>
  <c r="DX182" i="12"/>
  <c r="DZ182" i="12"/>
  <c r="DY182" i="12"/>
  <c r="BC182" i="12" l="1"/>
  <c r="BC183" i="9"/>
  <c r="ET183" i="9"/>
  <c r="AJ183" i="9"/>
  <c r="BV183" i="9"/>
  <c r="CO183" i="9"/>
  <c r="FM183" i="9"/>
  <c r="BV182" i="12"/>
  <c r="EA182" i="12"/>
  <c r="FM182" i="12"/>
  <c r="AJ182" i="12"/>
  <c r="M186" i="9"/>
  <c r="EP184" i="12"/>
  <c r="FE184" i="12"/>
  <c r="FG184" i="12" s="1"/>
  <c r="FF184" i="12"/>
  <c r="CK184" i="12"/>
  <c r="DD184" i="12"/>
  <c r="BO184" i="12"/>
  <c r="AB184" i="12"/>
  <c r="AD184" i="12" s="1"/>
  <c r="BN184" i="12"/>
  <c r="BP184" i="12" s="1"/>
  <c r="AC184" i="12"/>
  <c r="BR184" i="12"/>
  <c r="CH184" i="12"/>
  <c r="CG184" i="12"/>
  <c r="CI184" i="12" s="1"/>
  <c r="FI184" i="12"/>
  <c r="DW184" i="12"/>
  <c r="AY184" i="12"/>
  <c r="DT184" i="12"/>
  <c r="DA184" i="12"/>
  <c r="EM184" i="12"/>
  <c r="AF184" i="12"/>
  <c r="DS184" i="12"/>
  <c r="DU184" i="12" s="1"/>
  <c r="CZ184" i="12"/>
  <c r="DB184" i="12" s="1"/>
  <c r="EL184" i="12"/>
  <c r="EN184" i="12" s="1"/>
  <c r="AV184" i="12"/>
  <c r="AU184" i="12"/>
  <c r="AW184" i="12" s="1"/>
  <c r="DX183" i="12"/>
  <c r="DZ183" i="12"/>
  <c r="DY183" i="12"/>
  <c r="DH182" i="12"/>
  <c r="BB183" i="12"/>
  <c r="AZ183" i="12"/>
  <c r="BA183" i="12"/>
  <c r="BS183" i="12"/>
  <c r="BU183" i="12"/>
  <c r="BT183" i="12"/>
  <c r="BA184" i="9"/>
  <c r="BB184" i="9"/>
  <c r="AZ184" i="9"/>
  <c r="AY184" i="9"/>
  <c r="P186" i="9"/>
  <c r="Q186" i="9" s="1"/>
  <c r="EQ183" i="12"/>
  <c r="ES183" i="12"/>
  <c r="ER183" i="12"/>
  <c r="AG183" i="12"/>
  <c r="AH183" i="12"/>
  <c r="AI183" i="12"/>
  <c r="DG184" i="9"/>
  <c r="DE184" i="9"/>
  <c r="DD184" i="9"/>
  <c r="DH184" i="9" s="1"/>
  <c r="DF184" i="9"/>
  <c r="L186" i="12" a="1"/>
  <c r="L186" i="12" s="1"/>
  <c r="O186" i="12" a="1"/>
  <c r="O186" i="12" s="1"/>
  <c r="N186" i="12" a="1"/>
  <c r="N186" i="12" s="1"/>
  <c r="H186" i="12" a="1"/>
  <c r="H186" i="12" s="1"/>
  <c r="G186" i="12" a="1"/>
  <c r="G186" i="12" s="1"/>
  <c r="J186" i="12" a="1"/>
  <c r="J186" i="12" s="1"/>
  <c r="K186" i="12" a="1"/>
  <c r="K186" i="12" s="1"/>
  <c r="D187" i="12"/>
  <c r="CL184" i="9"/>
  <c r="CN184" i="9"/>
  <c r="CM184" i="9"/>
  <c r="CK184" i="9"/>
  <c r="EP184" i="9"/>
  <c r="ET184" i="9" s="1"/>
  <c r="EQ184" i="9"/>
  <c r="ES184" i="9"/>
  <c r="ER184" i="9"/>
  <c r="DW184" i="9"/>
  <c r="DX184" i="9"/>
  <c r="DZ184" i="9"/>
  <c r="DY184" i="9"/>
  <c r="I187" i="9"/>
  <c r="BL186" i="9"/>
  <c r="BM186" i="9" s="1"/>
  <c r="BQ186" i="9" s="1"/>
  <c r="EJ186" i="9"/>
  <c r="EK186" i="9" s="1"/>
  <c r="EO186" i="9" s="1"/>
  <c r="Z186" i="9"/>
  <c r="AA186" i="9" s="1"/>
  <c r="AE186" i="9" s="1"/>
  <c r="DQ186" i="9"/>
  <c r="DR186" i="9" s="1"/>
  <c r="DV186" i="9" s="1"/>
  <c r="AS186" i="9"/>
  <c r="AT186" i="9" s="1"/>
  <c r="AX186" i="9" s="1"/>
  <c r="FC186" i="9"/>
  <c r="FD186" i="9" s="1"/>
  <c r="FH186" i="9" s="1"/>
  <c r="CE186" i="9"/>
  <c r="CF186" i="9" s="1"/>
  <c r="CJ186" i="9" s="1"/>
  <c r="CX186" i="9"/>
  <c r="CY186" i="9" s="1"/>
  <c r="DC186" i="9" s="1"/>
  <c r="M185" i="12"/>
  <c r="P185" i="12" s="1"/>
  <c r="Q185" i="12" s="1"/>
  <c r="BN185" i="9"/>
  <c r="BP185" i="9" s="1"/>
  <c r="FF185" i="9"/>
  <c r="AU185" i="9"/>
  <c r="AW185" i="9" s="1"/>
  <c r="BO185" i="9"/>
  <c r="FE185" i="9"/>
  <c r="FG185" i="9" s="1"/>
  <c r="AV185" i="9"/>
  <c r="CH185" i="9"/>
  <c r="CG185" i="9"/>
  <c r="CI185" i="9" s="1"/>
  <c r="DA185" i="9"/>
  <c r="EM185" i="9"/>
  <c r="CZ185" i="9"/>
  <c r="DB185" i="9" s="1"/>
  <c r="EL185" i="9"/>
  <c r="EN185" i="9" s="1"/>
  <c r="AB185" i="9"/>
  <c r="AD185" i="9" s="1"/>
  <c r="AC185" i="9"/>
  <c r="DT185" i="9"/>
  <c r="DS185" i="9"/>
  <c r="DU185" i="9" s="1"/>
  <c r="BU184" i="9"/>
  <c r="BT184" i="9"/>
  <c r="BS184" i="9"/>
  <c r="BR184" i="9"/>
  <c r="CL183" i="12"/>
  <c r="CN183" i="12"/>
  <c r="CM183" i="12"/>
  <c r="AG184" i="9"/>
  <c r="AF184" i="9"/>
  <c r="AJ184" i="9" s="1"/>
  <c r="AI184" i="9"/>
  <c r="AH184" i="9"/>
  <c r="FK184" i="9"/>
  <c r="FI184" i="9"/>
  <c r="FL184" i="9"/>
  <c r="FJ184" i="9"/>
  <c r="CO182" i="12"/>
  <c r="ET182" i="12"/>
  <c r="DE183" i="12"/>
  <c r="DG183" i="12"/>
  <c r="DF183" i="12"/>
  <c r="FJ183" i="12"/>
  <c r="FK183" i="12"/>
  <c r="FL183" i="12"/>
  <c r="G187" i="9" a="1"/>
  <c r="G187" i="9" s="1"/>
  <c r="O187" i="9" a="1"/>
  <c r="O187" i="9" s="1"/>
  <c r="N187" i="9" a="1"/>
  <c r="N187" i="9" s="1"/>
  <c r="H187" i="9" a="1"/>
  <c r="H187" i="9" s="1"/>
  <c r="L187" i="9" a="1"/>
  <c r="L187" i="9" s="1"/>
  <c r="K187" i="9" a="1"/>
  <c r="K187" i="9" s="1"/>
  <c r="J187" i="9" a="1"/>
  <c r="J187" i="9" s="1"/>
  <c r="D188" i="9"/>
  <c r="EA184" i="9" l="1"/>
  <c r="BC184" i="9"/>
  <c r="FM184" i="9"/>
  <c r="CO184" i="9"/>
  <c r="BV184" i="9"/>
  <c r="M187" i="9"/>
  <c r="P187" i="9" s="1"/>
  <c r="Q187" i="9" s="1"/>
  <c r="BV183" i="12"/>
  <c r="DH183" i="12"/>
  <c r="AJ183" i="12"/>
  <c r="FM183" i="12"/>
  <c r="EP185" i="12"/>
  <c r="FE185" i="12"/>
  <c r="FG185" i="12" s="1"/>
  <c r="FF185" i="12"/>
  <c r="CK185" i="12"/>
  <c r="DD185" i="12"/>
  <c r="AB185" i="12"/>
  <c r="AD185" i="12" s="1"/>
  <c r="AC185" i="12"/>
  <c r="BO185" i="12"/>
  <c r="BN185" i="12"/>
  <c r="BP185" i="12" s="1"/>
  <c r="DT185" i="12"/>
  <c r="DW185" i="12"/>
  <c r="DS185" i="12"/>
  <c r="DU185" i="12" s="1"/>
  <c r="CG185" i="12"/>
  <c r="CI185" i="12" s="1"/>
  <c r="BR185" i="12"/>
  <c r="EM185" i="12"/>
  <c r="DA185" i="12"/>
  <c r="AF185" i="12"/>
  <c r="EL185" i="12"/>
  <c r="EN185" i="12" s="1"/>
  <c r="CZ185" i="12"/>
  <c r="DB185" i="12" s="1"/>
  <c r="FI185" i="12"/>
  <c r="CH185" i="12"/>
  <c r="AY185" i="12"/>
  <c r="AV185" i="12"/>
  <c r="AU185" i="12"/>
  <c r="AW185" i="12" s="1"/>
  <c r="BR185" i="9"/>
  <c r="BS185" i="9"/>
  <c r="BU185" i="9"/>
  <c r="BT185" i="9"/>
  <c r="BS184" i="12"/>
  <c r="BT184" i="12"/>
  <c r="BU184" i="12"/>
  <c r="DZ185" i="9"/>
  <c r="DW185" i="9"/>
  <c r="DX185" i="9"/>
  <c r="DY185" i="9"/>
  <c r="CN185" i="9"/>
  <c r="CM185" i="9"/>
  <c r="CK185" i="9"/>
  <c r="CL185" i="9"/>
  <c r="M186" i="12"/>
  <c r="P186" i="12" s="1"/>
  <c r="Q186" i="12" s="1"/>
  <c r="AU186" i="9"/>
  <c r="AW186" i="9" s="1"/>
  <c r="AV186" i="9"/>
  <c r="BN186" i="9"/>
  <c r="BP186" i="9" s="1"/>
  <c r="FF186" i="9"/>
  <c r="CH186" i="9"/>
  <c r="FE186" i="9"/>
  <c r="FG186" i="9" s="1"/>
  <c r="CG186" i="9"/>
  <c r="CI186" i="9" s="1"/>
  <c r="BO186" i="9"/>
  <c r="AB186" i="9"/>
  <c r="AD186" i="9" s="1"/>
  <c r="CZ186" i="9"/>
  <c r="DB186" i="9" s="1"/>
  <c r="AC186" i="9"/>
  <c r="EM186" i="9"/>
  <c r="DA186" i="9"/>
  <c r="EL186" i="9"/>
  <c r="EN186" i="9" s="1"/>
  <c r="DT186" i="9"/>
  <c r="DS186" i="9"/>
  <c r="DU186" i="9" s="1"/>
  <c r="AI184" i="12"/>
  <c r="AH184" i="12"/>
  <c r="AG184" i="12"/>
  <c r="BA184" i="12"/>
  <c r="AZ184" i="12"/>
  <c r="BB184" i="12"/>
  <c r="CO183" i="12"/>
  <c r="I188" i="9"/>
  <c r="FC187" i="9"/>
  <c r="FD187" i="9" s="1"/>
  <c r="FH187" i="9" s="1"/>
  <c r="BL187" i="9"/>
  <c r="BM187" i="9" s="1"/>
  <c r="BQ187" i="9" s="1"/>
  <c r="CX187" i="9"/>
  <c r="CY187" i="9" s="1"/>
  <c r="DC187" i="9" s="1"/>
  <c r="DQ187" i="9"/>
  <c r="DR187" i="9" s="1"/>
  <c r="DV187" i="9" s="1"/>
  <c r="AS187" i="9"/>
  <c r="AT187" i="9" s="1"/>
  <c r="AX187" i="9" s="1"/>
  <c r="EJ187" i="9"/>
  <c r="EK187" i="9" s="1"/>
  <c r="EO187" i="9" s="1"/>
  <c r="CE187" i="9"/>
  <c r="CF187" i="9" s="1"/>
  <c r="CJ187" i="9" s="1"/>
  <c r="Z187" i="9"/>
  <c r="AA187" i="9" s="1"/>
  <c r="AE187" i="9" s="1"/>
  <c r="BC183" i="12"/>
  <c r="EQ184" i="12"/>
  <c r="ES184" i="12"/>
  <c r="ER184" i="12"/>
  <c r="DE184" i="12"/>
  <c r="DF184" i="12"/>
  <c r="DG184" i="12"/>
  <c r="AG185" i="9"/>
  <c r="AI185" i="9"/>
  <c r="AF185" i="9"/>
  <c r="AH185" i="9"/>
  <c r="FI185" i="9"/>
  <c r="FL185" i="9"/>
  <c r="FJ185" i="9"/>
  <c r="FK185" i="9"/>
  <c r="DX184" i="12"/>
  <c r="DZ184" i="12"/>
  <c r="DY184" i="12"/>
  <c r="CN184" i="12"/>
  <c r="CL184" i="12"/>
  <c r="CM184" i="12"/>
  <c r="J188" i="9" a="1"/>
  <c r="J188" i="9" s="1"/>
  <c r="L188" i="9" a="1"/>
  <c r="L188" i="9" s="1"/>
  <c r="O188" i="9" a="1"/>
  <c r="O188" i="9" s="1"/>
  <c r="G188" i="9" a="1"/>
  <c r="G188" i="9" s="1"/>
  <c r="H188" i="9" a="1"/>
  <c r="H188" i="9" s="1"/>
  <c r="N188" i="9" a="1"/>
  <c r="N188" i="9" s="1"/>
  <c r="K188" i="9" a="1"/>
  <c r="K188" i="9" s="1"/>
  <c r="D189" i="9"/>
  <c r="EQ185" i="9"/>
  <c r="ES185" i="9"/>
  <c r="EP185" i="9"/>
  <c r="ET185" i="9" s="1"/>
  <c r="ER185" i="9"/>
  <c r="EA183" i="12"/>
  <c r="DD185" i="9"/>
  <c r="DH185" i="9" s="1"/>
  <c r="DE185" i="9"/>
  <c r="DG185" i="9"/>
  <c r="DF185" i="9"/>
  <c r="BA185" i="9"/>
  <c r="BB185" i="9"/>
  <c r="AZ185" i="9"/>
  <c r="AY185" i="9"/>
  <c r="BC185" i="9" s="1"/>
  <c r="ET183" i="12"/>
  <c r="FJ184" i="12"/>
  <c r="FL184" i="12"/>
  <c r="FK184" i="12"/>
  <c r="K187" i="12" a="1"/>
  <c r="K187" i="12" s="1"/>
  <c r="J187" i="12" a="1"/>
  <c r="J187" i="12" s="1"/>
  <c r="L187" i="12" a="1"/>
  <c r="L187" i="12" s="1"/>
  <c r="N187" i="12" a="1"/>
  <c r="N187" i="12" s="1"/>
  <c r="O187" i="12" a="1"/>
  <c r="O187" i="12" s="1"/>
  <c r="G187" i="12" a="1"/>
  <c r="G187" i="12" s="1"/>
  <c r="H187" i="12" a="1"/>
  <c r="H187" i="12" s="1"/>
  <c r="D188" i="12"/>
  <c r="AJ185" i="9" l="1"/>
  <c r="AJ184" i="12"/>
  <c r="EA185" i="9"/>
  <c r="CO185" i="9"/>
  <c r="BV185" i="9"/>
  <c r="FM185" i="9"/>
  <c r="CO184" i="12"/>
  <c r="BC184" i="12"/>
  <c r="BV184" i="12"/>
  <c r="FM184" i="12"/>
  <c r="EP186" i="12"/>
  <c r="FE186" i="12"/>
  <c r="FG186" i="12" s="1"/>
  <c r="FF186" i="12"/>
  <c r="DD186" i="12"/>
  <c r="CK186" i="12"/>
  <c r="BN186" i="12"/>
  <c r="BP186" i="12" s="1"/>
  <c r="BO186" i="12"/>
  <c r="AB186" i="12"/>
  <c r="AD186" i="12" s="1"/>
  <c r="AC186" i="12"/>
  <c r="DS186" i="12"/>
  <c r="DU186" i="12" s="1"/>
  <c r="CZ186" i="12"/>
  <c r="DB186" i="12" s="1"/>
  <c r="FI186" i="12"/>
  <c r="AY186" i="12"/>
  <c r="DT186" i="12"/>
  <c r="DW186" i="12"/>
  <c r="DA186" i="12"/>
  <c r="CH186" i="12"/>
  <c r="EM186" i="12"/>
  <c r="BR186" i="12"/>
  <c r="CG186" i="12"/>
  <c r="CI186" i="12" s="1"/>
  <c r="AF186" i="12"/>
  <c r="EL186" i="12"/>
  <c r="EN186" i="12" s="1"/>
  <c r="AU186" i="12"/>
  <c r="AW186" i="12" s="1"/>
  <c r="AV186" i="12"/>
  <c r="DH184" i="12"/>
  <c r="CK186" i="9"/>
  <c r="CN186" i="9"/>
  <c r="CM186" i="9"/>
  <c r="CL186" i="9"/>
  <c r="BB185" i="12"/>
  <c r="BA185" i="12"/>
  <c r="AZ185" i="12"/>
  <c r="EP186" i="9"/>
  <c r="EQ186" i="9"/>
  <c r="ES186" i="9"/>
  <c r="ER186" i="9"/>
  <c r="FI186" i="9"/>
  <c r="FJ186" i="9"/>
  <c r="FL186" i="9"/>
  <c r="FK186" i="9"/>
  <c r="AI185" i="12"/>
  <c r="AH185" i="12"/>
  <c r="AG185" i="12"/>
  <c r="EA184" i="12"/>
  <c r="ET184" i="12"/>
  <c r="CL185" i="12"/>
  <c r="CN185" i="12"/>
  <c r="CM185" i="12"/>
  <c r="M187" i="12"/>
  <c r="P187" i="12" s="1"/>
  <c r="Q187" i="12" s="1"/>
  <c r="DX185" i="12"/>
  <c r="DY185" i="12"/>
  <c r="DZ185" i="12"/>
  <c r="DY186" i="9"/>
  <c r="DZ186" i="9"/>
  <c r="DX186" i="9"/>
  <c r="DW186" i="9"/>
  <c r="O188" i="12" a="1"/>
  <c r="O188" i="12" s="1"/>
  <c r="N188" i="12" a="1"/>
  <c r="N188" i="12" s="1"/>
  <c r="L188" i="12" a="1"/>
  <c r="L188" i="12" s="1"/>
  <c r="K188" i="12" a="1"/>
  <c r="K188" i="12" s="1"/>
  <c r="J188" i="12" a="1"/>
  <c r="J188" i="12" s="1"/>
  <c r="G188" i="12" a="1"/>
  <c r="G188" i="12" s="1"/>
  <c r="H188" i="12" a="1"/>
  <c r="H188" i="12" s="1"/>
  <c r="D189" i="12"/>
  <c r="BR186" i="9"/>
  <c r="BS186" i="9"/>
  <c r="BU186" i="9"/>
  <c r="BT186" i="9"/>
  <c r="DE185" i="12"/>
  <c r="DG185" i="12"/>
  <c r="DF185" i="12"/>
  <c r="M188" i="9"/>
  <c r="P188" i="9" s="1"/>
  <c r="Q188" i="9" s="1"/>
  <c r="BO187" i="9"/>
  <c r="FE187" i="9"/>
  <c r="FG187" i="9" s="1"/>
  <c r="CH187" i="9"/>
  <c r="AU187" i="9"/>
  <c r="AW187" i="9" s="1"/>
  <c r="CG187" i="9"/>
  <c r="CI187" i="9" s="1"/>
  <c r="AV187" i="9"/>
  <c r="BN187" i="9"/>
  <c r="BP187" i="9" s="1"/>
  <c r="FF187" i="9"/>
  <c r="DA187" i="9"/>
  <c r="CZ187" i="9"/>
  <c r="DB187" i="9" s="1"/>
  <c r="EM187" i="9"/>
  <c r="AC187" i="9"/>
  <c r="EL187" i="9"/>
  <c r="EN187" i="9" s="1"/>
  <c r="AB187" i="9"/>
  <c r="AD187" i="9" s="1"/>
  <c r="DT187" i="9"/>
  <c r="DS187" i="9"/>
  <c r="DU187" i="9" s="1"/>
  <c r="DF186" i="9"/>
  <c r="DD186" i="9"/>
  <c r="DH186" i="9" s="1"/>
  <c r="DE186" i="9"/>
  <c r="DG186" i="9"/>
  <c r="EQ185" i="12"/>
  <c r="ES185" i="12"/>
  <c r="ER185" i="12"/>
  <c r="FJ185" i="12"/>
  <c r="FL185" i="12"/>
  <c r="FK185" i="12"/>
  <c r="O189" i="9" a="1"/>
  <c r="O189" i="9" s="1"/>
  <c r="L189" i="9" a="1"/>
  <c r="L189" i="9" s="1"/>
  <c r="K189" i="9" a="1"/>
  <c r="K189" i="9" s="1"/>
  <c r="J189" i="9" a="1"/>
  <c r="J189" i="9" s="1"/>
  <c r="G189" i="9" a="1"/>
  <c r="G189" i="9" s="1"/>
  <c r="N189" i="9" a="1"/>
  <c r="N189" i="9" s="1"/>
  <c r="H189" i="9" a="1"/>
  <c r="H189" i="9" s="1"/>
  <c r="D190" i="9"/>
  <c r="I189" i="9"/>
  <c r="CX188" i="9"/>
  <c r="CY188" i="9" s="1"/>
  <c r="DC188" i="9" s="1"/>
  <c r="CE188" i="9"/>
  <c r="CF188" i="9" s="1"/>
  <c r="CJ188" i="9" s="1"/>
  <c r="FC188" i="9"/>
  <c r="FD188" i="9" s="1"/>
  <c r="FH188" i="9" s="1"/>
  <c r="Z188" i="9"/>
  <c r="AA188" i="9" s="1"/>
  <c r="AE188" i="9" s="1"/>
  <c r="DQ188" i="9"/>
  <c r="DR188" i="9" s="1"/>
  <c r="DV188" i="9" s="1"/>
  <c r="EJ188" i="9"/>
  <c r="EK188" i="9" s="1"/>
  <c r="EO188" i="9" s="1"/>
  <c r="BL188" i="9"/>
  <c r="BM188" i="9" s="1"/>
  <c r="BQ188" i="9" s="1"/>
  <c r="AS188" i="9"/>
  <c r="AT188" i="9" s="1"/>
  <c r="AX188" i="9" s="1"/>
  <c r="AG186" i="9"/>
  <c r="AH186" i="9"/>
  <c r="AF186" i="9"/>
  <c r="AJ186" i="9" s="1"/>
  <c r="AI186" i="9"/>
  <c r="BB186" i="9"/>
  <c r="BA186" i="9"/>
  <c r="AZ186" i="9"/>
  <c r="AY186" i="9"/>
  <c r="AJ185" i="12"/>
  <c r="BS185" i="12"/>
  <c r="BT185" i="12"/>
  <c r="BU185" i="12"/>
  <c r="ET185" i="12" l="1"/>
  <c r="FM186" i="9"/>
  <c r="BC186" i="9"/>
  <c r="ET186" i="9"/>
  <c r="EA186" i="9"/>
  <c r="BV186" i="9"/>
  <c r="CO186" i="9"/>
  <c r="DH185" i="12"/>
  <c r="CO185" i="12"/>
  <c r="BC185" i="12"/>
  <c r="BV185" i="12"/>
  <c r="EA185" i="12"/>
  <c r="FM185" i="12"/>
  <c r="CH188" i="9"/>
  <c r="AV188" i="9"/>
  <c r="CG188" i="9"/>
  <c r="CI188" i="9" s="1"/>
  <c r="AU188" i="9"/>
  <c r="AW188" i="9" s="1"/>
  <c r="FF188" i="9"/>
  <c r="BN188" i="9"/>
  <c r="BP188" i="9" s="1"/>
  <c r="FE188" i="9"/>
  <c r="FG188" i="9" s="1"/>
  <c r="BO188" i="9"/>
  <c r="AC188" i="9"/>
  <c r="DA188" i="9"/>
  <c r="EM188" i="9"/>
  <c r="CZ188" i="9"/>
  <c r="DB188" i="9" s="1"/>
  <c r="EL188" i="9"/>
  <c r="EN188" i="9" s="1"/>
  <c r="AB188" i="9"/>
  <c r="AD188" i="9" s="1"/>
  <c r="DS188" i="9"/>
  <c r="DU188" i="9" s="1"/>
  <c r="DT188" i="9"/>
  <c r="FE187" i="12"/>
  <c r="FG187" i="12" s="1"/>
  <c r="FF187" i="12"/>
  <c r="EP187" i="12"/>
  <c r="CK187" i="12"/>
  <c r="DD187" i="12"/>
  <c r="BO187" i="12"/>
  <c r="BN187" i="12"/>
  <c r="BP187" i="12" s="1"/>
  <c r="AB187" i="12"/>
  <c r="AD187" i="12" s="1"/>
  <c r="AC187" i="12"/>
  <c r="BR187" i="12"/>
  <c r="DT187" i="12"/>
  <c r="AY187" i="12"/>
  <c r="DS187" i="12"/>
  <c r="DU187" i="12" s="1"/>
  <c r="DW187" i="12"/>
  <c r="AF187" i="12"/>
  <c r="CH187" i="12"/>
  <c r="CG187" i="12"/>
  <c r="CI187" i="12" s="1"/>
  <c r="EM187" i="12"/>
  <c r="DA187" i="12"/>
  <c r="EL187" i="12"/>
  <c r="EN187" i="12" s="1"/>
  <c r="CZ187" i="12"/>
  <c r="DB187" i="12" s="1"/>
  <c r="FI187" i="12"/>
  <c r="AV187" i="12"/>
  <c r="AU187" i="12"/>
  <c r="AW187" i="12" s="1"/>
  <c r="I190" i="9"/>
  <c r="DQ189" i="9"/>
  <c r="DR189" i="9" s="1"/>
  <c r="DV189" i="9" s="1"/>
  <c r="FC189" i="9"/>
  <c r="FD189" i="9" s="1"/>
  <c r="FH189" i="9" s="1"/>
  <c r="EJ189" i="9"/>
  <c r="EK189" i="9" s="1"/>
  <c r="EO189" i="9" s="1"/>
  <c r="Z189" i="9"/>
  <c r="AA189" i="9" s="1"/>
  <c r="AE189" i="9" s="1"/>
  <c r="CE189" i="9"/>
  <c r="CF189" i="9" s="1"/>
  <c r="CJ189" i="9" s="1"/>
  <c r="AS189" i="9"/>
  <c r="AT189" i="9" s="1"/>
  <c r="AX189" i="9" s="1"/>
  <c r="CX189" i="9"/>
  <c r="CY189" i="9" s="1"/>
  <c r="DC189" i="9" s="1"/>
  <c r="BL189" i="9"/>
  <c r="BM189" i="9" s="1"/>
  <c r="BQ189" i="9" s="1"/>
  <c r="AI186" i="12"/>
  <c r="AH186" i="12"/>
  <c r="AG186" i="12"/>
  <c r="K190" i="9" a="1"/>
  <c r="K190" i="9" s="1"/>
  <c r="L190" i="9" a="1"/>
  <c r="L190" i="9" s="1"/>
  <c r="N190" i="9" a="1"/>
  <c r="N190" i="9" s="1"/>
  <c r="O190" i="9" a="1"/>
  <c r="O190" i="9" s="1"/>
  <c r="G190" i="9" a="1"/>
  <c r="G190" i="9" s="1"/>
  <c r="H190" i="9" a="1"/>
  <c r="H190" i="9" s="1"/>
  <c r="J190" i="9" a="1"/>
  <c r="J190" i="9" s="1"/>
  <c r="D191" i="9"/>
  <c r="AZ186" i="12"/>
  <c r="BB186" i="12"/>
  <c r="BA186" i="12"/>
  <c r="FI187" i="9"/>
  <c r="FL187" i="9"/>
  <c r="FJ187" i="9"/>
  <c r="FK187" i="9"/>
  <c r="DW187" i="9"/>
  <c r="DX187" i="9"/>
  <c r="DZ187" i="9"/>
  <c r="DY187" i="9"/>
  <c r="EQ186" i="12"/>
  <c r="ER186" i="12"/>
  <c r="ES186" i="12"/>
  <c r="BS186" i="12"/>
  <c r="BT186" i="12"/>
  <c r="BU186" i="12"/>
  <c r="BR187" i="9"/>
  <c r="BS187" i="9"/>
  <c r="BU187" i="9"/>
  <c r="BT187" i="9"/>
  <c r="N189" i="12" a="1"/>
  <c r="N189" i="12" s="1"/>
  <c r="L189" i="12" a="1"/>
  <c r="L189" i="12" s="1"/>
  <c r="H189" i="12" a="1"/>
  <c r="H189" i="12" s="1"/>
  <c r="K189" i="12" a="1"/>
  <c r="K189" i="12" s="1"/>
  <c r="J189" i="12" a="1"/>
  <c r="J189" i="12" s="1"/>
  <c r="G189" i="12" a="1"/>
  <c r="G189" i="12" s="1"/>
  <c r="O189" i="12" a="1"/>
  <c r="O189" i="12" s="1"/>
  <c r="D190" i="12"/>
  <c r="M189" i="9"/>
  <c r="P189" i="9" s="1"/>
  <c r="Q189" i="9" s="1"/>
  <c r="AI187" i="9"/>
  <c r="AH187" i="9"/>
  <c r="AF187" i="9"/>
  <c r="AJ187" i="9" s="1"/>
  <c r="AG187" i="9"/>
  <c r="CL186" i="12"/>
  <c r="CN186" i="12"/>
  <c r="CM186" i="12"/>
  <c r="EQ187" i="9"/>
  <c r="ER187" i="9"/>
  <c r="EP187" i="9"/>
  <c r="ES187" i="9"/>
  <c r="CK187" i="9"/>
  <c r="CN187" i="9"/>
  <c r="CL187" i="9"/>
  <c r="CM187" i="9"/>
  <c r="DE186" i="12"/>
  <c r="DG186" i="12"/>
  <c r="DF186" i="12"/>
  <c r="AY187" i="9"/>
  <c r="BA187" i="9"/>
  <c r="BB187" i="9"/>
  <c r="AZ187" i="9"/>
  <c r="M188" i="12"/>
  <c r="P188" i="12" s="1"/>
  <c r="Q188" i="12" s="1"/>
  <c r="DX186" i="12"/>
  <c r="DY186" i="12"/>
  <c r="DZ186" i="12"/>
  <c r="FJ186" i="12"/>
  <c r="FK186" i="12"/>
  <c r="FL186" i="12"/>
  <c r="DF187" i="9"/>
  <c r="DE187" i="9"/>
  <c r="DD187" i="9"/>
  <c r="DG187" i="9"/>
  <c r="DH187" i="9" l="1"/>
  <c r="FM187" i="9"/>
  <c r="BC187" i="9"/>
  <c r="ET187" i="9"/>
  <c r="EA187" i="9"/>
  <c r="CO187" i="9"/>
  <c r="BV187" i="9"/>
  <c r="CO186" i="12"/>
  <c r="BV186" i="12"/>
  <c r="AJ186" i="12"/>
  <c r="FM186" i="12"/>
  <c r="DH186" i="12"/>
  <c r="BC186" i="12"/>
  <c r="BN189" i="9"/>
  <c r="BP189" i="9" s="1"/>
  <c r="CH189" i="9"/>
  <c r="BO189" i="9"/>
  <c r="AU189" i="9"/>
  <c r="AW189" i="9" s="1"/>
  <c r="FF189" i="9"/>
  <c r="FE189" i="9"/>
  <c r="FG189" i="9" s="1"/>
  <c r="CG189" i="9"/>
  <c r="CI189" i="9" s="1"/>
  <c r="AV189" i="9"/>
  <c r="EL189" i="9"/>
  <c r="EN189" i="9" s="1"/>
  <c r="CZ189" i="9"/>
  <c r="DB189" i="9" s="1"/>
  <c r="AB189" i="9"/>
  <c r="AD189" i="9" s="1"/>
  <c r="AC189" i="9"/>
  <c r="EM189" i="9"/>
  <c r="DA189" i="9"/>
  <c r="DT189" i="9"/>
  <c r="DS189" i="9"/>
  <c r="DU189" i="9" s="1"/>
  <c r="EP188" i="12"/>
  <c r="FE188" i="12"/>
  <c r="FG188" i="12" s="1"/>
  <c r="FF188" i="12"/>
  <c r="DD188" i="12"/>
  <c r="CK188" i="12"/>
  <c r="BO188" i="12"/>
  <c r="BN188" i="12"/>
  <c r="BP188" i="12" s="1"/>
  <c r="AC188" i="12"/>
  <c r="AB188" i="12"/>
  <c r="AD188" i="12" s="1"/>
  <c r="DW188" i="12"/>
  <c r="CG188" i="12"/>
  <c r="CI188" i="12" s="1"/>
  <c r="EM188" i="12"/>
  <c r="AF188" i="12"/>
  <c r="EL188" i="12"/>
  <c r="EN188" i="12" s="1"/>
  <c r="FI188" i="12"/>
  <c r="BR188" i="12"/>
  <c r="AY188" i="12"/>
  <c r="DA188" i="12"/>
  <c r="DT188" i="12"/>
  <c r="CZ188" i="12"/>
  <c r="DB188" i="12" s="1"/>
  <c r="DS188" i="12"/>
  <c r="DU188" i="12" s="1"/>
  <c r="CH188" i="12"/>
  <c r="AV188" i="12"/>
  <c r="AU188" i="12"/>
  <c r="AW188" i="12" s="1"/>
  <c r="EA186" i="12"/>
  <c r="M189" i="12"/>
  <c r="P189" i="12" s="1"/>
  <c r="Q189" i="12" s="1"/>
  <c r="BS187" i="12"/>
  <c r="BT187" i="12"/>
  <c r="BU187" i="12"/>
  <c r="DZ188" i="9"/>
  <c r="DW188" i="9"/>
  <c r="EA188" i="9" s="1"/>
  <c r="DY188" i="9"/>
  <c r="DX188" i="9"/>
  <c r="FJ188" i="9"/>
  <c r="FK188" i="9"/>
  <c r="FI188" i="9"/>
  <c r="FM188" i="9" s="1"/>
  <c r="FL188" i="9"/>
  <c r="BB187" i="12"/>
  <c r="AZ187" i="12"/>
  <c r="BA187" i="12"/>
  <c r="AI188" i="9"/>
  <c r="AH188" i="9"/>
  <c r="AG188" i="9"/>
  <c r="AF188" i="9"/>
  <c r="AJ188" i="9" s="1"/>
  <c r="BS188" i="9"/>
  <c r="BT188" i="9"/>
  <c r="BR188" i="9"/>
  <c r="BU188" i="9"/>
  <c r="DE187" i="12"/>
  <c r="DG187" i="12"/>
  <c r="DF187" i="12"/>
  <c r="DX187" i="12"/>
  <c r="DZ187" i="12"/>
  <c r="DY187" i="12"/>
  <c r="EQ188" i="9"/>
  <c r="EP188" i="9"/>
  <c r="ER188" i="9"/>
  <c r="ES188" i="9"/>
  <c r="EQ187" i="12"/>
  <c r="ER187" i="12"/>
  <c r="ES187" i="12"/>
  <c r="DE188" i="9"/>
  <c r="DD188" i="9"/>
  <c r="DH188" i="9" s="1"/>
  <c r="DG188" i="9"/>
  <c r="DF188" i="9"/>
  <c r="BB188" i="9"/>
  <c r="BA188" i="9"/>
  <c r="AY188" i="9"/>
  <c r="BC188" i="9" s="1"/>
  <c r="AZ188" i="9"/>
  <c r="L191" i="9" a="1"/>
  <c r="L191" i="9" s="1"/>
  <c r="H191" i="9" a="1"/>
  <c r="H191" i="9" s="1"/>
  <c r="J191" i="9" a="1"/>
  <c r="J191" i="9" s="1"/>
  <c r="K191" i="9" a="1"/>
  <c r="K191" i="9" s="1"/>
  <c r="O191" i="9" a="1"/>
  <c r="O191" i="9" s="1"/>
  <c r="N191" i="9" a="1"/>
  <c r="N191" i="9" s="1"/>
  <c r="G191" i="9" a="1"/>
  <c r="G191" i="9" s="1"/>
  <c r="D192" i="9"/>
  <c r="M190" i="9"/>
  <c r="P190" i="9" s="1"/>
  <c r="Q190" i="9" s="1"/>
  <c r="CM188" i="9"/>
  <c r="CK188" i="9"/>
  <c r="CN188" i="9"/>
  <c r="CL188" i="9"/>
  <c r="AG187" i="12"/>
  <c r="AI187" i="12"/>
  <c r="AH187" i="12"/>
  <c r="K190" i="12" a="1"/>
  <c r="K190" i="12" s="1"/>
  <c r="H190" i="12" a="1"/>
  <c r="H190" i="12" s="1"/>
  <c r="O190" i="12" a="1"/>
  <c r="O190" i="12" s="1"/>
  <c r="J190" i="12" a="1"/>
  <c r="J190" i="12" s="1"/>
  <c r="L190" i="12" a="1"/>
  <c r="L190" i="12" s="1"/>
  <c r="N190" i="12" a="1"/>
  <c r="N190" i="12" s="1"/>
  <c r="G190" i="12" a="1"/>
  <c r="G190" i="12" s="1"/>
  <c r="D191" i="12"/>
  <c r="ET186" i="12"/>
  <c r="I191" i="9"/>
  <c r="Z190" i="9"/>
  <c r="AA190" i="9" s="1"/>
  <c r="AE190" i="9" s="1"/>
  <c r="CE190" i="9"/>
  <c r="CF190" i="9" s="1"/>
  <c r="CJ190" i="9" s="1"/>
  <c r="DQ190" i="9"/>
  <c r="DR190" i="9" s="1"/>
  <c r="DV190" i="9" s="1"/>
  <c r="BL190" i="9"/>
  <c r="BM190" i="9" s="1"/>
  <c r="BQ190" i="9" s="1"/>
  <c r="AS190" i="9"/>
  <c r="AT190" i="9" s="1"/>
  <c r="AX190" i="9" s="1"/>
  <c r="CX190" i="9"/>
  <c r="CY190" i="9" s="1"/>
  <c r="DC190" i="9" s="1"/>
  <c r="FC190" i="9"/>
  <c r="FD190" i="9" s="1"/>
  <c r="FH190" i="9" s="1"/>
  <c r="EJ190" i="9"/>
  <c r="EK190" i="9" s="1"/>
  <c r="EO190" i="9" s="1"/>
  <c r="CN187" i="12"/>
  <c r="CM187" i="12"/>
  <c r="CL187" i="12"/>
  <c r="FJ187" i="12"/>
  <c r="FK187" i="12"/>
  <c r="FL187" i="12"/>
  <c r="CO187" i="12" l="1"/>
  <c r="BV188" i="9"/>
  <c r="ET188" i="9"/>
  <c r="CO188" i="9"/>
  <c r="DH187" i="12"/>
  <c r="BV187" i="12"/>
  <c r="FM187" i="12"/>
  <c r="AJ187" i="12"/>
  <c r="AU190" i="9"/>
  <c r="AW190" i="9" s="1"/>
  <c r="CH190" i="9"/>
  <c r="BN190" i="9"/>
  <c r="BP190" i="9" s="1"/>
  <c r="CG190" i="9"/>
  <c r="CI190" i="9" s="1"/>
  <c r="FE190" i="9"/>
  <c r="FG190" i="9" s="1"/>
  <c r="FF190" i="9"/>
  <c r="BO190" i="9"/>
  <c r="AV190" i="9"/>
  <c r="AB190" i="9"/>
  <c r="AD190" i="9" s="1"/>
  <c r="AC190" i="9"/>
  <c r="DA190" i="9"/>
  <c r="EM190" i="9"/>
  <c r="CZ190" i="9"/>
  <c r="DB190" i="9" s="1"/>
  <c r="EL190" i="9"/>
  <c r="EN190" i="9" s="1"/>
  <c r="DT190" i="9"/>
  <c r="DS190" i="9"/>
  <c r="DU190" i="9" s="1"/>
  <c r="ET187" i="12"/>
  <c r="BS188" i="12"/>
  <c r="BT188" i="12"/>
  <c r="BU188" i="12"/>
  <c r="CK189" i="9"/>
  <c r="CN189" i="9"/>
  <c r="CL189" i="9"/>
  <c r="CM189" i="9"/>
  <c r="EQ188" i="12"/>
  <c r="ES188" i="12"/>
  <c r="ER188" i="12"/>
  <c r="FJ189" i="9"/>
  <c r="FL189" i="9"/>
  <c r="FK189" i="9"/>
  <c r="FI189" i="9"/>
  <c r="M190" i="12"/>
  <c r="P190" i="12" s="1"/>
  <c r="Q190" i="12" s="1"/>
  <c r="M191" i="9"/>
  <c r="P191" i="9" s="1"/>
  <c r="Q191" i="9" s="1"/>
  <c r="DX188" i="12"/>
  <c r="DZ188" i="12"/>
  <c r="DY188" i="12"/>
  <c r="AZ188" i="12"/>
  <c r="BB188" i="12"/>
  <c r="BA188" i="12"/>
  <c r="I192" i="9"/>
  <c r="EJ191" i="9"/>
  <c r="EK191" i="9" s="1"/>
  <c r="EO191" i="9" s="1"/>
  <c r="DQ191" i="9"/>
  <c r="DR191" i="9" s="1"/>
  <c r="DV191" i="9" s="1"/>
  <c r="CE191" i="9"/>
  <c r="CF191" i="9" s="1"/>
  <c r="CJ191" i="9" s="1"/>
  <c r="CX191" i="9"/>
  <c r="CY191" i="9" s="1"/>
  <c r="DC191" i="9" s="1"/>
  <c r="Z191" i="9"/>
  <c r="AA191" i="9" s="1"/>
  <c r="AE191" i="9" s="1"/>
  <c r="AS191" i="9"/>
  <c r="AT191" i="9" s="1"/>
  <c r="AX191" i="9" s="1"/>
  <c r="BL191" i="9"/>
  <c r="BM191" i="9" s="1"/>
  <c r="BQ191" i="9" s="1"/>
  <c r="FC191" i="9"/>
  <c r="FD191" i="9" s="1"/>
  <c r="FH191" i="9" s="1"/>
  <c r="DE188" i="12"/>
  <c r="DF188" i="12"/>
  <c r="DG188" i="12"/>
  <c r="AZ189" i="9"/>
  <c r="AY189" i="9"/>
  <c r="BA189" i="9"/>
  <c r="BB189" i="9"/>
  <c r="CL188" i="12"/>
  <c r="CN188" i="12"/>
  <c r="CM188" i="12"/>
  <c r="AG189" i="9"/>
  <c r="AH189" i="9"/>
  <c r="AF189" i="9"/>
  <c r="AI189" i="9"/>
  <c r="DX189" i="9"/>
  <c r="DW189" i="9"/>
  <c r="EA189" i="9" s="1"/>
  <c r="DZ189" i="9"/>
  <c r="DY189" i="9"/>
  <c r="EP189" i="12"/>
  <c r="FF189" i="12"/>
  <c r="FE189" i="12"/>
  <c r="FG189" i="12" s="1"/>
  <c r="DD189" i="12"/>
  <c r="CK189" i="12"/>
  <c r="AB189" i="12"/>
  <c r="AD189" i="12" s="1"/>
  <c r="BO189" i="12"/>
  <c r="AC189" i="12"/>
  <c r="BN189" i="12"/>
  <c r="BP189" i="12" s="1"/>
  <c r="BR189" i="12"/>
  <c r="EL189" i="12"/>
  <c r="EN189" i="12" s="1"/>
  <c r="DS189" i="12"/>
  <c r="DU189" i="12" s="1"/>
  <c r="CZ189" i="12"/>
  <c r="DB189" i="12" s="1"/>
  <c r="EM189" i="12"/>
  <c r="CH189" i="12"/>
  <c r="CG189" i="12"/>
  <c r="CI189" i="12" s="1"/>
  <c r="DW189" i="12"/>
  <c r="DT189" i="12"/>
  <c r="AY189" i="12"/>
  <c r="FI189" i="12"/>
  <c r="AF189" i="12"/>
  <c r="DA189" i="12"/>
  <c r="AV189" i="12"/>
  <c r="AU189" i="12"/>
  <c r="AW189" i="12" s="1"/>
  <c r="FJ188" i="12"/>
  <c r="FL188" i="12"/>
  <c r="FK188" i="12"/>
  <c r="DG189" i="9"/>
  <c r="DF189" i="9"/>
  <c r="DE189" i="9"/>
  <c r="DD189" i="9"/>
  <c r="J191" i="12" a="1"/>
  <c r="J191" i="12" s="1"/>
  <c r="L191" i="12" a="1"/>
  <c r="L191" i="12" s="1"/>
  <c r="G191" i="12" a="1"/>
  <c r="G191" i="12" s="1"/>
  <c r="O191" i="12" a="1"/>
  <c r="O191" i="12" s="1"/>
  <c r="N191" i="12" a="1"/>
  <c r="N191" i="12" s="1"/>
  <c r="K191" i="12" a="1"/>
  <c r="K191" i="12" s="1"/>
  <c r="H191" i="12" a="1"/>
  <c r="H191" i="12" s="1"/>
  <c r="D192" i="12"/>
  <c r="N192" i="9" a="1"/>
  <c r="N192" i="9" s="1"/>
  <c r="H192" i="9" a="1"/>
  <c r="H192" i="9" s="1"/>
  <c r="J192" i="9" a="1"/>
  <c r="J192" i="9" s="1"/>
  <c r="G192" i="9" a="1"/>
  <c r="G192" i="9" s="1"/>
  <c r="O192" i="9" a="1"/>
  <c r="O192" i="9" s="1"/>
  <c r="L192" i="9" a="1"/>
  <c r="L192" i="9" s="1"/>
  <c r="K192" i="9" a="1"/>
  <c r="K192" i="9" s="1"/>
  <c r="D193" i="9"/>
  <c r="EA187" i="12"/>
  <c r="BC187" i="12"/>
  <c r="AI188" i="12"/>
  <c r="AH188" i="12"/>
  <c r="AG188" i="12"/>
  <c r="EQ189" i="9"/>
  <c r="EP189" i="9"/>
  <c r="ET189" i="9" s="1"/>
  <c r="ES189" i="9"/>
  <c r="ER189" i="9"/>
  <c r="BU189" i="9"/>
  <c r="BT189" i="9"/>
  <c r="BS189" i="9"/>
  <c r="BR189" i="9"/>
  <c r="FM189" i="9" l="1"/>
  <c r="AJ189" i="9"/>
  <c r="BC189" i="9"/>
  <c r="BV189" i="9"/>
  <c r="DH189" i="9"/>
  <c r="CO189" i="9"/>
  <c r="AJ188" i="12"/>
  <c r="EA188" i="12"/>
  <c r="BC188" i="12"/>
  <c r="FM188" i="12"/>
  <c r="DH188" i="12"/>
  <c r="BV188" i="12"/>
  <c r="CO188" i="12"/>
  <c r="EP190" i="12"/>
  <c r="FE190" i="12"/>
  <c r="FG190" i="12" s="1"/>
  <c r="FF190" i="12"/>
  <c r="DD190" i="12"/>
  <c r="CK190" i="12"/>
  <c r="BO190" i="12"/>
  <c r="BN190" i="12"/>
  <c r="BP190" i="12" s="1"/>
  <c r="AC190" i="12"/>
  <c r="AB190" i="12"/>
  <c r="AD190" i="12" s="1"/>
  <c r="BR190" i="12"/>
  <c r="AF190" i="12"/>
  <c r="FI190" i="12"/>
  <c r="DT190" i="12"/>
  <c r="DS190" i="12"/>
  <c r="DU190" i="12" s="1"/>
  <c r="CH190" i="12"/>
  <c r="AY190" i="12"/>
  <c r="CG190" i="12"/>
  <c r="CI190" i="12" s="1"/>
  <c r="DW190" i="12"/>
  <c r="DA190" i="12"/>
  <c r="EM190" i="12"/>
  <c r="CZ190" i="12"/>
  <c r="DB190" i="12" s="1"/>
  <c r="EL190" i="12"/>
  <c r="EN190" i="12" s="1"/>
  <c r="AU190" i="12"/>
  <c r="AW190" i="12" s="1"/>
  <c r="AV190" i="12"/>
  <c r="AU191" i="9"/>
  <c r="AW191" i="9" s="1"/>
  <c r="BN191" i="9"/>
  <c r="BP191" i="9" s="1"/>
  <c r="AV191" i="9"/>
  <c r="BO191" i="9"/>
  <c r="CH191" i="9"/>
  <c r="FF191" i="9"/>
  <c r="CG191" i="9"/>
  <c r="CI191" i="9" s="1"/>
  <c r="FE191" i="9"/>
  <c r="FG191" i="9" s="1"/>
  <c r="EM191" i="9"/>
  <c r="AC191" i="9"/>
  <c r="EL191" i="9"/>
  <c r="EN191" i="9" s="1"/>
  <c r="AB191" i="9"/>
  <c r="AD191" i="9" s="1"/>
  <c r="CZ191" i="9"/>
  <c r="DB191" i="9" s="1"/>
  <c r="DA191" i="9"/>
  <c r="DS191" i="9"/>
  <c r="DU191" i="9" s="1"/>
  <c r="DT191" i="9"/>
  <c r="G193" i="9" a="1"/>
  <c r="G193" i="9" s="1"/>
  <c r="J193" i="9" a="1"/>
  <c r="J193" i="9" s="1"/>
  <c r="H193" i="9" a="1"/>
  <c r="H193" i="9" s="1"/>
  <c r="K193" i="9" a="1"/>
  <c r="K193" i="9" s="1"/>
  <c r="L193" i="9" a="1"/>
  <c r="L193" i="9" s="1"/>
  <c r="O193" i="9" a="1"/>
  <c r="O193" i="9" s="1"/>
  <c r="N193" i="9" a="1"/>
  <c r="N193" i="9" s="1"/>
  <c r="D194" i="9"/>
  <c r="AZ189" i="12"/>
  <c r="BA189" i="12"/>
  <c r="BB189" i="12"/>
  <c r="AI189" i="12"/>
  <c r="AH189" i="12"/>
  <c r="AG189" i="12"/>
  <c r="I193" i="9"/>
  <c r="CE192" i="9"/>
  <c r="CF192" i="9" s="1"/>
  <c r="CJ192" i="9" s="1"/>
  <c r="EJ192" i="9"/>
  <c r="EK192" i="9" s="1"/>
  <c r="EO192" i="9" s="1"/>
  <c r="BL192" i="9"/>
  <c r="BM192" i="9" s="1"/>
  <c r="BQ192" i="9" s="1"/>
  <c r="AS192" i="9"/>
  <c r="AT192" i="9" s="1"/>
  <c r="AX192" i="9" s="1"/>
  <c r="FC192" i="9"/>
  <c r="FD192" i="9" s="1"/>
  <c r="FH192" i="9" s="1"/>
  <c r="CX192" i="9"/>
  <c r="CY192" i="9" s="1"/>
  <c r="DC192" i="9" s="1"/>
  <c r="Z192" i="9"/>
  <c r="AA192" i="9" s="1"/>
  <c r="AE192" i="9" s="1"/>
  <c r="DQ192" i="9"/>
  <c r="DR192" i="9" s="1"/>
  <c r="DV192" i="9" s="1"/>
  <c r="ES190" i="9"/>
  <c r="EP190" i="9"/>
  <c r="ET190" i="9" s="1"/>
  <c r="ER190" i="9"/>
  <c r="EQ190" i="9"/>
  <c r="DE189" i="12"/>
  <c r="DG189" i="12"/>
  <c r="DF189" i="12"/>
  <c r="ET188" i="12"/>
  <c r="DD190" i="9"/>
  <c r="DF190" i="9"/>
  <c r="DE190" i="9"/>
  <c r="DG190" i="9"/>
  <c r="FI190" i="9"/>
  <c r="FJ190" i="9"/>
  <c r="FL190" i="9"/>
  <c r="FK190" i="9"/>
  <c r="DX189" i="12"/>
  <c r="DZ189" i="12"/>
  <c r="DY189" i="12"/>
  <c r="CK190" i="9"/>
  <c r="CN190" i="9"/>
  <c r="CL190" i="9"/>
  <c r="CM190" i="9"/>
  <c r="CL189" i="12"/>
  <c r="CM189" i="12"/>
  <c r="CN189" i="12"/>
  <c r="M192" i="9"/>
  <c r="P192" i="9" s="1"/>
  <c r="Q192" i="9" s="1"/>
  <c r="EQ189" i="12"/>
  <c r="ES189" i="12"/>
  <c r="ER189" i="12"/>
  <c r="FJ189" i="12"/>
  <c r="FL189" i="12"/>
  <c r="FK189" i="12"/>
  <c r="BT190" i="9"/>
  <c r="BS190" i="9"/>
  <c r="BR190" i="9"/>
  <c r="BU190" i="9"/>
  <c r="G192" i="12" a="1"/>
  <c r="G192" i="12" s="1"/>
  <c r="H192" i="12" a="1"/>
  <c r="H192" i="12" s="1"/>
  <c r="J192" i="12" a="1"/>
  <c r="J192" i="12" s="1"/>
  <c r="O192" i="12" a="1"/>
  <c r="O192" i="12" s="1"/>
  <c r="N192" i="12" a="1"/>
  <c r="N192" i="12" s="1"/>
  <c r="L192" i="12" a="1"/>
  <c r="L192" i="12" s="1"/>
  <c r="K192" i="12" a="1"/>
  <c r="K192" i="12" s="1"/>
  <c r="D193" i="12"/>
  <c r="DW190" i="9"/>
  <c r="DZ190" i="9"/>
  <c r="DY190" i="9"/>
  <c r="DX190" i="9"/>
  <c r="M191" i="12"/>
  <c r="P191" i="12" s="1"/>
  <c r="Q191" i="12" s="1"/>
  <c r="BS189" i="12"/>
  <c r="BU189" i="12"/>
  <c r="BT189" i="12"/>
  <c r="AI190" i="9"/>
  <c r="AH190" i="9"/>
  <c r="AG190" i="9"/>
  <c r="AF190" i="9"/>
  <c r="AJ190" i="9" s="1"/>
  <c r="BA190" i="9"/>
  <c r="AY190" i="9"/>
  <c r="AZ190" i="9"/>
  <c r="BB190" i="9"/>
  <c r="BV190" i="9" l="1"/>
  <c r="BC190" i="9"/>
  <c r="CO190" i="9"/>
  <c r="CO191" i="9" s="1"/>
  <c r="DH190" i="9"/>
  <c r="EA190" i="9"/>
  <c r="FM190" i="9"/>
  <c r="BV189" i="12"/>
  <c r="CO189" i="12"/>
  <c r="FM189" i="12"/>
  <c r="AJ189" i="12"/>
  <c r="BC189" i="12"/>
  <c r="ET189" i="12"/>
  <c r="DH189" i="12"/>
  <c r="EP191" i="12"/>
  <c r="FE191" i="12"/>
  <c r="FG191" i="12" s="1"/>
  <c r="FF191" i="12"/>
  <c r="CK191" i="12"/>
  <c r="DD191" i="12"/>
  <c r="AC191" i="12"/>
  <c r="BN191" i="12"/>
  <c r="BP191" i="12" s="1"/>
  <c r="BO191" i="12"/>
  <c r="AB191" i="12"/>
  <c r="AD191" i="12" s="1"/>
  <c r="FI191" i="12"/>
  <c r="EL191" i="12"/>
  <c r="EN191" i="12" s="1"/>
  <c r="DW191" i="12"/>
  <c r="BR191" i="12"/>
  <c r="DA191" i="12"/>
  <c r="AY191" i="12"/>
  <c r="CZ191" i="12"/>
  <c r="DB191" i="12" s="1"/>
  <c r="DS191" i="12"/>
  <c r="DU191" i="12" s="1"/>
  <c r="CH191" i="12"/>
  <c r="CG191" i="12"/>
  <c r="CI191" i="12" s="1"/>
  <c r="DT191" i="12"/>
  <c r="EM191" i="12"/>
  <c r="AF191" i="12"/>
  <c r="AV191" i="12"/>
  <c r="AU191" i="12"/>
  <c r="AW191" i="12" s="1"/>
  <c r="K193" i="12" a="1"/>
  <c r="K193" i="12" s="1"/>
  <c r="J193" i="12" a="1"/>
  <c r="J193" i="12" s="1"/>
  <c r="O193" i="12" a="1"/>
  <c r="O193" i="12" s="1"/>
  <c r="L193" i="12" a="1"/>
  <c r="L193" i="12" s="1"/>
  <c r="N193" i="12" a="1"/>
  <c r="N193" i="12" s="1"/>
  <c r="H193" i="12" a="1"/>
  <c r="H193" i="12" s="1"/>
  <c r="G193" i="12" a="1"/>
  <c r="G193" i="12" s="1"/>
  <c r="D194" i="12"/>
  <c r="K194" i="9" a="1"/>
  <c r="K194" i="9" s="1"/>
  <c r="O194" i="9" a="1"/>
  <c r="O194" i="9" s="1"/>
  <c r="L194" i="9" a="1"/>
  <c r="L194" i="9" s="1"/>
  <c r="G194" i="9" a="1"/>
  <c r="G194" i="9" s="1"/>
  <c r="J194" i="9" a="1"/>
  <c r="J194" i="9" s="1"/>
  <c r="H194" i="9" a="1"/>
  <c r="H194" i="9" s="1"/>
  <c r="N194" i="9" a="1"/>
  <c r="N194" i="9" s="1"/>
  <c r="D195" i="9"/>
  <c r="DY191" i="9"/>
  <c r="DX191" i="9"/>
  <c r="DW191" i="9"/>
  <c r="EA191" i="9" s="1"/>
  <c r="DZ191" i="9"/>
  <c r="CL191" i="9"/>
  <c r="CK191" i="9"/>
  <c r="CN191" i="9"/>
  <c r="CM191" i="9"/>
  <c r="AZ190" i="12"/>
  <c r="BB190" i="12"/>
  <c r="BA190" i="12"/>
  <c r="BS190" i="12"/>
  <c r="BT190" i="12"/>
  <c r="BU190" i="12"/>
  <c r="I194" i="9"/>
  <c r="CX193" i="9"/>
  <c r="CY193" i="9" s="1"/>
  <c r="DC193" i="9" s="1"/>
  <c r="CE193" i="9"/>
  <c r="CF193" i="9" s="1"/>
  <c r="CJ193" i="9" s="1"/>
  <c r="EJ193" i="9"/>
  <c r="EK193" i="9" s="1"/>
  <c r="EO193" i="9" s="1"/>
  <c r="AS193" i="9"/>
  <c r="AT193" i="9" s="1"/>
  <c r="AX193" i="9" s="1"/>
  <c r="Z193" i="9"/>
  <c r="AA193" i="9" s="1"/>
  <c r="AE193" i="9" s="1"/>
  <c r="FC193" i="9"/>
  <c r="FD193" i="9" s="1"/>
  <c r="FH193" i="9" s="1"/>
  <c r="BL193" i="9"/>
  <c r="BM193" i="9" s="1"/>
  <c r="BQ193" i="9" s="1"/>
  <c r="DQ193" i="9"/>
  <c r="DR193" i="9" s="1"/>
  <c r="DV193" i="9" s="1"/>
  <c r="EQ190" i="12"/>
  <c r="ER190" i="12"/>
  <c r="ES190" i="12"/>
  <c r="DX190" i="12"/>
  <c r="DZ190" i="12"/>
  <c r="DY190" i="12"/>
  <c r="FJ191" i="9"/>
  <c r="FI191" i="9"/>
  <c r="FK191" i="9"/>
  <c r="FL191" i="9"/>
  <c r="AU192" i="9"/>
  <c r="AW192" i="9" s="1"/>
  <c r="CH192" i="9"/>
  <c r="BN192" i="9"/>
  <c r="BP192" i="9" s="1"/>
  <c r="FE192" i="9"/>
  <c r="FG192" i="9" s="1"/>
  <c r="BO192" i="9"/>
  <c r="AV192" i="9"/>
  <c r="FF192" i="9"/>
  <c r="CG192" i="9"/>
  <c r="CI192" i="9" s="1"/>
  <c r="AB192" i="9"/>
  <c r="AD192" i="9" s="1"/>
  <c r="DA192" i="9"/>
  <c r="EM192" i="9"/>
  <c r="CZ192" i="9"/>
  <c r="DB192" i="9" s="1"/>
  <c r="EL192" i="9"/>
  <c r="EN192" i="9" s="1"/>
  <c r="AC192" i="9"/>
  <c r="DT192" i="9"/>
  <c r="DS192" i="9"/>
  <c r="DU192" i="9" s="1"/>
  <c r="EA189" i="12"/>
  <c r="DG191" i="9"/>
  <c r="DE191" i="9"/>
  <c r="DF191" i="9"/>
  <c r="DD191" i="9"/>
  <c r="DE190" i="12"/>
  <c r="DG190" i="12"/>
  <c r="DF190" i="12"/>
  <c r="AG191" i="9"/>
  <c r="AF191" i="9"/>
  <c r="AI191" i="9"/>
  <c r="AH191" i="9"/>
  <c r="EP191" i="9"/>
  <c r="ES191" i="9"/>
  <c r="EQ191" i="9"/>
  <c r="ER191" i="9"/>
  <c r="M192" i="12"/>
  <c r="P192" i="12" s="1"/>
  <c r="Q192" i="12" s="1"/>
  <c r="M193" i="9"/>
  <c r="P193" i="9" s="1"/>
  <c r="Q193" i="9" s="1"/>
  <c r="BS191" i="9"/>
  <c r="BU191" i="9"/>
  <c r="BR191" i="9"/>
  <c r="BT191" i="9"/>
  <c r="FJ190" i="12"/>
  <c r="FL190" i="12"/>
  <c r="FK190" i="12"/>
  <c r="AZ191" i="9"/>
  <c r="AY191" i="9"/>
  <c r="BB191" i="9"/>
  <c r="BA191" i="9"/>
  <c r="CL190" i="12"/>
  <c r="CN190" i="12"/>
  <c r="CM190" i="12"/>
  <c r="AH190" i="12"/>
  <c r="AI190" i="12"/>
  <c r="AG190" i="12"/>
  <c r="BV191" i="9" l="1"/>
  <c r="ET191" i="9"/>
  <c r="DH191" i="9"/>
  <c r="FM191" i="9"/>
  <c r="BC191" i="9"/>
  <c r="AJ191" i="9"/>
  <c r="BV190" i="12"/>
  <c r="BC190" i="12"/>
  <c r="AJ190" i="12"/>
  <c r="FM190" i="12"/>
  <c r="DH190" i="12"/>
  <c r="ET190" i="12"/>
  <c r="CO190" i="12"/>
  <c r="EP192" i="12"/>
  <c r="FF192" i="12"/>
  <c r="FE192" i="12"/>
  <c r="FG192" i="12" s="1"/>
  <c r="CK192" i="12"/>
  <c r="DD192" i="12"/>
  <c r="AC192" i="12"/>
  <c r="BO192" i="12"/>
  <c r="BN192" i="12"/>
  <c r="BP192" i="12" s="1"/>
  <c r="AB192" i="12"/>
  <c r="AD192" i="12" s="1"/>
  <c r="CZ192" i="12"/>
  <c r="DB192" i="12" s="1"/>
  <c r="BR192" i="12"/>
  <c r="EM192" i="12"/>
  <c r="AY192" i="12"/>
  <c r="CG192" i="12"/>
  <c r="CI192" i="12" s="1"/>
  <c r="AF192" i="12"/>
  <c r="EL192" i="12"/>
  <c r="EN192" i="12" s="1"/>
  <c r="CH192" i="12"/>
  <c r="FI192" i="12"/>
  <c r="DW192" i="12"/>
  <c r="DA192" i="12"/>
  <c r="DT192" i="12"/>
  <c r="DS192" i="12"/>
  <c r="DU192" i="12" s="1"/>
  <c r="AV192" i="12"/>
  <c r="AU192" i="12"/>
  <c r="AW192" i="12" s="1"/>
  <c r="DE191" i="12"/>
  <c r="DG191" i="12"/>
  <c r="DF191" i="12"/>
  <c r="CG193" i="9"/>
  <c r="CI193" i="9" s="1"/>
  <c r="FE193" i="9"/>
  <c r="FG193" i="9" s="1"/>
  <c r="BO193" i="9"/>
  <c r="AU193" i="9"/>
  <c r="AW193" i="9" s="1"/>
  <c r="AV193" i="9"/>
  <c r="CH193" i="9"/>
  <c r="FF193" i="9"/>
  <c r="BN193" i="9"/>
  <c r="BP193" i="9" s="1"/>
  <c r="EM193" i="9"/>
  <c r="EL193" i="9"/>
  <c r="EN193" i="9" s="1"/>
  <c r="DA193" i="9"/>
  <c r="AC193" i="9"/>
  <c r="CZ193" i="9"/>
  <c r="DB193" i="9" s="1"/>
  <c r="AB193" i="9"/>
  <c r="AD193" i="9" s="1"/>
  <c r="DT193" i="9"/>
  <c r="DS193" i="9"/>
  <c r="DU193" i="9" s="1"/>
  <c r="L195" i="9" a="1"/>
  <c r="L195" i="9" s="1"/>
  <c r="O195" i="9" a="1"/>
  <c r="O195" i="9" s="1"/>
  <c r="K195" i="9" a="1"/>
  <c r="K195" i="9" s="1"/>
  <c r="J195" i="9" a="1"/>
  <c r="J195" i="9" s="1"/>
  <c r="G195" i="9" a="1"/>
  <c r="G195" i="9" s="1"/>
  <c r="N195" i="9" a="1"/>
  <c r="N195" i="9" s="1"/>
  <c r="H195" i="9" a="1"/>
  <c r="H195" i="9" s="1"/>
  <c r="D196" i="9"/>
  <c r="BS191" i="12"/>
  <c r="BU191" i="12"/>
  <c r="BT191" i="12"/>
  <c r="J194" i="12" a="1"/>
  <c r="J194" i="12" s="1"/>
  <c r="L194" i="12" a="1"/>
  <c r="L194" i="12" s="1"/>
  <c r="G194" i="12" a="1"/>
  <c r="G194" i="12" s="1"/>
  <c r="O194" i="12" a="1"/>
  <c r="O194" i="12" s="1"/>
  <c r="H194" i="12" a="1"/>
  <c r="H194" i="12" s="1"/>
  <c r="N194" i="12" a="1"/>
  <c r="N194" i="12" s="1"/>
  <c r="K194" i="12" a="1"/>
  <c r="K194" i="12" s="1"/>
  <c r="D195" i="12"/>
  <c r="I195" i="9"/>
  <c r="Z194" i="9"/>
  <c r="AA194" i="9" s="1"/>
  <c r="AE194" i="9" s="1"/>
  <c r="CE194" i="9"/>
  <c r="CF194" i="9" s="1"/>
  <c r="CJ194" i="9" s="1"/>
  <c r="FC194" i="9"/>
  <c r="FD194" i="9" s="1"/>
  <c r="FH194" i="9" s="1"/>
  <c r="BL194" i="9"/>
  <c r="BM194" i="9" s="1"/>
  <c r="BQ194" i="9" s="1"/>
  <c r="DQ194" i="9"/>
  <c r="DR194" i="9" s="1"/>
  <c r="DV194" i="9" s="1"/>
  <c r="CX194" i="9"/>
  <c r="CY194" i="9" s="1"/>
  <c r="DC194" i="9" s="1"/>
  <c r="EJ194" i="9"/>
  <c r="EK194" i="9" s="1"/>
  <c r="EO194" i="9" s="1"/>
  <c r="AS194" i="9"/>
  <c r="AT194" i="9" s="1"/>
  <c r="AX194" i="9" s="1"/>
  <c r="CL192" i="9"/>
  <c r="CK192" i="9"/>
  <c r="CO192" i="9" s="1"/>
  <c r="CN192" i="9"/>
  <c r="CM192" i="9"/>
  <c r="AZ191" i="12"/>
  <c r="BA191" i="12"/>
  <c r="BB191" i="12"/>
  <c r="ER192" i="9"/>
  <c r="EP192" i="9"/>
  <c r="EQ192" i="9"/>
  <c r="ET192" i="9" s="1"/>
  <c r="ES192" i="9"/>
  <c r="M194" i="9"/>
  <c r="P194" i="9" s="1"/>
  <c r="Q194" i="9" s="1"/>
  <c r="BV191" i="12"/>
  <c r="DE192" i="9"/>
  <c r="DD192" i="9"/>
  <c r="DG192" i="9"/>
  <c r="DF192" i="9"/>
  <c r="FJ192" i="9"/>
  <c r="FL192" i="9"/>
  <c r="FI192" i="9"/>
  <c r="FK192" i="9"/>
  <c r="EA190" i="12"/>
  <c r="DX192" i="9"/>
  <c r="DY192" i="9"/>
  <c r="DW192" i="9"/>
  <c r="DZ192" i="9"/>
  <c r="BS192" i="9"/>
  <c r="BR192" i="9"/>
  <c r="BV192" i="9" s="1"/>
  <c r="BT192" i="9"/>
  <c r="BU192" i="9"/>
  <c r="CL191" i="12"/>
  <c r="CM191" i="12"/>
  <c r="CN191" i="12"/>
  <c r="EQ191" i="12"/>
  <c r="ER191" i="12"/>
  <c r="ES191" i="12"/>
  <c r="M193" i="12"/>
  <c r="P193" i="12" s="1"/>
  <c r="Q193" i="12" s="1"/>
  <c r="FJ191" i="12"/>
  <c r="FK191" i="12"/>
  <c r="FL191" i="12"/>
  <c r="AF192" i="9"/>
  <c r="AI192" i="9"/>
  <c r="AG192" i="9"/>
  <c r="AH192" i="9"/>
  <c r="BB192" i="9"/>
  <c r="BA192" i="9"/>
  <c r="AY192" i="9"/>
  <c r="BC192" i="9" s="1"/>
  <c r="AZ192" i="9"/>
  <c r="DX191" i="12"/>
  <c r="DZ191" i="12"/>
  <c r="DY191" i="12"/>
  <c r="AI191" i="12"/>
  <c r="AG191" i="12"/>
  <c r="AH191" i="12"/>
  <c r="FM192" i="9" l="1"/>
  <c r="AJ192" i="9"/>
  <c r="DH192" i="9"/>
  <c r="EA192" i="9"/>
  <c r="AJ191" i="12"/>
  <c r="M195" i="9"/>
  <c r="P195" i="9" s="1"/>
  <c r="Q195" i="9" s="1"/>
  <c r="FM191" i="12"/>
  <c r="FF194" i="9"/>
  <c r="BN194" i="9"/>
  <c r="BP194" i="9" s="1"/>
  <c r="FE194" i="9"/>
  <c r="FG194" i="9" s="1"/>
  <c r="BO194" i="9"/>
  <c r="AU194" i="9"/>
  <c r="AW194" i="9" s="1"/>
  <c r="CH194" i="9"/>
  <c r="AV194" i="9"/>
  <c r="CG194" i="9"/>
  <c r="CI194" i="9" s="1"/>
  <c r="AB194" i="9"/>
  <c r="AD194" i="9" s="1"/>
  <c r="CZ194" i="9"/>
  <c r="DB194" i="9" s="1"/>
  <c r="EM194" i="9"/>
  <c r="EL194" i="9"/>
  <c r="EN194" i="9" s="1"/>
  <c r="AC194" i="9"/>
  <c r="DA194" i="9"/>
  <c r="DT194" i="9"/>
  <c r="DS194" i="9"/>
  <c r="DU194" i="9" s="1"/>
  <c r="BB192" i="12"/>
  <c r="BA192" i="12"/>
  <c r="AZ192" i="12"/>
  <c r="AY193" i="9"/>
  <c r="AZ193" i="9"/>
  <c r="BB193" i="9"/>
  <c r="BA193" i="9"/>
  <c r="L195" i="12" a="1"/>
  <c r="L195" i="12" s="1"/>
  <c r="J195" i="12" a="1"/>
  <c r="J195" i="12" s="1"/>
  <c r="G195" i="12" a="1"/>
  <c r="G195" i="12" s="1"/>
  <c r="K195" i="12" a="1"/>
  <c r="K195" i="12" s="1"/>
  <c r="O195" i="12" a="1"/>
  <c r="O195" i="12" s="1"/>
  <c r="N195" i="12" a="1"/>
  <c r="N195" i="12" s="1"/>
  <c r="H195" i="12" a="1"/>
  <c r="H195" i="12" s="1"/>
  <c r="D196" i="12"/>
  <c r="DX192" i="12"/>
  <c r="DZ192" i="12"/>
  <c r="DY192" i="12"/>
  <c r="CN192" i="12"/>
  <c r="CM192" i="12"/>
  <c r="CL192" i="12"/>
  <c r="BS192" i="12"/>
  <c r="BU192" i="12"/>
  <c r="BT192" i="12"/>
  <c r="M194" i="12"/>
  <c r="P194" i="12" s="1"/>
  <c r="Q194" i="12" s="1"/>
  <c r="BC191" i="12"/>
  <c r="ES193" i="9"/>
  <c r="ER193" i="9"/>
  <c r="EQ193" i="9"/>
  <c r="EP193" i="9"/>
  <c r="FI193" i="9"/>
  <c r="FM193" i="9" s="1"/>
  <c r="FK193" i="9"/>
  <c r="FJ193" i="9"/>
  <c r="FL193" i="9"/>
  <c r="EQ192" i="12"/>
  <c r="ES192" i="12"/>
  <c r="ER192" i="12"/>
  <c r="FF193" i="12"/>
  <c r="EP193" i="12"/>
  <c r="FE193" i="12"/>
  <c r="FG193" i="12" s="1"/>
  <c r="DD193" i="12"/>
  <c r="CK193" i="12"/>
  <c r="AB193" i="12"/>
  <c r="AD193" i="12" s="1"/>
  <c r="BO193" i="12"/>
  <c r="AC193" i="12"/>
  <c r="BN193" i="12"/>
  <c r="BP193" i="12" s="1"/>
  <c r="AY193" i="12"/>
  <c r="AF193" i="12"/>
  <c r="CH193" i="12"/>
  <c r="FI193" i="12"/>
  <c r="CG193" i="12"/>
  <c r="CI193" i="12" s="1"/>
  <c r="BR193" i="12"/>
  <c r="DW193" i="12"/>
  <c r="DT193" i="12"/>
  <c r="DA193" i="12"/>
  <c r="EM193" i="12"/>
  <c r="DS193" i="12"/>
  <c r="DU193" i="12" s="1"/>
  <c r="CZ193" i="12"/>
  <c r="DB193" i="12" s="1"/>
  <c r="EL193" i="12"/>
  <c r="EN193" i="12" s="1"/>
  <c r="AV193" i="12"/>
  <c r="AU193" i="12"/>
  <c r="AW193" i="12" s="1"/>
  <c r="CN193" i="9"/>
  <c r="CM193" i="9"/>
  <c r="CK193" i="9"/>
  <c r="CL193" i="9"/>
  <c r="DE193" i="9"/>
  <c r="DD193" i="9"/>
  <c r="DG193" i="9"/>
  <c r="DF193" i="9"/>
  <c r="EA191" i="12"/>
  <c r="ET191" i="12"/>
  <c r="DZ193" i="9"/>
  <c r="DW193" i="9"/>
  <c r="DX193" i="9"/>
  <c r="DY193" i="9"/>
  <c r="BT193" i="9"/>
  <c r="BR193" i="9"/>
  <c r="BS193" i="9"/>
  <c r="BU193" i="9"/>
  <c r="FJ192" i="12"/>
  <c r="FL192" i="12"/>
  <c r="FK192" i="12"/>
  <c r="CO191" i="12"/>
  <c r="I196" i="9"/>
  <c r="FC195" i="9"/>
  <c r="FD195" i="9" s="1"/>
  <c r="FH195" i="9" s="1"/>
  <c r="BL195" i="9"/>
  <c r="BM195" i="9" s="1"/>
  <c r="BQ195" i="9" s="1"/>
  <c r="CE195" i="9"/>
  <c r="CF195" i="9" s="1"/>
  <c r="CJ195" i="9" s="1"/>
  <c r="Z195" i="9"/>
  <c r="AA195" i="9" s="1"/>
  <c r="AE195" i="9" s="1"/>
  <c r="DQ195" i="9"/>
  <c r="DR195" i="9" s="1"/>
  <c r="DV195" i="9" s="1"/>
  <c r="AS195" i="9"/>
  <c r="AT195" i="9" s="1"/>
  <c r="AX195" i="9" s="1"/>
  <c r="CX195" i="9"/>
  <c r="CY195" i="9" s="1"/>
  <c r="DC195" i="9" s="1"/>
  <c r="EJ195" i="9"/>
  <c r="EK195" i="9" s="1"/>
  <c r="EO195" i="9" s="1"/>
  <c r="L196" i="9" a="1"/>
  <c r="L196" i="9" s="1"/>
  <c r="N196" i="9" a="1"/>
  <c r="N196" i="9" s="1"/>
  <c r="H196" i="9" a="1"/>
  <c r="H196" i="9" s="1"/>
  <c r="J196" i="9" a="1"/>
  <c r="J196" i="9" s="1"/>
  <c r="K196" i="9" a="1"/>
  <c r="K196" i="9" s="1"/>
  <c r="O196" i="9" a="1"/>
  <c r="O196" i="9" s="1"/>
  <c r="G196" i="9" a="1"/>
  <c r="G196" i="9" s="1"/>
  <c r="D197" i="9"/>
  <c r="DH191" i="12"/>
  <c r="DE192" i="12"/>
  <c r="DF192" i="12"/>
  <c r="DG192" i="12"/>
  <c r="AF193" i="9"/>
  <c r="AI193" i="9"/>
  <c r="AH193" i="9"/>
  <c r="AG193" i="9"/>
  <c r="AH192" i="12"/>
  <c r="AI192" i="12"/>
  <c r="AG192" i="12"/>
  <c r="CO192" i="12" l="1"/>
  <c r="CO193" i="9"/>
  <c r="BV193" i="9"/>
  <c r="ET193" i="9"/>
  <c r="BC193" i="9"/>
  <c r="DH193" i="9"/>
  <c r="AJ193" i="9"/>
  <c r="EA193" i="9"/>
  <c r="ET192" i="12"/>
  <c r="BC192" i="12"/>
  <c r="M196" i="9"/>
  <c r="FM192" i="12"/>
  <c r="AJ192" i="12"/>
  <c r="BV192" i="12"/>
  <c r="K197" i="9" a="1"/>
  <c r="K197" i="9" s="1"/>
  <c r="G197" i="9" a="1"/>
  <c r="G197" i="9" s="1"/>
  <c r="N197" i="9" a="1"/>
  <c r="N197" i="9" s="1"/>
  <c r="L197" i="9" a="1"/>
  <c r="L197" i="9" s="1"/>
  <c r="H197" i="9" a="1"/>
  <c r="H197" i="9" s="1"/>
  <c r="O197" i="9" a="1"/>
  <c r="O197" i="9" s="1"/>
  <c r="J197" i="9" a="1"/>
  <c r="J197" i="9" s="1"/>
  <c r="D198" i="9"/>
  <c r="BS193" i="12"/>
  <c r="BT193" i="12"/>
  <c r="BU193" i="12"/>
  <c r="L196" i="12" a="1"/>
  <c r="L196" i="12" s="1"/>
  <c r="O196" i="12" a="1"/>
  <c r="O196" i="12" s="1"/>
  <c r="N196" i="12" a="1"/>
  <c r="N196" i="12" s="1"/>
  <c r="H196" i="12" a="1"/>
  <c r="H196" i="12" s="1"/>
  <c r="K196" i="12" a="1"/>
  <c r="K196" i="12" s="1"/>
  <c r="J196" i="12" a="1"/>
  <c r="J196" i="12" s="1"/>
  <c r="G196" i="12" a="1"/>
  <c r="G196" i="12" s="1"/>
  <c r="D197" i="12"/>
  <c r="AV195" i="9"/>
  <c r="FE195" i="9"/>
  <c r="FG195" i="9" s="1"/>
  <c r="CH195" i="9"/>
  <c r="BN195" i="9"/>
  <c r="BP195" i="9" s="1"/>
  <c r="CG195" i="9"/>
  <c r="CI195" i="9" s="1"/>
  <c r="BO195" i="9"/>
  <c r="AU195" i="9"/>
  <c r="AW195" i="9" s="1"/>
  <c r="FF195" i="9"/>
  <c r="EM195" i="9"/>
  <c r="AC195" i="9"/>
  <c r="EL195" i="9"/>
  <c r="EN195" i="9" s="1"/>
  <c r="AB195" i="9"/>
  <c r="AD195" i="9" s="1"/>
  <c r="DA195" i="9"/>
  <c r="CZ195" i="9"/>
  <c r="DB195" i="9" s="1"/>
  <c r="DT195" i="9"/>
  <c r="DS195" i="9"/>
  <c r="DU195" i="9" s="1"/>
  <c r="EQ193" i="12"/>
  <c r="ES193" i="12"/>
  <c r="ER193" i="12"/>
  <c r="CN193" i="12"/>
  <c r="CM193" i="12"/>
  <c r="CL193" i="12"/>
  <c r="AG193" i="12"/>
  <c r="AI193" i="12"/>
  <c r="AH193" i="12"/>
  <c r="AZ194" i="9"/>
  <c r="AY194" i="9"/>
  <c r="BB194" i="9"/>
  <c r="BA194" i="9"/>
  <c r="FF194" i="12"/>
  <c r="EP194" i="12"/>
  <c r="FE194" i="12"/>
  <c r="FG194" i="12" s="1"/>
  <c r="CK194" i="12"/>
  <c r="DD194" i="12"/>
  <c r="BN194" i="12"/>
  <c r="BP194" i="12" s="1"/>
  <c r="BO194" i="12"/>
  <c r="AB194" i="12"/>
  <c r="AD194" i="12" s="1"/>
  <c r="AC194" i="12"/>
  <c r="AF194" i="12"/>
  <c r="FI194" i="12"/>
  <c r="CH194" i="12"/>
  <c r="EM194" i="12"/>
  <c r="DA194" i="12"/>
  <c r="CG194" i="12"/>
  <c r="CI194" i="12" s="1"/>
  <c r="EL194" i="12"/>
  <c r="EN194" i="12" s="1"/>
  <c r="CZ194" i="12"/>
  <c r="DB194" i="12" s="1"/>
  <c r="DW194" i="12"/>
  <c r="DS194" i="12"/>
  <c r="DU194" i="12" s="1"/>
  <c r="AY194" i="12"/>
  <c r="BR194" i="12"/>
  <c r="DT194" i="12"/>
  <c r="AU194" i="12"/>
  <c r="AW194" i="12" s="1"/>
  <c r="AV194" i="12"/>
  <c r="CN194" i="9"/>
  <c r="CM194" i="9"/>
  <c r="CK194" i="9"/>
  <c r="CL194" i="9"/>
  <c r="AZ193" i="12"/>
  <c r="BB193" i="12"/>
  <c r="BA193" i="12"/>
  <c r="EQ194" i="9"/>
  <c r="ER194" i="9"/>
  <c r="EP194" i="9"/>
  <c r="ES194" i="9"/>
  <c r="DY194" i="9"/>
  <c r="DX194" i="9"/>
  <c r="DW194" i="9"/>
  <c r="DZ194" i="9"/>
  <c r="P196" i="9"/>
  <c r="Q196" i="9" s="1"/>
  <c r="DX193" i="12"/>
  <c r="DY193" i="12"/>
  <c r="DZ193" i="12"/>
  <c r="FI194" i="9"/>
  <c r="FM194" i="9" s="1"/>
  <c r="FJ194" i="9"/>
  <c r="FL194" i="9"/>
  <c r="FK194" i="9"/>
  <c r="DH192" i="12"/>
  <c r="DE193" i="12"/>
  <c r="DG193" i="12"/>
  <c r="DF193" i="12"/>
  <c r="FJ193" i="12"/>
  <c r="FL193" i="12"/>
  <c r="FK193" i="12"/>
  <c r="EA192" i="12"/>
  <c r="DE194" i="9"/>
  <c r="DG194" i="9"/>
  <c r="DD194" i="9"/>
  <c r="DF194" i="9"/>
  <c r="BS194" i="9"/>
  <c r="BU194" i="9"/>
  <c r="BR194" i="9"/>
  <c r="BT194" i="9"/>
  <c r="I197" i="9"/>
  <c r="Z196" i="9"/>
  <c r="AA196" i="9" s="1"/>
  <c r="AE196" i="9" s="1"/>
  <c r="AS196" i="9"/>
  <c r="AT196" i="9" s="1"/>
  <c r="AX196" i="9" s="1"/>
  <c r="BL196" i="9"/>
  <c r="BM196" i="9" s="1"/>
  <c r="BQ196" i="9" s="1"/>
  <c r="CE196" i="9"/>
  <c r="CF196" i="9" s="1"/>
  <c r="CJ196" i="9" s="1"/>
  <c r="EJ196" i="9"/>
  <c r="EK196" i="9" s="1"/>
  <c r="EO196" i="9" s="1"/>
  <c r="DQ196" i="9"/>
  <c r="DR196" i="9" s="1"/>
  <c r="DV196" i="9" s="1"/>
  <c r="FC196" i="9"/>
  <c r="FD196" i="9" s="1"/>
  <c r="FH196" i="9" s="1"/>
  <c r="CX196" i="9"/>
  <c r="CY196" i="9" s="1"/>
  <c r="DC196" i="9" s="1"/>
  <c r="M195" i="12"/>
  <c r="P195" i="12" s="1"/>
  <c r="Q195" i="12" s="1"/>
  <c r="AF194" i="9"/>
  <c r="AG194" i="9"/>
  <c r="AI194" i="9"/>
  <c r="AH194" i="9"/>
  <c r="AJ194" i="9" l="1"/>
  <c r="DH194" i="9"/>
  <c r="ET194" i="9"/>
  <c r="BC194" i="9"/>
  <c r="EA194" i="9"/>
  <c r="BV194" i="9"/>
  <c r="CO194" i="9"/>
  <c r="M196" i="12"/>
  <c r="P196" i="12" s="1"/>
  <c r="Q196" i="12" s="1"/>
  <c r="AJ193" i="12"/>
  <c r="ET193" i="12"/>
  <c r="BC193" i="12"/>
  <c r="EA193" i="12"/>
  <c r="BV193" i="12"/>
  <c r="M197" i="9"/>
  <c r="P197" i="9" s="1"/>
  <c r="Q197" i="9" s="1"/>
  <c r="FM193" i="12"/>
  <c r="AZ194" i="12"/>
  <c r="BC194" i="12" s="1"/>
  <c r="BB194" i="12"/>
  <c r="BA194" i="12"/>
  <c r="CL194" i="12"/>
  <c r="CN194" i="12"/>
  <c r="CM194" i="12"/>
  <c r="CM195" i="9"/>
  <c r="CN195" i="9"/>
  <c r="CK195" i="9"/>
  <c r="CO195" i="9" s="1"/>
  <c r="CL195" i="9"/>
  <c r="L198" i="9" a="1"/>
  <c r="L198" i="9" s="1"/>
  <c r="K198" i="9" a="1"/>
  <c r="K198" i="9" s="1"/>
  <c r="G198" i="9" a="1"/>
  <c r="G198" i="9" s="1"/>
  <c r="N198" i="9" a="1"/>
  <c r="N198" i="9" s="1"/>
  <c r="J198" i="9" a="1"/>
  <c r="J198" i="9" s="1"/>
  <c r="H198" i="9" a="1"/>
  <c r="H198" i="9" s="1"/>
  <c r="O198" i="9" a="1"/>
  <c r="O198" i="9" s="1"/>
  <c r="D199" i="9"/>
  <c r="AG194" i="12"/>
  <c r="AI194" i="12"/>
  <c r="AH194" i="12"/>
  <c r="BS194" i="12"/>
  <c r="BT194" i="12"/>
  <c r="BU194" i="12"/>
  <c r="AG195" i="9"/>
  <c r="AI195" i="9"/>
  <c r="AF195" i="9"/>
  <c r="AH195" i="9"/>
  <c r="BR195" i="9"/>
  <c r="BS195" i="9"/>
  <c r="BU195" i="9"/>
  <c r="BT195" i="9"/>
  <c r="EQ194" i="12"/>
  <c r="ER194" i="12"/>
  <c r="ES194" i="12"/>
  <c r="EQ195" i="9"/>
  <c r="EP195" i="9"/>
  <c r="ET195" i="9" s="1"/>
  <c r="ES195" i="9"/>
  <c r="ER195" i="9"/>
  <c r="DH193" i="12"/>
  <c r="FI195" i="9"/>
  <c r="FM195" i="9" s="1"/>
  <c r="FL195" i="9"/>
  <c r="FJ195" i="9"/>
  <c r="FK195" i="9"/>
  <c r="FF195" i="12"/>
  <c r="FE195" i="12"/>
  <c r="FG195" i="12" s="1"/>
  <c r="EP195" i="12"/>
  <c r="CK195" i="12"/>
  <c r="DD195" i="12"/>
  <c r="BN195" i="12"/>
  <c r="BP195" i="12" s="1"/>
  <c r="AC195" i="12"/>
  <c r="BO195" i="12"/>
  <c r="AB195" i="12"/>
  <c r="AD195" i="12" s="1"/>
  <c r="DS195" i="12"/>
  <c r="DU195" i="12" s="1"/>
  <c r="CH195" i="12"/>
  <c r="FI195" i="12"/>
  <c r="DT195" i="12"/>
  <c r="CG195" i="12"/>
  <c r="CI195" i="12" s="1"/>
  <c r="DW195" i="12"/>
  <c r="BR195" i="12"/>
  <c r="EM195" i="12"/>
  <c r="DA195" i="12"/>
  <c r="EL195" i="12"/>
  <c r="EN195" i="12" s="1"/>
  <c r="CZ195" i="12"/>
  <c r="DB195" i="12" s="1"/>
  <c r="AY195" i="12"/>
  <c r="AF195" i="12"/>
  <c r="AV195" i="12"/>
  <c r="AU195" i="12"/>
  <c r="AW195" i="12" s="1"/>
  <c r="DX194" i="12"/>
  <c r="DZ194" i="12"/>
  <c r="DY194" i="12"/>
  <c r="FJ194" i="12"/>
  <c r="FK194" i="12"/>
  <c r="FL194" i="12"/>
  <c r="DE195" i="9"/>
  <c r="DG195" i="9"/>
  <c r="DD195" i="9"/>
  <c r="DF195" i="9"/>
  <c r="I198" i="9"/>
  <c r="Z197" i="9"/>
  <c r="AA197" i="9" s="1"/>
  <c r="AE197" i="9" s="1"/>
  <c r="AS197" i="9"/>
  <c r="AT197" i="9" s="1"/>
  <c r="AX197" i="9" s="1"/>
  <c r="CE197" i="9"/>
  <c r="CF197" i="9" s="1"/>
  <c r="CJ197" i="9" s="1"/>
  <c r="DQ197" i="9"/>
  <c r="DR197" i="9" s="1"/>
  <c r="DV197" i="9" s="1"/>
  <c r="FC197" i="9"/>
  <c r="FD197" i="9" s="1"/>
  <c r="FH197" i="9" s="1"/>
  <c r="EJ197" i="9"/>
  <c r="EK197" i="9" s="1"/>
  <c r="EO197" i="9" s="1"/>
  <c r="BL197" i="9"/>
  <c r="BM197" i="9" s="1"/>
  <c r="BQ197" i="9" s="1"/>
  <c r="CX197" i="9"/>
  <c r="CY197" i="9" s="1"/>
  <c r="DC197" i="9" s="1"/>
  <c r="DY195" i="9"/>
  <c r="DZ195" i="9"/>
  <c r="DW195" i="9"/>
  <c r="DX195" i="9"/>
  <c r="N197" i="12" a="1"/>
  <c r="N197" i="12" s="1"/>
  <c r="H197" i="12" a="1"/>
  <c r="H197" i="12" s="1"/>
  <c r="G197" i="12" a="1"/>
  <c r="G197" i="12" s="1"/>
  <c r="L197" i="12" a="1"/>
  <c r="L197" i="12" s="1"/>
  <c r="K197" i="12" a="1"/>
  <c r="K197" i="12" s="1"/>
  <c r="O197" i="12" a="1"/>
  <c r="O197" i="12" s="1"/>
  <c r="J197" i="12" a="1"/>
  <c r="J197" i="12" s="1"/>
  <c r="D198" i="12"/>
  <c r="BN196" i="9"/>
  <c r="BP196" i="9" s="1"/>
  <c r="AV196" i="9"/>
  <c r="BO196" i="9"/>
  <c r="AU196" i="9"/>
  <c r="AW196" i="9" s="1"/>
  <c r="CH196" i="9"/>
  <c r="FF196" i="9"/>
  <c r="FE196" i="9"/>
  <c r="FG196" i="9" s="1"/>
  <c r="CG196" i="9"/>
  <c r="CI196" i="9" s="1"/>
  <c r="EL196" i="9"/>
  <c r="EN196" i="9" s="1"/>
  <c r="CZ196" i="9"/>
  <c r="DB196" i="9" s="1"/>
  <c r="AC196" i="9"/>
  <c r="AB196" i="9"/>
  <c r="AD196" i="9" s="1"/>
  <c r="EM196" i="9"/>
  <c r="DA196" i="9"/>
  <c r="DS196" i="9"/>
  <c r="DU196" i="9" s="1"/>
  <c r="DT196" i="9"/>
  <c r="DE194" i="12"/>
  <c r="DF194" i="12"/>
  <c r="DG194" i="12"/>
  <c r="CO193" i="12"/>
  <c r="AY195" i="9"/>
  <c r="AZ195" i="9"/>
  <c r="BB195" i="9"/>
  <c r="BA195" i="9"/>
  <c r="BV195" i="9" l="1"/>
  <c r="AJ194" i="12"/>
  <c r="DH195" i="9"/>
  <c r="EA195" i="9"/>
  <c r="AJ195" i="9"/>
  <c r="BC195" i="9"/>
  <c r="CO194" i="12"/>
  <c r="FM194" i="12"/>
  <c r="M197" i="12"/>
  <c r="M198" i="9"/>
  <c r="P198" i="9" s="1"/>
  <c r="Q198" i="9" s="1"/>
  <c r="BV194" i="12"/>
  <c r="J198" i="12" a="1"/>
  <c r="J198" i="12" s="1"/>
  <c r="K198" i="12" a="1"/>
  <c r="K198" i="12" s="1"/>
  <c r="L198" i="12" a="1"/>
  <c r="L198" i="12" s="1"/>
  <c r="O198" i="12" a="1"/>
  <c r="O198" i="12" s="1"/>
  <c r="N198" i="12" a="1"/>
  <c r="N198" i="12" s="1"/>
  <c r="H198" i="12" a="1"/>
  <c r="H198" i="12" s="1"/>
  <c r="G198" i="12" a="1"/>
  <c r="G198" i="12" s="1"/>
  <c r="D199" i="12"/>
  <c r="FE196" i="12"/>
  <c r="FG196" i="12" s="1"/>
  <c r="EP196" i="12"/>
  <c r="FF196" i="12"/>
  <c r="CK196" i="12"/>
  <c r="DD196" i="12"/>
  <c r="AB196" i="12"/>
  <c r="AD196" i="12" s="1"/>
  <c r="BN196" i="12"/>
  <c r="BP196" i="12" s="1"/>
  <c r="BO196" i="12"/>
  <c r="AC196" i="12"/>
  <c r="CH196" i="12"/>
  <c r="FI196" i="12"/>
  <c r="DS196" i="12"/>
  <c r="DU196" i="12" s="1"/>
  <c r="EM196" i="12"/>
  <c r="DA196" i="12"/>
  <c r="BR196" i="12"/>
  <c r="AF196" i="12"/>
  <c r="EL196" i="12"/>
  <c r="EN196" i="12" s="1"/>
  <c r="CZ196" i="12"/>
  <c r="DB196" i="12" s="1"/>
  <c r="CG196" i="12"/>
  <c r="CI196" i="12" s="1"/>
  <c r="DW196" i="12"/>
  <c r="DT196" i="12"/>
  <c r="AY196" i="12"/>
  <c r="AV196" i="12"/>
  <c r="AU196" i="12"/>
  <c r="AW196" i="12" s="1"/>
  <c r="FJ196" i="9"/>
  <c r="FI196" i="9"/>
  <c r="FL196" i="9"/>
  <c r="FK196" i="9"/>
  <c r="AH195" i="12"/>
  <c r="AI195" i="12"/>
  <c r="AG195" i="12"/>
  <c r="DX195" i="12"/>
  <c r="DY195" i="12"/>
  <c r="DZ195" i="12"/>
  <c r="AV197" i="9"/>
  <c r="FE197" i="9"/>
  <c r="FG197" i="9" s="1"/>
  <c r="CH197" i="9"/>
  <c r="BN197" i="9"/>
  <c r="BP197" i="9" s="1"/>
  <c r="CG197" i="9"/>
  <c r="CI197" i="9" s="1"/>
  <c r="BO197" i="9"/>
  <c r="AU197" i="9"/>
  <c r="AW197" i="9" s="1"/>
  <c r="FF197" i="9"/>
  <c r="AC197" i="9"/>
  <c r="AB197" i="9"/>
  <c r="AD197" i="9" s="1"/>
  <c r="DA197" i="9"/>
  <c r="EM197" i="9"/>
  <c r="CZ197" i="9"/>
  <c r="DB197" i="9" s="1"/>
  <c r="EL197" i="9"/>
  <c r="EN197" i="9" s="1"/>
  <c r="DT197" i="9"/>
  <c r="DS197" i="9"/>
  <c r="DU197" i="9" s="1"/>
  <c r="AZ195" i="12"/>
  <c r="BA195" i="12"/>
  <c r="BB195" i="12"/>
  <c r="CM195" i="12"/>
  <c r="CL195" i="12"/>
  <c r="CN195" i="12"/>
  <c r="BS195" i="12"/>
  <c r="BT195" i="12"/>
  <c r="BU195" i="12"/>
  <c r="CN196" i="9"/>
  <c r="CK196" i="9"/>
  <c r="CM196" i="9"/>
  <c r="CL196" i="9"/>
  <c r="AH196" i="9"/>
  <c r="AF196" i="9"/>
  <c r="AG196" i="9"/>
  <c r="AI196" i="9"/>
  <c r="I199" i="9"/>
  <c r="FC198" i="9"/>
  <c r="FD198" i="9" s="1"/>
  <c r="FH198" i="9" s="1"/>
  <c r="CX198" i="9"/>
  <c r="CY198" i="9" s="1"/>
  <c r="DC198" i="9" s="1"/>
  <c r="Z198" i="9"/>
  <c r="AA198" i="9" s="1"/>
  <c r="AE198" i="9" s="1"/>
  <c r="EJ198" i="9"/>
  <c r="EK198" i="9" s="1"/>
  <c r="EO198" i="9" s="1"/>
  <c r="CE198" i="9"/>
  <c r="CF198" i="9" s="1"/>
  <c r="CJ198" i="9" s="1"/>
  <c r="AS198" i="9"/>
  <c r="AT198" i="9" s="1"/>
  <c r="AX198" i="9" s="1"/>
  <c r="BL198" i="9"/>
  <c r="BM198" i="9" s="1"/>
  <c r="BQ198" i="9" s="1"/>
  <c r="DQ198" i="9"/>
  <c r="DR198" i="9" s="1"/>
  <c r="DV198" i="9" s="1"/>
  <c r="FJ195" i="12"/>
  <c r="FL195" i="12"/>
  <c r="FK195" i="12"/>
  <c r="DY196" i="9"/>
  <c r="DX196" i="9"/>
  <c r="DW196" i="9"/>
  <c r="DZ196" i="9"/>
  <c r="AZ196" i="9"/>
  <c r="AY196" i="9"/>
  <c r="BB196" i="9"/>
  <c r="BA196" i="9"/>
  <c r="DH194" i="12"/>
  <c r="DG196" i="9"/>
  <c r="DF196" i="9"/>
  <c r="DD196" i="9"/>
  <c r="DE196" i="9"/>
  <c r="DE195" i="12"/>
  <c r="DF195" i="12"/>
  <c r="DG195" i="12"/>
  <c r="ER196" i="9"/>
  <c r="ES196" i="9"/>
  <c r="EP196" i="9"/>
  <c r="EQ196" i="9"/>
  <c r="BS196" i="9"/>
  <c r="BU196" i="9"/>
  <c r="BR196" i="9"/>
  <c r="BT196" i="9"/>
  <c r="P197" i="12"/>
  <c r="Q197" i="12" s="1"/>
  <c r="EA194" i="12"/>
  <c r="EQ195" i="12"/>
  <c r="ES195" i="12"/>
  <c r="ER195" i="12"/>
  <c r="ET194" i="12"/>
  <c r="L199" i="9" a="1"/>
  <c r="L199" i="9" s="1"/>
  <c r="O199" i="9" a="1"/>
  <c r="O199" i="9" s="1"/>
  <c r="G199" i="9" a="1"/>
  <c r="G199" i="9" s="1"/>
  <c r="N199" i="9" a="1"/>
  <c r="N199" i="9" s="1"/>
  <c r="J199" i="9" a="1"/>
  <c r="J199" i="9" s="1"/>
  <c r="H199" i="9" a="1"/>
  <c r="H199" i="9" s="1"/>
  <c r="K199" i="9" a="1"/>
  <c r="K199" i="9" s="1"/>
  <c r="D200" i="9"/>
  <c r="BV196" i="9" l="1"/>
  <c r="BC196" i="9"/>
  <c r="CO196" i="9"/>
  <c r="DH196" i="9"/>
  <c r="DH197" i="9" s="1"/>
  <c r="ET196" i="9"/>
  <c r="EA196" i="9"/>
  <c r="FM196" i="9"/>
  <c r="AJ196" i="9"/>
  <c r="M199" i="9"/>
  <c r="CO195" i="12"/>
  <c r="FM195" i="12"/>
  <c r="AJ195" i="12"/>
  <c r="BC195" i="12"/>
  <c r="BV195" i="12"/>
  <c r="ER197" i="9"/>
  <c r="EP197" i="9"/>
  <c r="ES197" i="9"/>
  <c r="EQ197" i="9"/>
  <c r="I200" i="9"/>
  <c r="Z199" i="9"/>
  <c r="AA199" i="9" s="1"/>
  <c r="AE199" i="9" s="1"/>
  <c r="DQ199" i="9"/>
  <c r="DR199" i="9" s="1"/>
  <c r="DV199" i="9" s="1"/>
  <c r="AS199" i="9"/>
  <c r="AT199" i="9" s="1"/>
  <c r="AX199" i="9" s="1"/>
  <c r="BL199" i="9"/>
  <c r="BM199" i="9" s="1"/>
  <c r="BQ199" i="9" s="1"/>
  <c r="EJ199" i="9"/>
  <c r="EK199" i="9" s="1"/>
  <c r="EO199" i="9" s="1"/>
  <c r="CE199" i="9"/>
  <c r="CF199" i="9" s="1"/>
  <c r="CJ199" i="9" s="1"/>
  <c r="CX199" i="9"/>
  <c r="CY199" i="9" s="1"/>
  <c r="DC199" i="9" s="1"/>
  <c r="FC199" i="9"/>
  <c r="FD199" i="9" s="1"/>
  <c r="FH199" i="9" s="1"/>
  <c r="FF198" i="9"/>
  <c r="CH198" i="9"/>
  <c r="FE198" i="9"/>
  <c r="FG198" i="9" s="1"/>
  <c r="CG198" i="9"/>
  <c r="CI198" i="9" s="1"/>
  <c r="AU198" i="9"/>
  <c r="AW198" i="9" s="1"/>
  <c r="BN198" i="9"/>
  <c r="BP198" i="9" s="1"/>
  <c r="AV198" i="9"/>
  <c r="BO198" i="9"/>
  <c r="EM198" i="9"/>
  <c r="AC198" i="9"/>
  <c r="DA198" i="9"/>
  <c r="EL198" i="9"/>
  <c r="EN198" i="9" s="1"/>
  <c r="AB198" i="9"/>
  <c r="AD198" i="9" s="1"/>
  <c r="CZ198" i="9"/>
  <c r="DB198" i="9" s="1"/>
  <c r="DT198" i="9"/>
  <c r="DS198" i="9"/>
  <c r="DU198" i="9" s="1"/>
  <c r="DD197" i="9"/>
  <c r="DE197" i="9"/>
  <c r="DG197" i="9"/>
  <c r="DF197" i="9"/>
  <c r="CL197" i="9"/>
  <c r="CK197" i="9"/>
  <c r="CM197" i="9"/>
  <c r="CN197" i="9"/>
  <c r="BS196" i="12"/>
  <c r="BT196" i="12"/>
  <c r="BU196" i="12"/>
  <c r="BS197" i="9"/>
  <c r="BU197" i="9"/>
  <c r="BT197" i="9"/>
  <c r="BR197" i="9"/>
  <c r="AG196" i="12"/>
  <c r="AH196" i="12"/>
  <c r="AI196" i="12"/>
  <c r="P199" i="9"/>
  <c r="Q199" i="9" s="1"/>
  <c r="EP197" i="12"/>
  <c r="FF197" i="12"/>
  <c r="FE197" i="12"/>
  <c r="FG197" i="12" s="1"/>
  <c r="CK197" i="12"/>
  <c r="DD197" i="12"/>
  <c r="BO197" i="12"/>
  <c r="AB197" i="12"/>
  <c r="AD197" i="12" s="1"/>
  <c r="AC197" i="12"/>
  <c r="BN197" i="12"/>
  <c r="BP197" i="12" s="1"/>
  <c r="DW197" i="12"/>
  <c r="FI197" i="12"/>
  <c r="EM197" i="12"/>
  <c r="AY197" i="12"/>
  <c r="EL197" i="12"/>
  <c r="EN197" i="12" s="1"/>
  <c r="BR197" i="12"/>
  <c r="AF197" i="12"/>
  <c r="DA197" i="12"/>
  <c r="DT197" i="12"/>
  <c r="CH197" i="12"/>
  <c r="CZ197" i="12"/>
  <c r="DB197" i="12" s="1"/>
  <c r="DS197" i="12"/>
  <c r="DU197" i="12" s="1"/>
  <c r="CG197" i="12"/>
  <c r="CI197" i="12" s="1"/>
  <c r="AV197" i="12"/>
  <c r="AU197" i="12"/>
  <c r="AW197" i="12" s="1"/>
  <c r="AF197" i="9"/>
  <c r="AH197" i="9"/>
  <c r="AG197" i="9"/>
  <c r="AI197" i="9"/>
  <c r="FJ197" i="9"/>
  <c r="FI197" i="9"/>
  <c r="FK197" i="9"/>
  <c r="FL197" i="9"/>
  <c r="DX196" i="12"/>
  <c r="DY196" i="12"/>
  <c r="DZ196" i="12"/>
  <c r="L199" i="12" a="1"/>
  <c r="L199" i="12" s="1"/>
  <c r="J199" i="12" a="1"/>
  <c r="J199" i="12" s="1"/>
  <c r="O199" i="12" a="1"/>
  <c r="O199" i="12" s="1"/>
  <c r="H199" i="12" a="1"/>
  <c r="H199" i="12" s="1"/>
  <c r="G199" i="12" a="1"/>
  <c r="G199" i="12" s="1"/>
  <c r="N199" i="12" a="1"/>
  <c r="N199" i="12" s="1"/>
  <c r="K199" i="12" a="1"/>
  <c r="K199" i="12" s="1"/>
  <c r="D200" i="12"/>
  <c r="CL196" i="12"/>
  <c r="CN196" i="12"/>
  <c r="CM196" i="12"/>
  <c r="BB196" i="12"/>
  <c r="AZ196" i="12"/>
  <c r="BA196" i="12"/>
  <c r="DH195" i="12"/>
  <c r="DW197" i="9"/>
  <c r="DX197" i="9"/>
  <c r="DZ197" i="9"/>
  <c r="DY197" i="9"/>
  <c r="DE196" i="12"/>
  <c r="DF196" i="12"/>
  <c r="DG196" i="12"/>
  <c r="J200" i="9" a="1"/>
  <c r="J200" i="9" s="1"/>
  <c r="G200" i="9" a="1"/>
  <c r="G200" i="9" s="1"/>
  <c r="L200" i="9" a="1"/>
  <c r="L200" i="9" s="1"/>
  <c r="K200" i="9" a="1"/>
  <c r="K200" i="9" s="1"/>
  <c r="N200" i="9" a="1"/>
  <c r="N200" i="9" s="1"/>
  <c r="O200" i="9" a="1"/>
  <c r="O200" i="9" s="1"/>
  <c r="H200" i="9" a="1"/>
  <c r="H200" i="9" s="1"/>
  <c r="D201" i="9"/>
  <c r="ET195" i="12"/>
  <c r="AY197" i="9"/>
  <c r="AZ197" i="9"/>
  <c r="BA197" i="9"/>
  <c r="BB197" i="9"/>
  <c r="EA195" i="12"/>
  <c r="EQ196" i="12"/>
  <c r="ES196" i="12"/>
  <c r="ER196" i="12"/>
  <c r="FJ196" i="12"/>
  <c r="FL196" i="12"/>
  <c r="FK196" i="12"/>
  <c r="M198" i="12"/>
  <c r="P198" i="12" s="1"/>
  <c r="Q198" i="12" s="1"/>
  <c r="AJ197" i="9" l="1"/>
  <c r="FM197" i="9"/>
  <c r="BV197" i="9"/>
  <c r="BC197" i="9"/>
  <c r="EA197" i="9"/>
  <c r="CO197" i="9"/>
  <c r="ET197" i="9"/>
  <c r="DH198" i="9"/>
  <c r="BV196" i="12"/>
  <c r="AJ196" i="12"/>
  <c r="CO196" i="12"/>
  <c r="FM196" i="12"/>
  <c r="ET196" i="12"/>
  <c r="DH196" i="12"/>
  <c r="BC196" i="12"/>
  <c r="FE198" i="12"/>
  <c r="FG198" i="12" s="1"/>
  <c r="FF198" i="12"/>
  <c r="EP198" i="12"/>
  <c r="DD198" i="12"/>
  <c r="CK198" i="12"/>
  <c r="AC198" i="12"/>
  <c r="BN198" i="12"/>
  <c r="BP198" i="12" s="1"/>
  <c r="BO198" i="12"/>
  <c r="AB198" i="12"/>
  <c r="AD198" i="12" s="1"/>
  <c r="FI198" i="12"/>
  <c r="AF198" i="12"/>
  <c r="AY198" i="12"/>
  <c r="BR198" i="12"/>
  <c r="DW198" i="12"/>
  <c r="DA198" i="12"/>
  <c r="DT198" i="12"/>
  <c r="EM198" i="12"/>
  <c r="CH198" i="12"/>
  <c r="CZ198" i="12"/>
  <c r="DB198" i="12" s="1"/>
  <c r="DS198" i="12"/>
  <c r="DU198" i="12" s="1"/>
  <c r="EL198" i="12"/>
  <c r="EN198" i="12" s="1"/>
  <c r="CG198" i="12"/>
  <c r="CI198" i="12" s="1"/>
  <c r="AV198" i="12"/>
  <c r="AU198" i="12"/>
  <c r="AW198" i="12" s="1"/>
  <c r="M200" i="9"/>
  <c r="P200" i="9" s="1"/>
  <c r="Q200" i="9" s="1"/>
  <c r="L200" i="12" a="1"/>
  <c r="L200" i="12" s="1"/>
  <c r="G200" i="12" a="1"/>
  <c r="G200" i="12" s="1"/>
  <c r="K200" i="12" a="1"/>
  <c r="K200" i="12" s="1"/>
  <c r="O200" i="12" a="1"/>
  <c r="O200" i="12" s="1"/>
  <c r="N200" i="12" a="1"/>
  <c r="N200" i="12" s="1"/>
  <c r="J200" i="12" a="1"/>
  <c r="J200" i="12" s="1"/>
  <c r="M200" i="12" s="1"/>
  <c r="H200" i="12" a="1"/>
  <c r="H200" i="12" s="1"/>
  <c r="D201" i="12"/>
  <c r="CL197" i="12"/>
  <c r="CN197" i="12"/>
  <c r="CM197" i="12"/>
  <c r="EQ197" i="12"/>
  <c r="ER197" i="12"/>
  <c r="ES197" i="12"/>
  <c r="FJ198" i="9"/>
  <c r="FL198" i="9"/>
  <c r="FI198" i="9"/>
  <c r="FK198" i="9"/>
  <c r="DX197" i="12"/>
  <c r="DY197" i="12"/>
  <c r="DZ197" i="12"/>
  <c r="EA196" i="12"/>
  <c r="DE197" i="12"/>
  <c r="DG197" i="12"/>
  <c r="DF197" i="12"/>
  <c r="DY198" i="9"/>
  <c r="DW198" i="9"/>
  <c r="EA198" i="9" s="1"/>
  <c r="DZ198" i="9"/>
  <c r="DX198" i="9"/>
  <c r="I201" i="9"/>
  <c r="Z200" i="9"/>
  <c r="AA200" i="9" s="1"/>
  <c r="AE200" i="9" s="1"/>
  <c r="FC200" i="9"/>
  <c r="FD200" i="9" s="1"/>
  <c r="FH200" i="9" s="1"/>
  <c r="EJ200" i="9"/>
  <c r="EK200" i="9" s="1"/>
  <c r="EO200" i="9" s="1"/>
  <c r="CE200" i="9"/>
  <c r="CF200" i="9" s="1"/>
  <c r="CJ200" i="9" s="1"/>
  <c r="BL200" i="9"/>
  <c r="BM200" i="9" s="1"/>
  <c r="BQ200" i="9" s="1"/>
  <c r="AS200" i="9"/>
  <c r="AT200" i="9" s="1"/>
  <c r="AX200" i="9" s="1"/>
  <c r="CX200" i="9"/>
  <c r="CY200" i="9" s="1"/>
  <c r="DC200" i="9" s="1"/>
  <c r="DQ200" i="9"/>
  <c r="DR200" i="9" s="1"/>
  <c r="DV200" i="9" s="1"/>
  <c r="N201" i="9" a="1"/>
  <c r="N201" i="9" s="1"/>
  <c r="O201" i="9" a="1"/>
  <c r="O201" i="9" s="1"/>
  <c r="H201" i="9" a="1"/>
  <c r="H201" i="9" s="1"/>
  <c r="J201" i="9" a="1"/>
  <c r="J201" i="9" s="1"/>
  <c r="G201" i="9" a="1"/>
  <c r="G201" i="9" s="1"/>
  <c r="K201" i="9" a="1"/>
  <c r="K201" i="9" s="1"/>
  <c r="L201" i="9" a="1"/>
  <c r="L201" i="9" s="1"/>
  <c r="D202" i="9"/>
  <c r="FJ197" i="12"/>
  <c r="FK197" i="12"/>
  <c r="FL197" i="12"/>
  <c r="DF198" i="9"/>
  <c r="DG198" i="9"/>
  <c r="DE198" i="9"/>
  <c r="DD198" i="9"/>
  <c r="BT198" i="9"/>
  <c r="BR198" i="9"/>
  <c r="BS198" i="9"/>
  <c r="BU198" i="9"/>
  <c r="AG197" i="12"/>
  <c r="AI197" i="12"/>
  <c r="AH197" i="12"/>
  <c r="BS197" i="12"/>
  <c r="BT197" i="12"/>
  <c r="BU197" i="12"/>
  <c r="AG198" i="9"/>
  <c r="AF198" i="9"/>
  <c r="AI198" i="9"/>
  <c r="AH198" i="9"/>
  <c r="AY198" i="9"/>
  <c r="BB198" i="9"/>
  <c r="BA198" i="9"/>
  <c r="AZ198" i="9"/>
  <c r="M199" i="12"/>
  <c r="P199" i="12" s="1"/>
  <c r="Q199" i="12" s="1"/>
  <c r="AZ197" i="12"/>
  <c r="BA197" i="12"/>
  <c r="BB197" i="12"/>
  <c r="FF199" i="9"/>
  <c r="BN199" i="9"/>
  <c r="BP199" i="9" s="1"/>
  <c r="BO199" i="9"/>
  <c r="CH199" i="9"/>
  <c r="AU199" i="9"/>
  <c r="AW199" i="9" s="1"/>
  <c r="CG199" i="9"/>
  <c r="CI199" i="9" s="1"/>
  <c r="FE199" i="9"/>
  <c r="FG199" i="9" s="1"/>
  <c r="AV199" i="9"/>
  <c r="AB199" i="9"/>
  <c r="AD199" i="9" s="1"/>
  <c r="DA199" i="9"/>
  <c r="CZ199" i="9"/>
  <c r="DB199" i="9" s="1"/>
  <c r="EL199" i="9"/>
  <c r="EN199" i="9" s="1"/>
  <c r="AC199" i="9"/>
  <c r="EM199" i="9"/>
  <c r="DS199" i="9"/>
  <c r="DU199" i="9" s="1"/>
  <c r="DT199" i="9"/>
  <c r="EP198" i="9"/>
  <c r="EQ198" i="9"/>
  <c r="ES198" i="9"/>
  <c r="ER198" i="9"/>
  <c r="CK198" i="9"/>
  <c r="CO198" i="9" s="1"/>
  <c r="CL198" i="9"/>
  <c r="CN198" i="9"/>
  <c r="CM198" i="9"/>
  <c r="AJ198" i="9" l="1"/>
  <c r="FM198" i="9"/>
  <c r="BV198" i="9"/>
  <c r="BC198" i="9"/>
  <c r="ET198" i="9"/>
  <c r="CO197" i="12"/>
  <c r="BV197" i="12"/>
  <c r="P200" i="12"/>
  <c r="Q200" i="12" s="1"/>
  <c r="EP200" i="12" s="1"/>
  <c r="EA197" i="12"/>
  <c r="FM197" i="12"/>
  <c r="AJ197" i="12"/>
  <c r="EP199" i="12"/>
  <c r="FF199" i="12"/>
  <c r="FE199" i="12"/>
  <c r="FG199" i="12" s="1"/>
  <c r="DD199" i="12"/>
  <c r="CK199" i="12"/>
  <c r="AB199" i="12"/>
  <c r="AD199" i="12" s="1"/>
  <c r="AC199" i="12"/>
  <c r="BN199" i="12"/>
  <c r="BP199" i="12" s="1"/>
  <c r="BO199" i="12"/>
  <c r="FI199" i="12"/>
  <c r="BR199" i="12"/>
  <c r="DW199" i="12"/>
  <c r="AY199" i="12"/>
  <c r="EM199" i="12"/>
  <c r="DT199" i="12"/>
  <c r="EL199" i="12"/>
  <c r="EN199" i="12" s="1"/>
  <c r="DS199" i="12"/>
  <c r="DU199" i="12" s="1"/>
  <c r="CZ199" i="12"/>
  <c r="DB199" i="12" s="1"/>
  <c r="CG199" i="12"/>
  <c r="CI199" i="12" s="1"/>
  <c r="CH199" i="12"/>
  <c r="DA199" i="12"/>
  <c r="AF199" i="12"/>
  <c r="AU199" i="12"/>
  <c r="AW199" i="12" s="1"/>
  <c r="AV199" i="12"/>
  <c r="CL199" i="9"/>
  <c r="CN199" i="9"/>
  <c r="CM199" i="9"/>
  <c r="CK199" i="9"/>
  <c r="BS198" i="12"/>
  <c r="BU198" i="12"/>
  <c r="BT198" i="12"/>
  <c r="AY199" i="9"/>
  <c r="AZ199" i="9"/>
  <c r="BB199" i="9"/>
  <c r="BA199" i="9"/>
  <c r="BC197" i="12"/>
  <c r="BO200" i="9"/>
  <c r="AV200" i="9"/>
  <c r="CG200" i="9"/>
  <c r="CI200" i="9" s="1"/>
  <c r="FF200" i="9"/>
  <c r="BN200" i="9"/>
  <c r="BP200" i="9" s="1"/>
  <c r="FE200" i="9"/>
  <c r="FG200" i="9" s="1"/>
  <c r="AU200" i="9"/>
  <c r="AW200" i="9" s="1"/>
  <c r="CH200" i="9"/>
  <c r="DA200" i="9"/>
  <c r="AC200" i="9"/>
  <c r="EL200" i="9"/>
  <c r="EN200" i="9" s="1"/>
  <c r="EM200" i="9"/>
  <c r="AB200" i="9"/>
  <c r="AD200" i="9" s="1"/>
  <c r="CZ200" i="9"/>
  <c r="DB200" i="9" s="1"/>
  <c r="DS200" i="9"/>
  <c r="DU200" i="9" s="1"/>
  <c r="DT200" i="9"/>
  <c r="ET197" i="12"/>
  <c r="CN198" i="12"/>
  <c r="CL198" i="12"/>
  <c r="CM198" i="12"/>
  <c r="ES199" i="9"/>
  <c r="ER199" i="9"/>
  <c r="EP199" i="9"/>
  <c r="EQ199" i="9"/>
  <c r="M201" i="9"/>
  <c r="P201" i="9" s="1"/>
  <c r="Q201" i="9" s="1"/>
  <c r="EQ198" i="12"/>
  <c r="ER198" i="12"/>
  <c r="ES198" i="12"/>
  <c r="FK199" i="9"/>
  <c r="FL199" i="9"/>
  <c r="FI199" i="9"/>
  <c r="FJ199" i="9"/>
  <c r="DX198" i="12"/>
  <c r="DZ198" i="12"/>
  <c r="DY198" i="12"/>
  <c r="K202" i="9" a="1"/>
  <c r="K202" i="9" s="1"/>
  <c r="H202" i="9" a="1"/>
  <c r="H202" i="9" s="1"/>
  <c r="G202" i="9" a="1"/>
  <c r="G202" i="9" s="1"/>
  <c r="N202" i="9" a="1"/>
  <c r="N202" i="9" s="1"/>
  <c r="L202" i="9" a="1"/>
  <c r="L202" i="9" s="1"/>
  <c r="O202" i="9" a="1"/>
  <c r="O202" i="9" s="1"/>
  <c r="J202" i="9" a="1"/>
  <c r="J202" i="9" s="1"/>
  <c r="D203" i="9"/>
  <c r="DE199" i="9"/>
  <c r="DG199" i="9"/>
  <c r="DF199" i="9"/>
  <c r="DD199" i="9"/>
  <c r="DH199" i="9" s="1"/>
  <c r="BR199" i="9"/>
  <c r="BV199" i="9" s="1"/>
  <c r="BU199" i="9"/>
  <c r="BS199" i="9"/>
  <c r="BT199" i="9"/>
  <c r="DH197" i="12"/>
  <c r="DE198" i="12"/>
  <c r="DG198" i="12"/>
  <c r="DF198" i="12"/>
  <c r="DW199" i="9"/>
  <c r="EA199" i="9" s="1"/>
  <c r="DZ199" i="9"/>
  <c r="DY199" i="9"/>
  <c r="DX199" i="9"/>
  <c r="AZ198" i="12"/>
  <c r="BB198" i="12"/>
  <c r="BA198" i="12"/>
  <c r="AG199" i="9"/>
  <c r="AI199" i="9"/>
  <c r="AF199" i="9"/>
  <c r="AH199" i="9"/>
  <c r="I202" i="9"/>
  <c r="CE201" i="9"/>
  <c r="CF201" i="9" s="1"/>
  <c r="CJ201" i="9" s="1"/>
  <c r="EJ201" i="9"/>
  <c r="EK201" i="9" s="1"/>
  <c r="EO201" i="9" s="1"/>
  <c r="Z201" i="9"/>
  <c r="AA201" i="9" s="1"/>
  <c r="AE201" i="9" s="1"/>
  <c r="FC201" i="9"/>
  <c r="FD201" i="9" s="1"/>
  <c r="FH201" i="9" s="1"/>
  <c r="BL201" i="9"/>
  <c r="BM201" i="9" s="1"/>
  <c r="BQ201" i="9" s="1"/>
  <c r="CX201" i="9"/>
  <c r="CY201" i="9" s="1"/>
  <c r="DC201" i="9" s="1"/>
  <c r="DQ201" i="9"/>
  <c r="DR201" i="9" s="1"/>
  <c r="DV201" i="9" s="1"/>
  <c r="AS201" i="9"/>
  <c r="AT201" i="9" s="1"/>
  <c r="AX201" i="9" s="1"/>
  <c r="K201" i="12" a="1"/>
  <c r="K201" i="12" s="1"/>
  <c r="L201" i="12" a="1"/>
  <c r="L201" i="12" s="1"/>
  <c r="O201" i="12" a="1"/>
  <c r="O201" i="12" s="1"/>
  <c r="N201" i="12" a="1"/>
  <c r="N201" i="12" s="1"/>
  <c r="J201" i="12" a="1"/>
  <c r="J201" i="12" s="1"/>
  <c r="H201" i="12" a="1"/>
  <c r="H201" i="12" s="1"/>
  <c r="G201" i="12" a="1"/>
  <c r="G201" i="12" s="1"/>
  <c r="D202" i="12"/>
  <c r="AI198" i="12"/>
  <c r="AH198" i="12"/>
  <c r="AG198" i="12"/>
  <c r="FJ198" i="12"/>
  <c r="FK198" i="12"/>
  <c r="FL198" i="12"/>
  <c r="DT200" i="12" l="1"/>
  <c r="CH200" i="12"/>
  <c r="BR200" i="12"/>
  <c r="FE200" i="12"/>
  <c r="FG200" i="12" s="1"/>
  <c r="AY200" i="12"/>
  <c r="DA200" i="12"/>
  <c r="FI200" i="12"/>
  <c r="DW200" i="12"/>
  <c r="DS200" i="12"/>
  <c r="DU200" i="12" s="1"/>
  <c r="CK200" i="12"/>
  <c r="BN200" i="12"/>
  <c r="BP200" i="12" s="1"/>
  <c r="BT200" i="12" s="1"/>
  <c r="DD200" i="12"/>
  <c r="AU200" i="12"/>
  <c r="AW200" i="12" s="1"/>
  <c r="BA200" i="12" s="1"/>
  <c r="AF200" i="12"/>
  <c r="AJ199" i="9"/>
  <c r="CO199" i="9"/>
  <c r="FM199" i="9"/>
  <c r="ET199" i="9"/>
  <c r="BC199" i="9"/>
  <c r="AB200" i="12"/>
  <c r="AD200" i="12" s="1"/>
  <c r="BV200" i="9"/>
  <c r="CZ200" i="12"/>
  <c r="DB200" i="12" s="1"/>
  <c r="DE200" i="12" s="1"/>
  <c r="AJ198" i="12"/>
  <c r="FF200" i="12"/>
  <c r="CO198" i="12"/>
  <c r="CG200" i="12"/>
  <c r="CI200" i="12" s="1"/>
  <c r="FM198" i="12"/>
  <c r="AC200" i="12"/>
  <c r="BV198" i="12"/>
  <c r="BC198" i="12"/>
  <c r="AV200" i="12"/>
  <c r="BS200" i="12"/>
  <c r="CG201" i="9"/>
  <c r="CI201" i="9" s="1"/>
  <c r="FE201" i="9"/>
  <c r="FG201" i="9" s="1"/>
  <c r="AU201" i="9"/>
  <c r="AW201" i="9" s="1"/>
  <c r="CH201" i="9"/>
  <c r="BN201" i="9"/>
  <c r="BP201" i="9" s="1"/>
  <c r="AV201" i="9"/>
  <c r="BO201" i="9"/>
  <c r="FF201" i="9"/>
  <c r="AB201" i="9"/>
  <c r="AD201" i="9" s="1"/>
  <c r="CZ201" i="9"/>
  <c r="DB201" i="9" s="1"/>
  <c r="EM201" i="9"/>
  <c r="DA201" i="9"/>
  <c r="EL201" i="9"/>
  <c r="EN201" i="9" s="1"/>
  <c r="AC201" i="9"/>
  <c r="DT201" i="9"/>
  <c r="DS201" i="9"/>
  <c r="DU201" i="9" s="1"/>
  <c r="ET198" i="12"/>
  <c r="FJ200" i="12"/>
  <c r="FK200" i="12"/>
  <c r="FL200" i="12"/>
  <c r="ER200" i="9"/>
  <c r="ES200" i="9"/>
  <c r="EQ200" i="9"/>
  <c r="EP200" i="9"/>
  <c r="ET200" i="9" s="1"/>
  <c r="CM200" i="9"/>
  <c r="CN200" i="9"/>
  <c r="CL200" i="9"/>
  <c r="CK200" i="9"/>
  <c r="AZ199" i="12"/>
  <c r="BA199" i="12"/>
  <c r="BB199" i="12"/>
  <c r="EQ199" i="12"/>
  <c r="ES199" i="12"/>
  <c r="ER199" i="12"/>
  <c r="AG199" i="12"/>
  <c r="AH199" i="12"/>
  <c r="AI199" i="12"/>
  <c r="DH198" i="12"/>
  <c r="EM200" i="12"/>
  <c r="J202" i="12" a="1"/>
  <c r="J202" i="12" s="1"/>
  <c r="N202" i="12" a="1"/>
  <c r="N202" i="12" s="1"/>
  <c r="G202" i="12" a="1"/>
  <c r="G202" i="12" s="1"/>
  <c r="H202" i="12" a="1"/>
  <c r="H202" i="12" s="1"/>
  <c r="O202" i="12" a="1"/>
  <c r="O202" i="12" s="1"/>
  <c r="L202" i="12" a="1"/>
  <c r="L202" i="12" s="1"/>
  <c r="D203" i="12"/>
  <c r="K202" i="12" a="1"/>
  <c r="K202" i="12" s="1"/>
  <c r="I203" i="9"/>
  <c r="AS202" i="9"/>
  <c r="AT202" i="9" s="1"/>
  <c r="AX202" i="9" s="1"/>
  <c r="CX202" i="9"/>
  <c r="CY202" i="9" s="1"/>
  <c r="DC202" i="9" s="1"/>
  <c r="EJ202" i="9"/>
  <c r="EK202" i="9" s="1"/>
  <c r="EO202" i="9" s="1"/>
  <c r="Z202" i="9"/>
  <c r="AA202" i="9" s="1"/>
  <c r="AE202" i="9" s="1"/>
  <c r="CE202" i="9"/>
  <c r="CF202" i="9" s="1"/>
  <c r="CJ202" i="9" s="1"/>
  <c r="DQ202" i="9"/>
  <c r="DR202" i="9" s="1"/>
  <c r="DV202" i="9" s="1"/>
  <c r="FC202" i="9"/>
  <c r="FD202" i="9" s="1"/>
  <c r="FH202" i="9" s="1"/>
  <c r="BL202" i="9"/>
  <c r="BM202" i="9" s="1"/>
  <c r="BQ202" i="9" s="1"/>
  <c r="AZ200" i="12"/>
  <c r="BB200" i="12"/>
  <c r="AH200" i="12"/>
  <c r="AI200" i="12"/>
  <c r="AG200" i="12"/>
  <c r="BS199" i="12"/>
  <c r="BU199" i="12"/>
  <c r="BT199" i="12"/>
  <c r="DX200" i="12"/>
  <c r="DY200" i="12"/>
  <c r="DZ200" i="12"/>
  <c r="CL200" i="12"/>
  <c r="CM200" i="12"/>
  <c r="CN200" i="12"/>
  <c r="BO200" i="12"/>
  <c r="DW200" i="9"/>
  <c r="DX200" i="9"/>
  <c r="DZ200" i="9"/>
  <c r="DY200" i="9"/>
  <c r="BA200" i="9"/>
  <c r="AZ200" i="9"/>
  <c r="BB200" i="9"/>
  <c r="AY200" i="9"/>
  <c r="BC200" i="9" s="1"/>
  <c r="CL199" i="12"/>
  <c r="CM199" i="12"/>
  <c r="CN199" i="12"/>
  <c r="FJ199" i="12"/>
  <c r="FL199" i="12"/>
  <c r="FK199" i="12"/>
  <c r="EL200" i="12"/>
  <c r="EN200" i="12" s="1"/>
  <c r="DG200" i="9"/>
  <c r="DE200" i="9"/>
  <c r="DD200" i="9"/>
  <c r="DF200" i="9"/>
  <c r="FL200" i="9"/>
  <c r="FI200" i="9"/>
  <c r="FJ200" i="9"/>
  <c r="FK200" i="9"/>
  <c r="DE199" i="12"/>
  <c r="DF199" i="12"/>
  <c r="DG199" i="12"/>
  <c r="M201" i="12"/>
  <c r="P201" i="12" s="1"/>
  <c r="Q201" i="12" s="1"/>
  <c r="J203" i="9" a="1"/>
  <c r="J203" i="9" s="1"/>
  <c r="G203" i="9" a="1"/>
  <c r="G203" i="9" s="1"/>
  <c r="N203" i="9" a="1"/>
  <c r="N203" i="9" s="1"/>
  <c r="H203" i="9" a="1"/>
  <c r="H203" i="9" s="1"/>
  <c r="O203" i="9" a="1"/>
  <c r="O203" i="9" s="1"/>
  <c r="L203" i="9" a="1"/>
  <c r="L203" i="9" s="1"/>
  <c r="K203" i="9" a="1"/>
  <c r="K203" i="9" s="1"/>
  <c r="D204" i="9"/>
  <c r="M202" i="9"/>
  <c r="P202" i="9" s="1"/>
  <c r="Q202" i="9" s="1"/>
  <c r="EA198" i="12"/>
  <c r="AF200" i="9"/>
  <c r="AG200" i="9"/>
  <c r="AI200" i="9"/>
  <c r="AH200" i="9"/>
  <c r="BS200" i="9"/>
  <c r="BU200" i="9"/>
  <c r="BR200" i="9"/>
  <c r="BT200" i="9"/>
  <c r="DX199" i="12"/>
  <c r="DZ199" i="12"/>
  <c r="DY199" i="12"/>
  <c r="BU200" i="12" l="1"/>
  <c r="CO200" i="9"/>
  <c r="DH200" i="9"/>
  <c r="EA200" i="9"/>
  <c r="AJ200" i="9"/>
  <c r="DG200" i="12"/>
  <c r="DF200" i="12"/>
  <c r="FM200" i="9"/>
  <c r="BV200" i="12"/>
  <c r="AJ199" i="12"/>
  <c r="EA200" i="12"/>
  <c r="ET199" i="12"/>
  <c r="BV199" i="12"/>
  <c r="FM199" i="12"/>
  <c r="BC200" i="12"/>
  <c r="FM200" i="12"/>
  <c r="CO199" i="12"/>
  <c r="CO200" i="12"/>
  <c r="AJ200" i="12"/>
  <c r="CG202" i="9"/>
  <c r="CI202" i="9" s="1"/>
  <c r="AV202" i="9"/>
  <c r="FF202" i="9"/>
  <c r="BN202" i="9"/>
  <c r="BP202" i="9" s="1"/>
  <c r="BO202" i="9"/>
  <c r="FE202" i="9"/>
  <c r="FG202" i="9" s="1"/>
  <c r="AU202" i="9"/>
  <c r="AW202" i="9" s="1"/>
  <c r="CH202" i="9"/>
  <c r="CZ202" i="9"/>
  <c r="DB202" i="9" s="1"/>
  <c r="DA202" i="9"/>
  <c r="AC202" i="9"/>
  <c r="EM202" i="9"/>
  <c r="EL202" i="9"/>
  <c r="EN202" i="9" s="1"/>
  <c r="AB202" i="9"/>
  <c r="AD202" i="9" s="1"/>
  <c r="DS202" i="9"/>
  <c r="DU202" i="9" s="1"/>
  <c r="DT202" i="9"/>
  <c r="FE201" i="12"/>
  <c r="FG201" i="12" s="1"/>
  <c r="EP201" i="12"/>
  <c r="FF201" i="12"/>
  <c r="CK201" i="12"/>
  <c r="DD201" i="12"/>
  <c r="BN201" i="12"/>
  <c r="BP201" i="12" s="1"/>
  <c r="AB201" i="12"/>
  <c r="AD201" i="12" s="1"/>
  <c r="BO201" i="12"/>
  <c r="AC201" i="12"/>
  <c r="AY201" i="12"/>
  <c r="DW201" i="12"/>
  <c r="CZ201" i="12"/>
  <c r="DB201" i="12" s="1"/>
  <c r="EL201" i="12"/>
  <c r="EN201" i="12" s="1"/>
  <c r="CH201" i="12"/>
  <c r="FI201" i="12"/>
  <c r="CG201" i="12"/>
  <c r="CI201" i="12" s="1"/>
  <c r="DT201" i="12"/>
  <c r="AF201" i="12"/>
  <c r="DS201" i="12"/>
  <c r="DU201" i="12" s="1"/>
  <c r="EM201" i="12"/>
  <c r="BR201" i="12"/>
  <c r="DA201" i="12"/>
  <c r="AU201" i="12"/>
  <c r="AW201" i="12" s="1"/>
  <c r="AV201" i="12"/>
  <c r="AY201" i="9"/>
  <c r="AZ201" i="9"/>
  <c r="BB201" i="9"/>
  <c r="BA201" i="9"/>
  <c r="DH199" i="12"/>
  <c r="DG201" i="9"/>
  <c r="DD201" i="9"/>
  <c r="DH201" i="9" s="1"/>
  <c r="DE201" i="9"/>
  <c r="DF201" i="9"/>
  <c r="FJ201" i="9"/>
  <c r="FL201" i="9"/>
  <c r="FK201" i="9"/>
  <c r="FI201" i="9"/>
  <c r="AG201" i="9"/>
  <c r="AI201" i="9"/>
  <c r="AH201" i="9"/>
  <c r="AF201" i="9"/>
  <c r="CK201" i="9"/>
  <c r="CL201" i="9"/>
  <c r="CN201" i="9"/>
  <c r="CM201" i="9"/>
  <c r="DW201" i="9"/>
  <c r="EA201" i="9" s="1"/>
  <c r="DX201" i="9"/>
  <c r="DY201" i="9"/>
  <c r="DZ201" i="9"/>
  <c r="M203" i="9"/>
  <c r="P203" i="9" s="1"/>
  <c r="Q203" i="9" s="1"/>
  <c r="BC199" i="12"/>
  <c r="L203" i="12" a="1"/>
  <c r="L203" i="12" s="1"/>
  <c r="J203" i="12" a="1"/>
  <c r="J203" i="12" s="1"/>
  <c r="H203" i="12" a="1"/>
  <c r="H203" i="12" s="1"/>
  <c r="G203" i="12" a="1"/>
  <c r="G203" i="12" s="1"/>
  <c r="O203" i="12" a="1"/>
  <c r="O203" i="12" s="1"/>
  <c r="K203" i="12" a="1"/>
  <c r="K203" i="12" s="1"/>
  <c r="N203" i="12" a="1"/>
  <c r="N203" i="12" s="1"/>
  <c r="D204" i="12"/>
  <c r="EA199" i="12"/>
  <c r="EQ200" i="12"/>
  <c r="ES200" i="12"/>
  <c r="ER200" i="12"/>
  <c r="I204" i="9"/>
  <c r="Z203" i="9"/>
  <c r="AA203" i="9" s="1"/>
  <c r="AE203" i="9" s="1"/>
  <c r="FC203" i="9"/>
  <c r="FD203" i="9" s="1"/>
  <c r="FH203" i="9" s="1"/>
  <c r="AS203" i="9"/>
  <c r="AT203" i="9" s="1"/>
  <c r="AX203" i="9" s="1"/>
  <c r="DQ203" i="9"/>
  <c r="DR203" i="9" s="1"/>
  <c r="DV203" i="9" s="1"/>
  <c r="CX203" i="9"/>
  <c r="CY203" i="9" s="1"/>
  <c r="DC203" i="9" s="1"/>
  <c r="EJ203" i="9"/>
  <c r="EK203" i="9" s="1"/>
  <c r="EO203" i="9" s="1"/>
  <c r="CE203" i="9"/>
  <c r="CF203" i="9" s="1"/>
  <c r="CJ203" i="9" s="1"/>
  <c r="BL203" i="9"/>
  <c r="BM203" i="9" s="1"/>
  <c r="BQ203" i="9" s="1"/>
  <c r="M202" i="12"/>
  <c r="P202" i="12" s="1"/>
  <c r="Q202" i="12" s="1"/>
  <c r="L204" i="9" a="1"/>
  <c r="L204" i="9" s="1"/>
  <c r="O204" i="9" a="1"/>
  <c r="O204" i="9" s="1"/>
  <c r="H204" i="9" a="1"/>
  <c r="H204" i="9" s="1"/>
  <c r="G204" i="9" a="1"/>
  <c r="G204" i="9" s="1"/>
  <c r="J204" i="9" a="1"/>
  <c r="J204" i="9" s="1"/>
  <c r="N204" i="9" a="1"/>
  <c r="N204" i="9" s="1"/>
  <c r="K204" i="9" a="1"/>
  <c r="K204" i="9" s="1"/>
  <c r="D205" i="9"/>
  <c r="EQ201" i="9"/>
  <c r="ES201" i="9"/>
  <c r="ER201" i="9"/>
  <c r="EP201" i="9"/>
  <c r="BU201" i="9"/>
  <c r="BV201" i="9" s="1"/>
  <c r="BT201" i="9"/>
  <c r="BR201" i="9"/>
  <c r="BS201" i="9"/>
  <c r="DH200" i="12" l="1"/>
  <c r="ET201" i="9"/>
  <c r="FM201" i="9"/>
  <c r="CO201" i="9"/>
  <c r="AJ201" i="9"/>
  <c r="BC201" i="9"/>
  <c r="AV203" i="9"/>
  <c r="FE203" i="9"/>
  <c r="FG203" i="9" s="1"/>
  <c r="CG203" i="9"/>
  <c r="CI203" i="9" s="1"/>
  <c r="BO203" i="9"/>
  <c r="AU203" i="9"/>
  <c r="AW203" i="9" s="1"/>
  <c r="BN203" i="9"/>
  <c r="BP203" i="9" s="1"/>
  <c r="FF203" i="9"/>
  <c r="CH203" i="9"/>
  <c r="AB203" i="9"/>
  <c r="AD203" i="9" s="1"/>
  <c r="EM203" i="9"/>
  <c r="DA203" i="9"/>
  <c r="AC203" i="9"/>
  <c r="EL203" i="9"/>
  <c r="EN203" i="9" s="1"/>
  <c r="CZ203" i="9"/>
  <c r="DB203" i="9" s="1"/>
  <c r="DT203" i="9"/>
  <c r="DS203" i="9"/>
  <c r="DU203" i="9" s="1"/>
  <c r="EP202" i="12"/>
  <c r="FF202" i="12"/>
  <c r="FE202" i="12"/>
  <c r="FG202" i="12" s="1"/>
  <c r="DD202" i="12"/>
  <c r="CK202" i="12"/>
  <c r="AB202" i="12"/>
  <c r="AD202" i="12" s="1"/>
  <c r="AC202" i="12"/>
  <c r="BO202" i="12"/>
  <c r="BN202" i="12"/>
  <c r="BP202" i="12" s="1"/>
  <c r="AF202" i="12"/>
  <c r="CZ202" i="12"/>
  <c r="DB202" i="12" s="1"/>
  <c r="AY202" i="12"/>
  <c r="FI202" i="12"/>
  <c r="CG202" i="12"/>
  <c r="CI202" i="12" s="1"/>
  <c r="DT202" i="12"/>
  <c r="EM202" i="12"/>
  <c r="DA202" i="12"/>
  <c r="DW202" i="12"/>
  <c r="CH202" i="12"/>
  <c r="DS202" i="12"/>
  <c r="DU202" i="12" s="1"/>
  <c r="EL202" i="12"/>
  <c r="EN202" i="12" s="1"/>
  <c r="BR202" i="12"/>
  <c r="AU202" i="12"/>
  <c r="AW202" i="12" s="1"/>
  <c r="AV202" i="12"/>
  <c r="K205" i="9" a="1"/>
  <c r="K205" i="9" s="1"/>
  <c r="O205" i="9" a="1"/>
  <c r="O205" i="9" s="1"/>
  <c r="J205" i="9" a="1"/>
  <c r="J205" i="9" s="1"/>
  <c r="G205" i="9" a="1"/>
  <c r="G205" i="9" s="1"/>
  <c r="L205" i="9" a="1"/>
  <c r="L205" i="9" s="1"/>
  <c r="N205" i="9" a="1"/>
  <c r="N205" i="9" s="1"/>
  <c r="H205" i="9" a="1"/>
  <c r="H205" i="9" s="1"/>
  <c r="D206" i="9"/>
  <c r="ET200" i="12"/>
  <c r="BA201" i="12"/>
  <c r="BB201" i="12"/>
  <c r="AZ201" i="12"/>
  <c r="AH201" i="12"/>
  <c r="AG201" i="12"/>
  <c r="AI201" i="12"/>
  <c r="DZ202" i="9"/>
  <c r="DY202" i="9"/>
  <c r="DW202" i="9"/>
  <c r="DX202" i="9"/>
  <c r="BB202" i="9"/>
  <c r="AY202" i="9"/>
  <c r="BA202" i="9"/>
  <c r="AZ202" i="9"/>
  <c r="M203" i="12"/>
  <c r="P203" i="12" s="1"/>
  <c r="Q203" i="12" s="1"/>
  <c r="BS201" i="12"/>
  <c r="BU201" i="12"/>
  <c r="BT201" i="12"/>
  <c r="AG202" i="9"/>
  <c r="AF202" i="9"/>
  <c r="AH202" i="9"/>
  <c r="AI202" i="9"/>
  <c r="FI202" i="9"/>
  <c r="FL202" i="9"/>
  <c r="FJ202" i="9"/>
  <c r="FK202" i="9"/>
  <c r="EQ201" i="12"/>
  <c r="ER201" i="12"/>
  <c r="ES201" i="12"/>
  <c r="EQ202" i="9"/>
  <c r="ES202" i="9"/>
  <c r="ER202" i="9"/>
  <c r="EP202" i="9"/>
  <c r="M204" i="9"/>
  <c r="J204" i="12" a="1"/>
  <c r="J204" i="12" s="1"/>
  <c r="L204" i="12" a="1"/>
  <c r="L204" i="12" s="1"/>
  <c r="O204" i="12" a="1"/>
  <c r="O204" i="12" s="1"/>
  <c r="N204" i="12" a="1"/>
  <c r="N204" i="12" s="1"/>
  <c r="K204" i="12" a="1"/>
  <c r="K204" i="12" s="1"/>
  <c r="H204" i="12" a="1"/>
  <c r="H204" i="12" s="1"/>
  <c r="G204" i="12" a="1"/>
  <c r="G204" i="12" s="1"/>
  <c r="D205" i="12"/>
  <c r="DE201" i="12"/>
  <c r="DG201" i="12"/>
  <c r="DF201" i="12"/>
  <c r="BU202" i="9"/>
  <c r="BR202" i="9"/>
  <c r="BS202" i="9"/>
  <c r="BT202" i="9"/>
  <c r="CL201" i="12"/>
  <c r="CN201" i="12"/>
  <c r="CM201" i="12"/>
  <c r="DX201" i="12"/>
  <c r="DY201" i="12"/>
  <c r="DZ201" i="12"/>
  <c r="I205" i="9"/>
  <c r="CE204" i="9"/>
  <c r="CF204" i="9" s="1"/>
  <c r="CJ204" i="9" s="1"/>
  <c r="CX204" i="9"/>
  <c r="CY204" i="9" s="1"/>
  <c r="DC204" i="9" s="1"/>
  <c r="BL204" i="9"/>
  <c r="BM204" i="9" s="1"/>
  <c r="BQ204" i="9" s="1"/>
  <c r="Z204" i="9"/>
  <c r="AA204" i="9" s="1"/>
  <c r="AE204" i="9" s="1"/>
  <c r="AS204" i="9"/>
  <c r="AT204" i="9" s="1"/>
  <c r="AX204" i="9" s="1"/>
  <c r="EJ204" i="9"/>
  <c r="EK204" i="9" s="1"/>
  <c r="EO204" i="9" s="1"/>
  <c r="FC204" i="9"/>
  <c r="FD204" i="9" s="1"/>
  <c r="FH204" i="9" s="1"/>
  <c r="DQ204" i="9"/>
  <c r="DR204" i="9" s="1"/>
  <c r="DV204" i="9" s="1"/>
  <c r="P204" i="9"/>
  <c r="Q204" i="9" s="1"/>
  <c r="FJ201" i="12"/>
  <c r="FL201" i="12"/>
  <c r="FK201" i="12"/>
  <c r="DD202" i="9"/>
  <c r="DE202" i="9"/>
  <c r="DG202" i="9"/>
  <c r="DF202" i="9"/>
  <c r="CN202" i="9"/>
  <c r="CL202" i="9"/>
  <c r="CK202" i="9"/>
  <c r="CM202" i="9"/>
  <c r="BC201" i="12" l="1"/>
  <c r="ET202" i="9"/>
  <c r="EA202" i="9"/>
  <c r="BV202" i="9"/>
  <c r="FM202" i="9"/>
  <c r="AJ201" i="12"/>
  <c r="DH202" i="9"/>
  <c r="CO202" i="9"/>
  <c r="AJ202" i="9"/>
  <c r="BC202" i="9"/>
  <c r="BV201" i="12"/>
  <c r="EA201" i="12"/>
  <c r="FM201" i="12"/>
  <c r="ET201" i="12"/>
  <c r="CO201" i="12"/>
  <c r="CH204" i="9"/>
  <c r="BN204" i="9"/>
  <c r="BP204" i="9" s="1"/>
  <c r="CG204" i="9"/>
  <c r="CI204" i="9" s="1"/>
  <c r="BO204" i="9"/>
  <c r="FF204" i="9"/>
  <c r="FE204" i="9"/>
  <c r="FG204" i="9" s="1"/>
  <c r="AU204" i="9"/>
  <c r="AW204" i="9" s="1"/>
  <c r="AV204" i="9"/>
  <c r="AC204" i="9"/>
  <c r="EM204" i="9"/>
  <c r="AB204" i="9"/>
  <c r="AD204" i="9" s="1"/>
  <c r="DA204" i="9"/>
  <c r="EL204" i="9"/>
  <c r="EN204" i="9" s="1"/>
  <c r="CZ204" i="9"/>
  <c r="DB204" i="9" s="1"/>
  <c r="DS204" i="9"/>
  <c r="DU204" i="9" s="1"/>
  <c r="DT204" i="9"/>
  <c r="EP203" i="12"/>
  <c r="FE203" i="12"/>
  <c r="FG203" i="12" s="1"/>
  <c r="FF203" i="12"/>
  <c r="DD203" i="12"/>
  <c r="CK203" i="12"/>
  <c r="BO203" i="12"/>
  <c r="AB203" i="12"/>
  <c r="AD203" i="12" s="1"/>
  <c r="AC203" i="12"/>
  <c r="BN203" i="12"/>
  <c r="BP203" i="12" s="1"/>
  <c r="FI203" i="12"/>
  <c r="CG203" i="12"/>
  <c r="CI203" i="12" s="1"/>
  <c r="EM203" i="12"/>
  <c r="AF203" i="12"/>
  <c r="DW203" i="12"/>
  <c r="EL203" i="12"/>
  <c r="EN203" i="12" s="1"/>
  <c r="BR203" i="12"/>
  <c r="DA203" i="12"/>
  <c r="DT203" i="12"/>
  <c r="AY203" i="12"/>
  <c r="CZ203" i="12"/>
  <c r="DB203" i="12" s="1"/>
  <c r="DS203" i="12"/>
  <c r="DU203" i="12" s="1"/>
  <c r="CH203" i="12"/>
  <c r="AV203" i="12"/>
  <c r="AU203" i="12"/>
  <c r="AW203" i="12" s="1"/>
  <c r="DW203" i="9"/>
  <c r="DX203" i="9"/>
  <c r="DZ203" i="9"/>
  <c r="DY203" i="9"/>
  <c r="DH201" i="12"/>
  <c r="L206" i="9" a="1"/>
  <c r="L206" i="9" s="1"/>
  <c r="K206" i="9" a="1"/>
  <c r="K206" i="9" s="1"/>
  <c r="O206" i="9" a="1"/>
  <c r="O206" i="9" s="1"/>
  <c r="J206" i="9" a="1"/>
  <c r="J206" i="9" s="1"/>
  <c r="G206" i="9" a="1"/>
  <c r="G206" i="9" s="1"/>
  <c r="N206" i="9" a="1"/>
  <c r="N206" i="9" s="1"/>
  <c r="H206" i="9" a="1"/>
  <c r="H206" i="9" s="1"/>
  <c r="D207" i="9"/>
  <c r="AZ202" i="12"/>
  <c r="BB202" i="12"/>
  <c r="BA202" i="12"/>
  <c r="CL202" i="12"/>
  <c r="CM202" i="12"/>
  <c r="CN202" i="12"/>
  <c r="AG202" i="12"/>
  <c r="AH202" i="12"/>
  <c r="AI202" i="12"/>
  <c r="DD203" i="9"/>
  <c r="DE203" i="9"/>
  <c r="DG203" i="9"/>
  <c r="DF203" i="9"/>
  <c r="BS203" i="9"/>
  <c r="BT203" i="9"/>
  <c r="BU203" i="9"/>
  <c r="BR203" i="9"/>
  <c r="BV203" i="9" s="1"/>
  <c r="I206" i="9"/>
  <c r="Z205" i="9"/>
  <c r="AA205" i="9" s="1"/>
  <c r="AE205" i="9" s="1"/>
  <c r="EJ205" i="9"/>
  <c r="EK205" i="9" s="1"/>
  <c r="EO205" i="9" s="1"/>
  <c r="CE205" i="9"/>
  <c r="CF205" i="9" s="1"/>
  <c r="CJ205" i="9" s="1"/>
  <c r="FC205" i="9"/>
  <c r="FD205" i="9" s="1"/>
  <c r="FH205" i="9" s="1"/>
  <c r="CX205" i="9"/>
  <c r="CY205" i="9" s="1"/>
  <c r="DC205" i="9" s="1"/>
  <c r="AS205" i="9"/>
  <c r="AT205" i="9" s="1"/>
  <c r="AX205" i="9" s="1"/>
  <c r="DQ205" i="9"/>
  <c r="DR205" i="9" s="1"/>
  <c r="DV205" i="9" s="1"/>
  <c r="BL205" i="9"/>
  <c r="BM205" i="9" s="1"/>
  <c r="BQ205" i="9" s="1"/>
  <c r="M204" i="12"/>
  <c r="P204" i="12" s="1"/>
  <c r="Q204" i="12" s="1"/>
  <c r="EQ202" i="12"/>
  <c r="ES202" i="12"/>
  <c r="ER202" i="12"/>
  <c r="ES203" i="9"/>
  <c r="EQ203" i="9"/>
  <c r="ER203" i="9"/>
  <c r="EP203" i="9"/>
  <c r="ET203" i="9" s="1"/>
  <c r="AZ203" i="9"/>
  <c r="AY203" i="9"/>
  <c r="BB203" i="9"/>
  <c r="BA203" i="9"/>
  <c r="K205" i="12" a="1"/>
  <c r="K205" i="12" s="1"/>
  <c r="N205" i="12" a="1"/>
  <c r="N205" i="12" s="1"/>
  <c r="H205" i="12" a="1"/>
  <c r="H205" i="12" s="1"/>
  <c r="G205" i="12" a="1"/>
  <c r="G205" i="12" s="1"/>
  <c r="O205" i="12" a="1"/>
  <c r="O205" i="12" s="1"/>
  <c r="L205" i="12" a="1"/>
  <c r="L205" i="12" s="1"/>
  <c r="J205" i="12" a="1"/>
  <c r="J205" i="12" s="1"/>
  <c r="D206" i="12"/>
  <c r="DX202" i="12"/>
  <c r="DZ202" i="12"/>
  <c r="DY202" i="12"/>
  <c r="M205" i="9"/>
  <c r="P205" i="9" s="1"/>
  <c r="Q205" i="9" s="1"/>
  <c r="DE202" i="12"/>
  <c r="DG202" i="12"/>
  <c r="DF202" i="12"/>
  <c r="FJ202" i="12"/>
  <c r="FL202" i="12"/>
  <c r="FK202" i="12"/>
  <c r="CN203" i="9"/>
  <c r="CM203" i="9"/>
  <c r="CK203" i="9"/>
  <c r="CL203" i="9"/>
  <c r="FK203" i="9"/>
  <c r="FL203" i="9"/>
  <c r="FJ203" i="9"/>
  <c r="FI203" i="9"/>
  <c r="FM203" i="9" s="1"/>
  <c r="BS202" i="12"/>
  <c r="BU202" i="12"/>
  <c r="BT202" i="12"/>
  <c r="AI203" i="9"/>
  <c r="AH203" i="9"/>
  <c r="AF203" i="9"/>
  <c r="AG203" i="9"/>
  <c r="CO203" i="9" l="1"/>
  <c r="AJ203" i="9"/>
  <c r="BC203" i="9"/>
  <c r="DH203" i="9"/>
  <c r="EA203" i="9"/>
  <c r="CO202" i="12"/>
  <c r="BV202" i="12"/>
  <c r="AJ202" i="12"/>
  <c r="FM202" i="12"/>
  <c r="DH202" i="12"/>
  <c r="M205" i="12"/>
  <c r="P205" i="12" s="1"/>
  <c r="Q205" i="12" s="1"/>
  <c r="ET202" i="12"/>
  <c r="AZ203" i="12"/>
  <c r="BA203" i="12"/>
  <c r="BB203" i="12"/>
  <c r="EQ203" i="12"/>
  <c r="ES203" i="12"/>
  <c r="ER203" i="12"/>
  <c r="AI203" i="12"/>
  <c r="AH203" i="12"/>
  <c r="AG203" i="12"/>
  <c r="DZ204" i="9"/>
  <c r="DY204" i="9"/>
  <c r="DW204" i="9"/>
  <c r="DX204" i="9"/>
  <c r="AY204" i="9"/>
  <c r="BA204" i="9"/>
  <c r="AZ204" i="9"/>
  <c r="BB204" i="9"/>
  <c r="J206" i="12" a="1"/>
  <c r="J206" i="12" s="1"/>
  <c r="K206" i="12" a="1"/>
  <c r="K206" i="12" s="1"/>
  <c r="O206" i="12" a="1"/>
  <c r="O206" i="12" s="1"/>
  <c r="H206" i="12" a="1"/>
  <c r="H206" i="12" s="1"/>
  <c r="L206" i="12" a="1"/>
  <c r="L206" i="12" s="1"/>
  <c r="N206" i="12" a="1"/>
  <c r="N206" i="12" s="1"/>
  <c r="G206" i="12" a="1"/>
  <c r="G206" i="12" s="1"/>
  <c r="D207" i="12"/>
  <c r="DG204" i="9"/>
  <c r="DF204" i="9"/>
  <c r="DE204" i="9"/>
  <c r="DD204" i="9"/>
  <c r="FL204" i="9"/>
  <c r="FJ204" i="9"/>
  <c r="FI204" i="9"/>
  <c r="FM204" i="9" s="1"/>
  <c r="FK204" i="9"/>
  <c r="BC202" i="12"/>
  <c r="DX203" i="12"/>
  <c r="DZ203" i="12"/>
  <c r="DY203" i="12"/>
  <c r="EQ204" i="9"/>
  <c r="ER204" i="9"/>
  <c r="EP204" i="9"/>
  <c r="ET204" i="9" s="1"/>
  <c r="ES204" i="9"/>
  <c r="BN205" i="9"/>
  <c r="BP205" i="9" s="1"/>
  <c r="BO205" i="9"/>
  <c r="FE205" i="9"/>
  <c r="FG205" i="9" s="1"/>
  <c r="AU205" i="9"/>
  <c r="AW205" i="9" s="1"/>
  <c r="CG205" i="9"/>
  <c r="CI205" i="9" s="1"/>
  <c r="FF205" i="9"/>
  <c r="CH205" i="9"/>
  <c r="AV205" i="9"/>
  <c r="CZ205" i="9"/>
  <c r="DB205" i="9" s="1"/>
  <c r="DA205" i="9"/>
  <c r="EL205" i="9"/>
  <c r="EN205" i="9" s="1"/>
  <c r="AB205" i="9"/>
  <c r="AD205" i="9" s="1"/>
  <c r="EM205" i="9"/>
  <c r="AC205" i="9"/>
  <c r="DT205" i="9"/>
  <c r="DS205" i="9"/>
  <c r="DU205" i="9" s="1"/>
  <c r="L207" i="9" a="1"/>
  <c r="L207" i="9" s="1"/>
  <c r="K207" i="9" a="1"/>
  <c r="K207" i="9" s="1"/>
  <c r="H207" i="9" a="1"/>
  <c r="H207" i="9" s="1"/>
  <c r="O207" i="9" a="1"/>
  <c r="O207" i="9" s="1"/>
  <c r="G207" i="9" a="1"/>
  <c r="G207" i="9" s="1"/>
  <c r="J207" i="9" a="1"/>
  <c r="J207" i="9" s="1"/>
  <c r="N207" i="9" a="1"/>
  <c r="N207" i="9" s="1"/>
  <c r="D208" i="9"/>
  <c r="DE203" i="12"/>
  <c r="DF203" i="12"/>
  <c r="DG203" i="12"/>
  <c r="CL203" i="12"/>
  <c r="CM203" i="12"/>
  <c r="CN203" i="12"/>
  <c r="AI204" i="9"/>
  <c r="AG204" i="9"/>
  <c r="AF204" i="9"/>
  <c r="AJ204" i="9" s="1"/>
  <c r="AH204" i="9"/>
  <c r="CK204" i="9"/>
  <c r="CO204" i="9" s="1"/>
  <c r="CL204" i="9"/>
  <c r="CN204" i="9"/>
  <c r="CM204" i="9"/>
  <c r="FJ203" i="12"/>
  <c r="FK203" i="12"/>
  <c r="FL203" i="12"/>
  <c r="BU204" i="9"/>
  <c r="BT204" i="9"/>
  <c r="BS204" i="9"/>
  <c r="BR204" i="9"/>
  <c r="I207" i="9"/>
  <c r="Z206" i="9"/>
  <c r="AA206" i="9" s="1"/>
  <c r="AE206" i="9" s="1"/>
  <c r="CE206" i="9"/>
  <c r="CF206" i="9" s="1"/>
  <c r="CJ206" i="9" s="1"/>
  <c r="CX206" i="9"/>
  <c r="CY206" i="9" s="1"/>
  <c r="DC206" i="9" s="1"/>
  <c r="FC206" i="9"/>
  <c r="FD206" i="9" s="1"/>
  <c r="FH206" i="9" s="1"/>
  <c r="EJ206" i="9"/>
  <c r="EK206" i="9" s="1"/>
  <c r="EO206" i="9" s="1"/>
  <c r="DQ206" i="9"/>
  <c r="DR206" i="9" s="1"/>
  <c r="DV206" i="9" s="1"/>
  <c r="BL206" i="9"/>
  <c r="BM206" i="9" s="1"/>
  <c r="BQ206" i="9" s="1"/>
  <c r="AS206" i="9"/>
  <c r="AT206" i="9" s="1"/>
  <c r="AX206" i="9" s="1"/>
  <c r="EA202" i="12"/>
  <c r="FF204" i="12"/>
  <c r="FE204" i="12"/>
  <c r="FG204" i="12" s="1"/>
  <c r="EP204" i="12"/>
  <c r="DD204" i="12"/>
  <c r="CK204" i="12"/>
  <c r="BN204" i="12"/>
  <c r="BP204" i="12" s="1"/>
  <c r="AB204" i="12"/>
  <c r="AD204" i="12" s="1"/>
  <c r="BO204" i="12"/>
  <c r="AC204" i="12"/>
  <c r="BR204" i="12"/>
  <c r="DT204" i="12"/>
  <c r="EM204" i="12"/>
  <c r="AY204" i="12"/>
  <c r="DS204" i="12"/>
  <c r="DU204" i="12" s="1"/>
  <c r="EL204" i="12"/>
  <c r="EN204" i="12" s="1"/>
  <c r="FI204" i="12"/>
  <c r="CH204" i="12"/>
  <c r="AF204" i="12"/>
  <c r="CG204" i="12"/>
  <c r="CI204" i="12" s="1"/>
  <c r="DW204" i="12"/>
  <c r="DA204" i="12"/>
  <c r="CZ204" i="12"/>
  <c r="DB204" i="12" s="1"/>
  <c r="AV204" i="12"/>
  <c r="AU204" i="12"/>
  <c r="AW204" i="12" s="1"/>
  <c r="M206" i="9"/>
  <c r="P206" i="9" s="1"/>
  <c r="Q206" i="9" s="1"/>
  <c r="BS203" i="12"/>
  <c r="BU203" i="12"/>
  <c r="BT203" i="12"/>
  <c r="EA204" i="9" l="1"/>
  <c r="BV204" i="9"/>
  <c r="BC204" i="9"/>
  <c r="DH204" i="9"/>
  <c r="AU205" i="12"/>
  <c r="AW205" i="12" s="1"/>
  <c r="BB205" i="12" s="1"/>
  <c r="AB205" i="12"/>
  <c r="AD205" i="12" s="1"/>
  <c r="CK205" i="12"/>
  <c r="CO203" i="12"/>
  <c r="DT205" i="12"/>
  <c r="AY205" i="12"/>
  <c r="DW205" i="12"/>
  <c r="DD205" i="12"/>
  <c r="CZ205" i="12"/>
  <c r="DB205" i="12" s="1"/>
  <c r="DE205" i="12" s="1"/>
  <c r="EP205" i="12"/>
  <c r="BC203" i="12"/>
  <c r="BV203" i="12"/>
  <c r="FM203" i="12"/>
  <c r="DS205" i="12"/>
  <c r="DU205" i="12" s="1"/>
  <c r="DZ205" i="12" s="1"/>
  <c r="AC205" i="12"/>
  <c r="AJ203" i="12"/>
  <c r="FE206" i="9"/>
  <c r="FG206" i="9" s="1"/>
  <c r="AV206" i="9"/>
  <c r="CG206" i="9"/>
  <c r="CI206" i="9" s="1"/>
  <c r="FF206" i="9"/>
  <c r="BN206" i="9"/>
  <c r="BP206" i="9" s="1"/>
  <c r="BO206" i="9"/>
  <c r="AU206" i="9"/>
  <c r="AW206" i="9" s="1"/>
  <c r="CH206" i="9"/>
  <c r="EM206" i="9"/>
  <c r="DA206" i="9"/>
  <c r="CZ206" i="9"/>
  <c r="DB206" i="9" s="1"/>
  <c r="AB206" i="9"/>
  <c r="AD206" i="9" s="1"/>
  <c r="EL206" i="9"/>
  <c r="EN206" i="9" s="1"/>
  <c r="AC206" i="9"/>
  <c r="DS206" i="9"/>
  <c r="DU206" i="9" s="1"/>
  <c r="DT206" i="9"/>
  <c r="AG205" i="12"/>
  <c r="AH205" i="12"/>
  <c r="AI205" i="12"/>
  <c r="CL204" i="12"/>
  <c r="CN204" i="12"/>
  <c r="CM204" i="12"/>
  <c r="AI205" i="9"/>
  <c r="AH205" i="9"/>
  <c r="AF205" i="9"/>
  <c r="AG205" i="9"/>
  <c r="AZ205" i="9"/>
  <c r="BA205" i="9"/>
  <c r="AY205" i="9"/>
  <c r="BB205" i="9"/>
  <c r="AF205" i="12"/>
  <c r="FJ204" i="12"/>
  <c r="FK204" i="12"/>
  <c r="FL204" i="12"/>
  <c r="EP205" i="9"/>
  <c r="EQ205" i="9"/>
  <c r="ES205" i="9"/>
  <c r="ER205" i="9"/>
  <c r="FI205" i="9"/>
  <c r="FM205" i="9" s="1"/>
  <c r="FL205" i="9"/>
  <c r="FJ205" i="9"/>
  <c r="FK205" i="9"/>
  <c r="CG205" i="12"/>
  <c r="CI205" i="12" s="1"/>
  <c r="ET203" i="12"/>
  <c r="EQ204" i="12"/>
  <c r="ES204" i="12"/>
  <c r="ER204" i="12"/>
  <c r="DH203" i="12"/>
  <c r="DD205" i="9"/>
  <c r="DF205" i="9"/>
  <c r="DG205" i="9"/>
  <c r="DE205" i="9"/>
  <c r="BS205" i="9"/>
  <c r="BU205" i="9"/>
  <c r="BR205" i="9"/>
  <c r="BT205" i="9"/>
  <c r="EA203" i="12"/>
  <c r="EM205" i="12"/>
  <c r="FI205" i="12"/>
  <c r="AZ205" i="12"/>
  <c r="DE204" i="12"/>
  <c r="DF204" i="12"/>
  <c r="DG204" i="12"/>
  <c r="DX204" i="12"/>
  <c r="DY204" i="12"/>
  <c r="DZ204" i="12"/>
  <c r="BS204" i="12"/>
  <c r="BU204" i="12"/>
  <c r="BT204" i="12"/>
  <c r="I208" i="9"/>
  <c r="AS207" i="9"/>
  <c r="AT207" i="9" s="1"/>
  <c r="AX207" i="9" s="1"/>
  <c r="BL207" i="9"/>
  <c r="BM207" i="9" s="1"/>
  <c r="BQ207" i="9" s="1"/>
  <c r="CX207" i="9"/>
  <c r="CY207" i="9" s="1"/>
  <c r="DC207" i="9" s="1"/>
  <c r="EJ207" i="9"/>
  <c r="EK207" i="9" s="1"/>
  <c r="EO207" i="9" s="1"/>
  <c r="CE207" i="9"/>
  <c r="CF207" i="9" s="1"/>
  <c r="CJ207" i="9" s="1"/>
  <c r="FC207" i="9"/>
  <c r="FD207" i="9" s="1"/>
  <c r="FH207" i="9" s="1"/>
  <c r="DQ207" i="9"/>
  <c r="DR207" i="9" s="1"/>
  <c r="DV207" i="9" s="1"/>
  <c r="Z207" i="9"/>
  <c r="AA207" i="9" s="1"/>
  <c r="AE207" i="9" s="1"/>
  <c r="DX205" i="9"/>
  <c r="DZ205" i="9"/>
  <c r="DY205" i="9"/>
  <c r="DW205" i="9"/>
  <c r="EA205" i="9" s="1"/>
  <c r="DA205" i="12"/>
  <c r="BR205" i="12"/>
  <c r="FE205" i="12"/>
  <c r="FG205" i="12" s="1"/>
  <c r="BA204" i="12"/>
  <c r="BB204" i="12"/>
  <c r="AZ204" i="12"/>
  <c r="J208" i="9" a="1"/>
  <c r="J208" i="9" s="1"/>
  <c r="N208" i="9" a="1"/>
  <c r="N208" i="9" s="1"/>
  <c r="H208" i="9" a="1"/>
  <c r="H208" i="9" s="1"/>
  <c r="L208" i="9" a="1"/>
  <c r="L208" i="9" s="1"/>
  <c r="G208" i="9" a="1"/>
  <c r="G208" i="9" s="1"/>
  <c r="K208" i="9" a="1"/>
  <c r="K208" i="9" s="1"/>
  <c r="O208" i="9" a="1"/>
  <c r="O208" i="9" s="1"/>
  <c r="D209" i="9"/>
  <c r="CH205" i="12"/>
  <c r="BO205" i="12"/>
  <c r="FF205" i="12"/>
  <c r="M206" i="12"/>
  <c r="P206" i="12" s="1"/>
  <c r="Q206" i="12" s="1"/>
  <c r="CN205" i="9"/>
  <c r="CM205" i="9"/>
  <c r="CK205" i="9"/>
  <c r="CL205" i="9"/>
  <c r="AI204" i="12"/>
  <c r="AG204" i="12"/>
  <c r="AH204" i="12"/>
  <c r="M207" i="9"/>
  <c r="P207" i="9" s="1"/>
  <c r="Q207" i="9" s="1"/>
  <c r="AV205" i="12"/>
  <c r="EL205" i="12"/>
  <c r="EN205" i="12" s="1"/>
  <c r="BN205" i="12"/>
  <c r="BP205" i="12" s="1"/>
  <c r="L207" i="12" a="1"/>
  <c r="L207" i="12" s="1"/>
  <c r="J207" i="12" a="1"/>
  <c r="J207" i="12" s="1"/>
  <c r="O207" i="12" a="1"/>
  <c r="O207" i="12" s="1"/>
  <c r="N207" i="12" a="1"/>
  <c r="N207" i="12" s="1"/>
  <c r="G207" i="12" a="1"/>
  <c r="G207" i="12" s="1"/>
  <c r="H207" i="12" a="1"/>
  <c r="H207" i="12" s="1"/>
  <c r="K207" i="12" a="1"/>
  <c r="K207" i="12" s="1"/>
  <c r="D208" i="12"/>
  <c r="BV205" i="9" l="1"/>
  <c r="BA205" i="12"/>
  <c r="BC205" i="9"/>
  <c r="ET205" i="9"/>
  <c r="DG205" i="12"/>
  <c r="DF205" i="12"/>
  <c r="DH205" i="12" s="1"/>
  <c r="CO205" i="9"/>
  <c r="DH205" i="9"/>
  <c r="AJ205" i="9"/>
  <c r="DX205" i="12"/>
  <c r="DY205" i="12"/>
  <c r="AJ205" i="12"/>
  <c r="BV204" i="12"/>
  <c r="FM204" i="12"/>
  <c r="AJ204" i="12"/>
  <c r="CO204" i="12"/>
  <c r="BN207" i="9"/>
  <c r="BP207" i="9" s="1"/>
  <c r="CG207" i="9"/>
  <c r="CI207" i="9" s="1"/>
  <c r="FE207" i="9"/>
  <c r="FG207" i="9" s="1"/>
  <c r="CH207" i="9"/>
  <c r="BO207" i="9"/>
  <c r="AV207" i="9"/>
  <c r="FF207" i="9"/>
  <c r="AU207" i="9"/>
  <c r="AW207" i="9" s="1"/>
  <c r="EL207" i="9"/>
  <c r="EN207" i="9" s="1"/>
  <c r="CZ207" i="9"/>
  <c r="DB207" i="9" s="1"/>
  <c r="EM207" i="9"/>
  <c r="DA207" i="9"/>
  <c r="AB207" i="9"/>
  <c r="AD207" i="9" s="1"/>
  <c r="AC207" i="9"/>
  <c r="DS207" i="9"/>
  <c r="DU207" i="9" s="1"/>
  <c r="DT207" i="9"/>
  <c r="FE206" i="12"/>
  <c r="FG206" i="12" s="1"/>
  <c r="FF206" i="12"/>
  <c r="EP206" i="12"/>
  <c r="CK206" i="12"/>
  <c r="DD206" i="12"/>
  <c r="AB206" i="12"/>
  <c r="AD206" i="12" s="1"/>
  <c r="AC206" i="12"/>
  <c r="BN206" i="12"/>
  <c r="BP206" i="12" s="1"/>
  <c r="BO206" i="12"/>
  <c r="FI206" i="12"/>
  <c r="DW206" i="12"/>
  <c r="AY206" i="12"/>
  <c r="DA206" i="12"/>
  <c r="DT206" i="12"/>
  <c r="BR206" i="12"/>
  <c r="CZ206" i="12"/>
  <c r="DB206" i="12" s="1"/>
  <c r="DS206" i="12"/>
  <c r="DU206" i="12" s="1"/>
  <c r="CH206" i="12"/>
  <c r="EM206" i="12"/>
  <c r="CG206" i="12"/>
  <c r="CI206" i="12" s="1"/>
  <c r="AF206" i="12"/>
  <c r="EL206" i="12"/>
  <c r="EN206" i="12" s="1"/>
  <c r="AU206" i="12"/>
  <c r="AW206" i="12" s="1"/>
  <c r="AV206" i="12"/>
  <c r="M207" i="12"/>
  <c r="M208" i="9"/>
  <c r="P208" i="9" s="1"/>
  <c r="Q208" i="9" s="1"/>
  <c r="DX206" i="9"/>
  <c r="DW206" i="9"/>
  <c r="DZ206" i="9"/>
  <c r="DY206" i="9"/>
  <c r="AZ206" i="9"/>
  <c r="BC206" i="9" s="1"/>
  <c r="BB206" i="9"/>
  <c r="AY206" i="9"/>
  <c r="BA206" i="9"/>
  <c r="EA204" i="12"/>
  <c r="EA205" i="12"/>
  <c r="ER206" i="9"/>
  <c r="EQ206" i="9"/>
  <c r="ES206" i="9"/>
  <c r="EP206" i="9"/>
  <c r="BT206" i="9"/>
  <c r="BS206" i="9"/>
  <c r="BR206" i="9"/>
  <c r="BU206" i="9"/>
  <c r="BS205" i="12"/>
  <c r="BT205" i="12"/>
  <c r="BU205" i="12"/>
  <c r="G209" i="9" a="1"/>
  <c r="G209" i="9" s="1"/>
  <c r="N209" i="9" a="1"/>
  <c r="N209" i="9" s="1"/>
  <c r="L209" i="9" a="1"/>
  <c r="L209" i="9" s="1"/>
  <c r="H209" i="9" a="1"/>
  <c r="H209" i="9" s="1"/>
  <c r="O209" i="9" a="1"/>
  <c r="O209" i="9" s="1"/>
  <c r="J209" i="9" a="1"/>
  <c r="J209" i="9" s="1"/>
  <c r="K209" i="9" a="1"/>
  <c r="K209" i="9" s="1"/>
  <c r="D210" i="9"/>
  <c r="BC204" i="12"/>
  <c r="AH206" i="9"/>
  <c r="AG206" i="9"/>
  <c r="AI206" i="9"/>
  <c r="AF206" i="9"/>
  <c r="EQ205" i="12"/>
  <c r="ES205" i="12"/>
  <c r="ER205" i="12"/>
  <c r="DD206" i="9"/>
  <c r="DF206" i="9"/>
  <c r="DE206" i="9"/>
  <c r="DG206" i="9"/>
  <c r="CK206" i="9"/>
  <c r="CM206" i="9"/>
  <c r="CN206" i="9"/>
  <c r="CL206" i="9"/>
  <c r="I209" i="9"/>
  <c r="CE208" i="9"/>
  <c r="CF208" i="9" s="1"/>
  <c r="CJ208" i="9" s="1"/>
  <c r="AS208" i="9"/>
  <c r="AT208" i="9" s="1"/>
  <c r="AX208" i="9" s="1"/>
  <c r="DQ208" i="9"/>
  <c r="DR208" i="9" s="1"/>
  <c r="DV208" i="9" s="1"/>
  <c r="FC208" i="9"/>
  <c r="FD208" i="9" s="1"/>
  <c r="FH208" i="9" s="1"/>
  <c r="Z208" i="9"/>
  <c r="AA208" i="9" s="1"/>
  <c r="AE208" i="9" s="1"/>
  <c r="BL208" i="9"/>
  <c r="BM208" i="9" s="1"/>
  <c r="BQ208" i="9" s="1"/>
  <c r="CX208" i="9"/>
  <c r="CY208" i="9" s="1"/>
  <c r="DC208" i="9" s="1"/>
  <c r="EJ208" i="9"/>
  <c r="EK208" i="9" s="1"/>
  <c r="EO208" i="9" s="1"/>
  <c r="DH204" i="12"/>
  <c r="FJ205" i="12"/>
  <c r="FK205" i="12"/>
  <c r="FL205" i="12"/>
  <c r="ET204" i="12"/>
  <c r="CL205" i="12"/>
  <c r="CM205" i="12"/>
  <c r="CN205" i="12"/>
  <c r="FI206" i="9"/>
  <c r="FM206" i="9" s="1"/>
  <c r="FJ206" i="9"/>
  <c r="FL206" i="9"/>
  <c r="FK206" i="9"/>
  <c r="K208" i="12" a="1"/>
  <c r="K208" i="12" s="1"/>
  <c r="J208" i="12" a="1"/>
  <c r="J208" i="12" s="1"/>
  <c r="L208" i="12" a="1"/>
  <c r="L208" i="12" s="1"/>
  <c r="O208" i="12" a="1"/>
  <c r="O208" i="12" s="1"/>
  <c r="N208" i="12" a="1"/>
  <c r="N208" i="12" s="1"/>
  <c r="G208" i="12" a="1"/>
  <c r="G208" i="12" s="1"/>
  <c r="H208" i="12" a="1"/>
  <c r="H208" i="12" s="1"/>
  <c r="D209" i="12"/>
  <c r="P207" i="12"/>
  <c r="Q207" i="12" s="1"/>
  <c r="BC205" i="12"/>
  <c r="CO206" i="9" l="1"/>
  <c r="AJ206" i="9"/>
  <c r="EA206" i="9"/>
  <c r="BV206" i="9"/>
  <c r="DH206" i="9"/>
  <c r="ET206" i="9"/>
  <c r="BV205" i="12"/>
  <c r="FM205" i="12"/>
  <c r="ET205" i="12"/>
  <c r="CO205" i="12"/>
  <c r="K210" i="9" a="1"/>
  <c r="K210" i="9" s="1"/>
  <c r="O210" i="9" a="1"/>
  <c r="O210" i="9" s="1"/>
  <c r="H210" i="9" a="1"/>
  <c r="H210" i="9" s="1"/>
  <c r="L210" i="9" a="1"/>
  <c r="L210" i="9" s="1"/>
  <c r="N210" i="9" a="1"/>
  <c r="N210" i="9" s="1"/>
  <c r="G210" i="9" a="1"/>
  <c r="G210" i="9" s="1"/>
  <c r="J210" i="9" a="1"/>
  <c r="J210" i="9" s="1"/>
  <c r="D211" i="9"/>
  <c r="AZ206" i="12"/>
  <c r="BA206" i="12"/>
  <c r="BB206" i="12"/>
  <c r="DY207" i="9"/>
  <c r="DZ207" i="9"/>
  <c r="DW207" i="9"/>
  <c r="DX207" i="9"/>
  <c r="BS206" i="12"/>
  <c r="BU206" i="12"/>
  <c r="BT206" i="12"/>
  <c r="EP207" i="12"/>
  <c r="FF207" i="12"/>
  <c r="FE207" i="12"/>
  <c r="FG207" i="12" s="1"/>
  <c r="CK207" i="12"/>
  <c r="DD207" i="12"/>
  <c r="AB207" i="12"/>
  <c r="AD207" i="12" s="1"/>
  <c r="AC207" i="12"/>
  <c r="BN207" i="12"/>
  <c r="BP207" i="12" s="1"/>
  <c r="BO207" i="12"/>
  <c r="DW207" i="12"/>
  <c r="CG207" i="12"/>
  <c r="CI207" i="12" s="1"/>
  <c r="DS207" i="12"/>
  <c r="DU207" i="12" s="1"/>
  <c r="CH207" i="12"/>
  <c r="FI207" i="12"/>
  <c r="BR207" i="12"/>
  <c r="AF207" i="12"/>
  <c r="DA207" i="12"/>
  <c r="DT207" i="12"/>
  <c r="AY207" i="12"/>
  <c r="CZ207" i="12"/>
  <c r="DB207" i="12" s="1"/>
  <c r="EM207" i="12"/>
  <c r="EL207" i="12"/>
  <c r="EN207" i="12" s="1"/>
  <c r="AV207" i="12"/>
  <c r="AU207" i="12"/>
  <c r="AW207" i="12" s="1"/>
  <c r="M209" i="9"/>
  <c r="P209" i="9" s="1"/>
  <c r="Q209" i="9" s="1"/>
  <c r="EQ206" i="12"/>
  <c r="ES206" i="12"/>
  <c r="ER206" i="12"/>
  <c r="AH206" i="12"/>
  <c r="AI206" i="12"/>
  <c r="AG206" i="12"/>
  <c r="BN208" i="9"/>
  <c r="BP208" i="9" s="1"/>
  <c r="AV208" i="9"/>
  <c r="CG208" i="9"/>
  <c r="CI208" i="9" s="1"/>
  <c r="FF208" i="9"/>
  <c r="BO208" i="9"/>
  <c r="CH208" i="9"/>
  <c r="FE208" i="9"/>
  <c r="FG208" i="9" s="1"/>
  <c r="AU208" i="9"/>
  <c r="AW208" i="9" s="1"/>
  <c r="EM208" i="9"/>
  <c r="DA208" i="9"/>
  <c r="AC208" i="9"/>
  <c r="EL208" i="9"/>
  <c r="EN208" i="9" s="1"/>
  <c r="CZ208" i="9"/>
  <c r="DB208" i="9" s="1"/>
  <c r="AB208" i="9"/>
  <c r="AD208" i="9" s="1"/>
  <c r="DT208" i="9"/>
  <c r="DS208" i="9"/>
  <c r="DU208" i="9" s="1"/>
  <c r="K209" i="12" a="1"/>
  <c r="K209" i="12" s="1"/>
  <c r="J209" i="12" a="1"/>
  <c r="J209" i="12" s="1"/>
  <c r="O209" i="12" a="1"/>
  <c r="O209" i="12" s="1"/>
  <c r="N209" i="12" a="1"/>
  <c r="N209" i="12" s="1"/>
  <c r="H209" i="12" a="1"/>
  <c r="H209" i="12" s="1"/>
  <c r="G209" i="12" a="1"/>
  <c r="G209" i="12" s="1"/>
  <c r="L209" i="12" a="1"/>
  <c r="L209" i="12" s="1"/>
  <c r="D210" i="12"/>
  <c r="AG207" i="9"/>
  <c r="AF207" i="9"/>
  <c r="AI207" i="9"/>
  <c r="AH207" i="9"/>
  <c r="CL206" i="12"/>
  <c r="CN206" i="12"/>
  <c r="CM206" i="12"/>
  <c r="BB207" i="9"/>
  <c r="AZ207" i="9"/>
  <c r="AY207" i="9"/>
  <c r="BC207" i="9" s="1"/>
  <c r="BA207" i="9"/>
  <c r="FJ207" i="9"/>
  <c r="FL207" i="9"/>
  <c r="FI207" i="9"/>
  <c r="FM207" i="9" s="1"/>
  <c r="FK207" i="9"/>
  <c r="DE206" i="12"/>
  <c r="DF206" i="12"/>
  <c r="DG206" i="12"/>
  <c r="DG207" i="9"/>
  <c r="DF207" i="9"/>
  <c r="DD207" i="9"/>
  <c r="DE207" i="9"/>
  <c r="CN207" i="9"/>
  <c r="CM207" i="9"/>
  <c r="CL207" i="9"/>
  <c r="CK207" i="9"/>
  <c r="M208" i="12"/>
  <c r="P208" i="12" s="1"/>
  <c r="Q208" i="12" s="1"/>
  <c r="I210" i="9"/>
  <c r="BL209" i="9"/>
  <c r="BM209" i="9" s="1"/>
  <c r="BQ209" i="9" s="1"/>
  <c r="EJ209" i="9"/>
  <c r="EK209" i="9" s="1"/>
  <c r="EO209" i="9" s="1"/>
  <c r="AS209" i="9"/>
  <c r="AT209" i="9" s="1"/>
  <c r="AX209" i="9" s="1"/>
  <c r="FC209" i="9"/>
  <c r="FD209" i="9" s="1"/>
  <c r="FH209" i="9" s="1"/>
  <c r="DQ209" i="9"/>
  <c r="DR209" i="9" s="1"/>
  <c r="DV209" i="9" s="1"/>
  <c r="CE209" i="9"/>
  <c r="CF209" i="9" s="1"/>
  <c r="CJ209" i="9" s="1"/>
  <c r="Z209" i="9"/>
  <c r="AA209" i="9" s="1"/>
  <c r="AE209" i="9" s="1"/>
  <c r="CX209" i="9"/>
  <c r="CY209" i="9" s="1"/>
  <c r="DC209" i="9" s="1"/>
  <c r="DX206" i="12"/>
  <c r="DZ206" i="12"/>
  <c r="DY206" i="12"/>
  <c r="FJ206" i="12"/>
  <c r="FL206" i="12"/>
  <c r="FK206" i="12"/>
  <c r="EQ207" i="9"/>
  <c r="ES207" i="9"/>
  <c r="ER207" i="9"/>
  <c r="EP207" i="9"/>
  <c r="BR207" i="9"/>
  <c r="BU207" i="9"/>
  <c r="BS207" i="9"/>
  <c r="BT207" i="9"/>
  <c r="CO207" i="9" l="1"/>
  <c r="AJ207" i="9"/>
  <c r="BV207" i="9"/>
  <c r="ET207" i="9"/>
  <c r="DH207" i="9"/>
  <c r="EA207" i="9"/>
  <c r="FM206" i="12"/>
  <c r="BV206" i="12"/>
  <c r="ET206" i="12"/>
  <c r="BC206" i="12"/>
  <c r="M210" i="9"/>
  <c r="P210" i="9" s="1"/>
  <c r="Q210" i="9" s="1"/>
  <c r="EA206" i="12"/>
  <c r="AJ206" i="12"/>
  <c r="EP208" i="12"/>
  <c r="FE208" i="12"/>
  <c r="FG208" i="12" s="1"/>
  <c r="FF208" i="12"/>
  <c r="CK208" i="12"/>
  <c r="DD208" i="12"/>
  <c r="BO208" i="12"/>
  <c r="AB208" i="12"/>
  <c r="AD208" i="12" s="1"/>
  <c r="BN208" i="12"/>
  <c r="BP208" i="12" s="1"/>
  <c r="AC208" i="12"/>
  <c r="CH208" i="12"/>
  <c r="AY208" i="12"/>
  <c r="CG208" i="12"/>
  <c r="CI208" i="12" s="1"/>
  <c r="FI208" i="12"/>
  <c r="EM208" i="12"/>
  <c r="BR208" i="12"/>
  <c r="EL208" i="12"/>
  <c r="EN208" i="12" s="1"/>
  <c r="AF208" i="12"/>
  <c r="DW208" i="12"/>
  <c r="DA208" i="12"/>
  <c r="DT208" i="12"/>
  <c r="CZ208" i="12"/>
  <c r="DB208" i="12" s="1"/>
  <c r="DS208" i="12"/>
  <c r="DU208" i="12" s="1"/>
  <c r="AU208" i="12"/>
  <c r="AW208" i="12" s="1"/>
  <c r="AV208" i="12"/>
  <c r="DX208" i="9"/>
  <c r="DW208" i="9"/>
  <c r="EA208" i="9" s="1"/>
  <c r="DZ208" i="9"/>
  <c r="DY208" i="9"/>
  <c r="FK208" i="9"/>
  <c r="FJ208" i="9"/>
  <c r="FI208" i="9"/>
  <c r="FM208" i="9" s="1"/>
  <c r="FL208" i="9"/>
  <c r="EQ207" i="12"/>
  <c r="ER207" i="12"/>
  <c r="ES207" i="12"/>
  <c r="AG207" i="12"/>
  <c r="AH207" i="12"/>
  <c r="AI207" i="12"/>
  <c r="FF209" i="9"/>
  <c r="CH209" i="9"/>
  <c r="BN209" i="9"/>
  <c r="BP209" i="9" s="1"/>
  <c r="FE209" i="9"/>
  <c r="FG209" i="9" s="1"/>
  <c r="CG209" i="9"/>
  <c r="CI209" i="9" s="1"/>
  <c r="BO209" i="9"/>
  <c r="AU209" i="9"/>
  <c r="AW209" i="9" s="1"/>
  <c r="AV209" i="9"/>
  <c r="EM209" i="9"/>
  <c r="EL209" i="9"/>
  <c r="EN209" i="9" s="1"/>
  <c r="AC209" i="9"/>
  <c r="CZ209" i="9"/>
  <c r="DB209" i="9" s="1"/>
  <c r="AB209" i="9"/>
  <c r="AD209" i="9" s="1"/>
  <c r="DA209" i="9"/>
  <c r="DT209" i="9"/>
  <c r="DS209" i="9"/>
  <c r="DU209" i="9" s="1"/>
  <c r="CO206" i="12"/>
  <c r="AF208" i="9"/>
  <c r="AH208" i="9"/>
  <c r="AG208" i="9"/>
  <c r="AI208" i="9"/>
  <c r="J211" i="9" a="1"/>
  <c r="J211" i="9" s="1"/>
  <c r="K211" i="9" a="1"/>
  <c r="K211" i="9" s="1"/>
  <c r="G211" i="9" a="1"/>
  <c r="G211" i="9" s="1"/>
  <c r="N211" i="9" a="1"/>
  <c r="N211" i="9" s="1"/>
  <c r="O211" i="9" a="1"/>
  <c r="O211" i="9" s="1"/>
  <c r="L211" i="9" a="1"/>
  <c r="L211" i="9" s="1"/>
  <c r="H211" i="9" a="1"/>
  <c r="H211" i="9" s="1"/>
  <c r="D212" i="9"/>
  <c r="J210" i="12" a="1"/>
  <c r="J210" i="12" s="1"/>
  <c r="L210" i="12" a="1"/>
  <c r="L210" i="12" s="1"/>
  <c r="O210" i="12" a="1"/>
  <c r="O210" i="12" s="1"/>
  <c r="K210" i="12" a="1"/>
  <c r="K210" i="12" s="1"/>
  <c r="G210" i="12" a="1"/>
  <c r="G210" i="12" s="1"/>
  <c r="H210" i="12" a="1"/>
  <c r="H210" i="12" s="1"/>
  <c r="N210" i="12" a="1"/>
  <c r="N210" i="12" s="1"/>
  <c r="D211" i="12"/>
  <c r="DE208" i="9"/>
  <c r="DF208" i="9"/>
  <c r="DG208" i="9"/>
  <c r="DD208" i="9"/>
  <c r="DH208" i="9" s="1"/>
  <c r="DE207" i="12"/>
  <c r="DG207" i="12"/>
  <c r="DF207" i="12"/>
  <c r="DX207" i="12"/>
  <c r="DY207" i="12"/>
  <c r="DZ207" i="12"/>
  <c r="EP208" i="9"/>
  <c r="ES208" i="9"/>
  <c r="EQ208" i="9"/>
  <c r="ER208" i="9"/>
  <c r="CN207" i="12"/>
  <c r="CM207" i="12"/>
  <c r="CL207" i="12"/>
  <c r="FJ207" i="12"/>
  <c r="FL207" i="12"/>
  <c r="FK207" i="12"/>
  <c r="DH206" i="12"/>
  <c r="CK208" i="9"/>
  <c r="CM208" i="9"/>
  <c r="CL208" i="9"/>
  <c r="CN208" i="9"/>
  <c r="M209" i="12"/>
  <c r="P209" i="12" s="1"/>
  <c r="Q209" i="12" s="1"/>
  <c r="AY208" i="9"/>
  <c r="BB208" i="9"/>
  <c r="AZ208" i="9"/>
  <c r="BA208" i="9"/>
  <c r="I211" i="9"/>
  <c r="Z210" i="9"/>
  <c r="AA210" i="9" s="1"/>
  <c r="AE210" i="9" s="1"/>
  <c r="DQ210" i="9"/>
  <c r="DR210" i="9" s="1"/>
  <c r="DV210" i="9" s="1"/>
  <c r="CX210" i="9"/>
  <c r="CY210" i="9" s="1"/>
  <c r="DC210" i="9" s="1"/>
  <c r="BL210" i="9"/>
  <c r="BM210" i="9" s="1"/>
  <c r="BQ210" i="9" s="1"/>
  <c r="CE210" i="9"/>
  <c r="CF210" i="9" s="1"/>
  <c r="CJ210" i="9" s="1"/>
  <c r="AS210" i="9"/>
  <c r="AT210" i="9" s="1"/>
  <c r="AX210" i="9" s="1"/>
  <c r="EJ210" i="9"/>
  <c r="EK210" i="9" s="1"/>
  <c r="EO210" i="9" s="1"/>
  <c r="FC210" i="9"/>
  <c r="FD210" i="9" s="1"/>
  <c r="FH210" i="9" s="1"/>
  <c r="BT208" i="9"/>
  <c r="BU208" i="9"/>
  <c r="BS208" i="9"/>
  <c r="BR208" i="9"/>
  <c r="BV208" i="9" s="1"/>
  <c r="AZ207" i="12"/>
  <c r="BA207" i="12"/>
  <c r="BB207" i="12"/>
  <c r="BS207" i="12"/>
  <c r="BU207" i="12"/>
  <c r="BT207" i="12"/>
  <c r="CO208" i="9" l="1"/>
  <c r="AJ208" i="9"/>
  <c r="BC208" i="9"/>
  <c r="ET208" i="9"/>
  <c r="ET207" i="12"/>
  <c r="CO207" i="12"/>
  <c r="AJ207" i="12"/>
  <c r="DH207" i="12"/>
  <c r="BV207" i="12"/>
  <c r="EA207" i="12"/>
  <c r="BC207" i="12"/>
  <c r="FM207" i="12"/>
  <c r="EP209" i="12"/>
  <c r="FE209" i="12"/>
  <c r="FG209" i="12" s="1"/>
  <c r="FF209" i="12"/>
  <c r="DD209" i="12"/>
  <c r="CK209" i="12"/>
  <c r="BN209" i="12"/>
  <c r="BP209" i="12" s="1"/>
  <c r="BO209" i="12"/>
  <c r="AB209" i="12"/>
  <c r="AD209" i="12" s="1"/>
  <c r="AC209" i="12"/>
  <c r="FI209" i="12"/>
  <c r="BR209" i="12"/>
  <c r="DA209" i="12"/>
  <c r="EM209" i="12"/>
  <c r="DS209" i="12"/>
  <c r="DU209" i="12" s="1"/>
  <c r="AF209" i="12"/>
  <c r="CZ209" i="12"/>
  <c r="DB209" i="12" s="1"/>
  <c r="EL209" i="12"/>
  <c r="EN209" i="12" s="1"/>
  <c r="CH209" i="12"/>
  <c r="CG209" i="12"/>
  <c r="CI209" i="12" s="1"/>
  <c r="DW209" i="12"/>
  <c r="AY209" i="12"/>
  <c r="DT209" i="12"/>
  <c r="AU209" i="12"/>
  <c r="AW209" i="12" s="1"/>
  <c r="AV209" i="12"/>
  <c r="EQ208" i="12"/>
  <c r="ES208" i="12"/>
  <c r="ER208" i="12"/>
  <c r="DZ209" i="9"/>
  <c r="DY209" i="9"/>
  <c r="DX209" i="9"/>
  <c r="DW209" i="9"/>
  <c r="AZ208" i="12"/>
  <c r="BA208" i="12"/>
  <c r="BB208" i="12"/>
  <c r="AG208" i="12"/>
  <c r="AI208" i="12"/>
  <c r="AH208" i="12"/>
  <c r="BS208" i="12"/>
  <c r="BT208" i="12"/>
  <c r="BU208" i="12"/>
  <c r="AZ209" i="9"/>
  <c r="AY209" i="9"/>
  <c r="BB209" i="9"/>
  <c r="BA209" i="9"/>
  <c r="DX208" i="12"/>
  <c r="DZ208" i="12"/>
  <c r="DY208" i="12"/>
  <c r="M210" i="12"/>
  <c r="P210" i="12" s="1"/>
  <c r="Q210" i="12" s="1"/>
  <c r="M211" i="9"/>
  <c r="P211" i="9" s="1"/>
  <c r="Q211" i="9" s="1"/>
  <c r="DE208" i="12"/>
  <c r="DG208" i="12"/>
  <c r="DF208" i="12"/>
  <c r="L211" i="12" a="1"/>
  <c r="L211" i="12" s="1"/>
  <c r="J211" i="12" a="1"/>
  <c r="J211" i="12" s="1"/>
  <c r="G211" i="12" a="1"/>
  <c r="G211" i="12" s="1"/>
  <c r="H211" i="12" a="1"/>
  <c r="H211" i="12" s="1"/>
  <c r="O211" i="12" a="1"/>
  <c r="O211" i="12" s="1"/>
  <c r="N211" i="12" a="1"/>
  <c r="N211" i="12" s="1"/>
  <c r="D212" i="12"/>
  <c r="K211" i="12" a="1"/>
  <c r="K211" i="12" s="1"/>
  <c r="AV210" i="9"/>
  <c r="CH210" i="9"/>
  <c r="BN210" i="9"/>
  <c r="BP210" i="9" s="1"/>
  <c r="CG210" i="9"/>
  <c r="CI210" i="9" s="1"/>
  <c r="BO210" i="9"/>
  <c r="FE210" i="9"/>
  <c r="FG210" i="9" s="1"/>
  <c r="AU210" i="9"/>
  <c r="AW210" i="9" s="1"/>
  <c r="FF210" i="9"/>
  <c r="AB210" i="9"/>
  <c r="AD210" i="9" s="1"/>
  <c r="EL210" i="9"/>
  <c r="EN210" i="9" s="1"/>
  <c r="DA210" i="9"/>
  <c r="CZ210" i="9"/>
  <c r="DB210" i="9" s="1"/>
  <c r="AC210" i="9"/>
  <c r="EM210" i="9"/>
  <c r="DS210" i="9"/>
  <c r="DU210" i="9" s="1"/>
  <c r="DT210" i="9"/>
  <c r="AG209" i="9"/>
  <c r="AI209" i="9"/>
  <c r="AF209" i="9"/>
  <c r="AH209" i="9"/>
  <c r="CK209" i="9"/>
  <c r="CM209" i="9"/>
  <c r="CL209" i="9"/>
  <c r="CN209" i="9"/>
  <c r="CL208" i="12"/>
  <c r="CM208" i="12"/>
  <c r="CN208" i="12"/>
  <c r="I212" i="9"/>
  <c r="CX211" i="9"/>
  <c r="CY211" i="9" s="1"/>
  <c r="DC211" i="9" s="1"/>
  <c r="FC211" i="9"/>
  <c r="FD211" i="9" s="1"/>
  <c r="FH211" i="9" s="1"/>
  <c r="CE211" i="9"/>
  <c r="CF211" i="9" s="1"/>
  <c r="CJ211" i="9" s="1"/>
  <c r="EJ211" i="9"/>
  <c r="EK211" i="9" s="1"/>
  <c r="EO211" i="9" s="1"/>
  <c r="Z211" i="9"/>
  <c r="AA211" i="9" s="1"/>
  <c r="AE211" i="9" s="1"/>
  <c r="BL211" i="9"/>
  <c r="BM211" i="9" s="1"/>
  <c r="BQ211" i="9" s="1"/>
  <c r="DQ211" i="9"/>
  <c r="DR211" i="9" s="1"/>
  <c r="DV211" i="9" s="1"/>
  <c r="AS211" i="9"/>
  <c r="AT211" i="9" s="1"/>
  <c r="AX211" i="9" s="1"/>
  <c r="L212" i="9" a="1"/>
  <c r="L212" i="9" s="1"/>
  <c r="N212" i="9" a="1"/>
  <c r="N212" i="9" s="1"/>
  <c r="H212" i="9" a="1"/>
  <c r="H212" i="9" s="1"/>
  <c r="O212" i="9" a="1"/>
  <c r="O212" i="9" s="1"/>
  <c r="G212" i="9" a="1"/>
  <c r="G212" i="9" s="1"/>
  <c r="J212" i="9" a="1"/>
  <c r="J212" i="9" s="1"/>
  <c r="K212" i="9" a="1"/>
  <c r="K212" i="9" s="1"/>
  <c r="D213" i="9"/>
  <c r="DG209" i="9"/>
  <c r="DF209" i="9"/>
  <c r="DD209" i="9"/>
  <c r="DE209" i="9"/>
  <c r="FJ209" i="9"/>
  <c r="FI209" i="9"/>
  <c r="FK209" i="9"/>
  <c r="FL209" i="9"/>
  <c r="BS209" i="9"/>
  <c r="BU209" i="9"/>
  <c r="BR209" i="9"/>
  <c r="BT209" i="9"/>
  <c r="FJ208" i="12"/>
  <c r="FL208" i="12"/>
  <c r="FK208" i="12"/>
  <c r="EQ209" i="9"/>
  <c r="ES209" i="9"/>
  <c r="EP209" i="9"/>
  <c r="ET209" i="9" s="1"/>
  <c r="ER209" i="9"/>
  <c r="BV209" i="9" l="1"/>
  <c r="DH209" i="9"/>
  <c r="BC209" i="9"/>
  <c r="FM209" i="9"/>
  <c r="AJ209" i="9"/>
  <c r="EA209" i="9"/>
  <c r="M211" i="12"/>
  <c r="CO209" i="9"/>
  <c r="FM208" i="12"/>
  <c r="AJ208" i="12"/>
  <c r="CO208" i="12"/>
  <c r="ET208" i="12"/>
  <c r="BV208" i="12"/>
  <c r="M212" i="9"/>
  <c r="P212" i="9" s="1"/>
  <c r="Q212" i="9" s="1"/>
  <c r="EA208" i="12"/>
  <c r="AV211" i="9"/>
  <c r="FE211" i="9"/>
  <c r="FG211" i="9" s="1"/>
  <c r="CH211" i="9"/>
  <c r="BN211" i="9"/>
  <c r="BP211" i="9" s="1"/>
  <c r="CG211" i="9"/>
  <c r="CI211" i="9" s="1"/>
  <c r="BO211" i="9"/>
  <c r="FF211" i="9"/>
  <c r="AU211" i="9"/>
  <c r="AW211" i="9" s="1"/>
  <c r="DA211" i="9"/>
  <c r="EM211" i="9"/>
  <c r="CZ211" i="9"/>
  <c r="DB211" i="9" s="1"/>
  <c r="EL211" i="9"/>
  <c r="EN211" i="9" s="1"/>
  <c r="AB211" i="9"/>
  <c r="AD211" i="9" s="1"/>
  <c r="AC211" i="9"/>
  <c r="DS211" i="9"/>
  <c r="DU211" i="9" s="1"/>
  <c r="DT211" i="9"/>
  <c r="ER210" i="9"/>
  <c r="EQ210" i="9"/>
  <c r="EP210" i="9"/>
  <c r="ES210" i="9"/>
  <c r="AG210" i="9"/>
  <c r="AI210" i="9"/>
  <c r="AH210" i="9"/>
  <c r="AF210" i="9"/>
  <c r="AJ210" i="9" s="1"/>
  <c r="BA209" i="12"/>
  <c r="BB209" i="12"/>
  <c r="AZ209" i="12"/>
  <c r="DX209" i="12"/>
  <c r="DZ209" i="12"/>
  <c r="DY209" i="12"/>
  <c r="BS209" i="12"/>
  <c r="BU209" i="12"/>
  <c r="BT209" i="12"/>
  <c r="DE209" i="12"/>
  <c r="DG209" i="12"/>
  <c r="DF209" i="12"/>
  <c r="DZ210" i="9"/>
  <c r="DX210" i="9"/>
  <c r="DY210" i="9"/>
  <c r="DW210" i="9"/>
  <c r="AZ210" i="9"/>
  <c r="AY210" i="9"/>
  <c r="BB210" i="9"/>
  <c r="BA210" i="9"/>
  <c r="J212" i="12" a="1"/>
  <c r="J212" i="12" s="1"/>
  <c r="O212" i="12" a="1"/>
  <c r="O212" i="12" s="1"/>
  <c r="N212" i="12" a="1"/>
  <c r="N212" i="12" s="1"/>
  <c r="H212" i="12" a="1"/>
  <c r="H212" i="12" s="1"/>
  <c r="G212" i="12" a="1"/>
  <c r="G212" i="12" s="1"/>
  <c r="L212" i="12" a="1"/>
  <c r="L212" i="12" s="1"/>
  <c r="K212" i="12" a="1"/>
  <c r="K212" i="12" s="1"/>
  <c r="D213" i="12"/>
  <c r="DH208" i="12"/>
  <c r="DF210" i="9"/>
  <c r="DD210" i="9"/>
  <c r="DG210" i="9"/>
  <c r="DE210" i="9"/>
  <c r="BC208" i="12"/>
  <c r="FE210" i="12"/>
  <c r="FG210" i="12" s="1"/>
  <c r="EP210" i="12"/>
  <c r="FF210" i="12"/>
  <c r="DD210" i="12"/>
  <c r="CK210" i="12"/>
  <c r="BO210" i="12"/>
  <c r="AB210" i="12"/>
  <c r="AD210" i="12" s="1"/>
  <c r="AC210" i="12"/>
  <c r="BN210" i="12"/>
  <c r="BP210" i="12" s="1"/>
  <c r="AF210" i="12"/>
  <c r="DS210" i="12"/>
  <c r="DU210" i="12" s="1"/>
  <c r="CG210" i="12"/>
  <c r="CI210" i="12" s="1"/>
  <c r="FI210" i="12"/>
  <c r="AY210" i="12"/>
  <c r="CH210" i="12"/>
  <c r="DA210" i="12"/>
  <c r="CZ210" i="12"/>
  <c r="DB210" i="12" s="1"/>
  <c r="EL210" i="12"/>
  <c r="EN210" i="12" s="1"/>
  <c r="DW210" i="12"/>
  <c r="BR210" i="12"/>
  <c r="EM210" i="12"/>
  <c r="DT210" i="12"/>
  <c r="AV210" i="12"/>
  <c r="AU210" i="12"/>
  <c r="AW210" i="12" s="1"/>
  <c r="FI210" i="9"/>
  <c r="FJ210" i="9"/>
  <c r="FL210" i="9"/>
  <c r="FK210" i="9"/>
  <c r="P211" i="12"/>
  <c r="Q211" i="12" s="1"/>
  <c r="CN210" i="9"/>
  <c r="CM210" i="9"/>
  <c r="CK210" i="9"/>
  <c r="CL210" i="9"/>
  <c r="AG209" i="12"/>
  <c r="AI209" i="12"/>
  <c r="AH209" i="12"/>
  <c r="G213" i="9" a="1"/>
  <c r="G213" i="9" s="1"/>
  <c r="N213" i="9" a="1"/>
  <c r="N213" i="9" s="1"/>
  <c r="K213" i="9" a="1"/>
  <c r="K213" i="9" s="1"/>
  <c r="H213" i="9" a="1"/>
  <c r="H213" i="9" s="1"/>
  <c r="J213" i="9" a="1"/>
  <c r="J213" i="9" s="1"/>
  <c r="O213" i="9" a="1"/>
  <c r="O213" i="9" s="1"/>
  <c r="L213" i="9" a="1"/>
  <c r="L213" i="9" s="1"/>
  <c r="D214" i="9"/>
  <c r="I213" i="9"/>
  <c r="DQ212" i="9"/>
  <c r="DR212" i="9" s="1"/>
  <c r="DV212" i="9" s="1"/>
  <c r="CX212" i="9"/>
  <c r="CY212" i="9" s="1"/>
  <c r="DC212" i="9" s="1"/>
  <c r="Z212" i="9"/>
  <c r="AA212" i="9" s="1"/>
  <c r="AE212" i="9" s="1"/>
  <c r="EJ212" i="9"/>
  <c r="EK212" i="9" s="1"/>
  <c r="EO212" i="9" s="1"/>
  <c r="AS212" i="9"/>
  <c r="AT212" i="9" s="1"/>
  <c r="AX212" i="9" s="1"/>
  <c r="BL212" i="9"/>
  <c r="BM212" i="9" s="1"/>
  <c r="BQ212" i="9" s="1"/>
  <c r="CE212" i="9"/>
  <c r="CF212" i="9" s="1"/>
  <c r="CJ212" i="9" s="1"/>
  <c r="FC212" i="9"/>
  <c r="FD212" i="9" s="1"/>
  <c r="FH212" i="9" s="1"/>
  <c r="CL209" i="12"/>
  <c r="CN209" i="12"/>
  <c r="CM209" i="12"/>
  <c r="FJ209" i="12"/>
  <c r="FL209" i="12"/>
  <c r="FK209" i="12"/>
  <c r="BS210" i="9"/>
  <c r="BT210" i="9"/>
  <c r="BR210" i="9"/>
  <c r="BU210" i="9"/>
  <c r="EQ209" i="12"/>
  <c r="ES209" i="12"/>
  <c r="ER209" i="12"/>
  <c r="EA210" i="9" l="1"/>
  <c r="CO210" i="9"/>
  <c r="DH210" i="9"/>
  <c r="BV210" i="9"/>
  <c r="FM210" i="9"/>
  <c r="ET210" i="9"/>
  <c r="BC210" i="9"/>
  <c r="BC211" i="9" s="1"/>
  <c r="BV209" i="12"/>
  <c r="BC209" i="12"/>
  <c r="FM209" i="12"/>
  <c r="ET209" i="12"/>
  <c r="AJ209" i="12"/>
  <c r="EA209" i="12"/>
  <c r="EQ210" i="12"/>
  <c r="ES210" i="12"/>
  <c r="ER210" i="12"/>
  <c r="M212" i="12"/>
  <c r="P212" i="12" s="1"/>
  <c r="Q212" i="12" s="1"/>
  <c r="DZ211" i="9"/>
  <c r="DY211" i="9"/>
  <c r="DW211" i="9"/>
  <c r="DX211" i="9"/>
  <c r="M213" i="9"/>
  <c r="P213" i="9" s="1"/>
  <c r="Q213" i="9" s="1"/>
  <c r="DE210" i="12"/>
  <c r="DF210" i="12"/>
  <c r="DG210" i="12"/>
  <c r="BS210" i="12"/>
  <c r="BU210" i="12"/>
  <c r="BT210" i="12"/>
  <c r="FJ210" i="12"/>
  <c r="FL210" i="12"/>
  <c r="FK210" i="12"/>
  <c r="J213" i="12" a="1"/>
  <c r="J213" i="12" s="1"/>
  <c r="N213" i="12" a="1"/>
  <c r="N213" i="12" s="1"/>
  <c r="H213" i="12" a="1"/>
  <c r="H213" i="12" s="1"/>
  <c r="G213" i="12" a="1"/>
  <c r="G213" i="12" s="1"/>
  <c r="O213" i="12" a="1"/>
  <c r="O213" i="12" s="1"/>
  <c r="L213" i="12" a="1"/>
  <c r="L213" i="12" s="1"/>
  <c r="D214" i="12"/>
  <c r="K213" i="12" a="1"/>
  <c r="K213" i="12" s="1"/>
  <c r="DH209" i="12"/>
  <c r="AZ211" i="9"/>
  <c r="BB211" i="9"/>
  <c r="BA211" i="9"/>
  <c r="AY211" i="9"/>
  <c r="AZ210" i="12"/>
  <c r="BB210" i="12"/>
  <c r="BA210" i="12"/>
  <c r="BN212" i="9"/>
  <c r="BP212" i="9" s="1"/>
  <c r="BO212" i="9"/>
  <c r="AU212" i="9"/>
  <c r="AW212" i="9" s="1"/>
  <c r="FF212" i="9"/>
  <c r="CH212" i="9"/>
  <c r="AV212" i="9"/>
  <c r="FE212" i="9"/>
  <c r="FG212" i="9" s="1"/>
  <c r="CG212" i="9"/>
  <c r="CI212" i="9" s="1"/>
  <c r="EL212" i="9"/>
  <c r="EN212" i="9" s="1"/>
  <c r="CZ212" i="9"/>
  <c r="DB212" i="9" s="1"/>
  <c r="EM212" i="9"/>
  <c r="DA212" i="9"/>
  <c r="AC212" i="9"/>
  <c r="AB212" i="9"/>
  <c r="AD212" i="9" s="1"/>
  <c r="DT212" i="9"/>
  <c r="DS212" i="9"/>
  <c r="DU212" i="9" s="1"/>
  <c r="AF211" i="9"/>
  <c r="AJ211" i="9" s="1"/>
  <c r="AI211" i="9"/>
  <c r="AG211" i="9"/>
  <c r="AH211" i="9"/>
  <c r="CK211" i="9"/>
  <c r="CN211" i="9"/>
  <c r="CM211" i="9"/>
  <c r="CL211" i="9"/>
  <c r="L214" i="9" a="1"/>
  <c r="L214" i="9" s="1"/>
  <c r="K214" i="9" a="1"/>
  <c r="K214" i="9" s="1"/>
  <c r="G214" i="9" a="1"/>
  <c r="G214" i="9" s="1"/>
  <c r="H214" i="9" a="1"/>
  <c r="H214" i="9" s="1"/>
  <c r="J214" i="9" a="1"/>
  <c r="J214" i="9" s="1"/>
  <c r="N214" i="9" a="1"/>
  <c r="N214" i="9" s="1"/>
  <c r="O214" i="9" a="1"/>
  <c r="O214" i="9" s="1"/>
  <c r="D215" i="9"/>
  <c r="AI210" i="12"/>
  <c r="AH210" i="12"/>
  <c r="AG210" i="12"/>
  <c r="ES211" i="9"/>
  <c r="ER211" i="9"/>
  <c r="EQ211" i="9"/>
  <c r="EP211" i="9"/>
  <c r="BT211" i="9"/>
  <c r="BU211" i="9"/>
  <c r="BS211" i="9"/>
  <c r="BR211" i="9"/>
  <c r="DG211" i="9"/>
  <c r="DF211" i="9"/>
  <c r="DD211" i="9"/>
  <c r="DH211" i="9" s="1"/>
  <c r="DE211" i="9"/>
  <c r="DX210" i="12"/>
  <c r="DZ210" i="12"/>
  <c r="DY210" i="12"/>
  <c r="EP211" i="12"/>
  <c r="FE211" i="12"/>
  <c r="FG211" i="12" s="1"/>
  <c r="FF211" i="12"/>
  <c r="CK211" i="12"/>
  <c r="DD211" i="12"/>
  <c r="AB211" i="12"/>
  <c r="AD211" i="12" s="1"/>
  <c r="BO211" i="12"/>
  <c r="AC211" i="12"/>
  <c r="BN211" i="12"/>
  <c r="BP211" i="12" s="1"/>
  <c r="AY211" i="12"/>
  <c r="CH211" i="12"/>
  <c r="DA211" i="12"/>
  <c r="EM211" i="12"/>
  <c r="CG211" i="12"/>
  <c r="CI211" i="12" s="1"/>
  <c r="CZ211" i="12"/>
  <c r="DB211" i="12" s="1"/>
  <c r="EL211" i="12"/>
  <c r="EN211" i="12" s="1"/>
  <c r="DW211" i="12"/>
  <c r="BR211" i="12"/>
  <c r="AF211" i="12"/>
  <c r="FI211" i="12"/>
  <c r="DT211" i="12"/>
  <c r="DS211" i="12"/>
  <c r="DU211" i="12" s="1"/>
  <c r="AU211" i="12"/>
  <c r="AW211" i="12" s="1"/>
  <c r="AV211" i="12"/>
  <c r="FJ211" i="9"/>
  <c r="FI211" i="9"/>
  <c r="FL211" i="9"/>
  <c r="FK211" i="9"/>
  <c r="CO209" i="12"/>
  <c r="I214" i="9"/>
  <c r="BL213" i="9"/>
  <c r="BM213" i="9" s="1"/>
  <c r="BQ213" i="9" s="1"/>
  <c r="CX213" i="9"/>
  <c r="CY213" i="9" s="1"/>
  <c r="DC213" i="9" s="1"/>
  <c r="CE213" i="9"/>
  <c r="CF213" i="9" s="1"/>
  <c r="CJ213" i="9" s="1"/>
  <c r="Z213" i="9"/>
  <c r="AA213" i="9" s="1"/>
  <c r="AE213" i="9" s="1"/>
  <c r="DQ213" i="9"/>
  <c r="DR213" i="9" s="1"/>
  <c r="DV213" i="9" s="1"/>
  <c r="EJ213" i="9"/>
  <c r="EK213" i="9" s="1"/>
  <c r="EO213" i="9" s="1"/>
  <c r="AS213" i="9"/>
  <c r="AT213" i="9" s="1"/>
  <c r="AX213" i="9" s="1"/>
  <c r="FC213" i="9"/>
  <c r="FD213" i="9" s="1"/>
  <c r="FH213" i="9" s="1"/>
  <c r="CM210" i="12"/>
  <c r="CN210" i="12"/>
  <c r="CL210" i="12"/>
  <c r="ET211" i="9" l="1"/>
  <c r="CO211" i="9"/>
  <c r="EA211" i="9"/>
  <c r="FM211" i="9"/>
  <c r="BV211" i="9"/>
  <c r="FM210" i="12"/>
  <c r="ET210" i="12"/>
  <c r="M214" i="9"/>
  <c r="P214" i="9" s="1"/>
  <c r="Q214" i="9" s="1"/>
  <c r="BC210" i="12"/>
  <c r="AJ210" i="12"/>
  <c r="BV210" i="12"/>
  <c r="CO210" i="12"/>
  <c r="BS211" i="12"/>
  <c r="BU211" i="12"/>
  <c r="BT211" i="12"/>
  <c r="I215" i="9"/>
  <c r="EJ214" i="9"/>
  <c r="EK214" i="9" s="1"/>
  <c r="EO214" i="9" s="1"/>
  <c r="BL214" i="9"/>
  <c r="BM214" i="9" s="1"/>
  <c r="BQ214" i="9" s="1"/>
  <c r="FC214" i="9"/>
  <c r="FD214" i="9" s="1"/>
  <c r="FH214" i="9" s="1"/>
  <c r="DQ214" i="9"/>
  <c r="DR214" i="9" s="1"/>
  <c r="DV214" i="9" s="1"/>
  <c r="Z214" i="9"/>
  <c r="AA214" i="9" s="1"/>
  <c r="AE214" i="9" s="1"/>
  <c r="CX214" i="9"/>
  <c r="CY214" i="9" s="1"/>
  <c r="DC214" i="9" s="1"/>
  <c r="AS214" i="9"/>
  <c r="AT214" i="9" s="1"/>
  <c r="AX214" i="9" s="1"/>
  <c r="CE214" i="9"/>
  <c r="CF214" i="9" s="1"/>
  <c r="CJ214" i="9" s="1"/>
  <c r="EQ211" i="12"/>
  <c r="ES211" i="12"/>
  <c r="ER211" i="12"/>
  <c r="EA210" i="12"/>
  <c r="FE213" i="9"/>
  <c r="FG213" i="9" s="1"/>
  <c r="BO213" i="9"/>
  <c r="FF213" i="9"/>
  <c r="AV213" i="9"/>
  <c r="CG213" i="9"/>
  <c r="CI213" i="9" s="1"/>
  <c r="AU213" i="9"/>
  <c r="AW213" i="9" s="1"/>
  <c r="BN213" i="9"/>
  <c r="BP213" i="9" s="1"/>
  <c r="CH213" i="9"/>
  <c r="CZ213" i="9"/>
  <c r="DB213" i="9" s="1"/>
  <c r="EL213" i="9"/>
  <c r="EN213" i="9" s="1"/>
  <c r="EM213" i="9"/>
  <c r="DA213" i="9"/>
  <c r="AC213" i="9"/>
  <c r="AB213" i="9"/>
  <c r="AD213" i="9" s="1"/>
  <c r="DT213" i="9"/>
  <c r="DS213" i="9"/>
  <c r="DU213" i="9" s="1"/>
  <c r="AZ212" i="9"/>
  <c r="AY212" i="9"/>
  <c r="BB212" i="9"/>
  <c r="BA212" i="9"/>
  <c r="AZ211" i="12"/>
  <c r="BB211" i="12"/>
  <c r="BA211" i="12"/>
  <c r="DE211" i="12"/>
  <c r="DG211" i="12"/>
  <c r="DF211" i="12"/>
  <c r="DD212" i="9"/>
  <c r="DG212" i="9"/>
  <c r="DE212" i="9"/>
  <c r="DF212" i="9"/>
  <c r="FF212" i="12"/>
  <c r="EP212" i="12"/>
  <c r="FE212" i="12"/>
  <c r="FG212" i="12" s="1"/>
  <c r="CK212" i="12"/>
  <c r="DD212" i="12"/>
  <c r="AB212" i="12"/>
  <c r="AD212" i="12" s="1"/>
  <c r="AC212" i="12"/>
  <c r="BN212" i="12"/>
  <c r="BP212" i="12" s="1"/>
  <c r="BO212" i="12"/>
  <c r="CG212" i="12"/>
  <c r="CI212" i="12" s="1"/>
  <c r="FI212" i="12"/>
  <c r="CH212" i="12"/>
  <c r="BR212" i="12"/>
  <c r="AF212" i="12"/>
  <c r="EM212" i="12"/>
  <c r="AY212" i="12"/>
  <c r="EL212" i="12"/>
  <c r="EN212" i="12" s="1"/>
  <c r="DW212" i="12"/>
  <c r="CZ212" i="12"/>
  <c r="DB212" i="12" s="1"/>
  <c r="DA212" i="12"/>
  <c r="DT212" i="12"/>
  <c r="DS212" i="12"/>
  <c r="DU212" i="12" s="1"/>
  <c r="AU212" i="12"/>
  <c r="AW212" i="12" s="1"/>
  <c r="AV212" i="12"/>
  <c r="ER212" i="9"/>
  <c r="EQ212" i="9"/>
  <c r="EP212" i="9"/>
  <c r="ET212" i="9" s="1"/>
  <c r="ES212" i="9"/>
  <c r="BR212" i="9"/>
  <c r="BS212" i="9"/>
  <c r="BU212" i="9"/>
  <c r="BT212" i="9"/>
  <c r="M213" i="12"/>
  <c r="P213" i="12" s="1"/>
  <c r="Q213" i="12" s="1"/>
  <c r="DH210" i="12"/>
  <c r="AG211" i="12"/>
  <c r="AI211" i="12"/>
  <c r="AH211" i="12"/>
  <c r="DY212" i="9"/>
  <c r="DX212" i="9"/>
  <c r="DW212" i="9"/>
  <c r="DZ212" i="9"/>
  <c r="CL212" i="9"/>
  <c r="CN212" i="9"/>
  <c r="CM212" i="9"/>
  <c r="CK212" i="9"/>
  <c r="CO212" i="9" s="1"/>
  <c r="CL211" i="12"/>
  <c r="CM211" i="12"/>
  <c r="CN211" i="12"/>
  <c r="L215" i="9" a="1"/>
  <c r="L215" i="9" s="1"/>
  <c r="O215" i="9" a="1"/>
  <c r="O215" i="9" s="1"/>
  <c r="J215" i="9" a="1"/>
  <c r="J215" i="9" s="1"/>
  <c r="N215" i="9" a="1"/>
  <c r="N215" i="9" s="1"/>
  <c r="K215" i="9" a="1"/>
  <c r="K215" i="9" s="1"/>
  <c r="G215" i="9" a="1"/>
  <c r="G215" i="9" s="1"/>
  <c r="H215" i="9" a="1"/>
  <c r="H215" i="9" s="1"/>
  <c r="D216" i="9"/>
  <c r="FJ212" i="9"/>
  <c r="FL212" i="9"/>
  <c r="FI212" i="9"/>
  <c r="FM212" i="9" s="1"/>
  <c r="FK212" i="9"/>
  <c r="J214" i="12" a="1"/>
  <c r="J214" i="12" s="1"/>
  <c r="N214" i="12" a="1"/>
  <c r="N214" i="12" s="1"/>
  <c r="L214" i="12" a="1"/>
  <c r="L214" i="12" s="1"/>
  <c r="K214" i="12" a="1"/>
  <c r="K214" i="12" s="1"/>
  <c r="O214" i="12" a="1"/>
  <c r="O214" i="12" s="1"/>
  <c r="H214" i="12" a="1"/>
  <c r="H214" i="12" s="1"/>
  <c r="G214" i="12" a="1"/>
  <c r="G214" i="12" s="1"/>
  <c r="D215" i="12"/>
  <c r="FJ211" i="12"/>
  <c r="FK211" i="12"/>
  <c r="FL211" i="12"/>
  <c r="DX211" i="12"/>
  <c r="DZ211" i="12"/>
  <c r="DY211" i="12"/>
  <c r="AH212" i="9"/>
  <c r="AI212" i="9"/>
  <c r="AF212" i="9"/>
  <c r="AJ212" i="9" s="1"/>
  <c r="AG212" i="9"/>
  <c r="DH212" i="9" l="1"/>
  <c r="BC212" i="9"/>
  <c r="BC213" i="9" s="1"/>
  <c r="EA212" i="9"/>
  <c r="BV212" i="9"/>
  <c r="EA211" i="12"/>
  <c r="AJ211" i="12"/>
  <c r="BV211" i="12"/>
  <c r="BC211" i="12"/>
  <c r="CO211" i="12"/>
  <c r="FM211" i="12"/>
  <c r="M214" i="12"/>
  <c r="P214" i="12" s="1"/>
  <c r="Q214" i="12" s="1"/>
  <c r="FE213" i="12"/>
  <c r="FG213" i="12" s="1"/>
  <c r="EP213" i="12"/>
  <c r="FF213" i="12"/>
  <c r="CK213" i="12"/>
  <c r="DD213" i="12"/>
  <c r="AC213" i="12"/>
  <c r="AB213" i="12"/>
  <c r="AD213" i="12" s="1"/>
  <c r="BO213" i="12"/>
  <c r="BN213" i="12"/>
  <c r="BP213" i="12" s="1"/>
  <c r="BR213" i="12"/>
  <c r="FI213" i="12"/>
  <c r="AF213" i="12"/>
  <c r="AY213" i="12"/>
  <c r="DS213" i="12"/>
  <c r="DU213" i="12" s="1"/>
  <c r="CH213" i="12"/>
  <c r="DW213" i="12"/>
  <c r="CG213" i="12"/>
  <c r="CI213" i="12" s="1"/>
  <c r="EL213" i="12"/>
  <c r="EN213" i="12" s="1"/>
  <c r="DT213" i="12"/>
  <c r="DA213" i="12"/>
  <c r="EM213" i="12"/>
  <c r="CZ213" i="12"/>
  <c r="DB213" i="12" s="1"/>
  <c r="AU213" i="12"/>
  <c r="AW213" i="12" s="1"/>
  <c r="AV213" i="12"/>
  <c r="DX212" i="12"/>
  <c r="DZ212" i="12"/>
  <c r="DY212" i="12"/>
  <c r="AG212" i="12"/>
  <c r="AH212" i="12"/>
  <c r="AI212" i="12"/>
  <c r="CM213" i="9"/>
  <c r="CN213" i="9"/>
  <c r="CK213" i="9"/>
  <c r="CO213" i="9" s="1"/>
  <c r="CL213" i="9"/>
  <c r="FE214" i="9"/>
  <c r="FG214" i="9" s="1"/>
  <c r="AV214" i="9"/>
  <c r="BO214" i="9"/>
  <c r="CH214" i="9"/>
  <c r="BN214" i="9"/>
  <c r="BP214" i="9" s="1"/>
  <c r="CG214" i="9"/>
  <c r="CI214" i="9" s="1"/>
  <c r="AU214" i="9"/>
  <c r="AW214" i="9" s="1"/>
  <c r="FF214" i="9"/>
  <c r="AB214" i="9"/>
  <c r="AD214" i="9" s="1"/>
  <c r="AC214" i="9"/>
  <c r="DA214" i="9"/>
  <c r="EM214" i="9"/>
  <c r="CZ214" i="9"/>
  <c r="DB214" i="9" s="1"/>
  <c r="EL214" i="9"/>
  <c r="EN214" i="9" s="1"/>
  <c r="DT214" i="9"/>
  <c r="DS214" i="9"/>
  <c r="DU214" i="9" s="1"/>
  <c r="L215" i="12" a="1"/>
  <c r="L215" i="12" s="1"/>
  <c r="J215" i="12" a="1"/>
  <c r="J215" i="12" s="1"/>
  <c r="O215" i="12" a="1"/>
  <c r="O215" i="12" s="1"/>
  <c r="H215" i="12" a="1"/>
  <c r="H215" i="12" s="1"/>
  <c r="G215" i="12" a="1"/>
  <c r="G215" i="12" s="1"/>
  <c r="K215" i="12" a="1"/>
  <c r="K215" i="12" s="1"/>
  <c r="N215" i="12" a="1"/>
  <c r="N215" i="12" s="1"/>
  <c r="D216" i="12"/>
  <c r="M215" i="9"/>
  <c r="P215" i="9" s="1"/>
  <c r="Q215" i="9" s="1"/>
  <c r="I216" i="9"/>
  <c r="FC215" i="9"/>
  <c r="FD215" i="9" s="1"/>
  <c r="FH215" i="9" s="1"/>
  <c r="CE215" i="9"/>
  <c r="CF215" i="9" s="1"/>
  <c r="CJ215" i="9" s="1"/>
  <c r="CX215" i="9"/>
  <c r="CY215" i="9" s="1"/>
  <c r="DC215" i="9" s="1"/>
  <c r="Z215" i="9"/>
  <c r="AA215" i="9" s="1"/>
  <c r="AE215" i="9" s="1"/>
  <c r="AS215" i="9"/>
  <c r="AT215" i="9" s="1"/>
  <c r="AX215" i="9" s="1"/>
  <c r="EJ215" i="9"/>
  <c r="EK215" i="9" s="1"/>
  <c r="EO215" i="9" s="1"/>
  <c r="BL215" i="9"/>
  <c r="BM215" i="9" s="1"/>
  <c r="BQ215" i="9" s="1"/>
  <c r="DQ215" i="9"/>
  <c r="DR215" i="9" s="1"/>
  <c r="DV215" i="9" s="1"/>
  <c r="AF213" i="9"/>
  <c r="AJ213" i="9" s="1"/>
  <c r="AH213" i="9"/>
  <c r="AG213" i="9"/>
  <c r="AI213" i="9"/>
  <c r="DE212" i="12"/>
  <c r="DF212" i="12"/>
  <c r="DG212" i="12"/>
  <c r="FJ212" i="12"/>
  <c r="FL212" i="12"/>
  <c r="FK212" i="12"/>
  <c r="DH211" i="12"/>
  <c r="EP213" i="9"/>
  <c r="EQ213" i="9"/>
  <c r="ES213" i="9"/>
  <c r="ER213" i="9"/>
  <c r="BA212" i="12"/>
  <c r="AZ212" i="12"/>
  <c r="BB212" i="12"/>
  <c r="CN212" i="12"/>
  <c r="CL212" i="12"/>
  <c r="CM212" i="12"/>
  <c r="DD213" i="9"/>
  <c r="DG213" i="9"/>
  <c r="DE213" i="9"/>
  <c r="DF213" i="9"/>
  <c r="FJ213" i="9"/>
  <c r="FK213" i="9"/>
  <c r="FI213" i="9"/>
  <c r="FL213" i="9"/>
  <c r="AY213" i="9"/>
  <c r="BB213" i="9"/>
  <c r="AZ213" i="9"/>
  <c r="BA213" i="9"/>
  <c r="L216" i="9" a="1"/>
  <c r="L216" i="9" s="1"/>
  <c r="K216" i="9" a="1"/>
  <c r="K216" i="9" s="1"/>
  <c r="G216" i="9" a="1"/>
  <c r="G216" i="9" s="1"/>
  <c r="O216" i="9" a="1"/>
  <c r="O216" i="9" s="1"/>
  <c r="H216" i="9" a="1"/>
  <c r="H216" i="9" s="1"/>
  <c r="N216" i="9" a="1"/>
  <c r="N216" i="9" s="1"/>
  <c r="J216" i="9" a="1"/>
  <c r="J216" i="9" s="1"/>
  <c r="D217" i="9"/>
  <c r="EQ212" i="12"/>
  <c r="ES212" i="12"/>
  <c r="ER212" i="12"/>
  <c r="DY213" i="9"/>
  <c r="DX213" i="9"/>
  <c r="DZ213" i="9"/>
  <c r="DW213" i="9"/>
  <c r="EA213" i="9" s="1"/>
  <c r="BS212" i="12"/>
  <c r="BU212" i="12"/>
  <c r="BT212" i="12"/>
  <c r="BR213" i="9"/>
  <c r="BU213" i="9"/>
  <c r="BT213" i="9"/>
  <c r="BS213" i="9"/>
  <c r="ET211" i="12"/>
  <c r="DH213" i="9" l="1"/>
  <c r="FM213" i="9"/>
  <c r="ET213" i="9"/>
  <c r="BV213" i="9"/>
  <c r="ET212" i="12"/>
  <c r="M216" i="9"/>
  <c r="P216" i="9" s="1"/>
  <c r="EA212" i="12"/>
  <c r="CO212" i="12"/>
  <c r="BV212" i="12"/>
  <c r="BC212" i="12"/>
  <c r="AC214" i="12"/>
  <c r="EL214" i="12"/>
  <c r="EN214" i="12" s="1"/>
  <c r="EQ214" i="12" s="1"/>
  <c r="AV214" i="12"/>
  <c r="BO214" i="12"/>
  <c r="CZ214" i="12"/>
  <c r="DB214" i="12" s="1"/>
  <c r="DE214" i="12" s="1"/>
  <c r="EP214" i="12"/>
  <c r="BN214" i="12"/>
  <c r="BP214" i="12" s="1"/>
  <c r="CH214" i="12"/>
  <c r="FF214" i="12"/>
  <c r="FI214" i="12"/>
  <c r="DT214" i="12"/>
  <c r="DD214" i="12"/>
  <c r="CG214" i="12"/>
  <c r="CI214" i="12" s="1"/>
  <c r="CN214" i="12" s="1"/>
  <c r="CK214" i="12"/>
  <c r="FE214" i="12"/>
  <c r="FG214" i="12" s="1"/>
  <c r="AF214" i="12"/>
  <c r="BR214" i="12"/>
  <c r="DS214" i="12"/>
  <c r="DU214" i="12" s="1"/>
  <c r="DY214" i="12" s="1"/>
  <c r="AY214" i="12"/>
  <c r="EM214" i="12"/>
  <c r="AB214" i="12"/>
  <c r="AD214" i="12" s="1"/>
  <c r="AG214" i="12" s="1"/>
  <c r="DA214" i="12"/>
  <c r="AU214" i="12"/>
  <c r="AW214" i="12" s="1"/>
  <c r="BB214" i="12" s="1"/>
  <c r="DH212" i="12"/>
  <c r="DW214" i="12"/>
  <c r="Q216" i="9"/>
  <c r="FM212" i="12"/>
  <c r="AJ212" i="12"/>
  <c r="BS214" i="9"/>
  <c r="BT214" i="9"/>
  <c r="BR214" i="9"/>
  <c r="BV214" i="9" s="1"/>
  <c r="BU214" i="9"/>
  <c r="AZ213" i="12"/>
  <c r="BA213" i="12"/>
  <c r="BB213" i="12"/>
  <c r="AH213" i="12"/>
  <c r="AG213" i="12"/>
  <c r="AI213" i="12"/>
  <c r="AS216" i="9"/>
  <c r="AT216" i="9" s="1"/>
  <c r="AX216" i="9" s="1"/>
  <c r="EJ216" i="9"/>
  <c r="EK216" i="9" s="1"/>
  <c r="EO216" i="9" s="1"/>
  <c r="CE216" i="9"/>
  <c r="CF216" i="9" s="1"/>
  <c r="CJ216" i="9" s="1"/>
  <c r="CX216" i="9"/>
  <c r="CY216" i="9" s="1"/>
  <c r="DC216" i="9" s="1"/>
  <c r="Z216" i="9"/>
  <c r="AA216" i="9" s="1"/>
  <c r="AE216" i="9" s="1"/>
  <c r="DQ216" i="9"/>
  <c r="DR216" i="9" s="1"/>
  <c r="DV216" i="9" s="1"/>
  <c r="BL216" i="9"/>
  <c r="BM216" i="9" s="1"/>
  <c r="BQ216" i="9" s="1"/>
  <c r="FC216" i="9"/>
  <c r="FD216" i="9" s="1"/>
  <c r="FH216" i="9" s="1"/>
  <c r="I217" i="9"/>
  <c r="DE213" i="12"/>
  <c r="DF213" i="12"/>
  <c r="DG213" i="12"/>
  <c r="DX213" i="12"/>
  <c r="DY213" i="12"/>
  <c r="DZ213" i="12"/>
  <c r="CL214" i="12"/>
  <c r="M215" i="12"/>
  <c r="P215" i="12" s="1"/>
  <c r="Q215" i="12" s="1"/>
  <c r="DE214" i="9"/>
  <c r="DG214" i="9"/>
  <c r="DD214" i="9"/>
  <c r="DF214" i="9"/>
  <c r="FF215" i="9"/>
  <c r="BO215" i="9"/>
  <c r="FE215" i="9"/>
  <c r="FG215" i="9" s="1"/>
  <c r="BN215" i="9"/>
  <c r="BP215" i="9" s="1"/>
  <c r="AV215" i="9"/>
  <c r="CH215" i="9"/>
  <c r="AU215" i="9"/>
  <c r="AW215" i="9" s="1"/>
  <c r="CG215" i="9"/>
  <c r="CI215" i="9" s="1"/>
  <c r="AC215" i="9"/>
  <c r="AB215" i="9"/>
  <c r="AD215" i="9" s="1"/>
  <c r="EM215" i="9"/>
  <c r="DA215" i="9"/>
  <c r="EL215" i="9"/>
  <c r="EN215" i="9" s="1"/>
  <c r="CZ215" i="9"/>
  <c r="DB215" i="9" s="1"/>
  <c r="DT215" i="9"/>
  <c r="DS215" i="9"/>
  <c r="DU215" i="9" s="1"/>
  <c r="AH214" i="9"/>
  <c r="AG214" i="9"/>
  <c r="AF214" i="9"/>
  <c r="AI214" i="9"/>
  <c r="FK214" i="9"/>
  <c r="FL214" i="9"/>
  <c r="FJ214" i="9"/>
  <c r="FI214" i="9"/>
  <c r="FJ214" i="12"/>
  <c r="FL214" i="12"/>
  <c r="FK214" i="12"/>
  <c r="K216" i="12" a="1"/>
  <c r="K216" i="12" s="1"/>
  <c r="L216" i="12" a="1"/>
  <c r="L216" i="12" s="1"/>
  <c r="G216" i="12" a="1"/>
  <c r="G216" i="12" s="1"/>
  <c r="J216" i="12" a="1"/>
  <c r="J216" i="12" s="1"/>
  <c r="O216" i="12" a="1"/>
  <c r="O216" i="12" s="1"/>
  <c r="N216" i="12" a="1"/>
  <c r="N216" i="12" s="1"/>
  <c r="H216" i="12" a="1"/>
  <c r="H216" i="12" s="1"/>
  <c r="D217" i="12"/>
  <c r="DW214" i="9"/>
  <c r="DX214" i="9"/>
  <c r="DZ214" i="9"/>
  <c r="DY214" i="9"/>
  <c r="AZ214" i="9"/>
  <c r="BB214" i="9"/>
  <c r="AY214" i="9"/>
  <c r="BC214" i="9" s="1"/>
  <c r="BA214" i="9"/>
  <c r="EQ213" i="12"/>
  <c r="ER213" i="12"/>
  <c r="ES213" i="12"/>
  <c r="DG214" i="12"/>
  <c r="DF214" i="12"/>
  <c r="BS214" i="12"/>
  <c r="BT214" i="12"/>
  <c r="BU214" i="12"/>
  <c r="L217" i="9" a="1"/>
  <c r="L217" i="9" s="1"/>
  <c r="O217" i="9" a="1"/>
  <c r="O217" i="9" s="1"/>
  <c r="H217" i="9" a="1"/>
  <c r="H217" i="9" s="1"/>
  <c r="N217" i="9" a="1"/>
  <c r="N217" i="9" s="1"/>
  <c r="J217" i="9" a="1"/>
  <c r="J217" i="9" s="1"/>
  <c r="K217" i="9" a="1"/>
  <c r="K217" i="9" s="1"/>
  <c r="G217" i="9" a="1"/>
  <c r="G217" i="9" s="1"/>
  <c r="D218" i="9"/>
  <c r="EP214" i="9"/>
  <c r="EQ214" i="9"/>
  <c r="ER214" i="9"/>
  <c r="ES214" i="9"/>
  <c r="CK214" i="9"/>
  <c r="CL214" i="9"/>
  <c r="CN214" i="9"/>
  <c r="CM214" i="9"/>
  <c r="CN213" i="12"/>
  <c r="CL213" i="12"/>
  <c r="CM213" i="12"/>
  <c r="BS213" i="12"/>
  <c r="BU213" i="12"/>
  <c r="BT213" i="12"/>
  <c r="FJ213" i="12"/>
  <c r="FL213" i="12"/>
  <c r="FK213" i="12"/>
  <c r="CM214" i="12" l="1"/>
  <c r="FM214" i="9"/>
  <c r="DH214" i="9"/>
  <c r="ET214" i="9"/>
  <c r="EA214" i="9"/>
  <c r="AJ214" i="9"/>
  <c r="CO214" i="9"/>
  <c r="ES214" i="12"/>
  <c r="ET214" i="12" s="1"/>
  <c r="ER214" i="12"/>
  <c r="DX214" i="12"/>
  <c r="AC216" i="9"/>
  <c r="CG216" i="9"/>
  <c r="CI216" i="9" s="1"/>
  <c r="CK216" i="9" s="1"/>
  <c r="AU216" i="9"/>
  <c r="AW216" i="9" s="1"/>
  <c r="AY216" i="9" s="1"/>
  <c r="CZ216" i="9"/>
  <c r="DB216" i="9" s="1"/>
  <c r="DE216" i="9" s="1"/>
  <c r="EL216" i="9"/>
  <c r="EN216" i="9" s="1"/>
  <c r="EP216" i="9" s="1"/>
  <c r="DZ214" i="12"/>
  <c r="AJ213" i="12"/>
  <c r="AI214" i="12"/>
  <c r="AH214" i="12"/>
  <c r="FM213" i="12"/>
  <c r="BC213" i="12"/>
  <c r="BV214" i="12"/>
  <c r="AZ214" i="12"/>
  <c r="BV213" i="12"/>
  <c r="FM214" i="12"/>
  <c r="BA214" i="12"/>
  <c r="ET213" i="12"/>
  <c r="BR215" i="9"/>
  <c r="BT215" i="9"/>
  <c r="BS215" i="9"/>
  <c r="BU215" i="9"/>
  <c r="FK215" i="9"/>
  <c r="FL215" i="9"/>
  <c r="FJ215" i="9"/>
  <c r="FI215" i="9"/>
  <c r="EP215" i="12"/>
  <c r="FF215" i="12"/>
  <c r="FE215" i="12"/>
  <c r="FG215" i="12" s="1"/>
  <c r="DD215" i="12"/>
  <c r="CK215" i="12"/>
  <c r="AC215" i="12"/>
  <c r="AB215" i="12"/>
  <c r="AD215" i="12" s="1"/>
  <c r="BO215" i="12"/>
  <c r="BN215" i="12"/>
  <c r="BP215" i="12" s="1"/>
  <c r="FI215" i="12"/>
  <c r="DW215" i="12"/>
  <c r="AF215" i="12"/>
  <c r="AY215" i="12"/>
  <c r="DT215" i="12"/>
  <c r="DS215" i="12"/>
  <c r="DU215" i="12" s="1"/>
  <c r="BR215" i="12"/>
  <c r="CG215" i="12"/>
  <c r="CI215" i="12" s="1"/>
  <c r="CZ215" i="12"/>
  <c r="DB215" i="12" s="1"/>
  <c r="EM215" i="12"/>
  <c r="CH215" i="12"/>
  <c r="DA215" i="12"/>
  <c r="EL215" i="12"/>
  <c r="EN215" i="12" s="1"/>
  <c r="AU215" i="12"/>
  <c r="AW215" i="12" s="1"/>
  <c r="AV215" i="12"/>
  <c r="BO216" i="9"/>
  <c r="DH213" i="12"/>
  <c r="J218" i="9" a="1"/>
  <c r="J218" i="9" s="1"/>
  <c r="N218" i="9" a="1"/>
  <c r="N218" i="9" s="1"/>
  <c r="K218" i="9" a="1"/>
  <c r="K218" i="9" s="1"/>
  <c r="H218" i="9" a="1"/>
  <c r="H218" i="9" s="1"/>
  <c r="G218" i="9" a="1"/>
  <c r="G218" i="9" s="1"/>
  <c r="L218" i="9" a="1"/>
  <c r="L218" i="9" s="1"/>
  <c r="O218" i="9" a="1"/>
  <c r="O218" i="9" s="1"/>
  <c r="D219" i="9"/>
  <c r="M217" i="9"/>
  <c r="P217" i="9" s="1"/>
  <c r="Q217" i="9" s="1"/>
  <c r="DH214" i="12"/>
  <c r="AH215" i="9"/>
  <c r="AG215" i="9"/>
  <c r="AF215" i="9"/>
  <c r="AI215" i="9"/>
  <c r="DA216" i="9"/>
  <c r="FF216" i="9"/>
  <c r="AZ216" i="9"/>
  <c r="BA216" i="9"/>
  <c r="M216" i="12"/>
  <c r="P216" i="12" s="1"/>
  <c r="Q216" i="12" s="1"/>
  <c r="AB216" i="9"/>
  <c r="AD216" i="9" s="1"/>
  <c r="BN216" i="9"/>
  <c r="BP216" i="9" s="1"/>
  <c r="FC217" i="9"/>
  <c r="FD217" i="9" s="1"/>
  <c r="FH217" i="9" s="1"/>
  <c r="AS217" i="9"/>
  <c r="AT217" i="9" s="1"/>
  <c r="AX217" i="9" s="1"/>
  <c r="CX217" i="9"/>
  <c r="CY217" i="9" s="1"/>
  <c r="DC217" i="9" s="1"/>
  <c r="EJ217" i="9"/>
  <c r="EK217" i="9" s="1"/>
  <c r="EO217" i="9" s="1"/>
  <c r="DQ217" i="9"/>
  <c r="DR217" i="9" s="1"/>
  <c r="DV217" i="9" s="1"/>
  <c r="BL217" i="9"/>
  <c r="BM217" i="9" s="1"/>
  <c r="BQ217" i="9" s="1"/>
  <c r="CE217" i="9"/>
  <c r="CF217" i="9" s="1"/>
  <c r="CJ217" i="9" s="1"/>
  <c r="Z217" i="9"/>
  <c r="AA217" i="9" s="1"/>
  <c r="AE217" i="9" s="1"/>
  <c r="I218" i="9"/>
  <c r="J217" i="12" a="1"/>
  <c r="J217" i="12" s="1"/>
  <c r="K217" i="12" a="1"/>
  <c r="K217" i="12" s="1"/>
  <c r="L217" i="12" a="1"/>
  <c r="L217" i="12" s="1"/>
  <c r="O217" i="12" a="1"/>
  <c r="O217" i="12" s="1"/>
  <c r="N217" i="12" a="1"/>
  <c r="N217" i="12" s="1"/>
  <c r="H217" i="12" a="1"/>
  <c r="H217" i="12" s="1"/>
  <c r="G217" i="12" a="1"/>
  <c r="G217" i="12" s="1"/>
  <c r="D218" i="12"/>
  <c r="DW215" i="9"/>
  <c r="DX215" i="9"/>
  <c r="DZ215" i="9"/>
  <c r="DY215" i="9"/>
  <c r="CL215" i="9"/>
  <c r="CK215" i="9"/>
  <c r="CN215" i="9"/>
  <c r="CM215" i="9"/>
  <c r="CO214" i="12"/>
  <c r="FE216" i="9"/>
  <c r="FG216" i="9" s="1"/>
  <c r="EQ215" i="9"/>
  <c r="ES215" i="9"/>
  <c r="ER215" i="9"/>
  <c r="EP215" i="9"/>
  <c r="EM216" i="9"/>
  <c r="BA215" i="9"/>
  <c r="BB215" i="9"/>
  <c r="AY215" i="9"/>
  <c r="BC215" i="9" s="1"/>
  <c r="AZ215" i="9"/>
  <c r="DS216" i="9"/>
  <c r="DU216" i="9" s="1"/>
  <c r="AV216" i="9"/>
  <c r="EA213" i="12"/>
  <c r="CO213" i="12"/>
  <c r="DF215" i="9"/>
  <c r="DG215" i="9"/>
  <c r="DE215" i="9"/>
  <c r="DD215" i="9"/>
  <c r="DH215" i="9" s="1"/>
  <c r="DT216" i="9"/>
  <c r="CH216" i="9"/>
  <c r="CM216" i="9" l="1"/>
  <c r="CN216" i="9"/>
  <c r="AJ215" i="9"/>
  <c r="ET215" i="9"/>
  <c r="CO215" i="9"/>
  <c r="DD216" i="9"/>
  <c r="DH216" i="9" s="1"/>
  <c r="DF216" i="9"/>
  <c r="EA215" i="9"/>
  <c r="BV215" i="9"/>
  <c r="DG216" i="9"/>
  <c r="FM215" i="9"/>
  <c r="CL216" i="9"/>
  <c r="CO216" i="9" s="1"/>
  <c r="EA214" i="12"/>
  <c r="BB216" i="9"/>
  <c r="BC216" i="9" s="1"/>
  <c r="ER216" i="9"/>
  <c r="EQ216" i="9"/>
  <c r="ET216" i="9" s="1"/>
  <c r="ES216" i="9"/>
  <c r="AJ214" i="12"/>
  <c r="BC214" i="12"/>
  <c r="EP216" i="12"/>
  <c r="FF216" i="12"/>
  <c r="FE216" i="12"/>
  <c r="FG216" i="12" s="1"/>
  <c r="DD216" i="12"/>
  <c r="CK216" i="12"/>
  <c r="BN216" i="12"/>
  <c r="BP216" i="12" s="1"/>
  <c r="BO216" i="12"/>
  <c r="AC216" i="12"/>
  <c r="AB216" i="12"/>
  <c r="AD216" i="12" s="1"/>
  <c r="DW216" i="12"/>
  <c r="FI216" i="12"/>
  <c r="AF216" i="12"/>
  <c r="DA216" i="12"/>
  <c r="CZ216" i="12"/>
  <c r="DB216" i="12" s="1"/>
  <c r="AY216" i="12"/>
  <c r="CG216" i="12"/>
  <c r="CI216" i="12" s="1"/>
  <c r="BR216" i="12"/>
  <c r="EL216" i="12"/>
  <c r="EN216" i="12" s="1"/>
  <c r="DS216" i="12"/>
  <c r="DU216" i="12" s="1"/>
  <c r="CH216" i="12"/>
  <c r="EM216" i="12"/>
  <c r="DT216" i="12"/>
  <c r="AV216" i="12"/>
  <c r="AU216" i="12"/>
  <c r="AW216" i="12" s="1"/>
  <c r="BO217" i="9"/>
  <c r="BN217" i="9"/>
  <c r="BP217" i="9" s="1"/>
  <c r="AV217" i="9"/>
  <c r="CG217" i="9"/>
  <c r="CI217" i="9" s="1"/>
  <c r="FE217" i="9"/>
  <c r="FG217" i="9" s="1"/>
  <c r="AU217" i="9"/>
  <c r="AW217" i="9" s="1"/>
  <c r="CH217" i="9"/>
  <c r="FF217" i="9"/>
  <c r="EL217" i="9"/>
  <c r="EN217" i="9" s="1"/>
  <c r="CZ217" i="9"/>
  <c r="DB217" i="9" s="1"/>
  <c r="AB217" i="9"/>
  <c r="AD217" i="9" s="1"/>
  <c r="AC217" i="9"/>
  <c r="EM217" i="9"/>
  <c r="DA217" i="9"/>
  <c r="DT217" i="9"/>
  <c r="DS217" i="9"/>
  <c r="DU217" i="9" s="1"/>
  <c r="BB215" i="12"/>
  <c r="AZ215" i="12"/>
  <c r="BA215" i="12"/>
  <c r="DX215" i="12"/>
  <c r="DZ215" i="12"/>
  <c r="DY215" i="12"/>
  <c r="AG215" i="12"/>
  <c r="AI215" i="12"/>
  <c r="AH215" i="12"/>
  <c r="EQ215" i="12"/>
  <c r="ES215" i="12"/>
  <c r="ER215" i="12"/>
  <c r="BS215" i="12"/>
  <c r="BT215" i="12"/>
  <c r="BU215" i="12"/>
  <c r="FJ216" i="9"/>
  <c r="FI216" i="9"/>
  <c r="FL216" i="9"/>
  <c r="FK216" i="9"/>
  <c r="AI216" i="9"/>
  <c r="AH216" i="9"/>
  <c r="AF216" i="9"/>
  <c r="AG216" i="9"/>
  <c r="M217" i="12"/>
  <c r="P217" i="12" s="1"/>
  <c r="Q217" i="12" s="1"/>
  <c r="DX216" i="9"/>
  <c r="DW216" i="9"/>
  <c r="DZ216" i="9"/>
  <c r="DY216" i="9"/>
  <c r="J218" i="12" a="1"/>
  <c r="J218" i="12" s="1"/>
  <c r="G218" i="12" a="1"/>
  <c r="G218" i="12" s="1"/>
  <c r="O218" i="12" a="1"/>
  <c r="O218" i="12" s="1"/>
  <c r="H218" i="12" a="1"/>
  <c r="H218" i="12" s="1"/>
  <c r="K218" i="12" a="1"/>
  <c r="K218" i="12" s="1"/>
  <c r="L218" i="12" a="1"/>
  <c r="L218" i="12" s="1"/>
  <c r="N218" i="12" a="1"/>
  <c r="N218" i="12" s="1"/>
  <c r="D219" i="12"/>
  <c r="Z218" i="9"/>
  <c r="AA218" i="9" s="1"/>
  <c r="AE218" i="9" s="1"/>
  <c r="DQ218" i="9"/>
  <c r="DR218" i="9" s="1"/>
  <c r="DV218" i="9" s="1"/>
  <c r="BL218" i="9"/>
  <c r="BM218" i="9" s="1"/>
  <c r="BQ218" i="9" s="1"/>
  <c r="FC218" i="9"/>
  <c r="FD218" i="9" s="1"/>
  <c r="FH218" i="9" s="1"/>
  <c r="EJ218" i="9"/>
  <c r="EK218" i="9" s="1"/>
  <c r="EO218" i="9" s="1"/>
  <c r="CX218" i="9"/>
  <c r="CY218" i="9" s="1"/>
  <c r="DC218" i="9" s="1"/>
  <c r="CE218" i="9"/>
  <c r="CF218" i="9" s="1"/>
  <c r="CJ218" i="9" s="1"/>
  <c r="AS218" i="9"/>
  <c r="AT218" i="9" s="1"/>
  <c r="AX218" i="9" s="1"/>
  <c r="I219" i="9"/>
  <c r="M218" i="9"/>
  <c r="P218" i="9" s="1"/>
  <c r="Q218" i="9" s="1"/>
  <c r="FJ215" i="12"/>
  <c r="FK215" i="12"/>
  <c r="FL215" i="12"/>
  <c r="CL215" i="12"/>
  <c r="CM215" i="12"/>
  <c r="CN215" i="12"/>
  <c r="BS216" i="9"/>
  <c r="BT216" i="9"/>
  <c r="BR216" i="9"/>
  <c r="BU216" i="9"/>
  <c r="K219" i="9" a="1"/>
  <c r="K219" i="9" s="1"/>
  <c r="H219" i="9" a="1"/>
  <c r="H219" i="9" s="1"/>
  <c r="N219" i="9" a="1"/>
  <c r="N219" i="9" s="1"/>
  <c r="O219" i="9" a="1"/>
  <c r="O219" i="9" s="1"/>
  <c r="J219" i="9" a="1"/>
  <c r="J219" i="9" s="1"/>
  <c r="L219" i="9" a="1"/>
  <c r="L219" i="9" s="1"/>
  <c r="G219" i="9" a="1"/>
  <c r="G219" i="9" s="1"/>
  <c r="D220" i="9"/>
  <c r="DE215" i="12"/>
  <c r="DF215" i="12"/>
  <c r="DG215" i="12"/>
  <c r="EA216" i="9" l="1"/>
  <c r="FM216" i="9"/>
  <c r="CO215" i="12"/>
  <c r="BV216" i="9"/>
  <c r="AJ216" i="9"/>
  <c r="FM215" i="12"/>
  <c r="AJ215" i="12"/>
  <c r="BC215" i="12"/>
  <c r="EA215" i="12"/>
  <c r="DH215" i="12"/>
  <c r="BV215" i="12"/>
  <c r="FE218" i="9"/>
  <c r="FG218" i="9" s="1"/>
  <c r="AV218" i="9"/>
  <c r="CG218" i="9"/>
  <c r="CI218" i="9" s="1"/>
  <c r="AU218" i="9"/>
  <c r="AW218" i="9" s="1"/>
  <c r="CH218" i="9"/>
  <c r="BN218" i="9"/>
  <c r="BP218" i="9" s="1"/>
  <c r="FF218" i="9"/>
  <c r="BO218" i="9"/>
  <c r="EL218" i="9"/>
  <c r="EN218" i="9" s="1"/>
  <c r="CZ218" i="9"/>
  <c r="DB218" i="9" s="1"/>
  <c r="AC218" i="9"/>
  <c r="DA218" i="9"/>
  <c r="AB218" i="9"/>
  <c r="AD218" i="9" s="1"/>
  <c r="EM218" i="9"/>
  <c r="DS218" i="9"/>
  <c r="DU218" i="9" s="1"/>
  <c r="DT218" i="9"/>
  <c r="EP217" i="12"/>
  <c r="FF217" i="12"/>
  <c r="FE217" i="12"/>
  <c r="FG217" i="12" s="1"/>
  <c r="DD217" i="12"/>
  <c r="CK217" i="12"/>
  <c r="AB217" i="12"/>
  <c r="AD217" i="12" s="1"/>
  <c r="BO217" i="12"/>
  <c r="BN217" i="12"/>
  <c r="BP217" i="12" s="1"/>
  <c r="AC217" i="12"/>
  <c r="CG217" i="12"/>
  <c r="CI217" i="12" s="1"/>
  <c r="FI217" i="12"/>
  <c r="DA217" i="12"/>
  <c r="CH217" i="12"/>
  <c r="DT217" i="12"/>
  <c r="DW217" i="12"/>
  <c r="DS217" i="12"/>
  <c r="DU217" i="12" s="1"/>
  <c r="BR217" i="12"/>
  <c r="EM217" i="12"/>
  <c r="AF217" i="12"/>
  <c r="AY217" i="12"/>
  <c r="EL217" i="12"/>
  <c r="EN217" i="12" s="1"/>
  <c r="CZ217" i="12"/>
  <c r="DB217" i="12" s="1"/>
  <c r="AV217" i="12"/>
  <c r="AU217" i="12"/>
  <c r="AW217" i="12" s="1"/>
  <c r="FJ217" i="9"/>
  <c r="FI217" i="9"/>
  <c r="FM217" i="9" s="1"/>
  <c r="FK217" i="9"/>
  <c r="FL217" i="9"/>
  <c r="DE216" i="12"/>
  <c r="DF216" i="12"/>
  <c r="DG216" i="12"/>
  <c r="BS216" i="12"/>
  <c r="BT216" i="12"/>
  <c r="BU216" i="12"/>
  <c r="L220" i="9" a="1"/>
  <c r="L220" i="9" s="1"/>
  <c r="K220" i="9" a="1"/>
  <c r="K220" i="9" s="1"/>
  <c r="H220" i="9" a="1"/>
  <c r="H220" i="9" s="1"/>
  <c r="G220" i="9" a="1"/>
  <c r="G220" i="9" s="1"/>
  <c r="J220" i="9" a="1"/>
  <c r="J220" i="9" s="1"/>
  <c r="O220" i="9" a="1"/>
  <c r="O220" i="9" s="1"/>
  <c r="N220" i="9" a="1"/>
  <c r="N220" i="9" s="1"/>
  <c r="D221" i="9"/>
  <c r="ET215" i="12"/>
  <c r="CK217" i="9"/>
  <c r="CN217" i="9"/>
  <c r="CL217" i="9"/>
  <c r="CM217" i="9"/>
  <c r="AF217" i="9"/>
  <c r="AG217" i="9"/>
  <c r="AI217" i="9"/>
  <c r="AH217" i="9"/>
  <c r="DE217" i="9"/>
  <c r="DD217" i="9"/>
  <c r="DH217" i="9" s="1"/>
  <c r="DG217" i="9"/>
  <c r="DF217" i="9"/>
  <c r="BS217" i="9"/>
  <c r="BU217" i="9"/>
  <c r="BT217" i="9"/>
  <c r="BR217" i="9"/>
  <c r="DX216" i="12"/>
  <c r="DZ216" i="12"/>
  <c r="DY216" i="12"/>
  <c r="FJ216" i="12"/>
  <c r="FL216" i="12"/>
  <c r="FK216" i="12"/>
  <c r="M219" i="9"/>
  <c r="P219" i="9" s="1"/>
  <c r="Q219" i="9" s="1"/>
  <c r="BL219" i="9"/>
  <c r="BM219" i="9" s="1"/>
  <c r="BQ219" i="9" s="1"/>
  <c r="FC219" i="9"/>
  <c r="FD219" i="9" s="1"/>
  <c r="FH219" i="9" s="1"/>
  <c r="CX219" i="9"/>
  <c r="CY219" i="9" s="1"/>
  <c r="DC219" i="9" s="1"/>
  <c r="EJ219" i="9"/>
  <c r="EK219" i="9" s="1"/>
  <c r="EO219" i="9" s="1"/>
  <c r="CE219" i="9"/>
  <c r="CF219" i="9" s="1"/>
  <c r="CJ219" i="9" s="1"/>
  <c r="DQ219" i="9"/>
  <c r="DR219" i="9" s="1"/>
  <c r="DV219" i="9" s="1"/>
  <c r="AS219" i="9"/>
  <c r="AT219" i="9" s="1"/>
  <c r="AX219" i="9" s="1"/>
  <c r="Z219" i="9"/>
  <c r="AA219" i="9" s="1"/>
  <c r="AE219" i="9" s="1"/>
  <c r="I220" i="9"/>
  <c r="M218" i="12"/>
  <c r="P218" i="12" s="1"/>
  <c r="Q218" i="12" s="1"/>
  <c r="EP217" i="9"/>
  <c r="ET217" i="9" s="1"/>
  <c r="EQ217" i="9"/>
  <c r="ES217" i="9"/>
  <c r="ER217" i="9"/>
  <c r="EQ216" i="12"/>
  <c r="ES216" i="12"/>
  <c r="ER216" i="12"/>
  <c r="AY217" i="9"/>
  <c r="BB217" i="9"/>
  <c r="AZ217" i="9"/>
  <c r="BA217" i="9"/>
  <c r="L219" i="12" a="1"/>
  <c r="L219" i="12" s="1"/>
  <c r="J219" i="12" a="1"/>
  <c r="J219" i="12" s="1"/>
  <c r="G219" i="12" a="1"/>
  <c r="G219" i="12" s="1"/>
  <c r="O219" i="12" a="1"/>
  <c r="O219" i="12" s="1"/>
  <c r="H219" i="12" a="1"/>
  <c r="H219" i="12" s="1"/>
  <c r="N219" i="12" a="1"/>
  <c r="N219" i="12" s="1"/>
  <c r="D220" i="12"/>
  <c r="K219" i="12" a="1"/>
  <c r="K219" i="12" s="1"/>
  <c r="DW217" i="9"/>
  <c r="DX217" i="9"/>
  <c r="DZ217" i="9"/>
  <c r="DY217" i="9"/>
  <c r="AI216" i="12"/>
  <c r="AH216" i="12"/>
  <c r="AG216" i="12"/>
  <c r="AZ216" i="12"/>
  <c r="BB216" i="12"/>
  <c r="BA216" i="12"/>
  <c r="CL216" i="12"/>
  <c r="CM216" i="12"/>
  <c r="CN216" i="12"/>
  <c r="BC217" i="9" l="1"/>
  <c r="CO217" i="9"/>
  <c r="BV217" i="9"/>
  <c r="EA217" i="9"/>
  <c r="AJ217" i="9"/>
  <c r="AB218" i="12"/>
  <c r="AD218" i="12" s="1"/>
  <c r="AG218" i="12" s="1"/>
  <c r="AC218" i="12"/>
  <c r="DW218" i="12"/>
  <c r="BR218" i="12"/>
  <c r="DA218" i="12"/>
  <c r="EP218" i="12"/>
  <c r="CH218" i="12"/>
  <c r="FF218" i="12"/>
  <c r="FI218" i="12"/>
  <c r="CZ218" i="12"/>
  <c r="DB218" i="12" s="1"/>
  <c r="DE218" i="12" s="1"/>
  <c r="FE218" i="12"/>
  <c r="FG218" i="12" s="1"/>
  <c r="FK218" i="12" s="1"/>
  <c r="CG218" i="12"/>
  <c r="CI218" i="12" s="1"/>
  <c r="AV218" i="12"/>
  <c r="DT218" i="12"/>
  <c r="AF218" i="12"/>
  <c r="EL218" i="12"/>
  <c r="EN218" i="12" s="1"/>
  <c r="ES218" i="12" s="1"/>
  <c r="CK218" i="12"/>
  <c r="AY218" i="12"/>
  <c r="DD218" i="12"/>
  <c r="M220" i="9"/>
  <c r="P220" i="9" s="1"/>
  <c r="Q220" i="9" s="1"/>
  <c r="CO216" i="12"/>
  <c r="FM216" i="12"/>
  <c r="BC216" i="12"/>
  <c r="EM218" i="12"/>
  <c r="AJ216" i="12"/>
  <c r="EA216" i="12"/>
  <c r="BV216" i="12"/>
  <c r="AZ217" i="12"/>
  <c r="BB217" i="12"/>
  <c r="BA217" i="12"/>
  <c r="AU218" i="12"/>
  <c r="AW218" i="12" s="1"/>
  <c r="DW218" i="9"/>
  <c r="DZ218" i="9"/>
  <c r="DY218" i="9"/>
  <c r="DX218" i="9"/>
  <c r="BS217" i="12"/>
  <c r="BU217" i="12"/>
  <c r="BT217" i="12"/>
  <c r="ET216" i="12"/>
  <c r="EJ220" i="9"/>
  <c r="EK220" i="9" s="1"/>
  <c r="EO220" i="9" s="1"/>
  <c r="CE220" i="9"/>
  <c r="CF220" i="9" s="1"/>
  <c r="CJ220" i="9" s="1"/>
  <c r="Z220" i="9"/>
  <c r="AA220" i="9" s="1"/>
  <c r="AE220" i="9" s="1"/>
  <c r="DQ220" i="9"/>
  <c r="DR220" i="9" s="1"/>
  <c r="DV220" i="9" s="1"/>
  <c r="BL220" i="9"/>
  <c r="BM220" i="9" s="1"/>
  <c r="BQ220" i="9" s="1"/>
  <c r="AS220" i="9"/>
  <c r="AT220" i="9" s="1"/>
  <c r="AX220" i="9" s="1"/>
  <c r="FC220" i="9"/>
  <c r="FD220" i="9" s="1"/>
  <c r="FH220" i="9" s="1"/>
  <c r="CX220" i="9"/>
  <c r="CY220" i="9" s="1"/>
  <c r="DC220" i="9" s="1"/>
  <c r="I221" i="9"/>
  <c r="DH216" i="12"/>
  <c r="DE217" i="12"/>
  <c r="DG217" i="12"/>
  <c r="DF217" i="12"/>
  <c r="AH217" i="12"/>
  <c r="AI217" i="12"/>
  <c r="AG217" i="12"/>
  <c r="BR218" i="9"/>
  <c r="BV218" i="9" s="1"/>
  <c r="BT218" i="9"/>
  <c r="BU218" i="9"/>
  <c r="BS218" i="9"/>
  <c r="DX217" i="12"/>
  <c r="DY217" i="12"/>
  <c r="DZ217" i="12"/>
  <c r="AV219" i="9"/>
  <c r="FE219" i="9"/>
  <c r="FG219" i="9" s="1"/>
  <c r="CG219" i="9"/>
  <c r="CI219" i="9" s="1"/>
  <c r="BN219" i="9"/>
  <c r="BP219" i="9" s="1"/>
  <c r="AU219" i="9"/>
  <c r="AW219" i="9" s="1"/>
  <c r="FF219" i="9"/>
  <c r="CH219" i="9"/>
  <c r="BO219" i="9"/>
  <c r="AB219" i="9"/>
  <c r="AD219" i="9" s="1"/>
  <c r="CZ219" i="9"/>
  <c r="DB219" i="9" s="1"/>
  <c r="EM219" i="9"/>
  <c r="EL219" i="9"/>
  <c r="EN219" i="9" s="1"/>
  <c r="AC219" i="9"/>
  <c r="DA219" i="9"/>
  <c r="DS219" i="9"/>
  <c r="DU219" i="9" s="1"/>
  <c r="DT219" i="9"/>
  <c r="EQ217" i="12"/>
  <c r="ES217" i="12"/>
  <c r="ER217" i="12"/>
  <c r="AG218" i="9"/>
  <c r="AI218" i="9"/>
  <c r="AF218" i="9"/>
  <c r="AJ218" i="9" s="1"/>
  <c r="AH218" i="9"/>
  <c r="BN218" i="12"/>
  <c r="BP218" i="12" s="1"/>
  <c r="M219" i="12"/>
  <c r="P219" i="12" s="1"/>
  <c r="Q219" i="12" s="1"/>
  <c r="AZ218" i="9"/>
  <c r="BB218" i="9"/>
  <c r="AY218" i="9"/>
  <c r="BA218" i="9"/>
  <c r="CL218" i="12"/>
  <c r="CN218" i="12"/>
  <c r="CM218" i="12"/>
  <c r="FJ217" i="12"/>
  <c r="FL217" i="12"/>
  <c r="FK217" i="12"/>
  <c r="CN218" i="9"/>
  <c r="CK218" i="9"/>
  <c r="CM218" i="9"/>
  <c r="CL218" i="9"/>
  <c r="DS218" i="12"/>
  <c r="DU218" i="12" s="1"/>
  <c r="K221" i="9" a="1"/>
  <c r="K221" i="9" s="1"/>
  <c r="O221" i="9" a="1"/>
  <c r="O221" i="9" s="1"/>
  <c r="N221" i="9" a="1"/>
  <c r="N221" i="9" s="1"/>
  <c r="H221" i="9" a="1"/>
  <c r="H221" i="9" s="1"/>
  <c r="G221" i="9" a="1"/>
  <c r="G221" i="9" s="1"/>
  <c r="L221" i="9" a="1"/>
  <c r="L221" i="9" s="1"/>
  <c r="J221" i="9" a="1"/>
  <c r="J221" i="9" s="1"/>
  <c r="D222" i="9"/>
  <c r="CL217" i="12"/>
  <c r="CN217" i="12"/>
  <c r="CM217" i="12"/>
  <c r="DD218" i="9"/>
  <c r="DH218" i="9" s="1"/>
  <c r="DE218" i="9"/>
  <c r="DG218" i="9"/>
  <c r="DF218" i="9"/>
  <c r="L220" i="12" a="1"/>
  <c r="L220" i="12" s="1"/>
  <c r="K220" i="12" a="1"/>
  <c r="K220" i="12" s="1"/>
  <c r="O220" i="12" a="1"/>
  <c r="O220" i="12" s="1"/>
  <c r="N220" i="12" a="1"/>
  <c r="N220" i="12" s="1"/>
  <c r="H220" i="12" a="1"/>
  <c r="H220" i="12" s="1"/>
  <c r="J220" i="12" a="1"/>
  <c r="J220" i="12" s="1"/>
  <c r="G220" i="12" a="1"/>
  <c r="G220" i="12" s="1"/>
  <c r="D221" i="12"/>
  <c r="BO218" i="12"/>
  <c r="ES218" i="9"/>
  <c r="ER218" i="9"/>
  <c r="EQ218" i="9"/>
  <c r="EP218" i="9"/>
  <c r="FL218" i="9"/>
  <c r="FK218" i="9"/>
  <c r="FI218" i="9"/>
  <c r="FM218" i="9" s="1"/>
  <c r="FJ218" i="9"/>
  <c r="AI218" i="12" l="1"/>
  <c r="FL218" i="12"/>
  <c r="AH218" i="12"/>
  <c r="FJ218" i="12"/>
  <c r="BC218" i="9"/>
  <c r="DF218" i="12"/>
  <c r="DG218" i="12"/>
  <c r="DH218" i="12" s="1"/>
  <c r="CO218" i="9"/>
  <c r="ET218" i="9"/>
  <c r="EA218" i="9"/>
  <c r="ER218" i="12"/>
  <c r="EQ218" i="12"/>
  <c r="CH220" i="9"/>
  <c r="CZ220" i="9"/>
  <c r="DB220" i="9" s="1"/>
  <c r="DD220" i="9" s="1"/>
  <c r="AB220" i="9"/>
  <c r="AD220" i="9" s="1"/>
  <c r="AG220" i="9" s="1"/>
  <c r="CG220" i="9"/>
  <c r="CI220" i="9" s="1"/>
  <c r="CM220" i="9" s="1"/>
  <c r="DT220" i="9"/>
  <c r="AV220" i="9"/>
  <c r="EM220" i="9"/>
  <c r="BN220" i="9"/>
  <c r="BP220" i="9" s="1"/>
  <c r="BT220" i="9" s="1"/>
  <c r="DS220" i="9"/>
  <c r="DU220" i="9" s="1"/>
  <c r="DW220" i="9" s="1"/>
  <c r="AJ217" i="12"/>
  <c r="FM217" i="12"/>
  <c r="DH217" i="12"/>
  <c r="BV217" i="12"/>
  <c r="AC220" i="9"/>
  <c r="DA220" i="9"/>
  <c r="AJ218" i="12"/>
  <c r="FM218" i="12"/>
  <c r="BC217" i="12"/>
  <c r="CO217" i="12"/>
  <c r="BR220" i="9"/>
  <c r="L222" i="9" a="1"/>
  <c r="L222" i="9" s="1"/>
  <c r="K222" i="9" a="1"/>
  <c r="K222" i="9" s="1"/>
  <c r="H222" i="9" a="1"/>
  <c r="H222" i="9" s="1"/>
  <c r="G222" i="9" a="1"/>
  <c r="G222" i="9" s="1"/>
  <c r="O222" i="9" a="1"/>
  <c r="O222" i="9" s="1"/>
  <c r="N222" i="9" a="1"/>
  <c r="N222" i="9" s="1"/>
  <c r="J222" i="9" a="1"/>
  <c r="J222" i="9" s="1"/>
  <c r="D223" i="9"/>
  <c r="FJ219" i="9"/>
  <c r="FI219" i="9"/>
  <c r="FM219" i="9" s="1"/>
  <c r="FL219" i="9"/>
  <c r="FK219" i="9"/>
  <c r="M220" i="12"/>
  <c r="P220" i="12" s="1"/>
  <c r="Q220" i="12" s="1"/>
  <c r="FF220" i="9"/>
  <c r="DZ219" i="9"/>
  <c r="DY219" i="9"/>
  <c r="DX219" i="9"/>
  <c r="DW219" i="9"/>
  <c r="EA217" i="12"/>
  <c r="Z221" i="9"/>
  <c r="AA221" i="9" s="1"/>
  <c r="AE221" i="9" s="1"/>
  <c r="DQ221" i="9"/>
  <c r="DR221" i="9" s="1"/>
  <c r="DV221" i="9" s="1"/>
  <c r="EJ221" i="9"/>
  <c r="EK221" i="9" s="1"/>
  <c r="EO221" i="9" s="1"/>
  <c r="BL221" i="9"/>
  <c r="BM221" i="9" s="1"/>
  <c r="BQ221" i="9" s="1"/>
  <c r="FC221" i="9"/>
  <c r="FD221" i="9" s="1"/>
  <c r="FH221" i="9" s="1"/>
  <c r="AS221" i="9"/>
  <c r="AT221" i="9" s="1"/>
  <c r="AX221" i="9" s="1"/>
  <c r="CE221" i="9"/>
  <c r="CF221" i="9" s="1"/>
  <c r="CJ221" i="9" s="1"/>
  <c r="CX221" i="9"/>
  <c r="CY221" i="9" s="1"/>
  <c r="DC221" i="9" s="1"/>
  <c r="I222" i="9"/>
  <c r="DX218" i="12"/>
  <c r="DZ218" i="12"/>
  <c r="DY218" i="12"/>
  <c r="AH220" i="9"/>
  <c r="AI220" i="9"/>
  <c r="AF220" i="9"/>
  <c r="EL220" i="9"/>
  <c r="EN220" i="9" s="1"/>
  <c r="FE220" i="9"/>
  <c r="FG220" i="9" s="1"/>
  <c r="ET217" i="12"/>
  <c r="CL219" i="9"/>
  <c r="CN219" i="9"/>
  <c r="CK219" i="9"/>
  <c r="CM219" i="9"/>
  <c r="BB218" i="12"/>
  <c r="AZ218" i="12"/>
  <c r="BA218" i="12"/>
  <c r="BR219" i="9"/>
  <c r="BV219" i="9" s="1"/>
  <c r="BS219" i="9"/>
  <c r="BU219" i="9"/>
  <c r="BT219" i="9"/>
  <c r="FF219" i="12"/>
  <c r="FE219" i="12"/>
  <c r="FG219" i="12" s="1"/>
  <c r="EP219" i="12"/>
  <c r="DD219" i="12"/>
  <c r="CK219" i="12"/>
  <c r="BN219" i="12"/>
  <c r="BP219" i="12" s="1"/>
  <c r="AB219" i="12"/>
  <c r="AD219" i="12" s="1"/>
  <c r="AC219" i="12"/>
  <c r="BO219" i="12"/>
  <c r="FI219" i="12"/>
  <c r="BR219" i="12"/>
  <c r="AY219" i="12"/>
  <c r="CZ219" i="12"/>
  <c r="DB219" i="12" s="1"/>
  <c r="EM219" i="12"/>
  <c r="DT219" i="12"/>
  <c r="AF219" i="12"/>
  <c r="DA219" i="12"/>
  <c r="EL219" i="12"/>
  <c r="EN219" i="12" s="1"/>
  <c r="DW219" i="12"/>
  <c r="CG219" i="12"/>
  <c r="CI219" i="12" s="1"/>
  <c r="CH219" i="12"/>
  <c r="DS219" i="12"/>
  <c r="DU219" i="12" s="1"/>
  <c r="AU219" i="12"/>
  <c r="AW219" i="12" s="1"/>
  <c r="AV219" i="12"/>
  <c r="AZ219" i="9"/>
  <c r="BB219" i="9"/>
  <c r="BA219" i="9"/>
  <c r="AY219" i="9"/>
  <c r="BC219" i="9" s="1"/>
  <c r="DE219" i="9"/>
  <c r="DD219" i="9"/>
  <c r="DH219" i="9" s="1"/>
  <c r="DG219" i="9"/>
  <c r="DF219" i="9"/>
  <c r="N221" i="12" a="1"/>
  <c r="N221" i="12" s="1"/>
  <c r="J221" i="12" a="1"/>
  <c r="J221" i="12" s="1"/>
  <c r="H221" i="12" a="1"/>
  <c r="H221" i="12" s="1"/>
  <c r="G221" i="12" a="1"/>
  <c r="G221" i="12" s="1"/>
  <c r="O221" i="12" a="1"/>
  <c r="O221" i="12" s="1"/>
  <c r="K221" i="12" a="1"/>
  <c r="K221" i="12" s="1"/>
  <c r="L221" i="12" a="1"/>
  <c r="L221" i="12" s="1"/>
  <c r="D222" i="12"/>
  <c r="AU220" i="9"/>
  <c r="AW220" i="9" s="1"/>
  <c r="M221" i="9"/>
  <c r="P221" i="9" s="1"/>
  <c r="Q221" i="9" s="1"/>
  <c r="CO218" i="12"/>
  <c r="BS218" i="12"/>
  <c r="BT218" i="12"/>
  <c r="BU218" i="12"/>
  <c r="AG219" i="9"/>
  <c r="AF219" i="9"/>
  <c r="AJ219" i="9" s="1"/>
  <c r="AJ220" i="9" s="1"/>
  <c r="AI219" i="9"/>
  <c r="AH219" i="9"/>
  <c r="ER219" i="9"/>
  <c r="EP219" i="9"/>
  <c r="EQ219" i="9"/>
  <c r="ES219" i="9"/>
  <c r="DZ220" i="9"/>
  <c r="DY220" i="9"/>
  <c r="BO220" i="9"/>
  <c r="CO219" i="9" l="1"/>
  <c r="CN220" i="9"/>
  <c r="DF220" i="9"/>
  <c r="DG220" i="9"/>
  <c r="ET218" i="12"/>
  <c r="DE220" i="9"/>
  <c r="EA219" i="9"/>
  <c r="ET219" i="9"/>
  <c r="DH220" i="9"/>
  <c r="CK220" i="9"/>
  <c r="BU220" i="9"/>
  <c r="CL220" i="9"/>
  <c r="BS220" i="9"/>
  <c r="BV220" i="9" s="1"/>
  <c r="DX220" i="9"/>
  <c r="EA220" i="9" s="1"/>
  <c r="BC218" i="12"/>
  <c r="M222" i="9"/>
  <c r="P222" i="9" s="1"/>
  <c r="Q222" i="9" s="1"/>
  <c r="FF220" i="12"/>
  <c r="EP220" i="12"/>
  <c r="FE220" i="12"/>
  <c r="FG220" i="12" s="1"/>
  <c r="CK220" i="12"/>
  <c r="DD220" i="12"/>
  <c r="BN220" i="12"/>
  <c r="BP220" i="12" s="1"/>
  <c r="AC220" i="12"/>
  <c r="AB220" i="12"/>
  <c r="AD220" i="12" s="1"/>
  <c r="BO220" i="12"/>
  <c r="CG220" i="12"/>
  <c r="CI220" i="12" s="1"/>
  <c r="CZ220" i="12"/>
  <c r="DB220" i="12" s="1"/>
  <c r="DW220" i="12"/>
  <c r="DA220" i="12"/>
  <c r="BR220" i="12"/>
  <c r="AY220" i="12"/>
  <c r="FI220" i="12"/>
  <c r="EM220" i="12"/>
  <c r="DT220" i="12"/>
  <c r="CH220" i="12"/>
  <c r="AF220" i="12"/>
  <c r="EL220" i="12"/>
  <c r="EN220" i="12" s="1"/>
  <c r="DS220" i="12"/>
  <c r="DU220" i="12" s="1"/>
  <c r="AV220" i="12"/>
  <c r="AU220" i="12"/>
  <c r="AW220" i="12" s="1"/>
  <c r="EA218" i="12"/>
  <c r="AZ220" i="9"/>
  <c r="AY220" i="9"/>
  <c r="BB220" i="9"/>
  <c r="BA220" i="9"/>
  <c r="J222" i="12" a="1"/>
  <c r="J222" i="12" s="1"/>
  <c r="N222" i="12" a="1"/>
  <c r="N222" i="12" s="1"/>
  <c r="O222" i="12" a="1"/>
  <c r="O222" i="12" s="1"/>
  <c r="H222" i="12" a="1"/>
  <c r="H222" i="12" s="1"/>
  <c r="L222" i="12" a="1"/>
  <c r="L222" i="12" s="1"/>
  <c r="G222" i="12" a="1"/>
  <c r="G222" i="12" s="1"/>
  <c r="D223" i="12"/>
  <c r="K222" i="12" a="1"/>
  <c r="K222" i="12" s="1"/>
  <c r="DX219" i="12"/>
  <c r="DZ219" i="12"/>
  <c r="DY219" i="12"/>
  <c r="BS219" i="12"/>
  <c r="BU219" i="12"/>
  <c r="BT219" i="12"/>
  <c r="Z222" i="9"/>
  <c r="AA222" i="9" s="1"/>
  <c r="AE222" i="9" s="1"/>
  <c r="CE222" i="9"/>
  <c r="CF222" i="9" s="1"/>
  <c r="CJ222" i="9" s="1"/>
  <c r="DQ222" i="9"/>
  <c r="DR222" i="9" s="1"/>
  <c r="DV222" i="9" s="1"/>
  <c r="BL222" i="9"/>
  <c r="BM222" i="9" s="1"/>
  <c r="BQ222" i="9" s="1"/>
  <c r="FC222" i="9"/>
  <c r="FD222" i="9" s="1"/>
  <c r="FH222" i="9" s="1"/>
  <c r="AS222" i="9"/>
  <c r="AT222" i="9" s="1"/>
  <c r="AX222" i="9" s="1"/>
  <c r="EJ222" i="9"/>
  <c r="EK222" i="9" s="1"/>
  <c r="EO222" i="9" s="1"/>
  <c r="CX222" i="9"/>
  <c r="CY222" i="9" s="1"/>
  <c r="DC222" i="9" s="1"/>
  <c r="I223" i="9"/>
  <c r="DE219" i="12"/>
  <c r="DF219" i="12"/>
  <c r="DG219" i="12"/>
  <c r="AZ219" i="12"/>
  <c r="BB219" i="12"/>
  <c r="BA219" i="12"/>
  <c r="BV218" i="12"/>
  <c r="CM219" i="12"/>
  <c r="CN219" i="12"/>
  <c r="CL219" i="12"/>
  <c r="FJ220" i="9"/>
  <c r="FK220" i="9"/>
  <c r="FL220" i="9"/>
  <c r="FI220" i="9"/>
  <c r="FM220" i="9" s="1"/>
  <c r="ER220" i="9"/>
  <c r="ES220" i="9"/>
  <c r="EP220" i="9"/>
  <c r="EQ220" i="9"/>
  <c r="AG219" i="12"/>
  <c r="AH219" i="12"/>
  <c r="AI219" i="12"/>
  <c r="BO221" i="9"/>
  <c r="FE221" i="9"/>
  <c r="FG221" i="9" s="1"/>
  <c r="AU221" i="9"/>
  <c r="AW221" i="9" s="1"/>
  <c r="BN221" i="9"/>
  <c r="BP221" i="9" s="1"/>
  <c r="FF221" i="9"/>
  <c r="CH221" i="9"/>
  <c r="AV221" i="9"/>
  <c r="CG221" i="9"/>
  <c r="CI221" i="9" s="1"/>
  <c r="EM221" i="9"/>
  <c r="EL221" i="9"/>
  <c r="EN221" i="9" s="1"/>
  <c r="DA221" i="9"/>
  <c r="AB221" i="9"/>
  <c r="AD221" i="9" s="1"/>
  <c r="CZ221" i="9"/>
  <c r="DB221" i="9" s="1"/>
  <c r="AC221" i="9"/>
  <c r="DT221" i="9"/>
  <c r="DS221" i="9"/>
  <c r="DU221" i="9" s="1"/>
  <c r="M221" i="12"/>
  <c r="P221" i="12" s="1"/>
  <c r="Q221" i="12" s="1"/>
  <c r="EQ219" i="12"/>
  <c r="ES219" i="12"/>
  <c r="ER219" i="12"/>
  <c r="FJ219" i="12"/>
  <c r="FK219" i="12"/>
  <c r="FL219" i="12"/>
  <c r="L223" i="9" a="1"/>
  <c r="L223" i="9" s="1"/>
  <c r="N223" i="9" a="1"/>
  <c r="N223" i="9" s="1"/>
  <c r="G223" i="9" a="1"/>
  <c r="G223" i="9" s="1"/>
  <c r="O223" i="9" a="1"/>
  <c r="O223" i="9" s="1"/>
  <c r="H223" i="9" a="1"/>
  <c r="H223" i="9" s="1"/>
  <c r="K223" i="9" a="1"/>
  <c r="K223" i="9" s="1"/>
  <c r="J223" i="9" a="1"/>
  <c r="J223" i="9" s="1"/>
  <c r="D224" i="9"/>
  <c r="ET220" i="9" l="1"/>
  <c r="BC220" i="9"/>
  <c r="CO220" i="9"/>
  <c r="BV219" i="12"/>
  <c r="FM219" i="12"/>
  <c r="CO219" i="12"/>
  <c r="DH219" i="12"/>
  <c r="AJ219" i="12"/>
  <c r="BC219" i="12"/>
  <c r="FI221" i="9"/>
  <c r="FJ221" i="9"/>
  <c r="FL221" i="9"/>
  <c r="FK221" i="9"/>
  <c r="BB220" i="12"/>
  <c r="AZ220" i="12"/>
  <c r="BA220" i="12"/>
  <c r="AI220" i="12"/>
  <c r="AH220" i="12"/>
  <c r="AG220" i="12"/>
  <c r="EP221" i="9"/>
  <c r="EQ221" i="9"/>
  <c r="ES221" i="9"/>
  <c r="ER221" i="9"/>
  <c r="EP221" i="12"/>
  <c r="FE221" i="12"/>
  <c r="FG221" i="12" s="1"/>
  <c r="FF221" i="12"/>
  <c r="DD221" i="12"/>
  <c r="CK221" i="12"/>
  <c r="AC221" i="12"/>
  <c r="BO221" i="12"/>
  <c r="AB221" i="12"/>
  <c r="AD221" i="12" s="1"/>
  <c r="BN221" i="12"/>
  <c r="BP221" i="12" s="1"/>
  <c r="AY221" i="12"/>
  <c r="CH221" i="12"/>
  <c r="DW221" i="12"/>
  <c r="CG221" i="12"/>
  <c r="CI221" i="12" s="1"/>
  <c r="FI221" i="12"/>
  <c r="DA221" i="12"/>
  <c r="CZ221" i="12"/>
  <c r="DB221" i="12" s="1"/>
  <c r="BR221" i="12"/>
  <c r="AF221" i="12"/>
  <c r="EM221" i="12"/>
  <c r="DS221" i="12"/>
  <c r="DU221" i="12" s="1"/>
  <c r="EL221" i="12"/>
  <c r="EN221" i="12" s="1"/>
  <c r="DT221" i="12"/>
  <c r="AU221" i="12"/>
  <c r="AW221" i="12" s="1"/>
  <c r="AV221" i="12"/>
  <c r="M222" i="12"/>
  <c r="P222" i="12" s="1"/>
  <c r="Q222" i="12" s="1"/>
  <c r="DW221" i="9"/>
  <c r="DX221" i="9"/>
  <c r="DZ221" i="9"/>
  <c r="DY221" i="9"/>
  <c r="BS220" i="12"/>
  <c r="BT220" i="12"/>
  <c r="BU220" i="12"/>
  <c r="M223" i="9"/>
  <c r="P223" i="9" s="1"/>
  <c r="Q223" i="9" s="1"/>
  <c r="L223" i="12" a="1"/>
  <c r="L223" i="12" s="1"/>
  <c r="K223" i="12" a="1"/>
  <c r="K223" i="12" s="1"/>
  <c r="J223" i="12" a="1"/>
  <c r="J223" i="12" s="1"/>
  <c r="N223" i="12" a="1"/>
  <c r="N223" i="12" s="1"/>
  <c r="G223" i="12" a="1"/>
  <c r="G223" i="12" s="1"/>
  <c r="H223" i="12" a="1"/>
  <c r="H223" i="12" s="1"/>
  <c r="O223" i="12" a="1"/>
  <c r="O223" i="12" s="1"/>
  <c r="D224" i="12"/>
  <c r="EQ220" i="12"/>
  <c r="ES220" i="12"/>
  <c r="ER220" i="12"/>
  <c r="L224" i="9" a="1"/>
  <c r="L224" i="9" s="1"/>
  <c r="H224" i="9" a="1"/>
  <c r="H224" i="9" s="1"/>
  <c r="K224" i="9" a="1"/>
  <c r="K224" i="9" s="1"/>
  <c r="O224" i="9" a="1"/>
  <c r="O224" i="9" s="1"/>
  <c r="J224" i="9" a="1"/>
  <c r="J224" i="9" s="1"/>
  <c r="N224" i="9" a="1"/>
  <c r="N224" i="9" s="1"/>
  <c r="G224" i="9" a="1"/>
  <c r="G224" i="9" s="1"/>
  <c r="D225" i="9"/>
  <c r="DX220" i="12"/>
  <c r="DY220" i="12"/>
  <c r="DZ220" i="12"/>
  <c r="CN221" i="9"/>
  <c r="CM221" i="9"/>
  <c r="CL221" i="9"/>
  <c r="CK221" i="9"/>
  <c r="CE223" i="9"/>
  <c r="CF223" i="9" s="1"/>
  <c r="CJ223" i="9" s="1"/>
  <c r="Z223" i="9"/>
  <c r="AA223" i="9" s="1"/>
  <c r="AE223" i="9" s="1"/>
  <c r="DQ223" i="9"/>
  <c r="DR223" i="9" s="1"/>
  <c r="DV223" i="9" s="1"/>
  <c r="EJ223" i="9"/>
  <c r="EK223" i="9" s="1"/>
  <c r="EO223" i="9" s="1"/>
  <c r="AS223" i="9"/>
  <c r="AT223" i="9" s="1"/>
  <c r="AX223" i="9" s="1"/>
  <c r="BL223" i="9"/>
  <c r="BM223" i="9" s="1"/>
  <c r="BQ223" i="9" s="1"/>
  <c r="FC223" i="9"/>
  <c r="FD223" i="9" s="1"/>
  <c r="FH223" i="9" s="1"/>
  <c r="CX223" i="9"/>
  <c r="CY223" i="9" s="1"/>
  <c r="DC223" i="9" s="1"/>
  <c r="I224" i="9"/>
  <c r="DF221" i="9"/>
  <c r="DG221" i="9"/>
  <c r="DD221" i="9"/>
  <c r="DE221" i="9"/>
  <c r="DE220" i="12"/>
  <c r="DF220" i="12"/>
  <c r="DG220" i="12"/>
  <c r="FJ220" i="12"/>
  <c r="FL220" i="12"/>
  <c r="FK220" i="12"/>
  <c r="ET219" i="12"/>
  <c r="AG221" i="9"/>
  <c r="AF221" i="9"/>
  <c r="AI221" i="9"/>
  <c r="AH221" i="9"/>
  <c r="BS221" i="9"/>
  <c r="BU221" i="9"/>
  <c r="BT221" i="9"/>
  <c r="BR221" i="9"/>
  <c r="EA219" i="12"/>
  <c r="AV222" i="9"/>
  <c r="CG222" i="9"/>
  <c r="CI222" i="9" s="1"/>
  <c r="AU222" i="9"/>
  <c r="AW222" i="9" s="1"/>
  <c r="CH222" i="9"/>
  <c r="FF222" i="9"/>
  <c r="BO222" i="9"/>
  <c r="FE222" i="9"/>
  <c r="FG222" i="9" s="1"/>
  <c r="BN222" i="9"/>
  <c r="BP222" i="9" s="1"/>
  <c r="DA222" i="9"/>
  <c r="CZ222" i="9"/>
  <c r="DB222" i="9" s="1"/>
  <c r="AB222" i="9"/>
  <c r="AD222" i="9" s="1"/>
  <c r="EL222" i="9"/>
  <c r="EN222" i="9" s="1"/>
  <c r="AC222" i="9"/>
  <c r="EM222" i="9"/>
  <c r="DT222" i="9"/>
  <c r="DS222" i="9"/>
  <c r="DU222" i="9" s="1"/>
  <c r="CN220" i="12"/>
  <c r="CL220" i="12"/>
  <c r="CM220" i="12"/>
  <c r="AY221" i="9"/>
  <c r="BC221" i="9" s="1"/>
  <c r="BA221" i="9"/>
  <c r="AZ221" i="9"/>
  <c r="BB221" i="9"/>
  <c r="BC220" i="12" l="1"/>
  <c r="EA221" i="9"/>
  <c r="AJ221" i="9"/>
  <c r="BV221" i="9"/>
  <c r="DH221" i="9"/>
  <c r="ET221" i="9"/>
  <c r="CO221" i="9"/>
  <c r="FM221" i="9"/>
  <c r="AJ220" i="12"/>
  <c r="FM220" i="12"/>
  <c r="EA220" i="12"/>
  <c r="BV220" i="12"/>
  <c r="ET220" i="12"/>
  <c r="M223" i="12"/>
  <c r="P223" i="12" s="1"/>
  <c r="Q223" i="12" s="1"/>
  <c r="CO220" i="12"/>
  <c r="AZ221" i="12"/>
  <c r="BC221" i="12" s="1"/>
  <c r="BA221" i="12"/>
  <c r="BB221" i="12"/>
  <c r="DE222" i="9"/>
  <c r="DG222" i="9"/>
  <c r="DD222" i="9"/>
  <c r="DF222" i="9"/>
  <c r="EP222" i="12"/>
  <c r="FE222" i="12"/>
  <c r="FG222" i="12" s="1"/>
  <c r="FF222" i="12"/>
  <c r="DD222" i="12"/>
  <c r="CK222" i="12"/>
  <c r="BO222" i="12"/>
  <c r="BN222" i="12"/>
  <c r="BP222" i="12" s="1"/>
  <c r="AB222" i="12"/>
  <c r="AD222" i="12" s="1"/>
  <c r="AC222" i="12"/>
  <c r="CG222" i="12"/>
  <c r="CI222" i="12" s="1"/>
  <c r="AY222" i="12"/>
  <c r="BR222" i="12"/>
  <c r="CH222" i="12"/>
  <c r="DA222" i="12"/>
  <c r="AF222" i="12"/>
  <c r="FI222" i="12"/>
  <c r="CZ222" i="12"/>
  <c r="DB222" i="12" s="1"/>
  <c r="DW222" i="12"/>
  <c r="DT222" i="12"/>
  <c r="EL222" i="12"/>
  <c r="EN222" i="12" s="1"/>
  <c r="DS222" i="12"/>
  <c r="DU222" i="12" s="1"/>
  <c r="EM222" i="12"/>
  <c r="AV222" i="12"/>
  <c r="AU222" i="12"/>
  <c r="AW222" i="12" s="1"/>
  <c r="BS221" i="12"/>
  <c r="BU221" i="12"/>
  <c r="BT221" i="12"/>
  <c r="DE221" i="12"/>
  <c r="DF221" i="12"/>
  <c r="DG221" i="12"/>
  <c r="AG221" i="12"/>
  <c r="AI221" i="12"/>
  <c r="AH221" i="12"/>
  <c r="AY222" i="9"/>
  <c r="BC222" i="9" s="1"/>
  <c r="AZ222" i="9"/>
  <c r="BB222" i="9"/>
  <c r="BA222" i="9"/>
  <c r="EJ224" i="9"/>
  <c r="EK224" i="9" s="1"/>
  <c r="EO224" i="9" s="1"/>
  <c r="CE224" i="9"/>
  <c r="CF224" i="9" s="1"/>
  <c r="CJ224" i="9" s="1"/>
  <c r="Z224" i="9"/>
  <c r="AA224" i="9" s="1"/>
  <c r="AE224" i="9" s="1"/>
  <c r="DQ224" i="9"/>
  <c r="DR224" i="9" s="1"/>
  <c r="DV224" i="9" s="1"/>
  <c r="BL224" i="9"/>
  <c r="BM224" i="9" s="1"/>
  <c r="BQ224" i="9" s="1"/>
  <c r="FC224" i="9"/>
  <c r="FD224" i="9" s="1"/>
  <c r="FH224" i="9" s="1"/>
  <c r="CX224" i="9"/>
  <c r="CY224" i="9" s="1"/>
  <c r="DC224" i="9" s="1"/>
  <c r="AS224" i="9"/>
  <c r="AT224" i="9" s="1"/>
  <c r="AX224" i="9" s="1"/>
  <c r="I225" i="9"/>
  <c r="ER222" i="9"/>
  <c r="ES222" i="9"/>
  <c r="EP222" i="9"/>
  <c r="EQ222" i="9"/>
  <c r="AI222" i="9"/>
  <c r="AH222" i="9"/>
  <c r="AG222" i="9"/>
  <c r="AF222" i="9"/>
  <c r="AJ222" i="9" s="1"/>
  <c r="L225" i="9" a="1"/>
  <c r="L225" i="9" s="1"/>
  <c r="H225" i="9" a="1"/>
  <c r="H225" i="9" s="1"/>
  <c r="N225" i="9" a="1"/>
  <c r="N225" i="9" s="1"/>
  <c r="J225" i="9" a="1"/>
  <c r="J225" i="9" s="1"/>
  <c r="K225" i="9" a="1"/>
  <c r="K225" i="9" s="1"/>
  <c r="G225" i="9" a="1"/>
  <c r="G225" i="9" s="1"/>
  <c r="O225" i="9" a="1"/>
  <c r="O225" i="9" s="1"/>
  <c r="D226" i="9"/>
  <c r="EQ221" i="12"/>
  <c r="ER221" i="12"/>
  <c r="ES221" i="12"/>
  <c r="CM221" i="12"/>
  <c r="CL221" i="12"/>
  <c r="CN221" i="12"/>
  <c r="CM222" i="9"/>
  <c r="CN222" i="9"/>
  <c r="CK222" i="9"/>
  <c r="CL222" i="9"/>
  <c r="DH220" i="12"/>
  <c r="DX221" i="12"/>
  <c r="EA221" i="12" s="1"/>
  <c r="DZ221" i="12"/>
  <c r="DY221" i="12"/>
  <c r="DZ222" i="9"/>
  <c r="DY222" i="9"/>
  <c r="DX222" i="9"/>
  <c r="DW222" i="9"/>
  <c r="EA222" i="9" s="1"/>
  <c r="BT222" i="9"/>
  <c r="BU222" i="9"/>
  <c r="BR222" i="9"/>
  <c r="BS222" i="9"/>
  <c r="FI222" i="9"/>
  <c r="FJ222" i="9"/>
  <c r="FL222" i="9"/>
  <c r="FK222" i="9"/>
  <c r="M224" i="9"/>
  <c r="P224" i="9" s="1"/>
  <c r="Q224" i="9" s="1"/>
  <c r="K224" i="12" a="1"/>
  <c r="K224" i="12" s="1"/>
  <c r="J224" i="12" a="1"/>
  <c r="J224" i="12" s="1"/>
  <c r="H224" i="12" a="1"/>
  <c r="H224" i="12" s="1"/>
  <c r="N224" i="12" a="1"/>
  <c r="N224" i="12" s="1"/>
  <c r="G224" i="12" a="1"/>
  <c r="G224" i="12" s="1"/>
  <c r="O224" i="12" a="1"/>
  <c r="O224" i="12" s="1"/>
  <c r="L224" i="12" a="1"/>
  <c r="L224" i="12" s="1"/>
  <c r="D225" i="12"/>
  <c r="BO223" i="9"/>
  <c r="CH223" i="9"/>
  <c r="BN223" i="9"/>
  <c r="BP223" i="9" s="1"/>
  <c r="CG223" i="9"/>
  <c r="CI223" i="9" s="1"/>
  <c r="FF223" i="9"/>
  <c r="AV223" i="9"/>
  <c r="FE223" i="9"/>
  <c r="FG223" i="9" s="1"/>
  <c r="AU223" i="9"/>
  <c r="AW223" i="9" s="1"/>
  <c r="AC223" i="9"/>
  <c r="EM223" i="9"/>
  <c r="AB223" i="9"/>
  <c r="AD223" i="9" s="1"/>
  <c r="EL223" i="9"/>
  <c r="EN223" i="9" s="1"/>
  <c r="CZ223" i="9"/>
  <c r="DB223" i="9" s="1"/>
  <c r="DA223" i="9"/>
  <c r="DT223" i="9"/>
  <c r="DS223" i="9"/>
  <c r="DU223" i="9" s="1"/>
  <c r="FJ221" i="12"/>
  <c r="FL221" i="12"/>
  <c r="FK221" i="12"/>
  <c r="ET222" i="9" l="1"/>
  <c r="CO222" i="9"/>
  <c r="DH222" i="9"/>
  <c r="FM222" i="9"/>
  <c r="BV222" i="9"/>
  <c r="AJ223" i="9"/>
  <c r="M225" i="9"/>
  <c r="P225" i="9" s="1"/>
  <c r="Q225" i="9" s="1"/>
  <c r="AJ221" i="12"/>
  <c r="BV221" i="12"/>
  <c r="FM221" i="12"/>
  <c r="CO221" i="12"/>
  <c r="AG223" i="9"/>
  <c r="AF223" i="9"/>
  <c r="AI223" i="9"/>
  <c r="AH223" i="9"/>
  <c r="BS223" i="9"/>
  <c r="BR223" i="9"/>
  <c r="BU223" i="9"/>
  <c r="BT223" i="9"/>
  <c r="N226" i="9" a="1"/>
  <c r="N226" i="9" s="1"/>
  <c r="K226" i="9" a="1"/>
  <c r="K226" i="9" s="1"/>
  <c r="G226" i="9" a="1"/>
  <c r="G226" i="9" s="1"/>
  <c r="O226" i="9" a="1"/>
  <c r="O226" i="9" s="1"/>
  <c r="H226" i="9" a="1"/>
  <c r="H226" i="9" s="1"/>
  <c r="J226" i="9" a="1"/>
  <c r="J226" i="9" s="1"/>
  <c r="L226" i="9" a="1"/>
  <c r="L226" i="9" s="1"/>
  <c r="D227" i="9"/>
  <c r="DE222" i="12"/>
  <c r="DG222" i="12"/>
  <c r="DF222" i="12"/>
  <c r="M224" i="12"/>
  <c r="P224" i="12" s="1"/>
  <c r="Q224" i="12" s="1"/>
  <c r="EP223" i="12"/>
  <c r="FF223" i="12"/>
  <c r="FE223" i="12"/>
  <c r="FG223" i="12" s="1"/>
  <c r="DD223" i="12"/>
  <c r="CK223" i="12"/>
  <c r="AC223" i="12"/>
  <c r="AB223" i="12"/>
  <c r="AD223" i="12" s="1"/>
  <c r="BN223" i="12"/>
  <c r="BP223" i="12" s="1"/>
  <c r="BO223" i="12"/>
  <c r="AY223" i="12"/>
  <c r="CG223" i="12"/>
  <c r="CI223" i="12" s="1"/>
  <c r="DS223" i="12"/>
  <c r="DU223" i="12" s="1"/>
  <c r="CH223" i="12"/>
  <c r="DA223" i="12"/>
  <c r="AF223" i="12"/>
  <c r="BR223" i="12"/>
  <c r="CZ223" i="12"/>
  <c r="DB223" i="12" s="1"/>
  <c r="FI223" i="12"/>
  <c r="DW223" i="12"/>
  <c r="EM223" i="12"/>
  <c r="DT223" i="12"/>
  <c r="EL223" i="12"/>
  <c r="EN223" i="12" s="1"/>
  <c r="AV223" i="12"/>
  <c r="AU223" i="12"/>
  <c r="AW223" i="12" s="1"/>
  <c r="AZ222" i="12"/>
  <c r="BC222" i="12" s="1"/>
  <c r="BA222" i="12"/>
  <c r="BB222" i="12"/>
  <c r="AG222" i="12"/>
  <c r="AI222" i="12"/>
  <c r="AH222" i="12"/>
  <c r="DZ223" i="9"/>
  <c r="DW223" i="9"/>
  <c r="DX223" i="9"/>
  <c r="DY223" i="9"/>
  <c r="AY223" i="9"/>
  <c r="AZ223" i="9"/>
  <c r="BA223" i="9"/>
  <c r="BB223" i="9"/>
  <c r="N225" i="12" a="1"/>
  <c r="N225" i="12" s="1"/>
  <c r="G225" i="12" a="1"/>
  <c r="G225" i="12" s="1"/>
  <c r="J225" i="12" a="1"/>
  <c r="J225" i="12" s="1"/>
  <c r="O225" i="12" a="1"/>
  <c r="O225" i="12" s="1"/>
  <c r="H225" i="12" a="1"/>
  <c r="H225" i="12" s="1"/>
  <c r="K225" i="12" a="1"/>
  <c r="K225" i="12" s="1"/>
  <c r="L225" i="12" a="1"/>
  <c r="L225" i="12" s="1"/>
  <c r="D226" i="12"/>
  <c r="AV224" i="9"/>
  <c r="FE224" i="9"/>
  <c r="FG224" i="9" s="1"/>
  <c r="FF224" i="9"/>
  <c r="BO224" i="9"/>
  <c r="CH224" i="9"/>
  <c r="AU224" i="9"/>
  <c r="AW224" i="9" s="1"/>
  <c r="BN224" i="9"/>
  <c r="BP224" i="9" s="1"/>
  <c r="CG224" i="9"/>
  <c r="CI224" i="9" s="1"/>
  <c r="EL224" i="9"/>
  <c r="EN224" i="9" s="1"/>
  <c r="EM224" i="9"/>
  <c r="CZ224" i="9"/>
  <c r="DB224" i="9" s="1"/>
  <c r="AB224" i="9"/>
  <c r="AD224" i="9" s="1"/>
  <c r="DA224" i="9"/>
  <c r="AC224" i="9"/>
  <c r="DT224" i="9"/>
  <c r="DS224" i="9"/>
  <c r="DU224" i="9" s="1"/>
  <c r="DH221" i="12"/>
  <c r="DX222" i="12"/>
  <c r="DZ222" i="12"/>
  <c r="DY222" i="12"/>
  <c r="FL223" i="9"/>
  <c r="FK223" i="9"/>
  <c r="FJ223" i="9"/>
  <c r="FI223" i="9"/>
  <c r="EQ222" i="12"/>
  <c r="ES222" i="12"/>
  <c r="ER222" i="12"/>
  <c r="AS225" i="9"/>
  <c r="AT225" i="9" s="1"/>
  <c r="AX225" i="9" s="1"/>
  <c r="EJ225" i="9"/>
  <c r="EK225" i="9" s="1"/>
  <c r="EO225" i="9" s="1"/>
  <c r="CE225" i="9"/>
  <c r="CF225" i="9" s="1"/>
  <c r="CJ225" i="9" s="1"/>
  <c r="FC225" i="9"/>
  <c r="FD225" i="9" s="1"/>
  <c r="FH225" i="9" s="1"/>
  <c r="Z225" i="9"/>
  <c r="AA225" i="9" s="1"/>
  <c r="AE225" i="9" s="1"/>
  <c r="DQ225" i="9"/>
  <c r="DR225" i="9" s="1"/>
  <c r="DV225" i="9" s="1"/>
  <c r="BL225" i="9"/>
  <c r="BM225" i="9" s="1"/>
  <c r="BQ225" i="9" s="1"/>
  <c r="CX225" i="9"/>
  <c r="CY225" i="9" s="1"/>
  <c r="DC225" i="9" s="1"/>
  <c r="I226" i="9"/>
  <c r="DG223" i="9"/>
  <c r="DF223" i="9"/>
  <c r="DD223" i="9"/>
  <c r="DH223" i="9" s="1"/>
  <c r="DE223" i="9"/>
  <c r="ET221" i="12"/>
  <c r="BS222" i="12"/>
  <c r="BU222" i="12"/>
  <c r="BT222" i="12"/>
  <c r="ER223" i="9"/>
  <c r="ES223" i="9"/>
  <c r="EP223" i="9"/>
  <c r="EQ223" i="9"/>
  <c r="CL223" i="9"/>
  <c r="CK223" i="9"/>
  <c r="CO223" i="9" s="1"/>
  <c r="CN223" i="9"/>
  <c r="CM223" i="9"/>
  <c r="CN222" i="12"/>
  <c r="CL222" i="12"/>
  <c r="CM222" i="12"/>
  <c r="FJ222" i="12"/>
  <c r="FK222" i="12"/>
  <c r="FL222" i="12"/>
  <c r="EA223" i="9" l="1"/>
  <c r="ET223" i="9"/>
  <c r="FM223" i="9"/>
  <c r="BC223" i="9"/>
  <c r="BV223" i="9"/>
  <c r="AJ224" i="9"/>
  <c r="M226" i="9"/>
  <c r="P226" i="9" s="1"/>
  <c r="Q226" i="9" s="1"/>
  <c r="AJ222" i="12"/>
  <c r="FM222" i="12"/>
  <c r="BV222" i="12"/>
  <c r="EA222" i="12"/>
  <c r="M225" i="12"/>
  <c r="P225" i="12" s="1"/>
  <c r="Q225" i="12" s="1"/>
  <c r="DX223" i="12"/>
  <c r="DZ223" i="12"/>
  <c r="DY223" i="12"/>
  <c r="L227" i="9" a="1"/>
  <c r="L227" i="9" s="1"/>
  <c r="J227" i="9" a="1"/>
  <c r="J227" i="9" s="1"/>
  <c r="K227" i="9" a="1"/>
  <c r="K227" i="9" s="1"/>
  <c r="G227" i="9" a="1"/>
  <c r="G227" i="9" s="1"/>
  <c r="H227" i="9" a="1"/>
  <c r="H227" i="9" s="1"/>
  <c r="O227" i="9" a="1"/>
  <c r="O227" i="9" s="1"/>
  <c r="N227" i="9" a="1"/>
  <c r="N227" i="9" s="1"/>
  <c r="D228" i="9"/>
  <c r="ET222" i="12"/>
  <c r="AG224" i="9"/>
  <c r="AF224" i="9"/>
  <c r="AH224" i="9"/>
  <c r="AI224" i="9"/>
  <c r="CL223" i="12"/>
  <c r="CN223" i="12"/>
  <c r="CM223" i="12"/>
  <c r="FJ223" i="12"/>
  <c r="FL223" i="12"/>
  <c r="FK223" i="12"/>
  <c r="BO225" i="9"/>
  <c r="AV225" i="9"/>
  <c r="BN225" i="9"/>
  <c r="BP225" i="9" s="1"/>
  <c r="AU225" i="9"/>
  <c r="AW225" i="9" s="1"/>
  <c r="AU226" i="9" s="1"/>
  <c r="AW226" i="9" s="1"/>
  <c r="CG225" i="9"/>
  <c r="CI225" i="9" s="1"/>
  <c r="CH226" i="9" s="1"/>
  <c r="FF225" i="9"/>
  <c r="CH225" i="9"/>
  <c r="FE225" i="9"/>
  <c r="FG225" i="9" s="1"/>
  <c r="EL225" i="9"/>
  <c r="EN225" i="9" s="1"/>
  <c r="DA225" i="9"/>
  <c r="EM225" i="9"/>
  <c r="AB225" i="9"/>
  <c r="AD225" i="9" s="1"/>
  <c r="AB226" i="9" s="1"/>
  <c r="AD226" i="9" s="1"/>
  <c r="AC225" i="9"/>
  <c r="CZ225" i="9"/>
  <c r="DB225" i="9" s="1"/>
  <c r="DS225" i="9"/>
  <c r="DU225" i="9" s="1"/>
  <c r="DT225" i="9"/>
  <c r="FI224" i="9"/>
  <c r="FL224" i="9"/>
  <c r="FJ224" i="9"/>
  <c r="FK224" i="9"/>
  <c r="DE223" i="12"/>
  <c r="DF223" i="12"/>
  <c r="DG223" i="12"/>
  <c r="EP224" i="9"/>
  <c r="ES224" i="9"/>
  <c r="EQ224" i="9"/>
  <c r="ER224" i="9"/>
  <c r="BB223" i="12"/>
  <c r="BA223" i="12"/>
  <c r="AZ223" i="12"/>
  <c r="BS223" i="12"/>
  <c r="BU223" i="12"/>
  <c r="BT223" i="12"/>
  <c r="EP224" i="12"/>
  <c r="FE224" i="12"/>
  <c r="FG224" i="12" s="1"/>
  <c r="FF224" i="12"/>
  <c r="DD224" i="12"/>
  <c r="CK224" i="12"/>
  <c r="AC224" i="12"/>
  <c r="AB224" i="12"/>
  <c r="AD224" i="12" s="1"/>
  <c r="BN224" i="12"/>
  <c r="BP224" i="12" s="1"/>
  <c r="BO224" i="12"/>
  <c r="AF224" i="12"/>
  <c r="DW224" i="12"/>
  <c r="FI224" i="12"/>
  <c r="BR224" i="12"/>
  <c r="AY224" i="12"/>
  <c r="CH224" i="12"/>
  <c r="DS224" i="12"/>
  <c r="DU224" i="12" s="1"/>
  <c r="CZ224" i="12"/>
  <c r="DB224" i="12" s="1"/>
  <c r="EM224" i="12"/>
  <c r="CG224" i="12"/>
  <c r="CI224" i="12" s="1"/>
  <c r="DT224" i="12"/>
  <c r="DA224" i="12"/>
  <c r="EL224" i="12"/>
  <c r="EN224" i="12" s="1"/>
  <c r="AV224" i="12"/>
  <c r="AU224" i="12"/>
  <c r="AW224" i="12" s="1"/>
  <c r="CO222" i="12"/>
  <c r="DW224" i="9"/>
  <c r="DX224" i="9"/>
  <c r="DZ224" i="9"/>
  <c r="DY224" i="9"/>
  <c r="CN224" i="9"/>
  <c r="CM224" i="9"/>
  <c r="CK224" i="9"/>
  <c r="CO224" i="9" s="1"/>
  <c r="CL224" i="9"/>
  <c r="G226" i="12" a="1"/>
  <c r="G226" i="12" s="1"/>
  <c r="J226" i="12" a="1"/>
  <c r="J226" i="12" s="1"/>
  <c r="N226" i="12" a="1"/>
  <c r="N226" i="12" s="1"/>
  <c r="K226" i="12" a="1"/>
  <c r="K226" i="12" s="1"/>
  <c r="H226" i="12" a="1"/>
  <c r="H226" i="12" s="1"/>
  <c r="L226" i="12" a="1"/>
  <c r="L226" i="12" s="1"/>
  <c r="O226" i="12" a="1"/>
  <c r="O226" i="12" s="1"/>
  <c r="D227" i="12"/>
  <c r="AI223" i="12"/>
  <c r="AH223" i="12"/>
  <c r="AG223" i="12"/>
  <c r="DH222" i="12"/>
  <c r="DE224" i="9"/>
  <c r="DD224" i="9"/>
  <c r="DG224" i="9"/>
  <c r="DF224" i="9"/>
  <c r="FC226" i="9"/>
  <c r="FD226" i="9" s="1"/>
  <c r="FH226" i="9" s="1"/>
  <c r="CX226" i="9"/>
  <c r="CY226" i="9" s="1"/>
  <c r="DC226" i="9" s="1"/>
  <c r="EJ226" i="9"/>
  <c r="EK226" i="9" s="1"/>
  <c r="EO226" i="9" s="1"/>
  <c r="AS226" i="9"/>
  <c r="AT226" i="9" s="1"/>
  <c r="AX226" i="9" s="1"/>
  <c r="BL226" i="9"/>
  <c r="BM226" i="9" s="1"/>
  <c r="BQ226" i="9" s="1"/>
  <c r="CE226" i="9"/>
  <c r="CF226" i="9" s="1"/>
  <c r="CJ226" i="9" s="1"/>
  <c r="Z226" i="9"/>
  <c r="AA226" i="9" s="1"/>
  <c r="AE226" i="9" s="1"/>
  <c r="DQ226" i="9"/>
  <c r="DR226" i="9" s="1"/>
  <c r="DV226" i="9" s="1"/>
  <c r="I227" i="9"/>
  <c r="BR224" i="9"/>
  <c r="BV224" i="9" s="1"/>
  <c r="BT224" i="9"/>
  <c r="BU224" i="9"/>
  <c r="BS224" i="9"/>
  <c r="EQ223" i="12"/>
  <c r="ES223" i="12"/>
  <c r="ER223" i="12"/>
  <c r="BA224" i="9"/>
  <c r="BB224" i="9"/>
  <c r="AZ224" i="9"/>
  <c r="AY224" i="9"/>
  <c r="FF226" i="9" l="1"/>
  <c r="DS226" i="9"/>
  <c r="DU226" i="9" s="1"/>
  <c r="DW226" i="9" s="1"/>
  <c r="BC224" i="9"/>
  <c r="EA224" i="9"/>
  <c r="FM224" i="9"/>
  <c r="DH224" i="9"/>
  <c r="ET224" i="9"/>
  <c r="M226" i="12"/>
  <c r="P226" i="12" s="1"/>
  <c r="Q226" i="12" s="1"/>
  <c r="AU225" i="12"/>
  <c r="AW225" i="12" s="1"/>
  <c r="DT225" i="12"/>
  <c r="BO225" i="12"/>
  <c r="AC225" i="12"/>
  <c r="EP225" i="12"/>
  <c r="AY225" i="12"/>
  <c r="DD225" i="12"/>
  <c r="CH225" i="12"/>
  <c r="DW225" i="12"/>
  <c r="DA225" i="12"/>
  <c r="CO223" i="12"/>
  <c r="FM223" i="12"/>
  <c r="BV223" i="12"/>
  <c r="AJ223" i="12"/>
  <c r="M227" i="9"/>
  <c r="P227" i="9" s="1"/>
  <c r="Q227" i="9" s="1"/>
  <c r="DX226" i="9"/>
  <c r="DZ226" i="9"/>
  <c r="BB225" i="12"/>
  <c r="BA225" i="12"/>
  <c r="AZ225" i="12"/>
  <c r="EQ224" i="12"/>
  <c r="ES224" i="12"/>
  <c r="ER224" i="12"/>
  <c r="EQ225" i="9"/>
  <c r="ES225" i="9"/>
  <c r="ER225" i="9"/>
  <c r="EP225" i="9"/>
  <c r="EL226" i="9"/>
  <c r="EN226" i="9" s="1"/>
  <c r="CG226" i="9"/>
  <c r="CI226" i="9" s="1"/>
  <c r="AV225" i="12"/>
  <c r="ET223" i="12"/>
  <c r="FL225" i="9"/>
  <c r="FI225" i="9"/>
  <c r="FJ225" i="9"/>
  <c r="FK225" i="9"/>
  <c r="FE226" i="9"/>
  <c r="FG226" i="9" s="1"/>
  <c r="BN225" i="12"/>
  <c r="BP225" i="12" s="1"/>
  <c r="BC223" i="12"/>
  <c r="DX225" i="9"/>
  <c r="DW225" i="9"/>
  <c r="DZ225" i="9"/>
  <c r="DY225" i="9"/>
  <c r="DT226" i="9"/>
  <c r="EL225" i="12"/>
  <c r="EN225" i="12" s="1"/>
  <c r="CN224" i="12"/>
  <c r="CM224" i="12"/>
  <c r="CL224" i="12"/>
  <c r="DH223" i="12"/>
  <c r="DD225" i="9"/>
  <c r="DE225" i="9"/>
  <c r="DG225" i="9"/>
  <c r="DF225" i="9"/>
  <c r="DA226" i="9"/>
  <c r="AY226" i="9"/>
  <c r="AZ226" i="9"/>
  <c r="BB226" i="9"/>
  <c r="BA226" i="9"/>
  <c r="BR225" i="12"/>
  <c r="CG225" i="12"/>
  <c r="CI225" i="12" s="1"/>
  <c r="CK225" i="12"/>
  <c r="FJ224" i="12"/>
  <c r="FK224" i="12"/>
  <c r="FL224" i="12"/>
  <c r="CN225" i="9"/>
  <c r="CM225" i="9"/>
  <c r="CK225" i="9"/>
  <c r="CL225" i="9"/>
  <c r="AG226" i="9"/>
  <c r="AH226" i="9"/>
  <c r="AF226" i="9"/>
  <c r="AI226" i="9"/>
  <c r="FI225" i="12"/>
  <c r="AF225" i="12"/>
  <c r="CX227" i="9"/>
  <c r="CY227" i="9" s="1"/>
  <c r="DC227" i="9" s="1"/>
  <c r="AS227" i="9"/>
  <c r="AT227" i="9" s="1"/>
  <c r="AX227" i="9" s="1"/>
  <c r="CE227" i="9"/>
  <c r="CF227" i="9" s="1"/>
  <c r="CJ227" i="9" s="1"/>
  <c r="BL227" i="9"/>
  <c r="BM227" i="9" s="1"/>
  <c r="BQ227" i="9" s="1"/>
  <c r="EJ227" i="9"/>
  <c r="EK227" i="9" s="1"/>
  <c r="EO227" i="9" s="1"/>
  <c r="FC227" i="9"/>
  <c r="FD227" i="9" s="1"/>
  <c r="FH227" i="9" s="1"/>
  <c r="Z227" i="9"/>
  <c r="AA227" i="9" s="1"/>
  <c r="AE227" i="9" s="1"/>
  <c r="DQ227" i="9"/>
  <c r="DR227" i="9" s="1"/>
  <c r="DV227" i="9" s="1"/>
  <c r="I228" i="9"/>
  <c r="K227" i="12" a="1"/>
  <c r="K227" i="12" s="1"/>
  <c r="L227" i="12" a="1"/>
  <c r="L227" i="12" s="1"/>
  <c r="N227" i="12" a="1"/>
  <c r="N227" i="12" s="1"/>
  <c r="J227" i="12" a="1"/>
  <c r="J227" i="12" s="1"/>
  <c r="O227" i="12" a="1"/>
  <c r="O227" i="12" s="1"/>
  <c r="G227" i="12" a="1"/>
  <c r="G227" i="12" s="1"/>
  <c r="H227" i="12" a="1"/>
  <c r="H227" i="12" s="1"/>
  <c r="D228" i="12"/>
  <c r="DE224" i="12"/>
  <c r="DG224" i="12"/>
  <c r="DF224" i="12"/>
  <c r="AH225" i="9"/>
  <c r="AG225" i="9"/>
  <c r="AF225" i="9"/>
  <c r="AI225" i="9"/>
  <c r="BB225" i="9"/>
  <c r="BA225" i="9"/>
  <c r="AY225" i="9"/>
  <c r="AZ225" i="9"/>
  <c r="CZ226" i="9"/>
  <c r="DB226" i="9" s="1"/>
  <c r="AV226" i="9"/>
  <c r="EM225" i="12"/>
  <c r="J228" i="9" a="1"/>
  <c r="J228" i="9" s="1"/>
  <c r="G228" i="9" a="1"/>
  <c r="G228" i="9" s="1"/>
  <c r="H228" i="9" a="1"/>
  <c r="H228" i="9" s="1"/>
  <c r="L228" i="9" a="1"/>
  <c r="L228" i="9" s="1"/>
  <c r="O228" i="9" a="1"/>
  <c r="O228" i="9" s="1"/>
  <c r="N228" i="9" a="1"/>
  <c r="N228" i="9" s="1"/>
  <c r="K228" i="9" a="1"/>
  <c r="K228" i="9" s="1"/>
  <c r="D229" i="9"/>
  <c r="EA223" i="12"/>
  <c r="AZ224" i="12"/>
  <c r="BA224" i="12"/>
  <c r="BB224" i="12"/>
  <c r="DX224" i="12"/>
  <c r="DY224" i="12"/>
  <c r="DZ224" i="12"/>
  <c r="BS224" i="12"/>
  <c r="BT224" i="12"/>
  <c r="BU224" i="12"/>
  <c r="BT225" i="9"/>
  <c r="BU225" i="9"/>
  <c r="BR225" i="9"/>
  <c r="BS225" i="9"/>
  <c r="EM226" i="9"/>
  <c r="BN226" i="9"/>
  <c r="BP226" i="9" s="1"/>
  <c r="CZ225" i="12"/>
  <c r="DB225" i="12" s="1"/>
  <c r="FE225" i="12"/>
  <c r="FG225" i="12" s="1"/>
  <c r="AI224" i="12"/>
  <c r="AH224" i="12"/>
  <c r="AG224" i="12"/>
  <c r="AC226" i="9"/>
  <c r="BO226" i="9"/>
  <c r="DS225" i="12"/>
  <c r="DU225" i="12" s="1"/>
  <c r="AB225" i="12"/>
  <c r="AD225" i="12" s="1"/>
  <c r="FF225" i="12"/>
  <c r="ET225" i="9" l="1"/>
  <c r="DY226" i="9"/>
  <c r="DH225" i="9"/>
  <c r="AU226" i="12"/>
  <c r="AW226" i="12" s="1"/>
  <c r="AY226" i="12"/>
  <c r="AV226" i="12"/>
  <c r="DW226" i="12"/>
  <c r="CH226" i="12"/>
  <c r="DA226" i="12"/>
  <c r="FE226" i="12"/>
  <c r="FG226" i="12" s="1"/>
  <c r="FJ226" i="12" s="1"/>
  <c r="CO225" i="9"/>
  <c r="BR226" i="12"/>
  <c r="AJ225" i="9"/>
  <c r="AJ226" i="9" s="1"/>
  <c r="EL226" i="12"/>
  <c r="EN226" i="12" s="1"/>
  <c r="DD226" i="12"/>
  <c r="AF226" i="12"/>
  <c r="DS226" i="12"/>
  <c r="DU226" i="12" s="1"/>
  <c r="DY226" i="12" s="1"/>
  <c r="BO226" i="12"/>
  <c r="EP226" i="12"/>
  <c r="BV225" i="9"/>
  <c r="FM225" i="9"/>
  <c r="BC225" i="9"/>
  <c r="BC226" i="9" s="1"/>
  <c r="CK226" i="12"/>
  <c r="EA225" i="9"/>
  <c r="EA226" i="9" s="1"/>
  <c r="AV227" i="9"/>
  <c r="DS227" i="9"/>
  <c r="DU227" i="9" s="1"/>
  <c r="DX227" i="9" s="1"/>
  <c r="CH227" i="9"/>
  <c r="AU227" i="9"/>
  <c r="AW227" i="9" s="1"/>
  <c r="AB227" i="9"/>
  <c r="AD227" i="9" s="1"/>
  <c r="EL227" i="9"/>
  <c r="EN227" i="9" s="1"/>
  <c r="ES227" i="9" s="1"/>
  <c r="AC227" i="9"/>
  <c r="CG227" i="9"/>
  <c r="CI227" i="9" s="1"/>
  <c r="CN227" i="9" s="1"/>
  <c r="FE227" i="9"/>
  <c r="FG227" i="9" s="1"/>
  <c r="FJ227" i="9" s="1"/>
  <c r="FF227" i="9"/>
  <c r="EM227" i="9"/>
  <c r="DT227" i="9"/>
  <c r="CZ227" i="9"/>
  <c r="DB227" i="9" s="1"/>
  <c r="CO224" i="12"/>
  <c r="FM224" i="12"/>
  <c r="BC225" i="12"/>
  <c r="DA227" i="9"/>
  <c r="AJ224" i="12"/>
  <c r="EA224" i="12"/>
  <c r="BN226" i="12"/>
  <c r="BP226" i="12" s="1"/>
  <c r="BS226" i="12" s="1"/>
  <c r="EM226" i="12"/>
  <c r="BV224" i="12"/>
  <c r="J229" i="9" a="1"/>
  <c r="J229" i="9" s="1"/>
  <c r="O229" i="9" a="1"/>
  <c r="O229" i="9" s="1"/>
  <c r="H229" i="9" a="1"/>
  <c r="H229" i="9" s="1"/>
  <c r="N229" i="9" a="1"/>
  <c r="N229" i="9" s="1"/>
  <c r="G229" i="9" a="1"/>
  <c r="G229" i="9" s="1"/>
  <c r="K229" i="9" a="1"/>
  <c r="K229" i="9" s="1"/>
  <c r="L229" i="9" a="1"/>
  <c r="L229" i="9" s="1"/>
  <c r="D230" i="9"/>
  <c r="FI226" i="12"/>
  <c r="ES226" i="9"/>
  <c r="ER226" i="9"/>
  <c r="EQ226" i="9"/>
  <c r="EP226" i="9"/>
  <c r="ET226" i="9" s="1"/>
  <c r="BT226" i="9"/>
  <c r="BU226" i="9"/>
  <c r="BR226" i="9"/>
  <c r="BV226" i="9" s="1"/>
  <c r="BS226" i="9"/>
  <c r="DG227" i="9"/>
  <c r="DF227" i="9"/>
  <c r="DE227" i="9"/>
  <c r="DD227" i="9"/>
  <c r="EQ226" i="12"/>
  <c r="ES226" i="12"/>
  <c r="ER226" i="12"/>
  <c r="DG226" i="9"/>
  <c r="DF226" i="9"/>
  <c r="DD226" i="9"/>
  <c r="DE226" i="9"/>
  <c r="DH226" i="9" s="1"/>
  <c r="M227" i="12"/>
  <c r="P227" i="12" s="1"/>
  <c r="Q227" i="12" s="1"/>
  <c r="BO227" i="9"/>
  <c r="EQ227" i="9"/>
  <c r="DH224" i="12"/>
  <c r="CZ226" i="12"/>
  <c r="DB226" i="12" s="1"/>
  <c r="CG226" i="12"/>
  <c r="CI226" i="12" s="1"/>
  <c r="FF226" i="12"/>
  <c r="BN227" i="9"/>
  <c r="BP227" i="9" s="1"/>
  <c r="AG227" i="9"/>
  <c r="AI227" i="9"/>
  <c r="AF227" i="9"/>
  <c r="AJ227" i="9" s="1"/>
  <c r="AH227" i="9"/>
  <c r="FK227" i="9"/>
  <c r="AY227" i="9"/>
  <c r="BC227" i="9" s="1"/>
  <c r="BA227" i="9"/>
  <c r="BB227" i="9"/>
  <c r="AZ227" i="9"/>
  <c r="BA226" i="12"/>
  <c r="AZ226" i="12"/>
  <c r="BB226" i="12"/>
  <c r="EQ225" i="12"/>
  <c r="ER225" i="12"/>
  <c r="ES225" i="12"/>
  <c r="BS225" i="12"/>
  <c r="BT225" i="12"/>
  <c r="BU225" i="12"/>
  <c r="AH225" i="12"/>
  <c r="AG225" i="12"/>
  <c r="AI225" i="12"/>
  <c r="FJ225" i="12"/>
  <c r="FL225" i="12"/>
  <c r="FK225" i="12"/>
  <c r="BC224" i="12"/>
  <c r="L228" i="12" a="1"/>
  <c r="L228" i="12" s="1"/>
  <c r="J228" i="12" a="1"/>
  <c r="J228" i="12" s="1"/>
  <c r="N228" i="12" a="1"/>
  <c r="N228" i="12" s="1"/>
  <c r="G228" i="12" a="1"/>
  <c r="G228" i="12" s="1"/>
  <c r="H228" i="12" a="1"/>
  <c r="H228" i="12" s="1"/>
  <c r="K228" i="12" a="1"/>
  <c r="K228" i="12" s="1"/>
  <c r="O228" i="12" a="1"/>
  <c r="O228" i="12" s="1"/>
  <c r="D229" i="12"/>
  <c r="CE228" i="9"/>
  <c r="CF228" i="9" s="1"/>
  <c r="CJ228" i="9" s="1"/>
  <c r="Z228" i="9"/>
  <c r="AA228" i="9" s="1"/>
  <c r="AE228" i="9" s="1"/>
  <c r="CX228" i="9"/>
  <c r="CY228" i="9" s="1"/>
  <c r="DC228" i="9" s="1"/>
  <c r="DQ228" i="9"/>
  <c r="DR228" i="9" s="1"/>
  <c r="DV228" i="9" s="1"/>
  <c r="FC228" i="9"/>
  <c r="FD228" i="9" s="1"/>
  <c r="FH228" i="9" s="1"/>
  <c r="BL228" i="9"/>
  <c r="BM228" i="9" s="1"/>
  <c r="BQ228" i="9" s="1"/>
  <c r="AS228" i="9"/>
  <c r="AT228" i="9" s="1"/>
  <c r="AX228" i="9" s="1"/>
  <c r="EJ228" i="9"/>
  <c r="EK228" i="9" s="1"/>
  <c r="EO228" i="9" s="1"/>
  <c r="I229" i="9"/>
  <c r="CL225" i="12"/>
  <c r="CN225" i="12"/>
  <c r="CM225" i="12"/>
  <c r="AB226" i="12"/>
  <c r="AD226" i="12" s="1"/>
  <c r="FL226" i="9"/>
  <c r="FK226" i="9"/>
  <c r="FI226" i="9"/>
  <c r="FM226" i="9" s="1"/>
  <c r="FJ226" i="9"/>
  <c r="ET224" i="12"/>
  <c r="DZ227" i="9"/>
  <c r="DX225" i="12"/>
  <c r="DZ225" i="12"/>
  <c r="DY225" i="12"/>
  <c r="DE225" i="12"/>
  <c r="DG225" i="12"/>
  <c r="DF225" i="12"/>
  <c r="M228" i="9"/>
  <c r="P228" i="9" s="1"/>
  <c r="Q228" i="9" s="1"/>
  <c r="DT226" i="12"/>
  <c r="AC226" i="12"/>
  <c r="CN226" i="9"/>
  <c r="CK226" i="9"/>
  <c r="CM226" i="9"/>
  <c r="CL226" i="9"/>
  <c r="FK226" i="12" l="1"/>
  <c r="DY227" i="9"/>
  <c r="FL226" i="12"/>
  <c r="DW227" i="9"/>
  <c r="EA227" i="9"/>
  <c r="DZ226" i="12"/>
  <c r="DX226" i="12"/>
  <c r="DH227" i="9"/>
  <c r="FL227" i="9"/>
  <c r="FI227" i="9"/>
  <c r="FM227" i="9" s="1"/>
  <c r="CO226" i="9"/>
  <c r="EP227" i="9"/>
  <c r="ET227" i="9" s="1"/>
  <c r="AJ225" i="12"/>
  <c r="ER227" i="9"/>
  <c r="CM227" i="9"/>
  <c r="CK227" i="9"/>
  <c r="CO227" i="9" s="1"/>
  <c r="CL227" i="9"/>
  <c r="FM226" i="12"/>
  <c r="BV225" i="12"/>
  <c r="BT226" i="12"/>
  <c r="BU226" i="12"/>
  <c r="EA225" i="12"/>
  <c r="BC226" i="12"/>
  <c r="FM225" i="12"/>
  <c r="ET226" i="12"/>
  <c r="BN228" i="9"/>
  <c r="BP228" i="9" s="1"/>
  <c r="AU228" i="9"/>
  <c r="AW228" i="9" s="1"/>
  <c r="BO228" i="9"/>
  <c r="AV228" i="9"/>
  <c r="CG228" i="9"/>
  <c r="CI228" i="9" s="1"/>
  <c r="FE228" i="9"/>
  <c r="FG228" i="9" s="1"/>
  <c r="CH228" i="9"/>
  <c r="FF228" i="9"/>
  <c r="CZ228" i="9"/>
  <c r="DB228" i="9" s="1"/>
  <c r="DA228" i="9"/>
  <c r="AC228" i="9"/>
  <c r="AB228" i="9"/>
  <c r="AD228" i="9" s="1"/>
  <c r="EM228" i="9"/>
  <c r="EL228" i="9"/>
  <c r="EN228" i="9" s="1"/>
  <c r="DT228" i="9"/>
  <c r="DS228" i="9"/>
  <c r="DU228" i="9" s="1"/>
  <c r="CX229" i="9"/>
  <c r="CY229" i="9" s="1"/>
  <c r="DC229" i="9" s="1"/>
  <c r="AS229" i="9"/>
  <c r="AT229" i="9" s="1"/>
  <c r="AX229" i="9" s="1"/>
  <c r="EJ229" i="9"/>
  <c r="EK229" i="9" s="1"/>
  <c r="EO229" i="9" s="1"/>
  <c r="CE229" i="9"/>
  <c r="CF229" i="9" s="1"/>
  <c r="CJ229" i="9" s="1"/>
  <c r="Z229" i="9"/>
  <c r="AA229" i="9" s="1"/>
  <c r="AE229" i="9" s="1"/>
  <c r="BL229" i="9"/>
  <c r="BM229" i="9" s="1"/>
  <c r="BQ229" i="9" s="1"/>
  <c r="DQ229" i="9"/>
  <c r="DR229" i="9" s="1"/>
  <c r="DV229" i="9" s="1"/>
  <c r="FC229" i="9"/>
  <c r="FD229" i="9" s="1"/>
  <c r="FH229" i="9" s="1"/>
  <c r="I230" i="9"/>
  <c r="BR227" i="9"/>
  <c r="BU227" i="9"/>
  <c r="BT227" i="9"/>
  <c r="BS227" i="9"/>
  <c r="EP227" i="12"/>
  <c r="FF227" i="12"/>
  <c r="FE227" i="12"/>
  <c r="FG227" i="12" s="1"/>
  <c r="CK227" i="12"/>
  <c r="DD227" i="12"/>
  <c r="AB227" i="12"/>
  <c r="AD227" i="12" s="1"/>
  <c r="BN227" i="12"/>
  <c r="BP227" i="12" s="1"/>
  <c r="AC227" i="12"/>
  <c r="BO227" i="12"/>
  <c r="DW227" i="12"/>
  <c r="CG227" i="12"/>
  <c r="CI227" i="12" s="1"/>
  <c r="DT227" i="12"/>
  <c r="DS227" i="12"/>
  <c r="DU227" i="12" s="1"/>
  <c r="AF227" i="12"/>
  <c r="BR227" i="12"/>
  <c r="FI227" i="12"/>
  <c r="AY227" i="12"/>
  <c r="DA227" i="12"/>
  <c r="EM227" i="12"/>
  <c r="CZ227" i="12"/>
  <c r="DB227" i="12" s="1"/>
  <c r="EL227" i="12"/>
  <c r="EN227" i="12" s="1"/>
  <c r="CH227" i="12"/>
  <c r="AV227" i="12"/>
  <c r="AU227" i="12"/>
  <c r="AW227" i="12" s="1"/>
  <c r="N229" i="12" a="1"/>
  <c r="N229" i="12" s="1"/>
  <c r="K229" i="12" a="1"/>
  <c r="K229" i="12" s="1"/>
  <c r="H229" i="12" a="1"/>
  <c r="H229" i="12" s="1"/>
  <c r="J229" i="12" a="1"/>
  <c r="J229" i="12" s="1"/>
  <c r="O229" i="12" a="1"/>
  <c r="O229" i="12" s="1"/>
  <c r="L229" i="12" a="1"/>
  <c r="L229" i="12" s="1"/>
  <c r="G229" i="12" a="1"/>
  <c r="G229" i="12" s="1"/>
  <c r="D230" i="12"/>
  <c r="AI226" i="12"/>
  <c r="AH226" i="12"/>
  <c r="AG226" i="12"/>
  <c r="ET225" i="12"/>
  <c r="DH225" i="12"/>
  <c r="CM226" i="12"/>
  <c r="CL226" i="12"/>
  <c r="CN226" i="12"/>
  <c r="M229" i="9"/>
  <c r="P229" i="9" s="1"/>
  <c r="Q229" i="9" s="1"/>
  <c r="CO225" i="12"/>
  <c r="M228" i="12"/>
  <c r="P228" i="12" s="1"/>
  <c r="Q228" i="12" s="1"/>
  <c r="DE226" i="12"/>
  <c r="DG226" i="12"/>
  <c r="DF226" i="12"/>
  <c r="K230" i="9" a="1"/>
  <c r="K230" i="9" s="1"/>
  <c r="J230" i="9" a="1"/>
  <c r="J230" i="9" s="1"/>
  <c r="L230" i="9" a="1"/>
  <c r="L230" i="9" s="1"/>
  <c r="N230" i="9" a="1"/>
  <c r="N230" i="9" s="1"/>
  <c r="H230" i="9" a="1"/>
  <c r="H230" i="9" s="1"/>
  <c r="G230" i="9" a="1"/>
  <c r="G230" i="9" s="1"/>
  <c r="O230" i="9" a="1"/>
  <c r="O230" i="9" s="1"/>
  <c r="D231" i="9"/>
  <c r="EA226" i="12" l="1"/>
  <c r="BV227" i="9"/>
  <c r="AY228" i="12"/>
  <c r="EM228" i="12"/>
  <c r="BR228" i="12"/>
  <c r="AU228" i="12"/>
  <c r="AW228" i="12" s="1"/>
  <c r="CG228" i="12"/>
  <c r="CI228" i="12" s="1"/>
  <c r="CL228" i="12" s="1"/>
  <c r="EP228" i="12"/>
  <c r="DS228" i="12"/>
  <c r="DU228" i="12" s="1"/>
  <c r="DX228" i="12" s="1"/>
  <c r="AV228" i="12"/>
  <c r="FF228" i="12"/>
  <c r="DT228" i="12"/>
  <c r="BO228" i="12"/>
  <c r="FE228" i="12"/>
  <c r="FG228" i="12" s="1"/>
  <c r="FK228" i="12" s="1"/>
  <c r="FI228" i="12"/>
  <c r="DD228" i="12"/>
  <c r="CH228" i="12"/>
  <c r="BN228" i="12"/>
  <c r="BP228" i="12" s="1"/>
  <c r="BS228" i="12" s="1"/>
  <c r="EL228" i="12"/>
  <c r="EN228" i="12" s="1"/>
  <c r="ER228" i="12" s="1"/>
  <c r="AF228" i="12"/>
  <c r="AB228" i="12"/>
  <c r="AD228" i="12" s="1"/>
  <c r="BV226" i="12"/>
  <c r="DA228" i="12"/>
  <c r="CK228" i="12"/>
  <c r="DW228" i="12"/>
  <c r="CZ228" i="12"/>
  <c r="DB228" i="12" s="1"/>
  <c r="DE228" i="12" s="1"/>
  <c r="M230" i="9"/>
  <c r="P230" i="9" s="1"/>
  <c r="Q230" i="9" s="1"/>
  <c r="DH226" i="12"/>
  <c r="AC228" i="12"/>
  <c r="AJ226" i="12"/>
  <c r="CH229" i="9"/>
  <c r="BO229" i="9"/>
  <c r="AU229" i="9"/>
  <c r="AW229" i="9" s="1"/>
  <c r="CG229" i="9"/>
  <c r="CI229" i="9" s="1"/>
  <c r="BN229" i="9"/>
  <c r="BP229" i="9" s="1"/>
  <c r="AV229" i="9"/>
  <c r="FE229" i="9"/>
  <c r="FG229" i="9" s="1"/>
  <c r="FF229" i="9"/>
  <c r="EL229" i="9"/>
  <c r="EN229" i="9" s="1"/>
  <c r="AC229" i="9"/>
  <c r="EM229" i="9"/>
  <c r="AB229" i="9"/>
  <c r="AD229" i="9" s="1"/>
  <c r="CZ229" i="9"/>
  <c r="DB229" i="9" s="1"/>
  <c r="DA229" i="9"/>
  <c r="DS229" i="9"/>
  <c r="DU229" i="9" s="1"/>
  <c r="DT229" i="9"/>
  <c r="EQ228" i="12"/>
  <c r="CN227" i="12"/>
  <c r="CL227" i="12"/>
  <c r="CM227" i="12"/>
  <c r="FJ227" i="12"/>
  <c r="FL227" i="12"/>
  <c r="FK227" i="12"/>
  <c r="DW228" i="9"/>
  <c r="DX228" i="9"/>
  <c r="DZ228" i="9"/>
  <c r="DY228" i="9"/>
  <c r="CO226" i="12"/>
  <c r="L231" i="9" a="1"/>
  <c r="L231" i="9" s="1"/>
  <c r="K231" i="9" a="1"/>
  <c r="K231" i="9" s="1"/>
  <c r="J231" i="9" a="1"/>
  <c r="J231" i="9" s="1"/>
  <c r="O231" i="9" a="1"/>
  <c r="O231" i="9" s="1"/>
  <c r="H231" i="9" a="1"/>
  <c r="H231" i="9" s="1"/>
  <c r="N231" i="9" a="1"/>
  <c r="N231" i="9" s="1"/>
  <c r="G231" i="9" a="1"/>
  <c r="G231" i="9" s="1"/>
  <c r="D232" i="9"/>
  <c r="AH228" i="12"/>
  <c r="AG228" i="12"/>
  <c r="AI228" i="12"/>
  <c r="G230" i="12" a="1"/>
  <c r="G230" i="12" s="1"/>
  <c r="O230" i="12" a="1"/>
  <c r="O230" i="12" s="1"/>
  <c r="K230" i="12" a="1"/>
  <c r="K230" i="12" s="1"/>
  <c r="N230" i="12" a="1"/>
  <c r="N230" i="12" s="1"/>
  <c r="J230" i="12" a="1"/>
  <c r="J230" i="12" s="1"/>
  <c r="H230" i="12" a="1"/>
  <c r="H230" i="12" s="1"/>
  <c r="L230" i="12" a="1"/>
  <c r="L230" i="12" s="1"/>
  <c r="D231" i="12"/>
  <c r="ER228" i="9"/>
  <c r="EQ228" i="9"/>
  <c r="EP228" i="9"/>
  <c r="ES228" i="9"/>
  <c r="FJ228" i="9"/>
  <c r="FI228" i="9"/>
  <c r="FK228" i="9"/>
  <c r="FL228" i="9"/>
  <c r="BA228" i="12"/>
  <c r="BB228" i="12"/>
  <c r="AZ228" i="12"/>
  <c r="AZ227" i="12"/>
  <c r="BA227" i="12"/>
  <c r="BB227" i="12"/>
  <c r="CN228" i="9"/>
  <c r="CM228" i="9"/>
  <c r="CL228" i="9"/>
  <c r="CK228" i="9"/>
  <c r="CO228" i="9" s="1"/>
  <c r="BS227" i="12"/>
  <c r="BU227" i="12"/>
  <c r="BT227" i="12"/>
  <c r="AI228" i="9"/>
  <c r="AF228" i="9"/>
  <c r="AH228" i="9"/>
  <c r="AG228" i="9"/>
  <c r="DZ228" i="12"/>
  <c r="DY228" i="12"/>
  <c r="AG227" i="12"/>
  <c r="AH227" i="12"/>
  <c r="AI227" i="12"/>
  <c r="M229" i="12"/>
  <c r="P229" i="12" s="1"/>
  <c r="Q229" i="12" s="1"/>
  <c r="EQ227" i="12"/>
  <c r="ES227" i="12"/>
  <c r="ER227" i="12"/>
  <c r="DX227" i="12"/>
  <c r="DZ227" i="12"/>
  <c r="DY227" i="12"/>
  <c r="BA228" i="9"/>
  <c r="BB228" i="9"/>
  <c r="AZ228" i="9"/>
  <c r="AY228" i="9"/>
  <c r="FJ228" i="12"/>
  <c r="FL228" i="12"/>
  <c r="DE227" i="12"/>
  <c r="DF227" i="12"/>
  <c r="DG227" i="12"/>
  <c r="DQ230" i="9"/>
  <c r="DR230" i="9" s="1"/>
  <c r="DV230" i="9" s="1"/>
  <c r="BL230" i="9"/>
  <c r="BM230" i="9" s="1"/>
  <c r="BQ230" i="9" s="1"/>
  <c r="CX230" i="9"/>
  <c r="CY230" i="9" s="1"/>
  <c r="DC230" i="9" s="1"/>
  <c r="AS230" i="9"/>
  <c r="AT230" i="9" s="1"/>
  <c r="AX230" i="9" s="1"/>
  <c r="EJ230" i="9"/>
  <c r="EK230" i="9" s="1"/>
  <c r="EO230" i="9" s="1"/>
  <c r="FC230" i="9"/>
  <c r="FD230" i="9" s="1"/>
  <c r="FH230" i="9" s="1"/>
  <c r="Z230" i="9"/>
  <c r="AA230" i="9" s="1"/>
  <c r="AE230" i="9" s="1"/>
  <c r="CE230" i="9"/>
  <c r="CF230" i="9" s="1"/>
  <c r="CJ230" i="9" s="1"/>
  <c r="I231" i="9"/>
  <c r="DE228" i="9"/>
  <c r="DG228" i="9"/>
  <c r="DF228" i="9"/>
  <c r="DD228" i="9"/>
  <c r="BU228" i="9"/>
  <c r="BR228" i="9"/>
  <c r="BS228" i="9"/>
  <c r="BT228" i="9"/>
  <c r="CM228" i="12" l="1"/>
  <c r="ET228" i="9"/>
  <c r="EA228" i="9"/>
  <c r="BV228" i="9"/>
  <c r="CN228" i="12"/>
  <c r="M231" i="9"/>
  <c r="P231" i="9" s="1"/>
  <c r="Q231" i="9" s="1"/>
  <c r="DH228" i="9"/>
  <c r="AJ228" i="9"/>
  <c r="FM228" i="9"/>
  <c r="BC228" i="9"/>
  <c r="ES228" i="12"/>
  <c r="ET228" i="12" s="1"/>
  <c r="DF228" i="12"/>
  <c r="DG228" i="12"/>
  <c r="BT228" i="12"/>
  <c r="BU228" i="12"/>
  <c r="AJ227" i="12"/>
  <c r="M230" i="12"/>
  <c r="P230" i="12" s="1"/>
  <c r="Q230" i="12" s="1"/>
  <c r="BV227" i="12"/>
  <c r="AJ228" i="12"/>
  <c r="FM227" i="12"/>
  <c r="BC228" i="12"/>
  <c r="FM228" i="12"/>
  <c r="BC227" i="12"/>
  <c r="DH227" i="12"/>
  <c r="CO227" i="12"/>
  <c r="Z231" i="9"/>
  <c r="AA231" i="9" s="1"/>
  <c r="AE231" i="9" s="1"/>
  <c r="EJ231" i="9"/>
  <c r="EK231" i="9" s="1"/>
  <c r="EO231" i="9" s="1"/>
  <c r="DQ231" i="9"/>
  <c r="DR231" i="9" s="1"/>
  <c r="DV231" i="9" s="1"/>
  <c r="CX231" i="9"/>
  <c r="CY231" i="9" s="1"/>
  <c r="DC231" i="9" s="1"/>
  <c r="CE231" i="9"/>
  <c r="CF231" i="9" s="1"/>
  <c r="CJ231" i="9" s="1"/>
  <c r="BL231" i="9"/>
  <c r="BM231" i="9" s="1"/>
  <c r="BQ231" i="9" s="1"/>
  <c r="FC231" i="9"/>
  <c r="FD231" i="9" s="1"/>
  <c r="FH231" i="9" s="1"/>
  <c r="AS231" i="9"/>
  <c r="AT231" i="9" s="1"/>
  <c r="AX231" i="9" s="1"/>
  <c r="I232" i="9"/>
  <c r="EA227" i="12"/>
  <c r="L232" i="9" a="1"/>
  <c r="L232" i="9" s="1"/>
  <c r="N232" i="9" a="1"/>
  <c r="N232" i="9" s="1"/>
  <c r="O232" i="9" a="1"/>
  <c r="O232" i="9" s="1"/>
  <c r="K232" i="9" a="1"/>
  <c r="K232" i="9" s="1"/>
  <c r="H232" i="9" a="1"/>
  <c r="H232" i="9" s="1"/>
  <c r="G232" i="9" a="1"/>
  <c r="G232" i="9" s="1"/>
  <c r="J232" i="9" a="1"/>
  <c r="J232" i="9" s="1"/>
  <c r="D233" i="9"/>
  <c r="DX229" i="9"/>
  <c r="DW229" i="9"/>
  <c r="DZ229" i="9"/>
  <c r="DY229" i="9"/>
  <c r="FJ229" i="9"/>
  <c r="FK229" i="9"/>
  <c r="FL229" i="9"/>
  <c r="FI229" i="9"/>
  <c r="CO228" i="12"/>
  <c r="DH228" i="12"/>
  <c r="ET227" i="12"/>
  <c r="DG229" i="9"/>
  <c r="DF229" i="9"/>
  <c r="DE229" i="9"/>
  <c r="DD229" i="9"/>
  <c r="BT229" i="9"/>
  <c r="BU229" i="9"/>
  <c r="BR229" i="9"/>
  <c r="BV229" i="9" s="1"/>
  <c r="BS229" i="9"/>
  <c r="AF229" i="9"/>
  <c r="AI229" i="9"/>
  <c r="AG229" i="9"/>
  <c r="AH229" i="9"/>
  <c r="CN229" i="9"/>
  <c r="CL229" i="9"/>
  <c r="CK229" i="9"/>
  <c r="CO229" i="9" s="1"/>
  <c r="CM229" i="9"/>
  <c r="G231" i="12" a="1"/>
  <c r="G231" i="12" s="1"/>
  <c r="J231" i="12" a="1"/>
  <c r="J231" i="12" s="1"/>
  <c r="K231" i="12" a="1"/>
  <c r="K231" i="12" s="1"/>
  <c r="L231" i="12" a="1"/>
  <c r="L231" i="12" s="1"/>
  <c r="O231" i="12" a="1"/>
  <c r="O231" i="12" s="1"/>
  <c r="N231" i="12" a="1"/>
  <c r="N231" i="12" s="1"/>
  <c r="H231" i="12" a="1"/>
  <c r="H231" i="12" s="1"/>
  <c r="D232" i="12"/>
  <c r="BA229" i="9"/>
  <c r="BB229" i="9"/>
  <c r="AY229" i="9"/>
  <c r="AZ229" i="9"/>
  <c r="EP229" i="12"/>
  <c r="FE229" i="12"/>
  <c r="FG229" i="12" s="1"/>
  <c r="FF229" i="12"/>
  <c r="CK229" i="12"/>
  <c r="DD229" i="12"/>
  <c r="AC229" i="12"/>
  <c r="AB229" i="12"/>
  <c r="AD229" i="12" s="1"/>
  <c r="BO229" i="12"/>
  <c r="BN229" i="12"/>
  <c r="BP229" i="12" s="1"/>
  <c r="AY229" i="12"/>
  <c r="EL229" i="12"/>
  <c r="EN229" i="12" s="1"/>
  <c r="DS229" i="12"/>
  <c r="DU229" i="12" s="1"/>
  <c r="BR229" i="12"/>
  <c r="EM229" i="12"/>
  <c r="DT229" i="12"/>
  <c r="CG229" i="12"/>
  <c r="CI229" i="12" s="1"/>
  <c r="AF229" i="12"/>
  <c r="CH229" i="12"/>
  <c r="CZ229" i="12"/>
  <c r="DB229" i="12" s="1"/>
  <c r="FI229" i="12"/>
  <c r="DA229" i="12"/>
  <c r="DW229" i="12"/>
  <c r="AU229" i="12"/>
  <c r="AW229" i="12" s="1"/>
  <c r="AV229" i="12"/>
  <c r="EA228" i="12"/>
  <c r="FE230" i="9"/>
  <c r="FG230" i="9" s="1"/>
  <c r="BO230" i="9"/>
  <c r="AV230" i="9"/>
  <c r="AU230" i="9"/>
  <c r="AW230" i="9" s="1"/>
  <c r="BN230" i="9"/>
  <c r="BP230" i="9" s="1"/>
  <c r="CG230" i="9"/>
  <c r="CI230" i="9" s="1"/>
  <c r="FF230" i="9"/>
  <c r="CH230" i="9"/>
  <c r="DA230" i="9"/>
  <c r="EM230" i="9"/>
  <c r="CZ230" i="9"/>
  <c r="DB230" i="9" s="1"/>
  <c r="AB230" i="9"/>
  <c r="AD230" i="9" s="1"/>
  <c r="AC230" i="9"/>
  <c r="EL230" i="9"/>
  <c r="EN230" i="9" s="1"/>
  <c r="DT230" i="9"/>
  <c r="DS230" i="9"/>
  <c r="DU230" i="9" s="1"/>
  <c r="EP229" i="9"/>
  <c r="EQ229" i="9"/>
  <c r="ES229" i="9"/>
  <c r="ER229" i="9"/>
  <c r="EA229" i="9" l="1"/>
  <c r="ET229" i="9"/>
  <c r="FM229" i="9"/>
  <c r="AJ229" i="9"/>
  <c r="DH229" i="9"/>
  <c r="BC229" i="9"/>
  <c r="DS230" i="12"/>
  <c r="DU230" i="12" s="1"/>
  <c r="DZ230" i="12" s="1"/>
  <c r="CK230" i="12"/>
  <c r="DA230" i="12"/>
  <c r="AY230" i="12"/>
  <c r="DD230" i="12"/>
  <c r="CH230" i="12"/>
  <c r="BV228" i="12"/>
  <c r="DW230" i="12"/>
  <c r="AC230" i="12"/>
  <c r="M231" i="12"/>
  <c r="P231" i="12" s="1"/>
  <c r="Q231" i="12" s="1"/>
  <c r="DY230" i="9"/>
  <c r="DW230" i="9"/>
  <c r="DX230" i="9"/>
  <c r="DZ230" i="9"/>
  <c r="AF230" i="9"/>
  <c r="AH230" i="9"/>
  <c r="AI230" i="9"/>
  <c r="AG230" i="9"/>
  <c r="BB230" i="9"/>
  <c r="BA230" i="9"/>
  <c r="AZ230" i="9"/>
  <c r="AY230" i="9"/>
  <c r="DD230" i="9"/>
  <c r="DF230" i="9"/>
  <c r="DE230" i="9"/>
  <c r="DG230" i="9"/>
  <c r="DX229" i="12"/>
  <c r="DZ229" i="12"/>
  <c r="DY229" i="12"/>
  <c r="CG230" i="12"/>
  <c r="CI230" i="12" s="1"/>
  <c r="DE229" i="12"/>
  <c r="DG229" i="12"/>
  <c r="DF229" i="12"/>
  <c r="EQ229" i="12"/>
  <c r="ES229" i="12"/>
  <c r="ER229" i="12"/>
  <c r="AV231" i="9"/>
  <c r="BO231" i="9"/>
  <c r="AU231" i="9"/>
  <c r="AW231" i="9" s="1"/>
  <c r="FF231" i="9"/>
  <c r="CG231" i="9"/>
  <c r="CI231" i="9" s="1"/>
  <c r="CH231" i="9"/>
  <c r="BN231" i="9"/>
  <c r="BP231" i="9" s="1"/>
  <c r="FE231" i="9"/>
  <c r="FG231" i="9" s="1"/>
  <c r="DA231" i="9"/>
  <c r="AC231" i="9"/>
  <c r="CZ231" i="9"/>
  <c r="DB231" i="9" s="1"/>
  <c r="AB231" i="9"/>
  <c r="AD231" i="9" s="1"/>
  <c r="EL231" i="9"/>
  <c r="EN231" i="9" s="1"/>
  <c r="EM231" i="9"/>
  <c r="DT231" i="9"/>
  <c r="DS231" i="9"/>
  <c r="DU231" i="9" s="1"/>
  <c r="DT230" i="12"/>
  <c r="BR230" i="12"/>
  <c r="FK230" i="9"/>
  <c r="FI230" i="9"/>
  <c r="FM230" i="9" s="1"/>
  <c r="FL230" i="9"/>
  <c r="FJ230" i="9"/>
  <c r="FJ229" i="12"/>
  <c r="FL229" i="12"/>
  <c r="FK229" i="12"/>
  <c r="L232" i="12" a="1"/>
  <c r="L232" i="12" s="1"/>
  <c r="J232" i="12" a="1"/>
  <c r="J232" i="12" s="1"/>
  <c r="N232" i="12" a="1"/>
  <c r="N232" i="12" s="1"/>
  <c r="K232" i="12" a="1"/>
  <c r="K232" i="12" s="1"/>
  <c r="H232" i="12" a="1"/>
  <c r="H232" i="12" s="1"/>
  <c r="G232" i="12" a="1"/>
  <c r="G232" i="12" s="1"/>
  <c r="O232" i="12" a="1"/>
  <c r="O232" i="12" s="1"/>
  <c r="D233" i="12"/>
  <c r="FI230" i="12"/>
  <c r="FF230" i="12"/>
  <c r="BS229" i="12"/>
  <c r="BU229" i="12"/>
  <c r="BT229" i="12"/>
  <c r="EM230" i="12"/>
  <c r="FE230" i="12"/>
  <c r="FG230" i="12" s="1"/>
  <c r="CL229" i="12"/>
  <c r="CN229" i="12"/>
  <c r="CM229" i="12"/>
  <c r="CZ230" i="12"/>
  <c r="DB230" i="12" s="1"/>
  <c r="BN230" i="12"/>
  <c r="BP230" i="12" s="1"/>
  <c r="EP230" i="12"/>
  <c r="EQ230" i="9"/>
  <c r="EP230" i="9"/>
  <c r="ET230" i="9" s="1"/>
  <c r="ER230" i="9"/>
  <c r="ES230" i="9"/>
  <c r="AZ229" i="12"/>
  <c r="BB229" i="12"/>
  <c r="BA229" i="12"/>
  <c r="AG229" i="12"/>
  <c r="AI229" i="12"/>
  <c r="AH229" i="12"/>
  <c r="AU230" i="12"/>
  <c r="AW230" i="12" s="1"/>
  <c r="AF230" i="12"/>
  <c r="BO230" i="12"/>
  <c r="L233" i="9" a="1"/>
  <c r="L233" i="9" s="1"/>
  <c r="K233" i="9" a="1"/>
  <c r="K233" i="9" s="1"/>
  <c r="N233" i="9" a="1"/>
  <c r="N233" i="9" s="1"/>
  <c r="G233" i="9" a="1"/>
  <c r="G233" i="9" s="1"/>
  <c r="J233" i="9" a="1"/>
  <c r="J233" i="9" s="1"/>
  <c r="O233" i="9" a="1"/>
  <c r="O233" i="9" s="1"/>
  <c r="H233" i="9" a="1"/>
  <c r="H233" i="9" s="1"/>
  <c r="D234" i="9"/>
  <c r="CK230" i="9"/>
  <c r="CO230" i="9" s="1"/>
  <c r="CL230" i="9"/>
  <c r="CN230" i="9"/>
  <c r="CM230" i="9"/>
  <c r="BT230" i="9"/>
  <c r="BU230" i="9"/>
  <c r="BS230" i="9"/>
  <c r="BR230" i="9"/>
  <c r="AV230" i="12"/>
  <c r="EL230" i="12"/>
  <c r="EN230" i="12" s="1"/>
  <c r="AB230" i="12"/>
  <c r="AD230" i="12" s="1"/>
  <c r="M232" i="9"/>
  <c r="P232" i="9" s="1"/>
  <c r="Q232" i="9" s="1"/>
  <c r="CE232" i="9"/>
  <c r="CF232" i="9" s="1"/>
  <c r="CJ232" i="9" s="1"/>
  <c r="DQ232" i="9"/>
  <c r="DR232" i="9" s="1"/>
  <c r="DV232" i="9" s="1"/>
  <c r="FC232" i="9"/>
  <c r="FD232" i="9" s="1"/>
  <c r="FH232" i="9" s="1"/>
  <c r="Z232" i="9"/>
  <c r="AA232" i="9" s="1"/>
  <c r="AE232" i="9" s="1"/>
  <c r="BL232" i="9"/>
  <c r="BM232" i="9" s="1"/>
  <c r="BQ232" i="9" s="1"/>
  <c r="AS232" i="9"/>
  <c r="AT232" i="9" s="1"/>
  <c r="AX232" i="9" s="1"/>
  <c r="CX232" i="9"/>
  <c r="CY232" i="9" s="1"/>
  <c r="DC232" i="9" s="1"/>
  <c r="EJ232" i="9"/>
  <c r="EK232" i="9" s="1"/>
  <c r="EO232" i="9" s="1"/>
  <c r="I233" i="9"/>
  <c r="DX230" i="12" l="1"/>
  <c r="BV230" i="9"/>
  <c r="BC230" i="9"/>
  <c r="EA230" i="9"/>
  <c r="DY230" i="12"/>
  <c r="EA230" i="12" s="1"/>
  <c r="DH230" i="9"/>
  <c r="AJ230" i="9"/>
  <c r="AJ231" i="9" s="1"/>
  <c r="ET229" i="12"/>
  <c r="M233" i="9"/>
  <c r="AJ229" i="12"/>
  <c r="FM229" i="12"/>
  <c r="BV229" i="12"/>
  <c r="M232" i="12"/>
  <c r="P232" i="12" s="1"/>
  <c r="Q232" i="12" s="1"/>
  <c r="CO229" i="12"/>
  <c r="DX231" i="9"/>
  <c r="DW231" i="9"/>
  <c r="EA231" i="9" s="1"/>
  <c r="DZ231" i="9"/>
  <c r="DY231" i="9"/>
  <c r="FI231" i="9"/>
  <c r="FK231" i="9"/>
  <c r="FL231" i="9"/>
  <c r="FJ231" i="9"/>
  <c r="EA229" i="12"/>
  <c r="EQ230" i="12"/>
  <c r="ES230" i="12"/>
  <c r="ER230" i="12"/>
  <c r="BS230" i="12"/>
  <c r="BU230" i="12"/>
  <c r="BT230" i="12"/>
  <c r="BT231" i="9"/>
  <c r="BS231" i="9"/>
  <c r="BU231" i="9"/>
  <c r="BR231" i="9"/>
  <c r="DE230" i="12"/>
  <c r="DG230" i="12"/>
  <c r="DF230" i="12"/>
  <c r="AG230" i="12"/>
  <c r="AI230" i="12"/>
  <c r="AH230" i="12"/>
  <c r="K234" i="9" a="1"/>
  <c r="K234" i="9" s="1"/>
  <c r="O234" i="9" a="1"/>
  <c r="O234" i="9" s="1"/>
  <c r="G234" i="9" a="1"/>
  <c r="G234" i="9" s="1"/>
  <c r="L234" i="9" a="1"/>
  <c r="L234" i="9" s="1"/>
  <c r="J234" i="9" a="1"/>
  <c r="J234" i="9" s="1"/>
  <c r="H234" i="9" a="1"/>
  <c r="H234" i="9" s="1"/>
  <c r="N234" i="9" a="1"/>
  <c r="N234" i="9" s="1"/>
  <c r="D235" i="9"/>
  <c r="BC229" i="12"/>
  <c r="EQ231" i="9"/>
  <c r="ES231" i="9"/>
  <c r="EP231" i="9"/>
  <c r="ET231" i="9" s="1"/>
  <c r="ER231" i="9"/>
  <c r="CK231" i="9"/>
  <c r="CM231" i="9"/>
  <c r="CL231" i="9"/>
  <c r="CN231" i="9"/>
  <c r="DH229" i="12"/>
  <c r="AH231" i="9"/>
  <c r="AG231" i="9"/>
  <c r="AI231" i="9"/>
  <c r="AF231" i="9"/>
  <c r="AZ230" i="12"/>
  <c r="BB230" i="12"/>
  <c r="BA230" i="12"/>
  <c r="DE231" i="9"/>
  <c r="DD231" i="9"/>
  <c r="DF231" i="9"/>
  <c r="DG231" i="9"/>
  <c r="BB231" i="9"/>
  <c r="AY231" i="9"/>
  <c r="BC231" i="9" s="1"/>
  <c r="AZ231" i="9"/>
  <c r="BA231" i="9"/>
  <c r="P233" i="9"/>
  <c r="Q233" i="9" s="1"/>
  <c r="FJ230" i="12"/>
  <c r="FL230" i="12"/>
  <c r="FK230" i="12"/>
  <c r="CM230" i="12"/>
  <c r="CN230" i="12"/>
  <c r="CL230" i="12"/>
  <c r="FC233" i="9"/>
  <c r="FD233" i="9" s="1"/>
  <c r="FH233" i="9" s="1"/>
  <c r="CX233" i="9"/>
  <c r="CY233" i="9" s="1"/>
  <c r="DC233" i="9" s="1"/>
  <c r="EJ233" i="9"/>
  <c r="EK233" i="9" s="1"/>
  <c r="EO233" i="9" s="1"/>
  <c r="BL233" i="9"/>
  <c r="BM233" i="9" s="1"/>
  <c r="BQ233" i="9" s="1"/>
  <c r="AS233" i="9"/>
  <c r="AT233" i="9" s="1"/>
  <c r="AX233" i="9" s="1"/>
  <c r="CE233" i="9"/>
  <c r="CF233" i="9" s="1"/>
  <c r="CJ233" i="9" s="1"/>
  <c r="Z233" i="9"/>
  <c r="AA233" i="9" s="1"/>
  <c r="AE233" i="9" s="1"/>
  <c r="DQ233" i="9"/>
  <c r="DR233" i="9" s="1"/>
  <c r="DV233" i="9" s="1"/>
  <c r="I234" i="9"/>
  <c r="BO232" i="9"/>
  <c r="BN232" i="9"/>
  <c r="BP232" i="9" s="1"/>
  <c r="FE232" i="9"/>
  <c r="FG232" i="9" s="1"/>
  <c r="AV232" i="9"/>
  <c r="CG232" i="9"/>
  <c r="CI232" i="9" s="1"/>
  <c r="CH232" i="9"/>
  <c r="FF232" i="9"/>
  <c r="AU232" i="9"/>
  <c r="AW232" i="9" s="1"/>
  <c r="EM232" i="9"/>
  <c r="EL232" i="9"/>
  <c r="EN232" i="9" s="1"/>
  <c r="DA232" i="9"/>
  <c r="AB232" i="9"/>
  <c r="AD232" i="9" s="1"/>
  <c r="CZ232" i="9"/>
  <c r="DB232" i="9" s="1"/>
  <c r="AC232" i="9"/>
  <c r="DT232" i="9"/>
  <c r="DS232" i="9"/>
  <c r="DU232" i="9" s="1"/>
  <c r="J233" i="12" a="1"/>
  <c r="J233" i="12" s="1"/>
  <c r="G233" i="12" a="1"/>
  <c r="G233" i="12" s="1"/>
  <c r="L233" i="12" a="1"/>
  <c r="L233" i="12" s="1"/>
  <c r="K233" i="12" a="1"/>
  <c r="K233" i="12" s="1"/>
  <c r="N233" i="12" a="1"/>
  <c r="N233" i="12" s="1"/>
  <c r="H233" i="12" a="1"/>
  <c r="H233" i="12" s="1"/>
  <c r="O233" i="12" a="1"/>
  <c r="O233" i="12" s="1"/>
  <c r="D234" i="12"/>
  <c r="EP231" i="12"/>
  <c r="FF231" i="12"/>
  <c r="FE231" i="12"/>
  <c r="FG231" i="12" s="1"/>
  <c r="DD231" i="12"/>
  <c r="CK231" i="12"/>
  <c r="CK232" i="12" s="1"/>
  <c r="AC231" i="12"/>
  <c r="AB231" i="12"/>
  <c r="AD231" i="12" s="1"/>
  <c r="BO231" i="12"/>
  <c r="BN231" i="12"/>
  <c r="BP231" i="12" s="1"/>
  <c r="CH231" i="12"/>
  <c r="FI231" i="12"/>
  <c r="DW231" i="12"/>
  <c r="AY231" i="12"/>
  <c r="AY232" i="12" s="1"/>
  <c r="DT231" i="12"/>
  <c r="DA231" i="12"/>
  <c r="EM231" i="12"/>
  <c r="BR231" i="12"/>
  <c r="AF231" i="12"/>
  <c r="DS231" i="12"/>
  <c r="DU231" i="12" s="1"/>
  <c r="CZ231" i="12"/>
  <c r="DB231" i="12" s="1"/>
  <c r="EL231" i="12"/>
  <c r="EN231" i="12" s="1"/>
  <c r="EM232" i="12" s="1"/>
  <c r="CG231" i="12"/>
  <c r="CI231" i="12" s="1"/>
  <c r="AV231" i="12"/>
  <c r="AU231" i="12"/>
  <c r="AW231" i="12" s="1"/>
  <c r="DW232" i="12" l="1"/>
  <c r="DA232" i="12"/>
  <c r="CO231" i="9"/>
  <c r="FM231" i="9"/>
  <c r="BV231" i="9"/>
  <c r="BV230" i="12"/>
  <c r="DH231" i="9"/>
  <c r="DT232" i="12"/>
  <c r="BO232" i="12"/>
  <c r="EP232" i="12"/>
  <c r="AF232" i="12"/>
  <c r="AB232" i="12"/>
  <c r="AD232" i="12" s="1"/>
  <c r="AH232" i="12" s="1"/>
  <c r="CG232" i="12"/>
  <c r="CI232" i="12" s="1"/>
  <c r="CL232" i="12" s="1"/>
  <c r="AJ230" i="12"/>
  <c r="BC230" i="12"/>
  <c r="FM230" i="12"/>
  <c r="CO230" i="12"/>
  <c r="ET230" i="12"/>
  <c r="FJ231" i="12"/>
  <c r="FL231" i="12"/>
  <c r="FK231" i="12"/>
  <c r="FL232" i="9"/>
  <c r="FJ232" i="9"/>
  <c r="FI232" i="9"/>
  <c r="FK232" i="9"/>
  <c r="ER232" i="9"/>
  <c r="EQ232" i="9"/>
  <c r="EP232" i="9"/>
  <c r="ET232" i="9" s="1"/>
  <c r="ES232" i="9"/>
  <c r="BS232" i="9"/>
  <c r="BR232" i="9"/>
  <c r="BU232" i="9"/>
  <c r="BT232" i="9"/>
  <c r="DD232" i="12"/>
  <c r="DX231" i="12"/>
  <c r="DZ231" i="12"/>
  <c r="DY231" i="12"/>
  <c r="BS231" i="12"/>
  <c r="BT231" i="12"/>
  <c r="BU231" i="12"/>
  <c r="M233" i="12"/>
  <c r="P233" i="12" s="1"/>
  <c r="Q233" i="12" s="1"/>
  <c r="BR232" i="12"/>
  <c r="FE232" i="12"/>
  <c r="FG232" i="12" s="1"/>
  <c r="M234" i="9"/>
  <c r="P234" i="9" s="1"/>
  <c r="Q234" i="9" s="1"/>
  <c r="DH230" i="12"/>
  <c r="AZ231" i="12"/>
  <c r="BB231" i="12"/>
  <c r="BA231" i="12"/>
  <c r="G234" i="12" a="1"/>
  <c r="G234" i="12" s="1"/>
  <c r="O234" i="12" a="1"/>
  <c r="O234" i="12" s="1"/>
  <c r="L234" i="12" a="1"/>
  <c r="L234" i="12" s="1"/>
  <c r="N234" i="12" a="1"/>
  <c r="N234" i="12" s="1"/>
  <c r="K234" i="12" a="1"/>
  <c r="K234" i="12" s="1"/>
  <c r="H234" i="12" a="1"/>
  <c r="H234" i="12" s="1"/>
  <c r="J234" i="12" a="1"/>
  <c r="J234" i="12" s="1"/>
  <c r="D235" i="12"/>
  <c r="DY232" i="9"/>
  <c r="DZ232" i="9"/>
  <c r="DW232" i="9"/>
  <c r="DX232" i="9"/>
  <c r="BB232" i="9"/>
  <c r="AY232" i="9"/>
  <c r="AZ232" i="9"/>
  <c r="BA232" i="9"/>
  <c r="CE234" i="9"/>
  <c r="CF234" i="9" s="1"/>
  <c r="CJ234" i="9" s="1"/>
  <c r="EJ234" i="9"/>
  <c r="EK234" i="9" s="1"/>
  <c r="EO234" i="9" s="1"/>
  <c r="FC234" i="9"/>
  <c r="FD234" i="9" s="1"/>
  <c r="FH234" i="9" s="1"/>
  <c r="Z234" i="9"/>
  <c r="AA234" i="9" s="1"/>
  <c r="AE234" i="9" s="1"/>
  <c r="BL234" i="9"/>
  <c r="BM234" i="9" s="1"/>
  <c r="BQ234" i="9" s="1"/>
  <c r="DQ234" i="9"/>
  <c r="DR234" i="9" s="1"/>
  <c r="DV234" i="9" s="1"/>
  <c r="CX234" i="9"/>
  <c r="CY234" i="9" s="1"/>
  <c r="DC234" i="9" s="1"/>
  <c r="AS234" i="9"/>
  <c r="AT234" i="9" s="1"/>
  <c r="AX234" i="9" s="1"/>
  <c r="I235" i="9"/>
  <c r="DS232" i="12"/>
  <c r="DU232" i="12" s="1"/>
  <c r="FI232" i="12"/>
  <c r="FF232" i="12"/>
  <c r="FF233" i="9"/>
  <c r="AU233" i="9"/>
  <c r="AW233" i="9" s="1"/>
  <c r="FE233" i="9"/>
  <c r="FG233" i="9" s="1"/>
  <c r="AV233" i="9"/>
  <c r="CH233" i="9"/>
  <c r="BN233" i="9"/>
  <c r="BP233" i="9" s="1"/>
  <c r="CG233" i="9"/>
  <c r="CI233" i="9" s="1"/>
  <c r="BO233" i="9"/>
  <c r="EM233" i="9"/>
  <c r="EL233" i="9"/>
  <c r="EN233" i="9" s="1"/>
  <c r="AC233" i="9"/>
  <c r="DA233" i="9"/>
  <c r="AB233" i="9"/>
  <c r="AD233" i="9" s="1"/>
  <c r="CZ233" i="9"/>
  <c r="DB233" i="9" s="1"/>
  <c r="DS233" i="9"/>
  <c r="DU233" i="9" s="1"/>
  <c r="DT233" i="9"/>
  <c r="CL231" i="12"/>
  <c r="CN231" i="12"/>
  <c r="CM231" i="12"/>
  <c r="AU232" i="12"/>
  <c r="AW232" i="12" s="1"/>
  <c r="EQ231" i="12"/>
  <c r="ES231" i="12"/>
  <c r="ER231" i="12"/>
  <c r="DF232" i="9"/>
  <c r="DG232" i="9"/>
  <c r="DE232" i="9"/>
  <c r="DD232" i="9"/>
  <c r="CL232" i="9"/>
  <c r="CK232" i="9"/>
  <c r="CN232" i="9"/>
  <c r="CM232" i="9"/>
  <c r="AV232" i="12"/>
  <c r="CH232" i="12"/>
  <c r="BN232" i="12"/>
  <c r="BP232" i="12" s="1"/>
  <c r="AH231" i="12"/>
  <c r="AI231" i="12"/>
  <c r="AG231" i="12"/>
  <c r="DE231" i="12"/>
  <c r="DG231" i="12"/>
  <c r="DF231" i="12"/>
  <c r="AF232" i="9"/>
  <c r="AI232" i="9"/>
  <c r="AH232" i="9"/>
  <c r="AG232" i="9"/>
  <c r="CZ232" i="12"/>
  <c r="DB232" i="12" s="1"/>
  <c r="EL232" i="12"/>
  <c r="EN232" i="12" s="1"/>
  <c r="AC232" i="12"/>
  <c r="J235" i="9" a="1"/>
  <c r="J235" i="9" s="1"/>
  <c r="K235" i="9" a="1"/>
  <c r="K235" i="9" s="1"/>
  <c r="G235" i="9" a="1"/>
  <c r="G235" i="9" s="1"/>
  <c r="N235" i="9" a="1"/>
  <c r="N235" i="9" s="1"/>
  <c r="H235" i="9" a="1"/>
  <c r="H235" i="9" s="1"/>
  <c r="O235" i="9" a="1"/>
  <c r="O235" i="9" s="1"/>
  <c r="L235" i="9" a="1"/>
  <c r="L235" i="9" s="1"/>
  <c r="D236" i="9"/>
  <c r="BV232" i="9" l="1"/>
  <c r="CO232" i="9"/>
  <c r="FM232" i="9"/>
  <c r="BC232" i="9"/>
  <c r="DH232" i="9"/>
  <c r="AJ232" i="9"/>
  <c r="EA232" i="9"/>
  <c r="CN232" i="12"/>
  <c r="AG232" i="12"/>
  <c r="AI232" i="12"/>
  <c r="CM232" i="12"/>
  <c r="ET231" i="12"/>
  <c r="BC231" i="12"/>
  <c r="FM231" i="12"/>
  <c r="AJ231" i="12"/>
  <c r="BV231" i="12"/>
  <c r="CO231" i="12"/>
  <c r="M235" i="9"/>
  <c r="P235" i="9" s="1"/>
  <c r="Q235" i="9" s="1"/>
  <c r="DH231" i="12"/>
  <c r="L236" i="9" a="1"/>
  <c r="L236" i="9" s="1"/>
  <c r="G236" i="9" a="1"/>
  <c r="G236" i="9" s="1"/>
  <c r="O236" i="9" a="1"/>
  <c r="O236" i="9" s="1"/>
  <c r="H236" i="9" a="1"/>
  <c r="H236" i="9" s="1"/>
  <c r="N236" i="9" a="1"/>
  <c r="N236" i="9" s="1"/>
  <c r="J236" i="9" a="1"/>
  <c r="J236" i="9" s="1"/>
  <c r="D237" i="9"/>
  <c r="K236" i="9" a="1"/>
  <c r="K236" i="9" s="1"/>
  <c r="FF233" i="12"/>
  <c r="EP233" i="12"/>
  <c r="FE233" i="12"/>
  <c r="FG233" i="12" s="1"/>
  <c r="DD233" i="12"/>
  <c r="CK233" i="12"/>
  <c r="AB233" i="12"/>
  <c r="AD233" i="12" s="1"/>
  <c r="BO233" i="12"/>
  <c r="AC233" i="12"/>
  <c r="BN233" i="12"/>
  <c r="BP233" i="12" s="1"/>
  <c r="CH233" i="12"/>
  <c r="DW233" i="12"/>
  <c r="CG233" i="12"/>
  <c r="CI233" i="12" s="1"/>
  <c r="AY233" i="12"/>
  <c r="DA233" i="12"/>
  <c r="CZ233" i="12"/>
  <c r="DB233" i="12" s="1"/>
  <c r="BR233" i="12"/>
  <c r="DT233" i="12"/>
  <c r="EL233" i="12"/>
  <c r="EN233" i="12" s="1"/>
  <c r="FI233" i="12"/>
  <c r="DS233" i="12"/>
  <c r="DU233" i="12" s="1"/>
  <c r="EM233" i="12"/>
  <c r="AF233" i="12"/>
  <c r="AV233" i="12"/>
  <c r="AU233" i="12"/>
  <c r="AW233" i="12" s="1"/>
  <c r="BN234" i="9"/>
  <c r="BP234" i="9" s="1"/>
  <c r="BO235" i="9" s="1"/>
  <c r="CG234" i="9"/>
  <c r="CI234" i="9" s="1"/>
  <c r="CG235" i="9" s="1"/>
  <c r="CI235" i="9" s="1"/>
  <c r="AU234" i="9"/>
  <c r="AW234" i="9" s="1"/>
  <c r="AU235" i="9" s="1"/>
  <c r="AW235" i="9" s="1"/>
  <c r="FE234" i="9"/>
  <c r="FG234" i="9" s="1"/>
  <c r="FE235" i="9" s="1"/>
  <c r="FG235" i="9" s="1"/>
  <c r="AV234" i="9"/>
  <c r="FF234" i="9"/>
  <c r="CH234" i="9"/>
  <c r="BO234" i="9"/>
  <c r="AC234" i="9"/>
  <c r="EL234" i="9"/>
  <c r="EN234" i="9" s="1"/>
  <c r="EM235" i="9" s="1"/>
  <c r="AB234" i="9"/>
  <c r="AD234" i="9" s="1"/>
  <c r="AB235" i="9" s="1"/>
  <c r="AD235" i="9" s="1"/>
  <c r="EM234" i="9"/>
  <c r="CZ234" i="9"/>
  <c r="DB234" i="9" s="1"/>
  <c r="DA235" i="9" s="1"/>
  <c r="DA234" i="9"/>
  <c r="DT234" i="9"/>
  <c r="DS234" i="9"/>
  <c r="DU234" i="9" s="1"/>
  <c r="DY233" i="9"/>
  <c r="DX233" i="9"/>
  <c r="DW233" i="9"/>
  <c r="EA233" i="9" s="1"/>
  <c r="DZ233" i="9"/>
  <c r="CM233" i="9"/>
  <c r="CK233" i="9"/>
  <c r="CL233" i="9"/>
  <c r="CN233" i="9"/>
  <c r="FJ232" i="12"/>
  <c r="FL232" i="12"/>
  <c r="FK232" i="12"/>
  <c r="EA231" i="12"/>
  <c r="ER233" i="9"/>
  <c r="EP233" i="9"/>
  <c r="EQ233" i="9"/>
  <c r="ES233" i="9"/>
  <c r="BT233" i="9"/>
  <c r="BR233" i="9"/>
  <c r="BS233" i="9"/>
  <c r="BU233" i="9"/>
  <c r="DX232" i="12"/>
  <c r="DZ232" i="12"/>
  <c r="DY232" i="12"/>
  <c r="AG233" i="9"/>
  <c r="AH233" i="9"/>
  <c r="AF233" i="9"/>
  <c r="AI233" i="9"/>
  <c r="FC235" i="9"/>
  <c r="FD235" i="9" s="1"/>
  <c r="FH235" i="9" s="1"/>
  <c r="AS235" i="9"/>
  <c r="AT235" i="9" s="1"/>
  <c r="AX235" i="9" s="1"/>
  <c r="Z235" i="9"/>
  <c r="AA235" i="9" s="1"/>
  <c r="AE235" i="9" s="1"/>
  <c r="BL235" i="9"/>
  <c r="BM235" i="9" s="1"/>
  <c r="BQ235" i="9" s="1"/>
  <c r="CX235" i="9"/>
  <c r="CY235" i="9" s="1"/>
  <c r="DC235" i="9" s="1"/>
  <c r="EJ235" i="9"/>
  <c r="EK235" i="9" s="1"/>
  <c r="EO235" i="9" s="1"/>
  <c r="CE235" i="9"/>
  <c r="CF235" i="9" s="1"/>
  <c r="CJ235" i="9" s="1"/>
  <c r="DQ235" i="9"/>
  <c r="DR235" i="9" s="1"/>
  <c r="DV235" i="9" s="1"/>
  <c r="I236" i="9"/>
  <c r="EQ232" i="12"/>
  <c r="ES232" i="12"/>
  <c r="ER232" i="12"/>
  <c r="DE233" i="9"/>
  <c r="DG233" i="9"/>
  <c r="DF233" i="9"/>
  <c r="DD233" i="9"/>
  <c r="DH233" i="9" s="1"/>
  <c r="BS232" i="12"/>
  <c r="BU232" i="12"/>
  <c r="BT232" i="12"/>
  <c r="BB232" i="12"/>
  <c r="BA232" i="12"/>
  <c r="AZ232" i="12"/>
  <c r="O235" i="12" a="1"/>
  <c r="O235" i="12" s="1"/>
  <c r="N235" i="12" a="1"/>
  <c r="N235" i="12" s="1"/>
  <c r="J235" i="12" a="1"/>
  <c r="J235" i="12" s="1"/>
  <c r="H235" i="12" a="1"/>
  <c r="H235" i="12" s="1"/>
  <c r="K235" i="12" a="1"/>
  <c r="K235" i="12" s="1"/>
  <c r="G235" i="12" a="1"/>
  <c r="G235" i="12" s="1"/>
  <c r="L235" i="12" a="1"/>
  <c r="L235" i="12" s="1"/>
  <c r="D236" i="12"/>
  <c r="AY233" i="9"/>
  <c r="BC233" i="9" s="1"/>
  <c r="BB233" i="9"/>
  <c r="BA233" i="9"/>
  <c r="AZ233" i="9"/>
  <c r="DE232" i="12"/>
  <c r="DF232" i="12"/>
  <c r="DG232" i="12"/>
  <c r="FI233" i="9"/>
  <c r="FJ233" i="9"/>
  <c r="FK233" i="9"/>
  <c r="FL233" i="9"/>
  <c r="M234" i="12"/>
  <c r="P234" i="12" s="1"/>
  <c r="Q234" i="12" s="1"/>
  <c r="AJ232" i="12" l="1"/>
  <c r="BN235" i="9"/>
  <c r="BP235" i="9" s="1"/>
  <c r="BV233" i="9"/>
  <c r="CO232" i="12"/>
  <c r="AJ233" i="9"/>
  <c r="FM233" i="9"/>
  <c r="ET233" i="9"/>
  <c r="CO233" i="9"/>
  <c r="EA232" i="12"/>
  <c r="CZ235" i="9"/>
  <c r="DB235" i="9" s="1"/>
  <c r="AV235" i="9"/>
  <c r="BC232" i="12"/>
  <c r="FM232" i="12"/>
  <c r="ET232" i="12"/>
  <c r="EL235" i="9"/>
  <c r="EN235" i="9" s="1"/>
  <c r="BV232" i="12"/>
  <c r="DY234" i="9"/>
  <c r="DX234" i="9"/>
  <c r="DW234" i="9"/>
  <c r="DZ234" i="9"/>
  <c r="FF234" i="12"/>
  <c r="FE234" i="12"/>
  <c r="FG234" i="12" s="1"/>
  <c r="EP234" i="12"/>
  <c r="CK234" i="12"/>
  <c r="DD234" i="12"/>
  <c r="AB234" i="12"/>
  <c r="AD234" i="12" s="1"/>
  <c r="BO234" i="12"/>
  <c r="BN234" i="12"/>
  <c r="BP234" i="12" s="1"/>
  <c r="AC234" i="12"/>
  <c r="DW234" i="12"/>
  <c r="CH234" i="12"/>
  <c r="AY234" i="12"/>
  <c r="CG234" i="12"/>
  <c r="CI234" i="12" s="1"/>
  <c r="CZ234" i="12"/>
  <c r="DB234" i="12" s="1"/>
  <c r="BR234" i="12"/>
  <c r="FI234" i="12"/>
  <c r="DA234" i="12"/>
  <c r="AF234" i="12"/>
  <c r="EL234" i="12"/>
  <c r="EN234" i="12" s="1"/>
  <c r="DS234" i="12"/>
  <c r="DU234" i="12" s="1"/>
  <c r="EM234" i="12"/>
  <c r="DT234" i="12"/>
  <c r="AV234" i="12"/>
  <c r="AU234" i="12"/>
  <c r="AW234" i="12" s="1"/>
  <c r="DT235" i="9"/>
  <c r="BT235" i="9"/>
  <c r="BU235" i="9"/>
  <c r="BS235" i="9"/>
  <c r="BR235" i="9"/>
  <c r="DE233" i="12"/>
  <c r="DF233" i="12"/>
  <c r="DG233" i="12"/>
  <c r="J237" i="9" a="1"/>
  <c r="J237" i="9" s="1"/>
  <c r="H237" i="9" a="1"/>
  <c r="H237" i="9" s="1"/>
  <c r="K237" i="9" a="1"/>
  <c r="K237" i="9" s="1"/>
  <c r="N237" i="9" a="1"/>
  <c r="N237" i="9" s="1"/>
  <c r="G237" i="9" a="1"/>
  <c r="G237" i="9" s="1"/>
  <c r="O237" i="9" a="1"/>
  <c r="O237" i="9" s="1"/>
  <c r="L237" i="9" a="1"/>
  <c r="L237" i="9" s="1"/>
  <c r="D238" i="9"/>
  <c r="M235" i="12"/>
  <c r="P235" i="12" s="1"/>
  <c r="Q235" i="12" s="1"/>
  <c r="CX236" i="9"/>
  <c r="CY236" i="9" s="1"/>
  <c r="DC236" i="9" s="1"/>
  <c r="FC236" i="9"/>
  <c r="FD236" i="9" s="1"/>
  <c r="FH236" i="9" s="1"/>
  <c r="Z236" i="9"/>
  <c r="AA236" i="9" s="1"/>
  <c r="AE236" i="9" s="1"/>
  <c r="DQ236" i="9"/>
  <c r="DR236" i="9" s="1"/>
  <c r="DV236" i="9" s="1"/>
  <c r="BL236" i="9"/>
  <c r="BM236" i="9" s="1"/>
  <c r="BQ236" i="9" s="1"/>
  <c r="AS236" i="9"/>
  <c r="AT236" i="9" s="1"/>
  <c r="AX236" i="9" s="1"/>
  <c r="EJ236" i="9"/>
  <c r="EK236" i="9" s="1"/>
  <c r="EO236" i="9" s="1"/>
  <c r="CE236" i="9"/>
  <c r="CF236" i="9" s="1"/>
  <c r="CJ236" i="9" s="1"/>
  <c r="I237" i="9"/>
  <c r="DE235" i="9"/>
  <c r="DG235" i="9"/>
  <c r="DD235" i="9"/>
  <c r="DF235" i="9"/>
  <c r="FI235" i="9"/>
  <c r="FL235" i="9"/>
  <c r="FJ235" i="9"/>
  <c r="FK235" i="9"/>
  <c r="AH233" i="12"/>
  <c r="AI233" i="12"/>
  <c r="AG233" i="12"/>
  <c r="M236" i="9"/>
  <c r="P236" i="9" s="1"/>
  <c r="Q236" i="9" s="1"/>
  <c r="AZ233" i="12"/>
  <c r="BB233" i="12"/>
  <c r="BA233" i="12"/>
  <c r="DE234" i="9"/>
  <c r="DD234" i="9"/>
  <c r="DG234" i="9"/>
  <c r="DF234" i="9"/>
  <c r="AZ235" i="9"/>
  <c r="BB235" i="9"/>
  <c r="AY235" i="9"/>
  <c r="BA235" i="9"/>
  <c r="EQ235" i="9"/>
  <c r="EP235" i="9"/>
  <c r="ES235" i="9"/>
  <c r="ER235" i="9"/>
  <c r="FJ234" i="9"/>
  <c r="FI234" i="9"/>
  <c r="FL234" i="9"/>
  <c r="FK234" i="9"/>
  <c r="DX233" i="12"/>
  <c r="DZ233" i="12"/>
  <c r="DY233" i="12"/>
  <c r="CN233" i="12"/>
  <c r="CM233" i="12"/>
  <c r="CL233" i="12"/>
  <c r="AG235" i="9"/>
  <c r="AH235" i="9"/>
  <c r="AF235" i="9"/>
  <c r="AI235" i="9"/>
  <c r="FF235" i="9"/>
  <c r="AG234" i="9"/>
  <c r="AH234" i="9"/>
  <c r="AF234" i="9"/>
  <c r="AI234" i="9"/>
  <c r="AZ234" i="9"/>
  <c r="BB234" i="9"/>
  <c r="AY234" i="9"/>
  <c r="BA234" i="9"/>
  <c r="FJ233" i="12"/>
  <c r="FK233" i="12"/>
  <c r="FL233" i="12"/>
  <c r="CK235" i="9"/>
  <c r="CL235" i="9"/>
  <c r="CM235" i="9"/>
  <c r="CN235" i="9"/>
  <c r="EQ234" i="9"/>
  <c r="ET234" i="9" s="1"/>
  <c r="ET235" i="9" s="1"/>
  <c r="ER234" i="9"/>
  <c r="ES234" i="9"/>
  <c r="EP234" i="9"/>
  <c r="CM234" i="9"/>
  <c r="CL234" i="9"/>
  <c r="CK234" i="9"/>
  <c r="CN234" i="9"/>
  <c r="EQ233" i="12"/>
  <c r="ES233" i="12"/>
  <c r="ER233" i="12"/>
  <c r="DS235" i="9"/>
  <c r="DU235" i="9" s="1"/>
  <c r="L236" i="12" a="1"/>
  <c r="L236" i="12" s="1"/>
  <c r="J236" i="12" a="1"/>
  <c r="J236" i="12" s="1"/>
  <c r="N236" i="12" a="1"/>
  <c r="N236" i="12" s="1"/>
  <c r="H236" i="12" a="1"/>
  <c r="H236" i="12" s="1"/>
  <c r="G236" i="12" a="1"/>
  <c r="G236" i="12" s="1"/>
  <c r="O236" i="12" a="1"/>
  <c r="O236" i="12" s="1"/>
  <c r="K236" i="12" a="1"/>
  <c r="K236" i="12" s="1"/>
  <c r="D237" i="12"/>
  <c r="DH232" i="12"/>
  <c r="AC235" i="9"/>
  <c r="CH235" i="9"/>
  <c r="BS234" i="9"/>
  <c r="BT234" i="9"/>
  <c r="BU234" i="9"/>
  <c r="BR234" i="9"/>
  <c r="BS233" i="12"/>
  <c r="BV233" i="12" s="1"/>
  <c r="BU233" i="12"/>
  <c r="BT233" i="12"/>
  <c r="BV234" i="9" l="1"/>
  <c r="BV235" i="9" s="1"/>
  <c r="BC234" i="9"/>
  <c r="BC235" i="9" s="1"/>
  <c r="DH234" i="9"/>
  <c r="DH235" i="9" s="1"/>
  <c r="CO234" i="9"/>
  <c r="CO235" i="9" s="1"/>
  <c r="AJ234" i="9"/>
  <c r="AJ235" i="9" s="1"/>
  <c r="FM234" i="9"/>
  <c r="FM235" i="9" s="1"/>
  <c r="EA234" i="9"/>
  <c r="BC233" i="12"/>
  <c r="CO233" i="12"/>
  <c r="FM233" i="12"/>
  <c r="AJ233" i="12"/>
  <c r="DX234" i="12"/>
  <c r="DY234" i="12"/>
  <c r="DZ234" i="12"/>
  <c r="N237" i="12" a="1"/>
  <c r="N237" i="12" s="1"/>
  <c r="H237" i="12" a="1"/>
  <c r="H237" i="12" s="1"/>
  <c r="J237" i="12" a="1"/>
  <c r="J237" i="12" s="1"/>
  <c r="O237" i="12" a="1"/>
  <c r="O237" i="12" s="1"/>
  <c r="L237" i="12" a="1"/>
  <c r="L237" i="12" s="1"/>
  <c r="K237" i="12" a="1"/>
  <c r="K237" i="12" s="1"/>
  <c r="G237" i="12" a="1"/>
  <c r="G237" i="12" s="1"/>
  <c r="D238" i="12"/>
  <c r="DW235" i="9"/>
  <c r="EA235" i="9" s="1"/>
  <c r="DX235" i="9"/>
  <c r="DZ235" i="9"/>
  <c r="DY235" i="9"/>
  <c r="EQ234" i="12"/>
  <c r="ER234" i="12"/>
  <c r="ES234" i="12"/>
  <c r="ET233" i="12"/>
  <c r="AS237" i="9"/>
  <c r="AT237" i="9" s="1"/>
  <c r="AX237" i="9" s="1"/>
  <c r="EJ237" i="9"/>
  <c r="EK237" i="9" s="1"/>
  <c r="EO237" i="9" s="1"/>
  <c r="CE237" i="9"/>
  <c r="CF237" i="9" s="1"/>
  <c r="CJ237" i="9" s="1"/>
  <c r="DQ237" i="9"/>
  <c r="DR237" i="9" s="1"/>
  <c r="DV237" i="9" s="1"/>
  <c r="Z237" i="9"/>
  <c r="AA237" i="9" s="1"/>
  <c r="AE237" i="9" s="1"/>
  <c r="CX237" i="9"/>
  <c r="CY237" i="9" s="1"/>
  <c r="DC237" i="9" s="1"/>
  <c r="FC237" i="9"/>
  <c r="FD237" i="9" s="1"/>
  <c r="FH237" i="9" s="1"/>
  <c r="BL237" i="9"/>
  <c r="BM237" i="9" s="1"/>
  <c r="BQ237" i="9" s="1"/>
  <c r="I238" i="9"/>
  <c r="FJ234" i="12"/>
  <c r="FL234" i="12"/>
  <c r="FK234" i="12"/>
  <c r="FF235" i="12"/>
  <c r="FE235" i="12"/>
  <c r="FG235" i="12" s="1"/>
  <c r="EP235" i="12"/>
  <c r="DD235" i="12"/>
  <c r="CK235" i="12"/>
  <c r="BN235" i="12"/>
  <c r="BP235" i="12" s="1"/>
  <c r="AB235" i="12"/>
  <c r="AD235" i="12" s="1"/>
  <c r="BO235" i="12"/>
  <c r="AC235" i="12"/>
  <c r="AY235" i="12"/>
  <c r="DW235" i="12"/>
  <c r="CZ235" i="12"/>
  <c r="DB235" i="12" s="1"/>
  <c r="AF235" i="12"/>
  <c r="DA235" i="12"/>
  <c r="BR235" i="12"/>
  <c r="CH235" i="12"/>
  <c r="CG235" i="12"/>
  <c r="CI235" i="12" s="1"/>
  <c r="DS235" i="12"/>
  <c r="DU235" i="12" s="1"/>
  <c r="EM235" i="12"/>
  <c r="FI235" i="12"/>
  <c r="DT235" i="12"/>
  <c r="EL235" i="12"/>
  <c r="EN235" i="12" s="1"/>
  <c r="AV235" i="12"/>
  <c r="AU235" i="12"/>
  <c r="AW235" i="12" s="1"/>
  <c r="M237" i="9"/>
  <c r="P237" i="9" s="1"/>
  <c r="Q237" i="9" s="1"/>
  <c r="G238" i="9" a="1"/>
  <c r="G238" i="9" s="1"/>
  <c r="O238" i="9" a="1"/>
  <c r="O238" i="9" s="1"/>
  <c r="J238" i="9" a="1"/>
  <c r="J238" i="9" s="1"/>
  <c r="L238" i="9" a="1"/>
  <c r="L238" i="9" s="1"/>
  <c r="H238" i="9" a="1"/>
  <c r="H238" i="9" s="1"/>
  <c r="N238" i="9" a="1"/>
  <c r="N238" i="9" s="1"/>
  <c r="K238" i="9" a="1"/>
  <c r="K238" i="9" s="1"/>
  <c r="D239" i="9"/>
  <c r="BB234" i="12"/>
  <c r="BA234" i="12"/>
  <c r="AZ234" i="12"/>
  <c r="BS234" i="12"/>
  <c r="BT234" i="12"/>
  <c r="BU234" i="12"/>
  <c r="BO236" i="9"/>
  <c r="BN236" i="9"/>
  <c r="BP236" i="9" s="1"/>
  <c r="AV236" i="9"/>
  <c r="FF236" i="9"/>
  <c r="CG236" i="9"/>
  <c r="CI236" i="9" s="1"/>
  <c r="AU236" i="9"/>
  <c r="AW236" i="9" s="1"/>
  <c r="FE236" i="9"/>
  <c r="FG236" i="9" s="1"/>
  <c r="CH236" i="9"/>
  <c r="AC236" i="9"/>
  <c r="AB236" i="9"/>
  <c r="AD236" i="9" s="1"/>
  <c r="DA236" i="9"/>
  <c r="EL236" i="9"/>
  <c r="EN236" i="9" s="1"/>
  <c r="CZ236" i="9"/>
  <c r="DB236" i="9" s="1"/>
  <c r="EM236" i="9"/>
  <c r="DT236" i="9"/>
  <c r="DS236" i="9"/>
  <c r="DU236" i="9" s="1"/>
  <c r="DH233" i="12"/>
  <c r="DE234" i="12"/>
  <c r="DF234" i="12"/>
  <c r="DG234" i="12"/>
  <c r="AH234" i="12"/>
  <c r="AI234" i="12"/>
  <c r="AG234" i="12"/>
  <c r="EA233" i="12"/>
  <c r="M236" i="12"/>
  <c r="P236" i="12" s="1"/>
  <c r="Q236" i="12" s="1"/>
  <c r="CL234" i="12"/>
  <c r="CN234" i="12"/>
  <c r="CM234" i="12"/>
  <c r="DH234" i="12" l="1"/>
  <c r="BV234" i="12"/>
  <c r="AJ234" i="12"/>
  <c r="BC234" i="12"/>
  <c r="M238" i="9"/>
  <c r="P238" i="9" s="1"/>
  <c r="Q238" i="9" s="1"/>
  <c r="CO234" i="12"/>
  <c r="FM234" i="12"/>
  <c r="EQ235" i="12"/>
  <c r="ES235" i="12"/>
  <c r="ER235" i="12"/>
  <c r="BS235" i="12"/>
  <c r="BT235" i="12"/>
  <c r="BU235" i="12"/>
  <c r="AI235" i="12"/>
  <c r="AG235" i="12"/>
  <c r="AH235" i="12"/>
  <c r="BA236" i="9"/>
  <c r="BB236" i="9"/>
  <c r="AY236" i="9"/>
  <c r="AZ236" i="9"/>
  <c r="DD236" i="9"/>
  <c r="DE236" i="9"/>
  <c r="DG236" i="9"/>
  <c r="DF236" i="9"/>
  <c r="CL236" i="9"/>
  <c r="CK236" i="9"/>
  <c r="CN236" i="9"/>
  <c r="CM236" i="9"/>
  <c r="M237" i="12"/>
  <c r="P237" i="12" s="1"/>
  <c r="Q237" i="12" s="1"/>
  <c r="BV235" i="12"/>
  <c r="DE235" i="12"/>
  <c r="DG235" i="12"/>
  <c r="DF235" i="12"/>
  <c r="FC238" i="9"/>
  <c r="FD238" i="9" s="1"/>
  <c r="FH238" i="9" s="1"/>
  <c r="CX238" i="9"/>
  <c r="CY238" i="9" s="1"/>
  <c r="DC238" i="9" s="1"/>
  <c r="CE238" i="9"/>
  <c r="CF238" i="9" s="1"/>
  <c r="CJ238" i="9" s="1"/>
  <c r="AS238" i="9"/>
  <c r="AT238" i="9" s="1"/>
  <c r="AX238" i="9" s="1"/>
  <c r="BL238" i="9"/>
  <c r="BM238" i="9" s="1"/>
  <c r="BQ238" i="9" s="1"/>
  <c r="EJ238" i="9"/>
  <c r="EK238" i="9" s="1"/>
  <c r="EO238" i="9" s="1"/>
  <c r="Z238" i="9"/>
  <c r="AA238" i="9" s="1"/>
  <c r="AE238" i="9" s="1"/>
  <c r="DQ238" i="9"/>
  <c r="DR238" i="9" s="1"/>
  <c r="DV238" i="9" s="1"/>
  <c r="I239" i="9"/>
  <c r="FK236" i="9"/>
  <c r="FL236" i="9"/>
  <c r="FI236" i="9"/>
  <c r="FJ236" i="9"/>
  <c r="AH236" i="9"/>
  <c r="AG236" i="9"/>
  <c r="AF236" i="9"/>
  <c r="AI236" i="9"/>
  <c r="BR236" i="9"/>
  <c r="BS236" i="9"/>
  <c r="BU236" i="9"/>
  <c r="BT236" i="9"/>
  <c r="DX235" i="12"/>
  <c r="DY235" i="12"/>
  <c r="DZ235" i="12"/>
  <c r="FJ235" i="12"/>
  <c r="FL235" i="12"/>
  <c r="FK235" i="12"/>
  <c r="J238" i="12" a="1"/>
  <c r="J238" i="12" s="1"/>
  <c r="O238" i="12" a="1"/>
  <c r="O238" i="12" s="1"/>
  <c r="G238" i="12" a="1"/>
  <c r="G238" i="12" s="1"/>
  <c r="K238" i="12" a="1"/>
  <c r="K238" i="12" s="1"/>
  <c r="L238" i="12" a="1"/>
  <c r="L238" i="12" s="1"/>
  <c r="N238" i="12" a="1"/>
  <c r="N238" i="12" s="1"/>
  <c r="H238" i="12" a="1"/>
  <c r="H238" i="12" s="1"/>
  <c r="D239" i="12"/>
  <c r="EP236" i="9"/>
  <c r="ES236" i="9"/>
  <c r="ER236" i="9"/>
  <c r="EQ236" i="9"/>
  <c r="FF236" i="12"/>
  <c r="FE236" i="12"/>
  <c r="FG236" i="12" s="1"/>
  <c r="EP236" i="12"/>
  <c r="CK236" i="12"/>
  <c r="DD236" i="12"/>
  <c r="AC236" i="12"/>
  <c r="BO236" i="12"/>
  <c r="AB236" i="12"/>
  <c r="AD236" i="12" s="1"/>
  <c r="BN236" i="12"/>
  <c r="BP236" i="12" s="1"/>
  <c r="DW236" i="12"/>
  <c r="CG236" i="12"/>
  <c r="CI236" i="12" s="1"/>
  <c r="AY236" i="12"/>
  <c r="EM236" i="12"/>
  <c r="BR236" i="12"/>
  <c r="CH236" i="12"/>
  <c r="EL236" i="12"/>
  <c r="EN236" i="12" s="1"/>
  <c r="FI236" i="12"/>
  <c r="DA236" i="12"/>
  <c r="DS236" i="12"/>
  <c r="DU236" i="12" s="1"/>
  <c r="AF236" i="12"/>
  <c r="CZ236" i="12"/>
  <c r="DB236" i="12" s="1"/>
  <c r="DT236" i="12"/>
  <c r="AV236" i="12"/>
  <c r="AU236" i="12"/>
  <c r="AW236" i="12" s="1"/>
  <c r="L239" i="9" a="1"/>
  <c r="L239" i="9" s="1"/>
  <c r="K239" i="9" a="1"/>
  <c r="K239" i="9" s="1"/>
  <c r="O239" i="9" a="1"/>
  <c r="O239" i="9" s="1"/>
  <c r="H239" i="9" a="1"/>
  <c r="H239" i="9" s="1"/>
  <c r="N239" i="9" a="1"/>
  <c r="N239" i="9" s="1"/>
  <c r="G239" i="9" a="1"/>
  <c r="G239" i="9" s="1"/>
  <c r="J239" i="9" a="1"/>
  <c r="J239" i="9" s="1"/>
  <c r="D240" i="9"/>
  <c r="FF237" i="9"/>
  <c r="AV237" i="9"/>
  <c r="FE237" i="9"/>
  <c r="FG237" i="9" s="1"/>
  <c r="AU237" i="9"/>
  <c r="AW237" i="9" s="1"/>
  <c r="BO237" i="9"/>
  <c r="CG237" i="9"/>
  <c r="CI237" i="9" s="1"/>
  <c r="BN237" i="9"/>
  <c r="BP237" i="9" s="1"/>
  <c r="CH237" i="9"/>
  <c r="AB237" i="9"/>
  <c r="AD237" i="9" s="1"/>
  <c r="EM237" i="9"/>
  <c r="AC237" i="9"/>
  <c r="EL237" i="9"/>
  <c r="EN237" i="9" s="1"/>
  <c r="CZ237" i="9"/>
  <c r="DB237" i="9" s="1"/>
  <c r="DA237" i="9"/>
  <c r="DT237" i="9"/>
  <c r="DS237" i="9"/>
  <c r="DU237" i="9" s="1"/>
  <c r="CL235" i="12"/>
  <c r="CM235" i="12"/>
  <c r="CN235" i="12"/>
  <c r="EA234" i="12"/>
  <c r="DZ236" i="9"/>
  <c r="DY236" i="9"/>
  <c r="DX236" i="9"/>
  <c r="DW236" i="9"/>
  <c r="EA236" i="9" s="1"/>
  <c r="BA235" i="12"/>
  <c r="BB235" i="12"/>
  <c r="AZ235" i="12"/>
  <c r="ET234" i="12"/>
  <c r="FM236" i="9" l="1"/>
  <c r="BC236" i="9"/>
  <c r="ET236" i="9"/>
  <c r="DH236" i="9"/>
  <c r="BV236" i="9"/>
  <c r="BC235" i="12"/>
  <c r="CO236" i="9"/>
  <c r="AJ236" i="9"/>
  <c r="EM238" i="9"/>
  <c r="AV238" i="9"/>
  <c r="AF237" i="12"/>
  <c r="AY237" i="12"/>
  <c r="CK237" i="12"/>
  <c r="FF238" i="9"/>
  <c r="CG237" i="12"/>
  <c r="CI237" i="12" s="1"/>
  <c r="CL237" i="12" s="1"/>
  <c r="EP237" i="12"/>
  <c r="DW237" i="12"/>
  <c r="FF237" i="12"/>
  <c r="AC238" i="9"/>
  <c r="FI237" i="12"/>
  <c r="BO237" i="12"/>
  <c r="AC237" i="12"/>
  <c r="CZ238" i="9"/>
  <c r="DB238" i="9" s="1"/>
  <c r="DG238" i="9" s="1"/>
  <c r="DD237" i="12"/>
  <c r="BO238" i="9"/>
  <c r="AJ235" i="12"/>
  <c r="FM235" i="12"/>
  <c r="CO235" i="12"/>
  <c r="ET235" i="12"/>
  <c r="FE237" i="12"/>
  <c r="FG237" i="12" s="1"/>
  <c r="FL237" i="12" s="1"/>
  <c r="AB238" i="9"/>
  <c r="AD238" i="9" s="1"/>
  <c r="AG238" i="9" s="1"/>
  <c r="AZ236" i="12"/>
  <c r="BB236" i="12"/>
  <c r="BA236" i="12"/>
  <c r="BS237" i="9"/>
  <c r="BR237" i="9"/>
  <c r="BU237" i="9"/>
  <c r="BT237" i="9"/>
  <c r="M239" i="9"/>
  <c r="P239" i="9" s="1"/>
  <c r="Q239" i="9" s="1"/>
  <c r="EA235" i="12"/>
  <c r="AS239" i="9"/>
  <c r="AT239" i="9" s="1"/>
  <c r="AX239" i="9" s="1"/>
  <c r="EJ239" i="9"/>
  <c r="EK239" i="9" s="1"/>
  <c r="EO239" i="9" s="1"/>
  <c r="CE239" i="9"/>
  <c r="CF239" i="9" s="1"/>
  <c r="CJ239" i="9" s="1"/>
  <c r="Z239" i="9"/>
  <c r="AA239" i="9" s="1"/>
  <c r="AE239" i="9" s="1"/>
  <c r="CX239" i="9"/>
  <c r="CY239" i="9" s="1"/>
  <c r="DC239" i="9" s="1"/>
  <c r="DQ239" i="9"/>
  <c r="DR239" i="9" s="1"/>
  <c r="DV239" i="9" s="1"/>
  <c r="BL239" i="9"/>
  <c r="BM239" i="9" s="1"/>
  <c r="BQ239" i="9" s="1"/>
  <c r="FC239" i="9"/>
  <c r="FD239" i="9" s="1"/>
  <c r="FH239" i="9" s="1"/>
  <c r="I240" i="9"/>
  <c r="CH237" i="12"/>
  <c r="BN237" i="12"/>
  <c r="BP237" i="12" s="1"/>
  <c r="EQ236" i="12"/>
  <c r="ES236" i="12"/>
  <c r="ER236" i="12"/>
  <c r="CM237" i="9"/>
  <c r="CK237" i="9"/>
  <c r="CL237" i="9"/>
  <c r="CN237" i="9"/>
  <c r="DH235" i="12"/>
  <c r="AV237" i="12"/>
  <c r="AB237" i="12"/>
  <c r="AD237" i="12" s="1"/>
  <c r="DG237" i="9"/>
  <c r="DF237" i="9"/>
  <c r="DD237" i="9"/>
  <c r="DE237" i="9"/>
  <c r="DE236" i="12"/>
  <c r="DF236" i="12"/>
  <c r="DG236" i="12"/>
  <c r="M238" i="12"/>
  <c r="P238" i="12" s="1"/>
  <c r="Q238" i="12" s="1"/>
  <c r="CH238" i="9"/>
  <c r="AU237" i="12"/>
  <c r="AW237" i="12" s="1"/>
  <c r="EL237" i="12"/>
  <c r="EN237" i="12" s="1"/>
  <c r="DY237" i="9"/>
  <c r="DX237" i="9"/>
  <c r="DZ237" i="9"/>
  <c r="DW237" i="9"/>
  <c r="EA237" i="9" s="1"/>
  <c r="EP237" i="9"/>
  <c r="ES237" i="9"/>
  <c r="ER237" i="9"/>
  <c r="EQ237" i="9"/>
  <c r="BA237" i="9"/>
  <c r="BB237" i="9"/>
  <c r="AY237" i="9"/>
  <c r="AZ237" i="9"/>
  <c r="G239" i="12" a="1"/>
  <c r="G239" i="12" s="1"/>
  <c r="O239" i="12" a="1"/>
  <c r="O239" i="12" s="1"/>
  <c r="K239" i="12" a="1"/>
  <c r="K239" i="12" s="1"/>
  <c r="H239" i="12" a="1"/>
  <c r="H239" i="12" s="1"/>
  <c r="N239" i="12" a="1"/>
  <c r="N239" i="12" s="1"/>
  <c r="J239" i="12" a="1"/>
  <c r="J239" i="12" s="1"/>
  <c r="L239" i="12" a="1"/>
  <c r="L239" i="12" s="1"/>
  <c r="D240" i="12"/>
  <c r="DA238" i="9"/>
  <c r="CG238" i="9"/>
  <c r="CI238" i="9" s="1"/>
  <c r="CZ237" i="12"/>
  <c r="DB237" i="12" s="1"/>
  <c r="AG236" i="12"/>
  <c r="AH236" i="12"/>
  <c r="AI236" i="12"/>
  <c r="FJ237" i="9"/>
  <c r="FI237" i="9"/>
  <c r="FM237" i="9" s="1"/>
  <c r="FL237" i="9"/>
  <c r="FK237" i="9"/>
  <c r="DX236" i="12"/>
  <c r="DZ236" i="12"/>
  <c r="DY236" i="12"/>
  <c r="CL236" i="12"/>
  <c r="CM236" i="12"/>
  <c r="CN236" i="12"/>
  <c r="DS238" i="9"/>
  <c r="DU238" i="9" s="1"/>
  <c r="BN238" i="9"/>
  <c r="BP238" i="9" s="1"/>
  <c r="DT237" i="12"/>
  <c r="EM237" i="12"/>
  <c r="FJ236" i="12"/>
  <c r="FL236" i="12"/>
  <c r="FK236" i="12"/>
  <c r="DT238" i="9"/>
  <c r="FE238" i="9"/>
  <c r="FG238" i="9" s="1"/>
  <c r="DA237" i="12"/>
  <c r="BR237" i="12"/>
  <c r="J240" i="9" a="1"/>
  <c r="J240" i="9" s="1"/>
  <c r="G240" i="9" a="1"/>
  <c r="G240" i="9" s="1"/>
  <c r="K240" i="9" a="1"/>
  <c r="K240" i="9" s="1"/>
  <c r="O240" i="9" a="1"/>
  <c r="O240" i="9" s="1"/>
  <c r="N240" i="9" a="1"/>
  <c r="N240" i="9" s="1"/>
  <c r="H240" i="9" a="1"/>
  <c r="H240" i="9" s="1"/>
  <c r="L240" i="9" a="1"/>
  <c r="L240" i="9" s="1"/>
  <c r="D241" i="9"/>
  <c r="AG237" i="9"/>
  <c r="AI237" i="9"/>
  <c r="AH237" i="9"/>
  <c r="AF237" i="9"/>
  <c r="BS236" i="12"/>
  <c r="BU236" i="12"/>
  <c r="BT236" i="12"/>
  <c r="EL238" i="9"/>
  <c r="EN238" i="9" s="1"/>
  <c r="AU238" i="9"/>
  <c r="AW238" i="9" s="1"/>
  <c r="DS237" i="12"/>
  <c r="DU237" i="12" s="1"/>
  <c r="CO237" i="9" l="1"/>
  <c r="BC237" i="9"/>
  <c r="BV237" i="9"/>
  <c r="DH237" i="9"/>
  <c r="ET237" i="9"/>
  <c r="AJ237" i="9"/>
  <c r="FJ237" i="12"/>
  <c r="FM237" i="12" s="1"/>
  <c r="DF238" i="9"/>
  <c r="FK237" i="12"/>
  <c r="AF238" i="9"/>
  <c r="AH238" i="9"/>
  <c r="CN237" i="12"/>
  <c r="CM237" i="12"/>
  <c r="DE238" i="9"/>
  <c r="AI238" i="9"/>
  <c r="DD238" i="9"/>
  <c r="AJ236" i="12"/>
  <c r="FM236" i="12"/>
  <c r="BV236" i="12"/>
  <c r="M239" i="12"/>
  <c r="P239" i="12" s="1"/>
  <c r="Q239" i="12" s="1"/>
  <c r="EA236" i="12"/>
  <c r="EQ237" i="12"/>
  <c r="ER237" i="12"/>
  <c r="ES237" i="12"/>
  <c r="ET236" i="12"/>
  <c r="DX237" i="12"/>
  <c r="DZ237" i="12"/>
  <c r="DY237" i="12"/>
  <c r="CO236" i="12"/>
  <c r="AZ237" i="12"/>
  <c r="BB237" i="12"/>
  <c r="BA237" i="12"/>
  <c r="AZ238" i="9"/>
  <c r="BB238" i="9"/>
  <c r="AY238" i="9"/>
  <c r="BA238" i="9"/>
  <c r="BS237" i="12"/>
  <c r="BU237" i="12"/>
  <c r="BT237" i="12"/>
  <c r="ER238" i="9"/>
  <c r="EP238" i="9"/>
  <c r="ES238" i="9"/>
  <c r="EQ238" i="9"/>
  <c r="M240" i="9"/>
  <c r="P240" i="9" s="1"/>
  <c r="Q240" i="9" s="1"/>
  <c r="FF238" i="12"/>
  <c r="FE238" i="12"/>
  <c r="FG238" i="12" s="1"/>
  <c r="EP238" i="12"/>
  <c r="DD238" i="12"/>
  <c r="DD239" i="12" s="1"/>
  <c r="CK238" i="12"/>
  <c r="CK239" i="12" s="1"/>
  <c r="AC238" i="12"/>
  <c r="AB238" i="12"/>
  <c r="AD238" i="12" s="1"/>
  <c r="AC239" i="12" s="1"/>
  <c r="BO238" i="12"/>
  <c r="BN238" i="12"/>
  <c r="BP238" i="12" s="1"/>
  <c r="AF238" i="12"/>
  <c r="AF239" i="12" s="1"/>
  <c r="DW238" i="12"/>
  <c r="EM238" i="12"/>
  <c r="EL238" i="12"/>
  <c r="EN238" i="12" s="1"/>
  <c r="EL239" i="12" s="1"/>
  <c r="EN239" i="12" s="1"/>
  <c r="CG238" i="12"/>
  <c r="CI238" i="12" s="1"/>
  <c r="CG239" i="12" s="1"/>
  <c r="CI239" i="12" s="1"/>
  <c r="FI238" i="12"/>
  <c r="AY238" i="12"/>
  <c r="AY239" i="12" s="1"/>
  <c r="CH238" i="12"/>
  <c r="DT238" i="12"/>
  <c r="CZ238" i="12"/>
  <c r="DB238" i="12" s="1"/>
  <c r="CZ239" i="12" s="1"/>
  <c r="DB239" i="12" s="1"/>
  <c r="BR238" i="12"/>
  <c r="DS238" i="12"/>
  <c r="DU238" i="12" s="1"/>
  <c r="DA238" i="12"/>
  <c r="AU238" i="12"/>
  <c r="AW238" i="12" s="1"/>
  <c r="AV239" i="12" s="1"/>
  <c r="AV238" i="12"/>
  <c r="K240" i="12" a="1"/>
  <c r="K240" i="12" s="1"/>
  <c r="J240" i="12" a="1"/>
  <c r="J240" i="12" s="1"/>
  <c r="H240" i="12" a="1"/>
  <c r="H240" i="12" s="1"/>
  <c r="G240" i="12" a="1"/>
  <c r="G240" i="12" s="1"/>
  <c r="L240" i="12" a="1"/>
  <c r="L240" i="12" s="1"/>
  <c r="O240" i="12" a="1"/>
  <c r="O240" i="12" s="1"/>
  <c r="N240" i="12" a="1"/>
  <c r="N240" i="12" s="1"/>
  <c r="D241" i="12"/>
  <c r="L241" i="9" a="1"/>
  <c r="L241" i="9" s="1"/>
  <c r="K241" i="9" a="1"/>
  <c r="K241" i="9" s="1"/>
  <c r="N241" i="9" a="1"/>
  <c r="N241" i="9" s="1"/>
  <c r="J241" i="9" a="1"/>
  <c r="J241" i="9" s="1"/>
  <c r="G241" i="9" a="1"/>
  <c r="G241" i="9" s="1"/>
  <c r="H241" i="9" a="1"/>
  <c r="H241" i="9" s="1"/>
  <c r="O241" i="9" a="1"/>
  <c r="O241" i="9" s="1"/>
  <c r="D242" i="9"/>
  <c r="DE237" i="12"/>
  <c r="DF237" i="12"/>
  <c r="DG237" i="12"/>
  <c r="AG237" i="12"/>
  <c r="AH237" i="12"/>
  <c r="AI237" i="12"/>
  <c r="CE240" i="9"/>
  <c r="CF240" i="9" s="1"/>
  <c r="CJ240" i="9" s="1"/>
  <c r="DQ240" i="9"/>
  <c r="DR240" i="9" s="1"/>
  <c r="DV240" i="9" s="1"/>
  <c r="AS240" i="9"/>
  <c r="AT240" i="9" s="1"/>
  <c r="AX240" i="9" s="1"/>
  <c r="Z240" i="9"/>
  <c r="AA240" i="9" s="1"/>
  <c r="AE240" i="9" s="1"/>
  <c r="FC240" i="9"/>
  <c r="FD240" i="9" s="1"/>
  <c r="FH240" i="9" s="1"/>
  <c r="BL240" i="9"/>
  <c r="BM240" i="9" s="1"/>
  <c r="BQ240" i="9" s="1"/>
  <c r="CX240" i="9"/>
  <c r="CY240" i="9" s="1"/>
  <c r="DC240" i="9" s="1"/>
  <c r="EJ240" i="9"/>
  <c r="EK240" i="9" s="1"/>
  <c r="EO240" i="9" s="1"/>
  <c r="I241" i="9"/>
  <c r="BT238" i="9"/>
  <c r="BR238" i="9"/>
  <c r="BS238" i="9"/>
  <c r="BU238" i="9"/>
  <c r="CL238" i="9"/>
  <c r="CM238" i="9"/>
  <c r="CN238" i="9"/>
  <c r="CK238" i="9"/>
  <c r="CO238" i="9" s="1"/>
  <c r="DH236" i="12"/>
  <c r="BC236" i="12"/>
  <c r="FK238" i="9"/>
  <c r="FI238" i="9"/>
  <c r="FJ238" i="9"/>
  <c r="FL238" i="9"/>
  <c r="DX238" i="9"/>
  <c r="DW238" i="9"/>
  <c r="EA238" i="9" s="1"/>
  <c r="DZ238" i="9"/>
  <c r="DY238" i="9"/>
  <c r="CG239" i="9"/>
  <c r="CI239" i="9" s="1"/>
  <c r="BO239" i="9"/>
  <c r="FE239" i="9"/>
  <c r="FG239" i="9" s="1"/>
  <c r="BN239" i="9"/>
  <c r="BP239" i="9" s="1"/>
  <c r="FF239" i="9"/>
  <c r="CH239" i="9"/>
  <c r="AU239" i="9"/>
  <c r="AW239" i="9" s="1"/>
  <c r="AV239" i="9"/>
  <c r="DA239" i="9"/>
  <c r="AC239" i="9"/>
  <c r="EM239" i="9"/>
  <c r="AB239" i="9"/>
  <c r="AD239" i="9" s="1"/>
  <c r="EL239" i="9"/>
  <c r="EN239" i="9" s="1"/>
  <c r="CZ239" i="9"/>
  <c r="DB239" i="9" s="1"/>
  <c r="DS239" i="9"/>
  <c r="DU239" i="9" s="1"/>
  <c r="DT239" i="9"/>
  <c r="CO237" i="12" l="1"/>
  <c r="AJ238" i="9"/>
  <c r="BC238" i="9"/>
  <c r="FM238" i="9"/>
  <c r="ET238" i="9"/>
  <c r="DH238" i="9"/>
  <c r="BV238" i="9"/>
  <c r="DW239" i="12"/>
  <c r="EP239" i="12"/>
  <c r="FE239" i="12"/>
  <c r="FG239" i="12" s="1"/>
  <c r="FK239" i="12" s="1"/>
  <c r="BV237" i="12"/>
  <c r="M241" i="9"/>
  <c r="P241" i="9" s="1"/>
  <c r="EA237" i="12"/>
  <c r="DH237" i="12"/>
  <c r="DE239" i="12"/>
  <c r="DF239" i="12"/>
  <c r="DG239" i="12"/>
  <c r="FJ239" i="12"/>
  <c r="FE240" i="9"/>
  <c r="FG240" i="9" s="1"/>
  <c r="AU240" i="9"/>
  <c r="AW240" i="9" s="1"/>
  <c r="CH240" i="9"/>
  <c r="FF240" i="9"/>
  <c r="AV240" i="9"/>
  <c r="CG240" i="9"/>
  <c r="CI240" i="9" s="1"/>
  <c r="BN240" i="9"/>
  <c r="BP240" i="9" s="1"/>
  <c r="BO240" i="9"/>
  <c r="CZ240" i="9"/>
  <c r="DB240" i="9" s="1"/>
  <c r="EL240" i="9"/>
  <c r="EN240" i="9" s="1"/>
  <c r="DA240" i="9"/>
  <c r="EM240" i="9"/>
  <c r="AB240" i="9"/>
  <c r="AD240" i="9" s="1"/>
  <c r="AC240" i="9"/>
  <c r="DT240" i="9"/>
  <c r="DS240" i="9"/>
  <c r="DU240" i="9" s="1"/>
  <c r="CM239" i="12"/>
  <c r="CN239" i="12"/>
  <c r="CL239" i="12"/>
  <c r="AF239" i="9"/>
  <c r="AG239" i="9"/>
  <c r="AI239" i="9"/>
  <c r="AH239" i="9"/>
  <c r="EQ239" i="12"/>
  <c r="ER239" i="12"/>
  <c r="ES239" i="12"/>
  <c r="AJ237" i="12"/>
  <c r="DX238" i="12"/>
  <c r="DZ238" i="12"/>
  <c r="DY238" i="12"/>
  <c r="EQ238" i="12"/>
  <c r="ES238" i="12"/>
  <c r="ER238" i="12"/>
  <c r="DT239" i="12"/>
  <c r="EM239" i="12"/>
  <c r="CH239" i="12"/>
  <c r="ER239" i="9"/>
  <c r="ES239" i="9"/>
  <c r="EP239" i="9"/>
  <c r="EQ239" i="9"/>
  <c r="AZ238" i="12"/>
  <c r="BA238" i="12"/>
  <c r="BB238" i="12"/>
  <c r="Q241" i="9"/>
  <c r="DE238" i="12"/>
  <c r="DF238" i="12"/>
  <c r="DG238" i="12"/>
  <c r="DA239" i="12"/>
  <c r="BR239" i="12"/>
  <c r="BR239" i="9"/>
  <c r="BU239" i="9"/>
  <c r="BT239" i="9"/>
  <c r="BS239" i="9"/>
  <c r="FI239" i="9"/>
  <c r="FL239" i="9"/>
  <c r="FJ239" i="9"/>
  <c r="FK239" i="9"/>
  <c r="M240" i="12"/>
  <c r="P240" i="12" s="1"/>
  <c r="Q240" i="12" s="1"/>
  <c r="FJ238" i="12"/>
  <c r="FL238" i="12"/>
  <c r="FK238" i="12"/>
  <c r="FI239" i="12"/>
  <c r="FF239" i="12"/>
  <c r="ET237" i="12"/>
  <c r="AI238" i="12"/>
  <c r="AG238" i="12"/>
  <c r="AH238" i="12"/>
  <c r="CM239" i="9"/>
  <c r="CK239" i="9"/>
  <c r="CO239" i="9" s="1"/>
  <c r="CL239" i="9"/>
  <c r="CN239" i="9"/>
  <c r="DW239" i="9"/>
  <c r="DX239" i="9"/>
  <c r="DZ239" i="9"/>
  <c r="DY239" i="9"/>
  <c r="BA239" i="9"/>
  <c r="BB239" i="9"/>
  <c r="AZ239" i="9"/>
  <c r="AY239" i="9"/>
  <c r="BS238" i="12"/>
  <c r="BT238" i="12"/>
  <c r="BU238" i="12"/>
  <c r="BC237" i="12"/>
  <c r="BN239" i="12"/>
  <c r="BP239" i="12" s="1"/>
  <c r="AB239" i="12"/>
  <c r="AD239" i="12" s="1"/>
  <c r="CL238" i="12"/>
  <c r="CM238" i="12"/>
  <c r="CN238" i="12"/>
  <c r="DF239" i="9"/>
  <c r="DE239" i="9"/>
  <c r="DD239" i="9"/>
  <c r="DG239" i="9"/>
  <c r="EJ241" i="9"/>
  <c r="EK241" i="9" s="1"/>
  <c r="EO241" i="9" s="1"/>
  <c r="DQ241" i="9"/>
  <c r="DR241" i="9" s="1"/>
  <c r="DV241" i="9" s="1"/>
  <c r="BL241" i="9"/>
  <c r="BM241" i="9" s="1"/>
  <c r="BQ241" i="9" s="1"/>
  <c r="FC241" i="9"/>
  <c r="FD241" i="9" s="1"/>
  <c r="FH241" i="9" s="1"/>
  <c r="CX241" i="9"/>
  <c r="CY241" i="9" s="1"/>
  <c r="DC241" i="9" s="1"/>
  <c r="Z241" i="9"/>
  <c r="AA241" i="9" s="1"/>
  <c r="AE241" i="9" s="1"/>
  <c r="AS241" i="9"/>
  <c r="AT241" i="9" s="1"/>
  <c r="AX241" i="9" s="1"/>
  <c r="CE241" i="9"/>
  <c r="CF241" i="9" s="1"/>
  <c r="CJ241" i="9" s="1"/>
  <c r="I242" i="9"/>
  <c r="K242" i="9" a="1"/>
  <c r="K242" i="9" s="1"/>
  <c r="N242" i="9" a="1"/>
  <c r="N242" i="9" s="1"/>
  <c r="G242" i="9" a="1"/>
  <c r="G242" i="9" s="1"/>
  <c r="L242" i="9" a="1"/>
  <c r="L242" i="9" s="1"/>
  <c r="J242" i="9" a="1"/>
  <c r="J242" i="9" s="1"/>
  <c r="O242" i="9" a="1"/>
  <c r="O242" i="9" s="1"/>
  <c r="H242" i="9" a="1"/>
  <c r="H242" i="9" s="1"/>
  <c r="D243" i="9"/>
  <c r="L241" i="12" a="1"/>
  <c r="L241" i="12" s="1"/>
  <c r="J241" i="12" a="1"/>
  <c r="J241" i="12" s="1"/>
  <c r="O241" i="12" a="1"/>
  <c r="O241" i="12" s="1"/>
  <c r="N241" i="12" a="1"/>
  <c r="N241" i="12" s="1"/>
  <c r="H241" i="12" a="1"/>
  <c r="H241" i="12" s="1"/>
  <c r="G241" i="12" a="1"/>
  <c r="G241" i="12" s="1"/>
  <c r="D242" i="12"/>
  <c r="K241" i="12" a="1"/>
  <c r="K241" i="12" s="1"/>
  <c r="AU239" i="12"/>
  <c r="AW239" i="12" s="1"/>
  <c r="DS239" i="12"/>
  <c r="DU239" i="12" s="1"/>
  <c r="BO239" i="12"/>
  <c r="AJ239" i="9" l="1"/>
  <c r="BV239" i="9"/>
  <c r="BV238" i="12"/>
  <c r="EA239" i="9"/>
  <c r="FL239" i="12"/>
  <c r="BC239" i="9"/>
  <c r="FM239" i="9"/>
  <c r="DH239" i="9"/>
  <c r="ET239" i="9"/>
  <c r="DD240" i="12"/>
  <c r="EL240" i="12"/>
  <c r="EN240" i="12" s="1"/>
  <c r="ES240" i="12" s="1"/>
  <c r="CK240" i="12"/>
  <c r="CH240" i="12"/>
  <c r="AF240" i="12"/>
  <c r="CG240" i="12"/>
  <c r="CI240" i="12" s="1"/>
  <c r="CL240" i="12" s="1"/>
  <c r="EM240" i="12"/>
  <c r="DA240" i="12"/>
  <c r="AY240" i="12"/>
  <c r="FE240" i="12"/>
  <c r="FG240" i="12" s="1"/>
  <c r="FK240" i="12" s="1"/>
  <c r="CZ240" i="12"/>
  <c r="DB240" i="12" s="1"/>
  <c r="EP240" i="12"/>
  <c r="FF240" i="12"/>
  <c r="DW240" i="12"/>
  <c r="FI240" i="12"/>
  <c r="AB240" i="12"/>
  <c r="AD240" i="12" s="1"/>
  <c r="AH240" i="12" s="1"/>
  <c r="BO240" i="12"/>
  <c r="AV240" i="12"/>
  <c r="DT240" i="12"/>
  <c r="CO239" i="12"/>
  <c r="DH239" i="12"/>
  <c r="FM238" i="12"/>
  <c r="M242" i="9"/>
  <c r="P242" i="9" s="1"/>
  <c r="Q242" i="9" s="1"/>
  <c r="AJ238" i="12"/>
  <c r="M241" i="12"/>
  <c r="P241" i="12" s="1"/>
  <c r="Q241" i="12" s="1"/>
  <c r="DH238" i="12"/>
  <c r="EA238" i="12"/>
  <c r="DD240" i="9"/>
  <c r="DE240" i="9"/>
  <c r="DG240" i="9"/>
  <c r="DF240" i="9"/>
  <c r="DY240" i="9"/>
  <c r="DX240" i="9"/>
  <c r="DW240" i="9"/>
  <c r="DZ240" i="9"/>
  <c r="BU240" i="9"/>
  <c r="BS240" i="9"/>
  <c r="BR240" i="9"/>
  <c r="BV240" i="9" s="1"/>
  <c r="BT240" i="9"/>
  <c r="BC238" i="12"/>
  <c r="AU240" i="12"/>
  <c r="AW240" i="12" s="1"/>
  <c r="BN240" i="12"/>
  <c r="BP240" i="12" s="1"/>
  <c r="CL240" i="9"/>
  <c r="CN240" i="9"/>
  <c r="CK240" i="9"/>
  <c r="CM240" i="9"/>
  <c r="CO238" i="12"/>
  <c r="FM239" i="12"/>
  <c r="DE240" i="12"/>
  <c r="DG240" i="12"/>
  <c r="DF240" i="12"/>
  <c r="AI240" i="9"/>
  <c r="AH240" i="9"/>
  <c r="AF240" i="9"/>
  <c r="AJ240" i="9" s="1"/>
  <c r="AG240" i="9"/>
  <c r="DX239" i="12"/>
  <c r="DZ239" i="12"/>
  <c r="DY239" i="12"/>
  <c r="J243" i="9" a="1"/>
  <c r="J243" i="9" s="1"/>
  <c r="N243" i="9" a="1"/>
  <c r="N243" i="9" s="1"/>
  <c r="O243" i="9" a="1"/>
  <c r="O243" i="9" s="1"/>
  <c r="H243" i="9" a="1"/>
  <c r="H243" i="9" s="1"/>
  <c r="L243" i="9" a="1"/>
  <c r="L243" i="9" s="1"/>
  <c r="K243" i="9" a="1"/>
  <c r="K243" i="9" s="1"/>
  <c r="G243" i="9" a="1"/>
  <c r="G243" i="9" s="1"/>
  <c r="D244" i="9"/>
  <c r="CE242" i="9"/>
  <c r="CF242" i="9" s="1"/>
  <c r="CJ242" i="9" s="1"/>
  <c r="AS242" i="9"/>
  <c r="AT242" i="9" s="1"/>
  <c r="AX242" i="9" s="1"/>
  <c r="EJ242" i="9"/>
  <c r="EK242" i="9" s="1"/>
  <c r="EO242" i="9" s="1"/>
  <c r="Z242" i="9"/>
  <c r="AA242" i="9" s="1"/>
  <c r="AE242" i="9" s="1"/>
  <c r="DQ242" i="9"/>
  <c r="DR242" i="9" s="1"/>
  <c r="DV242" i="9" s="1"/>
  <c r="CX242" i="9"/>
  <c r="CY242" i="9" s="1"/>
  <c r="DC242" i="9" s="1"/>
  <c r="BL242" i="9"/>
  <c r="BM242" i="9" s="1"/>
  <c r="BQ242" i="9" s="1"/>
  <c r="FC242" i="9"/>
  <c r="FD242" i="9" s="1"/>
  <c r="FH242" i="9" s="1"/>
  <c r="I243" i="9"/>
  <c r="AI239" i="12"/>
  <c r="AH239" i="12"/>
  <c r="AG239" i="12"/>
  <c r="DS240" i="12"/>
  <c r="DU240" i="12" s="1"/>
  <c r="AC240" i="12"/>
  <c r="ET238" i="12"/>
  <c r="FK240" i="9"/>
  <c r="FJ240" i="9"/>
  <c r="FI240" i="9"/>
  <c r="FL240" i="9"/>
  <c r="BA239" i="12"/>
  <c r="AZ239" i="12"/>
  <c r="BB239" i="12"/>
  <c r="L242" i="12" a="1"/>
  <c r="L242" i="12" s="1"/>
  <c r="N242" i="12" a="1"/>
  <c r="N242" i="12" s="1"/>
  <c r="H242" i="12" a="1"/>
  <c r="H242" i="12" s="1"/>
  <c r="G242" i="12" a="1"/>
  <c r="G242" i="12" s="1"/>
  <c r="K242" i="12" a="1"/>
  <c r="K242" i="12" s="1"/>
  <c r="O242" i="12" a="1"/>
  <c r="O242" i="12" s="1"/>
  <c r="J242" i="12" a="1"/>
  <c r="J242" i="12" s="1"/>
  <c r="D243" i="12"/>
  <c r="BS239" i="12"/>
  <c r="BU239" i="12"/>
  <c r="BT239" i="12"/>
  <c r="ET239" i="12"/>
  <c r="AV241" i="9"/>
  <c r="AU241" i="9"/>
  <c r="AW241" i="9" s="1"/>
  <c r="FE241" i="9"/>
  <c r="FG241" i="9" s="1"/>
  <c r="BO241" i="9"/>
  <c r="FF241" i="9"/>
  <c r="BN241" i="9"/>
  <c r="BP241" i="9" s="1"/>
  <c r="CG241" i="9"/>
  <c r="CI241" i="9" s="1"/>
  <c r="CH241" i="9"/>
  <c r="AC241" i="9"/>
  <c r="AB241" i="9"/>
  <c r="AD241" i="9" s="1"/>
  <c r="DA241" i="9"/>
  <c r="EL241" i="9"/>
  <c r="EN241" i="9" s="1"/>
  <c r="EM241" i="9"/>
  <c r="CZ241" i="9"/>
  <c r="DB241" i="9" s="1"/>
  <c r="DS241" i="9"/>
  <c r="DU241" i="9" s="1"/>
  <c r="DT241" i="9"/>
  <c r="BR240" i="12"/>
  <c r="EQ240" i="9"/>
  <c r="EP240" i="9"/>
  <c r="ES240" i="9"/>
  <c r="ER240" i="9"/>
  <c r="AY240" i="9"/>
  <c r="AZ240" i="9"/>
  <c r="BB240" i="9"/>
  <c r="BA240" i="9"/>
  <c r="FJ240" i="12" l="1"/>
  <c r="ER240" i="12"/>
  <c r="EQ240" i="12"/>
  <c r="FL240" i="12"/>
  <c r="EA240" i="9"/>
  <c r="CO240" i="9"/>
  <c r="FM240" i="9"/>
  <c r="BC240" i="9"/>
  <c r="ET240" i="9"/>
  <c r="DH240" i="9"/>
  <c r="CN240" i="12"/>
  <c r="CM240" i="12"/>
  <c r="M242" i="12"/>
  <c r="AG240" i="12"/>
  <c r="AJ240" i="12" s="1"/>
  <c r="AI240" i="12"/>
  <c r="AJ239" i="12"/>
  <c r="EA239" i="12"/>
  <c r="BV239" i="12"/>
  <c r="BC239" i="12"/>
  <c r="FM240" i="12"/>
  <c r="BA240" i="12"/>
  <c r="BB240" i="12"/>
  <c r="AZ240" i="12"/>
  <c r="DG241" i="9"/>
  <c r="DF241" i="9"/>
  <c r="DE241" i="9"/>
  <c r="DD241" i="9"/>
  <c r="BS240" i="12"/>
  <c r="BU240" i="12"/>
  <c r="BT240" i="12"/>
  <c r="EQ241" i="9"/>
  <c r="ES241" i="9"/>
  <c r="EP241" i="9"/>
  <c r="ER241" i="9"/>
  <c r="G243" i="12" a="1"/>
  <c r="G243" i="12" s="1"/>
  <c r="K243" i="12" a="1"/>
  <c r="K243" i="12" s="1"/>
  <c r="N243" i="12" a="1"/>
  <c r="N243" i="12" s="1"/>
  <c r="H243" i="12" a="1"/>
  <c r="H243" i="12" s="1"/>
  <c r="O243" i="12" a="1"/>
  <c r="O243" i="12" s="1"/>
  <c r="L243" i="12" a="1"/>
  <c r="L243" i="12" s="1"/>
  <c r="J243" i="12" a="1"/>
  <c r="J243" i="12" s="1"/>
  <c r="D244" i="12"/>
  <c r="BR241" i="9"/>
  <c r="BV241" i="9" s="1"/>
  <c r="BU241" i="9"/>
  <c r="BS241" i="9"/>
  <c r="BT241" i="9"/>
  <c r="FI241" i="9"/>
  <c r="FM241" i="9" s="1"/>
  <c r="FL241" i="9"/>
  <c r="FJ241" i="9"/>
  <c r="FK241" i="9"/>
  <c r="DX240" i="12"/>
  <c r="DZ240" i="12"/>
  <c r="DY240" i="12"/>
  <c r="CH242" i="9"/>
  <c r="FE242" i="9"/>
  <c r="FG242" i="9" s="1"/>
  <c r="CG242" i="9"/>
  <c r="CI242" i="9" s="1"/>
  <c r="FF242" i="9"/>
  <c r="BO242" i="9"/>
  <c r="AV242" i="9"/>
  <c r="BN242" i="9"/>
  <c r="BP242" i="9" s="1"/>
  <c r="AU242" i="9"/>
  <c r="AW242" i="9" s="1"/>
  <c r="AB242" i="9"/>
  <c r="AD242" i="9" s="1"/>
  <c r="EL242" i="9"/>
  <c r="EN242" i="9" s="1"/>
  <c r="AC242" i="9"/>
  <c r="EM242" i="9"/>
  <c r="DA242" i="9"/>
  <c r="CZ242" i="9"/>
  <c r="DB242" i="9" s="1"/>
  <c r="DT242" i="9"/>
  <c r="DS242" i="9"/>
  <c r="DU242" i="9" s="1"/>
  <c r="P242" i="12"/>
  <c r="Q242" i="12" s="1"/>
  <c r="EP241" i="12"/>
  <c r="FE241" i="12"/>
  <c r="FG241" i="12" s="1"/>
  <c r="FF241" i="12"/>
  <c r="DD241" i="12"/>
  <c r="CK241" i="12"/>
  <c r="AB241" i="12"/>
  <c r="AD241" i="12" s="1"/>
  <c r="BO241" i="12"/>
  <c r="AC241" i="12"/>
  <c r="BN241" i="12"/>
  <c r="BP241" i="12" s="1"/>
  <c r="CH241" i="12"/>
  <c r="FI241" i="12"/>
  <c r="BR241" i="12"/>
  <c r="DW241" i="12"/>
  <c r="EM241" i="12"/>
  <c r="DA241" i="12"/>
  <c r="AF241" i="12"/>
  <c r="AY241" i="12"/>
  <c r="CZ241" i="12"/>
  <c r="DB241" i="12" s="1"/>
  <c r="DS241" i="12"/>
  <c r="DU241" i="12" s="1"/>
  <c r="EL241" i="12"/>
  <c r="EN241" i="12" s="1"/>
  <c r="DT241" i="12"/>
  <c r="CG241" i="12"/>
  <c r="CI241" i="12" s="1"/>
  <c r="AU241" i="12"/>
  <c r="AW241" i="12" s="1"/>
  <c r="AV241" i="12"/>
  <c r="AF241" i="9"/>
  <c r="AH241" i="9"/>
  <c r="AG241" i="9"/>
  <c r="AI241" i="9"/>
  <c r="BB241" i="9"/>
  <c r="AZ241" i="9"/>
  <c r="BA241" i="9"/>
  <c r="AY241" i="9"/>
  <c r="L244" i="9" a="1"/>
  <c r="L244" i="9" s="1"/>
  <c r="G244" i="9" a="1"/>
  <c r="G244" i="9" s="1"/>
  <c r="H244" i="9" a="1"/>
  <c r="H244" i="9" s="1"/>
  <c r="O244" i="9" a="1"/>
  <c r="O244" i="9" s="1"/>
  <c r="J244" i="9" a="1"/>
  <c r="J244" i="9" s="1"/>
  <c r="N244" i="9" a="1"/>
  <c r="N244" i="9" s="1"/>
  <c r="D245" i="9"/>
  <c r="K244" i="9" a="1"/>
  <c r="K244" i="9" s="1"/>
  <c r="DY241" i="9"/>
  <c r="DZ241" i="9"/>
  <c r="DX241" i="9"/>
  <c r="DW241" i="9"/>
  <c r="EA241" i="9" s="1"/>
  <c r="CK241" i="9"/>
  <c r="CN241" i="9"/>
  <c r="CL241" i="9"/>
  <c r="CM241" i="9"/>
  <c r="DQ243" i="9"/>
  <c r="DR243" i="9" s="1"/>
  <c r="DV243" i="9" s="1"/>
  <c r="BL243" i="9"/>
  <c r="BM243" i="9" s="1"/>
  <c r="BQ243" i="9" s="1"/>
  <c r="CX243" i="9"/>
  <c r="CY243" i="9" s="1"/>
  <c r="DC243" i="9" s="1"/>
  <c r="CE243" i="9"/>
  <c r="CF243" i="9" s="1"/>
  <c r="CJ243" i="9" s="1"/>
  <c r="FC243" i="9"/>
  <c r="FD243" i="9" s="1"/>
  <c r="FH243" i="9" s="1"/>
  <c r="AS243" i="9"/>
  <c r="AT243" i="9" s="1"/>
  <c r="AX243" i="9" s="1"/>
  <c r="EJ243" i="9"/>
  <c r="EK243" i="9" s="1"/>
  <c r="EO243" i="9" s="1"/>
  <c r="Z243" i="9"/>
  <c r="AA243" i="9" s="1"/>
  <c r="AE243" i="9" s="1"/>
  <c r="I244" i="9"/>
  <c r="M243" i="9"/>
  <c r="P243" i="9" s="1"/>
  <c r="Q243" i="9" s="1"/>
  <c r="DH240" i="12"/>
  <c r="ET240" i="12" l="1"/>
  <c r="BC241" i="9"/>
  <c r="CO240" i="12"/>
  <c r="AJ241" i="9"/>
  <c r="ET241" i="9"/>
  <c r="CO241" i="9"/>
  <c r="DH241" i="9"/>
  <c r="DS242" i="12"/>
  <c r="DU242" i="12" s="1"/>
  <c r="DZ242" i="12" s="1"/>
  <c r="FI242" i="12"/>
  <c r="DA242" i="12"/>
  <c r="FE242" i="12"/>
  <c r="FG242" i="12" s="1"/>
  <c r="FK242" i="12" s="1"/>
  <c r="BR242" i="12"/>
  <c r="AY242" i="12"/>
  <c r="BN242" i="12"/>
  <c r="BP242" i="12" s="1"/>
  <c r="BU242" i="12" s="1"/>
  <c r="EP242" i="12"/>
  <c r="AF242" i="12"/>
  <c r="DD242" i="12"/>
  <c r="AU242" i="12"/>
  <c r="AW242" i="12" s="1"/>
  <c r="BA242" i="12" s="1"/>
  <c r="DW242" i="12"/>
  <c r="BV240" i="12"/>
  <c r="BC240" i="12"/>
  <c r="CZ242" i="12"/>
  <c r="DB242" i="12" s="1"/>
  <c r="DE242" i="12" s="1"/>
  <c r="FF243" i="9"/>
  <c r="CG243" i="9"/>
  <c r="CI243" i="9" s="1"/>
  <c r="FE243" i="9"/>
  <c r="FG243" i="9" s="1"/>
  <c r="BN243" i="9"/>
  <c r="BP243" i="9" s="1"/>
  <c r="AV243" i="9"/>
  <c r="CH243" i="9"/>
  <c r="BO243" i="9"/>
  <c r="AU243" i="9"/>
  <c r="AW243" i="9" s="1"/>
  <c r="AB243" i="9"/>
  <c r="AD243" i="9" s="1"/>
  <c r="DA243" i="9"/>
  <c r="AC243" i="9"/>
  <c r="CZ243" i="9"/>
  <c r="DB243" i="9" s="1"/>
  <c r="EM243" i="9"/>
  <c r="EL243" i="9"/>
  <c r="EN243" i="9" s="1"/>
  <c r="DS243" i="9"/>
  <c r="DU243" i="9" s="1"/>
  <c r="DT243" i="9"/>
  <c r="FJ242" i="12"/>
  <c r="FL242" i="12"/>
  <c r="CN241" i="12"/>
  <c r="CM241" i="12"/>
  <c r="CL241" i="12"/>
  <c r="AI241" i="12"/>
  <c r="AH241" i="12"/>
  <c r="AG241" i="12"/>
  <c r="CG242" i="12"/>
  <c r="CI242" i="12" s="1"/>
  <c r="BS242" i="9"/>
  <c r="BR242" i="9"/>
  <c r="BU242" i="9"/>
  <c r="BT242" i="9"/>
  <c r="DG242" i="9"/>
  <c r="DF242" i="9"/>
  <c r="DD242" i="9"/>
  <c r="DE242" i="9"/>
  <c r="EQ241" i="12"/>
  <c r="ER241" i="12"/>
  <c r="ES241" i="12"/>
  <c r="EM242" i="12"/>
  <c r="CK242" i="12"/>
  <c r="L244" i="12" a="1"/>
  <c r="L244" i="12" s="1"/>
  <c r="J244" i="12" a="1"/>
  <c r="J244" i="12" s="1"/>
  <c r="G244" i="12" a="1"/>
  <c r="G244" i="12" s="1"/>
  <c r="H244" i="12" a="1"/>
  <c r="H244" i="12" s="1"/>
  <c r="N244" i="12" a="1"/>
  <c r="N244" i="12" s="1"/>
  <c r="O244" i="12" a="1"/>
  <c r="O244" i="12" s="1"/>
  <c r="K244" i="12" a="1"/>
  <c r="K244" i="12" s="1"/>
  <c r="D245" i="12"/>
  <c r="FC244" i="9"/>
  <c r="FD244" i="9" s="1"/>
  <c r="FH244" i="9" s="1"/>
  <c r="AS244" i="9"/>
  <c r="AT244" i="9" s="1"/>
  <c r="AX244" i="9" s="1"/>
  <c r="EJ244" i="9"/>
  <c r="EK244" i="9" s="1"/>
  <c r="EO244" i="9" s="1"/>
  <c r="CE244" i="9"/>
  <c r="CF244" i="9" s="1"/>
  <c r="CJ244" i="9" s="1"/>
  <c r="Z244" i="9"/>
  <c r="AA244" i="9" s="1"/>
  <c r="AE244" i="9" s="1"/>
  <c r="DQ244" i="9"/>
  <c r="DR244" i="9" s="1"/>
  <c r="DV244" i="9" s="1"/>
  <c r="BL244" i="9"/>
  <c r="BM244" i="9" s="1"/>
  <c r="BQ244" i="9" s="1"/>
  <c r="CX244" i="9"/>
  <c r="CY244" i="9" s="1"/>
  <c r="DC244" i="9" s="1"/>
  <c r="I245" i="9"/>
  <c r="DX241" i="12"/>
  <c r="DZ241" i="12"/>
  <c r="DY241" i="12"/>
  <c r="EL242" i="12"/>
  <c r="EN242" i="12" s="1"/>
  <c r="M243" i="12"/>
  <c r="P243" i="12" s="1"/>
  <c r="Q243" i="12" s="1"/>
  <c r="K245" i="9" a="1"/>
  <c r="K245" i="9" s="1"/>
  <c r="J245" i="9" a="1"/>
  <c r="J245" i="9" s="1"/>
  <c r="L245" i="9" a="1"/>
  <c r="L245" i="9" s="1"/>
  <c r="H245" i="9" a="1"/>
  <c r="H245" i="9" s="1"/>
  <c r="N245" i="9" a="1"/>
  <c r="N245" i="9" s="1"/>
  <c r="G245" i="9" a="1"/>
  <c r="G245" i="9" s="1"/>
  <c r="O245" i="9" a="1"/>
  <c r="O245" i="9" s="1"/>
  <c r="D246" i="9"/>
  <c r="DE241" i="12"/>
  <c r="DF241" i="12"/>
  <c r="DG241" i="12"/>
  <c r="FJ241" i="12"/>
  <c r="FL241" i="12"/>
  <c r="FK241" i="12"/>
  <c r="DT242" i="12"/>
  <c r="FF242" i="12"/>
  <c r="CN242" i="9"/>
  <c r="CM242" i="9"/>
  <c r="CK242" i="9"/>
  <c r="CL242" i="9"/>
  <c r="BS241" i="12"/>
  <c r="BU241" i="12"/>
  <c r="BT241" i="12"/>
  <c r="BO242" i="12"/>
  <c r="EQ242" i="9"/>
  <c r="EP242" i="9"/>
  <c r="ET242" i="9" s="1"/>
  <c r="ER242" i="9"/>
  <c r="ES242" i="9"/>
  <c r="FI242" i="9"/>
  <c r="FJ242" i="9"/>
  <c r="FK242" i="9"/>
  <c r="FL242" i="9"/>
  <c r="M244" i="9"/>
  <c r="P244" i="9" s="1"/>
  <c r="Q244" i="9" s="1"/>
  <c r="AB242" i="12"/>
  <c r="AD242" i="12" s="1"/>
  <c r="AH242" i="9"/>
  <c r="AI242" i="9"/>
  <c r="AF242" i="9"/>
  <c r="AG242" i="9"/>
  <c r="BA241" i="12"/>
  <c r="BB241" i="12"/>
  <c r="AZ241" i="12"/>
  <c r="AV242" i="12"/>
  <c r="CH242" i="12"/>
  <c r="AC242" i="12"/>
  <c r="DW242" i="9"/>
  <c r="DX242" i="9"/>
  <c r="DZ242" i="9"/>
  <c r="DY242" i="9"/>
  <c r="BB242" i="9"/>
  <c r="BA242" i="9"/>
  <c r="AZ242" i="9"/>
  <c r="AY242" i="9"/>
  <c r="EA240" i="12"/>
  <c r="DY242" i="12" l="1"/>
  <c r="DX242" i="12"/>
  <c r="EA242" i="12" s="1"/>
  <c r="BS242" i="12"/>
  <c r="BC242" i="9"/>
  <c r="CO242" i="9"/>
  <c r="DH242" i="9"/>
  <c r="BV242" i="9"/>
  <c r="EA242" i="9"/>
  <c r="AJ242" i="9"/>
  <c r="FM242" i="9"/>
  <c r="BB242" i="12"/>
  <c r="AZ242" i="12"/>
  <c r="DF242" i="12"/>
  <c r="DG242" i="12"/>
  <c r="BT242" i="12"/>
  <c r="BV242" i="12" s="1"/>
  <c r="BC241" i="12"/>
  <c r="EA241" i="12"/>
  <c r="FM242" i="12"/>
  <c r="FM241" i="12"/>
  <c r="BV241" i="12"/>
  <c r="AJ241" i="12"/>
  <c r="ET241" i="12"/>
  <c r="CO241" i="12"/>
  <c r="AF243" i="9"/>
  <c r="AG243" i="9"/>
  <c r="AI243" i="9"/>
  <c r="AH243" i="9"/>
  <c r="DH242" i="12"/>
  <c r="DH241" i="12"/>
  <c r="M245" i="9"/>
  <c r="P245" i="9" s="1"/>
  <c r="Q245" i="9" s="1"/>
  <c r="M244" i="12"/>
  <c r="P244" i="12" s="1"/>
  <c r="Q244" i="12" s="1"/>
  <c r="AY243" i="9"/>
  <c r="AZ243" i="9"/>
  <c r="BA243" i="9"/>
  <c r="BB243" i="9"/>
  <c r="CG244" i="9"/>
  <c r="CI244" i="9" s="1"/>
  <c r="FF244" i="9"/>
  <c r="AU244" i="9"/>
  <c r="AW244" i="9" s="1"/>
  <c r="BN244" i="9"/>
  <c r="BP244" i="9" s="1"/>
  <c r="BO244" i="9"/>
  <c r="AV244" i="9"/>
  <c r="CH244" i="9"/>
  <c r="FE244" i="9"/>
  <c r="FG244" i="9" s="1"/>
  <c r="EL244" i="9"/>
  <c r="EN244" i="9" s="1"/>
  <c r="EM244" i="9"/>
  <c r="AC244" i="9"/>
  <c r="CZ244" i="9"/>
  <c r="DB244" i="9" s="1"/>
  <c r="AB244" i="9"/>
  <c r="AD244" i="9" s="1"/>
  <c r="DA244" i="9"/>
  <c r="DS244" i="9"/>
  <c r="DU244" i="9" s="1"/>
  <c r="DT244" i="9"/>
  <c r="BL245" i="9"/>
  <c r="BM245" i="9" s="1"/>
  <c r="BQ245" i="9" s="1"/>
  <c r="FC245" i="9"/>
  <c r="FD245" i="9" s="1"/>
  <c r="FH245" i="9" s="1"/>
  <c r="Z245" i="9"/>
  <c r="AA245" i="9" s="1"/>
  <c r="AE245" i="9" s="1"/>
  <c r="CX245" i="9"/>
  <c r="CY245" i="9" s="1"/>
  <c r="DC245" i="9" s="1"/>
  <c r="AS245" i="9"/>
  <c r="AT245" i="9" s="1"/>
  <c r="AX245" i="9" s="1"/>
  <c r="EJ245" i="9"/>
  <c r="EK245" i="9" s="1"/>
  <c r="EO245" i="9" s="1"/>
  <c r="DQ245" i="9"/>
  <c r="DR245" i="9" s="1"/>
  <c r="DV245" i="9" s="1"/>
  <c r="CE245" i="9"/>
  <c r="CF245" i="9" s="1"/>
  <c r="CJ245" i="9" s="1"/>
  <c r="I246" i="9"/>
  <c r="DX243" i="9"/>
  <c r="DZ243" i="9"/>
  <c r="DW243" i="9"/>
  <c r="EA243" i="9" s="1"/>
  <c r="DY243" i="9"/>
  <c r="N246" i="9" a="1"/>
  <c r="N246" i="9" s="1"/>
  <c r="J246" i="9" a="1"/>
  <c r="J246" i="9" s="1"/>
  <c r="L246" i="9" a="1"/>
  <c r="L246" i="9" s="1"/>
  <c r="G246" i="9" a="1"/>
  <c r="G246" i="9" s="1"/>
  <c r="O246" i="9" a="1"/>
  <c r="O246" i="9" s="1"/>
  <c r="H246" i="9" a="1"/>
  <c r="H246" i="9" s="1"/>
  <c r="K246" i="9" a="1"/>
  <c r="K246" i="9" s="1"/>
  <c r="D247" i="9"/>
  <c r="FE243" i="12"/>
  <c r="FG243" i="12" s="1"/>
  <c r="FF243" i="12"/>
  <c r="EP243" i="12"/>
  <c r="CK243" i="12"/>
  <c r="DD243" i="12"/>
  <c r="AB243" i="12"/>
  <c r="AD243" i="12" s="1"/>
  <c r="AC243" i="12"/>
  <c r="BO243" i="12"/>
  <c r="BN243" i="12"/>
  <c r="BP243" i="12" s="1"/>
  <c r="AY243" i="12"/>
  <c r="FI243" i="12"/>
  <c r="EM243" i="12"/>
  <c r="DA243" i="12"/>
  <c r="AF243" i="12"/>
  <c r="EL243" i="12"/>
  <c r="EN243" i="12" s="1"/>
  <c r="CZ243" i="12"/>
  <c r="DB243" i="12" s="1"/>
  <c r="DS243" i="12"/>
  <c r="DU243" i="12" s="1"/>
  <c r="BR243" i="12"/>
  <c r="DW243" i="12"/>
  <c r="CH243" i="12"/>
  <c r="CG243" i="12"/>
  <c r="CI243" i="12" s="1"/>
  <c r="DT243" i="12"/>
  <c r="AV243" i="12"/>
  <c r="AU243" i="12"/>
  <c r="AW243" i="12" s="1"/>
  <c r="L245" i="12" a="1"/>
  <c r="L245" i="12" s="1"/>
  <c r="J245" i="12" a="1"/>
  <c r="J245" i="12" s="1"/>
  <c r="K245" i="12" a="1"/>
  <c r="K245" i="12" s="1"/>
  <c r="N245" i="12" a="1"/>
  <c r="N245" i="12" s="1"/>
  <c r="H245" i="12" a="1"/>
  <c r="H245" i="12" s="1"/>
  <c r="G245" i="12" a="1"/>
  <c r="G245" i="12" s="1"/>
  <c r="O245" i="12" a="1"/>
  <c r="O245" i="12" s="1"/>
  <c r="D246" i="12"/>
  <c r="ER243" i="9"/>
  <c r="ES243" i="9"/>
  <c r="EQ243" i="9"/>
  <c r="EP243" i="9"/>
  <c r="AG242" i="12"/>
  <c r="AI242" i="12"/>
  <c r="AH242" i="12"/>
  <c r="EQ242" i="12"/>
  <c r="ES242" i="12"/>
  <c r="ER242" i="12"/>
  <c r="CL242" i="12"/>
  <c r="CN242" i="12"/>
  <c r="CM242" i="12"/>
  <c r="CL243" i="9"/>
  <c r="CK243" i="9"/>
  <c r="CO243" i="9" s="1"/>
  <c r="CM243" i="9"/>
  <c r="CN243" i="9"/>
  <c r="DD243" i="9"/>
  <c r="DH243" i="9" s="1"/>
  <c r="DE243" i="9"/>
  <c r="DG243" i="9"/>
  <c r="DF243" i="9"/>
  <c r="BS243" i="9"/>
  <c r="BU243" i="9"/>
  <c r="BR243" i="9"/>
  <c r="BT243" i="9"/>
  <c r="FI243" i="9"/>
  <c r="FL243" i="9"/>
  <c r="FK243" i="9"/>
  <c r="FJ243" i="9"/>
  <c r="FM243" i="9" l="1"/>
  <c r="BC242" i="12"/>
  <c r="BV243" i="9"/>
  <c r="BC243" i="9"/>
  <c r="AJ243" i="9"/>
  <c r="ET243" i="9"/>
  <c r="CO242" i="12"/>
  <c r="FF244" i="12"/>
  <c r="FE244" i="12"/>
  <c r="FG244" i="12" s="1"/>
  <c r="EP244" i="12"/>
  <c r="CK244" i="12"/>
  <c r="DD244" i="12"/>
  <c r="BN244" i="12"/>
  <c r="BP244" i="12" s="1"/>
  <c r="AC244" i="12"/>
  <c r="AB244" i="12"/>
  <c r="AD244" i="12" s="1"/>
  <c r="BO244" i="12"/>
  <c r="AY244" i="12"/>
  <c r="BR244" i="12"/>
  <c r="CH244" i="12"/>
  <c r="CZ244" i="12"/>
  <c r="DB244" i="12" s="1"/>
  <c r="FI244" i="12"/>
  <c r="CG244" i="12"/>
  <c r="CI244" i="12" s="1"/>
  <c r="DA244" i="12"/>
  <c r="AF244" i="12"/>
  <c r="DW244" i="12"/>
  <c r="EL244" i="12"/>
  <c r="EN244" i="12" s="1"/>
  <c r="DT244" i="12"/>
  <c r="EM244" i="12"/>
  <c r="DS244" i="12"/>
  <c r="DU244" i="12" s="1"/>
  <c r="AV244" i="12"/>
  <c r="AU244" i="12"/>
  <c r="AW244" i="12" s="1"/>
  <c r="AJ242" i="12"/>
  <c r="AG243" i="12"/>
  <c r="AH243" i="12"/>
  <c r="AI243" i="12"/>
  <c r="AY244" i="9"/>
  <c r="BA244" i="9"/>
  <c r="BB244" i="9"/>
  <c r="AZ244" i="9"/>
  <c r="AU245" i="9"/>
  <c r="AW245" i="9" s="1"/>
  <c r="CG245" i="9"/>
  <c r="CI245" i="9" s="1"/>
  <c r="AV245" i="9"/>
  <c r="CH245" i="9"/>
  <c r="FE245" i="9"/>
  <c r="FG245" i="9" s="1"/>
  <c r="BN245" i="9"/>
  <c r="BP245" i="9" s="1"/>
  <c r="FF245" i="9"/>
  <c r="BO245" i="9"/>
  <c r="EL245" i="9"/>
  <c r="EN245" i="9" s="1"/>
  <c r="AB245" i="9"/>
  <c r="AD245" i="9" s="1"/>
  <c r="CZ245" i="9"/>
  <c r="DB245" i="9" s="1"/>
  <c r="EM245" i="9"/>
  <c r="DA245" i="9"/>
  <c r="AC245" i="9"/>
  <c r="DT245" i="9"/>
  <c r="DS245" i="9"/>
  <c r="DU245" i="9" s="1"/>
  <c r="CM243" i="12"/>
  <c r="CN243" i="12"/>
  <c r="CL243" i="12"/>
  <c r="EJ246" i="9"/>
  <c r="EK246" i="9" s="1"/>
  <c r="EO246" i="9" s="1"/>
  <c r="DQ246" i="9"/>
  <c r="DR246" i="9" s="1"/>
  <c r="DV246" i="9" s="1"/>
  <c r="CE246" i="9"/>
  <c r="CF246" i="9" s="1"/>
  <c r="CJ246" i="9" s="1"/>
  <c r="Z246" i="9"/>
  <c r="AA246" i="9" s="1"/>
  <c r="AE246" i="9" s="1"/>
  <c r="BL246" i="9"/>
  <c r="BM246" i="9" s="1"/>
  <c r="BQ246" i="9" s="1"/>
  <c r="FC246" i="9"/>
  <c r="FD246" i="9" s="1"/>
  <c r="FH246" i="9" s="1"/>
  <c r="CX246" i="9"/>
  <c r="CY246" i="9" s="1"/>
  <c r="DC246" i="9" s="1"/>
  <c r="AS246" i="9"/>
  <c r="AT246" i="9" s="1"/>
  <c r="AX246" i="9" s="1"/>
  <c r="I247" i="9"/>
  <c r="EP244" i="9"/>
  <c r="EQ244" i="9"/>
  <c r="ER244" i="9"/>
  <c r="ES244" i="9"/>
  <c r="CM244" i="9"/>
  <c r="CL244" i="9"/>
  <c r="CK244" i="9"/>
  <c r="CN244" i="9"/>
  <c r="FJ244" i="9"/>
  <c r="FI244" i="9"/>
  <c r="FL244" i="9"/>
  <c r="FK244" i="9"/>
  <c r="DF244" i="9"/>
  <c r="DG244" i="9"/>
  <c r="DD244" i="9"/>
  <c r="DH244" i="9" s="1"/>
  <c r="DE244" i="9"/>
  <c r="ET242" i="12"/>
  <c r="M245" i="12"/>
  <c r="P245" i="12" s="1"/>
  <c r="Q245" i="12" s="1"/>
  <c r="M246" i="9"/>
  <c r="P246" i="9" s="1"/>
  <c r="Q246" i="9" s="1"/>
  <c r="DW244" i="9"/>
  <c r="EA244" i="9" s="1"/>
  <c r="DX244" i="9"/>
  <c r="DZ244" i="9"/>
  <c r="DY244" i="9"/>
  <c r="EQ243" i="12"/>
  <c r="ER243" i="12"/>
  <c r="ES243" i="12"/>
  <c r="DX243" i="12"/>
  <c r="DZ243" i="12"/>
  <c r="DY243" i="12"/>
  <c r="BS243" i="12"/>
  <c r="BT243" i="12"/>
  <c r="BU243" i="12"/>
  <c r="FJ243" i="12"/>
  <c r="FL243" i="12"/>
  <c r="FK243" i="12"/>
  <c r="BR244" i="9"/>
  <c r="BV244" i="9" s="1"/>
  <c r="BU244" i="9"/>
  <c r="BS244" i="9"/>
  <c r="BT244" i="9"/>
  <c r="K246" i="12" a="1"/>
  <c r="K246" i="12" s="1"/>
  <c r="O246" i="12" a="1"/>
  <c r="O246" i="12" s="1"/>
  <c r="G246" i="12" a="1"/>
  <c r="G246" i="12" s="1"/>
  <c r="N246" i="12" a="1"/>
  <c r="N246" i="12" s="1"/>
  <c r="H246" i="12" a="1"/>
  <c r="H246" i="12" s="1"/>
  <c r="J246" i="12" a="1"/>
  <c r="J246" i="12" s="1"/>
  <c r="L246" i="12" a="1"/>
  <c r="L246" i="12" s="1"/>
  <c r="D247" i="12"/>
  <c r="AZ243" i="12"/>
  <c r="BB243" i="12"/>
  <c r="BA243" i="12"/>
  <c r="DE243" i="12"/>
  <c r="DF243" i="12"/>
  <c r="DG243" i="12"/>
  <c r="L247" i="9" a="1"/>
  <c r="L247" i="9" s="1"/>
  <c r="K247" i="9" a="1"/>
  <c r="K247" i="9" s="1"/>
  <c r="O247" i="9" a="1"/>
  <c r="O247" i="9" s="1"/>
  <c r="H247" i="9" a="1"/>
  <c r="H247" i="9" s="1"/>
  <c r="J247" i="9" a="1"/>
  <c r="J247" i="9" s="1"/>
  <c r="N247" i="9" a="1"/>
  <c r="N247" i="9" s="1"/>
  <c r="G247" i="9" a="1"/>
  <c r="G247" i="9" s="1"/>
  <c r="D248" i="9"/>
  <c r="AF244" i="9"/>
  <c r="AJ244" i="9" s="1"/>
  <c r="AI244" i="9"/>
  <c r="AG244" i="9"/>
  <c r="AH244" i="9"/>
  <c r="FM244" i="9" l="1"/>
  <c r="ET244" i="9"/>
  <c r="BC244" i="9"/>
  <c r="CO244" i="9"/>
  <c r="AJ243" i="12"/>
  <c r="DD245" i="12"/>
  <c r="DT245" i="12"/>
  <c r="EL245" i="12"/>
  <c r="EN245" i="12" s="1"/>
  <c r="ES245" i="12" s="1"/>
  <c r="EP245" i="12"/>
  <c r="DW245" i="12"/>
  <c r="AY245" i="12"/>
  <c r="FE245" i="12"/>
  <c r="FG245" i="12" s="1"/>
  <c r="FJ245" i="12" s="1"/>
  <c r="AF245" i="12"/>
  <c r="FI245" i="12"/>
  <c r="AU245" i="12"/>
  <c r="AW245" i="12" s="1"/>
  <c r="AZ245" i="12" s="1"/>
  <c r="AB245" i="12"/>
  <c r="AD245" i="12" s="1"/>
  <c r="AH245" i="12" s="1"/>
  <c r="BO245" i="12"/>
  <c r="CO243" i="12"/>
  <c r="FM243" i="12"/>
  <c r="EA243" i="12"/>
  <c r="BV243" i="12"/>
  <c r="BC243" i="12"/>
  <c r="FF245" i="12"/>
  <c r="CE247" i="9"/>
  <c r="CF247" i="9" s="1"/>
  <c r="CJ247" i="9" s="1"/>
  <c r="FC247" i="9"/>
  <c r="FD247" i="9" s="1"/>
  <c r="FH247" i="9" s="1"/>
  <c r="Z247" i="9"/>
  <c r="AA247" i="9" s="1"/>
  <c r="AE247" i="9" s="1"/>
  <c r="BL247" i="9"/>
  <c r="BM247" i="9" s="1"/>
  <c r="BQ247" i="9" s="1"/>
  <c r="CX247" i="9"/>
  <c r="CY247" i="9" s="1"/>
  <c r="DC247" i="9" s="1"/>
  <c r="AS247" i="9"/>
  <c r="AT247" i="9" s="1"/>
  <c r="AX247" i="9" s="1"/>
  <c r="EJ247" i="9"/>
  <c r="EK247" i="9" s="1"/>
  <c r="EO247" i="9" s="1"/>
  <c r="DQ247" i="9"/>
  <c r="DR247" i="9" s="1"/>
  <c r="DV247" i="9" s="1"/>
  <c r="I248" i="9"/>
  <c r="BR245" i="9"/>
  <c r="BU245" i="9"/>
  <c r="BS245" i="9"/>
  <c r="BT245" i="9"/>
  <c r="CN244" i="12"/>
  <c r="CL244" i="12"/>
  <c r="CM244" i="12"/>
  <c r="AV245" i="12"/>
  <c r="CG245" i="12"/>
  <c r="CI245" i="12" s="1"/>
  <c r="N247" i="12" a="1"/>
  <c r="N247" i="12" s="1"/>
  <c r="J247" i="12" a="1"/>
  <c r="J247" i="12" s="1"/>
  <c r="H247" i="12" a="1"/>
  <c r="H247" i="12" s="1"/>
  <c r="G247" i="12" a="1"/>
  <c r="G247" i="12" s="1"/>
  <c r="O247" i="12" a="1"/>
  <c r="O247" i="12" s="1"/>
  <c r="L247" i="12" a="1"/>
  <c r="L247" i="12" s="1"/>
  <c r="K247" i="12" a="1"/>
  <c r="K247" i="12" s="1"/>
  <c r="D248" i="12"/>
  <c r="AG244" i="12"/>
  <c r="AI244" i="12"/>
  <c r="AH244" i="12"/>
  <c r="M246" i="12"/>
  <c r="P246" i="12" s="1"/>
  <c r="Q246" i="12" s="1"/>
  <c r="FJ245" i="9"/>
  <c r="FI245" i="9"/>
  <c r="FL245" i="9"/>
  <c r="FK245" i="9"/>
  <c r="DX244" i="12"/>
  <c r="DZ244" i="12"/>
  <c r="DY244" i="12"/>
  <c r="BS244" i="12"/>
  <c r="BT244" i="12"/>
  <c r="BU244" i="12"/>
  <c r="EM245" i="12"/>
  <c r="BN245" i="12"/>
  <c r="BP245" i="12" s="1"/>
  <c r="J248" i="9" a="1"/>
  <c r="J248" i="9" s="1"/>
  <c r="N248" i="9" a="1"/>
  <c r="N248" i="9" s="1"/>
  <c r="H248" i="9" a="1"/>
  <c r="H248" i="9" s="1"/>
  <c r="G248" i="9" a="1"/>
  <c r="G248" i="9" s="1"/>
  <c r="L248" i="9" a="1"/>
  <c r="L248" i="9" s="1"/>
  <c r="K248" i="9" a="1"/>
  <c r="K248" i="9" s="1"/>
  <c r="O248" i="9" a="1"/>
  <c r="O248" i="9" s="1"/>
  <c r="D249" i="9"/>
  <c r="DH243" i="12"/>
  <c r="DE244" i="12"/>
  <c r="DG244" i="12"/>
  <c r="DF244" i="12"/>
  <c r="CZ245" i="12"/>
  <c r="DB245" i="12" s="1"/>
  <c r="FE246" i="9"/>
  <c r="FG246" i="9" s="1"/>
  <c r="AV246" i="9"/>
  <c r="BN246" i="9"/>
  <c r="BP246" i="9" s="1"/>
  <c r="CH246" i="9"/>
  <c r="BO246" i="9"/>
  <c r="CG246" i="9"/>
  <c r="CI246" i="9" s="1"/>
  <c r="FF246" i="9"/>
  <c r="AU246" i="9"/>
  <c r="AW246" i="9" s="1"/>
  <c r="AB246" i="9"/>
  <c r="AD246" i="9" s="1"/>
  <c r="EM246" i="9"/>
  <c r="EL246" i="9"/>
  <c r="EN246" i="9" s="1"/>
  <c r="DA246" i="9"/>
  <c r="CZ246" i="9"/>
  <c r="DB246" i="9" s="1"/>
  <c r="AC246" i="9"/>
  <c r="DT246" i="9"/>
  <c r="DS246" i="9"/>
  <c r="DU246" i="9" s="1"/>
  <c r="DG245" i="9"/>
  <c r="DF245" i="9"/>
  <c r="DD245" i="9"/>
  <c r="DH245" i="9" s="1"/>
  <c r="DE245" i="9"/>
  <c r="DA245" i="12"/>
  <c r="CK245" i="12"/>
  <c r="AZ244" i="12"/>
  <c r="BB244" i="12"/>
  <c r="BA244" i="12"/>
  <c r="M247" i="9"/>
  <c r="P247" i="9" s="1"/>
  <c r="Q247" i="9" s="1"/>
  <c r="AF245" i="9"/>
  <c r="AI245" i="9"/>
  <c r="AG245" i="9"/>
  <c r="AH245" i="9"/>
  <c r="CK245" i="9"/>
  <c r="CN245" i="9"/>
  <c r="CM245" i="9"/>
  <c r="CL245" i="9"/>
  <c r="EQ244" i="12"/>
  <c r="ES244" i="12"/>
  <c r="ER244" i="12"/>
  <c r="DS245" i="12"/>
  <c r="DU245" i="12" s="1"/>
  <c r="DZ245" i="9"/>
  <c r="DY245" i="9"/>
  <c r="DX245" i="9"/>
  <c r="DW245" i="9"/>
  <c r="EA245" i="9" s="1"/>
  <c r="ET243" i="12"/>
  <c r="EP245" i="9"/>
  <c r="EQ245" i="9"/>
  <c r="ES245" i="9"/>
  <c r="ER245" i="9"/>
  <c r="AY245" i="9"/>
  <c r="AZ245" i="9"/>
  <c r="BA245" i="9"/>
  <c r="BB245" i="9"/>
  <c r="FJ244" i="12"/>
  <c r="FL244" i="12"/>
  <c r="FK244" i="12"/>
  <c r="BR245" i="12"/>
  <c r="CH245" i="12"/>
  <c r="AC245" i="12"/>
  <c r="AG245" i="12" l="1"/>
  <c r="ER245" i="12"/>
  <c r="EQ245" i="12"/>
  <c r="ET245" i="12" s="1"/>
  <c r="ET245" i="9"/>
  <c r="AJ245" i="9"/>
  <c r="BV245" i="9"/>
  <c r="FM245" i="9"/>
  <c r="BB245" i="12"/>
  <c r="BC245" i="12" s="1"/>
  <c r="BC245" i="9"/>
  <c r="CO245" i="9"/>
  <c r="BA245" i="12"/>
  <c r="EA244" i="12"/>
  <c r="AJ244" i="12"/>
  <c r="AI245" i="12"/>
  <c r="AJ245" i="12" s="1"/>
  <c r="FK245" i="12"/>
  <c r="FL245" i="12"/>
  <c r="BV244" i="12"/>
  <c r="FM244" i="12"/>
  <c r="ET244" i="12"/>
  <c r="CO244" i="12"/>
  <c r="BC244" i="12"/>
  <c r="DE245" i="12"/>
  <c r="DF245" i="12"/>
  <c r="DG245" i="12"/>
  <c r="CK246" i="9"/>
  <c r="CL246" i="9"/>
  <c r="CN246" i="9"/>
  <c r="CM246" i="9"/>
  <c r="DH244" i="12"/>
  <c r="DZ246" i="9"/>
  <c r="DY246" i="9"/>
  <c r="DW246" i="9"/>
  <c r="DX246" i="9"/>
  <c r="DD246" i="9"/>
  <c r="DH246" i="9" s="1"/>
  <c r="DF246" i="9"/>
  <c r="DG246" i="9"/>
  <c r="DE246" i="9"/>
  <c r="CG247" i="9"/>
  <c r="CI247" i="9" s="1"/>
  <c r="BN247" i="9"/>
  <c r="BP247" i="9" s="1"/>
  <c r="CH247" i="9"/>
  <c r="BO247" i="9"/>
  <c r="FF247" i="9"/>
  <c r="AV247" i="9"/>
  <c r="FE247" i="9"/>
  <c r="FG247" i="9" s="1"/>
  <c r="AU247" i="9"/>
  <c r="AW247" i="9" s="1"/>
  <c r="AB247" i="9"/>
  <c r="AD247" i="9" s="1"/>
  <c r="AC247" i="9"/>
  <c r="CZ247" i="9"/>
  <c r="DB247" i="9" s="1"/>
  <c r="EM247" i="9"/>
  <c r="DA247" i="9"/>
  <c r="EL247" i="9"/>
  <c r="EN247" i="9" s="1"/>
  <c r="DT247" i="9"/>
  <c r="DS247" i="9"/>
  <c r="DU247" i="9" s="1"/>
  <c r="EQ246" i="9"/>
  <c r="EP246" i="9"/>
  <c r="ES246" i="9"/>
  <c r="ER246" i="9"/>
  <c r="BR246" i="9"/>
  <c r="BS246" i="9"/>
  <c r="BU246" i="9"/>
  <c r="BT246" i="9"/>
  <c r="M248" i="9"/>
  <c r="P248" i="9" s="1"/>
  <c r="Q248" i="9" s="1"/>
  <c r="M247" i="12"/>
  <c r="P247" i="12" s="1"/>
  <c r="Q247" i="12" s="1"/>
  <c r="EP246" i="12"/>
  <c r="FF246" i="12"/>
  <c r="FE246" i="12"/>
  <c r="FG246" i="12" s="1"/>
  <c r="DD246" i="12"/>
  <c r="CK246" i="12"/>
  <c r="BO246" i="12"/>
  <c r="BN246" i="12"/>
  <c r="BP246" i="12" s="1"/>
  <c r="AC246" i="12"/>
  <c r="AB246" i="12"/>
  <c r="AD246" i="12" s="1"/>
  <c r="DA246" i="12"/>
  <c r="EL246" i="12"/>
  <c r="EN246" i="12" s="1"/>
  <c r="CZ246" i="12"/>
  <c r="DB246" i="12" s="1"/>
  <c r="BR246" i="12"/>
  <c r="DW246" i="12"/>
  <c r="CG246" i="12"/>
  <c r="CI246" i="12" s="1"/>
  <c r="AF246" i="12"/>
  <c r="DT246" i="12"/>
  <c r="EM246" i="12"/>
  <c r="CH246" i="12"/>
  <c r="AY246" i="12"/>
  <c r="DS246" i="12"/>
  <c r="DU246" i="12" s="1"/>
  <c r="FI246" i="12"/>
  <c r="AV246" i="12"/>
  <c r="AU246" i="12"/>
  <c r="AW246" i="12" s="1"/>
  <c r="CE248" i="9"/>
  <c r="CF248" i="9" s="1"/>
  <c r="CJ248" i="9" s="1"/>
  <c r="EJ248" i="9"/>
  <c r="EK248" i="9" s="1"/>
  <c r="EO248" i="9" s="1"/>
  <c r="Z248" i="9"/>
  <c r="AA248" i="9" s="1"/>
  <c r="AE248" i="9" s="1"/>
  <c r="DQ248" i="9"/>
  <c r="DR248" i="9" s="1"/>
  <c r="DV248" i="9" s="1"/>
  <c r="FC248" i="9"/>
  <c r="FD248" i="9" s="1"/>
  <c r="FH248" i="9" s="1"/>
  <c r="CX248" i="9"/>
  <c r="CY248" i="9" s="1"/>
  <c r="DC248" i="9" s="1"/>
  <c r="BL248" i="9"/>
  <c r="BM248" i="9" s="1"/>
  <c r="BQ248" i="9" s="1"/>
  <c r="AS248" i="9"/>
  <c r="AT248" i="9" s="1"/>
  <c r="AX248" i="9" s="1"/>
  <c r="I249" i="9"/>
  <c r="L249" i="9" a="1"/>
  <c r="L249" i="9" s="1"/>
  <c r="K249" i="9" a="1"/>
  <c r="K249" i="9" s="1"/>
  <c r="H249" i="9" a="1"/>
  <c r="H249" i="9" s="1"/>
  <c r="G249" i="9" a="1"/>
  <c r="G249" i="9" s="1"/>
  <c r="O249" i="9" a="1"/>
  <c r="O249" i="9" s="1"/>
  <c r="N249" i="9" a="1"/>
  <c r="N249" i="9" s="1"/>
  <c r="J249" i="9" a="1"/>
  <c r="J249" i="9" s="1"/>
  <c r="D250" i="9"/>
  <c r="BS245" i="12"/>
  <c r="BU245" i="12"/>
  <c r="BT245" i="12"/>
  <c r="BB246" i="9"/>
  <c r="BA246" i="9"/>
  <c r="AZ246" i="9"/>
  <c r="AY246" i="9"/>
  <c r="DX245" i="12"/>
  <c r="DZ245" i="12"/>
  <c r="DY245" i="12"/>
  <c r="AH246" i="9"/>
  <c r="AF246" i="9"/>
  <c r="AG246" i="9"/>
  <c r="AI246" i="9"/>
  <c r="FJ246" i="9"/>
  <c r="FL246" i="9"/>
  <c r="FI246" i="9"/>
  <c r="FK246" i="9"/>
  <c r="L248" i="12" a="1"/>
  <c r="L248" i="12" s="1"/>
  <c r="J248" i="12" a="1"/>
  <c r="J248" i="12" s="1"/>
  <c r="K248" i="12" a="1"/>
  <c r="K248" i="12" s="1"/>
  <c r="O248" i="12" a="1"/>
  <c r="O248" i="12" s="1"/>
  <c r="N248" i="12" a="1"/>
  <c r="N248" i="12" s="1"/>
  <c r="H248" i="12" a="1"/>
  <c r="H248" i="12" s="1"/>
  <c r="G248" i="12" a="1"/>
  <c r="G248" i="12" s="1"/>
  <c r="D249" i="12"/>
  <c r="CL245" i="12"/>
  <c r="CN245" i="12"/>
  <c r="CM245" i="12"/>
  <c r="BV246" i="9" l="1"/>
  <c r="CO246" i="9"/>
  <c r="BC246" i="9"/>
  <c r="ET246" i="9"/>
  <c r="EA246" i="9"/>
  <c r="FM245" i="12"/>
  <c r="AJ246" i="9"/>
  <c r="FM246" i="9"/>
  <c r="DH247" i="9"/>
  <c r="M249" i="9"/>
  <c r="P249" i="9" s="1"/>
  <c r="Q249" i="9" s="1"/>
  <c r="DH245" i="12"/>
  <c r="BV245" i="12"/>
  <c r="CO245" i="12"/>
  <c r="DE246" i="12"/>
  <c r="DG246" i="12"/>
  <c r="DF246" i="12"/>
  <c r="EQ247" i="9"/>
  <c r="EP247" i="9"/>
  <c r="ER247" i="9"/>
  <c r="ES247" i="9"/>
  <c r="L249" i="12" a="1"/>
  <c r="L249" i="12" s="1"/>
  <c r="N249" i="12" a="1"/>
  <c r="N249" i="12" s="1"/>
  <c r="H249" i="12" a="1"/>
  <c r="H249" i="12" s="1"/>
  <c r="G249" i="12" a="1"/>
  <c r="G249" i="12" s="1"/>
  <c r="J249" i="12" a="1"/>
  <c r="J249" i="12" s="1"/>
  <c r="K249" i="12" a="1"/>
  <c r="K249" i="12" s="1"/>
  <c r="O249" i="12" a="1"/>
  <c r="O249" i="12" s="1"/>
  <c r="D250" i="12"/>
  <c r="EA245" i="12"/>
  <c r="EQ246" i="12"/>
  <c r="ER246" i="12"/>
  <c r="ES246" i="12"/>
  <c r="FJ246" i="12"/>
  <c r="FL246" i="12"/>
  <c r="FK246" i="12"/>
  <c r="K250" i="9" a="1"/>
  <c r="K250" i="9" s="1"/>
  <c r="O250" i="9" a="1"/>
  <c r="O250" i="9" s="1"/>
  <c r="G250" i="9" a="1"/>
  <c r="G250" i="9" s="1"/>
  <c r="H250" i="9" a="1"/>
  <c r="H250" i="9" s="1"/>
  <c r="N250" i="9" a="1"/>
  <c r="N250" i="9" s="1"/>
  <c r="L250" i="9" a="1"/>
  <c r="L250" i="9" s="1"/>
  <c r="J250" i="9" a="1"/>
  <c r="J250" i="9" s="1"/>
  <c r="D251" i="9"/>
  <c r="DF247" i="9"/>
  <c r="DG247" i="9"/>
  <c r="DD247" i="9"/>
  <c r="DE247" i="9"/>
  <c r="BA246" i="12"/>
  <c r="AZ246" i="12"/>
  <c r="BB246" i="12"/>
  <c r="EP247" i="12"/>
  <c r="FE247" i="12"/>
  <c r="FG247" i="12" s="1"/>
  <c r="FF247" i="12"/>
  <c r="CK247" i="12"/>
  <c r="DD247" i="12"/>
  <c r="AC247" i="12"/>
  <c r="AB247" i="12"/>
  <c r="AD247" i="12" s="1"/>
  <c r="BO247" i="12"/>
  <c r="BN247" i="12"/>
  <c r="BP247" i="12" s="1"/>
  <c r="DW247" i="12"/>
  <c r="BR247" i="12"/>
  <c r="DT247" i="12"/>
  <c r="EM247" i="12"/>
  <c r="FI247" i="12"/>
  <c r="DS247" i="12"/>
  <c r="DU247" i="12" s="1"/>
  <c r="EL247" i="12"/>
  <c r="EN247" i="12" s="1"/>
  <c r="CH247" i="12"/>
  <c r="CG247" i="12"/>
  <c r="CI247" i="12" s="1"/>
  <c r="CZ247" i="12"/>
  <c r="DB247" i="12" s="1"/>
  <c r="AF247" i="12"/>
  <c r="AY247" i="12"/>
  <c r="DA247" i="12"/>
  <c r="AU247" i="12"/>
  <c r="AW247" i="12" s="1"/>
  <c r="AV247" i="12"/>
  <c r="BS247" i="9"/>
  <c r="BR247" i="9"/>
  <c r="BV247" i="9" s="1"/>
  <c r="BT247" i="9"/>
  <c r="BU247" i="9"/>
  <c r="CE249" i="9"/>
  <c r="CF249" i="9" s="1"/>
  <c r="CJ249" i="9" s="1"/>
  <c r="Z249" i="9"/>
  <c r="AA249" i="9" s="1"/>
  <c r="AE249" i="9" s="1"/>
  <c r="FC249" i="9"/>
  <c r="FD249" i="9" s="1"/>
  <c r="FH249" i="9" s="1"/>
  <c r="AS249" i="9"/>
  <c r="AT249" i="9" s="1"/>
  <c r="AX249" i="9" s="1"/>
  <c r="BL249" i="9"/>
  <c r="BM249" i="9" s="1"/>
  <c r="BQ249" i="9" s="1"/>
  <c r="DQ249" i="9"/>
  <c r="DR249" i="9" s="1"/>
  <c r="DV249" i="9" s="1"/>
  <c r="CX249" i="9"/>
  <c r="CY249" i="9" s="1"/>
  <c r="DC249" i="9" s="1"/>
  <c r="EJ249" i="9"/>
  <c r="EK249" i="9" s="1"/>
  <c r="EO249" i="9" s="1"/>
  <c r="I250" i="9"/>
  <c r="CL246" i="12"/>
  <c r="CN246" i="12"/>
  <c r="CM246" i="12"/>
  <c r="BS246" i="12"/>
  <c r="BU246" i="12"/>
  <c r="BT246" i="12"/>
  <c r="CG248" i="9"/>
  <c r="CI248" i="9" s="1"/>
  <c r="FE248" i="9"/>
  <c r="FG248" i="9" s="1"/>
  <c r="FE249" i="9" s="1"/>
  <c r="FG249" i="9" s="1"/>
  <c r="CH248" i="9"/>
  <c r="FF248" i="9"/>
  <c r="BO248" i="9"/>
  <c r="AV248" i="9"/>
  <c r="BN248" i="9"/>
  <c r="BP248" i="9" s="1"/>
  <c r="BO249" i="9" s="1"/>
  <c r="AU248" i="9"/>
  <c r="AW248" i="9" s="1"/>
  <c r="AU249" i="9" s="1"/>
  <c r="AW249" i="9" s="1"/>
  <c r="AB248" i="9"/>
  <c r="AD248" i="9" s="1"/>
  <c r="AC249" i="9" s="1"/>
  <c r="CZ248" i="9"/>
  <c r="DB248" i="9" s="1"/>
  <c r="DA248" i="9"/>
  <c r="EL248" i="9"/>
  <c r="EN248" i="9" s="1"/>
  <c r="AC248" i="9"/>
  <c r="EM248" i="9"/>
  <c r="DT248" i="9"/>
  <c r="DS248" i="9"/>
  <c r="DU248" i="9" s="1"/>
  <c r="DS249" i="9" s="1"/>
  <c r="DU249" i="9" s="1"/>
  <c r="AG247" i="9"/>
  <c r="AF247" i="9"/>
  <c r="AI247" i="9"/>
  <c r="AH247" i="9"/>
  <c r="CM247" i="9"/>
  <c r="CL247" i="9"/>
  <c r="CN247" i="9"/>
  <c r="CK247" i="9"/>
  <c r="CO247" i="9" s="1"/>
  <c r="AH246" i="12"/>
  <c r="AG246" i="12"/>
  <c r="AI246" i="12"/>
  <c r="M248" i="12"/>
  <c r="P248" i="12" s="1"/>
  <c r="Q248" i="12" s="1"/>
  <c r="DY247" i="9"/>
  <c r="DW247" i="9"/>
  <c r="DZ247" i="9"/>
  <c r="DX247" i="9"/>
  <c r="AZ247" i="9"/>
  <c r="BB247" i="9"/>
  <c r="BA247" i="9"/>
  <c r="AY247" i="9"/>
  <c r="BC247" i="9" s="1"/>
  <c r="DX246" i="12"/>
  <c r="DZ246" i="12"/>
  <c r="DY246" i="12"/>
  <c r="FK247" i="9"/>
  <c r="FL247" i="9"/>
  <c r="FI247" i="9"/>
  <c r="FJ247" i="9"/>
  <c r="FM247" i="9" l="1"/>
  <c r="AJ246" i="12"/>
  <c r="AJ247" i="9"/>
  <c r="EA247" i="9"/>
  <c r="ET247" i="9"/>
  <c r="BV246" i="12"/>
  <c r="DH246" i="12"/>
  <c r="CO246" i="12"/>
  <c r="BC246" i="12"/>
  <c r="M250" i="9"/>
  <c r="P250" i="9" s="1"/>
  <c r="Q250" i="9" s="1"/>
  <c r="FF250" i="9" s="1"/>
  <c r="FM246" i="12"/>
  <c r="DT249" i="9"/>
  <c r="BA249" i="9"/>
  <c r="AZ249" i="9"/>
  <c r="AY249" i="9"/>
  <c r="BB249" i="9"/>
  <c r="DX249" i="9"/>
  <c r="DW249" i="9"/>
  <c r="DZ249" i="9"/>
  <c r="DY249" i="9"/>
  <c r="BA247" i="12"/>
  <c r="BB247" i="12"/>
  <c r="AZ247" i="12"/>
  <c r="BS247" i="12"/>
  <c r="BT247" i="12"/>
  <c r="BU247" i="12"/>
  <c r="BN249" i="9"/>
  <c r="BP249" i="9" s="1"/>
  <c r="K250" i="12" a="1"/>
  <c r="K250" i="12" s="1"/>
  <c r="N250" i="12" a="1"/>
  <c r="N250" i="12" s="1"/>
  <c r="H250" i="12" a="1"/>
  <c r="H250" i="12" s="1"/>
  <c r="O250" i="12" a="1"/>
  <c r="O250" i="12" s="1"/>
  <c r="J250" i="12" a="1"/>
  <c r="J250" i="12" s="1"/>
  <c r="G250" i="12" a="1"/>
  <c r="G250" i="12" s="1"/>
  <c r="L250" i="12" a="1"/>
  <c r="L250" i="12" s="1"/>
  <c r="D251" i="12"/>
  <c r="EQ248" i="9"/>
  <c r="ES248" i="9"/>
  <c r="EP248" i="9"/>
  <c r="ET248" i="9" s="1"/>
  <c r="ER248" i="9"/>
  <c r="AG247" i="12"/>
  <c r="AI247" i="12"/>
  <c r="AH247" i="12"/>
  <c r="EQ247" i="12"/>
  <c r="ER247" i="12"/>
  <c r="ES247" i="12"/>
  <c r="AV249" i="9"/>
  <c r="J251" i="9" a="1"/>
  <c r="J251" i="9" s="1"/>
  <c r="O251" i="9" a="1"/>
  <c r="O251" i="9" s="1"/>
  <c r="L251" i="9" a="1"/>
  <c r="L251" i="9" s="1"/>
  <c r="G251" i="9" a="1"/>
  <c r="G251" i="9" s="1"/>
  <c r="K251" i="9" a="1"/>
  <c r="K251" i="9" s="1"/>
  <c r="N251" i="9" a="1"/>
  <c r="N251" i="9" s="1"/>
  <c r="H251" i="9" a="1"/>
  <c r="H251" i="9" s="1"/>
  <c r="D252" i="9"/>
  <c r="EL249" i="9"/>
  <c r="EN249" i="9" s="1"/>
  <c r="M249" i="12"/>
  <c r="P249" i="12" s="1"/>
  <c r="Q249" i="12" s="1"/>
  <c r="FI249" i="9"/>
  <c r="FJ249" i="9"/>
  <c r="FL249" i="9"/>
  <c r="FK249" i="9"/>
  <c r="DF248" i="9"/>
  <c r="DE248" i="9"/>
  <c r="DD248" i="9"/>
  <c r="DG248" i="9"/>
  <c r="FJ248" i="9"/>
  <c r="FI248" i="9"/>
  <c r="FM248" i="9" s="1"/>
  <c r="FM249" i="9" s="1"/>
  <c r="FK248" i="9"/>
  <c r="FL248" i="9"/>
  <c r="AS250" i="9"/>
  <c r="AT250" i="9" s="1"/>
  <c r="AX250" i="9" s="1"/>
  <c r="CE250" i="9"/>
  <c r="CF250" i="9" s="1"/>
  <c r="CJ250" i="9" s="1"/>
  <c r="EJ250" i="9"/>
  <c r="EK250" i="9" s="1"/>
  <c r="EO250" i="9" s="1"/>
  <c r="DQ250" i="9"/>
  <c r="DR250" i="9" s="1"/>
  <c r="DV250" i="9" s="1"/>
  <c r="FC250" i="9"/>
  <c r="FD250" i="9" s="1"/>
  <c r="FH250" i="9" s="1"/>
  <c r="BL250" i="9"/>
  <c r="BM250" i="9" s="1"/>
  <c r="BQ250" i="9" s="1"/>
  <c r="CX250" i="9"/>
  <c r="CY250" i="9" s="1"/>
  <c r="DC250" i="9" s="1"/>
  <c r="Z250" i="9"/>
  <c r="AA250" i="9" s="1"/>
  <c r="AE250" i="9" s="1"/>
  <c r="I251" i="9"/>
  <c r="EM249" i="9"/>
  <c r="FF249" i="9"/>
  <c r="BN250" i="9"/>
  <c r="BP250" i="9" s="1"/>
  <c r="AF248" i="9"/>
  <c r="AH248" i="9"/>
  <c r="AI248" i="9"/>
  <c r="AG248" i="9"/>
  <c r="CN248" i="9"/>
  <c r="CM248" i="9"/>
  <c r="CL248" i="9"/>
  <c r="CK248" i="9"/>
  <c r="CO248" i="9" s="1"/>
  <c r="CZ249" i="9"/>
  <c r="DB249" i="9" s="1"/>
  <c r="CH249" i="9"/>
  <c r="ET246" i="12"/>
  <c r="EP248" i="12"/>
  <c r="FF248" i="12"/>
  <c r="FE248" i="12"/>
  <c r="FG248" i="12" s="1"/>
  <c r="DD248" i="12"/>
  <c r="CK248" i="12"/>
  <c r="AC248" i="12"/>
  <c r="AB248" i="12"/>
  <c r="AD248" i="12" s="1"/>
  <c r="BO248" i="12"/>
  <c r="BN248" i="12"/>
  <c r="BP248" i="12" s="1"/>
  <c r="DT248" i="12"/>
  <c r="FI248" i="12"/>
  <c r="DW248" i="12"/>
  <c r="EM248" i="12"/>
  <c r="CZ248" i="12"/>
  <c r="DB248" i="12" s="1"/>
  <c r="CH248" i="12"/>
  <c r="DA248" i="12"/>
  <c r="AY248" i="12"/>
  <c r="CG248" i="12"/>
  <c r="CI248" i="12" s="1"/>
  <c r="BR248" i="12"/>
  <c r="AF248" i="12"/>
  <c r="EL248" i="12"/>
  <c r="EN248" i="12" s="1"/>
  <c r="DS248" i="12"/>
  <c r="DU248" i="12" s="1"/>
  <c r="AV248" i="12"/>
  <c r="AU248" i="12"/>
  <c r="AW248" i="12" s="1"/>
  <c r="EA246" i="12"/>
  <c r="DZ248" i="9"/>
  <c r="DY248" i="9"/>
  <c r="DX248" i="9"/>
  <c r="DW248" i="9"/>
  <c r="EA248" i="9" s="1"/>
  <c r="EA249" i="9" s="1"/>
  <c r="AY248" i="9"/>
  <c r="BA248" i="9"/>
  <c r="AZ248" i="9"/>
  <c r="BB248" i="9"/>
  <c r="DE247" i="12"/>
  <c r="DG247" i="12"/>
  <c r="DF247" i="12"/>
  <c r="AB249" i="9"/>
  <c r="AD249" i="9" s="1"/>
  <c r="DX247" i="12"/>
  <c r="DZ247" i="12"/>
  <c r="DY247" i="12"/>
  <c r="BS248" i="9"/>
  <c r="BU248" i="9"/>
  <c r="BR248" i="9"/>
  <c r="BT248" i="9"/>
  <c r="CL247" i="12"/>
  <c r="CM247" i="12"/>
  <c r="CN247" i="12"/>
  <c r="FJ247" i="12"/>
  <c r="FL247" i="12"/>
  <c r="FK247" i="12"/>
  <c r="DA249" i="9"/>
  <c r="CG249" i="9"/>
  <c r="CI249" i="9" s="1"/>
  <c r="AU250" i="9" l="1"/>
  <c r="AW250" i="9" s="1"/>
  <c r="BC248" i="9"/>
  <c r="BC249" i="9" s="1"/>
  <c r="AJ248" i="9"/>
  <c r="AV250" i="9"/>
  <c r="DT250" i="9"/>
  <c r="EL250" i="9"/>
  <c r="EN250" i="9" s="1"/>
  <c r="ES250" i="9" s="1"/>
  <c r="CG250" i="9"/>
  <c r="CI250" i="9" s="1"/>
  <c r="CK250" i="9" s="1"/>
  <c r="BV248" i="9"/>
  <c r="DS250" i="9"/>
  <c r="DU250" i="9" s="1"/>
  <c r="FE250" i="9"/>
  <c r="FG250" i="9" s="1"/>
  <c r="DH248" i="9"/>
  <c r="BO250" i="9"/>
  <c r="AJ247" i="12"/>
  <c r="BV247" i="12"/>
  <c r="BC247" i="12"/>
  <c r="ET247" i="12"/>
  <c r="FM247" i="12"/>
  <c r="DH247" i="12"/>
  <c r="EA247" i="12"/>
  <c r="CO247" i="12"/>
  <c r="AF249" i="9"/>
  <c r="AJ249" i="9" s="1"/>
  <c r="AI249" i="9"/>
  <c r="AG249" i="9"/>
  <c r="AH249" i="9"/>
  <c r="DX248" i="12"/>
  <c r="DZ248" i="12"/>
  <c r="DY248" i="12"/>
  <c r="DE248" i="12"/>
  <c r="DF248" i="12"/>
  <c r="DG248" i="12"/>
  <c r="DD249" i="9"/>
  <c r="DE249" i="9"/>
  <c r="DF249" i="9"/>
  <c r="DG249" i="9"/>
  <c r="BR250" i="9"/>
  <c r="BS250" i="9"/>
  <c r="BU250" i="9"/>
  <c r="BT250" i="9"/>
  <c r="EQ248" i="12"/>
  <c r="ES248" i="12"/>
  <c r="ER248" i="12"/>
  <c r="AC250" i="9"/>
  <c r="BA250" i="9"/>
  <c r="AZ250" i="9"/>
  <c r="AY250" i="9"/>
  <c r="BB250" i="9"/>
  <c r="G251" i="12" a="1"/>
  <c r="G251" i="12" s="1"/>
  <c r="J251" i="12" a="1"/>
  <c r="J251" i="12" s="1"/>
  <c r="O251" i="12" a="1"/>
  <c r="O251" i="12" s="1"/>
  <c r="N251" i="12" a="1"/>
  <c r="N251" i="12" s="1"/>
  <c r="H251" i="12" a="1"/>
  <c r="H251" i="12" s="1"/>
  <c r="L251" i="12" a="1"/>
  <c r="L251" i="12" s="1"/>
  <c r="K251" i="12" a="1"/>
  <c r="K251" i="12" s="1"/>
  <c r="D252" i="12"/>
  <c r="BS249" i="9"/>
  <c r="BT249" i="9"/>
  <c r="BR249" i="9"/>
  <c r="BU249" i="9"/>
  <c r="FJ248" i="12"/>
  <c r="FL248" i="12"/>
  <c r="FK248" i="12"/>
  <c r="CH250" i="9"/>
  <c r="DX250" i="9"/>
  <c r="DW250" i="9"/>
  <c r="DY250" i="9"/>
  <c r="DZ250" i="9"/>
  <c r="FJ250" i="9"/>
  <c r="FK250" i="9"/>
  <c r="FI250" i="9"/>
  <c r="FL250" i="9"/>
  <c r="ES249" i="9"/>
  <c r="ER249" i="9"/>
  <c r="EP249" i="9"/>
  <c r="ET249" i="9" s="1"/>
  <c r="ET250" i="9" s="1"/>
  <c r="EQ249" i="9"/>
  <c r="M250" i="12"/>
  <c r="P250" i="12" s="1"/>
  <c r="Q250" i="12" s="1"/>
  <c r="DA250" i="9"/>
  <c r="M251" i="9"/>
  <c r="P251" i="9" s="1"/>
  <c r="Q251" i="9" s="1"/>
  <c r="BS248" i="12"/>
  <c r="BU248" i="12"/>
  <c r="BT248" i="12"/>
  <c r="AZ248" i="12"/>
  <c r="BB248" i="12"/>
  <c r="BA248" i="12"/>
  <c r="EM250" i="9"/>
  <c r="Z251" i="9"/>
  <c r="AA251" i="9" s="1"/>
  <c r="AE251" i="9" s="1"/>
  <c r="DQ251" i="9"/>
  <c r="DR251" i="9" s="1"/>
  <c r="DV251" i="9" s="1"/>
  <c r="CE251" i="9"/>
  <c r="CF251" i="9" s="1"/>
  <c r="CJ251" i="9" s="1"/>
  <c r="BL251" i="9"/>
  <c r="BM251" i="9" s="1"/>
  <c r="BQ251" i="9" s="1"/>
  <c r="FC251" i="9"/>
  <c r="FD251" i="9" s="1"/>
  <c r="FH251" i="9" s="1"/>
  <c r="CX251" i="9"/>
  <c r="CY251" i="9" s="1"/>
  <c r="DC251" i="9" s="1"/>
  <c r="EJ251" i="9"/>
  <c r="EK251" i="9" s="1"/>
  <c r="EO251" i="9" s="1"/>
  <c r="AS251" i="9"/>
  <c r="AT251" i="9" s="1"/>
  <c r="AX251" i="9" s="1"/>
  <c r="I252" i="9"/>
  <c r="L252" i="9" a="1"/>
  <c r="L252" i="9" s="1"/>
  <c r="J252" i="9" a="1"/>
  <c r="J252" i="9" s="1"/>
  <c r="O252" i="9" a="1"/>
  <c r="O252" i="9" s="1"/>
  <c r="N252" i="9" a="1"/>
  <c r="N252" i="9" s="1"/>
  <c r="G252" i="9" a="1"/>
  <c r="G252" i="9" s="1"/>
  <c r="H252" i="9" a="1"/>
  <c r="H252" i="9" s="1"/>
  <c r="K252" i="9" a="1"/>
  <c r="K252" i="9" s="1"/>
  <c r="D253" i="9"/>
  <c r="CN249" i="9"/>
  <c r="CM249" i="9"/>
  <c r="CL249" i="9"/>
  <c r="CK249" i="9"/>
  <c r="AB250" i="9"/>
  <c r="AD250" i="9" s="1"/>
  <c r="CL248" i="12"/>
  <c r="CN248" i="12"/>
  <c r="CM248" i="12"/>
  <c r="FE249" i="12"/>
  <c r="FG249" i="12" s="1"/>
  <c r="EP249" i="12"/>
  <c r="FF249" i="12"/>
  <c r="CK249" i="12"/>
  <c r="DD249" i="12"/>
  <c r="AC249" i="12"/>
  <c r="BN249" i="12"/>
  <c r="BP249" i="12" s="1"/>
  <c r="AB249" i="12"/>
  <c r="AD249" i="12" s="1"/>
  <c r="BO249" i="12"/>
  <c r="DW249" i="12"/>
  <c r="AY249" i="12"/>
  <c r="FI249" i="12"/>
  <c r="CZ249" i="12"/>
  <c r="DB249" i="12" s="1"/>
  <c r="BR249" i="12"/>
  <c r="AF249" i="12"/>
  <c r="DA249" i="12"/>
  <c r="EL249" i="12"/>
  <c r="EN249" i="12" s="1"/>
  <c r="DT249" i="12"/>
  <c r="CG249" i="12"/>
  <c r="CI249" i="12" s="1"/>
  <c r="CH249" i="12"/>
  <c r="EM249" i="12"/>
  <c r="DS249" i="12"/>
  <c r="DU249" i="12" s="1"/>
  <c r="AU249" i="12"/>
  <c r="AW249" i="12" s="1"/>
  <c r="AV249" i="12"/>
  <c r="AI248" i="12"/>
  <c r="AH248" i="12"/>
  <c r="AG248" i="12"/>
  <c r="CZ250" i="9"/>
  <c r="DB250" i="9" s="1"/>
  <c r="CM250" i="9" l="1"/>
  <c r="EP250" i="9"/>
  <c r="ER250" i="9"/>
  <c r="EQ250" i="9"/>
  <c r="FM250" i="9"/>
  <c r="BC250" i="9"/>
  <c r="CL250" i="9"/>
  <c r="CN250" i="9"/>
  <c r="DH249" i="9"/>
  <c r="CO249" i="9"/>
  <c r="CO250" i="9" s="1"/>
  <c r="BV249" i="9"/>
  <c r="BV250" i="9" s="1"/>
  <c r="EA250" i="9"/>
  <c r="AJ248" i="12"/>
  <c r="FM248" i="12"/>
  <c r="BV248" i="12"/>
  <c r="BC248" i="12"/>
  <c r="ET248" i="12"/>
  <c r="M252" i="9"/>
  <c r="P252" i="9" s="1"/>
  <c r="Q252" i="9" s="1"/>
  <c r="EQ249" i="12"/>
  <c r="ES249" i="12"/>
  <c r="ER249" i="12"/>
  <c r="FJ249" i="12"/>
  <c r="FL249" i="12"/>
  <c r="FK249" i="12"/>
  <c r="AG249" i="12"/>
  <c r="AI249" i="12"/>
  <c r="AH249" i="12"/>
  <c r="K253" i="9" a="1"/>
  <c r="K253" i="9" s="1"/>
  <c r="H253" i="9" a="1"/>
  <c r="H253" i="9" s="1"/>
  <c r="N253" i="9" a="1"/>
  <c r="N253" i="9" s="1"/>
  <c r="G253" i="9" a="1"/>
  <c r="G253" i="9" s="1"/>
  <c r="J253" i="9" a="1"/>
  <c r="J253" i="9" s="1"/>
  <c r="O253" i="9" a="1"/>
  <c r="O253" i="9" s="1"/>
  <c r="L253" i="9" a="1"/>
  <c r="L253" i="9" s="1"/>
  <c r="D254" i="9"/>
  <c r="Z252" i="9"/>
  <c r="AA252" i="9" s="1"/>
  <c r="AE252" i="9" s="1"/>
  <c r="CX252" i="9"/>
  <c r="CY252" i="9" s="1"/>
  <c r="DC252" i="9" s="1"/>
  <c r="AS252" i="9"/>
  <c r="AT252" i="9" s="1"/>
  <c r="AX252" i="9" s="1"/>
  <c r="DQ252" i="9"/>
  <c r="DR252" i="9" s="1"/>
  <c r="DV252" i="9" s="1"/>
  <c r="BL252" i="9"/>
  <c r="BM252" i="9" s="1"/>
  <c r="BQ252" i="9" s="1"/>
  <c r="CE252" i="9"/>
  <c r="CF252" i="9" s="1"/>
  <c r="CJ252" i="9" s="1"/>
  <c r="FC252" i="9"/>
  <c r="FD252" i="9" s="1"/>
  <c r="FH252" i="9" s="1"/>
  <c r="EJ252" i="9"/>
  <c r="EK252" i="9" s="1"/>
  <c r="EO252" i="9" s="1"/>
  <c r="I253" i="9"/>
  <c r="BO251" i="9"/>
  <c r="AV251" i="9"/>
  <c r="BN251" i="9"/>
  <c r="BP251" i="9" s="1"/>
  <c r="AU251" i="9"/>
  <c r="AW251" i="9" s="1"/>
  <c r="CG251" i="9"/>
  <c r="CI251" i="9" s="1"/>
  <c r="FF251" i="9"/>
  <c r="CH251" i="9"/>
  <c r="FE251" i="9"/>
  <c r="FG251" i="9" s="1"/>
  <c r="AB251" i="9"/>
  <c r="AD251" i="9" s="1"/>
  <c r="EM251" i="9"/>
  <c r="CZ251" i="9"/>
  <c r="DB251" i="9" s="1"/>
  <c r="DA251" i="9"/>
  <c r="EL251" i="9"/>
  <c r="EN251" i="9" s="1"/>
  <c r="AC251" i="9"/>
  <c r="DT251" i="9"/>
  <c r="DS251" i="9"/>
  <c r="DU251" i="9" s="1"/>
  <c r="DH248" i="12"/>
  <c r="BS249" i="12"/>
  <c r="BU249" i="12"/>
  <c r="BT249" i="12"/>
  <c r="M251" i="12"/>
  <c r="P251" i="12" s="1"/>
  <c r="Q251" i="12" s="1"/>
  <c r="BA249" i="12"/>
  <c r="BB249" i="12"/>
  <c r="AZ249" i="12"/>
  <c r="BC249" i="12" s="1"/>
  <c r="DX249" i="12"/>
  <c r="DY249" i="12"/>
  <c r="DZ249" i="12"/>
  <c r="CO248" i="12"/>
  <c r="EA248" i="12"/>
  <c r="DE249" i="12"/>
  <c r="DG249" i="12"/>
  <c r="DF249" i="12"/>
  <c r="AF250" i="9"/>
  <c r="AI250" i="9"/>
  <c r="AG250" i="9"/>
  <c r="AH250" i="9"/>
  <c r="EP250" i="12"/>
  <c r="FF250" i="12"/>
  <c r="FE250" i="12"/>
  <c r="FG250" i="12" s="1"/>
  <c r="DD250" i="12"/>
  <c r="CK250" i="12"/>
  <c r="AC250" i="12"/>
  <c r="BO250" i="12"/>
  <c r="AB250" i="12"/>
  <c r="AD250" i="12" s="1"/>
  <c r="BN250" i="12"/>
  <c r="BP250" i="12" s="1"/>
  <c r="CG250" i="12"/>
  <c r="CI250" i="12" s="1"/>
  <c r="EL250" i="12"/>
  <c r="EN250" i="12" s="1"/>
  <c r="AY250" i="12"/>
  <c r="CH250" i="12"/>
  <c r="EM250" i="12"/>
  <c r="FI250" i="12"/>
  <c r="DW250" i="12"/>
  <c r="BR250" i="12"/>
  <c r="AF250" i="12"/>
  <c r="DS250" i="12"/>
  <c r="DU250" i="12" s="1"/>
  <c r="DA250" i="12"/>
  <c r="DT250" i="12"/>
  <c r="CZ250" i="12"/>
  <c r="DB250" i="12" s="1"/>
  <c r="AV250" i="12"/>
  <c r="AU250" i="12"/>
  <c r="AW250" i="12" s="1"/>
  <c r="J252" i="12" a="1"/>
  <c r="J252" i="12" s="1"/>
  <c r="H252" i="12" a="1"/>
  <c r="H252" i="12" s="1"/>
  <c r="G252" i="12" a="1"/>
  <c r="G252" i="12" s="1"/>
  <c r="K252" i="12" a="1"/>
  <c r="K252" i="12" s="1"/>
  <c r="L252" i="12" a="1"/>
  <c r="L252" i="12" s="1"/>
  <c r="O252" i="12" a="1"/>
  <c r="O252" i="12" s="1"/>
  <c r="N252" i="12" a="1"/>
  <c r="N252" i="12" s="1"/>
  <c r="D253" i="12"/>
  <c r="CN249" i="12"/>
  <c r="CL249" i="12"/>
  <c r="CM249" i="12"/>
  <c r="DE250" i="9"/>
  <c r="DG250" i="9"/>
  <c r="DD250" i="9"/>
  <c r="DF250" i="9"/>
  <c r="FM249" i="12" l="1"/>
  <c r="BV249" i="12"/>
  <c r="DH250" i="9"/>
  <c r="AJ250" i="9"/>
  <c r="CO249" i="12"/>
  <c r="AJ249" i="12"/>
  <c r="M253" i="9"/>
  <c r="FF251" i="12"/>
  <c r="FE251" i="12"/>
  <c r="FG251" i="12" s="1"/>
  <c r="EP251" i="12"/>
  <c r="CK251" i="12"/>
  <c r="DD251" i="12"/>
  <c r="AB251" i="12"/>
  <c r="AD251" i="12" s="1"/>
  <c r="BO251" i="12"/>
  <c r="AC251" i="12"/>
  <c r="BN251" i="12"/>
  <c r="BP251" i="12" s="1"/>
  <c r="AY251" i="12"/>
  <c r="CZ251" i="12"/>
  <c r="DB251" i="12" s="1"/>
  <c r="BR251" i="12"/>
  <c r="DW251" i="12"/>
  <c r="FI251" i="12"/>
  <c r="EM251" i="12"/>
  <c r="DS251" i="12"/>
  <c r="DU251" i="12" s="1"/>
  <c r="AF251" i="12"/>
  <c r="EL251" i="12"/>
  <c r="EN251" i="12" s="1"/>
  <c r="CG251" i="12"/>
  <c r="CI251" i="12" s="1"/>
  <c r="CH251" i="12"/>
  <c r="DA251" i="12"/>
  <c r="DT251" i="12"/>
  <c r="AV251" i="12"/>
  <c r="AU251" i="12"/>
  <c r="AW251" i="12" s="1"/>
  <c r="DE250" i="12"/>
  <c r="DG250" i="12"/>
  <c r="DF250" i="12"/>
  <c r="EA249" i="12"/>
  <c r="AZ251" i="9"/>
  <c r="BB251" i="9"/>
  <c r="AY251" i="9"/>
  <c r="BC251" i="9" s="1"/>
  <c r="BA251" i="9"/>
  <c r="DE251" i="9"/>
  <c r="DG251" i="9"/>
  <c r="DD251" i="9"/>
  <c r="DF251" i="9"/>
  <c r="BT251" i="9"/>
  <c r="BU251" i="9"/>
  <c r="BS251" i="9"/>
  <c r="BR251" i="9"/>
  <c r="EP251" i="9"/>
  <c r="ES251" i="9"/>
  <c r="ER251" i="9"/>
  <c r="EQ251" i="9"/>
  <c r="DH249" i="12"/>
  <c r="P253" i="9"/>
  <c r="Q253" i="9" s="1"/>
  <c r="DX250" i="12"/>
  <c r="DZ250" i="12"/>
  <c r="DY250" i="12"/>
  <c r="EQ250" i="12"/>
  <c r="ES250" i="12"/>
  <c r="ER250" i="12"/>
  <c r="FJ250" i="12"/>
  <c r="FL250" i="12"/>
  <c r="FK250" i="12"/>
  <c r="AG251" i="9"/>
  <c r="AH251" i="9"/>
  <c r="AI251" i="9"/>
  <c r="AF251" i="9"/>
  <c r="ET249" i="12"/>
  <c r="CL250" i="12"/>
  <c r="CN250" i="12"/>
  <c r="CM250" i="12"/>
  <c r="DZ251" i="9"/>
  <c r="DY251" i="9"/>
  <c r="DW251" i="9"/>
  <c r="DX251" i="9"/>
  <c r="FI251" i="9"/>
  <c r="FL251" i="9"/>
  <c r="FJ251" i="9"/>
  <c r="FK251" i="9"/>
  <c r="Z253" i="9"/>
  <c r="AA253" i="9" s="1"/>
  <c r="AE253" i="9" s="1"/>
  <c r="DQ253" i="9"/>
  <c r="DR253" i="9" s="1"/>
  <c r="DV253" i="9" s="1"/>
  <c r="FC253" i="9"/>
  <c r="FD253" i="9" s="1"/>
  <c r="FH253" i="9" s="1"/>
  <c r="CE253" i="9"/>
  <c r="CF253" i="9" s="1"/>
  <c r="CJ253" i="9" s="1"/>
  <c r="BL253" i="9"/>
  <c r="BM253" i="9" s="1"/>
  <c r="BQ253" i="9" s="1"/>
  <c r="CX253" i="9"/>
  <c r="CY253" i="9" s="1"/>
  <c r="DC253" i="9" s="1"/>
  <c r="EJ253" i="9"/>
  <c r="EK253" i="9" s="1"/>
  <c r="EO253" i="9" s="1"/>
  <c r="AS253" i="9"/>
  <c r="AT253" i="9" s="1"/>
  <c r="AX253" i="9" s="1"/>
  <c r="I254" i="9"/>
  <c r="CK251" i="9"/>
  <c r="CL251" i="9"/>
  <c r="CN251" i="9"/>
  <c r="CM251" i="9"/>
  <c r="M252" i="12"/>
  <c r="P252" i="12" s="1"/>
  <c r="Q252" i="12" s="1"/>
  <c r="BS250" i="12"/>
  <c r="BT250" i="12"/>
  <c r="BU250" i="12"/>
  <c r="N254" i="9" a="1"/>
  <c r="N254" i="9" s="1"/>
  <c r="G254" i="9" a="1"/>
  <c r="G254" i="9" s="1"/>
  <c r="O254" i="9" a="1"/>
  <c r="O254" i="9" s="1"/>
  <c r="K254" i="9" a="1"/>
  <c r="K254" i="9" s="1"/>
  <c r="H254" i="9" a="1"/>
  <c r="H254" i="9" s="1"/>
  <c r="J254" i="9" a="1"/>
  <c r="J254" i="9" s="1"/>
  <c r="L254" i="9" a="1"/>
  <c r="L254" i="9" s="1"/>
  <c r="D255" i="9"/>
  <c r="L253" i="12" a="1"/>
  <c r="L253" i="12" s="1"/>
  <c r="N253" i="12" a="1"/>
  <c r="N253" i="12" s="1"/>
  <c r="J253" i="12" a="1"/>
  <c r="J253" i="12" s="1"/>
  <c r="K253" i="12" a="1"/>
  <c r="K253" i="12" s="1"/>
  <c r="H253" i="12" a="1"/>
  <c r="H253" i="12" s="1"/>
  <c r="G253" i="12" a="1"/>
  <c r="G253" i="12" s="1"/>
  <c r="O253" i="12" a="1"/>
  <c r="O253" i="12" s="1"/>
  <c r="D254" i="12"/>
  <c r="BB250" i="12"/>
  <c r="BA250" i="12"/>
  <c r="AZ250" i="12"/>
  <c r="AI250" i="12"/>
  <c r="AH250" i="12"/>
  <c r="AG250" i="12"/>
  <c r="FF252" i="9"/>
  <c r="FE252" i="9"/>
  <c r="FG252" i="9" s="1"/>
  <c r="CH252" i="9"/>
  <c r="BO252" i="9"/>
  <c r="AU252" i="9"/>
  <c r="AW252" i="9" s="1"/>
  <c r="CG252" i="9"/>
  <c r="CI252" i="9" s="1"/>
  <c r="BN252" i="9"/>
  <c r="BP252" i="9" s="1"/>
  <c r="AV252" i="9"/>
  <c r="DA252" i="9"/>
  <c r="CZ252" i="9"/>
  <c r="DB252" i="9" s="1"/>
  <c r="EL252" i="9"/>
  <c r="EN252" i="9" s="1"/>
  <c r="EM252" i="9"/>
  <c r="AB252" i="9"/>
  <c r="AD252" i="9" s="1"/>
  <c r="AC252" i="9"/>
  <c r="DS252" i="9"/>
  <c r="DU252" i="9" s="1"/>
  <c r="DT252" i="9"/>
  <c r="EA250" i="12" l="1"/>
  <c r="BC250" i="12"/>
  <c r="AJ251" i="9"/>
  <c r="DH251" i="9"/>
  <c r="EA251" i="9"/>
  <c r="CO251" i="9"/>
  <c r="ET251" i="9"/>
  <c r="BV251" i="9"/>
  <c r="BC252" i="9"/>
  <c r="FM250" i="12"/>
  <c r="FM251" i="9"/>
  <c r="DH250" i="12"/>
  <c r="AC253" i="9"/>
  <c r="FF253" i="9"/>
  <c r="DA253" i="9"/>
  <c r="DT253" i="9"/>
  <c r="BN253" i="9"/>
  <c r="BP253" i="9" s="1"/>
  <c r="BS253" i="9" s="1"/>
  <c r="CH253" i="9"/>
  <c r="AJ250" i="12"/>
  <c r="BV250" i="12"/>
  <c r="BB252" i="9"/>
  <c r="BA252" i="9"/>
  <c r="AY252" i="9"/>
  <c r="AZ252" i="9"/>
  <c r="AV253" i="9"/>
  <c r="M253" i="12"/>
  <c r="P253" i="12" s="1"/>
  <c r="Q253" i="12" s="1"/>
  <c r="CO250" i="12"/>
  <c r="AG251" i="12"/>
  <c r="AI251" i="12"/>
  <c r="AH251" i="12"/>
  <c r="EQ252" i="9"/>
  <c r="EP252" i="9"/>
  <c r="ES252" i="9"/>
  <c r="ER252" i="9"/>
  <c r="DS253" i="9"/>
  <c r="DU253" i="9" s="1"/>
  <c r="ET250" i="12"/>
  <c r="FL252" i="9"/>
  <c r="FK252" i="9"/>
  <c r="FJ252" i="9"/>
  <c r="FI252" i="9"/>
  <c r="BO253" i="9"/>
  <c r="DE252" i="9"/>
  <c r="DF252" i="9"/>
  <c r="DD252" i="9"/>
  <c r="DH252" i="9" s="1"/>
  <c r="DG252" i="9"/>
  <c r="O254" i="12" a="1"/>
  <c r="O254" i="12" s="1"/>
  <c r="G254" i="12" a="1"/>
  <c r="G254" i="12" s="1"/>
  <c r="J254" i="12" a="1"/>
  <c r="J254" i="12" s="1"/>
  <c r="N254" i="12" a="1"/>
  <c r="N254" i="12" s="1"/>
  <c r="L254" i="12" a="1"/>
  <c r="L254" i="12" s="1"/>
  <c r="H254" i="12" a="1"/>
  <c r="H254" i="12" s="1"/>
  <c r="K254" i="12" a="1"/>
  <c r="K254" i="12" s="1"/>
  <c r="D255" i="12"/>
  <c r="L255" i="9" a="1"/>
  <c r="L255" i="9" s="1"/>
  <c r="K255" i="9" a="1"/>
  <c r="K255" i="9" s="1"/>
  <c r="O255" i="9" a="1"/>
  <c r="O255" i="9" s="1"/>
  <c r="H255" i="9" a="1"/>
  <c r="H255" i="9" s="1"/>
  <c r="G255" i="9" a="1"/>
  <c r="G255" i="9" s="1"/>
  <c r="N255" i="9" a="1"/>
  <c r="N255" i="9" s="1"/>
  <c r="J255" i="9" a="1"/>
  <c r="J255" i="9" s="1"/>
  <c r="D256" i="9"/>
  <c r="CZ253" i="9"/>
  <c r="DB253" i="9" s="1"/>
  <c r="CN251" i="12"/>
  <c r="CM251" i="12"/>
  <c r="CL251" i="12"/>
  <c r="DE251" i="12"/>
  <c r="DG251" i="12"/>
  <c r="DF251" i="12"/>
  <c r="FE252" i="12"/>
  <c r="FG252" i="12" s="1"/>
  <c r="EP252" i="12"/>
  <c r="FF252" i="12"/>
  <c r="CK252" i="12"/>
  <c r="DD252" i="12"/>
  <c r="BO252" i="12"/>
  <c r="BN252" i="12"/>
  <c r="BP252" i="12" s="1"/>
  <c r="AB252" i="12"/>
  <c r="AD252" i="12" s="1"/>
  <c r="AC252" i="12"/>
  <c r="AY252" i="12"/>
  <c r="EL252" i="12"/>
  <c r="EN252" i="12" s="1"/>
  <c r="CZ252" i="12"/>
  <c r="DB252" i="12" s="1"/>
  <c r="DW252" i="12"/>
  <c r="BR252" i="12"/>
  <c r="DT252" i="12"/>
  <c r="FI252" i="12"/>
  <c r="CG252" i="12"/>
  <c r="CI252" i="12" s="1"/>
  <c r="EM252" i="12"/>
  <c r="DS252" i="12"/>
  <c r="DU252" i="12" s="1"/>
  <c r="DA252" i="12"/>
  <c r="CH252" i="12"/>
  <c r="AF252" i="12"/>
  <c r="AV252" i="12"/>
  <c r="AU252" i="12"/>
  <c r="AW252" i="12" s="1"/>
  <c r="EM253" i="9"/>
  <c r="AU253" i="9"/>
  <c r="AW253" i="9" s="1"/>
  <c r="EQ251" i="12"/>
  <c r="ES251" i="12"/>
  <c r="ER251" i="12"/>
  <c r="FJ251" i="12"/>
  <c r="FK251" i="12"/>
  <c r="FL251" i="12"/>
  <c r="DX252" i="9"/>
  <c r="DW252" i="9"/>
  <c r="DY252" i="9"/>
  <c r="DZ252" i="9"/>
  <c r="M254" i="9"/>
  <c r="P254" i="9" s="1"/>
  <c r="Q254" i="9" s="1"/>
  <c r="CE254" i="9"/>
  <c r="CF254" i="9" s="1"/>
  <c r="CJ254" i="9" s="1"/>
  <c r="EJ254" i="9"/>
  <c r="EK254" i="9" s="1"/>
  <c r="EO254" i="9" s="1"/>
  <c r="CX254" i="9"/>
  <c r="CY254" i="9" s="1"/>
  <c r="DC254" i="9" s="1"/>
  <c r="Z254" i="9"/>
  <c r="AA254" i="9" s="1"/>
  <c r="AE254" i="9" s="1"/>
  <c r="DQ254" i="9"/>
  <c r="DR254" i="9" s="1"/>
  <c r="DV254" i="9" s="1"/>
  <c r="BL254" i="9"/>
  <c r="BM254" i="9" s="1"/>
  <c r="BQ254" i="9" s="1"/>
  <c r="FC254" i="9"/>
  <c r="FD254" i="9" s="1"/>
  <c r="FH254" i="9" s="1"/>
  <c r="AS254" i="9"/>
  <c r="AT254" i="9" s="1"/>
  <c r="AX254" i="9" s="1"/>
  <c r="I255" i="9"/>
  <c r="EL253" i="9"/>
  <c r="EN253" i="9" s="1"/>
  <c r="FE253" i="9"/>
  <c r="FG253" i="9" s="1"/>
  <c r="BS251" i="12"/>
  <c r="BU251" i="12"/>
  <c r="BT251" i="12"/>
  <c r="AG252" i="9"/>
  <c r="AH252" i="9"/>
  <c r="AI252" i="9"/>
  <c r="AF252" i="9"/>
  <c r="BS252" i="9"/>
  <c r="BR252" i="9"/>
  <c r="BU252" i="9"/>
  <c r="BT252" i="9"/>
  <c r="CK252" i="9"/>
  <c r="CL252" i="9"/>
  <c r="CM252" i="9"/>
  <c r="CN252" i="9"/>
  <c r="AB253" i="9"/>
  <c r="AD253" i="9" s="1"/>
  <c r="CG253" i="9"/>
  <c r="CI253" i="9" s="1"/>
  <c r="AZ251" i="12"/>
  <c r="BB251" i="12"/>
  <c r="BA251" i="12"/>
  <c r="DX251" i="12"/>
  <c r="DZ251" i="12"/>
  <c r="DY251" i="12"/>
  <c r="AJ252" i="9" l="1"/>
  <c r="BV252" i="9"/>
  <c r="ET252" i="9"/>
  <c r="CO252" i="9"/>
  <c r="EA252" i="9"/>
  <c r="FM252" i="9"/>
  <c r="BO254" i="9"/>
  <c r="BN254" i="9"/>
  <c r="BP254" i="9" s="1"/>
  <c r="BS254" i="9" s="1"/>
  <c r="FF254" i="9"/>
  <c r="AJ251" i="12"/>
  <c r="EL254" i="9"/>
  <c r="EN254" i="9" s="1"/>
  <c r="BU253" i="9"/>
  <c r="BT253" i="9"/>
  <c r="BR253" i="9"/>
  <c r="AC254" i="9"/>
  <c r="CG254" i="9"/>
  <c r="CI254" i="9" s="1"/>
  <c r="CN254" i="9" s="1"/>
  <c r="AV254" i="9"/>
  <c r="CZ254" i="9"/>
  <c r="DB254" i="9" s="1"/>
  <c r="DD254" i="9" s="1"/>
  <c r="ET251" i="12"/>
  <c r="BC251" i="12"/>
  <c r="FM251" i="12"/>
  <c r="AB254" i="9"/>
  <c r="AD254" i="9" s="1"/>
  <c r="AI254" i="9" s="1"/>
  <c r="CO251" i="12"/>
  <c r="BV251" i="12"/>
  <c r="M255" i="9"/>
  <c r="P255" i="9" s="1"/>
  <c r="Q255" i="9" s="1"/>
  <c r="ES254" i="9"/>
  <c r="ER254" i="9"/>
  <c r="EP254" i="9"/>
  <c r="EQ254" i="9"/>
  <c r="DG254" i="9"/>
  <c r="N255" i="12" a="1"/>
  <c r="N255" i="12" s="1"/>
  <c r="H255" i="12" a="1"/>
  <c r="H255" i="12" s="1"/>
  <c r="L255" i="12" a="1"/>
  <c r="L255" i="12" s="1"/>
  <c r="K255" i="12" a="1"/>
  <c r="K255" i="12" s="1"/>
  <c r="G255" i="12" a="1"/>
  <c r="G255" i="12" s="1"/>
  <c r="J255" i="12" a="1"/>
  <c r="J255" i="12" s="1"/>
  <c r="O255" i="12" a="1"/>
  <c r="O255" i="12" s="1"/>
  <c r="D256" i="12"/>
  <c r="CE255" i="9"/>
  <c r="CF255" i="9" s="1"/>
  <c r="CJ255" i="9" s="1"/>
  <c r="DQ255" i="9"/>
  <c r="DR255" i="9" s="1"/>
  <c r="DV255" i="9" s="1"/>
  <c r="FC255" i="9"/>
  <c r="FD255" i="9" s="1"/>
  <c r="FH255" i="9" s="1"/>
  <c r="Z255" i="9"/>
  <c r="AA255" i="9" s="1"/>
  <c r="AE255" i="9" s="1"/>
  <c r="BL255" i="9"/>
  <c r="BM255" i="9" s="1"/>
  <c r="BQ255" i="9" s="1"/>
  <c r="CX255" i="9"/>
  <c r="CY255" i="9" s="1"/>
  <c r="DC255" i="9" s="1"/>
  <c r="AS255" i="9"/>
  <c r="AT255" i="9" s="1"/>
  <c r="AX255" i="9" s="1"/>
  <c r="EJ255" i="9"/>
  <c r="EK255" i="9" s="1"/>
  <c r="EO255" i="9" s="1"/>
  <c r="I256" i="9"/>
  <c r="BS252" i="12"/>
  <c r="BU252" i="12"/>
  <c r="BT252" i="12"/>
  <c r="DH251" i="12"/>
  <c r="EL255" i="9"/>
  <c r="EN255" i="9" s="1"/>
  <c r="EM255" i="9"/>
  <c r="DA255" i="9"/>
  <c r="CZ255" i="9"/>
  <c r="DB255" i="9" s="1"/>
  <c r="DA254" i="9"/>
  <c r="FE254" i="9"/>
  <c r="FG254" i="9" s="1"/>
  <c r="AH252" i="12"/>
  <c r="AI252" i="12"/>
  <c r="AG252" i="12"/>
  <c r="DE252" i="12"/>
  <c r="DG252" i="12"/>
  <c r="DF252" i="12"/>
  <c r="DZ253" i="9"/>
  <c r="DY253" i="9"/>
  <c r="DW253" i="9"/>
  <c r="DX253" i="9"/>
  <c r="EM254" i="9"/>
  <c r="DX252" i="12"/>
  <c r="DY252" i="12"/>
  <c r="DZ252" i="12"/>
  <c r="EQ252" i="12"/>
  <c r="ES252" i="12"/>
  <c r="ER252" i="12"/>
  <c r="M254" i="12"/>
  <c r="P254" i="12" s="1"/>
  <c r="Q254" i="12" s="1"/>
  <c r="AZ252" i="12"/>
  <c r="BB252" i="12"/>
  <c r="BA252" i="12"/>
  <c r="AF253" i="9"/>
  <c r="AH253" i="9"/>
  <c r="AG253" i="9"/>
  <c r="AI253" i="9"/>
  <c r="BA253" i="9"/>
  <c r="BB253" i="9"/>
  <c r="AY253" i="9"/>
  <c r="AZ253" i="9"/>
  <c r="DS254" i="9"/>
  <c r="DU254" i="9" s="1"/>
  <c r="DT255" i="9" s="1"/>
  <c r="AU254" i="9"/>
  <c r="AW254" i="9" s="1"/>
  <c r="AU255" i="9" s="1"/>
  <c r="AW255" i="9" s="1"/>
  <c r="FF253" i="12"/>
  <c r="FE253" i="12"/>
  <c r="FG253" i="12" s="1"/>
  <c r="EP253" i="12"/>
  <c r="DD253" i="12"/>
  <c r="CK253" i="12"/>
  <c r="BN253" i="12"/>
  <c r="BP253" i="12" s="1"/>
  <c r="AC253" i="12"/>
  <c r="AB253" i="12"/>
  <c r="AD253" i="12" s="1"/>
  <c r="BO253" i="12"/>
  <c r="AF253" i="12"/>
  <c r="DT253" i="12"/>
  <c r="CH253" i="12"/>
  <c r="AY253" i="12"/>
  <c r="DS253" i="12"/>
  <c r="DU253" i="12" s="1"/>
  <c r="BR253" i="12"/>
  <c r="CG253" i="12"/>
  <c r="CI253" i="12" s="1"/>
  <c r="FI253" i="12"/>
  <c r="EM253" i="12"/>
  <c r="CZ253" i="12"/>
  <c r="DB253" i="12" s="1"/>
  <c r="EL253" i="12"/>
  <c r="EN253" i="12" s="1"/>
  <c r="DA253" i="12"/>
  <c r="DW253" i="12"/>
  <c r="AV253" i="12"/>
  <c r="AU253" i="12"/>
  <c r="AW253" i="12" s="1"/>
  <c r="ER253" i="9"/>
  <c r="ES253" i="9"/>
  <c r="EQ253" i="9"/>
  <c r="EP253" i="9"/>
  <c r="J256" i="9" a="1"/>
  <c r="J256" i="9" s="1"/>
  <c r="G256" i="9" a="1"/>
  <c r="G256" i="9" s="1"/>
  <c r="L256" i="9" a="1"/>
  <c r="L256" i="9" s="1"/>
  <c r="K256" i="9" a="1"/>
  <c r="K256" i="9" s="1"/>
  <c r="O256" i="9" a="1"/>
  <c r="O256" i="9" s="1"/>
  <c r="N256" i="9" a="1"/>
  <c r="N256" i="9" s="1"/>
  <c r="H256" i="9" a="1"/>
  <c r="H256" i="9" s="1"/>
  <c r="D257" i="9"/>
  <c r="CL253" i="9"/>
  <c r="CK253" i="9"/>
  <c r="CN253" i="9"/>
  <c r="CM253" i="9"/>
  <c r="EA251" i="12"/>
  <c r="FI253" i="9"/>
  <c r="FJ253" i="9"/>
  <c r="FK253" i="9"/>
  <c r="FL253" i="9"/>
  <c r="CL252" i="12"/>
  <c r="CM252" i="12"/>
  <c r="CN252" i="12"/>
  <c r="FJ252" i="12"/>
  <c r="FK252" i="12"/>
  <c r="FL252" i="12"/>
  <c r="DD253" i="9"/>
  <c r="DG253" i="9"/>
  <c r="DE253" i="9"/>
  <c r="DF253" i="9"/>
  <c r="DT254" i="9"/>
  <c r="CH254" i="9"/>
  <c r="BO255" i="9" l="1"/>
  <c r="BN255" i="9"/>
  <c r="BP255" i="9" s="1"/>
  <c r="CH255" i="9"/>
  <c r="CM254" i="9"/>
  <c r="BT254" i="9"/>
  <c r="CG255" i="9"/>
  <c r="CI255" i="9" s="1"/>
  <c r="BU254" i="9"/>
  <c r="BR254" i="9"/>
  <c r="BC253" i="9"/>
  <c r="DH253" i="9"/>
  <c r="CL254" i="9"/>
  <c r="FM253" i="9"/>
  <c r="AJ253" i="9"/>
  <c r="DF254" i="9"/>
  <c r="EA253" i="9"/>
  <c r="CO253" i="9"/>
  <c r="CO254" i="9" s="1"/>
  <c r="ET253" i="9"/>
  <c r="ET254" i="9" s="1"/>
  <c r="DE254" i="9"/>
  <c r="BV253" i="9"/>
  <c r="BV254" i="9" s="1"/>
  <c r="CK254" i="9"/>
  <c r="FM252" i="12"/>
  <c r="AB255" i="9"/>
  <c r="AD255" i="9" s="1"/>
  <c r="AH255" i="9" s="1"/>
  <c r="AH254" i="9"/>
  <c r="AF254" i="9"/>
  <c r="AJ254" i="9" s="1"/>
  <c r="AG254" i="9"/>
  <c r="AC255" i="9"/>
  <c r="AJ252" i="12"/>
  <c r="CO252" i="12"/>
  <c r="BV252" i="12"/>
  <c r="ET252" i="12"/>
  <c r="EA252" i="12"/>
  <c r="AZ255" i="9"/>
  <c r="AY255" i="9"/>
  <c r="BA255" i="9"/>
  <c r="BB255" i="9"/>
  <c r="DH252" i="12"/>
  <c r="FJ253" i="12"/>
  <c r="FL253" i="12"/>
  <c r="FK253" i="12"/>
  <c r="BA253" i="12"/>
  <c r="AZ253" i="12"/>
  <c r="BB253" i="12"/>
  <c r="CM253" i="12"/>
  <c r="CN253" i="12"/>
  <c r="CL253" i="12"/>
  <c r="AH253" i="12"/>
  <c r="AG253" i="12"/>
  <c r="AI253" i="12"/>
  <c r="BA254" i="9"/>
  <c r="AY254" i="9"/>
  <c r="AZ254" i="9"/>
  <c r="BB254" i="9"/>
  <c r="BC252" i="12"/>
  <c r="DG255" i="9"/>
  <c r="DD255" i="9"/>
  <c r="DF255" i="9"/>
  <c r="DE255" i="9"/>
  <c r="BU255" i="9"/>
  <c r="BT255" i="9"/>
  <c r="BR255" i="9"/>
  <c r="BS255" i="9"/>
  <c r="DX254" i="9"/>
  <c r="DW254" i="9"/>
  <c r="DZ254" i="9"/>
  <c r="DY254" i="9"/>
  <c r="EP254" i="12"/>
  <c r="FF254" i="12"/>
  <c r="FE254" i="12"/>
  <c r="FG254" i="12" s="1"/>
  <c r="DD254" i="12"/>
  <c r="CK254" i="12"/>
  <c r="AC254" i="12"/>
  <c r="AB254" i="12"/>
  <c r="AD254" i="12" s="1"/>
  <c r="BO254" i="12"/>
  <c r="BN254" i="12"/>
  <c r="BP254" i="12" s="1"/>
  <c r="CG254" i="12"/>
  <c r="CI254" i="12" s="1"/>
  <c r="AF254" i="12"/>
  <c r="CH254" i="12"/>
  <c r="FI254" i="12"/>
  <c r="BR254" i="12"/>
  <c r="DW254" i="12"/>
  <c r="EL254" i="12"/>
  <c r="EN254" i="12" s="1"/>
  <c r="DA254" i="12"/>
  <c r="DT254" i="12"/>
  <c r="AY254" i="12"/>
  <c r="EM254" i="12"/>
  <c r="CZ254" i="12"/>
  <c r="DB254" i="12" s="1"/>
  <c r="DS254" i="12"/>
  <c r="DU254" i="12" s="1"/>
  <c r="AV254" i="12"/>
  <c r="AU254" i="12"/>
  <c r="AW254" i="12" s="1"/>
  <c r="FI254" i="9"/>
  <c r="FL254" i="9"/>
  <c r="FJ254" i="9"/>
  <c r="FK254" i="9"/>
  <c r="Z256" i="9"/>
  <c r="AA256" i="9" s="1"/>
  <c r="AE256" i="9" s="1"/>
  <c r="DQ256" i="9"/>
  <c r="DR256" i="9" s="1"/>
  <c r="DV256" i="9" s="1"/>
  <c r="BL256" i="9"/>
  <c r="BM256" i="9" s="1"/>
  <c r="BQ256" i="9" s="1"/>
  <c r="FC256" i="9"/>
  <c r="FD256" i="9" s="1"/>
  <c r="FH256" i="9" s="1"/>
  <c r="CX256" i="9"/>
  <c r="CY256" i="9" s="1"/>
  <c r="DC256" i="9" s="1"/>
  <c r="CE256" i="9"/>
  <c r="CF256" i="9" s="1"/>
  <c r="CJ256" i="9" s="1"/>
  <c r="AS256" i="9"/>
  <c r="AT256" i="9" s="1"/>
  <c r="AX256" i="9" s="1"/>
  <c r="EJ256" i="9"/>
  <c r="EK256" i="9" s="1"/>
  <c r="EO256" i="9" s="1"/>
  <c r="I257" i="9"/>
  <c r="DX253" i="12"/>
  <c r="DY253" i="12"/>
  <c r="DZ253" i="12"/>
  <c r="BS253" i="12"/>
  <c r="BU253" i="12"/>
  <c r="BT253" i="12"/>
  <c r="CN255" i="9"/>
  <c r="CL255" i="9"/>
  <c r="CM255" i="9"/>
  <c r="CK255" i="9"/>
  <c r="J256" i="12" a="1"/>
  <c r="J256" i="12" s="1"/>
  <c r="O256" i="12" a="1"/>
  <c r="O256" i="12" s="1"/>
  <c r="N256" i="12" a="1"/>
  <c r="N256" i="12" s="1"/>
  <c r="H256" i="12" a="1"/>
  <c r="H256" i="12" s="1"/>
  <c r="K256" i="12" a="1"/>
  <c r="K256" i="12" s="1"/>
  <c r="G256" i="12" a="1"/>
  <c r="G256" i="12" s="1"/>
  <c r="D257" i="12"/>
  <c r="L256" i="12" a="1"/>
  <c r="L256" i="12" s="1"/>
  <c r="M256" i="9"/>
  <c r="P256" i="9" s="1"/>
  <c r="Q256" i="9" s="1"/>
  <c r="FE255" i="9"/>
  <c r="FG255" i="9" s="1"/>
  <c r="L257" i="9" a="1"/>
  <c r="L257" i="9" s="1"/>
  <c r="K257" i="9" a="1"/>
  <c r="K257" i="9" s="1"/>
  <c r="G257" i="9" a="1"/>
  <c r="G257" i="9" s="1"/>
  <c r="J257" i="9" a="1"/>
  <c r="J257" i="9" s="1"/>
  <c r="H257" i="9" a="1"/>
  <c r="H257" i="9" s="1"/>
  <c r="N257" i="9" a="1"/>
  <c r="N257" i="9" s="1"/>
  <c r="O257" i="9" a="1"/>
  <c r="O257" i="9" s="1"/>
  <c r="D258" i="9"/>
  <c r="EQ253" i="12"/>
  <c r="ER253" i="12"/>
  <c r="ES253" i="12"/>
  <c r="EP255" i="9"/>
  <c r="ER255" i="9"/>
  <c r="EQ255" i="9"/>
  <c r="ES255" i="9"/>
  <c r="FF255" i="9"/>
  <c r="M255" i="12"/>
  <c r="P255" i="12" s="1"/>
  <c r="Q255" i="12" s="1"/>
  <c r="DE253" i="12"/>
  <c r="DG253" i="12"/>
  <c r="DF253" i="12"/>
  <c r="DS255" i="9"/>
  <c r="DU255" i="9" s="1"/>
  <c r="AV255" i="9"/>
  <c r="AI255" i="9" l="1"/>
  <c r="AF255" i="9"/>
  <c r="AG255" i="9"/>
  <c r="FM254" i="9"/>
  <c r="BC254" i="9"/>
  <c r="BC255" i="9" s="1"/>
  <c r="DH254" i="9"/>
  <c r="DH255" i="9" s="1"/>
  <c r="AJ255" i="9"/>
  <c r="ET255" i="9"/>
  <c r="CO255" i="9"/>
  <c r="EA254" i="9"/>
  <c r="BV255" i="9"/>
  <c r="CO253" i="12"/>
  <c r="AJ253" i="12"/>
  <c r="FM253" i="12"/>
  <c r="BV253" i="12"/>
  <c r="BC253" i="12"/>
  <c r="EP255" i="12"/>
  <c r="FE255" i="12"/>
  <c r="FG255" i="12" s="1"/>
  <c r="FF255" i="12"/>
  <c r="CK255" i="12"/>
  <c r="DD255" i="12"/>
  <c r="BO255" i="12"/>
  <c r="AC255" i="12"/>
  <c r="BN255" i="12"/>
  <c r="BP255" i="12" s="1"/>
  <c r="AB255" i="12"/>
  <c r="AD255" i="12" s="1"/>
  <c r="AY255" i="12"/>
  <c r="CH255" i="12"/>
  <c r="CG255" i="12"/>
  <c r="CI255" i="12" s="1"/>
  <c r="AF255" i="12"/>
  <c r="EM255" i="12"/>
  <c r="DT255" i="12"/>
  <c r="FI255" i="12"/>
  <c r="EL255" i="12"/>
  <c r="EN255" i="12" s="1"/>
  <c r="DS255" i="12"/>
  <c r="DU255" i="12" s="1"/>
  <c r="DW255" i="12"/>
  <c r="CZ255" i="12"/>
  <c r="DB255" i="12" s="1"/>
  <c r="BR255" i="12"/>
  <c r="DA255" i="12"/>
  <c r="AV255" i="12"/>
  <c r="AU255" i="12"/>
  <c r="AW255" i="12" s="1"/>
  <c r="ET253" i="12"/>
  <c r="L257" i="12" a="1"/>
  <c r="L257" i="12" s="1"/>
  <c r="N257" i="12" a="1"/>
  <c r="N257" i="12" s="1"/>
  <c r="H257" i="12" a="1"/>
  <c r="H257" i="12" s="1"/>
  <c r="O257" i="12" a="1"/>
  <c r="O257" i="12" s="1"/>
  <c r="K257" i="12" a="1"/>
  <c r="K257" i="12" s="1"/>
  <c r="J257" i="12" a="1"/>
  <c r="J257" i="12" s="1"/>
  <c r="G257" i="12" a="1"/>
  <c r="G257" i="12" s="1"/>
  <c r="D258" i="12"/>
  <c r="AI254" i="12"/>
  <c r="AG254" i="12"/>
  <c r="AH254" i="12"/>
  <c r="DX254" i="12"/>
  <c r="DZ254" i="12"/>
  <c r="DY254" i="12"/>
  <c r="K258" i="9" a="1"/>
  <c r="K258" i="9" s="1"/>
  <c r="J258" i="9" a="1"/>
  <c r="J258" i="9" s="1"/>
  <c r="O258" i="9" a="1"/>
  <c r="O258" i="9" s="1"/>
  <c r="L258" i="9" a="1"/>
  <c r="L258" i="9" s="1"/>
  <c r="G258" i="9" a="1"/>
  <c r="G258" i="9" s="1"/>
  <c r="N258" i="9" a="1"/>
  <c r="N258" i="9" s="1"/>
  <c r="H258" i="9" a="1"/>
  <c r="H258" i="9" s="1"/>
  <c r="D259" i="9"/>
  <c r="Z257" i="9"/>
  <c r="AA257" i="9" s="1"/>
  <c r="AE257" i="9" s="1"/>
  <c r="DQ257" i="9"/>
  <c r="DR257" i="9" s="1"/>
  <c r="DV257" i="9" s="1"/>
  <c r="BL257" i="9"/>
  <c r="BM257" i="9" s="1"/>
  <c r="BQ257" i="9" s="1"/>
  <c r="FC257" i="9"/>
  <c r="FD257" i="9" s="1"/>
  <c r="FH257" i="9" s="1"/>
  <c r="CE257" i="9"/>
  <c r="CF257" i="9" s="1"/>
  <c r="CJ257" i="9" s="1"/>
  <c r="CX257" i="9"/>
  <c r="CY257" i="9" s="1"/>
  <c r="DC257" i="9" s="1"/>
  <c r="AS257" i="9"/>
  <c r="AT257" i="9" s="1"/>
  <c r="AX257" i="9" s="1"/>
  <c r="EJ257" i="9"/>
  <c r="EK257" i="9" s="1"/>
  <c r="EO257" i="9" s="1"/>
  <c r="I258" i="9"/>
  <c r="DE254" i="12"/>
  <c r="DF254" i="12"/>
  <c r="DG254" i="12"/>
  <c r="AZ254" i="12"/>
  <c r="BB254" i="12"/>
  <c r="BA254" i="12"/>
  <c r="FJ255" i="9"/>
  <c r="FL255" i="9"/>
  <c r="FI255" i="9"/>
  <c r="FM255" i="9" s="1"/>
  <c r="FK255" i="9"/>
  <c r="EQ254" i="12"/>
  <c r="ES254" i="12"/>
  <c r="ER254" i="12"/>
  <c r="FJ254" i="12"/>
  <c r="FL254" i="12"/>
  <c r="FK254" i="12"/>
  <c r="DX255" i="9"/>
  <c r="DW255" i="9"/>
  <c r="DZ255" i="9"/>
  <c r="DY255" i="9"/>
  <c r="CN254" i="12"/>
  <c r="CM254" i="12"/>
  <c r="CL254" i="12"/>
  <c r="DH253" i="12"/>
  <c r="M257" i="9"/>
  <c r="P257" i="9" s="1"/>
  <c r="Q257" i="9" s="1"/>
  <c r="BO256" i="9"/>
  <c r="FE256" i="9"/>
  <c r="FG256" i="9" s="1"/>
  <c r="AV256" i="9"/>
  <c r="CG256" i="9"/>
  <c r="CI256" i="9" s="1"/>
  <c r="BN256" i="9"/>
  <c r="BP256" i="9" s="1"/>
  <c r="FF256" i="9"/>
  <c r="AU256" i="9"/>
  <c r="AW256" i="9" s="1"/>
  <c r="CH256" i="9"/>
  <c r="EM256" i="9"/>
  <c r="EL256" i="9"/>
  <c r="EN256" i="9" s="1"/>
  <c r="AB256" i="9"/>
  <c r="AD256" i="9" s="1"/>
  <c r="DA256" i="9"/>
  <c r="AC256" i="9"/>
  <c r="CZ256" i="9"/>
  <c r="DB256" i="9" s="1"/>
  <c r="DS256" i="9"/>
  <c r="DU256" i="9" s="1"/>
  <c r="DT256" i="9"/>
  <c r="M256" i="12"/>
  <c r="P256" i="12" s="1"/>
  <c r="Q256" i="12" s="1"/>
  <c r="EA253" i="12"/>
  <c r="BS254" i="12"/>
  <c r="BU254" i="12"/>
  <c r="BT254" i="12"/>
  <c r="EA255" i="9" l="1"/>
  <c r="BV254" i="12"/>
  <c r="FM254" i="12"/>
  <c r="AJ254" i="12"/>
  <c r="CO254" i="12"/>
  <c r="DH254" i="12"/>
  <c r="ET254" i="12"/>
  <c r="M257" i="12"/>
  <c r="P257" i="12" s="1"/>
  <c r="Q257" i="12" s="1"/>
  <c r="AF256" i="9"/>
  <c r="AG256" i="9"/>
  <c r="AI256" i="9"/>
  <c r="AH256" i="9"/>
  <c r="ES256" i="9"/>
  <c r="EQ256" i="9"/>
  <c r="EP256" i="9"/>
  <c r="ER256" i="9"/>
  <c r="FJ256" i="9"/>
  <c r="FK256" i="9"/>
  <c r="FI256" i="9"/>
  <c r="FM256" i="9" s="1"/>
  <c r="FL256" i="9"/>
  <c r="BC254" i="12"/>
  <c r="EA254" i="12"/>
  <c r="BS255" i="12"/>
  <c r="BT255" i="12"/>
  <c r="BU255" i="12"/>
  <c r="FE256" i="12"/>
  <c r="FG256" i="12" s="1"/>
  <c r="FF256" i="12"/>
  <c r="EP256" i="12"/>
  <c r="DD256" i="12"/>
  <c r="CK256" i="12"/>
  <c r="AB256" i="12"/>
  <c r="AD256" i="12" s="1"/>
  <c r="AC256" i="12"/>
  <c r="BO256" i="12"/>
  <c r="BN256" i="12"/>
  <c r="BP256" i="12" s="1"/>
  <c r="DW256" i="12"/>
  <c r="CZ256" i="12"/>
  <c r="DB256" i="12" s="1"/>
  <c r="CH256" i="12"/>
  <c r="CG256" i="12"/>
  <c r="CI256" i="12" s="1"/>
  <c r="FI256" i="12"/>
  <c r="AF256" i="12"/>
  <c r="DA256" i="12"/>
  <c r="DS256" i="12"/>
  <c r="DU256" i="12" s="1"/>
  <c r="EM256" i="12"/>
  <c r="EL256" i="12"/>
  <c r="EN256" i="12" s="1"/>
  <c r="AY256" i="12"/>
  <c r="BR256" i="12"/>
  <c r="DT256" i="12"/>
  <c r="AV256" i="12"/>
  <c r="AU256" i="12"/>
  <c r="AW256" i="12" s="1"/>
  <c r="BB255" i="12"/>
  <c r="AZ255" i="12"/>
  <c r="BA255" i="12"/>
  <c r="K259" i="9" a="1"/>
  <c r="K259" i="9" s="1"/>
  <c r="J259" i="9" a="1"/>
  <c r="J259" i="9" s="1"/>
  <c r="O259" i="9" a="1"/>
  <c r="O259" i="9" s="1"/>
  <c r="G259" i="9" a="1"/>
  <c r="G259" i="9" s="1"/>
  <c r="N259" i="9" a="1"/>
  <c r="N259" i="9" s="1"/>
  <c r="H259" i="9" a="1"/>
  <c r="H259" i="9" s="1"/>
  <c r="L259" i="9" a="1"/>
  <c r="L259" i="9" s="1"/>
  <c r="D260" i="9"/>
  <c r="DX256" i="9"/>
  <c r="DW256" i="9"/>
  <c r="DY256" i="9"/>
  <c r="DZ256" i="9"/>
  <c r="BA256" i="9"/>
  <c r="BB256" i="9"/>
  <c r="AZ256" i="9"/>
  <c r="AY256" i="9"/>
  <c r="DE255" i="12"/>
  <c r="DG255" i="12"/>
  <c r="DF255" i="12"/>
  <c r="CL255" i="12"/>
  <c r="CM255" i="12"/>
  <c r="CN255" i="12"/>
  <c r="DG256" i="9"/>
  <c r="DF256" i="9"/>
  <c r="DD256" i="9"/>
  <c r="DE256" i="9"/>
  <c r="AU257" i="9"/>
  <c r="AW257" i="9" s="1"/>
  <c r="FE257" i="9"/>
  <c r="FG257" i="9" s="1"/>
  <c r="AV257" i="9"/>
  <c r="FF257" i="9"/>
  <c r="CH257" i="9"/>
  <c r="BN257" i="9"/>
  <c r="BP257" i="9" s="1"/>
  <c r="CG257" i="9"/>
  <c r="CI257" i="9" s="1"/>
  <c r="BO257" i="9"/>
  <c r="DA257" i="9"/>
  <c r="CZ257" i="9"/>
  <c r="DB257" i="9" s="1"/>
  <c r="EM257" i="9"/>
  <c r="AB257" i="9"/>
  <c r="AD257" i="9" s="1"/>
  <c r="EL257" i="9"/>
  <c r="EN257" i="9" s="1"/>
  <c r="AC257" i="9"/>
  <c r="DS257" i="9"/>
  <c r="DU257" i="9" s="1"/>
  <c r="DT257" i="9"/>
  <c r="BS256" i="9"/>
  <c r="BR256" i="9"/>
  <c r="BT256" i="9"/>
  <c r="BU256" i="9"/>
  <c r="M258" i="9"/>
  <c r="P258" i="9" s="1"/>
  <c r="Q258" i="9" s="1"/>
  <c r="DX255" i="12"/>
  <c r="DZ255" i="12"/>
  <c r="DY255" i="12"/>
  <c r="FJ255" i="12"/>
  <c r="FK255" i="12"/>
  <c r="FL255" i="12"/>
  <c r="CN256" i="9"/>
  <c r="CM256" i="9"/>
  <c r="CL256" i="9"/>
  <c r="CK256" i="9"/>
  <c r="FC258" i="9"/>
  <c r="FD258" i="9" s="1"/>
  <c r="FH258" i="9" s="1"/>
  <c r="CE258" i="9"/>
  <c r="CF258" i="9" s="1"/>
  <c r="CJ258" i="9" s="1"/>
  <c r="CX258" i="9"/>
  <c r="CY258" i="9" s="1"/>
  <c r="DC258" i="9" s="1"/>
  <c r="EJ258" i="9"/>
  <c r="EK258" i="9" s="1"/>
  <c r="EO258" i="9" s="1"/>
  <c r="AS258" i="9"/>
  <c r="AT258" i="9" s="1"/>
  <c r="AX258" i="9" s="1"/>
  <c r="DQ258" i="9"/>
  <c r="DR258" i="9" s="1"/>
  <c r="DV258" i="9" s="1"/>
  <c r="BL258" i="9"/>
  <c r="BM258" i="9" s="1"/>
  <c r="BQ258" i="9" s="1"/>
  <c r="Z258" i="9"/>
  <c r="AA258" i="9" s="1"/>
  <c r="AE258" i="9" s="1"/>
  <c r="I259" i="9"/>
  <c r="G258" i="12" a="1"/>
  <c r="G258" i="12" s="1"/>
  <c r="K258" i="12" a="1"/>
  <c r="K258" i="12" s="1"/>
  <c r="O258" i="12" a="1"/>
  <c r="O258" i="12" s="1"/>
  <c r="H258" i="12" a="1"/>
  <c r="H258" i="12" s="1"/>
  <c r="N258" i="12" a="1"/>
  <c r="N258" i="12" s="1"/>
  <c r="L258" i="12" a="1"/>
  <c r="L258" i="12" s="1"/>
  <c r="J258" i="12" a="1"/>
  <c r="J258" i="12" s="1"/>
  <c r="D259" i="12"/>
  <c r="EQ255" i="12"/>
  <c r="ES255" i="12"/>
  <c r="ER255" i="12"/>
  <c r="AG255" i="12"/>
  <c r="AI255" i="12"/>
  <c r="AH255" i="12"/>
  <c r="ET256" i="9" l="1"/>
  <c r="CO256" i="9"/>
  <c r="BV256" i="9"/>
  <c r="AJ256" i="9"/>
  <c r="DH256" i="9"/>
  <c r="EA256" i="9"/>
  <c r="BC256" i="9"/>
  <c r="M258" i="12"/>
  <c r="P258" i="12" s="1"/>
  <c r="Q258" i="12" s="1"/>
  <c r="ET255" i="12"/>
  <c r="EA255" i="12"/>
  <c r="AJ255" i="12"/>
  <c r="FM255" i="12"/>
  <c r="BV255" i="12"/>
  <c r="AI257" i="9"/>
  <c r="AH257" i="9"/>
  <c r="AG257" i="9"/>
  <c r="AF257" i="9"/>
  <c r="L260" i="9" a="1"/>
  <c r="L260" i="9" s="1"/>
  <c r="K260" i="9" a="1"/>
  <c r="K260" i="9" s="1"/>
  <c r="O260" i="9" a="1"/>
  <c r="O260" i="9" s="1"/>
  <c r="G260" i="9" a="1"/>
  <c r="G260" i="9" s="1"/>
  <c r="J260" i="9" a="1"/>
  <c r="J260" i="9" s="1"/>
  <c r="H260" i="9" a="1"/>
  <c r="H260" i="9" s="1"/>
  <c r="N260" i="9" a="1"/>
  <c r="N260" i="9" s="1"/>
  <c r="D261" i="9"/>
  <c r="CL256" i="12"/>
  <c r="CN256" i="12"/>
  <c r="CM256" i="12"/>
  <c r="DD257" i="9"/>
  <c r="DE257" i="9"/>
  <c r="DF257" i="9"/>
  <c r="DG257" i="9"/>
  <c r="FI257" i="9"/>
  <c r="FL257" i="9"/>
  <c r="FJ257" i="9"/>
  <c r="FK257" i="9"/>
  <c r="EQ256" i="12"/>
  <c r="ES256" i="12"/>
  <c r="ER256" i="12"/>
  <c r="DE256" i="12"/>
  <c r="DF256" i="12"/>
  <c r="DG256" i="12"/>
  <c r="BB257" i="9"/>
  <c r="BA257" i="9"/>
  <c r="AY257" i="9"/>
  <c r="AZ257" i="9"/>
  <c r="BC255" i="12"/>
  <c r="L259" i="12" a="1"/>
  <c r="L259" i="12" s="1"/>
  <c r="J259" i="12" a="1"/>
  <c r="J259" i="12" s="1"/>
  <c r="N259" i="12" a="1"/>
  <c r="N259" i="12" s="1"/>
  <c r="H259" i="12" a="1"/>
  <c r="H259" i="12" s="1"/>
  <c r="O259" i="12" a="1"/>
  <c r="O259" i="12" s="1"/>
  <c r="G259" i="12" a="1"/>
  <c r="G259" i="12" s="1"/>
  <c r="K259" i="12" a="1"/>
  <c r="K259" i="12" s="1"/>
  <c r="D260" i="12"/>
  <c r="EJ259" i="9"/>
  <c r="EK259" i="9" s="1"/>
  <c r="EO259" i="9" s="1"/>
  <c r="CE259" i="9"/>
  <c r="CF259" i="9" s="1"/>
  <c r="CJ259" i="9" s="1"/>
  <c r="Z259" i="9"/>
  <c r="AA259" i="9" s="1"/>
  <c r="AE259" i="9" s="1"/>
  <c r="AS259" i="9"/>
  <c r="AT259" i="9" s="1"/>
  <c r="AX259" i="9" s="1"/>
  <c r="DQ259" i="9"/>
  <c r="DR259" i="9" s="1"/>
  <c r="DV259" i="9" s="1"/>
  <c r="BL259" i="9"/>
  <c r="BM259" i="9" s="1"/>
  <c r="BQ259" i="9" s="1"/>
  <c r="FC259" i="9"/>
  <c r="FD259" i="9" s="1"/>
  <c r="FH259" i="9" s="1"/>
  <c r="CX259" i="9"/>
  <c r="CY259" i="9" s="1"/>
  <c r="DC259" i="9" s="1"/>
  <c r="I260" i="9"/>
  <c r="CO255" i="12"/>
  <c r="DX256" i="12"/>
  <c r="DZ256" i="12"/>
  <c r="DY256" i="12"/>
  <c r="BS256" i="12"/>
  <c r="BU256" i="12"/>
  <c r="BT256" i="12"/>
  <c r="FJ256" i="12"/>
  <c r="FM256" i="12" s="1"/>
  <c r="FL256" i="12"/>
  <c r="FK256" i="12"/>
  <c r="BN258" i="9"/>
  <c r="BP258" i="9" s="1"/>
  <c r="FF258" i="9"/>
  <c r="BO258" i="9"/>
  <c r="FE258" i="9"/>
  <c r="FG258" i="9" s="1"/>
  <c r="AV258" i="9"/>
  <c r="CH258" i="9"/>
  <c r="AU258" i="9"/>
  <c r="AW258" i="9" s="1"/>
  <c r="CG258" i="9"/>
  <c r="CI258" i="9" s="1"/>
  <c r="CZ258" i="9"/>
  <c r="DB258" i="9" s="1"/>
  <c r="DA258" i="9"/>
  <c r="AB258" i="9"/>
  <c r="AD258" i="9" s="1"/>
  <c r="EL258" i="9"/>
  <c r="EN258" i="9" s="1"/>
  <c r="AC258" i="9"/>
  <c r="EM258" i="9"/>
  <c r="DS258" i="9"/>
  <c r="DU258" i="9" s="1"/>
  <c r="DT258" i="9"/>
  <c r="DW257" i="9"/>
  <c r="DX257" i="9"/>
  <c r="DZ257" i="9"/>
  <c r="DY257" i="9"/>
  <c r="CN257" i="9"/>
  <c r="CK257" i="9"/>
  <c r="CM257" i="9"/>
  <c r="CL257" i="9"/>
  <c r="FE257" i="12"/>
  <c r="FG257" i="12" s="1"/>
  <c r="FF257" i="12"/>
  <c r="EP257" i="12"/>
  <c r="CK257" i="12"/>
  <c r="DD257" i="12"/>
  <c r="AC257" i="12"/>
  <c r="AB257" i="12"/>
  <c r="AD257" i="12" s="1"/>
  <c r="BO257" i="12"/>
  <c r="BN257" i="12"/>
  <c r="BP257" i="12" s="1"/>
  <c r="DW257" i="12"/>
  <c r="FI257" i="12"/>
  <c r="CG257" i="12"/>
  <c r="CI257" i="12" s="1"/>
  <c r="EM257" i="12"/>
  <c r="BR257" i="12"/>
  <c r="EL257" i="12"/>
  <c r="EN257" i="12" s="1"/>
  <c r="CH257" i="12"/>
  <c r="AY257" i="12"/>
  <c r="CZ257" i="12"/>
  <c r="DB257" i="12" s="1"/>
  <c r="DT257" i="12"/>
  <c r="DA257" i="12"/>
  <c r="AF257" i="12"/>
  <c r="DS257" i="12"/>
  <c r="DU257" i="12" s="1"/>
  <c r="AV257" i="12"/>
  <c r="AU257" i="12"/>
  <c r="AW257" i="12" s="1"/>
  <c r="DH255" i="12"/>
  <c r="AZ256" i="12"/>
  <c r="BB256" i="12"/>
  <c r="BA256" i="12"/>
  <c r="EQ257" i="9"/>
  <c r="EP257" i="9"/>
  <c r="ET257" i="9" s="1"/>
  <c r="ES257" i="9"/>
  <c r="ER257" i="9"/>
  <c r="AH256" i="12"/>
  <c r="AG256" i="12"/>
  <c r="AI256" i="12"/>
  <c r="BR257" i="9"/>
  <c r="BT257" i="9"/>
  <c r="BS257" i="9"/>
  <c r="BU257" i="9"/>
  <c r="M259" i="9"/>
  <c r="P259" i="9" s="1"/>
  <c r="Q259" i="9" s="1"/>
  <c r="BV257" i="9" l="1"/>
  <c r="BC257" i="9"/>
  <c r="CO257" i="9"/>
  <c r="FM257" i="9"/>
  <c r="AJ257" i="9"/>
  <c r="EA257" i="9"/>
  <c r="DH257" i="9"/>
  <c r="FF259" i="9"/>
  <c r="DA259" i="9"/>
  <c r="CH259" i="9"/>
  <c r="CG259" i="9"/>
  <c r="CI259" i="9" s="1"/>
  <c r="CN259" i="9" s="1"/>
  <c r="BO259" i="9"/>
  <c r="AC259" i="9"/>
  <c r="BV256" i="12"/>
  <c r="ET256" i="12"/>
  <c r="FE259" i="9"/>
  <c r="FG259" i="9" s="1"/>
  <c r="FI259" i="9" s="1"/>
  <c r="CZ259" i="9"/>
  <c r="DB259" i="9" s="1"/>
  <c r="BN259" i="9"/>
  <c r="BP259" i="9" s="1"/>
  <c r="DS259" i="9"/>
  <c r="DU259" i="9" s="1"/>
  <c r="AU259" i="9"/>
  <c r="AW259" i="9" s="1"/>
  <c r="EL259" i="9"/>
  <c r="EN259" i="9" s="1"/>
  <c r="EP259" i="9" s="1"/>
  <c r="AJ256" i="12"/>
  <c r="BC256" i="12"/>
  <c r="EM259" i="9"/>
  <c r="AB259" i="9"/>
  <c r="AD259" i="9" s="1"/>
  <c r="AV259" i="9"/>
  <c r="DT259" i="9"/>
  <c r="CK259" i="9"/>
  <c r="CM259" i="9"/>
  <c r="CL257" i="12"/>
  <c r="CM257" i="12"/>
  <c r="CN257" i="12"/>
  <c r="G260" i="12" a="1"/>
  <c r="G260" i="12" s="1"/>
  <c r="H260" i="12" a="1"/>
  <c r="H260" i="12" s="1"/>
  <c r="N260" i="12" a="1"/>
  <c r="N260" i="12" s="1"/>
  <c r="L260" i="12" a="1"/>
  <c r="L260" i="12" s="1"/>
  <c r="K260" i="12" a="1"/>
  <c r="K260" i="12" s="1"/>
  <c r="O260" i="12" a="1"/>
  <c r="O260" i="12" s="1"/>
  <c r="J260" i="12" a="1"/>
  <c r="J260" i="12" s="1"/>
  <c r="D261" i="12"/>
  <c r="DH256" i="12"/>
  <c r="AY259" i="9"/>
  <c r="BA259" i="9"/>
  <c r="AZ259" i="9"/>
  <c r="BB259" i="9"/>
  <c r="EQ258" i="9"/>
  <c r="ES258" i="9"/>
  <c r="ER258" i="9"/>
  <c r="EP258" i="9"/>
  <c r="FL258" i="9"/>
  <c r="FK258" i="9"/>
  <c r="FI258" i="9"/>
  <c r="FM258" i="9" s="1"/>
  <c r="FJ258" i="9"/>
  <c r="CO256" i="12"/>
  <c r="DE257" i="12"/>
  <c r="DG257" i="12"/>
  <c r="DF257" i="12"/>
  <c r="AH258" i="9"/>
  <c r="AG258" i="9"/>
  <c r="AF258" i="9"/>
  <c r="AJ258" i="9" s="1"/>
  <c r="AI258" i="9"/>
  <c r="BR259" i="9"/>
  <c r="BS259" i="9"/>
  <c r="BU259" i="9"/>
  <c r="BT259" i="9"/>
  <c r="BS257" i="12"/>
  <c r="BU257" i="12"/>
  <c r="BT257" i="12"/>
  <c r="FJ257" i="12"/>
  <c r="FK257" i="12"/>
  <c r="FL257" i="12"/>
  <c r="EA256" i="12"/>
  <c r="K261" i="9" a="1"/>
  <c r="K261" i="9" s="1"/>
  <c r="N261" i="9" a="1"/>
  <c r="N261" i="9" s="1"/>
  <c r="L261" i="9" a="1"/>
  <c r="L261" i="9" s="1"/>
  <c r="H261" i="9" a="1"/>
  <c r="H261" i="9" s="1"/>
  <c r="O261" i="9" a="1"/>
  <c r="O261" i="9" s="1"/>
  <c r="G261" i="9" a="1"/>
  <c r="G261" i="9" s="1"/>
  <c r="J261" i="9" a="1"/>
  <c r="J261" i="9" s="1"/>
  <c r="D262" i="9"/>
  <c r="DF259" i="9"/>
  <c r="DE259" i="9"/>
  <c r="DD259" i="9"/>
  <c r="DG259" i="9"/>
  <c r="AS260" i="9"/>
  <c r="AT260" i="9" s="1"/>
  <c r="AX260" i="9" s="1"/>
  <c r="CX260" i="9"/>
  <c r="CY260" i="9" s="1"/>
  <c r="DC260" i="9" s="1"/>
  <c r="EJ260" i="9"/>
  <c r="EK260" i="9" s="1"/>
  <c r="EO260" i="9" s="1"/>
  <c r="CE260" i="9"/>
  <c r="CF260" i="9" s="1"/>
  <c r="CJ260" i="9" s="1"/>
  <c r="Z260" i="9"/>
  <c r="AA260" i="9" s="1"/>
  <c r="AE260" i="9" s="1"/>
  <c r="DQ260" i="9"/>
  <c r="DR260" i="9" s="1"/>
  <c r="DV260" i="9" s="1"/>
  <c r="FC260" i="9"/>
  <c r="FD260" i="9" s="1"/>
  <c r="FH260" i="9" s="1"/>
  <c r="BL260" i="9"/>
  <c r="BM260" i="9" s="1"/>
  <c r="BQ260" i="9" s="1"/>
  <c r="I261" i="9"/>
  <c r="FF258" i="12"/>
  <c r="EP258" i="12"/>
  <c r="FE258" i="12"/>
  <c r="FG258" i="12" s="1"/>
  <c r="CK258" i="12"/>
  <c r="DD258" i="12"/>
  <c r="AC258" i="12"/>
  <c r="AB258" i="12"/>
  <c r="AD258" i="12" s="1"/>
  <c r="BO258" i="12"/>
  <c r="BN258" i="12"/>
  <c r="BP258" i="12" s="1"/>
  <c r="DW258" i="12"/>
  <c r="DT258" i="12"/>
  <c r="EL258" i="12"/>
  <c r="EN258" i="12" s="1"/>
  <c r="CZ258" i="12"/>
  <c r="DB258" i="12" s="1"/>
  <c r="AY258" i="12"/>
  <c r="DS258" i="12"/>
  <c r="DU258" i="12" s="1"/>
  <c r="EM258" i="12"/>
  <c r="BR258" i="12"/>
  <c r="CH258" i="12"/>
  <c r="CG258" i="12"/>
  <c r="CI258" i="12" s="1"/>
  <c r="DA258" i="12"/>
  <c r="AF258" i="12"/>
  <c r="FI258" i="12"/>
  <c r="AV258" i="12"/>
  <c r="AU258" i="12"/>
  <c r="AW258" i="12" s="1"/>
  <c r="DF258" i="9"/>
  <c r="DG258" i="9"/>
  <c r="DD258" i="9"/>
  <c r="DE258" i="9"/>
  <c r="BR258" i="9"/>
  <c r="BS258" i="9"/>
  <c r="BT258" i="9"/>
  <c r="BU258" i="9"/>
  <c r="AH259" i="9"/>
  <c r="AF259" i="9"/>
  <c r="AG259" i="9"/>
  <c r="AI259" i="9"/>
  <c r="BB257" i="12"/>
  <c r="BA257" i="12"/>
  <c r="AZ257" i="12"/>
  <c r="EQ257" i="12"/>
  <c r="ES257" i="12"/>
  <c r="ER257" i="12"/>
  <c r="AI257" i="12"/>
  <c r="AG257" i="12"/>
  <c r="AH257" i="12"/>
  <c r="CK258" i="9"/>
  <c r="CL258" i="9"/>
  <c r="CN258" i="9"/>
  <c r="CM258" i="9"/>
  <c r="DZ259" i="9"/>
  <c r="DY259" i="9"/>
  <c r="DX259" i="9"/>
  <c r="DW259" i="9"/>
  <c r="DX257" i="12"/>
  <c r="DZ257" i="12"/>
  <c r="DY257" i="12"/>
  <c r="DZ258" i="9"/>
  <c r="DY258" i="9"/>
  <c r="DW258" i="9"/>
  <c r="DX258" i="9"/>
  <c r="AY258" i="9"/>
  <c r="AZ258" i="9"/>
  <c r="BB258" i="9"/>
  <c r="BA258" i="9"/>
  <c r="M259" i="12"/>
  <c r="P259" i="12" s="1"/>
  <c r="Q259" i="12" s="1"/>
  <c r="M260" i="9"/>
  <c r="P260" i="9" s="1"/>
  <c r="Q260" i="9" s="1"/>
  <c r="FK259" i="9" l="1"/>
  <c r="CO258" i="9"/>
  <c r="FJ259" i="9"/>
  <c r="BC258" i="9"/>
  <c r="BC259" i="9" s="1"/>
  <c r="FL259" i="9"/>
  <c r="AJ259" i="9"/>
  <c r="FM259" i="9"/>
  <c r="BV258" i="9"/>
  <c r="BV259" i="9" s="1"/>
  <c r="ET258" i="9"/>
  <c r="EA258" i="9"/>
  <c r="EA259" i="9" s="1"/>
  <c r="BV257" i="12"/>
  <c r="DH258" i="9"/>
  <c r="DH259" i="9" s="1"/>
  <c r="ER259" i="9"/>
  <c r="CL259" i="9"/>
  <c r="CO259" i="9" s="1"/>
  <c r="EQ259" i="9"/>
  <c r="ES259" i="9"/>
  <c r="BC257" i="12"/>
  <c r="CO257" i="12"/>
  <c r="FM257" i="12"/>
  <c r="AJ257" i="12"/>
  <c r="CM258" i="12"/>
  <c r="CN258" i="12"/>
  <c r="CL258" i="12"/>
  <c r="FJ258" i="12"/>
  <c r="FL258" i="12"/>
  <c r="FK258" i="12"/>
  <c r="G262" i="9" a="1"/>
  <c r="G262" i="9" s="1"/>
  <c r="L262" i="9" a="1"/>
  <c r="L262" i="9" s="1"/>
  <c r="H262" i="9" a="1"/>
  <c r="H262" i="9" s="1"/>
  <c r="J262" i="9" a="1"/>
  <c r="J262" i="9" s="1"/>
  <c r="N262" i="9" a="1"/>
  <c r="N262" i="9" s="1"/>
  <c r="O262" i="9" a="1"/>
  <c r="O262" i="9" s="1"/>
  <c r="K262" i="9" a="1"/>
  <c r="K262" i="9" s="1"/>
  <c r="D263" i="9"/>
  <c r="DH257" i="12"/>
  <c r="M261" i="9"/>
  <c r="P261" i="9" s="1"/>
  <c r="Q261" i="9" s="1"/>
  <c r="AU260" i="9"/>
  <c r="AW260" i="9" s="1"/>
  <c r="CG260" i="9"/>
  <c r="CI260" i="9" s="1"/>
  <c r="AV260" i="9"/>
  <c r="CH260" i="9"/>
  <c r="FE260" i="9"/>
  <c r="FG260" i="9" s="1"/>
  <c r="FF260" i="9"/>
  <c r="BO260" i="9"/>
  <c r="BN260" i="9"/>
  <c r="BP260" i="9" s="1"/>
  <c r="AB260" i="9"/>
  <c r="AD260" i="9" s="1"/>
  <c r="DA260" i="9"/>
  <c r="AC260" i="9"/>
  <c r="CZ260" i="9"/>
  <c r="DB260" i="9" s="1"/>
  <c r="EM260" i="9"/>
  <c r="EL260" i="9"/>
  <c r="EN260" i="9" s="1"/>
  <c r="DT260" i="9"/>
  <c r="DS260" i="9"/>
  <c r="DU260" i="9" s="1"/>
  <c r="BS258" i="12"/>
  <c r="BU258" i="12"/>
  <c r="BT258" i="12"/>
  <c r="BB258" i="12"/>
  <c r="AZ258" i="12"/>
  <c r="BA258" i="12"/>
  <c r="AS261" i="9"/>
  <c r="AT261" i="9" s="1"/>
  <c r="AX261" i="9" s="1"/>
  <c r="DQ261" i="9"/>
  <c r="DR261" i="9" s="1"/>
  <c r="DV261" i="9" s="1"/>
  <c r="CX261" i="9"/>
  <c r="CY261" i="9" s="1"/>
  <c r="DC261" i="9" s="1"/>
  <c r="EJ261" i="9"/>
  <c r="EK261" i="9" s="1"/>
  <c r="EO261" i="9" s="1"/>
  <c r="CE261" i="9"/>
  <c r="CF261" i="9" s="1"/>
  <c r="CJ261" i="9" s="1"/>
  <c r="Z261" i="9"/>
  <c r="AA261" i="9" s="1"/>
  <c r="AE261" i="9" s="1"/>
  <c r="BL261" i="9"/>
  <c r="BM261" i="9" s="1"/>
  <c r="BQ261" i="9" s="1"/>
  <c r="FC261" i="9"/>
  <c r="FD261" i="9" s="1"/>
  <c r="FH261" i="9" s="1"/>
  <c r="I262" i="9"/>
  <c r="L261" i="12" a="1"/>
  <c r="L261" i="12" s="1"/>
  <c r="J261" i="12" a="1"/>
  <c r="J261" i="12" s="1"/>
  <c r="O261" i="12" a="1"/>
  <c r="O261" i="12" s="1"/>
  <c r="G261" i="12" a="1"/>
  <c r="G261" i="12" s="1"/>
  <c r="N261" i="12" a="1"/>
  <c r="N261" i="12" s="1"/>
  <c r="K261" i="12" a="1"/>
  <c r="K261" i="12" s="1"/>
  <c r="H261" i="12" a="1"/>
  <c r="H261" i="12" s="1"/>
  <c r="D262" i="12"/>
  <c r="EP259" i="12"/>
  <c r="FF259" i="12"/>
  <c r="FE259" i="12"/>
  <c r="FG259" i="12" s="1"/>
  <c r="DD259" i="12"/>
  <c r="CK259" i="12"/>
  <c r="AC259" i="12"/>
  <c r="AB259" i="12"/>
  <c r="AD259" i="12" s="1"/>
  <c r="BO259" i="12"/>
  <c r="BN259" i="12"/>
  <c r="BP259" i="12" s="1"/>
  <c r="CH259" i="12"/>
  <c r="CZ259" i="12"/>
  <c r="DB259" i="12" s="1"/>
  <c r="AY259" i="12"/>
  <c r="EL259" i="12"/>
  <c r="EN259" i="12" s="1"/>
  <c r="EM259" i="12"/>
  <c r="DW259" i="12"/>
  <c r="FI259" i="12"/>
  <c r="DA259" i="12"/>
  <c r="DS259" i="12"/>
  <c r="DU259" i="12" s="1"/>
  <c r="CG259" i="12"/>
  <c r="CI259" i="12" s="1"/>
  <c r="AF259" i="12"/>
  <c r="BR259" i="12"/>
  <c r="DT259" i="12"/>
  <c r="AV259" i="12"/>
  <c r="AU259" i="12"/>
  <c r="AW259" i="12" s="1"/>
  <c r="ET257" i="12"/>
  <c r="DX258" i="12"/>
  <c r="DZ258" i="12"/>
  <c r="DY258" i="12"/>
  <c r="AI258" i="12"/>
  <c r="AH258" i="12"/>
  <c r="AG258" i="12"/>
  <c r="M260" i="12"/>
  <c r="P260" i="12" s="1"/>
  <c r="Q260" i="12" s="1"/>
  <c r="EQ258" i="12"/>
  <c r="ER258" i="12"/>
  <c r="ES258" i="12"/>
  <c r="EA257" i="12"/>
  <c r="DE258" i="12"/>
  <c r="DG258" i="12"/>
  <c r="DF258" i="12"/>
  <c r="ET259" i="9" l="1"/>
  <c r="CO258" i="12"/>
  <c r="FM258" i="12"/>
  <c r="BC258" i="12"/>
  <c r="AJ258" i="12"/>
  <c r="EA258" i="12"/>
  <c r="ET258" i="12"/>
  <c r="BV258" i="12"/>
  <c r="AV261" i="9"/>
  <c r="CH261" i="9"/>
  <c r="AU261" i="9"/>
  <c r="AW261" i="9" s="1"/>
  <c r="BN261" i="9"/>
  <c r="BP261" i="9" s="1"/>
  <c r="FF261" i="9"/>
  <c r="CG261" i="9"/>
  <c r="CI261" i="9" s="1"/>
  <c r="BO261" i="9"/>
  <c r="FE261" i="9"/>
  <c r="FG261" i="9" s="1"/>
  <c r="DA261" i="9"/>
  <c r="CZ261" i="9"/>
  <c r="DB261" i="9" s="1"/>
  <c r="EM261" i="9"/>
  <c r="AC261" i="9"/>
  <c r="EL261" i="9"/>
  <c r="EN261" i="9" s="1"/>
  <c r="AB261" i="9"/>
  <c r="AD261" i="9" s="1"/>
  <c r="DS261" i="9"/>
  <c r="DU261" i="9" s="1"/>
  <c r="DT261" i="9"/>
  <c r="AG259" i="12"/>
  <c r="AI259" i="12"/>
  <c r="AH259" i="12"/>
  <c r="EQ260" i="9"/>
  <c r="EP260" i="9"/>
  <c r="ET260" i="9" s="1"/>
  <c r="ER260" i="9"/>
  <c r="ES260" i="9"/>
  <c r="L263" i="9" a="1"/>
  <c r="L263" i="9" s="1"/>
  <c r="K263" i="9" a="1"/>
  <c r="K263" i="9" s="1"/>
  <c r="G263" i="9" a="1"/>
  <c r="G263" i="9" s="1"/>
  <c r="H263" i="9" a="1"/>
  <c r="H263" i="9" s="1"/>
  <c r="J263" i="9" a="1"/>
  <c r="J263" i="9" s="1"/>
  <c r="N263" i="9" a="1"/>
  <c r="N263" i="9" s="1"/>
  <c r="O263" i="9" a="1"/>
  <c r="O263" i="9" s="1"/>
  <c r="D264" i="9"/>
  <c r="DW260" i="9"/>
  <c r="EA260" i="9" s="1"/>
  <c r="DX260" i="9"/>
  <c r="DZ260" i="9"/>
  <c r="DY260" i="9"/>
  <c r="EQ259" i="12"/>
  <c r="ER259" i="12"/>
  <c r="ES259" i="12"/>
  <c r="FI260" i="9"/>
  <c r="FL260" i="9"/>
  <c r="FK260" i="9"/>
  <c r="FJ260" i="9"/>
  <c r="AZ259" i="12"/>
  <c r="BB259" i="12"/>
  <c r="BA259" i="12"/>
  <c r="Z262" i="9"/>
  <c r="AA262" i="9" s="1"/>
  <c r="AE262" i="9" s="1"/>
  <c r="DQ262" i="9"/>
  <c r="DR262" i="9" s="1"/>
  <c r="DV262" i="9" s="1"/>
  <c r="BL262" i="9"/>
  <c r="BM262" i="9" s="1"/>
  <c r="BQ262" i="9" s="1"/>
  <c r="FC262" i="9"/>
  <c r="FD262" i="9" s="1"/>
  <c r="FH262" i="9" s="1"/>
  <c r="CE262" i="9"/>
  <c r="CF262" i="9" s="1"/>
  <c r="CJ262" i="9" s="1"/>
  <c r="CX262" i="9"/>
  <c r="CY262" i="9" s="1"/>
  <c r="DC262" i="9" s="1"/>
  <c r="AS262" i="9"/>
  <c r="AT262" i="9" s="1"/>
  <c r="AX262" i="9" s="1"/>
  <c r="EJ262" i="9"/>
  <c r="EK262" i="9" s="1"/>
  <c r="EO262" i="9" s="1"/>
  <c r="I263" i="9"/>
  <c r="DG260" i="9"/>
  <c r="DF260" i="9"/>
  <c r="DD260" i="9"/>
  <c r="DE260" i="9"/>
  <c r="BU260" i="9"/>
  <c r="BT260" i="9"/>
  <c r="BS260" i="9"/>
  <c r="BR260" i="9"/>
  <c r="FJ259" i="12"/>
  <c r="FL259" i="12"/>
  <c r="FK259" i="12"/>
  <c r="DE259" i="12"/>
  <c r="DG259" i="12"/>
  <c r="DF259" i="12"/>
  <c r="DX259" i="12"/>
  <c r="DZ259" i="12"/>
  <c r="DY259" i="12"/>
  <c r="M261" i="12"/>
  <c r="P261" i="12" s="1"/>
  <c r="Q261" i="12" s="1"/>
  <c r="CL260" i="9"/>
  <c r="CN260" i="9"/>
  <c r="CM260" i="9"/>
  <c r="CK260" i="9"/>
  <c r="CO260" i="9" s="1"/>
  <c r="M262" i="9"/>
  <c r="P262" i="9" s="1"/>
  <c r="Q262" i="9" s="1"/>
  <c r="EP260" i="12"/>
  <c r="FF260" i="12"/>
  <c r="FE260" i="12"/>
  <c r="FG260" i="12" s="1"/>
  <c r="CK260" i="12"/>
  <c r="DD260" i="12"/>
  <c r="BO260" i="12"/>
  <c r="BN260" i="12"/>
  <c r="BP260" i="12" s="1"/>
  <c r="AB260" i="12"/>
  <c r="AD260" i="12" s="1"/>
  <c r="AC260" i="12"/>
  <c r="DS260" i="12"/>
  <c r="DU260" i="12" s="1"/>
  <c r="EM260" i="12"/>
  <c r="DA260" i="12"/>
  <c r="BR260" i="12"/>
  <c r="CH260" i="12"/>
  <c r="EL260" i="12"/>
  <c r="EN260" i="12" s="1"/>
  <c r="FI260" i="12"/>
  <c r="AF260" i="12"/>
  <c r="DW260" i="12"/>
  <c r="DT260" i="12"/>
  <c r="CZ260" i="12"/>
  <c r="DB260" i="12" s="1"/>
  <c r="AY260" i="12"/>
  <c r="CG260" i="12"/>
  <c r="CI260" i="12" s="1"/>
  <c r="AU260" i="12"/>
  <c r="AW260" i="12" s="1"/>
  <c r="AV260" i="12"/>
  <c r="O262" i="12" a="1"/>
  <c r="O262" i="12" s="1"/>
  <c r="K262" i="12" a="1"/>
  <c r="K262" i="12" s="1"/>
  <c r="L262" i="12" a="1"/>
  <c r="L262" i="12" s="1"/>
  <c r="N262" i="12" a="1"/>
  <c r="N262" i="12" s="1"/>
  <c r="J262" i="12" a="1"/>
  <c r="J262" i="12" s="1"/>
  <c r="G262" i="12" a="1"/>
  <c r="G262" i="12" s="1"/>
  <c r="H262" i="12" a="1"/>
  <c r="H262" i="12" s="1"/>
  <c r="D263" i="12"/>
  <c r="CN259" i="12"/>
  <c r="CM259" i="12"/>
  <c r="CL259" i="12"/>
  <c r="DH258" i="12"/>
  <c r="BS259" i="12"/>
  <c r="BT259" i="12"/>
  <c r="BU259" i="12"/>
  <c r="AG260" i="9"/>
  <c r="AI260" i="9"/>
  <c r="AF260" i="9"/>
  <c r="AH260" i="9"/>
  <c r="BA260" i="9"/>
  <c r="AZ260" i="9"/>
  <c r="AY260" i="9"/>
  <c r="BB260" i="9"/>
  <c r="AJ260" i="9" l="1"/>
  <c r="FM260" i="9"/>
  <c r="DH260" i="9"/>
  <c r="BC260" i="9"/>
  <c r="BV260" i="9"/>
  <c r="M262" i="12"/>
  <c r="P262" i="12" s="1"/>
  <c r="Q262" i="12" s="1"/>
  <c r="CO259" i="12"/>
  <c r="M263" i="9"/>
  <c r="P263" i="9" s="1"/>
  <c r="Q263" i="9" s="1"/>
  <c r="BV259" i="12"/>
  <c r="AJ259" i="12"/>
  <c r="BC259" i="12"/>
  <c r="FM259" i="12"/>
  <c r="ET259" i="12"/>
  <c r="DY261" i="9"/>
  <c r="DZ261" i="9"/>
  <c r="DX261" i="9"/>
  <c r="DW261" i="9"/>
  <c r="CL260" i="12"/>
  <c r="CN260" i="12"/>
  <c r="CM260" i="12"/>
  <c r="FI261" i="9"/>
  <c r="FJ261" i="9"/>
  <c r="FL261" i="9"/>
  <c r="FK261" i="9"/>
  <c r="AH261" i="9"/>
  <c r="AG261" i="9"/>
  <c r="AI261" i="9"/>
  <c r="AF261" i="9"/>
  <c r="CK261" i="9"/>
  <c r="CL261" i="9"/>
  <c r="CN261" i="9"/>
  <c r="CM261" i="9"/>
  <c r="DE260" i="12"/>
  <c r="DG260" i="12"/>
  <c r="DF260" i="12"/>
  <c r="FJ260" i="12"/>
  <c r="FL260" i="12"/>
  <c r="FK260" i="12"/>
  <c r="FF261" i="12"/>
  <c r="EP261" i="12"/>
  <c r="FE261" i="12"/>
  <c r="FG261" i="12" s="1"/>
  <c r="CK261" i="12"/>
  <c r="DD261" i="12"/>
  <c r="AB261" i="12"/>
  <c r="AD261" i="12" s="1"/>
  <c r="AC261" i="12"/>
  <c r="BN261" i="12"/>
  <c r="BP261" i="12" s="1"/>
  <c r="BO261" i="12"/>
  <c r="AY261" i="12"/>
  <c r="FI261" i="12"/>
  <c r="CZ261" i="12"/>
  <c r="DB261" i="12" s="1"/>
  <c r="CG261" i="12"/>
  <c r="CI261" i="12" s="1"/>
  <c r="AF261" i="12"/>
  <c r="DA261" i="12"/>
  <c r="CH261" i="12"/>
  <c r="BR261" i="12"/>
  <c r="EL261" i="12"/>
  <c r="EN261" i="12" s="1"/>
  <c r="DT261" i="12"/>
  <c r="DW261" i="12"/>
  <c r="EM261" i="12"/>
  <c r="DS261" i="12"/>
  <c r="DU261" i="12" s="1"/>
  <c r="AV261" i="12"/>
  <c r="AU261" i="12"/>
  <c r="AW261" i="12" s="1"/>
  <c r="ES261" i="9"/>
  <c r="ER261" i="9"/>
  <c r="EP261" i="9"/>
  <c r="EQ261" i="9"/>
  <c r="DX260" i="12"/>
  <c r="DZ260" i="12"/>
  <c r="DY260" i="12"/>
  <c r="EA259" i="12"/>
  <c r="BS261" i="9"/>
  <c r="BU261" i="9"/>
  <c r="BR261" i="9"/>
  <c r="BT261" i="9"/>
  <c r="BA261" i="9"/>
  <c r="BB261" i="9"/>
  <c r="AZ261" i="9"/>
  <c r="AY261" i="9"/>
  <c r="O264" i="9" a="1"/>
  <c r="O264" i="9" s="1"/>
  <c r="G264" i="9" a="1"/>
  <c r="G264" i="9" s="1"/>
  <c r="K264" i="9" a="1"/>
  <c r="K264" i="9" s="1"/>
  <c r="N264" i="9" a="1"/>
  <c r="N264" i="9" s="1"/>
  <c r="H264" i="9" a="1"/>
  <c r="H264" i="9" s="1"/>
  <c r="J264" i="9" a="1"/>
  <c r="J264" i="9" s="1"/>
  <c r="L264" i="9" a="1"/>
  <c r="L264" i="9" s="1"/>
  <c r="D265" i="9"/>
  <c r="L263" i="12" a="1"/>
  <c r="L263" i="12" s="1"/>
  <c r="J263" i="12" a="1"/>
  <c r="J263" i="12" s="1"/>
  <c r="K263" i="12" a="1"/>
  <c r="K263" i="12" s="1"/>
  <c r="G263" i="12" a="1"/>
  <c r="G263" i="12" s="1"/>
  <c r="O263" i="12" a="1"/>
  <c r="O263" i="12" s="1"/>
  <c r="N263" i="12" a="1"/>
  <c r="N263" i="12" s="1"/>
  <c r="H263" i="12" a="1"/>
  <c r="H263" i="12" s="1"/>
  <c r="D264" i="12"/>
  <c r="AG260" i="12"/>
  <c r="AI260" i="12"/>
  <c r="AH260" i="12"/>
  <c r="BO262" i="9"/>
  <c r="AV262" i="9"/>
  <c r="BN262" i="9"/>
  <c r="BP262" i="9" s="1"/>
  <c r="AU262" i="9"/>
  <c r="AW262" i="9" s="1"/>
  <c r="CG262" i="9"/>
  <c r="CI262" i="9" s="1"/>
  <c r="FE262" i="9"/>
  <c r="FG262" i="9" s="1"/>
  <c r="CH262" i="9"/>
  <c r="FF262" i="9"/>
  <c r="EM262" i="9"/>
  <c r="CZ262" i="9"/>
  <c r="DB262" i="9" s="1"/>
  <c r="EL262" i="9"/>
  <c r="EN262" i="9" s="1"/>
  <c r="DA262" i="9"/>
  <c r="AB262" i="9"/>
  <c r="AD262" i="9" s="1"/>
  <c r="AC262" i="9"/>
  <c r="DS262" i="9"/>
  <c r="DU262" i="9" s="1"/>
  <c r="DT262" i="9"/>
  <c r="DG261" i="9"/>
  <c r="DF261" i="9"/>
  <c r="DD261" i="9"/>
  <c r="DH261" i="9" s="1"/>
  <c r="DE261" i="9"/>
  <c r="AZ260" i="12"/>
  <c r="BA260" i="12"/>
  <c r="BB260" i="12"/>
  <c r="EQ260" i="12"/>
  <c r="ER260" i="12"/>
  <c r="ES260" i="12"/>
  <c r="BS260" i="12"/>
  <c r="BU260" i="12"/>
  <c r="BT260" i="12"/>
  <c r="DH259" i="12"/>
  <c r="EJ263" i="9"/>
  <c r="EK263" i="9" s="1"/>
  <c r="EO263" i="9" s="1"/>
  <c r="CE263" i="9"/>
  <c r="CF263" i="9" s="1"/>
  <c r="CJ263" i="9" s="1"/>
  <c r="BL263" i="9"/>
  <c r="BM263" i="9" s="1"/>
  <c r="BQ263" i="9" s="1"/>
  <c r="Z263" i="9"/>
  <c r="AA263" i="9" s="1"/>
  <c r="AE263" i="9" s="1"/>
  <c r="DQ263" i="9"/>
  <c r="DR263" i="9" s="1"/>
  <c r="DV263" i="9" s="1"/>
  <c r="FC263" i="9"/>
  <c r="FD263" i="9" s="1"/>
  <c r="FH263" i="9" s="1"/>
  <c r="AS263" i="9"/>
  <c r="AT263" i="9" s="1"/>
  <c r="AX263" i="9" s="1"/>
  <c r="CX263" i="9"/>
  <c r="CY263" i="9" s="1"/>
  <c r="DC263" i="9" s="1"/>
  <c r="I264" i="9"/>
  <c r="CO261" i="9" l="1"/>
  <c r="FM261" i="9"/>
  <c r="AJ261" i="9"/>
  <c r="BV261" i="9"/>
  <c r="ET261" i="9"/>
  <c r="EA261" i="9"/>
  <c r="BC261" i="9"/>
  <c r="DS263" i="9"/>
  <c r="DU263" i="9" s="1"/>
  <c r="DX263" i="9" s="1"/>
  <c r="FF263" i="9"/>
  <c r="CH263" i="9"/>
  <c r="CO260" i="12"/>
  <c r="EA260" i="12"/>
  <c r="FM260" i="12"/>
  <c r="BC260" i="12"/>
  <c r="BV260" i="12"/>
  <c r="ET260" i="12"/>
  <c r="AJ260" i="12"/>
  <c r="DT263" i="9"/>
  <c r="AG262" i="9"/>
  <c r="AF262" i="9"/>
  <c r="AJ262" i="9" s="1"/>
  <c r="AI262" i="9"/>
  <c r="AH262" i="9"/>
  <c r="BA262" i="9"/>
  <c r="AZ262" i="9"/>
  <c r="BB262" i="9"/>
  <c r="AY262" i="9"/>
  <c r="H264" i="12" a="1"/>
  <c r="H264" i="12" s="1"/>
  <c r="N264" i="12" a="1"/>
  <c r="N264" i="12" s="1"/>
  <c r="K264" i="12" a="1"/>
  <c r="K264" i="12" s="1"/>
  <c r="J264" i="12" a="1"/>
  <c r="J264" i="12" s="1"/>
  <c r="O264" i="12" a="1"/>
  <c r="O264" i="12" s="1"/>
  <c r="G264" i="12" a="1"/>
  <c r="G264" i="12" s="1"/>
  <c r="L264" i="12" a="1"/>
  <c r="L264" i="12" s="1"/>
  <c r="D265" i="12"/>
  <c r="L265" i="9" a="1"/>
  <c r="L265" i="9" s="1"/>
  <c r="H265" i="9" a="1"/>
  <c r="H265" i="9" s="1"/>
  <c r="O265" i="9" a="1"/>
  <c r="O265" i="9" s="1"/>
  <c r="J265" i="9" a="1"/>
  <c r="J265" i="9" s="1"/>
  <c r="G265" i="9" a="1"/>
  <c r="G265" i="9" s="1"/>
  <c r="K265" i="9" a="1"/>
  <c r="K265" i="9" s="1"/>
  <c r="N265" i="9" a="1"/>
  <c r="N265" i="9" s="1"/>
  <c r="D266" i="9"/>
  <c r="BS262" i="9"/>
  <c r="BU262" i="9"/>
  <c r="BR262" i="9"/>
  <c r="BT262" i="9"/>
  <c r="AZ261" i="12"/>
  <c r="BB261" i="12"/>
  <c r="BA261" i="12"/>
  <c r="BS261" i="12"/>
  <c r="BT261" i="12"/>
  <c r="BU261" i="12"/>
  <c r="AC263" i="9"/>
  <c r="AU263" i="9"/>
  <c r="AW263" i="9" s="1"/>
  <c r="EP262" i="9"/>
  <c r="ES262" i="9"/>
  <c r="ER262" i="9"/>
  <c r="EQ262" i="9"/>
  <c r="DF262" i="9"/>
  <c r="DG262" i="9"/>
  <c r="DD262" i="9"/>
  <c r="DE262" i="9"/>
  <c r="M264" i="9"/>
  <c r="P264" i="9" s="1"/>
  <c r="Q264" i="9" s="1"/>
  <c r="EM263" i="9"/>
  <c r="FE263" i="9"/>
  <c r="FG263" i="9" s="1"/>
  <c r="CK262" i="9"/>
  <c r="CM262" i="9"/>
  <c r="CL262" i="9"/>
  <c r="CN262" i="9"/>
  <c r="DX261" i="12"/>
  <c r="DZ261" i="12"/>
  <c r="DY261" i="12"/>
  <c r="AH261" i="12"/>
  <c r="AG261" i="12"/>
  <c r="AI261" i="12"/>
  <c r="CZ263" i="9"/>
  <c r="DB263" i="9" s="1"/>
  <c r="BO263" i="9"/>
  <c r="CL261" i="12"/>
  <c r="CN261" i="12"/>
  <c r="CM261" i="12"/>
  <c r="DH260" i="12"/>
  <c r="DA263" i="9"/>
  <c r="CG263" i="9"/>
  <c r="CI263" i="9" s="1"/>
  <c r="CX264" i="9"/>
  <c r="CY264" i="9" s="1"/>
  <c r="DC264" i="9" s="1"/>
  <c r="EJ264" i="9"/>
  <c r="EK264" i="9" s="1"/>
  <c r="EO264" i="9" s="1"/>
  <c r="AS264" i="9"/>
  <c r="AT264" i="9" s="1"/>
  <c r="AX264" i="9" s="1"/>
  <c r="CE264" i="9"/>
  <c r="CF264" i="9" s="1"/>
  <c r="CJ264" i="9" s="1"/>
  <c r="DQ264" i="9"/>
  <c r="DR264" i="9" s="1"/>
  <c r="DV264" i="9" s="1"/>
  <c r="Z264" i="9"/>
  <c r="AA264" i="9" s="1"/>
  <c r="AE264" i="9" s="1"/>
  <c r="FC264" i="9"/>
  <c r="FD264" i="9" s="1"/>
  <c r="FH264" i="9" s="1"/>
  <c r="BL264" i="9"/>
  <c r="BM264" i="9" s="1"/>
  <c r="BQ264" i="9" s="1"/>
  <c r="I265" i="9"/>
  <c r="DY262" i="9"/>
  <c r="DX262" i="9"/>
  <c r="DW262" i="9"/>
  <c r="EA262" i="9" s="1"/>
  <c r="DZ262" i="9"/>
  <c r="DE261" i="12"/>
  <c r="DG261" i="12"/>
  <c r="DF261" i="12"/>
  <c r="AB263" i="9"/>
  <c r="AD263" i="9" s="1"/>
  <c r="BN263" i="9"/>
  <c r="BP263" i="9" s="1"/>
  <c r="EQ261" i="12"/>
  <c r="ES261" i="12"/>
  <c r="ER261" i="12"/>
  <c r="FK262" i="9"/>
  <c r="FI262" i="9"/>
  <c r="FL262" i="9"/>
  <c r="FJ262" i="9"/>
  <c r="M263" i="12"/>
  <c r="P263" i="12" s="1"/>
  <c r="Q263" i="12" s="1"/>
  <c r="FJ261" i="12"/>
  <c r="FL261" i="12"/>
  <c r="FK261" i="12"/>
  <c r="EL263" i="9"/>
  <c r="EN263" i="9" s="1"/>
  <c r="AV263" i="9"/>
  <c r="EP262" i="12"/>
  <c r="FF262" i="12"/>
  <c r="FE262" i="12"/>
  <c r="FG262" i="12" s="1"/>
  <c r="DD262" i="12"/>
  <c r="CK262" i="12"/>
  <c r="AC262" i="12"/>
  <c r="AB262" i="12"/>
  <c r="AD262" i="12" s="1"/>
  <c r="BO262" i="12"/>
  <c r="BN262" i="12"/>
  <c r="BP262" i="12" s="1"/>
  <c r="AF262" i="12"/>
  <c r="FI262" i="12"/>
  <c r="BR262" i="12"/>
  <c r="DW262" i="12"/>
  <c r="EL262" i="12"/>
  <c r="EN262" i="12" s="1"/>
  <c r="DA262" i="12"/>
  <c r="DS262" i="12"/>
  <c r="DU262" i="12" s="1"/>
  <c r="EM262" i="12"/>
  <c r="CZ262" i="12"/>
  <c r="DB262" i="12" s="1"/>
  <c r="CH262" i="12"/>
  <c r="CG262" i="12"/>
  <c r="CI262" i="12" s="1"/>
  <c r="DT262" i="12"/>
  <c r="AY262" i="12"/>
  <c r="AU262" i="12"/>
  <c r="AW262" i="12" s="1"/>
  <c r="AV262" i="12"/>
  <c r="BC262" i="9" l="1"/>
  <c r="FM262" i="9"/>
  <c r="CO262" i="9"/>
  <c r="DY263" i="9"/>
  <c r="DZ263" i="9"/>
  <c r="DW263" i="9"/>
  <c r="EA263" i="9" s="1"/>
  <c r="ET262" i="9"/>
  <c r="DH262" i="9"/>
  <c r="BV262" i="9"/>
  <c r="EA261" i="12"/>
  <c r="M264" i="12"/>
  <c r="FM261" i="12"/>
  <c r="BC261" i="12"/>
  <c r="AJ261" i="12"/>
  <c r="M265" i="9"/>
  <c r="P265" i="9" s="1"/>
  <c r="Q265" i="9" s="1"/>
  <c r="P264" i="12"/>
  <c r="Q264" i="12" s="1"/>
  <c r="BV261" i="12"/>
  <c r="ET261" i="12"/>
  <c r="FJ262" i="12"/>
  <c r="FK262" i="12"/>
  <c r="FL262" i="12"/>
  <c r="FI263" i="9"/>
  <c r="FM263" i="9" s="1"/>
  <c r="FJ263" i="9"/>
  <c r="FK263" i="9"/>
  <c r="FL263" i="9"/>
  <c r="CL262" i="12"/>
  <c r="CM262" i="12"/>
  <c r="CN262" i="12"/>
  <c r="DE262" i="12"/>
  <c r="DG262" i="12"/>
  <c r="DF262" i="12"/>
  <c r="FF263" i="12"/>
  <c r="FE263" i="12"/>
  <c r="FG263" i="12" s="1"/>
  <c r="EP263" i="12"/>
  <c r="CK263" i="12"/>
  <c r="DD263" i="12"/>
  <c r="BN263" i="12"/>
  <c r="BP263" i="12" s="1"/>
  <c r="AB263" i="12"/>
  <c r="AD263" i="12" s="1"/>
  <c r="AC263" i="12"/>
  <c r="BO263" i="12"/>
  <c r="EM263" i="12"/>
  <c r="AF263" i="12"/>
  <c r="AY263" i="12"/>
  <c r="DW263" i="12"/>
  <c r="DT263" i="12"/>
  <c r="CZ263" i="12"/>
  <c r="DB263" i="12" s="1"/>
  <c r="DS263" i="12"/>
  <c r="DU263" i="12" s="1"/>
  <c r="DA263" i="12"/>
  <c r="CH263" i="12"/>
  <c r="FI263" i="12"/>
  <c r="CG263" i="12"/>
  <c r="CI263" i="12" s="1"/>
  <c r="BR263" i="12"/>
  <c r="EL263" i="12"/>
  <c r="EN263" i="12" s="1"/>
  <c r="AV263" i="12"/>
  <c r="AU263" i="12"/>
  <c r="AW263" i="12" s="1"/>
  <c r="BS263" i="9"/>
  <c r="BR263" i="9"/>
  <c r="BV263" i="9" s="1"/>
  <c r="BU263" i="9"/>
  <c r="BT263" i="9"/>
  <c r="CO261" i="12"/>
  <c r="K266" i="9" a="1"/>
  <c r="K266" i="9" s="1"/>
  <c r="N266" i="9" a="1"/>
  <c r="N266" i="9" s="1"/>
  <c r="H266" i="9" a="1"/>
  <c r="H266" i="9" s="1"/>
  <c r="J266" i="9" a="1"/>
  <c r="J266" i="9" s="1"/>
  <c r="G266" i="9" a="1"/>
  <c r="G266" i="9" s="1"/>
  <c r="O266" i="9" a="1"/>
  <c r="O266" i="9" s="1"/>
  <c r="L266" i="9" a="1"/>
  <c r="L266" i="9" s="1"/>
  <c r="D267" i="9"/>
  <c r="L265" i="12" a="1"/>
  <c r="L265" i="12" s="1"/>
  <c r="G265" i="12" a="1"/>
  <c r="G265" i="12" s="1"/>
  <c r="O265" i="12" a="1"/>
  <c r="O265" i="12" s="1"/>
  <c r="N265" i="12" a="1"/>
  <c r="N265" i="12" s="1"/>
  <c r="H265" i="12" a="1"/>
  <c r="H265" i="12" s="1"/>
  <c r="J265" i="12" a="1"/>
  <c r="J265" i="12" s="1"/>
  <c r="K265" i="12" a="1"/>
  <c r="K265" i="12" s="1"/>
  <c r="D266" i="12"/>
  <c r="EQ262" i="12"/>
  <c r="ES262" i="12"/>
  <c r="ER262" i="12"/>
  <c r="BS262" i="12"/>
  <c r="BU262" i="12"/>
  <c r="BT262" i="12"/>
  <c r="AI263" i="9"/>
  <c r="AH263" i="9"/>
  <c r="AG263" i="9"/>
  <c r="AF263" i="9"/>
  <c r="AJ263" i="9" s="1"/>
  <c r="FE264" i="9"/>
  <c r="FG264" i="9" s="1"/>
  <c r="FF265" i="9" s="1"/>
  <c r="AV264" i="9"/>
  <c r="CG264" i="9"/>
  <c r="CI264" i="9" s="1"/>
  <c r="CG265" i="9" s="1"/>
  <c r="CI265" i="9" s="1"/>
  <c r="BN264" i="9"/>
  <c r="BP264" i="9" s="1"/>
  <c r="BO265" i="9" s="1"/>
  <c r="AU264" i="9"/>
  <c r="AW264" i="9" s="1"/>
  <c r="AV265" i="9" s="1"/>
  <c r="CH264" i="9"/>
  <c r="FF264" i="9"/>
  <c r="BO264" i="9"/>
  <c r="AC264" i="9"/>
  <c r="DA264" i="9"/>
  <c r="EM264" i="9"/>
  <c r="AB264" i="9"/>
  <c r="AD264" i="9" s="1"/>
  <c r="AC265" i="9" s="1"/>
  <c r="CZ264" i="9"/>
  <c r="DB264" i="9" s="1"/>
  <c r="DA265" i="9" s="1"/>
  <c r="EL264" i="9"/>
  <c r="EN264" i="9" s="1"/>
  <c r="DS264" i="9"/>
  <c r="DU264" i="9" s="1"/>
  <c r="DT264" i="9"/>
  <c r="DX262" i="12"/>
  <c r="DZ262" i="12"/>
  <c r="DY262" i="12"/>
  <c r="DH261" i="12"/>
  <c r="Z265" i="9"/>
  <c r="AA265" i="9" s="1"/>
  <c r="AE265" i="9" s="1"/>
  <c r="DQ265" i="9"/>
  <c r="DR265" i="9" s="1"/>
  <c r="DV265" i="9" s="1"/>
  <c r="BL265" i="9"/>
  <c r="BM265" i="9" s="1"/>
  <c r="BQ265" i="9" s="1"/>
  <c r="FC265" i="9"/>
  <c r="FD265" i="9" s="1"/>
  <c r="FH265" i="9" s="1"/>
  <c r="CX265" i="9"/>
  <c r="CY265" i="9" s="1"/>
  <c r="DC265" i="9" s="1"/>
  <c r="AS265" i="9"/>
  <c r="AT265" i="9" s="1"/>
  <c r="AX265" i="9" s="1"/>
  <c r="CE265" i="9"/>
  <c r="CF265" i="9" s="1"/>
  <c r="CJ265" i="9" s="1"/>
  <c r="EJ265" i="9"/>
  <c r="EK265" i="9" s="1"/>
  <c r="EO265" i="9" s="1"/>
  <c r="I266" i="9"/>
  <c r="AZ263" i="9"/>
  <c r="BB263" i="9"/>
  <c r="AY263" i="9"/>
  <c r="BC263" i="9" s="1"/>
  <c r="BA263" i="9"/>
  <c r="AZ262" i="12"/>
  <c r="BA262" i="12"/>
  <c r="BB262" i="12"/>
  <c r="AG262" i="12"/>
  <c r="AI262" i="12"/>
  <c r="AH262" i="12"/>
  <c r="EP263" i="9"/>
  <c r="ET263" i="9" s="1"/>
  <c r="ES263" i="9"/>
  <c r="EQ263" i="9"/>
  <c r="ER263" i="9"/>
  <c r="CN263" i="9"/>
  <c r="CM263" i="9"/>
  <c r="CK263" i="9"/>
  <c r="CL263" i="9"/>
  <c r="DE263" i="9"/>
  <c r="DG263" i="9"/>
  <c r="DD263" i="9"/>
  <c r="DF263" i="9"/>
  <c r="AV264" i="12" l="1"/>
  <c r="DS264" i="12"/>
  <c r="DU264" i="12" s="1"/>
  <c r="DY264" i="12" s="1"/>
  <c r="DA264" i="12"/>
  <c r="AB264" i="12"/>
  <c r="AD264" i="12" s="1"/>
  <c r="AG264" i="12" s="1"/>
  <c r="EL264" i="12"/>
  <c r="EN264" i="12" s="1"/>
  <c r="ES264" i="12" s="1"/>
  <c r="CO263" i="9"/>
  <c r="DH263" i="9"/>
  <c r="DW264" i="12"/>
  <c r="AJ262" i="12"/>
  <c r="AF264" i="12"/>
  <c r="FM262" i="12"/>
  <c r="DD264" i="12"/>
  <c r="EP264" i="12"/>
  <c r="DH262" i="12"/>
  <c r="BC262" i="12"/>
  <c r="BV262" i="12"/>
  <c r="CZ264" i="12"/>
  <c r="DB264" i="12" s="1"/>
  <c r="DT264" i="12"/>
  <c r="AC264" i="12"/>
  <c r="CL265" i="9"/>
  <c r="CK265" i="9"/>
  <c r="CN265" i="9"/>
  <c r="CM265" i="9"/>
  <c r="DX264" i="12"/>
  <c r="DZ264" i="12"/>
  <c r="EQ264" i="12"/>
  <c r="ER264" i="9"/>
  <c r="EP264" i="9"/>
  <c r="ES264" i="9"/>
  <c r="EQ264" i="9"/>
  <c r="G266" i="12" a="1"/>
  <c r="G266" i="12" s="1"/>
  <c r="K266" i="12" a="1"/>
  <c r="K266" i="12" s="1"/>
  <c r="J266" i="12" a="1"/>
  <c r="J266" i="12" s="1"/>
  <c r="N266" i="12" a="1"/>
  <c r="N266" i="12" s="1"/>
  <c r="H266" i="12" a="1"/>
  <c r="H266" i="12" s="1"/>
  <c r="O266" i="12" a="1"/>
  <c r="O266" i="12" s="1"/>
  <c r="L266" i="12" a="1"/>
  <c r="L266" i="12" s="1"/>
  <c r="D267" i="12"/>
  <c r="J267" i="9" a="1"/>
  <c r="J267" i="9" s="1"/>
  <c r="G267" i="9" a="1"/>
  <c r="G267" i="9" s="1"/>
  <c r="L267" i="9" a="1"/>
  <c r="L267" i="9" s="1"/>
  <c r="N267" i="9" a="1"/>
  <c r="N267" i="9" s="1"/>
  <c r="K267" i="9" a="1"/>
  <c r="K267" i="9" s="1"/>
  <c r="H267" i="9" a="1"/>
  <c r="H267" i="9" s="1"/>
  <c r="O267" i="9" a="1"/>
  <c r="O267" i="9" s="1"/>
  <c r="D268" i="9"/>
  <c r="EM265" i="9"/>
  <c r="CM263" i="12"/>
  <c r="CN263" i="12"/>
  <c r="CL263" i="12"/>
  <c r="DE264" i="12"/>
  <c r="DG264" i="12"/>
  <c r="DF264" i="12"/>
  <c r="DZ264" i="9"/>
  <c r="DY264" i="9"/>
  <c r="DX264" i="9"/>
  <c r="DW264" i="9"/>
  <c r="BS263" i="12"/>
  <c r="BU263" i="12"/>
  <c r="BT263" i="12"/>
  <c r="AH264" i="9"/>
  <c r="AF264" i="9"/>
  <c r="AG264" i="9"/>
  <c r="AI264" i="9"/>
  <c r="BS264" i="9"/>
  <c r="BU264" i="9"/>
  <c r="BT264" i="9"/>
  <c r="BR264" i="9"/>
  <c r="BV264" i="9" s="1"/>
  <c r="M265" i="12"/>
  <c r="P265" i="12" s="1"/>
  <c r="Q265" i="12" s="1"/>
  <c r="CG264" i="12"/>
  <c r="CI264" i="12" s="1"/>
  <c r="CK264" i="12"/>
  <c r="EQ263" i="12"/>
  <c r="ES263" i="12"/>
  <c r="ER263" i="12"/>
  <c r="CM264" i="9"/>
  <c r="CL264" i="9"/>
  <c r="CN264" i="9"/>
  <c r="CK264" i="9"/>
  <c r="FJ263" i="12"/>
  <c r="FK263" i="12"/>
  <c r="FL263" i="12"/>
  <c r="EM264" i="12"/>
  <c r="FI264" i="12"/>
  <c r="EL265" i="9"/>
  <c r="EN265" i="9" s="1"/>
  <c r="CH265" i="9"/>
  <c r="BL266" i="9"/>
  <c r="BM266" i="9" s="1"/>
  <c r="BQ266" i="9" s="1"/>
  <c r="EJ266" i="9"/>
  <c r="EK266" i="9" s="1"/>
  <c r="EO266" i="9" s="1"/>
  <c r="FC266" i="9"/>
  <c r="FD266" i="9" s="1"/>
  <c r="FH266" i="9" s="1"/>
  <c r="CX266" i="9"/>
  <c r="CY266" i="9" s="1"/>
  <c r="DC266" i="9" s="1"/>
  <c r="AS266" i="9"/>
  <c r="AT266" i="9" s="1"/>
  <c r="AX266" i="9" s="1"/>
  <c r="Z266" i="9"/>
  <c r="AA266" i="9" s="1"/>
  <c r="AE266" i="9" s="1"/>
  <c r="DQ266" i="9"/>
  <c r="DR266" i="9" s="1"/>
  <c r="DV266" i="9" s="1"/>
  <c r="CE266" i="9"/>
  <c r="CF266" i="9" s="1"/>
  <c r="CJ266" i="9" s="1"/>
  <c r="I267" i="9"/>
  <c r="EA262" i="12"/>
  <c r="M266" i="9"/>
  <c r="P266" i="9" s="1"/>
  <c r="Q266" i="9" s="1"/>
  <c r="AY264" i="12"/>
  <c r="FF264" i="12"/>
  <c r="AB265" i="9"/>
  <c r="AD265" i="9" s="1"/>
  <c r="BN265" i="9"/>
  <c r="BP265" i="9" s="1"/>
  <c r="DE264" i="9"/>
  <c r="DF264" i="9"/>
  <c r="DG264" i="9"/>
  <c r="DD264" i="9"/>
  <c r="FK264" i="9"/>
  <c r="FI264" i="9"/>
  <c r="FL264" i="9"/>
  <c r="FJ264" i="9"/>
  <c r="ET262" i="12"/>
  <c r="BB263" i="12"/>
  <c r="BA263" i="12"/>
  <c r="AZ263" i="12"/>
  <c r="DX263" i="12"/>
  <c r="DZ263" i="12"/>
  <c r="DY263" i="12"/>
  <c r="CO262" i="12"/>
  <c r="CH264" i="12"/>
  <c r="BO264" i="12"/>
  <c r="FE264" i="12"/>
  <c r="FG264" i="12" s="1"/>
  <c r="CZ265" i="9"/>
  <c r="DB265" i="9" s="1"/>
  <c r="FE265" i="9"/>
  <c r="FG265" i="9" s="1"/>
  <c r="DS265" i="9"/>
  <c r="DU265" i="9" s="1"/>
  <c r="AY264" i="9"/>
  <c r="BB264" i="9"/>
  <c r="BA264" i="9"/>
  <c r="AZ264" i="9"/>
  <c r="DE263" i="12"/>
  <c r="DG263" i="12"/>
  <c r="DF263" i="12"/>
  <c r="AG263" i="12"/>
  <c r="AI263" i="12"/>
  <c r="AH263" i="12"/>
  <c r="AU264" i="12"/>
  <c r="AW264" i="12" s="1"/>
  <c r="BR264" i="12"/>
  <c r="BN264" i="12"/>
  <c r="BP264" i="12" s="1"/>
  <c r="DT265" i="9"/>
  <c r="AU265" i="9"/>
  <c r="AW265" i="9" s="1"/>
  <c r="ER264" i="12" l="1"/>
  <c r="AI264" i="12"/>
  <c r="AH264" i="12"/>
  <c r="CO264" i="9"/>
  <c r="CO265" i="9" s="1"/>
  <c r="AJ264" i="9"/>
  <c r="ET264" i="9"/>
  <c r="BC264" i="9"/>
  <c r="FM264" i="9"/>
  <c r="EA264" i="9"/>
  <c r="DH264" i="9"/>
  <c r="DH264" i="12"/>
  <c r="BV263" i="12"/>
  <c r="M266" i="12"/>
  <c r="P266" i="12" s="1"/>
  <c r="Q266" i="12" s="1"/>
  <c r="CO263" i="12"/>
  <c r="BC263" i="12"/>
  <c r="FM263" i="12"/>
  <c r="AJ264" i="12"/>
  <c r="EA263" i="12"/>
  <c r="AJ263" i="12"/>
  <c r="FC267" i="9"/>
  <c r="FD267" i="9" s="1"/>
  <c r="FH267" i="9" s="1"/>
  <c r="AS267" i="9"/>
  <c r="AT267" i="9" s="1"/>
  <c r="AX267" i="9" s="1"/>
  <c r="EJ267" i="9"/>
  <c r="EK267" i="9" s="1"/>
  <c r="EO267" i="9" s="1"/>
  <c r="CX267" i="9"/>
  <c r="CY267" i="9" s="1"/>
  <c r="DC267" i="9" s="1"/>
  <c r="Z267" i="9"/>
  <c r="AA267" i="9" s="1"/>
  <c r="AE267" i="9" s="1"/>
  <c r="CE267" i="9"/>
  <c r="CF267" i="9" s="1"/>
  <c r="CJ267" i="9" s="1"/>
  <c r="DQ267" i="9"/>
  <c r="DR267" i="9" s="1"/>
  <c r="DV267" i="9" s="1"/>
  <c r="BL267" i="9"/>
  <c r="BM267" i="9" s="1"/>
  <c r="BQ267" i="9" s="1"/>
  <c r="I268" i="9"/>
  <c r="CL264" i="12"/>
  <c r="CN264" i="12"/>
  <c r="CM264" i="12"/>
  <c r="BB264" i="12"/>
  <c r="BA264" i="12"/>
  <c r="AZ264" i="12"/>
  <c r="BR265" i="9"/>
  <c r="BV265" i="9" s="1"/>
  <c r="BU265" i="9"/>
  <c r="BT265" i="9"/>
  <c r="BS265" i="9"/>
  <c r="ET264" i="12"/>
  <c r="EA264" i="12"/>
  <c r="AF265" i="9"/>
  <c r="AH265" i="9"/>
  <c r="AI265" i="9"/>
  <c r="AG265" i="9"/>
  <c r="ER265" i="9"/>
  <c r="ES265" i="9"/>
  <c r="EP265" i="9"/>
  <c r="EQ265" i="9"/>
  <c r="DY265" i="9"/>
  <c r="DZ265" i="9"/>
  <c r="DX265" i="9"/>
  <c r="DW265" i="9"/>
  <c r="AZ265" i="9"/>
  <c r="BB265" i="9"/>
  <c r="AY265" i="9"/>
  <c r="BC265" i="9" s="1"/>
  <c r="BA265" i="9"/>
  <c r="DH263" i="12"/>
  <c r="FJ265" i="9"/>
  <c r="FI265" i="9"/>
  <c r="FL265" i="9"/>
  <c r="FK265" i="9"/>
  <c r="ET263" i="12"/>
  <c r="M267" i="9"/>
  <c r="P267" i="9" s="1"/>
  <c r="Q267" i="9" s="1"/>
  <c r="DF265" i="9"/>
  <c r="DD265" i="9"/>
  <c r="DE265" i="9"/>
  <c r="DG265" i="9"/>
  <c r="AU266" i="9"/>
  <c r="AW266" i="9" s="1"/>
  <c r="BN266" i="9"/>
  <c r="BP266" i="9" s="1"/>
  <c r="FE266" i="9"/>
  <c r="FG266" i="9" s="1"/>
  <c r="CG266" i="9"/>
  <c r="CI266" i="9" s="1"/>
  <c r="AV266" i="9"/>
  <c r="BO266" i="9"/>
  <c r="FF266" i="9"/>
  <c r="CH266" i="9"/>
  <c r="DA266" i="9"/>
  <c r="CZ266" i="9"/>
  <c r="DB266" i="9" s="1"/>
  <c r="AB266" i="9"/>
  <c r="AD266" i="9" s="1"/>
  <c r="EM266" i="9"/>
  <c r="AC266" i="9"/>
  <c r="EL266" i="9"/>
  <c r="EN266" i="9" s="1"/>
  <c r="DT266" i="9"/>
  <c r="DS266" i="9"/>
  <c r="DU266" i="9" s="1"/>
  <c r="L268" i="9" a="1"/>
  <c r="L268" i="9" s="1"/>
  <c r="O268" i="9" a="1"/>
  <c r="O268" i="9" s="1"/>
  <c r="J268" i="9" a="1"/>
  <c r="J268" i="9" s="1"/>
  <c r="G268" i="9" a="1"/>
  <c r="G268" i="9" s="1"/>
  <c r="H268" i="9" a="1"/>
  <c r="H268" i="9" s="1"/>
  <c r="N268" i="9" a="1"/>
  <c r="N268" i="9" s="1"/>
  <c r="K268" i="9" a="1"/>
  <c r="K268" i="9" s="1"/>
  <c r="D269" i="9"/>
  <c r="L267" i="12" a="1"/>
  <c r="L267" i="12" s="1"/>
  <c r="J267" i="12" a="1"/>
  <c r="J267" i="12" s="1"/>
  <c r="G267" i="12" a="1"/>
  <c r="G267" i="12" s="1"/>
  <c r="N267" i="12" a="1"/>
  <c r="N267" i="12" s="1"/>
  <c r="K267" i="12" a="1"/>
  <c r="K267" i="12" s="1"/>
  <c r="H267" i="12" a="1"/>
  <c r="H267" i="12" s="1"/>
  <c r="O267" i="12" a="1"/>
  <c r="O267" i="12" s="1"/>
  <c r="D268" i="12"/>
  <c r="BS264" i="12"/>
  <c r="BT264" i="12"/>
  <c r="BU264" i="12"/>
  <c r="FJ264" i="12"/>
  <c r="FK264" i="12"/>
  <c r="FL264" i="12"/>
  <c r="FE265" i="12"/>
  <c r="FG265" i="12" s="1"/>
  <c r="EP265" i="12"/>
  <c r="FF265" i="12"/>
  <c r="DD265" i="12"/>
  <c r="CK265" i="12"/>
  <c r="BO265" i="12"/>
  <c r="AC265" i="12"/>
  <c r="BN265" i="12"/>
  <c r="BP265" i="12" s="1"/>
  <c r="AB265" i="12"/>
  <c r="AD265" i="12" s="1"/>
  <c r="AF265" i="12"/>
  <c r="CZ265" i="12"/>
  <c r="DB265" i="12" s="1"/>
  <c r="DT265" i="12"/>
  <c r="EM265" i="12"/>
  <c r="FI265" i="12"/>
  <c r="CG265" i="12"/>
  <c r="CI265" i="12" s="1"/>
  <c r="DA265" i="12"/>
  <c r="DS265" i="12"/>
  <c r="DU265" i="12" s="1"/>
  <c r="CH265" i="12"/>
  <c r="BR265" i="12"/>
  <c r="AY265" i="12"/>
  <c r="EL265" i="12"/>
  <c r="EN265" i="12" s="1"/>
  <c r="DW265" i="12"/>
  <c r="AU265" i="12"/>
  <c r="AW265" i="12" s="1"/>
  <c r="AV265" i="12"/>
  <c r="FM265" i="9" l="1"/>
  <c r="EA265" i="9"/>
  <c r="DH265" i="9"/>
  <c r="AJ265" i="9"/>
  <c r="ET265" i="9"/>
  <c r="AC267" i="9"/>
  <c r="AV267" i="9"/>
  <c r="CZ267" i="9"/>
  <c r="DB267" i="9" s="1"/>
  <c r="DG267" i="9" s="1"/>
  <c r="AU267" i="9"/>
  <c r="AW267" i="9" s="1"/>
  <c r="BB267" i="9" s="1"/>
  <c r="EL267" i="9"/>
  <c r="EN267" i="9" s="1"/>
  <c r="AB267" i="9"/>
  <c r="AD267" i="9" s="1"/>
  <c r="BN267" i="9"/>
  <c r="BP267" i="9" s="1"/>
  <c r="BS267" i="9" s="1"/>
  <c r="FE267" i="9"/>
  <c r="FG267" i="9" s="1"/>
  <c r="FJ267" i="9" s="1"/>
  <c r="BO267" i="9"/>
  <c r="FF267" i="9"/>
  <c r="DA267" i="9"/>
  <c r="DT267" i="9"/>
  <c r="EM267" i="9"/>
  <c r="BC264" i="12"/>
  <c r="M268" i="9"/>
  <c r="P268" i="9" s="1"/>
  <c r="Q268" i="9" s="1"/>
  <c r="FM264" i="12"/>
  <c r="CO264" i="12"/>
  <c r="DS267" i="9"/>
  <c r="DU267" i="9" s="1"/>
  <c r="DW267" i="9" s="1"/>
  <c r="BV264" i="12"/>
  <c r="AH266" i="9"/>
  <c r="AG266" i="9"/>
  <c r="AF266" i="9"/>
  <c r="AI266" i="9"/>
  <c r="FK266" i="9"/>
  <c r="FI266" i="9"/>
  <c r="FM266" i="9" s="1"/>
  <c r="FJ266" i="9"/>
  <c r="FL266" i="9"/>
  <c r="CM266" i="9"/>
  <c r="CK266" i="9"/>
  <c r="CN266" i="9"/>
  <c r="CL266" i="9"/>
  <c r="M267" i="12"/>
  <c r="P267" i="12" s="1"/>
  <c r="Q267" i="12" s="1"/>
  <c r="DG266" i="9"/>
  <c r="DF266" i="9"/>
  <c r="DD266" i="9"/>
  <c r="DE266" i="9"/>
  <c r="BS266" i="9"/>
  <c r="BR266" i="9"/>
  <c r="BV266" i="9" s="1"/>
  <c r="BU266" i="9"/>
  <c r="BT266" i="9"/>
  <c r="FE266" i="12"/>
  <c r="FG266" i="12" s="1"/>
  <c r="EP266" i="12"/>
  <c r="FF266" i="12"/>
  <c r="CK266" i="12"/>
  <c r="DD266" i="12"/>
  <c r="BN266" i="12"/>
  <c r="BP266" i="12" s="1"/>
  <c r="AB266" i="12"/>
  <c r="AD266" i="12" s="1"/>
  <c r="AC266" i="12"/>
  <c r="BO266" i="12"/>
  <c r="CG266" i="12"/>
  <c r="CI266" i="12" s="1"/>
  <c r="FI266" i="12"/>
  <c r="BR266" i="12"/>
  <c r="AY266" i="12"/>
  <c r="CZ266" i="12"/>
  <c r="DB266" i="12" s="1"/>
  <c r="DW266" i="12"/>
  <c r="DA266" i="12"/>
  <c r="AF266" i="12"/>
  <c r="DS266" i="12"/>
  <c r="DU266" i="12" s="1"/>
  <c r="EM266" i="12"/>
  <c r="CH266" i="12"/>
  <c r="DT266" i="12"/>
  <c r="EL266" i="12"/>
  <c r="EN266" i="12" s="1"/>
  <c r="AV266" i="12"/>
  <c r="AU266" i="12"/>
  <c r="AW266" i="12" s="1"/>
  <c r="EQ265" i="12"/>
  <c r="ES265" i="12"/>
  <c r="ER265" i="12"/>
  <c r="DE265" i="12"/>
  <c r="DG265" i="12"/>
  <c r="DF265" i="12"/>
  <c r="AZ266" i="9"/>
  <c r="BA266" i="9"/>
  <c r="AY266" i="9"/>
  <c r="BB266" i="9"/>
  <c r="CH267" i="9"/>
  <c r="G268" i="12" a="1"/>
  <c r="G268" i="12" s="1"/>
  <c r="K268" i="12" a="1"/>
  <c r="K268" i="12" s="1"/>
  <c r="J268" i="12" a="1"/>
  <c r="J268" i="12" s="1"/>
  <c r="N268" i="12" a="1"/>
  <c r="N268" i="12" s="1"/>
  <c r="H268" i="12" a="1"/>
  <c r="H268" i="12" s="1"/>
  <c r="L268" i="12" a="1"/>
  <c r="L268" i="12" s="1"/>
  <c r="O268" i="12" a="1"/>
  <c r="O268" i="12" s="1"/>
  <c r="D269" i="12"/>
  <c r="L269" i="9" a="1"/>
  <c r="L269" i="9" s="1"/>
  <c r="K269" i="9" a="1"/>
  <c r="K269" i="9" s="1"/>
  <c r="O269" i="9" a="1"/>
  <c r="O269" i="9" s="1"/>
  <c r="J269" i="9" a="1"/>
  <c r="J269" i="9" s="1"/>
  <c r="G269" i="9" a="1"/>
  <c r="G269" i="9" s="1"/>
  <c r="N269" i="9" a="1"/>
  <c r="N269" i="9" s="1"/>
  <c r="H269" i="9" a="1"/>
  <c r="H269" i="9" s="1"/>
  <c r="D270" i="9"/>
  <c r="DW266" i="9"/>
  <c r="DX266" i="9"/>
  <c r="DY266" i="9"/>
  <c r="DZ266" i="9"/>
  <c r="AH267" i="9"/>
  <c r="AF267" i="9"/>
  <c r="AI267" i="9"/>
  <c r="AG267" i="9"/>
  <c r="EP267" i="9"/>
  <c r="ES267" i="9"/>
  <c r="EQ267" i="9"/>
  <c r="ER267" i="9"/>
  <c r="CG267" i="9"/>
  <c r="CI267" i="9" s="1"/>
  <c r="DX265" i="12"/>
  <c r="DY265" i="12"/>
  <c r="DZ265" i="12"/>
  <c r="AG265" i="12"/>
  <c r="AI265" i="12"/>
  <c r="AH265" i="12"/>
  <c r="FJ265" i="12"/>
  <c r="FL265" i="12"/>
  <c r="FK265" i="12"/>
  <c r="BS265" i="12"/>
  <c r="BU265" i="12"/>
  <c r="BT265" i="12"/>
  <c r="ES266" i="9"/>
  <c r="ER266" i="9"/>
  <c r="EP266" i="9"/>
  <c r="EQ266" i="9"/>
  <c r="BB265" i="12"/>
  <c r="BA265" i="12"/>
  <c r="AZ265" i="12"/>
  <c r="CL265" i="12"/>
  <c r="CN265" i="12"/>
  <c r="CM265" i="12"/>
  <c r="Z268" i="9"/>
  <c r="AA268" i="9" s="1"/>
  <c r="AE268" i="9" s="1"/>
  <c r="DQ268" i="9"/>
  <c r="DR268" i="9" s="1"/>
  <c r="DV268" i="9" s="1"/>
  <c r="FC268" i="9"/>
  <c r="FD268" i="9" s="1"/>
  <c r="FH268" i="9" s="1"/>
  <c r="AS268" i="9"/>
  <c r="AT268" i="9" s="1"/>
  <c r="AX268" i="9" s="1"/>
  <c r="EJ268" i="9"/>
  <c r="EK268" i="9" s="1"/>
  <c r="EO268" i="9" s="1"/>
  <c r="BL268" i="9"/>
  <c r="BM268" i="9" s="1"/>
  <c r="BQ268" i="9" s="1"/>
  <c r="CE268" i="9"/>
  <c r="CF268" i="9" s="1"/>
  <c r="CJ268" i="9" s="1"/>
  <c r="CX268" i="9"/>
  <c r="CY268" i="9" s="1"/>
  <c r="DC268" i="9" s="1"/>
  <c r="I269" i="9"/>
  <c r="DE267" i="9" l="1"/>
  <c r="DD267" i="9"/>
  <c r="DF267" i="9"/>
  <c r="BA267" i="9"/>
  <c r="AZ267" i="9"/>
  <c r="AY267" i="9"/>
  <c r="BC266" i="9"/>
  <c r="BC267" i="9" s="1"/>
  <c r="EA266" i="9"/>
  <c r="ET266" i="9"/>
  <c r="ET267" i="9" s="1"/>
  <c r="DH266" i="9"/>
  <c r="DH267" i="9" s="1"/>
  <c r="AJ266" i="9"/>
  <c r="AJ267" i="9" s="1"/>
  <c r="CO266" i="9"/>
  <c r="CO267" i="9" s="1"/>
  <c r="BV265" i="12"/>
  <c r="BT267" i="9"/>
  <c r="BR267" i="9"/>
  <c r="BV267" i="9" s="1"/>
  <c r="BU267" i="9"/>
  <c r="FK267" i="9"/>
  <c r="FL267" i="9"/>
  <c r="FI267" i="9"/>
  <c r="FM267" i="9" s="1"/>
  <c r="DY267" i="9"/>
  <c r="DX267" i="9"/>
  <c r="DZ267" i="9"/>
  <c r="M268" i="12"/>
  <c r="BC265" i="12"/>
  <c r="AJ265" i="12"/>
  <c r="FM265" i="12"/>
  <c r="N270" i="9" a="1"/>
  <c r="N270" i="9" s="1"/>
  <c r="O270" i="9" a="1"/>
  <c r="O270" i="9" s="1"/>
  <c r="K270" i="9" a="1"/>
  <c r="K270" i="9" s="1"/>
  <c r="G270" i="9" a="1"/>
  <c r="G270" i="9" s="1"/>
  <c r="L270" i="9" a="1"/>
  <c r="L270" i="9" s="1"/>
  <c r="J270" i="9" a="1"/>
  <c r="J270" i="9" s="1"/>
  <c r="H270" i="9" a="1"/>
  <c r="H270" i="9" s="1"/>
  <c r="D271" i="9"/>
  <c r="O269" i="12" a="1"/>
  <c r="O269" i="12" s="1"/>
  <c r="K269" i="12" a="1"/>
  <c r="K269" i="12" s="1"/>
  <c r="G269" i="12" a="1"/>
  <c r="G269" i="12" s="1"/>
  <c r="N269" i="12" a="1"/>
  <c r="N269" i="12" s="1"/>
  <c r="H269" i="12" a="1"/>
  <c r="H269" i="12" s="1"/>
  <c r="J269" i="12" a="1"/>
  <c r="J269" i="12" s="1"/>
  <c r="L269" i="12" a="1"/>
  <c r="L269" i="12" s="1"/>
  <c r="D270" i="12"/>
  <c r="DX266" i="12"/>
  <c r="DY266" i="12"/>
  <c r="DZ266" i="12"/>
  <c r="CL266" i="12"/>
  <c r="CM266" i="12"/>
  <c r="CN266" i="12"/>
  <c r="EA265" i="12"/>
  <c r="FJ266" i="12"/>
  <c r="FK266" i="12"/>
  <c r="FL266" i="12"/>
  <c r="CH268" i="9"/>
  <c r="AU268" i="9"/>
  <c r="AW268" i="9" s="1"/>
  <c r="CG268" i="9"/>
  <c r="CI268" i="9" s="1"/>
  <c r="AV268" i="9"/>
  <c r="BN268" i="9"/>
  <c r="BP268" i="9" s="1"/>
  <c r="FE268" i="9"/>
  <c r="FG268" i="9" s="1"/>
  <c r="BO268" i="9"/>
  <c r="FF268" i="9"/>
  <c r="EM268" i="9"/>
  <c r="CZ268" i="9"/>
  <c r="DB268" i="9" s="1"/>
  <c r="EL268" i="9"/>
  <c r="EN268" i="9" s="1"/>
  <c r="AC268" i="9"/>
  <c r="AB268" i="9"/>
  <c r="AD268" i="9" s="1"/>
  <c r="DA268" i="9"/>
  <c r="DS268" i="9"/>
  <c r="DU268" i="9" s="1"/>
  <c r="DT268" i="9"/>
  <c r="BA266" i="12"/>
  <c r="BB266" i="12"/>
  <c r="AZ266" i="12"/>
  <c r="EP267" i="12"/>
  <c r="FE267" i="12"/>
  <c r="FG267" i="12" s="1"/>
  <c r="FF267" i="12"/>
  <c r="DD267" i="12"/>
  <c r="CK267" i="12"/>
  <c r="AC267" i="12"/>
  <c r="AB267" i="12"/>
  <c r="AD267" i="12" s="1"/>
  <c r="BO267" i="12"/>
  <c r="BN267" i="12"/>
  <c r="BP267" i="12" s="1"/>
  <c r="AY267" i="12"/>
  <c r="EM267" i="12"/>
  <c r="BR267" i="12"/>
  <c r="DT267" i="12"/>
  <c r="CZ267" i="12"/>
  <c r="DB267" i="12" s="1"/>
  <c r="DS267" i="12"/>
  <c r="DU267" i="12" s="1"/>
  <c r="DA267" i="12"/>
  <c r="FI267" i="12"/>
  <c r="CH267" i="12"/>
  <c r="DW267" i="12"/>
  <c r="CG267" i="12"/>
  <c r="CI267" i="12" s="1"/>
  <c r="AF267" i="12"/>
  <c r="EL267" i="12"/>
  <c r="EN267" i="12" s="1"/>
  <c r="AV267" i="12"/>
  <c r="AU267" i="12"/>
  <c r="AW267" i="12" s="1"/>
  <c r="BL269" i="9"/>
  <c r="BM269" i="9" s="1"/>
  <c r="BQ269" i="9" s="1"/>
  <c r="CE269" i="9"/>
  <c r="CF269" i="9" s="1"/>
  <c r="CJ269" i="9" s="1"/>
  <c r="EJ269" i="9"/>
  <c r="EK269" i="9" s="1"/>
  <c r="EO269" i="9" s="1"/>
  <c r="AS269" i="9"/>
  <c r="AT269" i="9" s="1"/>
  <c r="AX269" i="9" s="1"/>
  <c r="CX269" i="9"/>
  <c r="CY269" i="9" s="1"/>
  <c r="DC269" i="9" s="1"/>
  <c r="Z269" i="9"/>
  <c r="AA269" i="9" s="1"/>
  <c r="AE269" i="9" s="1"/>
  <c r="DQ269" i="9"/>
  <c r="DR269" i="9" s="1"/>
  <c r="DV269" i="9" s="1"/>
  <c r="FC269" i="9"/>
  <c r="FD269" i="9" s="1"/>
  <c r="FH269" i="9" s="1"/>
  <c r="I270" i="9"/>
  <c r="CK267" i="9"/>
  <c r="CM267" i="9"/>
  <c r="CL267" i="9"/>
  <c r="CN267" i="9"/>
  <c r="DH265" i="12"/>
  <c r="AG266" i="12"/>
  <c r="AI266" i="12"/>
  <c r="AH266" i="12"/>
  <c r="M269" i="9"/>
  <c r="P269" i="9" s="1"/>
  <c r="Q269" i="9" s="1"/>
  <c r="P268" i="12"/>
  <c r="Q268" i="12" s="1"/>
  <c r="EQ266" i="12"/>
  <c r="ER266" i="12"/>
  <c r="ES266" i="12"/>
  <c r="DE266" i="12"/>
  <c r="DG266" i="12"/>
  <c r="DF266" i="12"/>
  <c r="BS266" i="12"/>
  <c r="BT266" i="12"/>
  <c r="BU266" i="12"/>
  <c r="CO265" i="12"/>
  <c r="ET265" i="12"/>
  <c r="EA267" i="9" l="1"/>
  <c r="CO266" i="12"/>
  <c r="ET266" i="12"/>
  <c r="M269" i="12"/>
  <c r="M270" i="9"/>
  <c r="P270" i="9" s="1"/>
  <c r="Q270" i="9" s="1"/>
  <c r="FM266" i="12"/>
  <c r="BV266" i="12"/>
  <c r="AJ266" i="12"/>
  <c r="BC266" i="12"/>
  <c r="DH266" i="12"/>
  <c r="AZ267" i="12"/>
  <c r="BA267" i="12"/>
  <c r="BB267" i="12"/>
  <c r="EQ268" i="9"/>
  <c r="EP268" i="9"/>
  <c r="ER268" i="9"/>
  <c r="ES268" i="9"/>
  <c r="CN268" i="9"/>
  <c r="CK268" i="9"/>
  <c r="CM268" i="9"/>
  <c r="CL268" i="9"/>
  <c r="L271" i="9" a="1"/>
  <c r="L271" i="9" s="1"/>
  <c r="K271" i="9" a="1"/>
  <c r="K271" i="9" s="1"/>
  <c r="H271" i="9" a="1"/>
  <c r="H271" i="9" s="1"/>
  <c r="N271" i="9" a="1"/>
  <c r="N271" i="9" s="1"/>
  <c r="O271" i="9" a="1"/>
  <c r="O271" i="9" s="1"/>
  <c r="J271" i="9" a="1"/>
  <c r="J271" i="9" s="1"/>
  <c r="G271" i="9" a="1"/>
  <c r="G271" i="9" s="1"/>
  <c r="D272" i="9"/>
  <c r="DX267" i="12"/>
  <c r="DZ267" i="12"/>
  <c r="DY267" i="12"/>
  <c r="AI267" i="12"/>
  <c r="AH267" i="12"/>
  <c r="AG267" i="12"/>
  <c r="DE268" i="9"/>
  <c r="DD268" i="9"/>
  <c r="DF268" i="9"/>
  <c r="DG268" i="9"/>
  <c r="BB268" i="9"/>
  <c r="BA268" i="9"/>
  <c r="AZ268" i="9"/>
  <c r="AY268" i="9"/>
  <c r="EQ267" i="12"/>
  <c r="ES267" i="12"/>
  <c r="ER267" i="12"/>
  <c r="DE267" i="12"/>
  <c r="DG267" i="12"/>
  <c r="DF267" i="12"/>
  <c r="L270" i="12" a="1"/>
  <c r="L270" i="12" s="1"/>
  <c r="G270" i="12" a="1"/>
  <c r="G270" i="12" s="1"/>
  <c r="O270" i="12" a="1"/>
  <c r="O270" i="12" s="1"/>
  <c r="J270" i="12" a="1"/>
  <c r="J270" i="12" s="1"/>
  <c r="K270" i="12" a="1"/>
  <c r="K270" i="12" s="1"/>
  <c r="N270" i="12" a="1"/>
  <c r="N270" i="12" s="1"/>
  <c r="H270" i="12" a="1"/>
  <c r="H270" i="12" s="1"/>
  <c r="D271" i="12"/>
  <c r="P269" i="12"/>
  <c r="Q269" i="12" s="1"/>
  <c r="BS267" i="12"/>
  <c r="BU267" i="12"/>
  <c r="BT267" i="12"/>
  <c r="CL267" i="12"/>
  <c r="CM267" i="12"/>
  <c r="CN267" i="12"/>
  <c r="DX268" i="9"/>
  <c r="DZ268" i="9"/>
  <c r="DY268" i="9"/>
  <c r="DW268" i="9"/>
  <c r="EP268" i="12"/>
  <c r="FE268" i="12"/>
  <c r="FG268" i="12" s="1"/>
  <c r="FF268" i="12"/>
  <c r="DD268" i="12"/>
  <c r="CK268" i="12"/>
  <c r="AB268" i="12"/>
  <c r="AD268" i="12" s="1"/>
  <c r="BN268" i="12"/>
  <c r="BP268" i="12" s="1"/>
  <c r="AC268" i="12"/>
  <c r="BO268" i="12"/>
  <c r="AY268" i="12"/>
  <c r="DA268" i="12"/>
  <c r="DT268" i="12"/>
  <c r="FI268" i="12"/>
  <c r="CH268" i="12"/>
  <c r="EL268" i="12"/>
  <c r="EN268" i="12" s="1"/>
  <c r="CG268" i="12"/>
  <c r="CI268" i="12" s="1"/>
  <c r="BR268" i="12"/>
  <c r="AF268" i="12"/>
  <c r="DW268" i="12"/>
  <c r="CZ268" i="12"/>
  <c r="DB268" i="12" s="1"/>
  <c r="DS268" i="12"/>
  <c r="DU268" i="12" s="1"/>
  <c r="EM268" i="12"/>
  <c r="AV268" i="12"/>
  <c r="AU268" i="12"/>
  <c r="AW268" i="12" s="1"/>
  <c r="FK268" i="9"/>
  <c r="FJ268" i="9"/>
  <c r="FI268" i="9"/>
  <c r="FL268" i="9"/>
  <c r="EA266" i="12"/>
  <c r="CE270" i="9"/>
  <c r="CF270" i="9" s="1"/>
  <c r="CJ270" i="9" s="1"/>
  <c r="Z270" i="9"/>
  <c r="AA270" i="9" s="1"/>
  <c r="AE270" i="9" s="1"/>
  <c r="BL270" i="9"/>
  <c r="BM270" i="9" s="1"/>
  <c r="BQ270" i="9" s="1"/>
  <c r="DQ270" i="9"/>
  <c r="DR270" i="9" s="1"/>
  <c r="DV270" i="9" s="1"/>
  <c r="AS270" i="9"/>
  <c r="AT270" i="9" s="1"/>
  <c r="AX270" i="9" s="1"/>
  <c r="FC270" i="9"/>
  <c r="FD270" i="9" s="1"/>
  <c r="FH270" i="9" s="1"/>
  <c r="CX270" i="9"/>
  <c r="CY270" i="9" s="1"/>
  <c r="DC270" i="9" s="1"/>
  <c r="EJ270" i="9"/>
  <c r="EK270" i="9" s="1"/>
  <c r="EO270" i="9" s="1"/>
  <c r="I271" i="9"/>
  <c r="BN269" i="9"/>
  <c r="BP269" i="9" s="1"/>
  <c r="FE269" i="9"/>
  <c r="FG269" i="9" s="1"/>
  <c r="AU269" i="9"/>
  <c r="AW269" i="9" s="1"/>
  <c r="CH269" i="9"/>
  <c r="FF269" i="9"/>
  <c r="BO269" i="9"/>
  <c r="AV269" i="9"/>
  <c r="CG269" i="9"/>
  <c r="CI269" i="9" s="1"/>
  <c r="DA269" i="9"/>
  <c r="EM269" i="9"/>
  <c r="AC269" i="9"/>
  <c r="CZ269" i="9"/>
  <c r="DB269" i="9" s="1"/>
  <c r="EL269" i="9"/>
  <c r="EN269" i="9" s="1"/>
  <c r="AB269" i="9"/>
  <c r="AD269" i="9" s="1"/>
  <c r="DT269" i="9"/>
  <c r="DS269" i="9"/>
  <c r="DU269" i="9" s="1"/>
  <c r="FJ267" i="12"/>
  <c r="FK267" i="12"/>
  <c r="FL267" i="12"/>
  <c r="AF268" i="9"/>
  <c r="AI268" i="9"/>
  <c r="AG268" i="9"/>
  <c r="AH268" i="9"/>
  <c r="BS268" i="9"/>
  <c r="BU268" i="9"/>
  <c r="BR268" i="9"/>
  <c r="BV268" i="9" s="1"/>
  <c r="BT268" i="9"/>
  <c r="FM268" i="9" l="1"/>
  <c r="AJ268" i="9"/>
  <c r="DH268" i="9"/>
  <c r="EA268" i="9"/>
  <c r="BC268" i="9"/>
  <c r="CO268" i="9"/>
  <c r="ET268" i="9"/>
  <c r="EM270" i="9"/>
  <c r="BO270" i="9"/>
  <c r="AC270" i="9"/>
  <c r="DA270" i="9"/>
  <c r="FF270" i="9"/>
  <c r="CH270" i="9"/>
  <c r="BC267" i="12"/>
  <c r="ET267" i="12"/>
  <c r="FM267" i="12"/>
  <c r="EA267" i="12"/>
  <c r="BV267" i="12"/>
  <c r="AJ267" i="12"/>
  <c r="FJ268" i="12"/>
  <c r="FK268" i="12"/>
  <c r="FL268" i="12"/>
  <c r="DH267" i="12"/>
  <c r="AB270" i="9"/>
  <c r="AD270" i="9" s="1"/>
  <c r="CG270" i="9"/>
  <c r="CI270" i="9" s="1"/>
  <c r="BB269" i="9"/>
  <c r="BA269" i="9"/>
  <c r="AY269" i="9"/>
  <c r="AZ269" i="9"/>
  <c r="CO267" i="12"/>
  <c r="ER269" i="9"/>
  <c r="EQ269" i="9"/>
  <c r="EP269" i="9"/>
  <c r="ES269" i="9"/>
  <c r="BB268" i="12"/>
  <c r="BA268" i="12"/>
  <c r="AZ268" i="12"/>
  <c r="BC268" i="12" s="1"/>
  <c r="CL268" i="12"/>
  <c r="CN268" i="12"/>
  <c r="CM268" i="12"/>
  <c r="CZ270" i="9"/>
  <c r="DB270" i="9" s="1"/>
  <c r="FK269" i="9"/>
  <c r="FI269" i="9"/>
  <c r="FL269" i="9"/>
  <c r="FJ269" i="9"/>
  <c r="BT269" i="9"/>
  <c r="BU269" i="9"/>
  <c r="BS269" i="9"/>
  <c r="BR269" i="9"/>
  <c r="EQ268" i="12"/>
  <c r="ES268" i="12"/>
  <c r="ER268" i="12"/>
  <c r="BS268" i="12"/>
  <c r="BU268" i="12"/>
  <c r="BT268" i="12"/>
  <c r="M270" i="12"/>
  <c r="P270" i="12" s="1"/>
  <c r="Q270" i="12" s="1"/>
  <c r="BN270" i="9"/>
  <c r="BP270" i="9" s="1"/>
  <c r="N272" i="9" a="1"/>
  <c r="N272" i="9" s="1"/>
  <c r="K272" i="9" a="1"/>
  <c r="K272" i="9" s="1"/>
  <c r="O272" i="9" a="1"/>
  <c r="O272" i="9" s="1"/>
  <c r="H272" i="9" a="1"/>
  <c r="H272" i="9" s="1"/>
  <c r="G272" i="9" a="1"/>
  <c r="G272" i="9" s="1"/>
  <c r="L272" i="9" a="1"/>
  <c r="L272" i="9" s="1"/>
  <c r="D273" i="9"/>
  <c r="J272" i="9" a="1"/>
  <c r="J272" i="9" s="1"/>
  <c r="DW269" i="9"/>
  <c r="DX269" i="9"/>
  <c r="DZ269" i="9"/>
  <c r="DY269" i="9"/>
  <c r="CN269" i="9"/>
  <c r="CM269" i="9"/>
  <c r="CL269" i="9"/>
  <c r="CK269" i="9"/>
  <c r="CX271" i="9"/>
  <c r="CY271" i="9" s="1"/>
  <c r="DC271" i="9" s="1"/>
  <c r="AS271" i="9"/>
  <c r="AT271" i="9" s="1"/>
  <c r="AX271" i="9" s="1"/>
  <c r="EJ271" i="9"/>
  <c r="EK271" i="9" s="1"/>
  <c r="EO271" i="9" s="1"/>
  <c r="Z271" i="9"/>
  <c r="AA271" i="9" s="1"/>
  <c r="AE271" i="9" s="1"/>
  <c r="DQ271" i="9"/>
  <c r="DR271" i="9" s="1"/>
  <c r="DV271" i="9" s="1"/>
  <c r="FC271" i="9"/>
  <c r="FD271" i="9" s="1"/>
  <c r="FH271" i="9" s="1"/>
  <c r="CE271" i="9"/>
  <c r="CF271" i="9" s="1"/>
  <c r="CJ271" i="9" s="1"/>
  <c r="BL271" i="9"/>
  <c r="BM271" i="9" s="1"/>
  <c r="BQ271" i="9" s="1"/>
  <c r="I272" i="9"/>
  <c r="AG268" i="12"/>
  <c r="AH268" i="12"/>
  <c r="AI268" i="12"/>
  <c r="EL270" i="9"/>
  <c r="EN270" i="9" s="1"/>
  <c r="FE270" i="9"/>
  <c r="FG270" i="9" s="1"/>
  <c r="O271" i="12" a="1"/>
  <c r="O271" i="12" s="1"/>
  <c r="G271" i="12" a="1"/>
  <c r="G271" i="12" s="1"/>
  <c r="J271" i="12" a="1"/>
  <c r="J271" i="12" s="1"/>
  <c r="K271" i="12" a="1"/>
  <c r="K271" i="12" s="1"/>
  <c r="H271" i="12" a="1"/>
  <c r="H271" i="12" s="1"/>
  <c r="L271" i="12" a="1"/>
  <c r="L271" i="12" s="1"/>
  <c r="N271" i="12" a="1"/>
  <c r="N271" i="12" s="1"/>
  <c r="D272" i="12"/>
  <c r="DX268" i="12"/>
  <c r="DZ268" i="12"/>
  <c r="DY268" i="12"/>
  <c r="FF269" i="12"/>
  <c r="FE269" i="12"/>
  <c r="FG269" i="12" s="1"/>
  <c r="EP269" i="12"/>
  <c r="DD269" i="12"/>
  <c r="CK269" i="12"/>
  <c r="BO269" i="12"/>
  <c r="AC269" i="12"/>
  <c r="BN269" i="12"/>
  <c r="BP269" i="12" s="1"/>
  <c r="AB269" i="12"/>
  <c r="AD269" i="12" s="1"/>
  <c r="AY269" i="12"/>
  <c r="EL269" i="12"/>
  <c r="EN269" i="12" s="1"/>
  <c r="AF269" i="12"/>
  <c r="EM269" i="12"/>
  <c r="BR269" i="12"/>
  <c r="FI269" i="12"/>
  <c r="DA269" i="12"/>
  <c r="DT269" i="12"/>
  <c r="DW269" i="12"/>
  <c r="CZ269" i="12"/>
  <c r="DB269" i="12" s="1"/>
  <c r="DS269" i="12"/>
  <c r="DU269" i="12" s="1"/>
  <c r="CG269" i="12"/>
  <c r="CI269" i="12" s="1"/>
  <c r="CH269" i="12"/>
  <c r="AV269" i="12"/>
  <c r="AU269" i="12"/>
  <c r="AW269" i="12" s="1"/>
  <c r="DS270" i="9"/>
  <c r="DU270" i="9" s="1"/>
  <c r="AU270" i="9"/>
  <c r="AW270" i="9" s="1"/>
  <c r="M271" i="9"/>
  <c r="P271" i="9" s="1"/>
  <c r="Q271" i="9" s="1"/>
  <c r="DF269" i="9"/>
  <c r="DE269" i="9"/>
  <c r="DD269" i="9"/>
  <c r="DH269" i="9" s="1"/>
  <c r="DG269" i="9"/>
  <c r="AH269" i="9"/>
  <c r="AI269" i="9"/>
  <c r="AF269" i="9"/>
  <c r="AG269" i="9"/>
  <c r="DE268" i="12"/>
  <c r="DF268" i="12"/>
  <c r="DG268" i="12"/>
  <c r="DT270" i="9"/>
  <c r="AV270" i="9"/>
  <c r="AJ269" i="9" l="1"/>
  <c r="BC269" i="9"/>
  <c r="FM269" i="9"/>
  <c r="EA269" i="9"/>
  <c r="CO269" i="9"/>
  <c r="BV269" i="9"/>
  <c r="ET269" i="9"/>
  <c r="FM268" i="12"/>
  <c r="BV268" i="12"/>
  <c r="AJ268" i="12"/>
  <c r="CO268" i="12"/>
  <c r="ET268" i="12"/>
  <c r="M272" i="9"/>
  <c r="DH268" i="12"/>
  <c r="FE271" i="9"/>
  <c r="FG271" i="9" s="1"/>
  <c r="BN271" i="9"/>
  <c r="BP271" i="9" s="1"/>
  <c r="CH271" i="9"/>
  <c r="AU271" i="9"/>
  <c r="AW271" i="9" s="1"/>
  <c r="FF271" i="9"/>
  <c r="CG271" i="9"/>
  <c r="CI271" i="9" s="1"/>
  <c r="AV271" i="9"/>
  <c r="BO271" i="9"/>
  <c r="CZ271" i="9"/>
  <c r="DB271" i="9" s="1"/>
  <c r="EL271" i="9"/>
  <c r="EN271" i="9" s="1"/>
  <c r="AB271" i="9"/>
  <c r="AD271" i="9" s="1"/>
  <c r="AC271" i="9"/>
  <c r="DA271" i="9"/>
  <c r="EM271" i="9"/>
  <c r="DS271" i="9"/>
  <c r="DU271" i="9" s="1"/>
  <c r="DT271" i="9"/>
  <c r="CM270" i="9"/>
  <c r="CN270" i="9"/>
  <c r="CL270" i="9"/>
  <c r="CK270" i="9"/>
  <c r="AH269" i="12"/>
  <c r="AI269" i="12"/>
  <c r="AG269" i="12"/>
  <c r="AF270" i="9"/>
  <c r="AI270" i="9"/>
  <c r="AG270" i="9"/>
  <c r="AH270" i="9"/>
  <c r="BB269" i="12"/>
  <c r="AZ269" i="12"/>
  <c r="BA269" i="12"/>
  <c r="BS269" i="12"/>
  <c r="BU269" i="12"/>
  <c r="BT269" i="12"/>
  <c r="EP270" i="9"/>
  <c r="ES270" i="9"/>
  <c r="ER270" i="9"/>
  <c r="EQ270" i="9"/>
  <c r="FJ269" i="12"/>
  <c r="FL269" i="12"/>
  <c r="FK269" i="12"/>
  <c r="EA268" i="12"/>
  <c r="M271" i="12"/>
  <c r="P271" i="12" s="1"/>
  <c r="Q271" i="12" s="1"/>
  <c r="AS272" i="9"/>
  <c r="AT272" i="9" s="1"/>
  <c r="AX272" i="9" s="1"/>
  <c r="FC272" i="9"/>
  <c r="FD272" i="9" s="1"/>
  <c r="FH272" i="9" s="1"/>
  <c r="Z272" i="9"/>
  <c r="AA272" i="9" s="1"/>
  <c r="AE272" i="9" s="1"/>
  <c r="DQ272" i="9"/>
  <c r="DR272" i="9" s="1"/>
  <c r="DV272" i="9" s="1"/>
  <c r="CE272" i="9"/>
  <c r="CF272" i="9" s="1"/>
  <c r="CJ272" i="9" s="1"/>
  <c r="EJ272" i="9"/>
  <c r="EK272" i="9" s="1"/>
  <c r="EO272" i="9" s="1"/>
  <c r="BL272" i="9"/>
  <c r="BM272" i="9" s="1"/>
  <c r="BQ272" i="9" s="1"/>
  <c r="CX272" i="9"/>
  <c r="CY272" i="9" s="1"/>
  <c r="DC272" i="9" s="1"/>
  <c r="I273" i="9"/>
  <c r="P272" i="9"/>
  <c r="Q272" i="9" s="1"/>
  <c r="AZ270" i="9"/>
  <c r="BB270" i="9"/>
  <c r="BA270" i="9"/>
  <c r="AY270" i="9"/>
  <c r="BC270" i="9" s="1"/>
  <c r="EP270" i="12"/>
  <c r="FE270" i="12"/>
  <c r="FG270" i="12" s="1"/>
  <c r="FF270" i="12"/>
  <c r="DD270" i="12"/>
  <c r="CK270" i="12"/>
  <c r="BO270" i="12"/>
  <c r="BN270" i="12"/>
  <c r="BP270" i="12" s="1"/>
  <c r="AC270" i="12"/>
  <c r="AB270" i="12"/>
  <c r="AD270" i="12" s="1"/>
  <c r="FI270" i="12"/>
  <c r="DT270" i="12"/>
  <c r="CG270" i="12"/>
  <c r="CI270" i="12" s="1"/>
  <c r="CH270" i="12"/>
  <c r="AF270" i="12"/>
  <c r="EM270" i="12"/>
  <c r="CZ270" i="12"/>
  <c r="DB270" i="12" s="1"/>
  <c r="EL270" i="12"/>
  <c r="EN270" i="12" s="1"/>
  <c r="DA270" i="12"/>
  <c r="BR270" i="12"/>
  <c r="AY270" i="12"/>
  <c r="DW270" i="12"/>
  <c r="DS270" i="12"/>
  <c r="DU270" i="12" s="1"/>
  <c r="AV270" i="12"/>
  <c r="AU270" i="12"/>
  <c r="AW270" i="12" s="1"/>
  <c r="CM269" i="12"/>
  <c r="CN269" i="12"/>
  <c r="CL269" i="12"/>
  <c r="BT270" i="9"/>
  <c r="BS270" i="9"/>
  <c r="BR270" i="9"/>
  <c r="BU270" i="9"/>
  <c r="DD270" i="9"/>
  <c r="DE270" i="9"/>
  <c r="DF270" i="9"/>
  <c r="DG270" i="9"/>
  <c r="DZ270" i="9"/>
  <c r="DY270" i="9"/>
  <c r="DX270" i="9"/>
  <c r="DW270" i="9"/>
  <c r="EA270" i="9" s="1"/>
  <c r="DX269" i="12"/>
  <c r="DY269" i="12"/>
  <c r="DZ269" i="12"/>
  <c r="J273" i="9" a="1"/>
  <c r="J273" i="9" s="1"/>
  <c r="O273" i="9" a="1"/>
  <c r="O273" i="9" s="1"/>
  <c r="H273" i="9" a="1"/>
  <c r="H273" i="9" s="1"/>
  <c r="K273" i="9" a="1"/>
  <c r="K273" i="9" s="1"/>
  <c r="L273" i="9" a="1"/>
  <c r="L273" i="9" s="1"/>
  <c r="N273" i="9" a="1"/>
  <c r="N273" i="9" s="1"/>
  <c r="G273" i="9" a="1"/>
  <c r="G273" i="9" s="1"/>
  <c r="D274" i="9"/>
  <c r="DE269" i="12"/>
  <c r="DG269" i="12"/>
  <c r="DF269" i="12"/>
  <c r="EQ269" i="12"/>
  <c r="ES269" i="12"/>
  <c r="ER269" i="12"/>
  <c r="K272" i="12" a="1"/>
  <c r="K272" i="12" s="1"/>
  <c r="J272" i="12" a="1"/>
  <c r="J272" i="12" s="1"/>
  <c r="N272" i="12" a="1"/>
  <c r="N272" i="12" s="1"/>
  <c r="L272" i="12" a="1"/>
  <c r="L272" i="12" s="1"/>
  <c r="H272" i="12" a="1"/>
  <c r="H272" i="12" s="1"/>
  <c r="O272" i="12" a="1"/>
  <c r="O272" i="12" s="1"/>
  <c r="G272" i="12" a="1"/>
  <c r="G272" i="12" s="1"/>
  <c r="D273" i="12"/>
  <c r="FL270" i="9"/>
  <c r="FJ270" i="9"/>
  <c r="FI270" i="9"/>
  <c r="FM270" i="9" s="1"/>
  <c r="FK270" i="9"/>
  <c r="BV270" i="9" l="1"/>
  <c r="ET270" i="9"/>
  <c r="DH270" i="9"/>
  <c r="AJ270" i="9"/>
  <c r="CO270" i="9"/>
  <c r="AJ269" i="12"/>
  <c r="BV269" i="12"/>
  <c r="CO269" i="12"/>
  <c r="DH269" i="12"/>
  <c r="FM269" i="12"/>
  <c r="M272" i="12"/>
  <c r="FE271" i="12"/>
  <c r="FG271" i="12" s="1"/>
  <c r="FF271" i="12"/>
  <c r="EP271" i="12"/>
  <c r="DD271" i="12"/>
  <c r="CK271" i="12"/>
  <c r="BN271" i="12"/>
  <c r="BP271" i="12" s="1"/>
  <c r="AC271" i="12"/>
  <c r="AB271" i="12"/>
  <c r="AD271" i="12" s="1"/>
  <c r="BO271" i="12"/>
  <c r="DA271" i="12"/>
  <c r="EM271" i="12"/>
  <c r="CH271" i="12"/>
  <c r="FI271" i="12"/>
  <c r="CG271" i="12"/>
  <c r="CI271" i="12" s="1"/>
  <c r="BR271" i="12"/>
  <c r="AY271" i="12"/>
  <c r="AF271" i="12"/>
  <c r="DT271" i="12"/>
  <c r="CZ271" i="12"/>
  <c r="DB271" i="12" s="1"/>
  <c r="DS271" i="12"/>
  <c r="DU271" i="12" s="1"/>
  <c r="DW271" i="12"/>
  <c r="EL271" i="12"/>
  <c r="EN271" i="12" s="1"/>
  <c r="AV271" i="12"/>
  <c r="AU271" i="12"/>
  <c r="AW271" i="12" s="1"/>
  <c r="DX271" i="9"/>
  <c r="DW271" i="9"/>
  <c r="DZ271" i="9"/>
  <c r="DY271" i="9"/>
  <c r="DX270" i="12"/>
  <c r="DZ270" i="12"/>
  <c r="DY270" i="12"/>
  <c r="CM270" i="12"/>
  <c r="CN270" i="12"/>
  <c r="CL270" i="12"/>
  <c r="FE272" i="9"/>
  <c r="FG272" i="9" s="1"/>
  <c r="BN272" i="9"/>
  <c r="BP272" i="9" s="1"/>
  <c r="AV272" i="9"/>
  <c r="CH272" i="9"/>
  <c r="AU272" i="9"/>
  <c r="AW272" i="9" s="1"/>
  <c r="CG272" i="9"/>
  <c r="CI272" i="9" s="1"/>
  <c r="FF272" i="9"/>
  <c r="BO272" i="9"/>
  <c r="AC272" i="9"/>
  <c r="EL272" i="9"/>
  <c r="EN272" i="9" s="1"/>
  <c r="EM272" i="9"/>
  <c r="CZ272" i="9"/>
  <c r="DB272" i="9" s="1"/>
  <c r="DA272" i="9"/>
  <c r="AB272" i="9"/>
  <c r="AD272" i="9" s="1"/>
  <c r="DS272" i="9"/>
  <c r="DU272" i="9" s="1"/>
  <c r="DT272" i="9"/>
  <c r="CN271" i="9"/>
  <c r="CM271" i="9"/>
  <c r="CK271" i="9"/>
  <c r="CL271" i="9"/>
  <c r="L273" i="12" a="1"/>
  <c r="L273" i="12" s="1"/>
  <c r="H273" i="12" a="1"/>
  <c r="H273" i="12" s="1"/>
  <c r="K273" i="12" a="1"/>
  <c r="K273" i="12" s="1"/>
  <c r="J273" i="12" a="1"/>
  <c r="J273" i="12" s="1"/>
  <c r="G273" i="12" a="1"/>
  <c r="G273" i="12" s="1"/>
  <c r="N273" i="12" a="1"/>
  <c r="N273" i="12" s="1"/>
  <c r="O273" i="12" a="1"/>
  <c r="O273" i="12" s="1"/>
  <c r="D274" i="12"/>
  <c r="ET269" i="12"/>
  <c r="EA269" i="12"/>
  <c r="EJ273" i="9"/>
  <c r="EK273" i="9" s="1"/>
  <c r="EO273" i="9" s="1"/>
  <c r="Z273" i="9"/>
  <c r="AA273" i="9" s="1"/>
  <c r="AE273" i="9" s="1"/>
  <c r="AS273" i="9"/>
  <c r="AT273" i="9" s="1"/>
  <c r="AX273" i="9" s="1"/>
  <c r="DQ273" i="9"/>
  <c r="DR273" i="9" s="1"/>
  <c r="DV273" i="9" s="1"/>
  <c r="BL273" i="9"/>
  <c r="BM273" i="9" s="1"/>
  <c r="BQ273" i="9" s="1"/>
  <c r="FC273" i="9"/>
  <c r="FD273" i="9" s="1"/>
  <c r="FH273" i="9" s="1"/>
  <c r="CX273" i="9"/>
  <c r="CY273" i="9" s="1"/>
  <c r="DC273" i="9" s="1"/>
  <c r="CE273" i="9"/>
  <c r="CF273" i="9" s="1"/>
  <c r="CJ273" i="9" s="1"/>
  <c r="I274" i="9"/>
  <c r="BC269" i="12"/>
  <c r="FJ270" i="12"/>
  <c r="FL270" i="12"/>
  <c r="FK270" i="12"/>
  <c r="BB271" i="9"/>
  <c r="BA271" i="9"/>
  <c r="AZ271" i="9"/>
  <c r="AY271" i="9"/>
  <c r="L274" i="9" a="1"/>
  <c r="L274" i="9" s="1"/>
  <c r="K274" i="9" a="1"/>
  <c r="K274" i="9" s="1"/>
  <c r="G274" i="9" a="1"/>
  <c r="G274" i="9" s="1"/>
  <c r="H274" i="9" a="1"/>
  <c r="H274" i="9" s="1"/>
  <c r="J274" i="9" a="1"/>
  <c r="J274" i="9" s="1"/>
  <c r="O274" i="9" a="1"/>
  <c r="O274" i="9" s="1"/>
  <c r="N274" i="9" a="1"/>
  <c r="N274" i="9" s="1"/>
  <c r="D275" i="9"/>
  <c r="EQ270" i="12"/>
  <c r="ER270" i="12"/>
  <c r="ES270" i="12"/>
  <c r="AG270" i="12"/>
  <c r="AI270" i="12"/>
  <c r="AH270" i="12"/>
  <c r="AF271" i="9"/>
  <c r="AH271" i="9"/>
  <c r="AG271" i="9"/>
  <c r="AI271" i="9"/>
  <c r="AZ270" i="12"/>
  <c r="BB270" i="12"/>
  <c r="BA270" i="12"/>
  <c r="DE270" i="12"/>
  <c r="DG270" i="12"/>
  <c r="DF270" i="12"/>
  <c r="EQ271" i="9"/>
  <c r="ER271" i="9"/>
  <c r="EP271" i="9"/>
  <c r="ES271" i="9"/>
  <c r="BU271" i="9"/>
  <c r="BR271" i="9"/>
  <c r="BS271" i="9"/>
  <c r="BT271" i="9"/>
  <c r="P272" i="12"/>
  <c r="Q272" i="12" s="1"/>
  <c r="M273" i="9"/>
  <c r="P273" i="9" s="1"/>
  <c r="Q273" i="9" s="1"/>
  <c r="BS270" i="12"/>
  <c r="BT270" i="12"/>
  <c r="BU270" i="12"/>
  <c r="DD271" i="9"/>
  <c r="DH271" i="9" s="1"/>
  <c r="DF271" i="9"/>
  <c r="DE271" i="9"/>
  <c r="DG271" i="9"/>
  <c r="FL271" i="9"/>
  <c r="FI271" i="9"/>
  <c r="FK271" i="9"/>
  <c r="FJ271" i="9"/>
  <c r="CO271" i="9" l="1"/>
  <c r="FM271" i="9"/>
  <c r="ET271" i="9"/>
  <c r="EA271" i="9"/>
  <c r="BC271" i="9"/>
  <c r="AJ271" i="9"/>
  <c r="BV271" i="9"/>
  <c r="CO270" i="12"/>
  <c r="AB273" i="9"/>
  <c r="AD273" i="9" s="1"/>
  <c r="CG273" i="9"/>
  <c r="CI273" i="9" s="1"/>
  <c r="AC273" i="9"/>
  <c r="AV273" i="9"/>
  <c r="EL273" i="9"/>
  <c r="EN273" i="9" s="1"/>
  <c r="BN273" i="9"/>
  <c r="BP273" i="9" s="1"/>
  <c r="BR273" i="9" s="1"/>
  <c r="DS273" i="9"/>
  <c r="DU273" i="9" s="1"/>
  <c r="DW273" i="9" s="1"/>
  <c r="CH273" i="9"/>
  <c r="DT273" i="9"/>
  <c r="AU273" i="9"/>
  <c r="AW273" i="9" s="1"/>
  <c r="EM273" i="9"/>
  <c r="BO273" i="9"/>
  <c r="FF273" i="9"/>
  <c r="M273" i="12"/>
  <c r="P273" i="12" s="1"/>
  <c r="Q273" i="12" s="1"/>
  <c r="BC270" i="12"/>
  <c r="BV270" i="12"/>
  <c r="FE273" i="9"/>
  <c r="FG273" i="9" s="1"/>
  <c r="AJ270" i="12"/>
  <c r="EA270" i="12"/>
  <c r="FM270" i="12"/>
  <c r="K274" i="12" a="1"/>
  <c r="K274" i="12" s="1"/>
  <c r="L274" i="12" a="1"/>
  <c r="L274" i="12" s="1"/>
  <c r="G274" i="12" a="1"/>
  <c r="G274" i="12" s="1"/>
  <c r="O274" i="12" a="1"/>
  <c r="O274" i="12" s="1"/>
  <c r="N274" i="12" a="1"/>
  <c r="N274" i="12" s="1"/>
  <c r="H274" i="12" a="1"/>
  <c r="H274" i="12" s="1"/>
  <c r="J274" i="12" a="1"/>
  <c r="J274" i="12" s="1"/>
  <c r="D275" i="12"/>
  <c r="AH271" i="12"/>
  <c r="AG271" i="12"/>
  <c r="AI271" i="12"/>
  <c r="EP272" i="12"/>
  <c r="FF272" i="12"/>
  <c r="FE272" i="12"/>
  <c r="FG272" i="12" s="1"/>
  <c r="CK272" i="12"/>
  <c r="DD272" i="12"/>
  <c r="BN272" i="12"/>
  <c r="BP272" i="12" s="1"/>
  <c r="BO272" i="12"/>
  <c r="AB272" i="12"/>
  <c r="AD272" i="12" s="1"/>
  <c r="AC272" i="12"/>
  <c r="AY272" i="12"/>
  <c r="AF272" i="12"/>
  <c r="DT272" i="12"/>
  <c r="EM272" i="12"/>
  <c r="DW272" i="12"/>
  <c r="DS272" i="12"/>
  <c r="DU272" i="12" s="1"/>
  <c r="EL272" i="12"/>
  <c r="EN272" i="12" s="1"/>
  <c r="CG272" i="12"/>
  <c r="CI272" i="12" s="1"/>
  <c r="BR272" i="12"/>
  <c r="CH272" i="12"/>
  <c r="FI272" i="12"/>
  <c r="DA272" i="12"/>
  <c r="CZ272" i="12"/>
  <c r="DB272" i="12" s="1"/>
  <c r="AU272" i="12"/>
  <c r="AW272" i="12" s="1"/>
  <c r="AV272" i="12"/>
  <c r="ET270" i="12"/>
  <c r="DF272" i="9"/>
  <c r="DD272" i="9"/>
  <c r="DG272" i="9"/>
  <c r="DE272" i="9"/>
  <c r="ER272" i="9"/>
  <c r="EP272" i="9"/>
  <c r="ET272" i="9" s="1"/>
  <c r="ES272" i="9"/>
  <c r="EQ272" i="9"/>
  <c r="BU272" i="9"/>
  <c r="BS272" i="9"/>
  <c r="BT272" i="9"/>
  <c r="BR272" i="9"/>
  <c r="EQ271" i="12"/>
  <c r="ER271" i="12"/>
  <c r="ES271" i="12"/>
  <c r="CL271" i="12"/>
  <c r="CN271" i="12"/>
  <c r="CM271" i="12"/>
  <c r="BS271" i="12"/>
  <c r="BU271" i="12"/>
  <c r="BT271" i="12"/>
  <c r="BB271" i="12"/>
  <c r="AZ271" i="12"/>
  <c r="BA271" i="12"/>
  <c r="BB273" i="9"/>
  <c r="BA273" i="9"/>
  <c r="AZ273" i="9"/>
  <c r="AY273" i="9"/>
  <c r="DH270" i="12"/>
  <c r="CZ273" i="9"/>
  <c r="DB273" i="9" s="1"/>
  <c r="H275" i="9" a="1"/>
  <c r="H275" i="9" s="1"/>
  <c r="N275" i="9" a="1"/>
  <c r="N275" i="9" s="1"/>
  <c r="O275" i="9" a="1"/>
  <c r="O275" i="9" s="1"/>
  <c r="L275" i="9" a="1"/>
  <c r="L275" i="9" s="1"/>
  <c r="K275" i="9" a="1"/>
  <c r="K275" i="9" s="1"/>
  <c r="J275" i="9" a="1"/>
  <c r="J275" i="9" s="1"/>
  <c r="G275" i="9" a="1"/>
  <c r="G275" i="9" s="1"/>
  <c r="D276" i="9"/>
  <c r="FK272" i="9"/>
  <c r="FJ272" i="9"/>
  <c r="FL272" i="9"/>
  <c r="FI272" i="9"/>
  <c r="FM272" i="9" s="1"/>
  <c r="FM273" i="9" s="1"/>
  <c r="EP273" i="9"/>
  <c r="ER273" i="9"/>
  <c r="EQ273" i="9"/>
  <c r="ES273" i="9"/>
  <c r="FI273" i="9"/>
  <c r="FJ273" i="9"/>
  <c r="FK273" i="9"/>
  <c r="FL273" i="9"/>
  <c r="BL274" i="9"/>
  <c r="BM274" i="9" s="1"/>
  <c r="BQ274" i="9" s="1"/>
  <c r="AS274" i="9"/>
  <c r="AT274" i="9" s="1"/>
  <c r="AX274" i="9" s="1"/>
  <c r="FC274" i="9"/>
  <c r="FD274" i="9" s="1"/>
  <c r="FH274" i="9" s="1"/>
  <c r="CE274" i="9"/>
  <c r="CF274" i="9" s="1"/>
  <c r="CJ274" i="9" s="1"/>
  <c r="EJ274" i="9"/>
  <c r="EK274" i="9" s="1"/>
  <c r="EO274" i="9" s="1"/>
  <c r="CX274" i="9"/>
  <c r="CY274" i="9" s="1"/>
  <c r="DC274" i="9" s="1"/>
  <c r="DQ274" i="9"/>
  <c r="DR274" i="9" s="1"/>
  <c r="DV274" i="9" s="1"/>
  <c r="Z274" i="9"/>
  <c r="AA274" i="9" s="1"/>
  <c r="AE274" i="9" s="1"/>
  <c r="I275" i="9"/>
  <c r="DX271" i="12"/>
  <c r="DY271" i="12"/>
  <c r="DZ271" i="12"/>
  <c r="DA273" i="9"/>
  <c r="DX272" i="9"/>
  <c r="DZ272" i="9"/>
  <c r="DY272" i="9"/>
  <c r="DW272" i="9"/>
  <c r="DE271" i="12"/>
  <c r="DG271" i="12"/>
  <c r="DF271" i="12"/>
  <c r="M274" i="9"/>
  <c r="P274" i="9" s="1"/>
  <c r="Q274" i="9" s="1"/>
  <c r="AF272" i="9"/>
  <c r="AG272" i="9"/>
  <c r="AI272" i="9"/>
  <c r="AH272" i="9"/>
  <c r="CK272" i="9"/>
  <c r="CL272" i="9"/>
  <c r="CN272" i="9"/>
  <c r="CM272" i="9"/>
  <c r="AI273" i="9"/>
  <c r="AH273" i="9"/>
  <c r="AG273" i="9"/>
  <c r="AF273" i="9"/>
  <c r="CM273" i="9"/>
  <c r="CN273" i="9"/>
  <c r="CL273" i="9"/>
  <c r="CK273" i="9"/>
  <c r="AZ272" i="9"/>
  <c r="BB272" i="9"/>
  <c r="BA272" i="9"/>
  <c r="AY272" i="9"/>
  <c r="FJ271" i="12"/>
  <c r="FK271" i="12"/>
  <c r="FL271" i="12"/>
  <c r="BT273" i="9" l="1"/>
  <c r="AJ272" i="9"/>
  <c r="BU273" i="9"/>
  <c r="BS273" i="9"/>
  <c r="BV272" i="9"/>
  <c r="BV273" i="9" s="1"/>
  <c r="DX273" i="9"/>
  <c r="ET273" i="9"/>
  <c r="AJ273" i="9"/>
  <c r="DH272" i="9"/>
  <c r="CO272" i="9"/>
  <c r="CO273" i="9" s="1"/>
  <c r="EA272" i="9"/>
  <c r="EA273" i="9" s="1"/>
  <c r="BC272" i="9"/>
  <c r="BC273" i="9" s="1"/>
  <c r="DZ273" i="9"/>
  <c r="DY273" i="9"/>
  <c r="CO271" i="12"/>
  <c r="AJ271" i="12"/>
  <c r="DH271" i="12"/>
  <c r="ET271" i="12"/>
  <c r="BV271" i="12"/>
  <c r="FM271" i="12"/>
  <c r="BC271" i="12"/>
  <c r="M274" i="12"/>
  <c r="P274" i="12" s="1"/>
  <c r="Q274" i="12" s="1"/>
  <c r="FF274" i="9"/>
  <c r="AV274" i="9"/>
  <c r="CG274" i="9"/>
  <c r="CI274" i="9" s="1"/>
  <c r="FE274" i="9"/>
  <c r="FG274" i="9" s="1"/>
  <c r="AU274" i="9"/>
  <c r="AW274" i="9" s="1"/>
  <c r="BN274" i="9"/>
  <c r="BP274" i="9" s="1"/>
  <c r="CH274" i="9"/>
  <c r="BO274" i="9"/>
  <c r="CZ274" i="9"/>
  <c r="DB274" i="9" s="1"/>
  <c r="AB274" i="9"/>
  <c r="AD274" i="9" s="1"/>
  <c r="EL274" i="9"/>
  <c r="EN274" i="9" s="1"/>
  <c r="DA274" i="9"/>
  <c r="EM274" i="9"/>
  <c r="AC274" i="9"/>
  <c r="DT274" i="9"/>
  <c r="DS274" i="9"/>
  <c r="DU274" i="9" s="1"/>
  <c r="FJ272" i="12"/>
  <c r="FL272" i="12"/>
  <c r="FK272" i="12"/>
  <c r="L276" i="9" a="1"/>
  <c r="L276" i="9" s="1"/>
  <c r="G276" i="9" a="1"/>
  <c r="G276" i="9" s="1"/>
  <c r="H276" i="9" a="1"/>
  <c r="H276" i="9" s="1"/>
  <c r="N276" i="9" a="1"/>
  <c r="N276" i="9" s="1"/>
  <c r="O276" i="9" a="1"/>
  <c r="O276" i="9" s="1"/>
  <c r="J276" i="9" a="1"/>
  <c r="J276" i="9" s="1"/>
  <c r="K276" i="9" a="1"/>
  <c r="K276" i="9" s="1"/>
  <c r="D277" i="9"/>
  <c r="M275" i="9"/>
  <c r="P275" i="9" s="1"/>
  <c r="Q275" i="9" s="1"/>
  <c r="DF273" i="9"/>
  <c r="DE273" i="9"/>
  <c r="DD273" i="9"/>
  <c r="DG273" i="9"/>
  <c r="CN272" i="12"/>
  <c r="CM272" i="12"/>
  <c r="CL272" i="12"/>
  <c r="EQ272" i="12"/>
  <c r="ES272" i="12"/>
  <c r="ER272" i="12"/>
  <c r="AI272" i="12"/>
  <c r="AH272" i="12"/>
  <c r="AG272" i="12"/>
  <c r="N275" i="12" a="1"/>
  <c r="N275" i="12" s="1"/>
  <c r="H275" i="12" a="1"/>
  <c r="H275" i="12" s="1"/>
  <c r="G275" i="12" a="1"/>
  <c r="G275" i="12" s="1"/>
  <c r="L275" i="12" a="1"/>
  <c r="L275" i="12" s="1"/>
  <c r="K275" i="12" a="1"/>
  <c r="K275" i="12" s="1"/>
  <c r="J275" i="12" a="1"/>
  <c r="J275" i="12" s="1"/>
  <c r="O275" i="12" a="1"/>
  <c r="O275" i="12" s="1"/>
  <c r="D276" i="12"/>
  <c r="EA271" i="12"/>
  <c r="BA272" i="12"/>
  <c r="AZ272" i="12"/>
  <c r="BB272" i="12"/>
  <c r="DX272" i="12"/>
  <c r="DZ272" i="12"/>
  <c r="DY272" i="12"/>
  <c r="EJ275" i="9"/>
  <c r="EK275" i="9" s="1"/>
  <c r="EO275" i="9" s="1"/>
  <c r="CE275" i="9"/>
  <c r="CF275" i="9" s="1"/>
  <c r="CJ275" i="9" s="1"/>
  <c r="FC275" i="9"/>
  <c r="FD275" i="9" s="1"/>
  <c r="FH275" i="9" s="1"/>
  <c r="Z275" i="9"/>
  <c r="AA275" i="9" s="1"/>
  <c r="AE275" i="9" s="1"/>
  <c r="DQ275" i="9"/>
  <c r="DR275" i="9" s="1"/>
  <c r="DV275" i="9" s="1"/>
  <c r="BL275" i="9"/>
  <c r="BM275" i="9" s="1"/>
  <c r="BQ275" i="9" s="1"/>
  <c r="CX275" i="9"/>
  <c r="CY275" i="9" s="1"/>
  <c r="DC275" i="9" s="1"/>
  <c r="AS275" i="9"/>
  <c r="AT275" i="9" s="1"/>
  <c r="AX275" i="9" s="1"/>
  <c r="I276" i="9"/>
  <c r="DE272" i="12"/>
  <c r="DF272" i="12"/>
  <c r="DG272" i="12"/>
  <c r="BS272" i="12"/>
  <c r="BU272" i="12"/>
  <c r="BT272" i="12"/>
  <c r="FF273" i="12"/>
  <c r="EP273" i="12"/>
  <c r="FE273" i="12"/>
  <c r="FG273" i="12" s="1"/>
  <c r="CK273" i="12"/>
  <c r="DD273" i="12"/>
  <c r="AC273" i="12"/>
  <c r="AB273" i="12"/>
  <c r="AD273" i="12" s="1"/>
  <c r="BO273" i="12"/>
  <c r="BN273" i="12"/>
  <c r="BP273" i="12" s="1"/>
  <c r="CH273" i="12"/>
  <c r="EL273" i="12"/>
  <c r="EN273" i="12" s="1"/>
  <c r="FI273" i="12"/>
  <c r="CG273" i="12"/>
  <c r="CI273" i="12" s="1"/>
  <c r="DW273" i="12"/>
  <c r="AY273" i="12"/>
  <c r="AF273" i="12"/>
  <c r="AF274" i="12" s="1"/>
  <c r="CZ273" i="12"/>
  <c r="DB273" i="12" s="1"/>
  <c r="BR273" i="12"/>
  <c r="DS273" i="12"/>
  <c r="DU273" i="12" s="1"/>
  <c r="DA273" i="12"/>
  <c r="EM273" i="12"/>
  <c r="DT273" i="12"/>
  <c r="AV273" i="12"/>
  <c r="AU273" i="12"/>
  <c r="AW273" i="12" s="1"/>
  <c r="DH273" i="9" l="1"/>
  <c r="M275" i="12"/>
  <c r="DH272" i="12"/>
  <c r="BC272" i="12"/>
  <c r="FI274" i="12"/>
  <c r="EP274" i="12"/>
  <c r="BN274" i="12"/>
  <c r="BP274" i="12" s="1"/>
  <c r="BU274" i="12" s="1"/>
  <c r="AY274" i="12"/>
  <c r="AC274" i="12"/>
  <c r="EA272" i="12"/>
  <c r="DW274" i="12"/>
  <c r="CH274" i="12"/>
  <c r="DD274" i="12"/>
  <c r="DS274" i="12"/>
  <c r="DU274" i="12" s="1"/>
  <c r="DZ274" i="12" s="1"/>
  <c r="EM274" i="12"/>
  <c r="FF274" i="12"/>
  <c r="BV272" i="12"/>
  <c r="P275" i="12"/>
  <c r="Q275" i="12" s="1"/>
  <c r="AJ272" i="12"/>
  <c r="FM272" i="12"/>
  <c r="CG274" i="12"/>
  <c r="CI274" i="12" s="1"/>
  <c r="DX274" i="12"/>
  <c r="CO272" i="12"/>
  <c r="BR274" i="12"/>
  <c r="BR274" i="9"/>
  <c r="BS274" i="9"/>
  <c r="BU274" i="9"/>
  <c r="BT274" i="9"/>
  <c r="FJ273" i="12"/>
  <c r="FL273" i="12"/>
  <c r="FK273" i="12"/>
  <c r="DE273" i="12"/>
  <c r="DF273" i="12"/>
  <c r="DG273" i="12"/>
  <c r="FE275" i="9"/>
  <c r="FG275" i="9" s="1"/>
  <c r="BN275" i="9"/>
  <c r="BP275" i="9" s="1"/>
  <c r="FF275" i="9"/>
  <c r="CG275" i="9"/>
  <c r="CI275" i="9" s="1"/>
  <c r="BO275" i="9"/>
  <c r="CH275" i="9"/>
  <c r="AV275" i="9"/>
  <c r="AU275" i="9"/>
  <c r="AW275" i="9" s="1"/>
  <c r="DA275" i="9"/>
  <c r="AC275" i="9"/>
  <c r="EM275" i="9"/>
  <c r="AB275" i="9"/>
  <c r="AD275" i="9" s="1"/>
  <c r="CZ275" i="9"/>
  <c r="DB275" i="9" s="1"/>
  <c r="EL275" i="9"/>
  <c r="EN275" i="9" s="1"/>
  <c r="DS275" i="9"/>
  <c r="DU275" i="9" s="1"/>
  <c r="DT275" i="9"/>
  <c r="AB274" i="12"/>
  <c r="AD274" i="12" s="1"/>
  <c r="BB274" i="9"/>
  <c r="BA274" i="9"/>
  <c r="AZ274" i="9"/>
  <c r="AY274" i="9"/>
  <c r="BA273" i="12"/>
  <c r="AZ273" i="12"/>
  <c r="BB273" i="12"/>
  <c r="AS276" i="9"/>
  <c r="AT276" i="9" s="1"/>
  <c r="AX276" i="9" s="1"/>
  <c r="CX276" i="9"/>
  <c r="CY276" i="9" s="1"/>
  <c r="DC276" i="9" s="1"/>
  <c r="EJ276" i="9"/>
  <c r="EK276" i="9" s="1"/>
  <c r="EO276" i="9" s="1"/>
  <c r="CE276" i="9"/>
  <c r="CF276" i="9" s="1"/>
  <c r="CJ276" i="9" s="1"/>
  <c r="Z276" i="9"/>
  <c r="AA276" i="9" s="1"/>
  <c r="AE276" i="9" s="1"/>
  <c r="DQ276" i="9"/>
  <c r="DR276" i="9" s="1"/>
  <c r="DV276" i="9" s="1"/>
  <c r="BL276" i="9"/>
  <c r="BM276" i="9" s="1"/>
  <c r="BQ276" i="9" s="1"/>
  <c r="FC276" i="9"/>
  <c r="FD276" i="9" s="1"/>
  <c r="FH276" i="9" s="1"/>
  <c r="I277" i="9"/>
  <c r="K276" i="12" a="1"/>
  <c r="K276" i="12" s="1"/>
  <c r="G276" i="12" a="1"/>
  <c r="G276" i="12" s="1"/>
  <c r="N276" i="12" a="1"/>
  <c r="N276" i="12" s="1"/>
  <c r="O276" i="12" a="1"/>
  <c r="O276" i="12" s="1"/>
  <c r="L276" i="12" a="1"/>
  <c r="L276" i="12" s="1"/>
  <c r="H276" i="12" a="1"/>
  <c r="H276" i="12" s="1"/>
  <c r="J276" i="12" a="1"/>
  <c r="J276" i="12" s="1"/>
  <c r="D277" i="12"/>
  <c r="O277" i="9" a="1"/>
  <c r="O277" i="9" s="1"/>
  <c r="K277" i="9" a="1"/>
  <c r="K277" i="9" s="1"/>
  <c r="L277" i="9" a="1"/>
  <c r="L277" i="9" s="1"/>
  <c r="H277" i="9" a="1"/>
  <c r="H277" i="9" s="1"/>
  <c r="J277" i="9" a="1"/>
  <c r="J277" i="9" s="1"/>
  <c r="G277" i="9" a="1"/>
  <c r="G277" i="9" s="1"/>
  <c r="N277" i="9" a="1"/>
  <c r="N277" i="9" s="1"/>
  <c r="D278" i="9"/>
  <c r="AV274" i="12"/>
  <c r="CZ274" i="12"/>
  <c r="DB274" i="12" s="1"/>
  <c r="FK274" i="9"/>
  <c r="FL274" i="9"/>
  <c r="FJ274" i="9"/>
  <c r="FI274" i="9"/>
  <c r="EQ273" i="12"/>
  <c r="ES273" i="12"/>
  <c r="ER273" i="12"/>
  <c r="CL274" i="12"/>
  <c r="CM274" i="12"/>
  <c r="CN274" i="12"/>
  <c r="AG273" i="12"/>
  <c r="AH273" i="12"/>
  <c r="AI273" i="12"/>
  <c r="AU274" i="12"/>
  <c r="AW274" i="12" s="1"/>
  <c r="EP274" i="9"/>
  <c r="EQ274" i="9"/>
  <c r="ER274" i="9"/>
  <c r="ES274" i="9"/>
  <c r="CL274" i="9"/>
  <c r="CN274" i="9"/>
  <c r="CK274" i="9"/>
  <c r="CM274" i="9"/>
  <c r="BS273" i="12"/>
  <c r="BU273" i="12"/>
  <c r="BT273" i="12"/>
  <c r="M276" i="9"/>
  <c r="P276" i="9" s="1"/>
  <c r="Q276" i="9" s="1"/>
  <c r="BO274" i="12"/>
  <c r="AG274" i="9"/>
  <c r="AH274" i="9"/>
  <c r="AF274" i="9"/>
  <c r="AI274" i="9"/>
  <c r="DX273" i="12"/>
  <c r="DY273" i="12"/>
  <c r="DZ273" i="12"/>
  <c r="CM273" i="12"/>
  <c r="CL273" i="12"/>
  <c r="CN273" i="12"/>
  <c r="ET272" i="12"/>
  <c r="EL274" i="12"/>
  <c r="EN274" i="12" s="1"/>
  <c r="DG274" i="9"/>
  <c r="DE274" i="9"/>
  <c r="DD274" i="9"/>
  <c r="DF274" i="9"/>
  <c r="FE274" i="12"/>
  <c r="FG274" i="12" s="1"/>
  <c r="DT274" i="12"/>
  <c r="DA274" i="12"/>
  <c r="CK274" i="12"/>
  <c r="DY274" i="9"/>
  <c r="DW274" i="9"/>
  <c r="DX274" i="9"/>
  <c r="DZ274" i="9"/>
  <c r="FM273" i="12" l="1"/>
  <c r="DH274" i="9"/>
  <c r="EA274" i="9"/>
  <c r="BS274" i="12"/>
  <c r="AJ274" i="9"/>
  <c r="ET274" i="9"/>
  <c r="CO274" i="9"/>
  <c r="FM274" i="9"/>
  <c r="BV274" i="9"/>
  <c r="BC274" i="9"/>
  <c r="BT274" i="12"/>
  <c r="M276" i="12"/>
  <c r="P276" i="12" s="1"/>
  <c r="Q276" i="12" s="1"/>
  <c r="CG275" i="12"/>
  <c r="CI275" i="12" s="1"/>
  <c r="CH275" i="12"/>
  <c r="DW275" i="12"/>
  <c r="EP275" i="12"/>
  <c r="BR275" i="12"/>
  <c r="DD275" i="12"/>
  <c r="FI275" i="12"/>
  <c r="DT275" i="12"/>
  <c r="BO275" i="12"/>
  <c r="AY275" i="12"/>
  <c r="BN275" i="12"/>
  <c r="BP275" i="12" s="1"/>
  <c r="BS275" i="12" s="1"/>
  <c r="AF275" i="12"/>
  <c r="DS275" i="12"/>
  <c r="DU275" i="12" s="1"/>
  <c r="DX275" i="12" s="1"/>
  <c r="CO273" i="12"/>
  <c r="CZ275" i="12"/>
  <c r="DB275" i="12" s="1"/>
  <c r="DE275" i="12" s="1"/>
  <c r="AB275" i="12"/>
  <c r="AD275" i="12" s="1"/>
  <c r="AH275" i="12" s="1"/>
  <c r="DY274" i="12"/>
  <c r="EA274" i="12" s="1"/>
  <c r="CO274" i="12"/>
  <c r="EL275" i="12"/>
  <c r="EN275" i="12" s="1"/>
  <c r="EQ275" i="12" s="1"/>
  <c r="AU275" i="12"/>
  <c r="AW275" i="12" s="1"/>
  <c r="AZ275" i="12" s="1"/>
  <c r="M277" i="9"/>
  <c r="P277" i="9" s="1"/>
  <c r="Q277" i="9" s="1"/>
  <c r="BC273" i="12"/>
  <c r="DH273" i="12"/>
  <c r="AV275" i="12"/>
  <c r="DA275" i="12"/>
  <c r="BV273" i="12"/>
  <c r="AJ273" i="12"/>
  <c r="FJ274" i="12"/>
  <c r="FL274" i="12"/>
  <c r="FK274" i="12"/>
  <c r="AZ275" i="9"/>
  <c r="BA275" i="9"/>
  <c r="AY275" i="9"/>
  <c r="BB275" i="9"/>
  <c r="AG274" i="12"/>
  <c r="AI274" i="12"/>
  <c r="AH274" i="12"/>
  <c r="DY275" i="9"/>
  <c r="DX275" i="9"/>
  <c r="DW275" i="9"/>
  <c r="EA275" i="9" s="1"/>
  <c r="DZ275" i="9"/>
  <c r="CM275" i="12"/>
  <c r="CL275" i="12"/>
  <c r="CN275" i="12"/>
  <c r="EP275" i="9"/>
  <c r="ES275" i="9"/>
  <c r="EQ275" i="9"/>
  <c r="ER275" i="9"/>
  <c r="BV274" i="12"/>
  <c r="AC275" i="12"/>
  <c r="EA273" i="12"/>
  <c r="CK275" i="12"/>
  <c r="DF275" i="9"/>
  <c r="DE275" i="9"/>
  <c r="DD275" i="9"/>
  <c r="DG275" i="9"/>
  <c r="FF275" i="12"/>
  <c r="DE274" i="12"/>
  <c r="DG274" i="12"/>
  <c r="DF274" i="12"/>
  <c r="AH275" i="9"/>
  <c r="AF275" i="9"/>
  <c r="AG275" i="9"/>
  <c r="AI275" i="9"/>
  <c r="CK275" i="9"/>
  <c r="CM275" i="9"/>
  <c r="CN275" i="9"/>
  <c r="CL275" i="9"/>
  <c r="CG276" i="9"/>
  <c r="CI276" i="9" s="1"/>
  <c r="FF276" i="9"/>
  <c r="AU276" i="9"/>
  <c r="AW276" i="9" s="1"/>
  <c r="FE276" i="9"/>
  <c r="FG276" i="9" s="1"/>
  <c r="AV276" i="9"/>
  <c r="BN276" i="9"/>
  <c r="BP276" i="9" s="1"/>
  <c r="BO276" i="9"/>
  <c r="CH276" i="9"/>
  <c r="EM276" i="9"/>
  <c r="EL276" i="9"/>
  <c r="EN276" i="9" s="1"/>
  <c r="AC276" i="9"/>
  <c r="CZ276" i="9"/>
  <c r="DB276" i="9" s="1"/>
  <c r="AB276" i="9"/>
  <c r="AD276" i="9" s="1"/>
  <c r="DA276" i="9"/>
  <c r="DS276" i="9"/>
  <c r="DU276" i="9" s="1"/>
  <c r="DT276" i="9"/>
  <c r="EQ274" i="12"/>
  <c r="ER274" i="12"/>
  <c r="ES274" i="12"/>
  <c r="ET273" i="12"/>
  <c r="FJ275" i="9"/>
  <c r="FL275" i="9"/>
  <c r="FI275" i="9"/>
  <c r="FK275" i="9"/>
  <c r="AZ274" i="12"/>
  <c r="BB274" i="12"/>
  <c r="BA274" i="12"/>
  <c r="EM275" i="12"/>
  <c r="BT275" i="12"/>
  <c r="FE275" i="12"/>
  <c r="FG275" i="12" s="1"/>
  <c r="H278" i="9" a="1"/>
  <c r="H278" i="9" s="1"/>
  <c r="J278" i="9" a="1"/>
  <c r="J278" i="9" s="1"/>
  <c r="L278" i="9" a="1"/>
  <c r="L278" i="9" s="1"/>
  <c r="K278" i="9" a="1"/>
  <c r="K278" i="9" s="1"/>
  <c r="O278" i="9" a="1"/>
  <c r="O278" i="9" s="1"/>
  <c r="N278" i="9" a="1"/>
  <c r="N278" i="9" s="1"/>
  <c r="G278" i="9" a="1"/>
  <c r="G278" i="9" s="1"/>
  <c r="D279" i="9"/>
  <c r="L277" i="12" a="1"/>
  <c r="L277" i="12" s="1"/>
  <c r="J277" i="12" a="1"/>
  <c r="J277" i="12" s="1"/>
  <c r="H277" i="12" a="1"/>
  <c r="H277" i="12" s="1"/>
  <c r="G277" i="12" a="1"/>
  <c r="G277" i="12" s="1"/>
  <c r="O277" i="12" a="1"/>
  <c r="O277" i="12" s="1"/>
  <c r="K277" i="12" a="1"/>
  <c r="K277" i="12" s="1"/>
  <c r="N277" i="12" a="1"/>
  <c r="N277" i="12" s="1"/>
  <c r="D278" i="12"/>
  <c r="Z277" i="9"/>
  <c r="AA277" i="9" s="1"/>
  <c r="AE277" i="9" s="1"/>
  <c r="FC277" i="9"/>
  <c r="FD277" i="9" s="1"/>
  <c r="FH277" i="9" s="1"/>
  <c r="CE277" i="9"/>
  <c r="CF277" i="9" s="1"/>
  <c r="CJ277" i="9" s="1"/>
  <c r="DQ277" i="9"/>
  <c r="DR277" i="9" s="1"/>
  <c r="DV277" i="9" s="1"/>
  <c r="CX277" i="9"/>
  <c r="CY277" i="9" s="1"/>
  <c r="DC277" i="9" s="1"/>
  <c r="BL277" i="9"/>
  <c r="BM277" i="9" s="1"/>
  <c r="BQ277" i="9" s="1"/>
  <c r="AS277" i="9"/>
  <c r="AT277" i="9" s="1"/>
  <c r="AX277" i="9" s="1"/>
  <c r="EJ277" i="9"/>
  <c r="EK277" i="9" s="1"/>
  <c r="EO277" i="9" s="1"/>
  <c r="I278" i="9"/>
  <c r="BU275" i="9"/>
  <c r="BT275" i="9"/>
  <c r="BR275" i="9"/>
  <c r="BS275" i="9"/>
  <c r="BU275" i="12" l="1"/>
  <c r="EP276" i="12"/>
  <c r="CZ276" i="12"/>
  <c r="DB276" i="12" s="1"/>
  <c r="FI276" i="12"/>
  <c r="DA276" i="12"/>
  <c r="AV276" i="12"/>
  <c r="AU276" i="12"/>
  <c r="AW276" i="12" s="1"/>
  <c r="CH276" i="12"/>
  <c r="AF276" i="12"/>
  <c r="FE276" i="12"/>
  <c r="FG276" i="12" s="1"/>
  <c r="AY276" i="12"/>
  <c r="BR276" i="12"/>
  <c r="DH275" i="9"/>
  <c r="EL276" i="12"/>
  <c r="EN276" i="12" s="1"/>
  <c r="BB275" i="12"/>
  <c r="EM276" i="12"/>
  <c r="BV275" i="9"/>
  <c r="FM275" i="9"/>
  <c r="CO275" i="9"/>
  <c r="DY275" i="12"/>
  <c r="DS276" i="12"/>
  <c r="DU276" i="12" s="1"/>
  <c r="BA275" i="12"/>
  <c r="ET275" i="9"/>
  <c r="DZ275" i="12"/>
  <c r="DT276" i="12"/>
  <c r="AJ275" i="9"/>
  <c r="DF275" i="12"/>
  <c r="BC275" i="9"/>
  <c r="DG275" i="12"/>
  <c r="CG276" i="12"/>
  <c r="CI276" i="12" s="1"/>
  <c r="CM276" i="12" s="1"/>
  <c r="BN276" i="12"/>
  <c r="BP276" i="12" s="1"/>
  <c r="ER275" i="12"/>
  <c r="DW276" i="12"/>
  <c r="ES275" i="12"/>
  <c r="AC276" i="12"/>
  <c r="AB276" i="12"/>
  <c r="AD276" i="12" s="1"/>
  <c r="BO276" i="12"/>
  <c r="AG275" i="12"/>
  <c r="DD276" i="12"/>
  <c r="AI275" i="12"/>
  <c r="FM274" i="12"/>
  <c r="ET274" i="12"/>
  <c r="FF276" i="12"/>
  <c r="BV275" i="12"/>
  <c r="CO275" i="12"/>
  <c r="FJ276" i="12"/>
  <c r="FK276" i="12"/>
  <c r="FL276" i="12"/>
  <c r="DW276" i="9"/>
  <c r="EA276" i="9" s="1"/>
  <c r="DZ276" i="9"/>
  <c r="DY276" i="9"/>
  <c r="DX276" i="9"/>
  <c r="FE277" i="9"/>
  <c r="FG277" i="9" s="1"/>
  <c r="AU277" i="9"/>
  <c r="AW277" i="9" s="1"/>
  <c r="CG277" i="9"/>
  <c r="CI277" i="9" s="1"/>
  <c r="CH277" i="9"/>
  <c r="BN277" i="9"/>
  <c r="BP277" i="9" s="1"/>
  <c r="BO277" i="9"/>
  <c r="FF277" i="9"/>
  <c r="AV277" i="9"/>
  <c r="EL277" i="9"/>
  <c r="EN277" i="9" s="1"/>
  <c r="DA277" i="9"/>
  <c r="EM277" i="9"/>
  <c r="CZ277" i="9"/>
  <c r="DB277" i="9" s="1"/>
  <c r="AB277" i="9"/>
  <c r="AD277" i="9" s="1"/>
  <c r="AC277" i="9"/>
  <c r="DS277" i="9"/>
  <c r="DU277" i="9" s="1"/>
  <c r="DT277" i="9"/>
  <c r="M277" i="12"/>
  <c r="P277" i="12" s="1"/>
  <c r="Q277" i="12" s="1"/>
  <c r="M278" i="9"/>
  <c r="P278" i="9" s="1"/>
  <c r="Q278" i="9" s="1"/>
  <c r="BU276" i="9"/>
  <c r="BT276" i="9"/>
  <c r="BR276" i="9"/>
  <c r="BS276" i="9"/>
  <c r="DH274" i="12"/>
  <c r="DQ278" i="9"/>
  <c r="DR278" i="9" s="1"/>
  <c r="DV278" i="9" s="1"/>
  <c r="Z278" i="9"/>
  <c r="AA278" i="9" s="1"/>
  <c r="AE278" i="9" s="1"/>
  <c r="FC278" i="9"/>
  <c r="FD278" i="9" s="1"/>
  <c r="FH278" i="9" s="1"/>
  <c r="CX278" i="9"/>
  <c r="CY278" i="9" s="1"/>
  <c r="DC278" i="9" s="1"/>
  <c r="AS278" i="9"/>
  <c r="AT278" i="9" s="1"/>
  <c r="AX278" i="9" s="1"/>
  <c r="BL278" i="9"/>
  <c r="BM278" i="9" s="1"/>
  <c r="BQ278" i="9" s="1"/>
  <c r="EJ278" i="9"/>
  <c r="EK278" i="9" s="1"/>
  <c r="EO278" i="9" s="1"/>
  <c r="CE278" i="9"/>
  <c r="CF278" i="9" s="1"/>
  <c r="CJ278" i="9" s="1"/>
  <c r="I279" i="9"/>
  <c r="L278" i="12" a="1"/>
  <c r="L278" i="12" s="1"/>
  <c r="O278" i="12" a="1"/>
  <c r="O278" i="12" s="1"/>
  <c r="N278" i="12" a="1"/>
  <c r="N278" i="12" s="1"/>
  <c r="J278" i="12" a="1"/>
  <c r="J278" i="12" s="1"/>
  <c r="G278" i="12" a="1"/>
  <c r="G278" i="12" s="1"/>
  <c r="H278" i="12" a="1"/>
  <c r="H278" i="12" s="1"/>
  <c r="K278" i="12" a="1"/>
  <c r="K278" i="12" s="1"/>
  <c r="D279" i="12"/>
  <c r="G279" i="9" a="1"/>
  <c r="G279" i="9" s="1"/>
  <c r="K279" i="9" a="1"/>
  <c r="K279" i="9" s="1"/>
  <c r="H279" i="9" a="1"/>
  <c r="H279" i="9" s="1"/>
  <c r="N279" i="9" a="1"/>
  <c r="N279" i="9" s="1"/>
  <c r="J279" i="9" a="1"/>
  <c r="J279" i="9" s="1"/>
  <c r="L279" i="9" a="1"/>
  <c r="L279" i="9" s="1"/>
  <c r="O279" i="9" a="1"/>
  <c r="O279" i="9" s="1"/>
  <c r="D280" i="9"/>
  <c r="FJ275" i="12"/>
  <c r="FK275" i="12"/>
  <c r="FL275" i="12"/>
  <c r="EA275" i="12"/>
  <c r="DD276" i="9"/>
  <c r="DH276" i="9" s="1"/>
  <c r="DG276" i="9"/>
  <c r="DE276" i="9"/>
  <c r="DF276" i="9"/>
  <c r="FJ276" i="9"/>
  <c r="FI276" i="9"/>
  <c r="FL276" i="9"/>
  <c r="FK276" i="9"/>
  <c r="DE276" i="12"/>
  <c r="DG276" i="12"/>
  <c r="DF276" i="12"/>
  <c r="AJ274" i="12"/>
  <c r="BC274" i="12"/>
  <c r="AF276" i="9"/>
  <c r="AG276" i="9"/>
  <c r="AI276" i="9"/>
  <c r="AH276" i="9"/>
  <c r="BB276" i="9"/>
  <c r="BA276" i="9"/>
  <c r="AZ276" i="9"/>
  <c r="AY276" i="9"/>
  <c r="AZ276" i="12"/>
  <c r="BA276" i="12"/>
  <c r="BB276" i="12"/>
  <c r="EQ276" i="12"/>
  <c r="ER276" i="12"/>
  <c r="ES276" i="12"/>
  <c r="BS276" i="12"/>
  <c r="BU276" i="12"/>
  <c r="BT276" i="12"/>
  <c r="DH275" i="12"/>
  <c r="CN276" i="9"/>
  <c r="CM276" i="9"/>
  <c r="CL276" i="9"/>
  <c r="CK276" i="9"/>
  <c r="DX276" i="12"/>
  <c r="DY276" i="12"/>
  <c r="DZ276" i="12"/>
  <c r="ES276" i="9"/>
  <c r="EQ276" i="9"/>
  <c r="EP276" i="9"/>
  <c r="ER276" i="9"/>
  <c r="AG276" i="12"/>
  <c r="AH276" i="12"/>
  <c r="AI276" i="12"/>
  <c r="CK276" i="12"/>
  <c r="ET275" i="12" l="1"/>
  <c r="AJ275" i="12"/>
  <c r="BC275" i="12"/>
  <c r="CN276" i="12"/>
  <c r="BC276" i="9"/>
  <c r="CO276" i="9"/>
  <c r="AJ276" i="9"/>
  <c r="FM276" i="9"/>
  <c r="BV276" i="9"/>
  <c r="BV277" i="9" s="1"/>
  <c r="CL276" i="12"/>
  <c r="ET276" i="9"/>
  <c r="FM276" i="12"/>
  <c r="BV276" i="12"/>
  <c r="BC276" i="12"/>
  <c r="EA276" i="12"/>
  <c r="AJ276" i="12"/>
  <c r="M278" i="12"/>
  <c r="P278" i="12" s="1"/>
  <c r="Q278" i="12" s="1"/>
  <c r="DY277" i="9"/>
  <c r="DW277" i="9"/>
  <c r="EA277" i="9" s="1"/>
  <c r="DX277" i="9"/>
  <c r="DZ277" i="9"/>
  <c r="FM275" i="12"/>
  <c r="AG277" i="9"/>
  <c r="AI277" i="9"/>
  <c r="AF277" i="9"/>
  <c r="AH277" i="9"/>
  <c r="BS277" i="9"/>
  <c r="BU277" i="9"/>
  <c r="BR277" i="9"/>
  <c r="BT277" i="9"/>
  <c r="K280" i="9" a="1"/>
  <c r="K280" i="9" s="1"/>
  <c r="J280" i="9" a="1"/>
  <c r="J280" i="9" s="1"/>
  <c r="O280" i="9" a="1"/>
  <c r="O280" i="9" s="1"/>
  <c r="H280" i="9" a="1"/>
  <c r="H280" i="9" s="1"/>
  <c r="G280" i="9" a="1"/>
  <c r="G280" i="9" s="1"/>
  <c r="N280" i="9" a="1"/>
  <c r="N280" i="9" s="1"/>
  <c r="L280" i="9" a="1"/>
  <c r="L280" i="9" s="1"/>
  <c r="D281" i="9"/>
  <c r="O279" i="12" a="1"/>
  <c r="O279" i="12" s="1"/>
  <c r="G279" i="12" a="1"/>
  <c r="G279" i="12" s="1"/>
  <c r="L279" i="12" a="1"/>
  <c r="L279" i="12" s="1"/>
  <c r="K279" i="12" a="1"/>
  <c r="K279" i="12" s="1"/>
  <c r="N279" i="12" a="1"/>
  <c r="N279" i="12" s="1"/>
  <c r="H279" i="12" a="1"/>
  <c r="H279" i="12" s="1"/>
  <c r="J279" i="12" a="1"/>
  <c r="J279" i="12" s="1"/>
  <c r="D280" i="12"/>
  <c r="BL279" i="9"/>
  <c r="BM279" i="9" s="1"/>
  <c r="BQ279" i="9" s="1"/>
  <c r="Z279" i="9"/>
  <c r="AA279" i="9" s="1"/>
  <c r="AE279" i="9" s="1"/>
  <c r="CX279" i="9"/>
  <c r="CY279" i="9" s="1"/>
  <c r="DC279" i="9" s="1"/>
  <c r="EJ279" i="9"/>
  <c r="EK279" i="9" s="1"/>
  <c r="EO279" i="9" s="1"/>
  <c r="FC279" i="9"/>
  <c r="FD279" i="9" s="1"/>
  <c r="FH279" i="9" s="1"/>
  <c r="AS279" i="9"/>
  <c r="AT279" i="9" s="1"/>
  <c r="AX279" i="9" s="1"/>
  <c r="DQ279" i="9"/>
  <c r="DR279" i="9" s="1"/>
  <c r="DV279" i="9" s="1"/>
  <c r="CE279" i="9"/>
  <c r="CF279" i="9" s="1"/>
  <c r="CJ279" i="9" s="1"/>
  <c r="I280" i="9"/>
  <c r="DG277" i="9"/>
  <c r="DF277" i="9"/>
  <c r="DD277" i="9"/>
  <c r="DE277" i="9"/>
  <c r="CL277" i="9"/>
  <c r="CK277" i="9"/>
  <c r="CN277" i="9"/>
  <c r="CM277" i="9"/>
  <c r="DH276" i="12"/>
  <c r="ET276" i="12"/>
  <c r="CO276" i="12"/>
  <c r="FE278" i="9"/>
  <c r="FG278" i="9" s="1"/>
  <c r="FF278" i="9"/>
  <c r="AV278" i="9"/>
  <c r="CG278" i="9"/>
  <c r="CI278" i="9" s="1"/>
  <c r="BO278" i="9"/>
  <c r="AU278" i="9"/>
  <c r="AW278" i="9" s="1"/>
  <c r="CH278" i="9"/>
  <c r="BN278" i="9"/>
  <c r="BP278" i="9" s="1"/>
  <c r="AB278" i="9"/>
  <c r="AD278" i="9" s="1"/>
  <c r="EM278" i="9"/>
  <c r="DA278" i="9"/>
  <c r="AC278" i="9"/>
  <c r="CZ278" i="9"/>
  <c r="DB278" i="9" s="1"/>
  <c r="EL278" i="9"/>
  <c r="EN278" i="9" s="1"/>
  <c r="DT278" i="9"/>
  <c r="DS278" i="9"/>
  <c r="DU278" i="9" s="1"/>
  <c r="BA277" i="9"/>
  <c r="BB277" i="9"/>
  <c r="AY277" i="9"/>
  <c r="AZ277" i="9"/>
  <c r="M279" i="9"/>
  <c r="P279" i="9" s="1"/>
  <c r="Q279" i="9" s="1"/>
  <c r="FF277" i="12"/>
  <c r="FE277" i="12"/>
  <c r="FG277" i="12" s="1"/>
  <c r="EP277" i="12"/>
  <c r="DD277" i="12"/>
  <c r="CK277" i="12"/>
  <c r="BN277" i="12"/>
  <c r="BP277" i="12" s="1"/>
  <c r="AB277" i="12"/>
  <c r="AD277" i="12" s="1"/>
  <c r="AC277" i="12"/>
  <c r="BO277" i="12"/>
  <c r="AF277" i="12"/>
  <c r="DW277" i="12"/>
  <c r="BR277" i="12"/>
  <c r="DS277" i="12"/>
  <c r="DU277" i="12" s="1"/>
  <c r="AY277" i="12"/>
  <c r="DT277" i="12"/>
  <c r="FI277" i="12"/>
  <c r="CZ277" i="12"/>
  <c r="DB277" i="12" s="1"/>
  <c r="EL277" i="12"/>
  <c r="EN277" i="12" s="1"/>
  <c r="CG277" i="12"/>
  <c r="CI277" i="12" s="1"/>
  <c r="CH277" i="12"/>
  <c r="DA277" i="12"/>
  <c r="EM277" i="12"/>
  <c r="AV277" i="12"/>
  <c r="AU277" i="12"/>
  <c r="AW277" i="12" s="1"/>
  <c r="EP277" i="9"/>
  <c r="EQ277" i="9"/>
  <c r="ES277" i="9"/>
  <c r="ER277" i="9"/>
  <c r="FI277" i="9"/>
  <c r="FL277" i="9"/>
  <c r="FJ277" i="9"/>
  <c r="FK277" i="9"/>
  <c r="DH277" i="9" l="1"/>
  <c r="FM277" i="9"/>
  <c r="AJ277" i="9"/>
  <c r="CO277" i="9"/>
  <c r="BC277" i="9"/>
  <c r="ET277" i="9"/>
  <c r="ET278" i="9" s="1"/>
  <c r="AV279" i="9"/>
  <c r="DA279" i="9"/>
  <c r="CH279" i="9"/>
  <c r="AB279" i="9"/>
  <c r="AD279" i="9" s="1"/>
  <c r="AH279" i="9" s="1"/>
  <c r="FF279" i="9"/>
  <c r="DS279" i="9"/>
  <c r="DU279" i="9" s="1"/>
  <c r="DY279" i="9" s="1"/>
  <c r="BO279" i="9"/>
  <c r="M279" i="12"/>
  <c r="P279" i="12" s="1"/>
  <c r="Q279" i="12" s="1"/>
  <c r="BN279" i="9"/>
  <c r="BP279" i="9" s="1"/>
  <c r="BT279" i="9" s="1"/>
  <c r="AC279" i="9"/>
  <c r="M280" i="9"/>
  <c r="EQ278" i="9"/>
  <c r="EP278" i="9"/>
  <c r="ES278" i="9"/>
  <c r="ER278" i="9"/>
  <c r="BS279" i="9"/>
  <c r="AG277" i="12"/>
  <c r="AI277" i="12"/>
  <c r="AH277" i="12"/>
  <c r="CZ279" i="9"/>
  <c r="DB279" i="9" s="1"/>
  <c r="BS277" i="12"/>
  <c r="BT277" i="12"/>
  <c r="BU277" i="12"/>
  <c r="BA277" i="12"/>
  <c r="AZ277" i="12"/>
  <c r="BB277" i="12"/>
  <c r="DX277" i="12"/>
  <c r="DZ277" i="12"/>
  <c r="DY277" i="12"/>
  <c r="EL279" i="9"/>
  <c r="EN279" i="9" s="1"/>
  <c r="CG279" i="9"/>
  <c r="CI279" i="9" s="1"/>
  <c r="P280" i="9"/>
  <c r="Q280" i="9" s="1"/>
  <c r="DE277" i="12"/>
  <c r="DG277" i="12"/>
  <c r="DF277" i="12"/>
  <c r="K281" i="9" a="1"/>
  <c r="K281" i="9" s="1"/>
  <c r="N281" i="9" a="1"/>
  <c r="N281" i="9" s="1"/>
  <c r="J281" i="9" a="1"/>
  <c r="J281" i="9" s="1"/>
  <c r="O281" i="9" a="1"/>
  <c r="O281" i="9" s="1"/>
  <c r="G281" i="9" a="1"/>
  <c r="G281" i="9" s="1"/>
  <c r="H281" i="9" a="1"/>
  <c r="H281" i="9" s="1"/>
  <c r="L281" i="9" a="1"/>
  <c r="L281" i="9" s="1"/>
  <c r="D282" i="9"/>
  <c r="AI278" i="9"/>
  <c r="AH278" i="9"/>
  <c r="AG278" i="9"/>
  <c r="AF278" i="9"/>
  <c r="FJ278" i="9"/>
  <c r="FK278" i="9"/>
  <c r="FI278" i="9"/>
  <c r="FL278" i="9"/>
  <c r="DF278" i="9"/>
  <c r="DE278" i="9"/>
  <c r="DD278" i="9"/>
  <c r="DG278" i="9"/>
  <c r="CE280" i="9"/>
  <c r="CF280" i="9" s="1"/>
  <c r="CJ280" i="9" s="1"/>
  <c r="Z280" i="9"/>
  <c r="AA280" i="9" s="1"/>
  <c r="AE280" i="9" s="1"/>
  <c r="FC280" i="9"/>
  <c r="FD280" i="9" s="1"/>
  <c r="FH280" i="9" s="1"/>
  <c r="BL280" i="9"/>
  <c r="BM280" i="9" s="1"/>
  <c r="BQ280" i="9" s="1"/>
  <c r="AS280" i="9"/>
  <c r="AT280" i="9" s="1"/>
  <c r="AX280" i="9" s="1"/>
  <c r="CX280" i="9"/>
  <c r="CY280" i="9" s="1"/>
  <c r="DC280" i="9" s="1"/>
  <c r="EJ280" i="9"/>
  <c r="EK280" i="9" s="1"/>
  <c r="EO280" i="9" s="1"/>
  <c r="DQ280" i="9"/>
  <c r="DR280" i="9" s="1"/>
  <c r="DV280" i="9" s="1"/>
  <c r="I281" i="9"/>
  <c r="CK278" i="9"/>
  <c r="CL278" i="9"/>
  <c r="CN278" i="9"/>
  <c r="CM278" i="9"/>
  <c r="CM277" i="12"/>
  <c r="CN277" i="12"/>
  <c r="CL277" i="12"/>
  <c r="DZ278" i="9"/>
  <c r="DY278" i="9"/>
  <c r="DW278" i="9"/>
  <c r="EA278" i="9" s="1"/>
  <c r="DX278" i="9"/>
  <c r="BS278" i="9"/>
  <c r="BU278" i="9"/>
  <c r="BT278" i="9"/>
  <c r="BR278" i="9"/>
  <c r="BV278" i="9" s="1"/>
  <c r="DT279" i="9"/>
  <c r="FE279" i="9"/>
  <c r="FG279" i="9" s="1"/>
  <c r="BA278" i="9"/>
  <c r="BB278" i="9"/>
  <c r="AZ278" i="9"/>
  <c r="AY278" i="9"/>
  <c r="J280" i="12" a="1"/>
  <c r="J280" i="12" s="1"/>
  <c r="G280" i="12" a="1"/>
  <c r="G280" i="12" s="1"/>
  <c r="O280" i="12" a="1"/>
  <c r="O280" i="12" s="1"/>
  <c r="N280" i="12" a="1"/>
  <c r="N280" i="12" s="1"/>
  <c r="L280" i="12" a="1"/>
  <c r="L280" i="12" s="1"/>
  <c r="H280" i="12" a="1"/>
  <c r="H280" i="12" s="1"/>
  <c r="D281" i="12"/>
  <c r="K280" i="12" a="1"/>
  <c r="K280" i="12" s="1"/>
  <c r="EQ277" i="12"/>
  <c r="ES277" i="12"/>
  <c r="ER277" i="12"/>
  <c r="FJ277" i="12"/>
  <c r="FL277" i="12"/>
  <c r="FK277" i="12"/>
  <c r="EM279" i="9"/>
  <c r="AU279" i="9"/>
  <c r="AW279" i="9" s="1"/>
  <c r="FE278" i="12"/>
  <c r="FG278" i="12" s="1"/>
  <c r="EP278" i="12"/>
  <c r="FF278" i="12"/>
  <c r="DD278" i="12"/>
  <c r="CK278" i="12"/>
  <c r="AC278" i="12"/>
  <c r="BO278" i="12"/>
  <c r="AB278" i="12"/>
  <c r="AD278" i="12" s="1"/>
  <c r="BN278" i="12"/>
  <c r="BP278" i="12" s="1"/>
  <c r="FI278" i="12"/>
  <c r="DW278" i="12"/>
  <c r="CG278" i="12"/>
  <c r="CI278" i="12" s="1"/>
  <c r="CH278" i="12"/>
  <c r="BR278" i="12"/>
  <c r="AF278" i="12"/>
  <c r="DT278" i="12"/>
  <c r="EM278" i="12"/>
  <c r="DA278" i="12"/>
  <c r="AY278" i="12"/>
  <c r="DS278" i="12"/>
  <c r="DU278" i="12" s="1"/>
  <c r="EL278" i="12"/>
  <c r="EN278" i="12" s="1"/>
  <c r="CZ278" i="12"/>
  <c r="DB278" i="12" s="1"/>
  <c r="AV278" i="12"/>
  <c r="AU278" i="12"/>
  <c r="AW278" i="12" s="1"/>
  <c r="DH278" i="9" l="1"/>
  <c r="BC278" i="9"/>
  <c r="CO278" i="9"/>
  <c r="AJ278" i="9"/>
  <c r="AG279" i="9"/>
  <c r="FM278" i="9"/>
  <c r="AF279" i="9"/>
  <c r="AI279" i="9"/>
  <c r="DX279" i="9"/>
  <c r="DZ279" i="9"/>
  <c r="BU279" i="9"/>
  <c r="DW279" i="9"/>
  <c r="EA279" i="9" s="1"/>
  <c r="AJ277" i="12"/>
  <c r="BC277" i="12"/>
  <c r="BR279" i="9"/>
  <c r="BV279" i="9" s="1"/>
  <c r="CO277" i="12"/>
  <c r="FM277" i="12"/>
  <c r="DH277" i="12"/>
  <c r="M280" i="12"/>
  <c r="P280" i="12" s="1"/>
  <c r="Q280" i="12" s="1"/>
  <c r="BV277" i="12"/>
  <c r="DX278" i="12"/>
  <c r="DZ278" i="12"/>
  <c r="DY278" i="12"/>
  <c r="CM278" i="12"/>
  <c r="CL278" i="12"/>
  <c r="CN278" i="12"/>
  <c r="EA277" i="12"/>
  <c r="FI279" i="9"/>
  <c r="FK279" i="9"/>
  <c r="FL279" i="9"/>
  <c r="FJ279" i="9"/>
  <c r="ET277" i="12"/>
  <c r="AS281" i="9"/>
  <c r="AT281" i="9" s="1"/>
  <c r="AX281" i="9" s="1"/>
  <c r="Z281" i="9"/>
  <c r="AA281" i="9" s="1"/>
  <c r="AE281" i="9" s="1"/>
  <c r="EJ281" i="9"/>
  <c r="EK281" i="9" s="1"/>
  <c r="EO281" i="9" s="1"/>
  <c r="CE281" i="9"/>
  <c r="CF281" i="9" s="1"/>
  <c r="CJ281" i="9" s="1"/>
  <c r="BL281" i="9"/>
  <c r="BM281" i="9" s="1"/>
  <c r="BQ281" i="9" s="1"/>
  <c r="DQ281" i="9"/>
  <c r="DR281" i="9" s="1"/>
  <c r="DV281" i="9" s="1"/>
  <c r="CX281" i="9"/>
  <c r="CY281" i="9" s="1"/>
  <c r="DC281" i="9" s="1"/>
  <c r="FC281" i="9"/>
  <c r="FD281" i="9" s="1"/>
  <c r="FH281" i="9" s="1"/>
  <c r="I282" i="9"/>
  <c r="DG279" i="9"/>
  <c r="DE279" i="9"/>
  <c r="DF279" i="9"/>
  <c r="DD279" i="9"/>
  <c r="EP279" i="12"/>
  <c r="FF279" i="12"/>
  <c r="FE279" i="12"/>
  <c r="FG279" i="12" s="1"/>
  <c r="CK279" i="12"/>
  <c r="DD279" i="12"/>
  <c r="BO279" i="12"/>
  <c r="BN279" i="12"/>
  <c r="BP279" i="12" s="1"/>
  <c r="AC279" i="12"/>
  <c r="AB279" i="12"/>
  <c r="AD279" i="12" s="1"/>
  <c r="CH279" i="12"/>
  <c r="CZ279" i="12"/>
  <c r="DB279" i="12" s="1"/>
  <c r="DT279" i="12"/>
  <c r="DS279" i="12"/>
  <c r="DU279" i="12" s="1"/>
  <c r="BR279" i="12"/>
  <c r="DW279" i="12"/>
  <c r="FI279" i="12"/>
  <c r="CG279" i="12"/>
  <c r="CI279" i="12" s="1"/>
  <c r="DA279" i="12"/>
  <c r="AF279" i="12"/>
  <c r="EM279" i="12"/>
  <c r="EL279" i="12"/>
  <c r="EN279" i="12" s="1"/>
  <c r="AY279" i="12"/>
  <c r="AV279" i="12"/>
  <c r="AU279" i="12"/>
  <c r="AW279" i="12" s="1"/>
  <c r="L282" i="9" a="1"/>
  <c r="L282" i="9" s="1"/>
  <c r="K282" i="9" a="1"/>
  <c r="K282" i="9" s="1"/>
  <c r="G282" i="9" a="1"/>
  <c r="G282" i="9" s="1"/>
  <c r="O282" i="9" a="1"/>
  <c r="O282" i="9" s="1"/>
  <c r="H282" i="9" a="1"/>
  <c r="H282" i="9" s="1"/>
  <c r="N282" i="9" a="1"/>
  <c r="N282" i="9" s="1"/>
  <c r="J282" i="9" a="1"/>
  <c r="J282" i="9" s="1"/>
  <c r="D283" i="9"/>
  <c r="BS278" i="12"/>
  <c r="BT278" i="12"/>
  <c r="BU278" i="12"/>
  <c r="FJ278" i="12"/>
  <c r="FL278" i="12"/>
  <c r="FK278" i="12"/>
  <c r="CG280" i="9"/>
  <c r="CI280" i="9" s="1"/>
  <c r="BO280" i="9"/>
  <c r="CH280" i="9"/>
  <c r="AV280" i="9"/>
  <c r="FF280" i="9"/>
  <c r="BN280" i="9"/>
  <c r="BP280" i="9" s="1"/>
  <c r="AU280" i="9"/>
  <c r="AW280" i="9" s="1"/>
  <c r="FE280" i="9"/>
  <c r="FG280" i="9" s="1"/>
  <c r="AB280" i="9"/>
  <c r="AD280" i="9" s="1"/>
  <c r="AC280" i="9"/>
  <c r="CZ280" i="9"/>
  <c r="DB280" i="9" s="1"/>
  <c r="EM280" i="9"/>
  <c r="DA280" i="9"/>
  <c r="EL280" i="9"/>
  <c r="EN280" i="9" s="1"/>
  <c r="DS280" i="9"/>
  <c r="DU280" i="9" s="1"/>
  <c r="DT280" i="9"/>
  <c r="EQ278" i="12"/>
  <c r="ES278" i="12"/>
  <c r="ER278" i="12"/>
  <c r="AZ278" i="12"/>
  <c r="BB278" i="12"/>
  <c r="BA278" i="12"/>
  <c r="BB279" i="9"/>
  <c r="BA279" i="9"/>
  <c r="AY279" i="9"/>
  <c r="AZ279" i="9"/>
  <c r="CL279" i="9"/>
  <c r="CK279" i="9"/>
  <c r="CN279" i="9"/>
  <c r="CM279" i="9"/>
  <c r="AG278" i="12"/>
  <c r="AI278" i="12"/>
  <c r="AH278" i="12"/>
  <c r="DE278" i="12"/>
  <c r="DG278" i="12"/>
  <c r="DF278" i="12"/>
  <c r="L281" i="12" a="1"/>
  <c r="L281" i="12" s="1"/>
  <c r="J281" i="12" a="1"/>
  <c r="J281" i="12" s="1"/>
  <c r="G281" i="12" a="1"/>
  <c r="G281" i="12" s="1"/>
  <c r="O281" i="12" a="1"/>
  <c r="O281" i="12" s="1"/>
  <c r="K281" i="12" a="1"/>
  <c r="K281" i="12" s="1"/>
  <c r="N281" i="12" a="1"/>
  <c r="N281" i="12" s="1"/>
  <c r="H281" i="12" a="1"/>
  <c r="H281" i="12" s="1"/>
  <c r="D282" i="12"/>
  <c r="M281" i="9"/>
  <c r="P281" i="9" s="1"/>
  <c r="Q281" i="9" s="1"/>
  <c r="EP279" i="9"/>
  <c r="ET279" i="9" s="1"/>
  <c r="EQ279" i="9"/>
  <c r="ER279" i="9"/>
  <c r="ES279" i="9"/>
  <c r="DH279" i="9" l="1"/>
  <c r="AJ279" i="9"/>
  <c r="CO279" i="9"/>
  <c r="BC279" i="9"/>
  <c r="FM279" i="9"/>
  <c r="BV278" i="12"/>
  <c r="DH278" i="12"/>
  <c r="FM278" i="12"/>
  <c r="CO278" i="12"/>
  <c r="AJ278" i="12"/>
  <c r="ET278" i="12"/>
  <c r="EQ279" i="12"/>
  <c r="ES279" i="12"/>
  <c r="ER279" i="12"/>
  <c r="EJ282" i="9"/>
  <c r="EK282" i="9" s="1"/>
  <c r="EO282" i="9" s="1"/>
  <c r="DQ282" i="9"/>
  <c r="DR282" i="9" s="1"/>
  <c r="DV282" i="9" s="1"/>
  <c r="Z282" i="9"/>
  <c r="AA282" i="9" s="1"/>
  <c r="AE282" i="9" s="1"/>
  <c r="CX282" i="9"/>
  <c r="CY282" i="9" s="1"/>
  <c r="DC282" i="9" s="1"/>
  <c r="AS282" i="9"/>
  <c r="AT282" i="9" s="1"/>
  <c r="AX282" i="9" s="1"/>
  <c r="FC282" i="9"/>
  <c r="FD282" i="9" s="1"/>
  <c r="FH282" i="9" s="1"/>
  <c r="BL282" i="9"/>
  <c r="BM282" i="9" s="1"/>
  <c r="BQ282" i="9" s="1"/>
  <c r="CE282" i="9"/>
  <c r="CF282" i="9" s="1"/>
  <c r="CJ282" i="9" s="1"/>
  <c r="I283" i="9"/>
  <c r="BC278" i="12"/>
  <c r="DE279" i="12"/>
  <c r="DG279" i="12"/>
  <c r="DF279" i="12"/>
  <c r="FJ279" i="12"/>
  <c r="FK279" i="12"/>
  <c r="FL279" i="12"/>
  <c r="DX279" i="12"/>
  <c r="DZ279" i="12"/>
  <c r="DY279" i="12"/>
  <c r="DG280" i="9"/>
  <c r="DF280" i="9"/>
  <c r="DD280" i="9"/>
  <c r="DE280" i="9"/>
  <c r="EP280" i="9"/>
  <c r="ET280" i="9" s="1"/>
  <c r="EQ280" i="9"/>
  <c r="ES280" i="9"/>
  <c r="ER280" i="9"/>
  <c r="CL279" i="12"/>
  <c r="CN279" i="12"/>
  <c r="CM279" i="12"/>
  <c r="AG279" i="12"/>
  <c r="AI279" i="12"/>
  <c r="AH279" i="12"/>
  <c r="BR280" i="9"/>
  <c r="BV280" i="9" s="1"/>
  <c r="BT280" i="9"/>
  <c r="BS280" i="9"/>
  <c r="BU280" i="9"/>
  <c r="M281" i="12"/>
  <c r="P281" i="12" s="1"/>
  <c r="Q281" i="12" s="1"/>
  <c r="AH280" i="9"/>
  <c r="AI280" i="9"/>
  <c r="AG280" i="9"/>
  <c r="AF280" i="9"/>
  <c r="CL280" i="9"/>
  <c r="CM280" i="9"/>
  <c r="CK280" i="9"/>
  <c r="CN280" i="9"/>
  <c r="N283" i="9" a="1"/>
  <c r="N283" i="9" s="1"/>
  <c r="G283" i="9" a="1"/>
  <c r="G283" i="9" s="1"/>
  <c r="L283" i="9" a="1"/>
  <c r="L283" i="9" s="1"/>
  <c r="H283" i="9" a="1"/>
  <c r="H283" i="9" s="1"/>
  <c r="K283" i="9" a="1"/>
  <c r="K283" i="9" s="1"/>
  <c r="J283" i="9" a="1"/>
  <c r="J283" i="9" s="1"/>
  <c r="O283" i="9" a="1"/>
  <c r="O283" i="9" s="1"/>
  <c r="D284" i="9"/>
  <c r="AZ279" i="12"/>
  <c r="BB279" i="12"/>
  <c r="BA279" i="12"/>
  <c r="EA278" i="12"/>
  <c r="FL280" i="9"/>
  <c r="FK280" i="9"/>
  <c r="FJ280" i="9"/>
  <c r="FI280" i="9"/>
  <c r="FE280" i="12"/>
  <c r="FG280" i="12" s="1"/>
  <c r="EP280" i="12"/>
  <c r="FF280" i="12"/>
  <c r="DD280" i="12"/>
  <c r="CK280" i="12"/>
  <c r="AB280" i="12"/>
  <c r="AD280" i="12" s="1"/>
  <c r="BN280" i="12"/>
  <c r="BP280" i="12" s="1"/>
  <c r="BO280" i="12"/>
  <c r="AC280" i="12"/>
  <c r="DW280" i="12"/>
  <c r="DA280" i="12"/>
  <c r="CG280" i="12"/>
  <c r="CI280" i="12" s="1"/>
  <c r="CZ280" i="12"/>
  <c r="DB280" i="12" s="1"/>
  <c r="EM280" i="12"/>
  <c r="CH280" i="12"/>
  <c r="AY280" i="12"/>
  <c r="BR280" i="12"/>
  <c r="DS280" i="12"/>
  <c r="DU280" i="12" s="1"/>
  <c r="FI280" i="12"/>
  <c r="AF280" i="12"/>
  <c r="EL280" i="12"/>
  <c r="EN280" i="12" s="1"/>
  <c r="DT280" i="12"/>
  <c r="AU280" i="12"/>
  <c r="AW280" i="12" s="1"/>
  <c r="AV280" i="12"/>
  <c r="M282" i="9"/>
  <c r="P282" i="9" s="1"/>
  <c r="Q282" i="9" s="1"/>
  <c r="BS279" i="12"/>
  <c r="BT279" i="12"/>
  <c r="BU279" i="12"/>
  <c r="BN281" i="9"/>
  <c r="BP281" i="9" s="1"/>
  <c r="FE281" i="9"/>
  <c r="FG281" i="9" s="1"/>
  <c r="BO281" i="9"/>
  <c r="FF281" i="9"/>
  <c r="AV281" i="9"/>
  <c r="AU281" i="9"/>
  <c r="AW281" i="9" s="1"/>
  <c r="CH281" i="9"/>
  <c r="CG281" i="9"/>
  <c r="CI281" i="9" s="1"/>
  <c r="CZ281" i="9"/>
  <c r="DB281" i="9" s="1"/>
  <c r="AB281" i="9"/>
  <c r="AD281" i="9" s="1"/>
  <c r="DA281" i="9"/>
  <c r="AC281" i="9"/>
  <c r="EL281" i="9"/>
  <c r="EN281" i="9" s="1"/>
  <c r="EM281" i="9"/>
  <c r="DS281" i="9"/>
  <c r="DU281" i="9" s="1"/>
  <c r="DT281" i="9"/>
  <c r="L282" i="12" a="1"/>
  <c r="L282" i="12" s="1"/>
  <c r="G282" i="12" a="1"/>
  <c r="G282" i="12" s="1"/>
  <c r="K282" i="12" a="1"/>
  <c r="K282" i="12" s="1"/>
  <c r="O282" i="12" a="1"/>
  <c r="O282" i="12" s="1"/>
  <c r="N282" i="12" a="1"/>
  <c r="N282" i="12" s="1"/>
  <c r="H282" i="12" a="1"/>
  <c r="H282" i="12" s="1"/>
  <c r="J282" i="12" a="1"/>
  <c r="J282" i="12" s="1"/>
  <c r="D283" i="12"/>
  <c r="DZ280" i="9"/>
  <c r="DX280" i="9"/>
  <c r="DY280" i="9"/>
  <c r="DW280" i="9"/>
  <c r="EA280" i="9" s="1"/>
  <c r="AY280" i="9"/>
  <c r="BA280" i="9"/>
  <c r="BB280" i="9"/>
  <c r="AZ280" i="9"/>
  <c r="FM280" i="9" l="1"/>
  <c r="DH280" i="9"/>
  <c r="BC280" i="9"/>
  <c r="CO280" i="9"/>
  <c r="AJ280" i="9"/>
  <c r="FM281" i="9"/>
  <c r="BC279" i="12"/>
  <c r="FM279" i="12"/>
  <c r="M283" i="9"/>
  <c r="P283" i="9" s="1"/>
  <c r="Q283" i="9" s="1"/>
  <c r="EA279" i="12"/>
  <c r="BV279" i="12"/>
  <c r="CO279" i="12"/>
  <c r="AJ279" i="12"/>
  <c r="DE280" i="12"/>
  <c r="DG280" i="12"/>
  <c r="DF280" i="12"/>
  <c r="CL280" i="12"/>
  <c r="CN280" i="12"/>
  <c r="CM280" i="12"/>
  <c r="M282" i="12"/>
  <c r="P282" i="12" s="1"/>
  <c r="Q282" i="12" s="1"/>
  <c r="DZ281" i="9"/>
  <c r="DY281" i="9"/>
  <c r="DW281" i="9"/>
  <c r="DX281" i="9"/>
  <c r="CN281" i="9"/>
  <c r="CM281" i="9"/>
  <c r="CL281" i="9"/>
  <c r="CK281" i="9"/>
  <c r="AZ281" i="9"/>
  <c r="AY281" i="9"/>
  <c r="BB281" i="9"/>
  <c r="BA281" i="9"/>
  <c r="DX280" i="12"/>
  <c r="DZ280" i="12"/>
  <c r="DY280" i="12"/>
  <c r="BU281" i="9"/>
  <c r="BR281" i="9"/>
  <c r="BS281" i="9"/>
  <c r="BT281" i="9"/>
  <c r="EQ281" i="9"/>
  <c r="EP281" i="9"/>
  <c r="ES281" i="9"/>
  <c r="ER281" i="9"/>
  <c r="BN282" i="9"/>
  <c r="BP282" i="9" s="1"/>
  <c r="AV282" i="9"/>
  <c r="CH282" i="9"/>
  <c r="FE282" i="9"/>
  <c r="FG282" i="9" s="1"/>
  <c r="CG282" i="9"/>
  <c r="CI282" i="9" s="1"/>
  <c r="BO282" i="9"/>
  <c r="FF282" i="9"/>
  <c r="AU282" i="9"/>
  <c r="AW282" i="9" s="1"/>
  <c r="EL282" i="9"/>
  <c r="EN282" i="9" s="1"/>
  <c r="AC282" i="9"/>
  <c r="EM282" i="9"/>
  <c r="AB282" i="9"/>
  <c r="AD282" i="9" s="1"/>
  <c r="CZ282" i="9"/>
  <c r="DB282" i="9" s="1"/>
  <c r="DA282" i="9"/>
  <c r="DT282" i="9"/>
  <c r="DS282" i="9"/>
  <c r="DU282" i="9" s="1"/>
  <c r="FJ280" i="12"/>
  <c r="FK280" i="12"/>
  <c r="FL280" i="12"/>
  <c r="DQ283" i="9"/>
  <c r="DR283" i="9" s="1"/>
  <c r="DV283" i="9" s="1"/>
  <c r="FC283" i="9"/>
  <c r="FD283" i="9" s="1"/>
  <c r="FH283" i="9" s="1"/>
  <c r="CX283" i="9"/>
  <c r="CY283" i="9" s="1"/>
  <c r="DC283" i="9" s="1"/>
  <c r="Z283" i="9"/>
  <c r="AA283" i="9" s="1"/>
  <c r="AE283" i="9" s="1"/>
  <c r="AS283" i="9"/>
  <c r="AT283" i="9" s="1"/>
  <c r="AX283" i="9" s="1"/>
  <c r="CE283" i="9"/>
  <c r="CF283" i="9" s="1"/>
  <c r="CJ283" i="9" s="1"/>
  <c r="EJ283" i="9"/>
  <c r="EK283" i="9" s="1"/>
  <c r="EO283" i="9" s="1"/>
  <c r="BL283" i="9"/>
  <c r="BM283" i="9" s="1"/>
  <c r="BQ283" i="9" s="1"/>
  <c r="I284" i="9"/>
  <c r="EQ280" i="12"/>
  <c r="ES280" i="12"/>
  <c r="ER280" i="12"/>
  <c r="K283" i="12" a="1"/>
  <c r="K283" i="12" s="1"/>
  <c r="L283" i="12" a="1"/>
  <c r="L283" i="12" s="1"/>
  <c r="G283" i="12" a="1"/>
  <c r="G283" i="12" s="1"/>
  <c r="J283" i="12" a="1"/>
  <c r="J283" i="12" s="1"/>
  <c r="N283" i="12" a="1"/>
  <c r="N283" i="12" s="1"/>
  <c r="H283" i="12" a="1"/>
  <c r="H283" i="12" s="1"/>
  <c r="O283" i="12" a="1"/>
  <c r="O283" i="12" s="1"/>
  <c r="D284" i="12"/>
  <c r="DF281" i="9"/>
  <c r="DG281" i="9"/>
  <c r="DE281" i="9"/>
  <c r="DD281" i="9"/>
  <c r="DH281" i="9" s="1"/>
  <c r="BB280" i="12"/>
  <c r="AZ280" i="12"/>
  <c r="BA280" i="12"/>
  <c r="BS280" i="12"/>
  <c r="BU280" i="12"/>
  <c r="BT280" i="12"/>
  <c r="L284" i="9" a="1"/>
  <c r="L284" i="9" s="1"/>
  <c r="G284" i="9" a="1"/>
  <c r="G284" i="9" s="1"/>
  <c r="H284" i="9" a="1"/>
  <c r="H284" i="9" s="1"/>
  <c r="O284" i="9" a="1"/>
  <c r="O284" i="9" s="1"/>
  <c r="N284" i="9" a="1"/>
  <c r="N284" i="9" s="1"/>
  <c r="J284" i="9" a="1"/>
  <c r="J284" i="9" s="1"/>
  <c r="K284" i="9" a="1"/>
  <c r="K284" i="9" s="1"/>
  <c r="D285" i="9"/>
  <c r="EP281" i="12"/>
  <c r="FF281" i="12"/>
  <c r="FE281" i="12"/>
  <c r="FG281" i="12" s="1"/>
  <c r="DD281" i="12"/>
  <c r="CK281" i="12"/>
  <c r="AC281" i="12"/>
  <c r="AB281" i="12"/>
  <c r="AD281" i="12" s="1"/>
  <c r="BN281" i="12"/>
  <c r="BP281" i="12" s="1"/>
  <c r="BO281" i="12"/>
  <c r="FI281" i="12"/>
  <c r="DT281" i="12"/>
  <c r="EL281" i="12"/>
  <c r="EN281" i="12" s="1"/>
  <c r="DW281" i="12"/>
  <c r="CH281" i="12"/>
  <c r="EM281" i="12"/>
  <c r="AY281" i="12"/>
  <c r="AF281" i="12"/>
  <c r="CG281" i="12"/>
  <c r="CI281" i="12" s="1"/>
  <c r="CZ281" i="12"/>
  <c r="DB281" i="12" s="1"/>
  <c r="BR281" i="12"/>
  <c r="DS281" i="12"/>
  <c r="DU281" i="12" s="1"/>
  <c r="DA281" i="12"/>
  <c r="AV281" i="12"/>
  <c r="AU281" i="12"/>
  <c r="AW281" i="12" s="1"/>
  <c r="ET279" i="12"/>
  <c r="AH281" i="9"/>
  <c r="AF281" i="9"/>
  <c r="AG281" i="9"/>
  <c r="AI281" i="9"/>
  <c r="FJ281" i="9"/>
  <c r="FI281" i="9"/>
  <c r="FK281" i="9"/>
  <c r="FL281" i="9"/>
  <c r="AH280" i="12"/>
  <c r="AI280" i="12"/>
  <c r="AG280" i="12"/>
  <c r="DH279" i="12"/>
  <c r="AC283" i="9" l="1"/>
  <c r="EM283" i="9"/>
  <c r="BN283" i="9"/>
  <c r="BP283" i="9" s="1"/>
  <c r="FF283" i="9"/>
  <c r="DS283" i="9"/>
  <c r="DU283" i="9" s="1"/>
  <c r="AU283" i="9"/>
  <c r="AW283" i="9" s="1"/>
  <c r="BB283" i="9" s="1"/>
  <c r="EA281" i="9"/>
  <c r="BV281" i="9"/>
  <c r="ET281" i="9"/>
  <c r="AJ281" i="9"/>
  <c r="CO281" i="9"/>
  <c r="BC281" i="9"/>
  <c r="AJ280" i="12"/>
  <c r="ET280" i="12"/>
  <c r="FM280" i="12"/>
  <c r="CO280" i="12"/>
  <c r="AB283" i="9"/>
  <c r="AD283" i="9" s="1"/>
  <c r="AF283" i="9" s="1"/>
  <c r="FE283" i="9"/>
  <c r="FG283" i="9" s="1"/>
  <c r="EA280" i="12"/>
  <c r="BV280" i="12"/>
  <c r="DX283" i="9"/>
  <c r="DW283" i="9"/>
  <c r="DY283" i="9"/>
  <c r="DZ283" i="9"/>
  <c r="BT283" i="9"/>
  <c r="BU283" i="9"/>
  <c r="BS283" i="9"/>
  <c r="BR283" i="9"/>
  <c r="DX281" i="12"/>
  <c r="DZ281" i="12"/>
  <c r="DY281" i="12"/>
  <c r="EQ281" i="12"/>
  <c r="ES281" i="12"/>
  <c r="ER281" i="12"/>
  <c r="BC280" i="12"/>
  <c r="EP282" i="12"/>
  <c r="FF282" i="12"/>
  <c r="FE282" i="12"/>
  <c r="FG282" i="12" s="1"/>
  <c r="CK282" i="12"/>
  <c r="DD282" i="12"/>
  <c r="AC282" i="12"/>
  <c r="BO282" i="12"/>
  <c r="AB282" i="12"/>
  <c r="AD282" i="12" s="1"/>
  <c r="BN282" i="12"/>
  <c r="BP282" i="12" s="1"/>
  <c r="CG282" i="12"/>
  <c r="CI282" i="12" s="1"/>
  <c r="AY282" i="12"/>
  <c r="DW282" i="12"/>
  <c r="AF282" i="12"/>
  <c r="CH282" i="12"/>
  <c r="BR282" i="12"/>
  <c r="FI282" i="12"/>
  <c r="EM282" i="12"/>
  <c r="DA282" i="12"/>
  <c r="DT282" i="12"/>
  <c r="EL282" i="12"/>
  <c r="EN282" i="12" s="1"/>
  <c r="CZ282" i="12"/>
  <c r="DB282" i="12" s="1"/>
  <c r="DS282" i="12"/>
  <c r="DU282" i="12" s="1"/>
  <c r="AV282" i="12"/>
  <c r="AU282" i="12"/>
  <c r="AW282" i="12" s="1"/>
  <c r="DE281" i="12"/>
  <c r="DG281" i="12"/>
  <c r="DF281" i="12"/>
  <c r="FJ281" i="12"/>
  <c r="FL281" i="12"/>
  <c r="FK281" i="12"/>
  <c r="CX284" i="9"/>
  <c r="CY284" i="9" s="1"/>
  <c r="DC284" i="9" s="1"/>
  <c r="AS284" i="9"/>
  <c r="AT284" i="9" s="1"/>
  <c r="AX284" i="9" s="1"/>
  <c r="EJ284" i="9"/>
  <c r="EK284" i="9" s="1"/>
  <c r="EO284" i="9" s="1"/>
  <c r="DQ284" i="9"/>
  <c r="DR284" i="9" s="1"/>
  <c r="DV284" i="9" s="1"/>
  <c r="BL284" i="9"/>
  <c r="BM284" i="9" s="1"/>
  <c r="BQ284" i="9" s="1"/>
  <c r="Z284" i="9"/>
  <c r="AA284" i="9" s="1"/>
  <c r="AE284" i="9" s="1"/>
  <c r="CE284" i="9"/>
  <c r="CF284" i="9" s="1"/>
  <c r="CJ284" i="9" s="1"/>
  <c r="FC284" i="9"/>
  <c r="FD284" i="9" s="1"/>
  <c r="FH284" i="9" s="1"/>
  <c r="I285" i="9"/>
  <c r="DG282" i="9"/>
  <c r="DF282" i="9"/>
  <c r="DD282" i="9"/>
  <c r="DE282" i="9"/>
  <c r="CN282" i="9"/>
  <c r="CM282" i="9"/>
  <c r="CL282" i="9"/>
  <c r="CK282" i="9"/>
  <c r="BO283" i="9"/>
  <c r="FJ283" i="9"/>
  <c r="FL283" i="9"/>
  <c r="FK283" i="9"/>
  <c r="FI283" i="9"/>
  <c r="CN281" i="12"/>
  <c r="CL281" i="12"/>
  <c r="CM281" i="12"/>
  <c r="M283" i="12"/>
  <c r="P283" i="12" s="1"/>
  <c r="Q283" i="12" s="1"/>
  <c r="AG282" i="9"/>
  <c r="AF282" i="9"/>
  <c r="AH282" i="9"/>
  <c r="AI282" i="9"/>
  <c r="FI282" i="9"/>
  <c r="FK282" i="9"/>
  <c r="FJ282" i="9"/>
  <c r="FL282" i="9"/>
  <c r="DA283" i="9"/>
  <c r="DT283" i="9"/>
  <c r="CG283" i="9"/>
  <c r="CI283" i="9" s="1"/>
  <c r="BA281" i="12"/>
  <c r="BB281" i="12"/>
  <c r="AZ281" i="12"/>
  <c r="BS281" i="12"/>
  <c r="BU281" i="12"/>
  <c r="BT281" i="12"/>
  <c r="O285" i="9" a="1"/>
  <c r="O285" i="9" s="1"/>
  <c r="H285" i="9" a="1"/>
  <c r="H285" i="9" s="1"/>
  <c r="N285" i="9" a="1"/>
  <c r="N285" i="9" s="1"/>
  <c r="L285" i="9" a="1"/>
  <c r="L285" i="9" s="1"/>
  <c r="G285" i="9" a="1"/>
  <c r="G285" i="9" s="1"/>
  <c r="K285" i="9" a="1"/>
  <c r="K285" i="9" s="1"/>
  <c r="J285" i="9" a="1"/>
  <c r="J285" i="9" s="1"/>
  <c r="D286" i="9"/>
  <c r="AV283" i="9"/>
  <c r="DH280" i="12"/>
  <c r="AI281" i="12"/>
  <c r="AG281" i="12"/>
  <c r="AH281" i="12"/>
  <c r="ES282" i="9"/>
  <c r="ER282" i="9"/>
  <c r="EP282" i="9"/>
  <c r="EQ282" i="9"/>
  <c r="BS282" i="9"/>
  <c r="BT282" i="9"/>
  <c r="BR282" i="9"/>
  <c r="BU282" i="9"/>
  <c r="EL283" i="9"/>
  <c r="EN283" i="9" s="1"/>
  <c r="M284" i="9"/>
  <c r="P284" i="9" s="1"/>
  <c r="Q284" i="9" s="1"/>
  <c r="J284" i="12" a="1"/>
  <c r="J284" i="12" s="1"/>
  <c r="N284" i="12" a="1"/>
  <c r="N284" i="12" s="1"/>
  <c r="L284" i="12" a="1"/>
  <c r="L284" i="12" s="1"/>
  <c r="G284" i="12" a="1"/>
  <c r="G284" i="12" s="1"/>
  <c r="K284" i="12" a="1"/>
  <c r="K284" i="12" s="1"/>
  <c r="O284" i="12" a="1"/>
  <c r="O284" i="12" s="1"/>
  <c r="H284" i="12" a="1"/>
  <c r="H284" i="12" s="1"/>
  <c r="D285" i="12"/>
  <c r="DY282" i="9"/>
  <c r="DX282" i="9"/>
  <c r="DZ282" i="9"/>
  <c r="DW282" i="9"/>
  <c r="AZ282" i="9"/>
  <c r="AY282" i="9"/>
  <c r="BA282" i="9"/>
  <c r="BB282" i="9"/>
  <c r="CZ283" i="9"/>
  <c r="DB283" i="9" s="1"/>
  <c r="CH283" i="9"/>
  <c r="BV282" i="9" l="1"/>
  <c r="BV283" i="9" s="1"/>
  <c r="AZ283" i="9"/>
  <c r="AY283" i="9"/>
  <c r="BA283" i="9"/>
  <c r="FM282" i="9"/>
  <c r="FM283" i="9" s="1"/>
  <c r="EA282" i="9"/>
  <c r="EA283" i="9" s="1"/>
  <c r="DH282" i="9"/>
  <c r="ET282" i="9"/>
  <c r="BC282" i="9"/>
  <c r="BC283" i="9" s="1"/>
  <c r="CO282" i="9"/>
  <c r="AJ282" i="9"/>
  <c r="FM281" i="12"/>
  <c r="AC283" i="12"/>
  <c r="CZ283" i="12"/>
  <c r="DB283" i="12" s="1"/>
  <c r="DE283" i="12" s="1"/>
  <c r="AB283" i="12"/>
  <c r="AD283" i="12" s="1"/>
  <c r="AU283" i="12"/>
  <c r="AW283" i="12" s="1"/>
  <c r="BB283" i="12" s="1"/>
  <c r="AF283" i="12"/>
  <c r="AV283" i="12"/>
  <c r="DT283" i="12"/>
  <c r="FI283" i="12"/>
  <c r="DD283" i="12"/>
  <c r="BR283" i="12"/>
  <c r="DS283" i="12"/>
  <c r="DU283" i="12" s="1"/>
  <c r="DY283" i="12" s="1"/>
  <c r="FF283" i="12"/>
  <c r="DA283" i="12"/>
  <c r="EP283" i="12"/>
  <c r="EL283" i="12"/>
  <c r="EN283" i="12" s="1"/>
  <c r="ER283" i="12" s="1"/>
  <c r="DW283" i="12"/>
  <c r="CK283" i="12"/>
  <c r="AI283" i="9"/>
  <c r="AY283" i="12"/>
  <c r="FE283" i="12"/>
  <c r="FG283" i="12" s="1"/>
  <c r="FK283" i="12" s="1"/>
  <c r="AH283" i="9"/>
  <c r="CG283" i="12"/>
  <c r="CI283" i="12" s="1"/>
  <c r="CM283" i="12" s="1"/>
  <c r="AG283" i="9"/>
  <c r="CH283" i="12"/>
  <c r="EM283" i="12"/>
  <c r="BV281" i="12"/>
  <c r="EA281" i="12"/>
  <c r="DH281" i="12"/>
  <c r="CO281" i="12"/>
  <c r="AJ281" i="12"/>
  <c r="EJ285" i="9"/>
  <c r="EK285" i="9" s="1"/>
  <c r="EO285" i="9" s="1"/>
  <c r="CE285" i="9"/>
  <c r="CF285" i="9" s="1"/>
  <c r="CJ285" i="9" s="1"/>
  <c r="DQ285" i="9"/>
  <c r="DR285" i="9" s="1"/>
  <c r="DV285" i="9" s="1"/>
  <c r="AS285" i="9"/>
  <c r="AT285" i="9" s="1"/>
  <c r="AX285" i="9" s="1"/>
  <c r="BL285" i="9"/>
  <c r="BM285" i="9" s="1"/>
  <c r="BQ285" i="9" s="1"/>
  <c r="CX285" i="9"/>
  <c r="CY285" i="9" s="1"/>
  <c r="DC285" i="9" s="1"/>
  <c r="FC285" i="9"/>
  <c r="FD285" i="9" s="1"/>
  <c r="FH285" i="9" s="1"/>
  <c r="Z285" i="9"/>
  <c r="AA285" i="9" s="1"/>
  <c r="AE285" i="9" s="1"/>
  <c r="I286" i="9"/>
  <c r="AZ282" i="12"/>
  <c r="BA282" i="12"/>
  <c r="BB282" i="12"/>
  <c r="AH282" i="12"/>
  <c r="AG282" i="12"/>
  <c r="AI282" i="12"/>
  <c r="ET281" i="12"/>
  <c r="CN283" i="9"/>
  <c r="CM283" i="9"/>
  <c r="CK283" i="9"/>
  <c r="CL283" i="9"/>
  <c r="DX282" i="12"/>
  <c r="DY282" i="12"/>
  <c r="DZ282" i="12"/>
  <c r="BS282" i="12"/>
  <c r="BT282" i="12"/>
  <c r="BU282" i="12"/>
  <c r="M284" i="12"/>
  <c r="P284" i="12" s="1"/>
  <c r="Q284" i="12" s="1"/>
  <c r="L286" i="9" a="1"/>
  <c r="L286" i="9" s="1"/>
  <c r="K286" i="9" a="1"/>
  <c r="K286" i="9" s="1"/>
  <c r="O286" i="9" a="1"/>
  <c r="O286" i="9" s="1"/>
  <c r="G286" i="9" a="1"/>
  <c r="G286" i="9" s="1"/>
  <c r="N286" i="9" a="1"/>
  <c r="N286" i="9" s="1"/>
  <c r="H286" i="9" a="1"/>
  <c r="H286" i="9" s="1"/>
  <c r="J286" i="9" a="1"/>
  <c r="J286" i="9" s="1"/>
  <c r="D287" i="9"/>
  <c r="DE282" i="12"/>
  <c r="DG282" i="12"/>
  <c r="DF282" i="12"/>
  <c r="DE283" i="9"/>
  <c r="DF283" i="9"/>
  <c r="DD283" i="9"/>
  <c r="DH283" i="9" s="1"/>
  <c r="DG283" i="9"/>
  <c r="AV284" i="9"/>
  <c r="BO284" i="9"/>
  <c r="AU284" i="9"/>
  <c r="AW284" i="9" s="1"/>
  <c r="FF284" i="9"/>
  <c r="CH284" i="9"/>
  <c r="BN284" i="9"/>
  <c r="BP284" i="9" s="1"/>
  <c r="FE284" i="9"/>
  <c r="FG284" i="9" s="1"/>
  <c r="CG284" i="9"/>
  <c r="CI284" i="9" s="1"/>
  <c r="EL284" i="9"/>
  <c r="EN284" i="9" s="1"/>
  <c r="CZ284" i="9"/>
  <c r="DB284" i="9" s="1"/>
  <c r="DA284" i="9"/>
  <c r="AB284" i="9"/>
  <c r="AD284" i="9" s="1"/>
  <c r="EM284" i="9"/>
  <c r="AC284" i="9"/>
  <c r="DT284" i="9"/>
  <c r="DS284" i="9"/>
  <c r="DU284" i="9" s="1"/>
  <c r="BO283" i="12"/>
  <c r="M285" i="9"/>
  <c r="P285" i="9" s="1"/>
  <c r="Q285" i="9" s="1"/>
  <c r="EQ282" i="12"/>
  <c r="ES282" i="12"/>
  <c r="ER282" i="12"/>
  <c r="K285" i="12" a="1"/>
  <c r="K285" i="12" s="1"/>
  <c r="H285" i="12" a="1"/>
  <c r="H285" i="12" s="1"/>
  <c r="O285" i="12" a="1"/>
  <c r="O285" i="12" s="1"/>
  <c r="L285" i="12" a="1"/>
  <c r="L285" i="12" s="1"/>
  <c r="N285" i="12" a="1"/>
  <c r="N285" i="12" s="1"/>
  <c r="G285" i="12" a="1"/>
  <c r="G285" i="12" s="1"/>
  <c r="J285" i="12" a="1"/>
  <c r="J285" i="12" s="1"/>
  <c r="D286" i="12"/>
  <c r="AG283" i="12"/>
  <c r="AI283" i="12"/>
  <c r="AH283" i="12"/>
  <c r="ER283" i="9"/>
  <c r="EQ283" i="9"/>
  <c r="ES283" i="9"/>
  <c r="EP283" i="9"/>
  <c r="FJ282" i="12"/>
  <c r="FL282" i="12"/>
  <c r="FK282" i="12"/>
  <c r="AZ283" i="12"/>
  <c r="BN283" i="12"/>
  <c r="BP283" i="12" s="1"/>
  <c r="BC281" i="12"/>
  <c r="CN282" i="12"/>
  <c r="CL282" i="12"/>
  <c r="CM282" i="12"/>
  <c r="BA283" i="12" l="1"/>
  <c r="FL283" i="12"/>
  <c r="FJ283" i="12"/>
  <c r="ET283" i="9"/>
  <c r="DF283" i="12"/>
  <c r="DG283" i="12"/>
  <c r="CL283" i="12"/>
  <c r="BC282" i="12"/>
  <c r="CN283" i="12"/>
  <c r="AJ283" i="9"/>
  <c r="CO283" i="9"/>
  <c r="EQ283" i="12"/>
  <c r="DZ283" i="12"/>
  <c r="DX283" i="12"/>
  <c r="DH283" i="12"/>
  <c r="ES283" i="12"/>
  <c r="DH282" i="12"/>
  <c r="BV282" i="12"/>
  <c r="AJ282" i="12"/>
  <c r="FM283" i="12"/>
  <c r="AJ283" i="12"/>
  <c r="FM282" i="12"/>
  <c r="CO283" i="12"/>
  <c r="CO282" i="12"/>
  <c r="BC283" i="12"/>
  <c r="BN285" i="9"/>
  <c r="BP285" i="9" s="1"/>
  <c r="BO285" i="9"/>
  <c r="CG285" i="9"/>
  <c r="CI285" i="9" s="1"/>
  <c r="CH285" i="9"/>
  <c r="FF285" i="9"/>
  <c r="AV285" i="9"/>
  <c r="FE285" i="9"/>
  <c r="FG285" i="9" s="1"/>
  <c r="AU285" i="9"/>
  <c r="AW285" i="9" s="1"/>
  <c r="AC285" i="9"/>
  <c r="CZ285" i="9"/>
  <c r="DB285" i="9" s="1"/>
  <c r="EM285" i="9"/>
  <c r="AB285" i="9"/>
  <c r="AD285" i="9" s="1"/>
  <c r="DA285" i="9"/>
  <c r="EL285" i="9"/>
  <c r="EN285" i="9" s="1"/>
  <c r="DT285" i="9"/>
  <c r="DS285" i="9"/>
  <c r="DU285" i="9" s="1"/>
  <c r="DF284" i="9"/>
  <c r="DE284" i="9"/>
  <c r="DD284" i="9"/>
  <c r="DH284" i="9" s="1"/>
  <c r="DG284" i="9"/>
  <c r="ES284" i="9"/>
  <c r="ER284" i="9"/>
  <c r="EP284" i="9"/>
  <c r="EQ284" i="9"/>
  <c r="EP284" i="12"/>
  <c r="FE284" i="12"/>
  <c r="FG284" i="12" s="1"/>
  <c r="FF284" i="12"/>
  <c r="CK284" i="12"/>
  <c r="DD284" i="12"/>
  <c r="BO284" i="12"/>
  <c r="AB284" i="12"/>
  <c r="AD284" i="12" s="1"/>
  <c r="BN284" i="12"/>
  <c r="BP284" i="12" s="1"/>
  <c r="AC284" i="12"/>
  <c r="AF284" i="12"/>
  <c r="FI284" i="12"/>
  <c r="DA284" i="12"/>
  <c r="DW284" i="12"/>
  <c r="CZ284" i="12"/>
  <c r="DB284" i="12" s="1"/>
  <c r="DS284" i="12"/>
  <c r="DU284" i="12" s="1"/>
  <c r="CH284" i="12"/>
  <c r="EM284" i="12"/>
  <c r="AY284" i="12"/>
  <c r="BR284" i="12"/>
  <c r="CG284" i="12"/>
  <c r="CI284" i="12" s="1"/>
  <c r="DT284" i="12"/>
  <c r="EL284" i="12"/>
  <c r="EN284" i="12" s="1"/>
  <c r="AV284" i="12"/>
  <c r="AU284" i="12"/>
  <c r="AW284" i="12" s="1"/>
  <c r="EA282" i="12"/>
  <c r="AY284" i="9"/>
  <c r="BA284" i="9"/>
  <c r="AZ284" i="9"/>
  <c r="BB284" i="9"/>
  <c r="BS283" i="12"/>
  <c r="BT283" i="12"/>
  <c r="BU283" i="12"/>
  <c r="DW284" i="9"/>
  <c r="DX284" i="9"/>
  <c r="DY284" i="9"/>
  <c r="DZ284" i="9"/>
  <c r="CN284" i="9"/>
  <c r="CM284" i="9"/>
  <c r="CL284" i="9"/>
  <c r="CK284" i="9"/>
  <c r="H287" i="9" a="1"/>
  <c r="H287" i="9" s="1"/>
  <c r="G287" i="9" a="1"/>
  <c r="G287" i="9" s="1"/>
  <c r="N287" i="9" a="1"/>
  <c r="N287" i="9" s="1"/>
  <c r="L287" i="9" a="1"/>
  <c r="L287" i="9" s="1"/>
  <c r="K287" i="9" a="1"/>
  <c r="K287" i="9" s="1"/>
  <c r="J287" i="9" a="1"/>
  <c r="J287" i="9" s="1"/>
  <c r="O287" i="9" a="1"/>
  <c r="O287" i="9" s="1"/>
  <c r="D288" i="9"/>
  <c r="G286" i="12" a="1"/>
  <c r="G286" i="12" s="1"/>
  <c r="O286" i="12" a="1"/>
  <c r="O286" i="12" s="1"/>
  <c r="L286" i="12" a="1"/>
  <c r="L286" i="12" s="1"/>
  <c r="N286" i="12" a="1"/>
  <c r="N286" i="12" s="1"/>
  <c r="K286" i="12" a="1"/>
  <c r="K286" i="12" s="1"/>
  <c r="H286" i="12" a="1"/>
  <c r="H286" i="12" s="1"/>
  <c r="J286" i="12" a="1"/>
  <c r="J286" i="12" s="1"/>
  <c r="D287" i="12"/>
  <c r="FI284" i="9"/>
  <c r="FL284" i="9"/>
  <c r="FJ284" i="9"/>
  <c r="FK284" i="9"/>
  <c r="M286" i="9"/>
  <c r="P286" i="9" s="1"/>
  <c r="Q286" i="9" s="1"/>
  <c r="M285" i="12"/>
  <c r="P285" i="12" s="1"/>
  <c r="Q285" i="12" s="1"/>
  <c r="BU284" i="9"/>
  <c r="BT284" i="9"/>
  <c r="BS284" i="9"/>
  <c r="BR284" i="9"/>
  <c r="DQ286" i="9"/>
  <c r="DR286" i="9" s="1"/>
  <c r="DV286" i="9" s="1"/>
  <c r="BL286" i="9"/>
  <c r="BM286" i="9" s="1"/>
  <c r="BQ286" i="9" s="1"/>
  <c r="CE286" i="9"/>
  <c r="CF286" i="9" s="1"/>
  <c r="CJ286" i="9" s="1"/>
  <c r="Z286" i="9"/>
  <c r="AA286" i="9" s="1"/>
  <c r="AE286" i="9" s="1"/>
  <c r="FC286" i="9"/>
  <c r="FD286" i="9" s="1"/>
  <c r="FH286" i="9" s="1"/>
  <c r="CX286" i="9"/>
  <c r="CY286" i="9" s="1"/>
  <c r="DC286" i="9" s="1"/>
  <c r="EJ286" i="9"/>
  <c r="EK286" i="9" s="1"/>
  <c r="EO286" i="9" s="1"/>
  <c r="AS286" i="9"/>
  <c r="AT286" i="9" s="1"/>
  <c r="AX286" i="9" s="1"/>
  <c r="I287" i="9"/>
  <c r="ET282" i="12"/>
  <c r="AH284" i="9"/>
  <c r="AI284" i="9"/>
  <c r="AF284" i="9"/>
  <c r="AG284" i="9"/>
  <c r="EA283" i="12" l="1"/>
  <c r="AJ284" i="9"/>
  <c r="ET284" i="9"/>
  <c r="ET283" i="12"/>
  <c r="BC284" i="9"/>
  <c r="BV284" i="9"/>
  <c r="FM284" i="9"/>
  <c r="EA284" i="9"/>
  <c r="CO284" i="9"/>
  <c r="M287" i="9"/>
  <c r="M286" i="12"/>
  <c r="P286" i="12" s="1"/>
  <c r="Q286" i="12" s="1"/>
  <c r="AZ284" i="12"/>
  <c r="BB284" i="12"/>
  <c r="BA284" i="12"/>
  <c r="FF285" i="12"/>
  <c r="EP285" i="12"/>
  <c r="EP286" i="12" s="1"/>
  <c r="FE285" i="12"/>
  <c r="FG285" i="12" s="1"/>
  <c r="FF286" i="12" s="1"/>
  <c r="CK285" i="12"/>
  <c r="DD285" i="12"/>
  <c r="AC285" i="12"/>
  <c r="BO285" i="12"/>
  <c r="BN285" i="12"/>
  <c r="BP285" i="12" s="1"/>
  <c r="BN286" i="12" s="1"/>
  <c r="BP286" i="12" s="1"/>
  <c r="AB285" i="12"/>
  <c r="AD285" i="12" s="1"/>
  <c r="AC286" i="12" s="1"/>
  <c r="EM285" i="12"/>
  <c r="DA285" i="12"/>
  <c r="AY285" i="12"/>
  <c r="AY286" i="12" s="1"/>
  <c r="AF285" i="12"/>
  <c r="CH285" i="12"/>
  <c r="EL285" i="12"/>
  <c r="EN285" i="12" s="1"/>
  <c r="EM286" i="12" s="1"/>
  <c r="CZ285" i="12"/>
  <c r="DB285" i="12" s="1"/>
  <c r="DA286" i="12" s="1"/>
  <c r="DW285" i="12"/>
  <c r="DW286" i="12" s="1"/>
  <c r="FI285" i="12"/>
  <c r="FI286" i="12" s="1"/>
  <c r="CG285" i="12"/>
  <c r="CI285" i="12" s="1"/>
  <c r="CH286" i="12" s="1"/>
  <c r="DT285" i="12"/>
  <c r="BR285" i="12"/>
  <c r="DS285" i="12"/>
  <c r="DU285" i="12" s="1"/>
  <c r="AV285" i="12"/>
  <c r="AU285" i="12"/>
  <c r="AW285" i="12" s="1"/>
  <c r="AU286" i="12" s="1"/>
  <c r="AW286" i="12" s="1"/>
  <c r="DX284" i="12"/>
  <c r="DZ284" i="12"/>
  <c r="DY284" i="12"/>
  <c r="AI284" i="12"/>
  <c r="AH284" i="12"/>
  <c r="AG284" i="12"/>
  <c r="FJ285" i="9"/>
  <c r="FI285" i="9"/>
  <c r="FL285" i="9"/>
  <c r="FK285" i="9"/>
  <c r="L288" i="9" a="1"/>
  <c r="L288" i="9" s="1"/>
  <c r="O288" i="9" a="1"/>
  <c r="O288" i="9" s="1"/>
  <c r="N288" i="9" a="1"/>
  <c r="N288" i="9" s="1"/>
  <c r="G288" i="9" a="1"/>
  <c r="G288" i="9" s="1"/>
  <c r="H288" i="9" a="1"/>
  <c r="H288" i="9" s="1"/>
  <c r="K288" i="9" a="1"/>
  <c r="K288" i="9" s="1"/>
  <c r="J288" i="9" a="1"/>
  <c r="J288" i="9" s="1"/>
  <c r="D289" i="9"/>
  <c r="AY285" i="9"/>
  <c r="BC285" i="9" s="1"/>
  <c r="BA285" i="9"/>
  <c r="AZ285" i="9"/>
  <c r="BB285" i="9"/>
  <c r="AV286" i="9"/>
  <c r="AU286" i="9"/>
  <c r="AW286" i="9" s="1"/>
  <c r="BN286" i="9"/>
  <c r="BP286" i="9" s="1"/>
  <c r="FE286" i="9"/>
  <c r="FG286" i="9" s="1"/>
  <c r="CH286" i="9"/>
  <c r="FF286" i="9"/>
  <c r="CG286" i="9"/>
  <c r="CI286" i="9" s="1"/>
  <c r="BO286" i="9"/>
  <c r="EM286" i="9"/>
  <c r="DA286" i="9"/>
  <c r="EL286" i="9"/>
  <c r="EN286" i="9" s="1"/>
  <c r="CZ286" i="9"/>
  <c r="DB286" i="9" s="1"/>
  <c r="AB286" i="9"/>
  <c r="AD286" i="9" s="1"/>
  <c r="AC286" i="9"/>
  <c r="DS286" i="9"/>
  <c r="DU286" i="9" s="1"/>
  <c r="DT286" i="9"/>
  <c r="BV283" i="12"/>
  <c r="EQ284" i="12"/>
  <c r="ER284" i="12"/>
  <c r="ES284" i="12"/>
  <c r="DE284" i="12"/>
  <c r="DF284" i="12"/>
  <c r="DG284" i="12"/>
  <c r="EP285" i="9"/>
  <c r="EQ285" i="9"/>
  <c r="ES285" i="9"/>
  <c r="ER285" i="9"/>
  <c r="BS284" i="12"/>
  <c r="BU284" i="12"/>
  <c r="BT284" i="12"/>
  <c r="Z287" i="9"/>
  <c r="AA287" i="9" s="1"/>
  <c r="AE287" i="9" s="1"/>
  <c r="DQ287" i="9"/>
  <c r="DR287" i="9" s="1"/>
  <c r="DV287" i="9" s="1"/>
  <c r="BL287" i="9"/>
  <c r="BM287" i="9" s="1"/>
  <c r="BQ287" i="9" s="1"/>
  <c r="CX287" i="9"/>
  <c r="CY287" i="9" s="1"/>
  <c r="DC287" i="9" s="1"/>
  <c r="FC287" i="9"/>
  <c r="FD287" i="9" s="1"/>
  <c r="FH287" i="9" s="1"/>
  <c r="EJ287" i="9"/>
  <c r="EK287" i="9" s="1"/>
  <c r="EO287" i="9" s="1"/>
  <c r="AS287" i="9"/>
  <c r="AT287" i="9" s="1"/>
  <c r="AX287" i="9" s="1"/>
  <c r="CE287" i="9"/>
  <c r="CF287" i="9" s="1"/>
  <c r="CJ287" i="9" s="1"/>
  <c r="I288" i="9"/>
  <c r="CL284" i="12"/>
  <c r="CN284" i="12"/>
  <c r="CM284" i="12"/>
  <c r="AH285" i="9"/>
  <c r="AI285" i="9"/>
  <c r="AF285" i="9"/>
  <c r="AG285" i="9"/>
  <c r="DX285" i="9"/>
  <c r="DW285" i="9"/>
  <c r="DZ285" i="9"/>
  <c r="DY285" i="9"/>
  <c r="P287" i="9"/>
  <c r="Q287" i="9" s="1"/>
  <c r="CL285" i="9"/>
  <c r="CK285" i="9"/>
  <c r="CN285" i="9"/>
  <c r="CM285" i="9"/>
  <c r="FJ284" i="12"/>
  <c r="FL284" i="12"/>
  <c r="FK284" i="12"/>
  <c r="DD285" i="9"/>
  <c r="DH285" i="9" s="1"/>
  <c r="DF285" i="9"/>
  <c r="DG285" i="9"/>
  <c r="DE285" i="9"/>
  <c r="DD286" i="12"/>
  <c r="AF286" i="12"/>
  <c r="DT286" i="12"/>
  <c r="DS286" i="12"/>
  <c r="DU286" i="12" s="1"/>
  <c r="G287" i="12" a="1"/>
  <c r="G287" i="12" s="1"/>
  <c r="O287" i="12" a="1"/>
  <c r="O287" i="12" s="1"/>
  <c r="N287" i="12" a="1"/>
  <c r="N287" i="12" s="1"/>
  <c r="L287" i="12" a="1"/>
  <c r="L287" i="12" s="1"/>
  <c r="H287" i="12" a="1"/>
  <c r="H287" i="12" s="1"/>
  <c r="J287" i="12" a="1"/>
  <c r="J287" i="12" s="1"/>
  <c r="K287" i="12" a="1"/>
  <c r="K287" i="12" s="1"/>
  <c r="D288" i="12"/>
  <c r="BS285" i="9"/>
  <c r="BT285" i="9"/>
  <c r="BU285" i="9"/>
  <c r="BR285" i="9"/>
  <c r="BO286" i="12" l="1"/>
  <c r="CZ286" i="12"/>
  <c r="DB286" i="12" s="1"/>
  <c r="AB286" i="12"/>
  <c r="AD286" i="12" s="1"/>
  <c r="AV286" i="12"/>
  <c r="AJ285" i="9"/>
  <c r="ET285" i="9"/>
  <c r="CK286" i="12"/>
  <c r="EA285" i="9"/>
  <c r="FM285" i="9"/>
  <c r="BV285" i="9"/>
  <c r="CO285" i="9"/>
  <c r="AB287" i="9"/>
  <c r="AD287" i="9" s="1"/>
  <c r="AI287" i="9" s="1"/>
  <c r="EM287" i="9"/>
  <c r="BN287" i="9"/>
  <c r="BP287" i="9" s="1"/>
  <c r="BU287" i="9" s="1"/>
  <c r="AV287" i="9"/>
  <c r="M287" i="12"/>
  <c r="P287" i="12" s="1"/>
  <c r="Q287" i="12" s="1"/>
  <c r="BN287" i="12" s="1"/>
  <c r="BP287" i="12" s="1"/>
  <c r="EL286" i="12"/>
  <c r="EN286" i="12" s="1"/>
  <c r="EQ286" i="12" s="1"/>
  <c r="ET284" i="12"/>
  <c r="CG286" i="12"/>
  <c r="CI286" i="12" s="1"/>
  <c r="CL286" i="12" s="1"/>
  <c r="FE286" i="12"/>
  <c r="FG286" i="12" s="1"/>
  <c r="BV284" i="12"/>
  <c r="FM284" i="12"/>
  <c r="EL287" i="9"/>
  <c r="EN287" i="9" s="1"/>
  <c r="ER287" i="9" s="1"/>
  <c r="BO287" i="9"/>
  <c r="CO284" i="12"/>
  <c r="AJ284" i="12"/>
  <c r="AH287" i="9"/>
  <c r="AG287" i="9"/>
  <c r="AF287" i="9"/>
  <c r="BS287" i="9"/>
  <c r="BT287" i="9"/>
  <c r="BR287" i="9"/>
  <c r="CL286" i="9"/>
  <c r="CK286" i="9"/>
  <c r="CM286" i="9"/>
  <c r="CN286" i="9"/>
  <c r="EP287" i="9"/>
  <c r="DX286" i="12"/>
  <c r="DZ286" i="12"/>
  <c r="DY286" i="12"/>
  <c r="DH284" i="12"/>
  <c r="CH287" i="9"/>
  <c r="AG286" i="9"/>
  <c r="AF286" i="9"/>
  <c r="AI286" i="9"/>
  <c r="AH286" i="9"/>
  <c r="EA284" i="12"/>
  <c r="CN285" i="12"/>
  <c r="CM285" i="12"/>
  <c r="CL285" i="12"/>
  <c r="FJ285" i="12"/>
  <c r="FL285" i="12"/>
  <c r="FK285" i="12"/>
  <c r="DX286" i="9"/>
  <c r="DY286" i="9"/>
  <c r="DW286" i="9"/>
  <c r="DZ286" i="9"/>
  <c r="BR286" i="12"/>
  <c r="FJ286" i="12"/>
  <c r="FL286" i="12"/>
  <c r="FK286" i="12"/>
  <c r="DF286" i="9"/>
  <c r="DE286" i="9"/>
  <c r="DD286" i="9"/>
  <c r="DH286" i="9" s="1"/>
  <c r="DG286" i="9"/>
  <c r="FI286" i="9"/>
  <c r="FJ286" i="9"/>
  <c r="FL286" i="9"/>
  <c r="FK286" i="9"/>
  <c r="H289" i="9" a="1"/>
  <c r="H289" i="9" s="1"/>
  <c r="N289" i="9" a="1"/>
  <c r="N289" i="9" s="1"/>
  <c r="O289" i="9" a="1"/>
  <c r="O289" i="9" s="1"/>
  <c r="G289" i="9" a="1"/>
  <c r="G289" i="9" s="1"/>
  <c r="K289" i="9" a="1"/>
  <c r="K289" i="9" s="1"/>
  <c r="L289" i="9" a="1"/>
  <c r="L289" i="9" s="1"/>
  <c r="J289" i="9" a="1"/>
  <c r="J289" i="9" s="1"/>
  <c r="D290" i="9"/>
  <c r="CZ287" i="9"/>
  <c r="DB287" i="9" s="1"/>
  <c r="AU287" i="9"/>
  <c r="AW287" i="9" s="1"/>
  <c r="DE286" i="12"/>
  <c r="DG286" i="12"/>
  <c r="DF286" i="12"/>
  <c r="EQ286" i="9"/>
  <c r="ES286" i="9"/>
  <c r="ER286" i="9"/>
  <c r="EP286" i="9"/>
  <c r="BR286" i="9"/>
  <c r="BU286" i="9"/>
  <c r="BS286" i="9"/>
  <c r="BT286" i="9"/>
  <c r="M288" i="9"/>
  <c r="P288" i="9" s="1"/>
  <c r="Q288" i="9" s="1"/>
  <c r="DA287" i="9"/>
  <c r="AG285" i="12"/>
  <c r="AI285" i="12"/>
  <c r="AH285" i="12"/>
  <c r="BS286" i="12"/>
  <c r="BU286" i="12"/>
  <c r="BT286" i="12"/>
  <c r="BA286" i="9"/>
  <c r="BB286" i="9"/>
  <c r="AZ286" i="9"/>
  <c r="AY286" i="9"/>
  <c r="DT287" i="9"/>
  <c r="FE287" i="9"/>
  <c r="FG287" i="9" s="1"/>
  <c r="AZ285" i="12"/>
  <c r="BB285" i="12"/>
  <c r="BA285" i="12"/>
  <c r="DE285" i="12"/>
  <c r="DF285" i="12"/>
  <c r="DG285" i="12"/>
  <c r="BS285" i="12"/>
  <c r="BU285" i="12"/>
  <c r="BT285" i="12"/>
  <c r="FC288" i="9"/>
  <c r="FD288" i="9" s="1"/>
  <c r="FH288" i="9" s="1"/>
  <c r="CE288" i="9"/>
  <c r="CF288" i="9" s="1"/>
  <c r="CJ288" i="9" s="1"/>
  <c r="BL288" i="9"/>
  <c r="BM288" i="9" s="1"/>
  <c r="BQ288" i="9" s="1"/>
  <c r="Z288" i="9"/>
  <c r="AA288" i="9" s="1"/>
  <c r="AE288" i="9" s="1"/>
  <c r="DQ288" i="9"/>
  <c r="DR288" i="9" s="1"/>
  <c r="DV288" i="9" s="1"/>
  <c r="CX288" i="9"/>
  <c r="CY288" i="9" s="1"/>
  <c r="DC288" i="9" s="1"/>
  <c r="AS288" i="9"/>
  <c r="AT288" i="9" s="1"/>
  <c r="AX288" i="9" s="1"/>
  <c r="EJ288" i="9"/>
  <c r="EK288" i="9" s="1"/>
  <c r="EO288" i="9" s="1"/>
  <c r="I289" i="9"/>
  <c r="L288" i="12" a="1"/>
  <c r="L288" i="12" s="1"/>
  <c r="N288" i="12" a="1"/>
  <c r="N288" i="12" s="1"/>
  <c r="H288" i="12" a="1"/>
  <c r="H288" i="12" s="1"/>
  <c r="J288" i="12" a="1"/>
  <c r="J288" i="12" s="1"/>
  <c r="G288" i="12" a="1"/>
  <c r="G288" i="12" s="1"/>
  <c r="K288" i="12" a="1"/>
  <c r="K288" i="12" s="1"/>
  <c r="O288" i="12" a="1"/>
  <c r="O288" i="12" s="1"/>
  <c r="D289" i="12"/>
  <c r="DS287" i="9"/>
  <c r="DU287" i="9" s="1"/>
  <c r="CG287" i="9"/>
  <c r="CI287" i="9" s="1"/>
  <c r="EQ285" i="12"/>
  <c r="ER285" i="12"/>
  <c r="ES285" i="12"/>
  <c r="AZ286" i="12"/>
  <c r="BA286" i="12"/>
  <c r="BB286" i="12"/>
  <c r="AG286" i="12"/>
  <c r="AI286" i="12"/>
  <c r="AH286" i="12"/>
  <c r="AC287" i="9"/>
  <c r="FF287" i="9"/>
  <c r="DX285" i="12"/>
  <c r="DZ285" i="12"/>
  <c r="DY285" i="12"/>
  <c r="BC284" i="12"/>
  <c r="DS287" i="12" l="1"/>
  <c r="DU287" i="12" s="1"/>
  <c r="BO287" i="12"/>
  <c r="AF287" i="12"/>
  <c r="DD287" i="12"/>
  <c r="DT287" i="12"/>
  <c r="FF287" i="12"/>
  <c r="AV287" i="12"/>
  <c r="FI287" i="12"/>
  <c r="FE287" i="12"/>
  <c r="FG287" i="12" s="1"/>
  <c r="AU287" i="12"/>
  <c r="AW287" i="12" s="1"/>
  <c r="AY287" i="12"/>
  <c r="EP287" i="12"/>
  <c r="BR287" i="12"/>
  <c r="DA287" i="12"/>
  <c r="AB287" i="12"/>
  <c r="AD287" i="12" s="1"/>
  <c r="DW287" i="12"/>
  <c r="AC287" i="12"/>
  <c r="CZ287" i="12"/>
  <c r="DB287" i="12" s="1"/>
  <c r="EM287" i="12"/>
  <c r="ER286" i="12"/>
  <c r="EL287" i="12"/>
  <c r="EN287" i="12" s="1"/>
  <c r="CK287" i="12"/>
  <c r="BC286" i="9"/>
  <c r="ET286" i="9"/>
  <c r="FM286" i="12"/>
  <c r="AJ286" i="9"/>
  <c r="AJ287" i="9" s="1"/>
  <c r="BV286" i="9"/>
  <c r="BV287" i="9" s="1"/>
  <c r="FM286" i="9"/>
  <c r="CO286" i="9"/>
  <c r="EA286" i="9"/>
  <c r="ES286" i="12"/>
  <c r="CM286" i="12"/>
  <c r="CG287" i="12"/>
  <c r="CI287" i="12" s="1"/>
  <c r="CN287" i="12" s="1"/>
  <c r="CN286" i="12"/>
  <c r="CH287" i="12"/>
  <c r="CO285" i="12"/>
  <c r="FM285" i="12"/>
  <c r="ES287" i="9"/>
  <c r="DH285" i="12"/>
  <c r="BC286" i="12"/>
  <c r="EQ287" i="9"/>
  <c r="ET286" i="12"/>
  <c r="EA286" i="12"/>
  <c r="BV285" i="12"/>
  <c r="ET285" i="12"/>
  <c r="AJ285" i="12"/>
  <c r="AJ286" i="12"/>
  <c r="M289" i="9"/>
  <c r="P289" i="9" s="1"/>
  <c r="Q289" i="9" s="1"/>
  <c r="AS289" i="9"/>
  <c r="AT289" i="9" s="1"/>
  <c r="AX289" i="9" s="1"/>
  <c r="EJ289" i="9"/>
  <c r="EK289" i="9" s="1"/>
  <c r="EO289" i="9" s="1"/>
  <c r="Z289" i="9"/>
  <c r="AA289" i="9" s="1"/>
  <c r="AE289" i="9" s="1"/>
  <c r="BL289" i="9"/>
  <c r="BM289" i="9" s="1"/>
  <c r="BQ289" i="9" s="1"/>
  <c r="DQ289" i="9"/>
  <c r="DR289" i="9" s="1"/>
  <c r="DV289" i="9" s="1"/>
  <c r="FC289" i="9"/>
  <c r="FD289" i="9" s="1"/>
  <c r="FH289" i="9" s="1"/>
  <c r="CE289" i="9"/>
  <c r="CF289" i="9" s="1"/>
  <c r="CJ289" i="9" s="1"/>
  <c r="CX289" i="9"/>
  <c r="CY289" i="9" s="1"/>
  <c r="DC289" i="9" s="1"/>
  <c r="I290" i="9"/>
  <c r="CL287" i="12"/>
  <c r="AI287" i="12"/>
  <c r="AG287" i="12"/>
  <c r="AH287" i="12"/>
  <c r="DH286" i="12"/>
  <c r="FF288" i="9"/>
  <c r="BN288" i="9"/>
  <c r="BP288" i="9" s="1"/>
  <c r="FE288" i="9"/>
  <c r="FG288" i="9" s="1"/>
  <c r="BO288" i="9"/>
  <c r="CH288" i="9"/>
  <c r="AU288" i="9"/>
  <c r="AW288" i="9" s="1"/>
  <c r="CG288" i="9"/>
  <c r="CI288" i="9" s="1"/>
  <c r="AV288" i="9"/>
  <c r="DA288" i="9"/>
  <c r="CZ288" i="9"/>
  <c r="DB288" i="9" s="1"/>
  <c r="EM288" i="9"/>
  <c r="AC288" i="9"/>
  <c r="EL288" i="9"/>
  <c r="EN288" i="9" s="1"/>
  <c r="AB288" i="9"/>
  <c r="AD288" i="9" s="1"/>
  <c r="DT288" i="9"/>
  <c r="DS288" i="9"/>
  <c r="DU288" i="9" s="1"/>
  <c r="BC285" i="12"/>
  <c r="FJ287" i="12"/>
  <c r="FL287" i="12"/>
  <c r="FK287" i="12"/>
  <c r="AZ287" i="12"/>
  <c r="BB287" i="12"/>
  <c r="BA287" i="12"/>
  <c r="BS287" i="12"/>
  <c r="BT287" i="12"/>
  <c r="BU287" i="12"/>
  <c r="FK287" i="9"/>
  <c r="FI287" i="9"/>
  <c r="FJ287" i="9"/>
  <c r="FL287" i="9"/>
  <c r="DE287" i="12"/>
  <c r="DG287" i="12"/>
  <c r="DF287" i="12"/>
  <c r="M288" i="12"/>
  <c r="P288" i="12" s="1"/>
  <c r="Q288" i="12" s="1"/>
  <c r="DX287" i="12"/>
  <c r="DZ287" i="12"/>
  <c r="DY287" i="12"/>
  <c r="CL287" i="9"/>
  <c r="CN287" i="9"/>
  <c r="CM287" i="9"/>
  <c r="CK287" i="9"/>
  <c r="BA287" i="9"/>
  <c r="BB287" i="9"/>
  <c r="AY287" i="9"/>
  <c r="AZ287" i="9"/>
  <c r="BV286" i="12"/>
  <c r="EA285" i="12"/>
  <c r="DE287" i="9"/>
  <c r="DF287" i="9"/>
  <c r="DD287" i="9"/>
  <c r="DG287" i="9"/>
  <c r="G289" i="12" a="1"/>
  <c r="G289" i="12" s="1"/>
  <c r="K289" i="12" a="1"/>
  <c r="K289" i="12" s="1"/>
  <c r="O289" i="12" a="1"/>
  <c r="O289" i="12" s="1"/>
  <c r="N289" i="12" a="1"/>
  <c r="N289" i="12" s="1"/>
  <c r="H289" i="12" a="1"/>
  <c r="H289" i="12" s="1"/>
  <c r="L289" i="12" a="1"/>
  <c r="L289" i="12" s="1"/>
  <c r="J289" i="12" a="1"/>
  <c r="J289" i="12" s="1"/>
  <c r="D290" i="12"/>
  <c r="DW287" i="9"/>
  <c r="DZ287" i="9"/>
  <c r="DY287" i="9"/>
  <c r="DX287" i="9"/>
  <c r="EQ287" i="12"/>
  <c r="ER287" i="12"/>
  <c r="ES287" i="12"/>
  <c r="G290" i="9" a="1"/>
  <c r="G290" i="9" s="1"/>
  <c r="N290" i="9" a="1"/>
  <c r="N290" i="9" s="1"/>
  <c r="H290" i="9" a="1"/>
  <c r="H290" i="9" s="1"/>
  <c r="O290" i="9" a="1"/>
  <c r="O290" i="9" s="1"/>
  <c r="L290" i="9" a="1"/>
  <c r="L290" i="9" s="1"/>
  <c r="K290" i="9" a="1"/>
  <c r="K290" i="9" s="1"/>
  <c r="J290" i="9" a="1"/>
  <c r="J290" i="9" s="1"/>
  <c r="D291" i="9"/>
  <c r="DS289" i="9" l="1"/>
  <c r="DU289" i="9" s="1"/>
  <c r="BN289" i="9"/>
  <c r="BP289" i="9" s="1"/>
  <c r="BO289" i="9"/>
  <c r="CO286" i="12"/>
  <c r="DA289" i="9"/>
  <c r="ET287" i="9"/>
  <c r="CH289" i="9"/>
  <c r="AB289" i="9"/>
  <c r="AD289" i="9" s="1"/>
  <c r="AF289" i="9" s="1"/>
  <c r="AV289" i="9"/>
  <c r="EL289" i="9"/>
  <c r="EN289" i="9" s="1"/>
  <c r="ES289" i="9" s="1"/>
  <c r="CM287" i="12"/>
  <c r="FF289" i="9"/>
  <c r="EA287" i="9"/>
  <c r="DH287" i="9"/>
  <c r="FM287" i="12"/>
  <c r="BC287" i="9"/>
  <c r="CO287" i="9"/>
  <c r="FM287" i="9"/>
  <c r="AC289" i="9"/>
  <c r="EM289" i="9"/>
  <c r="FE288" i="12"/>
  <c r="FG288" i="12" s="1"/>
  <c r="FI288" i="12"/>
  <c r="EL288" i="12"/>
  <c r="EN288" i="12" s="1"/>
  <c r="CK288" i="12"/>
  <c r="AF288" i="12"/>
  <c r="CZ288" i="12"/>
  <c r="DB288" i="12" s="1"/>
  <c r="DF288" i="12" s="1"/>
  <c r="DD288" i="12"/>
  <c r="CH288" i="12"/>
  <c r="DS288" i="12"/>
  <c r="DU288" i="12" s="1"/>
  <c r="AC288" i="12"/>
  <c r="BR288" i="12"/>
  <c r="CG288" i="12"/>
  <c r="CI288" i="12" s="1"/>
  <c r="CN288" i="12" s="1"/>
  <c r="AB288" i="12"/>
  <c r="AD288" i="12" s="1"/>
  <c r="AI288" i="12" s="1"/>
  <c r="EM288" i="12"/>
  <c r="AV288" i="12"/>
  <c r="BO288" i="12"/>
  <c r="DA288" i="12"/>
  <c r="AU288" i="12"/>
  <c r="AW288" i="12" s="1"/>
  <c r="BB288" i="12" s="1"/>
  <c r="EP288" i="12"/>
  <c r="BN288" i="12"/>
  <c r="BP288" i="12" s="1"/>
  <c r="BS288" i="12" s="1"/>
  <c r="DT288" i="12"/>
  <c r="FF288" i="12"/>
  <c r="DW288" i="12"/>
  <c r="AY288" i="12"/>
  <c r="CZ289" i="9"/>
  <c r="DB289" i="9" s="1"/>
  <c r="FE289" i="9"/>
  <c r="FG289" i="9" s="1"/>
  <c r="BC287" i="12"/>
  <c r="CO287" i="12"/>
  <c r="BV287" i="12"/>
  <c r="EA287" i="12"/>
  <c r="AU289" i="9"/>
  <c r="AW289" i="9" s="1"/>
  <c r="BA289" i="9" s="1"/>
  <c r="AJ287" i="12"/>
  <c r="M290" i="9"/>
  <c r="P290" i="9" s="1"/>
  <c r="Q290" i="9" s="1"/>
  <c r="ET287" i="12"/>
  <c r="DX289" i="9"/>
  <c r="DW289" i="9"/>
  <c r="DZ289" i="9"/>
  <c r="DY289" i="9"/>
  <c r="BA288" i="12"/>
  <c r="AZ288" i="12"/>
  <c r="J290" i="12" a="1"/>
  <c r="J290" i="12" s="1"/>
  <c r="H290" i="12" a="1"/>
  <c r="H290" i="12" s="1"/>
  <c r="G290" i="12" a="1"/>
  <c r="G290" i="12" s="1"/>
  <c r="L290" i="12" a="1"/>
  <c r="L290" i="12" s="1"/>
  <c r="K290" i="12" a="1"/>
  <c r="K290" i="12" s="1"/>
  <c r="N290" i="12" a="1"/>
  <c r="N290" i="12" s="1"/>
  <c r="O290" i="12" a="1"/>
  <c r="O290" i="12" s="1"/>
  <c r="D291" i="12"/>
  <c r="M289" i="12"/>
  <c r="AI288" i="9"/>
  <c r="AH288" i="9"/>
  <c r="AF288" i="9"/>
  <c r="AG288" i="9"/>
  <c r="AZ288" i="9"/>
  <c r="AY288" i="9"/>
  <c r="BA288" i="9"/>
  <c r="BB288" i="9"/>
  <c r="ER288" i="9"/>
  <c r="ES288" i="9"/>
  <c r="EQ288" i="9"/>
  <c r="EP288" i="9"/>
  <c r="DX288" i="12"/>
  <c r="DY288" i="12"/>
  <c r="DZ288" i="12"/>
  <c r="DZ288" i="9"/>
  <c r="DX288" i="9"/>
  <c r="DY288" i="9"/>
  <c r="DW288" i="9"/>
  <c r="EA288" i="9" s="1"/>
  <c r="EA289" i="9" s="1"/>
  <c r="FI289" i="9"/>
  <c r="FK289" i="9"/>
  <c r="FJ289" i="9"/>
  <c r="FL289" i="9"/>
  <c r="P289" i="12"/>
  <c r="Q289" i="12" s="1"/>
  <c r="FL288" i="9"/>
  <c r="FK288" i="9"/>
  <c r="FI288" i="9"/>
  <c r="FJ288" i="9"/>
  <c r="EQ288" i="12"/>
  <c r="ER288" i="12"/>
  <c r="ES288" i="12"/>
  <c r="FJ288" i="12"/>
  <c r="FK288" i="12"/>
  <c r="FL288" i="12"/>
  <c r="L291" i="9" a="1"/>
  <c r="L291" i="9" s="1"/>
  <c r="O291" i="9" a="1"/>
  <c r="O291" i="9" s="1"/>
  <c r="H291" i="9" a="1"/>
  <c r="H291" i="9" s="1"/>
  <c r="G291" i="9" a="1"/>
  <c r="G291" i="9" s="1"/>
  <c r="N291" i="9" a="1"/>
  <c r="N291" i="9" s="1"/>
  <c r="J291" i="9" a="1"/>
  <c r="J291" i="9" s="1"/>
  <c r="K291" i="9" a="1"/>
  <c r="K291" i="9" s="1"/>
  <c r="D292" i="9"/>
  <c r="DT289" i="9"/>
  <c r="BS289" i="9"/>
  <c r="BR289" i="9"/>
  <c r="BU289" i="9"/>
  <c r="BT289" i="9"/>
  <c r="DH287" i="12"/>
  <c r="DF288" i="9"/>
  <c r="DG288" i="9"/>
  <c r="DE288" i="9"/>
  <c r="DD288" i="9"/>
  <c r="BS288" i="9"/>
  <c r="BT288" i="9"/>
  <c r="BR288" i="9"/>
  <c r="BU288" i="9"/>
  <c r="DE289" i="9"/>
  <c r="DD289" i="9"/>
  <c r="DF289" i="9"/>
  <c r="DG289" i="9"/>
  <c r="BO290" i="9"/>
  <c r="CL288" i="9"/>
  <c r="CK288" i="9"/>
  <c r="CM288" i="9"/>
  <c r="CN288" i="9"/>
  <c r="CG289" i="9"/>
  <c r="CI289" i="9" s="1"/>
  <c r="Z290" i="9"/>
  <c r="AA290" i="9" s="1"/>
  <c r="AE290" i="9" s="1"/>
  <c r="FC290" i="9"/>
  <c r="FD290" i="9" s="1"/>
  <c r="FH290" i="9" s="1"/>
  <c r="CE290" i="9"/>
  <c r="CF290" i="9" s="1"/>
  <c r="CJ290" i="9" s="1"/>
  <c r="CX290" i="9"/>
  <c r="CY290" i="9" s="1"/>
  <c r="DC290" i="9" s="1"/>
  <c r="AS290" i="9"/>
  <c r="AT290" i="9" s="1"/>
  <c r="AX290" i="9" s="1"/>
  <c r="BL290" i="9"/>
  <c r="BM290" i="9" s="1"/>
  <c r="BQ290" i="9" s="1"/>
  <c r="EJ290" i="9"/>
  <c r="EK290" i="9" s="1"/>
  <c r="EO290" i="9" s="1"/>
  <c r="DQ290" i="9"/>
  <c r="DR290" i="9" s="1"/>
  <c r="DV290" i="9" s="1"/>
  <c r="I291" i="9"/>
  <c r="CM288" i="12" l="1"/>
  <c r="CL288" i="12"/>
  <c r="AI289" i="9"/>
  <c r="BU288" i="12"/>
  <c r="AG289" i="9"/>
  <c r="BT288" i="12"/>
  <c r="AB290" i="9"/>
  <c r="AD290" i="9" s="1"/>
  <c r="AH289" i="9"/>
  <c r="EQ289" i="9"/>
  <c r="ER289" i="9"/>
  <c r="EP289" i="9"/>
  <c r="AG288" i="12"/>
  <c r="AH288" i="12"/>
  <c r="DG288" i="12"/>
  <c r="DE288" i="12"/>
  <c r="DH288" i="12" s="1"/>
  <c r="ET288" i="9"/>
  <c r="ET289" i="9" s="1"/>
  <c r="AJ288" i="9"/>
  <c r="AJ289" i="9" s="1"/>
  <c r="DH288" i="9"/>
  <c r="DH289" i="9" s="1"/>
  <c r="BC288" i="9"/>
  <c r="BV288" i="9"/>
  <c r="BV289" i="9" s="1"/>
  <c r="FE290" i="9"/>
  <c r="FG290" i="9" s="1"/>
  <c r="FI290" i="9" s="1"/>
  <c r="FM288" i="9"/>
  <c r="FM289" i="9" s="1"/>
  <c r="CO288" i="9"/>
  <c r="AZ289" i="9"/>
  <c r="AY289" i="9"/>
  <c r="AB289" i="12"/>
  <c r="AD289" i="12" s="1"/>
  <c r="EL289" i="12"/>
  <c r="EN289" i="12" s="1"/>
  <c r="AU289" i="12"/>
  <c r="AW289" i="12" s="1"/>
  <c r="FE289" i="12"/>
  <c r="FG289" i="12" s="1"/>
  <c r="FL289" i="12" s="1"/>
  <c r="AC289" i="12"/>
  <c r="CG289" i="12"/>
  <c r="CI289" i="12" s="1"/>
  <c r="CM289" i="12" s="1"/>
  <c r="FF289" i="12"/>
  <c r="FI289" i="12"/>
  <c r="CH289" i="12"/>
  <c r="EP289" i="12"/>
  <c r="AY289" i="12"/>
  <c r="AF289" i="12"/>
  <c r="CK289" i="12"/>
  <c r="DT289" i="12"/>
  <c r="CZ289" i="12"/>
  <c r="DB289" i="12" s="1"/>
  <c r="DE289" i="12" s="1"/>
  <c r="DD289" i="12"/>
  <c r="EM289" i="12"/>
  <c r="DA289" i="12"/>
  <c r="BN289" i="12"/>
  <c r="BP289" i="12" s="1"/>
  <c r="DW289" i="12"/>
  <c r="BR289" i="12"/>
  <c r="BO289" i="12"/>
  <c r="DS289" i="12"/>
  <c r="DU289" i="12" s="1"/>
  <c r="DX289" i="12" s="1"/>
  <c r="AV289" i="12"/>
  <c r="DA290" i="9"/>
  <c r="DT290" i="9"/>
  <c r="AU290" i="9"/>
  <c r="AW290" i="9" s="1"/>
  <c r="BB290" i="9" s="1"/>
  <c r="DS290" i="9"/>
  <c r="DU290" i="9" s="1"/>
  <c r="DW290" i="9" s="1"/>
  <c r="FM288" i="12"/>
  <c r="CZ290" i="9"/>
  <c r="DB290" i="9" s="1"/>
  <c r="DE290" i="9" s="1"/>
  <c r="BN290" i="9"/>
  <c r="BP290" i="9" s="1"/>
  <c r="BR290" i="9" s="1"/>
  <c r="AC290" i="9"/>
  <c r="AV290" i="9"/>
  <c r="EM290" i="9"/>
  <c r="FF290" i="9"/>
  <c r="CH290" i="9"/>
  <c r="EL290" i="9"/>
  <c r="EN290" i="9" s="1"/>
  <c r="BB289" i="9"/>
  <c r="EA288" i="12"/>
  <c r="BV288" i="12"/>
  <c r="CO288" i="12"/>
  <c r="AJ288" i="12"/>
  <c r="M290" i="12"/>
  <c r="P290" i="12" s="1"/>
  <c r="Q290" i="12" s="1"/>
  <c r="BC288" i="12"/>
  <c r="N291" i="12" a="1"/>
  <c r="N291" i="12" s="1"/>
  <c r="H291" i="12" a="1"/>
  <c r="H291" i="12" s="1"/>
  <c r="L291" i="12" a="1"/>
  <c r="L291" i="12" s="1"/>
  <c r="J291" i="12" a="1"/>
  <c r="J291" i="12" s="1"/>
  <c r="G291" i="12" a="1"/>
  <c r="G291" i="12" s="1"/>
  <c r="K291" i="12" a="1"/>
  <c r="K291" i="12" s="1"/>
  <c r="O291" i="12" a="1"/>
  <c r="O291" i="12" s="1"/>
  <c r="D292" i="12"/>
  <c r="ET288" i="12"/>
  <c r="BB289" i="12"/>
  <c r="BA289" i="12"/>
  <c r="AZ289" i="12"/>
  <c r="EQ289" i="12"/>
  <c r="ES289" i="12"/>
  <c r="ER289" i="12"/>
  <c r="AI289" i="12"/>
  <c r="AH289" i="12"/>
  <c r="AG289" i="12"/>
  <c r="AF290" i="9"/>
  <c r="AJ290" i="9" s="1"/>
  <c r="AI290" i="9"/>
  <c r="AG290" i="9"/>
  <c r="AH290" i="9"/>
  <c r="AZ290" i="9"/>
  <c r="BA290" i="9"/>
  <c r="AY290" i="9"/>
  <c r="CK289" i="9"/>
  <c r="CM289" i="9"/>
  <c r="CN289" i="9"/>
  <c r="CL289" i="9"/>
  <c r="O292" i="9" a="1"/>
  <c r="O292" i="9" s="1"/>
  <c r="G292" i="9" a="1"/>
  <c r="G292" i="9" s="1"/>
  <c r="N292" i="9" a="1"/>
  <c r="N292" i="9" s="1"/>
  <c r="J292" i="9" a="1"/>
  <c r="J292" i="9" s="1"/>
  <c r="H292" i="9" a="1"/>
  <c r="H292" i="9" s="1"/>
  <c r="L292" i="9" a="1"/>
  <c r="L292" i="9" s="1"/>
  <c r="K292" i="9" a="1"/>
  <c r="K292" i="9" s="1"/>
  <c r="D293" i="9"/>
  <c r="CE291" i="9"/>
  <c r="CF291" i="9" s="1"/>
  <c r="CJ291" i="9" s="1"/>
  <c r="Z291" i="9"/>
  <c r="AA291" i="9" s="1"/>
  <c r="AE291" i="9" s="1"/>
  <c r="AS291" i="9"/>
  <c r="AT291" i="9" s="1"/>
  <c r="AX291" i="9" s="1"/>
  <c r="EJ291" i="9"/>
  <c r="EK291" i="9" s="1"/>
  <c r="EO291" i="9" s="1"/>
  <c r="BL291" i="9"/>
  <c r="BM291" i="9" s="1"/>
  <c r="BQ291" i="9" s="1"/>
  <c r="FC291" i="9"/>
  <c r="FD291" i="9" s="1"/>
  <c r="FH291" i="9" s="1"/>
  <c r="CX291" i="9"/>
  <c r="CY291" i="9" s="1"/>
  <c r="DC291" i="9" s="1"/>
  <c r="DQ291" i="9"/>
  <c r="DR291" i="9" s="1"/>
  <c r="DV291" i="9" s="1"/>
  <c r="I292" i="9"/>
  <c r="BS289" i="12"/>
  <c r="BU289" i="12"/>
  <c r="BT289" i="12"/>
  <c r="EQ290" i="9"/>
  <c r="ES290" i="9"/>
  <c r="ER290" i="9"/>
  <c r="EP290" i="9"/>
  <c r="CG290" i="9"/>
  <c r="CI290" i="9" s="1"/>
  <c r="M291" i="9"/>
  <c r="P291" i="9" s="1"/>
  <c r="Q291" i="9" s="1"/>
  <c r="BU290" i="9" l="1"/>
  <c r="BT290" i="9"/>
  <c r="BS290" i="9"/>
  <c r="DY289" i="12"/>
  <c r="DZ289" i="12"/>
  <c r="DG289" i="12"/>
  <c r="DF289" i="12"/>
  <c r="FK289" i="12"/>
  <c r="FM289" i="12" s="1"/>
  <c r="BV290" i="9"/>
  <c r="FJ289" i="12"/>
  <c r="FL290" i="9"/>
  <c r="FK290" i="9"/>
  <c r="DX290" i="9"/>
  <c r="EA290" i="9" s="1"/>
  <c r="ET290" i="9"/>
  <c r="FJ290" i="9"/>
  <c r="FM290" i="9" s="1"/>
  <c r="DZ290" i="9"/>
  <c r="BC289" i="9"/>
  <c r="BC290" i="9" s="1"/>
  <c r="DY290" i="9"/>
  <c r="CO289" i="9"/>
  <c r="BV289" i="12"/>
  <c r="ET289" i="12"/>
  <c r="CL289" i="12"/>
  <c r="CN289" i="12"/>
  <c r="CO289" i="12" s="1"/>
  <c r="DG290" i="9"/>
  <c r="DD290" i="9"/>
  <c r="DH290" i="9" s="1"/>
  <c r="DF290" i="9"/>
  <c r="AB290" i="12"/>
  <c r="AD290" i="12" s="1"/>
  <c r="DS290" i="12"/>
  <c r="DU290" i="12" s="1"/>
  <c r="DX290" i="12" s="1"/>
  <c r="EL290" i="12"/>
  <c r="EN290" i="12" s="1"/>
  <c r="EQ290" i="12" s="1"/>
  <c r="AC290" i="12"/>
  <c r="DA290" i="12"/>
  <c r="AV290" i="12"/>
  <c r="BO290" i="12"/>
  <c r="FI290" i="12"/>
  <c r="AU290" i="12"/>
  <c r="AW290" i="12" s="1"/>
  <c r="FE290" i="12"/>
  <c r="FG290" i="12" s="1"/>
  <c r="FJ290" i="12" s="1"/>
  <c r="BN290" i="12"/>
  <c r="BP290" i="12" s="1"/>
  <c r="BT290" i="12" s="1"/>
  <c r="DW290" i="12"/>
  <c r="EP290" i="12"/>
  <c r="CH290" i="12"/>
  <c r="CG290" i="12"/>
  <c r="CI290" i="12" s="1"/>
  <c r="CL290" i="12" s="1"/>
  <c r="FF290" i="12"/>
  <c r="BR290" i="12"/>
  <c r="EM290" i="12"/>
  <c r="CK290" i="12"/>
  <c r="AF290" i="12"/>
  <c r="DT290" i="12"/>
  <c r="DD290" i="12"/>
  <c r="AY290" i="12"/>
  <c r="CZ290" i="12"/>
  <c r="DB290" i="12" s="1"/>
  <c r="DE290" i="12" s="1"/>
  <c r="BC289" i="12"/>
  <c r="DH289" i="12"/>
  <c r="AJ289" i="12"/>
  <c r="M291" i="12"/>
  <c r="P291" i="12" s="1"/>
  <c r="Q291" i="12" s="1"/>
  <c r="EA289" i="12"/>
  <c r="AZ290" i="12"/>
  <c r="BB290" i="12"/>
  <c r="BA290" i="12"/>
  <c r="DQ292" i="9"/>
  <c r="DR292" i="9" s="1"/>
  <c r="DV292" i="9" s="1"/>
  <c r="BL292" i="9"/>
  <c r="BM292" i="9" s="1"/>
  <c r="BQ292" i="9" s="1"/>
  <c r="FC292" i="9"/>
  <c r="FD292" i="9" s="1"/>
  <c r="FH292" i="9" s="1"/>
  <c r="AS292" i="9"/>
  <c r="AT292" i="9" s="1"/>
  <c r="AX292" i="9" s="1"/>
  <c r="EJ292" i="9"/>
  <c r="EK292" i="9" s="1"/>
  <c r="EO292" i="9" s="1"/>
  <c r="CX292" i="9"/>
  <c r="CY292" i="9" s="1"/>
  <c r="DC292" i="9" s="1"/>
  <c r="CE292" i="9"/>
  <c r="CF292" i="9" s="1"/>
  <c r="CJ292" i="9" s="1"/>
  <c r="Z292" i="9"/>
  <c r="AA292" i="9" s="1"/>
  <c r="AE292" i="9" s="1"/>
  <c r="I293" i="9"/>
  <c r="H293" i="9" a="1"/>
  <c r="H293" i="9" s="1"/>
  <c r="O293" i="9" a="1"/>
  <c r="O293" i="9" s="1"/>
  <c r="G293" i="9" a="1"/>
  <c r="G293" i="9" s="1"/>
  <c r="J293" i="9" a="1"/>
  <c r="J293" i="9" s="1"/>
  <c r="K293" i="9" a="1"/>
  <c r="K293" i="9" s="1"/>
  <c r="L293" i="9" a="1"/>
  <c r="L293" i="9" s="1"/>
  <c r="N293" i="9" a="1"/>
  <c r="N293" i="9" s="1"/>
  <c r="D294" i="9"/>
  <c r="AG290" i="12"/>
  <c r="AH290" i="12"/>
  <c r="AI290" i="12"/>
  <c r="CL290" i="9"/>
  <c r="CO290" i="9" s="1"/>
  <c r="CN290" i="9"/>
  <c r="CK290" i="9"/>
  <c r="CM290" i="9"/>
  <c r="M292" i="9"/>
  <c r="P292" i="9" s="1"/>
  <c r="Q292" i="9" s="1"/>
  <c r="FF291" i="9"/>
  <c r="AU291" i="9"/>
  <c r="AW291" i="9" s="1"/>
  <c r="CG291" i="9"/>
  <c r="CI291" i="9" s="1"/>
  <c r="AV291" i="9"/>
  <c r="CH291" i="9"/>
  <c r="BO291" i="9"/>
  <c r="FE291" i="9"/>
  <c r="FG291" i="9" s="1"/>
  <c r="BN291" i="9"/>
  <c r="BP291" i="9" s="1"/>
  <c r="CZ291" i="9"/>
  <c r="DB291" i="9" s="1"/>
  <c r="DA291" i="9"/>
  <c r="AC291" i="9"/>
  <c r="EL291" i="9"/>
  <c r="EN291" i="9" s="1"/>
  <c r="EM291" i="9"/>
  <c r="AB291" i="9"/>
  <c r="AD291" i="9" s="1"/>
  <c r="DT291" i="9"/>
  <c r="DS291" i="9"/>
  <c r="DU291" i="9" s="1"/>
  <c r="L292" i="12" a="1"/>
  <c r="L292" i="12" s="1"/>
  <c r="O292" i="12" a="1"/>
  <c r="O292" i="12" s="1"/>
  <c r="N292" i="12" a="1"/>
  <c r="N292" i="12" s="1"/>
  <c r="J292" i="12" a="1"/>
  <c r="J292" i="12" s="1"/>
  <c r="H292" i="12" a="1"/>
  <c r="H292" i="12" s="1"/>
  <c r="K292" i="12" a="1"/>
  <c r="K292" i="12" s="1"/>
  <c r="G292" i="12" a="1"/>
  <c r="G292" i="12" s="1"/>
  <c r="D293" i="12"/>
  <c r="CM290" i="12" l="1"/>
  <c r="CN290" i="12"/>
  <c r="DY290" i="12"/>
  <c r="DZ290" i="12"/>
  <c r="ER290" i="12"/>
  <c r="ES290" i="12"/>
  <c r="BU290" i="12"/>
  <c r="BS290" i="12"/>
  <c r="FL290" i="12"/>
  <c r="FK290" i="12"/>
  <c r="DF290" i="12"/>
  <c r="DG290" i="12"/>
  <c r="AJ290" i="12"/>
  <c r="BC290" i="12"/>
  <c r="FJ291" i="9"/>
  <c r="FL291" i="9"/>
  <c r="FI291" i="9"/>
  <c r="FM291" i="9" s="1"/>
  <c r="FK291" i="9"/>
  <c r="AI291" i="9"/>
  <c r="AH291" i="9"/>
  <c r="AF291" i="9"/>
  <c r="AJ291" i="9" s="1"/>
  <c r="AG291" i="9"/>
  <c r="M293" i="9"/>
  <c r="P293" i="9" s="1"/>
  <c r="Q293" i="9" s="1"/>
  <c r="K293" i="12" a="1"/>
  <c r="K293" i="12" s="1"/>
  <c r="L293" i="12" a="1"/>
  <c r="L293" i="12" s="1"/>
  <c r="N293" i="12" a="1"/>
  <c r="N293" i="12" s="1"/>
  <c r="J293" i="12" a="1"/>
  <c r="J293" i="12" s="1"/>
  <c r="H293" i="12" a="1"/>
  <c r="H293" i="12" s="1"/>
  <c r="G293" i="12" a="1"/>
  <c r="G293" i="12" s="1"/>
  <c r="O293" i="12" a="1"/>
  <c r="O293" i="12" s="1"/>
  <c r="D294" i="12"/>
  <c r="EP291" i="9"/>
  <c r="EQ291" i="9"/>
  <c r="ES291" i="9"/>
  <c r="ER291" i="9"/>
  <c r="EP291" i="12"/>
  <c r="FF291" i="12"/>
  <c r="FE291" i="12"/>
  <c r="FG291" i="12" s="1"/>
  <c r="CK291" i="12"/>
  <c r="DD291" i="12"/>
  <c r="AC291" i="12"/>
  <c r="AB291" i="12"/>
  <c r="AD291" i="12" s="1"/>
  <c r="BO291" i="12"/>
  <c r="BN291" i="12"/>
  <c r="BP291" i="12" s="1"/>
  <c r="DW291" i="12"/>
  <c r="FI291" i="12"/>
  <c r="CH291" i="12"/>
  <c r="CG291" i="12"/>
  <c r="CI291" i="12" s="1"/>
  <c r="BR291" i="12"/>
  <c r="AF291" i="12"/>
  <c r="DA291" i="12"/>
  <c r="DT291" i="12"/>
  <c r="EL291" i="12"/>
  <c r="EN291" i="12" s="1"/>
  <c r="AY291" i="12"/>
  <c r="CZ291" i="12"/>
  <c r="DB291" i="12" s="1"/>
  <c r="DS291" i="12"/>
  <c r="DU291" i="12" s="1"/>
  <c r="EM291" i="12"/>
  <c r="AV291" i="12"/>
  <c r="AU291" i="12"/>
  <c r="AW291" i="12" s="1"/>
  <c r="CM291" i="9"/>
  <c r="CN291" i="9"/>
  <c r="CK291" i="9"/>
  <c r="CL291" i="9"/>
  <c r="CO290" i="12"/>
  <c r="AZ291" i="9"/>
  <c r="AY291" i="9"/>
  <c r="BB291" i="9"/>
  <c r="BA291" i="9"/>
  <c r="K294" i="9" a="1"/>
  <c r="K294" i="9" s="1"/>
  <c r="L294" i="9" a="1"/>
  <c r="L294" i="9" s="1"/>
  <c r="O294" i="9" a="1"/>
  <c r="O294" i="9" s="1"/>
  <c r="J294" i="9" a="1"/>
  <c r="J294" i="9" s="1"/>
  <c r="G294" i="9" a="1"/>
  <c r="G294" i="9" s="1"/>
  <c r="N294" i="9" a="1"/>
  <c r="N294" i="9" s="1"/>
  <c r="H294" i="9" a="1"/>
  <c r="H294" i="9" s="1"/>
  <c r="D295" i="9"/>
  <c r="EJ293" i="9"/>
  <c r="EK293" i="9" s="1"/>
  <c r="EO293" i="9" s="1"/>
  <c r="AS293" i="9"/>
  <c r="AT293" i="9" s="1"/>
  <c r="AX293" i="9" s="1"/>
  <c r="Z293" i="9"/>
  <c r="AA293" i="9" s="1"/>
  <c r="AE293" i="9" s="1"/>
  <c r="CE293" i="9"/>
  <c r="CF293" i="9" s="1"/>
  <c r="CJ293" i="9" s="1"/>
  <c r="DQ293" i="9"/>
  <c r="DR293" i="9" s="1"/>
  <c r="DV293" i="9" s="1"/>
  <c r="BL293" i="9"/>
  <c r="BM293" i="9" s="1"/>
  <c r="BQ293" i="9" s="1"/>
  <c r="FC293" i="9"/>
  <c r="FD293" i="9" s="1"/>
  <c r="FH293" i="9" s="1"/>
  <c r="CX293" i="9"/>
  <c r="CY293" i="9" s="1"/>
  <c r="DC293" i="9" s="1"/>
  <c r="I294" i="9"/>
  <c r="AV292" i="9"/>
  <c r="BO292" i="9"/>
  <c r="CH292" i="9"/>
  <c r="BN292" i="9"/>
  <c r="BP292" i="9" s="1"/>
  <c r="CG292" i="9"/>
  <c r="CI292" i="9" s="1"/>
  <c r="FF292" i="9"/>
  <c r="AU292" i="9"/>
  <c r="AW292" i="9" s="1"/>
  <c r="FE292" i="9"/>
  <c r="FG292" i="9" s="1"/>
  <c r="EL292" i="9"/>
  <c r="EN292" i="9" s="1"/>
  <c r="AC292" i="9"/>
  <c r="DA292" i="9"/>
  <c r="AB292" i="9"/>
  <c r="AD292" i="9" s="1"/>
  <c r="CZ292" i="9"/>
  <c r="DB292" i="9" s="1"/>
  <c r="EM292" i="9"/>
  <c r="DT292" i="9"/>
  <c r="DS292" i="9"/>
  <c r="DU292" i="9" s="1"/>
  <c r="DE291" i="9"/>
  <c r="DG291" i="9"/>
  <c r="DD291" i="9"/>
  <c r="DF291" i="9"/>
  <c r="M292" i="12"/>
  <c r="P292" i="12" s="1"/>
  <c r="Q292" i="12" s="1"/>
  <c r="DW291" i="9"/>
  <c r="DX291" i="9"/>
  <c r="DZ291" i="9"/>
  <c r="DY291" i="9"/>
  <c r="BU291" i="9"/>
  <c r="BR291" i="9"/>
  <c r="BS291" i="9"/>
  <c r="BT291" i="9"/>
  <c r="EA290" i="12"/>
  <c r="ET290" i="12" l="1"/>
  <c r="DH291" i="9"/>
  <c r="BV290" i="12"/>
  <c r="CO291" i="9"/>
  <c r="FM290" i="12"/>
  <c r="EA291" i="9"/>
  <c r="BC291" i="9"/>
  <c r="DH290" i="12"/>
  <c r="ET291" i="9"/>
  <c r="BV291" i="9"/>
  <c r="M294" i="9"/>
  <c r="EP292" i="12"/>
  <c r="FE292" i="12"/>
  <c r="FG292" i="12" s="1"/>
  <c r="FF292" i="12"/>
  <c r="CK292" i="12"/>
  <c r="DD292" i="12"/>
  <c r="AB292" i="12"/>
  <c r="AD292" i="12" s="1"/>
  <c r="BO292" i="12"/>
  <c r="AC292" i="12"/>
  <c r="BN292" i="12"/>
  <c r="BP292" i="12" s="1"/>
  <c r="FI292" i="12"/>
  <c r="DW292" i="12"/>
  <c r="EL292" i="12"/>
  <c r="EN292" i="12" s="1"/>
  <c r="DT292" i="12"/>
  <c r="EM292" i="12"/>
  <c r="AF292" i="12"/>
  <c r="BR292" i="12"/>
  <c r="DA292" i="12"/>
  <c r="CG292" i="12"/>
  <c r="CI292" i="12" s="1"/>
  <c r="AY292" i="12"/>
  <c r="CZ292" i="12"/>
  <c r="DB292" i="12" s="1"/>
  <c r="CH292" i="12"/>
  <c r="DS292" i="12"/>
  <c r="DU292" i="12" s="1"/>
  <c r="AV292" i="12"/>
  <c r="AU292" i="12"/>
  <c r="AW292" i="12" s="1"/>
  <c r="AY292" i="9"/>
  <c r="AZ292" i="9"/>
  <c r="BB292" i="9"/>
  <c r="BA292" i="9"/>
  <c r="BS291" i="12"/>
  <c r="BT291" i="12"/>
  <c r="BU291" i="12"/>
  <c r="J295" i="9" a="1"/>
  <c r="J295" i="9" s="1"/>
  <c r="N295" i="9" a="1"/>
  <c r="N295" i="9" s="1"/>
  <c r="H295" i="9" a="1"/>
  <c r="H295" i="9" s="1"/>
  <c r="G295" i="9" a="1"/>
  <c r="G295" i="9" s="1"/>
  <c r="K295" i="9" a="1"/>
  <c r="K295" i="9" s="1"/>
  <c r="L295" i="9" a="1"/>
  <c r="L295" i="9" s="1"/>
  <c r="O295" i="9" a="1"/>
  <c r="O295" i="9" s="1"/>
  <c r="D296" i="9"/>
  <c r="AZ291" i="12"/>
  <c r="BB291" i="12"/>
  <c r="BA291" i="12"/>
  <c r="M293" i="12"/>
  <c r="P293" i="12" s="1"/>
  <c r="Q293" i="12" s="1"/>
  <c r="DG292" i="9"/>
  <c r="DE292" i="9"/>
  <c r="DF292" i="9"/>
  <c r="DD292" i="9"/>
  <c r="AI291" i="12"/>
  <c r="AH291" i="12"/>
  <c r="AG291" i="12"/>
  <c r="AI292" i="9"/>
  <c r="AH292" i="9"/>
  <c r="AG292" i="9"/>
  <c r="AF292" i="9"/>
  <c r="AJ292" i="9" s="1"/>
  <c r="BS292" i="9"/>
  <c r="BU292" i="9"/>
  <c r="BR292" i="9"/>
  <c r="BT292" i="9"/>
  <c r="P294" i="9"/>
  <c r="Q294" i="9" s="1"/>
  <c r="DX291" i="12"/>
  <c r="DZ291" i="12"/>
  <c r="DY291" i="12"/>
  <c r="CL291" i="12"/>
  <c r="CN291" i="12"/>
  <c r="CM291" i="12"/>
  <c r="CM292" i="9"/>
  <c r="CN292" i="9"/>
  <c r="CK292" i="9"/>
  <c r="CL292" i="9"/>
  <c r="DE291" i="12"/>
  <c r="DG291" i="12"/>
  <c r="DF291" i="12"/>
  <c r="J294" i="12" a="1"/>
  <c r="J294" i="12" s="1"/>
  <c r="G294" i="12" a="1"/>
  <c r="G294" i="12" s="1"/>
  <c r="N294" i="12" a="1"/>
  <c r="N294" i="12" s="1"/>
  <c r="H294" i="12" a="1"/>
  <c r="H294" i="12" s="1"/>
  <c r="O294" i="12" a="1"/>
  <c r="O294" i="12" s="1"/>
  <c r="L294" i="12" a="1"/>
  <c r="L294" i="12" s="1"/>
  <c r="K294" i="12" a="1"/>
  <c r="K294" i="12" s="1"/>
  <c r="D295" i="12"/>
  <c r="FE293" i="9"/>
  <c r="FG293" i="9" s="1"/>
  <c r="AU293" i="9"/>
  <c r="AW293" i="9" s="1"/>
  <c r="BN293" i="9"/>
  <c r="BP293" i="9" s="1"/>
  <c r="BO293" i="9"/>
  <c r="CG293" i="9"/>
  <c r="CI293" i="9" s="1"/>
  <c r="CH293" i="9"/>
  <c r="AV293" i="9"/>
  <c r="FF293" i="9"/>
  <c r="AC293" i="9"/>
  <c r="EL293" i="9"/>
  <c r="EN293" i="9" s="1"/>
  <c r="EM293" i="9"/>
  <c r="CZ293" i="9"/>
  <c r="DB293" i="9" s="1"/>
  <c r="DA293" i="9"/>
  <c r="AB293" i="9"/>
  <c r="AD293" i="9" s="1"/>
  <c r="DS293" i="9"/>
  <c r="DU293" i="9" s="1"/>
  <c r="DT293" i="9"/>
  <c r="FJ291" i="12"/>
  <c r="FL291" i="12"/>
  <c r="FK291" i="12"/>
  <c r="ES292" i="9"/>
  <c r="ER292" i="9"/>
  <c r="EP292" i="9"/>
  <c r="EQ292" i="9"/>
  <c r="DX292" i="9"/>
  <c r="DW292" i="9"/>
  <c r="DZ292" i="9"/>
  <c r="DY292" i="9"/>
  <c r="FJ292" i="9"/>
  <c r="FI292" i="9"/>
  <c r="FL292" i="9"/>
  <c r="FK292" i="9"/>
  <c r="DQ294" i="9"/>
  <c r="DR294" i="9" s="1"/>
  <c r="DV294" i="9" s="1"/>
  <c r="AS294" i="9"/>
  <c r="AT294" i="9" s="1"/>
  <c r="AX294" i="9" s="1"/>
  <c r="BL294" i="9"/>
  <c r="BM294" i="9" s="1"/>
  <c r="BQ294" i="9" s="1"/>
  <c r="Z294" i="9"/>
  <c r="AA294" i="9" s="1"/>
  <c r="AE294" i="9" s="1"/>
  <c r="FC294" i="9"/>
  <c r="FD294" i="9" s="1"/>
  <c r="FH294" i="9" s="1"/>
  <c r="CX294" i="9"/>
  <c r="CY294" i="9" s="1"/>
  <c r="DC294" i="9" s="1"/>
  <c r="CE294" i="9"/>
  <c r="CF294" i="9" s="1"/>
  <c r="CJ294" i="9" s="1"/>
  <c r="EJ294" i="9"/>
  <c r="EK294" i="9" s="1"/>
  <c r="EO294" i="9" s="1"/>
  <c r="I295" i="9"/>
  <c r="EQ291" i="12"/>
  <c r="ES291" i="12"/>
  <c r="ER291" i="12"/>
  <c r="FM292" i="9" l="1"/>
  <c r="CO292" i="9"/>
  <c r="DH292" i="9"/>
  <c r="BC292" i="9"/>
  <c r="EA292" i="9"/>
  <c r="ET292" i="9"/>
  <c r="BV292" i="9"/>
  <c r="AJ291" i="12"/>
  <c r="CO291" i="12"/>
  <c r="BV291" i="12"/>
  <c r="DH291" i="12"/>
  <c r="EA291" i="12"/>
  <c r="FM291" i="12"/>
  <c r="ET291" i="12"/>
  <c r="BU293" i="9"/>
  <c r="BT293" i="9"/>
  <c r="BS293" i="9"/>
  <c r="BR293" i="9"/>
  <c r="G296" i="9" a="1"/>
  <c r="G296" i="9" s="1"/>
  <c r="O296" i="9" a="1"/>
  <c r="O296" i="9" s="1"/>
  <c r="H296" i="9" a="1"/>
  <c r="H296" i="9" s="1"/>
  <c r="K296" i="9" a="1"/>
  <c r="K296" i="9" s="1"/>
  <c r="L296" i="9" a="1"/>
  <c r="L296" i="9" s="1"/>
  <c r="N296" i="9" a="1"/>
  <c r="N296" i="9" s="1"/>
  <c r="J296" i="9" a="1"/>
  <c r="J296" i="9" s="1"/>
  <c r="D297" i="9"/>
  <c r="AZ293" i="9"/>
  <c r="AY293" i="9"/>
  <c r="BB293" i="9"/>
  <c r="BA293" i="9"/>
  <c r="DX292" i="12"/>
  <c r="DZ292" i="12"/>
  <c r="DY292" i="12"/>
  <c r="AG292" i="12"/>
  <c r="AH292" i="12"/>
  <c r="AI292" i="12"/>
  <c r="FI293" i="9"/>
  <c r="FL293" i="9"/>
  <c r="FJ293" i="9"/>
  <c r="FK293" i="9"/>
  <c r="M294" i="12"/>
  <c r="P294" i="12" s="1"/>
  <c r="Q294" i="12" s="1"/>
  <c r="CH294" i="9"/>
  <c r="AU294" i="9"/>
  <c r="AW294" i="9" s="1"/>
  <c r="CG294" i="9"/>
  <c r="CI294" i="9" s="1"/>
  <c r="BN294" i="9"/>
  <c r="BP294" i="9" s="1"/>
  <c r="FF294" i="9"/>
  <c r="BO294" i="9"/>
  <c r="FE294" i="9"/>
  <c r="FG294" i="9" s="1"/>
  <c r="AV294" i="9"/>
  <c r="EM294" i="9"/>
  <c r="AC294" i="9"/>
  <c r="CZ294" i="9"/>
  <c r="DB294" i="9" s="1"/>
  <c r="AB294" i="9"/>
  <c r="AD294" i="9" s="1"/>
  <c r="DA294" i="9"/>
  <c r="EL294" i="9"/>
  <c r="EN294" i="9" s="1"/>
  <c r="DT294" i="9"/>
  <c r="DS294" i="9"/>
  <c r="DU294" i="9" s="1"/>
  <c r="DE293" i="9"/>
  <c r="DG293" i="9"/>
  <c r="DD293" i="9"/>
  <c r="DH293" i="9" s="1"/>
  <c r="DF293" i="9"/>
  <c r="EQ293" i="9"/>
  <c r="ER293" i="9"/>
  <c r="EP293" i="9"/>
  <c r="ES293" i="9"/>
  <c r="G295" i="12" a="1"/>
  <c r="G295" i="12" s="1"/>
  <c r="K295" i="12" a="1"/>
  <c r="K295" i="12" s="1"/>
  <c r="O295" i="12" a="1"/>
  <c r="O295" i="12" s="1"/>
  <c r="L295" i="12" a="1"/>
  <c r="L295" i="12" s="1"/>
  <c r="J295" i="12" a="1"/>
  <c r="J295" i="12" s="1"/>
  <c r="N295" i="12" a="1"/>
  <c r="N295" i="12" s="1"/>
  <c r="H295" i="12" a="1"/>
  <c r="H295" i="12" s="1"/>
  <c r="D296" i="12"/>
  <c r="FF293" i="12"/>
  <c r="FE293" i="12"/>
  <c r="FG293" i="12" s="1"/>
  <c r="EP293" i="12"/>
  <c r="DD293" i="12"/>
  <c r="CK293" i="12"/>
  <c r="BO293" i="12"/>
  <c r="BN293" i="12"/>
  <c r="BP293" i="12" s="1"/>
  <c r="AC293" i="12"/>
  <c r="AB293" i="12"/>
  <c r="AD293" i="12" s="1"/>
  <c r="CZ293" i="12"/>
  <c r="DB293" i="12" s="1"/>
  <c r="CG293" i="12"/>
  <c r="CI293" i="12" s="1"/>
  <c r="DA293" i="12"/>
  <c r="CH293" i="12"/>
  <c r="AF293" i="12"/>
  <c r="EL293" i="12"/>
  <c r="EN293" i="12" s="1"/>
  <c r="DT293" i="12"/>
  <c r="EM293" i="12"/>
  <c r="DS293" i="12"/>
  <c r="DU293" i="12" s="1"/>
  <c r="DW293" i="12"/>
  <c r="FI293" i="12"/>
  <c r="BR293" i="12"/>
  <c r="AY293" i="12"/>
  <c r="AU293" i="12"/>
  <c r="AW293" i="12" s="1"/>
  <c r="AV293" i="12"/>
  <c r="DE292" i="12"/>
  <c r="DF292" i="12"/>
  <c r="DG292" i="12"/>
  <c r="EQ292" i="12"/>
  <c r="ES292" i="12"/>
  <c r="ER292" i="12"/>
  <c r="DX293" i="9"/>
  <c r="DZ293" i="9"/>
  <c r="DW293" i="9"/>
  <c r="DY293" i="9"/>
  <c r="AZ292" i="12"/>
  <c r="BB292" i="12"/>
  <c r="BA292" i="12"/>
  <c r="CX295" i="9"/>
  <c r="CY295" i="9" s="1"/>
  <c r="DC295" i="9" s="1"/>
  <c r="AS295" i="9"/>
  <c r="AT295" i="9" s="1"/>
  <c r="AX295" i="9" s="1"/>
  <c r="EJ295" i="9"/>
  <c r="EK295" i="9" s="1"/>
  <c r="EO295" i="9" s="1"/>
  <c r="DQ295" i="9"/>
  <c r="DR295" i="9" s="1"/>
  <c r="DV295" i="9" s="1"/>
  <c r="FC295" i="9"/>
  <c r="FD295" i="9" s="1"/>
  <c r="FH295" i="9" s="1"/>
  <c r="CE295" i="9"/>
  <c r="CF295" i="9" s="1"/>
  <c r="CJ295" i="9" s="1"/>
  <c r="Z295" i="9"/>
  <c r="AA295" i="9" s="1"/>
  <c r="AE295" i="9" s="1"/>
  <c r="BL295" i="9"/>
  <c r="BM295" i="9" s="1"/>
  <c r="BQ295" i="9" s="1"/>
  <c r="I296" i="9"/>
  <c r="AH293" i="9"/>
  <c r="AF293" i="9"/>
  <c r="AI293" i="9"/>
  <c r="AG293" i="9"/>
  <c r="CL292" i="12"/>
  <c r="CN292" i="12"/>
  <c r="CM292" i="12"/>
  <c r="FJ292" i="12"/>
  <c r="FK292" i="12"/>
  <c r="FL292" i="12"/>
  <c r="CK293" i="9"/>
  <c r="CN293" i="9"/>
  <c r="CM293" i="9"/>
  <c r="CL293" i="9"/>
  <c r="BC291" i="12"/>
  <c r="M295" i="9"/>
  <c r="P295" i="9" s="1"/>
  <c r="Q295" i="9" s="1"/>
  <c r="BS292" i="12"/>
  <c r="BU292" i="12"/>
  <c r="BT292" i="12"/>
  <c r="BV293" i="9" l="1"/>
  <c r="FM293" i="9"/>
  <c r="CO293" i="9"/>
  <c r="AJ293" i="9"/>
  <c r="ET293" i="9"/>
  <c r="EA293" i="9"/>
  <c r="BC293" i="9"/>
  <c r="BC294" i="9" s="1"/>
  <c r="AJ292" i="12"/>
  <c r="EA292" i="12"/>
  <c r="M296" i="9"/>
  <c r="BV292" i="12"/>
  <c r="FM292" i="12"/>
  <c r="ET292" i="12"/>
  <c r="CO292" i="12"/>
  <c r="BC292" i="12"/>
  <c r="FF294" i="12"/>
  <c r="FE294" i="12"/>
  <c r="FG294" i="12" s="1"/>
  <c r="EP294" i="12"/>
  <c r="CK294" i="12"/>
  <c r="DD294" i="12"/>
  <c r="BN294" i="12"/>
  <c r="BP294" i="12" s="1"/>
  <c r="AB294" i="12"/>
  <c r="AD294" i="12" s="1"/>
  <c r="AC294" i="12"/>
  <c r="BO294" i="12"/>
  <c r="BR294" i="12"/>
  <c r="AY294" i="12"/>
  <c r="FI294" i="12"/>
  <c r="CZ294" i="12"/>
  <c r="DB294" i="12" s="1"/>
  <c r="CG294" i="12"/>
  <c r="CI294" i="12" s="1"/>
  <c r="DW294" i="12"/>
  <c r="DT294" i="12"/>
  <c r="EL294" i="12"/>
  <c r="EN294" i="12" s="1"/>
  <c r="CH294" i="12"/>
  <c r="DS294" i="12"/>
  <c r="DU294" i="12" s="1"/>
  <c r="AF294" i="12"/>
  <c r="EM294" i="12"/>
  <c r="DA294" i="12"/>
  <c r="AV294" i="12"/>
  <c r="AU294" i="12"/>
  <c r="AW294" i="12" s="1"/>
  <c r="CH295" i="9"/>
  <c r="AU295" i="9"/>
  <c r="AW295" i="9" s="1"/>
  <c r="FF295" i="9"/>
  <c r="FE295" i="9"/>
  <c r="FG295" i="9" s="1"/>
  <c r="BN295" i="9"/>
  <c r="BP295" i="9" s="1"/>
  <c r="CG295" i="9"/>
  <c r="CI295" i="9" s="1"/>
  <c r="BO295" i="9"/>
  <c r="AV295" i="9"/>
  <c r="AB295" i="9"/>
  <c r="AD295" i="9" s="1"/>
  <c r="AC295" i="9"/>
  <c r="CZ295" i="9"/>
  <c r="DB295" i="9" s="1"/>
  <c r="EL295" i="9"/>
  <c r="EN295" i="9" s="1"/>
  <c r="DA295" i="9"/>
  <c r="EM295" i="9"/>
  <c r="DS295" i="9"/>
  <c r="DU295" i="9" s="1"/>
  <c r="DT295" i="9"/>
  <c r="DH292" i="12"/>
  <c r="DX293" i="12"/>
  <c r="DY293" i="12"/>
  <c r="DZ293" i="12"/>
  <c r="DE293" i="12"/>
  <c r="DF293" i="12"/>
  <c r="DG293" i="12"/>
  <c r="FJ293" i="12"/>
  <c r="FK293" i="12"/>
  <c r="FL293" i="12"/>
  <c r="AY294" i="9"/>
  <c r="AZ294" i="9"/>
  <c r="BA294" i="9"/>
  <c r="BB294" i="9"/>
  <c r="EJ296" i="9"/>
  <c r="EK296" i="9" s="1"/>
  <c r="EO296" i="9" s="1"/>
  <c r="DQ296" i="9"/>
  <c r="DR296" i="9" s="1"/>
  <c r="DV296" i="9" s="1"/>
  <c r="CE296" i="9"/>
  <c r="CF296" i="9" s="1"/>
  <c r="CJ296" i="9" s="1"/>
  <c r="Z296" i="9"/>
  <c r="AA296" i="9" s="1"/>
  <c r="AE296" i="9" s="1"/>
  <c r="CX296" i="9"/>
  <c r="CY296" i="9" s="1"/>
  <c r="DC296" i="9" s="1"/>
  <c r="FC296" i="9"/>
  <c r="FD296" i="9" s="1"/>
  <c r="FH296" i="9" s="1"/>
  <c r="AS296" i="9"/>
  <c r="AT296" i="9" s="1"/>
  <c r="AX296" i="9" s="1"/>
  <c r="BL296" i="9"/>
  <c r="BM296" i="9" s="1"/>
  <c r="BQ296" i="9" s="1"/>
  <c r="I297" i="9"/>
  <c r="AG293" i="12"/>
  <c r="AH293" i="12"/>
  <c r="AI293" i="12"/>
  <c r="K297" i="9" a="1"/>
  <c r="K297" i="9" s="1"/>
  <c r="O297" i="9" a="1"/>
  <c r="O297" i="9" s="1"/>
  <c r="G297" i="9" a="1"/>
  <c r="G297" i="9" s="1"/>
  <c r="H297" i="9" a="1"/>
  <c r="H297" i="9" s="1"/>
  <c r="N297" i="9" a="1"/>
  <c r="N297" i="9" s="1"/>
  <c r="L297" i="9" a="1"/>
  <c r="L297" i="9" s="1"/>
  <c r="J297" i="9" a="1"/>
  <c r="J297" i="9" s="1"/>
  <c r="D298" i="9"/>
  <c r="J296" i="12" a="1"/>
  <c r="J296" i="12" s="1"/>
  <c r="H296" i="12" a="1"/>
  <c r="H296" i="12" s="1"/>
  <c r="N296" i="12" a="1"/>
  <c r="N296" i="12" s="1"/>
  <c r="O296" i="12" a="1"/>
  <c r="O296" i="12" s="1"/>
  <c r="K296" i="12" a="1"/>
  <c r="K296" i="12" s="1"/>
  <c r="G296" i="12" a="1"/>
  <c r="G296" i="12" s="1"/>
  <c r="L296" i="12" a="1"/>
  <c r="L296" i="12" s="1"/>
  <c r="D297" i="12"/>
  <c r="DZ294" i="9"/>
  <c r="DY294" i="9"/>
  <c r="DX294" i="9"/>
  <c r="DW294" i="9"/>
  <c r="P296" i="9"/>
  <c r="Q296" i="9" s="1"/>
  <c r="CL293" i="12"/>
  <c r="CM293" i="12"/>
  <c r="CN293" i="12"/>
  <c r="AZ293" i="12"/>
  <c r="BB293" i="12"/>
  <c r="BA293" i="12"/>
  <c r="EQ293" i="12"/>
  <c r="ES293" i="12"/>
  <c r="ER293" i="12"/>
  <c r="BS293" i="12"/>
  <c r="BU293" i="12"/>
  <c r="BT293" i="12"/>
  <c r="FL294" i="9"/>
  <c r="FJ294" i="9"/>
  <c r="FK294" i="9"/>
  <c r="FI294" i="9"/>
  <c r="FM294" i="9" s="1"/>
  <c r="EQ294" i="9"/>
  <c r="ER294" i="9"/>
  <c r="EP294" i="9"/>
  <c r="ES294" i="9"/>
  <c r="DE294" i="9"/>
  <c r="DD294" i="9"/>
  <c r="DH294" i="9" s="1"/>
  <c r="DF294" i="9"/>
  <c r="DG294" i="9"/>
  <c r="M295" i="12"/>
  <c r="P295" i="12" s="1"/>
  <c r="Q295" i="12" s="1"/>
  <c r="CK294" i="9"/>
  <c r="CO294" i="9" s="1"/>
  <c r="CL294" i="9"/>
  <c r="CM294" i="9"/>
  <c r="CN294" i="9"/>
  <c r="AH294" i="9"/>
  <c r="AG294" i="9"/>
  <c r="AF294" i="9"/>
  <c r="AI294" i="9"/>
  <c r="BS294" i="9"/>
  <c r="BR294" i="9"/>
  <c r="BU294" i="9"/>
  <c r="BT294" i="9"/>
  <c r="AJ294" i="9" l="1"/>
  <c r="FM293" i="12"/>
  <c r="BV294" i="9"/>
  <c r="EA294" i="9"/>
  <c r="ET294" i="9"/>
  <c r="CO293" i="12"/>
  <c r="AJ293" i="12"/>
  <c r="EA293" i="12"/>
  <c r="BC293" i="12"/>
  <c r="BV293" i="12"/>
  <c r="M297" i="9"/>
  <c r="AZ294" i="12"/>
  <c r="BA294" i="12"/>
  <c r="BB294" i="12"/>
  <c r="DH293" i="12"/>
  <c r="DZ295" i="9"/>
  <c r="DY295" i="9"/>
  <c r="DX295" i="9"/>
  <c r="DW295" i="9"/>
  <c r="AG294" i="12"/>
  <c r="AH294" i="12"/>
  <c r="AI294" i="12"/>
  <c r="AU296" i="9"/>
  <c r="AW296" i="9" s="1"/>
  <c r="CG296" i="9"/>
  <c r="CI296" i="9" s="1"/>
  <c r="FF296" i="9"/>
  <c r="BN296" i="9"/>
  <c r="BP296" i="9" s="1"/>
  <c r="AV296" i="9"/>
  <c r="FE296" i="9"/>
  <c r="FG296" i="9" s="1"/>
  <c r="CH296" i="9"/>
  <c r="BO296" i="9"/>
  <c r="AB296" i="9"/>
  <c r="AD296" i="9" s="1"/>
  <c r="DA296" i="9"/>
  <c r="AC296" i="9"/>
  <c r="CZ296" i="9"/>
  <c r="DB296" i="9" s="1"/>
  <c r="EM296" i="9"/>
  <c r="EL296" i="9"/>
  <c r="EN296" i="9" s="1"/>
  <c r="DT296" i="9"/>
  <c r="DS296" i="9"/>
  <c r="DU296" i="9" s="1"/>
  <c r="CK295" i="9"/>
  <c r="CN295" i="9"/>
  <c r="CM295" i="9"/>
  <c r="CL295" i="9"/>
  <c r="CL294" i="12"/>
  <c r="CN294" i="12"/>
  <c r="CM294" i="12"/>
  <c r="BS294" i="12"/>
  <c r="BT294" i="12"/>
  <c r="BU294" i="12"/>
  <c r="BT295" i="9"/>
  <c r="BS295" i="9"/>
  <c r="BU295" i="9"/>
  <c r="BR295" i="9"/>
  <c r="BV295" i="9" s="1"/>
  <c r="DE294" i="12"/>
  <c r="DG294" i="12"/>
  <c r="DF294" i="12"/>
  <c r="CX297" i="9"/>
  <c r="CY297" i="9" s="1"/>
  <c r="DC297" i="9" s="1"/>
  <c r="Z297" i="9"/>
  <c r="AA297" i="9" s="1"/>
  <c r="AE297" i="9" s="1"/>
  <c r="AS297" i="9"/>
  <c r="AT297" i="9" s="1"/>
  <c r="AX297" i="9" s="1"/>
  <c r="EJ297" i="9"/>
  <c r="EK297" i="9" s="1"/>
  <c r="EO297" i="9" s="1"/>
  <c r="CE297" i="9"/>
  <c r="CF297" i="9" s="1"/>
  <c r="CJ297" i="9" s="1"/>
  <c r="BL297" i="9"/>
  <c r="BM297" i="9" s="1"/>
  <c r="BQ297" i="9" s="1"/>
  <c r="FC297" i="9"/>
  <c r="FD297" i="9" s="1"/>
  <c r="FH297" i="9" s="1"/>
  <c r="DQ297" i="9"/>
  <c r="DR297" i="9" s="1"/>
  <c r="DV297" i="9" s="1"/>
  <c r="I298" i="9"/>
  <c r="M296" i="12"/>
  <c r="P296" i="12" s="1"/>
  <c r="Q296" i="12" s="1"/>
  <c r="ER295" i="9"/>
  <c r="ES295" i="9"/>
  <c r="EP295" i="9"/>
  <c r="EQ295" i="9"/>
  <c r="FK295" i="9"/>
  <c r="FL295" i="9"/>
  <c r="FJ295" i="9"/>
  <c r="FI295" i="9"/>
  <c r="EP295" i="12"/>
  <c r="FE295" i="12"/>
  <c r="FG295" i="12" s="1"/>
  <c r="FF295" i="12"/>
  <c r="CK295" i="12"/>
  <c r="DD295" i="12"/>
  <c r="BN295" i="12"/>
  <c r="BP295" i="12" s="1"/>
  <c r="AC295" i="12"/>
  <c r="BO295" i="12"/>
  <c r="AB295" i="12"/>
  <c r="AD295" i="12" s="1"/>
  <c r="AF295" i="12"/>
  <c r="FI295" i="12"/>
  <c r="DW295" i="12"/>
  <c r="EM295" i="12"/>
  <c r="AY295" i="12"/>
  <c r="EL295" i="12"/>
  <c r="EN295" i="12" s="1"/>
  <c r="BR295" i="12"/>
  <c r="CH295" i="12"/>
  <c r="DA295" i="12"/>
  <c r="DS295" i="12"/>
  <c r="DU295" i="12" s="1"/>
  <c r="CG295" i="12"/>
  <c r="CI295" i="12" s="1"/>
  <c r="CZ295" i="12"/>
  <c r="DB295" i="12" s="1"/>
  <c r="DT295" i="12"/>
  <c r="AV295" i="12"/>
  <c r="AU295" i="12"/>
  <c r="AW295" i="12" s="1"/>
  <c r="L297" i="12" a="1"/>
  <c r="L297" i="12" s="1"/>
  <c r="K297" i="12" a="1"/>
  <c r="K297" i="12" s="1"/>
  <c r="J297" i="12" a="1"/>
  <c r="J297" i="12" s="1"/>
  <c r="N297" i="12" a="1"/>
  <c r="N297" i="12" s="1"/>
  <c r="O297" i="12" a="1"/>
  <c r="O297" i="12" s="1"/>
  <c r="H297" i="12" a="1"/>
  <c r="H297" i="12" s="1"/>
  <c r="G297" i="12" a="1"/>
  <c r="G297" i="12" s="1"/>
  <c r="D298" i="12"/>
  <c r="J298" i="9" a="1"/>
  <c r="J298" i="9" s="1"/>
  <c r="G298" i="9" a="1"/>
  <c r="G298" i="9" s="1"/>
  <c r="H298" i="9" a="1"/>
  <c r="H298" i="9" s="1"/>
  <c r="O298" i="9" a="1"/>
  <c r="O298" i="9" s="1"/>
  <c r="L298" i="9" a="1"/>
  <c r="L298" i="9" s="1"/>
  <c r="K298" i="9" a="1"/>
  <c r="K298" i="9" s="1"/>
  <c r="N298" i="9" a="1"/>
  <c r="N298" i="9" s="1"/>
  <c r="D299" i="9"/>
  <c r="DD295" i="9"/>
  <c r="DE295" i="9"/>
  <c r="DF295" i="9"/>
  <c r="DG295" i="9"/>
  <c r="DX294" i="12"/>
  <c r="DY294" i="12"/>
  <c r="DZ294" i="12"/>
  <c r="P297" i="9"/>
  <c r="Q297" i="9" s="1"/>
  <c r="BA295" i="9"/>
  <c r="AY295" i="9"/>
  <c r="BB295" i="9"/>
  <c r="AZ295" i="9"/>
  <c r="FJ294" i="12"/>
  <c r="FL294" i="12"/>
  <c r="FK294" i="12"/>
  <c r="ET293" i="12"/>
  <c r="AG295" i="9"/>
  <c r="AF295" i="9"/>
  <c r="AI295" i="9"/>
  <c r="AH295" i="9"/>
  <c r="EQ294" i="12"/>
  <c r="ES294" i="12"/>
  <c r="ER294" i="12"/>
  <c r="BV294" i="12" l="1"/>
  <c r="CO295" i="9"/>
  <c r="AJ295" i="9"/>
  <c r="BC295" i="9"/>
  <c r="DH295" i="9"/>
  <c r="FM295" i="9"/>
  <c r="ET295" i="9"/>
  <c r="EA295" i="9"/>
  <c r="AJ294" i="12"/>
  <c r="DH294" i="12"/>
  <c r="BC294" i="12"/>
  <c r="M297" i="12"/>
  <c r="CO294" i="12"/>
  <c r="ET294" i="12"/>
  <c r="FM294" i="12"/>
  <c r="EA294" i="12"/>
  <c r="BS295" i="12"/>
  <c r="BU295" i="12"/>
  <c r="BT295" i="12"/>
  <c r="DF296" i="9"/>
  <c r="DE296" i="9"/>
  <c r="DG296" i="9"/>
  <c r="DD296" i="9"/>
  <c r="BS296" i="9"/>
  <c r="BU296" i="9"/>
  <c r="BR296" i="9"/>
  <c r="BT296" i="9"/>
  <c r="DE295" i="12"/>
  <c r="DG295" i="12"/>
  <c r="DF295" i="12"/>
  <c r="FE296" i="12"/>
  <c r="FG296" i="12" s="1"/>
  <c r="FF296" i="12"/>
  <c r="EP296" i="12"/>
  <c r="CK296" i="12"/>
  <c r="DD296" i="12"/>
  <c r="AB296" i="12"/>
  <c r="AD296" i="12" s="1"/>
  <c r="AC296" i="12"/>
  <c r="BO296" i="12"/>
  <c r="BN296" i="12"/>
  <c r="BP296" i="12" s="1"/>
  <c r="AY296" i="12"/>
  <c r="EM296" i="12"/>
  <c r="CH296" i="12"/>
  <c r="EL296" i="12"/>
  <c r="EN296" i="12" s="1"/>
  <c r="CG296" i="12"/>
  <c r="CI296" i="12" s="1"/>
  <c r="AF296" i="12"/>
  <c r="DS296" i="12"/>
  <c r="DU296" i="12" s="1"/>
  <c r="DA296" i="12"/>
  <c r="FI296" i="12"/>
  <c r="DT296" i="12"/>
  <c r="CZ296" i="12"/>
  <c r="DB296" i="12" s="1"/>
  <c r="BR296" i="12"/>
  <c r="DW296" i="12"/>
  <c r="AU296" i="12"/>
  <c r="AW296" i="12" s="1"/>
  <c r="AV296" i="12"/>
  <c r="CL295" i="12"/>
  <c r="CN295" i="12"/>
  <c r="CM295" i="12"/>
  <c r="CX298" i="9"/>
  <c r="CY298" i="9" s="1"/>
  <c r="DC298" i="9" s="1"/>
  <c r="EJ298" i="9"/>
  <c r="EK298" i="9" s="1"/>
  <c r="EO298" i="9" s="1"/>
  <c r="Z298" i="9"/>
  <c r="AA298" i="9" s="1"/>
  <c r="AE298" i="9" s="1"/>
  <c r="AS298" i="9"/>
  <c r="AT298" i="9" s="1"/>
  <c r="AX298" i="9" s="1"/>
  <c r="DQ298" i="9"/>
  <c r="DR298" i="9" s="1"/>
  <c r="DV298" i="9" s="1"/>
  <c r="BL298" i="9"/>
  <c r="BM298" i="9" s="1"/>
  <c r="BQ298" i="9" s="1"/>
  <c r="CE298" i="9"/>
  <c r="CF298" i="9" s="1"/>
  <c r="CJ298" i="9" s="1"/>
  <c r="FC298" i="9"/>
  <c r="FD298" i="9" s="1"/>
  <c r="FH298" i="9" s="1"/>
  <c r="I299" i="9"/>
  <c r="CK296" i="9"/>
  <c r="CN296" i="9"/>
  <c r="CL296" i="9"/>
  <c r="CM296" i="9"/>
  <c r="P297" i="12"/>
  <c r="Q297" i="12" s="1"/>
  <c r="DX295" i="12"/>
  <c r="DZ295" i="12"/>
  <c r="DY295" i="12"/>
  <c r="AH296" i="9"/>
  <c r="AF296" i="9"/>
  <c r="AI296" i="9"/>
  <c r="AG296" i="9"/>
  <c r="BA296" i="9"/>
  <c r="BB296" i="9"/>
  <c r="AZ296" i="9"/>
  <c r="AY296" i="9"/>
  <c r="BC296" i="9" s="1"/>
  <c r="FJ295" i="12"/>
  <c r="FK295" i="12"/>
  <c r="FL295" i="12"/>
  <c r="DZ296" i="9"/>
  <c r="DX296" i="9"/>
  <c r="DW296" i="9"/>
  <c r="DY296" i="9"/>
  <c r="EQ295" i="12"/>
  <c r="ER295" i="12"/>
  <c r="ES295" i="12"/>
  <c r="M298" i="9"/>
  <c r="P298" i="9" s="1"/>
  <c r="Q298" i="9" s="1"/>
  <c r="AI295" i="12"/>
  <c r="AG295" i="12"/>
  <c r="AH295" i="12"/>
  <c r="CH297" i="9"/>
  <c r="FF297" i="9"/>
  <c r="FE297" i="9"/>
  <c r="FG297" i="9" s="1"/>
  <c r="BO297" i="9"/>
  <c r="AV297" i="9"/>
  <c r="BN297" i="9"/>
  <c r="BP297" i="9" s="1"/>
  <c r="AU297" i="9"/>
  <c r="AW297" i="9" s="1"/>
  <c r="CG297" i="9"/>
  <c r="CI297" i="9" s="1"/>
  <c r="EM297" i="9"/>
  <c r="AB297" i="9"/>
  <c r="AD297" i="9" s="1"/>
  <c r="AC297" i="9"/>
  <c r="EL297" i="9"/>
  <c r="EN297" i="9" s="1"/>
  <c r="CZ297" i="9"/>
  <c r="DB297" i="9" s="1"/>
  <c r="DA297" i="9"/>
  <c r="DS297" i="9"/>
  <c r="DU297" i="9" s="1"/>
  <c r="DT297" i="9"/>
  <c r="L299" i="9" a="1"/>
  <c r="L299" i="9" s="1"/>
  <c r="O299" i="9" a="1"/>
  <c r="O299" i="9" s="1"/>
  <c r="H299" i="9" a="1"/>
  <c r="H299" i="9" s="1"/>
  <c r="G299" i="9" a="1"/>
  <c r="G299" i="9" s="1"/>
  <c r="N299" i="9" a="1"/>
  <c r="N299" i="9" s="1"/>
  <c r="J299" i="9" a="1"/>
  <c r="J299" i="9" s="1"/>
  <c r="K299" i="9" a="1"/>
  <c r="K299" i="9" s="1"/>
  <c r="D300" i="9"/>
  <c r="G298" i="12" a="1"/>
  <c r="G298" i="12" s="1"/>
  <c r="O298" i="12" a="1"/>
  <c r="O298" i="12" s="1"/>
  <c r="L298" i="12" a="1"/>
  <c r="L298" i="12" s="1"/>
  <c r="H298" i="12" a="1"/>
  <c r="H298" i="12" s="1"/>
  <c r="N298" i="12" a="1"/>
  <c r="N298" i="12" s="1"/>
  <c r="J298" i="12" a="1"/>
  <c r="J298" i="12" s="1"/>
  <c r="K298" i="12" a="1"/>
  <c r="K298" i="12" s="1"/>
  <c r="D299" i="12"/>
  <c r="AZ295" i="12"/>
  <c r="BB295" i="12"/>
  <c r="BA295" i="12"/>
  <c r="ES296" i="9"/>
  <c r="ER296" i="9"/>
  <c r="EQ296" i="9"/>
  <c r="EP296" i="9"/>
  <c r="FI296" i="9"/>
  <c r="FM296" i="9" s="1"/>
  <c r="FJ296" i="9"/>
  <c r="FK296" i="9"/>
  <c r="FL296" i="9"/>
  <c r="DH296" i="9" l="1"/>
  <c r="AJ296" i="9"/>
  <c r="CO296" i="9"/>
  <c r="BV296" i="9"/>
  <c r="ET296" i="9"/>
  <c r="EA296" i="9"/>
  <c r="AJ295" i="12"/>
  <c r="DH295" i="12"/>
  <c r="CO295" i="12"/>
  <c r="EA295" i="12"/>
  <c r="BV295" i="12"/>
  <c r="ET295" i="12"/>
  <c r="FM295" i="12"/>
  <c r="FL297" i="9"/>
  <c r="FJ297" i="9"/>
  <c r="FK297" i="9"/>
  <c r="FI297" i="9"/>
  <c r="DX296" i="12"/>
  <c r="DZ296" i="12"/>
  <c r="DY296" i="12"/>
  <c r="AI297" i="9"/>
  <c r="AG297" i="9"/>
  <c r="AF297" i="9"/>
  <c r="AH297" i="9"/>
  <c r="BA296" i="12"/>
  <c r="BB296" i="12"/>
  <c r="AZ296" i="12"/>
  <c r="CM296" i="12"/>
  <c r="CN296" i="12"/>
  <c r="CL296" i="12"/>
  <c r="CO296" i="12" s="1"/>
  <c r="BC295" i="12"/>
  <c r="AG296" i="12"/>
  <c r="AH296" i="12"/>
  <c r="AI296" i="12"/>
  <c r="J299" i="12" a="1"/>
  <c r="J299" i="12" s="1"/>
  <c r="K299" i="12" a="1"/>
  <c r="K299" i="12" s="1"/>
  <c r="N299" i="12" a="1"/>
  <c r="N299" i="12" s="1"/>
  <c r="O299" i="12" a="1"/>
  <c r="O299" i="12" s="1"/>
  <c r="G299" i="12" a="1"/>
  <c r="G299" i="12" s="1"/>
  <c r="L299" i="12" a="1"/>
  <c r="L299" i="12" s="1"/>
  <c r="H299" i="12" a="1"/>
  <c r="H299" i="12" s="1"/>
  <c r="D300" i="12"/>
  <c r="J300" i="9" a="1"/>
  <c r="J300" i="9" s="1"/>
  <c r="N300" i="9" a="1"/>
  <c r="N300" i="9" s="1"/>
  <c r="O300" i="9" a="1"/>
  <c r="O300" i="9" s="1"/>
  <c r="H300" i="9" a="1"/>
  <c r="H300" i="9" s="1"/>
  <c r="G300" i="9" a="1"/>
  <c r="G300" i="9" s="1"/>
  <c r="L300" i="9" a="1"/>
  <c r="L300" i="9" s="1"/>
  <c r="K300" i="9" a="1"/>
  <c r="K300" i="9" s="1"/>
  <c r="D301" i="9"/>
  <c r="CK297" i="9"/>
  <c r="CO297" i="9" s="1"/>
  <c r="CN297" i="9"/>
  <c r="CL297" i="9"/>
  <c r="CM297" i="9"/>
  <c r="CE299" i="9"/>
  <c r="CF299" i="9" s="1"/>
  <c r="CJ299" i="9" s="1"/>
  <c r="DQ299" i="9"/>
  <c r="DR299" i="9" s="1"/>
  <c r="DV299" i="9" s="1"/>
  <c r="BL299" i="9"/>
  <c r="BM299" i="9" s="1"/>
  <c r="BQ299" i="9" s="1"/>
  <c r="FC299" i="9"/>
  <c r="FD299" i="9" s="1"/>
  <c r="FH299" i="9" s="1"/>
  <c r="AS299" i="9"/>
  <c r="AT299" i="9" s="1"/>
  <c r="AX299" i="9" s="1"/>
  <c r="Z299" i="9"/>
  <c r="AA299" i="9" s="1"/>
  <c r="AE299" i="9" s="1"/>
  <c r="CX299" i="9"/>
  <c r="CY299" i="9" s="1"/>
  <c r="DC299" i="9" s="1"/>
  <c r="EJ299" i="9"/>
  <c r="EK299" i="9" s="1"/>
  <c r="EO299" i="9" s="1"/>
  <c r="I300" i="9"/>
  <c r="EQ296" i="12"/>
  <c r="ES296" i="12"/>
  <c r="ER296" i="12"/>
  <c r="DW297" i="9"/>
  <c r="DX297" i="9"/>
  <c r="DZ297" i="9"/>
  <c r="DY297" i="9"/>
  <c r="AZ297" i="9"/>
  <c r="AY297" i="9"/>
  <c r="BC297" i="9" s="1"/>
  <c r="BB297" i="9"/>
  <c r="BA297" i="9"/>
  <c r="DE296" i="12"/>
  <c r="DF296" i="12"/>
  <c r="DG296" i="12"/>
  <c r="M299" i="9"/>
  <c r="P299" i="9" s="1"/>
  <c r="Q299" i="9" s="1"/>
  <c r="BU297" i="9"/>
  <c r="BS297" i="9"/>
  <c r="BR297" i="9"/>
  <c r="BT297" i="9"/>
  <c r="M298" i="12"/>
  <c r="P298" i="12" s="1"/>
  <c r="Q298" i="12" s="1"/>
  <c r="DE297" i="9"/>
  <c r="DD297" i="9"/>
  <c r="DF297" i="9"/>
  <c r="DG297" i="9"/>
  <c r="CH298" i="9"/>
  <c r="FF298" i="9"/>
  <c r="CG298" i="9"/>
  <c r="CI298" i="9" s="1"/>
  <c r="FE298" i="9"/>
  <c r="FG298" i="9" s="1"/>
  <c r="AV298" i="9"/>
  <c r="BO298" i="9"/>
  <c r="AU298" i="9"/>
  <c r="AW298" i="9" s="1"/>
  <c r="BN298" i="9"/>
  <c r="BP298" i="9" s="1"/>
  <c r="DA298" i="9"/>
  <c r="AC298" i="9"/>
  <c r="EM298" i="9"/>
  <c r="CZ298" i="9"/>
  <c r="DB298" i="9" s="1"/>
  <c r="AB298" i="9"/>
  <c r="AD298" i="9" s="1"/>
  <c r="EL298" i="9"/>
  <c r="EN298" i="9" s="1"/>
  <c r="DS298" i="9"/>
  <c r="DU298" i="9" s="1"/>
  <c r="DT298" i="9"/>
  <c r="FE297" i="12"/>
  <c r="FG297" i="12" s="1"/>
  <c r="EP297" i="12"/>
  <c r="FF297" i="12"/>
  <c r="CK297" i="12"/>
  <c r="DD297" i="12"/>
  <c r="BN297" i="12"/>
  <c r="BP297" i="12" s="1"/>
  <c r="AC297" i="12"/>
  <c r="BO297" i="12"/>
  <c r="AB297" i="12"/>
  <c r="AD297" i="12" s="1"/>
  <c r="BR297" i="12"/>
  <c r="CH297" i="12"/>
  <c r="DW297" i="12"/>
  <c r="CZ297" i="12"/>
  <c r="DB297" i="12" s="1"/>
  <c r="EL297" i="12"/>
  <c r="EN297" i="12" s="1"/>
  <c r="DT297" i="12"/>
  <c r="FI297" i="12"/>
  <c r="DA297" i="12"/>
  <c r="EM297" i="12"/>
  <c r="AY297" i="12"/>
  <c r="AF297" i="12"/>
  <c r="DS297" i="12"/>
  <c r="DU297" i="12" s="1"/>
  <c r="CG297" i="12"/>
  <c r="CI297" i="12" s="1"/>
  <c r="AV297" i="12"/>
  <c r="AU297" i="12"/>
  <c r="AW297" i="12" s="1"/>
  <c r="EP297" i="9"/>
  <c r="EQ297" i="9"/>
  <c r="ES297" i="9"/>
  <c r="ER297" i="9"/>
  <c r="BS296" i="12"/>
  <c r="BU296" i="12"/>
  <c r="BT296" i="12"/>
  <c r="FJ296" i="12"/>
  <c r="FL296" i="12"/>
  <c r="FK296" i="12"/>
  <c r="AJ297" i="9" l="1"/>
  <c r="EA297" i="9"/>
  <c r="DH297" i="9"/>
  <c r="BV297" i="9"/>
  <c r="FM297" i="9"/>
  <c r="ET297" i="9"/>
  <c r="BC296" i="12"/>
  <c r="FM296" i="12"/>
  <c r="BV296" i="12"/>
  <c r="EA296" i="12"/>
  <c r="AJ296" i="12"/>
  <c r="DH296" i="12"/>
  <c r="EP298" i="12"/>
  <c r="FF298" i="12"/>
  <c r="FE298" i="12"/>
  <c r="FG298" i="12" s="1"/>
  <c r="CK298" i="12"/>
  <c r="DD298" i="12"/>
  <c r="AB298" i="12"/>
  <c r="AD298" i="12" s="1"/>
  <c r="AC298" i="12"/>
  <c r="BO298" i="12"/>
  <c r="BN298" i="12"/>
  <c r="BP298" i="12" s="1"/>
  <c r="FI298" i="12"/>
  <c r="AY298" i="12"/>
  <c r="EL298" i="12"/>
  <c r="EN298" i="12" s="1"/>
  <c r="DT298" i="12"/>
  <c r="CG298" i="12"/>
  <c r="CI298" i="12" s="1"/>
  <c r="DW298" i="12"/>
  <c r="DS298" i="12"/>
  <c r="DU298" i="12" s="1"/>
  <c r="CZ298" i="12"/>
  <c r="DB298" i="12" s="1"/>
  <c r="CH298" i="12"/>
  <c r="AF298" i="12"/>
  <c r="BR298" i="12"/>
  <c r="DA298" i="12"/>
  <c r="EM298" i="12"/>
  <c r="AU298" i="12"/>
  <c r="AW298" i="12" s="1"/>
  <c r="AV298" i="12"/>
  <c r="BO299" i="9"/>
  <c r="AU299" i="9"/>
  <c r="AW299" i="9" s="1"/>
  <c r="FE299" i="9"/>
  <c r="FG299" i="9" s="1"/>
  <c r="CH299" i="9"/>
  <c r="AV299" i="9"/>
  <c r="FF299" i="9"/>
  <c r="CG299" i="9"/>
  <c r="CI299" i="9" s="1"/>
  <c r="BN299" i="9"/>
  <c r="BP299" i="9" s="1"/>
  <c r="DA299" i="9"/>
  <c r="AC299" i="9"/>
  <c r="EL299" i="9"/>
  <c r="EN299" i="9" s="1"/>
  <c r="AB299" i="9"/>
  <c r="AD299" i="9" s="1"/>
  <c r="EM299" i="9"/>
  <c r="CZ299" i="9"/>
  <c r="DB299" i="9" s="1"/>
  <c r="DS299" i="9"/>
  <c r="DU299" i="9" s="1"/>
  <c r="DT299" i="9"/>
  <c r="AZ297" i="12"/>
  <c r="BB297" i="12"/>
  <c r="BA297" i="12"/>
  <c r="BR298" i="9"/>
  <c r="BV298" i="9" s="1"/>
  <c r="BU298" i="9"/>
  <c r="BT298" i="9"/>
  <c r="BS298" i="9"/>
  <c r="ET296" i="12"/>
  <c r="M300" i="9"/>
  <c r="P300" i="9" s="1"/>
  <c r="Q300" i="9" s="1"/>
  <c r="M299" i="12"/>
  <c r="P299" i="12" s="1"/>
  <c r="Q299" i="12" s="1"/>
  <c r="EQ297" i="12"/>
  <c r="ES297" i="12"/>
  <c r="ER297" i="12"/>
  <c r="DE297" i="12"/>
  <c r="DG297" i="12"/>
  <c r="DF297" i="12"/>
  <c r="DY298" i="9"/>
  <c r="DZ298" i="9"/>
  <c r="EA298" i="9" s="1"/>
  <c r="DX298" i="9"/>
  <c r="DW298" i="9"/>
  <c r="AZ298" i="9"/>
  <c r="BB298" i="9"/>
  <c r="AY298" i="9"/>
  <c r="BA298" i="9"/>
  <c r="L301" i="9" a="1"/>
  <c r="L301" i="9" s="1"/>
  <c r="K301" i="9" a="1"/>
  <c r="K301" i="9" s="1"/>
  <c r="G301" i="9" a="1"/>
  <c r="G301" i="9" s="1"/>
  <c r="H301" i="9" a="1"/>
  <c r="H301" i="9" s="1"/>
  <c r="O301" i="9" a="1"/>
  <c r="O301" i="9" s="1"/>
  <c r="J301" i="9" a="1"/>
  <c r="J301" i="9" s="1"/>
  <c r="N301" i="9" a="1"/>
  <c r="N301" i="9" s="1"/>
  <c r="D302" i="9"/>
  <c r="L300" i="12" a="1"/>
  <c r="L300" i="12" s="1"/>
  <c r="H300" i="12" a="1"/>
  <c r="H300" i="12" s="1"/>
  <c r="K300" i="12" a="1"/>
  <c r="K300" i="12" s="1"/>
  <c r="J300" i="12" a="1"/>
  <c r="J300" i="12" s="1"/>
  <c r="N300" i="12" a="1"/>
  <c r="N300" i="12" s="1"/>
  <c r="G300" i="12" a="1"/>
  <c r="G300" i="12" s="1"/>
  <c r="O300" i="12" a="1"/>
  <c r="O300" i="12" s="1"/>
  <c r="D301" i="12"/>
  <c r="AH298" i="9"/>
  <c r="AI298" i="9"/>
  <c r="AF298" i="9"/>
  <c r="AG298" i="9"/>
  <c r="DE298" i="9"/>
  <c r="DG298" i="9"/>
  <c r="DD298" i="9"/>
  <c r="DF298" i="9"/>
  <c r="FL298" i="9"/>
  <c r="FK298" i="9"/>
  <c r="FJ298" i="9"/>
  <c r="FI298" i="9"/>
  <c r="AS300" i="9"/>
  <c r="AT300" i="9" s="1"/>
  <c r="AX300" i="9" s="1"/>
  <c r="DQ300" i="9"/>
  <c r="DR300" i="9" s="1"/>
  <c r="DV300" i="9" s="1"/>
  <c r="FC300" i="9"/>
  <c r="FD300" i="9" s="1"/>
  <c r="FH300" i="9" s="1"/>
  <c r="CE300" i="9"/>
  <c r="CF300" i="9" s="1"/>
  <c r="CJ300" i="9" s="1"/>
  <c r="Z300" i="9"/>
  <c r="AA300" i="9" s="1"/>
  <c r="AE300" i="9" s="1"/>
  <c r="CX300" i="9"/>
  <c r="CY300" i="9" s="1"/>
  <c r="DC300" i="9" s="1"/>
  <c r="EJ300" i="9"/>
  <c r="EK300" i="9" s="1"/>
  <c r="EO300" i="9" s="1"/>
  <c r="BL300" i="9"/>
  <c r="BM300" i="9" s="1"/>
  <c r="BQ300" i="9" s="1"/>
  <c r="I301" i="9"/>
  <c r="BS297" i="12"/>
  <c r="BU297" i="12"/>
  <c r="BT297" i="12"/>
  <c r="DX297" i="12"/>
  <c r="DY297" i="12"/>
  <c r="DZ297" i="12"/>
  <c r="CN298" i="9"/>
  <c r="CM298" i="9"/>
  <c r="CK298" i="9"/>
  <c r="CL298" i="9"/>
  <c r="EP298" i="9"/>
  <c r="ER298" i="9"/>
  <c r="ES298" i="9"/>
  <c r="EQ298" i="9"/>
  <c r="CL297" i="12"/>
  <c r="CN297" i="12"/>
  <c r="CM297" i="12"/>
  <c r="AG297" i="12"/>
  <c r="AH297" i="12"/>
  <c r="AI297" i="12"/>
  <c r="FJ297" i="12"/>
  <c r="FL297" i="12"/>
  <c r="FK297" i="12"/>
  <c r="DH298" i="9" l="1"/>
  <c r="FM298" i="9"/>
  <c r="AJ298" i="9"/>
  <c r="BC298" i="9"/>
  <c r="CO298" i="9"/>
  <c r="ET298" i="9"/>
  <c r="BC297" i="12"/>
  <c r="BV297" i="12"/>
  <c r="M301" i="9"/>
  <c r="P301" i="9" s="1"/>
  <c r="Q301" i="9" s="1"/>
  <c r="DH297" i="12"/>
  <c r="FM297" i="12"/>
  <c r="EA297" i="12"/>
  <c r="ET297" i="12"/>
  <c r="M300" i="12"/>
  <c r="P300" i="12" s="1"/>
  <c r="Q300" i="12" s="1"/>
  <c r="AJ297" i="12"/>
  <c r="BU299" i="9"/>
  <c r="BT299" i="9"/>
  <c r="BR299" i="9"/>
  <c r="BS299" i="9"/>
  <c r="DX298" i="12"/>
  <c r="DZ298" i="12"/>
  <c r="DY298" i="12"/>
  <c r="FE299" i="12"/>
  <c r="FG299" i="12" s="1"/>
  <c r="FF299" i="12"/>
  <c r="EP299" i="12"/>
  <c r="CK299" i="12"/>
  <c r="DD299" i="12"/>
  <c r="AC299" i="12"/>
  <c r="BO299" i="12"/>
  <c r="AB299" i="12"/>
  <c r="AD299" i="12" s="1"/>
  <c r="BN299" i="12"/>
  <c r="BP299" i="12" s="1"/>
  <c r="CG299" i="12"/>
  <c r="CI299" i="12" s="1"/>
  <c r="CH299" i="12"/>
  <c r="EL299" i="12"/>
  <c r="EN299" i="12" s="1"/>
  <c r="FI299" i="12"/>
  <c r="BR299" i="12"/>
  <c r="EM299" i="12"/>
  <c r="AY299" i="12"/>
  <c r="DW299" i="12"/>
  <c r="AF299" i="12"/>
  <c r="DS299" i="12"/>
  <c r="DU299" i="12" s="1"/>
  <c r="DA299" i="12"/>
  <c r="DT299" i="12"/>
  <c r="CZ299" i="12"/>
  <c r="DB299" i="12" s="1"/>
  <c r="AV299" i="12"/>
  <c r="AU299" i="12"/>
  <c r="AW299" i="12" s="1"/>
  <c r="DQ301" i="9"/>
  <c r="DR301" i="9" s="1"/>
  <c r="DV301" i="9" s="1"/>
  <c r="CX301" i="9"/>
  <c r="CY301" i="9" s="1"/>
  <c r="DC301" i="9" s="1"/>
  <c r="EJ301" i="9"/>
  <c r="EK301" i="9" s="1"/>
  <c r="EO301" i="9" s="1"/>
  <c r="CE301" i="9"/>
  <c r="CF301" i="9" s="1"/>
  <c r="CJ301" i="9" s="1"/>
  <c r="BL301" i="9"/>
  <c r="BM301" i="9" s="1"/>
  <c r="BQ301" i="9" s="1"/>
  <c r="Z301" i="9"/>
  <c r="AA301" i="9" s="1"/>
  <c r="AE301" i="9" s="1"/>
  <c r="AS301" i="9"/>
  <c r="AT301" i="9" s="1"/>
  <c r="AX301" i="9" s="1"/>
  <c r="FC301" i="9"/>
  <c r="FD301" i="9" s="1"/>
  <c r="FH301" i="9" s="1"/>
  <c r="I302" i="9"/>
  <c r="DZ299" i="9"/>
  <c r="DW299" i="9"/>
  <c r="EA299" i="9" s="1"/>
  <c r="DY299" i="9"/>
  <c r="DX299" i="9"/>
  <c r="CK299" i="9"/>
  <c r="CM299" i="9"/>
  <c r="CN299" i="9"/>
  <c r="CL299" i="9"/>
  <c r="AZ298" i="12"/>
  <c r="BB298" i="12"/>
  <c r="BA298" i="12"/>
  <c r="DD299" i="9"/>
  <c r="DE299" i="9"/>
  <c r="DG299" i="9"/>
  <c r="DF299" i="9"/>
  <c r="AH298" i="12"/>
  <c r="AI298" i="12"/>
  <c r="AG298" i="12"/>
  <c r="AF299" i="9"/>
  <c r="AG299" i="9"/>
  <c r="AI299" i="9"/>
  <c r="AH299" i="9"/>
  <c r="EQ298" i="12"/>
  <c r="ES298" i="12"/>
  <c r="ER298" i="12"/>
  <c r="CM298" i="12"/>
  <c r="CN298" i="12"/>
  <c r="CL298" i="12"/>
  <c r="EQ299" i="9"/>
  <c r="EP299" i="9"/>
  <c r="ER299" i="9"/>
  <c r="ES299" i="9"/>
  <c r="FJ299" i="9"/>
  <c r="FK299" i="9"/>
  <c r="FI299" i="9"/>
  <c r="FM299" i="9" s="1"/>
  <c r="FL299" i="9"/>
  <c r="FJ298" i="12"/>
  <c r="FL298" i="12"/>
  <c r="FK298" i="12"/>
  <c r="BA299" i="9"/>
  <c r="AY299" i="9"/>
  <c r="AZ299" i="9"/>
  <c r="BB299" i="9"/>
  <c r="AV300" i="9"/>
  <c r="BN300" i="9"/>
  <c r="BP300" i="9" s="1"/>
  <c r="AU300" i="9"/>
  <c r="AW300" i="9" s="1"/>
  <c r="CG300" i="9"/>
  <c r="CI300" i="9" s="1"/>
  <c r="FF300" i="9"/>
  <c r="CH300" i="9"/>
  <c r="FE300" i="9"/>
  <c r="FG300" i="9" s="1"/>
  <c r="BO300" i="9"/>
  <c r="EM300" i="9"/>
  <c r="EL300" i="9"/>
  <c r="EN300" i="9" s="1"/>
  <c r="DA300" i="9"/>
  <c r="AB300" i="9"/>
  <c r="AD300" i="9" s="1"/>
  <c r="CZ300" i="9"/>
  <c r="DB300" i="9" s="1"/>
  <c r="AC300" i="9"/>
  <c r="DT300" i="9"/>
  <c r="DS300" i="9"/>
  <c r="DU300" i="9" s="1"/>
  <c r="CO297" i="12"/>
  <c r="L301" i="12" a="1"/>
  <c r="L301" i="12" s="1"/>
  <c r="O301" i="12" a="1"/>
  <c r="O301" i="12" s="1"/>
  <c r="K301" i="12" a="1"/>
  <c r="K301" i="12" s="1"/>
  <c r="J301" i="12" a="1"/>
  <c r="J301" i="12" s="1"/>
  <c r="N301" i="12" a="1"/>
  <c r="N301" i="12" s="1"/>
  <c r="H301" i="12" a="1"/>
  <c r="H301" i="12" s="1"/>
  <c r="G301" i="12" a="1"/>
  <c r="G301" i="12" s="1"/>
  <c r="D302" i="12"/>
  <c r="K302" i="9" a="1"/>
  <c r="K302" i="9" s="1"/>
  <c r="O302" i="9" a="1"/>
  <c r="O302" i="9" s="1"/>
  <c r="G302" i="9" a="1"/>
  <c r="G302" i="9" s="1"/>
  <c r="N302" i="9" a="1"/>
  <c r="N302" i="9" s="1"/>
  <c r="H302" i="9" a="1"/>
  <c r="H302" i="9" s="1"/>
  <c r="J302" i="9" a="1"/>
  <c r="J302" i="9" s="1"/>
  <c r="L302" i="9" a="1"/>
  <c r="L302" i="9" s="1"/>
  <c r="D303" i="9"/>
  <c r="DE298" i="12"/>
  <c r="DG298" i="12"/>
  <c r="DF298" i="12"/>
  <c r="BS298" i="12"/>
  <c r="BT298" i="12"/>
  <c r="BU298" i="12"/>
  <c r="AJ298" i="12" l="1"/>
  <c r="BC299" i="9"/>
  <c r="CO299" i="9"/>
  <c r="DH299" i="9"/>
  <c r="AJ299" i="9"/>
  <c r="BV299" i="9"/>
  <c r="ET299" i="9"/>
  <c r="DD300" i="12"/>
  <c r="BR300" i="12"/>
  <c r="CG300" i="12"/>
  <c r="CI300" i="12" s="1"/>
  <c r="CK300" i="12"/>
  <c r="AF300" i="12"/>
  <c r="EM300" i="12"/>
  <c r="BO300" i="12"/>
  <c r="CZ300" i="12"/>
  <c r="DB300" i="12" s="1"/>
  <c r="DE300" i="12" s="1"/>
  <c r="DS300" i="12"/>
  <c r="DU300" i="12" s="1"/>
  <c r="DX300" i="12" s="1"/>
  <c r="BN300" i="12"/>
  <c r="BP300" i="12" s="1"/>
  <c r="BS300" i="12" s="1"/>
  <c r="FI300" i="12"/>
  <c r="AU300" i="12"/>
  <c r="AW300" i="12" s="1"/>
  <c r="AC300" i="12"/>
  <c r="CH300" i="12"/>
  <c r="AV300" i="12"/>
  <c r="FF300" i="12"/>
  <c r="AB300" i="12"/>
  <c r="AD300" i="12" s="1"/>
  <c r="AG300" i="12" s="1"/>
  <c r="DW300" i="12"/>
  <c r="EP300" i="12"/>
  <c r="AY300" i="12"/>
  <c r="EL300" i="12"/>
  <c r="EN300" i="12" s="1"/>
  <c r="FE300" i="12"/>
  <c r="FG300" i="12" s="1"/>
  <c r="FK300" i="12" s="1"/>
  <c r="DA300" i="12"/>
  <c r="DT300" i="12"/>
  <c r="BC298" i="12"/>
  <c r="BV298" i="12"/>
  <c r="DH298" i="12"/>
  <c r="FM298" i="12"/>
  <c r="EA298" i="12"/>
  <c r="M302" i="9"/>
  <c r="CO298" i="12"/>
  <c r="FL300" i="9"/>
  <c r="FK300" i="9"/>
  <c r="FJ300" i="9"/>
  <c r="FI300" i="9"/>
  <c r="CL300" i="12"/>
  <c r="CN300" i="12"/>
  <c r="CM300" i="12"/>
  <c r="CX302" i="9"/>
  <c r="CY302" i="9" s="1"/>
  <c r="DC302" i="9" s="1"/>
  <c r="CE302" i="9"/>
  <c r="CF302" i="9" s="1"/>
  <c r="CJ302" i="9" s="1"/>
  <c r="AS302" i="9"/>
  <c r="AT302" i="9" s="1"/>
  <c r="AX302" i="9" s="1"/>
  <c r="EJ302" i="9"/>
  <c r="EK302" i="9" s="1"/>
  <c r="EO302" i="9" s="1"/>
  <c r="DQ302" i="9"/>
  <c r="DR302" i="9" s="1"/>
  <c r="DV302" i="9" s="1"/>
  <c r="FC302" i="9"/>
  <c r="FD302" i="9" s="1"/>
  <c r="FH302" i="9" s="1"/>
  <c r="Z302" i="9"/>
  <c r="AA302" i="9" s="1"/>
  <c r="AE302" i="9" s="1"/>
  <c r="BL302" i="9"/>
  <c r="BM302" i="9" s="1"/>
  <c r="BQ302" i="9" s="1"/>
  <c r="I303" i="9"/>
  <c r="BS299" i="12"/>
  <c r="BT299" i="12"/>
  <c r="BU299" i="12"/>
  <c r="FJ299" i="12"/>
  <c r="FK299" i="12"/>
  <c r="FL299" i="12"/>
  <c r="FJ300" i="12"/>
  <c r="FL300" i="12"/>
  <c r="AZ299" i="12"/>
  <c r="BB299" i="12"/>
  <c r="BA299" i="12"/>
  <c r="AG299" i="12"/>
  <c r="AI299" i="12"/>
  <c r="AH299" i="12"/>
  <c r="P302" i="9"/>
  <c r="Q302" i="9" s="1"/>
  <c r="M301" i="12"/>
  <c r="P301" i="12" s="1"/>
  <c r="Q301" i="12" s="1"/>
  <c r="DE300" i="9"/>
  <c r="DF300" i="9"/>
  <c r="DD300" i="9"/>
  <c r="DG300" i="9"/>
  <c r="EQ300" i="12"/>
  <c r="ES300" i="12"/>
  <c r="ER300" i="12"/>
  <c r="AF300" i="9"/>
  <c r="AG300" i="9"/>
  <c r="AI300" i="9"/>
  <c r="AH300" i="9"/>
  <c r="CM300" i="9"/>
  <c r="CN300" i="9"/>
  <c r="CL300" i="9"/>
  <c r="CK300" i="9"/>
  <c r="DE299" i="12"/>
  <c r="DF299" i="12"/>
  <c r="DG299" i="12"/>
  <c r="BB300" i="9"/>
  <c r="BA300" i="9"/>
  <c r="AZ300" i="9"/>
  <c r="AY300" i="9"/>
  <c r="ET298" i="12"/>
  <c r="FM299" i="12"/>
  <c r="ES300" i="9"/>
  <c r="ER300" i="9"/>
  <c r="EQ300" i="9"/>
  <c r="EP300" i="9"/>
  <c r="BR300" i="9"/>
  <c r="BS300" i="9"/>
  <c r="BU300" i="9"/>
  <c r="BT300" i="9"/>
  <c r="AZ300" i="12"/>
  <c r="BB300" i="12"/>
  <c r="BA300" i="12"/>
  <c r="EQ299" i="12"/>
  <c r="ES299" i="12"/>
  <c r="ER299" i="12"/>
  <c r="K302" i="12" a="1"/>
  <c r="K302" i="12" s="1"/>
  <c r="O302" i="12" a="1"/>
  <c r="O302" i="12" s="1"/>
  <c r="G302" i="12" a="1"/>
  <c r="G302" i="12" s="1"/>
  <c r="J302" i="12" a="1"/>
  <c r="J302" i="12" s="1"/>
  <c r="N302" i="12" a="1"/>
  <c r="N302" i="12" s="1"/>
  <c r="L302" i="12" a="1"/>
  <c r="L302" i="12" s="1"/>
  <c r="H302" i="12" a="1"/>
  <c r="H302" i="12" s="1"/>
  <c r="D303" i="12"/>
  <c r="DX299" i="12"/>
  <c r="DZ299" i="12"/>
  <c r="DY299" i="12"/>
  <c r="G303" i="9" a="1"/>
  <c r="G303" i="9" s="1"/>
  <c r="O303" i="9" a="1"/>
  <c r="O303" i="9" s="1"/>
  <c r="N303" i="9" a="1"/>
  <c r="N303" i="9" s="1"/>
  <c r="H303" i="9" a="1"/>
  <c r="H303" i="9" s="1"/>
  <c r="L303" i="9" a="1"/>
  <c r="L303" i="9" s="1"/>
  <c r="K303" i="9" a="1"/>
  <c r="K303" i="9" s="1"/>
  <c r="J303" i="9" a="1"/>
  <c r="J303" i="9" s="1"/>
  <c r="D304" i="9"/>
  <c r="DX300" i="9"/>
  <c r="DW300" i="9"/>
  <c r="EA300" i="9" s="1"/>
  <c r="DZ300" i="9"/>
  <c r="DY300" i="9"/>
  <c r="CO300" i="12"/>
  <c r="BO301" i="9"/>
  <c r="CG301" i="9"/>
  <c r="CI301" i="9" s="1"/>
  <c r="BN301" i="9"/>
  <c r="BP301" i="9" s="1"/>
  <c r="CH301" i="9"/>
  <c r="AV301" i="9"/>
  <c r="FF301" i="9"/>
  <c r="AU301" i="9"/>
  <c r="AW301" i="9" s="1"/>
  <c r="FE301" i="9"/>
  <c r="FG301" i="9" s="1"/>
  <c r="EL301" i="9"/>
  <c r="EN301" i="9" s="1"/>
  <c r="EM301" i="9"/>
  <c r="AC301" i="9"/>
  <c r="CZ301" i="9"/>
  <c r="DB301" i="9" s="1"/>
  <c r="AB301" i="9"/>
  <c r="AD301" i="9" s="1"/>
  <c r="DA301" i="9"/>
  <c r="DT301" i="9"/>
  <c r="DS301" i="9"/>
  <c r="DU301" i="9" s="1"/>
  <c r="AJ299" i="12"/>
  <c r="CM299" i="12"/>
  <c r="CL299" i="12"/>
  <c r="CN299" i="12"/>
  <c r="FM300" i="12" l="1"/>
  <c r="AI300" i="12"/>
  <c r="AH300" i="12"/>
  <c r="DY300" i="12"/>
  <c r="DZ300" i="12"/>
  <c r="BU300" i="12"/>
  <c r="BC300" i="9"/>
  <c r="BT300" i="12"/>
  <c r="BV300" i="9"/>
  <c r="AJ300" i="9"/>
  <c r="ET300" i="9"/>
  <c r="CO300" i="9"/>
  <c r="DH300" i="9"/>
  <c r="FM300" i="9"/>
  <c r="AJ300" i="12"/>
  <c r="M302" i="12"/>
  <c r="P302" i="12" s="1"/>
  <c r="Q302" i="12" s="1"/>
  <c r="BC300" i="12"/>
  <c r="DF300" i="12"/>
  <c r="DG300" i="12"/>
  <c r="BC299" i="12"/>
  <c r="BV299" i="12"/>
  <c r="FL301" i="9"/>
  <c r="FJ301" i="9"/>
  <c r="FK301" i="9"/>
  <c r="FI301" i="9"/>
  <c r="FF301" i="12"/>
  <c r="EP301" i="12"/>
  <c r="FE301" i="12"/>
  <c r="FG301" i="12" s="1"/>
  <c r="DD301" i="12"/>
  <c r="CK301" i="12"/>
  <c r="BO301" i="12"/>
  <c r="BN301" i="12"/>
  <c r="BP301" i="12" s="1"/>
  <c r="AB301" i="12"/>
  <c r="AD301" i="12" s="1"/>
  <c r="AC301" i="12"/>
  <c r="BR301" i="12"/>
  <c r="DW301" i="12"/>
  <c r="AF301" i="12"/>
  <c r="FI301" i="12"/>
  <c r="CH301" i="12"/>
  <c r="DT301" i="12"/>
  <c r="EM301" i="12"/>
  <c r="DA301" i="12"/>
  <c r="CG301" i="12"/>
  <c r="CI301" i="12" s="1"/>
  <c r="DS301" i="12"/>
  <c r="DU301" i="12" s="1"/>
  <c r="EL301" i="12"/>
  <c r="EN301" i="12" s="1"/>
  <c r="CZ301" i="12"/>
  <c r="DB301" i="12" s="1"/>
  <c r="AY301" i="12"/>
  <c r="AU301" i="12"/>
  <c r="AW301" i="12" s="1"/>
  <c r="AV301" i="12"/>
  <c r="AZ301" i="9"/>
  <c r="AY301" i="9"/>
  <c r="BA301" i="9"/>
  <c r="BB301" i="9"/>
  <c r="DH299" i="12"/>
  <c r="DW301" i="9"/>
  <c r="EA301" i="9" s="1"/>
  <c r="DX301" i="9"/>
  <c r="DZ301" i="9"/>
  <c r="DY301" i="9"/>
  <c r="DH300" i="12"/>
  <c r="BR301" i="9"/>
  <c r="BU301" i="9"/>
  <c r="BT301" i="9"/>
  <c r="BS301" i="9"/>
  <c r="EA300" i="12"/>
  <c r="DE301" i="9"/>
  <c r="DG301" i="9"/>
  <c r="DD301" i="9"/>
  <c r="DF301" i="9"/>
  <c r="CO299" i="12"/>
  <c r="CK301" i="9"/>
  <c r="CO301" i="9" s="1"/>
  <c r="CM301" i="9"/>
  <c r="CL301" i="9"/>
  <c r="CN301" i="9"/>
  <c r="L304" i="9" a="1"/>
  <c r="L304" i="9" s="1"/>
  <c r="N304" i="9" a="1"/>
  <c r="N304" i="9" s="1"/>
  <c r="O304" i="9" a="1"/>
  <c r="O304" i="9" s="1"/>
  <c r="H304" i="9" a="1"/>
  <c r="H304" i="9" s="1"/>
  <c r="G304" i="9" a="1"/>
  <c r="G304" i="9" s="1"/>
  <c r="K304" i="9" a="1"/>
  <c r="K304" i="9" s="1"/>
  <c r="J304" i="9" a="1"/>
  <c r="J304" i="9" s="1"/>
  <c r="D305" i="9"/>
  <c r="EA299" i="12"/>
  <c r="ET300" i="12"/>
  <c r="CG302" i="9"/>
  <c r="CI302" i="9" s="1"/>
  <c r="FE302" i="9"/>
  <c r="FG302" i="9" s="1"/>
  <c r="CH302" i="9"/>
  <c r="FF302" i="9"/>
  <c r="BN302" i="9"/>
  <c r="BP302" i="9" s="1"/>
  <c r="AV302" i="9"/>
  <c r="BO302" i="9"/>
  <c r="AU302" i="9"/>
  <c r="AW302" i="9" s="1"/>
  <c r="AC302" i="9"/>
  <c r="EL302" i="9"/>
  <c r="EN302" i="9" s="1"/>
  <c r="CZ302" i="9"/>
  <c r="DB302" i="9" s="1"/>
  <c r="AB302" i="9"/>
  <c r="AD302" i="9" s="1"/>
  <c r="EM302" i="9"/>
  <c r="DA302" i="9"/>
  <c r="DS302" i="9"/>
  <c r="DU302" i="9" s="1"/>
  <c r="DT302" i="9"/>
  <c r="AI301" i="9"/>
  <c r="AF301" i="9"/>
  <c r="AH301" i="9"/>
  <c r="AG301" i="9"/>
  <c r="EQ301" i="9"/>
  <c r="ES301" i="9"/>
  <c r="EP301" i="9"/>
  <c r="ET301" i="9" s="1"/>
  <c r="ER301" i="9"/>
  <c r="M303" i="9"/>
  <c r="P303" i="9" s="1"/>
  <c r="Q303" i="9" s="1"/>
  <c r="O303" i="12" a="1"/>
  <c r="O303" i="12" s="1"/>
  <c r="K303" i="12" a="1"/>
  <c r="K303" i="12" s="1"/>
  <c r="J303" i="12" a="1"/>
  <c r="J303" i="12" s="1"/>
  <c r="N303" i="12" a="1"/>
  <c r="N303" i="12" s="1"/>
  <c r="H303" i="12" a="1"/>
  <c r="H303" i="12" s="1"/>
  <c r="G303" i="12" a="1"/>
  <c r="G303" i="12" s="1"/>
  <c r="L303" i="12" a="1"/>
  <c r="L303" i="12" s="1"/>
  <c r="D304" i="12"/>
  <c r="ET299" i="12"/>
  <c r="CE303" i="9"/>
  <c r="CF303" i="9" s="1"/>
  <c r="CJ303" i="9" s="1"/>
  <c r="BL303" i="9"/>
  <c r="BM303" i="9" s="1"/>
  <c r="BQ303" i="9" s="1"/>
  <c r="EJ303" i="9"/>
  <c r="EK303" i="9" s="1"/>
  <c r="EO303" i="9" s="1"/>
  <c r="FC303" i="9"/>
  <c r="FD303" i="9" s="1"/>
  <c r="FH303" i="9" s="1"/>
  <c r="AS303" i="9"/>
  <c r="AT303" i="9" s="1"/>
  <c r="AX303" i="9" s="1"/>
  <c r="DQ303" i="9"/>
  <c r="DR303" i="9" s="1"/>
  <c r="DV303" i="9" s="1"/>
  <c r="CX303" i="9"/>
  <c r="CY303" i="9" s="1"/>
  <c r="DC303" i="9" s="1"/>
  <c r="Z303" i="9"/>
  <c r="AA303" i="9" s="1"/>
  <c r="AE303" i="9" s="1"/>
  <c r="I304" i="9"/>
  <c r="BV300" i="12" l="1"/>
  <c r="BC301" i="9"/>
  <c r="FM301" i="9"/>
  <c r="AJ301" i="9"/>
  <c r="BV301" i="9"/>
  <c r="DH301" i="9"/>
  <c r="M304" i="9"/>
  <c r="G304" i="12" a="1"/>
  <c r="G304" i="12" s="1"/>
  <c r="O304" i="12" a="1"/>
  <c r="O304" i="12" s="1"/>
  <c r="N304" i="12" a="1"/>
  <c r="N304" i="12" s="1"/>
  <c r="L304" i="12" a="1"/>
  <c r="L304" i="12" s="1"/>
  <c r="H304" i="12" a="1"/>
  <c r="H304" i="12" s="1"/>
  <c r="K304" i="12" a="1"/>
  <c r="K304" i="12" s="1"/>
  <c r="J304" i="12" a="1"/>
  <c r="J304" i="12" s="1"/>
  <c r="D305" i="12"/>
  <c r="FE303" i="9"/>
  <c r="FG303" i="9" s="1"/>
  <c r="BN303" i="9"/>
  <c r="BP303" i="9" s="1"/>
  <c r="CG303" i="9"/>
  <c r="CI303" i="9" s="1"/>
  <c r="AU303" i="9"/>
  <c r="AW303" i="9" s="1"/>
  <c r="AV303" i="9"/>
  <c r="FF303" i="9"/>
  <c r="BO303" i="9"/>
  <c r="CH303" i="9"/>
  <c r="AC303" i="9"/>
  <c r="DA303" i="9"/>
  <c r="EL303" i="9"/>
  <c r="EN303" i="9" s="1"/>
  <c r="AB303" i="9"/>
  <c r="AD303" i="9" s="1"/>
  <c r="CZ303" i="9"/>
  <c r="DB303" i="9" s="1"/>
  <c r="EM303" i="9"/>
  <c r="DT303" i="9"/>
  <c r="DS303" i="9"/>
  <c r="DU303" i="9" s="1"/>
  <c r="CL302" i="9"/>
  <c r="CN302" i="9"/>
  <c r="CK302" i="9"/>
  <c r="CM302" i="9"/>
  <c r="EQ301" i="12"/>
  <c r="ES301" i="12"/>
  <c r="ER301" i="12"/>
  <c r="AZ302" i="9"/>
  <c r="BB302" i="9"/>
  <c r="AY302" i="9"/>
  <c r="BC302" i="9" s="1"/>
  <c r="BA302" i="9"/>
  <c r="P304" i="9"/>
  <c r="Q304" i="9" s="1"/>
  <c r="EP302" i="12"/>
  <c r="FF302" i="12"/>
  <c r="FE302" i="12"/>
  <c r="FG302" i="12" s="1"/>
  <c r="DD302" i="12"/>
  <c r="CK302" i="12"/>
  <c r="BO302" i="12"/>
  <c r="BN302" i="12"/>
  <c r="BP302" i="12" s="1"/>
  <c r="AC302" i="12"/>
  <c r="AB302" i="12"/>
  <c r="AD302" i="12" s="1"/>
  <c r="AY302" i="12"/>
  <c r="EL302" i="12"/>
  <c r="EN302" i="12" s="1"/>
  <c r="AF302" i="12"/>
  <c r="BR302" i="12"/>
  <c r="FI302" i="12"/>
  <c r="DT302" i="12"/>
  <c r="DS302" i="12"/>
  <c r="DU302" i="12" s="1"/>
  <c r="CZ302" i="12"/>
  <c r="DB302" i="12" s="1"/>
  <c r="CH302" i="12"/>
  <c r="CG302" i="12"/>
  <c r="CI302" i="12" s="1"/>
  <c r="DA302" i="12"/>
  <c r="EM302" i="12"/>
  <c r="DW302" i="12"/>
  <c r="AV302" i="12"/>
  <c r="AU302" i="12"/>
  <c r="AW302" i="12" s="1"/>
  <c r="DX301" i="12"/>
  <c r="DY301" i="12"/>
  <c r="DZ301" i="12"/>
  <c r="FJ301" i="12"/>
  <c r="FL301" i="12"/>
  <c r="FK301" i="12"/>
  <c r="CL301" i="12"/>
  <c r="CM301" i="12"/>
  <c r="CN301" i="12"/>
  <c r="DZ302" i="9"/>
  <c r="DY302" i="9"/>
  <c r="DW302" i="9"/>
  <c r="EA302" i="9" s="1"/>
  <c r="DX302" i="9"/>
  <c r="G305" i="9" a="1"/>
  <c r="G305" i="9" s="1"/>
  <c r="H305" i="9" a="1"/>
  <c r="H305" i="9" s="1"/>
  <c r="N305" i="9" a="1"/>
  <c r="N305" i="9" s="1"/>
  <c r="O305" i="9" a="1"/>
  <c r="O305" i="9" s="1"/>
  <c r="K305" i="9" a="1"/>
  <c r="K305" i="9" s="1"/>
  <c r="L305" i="9" a="1"/>
  <c r="L305" i="9" s="1"/>
  <c r="J305" i="9" a="1"/>
  <c r="J305" i="9" s="1"/>
  <c r="D306" i="9"/>
  <c r="BR302" i="9"/>
  <c r="BS302" i="9"/>
  <c r="BT302" i="9"/>
  <c r="BU302" i="9"/>
  <c r="AG301" i="12"/>
  <c r="AI301" i="12"/>
  <c r="AH301" i="12"/>
  <c r="M303" i="12"/>
  <c r="P303" i="12" s="1"/>
  <c r="Q303" i="12" s="1"/>
  <c r="AH302" i="9"/>
  <c r="AF302" i="9"/>
  <c r="AG302" i="9"/>
  <c r="AI302" i="9"/>
  <c r="AZ301" i="12"/>
  <c r="BA301" i="12"/>
  <c r="BB301" i="12"/>
  <c r="BS301" i="12"/>
  <c r="BT301" i="12"/>
  <c r="BU301" i="12"/>
  <c r="DQ304" i="9"/>
  <c r="DR304" i="9" s="1"/>
  <c r="DV304" i="9" s="1"/>
  <c r="CE304" i="9"/>
  <c r="CF304" i="9" s="1"/>
  <c r="CJ304" i="9" s="1"/>
  <c r="BL304" i="9"/>
  <c r="BM304" i="9" s="1"/>
  <c r="BQ304" i="9" s="1"/>
  <c r="EJ304" i="9"/>
  <c r="EK304" i="9" s="1"/>
  <c r="EO304" i="9" s="1"/>
  <c r="FC304" i="9"/>
  <c r="FD304" i="9" s="1"/>
  <c r="FH304" i="9" s="1"/>
  <c r="AS304" i="9"/>
  <c r="AT304" i="9" s="1"/>
  <c r="AX304" i="9" s="1"/>
  <c r="CX304" i="9"/>
  <c r="CY304" i="9" s="1"/>
  <c r="DC304" i="9" s="1"/>
  <c r="Z304" i="9"/>
  <c r="AA304" i="9" s="1"/>
  <c r="AE304" i="9" s="1"/>
  <c r="I305" i="9"/>
  <c r="DE302" i="9"/>
  <c r="DD302" i="9"/>
  <c r="DF302" i="9"/>
  <c r="DG302" i="9"/>
  <c r="ER302" i="9"/>
  <c r="ES302" i="9"/>
  <c r="EP302" i="9"/>
  <c r="ET302" i="9" s="1"/>
  <c r="EQ302" i="9"/>
  <c r="FJ302" i="9"/>
  <c r="FI302" i="9"/>
  <c r="FL302" i="9"/>
  <c r="FK302" i="9"/>
  <c r="DE301" i="12"/>
  <c r="DG301" i="12"/>
  <c r="DF301" i="12"/>
  <c r="BV302" i="9" l="1"/>
  <c r="FM302" i="9"/>
  <c r="DH302" i="9"/>
  <c r="AJ302" i="9"/>
  <c r="CO302" i="9"/>
  <c r="FM301" i="12"/>
  <c r="FE304" i="9"/>
  <c r="FG304" i="9" s="1"/>
  <c r="AU304" i="9"/>
  <c r="AW304" i="9" s="1"/>
  <c r="BA304" i="9" s="1"/>
  <c r="CZ304" i="9"/>
  <c r="DB304" i="9" s="1"/>
  <c r="DE304" i="9" s="1"/>
  <c r="DA304" i="9"/>
  <c r="AC304" i="9"/>
  <c r="FF304" i="9"/>
  <c r="AB304" i="9"/>
  <c r="AD304" i="9" s="1"/>
  <c r="AI304" i="9" s="1"/>
  <c r="AV304" i="9"/>
  <c r="EM304" i="9"/>
  <c r="CH304" i="9"/>
  <c r="BN304" i="9"/>
  <c r="BP304" i="9" s="1"/>
  <c r="BR304" i="9" s="1"/>
  <c r="DT304" i="9"/>
  <c r="M304" i="12"/>
  <c r="P304" i="12" s="1"/>
  <c r="Q304" i="12" s="1"/>
  <c r="CG304" i="9"/>
  <c r="CI304" i="9" s="1"/>
  <c r="BC301" i="12"/>
  <c r="BO304" i="9"/>
  <c r="EL304" i="9"/>
  <c r="EN304" i="9" s="1"/>
  <c r="ER304" i="9" s="1"/>
  <c r="BV301" i="12"/>
  <c r="AJ301" i="12"/>
  <c r="EA301" i="12"/>
  <c r="FJ302" i="12"/>
  <c r="FL302" i="12"/>
  <c r="FK302" i="12"/>
  <c r="CE305" i="9"/>
  <c r="CF305" i="9" s="1"/>
  <c r="CJ305" i="9" s="1"/>
  <c r="Z305" i="9"/>
  <c r="AA305" i="9" s="1"/>
  <c r="AE305" i="9" s="1"/>
  <c r="DQ305" i="9"/>
  <c r="DR305" i="9" s="1"/>
  <c r="DV305" i="9" s="1"/>
  <c r="BL305" i="9"/>
  <c r="BM305" i="9" s="1"/>
  <c r="BQ305" i="9" s="1"/>
  <c r="AS305" i="9"/>
  <c r="AT305" i="9" s="1"/>
  <c r="AX305" i="9" s="1"/>
  <c r="FC305" i="9"/>
  <c r="FD305" i="9" s="1"/>
  <c r="FH305" i="9" s="1"/>
  <c r="EJ305" i="9"/>
  <c r="EK305" i="9" s="1"/>
  <c r="EO305" i="9" s="1"/>
  <c r="CX305" i="9"/>
  <c r="CY305" i="9" s="1"/>
  <c r="DC305" i="9" s="1"/>
  <c r="I306" i="9"/>
  <c r="DE302" i="12"/>
  <c r="DG302" i="12"/>
  <c r="DF302" i="12"/>
  <c r="AG302" i="12"/>
  <c r="AI302" i="12"/>
  <c r="AH302" i="12"/>
  <c r="ET301" i="12"/>
  <c r="L305" i="12" a="1"/>
  <c r="L305" i="12" s="1"/>
  <c r="N305" i="12" a="1"/>
  <c r="N305" i="12" s="1"/>
  <c r="H305" i="12" a="1"/>
  <c r="H305" i="12" s="1"/>
  <c r="K305" i="12" a="1"/>
  <c r="K305" i="12" s="1"/>
  <c r="O305" i="12" a="1"/>
  <c r="O305" i="12" s="1"/>
  <c r="G305" i="12" a="1"/>
  <c r="G305" i="12" s="1"/>
  <c r="J305" i="12" a="1"/>
  <c r="J305" i="12" s="1"/>
  <c r="D306" i="12"/>
  <c r="BB302" i="12"/>
  <c r="BA302" i="12"/>
  <c r="AZ302" i="12"/>
  <c r="DX302" i="12"/>
  <c r="DZ302" i="12"/>
  <c r="DY302" i="12"/>
  <c r="CL304" i="9"/>
  <c r="CK304" i="9"/>
  <c r="CM304" i="9"/>
  <c r="CN304" i="9"/>
  <c r="DD303" i="9"/>
  <c r="DH303" i="9" s="1"/>
  <c r="DH304" i="9" s="1"/>
  <c r="DF303" i="9"/>
  <c r="DG303" i="9"/>
  <c r="DE303" i="9"/>
  <c r="EQ302" i="12"/>
  <c r="ER302" i="12"/>
  <c r="ES302" i="12"/>
  <c r="CO301" i="12"/>
  <c r="BS302" i="12"/>
  <c r="BT302" i="12"/>
  <c r="BU302" i="12"/>
  <c r="DS304" i="9"/>
  <c r="DU304" i="9" s="1"/>
  <c r="FL304" i="9"/>
  <c r="FK304" i="9"/>
  <c r="FJ304" i="9"/>
  <c r="FI304" i="9"/>
  <c r="AF303" i="9"/>
  <c r="AJ303" i="9" s="1"/>
  <c r="AG303" i="9"/>
  <c r="AH303" i="9"/>
  <c r="AI303" i="9"/>
  <c r="AZ303" i="9"/>
  <c r="AY303" i="9"/>
  <c r="BB303" i="9"/>
  <c r="BA303" i="9"/>
  <c r="EP303" i="12"/>
  <c r="FF303" i="12"/>
  <c r="FE303" i="12"/>
  <c r="FG303" i="12" s="1"/>
  <c r="DD303" i="12"/>
  <c r="CK303" i="12"/>
  <c r="BO303" i="12"/>
  <c r="BN303" i="12"/>
  <c r="BP303" i="12" s="1"/>
  <c r="AC303" i="12"/>
  <c r="AB303" i="12"/>
  <c r="AD303" i="12" s="1"/>
  <c r="AY303" i="12"/>
  <c r="CH303" i="12"/>
  <c r="DA303" i="12"/>
  <c r="CG303" i="12"/>
  <c r="CI303" i="12" s="1"/>
  <c r="CZ303" i="12"/>
  <c r="DB303" i="12" s="1"/>
  <c r="BR303" i="12"/>
  <c r="FI303" i="12"/>
  <c r="AF303" i="12"/>
  <c r="DW303" i="12"/>
  <c r="EM303" i="12"/>
  <c r="DT303" i="12"/>
  <c r="EL303" i="12"/>
  <c r="EN303" i="12" s="1"/>
  <c r="DS303" i="12"/>
  <c r="DU303" i="12" s="1"/>
  <c r="AV303" i="12"/>
  <c r="AU303" i="12"/>
  <c r="AW303" i="12" s="1"/>
  <c r="N306" i="9" a="1"/>
  <c r="N306" i="9" s="1"/>
  <c r="G306" i="9" a="1"/>
  <c r="G306" i="9" s="1"/>
  <c r="H306" i="9" a="1"/>
  <c r="H306" i="9" s="1"/>
  <c r="L306" i="9" a="1"/>
  <c r="L306" i="9" s="1"/>
  <c r="O306" i="9" a="1"/>
  <c r="O306" i="9" s="1"/>
  <c r="J306" i="9" a="1"/>
  <c r="J306" i="9" s="1"/>
  <c r="K306" i="9" a="1"/>
  <c r="K306" i="9" s="1"/>
  <c r="D307" i="9"/>
  <c r="EQ303" i="9"/>
  <c r="ER303" i="9"/>
  <c r="ES303" i="9"/>
  <c r="EP303" i="9"/>
  <c r="ET303" i="9" s="1"/>
  <c r="CM303" i="9"/>
  <c r="CN303" i="9"/>
  <c r="CK303" i="9"/>
  <c r="CL303" i="9"/>
  <c r="CL302" i="12"/>
  <c r="CN302" i="12"/>
  <c r="CM302" i="12"/>
  <c r="M305" i="9"/>
  <c r="P305" i="9" s="1"/>
  <c r="Q305" i="9" s="1"/>
  <c r="BU304" i="9"/>
  <c r="BR303" i="9"/>
  <c r="BV303" i="9" s="1"/>
  <c r="BV304" i="9" s="1"/>
  <c r="BS303" i="9"/>
  <c r="BU303" i="9"/>
  <c r="BT303" i="9"/>
  <c r="DW303" i="9"/>
  <c r="EA303" i="9" s="1"/>
  <c r="DX303" i="9"/>
  <c r="DY303" i="9"/>
  <c r="DZ303" i="9"/>
  <c r="DH301" i="12"/>
  <c r="FL303" i="9"/>
  <c r="FJ303" i="9"/>
  <c r="FK303" i="9"/>
  <c r="FI303" i="9"/>
  <c r="FM303" i="9" s="1"/>
  <c r="FM304" i="9" s="1"/>
  <c r="BS304" i="9" l="1"/>
  <c r="DF304" i="9"/>
  <c r="DG304" i="9"/>
  <c r="DD304" i="9"/>
  <c r="BT304" i="9"/>
  <c r="BB304" i="9"/>
  <c r="CO303" i="9"/>
  <c r="CO304" i="9" s="1"/>
  <c r="AY304" i="9"/>
  <c r="AZ304" i="9"/>
  <c r="BC303" i="9"/>
  <c r="BC304" i="9" s="1"/>
  <c r="AJ302" i="12"/>
  <c r="AF304" i="9"/>
  <c r="DW304" i="12"/>
  <c r="BV302" i="12"/>
  <c r="EP304" i="12"/>
  <c r="DT304" i="12"/>
  <c r="DA304" i="12"/>
  <c r="EL304" i="12"/>
  <c r="EN304" i="12" s="1"/>
  <c r="ER304" i="12" s="1"/>
  <c r="CG304" i="12"/>
  <c r="CI304" i="12" s="1"/>
  <c r="DD304" i="12"/>
  <c r="FF304" i="12"/>
  <c r="AG304" i="9"/>
  <c r="AH304" i="9"/>
  <c r="EQ304" i="9"/>
  <c r="CO302" i="12"/>
  <c r="EP304" i="9"/>
  <c r="ET304" i="9" s="1"/>
  <c r="M305" i="12"/>
  <c r="P305" i="12" s="1"/>
  <c r="Q305" i="12" s="1"/>
  <c r="ES304" i="9"/>
  <c r="BC302" i="12"/>
  <c r="FE304" i="12"/>
  <c r="FG304" i="12" s="1"/>
  <c r="FK304" i="12" s="1"/>
  <c r="FM302" i="12"/>
  <c r="CZ304" i="12"/>
  <c r="DB304" i="12" s="1"/>
  <c r="CZ305" i="12" s="1"/>
  <c r="DB305" i="12" s="1"/>
  <c r="M306" i="9"/>
  <c r="P306" i="9" s="1"/>
  <c r="Q306" i="9" s="1"/>
  <c r="ET302" i="12"/>
  <c r="AV305" i="9"/>
  <c r="AU305" i="9"/>
  <c r="AW305" i="9" s="1"/>
  <c r="FF305" i="9"/>
  <c r="CG305" i="9"/>
  <c r="CI305" i="9" s="1"/>
  <c r="CH306" i="9" s="1"/>
  <c r="BO305" i="9"/>
  <c r="FE305" i="9"/>
  <c r="FG305" i="9" s="1"/>
  <c r="CH305" i="9"/>
  <c r="BN305" i="9"/>
  <c r="BP305" i="9" s="1"/>
  <c r="AB305" i="9"/>
  <c r="AD305" i="9" s="1"/>
  <c r="EL305" i="9"/>
  <c r="EN305" i="9" s="1"/>
  <c r="AC305" i="9"/>
  <c r="EM305" i="9"/>
  <c r="DA305" i="9"/>
  <c r="CZ305" i="9"/>
  <c r="DB305" i="9" s="1"/>
  <c r="DT305" i="9"/>
  <c r="DS305" i="9"/>
  <c r="DU305" i="9" s="1"/>
  <c r="AH303" i="12"/>
  <c r="AI303" i="12"/>
  <c r="AG303" i="12"/>
  <c r="EP305" i="12"/>
  <c r="DD305" i="12"/>
  <c r="CG305" i="12"/>
  <c r="CI305" i="12" s="1"/>
  <c r="CH305" i="12"/>
  <c r="CL304" i="12"/>
  <c r="CN304" i="12"/>
  <c r="CM304" i="12"/>
  <c r="L307" i="9" a="1"/>
  <c r="L307" i="9" s="1"/>
  <c r="O307" i="9" a="1"/>
  <c r="O307" i="9" s="1"/>
  <c r="G307" i="9" a="1"/>
  <c r="G307" i="9" s="1"/>
  <c r="N307" i="9" a="1"/>
  <c r="N307" i="9" s="1"/>
  <c r="H307" i="9" a="1"/>
  <c r="H307" i="9" s="1"/>
  <c r="K307" i="9" a="1"/>
  <c r="K307" i="9" s="1"/>
  <c r="J307" i="9" a="1"/>
  <c r="J307" i="9" s="1"/>
  <c r="D308" i="9"/>
  <c r="AZ303" i="12"/>
  <c r="BB303" i="12"/>
  <c r="BA303" i="12"/>
  <c r="EA302" i="12"/>
  <c r="AC304" i="12"/>
  <c r="BS303" i="12"/>
  <c r="BU303" i="12"/>
  <c r="BT303" i="12"/>
  <c r="AU304" i="12"/>
  <c r="AW304" i="12" s="1"/>
  <c r="AU305" i="12" s="1"/>
  <c r="AW305" i="12" s="1"/>
  <c r="BN304" i="12"/>
  <c r="BP304" i="12" s="1"/>
  <c r="BN305" i="12" s="1"/>
  <c r="BP305" i="12" s="1"/>
  <c r="O306" i="12" a="1"/>
  <c r="O306" i="12" s="1"/>
  <c r="G306" i="12" a="1"/>
  <c r="G306" i="12" s="1"/>
  <c r="L306" i="12" a="1"/>
  <c r="L306" i="12" s="1"/>
  <c r="N306" i="12" a="1"/>
  <c r="N306" i="12" s="1"/>
  <c r="K306" i="12" a="1"/>
  <c r="K306" i="12" s="1"/>
  <c r="H306" i="12" a="1"/>
  <c r="H306" i="12" s="1"/>
  <c r="J306" i="12" a="1"/>
  <c r="J306" i="12" s="1"/>
  <c r="D307" i="12"/>
  <c r="DX303" i="12"/>
  <c r="DZ303" i="12"/>
  <c r="DY303" i="12"/>
  <c r="DE303" i="12"/>
  <c r="DG303" i="12"/>
  <c r="DF303" i="12"/>
  <c r="DH302" i="12"/>
  <c r="AV304" i="12"/>
  <c r="FI304" i="12"/>
  <c r="BO304" i="12"/>
  <c r="EQ303" i="12"/>
  <c r="ER303" i="12"/>
  <c r="ES303" i="12"/>
  <c r="CM303" i="12"/>
  <c r="CL303" i="12"/>
  <c r="CN303" i="12"/>
  <c r="AF304" i="12"/>
  <c r="AF305" i="12" s="1"/>
  <c r="BR304" i="12"/>
  <c r="AB304" i="12"/>
  <c r="AD304" i="12" s="1"/>
  <c r="AC305" i="12" s="1"/>
  <c r="DZ304" i="9"/>
  <c r="DY304" i="9"/>
  <c r="DX304" i="9"/>
  <c r="DW304" i="9"/>
  <c r="EM304" i="12"/>
  <c r="CH304" i="12"/>
  <c r="CK304" i="12"/>
  <c r="FJ303" i="12"/>
  <c r="FK303" i="12"/>
  <c r="FL303" i="12"/>
  <c r="FC306" i="9"/>
  <c r="FD306" i="9" s="1"/>
  <c r="FH306" i="9" s="1"/>
  <c r="AS306" i="9"/>
  <c r="AT306" i="9" s="1"/>
  <c r="AX306" i="9" s="1"/>
  <c r="EJ306" i="9"/>
  <c r="EK306" i="9" s="1"/>
  <c r="EO306" i="9" s="1"/>
  <c r="CE306" i="9"/>
  <c r="CF306" i="9" s="1"/>
  <c r="CJ306" i="9" s="1"/>
  <c r="BL306" i="9"/>
  <c r="BM306" i="9" s="1"/>
  <c r="BQ306" i="9" s="1"/>
  <c r="Z306" i="9"/>
  <c r="AA306" i="9" s="1"/>
  <c r="AE306" i="9" s="1"/>
  <c r="DQ306" i="9"/>
  <c r="DR306" i="9" s="1"/>
  <c r="DV306" i="9" s="1"/>
  <c r="CX306" i="9"/>
  <c r="CY306" i="9" s="1"/>
  <c r="DC306" i="9" s="1"/>
  <c r="I307" i="9"/>
  <c r="DS304" i="12"/>
  <c r="DU304" i="12" s="1"/>
  <c r="AY304" i="12"/>
  <c r="DW305" i="12" l="1"/>
  <c r="FF305" i="12"/>
  <c r="FL304" i="12"/>
  <c r="DG304" i="12"/>
  <c r="FJ304" i="12"/>
  <c r="DF304" i="12"/>
  <c r="FE305" i="12"/>
  <c r="FG305" i="12" s="1"/>
  <c r="DE304" i="12"/>
  <c r="EA304" i="9"/>
  <c r="AJ304" i="9"/>
  <c r="EL305" i="12"/>
  <c r="EN305" i="12" s="1"/>
  <c r="EM305" i="12"/>
  <c r="ES304" i="12"/>
  <c r="EQ304" i="12"/>
  <c r="ET304" i="12" s="1"/>
  <c r="DA305" i="12"/>
  <c r="AU306" i="9"/>
  <c r="AW306" i="9" s="1"/>
  <c r="AZ306" i="9" s="1"/>
  <c r="FE306" i="9"/>
  <c r="FG306" i="9" s="1"/>
  <c r="FK306" i="9" s="1"/>
  <c r="AJ303" i="12"/>
  <c r="FM303" i="12"/>
  <c r="AV306" i="9"/>
  <c r="EM306" i="9"/>
  <c r="AC306" i="9"/>
  <c r="EL306" i="9"/>
  <c r="EN306" i="9" s="1"/>
  <c r="ES306" i="9" s="1"/>
  <c r="DT306" i="9"/>
  <c r="BO306" i="9"/>
  <c r="AB306" i="9"/>
  <c r="AD306" i="9" s="1"/>
  <c r="AG306" i="9" s="1"/>
  <c r="CG306" i="9"/>
  <c r="CI306" i="9" s="1"/>
  <c r="CZ306" i="9"/>
  <c r="DB306" i="9" s="1"/>
  <c r="DG306" i="9" s="1"/>
  <c r="FF306" i="9"/>
  <c r="BV303" i="12"/>
  <c r="CO303" i="12"/>
  <c r="BC303" i="12"/>
  <c r="CO304" i="12"/>
  <c r="BN306" i="9"/>
  <c r="BP306" i="9" s="1"/>
  <c r="BU306" i="9" s="1"/>
  <c r="DS306" i="9"/>
  <c r="DU306" i="9" s="1"/>
  <c r="DY306" i="9" s="1"/>
  <c r="DA306" i="9"/>
  <c r="BB305" i="12"/>
  <c r="AZ305" i="12"/>
  <c r="BA305" i="12"/>
  <c r="FM304" i="12"/>
  <c r="CM305" i="12"/>
  <c r="CL305" i="12"/>
  <c r="CN305" i="12"/>
  <c r="G307" i="12" a="1"/>
  <c r="G307" i="12" s="1"/>
  <c r="J307" i="12" a="1"/>
  <c r="J307" i="12" s="1"/>
  <c r="L307" i="12" a="1"/>
  <c r="L307" i="12" s="1"/>
  <c r="K307" i="12" a="1"/>
  <c r="K307" i="12" s="1"/>
  <c r="O307" i="12" a="1"/>
  <c r="O307" i="12" s="1"/>
  <c r="N307" i="12" a="1"/>
  <c r="N307" i="12" s="1"/>
  <c r="H307" i="12" a="1"/>
  <c r="H307" i="12" s="1"/>
  <c r="D308" i="12"/>
  <c r="BS304" i="12"/>
  <c r="BT304" i="12"/>
  <c r="BU304" i="12"/>
  <c r="AB305" i="12"/>
  <c r="AD305" i="12" s="1"/>
  <c r="CL305" i="9"/>
  <c r="CK305" i="9"/>
  <c r="CN305" i="9"/>
  <c r="CM305" i="9"/>
  <c r="M306" i="12"/>
  <c r="P306" i="12" s="1"/>
  <c r="Q306" i="12" s="1"/>
  <c r="AZ304" i="12"/>
  <c r="BB304" i="12"/>
  <c r="BA304" i="12"/>
  <c r="AV305" i="12"/>
  <c r="AY305" i="12"/>
  <c r="BO305" i="12"/>
  <c r="DX304" i="12"/>
  <c r="DZ304" i="12"/>
  <c r="DY304" i="12"/>
  <c r="DH303" i="12"/>
  <c r="EQ305" i="12"/>
  <c r="ES305" i="12"/>
  <c r="ER305" i="12"/>
  <c r="DS305" i="12"/>
  <c r="DU305" i="12" s="1"/>
  <c r="EP305" i="9"/>
  <c r="EQ305" i="9"/>
  <c r="ER305" i="9"/>
  <c r="ES305" i="9"/>
  <c r="AZ305" i="9"/>
  <c r="BA305" i="9"/>
  <c r="AY305" i="9"/>
  <c r="BB305" i="9"/>
  <c r="BS305" i="12"/>
  <c r="BU305" i="12"/>
  <c r="BT305" i="12"/>
  <c r="CK306" i="9"/>
  <c r="CL306" i="9"/>
  <c r="CN306" i="9"/>
  <c r="CM306" i="9"/>
  <c r="DE305" i="12"/>
  <c r="DG305" i="12"/>
  <c r="DF305" i="12"/>
  <c r="AG305" i="9"/>
  <c r="AF305" i="9"/>
  <c r="AI305" i="9"/>
  <c r="AH305" i="9"/>
  <c r="AI304" i="12"/>
  <c r="AG304" i="12"/>
  <c r="AH304" i="12"/>
  <c r="ET303" i="12"/>
  <c r="H308" i="9" a="1"/>
  <c r="H308" i="9" s="1"/>
  <c r="G308" i="9" a="1"/>
  <c r="G308" i="9" s="1"/>
  <c r="O308" i="9" a="1"/>
  <c r="O308" i="9" s="1"/>
  <c r="N308" i="9" a="1"/>
  <c r="N308" i="9" s="1"/>
  <c r="L308" i="9" a="1"/>
  <c r="L308" i="9" s="1"/>
  <c r="K308" i="9" a="1"/>
  <c r="K308" i="9" s="1"/>
  <c r="J308" i="9" a="1"/>
  <c r="J308" i="9" s="1"/>
  <c r="D309" i="9"/>
  <c r="DT305" i="12"/>
  <c r="CK305" i="12"/>
  <c r="DZ305" i="9"/>
  <c r="DY305" i="9"/>
  <c r="DW305" i="9"/>
  <c r="DX305" i="9"/>
  <c r="BU305" i="9"/>
  <c r="BT305" i="9"/>
  <c r="BR305" i="9"/>
  <c r="BS305" i="9"/>
  <c r="CE307" i="9"/>
  <c r="CF307" i="9" s="1"/>
  <c r="CJ307" i="9" s="1"/>
  <c r="Z307" i="9"/>
  <c r="AA307" i="9" s="1"/>
  <c r="AE307" i="9" s="1"/>
  <c r="DQ307" i="9"/>
  <c r="DR307" i="9" s="1"/>
  <c r="DV307" i="9" s="1"/>
  <c r="BL307" i="9"/>
  <c r="BM307" i="9" s="1"/>
  <c r="BQ307" i="9" s="1"/>
  <c r="AS307" i="9"/>
  <c r="AT307" i="9" s="1"/>
  <c r="AX307" i="9" s="1"/>
  <c r="CX307" i="9"/>
  <c r="CY307" i="9" s="1"/>
  <c r="DC307" i="9" s="1"/>
  <c r="FC307" i="9"/>
  <c r="FD307" i="9" s="1"/>
  <c r="FH307" i="9" s="1"/>
  <c r="EJ307" i="9"/>
  <c r="EK307" i="9" s="1"/>
  <c r="EO307" i="9" s="1"/>
  <c r="I308" i="9"/>
  <c r="EA303" i="12"/>
  <c r="M307" i="9"/>
  <c r="P307" i="9" s="1"/>
  <c r="Q307" i="9" s="1"/>
  <c r="FI305" i="12"/>
  <c r="BR305" i="12"/>
  <c r="FJ305" i="12"/>
  <c r="FL305" i="12"/>
  <c r="FK305" i="12"/>
  <c r="DD305" i="9"/>
  <c r="DG305" i="9"/>
  <c r="DF305" i="9"/>
  <c r="DE305" i="9"/>
  <c r="FJ305" i="9"/>
  <c r="FL305" i="9"/>
  <c r="FI305" i="9"/>
  <c r="FM305" i="9" s="1"/>
  <c r="FM306" i="9" s="1"/>
  <c r="FK305" i="9"/>
  <c r="DH304" i="12" l="1"/>
  <c r="BB306" i="9"/>
  <c r="FJ306" i="9"/>
  <c r="FI306" i="9"/>
  <c r="FL306" i="9"/>
  <c r="DE306" i="9"/>
  <c r="DD306" i="9"/>
  <c r="DF306" i="9"/>
  <c r="AY306" i="9"/>
  <c r="BA306" i="9"/>
  <c r="DH305" i="9"/>
  <c r="DH306" i="9" s="1"/>
  <c r="ET305" i="9"/>
  <c r="AJ305" i="9"/>
  <c r="EA305" i="9"/>
  <c r="CO305" i="9"/>
  <c r="CO306" i="9" s="1"/>
  <c r="EQ306" i="9"/>
  <c r="BV305" i="9"/>
  <c r="EP306" i="9"/>
  <c r="ER306" i="9"/>
  <c r="BC305" i="9"/>
  <c r="BC306" i="9" s="1"/>
  <c r="DZ306" i="9"/>
  <c r="AI306" i="9"/>
  <c r="AF306" i="9"/>
  <c r="AH306" i="9"/>
  <c r="BS306" i="9"/>
  <c r="ET305" i="12"/>
  <c r="BV304" i="12"/>
  <c r="BR306" i="9"/>
  <c r="BT306" i="9"/>
  <c r="DX306" i="9"/>
  <c r="DW306" i="9"/>
  <c r="BV305" i="12"/>
  <c r="AJ304" i="12"/>
  <c r="DH305" i="12"/>
  <c r="BC305" i="12"/>
  <c r="BC304" i="12"/>
  <c r="EP306" i="12"/>
  <c r="FF306" i="12"/>
  <c r="FE306" i="12"/>
  <c r="FG306" i="12" s="1"/>
  <c r="DD306" i="12"/>
  <c r="CK306" i="12"/>
  <c r="BO306" i="12"/>
  <c r="BN306" i="12"/>
  <c r="BP306" i="12" s="1"/>
  <c r="AC306" i="12"/>
  <c r="AB306" i="12"/>
  <c r="AD306" i="12" s="1"/>
  <c r="DA306" i="12"/>
  <c r="DT306" i="12"/>
  <c r="CG306" i="12"/>
  <c r="CI306" i="12" s="1"/>
  <c r="BR306" i="12"/>
  <c r="CH306" i="12"/>
  <c r="AY306" i="12"/>
  <c r="FI306" i="12"/>
  <c r="EM306" i="12"/>
  <c r="EL306" i="12"/>
  <c r="EN306" i="12" s="1"/>
  <c r="AF306" i="12"/>
  <c r="DW306" i="12"/>
  <c r="CZ306" i="12"/>
  <c r="DB306" i="12" s="1"/>
  <c r="DS306" i="12"/>
  <c r="DU306" i="12" s="1"/>
  <c r="AV306" i="12"/>
  <c r="AU306" i="12"/>
  <c r="AW306" i="12" s="1"/>
  <c r="CO305" i="12"/>
  <c r="M307" i="12"/>
  <c r="P307" i="12" s="1"/>
  <c r="Q307" i="12" s="1"/>
  <c r="FM305" i="12"/>
  <c r="CH307" i="9"/>
  <c r="FE307" i="9"/>
  <c r="FG307" i="9" s="1"/>
  <c r="BN307" i="9"/>
  <c r="BP307" i="9" s="1"/>
  <c r="AU307" i="9"/>
  <c r="AW307" i="9" s="1"/>
  <c r="FF307" i="9"/>
  <c r="BO307" i="9"/>
  <c r="AV307" i="9"/>
  <c r="CG307" i="9"/>
  <c r="CI307" i="9" s="1"/>
  <c r="CZ307" i="9"/>
  <c r="DB307" i="9" s="1"/>
  <c r="EL307" i="9"/>
  <c r="EN307" i="9" s="1"/>
  <c r="DA307" i="9"/>
  <c r="EM307" i="9"/>
  <c r="AC307" i="9"/>
  <c r="AB307" i="9"/>
  <c r="AD307" i="9" s="1"/>
  <c r="DS307" i="9"/>
  <c r="DU307" i="9" s="1"/>
  <c r="DT307" i="9"/>
  <c r="L309" i="9" a="1"/>
  <c r="L309" i="9" s="1"/>
  <c r="K309" i="9" a="1"/>
  <c r="K309" i="9" s="1"/>
  <c r="O309" i="9" a="1"/>
  <c r="O309" i="9" s="1"/>
  <c r="H309" i="9" a="1"/>
  <c r="H309" i="9" s="1"/>
  <c r="N309" i="9" a="1"/>
  <c r="N309" i="9" s="1"/>
  <c r="G309" i="9" a="1"/>
  <c r="G309" i="9" s="1"/>
  <c r="J309" i="9" a="1"/>
  <c r="J309" i="9" s="1"/>
  <c r="D310" i="9"/>
  <c r="EA304" i="12"/>
  <c r="J308" i="12" a="1"/>
  <c r="J308" i="12" s="1"/>
  <c r="N308" i="12" a="1"/>
  <c r="N308" i="12" s="1"/>
  <c r="H308" i="12" a="1"/>
  <c r="H308" i="12" s="1"/>
  <c r="G308" i="12" a="1"/>
  <c r="G308" i="12" s="1"/>
  <c r="L308" i="12" a="1"/>
  <c r="L308" i="12" s="1"/>
  <c r="K308" i="12" a="1"/>
  <c r="K308" i="12" s="1"/>
  <c r="O308" i="12" a="1"/>
  <c r="O308" i="12" s="1"/>
  <c r="D309" i="12"/>
  <c r="M308" i="9"/>
  <c r="P308" i="9" s="1"/>
  <c r="Q308" i="9" s="1"/>
  <c r="AG305" i="12"/>
  <c r="AI305" i="12"/>
  <c r="AH305" i="12"/>
  <c r="EJ308" i="9"/>
  <c r="EK308" i="9" s="1"/>
  <c r="EO308" i="9" s="1"/>
  <c r="FC308" i="9"/>
  <c r="FD308" i="9" s="1"/>
  <c r="FH308" i="9" s="1"/>
  <c r="CX308" i="9"/>
  <c r="CY308" i="9" s="1"/>
  <c r="DC308" i="9" s="1"/>
  <c r="CE308" i="9"/>
  <c r="CF308" i="9" s="1"/>
  <c r="CJ308" i="9" s="1"/>
  <c r="Z308" i="9"/>
  <c r="AA308" i="9" s="1"/>
  <c r="AE308" i="9" s="1"/>
  <c r="BL308" i="9"/>
  <c r="BM308" i="9" s="1"/>
  <c r="BQ308" i="9" s="1"/>
  <c r="DQ308" i="9"/>
  <c r="DR308" i="9" s="1"/>
  <c r="DV308" i="9" s="1"/>
  <c r="AS308" i="9"/>
  <c r="AT308" i="9" s="1"/>
  <c r="AX308" i="9" s="1"/>
  <c r="I309" i="9"/>
  <c r="DX305" i="12"/>
  <c r="DZ305" i="12"/>
  <c r="DY305" i="12"/>
  <c r="EA306" i="9" l="1"/>
  <c r="AJ306" i="9"/>
  <c r="ET306" i="9"/>
  <c r="BV306" i="9"/>
  <c r="M308" i="12"/>
  <c r="EA305" i="12"/>
  <c r="AZ307" i="9"/>
  <c r="BB307" i="9"/>
  <c r="AY307" i="9"/>
  <c r="BC307" i="9" s="1"/>
  <c r="BA307" i="9"/>
  <c r="BS306" i="12"/>
  <c r="BU306" i="12"/>
  <c r="BT306" i="12"/>
  <c r="AJ305" i="12"/>
  <c r="BU307" i="9"/>
  <c r="BT307" i="9"/>
  <c r="BS307" i="9"/>
  <c r="BR307" i="9"/>
  <c r="DX306" i="12"/>
  <c r="DZ306" i="12"/>
  <c r="DY306" i="12"/>
  <c r="FF308" i="9"/>
  <c r="FE308" i="9"/>
  <c r="FG308" i="9" s="1"/>
  <c r="BO308" i="9"/>
  <c r="CH308" i="9"/>
  <c r="AV308" i="9"/>
  <c r="BN308" i="9"/>
  <c r="BP308" i="9" s="1"/>
  <c r="CG308" i="9"/>
  <c r="CI308" i="9" s="1"/>
  <c r="AU308" i="9"/>
  <c r="AW308" i="9" s="1"/>
  <c r="EM308" i="9"/>
  <c r="EL308" i="9"/>
  <c r="EN308" i="9" s="1"/>
  <c r="AB308" i="9"/>
  <c r="AD308" i="9" s="1"/>
  <c r="DA308" i="9"/>
  <c r="CZ308" i="9"/>
  <c r="DB308" i="9" s="1"/>
  <c r="AC308" i="9"/>
  <c r="DT308" i="9"/>
  <c r="DS308" i="9"/>
  <c r="DU308" i="9" s="1"/>
  <c r="P308" i="12"/>
  <c r="Q308" i="12" s="1"/>
  <c r="ES307" i="9"/>
  <c r="ER307" i="9"/>
  <c r="EQ307" i="9"/>
  <c r="EP307" i="9"/>
  <c r="FI307" i="9"/>
  <c r="FM307" i="9" s="1"/>
  <c r="FL307" i="9"/>
  <c r="FJ307" i="9"/>
  <c r="FK307" i="9"/>
  <c r="DE306" i="12"/>
  <c r="DG306" i="12"/>
  <c r="DF306" i="12"/>
  <c r="L309" i="12" a="1"/>
  <c r="L309" i="12" s="1"/>
  <c r="K309" i="12" a="1"/>
  <c r="K309" i="12" s="1"/>
  <c r="N309" i="12" a="1"/>
  <c r="N309" i="12" s="1"/>
  <c r="J309" i="12" a="1"/>
  <c r="J309" i="12" s="1"/>
  <c r="O309" i="12" a="1"/>
  <c r="O309" i="12" s="1"/>
  <c r="G309" i="12" a="1"/>
  <c r="G309" i="12" s="1"/>
  <c r="H309" i="12" a="1"/>
  <c r="H309" i="12" s="1"/>
  <c r="D310" i="12"/>
  <c r="DG307" i="9"/>
  <c r="DF307" i="9"/>
  <c r="DE307" i="9"/>
  <c r="DD307" i="9"/>
  <c r="CL306" i="12"/>
  <c r="CM306" i="12"/>
  <c r="CN306" i="12"/>
  <c r="K310" i="9" a="1"/>
  <c r="K310" i="9" s="1"/>
  <c r="N310" i="9" a="1"/>
  <c r="N310" i="9" s="1"/>
  <c r="H310" i="9" a="1"/>
  <c r="H310" i="9" s="1"/>
  <c r="O310" i="9" a="1"/>
  <c r="O310" i="9" s="1"/>
  <c r="G310" i="9" a="1"/>
  <c r="G310" i="9" s="1"/>
  <c r="J310" i="9" a="1"/>
  <c r="J310" i="9" s="1"/>
  <c r="L310" i="9" a="1"/>
  <c r="L310" i="9" s="1"/>
  <c r="D311" i="9"/>
  <c r="CK307" i="9"/>
  <c r="CN307" i="9"/>
  <c r="CL307" i="9"/>
  <c r="CM307" i="9"/>
  <c r="FJ306" i="12"/>
  <c r="FK306" i="12"/>
  <c r="FL306" i="12"/>
  <c r="AZ306" i="12"/>
  <c r="BB306" i="12"/>
  <c r="BA306" i="12"/>
  <c r="M309" i="9"/>
  <c r="P309" i="9" s="1"/>
  <c r="Q309" i="9" s="1"/>
  <c r="DY307" i="9"/>
  <c r="DZ307" i="9"/>
  <c r="DW307" i="9"/>
  <c r="DX307" i="9"/>
  <c r="FF307" i="12"/>
  <c r="FE307" i="12"/>
  <c r="FG307" i="12" s="1"/>
  <c r="EP307" i="12"/>
  <c r="CK307" i="12"/>
  <c r="DD307" i="12"/>
  <c r="BO307" i="12"/>
  <c r="AC307" i="12"/>
  <c r="BN307" i="12"/>
  <c r="BP307" i="12" s="1"/>
  <c r="AB307" i="12"/>
  <c r="AD307" i="12" s="1"/>
  <c r="BR307" i="12"/>
  <c r="AY307" i="12"/>
  <c r="FI307" i="12"/>
  <c r="AF307" i="12"/>
  <c r="DS307" i="12"/>
  <c r="DU307" i="12" s="1"/>
  <c r="DT307" i="12"/>
  <c r="CG307" i="12"/>
  <c r="CI307" i="12" s="1"/>
  <c r="CH307" i="12"/>
  <c r="EM307" i="12"/>
  <c r="DA307" i="12"/>
  <c r="DW307" i="12"/>
  <c r="EL307" i="12"/>
  <c r="EN307" i="12" s="1"/>
  <c r="CZ307" i="12"/>
  <c r="DB307" i="12" s="1"/>
  <c r="AV307" i="12"/>
  <c r="AU307" i="12"/>
  <c r="AW307" i="12" s="1"/>
  <c r="EQ306" i="12"/>
  <c r="ES306" i="12"/>
  <c r="ER306" i="12"/>
  <c r="CE309" i="9"/>
  <c r="CF309" i="9" s="1"/>
  <c r="CJ309" i="9" s="1"/>
  <c r="Z309" i="9"/>
  <c r="AA309" i="9" s="1"/>
  <c r="AE309" i="9" s="1"/>
  <c r="DQ309" i="9"/>
  <c r="DR309" i="9" s="1"/>
  <c r="DV309" i="9" s="1"/>
  <c r="BL309" i="9"/>
  <c r="BM309" i="9" s="1"/>
  <c r="BQ309" i="9" s="1"/>
  <c r="CX309" i="9"/>
  <c r="CY309" i="9" s="1"/>
  <c r="DC309" i="9" s="1"/>
  <c r="AS309" i="9"/>
  <c r="AT309" i="9" s="1"/>
  <c r="AX309" i="9" s="1"/>
  <c r="FC309" i="9"/>
  <c r="FD309" i="9" s="1"/>
  <c r="FH309" i="9" s="1"/>
  <c r="EJ309" i="9"/>
  <c r="EK309" i="9" s="1"/>
  <c r="EO309" i="9" s="1"/>
  <c r="I310" i="9"/>
  <c r="AG307" i="9"/>
  <c r="AF307" i="9"/>
  <c r="AI307" i="9"/>
  <c r="AH307" i="9"/>
  <c r="AG306" i="12"/>
  <c r="AI306" i="12"/>
  <c r="AH306" i="12"/>
  <c r="ET307" i="9" l="1"/>
  <c r="EA307" i="9"/>
  <c r="AJ307" i="9"/>
  <c r="DH307" i="9"/>
  <c r="BV307" i="9"/>
  <c r="CO307" i="9"/>
  <c r="AJ306" i="12"/>
  <c r="CO306" i="12"/>
  <c r="ET306" i="12"/>
  <c r="BV306" i="12"/>
  <c r="DH306" i="12"/>
  <c r="BC306" i="12"/>
  <c r="FM306" i="12"/>
  <c r="M309" i="12"/>
  <c r="P309" i="12" s="1"/>
  <c r="Q309" i="12" s="1"/>
  <c r="CG309" i="9"/>
  <c r="CI309" i="9" s="1"/>
  <c r="BO309" i="9"/>
  <c r="CH309" i="9"/>
  <c r="BN309" i="9"/>
  <c r="BP309" i="9" s="1"/>
  <c r="FF309" i="9"/>
  <c r="AV309" i="9"/>
  <c r="FE309" i="9"/>
  <c r="FG309" i="9" s="1"/>
  <c r="AU309" i="9"/>
  <c r="AW309" i="9" s="1"/>
  <c r="CZ309" i="9"/>
  <c r="DB309" i="9" s="1"/>
  <c r="EM309" i="9"/>
  <c r="EL309" i="9"/>
  <c r="EN309" i="9" s="1"/>
  <c r="AC309" i="9"/>
  <c r="DA309" i="9"/>
  <c r="AB309" i="9"/>
  <c r="AD309" i="9" s="1"/>
  <c r="DT309" i="9"/>
  <c r="DS309" i="9"/>
  <c r="DU309" i="9" s="1"/>
  <c r="BA307" i="12"/>
  <c r="BB307" i="12"/>
  <c r="AZ307" i="12"/>
  <c r="CN307" i="12"/>
  <c r="CM307" i="12"/>
  <c r="CL307" i="12"/>
  <c r="BS307" i="12"/>
  <c r="BU307" i="12"/>
  <c r="BT307" i="12"/>
  <c r="O311" i="9" a="1"/>
  <c r="O311" i="9" s="1"/>
  <c r="N311" i="9" a="1"/>
  <c r="N311" i="9" s="1"/>
  <c r="H311" i="9" a="1"/>
  <c r="H311" i="9" s="1"/>
  <c r="J311" i="9" a="1"/>
  <c r="J311" i="9" s="1"/>
  <c r="G311" i="9" a="1"/>
  <c r="G311" i="9" s="1"/>
  <c r="L311" i="9" a="1"/>
  <c r="L311" i="9" s="1"/>
  <c r="K311" i="9" a="1"/>
  <c r="K311" i="9" s="1"/>
  <c r="D312" i="9"/>
  <c r="DG308" i="9"/>
  <c r="DF308" i="9"/>
  <c r="DE308" i="9"/>
  <c r="DD308" i="9"/>
  <c r="BU308" i="9"/>
  <c r="BT308" i="9"/>
  <c r="BR308" i="9"/>
  <c r="BS308" i="9"/>
  <c r="J310" i="12" a="1"/>
  <c r="J310" i="12" s="1"/>
  <c r="L310" i="12" a="1"/>
  <c r="L310" i="12" s="1"/>
  <c r="O310" i="12" a="1"/>
  <c r="O310" i="12" s="1"/>
  <c r="H310" i="12" a="1"/>
  <c r="H310" i="12" s="1"/>
  <c r="N310" i="12" a="1"/>
  <c r="N310" i="12" s="1"/>
  <c r="G310" i="12" a="1"/>
  <c r="G310" i="12" s="1"/>
  <c r="K310" i="12" a="1"/>
  <c r="K310" i="12" s="1"/>
  <c r="D311" i="12"/>
  <c r="DE307" i="12"/>
  <c r="DG307" i="12"/>
  <c r="DF307" i="12"/>
  <c r="DX307" i="12"/>
  <c r="DZ307" i="12"/>
  <c r="DY307" i="12"/>
  <c r="M310" i="9"/>
  <c r="P310" i="9" s="1"/>
  <c r="Q310" i="9" s="1"/>
  <c r="AG308" i="9"/>
  <c r="AF308" i="9"/>
  <c r="AJ308" i="9" s="1"/>
  <c r="AI308" i="9"/>
  <c r="AH308" i="9"/>
  <c r="EQ307" i="12"/>
  <c r="ES307" i="12"/>
  <c r="ER307" i="12"/>
  <c r="ES308" i="9"/>
  <c r="ER308" i="9"/>
  <c r="EP308" i="9"/>
  <c r="ET308" i="9" s="1"/>
  <c r="EQ308" i="9"/>
  <c r="FI308" i="9"/>
  <c r="FJ308" i="9"/>
  <c r="FK308" i="9"/>
  <c r="FL308" i="9"/>
  <c r="AG307" i="12"/>
  <c r="AI307" i="12"/>
  <c r="AH307" i="12"/>
  <c r="EJ310" i="9"/>
  <c r="EK310" i="9" s="1"/>
  <c r="EO310" i="9" s="1"/>
  <c r="Z310" i="9"/>
  <c r="AA310" i="9" s="1"/>
  <c r="AE310" i="9" s="1"/>
  <c r="FC310" i="9"/>
  <c r="FD310" i="9" s="1"/>
  <c r="FH310" i="9" s="1"/>
  <c r="CE310" i="9"/>
  <c r="CF310" i="9" s="1"/>
  <c r="CJ310" i="9" s="1"/>
  <c r="CX310" i="9"/>
  <c r="CY310" i="9" s="1"/>
  <c r="DC310" i="9" s="1"/>
  <c r="DQ310" i="9"/>
  <c r="DR310" i="9" s="1"/>
  <c r="DV310" i="9" s="1"/>
  <c r="BL310" i="9"/>
  <c r="BM310" i="9" s="1"/>
  <c r="BQ310" i="9" s="1"/>
  <c r="AS310" i="9"/>
  <c r="AT310" i="9" s="1"/>
  <c r="AX310" i="9" s="1"/>
  <c r="I311" i="9"/>
  <c r="FF308" i="12"/>
  <c r="EP308" i="12"/>
  <c r="FE308" i="12"/>
  <c r="FG308" i="12" s="1"/>
  <c r="CK308" i="12"/>
  <c r="DD308" i="12"/>
  <c r="DD309" i="12" s="1"/>
  <c r="AB308" i="12"/>
  <c r="AD308" i="12" s="1"/>
  <c r="AC308" i="12"/>
  <c r="BO308" i="12"/>
  <c r="BN308" i="12"/>
  <c r="BP308" i="12" s="1"/>
  <c r="FI308" i="12"/>
  <c r="DW308" i="12"/>
  <c r="BR308" i="12"/>
  <c r="CG308" i="12"/>
  <c r="CI308" i="12" s="1"/>
  <c r="CG309" i="12" s="1"/>
  <c r="CI309" i="12" s="1"/>
  <c r="DT308" i="12"/>
  <c r="AY308" i="12"/>
  <c r="CH308" i="12"/>
  <c r="DS308" i="12"/>
  <c r="DU308" i="12" s="1"/>
  <c r="AF308" i="12"/>
  <c r="DA308" i="12"/>
  <c r="EL308" i="12"/>
  <c r="EN308" i="12" s="1"/>
  <c r="CZ308" i="12"/>
  <c r="DB308" i="12" s="1"/>
  <c r="DA309" i="12" s="1"/>
  <c r="EM308" i="12"/>
  <c r="AU308" i="12"/>
  <c r="AW308" i="12" s="1"/>
  <c r="AV308" i="12"/>
  <c r="DZ308" i="9"/>
  <c r="DX308" i="9"/>
  <c r="DW308" i="9"/>
  <c r="DY308" i="9"/>
  <c r="AZ308" i="9"/>
  <c r="AY308" i="9"/>
  <c r="BB308" i="9"/>
  <c r="BA308" i="9"/>
  <c r="FJ307" i="12"/>
  <c r="FL307" i="12"/>
  <c r="FK307" i="12"/>
  <c r="CN308" i="9"/>
  <c r="CM308" i="9"/>
  <c r="CK308" i="9"/>
  <c r="CL308" i="9"/>
  <c r="EA306" i="12"/>
  <c r="BC308" i="9" l="1"/>
  <c r="EA308" i="9"/>
  <c r="FM308" i="9"/>
  <c r="CO308" i="9"/>
  <c r="BV308" i="9"/>
  <c r="DH308" i="9"/>
  <c r="EM309" i="12"/>
  <c r="BR309" i="12"/>
  <c r="CK309" i="12"/>
  <c r="DW309" i="12"/>
  <c r="FF309" i="12"/>
  <c r="AF309" i="12"/>
  <c r="EP309" i="12"/>
  <c r="BO309" i="12"/>
  <c r="AV309" i="12"/>
  <c r="AC309" i="12"/>
  <c r="CO307" i="12"/>
  <c r="BC307" i="12"/>
  <c r="AJ307" i="12"/>
  <c r="AU309" i="12"/>
  <c r="AW309" i="12" s="1"/>
  <c r="EL309" i="12"/>
  <c r="EN309" i="12" s="1"/>
  <c r="EQ309" i="12" s="1"/>
  <c r="FM307" i="12"/>
  <c r="BV307" i="12"/>
  <c r="EA307" i="12"/>
  <c r="CL309" i="12"/>
  <c r="CM309" i="12"/>
  <c r="CN309" i="12"/>
  <c r="AZ309" i="9"/>
  <c r="AY309" i="9"/>
  <c r="BC309" i="9" s="1"/>
  <c r="BA309" i="9"/>
  <c r="BB309" i="9"/>
  <c r="DX308" i="12"/>
  <c r="DY308" i="12"/>
  <c r="DZ308" i="12"/>
  <c r="BS308" i="12"/>
  <c r="BU308" i="12"/>
  <c r="BT308" i="12"/>
  <c r="AB309" i="12"/>
  <c r="AD309" i="12" s="1"/>
  <c r="ET307" i="12"/>
  <c r="FJ309" i="9"/>
  <c r="FI309" i="9"/>
  <c r="FL309" i="9"/>
  <c r="FK309" i="9"/>
  <c r="DS309" i="12"/>
  <c r="DU309" i="12" s="1"/>
  <c r="AG309" i="9"/>
  <c r="AF309" i="9"/>
  <c r="AI309" i="9"/>
  <c r="AH309" i="9"/>
  <c r="DX309" i="9"/>
  <c r="DW309" i="9"/>
  <c r="DY309" i="9"/>
  <c r="DZ309" i="9"/>
  <c r="AZ308" i="12"/>
  <c r="BA308" i="12"/>
  <c r="BB308" i="12"/>
  <c r="M311" i="9"/>
  <c r="P311" i="9" s="1"/>
  <c r="Q311" i="9" s="1"/>
  <c r="AI308" i="12"/>
  <c r="AG308" i="12"/>
  <c r="AH308" i="12"/>
  <c r="BL311" i="9"/>
  <c r="BM311" i="9" s="1"/>
  <c r="BQ311" i="9" s="1"/>
  <c r="AS311" i="9"/>
  <c r="AT311" i="9" s="1"/>
  <c r="AX311" i="9" s="1"/>
  <c r="FC311" i="9"/>
  <c r="FD311" i="9" s="1"/>
  <c r="FH311" i="9" s="1"/>
  <c r="DQ311" i="9"/>
  <c r="DR311" i="9" s="1"/>
  <c r="DV311" i="9" s="1"/>
  <c r="CX311" i="9"/>
  <c r="CY311" i="9" s="1"/>
  <c r="DC311" i="9" s="1"/>
  <c r="Z311" i="9"/>
  <c r="AA311" i="9" s="1"/>
  <c r="AE311" i="9" s="1"/>
  <c r="CE311" i="9"/>
  <c r="CF311" i="9" s="1"/>
  <c r="CJ311" i="9" s="1"/>
  <c r="EJ311" i="9"/>
  <c r="EK311" i="9" s="1"/>
  <c r="EO311" i="9" s="1"/>
  <c r="I312" i="9"/>
  <c r="AY309" i="12"/>
  <c r="DH307" i="12"/>
  <c r="BT309" i="9"/>
  <c r="BU309" i="9"/>
  <c r="BR309" i="9"/>
  <c r="BS309" i="9"/>
  <c r="AU310" i="9"/>
  <c r="AW310" i="9" s="1"/>
  <c r="BO310" i="9"/>
  <c r="CG310" i="9"/>
  <c r="CI310" i="9" s="1"/>
  <c r="BN310" i="9"/>
  <c r="BP310" i="9" s="1"/>
  <c r="CH310" i="9"/>
  <c r="FE310" i="9"/>
  <c r="FG310" i="9" s="1"/>
  <c r="AV310" i="9"/>
  <c r="FF310" i="9"/>
  <c r="CZ310" i="9"/>
  <c r="DB310" i="9" s="1"/>
  <c r="EL310" i="9"/>
  <c r="EN310" i="9" s="1"/>
  <c r="DA310" i="9"/>
  <c r="AC310" i="9"/>
  <c r="AB310" i="9"/>
  <c r="AD310" i="9" s="1"/>
  <c r="EM310" i="9"/>
  <c r="DT310" i="9"/>
  <c r="DS310" i="9"/>
  <c r="DU310" i="9" s="1"/>
  <c r="DE308" i="12"/>
  <c r="DF308" i="12"/>
  <c r="DG308" i="12"/>
  <c r="CM308" i="12"/>
  <c r="CN308" i="12"/>
  <c r="CL308" i="12"/>
  <c r="DT309" i="12"/>
  <c r="EQ309" i="9"/>
  <c r="ES309" i="9"/>
  <c r="EP309" i="9"/>
  <c r="ER309" i="9"/>
  <c r="EQ308" i="12"/>
  <c r="ES308" i="12"/>
  <c r="ER308" i="12"/>
  <c r="FI309" i="12"/>
  <c r="CH309" i="12"/>
  <c r="M310" i="12"/>
  <c r="P310" i="12" s="1"/>
  <c r="Q310" i="12" s="1"/>
  <c r="BB309" i="12"/>
  <c r="AZ309" i="12"/>
  <c r="BA309" i="12"/>
  <c r="FJ308" i="12"/>
  <c r="FL308" i="12"/>
  <c r="FK308" i="12"/>
  <c r="CZ309" i="12"/>
  <c r="DB309" i="12" s="1"/>
  <c r="BN309" i="12"/>
  <c r="BP309" i="12" s="1"/>
  <c r="FE309" i="12"/>
  <c r="FG309" i="12" s="1"/>
  <c r="L311" i="12" a="1"/>
  <c r="L311" i="12" s="1"/>
  <c r="J311" i="12" a="1"/>
  <c r="J311" i="12" s="1"/>
  <c r="G311" i="12" a="1"/>
  <c r="G311" i="12" s="1"/>
  <c r="O311" i="12" a="1"/>
  <c r="O311" i="12" s="1"/>
  <c r="N311" i="12" a="1"/>
  <c r="N311" i="12" s="1"/>
  <c r="H311" i="12" a="1"/>
  <c r="H311" i="12" s="1"/>
  <c r="K311" i="12" a="1"/>
  <c r="K311" i="12" s="1"/>
  <c r="D312" i="12"/>
  <c r="L312" i="9" a="1"/>
  <c r="L312" i="9" s="1"/>
  <c r="G312" i="9" a="1"/>
  <c r="G312" i="9" s="1"/>
  <c r="H312" i="9" a="1"/>
  <c r="H312" i="9" s="1"/>
  <c r="N312" i="9" a="1"/>
  <c r="N312" i="9" s="1"/>
  <c r="O312" i="9" a="1"/>
  <c r="O312" i="9" s="1"/>
  <c r="J312" i="9" a="1"/>
  <c r="J312" i="9" s="1"/>
  <c r="D313" i="9"/>
  <c r="K312" i="9" a="1"/>
  <c r="K312" i="9" s="1"/>
  <c r="DG309" i="9"/>
  <c r="DF309" i="9"/>
  <c r="DD309" i="9"/>
  <c r="DE309" i="9"/>
  <c r="CN309" i="9"/>
  <c r="CM309" i="9"/>
  <c r="CL309" i="9"/>
  <c r="CK309" i="9"/>
  <c r="AJ309" i="9" l="1"/>
  <c r="ET309" i="9"/>
  <c r="EA309" i="9"/>
  <c r="FM309" i="9"/>
  <c r="BV309" i="9"/>
  <c r="CO309" i="9"/>
  <c r="DH309" i="9"/>
  <c r="ES309" i="12"/>
  <c r="ET309" i="12" s="1"/>
  <c r="DS311" i="9"/>
  <c r="DU311" i="9" s="1"/>
  <c r="DT311" i="9"/>
  <c r="CG311" i="9"/>
  <c r="CI311" i="9" s="1"/>
  <c r="EM311" i="9"/>
  <c r="DA311" i="9"/>
  <c r="AU311" i="9"/>
  <c r="AW311" i="9" s="1"/>
  <c r="BA311" i="9" s="1"/>
  <c r="AC311" i="9"/>
  <c r="BV308" i="12"/>
  <c r="AJ308" i="12"/>
  <c r="CO309" i="12"/>
  <c r="ER309" i="12"/>
  <c r="CZ311" i="9"/>
  <c r="DB311" i="9" s="1"/>
  <c r="CH311" i="9"/>
  <c r="CO308" i="12"/>
  <c r="BC308" i="12"/>
  <c r="DH308" i="12"/>
  <c r="FM308" i="12"/>
  <c r="EA308" i="12"/>
  <c r="N312" i="12" a="1"/>
  <c r="N312" i="12" s="1"/>
  <c r="O312" i="12" a="1"/>
  <c r="O312" i="12" s="1"/>
  <c r="G312" i="12" a="1"/>
  <c r="G312" i="12" s="1"/>
  <c r="L312" i="12" a="1"/>
  <c r="L312" i="12" s="1"/>
  <c r="K312" i="12" a="1"/>
  <c r="K312" i="12" s="1"/>
  <c r="J312" i="12" a="1"/>
  <c r="J312" i="12" s="1"/>
  <c r="H312" i="12" a="1"/>
  <c r="H312" i="12" s="1"/>
  <c r="D313" i="12"/>
  <c r="K313" i="9" a="1"/>
  <c r="K313" i="9" s="1"/>
  <c r="O313" i="9" a="1"/>
  <c r="O313" i="9" s="1"/>
  <c r="G313" i="9" a="1"/>
  <c r="G313" i="9" s="1"/>
  <c r="H313" i="9" a="1"/>
  <c r="H313" i="9" s="1"/>
  <c r="J313" i="9" a="1"/>
  <c r="J313" i="9" s="1"/>
  <c r="N313" i="9" a="1"/>
  <c r="N313" i="9" s="1"/>
  <c r="L313" i="9" a="1"/>
  <c r="L313" i="9" s="1"/>
  <c r="D314" i="9"/>
  <c r="BS309" i="12"/>
  <c r="BU309" i="12"/>
  <c r="BT309" i="12"/>
  <c r="AZ311" i="9"/>
  <c r="AY311" i="9"/>
  <c r="BB311" i="9"/>
  <c r="EP310" i="12"/>
  <c r="FF310" i="12"/>
  <c r="FE310" i="12"/>
  <c r="FG310" i="12" s="1"/>
  <c r="DD310" i="12"/>
  <c r="CK310" i="12"/>
  <c r="AC310" i="12"/>
  <c r="BO310" i="12"/>
  <c r="AB310" i="12"/>
  <c r="AD310" i="12" s="1"/>
  <c r="BN310" i="12"/>
  <c r="BP310" i="12" s="1"/>
  <c r="CH310" i="12"/>
  <c r="EL310" i="12"/>
  <c r="EN310" i="12" s="1"/>
  <c r="CG310" i="12"/>
  <c r="CI310" i="12" s="1"/>
  <c r="EM310" i="12"/>
  <c r="DT310" i="12"/>
  <c r="BR310" i="12"/>
  <c r="CZ310" i="12"/>
  <c r="DB310" i="12" s="1"/>
  <c r="DW310" i="12"/>
  <c r="FI310" i="12"/>
  <c r="AF310" i="12"/>
  <c r="DS310" i="12"/>
  <c r="DU310" i="12" s="1"/>
  <c r="DA310" i="12"/>
  <c r="AY310" i="12"/>
  <c r="AU310" i="12"/>
  <c r="AW310" i="12" s="1"/>
  <c r="AV310" i="12"/>
  <c r="AH310" i="9"/>
  <c r="AF310" i="9"/>
  <c r="AG310" i="9"/>
  <c r="AI310" i="9"/>
  <c r="DE309" i="12"/>
  <c r="DG309" i="12"/>
  <c r="DF309" i="12"/>
  <c r="DZ311" i="9"/>
  <c r="DY311" i="9"/>
  <c r="DX311" i="9"/>
  <c r="DW311" i="9"/>
  <c r="BS310" i="9"/>
  <c r="BU310" i="9"/>
  <c r="BR310" i="9"/>
  <c r="BT310" i="9"/>
  <c r="BO311" i="9"/>
  <c r="CL310" i="9"/>
  <c r="CK310" i="9"/>
  <c r="CN310" i="9"/>
  <c r="CM310" i="9"/>
  <c r="BC309" i="12"/>
  <c r="AI309" i="12"/>
  <c r="AH309" i="12"/>
  <c r="AG309" i="12"/>
  <c r="FL310" i="9"/>
  <c r="FK310" i="9"/>
  <c r="FJ310" i="9"/>
  <c r="FI310" i="9"/>
  <c r="DG311" i="9"/>
  <c r="DF311" i="9"/>
  <c r="DD311" i="9"/>
  <c r="DE311" i="9"/>
  <c r="FF311" i="9"/>
  <c r="ER310" i="9"/>
  <c r="EP310" i="9"/>
  <c r="ET310" i="9" s="1"/>
  <c r="EQ310" i="9"/>
  <c r="ES310" i="9"/>
  <c r="FC312" i="9"/>
  <c r="FD312" i="9" s="1"/>
  <c r="FH312" i="9" s="1"/>
  <c r="CX312" i="9"/>
  <c r="CY312" i="9" s="1"/>
  <c r="DC312" i="9" s="1"/>
  <c r="EJ312" i="9"/>
  <c r="EK312" i="9" s="1"/>
  <c r="EO312" i="9" s="1"/>
  <c r="CE312" i="9"/>
  <c r="CF312" i="9" s="1"/>
  <c r="CJ312" i="9" s="1"/>
  <c r="DQ312" i="9"/>
  <c r="DR312" i="9" s="1"/>
  <c r="DV312" i="9" s="1"/>
  <c r="Z312" i="9"/>
  <c r="AA312" i="9" s="1"/>
  <c r="AE312" i="9" s="1"/>
  <c r="AS312" i="9"/>
  <c r="AT312" i="9" s="1"/>
  <c r="AX312" i="9" s="1"/>
  <c r="BL312" i="9"/>
  <c r="BM312" i="9" s="1"/>
  <c r="BQ312" i="9" s="1"/>
  <c r="I313" i="9"/>
  <c r="CK311" i="9"/>
  <c r="CL311" i="9"/>
  <c r="CN311" i="9"/>
  <c r="CM311" i="9"/>
  <c r="M312" i="9"/>
  <c r="P312" i="9" s="1"/>
  <c r="Q312" i="9" s="1"/>
  <c r="BN311" i="9"/>
  <c r="BP311" i="9" s="1"/>
  <c r="DG310" i="9"/>
  <c r="DF310" i="9"/>
  <c r="DE310" i="9"/>
  <c r="DD310" i="9"/>
  <c r="AY310" i="9"/>
  <c r="BB310" i="9"/>
  <c r="BA310" i="9"/>
  <c r="AZ310" i="9"/>
  <c r="DX309" i="12"/>
  <c r="DZ309" i="12"/>
  <c r="DY309" i="12"/>
  <c r="M311" i="12"/>
  <c r="P311" i="12" s="1"/>
  <c r="Q311" i="12" s="1"/>
  <c r="EL311" i="9"/>
  <c r="EN311" i="9" s="1"/>
  <c r="FE311" i="9"/>
  <c r="FG311" i="9" s="1"/>
  <c r="ET308" i="12"/>
  <c r="DY310" i="9"/>
  <c r="DX310" i="9"/>
  <c r="DW310" i="9"/>
  <c r="DZ310" i="9"/>
  <c r="FJ309" i="12"/>
  <c r="FL309" i="12"/>
  <c r="FK309" i="12"/>
  <c r="AB311" i="9"/>
  <c r="AD311" i="9" s="1"/>
  <c r="AV311" i="9"/>
  <c r="EA310" i="9" l="1"/>
  <c r="EA311" i="9" s="1"/>
  <c r="FM310" i="9"/>
  <c r="AJ310" i="9"/>
  <c r="BC310" i="9"/>
  <c r="BC311" i="9" s="1"/>
  <c r="DH310" i="9"/>
  <c r="DH311" i="9" s="1"/>
  <c r="CO310" i="9"/>
  <c r="CO311" i="9" s="1"/>
  <c r="BV310" i="9"/>
  <c r="FM309" i="12"/>
  <c r="DH309" i="12"/>
  <c r="M312" i="12"/>
  <c r="P312" i="12" s="1"/>
  <c r="Q312" i="12" s="1"/>
  <c r="AJ309" i="12"/>
  <c r="EA309" i="12"/>
  <c r="DE310" i="12"/>
  <c r="DG310" i="12"/>
  <c r="DF310" i="12"/>
  <c r="AI310" i="12"/>
  <c r="AH310" i="12"/>
  <c r="AG310" i="12"/>
  <c r="H314" i="9" a="1"/>
  <c r="H314" i="9" s="1"/>
  <c r="O314" i="9" a="1"/>
  <c r="O314" i="9" s="1"/>
  <c r="N314" i="9" a="1"/>
  <c r="N314" i="9" s="1"/>
  <c r="G314" i="9" a="1"/>
  <c r="G314" i="9" s="1"/>
  <c r="J314" i="9" a="1"/>
  <c r="J314" i="9" s="1"/>
  <c r="K314" i="9" a="1"/>
  <c r="K314" i="9" s="1"/>
  <c r="D315" i="9"/>
  <c r="L314" i="9" a="1"/>
  <c r="L314" i="9" s="1"/>
  <c r="DQ313" i="9"/>
  <c r="DR313" i="9" s="1"/>
  <c r="DV313" i="9" s="1"/>
  <c r="CX313" i="9"/>
  <c r="CY313" i="9" s="1"/>
  <c r="DC313" i="9" s="1"/>
  <c r="BL313" i="9"/>
  <c r="BM313" i="9" s="1"/>
  <c r="BQ313" i="9" s="1"/>
  <c r="FC313" i="9"/>
  <c r="FD313" i="9" s="1"/>
  <c r="FH313" i="9" s="1"/>
  <c r="AS313" i="9"/>
  <c r="AT313" i="9" s="1"/>
  <c r="AX313" i="9" s="1"/>
  <c r="EJ313" i="9"/>
  <c r="EK313" i="9" s="1"/>
  <c r="EO313" i="9" s="1"/>
  <c r="CE313" i="9"/>
  <c r="CF313" i="9" s="1"/>
  <c r="CJ313" i="9" s="1"/>
  <c r="Z313" i="9"/>
  <c r="AA313" i="9" s="1"/>
  <c r="AE313" i="9" s="1"/>
  <c r="I314" i="9"/>
  <c r="AZ310" i="12"/>
  <c r="BA310" i="12"/>
  <c r="BB310" i="12"/>
  <c r="FE312" i="9"/>
  <c r="FG312" i="9" s="1"/>
  <c r="FF312" i="9"/>
  <c r="CH312" i="9"/>
  <c r="BN312" i="9"/>
  <c r="BP312" i="9" s="1"/>
  <c r="AV312" i="9"/>
  <c r="AU312" i="9"/>
  <c r="AW312" i="9" s="1"/>
  <c r="BO312" i="9"/>
  <c r="CG312" i="9"/>
  <c r="CI312" i="9" s="1"/>
  <c r="AB312" i="9"/>
  <c r="AD312" i="9" s="1"/>
  <c r="CZ312" i="9"/>
  <c r="DB312" i="9" s="1"/>
  <c r="EL312" i="9"/>
  <c r="EN312" i="9" s="1"/>
  <c r="AC312" i="9"/>
  <c r="DA312" i="9"/>
  <c r="EM312" i="9"/>
  <c r="DT312" i="9"/>
  <c r="DS312" i="9"/>
  <c r="DU312" i="9" s="1"/>
  <c r="BS310" i="12"/>
  <c r="BU310" i="12"/>
  <c r="BT310" i="12"/>
  <c r="AG311" i="9"/>
  <c r="AI311" i="9"/>
  <c r="AF311" i="9"/>
  <c r="AH311" i="9"/>
  <c r="M313" i="9"/>
  <c r="P313" i="9" s="1"/>
  <c r="Q313" i="9" s="1"/>
  <c r="BS311" i="9"/>
  <c r="BU311" i="9"/>
  <c r="BR311" i="9"/>
  <c r="BT311" i="9"/>
  <c r="FI311" i="9"/>
  <c r="FK311" i="9"/>
  <c r="FL311" i="9"/>
  <c r="FJ311" i="9"/>
  <c r="DX310" i="12"/>
  <c r="DZ310" i="12"/>
  <c r="DY310" i="12"/>
  <c r="CL310" i="12"/>
  <c r="CM310" i="12"/>
  <c r="CN310" i="12"/>
  <c r="O313" i="12" a="1"/>
  <c r="O313" i="12" s="1"/>
  <c r="G313" i="12" a="1"/>
  <c r="G313" i="12" s="1"/>
  <c r="N313" i="12" a="1"/>
  <c r="N313" i="12" s="1"/>
  <c r="K313" i="12" a="1"/>
  <c r="K313" i="12" s="1"/>
  <c r="H313" i="12" a="1"/>
  <c r="H313" i="12" s="1"/>
  <c r="L313" i="12" a="1"/>
  <c r="L313" i="12" s="1"/>
  <c r="J313" i="12" a="1"/>
  <c r="J313" i="12" s="1"/>
  <c r="D314" i="12"/>
  <c r="ES311" i="9"/>
  <c r="ER311" i="9"/>
  <c r="EP311" i="9"/>
  <c r="EQ311" i="9"/>
  <c r="EQ310" i="12"/>
  <c r="ES310" i="12"/>
  <c r="ER310" i="12"/>
  <c r="FJ310" i="12"/>
  <c r="FL310" i="12"/>
  <c r="FK310" i="12"/>
  <c r="FE311" i="12"/>
  <c r="FG311" i="12" s="1"/>
  <c r="EP311" i="12"/>
  <c r="FF311" i="12"/>
  <c r="DD311" i="12"/>
  <c r="CK311" i="12"/>
  <c r="AC311" i="12"/>
  <c r="BO311" i="12"/>
  <c r="AB311" i="12"/>
  <c r="AD311" i="12" s="1"/>
  <c r="BN311" i="12"/>
  <c r="BP311" i="12" s="1"/>
  <c r="BR311" i="12"/>
  <c r="AY311" i="12"/>
  <c r="AF311" i="12"/>
  <c r="CH311" i="12"/>
  <c r="FI311" i="12"/>
  <c r="CG311" i="12"/>
  <c r="CI311" i="12" s="1"/>
  <c r="DA311" i="12"/>
  <c r="DT311" i="12"/>
  <c r="EL311" i="12"/>
  <c r="EN311" i="12" s="1"/>
  <c r="DW311" i="12"/>
  <c r="CZ311" i="12"/>
  <c r="DB311" i="12" s="1"/>
  <c r="DS311" i="12"/>
  <c r="DU311" i="12" s="1"/>
  <c r="EM311" i="12"/>
  <c r="AV311" i="12"/>
  <c r="AU311" i="12"/>
  <c r="AW311" i="12" s="1"/>
  <c r="BV309" i="12"/>
  <c r="AJ310" i="12" l="1"/>
  <c r="ET311" i="9"/>
  <c r="BV311" i="9"/>
  <c r="AJ311" i="9"/>
  <c r="FM311" i="9"/>
  <c r="FM310" i="12"/>
  <c r="CK312" i="12"/>
  <c r="CH312" i="12"/>
  <c r="CZ312" i="12"/>
  <c r="DB312" i="12" s="1"/>
  <c r="DE312" i="12" s="1"/>
  <c r="AF312" i="12"/>
  <c r="DD312" i="12"/>
  <c r="DW312" i="12"/>
  <c r="AY312" i="12"/>
  <c r="EL312" i="12"/>
  <c r="EN312" i="12" s="1"/>
  <c r="EQ312" i="12" s="1"/>
  <c r="BR312" i="12"/>
  <c r="EP312" i="12"/>
  <c r="FE312" i="12"/>
  <c r="FG312" i="12" s="1"/>
  <c r="FJ312" i="12" s="1"/>
  <c r="DH310" i="12"/>
  <c r="BC310" i="12"/>
  <c r="BV310" i="12"/>
  <c r="CO310" i="12"/>
  <c r="CG312" i="12"/>
  <c r="CI312" i="12" s="1"/>
  <c r="CL312" i="12" s="1"/>
  <c r="FE313" i="9"/>
  <c r="FG313" i="9" s="1"/>
  <c r="CG313" i="9"/>
  <c r="CI313" i="9" s="1"/>
  <c r="AV313" i="9"/>
  <c r="CH313" i="9"/>
  <c r="BO313" i="9"/>
  <c r="BN313" i="9"/>
  <c r="BP313" i="9" s="1"/>
  <c r="AU313" i="9"/>
  <c r="AW313" i="9" s="1"/>
  <c r="FF313" i="9"/>
  <c r="AB313" i="9"/>
  <c r="AD313" i="9" s="1"/>
  <c r="AC313" i="9"/>
  <c r="EM313" i="9"/>
  <c r="CZ313" i="9"/>
  <c r="DB313" i="9" s="1"/>
  <c r="DA313" i="9"/>
  <c r="EL313" i="9"/>
  <c r="EN313" i="9" s="1"/>
  <c r="DS313" i="9"/>
  <c r="DU313" i="9" s="1"/>
  <c r="DT313" i="9"/>
  <c r="DF312" i="12"/>
  <c r="AH311" i="12"/>
  <c r="AI311" i="12"/>
  <c r="AG311" i="12"/>
  <c r="DE312" i="9"/>
  <c r="DD312" i="9"/>
  <c r="DH312" i="9" s="1"/>
  <c r="DF312" i="9"/>
  <c r="DG312" i="9"/>
  <c r="DA312" i="12"/>
  <c r="BS311" i="12"/>
  <c r="BT311" i="12"/>
  <c r="BU311" i="12"/>
  <c r="AF312" i="9"/>
  <c r="AI312" i="9"/>
  <c r="AG312" i="9"/>
  <c r="AH312" i="9"/>
  <c r="FJ312" i="9"/>
  <c r="FK312" i="9"/>
  <c r="FI312" i="9"/>
  <c r="FL312" i="9"/>
  <c r="EM312" i="12"/>
  <c r="BN312" i="12"/>
  <c r="BP312" i="12" s="1"/>
  <c r="L315" i="9" a="1"/>
  <c r="L315" i="9" s="1"/>
  <c r="K315" i="9" a="1"/>
  <c r="K315" i="9" s="1"/>
  <c r="N315" i="9" a="1"/>
  <c r="N315" i="9" s="1"/>
  <c r="G315" i="9" a="1"/>
  <c r="G315" i="9" s="1"/>
  <c r="H315" i="9" a="1"/>
  <c r="H315" i="9" s="1"/>
  <c r="O315" i="9" a="1"/>
  <c r="O315" i="9" s="1"/>
  <c r="J315" i="9" a="1"/>
  <c r="J315" i="9" s="1"/>
  <c r="D316" i="9"/>
  <c r="FJ311" i="12"/>
  <c r="FL311" i="12"/>
  <c r="FK311" i="12"/>
  <c r="AZ311" i="12"/>
  <c r="BA311" i="12"/>
  <c r="BB311" i="12"/>
  <c r="DY312" i="9"/>
  <c r="DZ312" i="9"/>
  <c r="DW312" i="9"/>
  <c r="DX312" i="9"/>
  <c r="CN312" i="9"/>
  <c r="CM312" i="9"/>
  <c r="CL312" i="9"/>
  <c r="CK312" i="9"/>
  <c r="AU312" i="12"/>
  <c r="AW312" i="12" s="1"/>
  <c r="AC312" i="12"/>
  <c r="FF312" i="12"/>
  <c r="DX311" i="12"/>
  <c r="DZ311" i="12"/>
  <c r="DY311" i="12"/>
  <c r="ET310" i="12"/>
  <c r="H314" i="12" a="1"/>
  <c r="H314" i="12" s="1"/>
  <c r="J314" i="12" a="1"/>
  <c r="J314" i="12" s="1"/>
  <c r="O314" i="12" a="1"/>
  <c r="O314" i="12" s="1"/>
  <c r="K314" i="12" a="1"/>
  <c r="K314" i="12" s="1"/>
  <c r="L314" i="12" a="1"/>
  <c r="L314" i="12" s="1"/>
  <c r="G314" i="12" a="1"/>
  <c r="G314" i="12" s="1"/>
  <c r="N314" i="12" a="1"/>
  <c r="N314" i="12" s="1"/>
  <c r="D315" i="12"/>
  <c r="AV312" i="12"/>
  <c r="DS312" i="12"/>
  <c r="DU312" i="12" s="1"/>
  <c r="BO312" i="12"/>
  <c r="M314" i="9"/>
  <c r="P314" i="9" s="1"/>
  <c r="Q314" i="9" s="1"/>
  <c r="CE314" i="9"/>
  <c r="CF314" i="9" s="1"/>
  <c r="CJ314" i="9" s="1"/>
  <c r="AS314" i="9"/>
  <c r="AT314" i="9" s="1"/>
  <c r="AX314" i="9" s="1"/>
  <c r="Z314" i="9"/>
  <c r="AA314" i="9" s="1"/>
  <c r="AE314" i="9" s="1"/>
  <c r="DQ314" i="9"/>
  <c r="DR314" i="9" s="1"/>
  <c r="DV314" i="9" s="1"/>
  <c r="CX314" i="9"/>
  <c r="CY314" i="9" s="1"/>
  <c r="DC314" i="9" s="1"/>
  <c r="FC314" i="9"/>
  <c r="FD314" i="9" s="1"/>
  <c r="FH314" i="9" s="1"/>
  <c r="EJ314" i="9"/>
  <c r="EK314" i="9" s="1"/>
  <c r="EO314" i="9" s="1"/>
  <c r="BL314" i="9"/>
  <c r="BM314" i="9" s="1"/>
  <c r="BQ314" i="9" s="1"/>
  <c r="I315" i="9"/>
  <c r="DE311" i="12"/>
  <c r="DF311" i="12"/>
  <c r="DG311" i="12"/>
  <c r="M313" i="12"/>
  <c r="P313" i="12" s="1"/>
  <c r="Q313" i="12" s="1"/>
  <c r="BB312" i="9"/>
  <c r="AZ312" i="9"/>
  <c r="AY312" i="9"/>
  <c r="BA312" i="9"/>
  <c r="AB312" i="12"/>
  <c r="AD312" i="12" s="1"/>
  <c r="CL311" i="12"/>
  <c r="CM311" i="12"/>
  <c r="CN311" i="12"/>
  <c r="FI312" i="12"/>
  <c r="ES312" i="9"/>
  <c r="ER312" i="9"/>
  <c r="EP312" i="9"/>
  <c r="EQ312" i="9"/>
  <c r="EQ311" i="12"/>
  <c r="ER311" i="12"/>
  <c r="ES311" i="12"/>
  <c r="EA310" i="12"/>
  <c r="BS312" i="9"/>
  <c r="BR312" i="9"/>
  <c r="BT312" i="9"/>
  <c r="BU312" i="9"/>
  <c r="DT312" i="12"/>
  <c r="DG312" i="12" l="1"/>
  <c r="ET312" i="9"/>
  <c r="BV312" i="9"/>
  <c r="BC312" i="9"/>
  <c r="BC313" i="9" s="1"/>
  <c r="EA312" i="9"/>
  <c r="FM311" i="12"/>
  <c r="AJ312" i="9"/>
  <c r="CO312" i="9"/>
  <c r="FM312" i="9"/>
  <c r="FK312" i="12"/>
  <c r="ER312" i="12"/>
  <c r="ES312" i="12"/>
  <c r="CM312" i="12"/>
  <c r="CN312" i="12"/>
  <c r="CO312" i="12" s="1"/>
  <c r="FL312" i="12"/>
  <c r="FM312" i="12" s="1"/>
  <c r="CK313" i="12"/>
  <c r="BR313" i="12"/>
  <c r="DD313" i="12"/>
  <c r="EL313" i="12"/>
  <c r="EN313" i="12" s="1"/>
  <c r="BO313" i="12"/>
  <c r="DW313" i="12"/>
  <c r="FE313" i="12"/>
  <c r="FG313" i="12" s="1"/>
  <c r="FJ313" i="12" s="1"/>
  <c r="BN313" i="12"/>
  <c r="BP313" i="12" s="1"/>
  <c r="BS313" i="12" s="1"/>
  <c r="CH313" i="12"/>
  <c r="AF313" i="12"/>
  <c r="CG313" i="12"/>
  <c r="CI313" i="12" s="1"/>
  <c r="CL313" i="12" s="1"/>
  <c r="EP313" i="12"/>
  <c r="AY313" i="12"/>
  <c r="CZ313" i="12"/>
  <c r="DB313" i="12" s="1"/>
  <c r="DA313" i="12"/>
  <c r="FF313" i="12"/>
  <c r="EM313" i="12"/>
  <c r="AV313" i="12"/>
  <c r="AC313" i="12"/>
  <c r="DS313" i="12"/>
  <c r="DU313" i="12" s="1"/>
  <c r="DX313" i="12" s="1"/>
  <c r="BV311" i="12"/>
  <c r="CO311" i="12"/>
  <c r="DH312" i="12"/>
  <c r="AJ311" i="12"/>
  <c r="EA311" i="12"/>
  <c r="AV314" i="9"/>
  <c r="CG314" i="9"/>
  <c r="CI314" i="9" s="1"/>
  <c r="AU314" i="9"/>
  <c r="AW314" i="9" s="1"/>
  <c r="CH314" i="9"/>
  <c r="FF314" i="9"/>
  <c r="BN314" i="9"/>
  <c r="BP314" i="9" s="1"/>
  <c r="FE314" i="9"/>
  <c r="FG314" i="9" s="1"/>
  <c r="BO314" i="9"/>
  <c r="AC314" i="9"/>
  <c r="CZ314" i="9"/>
  <c r="DB314" i="9" s="1"/>
  <c r="DA314" i="9"/>
  <c r="EL314" i="9"/>
  <c r="EN314" i="9" s="1"/>
  <c r="AB314" i="9"/>
  <c r="AD314" i="9" s="1"/>
  <c r="EM314" i="9"/>
  <c r="DS314" i="9"/>
  <c r="DU314" i="9" s="1"/>
  <c r="DT314" i="9"/>
  <c r="CN313" i="12"/>
  <c r="CM313" i="12"/>
  <c r="FI313" i="12"/>
  <c r="AF313" i="9"/>
  <c r="AG313" i="9"/>
  <c r="AH313" i="9"/>
  <c r="AI313" i="9"/>
  <c r="FK313" i="9"/>
  <c r="FJ313" i="9"/>
  <c r="FI313" i="9"/>
  <c r="FL313" i="9"/>
  <c r="DX312" i="12"/>
  <c r="DZ312" i="12"/>
  <c r="DY312" i="12"/>
  <c r="M314" i="12"/>
  <c r="P314" i="12" s="1"/>
  <c r="Q314" i="12" s="1"/>
  <c r="ET312" i="12"/>
  <c r="CN313" i="9"/>
  <c r="CM313" i="9"/>
  <c r="CL313" i="9"/>
  <c r="CK313" i="9"/>
  <c r="ET311" i="12"/>
  <c r="AZ312" i="12"/>
  <c r="BB312" i="12"/>
  <c r="BA312" i="12"/>
  <c r="DY313" i="9"/>
  <c r="DW313" i="9"/>
  <c r="DX313" i="9"/>
  <c r="DZ313" i="9"/>
  <c r="BA313" i="9"/>
  <c r="BB313" i="9"/>
  <c r="AY313" i="9"/>
  <c r="AZ313" i="9"/>
  <c r="J315" i="12" a="1"/>
  <c r="J315" i="12" s="1"/>
  <c r="O315" i="12" a="1"/>
  <c r="O315" i="12" s="1"/>
  <c r="N315" i="12" a="1"/>
  <c r="N315" i="12" s="1"/>
  <c r="H315" i="12" a="1"/>
  <c r="H315" i="12" s="1"/>
  <c r="K315" i="12" a="1"/>
  <c r="K315" i="12" s="1"/>
  <c r="L315" i="12" a="1"/>
  <c r="L315" i="12" s="1"/>
  <c r="G315" i="12" a="1"/>
  <c r="G315" i="12" s="1"/>
  <c r="D316" i="12"/>
  <c r="EQ313" i="12"/>
  <c r="ES313" i="12"/>
  <c r="ER313" i="12"/>
  <c r="EQ313" i="9"/>
  <c r="EP313" i="9"/>
  <c r="ER313" i="9"/>
  <c r="ES313" i="9"/>
  <c r="BT313" i="9"/>
  <c r="BR313" i="9"/>
  <c r="BV313" i="9" s="1"/>
  <c r="BS313" i="9"/>
  <c r="BU313" i="9"/>
  <c r="AG312" i="12"/>
  <c r="AI312" i="12"/>
  <c r="AH312" i="12"/>
  <c r="DH311" i="12"/>
  <c r="AU313" i="12"/>
  <c r="AW313" i="12" s="1"/>
  <c r="AB313" i="12"/>
  <c r="AD313" i="12" s="1"/>
  <c r="N316" i="9" a="1"/>
  <c r="N316" i="9" s="1"/>
  <c r="H316" i="9" a="1"/>
  <c r="H316" i="9" s="1"/>
  <c r="L316" i="9" a="1"/>
  <c r="L316" i="9" s="1"/>
  <c r="K316" i="9" a="1"/>
  <c r="K316" i="9" s="1"/>
  <c r="G316" i="9" a="1"/>
  <c r="G316" i="9" s="1"/>
  <c r="O316" i="9" a="1"/>
  <c r="O316" i="9" s="1"/>
  <c r="J316" i="9" a="1"/>
  <c r="J316" i="9" s="1"/>
  <c r="D317" i="9"/>
  <c r="BS312" i="12"/>
  <c r="BU312" i="12"/>
  <c r="BT312" i="12"/>
  <c r="DT313" i="12"/>
  <c r="BC311" i="12"/>
  <c r="M315" i="9"/>
  <c r="P315" i="9" s="1"/>
  <c r="Q315" i="9" s="1"/>
  <c r="DD313" i="9"/>
  <c r="DF313" i="9"/>
  <c r="DE313" i="9"/>
  <c r="DG313" i="9"/>
  <c r="CX315" i="9"/>
  <c r="CY315" i="9" s="1"/>
  <c r="DC315" i="9" s="1"/>
  <c r="EJ315" i="9"/>
  <c r="EK315" i="9" s="1"/>
  <c r="EO315" i="9" s="1"/>
  <c r="CE315" i="9"/>
  <c r="CF315" i="9" s="1"/>
  <c r="CJ315" i="9" s="1"/>
  <c r="FC315" i="9"/>
  <c r="FD315" i="9" s="1"/>
  <c r="FH315" i="9" s="1"/>
  <c r="BL315" i="9"/>
  <c r="BM315" i="9" s="1"/>
  <c r="BQ315" i="9" s="1"/>
  <c r="AS315" i="9"/>
  <c r="AT315" i="9" s="1"/>
  <c r="AX315" i="9" s="1"/>
  <c r="Z315" i="9"/>
  <c r="AA315" i="9" s="1"/>
  <c r="AE315" i="9" s="1"/>
  <c r="DQ315" i="9"/>
  <c r="DR315" i="9" s="1"/>
  <c r="DV315" i="9" s="1"/>
  <c r="I316" i="9"/>
  <c r="DE313" i="12"/>
  <c r="DG313" i="12"/>
  <c r="DF313" i="12"/>
  <c r="DY313" i="12" l="1"/>
  <c r="DZ313" i="12"/>
  <c r="FM313" i="9"/>
  <c r="DH313" i="9"/>
  <c r="ET313" i="9"/>
  <c r="EA313" i="9"/>
  <c r="CO313" i="9"/>
  <c r="AJ313" i="9"/>
  <c r="CO313" i="12"/>
  <c r="FL313" i="12"/>
  <c r="FK313" i="12"/>
  <c r="BT313" i="12"/>
  <c r="BU313" i="12"/>
  <c r="BV312" i="12"/>
  <c r="M316" i="9"/>
  <c r="P316" i="9" s="1"/>
  <c r="Q316" i="9" s="1"/>
  <c r="ET313" i="12"/>
  <c r="L317" i="9" a="1"/>
  <c r="L317" i="9" s="1"/>
  <c r="K317" i="9" a="1"/>
  <c r="K317" i="9" s="1"/>
  <c r="O317" i="9" a="1"/>
  <c r="O317" i="9" s="1"/>
  <c r="G317" i="9" a="1"/>
  <c r="G317" i="9" s="1"/>
  <c r="N317" i="9" a="1"/>
  <c r="N317" i="9" s="1"/>
  <c r="J317" i="9" a="1"/>
  <c r="J317" i="9" s="1"/>
  <c r="H317" i="9" a="1"/>
  <c r="H317" i="9" s="1"/>
  <c r="D318" i="9"/>
  <c r="AH313" i="12"/>
  <c r="AG313" i="12"/>
  <c r="AI313" i="12"/>
  <c r="BC312" i="12"/>
  <c r="DX314" i="9"/>
  <c r="DZ314" i="9"/>
  <c r="DY314" i="9"/>
  <c r="DW314" i="9"/>
  <c r="EA314" i="9" s="1"/>
  <c r="FK314" i="9"/>
  <c r="FJ314" i="9"/>
  <c r="FL314" i="9"/>
  <c r="FI314" i="9"/>
  <c r="EP314" i="12"/>
  <c r="FF314" i="12"/>
  <c r="FE314" i="12"/>
  <c r="FG314" i="12" s="1"/>
  <c r="DD314" i="12"/>
  <c r="CK314" i="12"/>
  <c r="AB314" i="12"/>
  <c r="AD314" i="12" s="1"/>
  <c r="AC314" i="12"/>
  <c r="BO314" i="12"/>
  <c r="BN314" i="12"/>
  <c r="BP314" i="12" s="1"/>
  <c r="DW314" i="12"/>
  <c r="FI314" i="12"/>
  <c r="AF314" i="12"/>
  <c r="CH314" i="12"/>
  <c r="EM314" i="12"/>
  <c r="DA314" i="12"/>
  <c r="CG314" i="12"/>
  <c r="CI314" i="12" s="1"/>
  <c r="EL314" i="12"/>
  <c r="EN314" i="12" s="1"/>
  <c r="AY314" i="12"/>
  <c r="BR314" i="12"/>
  <c r="DT314" i="12"/>
  <c r="DS314" i="12"/>
  <c r="DU314" i="12" s="1"/>
  <c r="CZ314" i="12"/>
  <c r="DB314" i="12" s="1"/>
  <c r="AV314" i="12"/>
  <c r="AU314" i="12"/>
  <c r="AW314" i="12" s="1"/>
  <c r="BU314" i="9"/>
  <c r="BT314" i="9"/>
  <c r="BS314" i="9"/>
  <c r="BR314" i="9"/>
  <c r="BV314" i="9" s="1"/>
  <c r="DH313" i="12"/>
  <c r="AV315" i="9"/>
  <c r="AU315" i="9"/>
  <c r="AW315" i="9" s="1"/>
  <c r="BO315" i="9"/>
  <c r="CG315" i="9"/>
  <c r="CI315" i="9" s="1"/>
  <c r="BN315" i="9"/>
  <c r="BP315" i="9" s="1"/>
  <c r="CH315" i="9"/>
  <c r="FF315" i="9"/>
  <c r="FE315" i="9"/>
  <c r="FG315" i="9" s="1"/>
  <c r="EM315" i="9"/>
  <c r="AB315" i="9"/>
  <c r="AD315" i="9" s="1"/>
  <c r="AC315" i="9"/>
  <c r="EL315" i="9"/>
  <c r="EN315" i="9" s="1"/>
  <c r="CZ315" i="9"/>
  <c r="DB315" i="9" s="1"/>
  <c r="DA315" i="9"/>
  <c r="DS315" i="9"/>
  <c r="DU315" i="9" s="1"/>
  <c r="DT315" i="9"/>
  <c r="AZ313" i="12"/>
  <c r="BB313" i="12"/>
  <c r="BA313" i="12"/>
  <c r="EA312" i="12"/>
  <c r="AG314" i="9"/>
  <c r="AF314" i="9"/>
  <c r="AI314" i="9"/>
  <c r="AH314" i="9"/>
  <c r="EP314" i="9"/>
  <c r="ES314" i="9"/>
  <c r="ER314" i="9"/>
  <c r="EQ314" i="9"/>
  <c r="M315" i="12"/>
  <c r="P315" i="12" s="1"/>
  <c r="Q315" i="12" s="1"/>
  <c r="EA313" i="12"/>
  <c r="AY314" i="9"/>
  <c r="BC314" i="9" s="1"/>
  <c r="BA314" i="9"/>
  <c r="AZ314" i="9"/>
  <c r="BB314" i="9"/>
  <c r="BL316" i="9"/>
  <c r="BM316" i="9" s="1"/>
  <c r="BQ316" i="9" s="1"/>
  <c r="AS316" i="9"/>
  <c r="AT316" i="9" s="1"/>
  <c r="AX316" i="9" s="1"/>
  <c r="Z316" i="9"/>
  <c r="AA316" i="9" s="1"/>
  <c r="AE316" i="9" s="1"/>
  <c r="DQ316" i="9"/>
  <c r="DR316" i="9" s="1"/>
  <c r="DV316" i="9" s="1"/>
  <c r="FC316" i="9"/>
  <c r="FD316" i="9" s="1"/>
  <c r="FH316" i="9" s="1"/>
  <c r="CX316" i="9"/>
  <c r="CY316" i="9" s="1"/>
  <c r="DC316" i="9" s="1"/>
  <c r="EJ316" i="9"/>
  <c r="EK316" i="9" s="1"/>
  <c r="EO316" i="9" s="1"/>
  <c r="CE316" i="9"/>
  <c r="CF316" i="9" s="1"/>
  <c r="CJ316" i="9" s="1"/>
  <c r="I317" i="9"/>
  <c r="L316" i="12" a="1"/>
  <c r="L316" i="12" s="1"/>
  <c r="J316" i="12" a="1"/>
  <c r="J316" i="12" s="1"/>
  <c r="N316" i="12" a="1"/>
  <c r="N316" i="12" s="1"/>
  <c r="G316" i="12" a="1"/>
  <c r="G316" i="12" s="1"/>
  <c r="O316" i="12" a="1"/>
  <c r="O316" i="12" s="1"/>
  <c r="H316" i="12" a="1"/>
  <c r="H316" i="12" s="1"/>
  <c r="K316" i="12" a="1"/>
  <c r="K316" i="12" s="1"/>
  <c r="D317" i="12"/>
  <c r="DG314" i="9"/>
  <c r="DD314" i="9"/>
  <c r="DE314" i="9"/>
  <c r="DF314" i="9"/>
  <c r="CL314" i="9"/>
  <c r="CM314" i="9"/>
  <c r="CK314" i="9"/>
  <c r="CN314" i="9"/>
  <c r="AJ312" i="12"/>
  <c r="ET314" i="9" l="1"/>
  <c r="AJ314" i="9"/>
  <c r="FM314" i="9"/>
  <c r="DH314" i="9"/>
  <c r="CO314" i="9"/>
  <c r="FM313" i="12"/>
  <c r="BV313" i="12"/>
  <c r="FF316" i="9"/>
  <c r="EM316" i="9"/>
  <c r="FE316" i="9"/>
  <c r="FG316" i="9" s="1"/>
  <c r="FL316" i="9" s="1"/>
  <c r="DT316" i="9"/>
  <c r="AC316" i="9"/>
  <c r="AV316" i="9"/>
  <c r="M317" i="9"/>
  <c r="P317" i="9" s="1"/>
  <c r="Q317" i="9" s="1"/>
  <c r="M316" i="12"/>
  <c r="P316" i="12" s="1"/>
  <c r="Q316" i="12" s="1"/>
  <c r="FE315" i="12"/>
  <c r="FG315" i="12" s="1"/>
  <c r="FF315" i="12"/>
  <c r="EP315" i="12"/>
  <c r="DD315" i="12"/>
  <c r="CK315" i="12"/>
  <c r="AC315" i="12"/>
  <c r="AB315" i="12"/>
  <c r="AD315" i="12" s="1"/>
  <c r="BN315" i="12"/>
  <c r="BP315" i="12" s="1"/>
  <c r="BO315" i="12"/>
  <c r="CG315" i="12"/>
  <c r="CI315" i="12" s="1"/>
  <c r="AY315" i="12"/>
  <c r="CH315" i="12"/>
  <c r="DS315" i="12"/>
  <c r="DU315" i="12" s="1"/>
  <c r="DW315" i="12"/>
  <c r="FI315" i="12"/>
  <c r="DT315" i="12"/>
  <c r="BR315" i="12"/>
  <c r="AF315" i="12"/>
  <c r="EL315" i="12"/>
  <c r="EN315" i="12" s="1"/>
  <c r="DA315" i="12"/>
  <c r="EM315" i="12"/>
  <c r="CZ315" i="12"/>
  <c r="DB315" i="12" s="1"/>
  <c r="AV315" i="12"/>
  <c r="AU315" i="12"/>
  <c r="AW315" i="12" s="1"/>
  <c r="DG315" i="9"/>
  <c r="DE315" i="9"/>
  <c r="DF315" i="9"/>
  <c r="DD315" i="9"/>
  <c r="BT315" i="9"/>
  <c r="BU315" i="9"/>
  <c r="BR315" i="9"/>
  <c r="BS315" i="9"/>
  <c r="EQ315" i="9"/>
  <c r="ES315" i="9"/>
  <c r="EP315" i="9"/>
  <c r="ER315" i="9"/>
  <c r="CM315" i="9"/>
  <c r="CL315" i="9"/>
  <c r="CN315" i="9"/>
  <c r="CK315" i="9"/>
  <c r="EQ314" i="12"/>
  <c r="ER314" i="12"/>
  <c r="ES314" i="12"/>
  <c r="BS314" i="12"/>
  <c r="BT314" i="12"/>
  <c r="BU314" i="12"/>
  <c r="DA316" i="9"/>
  <c r="O318" i="9" a="1"/>
  <c r="O318" i="9" s="1"/>
  <c r="H318" i="9" a="1"/>
  <c r="H318" i="9" s="1"/>
  <c r="G318" i="9" a="1"/>
  <c r="G318" i="9" s="1"/>
  <c r="L318" i="9" a="1"/>
  <c r="L318" i="9" s="1"/>
  <c r="J318" i="9" a="1"/>
  <c r="J318" i="9" s="1"/>
  <c r="K318" i="9" a="1"/>
  <c r="K318" i="9" s="1"/>
  <c r="N318" i="9" a="1"/>
  <c r="N318" i="9" s="1"/>
  <c r="D319" i="9"/>
  <c r="K317" i="12" a="1"/>
  <c r="K317" i="12" s="1"/>
  <c r="G317" i="12" a="1"/>
  <c r="G317" i="12" s="1"/>
  <c r="N317" i="12" a="1"/>
  <c r="N317" i="12" s="1"/>
  <c r="H317" i="12" a="1"/>
  <c r="H317" i="12" s="1"/>
  <c r="O317" i="12" a="1"/>
  <c r="O317" i="12" s="1"/>
  <c r="L317" i="12" a="1"/>
  <c r="L317" i="12" s="1"/>
  <c r="J317" i="12" a="1"/>
  <c r="J317" i="12" s="1"/>
  <c r="D318" i="12"/>
  <c r="Z317" i="9"/>
  <c r="AA317" i="9" s="1"/>
  <c r="AE317" i="9" s="1"/>
  <c r="DQ317" i="9"/>
  <c r="DR317" i="9" s="1"/>
  <c r="DV317" i="9" s="1"/>
  <c r="CE317" i="9"/>
  <c r="CF317" i="9" s="1"/>
  <c r="CJ317" i="9" s="1"/>
  <c r="FC317" i="9"/>
  <c r="FD317" i="9" s="1"/>
  <c r="FH317" i="9" s="1"/>
  <c r="BL317" i="9"/>
  <c r="BM317" i="9" s="1"/>
  <c r="BQ317" i="9" s="1"/>
  <c r="EJ317" i="9"/>
  <c r="EK317" i="9" s="1"/>
  <c r="EO317" i="9" s="1"/>
  <c r="AS317" i="9"/>
  <c r="AT317" i="9" s="1"/>
  <c r="AX317" i="9" s="1"/>
  <c r="CX317" i="9"/>
  <c r="CY317" i="9" s="1"/>
  <c r="DC317" i="9" s="1"/>
  <c r="I318" i="9"/>
  <c r="AZ314" i="12"/>
  <c r="BB314" i="12"/>
  <c r="BA314" i="12"/>
  <c r="CM314" i="12"/>
  <c r="CL314" i="12"/>
  <c r="CN314" i="12"/>
  <c r="DS316" i="9"/>
  <c r="DU316" i="9" s="1"/>
  <c r="BN316" i="9"/>
  <c r="BP316" i="9" s="1"/>
  <c r="AF315" i="9"/>
  <c r="AJ315" i="9" s="1"/>
  <c r="AI315" i="9"/>
  <c r="AG315" i="9"/>
  <c r="AH315" i="9"/>
  <c r="AZ315" i="9"/>
  <c r="BB315" i="9"/>
  <c r="AY315" i="9"/>
  <c r="BA315" i="9"/>
  <c r="BO316" i="9"/>
  <c r="FJ314" i="12"/>
  <c r="FK314" i="12"/>
  <c r="FL314" i="12"/>
  <c r="BC313" i="12"/>
  <c r="DE314" i="12"/>
  <c r="DG314" i="12"/>
  <c r="DF314" i="12"/>
  <c r="AG314" i="12"/>
  <c r="AH314" i="12"/>
  <c r="AI314" i="12"/>
  <c r="CZ316" i="9"/>
  <c r="DB316" i="9" s="1"/>
  <c r="CH316" i="9"/>
  <c r="FL315" i="9"/>
  <c r="FJ315" i="9"/>
  <c r="FI315" i="9"/>
  <c r="FK315" i="9"/>
  <c r="DX314" i="12"/>
  <c r="DY314" i="12"/>
  <c r="DZ314" i="12"/>
  <c r="EL316" i="9"/>
  <c r="EN316" i="9" s="1"/>
  <c r="AU316" i="9"/>
  <c r="AW316" i="9" s="1"/>
  <c r="AJ313" i="12"/>
  <c r="DZ315" i="9"/>
  <c r="DX315" i="9"/>
  <c r="DW315" i="9"/>
  <c r="DY315" i="9"/>
  <c r="AB316" i="9"/>
  <c r="AD316" i="9" s="1"/>
  <c r="CG316" i="9"/>
  <c r="CI316" i="9" s="1"/>
  <c r="FM315" i="9" l="1"/>
  <c r="BC315" i="9"/>
  <c r="CO315" i="9"/>
  <c r="BV315" i="9"/>
  <c r="DH315" i="9"/>
  <c r="FM314" i="12"/>
  <c r="ET315" i="9"/>
  <c r="EA315" i="9"/>
  <c r="FF317" i="9"/>
  <c r="FE317" i="9"/>
  <c r="FG317" i="9" s="1"/>
  <c r="DA317" i="9"/>
  <c r="CO314" i="12"/>
  <c r="BV314" i="12"/>
  <c r="AU317" i="9"/>
  <c r="AW317" i="9" s="1"/>
  <c r="BA317" i="9" s="1"/>
  <c r="CG317" i="9"/>
  <c r="CI317" i="9" s="1"/>
  <c r="CK317" i="9" s="1"/>
  <c r="BN317" i="9"/>
  <c r="BP317" i="9" s="1"/>
  <c r="BS317" i="9" s="1"/>
  <c r="EM317" i="9"/>
  <c r="DT317" i="9"/>
  <c r="FI316" i="9"/>
  <c r="FM316" i="9" s="1"/>
  <c r="FM317" i="9" s="1"/>
  <c r="DS317" i="9"/>
  <c r="DU317" i="9" s="1"/>
  <c r="DY317" i="9" s="1"/>
  <c r="CZ317" i="9"/>
  <c r="DB317" i="9" s="1"/>
  <c r="FJ316" i="9"/>
  <c r="AJ314" i="12"/>
  <c r="FK316" i="9"/>
  <c r="DH314" i="12"/>
  <c r="ET314" i="12"/>
  <c r="CN315" i="12"/>
  <c r="CL315" i="12"/>
  <c r="CM315" i="12"/>
  <c r="AY316" i="9"/>
  <c r="AZ316" i="9"/>
  <c r="BA316" i="9"/>
  <c r="BB316" i="9"/>
  <c r="BC314" i="12"/>
  <c r="FJ315" i="12"/>
  <c r="FK315" i="12"/>
  <c r="FL315" i="12"/>
  <c r="AI316" i="9"/>
  <c r="AF316" i="9"/>
  <c r="AJ316" i="9" s="1"/>
  <c r="AH316" i="9"/>
  <c r="AG316" i="9"/>
  <c r="AB317" i="9"/>
  <c r="AD317" i="9" s="1"/>
  <c r="BU316" i="9"/>
  <c r="BR316" i="9"/>
  <c r="BV316" i="9" s="1"/>
  <c r="BT316" i="9"/>
  <c r="BS316" i="9"/>
  <c r="CX318" i="9"/>
  <c r="CY318" i="9" s="1"/>
  <c r="DC318" i="9" s="1"/>
  <c r="AS318" i="9"/>
  <c r="AT318" i="9" s="1"/>
  <c r="AX318" i="9" s="1"/>
  <c r="CE318" i="9"/>
  <c r="CF318" i="9" s="1"/>
  <c r="CJ318" i="9" s="1"/>
  <c r="Z318" i="9"/>
  <c r="AA318" i="9" s="1"/>
  <c r="AE318" i="9" s="1"/>
  <c r="FC318" i="9"/>
  <c r="FD318" i="9" s="1"/>
  <c r="FH318" i="9" s="1"/>
  <c r="DQ318" i="9"/>
  <c r="DR318" i="9" s="1"/>
  <c r="DV318" i="9" s="1"/>
  <c r="EJ318" i="9"/>
  <c r="EK318" i="9" s="1"/>
  <c r="EO318" i="9" s="1"/>
  <c r="BL318" i="9"/>
  <c r="BM318" i="9" s="1"/>
  <c r="BQ318" i="9" s="1"/>
  <c r="I319" i="9"/>
  <c r="AZ315" i="12"/>
  <c r="BA315" i="12"/>
  <c r="BB315" i="12"/>
  <c r="BS315" i="12"/>
  <c r="BT315" i="12"/>
  <c r="BU315" i="12"/>
  <c r="FE316" i="12"/>
  <c r="FG316" i="12" s="1"/>
  <c r="FF316" i="12"/>
  <c r="EP316" i="12"/>
  <c r="DD316" i="12"/>
  <c r="CK316" i="12"/>
  <c r="AB316" i="12"/>
  <c r="AD316" i="12" s="1"/>
  <c r="BO316" i="12"/>
  <c r="BN316" i="12"/>
  <c r="BP316" i="12" s="1"/>
  <c r="AC316" i="12"/>
  <c r="CH316" i="12"/>
  <c r="FI316" i="12"/>
  <c r="CG316" i="12"/>
  <c r="CI316" i="12" s="1"/>
  <c r="DW316" i="12"/>
  <c r="AF316" i="12"/>
  <c r="EL316" i="12"/>
  <c r="EN316" i="12" s="1"/>
  <c r="DA316" i="12"/>
  <c r="AY316" i="12"/>
  <c r="EM316" i="12"/>
  <c r="CZ316" i="12"/>
  <c r="DB316" i="12" s="1"/>
  <c r="DT316" i="12"/>
  <c r="BR316" i="12"/>
  <c r="DS316" i="12"/>
  <c r="DU316" i="12" s="1"/>
  <c r="AV316" i="12"/>
  <c r="AU316" i="12"/>
  <c r="AW316" i="12" s="1"/>
  <c r="CM317" i="9"/>
  <c r="CM316" i="9"/>
  <c r="CL316" i="9"/>
  <c r="CK316" i="9"/>
  <c r="CN316" i="9"/>
  <c r="FJ317" i="9"/>
  <c r="FL317" i="9"/>
  <c r="FK317" i="9"/>
  <c r="FI317" i="9"/>
  <c r="DX316" i="9"/>
  <c r="DW316" i="9"/>
  <c r="DZ316" i="9"/>
  <c r="DY316" i="9"/>
  <c r="O318" i="12" a="1"/>
  <c r="O318" i="12" s="1"/>
  <c r="G318" i="12" a="1"/>
  <c r="G318" i="12" s="1"/>
  <c r="J318" i="12" a="1"/>
  <c r="J318" i="12" s="1"/>
  <c r="N318" i="12" a="1"/>
  <c r="N318" i="12" s="1"/>
  <c r="H318" i="12" a="1"/>
  <c r="H318" i="12" s="1"/>
  <c r="K318" i="12" a="1"/>
  <c r="K318" i="12" s="1"/>
  <c r="D319" i="12"/>
  <c r="L318" i="12" a="1"/>
  <c r="L318" i="12" s="1"/>
  <c r="N319" i="9" a="1"/>
  <c r="N319" i="9" s="1"/>
  <c r="O319" i="9" a="1"/>
  <c r="O319" i="9" s="1"/>
  <c r="G319" i="9" a="1"/>
  <c r="G319" i="9" s="1"/>
  <c r="H319" i="9" a="1"/>
  <c r="H319" i="9" s="1"/>
  <c r="K319" i="9" a="1"/>
  <c r="K319" i="9" s="1"/>
  <c r="J319" i="9" a="1"/>
  <c r="J319" i="9" s="1"/>
  <c r="L319" i="9" a="1"/>
  <c r="L319" i="9" s="1"/>
  <c r="D320" i="9"/>
  <c r="AI315" i="12"/>
  <c r="AH315" i="12"/>
  <c r="AG315" i="12"/>
  <c r="DG317" i="9"/>
  <c r="DF317" i="9"/>
  <c r="DD317" i="9"/>
  <c r="DE317" i="9"/>
  <c r="ES316" i="9"/>
  <c r="EP316" i="9"/>
  <c r="EQ316" i="9"/>
  <c r="ER316" i="9"/>
  <c r="BO317" i="9"/>
  <c r="DD316" i="9"/>
  <c r="DH316" i="9" s="1"/>
  <c r="DH317" i="9" s="1"/>
  <c r="DE316" i="9"/>
  <c r="DG316" i="9"/>
  <c r="DF316" i="9"/>
  <c r="M317" i="12"/>
  <c r="P317" i="12" s="1"/>
  <c r="Q317" i="12" s="1"/>
  <c r="DE315" i="12"/>
  <c r="DG315" i="12"/>
  <c r="DF315" i="12"/>
  <c r="EA314" i="12"/>
  <c r="EL317" i="9"/>
  <c r="EN317" i="9" s="1"/>
  <c r="AV317" i="9"/>
  <c r="DX315" i="12"/>
  <c r="DZ315" i="12"/>
  <c r="DY315" i="12"/>
  <c r="EQ315" i="12"/>
  <c r="ES315" i="12"/>
  <c r="ER315" i="12"/>
  <c r="AC317" i="9"/>
  <c r="CH317" i="9"/>
  <c r="M318" i="9"/>
  <c r="P318" i="9" s="1"/>
  <c r="Q318" i="9" s="1"/>
  <c r="CL317" i="9" l="1"/>
  <c r="ET316" i="9"/>
  <c r="BC316" i="9"/>
  <c r="CO316" i="9"/>
  <c r="CO317" i="9" s="1"/>
  <c r="EA316" i="9"/>
  <c r="ET315" i="12"/>
  <c r="AY317" i="9"/>
  <c r="BC317" i="9" s="1"/>
  <c r="EA315" i="12"/>
  <c r="CN317" i="9"/>
  <c r="AZ317" i="9"/>
  <c r="BB317" i="9"/>
  <c r="BT317" i="9"/>
  <c r="BR317" i="9"/>
  <c r="BV317" i="9" s="1"/>
  <c r="BU317" i="9"/>
  <c r="DW317" i="9"/>
  <c r="DZ317" i="9"/>
  <c r="CO315" i="12"/>
  <c r="DX317" i="9"/>
  <c r="BV315" i="12"/>
  <c r="AJ315" i="12"/>
  <c r="M318" i="12"/>
  <c r="FM315" i="12"/>
  <c r="BC315" i="12"/>
  <c r="EQ316" i="12"/>
  <c r="ES316" i="12"/>
  <c r="ER316" i="12"/>
  <c r="EP317" i="12"/>
  <c r="FF317" i="12"/>
  <c r="FE317" i="12"/>
  <c r="FG317" i="12" s="1"/>
  <c r="DD317" i="12"/>
  <c r="CK317" i="12"/>
  <c r="AC317" i="12"/>
  <c r="AB317" i="12"/>
  <c r="AD317" i="12" s="1"/>
  <c r="BO317" i="12"/>
  <c r="BN317" i="12"/>
  <c r="BP317" i="12" s="1"/>
  <c r="DW317" i="12"/>
  <c r="CG317" i="12"/>
  <c r="CI317" i="12" s="1"/>
  <c r="DA317" i="12"/>
  <c r="EM317" i="12"/>
  <c r="BR317" i="12"/>
  <c r="CH317" i="12"/>
  <c r="AY317" i="12"/>
  <c r="EL317" i="12"/>
  <c r="EN317" i="12" s="1"/>
  <c r="DS317" i="12"/>
  <c r="DU317" i="12" s="1"/>
  <c r="CZ317" i="12"/>
  <c r="DB317" i="12" s="1"/>
  <c r="FI317" i="12"/>
  <c r="DT317" i="12"/>
  <c r="AF317" i="12"/>
  <c r="AV317" i="12"/>
  <c r="AU317" i="12"/>
  <c r="AW317" i="12" s="1"/>
  <c r="DX316" i="12"/>
  <c r="DZ316" i="12"/>
  <c r="DY316" i="12"/>
  <c r="AG316" i="12"/>
  <c r="AI316" i="12"/>
  <c r="AH316" i="12"/>
  <c r="AF317" i="9"/>
  <c r="AJ317" i="9" s="1"/>
  <c r="AH317" i="9"/>
  <c r="AI317" i="9"/>
  <c r="AG317" i="9"/>
  <c r="L320" i="9" a="1"/>
  <c r="L320" i="9" s="1"/>
  <c r="K320" i="9" a="1"/>
  <c r="K320" i="9" s="1"/>
  <c r="N320" i="9" a="1"/>
  <c r="N320" i="9" s="1"/>
  <c r="H320" i="9" a="1"/>
  <c r="H320" i="9" s="1"/>
  <c r="G320" i="9" a="1"/>
  <c r="G320" i="9" s="1"/>
  <c r="O320" i="9" a="1"/>
  <c r="O320" i="9" s="1"/>
  <c r="J320" i="9" a="1"/>
  <c r="J320" i="9" s="1"/>
  <c r="D321" i="9"/>
  <c r="CM316" i="12"/>
  <c r="CN316" i="12"/>
  <c r="CL316" i="12"/>
  <c r="EQ317" i="9"/>
  <c r="EP317" i="9"/>
  <c r="ER317" i="9"/>
  <c r="ES317" i="9"/>
  <c r="J319" i="12" a="1"/>
  <c r="J319" i="12" s="1"/>
  <c r="N319" i="12" a="1"/>
  <c r="N319" i="12" s="1"/>
  <c r="G319" i="12" a="1"/>
  <c r="G319" i="12" s="1"/>
  <c r="H319" i="12" a="1"/>
  <c r="H319" i="12" s="1"/>
  <c r="O319" i="12" a="1"/>
  <c r="O319" i="12" s="1"/>
  <c r="L319" i="12" a="1"/>
  <c r="L319" i="12" s="1"/>
  <c r="D320" i="12"/>
  <c r="K319" i="12" a="1"/>
  <c r="K319" i="12" s="1"/>
  <c r="DE316" i="12"/>
  <c r="DF316" i="12"/>
  <c r="DG316" i="12"/>
  <c r="M319" i="9"/>
  <c r="P319" i="9" s="1"/>
  <c r="Q319" i="9" s="1"/>
  <c r="FC319" i="9"/>
  <c r="FD319" i="9" s="1"/>
  <c r="FH319" i="9" s="1"/>
  <c r="AS319" i="9"/>
  <c r="AT319" i="9" s="1"/>
  <c r="AX319" i="9" s="1"/>
  <c r="DQ319" i="9"/>
  <c r="DR319" i="9" s="1"/>
  <c r="DV319" i="9" s="1"/>
  <c r="CX319" i="9"/>
  <c r="CY319" i="9" s="1"/>
  <c r="DC319" i="9" s="1"/>
  <c r="EJ319" i="9"/>
  <c r="EK319" i="9" s="1"/>
  <c r="EO319" i="9" s="1"/>
  <c r="Z319" i="9"/>
  <c r="AA319" i="9" s="1"/>
  <c r="AE319" i="9" s="1"/>
  <c r="CE319" i="9"/>
  <c r="CF319" i="9" s="1"/>
  <c r="CJ319" i="9" s="1"/>
  <c r="BL319" i="9"/>
  <c r="BM319" i="9" s="1"/>
  <c r="BQ319" i="9" s="1"/>
  <c r="I320" i="9"/>
  <c r="AU318" i="9"/>
  <c r="AW318" i="9" s="1"/>
  <c r="FF318" i="9"/>
  <c r="CG318" i="9"/>
  <c r="CI318" i="9" s="1"/>
  <c r="BO318" i="9"/>
  <c r="CH318" i="9"/>
  <c r="BN318" i="9"/>
  <c r="BP318" i="9" s="1"/>
  <c r="AV318" i="9"/>
  <c r="FE318" i="9"/>
  <c r="FG318" i="9" s="1"/>
  <c r="EM318" i="9"/>
  <c r="AB318" i="9"/>
  <c r="AD318" i="9" s="1"/>
  <c r="CZ318" i="9"/>
  <c r="DB318" i="9" s="1"/>
  <c r="DA318" i="9"/>
  <c r="EL318" i="9"/>
  <c r="EN318" i="9" s="1"/>
  <c r="AC318" i="9"/>
  <c r="DS318" i="9"/>
  <c r="DU318" i="9" s="1"/>
  <c r="DT318" i="9"/>
  <c r="DH315" i="12"/>
  <c r="FJ316" i="12"/>
  <c r="FL316" i="12"/>
  <c r="FK316" i="12"/>
  <c r="P318" i="12"/>
  <c r="Q318" i="12" s="1"/>
  <c r="BA316" i="12"/>
  <c r="AZ316" i="12"/>
  <c r="BB316" i="12"/>
  <c r="BS316" i="12"/>
  <c r="BU316" i="12"/>
  <c r="BT316" i="12"/>
  <c r="ET317" i="9" l="1"/>
  <c r="EA317" i="9"/>
  <c r="ET316" i="12"/>
  <c r="FF319" i="9"/>
  <c r="EM319" i="9"/>
  <c r="AU319" i="9"/>
  <c r="AW319" i="9" s="1"/>
  <c r="AZ319" i="9" s="1"/>
  <c r="DA319" i="9"/>
  <c r="CG319" i="9"/>
  <c r="CI319" i="9" s="1"/>
  <c r="CN319" i="9" s="1"/>
  <c r="AB319" i="9"/>
  <c r="AD319" i="9" s="1"/>
  <c r="AI319" i="9" s="1"/>
  <c r="M320" i="9"/>
  <c r="P320" i="9" s="1"/>
  <c r="Q320" i="9" s="1"/>
  <c r="CO316" i="12"/>
  <c r="AJ316" i="12"/>
  <c r="DH316" i="12"/>
  <c r="FM316" i="12"/>
  <c r="BV316" i="12"/>
  <c r="BC316" i="12"/>
  <c r="DW318" i="9"/>
  <c r="DX318" i="9"/>
  <c r="DZ318" i="9"/>
  <c r="DY318" i="9"/>
  <c r="AC319" i="9"/>
  <c r="FK318" i="9"/>
  <c r="FJ318" i="9"/>
  <c r="FL318" i="9"/>
  <c r="FI318" i="9"/>
  <c r="BS318" i="9"/>
  <c r="BU318" i="9"/>
  <c r="BT318" i="9"/>
  <c r="BR318" i="9"/>
  <c r="EA316" i="12"/>
  <c r="CZ319" i="9"/>
  <c r="DB319" i="9" s="1"/>
  <c r="FE319" i="9"/>
  <c r="FG319" i="9" s="1"/>
  <c r="DE317" i="12"/>
  <c r="DF317" i="12"/>
  <c r="DG317" i="12"/>
  <c r="CL317" i="12"/>
  <c r="CM317" i="12"/>
  <c r="CN317" i="12"/>
  <c r="FJ317" i="12"/>
  <c r="FL317" i="12"/>
  <c r="FK317" i="12"/>
  <c r="EJ320" i="9"/>
  <c r="EK320" i="9" s="1"/>
  <c r="EO320" i="9" s="1"/>
  <c r="Z320" i="9"/>
  <c r="AA320" i="9" s="1"/>
  <c r="AE320" i="9" s="1"/>
  <c r="DQ320" i="9"/>
  <c r="DR320" i="9" s="1"/>
  <c r="DV320" i="9" s="1"/>
  <c r="AS320" i="9"/>
  <c r="AT320" i="9" s="1"/>
  <c r="AX320" i="9" s="1"/>
  <c r="CE320" i="9"/>
  <c r="CF320" i="9" s="1"/>
  <c r="CJ320" i="9" s="1"/>
  <c r="BL320" i="9"/>
  <c r="BM320" i="9" s="1"/>
  <c r="BQ320" i="9" s="1"/>
  <c r="FC320" i="9"/>
  <c r="FD320" i="9" s="1"/>
  <c r="FH320" i="9" s="1"/>
  <c r="CX320" i="9"/>
  <c r="CY320" i="9" s="1"/>
  <c r="DC320" i="9" s="1"/>
  <c r="I321" i="9"/>
  <c r="EP318" i="12"/>
  <c r="FF318" i="12"/>
  <c r="FE318" i="12"/>
  <c r="FG318" i="12" s="1"/>
  <c r="DD318" i="12"/>
  <c r="CK318" i="12"/>
  <c r="BN318" i="12"/>
  <c r="BP318" i="12" s="1"/>
  <c r="AB318" i="12"/>
  <c r="AD318" i="12" s="1"/>
  <c r="AC318" i="12"/>
  <c r="BO318" i="12"/>
  <c r="DW318" i="12"/>
  <c r="DS318" i="12"/>
  <c r="DU318" i="12" s="1"/>
  <c r="EM318" i="12"/>
  <c r="FI318" i="12"/>
  <c r="CG318" i="12"/>
  <c r="CI318" i="12" s="1"/>
  <c r="CH318" i="12"/>
  <c r="AY318" i="12"/>
  <c r="BR318" i="12"/>
  <c r="DT318" i="12"/>
  <c r="CZ318" i="12"/>
  <c r="DB318" i="12" s="1"/>
  <c r="AF318" i="12"/>
  <c r="DA318" i="12"/>
  <c r="EL318" i="12"/>
  <c r="EN318" i="12" s="1"/>
  <c r="AU318" i="12"/>
  <c r="AW318" i="12" s="1"/>
  <c r="AV318" i="12"/>
  <c r="ER318" i="9"/>
  <c r="EQ318" i="9"/>
  <c r="ES318" i="9"/>
  <c r="EP318" i="9"/>
  <c r="ET318" i="9" s="1"/>
  <c r="DX317" i="12"/>
  <c r="DZ317" i="12"/>
  <c r="DY317" i="12"/>
  <c r="L320" i="12" a="1"/>
  <c r="L320" i="12" s="1"/>
  <c r="J320" i="12" a="1"/>
  <c r="J320" i="12" s="1"/>
  <c r="G320" i="12" a="1"/>
  <c r="G320" i="12" s="1"/>
  <c r="K320" i="12" a="1"/>
  <c r="K320" i="12" s="1"/>
  <c r="H320" i="12" a="1"/>
  <c r="H320" i="12" s="1"/>
  <c r="O320" i="12" a="1"/>
  <c r="O320" i="12" s="1"/>
  <c r="N320" i="12" a="1"/>
  <c r="N320" i="12" s="1"/>
  <c r="D321" i="12"/>
  <c r="BN319" i="9"/>
  <c r="BP319" i="9" s="1"/>
  <c r="EQ317" i="12"/>
  <c r="ES317" i="12"/>
  <c r="ER317" i="12"/>
  <c r="BS317" i="12"/>
  <c r="BU317" i="12"/>
  <c r="BT317" i="12"/>
  <c r="DE318" i="9"/>
  <c r="DG318" i="9"/>
  <c r="DD318" i="9"/>
  <c r="DF318" i="9"/>
  <c r="CK318" i="9"/>
  <c r="CM318" i="9"/>
  <c r="CL318" i="9"/>
  <c r="CN318" i="9"/>
  <c r="DS319" i="9"/>
  <c r="DU319" i="9" s="1"/>
  <c r="CH319" i="9"/>
  <c r="AZ317" i="12"/>
  <c r="BB317" i="12"/>
  <c r="BA317" i="12"/>
  <c r="AI318" i="9"/>
  <c r="AH318" i="9"/>
  <c r="AF318" i="9"/>
  <c r="AG318" i="9"/>
  <c r="M319" i="12"/>
  <c r="P319" i="12" s="1"/>
  <c r="Q319" i="12" s="1"/>
  <c r="DT319" i="9"/>
  <c r="BO319" i="9"/>
  <c r="AH317" i="12"/>
  <c r="AG317" i="12"/>
  <c r="AI317" i="12"/>
  <c r="BA318" i="9"/>
  <c r="BB318" i="9"/>
  <c r="AY318" i="9"/>
  <c r="AZ318" i="9"/>
  <c r="J321" i="9" a="1"/>
  <c r="J321" i="9" s="1"/>
  <c r="N321" i="9" a="1"/>
  <c r="N321" i="9" s="1"/>
  <c r="O321" i="9" a="1"/>
  <c r="O321" i="9" s="1"/>
  <c r="G321" i="9" a="1"/>
  <c r="G321" i="9" s="1"/>
  <c r="H321" i="9" a="1"/>
  <c r="H321" i="9" s="1"/>
  <c r="L321" i="9" a="1"/>
  <c r="L321" i="9" s="1"/>
  <c r="K321" i="9" a="1"/>
  <c r="K321" i="9" s="1"/>
  <c r="D322" i="9"/>
  <c r="EL319" i="9"/>
  <c r="EN319" i="9" s="1"/>
  <c r="AV319" i="9"/>
  <c r="AC320" i="9" l="1"/>
  <c r="AG319" i="9"/>
  <c r="CO318" i="9"/>
  <c r="BV318" i="9"/>
  <c r="CK319" i="9"/>
  <c r="CL319" i="9"/>
  <c r="CO319" i="9" s="1"/>
  <c r="BC318" i="9"/>
  <c r="DH318" i="9"/>
  <c r="EA318" i="9"/>
  <c r="AJ318" i="9"/>
  <c r="BA319" i="9"/>
  <c r="AY319" i="9"/>
  <c r="AF319" i="9"/>
  <c r="FM318" i="9"/>
  <c r="AB320" i="9"/>
  <c r="AD320" i="9" s="1"/>
  <c r="AI320" i="9" s="1"/>
  <c r="CM319" i="9"/>
  <c r="FE320" i="9"/>
  <c r="FG320" i="9" s="1"/>
  <c r="FL320" i="9" s="1"/>
  <c r="CZ319" i="12"/>
  <c r="DB319" i="12" s="1"/>
  <c r="DG319" i="12" s="1"/>
  <c r="DS319" i="12"/>
  <c r="DU319" i="12" s="1"/>
  <c r="FE319" i="12"/>
  <c r="FG319" i="12" s="1"/>
  <c r="FJ319" i="12" s="1"/>
  <c r="CO317" i="12"/>
  <c r="FF320" i="9"/>
  <c r="DW319" i="12"/>
  <c r="BB319" i="9"/>
  <c r="AH319" i="9"/>
  <c r="DD319" i="12"/>
  <c r="AV320" i="9"/>
  <c r="BR319" i="12"/>
  <c r="EP319" i="12"/>
  <c r="BO320" i="9"/>
  <c r="AF319" i="12"/>
  <c r="CG320" i="9"/>
  <c r="CI320" i="9" s="1"/>
  <c r="CH320" i="9"/>
  <c r="DT320" i="9"/>
  <c r="AU320" i="9"/>
  <c r="AW320" i="9" s="1"/>
  <c r="EL319" i="12"/>
  <c r="EN319" i="12" s="1"/>
  <c r="ER319" i="12" s="1"/>
  <c r="CK319" i="12"/>
  <c r="DA320" i="9"/>
  <c r="BV317" i="12"/>
  <c r="EA317" i="12"/>
  <c r="AJ317" i="12"/>
  <c r="ET317" i="12"/>
  <c r="DH317" i="12"/>
  <c r="CZ320" i="9"/>
  <c r="DB320" i="9" s="1"/>
  <c r="M321" i="9"/>
  <c r="P321" i="9" s="1"/>
  <c r="Q321" i="9" s="1"/>
  <c r="FM317" i="12"/>
  <c r="DA319" i="12"/>
  <c r="M320" i="12"/>
  <c r="P320" i="12" s="1"/>
  <c r="Q320" i="12" s="1"/>
  <c r="DE319" i="12"/>
  <c r="DF319" i="12"/>
  <c r="AZ318" i="12"/>
  <c r="BA318" i="12"/>
  <c r="BB318" i="12"/>
  <c r="AH318" i="12"/>
  <c r="AG318" i="12"/>
  <c r="AI318" i="12"/>
  <c r="AF320" i="9"/>
  <c r="EQ318" i="12"/>
  <c r="ES318" i="12"/>
  <c r="ER318" i="12"/>
  <c r="CN318" i="12"/>
  <c r="CL318" i="12"/>
  <c r="CM318" i="12"/>
  <c r="BS318" i="12"/>
  <c r="BU318" i="12"/>
  <c r="BT318" i="12"/>
  <c r="FL319" i="9"/>
  <c r="FK319" i="9"/>
  <c r="FJ319" i="9"/>
  <c r="FI319" i="9"/>
  <c r="CH319" i="12"/>
  <c r="FF319" i="12"/>
  <c r="DX319" i="12"/>
  <c r="DZ319" i="12"/>
  <c r="DY319" i="12"/>
  <c r="ER319" i="9"/>
  <c r="ES319" i="9"/>
  <c r="EP319" i="9"/>
  <c r="EQ319" i="9"/>
  <c r="BC317" i="12"/>
  <c r="DE319" i="9"/>
  <c r="DF319" i="9"/>
  <c r="DD319" i="9"/>
  <c r="DG319" i="9"/>
  <c r="CG319" i="12"/>
  <c r="CI319" i="12" s="1"/>
  <c r="O322" i="9" a="1"/>
  <c r="O322" i="9" s="1"/>
  <c r="N322" i="9" a="1"/>
  <c r="N322" i="9" s="1"/>
  <c r="H322" i="9" a="1"/>
  <c r="H322" i="9" s="1"/>
  <c r="L322" i="9" a="1"/>
  <c r="L322" i="9" s="1"/>
  <c r="G322" i="9" a="1"/>
  <c r="G322" i="9" s="1"/>
  <c r="K322" i="9" a="1"/>
  <c r="K322" i="9" s="1"/>
  <c r="J322" i="9" a="1"/>
  <c r="J322" i="9" s="1"/>
  <c r="D323" i="9"/>
  <c r="EM320" i="9"/>
  <c r="EL320" i="9"/>
  <c r="EN320" i="9" s="1"/>
  <c r="AY319" i="12"/>
  <c r="BO319" i="12"/>
  <c r="BL321" i="9"/>
  <c r="BM321" i="9" s="1"/>
  <c r="BQ321" i="9" s="1"/>
  <c r="FC321" i="9"/>
  <c r="FD321" i="9" s="1"/>
  <c r="FH321" i="9" s="1"/>
  <c r="AS321" i="9"/>
  <c r="AT321" i="9" s="1"/>
  <c r="AX321" i="9" s="1"/>
  <c r="EJ321" i="9"/>
  <c r="EK321" i="9" s="1"/>
  <c r="EO321" i="9" s="1"/>
  <c r="CE321" i="9"/>
  <c r="CF321" i="9" s="1"/>
  <c r="CJ321" i="9" s="1"/>
  <c r="CX321" i="9"/>
  <c r="CY321" i="9" s="1"/>
  <c r="DC321" i="9" s="1"/>
  <c r="Z321" i="9"/>
  <c r="AA321" i="9" s="1"/>
  <c r="AE321" i="9" s="1"/>
  <c r="DQ321" i="9"/>
  <c r="DR321" i="9" s="1"/>
  <c r="DV321" i="9" s="1"/>
  <c r="I322" i="9"/>
  <c r="DY319" i="9"/>
  <c r="DX319" i="9"/>
  <c r="DW319" i="9"/>
  <c r="DZ319" i="9"/>
  <c r="DE318" i="12"/>
  <c r="DG318" i="12"/>
  <c r="DF318" i="12"/>
  <c r="DX318" i="12"/>
  <c r="DZ318" i="12"/>
  <c r="DY318" i="12"/>
  <c r="FJ318" i="12"/>
  <c r="FL318" i="12"/>
  <c r="FK318" i="12"/>
  <c r="AU319" i="12"/>
  <c r="AW319" i="12" s="1"/>
  <c r="DT319" i="12"/>
  <c r="BN319" i="12"/>
  <c r="BP319" i="12" s="1"/>
  <c r="K321" i="12" a="1"/>
  <c r="K321" i="12" s="1"/>
  <c r="L321" i="12" a="1"/>
  <c r="L321" i="12" s="1"/>
  <c r="J321" i="12" a="1"/>
  <c r="J321" i="12" s="1"/>
  <c r="G321" i="12" a="1"/>
  <c r="G321" i="12" s="1"/>
  <c r="O321" i="12" a="1"/>
  <c r="O321" i="12" s="1"/>
  <c r="N321" i="12" a="1"/>
  <c r="N321" i="12" s="1"/>
  <c r="H321" i="12" a="1"/>
  <c r="H321" i="12" s="1"/>
  <c r="D322" i="12"/>
  <c r="DF320" i="9"/>
  <c r="DD320" i="9"/>
  <c r="DE320" i="9"/>
  <c r="DG320" i="9"/>
  <c r="AV319" i="12"/>
  <c r="FI319" i="12"/>
  <c r="AC319" i="12"/>
  <c r="BA320" i="9"/>
  <c r="BB320" i="9"/>
  <c r="AZ320" i="9"/>
  <c r="AY320" i="9"/>
  <c r="BR319" i="9"/>
  <c r="BS319" i="9"/>
  <c r="BT319" i="9"/>
  <c r="BU319" i="9"/>
  <c r="DS320" i="9"/>
  <c r="DU320" i="9" s="1"/>
  <c r="BN320" i="9"/>
  <c r="BP320" i="9" s="1"/>
  <c r="EM319" i="12"/>
  <c r="AB319" i="12"/>
  <c r="AD319" i="12" s="1"/>
  <c r="FK319" i="12" l="1"/>
  <c r="FL319" i="12"/>
  <c r="BC319" i="9"/>
  <c r="AG320" i="9"/>
  <c r="AH320" i="9"/>
  <c r="AJ318" i="12"/>
  <c r="ET319" i="9"/>
  <c r="FJ320" i="9"/>
  <c r="BC320" i="9"/>
  <c r="EA319" i="9"/>
  <c r="FK320" i="9"/>
  <c r="FI320" i="9"/>
  <c r="DH319" i="9"/>
  <c r="DH320" i="9" s="1"/>
  <c r="AJ319" i="9"/>
  <c r="AJ320" i="9" s="1"/>
  <c r="BV319" i="9"/>
  <c r="FM319" i="12"/>
  <c r="FM319" i="9"/>
  <c r="ES319" i="12"/>
  <c r="FE321" i="9"/>
  <c r="FG321" i="9" s="1"/>
  <c r="CZ321" i="9"/>
  <c r="DB321" i="9" s="1"/>
  <c r="DE321" i="9" s="1"/>
  <c r="AU321" i="9"/>
  <c r="AW321" i="9" s="1"/>
  <c r="AB321" i="9"/>
  <c r="AD321" i="9" s="1"/>
  <c r="AC321" i="9"/>
  <c r="FF321" i="9"/>
  <c r="DA321" i="9"/>
  <c r="AV321" i="9"/>
  <c r="EL321" i="9"/>
  <c r="EN321" i="9" s="1"/>
  <c r="EQ319" i="12"/>
  <c r="CH321" i="9"/>
  <c r="CM320" i="9"/>
  <c r="CG321" i="9"/>
  <c r="CI321" i="9" s="1"/>
  <c r="CL321" i="9" s="1"/>
  <c r="CN320" i="9"/>
  <c r="CL320" i="9"/>
  <c r="M322" i="9"/>
  <c r="P322" i="9" s="1"/>
  <c r="Q322" i="9" s="1"/>
  <c r="CK320" i="9"/>
  <c r="CO320" i="9" s="1"/>
  <c r="EM321" i="9"/>
  <c r="BV318" i="12"/>
  <c r="BC318" i="12"/>
  <c r="AF320" i="12"/>
  <c r="DA320" i="12"/>
  <c r="EM320" i="12"/>
  <c r="EL320" i="12"/>
  <c r="EN320" i="12" s="1"/>
  <c r="ES320" i="12" s="1"/>
  <c r="FE320" i="12"/>
  <c r="FG320" i="12" s="1"/>
  <c r="FL320" i="12" s="1"/>
  <c r="BR320" i="12"/>
  <c r="EP320" i="12"/>
  <c r="DT320" i="12"/>
  <c r="FF320" i="12"/>
  <c r="CZ320" i="12"/>
  <c r="DB320" i="12" s="1"/>
  <c r="DE320" i="12" s="1"/>
  <c r="DD320" i="12"/>
  <c r="DW320" i="12"/>
  <c r="CK320" i="12"/>
  <c r="DS320" i="12"/>
  <c r="DU320" i="12" s="1"/>
  <c r="DZ320" i="12" s="1"/>
  <c r="AV320" i="12"/>
  <c r="FM318" i="12"/>
  <c r="EA318" i="12"/>
  <c r="AY320" i="12"/>
  <c r="AB320" i="12"/>
  <c r="AD320" i="12" s="1"/>
  <c r="AG320" i="12" s="1"/>
  <c r="BN320" i="12"/>
  <c r="BP320" i="12" s="1"/>
  <c r="BS320" i="12" s="1"/>
  <c r="ES321" i="9"/>
  <c r="EQ321" i="9"/>
  <c r="ER321" i="9"/>
  <c r="EP321" i="9"/>
  <c r="CN319" i="12"/>
  <c r="CM319" i="12"/>
  <c r="CL319" i="12"/>
  <c r="AC320" i="12"/>
  <c r="M321" i="12"/>
  <c r="P321" i="12" s="1"/>
  <c r="Q321" i="12" s="1"/>
  <c r="EJ322" i="9"/>
  <c r="EK322" i="9" s="1"/>
  <c r="EO322" i="9" s="1"/>
  <c r="BL322" i="9"/>
  <c r="BM322" i="9" s="1"/>
  <c r="BQ322" i="9" s="1"/>
  <c r="CE322" i="9"/>
  <c r="CF322" i="9" s="1"/>
  <c r="CJ322" i="9" s="1"/>
  <c r="DQ322" i="9"/>
  <c r="DR322" i="9" s="1"/>
  <c r="DV322" i="9" s="1"/>
  <c r="Z322" i="9"/>
  <c r="AA322" i="9" s="1"/>
  <c r="AE322" i="9" s="1"/>
  <c r="FC322" i="9"/>
  <c r="FD322" i="9" s="1"/>
  <c r="FH322" i="9" s="1"/>
  <c r="CX322" i="9"/>
  <c r="CY322" i="9" s="1"/>
  <c r="DC322" i="9" s="1"/>
  <c r="AS322" i="9"/>
  <c r="AT322" i="9" s="1"/>
  <c r="AX322" i="9" s="1"/>
  <c r="I323" i="9"/>
  <c r="CO318" i="12"/>
  <c r="AU320" i="12"/>
  <c r="AW320" i="12" s="1"/>
  <c r="CH320" i="12"/>
  <c r="DH319" i="12"/>
  <c r="BO320" i="12"/>
  <c r="FI321" i="9"/>
  <c r="FK321" i="9"/>
  <c r="FJ321" i="9"/>
  <c r="FL321" i="9"/>
  <c r="CK321" i="9"/>
  <c r="EA319" i="12"/>
  <c r="ET318" i="12"/>
  <c r="BU320" i="9"/>
  <c r="BT320" i="9"/>
  <c r="BS320" i="9"/>
  <c r="BR320" i="9"/>
  <c r="BN321" i="9"/>
  <c r="BP321" i="9" s="1"/>
  <c r="BS319" i="12"/>
  <c r="BU319" i="12"/>
  <c r="BT319" i="12"/>
  <c r="AZ321" i="9"/>
  <c r="BA321" i="9"/>
  <c r="BB321" i="9"/>
  <c r="AY321" i="9"/>
  <c r="DY320" i="9"/>
  <c r="DX320" i="9"/>
  <c r="DW320" i="9"/>
  <c r="DZ320" i="9"/>
  <c r="J322" i="12" a="1"/>
  <c r="J322" i="12" s="1"/>
  <c r="O322" i="12" a="1"/>
  <c r="O322" i="12" s="1"/>
  <c r="K322" i="12" a="1"/>
  <c r="K322" i="12" s="1"/>
  <c r="N322" i="12" a="1"/>
  <c r="N322" i="12" s="1"/>
  <c r="G322" i="12" a="1"/>
  <c r="G322" i="12" s="1"/>
  <c r="H322" i="12" a="1"/>
  <c r="H322" i="12" s="1"/>
  <c r="L322" i="12" a="1"/>
  <c r="L322" i="12" s="1"/>
  <c r="D323" i="12"/>
  <c r="DT321" i="9"/>
  <c r="DH318" i="12"/>
  <c r="EQ320" i="9"/>
  <c r="EP320" i="9"/>
  <c r="ES320" i="9"/>
  <c r="ER320" i="9"/>
  <c r="CG320" i="12"/>
  <c r="CI320" i="12" s="1"/>
  <c r="FI320" i="12"/>
  <c r="K323" i="9" a="1"/>
  <c r="K323" i="9" s="1"/>
  <c r="N323" i="9" a="1"/>
  <c r="N323" i="9" s="1"/>
  <c r="G323" i="9" a="1"/>
  <c r="G323" i="9" s="1"/>
  <c r="O323" i="9" a="1"/>
  <c r="O323" i="9" s="1"/>
  <c r="J323" i="9" a="1"/>
  <c r="J323" i="9" s="1"/>
  <c r="H323" i="9" a="1"/>
  <c r="H323" i="9" s="1"/>
  <c r="L323" i="9" a="1"/>
  <c r="L323" i="9" s="1"/>
  <c r="D324" i="9"/>
  <c r="AI319" i="12"/>
  <c r="AH319" i="12"/>
  <c r="AG319" i="12"/>
  <c r="AG321" i="9"/>
  <c r="AH321" i="9"/>
  <c r="AI321" i="9"/>
  <c r="AF321" i="9"/>
  <c r="DS321" i="9"/>
  <c r="DU321" i="9" s="1"/>
  <c r="BO321" i="9"/>
  <c r="AZ319" i="12"/>
  <c r="BB319" i="12"/>
  <c r="BA319" i="12"/>
  <c r="CM321" i="9" l="1"/>
  <c r="CN321" i="9"/>
  <c r="CO319" i="12"/>
  <c r="ER320" i="12"/>
  <c r="ET319" i="12"/>
  <c r="EA320" i="9"/>
  <c r="DF321" i="9"/>
  <c r="AJ321" i="9"/>
  <c r="CO321" i="9"/>
  <c r="ET320" i="9"/>
  <c r="ET321" i="9" s="1"/>
  <c r="BC321" i="9"/>
  <c r="BV320" i="9"/>
  <c r="FM320" i="9"/>
  <c r="FM321" i="9" s="1"/>
  <c r="EQ320" i="12"/>
  <c r="ET320" i="12" s="1"/>
  <c r="DD321" i="9"/>
  <c r="DG321" i="9"/>
  <c r="FJ320" i="12"/>
  <c r="DF320" i="12"/>
  <c r="DG320" i="12"/>
  <c r="DX320" i="12"/>
  <c r="DY320" i="12"/>
  <c r="FK320" i="12"/>
  <c r="BT320" i="12"/>
  <c r="M322" i="12"/>
  <c r="P322" i="12" s="1"/>
  <c r="Q322" i="12" s="1"/>
  <c r="BU320" i="12"/>
  <c r="M323" i="9"/>
  <c r="P323" i="9" s="1"/>
  <c r="Q323" i="9" s="1"/>
  <c r="AH320" i="12"/>
  <c r="AI320" i="12"/>
  <c r="AJ319" i="12"/>
  <c r="AZ320" i="12"/>
  <c r="BA320" i="12"/>
  <c r="BB320" i="12"/>
  <c r="BC319" i="12"/>
  <c r="BV319" i="12"/>
  <c r="BL323" i="9"/>
  <c r="BM323" i="9" s="1"/>
  <c r="BQ323" i="9" s="1"/>
  <c r="FC323" i="9"/>
  <c r="FD323" i="9" s="1"/>
  <c r="FH323" i="9" s="1"/>
  <c r="EJ323" i="9"/>
  <c r="EK323" i="9" s="1"/>
  <c r="EO323" i="9" s="1"/>
  <c r="Z323" i="9"/>
  <c r="AA323" i="9" s="1"/>
  <c r="AE323" i="9" s="1"/>
  <c r="CX323" i="9"/>
  <c r="CY323" i="9" s="1"/>
  <c r="DC323" i="9" s="1"/>
  <c r="CE323" i="9"/>
  <c r="CF323" i="9" s="1"/>
  <c r="CJ323" i="9" s="1"/>
  <c r="AS323" i="9"/>
  <c r="AT323" i="9" s="1"/>
  <c r="AX323" i="9" s="1"/>
  <c r="DQ323" i="9"/>
  <c r="DR323" i="9" s="1"/>
  <c r="DV323" i="9" s="1"/>
  <c r="I324" i="9"/>
  <c r="K324" i="9" a="1"/>
  <c r="K324" i="9" s="1"/>
  <c r="G324" i="9" a="1"/>
  <c r="G324" i="9" s="1"/>
  <c r="N324" i="9" a="1"/>
  <c r="N324" i="9" s="1"/>
  <c r="O324" i="9" a="1"/>
  <c r="O324" i="9" s="1"/>
  <c r="H324" i="9" a="1"/>
  <c r="H324" i="9" s="1"/>
  <c r="J324" i="9" a="1"/>
  <c r="J324" i="9" s="1"/>
  <c r="L324" i="9" a="1"/>
  <c r="L324" i="9" s="1"/>
  <c r="D325" i="9"/>
  <c r="BS321" i="9"/>
  <c r="BR321" i="9"/>
  <c r="BU321" i="9"/>
  <c r="BT321" i="9"/>
  <c r="FF321" i="12"/>
  <c r="FE321" i="12"/>
  <c r="FG321" i="12" s="1"/>
  <c r="EP321" i="12"/>
  <c r="DD321" i="12"/>
  <c r="CK321" i="12"/>
  <c r="AB321" i="12"/>
  <c r="AD321" i="12" s="1"/>
  <c r="AC321" i="12"/>
  <c r="BN321" i="12"/>
  <c r="BP321" i="12" s="1"/>
  <c r="BO321" i="12"/>
  <c r="AY321" i="12"/>
  <c r="EL321" i="12"/>
  <c r="EN321" i="12" s="1"/>
  <c r="AF321" i="12"/>
  <c r="CG321" i="12"/>
  <c r="CI321" i="12" s="1"/>
  <c r="EM321" i="12"/>
  <c r="FI321" i="12"/>
  <c r="CH321" i="12"/>
  <c r="DW321" i="12"/>
  <c r="DT321" i="12"/>
  <c r="DA321" i="12"/>
  <c r="BR321" i="12"/>
  <c r="DS321" i="12"/>
  <c r="DU321" i="12" s="1"/>
  <c r="CZ321" i="12"/>
  <c r="DB321" i="12" s="1"/>
  <c r="AV321" i="12"/>
  <c r="AU321" i="12"/>
  <c r="AW321" i="12" s="1"/>
  <c r="CL320" i="12"/>
  <c r="CM320" i="12"/>
  <c r="CN320" i="12"/>
  <c r="L323" i="12" a="1"/>
  <c r="L323" i="12" s="1"/>
  <c r="N323" i="12" a="1"/>
  <c r="N323" i="12" s="1"/>
  <c r="J323" i="12" a="1"/>
  <c r="J323" i="12" s="1"/>
  <c r="G323" i="12" a="1"/>
  <c r="G323" i="12" s="1"/>
  <c r="O323" i="12" a="1"/>
  <c r="O323" i="12" s="1"/>
  <c r="H323" i="12" a="1"/>
  <c r="H323" i="12" s="1"/>
  <c r="D324" i="12"/>
  <c r="K323" i="12" a="1"/>
  <c r="K323" i="12" s="1"/>
  <c r="DY321" i="9"/>
  <c r="DZ321" i="9"/>
  <c r="DW321" i="9"/>
  <c r="DX321" i="9"/>
  <c r="CG322" i="9"/>
  <c r="CI322" i="9" s="1"/>
  <c r="FF322" i="9"/>
  <c r="AV322" i="9"/>
  <c r="FE322" i="9"/>
  <c r="FG322" i="9" s="1"/>
  <c r="FE323" i="9" s="1"/>
  <c r="FG323" i="9" s="1"/>
  <c r="AU322" i="9"/>
  <c r="AW322" i="9" s="1"/>
  <c r="CH322" i="9"/>
  <c r="BN322" i="9"/>
  <c r="BP322" i="9" s="1"/>
  <c r="BO322" i="9"/>
  <c r="DA322" i="9"/>
  <c r="CZ322" i="9"/>
  <c r="DB322" i="9" s="1"/>
  <c r="AC322" i="9"/>
  <c r="EL322" i="9"/>
  <c r="EN322" i="9" s="1"/>
  <c r="EL323" i="9" s="1"/>
  <c r="EN323" i="9" s="1"/>
  <c r="EM322" i="9"/>
  <c r="AB322" i="9"/>
  <c r="AD322" i="9" s="1"/>
  <c r="DS322" i="9"/>
  <c r="DU322" i="9" s="1"/>
  <c r="DT323" i="9" s="1"/>
  <c r="DT322" i="9"/>
  <c r="DA323" i="9" l="1"/>
  <c r="EA320" i="12"/>
  <c r="BO323" i="9"/>
  <c r="AB323" i="9"/>
  <c r="AD323" i="9" s="1"/>
  <c r="AF323" i="9" s="1"/>
  <c r="AU323" i="9"/>
  <c r="AW323" i="9" s="1"/>
  <c r="AZ323" i="9" s="1"/>
  <c r="FM320" i="12"/>
  <c r="BV321" i="9"/>
  <c r="EA321" i="9"/>
  <c r="DH321" i="9"/>
  <c r="AJ320" i="12"/>
  <c r="DH320" i="12"/>
  <c r="BV320" i="12"/>
  <c r="CO320" i="12"/>
  <c r="BC320" i="12"/>
  <c r="FL323" i="9"/>
  <c r="FK323" i="9"/>
  <c r="FJ323" i="9"/>
  <c r="FI323" i="9"/>
  <c r="ER323" i="9"/>
  <c r="EP323" i="9"/>
  <c r="ES323" i="9"/>
  <c r="EQ323" i="9"/>
  <c r="EP322" i="12"/>
  <c r="FE322" i="12"/>
  <c r="FG322" i="12" s="1"/>
  <c r="FF322" i="12"/>
  <c r="CK322" i="12"/>
  <c r="DD322" i="12"/>
  <c r="AB322" i="12"/>
  <c r="AD322" i="12" s="1"/>
  <c r="AC322" i="12"/>
  <c r="BO322" i="12"/>
  <c r="BN322" i="12"/>
  <c r="BP322" i="12" s="1"/>
  <c r="DW322" i="12"/>
  <c r="CH322" i="12"/>
  <c r="AY322" i="12"/>
  <c r="EM322" i="12"/>
  <c r="CG322" i="12"/>
  <c r="CI322" i="12" s="1"/>
  <c r="DA322" i="12"/>
  <c r="AF322" i="12"/>
  <c r="FI322" i="12"/>
  <c r="CZ322" i="12"/>
  <c r="DB322" i="12" s="1"/>
  <c r="DS322" i="12"/>
  <c r="DU322" i="12" s="1"/>
  <c r="EL322" i="12"/>
  <c r="EN322" i="12" s="1"/>
  <c r="DT322" i="12"/>
  <c r="BR322" i="12"/>
  <c r="AV322" i="12"/>
  <c r="AU322" i="12"/>
  <c r="AW322" i="12" s="1"/>
  <c r="AV323" i="9"/>
  <c r="EQ322" i="9"/>
  <c r="EP322" i="9"/>
  <c r="ER322" i="9"/>
  <c r="ES322" i="9"/>
  <c r="DG322" i="9"/>
  <c r="DD322" i="9"/>
  <c r="DF322" i="9"/>
  <c r="DE322" i="9"/>
  <c r="L324" i="12" a="1"/>
  <c r="L324" i="12" s="1"/>
  <c r="O324" i="12" a="1"/>
  <c r="O324" i="12" s="1"/>
  <c r="G324" i="12" a="1"/>
  <c r="G324" i="12" s="1"/>
  <c r="K324" i="12" a="1"/>
  <c r="K324" i="12" s="1"/>
  <c r="N324" i="12" a="1"/>
  <c r="N324" i="12" s="1"/>
  <c r="H324" i="12" a="1"/>
  <c r="H324" i="12" s="1"/>
  <c r="J324" i="12" a="1"/>
  <c r="J324" i="12" s="1"/>
  <c r="D325" i="12"/>
  <c r="EQ321" i="12"/>
  <c r="ES321" i="12"/>
  <c r="ER321" i="12"/>
  <c r="N325" i="9" a="1"/>
  <c r="N325" i="9" s="1"/>
  <c r="O325" i="9" a="1"/>
  <c r="O325" i="9" s="1"/>
  <c r="G325" i="9" a="1"/>
  <c r="G325" i="9" s="1"/>
  <c r="H325" i="9" a="1"/>
  <c r="H325" i="9" s="1"/>
  <c r="L325" i="9" a="1"/>
  <c r="L325" i="9" s="1"/>
  <c r="J325" i="9" a="1"/>
  <c r="J325" i="9" s="1"/>
  <c r="D326" i="9"/>
  <c r="K325" i="9" a="1"/>
  <c r="K325" i="9" s="1"/>
  <c r="BL324" i="9"/>
  <c r="BM324" i="9" s="1"/>
  <c r="BQ324" i="9" s="1"/>
  <c r="AS324" i="9"/>
  <c r="AT324" i="9" s="1"/>
  <c r="AX324" i="9" s="1"/>
  <c r="Z324" i="9"/>
  <c r="AA324" i="9" s="1"/>
  <c r="AE324" i="9" s="1"/>
  <c r="FC324" i="9"/>
  <c r="FD324" i="9" s="1"/>
  <c r="FH324" i="9" s="1"/>
  <c r="EJ324" i="9"/>
  <c r="EK324" i="9" s="1"/>
  <c r="EO324" i="9" s="1"/>
  <c r="CX324" i="9"/>
  <c r="CY324" i="9" s="1"/>
  <c r="DC324" i="9" s="1"/>
  <c r="CE324" i="9"/>
  <c r="CF324" i="9" s="1"/>
  <c r="CJ324" i="9" s="1"/>
  <c r="DQ324" i="9"/>
  <c r="DR324" i="9" s="1"/>
  <c r="DV324" i="9" s="1"/>
  <c r="I325" i="9"/>
  <c r="AC323" i="9"/>
  <c r="BN323" i="9"/>
  <c r="BP323" i="9" s="1"/>
  <c r="CM321" i="12"/>
  <c r="CL321" i="12"/>
  <c r="CN321" i="12"/>
  <c r="FJ321" i="12"/>
  <c r="FL321" i="12"/>
  <c r="FK321" i="12"/>
  <c r="CZ323" i="9"/>
  <c r="DB323" i="9" s="1"/>
  <c r="M324" i="9"/>
  <c r="P324" i="9" s="1"/>
  <c r="Q324" i="9" s="1"/>
  <c r="CK322" i="9"/>
  <c r="CO322" i="9" s="1"/>
  <c r="CL322" i="9"/>
  <c r="CN322" i="9"/>
  <c r="CM322" i="9"/>
  <c r="BU322" i="9"/>
  <c r="BT322" i="9"/>
  <c r="BR322" i="9"/>
  <c r="BV322" i="9" s="1"/>
  <c r="BS322" i="9"/>
  <c r="BB321" i="12"/>
  <c r="AZ321" i="12"/>
  <c r="BA321" i="12"/>
  <c r="BS321" i="12"/>
  <c r="BT321" i="12"/>
  <c r="BU321" i="12"/>
  <c r="CH323" i="9"/>
  <c r="FI322" i="9"/>
  <c r="FJ322" i="9"/>
  <c r="FL322" i="9"/>
  <c r="FK322" i="9"/>
  <c r="DY322" i="9"/>
  <c r="DX322" i="9"/>
  <c r="DZ322" i="9"/>
  <c r="DW322" i="9"/>
  <c r="AH322" i="9"/>
  <c r="AI322" i="9"/>
  <c r="AG322" i="9"/>
  <c r="AF322" i="9"/>
  <c r="M323" i="12"/>
  <c r="P323" i="12" s="1"/>
  <c r="Q323" i="12" s="1"/>
  <c r="DS323" i="9"/>
  <c r="DU323" i="9" s="1"/>
  <c r="FF323" i="9"/>
  <c r="DX321" i="12"/>
  <c r="DZ321" i="12"/>
  <c r="DY321" i="12"/>
  <c r="BB322" i="9"/>
  <c r="BA322" i="9"/>
  <c r="AY322" i="9"/>
  <c r="AZ322" i="9"/>
  <c r="DE321" i="12"/>
  <c r="DG321" i="12"/>
  <c r="DF321" i="12"/>
  <c r="AG321" i="12"/>
  <c r="AH321" i="12"/>
  <c r="AI321" i="12"/>
  <c r="EM323" i="9"/>
  <c r="CG323" i="9"/>
  <c r="CI323" i="9" s="1"/>
  <c r="AH323" i="9" l="1"/>
  <c r="AI323" i="9"/>
  <c r="BB323" i="9"/>
  <c r="BA323" i="9"/>
  <c r="EA322" i="9"/>
  <c r="AY323" i="9"/>
  <c r="AG323" i="9"/>
  <c r="DH322" i="9"/>
  <c r="FM322" i="9"/>
  <c r="FM323" i="9" s="1"/>
  <c r="BC322" i="9"/>
  <c r="BC323" i="9" s="1"/>
  <c r="ET322" i="9"/>
  <c r="ET323" i="9" s="1"/>
  <c r="AJ322" i="9"/>
  <c r="AJ323" i="9" s="1"/>
  <c r="M325" i="9"/>
  <c r="P325" i="9" s="1"/>
  <c r="Q325" i="9" s="1"/>
  <c r="BV321" i="12"/>
  <c r="AC324" i="9"/>
  <c r="FF324" i="9"/>
  <c r="DA324" i="9"/>
  <c r="AV324" i="9"/>
  <c r="AB324" i="9"/>
  <c r="AD324" i="9" s="1"/>
  <c r="FE324" i="9"/>
  <c r="FG324" i="9" s="1"/>
  <c r="FI324" i="9" s="1"/>
  <c r="AU324" i="9"/>
  <c r="AW324" i="9" s="1"/>
  <c r="BA324" i="9" s="1"/>
  <c r="EL324" i="9"/>
  <c r="EN324" i="9" s="1"/>
  <c r="ES324" i="9" s="1"/>
  <c r="EM324" i="9"/>
  <c r="BC321" i="12"/>
  <c r="BO324" i="9"/>
  <c r="CZ324" i="9"/>
  <c r="DB324" i="9" s="1"/>
  <c r="DD324" i="9" s="1"/>
  <c r="CH324" i="9"/>
  <c r="DS324" i="9"/>
  <c r="DU324" i="9" s="1"/>
  <c r="DZ324" i="9" s="1"/>
  <c r="FM321" i="12"/>
  <c r="BN324" i="9"/>
  <c r="BP324" i="9" s="1"/>
  <c r="BT324" i="9" s="1"/>
  <c r="AJ321" i="12"/>
  <c r="EA321" i="12"/>
  <c r="DH321" i="12"/>
  <c r="CG324" i="9"/>
  <c r="CI324" i="9" s="1"/>
  <c r="CK324" i="9" s="1"/>
  <c r="FF323" i="12"/>
  <c r="FE323" i="12"/>
  <c r="FG323" i="12" s="1"/>
  <c r="EP323" i="12"/>
  <c r="DD323" i="12"/>
  <c r="CK323" i="12"/>
  <c r="AB323" i="12"/>
  <c r="AD323" i="12" s="1"/>
  <c r="BO323" i="12"/>
  <c r="BN323" i="12"/>
  <c r="BP323" i="12" s="1"/>
  <c r="AC323" i="12"/>
  <c r="CH323" i="12"/>
  <c r="EM323" i="12"/>
  <c r="CG323" i="12"/>
  <c r="CI323" i="12" s="1"/>
  <c r="DT323" i="12"/>
  <c r="AF323" i="12"/>
  <c r="BR323" i="12"/>
  <c r="AY323" i="12"/>
  <c r="CZ323" i="12"/>
  <c r="DB323" i="12" s="1"/>
  <c r="FI323" i="12"/>
  <c r="DA323" i="12"/>
  <c r="DW323" i="12"/>
  <c r="DS323" i="12"/>
  <c r="DU323" i="12" s="1"/>
  <c r="EL323" i="12"/>
  <c r="EN323" i="12" s="1"/>
  <c r="AV323" i="12"/>
  <c r="AU323" i="12"/>
  <c r="AW323" i="12" s="1"/>
  <c r="DT324" i="9"/>
  <c r="FC325" i="9"/>
  <c r="FD325" i="9" s="1"/>
  <c r="FH325" i="9" s="1"/>
  <c r="DQ325" i="9"/>
  <c r="DR325" i="9" s="1"/>
  <c r="DV325" i="9" s="1"/>
  <c r="CX325" i="9"/>
  <c r="CY325" i="9" s="1"/>
  <c r="DC325" i="9" s="1"/>
  <c r="EJ325" i="9"/>
  <c r="EK325" i="9" s="1"/>
  <c r="EO325" i="9" s="1"/>
  <c r="AS325" i="9"/>
  <c r="AT325" i="9" s="1"/>
  <c r="AX325" i="9" s="1"/>
  <c r="CE325" i="9"/>
  <c r="CF325" i="9" s="1"/>
  <c r="CJ325" i="9" s="1"/>
  <c r="Z325" i="9"/>
  <c r="AA325" i="9" s="1"/>
  <c r="AE325" i="9" s="1"/>
  <c r="BL325" i="9"/>
  <c r="BM325" i="9" s="1"/>
  <c r="BQ325" i="9" s="1"/>
  <c r="I326" i="9"/>
  <c r="AY324" i="9"/>
  <c r="ET321" i="12"/>
  <c r="EQ322" i="12"/>
  <c r="ES322" i="12"/>
  <c r="ER322" i="12"/>
  <c r="CN324" i="9"/>
  <c r="CM324" i="9"/>
  <c r="H326" i="9" a="1"/>
  <c r="H326" i="9" s="1"/>
  <c r="O326" i="9" a="1"/>
  <c r="O326" i="9" s="1"/>
  <c r="N326" i="9" a="1"/>
  <c r="N326" i="9" s="1"/>
  <c r="G326" i="9" a="1"/>
  <c r="G326" i="9" s="1"/>
  <c r="L326" i="9" a="1"/>
  <c r="L326" i="9" s="1"/>
  <c r="K326" i="9" a="1"/>
  <c r="K326" i="9" s="1"/>
  <c r="J326" i="9" a="1"/>
  <c r="J326" i="9" s="1"/>
  <c r="D327" i="9"/>
  <c r="DX322" i="12"/>
  <c r="DZ322" i="12"/>
  <c r="DY322" i="12"/>
  <c r="DY323" i="9"/>
  <c r="DX323" i="9"/>
  <c r="DZ323" i="9"/>
  <c r="DW323" i="9"/>
  <c r="AG322" i="12"/>
  <c r="AI322" i="12"/>
  <c r="AH322" i="12"/>
  <c r="DE322" i="12"/>
  <c r="DG322" i="12"/>
  <c r="DF322" i="12"/>
  <c r="FJ322" i="12"/>
  <c r="FL322" i="12"/>
  <c r="FK322" i="12"/>
  <c r="CN322" i="12"/>
  <c r="CL322" i="12"/>
  <c r="CM322" i="12"/>
  <c r="CO321" i="12"/>
  <c r="K325" i="12" a="1"/>
  <c r="K325" i="12" s="1"/>
  <c r="J325" i="12" a="1"/>
  <c r="J325" i="12" s="1"/>
  <c r="G325" i="12" a="1"/>
  <c r="G325" i="12" s="1"/>
  <c r="L325" i="12" a="1"/>
  <c r="L325" i="12" s="1"/>
  <c r="N325" i="12" a="1"/>
  <c r="N325" i="12" s="1"/>
  <c r="H325" i="12" a="1"/>
  <c r="H325" i="12" s="1"/>
  <c r="O325" i="12" a="1"/>
  <c r="O325" i="12" s="1"/>
  <c r="D326" i="12"/>
  <c r="BS322" i="12"/>
  <c r="BU322" i="12"/>
  <c r="BT322" i="12"/>
  <c r="AG324" i="9"/>
  <c r="AF324" i="9"/>
  <c r="AI324" i="9"/>
  <c r="AH324" i="9"/>
  <c r="M324" i="12"/>
  <c r="P324" i="12" s="1"/>
  <c r="Q324" i="12" s="1"/>
  <c r="AZ322" i="12"/>
  <c r="BB322" i="12"/>
  <c r="BA322" i="12"/>
  <c r="DG324" i="9"/>
  <c r="DE324" i="9"/>
  <c r="CK323" i="9"/>
  <c r="CO323" i="9" s="1"/>
  <c r="CL323" i="9"/>
  <c r="CM323" i="9"/>
  <c r="CN323" i="9"/>
  <c r="DD323" i="9"/>
  <c r="DG323" i="9"/>
  <c r="DF323" i="9"/>
  <c r="DE323" i="9"/>
  <c r="BT323" i="9"/>
  <c r="BS323" i="9"/>
  <c r="BU323" i="9"/>
  <c r="BR323" i="9"/>
  <c r="BU324" i="9" l="1"/>
  <c r="ER324" i="9"/>
  <c r="BS324" i="9"/>
  <c r="BR324" i="9"/>
  <c r="DH323" i="9"/>
  <c r="BV323" i="9"/>
  <c r="BV324" i="9" s="1"/>
  <c r="AJ324" i="9"/>
  <c r="EA323" i="9"/>
  <c r="CO324" i="9"/>
  <c r="ET322" i="12"/>
  <c r="DF324" i="9"/>
  <c r="CL324" i="9"/>
  <c r="BB324" i="9"/>
  <c r="AZ324" i="9"/>
  <c r="DY324" i="9"/>
  <c r="FK324" i="9"/>
  <c r="FL324" i="9"/>
  <c r="FJ324" i="9"/>
  <c r="FM324" i="9" s="1"/>
  <c r="CO322" i="12"/>
  <c r="DW324" i="9"/>
  <c r="DX324" i="9"/>
  <c r="DD324" i="12"/>
  <c r="CH324" i="12"/>
  <c r="DT324" i="12"/>
  <c r="CK324" i="12"/>
  <c r="DS324" i="12"/>
  <c r="DU324" i="12" s="1"/>
  <c r="DX324" i="12" s="1"/>
  <c r="AC324" i="12"/>
  <c r="BR324" i="12"/>
  <c r="AB324" i="12"/>
  <c r="AD324" i="12" s="1"/>
  <c r="AI324" i="12" s="1"/>
  <c r="CG324" i="12"/>
  <c r="CI324" i="12" s="1"/>
  <c r="CL324" i="12" s="1"/>
  <c r="DW324" i="12"/>
  <c r="EL324" i="12"/>
  <c r="EN324" i="12" s="1"/>
  <c r="EQ324" i="12" s="1"/>
  <c r="CZ324" i="12"/>
  <c r="DB324" i="12" s="1"/>
  <c r="DF324" i="12" s="1"/>
  <c r="DA324" i="12"/>
  <c r="AF324" i="12"/>
  <c r="EP324" i="12"/>
  <c r="AJ322" i="12"/>
  <c r="FI324" i="12"/>
  <c r="FF324" i="12"/>
  <c r="AY324" i="12"/>
  <c r="EQ324" i="9"/>
  <c r="EM324" i="12"/>
  <c r="EP324" i="9"/>
  <c r="ET324" i="9" s="1"/>
  <c r="BC322" i="12"/>
  <c r="FE324" i="12"/>
  <c r="FG324" i="12" s="1"/>
  <c r="FJ324" i="12" s="1"/>
  <c r="BV322" i="12"/>
  <c r="FM322" i="12"/>
  <c r="EA322" i="12"/>
  <c r="BS323" i="12"/>
  <c r="BU323" i="12"/>
  <c r="BT323" i="12"/>
  <c r="AU325" i="9"/>
  <c r="AW325" i="9" s="1"/>
  <c r="CG325" i="9"/>
  <c r="CI325" i="9" s="1"/>
  <c r="CH325" i="9"/>
  <c r="BO325" i="9"/>
  <c r="BN325" i="9"/>
  <c r="BP325" i="9" s="1"/>
  <c r="FF325" i="9"/>
  <c r="AV325" i="9"/>
  <c r="FE325" i="9"/>
  <c r="FG325" i="9" s="1"/>
  <c r="EM325" i="9"/>
  <c r="CZ325" i="9"/>
  <c r="DB325" i="9" s="1"/>
  <c r="DA325" i="9"/>
  <c r="AB325" i="9"/>
  <c r="AD325" i="9" s="1"/>
  <c r="AC325" i="9"/>
  <c r="EL325" i="9"/>
  <c r="EN325" i="9" s="1"/>
  <c r="DS325" i="9"/>
  <c r="DU325" i="9" s="1"/>
  <c r="DT325" i="9"/>
  <c r="BL326" i="9"/>
  <c r="BM326" i="9" s="1"/>
  <c r="BQ326" i="9" s="1"/>
  <c r="CE326" i="9"/>
  <c r="CF326" i="9" s="1"/>
  <c r="CJ326" i="9" s="1"/>
  <c r="FC326" i="9"/>
  <c r="FD326" i="9" s="1"/>
  <c r="FH326" i="9" s="1"/>
  <c r="AS326" i="9"/>
  <c r="AT326" i="9" s="1"/>
  <c r="AX326" i="9" s="1"/>
  <c r="EJ326" i="9"/>
  <c r="EK326" i="9" s="1"/>
  <c r="EO326" i="9" s="1"/>
  <c r="CX326" i="9"/>
  <c r="CY326" i="9" s="1"/>
  <c r="DC326" i="9" s="1"/>
  <c r="DQ326" i="9"/>
  <c r="DR326" i="9" s="1"/>
  <c r="DV326" i="9" s="1"/>
  <c r="Z326" i="9"/>
  <c r="AA326" i="9" s="1"/>
  <c r="AE326" i="9" s="1"/>
  <c r="I327" i="9"/>
  <c r="EQ323" i="12"/>
  <c r="ES323" i="12"/>
  <c r="ER323" i="12"/>
  <c r="AG323" i="12"/>
  <c r="AH323" i="12"/>
  <c r="AI323" i="12"/>
  <c r="BA323" i="12"/>
  <c r="AZ323" i="12"/>
  <c r="BB323" i="12"/>
  <c r="BN324" i="12"/>
  <c r="BP324" i="12" s="1"/>
  <c r="DX323" i="12"/>
  <c r="DZ323" i="12"/>
  <c r="DY323" i="12"/>
  <c r="M325" i="12"/>
  <c r="P325" i="12" s="1"/>
  <c r="Q325" i="12" s="1"/>
  <c r="AU324" i="12"/>
  <c r="AW324" i="12" s="1"/>
  <c r="BO324" i="12"/>
  <c r="H327" i="9" a="1"/>
  <c r="H327" i="9" s="1"/>
  <c r="N327" i="9" a="1"/>
  <c r="N327" i="9" s="1"/>
  <c r="G327" i="9" a="1"/>
  <c r="G327" i="9" s="1"/>
  <c r="O327" i="9" a="1"/>
  <c r="O327" i="9" s="1"/>
  <c r="L327" i="9" a="1"/>
  <c r="L327" i="9" s="1"/>
  <c r="J327" i="9" a="1"/>
  <c r="J327" i="9" s="1"/>
  <c r="K327" i="9" a="1"/>
  <c r="K327" i="9" s="1"/>
  <c r="D328" i="9"/>
  <c r="CN323" i="12"/>
  <c r="CL323" i="12"/>
  <c r="CM323" i="12"/>
  <c r="CN324" i="12"/>
  <c r="CM324" i="12"/>
  <c r="AV324" i="12"/>
  <c r="M326" i="9"/>
  <c r="P326" i="9" s="1"/>
  <c r="Q326" i="9" s="1"/>
  <c r="J326" i="12" a="1"/>
  <c r="J326" i="12" s="1"/>
  <c r="L326" i="12" a="1"/>
  <c r="L326" i="12" s="1"/>
  <c r="O326" i="12" a="1"/>
  <c r="O326" i="12" s="1"/>
  <c r="H326" i="12" a="1"/>
  <c r="H326" i="12" s="1"/>
  <c r="K326" i="12" a="1"/>
  <c r="K326" i="12" s="1"/>
  <c r="G326" i="12" a="1"/>
  <c r="G326" i="12" s="1"/>
  <c r="N326" i="12" a="1"/>
  <c r="N326" i="12" s="1"/>
  <c r="D327" i="12"/>
  <c r="DH322" i="12"/>
  <c r="FJ323" i="12"/>
  <c r="FK323" i="12"/>
  <c r="FL323" i="12"/>
  <c r="DE323" i="12"/>
  <c r="DG323" i="12"/>
  <c r="DF323" i="12"/>
  <c r="DH324" i="9" l="1"/>
  <c r="ER324" i="12"/>
  <c r="ES324" i="12"/>
  <c r="BC324" i="9"/>
  <c r="EA324" i="9"/>
  <c r="DE324" i="12"/>
  <c r="DZ324" i="12"/>
  <c r="DY324" i="12"/>
  <c r="DG324" i="12"/>
  <c r="AG324" i="12"/>
  <c r="AH324" i="12"/>
  <c r="CO323" i="12"/>
  <c r="BV323" i="12"/>
  <c r="DH323" i="12"/>
  <c r="FM323" i="12"/>
  <c r="FK324" i="12"/>
  <c r="FL324" i="12"/>
  <c r="CO324" i="12"/>
  <c r="AJ323" i="12"/>
  <c r="ET323" i="12"/>
  <c r="BC323" i="12"/>
  <c r="M326" i="12"/>
  <c r="P326" i="12" s="1"/>
  <c r="Q326" i="12" s="1"/>
  <c r="M327" i="9"/>
  <c r="P327" i="9" s="1"/>
  <c r="Q327" i="9" s="1"/>
  <c r="FF325" i="12"/>
  <c r="EP325" i="12"/>
  <c r="FE325" i="12"/>
  <c r="FG325" i="12" s="1"/>
  <c r="DD325" i="12"/>
  <c r="CK325" i="12"/>
  <c r="AC325" i="12"/>
  <c r="AB325" i="12"/>
  <c r="AD325" i="12" s="1"/>
  <c r="BO325" i="12"/>
  <c r="BN325" i="12"/>
  <c r="BP325" i="12" s="1"/>
  <c r="DW325" i="12"/>
  <c r="DS325" i="12"/>
  <c r="DU325" i="12" s="1"/>
  <c r="EM325" i="12"/>
  <c r="BR325" i="12"/>
  <c r="CG325" i="12"/>
  <c r="CI325" i="12" s="1"/>
  <c r="DT325" i="12"/>
  <c r="EL325" i="12"/>
  <c r="EN325" i="12" s="1"/>
  <c r="CH325" i="12"/>
  <c r="FI325" i="12"/>
  <c r="AF325" i="12"/>
  <c r="DA325" i="12"/>
  <c r="AY325" i="12"/>
  <c r="CZ325" i="12"/>
  <c r="DB325" i="12" s="1"/>
  <c r="AV325" i="12"/>
  <c r="AU325" i="12"/>
  <c r="AW325" i="12" s="1"/>
  <c r="Z327" i="9"/>
  <c r="AA327" i="9" s="1"/>
  <c r="AE327" i="9" s="1"/>
  <c r="CE327" i="9"/>
  <c r="CF327" i="9" s="1"/>
  <c r="CJ327" i="9" s="1"/>
  <c r="DQ327" i="9"/>
  <c r="DR327" i="9" s="1"/>
  <c r="DV327" i="9" s="1"/>
  <c r="FC327" i="9"/>
  <c r="FD327" i="9" s="1"/>
  <c r="FH327" i="9" s="1"/>
  <c r="AS327" i="9"/>
  <c r="AT327" i="9" s="1"/>
  <c r="AX327" i="9" s="1"/>
  <c r="BL327" i="9"/>
  <c r="BM327" i="9" s="1"/>
  <c r="BQ327" i="9" s="1"/>
  <c r="CX327" i="9"/>
  <c r="CY327" i="9" s="1"/>
  <c r="DC327" i="9" s="1"/>
  <c r="EJ327" i="9"/>
  <c r="EK327" i="9" s="1"/>
  <c r="EO327" i="9" s="1"/>
  <c r="I328" i="9"/>
  <c r="AF325" i="9"/>
  <c r="AH325" i="9"/>
  <c r="AI325" i="9"/>
  <c r="AG325" i="9"/>
  <c r="AZ324" i="12"/>
  <c r="BB324" i="12"/>
  <c r="BA324" i="12"/>
  <c r="ET324" i="12"/>
  <c r="L327" i="12" a="1"/>
  <c r="L327" i="12" s="1"/>
  <c r="N327" i="12" a="1"/>
  <c r="N327" i="12" s="1"/>
  <c r="O327" i="12" a="1"/>
  <c r="O327" i="12" s="1"/>
  <c r="H327" i="12" a="1"/>
  <c r="H327" i="12" s="1"/>
  <c r="K327" i="12" a="1"/>
  <c r="K327" i="12" s="1"/>
  <c r="G327" i="12" a="1"/>
  <c r="G327" i="12" s="1"/>
  <c r="J327" i="12" a="1"/>
  <c r="J327" i="12" s="1"/>
  <c r="D328" i="12"/>
  <c r="EA323" i="12"/>
  <c r="BS325" i="9"/>
  <c r="BT325" i="9"/>
  <c r="BU325" i="9"/>
  <c r="BR325" i="9"/>
  <c r="AV326" i="9"/>
  <c r="BO326" i="9"/>
  <c r="FE326" i="9"/>
  <c r="FG326" i="9" s="1"/>
  <c r="AU326" i="9"/>
  <c r="AW326" i="9" s="1"/>
  <c r="BN326" i="9"/>
  <c r="BP326" i="9" s="1"/>
  <c r="CH326" i="9"/>
  <c r="CG326" i="9"/>
  <c r="CI326" i="9" s="1"/>
  <c r="FF326" i="9"/>
  <c r="AC326" i="9"/>
  <c r="EL326" i="9"/>
  <c r="EN326" i="9" s="1"/>
  <c r="DA326" i="9"/>
  <c r="CZ326" i="9"/>
  <c r="DB326" i="9" s="1"/>
  <c r="AB326" i="9"/>
  <c r="AD326" i="9" s="1"/>
  <c r="EM326" i="9"/>
  <c r="DS326" i="9"/>
  <c r="DU326" i="9" s="1"/>
  <c r="DT326" i="9"/>
  <c r="DG325" i="9"/>
  <c r="DE325" i="9"/>
  <c r="DD325" i="9"/>
  <c r="DH325" i="9" s="1"/>
  <c r="DF325" i="9"/>
  <c r="CL325" i="9"/>
  <c r="CN325" i="9"/>
  <c r="CK325" i="9"/>
  <c r="CM325" i="9"/>
  <c r="BA325" i="9"/>
  <c r="AZ325" i="9"/>
  <c r="AY325" i="9"/>
  <c r="BB325" i="9"/>
  <c r="BS324" i="12"/>
  <c r="BT324" i="12"/>
  <c r="BU324" i="12"/>
  <c r="FL325" i="9"/>
  <c r="FJ325" i="9"/>
  <c r="FK325" i="9"/>
  <c r="FI325" i="9"/>
  <c r="FM325" i="9" s="1"/>
  <c r="DZ325" i="9"/>
  <c r="DY325" i="9"/>
  <c r="DW325" i="9"/>
  <c r="DX325" i="9"/>
  <c r="K328" i="9" a="1"/>
  <c r="K328" i="9" s="1"/>
  <c r="L328" i="9" a="1"/>
  <c r="L328" i="9" s="1"/>
  <c r="N328" i="9" a="1"/>
  <c r="N328" i="9" s="1"/>
  <c r="G328" i="9" a="1"/>
  <c r="G328" i="9" s="1"/>
  <c r="O328" i="9" a="1"/>
  <c r="O328" i="9" s="1"/>
  <c r="H328" i="9" a="1"/>
  <c r="H328" i="9" s="1"/>
  <c r="J328" i="9" a="1"/>
  <c r="J328" i="9" s="1"/>
  <c r="D329" i="9"/>
  <c r="ES325" i="9"/>
  <c r="ER325" i="9"/>
  <c r="EQ325" i="9"/>
  <c r="EP325" i="9"/>
  <c r="DH324" i="12" l="1"/>
  <c r="BC325" i="9"/>
  <c r="EA324" i="12"/>
  <c r="AJ324" i="12"/>
  <c r="ET325" i="9"/>
  <c r="BV325" i="9"/>
  <c r="EA325" i="9"/>
  <c r="CO325" i="9"/>
  <c r="AJ325" i="9"/>
  <c r="BV324" i="12"/>
  <c r="FM324" i="12"/>
  <c r="DD326" i="12"/>
  <c r="AU326" i="12"/>
  <c r="AW326" i="12" s="1"/>
  <c r="CK326" i="12"/>
  <c r="AV326" i="12"/>
  <c r="FI326" i="12"/>
  <c r="AY326" i="12"/>
  <c r="EM326" i="12"/>
  <c r="EL326" i="12"/>
  <c r="EN326" i="12" s="1"/>
  <c r="ES326" i="12" s="1"/>
  <c r="DW326" i="12"/>
  <c r="BR326" i="12"/>
  <c r="EP326" i="12"/>
  <c r="DA326" i="12"/>
  <c r="AC326" i="12"/>
  <c r="AF326" i="12"/>
  <c r="DS326" i="12"/>
  <c r="DU326" i="12" s="1"/>
  <c r="FE326" i="12"/>
  <c r="FG326" i="12" s="1"/>
  <c r="FL326" i="12" s="1"/>
  <c r="BN326" i="12"/>
  <c r="BP326" i="12" s="1"/>
  <c r="BT326" i="12" s="1"/>
  <c r="M328" i="9"/>
  <c r="P328" i="9" s="1"/>
  <c r="Q328" i="9" s="1"/>
  <c r="BO326" i="12"/>
  <c r="FF326" i="12"/>
  <c r="DT326" i="12"/>
  <c r="AB326" i="12"/>
  <c r="AD326" i="12" s="1"/>
  <c r="AI326" i="12" s="1"/>
  <c r="BC324" i="12"/>
  <c r="BS326" i="12"/>
  <c r="BU326" i="12"/>
  <c r="DY326" i="9"/>
  <c r="DZ326" i="9"/>
  <c r="DX326" i="9"/>
  <c r="DW326" i="9"/>
  <c r="EA326" i="9" s="1"/>
  <c r="CM326" i="9"/>
  <c r="CK326" i="9"/>
  <c r="CL326" i="9"/>
  <c r="CN326" i="9"/>
  <c r="BA326" i="12"/>
  <c r="AZ326" i="12"/>
  <c r="BB326" i="12"/>
  <c r="DE325" i="12"/>
  <c r="DG325" i="12"/>
  <c r="DF325" i="12"/>
  <c r="AG326" i="9"/>
  <c r="AF326" i="9"/>
  <c r="AI326" i="9"/>
  <c r="AH326" i="9"/>
  <c r="BR326" i="9"/>
  <c r="BU326" i="9"/>
  <c r="BT326" i="9"/>
  <c r="BS326" i="9"/>
  <c r="DX325" i="12"/>
  <c r="DY325" i="12"/>
  <c r="DZ325" i="12"/>
  <c r="FJ325" i="12"/>
  <c r="FK325" i="12"/>
  <c r="FL325" i="12"/>
  <c r="DX326" i="12"/>
  <c r="DZ326" i="12"/>
  <c r="DY326" i="12"/>
  <c r="DG326" i="9"/>
  <c r="DD326" i="9"/>
  <c r="DF326" i="9"/>
  <c r="DE326" i="9"/>
  <c r="AZ326" i="9"/>
  <c r="BB326" i="9"/>
  <c r="BA326" i="9"/>
  <c r="AY326" i="9"/>
  <c r="BC326" i="9" s="1"/>
  <c r="N329" i="9" a="1"/>
  <c r="N329" i="9" s="1"/>
  <c r="O329" i="9" a="1"/>
  <c r="O329" i="9" s="1"/>
  <c r="H329" i="9" a="1"/>
  <c r="H329" i="9" s="1"/>
  <c r="J329" i="9" a="1"/>
  <c r="J329" i="9" s="1"/>
  <c r="G329" i="9" a="1"/>
  <c r="G329" i="9" s="1"/>
  <c r="L329" i="9" a="1"/>
  <c r="L329" i="9" s="1"/>
  <c r="K329" i="9" a="1"/>
  <c r="K329" i="9" s="1"/>
  <c r="D330" i="9"/>
  <c r="CL325" i="12"/>
  <c r="CM325" i="12"/>
  <c r="CN325" i="12"/>
  <c r="CZ326" i="12"/>
  <c r="DB326" i="12" s="1"/>
  <c r="FL326" i="9"/>
  <c r="FK326" i="9"/>
  <c r="FI326" i="9"/>
  <c r="FJ326" i="9"/>
  <c r="H328" i="12" a="1"/>
  <c r="H328" i="12" s="1"/>
  <c r="L328" i="12" a="1"/>
  <c r="L328" i="12" s="1"/>
  <c r="K328" i="12" a="1"/>
  <c r="K328" i="12" s="1"/>
  <c r="O328" i="12" a="1"/>
  <c r="O328" i="12" s="1"/>
  <c r="N328" i="12" a="1"/>
  <c r="N328" i="12" s="1"/>
  <c r="G328" i="12" a="1"/>
  <c r="G328" i="12" s="1"/>
  <c r="J328" i="12" a="1"/>
  <c r="J328" i="12" s="1"/>
  <c r="D329" i="12"/>
  <c r="AS328" i="9"/>
  <c r="AT328" i="9" s="1"/>
  <c r="AX328" i="9" s="1"/>
  <c r="CX328" i="9"/>
  <c r="CY328" i="9" s="1"/>
  <c r="DC328" i="9" s="1"/>
  <c r="EJ328" i="9"/>
  <c r="EK328" i="9" s="1"/>
  <c r="EO328" i="9" s="1"/>
  <c r="CE328" i="9"/>
  <c r="CF328" i="9" s="1"/>
  <c r="CJ328" i="9" s="1"/>
  <c r="Z328" i="9"/>
  <c r="AA328" i="9" s="1"/>
  <c r="AE328" i="9" s="1"/>
  <c r="DQ328" i="9"/>
  <c r="DR328" i="9" s="1"/>
  <c r="DV328" i="9" s="1"/>
  <c r="BL328" i="9"/>
  <c r="BM328" i="9" s="1"/>
  <c r="BQ328" i="9" s="1"/>
  <c r="FC328" i="9"/>
  <c r="FD328" i="9" s="1"/>
  <c r="FH328" i="9" s="1"/>
  <c r="I329" i="9"/>
  <c r="BS325" i="12"/>
  <c r="BU325" i="12"/>
  <c r="BT325" i="12"/>
  <c r="ES326" i="9"/>
  <c r="ER326" i="9"/>
  <c r="EQ326" i="9"/>
  <c r="EP326" i="9"/>
  <c r="ET326" i="9" s="1"/>
  <c r="M327" i="12"/>
  <c r="P327" i="12" s="1"/>
  <c r="Q327" i="12" s="1"/>
  <c r="BA325" i="12"/>
  <c r="BB325" i="12"/>
  <c r="AZ325" i="12"/>
  <c r="EQ325" i="12"/>
  <c r="ES325" i="12"/>
  <c r="ER325" i="12"/>
  <c r="CH327" i="9"/>
  <c r="AU327" i="9"/>
  <c r="AW327" i="9" s="1"/>
  <c r="BO327" i="9"/>
  <c r="BN327" i="9"/>
  <c r="BP327" i="9" s="1"/>
  <c r="FF327" i="9"/>
  <c r="FE327" i="9"/>
  <c r="FG327" i="9" s="1"/>
  <c r="CG327" i="9"/>
  <c r="CI327" i="9" s="1"/>
  <c r="AV327" i="9"/>
  <c r="EM327" i="9"/>
  <c r="EL327" i="9"/>
  <c r="EN327" i="9" s="1"/>
  <c r="AB327" i="9"/>
  <c r="AD327" i="9" s="1"/>
  <c r="DA327" i="9"/>
  <c r="AC327" i="9"/>
  <c r="CZ327" i="9"/>
  <c r="DB327" i="9" s="1"/>
  <c r="DS327" i="9"/>
  <c r="DU327" i="9" s="1"/>
  <c r="DT327" i="9"/>
  <c r="CH326" i="12"/>
  <c r="CG326" i="12"/>
  <c r="CI326" i="12" s="1"/>
  <c r="AH325" i="12"/>
  <c r="AI325" i="12"/>
  <c r="AG325" i="12"/>
  <c r="FM326" i="9" l="1"/>
  <c r="CO326" i="9"/>
  <c r="AJ326" i="9"/>
  <c r="BV326" i="9"/>
  <c r="DH326" i="9"/>
  <c r="BO328" i="9"/>
  <c r="AB328" i="9"/>
  <c r="AD328" i="9" s="1"/>
  <c r="AI328" i="9" s="1"/>
  <c r="EM328" i="9"/>
  <c r="AU328" i="9"/>
  <c r="AW328" i="9" s="1"/>
  <c r="BB328" i="9" s="1"/>
  <c r="FK326" i="12"/>
  <c r="ER326" i="12"/>
  <c r="FJ326" i="12"/>
  <c r="FM326" i="12" s="1"/>
  <c r="EQ326" i="12"/>
  <c r="ET326" i="12" s="1"/>
  <c r="AJ325" i="12"/>
  <c r="BV326" i="12"/>
  <c r="AG326" i="12"/>
  <c r="AH326" i="12"/>
  <c r="DH325" i="12"/>
  <c r="EL328" i="9"/>
  <c r="EN328" i="9" s="1"/>
  <c r="AV328" i="9"/>
  <c r="BV325" i="12"/>
  <c r="FM325" i="12"/>
  <c r="ET325" i="12"/>
  <c r="CO325" i="12"/>
  <c r="BC325" i="12"/>
  <c r="EA326" i="12"/>
  <c r="AF328" i="9"/>
  <c r="AZ328" i="9"/>
  <c r="BA328" i="9"/>
  <c r="DF327" i="9"/>
  <c r="DG327" i="9"/>
  <c r="DD327" i="9"/>
  <c r="DE327" i="9"/>
  <c r="FL327" i="9"/>
  <c r="FK327" i="9"/>
  <c r="FJ327" i="9"/>
  <c r="FI327" i="9"/>
  <c r="J329" i="12" a="1"/>
  <c r="J329" i="12" s="1"/>
  <c r="K329" i="12" a="1"/>
  <c r="K329" i="12" s="1"/>
  <c r="O329" i="12" a="1"/>
  <c r="O329" i="12" s="1"/>
  <c r="H329" i="12" a="1"/>
  <c r="H329" i="12" s="1"/>
  <c r="N329" i="12" a="1"/>
  <c r="N329" i="12" s="1"/>
  <c r="G329" i="12" a="1"/>
  <c r="G329" i="12" s="1"/>
  <c r="L329" i="12" a="1"/>
  <c r="L329" i="12" s="1"/>
  <c r="D330" i="12"/>
  <c r="CZ328" i="9"/>
  <c r="DB328" i="9" s="1"/>
  <c r="FE328" i="9"/>
  <c r="FG328" i="9" s="1"/>
  <c r="CL327" i="9"/>
  <c r="CM327" i="9"/>
  <c r="CK327" i="9"/>
  <c r="CO327" i="9" s="1"/>
  <c r="CN327" i="9"/>
  <c r="M328" i="12"/>
  <c r="P328" i="12" s="1"/>
  <c r="Q328" i="12" s="1"/>
  <c r="L330" i="9" a="1"/>
  <c r="L330" i="9" s="1"/>
  <c r="K330" i="9" a="1"/>
  <c r="K330" i="9" s="1"/>
  <c r="H330" i="9" a="1"/>
  <c r="H330" i="9" s="1"/>
  <c r="O330" i="9" a="1"/>
  <c r="O330" i="9" s="1"/>
  <c r="J330" i="9" a="1"/>
  <c r="J330" i="9" s="1"/>
  <c r="N330" i="9" a="1"/>
  <c r="N330" i="9" s="1"/>
  <c r="G330" i="9" a="1"/>
  <c r="G330" i="9" s="1"/>
  <c r="D331" i="9"/>
  <c r="BU327" i="9"/>
  <c r="BT327" i="9"/>
  <c r="BS327" i="9"/>
  <c r="BR327" i="9"/>
  <c r="BV327" i="9" s="1"/>
  <c r="FF328" i="9"/>
  <c r="AF327" i="9"/>
  <c r="AJ327" i="9" s="1"/>
  <c r="AI327" i="9"/>
  <c r="AG327" i="9"/>
  <c r="AH327" i="9"/>
  <c r="EA325" i="12"/>
  <c r="AC328" i="9"/>
  <c r="BN328" i="9"/>
  <c r="BP328" i="9" s="1"/>
  <c r="DX327" i="9"/>
  <c r="DW327" i="9"/>
  <c r="EA327" i="9" s="1"/>
  <c r="DZ327" i="9"/>
  <c r="DY327" i="9"/>
  <c r="CM326" i="12"/>
  <c r="CL326" i="12"/>
  <c r="CN326" i="12"/>
  <c r="ER327" i="9"/>
  <c r="EP327" i="9"/>
  <c r="ES327" i="9"/>
  <c r="EQ327" i="9"/>
  <c r="FE327" i="12"/>
  <c r="FG327" i="12" s="1"/>
  <c r="EP327" i="12"/>
  <c r="FF327" i="12"/>
  <c r="CK327" i="12"/>
  <c r="DD327" i="12"/>
  <c r="BN327" i="12"/>
  <c r="BP327" i="12" s="1"/>
  <c r="AC327" i="12"/>
  <c r="BO327" i="12"/>
  <c r="AB327" i="12"/>
  <c r="AD327" i="12" s="1"/>
  <c r="CH327" i="12"/>
  <c r="FI327" i="12"/>
  <c r="DW327" i="12"/>
  <c r="CG327" i="12"/>
  <c r="CI327" i="12" s="1"/>
  <c r="DT327" i="12"/>
  <c r="EM327" i="12"/>
  <c r="BR327" i="12"/>
  <c r="EL327" i="12"/>
  <c r="EN327" i="12" s="1"/>
  <c r="AY327" i="12"/>
  <c r="AF327" i="12"/>
  <c r="DA327" i="12"/>
  <c r="DS327" i="12"/>
  <c r="DU327" i="12" s="1"/>
  <c r="CZ327" i="12"/>
  <c r="DB327" i="12" s="1"/>
  <c r="AV327" i="12"/>
  <c r="AU327" i="12"/>
  <c r="AW327" i="12" s="1"/>
  <c r="DE326" i="12"/>
  <c r="DF326" i="12"/>
  <c r="DG326" i="12"/>
  <c r="BC326" i="12"/>
  <c r="DT328" i="9"/>
  <c r="CE329" i="9"/>
  <c r="CF329" i="9" s="1"/>
  <c r="CJ329" i="9" s="1"/>
  <c r="BL329" i="9"/>
  <c r="BM329" i="9" s="1"/>
  <c r="BQ329" i="9" s="1"/>
  <c r="EJ329" i="9"/>
  <c r="EK329" i="9" s="1"/>
  <c r="EO329" i="9" s="1"/>
  <c r="AS329" i="9"/>
  <c r="AT329" i="9" s="1"/>
  <c r="AX329" i="9" s="1"/>
  <c r="Z329" i="9"/>
  <c r="AA329" i="9" s="1"/>
  <c r="AE329" i="9" s="1"/>
  <c r="FC329" i="9"/>
  <c r="FD329" i="9" s="1"/>
  <c r="FH329" i="9" s="1"/>
  <c r="DQ329" i="9"/>
  <c r="DR329" i="9" s="1"/>
  <c r="DV329" i="9" s="1"/>
  <c r="CX329" i="9"/>
  <c r="CY329" i="9" s="1"/>
  <c r="DC329" i="9" s="1"/>
  <c r="I330" i="9"/>
  <c r="EP328" i="9"/>
  <c r="ES328" i="9"/>
  <c r="ER328" i="9"/>
  <c r="EQ328" i="9"/>
  <c r="AY327" i="9"/>
  <c r="AZ327" i="9"/>
  <c r="BA327" i="9"/>
  <c r="BB327" i="9"/>
  <c r="M329" i="9"/>
  <c r="P329" i="9" s="1"/>
  <c r="Q329" i="9" s="1"/>
  <c r="DS328" i="9"/>
  <c r="DU328" i="9" s="1"/>
  <c r="CH328" i="9"/>
  <c r="DA328" i="9"/>
  <c r="CG328" i="9"/>
  <c r="CI328" i="9" s="1"/>
  <c r="AH328" i="9" l="1"/>
  <c r="AG328" i="9"/>
  <c r="AJ326" i="12"/>
  <c r="ET327" i="9"/>
  <c r="ET328" i="9" s="1"/>
  <c r="DH327" i="9"/>
  <c r="BC327" i="9"/>
  <c r="FM327" i="9"/>
  <c r="AJ328" i="9"/>
  <c r="AY328" i="9"/>
  <c r="AY328" i="12"/>
  <c r="FE328" i="12"/>
  <c r="FG328" i="12" s="1"/>
  <c r="BN328" i="12"/>
  <c r="BP328" i="12" s="1"/>
  <c r="EP328" i="12"/>
  <c r="FF328" i="12"/>
  <c r="CK328" i="12"/>
  <c r="AB328" i="12"/>
  <c r="AD328" i="12" s="1"/>
  <c r="AG328" i="12" s="1"/>
  <c r="DT328" i="12"/>
  <c r="CG328" i="12"/>
  <c r="CI328" i="12" s="1"/>
  <c r="CL328" i="12" s="1"/>
  <c r="DD328" i="12"/>
  <c r="DW328" i="12"/>
  <c r="AF328" i="12"/>
  <c r="EM328" i="12"/>
  <c r="AC328" i="12"/>
  <c r="DA328" i="12"/>
  <c r="AU328" i="12"/>
  <c r="AW328" i="12" s="1"/>
  <c r="BB328" i="12" s="1"/>
  <c r="EL328" i="12"/>
  <c r="EN328" i="12" s="1"/>
  <c r="ER328" i="12" s="1"/>
  <c r="DS328" i="12"/>
  <c r="DU328" i="12" s="1"/>
  <c r="CH328" i="12"/>
  <c r="CO326" i="12"/>
  <c r="AV328" i="12"/>
  <c r="CH329" i="9"/>
  <c r="BN329" i="9"/>
  <c r="BP329" i="9" s="1"/>
  <c r="FF329" i="9"/>
  <c r="CG329" i="9"/>
  <c r="CI329" i="9" s="1"/>
  <c r="FE329" i="9"/>
  <c r="FG329" i="9" s="1"/>
  <c r="AV329" i="9"/>
  <c r="AU329" i="9"/>
  <c r="AW329" i="9" s="1"/>
  <c r="BO329" i="9"/>
  <c r="EM329" i="9"/>
  <c r="CZ329" i="9"/>
  <c r="DB329" i="9" s="1"/>
  <c r="EL329" i="9"/>
  <c r="EN329" i="9" s="1"/>
  <c r="AB329" i="9"/>
  <c r="AD329" i="9" s="1"/>
  <c r="AC329" i="9"/>
  <c r="DA329" i="9"/>
  <c r="DS329" i="9"/>
  <c r="DU329" i="9" s="1"/>
  <c r="DT329" i="9"/>
  <c r="L330" i="12" a="1"/>
  <c r="L330" i="12" s="1"/>
  <c r="J330" i="12" a="1"/>
  <c r="J330" i="12" s="1"/>
  <c r="O330" i="12" a="1"/>
  <c r="O330" i="12" s="1"/>
  <c r="G330" i="12" a="1"/>
  <c r="G330" i="12" s="1"/>
  <c r="N330" i="12" a="1"/>
  <c r="N330" i="12" s="1"/>
  <c r="K330" i="12" a="1"/>
  <c r="K330" i="12" s="1"/>
  <c r="H330" i="12" a="1"/>
  <c r="H330" i="12" s="1"/>
  <c r="D331" i="12"/>
  <c r="AZ327" i="12"/>
  <c r="BB327" i="12"/>
  <c r="BA327" i="12"/>
  <c r="AS330" i="9"/>
  <c r="AT330" i="9" s="1"/>
  <c r="AX330" i="9" s="1"/>
  <c r="CX330" i="9"/>
  <c r="CY330" i="9" s="1"/>
  <c r="DC330" i="9" s="1"/>
  <c r="EJ330" i="9"/>
  <c r="EK330" i="9" s="1"/>
  <c r="EO330" i="9" s="1"/>
  <c r="DQ330" i="9"/>
  <c r="DR330" i="9" s="1"/>
  <c r="DV330" i="9" s="1"/>
  <c r="Z330" i="9"/>
  <c r="AA330" i="9" s="1"/>
  <c r="AE330" i="9" s="1"/>
  <c r="BL330" i="9"/>
  <c r="BM330" i="9" s="1"/>
  <c r="BQ330" i="9" s="1"/>
  <c r="CE330" i="9"/>
  <c r="CF330" i="9" s="1"/>
  <c r="CJ330" i="9" s="1"/>
  <c r="FC330" i="9"/>
  <c r="FD330" i="9" s="1"/>
  <c r="FH330" i="9" s="1"/>
  <c r="I331" i="9"/>
  <c r="DE327" i="12"/>
  <c r="DG327" i="12"/>
  <c r="DF327" i="12"/>
  <c r="BS327" i="12"/>
  <c r="BU327" i="12"/>
  <c r="BT327" i="12"/>
  <c r="K331" i="9" a="1"/>
  <c r="K331" i="9" s="1"/>
  <c r="N331" i="9" a="1"/>
  <c r="N331" i="9" s="1"/>
  <c r="G331" i="9" a="1"/>
  <c r="G331" i="9" s="1"/>
  <c r="H331" i="9" a="1"/>
  <c r="H331" i="9" s="1"/>
  <c r="O331" i="9" a="1"/>
  <c r="O331" i="9" s="1"/>
  <c r="J331" i="9" a="1"/>
  <c r="J331" i="9" s="1"/>
  <c r="L331" i="9" a="1"/>
  <c r="L331" i="9" s="1"/>
  <c r="D332" i="9"/>
  <c r="DX327" i="12"/>
  <c r="DY327" i="12"/>
  <c r="DZ327" i="12"/>
  <c r="CL327" i="12"/>
  <c r="CN327" i="12"/>
  <c r="CM327" i="12"/>
  <c r="BR328" i="9"/>
  <c r="BS328" i="9"/>
  <c r="BT328" i="9"/>
  <c r="BU328" i="9"/>
  <c r="M330" i="9"/>
  <c r="P330" i="9" s="1"/>
  <c r="Q330" i="9" s="1"/>
  <c r="DZ328" i="9"/>
  <c r="DY328" i="9"/>
  <c r="DX328" i="9"/>
  <c r="DW328" i="9"/>
  <c r="BR328" i="12"/>
  <c r="FJ328" i="9"/>
  <c r="FI328" i="9"/>
  <c r="FM328" i="9" s="1"/>
  <c r="FL328" i="9"/>
  <c r="FK328" i="9"/>
  <c r="CN328" i="9"/>
  <c r="CM328" i="9"/>
  <c r="CK328" i="9"/>
  <c r="CL328" i="9"/>
  <c r="CZ328" i="12"/>
  <c r="DB328" i="12" s="1"/>
  <c r="FI328" i="12"/>
  <c r="DD328" i="9"/>
  <c r="DE328" i="9"/>
  <c r="DG328" i="9"/>
  <c r="DF328" i="9"/>
  <c r="BS328" i="12"/>
  <c r="BT328" i="12"/>
  <c r="BU328" i="12"/>
  <c r="DH326" i="12"/>
  <c r="DX328" i="12"/>
  <c r="DY328" i="12"/>
  <c r="DZ328" i="12"/>
  <c r="BO328" i="12"/>
  <c r="FJ328" i="12"/>
  <c r="FL328" i="12"/>
  <c r="FK328" i="12"/>
  <c r="EQ327" i="12"/>
  <c r="ES327" i="12"/>
  <c r="ER327" i="12"/>
  <c r="AG327" i="12"/>
  <c r="AH327" i="12"/>
  <c r="AI327" i="12"/>
  <c r="FJ327" i="12"/>
  <c r="FL327" i="12"/>
  <c r="FK327" i="12"/>
  <c r="M329" i="12"/>
  <c r="P329" i="12" s="1"/>
  <c r="Q329" i="12" s="1"/>
  <c r="BC328" i="9" l="1"/>
  <c r="CO328" i="9"/>
  <c r="EA328" i="9"/>
  <c r="BV328" i="9"/>
  <c r="DH328" i="9"/>
  <c r="ES328" i="12"/>
  <c r="CN328" i="12"/>
  <c r="EQ328" i="12"/>
  <c r="ET328" i="12" s="1"/>
  <c r="CM328" i="12"/>
  <c r="AH328" i="12"/>
  <c r="DH327" i="12"/>
  <c r="AI328" i="12"/>
  <c r="AJ328" i="12" s="1"/>
  <c r="BA328" i="12"/>
  <c r="BC327" i="12"/>
  <c r="AZ328" i="12"/>
  <c r="BV327" i="12"/>
  <c r="ET327" i="12"/>
  <c r="FM327" i="12"/>
  <c r="M331" i="9"/>
  <c r="P331" i="9" s="1"/>
  <c r="Q331" i="9" s="1"/>
  <c r="AJ327" i="12"/>
  <c r="DZ329" i="9"/>
  <c r="DY329" i="9"/>
  <c r="DX329" i="9"/>
  <c r="DW329" i="9"/>
  <c r="BA329" i="9"/>
  <c r="AY329" i="9"/>
  <c r="BB329" i="9"/>
  <c r="AZ329" i="9"/>
  <c r="M330" i="12"/>
  <c r="P330" i="12" s="1"/>
  <c r="Q330" i="12" s="1"/>
  <c r="CH330" i="9"/>
  <c r="AV330" i="9"/>
  <c r="BO330" i="9"/>
  <c r="AU330" i="9"/>
  <c r="AW330" i="9" s="1"/>
  <c r="AV331" i="9" s="1"/>
  <c r="BN330" i="9"/>
  <c r="BP330" i="9" s="1"/>
  <c r="BO331" i="9" s="1"/>
  <c r="FE330" i="9"/>
  <c r="FG330" i="9" s="1"/>
  <c r="CG330" i="9"/>
  <c r="CI330" i="9" s="1"/>
  <c r="FF330" i="9"/>
  <c r="AC330" i="9"/>
  <c r="AB330" i="9"/>
  <c r="AD330" i="9" s="1"/>
  <c r="AB331" i="9" s="1"/>
  <c r="AD331" i="9" s="1"/>
  <c r="EM330" i="9"/>
  <c r="DA330" i="9"/>
  <c r="CZ330" i="9"/>
  <c r="DB330" i="9" s="1"/>
  <c r="DA331" i="9" s="1"/>
  <c r="EL330" i="9"/>
  <c r="EN330" i="9" s="1"/>
  <c r="EL331" i="9" s="1"/>
  <c r="EN331" i="9" s="1"/>
  <c r="DS330" i="9"/>
  <c r="DU330" i="9" s="1"/>
  <c r="DT330" i="9"/>
  <c r="CO327" i="12"/>
  <c r="FJ329" i="9"/>
  <c r="FK329" i="9"/>
  <c r="FL329" i="9"/>
  <c r="FI329" i="9"/>
  <c r="DE328" i="12"/>
  <c r="DG328" i="12"/>
  <c r="DF328" i="12"/>
  <c r="G332" i="9" a="1"/>
  <c r="G332" i="9" s="1"/>
  <c r="O332" i="9" a="1"/>
  <c r="O332" i="9" s="1"/>
  <c r="N332" i="9" a="1"/>
  <c r="N332" i="9" s="1"/>
  <c r="H332" i="9" a="1"/>
  <c r="H332" i="9" s="1"/>
  <c r="L332" i="9" a="1"/>
  <c r="L332" i="9" s="1"/>
  <c r="K332" i="9" a="1"/>
  <c r="K332" i="9" s="1"/>
  <c r="J332" i="9" a="1"/>
  <c r="J332" i="9" s="1"/>
  <c r="D333" i="9"/>
  <c r="L331" i="12" a="1"/>
  <c r="L331" i="12" s="1"/>
  <c r="K331" i="12" a="1"/>
  <c r="K331" i="12" s="1"/>
  <c r="H331" i="12" a="1"/>
  <c r="H331" i="12" s="1"/>
  <c r="J331" i="12" a="1"/>
  <c r="J331" i="12" s="1"/>
  <c r="G331" i="12" a="1"/>
  <c r="G331" i="12" s="1"/>
  <c r="O331" i="12" a="1"/>
  <c r="O331" i="12" s="1"/>
  <c r="N331" i="12" a="1"/>
  <c r="N331" i="12" s="1"/>
  <c r="D332" i="12"/>
  <c r="AH329" i="9"/>
  <c r="AG329" i="9"/>
  <c r="AF329" i="9"/>
  <c r="AI329" i="9"/>
  <c r="CL329" i="9"/>
  <c r="CK329" i="9"/>
  <c r="CO329" i="9" s="1"/>
  <c r="CN329" i="9"/>
  <c r="CM329" i="9"/>
  <c r="FM328" i="12"/>
  <c r="EA328" i="12"/>
  <c r="BV328" i="12"/>
  <c r="EA327" i="12"/>
  <c r="CX331" i="9"/>
  <c r="CY331" i="9" s="1"/>
  <c r="DC331" i="9" s="1"/>
  <c r="EJ331" i="9"/>
  <c r="EK331" i="9" s="1"/>
  <c r="EO331" i="9" s="1"/>
  <c r="DQ331" i="9"/>
  <c r="DR331" i="9" s="1"/>
  <c r="DV331" i="9" s="1"/>
  <c r="BL331" i="9"/>
  <c r="BM331" i="9" s="1"/>
  <c r="BQ331" i="9" s="1"/>
  <c r="CE331" i="9"/>
  <c r="CF331" i="9" s="1"/>
  <c r="CJ331" i="9" s="1"/>
  <c r="Z331" i="9"/>
  <c r="AA331" i="9" s="1"/>
  <c r="AE331" i="9" s="1"/>
  <c r="FC331" i="9"/>
  <c r="FD331" i="9" s="1"/>
  <c r="FH331" i="9" s="1"/>
  <c r="AS331" i="9"/>
  <c r="AT331" i="9" s="1"/>
  <c r="AX331" i="9" s="1"/>
  <c r="I332" i="9"/>
  <c r="EP329" i="9"/>
  <c r="ET329" i="9" s="1"/>
  <c r="ES329" i="9"/>
  <c r="ER329" i="9"/>
  <c r="EQ329" i="9"/>
  <c r="FE329" i="12"/>
  <c r="FG329" i="12" s="1"/>
  <c r="FF329" i="12"/>
  <c r="EP329" i="12"/>
  <c r="DD329" i="12"/>
  <c r="CK329" i="12"/>
  <c r="BN329" i="12"/>
  <c r="BP329" i="12" s="1"/>
  <c r="AC329" i="12"/>
  <c r="BO329" i="12"/>
  <c r="AB329" i="12"/>
  <c r="AD329" i="12" s="1"/>
  <c r="CH329" i="12"/>
  <c r="DT329" i="12"/>
  <c r="EL329" i="12"/>
  <c r="EN329" i="12" s="1"/>
  <c r="DW329" i="12"/>
  <c r="AF329" i="12"/>
  <c r="CG329" i="12"/>
  <c r="CI329" i="12" s="1"/>
  <c r="FI329" i="12"/>
  <c r="DS329" i="12"/>
  <c r="DU329" i="12" s="1"/>
  <c r="EM329" i="12"/>
  <c r="DA329" i="12"/>
  <c r="BR329" i="12"/>
  <c r="AY329" i="12"/>
  <c r="CZ329" i="12"/>
  <c r="DB329" i="12" s="1"/>
  <c r="AV329" i="12"/>
  <c r="AU329" i="12"/>
  <c r="AW329" i="12" s="1"/>
  <c r="CG331" i="9"/>
  <c r="CI331" i="9" s="1"/>
  <c r="DE329" i="9"/>
  <c r="DD329" i="9"/>
  <c r="DG329" i="9"/>
  <c r="DF329" i="9"/>
  <c r="BT329" i="9"/>
  <c r="BR329" i="9"/>
  <c r="BS329" i="9"/>
  <c r="BU329" i="9"/>
  <c r="CZ331" i="9" l="1"/>
  <c r="DB331" i="9" s="1"/>
  <c r="BN331" i="9"/>
  <c r="BP331" i="9" s="1"/>
  <c r="AJ329" i="9"/>
  <c r="EA329" i="9"/>
  <c r="CO328" i="12"/>
  <c r="DH329" i="9"/>
  <c r="BV329" i="9"/>
  <c r="FM329" i="9"/>
  <c r="BC329" i="9"/>
  <c r="AU331" i="9"/>
  <c r="AW331" i="9" s="1"/>
  <c r="AY331" i="9" s="1"/>
  <c r="BC328" i="12"/>
  <c r="EM331" i="9"/>
  <c r="AC331" i="9"/>
  <c r="FE331" i="9"/>
  <c r="FG331" i="9" s="1"/>
  <c r="FF331" i="9"/>
  <c r="M332" i="9"/>
  <c r="P332" i="9" s="1"/>
  <c r="Q332" i="9" s="1"/>
  <c r="CG332" i="9" s="1"/>
  <c r="CI332" i="9" s="1"/>
  <c r="DE329" i="12"/>
  <c r="DF329" i="12"/>
  <c r="DG329" i="12"/>
  <c r="ES330" i="9"/>
  <c r="EP330" i="9"/>
  <c r="ER330" i="9"/>
  <c r="EQ330" i="9"/>
  <c r="FI330" i="9"/>
  <c r="FK330" i="9"/>
  <c r="FJ330" i="9"/>
  <c r="FL330" i="9"/>
  <c r="EQ329" i="12"/>
  <c r="ER329" i="12"/>
  <c r="ES329" i="12"/>
  <c r="CE332" i="9"/>
  <c r="CF332" i="9" s="1"/>
  <c r="CJ332" i="9" s="1"/>
  <c r="Z332" i="9"/>
  <c r="AA332" i="9" s="1"/>
  <c r="AE332" i="9" s="1"/>
  <c r="EJ332" i="9"/>
  <c r="EK332" i="9" s="1"/>
  <c r="EO332" i="9" s="1"/>
  <c r="FC332" i="9"/>
  <c r="FD332" i="9" s="1"/>
  <c r="FH332" i="9" s="1"/>
  <c r="DQ332" i="9"/>
  <c r="DR332" i="9" s="1"/>
  <c r="DV332" i="9" s="1"/>
  <c r="CX332" i="9"/>
  <c r="CY332" i="9" s="1"/>
  <c r="DC332" i="9" s="1"/>
  <c r="BL332" i="9"/>
  <c r="BM332" i="9" s="1"/>
  <c r="BQ332" i="9" s="1"/>
  <c r="AS332" i="9"/>
  <c r="AT332" i="9" s="1"/>
  <c r="AX332" i="9" s="1"/>
  <c r="I333" i="9"/>
  <c r="DD330" i="9"/>
  <c r="DG330" i="9"/>
  <c r="DE330" i="9"/>
  <c r="DF330" i="9"/>
  <c r="BS330" i="9"/>
  <c r="BU330" i="9"/>
  <c r="BR330" i="9"/>
  <c r="BT330" i="9"/>
  <c r="CN331" i="9"/>
  <c r="CM331" i="9"/>
  <c r="CL331" i="9"/>
  <c r="CK331" i="9"/>
  <c r="CL330" i="9"/>
  <c r="CM330" i="9"/>
  <c r="CK330" i="9"/>
  <c r="CO330" i="9" s="1"/>
  <c r="CN330" i="9"/>
  <c r="BT331" i="9"/>
  <c r="BR331" i="9"/>
  <c r="BS331" i="9"/>
  <c r="BU331" i="9"/>
  <c r="M331" i="12"/>
  <c r="P331" i="12" s="1"/>
  <c r="Q331" i="12" s="1"/>
  <c r="BB330" i="9"/>
  <c r="BA330" i="9"/>
  <c r="AY330" i="9"/>
  <c r="AZ330" i="9"/>
  <c r="FK331" i="9"/>
  <c r="FL331" i="9"/>
  <c r="FI331" i="9"/>
  <c r="FJ331" i="9"/>
  <c r="DX330" i="9"/>
  <c r="DZ330" i="9"/>
  <c r="DY330" i="9"/>
  <c r="DW330" i="9"/>
  <c r="DX329" i="12"/>
  <c r="DZ329" i="12"/>
  <c r="DY329" i="12"/>
  <c r="FJ329" i="12"/>
  <c r="FK329" i="12"/>
  <c r="FL329" i="12"/>
  <c r="AF330" i="9"/>
  <c r="AI330" i="9"/>
  <c r="AH330" i="9"/>
  <c r="AG330" i="9"/>
  <c r="BS329" i="12"/>
  <c r="BU329" i="12"/>
  <c r="BT329" i="12"/>
  <c r="EQ331" i="9"/>
  <c r="EP331" i="9"/>
  <c r="ER331" i="9"/>
  <c r="ES331" i="9"/>
  <c r="DG331" i="9"/>
  <c r="DF331" i="9"/>
  <c r="DE331" i="9"/>
  <c r="DD331" i="9"/>
  <c r="AI331" i="9"/>
  <c r="AH331" i="9"/>
  <c r="AG331" i="9"/>
  <c r="AF331" i="9"/>
  <c r="AG329" i="12"/>
  <c r="AI329" i="12"/>
  <c r="AH329" i="12"/>
  <c r="DS331" i="9"/>
  <c r="DU331" i="9" s="1"/>
  <c r="BA329" i="12"/>
  <c r="AZ329" i="12"/>
  <c r="BB329" i="12"/>
  <c r="DT331" i="9"/>
  <c r="CH331" i="9"/>
  <c r="CL329" i="12"/>
  <c r="CM329" i="12"/>
  <c r="CN329" i="12"/>
  <c r="O332" i="12" a="1"/>
  <c r="O332" i="12" s="1"/>
  <c r="L332" i="12" a="1"/>
  <c r="L332" i="12" s="1"/>
  <c r="K332" i="12" a="1"/>
  <c r="K332" i="12" s="1"/>
  <c r="N332" i="12" a="1"/>
  <c r="N332" i="12" s="1"/>
  <c r="J332" i="12" a="1"/>
  <c r="J332" i="12" s="1"/>
  <c r="H332" i="12" a="1"/>
  <c r="H332" i="12" s="1"/>
  <c r="G332" i="12" a="1"/>
  <c r="G332" i="12" s="1"/>
  <c r="D333" i="12"/>
  <c r="L333" i="9" a="1"/>
  <c r="L333" i="9" s="1"/>
  <c r="H333" i="9" a="1"/>
  <c r="H333" i="9" s="1"/>
  <c r="G333" i="9" a="1"/>
  <c r="G333" i="9" s="1"/>
  <c r="N333" i="9" a="1"/>
  <c r="N333" i="9" s="1"/>
  <c r="O333" i="9" a="1"/>
  <c r="O333" i="9" s="1"/>
  <c r="K333" i="9" a="1"/>
  <c r="K333" i="9" s="1"/>
  <c r="J333" i="9" a="1"/>
  <c r="J333" i="9" s="1"/>
  <c r="D334" i="9"/>
  <c r="DH328" i="12"/>
  <c r="EP330" i="12"/>
  <c r="FE330" i="12"/>
  <c r="FG330" i="12" s="1"/>
  <c r="FF330" i="12"/>
  <c r="DD330" i="12"/>
  <c r="CK330" i="12"/>
  <c r="AB330" i="12"/>
  <c r="AD330" i="12" s="1"/>
  <c r="BO330" i="12"/>
  <c r="AC330" i="12"/>
  <c r="BN330" i="12"/>
  <c r="BP330" i="12" s="1"/>
  <c r="DW330" i="12"/>
  <c r="CG330" i="12"/>
  <c r="CI330" i="12" s="1"/>
  <c r="DA330" i="12"/>
  <c r="EM330" i="12"/>
  <c r="CH330" i="12"/>
  <c r="FI330" i="12"/>
  <c r="CZ330" i="12"/>
  <c r="DB330" i="12" s="1"/>
  <c r="EL330" i="12"/>
  <c r="EN330" i="12" s="1"/>
  <c r="AY330" i="12"/>
  <c r="AF330" i="12"/>
  <c r="DS330" i="12"/>
  <c r="DU330" i="12" s="1"/>
  <c r="DT330" i="12"/>
  <c r="BR330" i="12"/>
  <c r="AV330" i="12"/>
  <c r="AU330" i="12"/>
  <c r="AW330" i="12" s="1"/>
  <c r="AB332" i="9" l="1"/>
  <c r="AD332" i="9" s="1"/>
  <c r="AC332" i="9"/>
  <c r="BN332" i="9"/>
  <c r="BP332" i="9" s="1"/>
  <c r="FE332" i="9"/>
  <c r="FG332" i="9" s="1"/>
  <c r="CZ332" i="9"/>
  <c r="DB332" i="9" s="1"/>
  <c r="FF332" i="9"/>
  <c r="DA332" i="9"/>
  <c r="CH332" i="9"/>
  <c r="EL332" i="9"/>
  <c r="EN332" i="9" s="1"/>
  <c r="ER332" i="9" s="1"/>
  <c r="BO332" i="9"/>
  <c r="EM332" i="9"/>
  <c r="BV330" i="9"/>
  <c r="BV331" i="9" s="1"/>
  <c r="AZ331" i="9"/>
  <c r="DH330" i="9"/>
  <c r="DH331" i="9" s="1"/>
  <c r="FM330" i="9"/>
  <c r="FM331" i="9" s="1"/>
  <c r="BA331" i="9"/>
  <c r="BC330" i="9"/>
  <c r="BC331" i="9" s="1"/>
  <c r="CO331" i="9"/>
  <c r="EA330" i="9"/>
  <c r="ET330" i="9"/>
  <c r="ET331" i="9" s="1"/>
  <c r="AV332" i="9"/>
  <c r="AJ330" i="9"/>
  <c r="AJ331" i="9" s="1"/>
  <c r="BB331" i="9"/>
  <c r="AU332" i="9"/>
  <c r="AW332" i="9" s="1"/>
  <c r="BA332" i="9" s="1"/>
  <c r="AJ329" i="12"/>
  <c r="CO329" i="12"/>
  <c r="ET329" i="12"/>
  <c r="FM329" i="12"/>
  <c r="BV329" i="12"/>
  <c r="EA329" i="12"/>
  <c r="BS330" i="12"/>
  <c r="BU330" i="12"/>
  <c r="BT330" i="12"/>
  <c r="BC329" i="12"/>
  <c r="FE331" i="12"/>
  <c r="FG331" i="12" s="1"/>
  <c r="EP331" i="12"/>
  <c r="FF331" i="12"/>
  <c r="CK331" i="12"/>
  <c r="DD331" i="12"/>
  <c r="AB331" i="12"/>
  <c r="AD331" i="12" s="1"/>
  <c r="AC331" i="12"/>
  <c r="BO331" i="12"/>
  <c r="BN331" i="12"/>
  <c r="BP331" i="12" s="1"/>
  <c r="DW331" i="12"/>
  <c r="FI331" i="12"/>
  <c r="DT331" i="12"/>
  <c r="AY331" i="12"/>
  <c r="BR331" i="12"/>
  <c r="DA331" i="12"/>
  <c r="CZ331" i="12"/>
  <c r="DB331" i="12" s="1"/>
  <c r="AF331" i="12"/>
  <c r="CG331" i="12"/>
  <c r="CI331" i="12" s="1"/>
  <c r="CH331" i="12"/>
  <c r="EM331" i="12"/>
  <c r="DS331" i="12"/>
  <c r="DU331" i="12" s="1"/>
  <c r="EL331" i="12"/>
  <c r="EN331" i="12" s="1"/>
  <c r="AV331" i="12"/>
  <c r="AU331" i="12"/>
  <c r="AW331" i="12" s="1"/>
  <c r="AZ330" i="12"/>
  <c r="BA330" i="12"/>
  <c r="BB330" i="12"/>
  <c r="K334" i="9" a="1"/>
  <c r="K334" i="9" s="1"/>
  <c r="O334" i="9" a="1"/>
  <c r="O334" i="9" s="1"/>
  <c r="N334" i="9" a="1"/>
  <c r="N334" i="9" s="1"/>
  <c r="G334" i="9" a="1"/>
  <c r="G334" i="9" s="1"/>
  <c r="H334" i="9" a="1"/>
  <c r="H334" i="9" s="1"/>
  <c r="L334" i="9" a="1"/>
  <c r="L334" i="9" s="1"/>
  <c r="J334" i="9" a="1"/>
  <c r="J334" i="9" s="1"/>
  <c r="D335" i="9"/>
  <c r="J333" i="12" a="1"/>
  <c r="J333" i="12" s="1"/>
  <c r="O333" i="12" a="1"/>
  <c r="O333" i="12" s="1"/>
  <c r="H333" i="12" a="1"/>
  <c r="H333" i="12" s="1"/>
  <c r="K333" i="12" a="1"/>
  <c r="K333" i="12" s="1"/>
  <c r="G333" i="12" a="1"/>
  <c r="G333" i="12" s="1"/>
  <c r="N333" i="12" a="1"/>
  <c r="N333" i="12" s="1"/>
  <c r="L333" i="12" a="1"/>
  <c r="L333" i="12" s="1"/>
  <c r="D334" i="12"/>
  <c r="DZ331" i="9"/>
  <c r="DY331" i="9"/>
  <c r="DX331" i="9"/>
  <c r="DW331" i="9"/>
  <c r="DG332" i="9"/>
  <c r="DF332" i="9"/>
  <c r="DE332" i="9"/>
  <c r="DD332" i="9"/>
  <c r="DH332" i="9" s="1"/>
  <c r="EQ330" i="12"/>
  <c r="ER330" i="12"/>
  <c r="ES330" i="12"/>
  <c r="M333" i="9"/>
  <c r="P333" i="9" s="1"/>
  <c r="Q333" i="9" s="1"/>
  <c r="AG332" i="9"/>
  <c r="AH332" i="9"/>
  <c r="AF332" i="9"/>
  <c r="AI332" i="9"/>
  <c r="CN332" i="9"/>
  <c r="CM332" i="9"/>
  <c r="CL332" i="9"/>
  <c r="CK332" i="9"/>
  <c r="CO332" i="9" s="1"/>
  <c r="FJ330" i="12"/>
  <c r="FL330" i="12"/>
  <c r="FK330" i="12"/>
  <c r="AS333" i="9"/>
  <c r="AT333" i="9" s="1"/>
  <c r="AX333" i="9" s="1"/>
  <c r="FC333" i="9"/>
  <c r="FD333" i="9" s="1"/>
  <c r="FH333" i="9" s="1"/>
  <c r="CE333" i="9"/>
  <c r="CF333" i="9" s="1"/>
  <c r="CJ333" i="9" s="1"/>
  <c r="BL333" i="9"/>
  <c r="BM333" i="9" s="1"/>
  <c r="BQ333" i="9" s="1"/>
  <c r="EJ333" i="9"/>
  <c r="EK333" i="9" s="1"/>
  <c r="EO333" i="9" s="1"/>
  <c r="CX333" i="9"/>
  <c r="CY333" i="9" s="1"/>
  <c r="DC333" i="9" s="1"/>
  <c r="Z333" i="9"/>
  <c r="AA333" i="9" s="1"/>
  <c r="AE333" i="9" s="1"/>
  <c r="DQ333" i="9"/>
  <c r="DR333" i="9" s="1"/>
  <c r="DV333" i="9" s="1"/>
  <c r="I334" i="9"/>
  <c r="AG330" i="12"/>
  <c r="AH330" i="12"/>
  <c r="AI330" i="12"/>
  <c r="DE330" i="12"/>
  <c r="DG330" i="12"/>
  <c r="DF330" i="12"/>
  <c r="DX330" i="12"/>
  <c r="DZ330" i="12"/>
  <c r="DY330" i="12"/>
  <c r="M332" i="12"/>
  <c r="P332" i="12" s="1"/>
  <c r="Q332" i="12" s="1"/>
  <c r="DT332" i="9"/>
  <c r="BS332" i="9"/>
  <c r="BU332" i="9"/>
  <c r="BR332" i="9"/>
  <c r="BT332" i="9"/>
  <c r="DH329" i="12"/>
  <c r="CL330" i="12"/>
  <c r="CN330" i="12"/>
  <c r="CM330" i="12"/>
  <c r="DS332" i="9"/>
  <c r="DU332" i="9" s="1"/>
  <c r="FL332" i="9"/>
  <c r="FK332" i="9"/>
  <c r="FJ332" i="9"/>
  <c r="FI332" i="9"/>
  <c r="EQ332" i="9" l="1"/>
  <c r="AZ332" i="9"/>
  <c r="ES332" i="9"/>
  <c r="EP332" i="9"/>
  <c r="ET332" i="9" s="1"/>
  <c r="AY332" i="9"/>
  <c r="BB332" i="9"/>
  <c r="AJ332" i="9"/>
  <c r="BV332" i="9"/>
  <c r="FM332" i="9"/>
  <c r="EA331" i="9"/>
  <c r="BC332" i="9"/>
  <c r="BC330" i="12"/>
  <c r="AV333" i="9"/>
  <c r="AB333" i="9"/>
  <c r="AD333" i="9" s="1"/>
  <c r="AG333" i="9" s="1"/>
  <c r="CH333" i="9"/>
  <c r="AU333" i="9"/>
  <c r="AW333" i="9" s="1"/>
  <c r="AZ333" i="9" s="1"/>
  <c r="AC333" i="9"/>
  <c r="BN333" i="9"/>
  <c r="BP333" i="9" s="1"/>
  <c r="BT333" i="9" s="1"/>
  <c r="DA333" i="9"/>
  <c r="FE333" i="9"/>
  <c r="FG333" i="9" s="1"/>
  <c r="FK333" i="9" s="1"/>
  <c r="CG333" i="9"/>
  <c r="CI333" i="9" s="1"/>
  <c r="CK333" i="9" s="1"/>
  <c r="EM333" i="9"/>
  <c r="BO333" i="9"/>
  <c r="CZ333" i="9"/>
  <c r="DB333" i="9" s="1"/>
  <c r="DD333" i="9" s="1"/>
  <c r="DH333" i="9" s="1"/>
  <c r="FF333" i="9"/>
  <c r="EL333" i="9"/>
  <c r="EN333" i="9" s="1"/>
  <c r="AU332" i="12"/>
  <c r="AW332" i="12" s="1"/>
  <c r="AZ332" i="12" s="1"/>
  <c r="CZ332" i="12"/>
  <c r="DB332" i="12" s="1"/>
  <c r="DG332" i="12" s="1"/>
  <c r="EM332" i="12"/>
  <c r="DT332" i="12"/>
  <c r="DD332" i="12"/>
  <c r="FI332" i="12"/>
  <c r="DT333" i="9"/>
  <c r="CG332" i="12"/>
  <c r="CI332" i="12" s="1"/>
  <c r="CL332" i="12" s="1"/>
  <c r="DW332" i="12"/>
  <c r="EP332" i="12"/>
  <c r="AF332" i="12"/>
  <c r="BN332" i="12"/>
  <c r="BP332" i="12" s="1"/>
  <c r="BS332" i="12" s="1"/>
  <c r="FE332" i="12"/>
  <c r="FG332" i="12" s="1"/>
  <c r="FJ332" i="12" s="1"/>
  <c r="FM330" i="12"/>
  <c r="BV330" i="12"/>
  <c r="EA330" i="12"/>
  <c r="CO330" i="12"/>
  <c r="AJ330" i="12"/>
  <c r="DS333" i="9"/>
  <c r="DU333" i="9" s="1"/>
  <c r="DZ333" i="9" s="1"/>
  <c r="DF332" i="12"/>
  <c r="BS333" i="9"/>
  <c r="ET330" i="12"/>
  <c r="FF332" i="12"/>
  <c r="EQ331" i="12"/>
  <c r="ES331" i="12"/>
  <c r="ER331" i="12"/>
  <c r="AG331" i="12"/>
  <c r="AI331" i="12"/>
  <c r="AH331" i="12"/>
  <c r="FL333" i="9"/>
  <c r="DE331" i="12"/>
  <c r="DG331" i="12"/>
  <c r="DF331" i="12"/>
  <c r="M333" i="12"/>
  <c r="P333" i="12" s="1"/>
  <c r="Q333" i="12" s="1"/>
  <c r="DX331" i="12"/>
  <c r="DZ331" i="12"/>
  <c r="DY331" i="12"/>
  <c r="AC332" i="12"/>
  <c r="DQ334" i="9"/>
  <c r="DR334" i="9" s="1"/>
  <c r="DV334" i="9" s="1"/>
  <c r="BL334" i="9"/>
  <c r="BM334" i="9" s="1"/>
  <c r="BQ334" i="9" s="1"/>
  <c r="AS334" i="9"/>
  <c r="AT334" i="9" s="1"/>
  <c r="AX334" i="9" s="1"/>
  <c r="CX334" i="9"/>
  <c r="CY334" i="9" s="1"/>
  <c r="DC334" i="9" s="1"/>
  <c r="Z334" i="9"/>
  <c r="AA334" i="9" s="1"/>
  <c r="AE334" i="9" s="1"/>
  <c r="FC334" i="9"/>
  <c r="FD334" i="9" s="1"/>
  <c r="FH334" i="9" s="1"/>
  <c r="EJ334" i="9"/>
  <c r="EK334" i="9" s="1"/>
  <c r="EO334" i="9" s="1"/>
  <c r="CE334" i="9"/>
  <c r="CF334" i="9" s="1"/>
  <c r="CJ334" i="9" s="1"/>
  <c r="I335" i="9"/>
  <c r="DH330" i="12"/>
  <c r="J334" i="12" a="1"/>
  <c r="J334" i="12" s="1"/>
  <c r="N334" i="12" a="1"/>
  <c r="N334" i="12" s="1"/>
  <c r="O334" i="12" a="1"/>
  <c r="O334" i="12" s="1"/>
  <c r="G334" i="12" a="1"/>
  <c r="G334" i="12" s="1"/>
  <c r="L334" i="12" a="1"/>
  <c r="L334" i="12" s="1"/>
  <c r="H334" i="12" a="1"/>
  <c r="H334" i="12" s="1"/>
  <c r="K334" i="12" a="1"/>
  <c r="K334" i="12" s="1"/>
  <c r="D335" i="12"/>
  <c r="K335" i="9" a="1"/>
  <c r="K335" i="9" s="1"/>
  <c r="H335" i="9" a="1"/>
  <c r="H335" i="9" s="1"/>
  <c r="G335" i="9" a="1"/>
  <c r="G335" i="9" s="1"/>
  <c r="O335" i="9" a="1"/>
  <c r="O335" i="9" s="1"/>
  <c r="N335" i="9" a="1"/>
  <c r="N335" i="9" s="1"/>
  <c r="L335" i="9" a="1"/>
  <c r="L335" i="9" s="1"/>
  <c r="J335" i="9" a="1"/>
  <c r="J335" i="9" s="1"/>
  <c r="D336" i="9"/>
  <c r="AV332" i="12"/>
  <c r="AY332" i="12"/>
  <c r="AB332" i="12"/>
  <c r="AD332" i="12" s="1"/>
  <c r="ER333" i="9"/>
  <c r="ES333" i="9"/>
  <c r="EQ333" i="9"/>
  <c r="EP333" i="9"/>
  <c r="ET333" i="9" s="1"/>
  <c r="M334" i="9"/>
  <c r="P334" i="9" s="1"/>
  <c r="Q334" i="9" s="1"/>
  <c r="EL332" i="12"/>
  <c r="EN332" i="12" s="1"/>
  <c r="BO332" i="12"/>
  <c r="BA331" i="12"/>
  <c r="BB331" i="12"/>
  <c r="AZ331" i="12"/>
  <c r="DW332" i="9"/>
  <c r="DX332" i="9"/>
  <c r="DZ332" i="9"/>
  <c r="DY332" i="9"/>
  <c r="CL331" i="12"/>
  <c r="CM331" i="12"/>
  <c r="CN331" i="12"/>
  <c r="DS332" i="12"/>
  <c r="DU332" i="12" s="1"/>
  <c r="DA332" i="12"/>
  <c r="CL333" i="9"/>
  <c r="BS331" i="12"/>
  <c r="BU331" i="12"/>
  <c r="BT331" i="12"/>
  <c r="FJ331" i="12"/>
  <c r="FK331" i="12"/>
  <c r="FL331" i="12"/>
  <c r="CH332" i="12"/>
  <c r="BR332" i="12"/>
  <c r="CK332" i="12"/>
  <c r="DE333" i="9" l="1"/>
  <c r="AY333" i="9"/>
  <c r="BA333" i="9"/>
  <c r="BB333" i="9"/>
  <c r="DF333" i="9"/>
  <c r="DG333" i="9"/>
  <c r="AH333" i="9"/>
  <c r="AF333" i="9"/>
  <c r="AI333" i="9"/>
  <c r="BC333" i="9"/>
  <c r="FK332" i="12"/>
  <c r="EA332" i="9"/>
  <c r="BU332" i="12"/>
  <c r="FL332" i="12"/>
  <c r="FM332" i="12" s="1"/>
  <c r="DX333" i="9"/>
  <c r="FI333" i="9"/>
  <c r="DE332" i="12"/>
  <c r="DH332" i="12" s="1"/>
  <c r="CN333" i="9"/>
  <c r="FJ333" i="9"/>
  <c r="CM333" i="9"/>
  <c r="CO333" i="9" s="1"/>
  <c r="CM332" i="12"/>
  <c r="BB332" i="12"/>
  <c r="BT332" i="12"/>
  <c r="BA332" i="12"/>
  <c r="BU333" i="9"/>
  <c r="BR333" i="9"/>
  <c r="CN332" i="12"/>
  <c r="AJ331" i="12"/>
  <c r="DY333" i="9"/>
  <c r="DW333" i="9"/>
  <c r="BV331" i="12"/>
  <c r="M335" i="9"/>
  <c r="P335" i="9" s="1"/>
  <c r="Q335" i="9" s="1"/>
  <c r="CO331" i="12"/>
  <c r="BC331" i="12"/>
  <c r="FM331" i="12"/>
  <c r="AI332" i="12"/>
  <c r="AG332" i="12"/>
  <c r="AH332" i="12"/>
  <c r="EP333" i="12"/>
  <c r="FF333" i="12"/>
  <c r="FE333" i="12"/>
  <c r="FG333" i="12" s="1"/>
  <c r="DD333" i="12"/>
  <c r="CK333" i="12"/>
  <c r="AC333" i="12"/>
  <c r="AB333" i="12"/>
  <c r="AD333" i="12" s="1"/>
  <c r="BN333" i="12"/>
  <c r="BP333" i="12" s="1"/>
  <c r="BO333" i="12"/>
  <c r="FI333" i="12"/>
  <c r="DS333" i="12"/>
  <c r="DU333" i="12" s="1"/>
  <c r="DA333" i="12"/>
  <c r="DW333" i="12"/>
  <c r="CH333" i="12"/>
  <c r="BR333" i="12"/>
  <c r="CG333" i="12"/>
  <c r="CI333" i="12" s="1"/>
  <c r="EM333" i="12"/>
  <c r="DT333" i="12"/>
  <c r="EL333" i="12"/>
  <c r="EN333" i="12" s="1"/>
  <c r="AY333" i="12"/>
  <c r="AF333" i="12"/>
  <c r="CZ333" i="12"/>
  <c r="DB333" i="12" s="1"/>
  <c r="AV333" i="12"/>
  <c r="AU333" i="12"/>
  <c r="AW333" i="12" s="1"/>
  <c r="EQ332" i="12"/>
  <c r="ES332" i="12"/>
  <c r="ER332" i="12"/>
  <c r="DH331" i="12"/>
  <c r="DX332" i="12"/>
  <c r="DZ332" i="12"/>
  <c r="DY332" i="12"/>
  <c r="AU334" i="9"/>
  <c r="AW334" i="9" s="1"/>
  <c r="BN334" i="9"/>
  <c r="BP334" i="9" s="1"/>
  <c r="CH334" i="9"/>
  <c r="FE334" i="9"/>
  <c r="FG334" i="9" s="1"/>
  <c r="AV334" i="9"/>
  <c r="FF334" i="9"/>
  <c r="BO334" i="9"/>
  <c r="CG334" i="9"/>
  <c r="CI334" i="9" s="1"/>
  <c r="EM334" i="9"/>
  <c r="EL334" i="9"/>
  <c r="EN334" i="9" s="1"/>
  <c r="AB334" i="9"/>
  <c r="AD334" i="9" s="1"/>
  <c r="AC334" i="9"/>
  <c r="CZ334" i="9"/>
  <c r="DB334" i="9" s="1"/>
  <c r="DA334" i="9"/>
  <c r="DT334" i="9"/>
  <c r="DS334" i="9"/>
  <c r="DU334" i="9" s="1"/>
  <c r="M334" i="12"/>
  <c r="P334" i="12" s="1"/>
  <c r="Q334" i="12" s="1"/>
  <c r="G336" i="9" a="1"/>
  <c r="G336" i="9" s="1"/>
  <c r="H336" i="9" a="1"/>
  <c r="H336" i="9" s="1"/>
  <c r="N336" i="9" a="1"/>
  <c r="N336" i="9" s="1"/>
  <c r="K336" i="9" a="1"/>
  <c r="K336" i="9" s="1"/>
  <c r="O336" i="9" a="1"/>
  <c r="O336" i="9" s="1"/>
  <c r="L336" i="9" a="1"/>
  <c r="L336" i="9" s="1"/>
  <c r="J336" i="9" a="1"/>
  <c r="J336" i="9" s="1"/>
  <c r="D337" i="9"/>
  <c r="L335" i="12" a="1"/>
  <c r="L335" i="12" s="1"/>
  <c r="O335" i="12" a="1"/>
  <c r="O335" i="12" s="1"/>
  <c r="J335" i="12" a="1"/>
  <c r="J335" i="12" s="1"/>
  <c r="N335" i="12" a="1"/>
  <c r="N335" i="12" s="1"/>
  <c r="G335" i="12" a="1"/>
  <c r="G335" i="12" s="1"/>
  <c r="H335" i="12" a="1"/>
  <c r="H335" i="12" s="1"/>
  <c r="K335" i="12" a="1"/>
  <c r="K335" i="12" s="1"/>
  <c r="D336" i="12"/>
  <c r="ET331" i="12"/>
  <c r="FC335" i="9"/>
  <c r="FD335" i="9" s="1"/>
  <c r="FH335" i="9" s="1"/>
  <c r="AS335" i="9"/>
  <c r="AT335" i="9" s="1"/>
  <c r="AX335" i="9" s="1"/>
  <c r="EJ335" i="9"/>
  <c r="EK335" i="9" s="1"/>
  <c r="EO335" i="9" s="1"/>
  <c r="CE335" i="9"/>
  <c r="CF335" i="9" s="1"/>
  <c r="CJ335" i="9" s="1"/>
  <c r="Z335" i="9"/>
  <c r="AA335" i="9" s="1"/>
  <c r="AE335" i="9" s="1"/>
  <c r="DQ335" i="9"/>
  <c r="DR335" i="9" s="1"/>
  <c r="DV335" i="9" s="1"/>
  <c r="CX335" i="9"/>
  <c r="CY335" i="9" s="1"/>
  <c r="DC335" i="9" s="1"/>
  <c r="BL335" i="9"/>
  <c r="BM335" i="9" s="1"/>
  <c r="BQ335" i="9" s="1"/>
  <c r="I336" i="9"/>
  <c r="EA331" i="12"/>
  <c r="CO332" i="12"/>
  <c r="BC332" i="12" l="1"/>
  <c r="EA333" i="9"/>
  <c r="AJ333" i="9"/>
  <c r="BV332" i="12"/>
  <c r="BV333" i="9"/>
  <c r="FM333" i="9"/>
  <c r="DA335" i="9"/>
  <c r="FE335" i="9"/>
  <c r="FG335" i="9" s="1"/>
  <c r="FJ335" i="9" s="1"/>
  <c r="AB335" i="9"/>
  <c r="AD335" i="9" s="1"/>
  <c r="AF335" i="9" s="1"/>
  <c r="EM335" i="9"/>
  <c r="AV335" i="9"/>
  <c r="CH335" i="9"/>
  <c r="EA332" i="12"/>
  <c r="AJ332" i="12"/>
  <c r="M335" i="12"/>
  <c r="P335" i="12" s="1"/>
  <c r="Q335" i="12" s="1"/>
  <c r="FL334" i="9"/>
  <c r="FK334" i="9"/>
  <c r="FJ334" i="9"/>
  <c r="FI334" i="9"/>
  <c r="CZ335" i="9"/>
  <c r="DB335" i="9" s="1"/>
  <c r="AG334" i="9"/>
  <c r="AI334" i="9"/>
  <c r="AH334" i="9"/>
  <c r="AF334" i="9"/>
  <c r="EQ333" i="12"/>
  <c r="ES333" i="12"/>
  <c r="ER333" i="12"/>
  <c r="DX333" i="12"/>
  <c r="DY333" i="12"/>
  <c r="DZ333" i="12"/>
  <c r="FJ333" i="12"/>
  <c r="FL333" i="12"/>
  <c r="FK333" i="12"/>
  <c r="ES334" i="9"/>
  <c r="ER334" i="9"/>
  <c r="EQ334" i="9"/>
  <c r="EP334" i="9"/>
  <c r="BU334" i="9"/>
  <c r="BT334" i="9"/>
  <c r="BR334" i="9"/>
  <c r="BS334" i="9"/>
  <c r="AC335" i="9"/>
  <c r="BO335" i="9"/>
  <c r="K336" i="12" a="1"/>
  <c r="K336" i="12" s="1"/>
  <c r="J336" i="12" a="1"/>
  <c r="J336" i="12" s="1"/>
  <c r="L336" i="12" a="1"/>
  <c r="L336" i="12" s="1"/>
  <c r="H336" i="12" a="1"/>
  <c r="H336" i="12" s="1"/>
  <c r="N336" i="12" a="1"/>
  <c r="N336" i="12" s="1"/>
  <c r="G336" i="12" a="1"/>
  <c r="G336" i="12" s="1"/>
  <c r="O336" i="12" a="1"/>
  <c r="O336" i="12" s="1"/>
  <c r="D337" i="12"/>
  <c r="J337" i="9" a="1"/>
  <c r="J337" i="9" s="1"/>
  <c r="N337" i="9" a="1"/>
  <c r="N337" i="9" s="1"/>
  <c r="G337" i="9" a="1"/>
  <c r="G337" i="9" s="1"/>
  <c r="O337" i="9" a="1"/>
  <c r="O337" i="9" s="1"/>
  <c r="H337" i="9" a="1"/>
  <c r="H337" i="9" s="1"/>
  <c r="L337" i="9" a="1"/>
  <c r="L337" i="9" s="1"/>
  <c r="K337" i="9" a="1"/>
  <c r="K337" i="9" s="1"/>
  <c r="D338" i="9"/>
  <c r="EP334" i="12"/>
  <c r="FE334" i="12"/>
  <c r="FG334" i="12" s="1"/>
  <c r="FF334" i="12"/>
  <c r="DD334" i="12"/>
  <c r="CK334" i="12"/>
  <c r="AC334" i="12"/>
  <c r="BO334" i="12"/>
  <c r="AB334" i="12"/>
  <c r="AD334" i="12" s="1"/>
  <c r="BN334" i="12"/>
  <c r="BP334" i="12" s="1"/>
  <c r="EM334" i="12"/>
  <c r="AY334" i="12"/>
  <c r="DA334" i="12"/>
  <c r="FI334" i="12"/>
  <c r="CH334" i="12"/>
  <c r="AF334" i="12"/>
  <c r="DS334" i="12"/>
  <c r="DU334" i="12" s="1"/>
  <c r="CG334" i="12"/>
  <c r="CI334" i="12" s="1"/>
  <c r="DW334" i="12"/>
  <c r="BR334" i="12"/>
  <c r="CZ334" i="12"/>
  <c r="DB334" i="12" s="1"/>
  <c r="DT334" i="12"/>
  <c r="EL334" i="12"/>
  <c r="EN334" i="12" s="1"/>
  <c r="AV334" i="12"/>
  <c r="AU334" i="12"/>
  <c r="AW334" i="12" s="1"/>
  <c r="BA334" i="9"/>
  <c r="AZ334" i="9"/>
  <c r="BB334" i="9"/>
  <c r="AY334" i="9"/>
  <c r="ET332" i="12"/>
  <c r="BN335" i="9"/>
  <c r="BP335" i="9" s="1"/>
  <c r="M336" i="9"/>
  <c r="P336" i="9" s="1"/>
  <c r="Q336" i="9" s="1"/>
  <c r="DX334" i="9"/>
  <c r="DZ334" i="9"/>
  <c r="DY334" i="9"/>
  <c r="DW334" i="9"/>
  <c r="CL334" i="9"/>
  <c r="CK334" i="9"/>
  <c r="CN334" i="9"/>
  <c r="CM334" i="9"/>
  <c r="AZ333" i="12"/>
  <c r="BB333" i="12"/>
  <c r="BA333" i="12"/>
  <c r="CL333" i="12"/>
  <c r="CN333" i="12"/>
  <c r="CM333" i="12"/>
  <c r="BS333" i="12"/>
  <c r="BU333" i="12"/>
  <c r="BT333" i="12"/>
  <c r="DS335" i="9"/>
  <c r="DU335" i="9" s="1"/>
  <c r="FF335" i="9"/>
  <c r="DG334" i="9"/>
  <c r="DF334" i="9"/>
  <c r="DE334" i="9"/>
  <c r="DD334" i="9"/>
  <c r="AG333" i="12"/>
  <c r="AH333" i="12"/>
  <c r="AI333" i="12"/>
  <c r="DT335" i="9"/>
  <c r="CG335" i="9"/>
  <c r="CI335" i="9" s="1"/>
  <c r="AS336" i="9"/>
  <c r="AT336" i="9" s="1"/>
  <c r="AX336" i="9" s="1"/>
  <c r="EJ336" i="9"/>
  <c r="EK336" i="9" s="1"/>
  <c r="EO336" i="9" s="1"/>
  <c r="BL336" i="9"/>
  <c r="BM336" i="9" s="1"/>
  <c r="BQ336" i="9" s="1"/>
  <c r="DQ336" i="9"/>
  <c r="DR336" i="9" s="1"/>
  <c r="DV336" i="9" s="1"/>
  <c r="FC336" i="9"/>
  <c r="FD336" i="9" s="1"/>
  <c r="FH336" i="9" s="1"/>
  <c r="CE336" i="9"/>
  <c r="CF336" i="9" s="1"/>
  <c r="CJ336" i="9" s="1"/>
  <c r="Z336" i="9"/>
  <c r="AA336" i="9" s="1"/>
  <c r="AE336" i="9" s="1"/>
  <c r="CX336" i="9"/>
  <c r="CY336" i="9" s="1"/>
  <c r="DC336" i="9" s="1"/>
  <c r="I337" i="9"/>
  <c r="DE333" i="12"/>
  <c r="DG333" i="12"/>
  <c r="DF333" i="12"/>
  <c r="EL335" i="9"/>
  <c r="EN335" i="9" s="1"/>
  <c r="AU335" i="9"/>
  <c r="AW335" i="9" s="1"/>
  <c r="FL335" i="9" l="1"/>
  <c r="FK335" i="9"/>
  <c r="FI335" i="9"/>
  <c r="AH335" i="9"/>
  <c r="AG335" i="9"/>
  <c r="AI335" i="9"/>
  <c r="CO334" i="9"/>
  <c r="EA334" i="9"/>
  <c r="AJ334" i="9"/>
  <c r="AJ335" i="9" s="1"/>
  <c r="FM334" i="9"/>
  <c r="FM335" i="9" s="1"/>
  <c r="DH334" i="9"/>
  <c r="ET334" i="9"/>
  <c r="BV334" i="9"/>
  <c r="BC334" i="9"/>
  <c r="FM333" i="12"/>
  <c r="M337" i="9"/>
  <c r="P337" i="9" s="1"/>
  <c r="Q337" i="9" s="1"/>
  <c r="ET333" i="12"/>
  <c r="AJ333" i="12"/>
  <c r="BV333" i="12"/>
  <c r="DH333" i="12"/>
  <c r="BC333" i="12"/>
  <c r="DE334" i="12"/>
  <c r="DG334" i="12"/>
  <c r="DF334" i="12"/>
  <c r="CO333" i="12"/>
  <c r="DD335" i="9"/>
  <c r="DE335" i="9"/>
  <c r="DG335" i="9"/>
  <c r="DF335" i="9"/>
  <c r="FJ334" i="12"/>
  <c r="FL334" i="12"/>
  <c r="FK334" i="12"/>
  <c r="M336" i="12"/>
  <c r="CN335" i="9"/>
  <c r="CM335" i="9"/>
  <c r="CK335" i="9"/>
  <c r="CL335" i="9"/>
  <c r="CN334" i="12"/>
  <c r="CL334" i="12"/>
  <c r="CM334" i="12"/>
  <c r="BS334" i="12"/>
  <c r="BT334" i="12"/>
  <c r="BU334" i="12"/>
  <c r="AZ334" i="12"/>
  <c r="BA334" i="12"/>
  <c r="BB334" i="12"/>
  <c r="DX334" i="12"/>
  <c r="DZ334" i="12"/>
  <c r="DY334" i="12"/>
  <c r="AI334" i="12"/>
  <c r="AH334" i="12"/>
  <c r="AG334" i="12"/>
  <c r="L338" i="9" a="1"/>
  <c r="L338" i="9" s="1"/>
  <c r="G338" i="9" a="1"/>
  <c r="G338" i="9" s="1"/>
  <c r="O338" i="9" a="1"/>
  <c r="O338" i="9" s="1"/>
  <c r="H338" i="9" a="1"/>
  <c r="H338" i="9" s="1"/>
  <c r="J338" i="9" a="1"/>
  <c r="J338" i="9" s="1"/>
  <c r="N338" i="9" a="1"/>
  <c r="N338" i="9" s="1"/>
  <c r="K338" i="9" a="1"/>
  <c r="K338" i="9" s="1"/>
  <c r="D339" i="9"/>
  <c r="L337" i="12" a="1"/>
  <c r="L337" i="12" s="1"/>
  <c r="J337" i="12" a="1"/>
  <c r="J337" i="12" s="1"/>
  <c r="N337" i="12" a="1"/>
  <c r="N337" i="12" s="1"/>
  <c r="H337" i="12" a="1"/>
  <c r="H337" i="12" s="1"/>
  <c r="O337" i="12" a="1"/>
  <c r="O337" i="12" s="1"/>
  <c r="K337" i="12" a="1"/>
  <c r="K337" i="12" s="1"/>
  <c r="G337" i="12" a="1"/>
  <c r="G337" i="12" s="1"/>
  <c r="D338" i="12"/>
  <c r="DX335" i="9"/>
  <c r="DW335" i="9"/>
  <c r="DY335" i="9"/>
  <c r="DZ335" i="9"/>
  <c r="BN336" i="9"/>
  <c r="BP336" i="9" s="1"/>
  <c r="FF336" i="9"/>
  <c r="CG336" i="9"/>
  <c r="CI336" i="9" s="1"/>
  <c r="CH336" i="9"/>
  <c r="FE336" i="9"/>
  <c r="FG336" i="9" s="1"/>
  <c r="AV336" i="9"/>
  <c r="AU336" i="9"/>
  <c r="AW336" i="9" s="1"/>
  <c r="BO336" i="9"/>
  <c r="AB336" i="9"/>
  <c r="AD336" i="9" s="1"/>
  <c r="AC336" i="9"/>
  <c r="EL336" i="9"/>
  <c r="EN336" i="9" s="1"/>
  <c r="CZ336" i="9"/>
  <c r="DB336" i="9" s="1"/>
  <c r="EM336" i="9"/>
  <c r="DA336" i="9"/>
  <c r="DS336" i="9"/>
  <c r="DU336" i="9" s="1"/>
  <c r="DT336" i="9"/>
  <c r="FC337" i="9"/>
  <c r="FD337" i="9" s="1"/>
  <c r="FH337" i="9" s="1"/>
  <c r="CX337" i="9"/>
  <c r="CY337" i="9" s="1"/>
  <c r="DC337" i="9" s="1"/>
  <c r="AS337" i="9"/>
  <c r="AT337" i="9" s="1"/>
  <c r="AX337" i="9" s="1"/>
  <c r="DQ337" i="9"/>
  <c r="DR337" i="9" s="1"/>
  <c r="DV337" i="9" s="1"/>
  <c r="EJ337" i="9"/>
  <c r="EK337" i="9" s="1"/>
  <c r="EO337" i="9" s="1"/>
  <c r="CE337" i="9"/>
  <c r="CF337" i="9" s="1"/>
  <c r="CJ337" i="9" s="1"/>
  <c r="Z337" i="9"/>
  <c r="AA337" i="9" s="1"/>
  <c r="AE337" i="9" s="1"/>
  <c r="BL337" i="9"/>
  <c r="BM337" i="9" s="1"/>
  <c r="BQ337" i="9" s="1"/>
  <c r="I338" i="9"/>
  <c r="BB335" i="9"/>
  <c r="BA335" i="9"/>
  <c r="AY335" i="9"/>
  <c r="AZ335" i="9"/>
  <c r="BR335" i="9"/>
  <c r="BS335" i="9"/>
  <c r="BT335" i="9"/>
  <c r="BU335" i="9"/>
  <c r="EQ334" i="12"/>
  <c r="ER334" i="12"/>
  <c r="ES334" i="12"/>
  <c r="ER335" i="9"/>
  <c r="ES335" i="9"/>
  <c r="EQ335" i="9"/>
  <c r="EP335" i="9"/>
  <c r="P336" i="12"/>
  <c r="Q336" i="12" s="1"/>
  <c r="EA333" i="12"/>
  <c r="EP335" i="12"/>
  <c r="FF335" i="12"/>
  <c r="FE335" i="12"/>
  <c r="FG335" i="12" s="1"/>
  <c r="DD335" i="12"/>
  <c r="CK335" i="12"/>
  <c r="AB335" i="12"/>
  <c r="AD335" i="12" s="1"/>
  <c r="AC335" i="12"/>
  <c r="BO335" i="12"/>
  <c r="BN335" i="12"/>
  <c r="BP335" i="12" s="1"/>
  <c r="AY335" i="12"/>
  <c r="FI335" i="12"/>
  <c r="AF335" i="12"/>
  <c r="EM335" i="12"/>
  <c r="EL335" i="12"/>
  <c r="EN335" i="12" s="1"/>
  <c r="CG335" i="12"/>
  <c r="CI335" i="12" s="1"/>
  <c r="BR335" i="12"/>
  <c r="DT335" i="12"/>
  <c r="DW335" i="12"/>
  <c r="DA335" i="12"/>
  <c r="CH335" i="12"/>
  <c r="CZ335" i="12"/>
  <c r="DB335" i="12" s="1"/>
  <c r="DS335" i="12"/>
  <c r="DU335" i="12" s="1"/>
  <c r="AV335" i="12"/>
  <c r="AU335" i="12"/>
  <c r="AW335" i="12" s="1"/>
  <c r="BC335" i="9" l="1"/>
  <c r="CO335" i="9"/>
  <c r="EA335" i="9"/>
  <c r="BV335" i="9"/>
  <c r="ET335" i="9"/>
  <c r="DH335" i="9"/>
  <c r="FM334" i="12"/>
  <c r="BV334" i="12"/>
  <c r="M338" i="9"/>
  <c r="P338" i="9" s="1"/>
  <c r="Q338" i="9" s="1"/>
  <c r="CO334" i="12"/>
  <c r="EA334" i="12"/>
  <c r="AJ334" i="12"/>
  <c r="AI336" i="9"/>
  <c r="AF336" i="9"/>
  <c r="AJ336" i="9" s="1"/>
  <c r="AG336" i="9"/>
  <c r="AH336" i="9"/>
  <c r="BS336" i="9"/>
  <c r="BR336" i="9"/>
  <c r="BU336" i="9"/>
  <c r="BT336" i="9"/>
  <c r="DX335" i="12"/>
  <c r="DY335" i="12"/>
  <c r="DZ335" i="12"/>
  <c r="CE338" i="9"/>
  <c r="CF338" i="9" s="1"/>
  <c r="CJ338" i="9" s="1"/>
  <c r="AS338" i="9"/>
  <c r="AT338" i="9" s="1"/>
  <c r="AX338" i="9" s="1"/>
  <c r="DQ338" i="9"/>
  <c r="DR338" i="9" s="1"/>
  <c r="DV338" i="9" s="1"/>
  <c r="FC338" i="9"/>
  <c r="FD338" i="9" s="1"/>
  <c r="FH338" i="9" s="1"/>
  <c r="BL338" i="9"/>
  <c r="BM338" i="9" s="1"/>
  <c r="BQ338" i="9" s="1"/>
  <c r="EJ338" i="9"/>
  <c r="EK338" i="9" s="1"/>
  <c r="EO338" i="9" s="1"/>
  <c r="Z338" i="9"/>
  <c r="AA338" i="9" s="1"/>
  <c r="AE338" i="9" s="1"/>
  <c r="CX338" i="9"/>
  <c r="CY338" i="9" s="1"/>
  <c r="DC338" i="9" s="1"/>
  <c r="I339" i="9"/>
  <c r="FJ335" i="12"/>
  <c r="FK335" i="12"/>
  <c r="FL335" i="12"/>
  <c r="DW336" i="9"/>
  <c r="DX336" i="9"/>
  <c r="DZ336" i="9"/>
  <c r="DY336" i="9"/>
  <c r="BA336" i="9"/>
  <c r="AZ336" i="9"/>
  <c r="BB336" i="9"/>
  <c r="AY336" i="9"/>
  <c r="BC336" i="9" s="1"/>
  <c r="M337" i="12"/>
  <c r="P337" i="12" s="1"/>
  <c r="Q337" i="12" s="1"/>
  <c r="AH335" i="12"/>
  <c r="AI335" i="12"/>
  <c r="AG335" i="12"/>
  <c r="BS335" i="12"/>
  <c r="BU335" i="12"/>
  <c r="BT335" i="12"/>
  <c r="FI336" i="9"/>
  <c r="FJ336" i="9"/>
  <c r="FK336" i="9"/>
  <c r="FL336" i="9"/>
  <c r="DH334" i="12"/>
  <c r="EQ335" i="12"/>
  <c r="ES335" i="12"/>
  <c r="ER335" i="12"/>
  <c r="DE335" i="12"/>
  <c r="DF335" i="12"/>
  <c r="DG335" i="12"/>
  <c r="AZ335" i="12"/>
  <c r="BA335" i="12"/>
  <c r="BB335" i="12"/>
  <c r="ET334" i="12"/>
  <c r="DD336" i="9"/>
  <c r="DG336" i="9"/>
  <c r="DE336" i="9"/>
  <c r="DF336" i="9"/>
  <c r="N338" i="12" a="1"/>
  <c r="N338" i="12" s="1"/>
  <c r="O338" i="12" a="1"/>
  <c r="O338" i="12" s="1"/>
  <c r="J338" i="12" a="1"/>
  <c r="J338" i="12" s="1"/>
  <c r="H338" i="12" a="1"/>
  <c r="H338" i="12" s="1"/>
  <c r="G338" i="12" a="1"/>
  <c r="G338" i="12" s="1"/>
  <c r="L338" i="12" a="1"/>
  <c r="L338" i="12" s="1"/>
  <c r="K338" i="12" a="1"/>
  <c r="K338" i="12" s="1"/>
  <c r="D339" i="12"/>
  <c r="O339" i="9" a="1"/>
  <c r="O339" i="9" s="1"/>
  <c r="H339" i="9" a="1"/>
  <c r="H339" i="9" s="1"/>
  <c r="N339" i="9" a="1"/>
  <c r="N339" i="9" s="1"/>
  <c r="G339" i="9" a="1"/>
  <c r="G339" i="9" s="1"/>
  <c r="J339" i="9" a="1"/>
  <c r="J339" i="9" s="1"/>
  <c r="K339" i="9" a="1"/>
  <c r="K339" i="9" s="1"/>
  <c r="L339" i="9" a="1"/>
  <c r="L339" i="9" s="1"/>
  <c r="D340" i="9"/>
  <c r="BC334" i="12"/>
  <c r="CL335" i="12"/>
  <c r="CN335" i="12"/>
  <c r="CM335" i="12"/>
  <c r="FE336" i="12"/>
  <c r="FG336" i="12" s="1"/>
  <c r="FF336" i="12"/>
  <c r="EP336" i="12"/>
  <c r="CK336" i="12"/>
  <c r="DD336" i="12"/>
  <c r="AB336" i="12"/>
  <c r="AD336" i="12" s="1"/>
  <c r="AC336" i="12"/>
  <c r="BO336" i="12"/>
  <c r="BN336" i="12"/>
  <c r="BP336" i="12" s="1"/>
  <c r="BR336" i="12"/>
  <c r="CZ336" i="12"/>
  <c r="DB336" i="12" s="1"/>
  <c r="DS336" i="12"/>
  <c r="DU336" i="12" s="1"/>
  <c r="CH336" i="12"/>
  <c r="AY336" i="12"/>
  <c r="DW336" i="12"/>
  <c r="DA336" i="12"/>
  <c r="DT336" i="12"/>
  <c r="CG336" i="12"/>
  <c r="CI336" i="12" s="1"/>
  <c r="EM336" i="12"/>
  <c r="FI336" i="12"/>
  <c r="AF336" i="12"/>
  <c r="EL336" i="12"/>
  <c r="EN336" i="12" s="1"/>
  <c r="AV336" i="12"/>
  <c r="AU336" i="12"/>
  <c r="AW336" i="12" s="1"/>
  <c r="EQ336" i="9"/>
  <c r="ES336" i="9"/>
  <c r="EP336" i="9"/>
  <c r="ER336" i="9"/>
  <c r="CM336" i="9"/>
  <c r="CN336" i="9"/>
  <c r="CL336" i="9"/>
  <c r="CK336" i="9"/>
  <c r="CG337" i="9"/>
  <c r="CI337" i="9" s="1"/>
  <c r="AU337" i="9"/>
  <c r="AW337" i="9" s="1"/>
  <c r="CH337" i="9"/>
  <c r="AV337" i="9"/>
  <c r="FF337" i="9"/>
  <c r="BO337" i="9"/>
  <c r="BN337" i="9"/>
  <c r="BP337" i="9" s="1"/>
  <c r="FE337" i="9"/>
  <c r="FG337" i="9" s="1"/>
  <c r="EL337" i="9"/>
  <c r="EN337" i="9" s="1"/>
  <c r="EM337" i="9"/>
  <c r="AB337" i="9"/>
  <c r="AD337" i="9" s="1"/>
  <c r="DA337" i="9"/>
  <c r="CZ337" i="9"/>
  <c r="DB337" i="9" s="1"/>
  <c r="AC337" i="9"/>
  <c r="DT337" i="9"/>
  <c r="DS337" i="9"/>
  <c r="DU337" i="9" s="1"/>
  <c r="EA336" i="9" l="1"/>
  <c r="FM336" i="9"/>
  <c r="CO336" i="9"/>
  <c r="DH336" i="9"/>
  <c r="ET336" i="9"/>
  <c r="BV336" i="9"/>
  <c r="FM335" i="12"/>
  <c r="DT338" i="9"/>
  <c r="EM338" i="9"/>
  <c r="CG338" i="9"/>
  <c r="CI338" i="9" s="1"/>
  <c r="FE338" i="9"/>
  <c r="FG338" i="9" s="1"/>
  <c r="FL338" i="9" s="1"/>
  <c r="BO338" i="9"/>
  <c r="AJ335" i="12"/>
  <c r="BC335" i="12"/>
  <c r="ET335" i="12"/>
  <c r="BV335" i="12"/>
  <c r="EL338" i="9"/>
  <c r="EN338" i="9" s="1"/>
  <c r="EQ338" i="9" s="1"/>
  <c r="BN338" i="9"/>
  <c r="BP338" i="9" s="1"/>
  <c r="CO335" i="12"/>
  <c r="EP337" i="12"/>
  <c r="FF337" i="12"/>
  <c r="FE337" i="12"/>
  <c r="FG337" i="12" s="1"/>
  <c r="DD337" i="12"/>
  <c r="CK337" i="12"/>
  <c r="AC337" i="12"/>
  <c r="BO337" i="12"/>
  <c r="AB337" i="12"/>
  <c r="AD337" i="12" s="1"/>
  <c r="BN337" i="12"/>
  <c r="BP337" i="12" s="1"/>
  <c r="DS337" i="12"/>
  <c r="DU337" i="12" s="1"/>
  <c r="EM337" i="12"/>
  <c r="AF337" i="12"/>
  <c r="DT337" i="12"/>
  <c r="AY337" i="12"/>
  <c r="CG337" i="12"/>
  <c r="CI337" i="12" s="1"/>
  <c r="DA337" i="12"/>
  <c r="DW337" i="12"/>
  <c r="CH337" i="12"/>
  <c r="CZ337" i="12"/>
  <c r="DB337" i="12" s="1"/>
  <c r="EL337" i="12"/>
  <c r="EN337" i="12" s="1"/>
  <c r="BR337" i="12"/>
  <c r="FI337" i="12"/>
  <c r="AV337" i="12"/>
  <c r="AU337" i="12"/>
  <c r="AW337" i="12" s="1"/>
  <c r="CK338" i="9"/>
  <c r="CM338" i="9"/>
  <c r="CL338" i="9"/>
  <c r="CN338" i="9"/>
  <c r="DX336" i="12"/>
  <c r="DZ336" i="12"/>
  <c r="DY336" i="12"/>
  <c r="H340" i="9" a="1"/>
  <c r="H340" i="9" s="1"/>
  <c r="N340" i="9" a="1"/>
  <c r="N340" i="9" s="1"/>
  <c r="G340" i="9" a="1"/>
  <c r="G340" i="9" s="1"/>
  <c r="O340" i="9" a="1"/>
  <c r="O340" i="9" s="1"/>
  <c r="L340" i="9" a="1"/>
  <c r="L340" i="9" s="1"/>
  <c r="K340" i="9" a="1"/>
  <c r="K340" i="9" s="1"/>
  <c r="J340" i="9" a="1"/>
  <c r="J340" i="9" s="1"/>
  <c r="D341" i="9"/>
  <c r="O339" i="12" a="1"/>
  <c r="O339" i="12" s="1"/>
  <c r="H339" i="12" a="1"/>
  <c r="H339" i="12" s="1"/>
  <c r="L339" i="12" a="1"/>
  <c r="L339" i="12" s="1"/>
  <c r="N339" i="12" a="1"/>
  <c r="N339" i="12" s="1"/>
  <c r="K339" i="12" a="1"/>
  <c r="K339" i="12" s="1"/>
  <c r="J339" i="12" a="1"/>
  <c r="J339" i="12" s="1"/>
  <c r="G339" i="12" a="1"/>
  <c r="G339" i="12" s="1"/>
  <c r="D340" i="12"/>
  <c r="ER338" i="9"/>
  <c r="AH337" i="9"/>
  <c r="AI337" i="9"/>
  <c r="AF337" i="9"/>
  <c r="AJ337" i="9" s="1"/>
  <c r="AG337" i="9"/>
  <c r="DE336" i="12"/>
  <c r="DF336" i="12"/>
  <c r="DG336" i="12"/>
  <c r="AC338" i="9"/>
  <c r="DD337" i="9"/>
  <c r="DF337" i="9"/>
  <c r="DE337" i="9"/>
  <c r="DG337" i="9"/>
  <c r="BS338" i="9"/>
  <c r="BR338" i="9"/>
  <c r="BU338" i="9"/>
  <c r="BT338" i="9"/>
  <c r="BB337" i="9"/>
  <c r="AY337" i="9"/>
  <c r="AZ337" i="9"/>
  <c r="BA337" i="9"/>
  <c r="CL336" i="12"/>
  <c r="CM336" i="12"/>
  <c r="CN336" i="12"/>
  <c r="DH335" i="12"/>
  <c r="DA338" i="9"/>
  <c r="FC339" i="9"/>
  <c r="FD339" i="9" s="1"/>
  <c r="FH339" i="9" s="1"/>
  <c r="AS339" i="9"/>
  <c r="AT339" i="9" s="1"/>
  <c r="AX339" i="9" s="1"/>
  <c r="EJ339" i="9"/>
  <c r="EK339" i="9" s="1"/>
  <c r="EO339" i="9" s="1"/>
  <c r="DQ339" i="9"/>
  <c r="DR339" i="9" s="1"/>
  <c r="DV339" i="9" s="1"/>
  <c r="BL339" i="9"/>
  <c r="BM339" i="9" s="1"/>
  <c r="BQ339" i="9" s="1"/>
  <c r="Z339" i="9"/>
  <c r="AA339" i="9" s="1"/>
  <c r="AE339" i="9" s="1"/>
  <c r="CE339" i="9"/>
  <c r="CF339" i="9" s="1"/>
  <c r="CJ339" i="9" s="1"/>
  <c r="CX339" i="9"/>
  <c r="CY339" i="9" s="1"/>
  <c r="DC339" i="9" s="1"/>
  <c r="I340" i="9"/>
  <c r="CK337" i="9"/>
  <c r="CN337" i="9"/>
  <c r="CL337" i="9"/>
  <c r="CM337" i="9"/>
  <c r="BS336" i="12"/>
  <c r="BU336" i="12"/>
  <c r="BT336" i="12"/>
  <c r="FJ336" i="12"/>
  <c r="FL336" i="12"/>
  <c r="FK336" i="12"/>
  <c r="M339" i="9"/>
  <c r="P339" i="9" s="1"/>
  <c r="Q339" i="9" s="1"/>
  <c r="AB338" i="9"/>
  <c r="AD338" i="9" s="1"/>
  <c r="CH338" i="9"/>
  <c r="FL337" i="9"/>
  <c r="FJ337" i="9"/>
  <c r="FI337" i="9"/>
  <c r="FK337" i="9"/>
  <c r="AZ336" i="12"/>
  <c r="BB336" i="12"/>
  <c r="BA336" i="12"/>
  <c r="CZ338" i="9"/>
  <c r="DB338" i="9" s="1"/>
  <c r="AU338" i="9"/>
  <c r="AW338" i="9" s="1"/>
  <c r="EA335" i="12"/>
  <c r="BS337" i="9"/>
  <c r="BT337" i="9"/>
  <c r="BU337" i="9"/>
  <c r="BR337" i="9"/>
  <c r="M338" i="12"/>
  <c r="P338" i="12" s="1"/>
  <c r="Q338" i="12" s="1"/>
  <c r="FF338" i="9"/>
  <c r="EQ337" i="9"/>
  <c r="ES337" i="9"/>
  <c r="ER337" i="9"/>
  <c r="EP337" i="9"/>
  <c r="DZ337" i="9"/>
  <c r="DY337" i="9"/>
  <c r="DX337" i="9"/>
  <c r="DW337" i="9"/>
  <c r="EQ336" i="12"/>
  <c r="ES336" i="12"/>
  <c r="ER336" i="12"/>
  <c r="AH336" i="12"/>
  <c r="AG336" i="12"/>
  <c r="AI336" i="12"/>
  <c r="DS338" i="9"/>
  <c r="DU338" i="9" s="1"/>
  <c r="AV338" i="9"/>
  <c r="ES338" i="9" l="1"/>
  <c r="EP338" i="9"/>
  <c r="FJ338" i="9"/>
  <c r="FI338" i="9"/>
  <c r="EA337" i="9"/>
  <c r="CO337" i="9"/>
  <c r="CO338" i="9" s="1"/>
  <c r="FM337" i="9"/>
  <c r="BC337" i="9"/>
  <c r="ET337" i="9"/>
  <c r="ET338" i="9" s="1"/>
  <c r="BV337" i="9"/>
  <c r="BV338" i="9" s="1"/>
  <c r="FK338" i="9"/>
  <c r="DH337" i="9"/>
  <c r="BV336" i="12"/>
  <c r="DH336" i="12"/>
  <c r="BC336" i="12"/>
  <c r="EA336" i="12"/>
  <c r="AJ336" i="12"/>
  <c r="FM336" i="12"/>
  <c r="FF338" i="12"/>
  <c r="FE338" i="12"/>
  <c r="FG338" i="12" s="1"/>
  <c r="EP338" i="12"/>
  <c r="CK338" i="12"/>
  <c r="DD338" i="12"/>
  <c r="AC338" i="12"/>
  <c r="BO338" i="12"/>
  <c r="AB338" i="12"/>
  <c r="AD338" i="12" s="1"/>
  <c r="BN338" i="12"/>
  <c r="BP338" i="12" s="1"/>
  <c r="DT338" i="12"/>
  <c r="EL338" i="12"/>
  <c r="EN338" i="12" s="1"/>
  <c r="CG338" i="12"/>
  <c r="CI338" i="12" s="1"/>
  <c r="AF338" i="12"/>
  <c r="FI338" i="12"/>
  <c r="DS338" i="12"/>
  <c r="DU338" i="12" s="1"/>
  <c r="DA338" i="12"/>
  <c r="BR338" i="12"/>
  <c r="DW338" i="12"/>
  <c r="EM338" i="12"/>
  <c r="CZ338" i="12"/>
  <c r="DB338" i="12" s="1"/>
  <c r="CH338" i="12"/>
  <c r="AY338" i="12"/>
  <c r="AU338" i="12"/>
  <c r="AW338" i="12" s="1"/>
  <c r="AV338" i="12"/>
  <c r="CG339" i="9"/>
  <c r="CI339" i="9" s="1"/>
  <c r="CH339" i="9"/>
  <c r="BO339" i="9"/>
  <c r="AU339" i="9"/>
  <c r="AW339" i="9" s="1"/>
  <c r="AV339" i="9"/>
  <c r="FF339" i="9"/>
  <c r="FE339" i="9"/>
  <c r="FG339" i="9" s="1"/>
  <c r="BN339" i="9"/>
  <c r="BP339" i="9" s="1"/>
  <c r="CZ339" i="9"/>
  <c r="DB339" i="9" s="1"/>
  <c r="AC339" i="9"/>
  <c r="AB339" i="9"/>
  <c r="AD339" i="9" s="1"/>
  <c r="DA339" i="9"/>
  <c r="EL339" i="9"/>
  <c r="EN339" i="9" s="1"/>
  <c r="EM339" i="9"/>
  <c r="DS339" i="9"/>
  <c r="DU339" i="9" s="1"/>
  <c r="DT339" i="9"/>
  <c r="CO336" i="12"/>
  <c r="DE337" i="12"/>
  <c r="DF337" i="12"/>
  <c r="DG337" i="12"/>
  <c r="FJ337" i="12"/>
  <c r="FL337" i="12"/>
  <c r="FK337" i="12"/>
  <c r="ET336" i="12"/>
  <c r="DX337" i="12"/>
  <c r="DZ337" i="12"/>
  <c r="DY337" i="12"/>
  <c r="DQ340" i="9"/>
  <c r="DR340" i="9" s="1"/>
  <c r="DV340" i="9" s="1"/>
  <c r="Z340" i="9"/>
  <c r="AA340" i="9" s="1"/>
  <c r="AE340" i="9" s="1"/>
  <c r="BL340" i="9"/>
  <c r="BM340" i="9" s="1"/>
  <c r="BQ340" i="9" s="1"/>
  <c r="EJ340" i="9"/>
  <c r="EK340" i="9" s="1"/>
  <c r="EO340" i="9" s="1"/>
  <c r="CE340" i="9"/>
  <c r="CF340" i="9" s="1"/>
  <c r="CJ340" i="9" s="1"/>
  <c r="FC340" i="9"/>
  <c r="FD340" i="9" s="1"/>
  <c r="FH340" i="9" s="1"/>
  <c r="CX340" i="9"/>
  <c r="CY340" i="9" s="1"/>
  <c r="DC340" i="9" s="1"/>
  <c r="AS340" i="9"/>
  <c r="AT340" i="9" s="1"/>
  <c r="AX340" i="9" s="1"/>
  <c r="I341" i="9"/>
  <c r="BS337" i="12"/>
  <c r="BU337" i="12"/>
  <c r="BT337" i="12"/>
  <c r="EQ337" i="12"/>
  <c r="ES337" i="12"/>
  <c r="ER337" i="12"/>
  <c r="G340" i="12" a="1"/>
  <c r="G340" i="12" s="1"/>
  <c r="N340" i="12" a="1"/>
  <c r="N340" i="12" s="1"/>
  <c r="J340" i="12" a="1"/>
  <c r="J340" i="12" s="1"/>
  <c r="K340" i="12" a="1"/>
  <c r="K340" i="12" s="1"/>
  <c r="L340" i="12" a="1"/>
  <c r="L340" i="12" s="1"/>
  <c r="H340" i="12" a="1"/>
  <c r="H340" i="12" s="1"/>
  <c r="O340" i="12" a="1"/>
  <c r="O340" i="12" s="1"/>
  <c r="D341" i="12"/>
  <c r="L341" i="9" a="1"/>
  <c r="L341" i="9" s="1"/>
  <c r="N341" i="9" a="1"/>
  <c r="N341" i="9" s="1"/>
  <c r="O341" i="9" a="1"/>
  <c r="O341" i="9" s="1"/>
  <c r="H341" i="9" a="1"/>
  <c r="H341" i="9" s="1"/>
  <c r="G341" i="9" a="1"/>
  <c r="G341" i="9" s="1"/>
  <c r="K341" i="9" a="1"/>
  <c r="K341" i="9" s="1"/>
  <c r="J341" i="9" a="1"/>
  <c r="J341" i="9" s="1"/>
  <c r="D342" i="9"/>
  <c r="AZ337" i="12"/>
  <c r="BA337" i="12"/>
  <c r="BB337" i="12"/>
  <c r="AH337" i="12"/>
  <c r="AG337" i="12"/>
  <c r="AI337" i="12"/>
  <c r="AY338" i="9"/>
  <c r="AZ338" i="9"/>
  <c r="BB338" i="9"/>
  <c r="BA338" i="9"/>
  <c r="M340" i="9"/>
  <c r="P340" i="9" s="1"/>
  <c r="Q340" i="9" s="1"/>
  <c r="CM337" i="12"/>
  <c r="CN337" i="12"/>
  <c r="CL337" i="12"/>
  <c r="DD338" i="9"/>
  <c r="DE338" i="9"/>
  <c r="DG338" i="9"/>
  <c r="DF338" i="9"/>
  <c r="M339" i="12"/>
  <c r="P339" i="12" s="1"/>
  <c r="Q339" i="12" s="1"/>
  <c r="DX338" i="9"/>
  <c r="DW338" i="9"/>
  <c r="EA338" i="9" s="1"/>
  <c r="DZ338" i="9"/>
  <c r="DY338" i="9"/>
  <c r="AG338" i="9"/>
  <c r="AI338" i="9"/>
  <c r="AF338" i="9"/>
  <c r="AH338" i="9"/>
  <c r="BV337" i="12"/>
  <c r="FM338" i="9" l="1"/>
  <c r="BC338" i="9"/>
  <c r="AJ338" i="9"/>
  <c r="DH338" i="9"/>
  <c r="M341" i="9"/>
  <c r="P341" i="9" s="1"/>
  <c r="Q341" i="9" s="1"/>
  <c r="FM337" i="12"/>
  <c r="AJ337" i="12"/>
  <c r="DX339" i="9"/>
  <c r="DZ339" i="9"/>
  <c r="DY339" i="9"/>
  <c r="DW339" i="9"/>
  <c r="FI339" i="9"/>
  <c r="FL339" i="9"/>
  <c r="FJ339" i="9"/>
  <c r="FK339" i="9"/>
  <c r="BB338" i="12"/>
  <c r="AZ338" i="12"/>
  <c r="BA338" i="12"/>
  <c r="DX338" i="12"/>
  <c r="DZ338" i="12"/>
  <c r="DY338" i="12"/>
  <c r="EP339" i="12"/>
  <c r="FF339" i="12"/>
  <c r="FE339" i="12"/>
  <c r="FG339" i="12" s="1"/>
  <c r="CK339" i="12"/>
  <c r="DD339" i="12"/>
  <c r="BO339" i="12"/>
  <c r="BN339" i="12"/>
  <c r="BP339" i="12" s="1"/>
  <c r="AB339" i="12"/>
  <c r="AD339" i="12" s="1"/>
  <c r="AC339" i="12"/>
  <c r="CG339" i="12"/>
  <c r="CI339" i="12" s="1"/>
  <c r="CH339" i="12"/>
  <c r="DS339" i="12"/>
  <c r="DU339" i="12" s="1"/>
  <c r="DA339" i="12"/>
  <c r="DW339" i="12"/>
  <c r="AF339" i="12"/>
  <c r="DT339" i="12"/>
  <c r="CZ339" i="12"/>
  <c r="DB339" i="12" s="1"/>
  <c r="AY339" i="12"/>
  <c r="BR339" i="12"/>
  <c r="FI339" i="12"/>
  <c r="EM339" i="12"/>
  <c r="EL339" i="12"/>
  <c r="EN339" i="12" s="1"/>
  <c r="AU339" i="12"/>
  <c r="AW339" i="12" s="1"/>
  <c r="AV339" i="12"/>
  <c r="M340" i="12"/>
  <c r="P340" i="12" s="1"/>
  <c r="Q340" i="12" s="1"/>
  <c r="Z341" i="9"/>
  <c r="AA341" i="9" s="1"/>
  <c r="AE341" i="9" s="1"/>
  <c r="CX341" i="9"/>
  <c r="CY341" i="9" s="1"/>
  <c r="DC341" i="9" s="1"/>
  <c r="CE341" i="9"/>
  <c r="CF341" i="9" s="1"/>
  <c r="CJ341" i="9" s="1"/>
  <c r="BL341" i="9"/>
  <c r="BM341" i="9" s="1"/>
  <c r="BQ341" i="9" s="1"/>
  <c r="AS341" i="9"/>
  <c r="AT341" i="9" s="1"/>
  <c r="AX341" i="9" s="1"/>
  <c r="FC341" i="9"/>
  <c r="FD341" i="9" s="1"/>
  <c r="FH341" i="9" s="1"/>
  <c r="DQ341" i="9"/>
  <c r="DR341" i="9" s="1"/>
  <c r="DV341" i="9" s="1"/>
  <c r="EJ341" i="9"/>
  <c r="EK341" i="9" s="1"/>
  <c r="EO341" i="9" s="1"/>
  <c r="I342" i="9"/>
  <c r="ER339" i="9"/>
  <c r="ES339" i="9"/>
  <c r="EQ339" i="9"/>
  <c r="EP339" i="9"/>
  <c r="BT339" i="9"/>
  <c r="BS339" i="9"/>
  <c r="BR339" i="9"/>
  <c r="BU339" i="9"/>
  <c r="DH337" i="12"/>
  <c r="BA339" i="9"/>
  <c r="AZ339" i="9"/>
  <c r="BB339" i="9"/>
  <c r="AY339" i="9"/>
  <c r="DE338" i="12"/>
  <c r="DG338" i="12"/>
  <c r="DF338" i="12"/>
  <c r="CN338" i="12"/>
  <c r="CM338" i="12"/>
  <c r="CL338" i="12"/>
  <c r="AG338" i="12"/>
  <c r="AH338" i="12"/>
  <c r="AI338" i="12"/>
  <c r="AU340" i="9"/>
  <c r="AW340" i="9" s="1"/>
  <c r="FF340" i="9"/>
  <c r="AV340" i="9"/>
  <c r="BO340" i="9"/>
  <c r="CG340" i="9"/>
  <c r="CI340" i="9" s="1"/>
  <c r="BN340" i="9"/>
  <c r="BP340" i="9" s="1"/>
  <c r="FE340" i="9"/>
  <c r="FG340" i="9" s="1"/>
  <c r="CH340" i="9"/>
  <c r="AC340" i="9"/>
  <c r="CZ340" i="9"/>
  <c r="DB340" i="9" s="1"/>
  <c r="EM340" i="9"/>
  <c r="EL340" i="9"/>
  <c r="EN340" i="9" s="1"/>
  <c r="AB340" i="9"/>
  <c r="AD340" i="9" s="1"/>
  <c r="DA340" i="9"/>
  <c r="DT340" i="9"/>
  <c r="DS340" i="9"/>
  <c r="DU340" i="9" s="1"/>
  <c r="BC337" i="12"/>
  <c r="K342" i="9" a="1"/>
  <c r="K342" i="9" s="1"/>
  <c r="J342" i="9" a="1"/>
  <c r="J342" i="9" s="1"/>
  <c r="G342" i="9" a="1"/>
  <c r="G342" i="9" s="1"/>
  <c r="N342" i="9" a="1"/>
  <c r="N342" i="9" s="1"/>
  <c r="H342" i="9" a="1"/>
  <c r="H342" i="9" s="1"/>
  <c r="O342" i="9" a="1"/>
  <c r="O342" i="9" s="1"/>
  <c r="L342" i="9" a="1"/>
  <c r="L342" i="9" s="1"/>
  <c r="D343" i="9"/>
  <c r="K341" i="12" a="1"/>
  <c r="K341" i="12" s="1"/>
  <c r="J341" i="12" a="1"/>
  <c r="J341" i="12" s="1"/>
  <c r="G341" i="12" a="1"/>
  <c r="G341" i="12" s="1"/>
  <c r="O341" i="12" a="1"/>
  <c r="O341" i="12" s="1"/>
  <c r="N341" i="12" a="1"/>
  <c r="N341" i="12" s="1"/>
  <c r="H341" i="12" a="1"/>
  <c r="H341" i="12" s="1"/>
  <c r="L341" i="12" a="1"/>
  <c r="L341" i="12" s="1"/>
  <c r="D342" i="12"/>
  <c r="ET337" i="12"/>
  <c r="EA337" i="12"/>
  <c r="AG339" i="9"/>
  <c r="AH339" i="9"/>
  <c r="AF339" i="9"/>
  <c r="AI339" i="9"/>
  <c r="EQ338" i="12"/>
  <c r="ER338" i="12"/>
  <c r="ES338" i="12"/>
  <c r="FJ338" i="12"/>
  <c r="FL338" i="12"/>
  <c r="FK338" i="12"/>
  <c r="CO337" i="12"/>
  <c r="DD339" i="9"/>
  <c r="DE339" i="9"/>
  <c r="DF339" i="9"/>
  <c r="DG339" i="9"/>
  <c r="CL339" i="9"/>
  <c r="CN339" i="9"/>
  <c r="CK339" i="9"/>
  <c r="CM339" i="9"/>
  <c r="BS338" i="12"/>
  <c r="BT338" i="12"/>
  <c r="BU338" i="12"/>
  <c r="BC338" i="12" l="1"/>
  <c r="BV339" i="9"/>
  <c r="BC339" i="9"/>
  <c r="AJ339" i="9"/>
  <c r="ET339" i="9"/>
  <c r="FM339" i="9"/>
  <c r="CO338" i="12"/>
  <c r="EA339" i="9"/>
  <c r="DH339" i="9"/>
  <c r="CO339" i="9"/>
  <c r="BV338" i="12"/>
  <c r="FM338" i="12"/>
  <c r="AJ338" i="12"/>
  <c r="EP340" i="12"/>
  <c r="FF340" i="12"/>
  <c r="FE340" i="12"/>
  <c r="FG340" i="12" s="1"/>
  <c r="DD340" i="12"/>
  <c r="CK340" i="12"/>
  <c r="AB340" i="12"/>
  <c r="AD340" i="12" s="1"/>
  <c r="AC340" i="12"/>
  <c r="BO340" i="12"/>
  <c r="BN340" i="12"/>
  <c r="BP340" i="12" s="1"/>
  <c r="CG340" i="12"/>
  <c r="CI340" i="12" s="1"/>
  <c r="DS340" i="12"/>
  <c r="DU340" i="12" s="1"/>
  <c r="AY340" i="12"/>
  <c r="FI340" i="12"/>
  <c r="AF340" i="12"/>
  <c r="DW340" i="12"/>
  <c r="CZ340" i="12"/>
  <c r="DB340" i="12" s="1"/>
  <c r="BR340" i="12"/>
  <c r="DA340" i="12"/>
  <c r="EM340" i="12"/>
  <c r="CH340" i="12"/>
  <c r="EL340" i="12"/>
  <c r="EN340" i="12" s="1"/>
  <c r="DT340" i="12"/>
  <c r="AV340" i="12"/>
  <c r="AU340" i="12"/>
  <c r="AW340" i="12" s="1"/>
  <c r="M341" i="12"/>
  <c r="P341" i="12" s="1"/>
  <c r="Q341" i="12" s="1"/>
  <c r="M342" i="9"/>
  <c r="P342" i="9" s="1"/>
  <c r="Q342" i="9" s="1"/>
  <c r="DE339" i="12"/>
  <c r="DG339" i="12"/>
  <c r="DF339" i="12"/>
  <c r="DD340" i="9"/>
  <c r="DE340" i="9"/>
  <c r="DG340" i="9"/>
  <c r="DF340" i="9"/>
  <c r="AI339" i="12"/>
  <c r="AG339" i="12"/>
  <c r="AH339" i="12"/>
  <c r="EA338" i="12"/>
  <c r="ET338" i="12"/>
  <c r="K342" i="12" a="1"/>
  <c r="K342" i="12" s="1"/>
  <c r="J342" i="12" a="1"/>
  <c r="J342" i="12" s="1"/>
  <c r="N342" i="12" a="1"/>
  <c r="N342" i="12" s="1"/>
  <c r="O342" i="12" a="1"/>
  <c r="O342" i="12" s="1"/>
  <c r="G342" i="12" a="1"/>
  <c r="G342" i="12" s="1"/>
  <c r="L342" i="12" a="1"/>
  <c r="L342" i="12" s="1"/>
  <c r="H342" i="12" a="1"/>
  <c r="H342" i="12" s="1"/>
  <c r="D343" i="12"/>
  <c r="K343" i="9" a="1"/>
  <c r="K343" i="9" s="1"/>
  <c r="G343" i="9" a="1"/>
  <c r="G343" i="9" s="1"/>
  <c r="N343" i="9" a="1"/>
  <c r="N343" i="9" s="1"/>
  <c r="H343" i="9" a="1"/>
  <c r="H343" i="9" s="1"/>
  <c r="O343" i="9" a="1"/>
  <c r="O343" i="9" s="1"/>
  <c r="J343" i="9" a="1"/>
  <c r="J343" i="9" s="1"/>
  <c r="L343" i="9" a="1"/>
  <c r="L343" i="9" s="1"/>
  <c r="D344" i="9"/>
  <c r="AZ340" i="9"/>
  <c r="BB340" i="9"/>
  <c r="BA340" i="9"/>
  <c r="AY340" i="9"/>
  <c r="BC340" i="9" s="1"/>
  <c r="DH338" i="12"/>
  <c r="BB339" i="12"/>
  <c r="BA339" i="12"/>
  <c r="AZ339" i="12"/>
  <c r="BS339" i="12"/>
  <c r="BU339" i="12"/>
  <c r="BT339" i="12"/>
  <c r="CL339" i="12"/>
  <c r="CM339" i="12"/>
  <c r="CN339" i="12"/>
  <c r="DW340" i="9"/>
  <c r="DX340" i="9"/>
  <c r="DZ340" i="9"/>
  <c r="DY340" i="9"/>
  <c r="BL342" i="9"/>
  <c r="BM342" i="9" s="1"/>
  <c r="BQ342" i="9" s="1"/>
  <c r="FC342" i="9"/>
  <c r="FD342" i="9" s="1"/>
  <c r="FH342" i="9" s="1"/>
  <c r="EJ342" i="9"/>
  <c r="EK342" i="9" s="1"/>
  <c r="EO342" i="9" s="1"/>
  <c r="CX342" i="9"/>
  <c r="CY342" i="9" s="1"/>
  <c r="DC342" i="9" s="1"/>
  <c r="AS342" i="9"/>
  <c r="AT342" i="9" s="1"/>
  <c r="AX342" i="9" s="1"/>
  <c r="CE342" i="9"/>
  <c r="CF342" i="9" s="1"/>
  <c r="CJ342" i="9" s="1"/>
  <c r="DQ342" i="9"/>
  <c r="DR342" i="9" s="1"/>
  <c r="DV342" i="9" s="1"/>
  <c r="Z342" i="9"/>
  <c r="AA342" i="9" s="1"/>
  <c r="AE342" i="9" s="1"/>
  <c r="I343" i="9"/>
  <c r="EQ339" i="12"/>
  <c r="ES339" i="12"/>
  <c r="ER339" i="12"/>
  <c r="EQ340" i="9"/>
  <c r="ER340" i="9"/>
  <c r="EP340" i="9"/>
  <c r="ET340" i="9" s="1"/>
  <c r="ES340" i="9"/>
  <c r="FL340" i="9"/>
  <c r="FK340" i="9"/>
  <c r="FJ340" i="9"/>
  <c r="FI340" i="9"/>
  <c r="FM340" i="9" s="1"/>
  <c r="BU340" i="9"/>
  <c r="BS340" i="9"/>
  <c r="BR340" i="9"/>
  <c r="BV340" i="9" s="1"/>
  <c r="BT340" i="9"/>
  <c r="FF341" i="9"/>
  <c r="CH341" i="9"/>
  <c r="FE341" i="9"/>
  <c r="FG341" i="9" s="1"/>
  <c r="CG341" i="9"/>
  <c r="CI341" i="9" s="1"/>
  <c r="AV341" i="9"/>
  <c r="BO341" i="9"/>
  <c r="BN341" i="9"/>
  <c r="BP341" i="9" s="1"/>
  <c r="AU341" i="9"/>
  <c r="AW341" i="9" s="1"/>
  <c r="CZ341" i="9"/>
  <c r="DB341" i="9" s="1"/>
  <c r="EM341" i="9"/>
  <c r="DA341" i="9"/>
  <c r="AB341" i="9"/>
  <c r="AD341" i="9" s="1"/>
  <c r="EL341" i="9"/>
  <c r="EN341" i="9" s="1"/>
  <c r="AC341" i="9"/>
  <c r="DT341" i="9"/>
  <c r="DS341" i="9"/>
  <c r="DU341" i="9" s="1"/>
  <c r="DX339" i="12"/>
  <c r="DZ339" i="12"/>
  <c r="DY339" i="12"/>
  <c r="AG340" i="9"/>
  <c r="AF340" i="9"/>
  <c r="AH340" i="9"/>
  <c r="AI340" i="9"/>
  <c r="CM340" i="9"/>
  <c r="CN340" i="9"/>
  <c r="CK340" i="9"/>
  <c r="CL340" i="9"/>
  <c r="BV339" i="12"/>
  <c r="FJ339" i="12"/>
  <c r="FK339" i="12"/>
  <c r="FL339" i="12"/>
  <c r="AJ340" i="9" l="1"/>
  <c r="EA340" i="9"/>
  <c r="CO340" i="9"/>
  <c r="DH340" i="9"/>
  <c r="AJ339" i="12"/>
  <c r="BC339" i="12"/>
  <c r="FM339" i="12"/>
  <c r="DH339" i="12"/>
  <c r="EA339" i="12"/>
  <c r="M342" i="12"/>
  <c r="P342" i="12" s="1"/>
  <c r="Q342" i="12" s="1"/>
  <c r="BA340" i="12"/>
  <c r="BB340" i="12"/>
  <c r="AZ340" i="12"/>
  <c r="DE340" i="12"/>
  <c r="DF340" i="12"/>
  <c r="DG340" i="12"/>
  <c r="BR341" i="9"/>
  <c r="BV341" i="9" s="1"/>
  <c r="BS341" i="9"/>
  <c r="BU341" i="9"/>
  <c r="BT341" i="9"/>
  <c r="EQ341" i="9"/>
  <c r="ER341" i="9"/>
  <c r="EP341" i="9"/>
  <c r="ET341" i="9" s="1"/>
  <c r="ES341" i="9"/>
  <c r="G344" i="9" a="1"/>
  <c r="G344" i="9" s="1"/>
  <c r="N344" i="9" a="1"/>
  <c r="N344" i="9" s="1"/>
  <c r="O344" i="9" a="1"/>
  <c r="O344" i="9" s="1"/>
  <c r="K344" i="9" a="1"/>
  <c r="K344" i="9" s="1"/>
  <c r="J344" i="9" a="1"/>
  <c r="J344" i="9" s="1"/>
  <c r="H344" i="9" a="1"/>
  <c r="H344" i="9" s="1"/>
  <c r="L344" i="9" a="1"/>
  <c r="L344" i="9" s="1"/>
  <c r="D345" i="9"/>
  <c r="AG341" i="9"/>
  <c r="AI341" i="9"/>
  <c r="AH341" i="9"/>
  <c r="AF341" i="9"/>
  <c r="EQ340" i="12"/>
  <c r="ER340" i="12"/>
  <c r="ES340" i="12"/>
  <c r="FK341" i="9"/>
  <c r="FI341" i="9"/>
  <c r="FM341" i="9" s="1"/>
  <c r="FL341" i="9"/>
  <c r="FJ341" i="9"/>
  <c r="ET339" i="12"/>
  <c r="M343" i="9"/>
  <c r="P343" i="9" s="1"/>
  <c r="Q343" i="9" s="1"/>
  <c r="AG340" i="12"/>
  <c r="AH340" i="12"/>
  <c r="AI340" i="12"/>
  <c r="CO339" i="12"/>
  <c r="DX340" i="12"/>
  <c r="DZ340" i="12"/>
  <c r="DY340" i="12"/>
  <c r="FJ340" i="12"/>
  <c r="FL340" i="12"/>
  <c r="FK340" i="12"/>
  <c r="CM341" i="9"/>
  <c r="CN341" i="9"/>
  <c r="CL341" i="9"/>
  <c r="CK341" i="9"/>
  <c r="CO341" i="9" s="1"/>
  <c r="DF341" i="9"/>
  <c r="DD341" i="9"/>
  <c r="DE341" i="9"/>
  <c r="DG341" i="9"/>
  <c r="CX343" i="9"/>
  <c r="CY343" i="9" s="1"/>
  <c r="DC343" i="9" s="1"/>
  <c r="EJ343" i="9"/>
  <c r="EK343" i="9" s="1"/>
  <c r="EO343" i="9" s="1"/>
  <c r="DQ343" i="9"/>
  <c r="DR343" i="9" s="1"/>
  <c r="DV343" i="9" s="1"/>
  <c r="AS343" i="9"/>
  <c r="AT343" i="9" s="1"/>
  <c r="AX343" i="9" s="1"/>
  <c r="CE343" i="9"/>
  <c r="CF343" i="9" s="1"/>
  <c r="CJ343" i="9" s="1"/>
  <c r="BL343" i="9"/>
  <c r="BM343" i="9" s="1"/>
  <c r="BQ343" i="9" s="1"/>
  <c r="FC343" i="9"/>
  <c r="FD343" i="9" s="1"/>
  <c r="FH343" i="9" s="1"/>
  <c r="Z343" i="9"/>
  <c r="AA343" i="9" s="1"/>
  <c r="AE343" i="9" s="1"/>
  <c r="I344" i="9"/>
  <c r="BO342" i="9"/>
  <c r="CH342" i="9"/>
  <c r="BN342" i="9"/>
  <c r="BP342" i="9" s="1"/>
  <c r="CG342" i="9"/>
  <c r="CI342" i="9" s="1"/>
  <c r="AV342" i="9"/>
  <c r="AU342" i="9"/>
  <c r="AW342" i="9" s="1"/>
  <c r="FF342" i="9"/>
  <c r="FE342" i="9"/>
  <c r="FG342" i="9" s="1"/>
  <c r="CZ342" i="9"/>
  <c r="DB342" i="9" s="1"/>
  <c r="AC342" i="9"/>
  <c r="EL342" i="9"/>
  <c r="EN342" i="9" s="1"/>
  <c r="DA342" i="9"/>
  <c r="EM342" i="9"/>
  <c r="AB342" i="9"/>
  <c r="AD342" i="9" s="1"/>
  <c r="DT342" i="9"/>
  <c r="DS342" i="9"/>
  <c r="DU342" i="9" s="1"/>
  <c r="CM340" i="12"/>
  <c r="CN340" i="12"/>
  <c r="CL340" i="12"/>
  <c r="L343" i="12" a="1"/>
  <c r="L343" i="12" s="1"/>
  <c r="J343" i="12" a="1"/>
  <c r="J343" i="12" s="1"/>
  <c r="N343" i="12" a="1"/>
  <c r="N343" i="12" s="1"/>
  <c r="H343" i="12" a="1"/>
  <c r="H343" i="12" s="1"/>
  <c r="O343" i="12" a="1"/>
  <c r="O343" i="12" s="1"/>
  <c r="G343" i="12" a="1"/>
  <c r="G343" i="12" s="1"/>
  <c r="D344" i="12"/>
  <c r="K343" i="12" a="1"/>
  <c r="K343" i="12" s="1"/>
  <c r="DX341" i="9"/>
  <c r="DW341" i="9"/>
  <c r="DZ341" i="9"/>
  <c r="DY341" i="9"/>
  <c r="BA341" i="9"/>
  <c r="BB341" i="9"/>
  <c r="AY341" i="9"/>
  <c r="AZ341" i="9"/>
  <c r="FF341" i="12"/>
  <c r="FE341" i="12"/>
  <c r="FG341" i="12" s="1"/>
  <c r="EP341" i="12"/>
  <c r="DD341" i="12"/>
  <c r="CK341" i="12"/>
  <c r="BN341" i="12"/>
  <c r="BP341" i="12" s="1"/>
  <c r="AC341" i="12"/>
  <c r="AB341" i="12"/>
  <c r="AD341" i="12" s="1"/>
  <c r="BO341" i="12"/>
  <c r="EM341" i="12"/>
  <c r="DS341" i="12"/>
  <c r="DU341" i="12" s="1"/>
  <c r="CG341" i="12"/>
  <c r="CI341" i="12" s="1"/>
  <c r="AF341" i="12"/>
  <c r="EL341" i="12"/>
  <c r="EN341" i="12" s="1"/>
  <c r="DA341" i="12"/>
  <c r="FI341" i="12"/>
  <c r="CH341" i="12"/>
  <c r="AY341" i="12"/>
  <c r="BR341" i="12"/>
  <c r="CZ341" i="12"/>
  <c r="DB341" i="12" s="1"/>
  <c r="DT341" i="12"/>
  <c r="DW341" i="12"/>
  <c r="AV341" i="12"/>
  <c r="AU341" i="12"/>
  <c r="AW341" i="12" s="1"/>
  <c r="BS340" i="12"/>
  <c r="BU340" i="12"/>
  <c r="BT340" i="12"/>
  <c r="EA341" i="9" l="1"/>
  <c r="AJ341" i="9"/>
  <c r="BC341" i="9"/>
  <c r="DH341" i="9"/>
  <c r="CO340" i="12"/>
  <c r="BC340" i="12"/>
  <c r="AJ340" i="12"/>
  <c r="FM340" i="12"/>
  <c r="BV340" i="12"/>
  <c r="EA340" i="12"/>
  <c r="FJ341" i="12"/>
  <c r="FK341" i="12"/>
  <c r="FL341" i="12"/>
  <c r="L345" i="9" a="1"/>
  <c r="L345" i="9" s="1"/>
  <c r="K345" i="9" a="1"/>
  <c r="K345" i="9" s="1"/>
  <c r="O345" i="9" a="1"/>
  <c r="O345" i="9" s="1"/>
  <c r="N345" i="9" a="1"/>
  <c r="N345" i="9" s="1"/>
  <c r="G345" i="9" a="1"/>
  <c r="G345" i="9" s="1"/>
  <c r="H345" i="9" a="1"/>
  <c r="H345" i="9" s="1"/>
  <c r="J345" i="9" a="1"/>
  <c r="J345" i="9" s="1"/>
  <c r="D346" i="9"/>
  <c r="AF342" i="9"/>
  <c r="AH342" i="9"/>
  <c r="AI342" i="9"/>
  <c r="AG342" i="9"/>
  <c r="BB342" i="9"/>
  <c r="AZ342" i="9"/>
  <c r="BA342" i="9"/>
  <c r="AY342" i="9"/>
  <c r="FK342" i="9"/>
  <c r="FI342" i="9"/>
  <c r="FM342" i="9" s="1"/>
  <c r="FL342" i="9"/>
  <c r="FJ342" i="9"/>
  <c r="AZ341" i="12"/>
  <c r="BB341" i="12"/>
  <c r="BA341" i="12"/>
  <c r="AG341" i="12"/>
  <c r="AI341" i="12"/>
  <c r="AH341" i="12"/>
  <c r="EP342" i="12"/>
  <c r="FE342" i="12"/>
  <c r="FG342" i="12" s="1"/>
  <c r="FF342" i="12"/>
  <c r="CK342" i="12"/>
  <c r="DD342" i="12"/>
  <c r="BO342" i="12"/>
  <c r="AC342" i="12"/>
  <c r="BN342" i="12"/>
  <c r="BP342" i="12" s="1"/>
  <c r="AB342" i="12"/>
  <c r="AD342" i="12" s="1"/>
  <c r="BR342" i="12"/>
  <c r="DA342" i="12"/>
  <c r="EM342" i="12"/>
  <c r="CZ342" i="12"/>
  <c r="DB342" i="12" s="1"/>
  <c r="FI342" i="12"/>
  <c r="AF342" i="12"/>
  <c r="DT342" i="12"/>
  <c r="CH342" i="12"/>
  <c r="DS342" i="12"/>
  <c r="DU342" i="12" s="1"/>
  <c r="CG342" i="12"/>
  <c r="CI342" i="12" s="1"/>
  <c r="EL342" i="12"/>
  <c r="EN342" i="12" s="1"/>
  <c r="AY342" i="12"/>
  <c r="DW342" i="12"/>
  <c r="AV342" i="12"/>
  <c r="AU342" i="12"/>
  <c r="AW342" i="12" s="1"/>
  <c r="M343" i="12"/>
  <c r="P343" i="12" s="1"/>
  <c r="Q343" i="12" s="1"/>
  <c r="ET340" i="12"/>
  <c r="DH340" i="12"/>
  <c r="DY342" i="9"/>
  <c r="DZ342" i="9"/>
  <c r="DX342" i="9"/>
  <c r="DW342" i="9"/>
  <c r="AU343" i="9"/>
  <c r="AW343" i="9" s="1"/>
  <c r="BN343" i="9"/>
  <c r="BP343" i="9" s="1"/>
  <c r="FF343" i="9"/>
  <c r="CG343" i="9"/>
  <c r="CI343" i="9" s="1"/>
  <c r="CH343" i="9"/>
  <c r="AV343" i="9"/>
  <c r="BO343" i="9"/>
  <c r="FE343" i="9"/>
  <c r="FG343" i="9" s="1"/>
  <c r="AB343" i="9"/>
  <c r="AD343" i="9" s="1"/>
  <c r="EL343" i="9"/>
  <c r="EN343" i="9" s="1"/>
  <c r="AC343" i="9"/>
  <c r="EM343" i="9"/>
  <c r="DA343" i="9"/>
  <c r="CZ343" i="9"/>
  <c r="DB343" i="9" s="1"/>
  <c r="DT343" i="9"/>
  <c r="DS343" i="9"/>
  <c r="DU343" i="9" s="1"/>
  <c r="CL342" i="9"/>
  <c r="CN342" i="9"/>
  <c r="CK342" i="9"/>
  <c r="CO342" i="9" s="1"/>
  <c r="CM342" i="9"/>
  <c r="M344" i="9"/>
  <c r="P344" i="9" s="1"/>
  <c r="Q344" i="9" s="1"/>
  <c r="DX341" i="12"/>
  <c r="DY341" i="12"/>
  <c r="DZ341" i="12"/>
  <c r="EQ341" i="12"/>
  <c r="ES341" i="12"/>
  <c r="ER341" i="12"/>
  <c r="ER342" i="9"/>
  <c r="ES342" i="9"/>
  <c r="EQ342" i="9"/>
  <c r="EP342" i="9"/>
  <c r="ET342" i="9" s="1"/>
  <c r="BU342" i="9"/>
  <c r="BS342" i="9"/>
  <c r="BT342" i="9"/>
  <c r="BR342" i="9"/>
  <c r="K344" i="12" a="1"/>
  <c r="K344" i="12" s="1"/>
  <c r="H344" i="12" a="1"/>
  <c r="H344" i="12" s="1"/>
  <c r="O344" i="12" a="1"/>
  <c r="O344" i="12" s="1"/>
  <c r="J344" i="12" a="1"/>
  <c r="J344" i="12" s="1"/>
  <c r="N344" i="12" a="1"/>
  <c r="N344" i="12" s="1"/>
  <c r="G344" i="12" a="1"/>
  <c r="G344" i="12" s="1"/>
  <c r="L344" i="12" a="1"/>
  <c r="L344" i="12" s="1"/>
  <c r="D345" i="12"/>
  <c r="Z344" i="9"/>
  <c r="AA344" i="9" s="1"/>
  <c r="AE344" i="9" s="1"/>
  <c r="CE344" i="9"/>
  <c r="CF344" i="9" s="1"/>
  <c r="CJ344" i="9" s="1"/>
  <c r="EJ344" i="9"/>
  <c r="EK344" i="9" s="1"/>
  <c r="EO344" i="9" s="1"/>
  <c r="DQ344" i="9"/>
  <c r="DR344" i="9" s="1"/>
  <c r="DV344" i="9" s="1"/>
  <c r="CX344" i="9"/>
  <c r="CY344" i="9" s="1"/>
  <c r="DC344" i="9" s="1"/>
  <c r="BL344" i="9"/>
  <c r="BM344" i="9" s="1"/>
  <c r="BQ344" i="9" s="1"/>
  <c r="AS344" i="9"/>
  <c r="AT344" i="9" s="1"/>
  <c r="AX344" i="9" s="1"/>
  <c r="FC344" i="9"/>
  <c r="FD344" i="9" s="1"/>
  <c r="FH344" i="9" s="1"/>
  <c r="I345" i="9"/>
  <c r="BS341" i="12"/>
  <c r="BU341" i="12"/>
  <c r="BT341" i="12"/>
  <c r="DE341" i="12"/>
  <c r="DG341" i="12"/>
  <c r="DF341" i="12"/>
  <c r="CL341" i="12"/>
  <c r="CN341" i="12"/>
  <c r="CM341" i="12"/>
  <c r="DD342" i="9"/>
  <c r="DE342" i="9"/>
  <c r="DG342" i="9"/>
  <c r="DF342" i="9"/>
  <c r="FM341" i="12" l="1"/>
  <c r="BC342" i="9"/>
  <c r="EA342" i="9"/>
  <c r="AJ342" i="9"/>
  <c r="BV342" i="9"/>
  <c r="DH342" i="9"/>
  <c r="EL344" i="9"/>
  <c r="EN344" i="9" s="1"/>
  <c r="BO344" i="9"/>
  <c r="DA344" i="9"/>
  <c r="CH344" i="9"/>
  <c r="EM344" i="9"/>
  <c r="BN344" i="9"/>
  <c r="BP344" i="9" s="1"/>
  <c r="BS344" i="9" s="1"/>
  <c r="AC344" i="9"/>
  <c r="AU344" i="9"/>
  <c r="AW344" i="9" s="1"/>
  <c r="AZ344" i="9" s="1"/>
  <c r="DT344" i="9"/>
  <c r="FF344" i="9"/>
  <c r="CZ344" i="9"/>
  <c r="DB344" i="9" s="1"/>
  <c r="DE344" i="9" s="1"/>
  <c r="M344" i="12"/>
  <c r="P344" i="12" s="1"/>
  <c r="Q344" i="12" s="1"/>
  <c r="AJ341" i="12"/>
  <c r="DH341" i="12"/>
  <c r="FE344" i="9"/>
  <c r="FG344" i="9" s="1"/>
  <c r="FL344" i="9" s="1"/>
  <c r="CG344" i="9"/>
  <c r="CI344" i="9" s="1"/>
  <c r="CK344" i="9" s="1"/>
  <c r="DS344" i="9"/>
  <c r="DU344" i="9" s="1"/>
  <c r="AB344" i="9"/>
  <c r="AD344" i="9" s="1"/>
  <c r="AF344" i="9" s="1"/>
  <c r="AV344" i="9"/>
  <c r="EA341" i="12"/>
  <c r="BV341" i="12"/>
  <c r="ET341" i="12"/>
  <c r="BC341" i="12"/>
  <c r="FJ344" i="9"/>
  <c r="ES343" i="9"/>
  <c r="ER343" i="9"/>
  <c r="EP343" i="9"/>
  <c r="EQ343" i="9"/>
  <c r="BT343" i="9"/>
  <c r="BU343" i="9"/>
  <c r="BS343" i="9"/>
  <c r="BR343" i="9"/>
  <c r="BV343" i="9" s="1"/>
  <c r="FF343" i="12"/>
  <c r="FE343" i="12"/>
  <c r="FG343" i="12" s="1"/>
  <c r="EP343" i="12"/>
  <c r="DD343" i="12"/>
  <c r="CK343" i="12"/>
  <c r="AB343" i="12"/>
  <c r="AD343" i="12" s="1"/>
  <c r="BN343" i="12"/>
  <c r="BP343" i="12" s="1"/>
  <c r="BO343" i="12"/>
  <c r="AC343" i="12"/>
  <c r="BR343" i="12"/>
  <c r="DW343" i="12"/>
  <c r="DA343" i="12"/>
  <c r="AY343" i="12"/>
  <c r="CZ343" i="12"/>
  <c r="DB343" i="12" s="1"/>
  <c r="CH343" i="12"/>
  <c r="CG343" i="12"/>
  <c r="CI343" i="12" s="1"/>
  <c r="EM343" i="12"/>
  <c r="DT343" i="12"/>
  <c r="FI343" i="12"/>
  <c r="AF343" i="12"/>
  <c r="EL343" i="12"/>
  <c r="EN343" i="12" s="1"/>
  <c r="DS343" i="12"/>
  <c r="DU343" i="12" s="1"/>
  <c r="AV343" i="12"/>
  <c r="AU343" i="12"/>
  <c r="AW343" i="12" s="1"/>
  <c r="AI342" i="12"/>
  <c r="AG342" i="12"/>
  <c r="AH342" i="12"/>
  <c r="AG343" i="9"/>
  <c r="AF343" i="9"/>
  <c r="AI343" i="9"/>
  <c r="AH343" i="9"/>
  <c r="AY343" i="9"/>
  <c r="BC343" i="9" s="1"/>
  <c r="BB343" i="9"/>
  <c r="BA343" i="9"/>
  <c r="AZ343" i="9"/>
  <c r="BB342" i="12"/>
  <c r="BA342" i="12"/>
  <c r="AZ342" i="12"/>
  <c r="BS342" i="12"/>
  <c r="BU342" i="12"/>
  <c r="BT342" i="12"/>
  <c r="DY343" i="9"/>
  <c r="DX343" i="9"/>
  <c r="DZ343" i="9"/>
  <c r="DW343" i="9"/>
  <c r="FI343" i="9"/>
  <c r="FL343" i="9"/>
  <c r="FK343" i="9"/>
  <c r="FJ343" i="9"/>
  <c r="Z345" i="9"/>
  <c r="AA345" i="9" s="1"/>
  <c r="AE345" i="9" s="1"/>
  <c r="CE345" i="9"/>
  <c r="CF345" i="9" s="1"/>
  <c r="CJ345" i="9" s="1"/>
  <c r="EJ345" i="9"/>
  <c r="EK345" i="9" s="1"/>
  <c r="EO345" i="9" s="1"/>
  <c r="AS345" i="9"/>
  <c r="AT345" i="9" s="1"/>
  <c r="AX345" i="9" s="1"/>
  <c r="BL345" i="9"/>
  <c r="BM345" i="9" s="1"/>
  <c r="BQ345" i="9" s="1"/>
  <c r="FC345" i="9"/>
  <c r="FD345" i="9" s="1"/>
  <c r="FH345" i="9" s="1"/>
  <c r="DQ345" i="9"/>
  <c r="DR345" i="9" s="1"/>
  <c r="DV345" i="9" s="1"/>
  <c r="CX345" i="9"/>
  <c r="CY345" i="9" s="1"/>
  <c r="DC345" i="9" s="1"/>
  <c r="I346" i="9"/>
  <c r="DX342" i="12"/>
  <c r="DZ342" i="12"/>
  <c r="DY342" i="12"/>
  <c r="EQ344" i="9"/>
  <c r="ER344" i="9"/>
  <c r="EP344" i="9"/>
  <c r="ES344" i="9"/>
  <c r="DF343" i="9"/>
  <c r="DD343" i="9"/>
  <c r="DE343" i="9"/>
  <c r="DG343" i="9"/>
  <c r="DE342" i="12"/>
  <c r="DF342" i="12"/>
  <c r="DG342" i="12"/>
  <c r="H346" i="9" a="1"/>
  <c r="H346" i="9" s="1"/>
  <c r="O346" i="9" a="1"/>
  <c r="O346" i="9" s="1"/>
  <c r="N346" i="9" a="1"/>
  <c r="N346" i="9" s="1"/>
  <c r="G346" i="9" a="1"/>
  <c r="G346" i="9" s="1"/>
  <c r="K346" i="9" a="1"/>
  <c r="K346" i="9" s="1"/>
  <c r="L346" i="9" a="1"/>
  <c r="L346" i="9" s="1"/>
  <c r="J346" i="9" a="1"/>
  <c r="J346" i="9" s="1"/>
  <c r="D347" i="9"/>
  <c r="AH344" i="9"/>
  <c r="DZ344" i="9"/>
  <c r="DY344" i="9"/>
  <c r="DX344" i="9"/>
  <c r="DW344" i="9"/>
  <c r="L345" i="12" a="1"/>
  <c r="L345" i="12" s="1"/>
  <c r="N345" i="12" a="1"/>
  <c r="N345" i="12" s="1"/>
  <c r="K345" i="12" a="1"/>
  <c r="K345" i="12" s="1"/>
  <c r="H345" i="12" a="1"/>
  <c r="H345" i="12" s="1"/>
  <c r="J345" i="12" a="1"/>
  <c r="J345" i="12" s="1"/>
  <c r="O345" i="12" a="1"/>
  <c r="O345" i="12" s="1"/>
  <c r="G345" i="12" a="1"/>
  <c r="G345" i="12" s="1"/>
  <c r="D346" i="12"/>
  <c r="EQ342" i="12"/>
  <c r="ER342" i="12"/>
  <c r="ES342" i="12"/>
  <c r="M345" i="9"/>
  <c r="P345" i="9" s="1"/>
  <c r="Q345" i="9" s="1"/>
  <c r="FJ342" i="12"/>
  <c r="FK342" i="12"/>
  <c r="FL342" i="12"/>
  <c r="CO341" i="12"/>
  <c r="CM343" i="9"/>
  <c r="CL343" i="9"/>
  <c r="CN343" i="9"/>
  <c r="CK343" i="9"/>
  <c r="CO343" i="9" s="1"/>
  <c r="CL342" i="12"/>
  <c r="CN342" i="12"/>
  <c r="CM342" i="12"/>
  <c r="AI344" i="9" l="1"/>
  <c r="AG344" i="9"/>
  <c r="DD344" i="9"/>
  <c r="DG344" i="9"/>
  <c r="DF344" i="9"/>
  <c r="ET343" i="9"/>
  <c r="ET344" i="9" s="1"/>
  <c r="FM343" i="9"/>
  <c r="EA343" i="9"/>
  <c r="EA344" i="9" s="1"/>
  <c r="AJ343" i="9"/>
  <c r="AJ344" i="9" s="1"/>
  <c r="DH343" i="9"/>
  <c r="DH344" i="9" s="1"/>
  <c r="FM342" i="12"/>
  <c r="BR344" i="9"/>
  <c r="BV344" i="9" s="1"/>
  <c r="BT344" i="9"/>
  <c r="BU344" i="9"/>
  <c r="BC342" i="12"/>
  <c r="CL344" i="9"/>
  <c r="CO344" i="9" s="1"/>
  <c r="BA344" i="9"/>
  <c r="BB344" i="9"/>
  <c r="CM344" i="9"/>
  <c r="CN344" i="9"/>
  <c r="FK344" i="9"/>
  <c r="AY344" i="9"/>
  <c r="FI344" i="9"/>
  <c r="FM344" i="9" s="1"/>
  <c r="CO342" i="12"/>
  <c r="M345" i="12"/>
  <c r="P345" i="12" s="1"/>
  <c r="Q345" i="12" s="1"/>
  <c r="AJ342" i="12"/>
  <c r="ET342" i="12"/>
  <c r="EA342" i="12"/>
  <c r="BV342" i="12"/>
  <c r="FE345" i="9"/>
  <c r="FG345" i="9" s="1"/>
  <c r="FF345" i="9"/>
  <c r="AU345" i="9"/>
  <c r="AW345" i="9" s="1"/>
  <c r="CH345" i="9"/>
  <c r="AV345" i="9"/>
  <c r="BO345" i="9"/>
  <c r="CG345" i="9"/>
  <c r="CI345" i="9" s="1"/>
  <c r="BN345" i="9"/>
  <c r="BP345" i="9" s="1"/>
  <c r="AB345" i="9"/>
  <c r="AD345" i="9" s="1"/>
  <c r="EM345" i="9"/>
  <c r="AC345" i="9"/>
  <c r="CZ345" i="9"/>
  <c r="DB345" i="9" s="1"/>
  <c r="DA345" i="9"/>
  <c r="EL345" i="9"/>
  <c r="EN345" i="9" s="1"/>
  <c r="DT345" i="9"/>
  <c r="DS345" i="9"/>
  <c r="DU345" i="9" s="1"/>
  <c r="J347" i="9" a="1"/>
  <c r="J347" i="9" s="1"/>
  <c r="H347" i="9" a="1"/>
  <c r="H347" i="9" s="1"/>
  <c r="O347" i="9" a="1"/>
  <c r="O347" i="9" s="1"/>
  <c r="G347" i="9" a="1"/>
  <c r="G347" i="9" s="1"/>
  <c r="N347" i="9" a="1"/>
  <c r="N347" i="9" s="1"/>
  <c r="L347" i="9" a="1"/>
  <c r="L347" i="9" s="1"/>
  <c r="K347" i="9" a="1"/>
  <c r="K347" i="9" s="1"/>
  <c r="D348" i="9"/>
  <c r="FJ343" i="12"/>
  <c r="FK343" i="12"/>
  <c r="FL343" i="12"/>
  <c r="M346" i="9"/>
  <c r="P346" i="9" s="1"/>
  <c r="Q346" i="9" s="1"/>
  <c r="DH342" i="12"/>
  <c r="BA343" i="12"/>
  <c r="BB343" i="12"/>
  <c r="AZ343" i="12"/>
  <c r="CL343" i="12"/>
  <c r="CM343" i="12"/>
  <c r="CN343" i="12"/>
  <c r="FE344" i="12"/>
  <c r="FG344" i="12" s="1"/>
  <c r="FF344" i="12"/>
  <c r="EP344" i="12"/>
  <c r="CK344" i="12"/>
  <c r="DD344" i="12"/>
  <c r="BO344" i="12"/>
  <c r="AB344" i="12"/>
  <c r="AD344" i="12" s="1"/>
  <c r="BN344" i="12"/>
  <c r="BP344" i="12" s="1"/>
  <c r="AC344" i="12"/>
  <c r="DW344" i="12"/>
  <c r="BR344" i="12"/>
  <c r="AF344" i="12"/>
  <c r="FI344" i="12"/>
  <c r="AY344" i="12"/>
  <c r="CG344" i="12"/>
  <c r="CI344" i="12" s="1"/>
  <c r="DS344" i="12"/>
  <c r="DU344" i="12" s="1"/>
  <c r="EM344" i="12"/>
  <c r="DA344" i="12"/>
  <c r="CH344" i="12"/>
  <c r="DT344" i="12"/>
  <c r="EL344" i="12"/>
  <c r="EN344" i="12" s="1"/>
  <c r="CZ344" i="12"/>
  <c r="DB344" i="12" s="1"/>
  <c r="AU344" i="12"/>
  <c r="AW344" i="12" s="1"/>
  <c r="AV344" i="12"/>
  <c r="BS343" i="12"/>
  <c r="BT343" i="12"/>
  <c r="BU343" i="12"/>
  <c r="K346" i="12" a="1"/>
  <c r="K346" i="12" s="1"/>
  <c r="G346" i="12" a="1"/>
  <c r="G346" i="12" s="1"/>
  <c r="J346" i="12" a="1"/>
  <c r="J346" i="12" s="1"/>
  <c r="L346" i="12" a="1"/>
  <c r="L346" i="12" s="1"/>
  <c r="H346" i="12" a="1"/>
  <c r="H346" i="12" s="1"/>
  <c r="O346" i="12" a="1"/>
  <c r="O346" i="12" s="1"/>
  <c r="N346" i="12" a="1"/>
  <c r="N346" i="12" s="1"/>
  <c r="D347" i="12"/>
  <c r="CE346" i="9"/>
  <c r="CF346" i="9" s="1"/>
  <c r="CJ346" i="9" s="1"/>
  <c r="EJ346" i="9"/>
  <c r="EK346" i="9" s="1"/>
  <c r="EO346" i="9" s="1"/>
  <c r="FC346" i="9"/>
  <c r="FD346" i="9" s="1"/>
  <c r="FH346" i="9" s="1"/>
  <c r="BL346" i="9"/>
  <c r="BM346" i="9" s="1"/>
  <c r="BQ346" i="9" s="1"/>
  <c r="DQ346" i="9"/>
  <c r="DR346" i="9" s="1"/>
  <c r="DV346" i="9" s="1"/>
  <c r="CX346" i="9"/>
  <c r="CY346" i="9" s="1"/>
  <c r="DC346" i="9" s="1"/>
  <c r="AS346" i="9"/>
  <c r="AT346" i="9" s="1"/>
  <c r="AX346" i="9" s="1"/>
  <c r="Z346" i="9"/>
  <c r="AA346" i="9" s="1"/>
  <c r="AE346" i="9" s="1"/>
  <c r="I347" i="9"/>
  <c r="DX343" i="12"/>
  <c r="DZ343" i="12"/>
  <c r="DY343" i="12"/>
  <c r="DE343" i="12"/>
  <c r="DF343" i="12"/>
  <c r="DG343" i="12"/>
  <c r="AG343" i="12"/>
  <c r="AH343" i="12"/>
  <c r="AI343" i="12"/>
  <c r="EQ343" i="12"/>
  <c r="ES343" i="12"/>
  <c r="ER343" i="12"/>
  <c r="BC344" i="9" l="1"/>
  <c r="AU345" i="12"/>
  <c r="AW345" i="12" s="1"/>
  <c r="BB345" i="12" s="1"/>
  <c r="CH345" i="12"/>
  <c r="AB345" i="12"/>
  <c r="AD345" i="12" s="1"/>
  <c r="AG345" i="12" s="1"/>
  <c r="CZ345" i="12"/>
  <c r="DB345" i="12" s="1"/>
  <c r="DG345" i="12" s="1"/>
  <c r="AY345" i="12"/>
  <c r="EL345" i="12"/>
  <c r="EN345" i="12" s="1"/>
  <c r="EQ345" i="12" s="1"/>
  <c r="FI345" i="12"/>
  <c r="DD345" i="12"/>
  <c r="BR345" i="12"/>
  <c r="EP345" i="12"/>
  <c r="FE345" i="12"/>
  <c r="FG345" i="12" s="1"/>
  <c r="FJ345" i="12" s="1"/>
  <c r="FM343" i="12"/>
  <c r="BV343" i="12"/>
  <c r="CO343" i="12"/>
  <c r="AJ343" i="12"/>
  <c r="AS347" i="9"/>
  <c r="AT347" i="9" s="1"/>
  <c r="AX347" i="9" s="1"/>
  <c r="Z347" i="9"/>
  <c r="AA347" i="9" s="1"/>
  <c r="AE347" i="9" s="1"/>
  <c r="FC347" i="9"/>
  <c r="FD347" i="9" s="1"/>
  <c r="FH347" i="9" s="1"/>
  <c r="DQ347" i="9"/>
  <c r="DR347" i="9" s="1"/>
  <c r="DV347" i="9" s="1"/>
  <c r="BL347" i="9"/>
  <c r="BM347" i="9" s="1"/>
  <c r="BQ347" i="9" s="1"/>
  <c r="CX347" i="9"/>
  <c r="CY347" i="9" s="1"/>
  <c r="DC347" i="9" s="1"/>
  <c r="EJ347" i="9"/>
  <c r="EK347" i="9" s="1"/>
  <c r="EO347" i="9" s="1"/>
  <c r="CE347" i="9"/>
  <c r="CF347" i="9" s="1"/>
  <c r="CJ347" i="9" s="1"/>
  <c r="I348" i="9"/>
  <c r="BR345" i="9"/>
  <c r="BT345" i="9"/>
  <c r="BS345" i="9"/>
  <c r="BU345" i="9"/>
  <c r="L347" i="12" a="1"/>
  <c r="L347" i="12" s="1"/>
  <c r="O347" i="12" a="1"/>
  <c r="O347" i="12" s="1"/>
  <c r="J347" i="12" a="1"/>
  <c r="J347" i="12" s="1"/>
  <c r="N347" i="12" a="1"/>
  <c r="N347" i="12" s="1"/>
  <c r="G347" i="12" a="1"/>
  <c r="G347" i="12" s="1"/>
  <c r="K347" i="12" a="1"/>
  <c r="K347" i="12" s="1"/>
  <c r="H347" i="12" a="1"/>
  <c r="H347" i="12" s="1"/>
  <c r="D348" i="12"/>
  <c r="CG345" i="12"/>
  <c r="CI345" i="12" s="1"/>
  <c r="CN345" i="9"/>
  <c r="CK345" i="9"/>
  <c r="CL345" i="9"/>
  <c r="CM345" i="9"/>
  <c r="EP345" i="9"/>
  <c r="EQ345" i="9"/>
  <c r="ES345" i="9"/>
  <c r="ER345" i="9"/>
  <c r="FJ344" i="12"/>
  <c r="FL344" i="12"/>
  <c r="FK344" i="12"/>
  <c r="CG346" i="9"/>
  <c r="CI346" i="9" s="1"/>
  <c r="BO346" i="9"/>
  <c r="BN346" i="9"/>
  <c r="BP346" i="9" s="1"/>
  <c r="CH346" i="9"/>
  <c r="FF346" i="9"/>
  <c r="AV346" i="9"/>
  <c r="FE346" i="9"/>
  <c r="FG346" i="9" s="1"/>
  <c r="AU346" i="9"/>
  <c r="AW346" i="9" s="1"/>
  <c r="EL346" i="9"/>
  <c r="EN346" i="9" s="1"/>
  <c r="AC346" i="9"/>
  <c r="DA346" i="9"/>
  <c r="EM346" i="9"/>
  <c r="AB346" i="9"/>
  <c r="AD346" i="9" s="1"/>
  <c r="CZ346" i="9"/>
  <c r="DB346" i="9" s="1"/>
  <c r="DS346" i="9"/>
  <c r="DU346" i="9" s="1"/>
  <c r="DT346" i="9"/>
  <c r="AC345" i="12"/>
  <c r="FF345" i="12"/>
  <c r="CK345" i="12"/>
  <c r="DH343" i="12"/>
  <c r="DX344" i="12"/>
  <c r="DY344" i="12"/>
  <c r="DZ344" i="12"/>
  <c r="BS344" i="12"/>
  <c r="BU344" i="12"/>
  <c r="BT344" i="12"/>
  <c r="DW345" i="12"/>
  <c r="DE345" i="9"/>
  <c r="DG345" i="9"/>
  <c r="DD345" i="9"/>
  <c r="DF345" i="9"/>
  <c r="J348" i="9" a="1"/>
  <c r="J348" i="9" s="1"/>
  <c r="H348" i="9" a="1"/>
  <c r="H348" i="9" s="1"/>
  <c r="G348" i="9" a="1"/>
  <c r="G348" i="9" s="1"/>
  <c r="N348" i="9" a="1"/>
  <c r="N348" i="9" s="1"/>
  <c r="O348" i="9" a="1"/>
  <c r="O348" i="9" s="1"/>
  <c r="K348" i="9" a="1"/>
  <c r="K348" i="9" s="1"/>
  <c r="L348" i="9" a="1"/>
  <c r="L348" i="9" s="1"/>
  <c r="D349" i="9"/>
  <c r="ET343" i="12"/>
  <c r="EA343" i="12"/>
  <c r="BA344" i="12"/>
  <c r="BB344" i="12"/>
  <c r="AZ344" i="12"/>
  <c r="CL344" i="12"/>
  <c r="CN344" i="12"/>
  <c r="CM344" i="12"/>
  <c r="AH344" i="12"/>
  <c r="AG344" i="12"/>
  <c r="AI344" i="12"/>
  <c r="AV345" i="12"/>
  <c r="BN345" i="12"/>
  <c r="BP345" i="12" s="1"/>
  <c r="AY345" i="9"/>
  <c r="BC345" i="9" s="1"/>
  <c r="BB345" i="9"/>
  <c r="BA345" i="9"/>
  <c r="AZ345" i="9"/>
  <c r="DW345" i="9"/>
  <c r="DX345" i="9"/>
  <c r="DZ345" i="9"/>
  <c r="DY345" i="9"/>
  <c r="M346" i="12"/>
  <c r="P346" i="12" s="1"/>
  <c r="Q346" i="12" s="1"/>
  <c r="DE344" i="12"/>
  <c r="DG344" i="12"/>
  <c r="DF344" i="12"/>
  <c r="DS345" i="12"/>
  <c r="DU345" i="12" s="1"/>
  <c r="DT345" i="12"/>
  <c r="BO345" i="12"/>
  <c r="AF345" i="12"/>
  <c r="EQ344" i="12"/>
  <c r="ES344" i="12"/>
  <c r="ER344" i="12"/>
  <c r="BC343" i="12"/>
  <c r="EM345" i="12"/>
  <c r="DA345" i="12"/>
  <c r="M347" i="9"/>
  <c r="P347" i="9" s="1"/>
  <c r="Q347" i="9" s="1"/>
  <c r="AG345" i="9"/>
  <c r="AF345" i="9"/>
  <c r="AI345" i="9"/>
  <c r="AH345" i="9"/>
  <c r="FK345" i="9"/>
  <c r="FI345" i="9"/>
  <c r="FJ345" i="9"/>
  <c r="FL345" i="9"/>
  <c r="BV345" i="9" l="1"/>
  <c r="FM345" i="9"/>
  <c r="CO345" i="9"/>
  <c r="DF345" i="12"/>
  <c r="DH345" i="9"/>
  <c r="DE345" i="12"/>
  <c r="DH345" i="12" s="1"/>
  <c r="AH345" i="12"/>
  <c r="AI345" i="12"/>
  <c r="AJ345" i="12" s="1"/>
  <c r="ET345" i="9"/>
  <c r="AJ345" i="9"/>
  <c r="EA345" i="9"/>
  <c r="BA345" i="12"/>
  <c r="AZ345" i="12"/>
  <c r="BC345" i="12" s="1"/>
  <c r="ES345" i="12"/>
  <c r="FF346" i="12"/>
  <c r="CZ346" i="12"/>
  <c r="DB346" i="12" s="1"/>
  <c r="DF346" i="12" s="1"/>
  <c r="FI346" i="12"/>
  <c r="DD346" i="12"/>
  <c r="EL346" i="12"/>
  <c r="EN346" i="12" s="1"/>
  <c r="ES346" i="12" s="1"/>
  <c r="AB346" i="12"/>
  <c r="AD346" i="12" s="1"/>
  <c r="AG346" i="12" s="1"/>
  <c r="BR346" i="12"/>
  <c r="AC346" i="12"/>
  <c r="AV346" i="12"/>
  <c r="AY346" i="12"/>
  <c r="AU346" i="12"/>
  <c r="AW346" i="12" s="1"/>
  <c r="EM346" i="12"/>
  <c r="FE346" i="12"/>
  <c r="FG346" i="12" s="1"/>
  <c r="FJ346" i="12" s="1"/>
  <c r="DA346" i="12"/>
  <c r="EP346" i="12"/>
  <c r="AU347" i="9"/>
  <c r="AW347" i="9" s="1"/>
  <c r="BA347" i="9" s="1"/>
  <c r="CH347" i="9"/>
  <c r="FF347" i="9"/>
  <c r="BN347" i="9"/>
  <c r="BP347" i="9" s="1"/>
  <c r="DS347" i="9"/>
  <c r="DU347" i="9" s="1"/>
  <c r="BO347" i="9"/>
  <c r="DT347" i="9"/>
  <c r="AV347" i="9"/>
  <c r="FE347" i="9"/>
  <c r="FG347" i="9" s="1"/>
  <c r="FL347" i="9" s="1"/>
  <c r="DA347" i="9"/>
  <c r="FM344" i="12"/>
  <c r="CG346" i="12"/>
  <c r="CI346" i="12" s="1"/>
  <c r="CL346" i="12" s="1"/>
  <c r="AC347" i="9"/>
  <c r="ER345" i="12"/>
  <c r="FK345" i="12"/>
  <c r="CK346" i="12"/>
  <c r="FL345" i="12"/>
  <c r="DS346" i="12"/>
  <c r="DU346" i="12" s="1"/>
  <c r="DZ346" i="12" s="1"/>
  <c r="AJ344" i="12"/>
  <c r="EM347" i="9"/>
  <c r="CG347" i="9"/>
  <c r="CI347" i="9" s="1"/>
  <c r="CO344" i="12"/>
  <c r="EA344" i="12"/>
  <c r="BC344" i="12"/>
  <c r="CH346" i="12"/>
  <c r="AB347" i="9"/>
  <c r="AD347" i="9" s="1"/>
  <c r="AG347" i="9" s="1"/>
  <c r="EL347" i="9"/>
  <c r="EN347" i="9" s="1"/>
  <c r="ER347" i="9" s="1"/>
  <c r="CZ347" i="9"/>
  <c r="DB347" i="9" s="1"/>
  <c r="DE347" i="9" s="1"/>
  <c r="DH344" i="12"/>
  <c r="M348" i="9"/>
  <c r="P348" i="9" s="1"/>
  <c r="Q348" i="9" s="1"/>
  <c r="BV344" i="12"/>
  <c r="DX346" i="12"/>
  <c r="DY346" i="12"/>
  <c r="ET344" i="12"/>
  <c r="N349" i="9" a="1"/>
  <c r="N349" i="9" s="1"/>
  <c r="G349" i="9" a="1"/>
  <c r="G349" i="9" s="1"/>
  <c r="H349" i="9" a="1"/>
  <c r="H349" i="9" s="1"/>
  <c r="O349" i="9" a="1"/>
  <c r="O349" i="9" s="1"/>
  <c r="K349" i="9" a="1"/>
  <c r="K349" i="9" s="1"/>
  <c r="L349" i="9" a="1"/>
  <c r="L349" i="9" s="1"/>
  <c r="J349" i="9" a="1"/>
  <c r="J349" i="9" s="1"/>
  <c r="D350" i="9"/>
  <c r="ES346" i="9"/>
  <c r="ER346" i="9"/>
  <c r="EP346" i="9"/>
  <c r="EQ346" i="9"/>
  <c r="CN346" i="9"/>
  <c r="CM346" i="9"/>
  <c r="CK346" i="9"/>
  <c r="CL346" i="9"/>
  <c r="DT346" i="12"/>
  <c r="CL345" i="12"/>
  <c r="CN345" i="12"/>
  <c r="CM345" i="12"/>
  <c r="BB346" i="9"/>
  <c r="BA346" i="9"/>
  <c r="AY346" i="9"/>
  <c r="AZ346" i="9"/>
  <c r="G348" i="12" a="1"/>
  <c r="G348" i="12" s="1"/>
  <c r="O348" i="12" a="1"/>
  <c r="O348" i="12" s="1"/>
  <c r="J348" i="12" a="1"/>
  <c r="J348" i="12" s="1"/>
  <c r="H348" i="12" a="1"/>
  <c r="H348" i="12" s="1"/>
  <c r="L348" i="12" a="1"/>
  <c r="L348" i="12" s="1"/>
  <c r="K348" i="12" a="1"/>
  <c r="K348" i="12" s="1"/>
  <c r="N348" i="12" a="1"/>
  <c r="N348" i="12" s="1"/>
  <c r="D349" i="12"/>
  <c r="DZ346" i="9"/>
  <c r="DY346" i="9"/>
  <c r="DW346" i="9"/>
  <c r="DX346" i="9"/>
  <c r="FK346" i="9"/>
  <c r="FL346" i="9"/>
  <c r="FJ346" i="9"/>
  <c r="FI346" i="9"/>
  <c r="FM346" i="9" s="1"/>
  <c r="BS345" i="12"/>
  <c r="BT345" i="12"/>
  <c r="BU345" i="12"/>
  <c r="DF346" i="9"/>
  <c r="DG346" i="9"/>
  <c r="DD346" i="9"/>
  <c r="DE346" i="9"/>
  <c r="BO346" i="12"/>
  <c r="BR347" i="9"/>
  <c r="BU347" i="9"/>
  <c r="BS347" i="9"/>
  <c r="BT347" i="9"/>
  <c r="CL347" i="9"/>
  <c r="CN347" i="9"/>
  <c r="CK347" i="9"/>
  <c r="CM347" i="9"/>
  <c r="AH346" i="9"/>
  <c r="AI346" i="9"/>
  <c r="AG346" i="9"/>
  <c r="AF346" i="9"/>
  <c r="AZ346" i="12"/>
  <c r="BB346" i="12"/>
  <c r="BA346" i="12"/>
  <c r="ER346" i="12"/>
  <c r="DY347" i="9"/>
  <c r="DZ347" i="9"/>
  <c r="DW347" i="9"/>
  <c r="DX347" i="9"/>
  <c r="DG347" i="9"/>
  <c r="DF347" i="9"/>
  <c r="AF346" i="12"/>
  <c r="BN346" i="12"/>
  <c r="BP346" i="12" s="1"/>
  <c r="DX345" i="12"/>
  <c r="DZ345" i="12"/>
  <c r="DY345" i="12"/>
  <c r="AF347" i="9"/>
  <c r="BR346" i="9"/>
  <c r="BS346" i="9"/>
  <c r="BU346" i="9"/>
  <c r="BT346" i="9"/>
  <c r="DW346" i="12"/>
  <c r="M347" i="12"/>
  <c r="P347" i="12" s="1"/>
  <c r="Q347" i="12" s="1"/>
  <c r="DQ348" i="9"/>
  <c r="DR348" i="9" s="1"/>
  <c r="DV348" i="9" s="1"/>
  <c r="FC348" i="9"/>
  <c r="FD348" i="9" s="1"/>
  <c r="FH348" i="9" s="1"/>
  <c r="BL348" i="9"/>
  <c r="BM348" i="9" s="1"/>
  <c r="BQ348" i="9" s="1"/>
  <c r="CX348" i="9"/>
  <c r="CY348" i="9" s="1"/>
  <c r="DC348" i="9" s="1"/>
  <c r="EJ348" i="9"/>
  <c r="EK348" i="9" s="1"/>
  <c r="EO348" i="9" s="1"/>
  <c r="AS348" i="9"/>
  <c r="AT348" i="9" s="1"/>
  <c r="AX348" i="9" s="1"/>
  <c r="CE348" i="9"/>
  <c r="CF348" i="9" s="1"/>
  <c r="CJ348" i="9" s="1"/>
  <c r="Z348" i="9"/>
  <c r="AA348" i="9" s="1"/>
  <c r="AE348" i="9" s="1"/>
  <c r="I349" i="9"/>
  <c r="AZ347" i="9" l="1"/>
  <c r="ET345" i="12"/>
  <c r="BC346" i="9"/>
  <c r="CO346" i="9"/>
  <c r="CO347" i="9" s="1"/>
  <c r="BV346" i="9"/>
  <c r="BV347" i="9" s="1"/>
  <c r="DH346" i="9"/>
  <c r="FM345" i="12"/>
  <c r="ET346" i="9"/>
  <c r="DG346" i="12"/>
  <c r="EA346" i="9"/>
  <c r="EA347" i="9" s="1"/>
  <c r="DE346" i="12"/>
  <c r="AJ346" i="9"/>
  <c r="AI347" i="9"/>
  <c r="EQ346" i="12"/>
  <c r="ET346" i="12" s="1"/>
  <c r="FL346" i="12"/>
  <c r="CM346" i="12"/>
  <c r="AH347" i="9"/>
  <c r="FK346" i="12"/>
  <c r="AI346" i="12"/>
  <c r="CN346" i="12"/>
  <c r="AH346" i="12"/>
  <c r="DD347" i="9"/>
  <c r="DH347" i="9" s="1"/>
  <c r="BO348" i="9"/>
  <c r="AV348" i="9"/>
  <c r="CH348" i="9"/>
  <c r="DA348" i="9"/>
  <c r="FF348" i="9"/>
  <c r="AB348" i="9"/>
  <c r="AD348" i="9" s="1"/>
  <c r="AG348" i="9" s="1"/>
  <c r="BN348" i="9"/>
  <c r="BP348" i="9" s="1"/>
  <c r="CZ348" i="9"/>
  <c r="DB348" i="9" s="1"/>
  <c r="DF348" i="9" s="1"/>
  <c r="AU348" i="9"/>
  <c r="AW348" i="9" s="1"/>
  <c r="AC348" i="9"/>
  <c r="DS348" i="9"/>
  <c r="DU348" i="9" s="1"/>
  <c r="DY348" i="9" s="1"/>
  <c r="CG348" i="9"/>
  <c r="CI348" i="9" s="1"/>
  <c r="CK348" i="9" s="1"/>
  <c r="DT348" i="9"/>
  <c r="FE348" i="9"/>
  <c r="FG348" i="9" s="1"/>
  <c r="FK348" i="9" s="1"/>
  <c r="BB347" i="9"/>
  <c r="FJ347" i="9"/>
  <c r="FI347" i="9"/>
  <c r="AY347" i="9"/>
  <c r="BC347" i="9" s="1"/>
  <c r="BC348" i="9" s="1"/>
  <c r="FK347" i="9"/>
  <c r="EM348" i="9"/>
  <c r="EL348" i="9"/>
  <c r="EN348" i="9" s="1"/>
  <c r="ES347" i="9"/>
  <c r="EP347" i="9"/>
  <c r="EQ347" i="9"/>
  <c r="EA346" i="12"/>
  <c r="BC346" i="12"/>
  <c r="EA345" i="12"/>
  <c r="CO345" i="12"/>
  <c r="AJ346" i="12"/>
  <c r="L349" i="12" a="1"/>
  <c r="L349" i="12" s="1"/>
  <c r="J349" i="12" a="1"/>
  <c r="J349" i="12" s="1"/>
  <c r="O349" i="12" a="1"/>
  <c r="O349" i="12" s="1"/>
  <c r="G349" i="12" a="1"/>
  <c r="G349" i="12" s="1"/>
  <c r="H349" i="12" a="1"/>
  <c r="H349" i="12" s="1"/>
  <c r="N349" i="12" a="1"/>
  <c r="N349" i="12" s="1"/>
  <c r="K349" i="12" a="1"/>
  <c r="K349" i="12" s="1"/>
  <c r="D350" i="12"/>
  <c r="BV345" i="12"/>
  <c r="BS346" i="12"/>
  <c r="BU346" i="12"/>
  <c r="BT346" i="12"/>
  <c r="AS349" i="9"/>
  <c r="AT349" i="9" s="1"/>
  <c r="AX349" i="9" s="1"/>
  <c r="EJ349" i="9"/>
  <c r="EK349" i="9" s="1"/>
  <c r="EO349" i="9" s="1"/>
  <c r="CX349" i="9"/>
  <c r="CY349" i="9" s="1"/>
  <c r="DC349" i="9" s="1"/>
  <c r="FC349" i="9"/>
  <c r="FD349" i="9" s="1"/>
  <c r="FH349" i="9" s="1"/>
  <c r="DQ349" i="9"/>
  <c r="DR349" i="9" s="1"/>
  <c r="DV349" i="9" s="1"/>
  <c r="CE349" i="9"/>
  <c r="CF349" i="9" s="1"/>
  <c r="CJ349" i="9" s="1"/>
  <c r="Z349" i="9"/>
  <c r="AA349" i="9" s="1"/>
  <c r="AE349" i="9" s="1"/>
  <c r="BL349" i="9"/>
  <c r="BM349" i="9" s="1"/>
  <c r="BQ349" i="9" s="1"/>
  <c r="I350" i="9"/>
  <c r="FF347" i="12"/>
  <c r="FE347" i="12"/>
  <c r="FG347" i="12" s="1"/>
  <c r="EP347" i="12"/>
  <c r="DD347" i="12"/>
  <c r="CK347" i="12"/>
  <c r="BN347" i="12"/>
  <c r="BP347" i="12" s="1"/>
  <c r="BO347" i="12"/>
  <c r="AB347" i="12"/>
  <c r="AD347" i="12" s="1"/>
  <c r="AC347" i="12"/>
  <c r="AY347" i="12"/>
  <c r="CH347" i="12"/>
  <c r="AF347" i="12"/>
  <c r="BR347" i="12"/>
  <c r="DW347" i="12"/>
  <c r="DS347" i="12"/>
  <c r="DU347" i="12" s="1"/>
  <c r="EL347" i="12"/>
  <c r="EN347" i="12" s="1"/>
  <c r="DT347" i="12"/>
  <c r="EM347" i="12"/>
  <c r="CG347" i="12"/>
  <c r="CI347" i="12" s="1"/>
  <c r="FI347" i="12"/>
  <c r="DA347" i="12"/>
  <c r="CZ347" i="12"/>
  <c r="DB347" i="12" s="1"/>
  <c r="AU347" i="12"/>
  <c r="AW347" i="12" s="1"/>
  <c r="AV347" i="12"/>
  <c r="ER348" i="9"/>
  <c r="ES348" i="9"/>
  <c r="EP348" i="9"/>
  <c r="EQ348" i="9"/>
  <c r="AZ348" i="9"/>
  <c r="BB348" i="9"/>
  <c r="AY348" i="9"/>
  <c r="BA348" i="9"/>
  <c r="BS348" i="9"/>
  <c r="BT348" i="9"/>
  <c r="BR348" i="9"/>
  <c r="BV348" i="9" s="1"/>
  <c r="BU348" i="9"/>
  <c r="L350" i="9" a="1"/>
  <c r="L350" i="9" s="1"/>
  <c r="H350" i="9" a="1"/>
  <c r="H350" i="9" s="1"/>
  <c r="O350" i="9" a="1"/>
  <c r="O350" i="9" s="1"/>
  <c r="N350" i="9" a="1"/>
  <c r="N350" i="9" s="1"/>
  <c r="G350" i="9" a="1"/>
  <c r="G350" i="9" s="1"/>
  <c r="J350" i="9" a="1"/>
  <c r="J350" i="9" s="1"/>
  <c r="K350" i="9" a="1"/>
  <c r="K350" i="9" s="1"/>
  <c r="D351" i="9"/>
  <c r="AH348" i="9"/>
  <c r="M348" i="12"/>
  <c r="P348" i="12" s="1"/>
  <c r="Q348" i="12" s="1"/>
  <c r="M349" i="9"/>
  <c r="P349" i="9" s="1"/>
  <c r="Q349" i="9" s="1"/>
  <c r="FM346" i="12" l="1"/>
  <c r="DD348" i="9"/>
  <c r="CM348" i="9"/>
  <c r="DH346" i="12"/>
  <c r="FM347" i="9"/>
  <c r="ET347" i="9"/>
  <c r="ET348" i="9" s="1"/>
  <c r="CL348" i="9"/>
  <c r="CO348" i="9" s="1"/>
  <c r="CN348" i="9"/>
  <c r="CO346" i="12"/>
  <c r="AJ347" i="9"/>
  <c r="FL348" i="9"/>
  <c r="AI348" i="9"/>
  <c r="FI348" i="9"/>
  <c r="AF348" i="9"/>
  <c r="FJ348" i="9"/>
  <c r="DZ348" i="9"/>
  <c r="DX348" i="9"/>
  <c r="DW348" i="9"/>
  <c r="BN349" i="9"/>
  <c r="BP349" i="9" s="1"/>
  <c r="BR349" i="9" s="1"/>
  <c r="AB349" i="9"/>
  <c r="AD349" i="9" s="1"/>
  <c r="FE349" i="9"/>
  <c r="FG349" i="9" s="1"/>
  <c r="FK349" i="9" s="1"/>
  <c r="DT349" i="9"/>
  <c r="BO349" i="9"/>
  <c r="DS349" i="9"/>
  <c r="DU349" i="9" s="1"/>
  <c r="DW349" i="9" s="1"/>
  <c r="FF349" i="9"/>
  <c r="AU349" i="9"/>
  <c r="AW349" i="9" s="1"/>
  <c r="BB349" i="9" s="1"/>
  <c r="EM349" i="9"/>
  <c r="CH349" i="9"/>
  <c r="EL349" i="9"/>
  <c r="EN349" i="9" s="1"/>
  <c r="EQ349" i="9" s="1"/>
  <c r="DA349" i="9"/>
  <c r="AV349" i="9"/>
  <c r="CZ349" i="9"/>
  <c r="DB349" i="9" s="1"/>
  <c r="DG349" i="9" s="1"/>
  <c r="CG349" i="9"/>
  <c r="CI349" i="9" s="1"/>
  <c r="CM349" i="9" s="1"/>
  <c r="AC349" i="9"/>
  <c r="DT348" i="12"/>
  <c r="FE348" i="12"/>
  <c r="FG348" i="12" s="1"/>
  <c r="AY348" i="12"/>
  <c r="DA348" i="12"/>
  <c r="FI348" i="12"/>
  <c r="FF348" i="12"/>
  <c r="DD348" i="12"/>
  <c r="CZ348" i="12"/>
  <c r="DB348" i="12" s="1"/>
  <c r="DE348" i="12" s="1"/>
  <c r="AV348" i="12"/>
  <c r="DS348" i="12"/>
  <c r="DU348" i="12" s="1"/>
  <c r="AF348" i="12"/>
  <c r="BN348" i="12"/>
  <c r="BP348" i="12" s="1"/>
  <c r="CG348" i="12"/>
  <c r="CI348" i="12" s="1"/>
  <c r="CM348" i="12" s="1"/>
  <c r="EP348" i="12"/>
  <c r="BO348" i="12"/>
  <c r="DW348" i="12"/>
  <c r="DE348" i="9"/>
  <c r="DH348" i="9" s="1"/>
  <c r="EM348" i="12"/>
  <c r="AC348" i="12"/>
  <c r="DG348" i="9"/>
  <c r="AU348" i="12"/>
  <c r="AW348" i="12" s="1"/>
  <c r="AZ348" i="12" s="1"/>
  <c r="CK348" i="12"/>
  <c r="EL348" i="12"/>
  <c r="EN348" i="12" s="1"/>
  <c r="EQ348" i="12" s="1"/>
  <c r="AB348" i="12"/>
  <c r="AD348" i="12" s="1"/>
  <c r="AH348" i="12" s="1"/>
  <c r="CH348" i="12"/>
  <c r="BV346" i="12"/>
  <c r="M350" i="9"/>
  <c r="P350" i="9" s="1"/>
  <c r="Q350" i="9" s="1"/>
  <c r="AI349" i="9"/>
  <c r="AH349" i="9"/>
  <c r="AG349" i="9"/>
  <c r="AF349" i="9"/>
  <c r="N351" i="9" a="1"/>
  <c r="N351" i="9" s="1"/>
  <c r="O351" i="9" a="1"/>
  <c r="O351" i="9" s="1"/>
  <c r="H351" i="9" a="1"/>
  <c r="H351" i="9" s="1"/>
  <c r="G351" i="9" a="1"/>
  <c r="G351" i="9" s="1"/>
  <c r="J351" i="9" a="1"/>
  <c r="J351" i="9" s="1"/>
  <c r="K351" i="9" a="1"/>
  <c r="K351" i="9" s="1"/>
  <c r="L351" i="9" a="1"/>
  <c r="L351" i="9" s="1"/>
  <c r="D352" i="9"/>
  <c r="CM347" i="12"/>
  <c r="CL347" i="12"/>
  <c r="CN347" i="12"/>
  <c r="DX348" i="12"/>
  <c r="DZ348" i="12"/>
  <c r="DY348" i="12"/>
  <c r="FJ347" i="12"/>
  <c r="FK347" i="12"/>
  <c r="FL347" i="12"/>
  <c r="FJ348" i="12"/>
  <c r="FL348" i="12"/>
  <c r="FK348" i="12"/>
  <c r="EQ347" i="12"/>
  <c r="ES347" i="12"/>
  <c r="ER347" i="12"/>
  <c r="AG347" i="12"/>
  <c r="AH347" i="12"/>
  <c r="AI347" i="12"/>
  <c r="Z350" i="9"/>
  <c r="AA350" i="9" s="1"/>
  <c r="AE350" i="9" s="1"/>
  <c r="DQ350" i="9"/>
  <c r="DR350" i="9" s="1"/>
  <c r="DV350" i="9" s="1"/>
  <c r="BL350" i="9"/>
  <c r="BM350" i="9" s="1"/>
  <c r="BQ350" i="9" s="1"/>
  <c r="CE350" i="9"/>
  <c r="CF350" i="9" s="1"/>
  <c r="CJ350" i="9" s="1"/>
  <c r="CX350" i="9"/>
  <c r="CY350" i="9" s="1"/>
  <c r="DC350" i="9" s="1"/>
  <c r="FC350" i="9"/>
  <c r="FD350" i="9" s="1"/>
  <c r="FH350" i="9" s="1"/>
  <c r="EJ350" i="9"/>
  <c r="EK350" i="9" s="1"/>
  <c r="EO350" i="9" s="1"/>
  <c r="AS350" i="9"/>
  <c r="AT350" i="9" s="1"/>
  <c r="AX350" i="9" s="1"/>
  <c r="I351" i="9"/>
  <c r="M349" i="12"/>
  <c r="P349" i="12" s="1"/>
  <c r="Q349" i="12" s="1"/>
  <c r="BS348" i="12"/>
  <c r="BU348" i="12"/>
  <c r="BT348" i="12"/>
  <c r="BB347" i="12"/>
  <c r="AZ347" i="12"/>
  <c r="BA347" i="12"/>
  <c r="DX347" i="12"/>
  <c r="DZ347" i="12"/>
  <c r="DY347" i="12"/>
  <c r="BR348" i="12"/>
  <c r="DE347" i="12"/>
  <c r="DG347" i="12"/>
  <c r="DF347" i="12"/>
  <c r="BS347" i="12"/>
  <c r="BU347" i="12"/>
  <c r="BT347" i="12"/>
  <c r="J350" i="12" a="1"/>
  <c r="J350" i="12" s="1"/>
  <c r="N350" i="12" a="1"/>
  <c r="N350" i="12" s="1"/>
  <c r="O350" i="12" a="1"/>
  <c r="O350" i="12" s="1"/>
  <c r="H350" i="12" a="1"/>
  <c r="H350" i="12" s="1"/>
  <c r="K350" i="12" a="1"/>
  <c r="K350" i="12" s="1"/>
  <c r="G350" i="12" a="1"/>
  <c r="G350" i="12" s="1"/>
  <c r="L350" i="12" a="1"/>
  <c r="L350" i="12" s="1"/>
  <c r="D351" i="12"/>
  <c r="DD349" i="9" l="1"/>
  <c r="DX349" i="9"/>
  <c r="DE349" i="9"/>
  <c r="DY349" i="9"/>
  <c r="DF349" i="9"/>
  <c r="DZ349" i="9"/>
  <c r="AG348" i="12"/>
  <c r="AI348" i="12"/>
  <c r="AJ348" i="12" s="1"/>
  <c r="AZ349" i="9"/>
  <c r="CN349" i="9"/>
  <c r="DH349" i="9"/>
  <c r="EA348" i="9"/>
  <c r="EA349" i="9" s="1"/>
  <c r="CK349" i="9"/>
  <c r="CO349" i="9" s="1"/>
  <c r="CL349" i="9"/>
  <c r="FM348" i="9"/>
  <c r="AJ348" i="9"/>
  <c r="AJ349" i="9" s="1"/>
  <c r="ES349" i="9"/>
  <c r="BU349" i="9"/>
  <c r="FI349" i="9"/>
  <c r="ER349" i="9"/>
  <c r="BS349" i="9"/>
  <c r="FJ349" i="9"/>
  <c r="EP349" i="9"/>
  <c r="ET349" i="9" s="1"/>
  <c r="BT349" i="9"/>
  <c r="FL349" i="9"/>
  <c r="BB348" i="12"/>
  <c r="BA348" i="12"/>
  <c r="CL348" i="12"/>
  <c r="CN348" i="12"/>
  <c r="CG350" i="9"/>
  <c r="CI350" i="9" s="1"/>
  <c r="CM350" i="9" s="1"/>
  <c r="AC350" i="9"/>
  <c r="BN350" i="9"/>
  <c r="BP350" i="9" s="1"/>
  <c r="BS350" i="9" s="1"/>
  <c r="CZ350" i="9"/>
  <c r="DB350" i="9" s="1"/>
  <c r="CH350" i="9"/>
  <c r="EL350" i="9"/>
  <c r="EN350" i="9" s="1"/>
  <c r="FE350" i="9"/>
  <c r="FG350" i="9" s="1"/>
  <c r="FJ350" i="9" s="1"/>
  <c r="EM350" i="9"/>
  <c r="AU350" i="9"/>
  <c r="AW350" i="9" s="1"/>
  <c r="DS350" i="9"/>
  <c r="DU350" i="9" s="1"/>
  <c r="DY350" i="9" s="1"/>
  <c r="AV350" i="9"/>
  <c r="DT350" i="9"/>
  <c r="DA350" i="9"/>
  <c r="FF350" i="9"/>
  <c r="AB350" i="9"/>
  <c r="AD350" i="9" s="1"/>
  <c r="AI350" i="9" s="1"/>
  <c r="BO350" i="9"/>
  <c r="AY349" i="9"/>
  <c r="ET347" i="12"/>
  <c r="DF348" i="12"/>
  <c r="DG348" i="12"/>
  <c r="ER348" i="12"/>
  <c r="ES348" i="12"/>
  <c r="BA349" i="9"/>
  <c r="BV347" i="12"/>
  <c r="FM347" i="12"/>
  <c r="BC347" i="12"/>
  <c r="AJ347" i="12"/>
  <c r="M350" i="12"/>
  <c r="P350" i="12" s="1"/>
  <c r="Q350" i="12" s="1"/>
  <c r="M351" i="9"/>
  <c r="P351" i="9" s="1"/>
  <c r="Q351" i="9" s="1"/>
  <c r="FM348" i="12"/>
  <c r="CO347" i="12"/>
  <c r="EP349" i="12"/>
  <c r="FE349" i="12"/>
  <c r="FG349" i="12" s="1"/>
  <c r="FF349" i="12"/>
  <c r="DD349" i="12"/>
  <c r="CK349" i="12"/>
  <c r="AC349" i="12"/>
  <c r="BN349" i="12"/>
  <c r="BP349" i="12" s="1"/>
  <c r="AB349" i="12"/>
  <c r="AD349" i="12" s="1"/>
  <c r="BO349" i="12"/>
  <c r="DW349" i="12"/>
  <c r="DA349" i="12"/>
  <c r="AY349" i="12"/>
  <c r="FI349" i="12"/>
  <c r="DT349" i="12"/>
  <c r="AF349" i="12"/>
  <c r="DS349" i="12"/>
  <c r="DU349" i="12" s="1"/>
  <c r="BR349" i="12"/>
  <c r="CG349" i="12"/>
  <c r="CI349" i="12" s="1"/>
  <c r="EL349" i="12"/>
  <c r="EN349" i="12" s="1"/>
  <c r="CH349" i="12"/>
  <c r="CZ349" i="12"/>
  <c r="DB349" i="12" s="1"/>
  <c r="EM349" i="12"/>
  <c r="AV349" i="12"/>
  <c r="AU349" i="12"/>
  <c r="AW349" i="12" s="1"/>
  <c r="DH347" i="12"/>
  <c r="BR350" i="9"/>
  <c r="N351" i="12" a="1"/>
  <c r="N351" i="12" s="1"/>
  <c r="H351" i="12" a="1"/>
  <c r="H351" i="12" s="1"/>
  <c r="K351" i="12" a="1"/>
  <c r="K351" i="12" s="1"/>
  <c r="J351" i="12" a="1"/>
  <c r="J351" i="12" s="1"/>
  <c r="G351" i="12" a="1"/>
  <c r="G351" i="12" s="1"/>
  <c r="O351" i="12" a="1"/>
  <c r="O351" i="12" s="1"/>
  <c r="L351" i="12" a="1"/>
  <c r="L351" i="12" s="1"/>
  <c r="D352" i="12"/>
  <c r="EA347" i="12"/>
  <c r="EA348" i="12"/>
  <c r="DE350" i="9"/>
  <c r="EJ351" i="9"/>
  <c r="EK351" i="9" s="1"/>
  <c r="EO351" i="9" s="1"/>
  <c r="DQ351" i="9"/>
  <c r="DR351" i="9" s="1"/>
  <c r="DV351" i="9" s="1"/>
  <c r="CE351" i="9"/>
  <c r="CF351" i="9" s="1"/>
  <c r="CJ351" i="9" s="1"/>
  <c r="Z351" i="9"/>
  <c r="AA351" i="9" s="1"/>
  <c r="AE351" i="9" s="1"/>
  <c r="BL351" i="9"/>
  <c r="BM351" i="9" s="1"/>
  <c r="BQ351" i="9" s="1"/>
  <c r="FC351" i="9"/>
  <c r="FD351" i="9" s="1"/>
  <c r="FH351" i="9" s="1"/>
  <c r="AS351" i="9"/>
  <c r="AT351" i="9" s="1"/>
  <c r="AX351" i="9" s="1"/>
  <c r="CX351" i="9"/>
  <c r="CY351" i="9" s="1"/>
  <c r="DC351" i="9" s="1"/>
  <c r="I352" i="9"/>
  <c r="DW350" i="9"/>
  <c r="N352" i="9" a="1"/>
  <c r="N352" i="9" s="1"/>
  <c r="H352" i="9" a="1"/>
  <c r="H352" i="9" s="1"/>
  <c r="O352" i="9" a="1"/>
  <c r="O352" i="9" s="1"/>
  <c r="L352" i="9" a="1"/>
  <c r="L352" i="9" s="1"/>
  <c r="J352" i="9" a="1"/>
  <c r="J352" i="9" s="1"/>
  <c r="K352" i="9" a="1"/>
  <c r="K352" i="9" s="1"/>
  <c r="G352" i="9" a="1"/>
  <c r="G352" i="9" s="1"/>
  <c r="D353" i="9"/>
  <c r="BV348" i="12"/>
  <c r="ES350" i="9"/>
  <c r="ER350" i="9"/>
  <c r="EP350" i="9"/>
  <c r="EQ350" i="9"/>
  <c r="BU350" i="9" l="1"/>
  <c r="BT350" i="9"/>
  <c r="FI350" i="9"/>
  <c r="FK350" i="9"/>
  <c r="FL350" i="9"/>
  <c r="AB351" i="9"/>
  <c r="AD351" i="9" s="1"/>
  <c r="AG350" i="9"/>
  <c r="FM349" i="9"/>
  <c r="FM350" i="9" s="1"/>
  <c r="BV349" i="9"/>
  <c r="BV350" i="9" s="1"/>
  <c r="CO348" i="12"/>
  <c r="BO351" i="9"/>
  <c r="BC348" i="12"/>
  <c r="AF350" i="9"/>
  <c r="AJ350" i="9" s="1"/>
  <c r="EL351" i="9"/>
  <c r="EN351" i="9" s="1"/>
  <c r="DH348" i="12"/>
  <c r="AH350" i="9"/>
  <c r="FF351" i="9"/>
  <c r="ET350" i="9"/>
  <c r="BC349" i="9"/>
  <c r="AU351" i="9"/>
  <c r="AW351" i="9" s="1"/>
  <c r="BA351" i="9" s="1"/>
  <c r="AZ350" i="9"/>
  <c r="AY350" i="9"/>
  <c r="AC351" i="9"/>
  <c r="BN351" i="9"/>
  <c r="BP351" i="9" s="1"/>
  <c r="BS351" i="9" s="1"/>
  <c r="CH351" i="9"/>
  <c r="BB350" i="9"/>
  <c r="BA350" i="9"/>
  <c r="EM351" i="9"/>
  <c r="FE351" i="9"/>
  <c r="FG351" i="9" s="1"/>
  <c r="DS351" i="9"/>
  <c r="DU351" i="9" s="1"/>
  <c r="CG351" i="9"/>
  <c r="CI351" i="9" s="1"/>
  <c r="CM351" i="9" s="1"/>
  <c r="AV351" i="9"/>
  <c r="CK350" i="9"/>
  <c r="CL350" i="9"/>
  <c r="CN350" i="9"/>
  <c r="DA351" i="9"/>
  <c r="DX350" i="9"/>
  <c r="EA350" i="9" s="1"/>
  <c r="DZ350" i="9"/>
  <c r="DT351" i="9"/>
  <c r="DG350" i="9"/>
  <c r="DF350" i="9"/>
  <c r="CZ351" i="9"/>
  <c r="DB351" i="9" s="1"/>
  <c r="DG351" i="9" s="1"/>
  <c r="DD350" i="9"/>
  <c r="ET348" i="12"/>
  <c r="ES351" i="9"/>
  <c r="ER351" i="9"/>
  <c r="EQ351" i="9"/>
  <c r="EP351" i="9"/>
  <c r="BS349" i="12"/>
  <c r="BU349" i="12"/>
  <c r="BT349" i="12"/>
  <c r="AF351" i="9"/>
  <c r="AI351" i="9"/>
  <c r="AG351" i="9"/>
  <c r="AH351" i="9"/>
  <c r="L353" i="9" a="1"/>
  <c r="L353" i="9" s="1"/>
  <c r="K353" i="9" a="1"/>
  <c r="K353" i="9" s="1"/>
  <c r="N353" i="9" a="1"/>
  <c r="N353" i="9" s="1"/>
  <c r="H353" i="9" a="1"/>
  <c r="H353" i="9" s="1"/>
  <c r="G353" i="9" a="1"/>
  <c r="G353" i="9" s="1"/>
  <c r="O353" i="9" a="1"/>
  <c r="O353" i="9" s="1"/>
  <c r="J353" i="9" a="1"/>
  <c r="J353" i="9" s="1"/>
  <c r="D354" i="9"/>
  <c r="CE352" i="9"/>
  <c r="CF352" i="9" s="1"/>
  <c r="CJ352" i="9" s="1"/>
  <c r="DQ352" i="9"/>
  <c r="DR352" i="9" s="1"/>
  <c r="DV352" i="9" s="1"/>
  <c r="EJ352" i="9"/>
  <c r="EK352" i="9" s="1"/>
  <c r="EO352" i="9" s="1"/>
  <c r="FC352" i="9"/>
  <c r="FD352" i="9" s="1"/>
  <c r="FH352" i="9" s="1"/>
  <c r="BL352" i="9"/>
  <c r="BM352" i="9" s="1"/>
  <c r="BQ352" i="9" s="1"/>
  <c r="AS352" i="9"/>
  <c r="AT352" i="9" s="1"/>
  <c r="AX352" i="9" s="1"/>
  <c r="CX352" i="9"/>
  <c r="CY352" i="9" s="1"/>
  <c r="DC352" i="9" s="1"/>
  <c r="Z352" i="9"/>
  <c r="AA352" i="9" s="1"/>
  <c r="AE352" i="9" s="1"/>
  <c r="I353" i="9"/>
  <c r="M351" i="12"/>
  <c r="P351" i="12" s="1"/>
  <c r="Q351" i="12" s="1"/>
  <c r="DZ351" i="9"/>
  <c r="DY351" i="9"/>
  <c r="DX351" i="9"/>
  <c r="DW351" i="9"/>
  <c r="DE349" i="12"/>
  <c r="DF349" i="12"/>
  <c r="DG349" i="12"/>
  <c r="AI349" i="12"/>
  <c r="AH349" i="12"/>
  <c r="AG349" i="12"/>
  <c r="M352" i="9"/>
  <c r="P352" i="9" s="1"/>
  <c r="Q352" i="9" s="1"/>
  <c r="EQ349" i="12"/>
  <c r="ES349" i="12"/>
  <c r="ER349" i="12"/>
  <c r="DX349" i="12"/>
  <c r="DZ349" i="12"/>
  <c r="DY349" i="12"/>
  <c r="K352" i="12" a="1"/>
  <c r="K352" i="12" s="1"/>
  <c r="N352" i="12" a="1"/>
  <c r="N352" i="12" s="1"/>
  <c r="L352" i="12" a="1"/>
  <c r="L352" i="12" s="1"/>
  <c r="H352" i="12" a="1"/>
  <c r="H352" i="12" s="1"/>
  <c r="J352" i="12" a="1"/>
  <c r="J352" i="12" s="1"/>
  <c r="G352" i="12" a="1"/>
  <c r="G352" i="12" s="1"/>
  <c r="O352" i="12" a="1"/>
  <c r="O352" i="12" s="1"/>
  <c r="D353" i="12"/>
  <c r="CL349" i="12"/>
  <c r="CN349" i="12"/>
  <c r="CM349" i="12"/>
  <c r="FJ349" i="12"/>
  <c r="FL349" i="12"/>
  <c r="FK349" i="12"/>
  <c r="AZ349" i="12"/>
  <c r="BB349" i="12"/>
  <c r="BA349" i="12"/>
  <c r="FL351" i="9"/>
  <c r="FK351" i="9"/>
  <c r="FJ351" i="9"/>
  <c r="FI351" i="9"/>
  <c r="FE350" i="12"/>
  <c r="FG350" i="12" s="1"/>
  <c r="EP350" i="12"/>
  <c r="FF350" i="12"/>
  <c r="DD350" i="12"/>
  <c r="CK350" i="12"/>
  <c r="AC350" i="12"/>
  <c r="AB350" i="12"/>
  <c r="AD350" i="12" s="1"/>
  <c r="BO350" i="12"/>
  <c r="BN350" i="12"/>
  <c r="BP350" i="12" s="1"/>
  <c r="CG350" i="12"/>
  <c r="CI350" i="12" s="1"/>
  <c r="CH350" i="12"/>
  <c r="AY350" i="12"/>
  <c r="DW350" i="12"/>
  <c r="CZ350" i="12"/>
  <c r="DB350" i="12" s="1"/>
  <c r="DS350" i="12"/>
  <c r="DU350" i="12" s="1"/>
  <c r="AF350" i="12"/>
  <c r="DA350" i="12"/>
  <c r="DT350" i="12"/>
  <c r="BR350" i="12"/>
  <c r="FI350" i="12"/>
  <c r="EM350" i="12"/>
  <c r="EL350" i="12"/>
  <c r="EN350" i="12" s="1"/>
  <c r="AU350" i="12"/>
  <c r="AW350" i="12" s="1"/>
  <c r="AV350" i="12"/>
  <c r="BT351" i="9" l="1"/>
  <c r="BV349" i="12"/>
  <c r="AY351" i="9"/>
  <c r="AZ351" i="9"/>
  <c r="BB351" i="9"/>
  <c r="DD351" i="9"/>
  <c r="DE351" i="9"/>
  <c r="DF351" i="9"/>
  <c r="EA351" i="9"/>
  <c r="AJ351" i="9"/>
  <c r="FM351" i="9"/>
  <c r="CN351" i="9"/>
  <c r="CK351" i="9"/>
  <c r="CL351" i="9"/>
  <c r="DH350" i="9"/>
  <c r="DH351" i="9" s="1"/>
  <c r="BC350" i="9"/>
  <c r="BC351" i="9" s="1"/>
  <c r="BU351" i="9"/>
  <c r="ET351" i="9"/>
  <c r="BR351" i="9"/>
  <c r="CO350" i="9"/>
  <c r="M353" i="9"/>
  <c r="P353" i="9" s="1"/>
  <c r="Q353" i="9" s="1"/>
  <c r="BC349" i="12"/>
  <c r="CO349" i="12"/>
  <c r="AJ349" i="12"/>
  <c r="FM349" i="12"/>
  <c r="EA349" i="12"/>
  <c r="FE352" i="9"/>
  <c r="FG352" i="9" s="1"/>
  <c r="FF352" i="9"/>
  <c r="AU352" i="9"/>
  <c r="AW352" i="9" s="1"/>
  <c r="AU353" i="9" s="1"/>
  <c r="AW353" i="9" s="1"/>
  <c r="CG352" i="9"/>
  <c r="CI352" i="9" s="1"/>
  <c r="BN352" i="9"/>
  <c r="BP352" i="9" s="1"/>
  <c r="AV352" i="9"/>
  <c r="CH352" i="9"/>
  <c r="BO352" i="9"/>
  <c r="CZ352" i="9"/>
  <c r="DB352" i="9" s="1"/>
  <c r="AB352" i="9"/>
  <c r="AD352" i="9" s="1"/>
  <c r="AC352" i="9"/>
  <c r="EM352" i="9"/>
  <c r="EL352" i="9"/>
  <c r="EN352" i="9" s="1"/>
  <c r="DA352" i="9"/>
  <c r="DT352" i="9"/>
  <c r="DS352" i="9"/>
  <c r="DU352" i="9" s="1"/>
  <c r="AH350" i="12"/>
  <c r="AI350" i="12"/>
  <c r="AG350" i="12"/>
  <c r="J353" i="12" a="1"/>
  <c r="J353" i="12" s="1"/>
  <c r="K353" i="12" a="1"/>
  <c r="K353" i="12" s="1"/>
  <c r="H353" i="12" a="1"/>
  <c r="H353" i="12" s="1"/>
  <c r="N353" i="12" a="1"/>
  <c r="N353" i="12" s="1"/>
  <c r="L353" i="12" a="1"/>
  <c r="L353" i="12" s="1"/>
  <c r="G353" i="12" a="1"/>
  <c r="G353" i="12" s="1"/>
  <c r="O353" i="12" a="1"/>
  <c r="O353" i="12" s="1"/>
  <c r="D354" i="12"/>
  <c r="DE350" i="12"/>
  <c r="DG350" i="12"/>
  <c r="DF350" i="12"/>
  <c r="EQ350" i="12"/>
  <c r="ES350" i="12"/>
  <c r="ER350" i="12"/>
  <c r="BB350" i="12"/>
  <c r="BA350" i="12"/>
  <c r="AZ350" i="12"/>
  <c r="M352" i="12"/>
  <c r="ET349" i="12"/>
  <c r="FE351" i="12"/>
  <c r="FG351" i="12" s="1"/>
  <c r="EP351" i="12"/>
  <c r="FF351" i="12"/>
  <c r="CK351" i="12"/>
  <c r="DD351" i="12"/>
  <c r="AC351" i="12"/>
  <c r="BO351" i="12"/>
  <c r="AB351" i="12"/>
  <c r="AD351" i="12" s="1"/>
  <c r="BN351" i="12"/>
  <c r="BP351" i="12" s="1"/>
  <c r="CH351" i="12"/>
  <c r="BR351" i="12"/>
  <c r="CG351" i="12"/>
  <c r="CI351" i="12" s="1"/>
  <c r="DA351" i="12"/>
  <c r="DT351" i="12"/>
  <c r="DW351" i="12"/>
  <c r="CZ351" i="12"/>
  <c r="DB351" i="12" s="1"/>
  <c r="DS351" i="12"/>
  <c r="DU351" i="12" s="1"/>
  <c r="AF351" i="12"/>
  <c r="FI351" i="12"/>
  <c r="AY351" i="12"/>
  <c r="EL351" i="12"/>
  <c r="EN351" i="12" s="1"/>
  <c r="EM351" i="12"/>
  <c r="AV351" i="12"/>
  <c r="AU351" i="12"/>
  <c r="AW351" i="12" s="1"/>
  <c r="EJ353" i="9"/>
  <c r="EK353" i="9" s="1"/>
  <c r="EO353" i="9" s="1"/>
  <c r="BL353" i="9"/>
  <c r="BM353" i="9" s="1"/>
  <c r="BQ353" i="9" s="1"/>
  <c r="CX353" i="9"/>
  <c r="CY353" i="9" s="1"/>
  <c r="DC353" i="9" s="1"/>
  <c r="CE353" i="9"/>
  <c r="CF353" i="9" s="1"/>
  <c r="CJ353" i="9" s="1"/>
  <c r="DQ353" i="9"/>
  <c r="DR353" i="9" s="1"/>
  <c r="DV353" i="9" s="1"/>
  <c r="FC353" i="9"/>
  <c r="FD353" i="9" s="1"/>
  <c r="FH353" i="9" s="1"/>
  <c r="AS353" i="9"/>
  <c r="AT353" i="9" s="1"/>
  <c r="AX353" i="9" s="1"/>
  <c r="Z353" i="9"/>
  <c r="AA353" i="9" s="1"/>
  <c r="AE353" i="9" s="1"/>
  <c r="I354" i="9"/>
  <c r="DX350" i="12"/>
  <c r="DY350" i="12"/>
  <c r="DZ350" i="12"/>
  <c r="CM350" i="12"/>
  <c r="CN350" i="12"/>
  <c r="CL350" i="12"/>
  <c r="BS350" i="12"/>
  <c r="BU350" i="12"/>
  <c r="BT350" i="12"/>
  <c r="FJ350" i="12"/>
  <c r="FL350" i="12"/>
  <c r="FK350" i="12"/>
  <c r="P352" i="12"/>
  <c r="Q352" i="12" s="1"/>
  <c r="DH349" i="12"/>
  <c r="J354" i="9" a="1"/>
  <c r="J354" i="9" s="1"/>
  <c r="O354" i="9" a="1"/>
  <c r="O354" i="9" s="1"/>
  <c r="G354" i="9" a="1"/>
  <c r="G354" i="9" s="1"/>
  <c r="N354" i="9" a="1"/>
  <c r="N354" i="9" s="1"/>
  <c r="H354" i="9" a="1"/>
  <c r="H354" i="9" s="1"/>
  <c r="L354" i="9" a="1"/>
  <c r="L354" i="9" s="1"/>
  <c r="K354" i="9" a="1"/>
  <c r="K354" i="9" s="1"/>
  <c r="D355" i="9"/>
  <c r="CZ353" i="9" l="1"/>
  <c r="DB353" i="9" s="1"/>
  <c r="CH353" i="9"/>
  <c r="BN353" i="9"/>
  <c r="BP353" i="9" s="1"/>
  <c r="CO351" i="9"/>
  <c r="BV351" i="9"/>
  <c r="EL353" i="9"/>
  <c r="EN353" i="9" s="1"/>
  <c r="EP353" i="9" s="1"/>
  <c r="AB353" i="9"/>
  <c r="AD353" i="9" s="1"/>
  <c r="AH353" i="9" s="1"/>
  <c r="EM353" i="9"/>
  <c r="DA353" i="9"/>
  <c r="FE353" i="9"/>
  <c r="FG353" i="9" s="1"/>
  <c r="FL353" i="9" s="1"/>
  <c r="BO353" i="9"/>
  <c r="M353" i="12"/>
  <c r="AC353" i="9"/>
  <c r="CO350" i="12"/>
  <c r="BC350" i="12"/>
  <c r="AJ350" i="12"/>
  <c r="FF353" i="9"/>
  <c r="AV353" i="9"/>
  <c r="CG353" i="9"/>
  <c r="CI353" i="9" s="1"/>
  <c r="CL353" i="9" s="1"/>
  <c r="FM350" i="12"/>
  <c r="EA350" i="12"/>
  <c r="BV350" i="12"/>
  <c r="DW352" i="9"/>
  <c r="DX352" i="9"/>
  <c r="DZ352" i="9"/>
  <c r="DY352" i="9"/>
  <c r="DT353" i="9"/>
  <c r="DH350" i="12"/>
  <c r="EQ351" i="12"/>
  <c r="ES351" i="12"/>
  <c r="ER351" i="12"/>
  <c r="DS353" i="9"/>
  <c r="DU353" i="9" s="1"/>
  <c r="CL351" i="12"/>
  <c r="CN351" i="12"/>
  <c r="CM351" i="12"/>
  <c r="P353" i="12"/>
  <c r="Q353" i="12" s="1"/>
  <c r="ES352" i="9"/>
  <c r="EQ352" i="9"/>
  <c r="EP352" i="9"/>
  <c r="ET352" i="9" s="1"/>
  <c r="ER352" i="9"/>
  <c r="BR352" i="9"/>
  <c r="BU352" i="9"/>
  <c r="BS352" i="9"/>
  <c r="BT352" i="9"/>
  <c r="L354" i="12" a="1"/>
  <c r="L354" i="12" s="1"/>
  <c r="K354" i="12" a="1"/>
  <c r="K354" i="12" s="1"/>
  <c r="J354" i="12" a="1"/>
  <c r="J354" i="12" s="1"/>
  <c r="H354" i="12" a="1"/>
  <c r="H354" i="12" s="1"/>
  <c r="G354" i="12" a="1"/>
  <c r="G354" i="12" s="1"/>
  <c r="N354" i="12" a="1"/>
  <c r="N354" i="12" s="1"/>
  <c r="O354" i="12" a="1"/>
  <c r="O354" i="12" s="1"/>
  <c r="D355" i="12"/>
  <c r="CN352" i="9"/>
  <c r="CM352" i="9"/>
  <c r="CK352" i="9"/>
  <c r="CL352" i="9"/>
  <c r="M354" i="9"/>
  <c r="P354" i="9" s="1"/>
  <c r="Q354" i="9" s="1"/>
  <c r="AS354" i="9"/>
  <c r="AT354" i="9" s="1"/>
  <c r="AX354" i="9" s="1"/>
  <c r="FC354" i="9"/>
  <c r="FD354" i="9" s="1"/>
  <c r="FH354" i="9" s="1"/>
  <c r="BL354" i="9"/>
  <c r="BM354" i="9" s="1"/>
  <c r="BQ354" i="9" s="1"/>
  <c r="CE354" i="9"/>
  <c r="CF354" i="9" s="1"/>
  <c r="CJ354" i="9" s="1"/>
  <c r="Z354" i="9"/>
  <c r="AA354" i="9" s="1"/>
  <c r="AE354" i="9" s="1"/>
  <c r="DQ354" i="9"/>
  <c r="DR354" i="9" s="1"/>
  <c r="DV354" i="9" s="1"/>
  <c r="CX354" i="9"/>
  <c r="CY354" i="9" s="1"/>
  <c r="DC354" i="9" s="1"/>
  <c r="EJ354" i="9"/>
  <c r="EK354" i="9" s="1"/>
  <c r="EO354" i="9" s="1"/>
  <c r="I355" i="9"/>
  <c r="DG353" i="9"/>
  <c r="DF353" i="9"/>
  <c r="DD353" i="9"/>
  <c r="DE353" i="9"/>
  <c r="BR353" i="9"/>
  <c r="BU353" i="9"/>
  <c r="BS353" i="9"/>
  <c r="BT353" i="9"/>
  <c r="AY352" i="9"/>
  <c r="BB352" i="9"/>
  <c r="BA352" i="9"/>
  <c r="AZ352" i="9"/>
  <c r="BB353" i="9"/>
  <c r="BA353" i="9"/>
  <c r="AY353" i="9"/>
  <c r="AZ353" i="9"/>
  <c r="H355" i="9" a="1"/>
  <c r="H355" i="9" s="1"/>
  <c r="G355" i="9" a="1"/>
  <c r="G355" i="9" s="1"/>
  <c r="O355" i="9" a="1"/>
  <c r="O355" i="9" s="1"/>
  <c r="N355" i="9" a="1"/>
  <c r="N355" i="9" s="1"/>
  <c r="K355" i="9" a="1"/>
  <c r="K355" i="9" s="1"/>
  <c r="J355" i="9" a="1"/>
  <c r="J355" i="9" s="1"/>
  <c r="L355" i="9" a="1"/>
  <c r="L355" i="9" s="1"/>
  <c r="D356" i="9"/>
  <c r="DX351" i="12"/>
  <c r="DY351" i="12"/>
  <c r="DZ351" i="12"/>
  <c r="BS351" i="12"/>
  <c r="BU351" i="12"/>
  <c r="BT351" i="12"/>
  <c r="FJ351" i="12"/>
  <c r="FK351" i="12"/>
  <c r="FL351" i="12"/>
  <c r="ET350" i="12"/>
  <c r="AG352" i="9"/>
  <c r="AH352" i="9"/>
  <c r="AF352" i="9"/>
  <c r="AJ352" i="9" s="1"/>
  <c r="AI352" i="9"/>
  <c r="EP352" i="12"/>
  <c r="FE352" i="12"/>
  <c r="FG352" i="12" s="1"/>
  <c r="FF352" i="12"/>
  <c r="CK352" i="12"/>
  <c r="DD352" i="12"/>
  <c r="AB352" i="12"/>
  <c r="AD352" i="12" s="1"/>
  <c r="AC352" i="12"/>
  <c r="BN352" i="12"/>
  <c r="BP352" i="12" s="1"/>
  <c r="BO352" i="12"/>
  <c r="AF352" i="12"/>
  <c r="EM352" i="12"/>
  <c r="DS352" i="12"/>
  <c r="DU352" i="12" s="1"/>
  <c r="DA352" i="12"/>
  <c r="DW352" i="12"/>
  <c r="FI352" i="12"/>
  <c r="DT352" i="12"/>
  <c r="CH352" i="12"/>
  <c r="AY352" i="12"/>
  <c r="EL352" i="12"/>
  <c r="EN352" i="12" s="1"/>
  <c r="CG352" i="12"/>
  <c r="CI352" i="12" s="1"/>
  <c r="BR352" i="12"/>
  <c r="CZ352" i="12"/>
  <c r="DB352" i="12" s="1"/>
  <c r="AV352" i="12"/>
  <c r="AU352" i="12"/>
  <c r="AW352" i="12" s="1"/>
  <c r="AZ351" i="12"/>
  <c r="BA351" i="12"/>
  <c r="BB351" i="12"/>
  <c r="DE351" i="12"/>
  <c r="DG351" i="12"/>
  <c r="DF351" i="12"/>
  <c r="AG351" i="12"/>
  <c r="AH351" i="12"/>
  <c r="AI351" i="12"/>
  <c r="DG352" i="9"/>
  <c r="DF352" i="9"/>
  <c r="DE352" i="9"/>
  <c r="DD352" i="9"/>
  <c r="DH352" i="9" s="1"/>
  <c r="DH353" i="9" s="1"/>
  <c r="FL352" i="9"/>
  <c r="FK352" i="9"/>
  <c r="FI352" i="9"/>
  <c r="FJ352" i="9"/>
  <c r="ES353" i="9" l="1"/>
  <c r="EA352" i="9"/>
  <c r="FJ353" i="9"/>
  <c r="FI353" i="9"/>
  <c r="BC352" i="9"/>
  <c r="BC353" i="9" s="1"/>
  <c r="FK353" i="9"/>
  <c r="AI353" i="9"/>
  <c r="AF353" i="9"/>
  <c r="AG353" i="9"/>
  <c r="BV352" i="9"/>
  <c r="BV353" i="9" s="1"/>
  <c r="CO352" i="9"/>
  <c r="FM352" i="9"/>
  <c r="FM353" i="9" s="1"/>
  <c r="ER353" i="9"/>
  <c r="EQ353" i="9"/>
  <c r="ET353" i="9" s="1"/>
  <c r="AB354" i="9"/>
  <c r="AD354" i="9" s="1"/>
  <c r="BN354" i="9"/>
  <c r="BP354" i="9" s="1"/>
  <c r="BU354" i="9" s="1"/>
  <c r="AC354" i="9"/>
  <c r="AU354" i="9"/>
  <c r="AW354" i="9" s="1"/>
  <c r="DA354" i="9"/>
  <c r="FE354" i="9"/>
  <c r="FG354" i="9" s="1"/>
  <c r="FL354" i="9" s="1"/>
  <c r="CZ354" i="9"/>
  <c r="DB354" i="9" s="1"/>
  <c r="DG354" i="9" s="1"/>
  <c r="EL354" i="9"/>
  <c r="EN354" i="9" s="1"/>
  <c r="ES354" i="9" s="1"/>
  <c r="AV354" i="9"/>
  <c r="EM354" i="9"/>
  <c r="FF354" i="9"/>
  <c r="BO354" i="9"/>
  <c r="CH354" i="9"/>
  <c r="CN353" i="9"/>
  <c r="CM353" i="9"/>
  <c r="CK353" i="9"/>
  <c r="DS354" i="9"/>
  <c r="DU354" i="9" s="1"/>
  <c r="DZ354" i="9" s="1"/>
  <c r="DT354" i="9"/>
  <c r="AJ351" i="12"/>
  <c r="EA351" i="12"/>
  <c r="BV351" i="12"/>
  <c r="ET351" i="12"/>
  <c r="CG354" i="9"/>
  <c r="CI354" i="9" s="1"/>
  <c r="CN354" i="9" s="1"/>
  <c r="M354" i="12"/>
  <c r="P354" i="12" s="1"/>
  <c r="Q354" i="12" s="1"/>
  <c r="CO351" i="12"/>
  <c r="FM351" i="12"/>
  <c r="CL352" i="12"/>
  <c r="CM352" i="12"/>
  <c r="CN352" i="12"/>
  <c r="DX352" i="12"/>
  <c r="DZ352" i="12"/>
  <c r="DY352" i="12"/>
  <c r="M355" i="9"/>
  <c r="P355" i="9" s="1"/>
  <c r="Q355" i="9" s="1"/>
  <c r="DY354" i="9"/>
  <c r="DZ353" i="9"/>
  <c r="DY353" i="9"/>
  <c r="DW353" i="9"/>
  <c r="EA353" i="9" s="1"/>
  <c r="DX353" i="9"/>
  <c r="EQ352" i="12"/>
  <c r="ES352" i="12"/>
  <c r="ER352" i="12"/>
  <c r="EP353" i="12"/>
  <c r="FE353" i="12"/>
  <c r="FG353" i="12" s="1"/>
  <c r="FF353" i="12"/>
  <c r="CK353" i="12"/>
  <c r="DD353" i="12"/>
  <c r="BN353" i="12"/>
  <c r="BP353" i="12" s="1"/>
  <c r="BO353" i="12"/>
  <c r="AB353" i="12"/>
  <c r="AD353" i="12" s="1"/>
  <c r="AC353" i="12"/>
  <c r="BR353" i="12"/>
  <c r="DA353" i="12"/>
  <c r="DW353" i="12"/>
  <c r="DT353" i="12"/>
  <c r="EM353" i="12"/>
  <c r="CH353" i="12"/>
  <c r="AF353" i="12"/>
  <c r="DS353" i="12"/>
  <c r="DU353" i="12" s="1"/>
  <c r="EL353" i="12"/>
  <c r="EN353" i="12" s="1"/>
  <c r="AY353" i="12"/>
  <c r="CG353" i="12"/>
  <c r="CI353" i="12" s="1"/>
  <c r="FI353" i="12"/>
  <c r="CZ353" i="12"/>
  <c r="DB353" i="12" s="1"/>
  <c r="AU353" i="12"/>
  <c r="AW353" i="12" s="1"/>
  <c r="AV353" i="12"/>
  <c r="DE354" i="9"/>
  <c r="BC351" i="12"/>
  <c r="AZ352" i="12"/>
  <c r="BA352" i="12"/>
  <c r="BB352" i="12"/>
  <c r="BS352" i="12"/>
  <c r="BU352" i="12"/>
  <c r="BT352" i="12"/>
  <c r="DQ355" i="9"/>
  <c r="DR355" i="9" s="1"/>
  <c r="DV355" i="9" s="1"/>
  <c r="AS355" i="9"/>
  <c r="AT355" i="9" s="1"/>
  <c r="AX355" i="9" s="1"/>
  <c r="EJ355" i="9"/>
  <c r="EK355" i="9" s="1"/>
  <c r="EO355" i="9" s="1"/>
  <c r="CX355" i="9"/>
  <c r="CY355" i="9" s="1"/>
  <c r="DC355" i="9" s="1"/>
  <c r="BL355" i="9"/>
  <c r="BM355" i="9" s="1"/>
  <c r="BQ355" i="9" s="1"/>
  <c r="CE355" i="9"/>
  <c r="CF355" i="9" s="1"/>
  <c r="CJ355" i="9" s="1"/>
  <c r="Z355" i="9"/>
  <c r="AA355" i="9" s="1"/>
  <c r="AE355" i="9" s="1"/>
  <c r="FC355" i="9"/>
  <c r="FD355" i="9" s="1"/>
  <c r="FH355" i="9" s="1"/>
  <c r="I356" i="9"/>
  <c r="FJ352" i="12"/>
  <c r="FL352" i="12"/>
  <c r="FK352" i="12"/>
  <c r="K355" i="12" a="1"/>
  <c r="K355" i="12" s="1"/>
  <c r="L355" i="12" a="1"/>
  <c r="L355" i="12" s="1"/>
  <c r="J355" i="12" a="1"/>
  <c r="J355" i="12" s="1"/>
  <c r="N355" i="12" a="1"/>
  <c r="N355" i="12" s="1"/>
  <c r="H355" i="12" a="1"/>
  <c r="H355" i="12" s="1"/>
  <c r="G355" i="12" a="1"/>
  <c r="G355" i="12" s="1"/>
  <c r="O355" i="12" a="1"/>
  <c r="O355" i="12" s="1"/>
  <c r="D356" i="12"/>
  <c r="AF354" i="9"/>
  <c r="AI354" i="9"/>
  <c r="AH354" i="9"/>
  <c r="AG354" i="9"/>
  <c r="BA354" i="9"/>
  <c r="BB354" i="9"/>
  <c r="AY354" i="9"/>
  <c r="BC354" i="9" s="1"/>
  <c r="AZ354" i="9"/>
  <c r="DH351" i="12"/>
  <c r="DE352" i="12"/>
  <c r="DF352" i="12"/>
  <c r="DG352" i="12"/>
  <c r="AG352" i="12"/>
  <c r="AH352" i="12"/>
  <c r="AI352" i="12"/>
  <c r="O356" i="9" a="1"/>
  <c r="O356" i="9" s="1"/>
  <c r="G356" i="9" a="1"/>
  <c r="G356" i="9" s="1"/>
  <c r="H356" i="9" a="1"/>
  <c r="H356" i="9" s="1"/>
  <c r="N356" i="9" a="1"/>
  <c r="N356" i="9" s="1"/>
  <c r="L356" i="9" a="1"/>
  <c r="L356" i="9" s="1"/>
  <c r="K356" i="9" a="1"/>
  <c r="K356" i="9" s="1"/>
  <c r="J356" i="9" a="1"/>
  <c r="J356" i="9" s="1"/>
  <c r="D357" i="9"/>
  <c r="BS354" i="9" l="1"/>
  <c r="BT354" i="9"/>
  <c r="BR354" i="9"/>
  <c r="DX354" i="9"/>
  <c r="AJ353" i="9"/>
  <c r="AJ354" i="9" s="1"/>
  <c r="CO353" i="9"/>
  <c r="BV354" i="9"/>
  <c r="FM352" i="12"/>
  <c r="DW354" i="9"/>
  <c r="EA354" i="9" s="1"/>
  <c r="FJ354" i="9"/>
  <c r="CG355" i="9"/>
  <c r="CI355" i="9" s="1"/>
  <c r="AU355" i="9"/>
  <c r="AW355" i="9" s="1"/>
  <c r="BA355" i="9" s="1"/>
  <c r="DD354" i="9"/>
  <c r="FK354" i="9"/>
  <c r="FI354" i="9"/>
  <c r="FM354" i="9" s="1"/>
  <c r="FM355" i="9" s="1"/>
  <c r="DF354" i="9"/>
  <c r="EL355" i="9"/>
  <c r="EN355" i="9" s="1"/>
  <c r="ER354" i="9"/>
  <c r="AB355" i="9"/>
  <c r="AD355" i="9" s="1"/>
  <c r="FE355" i="9"/>
  <c r="FG355" i="9" s="1"/>
  <c r="FL355" i="9" s="1"/>
  <c r="CM354" i="9"/>
  <c r="EP354" i="9"/>
  <c r="DS355" i="9"/>
  <c r="DU355" i="9" s="1"/>
  <c r="DW355" i="9" s="1"/>
  <c r="AV355" i="9"/>
  <c r="DT355" i="9"/>
  <c r="FF355" i="9"/>
  <c r="EQ354" i="9"/>
  <c r="DA355" i="9"/>
  <c r="BN355" i="9"/>
  <c r="BP355" i="9" s="1"/>
  <c r="BR355" i="9" s="1"/>
  <c r="CK354" i="9"/>
  <c r="EM355" i="9"/>
  <c r="CH355" i="9"/>
  <c r="AC355" i="9"/>
  <c r="BO355" i="9"/>
  <c r="CZ355" i="9"/>
  <c r="DB355" i="9" s="1"/>
  <c r="DG355" i="9" s="1"/>
  <c r="CL354" i="9"/>
  <c r="AJ352" i="12"/>
  <c r="BV352" i="12"/>
  <c r="CO352" i="12"/>
  <c r="BC352" i="12"/>
  <c r="DH352" i="12"/>
  <c r="EA352" i="12"/>
  <c r="M356" i="9"/>
  <c r="P356" i="9" s="1"/>
  <c r="Q356" i="9" s="1"/>
  <c r="BA353" i="12"/>
  <c r="AZ353" i="12"/>
  <c r="BB353" i="12"/>
  <c r="ET352" i="12"/>
  <c r="BT355" i="9"/>
  <c r="DE353" i="12"/>
  <c r="DG353" i="12"/>
  <c r="DF353" i="12"/>
  <c r="BS353" i="12"/>
  <c r="BU353" i="12"/>
  <c r="BT353" i="12"/>
  <c r="CX356" i="9"/>
  <c r="CY356" i="9" s="1"/>
  <c r="DC356" i="9" s="1"/>
  <c r="FC356" i="9"/>
  <c r="FD356" i="9" s="1"/>
  <c r="FH356" i="9" s="1"/>
  <c r="BL356" i="9"/>
  <c r="BM356" i="9" s="1"/>
  <c r="BQ356" i="9" s="1"/>
  <c r="AS356" i="9"/>
  <c r="AT356" i="9" s="1"/>
  <c r="AX356" i="9" s="1"/>
  <c r="EJ356" i="9"/>
  <c r="EK356" i="9" s="1"/>
  <c r="EO356" i="9" s="1"/>
  <c r="Z356" i="9"/>
  <c r="AA356" i="9" s="1"/>
  <c r="AE356" i="9" s="1"/>
  <c r="DQ356" i="9"/>
  <c r="DR356" i="9" s="1"/>
  <c r="DV356" i="9" s="1"/>
  <c r="CE356" i="9"/>
  <c r="CF356" i="9" s="1"/>
  <c r="CJ356" i="9" s="1"/>
  <c r="I357" i="9"/>
  <c r="M355" i="12"/>
  <c r="P355" i="12" s="1"/>
  <c r="Q355" i="12" s="1"/>
  <c r="CL353" i="12"/>
  <c r="CN353" i="12"/>
  <c r="CM353" i="12"/>
  <c r="DD355" i="9"/>
  <c r="DE355" i="9"/>
  <c r="DF355" i="9"/>
  <c r="CM355" i="9"/>
  <c r="CL355" i="9"/>
  <c r="CK355" i="9"/>
  <c r="CN355" i="9"/>
  <c r="EP354" i="12"/>
  <c r="FF354" i="12"/>
  <c r="FE354" i="12"/>
  <c r="FG354" i="12" s="1"/>
  <c r="DD354" i="12"/>
  <c r="CK354" i="12"/>
  <c r="AB354" i="12"/>
  <c r="AD354" i="12" s="1"/>
  <c r="BN354" i="12"/>
  <c r="BP354" i="12" s="1"/>
  <c r="AC354" i="12"/>
  <c r="BO354" i="12"/>
  <c r="DA354" i="12"/>
  <c r="EM354" i="12"/>
  <c r="CG354" i="12"/>
  <c r="CI354" i="12" s="1"/>
  <c r="CZ354" i="12"/>
  <c r="DB354" i="12" s="1"/>
  <c r="EL354" i="12"/>
  <c r="EN354" i="12" s="1"/>
  <c r="CH354" i="12"/>
  <c r="AF354" i="12"/>
  <c r="FI354" i="12"/>
  <c r="DW354" i="12"/>
  <c r="AY354" i="12"/>
  <c r="DT354" i="12"/>
  <c r="BR354" i="12"/>
  <c r="DS354" i="12"/>
  <c r="DU354" i="12" s="1"/>
  <c r="AV354" i="12"/>
  <c r="AU354" i="12"/>
  <c r="AW354" i="12" s="1"/>
  <c r="ER355" i="9"/>
  <c r="ES355" i="9"/>
  <c r="EP355" i="9"/>
  <c r="EQ355" i="9"/>
  <c r="EQ353" i="12"/>
  <c r="ES353" i="12"/>
  <c r="ER353" i="12"/>
  <c r="FJ353" i="12"/>
  <c r="FL353" i="12"/>
  <c r="FK353" i="12"/>
  <c r="L357" i="9" a="1"/>
  <c r="L357" i="9" s="1"/>
  <c r="O357" i="9" a="1"/>
  <c r="O357" i="9" s="1"/>
  <c r="N357" i="9" a="1"/>
  <c r="N357" i="9" s="1"/>
  <c r="G357" i="9" a="1"/>
  <c r="G357" i="9" s="1"/>
  <c r="K357" i="9" a="1"/>
  <c r="K357" i="9" s="1"/>
  <c r="H357" i="9" a="1"/>
  <c r="H357" i="9" s="1"/>
  <c r="J357" i="9" a="1"/>
  <c r="J357" i="9" s="1"/>
  <c r="D358" i="9"/>
  <c r="AG353" i="12"/>
  <c r="AI353" i="12"/>
  <c r="AH353" i="12"/>
  <c r="J356" i="12" a="1"/>
  <c r="J356" i="12" s="1"/>
  <c r="L356" i="12" a="1"/>
  <c r="L356" i="12" s="1"/>
  <c r="H356" i="12" a="1"/>
  <c r="H356" i="12" s="1"/>
  <c r="O356" i="12" a="1"/>
  <c r="O356" i="12" s="1"/>
  <c r="G356" i="12" a="1"/>
  <c r="G356" i="12" s="1"/>
  <c r="K356" i="12" a="1"/>
  <c r="K356" i="12" s="1"/>
  <c r="N356" i="12" a="1"/>
  <c r="N356" i="12" s="1"/>
  <c r="D357" i="12"/>
  <c r="AF355" i="9"/>
  <c r="AI355" i="9"/>
  <c r="AG355" i="9"/>
  <c r="AH355" i="9"/>
  <c r="DX353" i="12"/>
  <c r="DY353" i="12"/>
  <c r="DZ353" i="12"/>
  <c r="AY355" i="9" l="1"/>
  <c r="FK355" i="9"/>
  <c r="AZ355" i="9"/>
  <c r="FI355" i="9"/>
  <c r="BB355" i="9"/>
  <c r="BS355" i="9"/>
  <c r="FJ355" i="9"/>
  <c r="AJ355" i="9"/>
  <c r="CO354" i="9"/>
  <c r="CO355" i="9" s="1"/>
  <c r="ET354" i="9"/>
  <c r="ET355" i="9" s="1"/>
  <c r="BC355" i="9"/>
  <c r="DH354" i="9"/>
  <c r="DH355" i="9" s="1"/>
  <c r="EA355" i="9"/>
  <c r="BU355" i="9"/>
  <c r="BV355" i="9" s="1"/>
  <c r="DX355" i="9"/>
  <c r="DZ355" i="9"/>
  <c r="DY355" i="9"/>
  <c r="BV353" i="12"/>
  <c r="AJ353" i="12"/>
  <c r="EA353" i="12"/>
  <c r="FM353" i="12"/>
  <c r="ET353" i="12"/>
  <c r="BC353" i="12"/>
  <c r="M357" i="9"/>
  <c r="P357" i="9" s="1"/>
  <c r="Q357" i="9" s="1"/>
  <c r="DE354" i="12"/>
  <c r="DF354" i="12"/>
  <c r="DG354" i="12"/>
  <c r="CO353" i="12"/>
  <c r="CN354" i="12"/>
  <c r="CL354" i="12"/>
  <c r="CM354" i="12"/>
  <c r="EP355" i="12"/>
  <c r="FE355" i="12"/>
  <c r="FG355" i="12" s="1"/>
  <c r="FF355" i="12"/>
  <c r="CK355" i="12"/>
  <c r="DD355" i="12"/>
  <c r="AC355" i="12"/>
  <c r="BN355" i="12"/>
  <c r="BP355" i="12" s="1"/>
  <c r="AB355" i="12"/>
  <c r="AD355" i="12" s="1"/>
  <c r="BO355" i="12"/>
  <c r="AY355" i="12"/>
  <c r="BR355" i="12"/>
  <c r="DW355" i="12"/>
  <c r="EL355" i="12"/>
  <c r="EN355" i="12" s="1"/>
  <c r="CZ355" i="12"/>
  <c r="DB355" i="12" s="1"/>
  <c r="EM355" i="12"/>
  <c r="DA355" i="12"/>
  <c r="FI355" i="12"/>
  <c r="CG355" i="12"/>
  <c r="CI355" i="12" s="1"/>
  <c r="DT355" i="12"/>
  <c r="AF355" i="12"/>
  <c r="CH355" i="12"/>
  <c r="DS355" i="12"/>
  <c r="DU355" i="12" s="1"/>
  <c r="AV355" i="12"/>
  <c r="AU355" i="12"/>
  <c r="AW355" i="12" s="1"/>
  <c r="FJ354" i="12"/>
  <c r="FL354" i="12"/>
  <c r="FK354" i="12"/>
  <c r="M356" i="12"/>
  <c r="L357" i="12" a="1"/>
  <c r="L357" i="12" s="1"/>
  <c r="H357" i="12" a="1"/>
  <c r="H357" i="12" s="1"/>
  <c r="G357" i="12" a="1"/>
  <c r="G357" i="12" s="1"/>
  <c r="J357" i="12" a="1"/>
  <c r="J357" i="12" s="1"/>
  <c r="K357" i="12" a="1"/>
  <c r="K357" i="12" s="1"/>
  <c r="O357" i="12" a="1"/>
  <c r="O357" i="12" s="1"/>
  <c r="N357" i="12" a="1"/>
  <c r="N357" i="12" s="1"/>
  <c r="D358" i="12"/>
  <c r="DQ357" i="9"/>
  <c r="DR357" i="9" s="1"/>
  <c r="DV357" i="9" s="1"/>
  <c r="CE357" i="9"/>
  <c r="CF357" i="9" s="1"/>
  <c r="CJ357" i="9" s="1"/>
  <c r="CX357" i="9"/>
  <c r="CY357" i="9" s="1"/>
  <c r="DC357" i="9" s="1"/>
  <c r="FC357" i="9"/>
  <c r="FD357" i="9" s="1"/>
  <c r="FH357" i="9" s="1"/>
  <c r="AS357" i="9"/>
  <c r="AT357" i="9" s="1"/>
  <c r="AX357" i="9" s="1"/>
  <c r="Z357" i="9"/>
  <c r="AA357" i="9" s="1"/>
  <c r="AE357" i="9" s="1"/>
  <c r="EJ357" i="9"/>
  <c r="EK357" i="9" s="1"/>
  <c r="EO357" i="9" s="1"/>
  <c r="BL357" i="9"/>
  <c r="BM357" i="9" s="1"/>
  <c r="BQ357" i="9" s="1"/>
  <c r="I358" i="9"/>
  <c r="DH353" i="12"/>
  <c r="EQ354" i="12"/>
  <c r="ER354" i="12"/>
  <c r="ES354" i="12"/>
  <c r="P356" i="12"/>
  <c r="Q356" i="12" s="1"/>
  <c r="DX354" i="12"/>
  <c r="DY354" i="12"/>
  <c r="DZ354" i="12"/>
  <c r="AZ354" i="12"/>
  <c r="BA354" i="12"/>
  <c r="BB354" i="12"/>
  <c r="AI354" i="12"/>
  <c r="AG354" i="12"/>
  <c r="AH354" i="12"/>
  <c r="H358" i="9" a="1"/>
  <c r="H358" i="9" s="1"/>
  <c r="O358" i="9" a="1"/>
  <c r="O358" i="9" s="1"/>
  <c r="N358" i="9" a="1"/>
  <c r="N358" i="9" s="1"/>
  <c r="G358" i="9" a="1"/>
  <c r="G358" i="9" s="1"/>
  <c r="J358" i="9" a="1"/>
  <c r="J358" i="9" s="1"/>
  <c r="L358" i="9" a="1"/>
  <c r="L358" i="9" s="1"/>
  <c r="K358" i="9" a="1"/>
  <c r="K358" i="9" s="1"/>
  <c r="D359" i="9"/>
  <c r="BS354" i="12"/>
  <c r="BT354" i="12"/>
  <c r="BU354" i="12"/>
  <c r="CH356" i="9"/>
  <c r="AV356" i="9"/>
  <c r="BO356" i="9"/>
  <c r="CG356" i="9"/>
  <c r="CI356" i="9" s="1"/>
  <c r="AU356" i="9"/>
  <c r="AW356" i="9" s="1"/>
  <c r="BN356" i="9"/>
  <c r="BP356" i="9" s="1"/>
  <c r="FE356" i="9"/>
  <c r="FG356" i="9" s="1"/>
  <c r="FF356" i="9"/>
  <c r="EL356" i="9"/>
  <c r="EN356" i="9" s="1"/>
  <c r="EM356" i="9"/>
  <c r="AC356" i="9"/>
  <c r="CZ356" i="9"/>
  <c r="DB356" i="9" s="1"/>
  <c r="AB356" i="9"/>
  <c r="AD356" i="9" s="1"/>
  <c r="DA356" i="9"/>
  <c r="DS356" i="9"/>
  <c r="DU356" i="9" s="1"/>
  <c r="DT356" i="9"/>
  <c r="EL357" i="9" l="1"/>
  <c r="EN357" i="9" s="1"/>
  <c r="FF357" i="9"/>
  <c r="DS357" i="9"/>
  <c r="DU357" i="9" s="1"/>
  <c r="DW357" i="9" s="1"/>
  <c r="BO357" i="9"/>
  <c r="AV357" i="9"/>
  <c r="CZ357" i="9"/>
  <c r="DB357" i="9" s="1"/>
  <c r="DD357" i="9" s="1"/>
  <c r="CH357" i="9"/>
  <c r="FM354" i="12"/>
  <c r="BC354" i="12"/>
  <c r="ET354" i="12"/>
  <c r="BV354" i="12"/>
  <c r="EA354" i="12"/>
  <c r="AJ354" i="12"/>
  <c r="DA357" i="9"/>
  <c r="CG357" i="9"/>
  <c r="CI357" i="9" s="1"/>
  <c r="DY357" i="9"/>
  <c r="DX357" i="9"/>
  <c r="EP357" i="9"/>
  <c r="EQ357" i="9"/>
  <c r="ES357" i="9"/>
  <c r="ER357" i="9"/>
  <c r="BB355" i="12"/>
  <c r="AZ355" i="12"/>
  <c r="BA355" i="12"/>
  <c r="AG356" i="9"/>
  <c r="AF356" i="9"/>
  <c r="AH356" i="9"/>
  <c r="AI356" i="9"/>
  <c r="L359" i="9" a="1"/>
  <c r="L359" i="9" s="1"/>
  <c r="G359" i="9" a="1"/>
  <c r="G359" i="9" s="1"/>
  <c r="H359" i="9" a="1"/>
  <c r="H359" i="9" s="1"/>
  <c r="O359" i="9" a="1"/>
  <c r="O359" i="9" s="1"/>
  <c r="J359" i="9" a="1"/>
  <c r="J359" i="9" s="1"/>
  <c r="K359" i="9" a="1"/>
  <c r="K359" i="9" s="1"/>
  <c r="N359" i="9" a="1"/>
  <c r="N359" i="9" s="1"/>
  <c r="D360" i="9"/>
  <c r="AC357" i="9"/>
  <c r="AS358" i="9"/>
  <c r="AT358" i="9" s="1"/>
  <c r="AX358" i="9" s="1"/>
  <c r="BL358" i="9"/>
  <c r="BM358" i="9" s="1"/>
  <c r="BQ358" i="9" s="1"/>
  <c r="CE358" i="9"/>
  <c r="CF358" i="9" s="1"/>
  <c r="CJ358" i="9" s="1"/>
  <c r="Z358" i="9"/>
  <c r="AA358" i="9" s="1"/>
  <c r="AE358" i="9" s="1"/>
  <c r="FC358" i="9"/>
  <c r="FD358" i="9" s="1"/>
  <c r="FH358" i="9" s="1"/>
  <c r="CX358" i="9"/>
  <c r="CY358" i="9" s="1"/>
  <c r="DC358" i="9" s="1"/>
  <c r="EJ358" i="9"/>
  <c r="EK358" i="9" s="1"/>
  <c r="EO358" i="9" s="1"/>
  <c r="DQ358" i="9"/>
  <c r="DR358" i="9" s="1"/>
  <c r="DV358" i="9" s="1"/>
  <c r="I359" i="9"/>
  <c r="BS355" i="12"/>
  <c r="BU355" i="12"/>
  <c r="BT355" i="12"/>
  <c r="CO354" i="12"/>
  <c r="DX355" i="12"/>
  <c r="DZ355" i="12"/>
  <c r="DY355" i="12"/>
  <c r="DE355" i="12"/>
  <c r="DF355" i="12"/>
  <c r="DG355" i="12"/>
  <c r="BB356" i="9"/>
  <c r="BA356" i="9"/>
  <c r="AZ356" i="9"/>
  <c r="AY356" i="9"/>
  <c r="AU357" i="9"/>
  <c r="AW357" i="9" s="1"/>
  <c r="K358" i="12" a="1"/>
  <c r="K358" i="12" s="1"/>
  <c r="L358" i="12" a="1"/>
  <c r="L358" i="12" s="1"/>
  <c r="J358" i="12" a="1"/>
  <c r="J358" i="12" s="1"/>
  <c r="O358" i="12" a="1"/>
  <c r="O358" i="12" s="1"/>
  <c r="N358" i="12" a="1"/>
  <c r="N358" i="12" s="1"/>
  <c r="H358" i="12" a="1"/>
  <c r="H358" i="12" s="1"/>
  <c r="G358" i="12" a="1"/>
  <c r="G358" i="12" s="1"/>
  <c r="D359" i="12"/>
  <c r="EQ355" i="12"/>
  <c r="ES355" i="12"/>
  <c r="ER355" i="12"/>
  <c r="CL357" i="9"/>
  <c r="CK357" i="9"/>
  <c r="CM357" i="9"/>
  <c r="CN357" i="9"/>
  <c r="AG355" i="12"/>
  <c r="AH355" i="12"/>
  <c r="AI355" i="12"/>
  <c r="DF356" i="9"/>
  <c r="DG356" i="9"/>
  <c r="DD356" i="9"/>
  <c r="DE356" i="9"/>
  <c r="M358" i="9"/>
  <c r="P358" i="9" s="1"/>
  <c r="Q358" i="9" s="1"/>
  <c r="DT357" i="9"/>
  <c r="EP356" i="12"/>
  <c r="FE356" i="12"/>
  <c r="FG356" i="12" s="1"/>
  <c r="FF356" i="12"/>
  <c r="CK356" i="12"/>
  <c r="DD356" i="12"/>
  <c r="AC356" i="12"/>
  <c r="AB356" i="12"/>
  <c r="AD356" i="12" s="1"/>
  <c r="BO356" i="12"/>
  <c r="BN356" i="12"/>
  <c r="BP356" i="12" s="1"/>
  <c r="DW356" i="12"/>
  <c r="BR356" i="12"/>
  <c r="AF356" i="12"/>
  <c r="FI356" i="12"/>
  <c r="CG356" i="12"/>
  <c r="CI356" i="12" s="1"/>
  <c r="CH356" i="12"/>
  <c r="DA356" i="12"/>
  <c r="EL356" i="12"/>
  <c r="EN356" i="12" s="1"/>
  <c r="DS356" i="12"/>
  <c r="DU356" i="12" s="1"/>
  <c r="AY356" i="12"/>
  <c r="CZ356" i="12"/>
  <c r="DB356" i="12" s="1"/>
  <c r="DT356" i="12"/>
  <c r="EM356" i="12"/>
  <c r="AV356" i="12"/>
  <c r="AU356" i="12"/>
  <c r="AW356" i="12" s="1"/>
  <c r="BR356" i="9"/>
  <c r="BV356" i="9" s="1"/>
  <c r="BS356" i="9"/>
  <c r="BU356" i="9"/>
  <c r="BT356" i="9"/>
  <c r="CN356" i="9"/>
  <c r="CM356" i="9"/>
  <c r="CK356" i="9"/>
  <c r="CL356" i="9"/>
  <c r="ES356" i="9"/>
  <c r="ER356" i="9"/>
  <c r="EP356" i="9"/>
  <c r="EQ356" i="9"/>
  <c r="FE357" i="9"/>
  <c r="FG357" i="9" s="1"/>
  <c r="DH354" i="12"/>
  <c r="AB357" i="9"/>
  <c r="AD357" i="9" s="1"/>
  <c r="CN355" i="12"/>
  <c r="CM355" i="12"/>
  <c r="CL355" i="12"/>
  <c r="FJ355" i="12"/>
  <c r="FL355" i="12"/>
  <c r="FK355" i="12"/>
  <c r="DX356" i="9"/>
  <c r="DW356" i="9"/>
  <c r="EA356" i="9" s="1"/>
  <c r="DY356" i="9"/>
  <c r="DZ356" i="9"/>
  <c r="FL356" i="9"/>
  <c r="FJ356" i="9"/>
  <c r="FK356" i="9"/>
  <c r="FI356" i="9"/>
  <c r="EM357" i="9"/>
  <c r="BN357" i="9"/>
  <c r="BP357" i="9" s="1"/>
  <c r="M357" i="12"/>
  <c r="P357" i="12" s="1"/>
  <c r="Q357" i="12" s="1"/>
  <c r="AJ355" i="12" l="1"/>
  <c r="DE357" i="9"/>
  <c r="ET355" i="12"/>
  <c r="BC355" i="12"/>
  <c r="DH356" i="9"/>
  <c r="FM355" i="12"/>
  <c r="ET356" i="9"/>
  <c r="ET357" i="9" s="1"/>
  <c r="DG357" i="9"/>
  <c r="DZ357" i="9"/>
  <c r="EA357" i="9" s="1"/>
  <c r="CO356" i="9"/>
  <c r="CO357" i="9" s="1"/>
  <c r="FM356" i="9"/>
  <c r="BC356" i="9"/>
  <c r="AJ356" i="9"/>
  <c r="DF357" i="9"/>
  <c r="BV355" i="12"/>
  <c r="M359" i="9"/>
  <c r="P359" i="9" s="1"/>
  <c r="Q359" i="9" s="1"/>
  <c r="CO355" i="12"/>
  <c r="M358" i="12"/>
  <c r="P358" i="12" s="1"/>
  <c r="Q358" i="12" s="1"/>
  <c r="DH355" i="12"/>
  <c r="EA355" i="12"/>
  <c r="EP357" i="12"/>
  <c r="FE357" i="12"/>
  <c r="FG357" i="12" s="1"/>
  <c r="FF357" i="12"/>
  <c r="CK357" i="12"/>
  <c r="DD357" i="12"/>
  <c r="BO357" i="12"/>
  <c r="BN357" i="12"/>
  <c r="BP357" i="12" s="1"/>
  <c r="AB357" i="12"/>
  <c r="AD357" i="12" s="1"/>
  <c r="AC357" i="12"/>
  <c r="FI357" i="12"/>
  <c r="CG357" i="12"/>
  <c r="CI357" i="12" s="1"/>
  <c r="CH357" i="12"/>
  <c r="AF357" i="12"/>
  <c r="DA357" i="12"/>
  <c r="CZ357" i="12"/>
  <c r="DB357" i="12" s="1"/>
  <c r="DT357" i="12"/>
  <c r="BR357" i="12"/>
  <c r="DW357" i="12"/>
  <c r="EL357" i="12"/>
  <c r="EN357" i="12" s="1"/>
  <c r="AY357" i="12"/>
  <c r="EM357" i="12"/>
  <c r="DS357" i="12"/>
  <c r="DU357" i="12" s="1"/>
  <c r="AU357" i="12"/>
  <c r="AW357" i="12" s="1"/>
  <c r="AV357" i="12"/>
  <c r="AI357" i="9"/>
  <c r="AH357" i="9"/>
  <c r="AG357" i="9"/>
  <c r="AF357" i="9"/>
  <c r="DX356" i="12"/>
  <c r="DZ356" i="12"/>
  <c r="DY356" i="12"/>
  <c r="FJ356" i="12"/>
  <c r="FL356" i="12"/>
  <c r="FK356" i="12"/>
  <c r="EQ356" i="12"/>
  <c r="ER356" i="12"/>
  <c r="ES356" i="12"/>
  <c r="BS356" i="12"/>
  <c r="BU356" i="12"/>
  <c r="BT356" i="12"/>
  <c r="BL359" i="9"/>
  <c r="BM359" i="9" s="1"/>
  <c r="BQ359" i="9" s="1"/>
  <c r="FC359" i="9"/>
  <c r="FD359" i="9" s="1"/>
  <c r="FH359" i="9" s="1"/>
  <c r="CX359" i="9"/>
  <c r="CY359" i="9" s="1"/>
  <c r="DC359" i="9" s="1"/>
  <c r="AS359" i="9"/>
  <c r="AT359" i="9" s="1"/>
  <c r="AX359" i="9" s="1"/>
  <c r="CE359" i="9"/>
  <c r="CF359" i="9" s="1"/>
  <c r="CJ359" i="9" s="1"/>
  <c r="EJ359" i="9"/>
  <c r="EK359" i="9" s="1"/>
  <c r="EO359" i="9" s="1"/>
  <c r="Z359" i="9"/>
  <c r="AA359" i="9" s="1"/>
  <c r="AE359" i="9" s="1"/>
  <c r="DQ359" i="9"/>
  <c r="DR359" i="9" s="1"/>
  <c r="DV359" i="9" s="1"/>
  <c r="I360" i="9"/>
  <c r="AZ356" i="12"/>
  <c r="BA356" i="12"/>
  <c r="BB356" i="12"/>
  <c r="G359" i="12" a="1"/>
  <c r="G359" i="12" s="1"/>
  <c r="O359" i="12" a="1"/>
  <c r="O359" i="12" s="1"/>
  <c r="L359" i="12" a="1"/>
  <c r="L359" i="12" s="1"/>
  <c r="N359" i="12" a="1"/>
  <c r="N359" i="12" s="1"/>
  <c r="K359" i="12" a="1"/>
  <c r="K359" i="12" s="1"/>
  <c r="J359" i="12" a="1"/>
  <c r="J359" i="12" s="1"/>
  <c r="H359" i="12" a="1"/>
  <c r="H359" i="12" s="1"/>
  <c r="D360" i="12"/>
  <c r="AY357" i="9"/>
  <c r="AZ357" i="9"/>
  <c r="BB357" i="9"/>
  <c r="BA357" i="9"/>
  <c r="FJ357" i="9"/>
  <c r="FI357" i="9"/>
  <c r="FL357" i="9"/>
  <c r="FK357" i="9"/>
  <c r="AG356" i="12"/>
  <c r="AI356" i="12"/>
  <c r="AH356" i="12"/>
  <c r="FE358" i="9"/>
  <c r="FG358" i="9" s="1"/>
  <c r="AU358" i="9"/>
  <c r="AW358" i="9" s="1"/>
  <c r="CG358" i="9"/>
  <c r="CI358" i="9" s="1"/>
  <c r="BO358" i="9"/>
  <c r="BN358" i="9"/>
  <c r="BP358" i="9" s="1"/>
  <c r="AV358" i="9"/>
  <c r="CH358" i="9"/>
  <c r="FF358" i="9"/>
  <c r="AB358" i="9"/>
  <c r="AD358" i="9" s="1"/>
  <c r="DA358" i="9"/>
  <c r="AC358" i="9"/>
  <c r="CZ358" i="9"/>
  <c r="DB358" i="9" s="1"/>
  <c r="EL358" i="9"/>
  <c r="EN358" i="9" s="1"/>
  <c r="EM358" i="9"/>
  <c r="DT358" i="9"/>
  <c r="DS358" i="9"/>
  <c r="DU358" i="9" s="1"/>
  <c r="G360" i="9" a="1"/>
  <c r="G360" i="9" s="1"/>
  <c r="H360" i="9" a="1"/>
  <c r="H360" i="9" s="1"/>
  <c r="O360" i="9" a="1"/>
  <c r="O360" i="9" s="1"/>
  <c r="N360" i="9" a="1"/>
  <c r="N360" i="9" s="1"/>
  <c r="K360" i="9" a="1"/>
  <c r="K360" i="9" s="1"/>
  <c r="J360" i="9" a="1"/>
  <c r="J360" i="9" s="1"/>
  <c r="L360" i="9" a="1"/>
  <c r="L360" i="9" s="1"/>
  <c r="D361" i="9"/>
  <c r="DE356" i="12"/>
  <c r="DG356" i="12"/>
  <c r="DF356" i="12"/>
  <c r="BU357" i="9"/>
  <c r="BT357" i="9"/>
  <c r="BR357" i="9"/>
  <c r="BV357" i="9" s="1"/>
  <c r="BS357" i="9"/>
  <c r="CL356" i="12"/>
  <c r="CN356" i="12"/>
  <c r="CM356" i="12"/>
  <c r="EA356" i="12" l="1"/>
  <c r="DH357" i="9"/>
  <c r="BC357" i="9"/>
  <c r="FM357" i="9"/>
  <c r="ET356" i="12"/>
  <c r="AJ357" i="9"/>
  <c r="DA358" i="12"/>
  <c r="EP358" i="12"/>
  <c r="CZ358" i="12"/>
  <c r="DB358" i="12" s="1"/>
  <c r="DT358" i="12"/>
  <c r="AU358" i="12"/>
  <c r="AW358" i="12" s="1"/>
  <c r="AF358" i="12"/>
  <c r="DD358" i="12"/>
  <c r="CK358" i="12"/>
  <c r="DS358" i="12"/>
  <c r="DU358" i="12" s="1"/>
  <c r="BN358" i="12"/>
  <c r="BP358" i="12" s="1"/>
  <c r="BT358" i="12" s="1"/>
  <c r="AV358" i="12"/>
  <c r="BO358" i="12"/>
  <c r="AY358" i="12"/>
  <c r="FE359" i="9"/>
  <c r="FG359" i="9" s="1"/>
  <c r="FL359" i="9" s="1"/>
  <c r="DS359" i="9"/>
  <c r="DU359" i="9" s="1"/>
  <c r="AC359" i="9"/>
  <c r="EL358" i="12"/>
  <c r="EN358" i="12" s="1"/>
  <c r="CG358" i="12"/>
  <c r="CI358" i="12" s="1"/>
  <c r="CL358" i="12" s="1"/>
  <c r="DW358" i="12"/>
  <c r="FI358" i="12"/>
  <c r="FF358" i="12"/>
  <c r="AB358" i="12"/>
  <c r="AD358" i="12" s="1"/>
  <c r="AG358" i="12" s="1"/>
  <c r="AV359" i="9"/>
  <c r="BR358" i="12"/>
  <c r="FM356" i="12"/>
  <c r="FE358" i="12"/>
  <c r="FG358" i="12" s="1"/>
  <c r="FL358" i="12" s="1"/>
  <c r="EM358" i="12"/>
  <c r="AU359" i="9"/>
  <c r="AW359" i="9" s="1"/>
  <c r="BV356" i="12"/>
  <c r="M360" i="9"/>
  <c r="P360" i="9" s="1"/>
  <c r="Q360" i="9" s="1"/>
  <c r="AJ356" i="12"/>
  <c r="CH358" i="12"/>
  <c r="DH356" i="12"/>
  <c r="M359" i="12"/>
  <c r="P359" i="12" s="1"/>
  <c r="Q359" i="12" s="1"/>
  <c r="BC356" i="12"/>
  <c r="ER358" i="9"/>
  <c r="ES358" i="9"/>
  <c r="EP358" i="9"/>
  <c r="EQ358" i="9"/>
  <c r="BR358" i="9"/>
  <c r="BV358" i="9" s="1"/>
  <c r="BT358" i="9"/>
  <c r="BS358" i="9"/>
  <c r="BU358" i="9"/>
  <c r="J360" i="12" a="1"/>
  <c r="J360" i="12" s="1"/>
  <c r="L360" i="12" a="1"/>
  <c r="L360" i="12" s="1"/>
  <c r="H360" i="12" a="1"/>
  <c r="H360" i="12" s="1"/>
  <c r="G360" i="12" a="1"/>
  <c r="G360" i="12" s="1"/>
  <c r="K360" i="12" a="1"/>
  <c r="K360" i="12" s="1"/>
  <c r="N360" i="12" a="1"/>
  <c r="N360" i="12" s="1"/>
  <c r="O360" i="12" a="1"/>
  <c r="O360" i="12" s="1"/>
  <c r="D361" i="12"/>
  <c r="AB359" i="9"/>
  <c r="AD359" i="9" s="1"/>
  <c r="FF359" i="9"/>
  <c r="BA357" i="12"/>
  <c r="BB357" i="12"/>
  <c r="AZ357" i="12"/>
  <c r="DE357" i="12"/>
  <c r="DF357" i="12"/>
  <c r="DG357" i="12"/>
  <c r="BS357" i="12"/>
  <c r="BU357" i="12"/>
  <c r="BT357" i="12"/>
  <c r="DE358" i="12"/>
  <c r="DF358" i="12"/>
  <c r="DG358" i="12"/>
  <c r="DE358" i="9"/>
  <c r="DF358" i="9"/>
  <c r="DD358" i="9"/>
  <c r="DH358" i="9" s="1"/>
  <c r="DG358" i="9"/>
  <c r="DX357" i="12"/>
  <c r="DZ357" i="12"/>
  <c r="DY357" i="12"/>
  <c r="DX359" i="9"/>
  <c r="DY359" i="9"/>
  <c r="DZ359" i="9"/>
  <c r="DW359" i="9"/>
  <c r="CK358" i="9"/>
  <c r="CM358" i="9"/>
  <c r="CN358" i="9"/>
  <c r="CL358" i="9"/>
  <c r="DA359" i="9"/>
  <c r="BA358" i="12"/>
  <c r="AZ358" i="12"/>
  <c r="BB358" i="12"/>
  <c r="AC358" i="12"/>
  <c r="AZ358" i="9"/>
  <c r="BB358" i="9"/>
  <c r="BA358" i="9"/>
  <c r="AY358" i="9"/>
  <c r="AS360" i="9"/>
  <c r="AT360" i="9" s="1"/>
  <c r="AX360" i="9" s="1"/>
  <c r="Z360" i="9"/>
  <c r="AA360" i="9" s="1"/>
  <c r="AE360" i="9" s="1"/>
  <c r="FC360" i="9"/>
  <c r="FD360" i="9" s="1"/>
  <c r="FH360" i="9" s="1"/>
  <c r="EJ360" i="9"/>
  <c r="EK360" i="9" s="1"/>
  <c r="EO360" i="9" s="1"/>
  <c r="CX360" i="9"/>
  <c r="CY360" i="9" s="1"/>
  <c r="DC360" i="9" s="1"/>
  <c r="CE360" i="9"/>
  <c r="CF360" i="9" s="1"/>
  <c r="CJ360" i="9" s="1"/>
  <c r="DQ360" i="9"/>
  <c r="DR360" i="9" s="1"/>
  <c r="DV360" i="9" s="1"/>
  <c r="BL360" i="9"/>
  <c r="BM360" i="9" s="1"/>
  <c r="BQ360" i="9" s="1"/>
  <c r="I361" i="9"/>
  <c r="EM359" i="9"/>
  <c r="CG359" i="9"/>
  <c r="CI359" i="9" s="1"/>
  <c r="AZ359" i="9"/>
  <c r="AY359" i="9"/>
  <c r="BA359" i="9"/>
  <c r="BB359" i="9"/>
  <c r="EQ358" i="12"/>
  <c r="ES358" i="12"/>
  <c r="ER358" i="12"/>
  <c r="AH358" i="9"/>
  <c r="AI358" i="9"/>
  <c r="AG358" i="9"/>
  <c r="AF358" i="9"/>
  <c r="FI358" i="9"/>
  <c r="FJ358" i="9"/>
  <c r="FL358" i="9"/>
  <c r="FK358" i="9"/>
  <c r="EL359" i="9"/>
  <c r="EN359" i="9" s="1"/>
  <c r="CH359" i="9"/>
  <c r="EQ357" i="12"/>
  <c r="ER357" i="12"/>
  <c r="ES357" i="12"/>
  <c r="CL357" i="12"/>
  <c r="CN357" i="12"/>
  <c r="CM357" i="12"/>
  <c r="AG357" i="12"/>
  <c r="AI357" i="12"/>
  <c r="AH357" i="12"/>
  <c r="CO356" i="12"/>
  <c r="N361" i="9" a="1"/>
  <c r="N361" i="9" s="1"/>
  <c r="O361" i="9" a="1"/>
  <c r="O361" i="9" s="1"/>
  <c r="H361" i="9" a="1"/>
  <c r="H361" i="9" s="1"/>
  <c r="G361" i="9" a="1"/>
  <c r="G361" i="9" s="1"/>
  <c r="K361" i="9" a="1"/>
  <c r="K361" i="9" s="1"/>
  <c r="J361" i="9" a="1"/>
  <c r="J361" i="9" s="1"/>
  <c r="L361" i="9" a="1"/>
  <c r="L361" i="9" s="1"/>
  <c r="D362" i="9"/>
  <c r="DW358" i="9"/>
  <c r="EA358" i="9" s="1"/>
  <c r="EA359" i="9" s="1"/>
  <c r="DX358" i="9"/>
  <c r="DZ358" i="9"/>
  <c r="DY358" i="9"/>
  <c r="CZ359" i="9"/>
  <c r="DB359" i="9" s="1"/>
  <c r="BN359" i="9"/>
  <c r="BP359" i="9" s="1"/>
  <c r="FJ357" i="12"/>
  <c r="FL357" i="12"/>
  <c r="FK357" i="12"/>
  <c r="DX358" i="12"/>
  <c r="DY358" i="12"/>
  <c r="DZ358" i="12"/>
  <c r="DT359" i="9"/>
  <c r="BO359" i="9"/>
  <c r="ET358" i="12" l="1"/>
  <c r="BC358" i="12"/>
  <c r="FK359" i="9"/>
  <c r="BU358" i="12"/>
  <c r="BS358" i="12"/>
  <c r="BV358" i="12" s="1"/>
  <c r="FK358" i="12"/>
  <c r="FJ358" i="12"/>
  <c r="AJ358" i="9"/>
  <c r="CN358" i="12"/>
  <c r="CM358" i="12"/>
  <c r="CO358" i="12" s="1"/>
  <c r="CO358" i="9"/>
  <c r="ET358" i="9"/>
  <c r="FM358" i="9"/>
  <c r="FM359" i="9" s="1"/>
  <c r="BC358" i="9"/>
  <c r="BC359" i="9" s="1"/>
  <c r="FI359" i="9"/>
  <c r="FJ359" i="9"/>
  <c r="AI358" i="12"/>
  <c r="AH358" i="12"/>
  <c r="DH358" i="12"/>
  <c r="FM357" i="12"/>
  <c r="BV357" i="12"/>
  <c r="AJ357" i="12"/>
  <c r="FM358" i="12"/>
  <c r="BC357" i="12"/>
  <c r="CO357" i="12"/>
  <c r="AG359" i="9"/>
  <c r="AF359" i="9"/>
  <c r="AI359" i="9"/>
  <c r="AH359" i="9"/>
  <c r="M360" i="12"/>
  <c r="P360" i="12" s="1"/>
  <c r="Q360" i="12" s="1"/>
  <c r="ER359" i="9"/>
  <c r="ES359" i="9"/>
  <c r="EQ359" i="9"/>
  <c r="EP359" i="9"/>
  <c r="BO360" i="9"/>
  <c r="CG360" i="9"/>
  <c r="CI360" i="9" s="1"/>
  <c r="AV360" i="9"/>
  <c r="BN360" i="9"/>
  <c r="BP360" i="9" s="1"/>
  <c r="CH360" i="9"/>
  <c r="AU360" i="9"/>
  <c r="AW360" i="9" s="1"/>
  <c r="FF360" i="9"/>
  <c r="FE360" i="9"/>
  <c r="FG360" i="9" s="1"/>
  <c r="EM360" i="9"/>
  <c r="EL360" i="9"/>
  <c r="EN360" i="9" s="1"/>
  <c r="DA360" i="9"/>
  <c r="AC360" i="9"/>
  <c r="CZ360" i="9"/>
  <c r="DB360" i="9" s="1"/>
  <c r="AB360" i="9"/>
  <c r="AD360" i="9" s="1"/>
  <c r="DS360" i="9"/>
  <c r="DU360" i="9" s="1"/>
  <c r="DT360" i="9"/>
  <c r="L361" i="12" a="1"/>
  <c r="L361" i="12" s="1"/>
  <c r="K361" i="12" a="1"/>
  <c r="K361" i="12" s="1"/>
  <c r="H361" i="12" a="1"/>
  <c r="H361" i="12" s="1"/>
  <c r="N361" i="12" a="1"/>
  <c r="N361" i="12" s="1"/>
  <c r="G361" i="12" a="1"/>
  <c r="G361" i="12" s="1"/>
  <c r="J361" i="12" a="1"/>
  <c r="J361" i="12" s="1"/>
  <c r="O361" i="12" a="1"/>
  <c r="O361" i="12" s="1"/>
  <c r="D362" i="12"/>
  <c r="FF359" i="12"/>
  <c r="FE359" i="12"/>
  <c r="FG359" i="12" s="1"/>
  <c r="EP359" i="12"/>
  <c r="CK359" i="12"/>
  <c r="DD359" i="12"/>
  <c r="AC359" i="12"/>
  <c r="BO359" i="12"/>
  <c r="AB359" i="12"/>
  <c r="AD359" i="12" s="1"/>
  <c r="BN359" i="12"/>
  <c r="BP359" i="12" s="1"/>
  <c r="AY359" i="12"/>
  <c r="DA359" i="12"/>
  <c r="DT359" i="12"/>
  <c r="DW359" i="12"/>
  <c r="AF359" i="12"/>
  <c r="CZ359" i="12"/>
  <c r="DB359" i="12" s="1"/>
  <c r="DS359" i="12"/>
  <c r="DU359" i="12" s="1"/>
  <c r="FI359" i="12"/>
  <c r="BR359" i="12"/>
  <c r="CH359" i="12"/>
  <c r="CG359" i="12"/>
  <c r="CI359" i="12" s="1"/>
  <c r="EL359" i="12"/>
  <c r="EN359" i="12" s="1"/>
  <c r="EM359" i="12"/>
  <c r="AV359" i="12"/>
  <c r="AU359" i="12"/>
  <c r="AW359" i="12" s="1"/>
  <c r="EA357" i="12"/>
  <c r="DH357" i="12"/>
  <c r="L362" i="9" a="1"/>
  <c r="L362" i="9" s="1"/>
  <c r="K362" i="9" a="1"/>
  <c r="K362" i="9" s="1"/>
  <c r="H362" i="9" a="1"/>
  <c r="H362" i="9" s="1"/>
  <c r="O362" i="9" a="1"/>
  <c r="O362" i="9" s="1"/>
  <c r="N362" i="9" a="1"/>
  <c r="N362" i="9" s="1"/>
  <c r="J362" i="9" a="1"/>
  <c r="J362" i="9" s="1"/>
  <c r="G362" i="9" a="1"/>
  <c r="G362" i="9" s="1"/>
  <c r="D363" i="9"/>
  <c r="CL359" i="9"/>
  <c r="CK359" i="9"/>
  <c r="CN359" i="9"/>
  <c r="CM359" i="9"/>
  <c r="BS359" i="9"/>
  <c r="BR359" i="9"/>
  <c r="BT359" i="9"/>
  <c r="BU359" i="9"/>
  <c r="M361" i="9"/>
  <c r="P361" i="9" s="1"/>
  <c r="Q361" i="9" s="1"/>
  <c r="EA358" i="12"/>
  <c r="DE359" i="9"/>
  <c r="DD359" i="9"/>
  <c r="DG359" i="9"/>
  <c r="DF359" i="9"/>
  <c r="ET357" i="12"/>
  <c r="DQ361" i="9"/>
  <c r="DR361" i="9" s="1"/>
  <c r="DV361" i="9" s="1"/>
  <c r="CE361" i="9"/>
  <c r="CF361" i="9" s="1"/>
  <c r="CJ361" i="9" s="1"/>
  <c r="CX361" i="9"/>
  <c r="CY361" i="9" s="1"/>
  <c r="DC361" i="9" s="1"/>
  <c r="BL361" i="9"/>
  <c r="BM361" i="9" s="1"/>
  <c r="BQ361" i="9" s="1"/>
  <c r="Z361" i="9"/>
  <c r="AA361" i="9" s="1"/>
  <c r="AE361" i="9" s="1"/>
  <c r="FC361" i="9"/>
  <c r="FD361" i="9" s="1"/>
  <c r="FH361" i="9" s="1"/>
  <c r="AS361" i="9"/>
  <c r="AT361" i="9" s="1"/>
  <c r="AX361" i="9" s="1"/>
  <c r="EJ361" i="9"/>
  <c r="EK361" i="9" s="1"/>
  <c r="EO361" i="9" s="1"/>
  <c r="I362" i="9"/>
  <c r="AJ359" i="9" l="1"/>
  <c r="AJ358" i="12"/>
  <c r="BV359" i="9"/>
  <c r="DH359" i="9"/>
  <c r="CO359" i="9"/>
  <c r="ET359" i="9"/>
  <c r="M361" i="12"/>
  <c r="P361" i="12" s="1"/>
  <c r="Q361" i="12" s="1"/>
  <c r="CG361" i="9"/>
  <c r="CI361" i="9" s="1"/>
  <c r="BO361" i="9"/>
  <c r="CH361" i="9"/>
  <c r="BN361" i="9"/>
  <c r="BP361" i="9" s="1"/>
  <c r="AV361" i="9"/>
  <c r="FF361" i="9"/>
  <c r="AU361" i="9"/>
  <c r="AW361" i="9" s="1"/>
  <c r="FE361" i="9"/>
  <c r="FG361" i="9" s="1"/>
  <c r="EL361" i="9"/>
  <c r="EN361" i="9" s="1"/>
  <c r="EM361" i="9"/>
  <c r="DA361" i="9"/>
  <c r="AC361" i="9"/>
  <c r="CZ361" i="9"/>
  <c r="DB361" i="9" s="1"/>
  <c r="AB361" i="9"/>
  <c r="AD361" i="9" s="1"/>
  <c r="DT361" i="9"/>
  <c r="DS361" i="9"/>
  <c r="DU361" i="9" s="1"/>
  <c r="EQ359" i="12"/>
  <c r="ES359" i="12"/>
  <c r="ER359" i="12"/>
  <c r="AI360" i="9"/>
  <c r="AH360" i="9"/>
  <c r="AF360" i="9"/>
  <c r="AJ360" i="9" s="1"/>
  <c r="AG360" i="9"/>
  <c r="BB360" i="9"/>
  <c r="BA360" i="9"/>
  <c r="AZ360" i="9"/>
  <c r="AY360" i="9"/>
  <c r="BC360" i="9" s="1"/>
  <c r="CN359" i="12"/>
  <c r="CL359" i="12"/>
  <c r="CM359" i="12"/>
  <c r="DG360" i="9"/>
  <c r="DF360" i="9"/>
  <c r="DE360" i="9"/>
  <c r="DD360" i="9"/>
  <c r="DH360" i="9" s="1"/>
  <c r="DY360" i="9"/>
  <c r="DW360" i="9"/>
  <c r="DX360" i="9"/>
  <c r="DZ360" i="9"/>
  <c r="BT360" i="9"/>
  <c r="BR360" i="9"/>
  <c r="BS360" i="9"/>
  <c r="BU360" i="9"/>
  <c r="FF360" i="12"/>
  <c r="FE360" i="12"/>
  <c r="FG360" i="12" s="1"/>
  <c r="EP360" i="12"/>
  <c r="DD360" i="12"/>
  <c r="CK360" i="12"/>
  <c r="BO360" i="12"/>
  <c r="BN360" i="12"/>
  <c r="BP360" i="12" s="1"/>
  <c r="AB360" i="12"/>
  <c r="AD360" i="12" s="1"/>
  <c r="AC360" i="12"/>
  <c r="BR360" i="12"/>
  <c r="DT360" i="12"/>
  <c r="DA360" i="12"/>
  <c r="AF360" i="12"/>
  <c r="DW360" i="12"/>
  <c r="AY360" i="12"/>
  <c r="DS360" i="12"/>
  <c r="DU360" i="12" s="1"/>
  <c r="CZ360" i="12"/>
  <c r="DB360" i="12" s="1"/>
  <c r="FI360" i="12"/>
  <c r="CH360" i="12"/>
  <c r="EM360" i="12"/>
  <c r="CG360" i="12"/>
  <c r="CI360" i="12" s="1"/>
  <c r="EL360" i="12"/>
  <c r="EN360" i="12" s="1"/>
  <c r="AV360" i="12"/>
  <c r="AU360" i="12"/>
  <c r="AW360" i="12" s="1"/>
  <c r="AS362" i="9"/>
  <c r="AT362" i="9" s="1"/>
  <c r="AX362" i="9" s="1"/>
  <c r="EJ362" i="9"/>
  <c r="EK362" i="9" s="1"/>
  <c r="EO362" i="9" s="1"/>
  <c r="CX362" i="9"/>
  <c r="CY362" i="9" s="1"/>
  <c r="DC362" i="9" s="1"/>
  <c r="Z362" i="9"/>
  <c r="AA362" i="9" s="1"/>
  <c r="AE362" i="9" s="1"/>
  <c r="BL362" i="9"/>
  <c r="BM362" i="9" s="1"/>
  <c r="BQ362" i="9" s="1"/>
  <c r="DQ362" i="9"/>
  <c r="DR362" i="9" s="1"/>
  <c r="DV362" i="9" s="1"/>
  <c r="CE362" i="9"/>
  <c r="CF362" i="9" s="1"/>
  <c r="CJ362" i="9" s="1"/>
  <c r="FC362" i="9"/>
  <c r="FD362" i="9" s="1"/>
  <c r="FH362" i="9" s="1"/>
  <c r="I363" i="9"/>
  <c r="H363" i="9" a="1"/>
  <c r="H363" i="9" s="1"/>
  <c r="G363" i="9" a="1"/>
  <c r="G363" i="9" s="1"/>
  <c r="N363" i="9" a="1"/>
  <c r="N363" i="9" s="1"/>
  <c r="J363" i="9" a="1"/>
  <c r="J363" i="9" s="1"/>
  <c r="O363" i="9" a="1"/>
  <c r="O363" i="9" s="1"/>
  <c r="K363" i="9" a="1"/>
  <c r="K363" i="9" s="1"/>
  <c r="L363" i="9" a="1"/>
  <c r="L363" i="9" s="1"/>
  <c r="FJ359" i="12"/>
  <c r="FK359" i="12"/>
  <c r="FL359" i="12"/>
  <c r="BS359" i="12"/>
  <c r="BT359" i="12"/>
  <c r="BU359" i="12"/>
  <c r="ES360" i="9"/>
  <c r="ER360" i="9"/>
  <c r="EQ360" i="9"/>
  <c r="EP360" i="9"/>
  <c r="CM360" i="9"/>
  <c r="CL360" i="9"/>
  <c r="CK360" i="9"/>
  <c r="CN360" i="9"/>
  <c r="M362" i="9"/>
  <c r="P362" i="9" s="1"/>
  <c r="Q362" i="9" s="1"/>
  <c r="AZ359" i="12"/>
  <c r="BA359" i="12"/>
  <c r="BB359" i="12"/>
  <c r="DX359" i="12"/>
  <c r="DY359" i="12"/>
  <c r="DZ359" i="12"/>
  <c r="AI359" i="12"/>
  <c r="AH359" i="12"/>
  <c r="AG359" i="12"/>
  <c r="DE359" i="12"/>
  <c r="DF359" i="12"/>
  <c r="DG359" i="12"/>
  <c r="L362" i="12" a="1"/>
  <c r="L362" i="12" s="1"/>
  <c r="G362" i="12" a="1"/>
  <c r="G362" i="12" s="1"/>
  <c r="O362" i="12" a="1"/>
  <c r="O362" i="12" s="1"/>
  <c r="J362" i="12" a="1"/>
  <c r="J362" i="12" s="1"/>
  <c r="K362" i="12" a="1"/>
  <c r="K362" i="12" s="1"/>
  <c r="N362" i="12" a="1"/>
  <c r="N362" i="12" s="1"/>
  <c r="H362" i="12" a="1"/>
  <c r="H362" i="12" s="1"/>
  <c r="D363" i="12"/>
  <c r="FI360" i="9"/>
  <c r="FJ360" i="9"/>
  <c r="FL360" i="9"/>
  <c r="FK360" i="9"/>
  <c r="BV360" i="9" l="1"/>
  <c r="CO360" i="9"/>
  <c r="FM360" i="9"/>
  <c r="ET360" i="9"/>
  <c r="EA360" i="9"/>
  <c r="CO359" i="12"/>
  <c r="FM359" i="12"/>
  <c r="M363" i="9"/>
  <c r="P363" i="9" s="1"/>
  <c r="Q363" i="9" s="1"/>
  <c r="BV359" i="12"/>
  <c r="DH359" i="12"/>
  <c r="AJ359" i="12"/>
  <c r="BC359" i="12"/>
  <c r="M362" i="12"/>
  <c r="P362" i="12" s="1"/>
  <c r="Q362" i="12" s="1"/>
  <c r="EP361" i="12"/>
  <c r="FF361" i="12"/>
  <c r="FE361" i="12"/>
  <c r="FG361" i="12" s="1"/>
  <c r="CK361" i="12"/>
  <c r="DD361" i="12"/>
  <c r="AC361" i="12"/>
  <c r="AB361" i="12"/>
  <c r="AD361" i="12" s="1"/>
  <c r="BO361" i="12"/>
  <c r="BN361" i="12"/>
  <c r="BP361" i="12" s="1"/>
  <c r="FI361" i="12"/>
  <c r="EL361" i="12"/>
  <c r="EN361" i="12" s="1"/>
  <c r="BR361" i="12"/>
  <c r="EM361" i="12"/>
  <c r="AF361" i="12"/>
  <c r="DS361" i="12"/>
  <c r="DU361" i="12" s="1"/>
  <c r="DT361" i="12"/>
  <c r="CG361" i="12"/>
  <c r="CI361" i="12" s="1"/>
  <c r="AY361" i="12"/>
  <c r="DA361" i="12"/>
  <c r="DW361" i="12"/>
  <c r="CZ361" i="12"/>
  <c r="DB361" i="12" s="1"/>
  <c r="CH361" i="12"/>
  <c r="AV361" i="12"/>
  <c r="AU361" i="12"/>
  <c r="AW361" i="12" s="1"/>
  <c r="BA361" i="9"/>
  <c r="BB361" i="9"/>
  <c r="AY361" i="9"/>
  <c r="BC361" i="9" s="1"/>
  <c r="AZ361" i="9"/>
  <c r="FI361" i="9"/>
  <c r="FL361" i="9"/>
  <c r="FJ361" i="9"/>
  <c r="FK361" i="9"/>
  <c r="AG361" i="9"/>
  <c r="AH361" i="9"/>
  <c r="AF361" i="9"/>
  <c r="AJ361" i="9" s="1"/>
  <c r="AI361" i="9"/>
  <c r="CL360" i="12"/>
  <c r="CN360" i="12"/>
  <c r="CM360" i="12"/>
  <c r="FJ360" i="12"/>
  <c r="FL360" i="12"/>
  <c r="FK360" i="12"/>
  <c r="DE361" i="9"/>
  <c r="DG361" i="9"/>
  <c r="DD361" i="9"/>
  <c r="DF361" i="9"/>
  <c r="DX361" i="9"/>
  <c r="DW361" i="9"/>
  <c r="DY361" i="9"/>
  <c r="DZ361" i="9"/>
  <c r="EJ363" i="9"/>
  <c r="EK363" i="9" s="1"/>
  <c r="EO363" i="9" s="1"/>
  <c r="DQ363" i="9"/>
  <c r="DR363" i="9" s="1"/>
  <c r="DV363" i="9" s="1"/>
  <c r="BL363" i="9"/>
  <c r="BM363" i="9" s="1"/>
  <c r="BQ363" i="9" s="1"/>
  <c r="FC363" i="9"/>
  <c r="FD363" i="9" s="1"/>
  <c r="FH363" i="9" s="1"/>
  <c r="CX363" i="9"/>
  <c r="CY363" i="9" s="1"/>
  <c r="DC363" i="9" s="1"/>
  <c r="AS363" i="9"/>
  <c r="AT363" i="9" s="1"/>
  <c r="AX363" i="9" s="1"/>
  <c r="CE363" i="9"/>
  <c r="CF363" i="9" s="1"/>
  <c r="CJ363" i="9" s="1"/>
  <c r="Z363" i="9"/>
  <c r="AA363" i="9" s="1"/>
  <c r="AE363" i="9" s="1"/>
  <c r="DE360" i="12"/>
  <c r="DF360" i="12"/>
  <c r="DG360" i="12"/>
  <c r="BT361" i="9"/>
  <c r="BS361" i="9"/>
  <c r="BR361" i="9"/>
  <c r="BU361" i="9"/>
  <c r="K363" i="12" a="1"/>
  <c r="K363" i="12" s="1"/>
  <c r="H363" i="12" a="1"/>
  <c r="H363" i="12" s="1"/>
  <c r="G363" i="12" a="1"/>
  <c r="G363" i="12" s="1"/>
  <c r="O363" i="12" a="1"/>
  <c r="O363" i="12" s="1"/>
  <c r="J363" i="12" a="1"/>
  <c r="J363" i="12" s="1"/>
  <c r="N363" i="12" a="1"/>
  <c r="N363" i="12" s="1"/>
  <c r="L363" i="12" a="1"/>
  <c r="L363" i="12" s="1"/>
  <c r="EA359" i="12"/>
  <c r="AZ360" i="12"/>
  <c r="BA360" i="12"/>
  <c r="BB360" i="12"/>
  <c r="DX360" i="12"/>
  <c r="DZ360" i="12"/>
  <c r="DY360" i="12"/>
  <c r="AI360" i="12"/>
  <c r="AG360" i="12"/>
  <c r="AH360" i="12"/>
  <c r="ET359" i="12"/>
  <c r="BS360" i="12"/>
  <c r="BU360" i="12"/>
  <c r="BT360" i="12"/>
  <c r="FF362" i="9"/>
  <c r="AV362" i="9"/>
  <c r="FE362" i="9"/>
  <c r="FG362" i="9" s="1"/>
  <c r="AU362" i="9"/>
  <c r="AW362" i="9" s="1"/>
  <c r="CG362" i="9"/>
  <c r="CI362" i="9" s="1"/>
  <c r="CH363" i="9" s="1"/>
  <c r="BN362" i="9"/>
  <c r="BP362" i="9" s="1"/>
  <c r="BO362" i="9"/>
  <c r="CH362" i="9"/>
  <c r="AC362" i="9"/>
  <c r="EM362" i="9"/>
  <c r="DA362" i="9"/>
  <c r="CZ362" i="9"/>
  <c r="DB362" i="9" s="1"/>
  <c r="AB362" i="9"/>
  <c r="AD362" i="9" s="1"/>
  <c r="AC363" i="9" s="1"/>
  <c r="EL362" i="9"/>
  <c r="EN362" i="9" s="1"/>
  <c r="DT362" i="9"/>
  <c r="DS362" i="9"/>
  <c r="DU362" i="9" s="1"/>
  <c r="EQ360" i="12"/>
  <c r="ER360" i="12"/>
  <c r="ES360" i="12"/>
  <c r="EP361" i="9"/>
  <c r="ES361" i="9"/>
  <c r="EQ361" i="9"/>
  <c r="ER361" i="9"/>
  <c r="CK361" i="9"/>
  <c r="CM361" i="9"/>
  <c r="CN361" i="9"/>
  <c r="CL361" i="9"/>
  <c r="DA363" i="9" l="1"/>
  <c r="BV361" i="9"/>
  <c r="CO361" i="9"/>
  <c r="DS363" i="9"/>
  <c r="DU363" i="9" s="1"/>
  <c r="DW363" i="9" s="1"/>
  <c r="DH361" i="9"/>
  <c r="FM361" i="9"/>
  <c r="BO363" i="9"/>
  <c r="ET361" i="9"/>
  <c r="EA361" i="9"/>
  <c r="DH360" i="12"/>
  <c r="FM360" i="12"/>
  <c r="AJ360" i="12"/>
  <c r="BC360" i="12"/>
  <c r="EA360" i="12"/>
  <c r="BV360" i="12"/>
  <c r="CO360" i="12"/>
  <c r="DT363" i="9"/>
  <c r="BN363" i="9"/>
  <c r="BP363" i="9" s="1"/>
  <c r="BT363" i="9" s="1"/>
  <c r="DX363" i="9"/>
  <c r="DZ363" i="9"/>
  <c r="DY363" i="9"/>
  <c r="FL362" i="9"/>
  <c r="FK362" i="9"/>
  <c r="FJ362" i="9"/>
  <c r="FI362" i="9"/>
  <c r="FF363" i="9"/>
  <c r="DE361" i="12"/>
  <c r="DG361" i="12"/>
  <c r="DF361" i="12"/>
  <c r="AB363" i="9"/>
  <c r="AD363" i="9" s="1"/>
  <c r="ET360" i="12"/>
  <c r="CZ363" i="9"/>
  <c r="DB363" i="9" s="1"/>
  <c r="FE363" i="9"/>
  <c r="FG363" i="9" s="1"/>
  <c r="EQ361" i="12"/>
  <c r="ER361" i="12"/>
  <c r="ES361" i="12"/>
  <c r="FJ361" i="12"/>
  <c r="FL361" i="12"/>
  <c r="FK361" i="12"/>
  <c r="DX362" i="9"/>
  <c r="DW362" i="9"/>
  <c r="DY362" i="9"/>
  <c r="DZ362" i="9"/>
  <c r="AY362" i="9"/>
  <c r="AZ362" i="9"/>
  <c r="BB362" i="9"/>
  <c r="BA362" i="9"/>
  <c r="M363" i="12"/>
  <c r="P363" i="12" s="1"/>
  <c r="Q363" i="12" s="1"/>
  <c r="CL361" i="12"/>
  <c r="CN361" i="12"/>
  <c r="CM361" i="12"/>
  <c r="BS361" i="12"/>
  <c r="BT361" i="12"/>
  <c r="BU361" i="12"/>
  <c r="EQ362" i="9"/>
  <c r="EP362" i="9"/>
  <c r="ER362" i="9"/>
  <c r="ES362" i="9"/>
  <c r="BT362" i="9"/>
  <c r="BU362" i="9"/>
  <c r="BR362" i="9"/>
  <c r="BV362" i="9" s="1"/>
  <c r="BS362" i="9"/>
  <c r="EL363" i="9"/>
  <c r="EN363" i="9" s="1"/>
  <c r="AV363" i="9"/>
  <c r="AZ361" i="12"/>
  <c r="BB361" i="12"/>
  <c r="BA361" i="12"/>
  <c r="DE362" i="9"/>
  <c r="DG362" i="9"/>
  <c r="DD362" i="9"/>
  <c r="DF362" i="9"/>
  <c r="AU363" i="9"/>
  <c r="AW363" i="9" s="1"/>
  <c r="AG362" i="9"/>
  <c r="AI362" i="9"/>
  <c r="AF362" i="9"/>
  <c r="AH362" i="9"/>
  <c r="CL362" i="9"/>
  <c r="CK362" i="9"/>
  <c r="CN362" i="9"/>
  <c r="CM362" i="9"/>
  <c r="EM363" i="9"/>
  <c r="CG363" i="9"/>
  <c r="CI363" i="9" s="1"/>
  <c r="DX361" i="12"/>
  <c r="DY361" i="12"/>
  <c r="DZ361" i="12"/>
  <c r="AG361" i="12"/>
  <c r="AI361" i="12"/>
  <c r="AH361" i="12"/>
  <c r="EP362" i="12"/>
  <c r="FF362" i="12"/>
  <c r="FE362" i="12"/>
  <c r="FG362" i="12" s="1"/>
  <c r="CK362" i="12"/>
  <c r="DD362" i="12"/>
  <c r="AC362" i="12"/>
  <c r="AB362" i="12"/>
  <c r="AD362" i="12" s="1"/>
  <c r="BO362" i="12"/>
  <c r="BN362" i="12"/>
  <c r="BP362" i="12" s="1"/>
  <c r="DW362" i="12"/>
  <c r="BR362" i="12"/>
  <c r="CG362" i="12"/>
  <c r="CI362" i="12" s="1"/>
  <c r="DT362" i="12"/>
  <c r="EM362" i="12"/>
  <c r="CH362" i="12"/>
  <c r="AY362" i="12"/>
  <c r="AF362" i="12"/>
  <c r="DS362" i="12"/>
  <c r="DU362" i="12" s="1"/>
  <c r="FI362" i="12"/>
  <c r="DA362" i="12"/>
  <c r="EL362" i="12"/>
  <c r="EN362" i="12" s="1"/>
  <c r="CZ362" i="12"/>
  <c r="DB362" i="12" s="1"/>
  <c r="AV362" i="12"/>
  <c r="AU362" i="12"/>
  <c r="AW362" i="12" s="1"/>
  <c r="CO362" i="9" l="1"/>
  <c r="DH362" i="9"/>
  <c r="BC362" i="9"/>
  <c r="AJ362" i="9"/>
  <c r="FM362" i="9"/>
  <c r="EA362" i="9"/>
  <c r="EA363" i="9" s="1"/>
  <c r="ET362" i="9"/>
  <c r="CO361" i="12"/>
  <c r="AC363" i="12"/>
  <c r="AU363" i="12"/>
  <c r="AW363" i="12" s="1"/>
  <c r="DA363" i="12"/>
  <c r="DD363" i="12"/>
  <c r="CH363" i="12"/>
  <c r="CK363" i="12"/>
  <c r="BR363" i="12"/>
  <c r="DS363" i="12"/>
  <c r="DU363" i="12" s="1"/>
  <c r="DX363" i="12" s="1"/>
  <c r="DW363" i="12"/>
  <c r="AF363" i="12"/>
  <c r="BN363" i="12"/>
  <c r="BP363" i="12" s="1"/>
  <c r="BS363" i="12" s="1"/>
  <c r="EP363" i="12"/>
  <c r="AJ361" i="12"/>
  <c r="BV361" i="12"/>
  <c r="BU363" i="9"/>
  <c r="BS363" i="9"/>
  <c r="BR363" i="9"/>
  <c r="BC361" i="12"/>
  <c r="FM361" i="12"/>
  <c r="BB363" i="12"/>
  <c r="BA363" i="12"/>
  <c r="AZ363" i="12"/>
  <c r="AG362" i="12"/>
  <c r="AI362" i="12"/>
  <c r="AH362" i="12"/>
  <c r="BO363" i="12"/>
  <c r="EP363" i="9"/>
  <c r="ES363" i="9"/>
  <c r="ER363" i="9"/>
  <c r="EQ363" i="9"/>
  <c r="DT363" i="12"/>
  <c r="AZ362" i="12"/>
  <c r="BB362" i="12"/>
  <c r="BA362" i="12"/>
  <c r="AV363" i="12"/>
  <c r="AY363" i="12"/>
  <c r="AI363" i="9"/>
  <c r="AH363" i="9"/>
  <c r="AG363" i="9"/>
  <c r="AF363" i="9"/>
  <c r="DE362" i="12"/>
  <c r="DF362" i="12"/>
  <c r="DG362" i="12"/>
  <c r="CN362" i="12"/>
  <c r="CL362" i="12"/>
  <c r="CM362" i="12"/>
  <c r="EA361" i="12"/>
  <c r="CG363" i="12"/>
  <c r="CI363" i="12" s="1"/>
  <c r="ET361" i="12"/>
  <c r="DH361" i="12"/>
  <c r="EQ362" i="12"/>
  <c r="ES362" i="12"/>
  <c r="ER362" i="12"/>
  <c r="FJ362" i="12"/>
  <c r="FK362" i="12"/>
  <c r="FL362" i="12"/>
  <c r="EL363" i="12"/>
  <c r="EN363" i="12" s="1"/>
  <c r="FF363" i="12"/>
  <c r="DX362" i="12"/>
  <c r="DZ362" i="12"/>
  <c r="DY362" i="12"/>
  <c r="CM363" i="9"/>
  <c r="CN363" i="9"/>
  <c r="CL363" i="9"/>
  <c r="CK363" i="9"/>
  <c r="FI363" i="12"/>
  <c r="CZ363" i="12"/>
  <c r="DB363" i="12" s="1"/>
  <c r="FE363" i="12"/>
  <c r="FG363" i="12" s="1"/>
  <c r="FL363" i="9"/>
  <c r="FK363" i="9"/>
  <c r="FI363" i="9"/>
  <c r="FJ363" i="9"/>
  <c r="AZ363" i="9"/>
  <c r="BB363" i="9"/>
  <c r="BA363" i="9"/>
  <c r="AY363" i="9"/>
  <c r="BC363" i="9" s="1"/>
  <c r="BS362" i="12"/>
  <c r="BT362" i="12"/>
  <c r="BU362" i="12"/>
  <c r="EM363" i="12"/>
  <c r="AB363" i="12"/>
  <c r="AD363" i="12" s="1"/>
  <c r="DD363" i="9"/>
  <c r="DE363" i="9"/>
  <c r="DF363" i="9"/>
  <c r="DG363" i="9"/>
  <c r="BT363" i="12" l="1"/>
  <c r="BU363" i="12"/>
  <c r="ET363" i="9"/>
  <c r="DH363" i="9"/>
  <c r="CO363" i="9"/>
  <c r="AJ363" i="9"/>
  <c r="AM2" i="9" s="1"/>
  <c r="W25" i="8" s="1"/>
  <c r="FM363" i="9"/>
  <c r="BV363" i="9"/>
  <c r="AK4" i="9" s="1"/>
  <c r="U27" i="8" s="1"/>
  <c r="AP5" i="9"/>
  <c r="Z28" i="8" s="1"/>
  <c r="AL5" i="9"/>
  <c r="V28" i="8" s="1"/>
  <c r="AK5" i="9"/>
  <c r="U28" i="8" s="1"/>
  <c r="AM5" i="9"/>
  <c r="W28" i="8" s="1"/>
  <c r="AN5" i="9"/>
  <c r="X28" i="8" s="1"/>
  <c r="AO5" i="9"/>
  <c r="Y28" i="8" s="1"/>
  <c r="AP2" i="9"/>
  <c r="Z25" i="8" s="1"/>
  <c r="AM9" i="9"/>
  <c r="W32" i="8" s="1"/>
  <c r="AN9" i="9"/>
  <c r="X32" i="8" s="1"/>
  <c r="AK9" i="9"/>
  <c r="U32" i="8" s="1"/>
  <c r="AP9" i="9"/>
  <c r="Z32" i="8" s="1"/>
  <c r="AL9" i="9"/>
  <c r="V32" i="8" s="1"/>
  <c r="AO9" i="9"/>
  <c r="Y32" i="8" s="1"/>
  <c r="AL6" i="9"/>
  <c r="V29" i="8" s="1"/>
  <c r="AN6" i="9"/>
  <c r="X29" i="8" s="1"/>
  <c r="AK6" i="9"/>
  <c r="U29" i="8" s="1"/>
  <c r="AM6" i="9"/>
  <c r="W29" i="8" s="1"/>
  <c r="AP6" i="9"/>
  <c r="Z29" i="8" s="1"/>
  <c r="AO6" i="9"/>
  <c r="Y29" i="8" s="1"/>
  <c r="AN3" i="9"/>
  <c r="X26" i="8" s="1"/>
  <c r="AL3" i="9"/>
  <c r="V26" i="8" s="1"/>
  <c r="AO3" i="9"/>
  <c r="Y26" i="8" s="1"/>
  <c r="AK3" i="9"/>
  <c r="U26" i="8" s="1"/>
  <c r="AM3" i="9"/>
  <c r="W26" i="8" s="1"/>
  <c r="AP3" i="9"/>
  <c r="Z26" i="8" s="1"/>
  <c r="AP7" i="9"/>
  <c r="Z30" i="8" s="1"/>
  <c r="AO7" i="9"/>
  <c r="Y30" i="8" s="1"/>
  <c r="AM7" i="9"/>
  <c r="W30" i="8" s="1"/>
  <c r="AL7" i="9"/>
  <c r="V30" i="8" s="1"/>
  <c r="AK7" i="9"/>
  <c r="U30" i="8" s="1"/>
  <c r="AN7" i="9"/>
  <c r="X30" i="8" s="1"/>
  <c r="AM8" i="9"/>
  <c r="W31" i="8" s="1"/>
  <c r="AN8" i="9"/>
  <c r="X31" i="8" s="1"/>
  <c r="AK8" i="9"/>
  <c r="U31" i="8" s="1"/>
  <c r="AP8" i="9"/>
  <c r="Z31" i="8" s="1"/>
  <c r="AL8" i="9"/>
  <c r="V31" i="8" s="1"/>
  <c r="AO8" i="9"/>
  <c r="Y31" i="8" s="1"/>
  <c r="DY363" i="12"/>
  <c r="DZ363" i="12"/>
  <c r="ET362" i="12"/>
  <c r="BV362" i="12"/>
  <c r="BV363" i="12"/>
  <c r="AJ362" i="12"/>
  <c r="CO362" i="12"/>
  <c r="BC362" i="12"/>
  <c r="AL3" i="12" s="1"/>
  <c r="V48" i="8" s="1"/>
  <c r="FM362" i="12"/>
  <c r="CN363" i="12"/>
  <c r="CM363" i="12"/>
  <c r="CL363" i="12"/>
  <c r="EA362" i="12"/>
  <c r="FJ363" i="12"/>
  <c r="FL363" i="12"/>
  <c r="FK363" i="12"/>
  <c r="DE363" i="12"/>
  <c r="DF363" i="12"/>
  <c r="DG363" i="12"/>
  <c r="AG363" i="12"/>
  <c r="AH363" i="12"/>
  <c r="AI363" i="12"/>
  <c r="EQ363" i="12"/>
  <c r="ES363" i="12"/>
  <c r="ER363" i="12"/>
  <c r="BC363" i="12"/>
  <c r="DH362" i="12"/>
  <c r="AO2" i="9" l="1"/>
  <c r="Y25" i="8" s="1"/>
  <c r="AO4" i="9"/>
  <c r="Y27" i="8" s="1"/>
  <c r="AM4" i="9"/>
  <c r="W27" i="8" s="1"/>
  <c r="AP4" i="9"/>
  <c r="Z27" i="8" s="1"/>
  <c r="AK2" i="9"/>
  <c r="U25" i="8" s="1"/>
  <c r="AL4" i="9"/>
  <c r="V27" i="8" s="1"/>
  <c r="AL2" i="9"/>
  <c r="V25" i="8" s="1"/>
  <c r="AN4" i="9"/>
  <c r="X27" i="8" s="1"/>
  <c r="AN2" i="9"/>
  <c r="X25" i="8" s="1"/>
  <c r="EA363" i="12"/>
  <c r="AK7" i="12"/>
  <c r="U52" i="8" s="1"/>
  <c r="AM7" i="12"/>
  <c r="W52" i="8" s="1"/>
  <c r="AO7" i="12"/>
  <c r="Y52" i="8" s="1"/>
  <c r="AN7" i="12"/>
  <c r="X52" i="8" s="1"/>
  <c r="AP7" i="12"/>
  <c r="Z52" i="8" s="1"/>
  <c r="AL7" i="12"/>
  <c r="V52" i="8" s="1"/>
  <c r="AK4" i="12"/>
  <c r="U49" i="8" s="1"/>
  <c r="AC27" i="8" s="1"/>
  <c r="AL4" i="12"/>
  <c r="V49" i="8" s="1"/>
  <c r="AM4" i="12"/>
  <c r="W49" i="8" s="1"/>
  <c r="AP4" i="12"/>
  <c r="Z49" i="8" s="1"/>
  <c r="AO4" i="12"/>
  <c r="Y49" i="8" s="1"/>
  <c r="AN4" i="12"/>
  <c r="X49" i="8" s="1"/>
  <c r="AM3" i="12"/>
  <c r="W48" i="8" s="1"/>
  <c r="AN3" i="12"/>
  <c r="X48" i="8" s="1"/>
  <c r="AO3" i="12"/>
  <c r="Y48" i="8" s="1"/>
  <c r="AK3" i="12"/>
  <c r="U48" i="8" s="1"/>
  <c r="AC26" i="8" s="1"/>
  <c r="AP3" i="12"/>
  <c r="Z48" i="8" s="1"/>
  <c r="AC30" i="8"/>
  <c r="CO363" i="12"/>
  <c r="AJ363" i="12"/>
  <c r="FM363" i="12"/>
  <c r="ET363" i="12"/>
  <c r="DH363" i="12"/>
  <c r="AD27" i="8" l="1"/>
  <c r="AE27" i="8"/>
  <c r="AF27" i="8"/>
  <c r="AJ27" i="8"/>
  <c r="AG27" i="8"/>
  <c r="AL27" i="8"/>
  <c r="AI27" i="8"/>
  <c r="AK27" i="8"/>
  <c r="AH27" i="8"/>
  <c r="AG26" i="8"/>
  <c r="AI26" i="8"/>
  <c r="AJ26" i="8"/>
  <c r="AF26" i="8"/>
  <c r="AK26" i="8"/>
  <c r="AH26" i="8"/>
  <c r="AD26" i="8"/>
  <c r="AL26" i="8"/>
  <c r="AE26" i="8"/>
  <c r="AM6" i="12"/>
  <c r="W51" i="8" s="1"/>
  <c r="AN6" i="12"/>
  <c r="X51" i="8" s="1"/>
  <c r="AL6" i="12"/>
  <c r="V51" i="8" s="1"/>
  <c r="AO6" i="12"/>
  <c r="Y51" i="8" s="1"/>
  <c r="AK6" i="12"/>
  <c r="U51" i="8" s="1"/>
  <c r="AC29" i="8" s="1"/>
  <c r="AP6" i="12"/>
  <c r="Z51" i="8" s="1"/>
  <c r="AP8" i="12"/>
  <c r="Z53" i="8" s="1"/>
  <c r="AN8" i="12"/>
  <c r="X53" i="8" s="1"/>
  <c r="AL8" i="12"/>
  <c r="V53" i="8" s="1"/>
  <c r="AO8" i="12"/>
  <c r="Y53" i="8" s="1"/>
  <c r="AM8" i="12"/>
  <c r="W53" i="8" s="1"/>
  <c r="AK8" i="12"/>
  <c r="U53" i="8" s="1"/>
  <c r="AC31" i="8" s="1"/>
  <c r="AN9" i="12"/>
  <c r="X54" i="8" s="1"/>
  <c r="AK9" i="12"/>
  <c r="U54" i="8" s="1"/>
  <c r="AC32" i="8" s="1"/>
  <c r="AM9" i="12"/>
  <c r="W54" i="8" s="1"/>
  <c r="AO9" i="12"/>
  <c r="Y54" i="8" s="1"/>
  <c r="AL9" i="12"/>
  <c r="V54" i="8" s="1"/>
  <c r="AP9" i="12"/>
  <c r="Z54" i="8" s="1"/>
  <c r="AJ30" i="8"/>
  <c r="AF30" i="8"/>
  <c r="AK30" i="8"/>
  <c r="AD30" i="8"/>
  <c r="AI30" i="8"/>
  <c r="AE30" i="8"/>
  <c r="AL30" i="8"/>
  <c r="AG30" i="8"/>
  <c r="AH30" i="8"/>
  <c r="AL2" i="12"/>
  <c r="V47" i="8" s="1"/>
  <c r="AP2" i="12"/>
  <c r="Z47" i="8" s="1"/>
  <c r="AO2" i="12"/>
  <c r="Y47" i="8" s="1"/>
  <c r="AK2" i="12"/>
  <c r="U47" i="8" s="1"/>
  <c r="AM2" i="12"/>
  <c r="W47" i="8" s="1"/>
  <c r="AN2" i="12"/>
  <c r="X47" i="8" s="1"/>
  <c r="AM5" i="12"/>
  <c r="W50" i="8" s="1"/>
  <c r="AP5" i="12"/>
  <c r="Z50" i="8" s="1"/>
  <c r="AN5" i="12"/>
  <c r="X50" i="8" s="1"/>
  <c r="AL5" i="12"/>
  <c r="V50" i="8" s="1"/>
  <c r="AK5" i="12"/>
  <c r="U50" i="8" s="1"/>
  <c r="AC28" i="8" s="1"/>
  <c r="AO5" i="12"/>
  <c r="Y50" i="8" s="1"/>
  <c r="AL28" i="8" l="1"/>
  <c r="AF28" i="8"/>
  <c r="AH28" i="8"/>
  <c r="AE28" i="8"/>
  <c r="AK28" i="8"/>
  <c r="AI28" i="8"/>
  <c r="AJ28" i="8"/>
  <c r="AG28" i="8"/>
  <c r="AD28" i="8"/>
  <c r="AG29" i="8"/>
  <c r="AH29" i="8"/>
  <c r="AE29" i="8"/>
  <c r="AF29" i="8"/>
  <c r="AK29" i="8"/>
  <c r="AI29" i="8"/>
  <c r="AL29" i="8"/>
  <c r="AJ29" i="8"/>
  <c r="AD29" i="8"/>
  <c r="AE32" i="8"/>
  <c r="AL32" i="8"/>
  <c r="AG32" i="8"/>
  <c r="AH32" i="8"/>
  <c r="AI32" i="8"/>
  <c r="AJ32" i="8"/>
  <c r="AD32" i="8"/>
  <c r="AF32" i="8"/>
  <c r="AK32" i="8"/>
  <c r="AD31" i="8"/>
  <c r="AI31" i="8"/>
  <c r="AF31" i="8"/>
  <c r="AJ31" i="8"/>
  <c r="AL31" i="8"/>
  <c r="AK31" i="8"/>
  <c r="AE31" i="8"/>
  <c r="AG31" i="8"/>
  <c r="AH31" i="8"/>
  <c r="AC38" i="8"/>
  <c r="AD38" i="8" s="1"/>
  <c r="AC25" i="8"/>
  <c r="AL25" i="8" l="1"/>
  <c r="AI25" i="8"/>
  <c r="H65" i="8" s="1"/>
  <c r="H64" i="8" s="1"/>
  <c r="AF25" i="8"/>
  <c r="G71" i="8" s="1"/>
  <c r="AG25" i="8"/>
  <c r="G72" i="8" s="1"/>
  <c r="AD25" i="8"/>
  <c r="H61" i="8" s="1"/>
  <c r="AK25" i="8"/>
  <c r="G74" i="8" s="1"/>
  <c r="H74" i="8" s="1"/>
  <c r="G77" i="8"/>
  <c r="AH25" i="8"/>
  <c r="H63" i="8" s="1"/>
  <c r="H62" i="8" s="1"/>
  <c r="AE25" i="8"/>
  <c r="H59" i="8" s="1"/>
  <c r="AJ25" i="8"/>
  <c r="G73" i="8" s="1"/>
  <c r="D56" i="8" l="1"/>
  <c r="H26" i="8"/>
  <c r="H28" i="8"/>
  <c r="H27" i="8"/>
  <c r="H25" i="8"/>
  <c r="G78" i="8"/>
  <c r="H60" i="8"/>
  <c r="D61" i="8"/>
  <c r="E72" i="8"/>
  <c r="H72" i="8"/>
  <c r="H71" i="8"/>
  <c r="E71" i="8"/>
  <c r="E73" i="8"/>
  <c r="H73" i="8"/>
  <c r="D59" i="8"/>
  <c r="H58" i="8"/>
  <c r="I26" i="8" l="1"/>
  <c r="V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Pierre-Jean Housse</author>
    <author>Romain CHOTARD</author>
  </authors>
  <commentList>
    <comment ref="C2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Les calculs n'aboutissent pas si l'horizon de la dernière couche n'est pas assez profond (le pieu ne parvient pas à reprenre la charge nécessaire sur la hauteur de sol pour laquelle on dispose de données).</t>
        </r>
      </text>
    </comment>
    <comment ref="L41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Romain CHOTARD:</t>
        </r>
        <r>
          <rPr>
            <sz val="9"/>
            <color indexed="81"/>
            <rFont val="Tahoma"/>
            <family val="2"/>
          </rPr>
          <t xml:space="preserve">
NF P 94 262 (6.4.1.2), si pieux partiellement armé, la valeur de fcd dimensionnante sera la plus faible donc on prends AlphaCC=0.8, si le pieux est armé sur toute sa hauteur on peut prendre une valeur de 1</t>
        </r>
      </text>
    </comment>
    <comment ref="N4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Romain CHOTARD:</t>
        </r>
        <r>
          <rPr>
            <sz val="9"/>
            <color indexed="81"/>
            <rFont val="Tahoma"/>
            <family val="2"/>
          </rPr>
          <t xml:space="preserve">
Formule 2.4.2.4 EN1992-1</t>
        </r>
      </text>
    </comment>
    <comment ref="H5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fonction DECALER est utilisé comme pour le calcul de la profondeur: on se place à la première ligne de la colonne Rc;cr;k, puis on décale vers le bas d'autant de lignes qu'il y a de 1 affichés en colonne Prof. Enfin on affiche le résultat en le divisant par gamma cr, de valeur 0,9</t>
        </r>
      </text>
    </comment>
    <comment ref="H6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Même procédé que pour le calcul de Rc;cr;d de la combinaison fréquente, sauf qu'on divise par 1,1 le résultat.</t>
        </r>
      </text>
    </comment>
    <comment ref="H6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Pour éviter d'avoir à faire un coûteux essai de traction, la charge ELS de traction doit être inférieure à 15% de la valeur que peut reprendre le pieu en traction sans pondération</t>
        </r>
      </text>
    </comment>
    <comment ref="H6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Pour éviter d'avoir à faire un coûteux essai de traction, la charge ELS de traction doit être inférieure à 15% de la valeur que peut reprendre le pieu en traction sans pondération</t>
        </r>
      </text>
    </comment>
    <comment ref="H7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On utilise la fonction DECALER de la même manière que pour les calculs de la charge de fluage, mais à partir de la colonne donnant la portance Rc;d</t>
        </r>
      </text>
    </comment>
    <comment ref="H7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On utilise la fonction DECALER de la même manière que pour les calculs de la charge de fluage, mais à partir de la colonne donnant la portance Rc;d</t>
        </r>
      </text>
    </comment>
    <comment ref="H7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On utilise la fonction DECALER de la même manière que pour les calculs de la charge de fluage, mais à partir de la colonne donnant la portance Rc;d</t>
        </r>
      </text>
    </comment>
    <comment ref="G76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valeur du diamètre est soit le diamètre optimisé calculé automatiquement, ou, si un diamètre est rentré manuellement en cellule F59, ce diamètre-ci.</t>
        </r>
      </text>
    </comment>
    <comment ref="G77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profondeur est optimisé en fonction du diamètre obtenu.
La fonction DECALER permet, en sommant les 1 de la colonne Prof. de l'onglet calcul, de connaître de combien de cellules on doit décaler le curseur pour atteindre la bonne cellule et avoir la bonne profondeur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Valentin Guilbaut</author>
    <author>Pierre-Jean Housse</author>
  </authors>
  <commentList>
    <comment ref="A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Valentin Guilbaut:</t>
        </r>
        <r>
          <rPr>
            <sz val="9"/>
            <color indexed="81"/>
            <rFont val="Tahoma"/>
            <family val="2"/>
          </rPr>
          <t xml:space="preserve">
Ne pas modifier</t>
        </r>
      </text>
    </comment>
    <comment ref="AC2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valeur de psi2 est importante pour le calcul de la charge ELS quasi-permanente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<sst xmlns="http://schemas.openxmlformats.org/spreadsheetml/2006/main" count="1312" uniqueCount="412">
  <si>
    <t>TRACTION</t>
  </si>
  <si>
    <t>Fx</t>
  </si>
  <si>
    <t xml:space="preserve">Fy </t>
  </si>
  <si>
    <t>Fz</t>
  </si>
  <si>
    <t>Hsis</t>
  </si>
  <si>
    <t>Vsis</t>
  </si>
  <si>
    <t>Contrôle Renforcé</t>
  </si>
  <si>
    <t>Modèle de calcul</t>
  </si>
  <si>
    <t>Vmax ELSC (t)</t>
  </si>
  <si>
    <t>Vmax ELSQP (t)</t>
  </si>
  <si>
    <t>VmaxELU Acc (t)</t>
  </si>
  <si>
    <t>Vmin ELSC (t)</t>
  </si>
  <si>
    <t>Vmin ELSQP (t)</t>
  </si>
  <si>
    <t>Vmin ELU SDT/Sis (t)</t>
  </si>
  <si>
    <t>Vmin ELU Acc (t)</t>
  </si>
  <si>
    <t>Arase (NGF)</t>
  </si>
  <si>
    <t>Vmax ELU SDT</t>
  </si>
  <si>
    <t>Pas de calculs</t>
  </si>
  <si>
    <t>Méthode</t>
  </si>
  <si>
    <t>Type</t>
  </si>
  <si>
    <t>Pieu</t>
  </si>
  <si>
    <t>Choix du modèle</t>
  </si>
  <si>
    <t>Pressio.</t>
  </si>
  <si>
    <t>Catégorie du pieu</t>
  </si>
  <si>
    <t>Pénétro.</t>
  </si>
  <si>
    <t>Ref (NGF)</t>
  </si>
  <si>
    <t>Terme de pointe imposé</t>
  </si>
  <si>
    <t>N° Couche</t>
  </si>
  <si>
    <t>Prof toit (m)</t>
  </si>
  <si>
    <t>Prof base (m)</t>
  </si>
  <si>
    <t>NGF Base couche</t>
  </si>
  <si>
    <t>Type Sol
(NF P 94-262)</t>
  </si>
  <si>
    <t>Courbe</t>
  </si>
  <si>
    <t>a</t>
  </si>
  <si>
    <t>b</t>
  </si>
  <si>
    <t>c</t>
  </si>
  <si>
    <t>Méthode de calcul</t>
  </si>
  <si>
    <t>Prof toit (2)  (m)</t>
  </si>
  <si>
    <t>Prof base (2) (m)</t>
  </si>
  <si>
    <t>ple / qce</t>
  </si>
  <si>
    <t>kp / kc</t>
  </si>
  <si>
    <t>Modèle</t>
  </si>
  <si>
    <t>Etat</t>
  </si>
  <si>
    <t>Sols</t>
  </si>
  <si>
    <t>Pressio</t>
  </si>
  <si>
    <t>Pénétro</t>
  </si>
  <si>
    <t>Comp</t>
  </si>
  <si>
    <t>Trac</t>
  </si>
  <si>
    <t>Micropieu</t>
  </si>
  <si>
    <t>ELU</t>
  </si>
  <si>
    <t>Sol intermédiaire</t>
  </si>
  <si>
    <t>ELU Acc</t>
  </si>
  <si>
    <t>Tableau libre</t>
  </si>
  <si>
    <t>Modèle A</t>
  </si>
  <si>
    <t>Type Sol</t>
  </si>
  <si>
    <t>pl*/qc (MPa)</t>
  </si>
  <si>
    <t>Em (MPa)</t>
  </si>
  <si>
    <t>α (coef. Réol.)</t>
  </si>
  <si>
    <t>Choix de la méthode</t>
  </si>
  <si>
    <t>ple / qce (Mpa)</t>
  </si>
  <si>
    <t>Modèle B</t>
  </si>
  <si>
    <t>Craie</t>
  </si>
  <si>
    <t>ELS C</t>
  </si>
  <si>
    <t>Ø</t>
  </si>
  <si>
    <t>Pieu/MP</t>
  </si>
  <si>
    <t>VM</t>
  </si>
  <si>
    <t>Catégorie pieu</t>
  </si>
  <si>
    <t>Comp/Trac</t>
  </si>
  <si>
    <t>MP</t>
  </si>
  <si>
    <r>
      <rPr>
        <b/>
        <sz val="10"/>
        <rFont val="Times New Roman"/>
        <family val="1"/>
      </rPr>
      <t>γ</t>
    </r>
    <r>
      <rPr>
        <b/>
        <sz val="10"/>
        <rFont val="Arial"/>
        <family val="2"/>
      </rPr>
      <t>rd2</t>
    </r>
  </si>
  <si>
    <t>FS</t>
  </si>
  <si>
    <t>Ce</t>
  </si>
  <si>
    <t>Frottement hors craie (t)</t>
  </si>
  <si>
    <t>Frottement dans craie (t)</t>
  </si>
  <si>
    <t>Terme de frottement (t)</t>
  </si>
  <si>
    <t>Terme de pointe (t)</t>
  </si>
  <si>
    <t>Côte NGF</t>
  </si>
  <si>
    <t>Prof.</t>
  </si>
  <si>
    <r>
      <t>p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* (MPa)</t>
    </r>
  </si>
  <si>
    <r>
      <rPr>
        <sz val="10"/>
        <rFont val="Times New Roman"/>
        <family val="1"/>
      </rPr>
      <t>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hors craie</t>
    </r>
  </si>
  <si>
    <r>
      <rPr>
        <sz val="10"/>
        <rFont val="Times New Roman"/>
        <family val="1"/>
      </rPr>
      <t>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ancrés craie</t>
    </r>
  </si>
  <si>
    <r>
      <t>k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max 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max</t>
    </r>
  </si>
  <si>
    <r>
      <t>f</t>
    </r>
    <r>
      <rPr>
        <vertAlign val="subscript"/>
        <sz val="10"/>
        <rFont val="Arial"/>
        <family val="2"/>
      </rPr>
      <t>sol</t>
    </r>
    <r>
      <rPr>
        <sz val="10"/>
        <rFont val="Arial"/>
        <family val="2"/>
      </rPr>
      <t xml:space="preserve"> (MPa)</t>
    </r>
  </si>
  <si>
    <r>
      <rPr>
        <sz val="10"/>
        <rFont val="Calibri"/>
        <family val="2"/>
      </rPr>
      <t>α</t>
    </r>
    <r>
      <rPr>
        <vertAlign val="subscript"/>
        <sz val="10"/>
        <rFont val="Arial"/>
        <family val="2"/>
      </rPr>
      <t>pieu-sol</t>
    </r>
  </si>
  <si>
    <r>
      <t>q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(z) (t/m²)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</si>
  <si>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>(z) retenu (t/m²)</t>
    </r>
  </si>
  <si>
    <r>
      <t>P</t>
    </r>
    <r>
      <rPr>
        <vertAlign val="subscript"/>
        <sz val="10"/>
        <rFont val="Arial"/>
        <family val="2"/>
      </rPr>
      <t>le</t>
    </r>
    <r>
      <rPr>
        <sz val="10"/>
        <rFont val="Arial"/>
        <family val="2"/>
      </rPr>
      <t>* / q</t>
    </r>
    <r>
      <rPr>
        <vertAlign val="subscript"/>
        <sz val="10"/>
        <rFont val="Arial"/>
        <family val="2"/>
      </rPr>
      <t>ce</t>
    </r>
    <r>
      <rPr>
        <sz val="10"/>
        <rFont val="Arial"/>
        <family val="2"/>
      </rPr>
      <t xml:space="preserve"> auto (MPa)</t>
    </r>
  </si>
  <si>
    <r>
      <t>P</t>
    </r>
    <r>
      <rPr>
        <vertAlign val="subscript"/>
        <sz val="10"/>
        <rFont val="Arial"/>
        <family val="2"/>
      </rPr>
      <t>le</t>
    </r>
    <r>
      <rPr>
        <sz val="10"/>
        <rFont val="Arial"/>
        <family val="2"/>
      </rPr>
      <t>* / q</t>
    </r>
    <r>
      <rPr>
        <vertAlign val="subscript"/>
        <sz val="10"/>
        <rFont val="Arial"/>
        <family val="2"/>
      </rPr>
      <t>ce</t>
    </r>
    <r>
      <rPr>
        <sz val="10"/>
        <rFont val="Arial"/>
        <family val="2"/>
      </rPr>
      <t xml:space="preserve"> imposé (MPa)</t>
    </r>
  </si>
  <si>
    <r>
      <t>P</t>
    </r>
    <r>
      <rPr>
        <b/>
        <vertAlign val="subscript"/>
        <sz val="10"/>
        <rFont val="Arial"/>
        <family val="2"/>
      </rPr>
      <t>le</t>
    </r>
    <r>
      <rPr>
        <b/>
        <sz val="10"/>
        <rFont val="Arial"/>
        <family val="2"/>
      </rPr>
      <t>* / q</t>
    </r>
    <r>
      <rPr>
        <b/>
        <vertAlign val="subscript"/>
        <sz val="10"/>
        <rFont val="Arial"/>
        <family val="2"/>
      </rPr>
      <t>ce</t>
    </r>
    <r>
      <rPr>
        <b/>
        <sz val="10"/>
        <rFont val="Arial"/>
        <family val="2"/>
      </rPr>
      <t xml:space="preserve"> retenu (MPa)</t>
    </r>
  </si>
  <si>
    <r>
      <t>k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imposé</t>
    </r>
  </si>
  <si>
    <r>
      <t>D</t>
    </r>
    <r>
      <rPr>
        <vertAlign val="subscript"/>
        <sz val="10"/>
        <rFont val="Arial"/>
        <family val="2"/>
      </rPr>
      <t>ef</t>
    </r>
    <r>
      <rPr>
        <sz val="10"/>
        <rFont val="Arial"/>
        <family val="2"/>
      </rPr>
      <t xml:space="preserve"> (m)</t>
    </r>
  </si>
  <si>
    <r>
      <t>k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auto</t>
    </r>
  </si>
  <si>
    <r>
      <t>k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retenu</t>
    </r>
  </si>
  <si>
    <t>DONNEES D'ENTREES</t>
  </si>
  <si>
    <r>
      <t>f</t>
    </r>
    <r>
      <rPr>
        <b/>
        <vertAlign val="subscript"/>
        <sz val="10"/>
        <rFont val="Arial"/>
        <family val="2"/>
      </rPr>
      <t>ck</t>
    </r>
  </si>
  <si>
    <t>MPa</t>
  </si>
  <si>
    <r>
      <rPr>
        <b/>
        <sz val="10"/>
        <rFont val="Calibri"/>
        <family val="2"/>
      </rPr>
      <t>α</t>
    </r>
    <r>
      <rPr>
        <b/>
        <vertAlign val="subscript"/>
        <sz val="10"/>
        <rFont val="Arial"/>
        <family val="2"/>
      </rPr>
      <t>cc</t>
    </r>
  </si>
  <si>
    <r>
      <t>k</t>
    </r>
    <r>
      <rPr>
        <b/>
        <vertAlign val="subscript"/>
        <sz val="10"/>
        <rFont val="Arial"/>
        <family val="2"/>
      </rPr>
      <t>2</t>
    </r>
  </si>
  <si>
    <t>Variable</t>
  </si>
  <si>
    <t>NON</t>
  </si>
  <si>
    <t>Données</t>
  </si>
  <si>
    <r>
      <t>k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1</t>
    </r>
  </si>
  <si>
    <r>
      <t>k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1.2</t>
    </r>
  </si>
  <si>
    <t>Pieux</t>
  </si>
  <si>
    <t>Diamètre</t>
  </si>
  <si>
    <t>Cmax</t>
  </si>
  <si>
    <r>
      <t>k</t>
    </r>
    <r>
      <rPr>
        <b/>
        <vertAlign val="subscript"/>
        <sz val="10"/>
        <color theme="0"/>
        <rFont val="Arial"/>
        <family val="2"/>
      </rPr>
      <t>1</t>
    </r>
  </si>
  <si>
    <r>
      <t>k</t>
    </r>
    <r>
      <rPr>
        <b/>
        <vertAlign val="subscript"/>
        <sz val="10"/>
        <color theme="0"/>
        <rFont val="Arial"/>
        <family val="2"/>
      </rPr>
      <t>2</t>
    </r>
  </si>
  <si>
    <r>
      <t>f</t>
    </r>
    <r>
      <rPr>
        <b/>
        <vertAlign val="subscript"/>
        <sz val="10"/>
        <color theme="0"/>
        <rFont val="Arial"/>
        <family val="2"/>
      </rPr>
      <t>ck</t>
    </r>
    <r>
      <rPr>
        <b/>
        <sz val="10"/>
        <color theme="0"/>
        <rFont val="Arial"/>
        <family val="2"/>
      </rPr>
      <t>*</t>
    </r>
  </si>
  <si>
    <r>
      <rPr>
        <b/>
        <sz val="10"/>
        <color theme="0"/>
        <rFont val="Times New Roman"/>
        <family val="1"/>
      </rPr>
      <t>σ</t>
    </r>
    <r>
      <rPr>
        <b/>
        <vertAlign val="subscript"/>
        <sz val="10"/>
        <color theme="0"/>
        <rFont val="Cambria"/>
        <family val="1"/>
      </rPr>
      <t>moy lim</t>
    </r>
  </si>
  <si>
    <r>
      <t>V</t>
    </r>
    <r>
      <rPr>
        <b/>
        <vertAlign val="subscript"/>
        <sz val="10"/>
        <color theme="0"/>
        <rFont val="Arial"/>
        <family val="2"/>
      </rPr>
      <t>max</t>
    </r>
    <r>
      <rPr>
        <b/>
        <sz val="10"/>
        <color theme="0"/>
        <rFont val="Arial"/>
        <family val="2"/>
      </rPr>
      <t xml:space="preserve"> ELS C </t>
    </r>
  </si>
  <si>
    <r>
      <t>f</t>
    </r>
    <r>
      <rPr>
        <b/>
        <vertAlign val="subscript"/>
        <sz val="10"/>
        <color theme="0"/>
        <rFont val="Arial"/>
        <family val="2"/>
      </rPr>
      <t>cd</t>
    </r>
    <r>
      <rPr>
        <b/>
        <sz val="10"/>
        <color theme="0"/>
        <rFont val="Arial"/>
        <family val="2"/>
      </rPr>
      <t xml:space="preserve"> ELU SDT</t>
    </r>
  </si>
  <si>
    <r>
      <t>f</t>
    </r>
    <r>
      <rPr>
        <b/>
        <vertAlign val="subscript"/>
        <sz val="10"/>
        <color theme="0"/>
        <rFont val="Arial"/>
        <family val="2"/>
      </rPr>
      <t>cd</t>
    </r>
    <r>
      <rPr>
        <b/>
        <sz val="10"/>
        <color theme="0"/>
        <rFont val="Arial"/>
        <family val="2"/>
      </rPr>
      <t xml:space="preserve"> ELU Acc</t>
    </r>
  </si>
  <si>
    <r>
      <t>f</t>
    </r>
    <r>
      <rPr>
        <b/>
        <vertAlign val="subscript"/>
        <sz val="10"/>
        <color theme="0"/>
        <rFont val="Arial"/>
        <family val="2"/>
      </rPr>
      <t>cd</t>
    </r>
    <r>
      <rPr>
        <b/>
        <sz val="10"/>
        <color theme="0"/>
        <rFont val="Arial"/>
        <family val="2"/>
      </rPr>
      <t xml:space="preserve"> ELU Sismique</t>
    </r>
  </si>
  <si>
    <r>
      <rPr>
        <b/>
        <sz val="10"/>
        <color theme="0"/>
        <rFont val="Times New Roman"/>
        <family val="1"/>
      </rPr>
      <t>σ</t>
    </r>
    <r>
      <rPr>
        <b/>
        <vertAlign val="subscript"/>
        <sz val="10"/>
        <color theme="0"/>
        <rFont val="Cambria"/>
        <family val="1"/>
      </rPr>
      <t>moy lim</t>
    </r>
    <r>
      <rPr>
        <b/>
        <sz val="10"/>
        <color theme="0"/>
        <rFont val="Arial"/>
        <family val="2"/>
      </rPr>
      <t xml:space="preserve"> </t>
    </r>
  </si>
  <si>
    <r>
      <t>V</t>
    </r>
    <r>
      <rPr>
        <b/>
        <vertAlign val="subscript"/>
        <sz val="10"/>
        <color theme="0"/>
        <rFont val="Arial"/>
        <family val="2"/>
      </rPr>
      <t>max</t>
    </r>
    <r>
      <rPr>
        <b/>
        <sz val="10"/>
        <color theme="0"/>
        <rFont val="Arial"/>
        <family val="2"/>
      </rPr>
      <t xml:space="preserve"> ELS C</t>
    </r>
  </si>
  <si>
    <t>Vmax ELU Acc</t>
  </si>
  <si>
    <t>Vmax ELU Sismique</t>
  </si>
  <si>
    <t>NE PAS EFFACER!!!!</t>
  </si>
  <si>
    <t>[cm]</t>
  </si>
  <si>
    <t>[MPa]</t>
  </si>
  <si>
    <t>[-]</t>
  </si>
  <si>
    <t>[t]</t>
  </si>
  <si>
    <t>Tous</t>
  </si>
  <si>
    <t>k2</t>
  </si>
  <si>
    <t>Type 3</t>
  </si>
  <si>
    <t>OUI</t>
  </si>
  <si>
    <t>Pieux 7 (VM VT)</t>
  </si>
  <si>
    <t>Pieux 1 (Forés)</t>
  </si>
  <si>
    <t>PRESSIO</t>
  </si>
  <si>
    <t>PENETRO</t>
  </si>
  <si>
    <r>
      <rPr>
        <b/>
        <u/>
        <sz val="10"/>
        <rFont val="Calibri"/>
        <family val="2"/>
      </rPr>
      <t>α</t>
    </r>
    <r>
      <rPr>
        <b/>
        <u/>
        <sz val="10"/>
        <rFont val="Arial"/>
        <family val="2"/>
      </rPr>
      <t>pieu-sol</t>
    </r>
  </si>
  <si>
    <t>Catégorie Pieux</t>
  </si>
  <si>
    <t>Argiles Limons</t>
  </si>
  <si>
    <t>Sables Graves</t>
  </si>
  <si>
    <t>Marne</t>
  </si>
  <si>
    <t>Roche</t>
  </si>
  <si>
    <r>
      <rPr>
        <sz val="10"/>
        <rFont val="Times New Roman"/>
        <family val="1"/>
      </rPr>
      <t>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non ancrés dans la craie (catégorie 1 à 7 hors 10 à 15)
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ancrés dans les sables, sols intermédiaires et roches (catégorie 10, 15 et 17 à 20)</t>
    </r>
  </si>
  <si>
    <r>
      <rPr>
        <sz val="10"/>
        <rFont val="Times New Roman"/>
        <family val="1"/>
      </rPr>
      <t>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ancrés dans la craie (catégorie 1 à 7 hors 10 à 15)
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ancrés dans l'argile, la craie et les marnes (catégorie 10, 15 et 17 à 20)</t>
    </r>
  </si>
  <si>
    <t>Choix méthode</t>
  </si>
  <si>
    <t>FB</t>
  </si>
  <si>
    <t>FTP</t>
  </si>
  <si>
    <t>erreur cat</t>
  </si>
  <si>
    <t>FTR</t>
  </si>
  <si>
    <t>FSR FBR PU</t>
  </si>
  <si>
    <t>FTC FTCD</t>
  </si>
  <si>
    <t>VT</t>
  </si>
  <si>
    <t>BPF BPR</t>
  </si>
  <si>
    <t>BE</t>
  </si>
  <si>
    <t>BM</t>
  </si>
  <si>
    <t>BAF</t>
  </si>
  <si>
    <t>BAO</t>
  </si>
  <si>
    <t>HB</t>
  </si>
  <si>
    <t>HBI</t>
  </si>
  <si>
    <t>PP</t>
  </si>
  <si>
    <t>M1</t>
  </si>
  <si>
    <t>essai</t>
  </si>
  <si>
    <t>M2</t>
  </si>
  <si>
    <t>PIGU MIGU</t>
  </si>
  <si>
    <t>PIRS MIRS</t>
  </si>
  <si>
    <t>STARSOL</t>
  </si>
  <si>
    <t xml:space="preserve">a b c </t>
  </si>
  <si>
    <r>
      <rPr>
        <b/>
        <u/>
        <sz val="10"/>
        <rFont val="Times New Roman"/>
        <family val="1"/>
      </rPr>
      <t>γr ELS γ</t>
    </r>
    <r>
      <rPr>
        <b/>
        <u/>
        <sz val="10"/>
        <rFont val="Arial"/>
        <family val="2"/>
      </rPr>
      <t>t ELU</t>
    </r>
  </si>
  <si>
    <t>Type de sol</t>
  </si>
  <si>
    <t>ELS QP</t>
  </si>
  <si>
    <t>Coeff Frottement</t>
  </si>
  <si>
    <t xml:space="preserve">kp max </t>
  </si>
  <si>
    <t>Coeff Pointe</t>
  </si>
  <si>
    <t>Sol intermédiarie</t>
  </si>
  <si>
    <t>A saisir</t>
  </si>
  <si>
    <t>kp max STARSOL</t>
  </si>
  <si>
    <t>Argile, Limon</t>
  </si>
  <si>
    <t>Sables, Graves</t>
  </si>
  <si>
    <t>Marnes</t>
  </si>
  <si>
    <t>Roche alt</t>
  </si>
  <si>
    <t>Roche frag</t>
  </si>
  <si>
    <t>pl (Mpa)</t>
  </si>
  <si>
    <t>pl &lt; 0.7</t>
  </si>
  <si>
    <t>pl ≥ 0.7</t>
  </si>
  <si>
    <t>pl &lt; 1.2</t>
  </si>
  <si>
    <t>2.5 &gt; pl ≥ 1.2</t>
  </si>
  <si>
    <t>pl ≥ 2.5</t>
  </si>
  <si>
    <t>pl &lt; 4.5</t>
  </si>
  <si>
    <t>pl ≥ 4.5</t>
  </si>
  <si>
    <t>pl ≥ 4.5 Em ≥ 80</t>
  </si>
  <si>
    <t>4.5 &gt; pl ≥ 1.2</t>
  </si>
  <si>
    <t>pl ≥ 4.5 Em &lt; 80</t>
  </si>
  <si>
    <t>4.5 &gt; pl ≥ 2.5</t>
  </si>
  <si>
    <t>kp max</t>
  </si>
  <si>
    <t>pl*</t>
  </si>
  <si>
    <t>Erreur</t>
  </si>
  <si>
    <t>N° couche</t>
  </si>
  <si>
    <t>Nature Couche</t>
  </si>
  <si>
    <t>pl* (MPa)</t>
  </si>
  <si>
    <t>PF (NGF)</t>
  </si>
  <si>
    <t>Ref TN (NGF)</t>
  </si>
  <si>
    <t>NB IMPACT</t>
  </si>
  <si>
    <t>NB pieux / IMPACT</t>
  </si>
  <si>
    <t>NB TOT</t>
  </si>
  <si>
    <t>Vmax ELU FOND / Sis (t)</t>
  </si>
  <si>
    <t>LG / PF</t>
  </si>
  <si>
    <t>LG / arase</t>
  </si>
  <si>
    <t>LG forage tot</t>
  </si>
  <si>
    <t>Base Pieu (NGF)</t>
  </si>
  <si>
    <t>Dimensionnement des pieux selon l'Eurocode 7 (NF P 94-262)</t>
  </si>
  <si>
    <t>N°</t>
  </si>
  <si>
    <r>
      <t>p</t>
    </r>
    <r>
      <rPr>
        <b/>
        <vertAlign val="subscript"/>
        <sz val="10"/>
        <rFont val="Arial"/>
        <family val="2"/>
      </rPr>
      <t>l</t>
    </r>
    <r>
      <rPr>
        <b/>
        <sz val="10"/>
        <rFont val="Arial"/>
        <family val="2"/>
      </rPr>
      <t>*/q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(MPa)</t>
    </r>
  </si>
  <si>
    <r>
      <t>F</t>
    </r>
    <r>
      <rPr>
        <b/>
        <vertAlign val="subscript"/>
        <sz val="10"/>
        <rFont val="Arial"/>
        <family val="2"/>
      </rPr>
      <t>sol</t>
    </r>
    <r>
      <rPr>
        <b/>
        <sz val="10"/>
        <rFont val="Arial"/>
        <family val="2"/>
      </rPr>
      <t xml:space="preserve"> (MPa)</t>
    </r>
  </si>
  <si>
    <r>
      <rPr>
        <b/>
        <sz val="10"/>
        <rFont val="Calibri"/>
        <family val="2"/>
      </rPr>
      <t>α</t>
    </r>
    <r>
      <rPr>
        <b/>
        <vertAlign val="subscript"/>
        <sz val="10"/>
        <rFont val="Arial"/>
        <family val="2"/>
      </rPr>
      <t>pieu-sol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</si>
  <si>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calc. (t/m²)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</si>
  <si>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max (t/m²)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</si>
  <si>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retenu (t/m²)</t>
    </r>
  </si>
  <si>
    <r>
      <t>k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 xml:space="preserve"> / k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max</t>
    </r>
  </si>
  <si>
    <r>
      <t>E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 xml:space="preserve"> (MPa)</t>
    </r>
  </si>
  <si>
    <t>Lg maxi (m)</t>
  </si>
  <si>
    <t>Psi 2</t>
  </si>
  <si>
    <t>Psi 0</t>
  </si>
  <si>
    <t>Habitation</t>
  </si>
  <si>
    <t>Bureaux</t>
  </si>
  <si>
    <t>Lieux de réunion</t>
  </si>
  <si>
    <t>Commerces</t>
  </si>
  <si>
    <t>Stockage</t>
  </si>
  <si>
    <t>Réservoirs</t>
  </si>
  <si>
    <t>Vent</t>
  </si>
  <si>
    <t>Neige</t>
  </si>
  <si>
    <r>
      <t xml:space="preserve">48, rue Jules Verne - B.P. 90114 - 35301 </t>
    </r>
    <r>
      <rPr>
        <b/>
        <sz val="11"/>
        <color theme="1"/>
        <rFont val="Calibri"/>
        <family val="2"/>
        <scheme val="minor"/>
      </rPr>
      <t>FOUGÈRES</t>
    </r>
    <r>
      <rPr>
        <sz val="11"/>
        <color theme="1"/>
        <rFont val="Calibri"/>
        <family val="2"/>
        <scheme val="minor"/>
      </rPr>
      <t xml:space="preserve"> CEDEX
</t>
    </r>
    <r>
      <rPr>
        <b/>
        <sz val="11"/>
        <color theme="1"/>
        <rFont val="Calibri"/>
        <family val="2"/>
        <scheme val="minor"/>
      </rPr>
      <t>Tél. 02.99.99.11.26 - Télécopie 02.99.99.49.99</t>
    </r>
  </si>
  <si>
    <t>Affaire:</t>
  </si>
  <si>
    <t>Ouvrage:</t>
  </si>
  <si>
    <t>N° Affaire:</t>
  </si>
  <si>
    <t>Sondage:</t>
  </si>
  <si>
    <t>Données d'entrée:</t>
  </si>
  <si>
    <t>Pieux armé sur toute la hauteur:</t>
  </si>
  <si>
    <t>Non</t>
  </si>
  <si>
    <t>Essai de traction:</t>
  </si>
  <si>
    <t>Type de pieux:</t>
  </si>
  <si>
    <t>Foré tarière creuse</t>
  </si>
  <si>
    <t>Contrôle renforcé d'intégrité:</t>
  </si>
  <si>
    <t>T</t>
  </si>
  <si>
    <t>Garantie de bonne exécution de l'encastrement:</t>
  </si>
  <si>
    <t>Type de bâtiment:</t>
  </si>
  <si>
    <t>Séisme</t>
  </si>
  <si>
    <t>q =</t>
  </si>
  <si>
    <t>Charge traction ELS:</t>
  </si>
  <si>
    <t>Résistance fc28 béton:</t>
  </si>
  <si>
    <t>Mpa</t>
  </si>
  <si>
    <t>Nombre de couches:</t>
  </si>
  <si>
    <t>La profondeur de la couche d'ancrage est de:</t>
  </si>
  <si>
    <t>Niveau PFT :</t>
  </si>
  <si>
    <t>Couches</t>
  </si>
  <si>
    <t>Horizon (*)</t>
  </si>
  <si>
    <t>Pl*</t>
  </si>
  <si>
    <t>Kp</t>
  </si>
  <si>
    <t>(*): L'horizon correspond à la cote NGF du bas de la couche considérée</t>
  </si>
  <si>
    <t>Vérification de la résistance à la compression du béton:</t>
  </si>
  <si>
    <t>cf 6.4.3.1.(3) et (9), tableau 6.4.1.1</t>
  </si>
  <si>
    <t xml:space="preserve">Contrainte de compression du béton: </t>
  </si>
  <si>
    <r>
      <t>L'inégalité suivante doit être vérifiée:  σ</t>
    </r>
    <r>
      <rPr>
        <vertAlign val="subscript"/>
        <sz val="11"/>
        <color theme="1"/>
        <rFont val="Calibri"/>
        <family val="2"/>
        <scheme val="minor"/>
      </rPr>
      <t>béton</t>
    </r>
    <r>
      <rPr>
        <sz val="11"/>
        <color theme="1"/>
        <rFont val="Calibri"/>
        <family val="2"/>
        <scheme val="minor"/>
      </rPr>
      <t xml:space="preserve">  ≤  σ</t>
    </r>
    <r>
      <rPr>
        <vertAlign val="subscript"/>
        <sz val="11"/>
        <color theme="1"/>
        <rFont val="Calibri"/>
        <family val="2"/>
        <scheme val="minor"/>
      </rPr>
      <t xml:space="preserve">cmoy </t>
    </r>
    <r>
      <rPr>
        <sz val="11"/>
        <color theme="1"/>
        <rFont val="Calibri"/>
        <family val="2"/>
        <scheme val="minor"/>
      </rPr>
      <t>avec  σc</t>
    </r>
    <r>
      <rPr>
        <vertAlign val="subscript"/>
        <sz val="11"/>
        <color theme="1"/>
        <rFont val="Calibri"/>
        <family val="2"/>
        <scheme val="minor"/>
      </rPr>
      <t xml:space="preserve">moy </t>
    </r>
    <r>
      <rPr>
        <sz val="11"/>
        <color theme="1"/>
        <rFont val="Calibri"/>
        <family val="2"/>
        <scheme val="minor"/>
      </rPr>
      <t xml:space="preserve"> =  </t>
    </r>
  </si>
  <si>
    <t>où:</t>
  </si>
  <si>
    <r>
      <t>avec  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</si>
  <si>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 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</si>
  <si>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= </t>
    </r>
  </si>
  <si>
    <r>
      <t>C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 xml:space="preserve"> = </t>
    </r>
  </si>
  <si>
    <t>Admissible sans CR</t>
  </si>
  <si>
    <t xml:space="preserve">Soit: </t>
  </si>
  <si>
    <t>@ELU</t>
  </si>
  <si>
    <r>
      <t>σ</t>
    </r>
    <r>
      <rPr>
        <vertAlign val="subscript"/>
        <sz val="11"/>
        <color theme="1"/>
        <rFont val="Calibri"/>
        <family val="2"/>
        <scheme val="minor"/>
      </rPr>
      <t>béton</t>
    </r>
    <r>
      <rPr>
        <sz val="11"/>
        <color theme="1"/>
        <rFont val="Calibri"/>
        <family val="2"/>
        <scheme val="minor"/>
      </rPr>
      <t xml:space="preserve">  =  </t>
    </r>
  </si>
  <si>
    <t xml:space="preserve">fcd  =  </t>
  </si>
  <si>
    <t>@ELS</t>
  </si>
  <si>
    <r>
      <t>σ</t>
    </r>
    <r>
      <rPr>
        <vertAlign val="subscript"/>
        <sz val="11"/>
        <color theme="1"/>
        <rFont val="Calibri"/>
        <family val="2"/>
        <scheme val="minor"/>
      </rPr>
      <t>cmoy</t>
    </r>
    <r>
      <rPr>
        <sz val="11"/>
        <color theme="1"/>
        <rFont val="Calibri"/>
        <family val="2"/>
        <scheme val="minor"/>
      </rPr>
      <t xml:space="preserve">  =  </t>
    </r>
  </si>
  <si>
    <t>ELS</t>
  </si>
  <si>
    <t>Vérification de la charge de fluage (ELS):</t>
  </si>
  <si>
    <t>cf 9.2.4.(1), 14.2.1, 14.2.2, annexe F</t>
  </si>
  <si>
    <r>
      <t>où R</t>
    </r>
    <r>
      <rPr>
        <vertAlign val="subscript"/>
        <sz val="11"/>
        <color theme="1"/>
        <rFont val="Calibri"/>
        <family val="2"/>
        <scheme val="minor"/>
      </rPr>
      <t>c;cr;k</t>
    </r>
    <r>
      <rPr>
        <sz val="11"/>
        <color theme="1"/>
        <rFont val="Calibri"/>
        <family val="2"/>
        <scheme val="minor"/>
      </rPr>
      <t xml:space="preserve"> calculé ci-dessous</t>
    </r>
  </si>
  <si>
    <r>
      <t>Calcul de R</t>
    </r>
    <r>
      <rPr>
        <vertAlign val="subscript"/>
        <sz val="11"/>
        <color theme="1"/>
        <rFont val="Calibri"/>
        <family val="2"/>
        <scheme val="minor"/>
      </rPr>
      <t>b;k</t>
    </r>
    <r>
      <rPr>
        <sz val="11"/>
        <color theme="1"/>
        <rFont val="Calibri"/>
        <family val="2"/>
        <scheme val="minor"/>
      </rPr>
      <t xml:space="preserve"> (pointe) et R</t>
    </r>
    <r>
      <rPr>
        <vertAlign val="subscript"/>
        <sz val="11"/>
        <color theme="1"/>
        <rFont val="Calibri"/>
        <family val="2"/>
        <scheme val="minor"/>
      </rPr>
      <t>s;k</t>
    </r>
    <r>
      <rPr>
        <sz val="11"/>
        <color theme="1"/>
        <rFont val="Calibri"/>
        <family val="2"/>
        <scheme val="minor"/>
      </rPr>
      <t xml:space="preserve"> (frottement):</t>
    </r>
  </si>
  <si>
    <t>avec les coefficients:</t>
  </si>
  <si>
    <r>
      <t>γ</t>
    </r>
    <r>
      <rPr>
        <vertAlign val="subscript"/>
        <sz val="11"/>
        <color theme="1"/>
        <rFont val="Calibri"/>
        <family val="2"/>
        <scheme val="minor"/>
      </rPr>
      <t>R; d1</t>
    </r>
    <r>
      <rPr>
        <sz val="11"/>
        <color theme="1"/>
        <rFont val="Calibri"/>
        <family val="2"/>
        <scheme val="minor"/>
      </rPr>
      <t xml:space="preserve"> = </t>
    </r>
  </si>
  <si>
    <r>
      <t>γ</t>
    </r>
    <r>
      <rPr>
        <vertAlign val="subscript"/>
        <sz val="11"/>
        <color theme="1"/>
        <rFont val="Calibri"/>
        <family val="2"/>
        <scheme val="minor"/>
      </rPr>
      <t>R; d2</t>
    </r>
    <r>
      <rPr>
        <sz val="11"/>
        <color theme="1"/>
        <rFont val="Calibri"/>
        <family val="2"/>
        <scheme val="minor"/>
      </rPr>
      <t xml:space="preserve"> = </t>
    </r>
  </si>
  <si>
    <r>
      <rPr>
        <b/>
        <sz val="11"/>
        <color theme="1"/>
        <rFont val="Calibri"/>
        <family val="2"/>
        <scheme val="minor"/>
      </rPr>
      <t>Combinaison caractéristique</t>
    </r>
    <r>
      <rPr>
        <sz val="10"/>
        <color theme="1"/>
        <rFont val="Calibri"/>
        <family val="2"/>
        <scheme val="minor"/>
      </rPr>
      <t xml:space="preserve"> (</t>
    </r>
    <r>
      <rPr>
        <sz val="10"/>
        <color theme="1"/>
        <rFont val="Calibri"/>
        <family val="2"/>
      </rPr>
      <t>γ</t>
    </r>
    <r>
      <rPr>
        <vertAlign val="subscript"/>
        <sz val="10"/>
        <color theme="1"/>
        <rFont val="Calibri"/>
        <family val="2"/>
      </rPr>
      <t>cr</t>
    </r>
    <r>
      <rPr>
        <sz val="10"/>
        <color theme="1"/>
        <rFont val="Calibri"/>
        <family val="2"/>
      </rPr>
      <t xml:space="preserve"> = 0,9)</t>
    </r>
    <r>
      <rPr>
        <sz val="12.65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:</t>
    </r>
  </si>
  <si>
    <r>
      <t>Charge axiale F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:</t>
    </r>
  </si>
  <si>
    <r>
      <t>Charge de fluage de compression R</t>
    </r>
    <r>
      <rPr>
        <vertAlign val="subscript"/>
        <sz val="11"/>
        <color theme="1"/>
        <rFont val="Calibri"/>
        <family val="2"/>
        <scheme val="minor"/>
      </rPr>
      <t>c;cr;d</t>
    </r>
    <r>
      <rPr>
        <sz val="11"/>
        <color theme="1"/>
        <rFont val="Calibri"/>
        <family val="2"/>
        <scheme val="minor"/>
      </rPr>
      <t>:</t>
    </r>
  </si>
  <si>
    <r>
      <rPr>
        <b/>
        <sz val="11"/>
        <color theme="1"/>
        <rFont val="Calibri"/>
        <family val="2"/>
        <scheme val="minor"/>
      </rPr>
      <t>Combinaison quasi-permanente</t>
    </r>
    <r>
      <rPr>
        <sz val="11"/>
        <color theme="1"/>
        <rFont val="Calibri"/>
        <family val="2"/>
        <scheme val="minor"/>
      </rPr>
      <t xml:space="preserve">  </t>
    </r>
    <r>
      <rPr>
        <sz val="10"/>
        <color theme="1"/>
        <rFont val="Calibri"/>
        <family val="2"/>
        <scheme val="minor"/>
      </rPr>
      <t>(γ</t>
    </r>
    <r>
      <rPr>
        <vertAlign val="subscript"/>
        <sz val="10"/>
        <color theme="1"/>
        <rFont val="Calibri"/>
        <family val="2"/>
        <scheme val="minor"/>
      </rPr>
      <t>cr</t>
    </r>
    <r>
      <rPr>
        <sz val="10"/>
        <color theme="1"/>
        <rFont val="Calibri"/>
        <family val="2"/>
        <scheme val="minor"/>
      </rPr>
      <t xml:space="preserve"> = 1,1)</t>
    </r>
    <r>
      <rPr>
        <b/>
        <sz val="11"/>
        <color theme="1"/>
        <rFont val="Calibri"/>
        <family val="2"/>
        <scheme val="minor"/>
      </rPr>
      <t>:</t>
    </r>
  </si>
  <si>
    <t>Vérification de la portance d'un pieu (ELU GEO):</t>
  </si>
  <si>
    <t>cf 9.2.1.1, 9.2.1.3, 9.2.4, Tableau C.2.3.1, Annexe F</t>
  </si>
  <si>
    <t>L'inégalité suivante doit être vérifiée</t>
  </si>
  <si>
    <t>avec</t>
  </si>
  <si>
    <t>avec:</t>
  </si>
  <si>
    <r>
      <t>γ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, γ</t>
    </r>
    <r>
      <rPr>
        <vertAlign val="subscript"/>
        <sz val="11"/>
        <color theme="1"/>
        <rFont val="Calibri"/>
        <family val="2"/>
        <scheme val="minor"/>
      </rPr>
      <t xml:space="preserve">s </t>
    </r>
    <r>
      <rPr>
        <sz val="11"/>
        <color theme="1"/>
        <rFont val="Calibri"/>
        <family val="2"/>
        <scheme val="minor"/>
      </rPr>
      <t xml:space="preserve"> = </t>
    </r>
  </si>
  <si>
    <t>(durable et transitoire)</t>
  </si>
  <si>
    <t>(accidentel)</t>
  </si>
  <si>
    <t>Soit:</t>
  </si>
  <si>
    <r>
      <t>Charge à reprendre F</t>
    </r>
    <r>
      <rPr>
        <vertAlign val="subscript"/>
        <sz val="11"/>
        <color theme="1"/>
        <rFont val="Calibri"/>
        <family val="2"/>
        <scheme val="minor"/>
      </rPr>
      <t>c;d</t>
    </r>
    <r>
      <rPr>
        <sz val="11"/>
        <color theme="1"/>
        <rFont val="Calibri"/>
        <family val="2"/>
        <scheme val="minor"/>
      </rPr>
      <t>:</t>
    </r>
  </si>
  <si>
    <r>
      <t>Portance R</t>
    </r>
    <r>
      <rPr>
        <vertAlign val="subscript"/>
        <sz val="11"/>
        <color theme="1"/>
        <rFont val="Calibri"/>
        <family val="2"/>
        <scheme val="minor"/>
      </rPr>
      <t>c;d</t>
    </r>
    <r>
      <rPr>
        <sz val="11"/>
        <color theme="1"/>
        <rFont val="Calibri"/>
        <family val="2"/>
        <scheme val="minor"/>
      </rPr>
      <t>:</t>
    </r>
  </si>
  <si>
    <r>
      <t>Charge à reprendre F</t>
    </r>
    <r>
      <rPr>
        <vertAlign val="subscript"/>
        <sz val="11"/>
        <color theme="1"/>
        <rFont val="Calibri"/>
        <family val="2"/>
        <scheme val="minor"/>
      </rPr>
      <t>c;d;accidentelle</t>
    </r>
    <r>
      <rPr>
        <sz val="11"/>
        <color theme="1"/>
        <rFont val="Calibri"/>
        <family val="2"/>
        <scheme val="minor"/>
      </rPr>
      <t>:</t>
    </r>
  </si>
  <si>
    <t>Caractéristiques retenues pour le pieu:</t>
  </si>
  <si>
    <t>Diamètre:</t>
  </si>
  <si>
    <t>Profondeur :</t>
  </si>
  <si>
    <t>Longueur d'ancrage dans le substratum :</t>
  </si>
  <si>
    <t xml:space="preserve">     Ou rentrer manuellement le diamètre voulu:</t>
  </si>
  <si>
    <t>Ancrage mini dans substratum:</t>
  </si>
  <si>
    <t>Vérification béton:</t>
  </si>
  <si>
    <t>Nb couches</t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</si>
  <si>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calc. (kpa)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</si>
  <si>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max (kPa)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</si>
  <si>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retenu (kPa)</t>
    </r>
  </si>
  <si>
    <t>qs max (kpa)</t>
  </si>
  <si>
    <r>
      <t>D</t>
    </r>
    <r>
      <rPr>
        <vertAlign val="subscript"/>
        <sz val="10"/>
        <rFont val="Arial"/>
        <family val="2"/>
      </rPr>
      <t>ef</t>
    </r>
    <r>
      <rPr>
        <sz val="10"/>
        <rFont val="Arial"/>
        <family val="2"/>
      </rPr>
      <t xml:space="preserve"> (m)/B</t>
    </r>
  </si>
  <si>
    <r>
      <t>q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max kpa</t>
    </r>
  </si>
  <si>
    <t>ELS qp (t)</t>
  </si>
  <si>
    <t>ELS Car (t)</t>
  </si>
  <si>
    <t>ELU Fond (t)</t>
  </si>
  <si>
    <t>ELU A (t)</t>
  </si>
  <si>
    <t>verif</t>
  </si>
  <si>
    <t>profondeur</t>
  </si>
  <si>
    <t>ELSqp</t>
  </si>
  <si>
    <t>ELSc</t>
  </si>
  <si>
    <t>ELUF</t>
  </si>
  <si>
    <t>ELA</t>
  </si>
  <si>
    <t>kp</t>
  </si>
  <si>
    <t>couche</t>
  </si>
  <si>
    <t>ancrage dans la couche porteuse</t>
  </si>
  <si>
    <t>alphaCC</t>
  </si>
  <si>
    <t>GammaC béton</t>
  </si>
  <si>
    <t>fck*</t>
  </si>
  <si>
    <t>Vissé moulé</t>
  </si>
  <si>
    <t xml:space="preserve"> Foré simple</t>
  </si>
  <si>
    <t>Battu moulé</t>
  </si>
  <si>
    <t>Pieux 11 (BM)</t>
  </si>
  <si>
    <t>PINTOSTAR</t>
  </si>
  <si>
    <t>Ex [T]</t>
  </si>
  <si>
    <t>Traction ELS qp</t>
  </si>
  <si>
    <t>Traction ELS c</t>
  </si>
  <si>
    <t>Traction ELU</t>
  </si>
  <si>
    <t>Compression</t>
  </si>
  <si>
    <t>Charge traction ELS qp</t>
  </si>
  <si>
    <t>Charge traction ELU FOND:</t>
  </si>
  <si>
    <t>Charge traction ELA</t>
  </si>
  <si>
    <t>Vérification de la traction ELS</t>
  </si>
  <si>
    <t>inférieure à</t>
  </si>
  <si>
    <r>
      <t>Charge de traction ELSqp</t>
    </r>
    <r>
      <rPr>
        <sz val="11"/>
        <color theme="1"/>
        <rFont val="Calibri"/>
        <family val="2"/>
        <scheme val="minor"/>
      </rPr>
      <t>:</t>
    </r>
  </si>
  <si>
    <t>Traction</t>
  </si>
  <si>
    <r>
      <t>Charge de traction ELScar</t>
    </r>
    <r>
      <rPr>
        <sz val="11"/>
        <color theme="1"/>
        <rFont val="Calibri"/>
        <family val="2"/>
        <scheme val="minor"/>
      </rPr>
      <t>:</t>
    </r>
  </si>
  <si>
    <t>Charge en traction ELU :</t>
  </si>
  <si>
    <r>
      <t>R</t>
    </r>
    <r>
      <rPr>
        <vertAlign val="subscript"/>
        <sz val="11"/>
        <color theme="1"/>
        <rFont val="Calibri"/>
        <family val="2"/>
        <scheme val="minor"/>
      </rPr>
      <t>c;d traction</t>
    </r>
    <r>
      <rPr>
        <sz val="11"/>
        <color theme="1"/>
        <rFont val="Calibri"/>
        <family val="2"/>
        <scheme val="minor"/>
      </rPr>
      <t>:</t>
    </r>
  </si>
  <si>
    <t>Charge en traction accidentelle :</t>
  </si>
  <si>
    <r>
      <t>R</t>
    </r>
    <r>
      <rPr>
        <vertAlign val="subscript"/>
        <sz val="11"/>
        <color theme="1"/>
        <rFont val="Calibri"/>
        <family val="2"/>
        <scheme val="minor"/>
      </rPr>
      <t>c;d traction, acc</t>
    </r>
    <r>
      <rPr>
        <sz val="11"/>
        <color theme="1"/>
        <rFont val="Calibri"/>
        <family val="2"/>
        <scheme val="minor"/>
      </rPr>
      <t>:</t>
    </r>
  </si>
  <si>
    <t>Traction ELA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</si>
  <si>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c;cr;d carac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</si>
  <si>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c;cr;d quasi-p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</si>
  <si>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c;d ELU </t>
    </r>
    <r>
      <rPr>
        <b/>
        <sz val="11"/>
        <color theme="1"/>
        <rFont val="Calibri"/>
        <family val="2"/>
        <scheme val="minor"/>
      </rPr>
      <t>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</si>
  <si>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c;d ELA </t>
    </r>
    <r>
      <rPr>
        <b/>
        <sz val="11"/>
        <color theme="1"/>
        <rFont val="Calibri"/>
        <family val="2"/>
        <scheme val="minor"/>
      </rPr>
      <t>[T]</t>
    </r>
  </si>
  <si>
    <t>LG retenue/ ref. (m)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</si>
  <si>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t;cr;d carac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</si>
  <si>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t;cr;d quasi-p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</si>
  <si>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t;d ELU </t>
    </r>
    <r>
      <rPr>
        <b/>
        <sz val="11"/>
        <color theme="1"/>
        <rFont val="Calibri"/>
        <family val="2"/>
        <scheme val="minor"/>
      </rPr>
      <t>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</si>
  <si>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t;d ELA </t>
    </r>
    <r>
      <rPr>
        <b/>
        <sz val="11"/>
        <color theme="1"/>
        <rFont val="Calibri"/>
        <family val="2"/>
        <scheme val="minor"/>
      </rPr>
      <t>[T]</t>
    </r>
  </si>
  <si>
    <t>DIA chosi (m)</t>
  </si>
  <si>
    <t>Diamètre (m)</t>
  </si>
  <si>
    <t>Qs</t>
  </si>
  <si>
    <t>Prof toit/REf (m)</t>
  </si>
  <si>
    <t>Prof base/ REF (m)</t>
  </si>
  <si>
    <t>CR UTILE</t>
  </si>
  <si>
    <t>CR Utile</t>
  </si>
  <si>
    <t>Nb de pieux en CR :</t>
  </si>
  <si>
    <t>Profondeur ancrage</t>
  </si>
  <si>
    <t>MODEL</t>
  </si>
  <si>
    <t>PROFANCRAGE</t>
  </si>
  <si>
    <t>Nombre</t>
  </si>
  <si>
    <t>L moyenne</t>
  </si>
  <si>
    <t>L max</t>
  </si>
  <si>
    <t>L min</t>
  </si>
  <si>
    <t>Total</t>
  </si>
  <si>
    <t>Nombre de cas (u)</t>
  </si>
  <si>
    <t>cas</t>
  </si>
  <si>
    <t>Converse Labarre</t>
  </si>
  <si>
    <t>Pieu de diamètre B</t>
  </si>
  <si>
    <t>diamètre 1</t>
  </si>
  <si>
    <t>diamètre 2</t>
  </si>
  <si>
    <t>moyenne</t>
  </si>
  <si>
    <t>d entraxe entre pieu</t>
  </si>
  <si>
    <t>nombre de pieu par rangée</t>
  </si>
  <si>
    <t>n</t>
  </si>
  <si>
    <t>nombre de rangée</t>
  </si>
  <si>
    <t>m</t>
  </si>
  <si>
    <t>DTU</t>
  </si>
  <si>
    <t>entraxe</t>
  </si>
  <si>
    <t>diamètre</t>
  </si>
  <si>
    <t>N° Groupe de pieu</t>
  </si>
  <si>
    <t>N° pieu 1</t>
  </si>
  <si>
    <t>dia pieu 1 (Cm)</t>
  </si>
  <si>
    <t>N° pieu 2</t>
  </si>
  <si>
    <t>dia pieu 2 (Cm)</t>
  </si>
  <si>
    <t>dia moy (m)</t>
  </si>
  <si>
    <t>entraxe (Cm)</t>
  </si>
  <si>
    <t>nbre de ligne (u)</t>
  </si>
  <si>
    <t>nbre de colonne (u)</t>
  </si>
  <si>
    <t>cd</t>
  </si>
  <si>
    <t>phi</t>
  </si>
  <si>
    <t>esp.</t>
  </si>
  <si>
    <t>LG/PF arrondi</t>
  </si>
  <si>
    <t>Pieu vérifié</t>
  </si>
  <si>
    <t>Vmax</t>
  </si>
  <si>
    <t>verif Compression béton</t>
  </si>
  <si>
    <t>Contrainte dans le béton</t>
  </si>
  <si>
    <t xml:space="preserve">Contrainte dans le béton adm </t>
  </si>
  <si>
    <t>Sols intermédiaire tendance sableuse</t>
  </si>
  <si>
    <t>2bis</t>
  </si>
  <si>
    <t>Surconso</t>
  </si>
  <si>
    <t>Vbéton</t>
  </si>
  <si>
    <t>Déblais</t>
  </si>
  <si>
    <t>Linéaire</t>
  </si>
  <si>
    <t>Pieux N°</t>
  </si>
  <si>
    <t>Neutralisé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</si>
</sst>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"/>
    <numFmt numFmtId="165" formatCode="0.000"/>
    <numFmt numFmtId="166" formatCode="0.00&quot; m&quot;"/>
    <numFmt numFmtId="167" formatCode="0.00&quot; MPa&quot;"/>
    <numFmt numFmtId="168" formatCode="&quot;Sol n° &quot;0"/>
    <numFmt numFmtId="169" formatCode="&quot;Couche n°&quot;0"/>
    <numFmt numFmtId="170" formatCode="0.00&quot; kPa&quot;"/>
    <numFmt numFmtId="171" formatCode="0&quot; MPa&quot;"/>
    <numFmt numFmtId="172" formatCode="0.00&quot; T&quot;"/>
    <numFmt numFmtId="173" formatCode="#,##0.00&quot; NGF&quot;"/>
    <numFmt numFmtId="174" formatCode="0.00&quot; m3&quot;"/>
    <numFmt numFmtId="175" formatCode="0.00&quot; ml&quot;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FF0000"/>
      <name val="Arial"/>
      <family val="2"/>
    </font>
    <font>
      <vertAlign val="sub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FF"/>
      <name val="Arial"/>
      <family val="2"/>
    </font>
    <font>
      <sz val="10"/>
      <color theme="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name val="Vinci Sans"/>
    </font>
    <font>
      <b/>
      <sz val="10"/>
      <name val="Times New Roman"/>
      <family val="1"/>
    </font>
    <font>
      <b/>
      <u/>
      <sz val="20"/>
      <name val="Arial"/>
      <family val="2"/>
    </font>
    <font>
      <sz val="10"/>
      <name val="Arial"/>
      <family val="1"/>
    </font>
    <font>
      <sz val="10"/>
      <name val="Times New Roman"/>
      <family val="1"/>
    </font>
    <font>
      <sz val="10"/>
      <name val="Calibri"/>
      <family val="2"/>
    </font>
    <font>
      <b/>
      <vertAlign val="subscript"/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Calibri"/>
      <family val="2"/>
    </font>
    <font>
      <b/>
      <sz val="10"/>
      <color theme="0"/>
      <name val="Times New Roman"/>
      <family val="1"/>
    </font>
    <font>
      <b/>
      <vertAlign val="subscript"/>
      <sz val="10"/>
      <color theme="0"/>
      <name val="Cambria"/>
      <family val="1"/>
    </font>
    <font>
      <b/>
      <sz val="14"/>
      <color rgb="FFFF0000"/>
      <name val="Arial"/>
      <family val="2"/>
    </font>
    <font>
      <b/>
      <u/>
      <sz val="10"/>
      <name val="Calibri"/>
      <family val="2"/>
    </font>
    <font>
      <b/>
      <u/>
      <sz val="10"/>
      <name val="Times New Roman"/>
      <family val="1"/>
    </font>
    <font>
      <b/>
      <sz val="10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3.5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9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vertAlign val="subscript"/>
      <sz val="10"/>
      <color theme="1"/>
      <name val="Calibri"/>
      <family val="2"/>
    </font>
    <font>
      <sz val="12.65"/>
      <color theme="1"/>
      <name val="Calibri"/>
      <family val="2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u/>
      <sz val="12"/>
      <color theme="9" tint="-0.49998474074526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9" tint="-0.249977111117893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9"/>
      <name val="Arial"/>
      <family val="2"/>
    </font>
    <font>
      <b/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0"/>
      <color theme="0" tint="-0.34998626667073579"/>
      <name val="Arial"/>
      <family val="2"/>
    </font>
    <font>
      <sz val="10"/>
      <color theme="3"/>
      <name val="Arial"/>
      <family val="2"/>
    </font>
    <font>
      <b/>
      <sz val="10"/>
      <color theme="3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 style="thick">
        <color theme="9" tint="-0.249977111117893"/>
      </left>
      <right/>
      <top style="thick">
        <color theme="9" tint="-0.249977111117893"/>
      </top>
      <bottom style="thick">
        <color theme="9" tint="-0.249977111117893"/>
      </bottom>
      <diagonal/>
    </border>
    <border>
      <left/>
      <right/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9" tint="0.39994506668294322"/>
      </left>
      <right/>
      <top style="medium">
        <color theme="9" tint="0.39994506668294322"/>
      </top>
      <bottom style="medium">
        <color theme="9" tint="0.39997558519241921"/>
      </bottom>
      <diagonal/>
    </border>
    <border>
      <left/>
      <right/>
      <top style="medium">
        <color theme="9" tint="0.39994506668294322"/>
      </top>
      <bottom style="medium">
        <color theme="9" tint="0.39997558519241921"/>
      </bottom>
      <diagonal/>
    </border>
    <border>
      <left/>
      <right style="medium">
        <color theme="9" tint="0.39994506668294322"/>
      </right>
      <top style="medium">
        <color theme="9" tint="0.39994506668294322"/>
      </top>
      <bottom style="medium">
        <color theme="9" tint="0.39997558519241921"/>
      </bottom>
      <diagonal/>
    </border>
    <border>
      <left style="medium">
        <color theme="9" tint="0.39994506668294322"/>
      </left>
      <right/>
      <top style="medium">
        <color theme="9" tint="0.39997558519241921"/>
      </top>
      <bottom/>
      <diagonal/>
    </border>
    <border>
      <left/>
      <right/>
      <top style="medium">
        <color theme="9" tint="0.39997558519241921"/>
      </top>
      <bottom/>
      <diagonal/>
    </border>
    <border>
      <left/>
      <right style="medium">
        <color theme="9" tint="0.39994506668294322"/>
      </right>
      <top style="medium">
        <color theme="9" tint="0.39997558519241921"/>
      </top>
      <bottom/>
      <diagonal/>
    </border>
    <border>
      <left style="medium">
        <color theme="9" tint="0.39994506668294322"/>
      </left>
      <right/>
      <top/>
      <bottom/>
      <diagonal/>
    </border>
    <border>
      <left/>
      <right style="medium">
        <color theme="9" tint="0.39994506668294322"/>
      </right>
      <top/>
      <bottom/>
      <diagonal/>
    </border>
    <border>
      <left/>
      <right/>
      <top/>
      <bottom style="medium">
        <color theme="9" tint="0.39994506668294322"/>
      </bottom>
      <diagonal/>
    </border>
    <border>
      <left/>
      <right style="medium">
        <color theme="9" tint="0.39994506668294322"/>
      </right>
      <top/>
      <bottom style="medium">
        <color theme="9" tint="0.39994506668294322"/>
      </bottom>
      <diagonal/>
    </border>
    <border>
      <left style="medium">
        <color theme="9" tint="0.39994506668294322"/>
      </left>
      <right/>
      <top/>
      <bottom style="medium">
        <color theme="9" tint="0.39994506668294322"/>
      </bottom>
      <diagonal/>
    </border>
    <border>
      <left/>
      <right/>
      <top style="medium">
        <color theme="9" tint="0.39997558519241921"/>
      </top>
      <bottom style="thick">
        <color theme="9" tint="-0.499984740745262"/>
      </bottom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double">
        <color theme="9" tint="0.39997558519241921"/>
      </left>
      <right style="double">
        <color theme="9" tint="0.39997558519241921"/>
      </right>
      <top/>
      <bottom style="double">
        <color theme="9" tint="-0.249977111117893"/>
      </bottom>
      <diagonal/>
    </border>
    <border>
      <left style="double">
        <color theme="9" tint="0.39997558519241921"/>
      </left>
      <right style="double">
        <color theme="9" tint="0.39997558519241921"/>
      </right>
      <top style="double">
        <color theme="9" tint="0.39997558519241921"/>
      </top>
      <bottom style="double">
        <color theme="9" tint="-0.249977111117893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5">
    <xf numFmtId="0" fontId="0" fillId="0" borderId="0" xfId="0"/>
    <xf numFmtId="0" fontId="4" fillId="0" borderId="0" xfId="1" applyAlignment="1" applyProtection="1">
      <alignment horizontal="left"/>
      <protection locked="0"/>
    </xf>
    <xf numFmtId="0" fontId="4" fillId="0" borderId="0" xfId="1" applyProtection="1">
      <protection locked="0"/>
    </xf>
    <xf numFmtId="0" fontId="5" fillId="0" borderId="0" xfId="1" applyFont="1" applyProtection="1">
      <protection locked="0"/>
    </xf>
    <xf numFmtId="0" fontId="4" fillId="0" borderId="0" xfId="1" applyAlignment="1" applyProtection="1">
      <alignment horizontal="center" vertical="center"/>
      <protection locked="0"/>
    </xf>
    <xf numFmtId="0" fontId="6" fillId="0" borderId="0" xfId="1" applyFont="1" applyProtection="1">
      <protection locked="0"/>
    </xf>
    <xf numFmtId="0" fontId="5" fillId="0" borderId="0" xfId="1" applyFont="1" applyAlignment="1" applyProtection="1">
      <alignment horizontal="center"/>
      <protection locked="0"/>
    </xf>
    <xf numFmtId="2" fontId="5" fillId="0" borderId="0" xfId="1" applyNumberFormat="1" applyFont="1" applyAlignment="1" applyProtection="1">
      <alignment horizontal="center"/>
      <protection locked="0"/>
    </xf>
    <xf numFmtId="0" fontId="4" fillId="0" borderId="0" xfId="1" applyAlignment="1" applyProtection="1">
      <alignment horizontal="center"/>
      <protection locked="0"/>
    </xf>
    <xf numFmtId="164" fontId="4" fillId="0" borderId="0" xfId="1" applyNumberFormat="1" applyAlignment="1" applyProtection="1">
      <alignment horizontal="center"/>
      <protection locked="0"/>
    </xf>
    <xf numFmtId="2" fontId="4" fillId="0" borderId="0" xfId="1" applyNumberFormat="1" applyAlignment="1" applyProtection="1">
      <alignment horizont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1" applyBorder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/>
    </xf>
    <xf numFmtId="0" fontId="4" fillId="0" borderId="3" xfId="1" applyBorder="1" applyAlignment="1">
      <alignment horizontal="center" vertical="center"/>
    </xf>
    <xf numFmtId="0" fontId="4" fillId="0" borderId="0" xfId="1"/>
    <xf numFmtId="0" fontId="4" fillId="0" borderId="4" xfId="1" applyBorder="1" applyAlignment="1">
      <alignment horizontal="center" vertical="center"/>
    </xf>
    <xf numFmtId="0" fontId="5" fillId="12" borderId="1" xfId="1" applyFont="1" applyFill="1" applyBorder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4" fillId="0" borderId="0" xfId="1" applyAlignment="1">
      <alignment horizontal="right" vertical="center"/>
    </xf>
    <xf numFmtId="0" fontId="4" fillId="0" borderId="0" xfId="1" applyAlignment="1">
      <alignment horizontal="left" vertical="center"/>
    </xf>
    <xf numFmtId="0" fontId="4" fillId="0" borderId="1" xfId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4" fillId="0" borderId="0" xfId="1" quotePrefix="1" applyAlignment="1">
      <alignment horizontal="center" vertical="center"/>
    </xf>
    <xf numFmtId="2" fontId="5" fillId="12" borderId="1" xfId="1" applyNumberFormat="1" applyFont="1" applyFill="1" applyBorder="1" applyAlignment="1">
      <alignment horizontal="center" vertical="center"/>
    </xf>
    <xf numFmtId="0" fontId="5" fillId="12" borderId="1" xfId="1" applyFont="1" applyFill="1" applyBorder="1" applyAlignment="1">
      <alignment horizontal="center" vertical="center"/>
    </xf>
    <xf numFmtId="0" fontId="4" fillId="0" borderId="1" xfId="1" applyBorder="1" applyAlignment="1">
      <alignment horizontal="center"/>
    </xf>
    <xf numFmtId="165" fontId="4" fillId="0" borderId="1" xfId="1" applyNumberFormat="1" applyBorder="1" applyAlignment="1">
      <alignment horizontal="center" vertical="center"/>
    </xf>
    <xf numFmtId="2" fontId="4" fillId="0" borderId="1" xfId="1" applyNumberFormat="1" applyBorder="1" applyAlignment="1">
      <alignment horizontal="center"/>
    </xf>
    <xf numFmtId="2" fontId="4" fillId="0" borderId="1" xfId="1" applyNumberFormat="1" applyBorder="1" applyAlignment="1">
      <alignment horizontal="center" vertical="center"/>
    </xf>
    <xf numFmtId="164" fontId="4" fillId="0" borderId="1" xfId="1" applyNumberFormat="1" applyBorder="1" applyAlignment="1">
      <alignment horizontal="center"/>
    </xf>
    <xf numFmtId="1" fontId="4" fillId="0" borderId="1" xfId="1" applyNumberForma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4" fillId="0" borderId="7" xfId="1" applyBorder="1" applyAlignment="1" applyProtection="1">
      <alignment horizontal="left" vertical="center"/>
      <protection locked="0"/>
    </xf>
    <xf numFmtId="0" fontId="4" fillId="0" borderId="8" xfId="1" applyBorder="1" applyAlignment="1" applyProtection="1">
      <alignment horizontal="left" vertical="center"/>
      <protection locked="0"/>
    </xf>
    <xf numFmtId="0" fontId="4" fillId="0" borderId="8" xfId="1" applyBorder="1" applyAlignment="1" applyProtection="1">
      <alignment horizontal="center" vertical="center"/>
      <protection locked="0"/>
    </xf>
    <xf numFmtId="0" fontId="4" fillId="0" borderId="9" xfId="1" applyBorder="1" applyAlignment="1" applyProtection="1">
      <alignment horizontal="center" vertical="center"/>
      <protection locked="0"/>
    </xf>
    <xf numFmtId="0" fontId="4" fillId="0" borderId="4" xfId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center" wrapText="1"/>
      <protection locked="0"/>
    </xf>
    <xf numFmtId="0" fontId="4" fillId="0" borderId="13" xfId="1" applyBorder="1" applyAlignment="1" applyProtection="1">
      <alignment horizontal="center" vertical="center" wrapText="1"/>
      <protection locked="0"/>
    </xf>
    <xf numFmtId="0" fontId="4" fillId="0" borderId="4" xfId="1" applyBorder="1" applyAlignment="1" applyProtection="1">
      <alignment horizontal="center" vertical="center"/>
      <protection locked="0"/>
    </xf>
    <xf numFmtId="2" fontId="4" fillId="0" borderId="0" xfId="1" applyNumberFormat="1" applyAlignment="1" applyProtection="1">
      <alignment horizontal="center" vertical="center"/>
      <protection locked="0"/>
    </xf>
    <xf numFmtId="2" fontId="4" fillId="0" borderId="13" xfId="1" applyNumberFormat="1" applyBorder="1" applyAlignment="1" applyProtection="1">
      <alignment horizontal="center" vertical="center"/>
      <protection locked="0"/>
    </xf>
    <xf numFmtId="1" fontId="4" fillId="0" borderId="0" xfId="1" applyNumberFormat="1" applyAlignment="1" applyProtection="1">
      <alignment horizontal="center" vertical="center"/>
      <protection locked="0"/>
    </xf>
    <xf numFmtId="0" fontId="4" fillId="0" borderId="13" xfId="1" applyBorder="1" applyAlignment="1" applyProtection="1">
      <alignment horizontal="center" vertical="center"/>
      <protection locked="0"/>
    </xf>
    <xf numFmtId="165" fontId="4" fillId="0" borderId="0" xfId="1" applyNumberFormat="1" applyAlignment="1" applyProtection="1">
      <alignment horizontal="center" vertical="center"/>
      <protection locked="0"/>
    </xf>
    <xf numFmtId="0" fontId="4" fillId="0" borderId="0" xfId="1" applyAlignment="1" applyProtection="1">
      <alignment horizontal="left" vertical="center"/>
      <protection locked="0"/>
    </xf>
    <xf numFmtId="0" fontId="4" fillId="0" borderId="13" xfId="1" applyBorder="1" applyAlignment="1" applyProtection="1">
      <alignment horizontal="right" vertical="center"/>
      <protection locked="0"/>
    </xf>
    <xf numFmtId="0" fontId="4" fillId="0" borderId="0" xfId="1" applyAlignment="1" applyProtection="1">
      <alignment horizontal="right" vertical="center"/>
      <protection locked="0"/>
    </xf>
    <xf numFmtId="2" fontId="5" fillId="0" borderId="1" xfId="1" applyNumberFormat="1" applyFont="1" applyBorder="1"/>
    <xf numFmtId="0" fontId="12" fillId="3" borderId="1" xfId="1" applyFont="1" applyFill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/>
      <protection locked="0"/>
    </xf>
    <xf numFmtId="0" fontId="4" fillId="3" borderId="1" xfId="1" applyFill="1" applyBorder="1" applyAlignment="1">
      <alignment horizontal="center"/>
    </xf>
    <xf numFmtId="0" fontId="4" fillId="0" borderId="1" xfId="1" applyBorder="1" applyAlignment="1">
      <alignment horizontal="left" vertical="center" wrapText="1"/>
    </xf>
    <xf numFmtId="1" fontId="4" fillId="0" borderId="0" xfId="1" applyNumberFormat="1" applyAlignment="1" applyProtection="1">
      <alignment horizontal="center"/>
      <protection locked="0"/>
    </xf>
    <xf numFmtId="2" fontId="6" fillId="0" borderId="0" xfId="1" applyNumberFormat="1" applyFont="1" applyAlignment="1" applyProtection="1">
      <alignment horizontal="center"/>
      <protection locked="0"/>
    </xf>
    <xf numFmtId="0" fontId="6" fillId="0" borderId="0" xfId="1" applyFont="1" applyAlignment="1" applyProtection="1">
      <alignment horizontal="center"/>
      <protection locked="0"/>
    </xf>
    <xf numFmtId="2" fontId="4" fillId="3" borderId="1" xfId="1" applyNumberFormat="1" applyFill="1" applyBorder="1" applyAlignment="1">
      <alignment horizontal="center" vertical="center" wrapText="1"/>
    </xf>
    <xf numFmtId="2" fontId="4" fillId="0" borderId="1" xfId="1" applyNumberFormat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left" vertical="center" wrapText="1"/>
    </xf>
    <xf numFmtId="0" fontId="12" fillId="3" borderId="1" xfId="1" applyFont="1" applyFill="1" applyBorder="1" applyAlignment="1">
      <alignment horizontal="center" vertical="center"/>
    </xf>
    <xf numFmtId="164" fontId="6" fillId="0" borderId="0" xfId="1" applyNumberFormat="1" applyFont="1" applyAlignment="1" applyProtection="1">
      <alignment horizontal="center"/>
      <protection locked="0"/>
    </xf>
    <xf numFmtId="2" fontId="5" fillId="0" borderId="22" xfId="1" applyNumberFormat="1" applyFont="1" applyBorder="1" applyAlignment="1">
      <alignment horizontal="left" vertical="center" wrapText="1"/>
    </xf>
    <xf numFmtId="0" fontId="12" fillId="3" borderId="22" xfId="1" applyFont="1" applyFill="1" applyBorder="1" applyAlignment="1">
      <alignment horizontal="center" vertical="center"/>
    </xf>
    <xf numFmtId="0" fontId="4" fillId="2" borderId="1" xfId="1" applyFill="1" applyBorder="1" applyAlignment="1" applyProtection="1">
      <alignment horizontal="center"/>
      <protection locked="0"/>
    </xf>
    <xf numFmtId="0" fontId="4" fillId="0" borderId="11" xfId="1" applyBorder="1" applyAlignment="1" applyProtection="1">
      <alignment horizontal="center"/>
      <protection locked="0"/>
    </xf>
    <xf numFmtId="2" fontId="5" fillId="0" borderId="11" xfId="1" applyNumberFormat="1" applyFont="1" applyBorder="1" applyAlignment="1" applyProtection="1">
      <alignment horizontal="center"/>
      <protection locked="0"/>
    </xf>
    <xf numFmtId="0" fontId="4" fillId="0" borderId="12" xfId="1" applyBorder="1" applyAlignment="1" applyProtection="1">
      <alignment horizontal="center"/>
      <protection locked="0"/>
    </xf>
    <xf numFmtId="0" fontId="4" fillId="0" borderId="25" xfId="1" applyBorder="1" applyAlignment="1">
      <alignment horizontal="center" vertical="center" wrapText="1"/>
    </xf>
    <xf numFmtId="2" fontId="5" fillId="0" borderId="26" xfId="1" applyNumberFormat="1" applyFont="1" applyBorder="1" applyAlignment="1">
      <alignment horizontal="center" vertical="center" wrapText="1"/>
    </xf>
    <xf numFmtId="2" fontId="4" fillId="0" borderId="27" xfId="1" applyNumberForma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2" fontId="4" fillId="0" borderId="25" xfId="1" applyNumberFormat="1" applyBorder="1" applyAlignment="1">
      <alignment horizontal="center" vertical="center" wrapText="1"/>
    </xf>
    <xf numFmtId="1" fontId="4" fillId="0" borderId="25" xfId="1" applyNumberFormat="1" applyBorder="1" applyAlignment="1">
      <alignment horizontal="center" vertical="center" wrapText="1"/>
    </xf>
    <xf numFmtId="0" fontId="5" fillId="0" borderId="25" xfId="1" applyFont="1" applyBorder="1" applyAlignment="1">
      <alignment horizontal="center" vertical="center" wrapText="1"/>
    </xf>
    <xf numFmtId="2" fontId="5" fillId="0" borderId="25" xfId="1" applyNumberFormat="1" applyFont="1" applyBorder="1" applyAlignment="1">
      <alignment horizontal="center" vertical="center" wrapText="1"/>
    </xf>
    <xf numFmtId="2" fontId="4" fillId="0" borderId="26" xfId="1" applyNumberFormat="1" applyBorder="1" applyAlignment="1">
      <alignment horizontal="center" vertical="center" wrapText="1"/>
    </xf>
    <xf numFmtId="2" fontId="4" fillId="2" borderId="28" xfId="1" applyNumberFormat="1" applyFill="1" applyBorder="1" applyAlignment="1" applyProtection="1">
      <alignment horizontal="center" vertical="center"/>
      <protection locked="0"/>
    </xf>
    <xf numFmtId="0" fontId="4" fillId="2" borderId="23" xfId="1" applyFill="1" applyBorder="1" applyAlignment="1" applyProtection="1">
      <alignment horizontal="left"/>
      <protection locked="0"/>
    </xf>
    <xf numFmtId="0" fontId="4" fillId="0" borderId="23" xfId="1" applyBorder="1" applyAlignment="1" applyProtection="1">
      <alignment horizontal="center"/>
      <protection locked="0"/>
    </xf>
    <xf numFmtId="2" fontId="4" fillId="0" borderId="23" xfId="1" applyNumberFormat="1" applyBorder="1" applyAlignment="1" applyProtection="1">
      <alignment horizontal="center"/>
      <protection locked="0"/>
    </xf>
    <xf numFmtId="165" fontId="4" fillId="0" borderId="23" xfId="1" applyNumberFormat="1" applyBorder="1" applyAlignment="1" applyProtection="1">
      <alignment horizontal="center"/>
      <protection locked="0"/>
    </xf>
    <xf numFmtId="164" fontId="4" fillId="0" borderId="23" xfId="1" applyNumberFormat="1" applyBorder="1" applyAlignment="1" applyProtection="1">
      <alignment horizontal="center"/>
      <protection locked="0"/>
    </xf>
    <xf numFmtId="164" fontId="5" fillId="0" borderId="23" xfId="1" applyNumberFormat="1" applyFont="1" applyBorder="1" applyAlignment="1" applyProtection="1">
      <alignment horizontal="center"/>
      <protection locked="0"/>
    </xf>
    <xf numFmtId="2" fontId="5" fillId="0" borderId="23" xfId="1" applyNumberFormat="1" applyFont="1" applyBorder="1" applyAlignment="1">
      <alignment horizontal="center"/>
    </xf>
    <xf numFmtId="2" fontId="4" fillId="0" borderId="29" xfId="1" applyNumberFormat="1" applyBorder="1" applyAlignment="1" applyProtection="1">
      <alignment horizontal="center"/>
      <protection locked="0"/>
    </xf>
    <xf numFmtId="2" fontId="4" fillId="0" borderId="28" xfId="1" applyNumberFormat="1" applyBorder="1" applyAlignment="1" applyProtection="1">
      <alignment horizontal="center"/>
      <protection locked="0"/>
    </xf>
    <xf numFmtId="2" fontId="4" fillId="0" borderId="30" xfId="1" applyNumberFormat="1" applyBorder="1" applyAlignment="1">
      <alignment horizontal="center"/>
    </xf>
    <xf numFmtId="2" fontId="4" fillId="0" borderId="23" xfId="1" applyNumberFormat="1" applyBorder="1" applyAlignment="1">
      <alignment horizontal="center"/>
    </xf>
    <xf numFmtId="2" fontId="4" fillId="0" borderId="23" xfId="1" applyNumberFormat="1" applyBorder="1" applyAlignment="1">
      <alignment horizontal="center" vertical="center"/>
    </xf>
    <xf numFmtId="2" fontId="5" fillId="0" borderId="29" xfId="1" applyNumberFormat="1" applyFont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2" fontId="4" fillId="0" borderId="17" xfId="1" applyNumberFormat="1" applyBorder="1" applyAlignment="1" applyProtection="1">
      <alignment horizontal="center"/>
      <protection locked="0"/>
    </xf>
    <xf numFmtId="2" fontId="4" fillId="0" borderId="17" xfId="1" applyNumberFormat="1" applyBorder="1" applyAlignment="1">
      <alignment horizontal="center" vertical="center"/>
    </xf>
    <xf numFmtId="0" fontId="4" fillId="0" borderId="1" xfId="1" applyBorder="1" applyAlignment="1">
      <alignment horizontal="left"/>
    </xf>
    <xf numFmtId="165" fontId="4" fillId="0" borderId="1" xfId="1" applyNumberFormat="1" applyBorder="1" applyAlignment="1">
      <alignment horizontal="center"/>
    </xf>
    <xf numFmtId="164" fontId="4" fillId="0" borderId="23" xfId="1" applyNumberFormat="1" applyBorder="1" applyAlignment="1">
      <alignment horizontal="center"/>
    </xf>
    <xf numFmtId="164" fontId="5" fillId="0" borderId="1" xfId="1" applyNumberFormat="1" applyFont="1" applyBorder="1" applyAlignment="1">
      <alignment horizontal="center"/>
    </xf>
    <xf numFmtId="2" fontId="4" fillId="0" borderId="6" xfId="1" applyNumberFormat="1" applyBorder="1" applyAlignment="1">
      <alignment horizontal="center"/>
    </xf>
    <xf numFmtId="2" fontId="5" fillId="0" borderId="18" xfId="1" applyNumberFormat="1" applyFont="1" applyBorder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4" fillId="0" borderId="34" xfId="1" applyBorder="1"/>
    <xf numFmtId="0" fontId="4" fillId="0" borderId="35" xfId="1" applyBorder="1"/>
    <xf numFmtId="0" fontId="5" fillId="0" borderId="34" xfId="1" applyFont="1" applyBorder="1" applyAlignment="1">
      <alignment horizontal="center" vertical="center"/>
    </xf>
    <xf numFmtId="0" fontId="12" fillId="10" borderId="0" xfId="1" applyFont="1" applyFill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28" fillId="0" borderId="44" xfId="1" applyFont="1" applyBorder="1" applyAlignment="1">
      <alignment horizontal="left" vertical="center"/>
    </xf>
    <xf numFmtId="0" fontId="4" fillId="0" borderId="3" xfId="1" applyBorder="1"/>
    <xf numFmtId="0" fontId="4" fillId="0" borderId="45" xfId="1" applyBorder="1"/>
    <xf numFmtId="0" fontId="15" fillId="11" borderId="1" xfId="1" applyFont="1" applyFill="1" applyBorder="1" applyAlignment="1">
      <alignment horizontal="center"/>
    </xf>
    <xf numFmtId="0" fontId="4" fillId="0" borderId="14" xfId="1" applyBorder="1" applyAlignment="1">
      <alignment horizontal="center" vertical="center"/>
    </xf>
    <xf numFmtId="0" fontId="4" fillId="0" borderId="41" xfId="1" applyBorder="1" applyAlignment="1">
      <alignment horizontal="center" vertical="center"/>
    </xf>
    <xf numFmtId="2" fontId="4" fillId="0" borderId="41" xfId="1" applyNumberFormat="1" applyBorder="1" applyAlignment="1">
      <alignment horizontal="center" vertical="center"/>
    </xf>
    <xf numFmtId="0" fontId="4" fillId="0" borderId="15" xfId="1" applyBorder="1" applyAlignment="1">
      <alignment horizontal="center" vertical="center"/>
    </xf>
    <xf numFmtId="2" fontId="4" fillId="0" borderId="16" xfId="1" applyNumberFormat="1" applyBorder="1" applyAlignment="1">
      <alignment horizontal="center" vertical="center"/>
    </xf>
    <xf numFmtId="2" fontId="4" fillId="4" borderId="14" xfId="1" applyNumberFormat="1" applyFill="1" applyBorder="1" applyAlignment="1">
      <alignment horizontal="center" vertical="center"/>
    </xf>
    <xf numFmtId="164" fontId="5" fillId="9" borderId="15" xfId="1" applyNumberFormat="1" applyFont="1" applyFill="1" applyBorder="1" applyAlignment="1">
      <alignment horizontal="center" vertical="center"/>
    </xf>
    <xf numFmtId="2" fontId="4" fillId="4" borderId="15" xfId="1" applyNumberFormat="1" applyFill="1" applyBorder="1" applyAlignment="1">
      <alignment horizontal="center" vertical="center"/>
    </xf>
    <xf numFmtId="2" fontId="4" fillId="4" borderId="16" xfId="1" applyNumberFormat="1" applyFill="1" applyBorder="1" applyAlignment="1">
      <alignment horizontal="center" vertical="center"/>
    </xf>
    <xf numFmtId="2" fontId="4" fillId="7" borderId="49" xfId="1" applyNumberFormat="1" applyFill="1" applyBorder="1" applyAlignment="1">
      <alignment horizontal="center" vertical="center"/>
    </xf>
    <xf numFmtId="164" fontId="5" fillId="13" borderId="15" xfId="1" applyNumberFormat="1" applyFont="1" applyFill="1" applyBorder="1" applyAlignment="1">
      <alignment horizontal="center" vertical="center"/>
    </xf>
    <xf numFmtId="2" fontId="4" fillId="7" borderId="15" xfId="1" applyNumberFormat="1" applyFill="1" applyBorder="1" applyAlignment="1">
      <alignment horizontal="center" vertical="center"/>
    </xf>
    <xf numFmtId="2" fontId="4" fillId="7" borderId="16" xfId="1" applyNumberFormat="1" applyFill="1" applyBorder="1" applyAlignment="1">
      <alignment horizontal="center" vertical="center"/>
    </xf>
    <xf numFmtId="164" fontId="5" fillId="0" borderId="49" xfId="1" applyNumberFormat="1" applyFont="1" applyBorder="1" applyAlignment="1">
      <alignment horizontal="center" vertical="center"/>
    </xf>
    <xf numFmtId="164" fontId="5" fillId="0" borderId="15" xfId="1" applyNumberFormat="1" applyFont="1" applyBorder="1" applyAlignment="1">
      <alignment horizontal="center" vertical="center"/>
    </xf>
    <xf numFmtId="164" fontId="5" fillId="0" borderId="16" xfId="1" applyNumberFormat="1" applyFont="1" applyBorder="1" applyAlignment="1">
      <alignment horizontal="center" vertical="center"/>
    </xf>
    <xf numFmtId="0" fontId="4" fillId="0" borderId="1" xfId="1" applyBorder="1"/>
    <xf numFmtId="0" fontId="4" fillId="0" borderId="17" xfId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2" fontId="4" fillId="0" borderId="32" xfId="1" applyNumberFormat="1" applyBorder="1" applyAlignment="1">
      <alignment horizontal="center" vertical="center"/>
    </xf>
    <xf numFmtId="2" fontId="4" fillId="0" borderId="18" xfId="1" applyNumberFormat="1" applyBorder="1" applyAlignment="1">
      <alignment horizontal="center" vertical="center"/>
    </xf>
    <xf numFmtId="2" fontId="4" fillId="4" borderId="17" xfId="1" applyNumberFormat="1" applyFill="1" applyBorder="1" applyAlignment="1">
      <alignment horizontal="center" vertical="center"/>
    </xf>
    <xf numFmtId="164" fontId="5" fillId="9" borderId="1" xfId="1" applyNumberFormat="1" applyFont="1" applyFill="1" applyBorder="1" applyAlignment="1">
      <alignment horizontal="center" vertical="center"/>
    </xf>
    <xf numFmtId="2" fontId="4" fillId="4" borderId="1" xfId="1" applyNumberFormat="1" applyFill="1" applyBorder="1" applyAlignment="1">
      <alignment horizontal="center" vertical="center"/>
    </xf>
    <xf numFmtId="2" fontId="4" fillId="4" borderId="18" xfId="1" applyNumberFormat="1" applyFill="1" applyBorder="1" applyAlignment="1">
      <alignment horizontal="center" vertical="center"/>
    </xf>
    <xf numFmtId="2" fontId="4" fillId="7" borderId="6" xfId="1" applyNumberFormat="1" applyFill="1" applyBorder="1" applyAlignment="1">
      <alignment horizontal="center" vertical="center"/>
    </xf>
    <xf numFmtId="164" fontId="5" fillId="13" borderId="1" xfId="1" applyNumberFormat="1" applyFont="1" applyFill="1" applyBorder="1" applyAlignment="1">
      <alignment horizontal="center" vertical="center"/>
    </xf>
    <xf numFmtId="2" fontId="4" fillId="7" borderId="1" xfId="1" applyNumberFormat="1" applyFill="1" applyBorder="1" applyAlignment="1">
      <alignment horizontal="center" vertical="center"/>
    </xf>
    <xf numFmtId="2" fontId="4" fillId="7" borderId="18" xfId="1" applyNumberFormat="1" applyFill="1" applyBorder="1" applyAlignment="1">
      <alignment horizontal="center" vertical="center"/>
    </xf>
    <xf numFmtId="164" fontId="5" fillId="0" borderId="6" xfId="1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/>
    </xf>
    <xf numFmtId="164" fontId="5" fillId="0" borderId="18" xfId="1" applyNumberFormat="1" applyFont="1" applyBorder="1" applyAlignment="1">
      <alignment horizontal="center" vertical="center"/>
    </xf>
    <xf numFmtId="0" fontId="4" fillId="0" borderId="17" xfId="1" applyBorder="1" applyAlignment="1">
      <alignment horizontal="center"/>
    </xf>
    <xf numFmtId="0" fontId="4" fillId="0" borderId="31" xfId="1" applyBorder="1" applyAlignment="1">
      <alignment horizontal="center" vertical="center"/>
    </xf>
    <xf numFmtId="2" fontId="4" fillId="0" borderId="33" xfId="1" applyNumberFormat="1" applyBorder="1" applyAlignment="1">
      <alignment horizontal="center" vertical="center"/>
    </xf>
    <xf numFmtId="0" fontId="4" fillId="0" borderId="19" xfId="1" applyBorder="1" applyAlignment="1">
      <alignment horizontal="center" vertical="center"/>
    </xf>
    <xf numFmtId="0" fontId="4" fillId="0" borderId="50" xfId="1" applyBorder="1" applyAlignment="1">
      <alignment horizontal="center" vertical="center"/>
    </xf>
    <xf numFmtId="2" fontId="4" fillId="0" borderId="50" xfId="1" applyNumberFormat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2" fontId="4" fillId="0" borderId="21" xfId="1" applyNumberFormat="1" applyBorder="1" applyAlignment="1">
      <alignment horizontal="center" vertical="center"/>
    </xf>
    <xf numFmtId="2" fontId="4" fillId="4" borderId="19" xfId="1" applyNumberFormat="1" applyFill="1" applyBorder="1" applyAlignment="1">
      <alignment horizontal="center" vertical="center"/>
    </xf>
    <xf numFmtId="164" fontId="5" fillId="9" borderId="20" xfId="1" applyNumberFormat="1" applyFont="1" applyFill="1" applyBorder="1" applyAlignment="1">
      <alignment horizontal="center" vertical="center"/>
    </xf>
    <xf numFmtId="2" fontId="4" fillId="4" borderId="20" xfId="1" applyNumberFormat="1" applyFill="1" applyBorder="1" applyAlignment="1">
      <alignment horizontal="center" vertical="center"/>
    </xf>
    <xf numFmtId="2" fontId="4" fillId="4" borderId="21" xfId="1" applyNumberFormat="1" applyFill="1" applyBorder="1" applyAlignment="1">
      <alignment horizontal="center" vertical="center"/>
    </xf>
    <xf numFmtId="2" fontId="4" fillId="7" borderId="51" xfId="1" applyNumberFormat="1" applyFill="1" applyBorder="1" applyAlignment="1">
      <alignment horizontal="center" vertical="center"/>
    </xf>
    <xf numFmtId="164" fontId="5" fillId="13" borderId="20" xfId="1" applyNumberFormat="1" applyFont="1" applyFill="1" applyBorder="1" applyAlignment="1">
      <alignment horizontal="center" vertical="center"/>
    </xf>
    <xf numFmtId="2" fontId="4" fillId="7" borderId="20" xfId="1" applyNumberFormat="1" applyFill="1" applyBorder="1" applyAlignment="1">
      <alignment horizontal="center" vertical="center"/>
    </xf>
    <xf numFmtId="2" fontId="4" fillId="7" borderId="21" xfId="1" applyNumberFormat="1" applyFill="1" applyBorder="1" applyAlignment="1">
      <alignment horizontal="center" vertical="center"/>
    </xf>
    <xf numFmtId="164" fontId="5" fillId="0" borderId="51" xfId="1" applyNumberFormat="1" applyFont="1" applyBorder="1" applyAlignment="1">
      <alignment horizontal="center" vertical="center"/>
    </xf>
    <xf numFmtId="164" fontId="5" fillId="0" borderId="2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8" borderId="15" xfId="1" applyNumberFormat="1" applyFont="1" applyFill="1" applyBorder="1" applyAlignment="1">
      <alignment horizontal="center" vertical="center"/>
    </xf>
    <xf numFmtId="0" fontId="4" fillId="0" borderId="17" xfId="1" applyBorder="1" applyAlignment="1">
      <alignment horizontal="center" vertical="center" wrapText="1"/>
    </xf>
    <xf numFmtId="164" fontId="5" fillId="8" borderId="1" xfId="1" applyNumberFormat="1" applyFont="1" applyFill="1" applyBorder="1" applyAlignment="1">
      <alignment horizontal="center" vertical="center"/>
    </xf>
    <xf numFmtId="0" fontId="4" fillId="0" borderId="36" xfId="1" applyBorder="1"/>
    <xf numFmtId="0" fontId="4" fillId="0" borderId="37" xfId="1" applyBorder="1"/>
    <xf numFmtId="0" fontId="4" fillId="0" borderId="38" xfId="1" applyBorder="1"/>
    <xf numFmtId="0" fontId="4" fillId="0" borderId="34" xfId="1" applyBorder="1" applyAlignment="1">
      <alignment horizontal="center" vertical="center"/>
    </xf>
    <xf numFmtId="0" fontId="4" fillId="0" borderId="52" xfId="1" applyBorder="1" applyAlignment="1">
      <alignment horizontal="center" vertical="center"/>
    </xf>
    <xf numFmtId="0" fontId="4" fillId="0" borderId="0" xfId="1" applyAlignment="1">
      <alignment horizontal="right"/>
    </xf>
    <xf numFmtId="0" fontId="14" fillId="0" borderId="0" xfId="1" applyFont="1" applyAlignment="1">
      <alignment horizontal="right" vertical="center"/>
    </xf>
    <xf numFmtId="0" fontId="4" fillId="0" borderId="0" xfId="1" applyAlignment="1">
      <alignment horizontal="right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15" xfId="1" applyBorder="1" applyAlignment="1">
      <alignment horizontal="center" vertical="center" wrapText="1"/>
    </xf>
    <xf numFmtId="0" fontId="4" fillId="0" borderId="16" xfId="1" applyBorder="1" applyAlignment="1">
      <alignment horizontal="center" vertical="center" wrapText="1"/>
    </xf>
    <xf numFmtId="0" fontId="4" fillId="0" borderId="35" xfId="1" applyBorder="1" applyAlignment="1">
      <alignment horizontal="center" vertical="center" wrapText="1"/>
    </xf>
    <xf numFmtId="0" fontId="4" fillId="0" borderId="34" xfId="1" applyBorder="1" applyAlignment="1">
      <alignment horizontal="center" vertical="center" wrapText="1"/>
    </xf>
    <xf numFmtId="0" fontId="5" fillId="0" borderId="0" xfId="1" applyFont="1" applyAlignment="1">
      <alignment horizontal="right" vertical="center"/>
    </xf>
    <xf numFmtId="0" fontId="5" fillId="0" borderId="17" xfId="1" applyFont="1" applyBorder="1" applyAlignment="1">
      <alignment horizontal="center" vertical="center" wrapText="1"/>
    </xf>
    <xf numFmtId="0" fontId="4" fillId="0" borderId="18" xfId="1" applyBorder="1" applyAlignment="1">
      <alignment horizontal="center" vertical="center"/>
    </xf>
    <xf numFmtId="0" fontId="5" fillId="0" borderId="34" xfId="1" applyFont="1" applyBorder="1" applyAlignment="1">
      <alignment horizontal="right" vertical="center"/>
    </xf>
    <xf numFmtId="0" fontId="4" fillId="0" borderId="10" xfId="1" applyBorder="1" applyAlignment="1">
      <alignment horizontal="center" vertical="center" wrapText="1"/>
    </xf>
    <xf numFmtId="0" fontId="4" fillId="0" borderId="27" xfId="1" applyBorder="1" applyAlignment="1">
      <alignment horizontal="center" vertical="center" wrapText="1"/>
    </xf>
    <xf numFmtId="0" fontId="4" fillId="0" borderId="26" xfId="1" applyBorder="1" applyAlignment="1">
      <alignment horizontal="center" vertical="center" wrapText="1"/>
    </xf>
    <xf numFmtId="0" fontId="4" fillId="0" borderId="24" xfId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/>
    </xf>
    <xf numFmtId="0" fontId="6" fillId="0" borderId="20" xfId="1" applyFont="1" applyBorder="1" applyAlignment="1">
      <alignment horizontal="center" vertical="center"/>
    </xf>
    <xf numFmtId="0" fontId="4" fillId="0" borderId="21" xfId="1" applyBorder="1" applyAlignment="1">
      <alignment horizontal="center" vertical="center"/>
    </xf>
    <xf numFmtId="0" fontId="5" fillId="0" borderId="10" xfId="1" applyFont="1" applyBorder="1" applyAlignment="1">
      <alignment horizontal="center" vertical="center" wrapText="1"/>
    </xf>
    <xf numFmtId="0" fontId="4" fillId="0" borderId="25" xfId="1" applyBorder="1" applyAlignment="1">
      <alignment horizontal="center" vertical="center"/>
    </xf>
    <xf numFmtId="0" fontId="4" fillId="0" borderId="26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6" fillId="0" borderId="23" xfId="1" applyFont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4" fillId="0" borderId="23" xfId="1" applyBorder="1" applyAlignment="1">
      <alignment horizontal="center"/>
    </xf>
    <xf numFmtId="0" fontId="4" fillId="0" borderId="29" xfId="1" applyBorder="1" applyAlignment="1">
      <alignment horizontal="center"/>
    </xf>
    <xf numFmtId="0" fontId="4" fillId="0" borderId="30" xfId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4" fillId="0" borderId="54" xfId="1" applyBorder="1" applyAlignment="1">
      <alignment horizontal="center" vertical="center"/>
    </xf>
    <xf numFmtId="0" fontId="4" fillId="0" borderId="18" xfId="1" applyBorder="1" applyAlignment="1">
      <alignment horizontal="center"/>
    </xf>
    <xf numFmtId="0" fontId="4" fillId="0" borderId="6" xfId="1" applyBorder="1" applyAlignment="1">
      <alignment horizontal="center" vertical="center"/>
    </xf>
    <xf numFmtId="0" fontId="4" fillId="2" borderId="18" xfId="1" applyFill="1" applyBorder="1" applyAlignment="1">
      <alignment horizontal="center" vertical="center"/>
    </xf>
    <xf numFmtId="0" fontId="4" fillId="2" borderId="1" xfId="1" applyFill="1" applyBorder="1" applyAlignment="1">
      <alignment horizontal="center" vertical="center"/>
    </xf>
    <xf numFmtId="0" fontId="12" fillId="0" borderId="0" xfId="1" applyFont="1" applyAlignment="1">
      <alignment horizontal="right"/>
    </xf>
    <xf numFmtId="0" fontId="12" fillId="0" borderId="19" xfId="1" applyFont="1" applyBorder="1" applyAlignment="1">
      <alignment horizontal="center" vertical="center"/>
    </xf>
    <xf numFmtId="0" fontId="12" fillId="0" borderId="20" xfId="1" applyFont="1" applyBorder="1" applyAlignment="1">
      <alignment horizontal="center" vertical="center"/>
    </xf>
    <xf numFmtId="0" fontId="12" fillId="0" borderId="21" xfId="1" applyFont="1" applyBorder="1" applyAlignment="1">
      <alignment horizontal="center" vertical="center"/>
    </xf>
    <xf numFmtId="0" fontId="12" fillId="0" borderId="36" xfId="1" applyFont="1" applyBorder="1"/>
    <xf numFmtId="0" fontId="12" fillId="0" borderId="37" xfId="1" applyFont="1" applyBorder="1"/>
    <xf numFmtId="0" fontId="12" fillId="0" borderId="38" xfId="1" applyFont="1" applyBorder="1"/>
    <xf numFmtId="0" fontId="7" fillId="0" borderId="35" xfId="1" applyFont="1" applyBorder="1"/>
    <xf numFmtId="0" fontId="7" fillId="0" borderId="34" xfId="1" applyFont="1" applyBorder="1"/>
    <xf numFmtId="0" fontId="12" fillId="0" borderId="55" xfId="1" applyFont="1" applyBorder="1" applyAlignment="1">
      <alignment horizontal="center" vertical="center"/>
    </xf>
    <xf numFmtId="0" fontId="12" fillId="0" borderId="51" xfId="1" applyFont="1" applyBorder="1" applyAlignment="1">
      <alignment horizontal="center"/>
    </xf>
    <xf numFmtId="0" fontId="12" fillId="0" borderId="20" xfId="1" applyFont="1" applyBorder="1" applyAlignment="1">
      <alignment horizontal="center"/>
    </xf>
    <xf numFmtId="0" fontId="12" fillId="0" borderId="21" xfId="1" applyFont="1" applyBorder="1" applyAlignment="1">
      <alignment horizontal="center"/>
    </xf>
    <xf numFmtId="0" fontId="7" fillId="0" borderId="0" xfId="1" applyFont="1"/>
    <xf numFmtId="0" fontId="14" fillId="0" borderId="0" xfId="1" applyFont="1" applyAlignment="1">
      <alignment horizontal="left" vertical="center"/>
    </xf>
    <xf numFmtId="0" fontId="4" fillId="0" borderId="49" xfId="1" applyBorder="1" applyAlignment="1">
      <alignment horizontal="center" vertical="center" wrapText="1"/>
    </xf>
    <xf numFmtId="0" fontId="4" fillId="0" borderId="6" xfId="1" applyBorder="1" applyAlignment="1">
      <alignment horizontal="center" vertical="center" wrapText="1"/>
    </xf>
    <xf numFmtId="2" fontId="4" fillId="0" borderId="6" xfId="1" applyNumberFormat="1" applyBorder="1" applyAlignment="1">
      <alignment horizontal="center" vertical="center"/>
    </xf>
    <xf numFmtId="0" fontId="6" fillId="0" borderId="51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/>
    </xf>
    <xf numFmtId="0" fontId="6" fillId="0" borderId="28" xfId="1" applyFont="1" applyBorder="1" applyAlignment="1">
      <alignment horizontal="center"/>
    </xf>
    <xf numFmtId="0" fontId="4" fillId="0" borderId="53" xfId="1" applyBorder="1" applyAlignment="1">
      <alignment horizontal="center" vertical="center"/>
    </xf>
    <xf numFmtId="0" fontId="6" fillId="0" borderId="17" xfId="1" applyFont="1" applyBorder="1" applyAlignment="1">
      <alignment horizontal="center"/>
    </xf>
    <xf numFmtId="0" fontId="5" fillId="0" borderId="17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12" fillId="0" borderId="36" xfId="1" applyFont="1" applyBorder="1" applyAlignment="1">
      <alignment horizontal="center" vertical="center"/>
    </xf>
    <xf numFmtId="0" fontId="12" fillId="0" borderId="37" xfId="1" applyFont="1" applyBorder="1" applyAlignment="1">
      <alignment horizontal="center" vertical="center"/>
    </xf>
    <xf numFmtId="0" fontId="12" fillId="0" borderId="38" xfId="1" applyFont="1" applyBorder="1" applyAlignment="1">
      <alignment horizontal="center" vertical="center"/>
    </xf>
    <xf numFmtId="0" fontId="7" fillId="0" borderId="35" xfId="1" applyFont="1" applyBorder="1" applyAlignment="1">
      <alignment horizontal="center" vertical="center"/>
    </xf>
    <xf numFmtId="0" fontId="7" fillId="0" borderId="34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7" fillId="0" borderId="37" xfId="1" applyFont="1" applyBorder="1" applyAlignment="1">
      <alignment horizontal="center" vertical="center"/>
    </xf>
    <xf numFmtId="0" fontId="7" fillId="0" borderId="38" xfId="1" applyFont="1" applyBorder="1" applyAlignment="1">
      <alignment horizontal="center" vertical="center"/>
    </xf>
    <xf numFmtId="0" fontId="4" fillId="0" borderId="44" xfId="1" applyBorder="1"/>
    <xf numFmtId="0" fontId="4" fillId="0" borderId="3" xfId="1" applyBorder="1" applyAlignment="1">
      <alignment horizontal="right"/>
    </xf>
    <xf numFmtId="0" fontId="4" fillId="0" borderId="3" xfId="1" applyBorder="1" applyAlignment="1">
      <alignment horizontal="center"/>
    </xf>
    <xf numFmtId="0" fontId="14" fillId="0" borderId="0" xfId="1" applyFont="1" applyAlignment="1">
      <alignment horizontal="right"/>
    </xf>
    <xf numFmtId="0" fontId="4" fillId="14" borderId="56" xfId="1" applyFill="1" applyBorder="1" applyAlignment="1">
      <alignment horizontal="right" vertical="center" wrapText="1"/>
    </xf>
    <xf numFmtId="0" fontId="5" fillId="14" borderId="59" xfId="1" applyFont="1" applyFill="1" applyBorder="1" applyAlignment="1">
      <alignment horizontal="center" vertical="center" wrapText="1"/>
    </xf>
    <xf numFmtId="0" fontId="5" fillId="14" borderId="58" xfId="1" applyFont="1" applyFill="1" applyBorder="1" applyAlignment="1">
      <alignment horizontal="center" vertical="center" wrapText="1"/>
    </xf>
    <xf numFmtId="0" fontId="4" fillId="14" borderId="55" xfId="1" applyFill="1" applyBorder="1" applyAlignment="1">
      <alignment horizontal="right" vertical="center" wrapText="1"/>
    </xf>
    <xf numFmtId="0" fontId="4" fillId="15" borderId="19" xfId="1" applyFill="1" applyBorder="1" applyAlignment="1">
      <alignment horizontal="center" vertical="center" wrapText="1"/>
    </xf>
    <xf numFmtId="0" fontId="4" fillId="15" borderId="21" xfId="1" applyFill="1" applyBorder="1" applyAlignment="1">
      <alignment horizontal="center" vertical="center" wrapText="1"/>
    </xf>
    <xf numFmtId="0" fontId="4" fillId="15" borderId="20" xfId="1" applyFill="1" applyBorder="1" applyAlignment="1">
      <alignment horizontal="center" vertical="center" wrapText="1"/>
    </xf>
    <xf numFmtId="0" fontId="4" fillId="15" borderId="60" xfId="1" applyFill="1" applyBorder="1" applyAlignment="1">
      <alignment horizontal="center" vertical="center" wrapText="1"/>
    </xf>
    <xf numFmtId="0" fontId="4" fillId="15" borderId="61" xfId="1" applyFill="1" applyBorder="1" applyAlignment="1">
      <alignment horizontal="center" vertical="center" wrapText="1"/>
    </xf>
    <xf numFmtId="0" fontId="4" fillId="14" borderId="62" xfId="1" applyFill="1" applyBorder="1" applyAlignment="1">
      <alignment horizontal="right" vertical="center"/>
    </xf>
    <xf numFmtId="0" fontId="4" fillId="0" borderId="63" xfId="1" applyBorder="1" applyAlignment="1">
      <alignment horizontal="center" vertical="center"/>
    </xf>
    <xf numFmtId="0" fontId="4" fillId="0" borderId="64" xfId="1" applyBorder="1" applyAlignment="1">
      <alignment horizontal="center" vertical="center"/>
    </xf>
    <xf numFmtId="0" fontId="4" fillId="0" borderId="46" xfId="1" applyBorder="1" applyAlignment="1">
      <alignment horizontal="center" vertical="center"/>
    </xf>
    <xf numFmtId="0" fontId="5" fillId="12" borderId="1" xfId="1" applyFont="1" applyFill="1" applyBorder="1" applyAlignment="1">
      <alignment horizontal="center"/>
    </xf>
    <xf numFmtId="0" fontId="4" fillId="0" borderId="37" xfId="1" applyBorder="1" applyAlignment="1">
      <alignment horizontal="right"/>
    </xf>
    <xf numFmtId="0" fontId="4" fillId="0" borderId="37" xfId="1" applyBorder="1" applyAlignment="1">
      <alignment horizontal="center"/>
    </xf>
    <xf numFmtId="0" fontId="15" fillId="0" borderId="0" xfId="1" applyFont="1" applyAlignment="1">
      <alignment horizontal="center" vertical="center" wrapText="1"/>
    </xf>
    <xf numFmtId="164" fontId="4" fillId="0" borderId="0" xfId="1" applyNumberFormat="1"/>
    <xf numFmtId="0" fontId="3" fillId="0" borderId="25" xfId="0" applyFont="1" applyBorder="1" applyAlignment="1">
      <alignment horizontal="center"/>
    </xf>
    <xf numFmtId="167" fontId="31" fillId="7" borderId="1" xfId="0" applyNumberFormat="1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/>
    </xf>
    <xf numFmtId="0" fontId="32" fillId="7" borderId="1" xfId="0" applyFont="1" applyFill="1" applyBorder="1" applyAlignment="1">
      <alignment horizontal="center"/>
    </xf>
    <xf numFmtId="167" fontId="31" fillId="7" borderId="2" xfId="0" applyNumberFormat="1" applyFont="1" applyFill="1" applyBorder="1" applyAlignment="1">
      <alignment horizontal="left"/>
    </xf>
    <xf numFmtId="0" fontId="3" fillId="0" borderId="25" xfId="0" applyFont="1" applyBorder="1" applyAlignment="1">
      <alignment horizontal="center" vertical="center" wrapText="1"/>
    </xf>
    <xf numFmtId="167" fontId="31" fillId="7" borderId="1" xfId="0" applyNumberFormat="1" applyFont="1" applyFill="1" applyBorder="1" applyAlignment="1">
      <alignment horizontal="left"/>
    </xf>
    <xf numFmtId="0" fontId="32" fillId="7" borderId="23" xfId="0" applyFont="1" applyFill="1" applyBorder="1" applyAlignment="1">
      <alignment horizontal="center"/>
    </xf>
    <xf numFmtId="167" fontId="31" fillId="7" borderId="73" xfId="0" applyNumberFormat="1" applyFont="1" applyFill="1" applyBorder="1" applyAlignment="1">
      <alignment horizontal="left"/>
    </xf>
    <xf numFmtId="167" fontId="31" fillId="7" borderId="23" xfId="0" applyNumberFormat="1" applyFont="1" applyFill="1" applyBorder="1" applyAlignment="1">
      <alignment horizontal="center" vertical="center"/>
    </xf>
    <xf numFmtId="167" fontId="31" fillId="7" borderId="23" xfId="0" applyNumberFormat="1" applyFont="1" applyFill="1" applyBorder="1" applyAlignment="1">
      <alignment horizontal="left"/>
    </xf>
    <xf numFmtId="0" fontId="3" fillId="0" borderId="27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4" fillId="16" borderId="1" xfId="0" applyFont="1" applyFill="1" applyBorder="1" applyAlignment="1">
      <alignment horizontal="center" vertical="center" wrapText="1"/>
    </xf>
    <xf numFmtId="0" fontId="32" fillId="7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69" xfId="0" applyFont="1" applyBorder="1"/>
    <xf numFmtId="0" fontId="1" fillId="0" borderId="74" xfId="0" applyFont="1" applyBorder="1"/>
    <xf numFmtId="0" fontId="1" fillId="0" borderId="75" xfId="0" applyFont="1" applyBorder="1"/>
    <xf numFmtId="0" fontId="3" fillId="7" borderId="76" xfId="0" quotePrefix="1" applyFont="1" applyFill="1" applyBorder="1" applyAlignment="1">
      <alignment horizontal="left"/>
    </xf>
    <xf numFmtId="0" fontId="32" fillId="0" borderId="76" xfId="0" applyFont="1" applyBorder="1"/>
    <xf numFmtId="0" fontId="3" fillId="0" borderId="76" xfId="0" applyFont="1" applyBorder="1"/>
    <xf numFmtId="0" fontId="1" fillId="0" borderId="76" xfId="0" applyFont="1" applyBorder="1" applyAlignment="1">
      <alignment horizontal="center"/>
    </xf>
    <xf numFmtId="0" fontId="3" fillId="7" borderId="76" xfId="0" applyFont="1" applyFill="1" applyBorder="1"/>
    <xf numFmtId="0" fontId="32" fillId="0" borderId="77" xfId="0" applyFont="1" applyBorder="1"/>
    <xf numFmtId="14" fontId="1" fillId="0" borderId="0" xfId="0" applyNumberFormat="1" applyFont="1"/>
    <xf numFmtId="0" fontId="2" fillId="0" borderId="0" xfId="0" applyFont="1"/>
    <xf numFmtId="0" fontId="3" fillId="0" borderId="78" xfId="0" applyFont="1" applyBorder="1"/>
    <xf numFmtId="0" fontId="3" fillId="0" borderId="0" xfId="0" applyFont="1"/>
    <xf numFmtId="0" fontId="35" fillId="0" borderId="0" xfId="0" applyFont="1" applyAlignment="1">
      <alignment horizontal="right"/>
    </xf>
    <xf numFmtId="0" fontId="31" fillId="7" borderId="0" xfId="0" applyFont="1" applyFill="1" applyAlignment="1">
      <alignment horizontal="left" vertical="center"/>
    </xf>
    <xf numFmtId="2" fontId="1" fillId="0" borderId="0" xfId="0" applyNumberFormat="1" applyFont="1"/>
    <xf numFmtId="2" fontId="32" fillId="7" borderId="0" xfId="0" applyNumberFormat="1" applyFont="1" applyFill="1" applyAlignment="1">
      <alignment horizontal="right" vertical="center"/>
    </xf>
    <xf numFmtId="2" fontId="32" fillId="7" borderId="0" xfId="0" applyNumberFormat="1" applyFont="1" applyFill="1" applyAlignment="1">
      <alignment horizontal="center"/>
    </xf>
    <xf numFmtId="0" fontId="1" fillId="0" borderId="0" xfId="0" applyFont="1" applyAlignment="1">
      <alignment horizontal="right" vertical="center"/>
    </xf>
    <xf numFmtId="2" fontId="32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6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3" fillId="0" borderId="6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168" fontId="35" fillId="0" borderId="56" xfId="0" applyNumberFormat="1" applyFont="1" applyBorder="1" applyAlignment="1">
      <alignment horizontal="center" vertical="center"/>
    </xf>
    <xf numFmtId="169" fontId="35" fillId="0" borderId="49" xfId="0" applyNumberFormat="1" applyFont="1" applyBorder="1" applyAlignment="1">
      <alignment vertical="center"/>
    </xf>
    <xf numFmtId="170" fontId="1" fillId="0" borderId="79" xfId="0" applyNumberFormat="1" applyFont="1" applyBorder="1" applyAlignment="1">
      <alignment horizontal="right" vertical="center" indent="1"/>
    </xf>
    <xf numFmtId="2" fontId="1" fillId="0" borderId="16" xfId="0" applyNumberFormat="1" applyFont="1" applyBorder="1" applyAlignment="1">
      <alignment horizontal="center" vertical="center"/>
    </xf>
    <xf numFmtId="168" fontId="35" fillId="0" borderId="54" xfId="0" applyNumberFormat="1" applyFont="1" applyBorder="1" applyAlignment="1">
      <alignment horizontal="center" vertical="center"/>
    </xf>
    <xf numFmtId="169" fontId="35" fillId="0" borderId="6" xfId="0" applyNumberFormat="1" applyFont="1" applyBorder="1" applyAlignment="1">
      <alignment vertical="center"/>
    </xf>
    <xf numFmtId="170" fontId="1" fillId="0" borderId="2" xfId="0" applyNumberFormat="1" applyFont="1" applyBorder="1" applyAlignment="1">
      <alignment horizontal="right" vertical="center" indent="1"/>
    </xf>
    <xf numFmtId="2" fontId="1" fillId="0" borderId="29" xfId="0" applyNumberFormat="1" applyFont="1" applyBorder="1" applyAlignment="1">
      <alignment horizontal="center" vertical="center"/>
    </xf>
    <xf numFmtId="169" fontId="35" fillId="0" borderId="51" xfId="0" applyNumberFormat="1" applyFont="1" applyBorder="1" applyAlignment="1">
      <alignment vertical="center"/>
    </xf>
    <xf numFmtId="170" fontId="1" fillId="0" borderId="80" xfId="0" applyNumberFormat="1" applyFont="1" applyBorder="1" applyAlignment="1">
      <alignment horizontal="right" vertical="center" indent="1"/>
    </xf>
    <xf numFmtId="2" fontId="1" fillId="0" borderId="64" xfId="0" applyNumberFormat="1" applyFont="1" applyBorder="1" applyAlignment="1">
      <alignment horizontal="center" vertical="center"/>
    </xf>
    <xf numFmtId="0" fontId="38" fillId="0" borderId="0" xfId="0" applyFont="1"/>
    <xf numFmtId="0" fontId="39" fillId="0" borderId="81" xfId="0" applyFont="1" applyBorder="1"/>
    <xf numFmtId="0" fontId="39" fillId="0" borderId="82" xfId="0" applyFont="1" applyBorder="1"/>
    <xf numFmtId="0" fontId="40" fillId="0" borderId="82" xfId="0" applyFont="1" applyBorder="1"/>
    <xf numFmtId="0" fontId="40" fillId="0" borderId="83" xfId="0" applyFont="1" applyBorder="1" applyAlignment="1">
      <alignment horizontal="right"/>
    </xf>
    <xf numFmtId="0" fontId="40" fillId="0" borderId="0" xfId="0" applyFont="1"/>
    <xf numFmtId="0" fontId="1" fillId="0" borderId="84" xfId="0" applyFont="1" applyBorder="1"/>
    <xf numFmtId="0" fontId="1" fillId="0" borderId="85" xfId="0" applyFont="1" applyBorder="1"/>
    <xf numFmtId="0" fontId="1" fillId="0" borderId="86" xfId="0" applyFont="1" applyBorder="1"/>
    <xf numFmtId="0" fontId="41" fillId="0" borderId="87" xfId="0" applyFont="1" applyBorder="1"/>
    <xf numFmtId="0" fontId="41" fillId="0" borderId="0" xfId="0" applyFont="1"/>
    <xf numFmtId="0" fontId="42" fillId="0" borderId="0" xfId="0" applyFont="1" applyAlignment="1">
      <alignment horizontal="right"/>
    </xf>
    <xf numFmtId="167" fontId="3" fillId="0" borderId="88" xfId="0" applyNumberFormat="1" applyFont="1" applyBorder="1" applyAlignment="1">
      <alignment horizontal="center"/>
    </xf>
    <xf numFmtId="0" fontId="35" fillId="0" borderId="87" xfId="0" applyFont="1" applyBorder="1"/>
    <xf numFmtId="0" fontId="35" fillId="0" borderId="0" xfId="0" applyFont="1"/>
    <xf numFmtId="0" fontId="1" fillId="0" borderId="88" xfId="0" applyFont="1" applyBorder="1"/>
    <xf numFmtId="0" fontId="35" fillId="0" borderId="87" xfId="0" applyFont="1" applyBorder="1" applyAlignment="1">
      <alignment horizontal="right"/>
    </xf>
    <xf numFmtId="0" fontId="1" fillId="0" borderId="0" xfId="0" applyFont="1" applyAlignment="1">
      <alignment horizontal="left" vertical="center"/>
    </xf>
    <xf numFmtId="2" fontId="35" fillId="0" borderId="0" xfId="0" applyNumberFormat="1" applyFont="1" applyAlignment="1">
      <alignment horizontal="left"/>
    </xf>
    <xf numFmtId="171" fontId="35" fillId="0" borderId="88" xfId="0" applyNumberFormat="1" applyFont="1" applyBorder="1" applyAlignment="1">
      <alignment horizontal="left"/>
    </xf>
    <xf numFmtId="167" fontId="3" fillId="0" borderId="0" xfId="0" applyNumberFormat="1" applyFont="1" applyAlignment="1">
      <alignment horizontal="left" vertical="center"/>
    </xf>
    <xf numFmtId="0" fontId="1" fillId="0" borderId="87" xfId="0" applyFont="1" applyBorder="1" applyAlignment="1">
      <alignment horizontal="right"/>
    </xf>
    <xf numFmtId="0" fontId="42" fillId="0" borderId="89" xfId="0" applyFont="1" applyBorder="1" applyAlignment="1">
      <alignment horizontal="right"/>
    </xf>
    <xf numFmtId="167" fontId="3" fillId="0" borderId="89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/>
    </xf>
    <xf numFmtId="167" fontId="3" fillId="0" borderId="90" xfId="0" applyNumberFormat="1" applyFont="1" applyBorder="1" applyAlignment="1">
      <alignment horizontal="center"/>
    </xf>
    <xf numFmtId="167" fontId="1" fillId="0" borderId="0" xfId="0" applyNumberFormat="1" applyFont="1"/>
    <xf numFmtId="167" fontId="3" fillId="0" borderId="0" xfId="0" applyNumberFormat="1" applyFont="1" applyAlignment="1">
      <alignment horizontal="center"/>
    </xf>
    <xf numFmtId="0" fontId="1" fillId="0" borderId="91" xfId="0" applyFont="1" applyBorder="1" applyAlignment="1">
      <alignment horizontal="right"/>
    </xf>
    <xf numFmtId="0" fontId="43" fillId="0" borderId="82" xfId="0" applyFont="1" applyBorder="1"/>
    <xf numFmtId="0" fontId="44" fillId="0" borderId="84" xfId="0" applyFont="1" applyBorder="1"/>
    <xf numFmtId="0" fontId="44" fillId="0" borderId="85" xfId="0" applyFont="1" applyBorder="1"/>
    <xf numFmtId="0" fontId="44" fillId="0" borderId="87" xfId="0" applyFont="1" applyBorder="1"/>
    <xf numFmtId="0" fontId="44" fillId="0" borderId="0" xfId="0" applyFont="1"/>
    <xf numFmtId="0" fontId="35" fillId="0" borderId="88" xfId="0" applyFont="1" applyBorder="1" applyAlignment="1">
      <alignment horizontal="right"/>
    </xf>
    <xf numFmtId="0" fontId="45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2" fontId="1" fillId="0" borderId="88" xfId="0" applyNumberFormat="1" applyFont="1" applyBorder="1" applyAlignment="1">
      <alignment horizontal="left"/>
    </xf>
    <xf numFmtId="0" fontId="46" fillId="0" borderId="0" xfId="0" applyFont="1" applyAlignment="1">
      <alignment horizontal="right"/>
    </xf>
    <xf numFmtId="0" fontId="3" fillId="0" borderId="87" xfId="0" applyFont="1" applyBorder="1"/>
    <xf numFmtId="0" fontId="49" fillId="0" borderId="0" xfId="0" applyFont="1"/>
    <xf numFmtId="172" fontId="3" fillId="0" borderId="0" xfId="0" applyNumberFormat="1" applyFont="1" applyAlignment="1">
      <alignment horizontal="center"/>
    </xf>
    <xf numFmtId="172" fontId="49" fillId="0" borderId="0" xfId="0" applyNumberFormat="1" applyFont="1" applyAlignment="1">
      <alignment horizontal="left"/>
    </xf>
    <xf numFmtId="172" fontId="3" fillId="0" borderId="88" xfId="0" applyNumberFormat="1" applyFont="1" applyBorder="1" applyAlignment="1">
      <alignment horizontal="center"/>
    </xf>
    <xf numFmtId="172" fontId="49" fillId="0" borderId="0" xfId="0" applyNumberFormat="1" applyFont="1" applyAlignment="1">
      <alignment horizontal="center"/>
    </xf>
    <xf numFmtId="172" fontId="1" fillId="0" borderId="0" xfId="0" applyNumberFormat="1" applyFont="1" applyAlignment="1">
      <alignment horizontal="center"/>
    </xf>
    <xf numFmtId="172" fontId="1" fillId="0" borderId="0" xfId="0" applyNumberFormat="1" applyFont="1" applyAlignment="1">
      <alignment horizontal="left"/>
    </xf>
    <xf numFmtId="0" fontId="40" fillId="0" borderId="82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88" xfId="0" applyFont="1" applyBorder="1" applyAlignment="1">
      <alignment horizontal="right"/>
    </xf>
    <xf numFmtId="0" fontId="45" fillId="0" borderId="0" xfId="0" applyFont="1" applyAlignment="1">
      <alignment horizontal="left"/>
    </xf>
    <xf numFmtId="2" fontId="35" fillId="0" borderId="88" xfId="0" applyNumberFormat="1" applyFont="1" applyBorder="1" applyAlignment="1">
      <alignment horizontal="left"/>
    </xf>
    <xf numFmtId="0" fontId="1" fillId="0" borderId="87" xfId="0" applyFont="1" applyBorder="1"/>
    <xf numFmtId="0" fontId="3" fillId="0" borderId="0" xfId="0" applyFont="1" applyAlignment="1">
      <alignment horizontal="right"/>
    </xf>
    <xf numFmtId="0" fontId="1" fillId="0" borderId="92" xfId="0" applyFont="1" applyBorder="1"/>
    <xf numFmtId="0" fontId="51" fillId="0" borderId="93" xfId="0" applyFont="1" applyBorder="1"/>
    <xf numFmtId="0" fontId="51" fillId="0" borderId="94" xfId="0" applyFont="1" applyBorder="1"/>
    <xf numFmtId="0" fontId="1" fillId="0" borderId="94" xfId="0" applyFont="1" applyBorder="1"/>
    <xf numFmtId="0" fontId="52" fillId="0" borderId="94" xfId="0" applyFont="1" applyBorder="1" applyAlignment="1">
      <alignment horizontal="right" vertical="center"/>
    </xf>
    <xf numFmtId="166" fontId="52" fillId="0" borderId="94" xfId="0" applyNumberFormat="1" applyFont="1" applyBorder="1" applyAlignment="1">
      <alignment horizontal="center" vertical="center"/>
    </xf>
    <xf numFmtId="0" fontId="1" fillId="0" borderId="95" xfId="0" applyFont="1" applyBorder="1" applyAlignment="1">
      <alignment vertical="center"/>
    </xf>
    <xf numFmtId="0" fontId="1" fillId="0" borderId="96" xfId="0" applyFont="1" applyBorder="1"/>
    <xf numFmtId="0" fontId="52" fillId="0" borderId="0" xfId="0" applyFont="1" applyAlignment="1">
      <alignment horizontal="right" vertical="center"/>
    </xf>
    <xf numFmtId="166" fontId="52" fillId="0" borderId="0" xfId="0" applyNumberFormat="1" applyFont="1" applyAlignment="1">
      <alignment horizontal="center" vertical="center"/>
    </xf>
    <xf numFmtId="2" fontId="1" fillId="0" borderId="97" xfId="0" applyNumberFormat="1" applyFont="1" applyBorder="1" applyAlignment="1">
      <alignment vertical="center"/>
    </xf>
    <xf numFmtId="0" fontId="1" fillId="0" borderId="98" xfId="0" applyFont="1" applyBorder="1"/>
    <xf numFmtId="0" fontId="1" fillId="0" borderId="99" xfId="0" applyFont="1" applyBorder="1"/>
    <xf numFmtId="0" fontId="52" fillId="0" borderId="99" xfId="0" applyFont="1" applyBorder="1" applyAlignment="1">
      <alignment horizontal="right" vertical="center"/>
    </xf>
    <xf numFmtId="166" fontId="52" fillId="0" borderId="99" xfId="0" applyNumberFormat="1" applyFont="1" applyBorder="1" applyAlignment="1">
      <alignment horizontal="center" vertical="center"/>
    </xf>
    <xf numFmtId="2" fontId="1" fillId="0" borderId="100" xfId="0" applyNumberFormat="1" applyFont="1" applyBorder="1" applyAlignment="1">
      <alignment vertical="center"/>
    </xf>
    <xf numFmtId="0" fontId="53" fillId="0" borderId="0" xfId="0" applyFont="1"/>
    <xf numFmtId="0" fontId="54" fillId="0" borderId="0" xfId="0" applyFont="1"/>
    <xf numFmtId="0" fontId="53" fillId="0" borderId="0" xfId="0" applyFont="1" applyAlignment="1">
      <alignment horizontal="right"/>
    </xf>
    <xf numFmtId="166" fontId="55" fillId="7" borderId="101" xfId="0" applyNumberFormat="1" applyFont="1" applyFill="1" applyBorder="1" applyAlignment="1">
      <alignment horizontal="center"/>
    </xf>
    <xf numFmtId="166" fontId="55" fillId="7" borderId="102" xfId="0" applyNumberFormat="1" applyFont="1" applyFill="1" applyBorder="1" applyAlignment="1">
      <alignment horizontal="center"/>
    </xf>
    <xf numFmtId="166" fontId="55" fillId="7" borderId="0" xfId="0" applyNumberFormat="1" applyFont="1" applyFill="1" applyAlignment="1">
      <alignment horizontal="center"/>
    </xf>
    <xf numFmtId="2" fontId="56" fillId="0" borderId="0" xfId="0" applyNumberFormat="1" applyFont="1" applyAlignment="1">
      <alignment horizontal="left"/>
    </xf>
    <xf numFmtId="166" fontId="57" fillId="0" borderId="15" xfId="0" applyNumberFormat="1" applyFont="1" applyBorder="1" applyAlignment="1">
      <alignment horizontal="center" vertical="center"/>
    </xf>
    <xf numFmtId="167" fontId="57" fillId="0" borderId="15" xfId="0" applyNumberFormat="1" applyFont="1" applyBorder="1" applyAlignment="1">
      <alignment horizontal="center" vertical="center"/>
    </xf>
    <xf numFmtId="166" fontId="57" fillId="0" borderId="1" xfId="0" applyNumberFormat="1" applyFont="1" applyBorder="1" applyAlignment="1">
      <alignment horizontal="center" vertical="center"/>
    </xf>
    <xf numFmtId="167" fontId="57" fillId="0" borderId="1" xfId="0" applyNumberFormat="1" applyFont="1" applyBorder="1" applyAlignment="1">
      <alignment horizontal="center" vertical="center"/>
    </xf>
    <xf numFmtId="166" fontId="57" fillId="0" borderId="20" xfId="0" applyNumberFormat="1" applyFont="1" applyBorder="1" applyAlignment="1">
      <alignment horizontal="center" vertical="center"/>
    </xf>
    <xf numFmtId="167" fontId="57" fillId="0" borderId="20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/>
    </xf>
    <xf numFmtId="166" fontId="58" fillId="0" borderId="0" xfId="0" applyNumberFormat="1" applyFont="1" applyAlignment="1">
      <alignment horizontal="center"/>
    </xf>
    <xf numFmtId="0" fontId="4" fillId="2" borderId="0" xfId="1" applyFill="1" applyAlignment="1" applyProtection="1">
      <alignment horizontal="center"/>
      <protection locked="0"/>
    </xf>
    <xf numFmtId="2" fontId="5" fillId="0" borderId="11" xfId="1" applyNumberFormat="1" applyFont="1" applyBorder="1" applyAlignment="1">
      <alignment horizontal="center" vertical="center" wrapText="1"/>
    </xf>
    <xf numFmtId="2" fontId="5" fillId="0" borderId="73" xfId="1" applyNumberFormat="1" applyFont="1" applyBorder="1" applyAlignment="1">
      <alignment horizontal="center" vertical="center"/>
    </xf>
    <xf numFmtId="2" fontId="5" fillId="0" borderId="2" xfId="1" applyNumberFormat="1" applyFont="1" applyBorder="1" applyAlignment="1">
      <alignment horizontal="center" vertical="center"/>
    </xf>
    <xf numFmtId="0" fontId="12" fillId="3" borderId="0" xfId="1" applyFont="1" applyFill="1" applyAlignment="1" applyProtection="1">
      <alignment horizontal="center" vertical="center"/>
      <protection locked="0"/>
    </xf>
    <xf numFmtId="0" fontId="12" fillId="3" borderId="0" xfId="1" applyFont="1" applyFill="1" applyAlignment="1">
      <alignment horizontal="center" vertical="center"/>
    </xf>
    <xf numFmtId="2" fontId="19" fillId="0" borderId="11" xfId="1" applyNumberFormat="1" applyFont="1" applyBorder="1" applyAlignment="1" applyProtection="1">
      <alignment vertical="center"/>
      <protection locked="0"/>
    </xf>
    <xf numFmtId="2" fontId="5" fillId="0" borderId="23" xfId="1" applyNumberFormat="1" applyFont="1" applyBorder="1" applyAlignment="1" applyProtection="1">
      <alignment horizontal="center"/>
      <protection locked="0"/>
    </xf>
    <xf numFmtId="0" fontId="0" fillId="0" borderId="8" xfId="0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center" vertical="center"/>
    </xf>
    <xf numFmtId="167" fontId="0" fillId="0" borderId="0" xfId="0" applyNumberFormat="1"/>
    <xf numFmtId="0" fontId="3" fillId="16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172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72" fontId="0" fillId="0" borderId="1" xfId="0" applyNumberFormat="1" applyBorder="1" applyAlignment="1">
      <alignment horizontal="center"/>
    </xf>
    <xf numFmtId="164" fontId="59" fillId="0" borderId="1" xfId="0" applyNumberFormat="1" applyFont="1" applyBorder="1" applyAlignment="1">
      <alignment horizontal="center"/>
    </xf>
    <xf numFmtId="0" fontId="60" fillId="10" borderId="1" xfId="0" applyFont="1" applyFill="1" applyBorder="1" applyAlignment="1" applyProtection="1">
      <alignment horizontal="center" vertical="center"/>
      <protection locked="0"/>
    </xf>
    <xf numFmtId="173" fontId="0" fillId="7" borderId="1" xfId="0" applyNumberFormat="1" applyFill="1" applyBorder="1" applyAlignment="1">
      <alignment horizontal="center"/>
    </xf>
    <xf numFmtId="0" fontId="15" fillId="17" borderId="40" xfId="1" applyFont="1" applyFill="1" applyBorder="1" applyAlignment="1">
      <alignment horizontal="center" vertical="center" wrapText="1"/>
    </xf>
    <xf numFmtId="0" fontId="15" fillId="17" borderId="41" xfId="1" applyFont="1" applyFill="1" applyBorder="1" applyAlignment="1">
      <alignment horizontal="center" vertical="center" wrapText="1"/>
    </xf>
    <xf numFmtId="0" fontId="15" fillId="17" borderId="42" xfId="1" applyFont="1" applyFill="1" applyBorder="1" applyAlignment="1">
      <alignment horizontal="center" vertical="center" wrapText="1"/>
    </xf>
    <xf numFmtId="0" fontId="15" fillId="17" borderId="43" xfId="1" applyFont="1" applyFill="1" applyBorder="1" applyAlignment="1">
      <alignment horizontal="center" vertical="center" wrapText="1"/>
    </xf>
    <xf numFmtId="0" fontId="13" fillId="17" borderId="47" xfId="1" applyFont="1" applyFill="1" applyBorder="1" applyAlignment="1">
      <alignment horizontal="center" vertical="center" wrapText="1"/>
    </xf>
    <xf numFmtId="0" fontId="13" fillId="17" borderId="32" xfId="1" applyFont="1" applyFill="1" applyBorder="1" applyAlignment="1">
      <alignment horizontal="center" vertical="center" wrapText="1"/>
    </xf>
    <xf numFmtId="0" fontId="13" fillId="17" borderId="48" xfId="1" applyFont="1" applyFill="1" applyBorder="1" applyAlignment="1">
      <alignment horizontal="center" vertical="center" wrapText="1"/>
    </xf>
    <xf numFmtId="0" fontId="13" fillId="17" borderId="13" xfId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2" fontId="40" fillId="0" borderId="0" xfId="0" applyNumberFormat="1" applyFont="1"/>
    <xf numFmtId="2" fontId="5" fillId="0" borderId="1" xfId="1" applyNumberFormat="1" applyFont="1" applyBorder="1" applyAlignment="1">
      <alignment horizontal="center" vertical="center"/>
    </xf>
    <xf numFmtId="1" fontId="4" fillId="0" borderId="1" xfId="1" applyNumberFormat="1" applyBorder="1" applyAlignment="1">
      <alignment horizontal="left"/>
    </xf>
    <xf numFmtId="0" fontId="4" fillId="5" borderId="5" xfId="1" applyFill="1" applyBorder="1" applyProtection="1">
      <protection locked="0"/>
    </xf>
    <xf numFmtId="2" fontId="4" fillId="7" borderId="27" xfId="1" applyNumberFormat="1" applyFill="1" applyBorder="1" applyAlignment="1">
      <alignment horizontal="center" vertical="center" wrapText="1"/>
    </xf>
    <xf numFmtId="2" fontId="4" fillId="7" borderId="26" xfId="1" applyNumberFormat="1" applyFill="1" applyBorder="1" applyAlignment="1">
      <alignment horizontal="center" vertical="center" wrapText="1"/>
    </xf>
    <xf numFmtId="2" fontId="4" fillId="7" borderId="25" xfId="1" applyNumberFormat="1" applyFill="1" applyBorder="1" applyAlignment="1">
      <alignment horizontal="center" vertical="center" wrapText="1"/>
    </xf>
    <xf numFmtId="2" fontId="5" fillId="7" borderId="26" xfId="1" applyNumberFormat="1" applyFont="1" applyFill="1" applyBorder="1" applyAlignment="1">
      <alignment horizontal="center" vertical="center" wrapText="1"/>
    </xf>
    <xf numFmtId="2" fontId="5" fillId="7" borderId="65" xfId="1" applyNumberFormat="1" applyFont="1" applyFill="1" applyBorder="1" applyAlignment="1">
      <alignment horizontal="center" vertical="center" wrapText="1"/>
    </xf>
    <xf numFmtId="166" fontId="3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/>
    </xf>
    <xf numFmtId="0" fontId="13" fillId="0" borderId="0" xfId="1" applyFont="1" applyAlignment="1">
      <alignment horizontal="right" vertical="center"/>
    </xf>
    <xf numFmtId="0" fontId="63" fillId="0" borderId="0" xfId="0" applyFont="1" applyAlignment="1">
      <alignment horizontal="center"/>
    </xf>
    <xf numFmtId="0" fontId="13" fillId="0" borderId="0" xfId="1" applyFont="1" applyAlignment="1">
      <alignment horizontal="center" vertical="center" wrapText="1"/>
    </xf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64" fillId="0" borderId="0" xfId="1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4" fillId="0" borderId="0" xfId="1" applyFont="1" applyAlignment="1">
      <alignment horizontal="center" vertical="center"/>
    </xf>
    <xf numFmtId="0" fontId="64" fillId="0" borderId="0" xfId="1" applyFont="1" applyAlignment="1">
      <alignment horizontal="right" vertical="center"/>
    </xf>
    <xf numFmtId="0" fontId="32" fillId="0" borderId="23" xfId="0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3" fillId="18" borderId="0" xfId="0" applyFont="1" applyFill="1" applyAlignment="1">
      <alignment horizontal="center"/>
    </xf>
    <xf numFmtId="0" fontId="60" fillId="0" borderId="0" xfId="0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/>
      <protection locked="0"/>
    </xf>
    <xf numFmtId="0" fontId="4" fillId="0" borderId="0" xfId="1" applyAlignment="1" applyProtection="1">
      <alignment horizontal="right"/>
      <protection locked="0"/>
    </xf>
    <xf numFmtId="0" fontId="5" fillId="0" borderId="0" xfId="1" applyFont="1" applyAlignment="1">
      <alignment horizontal="center" vertical="center" wrapText="1"/>
    </xf>
    <xf numFmtId="0" fontId="66" fillId="0" borderId="1" xfId="1" applyFont="1" applyBorder="1" applyAlignment="1">
      <alignment horizontal="center" vertical="center"/>
    </xf>
    <xf numFmtId="166" fontId="34" fillId="0" borderId="0" xfId="0" applyNumberFormat="1" applyFont="1" applyAlignment="1">
      <alignment horizontal="left" vertical="center"/>
    </xf>
    <xf numFmtId="0" fontId="67" fillId="0" borderId="0" xfId="1" applyFont="1" applyAlignment="1">
      <alignment horizontal="center" vertical="center"/>
    </xf>
    <xf numFmtId="0" fontId="8" fillId="0" borderId="0" xfId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left"/>
      <protection locked="0"/>
    </xf>
    <xf numFmtId="0" fontId="4" fillId="0" borderId="13" xfId="1" applyBorder="1" applyProtection="1"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60" fillId="0" borderId="8" xfId="0" applyFont="1" applyBorder="1" applyAlignment="1" applyProtection="1">
      <alignment horizontal="center" vertical="center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42" fillId="16" borderId="14" xfId="0" applyFont="1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166" fontId="0" fillId="7" borderId="17" xfId="0" applyNumberFormat="1" applyFill="1" applyBorder="1" applyAlignment="1">
      <alignment horizontal="center"/>
    </xf>
    <xf numFmtId="166" fontId="0" fillId="7" borderId="1" xfId="0" applyNumberFormat="1" applyFill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0" fontId="5" fillId="0" borderId="0" xfId="1" applyFont="1"/>
    <xf numFmtId="0" fontId="5" fillId="0" borderId="1" xfId="1" applyFont="1" applyBorder="1"/>
    <xf numFmtId="2" fontId="4" fillId="0" borderId="1" xfId="1" applyNumberFormat="1" applyBorder="1"/>
    <xf numFmtId="2" fontId="4" fillId="0" borderId="0" xfId="1" applyNumberFormat="1"/>
    <xf numFmtId="0" fontId="5" fillId="0" borderId="1" xfId="1" applyFont="1" applyBorder="1" applyAlignment="1">
      <alignment horizontal="center" wrapText="1"/>
    </xf>
    <xf numFmtId="0" fontId="4" fillId="0" borderId="1" xfId="1" applyBorder="1" applyAlignment="1">
      <alignment horizontal="center" wrapText="1"/>
    </xf>
    <xf numFmtId="0" fontId="68" fillId="6" borderId="1" xfId="1" applyFont="1" applyFill="1" applyBorder="1" applyAlignment="1">
      <alignment horizontal="center"/>
    </xf>
    <xf numFmtId="0" fontId="69" fillId="7" borderId="1" xfId="1" applyFont="1" applyFill="1" applyBorder="1" applyAlignment="1">
      <alignment horizontal="center"/>
    </xf>
    <xf numFmtId="0" fontId="68" fillId="7" borderId="1" xfId="1" applyFont="1" applyFill="1" applyBorder="1" applyAlignment="1">
      <alignment horizontal="center"/>
    </xf>
    <xf numFmtId="0" fontId="4" fillId="17" borderId="1" xfId="1" applyFill="1" applyBorder="1"/>
    <xf numFmtId="0" fontId="3" fillId="16" borderId="4" xfId="0" applyFont="1" applyFill="1" applyBorder="1" applyAlignment="1">
      <alignment horizontal="center" vertical="center" wrapText="1"/>
    </xf>
    <xf numFmtId="0" fontId="3" fillId="16" borderId="22" xfId="0" applyFont="1" applyFill="1" applyBorder="1" applyAlignment="1">
      <alignment horizontal="center" vertical="center" wrapText="1"/>
    </xf>
    <xf numFmtId="0" fontId="4" fillId="6" borderId="103" xfId="1" applyFill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0" fontId="4" fillId="0" borderId="4" xfId="1" applyBorder="1" applyProtection="1">
      <protection locked="0"/>
    </xf>
    <xf numFmtId="0" fontId="4" fillId="0" borderId="1" xfId="1" applyBorder="1" applyAlignment="1" applyProtection="1">
      <alignment horizontal="center" vertical="center"/>
      <protection locked="0"/>
    </xf>
    <xf numFmtId="0" fontId="42" fillId="16" borderId="27" xfId="0" applyFont="1" applyFill="1" applyBorder="1" applyAlignment="1">
      <alignment horizontal="center"/>
    </xf>
    <xf numFmtId="0" fontId="0" fillId="16" borderId="25" xfId="0" applyFill="1" applyBorder="1" applyAlignment="1">
      <alignment horizontal="center"/>
    </xf>
    <xf numFmtId="2" fontId="0" fillId="16" borderId="25" xfId="0" applyNumberFormat="1" applyFill="1" applyBorder="1" applyAlignment="1">
      <alignment horizontal="center"/>
    </xf>
    <xf numFmtId="2" fontId="0" fillId="0" borderId="1" xfId="0" applyNumberFormat="1" applyBorder="1"/>
    <xf numFmtId="0" fontId="63" fillId="0" borderId="0" xfId="0" applyFont="1"/>
    <xf numFmtId="0" fontId="32" fillId="7" borderId="1" xfId="0" applyFont="1" applyFill="1" applyBorder="1" applyAlignment="1">
      <alignment horizontal="center" vertical="center"/>
    </xf>
    <xf numFmtId="174" fontId="0" fillId="7" borderId="18" xfId="0" applyNumberFormat="1" applyFill="1" applyBorder="1" applyAlignment="1">
      <alignment horizontal="center"/>
    </xf>
    <xf numFmtId="174" fontId="0" fillId="0" borderId="18" xfId="0" applyNumberFormat="1" applyBorder="1" applyAlignment="1">
      <alignment horizontal="center"/>
    </xf>
    <xf numFmtId="174" fontId="0" fillId="0" borderId="21" xfId="0" applyNumberFormat="1" applyBorder="1" applyAlignment="1">
      <alignment horizontal="center"/>
    </xf>
    <xf numFmtId="174" fontId="0" fillId="16" borderId="26" xfId="0" applyNumberFormat="1" applyFill="1" applyBorder="1" applyAlignment="1">
      <alignment horizontal="center"/>
    </xf>
    <xf numFmtId="0" fontId="0" fillId="16" borderId="79" xfId="0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9" fontId="0" fillId="7" borderId="17" xfId="3" applyFont="1" applyFill="1" applyBorder="1" applyAlignment="1">
      <alignment horizontal="center"/>
    </xf>
    <xf numFmtId="9" fontId="0" fillId="0" borderId="17" xfId="3" applyFont="1" applyBorder="1" applyAlignment="1">
      <alignment horizontal="center"/>
    </xf>
    <xf numFmtId="0" fontId="0" fillId="16" borderId="27" xfId="0" applyFill="1" applyBorder="1" applyAlignment="1">
      <alignment horizontal="center"/>
    </xf>
    <xf numFmtId="174" fontId="70" fillId="0" borderId="0" xfId="1" applyNumberFormat="1" applyFont="1" applyAlignment="1" applyProtection="1">
      <alignment horizontal="center"/>
      <protection locked="0"/>
    </xf>
    <xf numFmtId="175" fontId="0" fillId="7" borderId="2" xfId="0" applyNumberFormat="1" applyFill="1" applyBorder="1" applyAlignment="1">
      <alignment horizontal="center"/>
    </xf>
    <xf numFmtId="175" fontId="0" fillId="0" borderId="2" xfId="0" applyNumberFormat="1" applyBorder="1" applyAlignment="1">
      <alignment horizontal="center"/>
    </xf>
    <xf numFmtId="175" fontId="0" fillId="0" borderId="80" xfId="0" applyNumberFormat="1" applyBorder="1" applyAlignment="1">
      <alignment horizontal="center"/>
    </xf>
    <xf numFmtId="175" fontId="0" fillId="16" borderId="65" xfId="0" applyNumberFormat="1" applyFill="1" applyBorder="1" applyAlignment="1">
      <alignment horizontal="center"/>
    </xf>
    <xf numFmtId="0" fontId="63" fillId="19" borderId="0" xfId="0" applyFont="1" applyFill="1" applyAlignment="1">
      <alignment horizontal="center" vertical="center"/>
    </xf>
    <xf numFmtId="172" fontId="0" fillId="0" borderId="20" xfId="0" applyNumberFormat="1" applyBorder="1" applyAlignment="1">
      <alignment horizontal="center"/>
    </xf>
    <xf numFmtId="172" fontId="0" fillId="16" borderId="2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57" fillId="0" borderId="20" xfId="0" applyFont="1" applyBorder="1" applyAlignment="1">
      <alignment horizontal="center" vertical="center"/>
    </xf>
    <xf numFmtId="0" fontId="65" fillId="0" borderId="0" xfId="0" applyFont="1" applyAlignment="1">
      <alignment horizontal="center"/>
    </xf>
    <xf numFmtId="0" fontId="34" fillId="16" borderId="2" xfId="0" applyFont="1" applyFill="1" applyBorder="1" applyAlignment="1">
      <alignment horizontal="center" vertical="center" wrapText="1"/>
    </xf>
    <xf numFmtId="0" fontId="34" fillId="16" borderId="6" xfId="0" applyFont="1" applyFill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7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33" fillId="0" borderId="66" xfId="0" applyFont="1" applyBorder="1" applyAlignment="1">
      <alignment horizontal="center"/>
    </xf>
    <xf numFmtId="0" fontId="33" fillId="0" borderId="67" xfId="0" applyFont="1" applyBorder="1" applyAlignment="1">
      <alignment horizontal="center"/>
    </xf>
    <xf numFmtId="0" fontId="33" fillId="0" borderId="68" xfId="0" applyFont="1" applyBorder="1" applyAlignment="1">
      <alignment horizontal="center"/>
    </xf>
    <xf numFmtId="0" fontId="3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left"/>
    </xf>
    <xf numFmtId="0" fontId="34" fillId="7" borderId="74" xfId="0" applyFont="1" applyFill="1" applyBorder="1" applyAlignment="1">
      <alignment horizontal="left"/>
    </xf>
    <xf numFmtId="0" fontId="4" fillId="0" borderId="2" xfId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4" fillId="0" borderId="6" xfId="1" applyBorder="1" applyAlignment="1">
      <alignment horizontal="center" vertical="center"/>
    </xf>
    <xf numFmtId="0" fontId="4" fillId="0" borderId="0" xfId="1" applyAlignment="1">
      <alignment horizontal="center"/>
    </xf>
    <xf numFmtId="0" fontId="33" fillId="0" borderId="70" xfId="0" applyFont="1" applyBorder="1" applyAlignment="1">
      <alignment horizontal="center"/>
    </xf>
    <xf numFmtId="0" fontId="33" fillId="0" borderId="71" xfId="0" applyFont="1" applyBorder="1" applyAlignment="1">
      <alignment horizontal="center"/>
    </xf>
    <xf numFmtId="0" fontId="33" fillId="0" borderId="72" xfId="0" applyFont="1" applyBorder="1" applyAlignment="1">
      <alignment horizontal="center"/>
    </xf>
    <xf numFmtId="0" fontId="63" fillId="0" borderId="0" xfId="0" applyFont="1" applyAlignment="1">
      <alignment horizontal="center"/>
    </xf>
    <xf numFmtId="0" fontId="5" fillId="12" borderId="1" xfId="1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 wrapText="1"/>
    </xf>
    <xf numFmtId="0" fontId="3" fillId="16" borderId="5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4" fillId="5" borderId="5" xfId="1" applyFill="1" applyBorder="1" applyAlignment="1" applyProtection="1">
      <alignment horizontal="center"/>
      <protection locked="0"/>
    </xf>
    <xf numFmtId="0" fontId="4" fillId="5" borderId="6" xfId="1" applyFill="1" applyBorder="1" applyAlignment="1" applyProtection="1">
      <alignment horizontal="center"/>
      <protection locked="0"/>
    </xf>
    <xf numFmtId="0" fontId="4" fillId="4" borderId="5" xfId="1" applyFill="1" applyBorder="1" applyAlignment="1" applyProtection="1">
      <alignment horizontal="center"/>
      <protection locked="0"/>
    </xf>
    <xf numFmtId="0" fontId="8" fillId="0" borderId="0" xfId="1" applyFont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 vertical="center"/>
      <protection locked="0"/>
    </xf>
    <xf numFmtId="0" fontId="5" fillId="0" borderId="11" xfId="1" applyFont="1" applyBorder="1" applyAlignment="1" applyProtection="1">
      <alignment horizontal="center" vertical="center"/>
      <protection locked="0"/>
    </xf>
    <xf numFmtId="0" fontId="5" fillId="0" borderId="24" xfId="1" applyFont="1" applyBorder="1" applyAlignment="1" applyProtection="1">
      <alignment horizontal="center" vertical="center"/>
      <protection locked="0"/>
    </xf>
    <xf numFmtId="2" fontId="5" fillId="0" borderId="22" xfId="1" applyNumberFormat="1" applyFont="1" applyBorder="1" applyAlignment="1">
      <alignment horizontal="left" vertical="center" wrapText="1"/>
    </xf>
    <xf numFmtId="2" fontId="5" fillId="0" borderId="23" xfId="1" applyNumberFormat="1" applyFont="1" applyBorder="1" applyAlignment="1">
      <alignment horizontal="left" vertical="center" wrapText="1"/>
    </xf>
    <xf numFmtId="0" fontId="4" fillId="0" borderId="22" xfId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2" fontId="19" fillId="0" borderId="10" xfId="1" applyNumberFormat="1" applyFont="1" applyBorder="1" applyAlignment="1" applyProtection="1">
      <alignment horizontal="center" vertical="center"/>
      <protection locked="0"/>
    </xf>
    <xf numFmtId="2" fontId="19" fillId="0" borderId="11" xfId="1" applyNumberFormat="1" applyFont="1" applyBorder="1" applyAlignment="1" applyProtection="1">
      <alignment horizontal="center" vertical="center"/>
      <protection locked="0"/>
    </xf>
    <xf numFmtId="2" fontId="19" fillId="0" borderId="12" xfId="1" applyNumberFormat="1" applyFont="1" applyBorder="1" applyAlignment="1" applyProtection="1">
      <alignment horizontal="center" vertical="center"/>
      <protection locked="0"/>
    </xf>
    <xf numFmtId="0" fontId="4" fillId="0" borderId="44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24" fillId="17" borderId="10" xfId="1" applyFont="1" applyFill="1" applyBorder="1" applyAlignment="1">
      <alignment horizontal="left" wrapText="1"/>
    </xf>
    <xf numFmtId="0" fontId="24" fillId="17" borderId="11" xfId="1" applyFont="1" applyFill="1" applyBorder="1" applyAlignment="1">
      <alignment horizontal="left" wrapText="1"/>
    </xf>
    <xf numFmtId="0" fontId="24" fillId="17" borderId="12" xfId="1" applyFont="1" applyFill="1" applyBorder="1" applyAlignment="1">
      <alignment horizontal="left" wrapText="1"/>
    </xf>
    <xf numFmtId="0" fontId="4" fillId="0" borderId="10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15" fillId="17" borderId="39" xfId="1" applyFont="1" applyFill="1" applyBorder="1" applyAlignment="1">
      <alignment horizontal="center" vertical="center" wrapText="1"/>
    </xf>
    <xf numFmtId="0" fontId="15" fillId="17" borderId="46" xfId="1" applyFont="1" applyFill="1" applyBorder="1" applyAlignment="1">
      <alignment horizontal="center" vertical="center" wrapText="1"/>
    </xf>
    <xf numFmtId="0" fontId="4" fillId="0" borderId="44" xfId="1" applyBorder="1" applyAlignment="1">
      <alignment horizontal="center" vertical="center" wrapText="1"/>
    </xf>
    <xf numFmtId="0" fontId="4" fillId="0" borderId="34" xfId="1" applyBorder="1" applyAlignment="1">
      <alignment horizontal="center" vertical="center" wrapText="1"/>
    </xf>
    <xf numFmtId="0" fontId="4" fillId="0" borderId="36" xfId="1" applyBorder="1" applyAlignment="1">
      <alignment horizontal="center" vertical="center" wrapText="1"/>
    </xf>
    <xf numFmtId="0" fontId="20" fillId="0" borderId="10" xfId="1" applyFont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12" xfId="1" applyBorder="1" applyAlignment="1">
      <alignment horizontal="center" vertical="center" wrapText="1"/>
    </xf>
    <xf numFmtId="0" fontId="5" fillId="14" borderId="14" xfId="1" applyFont="1" applyFill="1" applyBorder="1" applyAlignment="1">
      <alignment horizontal="center" vertical="center" wrapText="1"/>
    </xf>
    <xf numFmtId="0" fontId="5" fillId="14" borderId="16" xfId="1" applyFont="1" applyFill="1" applyBorder="1" applyAlignment="1">
      <alignment horizontal="center" vertical="center" wrapText="1"/>
    </xf>
    <xf numFmtId="0" fontId="5" fillId="14" borderId="49" xfId="1" applyFont="1" applyFill="1" applyBorder="1" applyAlignment="1">
      <alignment horizontal="center" vertical="center" wrapText="1"/>
    </xf>
    <xf numFmtId="0" fontId="5" fillId="14" borderId="15" xfId="1" applyFont="1" applyFill="1" applyBorder="1" applyAlignment="1">
      <alignment horizontal="center" vertical="center" wrapText="1"/>
    </xf>
    <xf numFmtId="0" fontId="5" fillId="14" borderId="56" xfId="1" applyFont="1" applyFill="1" applyBorder="1" applyAlignment="1">
      <alignment horizontal="center" vertical="center" wrapText="1"/>
    </xf>
    <xf numFmtId="0" fontId="5" fillId="14" borderId="57" xfId="1" applyFont="1" applyFill="1" applyBorder="1" applyAlignment="1">
      <alignment horizontal="center" vertical="center" wrapText="1"/>
    </xf>
    <xf numFmtId="0" fontId="5" fillId="14" borderId="58" xfId="1" applyFont="1" applyFill="1" applyBorder="1" applyAlignment="1">
      <alignment horizontal="center" vertical="center" wrapText="1"/>
    </xf>
  </cellXfs>
  <cellStyles count="4">
    <cellStyle name="Normal" xfId="0" builtinId="0"/>
    <cellStyle name="Normal 2 3" xfId="1" xr:uid="{00000000-0005-0000-0000-000001000000}"/>
    <cellStyle name="Pourcentage" xfId="3" builtinId="5"/>
    <cellStyle name="Pourcentage 2" xfId="2" xr:uid="{00000000-0005-0000-0000-000002000000}"/>
  </cellStyles>
  <dxfs count="48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458296</xdr:colOff>
      <xdr:row>40</xdr:row>
      <xdr:rowOff>152335</xdr:rowOff>
    </xdr:from>
    <xdr:to>
      <xdr:col>5</xdr:col>
      <xdr:colOff>174103</xdr:colOff>
      <xdr:row>42</xdr:row>
      <xdr:rowOff>10298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71507" b="13928"/>
        <a:stretch/>
      </xdr:blipFill>
      <xdr:spPr>
        <a:xfrm>
          <a:off x="3849196" y="5800660"/>
          <a:ext cx="519718" cy="275159"/>
        </a:xfrm>
        <a:prstGeom prst="rect">
          <a:avLst/>
        </a:prstGeom>
      </xdr:spPr>
    </xdr:pic>
    <xdr:clientData/>
  </xdr:twoCellAnchor>
  <xdr:twoCellAnchor editAs="oneCell">
    <xdr:from>
      <xdr:col>6</xdr:col>
      <xdr:colOff>367333</xdr:colOff>
      <xdr:row>40</xdr:row>
      <xdr:rowOff>46383</xdr:rowOff>
    </xdr:from>
    <xdr:to>
      <xdr:col>7</xdr:col>
      <xdr:colOff>930131</xdr:colOff>
      <xdr:row>42</xdr:row>
      <xdr:rowOff>12346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29858" y="5694708"/>
          <a:ext cx="1530538" cy="383159"/>
        </a:xfrm>
        <a:prstGeom prst="rect">
          <a:avLst/>
        </a:prstGeom>
      </xdr:spPr>
    </xdr:pic>
    <xdr:clientData/>
  </xdr:twoCellAnchor>
  <xdr:twoCellAnchor editAs="oneCell">
    <xdr:from>
      <xdr:col>2</xdr:col>
      <xdr:colOff>258366</xdr:colOff>
      <xdr:row>50</xdr:row>
      <xdr:rowOff>17252</xdr:rowOff>
    </xdr:from>
    <xdr:to>
      <xdr:col>5</xdr:col>
      <xdr:colOff>449852</xdr:colOff>
      <xdr:row>51</xdr:row>
      <xdr:rowOff>179072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r="12396" b="12573"/>
        <a:stretch/>
      </xdr:blipFill>
      <xdr:spPr>
        <a:xfrm>
          <a:off x="2058591" y="7437227"/>
          <a:ext cx="2761059" cy="354225"/>
        </a:xfrm>
        <a:prstGeom prst="rect">
          <a:avLst/>
        </a:prstGeom>
      </xdr:spPr>
    </xdr:pic>
    <xdr:clientData/>
  </xdr:twoCellAnchor>
  <xdr:twoCellAnchor editAs="oneCell">
    <xdr:from>
      <xdr:col>2</xdr:col>
      <xdr:colOff>259604</xdr:colOff>
      <xdr:row>52</xdr:row>
      <xdr:rowOff>11597</xdr:rowOff>
    </xdr:from>
    <xdr:to>
      <xdr:col>5</xdr:col>
      <xdr:colOff>631099</xdr:colOff>
      <xdr:row>54</xdr:row>
      <xdr:rowOff>83147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r="11941" b="8455"/>
        <a:stretch/>
      </xdr:blipFill>
      <xdr:spPr>
        <a:xfrm>
          <a:off x="2059829" y="7812572"/>
          <a:ext cx="2931271" cy="417028"/>
        </a:xfrm>
        <a:prstGeom prst="rect">
          <a:avLst/>
        </a:prstGeom>
      </xdr:spPr>
    </xdr:pic>
    <xdr:clientData/>
  </xdr:twoCellAnchor>
  <xdr:twoCellAnchor editAs="oneCell">
    <xdr:from>
      <xdr:col>6</xdr:col>
      <xdr:colOff>54646</xdr:colOff>
      <xdr:row>50</xdr:row>
      <xdr:rowOff>32990</xdr:rowOff>
    </xdr:from>
    <xdr:to>
      <xdr:col>7</xdr:col>
      <xdr:colOff>915761</xdr:colOff>
      <xdr:row>54</xdr:row>
      <xdr:rowOff>159348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017171" y="7452965"/>
          <a:ext cx="1832665" cy="852836"/>
        </a:xfrm>
        <a:prstGeom prst="rect">
          <a:avLst/>
        </a:prstGeom>
      </xdr:spPr>
    </xdr:pic>
    <xdr:clientData/>
  </xdr:twoCellAnchor>
  <xdr:twoCellAnchor editAs="oneCell">
    <xdr:from>
      <xdr:col>2</xdr:col>
      <xdr:colOff>788377</xdr:colOff>
      <xdr:row>67</xdr:row>
      <xdr:rowOff>28575</xdr:rowOff>
    </xdr:from>
    <xdr:to>
      <xdr:col>3</xdr:col>
      <xdr:colOff>684131</xdr:colOff>
      <xdr:row>68</xdr:row>
      <xdr:rowOff>92767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88602" y="10296525"/>
          <a:ext cx="724429" cy="252002"/>
        </a:xfrm>
        <a:prstGeom prst="rect">
          <a:avLst/>
        </a:prstGeom>
      </xdr:spPr>
    </xdr:pic>
    <xdr:clientData/>
  </xdr:twoCellAnchor>
  <xdr:twoCellAnchor editAs="oneCell">
    <xdr:from>
      <xdr:col>5</xdr:col>
      <xdr:colOff>101112</xdr:colOff>
      <xdr:row>67</xdr:row>
      <xdr:rowOff>19050</xdr:rowOff>
    </xdr:from>
    <xdr:to>
      <xdr:col>7</xdr:col>
      <xdr:colOff>467300</xdr:colOff>
      <xdr:row>68</xdr:row>
      <xdr:rowOff>79432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292112" y="10287000"/>
          <a:ext cx="2107358" cy="252002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49</xdr:row>
      <xdr:rowOff>26925</xdr:rowOff>
    </xdr:from>
    <xdr:to>
      <xdr:col>1</xdr:col>
      <xdr:colOff>1193770</xdr:colOff>
      <xdr:row>53</xdr:row>
      <xdr:rowOff>45395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9525" y="7256400"/>
          <a:ext cx="1744315" cy="77856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133379</xdr:colOff>
      <xdr:row>0</xdr:row>
      <xdr:rowOff>24850</xdr:rowOff>
    </xdr:from>
    <xdr:to>
      <xdr:col>1</xdr:col>
      <xdr:colOff>429486</xdr:colOff>
      <xdr:row>1</xdr:row>
      <xdr:rowOff>47888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835"/>
        <a:stretch/>
      </xdr:blipFill>
      <xdr:spPr bwMode="auto">
        <a:xfrm>
          <a:off x="133379" y="24850"/>
          <a:ext cx="856177" cy="3735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558719</xdr:colOff>
      <xdr:row>0</xdr:row>
      <xdr:rowOff>129080</xdr:rowOff>
    </xdr:from>
    <xdr:to>
      <xdr:col>2</xdr:col>
      <xdr:colOff>172130</xdr:colOff>
      <xdr:row>0</xdr:row>
      <xdr:rowOff>296055</xdr:rowOff>
    </xdr:to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923"/>
        <a:stretch/>
      </xdr:blipFill>
      <xdr:spPr bwMode="auto">
        <a:xfrm>
          <a:off x="1120694" y="129080"/>
          <a:ext cx="847851" cy="168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323850</xdr:colOff>
      <xdr:row>83</xdr:row>
      <xdr:rowOff>185064</xdr:rowOff>
    </xdr:from>
    <xdr:to>
      <xdr:col>7</xdr:col>
      <xdr:colOff>79722</xdr:colOff>
      <xdr:row>101</xdr:row>
      <xdr:rowOff>92453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323850" y="13329564"/>
          <a:ext cx="5866840" cy="3332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6</xdr:row>
      <xdr:rowOff>100853</xdr:rowOff>
    </xdr:from>
    <xdr:to>
      <xdr:col>3</xdr:col>
      <xdr:colOff>197462</xdr:colOff>
      <xdr:row>8</xdr:row>
      <xdr:rowOff>100853</xdr:rowOff>
    </xdr:to>
    <xdr:sp macro="[0]!Realisation_calcul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03412" y="1243853"/>
          <a:ext cx="2113668" cy="3810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chemeClr val="accent6">
                <a:lumMod val="75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Lancer le calcul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defaul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9" tint="-0.249977111117893"/>
    <pageSetUpPr fitToPage="1"/>
  </sheetPr>
  <dimension ref="A1:AL83"/>
  <sheetViews>
    <sheetView showGridLines="0" view="pageBreakPreview" zoomScale="80" zoomScaleNormal="100" zoomScaleSheetLayoutView="80" workbookViewId="0">
      <selection activeCell="E40" sqref="E40"/>
    </sheetView>
  </sheetViews>
  <sheetFormatPr baseColWidth="10" defaultColWidth="10.88671875" defaultRowHeight="14.4"/>
  <cols>
    <col min="1" max="1" width="8.44140625" style="285" customWidth="1"/>
    <col min="2" max="2" width="18.5546875" style="285" customWidth="1"/>
    <col min="3" max="3" width="12.44140625" style="285" customWidth="1"/>
    <col min="4" max="4" width="14" style="285" customWidth="1"/>
    <col min="5" max="5" width="12" style="285" customWidth="1"/>
    <col min="6" max="6" width="11.5546875" style="285" customWidth="1"/>
    <col min="7" max="7" width="14.5546875" style="285" customWidth="1"/>
    <col min="8" max="8" width="16.44140625" style="285" customWidth="1"/>
    <col min="9" max="16384" width="10.88671875" style="285"/>
  </cols>
  <sheetData>
    <row r="1" spans="1:37" ht="28.35" customHeight="1">
      <c r="D1" s="538" t="s">
        <v>225</v>
      </c>
      <c r="E1" s="538"/>
      <c r="F1" s="538"/>
      <c r="G1" s="538"/>
      <c r="H1" s="538"/>
    </row>
    <row r="2" spans="1:37" ht="6.75" customHeight="1" thickBot="1">
      <c r="D2" s="286"/>
      <c r="E2" s="287"/>
      <c r="F2" s="287"/>
      <c r="G2" s="287"/>
      <c r="H2" s="287"/>
    </row>
    <row r="3" spans="1:37" ht="20.100000000000001" customHeight="1">
      <c r="A3" s="539" t="s">
        <v>204</v>
      </c>
      <c r="B3" s="540"/>
      <c r="C3" s="540"/>
      <c r="D3" s="540"/>
      <c r="E3" s="540"/>
      <c r="F3" s="540"/>
      <c r="G3" s="540"/>
      <c r="H3" s="541"/>
    </row>
    <row r="4" spans="1:37" ht="6.75" customHeight="1">
      <c r="A4" s="288"/>
      <c r="H4" s="289"/>
    </row>
    <row r="5" spans="1:37">
      <c r="A5" s="288" t="s">
        <v>226</v>
      </c>
      <c r="B5" s="542"/>
      <c r="C5" s="542"/>
      <c r="D5" s="542"/>
      <c r="E5" s="542"/>
      <c r="F5" s="287" t="s">
        <v>227</v>
      </c>
      <c r="G5" s="543"/>
      <c r="H5" s="544"/>
      <c r="O5" s="457" t="s">
        <v>19</v>
      </c>
      <c r="P5" s="458" t="s">
        <v>20</v>
      </c>
      <c r="Q5" s="459"/>
      <c r="R5" s="459"/>
      <c r="S5" s="460" t="s">
        <v>21</v>
      </c>
      <c r="T5" s="458">
        <f>C20</f>
        <v>1</v>
      </c>
      <c r="U5" s="22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</row>
    <row r="6" spans="1:37" ht="27" thickBot="1">
      <c r="A6" s="290" t="s">
        <v>228</v>
      </c>
      <c r="B6" s="291"/>
      <c r="C6" s="292"/>
      <c r="D6" s="293"/>
      <c r="E6" s="293"/>
      <c r="F6" s="294" t="s">
        <v>229</v>
      </c>
      <c r="G6" s="295"/>
      <c r="H6" s="296"/>
      <c r="K6" s="297">
        <f ca="1">TODAY()</f>
        <v>45760</v>
      </c>
      <c r="O6" s="457" t="s">
        <v>23</v>
      </c>
      <c r="P6" s="530">
        <f>VLOOKUP($C$11,'Coeff EC7'!$B$7:$C$26,2,0)</f>
        <v>6</v>
      </c>
      <c r="Q6" s="530" t="e">
        <f>IF(P5=#REF!,IF(P6='Coeff EC7'!R26,"erreur",IF(P6='Coeff EC7'!R25,"erreur",LOOKUP($B$4,'Coeff EC7'!$C$7:$C$27,'Coeff EC7'!$B$7:$B$27))),IF(P5=#REF!,IF(P6&lt;'Coeff EC7'!R25,"erreur",LOOKUP($B$4,'Coeff EC7'!$C$7:$C$27,'Coeff EC7'!$B$7:$B$27))))</f>
        <v>#REF!</v>
      </c>
      <c r="R6" s="459" t="s">
        <v>300</v>
      </c>
      <c r="S6" s="459">
        <f>COUNT($T$9:$T$20)</f>
        <v>0</v>
      </c>
      <c r="T6" s="459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</row>
    <row r="7" spans="1:37" ht="8.85" customHeight="1">
      <c r="O7" s="459" t="s">
        <v>25</v>
      </c>
      <c r="P7" s="470">
        <f>Hypothèses!B5</f>
        <v>100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</row>
    <row r="8" spans="1:37" ht="15" customHeight="1">
      <c r="C8" s="298"/>
      <c r="O8" s="281" t="s">
        <v>27</v>
      </c>
      <c r="P8" s="281" t="s">
        <v>28</v>
      </c>
      <c r="Q8" s="281" t="s">
        <v>29</v>
      </c>
      <c r="R8" s="281" t="s">
        <v>30</v>
      </c>
      <c r="S8" s="281" t="s">
        <v>31</v>
      </c>
      <c r="T8" s="281" t="s">
        <v>206</v>
      </c>
      <c r="U8" s="281" t="s">
        <v>32</v>
      </c>
      <c r="V8" s="281" t="s">
        <v>33</v>
      </c>
      <c r="W8" s="281" t="s">
        <v>34</v>
      </c>
      <c r="X8" s="281" t="s">
        <v>35</v>
      </c>
      <c r="Y8" s="281" t="s">
        <v>207</v>
      </c>
      <c r="Z8" s="281" t="s">
        <v>208</v>
      </c>
      <c r="AA8" s="281" t="s">
        <v>209</v>
      </c>
      <c r="AB8" s="281" t="s">
        <v>210</v>
      </c>
      <c r="AC8" s="281" t="s">
        <v>211</v>
      </c>
      <c r="AD8" s="281" t="s">
        <v>212</v>
      </c>
      <c r="AE8" s="281" t="s">
        <v>213</v>
      </c>
      <c r="AF8" s="531" t="s">
        <v>36</v>
      </c>
      <c r="AG8" s="532"/>
      <c r="AK8" t="s">
        <v>235</v>
      </c>
    </row>
    <row r="9" spans="1:37" ht="15" thickBot="1">
      <c r="A9" s="299" t="s">
        <v>230</v>
      </c>
      <c r="B9" s="300"/>
      <c r="D9" s="524" t="s">
        <v>410</v>
      </c>
      <c r="E9" s="298"/>
      <c r="F9" s="298"/>
      <c r="G9" s="298"/>
      <c r="H9" s="298"/>
      <c r="N9" s="285">
        <v>1</v>
      </c>
      <c r="O9" s="23">
        <f>CONCATENATE($T$5,N9)*1</f>
        <v>11</v>
      </c>
      <c r="P9" s="23">
        <f>Hypothèses!B7</f>
        <v>0</v>
      </c>
      <c r="Q9" s="23">
        <f>IF(VLOOKUP($O9,Hypothèses!$B$22:$N$169,3,FALSE)&lt;&gt;0,VLOOKUP($O9,Hypothèses!$B$22:$N$169,3,FALSE),0)</f>
        <v>0</v>
      </c>
      <c r="R9" s="23">
        <f>$P$7-Q9</f>
        <v>100</v>
      </c>
      <c r="S9" s="23" t="str">
        <f>IF(VLOOKUP($O9,Hypothèses!$B$22:$N$169,4,FALSE)&lt;&gt;0,VLOOKUP($O9,Hypothèses!$B$22:$N$169,4,FALSE),"")</f>
        <v/>
      </c>
      <c r="T9" s="23" t="str">
        <f>IF(VLOOKUP($O9,Hypothèses!$B$22:$N$169,5,FALSE)&lt;&gt;0,VLOOKUP($O9,Hypothèses!$B$22:$N$169,5,FALSE),"")</f>
        <v/>
      </c>
      <c r="U9" s="23" t="e">
        <f t="array" ref="U9">INDEX(Hypothèses!$AF$8:$AG$14,MATCH(S9,Hypothèses!$AE$8:$AE$14,0),MATCH(AG9,Hypothèses!$AF$7:$AG$7,0))</f>
        <v>#N/A</v>
      </c>
      <c r="V9" s="28" t="e">
        <f t="array" ref="V9">INDEX('Coeff EC7'!$D$33:$Q$33,1,MATCH(AF9&amp;U9,'Coeff EC7'!$D$31:$Q$31&amp;'Coeff EC7'!$D$32:$Q$32,0))</f>
        <v>#N/A</v>
      </c>
      <c r="W9" s="28" t="e">
        <f t="array" ref="W9">INDEX('Coeff EC7'!$D$34:$Q$34,1,MATCH(AF9&amp;U9,'Coeff EC7'!$D$31:$Q$31&amp;'Coeff EC7'!$D$32:$Q$32,0))</f>
        <v>#N/A</v>
      </c>
      <c r="X9" s="28" t="e">
        <f t="array" ref="X9">INDEX('Coeff EC7'!$D$35:$Q$35,1,MATCH(AF9&amp;U9,'Coeff EC7'!$D$31:$Q$31&amp;'Coeff EC7'!$D$32:$Q$32,0))</f>
        <v>#N/A</v>
      </c>
      <c r="Y9" s="29" t="str">
        <f t="shared" ref="Y9:Y20" si="0">IF(T9="","",IF(S9="Neutralisé","-",(V9*T9+W9)*(1-EXP(-X9*T9))))</f>
        <v/>
      </c>
      <c r="Z9" s="30" t="e">
        <f t="array" ref="Z9">INDEX('Coeff EC7'!$D$7:$Q$27,MATCH($P$6,'Coeff EC7'!$C$7:$C$27,0),MATCH(AF9&amp;U9,'Coeff EC7'!$D$5:$Q$5&amp;'Coeff EC7'!$D$6:$Q$6,0))</f>
        <v>#N/A</v>
      </c>
      <c r="AA9" s="31" t="str">
        <f t="shared" ref="AA9:AA20" si="1">IF(T9="","",IF(S9="Neutralisé","-",Z9*Y9*1000))</f>
        <v/>
      </c>
      <c r="AB9" s="30" t="e">
        <f t="array" ref="AB9">INDEX('Coeff EC7'!$D$41:$Q$61,MATCH($P$6,'Coeff EC7'!$C$41:$C$61,0),MATCH(AF9&amp;U9,'Coeff EC7'!$D$39:$Q$39&amp;'Coeff EC7'!$D$40:$Q$40,0))</f>
        <v>#N/A</v>
      </c>
      <c r="AC9" s="30" t="e">
        <f t="shared" ref="AC9:AC20" si="2">IF(U9="","",MIN(AA9:AB9))</f>
        <v>#N/A</v>
      </c>
      <c r="AD9" s="32" t="e">
        <f t="array" ref="AD9">IF($P$6=21,'Coeff EC7'!U108,INDEX('Coeff EC7'!$D$67:$Q$87,MATCH($P$6,'Coeff EC7'!$C$67:$C$87,0),MATCH(AF9&amp;U9,'Coeff EC7'!$D$65:$Q$65&amp;'Coeff EC7'!$D$66:$Q$66,0)))</f>
        <v>#N/A</v>
      </c>
      <c r="AE9" s="30" t="str">
        <f>IF(VLOOKUP($O9,Hypothèses!$B$22:$N$169,6,FALSE)&lt;&gt;0,VLOOKUP($O9,Hypothèses!$B$22:$N$169,6,FALSE),"")</f>
        <v/>
      </c>
      <c r="AF9" s="23" t="str">
        <f>IF(VLOOKUP($O9,Hypothèses!$B$22:$N$169,8,FALSE)&lt;&gt;0,VLOOKUP($O9,Hypothèses!$B$22:$N$169,8,FALSE),"")</f>
        <v>Pressio.</v>
      </c>
      <c r="AG9" s="23">
        <f>VLOOKUP(AF9,Hypothèses!$AE$3:$AF$4,2,FALSE)</f>
        <v>1</v>
      </c>
      <c r="AK9" t="s">
        <v>323</v>
      </c>
    </row>
    <row r="10" spans="1:37" ht="15" thickTop="1">
      <c r="A10" s="300"/>
      <c r="B10" s="300"/>
      <c r="D10" s="298"/>
      <c r="E10" s="298"/>
      <c r="G10" s="301" t="s">
        <v>233</v>
      </c>
      <c r="H10" s="302" t="s">
        <v>232</v>
      </c>
      <c r="N10" s="285">
        <v>2</v>
      </c>
      <c r="O10" s="23">
        <f t="shared" ref="O10:O20" si="3">CONCATENATE($T$5,N10)*1</f>
        <v>12</v>
      </c>
      <c r="P10" s="23">
        <f>IF(Q9="","",Q9)</f>
        <v>0</v>
      </c>
      <c r="Q10" s="23">
        <f>IF(VLOOKUP($O10,Hypothèses!$B$22:$N$169,3,FALSE)&lt;&gt;0,VLOOKUP($O10,Hypothèses!$B$22:$N$169,3,FALSE),0)</f>
        <v>0</v>
      </c>
      <c r="R10" s="23">
        <f t="shared" ref="R10:R20" si="4">$P$7-Q10</f>
        <v>100</v>
      </c>
      <c r="S10" s="23" t="str">
        <f>IF(VLOOKUP($O10,Hypothèses!$B$22:$N$169,4,FALSE)&lt;&gt;0,VLOOKUP($O10,Hypothèses!$B$22:$N$169,4,FALSE),"")</f>
        <v/>
      </c>
      <c r="T10" s="23" t="str">
        <f>IF(VLOOKUP($O10,Hypothèses!$B$22:$N$169,5,FALSE)&lt;&gt;0,VLOOKUP($O10,Hypothèses!$B$22:$N$169,5,FALSE),"")</f>
        <v/>
      </c>
      <c r="U10" s="23" t="e">
        <f t="array" ref="U10">INDEX(Hypothèses!$AF$8:$AG$14,MATCH(S10,Hypothèses!$AE$8:$AE$14,0),MATCH(AG10,Hypothèses!$AF$7:$AG$7,0))</f>
        <v>#N/A</v>
      </c>
      <c r="V10" s="28" t="e">
        <f t="array" ref="V10">INDEX('Coeff EC7'!$D$33:$Q$33,1,MATCH(AF10&amp;U10,'Coeff EC7'!$D$31:$Q$31&amp;'Coeff EC7'!$D$32:$Q$32,0))</f>
        <v>#N/A</v>
      </c>
      <c r="W10" s="28" t="e">
        <f t="array" ref="W10">INDEX('Coeff EC7'!$D$34:$Q$34,1,MATCH(AF10&amp;U10,'Coeff EC7'!$D$31:$Q$31&amp;'Coeff EC7'!$D$32:$Q$32,0))</f>
        <v>#N/A</v>
      </c>
      <c r="X10" s="28" t="e">
        <f t="array" ref="X10">INDEX('Coeff EC7'!$D$35:$Q$35,1,MATCH(AF10&amp;U10,'Coeff EC7'!$D$31:$Q$31&amp;'Coeff EC7'!$D$32:$Q$32,0))</f>
        <v>#N/A</v>
      </c>
      <c r="Y10" s="29" t="str">
        <f t="shared" si="0"/>
        <v/>
      </c>
      <c r="Z10" s="30" t="e">
        <f t="array" ref="Z10">INDEX('Coeff EC7'!$D$7:$Q$27,MATCH($P$6,'Coeff EC7'!$C$7:$C$27,0),MATCH(AF10&amp;U10,'Coeff EC7'!$D$5:$Q$5&amp;'Coeff EC7'!$D$6:$Q$6,0))</f>
        <v>#N/A</v>
      </c>
      <c r="AA10" s="31" t="str">
        <f t="shared" si="1"/>
        <v/>
      </c>
      <c r="AB10" s="30" t="e">
        <f t="array" ref="AB10">INDEX('Coeff EC7'!$D$41:$Q$61,MATCH($P$6,'Coeff EC7'!$C$41:$C$61,0),MATCH(AF10&amp;U10,'Coeff EC7'!$D$39:$Q$39&amp;'Coeff EC7'!$D$40:$Q$40,0))</f>
        <v>#N/A</v>
      </c>
      <c r="AC10" s="30" t="e">
        <f t="shared" si="2"/>
        <v>#N/A</v>
      </c>
      <c r="AD10" s="32" t="e">
        <f t="array" ref="AD10">IF($P$6=21,'Coeff EC7'!U109,INDEX('Coeff EC7'!$D$67:$Q$87,MATCH($P$6,'Coeff EC7'!$C$67:$C$87,0),MATCH(AF10&amp;U10,'Coeff EC7'!$D$65:$Q$65&amp;'Coeff EC7'!$D$66:$Q$66,0)))</f>
        <v>#N/A</v>
      </c>
      <c r="AE10" s="30" t="str">
        <f>IF(VLOOKUP($O10,Hypothèses!$B$22:$N$169,6,FALSE)&lt;&gt;0,VLOOKUP($O10,Hypothèses!$B$22:$N$169,6,FALSE),"")</f>
        <v/>
      </c>
      <c r="AF10" s="23" t="str">
        <f>IF(VLOOKUP($O10,Hypothèses!$B$22:$N$169,8,FALSE)&lt;&gt;0,VLOOKUP($O10,Hypothèses!$B$22:$N$169,8,FALSE),"")</f>
        <v>Pressio.</v>
      </c>
      <c r="AG10" s="23">
        <f>VLOOKUP(AF10,Hypothèses!$AE$3:$AF$4,2,FALSE)</f>
        <v>1</v>
      </c>
      <c r="AK10" t="s">
        <v>325</v>
      </c>
    </row>
    <row r="11" spans="1:37" ht="15" customHeight="1">
      <c r="A11" s="285" t="s">
        <v>234</v>
      </c>
      <c r="C11" s="270" t="s">
        <v>145</v>
      </c>
      <c r="D11" s="439"/>
      <c r="G11" s="301" t="s">
        <v>231</v>
      </c>
      <c r="H11" s="302" t="s">
        <v>232</v>
      </c>
      <c r="N11" s="285">
        <v>3</v>
      </c>
      <c r="O11" s="23">
        <f t="shared" si="3"/>
        <v>13</v>
      </c>
      <c r="P11" s="23">
        <f t="shared" ref="P11:P20" si="5">IF(Q10="","",Q10)</f>
        <v>0</v>
      </c>
      <c r="Q11" s="23">
        <f>IF(VLOOKUP($O11,Hypothèses!$B$22:$N$169,3,FALSE)&lt;&gt;0,VLOOKUP($O11,Hypothèses!$B$22:$N$169,3,FALSE),0)</f>
        <v>0</v>
      </c>
      <c r="R11" s="23">
        <f t="shared" si="4"/>
        <v>100</v>
      </c>
      <c r="S11" s="23" t="str">
        <f>IF(VLOOKUP($O11,Hypothèses!$B$22:$N$169,4,FALSE)&lt;&gt;0,VLOOKUP($O11,Hypothèses!$B$22:$N$169,4,FALSE),"")</f>
        <v/>
      </c>
      <c r="T11" s="23" t="str">
        <f>IF(VLOOKUP($O11,Hypothèses!$B$22:$N$169,5,FALSE)&lt;&gt;0,VLOOKUP($O11,Hypothèses!$B$22:$N$169,5,FALSE),"")</f>
        <v/>
      </c>
      <c r="U11" s="23" t="e">
        <f t="array" ref="U11">INDEX(Hypothèses!$AF$8:$AG$14,MATCH(S11,Hypothèses!$AE$8:$AE$14,0),MATCH(AG11,Hypothèses!$AF$7:$AG$7,0))</f>
        <v>#N/A</v>
      </c>
      <c r="V11" s="28" t="e">
        <f t="array" ref="V11">INDEX('Coeff EC7'!$D$33:$Q$33,1,MATCH(AF11&amp;U11,'Coeff EC7'!$D$31:$Q$31&amp;'Coeff EC7'!$D$32:$Q$32,0))</f>
        <v>#N/A</v>
      </c>
      <c r="W11" s="28" t="e">
        <f t="array" ref="W11">INDEX('Coeff EC7'!$D$34:$Q$34,1,MATCH(AF11&amp;U11,'Coeff EC7'!$D$31:$Q$31&amp;'Coeff EC7'!$D$32:$Q$32,0))</f>
        <v>#N/A</v>
      </c>
      <c r="X11" s="28" t="e">
        <f t="array" ref="X11">INDEX('Coeff EC7'!$D$35:$Q$35,1,MATCH(AF11&amp;U11,'Coeff EC7'!$D$31:$Q$31&amp;'Coeff EC7'!$D$32:$Q$32,0))</f>
        <v>#N/A</v>
      </c>
      <c r="Y11" s="29" t="str">
        <f t="shared" si="0"/>
        <v/>
      </c>
      <c r="Z11" s="30" t="e">
        <f t="array" ref="Z11">INDEX('Coeff EC7'!$D$7:$Q$27,MATCH($P$6,'Coeff EC7'!$C$7:$C$27,0),MATCH(AF11&amp;U11,'Coeff EC7'!$D$5:$Q$5&amp;'Coeff EC7'!$D$6:$Q$6,0))</f>
        <v>#N/A</v>
      </c>
      <c r="AA11" s="31" t="str">
        <f t="shared" si="1"/>
        <v/>
      </c>
      <c r="AB11" s="30" t="e">
        <f t="array" ref="AB11">INDEX('Coeff EC7'!$D$41:$Q$61,MATCH($P$6,'Coeff EC7'!$C$41:$C$61,0),MATCH(AF11&amp;U11,'Coeff EC7'!$D$39:$Q$39&amp;'Coeff EC7'!$D$40:$Q$40,0))</f>
        <v>#N/A</v>
      </c>
      <c r="AC11" s="30" t="e">
        <f t="shared" si="2"/>
        <v>#N/A</v>
      </c>
      <c r="AD11" s="32" t="e">
        <f t="array" ref="AD11">IF($P$6=21,'Coeff EC7'!U110,INDEX('Coeff EC7'!$D$67:$Q$87,MATCH($P$6,'Coeff EC7'!$C$67:$C$87,0),MATCH(AF11&amp;U11,'Coeff EC7'!$D$65:$Q$65&amp;'Coeff EC7'!$D$66:$Q$66,0)))</f>
        <v>#N/A</v>
      </c>
      <c r="AE11" s="30" t="str">
        <f>IF(VLOOKUP($O11,Hypothèses!$B$22:$N$169,6,FALSE)&lt;&gt;0,VLOOKUP($O11,Hypothèses!$B$22:$N$169,6,FALSE),"")</f>
        <v/>
      </c>
      <c r="AF11" s="23" t="str">
        <f>IF(VLOOKUP($O11,Hypothèses!$B$22:$N$169,8,FALSE)&lt;&gt;0,VLOOKUP($O11,Hypothèses!$B$22:$N$169,8,FALSE),"")</f>
        <v>Pressio.</v>
      </c>
      <c r="AG11" s="23">
        <f>VLOOKUP(AF11,Hypothèses!$AE$3:$AF$4,2,FALSE)</f>
        <v>1</v>
      </c>
      <c r="AK11" s="285" t="s">
        <v>324</v>
      </c>
    </row>
    <row r="12" spans="1:37">
      <c r="A12" t="s">
        <v>314</v>
      </c>
      <c r="C12" s="304"/>
      <c r="D12" s="285" t="s">
        <v>237</v>
      </c>
      <c r="G12" s="301" t="s">
        <v>236</v>
      </c>
      <c r="H12" s="302" t="s">
        <v>232</v>
      </c>
      <c r="K12" s="303"/>
      <c r="N12">
        <v>4</v>
      </c>
      <c r="O12" s="23">
        <f t="shared" si="3"/>
        <v>14</v>
      </c>
      <c r="P12" s="23">
        <f t="shared" si="5"/>
        <v>0</v>
      </c>
      <c r="Q12" s="23">
        <f>IF(VLOOKUP($O12,Hypothèses!$B$22:$N$169,3,FALSE)&lt;&gt;0,VLOOKUP($O12,Hypothèses!$B$22:$N$169,3,FALSE),0)</f>
        <v>0</v>
      </c>
      <c r="R12" s="23">
        <f t="shared" si="4"/>
        <v>100</v>
      </c>
      <c r="S12" s="23" t="str">
        <f>IF(VLOOKUP($O12,Hypothèses!$B$22:$N$169,4,FALSE)&lt;&gt;0,VLOOKUP($O12,Hypothèses!$B$22:$N$169,4,FALSE),"")</f>
        <v/>
      </c>
      <c r="T12" s="23" t="str">
        <f>IF(VLOOKUP($O12,Hypothèses!$B$22:$N$169,5,FALSE)&lt;&gt;0,VLOOKUP($O12,Hypothèses!$B$22:$N$169,5,FALSE),"")</f>
        <v/>
      </c>
      <c r="U12" s="23" t="e">
        <f t="array" ref="U12">INDEX(Hypothèses!$AF$8:$AG$14,MATCH(S12,Hypothèses!$AE$8:$AE$14,0),MATCH(AG12,Hypothèses!$AF$7:$AG$7,0))</f>
        <v>#N/A</v>
      </c>
      <c r="V12" s="28" t="e">
        <f t="array" ref="V12">INDEX('Coeff EC7'!$D$33:$Q$33,1,MATCH(AF12&amp;U12,'Coeff EC7'!$D$31:$Q$31&amp;'Coeff EC7'!$D$32:$Q$32,0))</f>
        <v>#N/A</v>
      </c>
      <c r="W12" s="28" t="e">
        <f t="array" ref="W12">INDEX('Coeff EC7'!$D$34:$Q$34,1,MATCH(AF12&amp;U12,'Coeff EC7'!$D$31:$Q$31&amp;'Coeff EC7'!$D$32:$Q$32,0))</f>
        <v>#N/A</v>
      </c>
      <c r="X12" s="28" t="e">
        <f t="array" ref="X12">INDEX('Coeff EC7'!$D$35:$Q$35,1,MATCH(AF12&amp;U12,'Coeff EC7'!$D$31:$Q$31&amp;'Coeff EC7'!$D$32:$Q$32,0))</f>
        <v>#N/A</v>
      </c>
      <c r="Y12" s="29" t="str">
        <f t="shared" si="0"/>
        <v/>
      </c>
      <c r="Z12" s="30" t="e">
        <f t="array" ref="Z12">INDEX('Coeff EC7'!$D$7:$Q$27,MATCH($P$6,'Coeff EC7'!$C$7:$C$27,0),MATCH(AF12&amp;U12,'Coeff EC7'!$D$5:$Q$5&amp;'Coeff EC7'!$D$6:$Q$6,0))</f>
        <v>#N/A</v>
      </c>
      <c r="AA12" s="31" t="str">
        <f t="shared" si="1"/>
        <v/>
      </c>
      <c r="AB12" s="30" t="e">
        <f t="array" ref="AB12">INDEX('Coeff EC7'!$D$41:$Q$61,MATCH($P$6,'Coeff EC7'!$C$41:$C$61,0),MATCH(AF12&amp;U12,'Coeff EC7'!$D$39:$Q$39&amp;'Coeff EC7'!$D$40:$Q$40,0))</f>
        <v>#N/A</v>
      </c>
      <c r="AC12" s="30" t="e">
        <f t="shared" si="2"/>
        <v>#N/A</v>
      </c>
      <c r="AD12" s="32" t="e">
        <f t="array" ref="AD12">IF($P$6=21,'Coeff EC7'!U111,INDEX('Coeff EC7'!$D$67:$Q$87,MATCH($P$6,'Coeff EC7'!$C$67:$C$87,0),MATCH(AF12&amp;U12,'Coeff EC7'!$D$65:$Q$65&amp;'Coeff EC7'!$D$66:$Q$66,0)))</f>
        <v>#N/A</v>
      </c>
      <c r="AE12" s="30" t="str">
        <f>IF(VLOOKUP($O12,Hypothèses!$B$22:$N$169,6,FALSE)&lt;&gt;0,VLOOKUP($O12,Hypothèses!$B$22:$N$169,6,FALSE),"")</f>
        <v/>
      </c>
      <c r="AF12" s="23" t="str">
        <f>IF(VLOOKUP($O12,Hypothèses!$B$22:$N$169,8,FALSE)&lt;&gt;0,VLOOKUP($O12,Hypothèses!$B$22:$N$169,8,FALSE),"")</f>
        <v>Pressio.</v>
      </c>
      <c r="AG12" s="23">
        <f>VLOOKUP(AF12,Hypothèses!$AE$3:$AF$4,2,FALSE)</f>
        <v>1</v>
      </c>
    </row>
    <row r="13" spans="1:37">
      <c r="A13" t="s">
        <v>313</v>
      </c>
      <c r="C13" s="304"/>
      <c r="D13" t="s">
        <v>237</v>
      </c>
      <c r="G13" s="301" t="s">
        <v>238</v>
      </c>
      <c r="H13" s="302" t="s">
        <v>232</v>
      </c>
      <c r="K13" s="303"/>
      <c r="N13">
        <v>5</v>
      </c>
      <c r="O13" s="23">
        <f t="shared" si="3"/>
        <v>15</v>
      </c>
      <c r="P13" s="23">
        <f t="shared" si="5"/>
        <v>0</v>
      </c>
      <c r="Q13" s="23">
        <f>IF(VLOOKUP($O13,Hypothèses!$B$22:$N$169,3,FALSE)&lt;&gt;0,VLOOKUP($O13,Hypothèses!$B$22:$N$169,3,FALSE),0)</f>
        <v>0</v>
      </c>
      <c r="R13" s="23">
        <f t="shared" si="4"/>
        <v>100</v>
      </c>
      <c r="S13" s="23" t="str">
        <f>IF(VLOOKUP($O13,Hypothèses!$B$22:$N$169,4,FALSE)&lt;&gt;0,VLOOKUP($O13,Hypothèses!$B$22:$N$169,4,FALSE),"")</f>
        <v/>
      </c>
      <c r="T13" s="23" t="str">
        <f>IF(VLOOKUP($O13,Hypothèses!$B$22:$N$169,5,FALSE)&lt;&gt;0,VLOOKUP($O13,Hypothèses!$B$22:$N$169,5,FALSE),"")</f>
        <v/>
      </c>
      <c r="U13" s="23" t="e">
        <f t="array" ref="U13">INDEX(Hypothèses!$AF$8:$AG$14,MATCH(S13,Hypothèses!$AE$8:$AE$14,0),MATCH(AG13,Hypothèses!$AF$7:$AG$7,0))</f>
        <v>#N/A</v>
      </c>
      <c r="V13" s="28" t="e">
        <f t="array" ref="V13">INDEX('Coeff EC7'!$D$33:$Q$33,1,MATCH(AF13&amp;U13,'Coeff EC7'!$D$31:$Q$31&amp;'Coeff EC7'!$D$32:$Q$32,0))</f>
        <v>#N/A</v>
      </c>
      <c r="W13" s="28" t="e">
        <f t="array" ref="W13">INDEX('Coeff EC7'!$D$34:$Q$34,1,MATCH(AF13&amp;U13,'Coeff EC7'!$D$31:$Q$31&amp;'Coeff EC7'!$D$32:$Q$32,0))</f>
        <v>#N/A</v>
      </c>
      <c r="X13" s="28" t="e">
        <f t="array" ref="X13">INDEX('Coeff EC7'!$D$35:$Q$35,1,MATCH(AF13&amp;U13,'Coeff EC7'!$D$31:$Q$31&amp;'Coeff EC7'!$D$32:$Q$32,0))</f>
        <v>#N/A</v>
      </c>
      <c r="Y13" s="29" t="str">
        <f t="shared" si="0"/>
        <v/>
      </c>
      <c r="Z13" s="30" t="e">
        <f t="array" ref="Z13">INDEX('Coeff EC7'!$D$7:$Q$27,MATCH($P$6,'Coeff EC7'!$C$7:$C$27,0),MATCH(AF13&amp;U13,'Coeff EC7'!$D$5:$Q$5&amp;'Coeff EC7'!$D$6:$Q$6,0))</f>
        <v>#N/A</v>
      </c>
      <c r="AA13" s="31" t="str">
        <f t="shared" si="1"/>
        <v/>
      </c>
      <c r="AB13" s="30" t="e">
        <f t="array" ref="AB13">INDEX('Coeff EC7'!$D$41:$Q$61,MATCH($P$6,'Coeff EC7'!$C$41:$C$61,0),MATCH(AF13&amp;U13,'Coeff EC7'!$D$39:$Q$39&amp;'Coeff EC7'!$D$40:$Q$40,0))</f>
        <v>#N/A</v>
      </c>
      <c r="AC13" s="30" t="e">
        <f t="shared" si="2"/>
        <v>#N/A</v>
      </c>
      <c r="AD13" s="32" t="e">
        <f t="array" ref="AD13">IF($P$6=21,'Coeff EC7'!U112,INDEX('Coeff EC7'!$D$67:$Q$87,MATCH($P$6,'Coeff EC7'!$C$67:$C$87,0),MATCH(AF13&amp;U13,'Coeff EC7'!$D$65:$Q$65&amp;'Coeff EC7'!$D$66:$Q$66,0)))</f>
        <v>#N/A</v>
      </c>
      <c r="AE13" s="30" t="str">
        <f>IF(VLOOKUP($O13,Hypothèses!$B$22:$N$169,6,FALSE)&lt;&gt;0,VLOOKUP($O13,Hypothèses!$B$22:$N$169,6,FALSE),"")</f>
        <v/>
      </c>
      <c r="AF13" s="23" t="str">
        <f>IF(VLOOKUP($O13,Hypothèses!$B$22:$N$169,8,FALSE)&lt;&gt;0,VLOOKUP($O13,Hypothèses!$B$22:$N$169,8,FALSE),"")</f>
        <v>Pressio.</v>
      </c>
      <c r="AG13" s="23">
        <f>VLOOKUP(AF13,Hypothèses!$AE$3:$AF$4,2,FALSE)</f>
        <v>1</v>
      </c>
    </row>
    <row r="14" spans="1:37">
      <c r="A14" t="s">
        <v>49</v>
      </c>
      <c r="C14" s="304"/>
      <c r="D14" s="285" t="s">
        <v>237</v>
      </c>
      <c r="G14" s="301" t="s">
        <v>239</v>
      </c>
      <c r="H14" s="302" t="s">
        <v>217</v>
      </c>
      <c r="K14" s="303"/>
      <c r="N14">
        <v>6</v>
      </c>
      <c r="O14" s="23">
        <f t="shared" si="3"/>
        <v>16</v>
      </c>
      <c r="P14" s="23">
        <f t="shared" si="5"/>
        <v>0</v>
      </c>
      <c r="Q14" s="23">
        <f>IF(VLOOKUP($O14,Hypothèses!$B$22:$N$169,3,FALSE)&lt;&gt;0,VLOOKUP($O14,Hypothèses!$B$22:$N$169,3,FALSE),0)</f>
        <v>0</v>
      </c>
      <c r="R14" s="23">
        <f t="shared" si="4"/>
        <v>100</v>
      </c>
      <c r="S14" s="23" t="str">
        <f>IF(VLOOKUP($O14,Hypothèses!$B$22:$N$169,4,FALSE)&lt;&gt;0,VLOOKUP($O14,Hypothèses!$B$22:$N$169,4,FALSE),"")</f>
        <v/>
      </c>
      <c r="T14" s="23" t="str">
        <f>IF(VLOOKUP($O14,Hypothèses!$B$22:$N$169,5,FALSE)&lt;&gt;0,VLOOKUP($O14,Hypothèses!$B$22:$N$169,5,FALSE),"")</f>
        <v/>
      </c>
      <c r="U14" s="23" t="e">
        <f t="array" ref="U14">INDEX(Hypothèses!$AF$8:$AG$14,MATCH(S14,Hypothèses!$AE$8:$AE$14,0),MATCH(AG14,Hypothèses!$AF$7:$AG$7,0))</f>
        <v>#N/A</v>
      </c>
      <c r="V14" s="28" t="e">
        <f t="array" ref="V14">INDEX('Coeff EC7'!$D$33:$Q$33,1,MATCH(AF14&amp;U14,'Coeff EC7'!$D$31:$Q$31&amp;'Coeff EC7'!$D$32:$Q$32,0))</f>
        <v>#N/A</v>
      </c>
      <c r="W14" s="28" t="e">
        <f t="array" ref="W14">INDEX('Coeff EC7'!$D$34:$Q$34,1,MATCH(AF14&amp;U14,'Coeff EC7'!$D$31:$Q$31&amp;'Coeff EC7'!$D$32:$Q$32,0))</f>
        <v>#N/A</v>
      </c>
      <c r="X14" s="28" t="e">
        <f t="array" ref="X14">INDEX('Coeff EC7'!$D$35:$Q$35,1,MATCH(AF14&amp;U14,'Coeff EC7'!$D$31:$Q$31&amp;'Coeff EC7'!$D$32:$Q$32,0))</f>
        <v>#N/A</v>
      </c>
      <c r="Y14" s="29" t="str">
        <f t="shared" si="0"/>
        <v/>
      </c>
      <c r="Z14" s="30" t="e">
        <f t="array" ref="Z14">INDEX('Coeff EC7'!$D$7:$Q$27,MATCH($P$6,'Coeff EC7'!$C$7:$C$27,0),MATCH(AF14&amp;U14,'Coeff EC7'!$D$5:$Q$5&amp;'Coeff EC7'!$D$6:$Q$6,0))</f>
        <v>#N/A</v>
      </c>
      <c r="AA14" s="31" t="str">
        <f t="shared" si="1"/>
        <v/>
      </c>
      <c r="AB14" s="30" t="e">
        <f t="array" ref="AB14">INDEX('Coeff EC7'!$D$41:$Q$61,MATCH($P$6,'Coeff EC7'!$C$41:$C$61,0),MATCH(AF14&amp;U14,'Coeff EC7'!$D$39:$Q$39&amp;'Coeff EC7'!$D$40:$Q$40,0))</f>
        <v>#N/A</v>
      </c>
      <c r="AC14" s="30" t="e">
        <f t="shared" si="2"/>
        <v>#N/A</v>
      </c>
      <c r="AD14" s="32" t="e">
        <f t="array" ref="AD14">IF($P$6=21,'Coeff EC7'!U113,INDEX('Coeff EC7'!$D$67:$Q$87,MATCH($P$6,'Coeff EC7'!$C$67:$C$87,0),MATCH(AF14&amp;U14,'Coeff EC7'!$D$65:$Q$65&amp;'Coeff EC7'!$D$66:$Q$66,0)))</f>
        <v>#N/A</v>
      </c>
      <c r="AE14" s="30" t="str">
        <f>IF(VLOOKUP($O14,Hypothèses!$B$22:$N$169,6,FALSE)&lt;&gt;0,VLOOKUP($O14,Hypothèses!$B$22:$N$169,6,FALSE),"")</f>
        <v/>
      </c>
      <c r="AF14" s="23" t="str">
        <f>IF(VLOOKUP($O14,Hypothèses!$B$22:$N$169,8,FALSE)&lt;&gt;0,VLOOKUP($O14,Hypothèses!$B$22:$N$169,8,FALSE),"")</f>
        <v/>
      </c>
      <c r="AG14" s="23" t="e">
        <f>VLOOKUP(AF14,Hypothèses!$AE$3:$AF$4,2,FALSE)</f>
        <v>#N/A</v>
      </c>
    </row>
    <row r="15" spans="1:37">
      <c r="A15" s="440" t="s">
        <v>316</v>
      </c>
      <c r="C15" s="305">
        <v>0</v>
      </c>
      <c r="D15" s="285" t="s">
        <v>237</v>
      </c>
      <c r="N15">
        <v>7</v>
      </c>
      <c r="O15" s="23">
        <f t="shared" si="3"/>
        <v>17</v>
      </c>
      <c r="P15" s="23">
        <f t="shared" si="5"/>
        <v>0</v>
      </c>
      <c r="Q15" s="23">
        <f>IF(VLOOKUP($O15,Hypothèses!$B$22:$N$169,3,FALSE)&lt;&gt;0,VLOOKUP($O15,Hypothèses!$B$22:$N$169,3,FALSE),0)</f>
        <v>0</v>
      </c>
      <c r="R15" s="23">
        <f t="shared" si="4"/>
        <v>100</v>
      </c>
      <c r="S15" s="23" t="str">
        <f>IF(VLOOKUP($O15,Hypothèses!$B$22:$N$169,4,FALSE)&lt;&gt;0,VLOOKUP($O15,Hypothèses!$B$22:$N$169,4,FALSE),"")</f>
        <v/>
      </c>
      <c r="T15" s="23" t="str">
        <f>IF(VLOOKUP($O15,Hypothèses!$B$22:$N$169,5,FALSE)&lt;&gt;0,VLOOKUP($O15,Hypothèses!$B$22:$N$169,5,FALSE),"")</f>
        <v/>
      </c>
      <c r="U15" s="23" t="e">
        <f t="array" ref="U15">INDEX(Hypothèses!$AF$8:$AG$14,MATCH(S15,Hypothèses!$AE$8:$AE$14,0),MATCH(AG15,Hypothèses!$AF$7:$AG$7,0))</f>
        <v>#N/A</v>
      </c>
      <c r="V15" s="28" t="e">
        <f t="array" ref="V15">INDEX('Coeff EC7'!$D$33:$Q$33,1,MATCH(AF15&amp;U15,'Coeff EC7'!$D$31:$Q$31&amp;'Coeff EC7'!$D$32:$Q$32,0))</f>
        <v>#N/A</v>
      </c>
      <c r="W15" s="28" t="e">
        <f t="array" ref="W15">INDEX('Coeff EC7'!$D$34:$Q$34,1,MATCH(AF15&amp;U15,'Coeff EC7'!$D$31:$Q$31&amp;'Coeff EC7'!$D$32:$Q$32,0))</f>
        <v>#N/A</v>
      </c>
      <c r="X15" s="28" t="e">
        <f t="array" ref="X15">INDEX('Coeff EC7'!$D$35:$Q$35,1,MATCH(AF15&amp;U15,'Coeff EC7'!$D$31:$Q$31&amp;'Coeff EC7'!$D$32:$Q$32,0))</f>
        <v>#N/A</v>
      </c>
      <c r="Y15" s="29" t="str">
        <f t="shared" si="0"/>
        <v/>
      </c>
      <c r="Z15" s="30" t="e">
        <f t="array" ref="Z15">INDEX('Coeff EC7'!$D$7:$Q$27,MATCH($P$6,'Coeff EC7'!$C$7:$C$27,0),MATCH(AF15&amp;U15,'Coeff EC7'!$D$5:$Q$5&amp;'Coeff EC7'!$D$6:$Q$6,0))</f>
        <v>#N/A</v>
      </c>
      <c r="AA15" s="31" t="str">
        <f t="shared" si="1"/>
        <v/>
      </c>
      <c r="AB15" s="30" t="e">
        <f t="array" ref="AB15">INDEX('Coeff EC7'!$D$41:$Q$61,MATCH($P$6,'Coeff EC7'!$C$41:$C$61,0),MATCH(AF15&amp;U15,'Coeff EC7'!$D$39:$Q$39&amp;'Coeff EC7'!$D$40:$Q$40,0))</f>
        <v>#N/A</v>
      </c>
      <c r="AC15" s="30" t="e">
        <f t="shared" si="2"/>
        <v>#N/A</v>
      </c>
      <c r="AD15" s="32" t="e">
        <f t="array" ref="AD15">IF($P$6=21,'Coeff EC7'!U114,INDEX('Coeff EC7'!$D$67:$Q$87,MATCH($P$6,'Coeff EC7'!$C$67:$C$87,0),MATCH(AF15&amp;U15,'Coeff EC7'!$D$65:$Q$65&amp;'Coeff EC7'!$D$66:$Q$66,0)))</f>
        <v>#N/A</v>
      </c>
      <c r="AE15" s="30" t="str">
        <f>IF(VLOOKUP($O15,Hypothèses!$B$22:$N$169,6,FALSE)&lt;&gt;0,VLOOKUP($O15,Hypothèses!$B$22:$N$169,6,FALSE),"")</f>
        <v/>
      </c>
      <c r="AF15" s="23" t="str">
        <f>IF(VLOOKUP($O15,Hypothèses!$B$22:$N$169,8,FALSE)&lt;&gt;0,VLOOKUP($O15,Hypothèses!$B$22:$N$169,8,FALSE),"")</f>
        <v/>
      </c>
      <c r="AG15" s="23" t="e">
        <f>VLOOKUP(AF15,Hypothèses!$AE$3:$AF$4,2,FALSE)</f>
        <v>#N/A</v>
      </c>
    </row>
    <row r="16" spans="1:37">
      <c r="A16" s="285" t="s">
        <v>240</v>
      </c>
      <c r="B16" s="305">
        <v>0</v>
      </c>
      <c r="C16" s="306" t="s">
        <v>237</v>
      </c>
      <c r="D16" s="308" t="s">
        <v>241</v>
      </c>
      <c r="E16" s="305"/>
      <c r="K16" s="303"/>
      <c r="N16">
        <v>8</v>
      </c>
      <c r="O16" s="23">
        <f t="shared" si="3"/>
        <v>18</v>
      </c>
      <c r="P16" s="23">
        <f t="shared" si="5"/>
        <v>0</v>
      </c>
      <c r="Q16" s="23">
        <f>IF(VLOOKUP($O16,Hypothèses!$B$22:$N$169,3,FALSE)&lt;&gt;0,VLOOKUP($O16,Hypothèses!$B$22:$N$169,3,FALSE),0)</f>
        <v>0</v>
      </c>
      <c r="R16" s="23">
        <f t="shared" si="4"/>
        <v>100</v>
      </c>
      <c r="S16" s="23" t="str">
        <f>IF(VLOOKUP($O16,Hypothèses!$B$22:$N$169,4,FALSE)&lt;&gt;0,VLOOKUP($O16,Hypothèses!$B$22:$N$169,4,FALSE),"")</f>
        <v/>
      </c>
      <c r="T16" s="23" t="str">
        <f>IF(VLOOKUP($O16,Hypothèses!$B$22:$N$169,5,FALSE)&lt;&gt;0,VLOOKUP($O16,Hypothèses!$B$22:$N$169,5,FALSE),"")</f>
        <v/>
      </c>
      <c r="U16" s="23" t="e">
        <f t="array" ref="U16">INDEX(Hypothèses!$AF$8:$AG$14,MATCH(S16,Hypothèses!$AE$8:$AE$14,0),MATCH(AG16,Hypothèses!$AF$7:$AG$7,0))</f>
        <v>#N/A</v>
      </c>
      <c r="V16" s="28" t="e">
        <f t="array" ref="V16">INDEX('Coeff EC7'!$D$33:$Q$33,1,MATCH(AF16&amp;U16,'Coeff EC7'!$D$31:$Q$31&amp;'Coeff EC7'!$D$32:$Q$32,0))</f>
        <v>#N/A</v>
      </c>
      <c r="W16" s="28" t="e">
        <f t="array" ref="W16">INDEX('Coeff EC7'!$D$34:$Q$34,1,MATCH(AF16&amp;U16,'Coeff EC7'!$D$31:$Q$31&amp;'Coeff EC7'!$D$32:$Q$32,0))</f>
        <v>#N/A</v>
      </c>
      <c r="X16" s="28" t="e">
        <f t="array" ref="X16">INDEX('Coeff EC7'!$D$35:$Q$35,1,MATCH(AF16&amp;U16,'Coeff EC7'!$D$31:$Q$31&amp;'Coeff EC7'!$D$32:$Q$32,0))</f>
        <v>#N/A</v>
      </c>
      <c r="Y16" s="29" t="str">
        <f t="shared" si="0"/>
        <v/>
      </c>
      <c r="Z16" s="30" t="e">
        <f t="array" ref="Z16">INDEX('Coeff EC7'!$D$7:$Q$27,MATCH($P$6,'Coeff EC7'!$C$7:$C$27,0),MATCH(AF16&amp;U16,'Coeff EC7'!$D$5:$Q$5&amp;'Coeff EC7'!$D$6:$Q$6,0))</f>
        <v>#N/A</v>
      </c>
      <c r="AA16" s="31" t="str">
        <f t="shared" si="1"/>
        <v/>
      </c>
      <c r="AB16" s="30" t="e">
        <f t="array" ref="AB16">INDEX('Coeff EC7'!$D$41:$Q$61,MATCH($P$6,'Coeff EC7'!$C$41:$C$61,0),MATCH(AF16&amp;U16,'Coeff EC7'!$D$39:$Q$39&amp;'Coeff EC7'!$D$40:$Q$40,0))</f>
        <v>#N/A</v>
      </c>
      <c r="AC16" s="30" t="e">
        <f t="shared" si="2"/>
        <v>#N/A</v>
      </c>
      <c r="AD16" s="32" t="e">
        <f t="array" ref="AD16">IF($P$6=21,'Coeff EC7'!U115,INDEX('Coeff EC7'!$D$67:$Q$87,MATCH($P$6,'Coeff EC7'!$C$67:$C$87,0),MATCH(AF16&amp;U16,'Coeff EC7'!$D$65:$Q$65&amp;'Coeff EC7'!$D$66:$Q$66,0)))</f>
        <v>#N/A</v>
      </c>
      <c r="AE16" s="30" t="str">
        <f>IF(VLOOKUP($O16,Hypothèses!$B$22:$N$169,6,FALSE)&lt;&gt;0,VLOOKUP($O16,Hypothèses!$B$22:$N$169,6,FALSE),"")</f>
        <v/>
      </c>
      <c r="AF16" s="23" t="str">
        <f>IF(VLOOKUP($O16,Hypothèses!$B$22:$N$169,8,FALSE)&lt;&gt;0,VLOOKUP($O16,Hypothèses!$B$22:$N$169,8,FALSE),"")</f>
        <v/>
      </c>
      <c r="AG16" s="23" t="e">
        <f>VLOOKUP(AF16,Hypothèses!$AE$3:$AF$4,2,FALSE)</f>
        <v>#N/A</v>
      </c>
    </row>
    <row r="17" spans="1:38">
      <c r="A17" t="s">
        <v>333</v>
      </c>
      <c r="C17" s="304">
        <v>0</v>
      </c>
      <c r="D17" s="285" t="s">
        <v>237</v>
      </c>
      <c r="E17" s="308"/>
      <c r="F17" s="307"/>
      <c r="K17" s="303"/>
      <c r="N17">
        <v>9</v>
      </c>
      <c r="O17" s="23">
        <f t="shared" si="3"/>
        <v>19</v>
      </c>
      <c r="P17" s="23">
        <f t="shared" si="5"/>
        <v>0</v>
      </c>
      <c r="Q17" s="23">
        <f>IF(VLOOKUP($O17,Hypothèses!$B$22:$N$169,3,FALSE)&lt;&gt;0,VLOOKUP($O17,Hypothèses!$B$22:$N$169,3,FALSE),0)</f>
        <v>0</v>
      </c>
      <c r="R17" s="23">
        <f t="shared" si="4"/>
        <v>100</v>
      </c>
      <c r="S17" s="23" t="str">
        <f>IF(VLOOKUP($O17,Hypothèses!$B$22:$N$169,4,FALSE)&lt;&gt;0,VLOOKUP($O17,Hypothèses!$B$22:$N$169,4,FALSE),"")</f>
        <v/>
      </c>
      <c r="T17" s="23" t="str">
        <f>IF(VLOOKUP($O17,Hypothèses!$B$22:$N$169,5,FALSE)&lt;&gt;0,VLOOKUP($O17,Hypothèses!$B$22:$N$169,5,FALSE),"")</f>
        <v/>
      </c>
      <c r="U17" s="23" t="e">
        <f t="array" ref="U17">INDEX(Hypothèses!$AF$8:$AG$14,MATCH(S17,Hypothèses!$AE$8:$AE$14,0),MATCH(AG17,Hypothèses!$AF$7:$AG$7,0))</f>
        <v>#N/A</v>
      </c>
      <c r="V17" s="28" t="e">
        <f t="array" ref="V17">INDEX('Coeff EC7'!$D$33:$Q$33,1,MATCH(AF17&amp;U17,'Coeff EC7'!$D$31:$Q$31&amp;'Coeff EC7'!$D$32:$Q$32,0))</f>
        <v>#N/A</v>
      </c>
      <c r="W17" s="28" t="e">
        <f t="array" ref="W17">INDEX('Coeff EC7'!$D$34:$Q$34,1,MATCH(AF17&amp;U17,'Coeff EC7'!$D$31:$Q$31&amp;'Coeff EC7'!$D$32:$Q$32,0))</f>
        <v>#N/A</v>
      </c>
      <c r="X17" s="28" t="e">
        <f t="array" ref="X17">INDEX('Coeff EC7'!$D$35:$Q$35,1,MATCH(AF17&amp;U17,'Coeff EC7'!$D$31:$Q$31&amp;'Coeff EC7'!$D$32:$Q$32,0))</f>
        <v>#N/A</v>
      </c>
      <c r="Y17" s="29" t="str">
        <f t="shared" si="0"/>
        <v/>
      </c>
      <c r="Z17" s="30" t="e">
        <f t="array" ref="Z17">INDEX('Coeff EC7'!$D$7:$Q$27,MATCH($P$6,'Coeff EC7'!$C$7:$C$27,0),MATCH(AF17&amp;U17,'Coeff EC7'!$D$5:$Q$5&amp;'Coeff EC7'!$D$6:$Q$6,0))</f>
        <v>#N/A</v>
      </c>
      <c r="AA17" s="31" t="str">
        <f t="shared" si="1"/>
        <v/>
      </c>
      <c r="AB17" s="30" t="e">
        <f t="array" ref="AB17">INDEX('Coeff EC7'!$D$41:$Q$61,MATCH($P$6,'Coeff EC7'!$C$41:$C$61,0),MATCH(AF17&amp;U17,'Coeff EC7'!$D$39:$Q$39&amp;'Coeff EC7'!$D$40:$Q$40,0))</f>
        <v>#N/A</v>
      </c>
      <c r="AC17" s="30" t="e">
        <f t="shared" si="2"/>
        <v>#N/A</v>
      </c>
      <c r="AD17" s="32" t="e">
        <f t="array" ref="AD17">IF($P$6=21,'Coeff EC7'!U116,INDEX('Coeff EC7'!$D$67:$Q$87,MATCH($P$6,'Coeff EC7'!$C$67:$C$87,0),MATCH(AF17&amp;U17,'Coeff EC7'!$D$65:$Q$65&amp;'Coeff EC7'!$D$66:$Q$66,0)))</f>
        <v>#N/A</v>
      </c>
      <c r="AE17" s="30" t="str">
        <f>IF(VLOOKUP($O17,Hypothèses!$B$22:$N$169,6,FALSE)&lt;&gt;0,VLOOKUP($O17,Hypothèses!$B$22:$N$169,6,FALSE),"")</f>
        <v/>
      </c>
      <c r="AF17" s="23" t="str">
        <f>IF(VLOOKUP($O17,Hypothèses!$B$22:$N$169,8,FALSE)&lt;&gt;0,VLOOKUP($O17,Hypothèses!$B$22:$N$169,8,FALSE),"")</f>
        <v/>
      </c>
      <c r="AG17" s="23" t="e">
        <f>VLOOKUP(AF17,Hypothèses!$AE$3:$AF$4,2,FALSE)</f>
        <v>#N/A</v>
      </c>
    </row>
    <row r="18" spans="1:38">
      <c r="A18" t="s">
        <v>334</v>
      </c>
      <c r="C18" s="304">
        <v>0</v>
      </c>
      <c r="D18" s="285" t="s">
        <v>237</v>
      </c>
      <c r="E18" t="s">
        <v>335</v>
      </c>
      <c r="G18" s="305">
        <v>0</v>
      </c>
      <c r="H18" s="285" t="s">
        <v>237</v>
      </c>
      <c r="K18" s="303"/>
      <c r="N18">
        <v>10</v>
      </c>
      <c r="O18" s="23">
        <f t="shared" si="3"/>
        <v>110</v>
      </c>
      <c r="P18" s="23">
        <f t="shared" si="5"/>
        <v>0</v>
      </c>
      <c r="Q18" s="23">
        <f>IF(VLOOKUP($O18,Hypothèses!$B$22:$N$169,3,FALSE)&lt;&gt;0,VLOOKUP($O18,Hypothèses!$B$22:$N$169,3,FALSE),0)</f>
        <v>0</v>
      </c>
      <c r="R18" s="23">
        <f t="shared" si="4"/>
        <v>100</v>
      </c>
      <c r="S18" s="23" t="str">
        <f>IF(VLOOKUP($O18,Hypothèses!$B$22:$N$169,4,FALSE)&lt;&gt;0,VLOOKUP($O18,Hypothèses!$B$22:$N$169,4,FALSE),"")</f>
        <v/>
      </c>
      <c r="T18" s="23" t="str">
        <f>IF(VLOOKUP($O18,Hypothèses!$B$22:$N$169,5,FALSE)&lt;&gt;0,VLOOKUP($O18,Hypothèses!$B$22:$N$169,5,FALSE),"")</f>
        <v/>
      </c>
      <c r="U18" s="23" t="e">
        <f t="array" ref="U18">INDEX(Hypothèses!$AF$8:$AG$14,MATCH(S18,Hypothèses!$AE$8:$AE$14,0),MATCH(AG18,Hypothèses!$AF$7:$AG$7,0))</f>
        <v>#N/A</v>
      </c>
      <c r="V18" s="28" t="e">
        <f t="array" ref="V18">INDEX('Coeff EC7'!$D$33:$Q$33,1,MATCH(AF18&amp;U18,'Coeff EC7'!$D$31:$Q$31&amp;'Coeff EC7'!$D$32:$Q$32,0))</f>
        <v>#N/A</v>
      </c>
      <c r="W18" s="28" t="e">
        <f t="array" ref="W18">INDEX('Coeff EC7'!$D$34:$Q$34,1,MATCH(AF18&amp;U18,'Coeff EC7'!$D$31:$Q$31&amp;'Coeff EC7'!$D$32:$Q$32,0))</f>
        <v>#N/A</v>
      </c>
      <c r="X18" s="28" t="e">
        <f t="array" ref="X18">INDEX('Coeff EC7'!$D$35:$Q$35,1,MATCH(AF18&amp;U18,'Coeff EC7'!$D$31:$Q$31&amp;'Coeff EC7'!$D$32:$Q$32,0))</f>
        <v>#N/A</v>
      </c>
      <c r="Y18" s="29" t="str">
        <f t="shared" si="0"/>
        <v/>
      </c>
      <c r="Z18" s="30" t="e">
        <f t="array" ref="Z18">INDEX('Coeff EC7'!$D$7:$Q$27,MATCH($P$6,'Coeff EC7'!$C$7:$C$27,0),MATCH(AF18&amp;U18,'Coeff EC7'!$D$5:$Q$5&amp;'Coeff EC7'!$D$6:$Q$6,0))</f>
        <v>#N/A</v>
      </c>
      <c r="AA18" s="31" t="str">
        <f t="shared" si="1"/>
        <v/>
      </c>
      <c r="AB18" s="30" t="e">
        <f t="array" ref="AB18">INDEX('Coeff EC7'!$D$41:$Q$61,MATCH($P$6,'Coeff EC7'!$C$41:$C$61,0),MATCH(AF18&amp;U18,'Coeff EC7'!$D$39:$Q$39&amp;'Coeff EC7'!$D$40:$Q$40,0))</f>
        <v>#N/A</v>
      </c>
      <c r="AC18" s="30" t="e">
        <f t="shared" si="2"/>
        <v>#N/A</v>
      </c>
      <c r="AD18" s="32" t="e">
        <f t="array" ref="AD18">IF($P$6=21,'Coeff EC7'!U117,INDEX('Coeff EC7'!$D$67:$Q$87,MATCH($P$6,'Coeff EC7'!$C$67:$C$87,0),MATCH(AF18&amp;U18,'Coeff EC7'!$D$65:$Q$65&amp;'Coeff EC7'!$D$66:$Q$66,0)))</f>
        <v>#N/A</v>
      </c>
      <c r="AE18" s="30" t="str">
        <f>IF(VLOOKUP($O18,Hypothèses!$B$22:$N$169,6,FALSE)&lt;&gt;0,VLOOKUP($O18,Hypothèses!$B$22:$N$169,6,FALSE),"")</f>
        <v/>
      </c>
      <c r="AF18" s="23" t="str">
        <f>IF(VLOOKUP($O18,Hypothèses!$B$22:$N$169,8,FALSE)&lt;&gt;0,VLOOKUP($O18,Hypothèses!$B$22:$N$169,8,FALSE),"")</f>
        <v/>
      </c>
      <c r="AG18" s="23" t="e">
        <f>VLOOKUP(AF18,Hypothèses!$AE$3:$AF$4,2,FALSE)</f>
        <v>#N/A</v>
      </c>
    </row>
    <row r="19" spans="1:38">
      <c r="A19" s="285" t="s">
        <v>242</v>
      </c>
      <c r="C19" s="304">
        <v>0</v>
      </c>
      <c r="D19" s="285" t="s">
        <v>237</v>
      </c>
      <c r="E19" s="285" t="s">
        <v>243</v>
      </c>
      <c r="G19" s="270">
        <v>30</v>
      </c>
      <c r="H19" s="285" t="s">
        <v>244</v>
      </c>
      <c r="N19">
        <v>11</v>
      </c>
      <c r="O19" s="23">
        <f t="shared" si="3"/>
        <v>111</v>
      </c>
      <c r="P19" s="23">
        <f t="shared" si="5"/>
        <v>0</v>
      </c>
      <c r="Q19" s="23">
        <f>IF(VLOOKUP($O19,Hypothèses!$B$22:$N$169,3,FALSE)&lt;&gt;0,VLOOKUP($O19,Hypothèses!$B$22:$N$169,3,FALSE),0)</f>
        <v>0</v>
      </c>
      <c r="R19" s="23">
        <f t="shared" si="4"/>
        <v>100</v>
      </c>
      <c r="S19" s="23" t="str">
        <f>IF(VLOOKUP($O19,Hypothèses!$B$22:$N$169,4,FALSE)&lt;&gt;0,VLOOKUP($O19,Hypothèses!$B$22:$N$169,4,FALSE),"")</f>
        <v/>
      </c>
      <c r="T19" s="23" t="str">
        <f>IF(VLOOKUP($O19,Hypothèses!$B$22:$N$169,5,FALSE)&lt;&gt;0,VLOOKUP($O19,Hypothèses!$B$22:$N$169,5,FALSE),"")</f>
        <v/>
      </c>
      <c r="U19" s="23" t="e">
        <f t="array" ref="U19">INDEX(Hypothèses!$AF$8:$AG$14,MATCH(S19,Hypothèses!$AE$8:$AE$14,0),MATCH(AG19,Hypothèses!$AF$7:$AG$7,0))</f>
        <v>#N/A</v>
      </c>
      <c r="V19" s="28" t="e">
        <f t="array" ref="V19">INDEX('Coeff EC7'!$D$33:$Q$33,1,MATCH(AF19&amp;U19,'Coeff EC7'!$D$31:$Q$31&amp;'Coeff EC7'!$D$32:$Q$32,0))</f>
        <v>#N/A</v>
      </c>
      <c r="W19" s="28" t="e">
        <f t="array" ref="W19">INDEX('Coeff EC7'!$D$34:$Q$34,1,MATCH(AF19&amp;U19,'Coeff EC7'!$D$31:$Q$31&amp;'Coeff EC7'!$D$32:$Q$32,0))</f>
        <v>#N/A</v>
      </c>
      <c r="X19" s="28" t="e">
        <f t="array" ref="X19">INDEX('Coeff EC7'!$D$35:$Q$35,1,MATCH(AF19&amp;U19,'Coeff EC7'!$D$31:$Q$31&amp;'Coeff EC7'!$D$32:$Q$32,0))</f>
        <v>#N/A</v>
      </c>
      <c r="Y19" s="29" t="str">
        <f t="shared" si="0"/>
        <v/>
      </c>
      <c r="Z19" s="30" t="e">
        <f t="array" ref="Z19">INDEX('Coeff EC7'!$D$7:$Q$27,MATCH($P$6,'Coeff EC7'!$C$7:$C$27,0),MATCH(AF19&amp;U19,'Coeff EC7'!$D$5:$Q$5&amp;'Coeff EC7'!$D$6:$Q$6,0))</f>
        <v>#N/A</v>
      </c>
      <c r="AA19" s="31" t="str">
        <f t="shared" si="1"/>
        <v/>
      </c>
      <c r="AB19" s="30" t="e">
        <f t="array" ref="AB19">INDEX('Coeff EC7'!$D$41:$Q$61,MATCH($P$6,'Coeff EC7'!$C$41:$C$61,0),MATCH(AF19&amp;U19,'Coeff EC7'!$D$39:$Q$39&amp;'Coeff EC7'!$D$40:$Q$40,0))</f>
        <v>#N/A</v>
      </c>
      <c r="AC19" s="30" t="e">
        <f t="shared" si="2"/>
        <v>#N/A</v>
      </c>
      <c r="AD19" s="32" t="e">
        <f t="array" ref="AD19">IF($P$6=21,'Coeff EC7'!U118,INDEX('Coeff EC7'!$D$67:$Q$87,MATCH($P$6,'Coeff EC7'!$C$67:$C$87,0),MATCH(AF19&amp;U19,'Coeff EC7'!$D$65:$Q$65&amp;'Coeff EC7'!$D$66:$Q$66,0)))</f>
        <v>#N/A</v>
      </c>
      <c r="AE19" s="30" t="str">
        <f>IF(VLOOKUP($O19,Hypothèses!$B$22:$N$169,6,FALSE)&lt;&gt;0,VLOOKUP($O19,Hypothèses!$B$22:$N$169,6,FALSE),"")</f>
        <v/>
      </c>
      <c r="AF19" s="23" t="str">
        <f>IF(VLOOKUP($O19,Hypothèses!$B$22:$N$169,8,FALSE)&lt;&gt;0,VLOOKUP($O19,Hypothèses!$B$22:$N$169,8,FALSE),"")</f>
        <v/>
      </c>
      <c r="AG19" s="23" t="e">
        <f>VLOOKUP(AF19,Hypothèses!$AE$3:$AF$4,2,FALSE)</f>
        <v>#N/A</v>
      </c>
    </row>
    <row r="20" spans="1:38">
      <c r="A20" t="s">
        <v>41</v>
      </c>
      <c r="C20" s="270">
        <v>1</v>
      </c>
      <c r="E20"/>
      <c r="G20" s="270"/>
      <c r="H20" s="309"/>
      <c r="N20">
        <v>12</v>
      </c>
      <c r="O20" s="23">
        <f t="shared" si="3"/>
        <v>112</v>
      </c>
      <c r="P20" s="23">
        <f t="shared" si="5"/>
        <v>0</v>
      </c>
      <c r="Q20" s="23">
        <f>IF(VLOOKUP($O20,Hypothèses!$B$22:$N$169,3,FALSE)&lt;&gt;0,VLOOKUP($O20,Hypothèses!$B$22:$N$169,3,FALSE),0)</f>
        <v>0</v>
      </c>
      <c r="R20" s="23">
        <f t="shared" si="4"/>
        <v>100</v>
      </c>
      <c r="S20" s="23" t="str">
        <f>IF(VLOOKUP($O20,Hypothèses!$B$22:$N$169,4,FALSE)&lt;&gt;0,VLOOKUP($O20,Hypothèses!$B$22:$N$169,4,FALSE),"")</f>
        <v/>
      </c>
      <c r="T20" s="23" t="str">
        <f>IF(VLOOKUP($O20,Hypothèses!$B$22:$N$169,5,FALSE)&lt;&gt;0,VLOOKUP($O20,Hypothèses!$B$22:$N$169,5,FALSE),"")</f>
        <v/>
      </c>
      <c r="U20" s="23" t="e">
        <f t="array" ref="U20">INDEX(Hypothèses!$AF$8:$AG$14,MATCH(S20,Hypothèses!$AE$8:$AE$14,0),MATCH(AG20,Hypothèses!$AF$7:$AG$7,0))</f>
        <v>#N/A</v>
      </c>
      <c r="V20" s="28" t="e">
        <f t="array" ref="V20">INDEX('Coeff EC7'!$D$33:$Q$33,1,MATCH(AF20&amp;U20,'Coeff EC7'!$D$31:$Q$31&amp;'Coeff EC7'!$D$32:$Q$32,0))</f>
        <v>#N/A</v>
      </c>
      <c r="W20" s="28" t="e">
        <f t="array" ref="W20">INDEX('Coeff EC7'!$D$34:$Q$34,1,MATCH(AF20&amp;U20,'Coeff EC7'!$D$31:$Q$31&amp;'Coeff EC7'!$D$32:$Q$32,0))</f>
        <v>#N/A</v>
      </c>
      <c r="X20" s="28" t="e">
        <f t="array" ref="X20">INDEX('Coeff EC7'!$D$35:$Q$35,1,MATCH(AF20&amp;U20,'Coeff EC7'!$D$31:$Q$31&amp;'Coeff EC7'!$D$32:$Q$32,0))</f>
        <v>#N/A</v>
      </c>
      <c r="Y20" s="29" t="str">
        <f t="shared" si="0"/>
        <v/>
      </c>
      <c r="Z20" s="30" t="e">
        <f t="array" ref="Z20">INDEX('Coeff EC7'!$D$7:$Q$27,MATCH($P$6,'Coeff EC7'!$C$7:$C$27,0),MATCH(AF20&amp;U20,'Coeff EC7'!$D$5:$Q$5&amp;'Coeff EC7'!$D$6:$Q$6,0))</f>
        <v>#N/A</v>
      </c>
      <c r="AA20" s="31" t="str">
        <f t="shared" si="1"/>
        <v/>
      </c>
      <c r="AB20" s="30" t="e">
        <f t="array" ref="AB20">INDEX('Coeff EC7'!$D$41:$Q$61,MATCH($P$6,'Coeff EC7'!$C$41:$C$61,0),MATCH(AF20&amp;U20,'Coeff EC7'!$D$39:$Q$39&amp;'Coeff EC7'!$D$40:$Q$40,0))</f>
        <v>#N/A</v>
      </c>
      <c r="AC20" s="30" t="e">
        <f t="shared" si="2"/>
        <v>#N/A</v>
      </c>
      <c r="AD20" s="32" t="e">
        <f t="array" ref="AD20">IF($P$6=21,'Coeff EC7'!#REF!,INDEX('Coeff EC7'!$D$67:$Q$87,MATCH($P$6,'Coeff EC7'!$C$67:$C$87,0),MATCH(AF20&amp;U20,'Coeff EC7'!$D$65:$Q$65&amp;'Coeff EC7'!$D$66:$Q$66,0)))</f>
        <v>#N/A</v>
      </c>
      <c r="AE20" s="30" t="str">
        <f>IF(VLOOKUP($O20,Hypothèses!$B$22:$N$169,6,FALSE)&lt;&gt;0,VLOOKUP($O20,Hypothèses!$B$22:$N$169,6,FALSE),"")</f>
        <v/>
      </c>
      <c r="AF20" s="23" t="str">
        <f>IF(VLOOKUP($O20,Hypothèses!$B$22:$N$169,8,FALSE)&lt;&gt;0,VLOOKUP($O20,Hypothèses!$B$22:$N$169,8,FALSE),"")</f>
        <v/>
      </c>
      <c r="AG20" s="23" t="e">
        <f>VLOOKUP(AF20,Hypothèses!$AE$3:$AF$4,2,FALSE)</f>
        <v>#N/A</v>
      </c>
    </row>
    <row r="21" spans="1:38">
      <c r="A21" t="s">
        <v>71</v>
      </c>
      <c r="C21" s="270">
        <v>1</v>
      </c>
      <c r="E21"/>
      <c r="G21" s="439"/>
      <c r="H21" s="309"/>
    </row>
    <row r="22" spans="1:38">
      <c r="A22" s="285" t="s">
        <v>245</v>
      </c>
      <c r="C22" s="409">
        <f>S6</f>
        <v>0</v>
      </c>
      <c r="D22" s="310"/>
      <c r="E22" s="310"/>
      <c r="F22" s="310"/>
      <c r="G22" s="311" t="s">
        <v>246</v>
      </c>
      <c r="H22" s="469">
        <f>VLOOKUP(Mod,p_ancrage,2,0)</f>
        <v>0</v>
      </c>
    </row>
    <row r="23" spans="1:38" ht="15" thickBot="1">
      <c r="A23" s="312" t="s">
        <v>247</v>
      </c>
      <c r="B23" s="308"/>
      <c r="C23" s="410">
        <f>$P$7</f>
        <v>100</v>
      </c>
      <c r="D23" s="285" t="str">
        <f>IF(C23&lt;&gt;0, "NGF", "local")</f>
        <v>NGF</v>
      </c>
      <c r="G23" s="311" t="str">
        <f>IF(H23="","",D81)</f>
        <v/>
      </c>
      <c r="H23" s="450" t="str">
        <f>IF(F81="","",F81)</f>
        <v/>
      </c>
      <c r="AD23" s="527" t="s">
        <v>332</v>
      </c>
      <c r="AE23" s="528"/>
      <c r="AF23" s="528"/>
      <c r="AG23" s="528"/>
      <c r="AH23" s="527" t="s">
        <v>339</v>
      </c>
      <c r="AI23" s="528"/>
      <c r="AJ23" s="528"/>
      <c r="AK23" s="528"/>
    </row>
    <row r="24" spans="1:38" ht="15" thickBot="1">
      <c r="A24" s="535" t="s">
        <v>248</v>
      </c>
      <c r="B24" s="536"/>
      <c r="C24" s="268" t="s">
        <v>249</v>
      </c>
      <c r="D24" s="268" t="s">
        <v>250</v>
      </c>
      <c r="E24" s="537" t="s">
        <v>163</v>
      </c>
      <c r="F24" s="537"/>
      <c r="G24" s="313" t="s">
        <v>357</v>
      </c>
      <c r="H24" s="314" t="str">
        <f>IF(AF9="Pressio.","Kp","Kc")</f>
        <v>Kp</v>
      </c>
      <c r="P24" s="331"/>
      <c r="Q24" s="331" t="str">
        <f>Hypothèses!AC23</f>
        <v>Psi 2</v>
      </c>
      <c r="R24" s="331" t="str">
        <f>Hypothèses!AD23</f>
        <v>Psi 0</v>
      </c>
      <c r="T24" s="303"/>
      <c r="U24" s="303" t="str">
        <f>Model0.1C!AK1</f>
        <v>profondeur</v>
      </c>
      <c r="V24" s="303" t="str">
        <f>Model0.1C!AL1</f>
        <v>ELSqp</v>
      </c>
      <c r="W24" s="303" t="str">
        <f>Model0.1C!AM1</f>
        <v>ELSc</v>
      </c>
      <c r="X24" s="303" t="str">
        <f>Model0.1C!AN1</f>
        <v>ELUF</v>
      </c>
      <c r="Y24" s="303" t="str">
        <f>Model0.1C!AO1</f>
        <v>ELA</v>
      </c>
      <c r="Z24" s="303" t="str">
        <f>Model0.1C!AP1</f>
        <v>kp</v>
      </c>
      <c r="AC24" s="285" t="s">
        <v>312</v>
      </c>
      <c r="AD24" s="285" t="s">
        <v>313</v>
      </c>
      <c r="AE24" s="285" t="s">
        <v>314</v>
      </c>
      <c r="AF24" s="285" t="s">
        <v>315</v>
      </c>
      <c r="AG24" s="285" t="s">
        <v>316</v>
      </c>
      <c r="AH24" s="285" t="s">
        <v>313</v>
      </c>
      <c r="AI24" s="285" t="s">
        <v>314</v>
      </c>
      <c r="AJ24" s="285" t="s">
        <v>315</v>
      </c>
      <c r="AK24" s="285" t="s">
        <v>316</v>
      </c>
      <c r="AL24" t="s">
        <v>317</v>
      </c>
    </row>
    <row r="25" spans="1:38">
      <c r="A25" s="315">
        <v>1</v>
      </c>
      <c r="B25" s="316"/>
      <c r="C25" s="403">
        <f>IF($A25&lt;&gt;"",VLOOKUP($A25,$N$9:$AG$20,5,0),"")</f>
        <v>100</v>
      </c>
      <c r="D25" s="404" t="str">
        <f>IF($A25&lt;&gt;"",VLOOKUP($A25,$N$9:$AG$20,7,0),"")</f>
        <v/>
      </c>
      <c r="E25" s="534" t="str">
        <f>IF($A25&lt;&gt;"",VLOOKUP($A25,$N$9:$AG$20,6,0),"")</f>
        <v/>
      </c>
      <c r="F25" s="534" t="str">
        <f t="shared" ref="F25:F36" si="6">IF($A$25&lt;&gt;"",VLOOKUP($A$25,$N$9:$AG$20,7,0),"")</f>
        <v/>
      </c>
      <c r="G25" s="317" t="e">
        <f>IF($A25&lt;&gt;"",VLOOKUP($A25,$N$9:$AG$20,16,0),"")</f>
        <v>#N/A</v>
      </c>
      <c r="H25" s="318" t="e">
        <f ca="1">IF(A25="","",IF(VLOOKUP(A25,$N$9:$AG$20,2,0)=OFFSET(Model0.1C!$C$13, 10*longueur, 0),VLOOKUP(diam,portance,11,0), ""))</f>
        <v>#N/A</v>
      </c>
      <c r="P25" s="331" t="str">
        <f>Hypothèses!AB24</f>
        <v>Habitation</v>
      </c>
      <c r="Q25" s="331">
        <f>Hypothèses!AC24</f>
        <v>0.3</v>
      </c>
      <c r="R25" s="331">
        <f>Hypothèses!AD24</f>
        <v>0.7</v>
      </c>
      <c r="T25" s="303">
        <f>Model0.1C!AJ2</f>
        <v>0.42</v>
      </c>
      <c r="U25" s="303" t="e">
        <f ca="1">Model0.1C!AK2</f>
        <v>#N/A</v>
      </c>
      <c r="V25" s="303" t="e">
        <f ca="1">Model0.1C!AL2</f>
        <v>#N/A</v>
      </c>
      <c r="W25" s="303" t="e">
        <f ca="1">Model0.1C!AM2</f>
        <v>#N/A</v>
      </c>
      <c r="X25" s="303" t="e">
        <f ca="1">Model0.1C!AN2</f>
        <v>#N/A</v>
      </c>
      <c r="Y25" s="303" t="e">
        <f ca="1">Model0.1C!AO2</f>
        <v>#N/A</v>
      </c>
      <c r="Z25" s="303" t="e">
        <f ca="1">Model0.1C!AP2</f>
        <v>#N/A</v>
      </c>
      <c r="AB25" s="303">
        <f>T25</f>
        <v>0.42</v>
      </c>
      <c r="AC25" s="303" t="e">
        <f ca="1">ROUND(MAX(U25,U47),2)</f>
        <v>#N/A</v>
      </c>
      <c r="AD25" s="303" t="e">
        <f ca="1">OFFSET(Model0.1C!AF$13,10*NDC!$AC$25,0)</f>
        <v>#N/A</v>
      </c>
      <c r="AE25" s="303" t="e">
        <f ca="1">OFFSET(Model0.1C!AG$13,10*NDC!$AC$25,0)</f>
        <v>#N/A</v>
      </c>
      <c r="AF25" s="303" t="e">
        <f ca="1">OFFSET(Model0.1C!AH$13,10*NDC!$AC$25,0)</f>
        <v>#N/A</v>
      </c>
      <c r="AG25" s="303" t="e">
        <f ca="1">OFFSET(Model0.1C!AI$13,10*NDC!$AC$25,0)</f>
        <v>#N/A</v>
      </c>
      <c r="AH25" s="303" t="e">
        <f ca="1">OFFSET(Model0.1T!AF$13,10*NDC!$AC$25,0)</f>
        <v>#N/A</v>
      </c>
      <c r="AI25" s="303" t="e">
        <f ca="1">OFFSET(Model0.1T!AG$13,10*NDC!$AC$25,0)</f>
        <v>#N/A</v>
      </c>
      <c r="AJ25" s="303" t="e">
        <f ca="1">OFFSET(Model0.1T!AH$13,10*NDC!$AC$25,0)</f>
        <v>#N/A</v>
      </c>
      <c r="AK25" s="303" t="e">
        <f ca="1">OFFSET(Model0.1T!AI$13,10*NDC!$AC$25,0)</f>
        <v>#N/A</v>
      </c>
      <c r="AL25" s="303" t="e">
        <f ca="1">OFFSET(Model0.1C!AA$13,10*NDC!$AC25,0)</f>
        <v>#N/A</v>
      </c>
    </row>
    <row r="26" spans="1:38">
      <c r="A26" s="319" t="str">
        <f>IF(C22&gt;=2,2,"")</f>
        <v/>
      </c>
      <c r="B26" s="320"/>
      <c r="C26" s="405" t="str">
        <f t="shared" ref="C26:C36" si="7">IF($A26&lt;&gt;"",VLOOKUP($A26,$N$9:$AG$20,5,0),"")</f>
        <v/>
      </c>
      <c r="D26" s="406" t="str">
        <f t="shared" ref="D26:D36" si="8">IF($A26&lt;&gt;"",VLOOKUP($A26,$N$9:$AG$20,7,0),"")</f>
        <v/>
      </c>
      <c r="E26" s="533" t="str">
        <f t="shared" ref="E26:E36" si="9">IF($A26&lt;&gt;"",VLOOKUP($A26,$N$9:$AG$20,6,0),"")</f>
        <v/>
      </c>
      <c r="F26" s="533" t="str">
        <f t="shared" si="6"/>
        <v/>
      </c>
      <c r="G26" s="321" t="str">
        <f t="shared" ref="G26:G36" si="10">IF($A26&lt;&gt;"",VLOOKUP($A26,$N$9:$AG$20,16,0),"")</f>
        <v/>
      </c>
      <c r="H26" s="322" t="str">
        <f ca="1">IF(A26="","",IF(VLOOKUP(A26,$N$9:$AG$20,2,0)=OFFSET(Model0.1C!$C$13, 10*longueur, 0),VLOOKUP(diam,portance,11,0), ""))</f>
        <v/>
      </c>
      <c r="I26" s="303" t="e">
        <f ca="1">MAX(H25:H36)</f>
        <v>#N/A</v>
      </c>
      <c r="J26" s="303"/>
      <c r="P26" s="331" t="str">
        <f>Hypothèses!AB25</f>
        <v>Bureaux</v>
      </c>
      <c r="Q26" s="331">
        <f>Hypothèses!AC25</f>
        <v>0.3</v>
      </c>
      <c r="R26" s="331">
        <f>Hypothèses!AD25</f>
        <v>0.7</v>
      </c>
      <c r="T26" s="303">
        <f>Model0.1C!AJ3</f>
        <v>0.52</v>
      </c>
      <c r="U26" s="303" t="e">
        <f ca="1">Model0.1C!AK3</f>
        <v>#N/A</v>
      </c>
      <c r="V26" s="303" t="e">
        <f ca="1">Model0.1C!AL3</f>
        <v>#N/A</v>
      </c>
      <c r="W26" s="303" t="e">
        <f ca="1">Model0.1C!AM3</f>
        <v>#N/A</v>
      </c>
      <c r="X26" s="303" t="e">
        <f ca="1">Model0.1C!AN3</f>
        <v>#N/A</v>
      </c>
      <c r="Y26" s="303" t="e">
        <f ca="1">Model0.1C!AO3</f>
        <v>#N/A</v>
      </c>
      <c r="Z26" s="303" t="e">
        <f ca="1">Model0.1C!AP3</f>
        <v>#N/A</v>
      </c>
      <c r="AB26" s="303">
        <f t="shared" ref="AB26:AB32" si="11">T26</f>
        <v>0.52</v>
      </c>
      <c r="AC26" s="303" t="e">
        <f t="shared" ref="AC26:AC32" ca="1" si="12">ROUND(MAX(U26,U48),2)</f>
        <v>#N/A</v>
      </c>
      <c r="AD26" s="303" t="e">
        <f ca="1">OFFSET(Model0.1C!AY$13,10*NDC!$AC$26,0)</f>
        <v>#N/A</v>
      </c>
      <c r="AE26" s="303" t="e">
        <f ca="1">OFFSET(Model0.1C!AZ$13,10*NDC!$AC$26,0)</f>
        <v>#N/A</v>
      </c>
      <c r="AF26" s="303" t="e">
        <f ca="1">OFFSET(Model0.1C!BA$13,10*NDC!$AC$26,0)</f>
        <v>#N/A</v>
      </c>
      <c r="AG26" s="303" t="e">
        <f ca="1">OFFSET(Model0.1C!BB$13,10*NDC!$AC$26,0)</f>
        <v>#N/A</v>
      </c>
      <c r="AH26" s="303" t="e">
        <f ca="1">OFFSET(Model0.1T!AY$13,10*NDC!$AC$26,0)</f>
        <v>#N/A</v>
      </c>
      <c r="AI26" s="303" t="e">
        <f ca="1">OFFSET(Model0.1T!AZ$13,10*NDC!$AC$26,0)</f>
        <v>#N/A</v>
      </c>
      <c r="AJ26" s="303" t="e">
        <f ca="1">OFFSET(Model0.1T!BA$13,10*NDC!$AC$26,0)</f>
        <v>#N/A</v>
      </c>
      <c r="AK26" s="303" t="e">
        <f ca="1">OFFSET(Model0.1T!BB$13,10*NDC!$AC$26,0)</f>
        <v>#N/A</v>
      </c>
      <c r="AL26" s="303" t="e">
        <f ca="1">OFFSET(Model0.1C!AT$13,10*NDC!$AC26,0)</f>
        <v>#N/A</v>
      </c>
    </row>
    <row r="27" spans="1:38">
      <c r="A27" s="319" t="str">
        <f>IF(C22&gt;=3,3,"")</f>
        <v/>
      </c>
      <c r="B27" s="320"/>
      <c r="C27" s="405" t="str">
        <f t="shared" si="7"/>
        <v/>
      </c>
      <c r="D27" s="406" t="str">
        <f t="shared" si="8"/>
        <v/>
      </c>
      <c r="E27" s="533" t="str">
        <f t="shared" si="9"/>
        <v/>
      </c>
      <c r="F27" s="533" t="str">
        <f t="shared" si="6"/>
        <v/>
      </c>
      <c r="G27" s="321" t="str">
        <f t="shared" si="10"/>
        <v/>
      </c>
      <c r="H27" s="322" t="str">
        <f ca="1">IF(A27="","",IF(VLOOKUP(A27,$N$9:$AG$20,2,0)=OFFSET(Model0.1C!$C$13, 10*longueur, 0),VLOOKUP(diam,portance,11,0), ""))</f>
        <v/>
      </c>
      <c r="P27" s="331" t="str">
        <f>Hypothèses!AB26</f>
        <v>Lieux de réunion</v>
      </c>
      <c r="Q27" s="331">
        <f>Hypothèses!AC26</f>
        <v>0.6</v>
      </c>
      <c r="R27" s="331">
        <f>Hypothèses!AD26</f>
        <v>0.7</v>
      </c>
      <c r="T27" s="303">
        <f>Model0.1C!AJ4</f>
        <v>0.62</v>
      </c>
      <c r="U27" s="303" t="e">
        <f ca="1">Model0.1C!AK4</f>
        <v>#N/A</v>
      </c>
      <c r="V27" s="303" t="e">
        <f ca="1">Model0.1C!AL4</f>
        <v>#N/A</v>
      </c>
      <c r="W27" s="303" t="e">
        <f ca="1">Model0.1C!AM4</f>
        <v>#N/A</v>
      </c>
      <c r="X27" s="303" t="e">
        <f ca="1">Model0.1C!AN4</f>
        <v>#N/A</v>
      </c>
      <c r="Y27" s="303" t="e">
        <f ca="1">Model0.1C!AO4</f>
        <v>#N/A</v>
      </c>
      <c r="Z27" s="303" t="e">
        <f ca="1">Model0.1C!AP4</f>
        <v>#N/A</v>
      </c>
      <c r="AB27" s="303">
        <f t="shared" si="11"/>
        <v>0.62</v>
      </c>
      <c r="AC27" s="303" t="e">
        <f t="shared" ca="1" si="12"/>
        <v>#N/A</v>
      </c>
      <c r="AD27" s="303" t="e">
        <f ca="1">OFFSET(Model0.1C!BR$13,10*NDC!$AC$27,0)</f>
        <v>#N/A</v>
      </c>
      <c r="AE27" s="303" t="e">
        <f ca="1">OFFSET(Model0.1C!BS$13,10*NDC!$AC$27,0)</f>
        <v>#N/A</v>
      </c>
      <c r="AF27" s="303" t="e">
        <f ca="1">OFFSET(Model0.1C!BT$13,10*NDC!$AC$27,0)</f>
        <v>#N/A</v>
      </c>
      <c r="AG27" s="303" t="e">
        <f ca="1">OFFSET(Model0.1C!BU$13,10*NDC!$AC$27,0)</f>
        <v>#N/A</v>
      </c>
      <c r="AH27" s="303" t="e">
        <f ca="1">OFFSET(Model0.1T!BR$13,10*NDC!$AC$27,0)</f>
        <v>#N/A</v>
      </c>
      <c r="AI27" s="303" t="e">
        <f ca="1">OFFSET(Model0.1T!BS$13,10*NDC!$AC$27,0)</f>
        <v>#N/A</v>
      </c>
      <c r="AJ27" s="303" t="e">
        <f ca="1">OFFSET(Model0.1T!BT$13,10*NDC!$AC$27,0)</f>
        <v>#N/A</v>
      </c>
      <c r="AK27" s="303" t="e">
        <f ca="1">OFFSET(Model0.1T!BU$13,10*NDC!$AC$27,0)</f>
        <v>#N/A</v>
      </c>
      <c r="AL27" s="303" t="e">
        <f ca="1">OFFSET(Model0.1C!BM$13,10*NDC!$AC27,0)</f>
        <v>#N/A</v>
      </c>
    </row>
    <row r="28" spans="1:38">
      <c r="A28" s="319" t="str">
        <f>IF($C$22&gt;=4,4,"")</f>
        <v/>
      </c>
      <c r="B28" s="320"/>
      <c r="C28" s="405" t="str">
        <f t="shared" si="7"/>
        <v/>
      </c>
      <c r="D28" s="406" t="str">
        <f t="shared" si="8"/>
        <v/>
      </c>
      <c r="E28" s="533" t="str">
        <f t="shared" si="9"/>
        <v/>
      </c>
      <c r="F28" s="533" t="str">
        <f t="shared" si="6"/>
        <v/>
      </c>
      <c r="G28" s="321" t="str">
        <f t="shared" si="10"/>
        <v/>
      </c>
      <c r="H28" s="322" t="str">
        <f ca="1">IF(A28="","",IF(VLOOKUP(A28,$N$9:$AG$20,2,0)=OFFSET(Model0.1C!$C$13, 10*longueur, 0),VLOOKUP(diam,portance,11,0), ""))</f>
        <v/>
      </c>
      <c r="P28" s="331" t="str">
        <f>Hypothèses!AB27</f>
        <v>Commerces</v>
      </c>
      <c r="Q28" s="331">
        <f>Hypothèses!AC27</f>
        <v>0.6</v>
      </c>
      <c r="R28" s="331">
        <f>Hypothèses!AD27</f>
        <v>0.7</v>
      </c>
      <c r="T28" s="303">
        <f>Model0.1C!AJ5</f>
        <v>0.72</v>
      </c>
      <c r="U28" s="303" t="e">
        <f ca="1">Model0.1C!AK5</f>
        <v>#N/A</v>
      </c>
      <c r="V28" s="303" t="e">
        <f ca="1">Model0.1C!AL5</f>
        <v>#N/A</v>
      </c>
      <c r="W28" s="303" t="e">
        <f ca="1">Model0.1C!AM5</f>
        <v>#N/A</v>
      </c>
      <c r="X28" s="303" t="e">
        <f ca="1">Model0.1C!AN5</f>
        <v>#N/A</v>
      </c>
      <c r="Y28" s="303" t="e">
        <f ca="1">Model0.1C!AO5</f>
        <v>#N/A</v>
      </c>
      <c r="Z28" s="303" t="e">
        <f ca="1">Model0.1C!AP5</f>
        <v>#N/A</v>
      </c>
      <c r="AB28" s="303">
        <f t="shared" si="11"/>
        <v>0.72</v>
      </c>
      <c r="AC28" s="303" t="e">
        <f t="shared" ca="1" si="12"/>
        <v>#N/A</v>
      </c>
      <c r="AD28" s="303" t="e">
        <f ca="1">OFFSET(Model0.1C!CK$13,10*NDC!$AC$28,0)</f>
        <v>#N/A</v>
      </c>
      <c r="AE28" s="303" t="e">
        <f ca="1">OFFSET(Model0.1C!CL$13,10*NDC!$AC$28,0)</f>
        <v>#N/A</v>
      </c>
      <c r="AF28" s="303" t="e">
        <f ca="1">OFFSET(Model0.1C!CM$13,10*NDC!$AC$28,0)</f>
        <v>#N/A</v>
      </c>
      <c r="AG28" s="303" t="e">
        <f ca="1">OFFSET(Model0.1C!CN$13,10*NDC!$AC$28,0)</f>
        <v>#N/A</v>
      </c>
      <c r="AH28" s="303" t="e">
        <f ca="1">OFFSET(Model0.1T!CK$13,10*NDC!$AC$28,0)</f>
        <v>#N/A</v>
      </c>
      <c r="AI28" s="303" t="e">
        <f ca="1">OFFSET(Model0.1T!CL$13,10*NDC!$AC$28,0)</f>
        <v>#N/A</v>
      </c>
      <c r="AJ28" s="303" t="e">
        <f ca="1">OFFSET(Model0.1T!CM$13,10*NDC!$AC$28,0)</f>
        <v>#N/A</v>
      </c>
      <c r="AK28" s="303" t="e">
        <f ca="1">OFFSET(Model0.1T!CN$13,10*NDC!$AC$28,0)</f>
        <v>#N/A</v>
      </c>
      <c r="AL28" s="303" t="e">
        <f ca="1">OFFSET(Model0.1C!CF$13,10*NDC!$AC28,0)</f>
        <v>#N/A</v>
      </c>
    </row>
    <row r="29" spans="1:38">
      <c r="A29" s="319" t="str">
        <f>IF($C$22&gt;=5,5,"")</f>
        <v/>
      </c>
      <c r="B29" s="320"/>
      <c r="C29" s="405" t="str">
        <f t="shared" si="7"/>
        <v/>
      </c>
      <c r="D29" s="406" t="str">
        <f t="shared" si="8"/>
        <v/>
      </c>
      <c r="E29" s="533" t="str">
        <f t="shared" si="9"/>
        <v/>
      </c>
      <c r="F29" s="533" t="str">
        <f t="shared" si="6"/>
        <v/>
      </c>
      <c r="G29" s="321" t="str">
        <f t="shared" si="10"/>
        <v/>
      </c>
      <c r="H29" s="322" t="str">
        <f ca="1">IF(A29="","",IF(VLOOKUP(A29,$N$9:$AG$20,2,0)=OFFSET(Model0.1C!$C$13, 10*longueur, 0),VLOOKUP(diam,portance,11,0), ""))</f>
        <v/>
      </c>
      <c r="P29" s="331" t="str">
        <f>Hypothèses!AB28</f>
        <v>Stockage</v>
      </c>
      <c r="Q29" s="331">
        <f>Hypothèses!AC28</f>
        <v>0.8</v>
      </c>
      <c r="R29" s="331">
        <f>Hypothèses!AD28</f>
        <v>1</v>
      </c>
      <c r="T29" s="303">
        <f>Model0.1C!AJ6</f>
        <v>0.82</v>
      </c>
      <c r="U29" s="303" t="e">
        <f ca="1">Model0.1C!AK6</f>
        <v>#N/A</v>
      </c>
      <c r="V29" s="303" t="e">
        <f ca="1">Model0.1C!AL6</f>
        <v>#N/A</v>
      </c>
      <c r="W29" s="303" t="e">
        <f ca="1">Model0.1C!AM6</f>
        <v>#N/A</v>
      </c>
      <c r="X29" s="303" t="e">
        <f ca="1">Model0.1C!AN6</f>
        <v>#N/A</v>
      </c>
      <c r="Y29" s="303" t="e">
        <f ca="1">Model0.1C!AO6</f>
        <v>#N/A</v>
      </c>
      <c r="Z29" s="303" t="e">
        <f ca="1">Model0.1C!AP6</f>
        <v>#N/A</v>
      </c>
      <c r="AB29" s="303">
        <f t="shared" si="11"/>
        <v>0.82</v>
      </c>
      <c r="AC29" s="303" t="e">
        <f t="shared" ca="1" si="12"/>
        <v>#N/A</v>
      </c>
      <c r="AD29" s="303" t="e">
        <f ca="1">OFFSET(Model0.1C!DD$13,10*NDC!$AC$29,0)</f>
        <v>#N/A</v>
      </c>
      <c r="AE29" s="303" t="e">
        <f ca="1">OFFSET(Model0.1C!DE$13,10*NDC!$AC$29,0)</f>
        <v>#N/A</v>
      </c>
      <c r="AF29" s="303" t="e">
        <f ca="1">OFFSET(Model0.1C!DF$13,10*NDC!$AC$29,0)</f>
        <v>#N/A</v>
      </c>
      <c r="AG29" s="303" t="e">
        <f ca="1">OFFSET(Model0.1C!DG$13,10*NDC!$AC$29,0)</f>
        <v>#N/A</v>
      </c>
      <c r="AH29" s="303" t="e">
        <f ca="1">OFFSET(Model0.1T!DD$13,10*NDC!$AC$29,0)</f>
        <v>#N/A</v>
      </c>
      <c r="AI29" s="303" t="e">
        <f ca="1">OFFSET(Model0.1T!DE$13,10*NDC!$AC$29,0)</f>
        <v>#N/A</v>
      </c>
      <c r="AJ29" s="303" t="e">
        <f ca="1">OFFSET(Model0.1T!DF$13,10*NDC!$AC$29,0)</f>
        <v>#N/A</v>
      </c>
      <c r="AK29" s="303" t="e">
        <f ca="1">OFFSET(Model0.1T!DG$13,10*NDC!$AC$29,0)</f>
        <v>#N/A</v>
      </c>
      <c r="AL29" s="303" t="e">
        <f ca="1">OFFSET(Model0.1C!CY$13,10*NDC!$AC29,0)</f>
        <v>#N/A</v>
      </c>
    </row>
    <row r="30" spans="1:38">
      <c r="A30" s="319" t="str">
        <f>IF($C$22&gt;=6,6,"")</f>
        <v/>
      </c>
      <c r="B30" s="320"/>
      <c r="C30" s="405" t="str">
        <f t="shared" si="7"/>
        <v/>
      </c>
      <c r="D30" s="406" t="str">
        <f t="shared" si="8"/>
        <v/>
      </c>
      <c r="E30" s="533" t="str">
        <f t="shared" si="9"/>
        <v/>
      </c>
      <c r="F30" s="533" t="str">
        <f t="shared" si="6"/>
        <v/>
      </c>
      <c r="G30" s="321" t="str">
        <f t="shared" si="10"/>
        <v/>
      </c>
      <c r="H30" s="322" t="str">
        <f ca="1">IF(A30="","",IF(VLOOKUP(A30,$N$9:$AG$20,2,0)=OFFSET(Model0.1C!$C$13, 10*longueur, 0),VLOOKUP(diam,portance,11,0), ""))</f>
        <v/>
      </c>
      <c r="P30" s="331" t="str">
        <f>Hypothèses!AB29</f>
        <v>Réservoirs</v>
      </c>
      <c r="Q30" s="331">
        <f>Hypothèses!AC29</f>
        <v>1</v>
      </c>
      <c r="R30" s="331">
        <f>Hypothèses!AD29</f>
        <v>1</v>
      </c>
      <c r="T30" s="303">
        <f>Model0.1C!AJ7</f>
        <v>0.92</v>
      </c>
      <c r="U30" s="303" t="e">
        <f ca="1">Model0.1C!AK7</f>
        <v>#N/A</v>
      </c>
      <c r="V30" s="303" t="e">
        <f ca="1">Model0.1C!AL7</f>
        <v>#N/A</v>
      </c>
      <c r="W30" s="303" t="e">
        <f ca="1">Model0.1C!AM7</f>
        <v>#N/A</v>
      </c>
      <c r="X30" s="303" t="e">
        <f ca="1">Model0.1C!AN7</f>
        <v>#N/A</v>
      </c>
      <c r="Y30" s="303" t="e">
        <f ca="1">Model0.1C!AO7</f>
        <v>#N/A</v>
      </c>
      <c r="Z30" s="303" t="e">
        <f ca="1">Model0.1C!AP7</f>
        <v>#N/A</v>
      </c>
      <c r="AB30" s="303">
        <f t="shared" si="11"/>
        <v>0.92</v>
      </c>
      <c r="AC30" s="303" t="e">
        <f t="shared" ca="1" si="12"/>
        <v>#N/A</v>
      </c>
      <c r="AD30" s="303" t="e">
        <f ca="1">OFFSET(Model0.1C!DW$13,10*NDC!$AC$30,0)</f>
        <v>#N/A</v>
      </c>
      <c r="AE30" s="303" t="e">
        <f ca="1">OFFSET(Model0.1C!DX$13,10*NDC!$AC$30,0)</f>
        <v>#N/A</v>
      </c>
      <c r="AF30" s="303" t="e">
        <f ca="1">OFFSET(Model0.1C!DY$13,10*NDC!$AC$30,0)</f>
        <v>#N/A</v>
      </c>
      <c r="AG30" s="303" t="e">
        <f ca="1">OFFSET(Model0.1C!DZ$13,10*NDC!$AC$30,0)</f>
        <v>#N/A</v>
      </c>
      <c r="AH30" s="303" t="e">
        <f ca="1">OFFSET(Model0.1T!DW$13,10*NDC!$AC$30,0)</f>
        <v>#N/A</v>
      </c>
      <c r="AI30" s="303" t="e">
        <f ca="1">OFFSET(Model0.1T!DX$13,10*NDC!$AC$30,0)</f>
        <v>#N/A</v>
      </c>
      <c r="AJ30" s="303" t="e">
        <f ca="1">OFFSET(Model0.1T!DY$13,10*NDC!$AC$30,0)</f>
        <v>#N/A</v>
      </c>
      <c r="AK30" s="303" t="e">
        <f ca="1">OFFSET(Model0.1T!DZ$13,10*NDC!$AC$30,0)</f>
        <v>#N/A</v>
      </c>
      <c r="AL30" s="303" t="e">
        <f ca="1">OFFSET(Model0.1C!DR$13,10*NDC!$AC30,0)</f>
        <v>#N/A</v>
      </c>
    </row>
    <row r="31" spans="1:38">
      <c r="A31" s="319" t="str">
        <f>IF($C$22&gt;=7,7,"")</f>
        <v/>
      </c>
      <c r="B31" s="320"/>
      <c r="C31" s="405" t="str">
        <f t="shared" si="7"/>
        <v/>
      </c>
      <c r="D31" s="406" t="str">
        <f t="shared" si="8"/>
        <v/>
      </c>
      <c r="E31" s="533" t="str">
        <f t="shared" si="9"/>
        <v/>
      </c>
      <c r="F31" s="533" t="str">
        <f t="shared" si="6"/>
        <v/>
      </c>
      <c r="G31" s="321" t="str">
        <f t="shared" si="10"/>
        <v/>
      </c>
      <c r="H31" s="322" t="str">
        <f ca="1">IF(A31="","",IF(VLOOKUP(A31,$N$9:$AG$20,2,0)=OFFSET(Model0.1C!$C$13, 10*longueur, 0),VLOOKUP(diam,portance,11,0), ""))</f>
        <v/>
      </c>
      <c r="P31" s="331" t="str">
        <f>Hypothèses!AB30</f>
        <v>Vent</v>
      </c>
      <c r="Q31" s="331">
        <f>Hypothèses!AC30</f>
        <v>0</v>
      </c>
      <c r="R31" s="331">
        <f>Hypothèses!AD30</f>
        <v>0.6</v>
      </c>
      <c r="T31" s="303">
        <f>Model0.1C!AJ8</f>
        <v>1.02</v>
      </c>
      <c r="U31" s="303" t="e">
        <f ca="1">Model0.1C!AK8</f>
        <v>#N/A</v>
      </c>
      <c r="V31" s="303" t="e">
        <f ca="1">Model0.1C!AL8</f>
        <v>#N/A</v>
      </c>
      <c r="W31" s="303" t="e">
        <f ca="1">Model0.1C!AM8</f>
        <v>#N/A</v>
      </c>
      <c r="X31" s="303" t="e">
        <f ca="1">Model0.1C!AN8</f>
        <v>#N/A</v>
      </c>
      <c r="Y31" s="303" t="e">
        <f ca="1">Model0.1C!AO8</f>
        <v>#N/A</v>
      </c>
      <c r="Z31" s="303" t="e">
        <f ca="1">Model0.1C!AP8</f>
        <v>#N/A</v>
      </c>
      <c r="AB31" s="303">
        <f t="shared" si="11"/>
        <v>1.02</v>
      </c>
      <c r="AC31" s="303" t="e">
        <f t="shared" ca="1" si="12"/>
        <v>#N/A</v>
      </c>
      <c r="AD31" s="303" t="e">
        <f ca="1">OFFSET(Model0.1C!EP$13,10*NDC!$AC$31,0)</f>
        <v>#N/A</v>
      </c>
      <c r="AE31" s="303" t="e">
        <f ca="1">OFFSET(Model0.1C!EQ$13,10*NDC!$AC$31,0)</f>
        <v>#N/A</v>
      </c>
      <c r="AF31" s="303" t="e">
        <f ca="1">OFFSET(Model0.1C!ER$13,10*NDC!$AC$31,0)</f>
        <v>#N/A</v>
      </c>
      <c r="AG31" s="303" t="e">
        <f ca="1">OFFSET(Model0.1C!ES$13,10*NDC!$AC$31,0)</f>
        <v>#N/A</v>
      </c>
      <c r="AH31" s="303" t="e">
        <f ca="1">OFFSET(Model0.1T!EP$13,10*NDC!$AC$31,0)</f>
        <v>#N/A</v>
      </c>
      <c r="AI31" s="303" t="e">
        <f ca="1">OFFSET(Model0.1T!EQ$13,10*NDC!$AC$31,0)</f>
        <v>#N/A</v>
      </c>
      <c r="AJ31" s="303" t="e">
        <f ca="1">OFFSET(Model0.1T!ER$13,10*NDC!$AC$31,0)</f>
        <v>#N/A</v>
      </c>
      <c r="AK31" s="303" t="e">
        <f ca="1">OFFSET(Model0.1T!ES$13,10*NDC!$AC$31,0)</f>
        <v>#N/A</v>
      </c>
      <c r="AL31" s="303" t="e">
        <f ca="1">OFFSET(Model0.1C!EK$13,10*NDC!$AC31,0)</f>
        <v>#N/A</v>
      </c>
    </row>
    <row r="32" spans="1:38">
      <c r="A32" s="319" t="str">
        <f>IF($C$22&gt;=8,8,"")</f>
        <v/>
      </c>
      <c r="B32" s="320"/>
      <c r="C32" s="405" t="str">
        <f t="shared" si="7"/>
        <v/>
      </c>
      <c r="D32" s="406" t="str">
        <f t="shared" si="8"/>
        <v/>
      </c>
      <c r="E32" s="533" t="str">
        <f t="shared" si="9"/>
        <v/>
      </c>
      <c r="F32" s="533" t="str">
        <f t="shared" si="6"/>
        <v/>
      </c>
      <c r="G32" s="321" t="str">
        <f t="shared" si="10"/>
        <v/>
      </c>
      <c r="H32" s="322" t="str">
        <f ca="1">IF(A32="","",IF(VLOOKUP(A32,$N$9:$AG$20,2,0)=OFFSET(Model0.1C!$C$13, 10*longueur, 0),VLOOKUP(diam,portance,11,0), ""))</f>
        <v/>
      </c>
      <c r="J32" s="303"/>
      <c r="P32" s="331" t="str">
        <f>Hypothèses!AB31</f>
        <v>Neige</v>
      </c>
      <c r="Q32" s="331">
        <f>Hypothèses!AC31</f>
        <v>0</v>
      </c>
      <c r="R32" s="331">
        <f>Hypothèses!AD31</f>
        <v>0.5</v>
      </c>
      <c r="T32" s="303">
        <f>Model0.1C!AJ9</f>
        <v>1.22</v>
      </c>
      <c r="U32" s="303" t="e">
        <f ca="1">Model0.1C!AK9</f>
        <v>#N/A</v>
      </c>
      <c r="V32" s="303" t="e">
        <f ca="1">Model0.1C!AL9</f>
        <v>#N/A</v>
      </c>
      <c r="W32" s="303" t="e">
        <f ca="1">Model0.1C!AM9</f>
        <v>#N/A</v>
      </c>
      <c r="X32" s="303" t="e">
        <f ca="1">Model0.1C!AN9</f>
        <v>#N/A</v>
      </c>
      <c r="Y32" s="303" t="e">
        <f ca="1">Model0.1C!AO9</f>
        <v>#N/A</v>
      </c>
      <c r="Z32" s="303" t="e">
        <f ca="1">Model0.1C!AP9</f>
        <v>#N/A</v>
      </c>
      <c r="AB32" s="303">
        <f t="shared" si="11"/>
        <v>1.22</v>
      </c>
      <c r="AC32" s="303" t="e">
        <f t="shared" ca="1" si="12"/>
        <v>#N/A</v>
      </c>
      <c r="AD32" s="303" t="e">
        <f ca="1">OFFSET(Model0.1C!FI$13,10*NDC!$AC$32,0)</f>
        <v>#N/A</v>
      </c>
      <c r="AE32" s="303" t="e">
        <f ca="1">OFFSET(Model0.1C!FJ$13,10*NDC!$AC$32,0)</f>
        <v>#N/A</v>
      </c>
      <c r="AF32" s="303" t="e">
        <f ca="1">OFFSET(Model0.1C!FK$13,10*NDC!$AC$32,0)</f>
        <v>#N/A</v>
      </c>
      <c r="AG32" s="303" t="e">
        <f ca="1">OFFSET(Model0.1C!FL$13,10*NDC!$AC$32,0)</f>
        <v>#N/A</v>
      </c>
      <c r="AH32" s="303" t="e">
        <f ca="1">OFFSET(Model0.1T!FI$13,10*NDC!$AC$32,0)</f>
        <v>#N/A</v>
      </c>
      <c r="AI32" s="303" t="e">
        <f ca="1">OFFSET(Model0.1T!FJ$13,10*NDC!$AC$32,0)</f>
        <v>#N/A</v>
      </c>
      <c r="AJ32" s="303" t="e">
        <f ca="1">OFFSET(Model0.1T!FK$13,10*NDC!$AC$32,0)</f>
        <v>#N/A</v>
      </c>
      <c r="AK32" s="303" t="e">
        <f ca="1">OFFSET(Model0.1T!FL$13,10*NDC!$AC$32,0)</f>
        <v>#N/A</v>
      </c>
      <c r="AL32" s="303" t="e">
        <f ca="1">OFFSET(Model0.1C!FD$13,10*NDC!$AC32,0)</f>
        <v>#N/A</v>
      </c>
    </row>
    <row r="33" spans="1:34">
      <c r="A33" s="319" t="str">
        <f>IF($C$22&gt;=9,9,"")</f>
        <v/>
      </c>
      <c r="B33" s="320"/>
      <c r="C33" s="405" t="str">
        <f t="shared" si="7"/>
        <v/>
      </c>
      <c r="D33" s="406" t="str">
        <f t="shared" si="8"/>
        <v/>
      </c>
      <c r="E33" s="533" t="str">
        <f t="shared" si="9"/>
        <v/>
      </c>
      <c r="F33" s="533" t="str">
        <f t="shared" si="6"/>
        <v/>
      </c>
      <c r="G33" s="321" t="str">
        <f t="shared" si="10"/>
        <v/>
      </c>
      <c r="H33" s="322" t="str">
        <f ca="1">IF(A33="","",IF(VLOOKUP(A33,$N$9:$AG$20,2,0)=OFFSET(Model0.1C!$C$13, 10*longueur, 0),VLOOKUP(diam,portance,11,0), ""))</f>
        <v/>
      </c>
      <c r="O33" s="303"/>
      <c r="P33" s="331"/>
      <c r="Q33" s="331"/>
      <c r="R33" s="331"/>
    </row>
    <row r="34" spans="1:34">
      <c r="A34" s="319" t="str">
        <f>IF($C$22&gt;=10,10,"")</f>
        <v/>
      </c>
      <c r="B34" s="320"/>
      <c r="C34" s="405" t="str">
        <f t="shared" si="7"/>
        <v/>
      </c>
      <c r="D34" s="406" t="str">
        <f t="shared" si="8"/>
        <v/>
      </c>
      <c r="E34" s="533" t="str">
        <f t="shared" si="9"/>
        <v/>
      </c>
      <c r="F34" s="533" t="str">
        <f t="shared" si="6"/>
        <v/>
      </c>
      <c r="G34" s="321" t="str">
        <f t="shared" si="10"/>
        <v/>
      </c>
      <c r="H34" s="322" t="str">
        <f ca="1">IF(A34="","",IF(VLOOKUP(A34,$N$9:$AG$20,2,0)=OFFSET(Model0.1C!$C$13, 10*longueur, 0),VLOOKUP(diam,portance,11,0), ""))</f>
        <v/>
      </c>
      <c r="O34" s="303"/>
    </row>
    <row r="35" spans="1:34">
      <c r="A35" s="319" t="str">
        <f>IF($C$22&gt;=11,11,"")</f>
        <v/>
      </c>
      <c r="B35" s="320"/>
      <c r="C35" s="405" t="str">
        <f t="shared" si="7"/>
        <v/>
      </c>
      <c r="D35" s="406" t="str">
        <f t="shared" si="8"/>
        <v/>
      </c>
      <c r="E35" s="533" t="str">
        <f t="shared" si="9"/>
        <v/>
      </c>
      <c r="F35" s="533" t="str">
        <f t="shared" si="6"/>
        <v/>
      </c>
      <c r="G35" s="321" t="str">
        <f t="shared" si="10"/>
        <v/>
      </c>
      <c r="H35" s="322" t="str">
        <f ca="1">IF(A35="","",IF(VLOOKUP(A35,$N$9:$AG$20,2,0)=OFFSET(Model0.1C!$C$13, 10*longueur, 0),VLOOKUP(diam,portance,11,0), ""))</f>
        <v/>
      </c>
      <c r="T35" s="303"/>
      <c r="U35" s="303"/>
      <c r="V35" s="303"/>
      <c r="W35" s="303"/>
      <c r="X35" s="303"/>
      <c r="Y35" s="303"/>
      <c r="Z35" s="303"/>
    </row>
    <row r="36" spans="1:34" ht="13.5" customHeight="1" thickBot="1">
      <c r="A36" s="319" t="str">
        <f>IF($C$22&gt;=12,12,"")</f>
        <v/>
      </c>
      <c r="B36" s="323"/>
      <c r="C36" s="407" t="str">
        <f t="shared" si="7"/>
        <v/>
      </c>
      <c r="D36" s="408" t="str">
        <f t="shared" si="8"/>
        <v/>
      </c>
      <c r="E36" s="529" t="str">
        <f t="shared" si="9"/>
        <v/>
      </c>
      <c r="F36" s="529" t="str">
        <f t="shared" si="6"/>
        <v/>
      </c>
      <c r="G36" s="324" t="str">
        <f t="shared" si="10"/>
        <v/>
      </c>
      <c r="H36" s="325" t="str">
        <f ca="1">IF(A36="","",IF(VLOOKUP(A36,$N$9:$AG$20,2,0)=OFFSET(Model0.1C!$C$13, 10*longueur, 0),VLOOKUP(diam,portance,11,0), ""))</f>
        <v/>
      </c>
      <c r="T36" s="303"/>
      <c r="U36" s="303"/>
      <c r="V36" s="303"/>
      <c r="W36" s="303"/>
      <c r="X36" s="303"/>
      <c r="Y36" s="303"/>
      <c r="Z36" s="303"/>
    </row>
    <row r="37" spans="1:34">
      <c r="A37" s="326" t="s">
        <v>252</v>
      </c>
      <c r="B37" s="326"/>
      <c r="T37" s="303"/>
      <c r="U37" s="303"/>
      <c r="V37" s="303"/>
      <c r="W37" s="303"/>
      <c r="X37" s="303"/>
      <c r="Y37" s="303"/>
      <c r="Z37" s="303"/>
      <c r="AG37" t="s">
        <v>364</v>
      </c>
      <c r="AH37" t="s">
        <v>365</v>
      </c>
    </row>
    <row r="38" spans="1:34" s="331" customFormat="1" ht="15" thickBot="1">
      <c r="A38" s="285"/>
      <c r="B38" s="285"/>
      <c r="C38" s="285"/>
      <c r="D38" s="285"/>
      <c r="E38" s="285"/>
      <c r="F38" s="285"/>
      <c r="G38" s="285"/>
      <c r="H38" s="285"/>
      <c r="T38" s="303"/>
      <c r="U38" s="303"/>
      <c r="V38" s="303"/>
      <c r="W38" s="303"/>
      <c r="X38" s="303"/>
      <c r="Y38" s="303"/>
      <c r="Z38" s="303"/>
      <c r="AC38" s="441" t="e">
        <f ca="1">MAX(U47,U25)</f>
        <v>#N/A</v>
      </c>
      <c r="AD38" s="441" t="e">
        <f ca="1">ROUND(AC38,2)</f>
        <v>#N/A</v>
      </c>
      <c r="AG38" s="331">
        <v>1</v>
      </c>
      <c r="AH38" s="331">
        <f>Hypothèses!$E$21</f>
        <v>0</v>
      </c>
    </row>
    <row r="39" spans="1:34" ht="18.600000000000001" thickBot="1">
      <c r="A39" s="327" t="s">
        <v>253</v>
      </c>
      <c r="B39" s="328"/>
      <c r="C39" s="329"/>
      <c r="D39" s="329"/>
      <c r="E39" s="329"/>
      <c r="F39" s="329"/>
      <c r="G39" s="329"/>
      <c r="H39" s="330" t="s">
        <v>254</v>
      </c>
      <c r="T39" s="303"/>
      <c r="U39" s="303"/>
      <c r="V39" s="303"/>
      <c r="W39" s="303"/>
      <c r="X39" s="303"/>
      <c r="Y39" s="303"/>
      <c r="Z39" s="303"/>
      <c r="AG39" s="285">
        <v>2</v>
      </c>
      <c r="AH39" s="285">
        <f>Hypothèses!$E$36</f>
        <v>0</v>
      </c>
    </row>
    <row r="40" spans="1:34">
      <c r="A40" s="332"/>
      <c r="B40" s="333"/>
      <c r="C40" s="333"/>
      <c r="D40" s="333"/>
      <c r="E40" s="333"/>
      <c r="F40" s="333"/>
      <c r="G40" s="333"/>
      <c r="H40" s="334"/>
      <c r="L40" t="s">
        <v>322</v>
      </c>
      <c r="M40" s="422">
        <f>MIN(G19,H43)/(B43*D43)</f>
        <v>19.493177387914226</v>
      </c>
      <c r="T40" s="303"/>
      <c r="U40" s="303"/>
      <c r="V40" s="303"/>
      <c r="W40" s="303"/>
      <c r="X40" s="303"/>
      <c r="Y40" s="303"/>
      <c r="Z40" s="303"/>
      <c r="AG40" s="285">
        <v>3</v>
      </c>
      <c r="AH40" s="285">
        <f>Hypothèses!$E$51</f>
        <v>0</v>
      </c>
    </row>
    <row r="41" spans="1:34">
      <c r="A41" s="335" t="s">
        <v>255</v>
      </c>
      <c r="B41" s="336"/>
      <c r="C41" s="300"/>
      <c r="D41" s="300"/>
      <c r="G41" s="337"/>
      <c r="H41" s="338"/>
      <c r="L41" s="419" t="s">
        <v>320</v>
      </c>
      <c r="M41" s="419">
        <f>IF(H11="Oui",1,0.8)</f>
        <v>0.8</v>
      </c>
      <c r="N41" s="420" t="s">
        <v>321</v>
      </c>
      <c r="O41" s="421">
        <v>1.5</v>
      </c>
      <c r="T41" s="303"/>
      <c r="U41" s="303"/>
      <c r="V41" s="303"/>
      <c r="W41" s="303"/>
      <c r="X41" s="303"/>
      <c r="Y41" s="303"/>
      <c r="Z41" s="303"/>
      <c r="AG41">
        <v>4</v>
      </c>
      <c r="AH41" s="285">
        <f>Hypothèses!$E$66</f>
        <v>0</v>
      </c>
    </row>
    <row r="42" spans="1:34" ht="15.6">
      <c r="A42" s="339" t="s">
        <v>256</v>
      </c>
      <c r="B42" s="340"/>
      <c r="G42" s="285" t="s">
        <v>257</v>
      </c>
      <c r="H42" s="341"/>
      <c r="J42" s="285" t="s">
        <v>262</v>
      </c>
      <c r="K42" s="346"/>
      <c r="T42" s="303"/>
      <c r="U42" s="303"/>
      <c r="V42" s="303"/>
      <c r="W42" s="303"/>
      <c r="X42" s="303"/>
      <c r="Y42" s="303"/>
      <c r="Z42" s="303"/>
      <c r="AG42">
        <v>5</v>
      </c>
      <c r="AH42" s="285">
        <f>Hypothèses!$E$81</f>
        <v>0</v>
      </c>
    </row>
    <row r="43" spans="1:34" ht="15.6">
      <c r="A43" s="342" t="s">
        <v>258</v>
      </c>
      <c r="B43" s="343">
        <f>VLOOKUP(Hypothèses!$B$4*10000+NDC!L69,Béton!$A$12:$W$38,5,0)</f>
        <v>1.35</v>
      </c>
      <c r="C43" s="301" t="s">
        <v>259</v>
      </c>
      <c r="D43" s="344">
        <f>VLOOKUP(Hypothèses!$B$4*10000+NDC!L69,Béton!$A$12:$W$38,6,0)</f>
        <v>1.1400000000000001</v>
      </c>
      <c r="E43" s="301" t="s">
        <v>260</v>
      </c>
      <c r="F43" s="344">
        <f>IF(H12="Non",1,1.2)</f>
        <v>1</v>
      </c>
      <c r="G43" s="301" t="s">
        <v>261</v>
      </c>
      <c r="H43" s="345">
        <f>VLOOKUP(Hypothèses!$B$4*10000+NDC!L69,Béton!$A$12:$W$38,4,0)</f>
        <v>30</v>
      </c>
      <c r="T43" s="303"/>
      <c r="U43" s="303"/>
      <c r="V43" s="303"/>
      <c r="W43" s="303"/>
      <c r="X43" s="303"/>
      <c r="Y43" s="303"/>
      <c r="Z43" s="303"/>
      <c r="AG43">
        <v>6</v>
      </c>
      <c r="AH43" s="285">
        <f>Hypothèses!$E$96</f>
        <v>0</v>
      </c>
    </row>
    <row r="44" spans="1:34">
      <c r="A44" s="339"/>
      <c r="B44" s="340"/>
      <c r="H44" s="341"/>
      <c r="K44" s="346"/>
      <c r="L44" s="352"/>
      <c r="M44" s="353"/>
      <c r="AG44">
        <v>7</v>
      </c>
      <c r="AH44" s="285">
        <f>Hypothèses!$E$111</f>
        <v>0</v>
      </c>
    </row>
    <row r="45" spans="1:34" ht="15.6">
      <c r="A45" s="347" t="s">
        <v>263</v>
      </c>
      <c r="B45" s="337" t="s">
        <v>264</v>
      </c>
      <c r="C45" s="337" t="s">
        <v>265</v>
      </c>
      <c r="D45" s="346">
        <f>charge_ELU/(PI()*G76^2/4)*10/1000</f>
        <v>0</v>
      </c>
      <c r="E45" s="287" t="str">
        <f>IF(D45&lt;=G45,"inférieure à","supérieure à")</f>
        <v>inférieure à</v>
      </c>
      <c r="F45" s="337" t="s">
        <v>266</v>
      </c>
      <c r="G45" s="346">
        <f>MIN(M41*F43*M40/O41,M41*G19/O41,M41*H43/O41)</f>
        <v>10.396361273554254</v>
      </c>
      <c r="H45" s="353" t="str">
        <f>IF(D45&lt;=G45,"Vérifié","Non vérifié")</f>
        <v>Vérifié</v>
      </c>
      <c r="I45" s="285" t="s">
        <v>49</v>
      </c>
      <c r="J45" s="352">
        <f>MIN(M41*1*M40/O41,M41*G19/O41,M41*H43/O41)</f>
        <v>10.396361273554254</v>
      </c>
      <c r="K45" s="301" t="s">
        <v>360</v>
      </c>
      <c r="L45" s="451" t="str">
        <f>IF(AND(calc_contrainte_beton_ELU&lt;J45,calc_contrainte_beton_ELS&lt;J46),"Non","Oui")</f>
        <v>Non</v>
      </c>
      <c r="M45" s="353"/>
      <c r="AG45">
        <v>8</v>
      </c>
      <c r="AH45" s="285">
        <f>Hypothèses!$E$126</f>
        <v>0</v>
      </c>
    </row>
    <row r="46" spans="1:34" ht="16.2" thickBot="1">
      <c r="A46" s="354" t="s">
        <v>263</v>
      </c>
      <c r="B46" s="348" t="s">
        <v>267</v>
      </c>
      <c r="C46" s="348" t="s">
        <v>265</v>
      </c>
      <c r="D46" s="349">
        <f>Charge_ELS_freq/(PI()*G76^2/4)*10/1000</f>
        <v>0</v>
      </c>
      <c r="E46" s="350" t="str">
        <f>IF(D46&lt;=G46,"inférieure à","supérieure à")</f>
        <v>inférieure à</v>
      </c>
      <c r="F46" s="348" t="s">
        <v>268</v>
      </c>
      <c r="G46" s="349">
        <f>0.3*F43*M40</f>
        <v>5.8479532163742673</v>
      </c>
      <c r="H46" s="351" t="str">
        <f>IF(D46&lt;=G46,"Vérifié","Non vérifié")</f>
        <v>Vérifié</v>
      </c>
      <c r="I46" s="285" t="s">
        <v>269</v>
      </c>
      <c r="J46" s="352">
        <f>0.3*M40</f>
        <v>5.8479532163742673</v>
      </c>
      <c r="T46" s="303"/>
      <c r="U46" s="303" t="str">
        <f>Model0.1T!AK1</f>
        <v>profondeur</v>
      </c>
      <c r="V46" s="303" t="str">
        <f>Model0.1T!AL1</f>
        <v>ELSqp</v>
      </c>
      <c r="W46" s="303" t="str">
        <f>Model0.1T!AM1</f>
        <v>ELSc</v>
      </c>
      <c r="X46" s="303" t="str">
        <f>Model0.1T!AN1</f>
        <v>ELUF</v>
      </c>
      <c r="Y46" s="303" t="str">
        <f>Model0.1T!AO1</f>
        <v>ELA</v>
      </c>
      <c r="Z46" s="303" t="str">
        <f>Model0.1T!AP1</f>
        <v>kp</v>
      </c>
      <c r="AG46">
        <v>9</v>
      </c>
      <c r="AH46" s="285">
        <f>Hypothèses!$E$141</f>
        <v>0</v>
      </c>
    </row>
    <row r="47" spans="1:34" s="331" customFormat="1" ht="15" thickBot="1">
      <c r="A47" s="285"/>
      <c r="B47" s="285"/>
      <c r="C47" s="285"/>
      <c r="D47" s="285"/>
      <c r="E47" s="285"/>
      <c r="F47" s="285"/>
      <c r="G47" s="285"/>
      <c r="H47" s="285"/>
      <c r="T47" s="303">
        <f>Model0.1T!AJ2</f>
        <v>0.42</v>
      </c>
      <c r="U47" s="303" t="e">
        <f ca="1">Model0.1T!AK2</f>
        <v>#N/A</v>
      </c>
      <c r="V47" s="303" t="e">
        <f ca="1">Model0.1T!AL2</f>
        <v>#N/A</v>
      </c>
      <c r="W47" s="303" t="e">
        <f ca="1">Model0.1T!AM2</f>
        <v>#N/A</v>
      </c>
      <c r="X47" s="303" t="e">
        <f ca="1">Model0.1T!AN2</f>
        <v>#N/A</v>
      </c>
      <c r="Y47" s="303" t="e">
        <f ca="1">Model0.1T!AO2</f>
        <v>#N/A</v>
      </c>
      <c r="Z47" s="303" t="e">
        <f ca="1">Model0.1T!AP2</f>
        <v>#N/A</v>
      </c>
      <c r="AG47" s="331">
        <v>10</v>
      </c>
      <c r="AH47" s="331">
        <f>Hypothèses!$E$156</f>
        <v>0</v>
      </c>
    </row>
    <row r="48" spans="1:34" ht="18.600000000000001" thickBot="1">
      <c r="A48" s="327" t="s">
        <v>270</v>
      </c>
      <c r="B48" s="328"/>
      <c r="C48" s="329"/>
      <c r="D48" s="329"/>
      <c r="E48" s="355"/>
      <c r="F48" s="329"/>
      <c r="G48" s="329"/>
      <c r="H48" s="330" t="s">
        <v>271</v>
      </c>
      <c r="T48" s="303">
        <f>Model0.1T!AJ3</f>
        <v>0.52</v>
      </c>
      <c r="U48" s="303" t="e">
        <f ca="1">Model0.1T!AK3</f>
        <v>#N/A</v>
      </c>
      <c r="V48" s="303" t="e">
        <f ca="1">Model0.1T!AL3</f>
        <v>#N/A</v>
      </c>
      <c r="W48" s="303" t="e">
        <f ca="1">Model0.1T!AM3</f>
        <v>#N/A</v>
      </c>
      <c r="X48" s="303" t="e">
        <f ca="1">Model0.1T!AN3</f>
        <v>#N/A</v>
      </c>
      <c r="Y48" s="303" t="e">
        <f ca="1">Model0.1T!AO3</f>
        <v>#N/A</v>
      </c>
      <c r="Z48" s="303" t="e">
        <f ca="1">Model0.1T!AP3</f>
        <v>#N/A</v>
      </c>
    </row>
    <row r="49" spans="1:26" ht="15" customHeight="1">
      <c r="A49" s="356"/>
      <c r="B49" s="357"/>
      <c r="C49" s="333"/>
      <c r="D49" s="333"/>
      <c r="E49" s="357"/>
      <c r="F49" s="333"/>
      <c r="G49" s="333"/>
      <c r="H49" s="334"/>
      <c r="T49" s="303">
        <f>Model0.1T!AJ4</f>
        <v>0.62</v>
      </c>
      <c r="U49" s="303" t="e">
        <f ca="1">Model0.1T!AK4</f>
        <v>#N/A</v>
      </c>
      <c r="V49" s="303" t="e">
        <f ca="1">Model0.1T!AL4</f>
        <v>#N/A</v>
      </c>
      <c r="W49" s="303" t="e">
        <f ca="1">Model0.1T!AM4</f>
        <v>#N/A</v>
      </c>
      <c r="X49" s="303" t="e">
        <f ca="1">Model0.1T!AN4</f>
        <v>#N/A</v>
      </c>
      <c r="Y49" s="303" t="e">
        <f ca="1">Model0.1T!AO4</f>
        <v>#N/A</v>
      </c>
      <c r="Z49" s="303" t="e">
        <f ca="1">Model0.1T!AP4</f>
        <v>#N/A</v>
      </c>
    </row>
    <row r="50" spans="1:26" ht="15" customHeight="1">
      <c r="A50" s="358"/>
      <c r="B50" s="359"/>
      <c r="D50" s="340" t="s">
        <v>272</v>
      </c>
      <c r="E50" s="359"/>
      <c r="G50" s="340"/>
      <c r="H50" s="360" t="s">
        <v>273</v>
      </c>
      <c r="T50" s="303">
        <f>Model0.1T!AJ5</f>
        <v>0.72</v>
      </c>
      <c r="U50" s="303" t="e">
        <f ca="1">Model0.1T!AK5</f>
        <v>#N/A</v>
      </c>
      <c r="V50" s="303" t="e">
        <f ca="1">Model0.1T!AL5</f>
        <v>#N/A</v>
      </c>
      <c r="W50" s="303" t="e">
        <f ca="1">Model0.1T!AM5</f>
        <v>#N/A</v>
      </c>
      <c r="X50" s="303" t="e">
        <f ca="1">Model0.1T!AN5</f>
        <v>#N/A</v>
      </c>
      <c r="Y50" s="303" t="e">
        <f ca="1">Model0.1T!AO5</f>
        <v>#N/A</v>
      </c>
      <c r="Z50" s="303" t="e">
        <f ca="1">Model0.1T!AP5</f>
        <v>#N/A</v>
      </c>
    </row>
    <row r="51" spans="1:26" ht="15" customHeight="1">
      <c r="A51" s="358"/>
      <c r="B51" s="359"/>
      <c r="E51" s="359"/>
      <c r="H51" s="341"/>
      <c r="T51" s="303">
        <f>Model0.1T!AJ6</f>
        <v>0.82</v>
      </c>
      <c r="U51" s="303" t="e">
        <f ca="1">Model0.1T!AK6</f>
        <v>#N/A</v>
      </c>
      <c r="V51" s="303" t="e">
        <f ca="1">Model0.1T!AL6</f>
        <v>#N/A</v>
      </c>
      <c r="W51" s="303" t="e">
        <f ca="1">Model0.1T!AM6</f>
        <v>#N/A</v>
      </c>
      <c r="X51" s="303" t="e">
        <f ca="1">Model0.1T!AN6</f>
        <v>#N/A</v>
      </c>
      <c r="Y51" s="303" t="e">
        <f ca="1">Model0.1T!AO6</f>
        <v>#N/A</v>
      </c>
      <c r="Z51" s="303" t="e">
        <f ca="1">Model0.1T!AP6</f>
        <v>#N/A</v>
      </c>
    </row>
    <row r="52" spans="1:26" ht="15" customHeight="1">
      <c r="A52" s="358"/>
      <c r="B52" s="359"/>
      <c r="E52" s="359"/>
      <c r="H52" s="341"/>
      <c r="T52" s="303">
        <f>Model0.1T!AJ7</f>
        <v>0.92</v>
      </c>
      <c r="U52" s="303" t="e">
        <f ca="1">Model0.1T!AK7</f>
        <v>#N/A</v>
      </c>
      <c r="V52" s="303" t="e">
        <f ca="1">Model0.1T!AL7</f>
        <v>#N/A</v>
      </c>
      <c r="W52" s="303" t="e">
        <f ca="1">Model0.1T!AM7</f>
        <v>#N/A</v>
      </c>
      <c r="X52" s="303" t="e">
        <f ca="1">Model0.1T!AN7</f>
        <v>#N/A</v>
      </c>
      <c r="Y52" s="303" t="e">
        <f ca="1">Model0.1T!AO7</f>
        <v>#N/A</v>
      </c>
      <c r="Z52" s="303" t="e">
        <f ca="1">Model0.1T!AP7</f>
        <v>#N/A</v>
      </c>
    </row>
    <row r="53" spans="1:26" ht="15" customHeight="1">
      <c r="A53" s="358"/>
      <c r="B53" s="359"/>
      <c r="E53" s="359"/>
      <c r="H53" s="341"/>
      <c r="T53" s="303">
        <f>Model0.1T!AJ8</f>
        <v>1.02</v>
      </c>
      <c r="U53" s="303" t="e">
        <f ca="1">Model0.1T!AK8</f>
        <v>#N/A</v>
      </c>
      <c r="V53" s="303" t="e">
        <f ca="1">Model0.1T!AL8</f>
        <v>#N/A</v>
      </c>
      <c r="W53" s="303" t="e">
        <f ca="1">Model0.1T!AM8</f>
        <v>#N/A</v>
      </c>
      <c r="X53" s="303" t="e">
        <f ca="1">Model0.1T!AN8</f>
        <v>#N/A</v>
      </c>
      <c r="Y53" s="303" t="e">
        <f ca="1">Model0.1T!AO8</f>
        <v>#N/A</v>
      </c>
      <c r="Z53" s="303" t="e">
        <f ca="1">Model0.1T!AP8</f>
        <v>#N/A</v>
      </c>
    </row>
    <row r="54" spans="1:26" ht="12" customHeight="1">
      <c r="A54" s="358"/>
      <c r="B54" s="359"/>
      <c r="E54" s="359"/>
      <c r="H54" s="341"/>
      <c r="T54" s="303">
        <f>Model0.1T!AJ9</f>
        <v>1.22</v>
      </c>
      <c r="U54" s="303" t="e">
        <f ca="1">Model0.1T!AK9</f>
        <v>#N/A</v>
      </c>
      <c r="V54" s="303" t="e">
        <f ca="1">Model0.1T!AL9</f>
        <v>#N/A</v>
      </c>
      <c r="W54" s="303" t="e">
        <f ca="1">Model0.1T!AM9</f>
        <v>#N/A</v>
      </c>
      <c r="X54" s="303" t="e">
        <f ca="1">Model0.1T!AN9</f>
        <v>#N/A</v>
      </c>
      <c r="Y54" s="303" t="e">
        <f ca="1">Model0.1T!AO9</f>
        <v>#N/A</v>
      </c>
      <c r="Z54" s="303" t="e">
        <f ca="1">Model0.1T!AP9</f>
        <v>#N/A</v>
      </c>
    </row>
    <row r="55" spans="1:26">
      <c r="A55" s="358"/>
      <c r="B55" s="359"/>
      <c r="E55" s="359"/>
      <c r="H55" s="341"/>
    </row>
    <row r="56" spans="1:26" ht="15.6">
      <c r="A56" s="339" t="s">
        <v>274</v>
      </c>
      <c r="B56" s="340"/>
      <c r="C56" s="361" t="s">
        <v>275</v>
      </c>
      <c r="D56" s="344" t="e">
        <f ca="1">IF(OFFSET(Model0.1C!E13,10*longueur,0)=3,IF(Model0.1C!D13="Pressio.",VLOOKUP(NDC!$P$6,'Coeff EC7'!$T$7:$AB$26,6,0),VLOOKUP(NDC!$P$6,'Coeff EC7'!$T$7:$AB$26,8,0)),IF(Model0.1C!D13="Pressio.",VLOOKUP(NDC!$P$6,'Coeff EC7'!$T$7:$AB$26,2,0),VLOOKUP(NDC!$P$6,'Coeff EC7'!$T$7:$AB$26,4,0)))</f>
        <v>#N/A</v>
      </c>
      <c r="E56" s="361" t="s">
        <v>276</v>
      </c>
      <c r="F56" s="344">
        <v>1.1000000000000001</v>
      </c>
      <c r="G56" s="362"/>
      <c r="H56" s="363"/>
    </row>
    <row r="57" spans="1:26">
      <c r="A57" s="339"/>
      <c r="B57" s="340"/>
      <c r="C57" s="361"/>
      <c r="D57" s="344"/>
      <c r="E57" s="361"/>
      <c r="F57" s="344"/>
      <c r="G57" s="362"/>
      <c r="H57" s="363"/>
      <c r="T57" s="303"/>
      <c r="U57" s="303"/>
      <c r="V57" s="303"/>
      <c r="W57" s="303"/>
      <c r="X57" s="303"/>
      <c r="Y57" s="303"/>
      <c r="Z57" s="303"/>
    </row>
    <row r="58" spans="1:26" ht="16.8">
      <c r="A58" s="358" t="s">
        <v>277</v>
      </c>
      <c r="B58" s="359"/>
      <c r="C58" s="364"/>
      <c r="G58" s="364"/>
      <c r="H58" s="338" t="e">
        <f ca="1">IF(C59&lt;=H59,"Vérifié","Non vérifié")</f>
        <v>#N/A</v>
      </c>
      <c r="T58" s="303"/>
      <c r="U58" s="303"/>
      <c r="V58" s="303"/>
      <c r="W58" s="303"/>
      <c r="X58" s="303"/>
      <c r="Y58" s="303"/>
      <c r="Z58" s="303"/>
    </row>
    <row r="59" spans="1:26" ht="15.6">
      <c r="A59" s="365" t="s">
        <v>278</v>
      </c>
      <c r="B59" s="366"/>
      <c r="C59" s="367">
        <f>G</f>
        <v>0</v>
      </c>
      <c r="D59" s="287" t="e">
        <f ca="1">IF(C59&lt;=H59,"inférieure à","supérieure à")</f>
        <v>#N/A</v>
      </c>
      <c r="E59" s="300" t="s">
        <v>279</v>
      </c>
      <c r="F59" s="366"/>
      <c r="G59" s="368"/>
      <c r="H59" s="369" t="e">
        <f ca="1">VLOOKUP(diam,portance,4,0)</f>
        <v>#N/A</v>
      </c>
      <c r="T59" s="303"/>
      <c r="U59" s="303"/>
      <c r="V59" s="303"/>
      <c r="W59" s="303"/>
      <c r="X59" s="303"/>
      <c r="Y59" s="303"/>
      <c r="Z59" s="303"/>
    </row>
    <row r="60" spans="1:26" ht="15">
      <c r="A60" s="358" t="s">
        <v>280</v>
      </c>
      <c r="B60" s="366"/>
      <c r="C60" s="366"/>
      <c r="D60" s="370"/>
      <c r="E60" s="366"/>
      <c r="F60" s="366"/>
      <c r="G60" s="368"/>
      <c r="H60" s="338" t="e">
        <f ca="1">IF(C61&lt;=H61,"Vérifié","Non vérifié")</f>
        <v>#N/A</v>
      </c>
      <c r="T60" s="303"/>
      <c r="U60" s="303"/>
      <c r="V60" s="303"/>
      <c r="W60" s="303"/>
      <c r="X60" s="303"/>
      <c r="Y60" s="303"/>
      <c r="Z60" s="303"/>
    </row>
    <row r="61" spans="1:26" ht="15.6">
      <c r="A61" s="365" t="s">
        <v>278</v>
      </c>
      <c r="B61" s="366"/>
      <c r="C61" s="367">
        <f>Q</f>
        <v>0</v>
      </c>
      <c r="D61" s="287" t="e">
        <f ca="1">IF(C61&lt;=H61,"inférieure à","supérieure à")</f>
        <v>#N/A</v>
      </c>
      <c r="E61" s="300" t="s">
        <v>279</v>
      </c>
      <c r="F61" s="366"/>
      <c r="G61" s="368"/>
      <c r="H61" s="369" t="e">
        <f ca="1">VLOOKUP(diam,portance,3,0)</f>
        <v>#N/A</v>
      </c>
      <c r="T61" s="303"/>
      <c r="U61" s="303"/>
      <c r="V61" s="303"/>
      <c r="W61" s="303"/>
      <c r="X61" s="303"/>
      <c r="Y61" s="303"/>
      <c r="Z61" s="303"/>
    </row>
    <row r="62" spans="1:26" s="331" customFormat="1">
      <c r="A62" s="335" t="s">
        <v>336</v>
      </c>
      <c r="B62" s="366"/>
      <c r="C62" s="367"/>
      <c r="D62" s="287"/>
      <c r="E62" s="300"/>
      <c r="F62" s="366"/>
      <c r="G62" s="368"/>
      <c r="H62" s="338" t="e">
        <f ca="1">IF(C63&lt;=H63,"Vérifié","Non vérifié")</f>
        <v>#N/A</v>
      </c>
      <c r="T62" s="303"/>
      <c r="U62" s="303"/>
      <c r="V62" s="303"/>
      <c r="W62" s="303"/>
      <c r="X62" s="303"/>
      <c r="Y62" s="303"/>
      <c r="Z62" s="303"/>
    </row>
    <row r="63" spans="1:26" s="331" customFormat="1" ht="20.100000000000001" customHeight="1">
      <c r="A63" s="365" t="s">
        <v>338</v>
      </c>
      <c r="B63" s="366"/>
      <c r="C63" s="367">
        <f>Telsqp</f>
        <v>0</v>
      </c>
      <c r="D63" s="287" t="s">
        <v>337</v>
      </c>
      <c r="E63" s="300" t="str">
        <f>IF(H10="Non", "15% résistance frottement Rs:", "Charge de fluage de traction Rt,cr,d:")</f>
        <v>15% résistance frottement Rs:</v>
      </c>
      <c r="F63" s="366"/>
      <c r="G63" s="368"/>
      <c r="H63" s="369" t="e">
        <f ca="1">VLOOKUP(diam,portance,7,0)</f>
        <v>#N/A</v>
      </c>
      <c r="T63" s="303"/>
      <c r="U63" s="303"/>
      <c r="V63" s="303"/>
      <c r="W63" s="303"/>
      <c r="X63" s="303"/>
      <c r="Y63" s="303"/>
      <c r="Z63" s="303"/>
    </row>
    <row r="64" spans="1:26" s="340" customFormat="1">
      <c r="A64" s="335" t="s">
        <v>336</v>
      </c>
      <c r="B64" s="366"/>
      <c r="C64" s="367"/>
      <c r="D64" s="287"/>
      <c r="E64" s="300"/>
      <c r="F64" s="366"/>
      <c r="G64" s="368"/>
      <c r="H64" s="338" t="e">
        <f ca="1">IF(C65&lt;=H65,"Vérifié","Non vérifié")</f>
        <v>#N/A</v>
      </c>
      <c r="T64" s="303"/>
      <c r="U64" s="303"/>
      <c r="V64" s="303"/>
      <c r="W64" s="303"/>
      <c r="X64" s="303"/>
      <c r="Y64" s="303"/>
      <c r="Z64" s="303"/>
    </row>
    <row r="65" spans="1:26" s="340" customFormat="1">
      <c r="A65" s="365" t="s">
        <v>340</v>
      </c>
      <c r="B65" s="366"/>
      <c r="C65" s="367">
        <f>tels</f>
        <v>0</v>
      </c>
      <c r="D65" s="287" t="s">
        <v>337</v>
      </c>
      <c r="E65" s="300" t="str">
        <f>"Charge de fluage de traction Rt,cr,d:"</f>
        <v>Charge de fluage de traction Rt,cr,d:</v>
      </c>
      <c r="F65" s="366"/>
      <c r="G65" s="368"/>
      <c r="H65" s="369" t="e">
        <f ca="1">VLOOKUP(diam,portance,8,0)</f>
        <v>#N/A</v>
      </c>
      <c r="T65" s="303"/>
      <c r="U65" s="303"/>
      <c r="V65" s="303"/>
      <c r="W65" s="303"/>
      <c r="X65" s="303"/>
      <c r="Y65" s="303"/>
      <c r="Z65" s="303"/>
    </row>
    <row r="66" spans="1:26" s="340" customFormat="1" ht="17.25" customHeight="1" thickBot="1">
      <c r="A66" s="285"/>
      <c r="B66" s="285"/>
      <c r="C66" s="371"/>
      <c r="D66" s="285"/>
      <c r="E66" s="285"/>
      <c r="F66" s="285"/>
      <c r="G66" s="372"/>
      <c r="H66" s="285"/>
    </row>
    <row r="67" spans="1:26" s="340" customFormat="1" ht="17.25" customHeight="1" thickBot="1">
      <c r="A67" s="327" t="s">
        <v>281</v>
      </c>
      <c r="B67" s="328"/>
      <c r="C67" s="373"/>
      <c r="D67" s="329"/>
      <c r="E67" s="329"/>
      <c r="F67" s="329"/>
      <c r="G67" s="329"/>
      <c r="H67" s="330" t="s">
        <v>282</v>
      </c>
    </row>
    <row r="68" spans="1:26">
      <c r="A68" s="339" t="s">
        <v>283</v>
      </c>
      <c r="B68" s="340"/>
      <c r="C68" s="374"/>
      <c r="D68" s="331"/>
      <c r="E68" s="309" t="s">
        <v>284</v>
      </c>
      <c r="F68" s="331"/>
      <c r="G68" s="331"/>
      <c r="H68" s="375"/>
    </row>
    <row r="69" spans="1:26" ht="15.6">
      <c r="A69" s="339" t="s">
        <v>285</v>
      </c>
      <c r="B69" s="361" t="s">
        <v>286</v>
      </c>
      <c r="C69" s="344">
        <v>1.1000000000000001</v>
      </c>
      <c r="D69" s="376" t="s">
        <v>287</v>
      </c>
      <c r="E69" s="344"/>
      <c r="F69" s="361" t="s">
        <v>286</v>
      </c>
      <c r="G69" s="344">
        <v>1</v>
      </c>
      <c r="H69" s="377" t="s">
        <v>288</v>
      </c>
      <c r="L69" s="285">
        <f>IF(diam_mini&lt;&gt;"",diam_mini*100,IF(Hypothèses!$B$4=6,IF(OR(AND(H12="Non",C59&lt;Béton!$I$12),AND(H12="Oui",C59&lt;Béton!$N$12)),Béton!$C$12,
IF(OR(AND(H12="Non",C59&lt;Béton!$I$13),AND(H12="Oui",C59&lt;Béton!$N$13)),Béton!$C$13,
IF(OR(AND(H12="Non",C59&lt;Béton!$I$14),AND(H12="Oui",C59&lt;Béton!$N$14)),Béton!$C$14,
IF(OR(AND(H12="Non",C59&lt;Béton!$I$15),AND(H12="Oui",C59&lt;Béton!$N$15)),Béton!$C$15,
IF(OR(AND(H12="Non",C59&lt;Béton!$I$16),AND(H12="Oui",C59&lt;Béton!$N$16)),Béton!$C$16,
IF(OR(AND(H12="Non",C59&lt;Béton!$I$17),AND(H12="Oui",C59&lt;Béton!$N$17)),Béton!$C$17,
IF(OR(AND(H12="Non",C59&lt;Béton!$I$18),AND(H12="Oui",C59&lt;Béton!$N$18)),Béton!$C$18,
IF(OR(AND(H12="Non",C59&lt;Béton!$I$19),AND(H12="Oui",C59&lt;Béton!$N$19)),Béton!$C$19,
IF(OR(AND(H12="Non",C59&lt;Béton!$I$20),AND(H12="Oui",C59&lt;Béton!$N$20)),Béton!$C$20))))))))),
IF(Hypothèses!$B$4=7,IF(OR(AND(H12="Non",C59&lt;Béton!$I$21),AND(H12="Oui",C59&lt;Béton!$N$21)),Béton!$C$21,
IF(OR(AND(H12="Non",C59&lt;Béton!$I$22),AND(H12="Oui",C59&lt;Béton!$N$22)),Béton!$C$22,
IF(OR(AND(H12="Non",C59&lt;Béton!$I$23),AND(H12="Oui",C59&lt;Béton!$N$23)),Béton!$C$23,
IF(OR(AND(H12="Non",C59&lt;Béton!$I$24),AND(H12="Oui",C59&lt;Béton!$N$24)),Béton!$C$24,
IF(OR(AND(H12="Non",C59&lt;Béton!$I$25),AND(H12="Oui",C59&lt;Béton!$N$25)),Béton!$C$25))))),IF(Hypothèses!$B$4=11,IF(OR(AND(H12="Non",C59&lt;Béton!$I$26),AND(H12="Oui",C59&lt;Béton!$N$26)),Béton!$C$26,
IF(OR(AND(H12="Non",C59&lt;Béton!$I$27),AND(H12="Oui",C59&lt;Béton!$N$27)),Béton!$C$27,
IF(OR(AND(H12="Non",C59&lt;Béton!$I$28),AND(H12="Oui",C59&lt;Béton!$N$28)),Béton!$C$28,
IF(OR(AND(H12="Non",C59&lt;Béton!$I$29),AND(H12="Oui",C59&lt;Béton!$N$29)),Béton!$C$29,
))))))))</f>
        <v>42</v>
      </c>
    </row>
    <row r="70" spans="1:26">
      <c r="A70" s="339"/>
      <c r="B70" s="340"/>
      <c r="C70" s="361"/>
      <c r="D70" s="344"/>
      <c r="E70" s="361"/>
      <c r="F70" s="344"/>
      <c r="G70" s="376"/>
      <c r="H70" s="377"/>
    </row>
    <row r="71" spans="1:26" ht="15.6">
      <c r="A71" s="378" t="s">
        <v>289</v>
      </c>
      <c r="B71" s="300"/>
      <c r="C71" s="379" t="s">
        <v>290</v>
      </c>
      <c r="D71" s="367">
        <f>Vent</f>
        <v>0</v>
      </c>
      <c r="E71" s="287" t="e">
        <f ca="1">IF(D71&lt;=G71,"inférieure à","supérieure à")</f>
        <v>#N/A</v>
      </c>
      <c r="F71" s="300" t="s">
        <v>291</v>
      </c>
      <c r="G71" s="367" t="e">
        <f ca="1">VLOOKUP(diam,portance,5,0)</f>
        <v>#N/A</v>
      </c>
      <c r="H71" s="338" t="e">
        <f ca="1">IF(D71&lt;=G71,"Vérifié","Non vérifié")</f>
        <v>#N/A</v>
      </c>
    </row>
    <row r="72" spans="1:26" ht="15.6">
      <c r="A72" s="378"/>
      <c r="B72" s="300"/>
      <c r="C72" s="379" t="s">
        <v>292</v>
      </c>
      <c r="D72" s="367">
        <f>Charge_neige</f>
        <v>0</v>
      </c>
      <c r="E72" s="287" t="e">
        <f ca="1">IF(D72&lt;=G72,"inférieure à","supérieure à")</f>
        <v>#N/A</v>
      </c>
      <c r="F72" s="300" t="s">
        <v>291</v>
      </c>
      <c r="G72" s="367" t="e">
        <f ca="1">VLOOKUP(diam,portance,6,0)</f>
        <v>#N/A</v>
      </c>
      <c r="H72" s="338" t="e">
        <f ca="1">IF(D72&lt;=G72,"Vérifié","Non vérifié")</f>
        <v>#N/A</v>
      </c>
    </row>
    <row r="73" spans="1:26" ht="15.6">
      <c r="A73" s="378"/>
      <c r="B73" s="300"/>
      <c r="C73" s="379" t="s">
        <v>341</v>
      </c>
      <c r="D73" s="367">
        <f>TELU</f>
        <v>0</v>
      </c>
      <c r="E73" s="287" t="e">
        <f ca="1">IF(D73&lt;=G73,"inférieure à","supérieure à")</f>
        <v>#N/A</v>
      </c>
      <c r="F73" s="300" t="s">
        <v>342</v>
      </c>
      <c r="G73" s="367" t="e">
        <f ca="1">VLOOKUP(diam,portance,9,0)</f>
        <v>#N/A</v>
      </c>
      <c r="H73" s="338" t="e">
        <f ca="1">IF(D73&lt;=G73,"Vérifié","Non vérifié")</f>
        <v>#N/A</v>
      </c>
    </row>
    <row r="74" spans="1:26" ht="16.2" thickBot="1">
      <c r="A74" s="378"/>
      <c r="B74" s="300"/>
      <c r="C74" s="379" t="s">
        <v>343</v>
      </c>
      <c r="D74" s="367">
        <f>TELA</f>
        <v>0</v>
      </c>
      <c r="E74" s="287" t="s">
        <v>337</v>
      </c>
      <c r="F74" s="300" t="s">
        <v>344</v>
      </c>
      <c r="G74" s="367" t="e">
        <f ca="1">VLOOKUP(diam,portance,10,0)</f>
        <v>#N/A</v>
      </c>
      <c r="H74" s="338" t="e">
        <f ca="1">IF(D74&lt;=G74,"Vérifié","Non vérifié")</f>
        <v>#N/A</v>
      </c>
    </row>
    <row r="75" spans="1:26" ht="15" thickBot="1">
      <c r="F75" s="380"/>
    </row>
    <row r="76" spans="1:26" ht="16.2" thickTop="1">
      <c r="A76" s="381" t="s">
        <v>293</v>
      </c>
      <c r="B76" s="382"/>
      <c r="C76" s="383"/>
      <c r="D76" s="383"/>
      <c r="E76" s="383"/>
      <c r="F76" s="384" t="s">
        <v>294</v>
      </c>
      <c r="G76" s="385">
        <f>IF(F79="",L69/100,F79)</f>
        <v>0.42</v>
      </c>
      <c r="H76" s="386"/>
    </row>
    <row r="77" spans="1:26" ht="15.6">
      <c r="A77" s="387"/>
      <c r="F77" s="388" t="s">
        <v>295</v>
      </c>
      <c r="G77" s="389" t="e">
        <f ca="1">VLOOKUP(diam,portance,2,0)</f>
        <v>#N/A</v>
      </c>
      <c r="H77" s="390"/>
    </row>
    <row r="78" spans="1:26" ht="16.2" thickBot="1">
      <c r="A78" s="391"/>
      <c r="B78" s="392"/>
      <c r="C78" s="392"/>
      <c r="D78" s="392"/>
      <c r="E78" s="392"/>
      <c r="F78" s="393" t="s">
        <v>296</v>
      </c>
      <c r="G78" s="394" t="e">
        <f ca="1">longueur-H22</f>
        <v>#N/A</v>
      </c>
      <c r="H78" s="395"/>
    </row>
    <row r="79" spans="1:26" ht="16.8" thickTop="1" thickBot="1">
      <c r="B79" s="396"/>
      <c r="C79" s="397"/>
      <c r="D79" s="398" t="s">
        <v>297</v>
      </c>
      <c r="E79" s="397"/>
      <c r="F79" s="399"/>
    </row>
    <row r="80" spans="1:26" ht="16.8" thickTop="1" thickBot="1">
      <c r="A80" s="396"/>
      <c r="B80" s="396"/>
      <c r="C80" s="397"/>
      <c r="D80" s="397"/>
      <c r="E80" s="397"/>
    </row>
    <row r="81" spans="1:6" ht="16.8" thickTop="1" thickBot="1">
      <c r="B81" s="396"/>
      <c r="C81" s="397"/>
      <c r="D81" s="398" t="s">
        <v>298</v>
      </c>
      <c r="E81" s="397"/>
      <c r="F81" s="400"/>
    </row>
    <row r="82" spans="1:6" ht="16.2" thickTop="1">
      <c r="A82" s="396"/>
      <c r="B82" s="396"/>
      <c r="C82" s="397"/>
      <c r="D82" s="397"/>
      <c r="E82" s="397"/>
      <c r="F82" s="401"/>
    </row>
    <row r="83" spans="1:6" ht="15.6">
      <c r="A83" s="397"/>
      <c r="B83" s="397"/>
      <c r="C83" s="397"/>
      <c r="D83" s="397"/>
      <c r="E83" s="398" t="s">
        <v>299</v>
      </c>
      <c r="F83" s="402" t="str">
        <f>IF(G76&lt;&gt;"",IF((C12+C13)/(PI()*G76^2/4)*10/1000&lt;G46,"OK","Augmenter Φ"),"")</f>
        <v>OK</v>
      </c>
    </row>
  </sheetData>
  <mergeCells count="22">
    <mergeCell ref="A24:B24"/>
    <mergeCell ref="E24:F24"/>
    <mergeCell ref="D1:H1"/>
    <mergeCell ref="A3:H3"/>
    <mergeCell ref="B5:E5"/>
    <mergeCell ref="G5:H5"/>
    <mergeCell ref="AH23:AK23"/>
    <mergeCell ref="E36:F36"/>
    <mergeCell ref="P6:Q6"/>
    <mergeCell ref="AF8:AG8"/>
    <mergeCell ref="E31:F31"/>
    <mergeCell ref="E32:F32"/>
    <mergeCell ref="E33:F33"/>
    <mergeCell ref="E34:F34"/>
    <mergeCell ref="E35:F35"/>
    <mergeCell ref="E25:F25"/>
    <mergeCell ref="E26:F26"/>
    <mergeCell ref="E27:F27"/>
    <mergeCell ref="E28:F28"/>
    <mergeCell ref="E29:F29"/>
    <mergeCell ref="E30:F30"/>
    <mergeCell ref="AD23:AG23"/>
  </mergeCells>
  <conditionalFormatting sqref="H45:H46">
    <cfRule type="cellIs" dxfId="47" priority="29" operator="equal">
      <formula>"Non vérifié"</formula>
    </cfRule>
    <cfRule type="cellIs" dxfId="46" priority="30" operator="equal">
      <formula>"Vérifié"</formula>
    </cfRule>
  </conditionalFormatting>
  <conditionalFormatting sqref="H58">
    <cfRule type="cellIs" dxfId="45" priority="27" operator="equal">
      <formula>"Non vérifié"</formula>
    </cfRule>
    <cfRule type="cellIs" dxfId="44" priority="28" operator="equal">
      <formula>"Vérifié"</formula>
    </cfRule>
  </conditionalFormatting>
  <conditionalFormatting sqref="H60">
    <cfRule type="cellIs" dxfId="43" priority="25" operator="equal">
      <formula>"Non vérifié"</formula>
    </cfRule>
    <cfRule type="cellIs" dxfId="42" priority="26" operator="equal">
      <formula>"Vérifié"</formula>
    </cfRule>
  </conditionalFormatting>
  <conditionalFormatting sqref="H71">
    <cfRule type="cellIs" dxfId="41" priority="23" operator="equal">
      <formula>"Non vérifié"</formula>
    </cfRule>
    <cfRule type="cellIs" dxfId="40" priority="24" operator="equal">
      <formula>"Vérifié"</formula>
    </cfRule>
  </conditionalFormatting>
  <conditionalFormatting sqref="H72">
    <cfRule type="cellIs" dxfId="39" priority="19" operator="equal">
      <formula>"Non vérifié"</formula>
    </cfRule>
    <cfRule type="cellIs" dxfId="38" priority="20" operator="equal">
      <formula>"Vérifié"</formula>
    </cfRule>
  </conditionalFormatting>
  <conditionalFormatting sqref="M44:M45">
    <cfRule type="cellIs" dxfId="37" priority="15" operator="equal">
      <formula>"Non vérifié"</formula>
    </cfRule>
    <cfRule type="cellIs" dxfId="36" priority="16" operator="equal">
      <formula>"Vérifié"</formula>
    </cfRule>
  </conditionalFormatting>
  <conditionalFormatting sqref="H62">
    <cfRule type="cellIs" dxfId="35" priority="13" operator="equal">
      <formula>"Non vérifié"</formula>
    </cfRule>
    <cfRule type="cellIs" dxfId="34" priority="14" operator="equal">
      <formula>"Vérifié"</formula>
    </cfRule>
  </conditionalFormatting>
  <conditionalFormatting sqref="H64">
    <cfRule type="cellIs" dxfId="33" priority="11" operator="equal">
      <formula>"Non vérifié"</formula>
    </cfRule>
    <cfRule type="cellIs" dxfId="32" priority="12" operator="equal">
      <formula>"Vérifié"</formula>
    </cfRule>
  </conditionalFormatting>
  <conditionalFormatting sqref="H73">
    <cfRule type="cellIs" dxfId="31" priority="5" operator="equal">
      <formula>"Non vérifié"</formula>
    </cfRule>
    <cfRule type="cellIs" dxfId="30" priority="6" operator="equal">
      <formula>"Vérifié"</formula>
    </cfRule>
  </conditionalFormatting>
  <conditionalFormatting sqref="H74">
    <cfRule type="cellIs" dxfId="29" priority="3" operator="equal">
      <formula>"Non vérifié"</formula>
    </cfRule>
    <cfRule type="cellIs" dxfId="28" priority="4" operator="equal">
      <formula>"Vérifié"</formula>
    </cfRule>
  </conditionalFormatting>
  <conditionalFormatting sqref="L45">
    <cfRule type="cellIs" dxfId="27" priority="1" operator="equal">
      <formula>"NON"</formula>
    </cfRule>
    <cfRule type="cellIs" dxfId="26" priority="2" operator="equal">
      <formula>"OUI"</formula>
    </cfRule>
  </conditionalFormatting>
  <dataValidations count="2">
    <dataValidation type="list" allowBlank="1" showDropDown="1" showInputMessage="1" showErrorMessage="1" sqref="C22" xr:uid="{00000000-0002-0000-0000-000001000000}">
      <formula1>"1,2,3,4,5,6,7,8,9,10,11,12"</formula1>
    </dataValidation>
    <dataValidation type="list" allowBlank="1" showInputMessage="1" showErrorMessage="1" sqref="H10:H13" xr:uid="{00000000-0002-0000-0000-000002000000}">
      <formula1>"Oui,Non"</formula1>
    </dataValidation>
  </dataValidations>
  <pageMargins left="0.31496062992125984" right="0.31496062992125984" top="0.23622047244094491" bottom="0.23622047244094491" header="0.31496062992125984" footer="0.31496062992125984"/>
  <pageSetup paperSize="9" scale="6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3000000}">
          <x14:formula1>
            <xm:f>Hypothèses!$AC$7:$AC$8</xm:f>
          </x14:formula1>
          <xm:sqref>P5</xm:sqref>
        </x14:dataValidation>
        <x14:dataValidation type="list" allowBlank="1" showInputMessage="1" showErrorMessage="1" xr:uid="{00000000-0002-0000-0000-000004000000}">
          <x14:formula1>
            <xm:f>'Coeff EC7'!$B$7:$B$26</xm:f>
          </x14:formula1>
          <xm:sqref>C11:D11</xm:sqref>
        </x14:dataValidation>
        <x14:dataValidation type="list" allowBlank="1" showInputMessage="1" showErrorMessage="1" xr:uid="{00000000-0002-0000-0000-000005000000}">
          <x14:formula1>
            <xm:f>'Coeff EC7'!$C$7:$C$27</xm:f>
          </x14:formula1>
          <xm:sqref>P6:Q6</xm:sqref>
        </x14:dataValidation>
        <x14:dataValidation type="list" allowBlank="1" showDropDown="1" showInputMessage="1" showErrorMessage="1" xr:uid="{00000000-0002-0000-0000-000006000000}">
          <x14:formula1>
            <xm:f>Hypothèses!$AI$7:$AI$16</xm:f>
          </x14:formula1>
          <xm:sqref>T5</xm:sqref>
        </x14:dataValidation>
        <x14:dataValidation type="list" allowBlank="1" showInputMessage="1" showErrorMessage="1" xr:uid="{00000000-0002-0000-0000-000007000000}">
          <x14:formula1>
            <xm:f>Hypothèses!$AA$3:$AA$4</xm:f>
          </x14:formula1>
          <xm:sqref>G20</xm:sqref>
        </x14:dataValidation>
        <x14:dataValidation type="list" allowBlank="1" showInputMessage="1" showErrorMessage="1" xr:uid="{00000000-0002-0000-0000-000008000000}">
          <x14:formula1>
            <xm:f>Hypothèses!$AB$24:$AB$31</xm:f>
          </x14:formula1>
          <xm:sqref>H14</xm:sqref>
        </x14:dataValidation>
        <x14:dataValidation type="list" allowBlank="1" showDropDown="1" showInputMessage="1" showErrorMessage="1" xr:uid="{00000000-0002-0000-0000-000009000000}">
          <x14:formula1>
            <xm:f>Hypothèses!AE$8:AE$14</xm:f>
          </x14:formula1>
          <xm:sqref>E25:F36</xm:sqref>
        </x14:dataValidation>
        <x14:dataValidation type="list" allowBlank="1" showInputMessage="1" showErrorMessage="1" xr:uid="{00000000-0002-0000-0000-00000A000000}">
          <x14:formula1>
            <xm:f>Hypothèses!AI$7:AI$16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rgb="FFFF0000"/>
    <pageSetUpPr fitToPage="1"/>
  </sheetPr>
  <dimension ref="A1:AI169"/>
  <sheetViews>
    <sheetView showGridLines="0" zoomScaleNormal="100" workbookViewId="0">
      <selection activeCell="C44" sqref="C44"/>
    </sheetView>
  </sheetViews>
  <sheetFormatPr baseColWidth="10" defaultColWidth="11.44140625" defaultRowHeight="13.2"/>
  <cols>
    <col min="1" max="1" width="9.33203125" style="14" customWidth="1"/>
    <col min="2" max="2" width="8.6640625" style="14" customWidth="1"/>
    <col min="3" max="3" width="10.5546875" style="14" customWidth="1"/>
    <col min="4" max="4" width="14.88671875" style="14" customWidth="1"/>
    <col min="5" max="5" width="16.6640625" style="14" customWidth="1"/>
    <col min="6" max="6" width="11.5546875" style="14" bestFit="1" customWidth="1"/>
    <col min="7" max="7" width="12.88671875" style="14" bestFit="1" customWidth="1"/>
    <col min="8" max="8" width="9.44140625" style="14" customWidth="1"/>
    <col min="9" max="9" width="8.6640625" style="14" customWidth="1"/>
    <col min="10" max="17" width="7.88671875" style="14" customWidth="1"/>
    <col min="18" max="19" width="8.33203125" style="14" customWidth="1"/>
    <col min="20" max="20" width="11.109375" style="14" customWidth="1"/>
    <col min="21" max="21" width="12.109375" style="14" bestFit="1" customWidth="1"/>
    <col min="22" max="22" width="8.88671875" style="21" bestFit="1" customWidth="1"/>
    <col min="23" max="30" width="9.5546875" style="14" customWidth="1"/>
    <col min="31" max="31" width="16.109375" style="14" customWidth="1"/>
    <col min="32" max="35" width="9.5546875" style="14" customWidth="1"/>
    <col min="36" max="16384" width="11.44140625" style="14"/>
  </cols>
  <sheetData>
    <row r="1" spans="1:35" ht="23.4" thickTop="1" thickBot="1">
      <c r="A1" s="549" t="s">
        <v>204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1"/>
      <c r="Z1" s="16"/>
      <c r="AA1" s="16"/>
      <c r="AB1" s="16"/>
      <c r="AC1" s="16"/>
      <c r="AD1" s="16"/>
      <c r="AE1" s="16"/>
      <c r="AF1" s="16"/>
      <c r="AG1" s="16"/>
      <c r="AH1" s="16"/>
      <c r="AI1" s="16"/>
    </row>
    <row r="2" spans="1:35" ht="27" thickTop="1">
      <c r="V2" s="14"/>
      <c r="Z2" s="18"/>
      <c r="AA2" s="19" t="s">
        <v>17</v>
      </c>
      <c r="AE2" s="553" t="s">
        <v>18</v>
      </c>
      <c r="AF2" s="553"/>
    </row>
    <row r="3" spans="1:35" ht="14.4">
      <c r="A3" s="454" t="s">
        <v>19</v>
      </c>
      <c r="B3" s="453" t="s">
        <v>20</v>
      </c>
      <c r="E3" s="452" t="s">
        <v>21</v>
      </c>
      <c r="F3" s="453">
        <f>NDC!C20</f>
        <v>1</v>
      </c>
      <c r="G3" s="22"/>
      <c r="V3" s="14"/>
      <c r="Z3" s="18"/>
      <c r="AA3" s="23">
        <v>0.1</v>
      </c>
      <c r="AE3" s="23" t="s">
        <v>22</v>
      </c>
      <c r="AF3" s="23">
        <v>1</v>
      </c>
    </row>
    <row r="4" spans="1:35" ht="26.4">
      <c r="A4" s="454" t="s">
        <v>23</v>
      </c>
      <c r="B4" s="552">
        <f>NDC!P6</f>
        <v>6</v>
      </c>
      <c r="C4" s="552" t="str">
        <f>IF(B3=AC7,IF(B4='Coeff EC7'!C24,"erreur",IF(B4='Coeff EC7'!C23,"erreur",LOOKUP($B$4,'Coeff EC7'!$C$7:$C$27,'Coeff EC7'!$B$7:$B$27))),IF(B3=AC8,IF(B4&lt;'Coeff EC7'!C23,"erreur",LOOKUP($B$4,'Coeff EC7'!$C$7:$C$27,'Coeff EC7'!$B$7:$B$27))))</f>
        <v>FTC FTCD</v>
      </c>
      <c r="V4" s="14"/>
      <c r="Z4" s="18"/>
      <c r="AA4" s="23">
        <v>0.5</v>
      </c>
      <c r="AE4" s="23" t="s">
        <v>24</v>
      </c>
      <c r="AF4" s="23">
        <v>2</v>
      </c>
    </row>
    <row r="5" spans="1:35">
      <c r="A5" s="455" t="s">
        <v>25</v>
      </c>
      <c r="B5" s="456">
        <f>VLOOKUP(F3,A21:C156,3,FALSE)</f>
        <v>100</v>
      </c>
      <c r="U5" s="545" t="s">
        <v>26</v>
      </c>
      <c r="V5" s="546"/>
      <c r="W5" s="546"/>
      <c r="X5" s="547"/>
      <c r="Z5" s="18"/>
      <c r="AE5" s="25"/>
    </row>
    <row r="6" spans="1:35" ht="51" customHeight="1">
      <c r="A6" s="281" t="s">
        <v>27</v>
      </c>
      <c r="B6" s="281" t="s">
        <v>28</v>
      </c>
      <c r="C6" s="281" t="s">
        <v>29</v>
      </c>
      <c r="D6" s="281" t="s">
        <v>30</v>
      </c>
      <c r="E6" s="281" t="s">
        <v>31</v>
      </c>
      <c r="F6" s="281" t="s">
        <v>206</v>
      </c>
      <c r="G6" s="281" t="s">
        <v>32</v>
      </c>
      <c r="H6" s="281" t="s">
        <v>33</v>
      </c>
      <c r="I6" s="281" t="s">
        <v>34</v>
      </c>
      <c r="J6" s="281" t="s">
        <v>35</v>
      </c>
      <c r="K6" s="281" t="s">
        <v>207</v>
      </c>
      <c r="L6" s="281" t="s">
        <v>208</v>
      </c>
      <c r="M6" s="281" t="s">
        <v>301</v>
      </c>
      <c r="N6" s="281" t="s">
        <v>302</v>
      </c>
      <c r="O6" s="281" t="s">
        <v>303</v>
      </c>
      <c r="P6" s="281" t="s">
        <v>212</v>
      </c>
      <c r="Q6" s="281" t="s">
        <v>213</v>
      </c>
      <c r="R6" s="531" t="s">
        <v>36</v>
      </c>
      <c r="S6" s="532"/>
      <c r="U6" s="281" t="s">
        <v>37</v>
      </c>
      <c r="V6" s="281" t="s">
        <v>38</v>
      </c>
      <c r="W6" s="281" t="s">
        <v>39</v>
      </c>
      <c r="X6" s="281" t="s">
        <v>40</v>
      </c>
      <c r="Z6" s="18"/>
      <c r="AA6" s="26" t="s">
        <v>41</v>
      </c>
      <c r="AB6" s="26" t="s">
        <v>42</v>
      </c>
      <c r="AC6" s="26" t="s">
        <v>19</v>
      </c>
      <c r="AE6" s="26" t="s">
        <v>43</v>
      </c>
      <c r="AF6" s="26" t="s">
        <v>44</v>
      </c>
      <c r="AG6" s="26" t="s">
        <v>45</v>
      </c>
      <c r="AI6" s="27" t="s">
        <v>41</v>
      </c>
    </row>
    <row r="7" spans="1:35" ht="13.5" customHeight="1">
      <c r="A7" s="23">
        <f>CONCATENATE($F$3,1)*1</f>
        <v>11</v>
      </c>
      <c r="B7" s="23">
        <v>0</v>
      </c>
      <c r="C7" s="23">
        <f>IF(VLOOKUP($A7,Hypothèses!$B$22:$N$169,3,FALSE)&lt;&gt;0,VLOOKUP($A7,Hypothèses!$B$22:$N$169,3,FALSE),0)</f>
        <v>0</v>
      </c>
      <c r="D7" s="23">
        <f>$B$5-C7</f>
        <v>100</v>
      </c>
      <c r="E7" s="23" t="str">
        <f>IF(VLOOKUP($A7,Hypothèses!$B$22:$N$169,4,FALSE)&lt;&gt;0,VLOOKUP($A7,Hypothèses!$B$22:$N$169,4,FALSE),"")</f>
        <v/>
      </c>
      <c r="F7" s="23" t="str">
        <f>IF(VLOOKUP($A7,Hypothèses!$B$22:$N$169,5,FALSE)&lt;&gt;0,VLOOKUP($A7,Hypothèses!$B$22:$N$169,5,FALSE),"")</f>
        <v/>
      </c>
      <c r="G7" s="23" t="e">
        <f t="array" ref="G7">INDEX($AF$8:$AG$14,MATCH(E7,$AE$8:$AE$14,0),MATCH(S7,$AF$7:$AG$7,0))</f>
        <v>#N/A</v>
      </c>
      <c r="H7" s="28" t="e">
        <f t="array" ref="H7">INDEX('Coeff EC7'!$D$33:$Q$33,1,MATCH(R7&amp;G7,'Coeff EC7'!$D$31:$Q$31&amp;'Coeff EC7'!$D$32:$Q$32,0))</f>
        <v>#N/A</v>
      </c>
      <c r="I7" s="28" t="e">
        <f t="array" ref="I7">INDEX('Coeff EC7'!$D$34:$Q$34,1,MATCH(R7&amp;G7,'Coeff EC7'!$D$31:$Q$31&amp;'Coeff EC7'!$D$32:$Q$32,0))</f>
        <v>#N/A</v>
      </c>
      <c r="J7" s="28" t="e">
        <f t="array" ref="J7">INDEX('Coeff EC7'!$D$35:$Q$35,1,MATCH(R7&amp;G7,'Coeff EC7'!$D$31:$Q$31&amp;'Coeff EC7'!$D$32:$Q$32,0))</f>
        <v>#N/A</v>
      </c>
      <c r="K7" s="29" t="str">
        <f t="shared" ref="K7:K18" si="0">IF(F7="","",IF(E7="Neutralisé","-",(H7*F7+I7)*(1-EXP(-J7*F7))))</f>
        <v/>
      </c>
      <c r="L7" s="30" t="e">
        <f t="array" ref="L7">INDEX('Coeff EC7'!$D$7:$Q$27,MATCH($B$4,'Coeff EC7'!$C$7:$C$27,0),MATCH(R7&amp;G7,'Coeff EC7'!$D$5:$Q$5&amp;'Coeff EC7'!$D$6:$Q$6,0))</f>
        <v>#N/A</v>
      </c>
      <c r="M7" s="31" t="str">
        <f t="shared" ref="M7:M18" si="1">IF(F7="","",IF(E7="Neutralisé","-",L7*K7*1000))</f>
        <v/>
      </c>
      <c r="N7" s="30" t="e">
        <f t="array" ref="N7">INDEX('Coeff EC7'!$D$41:$Q$61,MATCH($B$4,'Coeff EC7'!$C$41:$C$61,0),MATCH(R7&amp;G7,'Coeff EC7'!$D$39:$Q$39&amp;'Coeff EC7'!$D$40:$Q$40,0))</f>
        <v>#N/A</v>
      </c>
      <c r="O7" s="30" t="e">
        <f>IF(G7="","",MIN(M7:N7))</f>
        <v>#N/A</v>
      </c>
      <c r="P7" s="32" t="e">
        <f t="array" ref="P7">IF($B$4=21,'Coeff EC7'!G106,INDEX('Coeff EC7'!$D$67:$Q$87,MATCH($B$4,'Coeff EC7'!$C$67:$C$87,0),MATCH(R7&amp;G7,'Coeff EC7'!$D$65:$Q$65&amp;'Coeff EC7'!$D$66:$Q$66,0)))</f>
        <v>#N/A</v>
      </c>
      <c r="Q7" s="30" t="str">
        <f>IF(VLOOKUP($A7,Hypothèses!$B$22:$N$169,6,FALSE)&lt;&gt;0,VLOOKUP($A7,Hypothèses!$B$22:$N$169,6,FALSE),"")</f>
        <v/>
      </c>
      <c r="R7" s="23" t="str">
        <f>IF(VLOOKUP($A7,Hypothèses!$B$22:$N$169,8,FALSE)&lt;&gt;0,VLOOKUP($A7,Hypothèses!$B$22:$N$169,8,FALSE),"")</f>
        <v>Pressio.</v>
      </c>
      <c r="S7" s="23">
        <f>VLOOKUP(R7,$AE$3:$AF$4,2,FALSE)</f>
        <v>1</v>
      </c>
      <c r="U7" s="23">
        <v>0</v>
      </c>
      <c r="V7" s="23" t="str">
        <f>IF(VLOOKUP($A7,Hypothèses!$B$22:$N$169,11,FALSE)&lt;&gt;0,VLOOKUP($A7,Hypothèses!$B$22:$N$169,11,FALSE),"")</f>
        <v/>
      </c>
      <c r="W7" s="23" t="str">
        <f>IF(VLOOKUP($A7,Hypothèses!$B$22:$N$169,12,FALSE)&lt;&gt;"",VLOOKUP($A7,Hypothèses!$B$22:$N$169,12,FALSE),"")</f>
        <v/>
      </c>
      <c r="X7" s="23" t="str">
        <f>IF(VLOOKUP($A7,Hypothèses!$B$22:$N$169,13,FALSE)&lt;&gt;"",VLOOKUP($A7,Hypothèses!$B$22:$N$169,13,FALSE),"")</f>
        <v/>
      </c>
      <c r="Z7" s="18"/>
      <c r="AA7" s="31" t="str">
        <f>"ELS C"</f>
        <v>ELS C</v>
      </c>
      <c r="AB7" s="23" t="s">
        <v>46</v>
      </c>
      <c r="AC7" s="33" t="str">
        <f>"Pieu"</f>
        <v>Pieu</v>
      </c>
      <c r="AE7" s="34" t="s">
        <v>19</v>
      </c>
      <c r="AF7" s="34">
        <v>1</v>
      </c>
      <c r="AG7" s="34">
        <v>2</v>
      </c>
      <c r="AI7" s="23">
        <v>1</v>
      </c>
    </row>
    <row r="8" spans="1:35">
      <c r="A8" s="23">
        <f>CONCATENATE($F$3,2)*1</f>
        <v>12</v>
      </c>
      <c r="B8" s="23">
        <f>IF(C7="","",C7)</f>
        <v>0</v>
      </c>
      <c r="C8" s="33">
        <f>IF(VLOOKUP($A8,Hypothèses!$B$22:$N$169,3,FALSE)&lt;&gt;0,VLOOKUP($A8,Hypothèses!$B$22:$N$169,3,FALSE),0)</f>
        <v>0</v>
      </c>
      <c r="D8" s="23">
        <f t="shared" ref="D8:D18" si="2">$B$5-C8</f>
        <v>100</v>
      </c>
      <c r="E8" s="23" t="str">
        <f>IF(VLOOKUP($A8,Hypothèses!$B$22:$N$169,4,FALSE)&lt;&gt;0,VLOOKUP($A8,Hypothèses!$B$22:$N$169,4,FALSE),"")</f>
        <v/>
      </c>
      <c r="F8" s="23" t="str">
        <f>IF(VLOOKUP($A8,Hypothèses!$B$22:$N$169,5,FALSE)&lt;&gt;0,VLOOKUP($A8,Hypothèses!$B$22:$N$169,5,FALSE),"")</f>
        <v/>
      </c>
      <c r="G8" s="23" t="e">
        <f t="shared" ref="G8:G18" si="3">INDEX($AF$8:$AG$14,MATCH(E8,$AE$8:$AE$14,0),MATCH(S8,$AF$7:$AG$7,0))</f>
        <v>#N/A</v>
      </c>
      <c r="H8" s="28" t="e">
        <f t="array" ref="H8">INDEX('Coeff EC7'!$D$33:$Q$33,1,MATCH(R8&amp;G8,'Coeff EC7'!$D$31:$Q$31&amp;'Coeff EC7'!$D$32:$Q$32,0))</f>
        <v>#N/A</v>
      </c>
      <c r="I8" s="28" t="e">
        <f t="array" ref="I8">INDEX('Coeff EC7'!$D$34:$Q$34,1,MATCH(R8&amp;G8,'Coeff EC7'!$D$31:$Q$31&amp;'Coeff EC7'!$D$32:$Q$32,0))</f>
        <v>#N/A</v>
      </c>
      <c r="J8" s="28" t="e">
        <f t="array" ref="J8">INDEX('Coeff EC7'!$D$35:$Q$35,1,MATCH(R8&amp;G8,'Coeff EC7'!$D$31:$Q$31&amp;'Coeff EC7'!$D$32:$Q$32,0))</f>
        <v>#N/A</v>
      </c>
      <c r="K8" s="29" t="str">
        <f t="shared" si="0"/>
        <v/>
      </c>
      <c r="L8" s="30" t="e">
        <f t="array" ref="L8">INDEX('Coeff EC7'!$D$7:$Q$27,MATCH($B$4,'Coeff EC7'!$C$7:$C$27,0),MATCH(R8&amp;G8,'Coeff EC7'!$D$5:$Q$5&amp;'Coeff EC7'!$D$6:$Q$6,0))</f>
        <v>#N/A</v>
      </c>
      <c r="M8" s="31" t="str">
        <f t="shared" si="1"/>
        <v/>
      </c>
      <c r="N8" s="30" t="e">
        <f t="array" ref="N8">INDEX('Coeff EC7'!$D$41:$Q$61,MATCH($B$4,'Coeff EC7'!$C$41:$C$61,0),MATCH(R8&amp;G8,'Coeff EC7'!$D$39:$Q$39&amp;'Coeff EC7'!$D$40:$Q$40,0))</f>
        <v>#N/A</v>
      </c>
      <c r="O8" s="30" t="e">
        <f t="shared" ref="O8:O18" si="4">IF(G8="","",MIN(M8:N8))</f>
        <v>#N/A</v>
      </c>
      <c r="P8" s="30" t="e">
        <f t="array" ref="P8">IF($B$4=21,'Coeff EC7'!G107,INDEX('Coeff EC7'!$D$67:$Q$87,MATCH($B$4,'Coeff EC7'!$C$67:$C$87,0),MATCH(R8&amp;G8,'Coeff EC7'!$D$65:$Q$65&amp;'Coeff EC7'!$D$66:$Q$66,0)))</f>
        <v>#N/A</v>
      </c>
      <c r="Q8" s="30" t="str">
        <f>IF(VLOOKUP($A8,Hypothèses!$B$22:$N$169,6,FALSE)&lt;&gt;0,VLOOKUP($A8,Hypothèses!$B$22:$N$169,6,FALSE),"")</f>
        <v/>
      </c>
      <c r="R8" s="23" t="str">
        <f>IF(VLOOKUP($A8,Hypothèses!$B$22:$N$169,8,FALSE)&lt;&gt;0,VLOOKUP($A8,Hypothèses!$B$22:$N$169,8,FALSE),"")</f>
        <v>Pressio.</v>
      </c>
      <c r="S8" s="23">
        <f t="shared" ref="S8:S18" si="5">VLOOKUP(R8,$AE$3:$AF$4,2,FALSE)</f>
        <v>1</v>
      </c>
      <c r="U8" s="23" t="str">
        <f t="shared" ref="U8:U18" si="6">IF(V7="","",V7)</f>
        <v/>
      </c>
      <c r="V8" s="23" t="str">
        <f>IF(VLOOKUP($A8,Hypothèses!$B$22:$N$169,11,FALSE)&lt;&gt;0,VLOOKUP($A8,Hypothèses!$B$22:$N$169,11,FALSE),"")</f>
        <v/>
      </c>
      <c r="W8" s="23" t="str">
        <f>IF(VLOOKUP($A8,Hypothèses!$B$22:$N$169,12,FALSE)&lt;&gt;"",VLOOKUP($A8,Hypothèses!$B$22:$N$169,12,FALSE),"")</f>
        <v/>
      </c>
      <c r="X8" s="23" t="str">
        <f>IF(VLOOKUP($A8,Hypothèses!$B$22:$N$169,13,FALSE)&lt;&gt;"",VLOOKUP($A8,Hypothèses!$B$22:$N$169,13,FALSE),"")</f>
        <v/>
      </c>
      <c r="Z8" s="18"/>
      <c r="AA8" s="31" t="str">
        <f>"ELS QP"</f>
        <v>ELS QP</v>
      </c>
      <c r="AB8" s="23" t="s">
        <v>47</v>
      </c>
      <c r="AC8" s="33" t="s">
        <v>48</v>
      </c>
      <c r="AE8" s="33" t="s">
        <v>411</v>
      </c>
      <c r="AF8" s="23">
        <v>0</v>
      </c>
      <c r="AG8" s="23">
        <v>0</v>
      </c>
      <c r="AI8" s="23">
        <v>2</v>
      </c>
    </row>
    <row r="9" spans="1:35">
      <c r="A9" s="23">
        <f>CONCATENATE($F$3,3)*1</f>
        <v>13</v>
      </c>
      <c r="B9" s="23">
        <f t="shared" ref="B9:B18" si="7">IF(C8="","",C8)</f>
        <v>0</v>
      </c>
      <c r="C9" s="23">
        <f>IF(VLOOKUP($A9,Hypothèses!$B$22:$N$169,3,FALSE)&lt;&gt;0,VLOOKUP($A9,Hypothèses!$B$22:$N$169,3,FALSE),0)</f>
        <v>0</v>
      </c>
      <c r="D9" s="23">
        <f t="shared" si="2"/>
        <v>100</v>
      </c>
      <c r="E9" s="23" t="str">
        <f>IF(VLOOKUP($A9,Hypothèses!$B$22:$N$169,4,FALSE)&lt;&gt;0,VLOOKUP($A9,Hypothèses!$B$22:$N$169,4,FALSE),"")</f>
        <v/>
      </c>
      <c r="F9" s="23" t="str">
        <f>IF(VLOOKUP($A9,Hypothèses!$B$22:$N$169,5,FALSE)&lt;&gt;0,VLOOKUP($A9,Hypothèses!$B$22:$N$169,5,FALSE),"")</f>
        <v/>
      </c>
      <c r="G9" s="23" t="e">
        <f t="shared" si="3"/>
        <v>#N/A</v>
      </c>
      <c r="H9" s="28" t="e">
        <f t="array" ref="H9">INDEX('Coeff EC7'!$D$33:$Q$33,1,MATCH(R9&amp;G9,'Coeff EC7'!$D$31:$Q$31&amp;'Coeff EC7'!$D$32:$Q$32,0))</f>
        <v>#N/A</v>
      </c>
      <c r="I9" s="28" t="e">
        <f t="array" ref="I9">INDEX('Coeff EC7'!$D$34:$Q$34,1,MATCH(R9&amp;G9,'Coeff EC7'!$D$31:$Q$31&amp;'Coeff EC7'!$D$32:$Q$32,0))</f>
        <v>#N/A</v>
      </c>
      <c r="J9" s="28" t="e">
        <f t="array" ref="J9">INDEX('Coeff EC7'!$D$35:$Q$35,1,MATCH(R9&amp;G9,'Coeff EC7'!$D$31:$Q$31&amp;'Coeff EC7'!$D$32:$Q$32,0))</f>
        <v>#N/A</v>
      </c>
      <c r="K9" s="29" t="str">
        <f t="shared" si="0"/>
        <v/>
      </c>
      <c r="L9" s="30" t="e">
        <f t="array" ref="L9">INDEX('Coeff EC7'!$D$7:$Q$27,MATCH($B$4,'Coeff EC7'!$C$7:$C$27,0),MATCH(R9&amp;G9,'Coeff EC7'!$D$5:$Q$5&amp;'Coeff EC7'!$D$6:$Q$6,0))</f>
        <v>#N/A</v>
      </c>
      <c r="M9" s="31" t="str">
        <f t="shared" si="1"/>
        <v/>
      </c>
      <c r="N9" s="30" t="e">
        <f t="array" ref="N9">INDEX('Coeff EC7'!$D$41:$Q$61,MATCH($B$4,'Coeff EC7'!$C$41:$C$61,0),MATCH(R9&amp;G9,'Coeff EC7'!$D$39:$Q$39&amp;'Coeff EC7'!$D$40:$Q$40,0))</f>
        <v>#N/A</v>
      </c>
      <c r="O9" s="30" t="e">
        <f t="shared" si="4"/>
        <v>#N/A</v>
      </c>
      <c r="P9" s="30" t="e">
        <f t="array" ref="P9">IF($B$4=21,'Coeff EC7'!G108,INDEX('Coeff EC7'!$D$67:$Q$87,MATCH($B$4,'Coeff EC7'!$C$67:$C$87,0),MATCH(R9&amp;G9,'Coeff EC7'!$D$65:$Q$65&amp;'Coeff EC7'!$D$66:$Q$66,0)))</f>
        <v>#N/A</v>
      </c>
      <c r="Q9" s="30" t="str">
        <f>IF(VLOOKUP($A9,Hypothèses!$B$22:$N$169,6,FALSE)&lt;&gt;0,VLOOKUP($A9,Hypothèses!$B$22:$N$169,6,FALSE),"")</f>
        <v/>
      </c>
      <c r="R9" s="23" t="str">
        <f>IF(VLOOKUP($A9,Hypothèses!$B$22:$N$169,8,FALSE)&lt;&gt;0,VLOOKUP($A9,Hypothèses!$B$22:$N$169,8,FALSE),"")</f>
        <v>Pressio.</v>
      </c>
      <c r="S9" s="23">
        <f t="shared" si="5"/>
        <v>1</v>
      </c>
      <c r="U9" s="23" t="str">
        <f t="shared" si="6"/>
        <v/>
      </c>
      <c r="V9" s="23" t="str">
        <f>IF(VLOOKUP($A9,Hypothèses!$B$22:$N$169,11,FALSE)&lt;&gt;0,VLOOKUP($A9,Hypothèses!$B$22:$N$169,11,FALSE),"")</f>
        <v/>
      </c>
      <c r="W9" s="23" t="str">
        <f>IF(VLOOKUP($A9,Hypothèses!$B$22:$N$169,12,FALSE)&lt;&gt;"",VLOOKUP($A9,Hypothèses!$B$22:$N$169,12,FALSE),"")</f>
        <v/>
      </c>
      <c r="X9" s="23" t="str">
        <f>IF(VLOOKUP($A9,Hypothèses!$B$22:$N$169,13,FALSE)&lt;&gt;"",VLOOKUP($A9,Hypothèses!$B$22:$N$169,13,FALSE),"")</f>
        <v/>
      </c>
      <c r="Z9" s="18"/>
      <c r="AA9" s="31" t="s">
        <v>49</v>
      </c>
      <c r="AB9" s="31"/>
      <c r="AC9" s="33"/>
      <c r="AE9" s="35" t="s">
        <v>50</v>
      </c>
      <c r="AF9" s="23" t="s">
        <v>405</v>
      </c>
      <c r="AG9" s="23">
        <v>2</v>
      </c>
      <c r="AI9" s="23">
        <v>3</v>
      </c>
    </row>
    <row r="10" spans="1:35">
      <c r="A10" s="23">
        <f>CONCATENATE($F$3,4)*1</f>
        <v>14</v>
      </c>
      <c r="B10" s="23">
        <f t="shared" si="7"/>
        <v>0</v>
      </c>
      <c r="C10" s="23">
        <f>IF(VLOOKUP($A10,Hypothèses!$B$22:$N$169,3,FALSE)&lt;&gt;0,VLOOKUP($A10,Hypothèses!$B$22:$N$169,3,FALSE),0)</f>
        <v>0</v>
      </c>
      <c r="D10" s="23">
        <f t="shared" si="2"/>
        <v>100</v>
      </c>
      <c r="E10" s="23" t="str">
        <f>IF(VLOOKUP($A10,Hypothèses!$B$22:$N$169,4,FALSE)&lt;&gt;0,VLOOKUP($A10,Hypothèses!$B$22:$N$169,4,FALSE),"")</f>
        <v/>
      </c>
      <c r="F10" s="23" t="str">
        <f>IF(VLOOKUP($A10,Hypothèses!$B$22:$N$169,5,FALSE)&lt;&gt;0,VLOOKUP($A10,Hypothèses!$B$22:$N$169,5,FALSE),"")</f>
        <v/>
      </c>
      <c r="G10" s="23" t="e">
        <f t="shared" si="3"/>
        <v>#N/A</v>
      </c>
      <c r="H10" s="28" t="e">
        <f t="array" ref="H10">INDEX('Coeff EC7'!$D$33:$Q$33,1,MATCH(R10&amp;G10,'Coeff EC7'!$D$31:$Q$31&amp;'Coeff EC7'!$D$32:$Q$32,0))</f>
        <v>#N/A</v>
      </c>
      <c r="I10" s="28" t="e">
        <f t="array" ref="I10">INDEX('Coeff EC7'!$D$34:$Q$34,1,MATCH(R10&amp;G10,'Coeff EC7'!$D$31:$Q$31&amp;'Coeff EC7'!$D$32:$Q$32,0))</f>
        <v>#N/A</v>
      </c>
      <c r="J10" s="28" t="e">
        <f t="array" ref="J10">INDEX('Coeff EC7'!$D$35:$Q$35,1,MATCH(R10&amp;G10,'Coeff EC7'!$D$31:$Q$31&amp;'Coeff EC7'!$D$32:$Q$32,0))</f>
        <v>#N/A</v>
      </c>
      <c r="K10" s="29" t="str">
        <f t="shared" si="0"/>
        <v/>
      </c>
      <c r="L10" s="30" t="e">
        <f t="array" ref="L10">INDEX('Coeff EC7'!$D$7:$Q$27,MATCH($B$4,'Coeff EC7'!$C$7:$C$27,0),MATCH(R10&amp;G10,'Coeff EC7'!$D$5:$Q$5&amp;'Coeff EC7'!$D$6:$Q$6,0))</f>
        <v>#N/A</v>
      </c>
      <c r="M10" s="31" t="str">
        <f t="shared" si="1"/>
        <v/>
      </c>
      <c r="N10" s="30" t="e">
        <f t="array" ref="N10">INDEX('Coeff EC7'!$D$41:$Q$61,MATCH($B$4,'Coeff EC7'!$C$41:$C$61,0),MATCH(R10&amp;G10,'Coeff EC7'!$D$39:$Q$39&amp;'Coeff EC7'!$D$40:$Q$40,0))</f>
        <v>#N/A</v>
      </c>
      <c r="O10" s="30" t="e">
        <f t="shared" si="4"/>
        <v>#N/A</v>
      </c>
      <c r="P10" s="30" t="e">
        <f t="array" ref="P10">IF($B$4=21,'Coeff EC7'!G109,INDEX('Coeff EC7'!$D$67:$Q$87,MATCH($B$4,'Coeff EC7'!$C$67:$C$87,0),MATCH(R10&amp;G10,'Coeff EC7'!$D$65:$Q$65&amp;'Coeff EC7'!$D$66:$Q$66,0)))</f>
        <v>#N/A</v>
      </c>
      <c r="Q10" s="30" t="str">
        <f>IF(VLOOKUP($A10,Hypothèses!$B$22:$N$169,6,FALSE)&lt;&gt;0,VLOOKUP($A10,Hypothèses!$B$22:$N$169,6,FALSE),"")</f>
        <v/>
      </c>
      <c r="R10" s="23" t="str">
        <f>IF(VLOOKUP($A10,Hypothèses!$B$22:$N$169,8,FALSE)&lt;&gt;0,VLOOKUP($A10,Hypothèses!$B$22:$N$169,8,FALSE),"")</f>
        <v>Pressio.</v>
      </c>
      <c r="S10" s="23">
        <f t="shared" si="5"/>
        <v>1</v>
      </c>
      <c r="U10" s="23" t="str">
        <f t="shared" si="6"/>
        <v/>
      </c>
      <c r="V10" s="23" t="str">
        <f>IF(VLOOKUP($A10,Hypothèses!$B$22:$N$169,11,FALSE)&lt;&gt;0,VLOOKUP($A10,Hypothèses!$B$22:$N$169,11,FALSE),"")</f>
        <v/>
      </c>
      <c r="W10" s="23" t="str">
        <f>IF(VLOOKUP($A10,Hypothèses!$B$22:$N$169,12,FALSE)&lt;&gt;"",VLOOKUP($A10,Hypothèses!$B$22:$N$169,12,FALSE),"")</f>
        <v/>
      </c>
      <c r="X10" s="23" t="str">
        <f>IF(VLOOKUP($A10,Hypothèses!$B$22:$N$169,13,FALSE)&lt;&gt;"",VLOOKUP($A10,Hypothèses!$B$22:$N$169,13,FALSE),"")</f>
        <v/>
      </c>
      <c r="Z10" s="18"/>
      <c r="AA10" s="31" t="s">
        <v>51</v>
      </c>
      <c r="AB10" s="31"/>
      <c r="AC10" s="33"/>
      <c r="AE10" s="35" t="str">
        <f>"Argile / Limons"</f>
        <v>Argile / Limons</v>
      </c>
      <c r="AF10" s="23">
        <v>1</v>
      </c>
      <c r="AG10" s="23">
        <v>1</v>
      </c>
      <c r="AI10" s="23">
        <v>4</v>
      </c>
    </row>
    <row r="11" spans="1:35">
      <c r="A11" s="23">
        <f>CONCATENATE($F$3,5)*1</f>
        <v>15</v>
      </c>
      <c r="B11" s="23">
        <f t="shared" si="7"/>
        <v>0</v>
      </c>
      <c r="C11" s="23">
        <f>IF(VLOOKUP($A11,Hypothèses!$B$22:$N$169,3,FALSE)&lt;&gt;0,VLOOKUP($A11,Hypothèses!$B$22:$N$169,3,FALSE),0)</f>
        <v>0</v>
      </c>
      <c r="D11" s="23">
        <f t="shared" si="2"/>
        <v>100</v>
      </c>
      <c r="E11" s="23" t="str">
        <f>IF(VLOOKUP($A11,Hypothèses!$B$22:$N$169,4,FALSE)&lt;&gt;0,VLOOKUP($A11,Hypothèses!$B$22:$N$169,4,FALSE),"")</f>
        <v/>
      </c>
      <c r="F11" s="23" t="str">
        <f>IF(VLOOKUP($A11,Hypothèses!$B$22:$N$169,5,FALSE)&lt;&gt;0,VLOOKUP($A11,Hypothèses!$B$22:$N$169,5,FALSE),"")</f>
        <v/>
      </c>
      <c r="G11" s="23" t="e">
        <f t="shared" si="3"/>
        <v>#N/A</v>
      </c>
      <c r="H11" s="28" t="e">
        <f t="array" ref="H11">INDEX('Coeff EC7'!$D$33:$Q$33,1,MATCH(R11&amp;G11,'Coeff EC7'!$D$31:$Q$31&amp;'Coeff EC7'!$D$32:$Q$32,0))</f>
        <v>#N/A</v>
      </c>
      <c r="I11" s="28" t="e">
        <f t="array" ref="I11">INDEX('Coeff EC7'!$D$34:$Q$34,1,MATCH(R11&amp;G11,'Coeff EC7'!$D$31:$Q$31&amp;'Coeff EC7'!$D$32:$Q$32,0))</f>
        <v>#N/A</v>
      </c>
      <c r="J11" s="28" t="e">
        <f t="array" ref="J11">INDEX('Coeff EC7'!$D$35:$Q$35,1,MATCH(R11&amp;G11,'Coeff EC7'!$D$31:$Q$31&amp;'Coeff EC7'!$D$32:$Q$32,0))</f>
        <v>#N/A</v>
      </c>
      <c r="K11" s="29" t="str">
        <f t="shared" si="0"/>
        <v/>
      </c>
      <c r="L11" s="30" t="e">
        <f t="array" ref="L11">INDEX('Coeff EC7'!$D$7:$Q$27,MATCH($B$4,'Coeff EC7'!$C$7:$C$27,0),MATCH(R11&amp;G11,'Coeff EC7'!$D$5:$Q$5&amp;'Coeff EC7'!$D$6:$Q$6,0))</f>
        <v>#N/A</v>
      </c>
      <c r="M11" s="31" t="str">
        <f t="shared" si="1"/>
        <v/>
      </c>
      <c r="N11" s="30" t="e">
        <f t="array" ref="N11">INDEX('Coeff EC7'!$D$41:$Q$61,MATCH($B$4,'Coeff EC7'!$C$41:$C$61,0),MATCH(R11&amp;G11,'Coeff EC7'!$D$39:$Q$39&amp;'Coeff EC7'!$D$40:$Q$40,0))</f>
        <v>#N/A</v>
      </c>
      <c r="O11" s="30" t="e">
        <f t="shared" si="4"/>
        <v>#N/A</v>
      </c>
      <c r="P11" s="30" t="e">
        <f t="array" ref="P11">IF($B$4=21,'Coeff EC7'!G110,INDEX('Coeff EC7'!$D$67:$Q$87,MATCH($B$4,'Coeff EC7'!$C$67:$C$87,0),MATCH(R11&amp;G11,'Coeff EC7'!$D$65:$Q$65&amp;'Coeff EC7'!$D$66:$Q$66,0)))</f>
        <v>#N/A</v>
      </c>
      <c r="Q11" s="30" t="str">
        <f>IF(VLOOKUP($A11,Hypothèses!$B$22:$N$169,6,FALSE)&lt;&gt;0,VLOOKUP($A11,Hypothèses!$B$22:$N$169,6,FALSE),"")</f>
        <v/>
      </c>
      <c r="R11" s="23" t="str">
        <f>IF(VLOOKUP($A11,Hypothèses!$B$22:$N$169,8,FALSE)&lt;&gt;0,VLOOKUP($A11,Hypothèses!$B$22:$N$169,8,FALSE),"")</f>
        <v>Pressio.</v>
      </c>
      <c r="S11" s="23">
        <f t="shared" si="5"/>
        <v>1</v>
      </c>
      <c r="U11" s="23" t="str">
        <f t="shared" si="6"/>
        <v/>
      </c>
      <c r="V11" s="23" t="str">
        <f>IF(VLOOKUP($A11,Hypothèses!$B$22:$N$169,11,FALSE)&lt;&gt;0,VLOOKUP($A11,Hypothèses!$B$22:$N$169,11,FALSE),"")</f>
        <v/>
      </c>
      <c r="W11" s="23" t="str">
        <f>IF(VLOOKUP($A11,Hypothèses!$B$22:$N$169,12,FALSE)&lt;&gt;"",VLOOKUP($A11,Hypothèses!$B$22:$N$169,12,FALSE),"")</f>
        <v/>
      </c>
      <c r="X11" s="23" t="str">
        <f>IF(VLOOKUP($A11,Hypothèses!$B$22:$N$169,13,FALSE)&lt;&gt;"",VLOOKUP($A11,Hypothèses!$B$22:$N$169,13,FALSE),"")</f>
        <v/>
      </c>
      <c r="Z11" s="18"/>
      <c r="AA11" s="31"/>
      <c r="AB11" s="31"/>
      <c r="AC11" s="33"/>
      <c r="AE11" s="35" t="str">
        <f>"Sables / Graves"</f>
        <v>Sables / Graves</v>
      </c>
      <c r="AF11" s="23">
        <v>2</v>
      </c>
      <c r="AG11" s="23">
        <v>3</v>
      </c>
      <c r="AI11" s="23">
        <v>5</v>
      </c>
    </row>
    <row r="12" spans="1:35">
      <c r="A12" s="23">
        <f>CONCATENATE($F$3,6)*1</f>
        <v>16</v>
      </c>
      <c r="B12" s="23">
        <f t="shared" si="7"/>
        <v>0</v>
      </c>
      <c r="C12" s="23">
        <f>IF(VLOOKUP($A12,Hypothèses!$B$22:$N$169,3,FALSE)&lt;&gt;0,VLOOKUP($A12,Hypothèses!$B$22:$N$169,3,FALSE),0)</f>
        <v>0</v>
      </c>
      <c r="D12" s="23">
        <f t="shared" si="2"/>
        <v>100</v>
      </c>
      <c r="E12" s="23" t="str">
        <f>IF(VLOOKUP($A12,Hypothèses!$B$22:$N$169,4,FALSE)&lt;&gt;0,VLOOKUP($A12,Hypothèses!$B$22:$N$169,4,FALSE),"")</f>
        <v/>
      </c>
      <c r="F12" s="23" t="str">
        <f>IF(VLOOKUP($A12,Hypothèses!$B$22:$N$169,5,FALSE)&lt;&gt;0,VLOOKUP($A12,Hypothèses!$B$22:$N$169,5,FALSE),"")</f>
        <v/>
      </c>
      <c r="G12" s="23" t="e">
        <f t="shared" si="3"/>
        <v>#N/A</v>
      </c>
      <c r="H12" s="28" t="e">
        <f t="array" ref="H12">INDEX('Coeff EC7'!$D$33:$Q$33,1,MATCH(R12&amp;G12,'Coeff EC7'!$D$31:$Q$31&amp;'Coeff EC7'!$D$32:$Q$32,0))</f>
        <v>#N/A</v>
      </c>
      <c r="I12" s="28" t="e">
        <f t="array" ref="I12">INDEX('Coeff EC7'!$D$34:$Q$34,1,MATCH(R12&amp;G12,'Coeff EC7'!$D$31:$Q$31&amp;'Coeff EC7'!$D$32:$Q$32,0))</f>
        <v>#N/A</v>
      </c>
      <c r="J12" s="28" t="e">
        <f t="array" ref="J12">INDEX('Coeff EC7'!$D$35:$Q$35,1,MATCH(R12&amp;G12,'Coeff EC7'!$D$31:$Q$31&amp;'Coeff EC7'!$D$32:$Q$32,0))</f>
        <v>#N/A</v>
      </c>
      <c r="K12" s="29" t="str">
        <f t="shared" si="0"/>
        <v/>
      </c>
      <c r="L12" s="30" t="e">
        <f t="array" ref="L12">INDEX('Coeff EC7'!$D$7:$Q$27,MATCH($B$4,'Coeff EC7'!$C$7:$C$27,0),MATCH(R12&amp;G12,'Coeff EC7'!$D$5:$Q$5&amp;'Coeff EC7'!$D$6:$Q$6,0))</f>
        <v>#N/A</v>
      </c>
      <c r="M12" s="31" t="str">
        <f t="shared" si="1"/>
        <v/>
      </c>
      <c r="N12" s="30" t="e">
        <f t="array" ref="N12">INDEX('Coeff EC7'!$D$41:$Q$61,MATCH($B$4,'Coeff EC7'!$C$41:$C$61,0),MATCH(R12&amp;G12,'Coeff EC7'!$D$39:$Q$39&amp;'Coeff EC7'!$D$40:$Q$40,0))</f>
        <v>#N/A</v>
      </c>
      <c r="O12" s="30" t="e">
        <f t="shared" si="4"/>
        <v>#N/A</v>
      </c>
      <c r="P12" s="30" t="e">
        <f t="array" ref="P12">IF($B$4=21,'Coeff EC7'!G111,INDEX('Coeff EC7'!$D$67:$Q$87,MATCH($B$4,'Coeff EC7'!$C$67:$C$87,0),MATCH(R12&amp;G12,'Coeff EC7'!$D$65:$Q$65&amp;'Coeff EC7'!$D$66:$Q$66,0)))</f>
        <v>#N/A</v>
      </c>
      <c r="Q12" s="30" t="str">
        <f>IF(VLOOKUP($A12,Hypothèses!$B$22:$N$169,6,FALSE)&lt;&gt;0,VLOOKUP($A12,Hypothèses!$B$22:$N$169,6,FALSE),"")</f>
        <v/>
      </c>
      <c r="R12" s="23" t="str">
        <f>IF(VLOOKUP($A12,Hypothèses!$B$22:$N$169,8,FALSE)&lt;&gt;0,VLOOKUP($A12,Hypothèses!$B$22:$N$169,8,FALSE),"")</f>
        <v/>
      </c>
      <c r="S12" s="23" t="e">
        <f t="shared" si="5"/>
        <v>#N/A</v>
      </c>
      <c r="U12" s="23" t="str">
        <f t="shared" si="6"/>
        <v/>
      </c>
      <c r="V12" s="23" t="str">
        <f>IF(VLOOKUP($A12,Hypothèses!$B$22:$N$169,11,FALSE)&lt;&gt;0,VLOOKUP($A12,Hypothèses!$B$22:$N$169,11,FALSE),"")</f>
        <v/>
      </c>
      <c r="W12" s="23" t="str">
        <f>IF(VLOOKUP($A12,Hypothèses!$B$22:$N$169,12,FALSE)&lt;&gt;"",VLOOKUP($A12,Hypothèses!$B$22:$N$169,12,FALSE),"")</f>
        <v/>
      </c>
      <c r="X12" s="23" t="str">
        <f>IF(VLOOKUP($A12,Hypothèses!$B$22:$N$169,13,FALSE)&lt;&gt;"",VLOOKUP($A12,Hypothèses!$B$22:$N$169,13,FALSE),"")</f>
        <v/>
      </c>
      <c r="Z12" s="18"/>
      <c r="AA12" s="31"/>
      <c r="AB12" s="31"/>
      <c r="AC12" s="33"/>
      <c r="AE12" s="35" t="str">
        <f>"Craie"</f>
        <v>Craie</v>
      </c>
      <c r="AF12" s="23">
        <v>3</v>
      </c>
      <c r="AG12" s="23">
        <v>4</v>
      </c>
      <c r="AI12" s="23">
        <v>6</v>
      </c>
    </row>
    <row r="13" spans="1:35">
      <c r="A13" s="23">
        <f>CONCATENATE($F$3,7)*1</f>
        <v>17</v>
      </c>
      <c r="B13" s="23">
        <f t="shared" si="7"/>
        <v>0</v>
      </c>
      <c r="C13" s="23">
        <f>IF(VLOOKUP($A13,Hypothèses!$B$22:$N$169,3,FALSE)&lt;&gt;0,VLOOKUP($A13,Hypothèses!$B$22:$N$169,3,FALSE),0)</f>
        <v>0</v>
      </c>
      <c r="D13" s="23">
        <f t="shared" si="2"/>
        <v>100</v>
      </c>
      <c r="E13" s="23" t="str">
        <f>IF(VLOOKUP($A13,Hypothèses!$B$22:$N$169,4,FALSE)&lt;&gt;0,VLOOKUP($A13,Hypothèses!$B$22:$N$169,4,FALSE),"")</f>
        <v/>
      </c>
      <c r="F13" s="23" t="str">
        <f>IF(VLOOKUP($A13,Hypothèses!$B$22:$N$169,5,FALSE)&lt;&gt;0,VLOOKUP($A13,Hypothèses!$B$22:$N$169,5,FALSE),"")</f>
        <v/>
      </c>
      <c r="G13" s="23" t="e">
        <f t="shared" si="3"/>
        <v>#N/A</v>
      </c>
      <c r="H13" s="28" t="e">
        <f t="array" ref="H13">INDEX('Coeff EC7'!$D$33:$Q$33,1,MATCH(R13&amp;G13,'Coeff EC7'!$D$31:$Q$31&amp;'Coeff EC7'!$D$32:$Q$32,0))</f>
        <v>#N/A</v>
      </c>
      <c r="I13" s="28" t="e">
        <f t="array" ref="I13">INDEX('Coeff EC7'!$D$34:$Q$34,1,MATCH(R13&amp;G13,'Coeff EC7'!$D$31:$Q$31&amp;'Coeff EC7'!$D$32:$Q$32,0))</f>
        <v>#N/A</v>
      </c>
      <c r="J13" s="28" t="e">
        <f t="array" ref="J13">INDEX('Coeff EC7'!$D$35:$Q$35,1,MATCH(R13&amp;G13,'Coeff EC7'!$D$31:$Q$31&amp;'Coeff EC7'!$D$32:$Q$32,0))</f>
        <v>#N/A</v>
      </c>
      <c r="K13" s="29" t="str">
        <f t="shared" si="0"/>
        <v/>
      </c>
      <c r="L13" s="30" t="e">
        <f t="array" ref="L13">INDEX('Coeff EC7'!$D$7:$Q$27,MATCH($B$4,'Coeff EC7'!$C$7:$C$27,0),MATCH(R13&amp;G13,'Coeff EC7'!$D$5:$Q$5&amp;'Coeff EC7'!$D$6:$Q$6,0))</f>
        <v>#N/A</v>
      </c>
      <c r="M13" s="31" t="str">
        <f t="shared" si="1"/>
        <v/>
      </c>
      <c r="N13" s="30" t="e">
        <f t="array" ref="N13">INDEX('Coeff EC7'!$D$41:$Q$61,MATCH($B$4,'Coeff EC7'!$C$41:$C$61,0),MATCH(R13&amp;G13,'Coeff EC7'!$D$39:$Q$39&amp;'Coeff EC7'!$D$40:$Q$40,0))</f>
        <v>#N/A</v>
      </c>
      <c r="O13" s="30" t="e">
        <f t="shared" si="4"/>
        <v>#N/A</v>
      </c>
      <c r="P13" s="30" t="e">
        <f t="array" ref="P13">IF($B$4=21,'Coeff EC7'!G112,INDEX('Coeff EC7'!$D$67:$Q$87,MATCH($B$4,'Coeff EC7'!$C$67:$C$87,0),MATCH(R13&amp;G13,'Coeff EC7'!$D$65:$Q$65&amp;'Coeff EC7'!$D$66:$Q$66,0)))</f>
        <v>#N/A</v>
      </c>
      <c r="Q13" s="30" t="str">
        <f>IF(VLOOKUP($A13,Hypothèses!$B$22:$N$169,6,FALSE)&lt;&gt;0,VLOOKUP($A13,Hypothèses!$B$22:$N$169,6,FALSE),"")</f>
        <v/>
      </c>
      <c r="R13" s="23" t="str">
        <f>IF(VLOOKUP($A13,Hypothèses!$B$22:$N$169,8,FALSE)&lt;&gt;0,VLOOKUP($A13,Hypothèses!$B$22:$N$169,8,FALSE),"")</f>
        <v/>
      </c>
      <c r="S13" s="23" t="e">
        <f t="shared" si="5"/>
        <v>#N/A</v>
      </c>
      <c r="U13" s="23" t="str">
        <f t="shared" si="6"/>
        <v/>
      </c>
      <c r="V13" s="23" t="str">
        <f>IF(VLOOKUP($A13,Hypothèses!$B$22:$N$169,11,FALSE)&lt;&gt;0,VLOOKUP($A13,Hypothèses!$B$22:$N$169,11,FALSE),"")</f>
        <v/>
      </c>
      <c r="W13" s="23" t="str">
        <f>IF(VLOOKUP($A13,Hypothèses!$B$22:$N$169,12,FALSE)&lt;&gt;"",VLOOKUP($A13,Hypothèses!$B$22:$N$169,12,FALSE),"")</f>
        <v/>
      </c>
      <c r="X13" s="23" t="str">
        <f>IF(VLOOKUP($A13,Hypothèses!$B$22:$N$169,13,FALSE)&lt;&gt;"",VLOOKUP($A13,Hypothèses!$B$22:$N$169,13,FALSE),"")</f>
        <v/>
      </c>
      <c r="Z13" s="18"/>
      <c r="AA13" s="31"/>
      <c r="AB13" s="31"/>
      <c r="AC13" s="33"/>
      <c r="AE13" s="35" t="str">
        <f>"Marne / Calcaire"</f>
        <v>Marne / Calcaire</v>
      </c>
      <c r="AF13" s="23">
        <v>4</v>
      </c>
      <c r="AG13" s="23">
        <v>5</v>
      </c>
      <c r="AI13" s="23">
        <v>7</v>
      </c>
    </row>
    <row r="14" spans="1:35">
      <c r="A14" s="23">
        <f>CONCATENATE($F$3,8)*1</f>
        <v>18</v>
      </c>
      <c r="B14" s="23">
        <f t="shared" si="7"/>
        <v>0</v>
      </c>
      <c r="C14" s="23">
        <f>IF(VLOOKUP($A14,Hypothèses!$B$22:$N$169,3,FALSE)&lt;&gt;0,VLOOKUP($A14,Hypothèses!$B$22:$N$169,3,FALSE),0)</f>
        <v>0</v>
      </c>
      <c r="D14" s="23">
        <f t="shared" si="2"/>
        <v>100</v>
      </c>
      <c r="E14" s="23" t="str">
        <f>IF(VLOOKUP($A14,Hypothèses!$B$22:$N$169,4,FALSE)&lt;&gt;0,VLOOKUP($A14,Hypothèses!$B$22:$N$169,4,FALSE),"")</f>
        <v/>
      </c>
      <c r="F14" s="23" t="str">
        <f>IF(VLOOKUP($A14,Hypothèses!$B$22:$N$169,5,FALSE)&lt;&gt;0,VLOOKUP($A14,Hypothèses!$B$22:$N$169,5,FALSE),"")</f>
        <v/>
      </c>
      <c r="G14" s="23" t="e">
        <f t="shared" si="3"/>
        <v>#N/A</v>
      </c>
      <c r="H14" s="28" t="e">
        <f t="array" ref="H14">INDEX('Coeff EC7'!$D$33:$Q$33,1,MATCH(R14&amp;G14,'Coeff EC7'!$D$31:$Q$31&amp;'Coeff EC7'!$D$32:$Q$32,0))</f>
        <v>#N/A</v>
      </c>
      <c r="I14" s="28" t="e">
        <f t="array" ref="I14">INDEX('Coeff EC7'!$D$34:$Q$34,1,MATCH(R14&amp;G14,'Coeff EC7'!$D$31:$Q$31&amp;'Coeff EC7'!$D$32:$Q$32,0))</f>
        <v>#N/A</v>
      </c>
      <c r="J14" s="28" t="e">
        <f t="array" ref="J14">INDEX('Coeff EC7'!$D$35:$Q$35,1,MATCH(R14&amp;G14,'Coeff EC7'!$D$31:$Q$31&amp;'Coeff EC7'!$D$32:$Q$32,0))</f>
        <v>#N/A</v>
      </c>
      <c r="K14" s="29" t="str">
        <f t="shared" si="0"/>
        <v/>
      </c>
      <c r="L14" s="30" t="e">
        <f t="array" ref="L14">INDEX('Coeff EC7'!$D$7:$Q$27,MATCH($B$4,'Coeff EC7'!$C$7:$C$27,0),MATCH(R14&amp;G14,'Coeff EC7'!$D$5:$Q$5&amp;'Coeff EC7'!$D$6:$Q$6,0))</f>
        <v>#N/A</v>
      </c>
      <c r="M14" s="31" t="str">
        <f t="shared" si="1"/>
        <v/>
      </c>
      <c r="N14" s="30" t="e">
        <f t="array" ref="N14">INDEX('Coeff EC7'!$D$41:$Q$61,MATCH($B$4,'Coeff EC7'!$C$41:$C$61,0),MATCH(R14&amp;G14,'Coeff EC7'!$D$39:$Q$39&amp;'Coeff EC7'!$D$40:$Q$40,0))</f>
        <v>#N/A</v>
      </c>
      <c r="O14" s="30" t="e">
        <f t="shared" si="4"/>
        <v>#N/A</v>
      </c>
      <c r="P14" s="30" t="e">
        <f t="array" ref="P14">IF($B$4=21,'Coeff EC7'!G113,INDEX('Coeff EC7'!$D$67:$Q$87,MATCH($B$4,'Coeff EC7'!$C$67:$C$87,0),MATCH(R14&amp;G14,'Coeff EC7'!$D$65:$Q$65&amp;'Coeff EC7'!$D$66:$Q$66,0)))</f>
        <v>#N/A</v>
      </c>
      <c r="Q14" s="30" t="str">
        <f>IF(VLOOKUP($A14,Hypothèses!$B$22:$N$169,6,FALSE)&lt;&gt;0,VLOOKUP($A14,Hypothèses!$B$22:$N$169,6,FALSE),"")</f>
        <v/>
      </c>
      <c r="R14" s="23" t="str">
        <f>IF(VLOOKUP($A14,Hypothèses!$B$22:$N$169,8,FALSE)&lt;&gt;0,VLOOKUP($A14,Hypothèses!$B$22:$N$169,8,FALSE),"")</f>
        <v/>
      </c>
      <c r="S14" s="23" t="e">
        <f t="shared" si="5"/>
        <v>#N/A</v>
      </c>
      <c r="U14" s="23" t="str">
        <f t="shared" si="6"/>
        <v/>
      </c>
      <c r="V14" s="23" t="str">
        <f>IF(VLOOKUP($A14,Hypothèses!$B$22:$N$169,11,FALSE)&lt;&gt;0,VLOOKUP($A14,Hypothèses!$B$22:$N$169,11,FALSE),"")</f>
        <v/>
      </c>
      <c r="W14" s="23" t="str">
        <f>IF(VLOOKUP($A14,Hypothèses!$B$22:$N$169,12,FALSE)&lt;&gt;"",VLOOKUP($A14,Hypothèses!$B$22:$N$169,12,FALSE),"")</f>
        <v/>
      </c>
      <c r="X14" s="23" t="str">
        <f>IF(VLOOKUP($A14,Hypothèses!$B$22:$N$169,13,FALSE)&lt;&gt;"",VLOOKUP($A14,Hypothèses!$B$22:$N$169,13,FALSE),"")</f>
        <v/>
      </c>
      <c r="Z14" s="18"/>
      <c r="AA14" s="31"/>
      <c r="AB14" s="31"/>
      <c r="AC14" s="33"/>
      <c r="AE14" s="35" t="str">
        <f>"Roche"</f>
        <v>Roche</v>
      </c>
      <c r="AF14" s="23">
        <v>5</v>
      </c>
      <c r="AG14" s="23">
        <v>6</v>
      </c>
      <c r="AI14" s="23">
        <v>8</v>
      </c>
    </row>
    <row r="15" spans="1:35">
      <c r="A15" s="23">
        <f>CONCATENATE($F$3,9)*1</f>
        <v>19</v>
      </c>
      <c r="B15" s="23">
        <f t="shared" si="7"/>
        <v>0</v>
      </c>
      <c r="C15" s="23">
        <f>IF(VLOOKUP($A15,Hypothèses!$B$22:$N$169,3,FALSE)&lt;&gt;0,VLOOKUP($A15,Hypothèses!$B$22:$N$169,3,FALSE),0)</f>
        <v>0</v>
      </c>
      <c r="D15" s="23">
        <f t="shared" si="2"/>
        <v>100</v>
      </c>
      <c r="E15" s="23" t="str">
        <f>IF(VLOOKUP($A15,Hypothèses!$B$22:$N$169,4,FALSE)&lt;&gt;0,VLOOKUP($A15,Hypothèses!$B$22:$N$169,4,FALSE),"")</f>
        <v/>
      </c>
      <c r="F15" s="23" t="str">
        <f>IF(VLOOKUP($A15,Hypothèses!$B$22:$N$169,5,FALSE)&lt;&gt;0,VLOOKUP($A15,Hypothèses!$B$22:$N$169,5,FALSE),"")</f>
        <v/>
      </c>
      <c r="G15" s="23" t="e">
        <f t="shared" si="3"/>
        <v>#N/A</v>
      </c>
      <c r="H15" s="28" t="e">
        <f t="array" ref="H15">INDEX('Coeff EC7'!$D$33:$Q$33,1,MATCH(R15&amp;G15,'Coeff EC7'!$D$31:$Q$31&amp;'Coeff EC7'!$D$32:$Q$32,0))</f>
        <v>#N/A</v>
      </c>
      <c r="I15" s="28" t="e">
        <f t="array" ref="I15">INDEX('Coeff EC7'!$D$34:$Q$34,1,MATCH(R15&amp;G15,'Coeff EC7'!$D$31:$Q$31&amp;'Coeff EC7'!$D$32:$Q$32,0))</f>
        <v>#N/A</v>
      </c>
      <c r="J15" s="28" t="e">
        <f t="array" ref="J15">INDEX('Coeff EC7'!$D$35:$Q$35,1,MATCH(R15&amp;G15,'Coeff EC7'!$D$31:$Q$31&amp;'Coeff EC7'!$D$32:$Q$32,0))</f>
        <v>#N/A</v>
      </c>
      <c r="K15" s="29" t="str">
        <f t="shared" si="0"/>
        <v/>
      </c>
      <c r="L15" s="30" t="e">
        <f t="array" ref="L15">INDEX('Coeff EC7'!$D$7:$Q$27,MATCH($B$4,'Coeff EC7'!$C$7:$C$27,0),MATCH(R15&amp;G15,'Coeff EC7'!$D$5:$Q$5&amp;'Coeff EC7'!$D$6:$Q$6,0))</f>
        <v>#N/A</v>
      </c>
      <c r="M15" s="31" t="str">
        <f t="shared" si="1"/>
        <v/>
      </c>
      <c r="N15" s="30" t="e">
        <f t="array" ref="N15">INDEX('Coeff EC7'!$D$41:$Q$61,MATCH($B$4,'Coeff EC7'!$C$41:$C$61,0),MATCH(R15&amp;G15,'Coeff EC7'!$D$39:$Q$39&amp;'Coeff EC7'!$D$40:$Q$40,0))</f>
        <v>#N/A</v>
      </c>
      <c r="O15" s="30" t="e">
        <f t="shared" si="4"/>
        <v>#N/A</v>
      </c>
      <c r="P15" s="30" t="e">
        <f t="array" ref="P15">IF($B$4=21,'Coeff EC7'!G114,INDEX('Coeff EC7'!$D$67:$Q$87,MATCH($B$4,'Coeff EC7'!$C$67:$C$87,0),MATCH(R15&amp;G15,'Coeff EC7'!$D$65:$Q$65&amp;'Coeff EC7'!$D$66:$Q$66,0)))</f>
        <v>#N/A</v>
      </c>
      <c r="Q15" s="30" t="str">
        <f>IF(VLOOKUP($A15,Hypothèses!$B$22:$N$169,6,FALSE)&lt;&gt;0,VLOOKUP($A15,Hypothèses!$B$22:$N$169,6,FALSE),"")</f>
        <v/>
      </c>
      <c r="R15" s="23" t="str">
        <f>IF(VLOOKUP($A15,Hypothèses!$B$22:$N$169,8,FALSE)&lt;&gt;0,VLOOKUP($A15,Hypothèses!$B$22:$N$169,8,FALSE),"")</f>
        <v/>
      </c>
      <c r="S15" s="23" t="e">
        <f t="shared" si="5"/>
        <v>#N/A</v>
      </c>
      <c r="U15" s="23" t="str">
        <f t="shared" si="6"/>
        <v/>
      </c>
      <c r="V15" s="23" t="str">
        <f>IF(VLOOKUP($A15,Hypothèses!$B$22:$N$169,11,FALSE)&lt;&gt;0,VLOOKUP($A15,Hypothèses!$B$22:$N$169,11,FALSE),"")</f>
        <v/>
      </c>
      <c r="W15" s="23" t="str">
        <f>IF(VLOOKUP($A15,Hypothèses!$B$22:$N$169,12,FALSE)&lt;&gt;"",VLOOKUP($A15,Hypothèses!$B$22:$N$169,12,FALSE),"")</f>
        <v/>
      </c>
      <c r="X15" s="23" t="str">
        <f>IF(VLOOKUP($A15,Hypothèses!$B$22:$N$169,13,FALSE)&lt;&gt;"",VLOOKUP($A15,Hypothèses!$B$22:$N$169,13,FALSE),"")</f>
        <v/>
      </c>
      <c r="Z15" s="18"/>
      <c r="AA15" s="31"/>
      <c r="AB15" s="31"/>
      <c r="AC15" s="33"/>
      <c r="AI15" s="23">
        <v>9</v>
      </c>
    </row>
    <row r="16" spans="1:35">
      <c r="A16" s="23">
        <f>CONCATENATE($F$3,10)*1</f>
        <v>110</v>
      </c>
      <c r="B16" s="23">
        <f t="shared" si="7"/>
        <v>0</v>
      </c>
      <c r="C16" s="23">
        <f>IF(VLOOKUP($A16,Hypothèses!$B$22:$N$169,3,FALSE)&lt;&gt;0,VLOOKUP($A16,Hypothèses!$B$22:$N$169,3,FALSE),0)</f>
        <v>0</v>
      </c>
      <c r="D16" s="23">
        <f t="shared" si="2"/>
        <v>100</v>
      </c>
      <c r="E16" s="23" t="str">
        <f>IF(VLOOKUP($A16,Hypothèses!$B$22:$N$169,4,FALSE)&lt;&gt;0,VLOOKUP($A16,Hypothèses!$B$22:$N$169,4,FALSE),"")</f>
        <v/>
      </c>
      <c r="F16" s="23" t="str">
        <f>IF(VLOOKUP($A16,Hypothèses!$B$22:$N$169,5,FALSE)&lt;&gt;0,VLOOKUP($A16,Hypothèses!$B$22:$N$169,5,FALSE),"")</f>
        <v/>
      </c>
      <c r="G16" s="23" t="e">
        <f t="shared" si="3"/>
        <v>#N/A</v>
      </c>
      <c r="H16" s="28" t="e">
        <f t="array" ref="H16">INDEX('Coeff EC7'!$D$33:$Q$33,1,MATCH(R16&amp;G16,'Coeff EC7'!$D$31:$Q$31&amp;'Coeff EC7'!$D$32:$Q$32,0))</f>
        <v>#N/A</v>
      </c>
      <c r="I16" s="28" t="e">
        <f t="array" ref="I16">INDEX('Coeff EC7'!$D$34:$Q$34,1,MATCH(R16&amp;G16,'Coeff EC7'!$D$31:$Q$31&amp;'Coeff EC7'!$D$32:$Q$32,0))</f>
        <v>#N/A</v>
      </c>
      <c r="J16" s="28" t="e">
        <f t="array" ref="J16">INDEX('Coeff EC7'!$D$35:$Q$35,1,MATCH(R16&amp;G16,'Coeff EC7'!$D$31:$Q$31&amp;'Coeff EC7'!$D$32:$Q$32,0))</f>
        <v>#N/A</v>
      </c>
      <c r="K16" s="29" t="str">
        <f t="shared" si="0"/>
        <v/>
      </c>
      <c r="L16" s="30" t="e">
        <f t="array" ref="L16">INDEX('Coeff EC7'!$D$7:$Q$27,MATCH($B$4,'Coeff EC7'!$C$7:$C$27,0),MATCH(R16&amp;G16,'Coeff EC7'!$D$5:$Q$5&amp;'Coeff EC7'!$D$6:$Q$6,0))</f>
        <v>#N/A</v>
      </c>
      <c r="M16" s="31" t="str">
        <f t="shared" si="1"/>
        <v/>
      </c>
      <c r="N16" s="30" t="e">
        <f t="array" ref="N16">INDEX('Coeff EC7'!$D$41:$Q$61,MATCH($B$4,'Coeff EC7'!$C$41:$C$61,0),MATCH(R16&amp;G16,'Coeff EC7'!$D$39:$Q$39&amp;'Coeff EC7'!$D$40:$Q$40,0))</f>
        <v>#N/A</v>
      </c>
      <c r="O16" s="30" t="e">
        <f t="shared" si="4"/>
        <v>#N/A</v>
      </c>
      <c r="P16" s="30" t="e">
        <f t="array" ref="P16">IF($B$4=21,'Coeff EC7'!G115,INDEX('Coeff EC7'!$D$67:$Q$87,MATCH($B$4,'Coeff EC7'!$C$67:$C$87,0),MATCH(R16&amp;G16,'Coeff EC7'!$D$65:$Q$65&amp;'Coeff EC7'!$D$66:$Q$66,0)))</f>
        <v>#N/A</v>
      </c>
      <c r="Q16" s="30" t="str">
        <f>IF(VLOOKUP($A16,Hypothèses!$B$22:$N$169,6,FALSE)&lt;&gt;0,VLOOKUP($A16,Hypothèses!$B$22:$N$169,6,FALSE),"")</f>
        <v/>
      </c>
      <c r="R16" s="23" t="str">
        <f>IF(VLOOKUP($A16,Hypothèses!$B$22:$N$169,8,FALSE)&lt;&gt;0,VLOOKUP($A16,Hypothèses!$B$22:$N$169,8,FALSE),"")</f>
        <v/>
      </c>
      <c r="S16" s="23" t="e">
        <f t="shared" si="5"/>
        <v>#N/A</v>
      </c>
      <c r="U16" s="23" t="str">
        <f t="shared" si="6"/>
        <v/>
      </c>
      <c r="V16" s="23" t="str">
        <f>IF(VLOOKUP($A16,Hypothèses!$B$22:$N$169,11,FALSE)&lt;&gt;0,VLOOKUP($A16,Hypothèses!$B$22:$N$169,11,FALSE),"")</f>
        <v/>
      </c>
      <c r="W16" s="23" t="str">
        <f>IF(VLOOKUP($A16,Hypothèses!$B$22:$N$169,12,FALSE)&lt;&gt;"",VLOOKUP($A16,Hypothèses!$B$22:$N$169,12,FALSE),"")</f>
        <v/>
      </c>
      <c r="X16" s="23" t="str">
        <f>IF(VLOOKUP($A16,Hypothèses!$B$22:$N$169,13,FALSE)&lt;&gt;"",VLOOKUP($A16,Hypothèses!$B$22:$N$169,13,FALSE),"")</f>
        <v/>
      </c>
      <c r="Z16" s="18"/>
      <c r="AA16" s="31"/>
      <c r="AB16" s="31"/>
      <c r="AC16" s="31"/>
      <c r="AI16" s="23">
        <v>10</v>
      </c>
    </row>
    <row r="17" spans="1:35">
      <c r="A17" s="23">
        <f>CONCATENATE($F$3,11)*1</f>
        <v>111</v>
      </c>
      <c r="B17" s="23">
        <f t="shared" si="7"/>
        <v>0</v>
      </c>
      <c r="C17" s="23">
        <f>IF(VLOOKUP($A17,Hypothèses!$B$22:$N$169,3,FALSE)&lt;&gt;0,VLOOKUP($A17,Hypothèses!$B$22:$N$169,3,FALSE),0)</f>
        <v>0</v>
      </c>
      <c r="D17" s="23">
        <f t="shared" si="2"/>
        <v>100</v>
      </c>
      <c r="E17" s="23" t="str">
        <f>IF(VLOOKUP($A17,Hypothèses!$B$22:$N$169,4,FALSE)&lt;&gt;0,VLOOKUP($A17,Hypothèses!$B$22:$N$169,4,FALSE),"")</f>
        <v/>
      </c>
      <c r="F17" s="23" t="str">
        <f>IF(VLOOKUP($A17,Hypothèses!$B$22:$N$169,5,FALSE)&lt;&gt;0,VLOOKUP($A17,Hypothèses!$B$22:$N$169,5,FALSE),"")</f>
        <v/>
      </c>
      <c r="G17" s="23" t="e">
        <f t="shared" si="3"/>
        <v>#N/A</v>
      </c>
      <c r="H17" s="28" t="e">
        <f t="array" ref="H17">INDEX('Coeff EC7'!$D$33:$Q$33,1,MATCH(R17&amp;G17,'Coeff EC7'!$D$31:$Q$31&amp;'Coeff EC7'!$D$32:$Q$32,0))</f>
        <v>#N/A</v>
      </c>
      <c r="I17" s="28" t="e">
        <f t="array" ref="I17">INDEX('Coeff EC7'!$D$34:$Q$34,1,MATCH(R17&amp;G17,'Coeff EC7'!$D$31:$Q$31&amp;'Coeff EC7'!$D$32:$Q$32,0))</f>
        <v>#N/A</v>
      </c>
      <c r="J17" s="28" t="e">
        <f t="array" ref="J17">INDEX('Coeff EC7'!$D$35:$Q$35,1,MATCH(R17&amp;G17,'Coeff EC7'!$D$31:$Q$31&amp;'Coeff EC7'!$D$32:$Q$32,0))</f>
        <v>#N/A</v>
      </c>
      <c r="K17" s="29" t="str">
        <f t="shared" si="0"/>
        <v/>
      </c>
      <c r="L17" s="30" t="e">
        <f t="array" ref="L17">INDEX('Coeff EC7'!$D$7:$Q$27,MATCH($B$4,'Coeff EC7'!$C$7:$C$27,0),MATCH(R17&amp;G17,'Coeff EC7'!$D$5:$Q$5&amp;'Coeff EC7'!$D$6:$Q$6,0))</f>
        <v>#N/A</v>
      </c>
      <c r="M17" s="31" t="str">
        <f t="shared" si="1"/>
        <v/>
      </c>
      <c r="N17" s="30" t="e">
        <f t="array" ref="N17">INDEX('Coeff EC7'!$D$41:$Q$61,MATCH($B$4,'Coeff EC7'!$C$41:$C$61,0),MATCH(R17&amp;G17,'Coeff EC7'!$D$39:$Q$39&amp;'Coeff EC7'!$D$40:$Q$40,0))</f>
        <v>#N/A</v>
      </c>
      <c r="O17" s="30" t="e">
        <f t="shared" si="4"/>
        <v>#N/A</v>
      </c>
      <c r="P17" s="30" t="e">
        <f t="array" ref="P17">IF($B$4=21,'Coeff EC7'!G116,INDEX('Coeff EC7'!$D$67:$Q$87,MATCH($B$4,'Coeff EC7'!$C$67:$C$87,0),MATCH(R17&amp;G17,'Coeff EC7'!$D$65:$Q$65&amp;'Coeff EC7'!$D$66:$Q$66,0)))</f>
        <v>#N/A</v>
      </c>
      <c r="Q17" s="30" t="str">
        <f>IF(VLOOKUP($A17,Hypothèses!$B$22:$N$169,6,FALSE)&lt;&gt;0,VLOOKUP($A17,Hypothèses!$B$22:$N$169,6,FALSE),"")</f>
        <v/>
      </c>
      <c r="R17" s="23" t="str">
        <f>IF(VLOOKUP($A17,Hypothèses!$B$22:$N$169,8,FALSE)&lt;&gt;0,VLOOKUP($A17,Hypothèses!$B$22:$N$169,8,FALSE),"")</f>
        <v/>
      </c>
      <c r="S17" s="23" t="e">
        <f t="shared" si="5"/>
        <v>#N/A</v>
      </c>
      <c r="U17" s="23" t="str">
        <f t="shared" si="6"/>
        <v/>
      </c>
      <c r="V17" s="23" t="str">
        <f>IF(VLOOKUP($A17,Hypothèses!$B$22:$N$169,11,FALSE)&lt;&gt;0,VLOOKUP($A17,Hypothèses!$B$22:$N$169,11,FALSE),"")</f>
        <v/>
      </c>
      <c r="W17" s="23" t="str">
        <f>IF(VLOOKUP($A17,Hypothèses!$B$22:$N$169,12,FALSE)&lt;&gt;"",VLOOKUP($A17,Hypothèses!$B$22:$N$169,12,FALSE),"")</f>
        <v/>
      </c>
      <c r="X17" s="23" t="str">
        <f>IF(VLOOKUP($A17,Hypothèses!$B$22:$N$169,13,FALSE)&lt;&gt;"",VLOOKUP($A17,Hypothèses!$B$22:$N$169,13,FALSE),"")</f>
        <v/>
      </c>
      <c r="Z17" s="18"/>
    </row>
    <row r="18" spans="1:35">
      <c r="A18" s="23">
        <f>CONCATENATE($F$3,12)*1</f>
        <v>112</v>
      </c>
      <c r="B18" s="23">
        <f t="shared" si="7"/>
        <v>0</v>
      </c>
      <c r="C18" s="23">
        <f>IF(VLOOKUP($A18,Hypothèses!$B$22:$N$169,3,FALSE)&lt;&gt;0,VLOOKUP($A18,Hypothèses!$B$22:$N$169,3,FALSE),0)</f>
        <v>0</v>
      </c>
      <c r="D18" s="23">
        <f t="shared" si="2"/>
        <v>100</v>
      </c>
      <c r="E18" s="23" t="str">
        <f>IF(VLOOKUP($A18,Hypothèses!$B$22:$N$169,4,FALSE)&lt;&gt;0,VLOOKUP($A18,Hypothèses!$B$22:$N$169,4,FALSE),"")</f>
        <v/>
      </c>
      <c r="F18" s="23" t="str">
        <f>IF(VLOOKUP($A18,Hypothèses!$B$22:$N$169,5,FALSE)&lt;&gt;0,VLOOKUP($A18,Hypothèses!$B$22:$N$169,5,FALSE),"")</f>
        <v/>
      </c>
      <c r="G18" s="23" t="e">
        <f t="shared" si="3"/>
        <v>#N/A</v>
      </c>
      <c r="H18" s="28" t="e">
        <f t="array" ref="H18">INDEX('Coeff EC7'!$D$33:$Q$33,1,MATCH(R18&amp;G18,'Coeff EC7'!$D$31:$Q$31&amp;'Coeff EC7'!$D$32:$Q$32,0))</f>
        <v>#N/A</v>
      </c>
      <c r="I18" s="28" t="e">
        <f t="array" ref="I18">INDEX('Coeff EC7'!$D$34:$Q$34,1,MATCH(R18&amp;G18,'Coeff EC7'!$D$31:$Q$31&amp;'Coeff EC7'!$D$32:$Q$32,0))</f>
        <v>#N/A</v>
      </c>
      <c r="J18" s="28" t="e">
        <f t="array" ref="J18">INDEX('Coeff EC7'!$D$35:$Q$35,1,MATCH(R18&amp;G18,'Coeff EC7'!$D$31:$Q$31&amp;'Coeff EC7'!$D$32:$Q$32,0))</f>
        <v>#N/A</v>
      </c>
      <c r="K18" s="29" t="str">
        <f t="shared" si="0"/>
        <v/>
      </c>
      <c r="L18" s="30" t="e">
        <f t="array" ref="L18">INDEX('Coeff EC7'!$D$7:$Q$27,MATCH($B$4,'Coeff EC7'!$C$7:$C$27,0),MATCH(R18&amp;G18,'Coeff EC7'!$D$5:$Q$5&amp;'Coeff EC7'!$D$6:$Q$6,0))</f>
        <v>#N/A</v>
      </c>
      <c r="M18" s="31" t="str">
        <f t="shared" si="1"/>
        <v/>
      </c>
      <c r="N18" s="30" t="e">
        <f t="array" ref="N18">INDEX('Coeff EC7'!$D$41:$Q$61,MATCH($B$4,'Coeff EC7'!$C$41:$C$61,0),MATCH(R18&amp;G18,'Coeff EC7'!$D$39:$Q$39&amp;'Coeff EC7'!$D$40:$Q$40,0))</f>
        <v>#N/A</v>
      </c>
      <c r="O18" s="30" t="e">
        <f t="shared" si="4"/>
        <v>#N/A</v>
      </c>
      <c r="P18" s="30" t="e">
        <f t="array" ref="P18">IF($B$4=21,'Coeff EC7'!G117,INDEX('Coeff EC7'!$D$67:$Q$87,MATCH($B$4,'Coeff EC7'!$C$67:$C$87,0),MATCH(R18&amp;G18,'Coeff EC7'!$D$65:$Q$65&amp;'Coeff EC7'!$D$66:$Q$66,0)))</f>
        <v>#N/A</v>
      </c>
      <c r="Q18" s="30" t="str">
        <f>IF(VLOOKUP($A18,Hypothèses!$B$22:$N$169,6,FALSE)&lt;&gt;0,VLOOKUP($A18,Hypothèses!$B$22:$N$169,6,FALSE),"")</f>
        <v/>
      </c>
      <c r="R18" s="23" t="str">
        <f>IF(VLOOKUP($A18,Hypothèses!$B$22:$N$169,8,FALSE)&lt;&gt;0,VLOOKUP($A18,Hypothèses!$B$22:$N$169,8,FALSE),"")</f>
        <v/>
      </c>
      <c r="S18" s="23" t="e">
        <f t="shared" si="5"/>
        <v>#N/A</v>
      </c>
      <c r="U18" s="23" t="str">
        <f t="shared" si="6"/>
        <v/>
      </c>
      <c r="V18" s="23" t="str">
        <f>IF(VLOOKUP($A18,Hypothèses!$B$22:$N$169,11,FALSE)&lt;&gt;0,VLOOKUP($A18,Hypothèses!$B$22:$N$169,11,FALSE),"")</f>
        <v/>
      </c>
      <c r="W18" s="23" t="str">
        <f>IF(VLOOKUP($A18,Hypothèses!$B$22:$N$169,12,FALSE)&lt;&gt;"",VLOOKUP($A18,Hypothèses!$B$22:$N$169,12,FALSE),"")</f>
        <v/>
      </c>
      <c r="X18" s="23" t="str">
        <f>IF(VLOOKUP($A18,Hypothèses!$B$22:$N$169,13,FALSE)&lt;&gt;"",VLOOKUP($A18,Hypothèses!$B$22:$N$169,13,FALSE),"")</f>
        <v/>
      </c>
      <c r="Z18" s="18"/>
    </row>
    <row r="19" spans="1:35">
      <c r="V19" s="14"/>
      <c r="Z19" s="18"/>
    </row>
    <row r="20" spans="1:35">
      <c r="V20" s="14"/>
      <c r="Z20" s="18"/>
    </row>
    <row r="21" spans="1:35" ht="15" thickBot="1">
      <c r="A21" s="24">
        <v>1</v>
      </c>
      <c r="B21" s="23" t="s">
        <v>25</v>
      </c>
      <c r="C21" s="271">
        <v>100</v>
      </c>
      <c r="D21" s="468" t="s">
        <v>363</v>
      </c>
      <c r="E21" s="271"/>
      <c r="K21" s="545" t="s">
        <v>26</v>
      </c>
      <c r="L21" s="546"/>
      <c r="M21" s="546"/>
      <c r="N21" s="547"/>
      <c r="P21" s="36" t="s">
        <v>52</v>
      </c>
      <c r="Q21" s="37"/>
      <c r="R21" s="38"/>
      <c r="S21" s="38"/>
      <c r="T21" s="38"/>
      <c r="U21" s="38"/>
      <c r="V21" s="38"/>
      <c r="W21" s="39"/>
      <c r="X21" s="4"/>
      <c r="Z21" s="18"/>
      <c r="AB21" s="17"/>
      <c r="AC21" s="17"/>
      <c r="AD21" s="17"/>
      <c r="AE21" s="548"/>
      <c r="AF21" s="548"/>
      <c r="AG21" s="548"/>
      <c r="AH21" s="548"/>
      <c r="AI21" s="548"/>
    </row>
    <row r="22" spans="1:35" s="20" customFormat="1" ht="43.8" thickBot="1">
      <c r="A22" s="509"/>
      <c r="B22" s="279" t="s">
        <v>205</v>
      </c>
      <c r="C22" s="273" t="s">
        <v>358</v>
      </c>
      <c r="D22" s="273" t="s">
        <v>359</v>
      </c>
      <c r="E22" s="273" t="s">
        <v>54</v>
      </c>
      <c r="F22" s="273" t="s">
        <v>55</v>
      </c>
      <c r="G22" s="273" t="s">
        <v>56</v>
      </c>
      <c r="H22" s="273" t="s">
        <v>57</v>
      </c>
      <c r="I22" s="280" t="s">
        <v>58</v>
      </c>
      <c r="K22" s="13" t="s">
        <v>37</v>
      </c>
      <c r="L22" s="13" t="s">
        <v>38</v>
      </c>
      <c r="M22" s="13" t="s">
        <v>59</v>
      </c>
      <c r="N22" s="13" t="s">
        <v>40</v>
      </c>
      <c r="P22" s="40"/>
      <c r="Q22" s="41"/>
      <c r="R22" s="41"/>
      <c r="S22" s="41"/>
      <c r="T22" s="41"/>
      <c r="U22" s="41"/>
      <c r="V22" s="41"/>
      <c r="W22" s="42"/>
      <c r="X22" s="41"/>
      <c r="Y22" s="14"/>
      <c r="Z22" s="18"/>
      <c r="AA22" s="266"/>
      <c r="AB22"/>
      <c r="AC22"/>
      <c r="AD22"/>
      <c r="AE22" s="266"/>
      <c r="AF22" s="266"/>
      <c r="AG22" s="266"/>
      <c r="AH22" s="266"/>
      <c r="AI22" s="266"/>
    </row>
    <row r="23" spans="1:35" ht="14.4">
      <c r="B23" s="94">
        <v>11</v>
      </c>
      <c r="C23" s="461">
        <v>0</v>
      </c>
      <c r="D23" s="275"/>
      <c r="E23" s="276"/>
      <c r="F23" s="277"/>
      <c r="G23" s="277"/>
      <c r="H23" s="275"/>
      <c r="I23" s="278" t="s">
        <v>22</v>
      </c>
      <c r="K23" s="275">
        <v>0</v>
      </c>
      <c r="L23" s="275"/>
      <c r="M23" s="277"/>
      <c r="N23" s="275"/>
      <c r="P23" s="43">
        <f>$C$21-D23</f>
        <v>100</v>
      </c>
      <c r="Q23" s="4">
        <v>64.400000000000006</v>
      </c>
      <c r="R23" s="44"/>
      <c r="S23" s="44"/>
      <c r="T23" s="44"/>
      <c r="V23" s="44"/>
      <c r="W23" s="45"/>
      <c r="X23" s="44"/>
      <c r="Z23" s="18"/>
      <c r="AA23" s="17"/>
      <c r="AB23"/>
      <c r="AC23" s="283" t="s">
        <v>215</v>
      </c>
      <c r="AD23" s="283" t="s">
        <v>216</v>
      </c>
      <c r="AE23" s="267"/>
      <c r="AF23" s="267"/>
      <c r="AG23" s="267"/>
      <c r="AH23" s="267"/>
      <c r="AI23" s="267"/>
    </row>
    <row r="24" spans="1:35" ht="14.4">
      <c r="B24" s="23">
        <v>12</v>
      </c>
      <c r="C24" s="23" t="str">
        <f t="shared" ref="C24:C34" si="8">IF(D23="","",D23)</f>
        <v/>
      </c>
      <c r="D24" s="275"/>
      <c r="E24" s="276"/>
      <c r="F24" s="269"/>
      <c r="G24" s="269"/>
      <c r="H24" s="271"/>
      <c r="I24" s="278" t="s">
        <v>22</v>
      </c>
      <c r="K24" s="23" t="str">
        <f t="shared" ref="K24:K31" si="9">IF(L23="","",L23)</f>
        <v/>
      </c>
      <c r="L24" s="275"/>
      <c r="M24" s="277"/>
      <c r="N24" s="275"/>
      <c r="P24" s="43">
        <f t="shared" ref="P24:P34" si="10">$C$21-D24</f>
        <v>100</v>
      </c>
      <c r="Q24" s="4">
        <v>64.099999999999994</v>
      </c>
      <c r="R24" s="44"/>
      <c r="S24" s="44"/>
      <c r="T24" s="44"/>
      <c r="V24" s="44"/>
      <c r="W24" s="45"/>
      <c r="X24" s="44"/>
      <c r="Z24" s="18"/>
      <c r="AA24" s="17"/>
      <c r="AB24" s="284" t="s">
        <v>217</v>
      </c>
      <c r="AC24" s="283">
        <v>0.3</v>
      </c>
      <c r="AD24" s="283">
        <v>0.7</v>
      </c>
      <c r="AE24" s="267"/>
      <c r="AF24" s="267"/>
      <c r="AG24" s="267"/>
      <c r="AH24" s="267"/>
      <c r="AI24" s="267"/>
    </row>
    <row r="25" spans="1:35" ht="14.4">
      <c r="B25" s="23">
        <v>13</v>
      </c>
      <c r="C25" s="23" t="str">
        <f t="shared" si="8"/>
        <v/>
      </c>
      <c r="D25" s="275"/>
      <c r="E25" s="276"/>
      <c r="F25" s="269"/>
      <c r="G25" s="269"/>
      <c r="H25" s="271"/>
      <c r="I25" s="278" t="s">
        <v>22</v>
      </c>
      <c r="K25" s="23" t="str">
        <f t="shared" si="9"/>
        <v/>
      </c>
      <c r="L25" s="275"/>
      <c r="M25" s="277"/>
      <c r="N25" s="275"/>
      <c r="P25" s="43">
        <f t="shared" si="10"/>
        <v>100</v>
      </c>
      <c r="Q25" s="4">
        <v>63.8</v>
      </c>
      <c r="R25" s="44"/>
      <c r="S25" s="44"/>
      <c r="T25" s="44"/>
      <c r="U25" s="46"/>
      <c r="V25" s="44"/>
      <c r="W25" s="45"/>
      <c r="X25" s="44"/>
      <c r="Z25" s="18"/>
      <c r="AA25" s="17"/>
      <c r="AB25" s="284" t="s">
        <v>218</v>
      </c>
      <c r="AC25" s="283">
        <v>0.3</v>
      </c>
      <c r="AD25" s="283">
        <v>0.7</v>
      </c>
      <c r="AE25" s="267"/>
      <c r="AF25" s="267"/>
      <c r="AG25" s="267"/>
      <c r="AH25" s="267"/>
      <c r="AI25" s="267"/>
    </row>
    <row r="26" spans="1:35" ht="14.4">
      <c r="B26" s="23">
        <v>14</v>
      </c>
      <c r="C26" s="23" t="str">
        <f t="shared" si="8"/>
        <v/>
      </c>
      <c r="D26" s="275"/>
      <c r="E26" s="276"/>
      <c r="F26" s="269"/>
      <c r="G26" s="269"/>
      <c r="H26" s="271"/>
      <c r="I26" s="278" t="s">
        <v>22</v>
      </c>
      <c r="K26" s="23" t="str">
        <f t="shared" si="9"/>
        <v/>
      </c>
      <c r="L26" s="275"/>
      <c r="M26" s="277"/>
      <c r="N26" s="275"/>
      <c r="P26" s="43">
        <f t="shared" si="10"/>
        <v>100</v>
      </c>
      <c r="Q26" s="4">
        <v>61.9</v>
      </c>
      <c r="R26" s="44"/>
      <c r="S26" s="44"/>
      <c r="T26" s="44"/>
      <c r="U26" s="46"/>
      <c r="V26" s="44"/>
      <c r="W26" s="45"/>
      <c r="X26" s="44"/>
      <c r="Z26" s="18"/>
      <c r="AA26" s="17"/>
      <c r="AB26" s="284" t="s">
        <v>219</v>
      </c>
      <c r="AC26" s="283">
        <v>0.6</v>
      </c>
      <c r="AD26" s="283">
        <v>0.7</v>
      </c>
      <c r="AE26" s="267"/>
      <c r="AF26" s="267"/>
      <c r="AG26" s="267"/>
      <c r="AH26" s="267"/>
      <c r="AI26" s="267"/>
    </row>
    <row r="27" spans="1:35" ht="14.4">
      <c r="B27" s="23">
        <v>15</v>
      </c>
      <c r="C27" s="23" t="str">
        <f t="shared" si="8"/>
        <v/>
      </c>
      <c r="D27" s="275"/>
      <c r="E27" s="276"/>
      <c r="F27" s="269"/>
      <c r="G27" s="269"/>
      <c r="H27" s="271"/>
      <c r="I27" s="278" t="s">
        <v>22</v>
      </c>
      <c r="K27" s="23" t="str">
        <f t="shared" si="9"/>
        <v/>
      </c>
      <c r="L27" s="275"/>
      <c r="M27" s="277"/>
      <c r="N27" s="275"/>
      <c r="P27" s="43">
        <f t="shared" si="10"/>
        <v>100</v>
      </c>
      <c r="Q27" s="4"/>
      <c r="R27" s="44"/>
      <c r="S27" s="44"/>
      <c r="T27" s="44"/>
      <c r="V27" s="44"/>
      <c r="W27" s="45"/>
      <c r="X27" s="44"/>
      <c r="Z27" s="18"/>
      <c r="AA27" s="17"/>
      <c r="AB27" s="284" t="s">
        <v>220</v>
      </c>
      <c r="AC27" s="283">
        <v>0.6</v>
      </c>
      <c r="AD27" s="283">
        <v>0.7</v>
      </c>
      <c r="AE27" s="267"/>
      <c r="AF27" s="267"/>
      <c r="AG27" s="267"/>
      <c r="AH27" s="267"/>
      <c r="AI27" s="267"/>
    </row>
    <row r="28" spans="1:35" ht="14.4">
      <c r="B28" s="23">
        <v>16</v>
      </c>
      <c r="C28" s="23" t="str">
        <f t="shared" si="8"/>
        <v/>
      </c>
      <c r="D28" s="271"/>
      <c r="E28" s="272"/>
      <c r="F28" s="269"/>
      <c r="G28" s="269"/>
      <c r="H28" s="271"/>
      <c r="I28" s="274"/>
      <c r="K28" s="23" t="str">
        <f t="shared" si="9"/>
        <v/>
      </c>
      <c r="L28" s="275"/>
      <c r="M28" s="277"/>
      <c r="N28" s="275"/>
      <c r="P28" s="43">
        <f t="shared" si="10"/>
        <v>100</v>
      </c>
      <c r="Q28" s="4"/>
      <c r="R28" s="44"/>
      <c r="S28" s="44"/>
      <c r="T28" s="44"/>
      <c r="V28" s="44"/>
      <c r="W28" s="45"/>
      <c r="X28" s="44"/>
      <c r="Z28" s="18"/>
      <c r="AA28" s="17"/>
      <c r="AB28" s="284" t="s">
        <v>221</v>
      </c>
      <c r="AC28" s="283">
        <v>0.8</v>
      </c>
      <c r="AD28" s="283">
        <v>1</v>
      </c>
      <c r="AE28" s="267"/>
      <c r="AF28" s="267"/>
      <c r="AG28" s="267"/>
      <c r="AH28" s="267"/>
      <c r="AI28" s="267"/>
    </row>
    <row r="29" spans="1:35" ht="14.4">
      <c r="B29" s="23">
        <v>17</v>
      </c>
      <c r="C29" s="23" t="str">
        <f t="shared" si="8"/>
        <v/>
      </c>
      <c r="D29" s="271"/>
      <c r="E29" s="272"/>
      <c r="F29" s="269"/>
      <c r="G29" s="269"/>
      <c r="H29" s="271"/>
      <c r="I29" s="274"/>
      <c r="K29" s="23" t="str">
        <f t="shared" si="9"/>
        <v/>
      </c>
      <c r="L29" s="275"/>
      <c r="M29" s="277"/>
      <c r="N29" s="275"/>
      <c r="P29" s="43">
        <f t="shared" si="10"/>
        <v>100</v>
      </c>
      <c r="Q29" s="4"/>
      <c r="R29" s="44"/>
      <c r="S29" s="44"/>
      <c r="T29" s="44"/>
      <c r="V29" s="44"/>
      <c r="W29" s="45"/>
      <c r="X29" s="44"/>
      <c r="Z29" s="18"/>
      <c r="AA29" s="17"/>
      <c r="AB29" s="284" t="s">
        <v>222</v>
      </c>
      <c r="AC29" s="283">
        <v>1</v>
      </c>
      <c r="AD29" s="283">
        <v>1</v>
      </c>
      <c r="AE29" s="267"/>
      <c r="AF29" s="267"/>
      <c r="AG29" s="267"/>
      <c r="AH29" s="267"/>
      <c r="AI29" s="267"/>
    </row>
    <row r="30" spans="1:35" ht="14.4">
      <c r="B30" s="23">
        <v>18</v>
      </c>
      <c r="C30" s="23" t="str">
        <f t="shared" si="8"/>
        <v/>
      </c>
      <c r="D30" s="271"/>
      <c r="E30" s="272"/>
      <c r="F30" s="269"/>
      <c r="G30" s="269"/>
      <c r="H30" s="271"/>
      <c r="I30" s="274"/>
      <c r="K30" s="23" t="str">
        <f t="shared" si="9"/>
        <v/>
      </c>
      <c r="L30" s="275"/>
      <c r="M30" s="277"/>
      <c r="N30" s="275"/>
      <c r="P30" s="43">
        <f t="shared" si="10"/>
        <v>100</v>
      </c>
      <c r="Q30" s="4"/>
      <c r="R30" s="44"/>
      <c r="S30" s="44"/>
      <c r="T30" s="44"/>
      <c r="V30" s="4"/>
      <c r="W30" s="47"/>
      <c r="X30" s="4"/>
      <c r="Z30" s="18"/>
      <c r="AB30" s="284" t="s">
        <v>223</v>
      </c>
      <c r="AC30" s="283">
        <v>0</v>
      </c>
      <c r="AD30" s="283">
        <v>0.6</v>
      </c>
    </row>
    <row r="31" spans="1:35" ht="14.4">
      <c r="B31" s="23">
        <v>19</v>
      </c>
      <c r="C31" s="23" t="str">
        <f t="shared" si="8"/>
        <v/>
      </c>
      <c r="D31" s="271"/>
      <c r="E31" s="272"/>
      <c r="F31" s="269"/>
      <c r="G31" s="269"/>
      <c r="H31" s="271"/>
      <c r="I31" s="274"/>
      <c r="K31" s="23" t="str">
        <f t="shared" si="9"/>
        <v/>
      </c>
      <c r="L31" s="275"/>
      <c r="M31" s="277"/>
      <c r="N31" s="275"/>
      <c r="P31" s="43">
        <f t="shared" si="10"/>
        <v>100</v>
      </c>
      <c r="Q31" s="4"/>
      <c r="R31" s="44"/>
      <c r="S31" s="44"/>
      <c r="T31" s="44"/>
      <c r="V31" s="4"/>
      <c r="W31" s="47"/>
      <c r="X31" s="4"/>
      <c r="Z31" s="18"/>
      <c r="AB31" s="284" t="s">
        <v>224</v>
      </c>
      <c r="AC31" s="283">
        <v>0</v>
      </c>
      <c r="AD31" s="283">
        <v>0.5</v>
      </c>
    </row>
    <row r="32" spans="1:35" ht="14.4">
      <c r="B32" s="23">
        <v>110</v>
      </c>
      <c r="C32" s="23" t="str">
        <f t="shared" si="8"/>
        <v/>
      </c>
      <c r="D32" s="271"/>
      <c r="E32" s="272"/>
      <c r="F32" s="269"/>
      <c r="G32" s="269"/>
      <c r="H32" s="271"/>
      <c r="I32" s="274"/>
      <c r="K32" s="23" t="str">
        <f>IF(L30="","",L30)</f>
        <v/>
      </c>
      <c r="L32" s="275"/>
      <c r="M32" s="277"/>
      <c r="N32" s="275"/>
      <c r="P32" s="43">
        <f t="shared" si="10"/>
        <v>100</v>
      </c>
      <c r="Q32" s="4"/>
      <c r="R32" s="44"/>
      <c r="S32" s="44"/>
      <c r="T32" s="44"/>
      <c r="U32" s="48"/>
      <c r="V32" s="4"/>
      <c r="W32" s="47"/>
      <c r="X32" s="4"/>
      <c r="Z32" s="18"/>
    </row>
    <row r="33" spans="1:26" ht="14.4">
      <c r="B33" s="23">
        <v>111</v>
      </c>
      <c r="C33" s="23" t="str">
        <f t="shared" si="8"/>
        <v/>
      </c>
      <c r="D33" s="271"/>
      <c r="E33" s="272"/>
      <c r="F33" s="269"/>
      <c r="G33" s="269"/>
      <c r="H33" s="271"/>
      <c r="I33" s="274"/>
      <c r="K33" s="23" t="str">
        <f>IF(L31="","",L31)</f>
        <v/>
      </c>
      <c r="L33" s="275"/>
      <c r="M33" s="277"/>
      <c r="N33" s="275"/>
      <c r="P33" s="43">
        <f t="shared" si="10"/>
        <v>100</v>
      </c>
      <c r="Q33" s="4"/>
      <c r="R33" s="44"/>
      <c r="S33" s="44"/>
      <c r="T33" s="44"/>
      <c r="U33" s="44"/>
      <c r="V33" s="4"/>
      <c r="W33" s="47"/>
      <c r="X33" s="4"/>
      <c r="Z33" s="18"/>
    </row>
    <row r="34" spans="1:26" ht="14.4">
      <c r="B34" s="23">
        <v>112</v>
      </c>
      <c r="C34" s="23" t="str">
        <f t="shared" si="8"/>
        <v/>
      </c>
      <c r="D34" s="271"/>
      <c r="E34" s="272"/>
      <c r="F34" s="269"/>
      <c r="G34" s="269"/>
      <c r="H34" s="271"/>
      <c r="I34" s="274"/>
      <c r="K34" s="23" t="str">
        <f>IF(L33="","",L33)</f>
        <v/>
      </c>
      <c r="L34" s="275"/>
      <c r="M34" s="277"/>
      <c r="N34" s="275"/>
      <c r="P34" s="43">
        <f t="shared" si="10"/>
        <v>100</v>
      </c>
      <c r="Q34" s="4"/>
      <c r="R34" s="4"/>
      <c r="S34" s="4"/>
      <c r="T34" s="4"/>
      <c r="U34" s="4"/>
      <c r="V34" s="4"/>
      <c r="W34" s="47"/>
      <c r="X34" s="4"/>
      <c r="Z34" s="18"/>
    </row>
    <row r="35" spans="1:26">
      <c r="P35" s="43"/>
      <c r="Q35" s="4"/>
      <c r="R35" s="4"/>
      <c r="S35" s="4"/>
      <c r="T35" s="4"/>
      <c r="U35" s="4"/>
      <c r="V35" s="4"/>
      <c r="W35" s="47"/>
      <c r="X35" s="4"/>
      <c r="Z35" s="18"/>
    </row>
    <row r="36" spans="1:26" ht="15" thickBot="1">
      <c r="A36" s="24">
        <v>2</v>
      </c>
      <c r="B36" s="23" t="s">
        <v>25</v>
      </c>
      <c r="C36" s="271">
        <v>100</v>
      </c>
      <c r="D36" s="468" t="s">
        <v>363</v>
      </c>
      <c r="E36" s="271"/>
      <c r="K36" s="545" t="s">
        <v>26</v>
      </c>
      <c r="L36" s="546"/>
      <c r="M36" s="546"/>
      <c r="N36" s="547"/>
      <c r="P36" s="43"/>
      <c r="Q36" s="4"/>
      <c r="R36" s="4"/>
      <c r="S36" s="4"/>
      <c r="T36" s="4"/>
      <c r="U36" s="4"/>
      <c r="V36" s="4"/>
      <c r="W36" s="47"/>
      <c r="X36" s="4"/>
      <c r="Z36" s="18"/>
    </row>
    <row r="37" spans="1:26" ht="51" customHeight="1" thickBot="1">
      <c r="A37" s="282"/>
      <c r="B37" s="279" t="s">
        <v>205</v>
      </c>
      <c r="C37" s="273" t="s">
        <v>358</v>
      </c>
      <c r="D37" s="273" t="s">
        <v>359</v>
      </c>
      <c r="E37" s="273" t="s">
        <v>54</v>
      </c>
      <c r="F37" s="273" t="s">
        <v>55</v>
      </c>
      <c r="G37" s="273" t="s">
        <v>56</v>
      </c>
      <c r="H37" s="273" t="s">
        <v>57</v>
      </c>
      <c r="I37" s="280" t="s">
        <v>58</v>
      </c>
      <c r="J37" s="20"/>
      <c r="K37" s="13" t="s">
        <v>37</v>
      </c>
      <c r="L37" s="13" t="s">
        <v>38</v>
      </c>
      <c r="M37" s="13" t="s">
        <v>39</v>
      </c>
      <c r="N37" s="13" t="s">
        <v>40</v>
      </c>
      <c r="P37" s="43"/>
      <c r="Q37" s="4"/>
      <c r="R37" s="41"/>
      <c r="S37" s="41"/>
      <c r="T37" s="41"/>
      <c r="U37" s="4"/>
      <c r="V37" s="4"/>
      <c r="W37" s="47"/>
      <c r="X37" s="4"/>
      <c r="Z37" s="18"/>
    </row>
    <row r="38" spans="1:26" ht="14.4">
      <c r="B38" s="94">
        <v>21</v>
      </c>
      <c r="C38" s="275">
        <v>0</v>
      </c>
      <c r="D38" s="275"/>
      <c r="E38" s="276"/>
      <c r="F38" s="277"/>
      <c r="G38" s="277"/>
      <c r="H38" s="275"/>
      <c r="I38" s="278" t="s">
        <v>22</v>
      </c>
      <c r="K38" s="275">
        <v>0</v>
      </c>
      <c r="L38" s="275"/>
      <c r="M38" s="277"/>
      <c r="N38" s="275"/>
      <c r="P38" s="43">
        <f>$C$36-D38</f>
        <v>100</v>
      </c>
      <c r="Q38" s="4"/>
      <c r="R38" s="44"/>
      <c r="S38" s="44"/>
      <c r="T38" s="44"/>
      <c r="U38" s="4"/>
      <c r="V38" s="4"/>
      <c r="W38" s="47"/>
      <c r="X38" s="4"/>
      <c r="Z38" s="18"/>
    </row>
    <row r="39" spans="1:26" ht="14.4">
      <c r="B39" s="23">
        <v>22</v>
      </c>
      <c r="C39" s="23" t="str">
        <f t="shared" ref="C39:C45" si="11">IF(D38="","",D38)</f>
        <v/>
      </c>
      <c r="D39" s="271"/>
      <c r="E39" s="272"/>
      <c r="F39" s="269"/>
      <c r="G39" s="269"/>
      <c r="H39" s="271"/>
      <c r="I39" s="278" t="s">
        <v>22</v>
      </c>
      <c r="K39" s="23" t="str">
        <f t="shared" ref="K39:K49" si="12">IF(L38="","",L38)</f>
        <v/>
      </c>
      <c r="L39" s="275"/>
      <c r="M39" s="277"/>
      <c r="N39" s="275"/>
      <c r="P39" s="43">
        <f t="shared" ref="P39:P49" si="13">$C$36-D39</f>
        <v>100</v>
      </c>
      <c r="Q39" s="4"/>
      <c r="R39" s="44"/>
      <c r="S39" s="44"/>
      <c r="T39" s="44"/>
      <c r="U39" s="4"/>
      <c r="V39" s="4"/>
      <c r="W39" s="47"/>
      <c r="X39" s="4"/>
      <c r="Z39" s="18"/>
    </row>
    <row r="40" spans="1:26" ht="14.4">
      <c r="B40" s="23">
        <v>23</v>
      </c>
      <c r="C40" s="23" t="str">
        <f t="shared" si="11"/>
        <v/>
      </c>
      <c r="D40" s="271"/>
      <c r="E40" s="272"/>
      <c r="F40" s="269"/>
      <c r="G40" s="269"/>
      <c r="H40" s="271"/>
      <c r="I40" s="278" t="s">
        <v>22</v>
      </c>
      <c r="K40" s="23" t="str">
        <f t="shared" si="12"/>
        <v/>
      </c>
      <c r="L40" s="275"/>
      <c r="M40" s="277"/>
      <c r="N40" s="275"/>
      <c r="P40" s="43">
        <f t="shared" si="13"/>
        <v>100</v>
      </c>
      <c r="Q40" s="4"/>
      <c r="R40" s="44"/>
      <c r="S40" s="44"/>
      <c r="T40" s="44"/>
      <c r="U40" s="4"/>
      <c r="V40" s="4"/>
      <c r="W40" s="47"/>
      <c r="X40" s="4"/>
      <c r="Z40" s="18"/>
    </row>
    <row r="41" spans="1:26" ht="14.4">
      <c r="B41" s="23">
        <v>24</v>
      </c>
      <c r="C41" s="23" t="str">
        <f t="shared" si="11"/>
        <v/>
      </c>
      <c r="D41" s="271"/>
      <c r="E41" s="272"/>
      <c r="F41" s="269"/>
      <c r="G41" s="269"/>
      <c r="H41" s="271"/>
      <c r="I41" s="278" t="s">
        <v>22</v>
      </c>
      <c r="K41" s="23" t="str">
        <f t="shared" si="12"/>
        <v/>
      </c>
      <c r="L41" s="275"/>
      <c r="M41" s="277"/>
      <c r="N41" s="275"/>
      <c r="P41" s="43">
        <f t="shared" si="13"/>
        <v>100</v>
      </c>
      <c r="Q41" s="4"/>
      <c r="R41" s="44"/>
      <c r="S41" s="44"/>
      <c r="T41" s="44"/>
      <c r="U41" s="4"/>
      <c r="V41" s="4"/>
      <c r="W41" s="47"/>
      <c r="X41" s="4"/>
      <c r="Z41" s="18"/>
    </row>
    <row r="42" spans="1:26" ht="14.4">
      <c r="B42" s="23">
        <v>25</v>
      </c>
      <c r="C42" s="23" t="str">
        <f t="shared" si="11"/>
        <v/>
      </c>
      <c r="D42" s="271"/>
      <c r="E42" s="272"/>
      <c r="F42" s="269"/>
      <c r="G42" s="269"/>
      <c r="H42" s="271"/>
      <c r="I42" s="278" t="s">
        <v>22</v>
      </c>
      <c r="K42" s="23" t="str">
        <f t="shared" si="12"/>
        <v/>
      </c>
      <c r="L42" s="275"/>
      <c r="M42" s="277"/>
      <c r="N42" s="275"/>
      <c r="P42" s="43">
        <f t="shared" si="13"/>
        <v>100</v>
      </c>
      <c r="Q42" s="4"/>
      <c r="R42" s="44"/>
      <c r="S42" s="44"/>
      <c r="T42" s="44"/>
      <c r="U42" s="4"/>
      <c r="V42" s="4"/>
      <c r="W42" s="47"/>
      <c r="X42" s="4"/>
      <c r="Z42" s="18"/>
    </row>
    <row r="43" spans="1:26" ht="14.4">
      <c r="B43" s="23">
        <v>26</v>
      </c>
      <c r="C43" s="23" t="str">
        <f t="shared" si="11"/>
        <v/>
      </c>
      <c r="D43" s="271"/>
      <c r="E43" s="272"/>
      <c r="F43" s="269"/>
      <c r="G43" s="269"/>
      <c r="H43" s="271"/>
      <c r="I43" s="274"/>
      <c r="K43" s="23" t="str">
        <f t="shared" si="12"/>
        <v/>
      </c>
      <c r="L43" s="275"/>
      <c r="M43" s="277"/>
      <c r="N43" s="275"/>
      <c r="P43" s="43">
        <f t="shared" si="13"/>
        <v>100</v>
      </c>
      <c r="Q43" s="4"/>
      <c r="R43" s="44"/>
      <c r="S43" s="44"/>
      <c r="T43" s="44"/>
      <c r="U43" s="4"/>
      <c r="V43" s="4"/>
      <c r="W43" s="47"/>
      <c r="X43" s="4"/>
      <c r="Z43" s="18"/>
    </row>
    <row r="44" spans="1:26" ht="14.4">
      <c r="B44" s="23">
        <v>27</v>
      </c>
      <c r="C44" s="23" t="str">
        <f t="shared" si="11"/>
        <v/>
      </c>
      <c r="D44" s="271"/>
      <c r="E44" s="272"/>
      <c r="F44" s="269"/>
      <c r="G44" s="269"/>
      <c r="H44" s="271"/>
      <c r="I44" s="274"/>
      <c r="K44" s="23" t="str">
        <f t="shared" si="12"/>
        <v/>
      </c>
      <c r="L44" s="275"/>
      <c r="M44" s="277"/>
      <c r="N44" s="275"/>
      <c r="P44" s="43">
        <f t="shared" si="13"/>
        <v>100</v>
      </c>
      <c r="Q44" s="4"/>
      <c r="R44" s="4"/>
      <c r="S44" s="4"/>
      <c r="T44" s="4"/>
      <c r="U44" s="4"/>
      <c r="V44" s="4"/>
      <c r="W44" s="47"/>
      <c r="X44" s="4"/>
      <c r="Z44" s="18"/>
    </row>
    <row r="45" spans="1:26" ht="14.4">
      <c r="B45" s="23">
        <v>28</v>
      </c>
      <c r="C45" s="23" t="str">
        <f t="shared" si="11"/>
        <v/>
      </c>
      <c r="D45" s="271"/>
      <c r="E45" s="272"/>
      <c r="F45" s="269"/>
      <c r="G45" s="269"/>
      <c r="H45" s="271"/>
      <c r="I45" s="274"/>
      <c r="K45" s="23" t="str">
        <f t="shared" si="12"/>
        <v/>
      </c>
      <c r="L45" s="275"/>
      <c r="M45" s="277"/>
      <c r="N45" s="275"/>
      <c r="P45" s="43">
        <f t="shared" si="13"/>
        <v>100</v>
      </c>
      <c r="Q45" s="4"/>
      <c r="R45" s="4"/>
      <c r="S45" s="4"/>
      <c r="T45" s="4"/>
      <c r="U45" s="4"/>
      <c r="V45" s="4"/>
      <c r="W45" s="47"/>
      <c r="X45" s="4"/>
      <c r="Z45" s="18"/>
    </row>
    <row r="46" spans="1:26" ht="14.4">
      <c r="B46" s="23">
        <v>29</v>
      </c>
      <c r="C46" s="23" t="str">
        <f>IF(D45="","",D45)</f>
        <v/>
      </c>
      <c r="D46" s="271"/>
      <c r="E46" s="272"/>
      <c r="F46" s="269"/>
      <c r="G46" s="269"/>
      <c r="H46" s="271"/>
      <c r="I46" s="274"/>
      <c r="K46" s="23" t="str">
        <f t="shared" si="12"/>
        <v/>
      </c>
      <c r="L46" s="275"/>
      <c r="M46" s="277"/>
      <c r="N46" s="275"/>
      <c r="P46" s="43">
        <f t="shared" si="13"/>
        <v>100</v>
      </c>
      <c r="Q46" s="4"/>
      <c r="R46" s="4"/>
      <c r="S46" s="4"/>
      <c r="T46" s="4"/>
      <c r="U46" s="4"/>
      <c r="V46" s="4"/>
      <c r="W46" s="47"/>
      <c r="X46" s="4"/>
      <c r="Z46" s="18"/>
    </row>
    <row r="47" spans="1:26" ht="14.4">
      <c r="B47" s="23">
        <v>210</v>
      </c>
      <c r="C47" s="23" t="str">
        <f t="shared" ref="C47:C49" si="14">IF(D46="","",D46)</f>
        <v/>
      </c>
      <c r="D47" s="271"/>
      <c r="E47" s="272"/>
      <c r="F47" s="269"/>
      <c r="G47" s="269"/>
      <c r="H47" s="271"/>
      <c r="I47" s="274"/>
      <c r="K47" s="23" t="str">
        <f t="shared" si="12"/>
        <v/>
      </c>
      <c r="L47" s="275"/>
      <c r="M47" s="277"/>
      <c r="N47" s="275"/>
      <c r="P47" s="43">
        <f t="shared" si="13"/>
        <v>100</v>
      </c>
      <c r="Q47" s="4"/>
      <c r="R47" s="4"/>
      <c r="S47" s="4"/>
      <c r="T47" s="4"/>
      <c r="U47" s="4"/>
      <c r="V47" s="4"/>
      <c r="W47" s="47"/>
      <c r="X47" s="4"/>
      <c r="Z47" s="18"/>
    </row>
    <row r="48" spans="1:26" ht="14.4">
      <c r="B48" s="23">
        <v>211</v>
      </c>
      <c r="C48" s="23" t="str">
        <f t="shared" si="14"/>
        <v/>
      </c>
      <c r="D48" s="271"/>
      <c r="E48" s="272"/>
      <c r="F48" s="269"/>
      <c r="G48" s="269"/>
      <c r="H48" s="271"/>
      <c r="I48" s="274"/>
      <c r="K48" s="23" t="str">
        <f t="shared" si="12"/>
        <v/>
      </c>
      <c r="L48" s="275"/>
      <c r="M48" s="277"/>
      <c r="N48" s="275"/>
      <c r="P48" s="43">
        <f t="shared" si="13"/>
        <v>100</v>
      </c>
      <c r="Q48" s="4"/>
      <c r="R48" s="4"/>
      <c r="S48" s="4"/>
      <c r="T48" s="4"/>
      <c r="U48" s="4"/>
      <c r="V48" s="4"/>
      <c r="W48" s="47"/>
      <c r="X48" s="4"/>
      <c r="Z48" s="18"/>
    </row>
    <row r="49" spans="1:29" ht="14.4">
      <c r="B49" s="23">
        <v>212</v>
      </c>
      <c r="C49" s="23" t="str">
        <f t="shared" si="14"/>
        <v/>
      </c>
      <c r="D49" s="271"/>
      <c r="E49" s="272"/>
      <c r="F49" s="269"/>
      <c r="G49" s="269"/>
      <c r="H49" s="271"/>
      <c r="I49" s="274"/>
      <c r="K49" s="23" t="str">
        <f t="shared" si="12"/>
        <v/>
      </c>
      <c r="L49" s="275"/>
      <c r="M49" s="277"/>
      <c r="N49" s="275"/>
      <c r="P49" s="43">
        <f t="shared" si="13"/>
        <v>100</v>
      </c>
      <c r="Q49" s="4"/>
      <c r="R49" s="4"/>
      <c r="S49" s="4"/>
      <c r="T49" s="4"/>
      <c r="U49" s="4"/>
      <c r="V49" s="4"/>
      <c r="W49" s="47"/>
      <c r="X49" s="4"/>
      <c r="Z49" s="18"/>
    </row>
    <row r="50" spans="1:29">
      <c r="P50" s="43"/>
      <c r="Q50" s="4"/>
      <c r="R50" s="4"/>
      <c r="S50" s="4"/>
      <c r="T50" s="4"/>
      <c r="U50" s="4"/>
      <c r="V50" s="4"/>
      <c r="W50" s="47"/>
      <c r="X50" s="4"/>
      <c r="Z50" s="18"/>
    </row>
    <row r="51" spans="1:29" ht="15" thickBot="1">
      <c r="A51" s="24">
        <v>3</v>
      </c>
      <c r="B51" s="23" t="s">
        <v>25</v>
      </c>
      <c r="C51" s="271">
        <v>20</v>
      </c>
      <c r="D51" s="468" t="s">
        <v>363</v>
      </c>
      <c r="E51" s="271"/>
      <c r="K51" s="545" t="s">
        <v>26</v>
      </c>
      <c r="L51" s="546"/>
      <c r="M51" s="546"/>
      <c r="N51" s="547"/>
      <c r="P51" s="43"/>
      <c r="Q51" s="4"/>
      <c r="R51" s="4"/>
      <c r="S51" s="4"/>
      <c r="T51" s="4"/>
      <c r="U51" s="4"/>
      <c r="V51" s="4"/>
      <c r="W51" s="47"/>
      <c r="X51" s="4"/>
      <c r="Z51" s="18"/>
    </row>
    <row r="52" spans="1:29" ht="51" customHeight="1" thickBot="1">
      <c r="A52" s="282" t="s">
        <v>53</v>
      </c>
      <c r="B52" s="279" t="s">
        <v>205</v>
      </c>
      <c r="C52" s="273" t="s">
        <v>358</v>
      </c>
      <c r="D52" s="273" t="s">
        <v>359</v>
      </c>
      <c r="E52" s="273" t="s">
        <v>54</v>
      </c>
      <c r="F52" s="273" t="s">
        <v>55</v>
      </c>
      <c r="G52" s="273" t="s">
        <v>56</v>
      </c>
      <c r="H52" s="273" t="s">
        <v>57</v>
      </c>
      <c r="I52" s="280" t="s">
        <v>58</v>
      </c>
      <c r="J52" s="20"/>
      <c r="K52" s="13" t="s">
        <v>37</v>
      </c>
      <c r="L52" s="13" t="s">
        <v>38</v>
      </c>
      <c r="M52" s="13" t="s">
        <v>39</v>
      </c>
      <c r="N52" s="13" t="s">
        <v>40</v>
      </c>
      <c r="P52" s="43"/>
      <c r="Q52" s="4"/>
      <c r="R52" s="4"/>
      <c r="S52" s="4"/>
      <c r="T52" s="4"/>
      <c r="U52" s="4"/>
      <c r="V52" s="4"/>
      <c r="W52" s="47"/>
      <c r="X52" s="4"/>
      <c r="Z52" s="18"/>
    </row>
    <row r="53" spans="1:29" ht="14.4">
      <c r="B53" s="94">
        <v>31</v>
      </c>
      <c r="C53" s="275">
        <v>0</v>
      </c>
      <c r="D53" s="275"/>
      <c r="E53" s="276"/>
      <c r="F53" s="277"/>
      <c r="G53" s="277"/>
      <c r="H53" s="275"/>
      <c r="I53" s="278"/>
      <c r="K53" s="275">
        <v>0</v>
      </c>
      <c r="L53" s="275"/>
      <c r="M53" s="277"/>
      <c r="N53" s="275"/>
      <c r="P53" s="43">
        <f>$C$51-D53</f>
        <v>20</v>
      </c>
      <c r="Q53" s="4"/>
      <c r="R53" s="4"/>
      <c r="S53" s="4"/>
      <c r="T53" s="4"/>
      <c r="U53" s="4"/>
      <c r="V53" s="4"/>
      <c r="W53" s="47"/>
      <c r="X53" s="4"/>
      <c r="Z53" s="18"/>
    </row>
    <row r="54" spans="1:29" ht="14.4">
      <c r="B54" s="23">
        <v>32</v>
      </c>
      <c r="C54" s="23" t="str">
        <f t="shared" ref="C54:C60" si="15">IF(D53="","",D53)</f>
        <v/>
      </c>
      <c r="D54" s="271"/>
      <c r="E54" s="272"/>
      <c r="F54" s="269"/>
      <c r="G54" s="269"/>
      <c r="H54" s="271"/>
      <c r="I54" s="274"/>
      <c r="K54" s="23" t="str">
        <f t="shared" ref="K54:K64" si="16">IF(L53="","",L53)</f>
        <v/>
      </c>
      <c r="L54" s="275"/>
      <c r="M54" s="277"/>
      <c r="N54" s="275"/>
      <c r="P54" s="43">
        <f t="shared" ref="P54:P64" si="17">$C$51-D54</f>
        <v>20</v>
      </c>
      <c r="Q54" s="4"/>
      <c r="R54" s="4"/>
      <c r="S54" s="4"/>
      <c r="T54" s="4"/>
      <c r="U54" s="4"/>
      <c r="V54" s="4"/>
      <c r="W54" s="47"/>
      <c r="X54" s="4"/>
      <c r="Z54" s="18"/>
    </row>
    <row r="55" spans="1:29" ht="14.4">
      <c r="B55" s="23">
        <v>33</v>
      </c>
      <c r="C55" s="23" t="str">
        <f t="shared" si="15"/>
        <v/>
      </c>
      <c r="D55" s="271"/>
      <c r="E55" s="272"/>
      <c r="F55" s="269"/>
      <c r="G55" s="269"/>
      <c r="H55" s="271"/>
      <c r="I55" s="274"/>
      <c r="K55" s="23" t="str">
        <f t="shared" si="16"/>
        <v/>
      </c>
      <c r="L55" s="275"/>
      <c r="M55" s="277"/>
      <c r="N55" s="275"/>
      <c r="P55" s="43">
        <f t="shared" si="17"/>
        <v>20</v>
      </c>
      <c r="Q55" s="4"/>
      <c r="R55" s="4"/>
      <c r="S55" s="4"/>
      <c r="T55" s="4"/>
      <c r="U55" s="4"/>
      <c r="V55" s="4"/>
      <c r="W55" s="47"/>
      <c r="X55" s="4"/>
      <c r="Z55" s="18"/>
    </row>
    <row r="56" spans="1:29" ht="14.4">
      <c r="B56" s="23">
        <v>34</v>
      </c>
      <c r="C56" s="23" t="str">
        <f t="shared" si="15"/>
        <v/>
      </c>
      <c r="D56" s="271"/>
      <c r="E56" s="272"/>
      <c r="F56" s="269"/>
      <c r="G56" s="269"/>
      <c r="H56" s="271"/>
      <c r="I56" s="274"/>
      <c r="K56" s="23" t="str">
        <f t="shared" si="16"/>
        <v/>
      </c>
      <c r="L56" s="275"/>
      <c r="M56" s="277"/>
      <c r="N56" s="275"/>
      <c r="P56" s="43">
        <f t="shared" si="17"/>
        <v>20</v>
      </c>
      <c r="Q56" s="4"/>
      <c r="R56" s="4"/>
      <c r="S56" s="4"/>
      <c r="T56" s="4"/>
      <c r="U56" s="4"/>
      <c r="V56" s="4"/>
      <c r="W56" s="47"/>
      <c r="X56" s="4"/>
      <c r="Z56" s="18"/>
    </row>
    <row r="57" spans="1:29" ht="14.4">
      <c r="B57" s="23">
        <v>35</v>
      </c>
      <c r="C57" s="23" t="str">
        <f t="shared" si="15"/>
        <v/>
      </c>
      <c r="D57" s="271"/>
      <c r="E57" s="272"/>
      <c r="F57" s="269"/>
      <c r="G57" s="269"/>
      <c r="H57" s="271"/>
      <c r="I57" s="274"/>
      <c r="K57" s="23" t="str">
        <f t="shared" si="16"/>
        <v/>
      </c>
      <c r="L57" s="275"/>
      <c r="M57" s="277"/>
      <c r="N57" s="275"/>
      <c r="P57" s="43">
        <f t="shared" si="17"/>
        <v>20</v>
      </c>
      <c r="Q57" s="4"/>
      <c r="R57" s="4"/>
      <c r="S57" s="4"/>
      <c r="T57" s="4"/>
      <c r="U57" s="4"/>
      <c r="V57" s="4"/>
      <c r="W57" s="47"/>
      <c r="X57" s="4"/>
      <c r="Z57" s="18"/>
    </row>
    <row r="58" spans="1:29" ht="14.4">
      <c r="B58" s="23">
        <v>36</v>
      </c>
      <c r="C58" s="23" t="str">
        <f t="shared" si="15"/>
        <v/>
      </c>
      <c r="D58" s="271"/>
      <c r="E58" s="272"/>
      <c r="F58" s="269"/>
      <c r="G58" s="269"/>
      <c r="H58" s="271"/>
      <c r="I58" s="274"/>
      <c r="K58" s="23" t="str">
        <f t="shared" si="16"/>
        <v/>
      </c>
      <c r="L58" s="275"/>
      <c r="M58" s="277"/>
      <c r="N58" s="275"/>
      <c r="P58" s="43">
        <f t="shared" si="17"/>
        <v>20</v>
      </c>
      <c r="Q58" s="4"/>
      <c r="R58" s="49"/>
      <c r="S58" s="4"/>
      <c r="T58" s="4"/>
      <c r="U58" s="4"/>
      <c r="V58" s="4"/>
      <c r="W58" s="50"/>
      <c r="X58" s="51"/>
      <c r="Z58" s="18"/>
    </row>
    <row r="59" spans="1:29" ht="14.4">
      <c r="B59" s="23">
        <v>37</v>
      </c>
      <c r="C59" s="23" t="str">
        <f t="shared" si="15"/>
        <v/>
      </c>
      <c r="D59" s="271"/>
      <c r="E59" s="272"/>
      <c r="F59" s="269"/>
      <c r="G59" s="269"/>
      <c r="H59" s="271"/>
      <c r="I59" s="274"/>
      <c r="K59" s="23" t="str">
        <f t="shared" si="16"/>
        <v/>
      </c>
      <c r="L59" s="275"/>
      <c r="M59" s="277"/>
      <c r="N59" s="275"/>
      <c r="P59" s="43">
        <f t="shared" si="17"/>
        <v>20</v>
      </c>
      <c r="Q59" s="4"/>
      <c r="R59" s="49"/>
      <c r="S59" s="4"/>
      <c r="T59" s="4"/>
      <c r="U59" s="4"/>
      <c r="V59" s="4"/>
      <c r="W59" s="50"/>
      <c r="X59" s="51"/>
      <c r="Z59" s="18"/>
    </row>
    <row r="60" spans="1:29" ht="14.4">
      <c r="B60" s="23">
        <v>38</v>
      </c>
      <c r="C60" s="23" t="str">
        <f t="shared" si="15"/>
        <v/>
      </c>
      <c r="D60" s="271"/>
      <c r="E60" s="272"/>
      <c r="F60" s="269"/>
      <c r="G60" s="269"/>
      <c r="H60" s="271"/>
      <c r="I60" s="274"/>
      <c r="K60" s="23" t="str">
        <f t="shared" si="16"/>
        <v/>
      </c>
      <c r="L60" s="275"/>
      <c r="M60" s="277"/>
      <c r="N60" s="275"/>
      <c r="P60" s="43">
        <f t="shared" si="17"/>
        <v>20</v>
      </c>
      <c r="Q60" s="4"/>
      <c r="R60" s="49"/>
      <c r="S60" s="4"/>
      <c r="T60" s="4"/>
      <c r="U60" s="4"/>
      <c r="V60" s="4"/>
      <c r="W60" s="50"/>
      <c r="X60" s="51"/>
      <c r="Z60" s="18"/>
    </row>
    <row r="61" spans="1:29" ht="14.4">
      <c r="B61" s="23">
        <v>39</v>
      </c>
      <c r="C61" s="23" t="str">
        <f>IF(D60="","",D60)</f>
        <v/>
      </c>
      <c r="D61" s="271"/>
      <c r="E61" s="272"/>
      <c r="F61" s="269"/>
      <c r="G61" s="269"/>
      <c r="H61" s="271"/>
      <c r="I61" s="274"/>
      <c r="K61" s="23" t="str">
        <f t="shared" si="16"/>
        <v/>
      </c>
      <c r="L61" s="275"/>
      <c r="M61" s="277"/>
      <c r="N61" s="275"/>
      <c r="P61" s="43">
        <f t="shared" si="17"/>
        <v>20</v>
      </c>
      <c r="Q61" s="4"/>
      <c r="R61" s="49"/>
      <c r="S61" s="4"/>
      <c r="T61" s="4"/>
      <c r="U61" s="4"/>
      <c r="V61" s="4"/>
      <c r="W61" s="50"/>
      <c r="X61" s="51"/>
      <c r="Z61" s="18"/>
    </row>
    <row r="62" spans="1:29" ht="14.4">
      <c r="B62" s="23">
        <v>310</v>
      </c>
      <c r="C62" s="23" t="str">
        <f t="shared" ref="C62:C64" si="18">IF(D61="","",D61)</f>
        <v/>
      </c>
      <c r="D62" s="271"/>
      <c r="E62" s="272"/>
      <c r="F62" s="269"/>
      <c r="G62" s="269"/>
      <c r="H62" s="271"/>
      <c r="I62" s="274"/>
      <c r="K62" s="23" t="str">
        <f t="shared" si="16"/>
        <v/>
      </c>
      <c r="L62" s="275"/>
      <c r="M62" s="277"/>
      <c r="N62" s="275"/>
      <c r="P62" s="43">
        <f t="shared" si="17"/>
        <v>20</v>
      </c>
      <c r="Q62" s="4"/>
      <c r="R62" s="49"/>
      <c r="S62" s="4"/>
      <c r="T62" s="4"/>
      <c r="U62" s="4"/>
      <c r="V62" s="4"/>
      <c r="W62" s="50"/>
      <c r="X62" s="51"/>
      <c r="Z62" s="18"/>
    </row>
    <row r="63" spans="1:29" ht="14.4">
      <c r="B63" s="23">
        <v>311</v>
      </c>
      <c r="C63" s="23" t="str">
        <f t="shared" si="18"/>
        <v/>
      </c>
      <c r="D63" s="271"/>
      <c r="E63" s="272"/>
      <c r="F63" s="269"/>
      <c r="G63" s="269"/>
      <c r="H63" s="271"/>
      <c r="I63" s="274"/>
      <c r="K63" s="23" t="str">
        <f t="shared" si="16"/>
        <v/>
      </c>
      <c r="L63" s="275"/>
      <c r="M63" s="277"/>
      <c r="N63" s="275"/>
      <c r="P63" s="43">
        <f t="shared" si="17"/>
        <v>20</v>
      </c>
      <c r="Q63" s="4"/>
      <c r="R63" s="4"/>
      <c r="S63" s="4"/>
      <c r="T63" s="4"/>
      <c r="U63" s="4"/>
      <c r="V63" s="4"/>
      <c r="W63" s="47"/>
      <c r="X63" s="4"/>
      <c r="Z63" s="18"/>
    </row>
    <row r="64" spans="1:29" ht="14.4">
      <c r="B64" s="23">
        <v>312</v>
      </c>
      <c r="C64" s="23" t="str">
        <f t="shared" si="18"/>
        <v/>
      </c>
      <c r="D64" s="271"/>
      <c r="E64" s="272"/>
      <c r="F64" s="269"/>
      <c r="G64" s="269"/>
      <c r="H64" s="271"/>
      <c r="I64" s="274"/>
      <c r="K64" s="23" t="str">
        <f t="shared" si="16"/>
        <v/>
      </c>
      <c r="L64" s="275"/>
      <c r="M64" s="277"/>
      <c r="N64" s="275"/>
      <c r="P64" s="43">
        <f t="shared" si="17"/>
        <v>20</v>
      </c>
      <c r="Q64" s="4"/>
      <c r="R64" s="4"/>
      <c r="S64" s="4"/>
      <c r="T64" s="4"/>
      <c r="U64" s="4"/>
      <c r="V64" s="4"/>
      <c r="W64" s="47"/>
      <c r="X64" s="4"/>
      <c r="Z64" s="18"/>
      <c r="AC64" s="21"/>
    </row>
    <row r="65" spans="1:29">
      <c r="P65" s="43"/>
      <c r="Q65" s="4"/>
      <c r="R65" s="49"/>
      <c r="S65" s="4"/>
      <c r="T65" s="4"/>
      <c r="U65" s="4"/>
      <c r="V65" s="4"/>
      <c r="W65" s="50"/>
      <c r="X65" s="51"/>
      <c r="Z65" s="18"/>
      <c r="AC65" s="21"/>
    </row>
    <row r="66" spans="1:29" ht="15" thickBot="1">
      <c r="A66" s="24">
        <v>4</v>
      </c>
      <c r="B66" s="23" t="s">
        <v>25</v>
      </c>
      <c r="C66" s="271">
        <v>13.5</v>
      </c>
      <c r="D66" s="468" t="s">
        <v>363</v>
      </c>
      <c r="E66" s="271"/>
      <c r="K66" s="545" t="s">
        <v>26</v>
      </c>
      <c r="L66" s="546"/>
      <c r="M66" s="546"/>
      <c r="N66" s="547"/>
      <c r="P66" s="43"/>
      <c r="Q66" s="4"/>
      <c r="R66" s="49"/>
      <c r="S66" s="4"/>
      <c r="T66" s="4"/>
      <c r="U66" s="4"/>
      <c r="V66" s="4"/>
      <c r="W66" s="50"/>
      <c r="X66" s="51"/>
      <c r="Z66" s="18"/>
      <c r="AC66" s="21"/>
    </row>
    <row r="67" spans="1:29" ht="51" customHeight="1" thickBot="1">
      <c r="A67" s="282" t="s">
        <v>60</v>
      </c>
      <c r="B67" s="279" t="s">
        <v>205</v>
      </c>
      <c r="C67" s="273" t="s">
        <v>358</v>
      </c>
      <c r="D67" s="273" t="s">
        <v>359</v>
      </c>
      <c r="E67" s="273" t="s">
        <v>54</v>
      </c>
      <c r="F67" s="273" t="s">
        <v>55</v>
      </c>
      <c r="G67" s="273" t="s">
        <v>56</v>
      </c>
      <c r="H67" s="273" t="s">
        <v>57</v>
      </c>
      <c r="I67" s="280" t="s">
        <v>58</v>
      </c>
      <c r="J67" s="20"/>
      <c r="K67" s="13" t="s">
        <v>37</v>
      </c>
      <c r="L67" s="13" t="s">
        <v>38</v>
      </c>
      <c r="M67" s="13" t="s">
        <v>39</v>
      </c>
      <c r="N67" s="13" t="s">
        <v>40</v>
      </c>
      <c r="P67" s="43"/>
      <c r="Q67" s="4"/>
      <c r="R67" s="49"/>
      <c r="S67" s="4"/>
      <c r="T67" s="4"/>
      <c r="U67" s="4"/>
      <c r="V67" s="4"/>
      <c r="W67" s="50"/>
      <c r="X67" s="51"/>
      <c r="Z67" s="18"/>
      <c r="AC67" s="21"/>
    </row>
    <row r="68" spans="1:29" ht="14.4">
      <c r="B68" s="94">
        <v>41</v>
      </c>
      <c r="C68" s="275">
        <v>0</v>
      </c>
      <c r="D68" s="275"/>
      <c r="E68" s="276"/>
      <c r="F68" s="277"/>
      <c r="G68" s="277"/>
      <c r="H68" s="275"/>
      <c r="I68" s="278"/>
      <c r="K68" s="275">
        <v>0</v>
      </c>
      <c r="L68" s="275"/>
      <c r="M68" s="277"/>
      <c r="N68" s="275"/>
      <c r="P68" s="43">
        <f>$C$66-D68</f>
        <v>13.5</v>
      </c>
      <c r="Q68" s="4"/>
      <c r="R68" s="49"/>
      <c r="S68" s="4"/>
      <c r="T68" s="4"/>
      <c r="U68" s="4"/>
      <c r="V68" s="4"/>
      <c r="W68" s="50"/>
      <c r="X68" s="51"/>
      <c r="Z68" s="18"/>
    </row>
    <row r="69" spans="1:29" ht="14.4">
      <c r="B69" s="23">
        <v>42</v>
      </c>
      <c r="C69" s="23" t="str">
        <f t="shared" ref="C69:C75" si="19">IF(D68="","",D68)</f>
        <v/>
      </c>
      <c r="D69" s="271"/>
      <c r="E69" s="272"/>
      <c r="F69" s="269"/>
      <c r="G69" s="269"/>
      <c r="H69" s="271"/>
      <c r="I69" s="274"/>
      <c r="K69" s="23" t="str">
        <f t="shared" ref="K69:K79" si="20">IF(L68="","",L68)</f>
        <v/>
      </c>
      <c r="L69" s="275"/>
      <c r="M69" s="277"/>
      <c r="N69" s="275"/>
      <c r="P69" s="43">
        <f t="shared" ref="P69:P79" si="21">$C$66-D69</f>
        <v>13.5</v>
      </c>
      <c r="Q69" s="4"/>
      <c r="R69" s="49"/>
      <c r="S69" s="4"/>
      <c r="T69" s="4"/>
      <c r="U69" s="4"/>
      <c r="V69" s="4"/>
      <c r="W69" s="50"/>
      <c r="X69" s="51"/>
      <c r="Z69" s="18"/>
    </row>
    <row r="70" spans="1:29" ht="14.4">
      <c r="B70" s="23">
        <v>43</v>
      </c>
      <c r="C70" s="23" t="str">
        <f t="shared" si="19"/>
        <v/>
      </c>
      <c r="D70" s="271"/>
      <c r="E70" s="272"/>
      <c r="F70" s="269"/>
      <c r="G70" s="269"/>
      <c r="H70" s="271"/>
      <c r="I70" s="274"/>
      <c r="K70" s="23" t="str">
        <f t="shared" si="20"/>
        <v/>
      </c>
      <c r="L70" s="275"/>
      <c r="M70" s="277"/>
      <c r="N70" s="275"/>
      <c r="P70" s="43">
        <f t="shared" si="21"/>
        <v>13.5</v>
      </c>
      <c r="Q70" s="4"/>
      <c r="R70" s="49"/>
      <c r="S70" s="4"/>
      <c r="T70" s="4"/>
      <c r="U70" s="4"/>
      <c r="V70" s="4"/>
      <c r="W70" s="50"/>
      <c r="X70" s="51"/>
      <c r="Z70" s="18"/>
    </row>
    <row r="71" spans="1:29" ht="14.4">
      <c r="B71" s="23">
        <v>44</v>
      </c>
      <c r="C71" s="23" t="str">
        <f t="shared" si="19"/>
        <v/>
      </c>
      <c r="D71" s="271"/>
      <c r="E71" s="272"/>
      <c r="F71" s="269"/>
      <c r="G71" s="269"/>
      <c r="H71" s="271"/>
      <c r="I71" s="274"/>
      <c r="K71" s="23" t="str">
        <f t="shared" si="20"/>
        <v/>
      </c>
      <c r="L71" s="275"/>
      <c r="M71" s="277"/>
      <c r="N71" s="275"/>
      <c r="P71" s="43">
        <f t="shared" si="21"/>
        <v>13.5</v>
      </c>
      <c r="Q71" s="4"/>
      <c r="R71" s="49"/>
      <c r="S71" s="4"/>
      <c r="T71" s="4"/>
      <c r="U71" s="4"/>
      <c r="V71" s="4"/>
      <c r="W71" s="50"/>
      <c r="X71" s="51"/>
      <c r="Z71" s="18"/>
    </row>
    <row r="72" spans="1:29" ht="14.4">
      <c r="B72" s="23">
        <v>45</v>
      </c>
      <c r="C72" s="23" t="str">
        <f t="shared" si="19"/>
        <v/>
      </c>
      <c r="D72" s="271"/>
      <c r="E72" s="272"/>
      <c r="F72" s="269"/>
      <c r="G72" s="269"/>
      <c r="H72" s="271"/>
      <c r="I72" s="274"/>
      <c r="K72" s="23" t="str">
        <f t="shared" si="20"/>
        <v/>
      </c>
      <c r="L72" s="275"/>
      <c r="M72" s="277"/>
      <c r="N72" s="275"/>
      <c r="P72" s="43">
        <f t="shared" si="21"/>
        <v>13.5</v>
      </c>
      <c r="Q72" s="4"/>
      <c r="R72" s="49"/>
      <c r="S72" s="4"/>
      <c r="T72" s="4"/>
      <c r="U72" s="4"/>
      <c r="V72" s="4"/>
      <c r="W72" s="50"/>
      <c r="X72" s="51"/>
      <c r="Z72" s="18"/>
    </row>
    <row r="73" spans="1:29" ht="14.4">
      <c r="B73" s="23">
        <v>46</v>
      </c>
      <c r="C73" s="23" t="str">
        <f t="shared" si="19"/>
        <v/>
      </c>
      <c r="D73" s="271"/>
      <c r="E73" s="272"/>
      <c r="F73" s="269"/>
      <c r="G73" s="269"/>
      <c r="H73" s="271"/>
      <c r="I73" s="274"/>
      <c r="K73" s="23" t="str">
        <f t="shared" si="20"/>
        <v/>
      </c>
      <c r="L73" s="275"/>
      <c r="M73" s="277"/>
      <c r="N73" s="275"/>
      <c r="P73" s="43">
        <f t="shared" si="21"/>
        <v>13.5</v>
      </c>
      <c r="Q73" s="4"/>
      <c r="R73" s="49"/>
      <c r="S73" s="4"/>
      <c r="T73" s="4"/>
      <c r="U73" s="4"/>
      <c r="V73" s="4"/>
      <c r="W73" s="50"/>
      <c r="X73" s="51"/>
      <c r="Z73" s="18"/>
    </row>
    <row r="74" spans="1:29" ht="14.4">
      <c r="B74" s="23">
        <v>47</v>
      </c>
      <c r="C74" s="23" t="str">
        <f t="shared" si="19"/>
        <v/>
      </c>
      <c r="D74" s="271"/>
      <c r="E74" s="272"/>
      <c r="F74" s="269"/>
      <c r="G74" s="269"/>
      <c r="H74" s="271"/>
      <c r="I74" s="274"/>
      <c r="K74" s="23" t="str">
        <f t="shared" si="20"/>
        <v/>
      </c>
      <c r="L74" s="275"/>
      <c r="M74" s="277"/>
      <c r="N74" s="275"/>
      <c r="P74" s="43">
        <f t="shared" si="21"/>
        <v>13.5</v>
      </c>
      <c r="Q74" s="4"/>
      <c r="R74" s="49"/>
      <c r="S74" s="4"/>
      <c r="T74" s="4"/>
      <c r="U74" s="4"/>
      <c r="V74" s="4"/>
      <c r="W74" s="47"/>
      <c r="X74" s="4"/>
      <c r="Z74" s="18"/>
    </row>
    <row r="75" spans="1:29" ht="14.4">
      <c r="B75" s="23">
        <v>48</v>
      </c>
      <c r="C75" s="23" t="str">
        <f t="shared" si="19"/>
        <v/>
      </c>
      <c r="D75" s="271"/>
      <c r="E75" s="272"/>
      <c r="F75" s="269"/>
      <c r="G75" s="269"/>
      <c r="H75" s="271"/>
      <c r="I75" s="274"/>
      <c r="K75" s="23" t="str">
        <f t="shared" si="20"/>
        <v/>
      </c>
      <c r="L75" s="275"/>
      <c r="M75" s="277"/>
      <c r="N75" s="275"/>
      <c r="P75" s="43">
        <f t="shared" si="21"/>
        <v>13.5</v>
      </c>
      <c r="Q75" s="4"/>
      <c r="R75" s="49"/>
      <c r="S75" s="4"/>
      <c r="T75" s="4"/>
      <c r="U75" s="4"/>
      <c r="V75" s="4"/>
      <c r="W75" s="47"/>
      <c r="X75" s="4"/>
      <c r="Z75" s="18"/>
    </row>
    <row r="76" spans="1:29" ht="14.4">
      <c r="B76" s="23">
        <v>49</v>
      </c>
      <c r="C76" s="23" t="str">
        <f>IF(D75="","",D75)</f>
        <v/>
      </c>
      <c r="D76" s="271"/>
      <c r="E76" s="272"/>
      <c r="F76" s="269"/>
      <c r="G76" s="269"/>
      <c r="H76" s="271"/>
      <c r="I76" s="274"/>
      <c r="K76" s="23" t="str">
        <f t="shared" si="20"/>
        <v/>
      </c>
      <c r="L76" s="275"/>
      <c r="M76" s="277"/>
      <c r="N76" s="275"/>
      <c r="P76" s="43">
        <f t="shared" si="21"/>
        <v>13.5</v>
      </c>
      <c r="Q76" s="4"/>
      <c r="R76" s="49"/>
      <c r="S76" s="4"/>
      <c r="T76" s="4"/>
      <c r="U76" s="4"/>
      <c r="V76" s="4"/>
      <c r="W76" s="47"/>
      <c r="X76" s="4"/>
      <c r="Z76" s="18"/>
    </row>
    <row r="77" spans="1:29" ht="14.4">
      <c r="B77" s="23">
        <v>410</v>
      </c>
      <c r="C77" s="23" t="str">
        <f t="shared" ref="C77:C79" si="22">IF(D76="","",D76)</f>
        <v/>
      </c>
      <c r="D77" s="271"/>
      <c r="E77" s="272"/>
      <c r="F77" s="269"/>
      <c r="G77" s="269"/>
      <c r="H77" s="271"/>
      <c r="I77" s="274"/>
      <c r="K77" s="23" t="str">
        <f t="shared" si="20"/>
        <v/>
      </c>
      <c r="L77" s="275"/>
      <c r="M77" s="277"/>
      <c r="N77" s="275"/>
      <c r="P77" s="43">
        <f t="shared" si="21"/>
        <v>13.5</v>
      </c>
      <c r="Q77" s="4"/>
      <c r="R77" s="49"/>
      <c r="S77" s="4"/>
      <c r="T77" s="4"/>
      <c r="U77" s="4"/>
      <c r="V77" s="4"/>
      <c r="W77" s="47"/>
      <c r="X77" s="4"/>
      <c r="Z77" s="18"/>
    </row>
    <row r="78" spans="1:29" ht="14.4">
      <c r="B78" s="23">
        <v>411</v>
      </c>
      <c r="C78" s="23" t="str">
        <f t="shared" si="22"/>
        <v/>
      </c>
      <c r="D78" s="271"/>
      <c r="E78" s="272"/>
      <c r="F78" s="269"/>
      <c r="G78" s="269"/>
      <c r="H78" s="271"/>
      <c r="I78" s="274"/>
      <c r="K78" s="23" t="str">
        <f t="shared" si="20"/>
        <v/>
      </c>
      <c r="L78" s="275"/>
      <c r="M78" s="277"/>
      <c r="N78" s="275"/>
      <c r="P78" s="43">
        <f t="shared" si="21"/>
        <v>13.5</v>
      </c>
      <c r="Q78" s="4"/>
      <c r="R78" s="4"/>
      <c r="S78" s="4"/>
      <c r="T78" s="4"/>
      <c r="U78" s="4"/>
      <c r="V78" s="4"/>
      <c r="W78" s="47"/>
      <c r="X78" s="4"/>
      <c r="Z78" s="18"/>
    </row>
    <row r="79" spans="1:29" ht="14.4">
      <c r="B79" s="23">
        <v>412</v>
      </c>
      <c r="C79" s="23" t="str">
        <f t="shared" si="22"/>
        <v/>
      </c>
      <c r="D79" s="271"/>
      <c r="E79" s="272"/>
      <c r="F79" s="269"/>
      <c r="G79" s="269"/>
      <c r="H79" s="271"/>
      <c r="I79" s="274"/>
      <c r="K79" s="23" t="str">
        <f t="shared" si="20"/>
        <v/>
      </c>
      <c r="L79" s="275"/>
      <c r="M79" s="277"/>
      <c r="N79" s="275"/>
      <c r="P79" s="43">
        <f t="shared" si="21"/>
        <v>13.5</v>
      </c>
      <c r="Q79" s="4"/>
      <c r="R79" s="4"/>
      <c r="S79" s="4"/>
      <c r="T79" s="4"/>
      <c r="U79" s="4"/>
      <c r="V79" s="4"/>
      <c r="W79" s="47"/>
      <c r="X79" s="4"/>
      <c r="Z79" s="18"/>
    </row>
    <row r="80" spans="1:29">
      <c r="P80" s="43"/>
      <c r="Q80" s="4"/>
      <c r="R80" s="49"/>
      <c r="S80" s="4"/>
      <c r="T80" s="4"/>
      <c r="U80" s="4"/>
      <c r="V80" s="4"/>
      <c r="W80" s="47"/>
      <c r="X80" s="4"/>
      <c r="Z80" s="18"/>
    </row>
    <row r="81" spans="1:26" ht="15" thickBot="1">
      <c r="A81" s="24">
        <v>5</v>
      </c>
      <c r="B81" s="23" t="s">
        <v>25</v>
      </c>
      <c r="C81" s="271">
        <v>100</v>
      </c>
      <c r="D81" s="468" t="s">
        <v>363</v>
      </c>
      <c r="E81" s="271"/>
      <c r="K81" s="545" t="s">
        <v>26</v>
      </c>
      <c r="L81" s="546"/>
      <c r="M81" s="546"/>
      <c r="N81" s="547"/>
      <c r="P81" s="43"/>
      <c r="Q81" s="4"/>
      <c r="R81" s="49"/>
      <c r="S81" s="4"/>
      <c r="T81" s="4"/>
      <c r="U81" s="4"/>
      <c r="V81" s="4"/>
      <c r="W81" s="47"/>
      <c r="X81" s="4"/>
      <c r="Z81" s="18"/>
    </row>
    <row r="82" spans="1:26" ht="51" customHeight="1" thickBot="1">
      <c r="A82" s="282"/>
      <c r="B82" s="279" t="s">
        <v>205</v>
      </c>
      <c r="C82" s="273" t="s">
        <v>358</v>
      </c>
      <c r="D82" s="273" t="s">
        <v>359</v>
      </c>
      <c r="E82" s="273" t="s">
        <v>54</v>
      </c>
      <c r="F82" s="273" t="s">
        <v>55</v>
      </c>
      <c r="G82" s="273" t="s">
        <v>56</v>
      </c>
      <c r="H82" s="273" t="s">
        <v>57</v>
      </c>
      <c r="I82" s="280" t="s">
        <v>58</v>
      </c>
      <c r="J82" s="20"/>
      <c r="K82" s="13" t="s">
        <v>37</v>
      </c>
      <c r="L82" s="13" t="s">
        <v>38</v>
      </c>
      <c r="M82" s="13" t="s">
        <v>39</v>
      </c>
      <c r="N82" s="13" t="s">
        <v>40</v>
      </c>
      <c r="P82" s="43"/>
      <c r="Q82" s="4"/>
      <c r="R82" s="49"/>
      <c r="S82" s="4"/>
      <c r="T82" s="4"/>
      <c r="U82" s="4"/>
      <c r="V82" s="4"/>
      <c r="W82" s="47"/>
      <c r="X82" s="4"/>
      <c r="Z82" s="18"/>
    </row>
    <row r="83" spans="1:26" ht="14.4">
      <c r="B83" s="94">
        <v>51</v>
      </c>
      <c r="C83" s="275">
        <v>0</v>
      </c>
      <c r="D83" s="275"/>
      <c r="E83" s="276"/>
      <c r="F83" s="277"/>
      <c r="G83" s="277"/>
      <c r="H83" s="275"/>
      <c r="I83" s="278"/>
      <c r="K83" s="275">
        <v>0</v>
      </c>
      <c r="L83" s="275"/>
      <c r="M83" s="277"/>
      <c r="N83" s="275"/>
      <c r="P83" s="43">
        <f>$C$81-D83</f>
        <v>100</v>
      </c>
      <c r="Q83" s="4"/>
      <c r="R83" s="49"/>
      <c r="S83" s="4"/>
      <c r="T83" s="4"/>
      <c r="U83" s="4"/>
      <c r="V83" s="4"/>
      <c r="W83" s="47"/>
      <c r="X83" s="4"/>
      <c r="Z83" s="18"/>
    </row>
    <row r="84" spans="1:26" ht="14.4">
      <c r="B84" s="23">
        <v>52</v>
      </c>
      <c r="C84" s="23" t="str">
        <f t="shared" ref="C84:C90" si="23">IF(D83="","",D83)</f>
        <v/>
      </c>
      <c r="D84" s="271"/>
      <c r="E84" s="272"/>
      <c r="F84" s="269"/>
      <c r="G84" s="269"/>
      <c r="H84" s="271"/>
      <c r="I84" s="274"/>
      <c r="K84" s="23" t="str">
        <f t="shared" ref="K84:K94" si="24">IF(L83="","",L83)</f>
        <v/>
      </c>
      <c r="L84" s="275"/>
      <c r="M84" s="277"/>
      <c r="N84" s="275"/>
      <c r="P84" s="43">
        <f t="shared" ref="P84:P94" si="25">$C$81-D84</f>
        <v>100</v>
      </c>
      <c r="Q84" s="4"/>
      <c r="R84" s="49"/>
      <c r="S84" s="4"/>
      <c r="T84" s="4"/>
      <c r="U84" s="4"/>
      <c r="V84" s="4"/>
      <c r="W84" s="47"/>
      <c r="X84" s="4"/>
      <c r="Z84" s="18"/>
    </row>
    <row r="85" spans="1:26" ht="14.4">
      <c r="B85" s="23">
        <v>53</v>
      </c>
      <c r="C85" s="23" t="str">
        <f t="shared" si="23"/>
        <v/>
      </c>
      <c r="D85" s="271"/>
      <c r="E85" s="272"/>
      <c r="F85" s="269"/>
      <c r="G85" s="269"/>
      <c r="H85" s="271"/>
      <c r="I85" s="274"/>
      <c r="K85" s="23" t="str">
        <f t="shared" si="24"/>
        <v/>
      </c>
      <c r="L85" s="275"/>
      <c r="M85" s="277"/>
      <c r="N85" s="275"/>
      <c r="P85" s="43">
        <f t="shared" si="25"/>
        <v>100</v>
      </c>
      <c r="Q85" s="4"/>
      <c r="R85" s="49"/>
      <c r="S85" s="4"/>
      <c r="T85" s="4"/>
      <c r="U85" s="4"/>
      <c r="V85" s="4"/>
      <c r="W85" s="47"/>
      <c r="X85" s="4"/>
      <c r="Z85" s="18"/>
    </row>
    <row r="86" spans="1:26" ht="14.4">
      <c r="B86" s="23">
        <v>54</v>
      </c>
      <c r="C86" s="23" t="str">
        <f t="shared" si="23"/>
        <v/>
      </c>
      <c r="D86" s="271"/>
      <c r="E86" s="272"/>
      <c r="F86" s="269"/>
      <c r="G86" s="269"/>
      <c r="H86" s="271"/>
      <c r="I86" s="274"/>
      <c r="K86" s="23" t="str">
        <f t="shared" si="24"/>
        <v/>
      </c>
      <c r="L86" s="275"/>
      <c r="M86" s="277"/>
      <c r="N86" s="275"/>
      <c r="P86" s="43">
        <f t="shared" si="25"/>
        <v>100</v>
      </c>
      <c r="Q86" s="4"/>
      <c r="R86" s="49"/>
      <c r="S86" s="4"/>
      <c r="T86" s="4"/>
      <c r="U86" s="4"/>
      <c r="V86" s="4"/>
      <c r="W86" s="47"/>
      <c r="X86" s="4"/>
      <c r="Z86" s="18"/>
    </row>
    <row r="87" spans="1:26" ht="14.4">
      <c r="B87" s="23">
        <v>55</v>
      </c>
      <c r="C87" s="23" t="str">
        <f t="shared" si="23"/>
        <v/>
      </c>
      <c r="D87" s="271"/>
      <c r="E87" s="272"/>
      <c r="F87" s="269"/>
      <c r="G87" s="269"/>
      <c r="H87" s="271"/>
      <c r="I87" s="274"/>
      <c r="K87" s="23" t="str">
        <f t="shared" si="24"/>
        <v/>
      </c>
      <c r="L87" s="275"/>
      <c r="M87" s="277"/>
      <c r="N87" s="275"/>
      <c r="P87" s="43">
        <f t="shared" si="25"/>
        <v>100</v>
      </c>
      <c r="Q87" s="4"/>
      <c r="R87" s="49"/>
      <c r="S87" s="4"/>
      <c r="T87" s="4"/>
      <c r="U87" s="4"/>
      <c r="V87" s="4"/>
      <c r="W87" s="47"/>
      <c r="X87" s="4"/>
      <c r="Z87" s="18"/>
    </row>
    <row r="88" spans="1:26" ht="14.4">
      <c r="B88" s="23">
        <v>56</v>
      </c>
      <c r="C88" s="23" t="str">
        <f t="shared" si="23"/>
        <v/>
      </c>
      <c r="D88" s="271"/>
      <c r="E88" s="272"/>
      <c r="F88" s="269"/>
      <c r="G88" s="269"/>
      <c r="H88" s="271"/>
      <c r="I88" s="274"/>
      <c r="K88" s="23" t="str">
        <f t="shared" si="24"/>
        <v/>
      </c>
      <c r="L88" s="275"/>
      <c r="M88" s="277"/>
      <c r="N88" s="275"/>
      <c r="P88" s="43">
        <f t="shared" si="25"/>
        <v>100</v>
      </c>
      <c r="Q88" s="4"/>
      <c r="R88" s="49"/>
      <c r="S88" s="4"/>
      <c r="T88" s="4"/>
      <c r="U88" s="4"/>
      <c r="V88" s="4"/>
      <c r="W88" s="47"/>
      <c r="X88" s="4"/>
      <c r="Z88" s="18"/>
    </row>
    <row r="89" spans="1:26" ht="14.4">
      <c r="B89" s="23">
        <v>57</v>
      </c>
      <c r="C89" s="23" t="str">
        <f t="shared" si="23"/>
        <v/>
      </c>
      <c r="D89" s="271"/>
      <c r="E89" s="272"/>
      <c r="F89" s="269"/>
      <c r="G89" s="269"/>
      <c r="H89" s="271"/>
      <c r="I89" s="274"/>
      <c r="K89" s="23" t="str">
        <f t="shared" si="24"/>
        <v/>
      </c>
      <c r="L89" s="275"/>
      <c r="M89" s="277"/>
      <c r="N89" s="275"/>
      <c r="P89" s="43">
        <f t="shared" si="25"/>
        <v>100</v>
      </c>
      <c r="Q89" s="4"/>
      <c r="R89" s="49"/>
      <c r="S89" s="4"/>
      <c r="T89" s="4"/>
      <c r="U89" s="4"/>
      <c r="V89" s="4"/>
      <c r="W89" s="47"/>
      <c r="X89" s="4"/>
      <c r="Z89" s="18"/>
    </row>
    <row r="90" spans="1:26" ht="14.4">
      <c r="B90" s="23">
        <v>58</v>
      </c>
      <c r="C90" s="23" t="str">
        <f t="shared" si="23"/>
        <v/>
      </c>
      <c r="D90" s="271"/>
      <c r="E90" s="272"/>
      <c r="F90" s="269"/>
      <c r="G90" s="269"/>
      <c r="H90" s="271"/>
      <c r="I90" s="274"/>
      <c r="K90" s="23" t="str">
        <f t="shared" si="24"/>
        <v/>
      </c>
      <c r="L90" s="275"/>
      <c r="M90" s="277"/>
      <c r="N90" s="275"/>
      <c r="P90" s="43">
        <f t="shared" si="25"/>
        <v>100</v>
      </c>
      <c r="Q90" s="4"/>
      <c r="R90" s="49"/>
      <c r="S90" s="4"/>
      <c r="T90" s="4"/>
      <c r="U90" s="4"/>
      <c r="V90" s="4"/>
      <c r="W90" s="47"/>
      <c r="X90" s="4"/>
      <c r="Z90" s="18"/>
    </row>
    <row r="91" spans="1:26" ht="14.4">
      <c r="B91" s="23">
        <v>59</v>
      </c>
      <c r="C91" s="23" t="str">
        <f>IF(D90="","",D90)</f>
        <v/>
      </c>
      <c r="D91" s="271"/>
      <c r="E91" s="272"/>
      <c r="F91" s="269"/>
      <c r="G91" s="269"/>
      <c r="H91" s="271"/>
      <c r="I91" s="274"/>
      <c r="K91" s="23" t="str">
        <f t="shared" si="24"/>
        <v/>
      </c>
      <c r="L91" s="275"/>
      <c r="M91" s="277"/>
      <c r="N91" s="275"/>
      <c r="P91" s="43">
        <f t="shared" si="25"/>
        <v>100</v>
      </c>
      <c r="Q91" s="4"/>
      <c r="R91" s="49"/>
      <c r="S91" s="4"/>
      <c r="T91" s="4"/>
      <c r="U91" s="4"/>
      <c r="V91" s="4"/>
      <c r="W91" s="47"/>
      <c r="X91" s="4"/>
      <c r="Z91" s="18"/>
    </row>
    <row r="92" spans="1:26" ht="14.4">
      <c r="B92" s="23">
        <v>510</v>
      </c>
      <c r="C92" s="23" t="str">
        <f t="shared" ref="C92:C94" si="26">IF(D91="","",D91)</f>
        <v/>
      </c>
      <c r="D92" s="271"/>
      <c r="E92" s="272"/>
      <c r="F92" s="269"/>
      <c r="G92" s="269"/>
      <c r="H92" s="271"/>
      <c r="I92" s="274"/>
      <c r="K92" s="23" t="str">
        <f t="shared" si="24"/>
        <v/>
      </c>
      <c r="L92" s="275"/>
      <c r="M92" s="277"/>
      <c r="N92" s="275"/>
      <c r="P92" s="43">
        <f t="shared" si="25"/>
        <v>100</v>
      </c>
      <c r="Q92" s="4"/>
      <c r="R92" s="49"/>
      <c r="S92" s="4"/>
      <c r="T92" s="4"/>
      <c r="U92" s="4"/>
      <c r="V92" s="4"/>
      <c r="W92" s="47"/>
      <c r="X92" s="4"/>
      <c r="Z92" s="18"/>
    </row>
    <row r="93" spans="1:26" ht="14.4">
      <c r="B93" s="23">
        <v>511</v>
      </c>
      <c r="C93" s="23" t="str">
        <f t="shared" si="26"/>
        <v/>
      </c>
      <c r="D93" s="271"/>
      <c r="E93" s="272"/>
      <c r="F93" s="269"/>
      <c r="G93" s="269"/>
      <c r="H93" s="271"/>
      <c r="I93" s="274"/>
      <c r="K93" s="23" t="str">
        <f t="shared" si="24"/>
        <v/>
      </c>
      <c r="L93" s="275"/>
      <c r="M93" s="277"/>
      <c r="N93" s="275"/>
      <c r="P93" s="43">
        <f t="shared" si="25"/>
        <v>100</v>
      </c>
      <c r="Q93" s="4"/>
      <c r="R93" s="4"/>
      <c r="S93" s="4"/>
      <c r="T93" s="4"/>
      <c r="U93" s="4"/>
      <c r="V93" s="4"/>
      <c r="W93" s="47"/>
      <c r="X93" s="4"/>
      <c r="Z93" s="18"/>
    </row>
    <row r="94" spans="1:26" ht="14.4">
      <c r="B94" s="23">
        <v>512</v>
      </c>
      <c r="C94" s="23" t="str">
        <f t="shared" si="26"/>
        <v/>
      </c>
      <c r="D94" s="271"/>
      <c r="E94" s="272"/>
      <c r="F94" s="269"/>
      <c r="G94" s="269"/>
      <c r="H94" s="271"/>
      <c r="I94" s="274"/>
      <c r="K94" s="23" t="str">
        <f t="shared" si="24"/>
        <v/>
      </c>
      <c r="L94" s="275"/>
      <c r="M94" s="277"/>
      <c r="N94" s="275"/>
      <c r="P94" s="43">
        <f t="shared" si="25"/>
        <v>100</v>
      </c>
      <c r="Q94" s="4"/>
      <c r="R94" s="4"/>
      <c r="S94" s="4"/>
      <c r="T94" s="4"/>
      <c r="U94" s="4"/>
      <c r="V94" s="4"/>
      <c r="W94" s="47"/>
      <c r="X94" s="4"/>
      <c r="Z94" s="18"/>
    </row>
    <row r="95" spans="1:26">
      <c r="P95" s="43"/>
      <c r="Q95" s="4"/>
      <c r="R95" s="49"/>
      <c r="S95" s="4"/>
      <c r="T95" s="4"/>
      <c r="U95" s="4"/>
      <c r="V95" s="4"/>
      <c r="W95" s="47"/>
      <c r="X95" s="4"/>
      <c r="Z95" s="18"/>
    </row>
    <row r="96" spans="1:26" ht="15" thickBot="1">
      <c r="A96" s="24">
        <v>6</v>
      </c>
      <c r="B96" s="23" t="s">
        <v>25</v>
      </c>
      <c r="C96" s="271">
        <v>100</v>
      </c>
      <c r="D96" s="468" t="s">
        <v>363</v>
      </c>
      <c r="E96" s="271"/>
      <c r="K96" s="545" t="s">
        <v>26</v>
      </c>
      <c r="L96" s="546"/>
      <c r="M96" s="546"/>
      <c r="N96" s="547"/>
      <c r="P96" s="43"/>
      <c r="Q96" s="4"/>
      <c r="R96" s="49"/>
      <c r="S96" s="4"/>
      <c r="T96" s="4"/>
      <c r="U96" s="4"/>
      <c r="V96" s="4"/>
      <c r="W96" s="47"/>
      <c r="X96" s="4"/>
      <c r="Z96" s="18"/>
    </row>
    <row r="97" spans="1:26" ht="51" customHeight="1" thickBot="1">
      <c r="A97" s="282"/>
      <c r="B97" s="279" t="s">
        <v>205</v>
      </c>
      <c r="C97" s="273" t="s">
        <v>358</v>
      </c>
      <c r="D97" s="273" t="s">
        <v>359</v>
      </c>
      <c r="E97" s="273" t="s">
        <v>54</v>
      </c>
      <c r="F97" s="273" t="s">
        <v>55</v>
      </c>
      <c r="G97" s="273" t="s">
        <v>56</v>
      </c>
      <c r="H97" s="273" t="s">
        <v>57</v>
      </c>
      <c r="I97" s="280" t="s">
        <v>58</v>
      </c>
      <c r="J97" s="20"/>
      <c r="K97" s="13" t="s">
        <v>37</v>
      </c>
      <c r="L97" s="13" t="s">
        <v>38</v>
      </c>
      <c r="M97" s="13" t="s">
        <v>39</v>
      </c>
      <c r="N97" s="13" t="s">
        <v>40</v>
      </c>
      <c r="P97" s="43"/>
      <c r="Q97" s="4"/>
      <c r="R97" s="49"/>
      <c r="S97" s="4"/>
      <c r="T97" s="4"/>
      <c r="U97" s="4"/>
      <c r="V97" s="4"/>
      <c r="W97" s="47"/>
      <c r="X97" s="4"/>
      <c r="Z97" s="18"/>
    </row>
    <row r="98" spans="1:26" ht="14.4">
      <c r="B98" s="94">
        <v>61</v>
      </c>
      <c r="C98" s="275">
        <v>0</v>
      </c>
      <c r="D98" s="275"/>
      <c r="E98" s="276"/>
      <c r="F98" s="277"/>
      <c r="G98" s="277"/>
      <c r="H98" s="275"/>
      <c r="I98" s="278"/>
      <c r="K98" s="275">
        <v>0</v>
      </c>
      <c r="L98" s="275"/>
      <c r="M98" s="277"/>
      <c r="N98" s="275"/>
      <c r="P98" s="43">
        <f>$C$96-D98</f>
        <v>100</v>
      </c>
      <c r="Q98" s="4"/>
      <c r="R98" s="49"/>
      <c r="S98" s="4"/>
      <c r="T98" s="4"/>
      <c r="U98" s="4"/>
      <c r="V98" s="4"/>
      <c r="W98" s="47"/>
      <c r="X98" s="4"/>
      <c r="Z98" s="18"/>
    </row>
    <row r="99" spans="1:26" ht="14.4">
      <c r="B99" s="23">
        <v>62</v>
      </c>
      <c r="C99" s="23" t="str">
        <f t="shared" ref="C99:C105" si="27">IF(D98="","",D98)</f>
        <v/>
      </c>
      <c r="D99" s="271"/>
      <c r="E99" s="272"/>
      <c r="F99" s="269"/>
      <c r="G99" s="269"/>
      <c r="H99" s="271"/>
      <c r="I99" s="274"/>
      <c r="K99" s="23" t="str">
        <f t="shared" ref="K99:K109" si="28">IF(L98="","",L98)</f>
        <v/>
      </c>
      <c r="L99" s="275"/>
      <c r="M99" s="277"/>
      <c r="N99" s="275"/>
      <c r="P99" s="43">
        <f t="shared" ref="P99:P109" si="29">$C$96-D99</f>
        <v>100</v>
      </c>
      <c r="Q99" s="4"/>
      <c r="R99" s="49"/>
      <c r="S99" s="4"/>
      <c r="T99" s="4"/>
      <c r="U99" s="4"/>
      <c r="V99" s="4"/>
      <c r="W99" s="47"/>
      <c r="X99" s="4"/>
      <c r="Z99" s="18"/>
    </row>
    <row r="100" spans="1:26" ht="14.4">
      <c r="B100" s="23">
        <v>63</v>
      </c>
      <c r="C100" s="23" t="str">
        <f t="shared" si="27"/>
        <v/>
      </c>
      <c r="D100" s="271"/>
      <c r="E100" s="272"/>
      <c r="F100" s="269"/>
      <c r="G100" s="269"/>
      <c r="H100" s="271"/>
      <c r="I100" s="274"/>
      <c r="K100" s="23" t="str">
        <f t="shared" si="28"/>
        <v/>
      </c>
      <c r="L100" s="275"/>
      <c r="M100" s="277"/>
      <c r="N100" s="275"/>
      <c r="P100" s="43">
        <f t="shared" si="29"/>
        <v>100</v>
      </c>
      <c r="Q100" s="4"/>
      <c r="R100" s="49"/>
      <c r="S100" s="4"/>
      <c r="T100" s="4"/>
      <c r="U100" s="4"/>
      <c r="V100" s="4"/>
      <c r="W100" s="47"/>
      <c r="X100" s="4"/>
      <c r="Z100" s="18"/>
    </row>
    <row r="101" spans="1:26" ht="14.4">
      <c r="B101" s="23">
        <v>64</v>
      </c>
      <c r="C101" s="23" t="str">
        <f t="shared" si="27"/>
        <v/>
      </c>
      <c r="D101" s="271"/>
      <c r="E101" s="272"/>
      <c r="F101" s="269"/>
      <c r="G101" s="269"/>
      <c r="H101" s="271"/>
      <c r="I101" s="274"/>
      <c r="K101" s="23" t="str">
        <f t="shared" si="28"/>
        <v/>
      </c>
      <c r="L101" s="275"/>
      <c r="M101" s="277"/>
      <c r="N101" s="275"/>
      <c r="P101" s="43">
        <f t="shared" si="29"/>
        <v>100</v>
      </c>
      <c r="Q101" s="4"/>
      <c r="R101" s="49"/>
      <c r="S101" s="4"/>
      <c r="T101" s="4"/>
      <c r="U101" s="4"/>
      <c r="V101" s="4"/>
      <c r="W101" s="47"/>
      <c r="X101" s="4"/>
      <c r="Z101" s="18"/>
    </row>
    <row r="102" spans="1:26" ht="14.4">
      <c r="B102" s="23">
        <v>65</v>
      </c>
      <c r="C102" s="23" t="str">
        <f t="shared" si="27"/>
        <v/>
      </c>
      <c r="D102" s="271"/>
      <c r="E102" s="272"/>
      <c r="F102" s="269"/>
      <c r="G102" s="269"/>
      <c r="H102" s="271"/>
      <c r="I102" s="274"/>
      <c r="K102" s="23" t="str">
        <f t="shared" si="28"/>
        <v/>
      </c>
      <c r="L102" s="275"/>
      <c r="M102" s="277"/>
      <c r="N102" s="275"/>
      <c r="P102" s="43">
        <f t="shared" si="29"/>
        <v>100</v>
      </c>
      <c r="Q102" s="4"/>
      <c r="R102" s="49"/>
      <c r="S102" s="4"/>
      <c r="T102" s="4"/>
      <c r="U102" s="4"/>
      <c r="V102" s="4"/>
      <c r="W102" s="47"/>
      <c r="X102" s="4"/>
      <c r="Z102" s="18"/>
    </row>
    <row r="103" spans="1:26" ht="14.4">
      <c r="B103" s="23">
        <v>66</v>
      </c>
      <c r="C103" s="23" t="str">
        <f t="shared" si="27"/>
        <v/>
      </c>
      <c r="D103" s="271"/>
      <c r="E103" s="272"/>
      <c r="F103" s="269"/>
      <c r="G103" s="269"/>
      <c r="H103" s="271"/>
      <c r="I103" s="274"/>
      <c r="K103" s="23" t="str">
        <f t="shared" si="28"/>
        <v/>
      </c>
      <c r="L103" s="275"/>
      <c r="M103" s="277"/>
      <c r="N103" s="275"/>
      <c r="P103" s="43">
        <f t="shared" si="29"/>
        <v>100</v>
      </c>
      <c r="Q103" s="4"/>
      <c r="R103" s="49"/>
      <c r="S103" s="4"/>
      <c r="T103" s="4"/>
      <c r="U103" s="4"/>
      <c r="V103" s="4"/>
      <c r="W103" s="47"/>
      <c r="X103" s="4"/>
      <c r="Z103" s="18"/>
    </row>
    <row r="104" spans="1:26" ht="14.4">
      <c r="B104" s="23">
        <v>67</v>
      </c>
      <c r="C104" s="23" t="str">
        <f t="shared" si="27"/>
        <v/>
      </c>
      <c r="D104" s="271"/>
      <c r="E104" s="272"/>
      <c r="F104" s="269"/>
      <c r="G104" s="269"/>
      <c r="H104" s="271"/>
      <c r="I104" s="274"/>
      <c r="K104" s="23" t="str">
        <f t="shared" si="28"/>
        <v/>
      </c>
      <c r="L104" s="275"/>
      <c r="M104" s="277"/>
      <c r="N104" s="275"/>
      <c r="P104" s="43">
        <f t="shared" si="29"/>
        <v>100</v>
      </c>
      <c r="Q104" s="4"/>
      <c r="R104" s="49"/>
      <c r="S104" s="4"/>
      <c r="T104" s="4"/>
      <c r="U104" s="4"/>
      <c r="V104" s="4"/>
      <c r="W104" s="47"/>
      <c r="X104" s="4"/>
      <c r="Z104" s="18"/>
    </row>
    <row r="105" spans="1:26" ht="14.4">
      <c r="B105" s="23">
        <v>68</v>
      </c>
      <c r="C105" s="23" t="str">
        <f t="shared" si="27"/>
        <v/>
      </c>
      <c r="D105" s="271"/>
      <c r="E105" s="272"/>
      <c r="F105" s="269"/>
      <c r="G105" s="269"/>
      <c r="H105" s="271"/>
      <c r="I105" s="274"/>
      <c r="K105" s="23" t="str">
        <f t="shared" si="28"/>
        <v/>
      </c>
      <c r="L105" s="275"/>
      <c r="M105" s="277"/>
      <c r="N105" s="275"/>
      <c r="P105" s="43">
        <f t="shared" si="29"/>
        <v>100</v>
      </c>
      <c r="Q105" s="4"/>
      <c r="R105" s="49"/>
      <c r="S105" s="4"/>
      <c r="T105" s="4"/>
      <c r="U105" s="4"/>
      <c r="V105" s="4"/>
      <c r="W105" s="47"/>
      <c r="X105" s="4"/>
      <c r="Z105" s="18"/>
    </row>
    <row r="106" spans="1:26" ht="14.4">
      <c r="B106" s="23">
        <v>69</v>
      </c>
      <c r="C106" s="23" t="str">
        <f>IF(D105="","",D105)</f>
        <v/>
      </c>
      <c r="D106" s="271"/>
      <c r="E106" s="272"/>
      <c r="F106" s="269"/>
      <c r="G106" s="269"/>
      <c r="H106" s="271"/>
      <c r="I106" s="274"/>
      <c r="K106" s="23" t="str">
        <f t="shared" si="28"/>
        <v/>
      </c>
      <c r="L106" s="275"/>
      <c r="M106" s="277"/>
      <c r="N106" s="275"/>
      <c r="P106" s="43">
        <f t="shared" si="29"/>
        <v>100</v>
      </c>
      <c r="Q106" s="4"/>
      <c r="R106" s="49"/>
      <c r="S106" s="4"/>
      <c r="T106" s="4"/>
      <c r="U106" s="4"/>
      <c r="V106" s="4"/>
      <c r="W106" s="47"/>
      <c r="X106" s="4"/>
      <c r="Z106" s="18"/>
    </row>
    <row r="107" spans="1:26" ht="14.4">
      <c r="B107" s="23">
        <v>610</v>
      </c>
      <c r="C107" s="23" t="str">
        <f t="shared" ref="C107:C109" si="30">IF(D106="","",D106)</f>
        <v/>
      </c>
      <c r="D107" s="271"/>
      <c r="E107" s="272"/>
      <c r="F107" s="269"/>
      <c r="G107" s="269"/>
      <c r="H107" s="271"/>
      <c r="I107" s="274"/>
      <c r="K107" s="23" t="str">
        <f t="shared" si="28"/>
        <v/>
      </c>
      <c r="L107" s="275"/>
      <c r="M107" s="277"/>
      <c r="N107" s="275"/>
      <c r="P107" s="43">
        <f t="shared" si="29"/>
        <v>100</v>
      </c>
      <c r="Q107" s="4"/>
      <c r="R107" s="49"/>
      <c r="S107" s="4"/>
      <c r="T107" s="4"/>
      <c r="U107" s="4"/>
      <c r="V107" s="4"/>
      <c r="W107" s="47"/>
      <c r="X107" s="4"/>
      <c r="Z107" s="18"/>
    </row>
    <row r="108" spans="1:26" ht="14.4">
      <c r="B108" s="23">
        <v>611</v>
      </c>
      <c r="C108" s="23" t="str">
        <f t="shared" si="30"/>
        <v/>
      </c>
      <c r="D108" s="271"/>
      <c r="E108" s="272"/>
      <c r="F108" s="269"/>
      <c r="G108" s="269"/>
      <c r="H108" s="271"/>
      <c r="I108" s="274"/>
      <c r="K108" s="23" t="str">
        <f t="shared" si="28"/>
        <v/>
      </c>
      <c r="L108" s="275"/>
      <c r="M108" s="277"/>
      <c r="N108" s="275"/>
      <c r="P108" s="43">
        <f t="shared" si="29"/>
        <v>100</v>
      </c>
      <c r="Q108" s="4"/>
      <c r="R108" s="49"/>
      <c r="S108" s="4"/>
      <c r="T108" s="4"/>
      <c r="U108" s="4"/>
      <c r="V108" s="4"/>
      <c r="W108" s="47"/>
      <c r="X108" s="4"/>
      <c r="Z108" s="18"/>
    </row>
    <row r="109" spans="1:26" ht="14.4">
      <c r="B109" s="23">
        <v>612</v>
      </c>
      <c r="C109" s="23" t="str">
        <f t="shared" si="30"/>
        <v/>
      </c>
      <c r="D109" s="271"/>
      <c r="E109" s="272"/>
      <c r="F109" s="269"/>
      <c r="G109" s="269"/>
      <c r="H109" s="271"/>
      <c r="I109" s="274"/>
      <c r="K109" s="23" t="str">
        <f t="shared" si="28"/>
        <v/>
      </c>
      <c r="L109" s="275"/>
      <c r="M109" s="277"/>
      <c r="N109" s="275"/>
      <c r="P109" s="43">
        <f t="shared" si="29"/>
        <v>100</v>
      </c>
      <c r="Q109" s="4"/>
      <c r="R109" s="49"/>
      <c r="S109" s="4"/>
      <c r="T109" s="4"/>
      <c r="U109" s="4"/>
      <c r="V109" s="4"/>
      <c r="W109" s="47"/>
      <c r="X109" s="4"/>
      <c r="Z109" s="18"/>
    </row>
    <row r="110" spans="1:26">
      <c r="P110" s="43"/>
      <c r="Q110" s="4"/>
      <c r="R110" s="49"/>
      <c r="S110" s="4"/>
      <c r="T110" s="4"/>
      <c r="U110" s="4"/>
      <c r="V110" s="4"/>
      <c r="W110" s="47"/>
      <c r="X110" s="4"/>
      <c r="Z110" s="18"/>
    </row>
    <row r="111" spans="1:26" ht="15" thickBot="1">
      <c r="A111" s="24">
        <v>7</v>
      </c>
      <c r="B111" s="23" t="s">
        <v>25</v>
      </c>
      <c r="C111" s="271">
        <v>100</v>
      </c>
      <c r="D111" s="468" t="s">
        <v>363</v>
      </c>
      <c r="E111" s="271"/>
      <c r="K111" s="545" t="s">
        <v>26</v>
      </c>
      <c r="L111" s="546"/>
      <c r="M111" s="546"/>
      <c r="N111" s="547"/>
      <c r="P111" s="43"/>
      <c r="Q111" s="4"/>
      <c r="R111" s="49"/>
      <c r="S111" s="4"/>
      <c r="T111" s="4"/>
      <c r="U111" s="4"/>
      <c r="V111" s="4"/>
      <c r="W111" s="47"/>
      <c r="X111" s="4"/>
      <c r="Z111" s="18"/>
    </row>
    <row r="112" spans="1:26" ht="51" customHeight="1" thickBot="1">
      <c r="A112" s="282"/>
      <c r="B112" s="279" t="s">
        <v>205</v>
      </c>
      <c r="C112" s="273" t="s">
        <v>358</v>
      </c>
      <c r="D112" s="273" t="s">
        <v>359</v>
      </c>
      <c r="E112" s="273" t="s">
        <v>54</v>
      </c>
      <c r="F112" s="273" t="s">
        <v>55</v>
      </c>
      <c r="G112" s="273" t="s">
        <v>56</v>
      </c>
      <c r="H112" s="273" t="s">
        <v>57</v>
      </c>
      <c r="I112" s="280" t="s">
        <v>58</v>
      </c>
      <c r="J112" s="20"/>
      <c r="K112" s="13" t="s">
        <v>37</v>
      </c>
      <c r="L112" s="13" t="s">
        <v>38</v>
      </c>
      <c r="M112" s="13" t="s">
        <v>39</v>
      </c>
      <c r="N112" s="13" t="s">
        <v>40</v>
      </c>
      <c r="P112" s="43"/>
      <c r="Q112" s="4"/>
      <c r="R112" s="49"/>
      <c r="S112" s="4"/>
      <c r="T112" s="4"/>
      <c r="U112" s="4"/>
      <c r="V112" s="4"/>
      <c r="W112" s="47"/>
      <c r="X112" s="4"/>
      <c r="Z112" s="18"/>
    </row>
    <row r="113" spans="1:26" ht="14.4">
      <c r="B113" s="94">
        <v>71</v>
      </c>
      <c r="C113" s="275">
        <v>0</v>
      </c>
      <c r="D113" s="275"/>
      <c r="E113" s="276"/>
      <c r="F113" s="277"/>
      <c r="G113" s="277"/>
      <c r="H113" s="275"/>
      <c r="I113" s="278"/>
      <c r="K113" s="275">
        <v>0</v>
      </c>
      <c r="L113" s="275"/>
      <c r="M113" s="277"/>
      <c r="N113" s="275"/>
      <c r="P113" s="43">
        <f>$C$111-D113</f>
        <v>100</v>
      </c>
      <c r="Q113" s="4"/>
      <c r="R113" s="49"/>
      <c r="S113" s="4"/>
      <c r="T113" s="4"/>
      <c r="U113" s="4"/>
      <c r="V113" s="4"/>
      <c r="W113" s="47"/>
      <c r="X113" s="4"/>
      <c r="Z113" s="18"/>
    </row>
    <row r="114" spans="1:26" ht="14.4">
      <c r="B114" s="23">
        <v>72</v>
      </c>
      <c r="C114" s="23" t="str">
        <f t="shared" ref="C114:C120" si="31">IF(D113="","",D113)</f>
        <v/>
      </c>
      <c r="D114" s="271"/>
      <c r="E114" s="272"/>
      <c r="F114" s="269"/>
      <c r="G114" s="269"/>
      <c r="H114" s="271"/>
      <c r="I114" s="274"/>
      <c r="K114" s="23" t="str">
        <f t="shared" ref="K114:K124" si="32">IF(L113="","",L113)</f>
        <v/>
      </c>
      <c r="L114" s="275"/>
      <c r="M114" s="277"/>
      <c r="N114" s="275"/>
      <c r="P114" s="43">
        <f t="shared" ref="P114:P124" si="33">$C$111-D114</f>
        <v>100</v>
      </c>
      <c r="Q114" s="4"/>
      <c r="R114" s="49"/>
      <c r="S114" s="4"/>
      <c r="T114" s="4"/>
      <c r="U114" s="4"/>
      <c r="V114" s="4"/>
      <c r="W114" s="47"/>
      <c r="X114" s="4"/>
      <c r="Z114" s="18"/>
    </row>
    <row r="115" spans="1:26" ht="14.4">
      <c r="B115" s="23">
        <v>73</v>
      </c>
      <c r="C115" s="23" t="str">
        <f t="shared" si="31"/>
        <v/>
      </c>
      <c r="D115" s="271"/>
      <c r="E115" s="272"/>
      <c r="F115" s="269"/>
      <c r="G115" s="269"/>
      <c r="H115" s="271"/>
      <c r="I115" s="274"/>
      <c r="K115" s="23" t="str">
        <f t="shared" si="32"/>
        <v/>
      </c>
      <c r="L115" s="275"/>
      <c r="M115" s="277"/>
      <c r="N115" s="275"/>
      <c r="P115" s="43">
        <f t="shared" si="33"/>
        <v>100</v>
      </c>
      <c r="Q115" s="4"/>
      <c r="R115" s="49"/>
      <c r="S115" s="4"/>
      <c r="T115" s="4"/>
      <c r="U115" s="4"/>
      <c r="V115" s="4"/>
      <c r="W115" s="47"/>
      <c r="X115" s="4"/>
      <c r="Z115" s="18"/>
    </row>
    <row r="116" spans="1:26" ht="14.4">
      <c r="B116" s="23">
        <v>74</v>
      </c>
      <c r="C116" s="23" t="str">
        <f t="shared" si="31"/>
        <v/>
      </c>
      <c r="D116" s="271"/>
      <c r="E116" s="272"/>
      <c r="F116" s="269"/>
      <c r="G116" s="269"/>
      <c r="H116" s="271"/>
      <c r="I116" s="274"/>
      <c r="K116" s="23" t="str">
        <f t="shared" si="32"/>
        <v/>
      </c>
      <c r="L116" s="275"/>
      <c r="M116" s="277"/>
      <c r="N116" s="275"/>
      <c r="P116" s="43">
        <f t="shared" si="33"/>
        <v>100</v>
      </c>
      <c r="Q116" s="4"/>
      <c r="R116" s="49"/>
      <c r="S116" s="4"/>
      <c r="T116" s="4"/>
      <c r="U116" s="4"/>
      <c r="V116" s="4"/>
      <c r="W116" s="47"/>
      <c r="X116" s="4"/>
    </row>
    <row r="117" spans="1:26" ht="14.4">
      <c r="B117" s="23">
        <v>75</v>
      </c>
      <c r="C117" s="23" t="str">
        <f t="shared" si="31"/>
        <v/>
      </c>
      <c r="D117" s="271"/>
      <c r="E117" s="272"/>
      <c r="F117" s="269"/>
      <c r="G117" s="269"/>
      <c r="H117" s="271"/>
      <c r="I117" s="274"/>
      <c r="K117" s="23" t="str">
        <f t="shared" si="32"/>
        <v/>
      </c>
      <c r="L117" s="275"/>
      <c r="M117" s="277"/>
      <c r="N117" s="275"/>
      <c r="P117" s="43">
        <f t="shared" si="33"/>
        <v>100</v>
      </c>
      <c r="Q117" s="4"/>
      <c r="R117" s="49"/>
      <c r="S117" s="4"/>
      <c r="T117" s="4"/>
      <c r="U117" s="4"/>
      <c r="V117" s="4"/>
      <c r="W117" s="47"/>
      <c r="X117" s="4"/>
    </row>
    <row r="118" spans="1:26" ht="14.4">
      <c r="B118" s="23">
        <v>76</v>
      </c>
      <c r="C118" s="23" t="str">
        <f t="shared" si="31"/>
        <v/>
      </c>
      <c r="D118" s="271"/>
      <c r="E118" s="272"/>
      <c r="F118" s="269"/>
      <c r="G118" s="269"/>
      <c r="H118" s="271"/>
      <c r="I118" s="274"/>
      <c r="K118" s="23" t="str">
        <f t="shared" si="32"/>
        <v/>
      </c>
      <c r="L118" s="275"/>
      <c r="M118" s="277"/>
      <c r="N118" s="275"/>
      <c r="P118" s="43">
        <f t="shared" si="33"/>
        <v>100</v>
      </c>
      <c r="Q118" s="4"/>
      <c r="R118" s="49"/>
      <c r="S118" s="4"/>
      <c r="T118" s="4"/>
      <c r="U118" s="4"/>
      <c r="V118" s="4"/>
      <c r="W118" s="47"/>
      <c r="X118" s="4"/>
    </row>
    <row r="119" spans="1:26" ht="14.4">
      <c r="B119" s="23">
        <v>77</v>
      </c>
      <c r="C119" s="23" t="str">
        <f t="shared" si="31"/>
        <v/>
      </c>
      <c r="D119" s="271"/>
      <c r="E119" s="272"/>
      <c r="F119" s="269"/>
      <c r="G119" s="269"/>
      <c r="H119" s="271"/>
      <c r="I119" s="274"/>
      <c r="K119" s="23" t="str">
        <f t="shared" si="32"/>
        <v/>
      </c>
      <c r="L119" s="275"/>
      <c r="M119" s="277"/>
      <c r="N119" s="275"/>
      <c r="P119" s="43">
        <f t="shared" si="33"/>
        <v>100</v>
      </c>
      <c r="Q119" s="4"/>
      <c r="R119" s="49"/>
      <c r="S119" s="4"/>
      <c r="T119" s="4"/>
      <c r="U119" s="4"/>
      <c r="V119" s="4"/>
      <c r="W119" s="47"/>
      <c r="X119" s="4"/>
    </row>
    <row r="120" spans="1:26" ht="14.4">
      <c r="B120" s="23">
        <v>78</v>
      </c>
      <c r="C120" s="23" t="str">
        <f t="shared" si="31"/>
        <v/>
      </c>
      <c r="D120" s="271"/>
      <c r="E120" s="272"/>
      <c r="F120" s="269"/>
      <c r="G120" s="269"/>
      <c r="H120" s="271"/>
      <c r="I120" s="274"/>
      <c r="K120" s="23" t="str">
        <f t="shared" si="32"/>
        <v/>
      </c>
      <c r="L120" s="275"/>
      <c r="M120" s="277"/>
      <c r="N120" s="275"/>
      <c r="P120" s="43">
        <f t="shared" si="33"/>
        <v>100</v>
      </c>
      <c r="Q120" s="4"/>
      <c r="R120" s="49"/>
      <c r="S120" s="4"/>
      <c r="T120" s="4"/>
      <c r="U120" s="4"/>
      <c r="V120" s="4"/>
      <c r="W120" s="47"/>
      <c r="X120" s="4"/>
    </row>
    <row r="121" spans="1:26" ht="14.4">
      <c r="B121" s="23">
        <v>79</v>
      </c>
      <c r="C121" s="23" t="str">
        <f>IF(D120="","",D120)</f>
        <v/>
      </c>
      <c r="D121" s="271"/>
      <c r="E121" s="272"/>
      <c r="F121" s="269"/>
      <c r="G121" s="269"/>
      <c r="H121" s="271"/>
      <c r="I121" s="274"/>
      <c r="K121" s="23" t="str">
        <f t="shared" si="32"/>
        <v/>
      </c>
      <c r="L121" s="275"/>
      <c r="M121" s="277"/>
      <c r="N121" s="275"/>
      <c r="P121" s="43">
        <f t="shared" si="33"/>
        <v>100</v>
      </c>
      <c r="Q121" s="4"/>
      <c r="R121" s="49"/>
      <c r="S121" s="4"/>
      <c r="T121" s="4"/>
      <c r="U121" s="4"/>
      <c r="V121" s="4"/>
      <c r="W121" s="47"/>
      <c r="X121" s="4"/>
    </row>
    <row r="122" spans="1:26" ht="14.4">
      <c r="B122" s="23">
        <v>710</v>
      </c>
      <c r="C122" s="23" t="str">
        <f t="shared" ref="C122:C124" si="34">IF(D121="","",D121)</f>
        <v/>
      </c>
      <c r="D122" s="271"/>
      <c r="E122" s="272"/>
      <c r="F122" s="269"/>
      <c r="G122" s="269"/>
      <c r="H122" s="271"/>
      <c r="I122" s="274"/>
      <c r="K122" s="23" t="str">
        <f t="shared" si="32"/>
        <v/>
      </c>
      <c r="L122" s="275"/>
      <c r="M122" s="277"/>
      <c r="N122" s="275"/>
      <c r="P122" s="43">
        <f t="shared" si="33"/>
        <v>100</v>
      </c>
      <c r="Q122" s="4"/>
      <c r="R122" s="49"/>
      <c r="S122" s="4"/>
      <c r="T122" s="4"/>
      <c r="U122" s="4"/>
      <c r="V122" s="4"/>
      <c r="W122" s="47"/>
      <c r="X122" s="4"/>
    </row>
    <row r="123" spans="1:26" ht="14.4">
      <c r="B123" s="23">
        <v>711</v>
      </c>
      <c r="C123" s="23" t="str">
        <f t="shared" si="34"/>
        <v/>
      </c>
      <c r="D123" s="271"/>
      <c r="E123" s="272"/>
      <c r="F123" s="269"/>
      <c r="G123" s="269"/>
      <c r="H123" s="271"/>
      <c r="I123" s="274"/>
      <c r="K123" s="23" t="str">
        <f t="shared" si="32"/>
        <v/>
      </c>
      <c r="L123" s="275"/>
      <c r="M123" s="277"/>
      <c r="N123" s="275"/>
      <c r="P123" s="43">
        <f t="shared" si="33"/>
        <v>100</v>
      </c>
      <c r="Q123" s="4"/>
      <c r="R123" s="49"/>
      <c r="S123" s="4"/>
      <c r="T123" s="4"/>
      <c r="U123" s="4"/>
      <c r="V123" s="4"/>
      <c r="W123" s="47"/>
      <c r="X123" s="4"/>
    </row>
    <row r="124" spans="1:26" ht="14.4">
      <c r="B124" s="23">
        <v>712</v>
      </c>
      <c r="C124" s="23" t="str">
        <f t="shared" si="34"/>
        <v/>
      </c>
      <c r="D124" s="271"/>
      <c r="E124" s="272"/>
      <c r="F124" s="269"/>
      <c r="G124" s="269"/>
      <c r="H124" s="271"/>
      <c r="I124" s="274"/>
      <c r="K124" s="23" t="str">
        <f t="shared" si="32"/>
        <v/>
      </c>
      <c r="L124" s="275"/>
      <c r="M124" s="277"/>
      <c r="N124" s="275"/>
      <c r="P124" s="43">
        <f t="shared" si="33"/>
        <v>100</v>
      </c>
      <c r="Q124" s="4"/>
      <c r="R124" s="49"/>
      <c r="S124" s="4"/>
      <c r="T124" s="4"/>
      <c r="U124" s="4"/>
      <c r="V124" s="4"/>
      <c r="W124" s="47"/>
      <c r="X124" s="4"/>
    </row>
    <row r="125" spans="1:26">
      <c r="P125" s="43"/>
      <c r="Q125" s="4"/>
      <c r="R125" s="49"/>
      <c r="S125" s="4"/>
      <c r="T125" s="4"/>
      <c r="U125" s="4"/>
      <c r="V125" s="4"/>
      <c r="W125" s="47"/>
      <c r="X125" s="4"/>
    </row>
    <row r="126" spans="1:26" ht="15" thickBot="1">
      <c r="A126" s="24">
        <v>8</v>
      </c>
      <c r="B126" s="23" t="s">
        <v>25</v>
      </c>
      <c r="C126" s="271">
        <v>100</v>
      </c>
      <c r="D126" s="468" t="s">
        <v>363</v>
      </c>
      <c r="E126" s="271"/>
      <c r="K126" s="545" t="s">
        <v>26</v>
      </c>
      <c r="L126" s="546"/>
      <c r="M126" s="546"/>
      <c r="N126" s="547"/>
      <c r="P126" s="43"/>
      <c r="Q126" s="4"/>
      <c r="R126" s="49"/>
      <c r="S126" s="4"/>
      <c r="T126" s="4"/>
      <c r="U126" s="4"/>
      <c r="V126" s="4"/>
      <c r="W126" s="47"/>
      <c r="X126" s="4"/>
    </row>
    <row r="127" spans="1:26" ht="51" customHeight="1" thickBot="1">
      <c r="A127" s="282"/>
      <c r="B127" s="279" t="s">
        <v>205</v>
      </c>
      <c r="C127" s="273" t="s">
        <v>358</v>
      </c>
      <c r="D127" s="273" t="s">
        <v>359</v>
      </c>
      <c r="E127" s="273" t="s">
        <v>54</v>
      </c>
      <c r="F127" s="273" t="s">
        <v>55</v>
      </c>
      <c r="G127" s="273" t="s">
        <v>56</v>
      </c>
      <c r="H127" s="273" t="s">
        <v>57</v>
      </c>
      <c r="I127" s="280" t="s">
        <v>58</v>
      </c>
      <c r="J127" s="20"/>
      <c r="K127" s="13" t="s">
        <v>37</v>
      </c>
      <c r="L127" s="13" t="s">
        <v>38</v>
      </c>
      <c r="M127" s="13" t="s">
        <v>39</v>
      </c>
      <c r="N127" s="13" t="s">
        <v>40</v>
      </c>
      <c r="P127" s="43"/>
      <c r="Q127" s="4"/>
      <c r="R127" s="49"/>
      <c r="S127" s="4"/>
      <c r="T127" s="4"/>
      <c r="U127" s="4"/>
      <c r="V127" s="4"/>
      <c r="W127" s="47"/>
      <c r="X127" s="4"/>
    </row>
    <row r="128" spans="1:26" ht="14.4">
      <c r="B128" s="94">
        <v>81</v>
      </c>
      <c r="C128" s="275">
        <v>0</v>
      </c>
      <c r="D128" s="275"/>
      <c r="E128" s="276"/>
      <c r="F128" s="277"/>
      <c r="G128" s="277"/>
      <c r="H128" s="275"/>
      <c r="I128" s="278"/>
      <c r="K128" s="275">
        <v>0</v>
      </c>
      <c r="L128" s="275"/>
      <c r="M128" s="277"/>
      <c r="N128" s="275"/>
      <c r="P128" s="43">
        <f>$C$126-D128</f>
        <v>100</v>
      </c>
      <c r="Q128" s="4"/>
      <c r="R128" s="49"/>
      <c r="S128" s="4"/>
      <c r="T128" s="4"/>
      <c r="U128" s="4"/>
      <c r="V128" s="4"/>
      <c r="W128" s="47"/>
      <c r="X128" s="4"/>
    </row>
    <row r="129" spans="1:24" ht="14.4">
      <c r="B129" s="23">
        <v>82</v>
      </c>
      <c r="C129" s="23" t="str">
        <f t="shared" ref="C129:C135" si="35">IF(D128="","",D128)</f>
        <v/>
      </c>
      <c r="D129" s="271"/>
      <c r="E129" s="272"/>
      <c r="F129" s="269"/>
      <c r="G129" s="269"/>
      <c r="H129" s="271"/>
      <c r="I129" s="274"/>
      <c r="K129" s="23" t="str">
        <f t="shared" ref="K129:K139" si="36">IF(L128="","",L128)</f>
        <v/>
      </c>
      <c r="L129" s="275"/>
      <c r="M129" s="277"/>
      <c r="N129" s="275"/>
      <c r="P129" s="43">
        <f t="shared" ref="P129:P139" si="37">$C$126-D129</f>
        <v>100</v>
      </c>
      <c r="Q129" s="4"/>
      <c r="R129" s="49"/>
      <c r="S129" s="4"/>
      <c r="T129" s="4"/>
      <c r="U129" s="4"/>
      <c r="V129" s="4"/>
      <c r="W129" s="47"/>
      <c r="X129" s="4"/>
    </row>
    <row r="130" spans="1:24" ht="14.4">
      <c r="B130" s="23">
        <v>83</v>
      </c>
      <c r="C130" s="23" t="str">
        <f t="shared" si="35"/>
        <v/>
      </c>
      <c r="D130" s="271"/>
      <c r="E130" s="272"/>
      <c r="F130" s="269"/>
      <c r="G130" s="269"/>
      <c r="H130" s="271"/>
      <c r="I130" s="274"/>
      <c r="K130" s="23" t="str">
        <f t="shared" si="36"/>
        <v/>
      </c>
      <c r="L130" s="275"/>
      <c r="M130" s="277"/>
      <c r="N130" s="275"/>
      <c r="P130" s="43">
        <f t="shared" si="37"/>
        <v>100</v>
      </c>
      <c r="Q130" s="4"/>
      <c r="R130" s="49"/>
      <c r="S130" s="4"/>
      <c r="T130" s="4"/>
      <c r="U130" s="4"/>
      <c r="V130" s="4"/>
      <c r="W130" s="47"/>
      <c r="X130" s="4"/>
    </row>
    <row r="131" spans="1:24" ht="14.4">
      <c r="B131" s="23">
        <v>84</v>
      </c>
      <c r="C131" s="23" t="str">
        <f t="shared" si="35"/>
        <v/>
      </c>
      <c r="D131" s="271"/>
      <c r="E131" s="272"/>
      <c r="F131" s="269"/>
      <c r="G131" s="269"/>
      <c r="H131" s="271"/>
      <c r="I131" s="274"/>
      <c r="K131" s="23" t="str">
        <f t="shared" si="36"/>
        <v/>
      </c>
      <c r="L131" s="275"/>
      <c r="M131" s="277"/>
      <c r="N131" s="275"/>
      <c r="P131" s="43">
        <f t="shared" si="37"/>
        <v>100</v>
      </c>
      <c r="Q131" s="4"/>
      <c r="R131" s="49"/>
      <c r="S131" s="4"/>
      <c r="T131" s="4"/>
      <c r="U131" s="4"/>
      <c r="V131" s="4"/>
      <c r="W131" s="47"/>
      <c r="X131" s="4"/>
    </row>
    <row r="132" spans="1:24" ht="14.4">
      <c r="B132" s="23">
        <v>85</v>
      </c>
      <c r="C132" s="23" t="str">
        <f t="shared" si="35"/>
        <v/>
      </c>
      <c r="D132" s="271"/>
      <c r="E132" s="272"/>
      <c r="F132" s="269"/>
      <c r="G132" s="269"/>
      <c r="H132" s="271"/>
      <c r="I132" s="274"/>
      <c r="K132" s="23" t="str">
        <f t="shared" si="36"/>
        <v/>
      </c>
      <c r="L132" s="275"/>
      <c r="M132" s="277"/>
      <c r="N132" s="275"/>
      <c r="P132" s="43">
        <f t="shared" si="37"/>
        <v>100</v>
      </c>
      <c r="Q132" s="4"/>
      <c r="R132" s="49"/>
      <c r="S132" s="4"/>
      <c r="T132" s="4"/>
      <c r="U132" s="4"/>
      <c r="V132" s="4"/>
      <c r="W132" s="47"/>
      <c r="X132" s="4"/>
    </row>
    <row r="133" spans="1:24" ht="14.4">
      <c r="B133" s="23">
        <v>86</v>
      </c>
      <c r="C133" s="23" t="str">
        <f t="shared" si="35"/>
        <v/>
      </c>
      <c r="D133" s="271"/>
      <c r="E133" s="272"/>
      <c r="F133" s="269"/>
      <c r="G133" s="269"/>
      <c r="H133" s="271"/>
      <c r="I133" s="274"/>
      <c r="K133" s="23" t="str">
        <f t="shared" si="36"/>
        <v/>
      </c>
      <c r="L133" s="275"/>
      <c r="M133" s="277"/>
      <c r="N133" s="275"/>
      <c r="P133" s="43">
        <f t="shared" si="37"/>
        <v>100</v>
      </c>
      <c r="Q133" s="4"/>
      <c r="R133" s="49"/>
      <c r="S133" s="4"/>
      <c r="T133" s="4"/>
      <c r="U133" s="4"/>
      <c r="V133" s="4"/>
      <c r="W133" s="47"/>
      <c r="X133" s="4"/>
    </row>
    <row r="134" spans="1:24" ht="14.4">
      <c r="B134" s="23">
        <v>87</v>
      </c>
      <c r="C134" s="23" t="str">
        <f t="shared" si="35"/>
        <v/>
      </c>
      <c r="D134" s="271"/>
      <c r="E134" s="272"/>
      <c r="F134" s="269"/>
      <c r="G134" s="269"/>
      <c r="H134" s="271"/>
      <c r="I134" s="274"/>
      <c r="K134" s="23" t="str">
        <f t="shared" si="36"/>
        <v/>
      </c>
      <c r="L134" s="275"/>
      <c r="M134" s="277"/>
      <c r="N134" s="275"/>
      <c r="P134" s="43">
        <f t="shared" si="37"/>
        <v>100</v>
      </c>
      <c r="Q134" s="4"/>
      <c r="R134" s="49"/>
      <c r="S134" s="4"/>
      <c r="T134" s="4"/>
      <c r="U134" s="4"/>
      <c r="V134" s="4"/>
      <c r="W134" s="47"/>
      <c r="X134" s="4"/>
    </row>
    <row r="135" spans="1:24" ht="14.4">
      <c r="B135" s="23">
        <v>88</v>
      </c>
      <c r="C135" s="23" t="str">
        <f t="shared" si="35"/>
        <v/>
      </c>
      <c r="D135" s="271"/>
      <c r="E135" s="272"/>
      <c r="F135" s="269"/>
      <c r="G135" s="269"/>
      <c r="H135" s="271"/>
      <c r="I135" s="274"/>
      <c r="K135" s="23" t="str">
        <f t="shared" si="36"/>
        <v/>
      </c>
      <c r="L135" s="275"/>
      <c r="M135" s="277"/>
      <c r="N135" s="275"/>
      <c r="P135" s="43">
        <f t="shared" si="37"/>
        <v>100</v>
      </c>
      <c r="Q135" s="4"/>
      <c r="R135" s="49"/>
      <c r="S135" s="4"/>
      <c r="T135" s="4"/>
      <c r="U135" s="4"/>
      <c r="V135" s="4"/>
      <c r="W135" s="47"/>
      <c r="X135" s="4"/>
    </row>
    <row r="136" spans="1:24" ht="14.4">
      <c r="B136" s="23">
        <v>89</v>
      </c>
      <c r="C136" s="23" t="str">
        <f>IF(D135="","",D135)</f>
        <v/>
      </c>
      <c r="D136" s="271"/>
      <c r="E136" s="272"/>
      <c r="F136" s="269"/>
      <c r="G136" s="269"/>
      <c r="H136" s="271"/>
      <c r="I136" s="274"/>
      <c r="K136" s="23" t="str">
        <f t="shared" si="36"/>
        <v/>
      </c>
      <c r="L136" s="275"/>
      <c r="M136" s="277"/>
      <c r="N136" s="275"/>
      <c r="P136" s="43">
        <f t="shared" si="37"/>
        <v>100</v>
      </c>
      <c r="Q136" s="4"/>
      <c r="R136" s="49"/>
      <c r="S136" s="4"/>
      <c r="T136" s="4"/>
      <c r="U136" s="4"/>
      <c r="V136" s="4"/>
      <c r="W136" s="47"/>
      <c r="X136" s="4"/>
    </row>
    <row r="137" spans="1:24" ht="14.4">
      <c r="B137" s="23">
        <v>810</v>
      </c>
      <c r="C137" s="23" t="str">
        <f t="shared" ref="C137:C139" si="38">IF(D136="","",D136)</f>
        <v/>
      </c>
      <c r="D137" s="271"/>
      <c r="E137" s="272"/>
      <c r="F137" s="269"/>
      <c r="G137" s="269"/>
      <c r="H137" s="271"/>
      <c r="I137" s="274"/>
      <c r="K137" s="23" t="str">
        <f t="shared" si="36"/>
        <v/>
      </c>
      <c r="L137" s="275"/>
      <c r="M137" s="277"/>
      <c r="N137" s="275"/>
      <c r="P137" s="43">
        <f t="shared" si="37"/>
        <v>100</v>
      </c>
      <c r="Q137" s="4"/>
      <c r="R137" s="49"/>
      <c r="S137" s="4"/>
      <c r="T137" s="4"/>
      <c r="U137" s="4"/>
      <c r="V137" s="4"/>
      <c r="W137" s="47"/>
      <c r="X137" s="4"/>
    </row>
    <row r="138" spans="1:24" ht="14.4">
      <c r="B138" s="23">
        <v>811</v>
      </c>
      <c r="C138" s="23" t="str">
        <f t="shared" si="38"/>
        <v/>
      </c>
      <c r="D138" s="271"/>
      <c r="E138" s="272"/>
      <c r="F138" s="269"/>
      <c r="G138" s="269"/>
      <c r="H138" s="271"/>
      <c r="I138" s="274"/>
      <c r="K138" s="23" t="str">
        <f t="shared" si="36"/>
        <v/>
      </c>
      <c r="L138" s="275"/>
      <c r="M138" s="277"/>
      <c r="N138" s="275"/>
      <c r="P138" s="43">
        <f t="shared" si="37"/>
        <v>100</v>
      </c>
      <c r="Q138" s="4"/>
      <c r="R138" s="49"/>
      <c r="S138" s="4"/>
      <c r="T138" s="4"/>
      <c r="U138" s="4"/>
      <c r="V138" s="4"/>
      <c r="W138" s="47"/>
      <c r="X138" s="4"/>
    </row>
    <row r="139" spans="1:24" ht="14.4">
      <c r="B139" s="23">
        <v>812</v>
      </c>
      <c r="C139" s="23" t="str">
        <f t="shared" si="38"/>
        <v/>
      </c>
      <c r="D139" s="271"/>
      <c r="E139" s="272"/>
      <c r="F139" s="269"/>
      <c r="G139" s="269"/>
      <c r="H139" s="271"/>
      <c r="I139" s="274"/>
      <c r="K139" s="23" t="str">
        <f t="shared" si="36"/>
        <v/>
      </c>
      <c r="L139" s="275"/>
      <c r="M139" s="277"/>
      <c r="N139" s="275"/>
      <c r="P139" s="43">
        <f t="shared" si="37"/>
        <v>100</v>
      </c>
      <c r="Q139" s="4"/>
      <c r="R139" s="49"/>
      <c r="S139" s="4"/>
      <c r="T139" s="4"/>
      <c r="U139" s="4"/>
      <c r="V139" s="4"/>
      <c r="W139" s="47"/>
      <c r="X139" s="4"/>
    </row>
    <row r="140" spans="1:24">
      <c r="P140" s="43"/>
      <c r="Q140" s="4"/>
      <c r="R140" s="49"/>
      <c r="S140" s="4"/>
      <c r="T140" s="4"/>
      <c r="U140" s="4"/>
      <c r="V140" s="4"/>
      <c r="W140" s="47"/>
      <c r="X140" s="4"/>
    </row>
    <row r="141" spans="1:24" ht="15" thickBot="1">
      <c r="A141" s="24">
        <v>9</v>
      </c>
      <c r="B141" s="23" t="s">
        <v>25</v>
      </c>
      <c r="C141" s="271">
        <v>100</v>
      </c>
      <c r="D141" s="468" t="s">
        <v>363</v>
      </c>
      <c r="E141" s="271"/>
      <c r="K141" s="545" t="s">
        <v>26</v>
      </c>
      <c r="L141" s="546"/>
      <c r="M141" s="546"/>
      <c r="N141" s="547"/>
      <c r="P141" s="43"/>
      <c r="Q141" s="4"/>
      <c r="R141" s="49"/>
      <c r="S141" s="4"/>
      <c r="T141" s="4"/>
      <c r="U141" s="4"/>
      <c r="V141" s="4"/>
      <c r="W141" s="47"/>
      <c r="X141" s="4"/>
    </row>
    <row r="142" spans="1:24" ht="51" customHeight="1" thickBot="1">
      <c r="A142" s="282"/>
      <c r="B142" s="279" t="s">
        <v>205</v>
      </c>
      <c r="C142" s="273" t="s">
        <v>358</v>
      </c>
      <c r="D142" s="273" t="s">
        <v>359</v>
      </c>
      <c r="E142" s="273" t="s">
        <v>54</v>
      </c>
      <c r="F142" s="273" t="s">
        <v>55</v>
      </c>
      <c r="G142" s="273" t="s">
        <v>56</v>
      </c>
      <c r="H142" s="273" t="s">
        <v>57</v>
      </c>
      <c r="I142" s="280" t="s">
        <v>58</v>
      </c>
      <c r="J142" s="20"/>
      <c r="K142" s="13" t="s">
        <v>37</v>
      </c>
      <c r="L142" s="13" t="s">
        <v>38</v>
      </c>
      <c r="M142" s="13" t="s">
        <v>39</v>
      </c>
      <c r="N142" s="13" t="s">
        <v>40</v>
      </c>
      <c r="P142" s="43"/>
      <c r="Q142" s="4"/>
      <c r="R142" s="49"/>
      <c r="S142" s="4"/>
      <c r="T142" s="4"/>
      <c r="U142" s="4"/>
      <c r="V142" s="4"/>
      <c r="W142" s="47"/>
      <c r="X142" s="4"/>
    </row>
    <row r="143" spans="1:24" ht="14.4">
      <c r="B143" s="94">
        <v>91</v>
      </c>
      <c r="C143" s="275">
        <v>0</v>
      </c>
      <c r="D143" s="275"/>
      <c r="E143" s="276"/>
      <c r="F143" s="277"/>
      <c r="G143" s="277"/>
      <c r="H143" s="275"/>
      <c r="I143" s="278"/>
      <c r="K143" s="275">
        <v>0</v>
      </c>
      <c r="L143" s="275"/>
      <c r="M143" s="277"/>
      <c r="N143" s="275"/>
      <c r="P143" s="43">
        <f>$C$141-D143</f>
        <v>100</v>
      </c>
      <c r="Q143" s="4"/>
      <c r="R143" s="49"/>
      <c r="S143" s="4"/>
      <c r="T143" s="4"/>
      <c r="U143" s="4"/>
      <c r="V143" s="4"/>
      <c r="W143" s="47"/>
      <c r="X143" s="4"/>
    </row>
    <row r="144" spans="1:24" ht="14.4">
      <c r="B144" s="23">
        <v>92</v>
      </c>
      <c r="C144" s="23" t="str">
        <f t="shared" ref="C144:C150" si="39">IF(D143="","",D143)</f>
        <v/>
      </c>
      <c r="D144" s="271"/>
      <c r="E144" s="272"/>
      <c r="F144" s="269"/>
      <c r="G144" s="269"/>
      <c r="H144" s="271"/>
      <c r="I144" s="274"/>
      <c r="K144" s="23" t="str">
        <f t="shared" ref="K144:K154" si="40">IF(L143="","",L143)</f>
        <v/>
      </c>
      <c r="L144" s="275"/>
      <c r="M144" s="277"/>
      <c r="N144" s="275"/>
      <c r="P144" s="43">
        <f t="shared" ref="P144:P154" si="41">$C$141-D144</f>
        <v>100</v>
      </c>
      <c r="Q144" s="4"/>
      <c r="R144" s="49"/>
      <c r="S144" s="4"/>
      <c r="T144" s="4"/>
      <c r="U144" s="4"/>
      <c r="V144" s="4"/>
      <c r="W144" s="47"/>
      <c r="X144" s="4"/>
    </row>
    <row r="145" spans="1:24" ht="14.4">
      <c r="B145" s="23">
        <v>93</v>
      </c>
      <c r="C145" s="23" t="str">
        <f t="shared" si="39"/>
        <v/>
      </c>
      <c r="D145" s="271"/>
      <c r="E145" s="272"/>
      <c r="F145" s="269"/>
      <c r="G145" s="269"/>
      <c r="H145" s="271"/>
      <c r="I145" s="274"/>
      <c r="K145" s="23" t="str">
        <f t="shared" si="40"/>
        <v/>
      </c>
      <c r="L145" s="275"/>
      <c r="M145" s="277"/>
      <c r="N145" s="275"/>
      <c r="P145" s="43">
        <f t="shared" si="41"/>
        <v>100</v>
      </c>
      <c r="Q145" s="4"/>
      <c r="R145" s="49"/>
      <c r="S145" s="4"/>
      <c r="T145" s="4"/>
      <c r="U145" s="4"/>
      <c r="V145" s="4"/>
      <c r="W145" s="47"/>
      <c r="X145" s="4"/>
    </row>
    <row r="146" spans="1:24" ht="14.4">
      <c r="B146" s="23">
        <v>94</v>
      </c>
      <c r="C146" s="23" t="str">
        <f t="shared" si="39"/>
        <v/>
      </c>
      <c r="D146" s="271"/>
      <c r="E146" s="272"/>
      <c r="F146" s="269"/>
      <c r="G146" s="269"/>
      <c r="H146" s="271"/>
      <c r="I146" s="274"/>
      <c r="K146" s="23" t="str">
        <f t="shared" si="40"/>
        <v/>
      </c>
      <c r="L146" s="275"/>
      <c r="M146" s="277"/>
      <c r="N146" s="275"/>
      <c r="P146" s="43">
        <f t="shared" si="41"/>
        <v>100</v>
      </c>
      <c r="Q146" s="4"/>
      <c r="R146" s="49"/>
      <c r="S146" s="4"/>
      <c r="T146" s="4"/>
      <c r="U146" s="4"/>
      <c r="V146" s="4"/>
      <c r="W146" s="47"/>
      <c r="X146" s="4"/>
    </row>
    <row r="147" spans="1:24" ht="14.4">
      <c r="B147" s="23">
        <v>95</v>
      </c>
      <c r="C147" s="23" t="str">
        <f t="shared" si="39"/>
        <v/>
      </c>
      <c r="D147" s="271"/>
      <c r="E147" s="272"/>
      <c r="F147" s="269"/>
      <c r="G147" s="269"/>
      <c r="H147" s="271"/>
      <c r="I147" s="274"/>
      <c r="K147" s="23" t="str">
        <f t="shared" si="40"/>
        <v/>
      </c>
      <c r="L147" s="275"/>
      <c r="M147" s="277"/>
      <c r="N147" s="275"/>
      <c r="P147" s="43">
        <f t="shared" si="41"/>
        <v>100</v>
      </c>
      <c r="Q147" s="4"/>
      <c r="R147" s="49"/>
      <c r="S147" s="4"/>
      <c r="T147" s="4"/>
      <c r="U147" s="4"/>
      <c r="V147" s="4"/>
      <c r="W147" s="47"/>
      <c r="X147" s="4"/>
    </row>
    <row r="148" spans="1:24" ht="14.4">
      <c r="B148" s="23">
        <v>96</v>
      </c>
      <c r="C148" s="23" t="str">
        <f t="shared" si="39"/>
        <v/>
      </c>
      <c r="D148" s="271"/>
      <c r="E148" s="272"/>
      <c r="F148" s="269"/>
      <c r="G148" s="269"/>
      <c r="H148" s="271"/>
      <c r="I148" s="274"/>
      <c r="K148" s="23" t="str">
        <f t="shared" si="40"/>
        <v/>
      </c>
      <c r="L148" s="275"/>
      <c r="M148" s="277"/>
      <c r="N148" s="275"/>
      <c r="P148" s="43">
        <f t="shared" si="41"/>
        <v>100</v>
      </c>
      <c r="Q148" s="4"/>
      <c r="R148" s="49"/>
      <c r="S148" s="4"/>
      <c r="T148" s="4"/>
      <c r="U148" s="4"/>
      <c r="V148" s="4"/>
      <c r="W148" s="47"/>
      <c r="X148" s="4"/>
    </row>
    <row r="149" spans="1:24" ht="14.4">
      <c r="B149" s="23">
        <v>97</v>
      </c>
      <c r="C149" s="23" t="str">
        <f t="shared" si="39"/>
        <v/>
      </c>
      <c r="D149" s="271"/>
      <c r="E149" s="272"/>
      <c r="F149" s="269"/>
      <c r="G149" s="269"/>
      <c r="H149" s="271"/>
      <c r="I149" s="274"/>
      <c r="K149" s="23" t="str">
        <f t="shared" si="40"/>
        <v/>
      </c>
      <c r="L149" s="275"/>
      <c r="M149" s="277"/>
      <c r="N149" s="275"/>
      <c r="P149" s="43">
        <f t="shared" si="41"/>
        <v>100</v>
      </c>
      <c r="Q149" s="4"/>
      <c r="R149" s="49"/>
      <c r="S149" s="4"/>
      <c r="T149" s="4"/>
      <c r="U149" s="4"/>
      <c r="V149" s="4"/>
      <c r="W149" s="47"/>
      <c r="X149" s="4"/>
    </row>
    <row r="150" spans="1:24" ht="14.4">
      <c r="B150" s="23">
        <v>98</v>
      </c>
      <c r="C150" s="23" t="str">
        <f t="shared" si="39"/>
        <v/>
      </c>
      <c r="D150" s="271"/>
      <c r="E150" s="272"/>
      <c r="F150" s="269"/>
      <c r="G150" s="269"/>
      <c r="H150" s="271"/>
      <c r="I150" s="274"/>
      <c r="K150" s="23" t="str">
        <f t="shared" si="40"/>
        <v/>
      </c>
      <c r="L150" s="275"/>
      <c r="M150" s="277"/>
      <c r="N150" s="275"/>
      <c r="P150" s="43">
        <f t="shared" si="41"/>
        <v>100</v>
      </c>
      <c r="Q150" s="4"/>
      <c r="R150" s="49"/>
      <c r="S150" s="4"/>
      <c r="T150" s="4"/>
      <c r="U150" s="4"/>
      <c r="V150" s="4"/>
      <c r="W150" s="47"/>
      <c r="X150" s="4"/>
    </row>
    <row r="151" spans="1:24" ht="14.4">
      <c r="B151" s="23">
        <v>99</v>
      </c>
      <c r="C151" s="23" t="str">
        <f>IF(D150="","",D150)</f>
        <v/>
      </c>
      <c r="D151" s="271"/>
      <c r="E151" s="272"/>
      <c r="F151" s="269"/>
      <c r="G151" s="269"/>
      <c r="H151" s="271"/>
      <c r="I151" s="274"/>
      <c r="K151" s="23" t="str">
        <f t="shared" si="40"/>
        <v/>
      </c>
      <c r="L151" s="275"/>
      <c r="M151" s="277"/>
      <c r="N151" s="275"/>
      <c r="P151" s="43">
        <f t="shared" si="41"/>
        <v>100</v>
      </c>
      <c r="Q151" s="4"/>
      <c r="R151" s="49"/>
      <c r="S151" s="4"/>
      <c r="T151" s="4"/>
      <c r="U151" s="4"/>
      <c r="V151" s="4"/>
      <c r="W151" s="47"/>
      <c r="X151" s="4"/>
    </row>
    <row r="152" spans="1:24" ht="14.4">
      <c r="B152" s="23">
        <v>910</v>
      </c>
      <c r="C152" s="23" t="str">
        <f t="shared" ref="C152:C154" si="42">IF(D151="","",D151)</f>
        <v/>
      </c>
      <c r="D152" s="271"/>
      <c r="E152" s="272"/>
      <c r="F152" s="269"/>
      <c r="G152" s="269"/>
      <c r="H152" s="271"/>
      <c r="I152" s="274"/>
      <c r="K152" s="23" t="str">
        <f t="shared" si="40"/>
        <v/>
      </c>
      <c r="L152" s="275"/>
      <c r="M152" s="277"/>
      <c r="N152" s="275"/>
      <c r="P152" s="43">
        <f t="shared" si="41"/>
        <v>100</v>
      </c>
      <c r="Q152" s="4"/>
      <c r="R152" s="49"/>
      <c r="S152" s="4"/>
      <c r="T152" s="4"/>
      <c r="U152" s="4"/>
      <c r="V152" s="4"/>
      <c r="W152" s="47"/>
      <c r="X152" s="4"/>
    </row>
    <row r="153" spans="1:24" ht="14.4">
      <c r="B153" s="23">
        <v>911</v>
      </c>
      <c r="C153" s="23" t="str">
        <f t="shared" si="42"/>
        <v/>
      </c>
      <c r="D153" s="271"/>
      <c r="E153" s="272"/>
      <c r="F153" s="269"/>
      <c r="G153" s="269"/>
      <c r="H153" s="271"/>
      <c r="I153" s="274"/>
      <c r="K153" s="23" t="str">
        <f t="shared" si="40"/>
        <v/>
      </c>
      <c r="L153" s="275"/>
      <c r="M153" s="277"/>
      <c r="N153" s="275"/>
      <c r="P153" s="43">
        <f t="shared" si="41"/>
        <v>100</v>
      </c>
      <c r="Q153" s="4"/>
      <c r="R153" s="49"/>
      <c r="S153" s="4"/>
      <c r="T153" s="4"/>
      <c r="U153" s="4"/>
      <c r="V153" s="4"/>
      <c r="W153" s="47"/>
      <c r="X153" s="4"/>
    </row>
    <row r="154" spans="1:24" ht="14.4">
      <c r="B154" s="23">
        <v>912</v>
      </c>
      <c r="C154" s="23" t="str">
        <f t="shared" si="42"/>
        <v/>
      </c>
      <c r="D154" s="271"/>
      <c r="E154" s="272"/>
      <c r="F154" s="269"/>
      <c r="G154" s="269"/>
      <c r="H154" s="271"/>
      <c r="I154" s="274"/>
      <c r="K154" s="23" t="str">
        <f t="shared" si="40"/>
        <v/>
      </c>
      <c r="L154" s="275"/>
      <c r="M154" s="277"/>
      <c r="N154" s="275"/>
      <c r="P154" s="43">
        <f t="shared" si="41"/>
        <v>100</v>
      </c>
      <c r="Q154" s="4"/>
      <c r="R154" s="49"/>
      <c r="S154" s="4"/>
      <c r="T154" s="4"/>
      <c r="U154" s="4"/>
      <c r="V154" s="4"/>
      <c r="W154" s="47"/>
      <c r="X154" s="4"/>
    </row>
    <row r="155" spans="1:24">
      <c r="P155" s="43"/>
      <c r="Q155" s="4"/>
      <c r="R155" s="49"/>
      <c r="S155" s="4"/>
      <c r="T155" s="4"/>
      <c r="U155" s="4"/>
      <c r="V155" s="4"/>
      <c r="W155" s="47"/>
      <c r="X155" s="4"/>
    </row>
    <row r="156" spans="1:24" ht="15" thickBot="1">
      <c r="A156" s="24">
        <v>10</v>
      </c>
      <c r="B156" s="23" t="s">
        <v>25</v>
      </c>
      <c r="C156" s="271">
        <v>100</v>
      </c>
      <c r="D156" s="468" t="s">
        <v>363</v>
      </c>
      <c r="E156" s="271"/>
      <c r="K156" s="545" t="s">
        <v>26</v>
      </c>
      <c r="L156" s="546"/>
      <c r="M156" s="546"/>
      <c r="N156" s="547"/>
      <c r="P156" s="43"/>
      <c r="Q156" s="4"/>
      <c r="R156" s="49"/>
      <c r="S156" s="4"/>
      <c r="T156" s="4"/>
      <c r="U156" s="4"/>
      <c r="V156" s="4"/>
      <c r="W156" s="47"/>
      <c r="X156" s="4"/>
    </row>
    <row r="157" spans="1:24" ht="51" customHeight="1" thickBot="1">
      <c r="A157" s="282"/>
      <c r="B157" s="279" t="s">
        <v>205</v>
      </c>
      <c r="C157" s="273" t="s">
        <v>358</v>
      </c>
      <c r="D157" s="273" t="s">
        <v>359</v>
      </c>
      <c r="E157" s="273" t="s">
        <v>54</v>
      </c>
      <c r="F157" s="273" t="s">
        <v>55</v>
      </c>
      <c r="G157" s="273" t="s">
        <v>56</v>
      </c>
      <c r="H157" s="273" t="s">
        <v>57</v>
      </c>
      <c r="I157" s="280" t="s">
        <v>58</v>
      </c>
      <c r="J157" s="20"/>
      <c r="K157" s="13" t="s">
        <v>37</v>
      </c>
      <c r="L157" s="13" t="s">
        <v>38</v>
      </c>
      <c r="M157" s="13" t="s">
        <v>39</v>
      </c>
      <c r="N157" s="13" t="s">
        <v>40</v>
      </c>
      <c r="P157" s="43"/>
      <c r="Q157" s="4"/>
      <c r="R157" s="49"/>
      <c r="S157" s="4"/>
      <c r="T157" s="4"/>
      <c r="U157" s="4"/>
      <c r="V157" s="4"/>
      <c r="W157" s="47"/>
      <c r="X157" s="4"/>
    </row>
    <row r="158" spans="1:24" ht="14.4">
      <c r="B158" s="94">
        <v>101</v>
      </c>
      <c r="C158" s="275">
        <v>0</v>
      </c>
      <c r="D158" s="275"/>
      <c r="E158" s="276"/>
      <c r="F158" s="277"/>
      <c r="G158" s="277"/>
      <c r="H158" s="275"/>
      <c r="I158" s="278"/>
      <c r="K158" s="275">
        <v>0</v>
      </c>
      <c r="L158" s="275"/>
      <c r="M158" s="277"/>
      <c r="N158" s="275"/>
      <c r="P158" s="43">
        <f>$C$156-D158</f>
        <v>100</v>
      </c>
      <c r="Q158" s="4"/>
      <c r="R158" s="49"/>
      <c r="S158" s="4"/>
      <c r="T158" s="4"/>
      <c r="U158" s="4"/>
      <c r="V158" s="4"/>
      <c r="W158" s="47"/>
      <c r="X158" s="4"/>
    </row>
    <row r="159" spans="1:24" ht="14.4">
      <c r="B159" s="23">
        <v>102</v>
      </c>
      <c r="C159" s="23" t="str">
        <f t="shared" ref="C159:C165" si="43">IF(D158="","",D158)</f>
        <v/>
      </c>
      <c r="D159" s="271"/>
      <c r="E159" s="272"/>
      <c r="F159" s="269"/>
      <c r="G159" s="269"/>
      <c r="H159" s="271"/>
      <c r="I159" s="274"/>
      <c r="K159" s="23" t="str">
        <f t="shared" ref="K159:K169" si="44">IF(L158="","",L158)</f>
        <v/>
      </c>
      <c r="L159" s="275"/>
      <c r="M159" s="277"/>
      <c r="N159" s="275"/>
      <c r="P159" s="43">
        <f t="shared" ref="P159:P169" si="45">$C$156-D159</f>
        <v>100</v>
      </c>
      <c r="Q159" s="4"/>
      <c r="R159" s="49"/>
      <c r="S159" s="4"/>
      <c r="T159" s="4"/>
      <c r="U159" s="4"/>
      <c r="V159" s="4"/>
      <c r="W159" s="47"/>
      <c r="X159" s="4"/>
    </row>
    <row r="160" spans="1:24" ht="14.4">
      <c r="B160" s="23">
        <v>103</v>
      </c>
      <c r="C160" s="23" t="str">
        <f t="shared" si="43"/>
        <v/>
      </c>
      <c r="D160" s="271"/>
      <c r="E160" s="272"/>
      <c r="F160" s="269"/>
      <c r="G160" s="269"/>
      <c r="H160" s="271"/>
      <c r="I160" s="274"/>
      <c r="K160" s="23" t="str">
        <f t="shared" si="44"/>
        <v/>
      </c>
      <c r="L160" s="275"/>
      <c r="M160" s="277"/>
      <c r="N160" s="275"/>
      <c r="P160" s="43">
        <f t="shared" si="45"/>
        <v>100</v>
      </c>
      <c r="Q160" s="4"/>
      <c r="R160" s="49"/>
      <c r="S160" s="4"/>
      <c r="T160" s="4"/>
      <c r="U160" s="4"/>
      <c r="V160" s="4"/>
      <c r="W160" s="47"/>
      <c r="X160" s="4"/>
    </row>
    <row r="161" spans="2:24" ht="14.4">
      <c r="B161" s="23">
        <v>104</v>
      </c>
      <c r="C161" s="23" t="str">
        <f t="shared" si="43"/>
        <v/>
      </c>
      <c r="D161" s="271"/>
      <c r="E161" s="272"/>
      <c r="F161" s="269"/>
      <c r="G161" s="269"/>
      <c r="H161" s="271"/>
      <c r="I161" s="274"/>
      <c r="K161" s="23" t="str">
        <f t="shared" si="44"/>
        <v/>
      </c>
      <c r="L161" s="275"/>
      <c r="M161" s="277"/>
      <c r="N161" s="275"/>
      <c r="P161" s="43">
        <f t="shared" si="45"/>
        <v>100</v>
      </c>
      <c r="Q161" s="4"/>
      <c r="R161" s="49"/>
      <c r="S161" s="4"/>
      <c r="T161" s="4"/>
      <c r="U161" s="4"/>
      <c r="V161" s="4"/>
      <c r="W161" s="47"/>
      <c r="X161" s="4"/>
    </row>
    <row r="162" spans="2:24" ht="14.4">
      <c r="B162" s="23">
        <v>105</v>
      </c>
      <c r="C162" s="23" t="str">
        <f t="shared" si="43"/>
        <v/>
      </c>
      <c r="D162" s="271"/>
      <c r="E162" s="272"/>
      <c r="F162" s="269"/>
      <c r="G162" s="269"/>
      <c r="H162" s="271"/>
      <c r="I162" s="274"/>
      <c r="K162" s="23" t="str">
        <f t="shared" si="44"/>
        <v/>
      </c>
      <c r="L162" s="275"/>
      <c r="M162" s="277"/>
      <c r="N162" s="275"/>
      <c r="P162" s="43">
        <f t="shared" si="45"/>
        <v>100</v>
      </c>
      <c r="Q162" s="4"/>
      <c r="R162" s="49"/>
      <c r="S162" s="4"/>
      <c r="T162" s="4"/>
      <c r="U162" s="4"/>
      <c r="V162" s="4"/>
      <c r="W162" s="47"/>
      <c r="X162" s="4"/>
    </row>
    <row r="163" spans="2:24" ht="14.4">
      <c r="B163" s="23">
        <v>106</v>
      </c>
      <c r="C163" s="23" t="str">
        <f t="shared" si="43"/>
        <v/>
      </c>
      <c r="D163" s="271"/>
      <c r="E163" s="272"/>
      <c r="F163" s="269"/>
      <c r="G163" s="269"/>
      <c r="H163" s="271"/>
      <c r="I163" s="274"/>
      <c r="K163" s="23" t="str">
        <f t="shared" si="44"/>
        <v/>
      </c>
      <c r="L163" s="275"/>
      <c r="M163" s="277"/>
      <c r="N163" s="275"/>
      <c r="P163" s="43">
        <f t="shared" si="45"/>
        <v>100</v>
      </c>
      <c r="Q163" s="4"/>
      <c r="R163" s="49"/>
      <c r="S163" s="4"/>
      <c r="T163" s="4"/>
      <c r="U163" s="4"/>
      <c r="V163" s="4"/>
      <c r="W163" s="47"/>
      <c r="X163" s="4"/>
    </row>
    <row r="164" spans="2:24" ht="14.4">
      <c r="B164" s="23">
        <v>107</v>
      </c>
      <c r="C164" s="23" t="str">
        <f t="shared" si="43"/>
        <v/>
      </c>
      <c r="D164" s="271"/>
      <c r="E164" s="272"/>
      <c r="F164" s="269"/>
      <c r="G164" s="269"/>
      <c r="H164" s="271"/>
      <c r="I164" s="274"/>
      <c r="K164" s="23" t="str">
        <f t="shared" si="44"/>
        <v/>
      </c>
      <c r="L164" s="275"/>
      <c r="M164" s="277"/>
      <c r="N164" s="275"/>
      <c r="P164" s="43">
        <f t="shared" si="45"/>
        <v>100</v>
      </c>
      <c r="Q164" s="4"/>
      <c r="R164" s="49"/>
      <c r="S164" s="4"/>
      <c r="T164" s="4"/>
      <c r="U164" s="4"/>
      <c r="V164" s="4"/>
      <c r="W164" s="47"/>
      <c r="X164" s="4"/>
    </row>
    <row r="165" spans="2:24" ht="14.4">
      <c r="B165" s="23">
        <v>108</v>
      </c>
      <c r="C165" s="23" t="str">
        <f t="shared" si="43"/>
        <v/>
      </c>
      <c r="D165" s="271"/>
      <c r="E165" s="272"/>
      <c r="F165" s="269"/>
      <c r="G165" s="269"/>
      <c r="H165" s="271"/>
      <c r="I165" s="274"/>
      <c r="K165" s="23" t="str">
        <f t="shared" si="44"/>
        <v/>
      </c>
      <c r="L165" s="275"/>
      <c r="M165" s="277"/>
      <c r="N165" s="275"/>
      <c r="P165" s="43">
        <f t="shared" si="45"/>
        <v>100</v>
      </c>
      <c r="Q165" s="4"/>
      <c r="R165" s="49"/>
      <c r="S165" s="4"/>
      <c r="T165" s="4"/>
      <c r="U165" s="4"/>
      <c r="V165" s="4"/>
      <c r="W165" s="47"/>
      <c r="X165" s="4"/>
    </row>
    <row r="166" spans="2:24" ht="14.4">
      <c r="B166" s="23">
        <v>109</v>
      </c>
      <c r="C166" s="23" t="str">
        <f>IF(D165="","",D165)</f>
        <v/>
      </c>
      <c r="D166" s="271"/>
      <c r="E166" s="272"/>
      <c r="F166" s="269"/>
      <c r="G166" s="269"/>
      <c r="H166" s="271"/>
      <c r="I166" s="274"/>
      <c r="K166" s="23" t="str">
        <f t="shared" si="44"/>
        <v/>
      </c>
      <c r="L166" s="275"/>
      <c r="M166" s="277"/>
      <c r="N166" s="275"/>
      <c r="P166" s="43">
        <f t="shared" si="45"/>
        <v>100</v>
      </c>
      <c r="Q166" s="4"/>
      <c r="R166" s="49"/>
      <c r="S166" s="4"/>
      <c r="T166" s="4"/>
      <c r="U166" s="4"/>
      <c r="V166" s="4"/>
      <c r="W166" s="47"/>
      <c r="X166" s="4"/>
    </row>
    <row r="167" spans="2:24" ht="14.4">
      <c r="B167" s="23">
        <v>1010</v>
      </c>
      <c r="C167" s="23" t="str">
        <f t="shared" ref="C167:C169" si="46">IF(D166="","",D166)</f>
        <v/>
      </c>
      <c r="D167" s="271"/>
      <c r="E167" s="272"/>
      <c r="F167" s="269"/>
      <c r="G167" s="269"/>
      <c r="H167" s="271"/>
      <c r="I167" s="274"/>
      <c r="K167" s="23" t="str">
        <f t="shared" si="44"/>
        <v/>
      </c>
      <c r="L167" s="275"/>
      <c r="M167" s="277"/>
      <c r="N167" s="275"/>
      <c r="P167" s="43">
        <f t="shared" si="45"/>
        <v>100</v>
      </c>
      <c r="Q167" s="4"/>
      <c r="R167" s="49"/>
      <c r="S167" s="4"/>
      <c r="T167" s="4"/>
      <c r="U167" s="4"/>
      <c r="V167" s="4"/>
      <c r="W167" s="47"/>
      <c r="X167" s="4"/>
    </row>
    <row r="168" spans="2:24" ht="14.4">
      <c r="B168" s="23">
        <v>1011</v>
      </c>
      <c r="C168" s="23" t="str">
        <f t="shared" si="46"/>
        <v/>
      </c>
      <c r="D168" s="271"/>
      <c r="E168" s="272"/>
      <c r="F168" s="269"/>
      <c r="G168" s="269"/>
      <c r="H168" s="271"/>
      <c r="I168" s="274"/>
      <c r="K168" s="23" t="str">
        <f t="shared" si="44"/>
        <v/>
      </c>
      <c r="L168" s="275"/>
      <c r="M168" s="277"/>
      <c r="N168" s="275"/>
      <c r="P168" s="43">
        <f t="shared" si="45"/>
        <v>100</v>
      </c>
      <c r="Q168" s="4"/>
      <c r="R168" s="49"/>
      <c r="S168" s="4"/>
      <c r="T168" s="4"/>
      <c r="U168" s="4"/>
      <c r="V168" s="4"/>
      <c r="W168" s="47"/>
      <c r="X168" s="4"/>
    </row>
    <row r="169" spans="2:24" ht="14.4">
      <c r="B169" s="23">
        <v>1012</v>
      </c>
      <c r="C169" s="23" t="str">
        <f t="shared" si="46"/>
        <v/>
      </c>
      <c r="D169" s="271"/>
      <c r="E169" s="272"/>
      <c r="F169" s="269"/>
      <c r="G169" s="269"/>
      <c r="H169" s="271"/>
      <c r="I169" s="274"/>
      <c r="K169" s="23" t="str">
        <f t="shared" si="44"/>
        <v/>
      </c>
      <c r="L169" s="275"/>
      <c r="M169" s="277"/>
      <c r="N169" s="275"/>
      <c r="P169" s="43">
        <f t="shared" si="45"/>
        <v>100</v>
      </c>
      <c r="Q169" s="4"/>
      <c r="R169" s="49"/>
      <c r="S169" s="4"/>
      <c r="T169" s="4"/>
      <c r="U169" s="4"/>
      <c r="V169" s="4"/>
      <c r="W169" s="47"/>
      <c r="X169" s="4"/>
    </row>
  </sheetData>
  <sheetProtection formatCells="0" formatColumns="0" formatRows="0" selectLockedCells="1"/>
  <mergeCells count="17">
    <mergeCell ref="AH21:AI21"/>
    <mergeCell ref="A1:Y1"/>
    <mergeCell ref="B4:C4"/>
    <mergeCell ref="K126:N126"/>
    <mergeCell ref="K141:N141"/>
    <mergeCell ref="AE2:AF2"/>
    <mergeCell ref="U5:X5"/>
    <mergeCell ref="R6:S6"/>
    <mergeCell ref="K21:N21"/>
    <mergeCell ref="AE21:AG21"/>
    <mergeCell ref="K156:N156"/>
    <mergeCell ref="K36:N36"/>
    <mergeCell ref="K51:N51"/>
    <mergeCell ref="K66:N66"/>
    <mergeCell ref="K81:N81"/>
    <mergeCell ref="K96:N96"/>
    <mergeCell ref="K111:N111"/>
  </mergeCells>
  <dataValidations count="6">
    <dataValidation type="list" allowBlank="1" showInputMessage="1" showErrorMessage="1" sqref="I68:I79 I53:I64 I38:I49 I83:I94 I98:I109 I113:I124 I128:I139 I143:I154 I158:I169 I23:I34" xr:uid="{00000000-0002-0000-0100-000000000000}">
      <formula1>$AE$3:$AE$4</formula1>
    </dataValidation>
    <dataValidation type="list" allowBlank="1" showInputMessage="1" showErrorMessage="1" sqref="E158:E169 E68:E79 E53:E64 E38:E49 E83:E94 E98:E109 E113:E124 E128:E139 E143:E154 E23:E34" xr:uid="{00000000-0002-0000-0100-000001000000}">
      <formula1>$AE$8:$AE$14</formula1>
    </dataValidation>
    <dataValidation type="list" allowBlank="1" showInputMessage="1" showErrorMessage="1" sqref="I110 I50 I140 I65 I35 I80 I95 I125" xr:uid="{00000000-0002-0000-0100-000002000000}">
      <formula1>$AD$3:$AD$4</formula1>
    </dataValidation>
    <dataValidation type="list" allowBlank="1" showInputMessage="1" showErrorMessage="1" sqref="E140 E65 E125 E50 E95 E80 E35 E110" xr:uid="{00000000-0002-0000-0100-000003000000}">
      <formula1>$AD$9:$AD$15</formula1>
    </dataValidation>
    <dataValidation type="list" allowBlank="1" showDropDown="1" showInputMessage="1" showErrorMessage="1" sqref="F3" xr:uid="{00000000-0002-0000-0100-000004000000}">
      <formula1>$AI$7:$AI$16</formula1>
    </dataValidation>
    <dataValidation type="list" allowBlank="1" showInputMessage="1" showErrorMessage="1" sqref="B3" xr:uid="{00000000-0002-0000-0100-000005000000}">
      <formula1>$AC$7:$AC$9</formula1>
    </dataValidation>
  </dataValidations>
  <pageMargins left="0.25" right="0.25" top="0.75" bottom="0.75" header="0.3" footer="0.3"/>
  <pageSetup paperSize="9" scale="32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'Coeff EC7'!$C$7:$C$26</xm:f>
          </x14:formula1>
          <xm:sqref>B4:C4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theme="9" tint="-0.249977111117893"/>
  </sheetPr>
  <dimension ref="A1:BE53"/>
  <sheetViews>
    <sheetView showGridLines="0" tabSelected="1" zoomScaleNormal="100" workbookViewId="0">
      <selection activeCell="C5" sqref="C5"/>
    </sheetView>
  </sheetViews>
  <sheetFormatPr baseColWidth="10" defaultRowHeight="14.4"/>
  <cols>
    <col min="1" max="1" width="13.109375" style="2" customWidth="1"/>
    <col min="2" max="2" width="10.33203125" style="2" customWidth="1"/>
    <col min="3" max="5" width="14.44140625" style="2" customWidth="1"/>
    <col min="6" max="10" width="14.44140625" style="2" hidden="1" customWidth="1"/>
    <col min="11" max="11" width="0.109375" style="2" customWidth="1"/>
    <col min="12" max="12" width="14.44140625" style="2" hidden="1" customWidth="1"/>
    <col min="13" max="17" width="14.44140625" style="2" customWidth="1"/>
    <col min="18" max="19" width="12.44140625" style="2" bestFit="1" customWidth="1"/>
    <col min="20" max="20" width="9" style="2" customWidth="1"/>
    <col min="21" max="22" width="10.33203125" style="2" customWidth="1"/>
    <col min="23" max="23" width="10.6640625" style="8" customWidth="1"/>
    <col min="24" max="24" width="10.6640625" style="2"/>
    <col min="25" max="27" width="10.6640625" style="2" customWidth="1"/>
    <col min="28" max="28" width="10.6640625" style="3"/>
    <col min="29" max="30" width="10.6640625" style="2" customWidth="1"/>
    <col min="31" max="32" width="11" style="2" customWidth="1"/>
    <col min="33" max="43" width="10.6640625" style="2" customWidth="1"/>
    <col min="44" max="45" width="10.6640625" style="2"/>
    <col min="46" max="46" width="11.44140625" style="2"/>
    <col min="47" max="48" width="13.44140625" style="2" customWidth="1"/>
    <col min="49" max="49" width="10.6640625" style="2" customWidth="1"/>
    <col min="50" max="52" width="10.33203125" style="2" customWidth="1"/>
    <col min="53" max="53" width="9.5546875" style="2" customWidth="1"/>
    <col min="57" max="57" width="22.6640625" bestFit="1" customWidth="1"/>
  </cols>
  <sheetData>
    <row r="1" spans="1:57">
      <c r="A1" s="429">
        <f>COUNTA(A13:$A$1048576)</f>
        <v>41</v>
      </c>
      <c r="B1" s="1" t="s">
        <v>371</v>
      </c>
      <c r="D1" s="503" t="s">
        <v>214</v>
      </c>
      <c r="M1" s="477" t="s">
        <v>104</v>
      </c>
      <c r="N1" s="478" t="s">
        <v>366</v>
      </c>
      <c r="O1" s="478" t="s">
        <v>367</v>
      </c>
      <c r="P1" s="478" t="s">
        <v>368</v>
      </c>
      <c r="Q1" s="478" t="s">
        <v>369</v>
      </c>
      <c r="R1" s="478" t="s">
        <v>400</v>
      </c>
      <c r="S1" s="514" t="s">
        <v>409</v>
      </c>
      <c r="T1" s="515" t="s">
        <v>406</v>
      </c>
      <c r="U1" s="479" t="s">
        <v>407</v>
      </c>
      <c r="W1" s="2"/>
      <c r="X1" s="466"/>
      <c r="Y1" s="467"/>
      <c r="AA1" s="465"/>
      <c r="AB1" s="6"/>
      <c r="AD1" s="3"/>
      <c r="AE1" s="4"/>
      <c r="AF1" s="4"/>
      <c r="AG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X1" s="5"/>
      <c r="AZ1" s="5"/>
      <c r="BA1" s="5"/>
    </row>
    <row r="2" spans="1:57">
      <c r="A2" s="476"/>
      <c r="B2" s="1"/>
      <c r="D2" s="429">
        <v>15</v>
      </c>
      <c r="M2" s="480">
        <f>NDC!T25</f>
        <v>0.42</v>
      </c>
      <c r="N2" s="424">
        <f ca="1">SUMIF(Dim_diam:OFFSET(Dim_diam,nombre_pieux-1,0),M2,$W$13:OFFSET($W$13,nombre_pieux-1,0))</f>
        <v>1</v>
      </c>
      <c r="O2" s="481">
        <f ca="1">IF(N2&lt;&gt;0,SUMIF(Dim_diam:OFFSET(Dim_diam,nombre_pieux-1,0),M2,$AX$13:OFFSET($AX$13,nombre_pieux-1,0))/N2,"")</f>
        <v>7.5</v>
      </c>
      <c r="P2" s="481">
        <f t="array" aca="1" ref="P2" ca="1">IF(N2&lt;&gt;0,MAX(IF(Dim_diam:OFFSET(Dim_diam,nombre_pieux-1,0)=M2,$AU$13:OFFSET($AU$13,nombre_pieux-1,0))),"")</f>
        <v>7.0999999999999943</v>
      </c>
      <c r="Q2" s="481">
        <f t="array" aca="1" ref="Q2" ca="1">IF(N2&lt;&gt;0,MIN(IF(Dim_diam:OFFSET(Dim_diam,nombre_pieux-1,0)=M2,$AU$13:OFFSET($AU$13,nombre_pieux-1,0))),"")</f>
        <v>7.0999999999999943</v>
      </c>
      <c r="R2" s="425" cm="1">
        <f t="array" aca="1" ref="R2" ca="1">IF(N2&lt;&gt;0,MAX(IF(Dim_diam:OFFSET(Dim_diam,nombre_pieux-1,0)=M2,$AA$13:OFFSET($AA$13,nombre_pieux-1,0))),"")</f>
        <v>0</v>
      </c>
      <c r="S2" s="520">
        <f ca="1">IF(N2&gt;0,O2*N2,"")</f>
        <v>7.5</v>
      </c>
      <c r="T2" s="516">
        <v>0.2</v>
      </c>
      <c r="U2" s="510">
        <f ca="1">IF(O2="","",PI()*((M2/2)^2)*O2*(1+T2)*N2)</f>
        <v>1.2468981242097887</v>
      </c>
      <c r="W2" s="2"/>
      <c r="X2" s="466"/>
      <c r="Y2" s="467"/>
      <c r="AA2" s="464"/>
      <c r="AB2" s="464"/>
      <c r="AD2" s="11"/>
      <c r="AE2" s="464"/>
      <c r="AF2" s="464"/>
      <c r="AG2" s="464"/>
    </row>
    <row r="3" spans="1:57">
      <c r="A3" s="474"/>
      <c r="B3" s="1"/>
      <c r="D3" s="475"/>
      <c r="M3" s="482">
        <f>NDC!T26</f>
        <v>0.52</v>
      </c>
      <c r="N3" s="283">
        <f ca="1">SUMIF(Dim_diam:OFFSET(Dim_diam,nombre_pieux-1,0),M3,$W$13:OFFSET($W$13,nombre_pieux-1,0))</f>
        <v>0</v>
      </c>
      <c r="O3" s="483" t="str">
        <f ca="1">IF(N3&lt;&gt;0,SUMIF(Dim_diam:OFFSET(Dim_diam,nombre_pieux-1,0),M3,$AX$13:OFFSET($AX$13,nombre_pieux-1,0))/N3,"")</f>
        <v/>
      </c>
      <c r="P3" s="483" t="str">
        <f t="array" aca="1" ref="P3" ca="1">IF(N3&lt;&gt;0,MAX(IF(Dim_diam:OFFSET(Dim_diam,nombre_pieux-1,0)=M3,$AU$13:OFFSET($AU$13,nombre_pieux-1,0))),"")</f>
        <v/>
      </c>
      <c r="Q3" s="483" t="str">
        <f t="array" aca="1" ref="Q3" ca="1">IF(N3&lt;&gt;0,MIN(IF(Dim_diam:OFFSET(Dim_diam,nombre_pieux-1,0)=M3,$AU$13:OFFSET($AU$13,nombre_pieux-1,0))),"")</f>
        <v/>
      </c>
      <c r="R3" s="427" t="str" cm="1">
        <f t="array" aca="1" ref="R3" ca="1">IF(N3&lt;&gt;0,MAX(IF(Dim_diam:OFFSET(Dim_diam,nombre_pieux-1,0)=M3,$AA$13:OFFSET($AA$13,nombre_pieux-1,0))),"")</f>
        <v/>
      </c>
      <c r="S3" s="521" t="str">
        <f t="shared" ref="S3:S9" ca="1" si="0">IF(N3&gt;0,O3*N3,"")</f>
        <v/>
      </c>
      <c r="T3" s="517">
        <v>0.2</v>
      </c>
      <c r="U3" s="511" t="str">
        <f t="shared" ref="U3:U9" ca="1" si="1">IF(O3="","",PI()*((M3/2)^2)*O3*(1+T3)*N3)</f>
        <v/>
      </c>
      <c r="W3" s="2"/>
      <c r="X3" s="466"/>
      <c r="Y3" s="467"/>
      <c r="AA3" s="464"/>
      <c r="AB3" s="464"/>
      <c r="AD3" s="11"/>
      <c r="AE3" s="464"/>
      <c r="AF3" s="464"/>
      <c r="AG3" s="464"/>
    </row>
    <row r="4" spans="1:57">
      <c r="A4" s="474"/>
      <c r="B4" s="1"/>
      <c r="D4" s="464"/>
      <c r="M4" s="480">
        <f>NDC!T27</f>
        <v>0.62</v>
      </c>
      <c r="N4" s="424">
        <f ca="1">SUMIF(Dim_diam:OFFSET(Dim_diam,nombre_pieux-1,0),M4,$W$13:OFFSET($W$13,nombre_pieux-1,0))</f>
        <v>0</v>
      </c>
      <c r="O4" s="481" t="str">
        <f ca="1">IF(N4&lt;&gt;0,SUMIF(Dim_diam:OFFSET(Dim_diam,nombre_pieux-1,0),M4,$AX$13:OFFSET($AX$13,nombre_pieux-1,0))/N4,"")</f>
        <v/>
      </c>
      <c r="P4" s="481" t="str">
        <f t="array" aca="1" ref="P4" ca="1">IF(N4&lt;&gt;0,MAX(IF(Dim_diam:OFFSET(Dim_diam,nombre_pieux-1,0)=M4,$AU$13:OFFSET($AU$13,nombre_pieux-1,0))),"")</f>
        <v/>
      </c>
      <c r="Q4" s="481" t="str">
        <f t="array" aca="1" ref="Q4" ca="1">IF(N4&lt;&gt;0,MIN(IF(Dim_diam:OFFSET(Dim_diam,nombre_pieux-1,0)=M4,$AU$13:OFFSET($AU$13,nombre_pieux-1,0))),"")</f>
        <v/>
      </c>
      <c r="R4" s="425" t="str" cm="1">
        <f t="array" aca="1" ref="R4" ca="1">IF(N4&lt;&gt;0,MAX(IF(Dim_diam:OFFSET(Dim_diam,nombre_pieux-1,0)=M4,$AA$13:OFFSET($AA$13,nombre_pieux-1,0))),"")</f>
        <v/>
      </c>
      <c r="S4" s="520" t="str">
        <f t="shared" ca="1" si="0"/>
        <v/>
      </c>
      <c r="T4" s="516">
        <v>0.15</v>
      </c>
      <c r="U4" s="510" t="str">
        <f t="shared" ca="1" si="1"/>
        <v/>
      </c>
      <c r="W4" s="2"/>
      <c r="X4" s="466"/>
      <c r="Y4" s="467"/>
      <c r="AA4" s="464"/>
      <c r="AB4" s="464"/>
      <c r="AD4" s="11"/>
      <c r="AE4" s="464"/>
      <c r="AF4" s="464"/>
      <c r="AG4" s="464"/>
    </row>
    <row r="5" spans="1:57">
      <c r="A5" s="474"/>
      <c r="B5" s="1"/>
      <c r="D5" s="464"/>
      <c r="M5" s="482">
        <f>NDC!T28</f>
        <v>0.72</v>
      </c>
      <c r="N5" s="283">
        <f ca="1">SUMIF(Dim_diam:OFFSET(Dim_diam,nombre_pieux-1,0),M5,$W$13:OFFSET($W$13,nombre_pieux-1,0))</f>
        <v>0</v>
      </c>
      <c r="O5" s="483" t="str">
        <f ca="1">IF(N5&lt;&gt;0,SUMIF(Dim_diam:OFFSET(Dim_diam,nombre_pieux-1,0),M5,$AX$13:OFFSET($AX$13,nombre_pieux-1,0))/N5,"")</f>
        <v/>
      </c>
      <c r="P5" s="483" t="str">
        <f t="array" aca="1" ref="P5" ca="1">IF(N5&lt;&gt;0,MAX(IF(Dim_diam:OFFSET(Dim_diam,nombre_pieux-1,0)=M5,$AU$13:OFFSET($AU$13,nombre_pieux-1,0))),"")</f>
        <v/>
      </c>
      <c r="Q5" s="483" t="str">
        <f t="array" aca="1" ref="Q5" ca="1">IF(N5&lt;&gt;0,MIN(IF(Dim_diam:OFFSET(Dim_diam,nombre_pieux-1,0)=M5,$AU$13:OFFSET($AU$13,nombre_pieux-1,0))),"")</f>
        <v/>
      </c>
      <c r="R5" s="427" t="str" cm="1">
        <f t="array" aca="1" ref="R5" ca="1">IF(N5&lt;&gt;0,MAX(IF(Dim_diam:OFFSET(Dim_diam,nombre_pieux-1,0)=M5,$AA$13:OFFSET($AA$13,nombre_pieux-1,0))),"")</f>
        <v/>
      </c>
      <c r="S5" s="521" t="str">
        <f t="shared" ca="1" si="0"/>
        <v/>
      </c>
      <c r="T5" s="517">
        <v>0.1</v>
      </c>
      <c r="U5" s="511" t="str">
        <f t="shared" ca="1" si="1"/>
        <v/>
      </c>
      <c r="W5" s="2"/>
      <c r="X5" s="466"/>
      <c r="Y5" s="467"/>
      <c r="AA5" s="464"/>
      <c r="AB5" s="464"/>
      <c r="AD5" s="11"/>
      <c r="AE5" s="464"/>
      <c r="AF5" s="464"/>
      <c r="AG5" s="464"/>
    </row>
    <row r="6" spans="1:57">
      <c r="A6" s="474"/>
      <c r="B6" s="1"/>
      <c r="D6" s="464"/>
      <c r="M6" s="480">
        <f>NDC!T29</f>
        <v>0.82</v>
      </c>
      <c r="N6" s="424">
        <f ca="1">SUMIF(Dim_diam:OFFSET(Dim_diam,nombre_pieux-1,0),M6,$W$13:OFFSET($W$13,nombre_pieux-1,0))</f>
        <v>0</v>
      </c>
      <c r="O6" s="481" t="str">
        <f ca="1">IF(N6&lt;&gt;0,SUMIF(Dim_diam:OFFSET(Dim_diam,nombre_pieux-1,0),M6,$AX$13:OFFSET($AX$13,nombre_pieux-1,0))/N6,"")</f>
        <v/>
      </c>
      <c r="P6" s="481" t="str">
        <f t="array" aca="1" ref="P6" ca="1">IF(N6&lt;&gt;0,MAX(IF(Dim_diam:OFFSET(Dim_diam,nombre_pieux-1,0)=M6,$AU$13:OFFSET($AU$13,nombre_pieux-1,0))),"")</f>
        <v/>
      </c>
      <c r="Q6" s="481" t="str">
        <f t="array" aca="1" ref="Q6" ca="1">IF(N6&lt;&gt;0,MIN(IF(Dim_diam:OFFSET(Dim_diam,nombre_pieux-1,0)=M6,$AU$13:OFFSET($AU$13,nombre_pieux-1,0))),"")</f>
        <v/>
      </c>
      <c r="R6" s="425" t="str" cm="1">
        <f t="array" aca="1" ref="R6" ca="1">IF(N6&lt;&gt;0,MAX(IF(Dim_diam:OFFSET(Dim_diam,nombre_pieux-1,0)=M6,$AA$13:OFFSET($AA$13,nombre_pieux-1,0))),"")</f>
        <v/>
      </c>
      <c r="S6" s="520" t="str">
        <f t="shared" ca="1" si="0"/>
        <v/>
      </c>
      <c r="T6" s="516">
        <v>0.1</v>
      </c>
      <c r="U6" s="510" t="str">
        <f t="shared" ca="1" si="1"/>
        <v/>
      </c>
      <c r="W6" s="2"/>
      <c r="X6" s="466"/>
      <c r="Y6" s="467"/>
      <c r="AA6" s="464"/>
      <c r="AB6" s="464"/>
      <c r="AD6" s="11"/>
      <c r="AE6" s="464"/>
      <c r="AF6" s="464"/>
      <c r="AG6" s="464"/>
    </row>
    <row r="7" spans="1:57">
      <c r="A7" s="474"/>
      <c r="B7" s="1"/>
      <c r="D7" s="464"/>
      <c r="M7" s="482">
        <f>NDC!T30</f>
        <v>0.92</v>
      </c>
      <c r="N7" s="283">
        <f ca="1">SUMIF(Dim_diam:OFFSET(Dim_diam,nombre_pieux-1,0),M7,$W$13:OFFSET($W$13,nombre_pieux-1,0))</f>
        <v>0</v>
      </c>
      <c r="O7" s="483" t="str">
        <f ca="1">IF(N7&lt;&gt;0,SUMIF(Dim_diam:OFFSET(Dim_diam,nombre_pieux-1,0),M7,$AX$13:OFFSET($AX$13,nombre_pieux-1,0))/N7,"")</f>
        <v/>
      </c>
      <c r="P7" s="483" t="str">
        <f t="array" aca="1" ref="P7" ca="1">IF(N7&lt;&gt;0,MAX(IF(Dim_diam:OFFSET(Dim_diam,nombre_pieux-1,0)=M7,$AU$13:OFFSET($AU$13,nombre_pieux-1,0))),"")</f>
        <v/>
      </c>
      <c r="Q7" s="483" t="str">
        <f t="array" aca="1" ref="Q7" ca="1">IF(N7&lt;&gt;0,MIN(IF(Dim_diam:OFFSET(Dim_diam,nombre_pieux-1,0)=M7,$AU$13:OFFSET($AU$13,nombre_pieux-1,0))),"")</f>
        <v/>
      </c>
      <c r="R7" s="427" t="str" cm="1">
        <f t="array" aca="1" ref="R7" ca="1">IF(N7&lt;&gt;0,MAX(IF(Dim_diam:OFFSET(Dim_diam,nombre_pieux-1,0)=M7,$AA$13:OFFSET($AA$13,nombre_pieux-1,0))),"")</f>
        <v/>
      </c>
      <c r="S7" s="521" t="str">
        <f t="shared" ca="1" si="0"/>
        <v/>
      </c>
      <c r="T7" s="482"/>
      <c r="U7" s="511" t="str">
        <f t="shared" ca="1" si="1"/>
        <v/>
      </c>
      <c r="W7" s="2"/>
      <c r="X7" s="466"/>
      <c r="Y7" s="467"/>
      <c r="AA7" s="464"/>
      <c r="AB7" s="464"/>
      <c r="AD7" s="11"/>
      <c r="AE7" s="464"/>
      <c r="AF7" s="464"/>
      <c r="AG7" s="464"/>
    </row>
    <row r="8" spans="1:57">
      <c r="A8" s="464"/>
      <c r="B8" s="1"/>
      <c r="M8" s="480">
        <f>NDC!T31</f>
        <v>1.02</v>
      </c>
      <c r="N8" s="424">
        <f ca="1">SUMIF(Dim_diam:OFFSET(Dim_diam,nombre_pieux-1,0),M8,$W$13:OFFSET($W$13,nombre_pieux-1,0))</f>
        <v>0</v>
      </c>
      <c r="O8" s="481" t="str">
        <f ca="1">IF(N8&lt;&gt;0,SUMIF(Dim_diam:OFFSET(Dim_diam,nombre_pieux-1,0),M8,$AX$13:OFFSET($AX$13,nombre_pieux-1,0))/N8,"")</f>
        <v/>
      </c>
      <c r="P8" s="481" t="str">
        <f t="array" aca="1" ref="P8" ca="1">IF(N8&lt;&gt;0,MAX(IF(Dim_diam:OFFSET(Dim_diam,nombre_pieux-1,0)=M8,$AU$13:OFFSET($AU$13,nombre_pieux-1,0))),"")</f>
        <v/>
      </c>
      <c r="Q8" s="481" t="str">
        <f t="array" aca="1" ref="Q8" ca="1">IF(N8&lt;&gt;0,MIN(IF(Dim_diam:OFFSET(Dim_diam,nombre_pieux-1,0)=M8,$AU$13:OFFSET($AU$13,nombre_pieux-1,0))),"")</f>
        <v/>
      </c>
      <c r="R8" s="425" t="str" cm="1">
        <f t="array" aca="1" ref="R8" ca="1">IF(N8&lt;&gt;0,MAX(IF(Dim_diam:OFFSET(Dim_diam,nombre_pieux-1,0)=M8,$AA$13:OFFSET($AA$13,nombre_pieux-1,0))),"")</f>
        <v/>
      </c>
      <c r="S8" s="520" t="str">
        <f t="shared" ca="1" si="0"/>
        <v/>
      </c>
      <c r="T8" s="516">
        <v>0.05</v>
      </c>
      <c r="U8" s="510" t="str">
        <f t="shared" ca="1" si="1"/>
        <v/>
      </c>
      <c r="W8" s="2"/>
      <c r="X8" s="8"/>
      <c r="Y8" s="467"/>
      <c r="AB8" s="2"/>
      <c r="AD8" s="11"/>
    </row>
    <row r="9" spans="1:57" ht="15" thickBot="1">
      <c r="A9" s="471"/>
      <c r="B9" s="472"/>
      <c r="M9" s="484">
        <f>NDC!T32</f>
        <v>1.22</v>
      </c>
      <c r="N9" s="485">
        <f ca="1">SUMIF(Dim_diam:OFFSET(Dim_diam,nombre_pieux-1,0),M9,$W$13:OFFSET($W$13,nombre_pieux-1,0))</f>
        <v>0</v>
      </c>
      <c r="O9" s="486" t="str">
        <f ca="1">IF(N9&lt;&gt;0,SUMIF(Dim_diam:OFFSET(Dim_diam,nombre_pieux-1,0),M9,$AX$13:OFFSET($AX$13,nombre_pieux-1,0))/N9,"")</f>
        <v/>
      </c>
      <c r="P9" s="486" t="str">
        <f t="array" aca="1" ref="P9" ca="1">IF(N9&lt;&gt;0,MAX(IF(Dim_diam:OFFSET(Dim_diam,nombre_pieux-1,0)=M9,$AU$13:OFFSET($AU$13,nombre_pieux-1,0))),"")</f>
        <v/>
      </c>
      <c r="Q9" s="486" t="str">
        <f t="array" aca="1" ref="Q9" ca="1">IF(N9&lt;&gt;0,MIN(IF(Dim_diam:OFFSET(Dim_diam,nombre_pieux-1,0)=M9,$AU$13:OFFSET($AU$13,nombre_pieux-1,0))),"")</f>
        <v/>
      </c>
      <c r="R9" s="525" t="str" cm="1">
        <f t="array" aca="1" ref="R9" ca="1">IF(N9&lt;&gt;0,MAX(IF(Dim_diam:OFFSET(Dim_diam,nombre_pieux-1,0)=M9,$AA$13:OFFSET($AA$13,nombre_pieux-1,0))),"")</f>
        <v/>
      </c>
      <c r="S9" s="522" t="str">
        <f t="shared" ca="1" si="0"/>
        <v/>
      </c>
      <c r="T9" s="484"/>
      <c r="U9" s="512" t="str">
        <f t="shared" ca="1" si="1"/>
        <v/>
      </c>
      <c r="V9" s="8" t="s">
        <v>408</v>
      </c>
      <c r="W9" s="2"/>
      <c r="Y9" s="473"/>
      <c r="Z9" s="444"/>
      <c r="AA9" s="557" t="s">
        <v>332</v>
      </c>
      <c r="AB9" s="557"/>
      <c r="AC9" s="557"/>
      <c r="AD9" s="557"/>
      <c r="AE9" s="557"/>
      <c r="AF9" s="557"/>
      <c r="AG9" s="557"/>
      <c r="AH9" s="558"/>
      <c r="AI9" s="559" t="s">
        <v>339</v>
      </c>
      <c r="AJ9" s="559"/>
      <c r="AK9" s="559"/>
      <c r="AL9" s="559"/>
      <c r="AM9" s="559"/>
      <c r="AN9" s="559"/>
      <c r="AO9" s="559"/>
      <c r="AP9" s="559"/>
      <c r="AQ9" s="502"/>
    </row>
    <row r="10" spans="1:57" ht="15" thickBot="1">
      <c r="A10" s="560" t="str">
        <f ca="1">BE11</f>
        <v>Tous les pieux sont vérifiés</v>
      </c>
      <c r="B10" s="560"/>
      <c r="C10" s="560"/>
      <c r="D10" s="560"/>
      <c r="M10" s="504" t="s">
        <v>370</v>
      </c>
      <c r="N10" s="505">
        <f ca="1">SUM(N2:N9)</f>
        <v>1</v>
      </c>
      <c r="O10" s="506">
        <f ca="1">AVERAGE(O2:O9)</f>
        <v>7.5</v>
      </c>
      <c r="P10" s="505">
        <f ca="1">MAX(P2:P9)</f>
        <v>7.0999999999999943</v>
      </c>
      <c r="Q10" s="505">
        <f ca="1">MIN(Q2:Q9)</f>
        <v>7.0999999999999943</v>
      </c>
      <c r="R10" s="526"/>
      <c r="S10" s="523">
        <f ca="1">SUM(S2:S9)</f>
        <v>7.5</v>
      </c>
      <c r="T10" s="518"/>
      <c r="U10" s="513">
        <f ca="1">SUM(U2:U9)</f>
        <v>1.2468981242097887</v>
      </c>
      <c r="V10" s="519">
        <f ca="1">IF(NDC!C11="FTC FTCD",V10*1.22,IF(NDC!C11="VM",'Dimensionnement Général'!O10*0.35))</f>
        <v>0</v>
      </c>
      <c r="W10" s="2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57" ht="15" thickBot="1">
      <c r="F11" s="554" t="s">
        <v>328</v>
      </c>
      <c r="G11" s="555"/>
      <c r="H11" s="556"/>
      <c r="I11" s="554" t="s">
        <v>328</v>
      </c>
      <c r="J11" s="555"/>
      <c r="K11" s="556"/>
      <c r="W11" s="2"/>
      <c r="AR11"/>
      <c r="AS11" s="462" t="s">
        <v>362</v>
      </c>
      <c r="AT11" s="463">
        <f ca="1">SUMIF(CRUTILE:OFFSET(CRUTILE,nombre_pieux-1,0),"OUI",$W$13:OFFSET($W$13,nombre_pieux-1,0))</f>
        <v>0</v>
      </c>
      <c r="BE11" s="508" t="str">
        <f ca="1">IF(COUNTIF(BE13:OFFSET(BE13,nombre_pieux-1,0),"OK")&lt;&gt;nombre_pieux,"Il y a au moins 1 pieu non vérifié","Tous les pieux sont vérifiés")</f>
        <v>Tous les pieux sont vérifiés</v>
      </c>
    </row>
    <row r="12" spans="1:57" ht="43.2">
      <c r="A12" s="423" t="s">
        <v>372</v>
      </c>
      <c r="B12" s="423" t="s">
        <v>314</v>
      </c>
      <c r="C12" s="423" t="s">
        <v>313</v>
      </c>
      <c r="D12" s="423" t="s">
        <v>49</v>
      </c>
      <c r="E12" s="423" t="s">
        <v>316</v>
      </c>
      <c r="F12" s="12" t="s">
        <v>1</v>
      </c>
      <c r="G12" s="12" t="s">
        <v>2</v>
      </c>
      <c r="H12" s="12" t="s">
        <v>3</v>
      </c>
      <c r="I12" s="12" t="s">
        <v>1</v>
      </c>
      <c r="J12" s="12" t="s">
        <v>2</v>
      </c>
      <c r="K12" s="12" t="s">
        <v>3</v>
      </c>
      <c r="L12" s="423" t="s">
        <v>4</v>
      </c>
      <c r="M12" s="423" t="s">
        <v>5</v>
      </c>
      <c r="N12" s="423" t="s">
        <v>329</v>
      </c>
      <c r="O12" s="423" t="s">
        <v>330</v>
      </c>
      <c r="P12" s="423" t="s">
        <v>331</v>
      </c>
      <c r="Q12" s="423" t="s">
        <v>345</v>
      </c>
      <c r="R12" s="423" t="s">
        <v>194</v>
      </c>
      <c r="S12" s="423" t="s">
        <v>195</v>
      </c>
      <c r="T12" s="423" t="s">
        <v>6</v>
      </c>
      <c r="U12" s="423" t="s">
        <v>196</v>
      </c>
      <c r="V12" s="423" t="s">
        <v>197</v>
      </c>
      <c r="W12" s="423" t="s">
        <v>198</v>
      </c>
      <c r="X12" s="423" t="s">
        <v>355</v>
      </c>
      <c r="Y12" s="423" t="s">
        <v>7</v>
      </c>
      <c r="Z12" s="423" t="s">
        <v>71</v>
      </c>
      <c r="AA12" s="423" t="s">
        <v>8</v>
      </c>
      <c r="AB12" s="423" t="s">
        <v>9</v>
      </c>
      <c r="AC12" s="423" t="s">
        <v>199</v>
      </c>
      <c r="AD12" s="423" t="s">
        <v>10</v>
      </c>
      <c r="AE12" s="423" t="s">
        <v>346</v>
      </c>
      <c r="AF12" s="423" t="s">
        <v>347</v>
      </c>
      <c r="AG12" s="423" t="s">
        <v>348</v>
      </c>
      <c r="AH12" s="423" t="s">
        <v>349</v>
      </c>
      <c r="AI12" s="423" t="s">
        <v>11</v>
      </c>
      <c r="AJ12" s="423" t="s">
        <v>12</v>
      </c>
      <c r="AK12" s="423" t="s">
        <v>13</v>
      </c>
      <c r="AL12" s="423" t="s">
        <v>14</v>
      </c>
      <c r="AM12" s="423" t="s">
        <v>351</v>
      </c>
      <c r="AN12" s="423" t="s">
        <v>352</v>
      </c>
      <c r="AO12" s="423" t="s">
        <v>353</v>
      </c>
      <c r="AP12" s="423" t="s">
        <v>354</v>
      </c>
      <c r="AQ12" s="423" t="s">
        <v>251</v>
      </c>
      <c r="AR12" s="423" t="s">
        <v>356</v>
      </c>
      <c r="AS12" s="423" t="s">
        <v>350</v>
      </c>
      <c r="AT12" s="423" t="s">
        <v>361</v>
      </c>
      <c r="AU12" s="498" t="s">
        <v>200</v>
      </c>
      <c r="AV12" s="498" t="s">
        <v>398</v>
      </c>
      <c r="AW12" s="498" t="s">
        <v>201</v>
      </c>
      <c r="AX12" s="498" t="s">
        <v>202</v>
      </c>
      <c r="AY12" s="498" t="s">
        <v>0</v>
      </c>
      <c r="AZ12" s="498" t="s">
        <v>203</v>
      </c>
      <c r="BA12" s="499" t="s">
        <v>15</v>
      </c>
      <c r="BB12" s="497" t="s">
        <v>402</v>
      </c>
      <c r="BC12" s="497" t="s">
        <v>403</v>
      </c>
      <c r="BD12" s="497" t="s">
        <v>401</v>
      </c>
      <c r="BE12" s="497" t="s">
        <v>399</v>
      </c>
    </row>
    <row r="13" spans="1:57">
      <c r="A13" s="424">
        <v>1</v>
      </c>
      <c r="B13" s="425"/>
      <c r="C13" s="425"/>
      <c r="D13" s="425">
        <f>B13*1.4</f>
        <v>0</v>
      </c>
      <c r="E13" s="425"/>
      <c r="F13" s="425"/>
      <c r="G13" s="425"/>
      <c r="H13" s="425"/>
      <c r="I13" s="425"/>
      <c r="J13" s="425"/>
      <c r="K13" s="425"/>
      <c r="L13" s="427">
        <f>MAX(SQRT((F13+0.3*I13)^2+(G13+0.3*J13)^2),SQRT((0.3*F13+I13)^2+(0.3*G13+J13)^2))</f>
        <v>0</v>
      </c>
      <c r="M13" s="427">
        <f>MAX(ABS(H13)+0.3*ABS(K13),0.3*ABS(H13)+ABS(K13))</f>
        <v>0</v>
      </c>
      <c r="N13" s="425"/>
      <c r="O13" s="425"/>
      <c r="P13" s="425"/>
      <c r="Q13" s="425"/>
      <c r="R13" s="430">
        <f>S13</f>
        <v>100</v>
      </c>
      <c r="S13" s="430">
        <f>VLOOKUP(Y13,Hypothèses!$A$21:$C$156,3,0)</f>
        <v>100</v>
      </c>
      <c r="T13" s="424"/>
      <c r="U13" s="424">
        <v>1</v>
      </c>
      <c r="V13" s="424">
        <v>1</v>
      </c>
      <c r="W13" s="283">
        <f>V13*U13</f>
        <v>1</v>
      </c>
      <c r="X13" s="424"/>
      <c r="Y13" s="424">
        <v>1</v>
      </c>
      <c r="Z13" s="426">
        <v>1</v>
      </c>
      <c r="AA13" s="427">
        <v>0</v>
      </c>
      <c r="AB13" s="427">
        <v>60</v>
      </c>
      <c r="AC13" s="427">
        <v>90</v>
      </c>
      <c r="AD13" s="427">
        <v>0</v>
      </c>
      <c r="AE13" s="427">
        <v>74.178655900822349</v>
      </c>
      <c r="AF13" s="427">
        <v>60.691627555218282</v>
      </c>
      <c r="AG13" s="427">
        <v>99.275920340379713</v>
      </c>
      <c r="AH13" s="427">
        <v>109.20351237441768</v>
      </c>
      <c r="AI13" s="427">
        <v>0</v>
      </c>
      <c r="AJ13" s="427">
        <v>0</v>
      </c>
      <c r="AK13" s="427">
        <v>0</v>
      </c>
      <c r="AL13" s="427">
        <v>0</v>
      </c>
      <c r="AM13" s="427">
        <v>31.779293731956784</v>
      </c>
      <c r="AN13" s="427">
        <v>11.535883624700311</v>
      </c>
      <c r="AO13" s="427">
        <v>43.425121869754619</v>
      </c>
      <c r="AP13" s="427">
        <v>47.560847762112196</v>
      </c>
      <c r="AQ13" s="451">
        <v>2</v>
      </c>
      <c r="AR13" s="442">
        <v>0.42</v>
      </c>
      <c r="AS13" s="428">
        <v>7.1</v>
      </c>
      <c r="AT13" s="451" t="s">
        <v>232</v>
      </c>
      <c r="AU13" s="500">
        <f>AS13+R13-S13</f>
        <v>7.0999999999999943</v>
      </c>
      <c r="AV13" s="500">
        <f>ROUNDUP(AU13*2,0)/2</f>
        <v>7.5</v>
      </c>
      <c r="AW13" s="500">
        <f>AV13+BA13-R13</f>
        <v>11.75</v>
      </c>
      <c r="AX13" s="501">
        <f>ROUNDUP(AV13*2,0)/2*W13</f>
        <v>7.5</v>
      </c>
      <c r="AY13" s="500"/>
      <c r="AZ13" s="500"/>
      <c r="BA13" s="30">
        <v>104.25</v>
      </c>
      <c r="BB13" s="507">
        <v>0</v>
      </c>
      <c r="BC13" s="507">
        <v>5.8479532163742673</v>
      </c>
      <c r="BD13" s="284" t="str">
        <f>IF(BB13&lt;BC13,"OK","Err")</f>
        <v>OK</v>
      </c>
      <c r="BE13" s="284" t="str">
        <f>IF(AND(AA13&lt;=AE13,AB13&lt;=AF13,AC13&lt;=AG13,AD13&lt;=AH13,AI13&lt;=AM13,AJ13&lt;=AN13,AK13&lt;=AO13,AL13&lt;=AP13,BD13="OK"),"OK","Augmenter le diamètre")</f>
        <v>OK</v>
      </c>
    </row>
    <row r="14" spans="1:57">
      <c r="A14" s="424">
        <v>2</v>
      </c>
      <c r="B14" s="425"/>
      <c r="C14" s="425"/>
      <c r="D14" s="425">
        <f>B14*1.4</f>
        <v>0</v>
      </c>
      <c r="E14" s="425"/>
      <c r="F14" s="425"/>
      <c r="G14" s="425"/>
      <c r="H14" s="425"/>
      <c r="I14" s="425"/>
      <c r="J14" s="425"/>
      <c r="K14" s="425"/>
      <c r="L14" s="427">
        <f t="shared" ref="L14:L53" si="2">MAX(SQRT((F14+0.3*I14)^2+(G14+0.3*J14)^2),SQRT((0.3*F14+I14)^2+(0.3*G14+J14)^2))</f>
        <v>0</v>
      </c>
      <c r="M14" s="427">
        <f t="shared" ref="M14:M53" si="3">MAX(ABS(H14)+0.3*ABS(K14),0.3*ABS(H14)+ABS(K14))</f>
        <v>0</v>
      </c>
      <c r="N14" s="425"/>
      <c r="O14" s="425"/>
      <c r="P14" s="425"/>
      <c r="Q14" s="425"/>
      <c r="R14" s="430">
        <f t="shared" ref="R14:R53" si="4">S14</f>
        <v>100</v>
      </c>
      <c r="S14" s="430">
        <f>VLOOKUP(Y14,Hypothèses!$A$21:$C$156,3,0)</f>
        <v>100</v>
      </c>
      <c r="T14" s="424"/>
      <c r="U14" s="424">
        <v>1</v>
      </c>
      <c r="V14" s="424">
        <v>1</v>
      </c>
      <c r="W14" s="283">
        <f t="shared" ref="W14:W53" si="5">V14*U14</f>
        <v>1</v>
      </c>
      <c r="X14" s="424"/>
      <c r="Y14" s="424">
        <v>1</v>
      </c>
      <c r="Z14" s="426">
        <v>1</v>
      </c>
      <c r="AA14" s="427">
        <v>0</v>
      </c>
      <c r="AB14" s="427">
        <v>60</v>
      </c>
      <c r="AC14" s="427">
        <v>90</v>
      </c>
      <c r="AD14" s="427">
        <v>0</v>
      </c>
      <c r="AE14" s="427">
        <v>74.178655900822349</v>
      </c>
      <c r="AF14" s="427">
        <v>60.691627555218282</v>
      </c>
      <c r="AG14" s="427">
        <v>99.275920340379713</v>
      </c>
      <c r="AH14" s="427">
        <v>109.20351237441768</v>
      </c>
      <c r="AI14" s="427">
        <v>0</v>
      </c>
      <c r="AJ14" s="427">
        <v>0</v>
      </c>
      <c r="AK14" s="427">
        <v>0</v>
      </c>
      <c r="AL14" s="427">
        <v>0</v>
      </c>
      <c r="AM14" s="427">
        <v>31.779293731956784</v>
      </c>
      <c r="AN14" s="427">
        <v>11.535883624700311</v>
      </c>
      <c r="AO14" s="427">
        <v>43.425121869754619</v>
      </c>
      <c r="AP14" s="427">
        <v>47.560847762112196</v>
      </c>
      <c r="AQ14" s="451">
        <v>2</v>
      </c>
      <c r="AR14" s="442"/>
      <c r="AS14" s="428">
        <v>7.1</v>
      </c>
      <c r="AT14" s="451" t="s">
        <v>232</v>
      </c>
      <c r="AU14" s="500">
        <f t="shared" ref="AU14:AU53" si="6">AS14+R14-S14</f>
        <v>7.0999999999999943</v>
      </c>
      <c r="AV14" s="500">
        <f t="shared" ref="AV14:AV53" si="7">ROUNDUP(AU14*2,0)/2</f>
        <v>7.5</v>
      </c>
      <c r="AW14" s="500">
        <f t="shared" ref="AW14:AW53" si="8">AV14+BA14-R14</f>
        <v>11.75</v>
      </c>
      <c r="AX14" s="501">
        <f t="shared" ref="AX14:AX53" si="9">ROUNDUP(AV14*2,0)/2*W14</f>
        <v>7.5</v>
      </c>
      <c r="AY14" s="500"/>
      <c r="AZ14" s="500"/>
      <c r="BA14" s="30">
        <v>104.25</v>
      </c>
      <c r="BB14" s="507">
        <v>0</v>
      </c>
      <c r="BC14" s="507">
        <v>5.8479532163742673</v>
      </c>
      <c r="BD14" s="284" t="str">
        <f t="shared" ref="BD14:BD53" si="10">IF(BB14&lt;BC14,"OK","Err")</f>
        <v>OK</v>
      </c>
      <c r="BE14" s="284" t="str">
        <f t="shared" ref="BE14:BE53" si="11">IF(AND(AA14&lt;=AE14,AB14&lt;=AF14,AC14&lt;=AG14,AD14&lt;=AH14,AI14&lt;=AM14,AJ14&lt;=AN14,AK14&lt;=AO14,AL14&lt;=AP14,BD14="OK"),"OK","Augmenter le diamètre")</f>
        <v>OK</v>
      </c>
    </row>
    <row r="15" spans="1:57">
      <c r="A15" s="424">
        <v>3</v>
      </c>
      <c r="B15" s="425"/>
      <c r="C15" s="425"/>
      <c r="D15" s="425">
        <f t="shared" ref="D15:D53" si="12">B15*1.4</f>
        <v>0</v>
      </c>
      <c r="E15" s="425"/>
      <c r="F15" s="425"/>
      <c r="G15" s="425"/>
      <c r="H15" s="425"/>
      <c r="I15" s="425"/>
      <c r="J15" s="425"/>
      <c r="K15" s="425"/>
      <c r="L15" s="427">
        <f t="shared" si="2"/>
        <v>0</v>
      </c>
      <c r="M15" s="427">
        <f t="shared" si="3"/>
        <v>0</v>
      </c>
      <c r="N15" s="425"/>
      <c r="O15" s="425"/>
      <c r="P15" s="425"/>
      <c r="Q15" s="425"/>
      <c r="R15" s="430">
        <f t="shared" si="4"/>
        <v>100</v>
      </c>
      <c r="S15" s="430">
        <f>VLOOKUP(Y15,Hypothèses!$A$21:$C$156,3,0)</f>
        <v>100</v>
      </c>
      <c r="T15" s="424"/>
      <c r="U15" s="424">
        <v>1</v>
      </c>
      <c r="V15" s="424">
        <v>1</v>
      </c>
      <c r="W15" s="283">
        <f t="shared" si="5"/>
        <v>1</v>
      </c>
      <c r="X15" s="424"/>
      <c r="Y15" s="424">
        <v>1</v>
      </c>
      <c r="Z15" s="426">
        <v>1</v>
      </c>
      <c r="AA15" s="427">
        <v>0</v>
      </c>
      <c r="AB15" s="427">
        <v>60</v>
      </c>
      <c r="AC15" s="427">
        <v>90</v>
      </c>
      <c r="AD15" s="427">
        <v>0</v>
      </c>
      <c r="AE15" s="427">
        <v>74.178655900822349</v>
      </c>
      <c r="AF15" s="427">
        <v>60.691627555218282</v>
      </c>
      <c r="AG15" s="427">
        <v>99.275920340379713</v>
      </c>
      <c r="AH15" s="427">
        <v>109.20351237441768</v>
      </c>
      <c r="AI15" s="427">
        <v>0</v>
      </c>
      <c r="AJ15" s="427">
        <v>0</v>
      </c>
      <c r="AK15" s="427">
        <v>0</v>
      </c>
      <c r="AL15" s="427">
        <v>0</v>
      </c>
      <c r="AM15" s="427">
        <v>31.779293731956784</v>
      </c>
      <c r="AN15" s="427">
        <v>11.535883624700311</v>
      </c>
      <c r="AO15" s="427">
        <v>43.425121869754619</v>
      </c>
      <c r="AP15" s="427">
        <v>47.560847762112196</v>
      </c>
      <c r="AQ15" s="451">
        <v>2</v>
      </c>
      <c r="AR15" s="442"/>
      <c r="AS15" s="428">
        <v>7.1</v>
      </c>
      <c r="AT15" s="451" t="s">
        <v>232</v>
      </c>
      <c r="AU15" s="500">
        <f t="shared" si="6"/>
        <v>7.0999999999999943</v>
      </c>
      <c r="AV15" s="500">
        <f t="shared" si="7"/>
        <v>7.5</v>
      </c>
      <c r="AW15" s="500">
        <f t="shared" si="8"/>
        <v>11.75</v>
      </c>
      <c r="AX15" s="501">
        <f t="shared" si="9"/>
        <v>7.5</v>
      </c>
      <c r="AY15" s="500"/>
      <c r="AZ15" s="500"/>
      <c r="BA15" s="30">
        <v>104.25</v>
      </c>
      <c r="BB15" s="507">
        <v>0</v>
      </c>
      <c r="BC15" s="507">
        <v>5.8479532163742673</v>
      </c>
      <c r="BD15" s="284" t="str">
        <f t="shared" si="10"/>
        <v>OK</v>
      </c>
      <c r="BE15" s="284" t="str">
        <f t="shared" si="11"/>
        <v>OK</v>
      </c>
    </row>
    <row r="16" spans="1:57">
      <c r="A16" s="424">
        <v>4</v>
      </c>
      <c r="B16" s="425"/>
      <c r="C16" s="425"/>
      <c r="D16" s="425">
        <f t="shared" si="12"/>
        <v>0</v>
      </c>
      <c r="E16" s="425"/>
      <c r="F16" s="425"/>
      <c r="G16" s="425"/>
      <c r="H16" s="425"/>
      <c r="I16" s="425"/>
      <c r="J16" s="425"/>
      <c r="K16" s="425"/>
      <c r="L16" s="427">
        <f t="shared" si="2"/>
        <v>0</v>
      </c>
      <c r="M16" s="427">
        <f t="shared" si="3"/>
        <v>0</v>
      </c>
      <c r="N16" s="425"/>
      <c r="O16" s="425"/>
      <c r="P16" s="425"/>
      <c r="Q16" s="425"/>
      <c r="R16" s="430">
        <f t="shared" si="4"/>
        <v>100</v>
      </c>
      <c r="S16" s="430">
        <f>VLOOKUP(Y16,Hypothèses!$A$21:$C$156,3,0)</f>
        <v>100</v>
      </c>
      <c r="T16" s="424"/>
      <c r="U16" s="424">
        <v>1</v>
      </c>
      <c r="V16" s="424">
        <v>1</v>
      </c>
      <c r="W16" s="283">
        <f t="shared" si="5"/>
        <v>1</v>
      </c>
      <c r="X16" s="424"/>
      <c r="Y16" s="424">
        <v>1</v>
      </c>
      <c r="Z16" s="426">
        <v>1</v>
      </c>
      <c r="AA16" s="427">
        <v>0</v>
      </c>
      <c r="AB16" s="427">
        <v>60</v>
      </c>
      <c r="AC16" s="427">
        <v>90</v>
      </c>
      <c r="AD16" s="427">
        <v>0</v>
      </c>
      <c r="AE16" s="427">
        <v>74.178655900822349</v>
      </c>
      <c r="AF16" s="427">
        <v>60.691627555218282</v>
      </c>
      <c r="AG16" s="427">
        <v>99.275920340379713</v>
      </c>
      <c r="AH16" s="427">
        <v>109.20351237441768</v>
      </c>
      <c r="AI16" s="427">
        <v>0</v>
      </c>
      <c r="AJ16" s="427">
        <v>0</v>
      </c>
      <c r="AK16" s="427">
        <v>0</v>
      </c>
      <c r="AL16" s="427">
        <v>0</v>
      </c>
      <c r="AM16" s="427">
        <v>31.779293731956784</v>
      </c>
      <c r="AN16" s="427">
        <v>11.535883624700311</v>
      </c>
      <c r="AO16" s="427">
        <v>43.425121869754619</v>
      </c>
      <c r="AP16" s="427">
        <v>47.560847762112196</v>
      </c>
      <c r="AQ16" s="451">
        <v>2</v>
      </c>
      <c r="AR16" s="442"/>
      <c r="AS16" s="428">
        <v>7.1</v>
      </c>
      <c r="AT16" s="451" t="s">
        <v>232</v>
      </c>
      <c r="AU16" s="500">
        <f t="shared" si="6"/>
        <v>7.0999999999999943</v>
      </c>
      <c r="AV16" s="500">
        <f t="shared" si="7"/>
        <v>7.5</v>
      </c>
      <c r="AW16" s="500">
        <f t="shared" si="8"/>
        <v>11.75</v>
      </c>
      <c r="AX16" s="501">
        <f t="shared" si="9"/>
        <v>7.5</v>
      </c>
      <c r="AY16" s="500"/>
      <c r="AZ16" s="500"/>
      <c r="BA16" s="30">
        <v>104.25</v>
      </c>
      <c r="BB16" s="507">
        <v>0</v>
      </c>
      <c r="BC16" s="507">
        <v>5.8479532163742673</v>
      </c>
      <c r="BD16" s="284" t="str">
        <f t="shared" si="10"/>
        <v>OK</v>
      </c>
      <c r="BE16" s="284" t="str">
        <f t="shared" si="11"/>
        <v>OK</v>
      </c>
    </row>
    <row r="17" spans="1:57">
      <c r="A17" s="424">
        <v>5</v>
      </c>
      <c r="B17" s="425"/>
      <c r="C17" s="425"/>
      <c r="D17" s="425">
        <f t="shared" si="12"/>
        <v>0</v>
      </c>
      <c r="E17" s="425"/>
      <c r="F17" s="425"/>
      <c r="G17" s="425"/>
      <c r="H17" s="425"/>
      <c r="I17" s="425"/>
      <c r="J17" s="425"/>
      <c r="K17" s="425"/>
      <c r="L17" s="427">
        <f t="shared" si="2"/>
        <v>0</v>
      </c>
      <c r="M17" s="427">
        <f t="shared" si="3"/>
        <v>0</v>
      </c>
      <c r="N17" s="425"/>
      <c r="O17" s="425"/>
      <c r="P17" s="425"/>
      <c r="Q17" s="425"/>
      <c r="R17" s="430">
        <f t="shared" si="4"/>
        <v>100</v>
      </c>
      <c r="S17" s="430">
        <f>VLOOKUP(Y17,Hypothèses!$A$21:$C$156,3,0)</f>
        <v>100</v>
      </c>
      <c r="T17" s="424"/>
      <c r="U17" s="424">
        <v>1</v>
      </c>
      <c r="V17" s="424">
        <v>1</v>
      </c>
      <c r="W17" s="283">
        <f t="shared" si="5"/>
        <v>1</v>
      </c>
      <c r="X17" s="424"/>
      <c r="Y17" s="424">
        <v>1</v>
      </c>
      <c r="Z17" s="426">
        <v>1</v>
      </c>
      <c r="AA17" s="427">
        <v>0</v>
      </c>
      <c r="AB17" s="427">
        <v>60</v>
      </c>
      <c r="AC17" s="427">
        <v>90</v>
      </c>
      <c r="AD17" s="427">
        <v>0</v>
      </c>
      <c r="AE17" s="427">
        <v>74.178655900822349</v>
      </c>
      <c r="AF17" s="427">
        <v>60.691627555218282</v>
      </c>
      <c r="AG17" s="427">
        <v>99.275920340379713</v>
      </c>
      <c r="AH17" s="427">
        <v>109.20351237441768</v>
      </c>
      <c r="AI17" s="427">
        <v>0</v>
      </c>
      <c r="AJ17" s="427">
        <v>0</v>
      </c>
      <c r="AK17" s="427">
        <v>0</v>
      </c>
      <c r="AL17" s="427">
        <v>0</v>
      </c>
      <c r="AM17" s="427">
        <v>31.779293731956784</v>
      </c>
      <c r="AN17" s="427">
        <v>11.535883624700311</v>
      </c>
      <c r="AO17" s="427">
        <v>43.425121869754619</v>
      </c>
      <c r="AP17" s="427">
        <v>47.560847762112196</v>
      </c>
      <c r="AQ17" s="451">
        <v>2</v>
      </c>
      <c r="AR17" s="442"/>
      <c r="AS17" s="428">
        <v>7.1</v>
      </c>
      <c r="AT17" s="451" t="s">
        <v>232</v>
      </c>
      <c r="AU17" s="500">
        <f t="shared" si="6"/>
        <v>7.0999999999999943</v>
      </c>
      <c r="AV17" s="500">
        <f t="shared" si="7"/>
        <v>7.5</v>
      </c>
      <c r="AW17" s="500">
        <f t="shared" si="8"/>
        <v>11.75</v>
      </c>
      <c r="AX17" s="501">
        <f t="shared" si="9"/>
        <v>7.5</v>
      </c>
      <c r="AY17" s="500"/>
      <c r="AZ17" s="500"/>
      <c r="BA17" s="30">
        <v>104.25</v>
      </c>
      <c r="BB17" s="507">
        <v>0</v>
      </c>
      <c r="BC17" s="507">
        <v>5.8479532163742673</v>
      </c>
      <c r="BD17" s="284" t="str">
        <f t="shared" si="10"/>
        <v>OK</v>
      </c>
      <c r="BE17" s="284" t="str">
        <f t="shared" si="11"/>
        <v>OK</v>
      </c>
    </row>
    <row r="18" spans="1:57">
      <c r="A18" s="424">
        <v>6</v>
      </c>
      <c r="B18" s="425"/>
      <c r="C18" s="425"/>
      <c r="D18" s="425">
        <f t="shared" si="12"/>
        <v>0</v>
      </c>
      <c r="E18" s="425"/>
      <c r="F18" s="425"/>
      <c r="G18" s="425"/>
      <c r="H18" s="425"/>
      <c r="I18" s="425"/>
      <c r="J18" s="425"/>
      <c r="K18" s="425"/>
      <c r="L18" s="427">
        <f t="shared" si="2"/>
        <v>0</v>
      </c>
      <c r="M18" s="427">
        <f t="shared" si="3"/>
        <v>0</v>
      </c>
      <c r="N18" s="425"/>
      <c r="O18" s="425"/>
      <c r="P18" s="425"/>
      <c r="Q18" s="425"/>
      <c r="R18" s="430">
        <f t="shared" si="4"/>
        <v>100</v>
      </c>
      <c r="S18" s="430">
        <f>VLOOKUP(Y18,Hypothèses!$A$21:$C$156,3,0)</f>
        <v>100</v>
      </c>
      <c r="T18" s="424"/>
      <c r="U18" s="424">
        <v>1</v>
      </c>
      <c r="V18" s="424">
        <v>1</v>
      </c>
      <c r="W18" s="283">
        <f t="shared" si="5"/>
        <v>1</v>
      </c>
      <c r="X18" s="424"/>
      <c r="Y18" s="424">
        <v>1</v>
      </c>
      <c r="Z18" s="426">
        <v>1</v>
      </c>
      <c r="AA18" s="427">
        <v>0</v>
      </c>
      <c r="AB18" s="427">
        <v>60</v>
      </c>
      <c r="AC18" s="427">
        <v>90</v>
      </c>
      <c r="AD18" s="427">
        <v>0</v>
      </c>
      <c r="AE18" s="427">
        <v>74.178655900822349</v>
      </c>
      <c r="AF18" s="427">
        <v>60.691627555218282</v>
      </c>
      <c r="AG18" s="427">
        <v>99.275920340379713</v>
      </c>
      <c r="AH18" s="427">
        <v>109.20351237441768</v>
      </c>
      <c r="AI18" s="427">
        <v>0</v>
      </c>
      <c r="AJ18" s="427">
        <v>0</v>
      </c>
      <c r="AK18" s="427">
        <v>0</v>
      </c>
      <c r="AL18" s="427">
        <v>0</v>
      </c>
      <c r="AM18" s="427">
        <v>31.779293731956784</v>
      </c>
      <c r="AN18" s="427">
        <v>11.535883624700311</v>
      </c>
      <c r="AO18" s="427">
        <v>43.425121869754619</v>
      </c>
      <c r="AP18" s="427">
        <v>47.560847762112196</v>
      </c>
      <c r="AQ18" s="451">
        <v>2</v>
      </c>
      <c r="AR18" s="442"/>
      <c r="AS18" s="428">
        <v>7.1</v>
      </c>
      <c r="AT18" s="451" t="s">
        <v>232</v>
      </c>
      <c r="AU18" s="500">
        <f t="shared" si="6"/>
        <v>7.0999999999999943</v>
      </c>
      <c r="AV18" s="500">
        <f t="shared" si="7"/>
        <v>7.5</v>
      </c>
      <c r="AW18" s="500">
        <f t="shared" si="8"/>
        <v>11.75</v>
      </c>
      <c r="AX18" s="501">
        <f t="shared" si="9"/>
        <v>7.5</v>
      </c>
      <c r="AY18" s="500"/>
      <c r="AZ18" s="500"/>
      <c r="BA18" s="30">
        <v>104.25</v>
      </c>
      <c r="BB18" s="507">
        <v>0</v>
      </c>
      <c r="BC18" s="507">
        <v>5.8479532163742673</v>
      </c>
      <c r="BD18" s="284" t="str">
        <f t="shared" si="10"/>
        <v>OK</v>
      </c>
      <c r="BE18" s="284" t="str">
        <f t="shared" si="11"/>
        <v>OK</v>
      </c>
    </row>
    <row r="19" spans="1:57">
      <c r="A19" s="424">
        <v>7</v>
      </c>
      <c r="B19" s="425"/>
      <c r="C19" s="425"/>
      <c r="D19" s="425">
        <f t="shared" si="12"/>
        <v>0</v>
      </c>
      <c r="E19" s="425"/>
      <c r="F19" s="425"/>
      <c r="G19" s="425"/>
      <c r="H19" s="425"/>
      <c r="I19" s="425"/>
      <c r="J19" s="425"/>
      <c r="K19" s="425"/>
      <c r="L19" s="427">
        <f t="shared" si="2"/>
        <v>0</v>
      </c>
      <c r="M19" s="427">
        <f t="shared" si="3"/>
        <v>0</v>
      </c>
      <c r="N19" s="425"/>
      <c r="O19" s="425"/>
      <c r="P19" s="425"/>
      <c r="Q19" s="425"/>
      <c r="R19" s="430">
        <f t="shared" si="4"/>
        <v>100</v>
      </c>
      <c r="S19" s="430">
        <f>VLOOKUP(Y19,Hypothèses!$A$21:$C$156,3,0)</f>
        <v>100</v>
      </c>
      <c r="T19" s="424"/>
      <c r="U19" s="424">
        <v>1</v>
      </c>
      <c r="V19" s="424">
        <v>1</v>
      </c>
      <c r="W19" s="283">
        <f t="shared" si="5"/>
        <v>1</v>
      </c>
      <c r="X19" s="424"/>
      <c r="Y19" s="424">
        <v>1</v>
      </c>
      <c r="Z19" s="426">
        <v>1</v>
      </c>
      <c r="AA19" s="427">
        <v>0</v>
      </c>
      <c r="AB19" s="427">
        <v>60</v>
      </c>
      <c r="AC19" s="427">
        <v>90</v>
      </c>
      <c r="AD19" s="427">
        <v>0</v>
      </c>
      <c r="AE19" s="427">
        <v>74.178655900822349</v>
      </c>
      <c r="AF19" s="427">
        <v>60.691627555218282</v>
      </c>
      <c r="AG19" s="427">
        <v>99.275920340379713</v>
      </c>
      <c r="AH19" s="427">
        <v>109.20351237441768</v>
      </c>
      <c r="AI19" s="427">
        <v>0</v>
      </c>
      <c r="AJ19" s="427">
        <v>0</v>
      </c>
      <c r="AK19" s="427">
        <v>0</v>
      </c>
      <c r="AL19" s="427">
        <v>0</v>
      </c>
      <c r="AM19" s="427">
        <v>31.779293731956784</v>
      </c>
      <c r="AN19" s="427">
        <v>11.535883624700311</v>
      </c>
      <c r="AO19" s="427">
        <v>43.425121869754619</v>
      </c>
      <c r="AP19" s="427">
        <v>47.560847762112196</v>
      </c>
      <c r="AQ19" s="451">
        <v>2</v>
      </c>
      <c r="AR19" s="442"/>
      <c r="AS19" s="428">
        <v>7.1</v>
      </c>
      <c r="AT19" s="451" t="s">
        <v>232</v>
      </c>
      <c r="AU19" s="500">
        <f t="shared" si="6"/>
        <v>7.0999999999999943</v>
      </c>
      <c r="AV19" s="500">
        <f t="shared" si="7"/>
        <v>7.5</v>
      </c>
      <c r="AW19" s="500">
        <f t="shared" si="8"/>
        <v>11.75</v>
      </c>
      <c r="AX19" s="501">
        <f t="shared" si="9"/>
        <v>7.5</v>
      </c>
      <c r="AY19" s="500"/>
      <c r="AZ19" s="500"/>
      <c r="BA19" s="30">
        <v>104.25</v>
      </c>
      <c r="BB19" s="507">
        <v>0</v>
      </c>
      <c r="BC19" s="507">
        <v>5.8479532163742673</v>
      </c>
      <c r="BD19" s="284" t="str">
        <f t="shared" si="10"/>
        <v>OK</v>
      </c>
      <c r="BE19" s="284" t="str">
        <f t="shared" si="11"/>
        <v>OK</v>
      </c>
    </row>
    <row r="20" spans="1:57">
      <c r="A20" s="424">
        <v>8</v>
      </c>
      <c r="B20" s="425"/>
      <c r="C20" s="425"/>
      <c r="D20" s="425">
        <f t="shared" si="12"/>
        <v>0</v>
      </c>
      <c r="E20" s="425"/>
      <c r="F20" s="425"/>
      <c r="G20" s="425"/>
      <c r="H20" s="425"/>
      <c r="I20" s="425"/>
      <c r="J20" s="425"/>
      <c r="K20" s="425"/>
      <c r="L20" s="427">
        <f t="shared" si="2"/>
        <v>0</v>
      </c>
      <c r="M20" s="427">
        <f t="shared" si="3"/>
        <v>0</v>
      </c>
      <c r="N20" s="425"/>
      <c r="O20" s="425"/>
      <c r="P20" s="425"/>
      <c r="Q20" s="425"/>
      <c r="R20" s="430">
        <f t="shared" si="4"/>
        <v>100</v>
      </c>
      <c r="S20" s="430">
        <f>VLOOKUP(Y20,Hypothèses!$A$21:$C$156,3,0)</f>
        <v>100</v>
      </c>
      <c r="T20" s="424"/>
      <c r="U20" s="424">
        <v>1</v>
      </c>
      <c r="V20" s="424">
        <v>1</v>
      </c>
      <c r="W20" s="283">
        <f t="shared" si="5"/>
        <v>1</v>
      </c>
      <c r="X20" s="424"/>
      <c r="Y20" s="424">
        <v>1</v>
      </c>
      <c r="Z20" s="426">
        <v>1</v>
      </c>
      <c r="AA20" s="427">
        <v>0</v>
      </c>
      <c r="AB20" s="427">
        <v>60</v>
      </c>
      <c r="AC20" s="427">
        <v>90</v>
      </c>
      <c r="AD20" s="427">
        <v>0</v>
      </c>
      <c r="AE20" s="427">
        <v>74.178655900822349</v>
      </c>
      <c r="AF20" s="427">
        <v>60.691627555218282</v>
      </c>
      <c r="AG20" s="427">
        <v>99.275920340379713</v>
      </c>
      <c r="AH20" s="427">
        <v>109.20351237441768</v>
      </c>
      <c r="AI20" s="427">
        <v>0</v>
      </c>
      <c r="AJ20" s="427">
        <v>0</v>
      </c>
      <c r="AK20" s="427">
        <v>0</v>
      </c>
      <c r="AL20" s="427">
        <v>0</v>
      </c>
      <c r="AM20" s="427">
        <v>31.779293731956784</v>
      </c>
      <c r="AN20" s="427">
        <v>11.535883624700311</v>
      </c>
      <c r="AO20" s="427">
        <v>43.425121869754619</v>
      </c>
      <c r="AP20" s="427">
        <v>47.560847762112196</v>
      </c>
      <c r="AQ20" s="451">
        <v>2</v>
      </c>
      <c r="AR20" s="442"/>
      <c r="AS20" s="428">
        <v>7.1</v>
      </c>
      <c r="AT20" s="451" t="s">
        <v>232</v>
      </c>
      <c r="AU20" s="500">
        <f t="shared" si="6"/>
        <v>7.0999999999999943</v>
      </c>
      <c r="AV20" s="500">
        <f t="shared" si="7"/>
        <v>7.5</v>
      </c>
      <c r="AW20" s="500">
        <f t="shared" si="8"/>
        <v>11.75</v>
      </c>
      <c r="AX20" s="501">
        <f t="shared" si="9"/>
        <v>7.5</v>
      </c>
      <c r="AY20" s="500"/>
      <c r="AZ20" s="500"/>
      <c r="BA20" s="30">
        <v>104.25</v>
      </c>
      <c r="BB20" s="507">
        <v>0</v>
      </c>
      <c r="BC20" s="507">
        <v>5.8479532163742673</v>
      </c>
      <c r="BD20" s="284" t="str">
        <f t="shared" si="10"/>
        <v>OK</v>
      </c>
      <c r="BE20" s="284" t="str">
        <f t="shared" si="11"/>
        <v>OK</v>
      </c>
    </row>
    <row r="21" spans="1:57">
      <c r="A21" s="424">
        <v>9</v>
      </c>
      <c r="B21" s="425"/>
      <c r="C21" s="425"/>
      <c r="D21" s="425">
        <f t="shared" si="12"/>
        <v>0</v>
      </c>
      <c r="E21" s="425"/>
      <c r="F21" s="425"/>
      <c r="G21" s="425"/>
      <c r="H21" s="425"/>
      <c r="I21" s="425"/>
      <c r="J21" s="425"/>
      <c r="K21" s="425"/>
      <c r="L21" s="427">
        <f t="shared" si="2"/>
        <v>0</v>
      </c>
      <c r="M21" s="427">
        <f t="shared" si="3"/>
        <v>0</v>
      </c>
      <c r="N21" s="425"/>
      <c r="O21" s="425"/>
      <c r="P21" s="425"/>
      <c r="Q21" s="425"/>
      <c r="R21" s="430">
        <f t="shared" si="4"/>
        <v>100</v>
      </c>
      <c r="S21" s="430">
        <f>VLOOKUP(Y21,Hypothèses!$A$21:$C$156,3,0)</f>
        <v>100</v>
      </c>
      <c r="T21" s="424"/>
      <c r="U21" s="424">
        <v>1</v>
      </c>
      <c r="V21" s="424">
        <v>1</v>
      </c>
      <c r="W21" s="283">
        <f t="shared" si="5"/>
        <v>1</v>
      </c>
      <c r="X21" s="424"/>
      <c r="Y21" s="424">
        <v>1</v>
      </c>
      <c r="Z21" s="426">
        <v>1</v>
      </c>
      <c r="AA21" s="427">
        <v>0</v>
      </c>
      <c r="AB21" s="427">
        <v>60</v>
      </c>
      <c r="AC21" s="427">
        <v>90</v>
      </c>
      <c r="AD21" s="427">
        <v>0</v>
      </c>
      <c r="AE21" s="427">
        <v>74.178655900822349</v>
      </c>
      <c r="AF21" s="427">
        <v>60.691627555218282</v>
      </c>
      <c r="AG21" s="427">
        <v>99.275920340379713</v>
      </c>
      <c r="AH21" s="427">
        <v>109.20351237441768</v>
      </c>
      <c r="AI21" s="427">
        <v>0</v>
      </c>
      <c r="AJ21" s="427">
        <v>0</v>
      </c>
      <c r="AK21" s="427">
        <v>0</v>
      </c>
      <c r="AL21" s="427">
        <v>0</v>
      </c>
      <c r="AM21" s="427">
        <v>31.779293731956784</v>
      </c>
      <c r="AN21" s="427">
        <v>11.535883624700311</v>
      </c>
      <c r="AO21" s="427">
        <v>43.425121869754619</v>
      </c>
      <c r="AP21" s="427">
        <v>47.560847762112196</v>
      </c>
      <c r="AQ21" s="451">
        <v>2</v>
      </c>
      <c r="AR21" s="442"/>
      <c r="AS21" s="428">
        <v>7.1</v>
      </c>
      <c r="AT21" s="451" t="s">
        <v>232</v>
      </c>
      <c r="AU21" s="500">
        <f t="shared" si="6"/>
        <v>7.0999999999999943</v>
      </c>
      <c r="AV21" s="500">
        <f t="shared" si="7"/>
        <v>7.5</v>
      </c>
      <c r="AW21" s="500">
        <f t="shared" si="8"/>
        <v>11.75</v>
      </c>
      <c r="AX21" s="501">
        <f t="shared" si="9"/>
        <v>7.5</v>
      </c>
      <c r="AY21" s="500"/>
      <c r="AZ21" s="500"/>
      <c r="BA21" s="30">
        <v>104.25</v>
      </c>
      <c r="BB21" s="507">
        <v>0</v>
      </c>
      <c r="BC21" s="507">
        <v>5.8479532163742673</v>
      </c>
      <c r="BD21" s="284" t="str">
        <f t="shared" si="10"/>
        <v>OK</v>
      </c>
      <c r="BE21" s="284" t="str">
        <f t="shared" si="11"/>
        <v>OK</v>
      </c>
    </row>
    <row r="22" spans="1:57">
      <c r="A22" s="424">
        <v>10</v>
      </c>
      <c r="B22" s="425"/>
      <c r="C22" s="425"/>
      <c r="D22" s="425">
        <f t="shared" si="12"/>
        <v>0</v>
      </c>
      <c r="E22" s="425"/>
      <c r="F22" s="425"/>
      <c r="G22" s="425"/>
      <c r="H22" s="425"/>
      <c r="I22" s="425"/>
      <c r="J22" s="425"/>
      <c r="K22" s="425"/>
      <c r="L22" s="427">
        <f t="shared" si="2"/>
        <v>0</v>
      </c>
      <c r="M22" s="427">
        <f t="shared" si="3"/>
        <v>0</v>
      </c>
      <c r="N22" s="425"/>
      <c r="O22" s="425"/>
      <c r="P22" s="425"/>
      <c r="Q22" s="425"/>
      <c r="R22" s="430">
        <f t="shared" si="4"/>
        <v>100</v>
      </c>
      <c r="S22" s="430">
        <f>VLOOKUP(Y22,Hypothèses!$A$21:$C$156,3,0)</f>
        <v>100</v>
      </c>
      <c r="T22" s="424"/>
      <c r="U22" s="424">
        <v>1</v>
      </c>
      <c r="V22" s="424">
        <v>1</v>
      </c>
      <c r="W22" s="283">
        <f t="shared" si="5"/>
        <v>1</v>
      </c>
      <c r="X22" s="424"/>
      <c r="Y22" s="424">
        <v>1</v>
      </c>
      <c r="Z22" s="426">
        <v>1</v>
      </c>
      <c r="AA22" s="427">
        <v>0</v>
      </c>
      <c r="AB22" s="427">
        <v>60</v>
      </c>
      <c r="AC22" s="427">
        <v>90</v>
      </c>
      <c r="AD22" s="427">
        <v>0</v>
      </c>
      <c r="AE22" s="427">
        <v>74.178655900822349</v>
      </c>
      <c r="AF22" s="427">
        <v>60.691627555218282</v>
      </c>
      <c r="AG22" s="427">
        <v>99.275920340379713</v>
      </c>
      <c r="AH22" s="427">
        <v>109.20351237441768</v>
      </c>
      <c r="AI22" s="427">
        <v>0</v>
      </c>
      <c r="AJ22" s="427">
        <v>0</v>
      </c>
      <c r="AK22" s="427">
        <v>0</v>
      </c>
      <c r="AL22" s="427">
        <v>0</v>
      </c>
      <c r="AM22" s="427">
        <v>31.779293731956784</v>
      </c>
      <c r="AN22" s="427">
        <v>11.535883624700311</v>
      </c>
      <c r="AO22" s="427">
        <v>43.425121869754619</v>
      </c>
      <c r="AP22" s="427">
        <v>47.560847762112196</v>
      </c>
      <c r="AQ22" s="451">
        <v>2</v>
      </c>
      <c r="AR22" s="442"/>
      <c r="AS22" s="428">
        <v>7.1</v>
      </c>
      <c r="AT22" s="451" t="s">
        <v>232</v>
      </c>
      <c r="AU22" s="500">
        <f t="shared" si="6"/>
        <v>7.0999999999999943</v>
      </c>
      <c r="AV22" s="500">
        <f t="shared" si="7"/>
        <v>7.5</v>
      </c>
      <c r="AW22" s="500">
        <f t="shared" si="8"/>
        <v>11.75</v>
      </c>
      <c r="AX22" s="501">
        <f t="shared" si="9"/>
        <v>7.5</v>
      </c>
      <c r="AY22" s="500"/>
      <c r="AZ22" s="500"/>
      <c r="BA22" s="30">
        <v>104.25</v>
      </c>
      <c r="BB22" s="507">
        <v>0</v>
      </c>
      <c r="BC22" s="507">
        <v>5.8479532163742673</v>
      </c>
      <c r="BD22" s="284" t="str">
        <f t="shared" si="10"/>
        <v>OK</v>
      </c>
      <c r="BE22" s="284" t="str">
        <f t="shared" si="11"/>
        <v>OK</v>
      </c>
    </row>
    <row r="23" spans="1:57">
      <c r="A23" s="424">
        <v>11</v>
      </c>
      <c r="B23" s="425"/>
      <c r="C23" s="425"/>
      <c r="D23" s="425">
        <f t="shared" si="12"/>
        <v>0</v>
      </c>
      <c r="E23" s="425"/>
      <c r="F23" s="425"/>
      <c r="G23" s="425"/>
      <c r="H23" s="425"/>
      <c r="I23" s="425"/>
      <c r="J23" s="425"/>
      <c r="K23" s="425"/>
      <c r="L23" s="427">
        <f t="shared" si="2"/>
        <v>0</v>
      </c>
      <c r="M23" s="427">
        <f t="shared" si="3"/>
        <v>0</v>
      </c>
      <c r="N23" s="425"/>
      <c r="O23" s="425"/>
      <c r="P23" s="425"/>
      <c r="Q23" s="425"/>
      <c r="R23" s="430">
        <f t="shared" si="4"/>
        <v>100</v>
      </c>
      <c r="S23" s="430">
        <f>VLOOKUP(Y23,Hypothèses!$A$21:$C$156,3,0)</f>
        <v>100</v>
      </c>
      <c r="T23" s="424"/>
      <c r="U23" s="424">
        <v>1</v>
      </c>
      <c r="V23" s="424">
        <v>1</v>
      </c>
      <c r="W23" s="283">
        <f t="shared" si="5"/>
        <v>1</v>
      </c>
      <c r="X23" s="424"/>
      <c r="Y23" s="424">
        <v>1</v>
      </c>
      <c r="Z23" s="426">
        <v>1</v>
      </c>
      <c r="AA23" s="427">
        <v>0</v>
      </c>
      <c r="AB23" s="427">
        <v>60</v>
      </c>
      <c r="AC23" s="427">
        <v>90</v>
      </c>
      <c r="AD23" s="427">
        <v>0</v>
      </c>
      <c r="AE23" s="427">
        <v>74.178655900822349</v>
      </c>
      <c r="AF23" s="427">
        <v>60.691627555218282</v>
      </c>
      <c r="AG23" s="427">
        <v>99.275920340379713</v>
      </c>
      <c r="AH23" s="427">
        <v>109.20351237441768</v>
      </c>
      <c r="AI23" s="427">
        <v>0</v>
      </c>
      <c r="AJ23" s="427">
        <v>0</v>
      </c>
      <c r="AK23" s="427">
        <v>0</v>
      </c>
      <c r="AL23" s="427">
        <v>0</v>
      </c>
      <c r="AM23" s="427">
        <v>31.779293731956784</v>
      </c>
      <c r="AN23" s="427">
        <v>11.535883624700311</v>
      </c>
      <c r="AO23" s="427">
        <v>43.425121869754619</v>
      </c>
      <c r="AP23" s="427">
        <v>47.560847762112196</v>
      </c>
      <c r="AQ23" s="451">
        <v>2</v>
      </c>
      <c r="AR23" s="442"/>
      <c r="AS23" s="428">
        <v>7.1</v>
      </c>
      <c r="AT23" s="451" t="s">
        <v>232</v>
      </c>
      <c r="AU23" s="500">
        <f t="shared" si="6"/>
        <v>7.0999999999999943</v>
      </c>
      <c r="AV23" s="500">
        <f t="shared" si="7"/>
        <v>7.5</v>
      </c>
      <c r="AW23" s="500">
        <f t="shared" si="8"/>
        <v>11.75</v>
      </c>
      <c r="AX23" s="501">
        <f t="shared" si="9"/>
        <v>7.5</v>
      </c>
      <c r="AY23" s="500"/>
      <c r="AZ23" s="500"/>
      <c r="BA23" s="30">
        <v>104.25</v>
      </c>
      <c r="BB23" s="507">
        <v>0</v>
      </c>
      <c r="BC23" s="507">
        <v>5.8479532163742673</v>
      </c>
      <c r="BD23" s="284" t="str">
        <f t="shared" si="10"/>
        <v>OK</v>
      </c>
      <c r="BE23" s="284" t="str">
        <f t="shared" si="11"/>
        <v>OK</v>
      </c>
    </row>
    <row r="24" spans="1:57">
      <c r="A24" s="424">
        <v>12</v>
      </c>
      <c r="B24" s="425"/>
      <c r="C24" s="425"/>
      <c r="D24" s="425">
        <f t="shared" si="12"/>
        <v>0</v>
      </c>
      <c r="E24" s="425"/>
      <c r="F24" s="425"/>
      <c r="G24" s="425"/>
      <c r="H24" s="425"/>
      <c r="I24" s="425"/>
      <c r="J24" s="425"/>
      <c r="K24" s="425"/>
      <c r="L24" s="427">
        <f t="shared" si="2"/>
        <v>0</v>
      </c>
      <c r="M24" s="427">
        <f t="shared" si="3"/>
        <v>0</v>
      </c>
      <c r="N24" s="425"/>
      <c r="O24" s="425"/>
      <c r="P24" s="425"/>
      <c r="Q24" s="425"/>
      <c r="R24" s="430">
        <f t="shared" si="4"/>
        <v>100</v>
      </c>
      <c r="S24" s="430">
        <f>VLOOKUP(Y24,Hypothèses!$A$21:$C$156,3,0)</f>
        <v>100</v>
      </c>
      <c r="T24" s="424"/>
      <c r="U24" s="424">
        <v>1</v>
      </c>
      <c r="V24" s="424">
        <v>1</v>
      </c>
      <c r="W24" s="283">
        <f t="shared" si="5"/>
        <v>1</v>
      </c>
      <c r="X24" s="424"/>
      <c r="Y24" s="424">
        <v>1</v>
      </c>
      <c r="Z24" s="426">
        <v>1</v>
      </c>
      <c r="AA24" s="427">
        <v>0</v>
      </c>
      <c r="AB24" s="427">
        <v>60</v>
      </c>
      <c r="AC24" s="427">
        <v>90</v>
      </c>
      <c r="AD24" s="427">
        <v>0</v>
      </c>
      <c r="AE24" s="427">
        <v>74.178655900822349</v>
      </c>
      <c r="AF24" s="427">
        <v>60.691627555218282</v>
      </c>
      <c r="AG24" s="427">
        <v>99.275920340379713</v>
      </c>
      <c r="AH24" s="427">
        <v>109.20351237441768</v>
      </c>
      <c r="AI24" s="427">
        <v>0</v>
      </c>
      <c r="AJ24" s="427">
        <v>0</v>
      </c>
      <c r="AK24" s="427">
        <v>0</v>
      </c>
      <c r="AL24" s="427">
        <v>0</v>
      </c>
      <c r="AM24" s="427">
        <v>31.779293731956784</v>
      </c>
      <c r="AN24" s="427">
        <v>11.535883624700311</v>
      </c>
      <c r="AO24" s="427">
        <v>43.425121869754619</v>
      </c>
      <c r="AP24" s="427">
        <v>47.560847762112196</v>
      </c>
      <c r="AQ24" s="451">
        <v>2</v>
      </c>
      <c r="AR24" s="442"/>
      <c r="AS24" s="428">
        <v>7.1</v>
      </c>
      <c r="AT24" s="451" t="s">
        <v>232</v>
      </c>
      <c r="AU24" s="500">
        <f t="shared" si="6"/>
        <v>7.0999999999999943</v>
      </c>
      <c r="AV24" s="500">
        <f t="shared" si="7"/>
        <v>7.5</v>
      </c>
      <c r="AW24" s="500">
        <f t="shared" si="8"/>
        <v>11.75</v>
      </c>
      <c r="AX24" s="501">
        <f t="shared" si="9"/>
        <v>7.5</v>
      </c>
      <c r="AY24" s="500"/>
      <c r="AZ24" s="500"/>
      <c r="BA24" s="30">
        <v>104.25</v>
      </c>
      <c r="BB24" s="507">
        <v>0</v>
      </c>
      <c r="BC24" s="507">
        <v>5.8479532163742673</v>
      </c>
      <c r="BD24" s="284" t="str">
        <f t="shared" si="10"/>
        <v>OK</v>
      </c>
      <c r="BE24" s="284" t="str">
        <f t="shared" si="11"/>
        <v>OK</v>
      </c>
    </row>
    <row r="25" spans="1:57">
      <c r="A25" s="424">
        <v>13</v>
      </c>
      <c r="B25" s="425"/>
      <c r="C25" s="425"/>
      <c r="D25" s="425">
        <f t="shared" si="12"/>
        <v>0</v>
      </c>
      <c r="E25" s="425"/>
      <c r="F25" s="425"/>
      <c r="G25" s="425"/>
      <c r="H25" s="425"/>
      <c r="I25" s="425"/>
      <c r="J25" s="425"/>
      <c r="K25" s="425"/>
      <c r="L25" s="427">
        <f t="shared" si="2"/>
        <v>0</v>
      </c>
      <c r="M25" s="427">
        <f t="shared" si="3"/>
        <v>0</v>
      </c>
      <c r="N25" s="425"/>
      <c r="O25" s="425"/>
      <c r="P25" s="425"/>
      <c r="Q25" s="425"/>
      <c r="R25" s="430">
        <f t="shared" si="4"/>
        <v>100</v>
      </c>
      <c r="S25" s="430">
        <f>VLOOKUP(Y25,Hypothèses!$A$21:$C$156,3,0)</f>
        <v>100</v>
      </c>
      <c r="T25" s="424"/>
      <c r="U25" s="424">
        <v>1</v>
      </c>
      <c r="V25" s="424">
        <v>1</v>
      </c>
      <c r="W25" s="283">
        <f t="shared" si="5"/>
        <v>1</v>
      </c>
      <c r="X25" s="424"/>
      <c r="Y25" s="424">
        <v>1</v>
      </c>
      <c r="Z25" s="426">
        <v>1</v>
      </c>
      <c r="AA25" s="427">
        <v>0</v>
      </c>
      <c r="AB25" s="427">
        <v>60</v>
      </c>
      <c r="AC25" s="427">
        <v>90</v>
      </c>
      <c r="AD25" s="427">
        <v>0</v>
      </c>
      <c r="AE25" s="427">
        <v>74.178655900822349</v>
      </c>
      <c r="AF25" s="427">
        <v>60.691627555218282</v>
      </c>
      <c r="AG25" s="427">
        <v>99.275920340379713</v>
      </c>
      <c r="AH25" s="427">
        <v>109.20351237441768</v>
      </c>
      <c r="AI25" s="427">
        <v>0</v>
      </c>
      <c r="AJ25" s="427">
        <v>0</v>
      </c>
      <c r="AK25" s="427">
        <v>0</v>
      </c>
      <c r="AL25" s="427">
        <v>0</v>
      </c>
      <c r="AM25" s="427">
        <v>31.779293731956784</v>
      </c>
      <c r="AN25" s="427">
        <v>11.535883624700311</v>
      </c>
      <c r="AO25" s="427">
        <v>43.425121869754619</v>
      </c>
      <c r="AP25" s="427">
        <v>47.560847762112196</v>
      </c>
      <c r="AQ25" s="451">
        <v>2</v>
      </c>
      <c r="AR25" s="442"/>
      <c r="AS25" s="428">
        <v>7.1</v>
      </c>
      <c r="AT25" s="451" t="s">
        <v>232</v>
      </c>
      <c r="AU25" s="500">
        <f t="shared" si="6"/>
        <v>7.0999999999999943</v>
      </c>
      <c r="AV25" s="500">
        <f t="shared" si="7"/>
        <v>7.5</v>
      </c>
      <c r="AW25" s="500">
        <f t="shared" si="8"/>
        <v>11.75</v>
      </c>
      <c r="AX25" s="501">
        <f t="shared" si="9"/>
        <v>7.5</v>
      </c>
      <c r="AY25" s="500"/>
      <c r="AZ25" s="500"/>
      <c r="BA25" s="30">
        <v>104.25</v>
      </c>
      <c r="BB25" s="507">
        <v>0</v>
      </c>
      <c r="BC25" s="507">
        <v>5.8479532163742673</v>
      </c>
      <c r="BD25" s="284" t="str">
        <f t="shared" si="10"/>
        <v>OK</v>
      </c>
      <c r="BE25" s="284" t="str">
        <f t="shared" si="11"/>
        <v>OK</v>
      </c>
    </row>
    <row r="26" spans="1:57">
      <c r="A26" s="424">
        <v>14</v>
      </c>
      <c r="B26" s="425"/>
      <c r="C26" s="425"/>
      <c r="D26" s="425">
        <f t="shared" si="12"/>
        <v>0</v>
      </c>
      <c r="E26" s="425"/>
      <c r="F26" s="425"/>
      <c r="G26" s="425"/>
      <c r="H26" s="425"/>
      <c r="I26" s="425"/>
      <c r="J26" s="425"/>
      <c r="K26" s="425"/>
      <c r="L26" s="427">
        <f t="shared" si="2"/>
        <v>0</v>
      </c>
      <c r="M26" s="427">
        <f t="shared" si="3"/>
        <v>0</v>
      </c>
      <c r="N26" s="425"/>
      <c r="O26" s="425"/>
      <c r="P26" s="425"/>
      <c r="Q26" s="425"/>
      <c r="R26" s="430">
        <f t="shared" si="4"/>
        <v>100</v>
      </c>
      <c r="S26" s="430">
        <f>VLOOKUP(Y26,Hypothèses!$A$21:$C$156,3,0)</f>
        <v>100</v>
      </c>
      <c r="T26" s="424"/>
      <c r="U26" s="424">
        <v>1</v>
      </c>
      <c r="V26" s="424">
        <v>1</v>
      </c>
      <c r="W26" s="283">
        <f t="shared" si="5"/>
        <v>1</v>
      </c>
      <c r="X26" s="424"/>
      <c r="Y26" s="424">
        <v>1</v>
      </c>
      <c r="Z26" s="426">
        <v>1</v>
      </c>
      <c r="AA26" s="427">
        <v>0</v>
      </c>
      <c r="AB26" s="427">
        <v>60</v>
      </c>
      <c r="AC26" s="427">
        <v>90</v>
      </c>
      <c r="AD26" s="427">
        <v>0</v>
      </c>
      <c r="AE26" s="427">
        <v>74.178655900822349</v>
      </c>
      <c r="AF26" s="427">
        <v>60.691627555218282</v>
      </c>
      <c r="AG26" s="427">
        <v>99.275920340379713</v>
      </c>
      <c r="AH26" s="427">
        <v>109.20351237441768</v>
      </c>
      <c r="AI26" s="427">
        <v>0</v>
      </c>
      <c r="AJ26" s="427">
        <v>0</v>
      </c>
      <c r="AK26" s="427">
        <v>0</v>
      </c>
      <c r="AL26" s="427">
        <v>0</v>
      </c>
      <c r="AM26" s="427">
        <v>31.779293731956784</v>
      </c>
      <c r="AN26" s="427">
        <v>11.535883624700311</v>
      </c>
      <c r="AO26" s="427">
        <v>43.425121869754619</v>
      </c>
      <c r="AP26" s="427">
        <v>47.560847762112196</v>
      </c>
      <c r="AQ26" s="451">
        <v>2</v>
      </c>
      <c r="AR26" s="442"/>
      <c r="AS26" s="428">
        <v>7.1</v>
      </c>
      <c r="AT26" s="451" t="s">
        <v>232</v>
      </c>
      <c r="AU26" s="500">
        <f t="shared" si="6"/>
        <v>7.0999999999999943</v>
      </c>
      <c r="AV26" s="500">
        <f t="shared" si="7"/>
        <v>7.5</v>
      </c>
      <c r="AW26" s="500">
        <f t="shared" si="8"/>
        <v>11.75</v>
      </c>
      <c r="AX26" s="501">
        <f t="shared" si="9"/>
        <v>7.5</v>
      </c>
      <c r="AY26" s="500"/>
      <c r="AZ26" s="500"/>
      <c r="BA26" s="30">
        <v>104.25</v>
      </c>
      <c r="BB26" s="507">
        <v>0</v>
      </c>
      <c r="BC26" s="507">
        <v>5.8479532163742673</v>
      </c>
      <c r="BD26" s="284" t="str">
        <f t="shared" si="10"/>
        <v>OK</v>
      </c>
      <c r="BE26" s="284" t="str">
        <f t="shared" si="11"/>
        <v>OK</v>
      </c>
    </row>
    <row r="27" spans="1:57">
      <c r="A27" s="424">
        <v>15</v>
      </c>
      <c r="B27" s="425"/>
      <c r="C27" s="425"/>
      <c r="D27" s="425">
        <f t="shared" si="12"/>
        <v>0</v>
      </c>
      <c r="E27" s="425"/>
      <c r="F27" s="425"/>
      <c r="G27" s="425"/>
      <c r="H27" s="425"/>
      <c r="I27" s="425"/>
      <c r="J27" s="425"/>
      <c r="K27" s="425"/>
      <c r="L27" s="427">
        <f t="shared" si="2"/>
        <v>0</v>
      </c>
      <c r="M27" s="427">
        <f t="shared" si="3"/>
        <v>0</v>
      </c>
      <c r="N27" s="425"/>
      <c r="O27" s="425"/>
      <c r="P27" s="425"/>
      <c r="Q27" s="425"/>
      <c r="R27" s="430">
        <f t="shared" si="4"/>
        <v>100</v>
      </c>
      <c r="S27" s="430">
        <f>VLOOKUP(Y27,Hypothèses!$A$21:$C$156,3,0)</f>
        <v>100</v>
      </c>
      <c r="T27" s="424"/>
      <c r="U27" s="424">
        <v>1</v>
      </c>
      <c r="V27" s="424">
        <v>1</v>
      </c>
      <c r="W27" s="283">
        <f t="shared" si="5"/>
        <v>1</v>
      </c>
      <c r="X27" s="424"/>
      <c r="Y27" s="424">
        <v>1</v>
      </c>
      <c r="Z27" s="426">
        <v>1</v>
      </c>
      <c r="AA27" s="427">
        <v>0</v>
      </c>
      <c r="AB27" s="427">
        <v>60</v>
      </c>
      <c r="AC27" s="427">
        <v>90</v>
      </c>
      <c r="AD27" s="427">
        <v>0</v>
      </c>
      <c r="AE27" s="427">
        <v>74.178655900822349</v>
      </c>
      <c r="AF27" s="427">
        <v>60.691627555218282</v>
      </c>
      <c r="AG27" s="427">
        <v>99.275920340379713</v>
      </c>
      <c r="AH27" s="427">
        <v>109.20351237441768</v>
      </c>
      <c r="AI27" s="427">
        <v>0</v>
      </c>
      <c r="AJ27" s="427">
        <v>0</v>
      </c>
      <c r="AK27" s="427">
        <v>0</v>
      </c>
      <c r="AL27" s="427">
        <v>0</v>
      </c>
      <c r="AM27" s="427">
        <v>31.779293731956784</v>
      </c>
      <c r="AN27" s="427">
        <v>11.535883624700311</v>
      </c>
      <c r="AO27" s="427">
        <v>43.425121869754619</v>
      </c>
      <c r="AP27" s="427">
        <v>47.560847762112196</v>
      </c>
      <c r="AQ27" s="451">
        <v>2</v>
      </c>
      <c r="AR27" s="442"/>
      <c r="AS27" s="428">
        <v>7.1</v>
      </c>
      <c r="AT27" s="451" t="s">
        <v>232</v>
      </c>
      <c r="AU27" s="500">
        <f t="shared" si="6"/>
        <v>7.0999999999999943</v>
      </c>
      <c r="AV27" s="500">
        <f t="shared" si="7"/>
        <v>7.5</v>
      </c>
      <c r="AW27" s="500">
        <f t="shared" si="8"/>
        <v>11.75</v>
      </c>
      <c r="AX27" s="501">
        <f t="shared" si="9"/>
        <v>7.5</v>
      </c>
      <c r="AY27" s="500"/>
      <c r="AZ27" s="500"/>
      <c r="BA27" s="30">
        <v>104.25</v>
      </c>
      <c r="BB27" s="507">
        <v>0</v>
      </c>
      <c r="BC27" s="507">
        <v>5.8479532163742673</v>
      </c>
      <c r="BD27" s="284" t="str">
        <f t="shared" si="10"/>
        <v>OK</v>
      </c>
      <c r="BE27" s="284" t="str">
        <f t="shared" si="11"/>
        <v>OK</v>
      </c>
    </row>
    <row r="28" spans="1:57">
      <c r="A28" s="424">
        <v>16</v>
      </c>
      <c r="B28" s="425"/>
      <c r="C28" s="425"/>
      <c r="D28" s="425">
        <f t="shared" si="12"/>
        <v>0</v>
      </c>
      <c r="E28" s="425"/>
      <c r="F28" s="425"/>
      <c r="G28" s="425"/>
      <c r="H28" s="425"/>
      <c r="I28" s="425"/>
      <c r="J28" s="425"/>
      <c r="K28" s="425"/>
      <c r="L28" s="427">
        <f t="shared" si="2"/>
        <v>0</v>
      </c>
      <c r="M28" s="427">
        <f t="shared" si="3"/>
        <v>0</v>
      </c>
      <c r="N28" s="425"/>
      <c r="O28" s="425"/>
      <c r="P28" s="425"/>
      <c r="Q28" s="425"/>
      <c r="R28" s="430">
        <f t="shared" si="4"/>
        <v>100</v>
      </c>
      <c r="S28" s="430">
        <f>VLOOKUP(Y28,Hypothèses!$A$21:$C$156,3,0)</f>
        <v>100</v>
      </c>
      <c r="T28" s="424"/>
      <c r="U28" s="424">
        <v>1</v>
      </c>
      <c r="V28" s="424">
        <v>1</v>
      </c>
      <c r="W28" s="283">
        <f t="shared" si="5"/>
        <v>1</v>
      </c>
      <c r="X28" s="424"/>
      <c r="Y28" s="424">
        <v>1</v>
      </c>
      <c r="Z28" s="426">
        <v>1</v>
      </c>
      <c r="AA28" s="427">
        <v>0</v>
      </c>
      <c r="AB28" s="427">
        <v>60</v>
      </c>
      <c r="AC28" s="427">
        <v>90</v>
      </c>
      <c r="AD28" s="427">
        <v>0</v>
      </c>
      <c r="AE28" s="427">
        <v>74.178655900822349</v>
      </c>
      <c r="AF28" s="427">
        <v>60.691627555218282</v>
      </c>
      <c r="AG28" s="427">
        <v>99.275920340379713</v>
      </c>
      <c r="AH28" s="427">
        <v>109.20351237441768</v>
      </c>
      <c r="AI28" s="427">
        <v>0</v>
      </c>
      <c r="AJ28" s="427">
        <v>0</v>
      </c>
      <c r="AK28" s="427">
        <v>0</v>
      </c>
      <c r="AL28" s="427">
        <v>0</v>
      </c>
      <c r="AM28" s="427">
        <v>31.779293731956784</v>
      </c>
      <c r="AN28" s="427">
        <v>11.535883624700311</v>
      </c>
      <c r="AO28" s="427">
        <v>43.425121869754619</v>
      </c>
      <c r="AP28" s="427">
        <v>47.560847762112196</v>
      </c>
      <c r="AQ28" s="451">
        <v>2</v>
      </c>
      <c r="AR28" s="442"/>
      <c r="AS28" s="428">
        <v>7.1</v>
      </c>
      <c r="AT28" s="451" t="s">
        <v>232</v>
      </c>
      <c r="AU28" s="500">
        <f t="shared" si="6"/>
        <v>7.0999999999999943</v>
      </c>
      <c r="AV28" s="500">
        <f t="shared" si="7"/>
        <v>7.5</v>
      </c>
      <c r="AW28" s="500">
        <f t="shared" si="8"/>
        <v>11.75</v>
      </c>
      <c r="AX28" s="501">
        <f t="shared" si="9"/>
        <v>7.5</v>
      </c>
      <c r="AY28" s="500"/>
      <c r="AZ28" s="500"/>
      <c r="BA28" s="30">
        <v>104.25</v>
      </c>
      <c r="BB28" s="507">
        <v>0</v>
      </c>
      <c r="BC28" s="507">
        <v>5.8479532163742673</v>
      </c>
      <c r="BD28" s="284" t="str">
        <f t="shared" si="10"/>
        <v>OK</v>
      </c>
      <c r="BE28" s="284" t="str">
        <f t="shared" si="11"/>
        <v>OK</v>
      </c>
    </row>
    <row r="29" spans="1:57">
      <c r="A29" s="424">
        <v>17</v>
      </c>
      <c r="B29" s="425"/>
      <c r="C29" s="425"/>
      <c r="D29" s="425">
        <f t="shared" si="12"/>
        <v>0</v>
      </c>
      <c r="E29" s="425"/>
      <c r="F29" s="425"/>
      <c r="G29" s="425"/>
      <c r="H29" s="425"/>
      <c r="I29" s="425"/>
      <c r="J29" s="425"/>
      <c r="K29" s="425"/>
      <c r="L29" s="427">
        <f t="shared" si="2"/>
        <v>0</v>
      </c>
      <c r="M29" s="427">
        <f t="shared" si="3"/>
        <v>0</v>
      </c>
      <c r="N29" s="425"/>
      <c r="O29" s="425"/>
      <c r="P29" s="425"/>
      <c r="Q29" s="425"/>
      <c r="R29" s="430">
        <f t="shared" si="4"/>
        <v>100</v>
      </c>
      <c r="S29" s="430">
        <f>VLOOKUP(Y29,Hypothèses!$A$21:$C$156,3,0)</f>
        <v>100</v>
      </c>
      <c r="T29" s="424"/>
      <c r="U29" s="424">
        <v>1</v>
      </c>
      <c r="V29" s="424">
        <v>1</v>
      </c>
      <c r="W29" s="283">
        <f t="shared" si="5"/>
        <v>1</v>
      </c>
      <c r="X29" s="424"/>
      <c r="Y29" s="424">
        <v>1</v>
      </c>
      <c r="Z29" s="426">
        <v>1</v>
      </c>
      <c r="AA29" s="427">
        <v>0</v>
      </c>
      <c r="AB29" s="427">
        <v>60</v>
      </c>
      <c r="AC29" s="427">
        <v>90</v>
      </c>
      <c r="AD29" s="427">
        <v>0</v>
      </c>
      <c r="AE29" s="427">
        <v>74.178655900822349</v>
      </c>
      <c r="AF29" s="427">
        <v>60.691627555218282</v>
      </c>
      <c r="AG29" s="427">
        <v>99.275920340379713</v>
      </c>
      <c r="AH29" s="427">
        <v>109.20351237441768</v>
      </c>
      <c r="AI29" s="427">
        <v>0</v>
      </c>
      <c r="AJ29" s="427">
        <v>0</v>
      </c>
      <c r="AK29" s="427">
        <v>0</v>
      </c>
      <c r="AL29" s="427">
        <v>0</v>
      </c>
      <c r="AM29" s="427">
        <v>31.779293731956784</v>
      </c>
      <c r="AN29" s="427">
        <v>11.535883624700311</v>
      </c>
      <c r="AO29" s="427">
        <v>43.425121869754619</v>
      </c>
      <c r="AP29" s="427">
        <v>47.560847762112196</v>
      </c>
      <c r="AQ29" s="451">
        <v>2</v>
      </c>
      <c r="AR29" s="442"/>
      <c r="AS29" s="428">
        <v>7.1</v>
      </c>
      <c r="AT29" s="451" t="s">
        <v>232</v>
      </c>
      <c r="AU29" s="500">
        <f t="shared" si="6"/>
        <v>7.0999999999999943</v>
      </c>
      <c r="AV29" s="500">
        <f t="shared" si="7"/>
        <v>7.5</v>
      </c>
      <c r="AW29" s="500">
        <f t="shared" si="8"/>
        <v>11.75</v>
      </c>
      <c r="AX29" s="501">
        <f t="shared" si="9"/>
        <v>7.5</v>
      </c>
      <c r="AY29" s="500"/>
      <c r="AZ29" s="500"/>
      <c r="BA29" s="30">
        <v>104.25</v>
      </c>
      <c r="BB29" s="507">
        <v>0</v>
      </c>
      <c r="BC29" s="507">
        <v>5.8479532163742673</v>
      </c>
      <c r="BD29" s="284" t="str">
        <f t="shared" si="10"/>
        <v>OK</v>
      </c>
      <c r="BE29" s="284" t="str">
        <f t="shared" si="11"/>
        <v>OK</v>
      </c>
    </row>
    <row r="30" spans="1:57">
      <c r="A30" s="424">
        <v>18</v>
      </c>
      <c r="B30" s="425"/>
      <c r="C30" s="425"/>
      <c r="D30" s="425">
        <f t="shared" si="12"/>
        <v>0</v>
      </c>
      <c r="E30" s="425"/>
      <c r="F30" s="425"/>
      <c r="G30" s="425"/>
      <c r="H30" s="425"/>
      <c r="I30" s="425"/>
      <c r="J30" s="425"/>
      <c r="K30" s="425"/>
      <c r="L30" s="427">
        <f t="shared" si="2"/>
        <v>0</v>
      </c>
      <c r="M30" s="427">
        <f t="shared" si="3"/>
        <v>0</v>
      </c>
      <c r="N30" s="425"/>
      <c r="O30" s="425"/>
      <c r="P30" s="425"/>
      <c r="Q30" s="425"/>
      <c r="R30" s="430">
        <f t="shared" si="4"/>
        <v>100</v>
      </c>
      <c r="S30" s="430">
        <f>VLOOKUP(Y30,Hypothèses!$A$21:$C$156,3,0)</f>
        <v>100</v>
      </c>
      <c r="T30" s="424"/>
      <c r="U30" s="424">
        <v>1</v>
      </c>
      <c r="V30" s="424">
        <v>1</v>
      </c>
      <c r="W30" s="283">
        <f t="shared" si="5"/>
        <v>1</v>
      </c>
      <c r="X30" s="424"/>
      <c r="Y30" s="424">
        <v>1</v>
      </c>
      <c r="Z30" s="426">
        <v>1</v>
      </c>
      <c r="AA30" s="427">
        <v>0</v>
      </c>
      <c r="AB30" s="427">
        <v>60</v>
      </c>
      <c r="AC30" s="427">
        <v>90</v>
      </c>
      <c r="AD30" s="427">
        <v>0</v>
      </c>
      <c r="AE30" s="427">
        <v>74.178655900822349</v>
      </c>
      <c r="AF30" s="427">
        <v>60.691627555218282</v>
      </c>
      <c r="AG30" s="427">
        <v>99.275920340379713</v>
      </c>
      <c r="AH30" s="427">
        <v>109.20351237441768</v>
      </c>
      <c r="AI30" s="427">
        <v>0</v>
      </c>
      <c r="AJ30" s="427">
        <v>0</v>
      </c>
      <c r="AK30" s="427">
        <v>0</v>
      </c>
      <c r="AL30" s="427">
        <v>0</v>
      </c>
      <c r="AM30" s="427">
        <v>31.779293731956784</v>
      </c>
      <c r="AN30" s="427">
        <v>11.535883624700311</v>
      </c>
      <c r="AO30" s="427">
        <v>43.425121869754619</v>
      </c>
      <c r="AP30" s="427">
        <v>47.560847762112196</v>
      </c>
      <c r="AQ30" s="451">
        <v>2</v>
      </c>
      <c r="AR30" s="442"/>
      <c r="AS30" s="428">
        <v>7.1</v>
      </c>
      <c r="AT30" s="451" t="s">
        <v>232</v>
      </c>
      <c r="AU30" s="500">
        <f t="shared" si="6"/>
        <v>7.0999999999999943</v>
      </c>
      <c r="AV30" s="500">
        <f t="shared" si="7"/>
        <v>7.5</v>
      </c>
      <c r="AW30" s="500">
        <f t="shared" si="8"/>
        <v>11.75</v>
      </c>
      <c r="AX30" s="501">
        <f t="shared" si="9"/>
        <v>7.5</v>
      </c>
      <c r="AY30" s="500"/>
      <c r="AZ30" s="500"/>
      <c r="BA30" s="30">
        <v>104.25</v>
      </c>
      <c r="BB30" s="507">
        <v>0</v>
      </c>
      <c r="BC30" s="507">
        <v>5.8479532163742673</v>
      </c>
      <c r="BD30" s="284" t="str">
        <f t="shared" si="10"/>
        <v>OK</v>
      </c>
      <c r="BE30" s="284" t="str">
        <f t="shared" si="11"/>
        <v>OK</v>
      </c>
    </row>
    <row r="31" spans="1:57">
      <c r="A31" s="424">
        <v>19</v>
      </c>
      <c r="B31" s="425"/>
      <c r="C31" s="425"/>
      <c r="D31" s="425">
        <f t="shared" si="12"/>
        <v>0</v>
      </c>
      <c r="E31" s="425"/>
      <c r="F31" s="425"/>
      <c r="G31" s="425"/>
      <c r="H31" s="425"/>
      <c r="I31" s="425"/>
      <c r="J31" s="425"/>
      <c r="K31" s="425"/>
      <c r="L31" s="427">
        <f t="shared" si="2"/>
        <v>0</v>
      </c>
      <c r="M31" s="427">
        <f t="shared" si="3"/>
        <v>0</v>
      </c>
      <c r="N31" s="425"/>
      <c r="O31" s="425"/>
      <c r="P31" s="425"/>
      <c r="Q31" s="425"/>
      <c r="R31" s="430">
        <f t="shared" si="4"/>
        <v>100</v>
      </c>
      <c r="S31" s="430">
        <f>VLOOKUP(Y31,Hypothèses!$A$21:$C$156,3,0)</f>
        <v>100</v>
      </c>
      <c r="T31" s="424"/>
      <c r="U31" s="424">
        <v>1</v>
      </c>
      <c r="V31" s="424">
        <v>1</v>
      </c>
      <c r="W31" s="283">
        <f t="shared" si="5"/>
        <v>1</v>
      </c>
      <c r="X31" s="424"/>
      <c r="Y31" s="424">
        <v>1</v>
      </c>
      <c r="Z31" s="426">
        <v>1</v>
      </c>
      <c r="AA31" s="427">
        <v>0</v>
      </c>
      <c r="AB31" s="427">
        <v>60</v>
      </c>
      <c r="AC31" s="427">
        <v>90</v>
      </c>
      <c r="AD31" s="427">
        <v>0</v>
      </c>
      <c r="AE31" s="427">
        <v>74.178655900822349</v>
      </c>
      <c r="AF31" s="427">
        <v>60.691627555218282</v>
      </c>
      <c r="AG31" s="427">
        <v>99.275920340379713</v>
      </c>
      <c r="AH31" s="427">
        <v>109.20351237441768</v>
      </c>
      <c r="AI31" s="427">
        <v>0</v>
      </c>
      <c r="AJ31" s="427">
        <v>0</v>
      </c>
      <c r="AK31" s="427">
        <v>0</v>
      </c>
      <c r="AL31" s="427">
        <v>0</v>
      </c>
      <c r="AM31" s="427">
        <v>31.779293731956784</v>
      </c>
      <c r="AN31" s="427">
        <v>11.535883624700311</v>
      </c>
      <c r="AO31" s="427">
        <v>43.425121869754619</v>
      </c>
      <c r="AP31" s="427">
        <v>47.560847762112196</v>
      </c>
      <c r="AQ31" s="451">
        <v>2</v>
      </c>
      <c r="AR31" s="442"/>
      <c r="AS31" s="428">
        <v>7.1</v>
      </c>
      <c r="AT31" s="451" t="s">
        <v>232</v>
      </c>
      <c r="AU31" s="500">
        <f t="shared" si="6"/>
        <v>7.0999999999999943</v>
      </c>
      <c r="AV31" s="500">
        <f t="shared" si="7"/>
        <v>7.5</v>
      </c>
      <c r="AW31" s="500">
        <f t="shared" si="8"/>
        <v>11.75</v>
      </c>
      <c r="AX31" s="501">
        <f t="shared" si="9"/>
        <v>7.5</v>
      </c>
      <c r="AY31" s="500"/>
      <c r="AZ31" s="500"/>
      <c r="BA31" s="30">
        <v>104.25</v>
      </c>
      <c r="BB31" s="507">
        <v>0</v>
      </c>
      <c r="BC31" s="507">
        <v>5.8479532163742673</v>
      </c>
      <c r="BD31" s="284" t="str">
        <f t="shared" si="10"/>
        <v>OK</v>
      </c>
      <c r="BE31" s="284" t="str">
        <f t="shared" si="11"/>
        <v>OK</v>
      </c>
    </row>
    <row r="32" spans="1:57">
      <c r="A32" s="424">
        <v>20</v>
      </c>
      <c r="B32" s="425"/>
      <c r="C32" s="425"/>
      <c r="D32" s="425">
        <f t="shared" si="12"/>
        <v>0</v>
      </c>
      <c r="E32" s="425"/>
      <c r="F32" s="425"/>
      <c r="G32" s="425"/>
      <c r="H32" s="425"/>
      <c r="I32" s="425"/>
      <c r="J32" s="425"/>
      <c r="K32" s="425"/>
      <c r="L32" s="427">
        <f t="shared" si="2"/>
        <v>0</v>
      </c>
      <c r="M32" s="427">
        <f t="shared" si="3"/>
        <v>0</v>
      </c>
      <c r="N32" s="425"/>
      <c r="O32" s="425"/>
      <c r="P32" s="425"/>
      <c r="Q32" s="425"/>
      <c r="R32" s="430">
        <f t="shared" si="4"/>
        <v>100</v>
      </c>
      <c r="S32" s="430">
        <f>VLOOKUP(Y32,Hypothèses!$A$21:$C$156,3,0)</f>
        <v>100</v>
      </c>
      <c r="T32" s="424"/>
      <c r="U32" s="424">
        <v>1</v>
      </c>
      <c r="V32" s="424">
        <v>1</v>
      </c>
      <c r="W32" s="283">
        <f t="shared" si="5"/>
        <v>1</v>
      </c>
      <c r="X32" s="424"/>
      <c r="Y32" s="424">
        <v>1</v>
      </c>
      <c r="Z32" s="426">
        <v>1</v>
      </c>
      <c r="AA32" s="427">
        <v>0</v>
      </c>
      <c r="AB32" s="427">
        <v>60</v>
      </c>
      <c r="AC32" s="427">
        <v>90</v>
      </c>
      <c r="AD32" s="427">
        <v>0</v>
      </c>
      <c r="AE32" s="427">
        <v>74.178655900822349</v>
      </c>
      <c r="AF32" s="427">
        <v>60.691627555218282</v>
      </c>
      <c r="AG32" s="427">
        <v>99.275920340379713</v>
      </c>
      <c r="AH32" s="427">
        <v>109.20351237441768</v>
      </c>
      <c r="AI32" s="427">
        <v>0</v>
      </c>
      <c r="AJ32" s="427">
        <v>0</v>
      </c>
      <c r="AK32" s="427">
        <v>0</v>
      </c>
      <c r="AL32" s="427">
        <v>0</v>
      </c>
      <c r="AM32" s="427">
        <v>31.779293731956784</v>
      </c>
      <c r="AN32" s="427">
        <v>11.535883624700311</v>
      </c>
      <c r="AO32" s="427">
        <v>43.425121869754619</v>
      </c>
      <c r="AP32" s="427">
        <v>47.560847762112196</v>
      </c>
      <c r="AQ32" s="451">
        <v>2</v>
      </c>
      <c r="AR32" s="442"/>
      <c r="AS32" s="428">
        <v>7.1</v>
      </c>
      <c r="AT32" s="451" t="s">
        <v>232</v>
      </c>
      <c r="AU32" s="500">
        <f t="shared" si="6"/>
        <v>7.0999999999999943</v>
      </c>
      <c r="AV32" s="500">
        <f t="shared" si="7"/>
        <v>7.5</v>
      </c>
      <c r="AW32" s="500">
        <f t="shared" si="8"/>
        <v>11.75</v>
      </c>
      <c r="AX32" s="501">
        <f t="shared" si="9"/>
        <v>7.5</v>
      </c>
      <c r="AY32" s="500"/>
      <c r="AZ32" s="500"/>
      <c r="BA32" s="30">
        <v>104.25</v>
      </c>
      <c r="BB32" s="507">
        <v>0</v>
      </c>
      <c r="BC32" s="507">
        <v>5.8479532163742673</v>
      </c>
      <c r="BD32" s="284" t="str">
        <f t="shared" si="10"/>
        <v>OK</v>
      </c>
      <c r="BE32" s="284" t="str">
        <f t="shared" si="11"/>
        <v>OK</v>
      </c>
    </row>
    <row r="33" spans="1:57">
      <c r="A33" s="424">
        <v>21</v>
      </c>
      <c r="B33" s="425"/>
      <c r="C33" s="425"/>
      <c r="D33" s="425">
        <f t="shared" si="12"/>
        <v>0</v>
      </c>
      <c r="E33" s="425"/>
      <c r="F33" s="425"/>
      <c r="G33" s="425"/>
      <c r="H33" s="425"/>
      <c r="I33" s="425"/>
      <c r="J33" s="425"/>
      <c r="K33" s="425"/>
      <c r="L33" s="427">
        <f t="shared" si="2"/>
        <v>0</v>
      </c>
      <c r="M33" s="427">
        <f t="shared" si="3"/>
        <v>0</v>
      </c>
      <c r="N33" s="425"/>
      <c r="O33" s="425"/>
      <c r="P33" s="425"/>
      <c r="Q33" s="425"/>
      <c r="R33" s="430">
        <f t="shared" si="4"/>
        <v>100</v>
      </c>
      <c r="S33" s="430">
        <f>VLOOKUP(Y33,Hypothèses!$A$21:$C$156,3,0)</f>
        <v>100</v>
      </c>
      <c r="T33" s="424"/>
      <c r="U33" s="424">
        <v>1</v>
      </c>
      <c r="V33" s="424">
        <v>1</v>
      </c>
      <c r="W33" s="283">
        <f t="shared" si="5"/>
        <v>1</v>
      </c>
      <c r="X33" s="424"/>
      <c r="Y33" s="424">
        <v>1</v>
      </c>
      <c r="Z33" s="426">
        <v>1</v>
      </c>
      <c r="AA33" s="427">
        <v>0</v>
      </c>
      <c r="AB33" s="427">
        <v>60</v>
      </c>
      <c r="AC33" s="427">
        <v>90</v>
      </c>
      <c r="AD33" s="427">
        <v>0</v>
      </c>
      <c r="AE33" s="427">
        <v>74.178655900822349</v>
      </c>
      <c r="AF33" s="427">
        <v>60.691627555218282</v>
      </c>
      <c r="AG33" s="427">
        <v>99.275920340379713</v>
      </c>
      <c r="AH33" s="427">
        <v>109.20351237441768</v>
      </c>
      <c r="AI33" s="427">
        <v>0</v>
      </c>
      <c r="AJ33" s="427">
        <v>0</v>
      </c>
      <c r="AK33" s="427">
        <v>0</v>
      </c>
      <c r="AL33" s="427">
        <v>0</v>
      </c>
      <c r="AM33" s="427">
        <v>31.779293731956784</v>
      </c>
      <c r="AN33" s="427">
        <v>11.535883624700311</v>
      </c>
      <c r="AO33" s="427">
        <v>43.425121869754619</v>
      </c>
      <c r="AP33" s="427">
        <v>47.560847762112196</v>
      </c>
      <c r="AQ33" s="451">
        <v>2</v>
      </c>
      <c r="AR33" s="442"/>
      <c r="AS33" s="428">
        <v>7.1</v>
      </c>
      <c r="AT33" s="451" t="s">
        <v>232</v>
      </c>
      <c r="AU33" s="500">
        <f t="shared" si="6"/>
        <v>7.0999999999999943</v>
      </c>
      <c r="AV33" s="500">
        <f t="shared" si="7"/>
        <v>7.5</v>
      </c>
      <c r="AW33" s="500">
        <f t="shared" si="8"/>
        <v>11.75</v>
      </c>
      <c r="AX33" s="501">
        <f t="shared" si="9"/>
        <v>7.5</v>
      </c>
      <c r="AY33" s="500"/>
      <c r="AZ33" s="500"/>
      <c r="BA33" s="30">
        <v>104.25</v>
      </c>
      <c r="BB33" s="507">
        <v>0</v>
      </c>
      <c r="BC33" s="507">
        <v>5.8479532163742673</v>
      </c>
      <c r="BD33" s="284" t="str">
        <f t="shared" si="10"/>
        <v>OK</v>
      </c>
      <c r="BE33" s="284" t="str">
        <f t="shared" si="11"/>
        <v>OK</v>
      </c>
    </row>
    <row r="34" spans="1:57">
      <c r="A34" s="424">
        <v>22</v>
      </c>
      <c r="B34" s="425"/>
      <c r="C34" s="425"/>
      <c r="D34" s="425">
        <f t="shared" si="12"/>
        <v>0</v>
      </c>
      <c r="E34" s="425"/>
      <c r="F34" s="425"/>
      <c r="G34" s="425"/>
      <c r="H34" s="425"/>
      <c r="I34" s="425"/>
      <c r="J34" s="425"/>
      <c r="K34" s="425"/>
      <c r="L34" s="427">
        <f t="shared" si="2"/>
        <v>0</v>
      </c>
      <c r="M34" s="427">
        <f t="shared" si="3"/>
        <v>0</v>
      </c>
      <c r="N34" s="425"/>
      <c r="O34" s="425"/>
      <c r="P34" s="425"/>
      <c r="Q34" s="425"/>
      <c r="R34" s="430">
        <f t="shared" si="4"/>
        <v>100</v>
      </c>
      <c r="S34" s="430">
        <f>VLOOKUP(Y34,Hypothèses!$A$21:$C$156,3,0)</f>
        <v>100</v>
      </c>
      <c r="T34" s="424"/>
      <c r="U34" s="424">
        <v>1</v>
      </c>
      <c r="V34" s="424">
        <v>1</v>
      </c>
      <c r="W34" s="283">
        <f t="shared" si="5"/>
        <v>1</v>
      </c>
      <c r="X34" s="424"/>
      <c r="Y34" s="424">
        <v>1</v>
      </c>
      <c r="Z34" s="426">
        <v>1</v>
      </c>
      <c r="AA34" s="427">
        <v>0</v>
      </c>
      <c r="AB34" s="427">
        <v>60</v>
      </c>
      <c r="AC34" s="427">
        <v>90</v>
      </c>
      <c r="AD34" s="427">
        <v>0</v>
      </c>
      <c r="AE34" s="427">
        <v>74.178655900822349</v>
      </c>
      <c r="AF34" s="427">
        <v>60.691627555218282</v>
      </c>
      <c r="AG34" s="427">
        <v>99.275920340379713</v>
      </c>
      <c r="AH34" s="427">
        <v>109.20351237441768</v>
      </c>
      <c r="AI34" s="427">
        <v>0</v>
      </c>
      <c r="AJ34" s="427">
        <v>0</v>
      </c>
      <c r="AK34" s="427">
        <v>0</v>
      </c>
      <c r="AL34" s="427">
        <v>0</v>
      </c>
      <c r="AM34" s="427">
        <v>31.779293731956784</v>
      </c>
      <c r="AN34" s="427">
        <v>11.535883624700311</v>
      </c>
      <c r="AO34" s="427">
        <v>43.425121869754619</v>
      </c>
      <c r="AP34" s="427">
        <v>47.560847762112196</v>
      </c>
      <c r="AQ34" s="451">
        <v>2</v>
      </c>
      <c r="AR34" s="442"/>
      <c r="AS34" s="428">
        <v>7.1</v>
      </c>
      <c r="AT34" s="451" t="s">
        <v>232</v>
      </c>
      <c r="AU34" s="500">
        <f t="shared" si="6"/>
        <v>7.0999999999999943</v>
      </c>
      <c r="AV34" s="500">
        <f t="shared" si="7"/>
        <v>7.5</v>
      </c>
      <c r="AW34" s="500">
        <f t="shared" si="8"/>
        <v>11.75</v>
      </c>
      <c r="AX34" s="501">
        <f t="shared" si="9"/>
        <v>7.5</v>
      </c>
      <c r="AY34" s="500"/>
      <c r="AZ34" s="500"/>
      <c r="BA34" s="30">
        <v>104.25</v>
      </c>
      <c r="BB34" s="507">
        <v>0</v>
      </c>
      <c r="BC34" s="507">
        <v>5.8479532163742673</v>
      </c>
      <c r="BD34" s="284" t="str">
        <f t="shared" si="10"/>
        <v>OK</v>
      </c>
      <c r="BE34" s="284" t="str">
        <f t="shared" si="11"/>
        <v>OK</v>
      </c>
    </row>
    <row r="35" spans="1:57">
      <c r="A35" s="424">
        <v>23</v>
      </c>
      <c r="B35" s="425"/>
      <c r="C35" s="425"/>
      <c r="D35" s="425">
        <f t="shared" si="12"/>
        <v>0</v>
      </c>
      <c r="E35" s="425"/>
      <c r="F35" s="425"/>
      <c r="G35" s="425"/>
      <c r="H35" s="425"/>
      <c r="I35" s="425"/>
      <c r="J35" s="425"/>
      <c r="K35" s="425"/>
      <c r="L35" s="427">
        <f t="shared" si="2"/>
        <v>0</v>
      </c>
      <c r="M35" s="427">
        <f t="shared" si="3"/>
        <v>0</v>
      </c>
      <c r="N35" s="425"/>
      <c r="O35" s="425"/>
      <c r="P35" s="425"/>
      <c r="Q35" s="425"/>
      <c r="R35" s="430">
        <f t="shared" si="4"/>
        <v>100</v>
      </c>
      <c r="S35" s="430">
        <f>VLOOKUP(Y35,Hypothèses!$A$21:$C$156,3,0)</f>
        <v>100</v>
      </c>
      <c r="T35" s="424"/>
      <c r="U35" s="424">
        <v>1</v>
      </c>
      <c r="V35" s="424">
        <v>1</v>
      </c>
      <c r="W35" s="283">
        <f t="shared" si="5"/>
        <v>1</v>
      </c>
      <c r="X35" s="424"/>
      <c r="Y35" s="424">
        <v>1</v>
      </c>
      <c r="Z35" s="426">
        <v>1</v>
      </c>
      <c r="AA35" s="427">
        <v>0</v>
      </c>
      <c r="AB35" s="427">
        <v>60</v>
      </c>
      <c r="AC35" s="427">
        <v>90</v>
      </c>
      <c r="AD35" s="427">
        <v>0</v>
      </c>
      <c r="AE35" s="427">
        <v>74.178655900822349</v>
      </c>
      <c r="AF35" s="427">
        <v>60.691627555218282</v>
      </c>
      <c r="AG35" s="427">
        <v>99.275920340379713</v>
      </c>
      <c r="AH35" s="427">
        <v>109.20351237441768</v>
      </c>
      <c r="AI35" s="427">
        <v>0</v>
      </c>
      <c r="AJ35" s="427">
        <v>0</v>
      </c>
      <c r="AK35" s="427">
        <v>0</v>
      </c>
      <c r="AL35" s="427">
        <v>0</v>
      </c>
      <c r="AM35" s="427">
        <v>31.779293731956784</v>
      </c>
      <c r="AN35" s="427">
        <v>11.535883624700311</v>
      </c>
      <c r="AO35" s="427">
        <v>43.425121869754619</v>
      </c>
      <c r="AP35" s="427">
        <v>47.560847762112196</v>
      </c>
      <c r="AQ35" s="451">
        <v>2</v>
      </c>
      <c r="AR35" s="442"/>
      <c r="AS35" s="428">
        <v>7.1</v>
      </c>
      <c r="AT35" s="451" t="s">
        <v>232</v>
      </c>
      <c r="AU35" s="500">
        <f t="shared" si="6"/>
        <v>7.0999999999999943</v>
      </c>
      <c r="AV35" s="500">
        <f t="shared" si="7"/>
        <v>7.5</v>
      </c>
      <c r="AW35" s="500">
        <f t="shared" si="8"/>
        <v>11.75</v>
      </c>
      <c r="AX35" s="501">
        <f t="shared" si="9"/>
        <v>7.5</v>
      </c>
      <c r="AY35" s="500"/>
      <c r="AZ35" s="500"/>
      <c r="BA35" s="30">
        <v>104.25</v>
      </c>
      <c r="BB35" s="507">
        <v>0</v>
      </c>
      <c r="BC35" s="507">
        <v>5.8479532163742673</v>
      </c>
      <c r="BD35" s="284" t="str">
        <f t="shared" si="10"/>
        <v>OK</v>
      </c>
      <c r="BE35" s="284" t="str">
        <f t="shared" si="11"/>
        <v>OK</v>
      </c>
    </row>
    <row r="36" spans="1:57">
      <c r="A36" s="424">
        <v>24</v>
      </c>
      <c r="B36" s="425"/>
      <c r="C36" s="425"/>
      <c r="D36" s="425">
        <f t="shared" si="12"/>
        <v>0</v>
      </c>
      <c r="E36" s="425"/>
      <c r="F36" s="425"/>
      <c r="G36" s="425"/>
      <c r="H36" s="425"/>
      <c r="I36" s="425"/>
      <c r="J36" s="425"/>
      <c r="K36" s="425"/>
      <c r="L36" s="427">
        <f t="shared" si="2"/>
        <v>0</v>
      </c>
      <c r="M36" s="427">
        <f t="shared" si="3"/>
        <v>0</v>
      </c>
      <c r="N36" s="425"/>
      <c r="O36" s="425"/>
      <c r="P36" s="425"/>
      <c r="Q36" s="425"/>
      <c r="R36" s="430">
        <f t="shared" si="4"/>
        <v>100</v>
      </c>
      <c r="S36" s="430">
        <f>VLOOKUP(Y36,Hypothèses!$A$21:$C$156,3,0)</f>
        <v>100</v>
      </c>
      <c r="T36" s="424"/>
      <c r="U36" s="424">
        <v>1</v>
      </c>
      <c r="V36" s="424">
        <v>1</v>
      </c>
      <c r="W36" s="283">
        <f t="shared" si="5"/>
        <v>1</v>
      </c>
      <c r="X36" s="424"/>
      <c r="Y36" s="424">
        <v>1</v>
      </c>
      <c r="Z36" s="426">
        <v>1</v>
      </c>
      <c r="AA36" s="427">
        <v>0</v>
      </c>
      <c r="AB36" s="427">
        <v>60</v>
      </c>
      <c r="AC36" s="427">
        <v>90</v>
      </c>
      <c r="AD36" s="427">
        <v>0</v>
      </c>
      <c r="AE36" s="427">
        <v>74.178655900822349</v>
      </c>
      <c r="AF36" s="427">
        <v>60.691627555218282</v>
      </c>
      <c r="AG36" s="427">
        <v>99.275920340379713</v>
      </c>
      <c r="AH36" s="427">
        <v>109.20351237441768</v>
      </c>
      <c r="AI36" s="427">
        <v>0</v>
      </c>
      <c r="AJ36" s="427">
        <v>0</v>
      </c>
      <c r="AK36" s="427">
        <v>0</v>
      </c>
      <c r="AL36" s="427">
        <v>0</v>
      </c>
      <c r="AM36" s="427">
        <v>31.779293731956784</v>
      </c>
      <c r="AN36" s="427">
        <v>11.535883624700311</v>
      </c>
      <c r="AO36" s="427">
        <v>43.425121869754619</v>
      </c>
      <c r="AP36" s="427">
        <v>47.560847762112196</v>
      </c>
      <c r="AQ36" s="451">
        <v>2</v>
      </c>
      <c r="AR36" s="442"/>
      <c r="AS36" s="428">
        <v>7.1</v>
      </c>
      <c r="AT36" s="451" t="s">
        <v>232</v>
      </c>
      <c r="AU36" s="500">
        <f t="shared" si="6"/>
        <v>7.0999999999999943</v>
      </c>
      <c r="AV36" s="500">
        <f t="shared" si="7"/>
        <v>7.5</v>
      </c>
      <c r="AW36" s="500">
        <f t="shared" si="8"/>
        <v>11.75</v>
      </c>
      <c r="AX36" s="501">
        <f t="shared" si="9"/>
        <v>7.5</v>
      </c>
      <c r="AY36" s="500"/>
      <c r="AZ36" s="500"/>
      <c r="BA36" s="30">
        <v>104.25</v>
      </c>
      <c r="BB36" s="507">
        <v>0</v>
      </c>
      <c r="BC36" s="507">
        <v>5.8479532163742673</v>
      </c>
      <c r="BD36" s="284" t="str">
        <f t="shared" si="10"/>
        <v>OK</v>
      </c>
      <c r="BE36" s="284" t="str">
        <f t="shared" si="11"/>
        <v>OK</v>
      </c>
    </row>
    <row r="37" spans="1:57">
      <c r="A37" s="424">
        <v>25</v>
      </c>
      <c r="B37" s="425"/>
      <c r="C37" s="425"/>
      <c r="D37" s="425">
        <f t="shared" si="12"/>
        <v>0</v>
      </c>
      <c r="E37" s="425"/>
      <c r="F37" s="425"/>
      <c r="G37" s="425"/>
      <c r="H37" s="425"/>
      <c r="I37" s="425"/>
      <c r="J37" s="425"/>
      <c r="K37" s="425"/>
      <c r="L37" s="427">
        <f t="shared" si="2"/>
        <v>0</v>
      </c>
      <c r="M37" s="427">
        <f t="shared" si="3"/>
        <v>0</v>
      </c>
      <c r="N37" s="425"/>
      <c r="O37" s="425"/>
      <c r="P37" s="425"/>
      <c r="Q37" s="425"/>
      <c r="R37" s="430">
        <f t="shared" si="4"/>
        <v>100</v>
      </c>
      <c r="S37" s="430">
        <f>VLOOKUP(Y37,Hypothèses!$A$21:$C$156,3,0)</f>
        <v>100</v>
      </c>
      <c r="T37" s="424"/>
      <c r="U37" s="424">
        <v>1</v>
      </c>
      <c r="V37" s="424">
        <v>1</v>
      </c>
      <c r="W37" s="283">
        <f t="shared" si="5"/>
        <v>1</v>
      </c>
      <c r="X37" s="424"/>
      <c r="Y37" s="424">
        <v>1</v>
      </c>
      <c r="Z37" s="426">
        <v>1</v>
      </c>
      <c r="AA37" s="427">
        <v>0</v>
      </c>
      <c r="AB37" s="427">
        <v>60</v>
      </c>
      <c r="AC37" s="427">
        <v>90</v>
      </c>
      <c r="AD37" s="427">
        <v>0</v>
      </c>
      <c r="AE37" s="427">
        <v>74.178655900822349</v>
      </c>
      <c r="AF37" s="427">
        <v>60.691627555218282</v>
      </c>
      <c r="AG37" s="427">
        <v>99.275920340379713</v>
      </c>
      <c r="AH37" s="427">
        <v>109.20351237441768</v>
      </c>
      <c r="AI37" s="427">
        <v>0</v>
      </c>
      <c r="AJ37" s="427">
        <v>0</v>
      </c>
      <c r="AK37" s="427">
        <v>0</v>
      </c>
      <c r="AL37" s="427">
        <v>0</v>
      </c>
      <c r="AM37" s="427">
        <v>31.779293731956784</v>
      </c>
      <c r="AN37" s="427">
        <v>11.535883624700311</v>
      </c>
      <c r="AO37" s="427">
        <v>43.425121869754619</v>
      </c>
      <c r="AP37" s="427">
        <v>47.560847762112196</v>
      </c>
      <c r="AQ37" s="451">
        <v>2</v>
      </c>
      <c r="AR37" s="442"/>
      <c r="AS37" s="428">
        <v>7.1</v>
      </c>
      <c r="AT37" s="451" t="s">
        <v>232</v>
      </c>
      <c r="AU37" s="500">
        <f t="shared" si="6"/>
        <v>7.0999999999999943</v>
      </c>
      <c r="AV37" s="500">
        <f t="shared" si="7"/>
        <v>7.5</v>
      </c>
      <c r="AW37" s="500">
        <f t="shared" si="8"/>
        <v>11.75</v>
      </c>
      <c r="AX37" s="501">
        <f t="shared" si="9"/>
        <v>7.5</v>
      </c>
      <c r="AY37" s="500"/>
      <c r="AZ37" s="500"/>
      <c r="BA37" s="30">
        <v>104.25</v>
      </c>
      <c r="BB37" s="507">
        <v>0</v>
      </c>
      <c r="BC37" s="507">
        <v>5.8479532163742673</v>
      </c>
      <c r="BD37" s="284" t="str">
        <f t="shared" si="10"/>
        <v>OK</v>
      </c>
      <c r="BE37" s="284" t="str">
        <f t="shared" si="11"/>
        <v>OK</v>
      </c>
    </row>
    <row r="38" spans="1:57">
      <c r="A38" s="424">
        <v>26</v>
      </c>
      <c r="B38" s="425"/>
      <c r="C38" s="425"/>
      <c r="D38" s="425">
        <f t="shared" si="12"/>
        <v>0</v>
      </c>
      <c r="E38" s="425"/>
      <c r="F38" s="425"/>
      <c r="G38" s="425"/>
      <c r="H38" s="425"/>
      <c r="I38" s="425"/>
      <c r="J38" s="425"/>
      <c r="K38" s="425"/>
      <c r="L38" s="427">
        <f t="shared" si="2"/>
        <v>0</v>
      </c>
      <c r="M38" s="427">
        <f t="shared" si="3"/>
        <v>0</v>
      </c>
      <c r="N38" s="425"/>
      <c r="O38" s="425"/>
      <c r="P38" s="425"/>
      <c r="Q38" s="425"/>
      <c r="R38" s="430">
        <f t="shared" si="4"/>
        <v>100</v>
      </c>
      <c r="S38" s="430">
        <f>VLOOKUP(Y38,Hypothèses!$A$21:$C$156,3,0)</f>
        <v>100</v>
      </c>
      <c r="T38" s="424"/>
      <c r="U38" s="424">
        <v>1</v>
      </c>
      <c r="V38" s="424">
        <v>1</v>
      </c>
      <c r="W38" s="283">
        <f t="shared" si="5"/>
        <v>1</v>
      </c>
      <c r="X38" s="424"/>
      <c r="Y38" s="424">
        <v>1</v>
      </c>
      <c r="Z38" s="426">
        <v>1</v>
      </c>
      <c r="AA38" s="427">
        <v>0</v>
      </c>
      <c r="AB38" s="427">
        <v>60</v>
      </c>
      <c r="AC38" s="427">
        <v>90</v>
      </c>
      <c r="AD38" s="427">
        <v>0</v>
      </c>
      <c r="AE38" s="427">
        <v>74.178655900822349</v>
      </c>
      <c r="AF38" s="427">
        <v>60.691627555218282</v>
      </c>
      <c r="AG38" s="427">
        <v>99.275920340379713</v>
      </c>
      <c r="AH38" s="427">
        <v>109.20351237441768</v>
      </c>
      <c r="AI38" s="427">
        <v>0</v>
      </c>
      <c r="AJ38" s="427">
        <v>0</v>
      </c>
      <c r="AK38" s="427">
        <v>0</v>
      </c>
      <c r="AL38" s="427">
        <v>0</v>
      </c>
      <c r="AM38" s="427">
        <v>31.779293731956784</v>
      </c>
      <c r="AN38" s="427">
        <v>11.535883624700311</v>
      </c>
      <c r="AO38" s="427">
        <v>43.425121869754619</v>
      </c>
      <c r="AP38" s="427">
        <v>47.560847762112196</v>
      </c>
      <c r="AQ38" s="451">
        <v>2</v>
      </c>
      <c r="AR38" s="442"/>
      <c r="AS38" s="428">
        <v>7.1</v>
      </c>
      <c r="AT38" s="451" t="s">
        <v>232</v>
      </c>
      <c r="AU38" s="500">
        <f t="shared" si="6"/>
        <v>7.0999999999999943</v>
      </c>
      <c r="AV38" s="500">
        <f t="shared" si="7"/>
        <v>7.5</v>
      </c>
      <c r="AW38" s="500">
        <f t="shared" si="8"/>
        <v>11.75</v>
      </c>
      <c r="AX38" s="501">
        <f t="shared" si="9"/>
        <v>7.5</v>
      </c>
      <c r="AY38" s="500"/>
      <c r="AZ38" s="500"/>
      <c r="BA38" s="30">
        <v>104.25</v>
      </c>
      <c r="BB38" s="507">
        <v>0</v>
      </c>
      <c r="BC38" s="507">
        <v>5.8479532163742673</v>
      </c>
      <c r="BD38" s="284" t="str">
        <f t="shared" si="10"/>
        <v>OK</v>
      </c>
      <c r="BE38" s="284" t="str">
        <f t="shared" si="11"/>
        <v>OK</v>
      </c>
    </row>
    <row r="39" spans="1:57">
      <c r="A39" s="424">
        <v>27</v>
      </c>
      <c r="B39" s="425"/>
      <c r="C39" s="425"/>
      <c r="D39" s="425">
        <f t="shared" si="12"/>
        <v>0</v>
      </c>
      <c r="E39" s="425"/>
      <c r="F39" s="425"/>
      <c r="G39" s="425"/>
      <c r="H39" s="425"/>
      <c r="I39" s="425"/>
      <c r="J39" s="425"/>
      <c r="K39" s="425"/>
      <c r="L39" s="427">
        <f t="shared" si="2"/>
        <v>0</v>
      </c>
      <c r="M39" s="427">
        <f t="shared" si="3"/>
        <v>0</v>
      </c>
      <c r="N39" s="425"/>
      <c r="O39" s="425"/>
      <c r="P39" s="425"/>
      <c r="Q39" s="425"/>
      <c r="R39" s="430">
        <f t="shared" si="4"/>
        <v>100</v>
      </c>
      <c r="S39" s="430">
        <f>VLOOKUP(Y39,Hypothèses!$A$21:$C$156,3,0)</f>
        <v>100</v>
      </c>
      <c r="T39" s="424"/>
      <c r="U39" s="424">
        <v>1</v>
      </c>
      <c r="V39" s="424">
        <v>1</v>
      </c>
      <c r="W39" s="283">
        <f t="shared" si="5"/>
        <v>1</v>
      </c>
      <c r="X39" s="424"/>
      <c r="Y39" s="424">
        <v>1</v>
      </c>
      <c r="Z39" s="426">
        <v>1</v>
      </c>
      <c r="AA39" s="427">
        <v>0</v>
      </c>
      <c r="AB39" s="427">
        <v>60</v>
      </c>
      <c r="AC39" s="427">
        <v>90</v>
      </c>
      <c r="AD39" s="427">
        <v>0</v>
      </c>
      <c r="AE39" s="427">
        <v>74.178655900822349</v>
      </c>
      <c r="AF39" s="427">
        <v>60.691627555218282</v>
      </c>
      <c r="AG39" s="427">
        <v>99.275920340379713</v>
      </c>
      <c r="AH39" s="427">
        <v>109.20351237441768</v>
      </c>
      <c r="AI39" s="427">
        <v>0</v>
      </c>
      <c r="AJ39" s="427">
        <v>0</v>
      </c>
      <c r="AK39" s="427">
        <v>0</v>
      </c>
      <c r="AL39" s="427">
        <v>0</v>
      </c>
      <c r="AM39" s="427">
        <v>31.779293731956784</v>
      </c>
      <c r="AN39" s="427">
        <v>11.535883624700311</v>
      </c>
      <c r="AO39" s="427">
        <v>43.425121869754619</v>
      </c>
      <c r="AP39" s="427">
        <v>47.560847762112196</v>
      </c>
      <c r="AQ39" s="451">
        <v>2</v>
      </c>
      <c r="AR39" s="442"/>
      <c r="AS39" s="428">
        <v>7.1</v>
      </c>
      <c r="AT39" s="451" t="s">
        <v>232</v>
      </c>
      <c r="AU39" s="500">
        <f t="shared" si="6"/>
        <v>7.0999999999999943</v>
      </c>
      <c r="AV39" s="500">
        <f t="shared" si="7"/>
        <v>7.5</v>
      </c>
      <c r="AW39" s="500">
        <f t="shared" si="8"/>
        <v>11.75</v>
      </c>
      <c r="AX39" s="501">
        <f t="shared" si="9"/>
        <v>7.5</v>
      </c>
      <c r="AY39" s="500"/>
      <c r="AZ39" s="500"/>
      <c r="BA39" s="30">
        <v>104.25</v>
      </c>
      <c r="BB39" s="507">
        <v>0</v>
      </c>
      <c r="BC39" s="507">
        <v>5.8479532163742673</v>
      </c>
      <c r="BD39" s="284" t="str">
        <f t="shared" si="10"/>
        <v>OK</v>
      </c>
      <c r="BE39" s="284" t="str">
        <f t="shared" si="11"/>
        <v>OK</v>
      </c>
    </row>
    <row r="40" spans="1:57">
      <c r="A40" s="424">
        <v>28</v>
      </c>
      <c r="B40" s="425"/>
      <c r="C40" s="425"/>
      <c r="D40" s="425">
        <f t="shared" si="12"/>
        <v>0</v>
      </c>
      <c r="E40" s="425"/>
      <c r="F40" s="425"/>
      <c r="G40" s="425"/>
      <c r="H40" s="425"/>
      <c r="I40" s="425"/>
      <c r="J40" s="425"/>
      <c r="K40" s="425"/>
      <c r="L40" s="427">
        <f t="shared" si="2"/>
        <v>0</v>
      </c>
      <c r="M40" s="427">
        <f t="shared" si="3"/>
        <v>0</v>
      </c>
      <c r="N40" s="425"/>
      <c r="O40" s="425"/>
      <c r="P40" s="425"/>
      <c r="Q40" s="425"/>
      <c r="R40" s="430">
        <f t="shared" si="4"/>
        <v>100</v>
      </c>
      <c r="S40" s="430">
        <f>VLOOKUP(Y40,Hypothèses!$A$21:$C$156,3,0)</f>
        <v>100</v>
      </c>
      <c r="T40" s="424"/>
      <c r="U40" s="424">
        <v>1</v>
      </c>
      <c r="V40" s="424">
        <v>1</v>
      </c>
      <c r="W40" s="283">
        <f t="shared" si="5"/>
        <v>1</v>
      </c>
      <c r="X40" s="424"/>
      <c r="Y40" s="424">
        <v>1</v>
      </c>
      <c r="Z40" s="426">
        <v>1</v>
      </c>
      <c r="AA40" s="427">
        <v>0</v>
      </c>
      <c r="AB40" s="427">
        <v>60</v>
      </c>
      <c r="AC40" s="427">
        <v>90</v>
      </c>
      <c r="AD40" s="427">
        <v>0</v>
      </c>
      <c r="AE40" s="427">
        <v>74.178655900822349</v>
      </c>
      <c r="AF40" s="427">
        <v>60.691627555218282</v>
      </c>
      <c r="AG40" s="427">
        <v>99.275920340379713</v>
      </c>
      <c r="AH40" s="427">
        <v>109.20351237441768</v>
      </c>
      <c r="AI40" s="427">
        <v>0</v>
      </c>
      <c r="AJ40" s="427">
        <v>0</v>
      </c>
      <c r="AK40" s="427">
        <v>0</v>
      </c>
      <c r="AL40" s="427">
        <v>0</v>
      </c>
      <c r="AM40" s="427">
        <v>31.779293731956784</v>
      </c>
      <c r="AN40" s="427">
        <v>11.535883624700311</v>
      </c>
      <c r="AO40" s="427">
        <v>43.425121869754619</v>
      </c>
      <c r="AP40" s="427">
        <v>47.560847762112196</v>
      </c>
      <c r="AQ40" s="451">
        <v>2</v>
      </c>
      <c r="AR40" s="442"/>
      <c r="AS40" s="428">
        <v>7.1</v>
      </c>
      <c r="AT40" s="451" t="s">
        <v>232</v>
      </c>
      <c r="AU40" s="500">
        <f t="shared" si="6"/>
        <v>7.0999999999999943</v>
      </c>
      <c r="AV40" s="500">
        <f t="shared" si="7"/>
        <v>7.5</v>
      </c>
      <c r="AW40" s="500">
        <f t="shared" si="8"/>
        <v>11.75</v>
      </c>
      <c r="AX40" s="501">
        <f t="shared" si="9"/>
        <v>7.5</v>
      </c>
      <c r="AY40" s="500"/>
      <c r="AZ40" s="500"/>
      <c r="BA40" s="30">
        <v>104.25</v>
      </c>
      <c r="BB40" s="507">
        <v>0</v>
      </c>
      <c r="BC40" s="507">
        <v>5.8479532163742673</v>
      </c>
      <c r="BD40" s="284" t="str">
        <f t="shared" si="10"/>
        <v>OK</v>
      </c>
      <c r="BE40" s="284" t="str">
        <f t="shared" si="11"/>
        <v>OK</v>
      </c>
    </row>
    <row r="41" spans="1:57">
      <c r="A41" s="424">
        <v>29</v>
      </c>
      <c r="B41" s="425"/>
      <c r="C41" s="425"/>
      <c r="D41" s="425">
        <f t="shared" si="12"/>
        <v>0</v>
      </c>
      <c r="E41" s="425"/>
      <c r="F41" s="425"/>
      <c r="G41" s="425"/>
      <c r="H41" s="425"/>
      <c r="I41" s="425"/>
      <c r="J41" s="425"/>
      <c r="K41" s="425"/>
      <c r="L41" s="427">
        <f t="shared" si="2"/>
        <v>0</v>
      </c>
      <c r="M41" s="427">
        <f t="shared" si="3"/>
        <v>0</v>
      </c>
      <c r="N41" s="425"/>
      <c r="O41" s="425"/>
      <c r="P41" s="425"/>
      <c r="Q41" s="425"/>
      <c r="R41" s="430">
        <f t="shared" si="4"/>
        <v>100</v>
      </c>
      <c r="S41" s="430">
        <f>VLOOKUP(Y41,Hypothèses!$A$21:$C$156,3,0)</f>
        <v>100</v>
      </c>
      <c r="T41" s="424"/>
      <c r="U41" s="424">
        <v>1</v>
      </c>
      <c r="V41" s="424">
        <v>1</v>
      </c>
      <c r="W41" s="283">
        <f t="shared" si="5"/>
        <v>1</v>
      </c>
      <c r="X41" s="424"/>
      <c r="Y41" s="424">
        <v>1</v>
      </c>
      <c r="Z41" s="426">
        <v>1</v>
      </c>
      <c r="AA41" s="427">
        <v>0</v>
      </c>
      <c r="AB41" s="427">
        <v>60</v>
      </c>
      <c r="AC41" s="427">
        <v>90</v>
      </c>
      <c r="AD41" s="427">
        <v>0</v>
      </c>
      <c r="AE41" s="427">
        <v>74.178655900822349</v>
      </c>
      <c r="AF41" s="427">
        <v>60.691627555218282</v>
      </c>
      <c r="AG41" s="427">
        <v>99.275920340379713</v>
      </c>
      <c r="AH41" s="427">
        <v>109.20351237441768</v>
      </c>
      <c r="AI41" s="427">
        <v>0</v>
      </c>
      <c r="AJ41" s="427">
        <v>0</v>
      </c>
      <c r="AK41" s="427">
        <v>0</v>
      </c>
      <c r="AL41" s="427">
        <v>0</v>
      </c>
      <c r="AM41" s="427">
        <v>31.779293731956784</v>
      </c>
      <c r="AN41" s="427">
        <v>11.535883624700311</v>
      </c>
      <c r="AO41" s="427">
        <v>43.425121869754619</v>
      </c>
      <c r="AP41" s="427">
        <v>47.560847762112196</v>
      </c>
      <c r="AQ41" s="451">
        <v>2</v>
      </c>
      <c r="AR41" s="442"/>
      <c r="AS41" s="428">
        <v>7.1</v>
      </c>
      <c r="AT41" s="451" t="s">
        <v>232</v>
      </c>
      <c r="AU41" s="500">
        <f t="shared" si="6"/>
        <v>7.0999999999999943</v>
      </c>
      <c r="AV41" s="500">
        <f t="shared" si="7"/>
        <v>7.5</v>
      </c>
      <c r="AW41" s="500">
        <f t="shared" si="8"/>
        <v>11.75</v>
      </c>
      <c r="AX41" s="501">
        <f t="shared" si="9"/>
        <v>7.5</v>
      </c>
      <c r="AY41" s="500"/>
      <c r="AZ41" s="500"/>
      <c r="BA41" s="30">
        <v>104.25</v>
      </c>
      <c r="BB41" s="507">
        <v>0</v>
      </c>
      <c r="BC41" s="507">
        <v>5.8479532163742673</v>
      </c>
      <c r="BD41" s="284" t="str">
        <f t="shared" si="10"/>
        <v>OK</v>
      </c>
      <c r="BE41" s="284" t="str">
        <f t="shared" si="11"/>
        <v>OK</v>
      </c>
    </row>
    <row r="42" spans="1:57">
      <c r="A42" s="424">
        <v>30</v>
      </c>
      <c r="B42" s="425"/>
      <c r="C42" s="425"/>
      <c r="D42" s="425">
        <f t="shared" si="12"/>
        <v>0</v>
      </c>
      <c r="E42" s="425"/>
      <c r="F42" s="425"/>
      <c r="G42" s="425"/>
      <c r="H42" s="425"/>
      <c r="I42" s="425"/>
      <c r="J42" s="425"/>
      <c r="K42" s="425"/>
      <c r="L42" s="427">
        <f t="shared" si="2"/>
        <v>0</v>
      </c>
      <c r="M42" s="427">
        <f t="shared" si="3"/>
        <v>0</v>
      </c>
      <c r="N42" s="425"/>
      <c r="O42" s="425"/>
      <c r="P42" s="425"/>
      <c r="Q42" s="425"/>
      <c r="R42" s="430">
        <f t="shared" si="4"/>
        <v>100</v>
      </c>
      <c r="S42" s="430">
        <f>VLOOKUP(Y42,Hypothèses!$A$21:$C$156,3,0)</f>
        <v>100</v>
      </c>
      <c r="T42" s="424"/>
      <c r="U42" s="424">
        <v>1</v>
      </c>
      <c r="V42" s="424">
        <v>1</v>
      </c>
      <c r="W42" s="283">
        <f t="shared" si="5"/>
        <v>1</v>
      </c>
      <c r="X42" s="424"/>
      <c r="Y42" s="424">
        <v>1</v>
      </c>
      <c r="Z42" s="426">
        <v>1</v>
      </c>
      <c r="AA42" s="427">
        <v>0</v>
      </c>
      <c r="AB42" s="427">
        <v>60</v>
      </c>
      <c r="AC42" s="427">
        <v>90</v>
      </c>
      <c r="AD42" s="427">
        <v>0</v>
      </c>
      <c r="AE42" s="427">
        <v>74.178655900822349</v>
      </c>
      <c r="AF42" s="427">
        <v>60.691627555218282</v>
      </c>
      <c r="AG42" s="427">
        <v>99.275920340379713</v>
      </c>
      <c r="AH42" s="427">
        <v>109.20351237441768</v>
      </c>
      <c r="AI42" s="427">
        <v>0</v>
      </c>
      <c r="AJ42" s="427">
        <v>0</v>
      </c>
      <c r="AK42" s="427">
        <v>0</v>
      </c>
      <c r="AL42" s="427">
        <v>0</v>
      </c>
      <c r="AM42" s="427">
        <v>31.779293731956784</v>
      </c>
      <c r="AN42" s="427">
        <v>11.535883624700311</v>
      </c>
      <c r="AO42" s="427">
        <v>43.425121869754619</v>
      </c>
      <c r="AP42" s="427">
        <v>47.560847762112196</v>
      </c>
      <c r="AQ42" s="451">
        <v>2</v>
      </c>
      <c r="AR42" s="442"/>
      <c r="AS42" s="428">
        <v>7.1</v>
      </c>
      <c r="AT42" s="451" t="s">
        <v>232</v>
      </c>
      <c r="AU42" s="500">
        <f t="shared" si="6"/>
        <v>7.0999999999999943</v>
      </c>
      <c r="AV42" s="500">
        <f t="shared" si="7"/>
        <v>7.5</v>
      </c>
      <c r="AW42" s="500">
        <f t="shared" si="8"/>
        <v>11.75</v>
      </c>
      <c r="AX42" s="501">
        <f t="shared" si="9"/>
        <v>7.5</v>
      </c>
      <c r="AY42" s="500"/>
      <c r="AZ42" s="500"/>
      <c r="BA42" s="30">
        <v>104.25</v>
      </c>
      <c r="BB42" s="507">
        <v>0</v>
      </c>
      <c r="BC42" s="507">
        <v>5.8479532163742673</v>
      </c>
      <c r="BD42" s="284" t="str">
        <f t="shared" si="10"/>
        <v>OK</v>
      </c>
      <c r="BE42" s="284" t="str">
        <f t="shared" si="11"/>
        <v>OK</v>
      </c>
    </row>
    <row r="43" spans="1:57">
      <c r="A43" s="424">
        <v>31</v>
      </c>
      <c r="B43" s="425"/>
      <c r="C43" s="425"/>
      <c r="D43" s="425">
        <f t="shared" si="12"/>
        <v>0</v>
      </c>
      <c r="E43" s="425"/>
      <c r="F43" s="425"/>
      <c r="G43" s="425"/>
      <c r="H43" s="425"/>
      <c r="I43" s="425"/>
      <c r="J43" s="425"/>
      <c r="K43" s="425"/>
      <c r="L43" s="427">
        <f t="shared" si="2"/>
        <v>0</v>
      </c>
      <c r="M43" s="427">
        <f t="shared" si="3"/>
        <v>0</v>
      </c>
      <c r="N43" s="425"/>
      <c r="O43" s="425"/>
      <c r="P43" s="425"/>
      <c r="Q43" s="425"/>
      <c r="R43" s="430">
        <f t="shared" si="4"/>
        <v>100</v>
      </c>
      <c r="S43" s="430">
        <f>VLOOKUP(Y43,Hypothèses!$A$21:$C$156,3,0)</f>
        <v>100</v>
      </c>
      <c r="T43" s="424"/>
      <c r="U43" s="424">
        <v>1</v>
      </c>
      <c r="V43" s="424">
        <v>1</v>
      </c>
      <c r="W43" s="283">
        <f t="shared" si="5"/>
        <v>1</v>
      </c>
      <c r="X43" s="424"/>
      <c r="Y43" s="424">
        <v>1</v>
      </c>
      <c r="Z43" s="426">
        <v>1</v>
      </c>
      <c r="AA43" s="427">
        <v>0</v>
      </c>
      <c r="AB43" s="427">
        <v>60</v>
      </c>
      <c r="AC43" s="427">
        <v>90</v>
      </c>
      <c r="AD43" s="427">
        <v>0</v>
      </c>
      <c r="AE43" s="427">
        <v>74.178655900822349</v>
      </c>
      <c r="AF43" s="427">
        <v>60.691627555218282</v>
      </c>
      <c r="AG43" s="427">
        <v>99.275920340379713</v>
      </c>
      <c r="AH43" s="427">
        <v>109.20351237441768</v>
      </c>
      <c r="AI43" s="427">
        <v>0</v>
      </c>
      <c r="AJ43" s="427">
        <v>0</v>
      </c>
      <c r="AK43" s="427">
        <v>0</v>
      </c>
      <c r="AL43" s="427">
        <v>0</v>
      </c>
      <c r="AM43" s="427">
        <v>31.779293731956784</v>
      </c>
      <c r="AN43" s="427">
        <v>11.535883624700311</v>
      </c>
      <c r="AO43" s="427">
        <v>43.425121869754619</v>
      </c>
      <c r="AP43" s="427">
        <v>47.560847762112196</v>
      </c>
      <c r="AQ43" s="451">
        <v>2</v>
      </c>
      <c r="AR43" s="442"/>
      <c r="AS43" s="428">
        <v>7.1</v>
      </c>
      <c r="AT43" s="451" t="s">
        <v>232</v>
      </c>
      <c r="AU43" s="500">
        <f t="shared" si="6"/>
        <v>7.0999999999999943</v>
      </c>
      <c r="AV43" s="500">
        <f t="shared" si="7"/>
        <v>7.5</v>
      </c>
      <c r="AW43" s="500">
        <f t="shared" si="8"/>
        <v>11.75</v>
      </c>
      <c r="AX43" s="501">
        <f t="shared" si="9"/>
        <v>7.5</v>
      </c>
      <c r="AY43" s="500"/>
      <c r="AZ43" s="500"/>
      <c r="BA43" s="30">
        <v>104.25</v>
      </c>
      <c r="BB43" s="507">
        <v>0</v>
      </c>
      <c r="BC43" s="507">
        <v>5.8479532163742673</v>
      </c>
      <c r="BD43" s="284" t="str">
        <f t="shared" si="10"/>
        <v>OK</v>
      </c>
      <c r="BE43" s="284" t="str">
        <f t="shared" si="11"/>
        <v>OK</v>
      </c>
    </row>
    <row r="44" spans="1:57">
      <c r="A44" s="424">
        <v>32</v>
      </c>
      <c r="B44" s="425"/>
      <c r="C44" s="425"/>
      <c r="D44" s="425">
        <f t="shared" si="12"/>
        <v>0</v>
      </c>
      <c r="E44" s="425"/>
      <c r="F44" s="425"/>
      <c r="G44" s="425"/>
      <c r="H44" s="425"/>
      <c r="I44" s="425"/>
      <c r="J44" s="425"/>
      <c r="K44" s="425"/>
      <c r="L44" s="427">
        <f t="shared" si="2"/>
        <v>0</v>
      </c>
      <c r="M44" s="427">
        <f t="shared" si="3"/>
        <v>0</v>
      </c>
      <c r="N44" s="425"/>
      <c r="O44" s="425"/>
      <c r="P44" s="425"/>
      <c r="Q44" s="425"/>
      <c r="R44" s="430">
        <f t="shared" si="4"/>
        <v>100</v>
      </c>
      <c r="S44" s="430">
        <f>VLOOKUP(Y44,Hypothèses!$A$21:$C$156,3,0)</f>
        <v>100</v>
      </c>
      <c r="T44" s="424"/>
      <c r="U44" s="424">
        <v>1</v>
      </c>
      <c r="V44" s="424">
        <v>1</v>
      </c>
      <c r="W44" s="283">
        <f t="shared" si="5"/>
        <v>1</v>
      </c>
      <c r="X44" s="424"/>
      <c r="Y44" s="424">
        <v>1</v>
      </c>
      <c r="Z44" s="426">
        <v>1</v>
      </c>
      <c r="AA44" s="427">
        <v>0</v>
      </c>
      <c r="AB44" s="427">
        <v>60</v>
      </c>
      <c r="AC44" s="427">
        <v>90</v>
      </c>
      <c r="AD44" s="427">
        <v>0</v>
      </c>
      <c r="AE44" s="427">
        <v>74.178655900822349</v>
      </c>
      <c r="AF44" s="427">
        <v>60.691627555218282</v>
      </c>
      <c r="AG44" s="427">
        <v>99.275920340379713</v>
      </c>
      <c r="AH44" s="427">
        <v>109.20351237441768</v>
      </c>
      <c r="AI44" s="427">
        <v>0</v>
      </c>
      <c r="AJ44" s="427">
        <v>0</v>
      </c>
      <c r="AK44" s="427">
        <v>0</v>
      </c>
      <c r="AL44" s="427">
        <v>0</v>
      </c>
      <c r="AM44" s="427">
        <v>31.779293731956784</v>
      </c>
      <c r="AN44" s="427">
        <v>11.535883624700311</v>
      </c>
      <c r="AO44" s="427">
        <v>43.425121869754619</v>
      </c>
      <c r="AP44" s="427">
        <v>47.560847762112196</v>
      </c>
      <c r="AQ44" s="451">
        <v>2</v>
      </c>
      <c r="AR44" s="442"/>
      <c r="AS44" s="428">
        <v>7.1</v>
      </c>
      <c r="AT44" s="451" t="s">
        <v>232</v>
      </c>
      <c r="AU44" s="500">
        <f t="shared" si="6"/>
        <v>7.0999999999999943</v>
      </c>
      <c r="AV44" s="500">
        <f t="shared" si="7"/>
        <v>7.5</v>
      </c>
      <c r="AW44" s="500">
        <f t="shared" si="8"/>
        <v>11.75</v>
      </c>
      <c r="AX44" s="501">
        <f t="shared" si="9"/>
        <v>7.5</v>
      </c>
      <c r="AY44" s="500"/>
      <c r="AZ44" s="500"/>
      <c r="BA44" s="30">
        <v>104.25</v>
      </c>
      <c r="BB44" s="507">
        <v>0</v>
      </c>
      <c r="BC44" s="507">
        <v>5.8479532163742673</v>
      </c>
      <c r="BD44" s="284" t="str">
        <f t="shared" si="10"/>
        <v>OK</v>
      </c>
      <c r="BE44" s="284" t="str">
        <f t="shared" si="11"/>
        <v>OK</v>
      </c>
    </row>
    <row r="45" spans="1:57">
      <c r="A45" s="424">
        <v>33</v>
      </c>
      <c r="B45" s="425"/>
      <c r="C45" s="425"/>
      <c r="D45" s="425">
        <f t="shared" si="12"/>
        <v>0</v>
      </c>
      <c r="E45" s="425"/>
      <c r="F45" s="425"/>
      <c r="G45" s="425"/>
      <c r="H45" s="425"/>
      <c r="I45" s="425"/>
      <c r="J45" s="425"/>
      <c r="K45" s="425"/>
      <c r="L45" s="427">
        <f t="shared" si="2"/>
        <v>0</v>
      </c>
      <c r="M45" s="427">
        <f t="shared" si="3"/>
        <v>0</v>
      </c>
      <c r="N45" s="425"/>
      <c r="O45" s="425"/>
      <c r="P45" s="425"/>
      <c r="Q45" s="425"/>
      <c r="R45" s="430">
        <f t="shared" si="4"/>
        <v>100</v>
      </c>
      <c r="S45" s="430">
        <f>VLOOKUP(Y45,Hypothèses!$A$21:$C$156,3,0)</f>
        <v>100</v>
      </c>
      <c r="T45" s="424"/>
      <c r="U45" s="424">
        <v>1</v>
      </c>
      <c r="V45" s="424">
        <v>1</v>
      </c>
      <c r="W45" s="283">
        <f t="shared" si="5"/>
        <v>1</v>
      </c>
      <c r="X45" s="424"/>
      <c r="Y45" s="424">
        <v>1</v>
      </c>
      <c r="Z45" s="426">
        <v>1</v>
      </c>
      <c r="AA45" s="427">
        <v>0</v>
      </c>
      <c r="AB45" s="427">
        <v>60</v>
      </c>
      <c r="AC45" s="427">
        <v>90</v>
      </c>
      <c r="AD45" s="427">
        <v>0</v>
      </c>
      <c r="AE45" s="427">
        <v>74.178655900822349</v>
      </c>
      <c r="AF45" s="427">
        <v>60.691627555218282</v>
      </c>
      <c r="AG45" s="427">
        <v>99.275920340379713</v>
      </c>
      <c r="AH45" s="427">
        <v>109.20351237441768</v>
      </c>
      <c r="AI45" s="427">
        <v>0</v>
      </c>
      <c r="AJ45" s="427">
        <v>0</v>
      </c>
      <c r="AK45" s="427">
        <v>0</v>
      </c>
      <c r="AL45" s="427">
        <v>0</v>
      </c>
      <c r="AM45" s="427">
        <v>31.779293731956784</v>
      </c>
      <c r="AN45" s="427">
        <v>11.535883624700311</v>
      </c>
      <c r="AO45" s="427">
        <v>43.425121869754619</v>
      </c>
      <c r="AP45" s="427">
        <v>47.560847762112196</v>
      </c>
      <c r="AQ45" s="451">
        <v>2</v>
      </c>
      <c r="AR45" s="442"/>
      <c r="AS45" s="428">
        <v>7.1</v>
      </c>
      <c r="AT45" s="451" t="s">
        <v>232</v>
      </c>
      <c r="AU45" s="500">
        <f t="shared" si="6"/>
        <v>7.0999999999999943</v>
      </c>
      <c r="AV45" s="500">
        <f t="shared" si="7"/>
        <v>7.5</v>
      </c>
      <c r="AW45" s="500">
        <f t="shared" si="8"/>
        <v>11.75</v>
      </c>
      <c r="AX45" s="501">
        <f t="shared" si="9"/>
        <v>7.5</v>
      </c>
      <c r="AY45" s="500"/>
      <c r="AZ45" s="500"/>
      <c r="BA45" s="30">
        <v>104.25</v>
      </c>
      <c r="BB45" s="507">
        <v>0</v>
      </c>
      <c r="BC45" s="507">
        <v>5.8479532163742673</v>
      </c>
      <c r="BD45" s="284" t="str">
        <f t="shared" si="10"/>
        <v>OK</v>
      </c>
      <c r="BE45" s="284" t="str">
        <f t="shared" si="11"/>
        <v>OK</v>
      </c>
    </row>
    <row r="46" spans="1:57">
      <c r="A46" s="424">
        <v>34</v>
      </c>
      <c r="B46" s="425"/>
      <c r="C46" s="425"/>
      <c r="D46" s="425">
        <f t="shared" si="12"/>
        <v>0</v>
      </c>
      <c r="E46" s="425"/>
      <c r="F46" s="425"/>
      <c r="G46" s="425"/>
      <c r="H46" s="425"/>
      <c r="I46" s="425"/>
      <c r="J46" s="425"/>
      <c r="K46" s="425"/>
      <c r="L46" s="427">
        <f t="shared" si="2"/>
        <v>0</v>
      </c>
      <c r="M46" s="427">
        <f t="shared" si="3"/>
        <v>0</v>
      </c>
      <c r="N46" s="425"/>
      <c r="O46" s="425"/>
      <c r="P46" s="425"/>
      <c r="Q46" s="425"/>
      <c r="R46" s="430">
        <f t="shared" si="4"/>
        <v>100</v>
      </c>
      <c r="S46" s="430">
        <f>VLOOKUP(Y46,Hypothèses!$A$21:$C$156,3,0)</f>
        <v>100</v>
      </c>
      <c r="T46" s="424"/>
      <c r="U46" s="424">
        <v>1</v>
      </c>
      <c r="V46" s="424">
        <v>1</v>
      </c>
      <c r="W46" s="283">
        <f t="shared" si="5"/>
        <v>1</v>
      </c>
      <c r="X46" s="424"/>
      <c r="Y46" s="424">
        <v>1</v>
      </c>
      <c r="Z46" s="426">
        <v>1</v>
      </c>
      <c r="AA46" s="427">
        <v>0</v>
      </c>
      <c r="AB46" s="427">
        <v>60</v>
      </c>
      <c r="AC46" s="427">
        <v>90</v>
      </c>
      <c r="AD46" s="427">
        <v>0</v>
      </c>
      <c r="AE46" s="427">
        <v>74.178655900822349</v>
      </c>
      <c r="AF46" s="427">
        <v>60.691627555218282</v>
      </c>
      <c r="AG46" s="427">
        <v>99.275920340379713</v>
      </c>
      <c r="AH46" s="427">
        <v>109.20351237441768</v>
      </c>
      <c r="AI46" s="427">
        <v>0</v>
      </c>
      <c r="AJ46" s="427">
        <v>0</v>
      </c>
      <c r="AK46" s="427">
        <v>0</v>
      </c>
      <c r="AL46" s="427">
        <v>0</v>
      </c>
      <c r="AM46" s="427">
        <v>31.779293731956784</v>
      </c>
      <c r="AN46" s="427">
        <v>11.535883624700311</v>
      </c>
      <c r="AO46" s="427">
        <v>43.425121869754619</v>
      </c>
      <c r="AP46" s="427">
        <v>47.560847762112196</v>
      </c>
      <c r="AQ46" s="451">
        <v>2</v>
      </c>
      <c r="AR46" s="442"/>
      <c r="AS46" s="428">
        <v>7.1</v>
      </c>
      <c r="AT46" s="451" t="s">
        <v>232</v>
      </c>
      <c r="AU46" s="500">
        <f t="shared" si="6"/>
        <v>7.0999999999999943</v>
      </c>
      <c r="AV46" s="500">
        <f t="shared" si="7"/>
        <v>7.5</v>
      </c>
      <c r="AW46" s="500">
        <f t="shared" si="8"/>
        <v>11.75</v>
      </c>
      <c r="AX46" s="501">
        <f t="shared" si="9"/>
        <v>7.5</v>
      </c>
      <c r="AY46" s="500"/>
      <c r="AZ46" s="500"/>
      <c r="BA46" s="30">
        <v>104.25</v>
      </c>
      <c r="BB46" s="507">
        <v>0</v>
      </c>
      <c r="BC46" s="507">
        <v>5.8479532163742673</v>
      </c>
      <c r="BD46" s="284" t="str">
        <f t="shared" si="10"/>
        <v>OK</v>
      </c>
      <c r="BE46" s="284" t="str">
        <f t="shared" si="11"/>
        <v>OK</v>
      </c>
    </row>
    <row r="47" spans="1:57">
      <c r="A47" s="424">
        <v>35</v>
      </c>
      <c r="B47" s="425"/>
      <c r="C47" s="425"/>
      <c r="D47" s="425">
        <f t="shared" si="12"/>
        <v>0</v>
      </c>
      <c r="E47" s="425"/>
      <c r="F47" s="425"/>
      <c r="G47" s="425"/>
      <c r="H47" s="425"/>
      <c r="I47" s="425"/>
      <c r="J47" s="425"/>
      <c r="K47" s="425"/>
      <c r="L47" s="427">
        <f t="shared" si="2"/>
        <v>0</v>
      </c>
      <c r="M47" s="427">
        <f t="shared" si="3"/>
        <v>0</v>
      </c>
      <c r="N47" s="425"/>
      <c r="O47" s="425"/>
      <c r="P47" s="425"/>
      <c r="Q47" s="425"/>
      <c r="R47" s="430">
        <f t="shared" si="4"/>
        <v>100</v>
      </c>
      <c r="S47" s="430">
        <f>VLOOKUP(Y47,Hypothèses!$A$21:$C$156,3,0)</f>
        <v>100</v>
      </c>
      <c r="T47" s="424"/>
      <c r="U47" s="424">
        <v>1</v>
      </c>
      <c r="V47" s="424">
        <v>1</v>
      </c>
      <c r="W47" s="283">
        <f t="shared" si="5"/>
        <v>1</v>
      </c>
      <c r="X47" s="424"/>
      <c r="Y47" s="424">
        <v>1</v>
      </c>
      <c r="Z47" s="426">
        <v>1</v>
      </c>
      <c r="AA47" s="427">
        <v>0</v>
      </c>
      <c r="AB47" s="427">
        <v>60</v>
      </c>
      <c r="AC47" s="427">
        <v>90</v>
      </c>
      <c r="AD47" s="427">
        <v>0</v>
      </c>
      <c r="AE47" s="427">
        <v>74.178655900822349</v>
      </c>
      <c r="AF47" s="427">
        <v>60.691627555218282</v>
      </c>
      <c r="AG47" s="427">
        <v>99.275920340379713</v>
      </c>
      <c r="AH47" s="427">
        <v>109.20351237441768</v>
      </c>
      <c r="AI47" s="427">
        <v>0</v>
      </c>
      <c r="AJ47" s="427">
        <v>0</v>
      </c>
      <c r="AK47" s="427">
        <v>0</v>
      </c>
      <c r="AL47" s="427">
        <v>0</v>
      </c>
      <c r="AM47" s="427">
        <v>31.779293731956784</v>
      </c>
      <c r="AN47" s="427">
        <v>11.535883624700311</v>
      </c>
      <c r="AO47" s="427">
        <v>43.425121869754619</v>
      </c>
      <c r="AP47" s="427">
        <v>47.560847762112196</v>
      </c>
      <c r="AQ47" s="451">
        <v>2</v>
      </c>
      <c r="AR47" s="442"/>
      <c r="AS47" s="428">
        <v>7.1</v>
      </c>
      <c r="AT47" s="451" t="s">
        <v>232</v>
      </c>
      <c r="AU47" s="500">
        <f t="shared" si="6"/>
        <v>7.0999999999999943</v>
      </c>
      <c r="AV47" s="500">
        <f t="shared" si="7"/>
        <v>7.5</v>
      </c>
      <c r="AW47" s="500">
        <f t="shared" si="8"/>
        <v>11.75</v>
      </c>
      <c r="AX47" s="501">
        <f t="shared" si="9"/>
        <v>7.5</v>
      </c>
      <c r="AY47" s="500"/>
      <c r="AZ47" s="500"/>
      <c r="BA47" s="30">
        <v>104.25</v>
      </c>
      <c r="BB47" s="507">
        <v>0</v>
      </c>
      <c r="BC47" s="507">
        <v>5.8479532163742673</v>
      </c>
      <c r="BD47" s="284" t="str">
        <f t="shared" si="10"/>
        <v>OK</v>
      </c>
      <c r="BE47" s="284" t="str">
        <f t="shared" si="11"/>
        <v>OK</v>
      </c>
    </row>
    <row r="48" spans="1:57">
      <c r="A48" s="424">
        <v>36</v>
      </c>
      <c r="B48" s="425"/>
      <c r="C48" s="425"/>
      <c r="D48" s="425">
        <f t="shared" si="12"/>
        <v>0</v>
      </c>
      <c r="E48" s="425"/>
      <c r="F48" s="425"/>
      <c r="G48" s="425"/>
      <c r="H48" s="425"/>
      <c r="I48" s="425"/>
      <c r="J48" s="425"/>
      <c r="K48" s="425"/>
      <c r="L48" s="427">
        <f t="shared" si="2"/>
        <v>0</v>
      </c>
      <c r="M48" s="427">
        <f t="shared" si="3"/>
        <v>0</v>
      </c>
      <c r="N48" s="425"/>
      <c r="O48" s="425"/>
      <c r="P48" s="425"/>
      <c r="Q48" s="425"/>
      <c r="R48" s="430">
        <f t="shared" si="4"/>
        <v>100</v>
      </c>
      <c r="S48" s="430">
        <f>VLOOKUP(Y48,Hypothèses!$A$21:$C$156,3,0)</f>
        <v>100</v>
      </c>
      <c r="T48" s="424"/>
      <c r="U48" s="424">
        <v>1</v>
      </c>
      <c r="V48" s="424">
        <v>1</v>
      </c>
      <c r="W48" s="283">
        <f t="shared" si="5"/>
        <v>1</v>
      </c>
      <c r="X48" s="424"/>
      <c r="Y48" s="424">
        <v>1</v>
      </c>
      <c r="Z48" s="426">
        <v>1</v>
      </c>
      <c r="AA48" s="427">
        <v>0</v>
      </c>
      <c r="AB48" s="427">
        <v>60</v>
      </c>
      <c r="AC48" s="427">
        <v>90</v>
      </c>
      <c r="AD48" s="427">
        <v>0</v>
      </c>
      <c r="AE48" s="427">
        <v>74.178655900822349</v>
      </c>
      <c r="AF48" s="427">
        <v>60.691627555218282</v>
      </c>
      <c r="AG48" s="427">
        <v>99.275920340379713</v>
      </c>
      <c r="AH48" s="427">
        <v>109.20351237441768</v>
      </c>
      <c r="AI48" s="427">
        <v>0</v>
      </c>
      <c r="AJ48" s="427">
        <v>0</v>
      </c>
      <c r="AK48" s="427">
        <v>0</v>
      </c>
      <c r="AL48" s="427">
        <v>0</v>
      </c>
      <c r="AM48" s="427">
        <v>31.779293731956784</v>
      </c>
      <c r="AN48" s="427">
        <v>11.535883624700311</v>
      </c>
      <c r="AO48" s="427">
        <v>43.425121869754619</v>
      </c>
      <c r="AP48" s="427">
        <v>47.560847762112196</v>
      </c>
      <c r="AQ48" s="451">
        <v>2</v>
      </c>
      <c r="AR48" s="442"/>
      <c r="AS48" s="428">
        <v>7.1</v>
      </c>
      <c r="AT48" s="451" t="s">
        <v>232</v>
      </c>
      <c r="AU48" s="500">
        <f t="shared" si="6"/>
        <v>7.0999999999999943</v>
      </c>
      <c r="AV48" s="500">
        <f t="shared" si="7"/>
        <v>7.5</v>
      </c>
      <c r="AW48" s="500">
        <f t="shared" si="8"/>
        <v>11.75</v>
      </c>
      <c r="AX48" s="501">
        <f t="shared" si="9"/>
        <v>7.5</v>
      </c>
      <c r="AY48" s="500"/>
      <c r="AZ48" s="500"/>
      <c r="BA48" s="30">
        <v>104.25</v>
      </c>
      <c r="BB48" s="507">
        <v>0</v>
      </c>
      <c r="BC48" s="507">
        <v>5.8479532163742673</v>
      </c>
      <c r="BD48" s="284" t="str">
        <f t="shared" si="10"/>
        <v>OK</v>
      </c>
      <c r="BE48" s="284" t="str">
        <f t="shared" si="11"/>
        <v>OK</v>
      </c>
    </row>
    <row r="49" spans="1:57">
      <c r="A49" s="424">
        <v>37</v>
      </c>
      <c r="B49" s="425"/>
      <c r="C49" s="425"/>
      <c r="D49" s="425">
        <f t="shared" si="12"/>
        <v>0</v>
      </c>
      <c r="E49" s="425"/>
      <c r="F49" s="425"/>
      <c r="G49" s="425"/>
      <c r="H49" s="425"/>
      <c r="I49" s="425"/>
      <c r="J49" s="425"/>
      <c r="K49" s="425"/>
      <c r="L49" s="427">
        <f t="shared" si="2"/>
        <v>0</v>
      </c>
      <c r="M49" s="427">
        <f t="shared" si="3"/>
        <v>0</v>
      </c>
      <c r="N49" s="425"/>
      <c r="O49" s="425"/>
      <c r="P49" s="425"/>
      <c r="Q49" s="425"/>
      <c r="R49" s="430">
        <f t="shared" si="4"/>
        <v>100</v>
      </c>
      <c r="S49" s="430">
        <f>VLOOKUP(Y49,Hypothèses!$A$21:$C$156,3,0)</f>
        <v>100</v>
      </c>
      <c r="T49" s="424"/>
      <c r="U49" s="424">
        <v>1</v>
      </c>
      <c r="V49" s="424">
        <v>1</v>
      </c>
      <c r="W49" s="283">
        <f t="shared" si="5"/>
        <v>1</v>
      </c>
      <c r="X49" s="424"/>
      <c r="Y49" s="424">
        <v>1</v>
      </c>
      <c r="Z49" s="426">
        <v>1</v>
      </c>
      <c r="AA49" s="427">
        <v>0</v>
      </c>
      <c r="AB49" s="427">
        <v>60</v>
      </c>
      <c r="AC49" s="427">
        <v>90</v>
      </c>
      <c r="AD49" s="427">
        <v>0</v>
      </c>
      <c r="AE49" s="427">
        <v>74.178655900822349</v>
      </c>
      <c r="AF49" s="427">
        <v>60.691627555218282</v>
      </c>
      <c r="AG49" s="427">
        <v>99.275920340379713</v>
      </c>
      <c r="AH49" s="427">
        <v>109.20351237441768</v>
      </c>
      <c r="AI49" s="427">
        <v>0</v>
      </c>
      <c r="AJ49" s="427">
        <v>0</v>
      </c>
      <c r="AK49" s="427">
        <v>0</v>
      </c>
      <c r="AL49" s="427">
        <v>0</v>
      </c>
      <c r="AM49" s="427">
        <v>31.779293731956784</v>
      </c>
      <c r="AN49" s="427">
        <v>11.535883624700311</v>
      </c>
      <c r="AO49" s="427">
        <v>43.425121869754619</v>
      </c>
      <c r="AP49" s="427">
        <v>47.560847762112196</v>
      </c>
      <c r="AQ49" s="451">
        <v>2</v>
      </c>
      <c r="AR49" s="442"/>
      <c r="AS49" s="428">
        <v>7.1</v>
      </c>
      <c r="AT49" s="451" t="s">
        <v>232</v>
      </c>
      <c r="AU49" s="500">
        <f t="shared" si="6"/>
        <v>7.0999999999999943</v>
      </c>
      <c r="AV49" s="500">
        <f t="shared" si="7"/>
        <v>7.5</v>
      </c>
      <c r="AW49" s="500">
        <f t="shared" si="8"/>
        <v>11.75</v>
      </c>
      <c r="AX49" s="501">
        <f t="shared" si="9"/>
        <v>7.5</v>
      </c>
      <c r="AY49" s="500"/>
      <c r="AZ49" s="500"/>
      <c r="BA49" s="30">
        <v>104.25</v>
      </c>
      <c r="BB49" s="507">
        <v>0</v>
      </c>
      <c r="BC49" s="507">
        <v>5.8479532163742673</v>
      </c>
      <c r="BD49" s="284" t="str">
        <f t="shared" si="10"/>
        <v>OK</v>
      </c>
      <c r="BE49" s="284" t="str">
        <f t="shared" si="11"/>
        <v>OK</v>
      </c>
    </row>
    <row r="50" spans="1:57">
      <c r="A50" s="424">
        <v>38</v>
      </c>
      <c r="B50" s="425"/>
      <c r="C50" s="425"/>
      <c r="D50" s="425">
        <f t="shared" si="12"/>
        <v>0</v>
      </c>
      <c r="E50" s="425"/>
      <c r="F50" s="425"/>
      <c r="G50" s="425"/>
      <c r="H50" s="425"/>
      <c r="I50" s="425"/>
      <c r="J50" s="425"/>
      <c r="K50" s="425"/>
      <c r="L50" s="427">
        <f t="shared" si="2"/>
        <v>0</v>
      </c>
      <c r="M50" s="427">
        <f t="shared" si="3"/>
        <v>0</v>
      </c>
      <c r="N50" s="425"/>
      <c r="O50" s="425"/>
      <c r="P50" s="425"/>
      <c r="Q50" s="425"/>
      <c r="R50" s="430">
        <f t="shared" si="4"/>
        <v>100</v>
      </c>
      <c r="S50" s="430">
        <f>VLOOKUP(Y50,Hypothèses!$A$21:$C$156,3,0)</f>
        <v>100</v>
      </c>
      <c r="T50" s="424"/>
      <c r="U50" s="424">
        <v>1</v>
      </c>
      <c r="V50" s="424">
        <v>1</v>
      </c>
      <c r="W50" s="283">
        <f t="shared" si="5"/>
        <v>1</v>
      </c>
      <c r="X50" s="424"/>
      <c r="Y50" s="424">
        <v>1</v>
      </c>
      <c r="Z50" s="426">
        <v>1</v>
      </c>
      <c r="AA50" s="427">
        <v>0</v>
      </c>
      <c r="AB50" s="427">
        <v>60</v>
      </c>
      <c r="AC50" s="427">
        <v>90</v>
      </c>
      <c r="AD50" s="427">
        <v>0</v>
      </c>
      <c r="AE50" s="427">
        <v>74.178655900822349</v>
      </c>
      <c r="AF50" s="427">
        <v>60.691627555218282</v>
      </c>
      <c r="AG50" s="427">
        <v>99.275920340379713</v>
      </c>
      <c r="AH50" s="427">
        <v>109.20351237441768</v>
      </c>
      <c r="AI50" s="427">
        <v>0</v>
      </c>
      <c r="AJ50" s="427">
        <v>0</v>
      </c>
      <c r="AK50" s="427">
        <v>0</v>
      </c>
      <c r="AL50" s="427">
        <v>0</v>
      </c>
      <c r="AM50" s="427">
        <v>31.779293731956784</v>
      </c>
      <c r="AN50" s="427">
        <v>11.535883624700311</v>
      </c>
      <c r="AO50" s="427">
        <v>43.425121869754619</v>
      </c>
      <c r="AP50" s="427">
        <v>47.560847762112196</v>
      </c>
      <c r="AQ50" s="451">
        <v>2</v>
      </c>
      <c r="AR50" s="442"/>
      <c r="AS50" s="428">
        <v>7.1</v>
      </c>
      <c r="AT50" s="451" t="s">
        <v>232</v>
      </c>
      <c r="AU50" s="500">
        <f t="shared" si="6"/>
        <v>7.0999999999999943</v>
      </c>
      <c r="AV50" s="500">
        <f t="shared" si="7"/>
        <v>7.5</v>
      </c>
      <c r="AW50" s="500">
        <f t="shared" si="8"/>
        <v>11.75</v>
      </c>
      <c r="AX50" s="501">
        <f t="shared" si="9"/>
        <v>7.5</v>
      </c>
      <c r="AY50" s="500"/>
      <c r="AZ50" s="500"/>
      <c r="BA50" s="30">
        <v>104.25</v>
      </c>
      <c r="BB50" s="507">
        <v>0</v>
      </c>
      <c r="BC50" s="507">
        <v>5.8479532163742673</v>
      </c>
      <c r="BD50" s="284" t="str">
        <f t="shared" si="10"/>
        <v>OK</v>
      </c>
      <c r="BE50" s="284" t="str">
        <f t="shared" si="11"/>
        <v>OK</v>
      </c>
    </row>
    <row r="51" spans="1:57">
      <c r="A51" s="424">
        <v>39</v>
      </c>
      <c r="B51" s="425"/>
      <c r="C51" s="425"/>
      <c r="D51" s="425">
        <f t="shared" si="12"/>
        <v>0</v>
      </c>
      <c r="E51" s="425"/>
      <c r="F51" s="425"/>
      <c r="G51" s="425"/>
      <c r="H51" s="425"/>
      <c r="I51" s="425"/>
      <c r="J51" s="425"/>
      <c r="K51" s="425"/>
      <c r="L51" s="427">
        <f t="shared" si="2"/>
        <v>0</v>
      </c>
      <c r="M51" s="427">
        <f t="shared" si="3"/>
        <v>0</v>
      </c>
      <c r="N51" s="425"/>
      <c r="O51" s="425"/>
      <c r="P51" s="425"/>
      <c r="Q51" s="425"/>
      <c r="R51" s="430">
        <f t="shared" si="4"/>
        <v>100</v>
      </c>
      <c r="S51" s="430">
        <f>VLOOKUP(Y51,Hypothèses!$A$21:$C$156,3,0)</f>
        <v>100</v>
      </c>
      <c r="T51" s="424"/>
      <c r="U51" s="424">
        <v>1</v>
      </c>
      <c r="V51" s="424">
        <v>1</v>
      </c>
      <c r="W51" s="283">
        <f t="shared" si="5"/>
        <v>1</v>
      </c>
      <c r="X51" s="424"/>
      <c r="Y51" s="424">
        <v>1</v>
      </c>
      <c r="Z51" s="426">
        <v>1</v>
      </c>
      <c r="AA51" s="427">
        <v>0</v>
      </c>
      <c r="AB51" s="427">
        <v>60</v>
      </c>
      <c r="AC51" s="427">
        <v>90</v>
      </c>
      <c r="AD51" s="427">
        <v>0</v>
      </c>
      <c r="AE51" s="427">
        <v>74.178655900822349</v>
      </c>
      <c r="AF51" s="427">
        <v>60.691627555218282</v>
      </c>
      <c r="AG51" s="427">
        <v>99.275920340379713</v>
      </c>
      <c r="AH51" s="427">
        <v>109.20351237441768</v>
      </c>
      <c r="AI51" s="427">
        <v>0</v>
      </c>
      <c r="AJ51" s="427">
        <v>0</v>
      </c>
      <c r="AK51" s="427">
        <v>0</v>
      </c>
      <c r="AL51" s="427">
        <v>0</v>
      </c>
      <c r="AM51" s="427">
        <v>31.779293731956784</v>
      </c>
      <c r="AN51" s="427">
        <v>11.535883624700311</v>
      </c>
      <c r="AO51" s="427">
        <v>43.425121869754619</v>
      </c>
      <c r="AP51" s="427">
        <v>47.560847762112196</v>
      </c>
      <c r="AQ51" s="451">
        <v>2</v>
      </c>
      <c r="AR51" s="442"/>
      <c r="AS51" s="428">
        <v>7.1</v>
      </c>
      <c r="AT51" s="451" t="s">
        <v>232</v>
      </c>
      <c r="AU51" s="500">
        <f t="shared" si="6"/>
        <v>7.0999999999999943</v>
      </c>
      <c r="AV51" s="500">
        <f t="shared" si="7"/>
        <v>7.5</v>
      </c>
      <c r="AW51" s="500">
        <f t="shared" si="8"/>
        <v>11.75</v>
      </c>
      <c r="AX51" s="501">
        <f t="shared" si="9"/>
        <v>7.5</v>
      </c>
      <c r="AY51" s="500"/>
      <c r="AZ51" s="500"/>
      <c r="BA51" s="30">
        <v>104.25</v>
      </c>
      <c r="BB51" s="507">
        <v>0</v>
      </c>
      <c r="BC51" s="507">
        <v>5.8479532163742673</v>
      </c>
      <c r="BD51" s="284" t="str">
        <f t="shared" si="10"/>
        <v>OK</v>
      </c>
      <c r="BE51" s="284" t="str">
        <f t="shared" si="11"/>
        <v>OK</v>
      </c>
    </row>
    <row r="52" spans="1:57">
      <c r="A52" s="424">
        <v>40</v>
      </c>
      <c r="B52" s="425"/>
      <c r="C52" s="425"/>
      <c r="D52" s="425">
        <f t="shared" si="12"/>
        <v>0</v>
      </c>
      <c r="E52" s="425"/>
      <c r="F52" s="425"/>
      <c r="G52" s="425"/>
      <c r="H52" s="425"/>
      <c r="I52" s="425"/>
      <c r="J52" s="425"/>
      <c r="K52" s="425"/>
      <c r="L52" s="427">
        <f t="shared" si="2"/>
        <v>0</v>
      </c>
      <c r="M52" s="427">
        <f t="shared" si="3"/>
        <v>0</v>
      </c>
      <c r="N52" s="425"/>
      <c r="O52" s="425"/>
      <c r="P52" s="425"/>
      <c r="Q52" s="425"/>
      <c r="R52" s="430">
        <f t="shared" si="4"/>
        <v>100</v>
      </c>
      <c r="S52" s="430">
        <f>VLOOKUP(Y52,Hypothèses!$A$21:$C$156,3,0)</f>
        <v>100</v>
      </c>
      <c r="T52" s="424"/>
      <c r="U52" s="424">
        <v>1</v>
      </c>
      <c r="V52" s="424">
        <v>1</v>
      </c>
      <c r="W52" s="283">
        <f t="shared" si="5"/>
        <v>1</v>
      </c>
      <c r="X52" s="424"/>
      <c r="Y52" s="424">
        <v>1</v>
      </c>
      <c r="Z52" s="426">
        <v>1</v>
      </c>
      <c r="AA52" s="427">
        <v>0</v>
      </c>
      <c r="AB52" s="427">
        <v>60</v>
      </c>
      <c r="AC52" s="427">
        <v>90</v>
      </c>
      <c r="AD52" s="427">
        <v>0</v>
      </c>
      <c r="AE52" s="427">
        <v>74.178655900822349</v>
      </c>
      <c r="AF52" s="427">
        <v>60.691627555218282</v>
      </c>
      <c r="AG52" s="427">
        <v>99.275920340379713</v>
      </c>
      <c r="AH52" s="427">
        <v>109.20351237441768</v>
      </c>
      <c r="AI52" s="427">
        <v>0</v>
      </c>
      <c r="AJ52" s="427">
        <v>0</v>
      </c>
      <c r="AK52" s="427">
        <v>0</v>
      </c>
      <c r="AL52" s="427">
        <v>0</v>
      </c>
      <c r="AM52" s="427">
        <v>31.779293731956784</v>
      </c>
      <c r="AN52" s="427">
        <v>11.535883624700311</v>
      </c>
      <c r="AO52" s="427">
        <v>43.425121869754619</v>
      </c>
      <c r="AP52" s="427">
        <v>47.560847762112196</v>
      </c>
      <c r="AQ52" s="451">
        <v>2</v>
      </c>
      <c r="AR52" s="442"/>
      <c r="AS52" s="428">
        <v>7.1</v>
      </c>
      <c r="AT52" s="451" t="s">
        <v>232</v>
      </c>
      <c r="AU52" s="500">
        <f t="shared" si="6"/>
        <v>7.0999999999999943</v>
      </c>
      <c r="AV52" s="500">
        <f t="shared" si="7"/>
        <v>7.5</v>
      </c>
      <c r="AW52" s="500">
        <f t="shared" si="8"/>
        <v>11.75</v>
      </c>
      <c r="AX52" s="501">
        <f t="shared" si="9"/>
        <v>7.5</v>
      </c>
      <c r="AY52" s="500"/>
      <c r="AZ52" s="500"/>
      <c r="BA52" s="30">
        <v>104.25</v>
      </c>
      <c r="BB52" s="507">
        <v>0</v>
      </c>
      <c r="BC52" s="507">
        <v>5.8479532163742673</v>
      </c>
      <c r="BD52" s="284" t="str">
        <f t="shared" si="10"/>
        <v>OK</v>
      </c>
      <c r="BE52" s="284" t="str">
        <f t="shared" si="11"/>
        <v>OK</v>
      </c>
    </row>
    <row r="53" spans="1:57">
      <c r="A53" s="424">
        <v>41</v>
      </c>
      <c r="B53" s="425"/>
      <c r="C53" s="425"/>
      <c r="D53" s="425">
        <f t="shared" si="12"/>
        <v>0</v>
      </c>
      <c r="E53" s="425"/>
      <c r="F53" s="425"/>
      <c r="G53" s="425"/>
      <c r="H53" s="425"/>
      <c r="I53" s="425"/>
      <c r="J53" s="425"/>
      <c r="K53" s="425"/>
      <c r="L53" s="427">
        <f t="shared" si="2"/>
        <v>0</v>
      </c>
      <c r="M53" s="427">
        <f t="shared" si="3"/>
        <v>0</v>
      </c>
      <c r="N53" s="425"/>
      <c r="O53" s="425"/>
      <c r="P53" s="425"/>
      <c r="Q53" s="425"/>
      <c r="R53" s="430">
        <f t="shared" si="4"/>
        <v>100</v>
      </c>
      <c r="S53" s="430">
        <f>VLOOKUP(Y53,Hypothèses!$A$21:$C$156,3,0)</f>
        <v>100</v>
      </c>
      <c r="T53" s="424"/>
      <c r="U53" s="424">
        <v>1</v>
      </c>
      <c r="V53" s="424">
        <v>1</v>
      </c>
      <c r="W53" s="283">
        <f t="shared" si="5"/>
        <v>1</v>
      </c>
      <c r="X53" s="424"/>
      <c r="Y53" s="424">
        <v>1</v>
      </c>
      <c r="Z53" s="426">
        <v>1</v>
      </c>
      <c r="AA53" s="427">
        <v>0</v>
      </c>
      <c r="AB53" s="427">
        <v>60</v>
      </c>
      <c r="AC53" s="427">
        <v>90</v>
      </c>
      <c r="AD53" s="427">
        <v>0</v>
      </c>
      <c r="AE53" s="427">
        <v>74.178655900822349</v>
      </c>
      <c r="AF53" s="427">
        <v>60.691627555218282</v>
      </c>
      <c r="AG53" s="427">
        <v>99.275920340379713</v>
      </c>
      <c r="AH53" s="427">
        <v>109.20351237441768</v>
      </c>
      <c r="AI53" s="427">
        <v>0</v>
      </c>
      <c r="AJ53" s="427">
        <v>0</v>
      </c>
      <c r="AK53" s="427">
        <v>0</v>
      </c>
      <c r="AL53" s="427">
        <v>0</v>
      </c>
      <c r="AM53" s="427">
        <v>31.779293731956784</v>
      </c>
      <c r="AN53" s="427">
        <v>11.535883624700311</v>
      </c>
      <c r="AO53" s="427">
        <v>43.425121869754619</v>
      </c>
      <c r="AP53" s="427">
        <v>47.560847762112196</v>
      </c>
      <c r="AQ53" s="451">
        <v>2</v>
      </c>
      <c r="AR53" s="442"/>
      <c r="AS53" s="428">
        <v>7.1</v>
      </c>
      <c r="AT53" s="451" t="s">
        <v>232</v>
      </c>
      <c r="AU53" s="500">
        <f t="shared" si="6"/>
        <v>7.0999999999999943</v>
      </c>
      <c r="AV53" s="500">
        <f t="shared" si="7"/>
        <v>7.5</v>
      </c>
      <c r="AW53" s="500">
        <f t="shared" si="8"/>
        <v>11.75</v>
      </c>
      <c r="AX53" s="501">
        <f t="shared" si="9"/>
        <v>7.5</v>
      </c>
      <c r="AY53" s="500"/>
      <c r="AZ53" s="500"/>
      <c r="BA53" s="30">
        <v>104.25</v>
      </c>
      <c r="BB53" s="507">
        <v>0</v>
      </c>
      <c r="BC53" s="507">
        <v>5.8479532163742673</v>
      </c>
      <c r="BD53" s="284" t="str">
        <f t="shared" si="10"/>
        <v>OK</v>
      </c>
      <c r="BE53" s="284" t="str">
        <f t="shared" si="11"/>
        <v>OK</v>
      </c>
    </row>
  </sheetData>
  <sortState xmlns:xlrd2="http://schemas.microsoft.com/office/spreadsheetml/2017/richdata2" ref="A13:BA16">
    <sortCondition ref="AA13:AA16"/>
  </sortState>
  <mergeCells count="5">
    <mergeCell ref="F11:H11"/>
    <mergeCell ref="I11:K11"/>
    <mergeCell ref="AA9:AH9"/>
    <mergeCell ref="AI9:AP9"/>
    <mergeCell ref="A10:D10"/>
  </mergeCells>
  <phoneticPr fontId="62" type="noConversion"/>
  <conditionalFormatting sqref="AE13:AH53 AM13:AP53">
    <cfRule type="cellIs" dxfId="25" priority="11" operator="greaterThan">
      <formula>AA13</formula>
    </cfRule>
  </conditionalFormatting>
  <conditionalFormatting sqref="AT13:AT53">
    <cfRule type="cellIs" dxfId="24" priority="7" operator="equal">
      <formula>"NON"</formula>
    </cfRule>
    <cfRule type="cellIs" dxfId="23" priority="8" operator="equal">
      <formula>"OUI"</formula>
    </cfRule>
  </conditionalFormatting>
  <conditionalFormatting sqref="AS13:AS53">
    <cfRule type="cellIs" dxfId="22" priority="48" operator="greaterThan">
      <formula>$D$2</formula>
    </cfRule>
  </conditionalFormatting>
  <conditionalFormatting sqref="X13:X53">
    <cfRule type="expression" dxfId="21" priority="49">
      <formula>$AS13&gt;$D$2</formula>
    </cfRule>
  </conditionalFormatting>
  <conditionalFormatting sqref="BB13:BE53">
    <cfRule type="containsText" dxfId="20" priority="5" operator="containsText" text="Augmenter">
      <formula>NOT(ISERROR(SEARCH("Augmenter",BB13)))</formula>
    </cfRule>
    <cfRule type="containsText" dxfId="19" priority="6" operator="containsText" text="OK">
      <formula>NOT(ISERROR(SEARCH("OK",BB13)))</formula>
    </cfRule>
  </conditionalFormatting>
  <conditionalFormatting sqref="BD13:BD53">
    <cfRule type="containsText" dxfId="18" priority="4" operator="containsText" text="OK">
      <formula>NOT(ISERROR(SEARCH("OK",BD13)))</formula>
    </cfRule>
  </conditionalFormatting>
  <conditionalFormatting sqref="A10">
    <cfRule type="containsText" dxfId="17" priority="3" operator="containsText" text="Tous">
      <formula>NOT(ISERROR(SEARCH("Tous",A10)))</formula>
    </cfRule>
  </conditionalFormatting>
  <conditionalFormatting sqref="A10:D10">
    <cfRule type="containsText" dxfId="16" priority="2" operator="containsText" text="1">
      <formula>NOT(ISERROR(SEARCH("1",A10)))</formula>
    </cfRule>
  </conditionalFormatting>
  <conditionalFormatting sqref="AR13:AR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Hypothèses!$AA$3:$AA$4</xm:f>
          </x14:formula1>
          <xm:sqref>A8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FM363"/>
  <sheetViews>
    <sheetView topLeftCell="M1" zoomScale="130" zoomScaleNormal="130" workbookViewId="0">
      <selection activeCell="AD104" sqref="AD104"/>
    </sheetView>
  </sheetViews>
  <sheetFormatPr baseColWidth="10" defaultColWidth="11.44140625" defaultRowHeight="14.4"/>
  <cols>
    <col min="1" max="1" width="12.88671875" customWidth="1"/>
    <col min="2" max="3" width="8.6640625" customWidth="1"/>
    <col min="4" max="4" width="9.88671875" customWidth="1"/>
    <col min="5" max="23" width="9.109375" customWidth="1"/>
    <col min="24" max="24" width="9.33203125" bestFit="1" customWidth="1"/>
    <col min="25" max="31" width="10.5546875" customWidth="1"/>
    <col min="32" max="32" width="10.6640625" customWidth="1"/>
    <col min="33" max="40" width="10.5546875" customWidth="1"/>
    <col min="41" max="41" width="11" customWidth="1"/>
    <col min="42" max="42" width="10.88671875" customWidth="1"/>
    <col min="43" max="43" width="10.5546875" customWidth="1"/>
    <col min="44" max="49" width="10.88671875" customWidth="1"/>
    <col min="50" max="50" width="7" customWidth="1"/>
    <col min="51" max="51" width="10.5546875" customWidth="1"/>
    <col min="52" max="57" width="11.44140625" customWidth="1"/>
    <col min="58" max="58" width="7" customWidth="1"/>
    <col min="59" max="59" width="10.5546875" customWidth="1"/>
    <col min="60" max="65" width="11.44140625" customWidth="1"/>
    <col min="66" max="66" width="10.33203125" customWidth="1"/>
    <col min="67" max="67" width="10.5546875" customWidth="1"/>
    <col min="68" max="73" width="11.44140625" customWidth="1"/>
    <col min="74" max="74" width="7" bestFit="1" customWidth="1"/>
    <col min="75" max="75" width="10.5546875" customWidth="1"/>
    <col min="76" max="81" width="11.44140625" customWidth="1"/>
    <col min="82" max="82" width="7" customWidth="1"/>
    <col min="83" max="83" width="10.5546875" customWidth="1"/>
    <col min="84" max="89" width="11.44140625" customWidth="1"/>
    <col min="90" max="90" width="13.109375" customWidth="1"/>
    <col min="97" max="100" width="11.44140625" customWidth="1"/>
    <col min="105" max="105" width="14.5546875" bestFit="1" customWidth="1"/>
    <col min="112" max="115" width="11.44140625" customWidth="1"/>
    <col min="127" max="130" width="11.44140625" customWidth="1"/>
  </cols>
  <sheetData>
    <row r="1" spans="1:169">
      <c r="A1" s="52"/>
      <c r="B1" s="53"/>
      <c r="C1" s="415"/>
      <c r="D1" s="8"/>
      <c r="E1" s="8"/>
      <c r="F1" s="8"/>
      <c r="G1" s="8"/>
      <c r="H1" s="8"/>
      <c r="I1" s="8"/>
      <c r="J1" s="10"/>
      <c r="K1" s="10"/>
      <c r="L1" s="10"/>
      <c r="M1" s="8"/>
      <c r="N1" s="8"/>
      <c r="O1" s="8"/>
      <c r="P1" s="8"/>
      <c r="Q1" s="6"/>
      <c r="R1" s="6"/>
      <c r="S1" s="6"/>
      <c r="T1" s="6"/>
      <c r="U1" s="8"/>
      <c r="V1" s="8"/>
      <c r="W1" s="7"/>
      <c r="X1" s="54" t="s">
        <v>63</v>
      </c>
      <c r="Y1" s="55">
        <v>1</v>
      </c>
      <c r="Z1" s="55">
        <v>2</v>
      </c>
      <c r="AA1" s="55">
        <v>3</v>
      </c>
      <c r="AB1" s="55">
        <v>4</v>
      </c>
      <c r="AC1" s="55">
        <v>5</v>
      </c>
      <c r="AD1" s="55">
        <v>6</v>
      </c>
      <c r="AE1" s="55">
        <v>7</v>
      </c>
      <c r="AF1" s="55">
        <v>8</v>
      </c>
      <c r="AG1" s="10"/>
      <c r="AH1" s="10"/>
      <c r="AI1" s="10"/>
      <c r="AJ1" s="10"/>
      <c r="AK1" s="10" t="s">
        <v>312</v>
      </c>
      <c r="AL1" s="10" t="s">
        <v>313</v>
      </c>
      <c r="AM1" s="8" t="s">
        <v>314</v>
      </c>
      <c r="AN1" s="8" t="s">
        <v>315</v>
      </c>
      <c r="AO1" s="10" t="s">
        <v>316</v>
      </c>
      <c r="AP1" s="10" t="s">
        <v>317</v>
      </c>
      <c r="AQ1" s="10"/>
      <c r="AR1" s="10"/>
      <c r="AS1" s="10"/>
      <c r="AT1" s="10"/>
      <c r="AU1" s="8"/>
      <c r="AV1" s="8"/>
      <c r="AW1" s="10"/>
      <c r="AX1" s="10"/>
      <c r="AY1" s="10"/>
      <c r="AZ1" s="10"/>
      <c r="BA1" s="10"/>
      <c r="BB1" s="10"/>
      <c r="BC1" s="8"/>
      <c r="BD1" s="8"/>
      <c r="BE1" s="10"/>
      <c r="BF1" s="10"/>
      <c r="BG1" s="10"/>
      <c r="BH1" s="10"/>
      <c r="BI1" s="10"/>
      <c r="BJ1" s="10"/>
      <c r="BK1" s="8"/>
      <c r="BL1" s="8"/>
      <c r="BM1" s="8"/>
      <c r="BN1" s="10"/>
      <c r="BO1" s="10"/>
      <c r="BP1" s="10"/>
      <c r="BQ1" s="10"/>
      <c r="BR1" s="10"/>
      <c r="BS1" s="8"/>
      <c r="BT1" s="8"/>
      <c r="BU1" s="8"/>
      <c r="BV1" s="10"/>
      <c r="BW1" s="10"/>
      <c r="BX1" s="10"/>
      <c r="BY1" s="10"/>
      <c r="BZ1" s="10"/>
      <c r="CA1" s="8"/>
      <c r="CB1" s="8"/>
      <c r="CC1" s="8"/>
      <c r="CD1" s="10"/>
      <c r="CE1" s="10"/>
      <c r="CF1" s="10"/>
      <c r="CG1" s="10"/>
      <c r="CH1" s="10"/>
      <c r="CI1" s="8"/>
      <c r="CJ1" s="8"/>
      <c r="CK1" s="8"/>
      <c r="CL1" s="2"/>
      <c r="CM1" s="2"/>
      <c r="CN1" s="2"/>
      <c r="CO1" s="2"/>
      <c r="CP1" s="2"/>
    </row>
    <row r="2" spans="1:169">
      <c r="A2" s="56" t="s">
        <v>64</v>
      </c>
      <c r="B2" s="23" t="str">
        <f>Hypothèses!B3</f>
        <v>Pieu</v>
      </c>
      <c r="C2" s="14"/>
      <c r="D2" s="8"/>
      <c r="E2" s="8"/>
      <c r="F2" s="8"/>
      <c r="G2" s="8"/>
      <c r="H2" s="8"/>
      <c r="I2" s="57"/>
      <c r="J2" s="10"/>
      <c r="K2" s="10"/>
      <c r="L2" s="58"/>
      <c r="M2" s="8"/>
      <c r="N2" s="10"/>
      <c r="O2" s="9"/>
      <c r="P2" s="59"/>
      <c r="Q2" s="6"/>
      <c r="R2" s="6"/>
      <c r="S2" s="6"/>
      <c r="T2" s="6"/>
      <c r="U2" s="59"/>
      <c r="V2" s="8"/>
      <c r="W2" s="7"/>
      <c r="X2" s="60" t="s">
        <v>65</v>
      </c>
      <c r="Y2" s="61">
        <f>IF(diam_mini&lt;&gt;"",diam_mini,0.3)</f>
        <v>0.3</v>
      </c>
      <c r="Z2" s="61">
        <v>0.35</v>
      </c>
      <c r="AA2" s="61">
        <v>0.41</v>
      </c>
      <c r="AB2" s="61">
        <v>0.51</v>
      </c>
      <c r="AC2" s="61">
        <v>0.61</v>
      </c>
      <c r="AD2" s="61">
        <v>0</v>
      </c>
      <c r="AE2" s="61">
        <v>0</v>
      </c>
      <c r="AF2" s="61">
        <v>0</v>
      </c>
      <c r="AG2" s="10"/>
      <c r="AH2" s="10"/>
      <c r="AI2" s="10"/>
      <c r="AJ2" s="10">
        <f>AJ12</f>
        <v>0.42</v>
      </c>
      <c r="AK2" t="e">
        <f ca="1">OFFSET($B$13,SUM($AJ$13:$AJ$363),0)</f>
        <v>#N/A</v>
      </c>
      <c r="AL2" t="e">
        <f ca="1">OFFSET($AF$13,SUM($AJ$13:$AJ$363),0)</f>
        <v>#N/A</v>
      </c>
      <c r="AM2" t="e">
        <f ca="1">OFFSET($AG$13,SUM($AJ$13:$AJ$363),0)</f>
        <v>#N/A</v>
      </c>
      <c r="AN2" t="e">
        <f ca="1">OFFSET($AH$13,SUM($AJ$13:$AJ$363),0)</f>
        <v>#N/A</v>
      </c>
      <c r="AO2" t="e">
        <f ca="1">OFFSET($AI$13,SUM($AJ$13:$AJ$363),0)</f>
        <v>#N/A</v>
      </c>
      <c r="AP2" t="e">
        <f ca="1">OFFSET($AA$13,SUM($AJ$13:$AJ$363),0)</f>
        <v>#N/A</v>
      </c>
      <c r="AR2" s="10"/>
      <c r="AS2" s="10"/>
      <c r="AT2" s="10"/>
      <c r="AU2" s="8"/>
      <c r="AV2" s="8"/>
      <c r="AW2" s="10"/>
      <c r="AX2" s="10"/>
      <c r="AY2" s="10"/>
      <c r="AZ2" s="10"/>
      <c r="BA2" s="10"/>
      <c r="BB2" s="10"/>
      <c r="BC2" s="8"/>
      <c r="BD2" s="8"/>
      <c r="BE2" s="10"/>
      <c r="BF2" s="10"/>
      <c r="BG2" s="10"/>
      <c r="BH2" s="10"/>
      <c r="BI2" s="10"/>
      <c r="BJ2" s="10"/>
      <c r="BK2" s="8"/>
      <c r="BL2" s="8"/>
      <c r="BM2" s="8"/>
      <c r="BN2" s="10"/>
      <c r="BO2" s="10"/>
      <c r="BP2" s="10"/>
      <c r="BQ2" s="10"/>
      <c r="BR2" s="10"/>
      <c r="BS2" s="8"/>
      <c r="BT2" s="8"/>
      <c r="BU2" s="8"/>
      <c r="BV2" s="10"/>
      <c r="BW2" s="10"/>
      <c r="BX2" s="10"/>
      <c r="BY2" s="10"/>
      <c r="BZ2" s="10"/>
      <c r="CA2" s="8"/>
      <c r="CB2" s="8"/>
      <c r="CC2" s="8"/>
      <c r="CD2" s="10"/>
      <c r="CE2" s="10"/>
      <c r="CF2" s="10"/>
      <c r="CG2" s="10"/>
      <c r="CH2" s="10"/>
      <c r="CI2" s="8"/>
      <c r="CJ2" s="8"/>
      <c r="CK2" s="8"/>
      <c r="CL2" s="2"/>
      <c r="CM2" s="2"/>
      <c r="CN2" s="2"/>
      <c r="CO2" s="2"/>
      <c r="CP2" s="2"/>
    </row>
    <row r="3" spans="1:169" ht="26.4">
      <c r="A3" s="56" t="s">
        <v>66</v>
      </c>
      <c r="B3" s="23">
        <f>Hypothèses!B4</f>
        <v>6</v>
      </c>
      <c r="C3" s="14"/>
      <c r="D3" s="8"/>
      <c r="E3" s="8"/>
      <c r="F3" s="8"/>
      <c r="G3" s="8"/>
      <c r="H3" s="8"/>
      <c r="I3" s="57"/>
      <c r="J3" s="10"/>
      <c r="K3" s="10"/>
      <c r="L3" s="58"/>
      <c r="M3" s="8"/>
      <c r="N3" s="10"/>
      <c r="O3" s="9"/>
      <c r="P3" s="59"/>
      <c r="Q3" s="6"/>
      <c r="R3" s="6"/>
      <c r="S3" s="6"/>
      <c r="T3" s="6"/>
      <c r="U3" s="59"/>
      <c r="V3" s="8"/>
      <c r="W3" s="7"/>
      <c r="X3" s="60" t="s">
        <v>145</v>
      </c>
      <c r="Y3" s="61">
        <f>IF(diam_mini&lt;&gt;"",diam_mini,0.42)</f>
        <v>0.42</v>
      </c>
      <c r="Z3" s="61">
        <v>0.52</v>
      </c>
      <c r="AA3" s="61">
        <v>0.62</v>
      </c>
      <c r="AB3" s="61">
        <v>0.72</v>
      </c>
      <c r="AC3" s="61">
        <v>0.82</v>
      </c>
      <c r="AD3" s="61">
        <v>0.92</v>
      </c>
      <c r="AE3" s="61">
        <v>1.02</v>
      </c>
      <c r="AF3" s="61">
        <v>1.22</v>
      </c>
      <c r="AG3" s="10"/>
      <c r="AH3" s="10"/>
      <c r="AI3" s="10"/>
      <c r="AJ3" s="10">
        <f>BB12</f>
        <v>0.52</v>
      </c>
      <c r="AK3" t="e">
        <f ca="1">OFFSET($B$13,SUM($BC$13:$BC$363),0)</f>
        <v>#N/A</v>
      </c>
      <c r="AL3" t="e">
        <f ca="1">OFFSET($AY$13,SUM($BC$13:$BC$363),0)</f>
        <v>#N/A</v>
      </c>
      <c r="AM3" t="e">
        <f ca="1">OFFSET($AZ$13,SUM($BC$13:$BC$363),0)</f>
        <v>#N/A</v>
      </c>
      <c r="AN3" t="e">
        <f ca="1">OFFSET($BA$13,SUM($BC$13:$BC$363),0)</f>
        <v>#N/A</v>
      </c>
      <c r="AO3" t="e">
        <f ca="1">OFFSET($BB$13,SUM($BC$13:$BC$363),0)</f>
        <v>#N/A</v>
      </c>
      <c r="AP3" t="e">
        <f ca="1">OFFSET($AT$13,SUM($BC$13:$BC$363),0)</f>
        <v>#N/A</v>
      </c>
      <c r="AQ3" s="10"/>
      <c r="AR3" s="10"/>
      <c r="AS3" s="10"/>
      <c r="AT3" s="10"/>
      <c r="AU3" s="8"/>
      <c r="AV3" s="8"/>
      <c r="AW3" s="10"/>
      <c r="AX3" s="10"/>
      <c r="AY3" s="10"/>
      <c r="AZ3" s="10"/>
      <c r="BA3" s="10"/>
      <c r="BB3" s="10"/>
      <c r="BC3" s="8"/>
      <c r="BD3" s="8"/>
      <c r="BE3" s="10"/>
      <c r="BF3" s="10"/>
      <c r="BG3" s="10"/>
      <c r="BH3" s="10"/>
      <c r="BI3" s="10"/>
      <c r="BJ3" s="10"/>
      <c r="BK3" s="8"/>
      <c r="BL3" s="8"/>
      <c r="BM3" s="8"/>
      <c r="BN3" s="10"/>
      <c r="BO3" s="10"/>
      <c r="BP3" s="10"/>
      <c r="BQ3" s="10"/>
      <c r="BR3" s="10"/>
      <c r="BS3" s="8"/>
      <c r="BT3" s="8"/>
      <c r="BU3" s="8"/>
      <c r="BV3" s="10"/>
      <c r="BW3" s="10"/>
      <c r="BX3" s="10"/>
      <c r="BY3" s="10"/>
      <c r="BZ3" s="10"/>
      <c r="CA3" s="8"/>
      <c r="CB3" s="8"/>
      <c r="CC3" s="8"/>
      <c r="CD3" s="10"/>
      <c r="CE3" s="10"/>
      <c r="CF3" s="10"/>
      <c r="CG3" s="10"/>
      <c r="CH3" s="10"/>
      <c r="CI3" s="8"/>
      <c r="CJ3" s="8"/>
      <c r="CK3" s="8"/>
      <c r="CL3" s="2"/>
      <c r="CM3" s="2"/>
      <c r="CN3" s="2"/>
      <c r="CO3" s="2"/>
      <c r="CP3" s="2"/>
    </row>
    <row r="4" spans="1:169">
      <c r="A4" s="56" t="s">
        <v>67</v>
      </c>
      <c r="B4" s="53" t="s">
        <v>46</v>
      </c>
      <c r="C4" s="415"/>
      <c r="D4" s="8"/>
      <c r="E4" s="8"/>
      <c r="F4" s="8"/>
      <c r="G4" s="8"/>
      <c r="H4" s="8"/>
      <c r="I4" s="57"/>
      <c r="J4" s="10"/>
      <c r="K4" s="10"/>
      <c r="L4" s="58"/>
      <c r="M4" s="8"/>
      <c r="N4" s="10"/>
      <c r="O4" s="9"/>
      <c r="P4" s="59">
        <f>NDC!Q9</f>
        <v>0</v>
      </c>
      <c r="Q4" s="6"/>
      <c r="R4" s="6"/>
      <c r="S4" s="6"/>
      <c r="T4" s="6"/>
      <c r="U4" s="59"/>
      <c r="V4" s="8"/>
      <c r="W4" s="7"/>
      <c r="X4" s="60" t="s">
        <v>68</v>
      </c>
      <c r="Y4" s="61">
        <f>IF(diam_mini&lt;&gt;"",diam_mini,0.15)</f>
        <v>0.15</v>
      </c>
      <c r="Z4" s="61">
        <v>0.2</v>
      </c>
      <c r="AA4" s="61">
        <v>0.25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10"/>
      <c r="AH4" s="10"/>
      <c r="AI4" s="10"/>
      <c r="AJ4" s="10">
        <f>BU12</f>
        <v>0.62</v>
      </c>
      <c r="AK4" t="e">
        <f ca="1">OFFSET($B$13,SUM($BV$13:$BV$363),0)</f>
        <v>#N/A</v>
      </c>
      <c r="AL4" t="e">
        <f ca="1">OFFSET($BR$13,SUM($BV$13:$BV$363),0)</f>
        <v>#N/A</v>
      </c>
      <c r="AM4" t="e">
        <f ca="1">OFFSET($BS$13,SUM($BV$13:$BV$363),0)</f>
        <v>#N/A</v>
      </c>
      <c r="AN4" t="e">
        <f ca="1">OFFSET($BT$13,SUM($BV$13:$BV$363),0)</f>
        <v>#N/A</v>
      </c>
      <c r="AO4" t="e">
        <f ca="1">OFFSET($BU$13,SUM($BV$13:$BV$363),0)</f>
        <v>#N/A</v>
      </c>
      <c r="AP4" t="e">
        <f ca="1">OFFSET($BM$13,SUM($BV$13:$BV$363),0)</f>
        <v>#N/A</v>
      </c>
      <c r="AQ4" s="10"/>
      <c r="AR4" s="10"/>
      <c r="AS4" s="10"/>
      <c r="AT4" s="10"/>
      <c r="AU4" s="8"/>
      <c r="AV4" s="8"/>
      <c r="AW4" s="10"/>
      <c r="AX4" s="10"/>
      <c r="AY4" s="10"/>
      <c r="AZ4" s="10"/>
      <c r="BA4" s="10"/>
      <c r="BB4" s="10"/>
      <c r="BC4" s="8"/>
      <c r="BD4" s="8"/>
      <c r="BE4" s="10"/>
      <c r="BF4" s="10"/>
      <c r="BG4" s="10"/>
      <c r="BH4" s="10"/>
      <c r="BI4" s="10"/>
      <c r="BJ4" s="10"/>
      <c r="BK4" s="8"/>
      <c r="BL4" s="8"/>
      <c r="BM4" s="8"/>
      <c r="BN4" s="10"/>
      <c r="BO4" s="10"/>
      <c r="BP4" s="10"/>
      <c r="BQ4" s="10"/>
      <c r="BR4" s="10"/>
      <c r="BS4" s="8"/>
      <c r="BT4" s="8"/>
      <c r="BU4" s="8"/>
      <c r="BV4" s="10"/>
      <c r="BW4" s="10"/>
      <c r="BX4" s="10"/>
      <c r="BY4" s="10"/>
      <c r="BZ4" s="10"/>
      <c r="CA4" s="8"/>
      <c r="CB4" s="8"/>
      <c r="CC4" s="8"/>
      <c r="CD4" s="10"/>
      <c r="CE4" s="10"/>
      <c r="CF4" s="10"/>
      <c r="CG4" s="10"/>
      <c r="CH4" s="10"/>
      <c r="CI4" s="8"/>
      <c r="CJ4" s="8"/>
      <c r="CK4" s="8"/>
      <c r="CL4" s="2"/>
      <c r="CM4" s="2"/>
      <c r="CN4" s="2"/>
      <c r="CO4" s="2"/>
      <c r="CP4" s="2"/>
    </row>
    <row r="5" spans="1:169">
      <c r="A5" s="62" t="s">
        <v>69</v>
      </c>
      <c r="B5" s="63">
        <v>1.1000000000000001</v>
      </c>
      <c r="C5" s="416"/>
      <c r="D5" s="8"/>
      <c r="E5" s="8"/>
      <c r="F5" s="8"/>
      <c r="G5" s="8"/>
      <c r="H5" s="8"/>
      <c r="I5" s="57"/>
      <c r="J5" s="10"/>
      <c r="K5" s="10"/>
      <c r="L5" s="58"/>
      <c r="M5" s="8"/>
      <c r="N5" s="10"/>
      <c r="O5" s="9"/>
      <c r="P5" s="59">
        <f>NDC!Q10</f>
        <v>0</v>
      </c>
      <c r="Q5" s="6"/>
      <c r="R5" s="6"/>
      <c r="S5" s="6"/>
      <c r="T5" s="6"/>
      <c r="U5" s="59"/>
      <c r="V5" s="8"/>
      <c r="W5" s="7"/>
      <c r="X5" s="60" t="s">
        <v>149</v>
      </c>
      <c r="Y5" s="61">
        <f>IF(diam_mini&lt;&gt;"",diam_mini,0.273)</f>
        <v>0.27300000000000002</v>
      </c>
      <c r="Z5" s="61">
        <v>0.3</v>
      </c>
      <c r="AA5" s="61">
        <v>0.32</v>
      </c>
      <c r="AB5" s="61">
        <v>0.35</v>
      </c>
      <c r="AC5" s="61">
        <v>0</v>
      </c>
      <c r="AD5" s="61">
        <v>0</v>
      </c>
      <c r="AE5" s="61">
        <v>0</v>
      </c>
      <c r="AF5" s="61">
        <v>0</v>
      </c>
      <c r="AG5" s="10"/>
      <c r="AH5" s="10"/>
      <c r="AI5" s="10"/>
      <c r="AJ5" s="10">
        <f>CN12</f>
        <v>0.72</v>
      </c>
      <c r="AK5" t="e">
        <f ca="1">OFFSET($B$13,SUM($CO$13:$CO$363),0)</f>
        <v>#N/A</v>
      </c>
      <c r="AL5" t="e">
        <f ca="1">OFFSET($CK$13,SUM($CO$13:$CO$363),0)</f>
        <v>#N/A</v>
      </c>
      <c r="AM5" t="e">
        <f ca="1">OFFSET($CL$13,SUM($CO$13:$CO$363),0)</f>
        <v>#N/A</v>
      </c>
      <c r="AN5" t="e">
        <f ca="1">OFFSET($CM$13,SUM($CO$13:$CO$363),0)</f>
        <v>#N/A</v>
      </c>
      <c r="AO5" t="e">
        <f ca="1">OFFSET($CN$13,SUM($CO$13:$CO$363),0)</f>
        <v>#N/A</v>
      </c>
      <c r="AP5" t="e">
        <f ca="1">OFFSET($CF$13,SUM($CO$13:$CO$363),0)</f>
        <v>#N/A</v>
      </c>
      <c r="AQ5" s="10"/>
      <c r="AR5" s="10"/>
      <c r="AS5" s="10"/>
      <c r="AT5" s="10"/>
      <c r="AU5" s="8"/>
      <c r="AV5" s="8"/>
      <c r="AW5" s="10"/>
      <c r="AX5" s="10"/>
      <c r="AY5" s="10"/>
      <c r="AZ5" s="10"/>
      <c r="BA5" s="10"/>
      <c r="BB5" s="10"/>
      <c r="BC5" s="8"/>
      <c r="BD5" s="8"/>
      <c r="BE5" s="10"/>
      <c r="BF5" s="10"/>
      <c r="BG5" s="10"/>
      <c r="BH5" s="10"/>
      <c r="BI5" s="10"/>
      <c r="BJ5" s="10"/>
      <c r="BK5" s="8"/>
      <c r="BL5" s="8"/>
      <c r="BM5" s="8"/>
      <c r="BN5" s="10"/>
      <c r="BO5" s="10"/>
      <c r="BP5" s="10"/>
      <c r="BQ5" s="10"/>
      <c r="BR5" s="10"/>
      <c r="BS5" s="8"/>
      <c r="BT5" s="8"/>
      <c r="BU5" s="8"/>
      <c r="BV5" s="10"/>
      <c r="BW5" s="10"/>
      <c r="BX5" s="10"/>
      <c r="BY5" s="10"/>
      <c r="BZ5" s="10"/>
      <c r="CA5" s="8"/>
      <c r="CB5" s="8"/>
      <c r="CC5" s="8"/>
      <c r="CD5" s="10"/>
      <c r="CE5" s="10"/>
      <c r="CF5" s="10"/>
      <c r="CG5" s="10"/>
      <c r="CH5" s="10"/>
      <c r="CI5" s="8"/>
      <c r="CJ5" s="8"/>
      <c r="CK5" s="8"/>
      <c r="CL5" s="2"/>
      <c r="CM5" s="2"/>
      <c r="CN5" s="2"/>
      <c r="CO5" s="2"/>
      <c r="CP5" s="2"/>
    </row>
    <row r="6" spans="1:169">
      <c r="A6" s="62"/>
      <c r="B6" s="23"/>
      <c r="C6" s="14"/>
      <c r="D6" s="1"/>
      <c r="E6" s="8"/>
      <c r="F6" s="8"/>
      <c r="G6" s="8"/>
      <c r="H6" s="8"/>
      <c r="I6" s="57"/>
      <c r="J6" s="10"/>
      <c r="K6" s="10"/>
      <c r="L6" s="58"/>
      <c r="M6" s="8"/>
      <c r="N6" s="10"/>
      <c r="O6" s="9"/>
      <c r="P6" s="59">
        <f>NDC!Q11</f>
        <v>0</v>
      </c>
      <c r="Q6" s="6"/>
      <c r="R6" s="6"/>
      <c r="S6" s="6"/>
      <c r="T6" s="6"/>
      <c r="U6" s="59"/>
      <c r="V6" s="58"/>
      <c r="W6" s="58"/>
      <c r="X6" s="60" t="s">
        <v>70</v>
      </c>
      <c r="Y6" s="61">
        <f>IF(diam_mini&lt;&gt;"",diam_mini,0.6)</f>
        <v>0.6</v>
      </c>
      <c r="Z6" s="61">
        <v>0.7</v>
      </c>
      <c r="AA6" s="61">
        <v>0.8</v>
      </c>
      <c r="AB6" s="61">
        <v>0.9</v>
      </c>
      <c r="AC6" s="61">
        <v>1</v>
      </c>
      <c r="AD6" s="61">
        <v>1.2</v>
      </c>
      <c r="AE6" s="61">
        <v>1.5</v>
      </c>
      <c r="AF6" s="61">
        <v>2</v>
      </c>
      <c r="AG6" s="58"/>
      <c r="AH6" s="58"/>
      <c r="AI6" s="58"/>
      <c r="AJ6" s="10">
        <f>DG12</f>
        <v>0.82</v>
      </c>
      <c r="AK6" t="e">
        <f ca="1">OFFSET($B$13,SUM($DH$13:$DH$363),0)</f>
        <v>#N/A</v>
      </c>
      <c r="AL6" t="e">
        <f ca="1">OFFSET($DD$13,SUM($DH$13:$DH$363),0)</f>
        <v>#N/A</v>
      </c>
      <c r="AM6" t="e">
        <f ca="1">OFFSET($DE$13,SUM($DH$13:$DH$363),0)</f>
        <v>#N/A</v>
      </c>
      <c r="AN6" t="e">
        <f ca="1">OFFSET($DF$13,SUM($DH$13:$DH$363),0)</f>
        <v>#N/A</v>
      </c>
      <c r="AO6" t="e">
        <f ca="1">OFFSET($DG$13,SUM($DH$13:$DH$363),0)</f>
        <v>#N/A</v>
      </c>
      <c r="AP6" t="e">
        <f ca="1">OFFSET($CY$13,SUM($DH$13:$DH$363),0)</f>
        <v>#N/A</v>
      </c>
      <c r="AQ6" s="10"/>
      <c r="AR6" s="10"/>
      <c r="AS6" s="10"/>
      <c r="AT6" s="10"/>
      <c r="AU6" s="8"/>
      <c r="AV6" s="8"/>
      <c r="AW6" s="10"/>
      <c r="AX6" s="10"/>
      <c r="AY6" s="10"/>
      <c r="AZ6" s="10"/>
      <c r="BA6" s="10"/>
      <c r="BB6" s="10"/>
      <c r="BC6" s="8"/>
      <c r="BD6" s="8"/>
      <c r="BE6" s="10"/>
      <c r="BF6" s="10"/>
      <c r="BG6" s="10"/>
      <c r="BH6" s="10"/>
      <c r="BI6" s="10"/>
      <c r="BJ6" s="10"/>
      <c r="BK6" s="8"/>
      <c r="BL6" s="8"/>
      <c r="BM6" s="8"/>
      <c r="BN6" s="10"/>
      <c r="BO6" s="10"/>
      <c r="BP6" s="10"/>
      <c r="BQ6" s="10"/>
      <c r="BR6" s="10"/>
      <c r="BS6" s="8"/>
      <c r="BT6" s="8"/>
      <c r="BU6" s="8"/>
      <c r="BV6" s="10"/>
      <c r="BW6" s="10"/>
      <c r="BX6" s="10"/>
      <c r="BY6" s="10"/>
      <c r="BZ6" s="10"/>
      <c r="CA6" s="8"/>
      <c r="CB6" s="8"/>
      <c r="CC6" s="8"/>
      <c r="CD6" s="10"/>
      <c r="CE6" s="10"/>
      <c r="CF6" s="10"/>
      <c r="CG6" s="10"/>
      <c r="CH6" s="10"/>
      <c r="CI6" s="8"/>
      <c r="CJ6" s="8"/>
      <c r="CK6" s="8"/>
      <c r="CL6" s="2"/>
      <c r="CM6" s="2"/>
      <c r="CN6" s="2"/>
      <c r="CO6" s="2"/>
      <c r="CP6" s="2"/>
    </row>
    <row r="7" spans="1:169">
      <c r="A7" s="62"/>
      <c r="B7" s="23"/>
      <c r="C7" s="14"/>
      <c r="D7" s="1"/>
      <c r="E7" s="8"/>
      <c r="F7" s="8"/>
      <c r="G7" s="8"/>
      <c r="H7" s="8"/>
      <c r="I7" s="57"/>
      <c r="J7" s="10"/>
      <c r="K7" s="10"/>
      <c r="L7" s="58"/>
      <c r="M7" s="8"/>
      <c r="N7" s="10"/>
      <c r="O7" s="9"/>
      <c r="P7" s="59">
        <f>NDC!Q12</f>
        <v>0</v>
      </c>
      <c r="Q7" s="6"/>
      <c r="R7" s="6"/>
      <c r="S7" s="6"/>
      <c r="T7" s="6"/>
      <c r="U7" s="59"/>
      <c r="V7" s="8"/>
      <c r="W7" s="7"/>
      <c r="X7" s="10"/>
      <c r="Y7" s="10"/>
      <c r="Z7" s="10"/>
      <c r="AA7" s="10"/>
      <c r="AB7" s="10"/>
      <c r="AC7" s="10"/>
      <c r="AD7" s="8"/>
      <c r="AE7" s="8"/>
      <c r="AF7" s="10"/>
      <c r="AG7" s="10"/>
      <c r="AH7" s="10"/>
      <c r="AI7" s="10"/>
      <c r="AJ7" s="10">
        <f>DZ12</f>
        <v>0.92</v>
      </c>
      <c r="AK7" t="e">
        <f ca="1">OFFSET($B$13,SUM($EA$13:$EA$363),0)</f>
        <v>#N/A</v>
      </c>
      <c r="AL7" t="e">
        <f ca="1">OFFSET($DW$13,SUM($EA$13:$EA$363),0)</f>
        <v>#N/A</v>
      </c>
      <c r="AM7" t="e">
        <f ca="1">OFFSET($DX$13,SUM($EA$13:$EA$363),0)</f>
        <v>#N/A</v>
      </c>
      <c r="AN7" t="e">
        <f ca="1">OFFSET($DY$13,SUM($EA$13:$EA$363),0)</f>
        <v>#N/A</v>
      </c>
      <c r="AO7" t="e">
        <f ca="1">OFFSET($DZ$13,SUM($EA$13:$EA$363),0)</f>
        <v>#N/A</v>
      </c>
      <c r="AP7" t="e">
        <f ca="1">OFFSET($DR$13,SUM($EA$13:$EA$363),0)</f>
        <v>#N/A</v>
      </c>
      <c r="AQ7" s="10"/>
      <c r="AR7" s="10"/>
      <c r="AS7" s="10"/>
      <c r="AT7" s="10"/>
      <c r="AU7" s="8"/>
      <c r="AV7" s="8"/>
      <c r="AW7" s="10"/>
      <c r="AX7" s="10"/>
      <c r="AY7" s="10"/>
      <c r="AZ7" s="10"/>
      <c r="BA7" s="10"/>
      <c r="BB7" s="10"/>
      <c r="BC7" s="8"/>
      <c r="BD7" s="8"/>
      <c r="BE7" s="10"/>
      <c r="BF7" s="10"/>
      <c r="BG7" s="10"/>
      <c r="BH7" s="10"/>
      <c r="BI7" s="10"/>
      <c r="BJ7" s="10"/>
      <c r="BK7" s="8"/>
      <c r="BL7" s="8"/>
      <c r="BM7" s="8"/>
      <c r="BN7" s="10"/>
      <c r="BO7" s="10"/>
      <c r="BP7" s="10"/>
      <c r="BQ7" s="10"/>
      <c r="BR7" s="10"/>
      <c r="BS7" s="8"/>
      <c r="BT7" s="8"/>
      <c r="BU7" s="8"/>
      <c r="BV7" s="10"/>
      <c r="BW7" s="10"/>
      <c r="BX7" s="10"/>
      <c r="BY7" s="10"/>
      <c r="BZ7" s="10"/>
      <c r="CA7" s="8"/>
      <c r="CB7" s="8"/>
      <c r="CC7" s="8"/>
      <c r="CD7" s="10"/>
      <c r="CE7" s="10"/>
      <c r="CF7" s="10"/>
      <c r="CG7" s="10"/>
      <c r="CH7" s="10"/>
      <c r="CI7" s="8"/>
      <c r="CJ7" s="8"/>
      <c r="CK7" s="8"/>
      <c r="CL7" s="2"/>
      <c r="CM7" s="2"/>
      <c r="CN7" s="2"/>
      <c r="CO7" s="2"/>
      <c r="CP7" s="2"/>
    </row>
    <row r="8" spans="1:169" ht="20.25" customHeight="1">
      <c r="A8" s="564"/>
      <c r="B8" s="566"/>
      <c r="C8" s="14"/>
      <c r="D8" s="1"/>
      <c r="E8" s="8"/>
      <c r="F8" s="8"/>
      <c r="G8" s="8"/>
      <c r="H8" s="8"/>
      <c r="I8" s="57"/>
      <c r="J8" s="10"/>
      <c r="K8" s="10"/>
      <c r="L8" s="58"/>
      <c r="M8" s="8"/>
      <c r="N8" s="10"/>
      <c r="O8" s="9"/>
      <c r="P8" s="59">
        <f>NDC!Q13</f>
        <v>0</v>
      </c>
      <c r="Q8" s="6"/>
      <c r="R8" s="6"/>
      <c r="S8" s="6"/>
      <c r="T8" s="6"/>
      <c r="U8" s="59"/>
      <c r="V8" s="8"/>
      <c r="W8" s="7"/>
      <c r="X8" s="10"/>
      <c r="Y8" s="10"/>
      <c r="Z8" s="10"/>
      <c r="AA8" s="10"/>
      <c r="AB8" s="10"/>
      <c r="AC8" s="10"/>
      <c r="AD8" s="8"/>
      <c r="AE8" s="8"/>
      <c r="AF8" s="10"/>
      <c r="AG8" s="10"/>
      <c r="AH8" s="10"/>
      <c r="AI8" s="10"/>
      <c r="AJ8" s="10">
        <f>ES12</f>
        <v>1.02</v>
      </c>
      <c r="AK8" t="e">
        <f ca="1">OFFSET($B$13,SUM($ET$13:$ET$363),0)</f>
        <v>#N/A</v>
      </c>
      <c r="AL8" t="e">
        <f ca="1">OFFSET($EP$13,SUM($ET$13:$ET$363),0)</f>
        <v>#N/A</v>
      </c>
      <c r="AM8" t="e">
        <f ca="1">OFFSET($EQ$13,SUM($ET$13:$ET$363),0)</f>
        <v>#N/A</v>
      </c>
      <c r="AN8" t="e">
        <f ca="1">OFFSET($ER$13,SUM($ET$13:$ET$363),0)</f>
        <v>#N/A</v>
      </c>
      <c r="AO8" t="e">
        <f ca="1">OFFSET($ES$13,SUM($ET$13:$ET$363),0)</f>
        <v>#N/A</v>
      </c>
      <c r="AP8" t="e">
        <f ca="1">OFFSET($EK$13,SUM($ET$13:$ET$363),0)</f>
        <v>#N/A</v>
      </c>
      <c r="AQ8" s="10"/>
      <c r="AR8" s="10"/>
      <c r="AS8" s="10"/>
      <c r="AT8" s="10"/>
      <c r="AU8" s="8"/>
      <c r="AV8" s="8"/>
      <c r="AW8" s="10"/>
      <c r="AX8" s="10"/>
      <c r="AY8" s="10"/>
      <c r="AZ8" s="10"/>
      <c r="BA8" s="10"/>
      <c r="BB8" s="10"/>
      <c r="BC8" s="8"/>
      <c r="BD8" s="8"/>
      <c r="BE8" s="10"/>
      <c r="BF8" s="10"/>
      <c r="BG8" s="10"/>
      <c r="BH8" s="10"/>
      <c r="BI8" s="10"/>
      <c r="BJ8" s="10"/>
      <c r="BK8" s="8"/>
      <c r="BL8" s="8"/>
      <c r="BM8" s="8"/>
      <c r="BN8" s="10"/>
      <c r="BO8" s="10"/>
      <c r="BP8" s="10"/>
      <c r="BQ8" s="10"/>
      <c r="BR8" s="10"/>
      <c r="BS8" s="8"/>
      <c r="BT8" s="8"/>
      <c r="BU8" s="8"/>
      <c r="BV8" s="10"/>
      <c r="BW8" s="10"/>
      <c r="BX8" s="10"/>
      <c r="BY8" s="10"/>
      <c r="BZ8" s="10"/>
      <c r="CA8" s="8"/>
      <c r="CB8" s="8"/>
      <c r="CC8" s="8"/>
      <c r="CD8" s="10"/>
      <c r="CE8" s="10"/>
      <c r="CF8" s="10"/>
      <c r="CG8" s="10"/>
      <c r="CH8" s="10"/>
      <c r="CI8" s="8"/>
      <c r="CJ8" s="8"/>
      <c r="CK8" s="8"/>
      <c r="CL8" s="2"/>
      <c r="CM8" s="2"/>
      <c r="CN8" s="2"/>
      <c r="CO8" s="2"/>
      <c r="CP8" s="2"/>
    </row>
    <row r="9" spans="1:169" ht="31.5" customHeight="1">
      <c r="A9" s="565"/>
      <c r="B9" s="567"/>
      <c r="C9" s="14"/>
      <c r="D9" s="1"/>
      <c r="E9" s="8"/>
      <c r="F9" s="8"/>
      <c r="G9" s="8"/>
      <c r="H9" s="8"/>
      <c r="I9" s="57"/>
      <c r="J9" s="10"/>
      <c r="K9" s="10"/>
      <c r="L9" s="58"/>
      <c r="M9" s="8"/>
      <c r="N9" s="10"/>
      <c r="O9" s="9"/>
      <c r="P9" s="59">
        <f>NDC!Q14</f>
        <v>0</v>
      </c>
      <c r="Q9" s="6"/>
      <c r="R9" s="6"/>
      <c r="S9" s="6"/>
      <c r="T9" s="6"/>
      <c r="U9" s="64"/>
      <c r="V9" s="8"/>
      <c r="W9" s="7"/>
      <c r="X9" s="10"/>
      <c r="Y9" s="10"/>
      <c r="Z9" s="10"/>
      <c r="AA9" s="10"/>
      <c r="AB9" s="10"/>
      <c r="AC9" s="10"/>
      <c r="AD9" s="8"/>
      <c r="AE9" s="8"/>
      <c r="AF9" s="10"/>
      <c r="AG9" s="10"/>
      <c r="AH9" s="10"/>
      <c r="AI9" s="10"/>
      <c r="AJ9" s="10">
        <f>FL12</f>
        <v>1.22</v>
      </c>
      <c r="AK9" t="e">
        <f ca="1">OFFSET($B$13,SUM($FM$13:$FM$363),0)</f>
        <v>#N/A</v>
      </c>
      <c r="AL9" t="e">
        <f ca="1">OFFSET($FI$13,SUM($FM$13:$FM$363),0)</f>
        <v>#N/A</v>
      </c>
      <c r="AM9" t="e">
        <f ca="1">OFFSET($FJ$13,SUM($FM$13:$FM$363),0)</f>
        <v>#N/A</v>
      </c>
      <c r="AN9" t="e">
        <f ca="1">OFFSET($FK$13,SUM($FM$13:$FM$363),0)</f>
        <v>#N/A</v>
      </c>
      <c r="AO9" t="e">
        <f ca="1">OFFSET($FL$13,SUM($FM$13:$FM$363),0)</f>
        <v>#N/A</v>
      </c>
      <c r="AP9" t="e">
        <f ca="1">OFFSET($FD$13,SUM($FM$13:$FM$363),0)</f>
        <v>#N/A</v>
      </c>
      <c r="AQ9" s="10"/>
      <c r="AR9" s="10"/>
      <c r="AS9" s="10"/>
      <c r="AT9" s="10"/>
      <c r="AU9" s="8"/>
      <c r="AV9" s="8"/>
      <c r="AW9" s="10"/>
      <c r="AX9" s="10"/>
      <c r="AY9" s="10"/>
      <c r="AZ9" s="10"/>
      <c r="BA9" s="10"/>
      <c r="BB9" s="10"/>
      <c r="BC9" s="8"/>
      <c r="BD9" s="8"/>
      <c r="BE9" s="10"/>
      <c r="BF9" s="10"/>
      <c r="BG9" s="10"/>
      <c r="BH9" s="10"/>
      <c r="BI9" s="10"/>
      <c r="BJ9" s="10"/>
      <c r="BK9" s="8"/>
      <c r="BL9" s="8"/>
      <c r="BM9" s="8"/>
      <c r="BN9" s="10"/>
      <c r="BO9" s="10"/>
      <c r="BP9" s="10"/>
      <c r="BQ9" s="10"/>
      <c r="BR9" s="10"/>
      <c r="BS9" s="8"/>
      <c r="BT9" s="8"/>
      <c r="BU9" s="8"/>
      <c r="BV9" s="10"/>
      <c r="BW9" s="10"/>
      <c r="BX9" s="10"/>
      <c r="BY9" s="10"/>
      <c r="BZ9" s="10"/>
      <c r="CA9" s="8"/>
      <c r="CB9" s="8"/>
      <c r="CC9" s="8"/>
      <c r="CD9" s="10"/>
      <c r="CE9" s="10"/>
      <c r="CF9" s="10"/>
      <c r="CG9" s="10"/>
      <c r="CH9" s="10"/>
      <c r="CI9" s="8"/>
      <c r="CJ9" s="8"/>
      <c r="CK9" s="8"/>
      <c r="CL9" s="2"/>
      <c r="CM9" s="2"/>
      <c r="CN9" s="2"/>
      <c r="CO9" s="2"/>
      <c r="CP9" s="2"/>
    </row>
    <row r="10" spans="1:169" ht="16.5" customHeight="1" thickBot="1">
      <c r="A10" s="65" t="s">
        <v>71</v>
      </c>
      <c r="B10" s="66">
        <f>NDC!$C$21</f>
        <v>1</v>
      </c>
      <c r="C10" s="416"/>
      <c r="D10" s="1"/>
      <c r="E10" s="8"/>
      <c r="F10" s="8"/>
      <c r="G10" s="8"/>
      <c r="H10" s="8"/>
      <c r="I10" s="57"/>
      <c r="J10" s="10"/>
      <c r="K10" s="10"/>
      <c r="L10" s="58"/>
      <c r="M10" s="8"/>
      <c r="N10" s="10"/>
      <c r="O10" s="9"/>
      <c r="P10" s="59">
        <f>NDC!Q15</f>
        <v>0</v>
      </c>
      <c r="Q10" s="6"/>
      <c r="R10" s="6"/>
      <c r="S10" s="6"/>
      <c r="T10" s="6"/>
      <c r="U10" s="58"/>
      <c r="V10" s="8"/>
      <c r="W10" s="7"/>
      <c r="X10" s="10"/>
      <c r="Y10" s="10"/>
      <c r="Z10" s="10"/>
      <c r="AA10" s="10"/>
      <c r="AB10" s="10"/>
      <c r="AC10" s="10"/>
      <c r="AD10" s="8"/>
      <c r="AE10" s="8"/>
      <c r="AG10" s="10"/>
      <c r="AH10" s="10"/>
      <c r="AI10" s="67">
        <v>1</v>
      </c>
      <c r="AJ10" s="411" t="s">
        <v>311</v>
      </c>
      <c r="AK10" s="58"/>
      <c r="AL10" s="8"/>
      <c r="AM10" s="7"/>
      <c r="AN10" s="10"/>
      <c r="AO10" s="10"/>
      <c r="AP10" s="10"/>
      <c r="AQ10" s="10"/>
      <c r="AR10" s="10"/>
      <c r="AS10" s="10"/>
      <c r="AT10" s="8"/>
      <c r="AU10" s="8"/>
      <c r="AW10" s="10"/>
      <c r="AX10" s="10"/>
      <c r="BB10" s="67">
        <v>2</v>
      </c>
      <c r="BC10" s="411" t="s">
        <v>311</v>
      </c>
      <c r="BD10" s="10"/>
      <c r="BE10" s="10"/>
      <c r="BF10" s="10"/>
      <c r="BG10" s="10"/>
      <c r="BH10" s="10"/>
      <c r="BI10" s="10"/>
      <c r="BJ10" s="8"/>
      <c r="BK10" s="8"/>
      <c r="BM10" s="10"/>
      <c r="BN10" s="10"/>
      <c r="BQ10" s="58"/>
      <c r="BR10" s="8"/>
      <c r="BS10" s="7"/>
      <c r="BT10" s="10"/>
      <c r="BU10" s="67">
        <v>3</v>
      </c>
      <c r="BV10" s="411" t="s">
        <v>311</v>
      </c>
      <c r="BW10" s="10"/>
      <c r="BX10" s="10"/>
      <c r="BY10" s="10"/>
      <c r="BZ10" s="8"/>
      <c r="CA10" s="8"/>
      <c r="CC10" s="10"/>
      <c r="CD10" s="10"/>
      <c r="CG10" s="58"/>
      <c r="CH10" s="8"/>
      <c r="CI10" s="7"/>
      <c r="CJ10" s="10"/>
      <c r="CK10" s="10"/>
      <c r="CL10" s="10"/>
      <c r="CM10" s="10"/>
      <c r="CN10" s="67">
        <v>4</v>
      </c>
      <c r="CO10" s="411" t="s">
        <v>311</v>
      </c>
      <c r="CP10" s="8"/>
      <c r="CQ10" s="8"/>
      <c r="CS10" s="10"/>
      <c r="CT10" s="10"/>
      <c r="CW10" s="58"/>
      <c r="CX10" s="8"/>
      <c r="CY10" s="7"/>
      <c r="CZ10" s="10"/>
      <c r="DA10" s="10"/>
      <c r="DB10" s="10"/>
      <c r="DC10" s="10"/>
      <c r="DD10" s="10"/>
      <c r="DE10" s="10"/>
      <c r="DF10" s="8"/>
      <c r="DG10" s="67">
        <v>5</v>
      </c>
      <c r="DH10" s="411" t="s">
        <v>311</v>
      </c>
      <c r="DI10" s="8"/>
      <c r="DJ10" s="8"/>
      <c r="DL10" s="10"/>
      <c r="DM10" s="10"/>
      <c r="DP10" s="58"/>
      <c r="DQ10" s="8"/>
      <c r="DR10" s="7"/>
      <c r="DS10" s="10"/>
      <c r="DT10" s="10"/>
      <c r="DU10" s="10"/>
      <c r="DV10" s="10"/>
      <c r="DW10" s="10"/>
      <c r="DX10" s="10"/>
      <c r="DY10" s="8"/>
      <c r="DZ10" s="67">
        <v>6</v>
      </c>
      <c r="EA10" s="411" t="s">
        <v>311</v>
      </c>
      <c r="EB10" s="8"/>
      <c r="EC10" s="8"/>
      <c r="EE10" s="10"/>
      <c r="EF10" s="10"/>
      <c r="EI10" s="58"/>
      <c r="EJ10" s="8"/>
      <c r="EK10" s="7"/>
      <c r="EL10" s="10"/>
      <c r="EM10" s="10"/>
      <c r="EN10" s="10"/>
      <c r="EO10" s="10"/>
      <c r="EP10" s="10"/>
      <c r="EQ10" s="10"/>
      <c r="ER10" s="8"/>
      <c r="ES10" s="67">
        <v>7</v>
      </c>
      <c r="ET10" s="411" t="s">
        <v>311</v>
      </c>
      <c r="EU10" s="8"/>
      <c r="EV10" s="8"/>
      <c r="EX10" s="10"/>
      <c r="EY10" s="10"/>
      <c r="FL10" s="67">
        <v>8</v>
      </c>
      <c r="FM10" s="411" t="s">
        <v>311</v>
      </c>
    </row>
    <row r="11" spans="1:169" ht="55.5" customHeight="1" thickBot="1">
      <c r="A11" s="568" t="str">
        <f>CONCATENATE(B1," ",B4)</f>
        <v xml:space="preserve"> Comp</v>
      </c>
      <c r="B11" s="569"/>
      <c r="C11" s="569"/>
      <c r="D11" s="569"/>
      <c r="E11" s="569"/>
      <c r="F11" s="569"/>
      <c r="G11" s="569"/>
      <c r="H11" s="569"/>
      <c r="I11" s="569"/>
      <c r="J11" s="569"/>
      <c r="K11" s="569"/>
      <c r="L11" s="569"/>
      <c r="M11" s="569"/>
      <c r="N11" s="569"/>
      <c r="O11" s="569"/>
      <c r="P11" s="569"/>
      <c r="Q11" s="569"/>
      <c r="R11" s="569"/>
      <c r="S11" s="569"/>
      <c r="T11" s="569"/>
      <c r="U11" s="569"/>
      <c r="V11" s="569"/>
      <c r="W11" s="569"/>
      <c r="X11" s="570"/>
      <c r="Y11" s="561" t="str">
        <f>CONCATENATE($X$1,AI12*100,"cm")</f>
        <v>Ø42cm</v>
      </c>
      <c r="Z11" s="562"/>
      <c r="AA11" s="563"/>
      <c r="AB11" s="71" t="s">
        <v>72</v>
      </c>
      <c r="AC11" s="71" t="s">
        <v>73</v>
      </c>
      <c r="AD11" s="71" t="s">
        <v>74</v>
      </c>
      <c r="AE11" s="71" t="s">
        <v>75</v>
      </c>
      <c r="AF11" s="72" t="s">
        <v>307</v>
      </c>
      <c r="AG11" s="72" t="s">
        <v>308</v>
      </c>
      <c r="AH11" s="72" t="s">
        <v>309</v>
      </c>
      <c r="AI11" s="72" t="s">
        <v>310</v>
      </c>
      <c r="AJ11" s="412"/>
      <c r="AK11" s="417"/>
      <c r="AL11" s="417"/>
      <c r="AM11" s="417"/>
      <c r="AN11" s="68"/>
      <c r="AO11" s="68"/>
      <c r="AP11" s="69"/>
      <c r="AQ11" s="70"/>
      <c r="AR11" s="561" t="str">
        <f>CONCATENATE($X$1,BB12*100,"cm")</f>
        <v>Ø52cm</v>
      </c>
      <c r="AS11" s="562"/>
      <c r="AT11" s="563"/>
      <c r="AU11" s="71" t="s">
        <v>72</v>
      </c>
      <c r="AV11" s="71" t="s">
        <v>73</v>
      </c>
      <c r="AW11" s="71" t="s">
        <v>74</v>
      </c>
      <c r="AX11" s="71" t="s">
        <v>75</v>
      </c>
      <c r="AY11" s="72" t="s">
        <v>307</v>
      </c>
      <c r="AZ11" s="72" t="s">
        <v>308</v>
      </c>
      <c r="BA11" s="72" t="s">
        <v>309</v>
      </c>
      <c r="BB11" s="72" t="s">
        <v>310</v>
      </c>
      <c r="BC11" s="412"/>
      <c r="BD11" s="417"/>
      <c r="BE11" s="417"/>
      <c r="BF11" s="417"/>
      <c r="BG11" s="68"/>
      <c r="BH11" s="68"/>
      <c r="BI11" s="69"/>
      <c r="BJ11" s="70"/>
      <c r="BK11" s="561" t="str">
        <f>CONCATENATE($X$1,BU12*100,"cm")</f>
        <v>Ø62cm</v>
      </c>
      <c r="BL11" s="562"/>
      <c r="BM11" s="563"/>
      <c r="BN11" s="71" t="s">
        <v>72</v>
      </c>
      <c r="BO11" s="71" t="s">
        <v>73</v>
      </c>
      <c r="BP11" s="71" t="s">
        <v>74</v>
      </c>
      <c r="BQ11" s="71" t="s">
        <v>75</v>
      </c>
      <c r="BR11" s="72" t="s">
        <v>307</v>
      </c>
      <c r="BS11" s="72" t="s">
        <v>308</v>
      </c>
      <c r="BT11" s="72" t="s">
        <v>309</v>
      </c>
      <c r="BU11" s="72" t="s">
        <v>310</v>
      </c>
      <c r="BV11" s="412"/>
      <c r="BW11" s="417"/>
      <c r="BX11" s="417"/>
      <c r="BY11" s="417"/>
      <c r="BZ11" s="68"/>
      <c r="CA11" s="68"/>
      <c r="CB11" s="69"/>
      <c r="CC11" s="70"/>
      <c r="CD11" s="561" t="str">
        <f>CONCATENATE($X$1,CN12*100,"cm")</f>
        <v>Ø72cm</v>
      </c>
      <c r="CE11" s="562"/>
      <c r="CF11" s="563"/>
      <c r="CG11" s="71" t="s">
        <v>72</v>
      </c>
      <c r="CH11" s="71" t="s">
        <v>73</v>
      </c>
      <c r="CI11" s="71" t="s">
        <v>74</v>
      </c>
      <c r="CJ11" s="71" t="s">
        <v>75</v>
      </c>
      <c r="CK11" s="72" t="s">
        <v>307</v>
      </c>
      <c r="CL11" s="72" t="s">
        <v>308</v>
      </c>
      <c r="CM11" s="72" t="s">
        <v>309</v>
      </c>
      <c r="CN11" s="72" t="s">
        <v>310</v>
      </c>
      <c r="CO11" s="412"/>
      <c r="CP11" s="417"/>
      <c r="CQ11" s="417"/>
      <c r="CR11" s="417"/>
      <c r="CS11" s="68"/>
      <c r="CT11" s="68"/>
      <c r="CU11" s="69"/>
      <c r="CV11" s="70"/>
      <c r="CW11" s="561" t="str">
        <f>CONCATENATE($X$1,DG12*100,"cm")</f>
        <v>Ø82cm</v>
      </c>
      <c r="CX11" s="562"/>
      <c r="CY11" s="563"/>
      <c r="CZ11" s="71" t="s">
        <v>72</v>
      </c>
      <c r="DA11" s="71" t="s">
        <v>73</v>
      </c>
      <c r="DB11" s="71" t="s">
        <v>74</v>
      </c>
      <c r="DC11" s="71" t="s">
        <v>75</v>
      </c>
      <c r="DD11" s="72" t="s">
        <v>307</v>
      </c>
      <c r="DE11" s="72" t="s">
        <v>308</v>
      </c>
      <c r="DF11" s="72" t="s">
        <v>309</v>
      </c>
      <c r="DG11" s="72" t="s">
        <v>310</v>
      </c>
      <c r="DH11" s="412"/>
      <c r="DI11" s="417"/>
      <c r="DJ11" s="417"/>
      <c r="DK11" s="417"/>
      <c r="DL11" s="68"/>
      <c r="DM11" s="68"/>
      <c r="DN11" s="69"/>
      <c r="DO11" s="70"/>
      <c r="DP11" s="561" t="str">
        <f>CONCATENATE($X$1,DZ12*100,"cm")</f>
        <v>Ø92cm</v>
      </c>
      <c r="DQ11" s="562"/>
      <c r="DR11" s="563"/>
      <c r="DS11" s="71" t="s">
        <v>72</v>
      </c>
      <c r="DT11" s="71" t="s">
        <v>73</v>
      </c>
      <c r="DU11" s="71" t="s">
        <v>74</v>
      </c>
      <c r="DV11" s="71" t="s">
        <v>75</v>
      </c>
      <c r="DW11" s="72" t="s">
        <v>307</v>
      </c>
      <c r="DX11" s="72" t="s">
        <v>308</v>
      </c>
      <c r="DY11" s="72" t="s">
        <v>309</v>
      </c>
      <c r="DZ11" s="72" t="s">
        <v>310</v>
      </c>
      <c r="EA11" s="412"/>
      <c r="EB11" s="417"/>
      <c r="EC11" s="417"/>
      <c r="ED11" s="417"/>
      <c r="EE11" s="68"/>
      <c r="EF11" s="68"/>
      <c r="EG11" s="69"/>
      <c r="EH11" s="70"/>
      <c r="EI11" s="561" t="str">
        <f>CONCATENATE($X$1,ES12*100,"cm")</f>
        <v>Ø102cm</v>
      </c>
      <c r="EJ11" s="562"/>
      <c r="EK11" s="563"/>
      <c r="EL11" s="71" t="s">
        <v>72</v>
      </c>
      <c r="EM11" s="71" t="s">
        <v>73</v>
      </c>
      <c r="EN11" s="71" t="s">
        <v>74</v>
      </c>
      <c r="EO11" s="71" t="s">
        <v>75</v>
      </c>
      <c r="EP11" s="72" t="s">
        <v>307</v>
      </c>
      <c r="EQ11" s="72" t="s">
        <v>308</v>
      </c>
      <c r="ER11" s="72" t="s">
        <v>309</v>
      </c>
      <c r="ES11" s="72" t="s">
        <v>310</v>
      </c>
      <c r="ET11" s="412"/>
      <c r="EU11" s="417"/>
      <c r="EV11" s="417"/>
      <c r="EW11" s="417"/>
      <c r="EX11" s="68"/>
      <c r="EY11" s="68"/>
      <c r="EZ11" s="69"/>
      <c r="FA11" s="70"/>
      <c r="FB11" s="561" t="str">
        <f>CONCATENATE($X$1,FL12*100,"cm")</f>
        <v>Ø122cm</v>
      </c>
      <c r="FC11" s="562"/>
      <c r="FD11" s="563"/>
      <c r="FE11" s="71" t="s">
        <v>72</v>
      </c>
      <c r="FF11" s="71" t="s">
        <v>73</v>
      </c>
      <c r="FG11" s="71" t="s">
        <v>74</v>
      </c>
      <c r="FH11" s="71" t="s">
        <v>75</v>
      </c>
      <c r="FI11" s="72" t="s">
        <v>307</v>
      </c>
      <c r="FJ11" s="72" t="s">
        <v>308</v>
      </c>
      <c r="FK11" s="72" t="s">
        <v>309</v>
      </c>
      <c r="FL11" s="72" t="s">
        <v>310</v>
      </c>
      <c r="FM11" s="412"/>
    </row>
    <row r="12" spans="1:169" s="41" customFormat="1" ht="57.75" customHeight="1" thickBot="1">
      <c r="A12" s="73" t="s">
        <v>76</v>
      </c>
      <c r="B12" s="71" t="s">
        <v>77</v>
      </c>
      <c r="C12" s="71" t="s">
        <v>318</v>
      </c>
      <c r="D12" s="71" t="s">
        <v>18</v>
      </c>
      <c r="E12" s="71" t="s">
        <v>32</v>
      </c>
      <c r="F12" s="71" t="s">
        <v>78</v>
      </c>
      <c r="G12" s="74" t="s">
        <v>79</v>
      </c>
      <c r="H12" s="74" t="s">
        <v>80</v>
      </c>
      <c r="I12" s="75" t="s">
        <v>81</v>
      </c>
      <c r="J12" s="75" t="str">
        <f>"a"</f>
        <v>a</v>
      </c>
      <c r="K12" s="75" t="str">
        <f>"b"</f>
        <v>b</v>
      </c>
      <c r="L12" s="75" t="str">
        <f>"c"</f>
        <v>c</v>
      </c>
      <c r="M12" s="76" t="s">
        <v>82</v>
      </c>
      <c r="N12" s="76" t="s">
        <v>83</v>
      </c>
      <c r="O12" s="76" t="s">
        <v>306</v>
      </c>
      <c r="P12" s="71" t="s">
        <v>84</v>
      </c>
      <c r="Q12" s="77" t="s">
        <v>85</v>
      </c>
      <c r="R12" s="77" t="s">
        <v>319</v>
      </c>
      <c r="S12" s="77" t="s">
        <v>33</v>
      </c>
      <c r="T12" s="77" t="s">
        <v>34</v>
      </c>
      <c r="U12" s="71" t="s">
        <v>86</v>
      </c>
      <c r="V12" s="71" t="s">
        <v>87</v>
      </c>
      <c r="W12" s="78" t="s">
        <v>88</v>
      </c>
      <c r="X12" s="79" t="s">
        <v>89</v>
      </c>
      <c r="Y12" s="445" t="s">
        <v>90</v>
      </c>
      <c r="Z12" s="446" t="s">
        <v>91</v>
      </c>
      <c r="AA12" s="445" t="s">
        <v>92</v>
      </c>
      <c r="AB12" s="447">
        <f t="shared" ref="AB12:AC12" si="0">AC12</f>
        <v>0.42</v>
      </c>
      <c r="AC12" s="447">
        <f t="shared" si="0"/>
        <v>0.42</v>
      </c>
      <c r="AD12" s="447">
        <f>AE12</f>
        <v>0.42</v>
      </c>
      <c r="AE12" s="447">
        <f>AI12</f>
        <v>0.42</v>
      </c>
      <c r="AF12" s="448">
        <f>AG12</f>
        <v>0.42</v>
      </c>
      <c r="AG12" s="448">
        <f>AH12</f>
        <v>0.42</v>
      </c>
      <c r="AH12" s="448">
        <f>AI12</f>
        <v>0.42</v>
      </c>
      <c r="AI12" s="448">
        <f>VLOOKUP(NDC!$C$11,Model0.1C!$X$2:$AF$6,Model0.1C!AI10+1,0)</f>
        <v>0.42</v>
      </c>
      <c r="AJ12" s="449">
        <f>AI12</f>
        <v>0.42</v>
      </c>
      <c r="AK12" s="77" t="s">
        <v>319</v>
      </c>
      <c r="AL12" s="77" t="s">
        <v>33</v>
      </c>
      <c r="AM12" s="77" t="s">
        <v>34</v>
      </c>
      <c r="AN12" s="71" t="s">
        <v>86</v>
      </c>
      <c r="AO12" s="71" t="s">
        <v>87</v>
      </c>
      <c r="AP12" s="78" t="s">
        <v>88</v>
      </c>
      <c r="AQ12" s="79" t="s">
        <v>89</v>
      </c>
      <c r="AR12" s="445" t="s">
        <v>90</v>
      </c>
      <c r="AS12" s="446" t="s">
        <v>91</v>
      </c>
      <c r="AT12" s="445" t="s">
        <v>92</v>
      </c>
      <c r="AU12" s="447">
        <f t="shared" ref="AU12:AV12" si="1">AV12</f>
        <v>0.52</v>
      </c>
      <c r="AV12" s="447">
        <f t="shared" si="1"/>
        <v>0.52</v>
      </c>
      <c r="AW12" s="447">
        <f>AX12</f>
        <v>0.52</v>
      </c>
      <c r="AX12" s="447">
        <f>BB12</f>
        <v>0.52</v>
      </c>
      <c r="AY12" s="448">
        <f>AZ12</f>
        <v>0.52</v>
      </c>
      <c r="AZ12" s="448">
        <f>BA12</f>
        <v>0.52</v>
      </c>
      <c r="BA12" s="448">
        <f>BB12</f>
        <v>0.52</v>
      </c>
      <c r="BB12" s="448">
        <f>VLOOKUP(NDC!$C$11,Model0.1C!$X$2:$AF$6,Model0.1C!BB10+1,0)</f>
        <v>0.52</v>
      </c>
      <c r="BC12" s="449">
        <f>BB12</f>
        <v>0.52</v>
      </c>
      <c r="BD12" s="77" t="s">
        <v>319</v>
      </c>
      <c r="BE12" s="77" t="s">
        <v>33</v>
      </c>
      <c r="BF12" s="77" t="s">
        <v>34</v>
      </c>
      <c r="BG12" s="71" t="s">
        <v>86</v>
      </c>
      <c r="BH12" s="71" t="s">
        <v>87</v>
      </c>
      <c r="BI12" s="78" t="s">
        <v>88</v>
      </c>
      <c r="BJ12" s="79" t="s">
        <v>89</v>
      </c>
      <c r="BK12" s="445" t="s">
        <v>305</v>
      </c>
      <c r="BL12" s="446" t="s">
        <v>91</v>
      </c>
      <c r="BM12" s="445" t="s">
        <v>92</v>
      </c>
      <c r="BN12" s="447">
        <f t="shared" ref="BN12:BO12" si="2">BO12</f>
        <v>0.62</v>
      </c>
      <c r="BO12" s="447">
        <f t="shared" si="2"/>
        <v>0.62</v>
      </c>
      <c r="BP12" s="447">
        <f>BQ12</f>
        <v>0.62</v>
      </c>
      <c r="BQ12" s="447">
        <f>BU12</f>
        <v>0.62</v>
      </c>
      <c r="BR12" s="448">
        <f>BS12</f>
        <v>0.62</v>
      </c>
      <c r="BS12" s="448">
        <f>BT12</f>
        <v>0.62</v>
      </c>
      <c r="BT12" s="448">
        <f>BU12</f>
        <v>0.62</v>
      </c>
      <c r="BU12" s="448">
        <f>VLOOKUP(NDC!$C$11,Model0.1C!$X$2:$AF$6,Model0.1C!BU10+1,0)</f>
        <v>0.62</v>
      </c>
      <c r="BV12" s="449">
        <f>BU12</f>
        <v>0.62</v>
      </c>
      <c r="BW12" s="77" t="s">
        <v>319</v>
      </c>
      <c r="BX12" s="77" t="s">
        <v>33</v>
      </c>
      <c r="BY12" s="77" t="s">
        <v>34</v>
      </c>
      <c r="BZ12" s="71" t="s">
        <v>86</v>
      </c>
      <c r="CA12" s="71" t="s">
        <v>87</v>
      </c>
      <c r="CB12" s="78" t="s">
        <v>88</v>
      </c>
      <c r="CC12" s="79" t="s">
        <v>89</v>
      </c>
      <c r="CD12" s="445" t="s">
        <v>305</v>
      </c>
      <c r="CE12" s="446" t="s">
        <v>91</v>
      </c>
      <c r="CF12" s="445" t="s">
        <v>92</v>
      </c>
      <c r="CG12" s="447">
        <f t="shared" ref="CG12:CH12" si="3">CH12</f>
        <v>0.72</v>
      </c>
      <c r="CH12" s="447">
        <f t="shared" si="3"/>
        <v>0.72</v>
      </c>
      <c r="CI12" s="447">
        <f>CJ12</f>
        <v>0.72</v>
      </c>
      <c r="CJ12" s="447">
        <f>CN12</f>
        <v>0.72</v>
      </c>
      <c r="CK12" s="448">
        <f>CL12</f>
        <v>0.72</v>
      </c>
      <c r="CL12" s="448">
        <f>CM12</f>
        <v>0.72</v>
      </c>
      <c r="CM12" s="448">
        <f>CN12</f>
        <v>0.72</v>
      </c>
      <c r="CN12" s="448">
        <f>VLOOKUP(NDC!$C$11,Model0.1C!$X$2:$AF$6,Model0.1C!CN10+1,0)</f>
        <v>0.72</v>
      </c>
      <c r="CO12" s="449">
        <f>CN12</f>
        <v>0.72</v>
      </c>
      <c r="CP12" s="77" t="s">
        <v>319</v>
      </c>
      <c r="CQ12" s="77" t="s">
        <v>33</v>
      </c>
      <c r="CR12" s="77" t="s">
        <v>34</v>
      </c>
      <c r="CS12" s="71" t="s">
        <v>86</v>
      </c>
      <c r="CT12" s="71" t="s">
        <v>87</v>
      </c>
      <c r="CU12" s="78" t="s">
        <v>88</v>
      </c>
      <c r="CV12" s="79" t="s">
        <v>89</v>
      </c>
      <c r="CW12" s="445" t="s">
        <v>305</v>
      </c>
      <c r="CX12" s="446" t="s">
        <v>91</v>
      </c>
      <c r="CY12" s="445" t="s">
        <v>92</v>
      </c>
      <c r="CZ12" s="447">
        <f t="shared" ref="CZ12:DA12" si="4">DA12</f>
        <v>0.82</v>
      </c>
      <c r="DA12" s="447">
        <f t="shared" si="4"/>
        <v>0.82</v>
      </c>
      <c r="DB12" s="447">
        <f>DC12</f>
        <v>0.82</v>
      </c>
      <c r="DC12" s="447">
        <f>DG12</f>
        <v>0.82</v>
      </c>
      <c r="DD12" s="448">
        <f>DE12</f>
        <v>0.82</v>
      </c>
      <c r="DE12" s="448">
        <f>DF12</f>
        <v>0.82</v>
      </c>
      <c r="DF12" s="448">
        <f>DG12</f>
        <v>0.82</v>
      </c>
      <c r="DG12" s="448">
        <f>VLOOKUP(NDC!$C$11,Model0.1C!$X$2:$AF$6,Model0.1C!DG10+1,0)</f>
        <v>0.82</v>
      </c>
      <c r="DH12" s="449">
        <f>DG12</f>
        <v>0.82</v>
      </c>
      <c r="DI12" s="77" t="s">
        <v>319</v>
      </c>
      <c r="DJ12" s="77" t="s">
        <v>33</v>
      </c>
      <c r="DK12" s="77" t="s">
        <v>34</v>
      </c>
      <c r="DL12" s="71" t="s">
        <v>86</v>
      </c>
      <c r="DM12" s="71" t="s">
        <v>87</v>
      </c>
      <c r="DN12" s="78" t="s">
        <v>88</v>
      </c>
      <c r="DO12" s="79" t="s">
        <v>89</v>
      </c>
      <c r="DP12" s="445" t="s">
        <v>305</v>
      </c>
      <c r="DQ12" s="446" t="s">
        <v>91</v>
      </c>
      <c r="DR12" s="445" t="s">
        <v>92</v>
      </c>
      <c r="DS12" s="447">
        <f t="shared" ref="DS12:DT12" si="5">DT12</f>
        <v>0.92</v>
      </c>
      <c r="DT12" s="447">
        <f t="shared" si="5"/>
        <v>0.92</v>
      </c>
      <c r="DU12" s="447">
        <f>DV12</f>
        <v>0.92</v>
      </c>
      <c r="DV12" s="447">
        <f>DZ12</f>
        <v>0.92</v>
      </c>
      <c r="DW12" s="448">
        <f>DX12</f>
        <v>0.92</v>
      </c>
      <c r="DX12" s="448">
        <f>DY12</f>
        <v>0.92</v>
      </c>
      <c r="DY12" s="448">
        <f>DZ12</f>
        <v>0.92</v>
      </c>
      <c r="DZ12" s="448">
        <f>VLOOKUP(NDC!$C$11,Model0.1C!$X$2:$AF$6,Model0.1C!DZ10+1,0)</f>
        <v>0.92</v>
      </c>
      <c r="EA12" s="449">
        <f>DZ12</f>
        <v>0.92</v>
      </c>
      <c r="EB12" s="77" t="s">
        <v>319</v>
      </c>
      <c r="EC12" s="77" t="s">
        <v>33</v>
      </c>
      <c r="ED12" s="77" t="s">
        <v>34</v>
      </c>
      <c r="EE12" s="71" t="s">
        <v>86</v>
      </c>
      <c r="EF12" s="71" t="s">
        <v>87</v>
      </c>
      <c r="EG12" s="78" t="s">
        <v>88</v>
      </c>
      <c r="EH12" s="79" t="s">
        <v>89</v>
      </c>
      <c r="EI12" s="445" t="s">
        <v>305</v>
      </c>
      <c r="EJ12" s="446" t="s">
        <v>91</v>
      </c>
      <c r="EK12" s="445" t="s">
        <v>92</v>
      </c>
      <c r="EL12" s="447">
        <f t="shared" ref="EL12:EM12" si="6">EM12</f>
        <v>1.02</v>
      </c>
      <c r="EM12" s="447">
        <f t="shared" si="6"/>
        <v>1.02</v>
      </c>
      <c r="EN12" s="447">
        <f>EO12</f>
        <v>1.02</v>
      </c>
      <c r="EO12" s="447">
        <f>ES12</f>
        <v>1.02</v>
      </c>
      <c r="EP12" s="448">
        <f>EQ12</f>
        <v>1.02</v>
      </c>
      <c r="EQ12" s="448">
        <f>ER12</f>
        <v>1.02</v>
      </c>
      <c r="ER12" s="448">
        <f>ES12</f>
        <v>1.02</v>
      </c>
      <c r="ES12" s="448">
        <f>VLOOKUP(NDC!$C$11,Model0.1C!$X$2:$AF$6,Model0.1C!ES10+1,0)</f>
        <v>1.02</v>
      </c>
      <c r="ET12" s="449">
        <f>ES12</f>
        <v>1.02</v>
      </c>
      <c r="EU12" s="77" t="s">
        <v>319</v>
      </c>
      <c r="EV12" s="77" t="s">
        <v>33</v>
      </c>
      <c r="EW12" s="77" t="s">
        <v>34</v>
      </c>
      <c r="EX12" s="71" t="s">
        <v>86</v>
      </c>
      <c r="EY12" s="71" t="s">
        <v>87</v>
      </c>
      <c r="EZ12" s="78" t="s">
        <v>88</v>
      </c>
      <c r="FA12" s="79" t="s">
        <v>89</v>
      </c>
      <c r="FB12" s="445" t="s">
        <v>305</v>
      </c>
      <c r="FC12" s="446" t="s">
        <v>91</v>
      </c>
      <c r="FD12" s="445" t="s">
        <v>92</v>
      </c>
      <c r="FE12" s="447">
        <f t="shared" ref="FE12:FF12" si="7">FF12</f>
        <v>1.22</v>
      </c>
      <c r="FF12" s="447">
        <f t="shared" si="7"/>
        <v>1.22</v>
      </c>
      <c r="FG12" s="447">
        <f>FH12</f>
        <v>1.22</v>
      </c>
      <c r="FH12" s="447">
        <f>FL12</f>
        <v>1.22</v>
      </c>
      <c r="FI12" s="448">
        <f>FJ12</f>
        <v>1.22</v>
      </c>
      <c r="FJ12" s="448">
        <f>FK12</f>
        <v>1.22</v>
      </c>
      <c r="FK12" s="448">
        <f>FL12</f>
        <v>1.22</v>
      </c>
      <c r="FL12" s="448">
        <f>VLOOKUP(NDC!$C$11,Model0.1C!$X$2:$AF$6,Model0.1C!FL10+1,0)</f>
        <v>1.22</v>
      </c>
      <c r="FM12" s="449">
        <f>FL12</f>
        <v>1.22</v>
      </c>
    </row>
    <row r="13" spans="1:169">
      <c r="A13" s="80">
        <f>Hypothèses!B5</f>
        <v>100</v>
      </c>
      <c r="B13" s="81">
        <v>0</v>
      </c>
      <c r="C13" s="81">
        <f>IF(B13&lt;=Hypothèses!$C$7,Hypothèses!$A$7,IF(B13&lt;=Hypothèses!$C$8,Hypothèses!$A$8,IF(B13&lt;=Hypothèses!$C$9,Hypothèses!$A$9,IF(B13&lt;=Hypothèses!$C$10,Hypothèses!$A$10,IF(B13&lt;=Hypothèses!$C$11,Hypothèses!$A$11,IF(B13&lt;=Hypothèses!$C$12,Hypothèses!$A$12,IF(B13&lt;=Hypothèses!$C$13,Hypothèses!$A$13,IF(B13&lt;=Hypothèses!$C$14,Hypothèses!$A$14,IF(B13&lt;=Hypothèses!$C$15,Hypothèses!$A$15,IF(B13&lt;=Hypothèses!$C$16,Hypothèses!$A$16,IF(B13&lt;=Hypothèses!$C$17,Hypothèses!$A$17,IF(B13&lt;=Hypothèses!$C$18,Hypothèses!$A$18,C12))))))))))))</f>
        <v>11</v>
      </c>
      <c r="D13" s="82" t="str">
        <f>IF(B13&lt;=Hypothèses!$C$7,Hypothèses!$R$7,IF(B13&lt;=Hypothèses!$C$8,Hypothèses!$R$8,IF(B13&lt;=Hypothèses!$C$9,Hypothèses!$R$9,IF(B13&lt;=Hypothèses!$C$10,Hypothèses!$R$10,IF(B13&lt;=Hypothèses!$C$11,Hypothèses!$R$11,IF(B13&lt;=Hypothèses!$C$12,Hypothèses!$R$12,IF(B13&lt;=Hypothèses!$C$13,Hypothèses!$R$13,IF(B13&lt;=Hypothèses!$C$14,Hypothèses!$R$14,IF(B13&lt;=Hypothèses!$C$15,Hypothèses!$R$15,IF(B13&lt;=Hypothèses!$C$16,Hypothèses!$R$16,IF(B13&lt;=Hypothèses!$C$17,Hypothèses!$R$17,IF(B13&lt;=Hypothèses!$C$18,Hypothèses!$R$18,D12))))))))))))</f>
        <v>Pressio.</v>
      </c>
      <c r="E13" s="82" t="e">
        <f>IF(B13&lt;=Hypothèses!$C$7,Hypothèses!$G$7,IF(B13&lt;=Hypothèses!$C$8,Hypothèses!$G$8,IF(B13&lt;=Hypothèses!$C$9,Hypothèses!$G$9,IF(B13&lt;=Hypothèses!$C$10,Hypothèses!$G$10,IF(B13&lt;=Hypothèses!$C$11,Hypothèses!$G$11,IF(B13&lt;=Hypothèses!$C$12,Hypothèses!$G$12,IF(B13&lt;=Hypothèses!$C$13,Hypothèses!$G$13,IF(B13&lt;=Hypothèses!$C$14,Hypothèses!$G$14,IF(B13&lt;=Hypothèses!$C$15,Hypothèses!$G$15,IF(B13&lt;=Hypothèses!$C$16,Hypothèses!$G$16,IF(B13&lt;=Hypothèses!$C$17,Hypothèses!$G$17,IF(B13&lt;=Hypothèses!$C$18,Hypothèses!$G$18,E12))))))))))))</f>
        <v>#N/A</v>
      </c>
      <c r="F13" s="82" t="str">
        <f>IF(B13&lt;=Hypothèses!$C$7,Hypothèses!$F$7,IF(B13&lt;=Hypothèses!$C$8,Hypothèses!$F$8,IF(B13&lt;=Hypothèses!$C$9,Hypothèses!$F$9,IF(B13&lt;=Hypothèses!$C$10,Hypothèses!$F$10,IF(B13&lt;=Hypothèses!$C$11,Hypothèses!$F$11,IF(B13&lt;=Hypothèses!$C$12,Hypothèses!$F$12,IF(B13&lt;=Hypothèses!$C$13,Hypothèses!$F$13,IF(B13&lt;=Hypothèses!$C$14,Hypothèses!$F$14,IF(B13&lt;=Hypothèses!$C$15,Hypothèses!$F$15,IF(B13&lt;=Hypothèses!$C$16,Hypothèses!$F$16,IF(B13&lt;=Hypothèses!$C$17,Hypothèses!$F$17,IF(B13&lt;=Hypothèses!$C$18,Hypothèses!$F$18,F12))))))))))))</f>
        <v/>
      </c>
      <c r="G13" s="83">
        <f t="array" ref="G13">INDEX('Coeff EC7'!$U$7:$X$27,
MATCH(Model0.1C!$B$3,'Coeff EC7'!$T$7:$T$27,0),
MATCH(Model0.1C!$D13&amp;Model0.1C!$B$4,
'Coeff EC7'!$U$6:$X$6&amp;
'Coeff EC7'!$U$5:$X$5,0))</f>
        <v>1.1499999999999999</v>
      </c>
      <c r="H13" s="83">
        <f t="array" ref="H13">INDEX('Coeff EC7'!$Y$7:$AB$27,
MATCH(Model0.1C!$B$3,'Coeff EC7'!$T$7:$T$27,0),
MATCH(Model0.1C!$D13&amp;Model0.1C!$B$4,
'Coeff EC7'!$Y$6:$AB$6&amp;
'Coeff EC7'!$Y$5:$AB$5,0))</f>
        <v>1.4</v>
      </c>
      <c r="I13" s="83" t="e">
        <f>IF(B13&lt;=Hypothèses!$C$7,Hypothèses!$P$7,IF(B13&lt;=Hypothèses!$C$8,Hypothèses!$P$8,IF(B13&lt;=Hypothèses!$C$9,Hypothèses!$P$9,IF(B13&lt;=Hypothèses!$C$10,Hypothèses!$P$10,IF(B13&lt;=Hypothèses!$C$11,Hypothèses!$P$11,IF(B13&lt;=Hypothèses!$C$12,Hypothèses!$P$12,IF(B13&lt;=Hypothèses!$C$13,Hypothèses!$P$13,IF(B13&lt;=Hypothèses!$C$14,Hypothèses!$P$14,IF(B13&lt;=Hypothèses!$C$15,Hypothèses!$P$15,IF(B13&lt;=Hypothèses!$C$16,Hypothèses!$P$16,IF(B13&lt;=Hypothèses!$C$17,Hypothèses!$P$17,IF(B13&lt;=Hypothèses!$C$18,Hypothèses!$P$18,I12))))))))))))</f>
        <v>#N/A</v>
      </c>
      <c r="J13" s="83" t="e">
        <f t="array" ref="J13">INDEX('Coeff EC7'!$D$33:$Q$33,1,MATCH(D13&amp;E13,'Coeff EC7'!$D$31:$Q$31&amp;'Coeff EC7'!$D$32:$Q$32,0))</f>
        <v>#N/A</v>
      </c>
      <c r="K13" s="83" t="e">
        <f t="array" ref="K13">INDEX('Coeff EC7'!$D$34:$Q$34,1,MATCH(D13&amp;E13,'Coeff EC7'!$D$31:$Q$31&amp;'Coeff EC7'!$D$32:$Q$32,0))</f>
        <v>#N/A</v>
      </c>
      <c r="L13" s="83" t="e">
        <f t="array" ref="L13">INDEX('Coeff EC7'!$D$35:$Q$35,1,MATCH(D13&amp;E13,'Coeff EC7'!$D$31:$Q$31&amp;'Coeff EC7'!$D$32:$Q$32,0))</f>
        <v>#N/A</v>
      </c>
      <c r="M13" s="84" t="e">
        <f t="shared" ref="M13:M76" si="8">((J13*F13+K13)*(1-(EXP(-L13*F13))))</f>
        <v>#N/A</v>
      </c>
      <c r="N13" s="85" t="e">
        <f t="array" ref="N13">INDEX('Coeff EC7'!$D$7:$Q$27,MATCH($B$3,'Coeff EC7'!$C$7:$C$27,0),MATCH(D13&amp;E13,'Coeff EC7'!$D$5:$Q$5&amp;'Coeff EC7'!$D$6:$Q$6,0))</f>
        <v>#N/A</v>
      </c>
      <c r="O13" s="85" t="e">
        <f t="array" ref="O13">INDEX('Coeff EC7'!$D$41:$Q$61,MATCH($B$3,'Coeff EC7'!$C$41:$C$61,0),MATCH(D13&amp;E13,'Coeff EC7'!$D$39:$Q$39&amp;'Coeff EC7'!$D$40:$Q$40,0))</f>
        <v>#N/A</v>
      </c>
      <c r="P13" s="30" t="e">
        <f>N13*M13*1000</f>
        <v>#N/A</v>
      </c>
      <c r="Q13" s="86" t="e">
        <f>MIN(O13,P13)*$B$10</f>
        <v>#N/A</v>
      </c>
      <c r="R13" s="86">
        <f>IF($B13&lt;=$P$4, $B13, IF($B13&lt;=$P$5, $B13-$P$4, IF($B13&lt;=$P$6, $B13-$P$5, IF($B13&lt;=$P$7,$B13-$P$6, IF($B13&lt;=$P$8, $B13-$P$7, IF($B13&lt;=$P$9, $B13-$P$8, IF($B13&lt;=$P$10,$B13-$P$9)))))))</f>
        <v>0</v>
      </c>
      <c r="S13" s="86">
        <f t="shared" ref="S13:S76" si="9">MAX($AF$12/2,0.5)</f>
        <v>0.5</v>
      </c>
      <c r="T13" s="86">
        <f>MIN(S13,R13)</f>
        <v>0</v>
      </c>
      <c r="U13" s="83"/>
      <c r="V13" s="85" t="str">
        <f>IF(B13&lt;=Hypothèses!$V$7,Hypothèses!$W$7,IF(B13&lt;=Hypothèses!$V$8,Hypothèses!$W$8,IF(B13&lt;=Hypothèses!$V$9,Hypothèses!$W$9,IF(B13&lt;=Hypothèses!$V$10,Hypothèses!$W$10,IF(B13&lt;=Hypothèses!$V$11,Hypothèses!$W$11,IF(B13&lt;=Hypothèses!$V$12,Hypothèses!$W$12,IF(B13&lt;=Hypothèses!$V$13,Hypothèses!$W$13,IF(B13&lt;=Hypothèses!$V$14,Hypothèses!$W$14,IF(B13&lt;=Hypothèses!$V$15,Hypothèses!$W$15,IF(B13&lt;=Hypothèses!$V$16,Hypothèses!$W$16,IF(B13&lt;=Hypothèses!$V$17,Hypothèses!$W$17,IF(B13&lt;=Hypothèses!$V$18,Hypothèses!$W$18,""))))))))))))</f>
        <v/>
      </c>
      <c r="W13" s="87">
        <f>IF(V13&lt;&gt;"",V13,U13)</f>
        <v>0</v>
      </c>
      <c r="X13" s="88" t="str">
        <f>IF(B13&lt;=Hypothèses!$V$7,Hypothèses!$X$7,IF(B13&lt;=Hypothèses!$V$8,Hypothèses!$X$8,IF(B13&lt;=Hypothèses!$V$9,Hypothèses!$X$9,IF(B13&lt;=Hypothèses!$V$10,Hypothèses!$X$10,IF(B13&lt;=Hypothèses!$V$11,Hypothèses!$X$11,IF(B13&lt;=Hypothèses!$V$12,Hypothèses!$X$12,IF(B13&lt;=Hypothèses!$V$13,Hypothèses!$X$13,IF(B13&lt;=Hypothèses!$V$14,Hypothèses!$X$14,IF(B13&lt;=Hypothèses!$V$15,Hypothèses!$X$15,IF(B13&lt;=Hypothèses!$V$16,Hypothèses!$X$16,IF(B13&lt;=Hypothèses!$U$17,Hypothèses!$W$17,IF(B13&lt;=Hypothèses!$U$18,Hypothèses!$W$18,""))))))))))))</f>
        <v/>
      </c>
      <c r="Y13" s="89"/>
      <c r="Z13" s="90"/>
      <c r="AA13" s="91"/>
      <c r="AB13" s="91"/>
      <c r="AC13" s="91"/>
      <c r="AD13" s="92"/>
      <c r="AE13" s="92"/>
      <c r="AF13" s="93"/>
      <c r="AG13" s="93"/>
      <c r="AH13" s="93"/>
      <c r="AI13" s="93"/>
      <c r="AJ13" s="413">
        <v>1</v>
      </c>
      <c r="AK13" s="86">
        <f>IF($B13&lt;=$P$4, $B13, IF($B13&lt;=$P$5, $B13-$P$4, IF($B13&lt;=$P$6, $B13-$P$5, IF($B13&lt;=$P$7,$B13-$P$6, IF($B13&lt;=$P$8, $B13-$P$7, IF($B13&lt;=$P$9, $B13-$P$8, IF($B13&lt;=$P$10,$B13-$P$9)))))))</f>
        <v>0</v>
      </c>
      <c r="AL13" s="86">
        <f>MAX($AY$12/2,0.5)</f>
        <v>0.5</v>
      </c>
      <c r="AM13" s="86">
        <f>MIN(AL13,AK13)</f>
        <v>0</v>
      </c>
      <c r="AN13" s="83"/>
      <c r="AO13" s="85" t="str">
        <f>IF(U13&lt;=Hypothèses!$V$7,Hypothèses!$W$7,IF(U13&lt;=Hypothèses!$V$8,Hypothèses!$W$8,IF(U13&lt;=Hypothèses!$V$9,Hypothèses!$W$9,IF(U13&lt;=Hypothèses!$V$10,Hypothèses!$W$10,IF(U13&lt;=Hypothèses!$V$11,Hypothèses!$W$11,IF(U13&lt;=Hypothèses!$V$12,Hypothèses!$W$12,IF(U13&lt;=Hypothèses!$V$13,Hypothèses!$W$13,IF(U13&lt;=Hypothèses!$V$14,Hypothèses!$W$14,IF(U13&lt;=Hypothèses!$V$15,Hypothèses!$W$15,IF(U13&lt;=Hypothèses!$V$16,Hypothèses!$W$16,IF(U13&lt;=Hypothèses!$V$17,Hypothèses!$W$17,IF(U13&lt;=Hypothèses!$V$18,Hypothèses!$W$18,""))))))))))))</f>
        <v/>
      </c>
      <c r="AP13" s="87">
        <f>IF(AO13&lt;&gt;"",AO13,AN13)</f>
        <v>0</v>
      </c>
      <c r="AQ13" s="88" t="str">
        <f>IF(U13&lt;=Hypothèses!$V$7,Hypothèses!$X$7,IF(U13&lt;=Hypothèses!$V$8,Hypothèses!$X$8,IF(U13&lt;=Hypothèses!$V$9,Hypothèses!$X$9,IF(U13&lt;=Hypothèses!$V$10,Hypothèses!$X$10,IF(U13&lt;=Hypothèses!$V$11,Hypothèses!$X$11,IF(U13&lt;=Hypothèses!$V$12,Hypothèses!$X$12,IF(U13&lt;=Hypothèses!$V$13,Hypothèses!$X$13,IF(U13&lt;=Hypothèses!$V$14,Hypothèses!$X$14,IF(U13&lt;=Hypothèses!$V$15,Hypothèses!$X$15,IF(U13&lt;=Hypothèses!$V$16,Hypothèses!$X$16,IF(U13&lt;=Hypothèses!$U$17,Hypothèses!$W$17,IF(U13&lt;=Hypothèses!$U$18,Hypothèses!$W$18,""))))))))))))</f>
        <v/>
      </c>
      <c r="AR13" s="89"/>
      <c r="AS13" s="90"/>
      <c r="AT13" s="91"/>
      <c r="AU13" s="91"/>
      <c r="AV13" s="91"/>
      <c r="AW13" s="92"/>
      <c r="AX13" s="92"/>
      <c r="AY13" s="93"/>
      <c r="AZ13" s="93"/>
      <c r="BA13" s="93"/>
      <c r="BB13" s="93"/>
      <c r="BC13" s="413">
        <v>1</v>
      </c>
      <c r="BD13" s="86">
        <f>IF($B13&lt;=$P$4, $B13, IF($B13&lt;=$P$5, $B13-$P$4, IF($B13&lt;=$P$6, $B13-$P$5, IF($B13&lt;=$P$7,$B13-$P$6, IF($B13&lt;=$P$8, $B13-$P$7, IF($B13&lt;=$P$9, $B13-$P$8, IF($B13&lt;=$P$10,$B13-$P$9)))))))</f>
        <v>0</v>
      </c>
      <c r="BE13" s="86">
        <f>MAX($BR$12/2,0.5)</f>
        <v>0.5</v>
      </c>
      <c r="BF13" s="86">
        <f>MIN(BE13,BD13)</f>
        <v>0</v>
      </c>
      <c r="BG13" s="83"/>
      <c r="BH13" s="85" t="str">
        <f>IF(AN13&lt;=Hypothèses!$V$7,Hypothèses!$W$7,IF(AN13&lt;=Hypothèses!$V$8,Hypothèses!$W$8,IF(AN13&lt;=Hypothèses!$V$9,Hypothèses!$W$9,IF(AN13&lt;=Hypothèses!$V$10,Hypothèses!$W$10,IF(AN13&lt;=Hypothèses!$V$11,Hypothèses!$W$11,IF(AN13&lt;=Hypothèses!$V$12,Hypothèses!$W$12,IF(AN13&lt;=Hypothèses!$V$13,Hypothèses!$W$13,IF(AN13&lt;=Hypothèses!$V$14,Hypothèses!$W$14,IF(AN13&lt;=Hypothèses!$V$15,Hypothèses!$W$15,IF(AN13&lt;=Hypothèses!$V$16,Hypothèses!$W$16,IF(AN13&lt;=Hypothèses!$V$17,Hypothèses!$W$17,IF(AN13&lt;=Hypothèses!$V$18,Hypothèses!$W$18,""))))))))))))</f>
        <v/>
      </c>
      <c r="BI13" s="87">
        <f>IF(BH13&lt;&gt;"",BH13,BG13)</f>
        <v>0</v>
      </c>
      <c r="BJ13" s="88" t="str">
        <f>IF(AN13&lt;=Hypothèses!$V$7,Hypothèses!$X$7,IF(AN13&lt;=Hypothèses!$V$8,Hypothèses!$X$8,IF(AN13&lt;=Hypothèses!$V$9,Hypothèses!$X$9,IF(AN13&lt;=Hypothèses!$V$10,Hypothèses!$X$10,IF(AN13&lt;=Hypothèses!$V$11,Hypothèses!$X$11,IF(AN13&lt;=Hypothèses!$V$12,Hypothèses!$X$12,IF(AN13&lt;=Hypothèses!$V$13,Hypothèses!$X$13,IF(AN13&lt;=Hypothèses!$V$14,Hypothèses!$X$14,IF(AN13&lt;=Hypothèses!$V$15,Hypothèses!$X$15,IF(AN13&lt;=Hypothèses!$V$16,Hypothèses!$X$16,IF(AN13&lt;=Hypothèses!$U$17,Hypothèses!$W$17,IF(AN13&lt;=Hypothèses!$U$18,Hypothèses!$W$18,""))))))))))))</f>
        <v/>
      </c>
      <c r="BK13" s="89"/>
      <c r="BL13" s="90"/>
      <c r="BM13" s="91"/>
      <c r="BN13" s="91"/>
      <c r="BO13" s="91"/>
      <c r="BP13" s="92"/>
      <c r="BQ13" s="92"/>
      <c r="BR13" s="93"/>
      <c r="BS13" s="93"/>
      <c r="BT13" s="93"/>
      <c r="BU13" s="93"/>
      <c r="BV13" s="413">
        <v>1</v>
      </c>
      <c r="BW13" s="86">
        <f>IF($B13&lt;=$P$4, $B13, IF($B13&lt;=$P$5, $B13-$P$4, IF($B13&lt;=$P$6, $B13-$P$5, IF($B13&lt;=$P$7,$B13-$P$6, IF($B13&lt;=$P$8, $B13-$P$7, IF($B13&lt;=$P$9, $B13-$P$8, IF($B13&lt;=$P$10,$B13-$P$9)))))))</f>
        <v>0</v>
      </c>
      <c r="BX13" s="86">
        <f>MAX($CK$12/2,0.5)</f>
        <v>0.5</v>
      </c>
      <c r="BY13" s="86">
        <f>MIN(BX13,BW13)</f>
        <v>0</v>
      </c>
      <c r="BZ13" s="83"/>
      <c r="CA13" s="85" t="str">
        <f>IF(BG13&lt;=Hypothèses!$V$7,Hypothèses!$W$7,IF(BG13&lt;=Hypothèses!$V$8,Hypothèses!$W$8,IF(BG13&lt;=Hypothèses!$V$9,Hypothèses!$W$9,IF(BG13&lt;=Hypothèses!$V$10,Hypothèses!$W$10,IF(BG13&lt;=Hypothèses!$V$11,Hypothèses!$W$11,IF(BG13&lt;=Hypothèses!$V$12,Hypothèses!$W$12,IF(BG13&lt;=Hypothèses!$V$13,Hypothèses!$W$13,IF(BG13&lt;=Hypothèses!$V$14,Hypothèses!$W$14,IF(BG13&lt;=Hypothèses!$V$15,Hypothèses!$W$15,IF(BG13&lt;=Hypothèses!$V$16,Hypothèses!$W$16,IF(BG13&lt;=Hypothèses!$V$17,Hypothèses!$W$17,IF(BG13&lt;=Hypothèses!$V$18,Hypothèses!$W$18,""))))))))))))</f>
        <v/>
      </c>
      <c r="CB13" s="87">
        <f>IF(CA13&lt;&gt;"",CA13,BZ13)</f>
        <v>0</v>
      </c>
      <c r="CC13" s="88" t="str">
        <f>IF(BG13&lt;=Hypothèses!$V$7,Hypothèses!$X$7,IF(BG13&lt;=Hypothèses!$V$8,Hypothèses!$X$8,IF(BG13&lt;=Hypothèses!$V$9,Hypothèses!$X$9,IF(BG13&lt;=Hypothèses!$V$10,Hypothèses!$X$10,IF(BG13&lt;=Hypothèses!$V$11,Hypothèses!$X$11,IF(BG13&lt;=Hypothèses!$V$12,Hypothèses!$X$12,IF(BG13&lt;=Hypothèses!$V$13,Hypothèses!$X$13,IF(BG13&lt;=Hypothèses!$V$14,Hypothèses!$X$14,IF(BG13&lt;=Hypothèses!$V$15,Hypothèses!$X$15,IF(BG13&lt;=Hypothèses!$V$16,Hypothèses!$X$16,IF(BG13&lt;=Hypothèses!$U$17,Hypothèses!$W$17,IF(BG13&lt;=Hypothèses!$U$18,Hypothèses!$W$18,""))))))))))))</f>
        <v/>
      </c>
      <c r="CD13" s="89"/>
      <c r="CE13" s="90"/>
      <c r="CF13" s="91"/>
      <c r="CG13" s="91"/>
      <c r="CH13" s="91"/>
      <c r="CI13" s="92"/>
      <c r="CJ13" s="92"/>
      <c r="CK13" s="93"/>
      <c r="CL13" s="93"/>
      <c r="CM13" s="93"/>
      <c r="CN13" s="93"/>
      <c r="CO13" s="413">
        <v>1</v>
      </c>
      <c r="CP13" s="86">
        <f>IF($B13&lt;=$P$4, $B13, IF($B13&lt;=$P$5, $B13-$P$4, IF($B13&lt;=$P$6, $B13-$P$5, IF($B13&lt;=$P$7,$B13-$P$6, IF($B13&lt;=$P$8, $B13-$P$7, IF($B13&lt;=$P$9, $B13-$P$8, IF($B13&lt;=$P$10,$B13-$P$9)))))))</f>
        <v>0</v>
      </c>
      <c r="CQ13" s="86">
        <f>MAX($DD$12/2,0.5)</f>
        <v>0.5</v>
      </c>
      <c r="CR13" s="86">
        <f>MIN(CQ13,CP13)</f>
        <v>0</v>
      </c>
      <c r="CS13" s="83"/>
      <c r="CT13" s="85" t="str">
        <f>IF(BZ13&lt;=Hypothèses!$V$7,Hypothèses!$W$7,IF(BZ13&lt;=Hypothèses!$V$8,Hypothèses!$W$8,IF(BZ13&lt;=Hypothèses!$V$9,Hypothèses!$W$9,IF(BZ13&lt;=Hypothèses!$V$10,Hypothèses!$W$10,IF(BZ13&lt;=Hypothèses!$V$11,Hypothèses!$W$11,IF(BZ13&lt;=Hypothèses!$V$12,Hypothèses!$W$12,IF(BZ13&lt;=Hypothèses!$V$13,Hypothèses!$W$13,IF(BZ13&lt;=Hypothèses!$V$14,Hypothèses!$W$14,IF(BZ13&lt;=Hypothèses!$V$15,Hypothèses!$W$15,IF(BZ13&lt;=Hypothèses!$V$16,Hypothèses!$W$16,IF(BZ13&lt;=Hypothèses!$V$17,Hypothèses!$W$17,IF(BZ13&lt;=Hypothèses!$V$18,Hypothèses!$W$18,""))))))))))))</f>
        <v/>
      </c>
      <c r="CU13" s="87">
        <f>IF(CT13&lt;&gt;"",CT13,CS13)</f>
        <v>0</v>
      </c>
      <c r="CV13" s="88" t="str">
        <f>IF(BZ13&lt;=Hypothèses!$V$7,Hypothèses!$X$7,IF(BZ13&lt;=Hypothèses!$V$8,Hypothèses!$X$8,IF(BZ13&lt;=Hypothèses!$V$9,Hypothèses!$X$9,IF(BZ13&lt;=Hypothèses!$V$10,Hypothèses!$X$10,IF(BZ13&lt;=Hypothèses!$V$11,Hypothèses!$X$11,IF(BZ13&lt;=Hypothèses!$V$12,Hypothèses!$X$12,IF(BZ13&lt;=Hypothèses!$V$13,Hypothèses!$X$13,IF(BZ13&lt;=Hypothèses!$V$14,Hypothèses!$X$14,IF(BZ13&lt;=Hypothèses!$V$15,Hypothèses!$X$15,IF(BZ13&lt;=Hypothèses!$V$16,Hypothèses!$X$16,IF(BZ13&lt;=Hypothèses!$U$17,Hypothèses!$W$17,IF(BZ13&lt;=Hypothèses!$U$18,Hypothèses!$W$18,""))))))))))))</f>
        <v/>
      </c>
      <c r="CW13" s="89"/>
      <c r="CX13" s="90"/>
      <c r="CY13" s="91"/>
      <c r="CZ13" s="91"/>
      <c r="DA13" s="91"/>
      <c r="DB13" s="92"/>
      <c r="DC13" s="92"/>
      <c r="DD13" s="93"/>
      <c r="DE13" s="93"/>
      <c r="DF13" s="93"/>
      <c r="DG13" s="93"/>
      <c r="DH13" s="413">
        <v>1</v>
      </c>
      <c r="DI13" s="86">
        <f>IF($B13&lt;=$P$4, $B13, IF($B13&lt;=$P$5, $B13-$P$4, IF($B13&lt;=$P$6, $B13-$P$5, IF($B13&lt;=$P$7,$B13-$P$6, IF($B13&lt;=$P$8, $B13-$P$7, IF($B13&lt;=$P$9, $B13-$P$8, IF($B13&lt;=$P$10,$B13-$P$9)))))))</f>
        <v>0</v>
      </c>
      <c r="DJ13" s="86">
        <f>MAX($DW$12/2,0.5)</f>
        <v>0.5</v>
      </c>
      <c r="DK13" s="86">
        <f>MIN(DJ13,DI13)</f>
        <v>0</v>
      </c>
      <c r="DL13" s="83"/>
      <c r="DM13" s="85" t="str">
        <f>IF(CS13&lt;=Hypothèses!$V$7,Hypothèses!$W$7,IF(CS13&lt;=Hypothèses!$V$8,Hypothèses!$W$8,IF(CS13&lt;=Hypothèses!$V$9,Hypothèses!$W$9,IF(CS13&lt;=Hypothèses!$V$10,Hypothèses!$W$10,IF(CS13&lt;=Hypothèses!$V$11,Hypothèses!$W$11,IF(CS13&lt;=Hypothèses!$V$12,Hypothèses!$W$12,IF(CS13&lt;=Hypothèses!$V$13,Hypothèses!$W$13,IF(CS13&lt;=Hypothèses!$V$14,Hypothèses!$W$14,IF(CS13&lt;=Hypothèses!$V$15,Hypothèses!$W$15,IF(CS13&lt;=Hypothèses!$V$16,Hypothèses!$W$16,IF(CS13&lt;=Hypothèses!$V$17,Hypothèses!$W$17,IF(CS13&lt;=Hypothèses!$V$18,Hypothèses!$W$18,""))))))))))))</f>
        <v/>
      </c>
      <c r="DN13" s="87">
        <f>IF(DM13&lt;&gt;"",DM13,DL13)</f>
        <v>0</v>
      </c>
      <c r="DO13" s="88" t="str">
        <f>IF(CS13&lt;=Hypothèses!$V$7,Hypothèses!$X$7,IF(CS13&lt;=Hypothèses!$V$8,Hypothèses!$X$8,IF(CS13&lt;=Hypothèses!$V$9,Hypothèses!$X$9,IF(CS13&lt;=Hypothèses!$V$10,Hypothèses!$X$10,IF(CS13&lt;=Hypothèses!$V$11,Hypothèses!$X$11,IF(CS13&lt;=Hypothèses!$V$12,Hypothèses!$X$12,IF(CS13&lt;=Hypothèses!$V$13,Hypothèses!$X$13,IF(CS13&lt;=Hypothèses!$V$14,Hypothèses!$X$14,IF(CS13&lt;=Hypothèses!$V$15,Hypothèses!$X$15,IF(CS13&lt;=Hypothèses!$V$16,Hypothèses!$X$16,IF(CS13&lt;=Hypothèses!$U$17,Hypothèses!$W$17,IF(CS13&lt;=Hypothèses!$U$18,Hypothèses!$W$18,""))))))))))))</f>
        <v/>
      </c>
      <c r="DP13" s="89"/>
      <c r="DQ13" s="90"/>
      <c r="DR13" s="91"/>
      <c r="DS13" s="91"/>
      <c r="DT13" s="91"/>
      <c r="DU13" s="92"/>
      <c r="DV13" s="92"/>
      <c r="DW13" s="93"/>
      <c r="DX13" s="93"/>
      <c r="DY13" s="93"/>
      <c r="DZ13" s="93"/>
      <c r="EA13" s="413">
        <v>1</v>
      </c>
      <c r="EB13" s="86">
        <f>IF($B13&lt;=$P$4, $B13, IF($B13&lt;=$P$5, $B13-$P$4, IF($B13&lt;=$P$6, $B13-$P$5, IF($B13&lt;=$P$7,$B13-$P$6, IF($B13&lt;=$P$8, $B13-$P$7, IF($B13&lt;=$P$9, $B13-$P$8, IF($B13&lt;=$P$10,$B13-$P$9)))))))</f>
        <v>0</v>
      </c>
      <c r="EC13" s="418">
        <f>MAX($EP$12/2,0.5)</f>
        <v>0.51</v>
      </c>
      <c r="ED13" s="86">
        <f>MIN(EC13,EB13)</f>
        <v>0</v>
      </c>
      <c r="EE13" s="83"/>
      <c r="EF13" s="85" t="str">
        <f>IF(DL13&lt;=Hypothèses!$V$7,Hypothèses!$W$7,IF(DL13&lt;=Hypothèses!$V$8,Hypothèses!$W$8,IF(DL13&lt;=Hypothèses!$V$9,Hypothèses!$W$9,IF(DL13&lt;=Hypothèses!$V$10,Hypothèses!$W$10,IF(DL13&lt;=Hypothèses!$V$11,Hypothèses!$W$11,IF(DL13&lt;=Hypothèses!$V$12,Hypothèses!$W$12,IF(DL13&lt;=Hypothèses!$V$13,Hypothèses!$W$13,IF(DL13&lt;=Hypothèses!$V$14,Hypothèses!$W$14,IF(DL13&lt;=Hypothèses!$V$15,Hypothèses!$W$15,IF(DL13&lt;=Hypothèses!$V$16,Hypothèses!$W$16,IF(DL13&lt;=Hypothèses!$V$17,Hypothèses!$W$17,IF(DL13&lt;=Hypothèses!$V$18,Hypothèses!$W$18,""))))))))))))</f>
        <v/>
      </c>
      <c r="EG13" s="87">
        <f>IF(EF13&lt;&gt;"",EF13,EE13)</f>
        <v>0</v>
      </c>
      <c r="EH13" s="88" t="str">
        <f>IF(DL13&lt;=Hypothèses!$V$7,Hypothèses!$X$7,IF(DL13&lt;=Hypothèses!$V$8,Hypothèses!$X$8,IF(DL13&lt;=Hypothèses!$V$9,Hypothèses!$X$9,IF(DL13&lt;=Hypothèses!$V$10,Hypothèses!$X$10,IF(DL13&lt;=Hypothèses!$V$11,Hypothèses!$X$11,IF(DL13&lt;=Hypothèses!$V$12,Hypothèses!$X$12,IF(DL13&lt;=Hypothèses!$V$13,Hypothèses!$X$13,IF(DL13&lt;=Hypothèses!$V$14,Hypothèses!$X$14,IF(DL13&lt;=Hypothèses!$V$15,Hypothèses!$X$15,IF(DL13&lt;=Hypothèses!$V$16,Hypothèses!$X$16,IF(DL13&lt;=Hypothèses!$U$17,Hypothèses!$W$17,IF(DL13&lt;=Hypothèses!$U$18,Hypothèses!$W$18,""))))))))))))</f>
        <v/>
      </c>
      <c r="EI13" s="89"/>
      <c r="EJ13" s="90"/>
      <c r="EK13" s="91"/>
      <c r="EL13" s="91"/>
      <c r="EM13" s="91"/>
      <c r="EN13" s="92"/>
      <c r="EO13" s="92"/>
      <c r="EP13" s="93"/>
      <c r="EQ13" s="93"/>
      <c r="ER13" s="93"/>
      <c r="ES13" s="93"/>
      <c r="ET13" s="413">
        <v>1</v>
      </c>
      <c r="EU13" s="86">
        <f>IF($B13&lt;=$P$4, $B13, IF($B13&lt;=$P$5, $B13-$P$4, IF($B13&lt;=$P$6, $B13-$P$5, IF($B13&lt;=$P$7,$B13-$P$6, IF($B13&lt;=$P$8, $B13-$P$7, IF($B13&lt;=$P$9, $B13-$P$8, IF($B13&lt;=$P$10,$B13-$P$9)))))))</f>
        <v>0</v>
      </c>
      <c r="EV13" s="86">
        <f>MAX($FI$12/2,0.5)</f>
        <v>0.61</v>
      </c>
      <c r="EW13" s="86">
        <f>MIN(EV13,EU13)</f>
        <v>0</v>
      </c>
      <c r="EX13" s="83"/>
      <c r="EY13" s="85" t="str">
        <f>IF(EE13&lt;=Hypothèses!$V$7,Hypothèses!$W$7,IF(EE13&lt;=Hypothèses!$V$8,Hypothèses!$W$8,IF(EE13&lt;=Hypothèses!$V$9,Hypothèses!$W$9,IF(EE13&lt;=Hypothèses!$V$10,Hypothèses!$W$10,IF(EE13&lt;=Hypothèses!$V$11,Hypothèses!$W$11,IF(EE13&lt;=Hypothèses!$V$12,Hypothèses!$W$12,IF(EE13&lt;=Hypothèses!$V$13,Hypothèses!$W$13,IF(EE13&lt;=Hypothèses!$V$14,Hypothèses!$W$14,IF(EE13&lt;=Hypothèses!$V$15,Hypothèses!$W$15,IF(EE13&lt;=Hypothèses!$V$16,Hypothèses!$W$16,IF(EE13&lt;=Hypothèses!$V$17,Hypothèses!$W$17,IF(EE13&lt;=Hypothèses!$V$18,Hypothèses!$W$18,""))))))))))))</f>
        <v/>
      </c>
      <c r="EZ13" s="87">
        <f>IF(EY13&lt;&gt;"",EY13,EX13)</f>
        <v>0</v>
      </c>
      <c r="FA13" s="88" t="str">
        <f>IF(EE13&lt;=Hypothèses!$V$7,Hypothèses!$X$7,IF(EE13&lt;=Hypothèses!$V$8,Hypothèses!$X$8,IF(EE13&lt;=Hypothèses!$V$9,Hypothèses!$X$9,IF(EE13&lt;=Hypothèses!$V$10,Hypothèses!$X$10,IF(EE13&lt;=Hypothèses!$V$11,Hypothèses!$X$11,IF(EE13&lt;=Hypothèses!$V$12,Hypothèses!$X$12,IF(EE13&lt;=Hypothèses!$V$13,Hypothèses!$X$13,IF(EE13&lt;=Hypothèses!$V$14,Hypothèses!$X$14,IF(EE13&lt;=Hypothèses!$V$15,Hypothèses!$X$15,IF(EE13&lt;=Hypothèses!$V$16,Hypothèses!$X$16,IF(EE13&lt;=Hypothèses!$U$17,Hypothèses!$W$17,IF(EE13&lt;=Hypothèses!$U$18,Hypothèses!$W$18,""))))))))))))</f>
        <v/>
      </c>
      <c r="FB13" s="89"/>
      <c r="FC13" s="90"/>
      <c r="FD13" s="91"/>
      <c r="FE13" s="91"/>
      <c r="FF13" s="91"/>
      <c r="FG13" s="92"/>
      <c r="FH13" s="92"/>
      <c r="FI13" s="93"/>
      <c r="FJ13" s="93"/>
      <c r="FK13" s="93"/>
      <c r="FL13" s="93"/>
      <c r="FM13" s="413">
        <v>1</v>
      </c>
    </row>
    <row r="14" spans="1:169">
      <c r="A14" s="96">
        <f>A13-0.1</f>
        <v>99.9</v>
      </c>
      <c r="B14" s="97">
        <v>0.1</v>
      </c>
      <c r="C14" s="81">
        <f>IF(B14&lt;=Hypothèses!$C$7,Hypothèses!$A$7,IF(B14&lt;=Hypothèses!$C$8,Hypothèses!$A$8,IF(B14&lt;=Hypothèses!$C$9,Hypothèses!$A$9,IF(B14&lt;=Hypothèses!$C$10,Hypothèses!$A$10,IF(B14&lt;=Hypothèses!$C$11,Hypothèses!$A$11,IF(B14&lt;=Hypothèses!$C$12,Hypothèses!$A$12,IF(B14&lt;=Hypothèses!$C$13,Hypothèses!$A$13,IF(B14&lt;=Hypothèses!$C$14,Hypothèses!$A$14,IF(B14&lt;=Hypothèses!$C$15,Hypothèses!$A$15,IF(B14&lt;=Hypothèses!$C$16,Hypothèses!$A$16,IF(B14&lt;=Hypothèses!$C$17,Hypothèses!$A$17,IF(B14&lt;=Hypothèses!$C$18,Hypothèses!$A$18,C13))))))))))))</f>
        <v>11</v>
      </c>
      <c r="D14" s="82" t="str">
        <f>IF(B14&lt;=Hypothèses!$C$7,Hypothèses!$R$7,IF(B14&lt;=Hypothèses!$C$8,Hypothèses!$R$8,IF(B14&lt;=Hypothèses!$C$9,Hypothèses!$R$9,IF(B14&lt;=Hypothèses!$C$10,Hypothèses!$R$10,IF(B14&lt;=Hypothèses!$C$11,Hypothèses!$R$11,IF(B14&lt;=Hypothèses!$C$12,Hypothèses!$R$12,IF(B14&lt;=Hypothèses!$C$13,Hypothèses!$R$13,IF(B14&lt;=Hypothèses!$C$14,Hypothèses!$R$14,IF(B14&lt;=Hypothèses!$C$15,Hypothèses!$R$15,IF(B14&lt;=Hypothèses!$C$16,Hypothèses!$R$16,IF(B14&lt;=Hypothèses!$C$17,Hypothèses!$R$17,IF(B14&lt;=Hypothèses!$C$18,Hypothèses!$R$18,D13))))))))))))</f>
        <v>Pressio.</v>
      </c>
      <c r="E14" s="82" t="e">
        <f>IF(B14&lt;=Hypothèses!$C$7,Hypothèses!$G$7,IF(B14&lt;=Hypothèses!$C$8,Hypothèses!$G$8,IF(B14&lt;=Hypothèses!$C$9,Hypothèses!$G$9,IF(B14&lt;=Hypothèses!$C$10,Hypothèses!$G$10,IF(B14&lt;=Hypothèses!$C$11,Hypothèses!$G$11,IF(B14&lt;=Hypothèses!$C$12,Hypothèses!$G$12,IF(B14&lt;=Hypothèses!$C$13,Hypothèses!$G$13,IF(B14&lt;=Hypothèses!$C$14,Hypothèses!$G$14,IF(B14&lt;=Hypothèses!$C$15,Hypothèses!$G$15,IF(B14&lt;=Hypothèses!$C$16,Hypothèses!$G$16,IF(B14&lt;=Hypothèses!$C$17,Hypothèses!$G$17,IF(B14&lt;=Hypothèses!$C$18,Hypothèses!$G$18,E13))))))))))))</f>
        <v>#N/A</v>
      </c>
      <c r="F14" s="82" t="str">
        <f>IF(B14&lt;=Hypothèses!$C$7,Hypothèses!$F$7,IF(B14&lt;=Hypothèses!$C$8,Hypothèses!$F$8,IF(B14&lt;=Hypothèses!$C$9,Hypothèses!$F$9,IF(B14&lt;=Hypothèses!$C$10,Hypothèses!$F$10,IF(B14&lt;=Hypothèses!$C$11,Hypothèses!$F$11,IF(B14&lt;=Hypothèses!$C$12,Hypothèses!$F$12,IF(B14&lt;=Hypothèses!$C$13,Hypothèses!$F$13,IF(B14&lt;=Hypothèses!$C$14,Hypothèses!$F$14,IF(B14&lt;=Hypothèses!$C$15,Hypothèses!$F$15,IF(B14&lt;=Hypothèses!$C$16,Hypothèses!$F$16,IF(B14&lt;=Hypothèses!$C$17,Hypothèses!$F$17,IF(B14&lt;=Hypothèses!$C$18,Hypothèses!$F$18,F13))))))))))))</f>
        <v/>
      </c>
      <c r="G14" s="91">
        <f t="array" ref="G14">INDEX('Coeff EC7'!$U$7:$X$27,
MATCH(Model0.1C!$B$3,'Coeff EC7'!$T$7:$T$27,0),
MATCH(Model0.1C!$D14&amp;Model0.1C!$B$4,
'Coeff EC7'!$U$6:$X$6&amp;
'Coeff EC7'!$U$5:$X$5,0))</f>
        <v>1.1499999999999999</v>
      </c>
      <c r="H14" s="91">
        <f t="array" ref="H14">INDEX('Coeff EC7'!$Y$7:$AB$27,
MATCH(Model0.1C!$B$3,'Coeff EC7'!$T$7:$T$27,0),
MATCH(Model0.1C!$D14&amp;Model0.1C!$B$4,
'Coeff EC7'!$Y$6:$AB$6&amp;
'Coeff EC7'!$Y$5:$AB$5,0))</f>
        <v>1.4</v>
      </c>
      <c r="I14" s="83" t="e">
        <f>IF(B14&lt;=Hypothèses!$C$7,Hypothèses!$P$7,IF(B14&lt;=Hypothèses!$C$8,Hypothèses!$P$8,IF(B14&lt;=Hypothèses!$C$9,Hypothèses!$P$9,IF(B14&lt;=Hypothèses!$C$10,Hypothèses!$P$10,IF(B14&lt;=Hypothèses!$C$11,Hypothèses!$P$11,IF(B14&lt;=Hypothèses!$C$12,Hypothèses!$P$12,IF(B14&lt;=Hypothèses!$C$13,Hypothèses!$P$13,IF(B14&lt;=Hypothèses!$C$14,Hypothèses!$P$14,IF(B14&lt;=Hypothèses!$C$15,Hypothèses!$P$15,IF(B14&lt;=Hypothèses!$C$16,Hypothèses!$P$16,IF(B14&lt;=Hypothèses!$C$17,Hypothèses!$P$17,IF(B14&lt;=Hypothèses!$C$18,Hypothèses!$P$18,I13))))))))))))</f>
        <v>#N/A</v>
      </c>
      <c r="J14" s="91" t="e">
        <f t="array" ref="J14">INDEX('Coeff EC7'!$D$33:$Q$33,1,MATCH(D14&amp;E14,'Coeff EC7'!$D$31:$Q$31&amp;'Coeff EC7'!$D$32:$Q$32,0))</f>
        <v>#N/A</v>
      </c>
      <c r="K14" s="91" t="e">
        <f t="array" ref="K14">INDEX('Coeff EC7'!$D$34:$Q$34,1,MATCH(D14&amp;E14,'Coeff EC7'!$D$31:$Q$31&amp;'Coeff EC7'!$D$32:$Q$32,0))</f>
        <v>#N/A</v>
      </c>
      <c r="L14" s="91" t="e">
        <f t="array" ref="L14">INDEX('Coeff EC7'!$D$35:$Q$35,1,MATCH(D14&amp;E14,'Coeff EC7'!$D$31:$Q$31&amp;'Coeff EC7'!$D$32:$Q$32,0))</f>
        <v>#N/A</v>
      </c>
      <c r="M14" s="98" t="e">
        <f t="shared" si="8"/>
        <v>#N/A</v>
      </c>
      <c r="N14" s="99" t="e">
        <f t="array" ref="N14">INDEX('Coeff EC7'!$D$7:$Q$27,MATCH($B$3,'Coeff EC7'!$C$7:$C$27,0),MATCH(D14&amp;E14,'Coeff EC7'!$D$5:$Q$5&amp;'Coeff EC7'!$D$6:$Q$6,0))</f>
        <v>#N/A</v>
      </c>
      <c r="O14" s="99" t="e">
        <f t="array" ref="O14">INDEX('Coeff EC7'!$D$41:$Q$61,MATCH($B$3,'Coeff EC7'!$C$41:$C$61,0),MATCH(D14&amp;E14,'Coeff EC7'!$D$39:$Q$39&amp;'Coeff EC7'!$D$40:$Q$40,0))</f>
        <v>#N/A</v>
      </c>
      <c r="P14" s="30" t="e">
        <f>N14*M14*1000</f>
        <v>#N/A</v>
      </c>
      <c r="Q14" s="100" t="e">
        <f t="shared" ref="Q14:Q77" si="10">MIN(O14,P14)*$B$10</f>
        <v>#N/A</v>
      </c>
      <c r="R14" s="86" t="b">
        <f t="shared" ref="R14:R77" si="11">IF($B14&lt;=$P$4, $B14, IF($B14&lt;=$P$5, $B14-$P$4, IF($B14&lt;=$P$6, $B14-$P$5, IF($B14&lt;=$P$7,$B14-$P$6, IF($B14&lt;=$P$8, $B14-$P$7, IF($B14&lt;=$P$9, $B14-$P$8, IF($B14&lt;=$P$10,$B14-$P$9)))))))</f>
        <v>0</v>
      </c>
      <c r="S14" s="86">
        <f t="shared" si="9"/>
        <v>0.5</v>
      </c>
      <c r="T14" s="86">
        <f t="shared" ref="T14:T77" si="12">MIN(S14,R14)</f>
        <v>0.5</v>
      </c>
      <c r="U14" s="30" t="e">
        <f ca="1">AVERAGE(OFFSET($F14, -10*T14, 0,10*T14, 1), OFFSET($F14, 1, 0, 30*S14, 1))</f>
        <v>#DIV/0!</v>
      </c>
      <c r="V14" s="85" t="str">
        <f>IF(B14&lt;=Hypothèses!$V$7,Hypothèses!$W$7,IF(B14&lt;=Hypothèses!$V$8,Hypothèses!$W$8,IF(B14&lt;=Hypothèses!$V$9,Hypothèses!$W$9,IF(B14&lt;=Hypothèses!$V$10,Hypothèses!$W$10,IF(B14&lt;=Hypothèses!$V$11,Hypothèses!$W$11,IF(B14&lt;=Hypothèses!$V$12,Hypothèses!$W$12,IF(B14&lt;=Hypothèses!$V$13,Hypothèses!$W$13,IF(B14&lt;=Hypothèses!$V$14,Hypothèses!$W$14,IF(B14&lt;=Hypothèses!$V$15,Hypothèses!$W$15,IF(B14&lt;=Hypothèses!$V$16,Hypothèses!$W$16,IF(B14&lt;=Hypothèses!$V$17,Hypothèses!$W$17,IF(B14&lt;=Hypothèses!$V$18,Hypothèses!$W$18,""))))))))))))</f>
        <v/>
      </c>
      <c r="W14" s="87" t="e">
        <f ca="1">IF(V14&lt;&gt;"",V14,U14)</f>
        <v>#DIV/0!</v>
      </c>
      <c r="X14" s="88" t="str">
        <f>IF(B14&lt;=Hypothèses!$V$7,Hypothèses!$X$7,IF(B14&lt;=Hypothèses!$V$8,Hypothèses!$X$8,IF(B14&lt;=Hypothèses!$V$9,Hypothèses!$X$9,IF(B14&lt;=Hypothèses!$V$10,Hypothèses!$X$10,IF(B14&lt;=Hypothèses!$V$11,Hypothèses!$X$11,IF(B14&lt;=Hypothèses!$V$12,Hypothèses!$X$12,IF(B14&lt;=Hypothèses!$V$13,Hypothèses!$X$13,IF(B14&lt;=Hypothèses!$V$14,Hypothèses!$X$14,IF(B14&lt;=Hypothèses!$V$15,Hypothèses!$X$15,IF(B14&lt;=Hypothèses!$V$16,Hypothèses!$X$16,IF(B14&lt;=Hypothèses!$U$17,Hypothèses!$W$17,IF(B14&lt;=Hypothèses!$U$18,Hypothèses!$W$18,""))))))))))))</f>
        <v/>
      </c>
      <c r="Y14" s="95" t="e">
        <f t="shared" ref="Y14:Y77" ca="1" si="13">IF($B14&lt;10*$AI$12,0.1/W14*SUM(OFFSET(F14,-10*$B14+1,0,10*$B14,1)),0.1/W14*SUM(OFFSET(F14,-100*$AI$12+1,0,100*$AI$12,1)))</f>
        <v>#DIV/0!</v>
      </c>
      <c r="Z14" s="101" t="e">
        <f t="shared" ref="Z14:Z77" si="14">IF($I14=0,0,
IF(Y14&gt;5*AD$12,$I14,
IF($D14="Pressio.",1+($I14-1)*(Y14/AD$12)/5,
IF($D14="Pénétro.",IF($E14=1,0.3+($I14-0.3)*(Y14/AD$12)/5,
IF($E14=2,0.2+($I14-0.2)*(Y14/AD$12)/5,
IF($E14=3,0.1+($I14-0.1)*(Y14/AD$12)/5,
0.15+($I14-0.15)*(Y14/AD$12)/5)))))))</f>
        <v>#N/A</v>
      </c>
      <c r="AA14" s="91" t="e">
        <f t="shared" ref="AA14:AA77" si="15">IF($X14&lt;&gt;"",$X14,Z14)</f>
        <v>#N/A</v>
      </c>
      <c r="AB14" s="30" t="e">
        <f t="shared" ref="AB14" si="16">PI()*AB$12*$Q14*($B14-$B13)/($G14*$B$5)/10+AB13</f>
        <v>#N/A</v>
      </c>
      <c r="AC14" s="30" t="e">
        <f t="shared" ref="AC14" si="17">(PI()*AC$12*$Q14*($B14-$B13))/($H14*$B$5)/10+AC13</f>
        <v>#N/A</v>
      </c>
      <c r="AD14" s="31" t="e">
        <f>IF(OR(Hypothèses!$B$4=17,Hypothèses!$B$4=18,Hypothèses!$B$4=19,Hypothèses!$B$4=20),
IF($D14="Pressio.",
IF(OR($E14=3,$E14=1,$E14=4),AC14,AB14),
IF($D14="Pénétro.",
IF(OR($E14=3,$E14=1,$E14=4),AC14,AB14))),IF($D14="Pressio.",
IF($E14=3,AC14,AB14),
IF($D14="Pénétro.",
IF($E14=4,AC14,AB14))))</f>
        <v>#N/A</v>
      </c>
      <c r="AE14" s="31" t="e">
        <f>(IF(OR(Hypothèses!$B$4=17,Hypothèses!$B$4=18,Hypothèses!$B$4=19,Hypothèses!$B$4=20),
IF($D14="Pressio.",
IF(OR($E14=3,$E14=1,$E14=4),(PI()*AE$12^2)/4*(AA14*$W14*1000)/($H14*$B$5),(PI()*AE$12^2)/4*(AA14*$W14*1000)/($G14*$B$5)),
IF($D14="Pénétro.",
IF(OR($E14=4,$E14=1,$E14=5),(PI()*AE$12^2)/4*(AA14*$W14*1000)/($H14*$B$5),(PI()*AE$12^2)/4*(AA14*$W14*1000)/($G14*$B$5)))),
IF($D14="Pressio.",
IF($E14=3,(PI()*AE$12^2)/4*(AA14*$W14*1000)/($H14*$B$5),(PI()*AE$12^2)/4*(AA14*$W14*1000)/($G14*$B$5)),
IF($D14="Pénétro.",
IF($E14=4,(PI()*AE$12^2)/4*(AA14*$W14*1000)/($H14*$B$5),(PI()*AE$12^2)/4*(AA14*$W14*1000)/($G14*$B$5))))))/10</f>
        <v>#N/A</v>
      </c>
      <c r="AF14" s="102" t="e">
        <f>(VLOOKUP($B$3,'Coeff EC7'!$T$39:$X$59,2,0)*AD14+VLOOKUP($B$3,'Coeff EC7'!$T$65:$X$85,2,0)*Model0.1C!AE14)/1.1</f>
        <v>#N/A</v>
      </c>
      <c r="AG14" s="102" t="e">
        <f>(VLOOKUP($B$3,'Coeff EC7'!$T$39:$X$59,3,0)*AD14+VLOOKUP($B$3,'Coeff EC7'!$T$65:$X$85,3,0)*Model0.1C!AE14)/0.9</f>
        <v>#N/A</v>
      </c>
      <c r="AH14" s="102" t="e">
        <f t="shared" ref="AH14:AH77" si="18">AD14/1.1+AE14/1.1</f>
        <v>#N/A</v>
      </c>
      <c r="AI14" s="102" t="e">
        <f t="shared" ref="AI14:AI77" si="19">AD14+AE14</f>
        <v>#N/A</v>
      </c>
      <c r="AJ14" s="414" t="e">
        <f>IF(AJ13=0,0,IF(AND(AF14&gt;charge_ELS_quasi,AG14&gt;Charge_ELS_freq,AH14&gt;charge_ELU,AI14&gt;charge_ELA,$B14&gt;NDC!$H$22-0.1+MIN(3*$AJ$12,1.5)),0,1))</f>
        <v>#N/A</v>
      </c>
      <c r="AK14" s="86" t="b">
        <f t="shared" ref="AK14:AK77" si="20">IF($B14&lt;=$P$4, $B14, IF($B14&lt;=$P$5, $B14-$P$4, IF($B14&lt;=$P$6, $B14-$P$5, IF($B14&lt;=$P$7,$B14-$P$6, IF($B14&lt;=$P$8, $B14-$P$7, IF($B14&lt;=$P$9, $B14-$P$8, IF($B14&lt;=$P$10,$B14-$P$9)))))))</f>
        <v>0</v>
      </c>
      <c r="AL14" s="86">
        <f>MAX($AY$12/2,0.5)</f>
        <v>0.5</v>
      </c>
      <c r="AM14" s="86">
        <f t="shared" ref="AM14:AM77" si="21">MIN(AL14,AK14)</f>
        <v>0.5</v>
      </c>
      <c r="AN14" s="30" t="e">
        <f ca="1">AVERAGE(OFFSET($F14, -10*AM14, 0,10*AM14, 1), OFFSET($F14, 1, 0, 30*AL14, 1))</f>
        <v>#DIV/0!</v>
      </c>
      <c r="AO14" s="85" t="e">
        <f ca="1">IF(U14&lt;=Hypothèses!$V$7,Hypothèses!$W$7,IF(U14&lt;=Hypothèses!$V$8,Hypothèses!$W$8,IF(U14&lt;=Hypothèses!$V$9,Hypothèses!$W$9,IF(U14&lt;=Hypothèses!$V$10,Hypothèses!$W$10,IF(U14&lt;=Hypothèses!$V$11,Hypothèses!$W$11,IF(U14&lt;=Hypothèses!$V$12,Hypothèses!$W$12,IF(U14&lt;=Hypothèses!$V$13,Hypothèses!$W$13,IF(U14&lt;=Hypothèses!$V$14,Hypothèses!$W$14,IF(U14&lt;=Hypothèses!$V$15,Hypothèses!$W$15,IF(U14&lt;=Hypothèses!$V$16,Hypothèses!$W$16,IF(U14&lt;=Hypothèses!$V$17,Hypothèses!$W$17,IF(U14&lt;=Hypothèses!$V$18,Hypothèses!$W$18,""))))))))))))</f>
        <v>#DIV/0!</v>
      </c>
      <c r="AP14" s="87" t="e">
        <f ca="1">IF(AO14&lt;&gt;"",AO14,AN14)</f>
        <v>#DIV/0!</v>
      </c>
      <c r="AQ14" s="88" t="e">
        <f ca="1">IF(U14&lt;=Hypothèses!$V$7,Hypothèses!$X$7,IF(U14&lt;=Hypothèses!$V$8,Hypothèses!$X$8,IF(U14&lt;=Hypothèses!$V$9,Hypothèses!$X$9,IF(U14&lt;=Hypothèses!$V$10,Hypothèses!$X$10,IF(U14&lt;=Hypothèses!$V$11,Hypothèses!$X$11,IF(U14&lt;=Hypothèses!$V$12,Hypothèses!$X$12,IF(U14&lt;=Hypothèses!$V$13,Hypothèses!$X$13,IF(U14&lt;=Hypothèses!$V$14,Hypothèses!$X$14,IF(U14&lt;=Hypothèses!$V$15,Hypothèses!$X$15,IF(U14&lt;=Hypothèses!$V$16,Hypothèses!$X$16,IF(U14&lt;=Hypothèses!$U$17,Hypothèses!$W$17,IF(U14&lt;=Hypothèses!$U$18,Hypothèses!$W$18,""))))))))))))</f>
        <v>#DIV/0!</v>
      </c>
      <c r="AR14" s="95" t="e">
        <f ca="1">IF($B14&lt;10*$BB$12,0.1/AP14*SUM(OFFSET(F14,-10*$B14+1,0,10*$B14,1)),0.1/AP14*SUM(OFFSET(F14,-100*$BB$12+1,0,100*$BB$12,1)))</f>
        <v>#DIV/0!</v>
      </c>
      <c r="AS14" s="101" t="e">
        <f t="shared" ref="AS14:AS16" si="22">IF($I14=0,0,
IF(AR14&gt;5*AW$12,$I14,
IF($D14="Pressio.",1+($I14-1)*(AR14/AW$12)/5,
IF($D14="Pénétro.",IF($E14=1,0.3+($I14-0.3)*(AR14/AW$12)/5,
IF($E14=2,0.2+($I14-0.2)*(AR14/AW$12)/5,
IF($E14=3,0.1+($I14-0.1)*(AR14/AW$12)/5,
0.15+($I14-0.15)*(AR14/AW$12)/5)))))))</f>
        <v>#N/A</v>
      </c>
      <c r="AT14" s="91" t="e">
        <f t="shared" ref="AT14:AT77" si="23">IF($X14&lt;&gt;"",$X14,AS14)</f>
        <v>#N/A</v>
      </c>
      <c r="AU14" s="30" t="e">
        <f t="shared" ref="AU14" si="24">PI()*AU$12*$Q14*($B14-$B13)/($G14*$B$5)/10+AU13</f>
        <v>#N/A</v>
      </c>
      <c r="AV14" s="30" t="e">
        <f t="shared" ref="AV14" si="25">(PI()*AV$12*$Q14*($B14-$B13))/($H14*$B$5)/10+AV13</f>
        <v>#N/A</v>
      </c>
      <c r="AW14" s="31" t="e">
        <f>IF(OR(Hypothèses!$B$4=17,Hypothèses!$B$4=18,Hypothèses!$B$4=19,Hypothèses!$B$4=20),
IF($D14="Pressio.",
IF(OR($E14=3,$E14=1,$E14=4),AV14,AU14),
IF($D14="Pénétro.",
IF(OR($E14=3,$E14=1,$E14=4),AV14,AU14))),IF($D14="Pressio.",
IF($E14=3,AV14,AU14),
IF($D14="Pénétro.",
IF($E14=4,AV14,AU14))))</f>
        <v>#N/A</v>
      </c>
      <c r="AX14" s="31" t="e">
        <f>(IF(OR(Hypothèses!$B$4=17,Hypothèses!$B$4=18,Hypothèses!$B$4=19,Hypothèses!$B$4=20),
IF($D14="Pressio.",
IF(OR($E14=3,$E14=1,$E14=4),(PI()*AX$12^2)/4*(AT14*$W14*1000)/($H14*$B$5),(PI()*AX$12^2)/4*(AT14*$W14*1000)/($G14*$B$5)),
IF($D14="Pénétro.",
IF(OR($E14=4,$E14=1,$E14=5),(PI()*AX$12^2)/4*(AT14*$W14*1000)/($H14*$B$5),(PI()*AX$12^2)/4*(AT14*$W14*1000)/($G14*$B$5)))),
IF($D14="Pressio.",
IF($E14=3,(PI()*AX$12^2)/4*(AT14*$W14*1000)/($H14*$B$5),(PI()*AX$12^2)/4*(AT14*$W14*1000)/($G14*$B$5)),
IF($D14="Pénétro.",
IF($E14=4,(PI()*AX$12^2)/4*(AT14*$W14*1000)/($H14*$B$5),(PI()*AX$12^2)/4*(AT14*$W14*1000)/($G14*$B$5))))))/10</f>
        <v>#N/A</v>
      </c>
      <c r="AY14" s="102" t="e">
        <f>(VLOOKUP($B$3,'Coeff EC7'!$T$39:$X$59,2,0)*AW14+VLOOKUP($B$3,'Coeff EC7'!$T$65:$X$85,2,0)*Model0.1C!AX14)/1.1</f>
        <v>#N/A</v>
      </c>
      <c r="AZ14" s="102" t="e">
        <f>(VLOOKUP($B$3,'Coeff EC7'!$T$39:$X$59,3,0)*AW14+VLOOKUP($B$3,'Coeff EC7'!$T$65:$X$85,3,0)*Model0.1C!AX14)/0.9</f>
        <v>#N/A</v>
      </c>
      <c r="BA14" s="102" t="e">
        <f>AW14/1.1+AX14/1.1</f>
        <v>#N/A</v>
      </c>
      <c r="BB14" s="102" t="e">
        <f>AW14+AX14</f>
        <v>#N/A</v>
      </c>
      <c r="BC14" s="414" t="e">
        <f>IF(BC13=0,0,IF(AND(AY14&gt;charge_ELS_quasi,AZ14&gt;Charge_ELS_freq,BA14&gt;charge_ELU,BB14&gt;charge_ELA,$B14&gt;NDC!$H$22-0.1+MIN(3*$BC$12,1.5)),0,1))</f>
        <v>#N/A</v>
      </c>
      <c r="BD14" s="86" t="b">
        <f t="shared" ref="BD14:BD77" si="26">IF($B14&lt;=$P$4, $B14, IF($B14&lt;=$P$5, $B14-$P$4, IF($B14&lt;=$P$6, $B14-$P$5, IF($B14&lt;=$P$7,$B14-$P$6, IF($B14&lt;=$P$8, $B14-$P$7, IF($B14&lt;=$P$9, $B14-$P$8, IF($B14&lt;=$P$10,$B14-$P$9)))))))</f>
        <v>0</v>
      </c>
      <c r="BE14" s="86">
        <f>MAX($BR$12/2,0.5)</f>
        <v>0.5</v>
      </c>
      <c r="BF14" s="86">
        <f t="shared" ref="BF14:BF77" si="27">MIN(BE14,BD14)</f>
        <v>0.5</v>
      </c>
      <c r="BG14" s="30" t="e">
        <f ca="1">AVERAGE(OFFSET($F14, -10*BF14, 0,10*BF14, 1), OFFSET($F14, 1, 0, 30*BE14, 1))</f>
        <v>#DIV/0!</v>
      </c>
      <c r="BH14" s="85" t="e">
        <f ca="1">IF(AN14&lt;=Hypothèses!$V$7,Hypothèses!$W$7,IF(AN14&lt;=Hypothèses!$V$8,Hypothèses!$W$8,IF(AN14&lt;=Hypothèses!$V$9,Hypothèses!$W$9,IF(AN14&lt;=Hypothèses!$V$10,Hypothèses!$W$10,IF(AN14&lt;=Hypothèses!$V$11,Hypothèses!$W$11,IF(AN14&lt;=Hypothèses!$V$12,Hypothèses!$W$12,IF(AN14&lt;=Hypothèses!$V$13,Hypothèses!$W$13,IF(AN14&lt;=Hypothèses!$V$14,Hypothèses!$W$14,IF(AN14&lt;=Hypothèses!$V$15,Hypothèses!$W$15,IF(AN14&lt;=Hypothèses!$V$16,Hypothèses!$W$16,IF(AN14&lt;=Hypothèses!$V$17,Hypothèses!$W$17,IF(AN14&lt;=Hypothèses!$V$18,Hypothèses!$W$18,""))))))))))))</f>
        <v>#DIV/0!</v>
      </c>
      <c r="BI14" s="87" t="e">
        <f ca="1">IF(BH14&lt;&gt;"",BH14,BG14)</f>
        <v>#DIV/0!</v>
      </c>
      <c r="BJ14" s="88" t="e">
        <f ca="1">IF(AN14&lt;=Hypothèses!$V$7,Hypothèses!$X$7,IF(AN14&lt;=Hypothèses!$V$8,Hypothèses!$X$8,IF(AN14&lt;=Hypothèses!$V$9,Hypothèses!$X$9,IF(AN14&lt;=Hypothèses!$V$10,Hypothèses!$X$10,IF(AN14&lt;=Hypothèses!$V$11,Hypothèses!$X$11,IF(AN14&lt;=Hypothèses!$V$12,Hypothèses!$X$12,IF(AN14&lt;=Hypothèses!$V$13,Hypothèses!$X$13,IF(AN14&lt;=Hypothèses!$V$14,Hypothèses!$X$14,IF(AN14&lt;=Hypothèses!$V$15,Hypothèses!$X$15,IF(AN14&lt;=Hypothèses!$V$16,Hypothèses!$X$16,IF(AN14&lt;=Hypothèses!$U$17,Hypothèses!$W$17,IF(AN14&lt;=Hypothèses!$U$18,Hypothèses!$W$18,""))))))))))))</f>
        <v>#DIV/0!</v>
      </c>
      <c r="BK14" s="95" t="e">
        <f ca="1">IF($B14&lt;10*$BU$12,0.1/BI14*SUM(OFFSET(F14,-10*$B14+1,0,10*$B14,1)),0.1/BI14*SUM(OFFSET(F14,-100*$BU$12+1,0,100*$BU$12,1)))</f>
        <v>#DIV/0!</v>
      </c>
      <c r="BL14" s="101" t="e">
        <f t="shared" ref="BL14:BL16" si="28">IF($I14=0,0,
IF(BK14&gt;5*BP$12,$I14,
IF($D14="Pressio.",1+($I14-1)*(BK14/BP$12)/5,
IF($D14="Pénétro.",IF($E14=1,0.3+($I14-0.3)*(BK14/BP$12)/5,
IF($E14=2,0.2+($I14-0.2)*(BK14/BP$12)/5,
IF($E14=3,0.1+($I14-0.1)*(BK14/BP$12)/5,
0.15+($I14-0.15)*(BK14/BP$12)/5)))))))</f>
        <v>#N/A</v>
      </c>
      <c r="BM14" s="91" t="e">
        <f t="shared" ref="BM14:BM77" si="29">IF($X14&lt;&gt;"",$X14,BL14)</f>
        <v>#N/A</v>
      </c>
      <c r="BN14" s="30" t="e">
        <f t="shared" ref="BN14" si="30">PI()*BN$12*$Q14*($B14-$B13)/($G14*$B$5)/10+BN13</f>
        <v>#N/A</v>
      </c>
      <c r="BO14" s="30" t="e">
        <f t="shared" ref="BO14" si="31">(PI()*BO$12*$Q14*($B14-$B13))/($H14*$B$5)/10+BO13</f>
        <v>#N/A</v>
      </c>
      <c r="BP14" s="31" t="e">
        <f>IF(OR(Hypothèses!$B$4=17,Hypothèses!$B$4=18,Hypothèses!$B$4=19,Hypothèses!$B$4=20),
IF($D14="Pressio.",
IF(OR($E14=3,$E14=1,$E14=4),BO14,BN14),
IF($D14="Pénétro.",
IF(OR($E14=3,$E14=1,$E14=4),BO14,BN14))),IF($D14="Pressio.",
IF($E14=3,BO14,BN14),
IF($D14="Pénétro.",
IF($E14=4,BO14,BN14))))</f>
        <v>#N/A</v>
      </c>
      <c r="BQ14" s="31" t="e">
        <f>(IF(OR(Hypothèses!$B$4=17,Hypothèses!$B$4=18,Hypothèses!$B$4=19,Hypothèses!$B$4=20),
IF($D14="Pressio.",
IF(OR($E14=3,$E14=1,$E14=4),(PI()*BQ$12^2)/4*(BM14*$W14*1000)/($H14*$B$5),(PI()*BQ$12^2)/4*(BM14*$W14*1000)/($G14*$B$5)),
IF($D14="Pénétro.",
IF(OR($E14=4,$E14=1,$E14=5),(PI()*BQ$12^2)/4*(BM14*$W14*1000)/($H14*$B$5),(PI()*BQ$12^2)/4*(BM14*$W14*1000)/($G14*$B$5)))),
IF($D14="Pressio.",
IF($E14=3,(PI()*BQ$12^2)/4*(BM14*$W14*1000)/($H14*$B$5),(PI()*BQ$12^2)/4*(BM14*$W14*1000)/($G14*$B$5)),
IF($D14="Pénétro.",
IF($E14=4,(PI()*BQ$12^2)/4*(BM14*$W14*1000)/($H14*$B$5),(PI()*BQ$12^2)/4*(BM14*$W14*1000)/($G14*$B$5))))))/10</f>
        <v>#N/A</v>
      </c>
      <c r="BR14" s="102" t="e">
        <f>(VLOOKUP($B$3,'Coeff EC7'!$T$39:$X$59,2,0)*BP14+VLOOKUP($B$3,'Coeff EC7'!$T$65:$X$85,2,0)*Model0.1C!BQ14)/1.1</f>
        <v>#N/A</v>
      </c>
      <c r="BS14" s="102" t="e">
        <f>(VLOOKUP($B$3,'Coeff EC7'!$T$39:$X$59,3,0)*BP14+VLOOKUP($B$3,'Coeff EC7'!$T$65:$X$85,3,0)*Model0.1C!BQ14)/0.9</f>
        <v>#N/A</v>
      </c>
      <c r="BT14" s="102" t="e">
        <f>BP14/1.1+BQ14/1.1</f>
        <v>#N/A</v>
      </c>
      <c r="BU14" s="102" t="e">
        <f>BP14+BQ14</f>
        <v>#N/A</v>
      </c>
      <c r="BV14" s="414" t="e">
        <f>IF(BV13=0,0,IF(AND(BR14&gt;charge_ELS_quasi,BS14&gt;Charge_ELS_freq,BT14&gt;charge_ELU,BU14&gt;charge_ELA,$B14&gt;NDC!$H$22-0.1+MIN(3*$BV$12,1.5)),0,1))</f>
        <v>#N/A</v>
      </c>
      <c r="BW14" s="86" t="b">
        <f t="shared" ref="BW14:BW77" si="32">IF($B14&lt;=$P$4, $B14, IF($B14&lt;=$P$5, $B14-$P$4, IF($B14&lt;=$P$6, $B14-$P$5, IF($B14&lt;=$P$7,$B14-$P$6, IF($B14&lt;=$P$8, $B14-$P$7, IF($B14&lt;=$P$9, $B14-$P$8, IF($B14&lt;=$P$10,$B14-$P$9)))))))</f>
        <v>0</v>
      </c>
      <c r="BX14" s="86">
        <f t="shared" ref="BX14:BX77" si="33">MAX($CK$12/2,0.5)</f>
        <v>0.5</v>
      </c>
      <c r="BY14" s="86">
        <f t="shared" ref="BY14:BY77" si="34">MIN(BX14,BW14)</f>
        <v>0.5</v>
      </c>
      <c r="BZ14" s="30" t="e">
        <f ca="1">AVERAGE(OFFSET($F14, -10*BY14, 0,10*BY14, 1), OFFSET($F14, 1, 0, 30*BX14, 1))</f>
        <v>#DIV/0!</v>
      </c>
      <c r="CA14" s="85" t="e">
        <f ca="1">IF(BG14&lt;=Hypothèses!$V$7,Hypothèses!$W$7,IF(BG14&lt;=Hypothèses!$V$8,Hypothèses!$W$8,IF(BG14&lt;=Hypothèses!$V$9,Hypothèses!$W$9,IF(BG14&lt;=Hypothèses!$V$10,Hypothèses!$W$10,IF(BG14&lt;=Hypothèses!$V$11,Hypothèses!$W$11,IF(BG14&lt;=Hypothèses!$V$12,Hypothèses!$W$12,IF(BG14&lt;=Hypothèses!$V$13,Hypothèses!$W$13,IF(BG14&lt;=Hypothèses!$V$14,Hypothèses!$W$14,IF(BG14&lt;=Hypothèses!$V$15,Hypothèses!$W$15,IF(BG14&lt;=Hypothèses!$V$16,Hypothèses!$W$16,IF(BG14&lt;=Hypothèses!$V$17,Hypothèses!$W$17,IF(BG14&lt;=Hypothèses!$V$18,Hypothèses!$W$18,""))))))))))))</f>
        <v>#DIV/0!</v>
      </c>
      <c r="CB14" s="87" t="e">
        <f ca="1">IF(CA14&lt;&gt;"",CA14,BZ14)</f>
        <v>#DIV/0!</v>
      </c>
      <c r="CC14" s="88" t="e">
        <f ca="1">IF(BG14&lt;=Hypothèses!$V$7,Hypothèses!$X$7,IF(BG14&lt;=Hypothèses!$V$8,Hypothèses!$X$8,IF(BG14&lt;=Hypothèses!$V$9,Hypothèses!$X$9,IF(BG14&lt;=Hypothèses!$V$10,Hypothèses!$X$10,IF(BG14&lt;=Hypothèses!$V$11,Hypothèses!$X$11,IF(BG14&lt;=Hypothèses!$V$12,Hypothèses!$X$12,IF(BG14&lt;=Hypothèses!$V$13,Hypothèses!$X$13,IF(BG14&lt;=Hypothèses!$V$14,Hypothèses!$X$14,IF(BG14&lt;=Hypothèses!$V$15,Hypothèses!$X$15,IF(BG14&lt;=Hypothèses!$V$16,Hypothèses!$X$16,IF(BG14&lt;=Hypothèses!$U$17,Hypothèses!$W$17,IF(BG14&lt;=Hypothèses!$U$18,Hypothèses!$W$18,""))))))))))))</f>
        <v>#DIV/0!</v>
      </c>
      <c r="CD14" s="95" t="e">
        <f ca="1">IF($B14&lt;10*$CN$12,0.1/CB14*SUM(OFFSET(F14,-10*$B14+1,0,10*$B14,1)),0.1/CB14*SUM(OFFSET(F14,-100*$CN$12+1,0,100*$CN$12,1)))</f>
        <v>#DIV/0!</v>
      </c>
      <c r="CE14" s="101" t="e">
        <f t="shared" ref="CE14:CE16" si="35">IF($I14=0,0,
IF(CD14&gt;5*CI$12,$I14,
IF($D14="Pressio.",1+($I14-1)*(CD14/CI$12)/5,
IF($D14="Pénétro.",IF($E14=1,0.3+($I14-0.3)*(CD14/CI$12)/5,
IF($E14=2,0.2+($I14-0.2)*(CD14/CI$12)/5,
IF($E14=3,0.1+($I14-0.1)*(CD14/CI$12)/5,
0.15+($I14-0.15)*(CD14/CI$12)/5)))))))</f>
        <v>#N/A</v>
      </c>
      <c r="CF14" s="91" t="e">
        <f t="shared" ref="CF14:CF77" si="36">IF($X14&lt;&gt;"",$X14,CE14)</f>
        <v>#N/A</v>
      </c>
      <c r="CG14" s="30" t="e">
        <f t="shared" ref="CG14" si="37">PI()*CG$12*$Q14*($B14-$B13)/($G14*$B$5)/10+CG13</f>
        <v>#N/A</v>
      </c>
      <c r="CH14" s="30" t="e">
        <f t="shared" ref="CH14" si="38">(PI()*CH$12*$Q14*($B14-$B13))/($H14*$B$5)/10+CH13</f>
        <v>#N/A</v>
      </c>
      <c r="CI14" s="31" t="e">
        <f>IF(OR(Hypothèses!$B$4=17,Hypothèses!$B$4=18,Hypothèses!$B$4=19,Hypothèses!$B$4=20),
IF($D14="Pressio.",
IF(OR($E14=3,$E14=1,$E14=4),CH14,CG14),
IF($D14="Pénétro.",
IF(OR($E14=3,$E14=1,$E14=4),CH14,CG14))),IF($D14="Pressio.",
IF($E14=3,CH14,CG14),
IF($D14="Pénétro.",
IF($E14=4,CH14,CG14))))</f>
        <v>#N/A</v>
      </c>
      <c r="CJ14" s="31" t="e">
        <f>(IF(OR(Hypothèses!$B$4=17,Hypothèses!$B$4=18,Hypothèses!$B$4=19,Hypothèses!$B$4=20),
IF($D14="Pressio.",
IF(OR($E14=3,$E14=1,$E14=4),(PI()*CJ$12^2)/4*(CF14*$W14*1000)/($H14*$B$5),(PI()*CJ$12^2)/4*(CF14*$W14*1000)/($G14*$B$5)),
IF($D14="Pénétro.",
IF(OR($E14=4,$E14=1,$E14=5),(PI()*CJ$12^2)/4*(CF14*$W14*1000)/($H14*$B$5),(PI()*CJ$12^2)/4*(CF14*$W14*1000)/($G14*$B$5)))),
IF($D14="Pressio.",
IF($E14=3,(PI()*CJ$12^2)/4*(CF14*$W14*1000)/($H14*$B$5),(PI()*CJ$12^2)/4*(CF14*$W14*1000)/($G14*$B$5)),
IF($D14="Pénétro.",
IF($E14=4,(PI()*CJ$12^2)/4*(CF14*$W14*1000)/($H14*$B$5),(PI()*CJ$12^2)/4*(CF14*$W14*1000)/($G14*$B$5))))))/10</f>
        <v>#N/A</v>
      </c>
      <c r="CK14" s="102" t="e">
        <f>(VLOOKUP($B$3,'Coeff EC7'!$T$39:$X$59,2,0)*CI14+VLOOKUP($B$3,'Coeff EC7'!$T$65:$X$85,2,0)*Model0.1C!CJ14)/1.1</f>
        <v>#N/A</v>
      </c>
      <c r="CL14" s="102" t="e">
        <f>(VLOOKUP($B$3,'Coeff EC7'!$T$39:$X$59,3,0)*CI14+VLOOKUP($B$3,'Coeff EC7'!$T$65:$X$85,3,0)*Model0.1C!CJ14)/0.9</f>
        <v>#N/A</v>
      </c>
      <c r="CM14" s="102" t="e">
        <f>CI14/1.1+CJ14/1.1</f>
        <v>#N/A</v>
      </c>
      <c r="CN14" s="102" t="e">
        <f>CI14+CJ14</f>
        <v>#N/A</v>
      </c>
      <c r="CO14" s="414" t="e">
        <f>IF(CO13=0,0,IF(AND(CK14&gt;charge_ELS_quasi,CL14&gt;Charge_ELS_freq,CM14&gt;charge_ELU,CN14&gt;charge_ELA,$B14&gt;NDC!$H$22-0.1+MIN(3*$CO$12,1.5)),0,1))</f>
        <v>#N/A</v>
      </c>
      <c r="CP14" s="86" t="b">
        <f t="shared" ref="CP14:CP77" si="39">IF($B14&lt;=$P$4, $B14, IF($B14&lt;=$P$5, $B14-$P$4, IF($B14&lt;=$P$6, $B14-$P$5, IF($B14&lt;=$P$7,$B14-$P$6, IF($B14&lt;=$P$8, $B14-$P$7, IF($B14&lt;=$P$9, $B14-$P$8, IF($B14&lt;=$P$10,$B14-$P$9)))))))</f>
        <v>0</v>
      </c>
      <c r="CQ14" s="86">
        <f t="shared" ref="CQ14:CQ77" si="40">MAX($DD$12/2,0.5)</f>
        <v>0.5</v>
      </c>
      <c r="CR14" s="86">
        <f t="shared" ref="CR14:CR77" si="41">MIN(CQ14,CP14)</f>
        <v>0.5</v>
      </c>
      <c r="CS14" s="30" t="e">
        <f ca="1">AVERAGE(OFFSET($F14, -10*CR14, 0,10*CR14, 1), OFFSET($F14, 1, 0, 30*CQ14, 1))</f>
        <v>#DIV/0!</v>
      </c>
      <c r="CT14" s="85" t="e">
        <f ca="1">IF(BZ14&lt;=Hypothèses!$V$7,Hypothèses!$W$7,IF(BZ14&lt;=Hypothèses!$V$8,Hypothèses!$W$8,IF(BZ14&lt;=Hypothèses!$V$9,Hypothèses!$W$9,IF(BZ14&lt;=Hypothèses!$V$10,Hypothèses!$W$10,IF(BZ14&lt;=Hypothèses!$V$11,Hypothèses!$W$11,IF(BZ14&lt;=Hypothèses!$V$12,Hypothèses!$W$12,IF(BZ14&lt;=Hypothèses!$V$13,Hypothèses!$W$13,IF(BZ14&lt;=Hypothèses!$V$14,Hypothèses!$W$14,IF(BZ14&lt;=Hypothèses!$V$15,Hypothèses!$W$15,IF(BZ14&lt;=Hypothèses!$V$16,Hypothèses!$W$16,IF(BZ14&lt;=Hypothèses!$V$17,Hypothèses!$W$17,IF(BZ14&lt;=Hypothèses!$V$18,Hypothèses!$W$18,""))))))))))))</f>
        <v>#DIV/0!</v>
      </c>
      <c r="CU14" s="87" t="e">
        <f ca="1">IF(CT14&lt;&gt;"",CT14,CS14)</f>
        <v>#DIV/0!</v>
      </c>
      <c r="CV14" s="88" t="e">
        <f ca="1">IF(BZ14&lt;=Hypothèses!$V$7,Hypothèses!$X$7,IF(BZ14&lt;=Hypothèses!$V$8,Hypothèses!$X$8,IF(BZ14&lt;=Hypothèses!$V$9,Hypothèses!$X$9,IF(BZ14&lt;=Hypothèses!$V$10,Hypothèses!$X$10,IF(BZ14&lt;=Hypothèses!$V$11,Hypothèses!$X$11,IF(BZ14&lt;=Hypothèses!$V$12,Hypothèses!$X$12,IF(BZ14&lt;=Hypothèses!$V$13,Hypothèses!$X$13,IF(BZ14&lt;=Hypothèses!$V$14,Hypothèses!$X$14,IF(BZ14&lt;=Hypothèses!$V$15,Hypothèses!$X$15,IF(BZ14&lt;=Hypothèses!$V$16,Hypothèses!$X$16,IF(BZ14&lt;=Hypothèses!$U$17,Hypothèses!$W$17,IF(BZ14&lt;=Hypothèses!$U$18,Hypothèses!$W$18,""))))))))))))</f>
        <v>#DIV/0!</v>
      </c>
      <c r="CW14" s="95" t="e">
        <f ca="1">IF($B14&lt;10*$DG$12,0.1/CU14*SUM(OFFSET(F14,-10*$B14+1,0,10*$B14,1)),0.1/CU14*SUM(OFFSET(F14,-100*$DG$12+1,0,100*$DG$12,1)))</f>
        <v>#DIV/0!</v>
      </c>
      <c r="CX14" s="101" t="e">
        <f t="shared" ref="CX14:CX16" si="42">IF($I14=0,0,
IF(CW14&gt;5*DB$12,$I14,
IF($D14="Pressio.",1+($I14-1)*(CW14/DB$12)/5,
IF($D14="Pénétro.",IF($E14=1,0.3+($I14-0.3)*(CW14/DB$12)/5,
IF($E14=2,0.2+($I14-0.2)*(CW14/DB$12)/5,
IF($E14=3,0.1+($I14-0.1)*(CW14/DB$12)/5,
0.15+($I14-0.15)*(CW14/DB$12)/5)))))))</f>
        <v>#N/A</v>
      </c>
      <c r="CY14" s="91" t="e">
        <f t="shared" ref="CY14:CY77" si="43">IF($X14&lt;&gt;"",$X14,CX14)</f>
        <v>#N/A</v>
      </c>
      <c r="CZ14" s="30" t="e">
        <f t="shared" ref="CZ14" si="44">PI()*CZ$12*$Q14*($B14-$B13)/($G14*$B$5)/10+CZ13</f>
        <v>#N/A</v>
      </c>
      <c r="DA14" s="30" t="e">
        <f t="shared" ref="DA14" si="45">(PI()*DA$12*$Q14*($B14-$B13))/($H14*$B$5)/10+DA13</f>
        <v>#N/A</v>
      </c>
      <c r="DB14" s="31" t="e">
        <f>IF(OR(Hypothèses!$B$4=17,Hypothèses!$B$4=18,Hypothèses!$B$4=19,Hypothèses!$B$4=20),
IF($D14="Pressio.",
IF(OR($E14=3,$E14=1,$E14=4),DA14,CZ14),
IF($D14="Pénétro.",
IF(OR($E14=3,$E14=1,$E14=4),DA14,CZ14))),IF($D14="Pressio.",
IF($E14=3,DA14,CZ14),
IF($D14="Pénétro.",
IF($E14=4,DA14,CZ14))))</f>
        <v>#N/A</v>
      </c>
      <c r="DC14" s="31" t="e">
        <f>(IF(OR(Hypothèses!$B$4=17,Hypothèses!$B$4=18,Hypothèses!$B$4=19,Hypothèses!$B$4=20),
IF($D14="Pressio.",
IF(OR($E14=3,$E14=1,$E14=4),(PI()*DC$12^2)/4*(CY14*$W14*1000)/($H14*$B$5),(PI()*DC$12^2)/4*(CY14*$W14*1000)/($G14*$B$5)),
IF($D14="Pénétro.",
IF(OR($E14=4,$E14=1,$E14=5),(PI()*DC$12^2)/4*(CY14*$W14*1000)/($H14*$B$5),(PI()*DC$12^2)/4*(CY14*$W14*1000)/($G14*$B$5)))),
IF($D14="Pressio.",
IF($E14=3,(PI()*DC$12^2)/4*(CY14*$W14*1000)/($H14*$B$5),(PI()*DC$12^2)/4*(CY14*$W14*1000)/($G14*$B$5)),
IF($D14="Pénétro.",
IF($E14=4,(PI()*DC$12^2)/4*(CY14*$W14*1000)/($H14*$B$5),(PI()*DC$12^2)/4*(CY14*$W14*1000)/($G14*$B$5))))))/10</f>
        <v>#N/A</v>
      </c>
      <c r="DD14" s="102" t="e">
        <f>(VLOOKUP($B$3,'Coeff EC7'!$T$39:$X$59,2,0)*DB14+VLOOKUP($B$3,'Coeff EC7'!$T$65:$X$85,2,0)*Model0.1C!DC14)/1.1</f>
        <v>#N/A</v>
      </c>
      <c r="DE14" s="102" t="e">
        <f>(VLOOKUP($B$3,'Coeff EC7'!$T$39:$X$59,3,0)*DB14+VLOOKUP($B$3,'Coeff EC7'!$T$65:$X$85,3,0)*Model0.1C!DC14)/0.9</f>
        <v>#N/A</v>
      </c>
      <c r="DF14" s="102" t="e">
        <f>DB14/1.1+DC14/1.1</f>
        <v>#N/A</v>
      </c>
      <c r="DG14" s="102" t="e">
        <f>DB14+DC14</f>
        <v>#N/A</v>
      </c>
      <c r="DH14" s="414" t="e">
        <f>IF(DH13=0,0,IF(AND(DD14&gt;charge_ELS_quasi,DE14&gt;Charge_ELS_freq,DF14&gt;charge_ELU,DG14&gt;charge_ELA,$B14&gt;NDC!$H$22-0.1+MIN(3*$DH$12,1.5)),0,1))</f>
        <v>#N/A</v>
      </c>
      <c r="DI14" s="86" t="b">
        <f t="shared" ref="DI14:DI77" si="46">IF($B14&lt;=$P$4, $B14, IF($B14&lt;=$P$5, $B14-$P$4, IF($B14&lt;=$P$6, $B14-$P$5, IF($B14&lt;=$P$7,$B14-$P$6, IF($B14&lt;=$P$8, $B14-$P$7, IF($B14&lt;=$P$9, $B14-$P$8, IF($B14&lt;=$P$10,$B14-$P$9)))))))</f>
        <v>0</v>
      </c>
      <c r="DJ14" s="86">
        <f t="shared" ref="DJ14:DJ77" si="47">MAX($DW$12/2,0.5)</f>
        <v>0.5</v>
      </c>
      <c r="DK14" s="86">
        <f t="shared" ref="DK14:DK77" si="48">MIN(DJ14,DI14)</f>
        <v>0.5</v>
      </c>
      <c r="DL14" s="30" t="e">
        <f ca="1">AVERAGE(OFFSET($F14, -10*DK14, 0,10*DK14, 1), OFFSET($F14, 1, 0, 30*DJ14, 1))</f>
        <v>#DIV/0!</v>
      </c>
      <c r="DM14" s="85" t="e">
        <f ca="1">IF(CS14&lt;=Hypothèses!$V$7,Hypothèses!$W$7,IF(CS14&lt;=Hypothèses!$V$8,Hypothèses!$W$8,IF(CS14&lt;=Hypothèses!$V$9,Hypothèses!$W$9,IF(CS14&lt;=Hypothèses!$V$10,Hypothèses!$W$10,IF(CS14&lt;=Hypothèses!$V$11,Hypothèses!$W$11,IF(CS14&lt;=Hypothèses!$V$12,Hypothèses!$W$12,IF(CS14&lt;=Hypothèses!$V$13,Hypothèses!$W$13,IF(CS14&lt;=Hypothèses!$V$14,Hypothèses!$W$14,IF(CS14&lt;=Hypothèses!$V$15,Hypothèses!$W$15,IF(CS14&lt;=Hypothèses!$V$16,Hypothèses!$W$16,IF(CS14&lt;=Hypothèses!$V$17,Hypothèses!$W$17,IF(CS14&lt;=Hypothèses!$V$18,Hypothèses!$W$18,""))))))))))))</f>
        <v>#DIV/0!</v>
      </c>
      <c r="DN14" s="87" t="e">
        <f ca="1">IF(DM14&lt;&gt;"",DM14,DL14)</f>
        <v>#DIV/0!</v>
      </c>
      <c r="DO14" s="88" t="e">
        <f ca="1">IF(CS14&lt;=Hypothèses!$V$7,Hypothèses!$X$7,IF(CS14&lt;=Hypothèses!$V$8,Hypothèses!$X$8,IF(CS14&lt;=Hypothèses!$V$9,Hypothèses!$X$9,IF(CS14&lt;=Hypothèses!$V$10,Hypothèses!$X$10,IF(CS14&lt;=Hypothèses!$V$11,Hypothèses!$X$11,IF(CS14&lt;=Hypothèses!$V$12,Hypothèses!$X$12,IF(CS14&lt;=Hypothèses!$V$13,Hypothèses!$X$13,IF(CS14&lt;=Hypothèses!$V$14,Hypothèses!$X$14,IF(CS14&lt;=Hypothèses!$V$15,Hypothèses!$X$15,IF(CS14&lt;=Hypothèses!$V$16,Hypothèses!$X$16,IF(CS14&lt;=Hypothèses!$U$17,Hypothèses!$W$17,IF(CS14&lt;=Hypothèses!$U$18,Hypothèses!$W$18,""))))))))))))</f>
        <v>#DIV/0!</v>
      </c>
      <c r="DP14" s="95" t="e">
        <f ca="1">IF($B14&lt;10*$DZ$12,0.1/DN14*SUM(OFFSET(F14,-10*$B14+1,0,10*$B14,1)),0.1/DN14*SUM(OFFSET(F14,-100*$DZ$12+1,0,100*$DZ$12,1)))</f>
        <v>#DIV/0!</v>
      </c>
      <c r="DQ14" s="101" t="e">
        <f t="shared" ref="DQ14:DQ16" si="49">IF($I14=0,0,
IF(DP14&gt;5*DU$12,$I14,
IF($D14="Pressio.",1+($I14-1)*(DP14/DU$12)/5,
IF($D14="Pénétro.",IF($E14=1,0.3+($I14-0.3)*(DP14/DU$12)/5,
IF($E14=2,0.2+($I14-0.2)*(DP14/DU$12)/5,
IF($E14=3,0.1+($I14-0.1)*(DP14/DU$12)/5,
0.15+($I14-0.15)*(DP14/DU$12)/5)))))))</f>
        <v>#N/A</v>
      </c>
      <c r="DR14" s="91" t="e">
        <f t="shared" ref="DR14:DR77" si="50">IF($X14&lt;&gt;"",$X14,DQ14)</f>
        <v>#N/A</v>
      </c>
      <c r="DS14" s="30" t="e">
        <f t="shared" ref="DS14" si="51">PI()*DS$12*$Q14*($B14-$B13)/($G14*$B$5)/10+DS13</f>
        <v>#N/A</v>
      </c>
      <c r="DT14" s="30" t="e">
        <f t="shared" ref="DT14" si="52">(PI()*DT$12*$Q14*($B14-$B13))/($H14*$B$5)/10+DT13</f>
        <v>#N/A</v>
      </c>
      <c r="DU14" s="31" t="e">
        <f>IF(OR(Hypothèses!$B$4=17,Hypothèses!$B$4=18,Hypothèses!$B$4=19,Hypothèses!$B$4=20),
IF($D14="Pressio.",
IF(OR($E14=3,$E14=1,$E14=4),DT14,DS14),
IF($D14="Pénétro.",
IF(OR($E14=3,$E14=1,$E14=4),DT14,DS14))),IF($D14="Pressio.",
IF($E14=3,DT14,DS14),
IF($D14="Pénétro.",
IF($E14=4,DT14,DS14))))</f>
        <v>#N/A</v>
      </c>
      <c r="DV14" s="31" t="e">
        <f>(IF(OR(Hypothèses!$B$4=17,Hypothèses!$B$4=18,Hypothèses!$B$4=19,Hypothèses!$B$4=20),
IF($D14="Pressio.",
IF(OR($E14=3,$E14=1,$E14=4),(PI()*DV$12^2)/4*(DR14*$W14*1000)/($H14*$B$5),(PI()*DV$12^2)/4*(DR14*$W14*1000)/($G14*$B$5)),
IF($D14="Pénétro.",
IF(OR($E14=4,$E14=1,$E14=5),(PI()*DV$12^2)/4*(DR14*$W14*1000)/($H14*$B$5),(PI()*DV$12^2)/4*(DR14*$W14*1000)/($G14*$B$5)))),
IF($D14="Pressio.",
IF($E14=3,(PI()*DV$12^2)/4*(DR14*$W14*1000)/($H14*$B$5),(PI()*DV$12^2)/4*(DR14*$W14*1000)/($G14*$B$5)),
IF($D14="Pénétro.",
IF($E14=4,(PI()*DV$12^2)/4*(DR14*$W14*1000)/($H14*$B$5),(PI()*DV$12^2)/4*(DR14*$W14*1000)/($G14*$B$5))))))/10</f>
        <v>#N/A</v>
      </c>
      <c r="DW14" s="102" t="e">
        <f>(VLOOKUP($B$3,'Coeff EC7'!$T$39:$X$59,2,0)*DU14+VLOOKUP($B$3,'Coeff EC7'!$T$65:$X$85,2,0)*Model0.1C!DV14)/1.1</f>
        <v>#N/A</v>
      </c>
      <c r="DX14" s="102" t="e">
        <f>(VLOOKUP($B$3,'Coeff EC7'!$T$39:$X$59,3,0)*DU14+VLOOKUP($B$3,'Coeff EC7'!$T$65:$X$85,3,0)*Model0.1C!DV14)/0.9</f>
        <v>#N/A</v>
      </c>
      <c r="DY14" s="102" t="e">
        <f>DU14/1.1+DV14/1.1</f>
        <v>#N/A</v>
      </c>
      <c r="DZ14" s="102" t="e">
        <f>DU14+DV14</f>
        <v>#N/A</v>
      </c>
      <c r="EA14" s="414" t="e">
        <f>IF(EA13=0,0,IF(AND(DW14&gt;charge_ELS_quasi,DX14&gt;Charge_ELS_freq,DY14&gt;charge_ELU,DZ14&gt;charge_ELA,$B14&gt;NDC!$H$22-0.1+MIN(3*$EA$12,1.5)),0,1))</f>
        <v>#N/A</v>
      </c>
      <c r="EB14" s="86" t="b">
        <f t="shared" ref="EB14:EB77" si="53">IF($B14&lt;=$P$4, $B14, IF($B14&lt;=$P$5, $B14-$P$4, IF($B14&lt;=$P$6, $B14-$P$5, IF($B14&lt;=$P$7,$B14-$P$6, IF($B14&lt;=$P$8, $B14-$P$7, IF($B14&lt;=$P$9, $B14-$P$8, IF($B14&lt;=$P$10,$B14-$P$9)))))))</f>
        <v>0</v>
      </c>
      <c r="EC14" s="418">
        <f t="shared" ref="EC14:EC77" si="54">MAX($EP$12/2,0.5)</f>
        <v>0.51</v>
      </c>
      <c r="ED14" s="86">
        <f t="shared" ref="ED14:ED77" si="55">MIN(EC14,EB14)</f>
        <v>0.51</v>
      </c>
      <c r="EE14" s="30" t="e">
        <f ca="1">AVERAGE(OFFSET($F14, -10*ED14, 0,10*ED14, 1), OFFSET($F14, 1, 0, 30*EC14, 1))</f>
        <v>#DIV/0!</v>
      </c>
      <c r="EF14" s="85" t="e">
        <f ca="1">IF(DL14&lt;=Hypothèses!$V$7,Hypothèses!$W$7,IF(DL14&lt;=Hypothèses!$V$8,Hypothèses!$W$8,IF(DL14&lt;=Hypothèses!$V$9,Hypothèses!$W$9,IF(DL14&lt;=Hypothèses!$V$10,Hypothèses!$W$10,IF(DL14&lt;=Hypothèses!$V$11,Hypothèses!$W$11,IF(DL14&lt;=Hypothèses!$V$12,Hypothèses!$W$12,IF(DL14&lt;=Hypothèses!$V$13,Hypothèses!$W$13,IF(DL14&lt;=Hypothèses!$V$14,Hypothèses!$W$14,IF(DL14&lt;=Hypothèses!$V$15,Hypothèses!$W$15,IF(DL14&lt;=Hypothèses!$V$16,Hypothèses!$W$16,IF(DL14&lt;=Hypothèses!$V$17,Hypothèses!$W$17,IF(DL14&lt;=Hypothèses!$V$18,Hypothèses!$W$18,""))))))))))))</f>
        <v>#DIV/0!</v>
      </c>
      <c r="EG14" s="87" t="e">
        <f ca="1">IF(EF14&lt;&gt;"",EF14,EE14)</f>
        <v>#DIV/0!</v>
      </c>
      <c r="EH14" s="88" t="e">
        <f ca="1">IF(DL14&lt;=Hypothèses!$V$7,Hypothèses!$X$7,IF(DL14&lt;=Hypothèses!$V$8,Hypothèses!$X$8,IF(DL14&lt;=Hypothèses!$V$9,Hypothèses!$X$9,IF(DL14&lt;=Hypothèses!$V$10,Hypothèses!$X$10,IF(DL14&lt;=Hypothèses!$V$11,Hypothèses!$X$11,IF(DL14&lt;=Hypothèses!$V$12,Hypothèses!$X$12,IF(DL14&lt;=Hypothèses!$V$13,Hypothèses!$X$13,IF(DL14&lt;=Hypothèses!$V$14,Hypothèses!$X$14,IF(DL14&lt;=Hypothèses!$V$15,Hypothèses!$X$15,IF(DL14&lt;=Hypothèses!$V$16,Hypothèses!$X$16,IF(DL14&lt;=Hypothèses!$U$17,Hypothèses!$W$17,IF(DL14&lt;=Hypothèses!$U$18,Hypothèses!$W$18,""))))))))))))</f>
        <v>#DIV/0!</v>
      </c>
      <c r="EI14" s="95" t="e">
        <f ca="1">IF($B14&lt;10*$ES$12,0.1/EG14*SUM(OFFSET(F14,-10*$B14+1,0,10*$B14,1)),0.1/EG14*SUM(OFFSET(F14,-100*$ES$12+1,0,100*$ES$12,1)))</f>
        <v>#DIV/0!</v>
      </c>
      <c r="EJ14" s="101" t="e">
        <f t="shared" ref="EJ14:EJ16" si="56">IF($I14=0,0,
IF(EI14&gt;5*EN$12,$I14,
IF($D14="Pressio.",1+($I14-1)*(EI14/EN$12)/5,
IF($D14="Pénétro.",IF($E14=1,0.3+($I14-0.3)*(EI14/EN$12)/5,
IF($E14=2,0.2+($I14-0.2)*(EI14/EN$12)/5,
IF($E14=3,0.1+($I14-0.1)*(EI14/EN$12)/5,
0.15+($I14-0.15)*(EI14/EN$12)/5)))))))</f>
        <v>#N/A</v>
      </c>
      <c r="EK14" s="91" t="e">
        <f t="shared" ref="EK14:EK77" si="57">IF($X14&lt;&gt;"",$X14,EJ14)</f>
        <v>#N/A</v>
      </c>
      <c r="EL14" s="30" t="e">
        <f t="shared" ref="EL14" si="58">PI()*EL$12*$Q14*($B14-$B13)/($G14*$B$5)/10+EL13</f>
        <v>#N/A</v>
      </c>
      <c r="EM14" s="30" t="e">
        <f t="shared" ref="EM14" si="59">(PI()*EM$12*$Q14*($B14-$B13))/($H14*$B$5)/10+EM13</f>
        <v>#N/A</v>
      </c>
      <c r="EN14" s="31" t="e">
        <f>IF(OR(Hypothèses!$B$4=17,Hypothèses!$B$4=18,Hypothèses!$B$4=19,Hypothèses!$B$4=20),
IF($D14="Pressio.",
IF(OR($E14=3,$E14=1,$E14=4),EM14,EL14),
IF($D14="Pénétro.",
IF(OR($E14=3,$E14=1,$E14=4),EM14,EL14))),IF($D14="Pressio.",
IF($E14=3,EM14,EL14),
IF($D14="Pénétro.",
IF($E14=4,EM14,EL14))))</f>
        <v>#N/A</v>
      </c>
      <c r="EO14" s="31" t="e">
        <f>(IF(OR(Hypothèses!$B$4=17,Hypothèses!$B$4=18,Hypothèses!$B$4=19,Hypothèses!$B$4=20),
IF($D14="Pressio.",
IF(OR($E14=3,$E14=1,$E14=4),(PI()*EO$12^2)/4*(EK14*$W14*1000)/($H14*$B$5),(PI()*EO$12^2)/4*(EK14*$W14*1000)/($G14*$B$5)),
IF($D14="Pénétro.",
IF(OR($E14=4,$E14=1,$E14=5),(PI()*EO$12^2)/4*(EK14*$W14*1000)/($H14*$B$5),(PI()*EO$12^2)/4*(EK14*$W14*1000)/($G14*$B$5)))),
IF($D14="Pressio.",
IF($E14=3,(PI()*EO$12^2)/4*(EK14*$W14*1000)/($H14*$B$5),(PI()*EO$12^2)/4*(EK14*$W14*1000)/($G14*$B$5)),
IF($D14="Pénétro.",
IF($E14=4,(PI()*EO$12^2)/4*(EK14*$W14*1000)/($H14*$B$5),(PI()*EO$12^2)/4*(EK14*$W14*1000)/($G14*$B$5))))))/10</f>
        <v>#N/A</v>
      </c>
      <c r="EP14" s="102" t="e">
        <f>(VLOOKUP($B$3,'Coeff EC7'!$T$39:$X$59,2,0)*EN14+VLOOKUP($B$3,'Coeff EC7'!$T$65:$X$85,2,0)*Model0.1C!EO14)/1.1</f>
        <v>#N/A</v>
      </c>
      <c r="EQ14" s="102" t="e">
        <f>(VLOOKUP($B$3,'Coeff EC7'!$T$39:$X$59,3,0)*EN14+VLOOKUP($B$3,'Coeff EC7'!$T$65:$X$85,3,0)*Model0.1C!EO14)/0.9</f>
        <v>#N/A</v>
      </c>
      <c r="ER14" s="102" t="e">
        <f>EN14/1.1+EO14/1.1</f>
        <v>#N/A</v>
      </c>
      <c r="ES14" s="102" t="e">
        <f>EN14+EO14</f>
        <v>#N/A</v>
      </c>
      <c r="ET14" s="414" t="e">
        <f>IF(ET13=0,0,IF(AND(EP14&gt;charge_ELS_quasi,EQ14&gt;Charge_ELS_freq,ER14&gt;charge_ELU,ES14&gt;charge_ELA,$B14&gt;NDC!$H$22-0.1+MIN(3*$ET$12,1.5)),0,1))</f>
        <v>#N/A</v>
      </c>
      <c r="EU14" s="86" t="b">
        <f t="shared" ref="EU14:EU77" si="60">IF($B14&lt;=$P$4, $B14, IF($B14&lt;=$P$5, $B14-$P$4, IF($B14&lt;=$P$6, $B14-$P$5, IF($B14&lt;=$P$7,$B14-$P$6, IF($B14&lt;=$P$8, $B14-$P$7, IF($B14&lt;=$P$9, $B14-$P$8, IF($B14&lt;=$P$10,$B14-$P$9)))))))</f>
        <v>0</v>
      </c>
      <c r="EV14" s="86">
        <f t="shared" ref="EV14:EV77" si="61">MAX($FI$12/2,0.5)</f>
        <v>0.61</v>
      </c>
      <c r="EW14" s="86">
        <f t="shared" ref="EW14:EW77" si="62">MIN(EV14,EU14)</f>
        <v>0.61</v>
      </c>
      <c r="EX14" s="30" t="e">
        <f ca="1">AVERAGE(OFFSET($F14, -10*EW14, 0,10*EW14, 1), OFFSET($F14, 1, 0, 30*EV14, 1))</f>
        <v>#DIV/0!</v>
      </c>
      <c r="EY14" s="85" t="e">
        <f ca="1">IF(EE14&lt;=Hypothèses!$V$7,Hypothèses!$W$7,IF(EE14&lt;=Hypothèses!$V$8,Hypothèses!$W$8,IF(EE14&lt;=Hypothèses!$V$9,Hypothèses!$W$9,IF(EE14&lt;=Hypothèses!$V$10,Hypothèses!$W$10,IF(EE14&lt;=Hypothèses!$V$11,Hypothèses!$W$11,IF(EE14&lt;=Hypothèses!$V$12,Hypothèses!$W$12,IF(EE14&lt;=Hypothèses!$V$13,Hypothèses!$W$13,IF(EE14&lt;=Hypothèses!$V$14,Hypothèses!$W$14,IF(EE14&lt;=Hypothèses!$V$15,Hypothèses!$W$15,IF(EE14&lt;=Hypothèses!$V$16,Hypothèses!$W$16,IF(EE14&lt;=Hypothèses!$V$17,Hypothèses!$W$17,IF(EE14&lt;=Hypothèses!$V$18,Hypothèses!$W$18,""))))))))))))</f>
        <v>#DIV/0!</v>
      </c>
      <c r="EZ14" s="87" t="e">
        <f ca="1">IF(EY14&lt;&gt;"",EY14,EX14)</f>
        <v>#DIV/0!</v>
      </c>
      <c r="FA14" s="88" t="e">
        <f ca="1">IF(EE14&lt;=Hypothèses!$V$7,Hypothèses!$X$7,IF(EE14&lt;=Hypothèses!$V$8,Hypothèses!$X$8,IF(EE14&lt;=Hypothèses!$V$9,Hypothèses!$X$9,IF(EE14&lt;=Hypothèses!$V$10,Hypothèses!$X$10,IF(EE14&lt;=Hypothèses!$V$11,Hypothèses!$X$11,IF(EE14&lt;=Hypothèses!$V$12,Hypothèses!$X$12,IF(EE14&lt;=Hypothèses!$V$13,Hypothèses!$X$13,IF(EE14&lt;=Hypothèses!$V$14,Hypothèses!$X$14,IF(EE14&lt;=Hypothèses!$V$15,Hypothèses!$X$15,IF(EE14&lt;=Hypothèses!$V$16,Hypothèses!$X$16,IF(EE14&lt;=Hypothèses!$U$17,Hypothèses!$W$17,IF(EE14&lt;=Hypothèses!$U$18,Hypothèses!$W$18,""))))))))))))</f>
        <v>#DIV/0!</v>
      </c>
      <c r="FB14" s="95" t="e">
        <f ca="1">IF($B14&lt;10*$FL$12,0.1/EZ14*SUM(OFFSET(F14,-10*$B14+1,0,10*$B14,1)),0.1/EZ14*SUM(OFFSET(F14,-100*$FL$12+1,0,100*$FL$12,1)))</f>
        <v>#DIV/0!</v>
      </c>
      <c r="FC14" s="101" t="e">
        <f t="shared" ref="FC14:FC16" si="63">IF($I14=0,0,
IF(FB14&gt;5*FG$12,$I14,
IF($D14="Pressio.",1+($I14-1)*(FB14/FG$12)/5,
IF($D14="Pénétro.",IF($E14=1,0.3+($I14-0.3)*(FB14/FG$12)/5,
IF($E14=2,0.2+($I14-0.2)*(FB14/FG$12)/5,
IF($E14=3,0.1+($I14-0.1)*(FB14/FG$12)/5,
0.15+($I14-0.15)*(FB14/FG$12)/5)))))))</f>
        <v>#N/A</v>
      </c>
      <c r="FD14" s="91" t="e">
        <f t="shared" ref="FD14:FD77" si="64">IF($X14&lt;&gt;"",$X14,FC14)</f>
        <v>#N/A</v>
      </c>
      <c r="FE14" s="30" t="e">
        <f t="shared" ref="FE14" si="65">PI()*FE$12*$Q14*($B14-$B13)/($G14*$B$5)/10+FE13</f>
        <v>#N/A</v>
      </c>
      <c r="FF14" s="30" t="e">
        <f t="shared" ref="FF14" si="66">(PI()*FF$12*$Q14*($B14-$B13))/($H14*$B$5)/10+FF13</f>
        <v>#N/A</v>
      </c>
      <c r="FG14" s="31" t="e">
        <f>IF(OR(Hypothèses!$B$4=17,Hypothèses!$B$4=18,Hypothèses!$B$4=19,Hypothèses!$B$4=20),
IF($D14="Pressio.",
IF(OR($E14=3,$E14=1,$E14=4),FF14,FE14),
IF($D14="Pénétro.",
IF(OR($E14=3,$E14=1,$E14=4),FF14,FE14))),IF($D14="Pressio.",
IF($E14=3,FF14,FE14),
IF($D14="Pénétro.",
IF($E14=4,FF14,FE14))))</f>
        <v>#N/A</v>
      </c>
      <c r="FH14" s="31" t="e">
        <f>(IF(OR(Hypothèses!$B$4=17,Hypothèses!$B$4=18,Hypothèses!$B$4=19,Hypothèses!$B$4=20),
IF($D14="Pressio.",
IF(OR($E14=3,$E14=1,$E14=4),(PI()*FH$12^2)/4*(FD14*$W14*1000)/($H14*$B$5),(PI()*FH$12^2)/4*(FD14*$W14*1000)/($G14*$B$5)),
IF($D14="Pénétro.",
IF(OR($E14=4,$E14=1,$E14=5),(PI()*FH$12^2)/4*(FD14*$W14*1000)/($H14*$B$5),(PI()*FH$12^2)/4*(FD14*$W14*1000)/($G14*$B$5)))),
IF($D14="Pressio.",
IF($E14=3,(PI()*FH$12^2)/4*(FD14*$W14*1000)/($H14*$B$5),(PI()*FH$12^2)/4*(FD14*$W14*1000)/($G14*$B$5)),
IF($D14="Pénétro.",
IF($E14=4,(PI()*FH$12^2)/4*(FD14*$W14*1000)/($H14*$B$5),(PI()*FH$12^2)/4*(FD14*$W14*1000)/($G14*$B$5))))))/10</f>
        <v>#N/A</v>
      </c>
      <c r="FI14" s="102" t="e">
        <f>(VLOOKUP($B$3,'Coeff EC7'!$T$39:$X$59,2,0)*FG14+VLOOKUP($B$3,'Coeff EC7'!$T$65:$X$85,2,0)*Model0.1C!FH14)/1.1</f>
        <v>#N/A</v>
      </c>
      <c r="FJ14" s="102" t="e">
        <f>(VLOOKUP($B$3,'Coeff EC7'!$T$39:$X$59,3,0)*FG14+VLOOKUP($B$3,'Coeff EC7'!$T$65:$X$85,3,0)*Model0.1C!FH14)/0.9</f>
        <v>#N/A</v>
      </c>
      <c r="FK14" s="102" t="e">
        <f>FG14/1.1+FH14/1.1</f>
        <v>#N/A</v>
      </c>
      <c r="FL14" s="102" t="e">
        <f>FG14+FH14</f>
        <v>#N/A</v>
      </c>
      <c r="FM14" s="414" t="e">
        <f>IF(FM13=0,0,IF(AND(FI14&gt;charge_ELS_quasi,FJ14&gt;Charge_ELS_freq,FK14&gt;charge_ELU,FL14&gt;charge_ELA,$B14&gt;NDC!$H$22-0.1+MIN(3*$FM$12,1.5)),0,1))</f>
        <v>#N/A</v>
      </c>
    </row>
    <row r="15" spans="1:169">
      <c r="A15" s="96">
        <f t="shared" ref="A15:A78" si="67">A14-0.1</f>
        <v>99.800000000000011</v>
      </c>
      <c r="B15" s="97">
        <v>0.2</v>
      </c>
      <c r="C15" s="81">
        <f>IF(B15&lt;=Hypothèses!$C$7,Hypothèses!$A$7,IF(B15&lt;=Hypothèses!$C$8,Hypothèses!$A$8,IF(B15&lt;=Hypothèses!$C$9,Hypothèses!$A$9,IF(B15&lt;=Hypothèses!$C$10,Hypothèses!$A$10,IF(B15&lt;=Hypothèses!$C$11,Hypothèses!$A$11,IF(B15&lt;=Hypothèses!$C$12,Hypothèses!$A$12,IF(B15&lt;=Hypothèses!$C$13,Hypothèses!$A$13,IF(B15&lt;=Hypothèses!$C$14,Hypothèses!$A$14,IF(B15&lt;=Hypothèses!$C$15,Hypothèses!$A$15,IF(B15&lt;=Hypothèses!$C$16,Hypothèses!$A$16,IF(B15&lt;=Hypothèses!$C$17,Hypothèses!$A$17,IF(B15&lt;=Hypothèses!$C$18,Hypothèses!$A$18,C14))))))))))))</f>
        <v>11</v>
      </c>
      <c r="D15" s="82" t="str">
        <f>IF(B15&lt;=Hypothèses!$C$7,Hypothèses!$R$7,IF(B15&lt;=Hypothèses!$C$8,Hypothèses!$R$8,IF(B15&lt;=Hypothèses!$C$9,Hypothèses!$R$9,IF(B15&lt;=Hypothèses!$C$10,Hypothèses!$R$10,IF(B15&lt;=Hypothèses!$C$11,Hypothèses!$R$11,IF(B15&lt;=Hypothèses!$C$12,Hypothèses!$R$12,IF(B15&lt;=Hypothèses!$C$13,Hypothèses!$R$13,IF(B15&lt;=Hypothèses!$C$14,Hypothèses!$R$14,IF(B15&lt;=Hypothèses!$C$15,Hypothèses!$R$15,IF(B15&lt;=Hypothèses!$C$16,Hypothèses!$R$16,IF(B15&lt;=Hypothèses!$C$17,Hypothèses!$R$17,IF(B15&lt;=Hypothèses!$C$18,Hypothèses!$R$18,D14))))))))))))</f>
        <v>Pressio.</v>
      </c>
      <c r="E15" s="82" t="e">
        <f>IF(B15&lt;=Hypothèses!$C$7,Hypothèses!$G$7,IF(B15&lt;=Hypothèses!$C$8,Hypothèses!$G$8,IF(B15&lt;=Hypothèses!$C$9,Hypothèses!$G$9,IF(B15&lt;=Hypothèses!$C$10,Hypothèses!$G$10,IF(B15&lt;=Hypothèses!$C$11,Hypothèses!$G$11,IF(B15&lt;=Hypothèses!$C$12,Hypothèses!$G$12,IF(B15&lt;=Hypothèses!$C$13,Hypothèses!$G$13,IF(B15&lt;=Hypothèses!$C$14,Hypothèses!$G$14,IF(B15&lt;=Hypothèses!$C$15,Hypothèses!$G$15,IF(B15&lt;=Hypothèses!$C$16,Hypothèses!$G$16,IF(B15&lt;=Hypothèses!$C$17,Hypothèses!$G$17,IF(B15&lt;=Hypothèses!$C$18,Hypothèses!$G$18,E14))))))))))))</f>
        <v>#N/A</v>
      </c>
      <c r="F15" s="82" t="str">
        <f>IF(B15&lt;=Hypothèses!$C$7,Hypothèses!$F$7,IF(B15&lt;=Hypothèses!$C$8,Hypothèses!$F$8,IF(B15&lt;=Hypothèses!$C$9,Hypothèses!$F$9,IF(B15&lt;=Hypothèses!$C$10,Hypothèses!$F$10,IF(B15&lt;=Hypothèses!$C$11,Hypothèses!$F$11,IF(B15&lt;=Hypothèses!$C$12,Hypothèses!$F$12,IF(B15&lt;=Hypothèses!$C$13,Hypothèses!$F$13,IF(B15&lt;=Hypothèses!$C$14,Hypothèses!$F$14,IF(B15&lt;=Hypothèses!$C$15,Hypothèses!$F$15,IF(B15&lt;=Hypothèses!$C$16,Hypothèses!$F$16,IF(B15&lt;=Hypothèses!$C$17,Hypothèses!$F$17,IF(B15&lt;=Hypothèses!$C$18,Hypothèses!$F$18,F14))))))))))))</f>
        <v/>
      </c>
      <c r="G15" s="91">
        <f t="array" ref="G15">INDEX('Coeff EC7'!$U$7:$X$27,
MATCH(Model0.1C!$B$3,'Coeff EC7'!$T$7:$T$27,0),
MATCH(Model0.1C!$D15&amp;Model0.1C!$B$4,
'Coeff EC7'!$U$6:$X$6&amp;
'Coeff EC7'!$U$5:$X$5,0))</f>
        <v>1.1499999999999999</v>
      </c>
      <c r="H15" s="91">
        <f t="array" ref="H15">INDEX('Coeff EC7'!$Y$7:$AB$27,
MATCH(Model0.1C!$B$3,'Coeff EC7'!$T$7:$T$27,0),
MATCH(Model0.1C!$D15&amp;Model0.1C!$B$4,
'Coeff EC7'!$Y$6:$AB$6&amp;
'Coeff EC7'!$Y$5:$AB$5,0))</f>
        <v>1.4</v>
      </c>
      <c r="I15" s="83" t="e">
        <f>IF(B15&lt;=Hypothèses!$C$7,Hypothèses!$P$7,IF(B15&lt;=Hypothèses!$C$8,Hypothèses!$P$8,IF(B15&lt;=Hypothèses!$C$9,Hypothèses!$P$9,IF(B15&lt;=Hypothèses!$C$10,Hypothèses!$P$10,IF(B15&lt;=Hypothèses!$C$11,Hypothèses!$P$11,IF(B15&lt;=Hypothèses!$C$12,Hypothèses!$P$12,IF(B15&lt;=Hypothèses!$C$13,Hypothèses!$P$13,IF(B15&lt;=Hypothèses!$C$14,Hypothèses!$P$14,IF(B15&lt;=Hypothèses!$C$15,Hypothèses!$P$15,IF(B15&lt;=Hypothèses!$C$16,Hypothèses!$P$16,IF(B15&lt;=Hypothèses!$C$17,Hypothèses!$P$17,IF(B15&lt;=Hypothèses!$C$18,Hypothèses!$P$18,I14))))))))))))</f>
        <v>#N/A</v>
      </c>
      <c r="J15" s="91" t="e">
        <f t="array" ref="J15">INDEX('Coeff EC7'!$D$33:$Q$33,1,MATCH(D15&amp;E15,'Coeff EC7'!$D$31:$Q$31&amp;'Coeff EC7'!$D$32:$Q$32,0))</f>
        <v>#N/A</v>
      </c>
      <c r="K15" s="91" t="e">
        <f t="array" ref="K15">INDEX('Coeff EC7'!$D$34:$Q$34,1,MATCH(D15&amp;E15,'Coeff EC7'!$D$31:$Q$31&amp;'Coeff EC7'!$D$32:$Q$32,0))</f>
        <v>#N/A</v>
      </c>
      <c r="L15" s="91" t="e">
        <f t="array" ref="L15">INDEX('Coeff EC7'!$D$35:$Q$35,1,MATCH(D15&amp;E15,'Coeff EC7'!$D$31:$Q$31&amp;'Coeff EC7'!$D$32:$Q$32,0))</f>
        <v>#N/A</v>
      </c>
      <c r="M15" s="98" t="e">
        <f t="shared" si="8"/>
        <v>#N/A</v>
      </c>
      <c r="N15" s="99" t="e">
        <f t="array" ref="N15">INDEX('Coeff EC7'!$D$7:$Q$27,MATCH($B$3,'Coeff EC7'!$C$7:$C$27,0),MATCH(D15&amp;E15,'Coeff EC7'!$D$5:$Q$5&amp;'Coeff EC7'!$D$6:$Q$6,0))</f>
        <v>#N/A</v>
      </c>
      <c r="O15" s="99" t="e">
        <f t="array" ref="O15">INDEX('Coeff EC7'!$D$41:$Q$61,MATCH($B$3,'Coeff EC7'!$C$41:$C$61,0),MATCH(D15&amp;E15,'Coeff EC7'!$D$39:$Q$39&amp;'Coeff EC7'!$D$40:$Q$40,0))</f>
        <v>#N/A</v>
      </c>
      <c r="P15" s="30" t="e">
        <f t="shared" ref="P15:P78" si="68">N15*M15*1000</f>
        <v>#N/A</v>
      </c>
      <c r="Q15" s="100" t="e">
        <f t="shared" si="10"/>
        <v>#N/A</v>
      </c>
      <c r="R15" s="86" t="b">
        <f t="shared" si="11"/>
        <v>0</v>
      </c>
      <c r="S15" s="86">
        <f t="shared" si="9"/>
        <v>0.5</v>
      </c>
      <c r="T15" s="86">
        <f t="shared" si="12"/>
        <v>0.5</v>
      </c>
      <c r="U15" s="30" t="e">
        <f t="shared" ref="U15:U78" ca="1" si="69">AVERAGE(OFFSET($F15, -10*T15, 0,10*T15, 1), OFFSET($F15, 1, 0, 30*S15, 1))</f>
        <v>#DIV/0!</v>
      </c>
      <c r="V15" s="85" t="str">
        <f>IF(B15&lt;=Hypothèses!$V$7,Hypothèses!$W$7,IF(B15&lt;=Hypothèses!$V$8,Hypothèses!$W$8,IF(B15&lt;=Hypothèses!$V$9,Hypothèses!$W$9,IF(B15&lt;=Hypothèses!$V$10,Hypothèses!$W$10,IF(B15&lt;=Hypothèses!$V$11,Hypothèses!$W$11,IF(B15&lt;=Hypothèses!$V$12,Hypothèses!$W$12,IF(B15&lt;=Hypothèses!$V$13,Hypothèses!$W$13,IF(B15&lt;=Hypothèses!$V$14,Hypothèses!$W$14,IF(B15&lt;=Hypothèses!$V$15,Hypothèses!$W$15,IF(B15&lt;=Hypothèses!$V$16,Hypothèses!$W$16,IF(B15&lt;=Hypothèses!$V$17,Hypothèses!$W$17,IF(B15&lt;=Hypothèses!$V$18,Hypothèses!$W$18,""))))))))))))</f>
        <v/>
      </c>
      <c r="W15" s="87" t="e">
        <f ca="1">IF(V15&lt;&gt;"",V15,U15)</f>
        <v>#DIV/0!</v>
      </c>
      <c r="X15" s="88" t="str">
        <f>IF(B15&lt;=Hypothèses!$V$7,Hypothèses!$X$7,IF(B15&lt;=Hypothèses!$V$8,Hypothèses!$X$8,IF(B15&lt;=Hypothèses!$V$9,Hypothèses!$X$9,IF(B15&lt;=Hypothèses!$V$10,Hypothèses!$X$10,IF(B15&lt;=Hypothèses!$V$11,Hypothèses!$X$11,IF(B15&lt;=Hypothèses!$V$12,Hypothèses!$X$12,IF(B15&lt;=Hypothèses!$V$13,Hypothèses!$X$13,IF(B15&lt;=Hypothèses!$V$14,Hypothèses!$X$14,IF(B15&lt;=Hypothèses!$V$15,Hypothèses!$X$15,IF(B15&lt;=Hypothèses!$V$16,Hypothèses!$X$16,IF(B15&lt;=Hypothèses!$U$17,Hypothèses!$W$17,IF(B15&lt;=Hypothèses!$U$18,Hypothèses!$W$18,""))))))))))))</f>
        <v/>
      </c>
      <c r="Y15" s="95" t="e">
        <f t="shared" ca="1" si="13"/>
        <v>#DIV/0!</v>
      </c>
      <c r="Z15" s="101" t="e">
        <f t="shared" si="14"/>
        <v>#N/A</v>
      </c>
      <c r="AA15" s="91" t="e">
        <f t="shared" si="15"/>
        <v>#N/A</v>
      </c>
      <c r="AB15" s="30" t="e">
        <f>PI()*AB$12*$Q15*($B15-$B14)/($G15*$B$5)/10+AD14</f>
        <v>#N/A</v>
      </c>
      <c r="AC15" s="30" t="e">
        <f>(PI()*AC$12*$Q15*($B15-$B14))/($H15*$B$5)/10+AD14</f>
        <v>#N/A</v>
      </c>
      <c r="AD15" s="31" t="e">
        <f>IF(OR(Hypothèses!$B$4=17,Hypothèses!$B$4=18,Hypothèses!$B$4=19,Hypothèses!$B$4=20),
IF($D15="Pressio.",
IF(OR($E15=3,$E15=1,$E15=4),AC15,AB15),
IF($D15="Pénétro.",
IF(OR($E15=3,$E15=1,$E15=4),AC15,AB15))),IF($D15="Pressio.",
IF($E15=3,AC15,AB15),
IF($D15="Pénétro.",
IF($E15=4,AC15,AB15))))</f>
        <v>#N/A</v>
      </c>
      <c r="AE15" s="31" t="e">
        <f>(IF(OR(Hypothèses!$B$4=17,Hypothèses!$B$4=18,Hypothèses!$B$4=19,Hypothèses!$B$4=20),
IF($D15="Pressio.",
IF(OR($E15=3,$E15=1,$E15=4),(PI()*AE$12^2)/4*(AA15*$W15*1000)/($H15*$B$5),(PI()*AE$12^2)/4*(AA15*$W15*1000)/($G15*$B$5)),
IF($D15="Pénétro.",
IF(OR($E15=4,$E15=1,$E15=5),(PI()*AE$12^2)/4*(AA15*$W15*1000)/($H15*$B$5),(PI()*AE$12^2)/4*(AA15*$W15*1000)/($G15*$B$5)))),
IF($D15="Pressio.",
IF($E15=3,(PI()*AE$12^2)/4*(AA15*$W15*1000)/($H15*$B$5),(PI()*AE$12^2)/4*(AA15*$W15*1000)/($G15*$B$5)),
IF($D15="Pénétro.",
IF($E15=4,(PI()*AE$12^2)/4*(AA15*$W15*1000)/($H15*$B$5),(PI()*AE$12^2)/4*(AA15*$W15*1000)/($G15*$B$5))))))/10</f>
        <v>#N/A</v>
      </c>
      <c r="AF15" s="102" t="e">
        <f>(VLOOKUP($B$3,'Coeff EC7'!$T$39:$X$59,2,0)*AD15+VLOOKUP($B$3,'Coeff EC7'!$T$65:$X$85,2,0)*Model0.1C!AE15)/1.1</f>
        <v>#N/A</v>
      </c>
      <c r="AG15" s="102" t="e">
        <f>(VLOOKUP($B$3,'Coeff EC7'!$T$39:$X$59,3,0)*AD15+VLOOKUP($B$3,'Coeff EC7'!$T$65:$X$85,3,0)*Model0.1C!AE15)/0.9</f>
        <v>#N/A</v>
      </c>
      <c r="AH15" s="102" t="e">
        <f t="shared" si="18"/>
        <v>#N/A</v>
      </c>
      <c r="AI15" s="102" t="e">
        <f t="shared" si="19"/>
        <v>#N/A</v>
      </c>
      <c r="AJ15" s="414" t="e">
        <f>IF(AJ14=0,0,IF(AND(AF15&gt;charge_ELS_quasi,AG15&gt;Charge_ELS_freq,AH15&gt;charge_ELU,AI15&gt;charge_ELA,$B15&gt;NDC!$H$22-0.1+MIN(3*$AJ$12,1.5)),0,1))</f>
        <v>#N/A</v>
      </c>
      <c r="AK15" s="86" t="b">
        <f t="shared" si="20"/>
        <v>0</v>
      </c>
      <c r="AL15" s="86">
        <f t="shared" ref="AL15:AL78" si="70">MAX($AY$12/2,0.5)</f>
        <v>0.5</v>
      </c>
      <c r="AM15" s="86">
        <f t="shared" si="21"/>
        <v>0.5</v>
      </c>
      <c r="AN15" s="30" t="e">
        <f t="shared" ref="AN15:AN78" ca="1" si="71">AVERAGE(OFFSET($F15, -10*AM15, 0,10*AM15, 1), OFFSET($F15, 1, 0, 30*AL15, 1))</f>
        <v>#DIV/0!</v>
      </c>
      <c r="AO15" s="85" t="e">
        <f ca="1">IF(U15&lt;=Hypothèses!$V$7,Hypothèses!$W$7,IF(U15&lt;=Hypothèses!$V$8,Hypothèses!$W$8,IF(U15&lt;=Hypothèses!$V$9,Hypothèses!$W$9,IF(U15&lt;=Hypothèses!$V$10,Hypothèses!$W$10,IF(U15&lt;=Hypothèses!$V$11,Hypothèses!$W$11,IF(U15&lt;=Hypothèses!$V$12,Hypothèses!$W$12,IF(U15&lt;=Hypothèses!$V$13,Hypothèses!$W$13,IF(U15&lt;=Hypothèses!$V$14,Hypothèses!$W$14,IF(U15&lt;=Hypothèses!$V$15,Hypothèses!$W$15,IF(U15&lt;=Hypothèses!$V$16,Hypothèses!$W$16,IF(U15&lt;=Hypothèses!$V$17,Hypothèses!$W$17,IF(U15&lt;=Hypothèses!$V$18,Hypothèses!$W$18,""))))))))))))</f>
        <v>#DIV/0!</v>
      </c>
      <c r="AP15" s="87" t="e">
        <f ca="1">IF(AO15&lt;&gt;"",AO15,AN15)</f>
        <v>#DIV/0!</v>
      </c>
      <c r="AQ15" s="88" t="e">
        <f ca="1">IF(U15&lt;=Hypothèses!$V$7,Hypothèses!$X$7,IF(U15&lt;=Hypothèses!$V$8,Hypothèses!$X$8,IF(U15&lt;=Hypothèses!$V$9,Hypothèses!$X$9,IF(U15&lt;=Hypothèses!$V$10,Hypothèses!$X$10,IF(U15&lt;=Hypothèses!$V$11,Hypothèses!$X$11,IF(U15&lt;=Hypothèses!$V$12,Hypothèses!$X$12,IF(U15&lt;=Hypothèses!$V$13,Hypothèses!$X$13,IF(U15&lt;=Hypothèses!$V$14,Hypothèses!$X$14,IF(U15&lt;=Hypothèses!$V$15,Hypothèses!$X$15,IF(U15&lt;=Hypothèses!$V$16,Hypothèses!$X$16,IF(U15&lt;=Hypothèses!$U$17,Hypothèses!$W$17,IF(U15&lt;=Hypothèses!$U$18,Hypothèses!$W$18,""))))))))))))</f>
        <v>#DIV/0!</v>
      </c>
      <c r="AR15" s="95" t="e">
        <f t="shared" ref="AR15:AR78" ca="1" si="72">IF($B15&lt;10*$BB$12,0.1/AP15*SUM(OFFSET(F15,-10*$B15+1,0,10*$B15,1)),0.1/AP15*SUM(OFFSET(F15,-100*$BB$12+1,0,100*$BB$12,1)))</f>
        <v>#DIV/0!</v>
      </c>
      <c r="AS15" s="101" t="e">
        <f t="shared" si="22"/>
        <v>#N/A</v>
      </c>
      <c r="AT15" s="91" t="e">
        <f t="shared" si="23"/>
        <v>#N/A</v>
      </c>
      <c r="AU15" s="30" t="e">
        <f>PI()*AU$12*$Q15*($B15-$B14)/($G15*$B$5)/10+AW14</f>
        <v>#N/A</v>
      </c>
      <c r="AV15" s="30" t="e">
        <f>(PI()*AV$12*$Q15*($B15-$B14))/($H15*$B$5)/10+AW14</f>
        <v>#N/A</v>
      </c>
      <c r="AW15" s="31" t="e">
        <f>IF(OR(Hypothèses!$B$4=17,Hypothèses!$B$4=18,Hypothèses!$B$4=19,Hypothèses!$B$4=20),
IF($D15="Pressio.",
IF(OR($E15=3,$E15=1,$E15=4),AV15,AU15),
IF($D15="Pénétro.",
IF(OR($E15=3,$E15=1,$E15=4),AV15,AU15))),IF($D15="Pressio.",
IF($E15=3,AV15,AU15),
IF($D15="Pénétro.",
IF($E15=4,AV15,AU15))))</f>
        <v>#N/A</v>
      </c>
      <c r="AX15" s="31" t="e">
        <f>(IF(OR(Hypothèses!$B$4=17,Hypothèses!$B$4=18,Hypothèses!$B$4=19,Hypothèses!$B$4=20),
IF($D15="Pressio.",
IF(OR($E15=3,$E15=1,$E15=4),(PI()*AX$12^2)/4*(AT15*$W15*1000)/($H15*$B$5),(PI()*AX$12^2)/4*(AT15*$W15*1000)/($G15*$B$5)),
IF($D15="Pénétro.",
IF(OR($E15=4,$E15=1,$E15=5),(PI()*AX$12^2)/4*(AT15*$W15*1000)/($H15*$B$5),(PI()*AX$12^2)/4*(AT15*$W15*1000)/($G15*$B$5)))),
IF($D15="Pressio.",
IF($E15=3,(PI()*AX$12^2)/4*(AT15*$W15*1000)/($H15*$B$5),(PI()*AX$12^2)/4*(AT15*$W15*1000)/($G15*$B$5)),
IF($D15="Pénétro.",
IF($E15=4,(PI()*AX$12^2)/4*(AT15*$W15*1000)/($H15*$B$5),(PI()*AX$12^2)/4*(AT15*$W15*1000)/($G15*$B$5))))))/10</f>
        <v>#N/A</v>
      </c>
      <c r="AY15" s="102" t="e">
        <f>(VLOOKUP($B$3,'Coeff EC7'!$T$39:$X$59,2,0)*AW15+VLOOKUP($B$3,'Coeff EC7'!$T$65:$X$85,2,0)*Model0.1C!AX15)/1.1</f>
        <v>#N/A</v>
      </c>
      <c r="AZ15" s="102" t="e">
        <f>(VLOOKUP($B$3,'Coeff EC7'!$T$39:$X$59,3,0)*AW15+VLOOKUP($B$3,'Coeff EC7'!$T$65:$X$85,3,0)*Model0.1C!AX15)/0.9</f>
        <v>#N/A</v>
      </c>
      <c r="BA15" s="102" t="e">
        <f t="shared" ref="BA15:BA78" si="73">AW15/1.1+AX15/1.1</f>
        <v>#N/A</v>
      </c>
      <c r="BB15" s="102" t="e">
        <f t="shared" ref="BB15:BB78" si="74">AW15+AX15</f>
        <v>#N/A</v>
      </c>
      <c r="BC15" s="414" t="e">
        <f>IF(BC14=0,0,IF(AND(AY15&gt;charge_ELS_quasi,AZ15&gt;Charge_ELS_freq,BA15&gt;charge_ELU,BB15&gt;charge_ELA,$B15&gt;NDC!$H$22-0.1+MIN(3*$BC$12,1.5)),0,1))</f>
        <v>#N/A</v>
      </c>
      <c r="BD15" s="86" t="b">
        <f t="shared" si="26"/>
        <v>0</v>
      </c>
      <c r="BE15" s="86">
        <f t="shared" ref="BE15:BE78" si="75">MAX($BR$12/2,0.5)</f>
        <v>0.5</v>
      </c>
      <c r="BF15" s="86">
        <f t="shared" si="27"/>
        <v>0.5</v>
      </c>
      <c r="BG15" s="30" t="e">
        <f t="shared" ref="BG15:BG78" ca="1" si="76">AVERAGE(OFFSET($F15, -10*BF15, 0,10*BF15, 1), OFFSET($F15, 1, 0, 30*BE15, 1))</f>
        <v>#DIV/0!</v>
      </c>
      <c r="BH15" s="85" t="e">
        <f ca="1">IF(AN15&lt;=Hypothèses!$V$7,Hypothèses!$W$7,IF(AN15&lt;=Hypothèses!$V$8,Hypothèses!$W$8,IF(AN15&lt;=Hypothèses!$V$9,Hypothèses!$W$9,IF(AN15&lt;=Hypothèses!$V$10,Hypothèses!$W$10,IF(AN15&lt;=Hypothèses!$V$11,Hypothèses!$W$11,IF(AN15&lt;=Hypothèses!$V$12,Hypothèses!$W$12,IF(AN15&lt;=Hypothèses!$V$13,Hypothèses!$W$13,IF(AN15&lt;=Hypothèses!$V$14,Hypothèses!$W$14,IF(AN15&lt;=Hypothèses!$V$15,Hypothèses!$W$15,IF(AN15&lt;=Hypothèses!$V$16,Hypothèses!$W$16,IF(AN15&lt;=Hypothèses!$V$17,Hypothèses!$W$17,IF(AN15&lt;=Hypothèses!$V$18,Hypothèses!$W$18,""))))))))))))</f>
        <v>#DIV/0!</v>
      </c>
      <c r="BI15" s="87" t="e">
        <f ca="1">IF(BH15&lt;&gt;"",BH15,BG15)</f>
        <v>#DIV/0!</v>
      </c>
      <c r="BJ15" s="88" t="e">
        <f ca="1">IF(AN15&lt;=Hypothèses!$V$7,Hypothèses!$X$7,IF(AN15&lt;=Hypothèses!$V$8,Hypothèses!$X$8,IF(AN15&lt;=Hypothèses!$V$9,Hypothèses!$X$9,IF(AN15&lt;=Hypothèses!$V$10,Hypothèses!$X$10,IF(AN15&lt;=Hypothèses!$V$11,Hypothèses!$X$11,IF(AN15&lt;=Hypothèses!$V$12,Hypothèses!$X$12,IF(AN15&lt;=Hypothèses!$V$13,Hypothèses!$X$13,IF(AN15&lt;=Hypothèses!$V$14,Hypothèses!$X$14,IF(AN15&lt;=Hypothèses!$V$15,Hypothèses!$X$15,IF(AN15&lt;=Hypothèses!$V$16,Hypothèses!$X$16,IF(AN15&lt;=Hypothèses!$U$17,Hypothèses!$W$17,IF(AN15&lt;=Hypothèses!$U$18,Hypothèses!$W$18,""))))))))))))</f>
        <v>#DIV/0!</v>
      </c>
      <c r="BK15" s="95" t="e">
        <f t="shared" ref="BK15:BK78" ca="1" si="77">IF($B15&lt;10*$BU$12,0.1/BI15*SUM(OFFSET(F15,-10*$B15+1,0,10*$B15,1)),0.1/BI15*SUM(OFFSET(F15,-100*$BU$12+1,0,100*$BU$12,1)))</f>
        <v>#DIV/0!</v>
      </c>
      <c r="BL15" s="101" t="e">
        <f t="shared" si="28"/>
        <v>#N/A</v>
      </c>
      <c r="BM15" s="91" t="e">
        <f t="shared" si="29"/>
        <v>#N/A</v>
      </c>
      <c r="BN15" s="30" t="e">
        <f>PI()*BN$12*$Q15*($B15-$B14)/($G15*$B$5)/10+BP14</f>
        <v>#N/A</v>
      </c>
      <c r="BO15" s="30" t="e">
        <f>(PI()*BO$12*$Q15*($B15-$B14))/($H15*$B$5)/10+BP14</f>
        <v>#N/A</v>
      </c>
      <c r="BP15" s="31" t="e">
        <f>IF(OR(Hypothèses!$B$4=17,Hypothèses!$B$4=18,Hypothèses!$B$4=19,Hypothèses!$B$4=20),
IF($D15="Pressio.",
IF(OR($E15=3,$E15=1,$E15=4),BO15,BN15),
IF($D15="Pénétro.",
IF(OR($E15=3,$E15=1,$E15=4),BO15,BN15))),IF($D15="Pressio.",
IF($E15=3,BO15,BN15),
IF($D15="Pénétro.",
IF($E15=4,BO15,BN15))))</f>
        <v>#N/A</v>
      </c>
      <c r="BQ15" s="31" t="e">
        <f>(IF(OR(Hypothèses!$B$4=17,Hypothèses!$B$4=18,Hypothèses!$B$4=19,Hypothèses!$B$4=20),
IF($D15="Pressio.",
IF(OR($E15=3,$E15=1,$E15=4),(PI()*BQ$12^2)/4*(BM15*$W15*1000)/($H15*$B$5),(PI()*BQ$12^2)/4*(BM15*$W15*1000)/($G15*$B$5)),
IF($D15="Pénétro.",
IF(OR($E15=4,$E15=1,$E15=5),(PI()*BQ$12^2)/4*(BM15*$W15*1000)/($H15*$B$5),(PI()*BQ$12^2)/4*(BM15*$W15*1000)/($G15*$B$5)))),
IF($D15="Pressio.",
IF($E15=3,(PI()*BQ$12^2)/4*(BM15*$W15*1000)/($H15*$B$5),(PI()*BQ$12^2)/4*(BM15*$W15*1000)/($G15*$B$5)),
IF($D15="Pénétro.",
IF($E15=4,(PI()*BQ$12^2)/4*(BM15*$W15*1000)/($H15*$B$5),(PI()*BQ$12^2)/4*(BM15*$W15*1000)/($G15*$B$5))))))/10</f>
        <v>#N/A</v>
      </c>
      <c r="BR15" s="102" t="e">
        <f>(VLOOKUP($B$3,'Coeff EC7'!$T$39:$X$59,2,0)*BP15+VLOOKUP($B$3,'Coeff EC7'!$T$65:$X$85,2,0)*Model0.1C!BQ15)/1.1</f>
        <v>#N/A</v>
      </c>
      <c r="BS15" s="102" t="e">
        <f>(VLOOKUP($B$3,'Coeff EC7'!$T$39:$X$59,3,0)*BP15+VLOOKUP($B$3,'Coeff EC7'!$T$65:$X$85,3,0)*Model0.1C!BQ15)/0.9</f>
        <v>#N/A</v>
      </c>
      <c r="BT15" s="102" t="e">
        <f t="shared" ref="BT15:BT78" si="78">BP15/1.1+BQ15/1.1</f>
        <v>#N/A</v>
      </c>
      <c r="BU15" s="102" t="e">
        <f t="shared" ref="BU15:BU78" si="79">BP15+BQ15</f>
        <v>#N/A</v>
      </c>
      <c r="BV15" s="414" t="e">
        <f>IF(BV14=0,0,IF(AND(BR15&gt;charge_ELS_quasi,BS15&gt;Charge_ELS_freq,BT15&gt;charge_ELU,BU15&gt;charge_ELA,$B15&gt;NDC!$H$22-0.1+MIN(3*$BV$12,1.5)),0,1))</f>
        <v>#N/A</v>
      </c>
      <c r="BW15" s="86" t="b">
        <f t="shared" si="32"/>
        <v>0</v>
      </c>
      <c r="BX15" s="86">
        <f t="shared" si="33"/>
        <v>0.5</v>
      </c>
      <c r="BY15" s="86">
        <f t="shared" si="34"/>
        <v>0.5</v>
      </c>
      <c r="BZ15" s="30" t="e">
        <f t="shared" ref="BZ15:BZ78" ca="1" si="80">AVERAGE(OFFSET($F15, -10*BY15, 0,10*BY15, 1), OFFSET($F15, 1, 0, 30*BX15, 1))</f>
        <v>#DIV/0!</v>
      </c>
      <c r="CA15" s="85" t="e">
        <f ca="1">IF(BG15&lt;=Hypothèses!$V$7,Hypothèses!$W$7,IF(BG15&lt;=Hypothèses!$V$8,Hypothèses!$W$8,IF(BG15&lt;=Hypothèses!$V$9,Hypothèses!$W$9,IF(BG15&lt;=Hypothèses!$V$10,Hypothèses!$W$10,IF(BG15&lt;=Hypothèses!$V$11,Hypothèses!$W$11,IF(BG15&lt;=Hypothèses!$V$12,Hypothèses!$W$12,IF(BG15&lt;=Hypothèses!$V$13,Hypothèses!$W$13,IF(BG15&lt;=Hypothèses!$V$14,Hypothèses!$W$14,IF(BG15&lt;=Hypothèses!$V$15,Hypothèses!$W$15,IF(BG15&lt;=Hypothèses!$V$16,Hypothèses!$W$16,IF(BG15&lt;=Hypothèses!$V$17,Hypothèses!$W$17,IF(BG15&lt;=Hypothèses!$V$18,Hypothèses!$W$18,""))))))))))))</f>
        <v>#DIV/0!</v>
      </c>
      <c r="CB15" s="87" t="e">
        <f ca="1">IF(CA15&lt;&gt;"",CA15,BZ15)</f>
        <v>#DIV/0!</v>
      </c>
      <c r="CC15" s="88" t="e">
        <f ca="1">IF(BG15&lt;=Hypothèses!$V$7,Hypothèses!$X$7,IF(BG15&lt;=Hypothèses!$V$8,Hypothèses!$X$8,IF(BG15&lt;=Hypothèses!$V$9,Hypothèses!$X$9,IF(BG15&lt;=Hypothèses!$V$10,Hypothèses!$X$10,IF(BG15&lt;=Hypothèses!$V$11,Hypothèses!$X$11,IF(BG15&lt;=Hypothèses!$V$12,Hypothèses!$X$12,IF(BG15&lt;=Hypothèses!$V$13,Hypothèses!$X$13,IF(BG15&lt;=Hypothèses!$V$14,Hypothèses!$X$14,IF(BG15&lt;=Hypothèses!$V$15,Hypothèses!$X$15,IF(BG15&lt;=Hypothèses!$V$16,Hypothèses!$X$16,IF(BG15&lt;=Hypothèses!$U$17,Hypothèses!$W$17,IF(BG15&lt;=Hypothèses!$U$18,Hypothèses!$W$18,""))))))))))))</f>
        <v>#DIV/0!</v>
      </c>
      <c r="CD15" s="95" t="e">
        <f t="shared" ref="CD15:CD78" ca="1" si="81">IF($B15&lt;10*$CN$12,0.1/CB15*SUM(OFFSET(F15,-10*$B15+1,0,10*$B15,1)),0.1/CB15*SUM(OFFSET(F15,-100*$CN$12+1,0,100*$CN$12,1)))</f>
        <v>#DIV/0!</v>
      </c>
      <c r="CE15" s="101" t="e">
        <f t="shared" si="35"/>
        <v>#N/A</v>
      </c>
      <c r="CF15" s="91" t="e">
        <f t="shared" si="36"/>
        <v>#N/A</v>
      </c>
      <c r="CG15" s="30" t="e">
        <f>PI()*CG$12*$Q15*($B15-$B14)/($G15*$B$5)/10+CI14</f>
        <v>#N/A</v>
      </c>
      <c r="CH15" s="30" t="e">
        <f>(PI()*CH$12*$Q15*($B15-$B14))/($H15*$B$5)/10+CI14</f>
        <v>#N/A</v>
      </c>
      <c r="CI15" s="31" t="e">
        <f>IF(OR(Hypothèses!$B$4=17,Hypothèses!$B$4=18,Hypothèses!$B$4=19,Hypothèses!$B$4=20),
IF($D15="Pressio.",
IF(OR($E15=3,$E15=1,$E15=4),CH15,CG15),
IF($D15="Pénétro.",
IF(OR($E15=3,$E15=1,$E15=4),CH15,CG15))),IF($D15="Pressio.",
IF($E15=3,CH15,CG15),
IF($D15="Pénétro.",
IF($E15=4,CH15,CG15))))</f>
        <v>#N/A</v>
      </c>
      <c r="CJ15" s="31" t="e">
        <f>(IF(OR(Hypothèses!$B$4=17,Hypothèses!$B$4=18,Hypothèses!$B$4=19,Hypothèses!$B$4=20),
IF($D15="Pressio.",
IF(OR($E15=3,$E15=1,$E15=4),(PI()*CJ$12^2)/4*(CF15*$W15*1000)/($H15*$B$5),(PI()*CJ$12^2)/4*(CF15*$W15*1000)/($G15*$B$5)),
IF($D15="Pénétro.",
IF(OR($E15=4,$E15=1,$E15=5),(PI()*CJ$12^2)/4*(CF15*$W15*1000)/($H15*$B$5),(PI()*CJ$12^2)/4*(CF15*$W15*1000)/($G15*$B$5)))),
IF($D15="Pressio.",
IF($E15=3,(PI()*CJ$12^2)/4*(CF15*$W15*1000)/($H15*$B$5),(PI()*CJ$12^2)/4*(CF15*$W15*1000)/($G15*$B$5)),
IF($D15="Pénétro.",
IF($E15=4,(PI()*CJ$12^2)/4*(CF15*$W15*1000)/($H15*$B$5),(PI()*CJ$12^2)/4*(CF15*$W15*1000)/($G15*$B$5))))))/10</f>
        <v>#N/A</v>
      </c>
      <c r="CK15" s="102" t="e">
        <f>(VLOOKUP($B$3,'Coeff EC7'!$T$39:$X$59,2,0)*CI15+VLOOKUP($B$3,'Coeff EC7'!$T$65:$X$85,2,0)*Model0.1C!CJ15)/1.1</f>
        <v>#N/A</v>
      </c>
      <c r="CL15" s="102" t="e">
        <f>(VLOOKUP($B$3,'Coeff EC7'!$T$39:$X$59,3,0)*CI15+VLOOKUP($B$3,'Coeff EC7'!$T$65:$X$85,3,0)*Model0.1C!CJ15)/0.9</f>
        <v>#N/A</v>
      </c>
      <c r="CM15" s="102" t="e">
        <f t="shared" ref="CM15:CM78" si="82">CI15/1.1+CJ15/1.1</f>
        <v>#N/A</v>
      </c>
      <c r="CN15" s="102" t="e">
        <f t="shared" ref="CN15:CN78" si="83">CI15+CJ15</f>
        <v>#N/A</v>
      </c>
      <c r="CO15" s="414" t="e">
        <f>IF(CO14=0,0,IF(AND(CK15&gt;charge_ELS_quasi,CL15&gt;Charge_ELS_freq,CM15&gt;charge_ELU,CN15&gt;charge_ELA,$B15&gt;NDC!$H$22-0.1+MIN(3*$CO$12,1.5)),0,1))</f>
        <v>#N/A</v>
      </c>
      <c r="CP15" s="86" t="b">
        <f t="shared" si="39"/>
        <v>0</v>
      </c>
      <c r="CQ15" s="86">
        <f t="shared" si="40"/>
        <v>0.5</v>
      </c>
      <c r="CR15" s="86">
        <f t="shared" si="41"/>
        <v>0.5</v>
      </c>
      <c r="CS15" s="30" t="e">
        <f t="shared" ref="CS15:CS78" ca="1" si="84">AVERAGE(OFFSET($F15, -10*CR15, 0,10*CR15, 1), OFFSET($F15, 1, 0, 30*CQ15, 1))</f>
        <v>#DIV/0!</v>
      </c>
      <c r="CT15" s="85" t="e">
        <f ca="1">IF(BZ15&lt;=Hypothèses!$V$7,Hypothèses!$W$7,IF(BZ15&lt;=Hypothèses!$V$8,Hypothèses!$W$8,IF(BZ15&lt;=Hypothèses!$V$9,Hypothèses!$W$9,IF(BZ15&lt;=Hypothèses!$V$10,Hypothèses!$W$10,IF(BZ15&lt;=Hypothèses!$V$11,Hypothèses!$W$11,IF(BZ15&lt;=Hypothèses!$V$12,Hypothèses!$W$12,IF(BZ15&lt;=Hypothèses!$V$13,Hypothèses!$W$13,IF(BZ15&lt;=Hypothèses!$V$14,Hypothèses!$W$14,IF(BZ15&lt;=Hypothèses!$V$15,Hypothèses!$W$15,IF(BZ15&lt;=Hypothèses!$V$16,Hypothèses!$W$16,IF(BZ15&lt;=Hypothèses!$V$17,Hypothèses!$W$17,IF(BZ15&lt;=Hypothèses!$V$18,Hypothèses!$W$18,""))))))))))))</f>
        <v>#DIV/0!</v>
      </c>
      <c r="CU15" s="87" t="e">
        <f ca="1">IF(CT15&lt;&gt;"",CT15,CS15)</f>
        <v>#DIV/0!</v>
      </c>
      <c r="CV15" s="88" t="e">
        <f ca="1">IF(BZ15&lt;=Hypothèses!$V$7,Hypothèses!$X$7,IF(BZ15&lt;=Hypothèses!$V$8,Hypothèses!$X$8,IF(BZ15&lt;=Hypothèses!$V$9,Hypothèses!$X$9,IF(BZ15&lt;=Hypothèses!$V$10,Hypothèses!$X$10,IF(BZ15&lt;=Hypothèses!$V$11,Hypothèses!$X$11,IF(BZ15&lt;=Hypothèses!$V$12,Hypothèses!$X$12,IF(BZ15&lt;=Hypothèses!$V$13,Hypothèses!$X$13,IF(BZ15&lt;=Hypothèses!$V$14,Hypothèses!$X$14,IF(BZ15&lt;=Hypothèses!$V$15,Hypothèses!$X$15,IF(BZ15&lt;=Hypothèses!$V$16,Hypothèses!$X$16,IF(BZ15&lt;=Hypothèses!$U$17,Hypothèses!$W$17,IF(BZ15&lt;=Hypothèses!$U$18,Hypothèses!$W$18,""))))))))))))</f>
        <v>#DIV/0!</v>
      </c>
      <c r="CW15" s="95" t="e">
        <f t="shared" ref="CW15:CW78" ca="1" si="85">IF($B15&lt;10*$DG$12,0.1/CU15*SUM(OFFSET(F15,-10*$B15+1,0,10*$B15,1)),0.1/CU15*SUM(OFFSET(F15,-100*$DG$12+1,0,100*$DG$12,1)))</f>
        <v>#DIV/0!</v>
      </c>
      <c r="CX15" s="101" t="e">
        <f t="shared" si="42"/>
        <v>#N/A</v>
      </c>
      <c r="CY15" s="91" t="e">
        <f t="shared" si="43"/>
        <v>#N/A</v>
      </c>
      <c r="CZ15" s="30" t="e">
        <f>PI()*CZ$12*$Q15*($B15-$B14)/($G15*$B$5)/10+DB14</f>
        <v>#N/A</v>
      </c>
      <c r="DA15" s="30" t="e">
        <f>(PI()*DA$12*$Q15*($B15-$B14))/($H15*$B$5)/10+DB14</f>
        <v>#N/A</v>
      </c>
      <c r="DB15" s="31" t="e">
        <f>IF(OR(Hypothèses!$B$4=17,Hypothèses!$B$4=18,Hypothèses!$B$4=19,Hypothèses!$B$4=20),
IF($D15="Pressio.",
IF(OR($E15=3,$E15=1,$E15=4),DA15,CZ15),
IF($D15="Pénétro.",
IF(OR($E15=3,$E15=1,$E15=4),DA15,CZ15))),IF($D15="Pressio.",
IF($E15=3,DA15,CZ15),
IF($D15="Pénétro.",
IF($E15=4,DA15,CZ15))))</f>
        <v>#N/A</v>
      </c>
      <c r="DC15" s="31" t="e">
        <f>(IF(OR(Hypothèses!$B$4=17,Hypothèses!$B$4=18,Hypothèses!$B$4=19,Hypothèses!$B$4=20),
IF($D15="Pressio.",
IF(OR($E15=3,$E15=1,$E15=4),(PI()*DC$12^2)/4*(CY15*$W15*1000)/($H15*$B$5),(PI()*DC$12^2)/4*(CY15*$W15*1000)/($G15*$B$5)),
IF($D15="Pénétro.",
IF(OR($E15=4,$E15=1,$E15=5),(PI()*DC$12^2)/4*(CY15*$W15*1000)/($H15*$B$5),(PI()*DC$12^2)/4*(CY15*$W15*1000)/($G15*$B$5)))),
IF($D15="Pressio.",
IF($E15=3,(PI()*DC$12^2)/4*(CY15*$W15*1000)/($H15*$B$5),(PI()*DC$12^2)/4*(CY15*$W15*1000)/($G15*$B$5)),
IF($D15="Pénétro.",
IF($E15=4,(PI()*DC$12^2)/4*(CY15*$W15*1000)/($H15*$B$5),(PI()*DC$12^2)/4*(CY15*$W15*1000)/($G15*$B$5))))))/10</f>
        <v>#N/A</v>
      </c>
      <c r="DD15" s="102" t="e">
        <f>(VLOOKUP($B$3,'Coeff EC7'!$T$39:$X$59,2,0)*DB15+VLOOKUP($B$3,'Coeff EC7'!$T$65:$X$85,2,0)*Model0.1C!DC15)/1.1</f>
        <v>#N/A</v>
      </c>
      <c r="DE15" s="102" t="e">
        <f>(VLOOKUP($B$3,'Coeff EC7'!$T$39:$X$59,3,0)*DB15+VLOOKUP($B$3,'Coeff EC7'!$T$65:$X$85,3,0)*Model0.1C!DC15)/0.9</f>
        <v>#N/A</v>
      </c>
      <c r="DF15" s="102" t="e">
        <f t="shared" ref="DF15:DF78" si="86">DB15/1.1+DC15/1.1</f>
        <v>#N/A</v>
      </c>
      <c r="DG15" s="102" t="e">
        <f t="shared" ref="DG15:DG78" si="87">DB15+DC15</f>
        <v>#N/A</v>
      </c>
      <c r="DH15" s="414" t="e">
        <f>IF(DH14=0,0,IF(AND(DD15&gt;charge_ELS_quasi,DE15&gt;Charge_ELS_freq,DF15&gt;charge_ELU,DG15&gt;charge_ELA,$B15&gt;NDC!$H$22-0.1+MIN(3*$DH$12,1.5)),0,1))</f>
        <v>#N/A</v>
      </c>
      <c r="DI15" s="86" t="b">
        <f t="shared" si="46"/>
        <v>0</v>
      </c>
      <c r="DJ15" s="86">
        <f t="shared" si="47"/>
        <v>0.5</v>
      </c>
      <c r="DK15" s="86">
        <f t="shared" si="48"/>
        <v>0.5</v>
      </c>
      <c r="DL15" s="30" t="e">
        <f t="shared" ref="DL15:DL78" ca="1" si="88">AVERAGE(OFFSET($F15, -10*DK15, 0,10*DK15, 1), OFFSET($F15, 1, 0, 30*DJ15, 1))</f>
        <v>#DIV/0!</v>
      </c>
      <c r="DM15" s="85" t="e">
        <f ca="1">IF(CS15&lt;=Hypothèses!$V$7,Hypothèses!$W$7,IF(CS15&lt;=Hypothèses!$V$8,Hypothèses!$W$8,IF(CS15&lt;=Hypothèses!$V$9,Hypothèses!$W$9,IF(CS15&lt;=Hypothèses!$V$10,Hypothèses!$W$10,IF(CS15&lt;=Hypothèses!$V$11,Hypothèses!$W$11,IF(CS15&lt;=Hypothèses!$V$12,Hypothèses!$W$12,IF(CS15&lt;=Hypothèses!$V$13,Hypothèses!$W$13,IF(CS15&lt;=Hypothèses!$V$14,Hypothèses!$W$14,IF(CS15&lt;=Hypothèses!$V$15,Hypothèses!$W$15,IF(CS15&lt;=Hypothèses!$V$16,Hypothèses!$W$16,IF(CS15&lt;=Hypothèses!$V$17,Hypothèses!$W$17,IF(CS15&lt;=Hypothèses!$V$18,Hypothèses!$W$18,""))))))))))))</f>
        <v>#DIV/0!</v>
      </c>
      <c r="DN15" s="87" t="e">
        <f ca="1">IF(DM15&lt;&gt;"",DM15,DL15)</f>
        <v>#DIV/0!</v>
      </c>
      <c r="DO15" s="88" t="e">
        <f ca="1">IF(CS15&lt;=Hypothèses!$V$7,Hypothèses!$X$7,IF(CS15&lt;=Hypothèses!$V$8,Hypothèses!$X$8,IF(CS15&lt;=Hypothèses!$V$9,Hypothèses!$X$9,IF(CS15&lt;=Hypothèses!$V$10,Hypothèses!$X$10,IF(CS15&lt;=Hypothèses!$V$11,Hypothèses!$X$11,IF(CS15&lt;=Hypothèses!$V$12,Hypothèses!$X$12,IF(CS15&lt;=Hypothèses!$V$13,Hypothèses!$X$13,IF(CS15&lt;=Hypothèses!$V$14,Hypothèses!$X$14,IF(CS15&lt;=Hypothèses!$V$15,Hypothèses!$X$15,IF(CS15&lt;=Hypothèses!$V$16,Hypothèses!$X$16,IF(CS15&lt;=Hypothèses!$U$17,Hypothèses!$W$17,IF(CS15&lt;=Hypothèses!$U$18,Hypothèses!$W$18,""))))))))))))</f>
        <v>#DIV/0!</v>
      </c>
      <c r="DP15" s="95" t="e">
        <f t="shared" ref="DP15:DP78" ca="1" si="89">IF($B15&lt;10*$DZ$12,0.1/DN15*SUM(OFFSET(F15,-10*$B15+1,0,10*$B15,1)),0.1/DN15*SUM(OFFSET(F15,-100*$DZ$12+1,0,100*$DZ$12,1)))</f>
        <v>#DIV/0!</v>
      </c>
      <c r="DQ15" s="101" t="e">
        <f t="shared" si="49"/>
        <v>#N/A</v>
      </c>
      <c r="DR15" s="91" t="e">
        <f t="shared" si="50"/>
        <v>#N/A</v>
      </c>
      <c r="DS15" s="30" t="e">
        <f>PI()*DS$12*$Q15*($B15-$B14)/($G15*$B$5)/10+DU14</f>
        <v>#N/A</v>
      </c>
      <c r="DT15" s="30" t="e">
        <f>(PI()*DT$12*$Q15*($B15-$B14))/($H15*$B$5)/10+DU14</f>
        <v>#N/A</v>
      </c>
      <c r="DU15" s="31" t="e">
        <f>IF(OR(Hypothèses!$B$4=17,Hypothèses!$B$4=18,Hypothèses!$B$4=19,Hypothèses!$B$4=20),
IF($D15="Pressio.",
IF(OR($E15=3,$E15=1,$E15=4),DT15,DS15),
IF($D15="Pénétro.",
IF(OR($E15=3,$E15=1,$E15=4),DT15,DS15))),IF($D15="Pressio.",
IF($E15=3,DT15,DS15),
IF($D15="Pénétro.",
IF($E15=4,DT15,DS15))))</f>
        <v>#N/A</v>
      </c>
      <c r="DV15" s="31" t="e">
        <f>(IF(OR(Hypothèses!$B$4=17,Hypothèses!$B$4=18,Hypothèses!$B$4=19,Hypothèses!$B$4=20),
IF($D15="Pressio.",
IF(OR($E15=3,$E15=1,$E15=4),(PI()*DV$12^2)/4*(DR15*$W15*1000)/($H15*$B$5),(PI()*DV$12^2)/4*(DR15*$W15*1000)/($G15*$B$5)),
IF($D15="Pénétro.",
IF(OR($E15=4,$E15=1,$E15=5),(PI()*DV$12^2)/4*(DR15*$W15*1000)/($H15*$B$5),(PI()*DV$12^2)/4*(DR15*$W15*1000)/($G15*$B$5)))),
IF($D15="Pressio.",
IF($E15=3,(PI()*DV$12^2)/4*(DR15*$W15*1000)/($H15*$B$5),(PI()*DV$12^2)/4*(DR15*$W15*1000)/($G15*$B$5)),
IF($D15="Pénétro.",
IF($E15=4,(PI()*DV$12^2)/4*(DR15*$W15*1000)/($H15*$B$5),(PI()*DV$12^2)/4*(DR15*$W15*1000)/($G15*$B$5))))))/10</f>
        <v>#N/A</v>
      </c>
      <c r="DW15" s="102" t="e">
        <f>(VLOOKUP($B$3,'Coeff EC7'!$T$39:$X$59,2,0)*DU15+VLOOKUP($B$3,'Coeff EC7'!$T$65:$X$85,2,0)*Model0.1C!DV15)/1.1</f>
        <v>#N/A</v>
      </c>
      <c r="DX15" s="102" t="e">
        <f>(VLOOKUP($B$3,'Coeff EC7'!$T$39:$X$59,3,0)*DU15+VLOOKUP($B$3,'Coeff EC7'!$T$65:$X$85,3,0)*Model0.1C!DV15)/0.9</f>
        <v>#N/A</v>
      </c>
      <c r="DY15" s="102" t="e">
        <f t="shared" ref="DY15:DY78" si="90">DU15/1.1+DV15/1.1</f>
        <v>#N/A</v>
      </c>
      <c r="DZ15" s="102" t="e">
        <f t="shared" ref="DZ15:DZ78" si="91">DU15+DV15</f>
        <v>#N/A</v>
      </c>
      <c r="EA15" s="414" t="e">
        <f>IF(EA14=0,0,IF(AND(DW15&gt;charge_ELS_quasi,DX15&gt;Charge_ELS_freq,DY15&gt;charge_ELU,DZ15&gt;charge_ELA,$B15&gt;NDC!$H$22-0.1+MIN(3*$EA$12,1.5)),0,1))</f>
        <v>#N/A</v>
      </c>
      <c r="EB15" s="86" t="b">
        <f t="shared" si="53"/>
        <v>0</v>
      </c>
      <c r="EC15" s="418">
        <f t="shared" si="54"/>
        <v>0.51</v>
      </c>
      <c r="ED15" s="86">
        <f t="shared" si="55"/>
        <v>0.51</v>
      </c>
      <c r="EE15" s="30" t="e">
        <f t="shared" ref="EE15:EE78" ca="1" si="92">AVERAGE(OFFSET($F15, -10*ED15, 0,10*ED15, 1), OFFSET($F15, 1, 0, 30*EC15, 1))</f>
        <v>#DIV/0!</v>
      </c>
      <c r="EF15" s="85" t="e">
        <f ca="1">IF(DL15&lt;=Hypothèses!$V$7,Hypothèses!$W$7,IF(DL15&lt;=Hypothèses!$V$8,Hypothèses!$W$8,IF(DL15&lt;=Hypothèses!$V$9,Hypothèses!$W$9,IF(DL15&lt;=Hypothèses!$V$10,Hypothèses!$W$10,IF(DL15&lt;=Hypothèses!$V$11,Hypothèses!$W$11,IF(DL15&lt;=Hypothèses!$V$12,Hypothèses!$W$12,IF(DL15&lt;=Hypothèses!$V$13,Hypothèses!$W$13,IF(DL15&lt;=Hypothèses!$V$14,Hypothèses!$W$14,IF(DL15&lt;=Hypothèses!$V$15,Hypothèses!$W$15,IF(DL15&lt;=Hypothèses!$V$16,Hypothèses!$W$16,IF(DL15&lt;=Hypothèses!$V$17,Hypothèses!$W$17,IF(DL15&lt;=Hypothèses!$V$18,Hypothèses!$W$18,""))))))))))))</f>
        <v>#DIV/0!</v>
      </c>
      <c r="EG15" s="87" t="e">
        <f ca="1">IF(EF15&lt;&gt;"",EF15,EE15)</f>
        <v>#DIV/0!</v>
      </c>
      <c r="EH15" s="88" t="e">
        <f ca="1">IF(DL15&lt;=Hypothèses!$V$7,Hypothèses!$X$7,IF(DL15&lt;=Hypothèses!$V$8,Hypothèses!$X$8,IF(DL15&lt;=Hypothèses!$V$9,Hypothèses!$X$9,IF(DL15&lt;=Hypothèses!$V$10,Hypothèses!$X$10,IF(DL15&lt;=Hypothèses!$V$11,Hypothèses!$X$11,IF(DL15&lt;=Hypothèses!$V$12,Hypothèses!$X$12,IF(DL15&lt;=Hypothèses!$V$13,Hypothèses!$X$13,IF(DL15&lt;=Hypothèses!$V$14,Hypothèses!$X$14,IF(DL15&lt;=Hypothèses!$V$15,Hypothèses!$X$15,IF(DL15&lt;=Hypothèses!$V$16,Hypothèses!$X$16,IF(DL15&lt;=Hypothèses!$U$17,Hypothèses!$W$17,IF(DL15&lt;=Hypothèses!$U$18,Hypothèses!$W$18,""))))))))))))</f>
        <v>#DIV/0!</v>
      </c>
      <c r="EI15" s="95" t="e">
        <f t="shared" ref="EI15:EI78" ca="1" si="93">IF($B15&lt;10*$ES$12,0.1/EG15*SUM(OFFSET(F15,-10*$B15+1,0,10*$B15,1)),0.1/EG15*SUM(OFFSET(F15,-100*$ES$12+1,0,100*$ES$12,1)))</f>
        <v>#DIV/0!</v>
      </c>
      <c r="EJ15" s="101" t="e">
        <f t="shared" si="56"/>
        <v>#N/A</v>
      </c>
      <c r="EK15" s="91" t="e">
        <f t="shared" si="57"/>
        <v>#N/A</v>
      </c>
      <c r="EL15" s="30" t="e">
        <f>PI()*EL$12*$Q15*($B15-$B14)/($G15*$B$5)/10+EN14</f>
        <v>#N/A</v>
      </c>
      <c r="EM15" s="30" t="e">
        <f>(PI()*EM$12*$Q15*($B15-$B14))/($H15*$B$5)/10+EN14</f>
        <v>#N/A</v>
      </c>
      <c r="EN15" s="31" t="e">
        <f>IF(OR(Hypothèses!$B$4=17,Hypothèses!$B$4=18,Hypothèses!$B$4=19,Hypothèses!$B$4=20),
IF($D15="Pressio.",
IF(OR($E15=3,$E15=1,$E15=4),EM15,EL15),
IF($D15="Pénétro.",
IF(OR($E15=3,$E15=1,$E15=4),EM15,EL15))),IF($D15="Pressio.",
IF($E15=3,EM15,EL15),
IF($D15="Pénétro.",
IF($E15=4,EM15,EL15))))</f>
        <v>#N/A</v>
      </c>
      <c r="EO15" s="31" t="e">
        <f>(IF(OR(Hypothèses!$B$4=17,Hypothèses!$B$4=18,Hypothèses!$B$4=19,Hypothèses!$B$4=20),
IF($D15="Pressio.",
IF(OR($E15=3,$E15=1,$E15=4),(PI()*EO$12^2)/4*(EK15*$W15*1000)/($H15*$B$5),(PI()*EO$12^2)/4*(EK15*$W15*1000)/($G15*$B$5)),
IF($D15="Pénétro.",
IF(OR($E15=4,$E15=1,$E15=5),(PI()*EO$12^2)/4*(EK15*$W15*1000)/($H15*$B$5),(PI()*EO$12^2)/4*(EK15*$W15*1000)/($G15*$B$5)))),
IF($D15="Pressio.",
IF($E15=3,(PI()*EO$12^2)/4*(EK15*$W15*1000)/($H15*$B$5),(PI()*EO$12^2)/4*(EK15*$W15*1000)/($G15*$B$5)),
IF($D15="Pénétro.",
IF($E15=4,(PI()*EO$12^2)/4*(EK15*$W15*1000)/($H15*$B$5),(PI()*EO$12^2)/4*(EK15*$W15*1000)/($G15*$B$5))))))/10</f>
        <v>#N/A</v>
      </c>
      <c r="EP15" s="102" t="e">
        <f>(VLOOKUP($B$3,'Coeff EC7'!$T$39:$X$59,2,0)*EN15+VLOOKUP($B$3,'Coeff EC7'!$T$65:$X$85,2,0)*Model0.1C!EO15)/1.1</f>
        <v>#N/A</v>
      </c>
      <c r="EQ15" s="102" t="e">
        <f>(VLOOKUP($B$3,'Coeff EC7'!$T$39:$X$59,3,0)*EN15+VLOOKUP($B$3,'Coeff EC7'!$T$65:$X$85,3,0)*Model0.1C!EO15)/0.9</f>
        <v>#N/A</v>
      </c>
      <c r="ER15" s="102" t="e">
        <f t="shared" ref="ER15:ER78" si="94">EN15/1.1+EO15/1.1</f>
        <v>#N/A</v>
      </c>
      <c r="ES15" s="102" t="e">
        <f t="shared" ref="ES15:ES78" si="95">EN15+EO15</f>
        <v>#N/A</v>
      </c>
      <c r="ET15" s="414" t="e">
        <f>IF(ET14=0,0,IF(AND(EP15&gt;charge_ELS_quasi,EQ15&gt;Charge_ELS_freq,ER15&gt;charge_ELU,ES15&gt;charge_ELA,$B15&gt;NDC!$H$22-0.1+MIN(3*$ET$12,1.5)),0,1))</f>
        <v>#N/A</v>
      </c>
      <c r="EU15" s="86" t="b">
        <f t="shared" si="60"/>
        <v>0</v>
      </c>
      <c r="EV15" s="86">
        <f t="shared" si="61"/>
        <v>0.61</v>
      </c>
      <c r="EW15" s="86">
        <f t="shared" si="62"/>
        <v>0.61</v>
      </c>
      <c r="EX15" s="30" t="e">
        <f t="shared" ref="EX15:EX78" ca="1" si="96">AVERAGE(OFFSET($F15, -10*EW15, 0,10*EW15, 1), OFFSET($F15, 1, 0, 30*EV15, 1))</f>
        <v>#DIV/0!</v>
      </c>
      <c r="EY15" s="85" t="e">
        <f ca="1">IF(EE15&lt;=Hypothèses!$V$7,Hypothèses!$W$7,IF(EE15&lt;=Hypothèses!$V$8,Hypothèses!$W$8,IF(EE15&lt;=Hypothèses!$V$9,Hypothèses!$W$9,IF(EE15&lt;=Hypothèses!$V$10,Hypothèses!$W$10,IF(EE15&lt;=Hypothèses!$V$11,Hypothèses!$W$11,IF(EE15&lt;=Hypothèses!$V$12,Hypothèses!$W$12,IF(EE15&lt;=Hypothèses!$V$13,Hypothèses!$W$13,IF(EE15&lt;=Hypothèses!$V$14,Hypothèses!$W$14,IF(EE15&lt;=Hypothèses!$V$15,Hypothèses!$W$15,IF(EE15&lt;=Hypothèses!$V$16,Hypothèses!$W$16,IF(EE15&lt;=Hypothèses!$V$17,Hypothèses!$W$17,IF(EE15&lt;=Hypothèses!$V$18,Hypothèses!$W$18,""))))))))))))</f>
        <v>#DIV/0!</v>
      </c>
      <c r="EZ15" s="87" t="e">
        <f ca="1">IF(EY15&lt;&gt;"",EY15,EX15)</f>
        <v>#DIV/0!</v>
      </c>
      <c r="FA15" s="88" t="e">
        <f ca="1">IF(EE15&lt;=Hypothèses!$V$7,Hypothèses!$X$7,IF(EE15&lt;=Hypothèses!$V$8,Hypothèses!$X$8,IF(EE15&lt;=Hypothèses!$V$9,Hypothèses!$X$9,IF(EE15&lt;=Hypothèses!$V$10,Hypothèses!$X$10,IF(EE15&lt;=Hypothèses!$V$11,Hypothèses!$X$11,IF(EE15&lt;=Hypothèses!$V$12,Hypothèses!$X$12,IF(EE15&lt;=Hypothèses!$V$13,Hypothèses!$X$13,IF(EE15&lt;=Hypothèses!$V$14,Hypothèses!$X$14,IF(EE15&lt;=Hypothèses!$V$15,Hypothèses!$X$15,IF(EE15&lt;=Hypothèses!$V$16,Hypothèses!$X$16,IF(EE15&lt;=Hypothèses!$U$17,Hypothèses!$W$17,IF(EE15&lt;=Hypothèses!$U$18,Hypothèses!$W$18,""))))))))))))</f>
        <v>#DIV/0!</v>
      </c>
      <c r="FB15" s="95" t="e">
        <f t="shared" ref="FB15:FB78" ca="1" si="97">IF($B15&lt;10*$FL$12,0.1/EZ15*SUM(OFFSET(F15,-10*$B15+1,0,10*$B15,1)),0.1/EZ15*SUM(OFFSET(F15,-100*$FL$12+1,0,100*$FL$12,1)))</f>
        <v>#DIV/0!</v>
      </c>
      <c r="FC15" s="101" t="e">
        <f t="shared" si="63"/>
        <v>#N/A</v>
      </c>
      <c r="FD15" s="91" t="e">
        <f t="shared" si="64"/>
        <v>#N/A</v>
      </c>
      <c r="FE15" s="30" t="e">
        <f>PI()*FE$12*$Q15*($B15-$B14)/($G15*$B$5)/10+FG14</f>
        <v>#N/A</v>
      </c>
      <c r="FF15" s="30" t="e">
        <f>(PI()*FF$12*$Q15*($B15-$B14))/($H15*$B$5)/10+FG14</f>
        <v>#N/A</v>
      </c>
      <c r="FG15" s="31" t="e">
        <f>IF(OR(Hypothèses!$B$4=17,Hypothèses!$B$4=18,Hypothèses!$B$4=19,Hypothèses!$B$4=20),
IF($D15="Pressio.",
IF(OR($E15=3,$E15=1,$E15=4),FF15,FE15),
IF($D15="Pénétro.",
IF(OR($E15=3,$E15=1,$E15=4),FF15,FE15))),IF($D15="Pressio.",
IF($E15=3,FF15,FE15),
IF($D15="Pénétro.",
IF($E15=4,FF15,FE15))))</f>
        <v>#N/A</v>
      </c>
      <c r="FH15" s="31" t="e">
        <f>(IF(OR(Hypothèses!$B$4=17,Hypothèses!$B$4=18,Hypothèses!$B$4=19,Hypothèses!$B$4=20),
IF($D15="Pressio.",
IF(OR($E15=3,$E15=1,$E15=4),(PI()*FH$12^2)/4*(FD15*$W15*1000)/($H15*$B$5),(PI()*FH$12^2)/4*(FD15*$W15*1000)/($G15*$B$5)),
IF($D15="Pénétro.",
IF(OR($E15=4,$E15=1,$E15=5),(PI()*FH$12^2)/4*(FD15*$W15*1000)/($H15*$B$5),(PI()*FH$12^2)/4*(FD15*$W15*1000)/($G15*$B$5)))),
IF($D15="Pressio.",
IF($E15=3,(PI()*FH$12^2)/4*(FD15*$W15*1000)/($H15*$B$5),(PI()*FH$12^2)/4*(FD15*$W15*1000)/($G15*$B$5)),
IF($D15="Pénétro.",
IF($E15=4,(PI()*FH$12^2)/4*(FD15*$W15*1000)/($H15*$B$5),(PI()*FH$12^2)/4*(FD15*$W15*1000)/($G15*$B$5))))))/10</f>
        <v>#N/A</v>
      </c>
      <c r="FI15" s="102" t="e">
        <f>(VLOOKUP($B$3,'Coeff EC7'!$T$39:$X$59,2,0)*FG15+VLOOKUP($B$3,'Coeff EC7'!$T$65:$X$85,2,0)*Model0.1C!FH15)/1.1</f>
        <v>#N/A</v>
      </c>
      <c r="FJ15" s="102" t="e">
        <f>(VLOOKUP($B$3,'Coeff EC7'!$T$39:$X$59,3,0)*FG15+VLOOKUP($B$3,'Coeff EC7'!$T$65:$X$85,3,0)*Model0.1C!FH15)/0.9</f>
        <v>#N/A</v>
      </c>
      <c r="FK15" s="102" t="e">
        <f t="shared" ref="FK15:FK78" si="98">FG15/1.1+FH15/1.1</f>
        <v>#N/A</v>
      </c>
      <c r="FL15" s="102" t="e">
        <f t="shared" ref="FL15:FL78" si="99">FG15+FH15</f>
        <v>#N/A</v>
      </c>
      <c r="FM15" s="414" t="e">
        <f>IF(FM14=0,0,IF(AND(FI15&gt;charge_ELS_quasi,FJ15&gt;Charge_ELS_freq,FK15&gt;charge_ELU,FL15&gt;charge_ELA,$B15&gt;NDC!$H$22-0.1+MIN(3*$FM$12,1.5)),0,1))</f>
        <v>#N/A</v>
      </c>
    </row>
    <row r="16" spans="1:169">
      <c r="A16" s="96">
        <f t="shared" si="67"/>
        <v>99.700000000000017</v>
      </c>
      <c r="B16" s="97">
        <v>0.3</v>
      </c>
      <c r="C16" s="81">
        <f>IF(B16&lt;=Hypothèses!$C$7,Hypothèses!$A$7,IF(B16&lt;=Hypothèses!$C$8,Hypothèses!$A$8,IF(B16&lt;=Hypothèses!$C$9,Hypothèses!$A$9,IF(B16&lt;=Hypothèses!$C$10,Hypothèses!$A$10,IF(B16&lt;=Hypothèses!$C$11,Hypothèses!$A$11,IF(B16&lt;=Hypothèses!$C$12,Hypothèses!$A$12,IF(B16&lt;=Hypothèses!$C$13,Hypothèses!$A$13,IF(B16&lt;=Hypothèses!$C$14,Hypothèses!$A$14,IF(B16&lt;=Hypothèses!$C$15,Hypothèses!$A$15,IF(B16&lt;=Hypothèses!$C$16,Hypothèses!$A$16,IF(B16&lt;=Hypothèses!$C$17,Hypothèses!$A$17,IF(B16&lt;=Hypothèses!$C$18,Hypothèses!$A$18,C15))))))))))))</f>
        <v>11</v>
      </c>
      <c r="D16" s="82" t="str">
        <f>IF(B16&lt;=Hypothèses!$C$7,Hypothèses!$R$7,IF(B16&lt;=Hypothèses!$C$8,Hypothèses!$R$8,IF(B16&lt;=Hypothèses!$C$9,Hypothèses!$R$9,IF(B16&lt;=Hypothèses!$C$10,Hypothèses!$R$10,IF(B16&lt;=Hypothèses!$C$11,Hypothèses!$R$11,IF(B16&lt;=Hypothèses!$C$12,Hypothèses!$R$12,IF(B16&lt;=Hypothèses!$C$13,Hypothèses!$R$13,IF(B16&lt;=Hypothèses!$C$14,Hypothèses!$R$14,IF(B16&lt;=Hypothèses!$C$15,Hypothèses!$R$15,IF(B16&lt;=Hypothèses!$C$16,Hypothèses!$R$16,IF(B16&lt;=Hypothèses!$C$17,Hypothèses!$R$17,IF(B16&lt;=Hypothèses!$C$18,Hypothèses!$R$18,D15))))))))))))</f>
        <v>Pressio.</v>
      </c>
      <c r="E16" s="82" t="e">
        <f>IF(B16&lt;=Hypothèses!$C$7,Hypothèses!$G$7,IF(B16&lt;=Hypothèses!$C$8,Hypothèses!$G$8,IF(B16&lt;=Hypothèses!$C$9,Hypothèses!$G$9,IF(B16&lt;=Hypothèses!$C$10,Hypothèses!$G$10,IF(B16&lt;=Hypothèses!$C$11,Hypothèses!$G$11,IF(B16&lt;=Hypothèses!$C$12,Hypothèses!$G$12,IF(B16&lt;=Hypothèses!$C$13,Hypothèses!$G$13,IF(B16&lt;=Hypothèses!$C$14,Hypothèses!$G$14,IF(B16&lt;=Hypothèses!$C$15,Hypothèses!$G$15,IF(B16&lt;=Hypothèses!$C$16,Hypothèses!$G$16,IF(B16&lt;=Hypothèses!$C$17,Hypothèses!$G$17,IF(B16&lt;=Hypothèses!$C$18,Hypothèses!$G$18,E15))))))))))))</f>
        <v>#N/A</v>
      </c>
      <c r="F16" s="82" t="str">
        <f>IF(B16&lt;=Hypothèses!$C$7,Hypothèses!$F$7,IF(B16&lt;=Hypothèses!$C$8,Hypothèses!$F$8,IF(B16&lt;=Hypothèses!$C$9,Hypothèses!$F$9,IF(B16&lt;=Hypothèses!$C$10,Hypothèses!$F$10,IF(B16&lt;=Hypothèses!$C$11,Hypothèses!$F$11,IF(B16&lt;=Hypothèses!$C$12,Hypothèses!$F$12,IF(B16&lt;=Hypothèses!$C$13,Hypothèses!$F$13,IF(B16&lt;=Hypothèses!$C$14,Hypothèses!$F$14,IF(B16&lt;=Hypothèses!$C$15,Hypothèses!$F$15,IF(B16&lt;=Hypothèses!$C$16,Hypothèses!$F$16,IF(B16&lt;=Hypothèses!$C$17,Hypothèses!$F$17,IF(B16&lt;=Hypothèses!$C$18,Hypothèses!$F$18,F15))))))))))))</f>
        <v/>
      </c>
      <c r="G16" s="91">
        <f t="array" ref="G16">INDEX('Coeff EC7'!$U$7:$X$27,
MATCH(Model0.1C!$B$3,'Coeff EC7'!$T$7:$T$27,0),
MATCH(Model0.1C!$D16&amp;Model0.1C!$B$4,
'Coeff EC7'!$U$6:$X$6&amp;
'Coeff EC7'!$U$5:$X$5,0))</f>
        <v>1.1499999999999999</v>
      </c>
      <c r="H16" s="91">
        <f t="array" ref="H16">INDEX('Coeff EC7'!$Y$7:$AB$27,
MATCH(Model0.1C!$B$3,'Coeff EC7'!$T$7:$T$27,0),
MATCH(Model0.1C!$D16&amp;Model0.1C!$B$4,
'Coeff EC7'!$Y$6:$AB$6&amp;
'Coeff EC7'!$Y$5:$AB$5,0))</f>
        <v>1.4</v>
      </c>
      <c r="I16" s="83" t="e">
        <f>IF(B16&lt;=Hypothèses!$C$7,Hypothèses!$P$7,IF(B16&lt;=Hypothèses!$C$8,Hypothèses!$P$8,IF(B16&lt;=Hypothèses!$C$9,Hypothèses!$P$9,IF(B16&lt;=Hypothèses!$C$10,Hypothèses!$P$10,IF(B16&lt;=Hypothèses!$C$11,Hypothèses!$P$11,IF(B16&lt;=Hypothèses!$C$12,Hypothèses!$P$12,IF(B16&lt;=Hypothèses!$C$13,Hypothèses!$P$13,IF(B16&lt;=Hypothèses!$C$14,Hypothèses!$P$14,IF(B16&lt;=Hypothèses!$C$15,Hypothèses!$P$15,IF(B16&lt;=Hypothèses!$C$16,Hypothèses!$P$16,IF(B16&lt;=Hypothèses!$C$17,Hypothèses!$P$17,IF(B16&lt;=Hypothèses!$C$18,Hypothèses!$P$18,I15))))))))))))</f>
        <v>#N/A</v>
      </c>
      <c r="J16" s="91" t="e">
        <f t="array" ref="J16">INDEX('Coeff EC7'!$D$33:$Q$33,1,MATCH(D16&amp;E16,'Coeff EC7'!$D$31:$Q$31&amp;'Coeff EC7'!$D$32:$Q$32,0))</f>
        <v>#N/A</v>
      </c>
      <c r="K16" s="91" t="e">
        <f t="array" ref="K16">INDEX('Coeff EC7'!$D$34:$Q$34,1,MATCH(D16&amp;E16,'Coeff EC7'!$D$31:$Q$31&amp;'Coeff EC7'!$D$32:$Q$32,0))</f>
        <v>#N/A</v>
      </c>
      <c r="L16" s="91" t="e">
        <f t="array" ref="L16">INDEX('Coeff EC7'!$D$35:$Q$35,1,MATCH(D16&amp;E16,'Coeff EC7'!$D$31:$Q$31&amp;'Coeff EC7'!$D$32:$Q$32,0))</f>
        <v>#N/A</v>
      </c>
      <c r="M16" s="98" t="e">
        <f t="shared" si="8"/>
        <v>#N/A</v>
      </c>
      <c r="N16" s="99" t="e">
        <f t="array" ref="N16">INDEX('Coeff EC7'!$D$7:$Q$27,MATCH($B$3,'Coeff EC7'!$C$7:$C$27,0),MATCH(D16&amp;E16,'Coeff EC7'!$D$5:$Q$5&amp;'Coeff EC7'!$D$6:$Q$6,0))</f>
        <v>#N/A</v>
      </c>
      <c r="O16" s="99" t="e">
        <f t="array" ref="O16">INDEX('Coeff EC7'!$D$41:$Q$61,MATCH($B$3,'Coeff EC7'!$C$41:$C$61,0),MATCH(D16&amp;E16,'Coeff EC7'!$D$39:$Q$39&amp;'Coeff EC7'!$D$40:$Q$40,0))</f>
        <v>#N/A</v>
      </c>
      <c r="P16" s="30" t="e">
        <f t="shared" si="68"/>
        <v>#N/A</v>
      </c>
      <c r="Q16" s="100" t="e">
        <f t="shared" si="10"/>
        <v>#N/A</v>
      </c>
      <c r="R16" s="86" t="b">
        <f t="shared" si="11"/>
        <v>0</v>
      </c>
      <c r="S16" s="86">
        <f t="shared" si="9"/>
        <v>0.5</v>
      </c>
      <c r="T16" s="86">
        <f t="shared" si="12"/>
        <v>0.5</v>
      </c>
      <c r="U16" s="30" t="e">
        <f t="shared" ca="1" si="69"/>
        <v>#DIV/0!</v>
      </c>
      <c r="V16" s="85" t="str">
        <f>IF(B16&lt;=Hypothèses!$V$7,Hypothèses!$W$7,IF(B16&lt;=Hypothèses!$V$8,Hypothèses!$W$8,IF(B16&lt;=Hypothèses!$V$9,Hypothèses!$W$9,IF(B16&lt;=Hypothèses!$V$10,Hypothèses!$W$10,IF(B16&lt;=Hypothèses!$V$11,Hypothèses!$W$11,IF(B16&lt;=Hypothèses!$V$12,Hypothèses!$W$12,IF(B16&lt;=Hypothèses!$V$13,Hypothèses!$W$13,IF(B16&lt;=Hypothèses!$V$14,Hypothèses!$W$14,IF(B16&lt;=Hypothèses!$V$15,Hypothèses!$W$15,IF(B16&lt;=Hypothèses!$V$16,Hypothèses!$W$16,IF(B16&lt;=Hypothèses!$V$17,Hypothèses!$W$17,IF(B16&lt;=Hypothèses!$V$18,Hypothèses!$W$18,""))))))))))))</f>
        <v/>
      </c>
      <c r="W16" s="87" t="e">
        <f ca="1">IF(V16&lt;&gt;"",V16,U16)</f>
        <v>#DIV/0!</v>
      </c>
      <c r="X16" s="88" t="str">
        <f>IF(B16&lt;=Hypothèses!$V$7,Hypothèses!$X$7,IF(B16&lt;=Hypothèses!$V$8,Hypothèses!$X$8,IF(B16&lt;=Hypothèses!$V$9,Hypothèses!$X$9,IF(B16&lt;=Hypothèses!$V$10,Hypothèses!$X$10,IF(B16&lt;=Hypothèses!$V$11,Hypothèses!$X$11,IF(B16&lt;=Hypothèses!$V$12,Hypothèses!$X$12,IF(B16&lt;=Hypothèses!$V$13,Hypothèses!$X$13,IF(B16&lt;=Hypothèses!$V$14,Hypothèses!$X$14,IF(B16&lt;=Hypothèses!$V$15,Hypothèses!$X$15,IF(B16&lt;=Hypothèses!$V$16,Hypothèses!$X$16,IF(B16&lt;=Hypothèses!$U$17,Hypothèses!$W$17,IF(B16&lt;=Hypothèses!$U$18,Hypothèses!$W$18,""))))))))))))</f>
        <v/>
      </c>
      <c r="Y16" s="95" t="e">
        <f t="shared" ca="1" si="13"/>
        <v>#DIV/0!</v>
      </c>
      <c r="Z16" s="101" t="e">
        <f t="shared" si="14"/>
        <v>#N/A</v>
      </c>
      <c r="AA16" s="91" t="e">
        <f t="shared" si="15"/>
        <v>#N/A</v>
      </c>
      <c r="AB16" s="30" t="e">
        <f t="shared" ref="AB16:AB79" si="100">PI()*AB$12*$Q16*($B16-$B15)/($G16*$B$5)/10+AD15</f>
        <v>#N/A</v>
      </c>
      <c r="AC16" s="30" t="e">
        <f t="shared" ref="AC16:AC79" si="101">(PI()*AC$12*$Q16*($B16-$B15))/($H16*$B$5)/10+AD15</f>
        <v>#N/A</v>
      </c>
      <c r="AD16" s="31" t="e">
        <f>IF(OR(Hypothèses!$B$4=17,Hypothèses!$B$4=18,Hypothèses!$B$4=19,Hypothèses!$B$4=20),
IF($D16="Pressio.",
IF(OR($E16=3,$E16=1,$E16=4),AC16,AB16),
IF($D16="Pénétro.",
IF(OR($E16=3,$E16=1,$E16=4),AC16,AB16))),IF($D16="Pressio.",
IF($E16=3,AC16,AB16),
IF($D16="Pénétro.",
IF($E16=4,AC16,AB16))))</f>
        <v>#N/A</v>
      </c>
      <c r="AE16" s="31" t="e">
        <f>(IF(OR(Hypothèses!$B$4=17,Hypothèses!$B$4=18,Hypothèses!$B$4=19,Hypothèses!$B$4=20),
IF($D16="Pressio.",
IF(OR($E16=3,$E16=1,$E16=4),(PI()*AE$12^2)/4*(AA16*$W16*1000)/($H16*$B$5),(PI()*AE$12^2)/4*(AA16*$W16*1000)/($G16*$B$5)),
IF($D16="Pénétro.",
IF(OR($E16=4,$E16=1,$E16=5),(PI()*AE$12^2)/4*(AA16*$W16*1000)/($H16*$B$5),(PI()*AE$12^2)/4*(AA16*$W16*1000)/($G16*$B$5)))),
IF($D16="Pressio.",
IF($E16=3,(PI()*AE$12^2)/4*(AA16*$W16*1000)/($H16*$B$5),(PI()*AE$12^2)/4*(AA16*$W16*1000)/($G16*$B$5)),
IF($D16="Pénétro.",
IF($E16=4,(PI()*AE$12^2)/4*(AA16*$W16*1000)/($H16*$B$5),(PI()*AE$12^2)/4*(AA16*$W16*1000)/($G16*$B$5))))))/10</f>
        <v>#N/A</v>
      </c>
      <c r="AF16" s="102" t="e">
        <f>(VLOOKUP($B$3,'Coeff EC7'!$T$39:$X$59,2,0)*AD16+VLOOKUP($B$3,'Coeff EC7'!$T$65:$X$85,2,0)*Model0.1C!AE16)/1.1</f>
        <v>#N/A</v>
      </c>
      <c r="AG16" s="102" t="e">
        <f>(VLOOKUP($B$3,'Coeff EC7'!$T$39:$X$59,3,0)*AD16+VLOOKUP($B$3,'Coeff EC7'!$T$65:$X$85,3,0)*Model0.1C!AE16)/0.9</f>
        <v>#N/A</v>
      </c>
      <c r="AH16" s="102" t="e">
        <f t="shared" si="18"/>
        <v>#N/A</v>
      </c>
      <c r="AI16" s="102" t="e">
        <f t="shared" si="19"/>
        <v>#N/A</v>
      </c>
      <c r="AJ16" s="414" t="e">
        <f>IF(AJ15=0,0,IF(AND(AF16&gt;charge_ELS_quasi,AG16&gt;Charge_ELS_freq,AH16&gt;charge_ELU,AI16&gt;charge_ELA,$B16&gt;NDC!$H$22-0.1+MIN(3*$AJ$12,1.5)),0,1))</f>
        <v>#N/A</v>
      </c>
      <c r="AK16" s="86" t="b">
        <f t="shared" si="20"/>
        <v>0</v>
      </c>
      <c r="AL16" s="86">
        <f t="shared" si="70"/>
        <v>0.5</v>
      </c>
      <c r="AM16" s="86">
        <f t="shared" si="21"/>
        <v>0.5</v>
      </c>
      <c r="AN16" s="30" t="e">
        <f t="shared" ca="1" si="71"/>
        <v>#DIV/0!</v>
      </c>
      <c r="AO16" s="85" t="e">
        <f ca="1">IF(U16&lt;=Hypothèses!$V$7,Hypothèses!$W$7,IF(U16&lt;=Hypothèses!$V$8,Hypothèses!$W$8,IF(U16&lt;=Hypothèses!$V$9,Hypothèses!$W$9,IF(U16&lt;=Hypothèses!$V$10,Hypothèses!$W$10,IF(U16&lt;=Hypothèses!$V$11,Hypothèses!$W$11,IF(U16&lt;=Hypothèses!$V$12,Hypothèses!$W$12,IF(U16&lt;=Hypothèses!$V$13,Hypothèses!$W$13,IF(U16&lt;=Hypothèses!$V$14,Hypothèses!$W$14,IF(U16&lt;=Hypothèses!$V$15,Hypothèses!$W$15,IF(U16&lt;=Hypothèses!$V$16,Hypothèses!$W$16,IF(U16&lt;=Hypothèses!$V$17,Hypothèses!$W$17,IF(U16&lt;=Hypothèses!$V$18,Hypothèses!$W$18,""))))))))))))</f>
        <v>#DIV/0!</v>
      </c>
      <c r="AP16" s="87" t="e">
        <f ca="1">IF(AO16&lt;&gt;"",AO16,AN16)</f>
        <v>#DIV/0!</v>
      </c>
      <c r="AQ16" s="88" t="e">
        <f ca="1">IF(U16&lt;=Hypothèses!$V$7,Hypothèses!$X$7,IF(U16&lt;=Hypothèses!$V$8,Hypothèses!$X$8,IF(U16&lt;=Hypothèses!$V$9,Hypothèses!$X$9,IF(U16&lt;=Hypothèses!$V$10,Hypothèses!$X$10,IF(U16&lt;=Hypothèses!$V$11,Hypothèses!$X$11,IF(U16&lt;=Hypothèses!$V$12,Hypothèses!$X$12,IF(U16&lt;=Hypothèses!$V$13,Hypothèses!$X$13,IF(U16&lt;=Hypothèses!$V$14,Hypothèses!$X$14,IF(U16&lt;=Hypothèses!$V$15,Hypothèses!$X$15,IF(U16&lt;=Hypothèses!$V$16,Hypothèses!$X$16,IF(U16&lt;=Hypothèses!$U$17,Hypothèses!$W$17,IF(U16&lt;=Hypothèses!$U$18,Hypothèses!$W$18,""))))))))))))</f>
        <v>#DIV/0!</v>
      </c>
      <c r="AR16" s="95" t="e">
        <f t="shared" ca="1" si="72"/>
        <v>#DIV/0!</v>
      </c>
      <c r="AS16" s="101" t="e">
        <f t="shared" si="22"/>
        <v>#N/A</v>
      </c>
      <c r="AT16" s="91" t="e">
        <f t="shared" si="23"/>
        <v>#N/A</v>
      </c>
      <c r="AU16" s="30" t="e">
        <f t="shared" ref="AU16:AU79" si="102">PI()*AU$12*$Q16*($B16-$B15)/($G16*$B$5)/10+AW15</f>
        <v>#N/A</v>
      </c>
      <c r="AV16" s="30" t="e">
        <f t="shared" ref="AV16:AV79" si="103">(PI()*AV$12*$Q16*($B16-$B15))/($H16*$B$5)/10+AW15</f>
        <v>#N/A</v>
      </c>
      <c r="AW16" s="31" t="e">
        <f>IF(OR(Hypothèses!$B$4=17,Hypothèses!$B$4=18,Hypothèses!$B$4=19,Hypothèses!$B$4=20),
IF($D16="Pressio.",
IF(OR($E16=3,$E16=1,$E16=4),AV16,AU16),
IF($D16="Pénétro.",
IF(OR($E16=3,$E16=1,$E16=4),AV16,AU16))),IF($D16="Pressio.",
IF($E16=3,AV16,AU16),
IF($D16="Pénétro.",
IF($E16=4,AV16,AU16))))</f>
        <v>#N/A</v>
      </c>
      <c r="AX16" s="31" t="e">
        <f>(IF(OR(Hypothèses!$B$4=17,Hypothèses!$B$4=18,Hypothèses!$B$4=19,Hypothèses!$B$4=20),
IF($D16="Pressio.",
IF(OR($E16=3,$E16=1,$E16=4),(PI()*AX$12^2)/4*(AT16*$W16*1000)/($H16*$B$5),(PI()*AX$12^2)/4*(AT16*$W16*1000)/($G16*$B$5)),
IF($D16="Pénétro.",
IF(OR($E16=4,$E16=1,$E16=5),(PI()*AX$12^2)/4*(AT16*$W16*1000)/($H16*$B$5),(PI()*AX$12^2)/4*(AT16*$W16*1000)/($G16*$B$5)))),
IF($D16="Pressio.",
IF($E16=3,(PI()*AX$12^2)/4*(AT16*$W16*1000)/($H16*$B$5),(PI()*AX$12^2)/4*(AT16*$W16*1000)/($G16*$B$5)),
IF($D16="Pénétro.",
IF($E16=4,(PI()*AX$12^2)/4*(AT16*$W16*1000)/($H16*$B$5),(PI()*AX$12^2)/4*(AT16*$W16*1000)/($G16*$B$5))))))/10</f>
        <v>#N/A</v>
      </c>
      <c r="AY16" s="102" t="e">
        <f>(VLOOKUP($B$3,'Coeff EC7'!$T$39:$X$59,2,0)*AW16+VLOOKUP($B$3,'Coeff EC7'!$T$65:$X$85,2,0)*Model0.1C!AX16)/1.1</f>
        <v>#N/A</v>
      </c>
      <c r="AZ16" s="102" t="e">
        <f>(VLOOKUP($B$3,'Coeff EC7'!$T$39:$X$59,3,0)*AW16+VLOOKUP($B$3,'Coeff EC7'!$T$65:$X$85,3,0)*Model0.1C!AX16)/0.9</f>
        <v>#N/A</v>
      </c>
      <c r="BA16" s="102" t="e">
        <f t="shared" si="73"/>
        <v>#N/A</v>
      </c>
      <c r="BB16" s="102" t="e">
        <f t="shared" si="74"/>
        <v>#N/A</v>
      </c>
      <c r="BC16" s="414" t="e">
        <f>IF(BC15=0,0,IF(AND(AY16&gt;charge_ELS_quasi,AZ16&gt;Charge_ELS_freq,BA16&gt;charge_ELU,BB16&gt;charge_ELA,$B16&gt;NDC!$H$22-0.1+MIN(3*$BC$12,1.5)),0,1))</f>
        <v>#N/A</v>
      </c>
      <c r="BD16" s="86" t="b">
        <f t="shared" si="26"/>
        <v>0</v>
      </c>
      <c r="BE16" s="86">
        <f t="shared" si="75"/>
        <v>0.5</v>
      </c>
      <c r="BF16" s="86">
        <f t="shared" si="27"/>
        <v>0.5</v>
      </c>
      <c r="BG16" s="30" t="e">
        <f t="shared" ca="1" si="76"/>
        <v>#DIV/0!</v>
      </c>
      <c r="BH16" s="85" t="e">
        <f ca="1">IF(AN16&lt;=Hypothèses!$V$7,Hypothèses!$W$7,IF(AN16&lt;=Hypothèses!$V$8,Hypothèses!$W$8,IF(AN16&lt;=Hypothèses!$V$9,Hypothèses!$W$9,IF(AN16&lt;=Hypothèses!$V$10,Hypothèses!$W$10,IF(AN16&lt;=Hypothèses!$V$11,Hypothèses!$W$11,IF(AN16&lt;=Hypothèses!$V$12,Hypothèses!$W$12,IF(AN16&lt;=Hypothèses!$V$13,Hypothèses!$W$13,IF(AN16&lt;=Hypothèses!$V$14,Hypothèses!$W$14,IF(AN16&lt;=Hypothèses!$V$15,Hypothèses!$W$15,IF(AN16&lt;=Hypothèses!$V$16,Hypothèses!$W$16,IF(AN16&lt;=Hypothèses!$V$17,Hypothèses!$W$17,IF(AN16&lt;=Hypothèses!$V$18,Hypothèses!$W$18,""))))))))))))</f>
        <v>#DIV/0!</v>
      </c>
      <c r="BI16" s="87" t="e">
        <f ca="1">IF(BH16&lt;&gt;"",BH16,BG16)</f>
        <v>#DIV/0!</v>
      </c>
      <c r="BJ16" s="88" t="e">
        <f ca="1">IF(AN16&lt;=Hypothèses!$V$7,Hypothèses!$X$7,IF(AN16&lt;=Hypothèses!$V$8,Hypothèses!$X$8,IF(AN16&lt;=Hypothèses!$V$9,Hypothèses!$X$9,IF(AN16&lt;=Hypothèses!$V$10,Hypothèses!$X$10,IF(AN16&lt;=Hypothèses!$V$11,Hypothèses!$X$11,IF(AN16&lt;=Hypothèses!$V$12,Hypothèses!$X$12,IF(AN16&lt;=Hypothèses!$V$13,Hypothèses!$X$13,IF(AN16&lt;=Hypothèses!$V$14,Hypothèses!$X$14,IF(AN16&lt;=Hypothèses!$V$15,Hypothèses!$X$15,IF(AN16&lt;=Hypothèses!$V$16,Hypothèses!$X$16,IF(AN16&lt;=Hypothèses!$U$17,Hypothèses!$W$17,IF(AN16&lt;=Hypothèses!$U$18,Hypothèses!$W$18,""))))))))))))</f>
        <v>#DIV/0!</v>
      </c>
      <c r="BK16" s="95" t="e">
        <f t="shared" ca="1" si="77"/>
        <v>#DIV/0!</v>
      </c>
      <c r="BL16" s="101" t="e">
        <f t="shared" si="28"/>
        <v>#N/A</v>
      </c>
      <c r="BM16" s="91" t="e">
        <f t="shared" si="29"/>
        <v>#N/A</v>
      </c>
      <c r="BN16" s="30" t="e">
        <f t="shared" ref="BN16:BN79" si="104">PI()*BN$12*$Q16*($B16-$B15)/($G16*$B$5)/10+BP15</f>
        <v>#N/A</v>
      </c>
      <c r="BO16" s="30" t="e">
        <f t="shared" ref="BO16:BO79" si="105">(PI()*BO$12*$Q16*($B16-$B15))/($H16*$B$5)/10+BP15</f>
        <v>#N/A</v>
      </c>
      <c r="BP16" s="31" t="e">
        <f>IF(OR(Hypothèses!$B$4=17,Hypothèses!$B$4=18,Hypothèses!$B$4=19,Hypothèses!$B$4=20),
IF($D16="Pressio.",
IF(OR($E16=3,$E16=1,$E16=4),BO16,BN16),
IF($D16="Pénétro.",
IF(OR($E16=3,$E16=1,$E16=4),BO16,BN16))),IF($D16="Pressio.",
IF($E16=3,BO16,BN16),
IF($D16="Pénétro.",
IF($E16=4,BO16,BN16))))</f>
        <v>#N/A</v>
      </c>
      <c r="BQ16" s="31" t="e">
        <f>(IF(OR(Hypothèses!$B$4=17,Hypothèses!$B$4=18,Hypothèses!$B$4=19,Hypothèses!$B$4=20),
IF($D16="Pressio.",
IF(OR($E16=3,$E16=1,$E16=4),(PI()*BQ$12^2)/4*(BM16*$W16*1000)/($H16*$B$5),(PI()*BQ$12^2)/4*(BM16*$W16*1000)/($G16*$B$5)),
IF($D16="Pénétro.",
IF(OR($E16=4,$E16=1,$E16=5),(PI()*BQ$12^2)/4*(BM16*$W16*1000)/($H16*$B$5),(PI()*BQ$12^2)/4*(BM16*$W16*1000)/($G16*$B$5)))),
IF($D16="Pressio.",
IF($E16=3,(PI()*BQ$12^2)/4*(BM16*$W16*1000)/($H16*$B$5),(PI()*BQ$12^2)/4*(BM16*$W16*1000)/($G16*$B$5)),
IF($D16="Pénétro.",
IF($E16=4,(PI()*BQ$12^2)/4*(BM16*$W16*1000)/($H16*$B$5),(PI()*BQ$12^2)/4*(BM16*$W16*1000)/($G16*$B$5))))))/10</f>
        <v>#N/A</v>
      </c>
      <c r="BR16" s="102" t="e">
        <f>(VLOOKUP($B$3,'Coeff EC7'!$T$39:$X$59,2,0)*BP16+VLOOKUP($B$3,'Coeff EC7'!$T$65:$X$85,2,0)*Model0.1C!BQ16)/1.1</f>
        <v>#N/A</v>
      </c>
      <c r="BS16" s="102" t="e">
        <f>(VLOOKUP($B$3,'Coeff EC7'!$T$39:$X$59,3,0)*BP16+VLOOKUP($B$3,'Coeff EC7'!$T$65:$X$85,3,0)*Model0.1C!BQ16)/0.9</f>
        <v>#N/A</v>
      </c>
      <c r="BT16" s="102" t="e">
        <f t="shared" si="78"/>
        <v>#N/A</v>
      </c>
      <c r="BU16" s="102" t="e">
        <f t="shared" si="79"/>
        <v>#N/A</v>
      </c>
      <c r="BV16" s="414" t="e">
        <f>IF(BV15=0,0,IF(AND(BR16&gt;charge_ELS_quasi,BS16&gt;Charge_ELS_freq,BT16&gt;charge_ELU,BU16&gt;charge_ELA,$B16&gt;NDC!$H$22-0.1+MIN(3*$BV$12,1.5)),0,1))</f>
        <v>#N/A</v>
      </c>
      <c r="BW16" s="86" t="b">
        <f t="shared" si="32"/>
        <v>0</v>
      </c>
      <c r="BX16" s="86">
        <f t="shared" si="33"/>
        <v>0.5</v>
      </c>
      <c r="BY16" s="86">
        <f t="shared" si="34"/>
        <v>0.5</v>
      </c>
      <c r="BZ16" s="30" t="e">
        <f t="shared" ca="1" si="80"/>
        <v>#DIV/0!</v>
      </c>
      <c r="CA16" s="85" t="e">
        <f ca="1">IF(BG16&lt;=Hypothèses!$V$7,Hypothèses!$W$7,IF(BG16&lt;=Hypothèses!$V$8,Hypothèses!$W$8,IF(BG16&lt;=Hypothèses!$V$9,Hypothèses!$W$9,IF(BG16&lt;=Hypothèses!$V$10,Hypothèses!$W$10,IF(BG16&lt;=Hypothèses!$V$11,Hypothèses!$W$11,IF(BG16&lt;=Hypothèses!$V$12,Hypothèses!$W$12,IF(BG16&lt;=Hypothèses!$V$13,Hypothèses!$W$13,IF(BG16&lt;=Hypothèses!$V$14,Hypothèses!$W$14,IF(BG16&lt;=Hypothèses!$V$15,Hypothèses!$W$15,IF(BG16&lt;=Hypothèses!$V$16,Hypothèses!$W$16,IF(BG16&lt;=Hypothèses!$V$17,Hypothèses!$W$17,IF(BG16&lt;=Hypothèses!$V$18,Hypothèses!$W$18,""))))))))))))</f>
        <v>#DIV/0!</v>
      </c>
      <c r="CB16" s="87" t="e">
        <f ca="1">IF(CA16&lt;&gt;"",CA16,BZ16)</f>
        <v>#DIV/0!</v>
      </c>
      <c r="CC16" s="88" t="e">
        <f ca="1">IF(BG16&lt;=Hypothèses!$V$7,Hypothèses!$X$7,IF(BG16&lt;=Hypothèses!$V$8,Hypothèses!$X$8,IF(BG16&lt;=Hypothèses!$V$9,Hypothèses!$X$9,IF(BG16&lt;=Hypothèses!$V$10,Hypothèses!$X$10,IF(BG16&lt;=Hypothèses!$V$11,Hypothèses!$X$11,IF(BG16&lt;=Hypothèses!$V$12,Hypothèses!$X$12,IF(BG16&lt;=Hypothèses!$V$13,Hypothèses!$X$13,IF(BG16&lt;=Hypothèses!$V$14,Hypothèses!$X$14,IF(BG16&lt;=Hypothèses!$V$15,Hypothèses!$X$15,IF(BG16&lt;=Hypothèses!$V$16,Hypothèses!$X$16,IF(BG16&lt;=Hypothèses!$U$17,Hypothèses!$W$17,IF(BG16&lt;=Hypothèses!$U$18,Hypothèses!$W$18,""))))))))))))</f>
        <v>#DIV/0!</v>
      </c>
      <c r="CD16" s="95" t="e">
        <f t="shared" ca="1" si="81"/>
        <v>#DIV/0!</v>
      </c>
      <c r="CE16" s="101" t="e">
        <f t="shared" si="35"/>
        <v>#N/A</v>
      </c>
      <c r="CF16" s="91" t="e">
        <f t="shared" si="36"/>
        <v>#N/A</v>
      </c>
      <c r="CG16" s="30" t="e">
        <f t="shared" ref="CG16:CG79" si="106">PI()*CG$12*$Q16*($B16-$B15)/($G16*$B$5)/10+CI15</f>
        <v>#N/A</v>
      </c>
      <c r="CH16" s="30" t="e">
        <f t="shared" ref="CH16:CH79" si="107">(PI()*CH$12*$Q16*($B16-$B15))/($H16*$B$5)/10+CI15</f>
        <v>#N/A</v>
      </c>
      <c r="CI16" s="31" t="e">
        <f>IF(OR(Hypothèses!$B$4=17,Hypothèses!$B$4=18,Hypothèses!$B$4=19,Hypothèses!$B$4=20),
IF($D16="Pressio.",
IF(OR($E16=3,$E16=1,$E16=4),CH16,CG16),
IF($D16="Pénétro.",
IF(OR($E16=3,$E16=1,$E16=4),CH16,CG16))),IF($D16="Pressio.",
IF($E16=3,CH16,CG16),
IF($D16="Pénétro.",
IF($E16=4,CH16,CG16))))</f>
        <v>#N/A</v>
      </c>
      <c r="CJ16" s="31" t="e">
        <f>(IF(OR(Hypothèses!$B$4=17,Hypothèses!$B$4=18,Hypothèses!$B$4=19,Hypothèses!$B$4=20),
IF($D16="Pressio.",
IF(OR($E16=3,$E16=1,$E16=4),(PI()*CJ$12^2)/4*(CF16*$W16*1000)/($H16*$B$5),(PI()*CJ$12^2)/4*(CF16*$W16*1000)/($G16*$B$5)),
IF($D16="Pénétro.",
IF(OR($E16=4,$E16=1,$E16=5),(PI()*CJ$12^2)/4*(CF16*$W16*1000)/($H16*$B$5),(PI()*CJ$12^2)/4*(CF16*$W16*1000)/($G16*$B$5)))),
IF($D16="Pressio.",
IF($E16=3,(PI()*CJ$12^2)/4*(CF16*$W16*1000)/($H16*$B$5),(PI()*CJ$12^2)/4*(CF16*$W16*1000)/($G16*$B$5)),
IF($D16="Pénétro.",
IF($E16=4,(PI()*CJ$12^2)/4*(CF16*$W16*1000)/($H16*$B$5),(PI()*CJ$12^2)/4*(CF16*$W16*1000)/($G16*$B$5))))))/10</f>
        <v>#N/A</v>
      </c>
      <c r="CK16" s="102" t="e">
        <f>(VLOOKUP($B$3,'Coeff EC7'!$T$39:$X$59,2,0)*CI16+VLOOKUP($B$3,'Coeff EC7'!$T$65:$X$85,2,0)*Model0.1C!CJ16)/1.1</f>
        <v>#N/A</v>
      </c>
      <c r="CL16" s="102" t="e">
        <f>(VLOOKUP($B$3,'Coeff EC7'!$T$39:$X$59,3,0)*CI16+VLOOKUP($B$3,'Coeff EC7'!$T$65:$X$85,3,0)*Model0.1C!CJ16)/0.9</f>
        <v>#N/A</v>
      </c>
      <c r="CM16" s="102" t="e">
        <f t="shared" si="82"/>
        <v>#N/A</v>
      </c>
      <c r="CN16" s="102" t="e">
        <f t="shared" si="83"/>
        <v>#N/A</v>
      </c>
      <c r="CO16" s="414" t="e">
        <f>IF(CO15=0,0,IF(AND(CK16&gt;charge_ELS_quasi,CL16&gt;Charge_ELS_freq,CM16&gt;charge_ELU,CN16&gt;charge_ELA,$B16&gt;NDC!$H$22-0.1+MIN(3*$CO$12,1.5)),0,1))</f>
        <v>#N/A</v>
      </c>
      <c r="CP16" s="86" t="b">
        <f t="shared" si="39"/>
        <v>0</v>
      </c>
      <c r="CQ16" s="86">
        <f t="shared" si="40"/>
        <v>0.5</v>
      </c>
      <c r="CR16" s="86">
        <f t="shared" si="41"/>
        <v>0.5</v>
      </c>
      <c r="CS16" s="30" t="e">
        <f t="shared" ca="1" si="84"/>
        <v>#DIV/0!</v>
      </c>
      <c r="CT16" s="85" t="e">
        <f ca="1">IF(BZ16&lt;=Hypothèses!$V$7,Hypothèses!$W$7,IF(BZ16&lt;=Hypothèses!$V$8,Hypothèses!$W$8,IF(BZ16&lt;=Hypothèses!$V$9,Hypothèses!$W$9,IF(BZ16&lt;=Hypothèses!$V$10,Hypothèses!$W$10,IF(BZ16&lt;=Hypothèses!$V$11,Hypothèses!$W$11,IF(BZ16&lt;=Hypothèses!$V$12,Hypothèses!$W$12,IF(BZ16&lt;=Hypothèses!$V$13,Hypothèses!$W$13,IF(BZ16&lt;=Hypothèses!$V$14,Hypothèses!$W$14,IF(BZ16&lt;=Hypothèses!$V$15,Hypothèses!$W$15,IF(BZ16&lt;=Hypothèses!$V$16,Hypothèses!$W$16,IF(BZ16&lt;=Hypothèses!$V$17,Hypothèses!$W$17,IF(BZ16&lt;=Hypothèses!$V$18,Hypothèses!$W$18,""))))))))))))</f>
        <v>#DIV/0!</v>
      </c>
      <c r="CU16" s="87" t="e">
        <f ca="1">IF(CT16&lt;&gt;"",CT16,CS16)</f>
        <v>#DIV/0!</v>
      </c>
      <c r="CV16" s="88" t="e">
        <f ca="1">IF(BZ16&lt;=Hypothèses!$V$7,Hypothèses!$X$7,IF(BZ16&lt;=Hypothèses!$V$8,Hypothèses!$X$8,IF(BZ16&lt;=Hypothèses!$V$9,Hypothèses!$X$9,IF(BZ16&lt;=Hypothèses!$V$10,Hypothèses!$X$10,IF(BZ16&lt;=Hypothèses!$V$11,Hypothèses!$X$11,IF(BZ16&lt;=Hypothèses!$V$12,Hypothèses!$X$12,IF(BZ16&lt;=Hypothèses!$V$13,Hypothèses!$X$13,IF(BZ16&lt;=Hypothèses!$V$14,Hypothèses!$X$14,IF(BZ16&lt;=Hypothèses!$V$15,Hypothèses!$X$15,IF(BZ16&lt;=Hypothèses!$V$16,Hypothèses!$X$16,IF(BZ16&lt;=Hypothèses!$U$17,Hypothèses!$W$17,IF(BZ16&lt;=Hypothèses!$U$18,Hypothèses!$W$18,""))))))))))))</f>
        <v>#DIV/0!</v>
      </c>
      <c r="CW16" s="95" t="e">
        <f t="shared" ca="1" si="85"/>
        <v>#DIV/0!</v>
      </c>
      <c r="CX16" s="101" t="e">
        <f t="shared" si="42"/>
        <v>#N/A</v>
      </c>
      <c r="CY16" s="91" t="e">
        <f t="shared" si="43"/>
        <v>#N/A</v>
      </c>
      <c r="CZ16" s="30" t="e">
        <f t="shared" ref="CZ16:CZ79" si="108">PI()*CZ$12*$Q16*($B16-$B15)/($G16*$B$5)/10+DB15</f>
        <v>#N/A</v>
      </c>
      <c r="DA16" s="30" t="e">
        <f t="shared" ref="DA16:DA79" si="109">(PI()*DA$12*$Q16*($B16-$B15))/($H16*$B$5)/10+DB15</f>
        <v>#N/A</v>
      </c>
      <c r="DB16" s="31" t="e">
        <f>IF(OR(Hypothèses!$B$4=17,Hypothèses!$B$4=18,Hypothèses!$B$4=19,Hypothèses!$B$4=20),
IF($D16="Pressio.",
IF(OR($E16=3,$E16=1,$E16=4),DA16,CZ16),
IF($D16="Pénétro.",
IF(OR($E16=3,$E16=1,$E16=4),DA16,CZ16))),IF($D16="Pressio.",
IF($E16=3,DA16,CZ16),
IF($D16="Pénétro.",
IF($E16=4,DA16,CZ16))))</f>
        <v>#N/A</v>
      </c>
      <c r="DC16" s="31" t="e">
        <f>(IF(OR(Hypothèses!$B$4=17,Hypothèses!$B$4=18,Hypothèses!$B$4=19,Hypothèses!$B$4=20),
IF($D16="Pressio.",
IF(OR($E16=3,$E16=1,$E16=4),(PI()*DC$12^2)/4*(CY16*$W16*1000)/($H16*$B$5),(PI()*DC$12^2)/4*(CY16*$W16*1000)/($G16*$B$5)),
IF($D16="Pénétro.",
IF(OR($E16=4,$E16=1,$E16=5),(PI()*DC$12^2)/4*(CY16*$W16*1000)/($H16*$B$5),(PI()*DC$12^2)/4*(CY16*$W16*1000)/($G16*$B$5)))),
IF($D16="Pressio.",
IF($E16=3,(PI()*DC$12^2)/4*(CY16*$W16*1000)/($H16*$B$5),(PI()*DC$12^2)/4*(CY16*$W16*1000)/($G16*$B$5)),
IF($D16="Pénétro.",
IF($E16=4,(PI()*DC$12^2)/4*(CY16*$W16*1000)/($H16*$B$5),(PI()*DC$12^2)/4*(CY16*$W16*1000)/($G16*$B$5))))))/10</f>
        <v>#N/A</v>
      </c>
      <c r="DD16" s="102" t="e">
        <f>(VLOOKUP($B$3,'Coeff EC7'!$T$39:$X$59,2,0)*DB16+VLOOKUP($B$3,'Coeff EC7'!$T$65:$X$85,2,0)*Model0.1C!DC16)/1.1</f>
        <v>#N/A</v>
      </c>
      <c r="DE16" s="102" t="e">
        <f>(VLOOKUP($B$3,'Coeff EC7'!$T$39:$X$59,3,0)*DB16+VLOOKUP($B$3,'Coeff EC7'!$T$65:$X$85,3,0)*Model0.1C!DC16)/0.9</f>
        <v>#N/A</v>
      </c>
      <c r="DF16" s="102" t="e">
        <f t="shared" si="86"/>
        <v>#N/A</v>
      </c>
      <c r="DG16" s="102" t="e">
        <f t="shared" si="87"/>
        <v>#N/A</v>
      </c>
      <c r="DH16" s="414" t="e">
        <f>IF(DH15=0,0,IF(AND(DD16&gt;charge_ELS_quasi,DE16&gt;Charge_ELS_freq,DF16&gt;charge_ELU,DG16&gt;charge_ELA,$B16&gt;NDC!$H$22-0.1+MIN(3*$DH$12,1.5)),0,1))</f>
        <v>#N/A</v>
      </c>
      <c r="DI16" s="86" t="b">
        <f t="shared" si="46"/>
        <v>0</v>
      </c>
      <c r="DJ16" s="86">
        <f t="shared" si="47"/>
        <v>0.5</v>
      </c>
      <c r="DK16" s="86">
        <f t="shared" si="48"/>
        <v>0.5</v>
      </c>
      <c r="DL16" s="30" t="e">
        <f t="shared" ca="1" si="88"/>
        <v>#DIV/0!</v>
      </c>
      <c r="DM16" s="85" t="e">
        <f ca="1">IF(CS16&lt;=Hypothèses!$V$7,Hypothèses!$W$7,IF(CS16&lt;=Hypothèses!$V$8,Hypothèses!$W$8,IF(CS16&lt;=Hypothèses!$V$9,Hypothèses!$W$9,IF(CS16&lt;=Hypothèses!$V$10,Hypothèses!$W$10,IF(CS16&lt;=Hypothèses!$V$11,Hypothèses!$W$11,IF(CS16&lt;=Hypothèses!$V$12,Hypothèses!$W$12,IF(CS16&lt;=Hypothèses!$V$13,Hypothèses!$W$13,IF(CS16&lt;=Hypothèses!$V$14,Hypothèses!$W$14,IF(CS16&lt;=Hypothèses!$V$15,Hypothèses!$W$15,IF(CS16&lt;=Hypothèses!$V$16,Hypothèses!$W$16,IF(CS16&lt;=Hypothèses!$V$17,Hypothèses!$W$17,IF(CS16&lt;=Hypothèses!$V$18,Hypothèses!$W$18,""))))))))))))</f>
        <v>#DIV/0!</v>
      </c>
      <c r="DN16" s="87" t="e">
        <f ca="1">IF(DM16&lt;&gt;"",DM16,DL16)</f>
        <v>#DIV/0!</v>
      </c>
      <c r="DO16" s="88" t="e">
        <f ca="1">IF(CS16&lt;=Hypothèses!$V$7,Hypothèses!$X$7,IF(CS16&lt;=Hypothèses!$V$8,Hypothèses!$X$8,IF(CS16&lt;=Hypothèses!$V$9,Hypothèses!$X$9,IF(CS16&lt;=Hypothèses!$V$10,Hypothèses!$X$10,IF(CS16&lt;=Hypothèses!$V$11,Hypothèses!$X$11,IF(CS16&lt;=Hypothèses!$V$12,Hypothèses!$X$12,IF(CS16&lt;=Hypothèses!$V$13,Hypothèses!$X$13,IF(CS16&lt;=Hypothèses!$V$14,Hypothèses!$X$14,IF(CS16&lt;=Hypothèses!$V$15,Hypothèses!$X$15,IF(CS16&lt;=Hypothèses!$V$16,Hypothèses!$X$16,IF(CS16&lt;=Hypothèses!$U$17,Hypothèses!$W$17,IF(CS16&lt;=Hypothèses!$U$18,Hypothèses!$W$18,""))))))))))))</f>
        <v>#DIV/0!</v>
      </c>
      <c r="DP16" s="95" t="e">
        <f t="shared" ca="1" si="89"/>
        <v>#DIV/0!</v>
      </c>
      <c r="DQ16" s="101" t="e">
        <f t="shared" si="49"/>
        <v>#N/A</v>
      </c>
      <c r="DR16" s="91" t="e">
        <f t="shared" si="50"/>
        <v>#N/A</v>
      </c>
      <c r="DS16" s="30" t="e">
        <f t="shared" ref="DS16:DS79" si="110">PI()*DS$12*$Q16*($B16-$B15)/($G16*$B$5)/10+DU15</f>
        <v>#N/A</v>
      </c>
      <c r="DT16" s="30" t="e">
        <f t="shared" ref="DT16:DT79" si="111">(PI()*DT$12*$Q16*($B16-$B15))/($H16*$B$5)/10+DU15</f>
        <v>#N/A</v>
      </c>
      <c r="DU16" s="31" t="e">
        <f>IF(OR(Hypothèses!$B$4=17,Hypothèses!$B$4=18,Hypothèses!$B$4=19,Hypothèses!$B$4=20),
IF($D16="Pressio.",
IF(OR($E16=3,$E16=1,$E16=4),DT16,DS16),
IF($D16="Pénétro.",
IF(OR($E16=3,$E16=1,$E16=4),DT16,DS16))),IF($D16="Pressio.",
IF($E16=3,DT16,DS16),
IF($D16="Pénétro.",
IF($E16=4,DT16,DS16))))</f>
        <v>#N/A</v>
      </c>
      <c r="DV16" s="31" t="e">
        <f>(IF(OR(Hypothèses!$B$4=17,Hypothèses!$B$4=18,Hypothèses!$B$4=19,Hypothèses!$B$4=20),
IF($D16="Pressio.",
IF(OR($E16=3,$E16=1,$E16=4),(PI()*DV$12^2)/4*(DR16*$W16*1000)/($H16*$B$5),(PI()*DV$12^2)/4*(DR16*$W16*1000)/($G16*$B$5)),
IF($D16="Pénétro.",
IF(OR($E16=4,$E16=1,$E16=5),(PI()*DV$12^2)/4*(DR16*$W16*1000)/($H16*$B$5),(PI()*DV$12^2)/4*(DR16*$W16*1000)/($G16*$B$5)))),
IF($D16="Pressio.",
IF($E16=3,(PI()*DV$12^2)/4*(DR16*$W16*1000)/($H16*$B$5),(PI()*DV$12^2)/4*(DR16*$W16*1000)/($G16*$B$5)),
IF($D16="Pénétro.",
IF($E16=4,(PI()*DV$12^2)/4*(DR16*$W16*1000)/($H16*$B$5),(PI()*DV$12^2)/4*(DR16*$W16*1000)/($G16*$B$5))))))/10</f>
        <v>#N/A</v>
      </c>
      <c r="DW16" s="102" t="e">
        <f>(VLOOKUP($B$3,'Coeff EC7'!$T$39:$X$59,2,0)*DU16+VLOOKUP($B$3,'Coeff EC7'!$T$65:$X$85,2,0)*Model0.1C!DV16)/1.1</f>
        <v>#N/A</v>
      </c>
      <c r="DX16" s="102" t="e">
        <f>(VLOOKUP($B$3,'Coeff EC7'!$T$39:$X$59,3,0)*DU16+VLOOKUP($B$3,'Coeff EC7'!$T$65:$X$85,3,0)*Model0.1C!DV16)/0.9</f>
        <v>#N/A</v>
      </c>
      <c r="DY16" s="102" t="e">
        <f t="shared" si="90"/>
        <v>#N/A</v>
      </c>
      <c r="DZ16" s="102" t="e">
        <f t="shared" si="91"/>
        <v>#N/A</v>
      </c>
      <c r="EA16" s="414" t="e">
        <f>IF(EA15=0,0,IF(AND(DW16&gt;charge_ELS_quasi,DX16&gt;Charge_ELS_freq,DY16&gt;charge_ELU,DZ16&gt;charge_ELA,$B16&gt;NDC!$H$22-0.1+MIN(3*$EA$12,1.5)),0,1))</f>
        <v>#N/A</v>
      </c>
      <c r="EB16" s="86" t="b">
        <f t="shared" si="53"/>
        <v>0</v>
      </c>
      <c r="EC16" s="418">
        <f t="shared" si="54"/>
        <v>0.51</v>
      </c>
      <c r="ED16" s="86">
        <f t="shared" si="55"/>
        <v>0.51</v>
      </c>
      <c r="EE16" s="30" t="e">
        <f t="shared" ca="1" si="92"/>
        <v>#DIV/0!</v>
      </c>
      <c r="EF16" s="85" t="e">
        <f ca="1">IF(DL16&lt;=Hypothèses!$V$7,Hypothèses!$W$7,IF(DL16&lt;=Hypothèses!$V$8,Hypothèses!$W$8,IF(DL16&lt;=Hypothèses!$V$9,Hypothèses!$W$9,IF(DL16&lt;=Hypothèses!$V$10,Hypothèses!$W$10,IF(DL16&lt;=Hypothèses!$V$11,Hypothèses!$W$11,IF(DL16&lt;=Hypothèses!$V$12,Hypothèses!$W$12,IF(DL16&lt;=Hypothèses!$V$13,Hypothèses!$W$13,IF(DL16&lt;=Hypothèses!$V$14,Hypothèses!$W$14,IF(DL16&lt;=Hypothèses!$V$15,Hypothèses!$W$15,IF(DL16&lt;=Hypothèses!$V$16,Hypothèses!$W$16,IF(DL16&lt;=Hypothèses!$V$17,Hypothèses!$W$17,IF(DL16&lt;=Hypothèses!$V$18,Hypothèses!$W$18,""))))))))))))</f>
        <v>#DIV/0!</v>
      </c>
      <c r="EG16" s="87" t="e">
        <f ca="1">IF(EF16&lt;&gt;"",EF16,EE16)</f>
        <v>#DIV/0!</v>
      </c>
      <c r="EH16" s="88" t="e">
        <f ca="1">IF(DL16&lt;=Hypothèses!$V$7,Hypothèses!$X$7,IF(DL16&lt;=Hypothèses!$V$8,Hypothèses!$X$8,IF(DL16&lt;=Hypothèses!$V$9,Hypothèses!$X$9,IF(DL16&lt;=Hypothèses!$V$10,Hypothèses!$X$10,IF(DL16&lt;=Hypothèses!$V$11,Hypothèses!$X$11,IF(DL16&lt;=Hypothèses!$V$12,Hypothèses!$X$12,IF(DL16&lt;=Hypothèses!$V$13,Hypothèses!$X$13,IF(DL16&lt;=Hypothèses!$V$14,Hypothèses!$X$14,IF(DL16&lt;=Hypothèses!$V$15,Hypothèses!$X$15,IF(DL16&lt;=Hypothèses!$V$16,Hypothèses!$X$16,IF(DL16&lt;=Hypothèses!$U$17,Hypothèses!$W$17,IF(DL16&lt;=Hypothèses!$U$18,Hypothèses!$W$18,""))))))))))))</f>
        <v>#DIV/0!</v>
      </c>
      <c r="EI16" s="95" t="e">
        <f t="shared" ca="1" si="93"/>
        <v>#DIV/0!</v>
      </c>
      <c r="EJ16" s="101" t="e">
        <f t="shared" si="56"/>
        <v>#N/A</v>
      </c>
      <c r="EK16" s="91" t="e">
        <f t="shared" si="57"/>
        <v>#N/A</v>
      </c>
      <c r="EL16" s="30" t="e">
        <f t="shared" ref="EL16:EL79" si="112">PI()*EL$12*$Q16*($B16-$B15)/($G16*$B$5)/10+EN15</f>
        <v>#N/A</v>
      </c>
      <c r="EM16" s="30" t="e">
        <f t="shared" ref="EM16:EM79" si="113">(PI()*EM$12*$Q16*($B16-$B15))/($H16*$B$5)/10+EN15</f>
        <v>#N/A</v>
      </c>
      <c r="EN16" s="31" t="e">
        <f>IF(OR(Hypothèses!$B$4=17,Hypothèses!$B$4=18,Hypothèses!$B$4=19,Hypothèses!$B$4=20),
IF($D16="Pressio.",
IF(OR($E16=3,$E16=1,$E16=4),EM16,EL16),
IF($D16="Pénétro.",
IF(OR($E16=3,$E16=1,$E16=4),EM16,EL16))),IF($D16="Pressio.",
IF($E16=3,EM16,EL16),
IF($D16="Pénétro.",
IF($E16=4,EM16,EL16))))</f>
        <v>#N/A</v>
      </c>
      <c r="EO16" s="31" t="e">
        <f>(IF(OR(Hypothèses!$B$4=17,Hypothèses!$B$4=18,Hypothèses!$B$4=19,Hypothèses!$B$4=20),
IF($D16="Pressio.",
IF(OR($E16=3,$E16=1,$E16=4),(PI()*EO$12^2)/4*(EK16*$W16*1000)/($H16*$B$5),(PI()*EO$12^2)/4*(EK16*$W16*1000)/($G16*$B$5)),
IF($D16="Pénétro.",
IF(OR($E16=4,$E16=1,$E16=5),(PI()*EO$12^2)/4*(EK16*$W16*1000)/($H16*$B$5),(PI()*EO$12^2)/4*(EK16*$W16*1000)/($G16*$B$5)))),
IF($D16="Pressio.",
IF($E16=3,(PI()*EO$12^2)/4*(EK16*$W16*1000)/($H16*$B$5),(PI()*EO$12^2)/4*(EK16*$W16*1000)/($G16*$B$5)),
IF($D16="Pénétro.",
IF($E16=4,(PI()*EO$12^2)/4*(EK16*$W16*1000)/($H16*$B$5),(PI()*EO$12^2)/4*(EK16*$W16*1000)/($G16*$B$5))))))/10</f>
        <v>#N/A</v>
      </c>
      <c r="EP16" s="102" t="e">
        <f>(VLOOKUP($B$3,'Coeff EC7'!$T$39:$X$59,2,0)*EN16+VLOOKUP($B$3,'Coeff EC7'!$T$65:$X$85,2,0)*Model0.1C!EO16)/1.1</f>
        <v>#N/A</v>
      </c>
      <c r="EQ16" s="102" t="e">
        <f>(VLOOKUP($B$3,'Coeff EC7'!$T$39:$X$59,3,0)*EN16+VLOOKUP($B$3,'Coeff EC7'!$T$65:$X$85,3,0)*Model0.1C!EO16)/0.9</f>
        <v>#N/A</v>
      </c>
      <c r="ER16" s="102" t="e">
        <f t="shared" si="94"/>
        <v>#N/A</v>
      </c>
      <c r="ES16" s="102" t="e">
        <f t="shared" si="95"/>
        <v>#N/A</v>
      </c>
      <c r="ET16" s="414" t="e">
        <f>IF(ET15=0,0,IF(AND(EP16&gt;charge_ELS_quasi,EQ16&gt;Charge_ELS_freq,ER16&gt;charge_ELU,ES16&gt;charge_ELA,$B16&gt;NDC!$H$22-0.1+MIN(3*$ET$12,1.5)),0,1))</f>
        <v>#N/A</v>
      </c>
      <c r="EU16" s="86" t="b">
        <f t="shared" si="60"/>
        <v>0</v>
      </c>
      <c r="EV16" s="86">
        <f t="shared" si="61"/>
        <v>0.61</v>
      </c>
      <c r="EW16" s="86">
        <f t="shared" si="62"/>
        <v>0.61</v>
      </c>
      <c r="EX16" s="30" t="e">
        <f t="shared" ca="1" si="96"/>
        <v>#DIV/0!</v>
      </c>
      <c r="EY16" s="85" t="e">
        <f ca="1">IF(EE16&lt;=Hypothèses!$V$7,Hypothèses!$W$7,IF(EE16&lt;=Hypothèses!$V$8,Hypothèses!$W$8,IF(EE16&lt;=Hypothèses!$V$9,Hypothèses!$W$9,IF(EE16&lt;=Hypothèses!$V$10,Hypothèses!$W$10,IF(EE16&lt;=Hypothèses!$V$11,Hypothèses!$W$11,IF(EE16&lt;=Hypothèses!$V$12,Hypothèses!$W$12,IF(EE16&lt;=Hypothèses!$V$13,Hypothèses!$W$13,IF(EE16&lt;=Hypothèses!$V$14,Hypothèses!$W$14,IF(EE16&lt;=Hypothèses!$V$15,Hypothèses!$W$15,IF(EE16&lt;=Hypothèses!$V$16,Hypothèses!$W$16,IF(EE16&lt;=Hypothèses!$V$17,Hypothèses!$W$17,IF(EE16&lt;=Hypothèses!$V$18,Hypothèses!$W$18,""))))))))))))</f>
        <v>#DIV/0!</v>
      </c>
      <c r="EZ16" s="87" t="e">
        <f ca="1">IF(EY16&lt;&gt;"",EY16,EX16)</f>
        <v>#DIV/0!</v>
      </c>
      <c r="FA16" s="88" t="e">
        <f ca="1">IF(EE16&lt;=Hypothèses!$V$7,Hypothèses!$X$7,IF(EE16&lt;=Hypothèses!$V$8,Hypothèses!$X$8,IF(EE16&lt;=Hypothèses!$V$9,Hypothèses!$X$9,IF(EE16&lt;=Hypothèses!$V$10,Hypothèses!$X$10,IF(EE16&lt;=Hypothèses!$V$11,Hypothèses!$X$11,IF(EE16&lt;=Hypothèses!$V$12,Hypothèses!$X$12,IF(EE16&lt;=Hypothèses!$V$13,Hypothèses!$X$13,IF(EE16&lt;=Hypothèses!$V$14,Hypothèses!$X$14,IF(EE16&lt;=Hypothèses!$V$15,Hypothèses!$X$15,IF(EE16&lt;=Hypothèses!$V$16,Hypothèses!$X$16,IF(EE16&lt;=Hypothèses!$U$17,Hypothèses!$W$17,IF(EE16&lt;=Hypothèses!$U$18,Hypothèses!$W$18,""))))))))))))</f>
        <v>#DIV/0!</v>
      </c>
      <c r="FB16" s="95" t="e">
        <f t="shared" ca="1" si="97"/>
        <v>#DIV/0!</v>
      </c>
      <c r="FC16" s="101" t="e">
        <f t="shared" si="63"/>
        <v>#N/A</v>
      </c>
      <c r="FD16" s="91" t="e">
        <f t="shared" si="64"/>
        <v>#N/A</v>
      </c>
      <c r="FE16" s="30" t="e">
        <f t="shared" ref="FE16:FE79" si="114">PI()*FE$12*$Q16*($B16-$B15)/($G16*$B$5)/10+FG15</f>
        <v>#N/A</v>
      </c>
      <c r="FF16" s="30" t="e">
        <f t="shared" ref="FF16:FF79" si="115">(PI()*FF$12*$Q16*($B16-$B15))/($H16*$B$5)/10+FG15</f>
        <v>#N/A</v>
      </c>
      <c r="FG16" s="31" t="e">
        <f>IF(OR(Hypothèses!$B$4=17,Hypothèses!$B$4=18,Hypothèses!$B$4=19,Hypothèses!$B$4=20),
IF($D16="Pressio.",
IF(OR($E16=3,$E16=1,$E16=4),FF16,FE16),
IF($D16="Pénétro.",
IF(OR($E16=3,$E16=1,$E16=4),FF16,FE16))),IF($D16="Pressio.",
IF($E16=3,FF16,FE16),
IF($D16="Pénétro.",
IF($E16=4,FF16,FE16))))</f>
        <v>#N/A</v>
      </c>
      <c r="FH16" s="31" t="e">
        <f>(IF(OR(Hypothèses!$B$4=17,Hypothèses!$B$4=18,Hypothèses!$B$4=19,Hypothèses!$B$4=20),
IF($D16="Pressio.",
IF(OR($E16=3,$E16=1,$E16=4),(PI()*FH$12^2)/4*(FD16*$W16*1000)/($H16*$B$5),(PI()*FH$12^2)/4*(FD16*$W16*1000)/($G16*$B$5)),
IF($D16="Pénétro.",
IF(OR($E16=4,$E16=1,$E16=5),(PI()*FH$12^2)/4*(FD16*$W16*1000)/($H16*$B$5),(PI()*FH$12^2)/4*(FD16*$W16*1000)/($G16*$B$5)))),
IF($D16="Pressio.",
IF($E16=3,(PI()*FH$12^2)/4*(FD16*$W16*1000)/($H16*$B$5),(PI()*FH$12^2)/4*(FD16*$W16*1000)/($G16*$B$5)),
IF($D16="Pénétro.",
IF($E16=4,(PI()*FH$12^2)/4*(FD16*$W16*1000)/($H16*$B$5),(PI()*FH$12^2)/4*(FD16*$W16*1000)/($G16*$B$5))))))/10</f>
        <v>#N/A</v>
      </c>
      <c r="FI16" s="102" t="e">
        <f>(VLOOKUP($B$3,'Coeff EC7'!$T$39:$X$59,2,0)*FG16+VLOOKUP($B$3,'Coeff EC7'!$T$65:$X$85,2,0)*Model0.1C!FH16)/1.1</f>
        <v>#N/A</v>
      </c>
      <c r="FJ16" s="102" t="e">
        <f>(VLOOKUP($B$3,'Coeff EC7'!$T$39:$X$59,3,0)*FG16+VLOOKUP($B$3,'Coeff EC7'!$T$65:$X$85,3,0)*Model0.1C!FH16)/0.9</f>
        <v>#N/A</v>
      </c>
      <c r="FK16" s="102" t="e">
        <f t="shared" si="98"/>
        <v>#N/A</v>
      </c>
      <c r="FL16" s="102" t="e">
        <f t="shared" si="99"/>
        <v>#N/A</v>
      </c>
      <c r="FM16" s="414" t="e">
        <f>IF(FM15=0,0,IF(AND(FI16&gt;charge_ELS_quasi,FJ16&gt;Charge_ELS_freq,FK16&gt;charge_ELU,FL16&gt;charge_ELA,$B16&gt;NDC!$H$22-0.1+MIN(3*$FM$12,1.5)),0,1))</f>
        <v>#N/A</v>
      </c>
    </row>
    <row r="17" spans="1:169">
      <c r="A17" s="96">
        <f t="shared" si="67"/>
        <v>99.600000000000023</v>
      </c>
      <c r="B17" s="97">
        <v>0.4</v>
      </c>
      <c r="C17" s="81">
        <f>IF(B17&lt;=Hypothèses!$C$7,Hypothèses!$A$7,IF(B17&lt;=Hypothèses!$C$8,Hypothèses!$A$8,IF(B17&lt;=Hypothèses!$C$9,Hypothèses!$A$9,IF(B17&lt;=Hypothèses!$C$10,Hypothèses!$A$10,IF(B17&lt;=Hypothèses!$C$11,Hypothèses!$A$11,IF(B17&lt;=Hypothèses!$C$12,Hypothèses!$A$12,IF(B17&lt;=Hypothèses!$C$13,Hypothèses!$A$13,IF(B17&lt;=Hypothèses!$C$14,Hypothèses!$A$14,IF(B17&lt;=Hypothèses!$C$15,Hypothèses!$A$15,IF(B17&lt;=Hypothèses!$C$16,Hypothèses!$A$16,IF(B17&lt;=Hypothèses!$C$17,Hypothèses!$A$17,IF(B17&lt;=Hypothèses!$C$18,Hypothèses!$A$18,C16))))))))))))</f>
        <v>11</v>
      </c>
      <c r="D17" s="82" t="str">
        <f>IF(B17&lt;=Hypothèses!$C$7,Hypothèses!$R$7,IF(B17&lt;=Hypothèses!$C$8,Hypothèses!$R$8,IF(B17&lt;=Hypothèses!$C$9,Hypothèses!$R$9,IF(B17&lt;=Hypothèses!$C$10,Hypothèses!$R$10,IF(B17&lt;=Hypothèses!$C$11,Hypothèses!$R$11,IF(B17&lt;=Hypothèses!$C$12,Hypothèses!$R$12,IF(B17&lt;=Hypothèses!$C$13,Hypothèses!$R$13,IF(B17&lt;=Hypothèses!$C$14,Hypothèses!$R$14,IF(B17&lt;=Hypothèses!$C$15,Hypothèses!$R$15,IF(B17&lt;=Hypothèses!$C$16,Hypothèses!$R$16,IF(B17&lt;=Hypothèses!$C$17,Hypothèses!$R$17,IF(B17&lt;=Hypothèses!$C$18,Hypothèses!$R$18,D16))))))))))))</f>
        <v>Pressio.</v>
      </c>
      <c r="E17" s="82" t="e">
        <f>IF(B17&lt;=Hypothèses!$C$7,Hypothèses!$G$7,IF(B17&lt;=Hypothèses!$C$8,Hypothèses!$G$8,IF(B17&lt;=Hypothèses!$C$9,Hypothèses!$G$9,IF(B17&lt;=Hypothèses!$C$10,Hypothèses!$G$10,IF(B17&lt;=Hypothèses!$C$11,Hypothèses!$G$11,IF(B17&lt;=Hypothèses!$C$12,Hypothèses!$G$12,IF(B17&lt;=Hypothèses!$C$13,Hypothèses!$G$13,IF(B17&lt;=Hypothèses!$C$14,Hypothèses!$G$14,IF(B17&lt;=Hypothèses!$C$15,Hypothèses!$G$15,IF(B17&lt;=Hypothèses!$C$16,Hypothèses!$G$16,IF(B17&lt;=Hypothèses!$C$17,Hypothèses!$G$17,IF(B17&lt;=Hypothèses!$C$18,Hypothèses!$G$18,E16))))))))))))</f>
        <v>#N/A</v>
      </c>
      <c r="F17" s="82" t="str">
        <f>IF(B17&lt;=Hypothèses!$C$7,Hypothèses!$F$7,IF(B17&lt;=Hypothèses!$C$8,Hypothèses!$F$8,IF(B17&lt;=Hypothèses!$C$9,Hypothèses!$F$9,IF(B17&lt;=Hypothèses!$C$10,Hypothèses!$F$10,IF(B17&lt;=Hypothèses!$C$11,Hypothèses!$F$11,IF(B17&lt;=Hypothèses!$C$12,Hypothèses!$F$12,IF(B17&lt;=Hypothèses!$C$13,Hypothèses!$F$13,IF(B17&lt;=Hypothèses!$C$14,Hypothèses!$F$14,IF(B17&lt;=Hypothèses!$C$15,Hypothèses!$F$15,IF(B17&lt;=Hypothèses!$C$16,Hypothèses!$F$16,IF(B17&lt;=Hypothèses!$C$17,Hypothèses!$F$17,IF(B17&lt;=Hypothèses!$C$18,Hypothèses!$F$18,F16))))))))))))</f>
        <v/>
      </c>
      <c r="G17" s="91">
        <f t="array" ref="G17">INDEX('Coeff EC7'!$U$7:$X$27,
MATCH(Model0.1C!$B$3,'Coeff EC7'!$T$7:$T$27,0),
MATCH(Model0.1C!$D17&amp;Model0.1C!$B$4,
'Coeff EC7'!$U$6:$X$6&amp;
'Coeff EC7'!$U$5:$X$5,0))</f>
        <v>1.1499999999999999</v>
      </c>
      <c r="H17" s="91">
        <f t="array" ref="H17">INDEX('Coeff EC7'!$Y$7:$AB$27,
MATCH(Model0.1C!$B$3,'Coeff EC7'!$T$7:$T$27,0),
MATCH(Model0.1C!$D17&amp;Model0.1C!$B$4,
'Coeff EC7'!$Y$6:$AB$6&amp;
'Coeff EC7'!$Y$5:$AB$5,0))</f>
        <v>1.4</v>
      </c>
      <c r="I17" s="83" t="e">
        <f>IF(B17&lt;=Hypothèses!$C$7,Hypothèses!$P$7,IF(B17&lt;=Hypothèses!$C$8,Hypothèses!$P$8,IF(B17&lt;=Hypothèses!$C$9,Hypothèses!$P$9,IF(B17&lt;=Hypothèses!$C$10,Hypothèses!$P$10,IF(B17&lt;=Hypothèses!$C$11,Hypothèses!$P$11,IF(B17&lt;=Hypothèses!$C$12,Hypothèses!$P$12,IF(B17&lt;=Hypothèses!$C$13,Hypothèses!$P$13,IF(B17&lt;=Hypothèses!$C$14,Hypothèses!$P$14,IF(B17&lt;=Hypothèses!$C$15,Hypothèses!$P$15,IF(B17&lt;=Hypothèses!$C$16,Hypothèses!$P$16,IF(B17&lt;=Hypothèses!$C$17,Hypothèses!$P$17,IF(B17&lt;=Hypothèses!$C$18,Hypothèses!$P$18,I16))))))))))))</f>
        <v>#N/A</v>
      </c>
      <c r="J17" s="91" t="e">
        <f t="array" ref="J17">INDEX('Coeff EC7'!$D$33:$Q$33,1,MATCH(D17&amp;E17,'Coeff EC7'!$D$31:$Q$31&amp;'Coeff EC7'!$D$32:$Q$32,0))</f>
        <v>#N/A</v>
      </c>
      <c r="K17" s="91" t="e">
        <f t="array" ref="K17">INDEX('Coeff EC7'!$D$34:$Q$34,1,MATCH(D17&amp;E17,'Coeff EC7'!$D$31:$Q$31&amp;'Coeff EC7'!$D$32:$Q$32,0))</f>
        <v>#N/A</v>
      </c>
      <c r="L17" s="91" t="e">
        <f t="array" ref="L17">INDEX('Coeff EC7'!$D$35:$Q$35,1,MATCH(D17&amp;E17,'Coeff EC7'!$D$31:$Q$31&amp;'Coeff EC7'!$D$32:$Q$32,0))</f>
        <v>#N/A</v>
      </c>
      <c r="M17" s="98" t="e">
        <f t="shared" si="8"/>
        <v>#N/A</v>
      </c>
      <c r="N17" s="99" t="e">
        <f t="array" ref="N17">INDEX('Coeff EC7'!$D$7:$Q$27,MATCH($B$3,'Coeff EC7'!$C$7:$C$27,0),MATCH(D17&amp;E17,'Coeff EC7'!$D$5:$Q$5&amp;'Coeff EC7'!$D$6:$Q$6,0))</f>
        <v>#N/A</v>
      </c>
      <c r="O17" s="99" t="e">
        <f t="array" ref="O17">INDEX('Coeff EC7'!$D$41:$Q$61,MATCH($B$3,'Coeff EC7'!$C$41:$C$61,0),MATCH(D17&amp;E17,'Coeff EC7'!$D$39:$Q$39&amp;'Coeff EC7'!$D$40:$Q$40,0))</f>
        <v>#N/A</v>
      </c>
      <c r="P17" s="30" t="e">
        <f t="shared" si="68"/>
        <v>#N/A</v>
      </c>
      <c r="Q17" s="100" t="e">
        <f t="shared" si="10"/>
        <v>#N/A</v>
      </c>
      <c r="R17" s="86" t="b">
        <f t="shared" si="11"/>
        <v>0</v>
      </c>
      <c r="S17" s="86">
        <f t="shared" si="9"/>
        <v>0.5</v>
      </c>
      <c r="T17" s="86">
        <f t="shared" si="12"/>
        <v>0.5</v>
      </c>
      <c r="U17" s="30" t="e">
        <f t="shared" ca="1" si="69"/>
        <v>#DIV/0!</v>
      </c>
      <c r="V17" s="85" t="str">
        <f>IF(B17&lt;=Hypothèses!$V$7,Hypothèses!$W$7,IF(B17&lt;=Hypothèses!$V$8,Hypothèses!$W$8,IF(B17&lt;=Hypothèses!$V$9,Hypothèses!$W$9,IF(B17&lt;=Hypothèses!$V$10,Hypothèses!$W$10,IF(B17&lt;=Hypothèses!$V$11,Hypothèses!$W$11,IF(B17&lt;=Hypothèses!$V$12,Hypothèses!$W$12,IF(B17&lt;=Hypothèses!$V$13,Hypothèses!$W$13,IF(B17&lt;=Hypothèses!$V$14,Hypothèses!$W$14,IF(B17&lt;=Hypothèses!$V$15,Hypothèses!$W$15,IF(B17&lt;=Hypothèses!$V$16,Hypothèses!$W$16,IF(B17&lt;=Hypothèses!$V$17,Hypothèses!$W$17,IF(B17&lt;=Hypothèses!$V$18,Hypothèses!$W$18,""))))))))))))</f>
        <v/>
      </c>
      <c r="W17" s="87" t="e">
        <f t="shared" ref="W17:W80" ca="1" si="116">IF(V17&lt;&gt;"",V17,U17)</f>
        <v>#DIV/0!</v>
      </c>
      <c r="X17" s="88" t="str">
        <f>IF(B17&lt;=Hypothèses!$V$7,Hypothèses!$X$7,IF(B17&lt;=Hypothèses!$V$8,Hypothèses!$X$8,IF(B17&lt;=Hypothèses!$V$9,Hypothèses!$X$9,IF(B17&lt;=Hypothèses!$V$10,Hypothèses!$X$10,IF(B17&lt;=Hypothèses!$V$11,Hypothèses!$X$11,IF(B17&lt;=Hypothèses!$V$12,Hypothèses!$X$12,IF(B17&lt;=Hypothèses!$V$13,Hypothèses!$X$13,IF(B17&lt;=Hypothèses!$V$14,Hypothèses!$X$14,IF(B17&lt;=Hypothèses!$V$15,Hypothèses!$X$15,IF(B17&lt;=Hypothèses!$V$16,Hypothèses!$X$16,IF(B17&lt;=Hypothèses!$U$17,Hypothèses!$W$17,IF(B17&lt;=Hypothèses!$U$18,Hypothèses!$W$18,""))))))))))))</f>
        <v/>
      </c>
      <c r="Y17" s="95" t="e">
        <f t="shared" ca="1" si="13"/>
        <v>#DIV/0!</v>
      </c>
      <c r="Z17" s="101" t="e">
        <f t="shared" si="14"/>
        <v>#N/A</v>
      </c>
      <c r="AA17" s="91" t="e">
        <f t="shared" si="15"/>
        <v>#N/A</v>
      </c>
      <c r="AB17" s="30" t="e">
        <f t="shared" si="100"/>
        <v>#N/A</v>
      </c>
      <c r="AC17" s="30" t="e">
        <f t="shared" si="101"/>
        <v>#N/A</v>
      </c>
      <c r="AD17" s="31" t="e">
        <f>IF(OR(Hypothèses!$B$4=17,Hypothèses!$B$4=18,Hypothèses!$B$4=19,Hypothèses!$B$4=20),
IF($D17="Pressio.",
IF(OR($E17=3,$E17=1,$E17=4),AC17,AB17),
IF($D17="Pénétro.",
IF(OR($E17=3,$E17=1,$E17=4),AC17,AB17))),IF($D17="Pressio.",
IF($E17=3,AC17,AB17),
IF($D17="Pénétro.",
IF($E17=4,AC17,AB17))))</f>
        <v>#N/A</v>
      </c>
      <c r="AE17" s="31" t="e">
        <f>(IF(OR(Hypothèses!$B$4=17,Hypothèses!$B$4=18,Hypothèses!$B$4=19,Hypothèses!$B$4=20),
IF($D17="Pressio.",
IF(OR($E17=3,$E17=1,$E17=4),(PI()*AE$12^2)/4*(AA17*$W17*1000)/($H17*$B$5),(PI()*AE$12^2)/4*(AA17*$W17*1000)/($G17*$B$5)),
IF($D17="Pénétro.",
IF(OR($E17=4,$E17=1,$E17=5),(PI()*AE$12^2)/4*(AA17*$W17*1000)/($H17*$B$5),(PI()*AE$12^2)/4*(AA17*$W17*1000)/($G17*$B$5)))),
IF($D17="Pressio.",
IF($E17=3,(PI()*AE$12^2)/4*(AA17*$W17*1000)/($H17*$B$5),(PI()*AE$12^2)/4*(AA17*$W17*1000)/($G17*$B$5)),
IF($D17="Pénétro.",
IF($E17=4,(PI()*AE$12^2)/4*(AA17*$W17*1000)/($H17*$B$5),(PI()*AE$12^2)/4*(AA17*$W17*1000)/($G17*$B$5))))))/10</f>
        <v>#N/A</v>
      </c>
      <c r="AF17" s="102" t="e">
        <f>(VLOOKUP($B$3,'Coeff EC7'!$T$39:$X$59,2,0)*AD17+VLOOKUP($B$3,'Coeff EC7'!$T$65:$X$85,2,0)*Model0.1C!AE17)/1.1</f>
        <v>#N/A</v>
      </c>
      <c r="AG17" s="102" t="e">
        <f>(VLOOKUP($B$3,'Coeff EC7'!$T$39:$X$59,3,0)*AD17+VLOOKUP($B$3,'Coeff EC7'!$T$65:$X$85,3,0)*Model0.1C!AE17)/0.9</f>
        <v>#N/A</v>
      </c>
      <c r="AH17" s="102" t="e">
        <f t="shared" si="18"/>
        <v>#N/A</v>
      </c>
      <c r="AI17" s="102" t="e">
        <f t="shared" si="19"/>
        <v>#N/A</v>
      </c>
      <c r="AJ17" s="414" t="e">
        <f>IF(AJ16=0,0,IF(AND(AF17&gt;charge_ELS_quasi,AG17&gt;Charge_ELS_freq,AH17&gt;charge_ELU,AI17&gt;charge_ELA,$B17&gt;NDC!$H$22-0.1+MIN(3*$AJ$12,1.5)),0,1))</f>
        <v>#N/A</v>
      </c>
      <c r="AK17" s="86" t="b">
        <f t="shared" si="20"/>
        <v>0</v>
      </c>
      <c r="AL17" s="86">
        <f t="shared" si="70"/>
        <v>0.5</v>
      </c>
      <c r="AM17" s="86">
        <f t="shared" si="21"/>
        <v>0.5</v>
      </c>
      <c r="AN17" s="30" t="e">
        <f t="shared" ca="1" si="71"/>
        <v>#DIV/0!</v>
      </c>
      <c r="AO17" s="85" t="e">
        <f ca="1">IF(U17&lt;=Hypothèses!$V$7,Hypothèses!$W$7,IF(U17&lt;=Hypothèses!$V$8,Hypothèses!$W$8,IF(U17&lt;=Hypothèses!$V$9,Hypothèses!$W$9,IF(U17&lt;=Hypothèses!$V$10,Hypothèses!$W$10,IF(U17&lt;=Hypothèses!$V$11,Hypothèses!$W$11,IF(U17&lt;=Hypothèses!$V$12,Hypothèses!$W$12,IF(U17&lt;=Hypothèses!$V$13,Hypothèses!$W$13,IF(U17&lt;=Hypothèses!$V$14,Hypothèses!$W$14,IF(U17&lt;=Hypothèses!$V$15,Hypothèses!$W$15,IF(U17&lt;=Hypothèses!$V$16,Hypothèses!$W$16,IF(U17&lt;=Hypothèses!$V$17,Hypothèses!$W$17,IF(U17&lt;=Hypothèses!$V$18,Hypothèses!$W$18,""))))))))))))</f>
        <v>#DIV/0!</v>
      </c>
      <c r="AP17" s="87" t="e">
        <f t="shared" ref="AP17:AP80" ca="1" si="117">IF(AO17&lt;&gt;"",AO17,AN17)</f>
        <v>#DIV/0!</v>
      </c>
      <c r="AQ17" s="88" t="e">
        <f ca="1">IF(U17&lt;=Hypothèses!$V$7,Hypothèses!$X$7,IF(U17&lt;=Hypothèses!$V$8,Hypothèses!$X$8,IF(U17&lt;=Hypothèses!$V$9,Hypothèses!$X$9,IF(U17&lt;=Hypothèses!$V$10,Hypothèses!$X$10,IF(U17&lt;=Hypothèses!$V$11,Hypothèses!$X$11,IF(U17&lt;=Hypothèses!$V$12,Hypothèses!$X$12,IF(U17&lt;=Hypothèses!$V$13,Hypothèses!$X$13,IF(U17&lt;=Hypothèses!$V$14,Hypothèses!$X$14,IF(U17&lt;=Hypothèses!$V$15,Hypothèses!$X$15,IF(U17&lt;=Hypothèses!$V$16,Hypothèses!$X$16,IF(U17&lt;=Hypothèses!$U$17,Hypothèses!$W$17,IF(U17&lt;=Hypothèses!$U$18,Hypothèses!$W$18,""))))))))))))</f>
        <v>#DIV/0!</v>
      </c>
      <c r="AR17" s="95" t="e">
        <f t="shared" ca="1" si="72"/>
        <v>#DIV/0!</v>
      </c>
      <c r="AS17" s="101" t="e">
        <f>IF($I17=0,0,
IF(AR17&gt;5*AW$12,$I17,
IF($D17="Pressio.",1+($I17-1)*(AR17/AW$12)/5,
IF($D17="Pénétro.",IF($E17=1,0.3+($I17-0.3)*(AR17/AW$12)/5,
IF($E17=2,0.2+($I17-0.2)*(AR17/AW$12)/5,
IF($E17=3,0.1+($I17-0.1)*(AR17/AW$12)/5,
0.15+($I17-0.15)*(AR17/AW$12)/5)))))))</f>
        <v>#N/A</v>
      </c>
      <c r="AT17" s="91" t="e">
        <f t="shared" si="23"/>
        <v>#N/A</v>
      </c>
      <c r="AU17" s="30" t="e">
        <f t="shared" si="102"/>
        <v>#N/A</v>
      </c>
      <c r="AV17" s="30" t="e">
        <f t="shared" si="103"/>
        <v>#N/A</v>
      </c>
      <c r="AW17" s="31" t="e">
        <f>IF(OR(Hypothèses!$B$4=17,Hypothèses!$B$4=18,Hypothèses!$B$4=19,Hypothèses!$B$4=20),
IF($D17="Pressio.",
IF(OR($E17=3,$E17=1,$E17=4),AV17,AU17),
IF($D17="Pénétro.",
IF(OR($E17=3,$E17=1,$E17=4),AV17,AU17))),IF($D17="Pressio.",
IF($E17=3,AV17,AU17),
IF($D17="Pénétro.",
IF($E17=4,AV17,AU17))))</f>
        <v>#N/A</v>
      </c>
      <c r="AX17" s="31" t="e">
        <f>(IF(OR(Hypothèses!$B$4=17,Hypothèses!$B$4=18,Hypothèses!$B$4=19,Hypothèses!$B$4=20),
IF($D17="Pressio.",
IF(OR($E17=3,$E17=1,$E17=4),(PI()*AX$12^2)/4*(AT17*$W17*1000)/($H17*$B$5),(PI()*AX$12^2)/4*(AT17*$W17*1000)/($G17*$B$5)),
IF($D17="Pénétro.",
IF(OR($E17=4,$E17=1,$E17=5),(PI()*AX$12^2)/4*(AT17*$W17*1000)/($H17*$B$5),(PI()*AX$12^2)/4*(AT17*$W17*1000)/($G17*$B$5)))),
IF($D17="Pressio.",
IF($E17=3,(PI()*AX$12^2)/4*(AT17*$W17*1000)/($H17*$B$5),(PI()*AX$12^2)/4*(AT17*$W17*1000)/($G17*$B$5)),
IF($D17="Pénétro.",
IF($E17=4,(PI()*AX$12^2)/4*(AT17*$W17*1000)/($H17*$B$5),(PI()*AX$12^2)/4*(AT17*$W17*1000)/($G17*$B$5))))))/10</f>
        <v>#N/A</v>
      </c>
      <c r="AY17" s="102" t="e">
        <f>(VLOOKUP($B$3,'Coeff EC7'!$T$39:$X$59,2,0)*AW17+VLOOKUP($B$3,'Coeff EC7'!$T$65:$X$85,2,0)*Model0.1C!AX17)/1.1</f>
        <v>#N/A</v>
      </c>
      <c r="AZ17" s="102" t="e">
        <f>(VLOOKUP($B$3,'Coeff EC7'!$T$39:$X$59,3,0)*AW17+VLOOKUP($B$3,'Coeff EC7'!$T$65:$X$85,3,0)*Model0.1C!AX17)/0.9</f>
        <v>#N/A</v>
      </c>
      <c r="BA17" s="102" t="e">
        <f t="shared" si="73"/>
        <v>#N/A</v>
      </c>
      <c r="BB17" s="102" t="e">
        <f t="shared" si="74"/>
        <v>#N/A</v>
      </c>
      <c r="BC17" s="414" t="e">
        <f>IF(BC16=0,0,IF(AND(AY17&gt;charge_ELS_quasi,AZ17&gt;Charge_ELS_freq,BA17&gt;charge_ELU,BB17&gt;charge_ELA,$B17&gt;NDC!$H$22-0.1+MIN(3*$BC$12,1.5)),0,1))</f>
        <v>#N/A</v>
      </c>
      <c r="BD17" s="86" t="b">
        <f t="shared" si="26"/>
        <v>0</v>
      </c>
      <c r="BE17" s="86">
        <f t="shared" si="75"/>
        <v>0.5</v>
      </c>
      <c r="BF17" s="86">
        <f t="shared" si="27"/>
        <v>0.5</v>
      </c>
      <c r="BG17" s="30" t="e">
        <f t="shared" ca="1" si="76"/>
        <v>#DIV/0!</v>
      </c>
      <c r="BH17" s="85" t="e">
        <f ca="1">IF(AN17&lt;=Hypothèses!$V$7,Hypothèses!$W$7,IF(AN17&lt;=Hypothèses!$V$8,Hypothèses!$W$8,IF(AN17&lt;=Hypothèses!$V$9,Hypothèses!$W$9,IF(AN17&lt;=Hypothèses!$V$10,Hypothèses!$W$10,IF(AN17&lt;=Hypothèses!$V$11,Hypothèses!$W$11,IF(AN17&lt;=Hypothèses!$V$12,Hypothèses!$W$12,IF(AN17&lt;=Hypothèses!$V$13,Hypothèses!$W$13,IF(AN17&lt;=Hypothèses!$V$14,Hypothèses!$W$14,IF(AN17&lt;=Hypothèses!$V$15,Hypothèses!$W$15,IF(AN17&lt;=Hypothèses!$V$16,Hypothèses!$W$16,IF(AN17&lt;=Hypothèses!$V$17,Hypothèses!$W$17,IF(AN17&lt;=Hypothèses!$V$18,Hypothèses!$W$18,""))))))))))))</f>
        <v>#DIV/0!</v>
      </c>
      <c r="BI17" s="87" t="e">
        <f t="shared" ref="BI17:BI80" ca="1" si="118">IF(BH17&lt;&gt;"",BH17,BG17)</f>
        <v>#DIV/0!</v>
      </c>
      <c r="BJ17" s="88" t="e">
        <f ca="1">IF(AN17&lt;=Hypothèses!$V$7,Hypothèses!$X$7,IF(AN17&lt;=Hypothèses!$V$8,Hypothèses!$X$8,IF(AN17&lt;=Hypothèses!$V$9,Hypothèses!$X$9,IF(AN17&lt;=Hypothèses!$V$10,Hypothèses!$X$10,IF(AN17&lt;=Hypothèses!$V$11,Hypothèses!$X$11,IF(AN17&lt;=Hypothèses!$V$12,Hypothèses!$X$12,IF(AN17&lt;=Hypothèses!$V$13,Hypothèses!$X$13,IF(AN17&lt;=Hypothèses!$V$14,Hypothèses!$X$14,IF(AN17&lt;=Hypothèses!$V$15,Hypothèses!$X$15,IF(AN17&lt;=Hypothèses!$V$16,Hypothèses!$X$16,IF(AN17&lt;=Hypothèses!$U$17,Hypothèses!$W$17,IF(AN17&lt;=Hypothèses!$U$18,Hypothèses!$W$18,""))))))))))))</f>
        <v>#DIV/0!</v>
      </c>
      <c r="BK17" s="95" t="e">
        <f t="shared" ca="1" si="77"/>
        <v>#DIV/0!</v>
      </c>
      <c r="BL17" s="101" t="e">
        <f>IF($I17=0,0,
IF(BK17&gt;5*BP$12,$I17,
IF($D17="Pressio.",1+($I17-1)*(BK17/BP$12)/5,
IF($D17="Pénétro.",IF($E17=1,0.3+($I17-0.3)*(BK17/BP$12)/5,
IF($E17=2,0.2+($I17-0.2)*(BK17/BP$12)/5,
IF($E17=3,0.1+($I17-0.1)*(BK17/BP$12)/5,
0.15+($I17-0.15)*(BK17/BP$12)/5)))))))</f>
        <v>#N/A</v>
      </c>
      <c r="BM17" s="91" t="e">
        <f t="shared" si="29"/>
        <v>#N/A</v>
      </c>
      <c r="BN17" s="30" t="e">
        <f t="shared" si="104"/>
        <v>#N/A</v>
      </c>
      <c r="BO17" s="30" t="e">
        <f t="shared" si="105"/>
        <v>#N/A</v>
      </c>
      <c r="BP17" s="31" t="e">
        <f>IF(OR(Hypothèses!$B$4=17,Hypothèses!$B$4=18,Hypothèses!$B$4=19,Hypothèses!$B$4=20),
IF($D17="Pressio.",
IF(OR($E17=3,$E17=1,$E17=4),BO17,BN17),
IF($D17="Pénétro.",
IF(OR($E17=3,$E17=1,$E17=4),BO17,BN17))),IF($D17="Pressio.",
IF($E17=3,BO17,BN17),
IF($D17="Pénétro.",
IF($E17=4,BO17,BN17))))</f>
        <v>#N/A</v>
      </c>
      <c r="BQ17" s="31" t="e">
        <f>(IF(OR(Hypothèses!$B$4=17,Hypothèses!$B$4=18,Hypothèses!$B$4=19,Hypothèses!$B$4=20),
IF($D17="Pressio.",
IF(OR($E17=3,$E17=1,$E17=4),(PI()*BQ$12^2)/4*(BM17*$W17*1000)/($H17*$B$5),(PI()*BQ$12^2)/4*(BM17*$W17*1000)/($G17*$B$5)),
IF($D17="Pénétro.",
IF(OR($E17=4,$E17=1,$E17=5),(PI()*BQ$12^2)/4*(BM17*$W17*1000)/($H17*$B$5),(PI()*BQ$12^2)/4*(BM17*$W17*1000)/($G17*$B$5)))),
IF($D17="Pressio.",
IF($E17=3,(PI()*BQ$12^2)/4*(BM17*$W17*1000)/($H17*$B$5),(PI()*BQ$12^2)/4*(BM17*$W17*1000)/($G17*$B$5)),
IF($D17="Pénétro.",
IF($E17=4,(PI()*BQ$12^2)/4*(BM17*$W17*1000)/($H17*$B$5),(PI()*BQ$12^2)/4*(BM17*$W17*1000)/($G17*$B$5))))))/10</f>
        <v>#N/A</v>
      </c>
      <c r="BR17" s="102" t="e">
        <f>(VLOOKUP($B$3,'Coeff EC7'!$T$39:$X$59,2,0)*BP17+VLOOKUP($B$3,'Coeff EC7'!$T$65:$X$85,2,0)*Model0.1C!BQ17)/1.1</f>
        <v>#N/A</v>
      </c>
      <c r="BS17" s="102" t="e">
        <f>(VLOOKUP($B$3,'Coeff EC7'!$T$39:$X$59,3,0)*BP17+VLOOKUP($B$3,'Coeff EC7'!$T$65:$X$85,3,0)*Model0.1C!BQ17)/0.9</f>
        <v>#N/A</v>
      </c>
      <c r="BT17" s="102" t="e">
        <f t="shared" si="78"/>
        <v>#N/A</v>
      </c>
      <c r="BU17" s="102" t="e">
        <f t="shared" si="79"/>
        <v>#N/A</v>
      </c>
      <c r="BV17" s="414" t="e">
        <f>IF(BV16=0,0,IF(AND(BR17&gt;charge_ELS_quasi,BS17&gt;Charge_ELS_freq,BT17&gt;charge_ELU,BU17&gt;charge_ELA,$B17&gt;NDC!$H$22-0.1+MIN(3*$BV$12,1.5)),0,1))</f>
        <v>#N/A</v>
      </c>
      <c r="BW17" s="86" t="b">
        <f t="shared" si="32"/>
        <v>0</v>
      </c>
      <c r="BX17" s="86">
        <f t="shared" si="33"/>
        <v>0.5</v>
      </c>
      <c r="BY17" s="86">
        <f t="shared" si="34"/>
        <v>0.5</v>
      </c>
      <c r="BZ17" s="30" t="e">
        <f t="shared" ca="1" si="80"/>
        <v>#DIV/0!</v>
      </c>
      <c r="CA17" s="85" t="e">
        <f ca="1">IF(BG17&lt;=Hypothèses!$V$7,Hypothèses!$W$7,IF(BG17&lt;=Hypothèses!$V$8,Hypothèses!$W$8,IF(BG17&lt;=Hypothèses!$V$9,Hypothèses!$W$9,IF(BG17&lt;=Hypothèses!$V$10,Hypothèses!$W$10,IF(BG17&lt;=Hypothèses!$V$11,Hypothèses!$W$11,IF(BG17&lt;=Hypothèses!$V$12,Hypothèses!$W$12,IF(BG17&lt;=Hypothèses!$V$13,Hypothèses!$W$13,IF(BG17&lt;=Hypothèses!$V$14,Hypothèses!$W$14,IF(BG17&lt;=Hypothèses!$V$15,Hypothèses!$W$15,IF(BG17&lt;=Hypothèses!$V$16,Hypothèses!$W$16,IF(BG17&lt;=Hypothèses!$V$17,Hypothèses!$W$17,IF(BG17&lt;=Hypothèses!$V$18,Hypothèses!$W$18,""))))))))))))</f>
        <v>#DIV/0!</v>
      </c>
      <c r="CB17" s="87" t="e">
        <f t="shared" ref="CB17:CB80" ca="1" si="119">IF(CA17&lt;&gt;"",CA17,BZ17)</f>
        <v>#DIV/0!</v>
      </c>
      <c r="CC17" s="88" t="e">
        <f ca="1">IF(BG17&lt;=Hypothèses!$V$7,Hypothèses!$X$7,IF(BG17&lt;=Hypothèses!$V$8,Hypothèses!$X$8,IF(BG17&lt;=Hypothèses!$V$9,Hypothèses!$X$9,IF(BG17&lt;=Hypothèses!$V$10,Hypothèses!$X$10,IF(BG17&lt;=Hypothèses!$V$11,Hypothèses!$X$11,IF(BG17&lt;=Hypothèses!$V$12,Hypothèses!$X$12,IF(BG17&lt;=Hypothèses!$V$13,Hypothèses!$X$13,IF(BG17&lt;=Hypothèses!$V$14,Hypothèses!$X$14,IF(BG17&lt;=Hypothèses!$V$15,Hypothèses!$X$15,IF(BG17&lt;=Hypothèses!$V$16,Hypothèses!$X$16,IF(BG17&lt;=Hypothèses!$U$17,Hypothèses!$W$17,IF(BG17&lt;=Hypothèses!$U$18,Hypothèses!$W$18,""))))))))))))</f>
        <v>#DIV/0!</v>
      </c>
      <c r="CD17" s="95" t="e">
        <f t="shared" ca="1" si="81"/>
        <v>#DIV/0!</v>
      </c>
      <c r="CE17" s="101" t="e">
        <f>IF($I17=0,0,
IF(CD17&gt;5*CI$12,$I17,
IF($D17="Pressio.",1+($I17-1)*(CD17/CI$12)/5,
IF($D17="Pénétro.",IF($E17=1,0.3+($I17-0.3)*(CD17/CI$12)/5,
IF($E17=2,0.2+($I17-0.2)*(CD17/CI$12)/5,
IF($E17=3,0.1+($I17-0.1)*(CD17/CI$12)/5,
0.15+($I17-0.15)*(CD17/CI$12)/5)))))))</f>
        <v>#N/A</v>
      </c>
      <c r="CF17" s="91" t="e">
        <f t="shared" si="36"/>
        <v>#N/A</v>
      </c>
      <c r="CG17" s="30" t="e">
        <f t="shared" si="106"/>
        <v>#N/A</v>
      </c>
      <c r="CH17" s="30" t="e">
        <f t="shared" si="107"/>
        <v>#N/A</v>
      </c>
      <c r="CI17" s="31" t="e">
        <f>IF(OR(Hypothèses!$B$4=17,Hypothèses!$B$4=18,Hypothèses!$B$4=19,Hypothèses!$B$4=20),
IF($D17="Pressio.",
IF(OR($E17=3,$E17=1,$E17=4),CH17,CG17),
IF($D17="Pénétro.",
IF(OR($E17=3,$E17=1,$E17=4),CH17,CG17))),IF($D17="Pressio.",
IF($E17=3,CH17,CG17),
IF($D17="Pénétro.",
IF($E17=4,CH17,CG17))))</f>
        <v>#N/A</v>
      </c>
      <c r="CJ17" s="31" t="e">
        <f>(IF(OR(Hypothèses!$B$4=17,Hypothèses!$B$4=18,Hypothèses!$B$4=19,Hypothèses!$B$4=20),
IF($D17="Pressio.",
IF(OR($E17=3,$E17=1,$E17=4),(PI()*CJ$12^2)/4*(CF17*$W17*1000)/($H17*$B$5),(PI()*CJ$12^2)/4*(CF17*$W17*1000)/($G17*$B$5)),
IF($D17="Pénétro.",
IF(OR($E17=4,$E17=1,$E17=5),(PI()*CJ$12^2)/4*(CF17*$W17*1000)/($H17*$B$5),(PI()*CJ$12^2)/4*(CF17*$W17*1000)/($G17*$B$5)))),
IF($D17="Pressio.",
IF($E17=3,(PI()*CJ$12^2)/4*(CF17*$W17*1000)/($H17*$B$5),(PI()*CJ$12^2)/4*(CF17*$W17*1000)/($G17*$B$5)),
IF($D17="Pénétro.",
IF($E17=4,(PI()*CJ$12^2)/4*(CF17*$W17*1000)/($H17*$B$5),(PI()*CJ$12^2)/4*(CF17*$W17*1000)/($G17*$B$5))))))/10</f>
        <v>#N/A</v>
      </c>
      <c r="CK17" s="102" t="e">
        <f>(VLOOKUP($B$3,'Coeff EC7'!$T$39:$X$59,2,0)*CI17+VLOOKUP($B$3,'Coeff EC7'!$T$65:$X$85,2,0)*Model0.1C!CJ17)/1.1</f>
        <v>#N/A</v>
      </c>
      <c r="CL17" s="102" t="e">
        <f>(VLOOKUP($B$3,'Coeff EC7'!$T$39:$X$59,3,0)*CI17+VLOOKUP($B$3,'Coeff EC7'!$T$65:$X$85,3,0)*Model0.1C!CJ17)/0.9</f>
        <v>#N/A</v>
      </c>
      <c r="CM17" s="102" t="e">
        <f t="shared" si="82"/>
        <v>#N/A</v>
      </c>
      <c r="CN17" s="102" t="e">
        <f t="shared" si="83"/>
        <v>#N/A</v>
      </c>
      <c r="CO17" s="414" t="e">
        <f>IF(CO16=0,0,IF(AND(CK17&gt;charge_ELS_quasi,CL17&gt;Charge_ELS_freq,CM17&gt;charge_ELU,CN17&gt;charge_ELA,$B17&gt;NDC!$H$22-0.1+MIN(3*$CO$12,1.5)),0,1))</f>
        <v>#N/A</v>
      </c>
      <c r="CP17" s="86" t="b">
        <f t="shared" si="39"/>
        <v>0</v>
      </c>
      <c r="CQ17" s="86">
        <f t="shared" si="40"/>
        <v>0.5</v>
      </c>
      <c r="CR17" s="86">
        <f t="shared" si="41"/>
        <v>0.5</v>
      </c>
      <c r="CS17" s="30" t="e">
        <f t="shared" ca="1" si="84"/>
        <v>#DIV/0!</v>
      </c>
      <c r="CT17" s="85" t="e">
        <f ca="1">IF(BZ17&lt;=Hypothèses!$V$7,Hypothèses!$W$7,IF(BZ17&lt;=Hypothèses!$V$8,Hypothèses!$W$8,IF(BZ17&lt;=Hypothèses!$V$9,Hypothèses!$W$9,IF(BZ17&lt;=Hypothèses!$V$10,Hypothèses!$W$10,IF(BZ17&lt;=Hypothèses!$V$11,Hypothèses!$W$11,IF(BZ17&lt;=Hypothèses!$V$12,Hypothèses!$W$12,IF(BZ17&lt;=Hypothèses!$V$13,Hypothèses!$W$13,IF(BZ17&lt;=Hypothèses!$V$14,Hypothèses!$W$14,IF(BZ17&lt;=Hypothèses!$V$15,Hypothèses!$W$15,IF(BZ17&lt;=Hypothèses!$V$16,Hypothèses!$W$16,IF(BZ17&lt;=Hypothèses!$V$17,Hypothèses!$W$17,IF(BZ17&lt;=Hypothèses!$V$18,Hypothèses!$W$18,""))))))))))))</f>
        <v>#DIV/0!</v>
      </c>
      <c r="CU17" s="87" t="e">
        <f t="shared" ref="CU17:CU80" ca="1" si="120">IF(CT17&lt;&gt;"",CT17,CS17)</f>
        <v>#DIV/0!</v>
      </c>
      <c r="CV17" s="88" t="e">
        <f ca="1">IF(BZ17&lt;=Hypothèses!$V$7,Hypothèses!$X$7,IF(BZ17&lt;=Hypothèses!$V$8,Hypothèses!$X$8,IF(BZ17&lt;=Hypothèses!$V$9,Hypothèses!$X$9,IF(BZ17&lt;=Hypothèses!$V$10,Hypothèses!$X$10,IF(BZ17&lt;=Hypothèses!$V$11,Hypothèses!$X$11,IF(BZ17&lt;=Hypothèses!$V$12,Hypothèses!$X$12,IF(BZ17&lt;=Hypothèses!$V$13,Hypothèses!$X$13,IF(BZ17&lt;=Hypothèses!$V$14,Hypothèses!$X$14,IF(BZ17&lt;=Hypothèses!$V$15,Hypothèses!$X$15,IF(BZ17&lt;=Hypothèses!$V$16,Hypothèses!$X$16,IF(BZ17&lt;=Hypothèses!$U$17,Hypothèses!$W$17,IF(BZ17&lt;=Hypothèses!$U$18,Hypothèses!$W$18,""))))))))))))</f>
        <v>#DIV/0!</v>
      </c>
      <c r="CW17" s="95" t="e">
        <f t="shared" ca="1" si="85"/>
        <v>#DIV/0!</v>
      </c>
      <c r="CX17" s="101" t="e">
        <f>IF($I17=0,0,
IF(CW17&gt;5*DB$12,$I17,
IF($D17="Pressio.",1+($I17-1)*(CW17/DB$12)/5,
IF($D17="Pénétro.",IF($E17=1,0.3+($I17-0.3)*(CW17/DB$12)/5,
IF($E17=2,0.2+($I17-0.2)*(CW17/DB$12)/5,
IF($E17=3,0.1+($I17-0.1)*(CW17/DB$12)/5,
0.15+($I17-0.15)*(CW17/DB$12)/5)))))))</f>
        <v>#N/A</v>
      </c>
      <c r="CY17" s="91" t="e">
        <f t="shared" si="43"/>
        <v>#N/A</v>
      </c>
      <c r="CZ17" s="30" t="e">
        <f t="shared" si="108"/>
        <v>#N/A</v>
      </c>
      <c r="DA17" s="30" t="e">
        <f t="shared" si="109"/>
        <v>#N/A</v>
      </c>
      <c r="DB17" s="31" t="e">
        <f>IF(OR(Hypothèses!$B$4=17,Hypothèses!$B$4=18,Hypothèses!$B$4=19,Hypothèses!$B$4=20),
IF($D17="Pressio.",
IF(OR($E17=3,$E17=1,$E17=4),DA17,CZ17),
IF($D17="Pénétro.",
IF(OR($E17=3,$E17=1,$E17=4),DA17,CZ17))),IF($D17="Pressio.",
IF($E17=3,DA17,CZ17),
IF($D17="Pénétro.",
IF($E17=4,DA17,CZ17))))</f>
        <v>#N/A</v>
      </c>
      <c r="DC17" s="31" t="e">
        <f>(IF(OR(Hypothèses!$B$4=17,Hypothèses!$B$4=18,Hypothèses!$B$4=19,Hypothèses!$B$4=20),
IF($D17="Pressio.",
IF(OR($E17=3,$E17=1,$E17=4),(PI()*DC$12^2)/4*(CY17*$W17*1000)/($H17*$B$5),(PI()*DC$12^2)/4*(CY17*$W17*1000)/($G17*$B$5)),
IF($D17="Pénétro.",
IF(OR($E17=4,$E17=1,$E17=5),(PI()*DC$12^2)/4*(CY17*$W17*1000)/($H17*$B$5),(PI()*DC$12^2)/4*(CY17*$W17*1000)/($G17*$B$5)))),
IF($D17="Pressio.",
IF($E17=3,(PI()*DC$12^2)/4*(CY17*$W17*1000)/($H17*$B$5),(PI()*DC$12^2)/4*(CY17*$W17*1000)/($G17*$B$5)),
IF($D17="Pénétro.",
IF($E17=4,(PI()*DC$12^2)/4*(CY17*$W17*1000)/($H17*$B$5),(PI()*DC$12^2)/4*(CY17*$W17*1000)/($G17*$B$5))))))/10</f>
        <v>#N/A</v>
      </c>
      <c r="DD17" s="102" t="e">
        <f>(VLOOKUP($B$3,'Coeff EC7'!$T$39:$X$59,2,0)*DB17+VLOOKUP($B$3,'Coeff EC7'!$T$65:$X$85,2,0)*Model0.1C!DC17)/1.1</f>
        <v>#N/A</v>
      </c>
      <c r="DE17" s="102" t="e">
        <f>(VLOOKUP($B$3,'Coeff EC7'!$T$39:$X$59,3,0)*DB17+VLOOKUP($B$3,'Coeff EC7'!$T$65:$X$85,3,0)*Model0.1C!DC17)/0.9</f>
        <v>#N/A</v>
      </c>
      <c r="DF17" s="102" t="e">
        <f t="shared" si="86"/>
        <v>#N/A</v>
      </c>
      <c r="DG17" s="102" t="e">
        <f t="shared" si="87"/>
        <v>#N/A</v>
      </c>
      <c r="DH17" s="414" t="e">
        <f>IF(DH16=0,0,IF(AND(DD17&gt;charge_ELS_quasi,DE17&gt;Charge_ELS_freq,DF17&gt;charge_ELU,DG17&gt;charge_ELA,$B17&gt;NDC!$H$22-0.1+MIN(3*$DH$12,1.5)),0,1))</f>
        <v>#N/A</v>
      </c>
      <c r="DI17" s="86" t="b">
        <f t="shared" si="46"/>
        <v>0</v>
      </c>
      <c r="DJ17" s="86">
        <f t="shared" si="47"/>
        <v>0.5</v>
      </c>
      <c r="DK17" s="86">
        <f t="shared" si="48"/>
        <v>0.5</v>
      </c>
      <c r="DL17" s="30" t="e">
        <f t="shared" ca="1" si="88"/>
        <v>#DIV/0!</v>
      </c>
      <c r="DM17" s="85" t="e">
        <f ca="1">IF(CS17&lt;=Hypothèses!$V$7,Hypothèses!$W$7,IF(CS17&lt;=Hypothèses!$V$8,Hypothèses!$W$8,IF(CS17&lt;=Hypothèses!$V$9,Hypothèses!$W$9,IF(CS17&lt;=Hypothèses!$V$10,Hypothèses!$W$10,IF(CS17&lt;=Hypothèses!$V$11,Hypothèses!$W$11,IF(CS17&lt;=Hypothèses!$V$12,Hypothèses!$W$12,IF(CS17&lt;=Hypothèses!$V$13,Hypothèses!$W$13,IF(CS17&lt;=Hypothèses!$V$14,Hypothèses!$W$14,IF(CS17&lt;=Hypothèses!$V$15,Hypothèses!$W$15,IF(CS17&lt;=Hypothèses!$V$16,Hypothèses!$W$16,IF(CS17&lt;=Hypothèses!$V$17,Hypothèses!$W$17,IF(CS17&lt;=Hypothèses!$V$18,Hypothèses!$W$18,""))))))))))))</f>
        <v>#DIV/0!</v>
      </c>
      <c r="DN17" s="87" t="e">
        <f t="shared" ref="DN17:DN80" ca="1" si="121">IF(DM17&lt;&gt;"",DM17,DL17)</f>
        <v>#DIV/0!</v>
      </c>
      <c r="DO17" s="88" t="e">
        <f ca="1">IF(CS17&lt;=Hypothèses!$V$7,Hypothèses!$X$7,IF(CS17&lt;=Hypothèses!$V$8,Hypothèses!$X$8,IF(CS17&lt;=Hypothèses!$V$9,Hypothèses!$X$9,IF(CS17&lt;=Hypothèses!$V$10,Hypothèses!$X$10,IF(CS17&lt;=Hypothèses!$V$11,Hypothèses!$X$11,IF(CS17&lt;=Hypothèses!$V$12,Hypothèses!$X$12,IF(CS17&lt;=Hypothèses!$V$13,Hypothèses!$X$13,IF(CS17&lt;=Hypothèses!$V$14,Hypothèses!$X$14,IF(CS17&lt;=Hypothèses!$V$15,Hypothèses!$X$15,IF(CS17&lt;=Hypothèses!$V$16,Hypothèses!$X$16,IF(CS17&lt;=Hypothèses!$U$17,Hypothèses!$W$17,IF(CS17&lt;=Hypothèses!$U$18,Hypothèses!$W$18,""))))))))))))</f>
        <v>#DIV/0!</v>
      </c>
      <c r="DP17" s="95" t="e">
        <f t="shared" ca="1" si="89"/>
        <v>#DIV/0!</v>
      </c>
      <c r="DQ17" s="101" t="e">
        <f>IF($I17=0,0,
IF(DP17&gt;5*DU$12,$I17,
IF($D17="Pressio.",1+($I17-1)*(DP17/DU$12)/5,
IF($D17="Pénétro.",IF($E17=1,0.3+($I17-0.3)*(DP17/DU$12)/5,
IF($E17=2,0.2+($I17-0.2)*(DP17/DU$12)/5,
IF($E17=3,0.1+($I17-0.1)*(DP17/DU$12)/5,
0.15+($I17-0.15)*(DP17/DU$12)/5)))))))</f>
        <v>#N/A</v>
      </c>
      <c r="DR17" s="91" t="e">
        <f t="shared" si="50"/>
        <v>#N/A</v>
      </c>
      <c r="DS17" s="30" t="e">
        <f t="shared" si="110"/>
        <v>#N/A</v>
      </c>
      <c r="DT17" s="30" t="e">
        <f t="shared" si="111"/>
        <v>#N/A</v>
      </c>
      <c r="DU17" s="31" t="e">
        <f>IF(OR(Hypothèses!$B$4=17,Hypothèses!$B$4=18,Hypothèses!$B$4=19,Hypothèses!$B$4=20),
IF($D17="Pressio.",
IF(OR($E17=3,$E17=1,$E17=4),DT17,DS17),
IF($D17="Pénétro.",
IF(OR($E17=3,$E17=1,$E17=4),DT17,DS17))),IF($D17="Pressio.",
IF($E17=3,DT17,DS17),
IF($D17="Pénétro.",
IF($E17=4,DT17,DS17))))</f>
        <v>#N/A</v>
      </c>
      <c r="DV17" s="31" t="e">
        <f>(IF(OR(Hypothèses!$B$4=17,Hypothèses!$B$4=18,Hypothèses!$B$4=19,Hypothèses!$B$4=20),
IF($D17="Pressio.",
IF(OR($E17=3,$E17=1,$E17=4),(PI()*DV$12^2)/4*(DR17*$W17*1000)/($H17*$B$5),(PI()*DV$12^2)/4*(DR17*$W17*1000)/($G17*$B$5)),
IF($D17="Pénétro.",
IF(OR($E17=4,$E17=1,$E17=5),(PI()*DV$12^2)/4*(DR17*$W17*1000)/($H17*$B$5),(PI()*DV$12^2)/4*(DR17*$W17*1000)/($G17*$B$5)))),
IF($D17="Pressio.",
IF($E17=3,(PI()*DV$12^2)/4*(DR17*$W17*1000)/($H17*$B$5),(PI()*DV$12^2)/4*(DR17*$W17*1000)/($G17*$B$5)),
IF($D17="Pénétro.",
IF($E17=4,(PI()*DV$12^2)/4*(DR17*$W17*1000)/($H17*$B$5),(PI()*DV$12^2)/4*(DR17*$W17*1000)/($G17*$B$5))))))/10</f>
        <v>#N/A</v>
      </c>
      <c r="DW17" s="102" t="e">
        <f>(VLOOKUP($B$3,'Coeff EC7'!$T$39:$X$59,2,0)*DU17+VLOOKUP($B$3,'Coeff EC7'!$T$65:$X$85,2,0)*Model0.1C!DV17)/1.1</f>
        <v>#N/A</v>
      </c>
      <c r="DX17" s="102" t="e">
        <f>(VLOOKUP($B$3,'Coeff EC7'!$T$39:$X$59,3,0)*DU17+VLOOKUP($B$3,'Coeff EC7'!$T$65:$X$85,3,0)*Model0.1C!DV17)/0.9</f>
        <v>#N/A</v>
      </c>
      <c r="DY17" s="102" t="e">
        <f t="shared" si="90"/>
        <v>#N/A</v>
      </c>
      <c r="DZ17" s="102" t="e">
        <f t="shared" si="91"/>
        <v>#N/A</v>
      </c>
      <c r="EA17" s="414" t="e">
        <f>IF(EA16=0,0,IF(AND(DW17&gt;charge_ELS_quasi,DX17&gt;Charge_ELS_freq,DY17&gt;charge_ELU,DZ17&gt;charge_ELA,$B17&gt;NDC!$H$22-0.1+MIN(3*$EA$12,1.5)),0,1))</f>
        <v>#N/A</v>
      </c>
      <c r="EB17" s="86" t="b">
        <f t="shared" si="53"/>
        <v>0</v>
      </c>
      <c r="EC17" s="418">
        <f t="shared" si="54"/>
        <v>0.51</v>
      </c>
      <c r="ED17" s="86">
        <f t="shared" si="55"/>
        <v>0.51</v>
      </c>
      <c r="EE17" s="30" t="e">
        <f t="shared" ca="1" si="92"/>
        <v>#DIV/0!</v>
      </c>
      <c r="EF17" s="85" t="e">
        <f ca="1">IF(DL17&lt;=Hypothèses!$V$7,Hypothèses!$W$7,IF(DL17&lt;=Hypothèses!$V$8,Hypothèses!$W$8,IF(DL17&lt;=Hypothèses!$V$9,Hypothèses!$W$9,IF(DL17&lt;=Hypothèses!$V$10,Hypothèses!$W$10,IF(DL17&lt;=Hypothèses!$V$11,Hypothèses!$W$11,IF(DL17&lt;=Hypothèses!$V$12,Hypothèses!$W$12,IF(DL17&lt;=Hypothèses!$V$13,Hypothèses!$W$13,IF(DL17&lt;=Hypothèses!$V$14,Hypothèses!$W$14,IF(DL17&lt;=Hypothèses!$V$15,Hypothèses!$W$15,IF(DL17&lt;=Hypothèses!$V$16,Hypothèses!$W$16,IF(DL17&lt;=Hypothèses!$V$17,Hypothèses!$W$17,IF(DL17&lt;=Hypothèses!$V$18,Hypothèses!$W$18,""))))))))))))</f>
        <v>#DIV/0!</v>
      </c>
      <c r="EG17" s="87" t="e">
        <f t="shared" ref="EG17:EG80" ca="1" si="122">IF(EF17&lt;&gt;"",EF17,EE17)</f>
        <v>#DIV/0!</v>
      </c>
      <c r="EH17" s="88" t="e">
        <f ca="1">IF(DL17&lt;=Hypothèses!$V$7,Hypothèses!$X$7,IF(DL17&lt;=Hypothèses!$V$8,Hypothèses!$X$8,IF(DL17&lt;=Hypothèses!$V$9,Hypothèses!$X$9,IF(DL17&lt;=Hypothèses!$V$10,Hypothèses!$X$10,IF(DL17&lt;=Hypothèses!$V$11,Hypothèses!$X$11,IF(DL17&lt;=Hypothèses!$V$12,Hypothèses!$X$12,IF(DL17&lt;=Hypothèses!$V$13,Hypothèses!$X$13,IF(DL17&lt;=Hypothèses!$V$14,Hypothèses!$X$14,IF(DL17&lt;=Hypothèses!$V$15,Hypothèses!$X$15,IF(DL17&lt;=Hypothèses!$V$16,Hypothèses!$X$16,IF(DL17&lt;=Hypothèses!$U$17,Hypothèses!$W$17,IF(DL17&lt;=Hypothèses!$U$18,Hypothèses!$W$18,""))))))))))))</f>
        <v>#DIV/0!</v>
      </c>
      <c r="EI17" s="95" t="e">
        <f t="shared" ca="1" si="93"/>
        <v>#DIV/0!</v>
      </c>
      <c r="EJ17" s="101" t="e">
        <f>IF($I17=0,0,
IF(EI17&gt;5*EN$12,$I17,
IF($D17="Pressio.",1+($I17-1)*(EI17/EN$12)/5,
IF($D17="Pénétro.",IF($E17=1,0.3+($I17-0.3)*(EI17/EN$12)/5,
IF($E17=2,0.2+($I17-0.2)*(EI17/EN$12)/5,
IF($E17=3,0.1+($I17-0.1)*(EI17/EN$12)/5,
0.15+($I17-0.15)*(EI17/EN$12)/5)))))))</f>
        <v>#N/A</v>
      </c>
      <c r="EK17" s="91" t="e">
        <f t="shared" si="57"/>
        <v>#N/A</v>
      </c>
      <c r="EL17" s="30" t="e">
        <f t="shared" si="112"/>
        <v>#N/A</v>
      </c>
      <c r="EM17" s="30" t="e">
        <f t="shared" si="113"/>
        <v>#N/A</v>
      </c>
      <c r="EN17" s="31" t="e">
        <f>IF(OR(Hypothèses!$B$4=17,Hypothèses!$B$4=18,Hypothèses!$B$4=19,Hypothèses!$B$4=20),
IF($D17="Pressio.",
IF(OR($E17=3,$E17=1,$E17=4),EM17,EL17),
IF($D17="Pénétro.",
IF(OR($E17=3,$E17=1,$E17=4),EM17,EL17))),IF($D17="Pressio.",
IF($E17=3,EM17,EL17),
IF($D17="Pénétro.",
IF($E17=4,EM17,EL17))))</f>
        <v>#N/A</v>
      </c>
      <c r="EO17" s="31" t="e">
        <f>(IF(OR(Hypothèses!$B$4=17,Hypothèses!$B$4=18,Hypothèses!$B$4=19,Hypothèses!$B$4=20),
IF($D17="Pressio.",
IF(OR($E17=3,$E17=1,$E17=4),(PI()*EO$12^2)/4*(EK17*$W17*1000)/($H17*$B$5),(PI()*EO$12^2)/4*(EK17*$W17*1000)/($G17*$B$5)),
IF($D17="Pénétro.",
IF(OR($E17=4,$E17=1,$E17=5),(PI()*EO$12^2)/4*(EK17*$W17*1000)/($H17*$B$5),(PI()*EO$12^2)/4*(EK17*$W17*1000)/($G17*$B$5)))),
IF($D17="Pressio.",
IF($E17=3,(PI()*EO$12^2)/4*(EK17*$W17*1000)/($H17*$B$5),(PI()*EO$12^2)/4*(EK17*$W17*1000)/($G17*$B$5)),
IF($D17="Pénétro.",
IF($E17=4,(PI()*EO$12^2)/4*(EK17*$W17*1000)/($H17*$B$5),(PI()*EO$12^2)/4*(EK17*$W17*1000)/($G17*$B$5))))))/10</f>
        <v>#N/A</v>
      </c>
      <c r="EP17" s="102" t="e">
        <f>(VLOOKUP($B$3,'Coeff EC7'!$T$39:$X$59,2,0)*EN17+VLOOKUP($B$3,'Coeff EC7'!$T$65:$X$85,2,0)*Model0.1C!EO17)/1.1</f>
        <v>#N/A</v>
      </c>
      <c r="EQ17" s="102" t="e">
        <f>(VLOOKUP($B$3,'Coeff EC7'!$T$39:$X$59,3,0)*EN17+VLOOKUP($B$3,'Coeff EC7'!$T$65:$X$85,3,0)*Model0.1C!EO17)/0.9</f>
        <v>#N/A</v>
      </c>
      <c r="ER17" s="102" t="e">
        <f t="shared" si="94"/>
        <v>#N/A</v>
      </c>
      <c r="ES17" s="102" t="e">
        <f t="shared" si="95"/>
        <v>#N/A</v>
      </c>
      <c r="ET17" s="414" t="e">
        <f>IF(ET16=0,0,IF(AND(EP17&gt;charge_ELS_quasi,EQ17&gt;Charge_ELS_freq,ER17&gt;charge_ELU,ES17&gt;charge_ELA,$B17&gt;NDC!$H$22-0.1+MIN(3*$ET$12,1.5)),0,1))</f>
        <v>#N/A</v>
      </c>
      <c r="EU17" s="86" t="b">
        <f t="shared" si="60"/>
        <v>0</v>
      </c>
      <c r="EV17" s="86">
        <f t="shared" si="61"/>
        <v>0.61</v>
      </c>
      <c r="EW17" s="86">
        <f t="shared" si="62"/>
        <v>0.61</v>
      </c>
      <c r="EX17" s="30" t="e">
        <f t="shared" ca="1" si="96"/>
        <v>#DIV/0!</v>
      </c>
      <c r="EY17" s="85" t="e">
        <f ca="1">IF(EE17&lt;=Hypothèses!$V$7,Hypothèses!$W$7,IF(EE17&lt;=Hypothèses!$V$8,Hypothèses!$W$8,IF(EE17&lt;=Hypothèses!$V$9,Hypothèses!$W$9,IF(EE17&lt;=Hypothèses!$V$10,Hypothèses!$W$10,IF(EE17&lt;=Hypothèses!$V$11,Hypothèses!$W$11,IF(EE17&lt;=Hypothèses!$V$12,Hypothèses!$W$12,IF(EE17&lt;=Hypothèses!$V$13,Hypothèses!$W$13,IF(EE17&lt;=Hypothèses!$V$14,Hypothèses!$W$14,IF(EE17&lt;=Hypothèses!$V$15,Hypothèses!$W$15,IF(EE17&lt;=Hypothèses!$V$16,Hypothèses!$W$16,IF(EE17&lt;=Hypothèses!$V$17,Hypothèses!$W$17,IF(EE17&lt;=Hypothèses!$V$18,Hypothèses!$W$18,""))))))))))))</f>
        <v>#DIV/0!</v>
      </c>
      <c r="EZ17" s="87" t="e">
        <f t="shared" ref="EZ17:EZ80" ca="1" si="123">IF(EY17&lt;&gt;"",EY17,EX17)</f>
        <v>#DIV/0!</v>
      </c>
      <c r="FA17" s="88" t="e">
        <f ca="1">IF(EE17&lt;=Hypothèses!$V$7,Hypothèses!$X$7,IF(EE17&lt;=Hypothèses!$V$8,Hypothèses!$X$8,IF(EE17&lt;=Hypothèses!$V$9,Hypothèses!$X$9,IF(EE17&lt;=Hypothèses!$V$10,Hypothèses!$X$10,IF(EE17&lt;=Hypothèses!$V$11,Hypothèses!$X$11,IF(EE17&lt;=Hypothèses!$V$12,Hypothèses!$X$12,IF(EE17&lt;=Hypothèses!$V$13,Hypothèses!$X$13,IF(EE17&lt;=Hypothèses!$V$14,Hypothèses!$X$14,IF(EE17&lt;=Hypothèses!$V$15,Hypothèses!$X$15,IF(EE17&lt;=Hypothèses!$V$16,Hypothèses!$X$16,IF(EE17&lt;=Hypothèses!$U$17,Hypothèses!$W$17,IF(EE17&lt;=Hypothèses!$U$18,Hypothèses!$W$18,""))))))))))))</f>
        <v>#DIV/0!</v>
      </c>
      <c r="FB17" s="95" t="e">
        <f t="shared" ca="1" si="97"/>
        <v>#DIV/0!</v>
      </c>
      <c r="FC17" s="101" t="e">
        <f>IF($I17=0,0,
IF(FB17&gt;5*FG$12,$I17,
IF($D17="Pressio.",1+($I17-1)*(FB17/FG$12)/5,
IF($D17="Pénétro.",IF($E17=1,0.3+($I17-0.3)*(FB17/FG$12)/5,
IF($E17=2,0.2+($I17-0.2)*(FB17/FG$12)/5,
IF($E17=3,0.1+($I17-0.1)*(FB17/FG$12)/5,
0.15+($I17-0.15)*(FB17/FG$12)/5)))))))</f>
        <v>#N/A</v>
      </c>
      <c r="FD17" s="91" t="e">
        <f t="shared" si="64"/>
        <v>#N/A</v>
      </c>
      <c r="FE17" s="30" t="e">
        <f t="shared" si="114"/>
        <v>#N/A</v>
      </c>
      <c r="FF17" s="30" t="e">
        <f t="shared" si="115"/>
        <v>#N/A</v>
      </c>
      <c r="FG17" s="31" t="e">
        <f>IF(OR(Hypothèses!$B$4=17,Hypothèses!$B$4=18,Hypothèses!$B$4=19,Hypothèses!$B$4=20),
IF($D17="Pressio.",
IF(OR($E17=3,$E17=1,$E17=4),FF17,FE17),
IF($D17="Pénétro.",
IF(OR($E17=3,$E17=1,$E17=4),FF17,FE17))),IF($D17="Pressio.",
IF($E17=3,FF17,FE17),
IF($D17="Pénétro.",
IF($E17=4,FF17,FE17))))</f>
        <v>#N/A</v>
      </c>
      <c r="FH17" s="31" t="e">
        <f>(IF(OR(Hypothèses!$B$4=17,Hypothèses!$B$4=18,Hypothèses!$B$4=19,Hypothèses!$B$4=20),
IF($D17="Pressio.",
IF(OR($E17=3,$E17=1,$E17=4),(PI()*FH$12^2)/4*(FD17*$W17*1000)/($H17*$B$5),(PI()*FH$12^2)/4*(FD17*$W17*1000)/($G17*$B$5)),
IF($D17="Pénétro.",
IF(OR($E17=4,$E17=1,$E17=5),(PI()*FH$12^2)/4*(FD17*$W17*1000)/($H17*$B$5),(PI()*FH$12^2)/4*(FD17*$W17*1000)/($G17*$B$5)))),
IF($D17="Pressio.",
IF($E17=3,(PI()*FH$12^2)/4*(FD17*$W17*1000)/($H17*$B$5),(PI()*FH$12^2)/4*(FD17*$W17*1000)/($G17*$B$5)),
IF($D17="Pénétro.",
IF($E17=4,(PI()*FH$12^2)/4*(FD17*$W17*1000)/($H17*$B$5),(PI()*FH$12^2)/4*(FD17*$W17*1000)/($G17*$B$5))))))/10</f>
        <v>#N/A</v>
      </c>
      <c r="FI17" s="102" t="e">
        <f>(VLOOKUP($B$3,'Coeff EC7'!$T$39:$X$59,2,0)*FG17+VLOOKUP($B$3,'Coeff EC7'!$T$65:$X$85,2,0)*Model0.1C!FH17)/1.1</f>
        <v>#N/A</v>
      </c>
      <c r="FJ17" s="102" t="e">
        <f>(VLOOKUP($B$3,'Coeff EC7'!$T$39:$X$59,3,0)*FG17+VLOOKUP($B$3,'Coeff EC7'!$T$65:$X$85,3,0)*Model0.1C!FH17)/0.9</f>
        <v>#N/A</v>
      </c>
      <c r="FK17" s="102" t="e">
        <f t="shared" si="98"/>
        <v>#N/A</v>
      </c>
      <c r="FL17" s="102" t="e">
        <f t="shared" si="99"/>
        <v>#N/A</v>
      </c>
      <c r="FM17" s="414" t="e">
        <f>IF(FM16=0,0,IF(AND(FI17&gt;charge_ELS_quasi,FJ17&gt;Charge_ELS_freq,FK17&gt;charge_ELU,FL17&gt;charge_ELA,$B17&gt;NDC!$H$22-0.1+MIN(3*$FM$12,1.5)),0,1))</f>
        <v>#N/A</v>
      </c>
    </row>
    <row r="18" spans="1:169">
      <c r="A18" s="96">
        <f t="shared" si="67"/>
        <v>99.500000000000028</v>
      </c>
      <c r="B18" s="97">
        <v>0.5</v>
      </c>
      <c r="C18" s="81">
        <f>IF(B18&lt;=Hypothèses!$C$7,Hypothèses!$A$7,IF(B18&lt;=Hypothèses!$C$8,Hypothèses!$A$8,IF(B18&lt;=Hypothèses!$C$9,Hypothèses!$A$9,IF(B18&lt;=Hypothèses!$C$10,Hypothèses!$A$10,IF(B18&lt;=Hypothèses!$C$11,Hypothèses!$A$11,IF(B18&lt;=Hypothèses!$C$12,Hypothèses!$A$12,IF(B18&lt;=Hypothèses!$C$13,Hypothèses!$A$13,IF(B18&lt;=Hypothèses!$C$14,Hypothèses!$A$14,IF(B18&lt;=Hypothèses!$C$15,Hypothèses!$A$15,IF(B18&lt;=Hypothèses!$C$16,Hypothèses!$A$16,IF(B18&lt;=Hypothèses!$C$17,Hypothèses!$A$17,IF(B18&lt;=Hypothèses!$C$18,Hypothèses!$A$18,C17))))))))))))</f>
        <v>11</v>
      </c>
      <c r="D18" s="82" t="str">
        <f>IF(B18&lt;=Hypothèses!$C$7,Hypothèses!$R$7,IF(B18&lt;=Hypothèses!$C$8,Hypothèses!$R$8,IF(B18&lt;=Hypothèses!$C$9,Hypothèses!$R$9,IF(B18&lt;=Hypothèses!$C$10,Hypothèses!$R$10,IF(B18&lt;=Hypothèses!$C$11,Hypothèses!$R$11,IF(B18&lt;=Hypothèses!$C$12,Hypothèses!$R$12,IF(B18&lt;=Hypothèses!$C$13,Hypothèses!$R$13,IF(B18&lt;=Hypothèses!$C$14,Hypothèses!$R$14,IF(B18&lt;=Hypothèses!$C$15,Hypothèses!$R$15,IF(B18&lt;=Hypothèses!$C$16,Hypothèses!$R$16,IF(B18&lt;=Hypothèses!$C$17,Hypothèses!$R$17,IF(B18&lt;=Hypothèses!$C$18,Hypothèses!$R$18,D17))))))))))))</f>
        <v>Pressio.</v>
      </c>
      <c r="E18" s="82" t="e">
        <f>IF(B18&lt;=Hypothèses!$C$7,Hypothèses!$G$7,IF(B18&lt;=Hypothèses!$C$8,Hypothèses!$G$8,IF(B18&lt;=Hypothèses!$C$9,Hypothèses!$G$9,IF(B18&lt;=Hypothèses!$C$10,Hypothèses!$G$10,IF(B18&lt;=Hypothèses!$C$11,Hypothèses!$G$11,IF(B18&lt;=Hypothèses!$C$12,Hypothèses!$G$12,IF(B18&lt;=Hypothèses!$C$13,Hypothèses!$G$13,IF(B18&lt;=Hypothèses!$C$14,Hypothèses!$G$14,IF(B18&lt;=Hypothèses!$C$15,Hypothèses!$G$15,IF(B18&lt;=Hypothèses!$C$16,Hypothèses!$G$16,IF(B18&lt;=Hypothèses!$C$17,Hypothèses!$G$17,IF(B18&lt;=Hypothèses!$C$18,Hypothèses!$G$18,E17))))))))))))</f>
        <v>#N/A</v>
      </c>
      <c r="F18" s="82" t="str">
        <f>IF(B18&lt;=Hypothèses!$C$7,Hypothèses!$F$7,IF(B18&lt;=Hypothèses!$C$8,Hypothèses!$F$8,IF(B18&lt;=Hypothèses!$C$9,Hypothèses!$F$9,IF(B18&lt;=Hypothèses!$C$10,Hypothèses!$F$10,IF(B18&lt;=Hypothèses!$C$11,Hypothèses!$F$11,IF(B18&lt;=Hypothèses!$C$12,Hypothèses!$F$12,IF(B18&lt;=Hypothèses!$C$13,Hypothèses!$F$13,IF(B18&lt;=Hypothèses!$C$14,Hypothèses!$F$14,IF(B18&lt;=Hypothèses!$C$15,Hypothèses!$F$15,IF(B18&lt;=Hypothèses!$C$16,Hypothèses!$F$16,IF(B18&lt;=Hypothèses!$C$17,Hypothèses!$F$17,IF(B18&lt;=Hypothèses!$C$18,Hypothèses!$F$18,F17))))))))))))</f>
        <v/>
      </c>
      <c r="G18" s="91">
        <f t="array" ref="G18">INDEX('Coeff EC7'!$U$7:$X$27,
MATCH(Model0.1C!$B$3,'Coeff EC7'!$T$7:$T$27,0),
MATCH(Model0.1C!$D18&amp;Model0.1C!$B$4,
'Coeff EC7'!$U$6:$X$6&amp;
'Coeff EC7'!$U$5:$X$5,0))</f>
        <v>1.1499999999999999</v>
      </c>
      <c r="H18" s="91">
        <f t="array" ref="H18">INDEX('Coeff EC7'!$Y$7:$AB$27,
MATCH(Model0.1C!$B$3,'Coeff EC7'!$T$7:$T$27,0),
MATCH(Model0.1C!$D18&amp;Model0.1C!$B$4,
'Coeff EC7'!$Y$6:$AB$6&amp;
'Coeff EC7'!$Y$5:$AB$5,0))</f>
        <v>1.4</v>
      </c>
      <c r="I18" s="83" t="e">
        <f>IF(B18&lt;=Hypothèses!$C$7,Hypothèses!$P$7,IF(B18&lt;=Hypothèses!$C$8,Hypothèses!$P$8,IF(B18&lt;=Hypothèses!$C$9,Hypothèses!$P$9,IF(B18&lt;=Hypothèses!$C$10,Hypothèses!$P$10,IF(B18&lt;=Hypothèses!$C$11,Hypothèses!$P$11,IF(B18&lt;=Hypothèses!$C$12,Hypothèses!$P$12,IF(B18&lt;=Hypothèses!$C$13,Hypothèses!$P$13,IF(B18&lt;=Hypothèses!$C$14,Hypothèses!$P$14,IF(B18&lt;=Hypothèses!$C$15,Hypothèses!$P$15,IF(B18&lt;=Hypothèses!$C$16,Hypothèses!$P$16,IF(B18&lt;=Hypothèses!$C$17,Hypothèses!$P$17,IF(B18&lt;=Hypothèses!$C$18,Hypothèses!$P$18,I17))))))))))))</f>
        <v>#N/A</v>
      </c>
      <c r="J18" s="91" t="e">
        <f t="array" ref="J18">INDEX('Coeff EC7'!$D$33:$Q$33,1,MATCH(D18&amp;E18,'Coeff EC7'!$D$31:$Q$31&amp;'Coeff EC7'!$D$32:$Q$32,0))</f>
        <v>#N/A</v>
      </c>
      <c r="K18" s="91" t="e">
        <f t="array" ref="K18">INDEX('Coeff EC7'!$D$34:$Q$34,1,MATCH(D18&amp;E18,'Coeff EC7'!$D$31:$Q$31&amp;'Coeff EC7'!$D$32:$Q$32,0))</f>
        <v>#N/A</v>
      </c>
      <c r="L18" s="91" t="e">
        <f t="array" ref="L18">INDEX('Coeff EC7'!$D$35:$Q$35,1,MATCH(D18&amp;E18,'Coeff EC7'!$D$31:$Q$31&amp;'Coeff EC7'!$D$32:$Q$32,0))</f>
        <v>#N/A</v>
      </c>
      <c r="M18" s="98" t="e">
        <f t="shared" si="8"/>
        <v>#N/A</v>
      </c>
      <c r="N18" s="99" t="e">
        <f t="array" ref="N18">INDEX('Coeff EC7'!$D$7:$Q$27,MATCH($B$3,'Coeff EC7'!$C$7:$C$27,0),MATCH(D18&amp;E18,'Coeff EC7'!$D$5:$Q$5&amp;'Coeff EC7'!$D$6:$Q$6,0))</f>
        <v>#N/A</v>
      </c>
      <c r="O18" s="99" t="e">
        <f t="array" ref="O18">INDEX('Coeff EC7'!$D$41:$Q$61,MATCH($B$3,'Coeff EC7'!$C$41:$C$61,0),MATCH(D18&amp;E18,'Coeff EC7'!$D$39:$Q$39&amp;'Coeff EC7'!$D$40:$Q$40,0))</f>
        <v>#N/A</v>
      </c>
      <c r="P18" s="30" t="e">
        <f t="shared" si="68"/>
        <v>#N/A</v>
      </c>
      <c r="Q18" s="100" t="e">
        <f t="shared" si="10"/>
        <v>#N/A</v>
      </c>
      <c r="R18" s="86" t="b">
        <f t="shared" si="11"/>
        <v>0</v>
      </c>
      <c r="S18" s="86">
        <f t="shared" si="9"/>
        <v>0.5</v>
      </c>
      <c r="T18" s="86">
        <f t="shared" si="12"/>
        <v>0.5</v>
      </c>
      <c r="U18" s="30" t="e">
        <f t="shared" ca="1" si="69"/>
        <v>#DIV/0!</v>
      </c>
      <c r="V18" s="85" t="str">
        <f>IF(B18&lt;=Hypothèses!$V$7,Hypothèses!$W$7,IF(B18&lt;=Hypothèses!$V$8,Hypothèses!$W$8,IF(B18&lt;=Hypothèses!$V$9,Hypothèses!$W$9,IF(B18&lt;=Hypothèses!$V$10,Hypothèses!$W$10,IF(B18&lt;=Hypothèses!$V$11,Hypothèses!$W$11,IF(B18&lt;=Hypothèses!$V$12,Hypothèses!$W$12,IF(B18&lt;=Hypothèses!$V$13,Hypothèses!$W$13,IF(B18&lt;=Hypothèses!$V$14,Hypothèses!$W$14,IF(B18&lt;=Hypothèses!$V$15,Hypothèses!$W$15,IF(B18&lt;=Hypothèses!$V$16,Hypothèses!$W$16,IF(B18&lt;=Hypothèses!$V$17,Hypothèses!$W$17,IF(B18&lt;=Hypothèses!$V$18,Hypothèses!$W$18,""))))))))))))</f>
        <v/>
      </c>
      <c r="W18" s="87" t="e">
        <f t="shared" ca="1" si="116"/>
        <v>#DIV/0!</v>
      </c>
      <c r="X18" s="88" t="str">
        <f>IF(B18&lt;=Hypothèses!$V$7,Hypothèses!$X$7,IF(B18&lt;=Hypothèses!$V$8,Hypothèses!$X$8,IF(B18&lt;=Hypothèses!$V$9,Hypothèses!$X$9,IF(B18&lt;=Hypothèses!$V$10,Hypothèses!$X$10,IF(B18&lt;=Hypothèses!$V$11,Hypothèses!$X$11,IF(B18&lt;=Hypothèses!$V$12,Hypothèses!$X$12,IF(B18&lt;=Hypothèses!$V$13,Hypothèses!$X$13,IF(B18&lt;=Hypothèses!$V$14,Hypothèses!$X$14,IF(B18&lt;=Hypothèses!$V$15,Hypothèses!$X$15,IF(B18&lt;=Hypothèses!$V$16,Hypothèses!$X$16,IF(B18&lt;=Hypothèses!$U$17,Hypothèses!$W$17,IF(B18&lt;=Hypothèses!$U$18,Hypothèses!$W$18,""))))))))))))</f>
        <v/>
      </c>
      <c r="Y18" s="95" t="e">
        <f t="shared" ca="1" si="13"/>
        <v>#DIV/0!</v>
      </c>
      <c r="Z18" s="101" t="e">
        <f t="shared" si="14"/>
        <v>#N/A</v>
      </c>
      <c r="AA18" s="91" t="e">
        <f t="shared" si="15"/>
        <v>#N/A</v>
      </c>
      <c r="AB18" s="30" t="e">
        <f t="shared" si="100"/>
        <v>#N/A</v>
      </c>
      <c r="AC18" s="30" t="e">
        <f t="shared" si="101"/>
        <v>#N/A</v>
      </c>
      <c r="AD18" s="31" t="e">
        <f>IF(OR(Hypothèses!$B$4=17,Hypothèses!$B$4=18,Hypothèses!$B$4=19,Hypothèses!$B$4=20),
IF($D18="Pressio.",
IF(OR($E18=3,$E18=1,$E18=4),AC18,AB18),
IF($D18="Pénétro.",
IF(OR($E18=3,$E18=1,$E18=4),AC18,AB18))),IF($D18="Pressio.",
IF($E18=3,AC18,AB18),
IF($D18="Pénétro.",
IF($E18=4,AC18,AB18))))</f>
        <v>#N/A</v>
      </c>
      <c r="AE18" s="31" t="e">
        <f>(IF(OR(Hypothèses!$B$4=17,Hypothèses!$B$4=18,Hypothèses!$B$4=19,Hypothèses!$B$4=20),
IF($D18="Pressio.",
IF(OR($E18=3,$E18=1,$E18=4),(PI()*AE$12^2)/4*(AA18*$W18*1000)/($H18*$B$5),(PI()*AE$12^2)/4*(AA18*$W18*1000)/($G18*$B$5)),
IF($D18="Pénétro.",
IF(OR($E18=4,$E18=1,$E18=5),(PI()*AE$12^2)/4*(AA18*$W18*1000)/($H18*$B$5),(PI()*AE$12^2)/4*(AA18*$W18*1000)/($G18*$B$5)))),
IF($D18="Pressio.",
IF($E18=3,(PI()*AE$12^2)/4*(AA18*$W18*1000)/($H18*$B$5),(PI()*AE$12^2)/4*(AA18*$W18*1000)/($G18*$B$5)),
IF($D18="Pénétro.",
IF($E18=4,(PI()*AE$12^2)/4*(AA18*$W18*1000)/($H18*$B$5),(PI()*AE$12^2)/4*(AA18*$W18*1000)/($G18*$B$5))))))/10</f>
        <v>#N/A</v>
      </c>
      <c r="AF18" s="102" t="e">
        <f>(VLOOKUP($B$3,'Coeff EC7'!$T$39:$X$59,2,0)*AD18+VLOOKUP($B$3,'Coeff EC7'!$T$65:$X$85,2,0)*Model0.1C!AE18)/1.1</f>
        <v>#N/A</v>
      </c>
      <c r="AG18" s="102" t="e">
        <f>(VLOOKUP($B$3,'Coeff EC7'!$T$39:$X$59,3,0)*AD18+VLOOKUP($B$3,'Coeff EC7'!$T$65:$X$85,3,0)*Model0.1C!AE18)/0.9</f>
        <v>#N/A</v>
      </c>
      <c r="AH18" s="102" t="e">
        <f t="shared" si="18"/>
        <v>#N/A</v>
      </c>
      <c r="AI18" s="102" t="e">
        <f t="shared" si="19"/>
        <v>#N/A</v>
      </c>
      <c r="AJ18" s="414" t="e">
        <f>IF(AJ17=0,0,IF(AND(AF18&gt;charge_ELS_quasi,AG18&gt;Charge_ELS_freq,AH18&gt;charge_ELU,AI18&gt;charge_ELA,$B18&gt;NDC!$H$22-0.1+MIN(3*$AJ$12,1.5)),0,1))</f>
        <v>#N/A</v>
      </c>
      <c r="AK18" s="86" t="b">
        <f t="shared" si="20"/>
        <v>0</v>
      </c>
      <c r="AL18" s="86">
        <f t="shared" si="70"/>
        <v>0.5</v>
      </c>
      <c r="AM18" s="86">
        <f t="shared" si="21"/>
        <v>0.5</v>
      </c>
      <c r="AN18" s="30" t="e">
        <f t="shared" ca="1" si="71"/>
        <v>#DIV/0!</v>
      </c>
      <c r="AO18" s="85" t="e">
        <f ca="1">IF(U18&lt;=Hypothèses!$V$7,Hypothèses!$W$7,IF(U18&lt;=Hypothèses!$V$8,Hypothèses!$W$8,IF(U18&lt;=Hypothèses!$V$9,Hypothèses!$W$9,IF(U18&lt;=Hypothèses!$V$10,Hypothèses!$W$10,IF(U18&lt;=Hypothèses!$V$11,Hypothèses!$W$11,IF(U18&lt;=Hypothèses!$V$12,Hypothèses!$W$12,IF(U18&lt;=Hypothèses!$V$13,Hypothèses!$W$13,IF(U18&lt;=Hypothèses!$V$14,Hypothèses!$W$14,IF(U18&lt;=Hypothèses!$V$15,Hypothèses!$W$15,IF(U18&lt;=Hypothèses!$V$16,Hypothèses!$W$16,IF(U18&lt;=Hypothèses!$V$17,Hypothèses!$W$17,IF(U18&lt;=Hypothèses!$V$18,Hypothèses!$W$18,""))))))))))))</f>
        <v>#DIV/0!</v>
      </c>
      <c r="AP18" s="87" t="e">
        <f t="shared" ca="1" si="117"/>
        <v>#DIV/0!</v>
      </c>
      <c r="AQ18" s="88" t="e">
        <f ca="1">IF(U18&lt;=Hypothèses!$V$7,Hypothèses!$X$7,IF(U18&lt;=Hypothèses!$V$8,Hypothèses!$X$8,IF(U18&lt;=Hypothèses!$V$9,Hypothèses!$X$9,IF(U18&lt;=Hypothèses!$V$10,Hypothèses!$X$10,IF(U18&lt;=Hypothèses!$V$11,Hypothèses!$X$11,IF(U18&lt;=Hypothèses!$V$12,Hypothèses!$X$12,IF(U18&lt;=Hypothèses!$V$13,Hypothèses!$X$13,IF(U18&lt;=Hypothèses!$V$14,Hypothèses!$X$14,IF(U18&lt;=Hypothèses!$V$15,Hypothèses!$X$15,IF(U18&lt;=Hypothèses!$V$16,Hypothèses!$X$16,IF(U18&lt;=Hypothèses!$U$17,Hypothèses!$W$17,IF(U18&lt;=Hypothèses!$U$18,Hypothèses!$W$18,""))))))))))))</f>
        <v>#DIV/0!</v>
      </c>
      <c r="AR18" s="95" t="e">
        <f t="shared" ca="1" si="72"/>
        <v>#DIV/0!</v>
      </c>
      <c r="AS18" s="101" t="e">
        <f t="shared" ref="AS18:AS81" si="124">IF($I18=0,0,
IF(AR18&gt;5*AW$12,$I18,
IF($D18="Pressio.",1+($I18-1)*(AR18/AW$12)/5,
IF($D18="Pénétro.",IF($E18=1,0.3+($I18-0.3)*(AR18/AW$12)/5,
IF($E18=2,0.2+($I18-0.2)*(AR18/AW$12)/5,
IF($E18=3,0.1+($I18-0.1)*(AR18/AW$12)/5,
0.15+($I18-0.15)*(AR18/AW$12)/5)))))))</f>
        <v>#N/A</v>
      </c>
      <c r="AT18" s="91" t="e">
        <f t="shared" si="23"/>
        <v>#N/A</v>
      </c>
      <c r="AU18" s="30" t="e">
        <f t="shared" si="102"/>
        <v>#N/A</v>
      </c>
      <c r="AV18" s="30" t="e">
        <f t="shared" si="103"/>
        <v>#N/A</v>
      </c>
      <c r="AW18" s="31" t="e">
        <f>IF(OR(Hypothèses!$B$4=17,Hypothèses!$B$4=18,Hypothèses!$B$4=19,Hypothèses!$B$4=20),
IF($D18="Pressio.",
IF(OR($E18=3,$E18=1,$E18=4),AV18,AU18),
IF($D18="Pénétro.",
IF(OR($E18=3,$E18=1,$E18=4),AV18,AU18))),IF($D18="Pressio.",
IF($E18=3,AV18,AU18),
IF($D18="Pénétro.",
IF($E18=4,AV18,AU18))))</f>
        <v>#N/A</v>
      </c>
      <c r="AX18" s="31" t="e">
        <f>(IF(OR(Hypothèses!$B$4=17,Hypothèses!$B$4=18,Hypothèses!$B$4=19,Hypothèses!$B$4=20),
IF($D18="Pressio.",
IF(OR($E18=3,$E18=1,$E18=4),(PI()*AX$12^2)/4*(AT18*$W18*1000)/($H18*$B$5),(PI()*AX$12^2)/4*(AT18*$W18*1000)/($G18*$B$5)),
IF($D18="Pénétro.",
IF(OR($E18=4,$E18=1,$E18=5),(PI()*AX$12^2)/4*(AT18*$W18*1000)/($H18*$B$5),(PI()*AX$12^2)/4*(AT18*$W18*1000)/($G18*$B$5)))),
IF($D18="Pressio.",
IF($E18=3,(PI()*AX$12^2)/4*(AT18*$W18*1000)/($H18*$B$5),(PI()*AX$12^2)/4*(AT18*$W18*1000)/($G18*$B$5)),
IF($D18="Pénétro.",
IF($E18=4,(PI()*AX$12^2)/4*(AT18*$W18*1000)/($H18*$B$5),(PI()*AX$12^2)/4*(AT18*$W18*1000)/($G18*$B$5))))))/10</f>
        <v>#N/A</v>
      </c>
      <c r="AY18" s="102" t="e">
        <f>(VLOOKUP($B$3,'Coeff EC7'!$T$39:$X$59,2,0)*AW18+VLOOKUP($B$3,'Coeff EC7'!$T$65:$X$85,2,0)*Model0.1C!AX18)/1.1</f>
        <v>#N/A</v>
      </c>
      <c r="AZ18" s="102" t="e">
        <f>(VLOOKUP($B$3,'Coeff EC7'!$T$39:$X$59,3,0)*AW18+VLOOKUP($B$3,'Coeff EC7'!$T$65:$X$85,3,0)*Model0.1C!AX18)/0.9</f>
        <v>#N/A</v>
      </c>
      <c r="BA18" s="102" t="e">
        <f t="shared" si="73"/>
        <v>#N/A</v>
      </c>
      <c r="BB18" s="102" t="e">
        <f t="shared" si="74"/>
        <v>#N/A</v>
      </c>
      <c r="BC18" s="414" t="e">
        <f>IF(BC17=0,0,IF(AND(AY18&gt;charge_ELS_quasi,AZ18&gt;Charge_ELS_freq,BA18&gt;charge_ELU,BB18&gt;charge_ELA,$B18&gt;NDC!$H$22-0.1+MIN(3*$BC$12,1.5)),0,1))</f>
        <v>#N/A</v>
      </c>
      <c r="BD18" s="86" t="b">
        <f t="shared" si="26"/>
        <v>0</v>
      </c>
      <c r="BE18" s="86">
        <f t="shared" si="75"/>
        <v>0.5</v>
      </c>
      <c r="BF18" s="86">
        <f t="shared" si="27"/>
        <v>0.5</v>
      </c>
      <c r="BG18" s="30" t="e">
        <f t="shared" ca="1" si="76"/>
        <v>#DIV/0!</v>
      </c>
      <c r="BH18" s="85" t="e">
        <f ca="1">IF(AN18&lt;=Hypothèses!$V$7,Hypothèses!$W$7,IF(AN18&lt;=Hypothèses!$V$8,Hypothèses!$W$8,IF(AN18&lt;=Hypothèses!$V$9,Hypothèses!$W$9,IF(AN18&lt;=Hypothèses!$V$10,Hypothèses!$W$10,IF(AN18&lt;=Hypothèses!$V$11,Hypothèses!$W$11,IF(AN18&lt;=Hypothèses!$V$12,Hypothèses!$W$12,IF(AN18&lt;=Hypothèses!$V$13,Hypothèses!$W$13,IF(AN18&lt;=Hypothèses!$V$14,Hypothèses!$W$14,IF(AN18&lt;=Hypothèses!$V$15,Hypothèses!$W$15,IF(AN18&lt;=Hypothèses!$V$16,Hypothèses!$W$16,IF(AN18&lt;=Hypothèses!$V$17,Hypothèses!$W$17,IF(AN18&lt;=Hypothèses!$V$18,Hypothèses!$W$18,""))))))))))))</f>
        <v>#DIV/0!</v>
      </c>
      <c r="BI18" s="87" t="e">
        <f t="shared" ca="1" si="118"/>
        <v>#DIV/0!</v>
      </c>
      <c r="BJ18" s="88" t="e">
        <f ca="1">IF(AN18&lt;=Hypothèses!$V$7,Hypothèses!$X$7,IF(AN18&lt;=Hypothèses!$V$8,Hypothèses!$X$8,IF(AN18&lt;=Hypothèses!$V$9,Hypothèses!$X$9,IF(AN18&lt;=Hypothèses!$V$10,Hypothèses!$X$10,IF(AN18&lt;=Hypothèses!$V$11,Hypothèses!$X$11,IF(AN18&lt;=Hypothèses!$V$12,Hypothèses!$X$12,IF(AN18&lt;=Hypothèses!$V$13,Hypothèses!$X$13,IF(AN18&lt;=Hypothèses!$V$14,Hypothèses!$X$14,IF(AN18&lt;=Hypothèses!$V$15,Hypothèses!$X$15,IF(AN18&lt;=Hypothèses!$V$16,Hypothèses!$X$16,IF(AN18&lt;=Hypothèses!$U$17,Hypothèses!$W$17,IF(AN18&lt;=Hypothèses!$U$18,Hypothèses!$W$18,""))))))))))))</f>
        <v>#DIV/0!</v>
      </c>
      <c r="BK18" s="95" t="e">
        <f t="shared" ca="1" si="77"/>
        <v>#DIV/0!</v>
      </c>
      <c r="BL18" s="101" t="e">
        <f t="shared" ref="BL18:BL81" si="125">IF($I18=0,0,
IF(BK18&gt;5*BP$12,$I18,
IF($D18="Pressio.",1+($I18-1)*(BK18/BP$12)/5,
IF($D18="Pénétro.",IF($E18=1,0.3+($I18-0.3)*(BK18/BP$12)/5,
IF($E18=2,0.2+($I18-0.2)*(BK18/BP$12)/5,
IF($E18=3,0.1+($I18-0.1)*(BK18/BP$12)/5,
0.15+($I18-0.15)*(BK18/BP$12)/5)))))))</f>
        <v>#N/A</v>
      </c>
      <c r="BM18" s="91" t="e">
        <f t="shared" si="29"/>
        <v>#N/A</v>
      </c>
      <c r="BN18" s="30" t="e">
        <f t="shared" si="104"/>
        <v>#N/A</v>
      </c>
      <c r="BO18" s="30" t="e">
        <f t="shared" si="105"/>
        <v>#N/A</v>
      </c>
      <c r="BP18" s="31" t="e">
        <f>IF(OR(Hypothèses!$B$4=17,Hypothèses!$B$4=18,Hypothèses!$B$4=19,Hypothèses!$B$4=20),
IF($D18="Pressio.",
IF(OR($E18=3,$E18=1,$E18=4),BO18,BN18),
IF($D18="Pénétro.",
IF(OR($E18=3,$E18=1,$E18=4),BO18,BN18))),IF($D18="Pressio.",
IF($E18=3,BO18,BN18),
IF($D18="Pénétro.",
IF($E18=4,BO18,BN18))))</f>
        <v>#N/A</v>
      </c>
      <c r="BQ18" s="31" t="e">
        <f>(IF(OR(Hypothèses!$B$4=17,Hypothèses!$B$4=18,Hypothèses!$B$4=19,Hypothèses!$B$4=20),
IF($D18="Pressio.",
IF(OR($E18=3,$E18=1,$E18=4),(PI()*BQ$12^2)/4*(BM18*$W18*1000)/($H18*$B$5),(PI()*BQ$12^2)/4*(BM18*$W18*1000)/($G18*$B$5)),
IF($D18="Pénétro.",
IF(OR($E18=4,$E18=1,$E18=5),(PI()*BQ$12^2)/4*(BM18*$W18*1000)/($H18*$B$5),(PI()*BQ$12^2)/4*(BM18*$W18*1000)/($G18*$B$5)))),
IF($D18="Pressio.",
IF($E18=3,(PI()*BQ$12^2)/4*(BM18*$W18*1000)/($H18*$B$5),(PI()*BQ$12^2)/4*(BM18*$W18*1000)/($G18*$B$5)),
IF($D18="Pénétro.",
IF($E18=4,(PI()*BQ$12^2)/4*(BM18*$W18*1000)/($H18*$B$5),(PI()*BQ$12^2)/4*(BM18*$W18*1000)/($G18*$B$5))))))/10</f>
        <v>#N/A</v>
      </c>
      <c r="BR18" s="102" t="e">
        <f>(VLOOKUP($B$3,'Coeff EC7'!$T$39:$X$59,2,0)*BP18+VLOOKUP($B$3,'Coeff EC7'!$T$65:$X$85,2,0)*Model0.1C!BQ18)/1.1</f>
        <v>#N/A</v>
      </c>
      <c r="BS18" s="102" t="e">
        <f>(VLOOKUP($B$3,'Coeff EC7'!$T$39:$X$59,3,0)*BP18+VLOOKUP($B$3,'Coeff EC7'!$T$65:$X$85,3,0)*Model0.1C!BQ18)/0.9</f>
        <v>#N/A</v>
      </c>
      <c r="BT18" s="102" t="e">
        <f t="shared" si="78"/>
        <v>#N/A</v>
      </c>
      <c r="BU18" s="102" t="e">
        <f t="shared" si="79"/>
        <v>#N/A</v>
      </c>
      <c r="BV18" s="414" t="e">
        <f>IF(BV17=0,0,IF(AND(BR18&gt;charge_ELS_quasi,BS18&gt;Charge_ELS_freq,BT18&gt;charge_ELU,BU18&gt;charge_ELA,$B18&gt;NDC!$H$22-0.1+MIN(3*$BV$12,1.5)),0,1))</f>
        <v>#N/A</v>
      </c>
      <c r="BW18" s="86" t="b">
        <f t="shared" si="32"/>
        <v>0</v>
      </c>
      <c r="BX18" s="86">
        <f t="shared" si="33"/>
        <v>0.5</v>
      </c>
      <c r="BY18" s="86">
        <f t="shared" si="34"/>
        <v>0.5</v>
      </c>
      <c r="BZ18" s="30" t="e">
        <f t="shared" ca="1" si="80"/>
        <v>#DIV/0!</v>
      </c>
      <c r="CA18" s="85" t="e">
        <f ca="1">IF(BG18&lt;=Hypothèses!$V$7,Hypothèses!$W$7,IF(BG18&lt;=Hypothèses!$V$8,Hypothèses!$W$8,IF(BG18&lt;=Hypothèses!$V$9,Hypothèses!$W$9,IF(BG18&lt;=Hypothèses!$V$10,Hypothèses!$W$10,IF(BG18&lt;=Hypothèses!$V$11,Hypothèses!$W$11,IF(BG18&lt;=Hypothèses!$V$12,Hypothèses!$W$12,IF(BG18&lt;=Hypothèses!$V$13,Hypothèses!$W$13,IF(BG18&lt;=Hypothèses!$V$14,Hypothèses!$W$14,IF(BG18&lt;=Hypothèses!$V$15,Hypothèses!$W$15,IF(BG18&lt;=Hypothèses!$V$16,Hypothèses!$W$16,IF(BG18&lt;=Hypothèses!$V$17,Hypothèses!$W$17,IF(BG18&lt;=Hypothèses!$V$18,Hypothèses!$W$18,""))))))))))))</f>
        <v>#DIV/0!</v>
      </c>
      <c r="CB18" s="87" t="e">
        <f t="shared" ca="1" si="119"/>
        <v>#DIV/0!</v>
      </c>
      <c r="CC18" s="88" t="e">
        <f ca="1">IF(BG18&lt;=Hypothèses!$V$7,Hypothèses!$X$7,IF(BG18&lt;=Hypothèses!$V$8,Hypothèses!$X$8,IF(BG18&lt;=Hypothèses!$V$9,Hypothèses!$X$9,IF(BG18&lt;=Hypothèses!$V$10,Hypothèses!$X$10,IF(BG18&lt;=Hypothèses!$V$11,Hypothèses!$X$11,IF(BG18&lt;=Hypothèses!$V$12,Hypothèses!$X$12,IF(BG18&lt;=Hypothèses!$V$13,Hypothèses!$X$13,IF(BG18&lt;=Hypothèses!$V$14,Hypothèses!$X$14,IF(BG18&lt;=Hypothèses!$V$15,Hypothèses!$X$15,IF(BG18&lt;=Hypothèses!$V$16,Hypothèses!$X$16,IF(BG18&lt;=Hypothèses!$U$17,Hypothèses!$W$17,IF(BG18&lt;=Hypothèses!$U$18,Hypothèses!$W$18,""))))))))))))</f>
        <v>#DIV/0!</v>
      </c>
      <c r="CD18" s="95" t="e">
        <f t="shared" ca="1" si="81"/>
        <v>#DIV/0!</v>
      </c>
      <c r="CE18" s="101" t="e">
        <f t="shared" ref="CE18:CE81" si="126">IF($I18=0,0,
IF(CD18&gt;5*CI$12,$I18,
IF($D18="Pressio.",1+($I18-1)*(CD18/CI$12)/5,
IF($D18="Pénétro.",IF($E18=1,0.3+($I18-0.3)*(CD18/CI$12)/5,
IF($E18=2,0.2+($I18-0.2)*(CD18/CI$12)/5,
IF($E18=3,0.1+($I18-0.1)*(CD18/CI$12)/5,
0.15+($I18-0.15)*(CD18/CI$12)/5)))))))</f>
        <v>#N/A</v>
      </c>
      <c r="CF18" s="91" t="e">
        <f t="shared" si="36"/>
        <v>#N/A</v>
      </c>
      <c r="CG18" s="30" t="e">
        <f t="shared" si="106"/>
        <v>#N/A</v>
      </c>
      <c r="CH18" s="30" t="e">
        <f t="shared" si="107"/>
        <v>#N/A</v>
      </c>
      <c r="CI18" s="31" t="e">
        <f>IF(OR(Hypothèses!$B$4=17,Hypothèses!$B$4=18,Hypothèses!$B$4=19,Hypothèses!$B$4=20),
IF($D18="Pressio.",
IF(OR($E18=3,$E18=1,$E18=4),CH18,CG18),
IF($D18="Pénétro.",
IF(OR($E18=3,$E18=1,$E18=4),CH18,CG18))),IF($D18="Pressio.",
IF($E18=3,CH18,CG18),
IF($D18="Pénétro.",
IF($E18=4,CH18,CG18))))</f>
        <v>#N/A</v>
      </c>
      <c r="CJ18" s="31" t="e">
        <f>(IF(OR(Hypothèses!$B$4=17,Hypothèses!$B$4=18,Hypothèses!$B$4=19,Hypothèses!$B$4=20),
IF($D18="Pressio.",
IF(OR($E18=3,$E18=1,$E18=4),(PI()*CJ$12^2)/4*(CF18*$W18*1000)/($H18*$B$5),(PI()*CJ$12^2)/4*(CF18*$W18*1000)/($G18*$B$5)),
IF($D18="Pénétro.",
IF(OR($E18=4,$E18=1,$E18=5),(PI()*CJ$12^2)/4*(CF18*$W18*1000)/($H18*$B$5),(PI()*CJ$12^2)/4*(CF18*$W18*1000)/($G18*$B$5)))),
IF($D18="Pressio.",
IF($E18=3,(PI()*CJ$12^2)/4*(CF18*$W18*1000)/($H18*$B$5),(PI()*CJ$12^2)/4*(CF18*$W18*1000)/($G18*$B$5)),
IF($D18="Pénétro.",
IF($E18=4,(PI()*CJ$12^2)/4*(CF18*$W18*1000)/($H18*$B$5),(PI()*CJ$12^2)/4*(CF18*$W18*1000)/($G18*$B$5))))))/10</f>
        <v>#N/A</v>
      </c>
      <c r="CK18" s="102" t="e">
        <f>(VLOOKUP($B$3,'Coeff EC7'!$T$39:$X$59,2,0)*CI18+VLOOKUP($B$3,'Coeff EC7'!$T$65:$X$85,2,0)*Model0.1C!CJ18)/1.1</f>
        <v>#N/A</v>
      </c>
      <c r="CL18" s="102" t="e">
        <f>(VLOOKUP($B$3,'Coeff EC7'!$T$39:$X$59,3,0)*CI18+VLOOKUP($B$3,'Coeff EC7'!$T$65:$X$85,3,0)*Model0.1C!CJ18)/0.9</f>
        <v>#N/A</v>
      </c>
      <c r="CM18" s="102" t="e">
        <f t="shared" si="82"/>
        <v>#N/A</v>
      </c>
      <c r="CN18" s="102" t="e">
        <f t="shared" si="83"/>
        <v>#N/A</v>
      </c>
      <c r="CO18" s="414" t="e">
        <f>IF(CO17=0,0,IF(AND(CK18&gt;charge_ELS_quasi,CL18&gt;Charge_ELS_freq,CM18&gt;charge_ELU,CN18&gt;charge_ELA,$B18&gt;NDC!$H$22-0.1+MIN(3*$CO$12,1.5)),0,1))</f>
        <v>#N/A</v>
      </c>
      <c r="CP18" s="86" t="b">
        <f t="shared" si="39"/>
        <v>0</v>
      </c>
      <c r="CQ18" s="86">
        <f t="shared" si="40"/>
        <v>0.5</v>
      </c>
      <c r="CR18" s="86">
        <f t="shared" si="41"/>
        <v>0.5</v>
      </c>
      <c r="CS18" s="30" t="e">
        <f t="shared" ca="1" si="84"/>
        <v>#DIV/0!</v>
      </c>
      <c r="CT18" s="85" t="e">
        <f ca="1">IF(BZ18&lt;=Hypothèses!$V$7,Hypothèses!$W$7,IF(BZ18&lt;=Hypothèses!$V$8,Hypothèses!$W$8,IF(BZ18&lt;=Hypothèses!$V$9,Hypothèses!$W$9,IF(BZ18&lt;=Hypothèses!$V$10,Hypothèses!$W$10,IF(BZ18&lt;=Hypothèses!$V$11,Hypothèses!$W$11,IF(BZ18&lt;=Hypothèses!$V$12,Hypothèses!$W$12,IF(BZ18&lt;=Hypothèses!$V$13,Hypothèses!$W$13,IF(BZ18&lt;=Hypothèses!$V$14,Hypothèses!$W$14,IF(BZ18&lt;=Hypothèses!$V$15,Hypothèses!$W$15,IF(BZ18&lt;=Hypothèses!$V$16,Hypothèses!$W$16,IF(BZ18&lt;=Hypothèses!$V$17,Hypothèses!$W$17,IF(BZ18&lt;=Hypothèses!$V$18,Hypothèses!$W$18,""))))))))))))</f>
        <v>#DIV/0!</v>
      </c>
      <c r="CU18" s="87" t="e">
        <f t="shared" ca="1" si="120"/>
        <v>#DIV/0!</v>
      </c>
      <c r="CV18" s="88" t="e">
        <f ca="1">IF(BZ18&lt;=Hypothèses!$V$7,Hypothèses!$X$7,IF(BZ18&lt;=Hypothèses!$V$8,Hypothèses!$X$8,IF(BZ18&lt;=Hypothèses!$V$9,Hypothèses!$X$9,IF(BZ18&lt;=Hypothèses!$V$10,Hypothèses!$X$10,IF(BZ18&lt;=Hypothèses!$V$11,Hypothèses!$X$11,IF(BZ18&lt;=Hypothèses!$V$12,Hypothèses!$X$12,IF(BZ18&lt;=Hypothèses!$V$13,Hypothèses!$X$13,IF(BZ18&lt;=Hypothèses!$V$14,Hypothèses!$X$14,IF(BZ18&lt;=Hypothèses!$V$15,Hypothèses!$X$15,IF(BZ18&lt;=Hypothèses!$V$16,Hypothèses!$X$16,IF(BZ18&lt;=Hypothèses!$U$17,Hypothèses!$W$17,IF(BZ18&lt;=Hypothèses!$U$18,Hypothèses!$W$18,""))))))))))))</f>
        <v>#DIV/0!</v>
      </c>
      <c r="CW18" s="95" t="e">
        <f t="shared" ca="1" si="85"/>
        <v>#DIV/0!</v>
      </c>
      <c r="CX18" s="101" t="e">
        <f t="shared" ref="CX18:CX81" si="127">IF($I18=0,0,
IF(CW18&gt;5*DB$12,$I18,
IF($D18="Pressio.",1+($I18-1)*(CW18/DB$12)/5,
IF($D18="Pénétro.",IF($E18=1,0.3+($I18-0.3)*(CW18/DB$12)/5,
IF($E18=2,0.2+($I18-0.2)*(CW18/DB$12)/5,
IF($E18=3,0.1+($I18-0.1)*(CW18/DB$12)/5,
0.15+($I18-0.15)*(CW18/DB$12)/5)))))))</f>
        <v>#N/A</v>
      </c>
      <c r="CY18" s="91" t="e">
        <f t="shared" si="43"/>
        <v>#N/A</v>
      </c>
      <c r="CZ18" s="30" t="e">
        <f t="shared" si="108"/>
        <v>#N/A</v>
      </c>
      <c r="DA18" s="30" t="e">
        <f t="shared" si="109"/>
        <v>#N/A</v>
      </c>
      <c r="DB18" s="31" t="e">
        <f>IF(OR(Hypothèses!$B$4=17,Hypothèses!$B$4=18,Hypothèses!$B$4=19,Hypothèses!$B$4=20),
IF($D18="Pressio.",
IF(OR($E18=3,$E18=1,$E18=4),DA18,CZ18),
IF($D18="Pénétro.",
IF(OR($E18=3,$E18=1,$E18=4),DA18,CZ18))),IF($D18="Pressio.",
IF($E18=3,DA18,CZ18),
IF($D18="Pénétro.",
IF($E18=4,DA18,CZ18))))</f>
        <v>#N/A</v>
      </c>
      <c r="DC18" s="31" t="e">
        <f>(IF(OR(Hypothèses!$B$4=17,Hypothèses!$B$4=18,Hypothèses!$B$4=19,Hypothèses!$B$4=20),
IF($D18="Pressio.",
IF(OR($E18=3,$E18=1,$E18=4),(PI()*DC$12^2)/4*(CY18*$W18*1000)/($H18*$B$5),(PI()*DC$12^2)/4*(CY18*$W18*1000)/($G18*$B$5)),
IF($D18="Pénétro.",
IF(OR($E18=4,$E18=1,$E18=5),(PI()*DC$12^2)/4*(CY18*$W18*1000)/($H18*$B$5),(PI()*DC$12^2)/4*(CY18*$W18*1000)/($G18*$B$5)))),
IF($D18="Pressio.",
IF($E18=3,(PI()*DC$12^2)/4*(CY18*$W18*1000)/($H18*$B$5),(PI()*DC$12^2)/4*(CY18*$W18*1000)/($G18*$B$5)),
IF($D18="Pénétro.",
IF($E18=4,(PI()*DC$12^2)/4*(CY18*$W18*1000)/($H18*$B$5),(PI()*DC$12^2)/4*(CY18*$W18*1000)/($G18*$B$5))))))/10</f>
        <v>#N/A</v>
      </c>
      <c r="DD18" s="102" t="e">
        <f>(VLOOKUP($B$3,'Coeff EC7'!$T$39:$X$59,2,0)*DB18+VLOOKUP($B$3,'Coeff EC7'!$T$65:$X$85,2,0)*Model0.1C!DC18)/1.1</f>
        <v>#N/A</v>
      </c>
      <c r="DE18" s="102" t="e">
        <f>(VLOOKUP($B$3,'Coeff EC7'!$T$39:$X$59,3,0)*DB18+VLOOKUP($B$3,'Coeff EC7'!$T$65:$X$85,3,0)*Model0.1C!DC18)/0.9</f>
        <v>#N/A</v>
      </c>
      <c r="DF18" s="102" t="e">
        <f t="shared" si="86"/>
        <v>#N/A</v>
      </c>
      <c r="DG18" s="102" t="e">
        <f t="shared" si="87"/>
        <v>#N/A</v>
      </c>
      <c r="DH18" s="414" t="e">
        <f>IF(DH17=0,0,IF(AND(DD18&gt;charge_ELS_quasi,DE18&gt;Charge_ELS_freq,DF18&gt;charge_ELU,DG18&gt;charge_ELA,$B18&gt;NDC!$H$22-0.1+MIN(3*$DH$12,1.5)),0,1))</f>
        <v>#N/A</v>
      </c>
      <c r="DI18" s="86" t="b">
        <f t="shared" si="46"/>
        <v>0</v>
      </c>
      <c r="DJ18" s="86">
        <f t="shared" si="47"/>
        <v>0.5</v>
      </c>
      <c r="DK18" s="86">
        <f t="shared" si="48"/>
        <v>0.5</v>
      </c>
      <c r="DL18" s="30" t="e">
        <f t="shared" ca="1" si="88"/>
        <v>#DIV/0!</v>
      </c>
      <c r="DM18" s="85" t="e">
        <f ca="1">IF(CS18&lt;=Hypothèses!$V$7,Hypothèses!$W$7,IF(CS18&lt;=Hypothèses!$V$8,Hypothèses!$W$8,IF(CS18&lt;=Hypothèses!$V$9,Hypothèses!$W$9,IF(CS18&lt;=Hypothèses!$V$10,Hypothèses!$W$10,IF(CS18&lt;=Hypothèses!$V$11,Hypothèses!$W$11,IF(CS18&lt;=Hypothèses!$V$12,Hypothèses!$W$12,IF(CS18&lt;=Hypothèses!$V$13,Hypothèses!$W$13,IF(CS18&lt;=Hypothèses!$V$14,Hypothèses!$W$14,IF(CS18&lt;=Hypothèses!$V$15,Hypothèses!$W$15,IF(CS18&lt;=Hypothèses!$V$16,Hypothèses!$W$16,IF(CS18&lt;=Hypothèses!$V$17,Hypothèses!$W$17,IF(CS18&lt;=Hypothèses!$V$18,Hypothèses!$W$18,""))))))))))))</f>
        <v>#DIV/0!</v>
      </c>
      <c r="DN18" s="87" t="e">
        <f t="shared" ca="1" si="121"/>
        <v>#DIV/0!</v>
      </c>
      <c r="DO18" s="88" t="e">
        <f ca="1">IF(CS18&lt;=Hypothèses!$V$7,Hypothèses!$X$7,IF(CS18&lt;=Hypothèses!$V$8,Hypothèses!$X$8,IF(CS18&lt;=Hypothèses!$V$9,Hypothèses!$X$9,IF(CS18&lt;=Hypothèses!$V$10,Hypothèses!$X$10,IF(CS18&lt;=Hypothèses!$V$11,Hypothèses!$X$11,IF(CS18&lt;=Hypothèses!$V$12,Hypothèses!$X$12,IF(CS18&lt;=Hypothèses!$V$13,Hypothèses!$X$13,IF(CS18&lt;=Hypothèses!$V$14,Hypothèses!$X$14,IF(CS18&lt;=Hypothèses!$V$15,Hypothèses!$X$15,IF(CS18&lt;=Hypothèses!$V$16,Hypothèses!$X$16,IF(CS18&lt;=Hypothèses!$U$17,Hypothèses!$W$17,IF(CS18&lt;=Hypothèses!$U$18,Hypothèses!$W$18,""))))))))))))</f>
        <v>#DIV/0!</v>
      </c>
      <c r="DP18" s="95" t="e">
        <f t="shared" ca="1" si="89"/>
        <v>#DIV/0!</v>
      </c>
      <c r="DQ18" s="101" t="e">
        <f t="shared" ref="DQ18:DQ81" si="128">IF($I18=0,0,
IF(DP18&gt;5*DU$12,$I18,
IF($D18="Pressio.",1+($I18-1)*(DP18/DU$12)/5,
IF($D18="Pénétro.",IF($E18=1,0.3+($I18-0.3)*(DP18/DU$12)/5,
IF($E18=2,0.2+($I18-0.2)*(DP18/DU$12)/5,
IF($E18=3,0.1+($I18-0.1)*(DP18/DU$12)/5,
0.15+($I18-0.15)*(DP18/DU$12)/5)))))))</f>
        <v>#N/A</v>
      </c>
      <c r="DR18" s="91" t="e">
        <f t="shared" si="50"/>
        <v>#N/A</v>
      </c>
      <c r="DS18" s="30" t="e">
        <f t="shared" si="110"/>
        <v>#N/A</v>
      </c>
      <c r="DT18" s="30" t="e">
        <f t="shared" si="111"/>
        <v>#N/A</v>
      </c>
      <c r="DU18" s="31" t="e">
        <f>IF(OR(Hypothèses!$B$4=17,Hypothèses!$B$4=18,Hypothèses!$B$4=19,Hypothèses!$B$4=20),
IF($D18="Pressio.",
IF(OR($E18=3,$E18=1,$E18=4),DT18,DS18),
IF($D18="Pénétro.",
IF(OR($E18=3,$E18=1,$E18=4),DT18,DS18))),IF($D18="Pressio.",
IF($E18=3,DT18,DS18),
IF($D18="Pénétro.",
IF($E18=4,DT18,DS18))))</f>
        <v>#N/A</v>
      </c>
      <c r="DV18" s="31" t="e">
        <f>(IF(OR(Hypothèses!$B$4=17,Hypothèses!$B$4=18,Hypothèses!$B$4=19,Hypothèses!$B$4=20),
IF($D18="Pressio.",
IF(OR($E18=3,$E18=1,$E18=4),(PI()*DV$12^2)/4*(DR18*$W18*1000)/($H18*$B$5),(PI()*DV$12^2)/4*(DR18*$W18*1000)/($G18*$B$5)),
IF($D18="Pénétro.",
IF(OR($E18=4,$E18=1,$E18=5),(PI()*DV$12^2)/4*(DR18*$W18*1000)/($H18*$B$5),(PI()*DV$12^2)/4*(DR18*$W18*1000)/($G18*$B$5)))),
IF($D18="Pressio.",
IF($E18=3,(PI()*DV$12^2)/4*(DR18*$W18*1000)/($H18*$B$5),(PI()*DV$12^2)/4*(DR18*$W18*1000)/($G18*$B$5)),
IF($D18="Pénétro.",
IF($E18=4,(PI()*DV$12^2)/4*(DR18*$W18*1000)/($H18*$B$5),(PI()*DV$12^2)/4*(DR18*$W18*1000)/($G18*$B$5))))))/10</f>
        <v>#N/A</v>
      </c>
      <c r="DW18" s="102" t="e">
        <f>(VLOOKUP($B$3,'Coeff EC7'!$T$39:$X$59,2,0)*DU18+VLOOKUP($B$3,'Coeff EC7'!$T$65:$X$85,2,0)*Model0.1C!DV18)/1.1</f>
        <v>#N/A</v>
      </c>
      <c r="DX18" s="102" t="e">
        <f>(VLOOKUP($B$3,'Coeff EC7'!$T$39:$X$59,3,0)*DU18+VLOOKUP($B$3,'Coeff EC7'!$T$65:$X$85,3,0)*Model0.1C!DV18)/0.9</f>
        <v>#N/A</v>
      </c>
      <c r="DY18" s="102" t="e">
        <f t="shared" si="90"/>
        <v>#N/A</v>
      </c>
      <c r="DZ18" s="102" t="e">
        <f t="shared" si="91"/>
        <v>#N/A</v>
      </c>
      <c r="EA18" s="414" t="e">
        <f>IF(EA17=0,0,IF(AND(DW18&gt;charge_ELS_quasi,DX18&gt;Charge_ELS_freq,DY18&gt;charge_ELU,DZ18&gt;charge_ELA,$B18&gt;NDC!$H$22-0.1+MIN(3*$EA$12,1.5)),0,1))</f>
        <v>#N/A</v>
      </c>
      <c r="EB18" s="86" t="b">
        <f t="shared" si="53"/>
        <v>0</v>
      </c>
      <c r="EC18" s="418">
        <f t="shared" si="54"/>
        <v>0.51</v>
      </c>
      <c r="ED18" s="86">
        <f t="shared" si="55"/>
        <v>0.51</v>
      </c>
      <c r="EE18" s="30" t="e">
        <f t="shared" ca="1" si="92"/>
        <v>#DIV/0!</v>
      </c>
      <c r="EF18" s="85" t="e">
        <f ca="1">IF(DL18&lt;=Hypothèses!$V$7,Hypothèses!$W$7,IF(DL18&lt;=Hypothèses!$V$8,Hypothèses!$W$8,IF(DL18&lt;=Hypothèses!$V$9,Hypothèses!$W$9,IF(DL18&lt;=Hypothèses!$V$10,Hypothèses!$W$10,IF(DL18&lt;=Hypothèses!$V$11,Hypothèses!$W$11,IF(DL18&lt;=Hypothèses!$V$12,Hypothèses!$W$12,IF(DL18&lt;=Hypothèses!$V$13,Hypothèses!$W$13,IF(DL18&lt;=Hypothèses!$V$14,Hypothèses!$W$14,IF(DL18&lt;=Hypothèses!$V$15,Hypothèses!$W$15,IF(DL18&lt;=Hypothèses!$V$16,Hypothèses!$W$16,IF(DL18&lt;=Hypothèses!$V$17,Hypothèses!$W$17,IF(DL18&lt;=Hypothèses!$V$18,Hypothèses!$W$18,""))))))))))))</f>
        <v>#DIV/0!</v>
      </c>
      <c r="EG18" s="87" t="e">
        <f t="shared" ca="1" si="122"/>
        <v>#DIV/0!</v>
      </c>
      <c r="EH18" s="88" t="e">
        <f ca="1">IF(DL18&lt;=Hypothèses!$V$7,Hypothèses!$X$7,IF(DL18&lt;=Hypothèses!$V$8,Hypothèses!$X$8,IF(DL18&lt;=Hypothèses!$V$9,Hypothèses!$X$9,IF(DL18&lt;=Hypothèses!$V$10,Hypothèses!$X$10,IF(DL18&lt;=Hypothèses!$V$11,Hypothèses!$X$11,IF(DL18&lt;=Hypothèses!$V$12,Hypothèses!$X$12,IF(DL18&lt;=Hypothèses!$V$13,Hypothèses!$X$13,IF(DL18&lt;=Hypothèses!$V$14,Hypothèses!$X$14,IF(DL18&lt;=Hypothèses!$V$15,Hypothèses!$X$15,IF(DL18&lt;=Hypothèses!$V$16,Hypothèses!$X$16,IF(DL18&lt;=Hypothèses!$U$17,Hypothèses!$W$17,IF(DL18&lt;=Hypothèses!$U$18,Hypothèses!$W$18,""))))))))))))</f>
        <v>#DIV/0!</v>
      </c>
      <c r="EI18" s="95" t="e">
        <f t="shared" ca="1" si="93"/>
        <v>#DIV/0!</v>
      </c>
      <c r="EJ18" s="101" t="e">
        <f t="shared" ref="EJ18:EJ81" si="129">IF($I18=0,0,
IF(EI18&gt;5*EN$12,$I18,
IF($D18="Pressio.",1+($I18-1)*(EI18/EN$12)/5,
IF($D18="Pénétro.",IF($E18=1,0.3+($I18-0.3)*(EI18/EN$12)/5,
IF($E18=2,0.2+($I18-0.2)*(EI18/EN$12)/5,
IF($E18=3,0.1+($I18-0.1)*(EI18/EN$12)/5,
0.15+($I18-0.15)*(EI18/EN$12)/5)))))))</f>
        <v>#N/A</v>
      </c>
      <c r="EK18" s="91" t="e">
        <f t="shared" si="57"/>
        <v>#N/A</v>
      </c>
      <c r="EL18" s="30" t="e">
        <f t="shared" si="112"/>
        <v>#N/A</v>
      </c>
      <c r="EM18" s="30" t="e">
        <f t="shared" si="113"/>
        <v>#N/A</v>
      </c>
      <c r="EN18" s="31" t="e">
        <f>IF(OR(Hypothèses!$B$4=17,Hypothèses!$B$4=18,Hypothèses!$B$4=19,Hypothèses!$B$4=20),
IF($D18="Pressio.",
IF(OR($E18=3,$E18=1,$E18=4),EM18,EL18),
IF($D18="Pénétro.",
IF(OR($E18=3,$E18=1,$E18=4),EM18,EL18))),IF($D18="Pressio.",
IF($E18=3,EM18,EL18),
IF($D18="Pénétro.",
IF($E18=4,EM18,EL18))))</f>
        <v>#N/A</v>
      </c>
      <c r="EO18" s="31" t="e">
        <f>(IF(OR(Hypothèses!$B$4=17,Hypothèses!$B$4=18,Hypothèses!$B$4=19,Hypothèses!$B$4=20),
IF($D18="Pressio.",
IF(OR($E18=3,$E18=1,$E18=4),(PI()*EO$12^2)/4*(EK18*$W18*1000)/($H18*$B$5),(PI()*EO$12^2)/4*(EK18*$W18*1000)/($G18*$B$5)),
IF($D18="Pénétro.",
IF(OR($E18=4,$E18=1,$E18=5),(PI()*EO$12^2)/4*(EK18*$W18*1000)/($H18*$B$5),(PI()*EO$12^2)/4*(EK18*$W18*1000)/($G18*$B$5)))),
IF($D18="Pressio.",
IF($E18=3,(PI()*EO$12^2)/4*(EK18*$W18*1000)/($H18*$B$5),(PI()*EO$12^2)/4*(EK18*$W18*1000)/($G18*$B$5)),
IF($D18="Pénétro.",
IF($E18=4,(PI()*EO$12^2)/4*(EK18*$W18*1000)/($H18*$B$5),(PI()*EO$12^2)/4*(EK18*$W18*1000)/($G18*$B$5))))))/10</f>
        <v>#N/A</v>
      </c>
      <c r="EP18" s="102" t="e">
        <f>(VLOOKUP($B$3,'Coeff EC7'!$T$39:$X$59,2,0)*EN18+VLOOKUP($B$3,'Coeff EC7'!$T$65:$X$85,2,0)*Model0.1C!EO18)/1.1</f>
        <v>#N/A</v>
      </c>
      <c r="EQ18" s="102" t="e">
        <f>(VLOOKUP($B$3,'Coeff EC7'!$T$39:$X$59,3,0)*EN18+VLOOKUP($B$3,'Coeff EC7'!$T$65:$X$85,3,0)*Model0.1C!EO18)/0.9</f>
        <v>#N/A</v>
      </c>
      <c r="ER18" s="102" t="e">
        <f t="shared" si="94"/>
        <v>#N/A</v>
      </c>
      <c r="ES18" s="102" t="e">
        <f t="shared" si="95"/>
        <v>#N/A</v>
      </c>
      <c r="ET18" s="414" t="e">
        <f>IF(ET17=0,0,IF(AND(EP18&gt;charge_ELS_quasi,EQ18&gt;Charge_ELS_freq,ER18&gt;charge_ELU,ES18&gt;charge_ELA,$B18&gt;NDC!$H$22-0.1+MIN(3*$ET$12,1.5)),0,1))</f>
        <v>#N/A</v>
      </c>
      <c r="EU18" s="86" t="b">
        <f t="shared" si="60"/>
        <v>0</v>
      </c>
      <c r="EV18" s="86">
        <f t="shared" si="61"/>
        <v>0.61</v>
      </c>
      <c r="EW18" s="86">
        <f t="shared" si="62"/>
        <v>0.61</v>
      </c>
      <c r="EX18" s="30" t="e">
        <f t="shared" ca="1" si="96"/>
        <v>#DIV/0!</v>
      </c>
      <c r="EY18" s="85" t="e">
        <f ca="1">IF(EE18&lt;=Hypothèses!$V$7,Hypothèses!$W$7,IF(EE18&lt;=Hypothèses!$V$8,Hypothèses!$W$8,IF(EE18&lt;=Hypothèses!$V$9,Hypothèses!$W$9,IF(EE18&lt;=Hypothèses!$V$10,Hypothèses!$W$10,IF(EE18&lt;=Hypothèses!$V$11,Hypothèses!$W$11,IF(EE18&lt;=Hypothèses!$V$12,Hypothèses!$W$12,IF(EE18&lt;=Hypothèses!$V$13,Hypothèses!$W$13,IF(EE18&lt;=Hypothèses!$V$14,Hypothèses!$W$14,IF(EE18&lt;=Hypothèses!$V$15,Hypothèses!$W$15,IF(EE18&lt;=Hypothèses!$V$16,Hypothèses!$W$16,IF(EE18&lt;=Hypothèses!$V$17,Hypothèses!$W$17,IF(EE18&lt;=Hypothèses!$V$18,Hypothèses!$W$18,""))))))))))))</f>
        <v>#DIV/0!</v>
      </c>
      <c r="EZ18" s="87" t="e">
        <f t="shared" ca="1" si="123"/>
        <v>#DIV/0!</v>
      </c>
      <c r="FA18" s="88" t="e">
        <f ca="1">IF(EE18&lt;=Hypothèses!$V$7,Hypothèses!$X$7,IF(EE18&lt;=Hypothèses!$V$8,Hypothèses!$X$8,IF(EE18&lt;=Hypothèses!$V$9,Hypothèses!$X$9,IF(EE18&lt;=Hypothèses!$V$10,Hypothèses!$X$10,IF(EE18&lt;=Hypothèses!$V$11,Hypothèses!$X$11,IF(EE18&lt;=Hypothèses!$V$12,Hypothèses!$X$12,IF(EE18&lt;=Hypothèses!$V$13,Hypothèses!$X$13,IF(EE18&lt;=Hypothèses!$V$14,Hypothèses!$X$14,IF(EE18&lt;=Hypothèses!$V$15,Hypothèses!$X$15,IF(EE18&lt;=Hypothèses!$V$16,Hypothèses!$X$16,IF(EE18&lt;=Hypothèses!$U$17,Hypothèses!$W$17,IF(EE18&lt;=Hypothèses!$U$18,Hypothèses!$W$18,""))))))))))))</f>
        <v>#DIV/0!</v>
      </c>
      <c r="FB18" s="95" t="e">
        <f t="shared" ca="1" si="97"/>
        <v>#DIV/0!</v>
      </c>
      <c r="FC18" s="101" t="e">
        <f t="shared" ref="FC18:FC81" si="130">IF($I18=0,0,
IF(FB18&gt;5*FG$12,$I18,
IF($D18="Pressio.",1+($I18-1)*(FB18/FG$12)/5,
IF($D18="Pénétro.",IF($E18=1,0.3+($I18-0.3)*(FB18/FG$12)/5,
IF($E18=2,0.2+($I18-0.2)*(FB18/FG$12)/5,
IF($E18=3,0.1+($I18-0.1)*(FB18/FG$12)/5,
0.15+($I18-0.15)*(FB18/FG$12)/5)))))))</f>
        <v>#N/A</v>
      </c>
      <c r="FD18" s="91" t="e">
        <f t="shared" si="64"/>
        <v>#N/A</v>
      </c>
      <c r="FE18" s="30" t="e">
        <f t="shared" si="114"/>
        <v>#N/A</v>
      </c>
      <c r="FF18" s="30" t="e">
        <f t="shared" si="115"/>
        <v>#N/A</v>
      </c>
      <c r="FG18" s="31" t="e">
        <f>IF(OR(Hypothèses!$B$4=17,Hypothèses!$B$4=18,Hypothèses!$B$4=19,Hypothèses!$B$4=20),
IF($D18="Pressio.",
IF(OR($E18=3,$E18=1,$E18=4),FF18,FE18),
IF($D18="Pénétro.",
IF(OR($E18=3,$E18=1,$E18=4),FF18,FE18))),IF($D18="Pressio.",
IF($E18=3,FF18,FE18),
IF($D18="Pénétro.",
IF($E18=4,FF18,FE18))))</f>
        <v>#N/A</v>
      </c>
      <c r="FH18" s="31" t="e">
        <f>(IF(OR(Hypothèses!$B$4=17,Hypothèses!$B$4=18,Hypothèses!$B$4=19,Hypothèses!$B$4=20),
IF($D18="Pressio.",
IF(OR($E18=3,$E18=1,$E18=4),(PI()*FH$12^2)/4*(FD18*$W18*1000)/($H18*$B$5),(PI()*FH$12^2)/4*(FD18*$W18*1000)/($G18*$B$5)),
IF($D18="Pénétro.",
IF(OR($E18=4,$E18=1,$E18=5),(PI()*FH$12^2)/4*(FD18*$W18*1000)/($H18*$B$5),(PI()*FH$12^2)/4*(FD18*$W18*1000)/($G18*$B$5)))),
IF($D18="Pressio.",
IF($E18=3,(PI()*FH$12^2)/4*(FD18*$W18*1000)/($H18*$B$5),(PI()*FH$12^2)/4*(FD18*$W18*1000)/($G18*$B$5)),
IF($D18="Pénétro.",
IF($E18=4,(PI()*FH$12^2)/4*(FD18*$W18*1000)/($H18*$B$5),(PI()*FH$12^2)/4*(FD18*$W18*1000)/($G18*$B$5))))))/10</f>
        <v>#N/A</v>
      </c>
      <c r="FI18" s="102" t="e">
        <f>(VLOOKUP($B$3,'Coeff EC7'!$T$39:$X$59,2,0)*FG18+VLOOKUP($B$3,'Coeff EC7'!$T$65:$X$85,2,0)*Model0.1C!FH18)/1.1</f>
        <v>#N/A</v>
      </c>
      <c r="FJ18" s="102" t="e">
        <f>(VLOOKUP($B$3,'Coeff EC7'!$T$39:$X$59,3,0)*FG18+VLOOKUP($B$3,'Coeff EC7'!$T$65:$X$85,3,0)*Model0.1C!FH18)/0.9</f>
        <v>#N/A</v>
      </c>
      <c r="FK18" s="102" t="e">
        <f t="shared" si="98"/>
        <v>#N/A</v>
      </c>
      <c r="FL18" s="102" t="e">
        <f t="shared" si="99"/>
        <v>#N/A</v>
      </c>
      <c r="FM18" s="414" t="e">
        <f>IF(FM17=0,0,IF(AND(FI18&gt;charge_ELS_quasi,FJ18&gt;Charge_ELS_freq,FK18&gt;charge_ELU,FL18&gt;charge_ELA,$B18&gt;NDC!$H$22-0.1+MIN(3*$FM$12,1.5)),0,1))</f>
        <v>#N/A</v>
      </c>
    </row>
    <row r="19" spans="1:169">
      <c r="A19" s="96">
        <f t="shared" si="67"/>
        <v>99.400000000000034</v>
      </c>
      <c r="B19" s="97">
        <v>0.6</v>
      </c>
      <c r="C19" s="81">
        <f>IF(B19&lt;=Hypothèses!$C$7,Hypothèses!$A$7,IF(B19&lt;=Hypothèses!$C$8,Hypothèses!$A$8,IF(B19&lt;=Hypothèses!$C$9,Hypothèses!$A$9,IF(B19&lt;=Hypothèses!$C$10,Hypothèses!$A$10,IF(B19&lt;=Hypothèses!$C$11,Hypothèses!$A$11,IF(B19&lt;=Hypothèses!$C$12,Hypothèses!$A$12,IF(B19&lt;=Hypothèses!$C$13,Hypothèses!$A$13,IF(B19&lt;=Hypothèses!$C$14,Hypothèses!$A$14,IF(B19&lt;=Hypothèses!$C$15,Hypothèses!$A$15,IF(B19&lt;=Hypothèses!$C$16,Hypothèses!$A$16,IF(B19&lt;=Hypothèses!$C$17,Hypothèses!$A$17,IF(B19&lt;=Hypothèses!$C$18,Hypothèses!$A$18,C18))))))))))))</f>
        <v>11</v>
      </c>
      <c r="D19" s="82" t="str">
        <f>IF(B19&lt;=Hypothèses!$C$7,Hypothèses!$R$7,IF(B19&lt;=Hypothèses!$C$8,Hypothèses!$R$8,IF(B19&lt;=Hypothèses!$C$9,Hypothèses!$R$9,IF(B19&lt;=Hypothèses!$C$10,Hypothèses!$R$10,IF(B19&lt;=Hypothèses!$C$11,Hypothèses!$R$11,IF(B19&lt;=Hypothèses!$C$12,Hypothèses!$R$12,IF(B19&lt;=Hypothèses!$C$13,Hypothèses!$R$13,IF(B19&lt;=Hypothèses!$C$14,Hypothèses!$R$14,IF(B19&lt;=Hypothèses!$C$15,Hypothèses!$R$15,IF(B19&lt;=Hypothèses!$C$16,Hypothèses!$R$16,IF(B19&lt;=Hypothèses!$C$17,Hypothèses!$R$17,IF(B19&lt;=Hypothèses!$C$18,Hypothèses!$R$18,D18))))))))))))</f>
        <v>Pressio.</v>
      </c>
      <c r="E19" s="82" t="e">
        <f>IF(B19&lt;=Hypothèses!$C$7,Hypothèses!$G$7,IF(B19&lt;=Hypothèses!$C$8,Hypothèses!$G$8,IF(B19&lt;=Hypothèses!$C$9,Hypothèses!$G$9,IF(B19&lt;=Hypothèses!$C$10,Hypothèses!$G$10,IF(B19&lt;=Hypothèses!$C$11,Hypothèses!$G$11,IF(B19&lt;=Hypothèses!$C$12,Hypothèses!$G$12,IF(B19&lt;=Hypothèses!$C$13,Hypothèses!$G$13,IF(B19&lt;=Hypothèses!$C$14,Hypothèses!$G$14,IF(B19&lt;=Hypothèses!$C$15,Hypothèses!$G$15,IF(B19&lt;=Hypothèses!$C$16,Hypothèses!$G$16,IF(B19&lt;=Hypothèses!$C$17,Hypothèses!$G$17,IF(B19&lt;=Hypothèses!$C$18,Hypothèses!$G$18,E18))))))))))))</f>
        <v>#N/A</v>
      </c>
      <c r="F19" s="82" t="str">
        <f>IF(B19&lt;=Hypothèses!$C$7,Hypothèses!$F$7,IF(B19&lt;=Hypothèses!$C$8,Hypothèses!$F$8,IF(B19&lt;=Hypothèses!$C$9,Hypothèses!$F$9,IF(B19&lt;=Hypothèses!$C$10,Hypothèses!$F$10,IF(B19&lt;=Hypothèses!$C$11,Hypothèses!$F$11,IF(B19&lt;=Hypothèses!$C$12,Hypothèses!$F$12,IF(B19&lt;=Hypothèses!$C$13,Hypothèses!$F$13,IF(B19&lt;=Hypothèses!$C$14,Hypothèses!$F$14,IF(B19&lt;=Hypothèses!$C$15,Hypothèses!$F$15,IF(B19&lt;=Hypothèses!$C$16,Hypothèses!$F$16,IF(B19&lt;=Hypothèses!$C$17,Hypothèses!$F$17,IF(B19&lt;=Hypothèses!$C$18,Hypothèses!$F$18,F18))))))))))))</f>
        <v/>
      </c>
      <c r="G19" s="91">
        <f t="array" ref="G19">INDEX('Coeff EC7'!$U$7:$X$27,
MATCH(Model0.1C!$B$3,'Coeff EC7'!$T$7:$T$27,0),
MATCH(Model0.1C!$D19&amp;Model0.1C!$B$4,
'Coeff EC7'!$U$6:$X$6&amp;
'Coeff EC7'!$U$5:$X$5,0))</f>
        <v>1.1499999999999999</v>
      </c>
      <c r="H19" s="91">
        <f t="array" ref="H19">INDEX('Coeff EC7'!$Y$7:$AB$27,
MATCH(Model0.1C!$B$3,'Coeff EC7'!$T$7:$T$27,0),
MATCH(Model0.1C!$D19&amp;Model0.1C!$B$4,
'Coeff EC7'!$Y$6:$AB$6&amp;
'Coeff EC7'!$Y$5:$AB$5,0))</f>
        <v>1.4</v>
      </c>
      <c r="I19" s="83" t="e">
        <f>IF(B19&lt;=Hypothèses!$C$7,Hypothèses!$P$7,IF(B19&lt;=Hypothèses!$C$8,Hypothèses!$P$8,IF(B19&lt;=Hypothèses!$C$9,Hypothèses!$P$9,IF(B19&lt;=Hypothèses!$C$10,Hypothèses!$P$10,IF(B19&lt;=Hypothèses!$C$11,Hypothèses!$P$11,IF(B19&lt;=Hypothèses!$C$12,Hypothèses!$P$12,IF(B19&lt;=Hypothèses!$C$13,Hypothèses!$P$13,IF(B19&lt;=Hypothèses!$C$14,Hypothèses!$P$14,IF(B19&lt;=Hypothèses!$C$15,Hypothèses!$P$15,IF(B19&lt;=Hypothèses!$C$16,Hypothèses!$P$16,IF(B19&lt;=Hypothèses!$C$17,Hypothèses!$P$17,IF(B19&lt;=Hypothèses!$C$18,Hypothèses!$P$18,I18))))))))))))</f>
        <v>#N/A</v>
      </c>
      <c r="J19" s="91" t="e">
        <f t="array" ref="J19">INDEX('Coeff EC7'!$D$33:$Q$33,1,MATCH(D19&amp;E19,'Coeff EC7'!$D$31:$Q$31&amp;'Coeff EC7'!$D$32:$Q$32,0))</f>
        <v>#N/A</v>
      </c>
      <c r="K19" s="91" t="e">
        <f t="array" ref="K19">INDEX('Coeff EC7'!$D$34:$Q$34,1,MATCH(D19&amp;E19,'Coeff EC7'!$D$31:$Q$31&amp;'Coeff EC7'!$D$32:$Q$32,0))</f>
        <v>#N/A</v>
      </c>
      <c r="L19" s="91" t="e">
        <f t="array" ref="L19">INDEX('Coeff EC7'!$D$35:$Q$35,1,MATCH(D19&amp;E19,'Coeff EC7'!$D$31:$Q$31&amp;'Coeff EC7'!$D$32:$Q$32,0))</f>
        <v>#N/A</v>
      </c>
      <c r="M19" s="98" t="e">
        <f t="shared" si="8"/>
        <v>#N/A</v>
      </c>
      <c r="N19" s="99" t="e">
        <f t="array" ref="N19">INDEX('Coeff EC7'!$D$7:$Q$27,MATCH($B$3,'Coeff EC7'!$C$7:$C$27,0),MATCH(D19&amp;E19,'Coeff EC7'!$D$5:$Q$5&amp;'Coeff EC7'!$D$6:$Q$6,0))</f>
        <v>#N/A</v>
      </c>
      <c r="O19" s="99" t="e">
        <f t="array" ref="O19">INDEX('Coeff EC7'!$D$41:$Q$61,MATCH($B$3,'Coeff EC7'!$C$41:$C$61,0),MATCH(D19&amp;E19,'Coeff EC7'!$D$39:$Q$39&amp;'Coeff EC7'!$D$40:$Q$40,0))</f>
        <v>#N/A</v>
      </c>
      <c r="P19" s="30" t="e">
        <f t="shared" si="68"/>
        <v>#N/A</v>
      </c>
      <c r="Q19" s="100" t="e">
        <f t="shared" si="10"/>
        <v>#N/A</v>
      </c>
      <c r="R19" s="86" t="b">
        <f t="shared" si="11"/>
        <v>0</v>
      </c>
      <c r="S19" s="86">
        <f t="shared" si="9"/>
        <v>0.5</v>
      </c>
      <c r="T19" s="86">
        <f t="shared" si="12"/>
        <v>0.5</v>
      </c>
      <c r="U19" s="30" t="e">
        <f t="shared" ca="1" si="69"/>
        <v>#DIV/0!</v>
      </c>
      <c r="V19" s="85" t="str">
        <f>IF(B19&lt;=Hypothèses!$V$7,Hypothèses!$W$7,IF(B19&lt;=Hypothèses!$V$8,Hypothèses!$W$8,IF(B19&lt;=Hypothèses!$V$9,Hypothèses!$W$9,IF(B19&lt;=Hypothèses!$V$10,Hypothèses!$W$10,IF(B19&lt;=Hypothèses!$V$11,Hypothèses!$W$11,IF(B19&lt;=Hypothèses!$V$12,Hypothèses!$W$12,IF(B19&lt;=Hypothèses!$V$13,Hypothèses!$W$13,IF(B19&lt;=Hypothèses!$V$14,Hypothèses!$W$14,IF(B19&lt;=Hypothèses!$V$15,Hypothèses!$W$15,IF(B19&lt;=Hypothèses!$V$16,Hypothèses!$W$16,IF(B19&lt;=Hypothèses!$V$17,Hypothèses!$W$17,IF(B19&lt;=Hypothèses!$V$18,Hypothèses!$W$18,""))))))))))))</f>
        <v/>
      </c>
      <c r="W19" s="87" t="e">
        <f t="shared" ca="1" si="116"/>
        <v>#DIV/0!</v>
      </c>
      <c r="X19" s="88" t="str">
        <f>IF(B19&lt;=Hypothèses!$V$7,Hypothèses!$X$7,IF(B19&lt;=Hypothèses!$V$8,Hypothèses!$X$8,IF(B19&lt;=Hypothèses!$V$9,Hypothèses!$X$9,IF(B19&lt;=Hypothèses!$V$10,Hypothèses!$X$10,IF(B19&lt;=Hypothèses!$V$11,Hypothèses!$X$11,IF(B19&lt;=Hypothèses!$V$12,Hypothèses!$X$12,IF(B19&lt;=Hypothèses!$V$13,Hypothèses!$X$13,IF(B19&lt;=Hypothèses!$V$14,Hypothèses!$X$14,IF(B19&lt;=Hypothèses!$V$15,Hypothèses!$X$15,IF(B19&lt;=Hypothèses!$V$16,Hypothèses!$X$16,IF(B19&lt;=Hypothèses!$U$17,Hypothèses!$W$17,IF(B19&lt;=Hypothèses!$U$18,Hypothèses!$W$18,""))))))))))))</f>
        <v/>
      </c>
      <c r="Y19" s="95" t="e">
        <f t="shared" ca="1" si="13"/>
        <v>#DIV/0!</v>
      </c>
      <c r="Z19" s="101" t="e">
        <f t="shared" si="14"/>
        <v>#N/A</v>
      </c>
      <c r="AA19" s="91" t="e">
        <f t="shared" si="15"/>
        <v>#N/A</v>
      </c>
      <c r="AB19" s="30" t="e">
        <f t="shared" si="100"/>
        <v>#N/A</v>
      </c>
      <c r="AC19" s="30" t="e">
        <f t="shared" si="101"/>
        <v>#N/A</v>
      </c>
      <c r="AD19" s="31" t="e">
        <f>IF(OR(Hypothèses!$B$4=17,Hypothèses!$B$4=18,Hypothèses!$B$4=19,Hypothèses!$B$4=20),
IF($D19="Pressio.",
IF(OR($E19=3,$E19=1,$E19=4),AC19,AB19),
IF($D19="Pénétro.",
IF(OR($E19=3,$E19=1,$E19=4),AC19,AB19))),IF($D19="Pressio.",
IF($E19=3,AC19,AB19),
IF($D19="Pénétro.",
IF($E19=4,AC19,AB19))))</f>
        <v>#N/A</v>
      </c>
      <c r="AE19" s="31" t="e">
        <f>(IF(OR(Hypothèses!$B$4=17,Hypothèses!$B$4=18,Hypothèses!$B$4=19,Hypothèses!$B$4=20),
IF($D19="Pressio.",
IF(OR($E19=3,$E19=1,$E19=4),(PI()*AE$12^2)/4*(AA19*$W19*1000)/($H19*$B$5),(PI()*AE$12^2)/4*(AA19*$W19*1000)/($G19*$B$5)),
IF($D19="Pénétro.",
IF(OR($E19=4,$E19=1,$E19=5),(PI()*AE$12^2)/4*(AA19*$W19*1000)/($H19*$B$5),(PI()*AE$12^2)/4*(AA19*$W19*1000)/($G19*$B$5)))),
IF($D19="Pressio.",
IF($E19=3,(PI()*AE$12^2)/4*(AA19*$W19*1000)/($H19*$B$5),(PI()*AE$12^2)/4*(AA19*$W19*1000)/($G19*$B$5)),
IF($D19="Pénétro.",
IF($E19=4,(PI()*AE$12^2)/4*(AA19*$W19*1000)/($H19*$B$5),(PI()*AE$12^2)/4*(AA19*$W19*1000)/($G19*$B$5))))))/10</f>
        <v>#N/A</v>
      </c>
      <c r="AF19" s="102" t="e">
        <f>(VLOOKUP($B$3,'Coeff EC7'!$T$39:$X$59,2,0)*AD19+VLOOKUP($B$3,'Coeff EC7'!$T$65:$X$85,2,0)*Model0.1C!AE19)/1.1</f>
        <v>#N/A</v>
      </c>
      <c r="AG19" s="102" t="e">
        <f>(VLOOKUP($B$3,'Coeff EC7'!$T$39:$X$59,3,0)*AD19+VLOOKUP($B$3,'Coeff EC7'!$T$65:$X$85,3,0)*Model0.1C!AE19)/0.9</f>
        <v>#N/A</v>
      </c>
      <c r="AH19" s="102" t="e">
        <f t="shared" si="18"/>
        <v>#N/A</v>
      </c>
      <c r="AI19" s="102" t="e">
        <f t="shared" si="19"/>
        <v>#N/A</v>
      </c>
      <c r="AJ19" s="414" t="e">
        <f>IF(AJ18=0,0,IF(AND(AF19&gt;charge_ELS_quasi,AG19&gt;Charge_ELS_freq,AH19&gt;charge_ELU,AI19&gt;charge_ELA,$B19&gt;NDC!$H$22-0.1+MIN(3*$AJ$12,1.5)),0,1))</f>
        <v>#N/A</v>
      </c>
      <c r="AK19" s="86" t="b">
        <f t="shared" si="20"/>
        <v>0</v>
      </c>
      <c r="AL19" s="86">
        <f t="shared" si="70"/>
        <v>0.5</v>
      </c>
      <c r="AM19" s="86">
        <f t="shared" si="21"/>
        <v>0.5</v>
      </c>
      <c r="AN19" s="30" t="e">
        <f t="shared" ca="1" si="71"/>
        <v>#DIV/0!</v>
      </c>
      <c r="AO19" s="85" t="e">
        <f ca="1">IF(U19&lt;=Hypothèses!$V$7,Hypothèses!$W$7,IF(U19&lt;=Hypothèses!$V$8,Hypothèses!$W$8,IF(U19&lt;=Hypothèses!$V$9,Hypothèses!$W$9,IF(U19&lt;=Hypothèses!$V$10,Hypothèses!$W$10,IF(U19&lt;=Hypothèses!$V$11,Hypothèses!$W$11,IF(U19&lt;=Hypothèses!$V$12,Hypothèses!$W$12,IF(U19&lt;=Hypothèses!$V$13,Hypothèses!$W$13,IF(U19&lt;=Hypothèses!$V$14,Hypothèses!$W$14,IF(U19&lt;=Hypothèses!$V$15,Hypothèses!$W$15,IF(U19&lt;=Hypothèses!$V$16,Hypothèses!$W$16,IF(U19&lt;=Hypothèses!$V$17,Hypothèses!$W$17,IF(U19&lt;=Hypothèses!$V$18,Hypothèses!$W$18,""))))))))))))</f>
        <v>#DIV/0!</v>
      </c>
      <c r="AP19" s="87" t="e">
        <f t="shared" ca="1" si="117"/>
        <v>#DIV/0!</v>
      </c>
      <c r="AQ19" s="88" t="e">
        <f ca="1">IF(U19&lt;=Hypothèses!$V$7,Hypothèses!$X$7,IF(U19&lt;=Hypothèses!$V$8,Hypothèses!$X$8,IF(U19&lt;=Hypothèses!$V$9,Hypothèses!$X$9,IF(U19&lt;=Hypothèses!$V$10,Hypothèses!$X$10,IF(U19&lt;=Hypothèses!$V$11,Hypothèses!$X$11,IF(U19&lt;=Hypothèses!$V$12,Hypothèses!$X$12,IF(U19&lt;=Hypothèses!$V$13,Hypothèses!$X$13,IF(U19&lt;=Hypothèses!$V$14,Hypothèses!$X$14,IF(U19&lt;=Hypothèses!$V$15,Hypothèses!$X$15,IF(U19&lt;=Hypothèses!$V$16,Hypothèses!$X$16,IF(U19&lt;=Hypothèses!$U$17,Hypothèses!$W$17,IF(U19&lt;=Hypothèses!$U$18,Hypothèses!$W$18,""))))))))))))</f>
        <v>#DIV/0!</v>
      </c>
      <c r="AR19" s="95" t="e">
        <f t="shared" ca="1" si="72"/>
        <v>#DIV/0!</v>
      </c>
      <c r="AS19" s="101" t="e">
        <f t="shared" si="124"/>
        <v>#N/A</v>
      </c>
      <c r="AT19" s="91" t="e">
        <f t="shared" si="23"/>
        <v>#N/A</v>
      </c>
      <c r="AU19" s="30" t="e">
        <f t="shared" si="102"/>
        <v>#N/A</v>
      </c>
      <c r="AV19" s="30" t="e">
        <f t="shared" si="103"/>
        <v>#N/A</v>
      </c>
      <c r="AW19" s="31" t="e">
        <f>IF(OR(Hypothèses!$B$4=17,Hypothèses!$B$4=18,Hypothèses!$B$4=19,Hypothèses!$B$4=20),
IF($D19="Pressio.",
IF(OR($E19=3,$E19=1,$E19=4),AV19,AU19),
IF($D19="Pénétro.",
IF(OR($E19=3,$E19=1,$E19=4),AV19,AU19))),IF($D19="Pressio.",
IF($E19=3,AV19,AU19),
IF($D19="Pénétro.",
IF($E19=4,AV19,AU19))))</f>
        <v>#N/A</v>
      </c>
      <c r="AX19" s="31" t="e">
        <f>(IF(OR(Hypothèses!$B$4=17,Hypothèses!$B$4=18,Hypothèses!$B$4=19,Hypothèses!$B$4=20),
IF($D19="Pressio.",
IF(OR($E19=3,$E19=1,$E19=4),(PI()*AX$12^2)/4*(AT19*$W19*1000)/($H19*$B$5),(PI()*AX$12^2)/4*(AT19*$W19*1000)/($G19*$B$5)),
IF($D19="Pénétro.",
IF(OR($E19=4,$E19=1,$E19=5),(PI()*AX$12^2)/4*(AT19*$W19*1000)/($H19*$B$5),(PI()*AX$12^2)/4*(AT19*$W19*1000)/($G19*$B$5)))),
IF($D19="Pressio.",
IF($E19=3,(PI()*AX$12^2)/4*(AT19*$W19*1000)/($H19*$B$5),(PI()*AX$12^2)/4*(AT19*$W19*1000)/($G19*$B$5)),
IF($D19="Pénétro.",
IF($E19=4,(PI()*AX$12^2)/4*(AT19*$W19*1000)/($H19*$B$5),(PI()*AX$12^2)/4*(AT19*$W19*1000)/($G19*$B$5))))))/10</f>
        <v>#N/A</v>
      </c>
      <c r="AY19" s="102" t="e">
        <f>(VLOOKUP($B$3,'Coeff EC7'!$T$39:$X$59,2,0)*AW19+VLOOKUP($B$3,'Coeff EC7'!$T$65:$X$85,2,0)*Model0.1C!AX19)/1.1</f>
        <v>#N/A</v>
      </c>
      <c r="AZ19" s="102" t="e">
        <f>(VLOOKUP($B$3,'Coeff EC7'!$T$39:$X$59,3,0)*AW19+VLOOKUP($B$3,'Coeff EC7'!$T$65:$X$85,3,0)*Model0.1C!AX19)/0.9</f>
        <v>#N/A</v>
      </c>
      <c r="BA19" s="102" t="e">
        <f t="shared" si="73"/>
        <v>#N/A</v>
      </c>
      <c r="BB19" s="102" t="e">
        <f t="shared" si="74"/>
        <v>#N/A</v>
      </c>
      <c r="BC19" s="414" t="e">
        <f>IF(BC18=0,0,IF(AND(AY19&gt;charge_ELS_quasi,AZ19&gt;Charge_ELS_freq,BA19&gt;charge_ELU,BB19&gt;charge_ELA,$B19&gt;NDC!$H$22-0.1+MIN(3*$BC$12,1.5)),0,1))</f>
        <v>#N/A</v>
      </c>
      <c r="BD19" s="86" t="b">
        <f t="shared" si="26"/>
        <v>0</v>
      </c>
      <c r="BE19" s="86">
        <f t="shared" si="75"/>
        <v>0.5</v>
      </c>
      <c r="BF19" s="86">
        <f t="shared" si="27"/>
        <v>0.5</v>
      </c>
      <c r="BG19" s="30" t="e">
        <f t="shared" ca="1" si="76"/>
        <v>#DIV/0!</v>
      </c>
      <c r="BH19" s="85" t="e">
        <f ca="1">IF(AN19&lt;=Hypothèses!$V$7,Hypothèses!$W$7,IF(AN19&lt;=Hypothèses!$V$8,Hypothèses!$W$8,IF(AN19&lt;=Hypothèses!$V$9,Hypothèses!$W$9,IF(AN19&lt;=Hypothèses!$V$10,Hypothèses!$W$10,IF(AN19&lt;=Hypothèses!$V$11,Hypothèses!$W$11,IF(AN19&lt;=Hypothèses!$V$12,Hypothèses!$W$12,IF(AN19&lt;=Hypothèses!$V$13,Hypothèses!$W$13,IF(AN19&lt;=Hypothèses!$V$14,Hypothèses!$W$14,IF(AN19&lt;=Hypothèses!$V$15,Hypothèses!$W$15,IF(AN19&lt;=Hypothèses!$V$16,Hypothèses!$W$16,IF(AN19&lt;=Hypothèses!$V$17,Hypothèses!$W$17,IF(AN19&lt;=Hypothèses!$V$18,Hypothèses!$W$18,""))))))))))))</f>
        <v>#DIV/0!</v>
      </c>
      <c r="BI19" s="87" t="e">
        <f t="shared" ca="1" si="118"/>
        <v>#DIV/0!</v>
      </c>
      <c r="BJ19" s="88" t="e">
        <f ca="1">IF(AN19&lt;=Hypothèses!$V$7,Hypothèses!$X$7,IF(AN19&lt;=Hypothèses!$V$8,Hypothèses!$X$8,IF(AN19&lt;=Hypothèses!$V$9,Hypothèses!$X$9,IF(AN19&lt;=Hypothèses!$V$10,Hypothèses!$X$10,IF(AN19&lt;=Hypothèses!$V$11,Hypothèses!$X$11,IF(AN19&lt;=Hypothèses!$V$12,Hypothèses!$X$12,IF(AN19&lt;=Hypothèses!$V$13,Hypothèses!$X$13,IF(AN19&lt;=Hypothèses!$V$14,Hypothèses!$X$14,IF(AN19&lt;=Hypothèses!$V$15,Hypothèses!$X$15,IF(AN19&lt;=Hypothèses!$V$16,Hypothèses!$X$16,IF(AN19&lt;=Hypothèses!$U$17,Hypothèses!$W$17,IF(AN19&lt;=Hypothèses!$U$18,Hypothèses!$W$18,""))))))))))))</f>
        <v>#DIV/0!</v>
      </c>
      <c r="BK19" s="95" t="e">
        <f t="shared" ca="1" si="77"/>
        <v>#DIV/0!</v>
      </c>
      <c r="BL19" s="101" t="e">
        <f t="shared" si="125"/>
        <v>#N/A</v>
      </c>
      <c r="BM19" s="91" t="e">
        <f t="shared" si="29"/>
        <v>#N/A</v>
      </c>
      <c r="BN19" s="30" t="e">
        <f t="shared" si="104"/>
        <v>#N/A</v>
      </c>
      <c r="BO19" s="30" t="e">
        <f t="shared" si="105"/>
        <v>#N/A</v>
      </c>
      <c r="BP19" s="31" t="e">
        <f>IF(OR(Hypothèses!$B$4=17,Hypothèses!$B$4=18,Hypothèses!$B$4=19,Hypothèses!$B$4=20),
IF($D19="Pressio.",
IF(OR($E19=3,$E19=1,$E19=4),BO19,BN19),
IF($D19="Pénétro.",
IF(OR($E19=3,$E19=1,$E19=4),BO19,BN19))),IF($D19="Pressio.",
IF($E19=3,BO19,BN19),
IF($D19="Pénétro.",
IF($E19=4,BO19,BN19))))</f>
        <v>#N/A</v>
      </c>
      <c r="BQ19" s="31" t="e">
        <f>(IF(OR(Hypothèses!$B$4=17,Hypothèses!$B$4=18,Hypothèses!$B$4=19,Hypothèses!$B$4=20),
IF($D19="Pressio.",
IF(OR($E19=3,$E19=1,$E19=4),(PI()*BQ$12^2)/4*(BM19*$W19*1000)/($H19*$B$5),(PI()*BQ$12^2)/4*(BM19*$W19*1000)/($G19*$B$5)),
IF($D19="Pénétro.",
IF(OR($E19=4,$E19=1,$E19=5),(PI()*BQ$12^2)/4*(BM19*$W19*1000)/($H19*$B$5),(PI()*BQ$12^2)/4*(BM19*$W19*1000)/($G19*$B$5)))),
IF($D19="Pressio.",
IF($E19=3,(PI()*BQ$12^2)/4*(BM19*$W19*1000)/($H19*$B$5),(PI()*BQ$12^2)/4*(BM19*$W19*1000)/($G19*$B$5)),
IF($D19="Pénétro.",
IF($E19=4,(PI()*BQ$12^2)/4*(BM19*$W19*1000)/($H19*$B$5),(PI()*BQ$12^2)/4*(BM19*$W19*1000)/($G19*$B$5))))))/10</f>
        <v>#N/A</v>
      </c>
      <c r="BR19" s="102" t="e">
        <f>(VLOOKUP($B$3,'Coeff EC7'!$T$39:$X$59,2,0)*BP19+VLOOKUP($B$3,'Coeff EC7'!$T$65:$X$85,2,0)*Model0.1C!BQ19)/1.1</f>
        <v>#N/A</v>
      </c>
      <c r="BS19" s="102" t="e">
        <f>(VLOOKUP($B$3,'Coeff EC7'!$T$39:$X$59,3,0)*BP19+VLOOKUP($B$3,'Coeff EC7'!$T$65:$X$85,3,0)*Model0.1C!BQ19)/0.9</f>
        <v>#N/A</v>
      </c>
      <c r="BT19" s="102" t="e">
        <f t="shared" si="78"/>
        <v>#N/A</v>
      </c>
      <c r="BU19" s="102" t="e">
        <f t="shared" si="79"/>
        <v>#N/A</v>
      </c>
      <c r="BV19" s="414" t="e">
        <f>IF(BV18=0,0,IF(AND(BR19&gt;charge_ELS_quasi,BS19&gt;Charge_ELS_freq,BT19&gt;charge_ELU,BU19&gt;charge_ELA,$B19&gt;NDC!$H$22-0.1+MIN(3*$BV$12,1.5)),0,1))</f>
        <v>#N/A</v>
      </c>
      <c r="BW19" s="86" t="b">
        <f t="shared" si="32"/>
        <v>0</v>
      </c>
      <c r="BX19" s="86">
        <f t="shared" si="33"/>
        <v>0.5</v>
      </c>
      <c r="BY19" s="86">
        <f t="shared" si="34"/>
        <v>0.5</v>
      </c>
      <c r="BZ19" s="30" t="e">
        <f t="shared" ca="1" si="80"/>
        <v>#DIV/0!</v>
      </c>
      <c r="CA19" s="85" t="e">
        <f ca="1">IF(BG19&lt;=Hypothèses!$V$7,Hypothèses!$W$7,IF(BG19&lt;=Hypothèses!$V$8,Hypothèses!$W$8,IF(BG19&lt;=Hypothèses!$V$9,Hypothèses!$W$9,IF(BG19&lt;=Hypothèses!$V$10,Hypothèses!$W$10,IF(BG19&lt;=Hypothèses!$V$11,Hypothèses!$W$11,IF(BG19&lt;=Hypothèses!$V$12,Hypothèses!$W$12,IF(BG19&lt;=Hypothèses!$V$13,Hypothèses!$W$13,IF(BG19&lt;=Hypothèses!$V$14,Hypothèses!$W$14,IF(BG19&lt;=Hypothèses!$V$15,Hypothèses!$W$15,IF(BG19&lt;=Hypothèses!$V$16,Hypothèses!$W$16,IF(BG19&lt;=Hypothèses!$V$17,Hypothèses!$W$17,IF(BG19&lt;=Hypothèses!$V$18,Hypothèses!$W$18,""))))))))))))</f>
        <v>#DIV/0!</v>
      </c>
      <c r="CB19" s="87" t="e">
        <f t="shared" ca="1" si="119"/>
        <v>#DIV/0!</v>
      </c>
      <c r="CC19" s="88" t="e">
        <f ca="1">IF(BG19&lt;=Hypothèses!$V$7,Hypothèses!$X$7,IF(BG19&lt;=Hypothèses!$V$8,Hypothèses!$X$8,IF(BG19&lt;=Hypothèses!$V$9,Hypothèses!$X$9,IF(BG19&lt;=Hypothèses!$V$10,Hypothèses!$X$10,IF(BG19&lt;=Hypothèses!$V$11,Hypothèses!$X$11,IF(BG19&lt;=Hypothèses!$V$12,Hypothèses!$X$12,IF(BG19&lt;=Hypothèses!$V$13,Hypothèses!$X$13,IF(BG19&lt;=Hypothèses!$V$14,Hypothèses!$X$14,IF(BG19&lt;=Hypothèses!$V$15,Hypothèses!$X$15,IF(BG19&lt;=Hypothèses!$V$16,Hypothèses!$X$16,IF(BG19&lt;=Hypothèses!$U$17,Hypothèses!$W$17,IF(BG19&lt;=Hypothèses!$U$18,Hypothèses!$W$18,""))))))))))))</f>
        <v>#DIV/0!</v>
      </c>
      <c r="CD19" s="95" t="e">
        <f t="shared" ca="1" si="81"/>
        <v>#DIV/0!</v>
      </c>
      <c r="CE19" s="101" t="e">
        <f t="shared" si="126"/>
        <v>#N/A</v>
      </c>
      <c r="CF19" s="91" t="e">
        <f t="shared" si="36"/>
        <v>#N/A</v>
      </c>
      <c r="CG19" s="30" t="e">
        <f t="shared" si="106"/>
        <v>#N/A</v>
      </c>
      <c r="CH19" s="30" t="e">
        <f t="shared" si="107"/>
        <v>#N/A</v>
      </c>
      <c r="CI19" s="31" t="e">
        <f>IF(OR(Hypothèses!$B$4=17,Hypothèses!$B$4=18,Hypothèses!$B$4=19,Hypothèses!$B$4=20),
IF($D19="Pressio.",
IF(OR($E19=3,$E19=1,$E19=4),CH19,CG19),
IF($D19="Pénétro.",
IF(OR($E19=3,$E19=1,$E19=4),CH19,CG19))),IF($D19="Pressio.",
IF($E19=3,CH19,CG19),
IF($D19="Pénétro.",
IF($E19=4,CH19,CG19))))</f>
        <v>#N/A</v>
      </c>
      <c r="CJ19" s="31" t="e">
        <f>(IF(OR(Hypothèses!$B$4=17,Hypothèses!$B$4=18,Hypothèses!$B$4=19,Hypothèses!$B$4=20),
IF($D19="Pressio.",
IF(OR($E19=3,$E19=1,$E19=4),(PI()*CJ$12^2)/4*(CF19*$W19*1000)/($H19*$B$5),(PI()*CJ$12^2)/4*(CF19*$W19*1000)/($G19*$B$5)),
IF($D19="Pénétro.",
IF(OR($E19=4,$E19=1,$E19=5),(PI()*CJ$12^2)/4*(CF19*$W19*1000)/($H19*$B$5),(PI()*CJ$12^2)/4*(CF19*$W19*1000)/($G19*$B$5)))),
IF($D19="Pressio.",
IF($E19=3,(PI()*CJ$12^2)/4*(CF19*$W19*1000)/($H19*$B$5),(PI()*CJ$12^2)/4*(CF19*$W19*1000)/($G19*$B$5)),
IF($D19="Pénétro.",
IF($E19=4,(PI()*CJ$12^2)/4*(CF19*$W19*1000)/($H19*$B$5),(PI()*CJ$12^2)/4*(CF19*$W19*1000)/($G19*$B$5))))))/10</f>
        <v>#N/A</v>
      </c>
      <c r="CK19" s="102" t="e">
        <f>(VLOOKUP($B$3,'Coeff EC7'!$T$39:$X$59,2,0)*CI19+VLOOKUP($B$3,'Coeff EC7'!$T$65:$X$85,2,0)*Model0.1C!CJ19)/1.1</f>
        <v>#N/A</v>
      </c>
      <c r="CL19" s="102" t="e">
        <f>(VLOOKUP($B$3,'Coeff EC7'!$T$39:$X$59,3,0)*CI19+VLOOKUP($B$3,'Coeff EC7'!$T$65:$X$85,3,0)*Model0.1C!CJ19)/0.9</f>
        <v>#N/A</v>
      </c>
      <c r="CM19" s="102" t="e">
        <f t="shared" si="82"/>
        <v>#N/A</v>
      </c>
      <c r="CN19" s="102" t="e">
        <f t="shared" si="83"/>
        <v>#N/A</v>
      </c>
      <c r="CO19" s="414" t="e">
        <f>IF(CO18=0,0,IF(AND(CK19&gt;charge_ELS_quasi,CL19&gt;Charge_ELS_freq,CM19&gt;charge_ELU,CN19&gt;charge_ELA,$B19&gt;NDC!$H$22-0.1+MIN(3*$CO$12,1.5)),0,1))</f>
        <v>#N/A</v>
      </c>
      <c r="CP19" s="86" t="b">
        <f t="shared" si="39"/>
        <v>0</v>
      </c>
      <c r="CQ19" s="86">
        <f t="shared" si="40"/>
        <v>0.5</v>
      </c>
      <c r="CR19" s="86">
        <f t="shared" si="41"/>
        <v>0.5</v>
      </c>
      <c r="CS19" s="30" t="e">
        <f t="shared" ca="1" si="84"/>
        <v>#DIV/0!</v>
      </c>
      <c r="CT19" s="85" t="e">
        <f ca="1">IF(BZ19&lt;=Hypothèses!$V$7,Hypothèses!$W$7,IF(BZ19&lt;=Hypothèses!$V$8,Hypothèses!$W$8,IF(BZ19&lt;=Hypothèses!$V$9,Hypothèses!$W$9,IF(BZ19&lt;=Hypothèses!$V$10,Hypothèses!$W$10,IF(BZ19&lt;=Hypothèses!$V$11,Hypothèses!$W$11,IF(BZ19&lt;=Hypothèses!$V$12,Hypothèses!$W$12,IF(BZ19&lt;=Hypothèses!$V$13,Hypothèses!$W$13,IF(BZ19&lt;=Hypothèses!$V$14,Hypothèses!$W$14,IF(BZ19&lt;=Hypothèses!$V$15,Hypothèses!$W$15,IF(BZ19&lt;=Hypothèses!$V$16,Hypothèses!$W$16,IF(BZ19&lt;=Hypothèses!$V$17,Hypothèses!$W$17,IF(BZ19&lt;=Hypothèses!$V$18,Hypothèses!$W$18,""))))))))))))</f>
        <v>#DIV/0!</v>
      </c>
      <c r="CU19" s="87" t="e">
        <f t="shared" ca="1" si="120"/>
        <v>#DIV/0!</v>
      </c>
      <c r="CV19" s="88" t="e">
        <f ca="1">IF(BZ19&lt;=Hypothèses!$V$7,Hypothèses!$X$7,IF(BZ19&lt;=Hypothèses!$V$8,Hypothèses!$X$8,IF(BZ19&lt;=Hypothèses!$V$9,Hypothèses!$X$9,IF(BZ19&lt;=Hypothèses!$V$10,Hypothèses!$X$10,IF(BZ19&lt;=Hypothèses!$V$11,Hypothèses!$X$11,IF(BZ19&lt;=Hypothèses!$V$12,Hypothèses!$X$12,IF(BZ19&lt;=Hypothèses!$V$13,Hypothèses!$X$13,IF(BZ19&lt;=Hypothèses!$V$14,Hypothèses!$X$14,IF(BZ19&lt;=Hypothèses!$V$15,Hypothèses!$X$15,IF(BZ19&lt;=Hypothèses!$V$16,Hypothèses!$X$16,IF(BZ19&lt;=Hypothèses!$U$17,Hypothèses!$W$17,IF(BZ19&lt;=Hypothèses!$U$18,Hypothèses!$W$18,""))))))))))))</f>
        <v>#DIV/0!</v>
      </c>
      <c r="CW19" s="95" t="e">
        <f t="shared" ca="1" si="85"/>
        <v>#DIV/0!</v>
      </c>
      <c r="CX19" s="101" t="e">
        <f t="shared" si="127"/>
        <v>#N/A</v>
      </c>
      <c r="CY19" s="91" t="e">
        <f t="shared" si="43"/>
        <v>#N/A</v>
      </c>
      <c r="CZ19" s="30" t="e">
        <f t="shared" si="108"/>
        <v>#N/A</v>
      </c>
      <c r="DA19" s="30" t="e">
        <f t="shared" si="109"/>
        <v>#N/A</v>
      </c>
      <c r="DB19" s="31" t="e">
        <f>IF(OR(Hypothèses!$B$4=17,Hypothèses!$B$4=18,Hypothèses!$B$4=19,Hypothèses!$B$4=20),
IF($D19="Pressio.",
IF(OR($E19=3,$E19=1,$E19=4),DA19,CZ19),
IF($D19="Pénétro.",
IF(OR($E19=3,$E19=1,$E19=4),DA19,CZ19))),IF($D19="Pressio.",
IF($E19=3,DA19,CZ19),
IF($D19="Pénétro.",
IF($E19=4,DA19,CZ19))))</f>
        <v>#N/A</v>
      </c>
      <c r="DC19" s="31" t="e">
        <f>(IF(OR(Hypothèses!$B$4=17,Hypothèses!$B$4=18,Hypothèses!$B$4=19,Hypothèses!$B$4=20),
IF($D19="Pressio.",
IF(OR($E19=3,$E19=1,$E19=4),(PI()*DC$12^2)/4*(CY19*$W19*1000)/($H19*$B$5),(PI()*DC$12^2)/4*(CY19*$W19*1000)/($G19*$B$5)),
IF($D19="Pénétro.",
IF(OR($E19=4,$E19=1,$E19=5),(PI()*DC$12^2)/4*(CY19*$W19*1000)/($H19*$B$5),(PI()*DC$12^2)/4*(CY19*$W19*1000)/($G19*$B$5)))),
IF($D19="Pressio.",
IF($E19=3,(PI()*DC$12^2)/4*(CY19*$W19*1000)/($H19*$B$5),(PI()*DC$12^2)/4*(CY19*$W19*1000)/($G19*$B$5)),
IF($D19="Pénétro.",
IF($E19=4,(PI()*DC$12^2)/4*(CY19*$W19*1000)/($H19*$B$5),(PI()*DC$12^2)/4*(CY19*$W19*1000)/($G19*$B$5))))))/10</f>
        <v>#N/A</v>
      </c>
      <c r="DD19" s="102" t="e">
        <f>(VLOOKUP($B$3,'Coeff EC7'!$T$39:$X$59,2,0)*DB19+VLOOKUP($B$3,'Coeff EC7'!$T$65:$X$85,2,0)*Model0.1C!DC19)/1.1</f>
        <v>#N/A</v>
      </c>
      <c r="DE19" s="102" t="e">
        <f>(VLOOKUP($B$3,'Coeff EC7'!$T$39:$X$59,3,0)*DB19+VLOOKUP($B$3,'Coeff EC7'!$T$65:$X$85,3,0)*Model0.1C!DC19)/0.9</f>
        <v>#N/A</v>
      </c>
      <c r="DF19" s="102" t="e">
        <f t="shared" si="86"/>
        <v>#N/A</v>
      </c>
      <c r="DG19" s="102" t="e">
        <f t="shared" si="87"/>
        <v>#N/A</v>
      </c>
      <c r="DH19" s="414" t="e">
        <f>IF(DH18=0,0,IF(AND(DD19&gt;charge_ELS_quasi,DE19&gt;Charge_ELS_freq,DF19&gt;charge_ELU,DG19&gt;charge_ELA,$B19&gt;NDC!$H$22-0.1+MIN(3*$DH$12,1.5)),0,1))</f>
        <v>#N/A</v>
      </c>
      <c r="DI19" s="86" t="b">
        <f t="shared" si="46"/>
        <v>0</v>
      </c>
      <c r="DJ19" s="86">
        <f t="shared" si="47"/>
        <v>0.5</v>
      </c>
      <c r="DK19" s="86">
        <f t="shared" si="48"/>
        <v>0.5</v>
      </c>
      <c r="DL19" s="30" t="e">
        <f t="shared" ca="1" si="88"/>
        <v>#DIV/0!</v>
      </c>
      <c r="DM19" s="85" t="e">
        <f ca="1">IF(CS19&lt;=Hypothèses!$V$7,Hypothèses!$W$7,IF(CS19&lt;=Hypothèses!$V$8,Hypothèses!$W$8,IF(CS19&lt;=Hypothèses!$V$9,Hypothèses!$W$9,IF(CS19&lt;=Hypothèses!$V$10,Hypothèses!$W$10,IF(CS19&lt;=Hypothèses!$V$11,Hypothèses!$W$11,IF(CS19&lt;=Hypothèses!$V$12,Hypothèses!$W$12,IF(CS19&lt;=Hypothèses!$V$13,Hypothèses!$W$13,IF(CS19&lt;=Hypothèses!$V$14,Hypothèses!$W$14,IF(CS19&lt;=Hypothèses!$V$15,Hypothèses!$W$15,IF(CS19&lt;=Hypothèses!$V$16,Hypothèses!$W$16,IF(CS19&lt;=Hypothèses!$V$17,Hypothèses!$W$17,IF(CS19&lt;=Hypothèses!$V$18,Hypothèses!$W$18,""))))))))))))</f>
        <v>#DIV/0!</v>
      </c>
      <c r="DN19" s="87" t="e">
        <f t="shared" ca="1" si="121"/>
        <v>#DIV/0!</v>
      </c>
      <c r="DO19" s="88" t="e">
        <f ca="1">IF(CS19&lt;=Hypothèses!$V$7,Hypothèses!$X$7,IF(CS19&lt;=Hypothèses!$V$8,Hypothèses!$X$8,IF(CS19&lt;=Hypothèses!$V$9,Hypothèses!$X$9,IF(CS19&lt;=Hypothèses!$V$10,Hypothèses!$X$10,IF(CS19&lt;=Hypothèses!$V$11,Hypothèses!$X$11,IF(CS19&lt;=Hypothèses!$V$12,Hypothèses!$X$12,IF(CS19&lt;=Hypothèses!$V$13,Hypothèses!$X$13,IF(CS19&lt;=Hypothèses!$V$14,Hypothèses!$X$14,IF(CS19&lt;=Hypothèses!$V$15,Hypothèses!$X$15,IF(CS19&lt;=Hypothèses!$V$16,Hypothèses!$X$16,IF(CS19&lt;=Hypothèses!$U$17,Hypothèses!$W$17,IF(CS19&lt;=Hypothèses!$U$18,Hypothèses!$W$18,""))))))))))))</f>
        <v>#DIV/0!</v>
      </c>
      <c r="DP19" s="95" t="e">
        <f t="shared" ca="1" si="89"/>
        <v>#DIV/0!</v>
      </c>
      <c r="DQ19" s="101" t="e">
        <f t="shared" si="128"/>
        <v>#N/A</v>
      </c>
      <c r="DR19" s="91" t="e">
        <f t="shared" si="50"/>
        <v>#N/A</v>
      </c>
      <c r="DS19" s="30" t="e">
        <f t="shared" si="110"/>
        <v>#N/A</v>
      </c>
      <c r="DT19" s="30" t="e">
        <f t="shared" si="111"/>
        <v>#N/A</v>
      </c>
      <c r="DU19" s="31" t="e">
        <f>IF(OR(Hypothèses!$B$4=17,Hypothèses!$B$4=18,Hypothèses!$B$4=19,Hypothèses!$B$4=20),
IF($D19="Pressio.",
IF(OR($E19=3,$E19=1,$E19=4),DT19,DS19),
IF($D19="Pénétro.",
IF(OR($E19=3,$E19=1,$E19=4),DT19,DS19))),IF($D19="Pressio.",
IF($E19=3,DT19,DS19),
IF($D19="Pénétro.",
IF($E19=4,DT19,DS19))))</f>
        <v>#N/A</v>
      </c>
      <c r="DV19" s="31" t="e">
        <f>(IF(OR(Hypothèses!$B$4=17,Hypothèses!$B$4=18,Hypothèses!$B$4=19,Hypothèses!$B$4=20),
IF($D19="Pressio.",
IF(OR($E19=3,$E19=1,$E19=4),(PI()*DV$12^2)/4*(DR19*$W19*1000)/($H19*$B$5),(PI()*DV$12^2)/4*(DR19*$W19*1000)/($G19*$B$5)),
IF($D19="Pénétro.",
IF(OR($E19=4,$E19=1,$E19=5),(PI()*DV$12^2)/4*(DR19*$W19*1000)/($H19*$B$5),(PI()*DV$12^2)/4*(DR19*$W19*1000)/($G19*$B$5)))),
IF($D19="Pressio.",
IF($E19=3,(PI()*DV$12^2)/4*(DR19*$W19*1000)/($H19*$B$5),(PI()*DV$12^2)/4*(DR19*$W19*1000)/($G19*$B$5)),
IF($D19="Pénétro.",
IF($E19=4,(PI()*DV$12^2)/4*(DR19*$W19*1000)/($H19*$B$5),(PI()*DV$12^2)/4*(DR19*$W19*1000)/($G19*$B$5))))))/10</f>
        <v>#N/A</v>
      </c>
      <c r="DW19" s="102" t="e">
        <f>(VLOOKUP($B$3,'Coeff EC7'!$T$39:$X$59,2,0)*DU19+VLOOKUP($B$3,'Coeff EC7'!$T$65:$X$85,2,0)*Model0.1C!DV19)/1.1</f>
        <v>#N/A</v>
      </c>
      <c r="DX19" s="102" t="e">
        <f>(VLOOKUP($B$3,'Coeff EC7'!$T$39:$X$59,3,0)*DU19+VLOOKUP($B$3,'Coeff EC7'!$T$65:$X$85,3,0)*Model0.1C!DV19)/0.9</f>
        <v>#N/A</v>
      </c>
      <c r="DY19" s="102" t="e">
        <f t="shared" si="90"/>
        <v>#N/A</v>
      </c>
      <c r="DZ19" s="102" t="e">
        <f t="shared" si="91"/>
        <v>#N/A</v>
      </c>
      <c r="EA19" s="414" t="e">
        <f>IF(EA18=0,0,IF(AND(DW19&gt;charge_ELS_quasi,DX19&gt;Charge_ELS_freq,DY19&gt;charge_ELU,DZ19&gt;charge_ELA,$B19&gt;NDC!$H$22-0.1+MIN(3*$EA$12,1.5)),0,1))</f>
        <v>#N/A</v>
      </c>
      <c r="EB19" s="86" t="b">
        <f t="shared" si="53"/>
        <v>0</v>
      </c>
      <c r="EC19" s="418">
        <f t="shared" si="54"/>
        <v>0.51</v>
      </c>
      <c r="ED19" s="86">
        <f t="shared" si="55"/>
        <v>0.51</v>
      </c>
      <c r="EE19" s="30" t="e">
        <f t="shared" ca="1" si="92"/>
        <v>#DIV/0!</v>
      </c>
      <c r="EF19" s="85" t="e">
        <f ca="1">IF(DL19&lt;=Hypothèses!$V$7,Hypothèses!$W$7,IF(DL19&lt;=Hypothèses!$V$8,Hypothèses!$W$8,IF(DL19&lt;=Hypothèses!$V$9,Hypothèses!$W$9,IF(DL19&lt;=Hypothèses!$V$10,Hypothèses!$W$10,IF(DL19&lt;=Hypothèses!$V$11,Hypothèses!$W$11,IF(DL19&lt;=Hypothèses!$V$12,Hypothèses!$W$12,IF(DL19&lt;=Hypothèses!$V$13,Hypothèses!$W$13,IF(DL19&lt;=Hypothèses!$V$14,Hypothèses!$W$14,IF(DL19&lt;=Hypothèses!$V$15,Hypothèses!$W$15,IF(DL19&lt;=Hypothèses!$V$16,Hypothèses!$W$16,IF(DL19&lt;=Hypothèses!$V$17,Hypothèses!$W$17,IF(DL19&lt;=Hypothèses!$V$18,Hypothèses!$W$18,""))))))))))))</f>
        <v>#DIV/0!</v>
      </c>
      <c r="EG19" s="87" t="e">
        <f t="shared" ca="1" si="122"/>
        <v>#DIV/0!</v>
      </c>
      <c r="EH19" s="88" t="e">
        <f ca="1">IF(DL19&lt;=Hypothèses!$V$7,Hypothèses!$X$7,IF(DL19&lt;=Hypothèses!$V$8,Hypothèses!$X$8,IF(DL19&lt;=Hypothèses!$V$9,Hypothèses!$X$9,IF(DL19&lt;=Hypothèses!$V$10,Hypothèses!$X$10,IF(DL19&lt;=Hypothèses!$V$11,Hypothèses!$X$11,IF(DL19&lt;=Hypothèses!$V$12,Hypothèses!$X$12,IF(DL19&lt;=Hypothèses!$V$13,Hypothèses!$X$13,IF(DL19&lt;=Hypothèses!$V$14,Hypothèses!$X$14,IF(DL19&lt;=Hypothèses!$V$15,Hypothèses!$X$15,IF(DL19&lt;=Hypothèses!$V$16,Hypothèses!$X$16,IF(DL19&lt;=Hypothèses!$U$17,Hypothèses!$W$17,IF(DL19&lt;=Hypothèses!$U$18,Hypothèses!$W$18,""))))))))))))</f>
        <v>#DIV/0!</v>
      </c>
      <c r="EI19" s="95" t="e">
        <f t="shared" ca="1" si="93"/>
        <v>#DIV/0!</v>
      </c>
      <c r="EJ19" s="101" t="e">
        <f t="shared" si="129"/>
        <v>#N/A</v>
      </c>
      <c r="EK19" s="91" t="e">
        <f t="shared" si="57"/>
        <v>#N/A</v>
      </c>
      <c r="EL19" s="30" t="e">
        <f t="shared" si="112"/>
        <v>#N/A</v>
      </c>
      <c r="EM19" s="30" t="e">
        <f t="shared" si="113"/>
        <v>#N/A</v>
      </c>
      <c r="EN19" s="31" t="e">
        <f>IF(OR(Hypothèses!$B$4=17,Hypothèses!$B$4=18,Hypothèses!$B$4=19,Hypothèses!$B$4=20),
IF($D19="Pressio.",
IF(OR($E19=3,$E19=1,$E19=4),EM19,EL19),
IF($D19="Pénétro.",
IF(OR($E19=3,$E19=1,$E19=4),EM19,EL19))),IF($D19="Pressio.",
IF($E19=3,EM19,EL19),
IF($D19="Pénétro.",
IF($E19=4,EM19,EL19))))</f>
        <v>#N/A</v>
      </c>
      <c r="EO19" s="31" t="e">
        <f>(IF(OR(Hypothèses!$B$4=17,Hypothèses!$B$4=18,Hypothèses!$B$4=19,Hypothèses!$B$4=20),
IF($D19="Pressio.",
IF(OR($E19=3,$E19=1,$E19=4),(PI()*EO$12^2)/4*(EK19*$W19*1000)/($H19*$B$5),(PI()*EO$12^2)/4*(EK19*$W19*1000)/($G19*$B$5)),
IF($D19="Pénétro.",
IF(OR($E19=4,$E19=1,$E19=5),(PI()*EO$12^2)/4*(EK19*$W19*1000)/($H19*$B$5),(PI()*EO$12^2)/4*(EK19*$W19*1000)/($G19*$B$5)))),
IF($D19="Pressio.",
IF($E19=3,(PI()*EO$12^2)/4*(EK19*$W19*1000)/($H19*$B$5),(PI()*EO$12^2)/4*(EK19*$W19*1000)/($G19*$B$5)),
IF($D19="Pénétro.",
IF($E19=4,(PI()*EO$12^2)/4*(EK19*$W19*1000)/($H19*$B$5),(PI()*EO$12^2)/4*(EK19*$W19*1000)/($G19*$B$5))))))/10</f>
        <v>#N/A</v>
      </c>
      <c r="EP19" s="102" t="e">
        <f>(VLOOKUP($B$3,'Coeff EC7'!$T$39:$X$59,2,0)*EN19+VLOOKUP($B$3,'Coeff EC7'!$T$65:$X$85,2,0)*Model0.1C!EO19)/1.1</f>
        <v>#N/A</v>
      </c>
      <c r="EQ19" s="102" t="e">
        <f>(VLOOKUP($B$3,'Coeff EC7'!$T$39:$X$59,3,0)*EN19+VLOOKUP($B$3,'Coeff EC7'!$T$65:$X$85,3,0)*Model0.1C!EO19)/0.9</f>
        <v>#N/A</v>
      </c>
      <c r="ER19" s="102" t="e">
        <f t="shared" si="94"/>
        <v>#N/A</v>
      </c>
      <c r="ES19" s="102" t="e">
        <f t="shared" si="95"/>
        <v>#N/A</v>
      </c>
      <c r="ET19" s="414" t="e">
        <f>IF(ET18=0,0,IF(AND(EP19&gt;charge_ELS_quasi,EQ19&gt;Charge_ELS_freq,ER19&gt;charge_ELU,ES19&gt;charge_ELA,$B19&gt;NDC!$H$22-0.1+MIN(3*$ET$12,1.5)),0,1))</f>
        <v>#N/A</v>
      </c>
      <c r="EU19" s="86" t="b">
        <f t="shared" si="60"/>
        <v>0</v>
      </c>
      <c r="EV19" s="86">
        <f t="shared" si="61"/>
        <v>0.61</v>
      </c>
      <c r="EW19" s="86">
        <f t="shared" si="62"/>
        <v>0.61</v>
      </c>
      <c r="EX19" s="30" t="e">
        <f t="shared" ca="1" si="96"/>
        <v>#DIV/0!</v>
      </c>
      <c r="EY19" s="85" t="e">
        <f ca="1">IF(EE19&lt;=Hypothèses!$V$7,Hypothèses!$W$7,IF(EE19&lt;=Hypothèses!$V$8,Hypothèses!$W$8,IF(EE19&lt;=Hypothèses!$V$9,Hypothèses!$W$9,IF(EE19&lt;=Hypothèses!$V$10,Hypothèses!$W$10,IF(EE19&lt;=Hypothèses!$V$11,Hypothèses!$W$11,IF(EE19&lt;=Hypothèses!$V$12,Hypothèses!$W$12,IF(EE19&lt;=Hypothèses!$V$13,Hypothèses!$W$13,IF(EE19&lt;=Hypothèses!$V$14,Hypothèses!$W$14,IF(EE19&lt;=Hypothèses!$V$15,Hypothèses!$W$15,IF(EE19&lt;=Hypothèses!$V$16,Hypothèses!$W$16,IF(EE19&lt;=Hypothèses!$V$17,Hypothèses!$W$17,IF(EE19&lt;=Hypothèses!$V$18,Hypothèses!$W$18,""))))))))))))</f>
        <v>#DIV/0!</v>
      </c>
      <c r="EZ19" s="87" t="e">
        <f t="shared" ca="1" si="123"/>
        <v>#DIV/0!</v>
      </c>
      <c r="FA19" s="88" t="e">
        <f ca="1">IF(EE19&lt;=Hypothèses!$V$7,Hypothèses!$X$7,IF(EE19&lt;=Hypothèses!$V$8,Hypothèses!$X$8,IF(EE19&lt;=Hypothèses!$V$9,Hypothèses!$X$9,IF(EE19&lt;=Hypothèses!$V$10,Hypothèses!$X$10,IF(EE19&lt;=Hypothèses!$V$11,Hypothèses!$X$11,IF(EE19&lt;=Hypothèses!$V$12,Hypothèses!$X$12,IF(EE19&lt;=Hypothèses!$V$13,Hypothèses!$X$13,IF(EE19&lt;=Hypothèses!$V$14,Hypothèses!$X$14,IF(EE19&lt;=Hypothèses!$V$15,Hypothèses!$X$15,IF(EE19&lt;=Hypothèses!$V$16,Hypothèses!$X$16,IF(EE19&lt;=Hypothèses!$U$17,Hypothèses!$W$17,IF(EE19&lt;=Hypothèses!$U$18,Hypothèses!$W$18,""))))))))))))</f>
        <v>#DIV/0!</v>
      </c>
      <c r="FB19" s="95" t="e">
        <f t="shared" ca="1" si="97"/>
        <v>#DIV/0!</v>
      </c>
      <c r="FC19" s="101" t="e">
        <f t="shared" si="130"/>
        <v>#N/A</v>
      </c>
      <c r="FD19" s="91" t="e">
        <f t="shared" si="64"/>
        <v>#N/A</v>
      </c>
      <c r="FE19" s="30" t="e">
        <f t="shared" si="114"/>
        <v>#N/A</v>
      </c>
      <c r="FF19" s="30" t="e">
        <f t="shared" si="115"/>
        <v>#N/A</v>
      </c>
      <c r="FG19" s="31" t="e">
        <f>IF(OR(Hypothèses!$B$4=17,Hypothèses!$B$4=18,Hypothèses!$B$4=19,Hypothèses!$B$4=20),
IF($D19="Pressio.",
IF(OR($E19=3,$E19=1,$E19=4),FF19,FE19),
IF($D19="Pénétro.",
IF(OR($E19=3,$E19=1,$E19=4),FF19,FE19))),IF($D19="Pressio.",
IF($E19=3,FF19,FE19),
IF($D19="Pénétro.",
IF($E19=4,FF19,FE19))))</f>
        <v>#N/A</v>
      </c>
      <c r="FH19" s="31" t="e">
        <f>(IF(OR(Hypothèses!$B$4=17,Hypothèses!$B$4=18,Hypothèses!$B$4=19,Hypothèses!$B$4=20),
IF($D19="Pressio.",
IF(OR($E19=3,$E19=1,$E19=4),(PI()*FH$12^2)/4*(FD19*$W19*1000)/($H19*$B$5),(PI()*FH$12^2)/4*(FD19*$W19*1000)/($G19*$B$5)),
IF($D19="Pénétro.",
IF(OR($E19=4,$E19=1,$E19=5),(PI()*FH$12^2)/4*(FD19*$W19*1000)/($H19*$B$5),(PI()*FH$12^2)/4*(FD19*$W19*1000)/($G19*$B$5)))),
IF($D19="Pressio.",
IF($E19=3,(PI()*FH$12^2)/4*(FD19*$W19*1000)/($H19*$B$5),(PI()*FH$12^2)/4*(FD19*$W19*1000)/($G19*$B$5)),
IF($D19="Pénétro.",
IF($E19=4,(PI()*FH$12^2)/4*(FD19*$W19*1000)/($H19*$B$5),(PI()*FH$12^2)/4*(FD19*$W19*1000)/($G19*$B$5))))))/10</f>
        <v>#N/A</v>
      </c>
      <c r="FI19" s="102" t="e">
        <f>(VLOOKUP($B$3,'Coeff EC7'!$T$39:$X$59,2,0)*FG19+VLOOKUP($B$3,'Coeff EC7'!$T$65:$X$85,2,0)*Model0.1C!FH19)/1.1</f>
        <v>#N/A</v>
      </c>
      <c r="FJ19" s="102" t="e">
        <f>(VLOOKUP($B$3,'Coeff EC7'!$T$39:$X$59,3,0)*FG19+VLOOKUP($B$3,'Coeff EC7'!$T$65:$X$85,3,0)*Model0.1C!FH19)/0.9</f>
        <v>#N/A</v>
      </c>
      <c r="FK19" s="102" t="e">
        <f t="shared" si="98"/>
        <v>#N/A</v>
      </c>
      <c r="FL19" s="102" t="e">
        <f t="shared" si="99"/>
        <v>#N/A</v>
      </c>
      <c r="FM19" s="414" t="e">
        <f>IF(FM18=0,0,IF(AND(FI19&gt;charge_ELS_quasi,FJ19&gt;Charge_ELS_freq,FK19&gt;charge_ELU,FL19&gt;charge_ELA,$B19&gt;NDC!$H$22-0.1+MIN(3*$FM$12,1.5)),0,1))</f>
        <v>#N/A</v>
      </c>
    </row>
    <row r="20" spans="1:169">
      <c r="A20" s="96">
        <f t="shared" si="67"/>
        <v>99.30000000000004</v>
      </c>
      <c r="B20" s="97">
        <v>0.7</v>
      </c>
      <c r="C20" s="81">
        <f>IF(B20&lt;=Hypothèses!$C$7,Hypothèses!$A$7,IF(B20&lt;=Hypothèses!$C$8,Hypothèses!$A$8,IF(B20&lt;=Hypothèses!$C$9,Hypothèses!$A$9,IF(B20&lt;=Hypothèses!$C$10,Hypothèses!$A$10,IF(B20&lt;=Hypothèses!$C$11,Hypothèses!$A$11,IF(B20&lt;=Hypothèses!$C$12,Hypothèses!$A$12,IF(B20&lt;=Hypothèses!$C$13,Hypothèses!$A$13,IF(B20&lt;=Hypothèses!$C$14,Hypothèses!$A$14,IF(B20&lt;=Hypothèses!$C$15,Hypothèses!$A$15,IF(B20&lt;=Hypothèses!$C$16,Hypothèses!$A$16,IF(B20&lt;=Hypothèses!$C$17,Hypothèses!$A$17,IF(B20&lt;=Hypothèses!$C$18,Hypothèses!$A$18,C19))))))))))))</f>
        <v>11</v>
      </c>
      <c r="D20" s="82" t="str">
        <f>IF(B20&lt;=Hypothèses!$C$7,Hypothèses!$R$7,IF(B20&lt;=Hypothèses!$C$8,Hypothèses!$R$8,IF(B20&lt;=Hypothèses!$C$9,Hypothèses!$R$9,IF(B20&lt;=Hypothèses!$C$10,Hypothèses!$R$10,IF(B20&lt;=Hypothèses!$C$11,Hypothèses!$R$11,IF(B20&lt;=Hypothèses!$C$12,Hypothèses!$R$12,IF(B20&lt;=Hypothèses!$C$13,Hypothèses!$R$13,IF(B20&lt;=Hypothèses!$C$14,Hypothèses!$R$14,IF(B20&lt;=Hypothèses!$C$15,Hypothèses!$R$15,IF(B20&lt;=Hypothèses!$C$16,Hypothèses!$R$16,IF(B20&lt;=Hypothèses!$C$17,Hypothèses!$R$17,IF(B20&lt;=Hypothèses!$C$18,Hypothèses!$R$18,D19))))))))))))</f>
        <v>Pressio.</v>
      </c>
      <c r="E20" s="82" t="e">
        <f>IF(B20&lt;=Hypothèses!$C$7,Hypothèses!$G$7,IF(B20&lt;=Hypothèses!$C$8,Hypothèses!$G$8,IF(B20&lt;=Hypothèses!$C$9,Hypothèses!$G$9,IF(B20&lt;=Hypothèses!$C$10,Hypothèses!$G$10,IF(B20&lt;=Hypothèses!$C$11,Hypothèses!$G$11,IF(B20&lt;=Hypothèses!$C$12,Hypothèses!$G$12,IF(B20&lt;=Hypothèses!$C$13,Hypothèses!$G$13,IF(B20&lt;=Hypothèses!$C$14,Hypothèses!$G$14,IF(B20&lt;=Hypothèses!$C$15,Hypothèses!$G$15,IF(B20&lt;=Hypothèses!$C$16,Hypothèses!$G$16,IF(B20&lt;=Hypothèses!$C$17,Hypothèses!$G$17,IF(B20&lt;=Hypothèses!$C$18,Hypothèses!$G$18,E19))))))))))))</f>
        <v>#N/A</v>
      </c>
      <c r="F20" s="82" t="str">
        <f>IF(B20&lt;=Hypothèses!$C$7,Hypothèses!$F$7,IF(B20&lt;=Hypothèses!$C$8,Hypothèses!$F$8,IF(B20&lt;=Hypothèses!$C$9,Hypothèses!$F$9,IF(B20&lt;=Hypothèses!$C$10,Hypothèses!$F$10,IF(B20&lt;=Hypothèses!$C$11,Hypothèses!$F$11,IF(B20&lt;=Hypothèses!$C$12,Hypothèses!$F$12,IF(B20&lt;=Hypothèses!$C$13,Hypothèses!$F$13,IF(B20&lt;=Hypothèses!$C$14,Hypothèses!$F$14,IF(B20&lt;=Hypothèses!$C$15,Hypothèses!$F$15,IF(B20&lt;=Hypothèses!$C$16,Hypothèses!$F$16,IF(B20&lt;=Hypothèses!$C$17,Hypothèses!$F$17,IF(B20&lt;=Hypothèses!$C$18,Hypothèses!$F$18,F19))))))))))))</f>
        <v/>
      </c>
      <c r="G20" s="91">
        <f t="array" ref="G20">INDEX('Coeff EC7'!$U$7:$X$27,
MATCH(Model0.1C!$B$3,'Coeff EC7'!$T$7:$T$27,0),
MATCH(Model0.1C!$D20&amp;Model0.1C!$B$4,
'Coeff EC7'!$U$6:$X$6&amp;
'Coeff EC7'!$U$5:$X$5,0))</f>
        <v>1.1499999999999999</v>
      </c>
      <c r="H20" s="91">
        <f t="array" ref="H20">INDEX('Coeff EC7'!$Y$7:$AB$27,
MATCH(Model0.1C!$B$3,'Coeff EC7'!$T$7:$T$27,0),
MATCH(Model0.1C!$D20&amp;Model0.1C!$B$4,
'Coeff EC7'!$Y$6:$AB$6&amp;
'Coeff EC7'!$Y$5:$AB$5,0))</f>
        <v>1.4</v>
      </c>
      <c r="I20" s="83" t="e">
        <f>IF(B20&lt;=Hypothèses!$C$7,Hypothèses!$P$7,IF(B20&lt;=Hypothèses!$C$8,Hypothèses!$P$8,IF(B20&lt;=Hypothèses!$C$9,Hypothèses!$P$9,IF(B20&lt;=Hypothèses!$C$10,Hypothèses!$P$10,IF(B20&lt;=Hypothèses!$C$11,Hypothèses!$P$11,IF(B20&lt;=Hypothèses!$C$12,Hypothèses!$P$12,IF(B20&lt;=Hypothèses!$C$13,Hypothèses!$P$13,IF(B20&lt;=Hypothèses!$C$14,Hypothèses!$P$14,IF(B20&lt;=Hypothèses!$C$15,Hypothèses!$P$15,IF(B20&lt;=Hypothèses!$C$16,Hypothèses!$P$16,IF(B20&lt;=Hypothèses!$C$17,Hypothèses!$P$17,IF(B20&lt;=Hypothèses!$C$18,Hypothèses!$P$18,I19))))))))))))</f>
        <v>#N/A</v>
      </c>
      <c r="J20" s="91" t="e">
        <f t="array" ref="J20">INDEX('Coeff EC7'!$D$33:$Q$33,1,MATCH(D20&amp;E20,'Coeff EC7'!$D$31:$Q$31&amp;'Coeff EC7'!$D$32:$Q$32,0))</f>
        <v>#N/A</v>
      </c>
      <c r="K20" s="91" t="e">
        <f t="array" ref="K20">INDEX('Coeff EC7'!$D$34:$Q$34,1,MATCH(D20&amp;E20,'Coeff EC7'!$D$31:$Q$31&amp;'Coeff EC7'!$D$32:$Q$32,0))</f>
        <v>#N/A</v>
      </c>
      <c r="L20" s="91" t="e">
        <f t="array" ref="L20">INDEX('Coeff EC7'!$D$35:$Q$35,1,MATCH(D20&amp;E20,'Coeff EC7'!$D$31:$Q$31&amp;'Coeff EC7'!$D$32:$Q$32,0))</f>
        <v>#N/A</v>
      </c>
      <c r="M20" s="98" t="e">
        <f t="shared" si="8"/>
        <v>#N/A</v>
      </c>
      <c r="N20" s="99" t="e">
        <f t="array" ref="N20">INDEX('Coeff EC7'!$D$7:$Q$27,MATCH($B$3,'Coeff EC7'!$C$7:$C$27,0),MATCH(D20&amp;E20,'Coeff EC7'!$D$5:$Q$5&amp;'Coeff EC7'!$D$6:$Q$6,0))</f>
        <v>#N/A</v>
      </c>
      <c r="O20" s="99" t="e">
        <f t="array" ref="O20">INDEX('Coeff EC7'!$D$41:$Q$61,MATCH($B$3,'Coeff EC7'!$C$41:$C$61,0),MATCH(D20&amp;E20,'Coeff EC7'!$D$39:$Q$39&amp;'Coeff EC7'!$D$40:$Q$40,0))</f>
        <v>#N/A</v>
      </c>
      <c r="P20" s="30" t="e">
        <f t="shared" si="68"/>
        <v>#N/A</v>
      </c>
      <c r="Q20" s="100" t="e">
        <f t="shared" si="10"/>
        <v>#N/A</v>
      </c>
      <c r="R20" s="86" t="b">
        <f t="shared" si="11"/>
        <v>0</v>
      </c>
      <c r="S20" s="86">
        <f t="shared" si="9"/>
        <v>0.5</v>
      </c>
      <c r="T20" s="86">
        <f t="shared" si="12"/>
        <v>0.5</v>
      </c>
      <c r="U20" s="30" t="e">
        <f t="shared" ca="1" si="69"/>
        <v>#DIV/0!</v>
      </c>
      <c r="V20" s="85" t="str">
        <f>IF(B20&lt;=Hypothèses!$V$7,Hypothèses!$W$7,IF(B20&lt;=Hypothèses!$V$8,Hypothèses!$W$8,IF(B20&lt;=Hypothèses!$V$9,Hypothèses!$W$9,IF(B20&lt;=Hypothèses!$V$10,Hypothèses!$W$10,IF(B20&lt;=Hypothèses!$V$11,Hypothèses!$W$11,IF(B20&lt;=Hypothèses!$V$12,Hypothèses!$W$12,IF(B20&lt;=Hypothèses!$V$13,Hypothèses!$W$13,IF(B20&lt;=Hypothèses!$V$14,Hypothèses!$W$14,IF(B20&lt;=Hypothèses!$V$15,Hypothèses!$W$15,IF(B20&lt;=Hypothèses!$V$16,Hypothèses!$W$16,IF(B20&lt;=Hypothèses!$V$17,Hypothèses!$W$17,IF(B20&lt;=Hypothèses!$V$18,Hypothèses!$W$18,""))))))))))))</f>
        <v/>
      </c>
      <c r="W20" s="87" t="e">
        <f t="shared" ca="1" si="116"/>
        <v>#DIV/0!</v>
      </c>
      <c r="X20" s="88" t="str">
        <f>IF(B20&lt;=Hypothèses!$V$7,Hypothèses!$X$7,IF(B20&lt;=Hypothèses!$V$8,Hypothèses!$X$8,IF(B20&lt;=Hypothèses!$V$9,Hypothèses!$X$9,IF(B20&lt;=Hypothèses!$V$10,Hypothèses!$X$10,IF(B20&lt;=Hypothèses!$V$11,Hypothèses!$X$11,IF(B20&lt;=Hypothèses!$V$12,Hypothèses!$X$12,IF(B20&lt;=Hypothèses!$V$13,Hypothèses!$X$13,IF(B20&lt;=Hypothèses!$V$14,Hypothèses!$X$14,IF(B20&lt;=Hypothèses!$V$15,Hypothèses!$X$15,IF(B20&lt;=Hypothèses!$V$16,Hypothèses!$X$16,IF(B20&lt;=Hypothèses!$U$17,Hypothèses!$W$17,IF(B20&lt;=Hypothèses!$U$18,Hypothèses!$W$18,""))))))))))))</f>
        <v/>
      </c>
      <c r="Y20" s="95" t="e">
        <f t="shared" ca="1" si="13"/>
        <v>#DIV/0!</v>
      </c>
      <c r="Z20" s="101" t="e">
        <f t="shared" si="14"/>
        <v>#N/A</v>
      </c>
      <c r="AA20" s="91" t="e">
        <f t="shared" si="15"/>
        <v>#N/A</v>
      </c>
      <c r="AB20" s="30" t="e">
        <f t="shared" si="100"/>
        <v>#N/A</v>
      </c>
      <c r="AC20" s="30" t="e">
        <f t="shared" si="101"/>
        <v>#N/A</v>
      </c>
      <c r="AD20" s="31" t="e">
        <f>IF(OR(Hypothèses!$B$4=17,Hypothèses!$B$4=18,Hypothèses!$B$4=19,Hypothèses!$B$4=20),
IF($D20="Pressio.",
IF(OR($E20=3,$E20=1,$E20=4),AC20,AB20),
IF($D20="Pénétro.",
IF(OR($E20=3,$E20=1,$E20=4),AC20,AB20))),IF($D20="Pressio.",
IF($E20=3,AC20,AB20),
IF($D20="Pénétro.",
IF($E20=4,AC20,AB20))))</f>
        <v>#N/A</v>
      </c>
      <c r="AE20" s="31" t="e">
        <f>(IF(OR(Hypothèses!$B$4=17,Hypothèses!$B$4=18,Hypothèses!$B$4=19,Hypothèses!$B$4=20),
IF($D20="Pressio.",
IF(OR($E20=3,$E20=1,$E20=4),(PI()*AE$12^2)/4*(AA20*$W20*1000)/($H20*$B$5),(PI()*AE$12^2)/4*(AA20*$W20*1000)/($G20*$B$5)),
IF($D20="Pénétro.",
IF(OR($E20=4,$E20=1,$E20=5),(PI()*AE$12^2)/4*(AA20*$W20*1000)/($H20*$B$5),(PI()*AE$12^2)/4*(AA20*$W20*1000)/($G20*$B$5)))),
IF($D20="Pressio.",
IF($E20=3,(PI()*AE$12^2)/4*(AA20*$W20*1000)/($H20*$B$5),(PI()*AE$12^2)/4*(AA20*$W20*1000)/($G20*$B$5)),
IF($D20="Pénétro.",
IF($E20=4,(PI()*AE$12^2)/4*(AA20*$W20*1000)/($H20*$B$5),(PI()*AE$12^2)/4*(AA20*$W20*1000)/($G20*$B$5))))))/10</f>
        <v>#N/A</v>
      </c>
      <c r="AF20" s="102" t="e">
        <f>(VLOOKUP($B$3,'Coeff EC7'!$T$39:$X$59,2,0)*AD20+VLOOKUP($B$3,'Coeff EC7'!$T$65:$X$85,2,0)*Model0.1C!AE20)/1.1</f>
        <v>#N/A</v>
      </c>
      <c r="AG20" s="102" t="e">
        <f>(VLOOKUP($B$3,'Coeff EC7'!$T$39:$X$59,3,0)*AD20+VLOOKUP($B$3,'Coeff EC7'!$T$65:$X$85,3,0)*Model0.1C!AE20)/0.9</f>
        <v>#N/A</v>
      </c>
      <c r="AH20" s="102" t="e">
        <f t="shared" si="18"/>
        <v>#N/A</v>
      </c>
      <c r="AI20" s="102" t="e">
        <f t="shared" si="19"/>
        <v>#N/A</v>
      </c>
      <c r="AJ20" s="414" t="e">
        <f>IF(AJ19=0,0,IF(AND(AF20&gt;charge_ELS_quasi,AG20&gt;Charge_ELS_freq,AH20&gt;charge_ELU,AI20&gt;charge_ELA,$B20&gt;NDC!$H$22-0.1+MIN(3*$AJ$12,1.5)),0,1))</f>
        <v>#N/A</v>
      </c>
      <c r="AK20" s="86" t="b">
        <f t="shared" si="20"/>
        <v>0</v>
      </c>
      <c r="AL20" s="86">
        <f t="shared" si="70"/>
        <v>0.5</v>
      </c>
      <c r="AM20" s="86">
        <f t="shared" si="21"/>
        <v>0.5</v>
      </c>
      <c r="AN20" s="30" t="e">
        <f t="shared" ca="1" si="71"/>
        <v>#DIV/0!</v>
      </c>
      <c r="AO20" s="85" t="e">
        <f ca="1">IF(U20&lt;=Hypothèses!$V$7,Hypothèses!$W$7,IF(U20&lt;=Hypothèses!$V$8,Hypothèses!$W$8,IF(U20&lt;=Hypothèses!$V$9,Hypothèses!$W$9,IF(U20&lt;=Hypothèses!$V$10,Hypothèses!$W$10,IF(U20&lt;=Hypothèses!$V$11,Hypothèses!$W$11,IF(U20&lt;=Hypothèses!$V$12,Hypothèses!$W$12,IF(U20&lt;=Hypothèses!$V$13,Hypothèses!$W$13,IF(U20&lt;=Hypothèses!$V$14,Hypothèses!$W$14,IF(U20&lt;=Hypothèses!$V$15,Hypothèses!$W$15,IF(U20&lt;=Hypothèses!$V$16,Hypothèses!$W$16,IF(U20&lt;=Hypothèses!$V$17,Hypothèses!$W$17,IF(U20&lt;=Hypothèses!$V$18,Hypothèses!$W$18,""))))))))))))</f>
        <v>#DIV/0!</v>
      </c>
      <c r="AP20" s="87" t="e">
        <f t="shared" ca="1" si="117"/>
        <v>#DIV/0!</v>
      </c>
      <c r="AQ20" s="88" t="e">
        <f ca="1">IF(U20&lt;=Hypothèses!$V$7,Hypothèses!$X$7,IF(U20&lt;=Hypothèses!$V$8,Hypothèses!$X$8,IF(U20&lt;=Hypothèses!$V$9,Hypothèses!$X$9,IF(U20&lt;=Hypothèses!$V$10,Hypothèses!$X$10,IF(U20&lt;=Hypothèses!$V$11,Hypothèses!$X$11,IF(U20&lt;=Hypothèses!$V$12,Hypothèses!$X$12,IF(U20&lt;=Hypothèses!$V$13,Hypothèses!$X$13,IF(U20&lt;=Hypothèses!$V$14,Hypothèses!$X$14,IF(U20&lt;=Hypothèses!$V$15,Hypothèses!$X$15,IF(U20&lt;=Hypothèses!$V$16,Hypothèses!$X$16,IF(U20&lt;=Hypothèses!$U$17,Hypothèses!$W$17,IF(U20&lt;=Hypothèses!$U$18,Hypothèses!$W$18,""))))))))))))</f>
        <v>#DIV/0!</v>
      </c>
      <c r="AR20" s="95" t="e">
        <f t="shared" ca="1" si="72"/>
        <v>#DIV/0!</v>
      </c>
      <c r="AS20" s="101" t="e">
        <f t="shared" si="124"/>
        <v>#N/A</v>
      </c>
      <c r="AT20" s="91" t="e">
        <f t="shared" si="23"/>
        <v>#N/A</v>
      </c>
      <c r="AU20" s="30" t="e">
        <f t="shared" si="102"/>
        <v>#N/A</v>
      </c>
      <c r="AV20" s="30" t="e">
        <f t="shared" si="103"/>
        <v>#N/A</v>
      </c>
      <c r="AW20" s="31" t="e">
        <f>IF(OR(Hypothèses!$B$4=17,Hypothèses!$B$4=18,Hypothèses!$B$4=19,Hypothèses!$B$4=20),
IF($D20="Pressio.",
IF(OR($E20=3,$E20=1,$E20=4),AV20,AU20),
IF($D20="Pénétro.",
IF(OR($E20=3,$E20=1,$E20=4),AV20,AU20))),IF($D20="Pressio.",
IF($E20=3,AV20,AU20),
IF($D20="Pénétro.",
IF($E20=4,AV20,AU20))))</f>
        <v>#N/A</v>
      </c>
      <c r="AX20" s="31" t="e">
        <f>(IF(OR(Hypothèses!$B$4=17,Hypothèses!$B$4=18,Hypothèses!$B$4=19,Hypothèses!$B$4=20),
IF($D20="Pressio.",
IF(OR($E20=3,$E20=1,$E20=4),(PI()*AX$12^2)/4*(AT20*$W20*1000)/($H20*$B$5),(PI()*AX$12^2)/4*(AT20*$W20*1000)/($G20*$B$5)),
IF($D20="Pénétro.",
IF(OR($E20=4,$E20=1,$E20=5),(PI()*AX$12^2)/4*(AT20*$W20*1000)/($H20*$B$5),(PI()*AX$12^2)/4*(AT20*$W20*1000)/($G20*$B$5)))),
IF($D20="Pressio.",
IF($E20=3,(PI()*AX$12^2)/4*(AT20*$W20*1000)/($H20*$B$5),(PI()*AX$12^2)/4*(AT20*$W20*1000)/($G20*$B$5)),
IF($D20="Pénétro.",
IF($E20=4,(PI()*AX$12^2)/4*(AT20*$W20*1000)/($H20*$B$5),(PI()*AX$12^2)/4*(AT20*$W20*1000)/($G20*$B$5))))))/10</f>
        <v>#N/A</v>
      </c>
      <c r="AY20" s="102" t="e">
        <f>(VLOOKUP($B$3,'Coeff EC7'!$T$39:$X$59,2,0)*AW20+VLOOKUP($B$3,'Coeff EC7'!$T$65:$X$85,2,0)*Model0.1C!AX20)/1.1</f>
        <v>#N/A</v>
      </c>
      <c r="AZ20" s="102" t="e">
        <f>(VLOOKUP($B$3,'Coeff EC7'!$T$39:$X$59,3,0)*AW20+VLOOKUP($B$3,'Coeff EC7'!$T$65:$X$85,3,0)*Model0.1C!AX20)/0.9</f>
        <v>#N/A</v>
      </c>
      <c r="BA20" s="102" t="e">
        <f t="shared" si="73"/>
        <v>#N/A</v>
      </c>
      <c r="BB20" s="102" t="e">
        <f t="shared" si="74"/>
        <v>#N/A</v>
      </c>
      <c r="BC20" s="414" t="e">
        <f>IF(BC19=0,0,IF(AND(AY20&gt;charge_ELS_quasi,AZ20&gt;Charge_ELS_freq,BA20&gt;charge_ELU,BB20&gt;charge_ELA,$B20&gt;NDC!$H$22-0.1+MIN(3*$BC$12,1.5)),0,1))</f>
        <v>#N/A</v>
      </c>
      <c r="BD20" s="86" t="b">
        <f t="shared" si="26"/>
        <v>0</v>
      </c>
      <c r="BE20" s="86">
        <f t="shared" si="75"/>
        <v>0.5</v>
      </c>
      <c r="BF20" s="86">
        <f t="shared" si="27"/>
        <v>0.5</v>
      </c>
      <c r="BG20" s="30" t="e">
        <f t="shared" ca="1" si="76"/>
        <v>#DIV/0!</v>
      </c>
      <c r="BH20" s="85" t="e">
        <f ca="1">IF(AN20&lt;=Hypothèses!$V$7,Hypothèses!$W$7,IF(AN20&lt;=Hypothèses!$V$8,Hypothèses!$W$8,IF(AN20&lt;=Hypothèses!$V$9,Hypothèses!$W$9,IF(AN20&lt;=Hypothèses!$V$10,Hypothèses!$W$10,IF(AN20&lt;=Hypothèses!$V$11,Hypothèses!$W$11,IF(AN20&lt;=Hypothèses!$V$12,Hypothèses!$W$12,IF(AN20&lt;=Hypothèses!$V$13,Hypothèses!$W$13,IF(AN20&lt;=Hypothèses!$V$14,Hypothèses!$W$14,IF(AN20&lt;=Hypothèses!$V$15,Hypothèses!$W$15,IF(AN20&lt;=Hypothèses!$V$16,Hypothèses!$W$16,IF(AN20&lt;=Hypothèses!$V$17,Hypothèses!$W$17,IF(AN20&lt;=Hypothèses!$V$18,Hypothèses!$W$18,""))))))))))))</f>
        <v>#DIV/0!</v>
      </c>
      <c r="BI20" s="87" t="e">
        <f t="shared" ca="1" si="118"/>
        <v>#DIV/0!</v>
      </c>
      <c r="BJ20" s="88" t="e">
        <f ca="1">IF(AN20&lt;=Hypothèses!$V$7,Hypothèses!$X$7,IF(AN20&lt;=Hypothèses!$V$8,Hypothèses!$X$8,IF(AN20&lt;=Hypothèses!$V$9,Hypothèses!$X$9,IF(AN20&lt;=Hypothèses!$V$10,Hypothèses!$X$10,IF(AN20&lt;=Hypothèses!$V$11,Hypothèses!$X$11,IF(AN20&lt;=Hypothèses!$V$12,Hypothèses!$X$12,IF(AN20&lt;=Hypothèses!$V$13,Hypothèses!$X$13,IF(AN20&lt;=Hypothèses!$V$14,Hypothèses!$X$14,IF(AN20&lt;=Hypothèses!$V$15,Hypothèses!$X$15,IF(AN20&lt;=Hypothèses!$V$16,Hypothèses!$X$16,IF(AN20&lt;=Hypothèses!$U$17,Hypothèses!$W$17,IF(AN20&lt;=Hypothèses!$U$18,Hypothèses!$W$18,""))))))))))))</f>
        <v>#DIV/0!</v>
      </c>
      <c r="BK20" s="95" t="e">
        <f t="shared" ca="1" si="77"/>
        <v>#DIV/0!</v>
      </c>
      <c r="BL20" s="101" t="e">
        <f t="shared" si="125"/>
        <v>#N/A</v>
      </c>
      <c r="BM20" s="91" t="e">
        <f t="shared" si="29"/>
        <v>#N/A</v>
      </c>
      <c r="BN20" s="30" t="e">
        <f t="shared" si="104"/>
        <v>#N/A</v>
      </c>
      <c r="BO20" s="30" t="e">
        <f t="shared" si="105"/>
        <v>#N/A</v>
      </c>
      <c r="BP20" s="31" t="e">
        <f>IF(OR(Hypothèses!$B$4=17,Hypothèses!$B$4=18,Hypothèses!$B$4=19,Hypothèses!$B$4=20),
IF($D20="Pressio.",
IF(OR($E20=3,$E20=1,$E20=4),BO20,BN20),
IF($D20="Pénétro.",
IF(OR($E20=3,$E20=1,$E20=4),BO20,BN20))),IF($D20="Pressio.",
IF($E20=3,BO20,BN20),
IF($D20="Pénétro.",
IF($E20=4,BO20,BN20))))</f>
        <v>#N/A</v>
      </c>
      <c r="BQ20" s="31" t="e">
        <f>(IF(OR(Hypothèses!$B$4=17,Hypothèses!$B$4=18,Hypothèses!$B$4=19,Hypothèses!$B$4=20),
IF($D20="Pressio.",
IF(OR($E20=3,$E20=1,$E20=4),(PI()*BQ$12^2)/4*(BM20*$W20*1000)/($H20*$B$5),(PI()*BQ$12^2)/4*(BM20*$W20*1000)/($G20*$B$5)),
IF($D20="Pénétro.",
IF(OR($E20=4,$E20=1,$E20=5),(PI()*BQ$12^2)/4*(BM20*$W20*1000)/($H20*$B$5),(PI()*BQ$12^2)/4*(BM20*$W20*1000)/($G20*$B$5)))),
IF($D20="Pressio.",
IF($E20=3,(PI()*BQ$12^2)/4*(BM20*$W20*1000)/($H20*$B$5),(PI()*BQ$12^2)/4*(BM20*$W20*1000)/($G20*$B$5)),
IF($D20="Pénétro.",
IF($E20=4,(PI()*BQ$12^2)/4*(BM20*$W20*1000)/($H20*$B$5),(PI()*BQ$12^2)/4*(BM20*$W20*1000)/($G20*$B$5))))))/10</f>
        <v>#N/A</v>
      </c>
      <c r="BR20" s="102" t="e">
        <f>(VLOOKUP($B$3,'Coeff EC7'!$T$39:$X$59,2,0)*BP20+VLOOKUP($B$3,'Coeff EC7'!$T$65:$X$85,2,0)*Model0.1C!BQ20)/1.1</f>
        <v>#N/A</v>
      </c>
      <c r="BS20" s="102" t="e">
        <f>(VLOOKUP($B$3,'Coeff EC7'!$T$39:$X$59,3,0)*BP20+VLOOKUP($B$3,'Coeff EC7'!$T$65:$X$85,3,0)*Model0.1C!BQ20)/0.9</f>
        <v>#N/A</v>
      </c>
      <c r="BT20" s="102" t="e">
        <f t="shared" si="78"/>
        <v>#N/A</v>
      </c>
      <c r="BU20" s="102" t="e">
        <f t="shared" si="79"/>
        <v>#N/A</v>
      </c>
      <c r="BV20" s="414" t="e">
        <f>IF(BV19=0,0,IF(AND(BR20&gt;charge_ELS_quasi,BS20&gt;Charge_ELS_freq,BT20&gt;charge_ELU,BU20&gt;charge_ELA,$B20&gt;NDC!$H$22-0.1+MIN(3*$BV$12,1.5)),0,1))</f>
        <v>#N/A</v>
      </c>
      <c r="BW20" s="86" t="b">
        <f t="shared" si="32"/>
        <v>0</v>
      </c>
      <c r="BX20" s="86">
        <f t="shared" si="33"/>
        <v>0.5</v>
      </c>
      <c r="BY20" s="86">
        <f t="shared" si="34"/>
        <v>0.5</v>
      </c>
      <c r="BZ20" s="30" t="e">
        <f t="shared" ca="1" si="80"/>
        <v>#DIV/0!</v>
      </c>
      <c r="CA20" s="85" t="e">
        <f ca="1">IF(BG20&lt;=Hypothèses!$V$7,Hypothèses!$W$7,IF(BG20&lt;=Hypothèses!$V$8,Hypothèses!$W$8,IF(BG20&lt;=Hypothèses!$V$9,Hypothèses!$W$9,IF(BG20&lt;=Hypothèses!$V$10,Hypothèses!$W$10,IF(BG20&lt;=Hypothèses!$V$11,Hypothèses!$W$11,IF(BG20&lt;=Hypothèses!$V$12,Hypothèses!$W$12,IF(BG20&lt;=Hypothèses!$V$13,Hypothèses!$W$13,IF(BG20&lt;=Hypothèses!$V$14,Hypothèses!$W$14,IF(BG20&lt;=Hypothèses!$V$15,Hypothèses!$W$15,IF(BG20&lt;=Hypothèses!$V$16,Hypothèses!$W$16,IF(BG20&lt;=Hypothèses!$V$17,Hypothèses!$W$17,IF(BG20&lt;=Hypothèses!$V$18,Hypothèses!$W$18,""))))))))))))</f>
        <v>#DIV/0!</v>
      </c>
      <c r="CB20" s="87" t="e">
        <f t="shared" ca="1" si="119"/>
        <v>#DIV/0!</v>
      </c>
      <c r="CC20" s="88" t="e">
        <f ca="1">IF(BG20&lt;=Hypothèses!$V$7,Hypothèses!$X$7,IF(BG20&lt;=Hypothèses!$V$8,Hypothèses!$X$8,IF(BG20&lt;=Hypothèses!$V$9,Hypothèses!$X$9,IF(BG20&lt;=Hypothèses!$V$10,Hypothèses!$X$10,IF(BG20&lt;=Hypothèses!$V$11,Hypothèses!$X$11,IF(BG20&lt;=Hypothèses!$V$12,Hypothèses!$X$12,IF(BG20&lt;=Hypothèses!$V$13,Hypothèses!$X$13,IF(BG20&lt;=Hypothèses!$V$14,Hypothèses!$X$14,IF(BG20&lt;=Hypothèses!$V$15,Hypothèses!$X$15,IF(BG20&lt;=Hypothèses!$V$16,Hypothèses!$X$16,IF(BG20&lt;=Hypothèses!$U$17,Hypothèses!$W$17,IF(BG20&lt;=Hypothèses!$U$18,Hypothèses!$W$18,""))))))))))))</f>
        <v>#DIV/0!</v>
      </c>
      <c r="CD20" s="95" t="e">
        <f t="shared" ca="1" si="81"/>
        <v>#DIV/0!</v>
      </c>
      <c r="CE20" s="101" t="e">
        <f t="shared" si="126"/>
        <v>#N/A</v>
      </c>
      <c r="CF20" s="91" t="e">
        <f t="shared" si="36"/>
        <v>#N/A</v>
      </c>
      <c r="CG20" s="30" t="e">
        <f t="shared" si="106"/>
        <v>#N/A</v>
      </c>
      <c r="CH20" s="30" t="e">
        <f t="shared" si="107"/>
        <v>#N/A</v>
      </c>
      <c r="CI20" s="31" t="e">
        <f>IF(OR(Hypothèses!$B$4=17,Hypothèses!$B$4=18,Hypothèses!$B$4=19,Hypothèses!$B$4=20),
IF($D20="Pressio.",
IF(OR($E20=3,$E20=1,$E20=4),CH20,CG20),
IF($D20="Pénétro.",
IF(OR($E20=3,$E20=1,$E20=4),CH20,CG20))),IF($D20="Pressio.",
IF($E20=3,CH20,CG20),
IF($D20="Pénétro.",
IF($E20=4,CH20,CG20))))</f>
        <v>#N/A</v>
      </c>
      <c r="CJ20" s="31" t="e">
        <f>(IF(OR(Hypothèses!$B$4=17,Hypothèses!$B$4=18,Hypothèses!$B$4=19,Hypothèses!$B$4=20),
IF($D20="Pressio.",
IF(OR($E20=3,$E20=1,$E20=4),(PI()*CJ$12^2)/4*(CF20*$W20*1000)/($H20*$B$5),(PI()*CJ$12^2)/4*(CF20*$W20*1000)/($G20*$B$5)),
IF($D20="Pénétro.",
IF(OR($E20=4,$E20=1,$E20=5),(PI()*CJ$12^2)/4*(CF20*$W20*1000)/($H20*$B$5),(PI()*CJ$12^2)/4*(CF20*$W20*1000)/($G20*$B$5)))),
IF($D20="Pressio.",
IF($E20=3,(PI()*CJ$12^2)/4*(CF20*$W20*1000)/($H20*$B$5),(PI()*CJ$12^2)/4*(CF20*$W20*1000)/($G20*$B$5)),
IF($D20="Pénétro.",
IF($E20=4,(PI()*CJ$12^2)/4*(CF20*$W20*1000)/($H20*$B$5),(PI()*CJ$12^2)/4*(CF20*$W20*1000)/($G20*$B$5))))))/10</f>
        <v>#N/A</v>
      </c>
      <c r="CK20" s="102" t="e">
        <f>(VLOOKUP($B$3,'Coeff EC7'!$T$39:$X$59,2,0)*CI20+VLOOKUP($B$3,'Coeff EC7'!$T$65:$X$85,2,0)*Model0.1C!CJ20)/1.1</f>
        <v>#N/A</v>
      </c>
      <c r="CL20" s="102" t="e">
        <f>(VLOOKUP($B$3,'Coeff EC7'!$T$39:$X$59,3,0)*CI20+VLOOKUP($B$3,'Coeff EC7'!$T$65:$X$85,3,0)*Model0.1C!CJ20)/0.9</f>
        <v>#N/A</v>
      </c>
      <c r="CM20" s="102" t="e">
        <f t="shared" si="82"/>
        <v>#N/A</v>
      </c>
      <c r="CN20" s="102" t="e">
        <f t="shared" si="83"/>
        <v>#N/A</v>
      </c>
      <c r="CO20" s="414" t="e">
        <f>IF(CO19=0,0,IF(AND(CK20&gt;charge_ELS_quasi,CL20&gt;Charge_ELS_freq,CM20&gt;charge_ELU,CN20&gt;charge_ELA,$B20&gt;NDC!$H$22-0.1+MIN(3*$CO$12,1.5)),0,1))</f>
        <v>#N/A</v>
      </c>
      <c r="CP20" s="86" t="b">
        <f t="shared" si="39"/>
        <v>0</v>
      </c>
      <c r="CQ20" s="86">
        <f t="shared" si="40"/>
        <v>0.5</v>
      </c>
      <c r="CR20" s="86">
        <f t="shared" si="41"/>
        <v>0.5</v>
      </c>
      <c r="CS20" s="30" t="e">
        <f t="shared" ca="1" si="84"/>
        <v>#DIV/0!</v>
      </c>
      <c r="CT20" s="85" t="e">
        <f ca="1">IF(BZ20&lt;=Hypothèses!$V$7,Hypothèses!$W$7,IF(BZ20&lt;=Hypothèses!$V$8,Hypothèses!$W$8,IF(BZ20&lt;=Hypothèses!$V$9,Hypothèses!$W$9,IF(BZ20&lt;=Hypothèses!$V$10,Hypothèses!$W$10,IF(BZ20&lt;=Hypothèses!$V$11,Hypothèses!$W$11,IF(BZ20&lt;=Hypothèses!$V$12,Hypothèses!$W$12,IF(BZ20&lt;=Hypothèses!$V$13,Hypothèses!$W$13,IF(BZ20&lt;=Hypothèses!$V$14,Hypothèses!$W$14,IF(BZ20&lt;=Hypothèses!$V$15,Hypothèses!$W$15,IF(BZ20&lt;=Hypothèses!$V$16,Hypothèses!$W$16,IF(BZ20&lt;=Hypothèses!$V$17,Hypothèses!$W$17,IF(BZ20&lt;=Hypothèses!$V$18,Hypothèses!$W$18,""))))))))))))</f>
        <v>#DIV/0!</v>
      </c>
      <c r="CU20" s="87" t="e">
        <f t="shared" ca="1" si="120"/>
        <v>#DIV/0!</v>
      </c>
      <c r="CV20" s="88" t="e">
        <f ca="1">IF(BZ20&lt;=Hypothèses!$V$7,Hypothèses!$X$7,IF(BZ20&lt;=Hypothèses!$V$8,Hypothèses!$X$8,IF(BZ20&lt;=Hypothèses!$V$9,Hypothèses!$X$9,IF(BZ20&lt;=Hypothèses!$V$10,Hypothèses!$X$10,IF(BZ20&lt;=Hypothèses!$V$11,Hypothèses!$X$11,IF(BZ20&lt;=Hypothèses!$V$12,Hypothèses!$X$12,IF(BZ20&lt;=Hypothèses!$V$13,Hypothèses!$X$13,IF(BZ20&lt;=Hypothèses!$V$14,Hypothèses!$X$14,IF(BZ20&lt;=Hypothèses!$V$15,Hypothèses!$X$15,IF(BZ20&lt;=Hypothèses!$V$16,Hypothèses!$X$16,IF(BZ20&lt;=Hypothèses!$U$17,Hypothèses!$W$17,IF(BZ20&lt;=Hypothèses!$U$18,Hypothèses!$W$18,""))))))))))))</f>
        <v>#DIV/0!</v>
      </c>
      <c r="CW20" s="95" t="e">
        <f t="shared" ca="1" si="85"/>
        <v>#DIV/0!</v>
      </c>
      <c r="CX20" s="101" t="e">
        <f t="shared" si="127"/>
        <v>#N/A</v>
      </c>
      <c r="CY20" s="91" t="e">
        <f t="shared" si="43"/>
        <v>#N/A</v>
      </c>
      <c r="CZ20" s="30" t="e">
        <f t="shared" si="108"/>
        <v>#N/A</v>
      </c>
      <c r="DA20" s="30" t="e">
        <f t="shared" si="109"/>
        <v>#N/A</v>
      </c>
      <c r="DB20" s="31" t="e">
        <f>IF(OR(Hypothèses!$B$4=17,Hypothèses!$B$4=18,Hypothèses!$B$4=19,Hypothèses!$B$4=20),
IF($D20="Pressio.",
IF(OR($E20=3,$E20=1,$E20=4),DA20,CZ20),
IF($D20="Pénétro.",
IF(OR($E20=3,$E20=1,$E20=4),DA20,CZ20))),IF($D20="Pressio.",
IF($E20=3,DA20,CZ20),
IF($D20="Pénétro.",
IF($E20=4,DA20,CZ20))))</f>
        <v>#N/A</v>
      </c>
      <c r="DC20" s="31" t="e">
        <f>(IF(OR(Hypothèses!$B$4=17,Hypothèses!$B$4=18,Hypothèses!$B$4=19,Hypothèses!$B$4=20),
IF($D20="Pressio.",
IF(OR($E20=3,$E20=1,$E20=4),(PI()*DC$12^2)/4*(CY20*$W20*1000)/($H20*$B$5),(PI()*DC$12^2)/4*(CY20*$W20*1000)/($G20*$B$5)),
IF($D20="Pénétro.",
IF(OR($E20=4,$E20=1,$E20=5),(PI()*DC$12^2)/4*(CY20*$W20*1000)/($H20*$B$5),(PI()*DC$12^2)/4*(CY20*$W20*1000)/($G20*$B$5)))),
IF($D20="Pressio.",
IF($E20=3,(PI()*DC$12^2)/4*(CY20*$W20*1000)/($H20*$B$5),(PI()*DC$12^2)/4*(CY20*$W20*1000)/($G20*$B$5)),
IF($D20="Pénétro.",
IF($E20=4,(PI()*DC$12^2)/4*(CY20*$W20*1000)/($H20*$B$5),(PI()*DC$12^2)/4*(CY20*$W20*1000)/($G20*$B$5))))))/10</f>
        <v>#N/A</v>
      </c>
      <c r="DD20" s="102" t="e">
        <f>(VLOOKUP($B$3,'Coeff EC7'!$T$39:$X$59,2,0)*DB20+VLOOKUP($B$3,'Coeff EC7'!$T$65:$X$85,2,0)*Model0.1C!DC20)/1.1</f>
        <v>#N/A</v>
      </c>
      <c r="DE20" s="102" t="e">
        <f>(VLOOKUP($B$3,'Coeff EC7'!$T$39:$X$59,3,0)*DB20+VLOOKUP($B$3,'Coeff EC7'!$T$65:$X$85,3,0)*Model0.1C!DC20)/0.9</f>
        <v>#N/A</v>
      </c>
      <c r="DF20" s="102" t="e">
        <f t="shared" si="86"/>
        <v>#N/A</v>
      </c>
      <c r="DG20" s="102" t="e">
        <f t="shared" si="87"/>
        <v>#N/A</v>
      </c>
      <c r="DH20" s="414" t="e">
        <f>IF(DH19=0,0,IF(AND(DD20&gt;charge_ELS_quasi,DE20&gt;Charge_ELS_freq,DF20&gt;charge_ELU,DG20&gt;charge_ELA,$B20&gt;NDC!$H$22-0.1+MIN(3*$DH$12,1.5)),0,1))</f>
        <v>#N/A</v>
      </c>
      <c r="DI20" s="86" t="b">
        <f t="shared" si="46"/>
        <v>0</v>
      </c>
      <c r="DJ20" s="86">
        <f t="shared" si="47"/>
        <v>0.5</v>
      </c>
      <c r="DK20" s="86">
        <f t="shared" si="48"/>
        <v>0.5</v>
      </c>
      <c r="DL20" s="30" t="e">
        <f t="shared" ca="1" si="88"/>
        <v>#DIV/0!</v>
      </c>
      <c r="DM20" s="85" t="e">
        <f ca="1">IF(CS20&lt;=Hypothèses!$V$7,Hypothèses!$W$7,IF(CS20&lt;=Hypothèses!$V$8,Hypothèses!$W$8,IF(CS20&lt;=Hypothèses!$V$9,Hypothèses!$W$9,IF(CS20&lt;=Hypothèses!$V$10,Hypothèses!$W$10,IF(CS20&lt;=Hypothèses!$V$11,Hypothèses!$W$11,IF(CS20&lt;=Hypothèses!$V$12,Hypothèses!$W$12,IF(CS20&lt;=Hypothèses!$V$13,Hypothèses!$W$13,IF(CS20&lt;=Hypothèses!$V$14,Hypothèses!$W$14,IF(CS20&lt;=Hypothèses!$V$15,Hypothèses!$W$15,IF(CS20&lt;=Hypothèses!$V$16,Hypothèses!$W$16,IF(CS20&lt;=Hypothèses!$V$17,Hypothèses!$W$17,IF(CS20&lt;=Hypothèses!$V$18,Hypothèses!$W$18,""))))))))))))</f>
        <v>#DIV/0!</v>
      </c>
      <c r="DN20" s="87" t="e">
        <f t="shared" ca="1" si="121"/>
        <v>#DIV/0!</v>
      </c>
      <c r="DO20" s="88" t="e">
        <f ca="1">IF(CS20&lt;=Hypothèses!$V$7,Hypothèses!$X$7,IF(CS20&lt;=Hypothèses!$V$8,Hypothèses!$X$8,IF(CS20&lt;=Hypothèses!$V$9,Hypothèses!$X$9,IF(CS20&lt;=Hypothèses!$V$10,Hypothèses!$X$10,IF(CS20&lt;=Hypothèses!$V$11,Hypothèses!$X$11,IF(CS20&lt;=Hypothèses!$V$12,Hypothèses!$X$12,IF(CS20&lt;=Hypothèses!$V$13,Hypothèses!$X$13,IF(CS20&lt;=Hypothèses!$V$14,Hypothèses!$X$14,IF(CS20&lt;=Hypothèses!$V$15,Hypothèses!$X$15,IF(CS20&lt;=Hypothèses!$V$16,Hypothèses!$X$16,IF(CS20&lt;=Hypothèses!$U$17,Hypothèses!$W$17,IF(CS20&lt;=Hypothèses!$U$18,Hypothèses!$W$18,""))))))))))))</f>
        <v>#DIV/0!</v>
      </c>
      <c r="DP20" s="95" t="e">
        <f t="shared" ca="1" si="89"/>
        <v>#DIV/0!</v>
      </c>
      <c r="DQ20" s="101" t="e">
        <f t="shared" si="128"/>
        <v>#N/A</v>
      </c>
      <c r="DR20" s="91" t="e">
        <f t="shared" si="50"/>
        <v>#N/A</v>
      </c>
      <c r="DS20" s="30" t="e">
        <f t="shared" si="110"/>
        <v>#N/A</v>
      </c>
      <c r="DT20" s="30" t="e">
        <f t="shared" si="111"/>
        <v>#N/A</v>
      </c>
      <c r="DU20" s="31" t="e">
        <f>IF(OR(Hypothèses!$B$4=17,Hypothèses!$B$4=18,Hypothèses!$B$4=19,Hypothèses!$B$4=20),
IF($D20="Pressio.",
IF(OR($E20=3,$E20=1,$E20=4),DT20,DS20),
IF($D20="Pénétro.",
IF(OR($E20=3,$E20=1,$E20=4),DT20,DS20))),IF($D20="Pressio.",
IF($E20=3,DT20,DS20),
IF($D20="Pénétro.",
IF($E20=4,DT20,DS20))))</f>
        <v>#N/A</v>
      </c>
      <c r="DV20" s="31" t="e">
        <f>(IF(OR(Hypothèses!$B$4=17,Hypothèses!$B$4=18,Hypothèses!$B$4=19,Hypothèses!$B$4=20),
IF($D20="Pressio.",
IF(OR($E20=3,$E20=1,$E20=4),(PI()*DV$12^2)/4*(DR20*$W20*1000)/($H20*$B$5),(PI()*DV$12^2)/4*(DR20*$W20*1000)/($G20*$B$5)),
IF($D20="Pénétro.",
IF(OR($E20=4,$E20=1,$E20=5),(PI()*DV$12^2)/4*(DR20*$W20*1000)/($H20*$B$5),(PI()*DV$12^2)/4*(DR20*$W20*1000)/($G20*$B$5)))),
IF($D20="Pressio.",
IF($E20=3,(PI()*DV$12^2)/4*(DR20*$W20*1000)/($H20*$B$5),(PI()*DV$12^2)/4*(DR20*$W20*1000)/($G20*$B$5)),
IF($D20="Pénétro.",
IF($E20=4,(PI()*DV$12^2)/4*(DR20*$W20*1000)/($H20*$B$5),(PI()*DV$12^2)/4*(DR20*$W20*1000)/($G20*$B$5))))))/10</f>
        <v>#N/A</v>
      </c>
      <c r="DW20" s="102" t="e">
        <f>(VLOOKUP($B$3,'Coeff EC7'!$T$39:$X$59,2,0)*DU20+VLOOKUP($B$3,'Coeff EC7'!$T$65:$X$85,2,0)*Model0.1C!DV20)/1.1</f>
        <v>#N/A</v>
      </c>
      <c r="DX20" s="102" t="e">
        <f>(VLOOKUP($B$3,'Coeff EC7'!$T$39:$X$59,3,0)*DU20+VLOOKUP($B$3,'Coeff EC7'!$T$65:$X$85,3,0)*Model0.1C!DV20)/0.9</f>
        <v>#N/A</v>
      </c>
      <c r="DY20" s="102" t="e">
        <f t="shared" si="90"/>
        <v>#N/A</v>
      </c>
      <c r="DZ20" s="102" t="e">
        <f t="shared" si="91"/>
        <v>#N/A</v>
      </c>
      <c r="EA20" s="414" t="e">
        <f>IF(EA19=0,0,IF(AND(DW20&gt;charge_ELS_quasi,DX20&gt;Charge_ELS_freq,DY20&gt;charge_ELU,DZ20&gt;charge_ELA,$B20&gt;NDC!$H$22-0.1+MIN(3*$EA$12,1.5)),0,1))</f>
        <v>#N/A</v>
      </c>
      <c r="EB20" s="86" t="b">
        <f t="shared" si="53"/>
        <v>0</v>
      </c>
      <c r="EC20" s="418">
        <f t="shared" si="54"/>
        <v>0.51</v>
      </c>
      <c r="ED20" s="86">
        <f t="shared" si="55"/>
        <v>0.51</v>
      </c>
      <c r="EE20" s="30" t="e">
        <f t="shared" ca="1" si="92"/>
        <v>#DIV/0!</v>
      </c>
      <c r="EF20" s="85" t="e">
        <f ca="1">IF(DL20&lt;=Hypothèses!$V$7,Hypothèses!$W$7,IF(DL20&lt;=Hypothèses!$V$8,Hypothèses!$W$8,IF(DL20&lt;=Hypothèses!$V$9,Hypothèses!$W$9,IF(DL20&lt;=Hypothèses!$V$10,Hypothèses!$W$10,IF(DL20&lt;=Hypothèses!$V$11,Hypothèses!$W$11,IF(DL20&lt;=Hypothèses!$V$12,Hypothèses!$W$12,IF(DL20&lt;=Hypothèses!$V$13,Hypothèses!$W$13,IF(DL20&lt;=Hypothèses!$V$14,Hypothèses!$W$14,IF(DL20&lt;=Hypothèses!$V$15,Hypothèses!$W$15,IF(DL20&lt;=Hypothèses!$V$16,Hypothèses!$W$16,IF(DL20&lt;=Hypothèses!$V$17,Hypothèses!$W$17,IF(DL20&lt;=Hypothèses!$V$18,Hypothèses!$W$18,""))))))))))))</f>
        <v>#DIV/0!</v>
      </c>
      <c r="EG20" s="87" t="e">
        <f t="shared" ca="1" si="122"/>
        <v>#DIV/0!</v>
      </c>
      <c r="EH20" s="88" t="e">
        <f ca="1">IF(DL20&lt;=Hypothèses!$V$7,Hypothèses!$X$7,IF(DL20&lt;=Hypothèses!$V$8,Hypothèses!$X$8,IF(DL20&lt;=Hypothèses!$V$9,Hypothèses!$X$9,IF(DL20&lt;=Hypothèses!$V$10,Hypothèses!$X$10,IF(DL20&lt;=Hypothèses!$V$11,Hypothèses!$X$11,IF(DL20&lt;=Hypothèses!$V$12,Hypothèses!$X$12,IF(DL20&lt;=Hypothèses!$V$13,Hypothèses!$X$13,IF(DL20&lt;=Hypothèses!$V$14,Hypothèses!$X$14,IF(DL20&lt;=Hypothèses!$V$15,Hypothèses!$X$15,IF(DL20&lt;=Hypothèses!$V$16,Hypothèses!$X$16,IF(DL20&lt;=Hypothèses!$U$17,Hypothèses!$W$17,IF(DL20&lt;=Hypothèses!$U$18,Hypothèses!$W$18,""))))))))))))</f>
        <v>#DIV/0!</v>
      </c>
      <c r="EI20" s="95" t="e">
        <f t="shared" ca="1" si="93"/>
        <v>#DIV/0!</v>
      </c>
      <c r="EJ20" s="101" t="e">
        <f t="shared" si="129"/>
        <v>#N/A</v>
      </c>
      <c r="EK20" s="91" t="e">
        <f t="shared" si="57"/>
        <v>#N/A</v>
      </c>
      <c r="EL20" s="30" t="e">
        <f t="shared" si="112"/>
        <v>#N/A</v>
      </c>
      <c r="EM20" s="30" t="e">
        <f t="shared" si="113"/>
        <v>#N/A</v>
      </c>
      <c r="EN20" s="31" t="e">
        <f>IF(OR(Hypothèses!$B$4=17,Hypothèses!$B$4=18,Hypothèses!$B$4=19,Hypothèses!$B$4=20),
IF($D20="Pressio.",
IF(OR($E20=3,$E20=1,$E20=4),EM20,EL20),
IF($D20="Pénétro.",
IF(OR($E20=3,$E20=1,$E20=4),EM20,EL20))),IF($D20="Pressio.",
IF($E20=3,EM20,EL20),
IF($D20="Pénétro.",
IF($E20=4,EM20,EL20))))</f>
        <v>#N/A</v>
      </c>
      <c r="EO20" s="31" t="e">
        <f>(IF(OR(Hypothèses!$B$4=17,Hypothèses!$B$4=18,Hypothèses!$B$4=19,Hypothèses!$B$4=20),
IF($D20="Pressio.",
IF(OR($E20=3,$E20=1,$E20=4),(PI()*EO$12^2)/4*(EK20*$W20*1000)/($H20*$B$5),(PI()*EO$12^2)/4*(EK20*$W20*1000)/($G20*$B$5)),
IF($D20="Pénétro.",
IF(OR($E20=4,$E20=1,$E20=5),(PI()*EO$12^2)/4*(EK20*$W20*1000)/($H20*$B$5),(PI()*EO$12^2)/4*(EK20*$W20*1000)/($G20*$B$5)))),
IF($D20="Pressio.",
IF($E20=3,(PI()*EO$12^2)/4*(EK20*$W20*1000)/($H20*$B$5),(PI()*EO$12^2)/4*(EK20*$W20*1000)/($G20*$B$5)),
IF($D20="Pénétro.",
IF($E20=4,(PI()*EO$12^2)/4*(EK20*$W20*1000)/($H20*$B$5),(PI()*EO$12^2)/4*(EK20*$W20*1000)/($G20*$B$5))))))/10</f>
        <v>#N/A</v>
      </c>
      <c r="EP20" s="102" t="e">
        <f>(VLOOKUP($B$3,'Coeff EC7'!$T$39:$X$59,2,0)*EN20+VLOOKUP($B$3,'Coeff EC7'!$T$65:$X$85,2,0)*Model0.1C!EO20)/1.1</f>
        <v>#N/A</v>
      </c>
      <c r="EQ20" s="102" t="e">
        <f>(VLOOKUP($B$3,'Coeff EC7'!$T$39:$X$59,3,0)*EN20+VLOOKUP($B$3,'Coeff EC7'!$T$65:$X$85,3,0)*Model0.1C!EO20)/0.9</f>
        <v>#N/A</v>
      </c>
      <c r="ER20" s="102" t="e">
        <f t="shared" si="94"/>
        <v>#N/A</v>
      </c>
      <c r="ES20" s="102" t="e">
        <f t="shared" si="95"/>
        <v>#N/A</v>
      </c>
      <c r="ET20" s="414" t="e">
        <f>IF(ET19=0,0,IF(AND(EP20&gt;charge_ELS_quasi,EQ20&gt;Charge_ELS_freq,ER20&gt;charge_ELU,ES20&gt;charge_ELA,$B20&gt;NDC!$H$22-0.1+MIN(3*$ET$12,1.5)),0,1))</f>
        <v>#N/A</v>
      </c>
      <c r="EU20" s="86" t="b">
        <f t="shared" si="60"/>
        <v>0</v>
      </c>
      <c r="EV20" s="86">
        <f t="shared" si="61"/>
        <v>0.61</v>
      </c>
      <c r="EW20" s="86">
        <f t="shared" si="62"/>
        <v>0.61</v>
      </c>
      <c r="EX20" s="30" t="e">
        <f t="shared" ca="1" si="96"/>
        <v>#DIV/0!</v>
      </c>
      <c r="EY20" s="85" t="e">
        <f ca="1">IF(EE20&lt;=Hypothèses!$V$7,Hypothèses!$W$7,IF(EE20&lt;=Hypothèses!$V$8,Hypothèses!$W$8,IF(EE20&lt;=Hypothèses!$V$9,Hypothèses!$W$9,IF(EE20&lt;=Hypothèses!$V$10,Hypothèses!$W$10,IF(EE20&lt;=Hypothèses!$V$11,Hypothèses!$W$11,IF(EE20&lt;=Hypothèses!$V$12,Hypothèses!$W$12,IF(EE20&lt;=Hypothèses!$V$13,Hypothèses!$W$13,IF(EE20&lt;=Hypothèses!$V$14,Hypothèses!$W$14,IF(EE20&lt;=Hypothèses!$V$15,Hypothèses!$W$15,IF(EE20&lt;=Hypothèses!$V$16,Hypothèses!$W$16,IF(EE20&lt;=Hypothèses!$V$17,Hypothèses!$W$17,IF(EE20&lt;=Hypothèses!$V$18,Hypothèses!$W$18,""))))))))))))</f>
        <v>#DIV/0!</v>
      </c>
      <c r="EZ20" s="87" t="e">
        <f t="shared" ca="1" si="123"/>
        <v>#DIV/0!</v>
      </c>
      <c r="FA20" s="88" t="e">
        <f ca="1">IF(EE20&lt;=Hypothèses!$V$7,Hypothèses!$X$7,IF(EE20&lt;=Hypothèses!$V$8,Hypothèses!$X$8,IF(EE20&lt;=Hypothèses!$V$9,Hypothèses!$X$9,IF(EE20&lt;=Hypothèses!$V$10,Hypothèses!$X$10,IF(EE20&lt;=Hypothèses!$V$11,Hypothèses!$X$11,IF(EE20&lt;=Hypothèses!$V$12,Hypothèses!$X$12,IF(EE20&lt;=Hypothèses!$V$13,Hypothèses!$X$13,IF(EE20&lt;=Hypothèses!$V$14,Hypothèses!$X$14,IF(EE20&lt;=Hypothèses!$V$15,Hypothèses!$X$15,IF(EE20&lt;=Hypothèses!$V$16,Hypothèses!$X$16,IF(EE20&lt;=Hypothèses!$U$17,Hypothèses!$W$17,IF(EE20&lt;=Hypothèses!$U$18,Hypothèses!$W$18,""))))))))))))</f>
        <v>#DIV/0!</v>
      </c>
      <c r="FB20" s="95" t="e">
        <f t="shared" ca="1" si="97"/>
        <v>#DIV/0!</v>
      </c>
      <c r="FC20" s="101" t="e">
        <f t="shared" si="130"/>
        <v>#N/A</v>
      </c>
      <c r="FD20" s="91" t="e">
        <f t="shared" si="64"/>
        <v>#N/A</v>
      </c>
      <c r="FE20" s="30" t="e">
        <f t="shared" si="114"/>
        <v>#N/A</v>
      </c>
      <c r="FF20" s="30" t="e">
        <f t="shared" si="115"/>
        <v>#N/A</v>
      </c>
      <c r="FG20" s="31" t="e">
        <f>IF(OR(Hypothèses!$B$4=17,Hypothèses!$B$4=18,Hypothèses!$B$4=19,Hypothèses!$B$4=20),
IF($D20="Pressio.",
IF(OR($E20=3,$E20=1,$E20=4),FF20,FE20),
IF($D20="Pénétro.",
IF(OR($E20=3,$E20=1,$E20=4),FF20,FE20))),IF($D20="Pressio.",
IF($E20=3,FF20,FE20),
IF($D20="Pénétro.",
IF($E20=4,FF20,FE20))))</f>
        <v>#N/A</v>
      </c>
      <c r="FH20" s="31" t="e">
        <f>(IF(OR(Hypothèses!$B$4=17,Hypothèses!$B$4=18,Hypothèses!$B$4=19,Hypothèses!$B$4=20),
IF($D20="Pressio.",
IF(OR($E20=3,$E20=1,$E20=4),(PI()*FH$12^2)/4*(FD20*$W20*1000)/($H20*$B$5),(PI()*FH$12^2)/4*(FD20*$W20*1000)/($G20*$B$5)),
IF($D20="Pénétro.",
IF(OR($E20=4,$E20=1,$E20=5),(PI()*FH$12^2)/4*(FD20*$W20*1000)/($H20*$B$5),(PI()*FH$12^2)/4*(FD20*$W20*1000)/($G20*$B$5)))),
IF($D20="Pressio.",
IF($E20=3,(PI()*FH$12^2)/4*(FD20*$W20*1000)/($H20*$B$5),(PI()*FH$12^2)/4*(FD20*$W20*1000)/($G20*$B$5)),
IF($D20="Pénétro.",
IF($E20=4,(PI()*FH$12^2)/4*(FD20*$W20*1000)/($H20*$B$5),(PI()*FH$12^2)/4*(FD20*$W20*1000)/($G20*$B$5))))))/10</f>
        <v>#N/A</v>
      </c>
      <c r="FI20" s="102" t="e">
        <f>(VLOOKUP($B$3,'Coeff EC7'!$T$39:$X$59,2,0)*FG20+VLOOKUP($B$3,'Coeff EC7'!$T$65:$X$85,2,0)*Model0.1C!FH20)/1.1</f>
        <v>#N/A</v>
      </c>
      <c r="FJ20" s="102" t="e">
        <f>(VLOOKUP($B$3,'Coeff EC7'!$T$39:$X$59,3,0)*FG20+VLOOKUP($B$3,'Coeff EC7'!$T$65:$X$85,3,0)*Model0.1C!FH20)/0.9</f>
        <v>#N/A</v>
      </c>
      <c r="FK20" s="102" t="e">
        <f t="shared" si="98"/>
        <v>#N/A</v>
      </c>
      <c r="FL20" s="102" t="e">
        <f t="shared" si="99"/>
        <v>#N/A</v>
      </c>
      <c r="FM20" s="414" t="e">
        <f>IF(FM19=0,0,IF(AND(FI20&gt;charge_ELS_quasi,FJ20&gt;Charge_ELS_freq,FK20&gt;charge_ELU,FL20&gt;charge_ELA,$B20&gt;NDC!$H$22-0.1+MIN(3*$FM$12,1.5)),0,1))</f>
        <v>#N/A</v>
      </c>
    </row>
    <row r="21" spans="1:169">
      <c r="A21" s="96">
        <f t="shared" si="67"/>
        <v>99.200000000000045</v>
      </c>
      <c r="B21" s="97">
        <v>0.8</v>
      </c>
      <c r="C21" s="81">
        <f>IF(B21&lt;=Hypothèses!$C$7,Hypothèses!$A$7,IF(B21&lt;=Hypothèses!$C$8,Hypothèses!$A$8,IF(B21&lt;=Hypothèses!$C$9,Hypothèses!$A$9,IF(B21&lt;=Hypothèses!$C$10,Hypothèses!$A$10,IF(B21&lt;=Hypothèses!$C$11,Hypothèses!$A$11,IF(B21&lt;=Hypothèses!$C$12,Hypothèses!$A$12,IF(B21&lt;=Hypothèses!$C$13,Hypothèses!$A$13,IF(B21&lt;=Hypothèses!$C$14,Hypothèses!$A$14,IF(B21&lt;=Hypothèses!$C$15,Hypothèses!$A$15,IF(B21&lt;=Hypothèses!$C$16,Hypothèses!$A$16,IF(B21&lt;=Hypothèses!$C$17,Hypothèses!$A$17,IF(B21&lt;=Hypothèses!$C$18,Hypothèses!$A$18,C20))))))))))))</f>
        <v>11</v>
      </c>
      <c r="D21" s="82" t="str">
        <f>IF(B21&lt;=Hypothèses!$C$7,Hypothèses!$R$7,IF(B21&lt;=Hypothèses!$C$8,Hypothèses!$R$8,IF(B21&lt;=Hypothèses!$C$9,Hypothèses!$R$9,IF(B21&lt;=Hypothèses!$C$10,Hypothèses!$R$10,IF(B21&lt;=Hypothèses!$C$11,Hypothèses!$R$11,IF(B21&lt;=Hypothèses!$C$12,Hypothèses!$R$12,IF(B21&lt;=Hypothèses!$C$13,Hypothèses!$R$13,IF(B21&lt;=Hypothèses!$C$14,Hypothèses!$R$14,IF(B21&lt;=Hypothèses!$C$15,Hypothèses!$R$15,IF(B21&lt;=Hypothèses!$C$16,Hypothèses!$R$16,IF(B21&lt;=Hypothèses!$C$17,Hypothèses!$R$17,IF(B21&lt;=Hypothèses!$C$18,Hypothèses!$R$18,D20))))))))))))</f>
        <v>Pressio.</v>
      </c>
      <c r="E21" s="82" t="e">
        <f>IF(B21&lt;=Hypothèses!$C$7,Hypothèses!$G$7,IF(B21&lt;=Hypothèses!$C$8,Hypothèses!$G$8,IF(B21&lt;=Hypothèses!$C$9,Hypothèses!$G$9,IF(B21&lt;=Hypothèses!$C$10,Hypothèses!$G$10,IF(B21&lt;=Hypothèses!$C$11,Hypothèses!$G$11,IF(B21&lt;=Hypothèses!$C$12,Hypothèses!$G$12,IF(B21&lt;=Hypothèses!$C$13,Hypothèses!$G$13,IF(B21&lt;=Hypothèses!$C$14,Hypothèses!$G$14,IF(B21&lt;=Hypothèses!$C$15,Hypothèses!$G$15,IF(B21&lt;=Hypothèses!$C$16,Hypothèses!$G$16,IF(B21&lt;=Hypothèses!$C$17,Hypothèses!$G$17,IF(B21&lt;=Hypothèses!$C$18,Hypothèses!$G$18,E20))))))))))))</f>
        <v>#N/A</v>
      </c>
      <c r="F21" s="82" t="str">
        <f>IF(B21&lt;=Hypothèses!$C$7,Hypothèses!$F$7,IF(B21&lt;=Hypothèses!$C$8,Hypothèses!$F$8,IF(B21&lt;=Hypothèses!$C$9,Hypothèses!$F$9,IF(B21&lt;=Hypothèses!$C$10,Hypothèses!$F$10,IF(B21&lt;=Hypothèses!$C$11,Hypothèses!$F$11,IF(B21&lt;=Hypothèses!$C$12,Hypothèses!$F$12,IF(B21&lt;=Hypothèses!$C$13,Hypothèses!$F$13,IF(B21&lt;=Hypothèses!$C$14,Hypothèses!$F$14,IF(B21&lt;=Hypothèses!$C$15,Hypothèses!$F$15,IF(B21&lt;=Hypothèses!$C$16,Hypothèses!$F$16,IF(B21&lt;=Hypothèses!$C$17,Hypothèses!$F$17,IF(B21&lt;=Hypothèses!$C$18,Hypothèses!$F$18,F20))))))))))))</f>
        <v/>
      </c>
      <c r="G21" s="91">
        <f t="array" ref="G21">INDEX('Coeff EC7'!$U$7:$X$27,
MATCH(Model0.1C!$B$3,'Coeff EC7'!$T$7:$T$27,0),
MATCH(Model0.1C!$D21&amp;Model0.1C!$B$4,
'Coeff EC7'!$U$6:$X$6&amp;
'Coeff EC7'!$U$5:$X$5,0))</f>
        <v>1.1499999999999999</v>
      </c>
      <c r="H21" s="91">
        <f t="array" ref="H21">INDEX('Coeff EC7'!$Y$7:$AB$27,
MATCH(Model0.1C!$B$3,'Coeff EC7'!$T$7:$T$27,0),
MATCH(Model0.1C!$D21&amp;Model0.1C!$B$4,
'Coeff EC7'!$Y$6:$AB$6&amp;
'Coeff EC7'!$Y$5:$AB$5,0))</f>
        <v>1.4</v>
      </c>
      <c r="I21" s="83" t="e">
        <f>IF(B21&lt;=Hypothèses!$C$7,Hypothèses!$P$7,IF(B21&lt;=Hypothèses!$C$8,Hypothèses!$P$8,IF(B21&lt;=Hypothèses!$C$9,Hypothèses!$P$9,IF(B21&lt;=Hypothèses!$C$10,Hypothèses!$P$10,IF(B21&lt;=Hypothèses!$C$11,Hypothèses!$P$11,IF(B21&lt;=Hypothèses!$C$12,Hypothèses!$P$12,IF(B21&lt;=Hypothèses!$C$13,Hypothèses!$P$13,IF(B21&lt;=Hypothèses!$C$14,Hypothèses!$P$14,IF(B21&lt;=Hypothèses!$C$15,Hypothèses!$P$15,IF(B21&lt;=Hypothèses!$C$16,Hypothèses!$P$16,IF(B21&lt;=Hypothèses!$C$17,Hypothèses!$P$17,IF(B21&lt;=Hypothèses!$C$18,Hypothèses!$P$18,I20))))))))))))</f>
        <v>#N/A</v>
      </c>
      <c r="J21" s="91" t="e">
        <f t="array" ref="J21">INDEX('Coeff EC7'!$D$33:$Q$33,1,MATCH(D21&amp;E21,'Coeff EC7'!$D$31:$Q$31&amp;'Coeff EC7'!$D$32:$Q$32,0))</f>
        <v>#N/A</v>
      </c>
      <c r="K21" s="91" t="e">
        <f t="array" ref="K21">INDEX('Coeff EC7'!$D$34:$Q$34,1,MATCH(D21&amp;E21,'Coeff EC7'!$D$31:$Q$31&amp;'Coeff EC7'!$D$32:$Q$32,0))</f>
        <v>#N/A</v>
      </c>
      <c r="L21" s="91" t="e">
        <f t="array" ref="L21">INDEX('Coeff EC7'!$D$35:$Q$35,1,MATCH(D21&amp;E21,'Coeff EC7'!$D$31:$Q$31&amp;'Coeff EC7'!$D$32:$Q$32,0))</f>
        <v>#N/A</v>
      </c>
      <c r="M21" s="98" t="e">
        <f t="shared" si="8"/>
        <v>#N/A</v>
      </c>
      <c r="N21" s="99" t="e">
        <f t="array" ref="N21">INDEX('Coeff EC7'!$D$7:$Q$27,MATCH($B$3,'Coeff EC7'!$C$7:$C$27,0),MATCH(D21&amp;E21,'Coeff EC7'!$D$5:$Q$5&amp;'Coeff EC7'!$D$6:$Q$6,0))</f>
        <v>#N/A</v>
      </c>
      <c r="O21" s="99" t="e">
        <f t="array" ref="O21">INDEX('Coeff EC7'!$D$41:$Q$61,MATCH($B$3,'Coeff EC7'!$C$41:$C$61,0),MATCH(D21&amp;E21,'Coeff EC7'!$D$39:$Q$39&amp;'Coeff EC7'!$D$40:$Q$40,0))</f>
        <v>#N/A</v>
      </c>
      <c r="P21" s="30" t="e">
        <f t="shared" si="68"/>
        <v>#N/A</v>
      </c>
      <c r="Q21" s="100" t="e">
        <f t="shared" si="10"/>
        <v>#N/A</v>
      </c>
      <c r="R21" s="86" t="b">
        <f t="shared" si="11"/>
        <v>0</v>
      </c>
      <c r="S21" s="86">
        <f t="shared" si="9"/>
        <v>0.5</v>
      </c>
      <c r="T21" s="86">
        <f t="shared" si="12"/>
        <v>0.5</v>
      </c>
      <c r="U21" s="30" t="e">
        <f t="shared" ca="1" si="69"/>
        <v>#DIV/0!</v>
      </c>
      <c r="V21" s="85" t="str">
        <f>IF(B21&lt;=Hypothèses!$V$7,Hypothèses!$W$7,IF(B21&lt;=Hypothèses!$V$8,Hypothèses!$W$8,IF(B21&lt;=Hypothèses!$V$9,Hypothèses!$W$9,IF(B21&lt;=Hypothèses!$V$10,Hypothèses!$W$10,IF(B21&lt;=Hypothèses!$V$11,Hypothèses!$W$11,IF(B21&lt;=Hypothèses!$V$12,Hypothèses!$W$12,IF(B21&lt;=Hypothèses!$V$13,Hypothèses!$W$13,IF(B21&lt;=Hypothèses!$V$14,Hypothèses!$W$14,IF(B21&lt;=Hypothèses!$V$15,Hypothèses!$W$15,IF(B21&lt;=Hypothèses!$V$16,Hypothèses!$W$16,IF(B21&lt;=Hypothèses!$V$17,Hypothèses!$W$17,IF(B21&lt;=Hypothèses!$V$18,Hypothèses!$W$18,""))))))))))))</f>
        <v/>
      </c>
      <c r="W21" s="87" t="e">
        <f t="shared" ca="1" si="116"/>
        <v>#DIV/0!</v>
      </c>
      <c r="X21" s="88" t="str">
        <f>IF(B21&lt;=Hypothèses!$V$7,Hypothèses!$X$7,IF(B21&lt;=Hypothèses!$V$8,Hypothèses!$X$8,IF(B21&lt;=Hypothèses!$V$9,Hypothèses!$X$9,IF(B21&lt;=Hypothèses!$V$10,Hypothèses!$X$10,IF(B21&lt;=Hypothèses!$V$11,Hypothèses!$X$11,IF(B21&lt;=Hypothèses!$V$12,Hypothèses!$X$12,IF(B21&lt;=Hypothèses!$V$13,Hypothèses!$X$13,IF(B21&lt;=Hypothèses!$V$14,Hypothèses!$X$14,IF(B21&lt;=Hypothèses!$V$15,Hypothèses!$X$15,IF(B21&lt;=Hypothèses!$V$16,Hypothèses!$X$16,IF(B21&lt;=Hypothèses!$U$17,Hypothèses!$W$17,IF(B21&lt;=Hypothèses!$U$18,Hypothèses!$W$18,""))))))))))))</f>
        <v/>
      </c>
      <c r="Y21" s="95" t="e">
        <f t="shared" ca="1" si="13"/>
        <v>#DIV/0!</v>
      </c>
      <c r="Z21" s="101" t="e">
        <f t="shared" si="14"/>
        <v>#N/A</v>
      </c>
      <c r="AA21" s="91" t="e">
        <f t="shared" si="15"/>
        <v>#N/A</v>
      </c>
      <c r="AB21" s="30" t="e">
        <f t="shared" si="100"/>
        <v>#N/A</v>
      </c>
      <c r="AC21" s="30" t="e">
        <f t="shared" si="101"/>
        <v>#N/A</v>
      </c>
      <c r="AD21" s="31" t="e">
        <f>IF(OR(Hypothèses!$B$4=17,Hypothèses!$B$4=18,Hypothèses!$B$4=19,Hypothèses!$B$4=20),
IF($D21="Pressio.",
IF(OR($E21=3,$E21=1,$E21=4),AC21,AB21),
IF($D21="Pénétro.",
IF(OR($E21=3,$E21=1,$E21=4),AC21,AB21))),IF($D21="Pressio.",
IF($E21=3,AC21,AB21),
IF($D21="Pénétro.",
IF($E21=4,AC21,AB21))))</f>
        <v>#N/A</v>
      </c>
      <c r="AE21" s="31" t="e">
        <f>(IF(OR(Hypothèses!$B$4=17,Hypothèses!$B$4=18,Hypothèses!$B$4=19,Hypothèses!$B$4=20),
IF($D21="Pressio.",
IF(OR($E21=3,$E21=1,$E21=4),(PI()*AE$12^2)/4*(AA21*$W21*1000)/($H21*$B$5),(PI()*AE$12^2)/4*(AA21*$W21*1000)/($G21*$B$5)),
IF($D21="Pénétro.",
IF(OR($E21=4,$E21=1,$E21=5),(PI()*AE$12^2)/4*(AA21*$W21*1000)/($H21*$B$5),(PI()*AE$12^2)/4*(AA21*$W21*1000)/($G21*$B$5)))),
IF($D21="Pressio.",
IF($E21=3,(PI()*AE$12^2)/4*(AA21*$W21*1000)/($H21*$B$5),(PI()*AE$12^2)/4*(AA21*$W21*1000)/($G21*$B$5)),
IF($D21="Pénétro.",
IF($E21=4,(PI()*AE$12^2)/4*(AA21*$W21*1000)/($H21*$B$5),(PI()*AE$12^2)/4*(AA21*$W21*1000)/($G21*$B$5))))))/10</f>
        <v>#N/A</v>
      </c>
      <c r="AF21" s="102" t="e">
        <f>(VLOOKUP($B$3,'Coeff EC7'!$T$39:$X$59,2,0)*AD21+VLOOKUP($B$3,'Coeff EC7'!$T$65:$X$85,2,0)*Model0.1C!AE21)/1.1</f>
        <v>#N/A</v>
      </c>
      <c r="AG21" s="102" t="e">
        <f>(VLOOKUP($B$3,'Coeff EC7'!$T$39:$X$59,3,0)*AD21+VLOOKUP($B$3,'Coeff EC7'!$T$65:$X$85,3,0)*Model0.1C!AE21)/0.9</f>
        <v>#N/A</v>
      </c>
      <c r="AH21" s="102" t="e">
        <f t="shared" si="18"/>
        <v>#N/A</v>
      </c>
      <c r="AI21" s="102" t="e">
        <f t="shared" si="19"/>
        <v>#N/A</v>
      </c>
      <c r="AJ21" s="414" t="e">
        <f>IF(AJ20=0,0,IF(AND(AF21&gt;charge_ELS_quasi,AG21&gt;Charge_ELS_freq,AH21&gt;charge_ELU,AI21&gt;charge_ELA,$B21&gt;NDC!$H$22-0.1+MIN(3*$AJ$12,1.5)),0,1))</f>
        <v>#N/A</v>
      </c>
      <c r="AK21" s="86" t="b">
        <f t="shared" si="20"/>
        <v>0</v>
      </c>
      <c r="AL21" s="86">
        <f t="shared" si="70"/>
        <v>0.5</v>
      </c>
      <c r="AM21" s="86">
        <f t="shared" si="21"/>
        <v>0.5</v>
      </c>
      <c r="AN21" s="30" t="e">
        <f t="shared" ca="1" si="71"/>
        <v>#DIV/0!</v>
      </c>
      <c r="AO21" s="85" t="e">
        <f ca="1">IF(U21&lt;=Hypothèses!$V$7,Hypothèses!$W$7,IF(U21&lt;=Hypothèses!$V$8,Hypothèses!$W$8,IF(U21&lt;=Hypothèses!$V$9,Hypothèses!$W$9,IF(U21&lt;=Hypothèses!$V$10,Hypothèses!$W$10,IF(U21&lt;=Hypothèses!$V$11,Hypothèses!$W$11,IF(U21&lt;=Hypothèses!$V$12,Hypothèses!$W$12,IF(U21&lt;=Hypothèses!$V$13,Hypothèses!$W$13,IF(U21&lt;=Hypothèses!$V$14,Hypothèses!$W$14,IF(U21&lt;=Hypothèses!$V$15,Hypothèses!$W$15,IF(U21&lt;=Hypothèses!$V$16,Hypothèses!$W$16,IF(U21&lt;=Hypothèses!$V$17,Hypothèses!$W$17,IF(U21&lt;=Hypothèses!$V$18,Hypothèses!$W$18,""))))))))))))</f>
        <v>#DIV/0!</v>
      </c>
      <c r="AP21" s="87" t="e">
        <f t="shared" ca="1" si="117"/>
        <v>#DIV/0!</v>
      </c>
      <c r="AQ21" s="88" t="e">
        <f ca="1">IF(U21&lt;=Hypothèses!$V$7,Hypothèses!$X$7,IF(U21&lt;=Hypothèses!$V$8,Hypothèses!$X$8,IF(U21&lt;=Hypothèses!$V$9,Hypothèses!$X$9,IF(U21&lt;=Hypothèses!$V$10,Hypothèses!$X$10,IF(U21&lt;=Hypothèses!$V$11,Hypothèses!$X$11,IF(U21&lt;=Hypothèses!$V$12,Hypothèses!$X$12,IF(U21&lt;=Hypothèses!$V$13,Hypothèses!$X$13,IF(U21&lt;=Hypothèses!$V$14,Hypothèses!$X$14,IF(U21&lt;=Hypothèses!$V$15,Hypothèses!$X$15,IF(U21&lt;=Hypothèses!$V$16,Hypothèses!$X$16,IF(U21&lt;=Hypothèses!$U$17,Hypothèses!$W$17,IF(U21&lt;=Hypothèses!$U$18,Hypothèses!$W$18,""))))))))))))</f>
        <v>#DIV/0!</v>
      </c>
      <c r="AR21" s="95" t="e">
        <f t="shared" ca="1" si="72"/>
        <v>#DIV/0!</v>
      </c>
      <c r="AS21" s="101" t="e">
        <f t="shared" si="124"/>
        <v>#N/A</v>
      </c>
      <c r="AT21" s="91" t="e">
        <f t="shared" si="23"/>
        <v>#N/A</v>
      </c>
      <c r="AU21" s="30" t="e">
        <f t="shared" si="102"/>
        <v>#N/A</v>
      </c>
      <c r="AV21" s="30" t="e">
        <f t="shared" si="103"/>
        <v>#N/A</v>
      </c>
      <c r="AW21" s="31" t="e">
        <f>IF(OR(Hypothèses!$B$4=17,Hypothèses!$B$4=18,Hypothèses!$B$4=19,Hypothèses!$B$4=20),
IF($D21="Pressio.",
IF(OR($E21=3,$E21=1,$E21=4),AV21,AU21),
IF($D21="Pénétro.",
IF(OR($E21=3,$E21=1,$E21=4),AV21,AU21))),IF($D21="Pressio.",
IF($E21=3,AV21,AU21),
IF($D21="Pénétro.",
IF($E21=4,AV21,AU21))))</f>
        <v>#N/A</v>
      </c>
      <c r="AX21" s="31" t="e">
        <f>(IF(OR(Hypothèses!$B$4=17,Hypothèses!$B$4=18,Hypothèses!$B$4=19,Hypothèses!$B$4=20),
IF($D21="Pressio.",
IF(OR($E21=3,$E21=1,$E21=4),(PI()*AX$12^2)/4*(AT21*$W21*1000)/($H21*$B$5),(PI()*AX$12^2)/4*(AT21*$W21*1000)/($G21*$B$5)),
IF($D21="Pénétro.",
IF(OR($E21=4,$E21=1,$E21=5),(PI()*AX$12^2)/4*(AT21*$W21*1000)/($H21*$B$5),(PI()*AX$12^2)/4*(AT21*$W21*1000)/($G21*$B$5)))),
IF($D21="Pressio.",
IF($E21=3,(PI()*AX$12^2)/4*(AT21*$W21*1000)/($H21*$B$5),(PI()*AX$12^2)/4*(AT21*$W21*1000)/($G21*$B$5)),
IF($D21="Pénétro.",
IF($E21=4,(PI()*AX$12^2)/4*(AT21*$W21*1000)/($H21*$B$5),(PI()*AX$12^2)/4*(AT21*$W21*1000)/($G21*$B$5))))))/10</f>
        <v>#N/A</v>
      </c>
      <c r="AY21" s="102" t="e">
        <f>(VLOOKUP($B$3,'Coeff EC7'!$T$39:$X$59,2,0)*AW21+VLOOKUP($B$3,'Coeff EC7'!$T$65:$X$85,2,0)*Model0.1C!AX21)/1.1</f>
        <v>#N/A</v>
      </c>
      <c r="AZ21" s="102" t="e">
        <f>(VLOOKUP($B$3,'Coeff EC7'!$T$39:$X$59,3,0)*AW21+VLOOKUP($B$3,'Coeff EC7'!$T$65:$X$85,3,0)*Model0.1C!AX21)/0.9</f>
        <v>#N/A</v>
      </c>
      <c r="BA21" s="102" t="e">
        <f t="shared" si="73"/>
        <v>#N/A</v>
      </c>
      <c r="BB21" s="102" t="e">
        <f t="shared" si="74"/>
        <v>#N/A</v>
      </c>
      <c r="BC21" s="414" t="e">
        <f>IF(BC20=0,0,IF(AND(AY21&gt;charge_ELS_quasi,AZ21&gt;Charge_ELS_freq,BA21&gt;charge_ELU,BB21&gt;charge_ELA,$B21&gt;NDC!$H$22-0.1+MIN(3*$BC$12,1.5)),0,1))</f>
        <v>#N/A</v>
      </c>
      <c r="BD21" s="86" t="b">
        <f t="shared" si="26"/>
        <v>0</v>
      </c>
      <c r="BE21" s="86">
        <f t="shared" si="75"/>
        <v>0.5</v>
      </c>
      <c r="BF21" s="86">
        <f t="shared" si="27"/>
        <v>0.5</v>
      </c>
      <c r="BG21" s="30" t="e">
        <f t="shared" ca="1" si="76"/>
        <v>#DIV/0!</v>
      </c>
      <c r="BH21" s="85" t="e">
        <f ca="1">IF(AN21&lt;=Hypothèses!$V$7,Hypothèses!$W$7,IF(AN21&lt;=Hypothèses!$V$8,Hypothèses!$W$8,IF(AN21&lt;=Hypothèses!$V$9,Hypothèses!$W$9,IF(AN21&lt;=Hypothèses!$V$10,Hypothèses!$W$10,IF(AN21&lt;=Hypothèses!$V$11,Hypothèses!$W$11,IF(AN21&lt;=Hypothèses!$V$12,Hypothèses!$W$12,IF(AN21&lt;=Hypothèses!$V$13,Hypothèses!$W$13,IF(AN21&lt;=Hypothèses!$V$14,Hypothèses!$W$14,IF(AN21&lt;=Hypothèses!$V$15,Hypothèses!$W$15,IF(AN21&lt;=Hypothèses!$V$16,Hypothèses!$W$16,IF(AN21&lt;=Hypothèses!$V$17,Hypothèses!$W$17,IF(AN21&lt;=Hypothèses!$V$18,Hypothèses!$W$18,""))))))))))))</f>
        <v>#DIV/0!</v>
      </c>
      <c r="BI21" s="87" t="e">
        <f t="shared" ca="1" si="118"/>
        <v>#DIV/0!</v>
      </c>
      <c r="BJ21" s="88" t="e">
        <f ca="1">IF(AN21&lt;=Hypothèses!$V$7,Hypothèses!$X$7,IF(AN21&lt;=Hypothèses!$V$8,Hypothèses!$X$8,IF(AN21&lt;=Hypothèses!$V$9,Hypothèses!$X$9,IF(AN21&lt;=Hypothèses!$V$10,Hypothèses!$X$10,IF(AN21&lt;=Hypothèses!$V$11,Hypothèses!$X$11,IF(AN21&lt;=Hypothèses!$V$12,Hypothèses!$X$12,IF(AN21&lt;=Hypothèses!$V$13,Hypothèses!$X$13,IF(AN21&lt;=Hypothèses!$V$14,Hypothèses!$X$14,IF(AN21&lt;=Hypothèses!$V$15,Hypothèses!$X$15,IF(AN21&lt;=Hypothèses!$V$16,Hypothèses!$X$16,IF(AN21&lt;=Hypothèses!$U$17,Hypothèses!$W$17,IF(AN21&lt;=Hypothèses!$U$18,Hypothèses!$W$18,""))))))))))))</f>
        <v>#DIV/0!</v>
      </c>
      <c r="BK21" s="95" t="e">
        <f t="shared" ca="1" si="77"/>
        <v>#DIV/0!</v>
      </c>
      <c r="BL21" s="101" t="e">
        <f t="shared" si="125"/>
        <v>#N/A</v>
      </c>
      <c r="BM21" s="91" t="e">
        <f t="shared" si="29"/>
        <v>#N/A</v>
      </c>
      <c r="BN21" s="30" t="e">
        <f t="shared" si="104"/>
        <v>#N/A</v>
      </c>
      <c r="BO21" s="30" t="e">
        <f t="shared" si="105"/>
        <v>#N/A</v>
      </c>
      <c r="BP21" s="31" t="e">
        <f>IF(OR(Hypothèses!$B$4=17,Hypothèses!$B$4=18,Hypothèses!$B$4=19,Hypothèses!$B$4=20),
IF($D21="Pressio.",
IF(OR($E21=3,$E21=1,$E21=4),BO21,BN21),
IF($D21="Pénétro.",
IF(OR($E21=3,$E21=1,$E21=4),BO21,BN21))),IF($D21="Pressio.",
IF($E21=3,BO21,BN21),
IF($D21="Pénétro.",
IF($E21=4,BO21,BN21))))</f>
        <v>#N/A</v>
      </c>
      <c r="BQ21" s="31" t="e">
        <f>(IF(OR(Hypothèses!$B$4=17,Hypothèses!$B$4=18,Hypothèses!$B$4=19,Hypothèses!$B$4=20),
IF($D21="Pressio.",
IF(OR($E21=3,$E21=1,$E21=4),(PI()*BQ$12^2)/4*(BM21*$W21*1000)/($H21*$B$5),(PI()*BQ$12^2)/4*(BM21*$W21*1000)/($G21*$B$5)),
IF($D21="Pénétro.",
IF(OR($E21=4,$E21=1,$E21=5),(PI()*BQ$12^2)/4*(BM21*$W21*1000)/($H21*$B$5),(PI()*BQ$12^2)/4*(BM21*$W21*1000)/($G21*$B$5)))),
IF($D21="Pressio.",
IF($E21=3,(PI()*BQ$12^2)/4*(BM21*$W21*1000)/($H21*$B$5),(PI()*BQ$12^2)/4*(BM21*$W21*1000)/($G21*$B$5)),
IF($D21="Pénétro.",
IF($E21=4,(PI()*BQ$12^2)/4*(BM21*$W21*1000)/($H21*$B$5),(PI()*BQ$12^2)/4*(BM21*$W21*1000)/($G21*$B$5))))))/10</f>
        <v>#N/A</v>
      </c>
      <c r="BR21" s="102" t="e">
        <f>(VLOOKUP($B$3,'Coeff EC7'!$T$39:$X$59,2,0)*BP21+VLOOKUP($B$3,'Coeff EC7'!$T$65:$X$85,2,0)*Model0.1C!BQ21)/1.1</f>
        <v>#N/A</v>
      </c>
      <c r="BS21" s="102" t="e">
        <f>(VLOOKUP($B$3,'Coeff EC7'!$T$39:$X$59,3,0)*BP21+VLOOKUP($B$3,'Coeff EC7'!$T$65:$X$85,3,0)*Model0.1C!BQ21)/0.9</f>
        <v>#N/A</v>
      </c>
      <c r="BT21" s="102" t="e">
        <f t="shared" si="78"/>
        <v>#N/A</v>
      </c>
      <c r="BU21" s="102" t="e">
        <f t="shared" si="79"/>
        <v>#N/A</v>
      </c>
      <c r="BV21" s="414" t="e">
        <f>IF(BV20=0,0,IF(AND(BR21&gt;charge_ELS_quasi,BS21&gt;Charge_ELS_freq,BT21&gt;charge_ELU,BU21&gt;charge_ELA,$B21&gt;NDC!$H$22-0.1+MIN(3*$BV$12,1.5)),0,1))</f>
        <v>#N/A</v>
      </c>
      <c r="BW21" s="86" t="b">
        <f t="shared" si="32"/>
        <v>0</v>
      </c>
      <c r="BX21" s="86">
        <f t="shared" si="33"/>
        <v>0.5</v>
      </c>
      <c r="BY21" s="86">
        <f t="shared" si="34"/>
        <v>0.5</v>
      </c>
      <c r="BZ21" s="30" t="e">
        <f t="shared" ca="1" si="80"/>
        <v>#DIV/0!</v>
      </c>
      <c r="CA21" s="85" t="e">
        <f ca="1">IF(BG21&lt;=Hypothèses!$V$7,Hypothèses!$W$7,IF(BG21&lt;=Hypothèses!$V$8,Hypothèses!$W$8,IF(BG21&lt;=Hypothèses!$V$9,Hypothèses!$W$9,IF(BG21&lt;=Hypothèses!$V$10,Hypothèses!$W$10,IF(BG21&lt;=Hypothèses!$V$11,Hypothèses!$W$11,IF(BG21&lt;=Hypothèses!$V$12,Hypothèses!$W$12,IF(BG21&lt;=Hypothèses!$V$13,Hypothèses!$W$13,IF(BG21&lt;=Hypothèses!$V$14,Hypothèses!$W$14,IF(BG21&lt;=Hypothèses!$V$15,Hypothèses!$W$15,IF(BG21&lt;=Hypothèses!$V$16,Hypothèses!$W$16,IF(BG21&lt;=Hypothèses!$V$17,Hypothèses!$W$17,IF(BG21&lt;=Hypothèses!$V$18,Hypothèses!$W$18,""))))))))))))</f>
        <v>#DIV/0!</v>
      </c>
      <c r="CB21" s="87" t="e">
        <f t="shared" ca="1" si="119"/>
        <v>#DIV/0!</v>
      </c>
      <c r="CC21" s="88" t="e">
        <f ca="1">IF(BG21&lt;=Hypothèses!$V$7,Hypothèses!$X$7,IF(BG21&lt;=Hypothèses!$V$8,Hypothèses!$X$8,IF(BG21&lt;=Hypothèses!$V$9,Hypothèses!$X$9,IF(BG21&lt;=Hypothèses!$V$10,Hypothèses!$X$10,IF(BG21&lt;=Hypothèses!$V$11,Hypothèses!$X$11,IF(BG21&lt;=Hypothèses!$V$12,Hypothèses!$X$12,IF(BG21&lt;=Hypothèses!$V$13,Hypothèses!$X$13,IF(BG21&lt;=Hypothèses!$V$14,Hypothèses!$X$14,IF(BG21&lt;=Hypothèses!$V$15,Hypothèses!$X$15,IF(BG21&lt;=Hypothèses!$V$16,Hypothèses!$X$16,IF(BG21&lt;=Hypothèses!$U$17,Hypothèses!$W$17,IF(BG21&lt;=Hypothèses!$U$18,Hypothèses!$W$18,""))))))))))))</f>
        <v>#DIV/0!</v>
      </c>
      <c r="CD21" s="95" t="e">
        <f t="shared" ca="1" si="81"/>
        <v>#DIV/0!</v>
      </c>
      <c r="CE21" s="101" t="e">
        <f t="shared" si="126"/>
        <v>#N/A</v>
      </c>
      <c r="CF21" s="91" t="e">
        <f t="shared" si="36"/>
        <v>#N/A</v>
      </c>
      <c r="CG21" s="30" t="e">
        <f t="shared" si="106"/>
        <v>#N/A</v>
      </c>
      <c r="CH21" s="30" t="e">
        <f t="shared" si="107"/>
        <v>#N/A</v>
      </c>
      <c r="CI21" s="31" t="e">
        <f>IF(OR(Hypothèses!$B$4=17,Hypothèses!$B$4=18,Hypothèses!$B$4=19,Hypothèses!$B$4=20),
IF($D21="Pressio.",
IF(OR($E21=3,$E21=1,$E21=4),CH21,CG21),
IF($D21="Pénétro.",
IF(OR($E21=3,$E21=1,$E21=4),CH21,CG21))),IF($D21="Pressio.",
IF($E21=3,CH21,CG21),
IF($D21="Pénétro.",
IF($E21=4,CH21,CG21))))</f>
        <v>#N/A</v>
      </c>
      <c r="CJ21" s="31" t="e">
        <f>(IF(OR(Hypothèses!$B$4=17,Hypothèses!$B$4=18,Hypothèses!$B$4=19,Hypothèses!$B$4=20),
IF($D21="Pressio.",
IF(OR($E21=3,$E21=1,$E21=4),(PI()*CJ$12^2)/4*(CF21*$W21*1000)/($H21*$B$5),(PI()*CJ$12^2)/4*(CF21*$W21*1000)/($G21*$B$5)),
IF($D21="Pénétro.",
IF(OR($E21=4,$E21=1,$E21=5),(PI()*CJ$12^2)/4*(CF21*$W21*1000)/($H21*$B$5),(PI()*CJ$12^2)/4*(CF21*$W21*1000)/($G21*$B$5)))),
IF($D21="Pressio.",
IF($E21=3,(PI()*CJ$12^2)/4*(CF21*$W21*1000)/($H21*$B$5),(PI()*CJ$12^2)/4*(CF21*$W21*1000)/($G21*$B$5)),
IF($D21="Pénétro.",
IF($E21=4,(PI()*CJ$12^2)/4*(CF21*$W21*1000)/($H21*$B$5),(PI()*CJ$12^2)/4*(CF21*$W21*1000)/($G21*$B$5))))))/10</f>
        <v>#N/A</v>
      </c>
      <c r="CK21" s="102" t="e">
        <f>(VLOOKUP($B$3,'Coeff EC7'!$T$39:$X$59,2,0)*CI21+VLOOKUP($B$3,'Coeff EC7'!$T$65:$X$85,2,0)*Model0.1C!CJ21)/1.1</f>
        <v>#N/A</v>
      </c>
      <c r="CL21" s="102" t="e">
        <f>(VLOOKUP($B$3,'Coeff EC7'!$T$39:$X$59,3,0)*CI21+VLOOKUP($B$3,'Coeff EC7'!$T$65:$X$85,3,0)*Model0.1C!CJ21)/0.9</f>
        <v>#N/A</v>
      </c>
      <c r="CM21" s="102" t="e">
        <f t="shared" si="82"/>
        <v>#N/A</v>
      </c>
      <c r="CN21" s="102" t="e">
        <f t="shared" si="83"/>
        <v>#N/A</v>
      </c>
      <c r="CO21" s="414" t="e">
        <f>IF(CO20=0,0,IF(AND(CK21&gt;charge_ELS_quasi,CL21&gt;Charge_ELS_freq,CM21&gt;charge_ELU,CN21&gt;charge_ELA,$B21&gt;NDC!$H$22-0.1+MIN(3*$CO$12,1.5)),0,1))</f>
        <v>#N/A</v>
      </c>
      <c r="CP21" s="86" t="b">
        <f t="shared" si="39"/>
        <v>0</v>
      </c>
      <c r="CQ21" s="86">
        <f t="shared" si="40"/>
        <v>0.5</v>
      </c>
      <c r="CR21" s="86">
        <f t="shared" si="41"/>
        <v>0.5</v>
      </c>
      <c r="CS21" s="30" t="e">
        <f t="shared" ca="1" si="84"/>
        <v>#DIV/0!</v>
      </c>
      <c r="CT21" s="85" t="e">
        <f ca="1">IF(BZ21&lt;=Hypothèses!$V$7,Hypothèses!$W$7,IF(BZ21&lt;=Hypothèses!$V$8,Hypothèses!$W$8,IF(BZ21&lt;=Hypothèses!$V$9,Hypothèses!$W$9,IF(BZ21&lt;=Hypothèses!$V$10,Hypothèses!$W$10,IF(BZ21&lt;=Hypothèses!$V$11,Hypothèses!$W$11,IF(BZ21&lt;=Hypothèses!$V$12,Hypothèses!$W$12,IF(BZ21&lt;=Hypothèses!$V$13,Hypothèses!$W$13,IF(BZ21&lt;=Hypothèses!$V$14,Hypothèses!$W$14,IF(BZ21&lt;=Hypothèses!$V$15,Hypothèses!$W$15,IF(BZ21&lt;=Hypothèses!$V$16,Hypothèses!$W$16,IF(BZ21&lt;=Hypothèses!$V$17,Hypothèses!$W$17,IF(BZ21&lt;=Hypothèses!$V$18,Hypothèses!$W$18,""))))))))))))</f>
        <v>#DIV/0!</v>
      </c>
      <c r="CU21" s="87" t="e">
        <f t="shared" ca="1" si="120"/>
        <v>#DIV/0!</v>
      </c>
      <c r="CV21" s="88" t="e">
        <f ca="1">IF(BZ21&lt;=Hypothèses!$V$7,Hypothèses!$X$7,IF(BZ21&lt;=Hypothèses!$V$8,Hypothèses!$X$8,IF(BZ21&lt;=Hypothèses!$V$9,Hypothèses!$X$9,IF(BZ21&lt;=Hypothèses!$V$10,Hypothèses!$X$10,IF(BZ21&lt;=Hypothèses!$V$11,Hypothèses!$X$11,IF(BZ21&lt;=Hypothèses!$V$12,Hypothèses!$X$12,IF(BZ21&lt;=Hypothèses!$V$13,Hypothèses!$X$13,IF(BZ21&lt;=Hypothèses!$V$14,Hypothèses!$X$14,IF(BZ21&lt;=Hypothèses!$V$15,Hypothèses!$X$15,IF(BZ21&lt;=Hypothèses!$V$16,Hypothèses!$X$16,IF(BZ21&lt;=Hypothèses!$U$17,Hypothèses!$W$17,IF(BZ21&lt;=Hypothèses!$U$18,Hypothèses!$W$18,""))))))))))))</f>
        <v>#DIV/0!</v>
      </c>
      <c r="CW21" s="95" t="e">
        <f t="shared" ca="1" si="85"/>
        <v>#DIV/0!</v>
      </c>
      <c r="CX21" s="101" t="e">
        <f t="shared" si="127"/>
        <v>#N/A</v>
      </c>
      <c r="CY21" s="91" t="e">
        <f t="shared" si="43"/>
        <v>#N/A</v>
      </c>
      <c r="CZ21" s="30" t="e">
        <f t="shared" si="108"/>
        <v>#N/A</v>
      </c>
      <c r="DA21" s="30" t="e">
        <f t="shared" si="109"/>
        <v>#N/A</v>
      </c>
      <c r="DB21" s="31" t="e">
        <f>IF(OR(Hypothèses!$B$4=17,Hypothèses!$B$4=18,Hypothèses!$B$4=19,Hypothèses!$B$4=20),
IF($D21="Pressio.",
IF(OR($E21=3,$E21=1,$E21=4),DA21,CZ21),
IF($D21="Pénétro.",
IF(OR($E21=3,$E21=1,$E21=4),DA21,CZ21))),IF($D21="Pressio.",
IF($E21=3,DA21,CZ21),
IF($D21="Pénétro.",
IF($E21=4,DA21,CZ21))))</f>
        <v>#N/A</v>
      </c>
      <c r="DC21" s="31" t="e">
        <f>(IF(OR(Hypothèses!$B$4=17,Hypothèses!$B$4=18,Hypothèses!$B$4=19,Hypothèses!$B$4=20),
IF($D21="Pressio.",
IF(OR($E21=3,$E21=1,$E21=4),(PI()*DC$12^2)/4*(CY21*$W21*1000)/($H21*$B$5),(PI()*DC$12^2)/4*(CY21*$W21*1000)/($G21*$B$5)),
IF($D21="Pénétro.",
IF(OR($E21=4,$E21=1,$E21=5),(PI()*DC$12^2)/4*(CY21*$W21*1000)/($H21*$B$5),(PI()*DC$12^2)/4*(CY21*$W21*1000)/($G21*$B$5)))),
IF($D21="Pressio.",
IF($E21=3,(PI()*DC$12^2)/4*(CY21*$W21*1000)/($H21*$B$5),(PI()*DC$12^2)/4*(CY21*$W21*1000)/($G21*$B$5)),
IF($D21="Pénétro.",
IF($E21=4,(PI()*DC$12^2)/4*(CY21*$W21*1000)/($H21*$B$5),(PI()*DC$12^2)/4*(CY21*$W21*1000)/($G21*$B$5))))))/10</f>
        <v>#N/A</v>
      </c>
      <c r="DD21" s="102" t="e">
        <f>(VLOOKUP($B$3,'Coeff EC7'!$T$39:$X$59,2,0)*DB21+VLOOKUP($B$3,'Coeff EC7'!$T$65:$X$85,2,0)*Model0.1C!DC21)/1.1</f>
        <v>#N/A</v>
      </c>
      <c r="DE21" s="102" t="e">
        <f>(VLOOKUP($B$3,'Coeff EC7'!$T$39:$X$59,3,0)*DB21+VLOOKUP($B$3,'Coeff EC7'!$T$65:$X$85,3,0)*Model0.1C!DC21)/0.9</f>
        <v>#N/A</v>
      </c>
      <c r="DF21" s="102" t="e">
        <f t="shared" si="86"/>
        <v>#N/A</v>
      </c>
      <c r="DG21" s="102" t="e">
        <f t="shared" si="87"/>
        <v>#N/A</v>
      </c>
      <c r="DH21" s="414" t="e">
        <f>IF(DH20=0,0,IF(AND(DD21&gt;charge_ELS_quasi,DE21&gt;Charge_ELS_freq,DF21&gt;charge_ELU,DG21&gt;charge_ELA,$B21&gt;NDC!$H$22-0.1+MIN(3*$DH$12,1.5)),0,1))</f>
        <v>#N/A</v>
      </c>
      <c r="DI21" s="86" t="b">
        <f t="shared" si="46"/>
        <v>0</v>
      </c>
      <c r="DJ21" s="86">
        <f t="shared" si="47"/>
        <v>0.5</v>
      </c>
      <c r="DK21" s="86">
        <f t="shared" si="48"/>
        <v>0.5</v>
      </c>
      <c r="DL21" s="30" t="e">
        <f t="shared" ca="1" si="88"/>
        <v>#DIV/0!</v>
      </c>
      <c r="DM21" s="85" t="e">
        <f ca="1">IF(CS21&lt;=Hypothèses!$V$7,Hypothèses!$W$7,IF(CS21&lt;=Hypothèses!$V$8,Hypothèses!$W$8,IF(CS21&lt;=Hypothèses!$V$9,Hypothèses!$W$9,IF(CS21&lt;=Hypothèses!$V$10,Hypothèses!$W$10,IF(CS21&lt;=Hypothèses!$V$11,Hypothèses!$W$11,IF(CS21&lt;=Hypothèses!$V$12,Hypothèses!$W$12,IF(CS21&lt;=Hypothèses!$V$13,Hypothèses!$W$13,IF(CS21&lt;=Hypothèses!$V$14,Hypothèses!$W$14,IF(CS21&lt;=Hypothèses!$V$15,Hypothèses!$W$15,IF(CS21&lt;=Hypothèses!$V$16,Hypothèses!$W$16,IF(CS21&lt;=Hypothèses!$V$17,Hypothèses!$W$17,IF(CS21&lt;=Hypothèses!$V$18,Hypothèses!$W$18,""))))))))))))</f>
        <v>#DIV/0!</v>
      </c>
      <c r="DN21" s="87" t="e">
        <f t="shared" ca="1" si="121"/>
        <v>#DIV/0!</v>
      </c>
      <c r="DO21" s="88" t="e">
        <f ca="1">IF(CS21&lt;=Hypothèses!$V$7,Hypothèses!$X$7,IF(CS21&lt;=Hypothèses!$V$8,Hypothèses!$X$8,IF(CS21&lt;=Hypothèses!$V$9,Hypothèses!$X$9,IF(CS21&lt;=Hypothèses!$V$10,Hypothèses!$X$10,IF(CS21&lt;=Hypothèses!$V$11,Hypothèses!$X$11,IF(CS21&lt;=Hypothèses!$V$12,Hypothèses!$X$12,IF(CS21&lt;=Hypothèses!$V$13,Hypothèses!$X$13,IF(CS21&lt;=Hypothèses!$V$14,Hypothèses!$X$14,IF(CS21&lt;=Hypothèses!$V$15,Hypothèses!$X$15,IF(CS21&lt;=Hypothèses!$V$16,Hypothèses!$X$16,IF(CS21&lt;=Hypothèses!$U$17,Hypothèses!$W$17,IF(CS21&lt;=Hypothèses!$U$18,Hypothèses!$W$18,""))))))))))))</f>
        <v>#DIV/0!</v>
      </c>
      <c r="DP21" s="95" t="e">
        <f t="shared" ca="1" si="89"/>
        <v>#DIV/0!</v>
      </c>
      <c r="DQ21" s="101" t="e">
        <f t="shared" si="128"/>
        <v>#N/A</v>
      </c>
      <c r="DR21" s="91" t="e">
        <f t="shared" si="50"/>
        <v>#N/A</v>
      </c>
      <c r="DS21" s="30" t="e">
        <f t="shared" si="110"/>
        <v>#N/A</v>
      </c>
      <c r="DT21" s="30" t="e">
        <f t="shared" si="111"/>
        <v>#N/A</v>
      </c>
      <c r="DU21" s="31" t="e">
        <f>IF(OR(Hypothèses!$B$4=17,Hypothèses!$B$4=18,Hypothèses!$B$4=19,Hypothèses!$B$4=20),
IF($D21="Pressio.",
IF(OR($E21=3,$E21=1,$E21=4),DT21,DS21),
IF($D21="Pénétro.",
IF(OR($E21=3,$E21=1,$E21=4),DT21,DS21))),IF($D21="Pressio.",
IF($E21=3,DT21,DS21),
IF($D21="Pénétro.",
IF($E21=4,DT21,DS21))))</f>
        <v>#N/A</v>
      </c>
      <c r="DV21" s="31" t="e">
        <f>(IF(OR(Hypothèses!$B$4=17,Hypothèses!$B$4=18,Hypothèses!$B$4=19,Hypothèses!$B$4=20),
IF($D21="Pressio.",
IF(OR($E21=3,$E21=1,$E21=4),(PI()*DV$12^2)/4*(DR21*$W21*1000)/($H21*$B$5),(PI()*DV$12^2)/4*(DR21*$W21*1000)/($G21*$B$5)),
IF($D21="Pénétro.",
IF(OR($E21=4,$E21=1,$E21=5),(PI()*DV$12^2)/4*(DR21*$W21*1000)/($H21*$B$5),(PI()*DV$12^2)/4*(DR21*$W21*1000)/($G21*$B$5)))),
IF($D21="Pressio.",
IF($E21=3,(PI()*DV$12^2)/4*(DR21*$W21*1000)/($H21*$B$5),(PI()*DV$12^2)/4*(DR21*$W21*1000)/($G21*$B$5)),
IF($D21="Pénétro.",
IF($E21=4,(PI()*DV$12^2)/4*(DR21*$W21*1000)/($H21*$B$5),(PI()*DV$12^2)/4*(DR21*$W21*1000)/($G21*$B$5))))))/10</f>
        <v>#N/A</v>
      </c>
      <c r="DW21" s="102" t="e">
        <f>(VLOOKUP($B$3,'Coeff EC7'!$T$39:$X$59,2,0)*DU21+VLOOKUP($B$3,'Coeff EC7'!$T$65:$X$85,2,0)*Model0.1C!DV21)/1.1</f>
        <v>#N/A</v>
      </c>
      <c r="DX21" s="102" t="e">
        <f>(VLOOKUP($B$3,'Coeff EC7'!$T$39:$X$59,3,0)*DU21+VLOOKUP($B$3,'Coeff EC7'!$T$65:$X$85,3,0)*Model0.1C!DV21)/0.9</f>
        <v>#N/A</v>
      </c>
      <c r="DY21" s="102" t="e">
        <f t="shared" si="90"/>
        <v>#N/A</v>
      </c>
      <c r="DZ21" s="102" t="e">
        <f t="shared" si="91"/>
        <v>#N/A</v>
      </c>
      <c r="EA21" s="414" t="e">
        <f>IF(EA20=0,0,IF(AND(DW21&gt;charge_ELS_quasi,DX21&gt;Charge_ELS_freq,DY21&gt;charge_ELU,DZ21&gt;charge_ELA,$B21&gt;NDC!$H$22-0.1+MIN(3*$EA$12,1.5)),0,1))</f>
        <v>#N/A</v>
      </c>
      <c r="EB21" s="86" t="b">
        <f t="shared" si="53"/>
        <v>0</v>
      </c>
      <c r="EC21" s="418">
        <f t="shared" si="54"/>
        <v>0.51</v>
      </c>
      <c r="ED21" s="86">
        <f t="shared" si="55"/>
        <v>0.51</v>
      </c>
      <c r="EE21" s="30" t="e">
        <f t="shared" ca="1" si="92"/>
        <v>#DIV/0!</v>
      </c>
      <c r="EF21" s="85" t="e">
        <f ca="1">IF(DL21&lt;=Hypothèses!$V$7,Hypothèses!$W$7,IF(DL21&lt;=Hypothèses!$V$8,Hypothèses!$W$8,IF(DL21&lt;=Hypothèses!$V$9,Hypothèses!$W$9,IF(DL21&lt;=Hypothèses!$V$10,Hypothèses!$W$10,IF(DL21&lt;=Hypothèses!$V$11,Hypothèses!$W$11,IF(DL21&lt;=Hypothèses!$V$12,Hypothèses!$W$12,IF(DL21&lt;=Hypothèses!$V$13,Hypothèses!$W$13,IF(DL21&lt;=Hypothèses!$V$14,Hypothèses!$W$14,IF(DL21&lt;=Hypothèses!$V$15,Hypothèses!$W$15,IF(DL21&lt;=Hypothèses!$V$16,Hypothèses!$W$16,IF(DL21&lt;=Hypothèses!$V$17,Hypothèses!$W$17,IF(DL21&lt;=Hypothèses!$V$18,Hypothèses!$W$18,""))))))))))))</f>
        <v>#DIV/0!</v>
      </c>
      <c r="EG21" s="87" t="e">
        <f t="shared" ca="1" si="122"/>
        <v>#DIV/0!</v>
      </c>
      <c r="EH21" s="88" t="e">
        <f ca="1">IF(DL21&lt;=Hypothèses!$V$7,Hypothèses!$X$7,IF(DL21&lt;=Hypothèses!$V$8,Hypothèses!$X$8,IF(DL21&lt;=Hypothèses!$V$9,Hypothèses!$X$9,IF(DL21&lt;=Hypothèses!$V$10,Hypothèses!$X$10,IF(DL21&lt;=Hypothèses!$V$11,Hypothèses!$X$11,IF(DL21&lt;=Hypothèses!$V$12,Hypothèses!$X$12,IF(DL21&lt;=Hypothèses!$V$13,Hypothèses!$X$13,IF(DL21&lt;=Hypothèses!$V$14,Hypothèses!$X$14,IF(DL21&lt;=Hypothèses!$V$15,Hypothèses!$X$15,IF(DL21&lt;=Hypothèses!$V$16,Hypothèses!$X$16,IF(DL21&lt;=Hypothèses!$U$17,Hypothèses!$W$17,IF(DL21&lt;=Hypothèses!$U$18,Hypothèses!$W$18,""))))))))))))</f>
        <v>#DIV/0!</v>
      </c>
      <c r="EI21" s="95" t="e">
        <f t="shared" ca="1" si="93"/>
        <v>#DIV/0!</v>
      </c>
      <c r="EJ21" s="101" t="e">
        <f t="shared" si="129"/>
        <v>#N/A</v>
      </c>
      <c r="EK21" s="91" t="e">
        <f t="shared" si="57"/>
        <v>#N/A</v>
      </c>
      <c r="EL21" s="30" t="e">
        <f t="shared" si="112"/>
        <v>#N/A</v>
      </c>
      <c r="EM21" s="30" t="e">
        <f t="shared" si="113"/>
        <v>#N/A</v>
      </c>
      <c r="EN21" s="31" t="e">
        <f>IF(OR(Hypothèses!$B$4=17,Hypothèses!$B$4=18,Hypothèses!$B$4=19,Hypothèses!$B$4=20),
IF($D21="Pressio.",
IF(OR($E21=3,$E21=1,$E21=4),EM21,EL21),
IF($D21="Pénétro.",
IF(OR($E21=3,$E21=1,$E21=4),EM21,EL21))),IF($D21="Pressio.",
IF($E21=3,EM21,EL21),
IF($D21="Pénétro.",
IF($E21=4,EM21,EL21))))</f>
        <v>#N/A</v>
      </c>
      <c r="EO21" s="31" t="e">
        <f>(IF(OR(Hypothèses!$B$4=17,Hypothèses!$B$4=18,Hypothèses!$B$4=19,Hypothèses!$B$4=20),
IF($D21="Pressio.",
IF(OR($E21=3,$E21=1,$E21=4),(PI()*EO$12^2)/4*(EK21*$W21*1000)/($H21*$B$5),(PI()*EO$12^2)/4*(EK21*$W21*1000)/($G21*$B$5)),
IF($D21="Pénétro.",
IF(OR($E21=4,$E21=1,$E21=5),(PI()*EO$12^2)/4*(EK21*$W21*1000)/($H21*$B$5),(PI()*EO$12^2)/4*(EK21*$W21*1000)/($G21*$B$5)))),
IF($D21="Pressio.",
IF($E21=3,(PI()*EO$12^2)/4*(EK21*$W21*1000)/($H21*$B$5),(PI()*EO$12^2)/4*(EK21*$W21*1000)/($G21*$B$5)),
IF($D21="Pénétro.",
IF($E21=4,(PI()*EO$12^2)/4*(EK21*$W21*1000)/($H21*$B$5),(PI()*EO$12^2)/4*(EK21*$W21*1000)/($G21*$B$5))))))/10</f>
        <v>#N/A</v>
      </c>
      <c r="EP21" s="102" t="e">
        <f>(VLOOKUP($B$3,'Coeff EC7'!$T$39:$X$59,2,0)*EN21+VLOOKUP($B$3,'Coeff EC7'!$T$65:$X$85,2,0)*Model0.1C!EO21)/1.1</f>
        <v>#N/A</v>
      </c>
      <c r="EQ21" s="102" t="e">
        <f>(VLOOKUP($B$3,'Coeff EC7'!$T$39:$X$59,3,0)*EN21+VLOOKUP($B$3,'Coeff EC7'!$T$65:$X$85,3,0)*Model0.1C!EO21)/0.9</f>
        <v>#N/A</v>
      </c>
      <c r="ER21" s="102" t="e">
        <f t="shared" si="94"/>
        <v>#N/A</v>
      </c>
      <c r="ES21" s="102" t="e">
        <f t="shared" si="95"/>
        <v>#N/A</v>
      </c>
      <c r="ET21" s="414" t="e">
        <f>IF(ET20=0,0,IF(AND(EP21&gt;charge_ELS_quasi,EQ21&gt;Charge_ELS_freq,ER21&gt;charge_ELU,ES21&gt;charge_ELA,$B21&gt;NDC!$H$22-0.1+MIN(3*$ET$12,1.5)),0,1))</f>
        <v>#N/A</v>
      </c>
      <c r="EU21" s="86" t="b">
        <f t="shared" si="60"/>
        <v>0</v>
      </c>
      <c r="EV21" s="86">
        <f t="shared" si="61"/>
        <v>0.61</v>
      </c>
      <c r="EW21" s="86">
        <f t="shared" si="62"/>
        <v>0.61</v>
      </c>
      <c r="EX21" s="30" t="e">
        <f t="shared" ca="1" si="96"/>
        <v>#DIV/0!</v>
      </c>
      <c r="EY21" s="85" t="e">
        <f ca="1">IF(EE21&lt;=Hypothèses!$V$7,Hypothèses!$W$7,IF(EE21&lt;=Hypothèses!$V$8,Hypothèses!$W$8,IF(EE21&lt;=Hypothèses!$V$9,Hypothèses!$W$9,IF(EE21&lt;=Hypothèses!$V$10,Hypothèses!$W$10,IF(EE21&lt;=Hypothèses!$V$11,Hypothèses!$W$11,IF(EE21&lt;=Hypothèses!$V$12,Hypothèses!$W$12,IF(EE21&lt;=Hypothèses!$V$13,Hypothèses!$W$13,IF(EE21&lt;=Hypothèses!$V$14,Hypothèses!$W$14,IF(EE21&lt;=Hypothèses!$V$15,Hypothèses!$W$15,IF(EE21&lt;=Hypothèses!$V$16,Hypothèses!$W$16,IF(EE21&lt;=Hypothèses!$V$17,Hypothèses!$W$17,IF(EE21&lt;=Hypothèses!$V$18,Hypothèses!$W$18,""))))))))))))</f>
        <v>#DIV/0!</v>
      </c>
      <c r="EZ21" s="87" t="e">
        <f t="shared" ca="1" si="123"/>
        <v>#DIV/0!</v>
      </c>
      <c r="FA21" s="88" t="e">
        <f ca="1">IF(EE21&lt;=Hypothèses!$V$7,Hypothèses!$X$7,IF(EE21&lt;=Hypothèses!$V$8,Hypothèses!$X$8,IF(EE21&lt;=Hypothèses!$V$9,Hypothèses!$X$9,IF(EE21&lt;=Hypothèses!$V$10,Hypothèses!$X$10,IF(EE21&lt;=Hypothèses!$V$11,Hypothèses!$X$11,IF(EE21&lt;=Hypothèses!$V$12,Hypothèses!$X$12,IF(EE21&lt;=Hypothèses!$V$13,Hypothèses!$X$13,IF(EE21&lt;=Hypothèses!$V$14,Hypothèses!$X$14,IF(EE21&lt;=Hypothèses!$V$15,Hypothèses!$X$15,IF(EE21&lt;=Hypothèses!$V$16,Hypothèses!$X$16,IF(EE21&lt;=Hypothèses!$U$17,Hypothèses!$W$17,IF(EE21&lt;=Hypothèses!$U$18,Hypothèses!$W$18,""))))))))))))</f>
        <v>#DIV/0!</v>
      </c>
      <c r="FB21" s="95" t="e">
        <f t="shared" ca="1" si="97"/>
        <v>#DIV/0!</v>
      </c>
      <c r="FC21" s="101" t="e">
        <f t="shared" si="130"/>
        <v>#N/A</v>
      </c>
      <c r="FD21" s="91" t="e">
        <f t="shared" si="64"/>
        <v>#N/A</v>
      </c>
      <c r="FE21" s="30" t="e">
        <f t="shared" si="114"/>
        <v>#N/A</v>
      </c>
      <c r="FF21" s="30" t="e">
        <f t="shared" si="115"/>
        <v>#N/A</v>
      </c>
      <c r="FG21" s="31" t="e">
        <f>IF(OR(Hypothèses!$B$4=17,Hypothèses!$B$4=18,Hypothèses!$B$4=19,Hypothèses!$B$4=20),
IF($D21="Pressio.",
IF(OR($E21=3,$E21=1,$E21=4),FF21,FE21),
IF($D21="Pénétro.",
IF(OR($E21=3,$E21=1,$E21=4),FF21,FE21))),IF($D21="Pressio.",
IF($E21=3,FF21,FE21),
IF($D21="Pénétro.",
IF($E21=4,FF21,FE21))))</f>
        <v>#N/A</v>
      </c>
      <c r="FH21" s="31" t="e">
        <f>(IF(OR(Hypothèses!$B$4=17,Hypothèses!$B$4=18,Hypothèses!$B$4=19,Hypothèses!$B$4=20),
IF($D21="Pressio.",
IF(OR($E21=3,$E21=1,$E21=4),(PI()*FH$12^2)/4*(FD21*$W21*1000)/($H21*$B$5),(PI()*FH$12^2)/4*(FD21*$W21*1000)/($G21*$B$5)),
IF($D21="Pénétro.",
IF(OR($E21=4,$E21=1,$E21=5),(PI()*FH$12^2)/4*(FD21*$W21*1000)/($H21*$B$5),(PI()*FH$12^2)/4*(FD21*$W21*1000)/($G21*$B$5)))),
IF($D21="Pressio.",
IF($E21=3,(PI()*FH$12^2)/4*(FD21*$W21*1000)/($H21*$B$5),(PI()*FH$12^2)/4*(FD21*$W21*1000)/($G21*$B$5)),
IF($D21="Pénétro.",
IF($E21=4,(PI()*FH$12^2)/4*(FD21*$W21*1000)/($H21*$B$5),(PI()*FH$12^2)/4*(FD21*$W21*1000)/($G21*$B$5))))))/10</f>
        <v>#N/A</v>
      </c>
      <c r="FI21" s="102" t="e">
        <f>(VLOOKUP($B$3,'Coeff EC7'!$T$39:$X$59,2,0)*FG21+VLOOKUP($B$3,'Coeff EC7'!$T$65:$X$85,2,0)*Model0.1C!FH21)/1.1</f>
        <v>#N/A</v>
      </c>
      <c r="FJ21" s="102" t="e">
        <f>(VLOOKUP($B$3,'Coeff EC7'!$T$39:$X$59,3,0)*FG21+VLOOKUP($B$3,'Coeff EC7'!$T$65:$X$85,3,0)*Model0.1C!FH21)/0.9</f>
        <v>#N/A</v>
      </c>
      <c r="FK21" s="102" t="e">
        <f t="shared" si="98"/>
        <v>#N/A</v>
      </c>
      <c r="FL21" s="102" t="e">
        <f t="shared" si="99"/>
        <v>#N/A</v>
      </c>
      <c r="FM21" s="414" t="e">
        <f>IF(FM20=0,0,IF(AND(FI21&gt;charge_ELS_quasi,FJ21&gt;Charge_ELS_freq,FK21&gt;charge_ELU,FL21&gt;charge_ELA,$B21&gt;NDC!$H$22-0.1+MIN(3*$FM$12,1.5)),0,1))</f>
        <v>#N/A</v>
      </c>
    </row>
    <row r="22" spans="1:169">
      <c r="A22" s="96">
        <f t="shared" si="67"/>
        <v>99.100000000000051</v>
      </c>
      <c r="B22" s="97">
        <v>0.9</v>
      </c>
      <c r="C22" s="81">
        <f>IF(B22&lt;=Hypothèses!$C$7,Hypothèses!$A$7,IF(B22&lt;=Hypothèses!$C$8,Hypothèses!$A$8,IF(B22&lt;=Hypothèses!$C$9,Hypothèses!$A$9,IF(B22&lt;=Hypothèses!$C$10,Hypothèses!$A$10,IF(B22&lt;=Hypothèses!$C$11,Hypothèses!$A$11,IF(B22&lt;=Hypothèses!$C$12,Hypothèses!$A$12,IF(B22&lt;=Hypothèses!$C$13,Hypothèses!$A$13,IF(B22&lt;=Hypothèses!$C$14,Hypothèses!$A$14,IF(B22&lt;=Hypothèses!$C$15,Hypothèses!$A$15,IF(B22&lt;=Hypothèses!$C$16,Hypothèses!$A$16,IF(B22&lt;=Hypothèses!$C$17,Hypothèses!$A$17,IF(B22&lt;=Hypothèses!$C$18,Hypothèses!$A$18,C21))))))))))))</f>
        <v>11</v>
      </c>
      <c r="D22" s="82" t="str">
        <f>IF(B22&lt;=Hypothèses!$C$7,Hypothèses!$R$7,IF(B22&lt;=Hypothèses!$C$8,Hypothèses!$R$8,IF(B22&lt;=Hypothèses!$C$9,Hypothèses!$R$9,IF(B22&lt;=Hypothèses!$C$10,Hypothèses!$R$10,IF(B22&lt;=Hypothèses!$C$11,Hypothèses!$R$11,IF(B22&lt;=Hypothèses!$C$12,Hypothèses!$R$12,IF(B22&lt;=Hypothèses!$C$13,Hypothèses!$R$13,IF(B22&lt;=Hypothèses!$C$14,Hypothèses!$R$14,IF(B22&lt;=Hypothèses!$C$15,Hypothèses!$R$15,IF(B22&lt;=Hypothèses!$C$16,Hypothèses!$R$16,IF(B22&lt;=Hypothèses!$C$17,Hypothèses!$R$17,IF(B22&lt;=Hypothèses!$C$18,Hypothèses!$R$18,D21))))))))))))</f>
        <v>Pressio.</v>
      </c>
      <c r="E22" s="82" t="e">
        <f>IF(B22&lt;=Hypothèses!$C$7,Hypothèses!$G$7,IF(B22&lt;=Hypothèses!$C$8,Hypothèses!$G$8,IF(B22&lt;=Hypothèses!$C$9,Hypothèses!$G$9,IF(B22&lt;=Hypothèses!$C$10,Hypothèses!$G$10,IF(B22&lt;=Hypothèses!$C$11,Hypothèses!$G$11,IF(B22&lt;=Hypothèses!$C$12,Hypothèses!$G$12,IF(B22&lt;=Hypothèses!$C$13,Hypothèses!$G$13,IF(B22&lt;=Hypothèses!$C$14,Hypothèses!$G$14,IF(B22&lt;=Hypothèses!$C$15,Hypothèses!$G$15,IF(B22&lt;=Hypothèses!$C$16,Hypothèses!$G$16,IF(B22&lt;=Hypothèses!$C$17,Hypothèses!$G$17,IF(B22&lt;=Hypothèses!$C$18,Hypothèses!$G$18,E21))))))))))))</f>
        <v>#N/A</v>
      </c>
      <c r="F22" s="82" t="str">
        <f>IF(B22&lt;=Hypothèses!$C$7,Hypothèses!$F$7,IF(B22&lt;=Hypothèses!$C$8,Hypothèses!$F$8,IF(B22&lt;=Hypothèses!$C$9,Hypothèses!$F$9,IF(B22&lt;=Hypothèses!$C$10,Hypothèses!$F$10,IF(B22&lt;=Hypothèses!$C$11,Hypothèses!$F$11,IF(B22&lt;=Hypothèses!$C$12,Hypothèses!$F$12,IF(B22&lt;=Hypothèses!$C$13,Hypothèses!$F$13,IF(B22&lt;=Hypothèses!$C$14,Hypothèses!$F$14,IF(B22&lt;=Hypothèses!$C$15,Hypothèses!$F$15,IF(B22&lt;=Hypothèses!$C$16,Hypothèses!$F$16,IF(B22&lt;=Hypothèses!$C$17,Hypothèses!$F$17,IF(B22&lt;=Hypothèses!$C$18,Hypothèses!$F$18,F21))))))))))))</f>
        <v/>
      </c>
      <c r="G22" s="91">
        <f t="array" ref="G22">INDEX('Coeff EC7'!$U$7:$X$27,
MATCH(Model0.1C!$B$3,'Coeff EC7'!$T$7:$T$27,0),
MATCH(Model0.1C!$D22&amp;Model0.1C!$B$4,
'Coeff EC7'!$U$6:$X$6&amp;
'Coeff EC7'!$U$5:$X$5,0))</f>
        <v>1.1499999999999999</v>
      </c>
      <c r="H22" s="91">
        <f t="array" ref="H22">INDEX('Coeff EC7'!$Y$7:$AB$27,
MATCH(Model0.1C!$B$3,'Coeff EC7'!$T$7:$T$27,0),
MATCH(Model0.1C!$D22&amp;Model0.1C!$B$4,
'Coeff EC7'!$Y$6:$AB$6&amp;
'Coeff EC7'!$Y$5:$AB$5,0))</f>
        <v>1.4</v>
      </c>
      <c r="I22" s="83" t="e">
        <f>IF(B22&lt;=Hypothèses!$C$7,Hypothèses!$P$7,IF(B22&lt;=Hypothèses!$C$8,Hypothèses!$P$8,IF(B22&lt;=Hypothèses!$C$9,Hypothèses!$P$9,IF(B22&lt;=Hypothèses!$C$10,Hypothèses!$P$10,IF(B22&lt;=Hypothèses!$C$11,Hypothèses!$P$11,IF(B22&lt;=Hypothèses!$C$12,Hypothèses!$P$12,IF(B22&lt;=Hypothèses!$C$13,Hypothèses!$P$13,IF(B22&lt;=Hypothèses!$C$14,Hypothèses!$P$14,IF(B22&lt;=Hypothèses!$C$15,Hypothèses!$P$15,IF(B22&lt;=Hypothèses!$C$16,Hypothèses!$P$16,IF(B22&lt;=Hypothèses!$C$17,Hypothèses!$P$17,IF(B22&lt;=Hypothèses!$C$18,Hypothèses!$P$18,I21))))))))))))</f>
        <v>#N/A</v>
      </c>
      <c r="J22" s="91" t="e">
        <f t="array" ref="J22">INDEX('Coeff EC7'!$D$33:$Q$33,1,MATCH(D22&amp;E22,'Coeff EC7'!$D$31:$Q$31&amp;'Coeff EC7'!$D$32:$Q$32,0))</f>
        <v>#N/A</v>
      </c>
      <c r="K22" s="91" t="e">
        <f t="array" ref="K22">INDEX('Coeff EC7'!$D$34:$Q$34,1,MATCH(D22&amp;E22,'Coeff EC7'!$D$31:$Q$31&amp;'Coeff EC7'!$D$32:$Q$32,0))</f>
        <v>#N/A</v>
      </c>
      <c r="L22" s="91" t="e">
        <f t="array" ref="L22">INDEX('Coeff EC7'!$D$35:$Q$35,1,MATCH(D22&amp;E22,'Coeff EC7'!$D$31:$Q$31&amp;'Coeff EC7'!$D$32:$Q$32,0))</f>
        <v>#N/A</v>
      </c>
      <c r="M22" s="98" t="e">
        <f t="shared" si="8"/>
        <v>#N/A</v>
      </c>
      <c r="N22" s="99" t="e">
        <f t="array" ref="N22">INDEX('Coeff EC7'!$D$7:$Q$27,MATCH($B$3,'Coeff EC7'!$C$7:$C$27,0),MATCH(D22&amp;E22,'Coeff EC7'!$D$5:$Q$5&amp;'Coeff EC7'!$D$6:$Q$6,0))</f>
        <v>#N/A</v>
      </c>
      <c r="O22" s="99" t="e">
        <f t="array" ref="O22">INDEX('Coeff EC7'!$D$41:$Q$61,MATCH($B$3,'Coeff EC7'!$C$41:$C$61,0),MATCH(D22&amp;E22,'Coeff EC7'!$D$39:$Q$39&amp;'Coeff EC7'!$D$40:$Q$40,0))</f>
        <v>#N/A</v>
      </c>
      <c r="P22" s="30" t="e">
        <f t="shared" si="68"/>
        <v>#N/A</v>
      </c>
      <c r="Q22" s="100" t="e">
        <f t="shared" si="10"/>
        <v>#N/A</v>
      </c>
      <c r="R22" s="86" t="b">
        <f t="shared" si="11"/>
        <v>0</v>
      </c>
      <c r="S22" s="86">
        <f t="shared" si="9"/>
        <v>0.5</v>
      </c>
      <c r="T22" s="86">
        <f t="shared" si="12"/>
        <v>0.5</v>
      </c>
      <c r="U22" s="30" t="e">
        <f t="shared" ca="1" si="69"/>
        <v>#DIV/0!</v>
      </c>
      <c r="V22" s="85" t="str">
        <f>IF(B22&lt;=Hypothèses!$V$7,Hypothèses!$W$7,IF(B22&lt;=Hypothèses!$V$8,Hypothèses!$W$8,IF(B22&lt;=Hypothèses!$V$9,Hypothèses!$W$9,IF(B22&lt;=Hypothèses!$V$10,Hypothèses!$W$10,IF(B22&lt;=Hypothèses!$V$11,Hypothèses!$W$11,IF(B22&lt;=Hypothèses!$V$12,Hypothèses!$W$12,IF(B22&lt;=Hypothèses!$V$13,Hypothèses!$W$13,IF(B22&lt;=Hypothèses!$V$14,Hypothèses!$W$14,IF(B22&lt;=Hypothèses!$V$15,Hypothèses!$W$15,IF(B22&lt;=Hypothèses!$V$16,Hypothèses!$W$16,IF(B22&lt;=Hypothèses!$V$17,Hypothèses!$W$17,IF(B22&lt;=Hypothèses!$V$18,Hypothèses!$W$18,""))))))))))))</f>
        <v/>
      </c>
      <c r="W22" s="87" t="e">
        <f t="shared" ca="1" si="116"/>
        <v>#DIV/0!</v>
      </c>
      <c r="X22" s="88" t="str">
        <f>IF(B22&lt;=Hypothèses!$V$7,Hypothèses!$X$7,IF(B22&lt;=Hypothèses!$V$8,Hypothèses!$X$8,IF(B22&lt;=Hypothèses!$V$9,Hypothèses!$X$9,IF(B22&lt;=Hypothèses!$V$10,Hypothèses!$X$10,IF(B22&lt;=Hypothèses!$V$11,Hypothèses!$X$11,IF(B22&lt;=Hypothèses!$V$12,Hypothèses!$X$12,IF(B22&lt;=Hypothèses!$V$13,Hypothèses!$X$13,IF(B22&lt;=Hypothèses!$V$14,Hypothèses!$X$14,IF(B22&lt;=Hypothèses!$V$15,Hypothèses!$X$15,IF(B22&lt;=Hypothèses!$V$16,Hypothèses!$X$16,IF(B22&lt;=Hypothèses!$U$17,Hypothèses!$W$17,IF(B22&lt;=Hypothèses!$U$18,Hypothèses!$W$18,""))))))))))))</f>
        <v/>
      </c>
      <c r="Y22" s="95" t="e">
        <f t="shared" ca="1" si="13"/>
        <v>#DIV/0!</v>
      </c>
      <c r="Z22" s="101" t="e">
        <f t="shared" si="14"/>
        <v>#N/A</v>
      </c>
      <c r="AA22" s="91" t="e">
        <f t="shared" si="15"/>
        <v>#N/A</v>
      </c>
      <c r="AB22" s="30" t="e">
        <f t="shared" si="100"/>
        <v>#N/A</v>
      </c>
      <c r="AC22" s="30" t="e">
        <f t="shared" si="101"/>
        <v>#N/A</v>
      </c>
      <c r="AD22" s="31" t="e">
        <f>IF(OR(Hypothèses!$B$4=17,Hypothèses!$B$4=18,Hypothèses!$B$4=19,Hypothèses!$B$4=20),
IF($D22="Pressio.",
IF(OR($E22=3,$E22=1,$E22=4),AC22,AB22),
IF($D22="Pénétro.",
IF(OR($E22=3,$E22=1,$E22=4),AC22,AB22))),IF($D22="Pressio.",
IF($E22=3,AC22,AB22),
IF($D22="Pénétro.",
IF($E22=4,AC22,AB22))))</f>
        <v>#N/A</v>
      </c>
      <c r="AE22" s="31" t="e">
        <f>(IF(OR(Hypothèses!$B$4=17,Hypothèses!$B$4=18,Hypothèses!$B$4=19,Hypothèses!$B$4=20),
IF($D22="Pressio.",
IF(OR($E22=3,$E22=1,$E22=4),(PI()*AE$12^2)/4*(AA22*$W22*1000)/($H22*$B$5),(PI()*AE$12^2)/4*(AA22*$W22*1000)/($G22*$B$5)),
IF($D22="Pénétro.",
IF(OR($E22=4,$E22=1,$E22=5),(PI()*AE$12^2)/4*(AA22*$W22*1000)/($H22*$B$5),(PI()*AE$12^2)/4*(AA22*$W22*1000)/($G22*$B$5)))),
IF($D22="Pressio.",
IF($E22=3,(PI()*AE$12^2)/4*(AA22*$W22*1000)/($H22*$B$5),(PI()*AE$12^2)/4*(AA22*$W22*1000)/($G22*$B$5)),
IF($D22="Pénétro.",
IF($E22=4,(PI()*AE$12^2)/4*(AA22*$W22*1000)/($H22*$B$5),(PI()*AE$12^2)/4*(AA22*$W22*1000)/($G22*$B$5))))))/10</f>
        <v>#N/A</v>
      </c>
      <c r="AF22" s="102" t="e">
        <f>(VLOOKUP($B$3,'Coeff EC7'!$T$39:$X$59,2,0)*AD22+VLOOKUP($B$3,'Coeff EC7'!$T$65:$X$85,2,0)*Model0.1C!AE22)/1.1</f>
        <v>#N/A</v>
      </c>
      <c r="AG22" s="102" t="e">
        <f>(VLOOKUP($B$3,'Coeff EC7'!$T$39:$X$59,3,0)*AD22+VLOOKUP($B$3,'Coeff EC7'!$T$65:$X$85,3,0)*Model0.1C!AE22)/0.9</f>
        <v>#N/A</v>
      </c>
      <c r="AH22" s="102" t="e">
        <f t="shared" si="18"/>
        <v>#N/A</v>
      </c>
      <c r="AI22" s="102" t="e">
        <f t="shared" si="19"/>
        <v>#N/A</v>
      </c>
      <c r="AJ22" s="414" t="e">
        <f>IF(AJ21=0,0,IF(AND(AF22&gt;charge_ELS_quasi,AG22&gt;Charge_ELS_freq,AH22&gt;charge_ELU,AI22&gt;charge_ELA,$B22&gt;NDC!$H$22-0.1+MIN(3*$AJ$12,1.5)),0,1))</f>
        <v>#N/A</v>
      </c>
      <c r="AK22" s="86" t="b">
        <f t="shared" si="20"/>
        <v>0</v>
      </c>
      <c r="AL22" s="86">
        <f t="shared" si="70"/>
        <v>0.5</v>
      </c>
      <c r="AM22" s="86">
        <f t="shared" si="21"/>
        <v>0.5</v>
      </c>
      <c r="AN22" s="30" t="e">
        <f t="shared" ca="1" si="71"/>
        <v>#DIV/0!</v>
      </c>
      <c r="AO22" s="85" t="e">
        <f ca="1">IF(U22&lt;=Hypothèses!$V$7,Hypothèses!$W$7,IF(U22&lt;=Hypothèses!$V$8,Hypothèses!$W$8,IF(U22&lt;=Hypothèses!$V$9,Hypothèses!$W$9,IF(U22&lt;=Hypothèses!$V$10,Hypothèses!$W$10,IF(U22&lt;=Hypothèses!$V$11,Hypothèses!$W$11,IF(U22&lt;=Hypothèses!$V$12,Hypothèses!$W$12,IF(U22&lt;=Hypothèses!$V$13,Hypothèses!$W$13,IF(U22&lt;=Hypothèses!$V$14,Hypothèses!$W$14,IF(U22&lt;=Hypothèses!$V$15,Hypothèses!$W$15,IF(U22&lt;=Hypothèses!$V$16,Hypothèses!$W$16,IF(U22&lt;=Hypothèses!$V$17,Hypothèses!$W$17,IF(U22&lt;=Hypothèses!$V$18,Hypothèses!$W$18,""))))))))))))</f>
        <v>#DIV/0!</v>
      </c>
      <c r="AP22" s="87" t="e">
        <f t="shared" ca="1" si="117"/>
        <v>#DIV/0!</v>
      </c>
      <c r="AQ22" s="88" t="e">
        <f ca="1">IF(U22&lt;=Hypothèses!$V$7,Hypothèses!$X$7,IF(U22&lt;=Hypothèses!$V$8,Hypothèses!$X$8,IF(U22&lt;=Hypothèses!$V$9,Hypothèses!$X$9,IF(U22&lt;=Hypothèses!$V$10,Hypothèses!$X$10,IF(U22&lt;=Hypothèses!$V$11,Hypothèses!$X$11,IF(U22&lt;=Hypothèses!$V$12,Hypothèses!$X$12,IF(U22&lt;=Hypothèses!$V$13,Hypothèses!$X$13,IF(U22&lt;=Hypothèses!$V$14,Hypothèses!$X$14,IF(U22&lt;=Hypothèses!$V$15,Hypothèses!$X$15,IF(U22&lt;=Hypothèses!$V$16,Hypothèses!$X$16,IF(U22&lt;=Hypothèses!$U$17,Hypothèses!$W$17,IF(U22&lt;=Hypothèses!$U$18,Hypothèses!$W$18,""))))))))))))</f>
        <v>#DIV/0!</v>
      </c>
      <c r="AR22" s="95" t="e">
        <f t="shared" ca="1" si="72"/>
        <v>#DIV/0!</v>
      </c>
      <c r="AS22" s="101" t="e">
        <f t="shared" si="124"/>
        <v>#N/A</v>
      </c>
      <c r="AT22" s="91" t="e">
        <f t="shared" si="23"/>
        <v>#N/A</v>
      </c>
      <c r="AU22" s="30" t="e">
        <f t="shared" si="102"/>
        <v>#N/A</v>
      </c>
      <c r="AV22" s="30" t="e">
        <f t="shared" si="103"/>
        <v>#N/A</v>
      </c>
      <c r="AW22" s="31" t="e">
        <f>IF(OR(Hypothèses!$B$4=17,Hypothèses!$B$4=18,Hypothèses!$B$4=19,Hypothèses!$B$4=20),
IF($D22="Pressio.",
IF(OR($E22=3,$E22=1,$E22=4),AV22,AU22),
IF($D22="Pénétro.",
IF(OR($E22=3,$E22=1,$E22=4),AV22,AU22))),IF($D22="Pressio.",
IF($E22=3,AV22,AU22),
IF($D22="Pénétro.",
IF($E22=4,AV22,AU22))))</f>
        <v>#N/A</v>
      </c>
      <c r="AX22" s="31" t="e">
        <f>(IF(OR(Hypothèses!$B$4=17,Hypothèses!$B$4=18,Hypothèses!$B$4=19,Hypothèses!$B$4=20),
IF($D22="Pressio.",
IF(OR($E22=3,$E22=1,$E22=4),(PI()*AX$12^2)/4*(AT22*$W22*1000)/($H22*$B$5),(PI()*AX$12^2)/4*(AT22*$W22*1000)/($G22*$B$5)),
IF($D22="Pénétro.",
IF(OR($E22=4,$E22=1,$E22=5),(PI()*AX$12^2)/4*(AT22*$W22*1000)/($H22*$B$5),(PI()*AX$12^2)/4*(AT22*$W22*1000)/($G22*$B$5)))),
IF($D22="Pressio.",
IF($E22=3,(PI()*AX$12^2)/4*(AT22*$W22*1000)/($H22*$B$5),(PI()*AX$12^2)/4*(AT22*$W22*1000)/($G22*$B$5)),
IF($D22="Pénétro.",
IF($E22=4,(PI()*AX$12^2)/4*(AT22*$W22*1000)/($H22*$B$5),(PI()*AX$12^2)/4*(AT22*$W22*1000)/($G22*$B$5))))))/10</f>
        <v>#N/A</v>
      </c>
      <c r="AY22" s="102" t="e">
        <f>(VLOOKUP($B$3,'Coeff EC7'!$T$39:$X$59,2,0)*AW22+VLOOKUP($B$3,'Coeff EC7'!$T$65:$X$85,2,0)*Model0.1C!AX22)/1.1</f>
        <v>#N/A</v>
      </c>
      <c r="AZ22" s="102" t="e">
        <f>(VLOOKUP($B$3,'Coeff EC7'!$T$39:$X$59,3,0)*AW22+VLOOKUP($B$3,'Coeff EC7'!$T$65:$X$85,3,0)*Model0.1C!AX22)/0.9</f>
        <v>#N/A</v>
      </c>
      <c r="BA22" s="102" t="e">
        <f t="shared" si="73"/>
        <v>#N/A</v>
      </c>
      <c r="BB22" s="102" t="e">
        <f t="shared" si="74"/>
        <v>#N/A</v>
      </c>
      <c r="BC22" s="414" t="e">
        <f>IF(BC21=0,0,IF(AND(AY22&gt;charge_ELS_quasi,AZ22&gt;Charge_ELS_freq,BA22&gt;charge_ELU,BB22&gt;charge_ELA,$B22&gt;NDC!$H$22-0.1+MIN(3*$BC$12,1.5)),0,1))</f>
        <v>#N/A</v>
      </c>
      <c r="BD22" s="86" t="b">
        <f t="shared" si="26"/>
        <v>0</v>
      </c>
      <c r="BE22" s="86">
        <f t="shared" si="75"/>
        <v>0.5</v>
      </c>
      <c r="BF22" s="86">
        <f t="shared" si="27"/>
        <v>0.5</v>
      </c>
      <c r="BG22" s="30" t="e">
        <f t="shared" ca="1" si="76"/>
        <v>#DIV/0!</v>
      </c>
      <c r="BH22" s="85" t="e">
        <f ca="1">IF(AN22&lt;=Hypothèses!$V$7,Hypothèses!$W$7,IF(AN22&lt;=Hypothèses!$V$8,Hypothèses!$W$8,IF(AN22&lt;=Hypothèses!$V$9,Hypothèses!$W$9,IF(AN22&lt;=Hypothèses!$V$10,Hypothèses!$W$10,IF(AN22&lt;=Hypothèses!$V$11,Hypothèses!$W$11,IF(AN22&lt;=Hypothèses!$V$12,Hypothèses!$W$12,IF(AN22&lt;=Hypothèses!$V$13,Hypothèses!$W$13,IF(AN22&lt;=Hypothèses!$V$14,Hypothèses!$W$14,IF(AN22&lt;=Hypothèses!$V$15,Hypothèses!$W$15,IF(AN22&lt;=Hypothèses!$V$16,Hypothèses!$W$16,IF(AN22&lt;=Hypothèses!$V$17,Hypothèses!$W$17,IF(AN22&lt;=Hypothèses!$V$18,Hypothèses!$W$18,""))))))))))))</f>
        <v>#DIV/0!</v>
      </c>
      <c r="BI22" s="87" t="e">
        <f t="shared" ca="1" si="118"/>
        <v>#DIV/0!</v>
      </c>
      <c r="BJ22" s="88" t="e">
        <f ca="1">IF(AN22&lt;=Hypothèses!$V$7,Hypothèses!$X$7,IF(AN22&lt;=Hypothèses!$V$8,Hypothèses!$X$8,IF(AN22&lt;=Hypothèses!$V$9,Hypothèses!$X$9,IF(AN22&lt;=Hypothèses!$V$10,Hypothèses!$X$10,IF(AN22&lt;=Hypothèses!$V$11,Hypothèses!$X$11,IF(AN22&lt;=Hypothèses!$V$12,Hypothèses!$X$12,IF(AN22&lt;=Hypothèses!$V$13,Hypothèses!$X$13,IF(AN22&lt;=Hypothèses!$V$14,Hypothèses!$X$14,IF(AN22&lt;=Hypothèses!$V$15,Hypothèses!$X$15,IF(AN22&lt;=Hypothèses!$V$16,Hypothèses!$X$16,IF(AN22&lt;=Hypothèses!$U$17,Hypothèses!$W$17,IF(AN22&lt;=Hypothèses!$U$18,Hypothèses!$W$18,""))))))))))))</f>
        <v>#DIV/0!</v>
      </c>
      <c r="BK22" s="95" t="e">
        <f t="shared" ca="1" si="77"/>
        <v>#DIV/0!</v>
      </c>
      <c r="BL22" s="101" t="e">
        <f t="shared" si="125"/>
        <v>#N/A</v>
      </c>
      <c r="BM22" s="91" t="e">
        <f t="shared" si="29"/>
        <v>#N/A</v>
      </c>
      <c r="BN22" s="30" t="e">
        <f t="shared" si="104"/>
        <v>#N/A</v>
      </c>
      <c r="BO22" s="30" t="e">
        <f t="shared" si="105"/>
        <v>#N/A</v>
      </c>
      <c r="BP22" s="31" t="e">
        <f>IF(OR(Hypothèses!$B$4=17,Hypothèses!$B$4=18,Hypothèses!$B$4=19,Hypothèses!$B$4=20),
IF($D22="Pressio.",
IF(OR($E22=3,$E22=1,$E22=4),BO22,BN22),
IF($D22="Pénétro.",
IF(OR($E22=3,$E22=1,$E22=4),BO22,BN22))),IF($D22="Pressio.",
IF($E22=3,BO22,BN22),
IF($D22="Pénétro.",
IF($E22=4,BO22,BN22))))</f>
        <v>#N/A</v>
      </c>
      <c r="BQ22" s="31" t="e">
        <f>(IF(OR(Hypothèses!$B$4=17,Hypothèses!$B$4=18,Hypothèses!$B$4=19,Hypothèses!$B$4=20),
IF($D22="Pressio.",
IF(OR($E22=3,$E22=1,$E22=4),(PI()*BQ$12^2)/4*(BM22*$W22*1000)/($H22*$B$5),(PI()*BQ$12^2)/4*(BM22*$W22*1000)/($G22*$B$5)),
IF($D22="Pénétro.",
IF(OR($E22=4,$E22=1,$E22=5),(PI()*BQ$12^2)/4*(BM22*$W22*1000)/($H22*$B$5),(PI()*BQ$12^2)/4*(BM22*$W22*1000)/($G22*$B$5)))),
IF($D22="Pressio.",
IF($E22=3,(PI()*BQ$12^2)/4*(BM22*$W22*1000)/($H22*$B$5),(PI()*BQ$12^2)/4*(BM22*$W22*1000)/($G22*$B$5)),
IF($D22="Pénétro.",
IF($E22=4,(PI()*BQ$12^2)/4*(BM22*$W22*1000)/($H22*$B$5),(PI()*BQ$12^2)/4*(BM22*$W22*1000)/($G22*$B$5))))))/10</f>
        <v>#N/A</v>
      </c>
      <c r="BR22" s="102" t="e">
        <f>(VLOOKUP($B$3,'Coeff EC7'!$T$39:$X$59,2,0)*BP22+VLOOKUP($B$3,'Coeff EC7'!$T$65:$X$85,2,0)*Model0.1C!BQ22)/1.1</f>
        <v>#N/A</v>
      </c>
      <c r="BS22" s="102" t="e">
        <f>(VLOOKUP($B$3,'Coeff EC7'!$T$39:$X$59,3,0)*BP22+VLOOKUP($B$3,'Coeff EC7'!$T$65:$X$85,3,0)*Model0.1C!BQ22)/0.9</f>
        <v>#N/A</v>
      </c>
      <c r="BT22" s="102" t="e">
        <f t="shared" si="78"/>
        <v>#N/A</v>
      </c>
      <c r="BU22" s="102" t="e">
        <f t="shared" si="79"/>
        <v>#N/A</v>
      </c>
      <c r="BV22" s="414" t="e">
        <f>IF(BV21=0,0,IF(AND(BR22&gt;charge_ELS_quasi,BS22&gt;Charge_ELS_freq,BT22&gt;charge_ELU,BU22&gt;charge_ELA,$B22&gt;NDC!$H$22-0.1+MIN(3*$BV$12,1.5)),0,1))</f>
        <v>#N/A</v>
      </c>
      <c r="BW22" s="86" t="b">
        <f t="shared" si="32"/>
        <v>0</v>
      </c>
      <c r="BX22" s="86">
        <f t="shared" si="33"/>
        <v>0.5</v>
      </c>
      <c r="BY22" s="86">
        <f t="shared" si="34"/>
        <v>0.5</v>
      </c>
      <c r="BZ22" s="30" t="e">
        <f t="shared" ca="1" si="80"/>
        <v>#DIV/0!</v>
      </c>
      <c r="CA22" s="85" t="e">
        <f ca="1">IF(BG22&lt;=Hypothèses!$V$7,Hypothèses!$W$7,IF(BG22&lt;=Hypothèses!$V$8,Hypothèses!$W$8,IF(BG22&lt;=Hypothèses!$V$9,Hypothèses!$W$9,IF(BG22&lt;=Hypothèses!$V$10,Hypothèses!$W$10,IF(BG22&lt;=Hypothèses!$V$11,Hypothèses!$W$11,IF(BG22&lt;=Hypothèses!$V$12,Hypothèses!$W$12,IF(BG22&lt;=Hypothèses!$V$13,Hypothèses!$W$13,IF(BG22&lt;=Hypothèses!$V$14,Hypothèses!$W$14,IF(BG22&lt;=Hypothèses!$V$15,Hypothèses!$W$15,IF(BG22&lt;=Hypothèses!$V$16,Hypothèses!$W$16,IF(BG22&lt;=Hypothèses!$V$17,Hypothèses!$W$17,IF(BG22&lt;=Hypothèses!$V$18,Hypothèses!$W$18,""))))))))))))</f>
        <v>#DIV/0!</v>
      </c>
      <c r="CB22" s="87" t="e">
        <f t="shared" ca="1" si="119"/>
        <v>#DIV/0!</v>
      </c>
      <c r="CC22" s="88" t="e">
        <f ca="1">IF(BG22&lt;=Hypothèses!$V$7,Hypothèses!$X$7,IF(BG22&lt;=Hypothèses!$V$8,Hypothèses!$X$8,IF(BG22&lt;=Hypothèses!$V$9,Hypothèses!$X$9,IF(BG22&lt;=Hypothèses!$V$10,Hypothèses!$X$10,IF(BG22&lt;=Hypothèses!$V$11,Hypothèses!$X$11,IF(BG22&lt;=Hypothèses!$V$12,Hypothèses!$X$12,IF(BG22&lt;=Hypothèses!$V$13,Hypothèses!$X$13,IF(BG22&lt;=Hypothèses!$V$14,Hypothèses!$X$14,IF(BG22&lt;=Hypothèses!$V$15,Hypothèses!$X$15,IF(BG22&lt;=Hypothèses!$V$16,Hypothèses!$X$16,IF(BG22&lt;=Hypothèses!$U$17,Hypothèses!$W$17,IF(BG22&lt;=Hypothèses!$U$18,Hypothèses!$W$18,""))))))))))))</f>
        <v>#DIV/0!</v>
      </c>
      <c r="CD22" s="95" t="e">
        <f t="shared" ca="1" si="81"/>
        <v>#DIV/0!</v>
      </c>
      <c r="CE22" s="101" t="e">
        <f t="shared" si="126"/>
        <v>#N/A</v>
      </c>
      <c r="CF22" s="91" t="e">
        <f t="shared" si="36"/>
        <v>#N/A</v>
      </c>
      <c r="CG22" s="30" t="e">
        <f t="shared" si="106"/>
        <v>#N/A</v>
      </c>
      <c r="CH22" s="30" t="e">
        <f t="shared" si="107"/>
        <v>#N/A</v>
      </c>
      <c r="CI22" s="31" t="e">
        <f>IF(OR(Hypothèses!$B$4=17,Hypothèses!$B$4=18,Hypothèses!$B$4=19,Hypothèses!$B$4=20),
IF($D22="Pressio.",
IF(OR($E22=3,$E22=1,$E22=4),CH22,CG22),
IF($D22="Pénétro.",
IF(OR($E22=3,$E22=1,$E22=4),CH22,CG22))),IF($D22="Pressio.",
IF($E22=3,CH22,CG22),
IF($D22="Pénétro.",
IF($E22=4,CH22,CG22))))</f>
        <v>#N/A</v>
      </c>
      <c r="CJ22" s="31" t="e">
        <f>(IF(OR(Hypothèses!$B$4=17,Hypothèses!$B$4=18,Hypothèses!$B$4=19,Hypothèses!$B$4=20),
IF($D22="Pressio.",
IF(OR($E22=3,$E22=1,$E22=4),(PI()*CJ$12^2)/4*(CF22*$W22*1000)/($H22*$B$5),(PI()*CJ$12^2)/4*(CF22*$W22*1000)/($G22*$B$5)),
IF($D22="Pénétro.",
IF(OR($E22=4,$E22=1,$E22=5),(PI()*CJ$12^2)/4*(CF22*$W22*1000)/($H22*$B$5),(PI()*CJ$12^2)/4*(CF22*$W22*1000)/($G22*$B$5)))),
IF($D22="Pressio.",
IF($E22=3,(PI()*CJ$12^2)/4*(CF22*$W22*1000)/($H22*$B$5),(PI()*CJ$12^2)/4*(CF22*$W22*1000)/($G22*$B$5)),
IF($D22="Pénétro.",
IF($E22=4,(PI()*CJ$12^2)/4*(CF22*$W22*1000)/($H22*$B$5),(PI()*CJ$12^2)/4*(CF22*$W22*1000)/($G22*$B$5))))))/10</f>
        <v>#N/A</v>
      </c>
      <c r="CK22" s="102" t="e">
        <f>(VLOOKUP($B$3,'Coeff EC7'!$T$39:$X$59,2,0)*CI22+VLOOKUP($B$3,'Coeff EC7'!$T$65:$X$85,2,0)*Model0.1C!CJ22)/1.1</f>
        <v>#N/A</v>
      </c>
      <c r="CL22" s="102" t="e">
        <f>(VLOOKUP($B$3,'Coeff EC7'!$T$39:$X$59,3,0)*CI22+VLOOKUP($B$3,'Coeff EC7'!$T$65:$X$85,3,0)*Model0.1C!CJ22)/0.9</f>
        <v>#N/A</v>
      </c>
      <c r="CM22" s="102" t="e">
        <f t="shared" si="82"/>
        <v>#N/A</v>
      </c>
      <c r="CN22" s="102" t="e">
        <f t="shared" si="83"/>
        <v>#N/A</v>
      </c>
      <c r="CO22" s="414" t="e">
        <f>IF(CO21=0,0,IF(AND(CK22&gt;charge_ELS_quasi,CL22&gt;Charge_ELS_freq,CM22&gt;charge_ELU,CN22&gt;charge_ELA,$B22&gt;NDC!$H$22-0.1+MIN(3*$CO$12,1.5)),0,1))</f>
        <v>#N/A</v>
      </c>
      <c r="CP22" s="86" t="b">
        <f t="shared" si="39"/>
        <v>0</v>
      </c>
      <c r="CQ22" s="86">
        <f t="shared" si="40"/>
        <v>0.5</v>
      </c>
      <c r="CR22" s="86">
        <f t="shared" si="41"/>
        <v>0.5</v>
      </c>
      <c r="CS22" s="30" t="e">
        <f t="shared" ca="1" si="84"/>
        <v>#DIV/0!</v>
      </c>
      <c r="CT22" s="85" t="e">
        <f ca="1">IF(BZ22&lt;=Hypothèses!$V$7,Hypothèses!$W$7,IF(BZ22&lt;=Hypothèses!$V$8,Hypothèses!$W$8,IF(BZ22&lt;=Hypothèses!$V$9,Hypothèses!$W$9,IF(BZ22&lt;=Hypothèses!$V$10,Hypothèses!$W$10,IF(BZ22&lt;=Hypothèses!$V$11,Hypothèses!$W$11,IF(BZ22&lt;=Hypothèses!$V$12,Hypothèses!$W$12,IF(BZ22&lt;=Hypothèses!$V$13,Hypothèses!$W$13,IF(BZ22&lt;=Hypothèses!$V$14,Hypothèses!$W$14,IF(BZ22&lt;=Hypothèses!$V$15,Hypothèses!$W$15,IF(BZ22&lt;=Hypothèses!$V$16,Hypothèses!$W$16,IF(BZ22&lt;=Hypothèses!$V$17,Hypothèses!$W$17,IF(BZ22&lt;=Hypothèses!$V$18,Hypothèses!$W$18,""))))))))))))</f>
        <v>#DIV/0!</v>
      </c>
      <c r="CU22" s="87" t="e">
        <f t="shared" ca="1" si="120"/>
        <v>#DIV/0!</v>
      </c>
      <c r="CV22" s="88" t="e">
        <f ca="1">IF(BZ22&lt;=Hypothèses!$V$7,Hypothèses!$X$7,IF(BZ22&lt;=Hypothèses!$V$8,Hypothèses!$X$8,IF(BZ22&lt;=Hypothèses!$V$9,Hypothèses!$X$9,IF(BZ22&lt;=Hypothèses!$V$10,Hypothèses!$X$10,IF(BZ22&lt;=Hypothèses!$V$11,Hypothèses!$X$11,IF(BZ22&lt;=Hypothèses!$V$12,Hypothèses!$X$12,IF(BZ22&lt;=Hypothèses!$V$13,Hypothèses!$X$13,IF(BZ22&lt;=Hypothèses!$V$14,Hypothèses!$X$14,IF(BZ22&lt;=Hypothèses!$V$15,Hypothèses!$X$15,IF(BZ22&lt;=Hypothèses!$V$16,Hypothèses!$X$16,IF(BZ22&lt;=Hypothèses!$U$17,Hypothèses!$W$17,IF(BZ22&lt;=Hypothèses!$U$18,Hypothèses!$W$18,""))))))))))))</f>
        <v>#DIV/0!</v>
      </c>
      <c r="CW22" s="95" t="e">
        <f t="shared" ca="1" si="85"/>
        <v>#DIV/0!</v>
      </c>
      <c r="CX22" s="101" t="e">
        <f t="shared" si="127"/>
        <v>#N/A</v>
      </c>
      <c r="CY22" s="91" t="e">
        <f t="shared" si="43"/>
        <v>#N/A</v>
      </c>
      <c r="CZ22" s="30" t="e">
        <f t="shared" si="108"/>
        <v>#N/A</v>
      </c>
      <c r="DA22" s="30" t="e">
        <f t="shared" si="109"/>
        <v>#N/A</v>
      </c>
      <c r="DB22" s="31" t="e">
        <f>IF(OR(Hypothèses!$B$4=17,Hypothèses!$B$4=18,Hypothèses!$B$4=19,Hypothèses!$B$4=20),
IF($D22="Pressio.",
IF(OR($E22=3,$E22=1,$E22=4),DA22,CZ22),
IF($D22="Pénétro.",
IF(OR($E22=3,$E22=1,$E22=4),DA22,CZ22))),IF($D22="Pressio.",
IF($E22=3,DA22,CZ22),
IF($D22="Pénétro.",
IF($E22=4,DA22,CZ22))))</f>
        <v>#N/A</v>
      </c>
      <c r="DC22" s="31" t="e">
        <f>(IF(OR(Hypothèses!$B$4=17,Hypothèses!$B$4=18,Hypothèses!$B$4=19,Hypothèses!$B$4=20),
IF($D22="Pressio.",
IF(OR($E22=3,$E22=1,$E22=4),(PI()*DC$12^2)/4*(CY22*$W22*1000)/($H22*$B$5),(PI()*DC$12^2)/4*(CY22*$W22*1000)/($G22*$B$5)),
IF($D22="Pénétro.",
IF(OR($E22=4,$E22=1,$E22=5),(PI()*DC$12^2)/4*(CY22*$W22*1000)/($H22*$B$5),(PI()*DC$12^2)/4*(CY22*$W22*1000)/($G22*$B$5)))),
IF($D22="Pressio.",
IF($E22=3,(PI()*DC$12^2)/4*(CY22*$W22*1000)/($H22*$B$5),(PI()*DC$12^2)/4*(CY22*$W22*1000)/($G22*$B$5)),
IF($D22="Pénétro.",
IF($E22=4,(PI()*DC$12^2)/4*(CY22*$W22*1000)/($H22*$B$5),(PI()*DC$12^2)/4*(CY22*$W22*1000)/($G22*$B$5))))))/10</f>
        <v>#N/A</v>
      </c>
      <c r="DD22" s="102" t="e">
        <f>(VLOOKUP($B$3,'Coeff EC7'!$T$39:$X$59,2,0)*DB22+VLOOKUP($B$3,'Coeff EC7'!$T$65:$X$85,2,0)*Model0.1C!DC22)/1.1</f>
        <v>#N/A</v>
      </c>
      <c r="DE22" s="102" t="e">
        <f>(VLOOKUP($B$3,'Coeff EC7'!$T$39:$X$59,3,0)*DB22+VLOOKUP($B$3,'Coeff EC7'!$T$65:$X$85,3,0)*Model0.1C!DC22)/0.9</f>
        <v>#N/A</v>
      </c>
      <c r="DF22" s="102" t="e">
        <f t="shared" si="86"/>
        <v>#N/A</v>
      </c>
      <c r="DG22" s="102" t="e">
        <f t="shared" si="87"/>
        <v>#N/A</v>
      </c>
      <c r="DH22" s="414" t="e">
        <f>IF(DH21=0,0,IF(AND(DD22&gt;charge_ELS_quasi,DE22&gt;Charge_ELS_freq,DF22&gt;charge_ELU,DG22&gt;charge_ELA,$B22&gt;NDC!$H$22-0.1+MIN(3*$DH$12,1.5)),0,1))</f>
        <v>#N/A</v>
      </c>
      <c r="DI22" s="86" t="b">
        <f t="shared" si="46"/>
        <v>0</v>
      </c>
      <c r="DJ22" s="86">
        <f t="shared" si="47"/>
        <v>0.5</v>
      </c>
      <c r="DK22" s="86">
        <f t="shared" si="48"/>
        <v>0.5</v>
      </c>
      <c r="DL22" s="30" t="e">
        <f t="shared" ca="1" si="88"/>
        <v>#DIV/0!</v>
      </c>
      <c r="DM22" s="85" t="e">
        <f ca="1">IF(CS22&lt;=Hypothèses!$V$7,Hypothèses!$W$7,IF(CS22&lt;=Hypothèses!$V$8,Hypothèses!$W$8,IF(CS22&lt;=Hypothèses!$V$9,Hypothèses!$W$9,IF(CS22&lt;=Hypothèses!$V$10,Hypothèses!$W$10,IF(CS22&lt;=Hypothèses!$V$11,Hypothèses!$W$11,IF(CS22&lt;=Hypothèses!$V$12,Hypothèses!$W$12,IF(CS22&lt;=Hypothèses!$V$13,Hypothèses!$W$13,IF(CS22&lt;=Hypothèses!$V$14,Hypothèses!$W$14,IF(CS22&lt;=Hypothèses!$V$15,Hypothèses!$W$15,IF(CS22&lt;=Hypothèses!$V$16,Hypothèses!$W$16,IF(CS22&lt;=Hypothèses!$V$17,Hypothèses!$W$17,IF(CS22&lt;=Hypothèses!$V$18,Hypothèses!$W$18,""))))))))))))</f>
        <v>#DIV/0!</v>
      </c>
      <c r="DN22" s="87" t="e">
        <f t="shared" ca="1" si="121"/>
        <v>#DIV/0!</v>
      </c>
      <c r="DO22" s="88" t="e">
        <f ca="1">IF(CS22&lt;=Hypothèses!$V$7,Hypothèses!$X$7,IF(CS22&lt;=Hypothèses!$V$8,Hypothèses!$X$8,IF(CS22&lt;=Hypothèses!$V$9,Hypothèses!$X$9,IF(CS22&lt;=Hypothèses!$V$10,Hypothèses!$X$10,IF(CS22&lt;=Hypothèses!$V$11,Hypothèses!$X$11,IF(CS22&lt;=Hypothèses!$V$12,Hypothèses!$X$12,IF(CS22&lt;=Hypothèses!$V$13,Hypothèses!$X$13,IF(CS22&lt;=Hypothèses!$V$14,Hypothèses!$X$14,IF(CS22&lt;=Hypothèses!$V$15,Hypothèses!$X$15,IF(CS22&lt;=Hypothèses!$V$16,Hypothèses!$X$16,IF(CS22&lt;=Hypothèses!$U$17,Hypothèses!$W$17,IF(CS22&lt;=Hypothèses!$U$18,Hypothèses!$W$18,""))))))))))))</f>
        <v>#DIV/0!</v>
      </c>
      <c r="DP22" s="95" t="e">
        <f t="shared" ca="1" si="89"/>
        <v>#DIV/0!</v>
      </c>
      <c r="DQ22" s="101" t="e">
        <f t="shared" si="128"/>
        <v>#N/A</v>
      </c>
      <c r="DR22" s="91" t="e">
        <f t="shared" si="50"/>
        <v>#N/A</v>
      </c>
      <c r="DS22" s="30" t="e">
        <f t="shared" si="110"/>
        <v>#N/A</v>
      </c>
      <c r="DT22" s="30" t="e">
        <f t="shared" si="111"/>
        <v>#N/A</v>
      </c>
      <c r="DU22" s="31" t="e">
        <f>IF(OR(Hypothèses!$B$4=17,Hypothèses!$B$4=18,Hypothèses!$B$4=19,Hypothèses!$B$4=20),
IF($D22="Pressio.",
IF(OR($E22=3,$E22=1,$E22=4),DT22,DS22),
IF($D22="Pénétro.",
IF(OR($E22=3,$E22=1,$E22=4),DT22,DS22))),IF($D22="Pressio.",
IF($E22=3,DT22,DS22),
IF($D22="Pénétro.",
IF($E22=4,DT22,DS22))))</f>
        <v>#N/A</v>
      </c>
      <c r="DV22" s="31" t="e">
        <f>(IF(OR(Hypothèses!$B$4=17,Hypothèses!$B$4=18,Hypothèses!$B$4=19,Hypothèses!$B$4=20),
IF($D22="Pressio.",
IF(OR($E22=3,$E22=1,$E22=4),(PI()*DV$12^2)/4*(DR22*$W22*1000)/($H22*$B$5),(PI()*DV$12^2)/4*(DR22*$W22*1000)/($G22*$B$5)),
IF($D22="Pénétro.",
IF(OR($E22=4,$E22=1,$E22=5),(PI()*DV$12^2)/4*(DR22*$W22*1000)/($H22*$B$5),(PI()*DV$12^2)/4*(DR22*$W22*1000)/($G22*$B$5)))),
IF($D22="Pressio.",
IF($E22=3,(PI()*DV$12^2)/4*(DR22*$W22*1000)/($H22*$B$5),(PI()*DV$12^2)/4*(DR22*$W22*1000)/($G22*$B$5)),
IF($D22="Pénétro.",
IF($E22=4,(PI()*DV$12^2)/4*(DR22*$W22*1000)/($H22*$B$5),(PI()*DV$12^2)/4*(DR22*$W22*1000)/($G22*$B$5))))))/10</f>
        <v>#N/A</v>
      </c>
      <c r="DW22" s="102" t="e">
        <f>(VLOOKUP($B$3,'Coeff EC7'!$T$39:$X$59,2,0)*DU22+VLOOKUP($B$3,'Coeff EC7'!$T$65:$X$85,2,0)*Model0.1C!DV22)/1.1</f>
        <v>#N/A</v>
      </c>
      <c r="DX22" s="102" t="e">
        <f>(VLOOKUP($B$3,'Coeff EC7'!$T$39:$X$59,3,0)*DU22+VLOOKUP($B$3,'Coeff EC7'!$T$65:$X$85,3,0)*Model0.1C!DV22)/0.9</f>
        <v>#N/A</v>
      </c>
      <c r="DY22" s="102" t="e">
        <f t="shared" si="90"/>
        <v>#N/A</v>
      </c>
      <c r="DZ22" s="102" t="e">
        <f t="shared" si="91"/>
        <v>#N/A</v>
      </c>
      <c r="EA22" s="414" t="e">
        <f>IF(EA21=0,0,IF(AND(DW22&gt;charge_ELS_quasi,DX22&gt;Charge_ELS_freq,DY22&gt;charge_ELU,DZ22&gt;charge_ELA,$B22&gt;NDC!$H$22-0.1+MIN(3*$EA$12,1.5)),0,1))</f>
        <v>#N/A</v>
      </c>
      <c r="EB22" s="86" t="b">
        <f t="shared" si="53"/>
        <v>0</v>
      </c>
      <c r="EC22" s="418">
        <f t="shared" si="54"/>
        <v>0.51</v>
      </c>
      <c r="ED22" s="86">
        <f t="shared" si="55"/>
        <v>0.51</v>
      </c>
      <c r="EE22" s="30" t="e">
        <f t="shared" ca="1" si="92"/>
        <v>#DIV/0!</v>
      </c>
      <c r="EF22" s="85" t="e">
        <f ca="1">IF(DL22&lt;=Hypothèses!$V$7,Hypothèses!$W$7,IF(DL22&lt;=Hypothèses!$V$8,Hypothèses!$W$8,IF(DL22&lt;=Hypothèses!$V$9,Hypothèses!$W$9,IF(DL22&lt;=Hypothèses!$V$10,Hypothèses!$W$10,IF(DL22&lt;=Hypothèses!$V$11,Hypothèses!$W$11,IF(DL22&lt;=Hypothèses!$V$12,Hypothèses!$W$12,IF(DL22&lt;=Hypothèses!$V$13,Hypothèses!$W$13,IF(DL22&lt;=Hypothèses!$V$14,Hypothèses!$W$14,IF(DL22&lt;=Hypothèses!$V$15,Hypothèses!$W$15,IF(DL22&lt;=Hypothèses!$V$16,Hypothèses!$W$16,IF(DL22&lt;=Hypothèses!$V$17,Hypothèses!$W$17,IF(DL22&lt;=Hypothèses!$V$18,Hypothèses!$W$18,""))))))))))))</f>
        <v>#DIV/0!</v>
      </c>
      <c r="EG22" s="87" t="e">
        <f t="shared" ca="1" si="122"/>
        <v>#DIV/0!</v>
      </c>
      <c r="EH22" s="88" t="e">
        <f ca="1">IF(DL22&lt;=Hypothèses!$V$7,Hypothèses!$X$7,IF(DL22&lt;=Hypothèses!$V$8,Hypothèses!$X$8,IF(DL22&lt;=Hypothèses!$V$9,Hypothèses!$X$9,IF(DL22&lt;=Hypothèses!$V$10,Hypothèses!$X$10,IF(DL22&lt;=Hypothèses!$V$11,Hypothèses!$X$11,IF(DL22&lt;=Hypothèses!$V$12,Hypothèses!$X$12,IF(DL22&lt;=Hypothèses!$V$13,Hypothèses!$X$13,IF(DL22&lt;=Hypothèses!$V$14,Hypothèses!$X$14,IF(DL22&lt;=Hypothèses!$V$15,Hypothèses!$X$15,IF(DL22&lt;=Hypothèses!$V$16,Hypothèses!$X$16,IF(DL22&lt;=Hypothèses!$U$17,Hypothèses!$W$17,IF(DL22&lt;=Hypothèses!$U$18,Hypothèses!$W$18,""))))))))))))</f>
        <v>#DIV/0!</v>
      </c>
      <c r="EI22" s="95" t="e">
        <f t="shared" ca="1" si="93"/>
        <v>#DIV/0!</v>
      </c>
      <c r="EJ22" s="101" t="e">
        <f t="shared" si="129"/>
        <v>#N/A</v>
      </c>
      <c r="EK22" s="91" t="e">
        <f t="shared" si="57"/>
        <v>#N/A</v>
      </c>
      <c r="EL22" s="30" t="e">
        <f t="shared" si="112"/>
        <v>#N/A</v>
      </c>
      <c r="EM22" s="30" t="e">
        <f t="shared" si="113"/>
        <v>#N/A</v>
      </c>
      <c r="EN22" s="31" t="e">
        <f>IF(OR(Hypothèses!$B$4=17,Hypothèses!$B$4=18,Hypothèses!$B$4=19,Hypothèses!$B$4=20),
IF($D22="Pressio.",
IF(OR($E22=3,$E22=1,$E22=4),EM22,EL22),
IF($D22="Pénétro.",
IF(OR($E22=3,$E22=1,$E22=4),EM22,EL22))),IF($D22="Pressio.",
IF($E22=3,EM22,EL22),
IF($D22="Pénétro.",
IF($E22=4,EM22,EL22))))</f>
        <v>#N/A</v>
      </c>
      <c r="EO22" s="31" t="e">
        <f>(IF(OR(Hypothèses!$B$4=17,Hypothèses!$B$4=18,Hypothèses!$B$4=19,Hypothèses!$B$4=20),
IF($D22="Pressio.",
IF(OR($E22=3,$E22=1,$E22=4),(PI()*EO$12^2)/4*(EK22*$W22*1000)/($H22*$B$5),(PI()*EO$12^2)/4*(EK22*$W22*1000)/($G22*$B$5)),
IF($D22="Pénétro.",
IF(OR($E22=4,$E22=1,$E22=5),(PI()*EO$12^2)/4*(EK22*$W22*1000)/($H22*$B$5),(PI()*EO$12^2)/4*(EK22*$W22*1000)/($G22*$B$5)))),
IF($D22="Pressio.",
IF($E22=3,(PI()*EO$12^2)/4*(EK22*$W22*1000)/($H22*$B$5),(PI()*EO$12^2)/4*(EK22*$W22*1000)/($G22*$B$5)),
IF($D22="Pénétro.",
IF($E22=4,(PI()*EO$12^2)/4*(EK22*$W22*1000)/($H22*$B$5),(PI()*EO$12^2)/4*(EK22*$W22*1000)/($G22*$B$5))))))/10</f>
        <v>#N/A</v>
      </c>
      <c r="EP22" s="102" t="e">
        <f>(VLOOKUP($B$3,'Coeff EC7'!$T$39:$X$59,2,0)*EN22+VLOOKUP($B$3,'Coeff EC7'!$T$65:$X$85,2,0)*Model0.1C!EO22)/1.1</f>
        <v>#N/A</v>
      </c>
      <c r="EQ22" s="102" t="e">
        <f>(VLOOKUP($B$3,'Coeff EC7'!$T$39:$X$59,3,0)*EN22+VLOOKUP($B$3,'Coeff EC7'!$T$65:$X$85,3,0)*Model0.1C!EO22)/0.9</f>
        <v>#N/A</v>
      </c>
      <c r="ER22" s="102" t="e">
        <f t="shared" si="94"/>
        <v>#N/A</v>
      </c>
      <c r="ES22" s="102" t="e">
        <f t="shared" si="95"/>
        <v>#N/A</v>
      </c>
      <c r="ET22" s="414" t="e">
        <f>IF(ET21=0,0,IF(AND(EP22&gt;charge_ELS_quasi,EQ22&gt;Charge_ELS_freq,ER22&gt;charge_ELU,ES22&gt;charge_ELA,$B22&gt;NDC!$H$22-0.1+MIN(3*$ET$12,1.5)),0,1))</f>
        <v>#N/A</v>
      </c>
      <c r="EU22" s="86" t="b">
        <f t="shared" si="60"/>
        <v>0</v>
      </c>
      <c r="EV22" s="86">
        <f t="shared" si="61"/>
        <v>0.61</v>
      </c>
      <c r="EW22" s="86">
        <f t="shared" si="62"/>
        <v>0.61</v>
      </c>
      <c r="EX22" s="30" t="e">
        <f t="shared" ca="1" si="96"/>
        <v>#DIV/0!</v>
      </c>
      <c r="EY22" s="85" t="e">
        <f ca="1">IF(EE22&lt;=Hypothèses!$V$7,Hypothèses!$W$7,IF(EE22&lt;=Hypothèses!$V$8,Hypothèses!$W$8,IF(EE22&lt;=Hypothèses!$V$9,Hypothèses!$W$9,IF(EE22&lt;=Hypothèses!$V$10,Hypothèses!$W$10,IF(EE22&lt;=Hypothèses!$V$11,Hypothèses!$W$11,IF(EE22&lt;=Hypothèses!$V$12,Hypothèses!$W$12,IF(EE22&lt;=Hypothèses!$V$13,Hypothèses!$W$13,IF(EE22&lt;=Hypothèses!$V$14,Hypothèses!$W$14,IF(EE22&lt;=Hypothèses!$V$15,Hypothèses!$W$15,IF(EE22&lt;=Hypothèses!$V$16,Hypothèses!$W$16,IF(EE22&lt;=Hypothèses!$V$17,Hypothèses!$W$17,IF(EE22&lt;=Hypothèses!$V$18,Hypothèses!$W$18,""))))))))))))</f>
        <v>#DIV/0!</v>
      </c>
      <c r="EZ22" s="87" t="e">
        <f t="shared" ca="1" si="123"/>
        <v>#DIV/0!</v>
      </c>
      <c r="FA22" s="88" t="e">
        <f ca="1">IF(EE22&lt;=Hypothèses!$V$7,Hypothèses!$X$7,IF(EE22&lt;=Hypothèses!$V$8,Hypothèses!$X$8,IF(EE22&lt;=Hypothèses!$V$9,Hypothèses!$X$9,IF(EE22&lt;=Hypothèses!$V$10,Hypothèses!$X$10,IF(EE22&lt;=Hypothèses!$V$11,Hypothèses!$X$11,IF(EE22&lt;=Hypothèses!$V$12,Hypothèses!$X$12,IF(EE22&lt;=Hypothèses!$V$13,Hypothèses!$X$13,IF(EE22&lt;=Hypothèses!$V$14,Hypothèses!$X$14,IF(EE22&lt;=Hypothèses!$V$15,Hypothèses!$X$15,IF(EE22&lt;=Hypothèses!$V$16,Hypothèses!$X$16,IF(EE22&lt;=Hypothèses!$U$17,Hypothèses!$W$17,IF(EE22&lt;=Hypothèses!$U$18,Hypothèses!$W$18,""))))))))))))</f>
        <v>#DIV/0!</v>
      </c>
      <c r="FB22" s="95" t="e">
        <f t="shared" ca="1" si="97"/>
        <v>#DIV/0!</v>
      </c>
      <c r="FC22" s="101" t="e">
        <f t="shared" si="130"/>
        <v>#N/A</v>
      </c>
      <c r="FD22" s="91" t="e">
        <f t="shared" si="64"/>
        <v>#N/A</v>
      </c>
      <c r="FE22" s="30" t="e">
        <f t="shared" si="114"/>
        <v>#N/A</v>
      </c>
      <c r="FF22" s="30" t="e">
        <f t="shared" si="115"/>
        <v>#N/A</v>
      </c>
      <c r="FG22" s="31" t="e">
        <f>IF(OR(Hypothèses!$B$4=17,Hypothèses!$B$4=18,Hypothèses!$B$4=19,Hypothèses!$B$4=20),
IF($D22="Pressio.",
IF(OR($E22=3,$E22=1,$E22=4),FF22,FE22),
IF($D22="Pénétro.",
IF(OR($E22=3,$E22=1,$E22=4),FF22,FE22))),IF($D22="Pressio.",
IF($E22=3,FF22,FE22),
IF($D22="Pénétro.",
IF($E22=4,FF22,FE22))))</f>
        <v>#N/A</v>
      </c>
      <c r="FH22" s="31" t="e">
        <f>(IF(OR(Hypothèses!$B$4=17,Hypothèses!$B$4=18,Hypothèses!$B$4=19,Hypothèses!$B$4=20),
IF($D22="Pressio.",
IF(OR($E22=3,$E22=1,$E22=4),(PI()*FH$12^2)/4*(FD22*$W22*1000)/($H22*$B$5),(PI()*FH$12^2)/4*(FD22*$W22*1000)/($G22*$B$5)),
IF($D22="Pénétro.",
IF(OR($E22=4,$E22=1,$E22=5),(PI()*FH$12^2)/4*(FD22*$W22*1000)/($H22*$B$5),(PI()*FH$12^2)/4*(FD22*$W22*1000)/($G22*$B$5)))),
IF($D22="Pressio.",
IF($E22=3,(PI()*FH$12^2)/4*(FD22*$W22*1000)/($H22*$B$5),(PI()*FH$12^2)/4*(FD22*$W22*1000)/($G22*$B$5)),
IF($D22="Pénétro.",
IF($E22=4,(PI()*FH$12^2)/4*(FD22*$W22*1000)/($H22*$B$5),(PI()*FH$12^2)/4*(FD22*$W22*1000)/($G22*$B$5))))))/10</f>
        <v>#N/A</v>
      </c>
      <c r="FI22" s="102" t="e">
        <f>(VLOOKUP($B$3,'Coeff EC7'!$T$39:$X$59,2,0)*FG22+VLOOKUP($B$3,'Coeff EC7'!$T$65:$X$85,2,0)*Model0.1C!FH22)/1.1</f>
        <v>#N/A</v>
      </c>
      <c r="FJ22" s="102" t="e">
        <f>(VLOOKUP($B$3,'Coeff EC7'!$T$39:$X$59,3,0)*FG22+VLOOKUP($B$3,'Coeff EC7'!$T$65:$X$85,3,0)*Model0.1C!FH22)/0.9</f>
        <v>#N/A</v>
      </c>
      <c r="FK22" s="102" t="e">
        <f t="shared" si="98"/>
        <v>#N/A</v>
      </c>
      <c r="FL22" s="102" t="e">
        <f t="shared" si="99"/>
        <v>#N/A</v>
      </c>
      <c r="FM22" s="414" t="e">
        <f>IF(FM21=0,0,IF(AND(FI22&gt;charge_ELS_quasi,FJ22&gt;Charge_ELS_freq,FK22&gt;charge_ELU,FL22&gt;charge_ELA,$B22&gt;NDC!$H$22-0.1+MIN(3*$FM$12,1.5)),0,1))</f>
        <v>#N/A</v>
      </c>
    </row>
    <row r="23" spans="1:169">
      <c r="A23" s="96">
        <f t="shared" si="67"/>
        <v>99.000000000000057</v>
      </c>
      <c r="B23" s="97">
        <v>1</v>
      </c>
      <c r="C23" s="81">
        <f>IF(B23&lt;=Hypothèses!$C$7,Hypothèses!$A$7,IF(B23&lt;=Hypothèses!$C$8,Hypothèses!$A$8,IF(B23&lt;=Hypothèses!$C$9,Hypothèses!$A$9,IF(B23&lt;=Hypothèses!$C$10,Hypothèses!$A$10,IF(B23&lt;=Hypothèses!$C$11,Hypothèses!$A$11,IF(B23&lt;=Hypothèses!$C$12,Hypothèses!$A$12,IF(B23&lt;=Hypothèses!$C$13,Hypothèses!$A$13,IF(B23&lt;=Hypothèses!$C$14,Hypothèses!$A$14,IF(B23&lt;=Hypothèses!$C$15,Hypothèses!$A$15,IF(B23&lt;=Hypothèses!$C$16,Hypothèses!$A$16,IF(B23&lt;=Hypothèses!$C$17,Hypothèses!$A$17,IF(B23&lt;=Hypothèses!$C$18,Hypothèses!$A$18,C22))))))))))))</f>
        <v>11</v>
      </c>
      <c r="D23" s="82" t="str">
        <f>IF(B23&lt;=Hypothèses!$C$7,Hypothèses!$R$7,IF(B23&lt;=Hypothèses!$C$8,Hypothèses!$R$8,IF(B23&lt;=Hypothèses!$C$9,Hypothèses!$R$9,IF(B23&lt;=Hypothèses!$C$10,Hypothèses!$R$10,IF(B23&lt;=Hypothèses!$C$11,Hypothèses!$R$11,IF(B23&lt;=Hypothèses!$C$12,Hypothèses!$R$12,IF(B23&lt;=Hypothèses!$C$13,Hypothèses!$R$13,IF(B23&lt;=Hypothèses!$C$14,Hypothèses!$R$14,IF(B23&lt;=Hypothèses!$C$15,Hypothèses!$R$15,IF(B23&lt;=Hypothèses!$C$16,Hypothèses!$R$16,IF(B23&lt;=Hypothèses!$C$17,Hypothèses!$R$17,IF(B23&lt;=Hypothèses!$C$18,Hypothèses!$R$18,D22))))))))))))</f>
        <v>Pressio.</v>
      </c>
      <c r="E23" s="82" t="e">
        <f>IF(B23&lt;=Hypothèses!$C$7,Hypothèses!$G$7,IF(B23&lt;=Hypothèses!$C$8,Hypothèses!$G$8,IF(B23&lt;=Hypothèses!$C$9,Hypothèses!$G$9,IF(B23&lt;=Hypothèses!$C$10,Hypothèses!$G$10,IF(B23&lt;=Hypothèses!$C$11,Hypothèses!$G$11,IF(B23&lt;=Hypothèses!$C$12,Hypothèses!$G$12,IF(B23&lt;=Hypothèses!$C$13,Hypothèses!$G$13,IF(B23&lt;=Hypothèses!$C$14,Hypothèses!$G$14,IF(B23&lt;=Hypothèses!$C$15,Hypothèses!$G$15,IF(B23&lt;=Hypothèses!$C$16,Hypothèses!$G$16,IF(B23&lt;=Hypothèses!$C$17,Hypothèses!$G$17,IF(B23&lt;=Hypothèses!$C$18,Hypothèses!$G$18,E22))))))))))))</f>
        <v>#N/A</v>
      </c>
      <c r="F23" s="82" t="str">
        <f>IF(B23&lt;=Hypothèses!$C$7,Hypothèses!$F$7,IF(B23&lt;=Hypothèses!$C$8,Hypothèses!$F$8,IF(B23&lt;=Hypothèses!$C$9,Hypothèses!$F$9,IF(B23&lt;=Hypothèses!$C$10,Hypothèses!$F$10,IF(B23&lt;=Hypothèses!$C$11,Hypothèses!$F$11,IF(B23&lt;=Hypothèses!$C$12,Hypothèses!$F$12,IF(B23&lt;=Hypothèses!$C$13,Hypothèses!$F$13,IF(B23&lt;=Hypothèses!$C$14,Hypothèses!$F$14,IF(B23&lt;=Hypothèses!$C$15,Hypothèses!$F$15,IF(B23&lt;=Hypothèses!$C$16,Hypothèses!$F$16,IF(B23&lt;=Hypothèses!$C$17,Hypothèses!$F$17,IF(B23&lt;=Hypothèses!$C$18,Hypothèses!$F$18,F22))))))))))))</f>
        <v/>
      </c>
      <c r="G23" s="91">
        <f t="array" ref="G23">INDEX('Coeff EC7'!$U$7:$X$27,
MATCH(Model0.1C!$B$3,'Coeff EC7'!$T$7:$T$27,0),
MATCH(Model0.1C!$D23&amp;Model0.1C!$B$4,
'Coeff EC7'!$U$6:$X$6&amp;
'Coeff EC7'!$U$5:$X$5,0))</f>
        <v>1.1499999999999999</v>
      </c>
      <c r="H23" s="91">
        <f t="array" ref="H23">INDEX('Coeff EC7'!$Y$7:$AB$27,
MATCH(Model0.1C!$B$3,'Coeff EC7'!$T$7:$T$27,0),
MATCH(Model0.1C!$D23&amp;Model0.1C!$B$4,
'Coeff EC7'!$Y$6:$AB$6&amp;
'Coeff EC7'!$Y$5:$AB$5,0))</f>
        <v>1.4</v>
      </c>
      <c r="I23" s="83" t="e">
        <f>IF(B23&lt;=Hypothèses!$C$7,Hypothèses!$P$7,IF(B23&lt;=Hypothèses!$C$8,Hypothèses!$P$8,IF(B23&lt;=Hypothèses!$C$9,Hypothèses!$P$9,IF(B23&lt;=Hypothèses!$C$10,Hypothèses!$P$10,IF(B23&lt;=Hypothèses!$C$11,Hypothèses!$P$11,IF(B23&lt;=Hypothèses!$C$12,Hypothèses!$P$12,IF(B23&lt;=Hypothèses!$C$13,Hypothèses!$P$13,IF(B23&lt;=Hypothèses!$C$14,Hypothèses!$P$14,IF(B23&lt;=Hypothèses!$C$15,Hypothèses!$P$15,IF(B23&lt;=Hypothèses!$C$16,Hypothèses!$P$16,IF(B23&lt;=Hypothèses!$C$17,Hypothèses!$P$17,IF(B23&lt;=Hypothèses!$C$18,Hypothèses!$P$18,I22))))))))))))</f>
        <v>#N/A</v>
      </c>
      <c r="J23" s="91" t="e">
        <f t="array" ref="J23">INDEX('Coeff EC7'!$D$33:$Q$33,1,MATCH(D23&amp;E23,'Coeff EC7'!$D$31:$Q$31&amp;'Coeff EC7'!$D$32:$Q$32,0))</f>
        <v>#N/A</v>
      </c>
      <c r="K23" s="91" t="e">
        <f t="array" ref="K23">INDEX('Coeff EC7'!$D$34:$Q$34,1,MATCH(D23&amp;E23,'Coeff EC7'!$D$31:$Q$31&amp;'Coeff EC7'!$D$32:$Q$32,0))</f>
        <v>#N/A</v>
      </c>
      <c r="L23" s="91" t="e">
        <f t="array" ref="L23">INDEX('Coeff EC7'!$D$35:$Q$35,1,MATCH(D23&amp;E23,'Coeff EC7'!$D$31:$Q$31&amp;'Coeff EC7'!$D$32:$Q$32,0))</f>
        <v>#N/A</v>
      </c>
      <c r="M23" s="98" t="e">
        <f t="shared" si="8"/>
        <v>#N/A</v>
      </c>
      <c r="N23" s="99" t="e">
        <f t="array" ref="N23">INDEX('Coeff EC7'!$D$7:$Q$27,MATCH($B$3,'Coeff EC7'!$C$7:$C$27,0),MATCH(D23&amp;E23,'Coeff EC7'!$D$5:$Q$5&amp;'Coeff EC7'!$D$6:$Q$6,0))</f>
        <v>#N/A</v>
      </c>
      <c r="O23" s="99" t="e">
        <f t="array" ref="O23">INDEX('Coeff EC7'!$D$41:$Q$61,MATCH($B$3,'Coeff EC7'!$C$41:$C$61,0),MATCH(D23&amp;E23,'Coeff EC7'!$D$39:$Q$39&amp;'Coeff EC7'!$D$40:$Q$40,0))</f>
        <v>#N/A</v>
      </c>
      <c r="P23" s="30" t="e">
        <f t="shared" si="68"/>
        <v>#N/A</v>
      </c>
      <c r="Q23" s="100" t="e">
        <f t="shared" si="10"/>
        <v>#N/A</v>
      </c>
      <c r="R23" s="86" t="b">
        <f t="shared" si="11"/>
        <v>0</v>
      </c>
      <c r="S23" s="86">
        <f t="shared" si="9"/>
        <v>0.5</v>
      </c>
      <c r="T23" s="86">
        <f t="shared" si="12"/>
        <v>0.5</v>
      </c>
      <c r="U23" s="30" t="e">
        <f t="shared" ca="1" si="69"/>
        <v>#DIV/0!</v>
      </c>
      <c r="V23" s="85" t="str">
        <f>IF(B23&lt;=Hypothèses!$V$7,Hypothèses!$W$7,IF(B23&lt;=Hypothèses!$V$8,Hypothèses!$W$8,IF(B23&lt;=Hypothèses!$V$9,Hypothèses!$W$9,IF(B23&lt;=Hypothèses!$V$10,Hypothèses!$W$10,IF(B23&lt;=Hypothèses!$V$11,Hypothèses!$W$11,IF(B23&lt;=Hypothèses!$V$12,Hypothèses!$W$12,IF(B23&lt;=Hypothèses!$V$13,Hypothèses!$W$13,IF(B23&lt;=Hypothèses!$V$14,Hypothèses!$W$14,IF(B23&lt;=Hypothèses!$V$15,Hypothèses!$W$15,IF(B23&lt;=Hypothèses!$V$16,Hypothèses!$W$16,IF(B23&lt;=Hypothèses!$V$17,Hypothèses!$W$17,IF(B23&lt;=Hypothèses!$V$18,Hypothèses!$W$18,""))))))))))))</f>
        <v/>
      </c>
      <c r="W23" s="87" t="e">
        <f t="shared" ca="1" si="116"/>
        <v>#DIV/0!</v>
      </c>
      <c r="X23" s="88" t="str">
        <f>IF(B23&lt;=Hypothèses!$V$7,Hypothèses!$X$7,IF(B23&lt;=Hypothèses!$V$8,Hypothèses!$X$8,IF(B23&lt;=Hypothèses!$V$9,Hypothèses!$X$9,IF(B23&lt;=Hypothèses!$V$10,Hypothèses!$X$10,IF(B23&lt;=Hypothèses!$V$11,Hypothèses!$X$11,IF(B23&lt;=Hypothèses!$V$12,Hypothèses!$X$12,IF(B23&lt;=Hypothèses!$V$13,Hypothèses!$X$13,IF(B23&lt;=Hypothèses!$V$14,Hypothèses!$X$14,IF(B23&lt;=Hypothèses!$V$15,Hypothèses!$X$15,IF(B23&lt;=Hypothèses!$V$16,Hypothèses!$X$16,IF(B23&lt;=Hypothèses!$U$17,Hypothèses!$W$17,IF(B23&lt;=Hypothèses!$U$18,Hypothèses!$W$18,""))))))))))))</f>
        <v/>
      </c>
      <c r="Y23" s="95" t="e">
        <f t="shared" ca="1" si="13"/>
        <v>#DIV/0!</v>
      </c>
      <c r="Z23" s="101" t="e">
        <f t="shared" si="14"/>
        <v>#N/A</v>
      </c>
      <c r="AA23" s="91" t="e">
        <f t="shared" si="15"/>
        <v>#N/A</v>
      </c>
      <c r="AB23" s="30" t="e">
        <f t="shared" si="100"/>
        <v>#N/A</v>
      </c>
      <c r="AC23" s="30" t="e">
        <f t="shared" si="101"/>
        <v>#N/A</v>
      </c>
      <c r="AD23" s="31" t="e">
        <f>IF(OR(Hypothèses!$B$4=17,Hypothèses!$B$4=18,Hypothèses!$B$4=19,Hypothèses!$B$4=20),
IF($D23="Pressio.",
IF(OR($E23=3,$E23=1,$E23=4),AC23,AB23),
IF($D23="Pénétro.",
IF(OR($E23=3,$E23=1,$E23=4),AC23,AB23))),IF($D23="Pressio.",
IF($E23=3,AC23,AB23),
IF($D23="Pénétro.",
IF($E23=4,AC23,AB23))))</f>
        <v>#N/A</v>
      </c>
      <c r="AE23" s="31" t="e">
        <f>(IF(OR(Hypothèses!$B$4=17,Hypothèses!$B$4=18,Hypothèses!$B$4=19,Hypothèses!$B$4=20),
IF($D23="Pressio.",
IF(OR($E23=3,$E23=1,$E23=4),(PI()*AE$12^2)/4*(AA23*$W23*1000)/($H23*$B$5),(PI()*AE$12^2)/4*(AA23*$W23*1000)/($G23*$B$5)),
IF($D23="Pénétro.",
IF(OR($E23=4,$E23=1,$E23=5),(PI()*AE$12^2)/4*(AA23*$W23*1000)/($H23*$B$5),(PI()*AE$12^2)/4*(AA23*$W23*1000)/($G23*$B$5)))),
IF($D23="Pressio.",
IF($E23=3,(PI()*AE$12^2)/4*(AA23*$W23*1000)/($H23*$B$5),(PI()*AE$12^2)/4*(AA23*$W23*1000)/($G23*$B$5)),
IF($D23="Pénétro.",
IF($E23=4,(PI()*AE$12^2)/4*(AA23*$W23*1000)/($H23*$B$5),(PI()*AE$12^2)/4*(AA23*$W23*1000)/($G23*$B$5))))))/10</f>
        <v>#N/A</v>
      </c>
      <c r="AF23" s="102" t="e">
        <f>(VLOOKUP($B$3,'Coeff EC7'!$T$39:$X$59,2,0)*AD23+VLOOKUP($B$3,'Coeff EC7'!$T$65:$X$85,2,0)*Model0.1C!AE23)/1.1</f>
        <v>#N/A</v>
      </c>
      <c r="AG23" s="102" t="e">
        <f>(VLOOKUP($B$3,'Coeff EC7'!$T$39:$X$59,3,0)*AD23+VLOOKUP($B$3,'Coeff EC7'!$T$65:$X$85,3,0)*Model0.1C!AE23)/0.9</f>
        <v>#N/A</v>
      </c>
      <c r="AH23" s="102" t="e">
        <f t="shared" si="18"/>
        <v>#N/A</v>
      </c>
      <c r="AI23" s="102" t="e">
        <f t="shared" si="19"/>
        <v>#N/A</v>
      </c>
      <c r="AJ23" s="414" t="e">
        <f>IF(AJ22=0,0,IF(AND(AF23&gt;charge_ELS_quasi,AG23&gt;Charge_ELS_freq,AH23&gt;charge_ELU,AI23&gt;charge_ELA,$B23&gt;NDC!$H$22-0.1+MIN(3*$AJ$12,1.5)),0,1))</f>
        <v>#N/A</v>
      </c>
      <c r="AK23" s="86" t="b">
        <f t="shared" si="20"/>
        <v>0</v>
      </c>
      <c r="AL23" s="86">
        <f t="shared" si="70"/>
        <v>0.5</v>
      </c>
      <c r="AM23" s="86">
        <f t="shared" si="21"/>
        <v>0.5</v>
      </c>
      <c r="AN23" s="30" t="e">
        <f t="shared" ca="1" si="71"/>
        <v>#DIV/0!</v>
      </c>
      <c r="AO23" s="85" t="e">
        <f ca="1">IF(U23&lt;=Hypothèses!$V$7,Hypothèses!$W$7,IF(U23&lt;=Hypothèses!$V$8,Hypothèses!$W$8,IF(U23&lt;=Hypothèses!$V$9,Hypothèses!$W$9,IF(U23&lt;=Hypothèses!$V$10,Hypothèses!$W$10,IF(U23&lt;=Hypothèses!$V$11,Hypothèses!$W$11,IF(U23&lt;=Hypothèses!$V$12,Hypothèses!$W$12,IF(U23&lt;=Hypothèses!$V$13,Hypothèses!$W$13,IF(U23&lt;=Hypothèses!$V$14,Hypothèses!$W$14,IF(U23&lt;=Hypothèses!$V$15,Hypothèses!$W$15,IF(U23&lt;=Hypothèses!$V$16,Hypothèses!$W$16,IF(U23&lt;=Hypothèses!$V$17,Hypothèses!$W$17,IF(U23&lt;=Hypothèses!$V$18,Hypothèses!$W$18,""))))))))))))</f>
        <v>#DIV/0!</v>
      </c>
      <c r="AP23" s="87" t="e">
        <f t="shared" ca="1" si="117"/>
        <v>#DIV/0!</v>
      </c>
      <c r="AQ23" s="88" t="e">
        <f ca="1">IF(U23&lt;=Hypothèses!$V$7,Hypothèses!$X$7,IF(U23&lt;=Hypothèses!$V$8,Hypothèses!$X$8,IF(U23&lt;=Hypothèses!$V$9,Hypothèses!$X$9,IF(U23&lt;=Hypothèses!$V$10,Hypothèses!$X$10,IF(U23&lt;=Hypothèses!$V$11,Hypothèses!$X$11,IF(U23&lt;=Hypothèses!$V$12,Hypothèses!$X$12,IF(U23&lt;=Hypothèses!$V$13,Hypothèses!$X$13,IF(U23&lt;=Hypothèses!$V$14,Hypothèses!$X$14,IF(U23&lt;=Hypothèses!$V$15,Hypothèses!$X$15,IF(U23&lt;=Hypothèses!$V$16,Hypothèses!$X$16,IF(U23&lt;=Hypothèses!$U$17,Hypothèses!$W$17,IF(U23&lt;=Hypothèses!$U$18,Hypothèses!$W$18,""))))))))))))</f>
        <v>#DIV/0!</v>
      </c>
      <c r="AR23" s="95" t="e">
        <f t="shared" ca="1" si="72"/>
        <v>#DIV/0!</v>
      </c>
      <c r="AS23" s="101" t="e">
        <f t="shared" si="124"/>
        <v>#N/A</v>
      </c>
      <c r="AT23" s="91" t="e">
        <f t="shared" si="23"/>
        <v>#N/A</v>
      </c>
      <c r="AU23" s="30" t="e">
        <f t="shared" si="102"/>
        <v>#N/A</v>
      </c>
      <c r="AV23" s="30" t="e">
        <f t="shared" si="103"/>
        <v>#N/A</v>
      </c>
      <c r="AW23" s="31" t="e">
        <f>IF(OR(Hypothèses!$B$4=17,Hypothèses!$B$4=18,Hypothèses!$B$4=19,Hypothèses!$B$4=20),
IF($D23="Pressio.",
IF(OR($E23=3,$E23=1,$E23=4),AV23,AU23),
IF($D23="Pénétro.",
IF(OR($E23=3,$E23=1,$E23=4),AV23,AU23))),IF($D23="Pressio.",
IF($E23=3,AV23,AU23),
IF($D23="Pénétro.",
IF($E23=4,AV23,AU23))))</f>
        <v>#N/A</v>
      </c>
      <c r="AX23" s="31" t="e">
        <f>(IF(OR(Hypothèses!$B$4=17,Hypothèses!$B$4=18,Hypothèses!$B$4=19,Hypothèses!$B$4=20),
IF($D23="Pressio.",
IF(OR($E23=3,$E23=1,$E23=4),(PI()*AX$12^2)/4*(AT23*$W23*1000)/($H23*$B$5),(PI()*AX$12^2)/4*(AT23*$W23*1000)/($G23*$B$5)),
IF($D23="Pénétro.",
IF(OR($E23=4,$E23=1,$E23=5),(PI()*AX$12^2)/4*(AT23*$W23*1000)/($H23*$B$5),(PI()*AX$12^2)/4*(AT23*$W23*1000)/($G23*$B$5)))),
IF($D23="Pressio.",
IF($E23=3,(PI()*AX$12^2)/4*(AT23*$W23*1000)/($H23*$B$5),(PI()*AX$12^2)/4*(AT23*$W23*1000)/($G23*$B$5)),
IF($D23="Pénétro.",
IF($E23=4,(PI()*AX$12^2)/4*(AT23*$W23*1000)/($H23*$B$5),(PI()*AX$12^2)/4*(AT23*$W23*1000)/($G23*$B$5))))))/10</f>
        <v>#N/A</v>
      </c>
      <c r="AY23" s="102" t="e">
        <f>(VLOOKUP($B$3,'Coeff EC7'!$T$39:$X$59,2,0)*AW23+VLOOKUP($B$3,'Coeff EC7'!$T$65:$X$85,2,0)*Model0.1C!AX23)/1.1</f>
        <v>#N/A</v>
      </c>
      <c r="AZ23" s="102" t="e">
        <f>(VLOOKUP($B$3,'Coeff EC7'!$T$39:$X$59,3,0)*AW23+VLOOKUP($B$3,'Coeff EC7'!$T$65:$X$85,3,0)*Model0.1C!AX23)/0.9</f>
        <v>#N/A</v>
      </c>
      <c r="BA23" s="102" t="e">
        <f t="shared" si="73"/>
        <v>#N/A</v>
      </c>
      <c r="BB23" s="102" t="e">
        <f t="shared" si="74"/>
        <v>#N/A</v>
      </c>
      <c r="BC23" s="414" t="e">
        <f>IF(BC22=0,0,IF(AND(AY23&gt;charge_ELS_quasi,AZ23&gt;Charge_ELS_freq,BA23&gt;charge_ELU,BB23&gt;charge_ELA,$B23&gt;NDC!$H$22-0.1+MIN(3*$BC$12,1.5)),0,1))</f>
        <v>#N/A</v>
      </c>
      <c r="BD23" s="86" t="b">
        <f t="shared" si="26"/>
        <v>0</v>
      </c>
      <c r="BE23" s="86">
        <f t="shared" si="75"/>
        <v>0.5</v>
      </c>
      <c r="BF23" s="86">
        <f t="shared" si="27"/>
        <v>0.5</v>
      </c>
      <c r="BG23" s="30" t="e">
        <f t="shared" ca="1" si="76"/>
        <v>#DIV/0!</v>
      </c>
      <c r="BH23" s="85" t="e">
        <f ca="1">IF(AN23&lt;=Hypothèses!$V$7,Hypothèses!$W$7,IF(AN23&lt;=Hypothèses!$V$8,Hypothèses!$W$8,IF(AN23&lt;=Hypothèses!$V$9,Hypothèses!$W$9,IF(AN23&lt;=Hypothèses!$V$10,Hypothèses!$W$10,IF(AN23&lt;=Hypothèses!$V$11,Hypothèses!$W$11,IF(AN23&lt;=Hypothèses!$V$12,Hypothèses!$W$12,IF(AN23&lt;=Hypothèses!$V$13,Hypothèses!$W$13,IF(AN23&lt;=Hypothèses!$V$14,Hypothèses!$W$14,IF(AN23&lt;=Hypothèses!$V$15,Hypothèses!$W$15,IF(AN23&lt;=Hypothèses!$V$16,Hypothèses!$W$16,IF(AN23&lt;=Hypothèses!$V$17,Hypothèses!$W$17,IF(AN23&lt;=Hypothèses!$V$18,Hypothèses!$W$18,""))))))))))))</f>
        <v>#DIV/0!</v>
      </c>
      <c r="BI23" s="87" t="e">
        <f t="shared" ca="1" si="118"/>
        <v>#DIV/0!</v>
      </c>
      <c r="BJ23" s="88" t="e">
        <f ca="1">IF(AN23&lt;=Hypothèses!$V$7,Hypothèses!$X$7,IF(AN23&lt;=Hypothèses!$V$8,Hypothèses!$X$8,IF(AN23&lt;=Hypothèses!$V$9,Hypothèses!$X$9,IF(AN23&lt;=Hypothèses!$V$10,Hypothèses!$X$10,IF(AN23&lt;=Hypothèses!$V$11,Hypothèses!$X$11,IF(AN23&lt;=Hypothèses!$V$12,Hypothèses!$X$12,IF(AN23&lt;=Hypothèses!$V$13,Hypothèses!$X$13,IF(AN23&lt;=Hypothèses!$V$14,Hypothèses!$X$14,IF(AN23&lt;=Hypothèses!$V$15,Hypothèses!$X$15,IF(AN23&lt;=Hypothèses!$V$16,Hypothèses!$X$16,IF(AN23&lt;=Hypothèses!$U$17,Hypothèses!$W$17,IF(AN23&lt;=Hypothèses!$U$18,Hypothèses!$W$18,""))))))))))))</f>
        <v>#DIV/0!</v>
      </c>
      <c r="BK23" s="95" t="e">
        <f t="shared" ca="1" si="77"/>
        <v>#DIV/0!</v>
      </c>
      <c r="BL23" s="101" t="e">
        <f t="shared" si="125"/>
        <v>#N/A</v>
      </c>
      <c r="BM23" s="91" t="e">
        <f t="shared" si="29"/>
        <v>#N/A</v>
      </c>
      <c r="BN23" s="30" t="e">
        <f t="shared" si="104"/>
        <v>#N/A</v>
      </c>
      <c r="BO23" s="30" t="e">
        <f t="shared" si="105"/>
        <v>#N/A</v>
      </c>
      <c r="BP23" s="31" t="e">
        <f>IF(OR(Hypothèses!$B$4=17,Hypothèses!$B$4=18,Hypothèses!$B$4=19,Hypothèses!$B$4=20),
IF($D23="Pressio.",
IF(OR($E23=3,$E23=1,$E23=4),BO23,BN23),
IF($D23="Pénétro.",
IF(OR($E23=3,$E23=1,$E23=4),BO23,BN23))),IF($D23="Pressio.",
IF($E23=3,BO23,BN23),
IF($D23="Pénétro.",
IF($E23=4,BO23,BN23))))</f>
        <v>#N/A</v>
      </c>
      <c r="BQ23" s="31" t="e">
        <f>(IF(OR(Hypothèses!$B$4=17,Hypothèses!$B$4=18,Hypothèses!$B$4=19,Hypothèses!$B$4=20),
IF($D23="Pressio.",
IF(OR($E23=3,$E23=1,$E23=4),(PI()*BQ$12^2)/4*(BM23*$W23*1000)/($H23*$B$5),(PI()*BQ$12^2)/4*(BM23*$W23*1000)/($G23*$B$5)),
IF($D23="Pénétro.",
IF(OR($E23=4,$E23=1,$E23=5),(PI()*BQ$12^2)/4*(BM23*$W23*1000)/($H23*$B$5),(PI()*BQ$12^2)/4*(BM23*$W23*1000)/($G23*$B$5)))),
IF($D23="Pressio.",
IF($E23=3,(PI()*BQ$12^2)/4*(BM23*$W23*1000)/($H23*$B$5),(PI()*BQ$12^2)/4*(BM23*$W23*1000)/($G23*$B$5)),
IF($D23="Pénétro.",
IF($E23=4,(PI()*BQ$12^2)/4*(BM23*$W23*1000)/($H23*$B$5),(PI()*BQ$12^2)/4*(BM23*$W23*1000)/($G23*$B$5))))))/10</f>
        <v>#N/A</v>
      </c>
      <c r="BR23" s="102" t="e">
        <f>(VLOOKUP($B$3,'Coeff EC7'!$T$39:$X$59,2,0)*BP23+VLOOKUP($B$3,'Coeff EC7'!$T$65:$X$85,2,0)*Model0.1C!BQ23)/1.1</f>
        <v>#N/A</v>
      </c>
      <c r="BS23" s="102" t="e">
        <f>(VLOOKUP($B$3,'Coeff EC7'!$T$39:$X$59,3,0)*BP23+VLOOKUP($B$3,'Coeff EC7'!$T$65:$X$85,3,0)*Model0.1C!BQ23)/0.9</f>
        <v>#N/A</v>
      </c>
      <c r="BT23" s="102" t="e">
        <f t="shared" si="78"/>
        <v>#N/A</v>
      </c>
      <c r="BU23" s="102" t="e">
        <f t="shared" si="79"/>
        <v>#N/A</v>
      </c>
      <c r="BV23" s="414" t="e">
        <f>IF(BV22=0,0,IF(AND(BR23&gt;charge_ELS_quasi,BS23&gt;Charge_ELS_freq,BT23&gt;charge_ELU,BU23&gt;charge_ELA,$B23&gt;NDC!$H$22-0.1+MIN(3*$BV$12,1.5)),0,1))</f>
        <v>#N/A</v>
      </c>
      <c r="BW23" s="86" t="b">
        <f t="shared" si="32"/>
        <v>0</v>
      </c>
      <c r="BX23" s="86">
        <f t="shared" si="33"/>
        <v>0.5</v>
      </c>
      <c r="BY23" s="86">
        <f t="shared" si="34"/>
        <v>0.5</v>
      </c>
      <c r="BZ23" s="30" t="e">
        <f t="shared" ca="1" si="80"/>
        <v>#DIV/0!</v>
      </c>
      <c r="CA23" s="85" t="e">
        <f ca="1">IF(BG23&lt;=Hypothèses!$V$7,Hypothèses!$W$7,IF(BG23&lt;=Hypothèses!$V$8,Hypothèses!$W$8,IF(BG23&lt;=Hypothèses!$V$9,Hypothèses!$W$9,IF(BG23&lt;=Hypothèses!$V$10,Hypothèses!$W$10,IF(BG23&lt;=Hypothèses!$V$11,Hypothèses!$W$11,IF(BG23&lt;=Hypothèses!$V$12,Hypothèses!$W$12,IF(BG23&lt;=Hypothèses!$V$13,Hypothèses!$W$13,IF(BG23&lt;=Hypothèses!$V$14,Hypothèses!$W$14,IF(BG23&lt;=Hypothèses!$V$15,Hypothèses!$W$15,IF(BG23&lt;=Hypothèses!$V$16,Hypothèses!$W$16,IF(BG23&lt;=Hypothèses!$V$17,Hypothèses!$W$17,IF(BG23&lt;=Hypothèses!$V$18,Hypothèses!$W$18,""))))))))))))</f>
        <v>#DIV/0!</v>
      </c>
      <c r="CB23" s="87" t="e">
        <f t="shared" ca="1" si="119"/>
        <v>#DIV/0!</v>
      </c>
      <c r="CC23" s="88" t="e">
        <f ca="1">IF(BG23&lt;=Hypothèses!$V$7,Hypothèses!$X$7,IF(BG23&lt;=Hypothèses!$V$8,Hypothèses!$X$8,IF(BG23&lt;=Hypothèses!$V$9,Hypothèses!$X$9,IF(BG23&lt;=Hypothèses!$V$10,Hypothèses!$X$10,IF(BG23&lt;=Hypothèses!$V$11,Hypothèses!$X$11,IF(BG23&lt;=Hypothèses!$V$12,Hypothèses!$X$12,IF(BG23&lt;=Hypothèses!$V$13,Hypothèses!$X$13,IF(BG23&lt;=Hypothèses!$V$14,Hypothèses!$X$14,IF(BG23&lt;=Hypothèses!$V$15,Hypothèses!$X$15,IF(BG23&lt;=Hypothèses!$V$16,Hypothèses!$X$16,IF(BG23&lt;=Hypothèses!$U$17,Hypothèses!$W$17,IF(BG23&lt;=Hypothèses!$U$18,Hypothèses!$W$18,""))))))))))))</f>
        <v>#DIV/0!</v>
      </c>
      <c r="CD23" s="95" t="e">
        <f t="shared" ca="1" si="81"/>
        <v>#DIV/0!</v>
      </c>
      <c r="CE23" s="101" t="e">
        <f t="shared" si="126"/>
        <v>#N/A</v>
      </c>
      <c r="CF23" s="91" t="e">
        <f t="shared" si="36"/>
        <v>#N/A</v>
      </c>
      <c r="CG23" s="30" t="e">
        <f t="shared" si="106"/>
        <v>#N/A</v>
      </c>
      <c r="CH23" s="30" t="e">
        <f t="shared" si="107"/>
        <v>#N/A</v>
      </c>
      <c r="CI23" s="31" t="e">
        <f>IF(OR(Hypothèses!$B$4=17,Hypothèses!$B$4=18,Hypothèses!$B$4=19,Hypothèses!$B$4=20),
IF($D23="Pressio.",
IF(OR($E23=3,$E23=1,$E23=4),CH23,CG23),
IF($D23="Pénétro.",
IF(OR($E23=3,$E23=1,$E23=4),CH23,CG23))),IF($D23="Pressio.",
IF($E23=3,CH23,CG23),
IF($D23="Pénétro.",
IF($E23=4,CH23,CG23))))</f>
        <v>#N/A</v>
      </c>
      <c r="CJ23" s="31" t="e">
        <f>(IF(OR(Hypothèses!$B$4=17,Hypothèses!$B$4=18,Hypothèses!$B$4=19,Hypothèses!$B$4=20),
IF($D23="Pressio.",
IF(OR($E23=3,$E23=1,$E23=4),(PI()*CJ$12^2)/4*(CF23*$W23*1000)/($H23*$B$5),(PI()*CJ$12^2)/4*(CF23*$W23*1000)/($G23*$B$5)),
IF($D23="Pénétro.",
IF(OR($E23=4,$E23=1,$E23=5),(PI()*CJ$12^2)/4*(CF23*$W23*1000)/($H23*$B$5),(PI()*CJ$12^2)/4*(CF23*$W23*1000)/($G23*$B$5)))),
IF($D23="Pressio.",
IF($E23=3,(PI()*CJ$12^2)/4*(CF23*$W23*1000)/($H23*$B$5),(PI()*CJ$12^2)/4*(CF23*$W23*1000)/($G23*$B$5)),
IF($D23="Pénétro.",
IF($E23=4,(PI()*CJ$12^2)/4*(CF23*$W23*1000)/($H23*$B$5),(PI()*CJ$12^2)/4*(CF23*$W23*1000)/($G23*$B$5))))))/10</f>
        <v>#N/A</v>
      </c>
      <c r="CK23" s="102" t="e">
        <f>(VLOOKUP($B$3,'Coeff EC7'!$T$39:$X$59,2,0)*CI23+VLOOKUP($B$3,'Coeff EC7'!$T$65:$X$85,2,0)*Model0.1C!CJ23)/1.1</f>
        <v>#N/A</v>
      </c>
      <c r="CL23" s="102" t="e">
        <f>(VLOOKUP($B$3,'Coeff EC7'!$T$39:$X$59,3,0)*CI23+VLOOKUP($B$3,'Coeff EC7'!$T$65:$X$85,3,0)*Model0.1C!CJ23)/0.9</f>
        <v>#N/A</v>
      </c>
      <c r="CM23" s="102" t="e">
        <f t="shared" si="82"/>
        <v>#N/A</v>
      </c>
      <c r="CN23" s="102" t="e">
        <f t="shared" si="83"/>
        <v>#N/A</v>
      </c>
      <c r="CO23" s="414" t="e">
        <f>IF(CO22=0,0,IF(AND(CK23&gt;charge_ELS_quasi,CL23&gt;Charge_ELS_freq,CM23&gt;charge_ELU,CN23&gt;charge_ELA,$B23&gt;NDC!$H$22-0.1+MIN(3*$CO$12,1.5)),0,1))</f>
        <v>#N/A</v>
      </c>
      <c r="CP23" s="86" t="b">
        <f t="shared" si="39"/>
        <v>0</v>
      </c>
      <c r="CQ23" s="86">
        <f t="shared" si="40"/>
        <v>0.5</v>
      </c>
      <c r="CR23" s="86">
        <f t="shared" si="41"/>
        <v>0.5</v>
      </c>
      <c r="CS23" s="30" t="e">
        <f t="shared" ca="1" si="84"/>
        <v>#DIV/0!</v>
      </c>
      <c r="CT23" s="85" t="e">
        <f ca="1">IF(BZ23&lt;=Hypothèses!$V$7,Hypothèses!$W$7,IF(BZ23&lt;=Hypothèses!$V$8,Hypothèses!$W$8,IF(BZ23&lt;=Hypothèses!$V$9,Hypothèses!$W$9,IF(BZ23&lt;=Hypothèses!$V$10,Hypothèses!$W$10,IF(BZ23&lt;=Hypothèses!$V$11,Hypothèses!$W$11,IF(BZ23&lt;=Hypothèses!$V$12,Hypothèses!$W$12,IF(BZ23&lt;=Hypothèses!$V$13,Hypothèses!$W$13,IF(BZ23&lt;=Hypothèses!$V$14,Hypothèses!$W$14,IF(BZ23&lt;=Hypothèses!$V$15,Hypothèses!$W$15,IF(BZ23&lt;=Hypothèses!$V$16,Hypothèses!$W$16,IF(BZ23&lt;=Hypothèses!$V$17,Hypothèses!$W$17,IF(BZ23&lt;=Hypothèses!$V$18,Hypothèses!$W$18,""))))))))))))</f>
        <v>#DIV/0!</v>
      </c>
      <c r="CU23" s="87" t="e">
        <f t="shared" ca="1" si="120"/>
        <v>#DIV/0!</v>
      </c>
      <c r="CV23" s="88" t="e">
        <f ca="1">IF(BZ23&lt;=Hypothèses!$V$7,Hypothèses!$X$7,IF(BZ23&lt;=Hypothèses!$V$8,Hypothèses!$X$8,IF(BZ23&lt;=Hypothèses!$V$9,Hypothèses!$X$9,IF(BZ23&lt;=Hypothèses!$V$10,Hypothèses!$X$10,IF(BZ23&lt;=Hypothèses!$V$11,Hypothèses!$X$11,IF(BZ23&lt;=Hypothèses!$V$12,Hypothèses!$X$12,IF(BZ23&lt;=Hypothèses!$V$13,Hypothèses!$X$13,IF(BZ23&lt;=Hypothèses!$V$14,Hypothèses!$X$14,IF(BZ23&lt;=Hypothèses!$V$15,Hypothèses!$X$15,IF(BZ23&lt;=Hypothèses!$V$16,Hypothèses!$X$16,IF(BZ23&lt;=Hypothèses!$U$17,Hypothèses!$W$17,IF(BZ23&lt;=Hypothèses!$U$18,Hypothèses!$W$18,""))))))))))))</f>
        <v>#DIV/0!</v>
      </c>
      <c r="CW23" s="95" t="e">
        <f t="shared" ca="1" si="85"/>
        <v>#DIV/0!</v>
      </c>
      <c r="CX23" s="101" t="e">
        <f t="shared" si="127"/>
        <v>#N/A</v>
      </c>
      <c r="CY23" s="91" t="e">
        <f t="shared" si="43"/>
        <v>#N/A</v>
      </c>
      <c r="CZ23" s="30" t="e">
        <f t="shared" si="108"/>
        <v>#N/A</v>
      </c>
      <c r="DA23" s="30" t="e">
        <f t="shared" si="109"/>
        <v>#N/A</v>
      </c>
      <c r="DB23" s="31" t="e">
        <f>IF(OR(Hypothèses!$B$4=17,Hypothèses!$B$4=18,Hypothèses!$B$4=19,Hypothèses!$B$4=20),
IF($D23="Pressio.",
IF(OR($E23=3,$E23=1,$E23=4),DA23,CZ23),
IF($D23="Pénétro.",
IF(OR($E23=3,$E23=1,$E23=4),DA23,CZ23))),IF($D23="Pressio.",
IF($E23=3,DA23,CZ23),
IF($D23="Pénétro.",
IF($E23=4,DA23,CZ23))))</f>
        <v>#N/A</v>
      </c>
      <c r="DC23" s="31" t="e">
        <f>(IF(OR(Hypothèses!$B$4=17,Hypothèses!$B$4=18,Hypothèses!$B$4=19,Hypothèses!$B$4=20),
IF($D23="Pressio.",
IF(OR($E23=3,$E23=1,$E23=4),(PI()*DC$12^2)/4*(CY23*$W23*1000)/($H23*$B$5),(PI()*DC$12^2)/4*(CY23*$W23*1000)/($G23*$B$5)),
IF($D23="Pénétro.",
IF(OR($E23=4,$E23=1,$E23=5),(PI()*DC$12^2)/4*(CY23*$W23*1000)/($H23*$B$5),(PI()*DC$12^2)/4*(CY23*$W23*1000)/($G23*$B$5)))),
IF($D23="Pressio.",
IF($E23=3,(PI()*DC$12^2)/4*(CY23*$W23*1000)/($H23*$B$5),(PI()*DC$12^2)/4*(CY23*$W23*1000)/($G23*$B$5)),
IF($D23="Pénétro.",
IF($E23=4,(PI()*DC$12^2)/4*(CY23*$W23*1000)/($H23*$B$5),(PI()*DC$12^2)/4*(CY23*$W23*1000)/($G23*$B$5))))))/10</f>
        <v>#N/A</v>
      </c>
      <c r="DD23" s="102" t="e">
        <f>(VLOOKUP($B$3,'Coeff EC7'!$T$39:$X$59,2,0)*DB23+VLOOKUP($B$3,'Coeff EC7'!$T$65:$X$85,2,0)*Model0.1C!DC23)/1.1</f>
        <v>#N/A</v>
      </c>
      <c r="DE23" s="102" t="e">
        <f>(VLOOKUP($B$3,'Coeff EC7'!$T$39:$X$59,3,0)*DB23+VLOOKUP($B$3,'Coeff EC7'!$T$65:$X$85,3,0)*Model0.1C!DC23)/0.9</f>
        <v>#N/A</v>
      </c>
      <c r="DF23" s="102" t="e">
        <f t="shared" si="86"/>
        <v>#N/A</v>
      </c>
      <c r="DG23" s="102" t="e">
        <f t="shared" si="87"/>
        <v>#N/A</v>
      </c>
      <c r="DH23" s="414" t="e">
        <f>IF(DH22=0,0,IF(AND(DD23&gt;charge_ELS_quasi,DE23&gt;Charge_ELS_freq,DF23&gt;charge_ELU,DG23&gt;charge_ELA,$B23&gt;NDC!$H$22-0.1+MIN(3*$DH$12,1.5)),0,1))</f>
        <v>#N/A</v>
      </c>
      <c r="DI23" s="86" t="b">
        <f t="shared" si="46"/>
        <v>0</v>
      </c>
      <c r="DJ23" s="86">
        <f t="shared" si="47"/>
        <v>0.5</v>
      </c>
      <c r="DK23" s="86">
        <f t="shared" si="48"/>
        <v>0.5</v>
      </c>
      <c r="DL23" s="30" t="e">
        <f t="shared" ca="1" si="88"/>
        <v>#DIV/0!</v>
      </c>
      <c r="DM23" s="85" t="e">
        <f ca="1">IF(CS23&lt;=Hypothèses!$V$7,Hypothèses!$W$7,IF(CS23&lt;=Hypothèses!$V$8,Hypothèses!$W$8,IF(CS23&lt;=Hypothèses!$V$9,Hypothèses!$W$9,IF(CS23&lt;=Hypothèses!$V$10,Hypothèses!$W$10,IF(CS23&lt;=Hypothèses!$V$11,Hypothèses!$W$11,IF(CS23&lt;=Hypothèses!$V$12,Hypothèses!$W$12,IF(CS23&lt;=Hypothèses!$V$13,Hypothèses!$W$13,IF(CS23&lt;=Hypothèses!$V$14,Hypothèses!$W$14,IF(CS23&lt;=Hypothèses!$V$15,Hypothèses!$W$15,IF(CS23&lt;=Hypothèses!$V$16,Hypothèses!$W$16,IF(CS23&lt;=Hypothèses!$V$17,Hypothèses!$W$17,IF(CS23&lt;=Hypothèses!$V$18,Hypothèses!$W$18,""))))))))))))</f>
        <v>#DIV/0!</v>
      </c>
      <c r="DN23" s="87" t="e">
        <f t="shared" ca="1" si="121"/>
        <v>#DIV/0!</v>
      </c>
      <c r="DO23" s="88" t="e">
        <f ca="1">IF(CS23&lt;=Hypothèses!$V$7,Hypothèses!$X$7,IF(CS23&lt;=Hypothèses!$V$8,Hypothèses!$X$8,IF(CS23&lt;=Hypothèses!$V$9,Hypothèses!$X$9,IF(CS23&lt;=Hypothèses!$V$10,Hypothèses!$X$10,IF(CS23&lt;=Hypothèses!$V$11,Hypothèses!$X$11,IF(CS23&lt;=Hypothèses!$V$12,Hypothèses!$X$12,IF(CS23&lt;=Hypothèses!$V$13,Hypothèses!$X$13,IF(CS23&lt;=Hypothèses!$V$14,Hypothèses!$X$14,IF(CS23&lt;=Hypothèses!$V$15,Hypothèses!$X$15,IF(CS23&lt;=Hypothèses!$V$16,Hypothèses!$X$16,IF(CS23&lt;=Hypothèses!$U$17,Hypothèses!$W$17,IF(CS23&lt;=Hypothèses!$U$18,Hypothèses!$W$18,""))))))))))))</f>
        <v>#DIV/0!</v>
      </c>
      <c r="DP23" s="95" t="e">
        <f t="shared" ca="1" si="89"/>
        <v>#DIV/0!</v>
      </c>
      <c r="DQ23" s="101" t="e">
        <f t="shared" si="128"/>
        <v>#N/A</v>
      </c>
      <c r="DR23" s="91" t="e">
        <f t="shared" si="50"/>
        <v>#N/A</v>
      </c>
      <c r="DS23" s="30" t="e">
        <f t="shared" si="110"/>
        <v>#N/A</v>
      </c>
      <c r="DT23" s="30" t="e">
        <f t="shared" si="111"/>
        <v>#N/A</v>
      </c>
      <c r="DU23" s="31" t="e">
        <f>IF(OR(Hypothèses!$B$4=17,Hypothèses!$B$4=18,Hypothèses!$B$4=19,Hypothèses!$B$4=20),
IF($D23="Pressio.",
IF(OR($E23=3,$E23=1,$E23=4),DT23,DS23),
IF($D23="Pénétro.",
IF(OR($E23=3,$E23=1,$E23=4),DT23,DS23))),IF($D23="Pressio.",
IF($E23=3,DT23,DS23),
IF($D23="Pénétro.",
IF($E23=4,DT23,DS23))))</f>
        <v>#N/A</v>
      </c>
      <c r="DV23" s="31" t="e">
        <f>(IF(OR(Hypothèses!$B$4=17,Hypothèses!$B$4=18,Hypothèses!$B$4=19,Hypothèses!$B$4=20),
IF($D23="Pressio.",
IF(OR($E23=3,$E23=1,$E23=4),(PI()*DV$12^2)/4*(DR23*$W23*1000)/($H23*$B$5),(PI()*DV$12^2)/4*(DR23*$W23*1000)/($G23*$B$5)),
IF($D23="Pénétro.",
IF(OR($E23=4,$E23=1,$E23=5),(PI()*DV$12^2)/4*(DR23*$W23*1000)/($H23*$B$5),(PI()*DV$12^2)/4*(DR23*$W23*1000)/($G23*$B$5)))),
IF($D23="Pressio.",
IF($E23=3,(PI()*DV$12^2)/4*(DR23*$W23*1000)/($H23*$B$5),(PI()*DV$12^2)/4*(DR23*$W23*1000)/($G23*$B$5)),
IF($D23="Pénétro.",
IF($E23=4,(PI()*DV$12^2)/4*(DR23*$W23*1000)/($H23*$B$5),(PI()*DV$12^2)/4*(DR23*$W23*1000)/($G23*$B$5))))))/10</f>
        <v>#N/A</v>
      </c>
      <c r="DW23" s="102" t="e">
        <f>(VLOOKUP($B$3,'Coeff EC7'!$T$39:$X$59,2,0)*DU23+VLOOKUP($B$3,'Coeff EC7'!$T$65:$X$85,2,0)*Model0.1C!DV23)/1.1</f>
        <v>#N/A</v>
      </c>
      <c r="DX23" s="102" t="e">
        <f>(VLOOKUP($B$3,'Coeff EC7'!$T$39:$X$59,3,0)*DU23+VLOOKUP($B$3,'Coeff EC7'!$T$65:$X$85,3,0)*Model0.1C!DV23)/0.9</f>
        <v>#N/A</v>
      </c>
      <c r="DY23" s="102" t="e">
        <f t="shared" si="90"/>
        <v>#N/A</v>
      </c>
      <c r="DZ23" s="102" t="e">
        <f t="shared" si="91"/>
        <v>#N/A</v>
      </c>
      <c r="EA23" s="414" t="e">
        <f>IF(EA22=0,0,IF(AND(DW23&gt;charge_ELS_quasi,DX23&gt;Charge_ELS_freq,DY23&gt;charge_ELU,DZ23&gt;charge_ELA,$B23&gt;NDC!$H$22-0.1+MIN(3*$EA$12,1.5)),0,1))</f>
        <v>#N/A</v>
      </c>
      <c r="EB23" s="86" t="b">
        <f t="shared" si="53"/>
        <v>0</v>
      </c>
      <c r="EC23" s="418">
        <f t="shared" si="54"/>
        <v>0.51</v>
      </c>
      <c r="ED23" s="86">
        <f t="shared" si="55"/>
        <v>0.51</v>
      </c>
      <c r="EE23" s="30" t="e">
        <f t="shared" ca="1" si="92"/>
        <v>#DIV/0!</v>
      </c>
      <c r="EF23" s="85" t="e">
        <f ca="1">IF(DL23&lt;=Hypothèses!$V$7,Hypothèses!$W$7,IF(DL23&lt;=Hypothèses!$V$8,Hypothèses!$W$8,IF(DL23&lt;=Hypothèses!$V$9,Hypothèses!$W$9,IF(DL23&lt;=Hypothèses!$V$10,Hypothèses!$W$10,IF(DL23&lt;=Hypothèses!$V$11,Hypothèses!$W$11,IF(DL23&lt;=Hypothèses!$V$12,Hypothèses!$W$12,IF(DL23&lt;=Hypothèses!$V$13,Hypothèses!$W$13,IF(DL23&lt;=Hypothèses!$V$14,Hypothèses!$W$14,IF(DL23&lt;=Hypothèses!$V$15,Hypothèses!$W$15,IF(DL23&lt;=Hypothèses!$V$16,Hypothèses!$W$16,IF(DL23&lt;=Hypothèses!$V$17,Hypothèses!$W$17,IF(DL23&lt;=Hypothèses!$V$18,Hypothèses!$W$18,""))))))))))))</f>
        <v>#DIV/0!</v>
      </c>
      <c r="EG23" s="87" t="e">
        <f t="shared" ca="1" si="122"/>
        <v>#DIV/0!</v>
      </c>
      <c r="EH23" s="88" t="e">
        <f ca="1">IF(DL23&lt;=Hypothèses!$V$7,Hypothèses!$X$7,IF(DL23&lt;=Hypothèses!$V$8,Hypothèses!$X$8,IF(DL23&lt;=Hypothèses!$V$9,Hypothèses!$X$9,IF(DL23&lt;=Hypothèses!$V$10,Hypothèses!$X$10,IF(DL23&lt;=Hypothèses!$V$11,Hypothèses!$X$11,IF(DL23&lt;=Hypothèses!$V$12,Hypothèses!$X$12,IF(DL23&lt;=Hypothèses!$V$13,Hypothèses!$X$13,IF(DL23&lt;=Hypothèses!$V$14,Hypothèses!$X$14,IF(DL23&lt;=Hypothèses!$V$15,Hypothèses!$X$15,IF(DL23&lt;=Hypothèses!$V$16,Hypothèses!$X$16,IF(DL23&lt;=Hypothèses!$U$17,Hypothèses!$W$17,IF(DL23&lt;=Hypothèses!$U$18,Hypothèses!$W$18,""))))))))))))</f>
        <v>#DIV/0!</v>
      </c>
      <c r="EI23" s="95" t="e">
        <f t="shared" ca="1" si="93"/>
        <v>#DIV/0!</v>
      </c>
      <c r="EJ23" s="101" t="e">
        <f t="shared" si="129"/>
        <v>#N/A</v>
      </c>
      <c r="EK23" s="91" t="e">
        <f t="shared" si="57"/>
        <v>#N/A</v>
      </c>
      <c r="EL23" s="30" t="e">
        <f t="shared" si="112"/>
        <v>#N/A</v>
      </c>
      <c r="EM23" s="30" t="e">
        <f t="shared" si="113"/>
        <v>#N/A</v>
      </c>
      <c r="EN23" s="31" t="e">
        <f>IF(OR(Hypothèses!$B$4=17,Hypothèses!$B$4=18,Hypothèses!$B$4=19,Hypothèses!$B$4=20),
IF($D23="Pressio.",
IF(OR($E23=3,$E23=1,$E23=4),EM23,EL23),
IF($D23="Pénétro.",
IF(OR($E23=3,$E23=1,$E23=4),EM23,EL23))),IF($D23="Pressio.",
IF($E23=3,EM23,EL23),
IF($D23="Pénétro.",
IF($E23=4,EM23,EL23))))</f>
        <v>#N/A</v>
      </c>
      <c r="EO23" s="31" t="e">
        <f>(IF(OR(Hypothèses!$B$4=17,Hypothèses!$B$4=18,Hypothèses!$B$4=19,Hypothèses!$B$4=20),
IF($D23="Pressio.",
IF(OR($E23=3,$E23=1,$E23=4),(PI()*EO$12^2)/4*(EK23*$W23*1000)/($H23*$B$5),(PI()*EO$12^2)/4*(EK23*$W23*1000)/($G23*$B$5)),
IF($D23="Pénétro.",
IF(OR($E23=4,$E23=1,$E23=5),(PI()*EO$12^2)/4*(EK23*$W23*1000)/($H23*$B$5),(PI()*EO$12^2)/4*(EK23*$W23*1000)/($G23*$B$5)))),
IF($D23="Pressio.",
IF($E23=3,(PI()*EO$12^2)/4*(EK23*$W23*1000)/($H23*$B$5),(PI()*EO$12^2)/4*(EK23*$W23*1000)/($G23*$B$5)),
IF($D23="Pénétro.",
IF($E23=4,(PI()*EO$12^2)/4*(EK23*$W23*1000)/($H23*$B$5),(PI()*EO$12^2)/4*(EK23*$W23*1000)/($G23*$B$5))))))/10</f>
        <v>#N/A</v>
      </c>
      <c r="EP23" s="102" t="e">
        <f>(VLOOKUP($B$3,'Coeff EC7'!$T$39:$X$59,2,0)*EN23+VLOOKUP($B$3,'Coeff EC7'!$T$65:$X$85,2,0)*Model0.1C!EO23)/1.1</f>
        <v>#N/A</v>
      </c>
      <c r="EQ23" s="102" t="e">
        <f>(VLOOKUP($B$3,'Coeff EC7'!$T$39:$X$59,3,0)*EN23+VLOOKUP($B$3,'Coeff EC7'!$T$65:$X$85,3,0)*Model0.1C!EO23)/0.9</f>
        <v>#N/A</v>
      </c>
      <c r="ER23" s="102" t="e">
        <f t="shared" si="94"/>
        <v>#N/A</v>
      </c>
      <c r="ES23" s="102" t="e">
        <f t="shared" si="95"/>
        <v>#N/A</v>
      </c>
      <c r="ET23" s="414" t="e">
        <f>IF(ET22=0,0,IF(AND(EP23&gt;charge_ELS_quasi,EQ23&gt;Charge_ELS_freq,ER23&gt;charge_ELU,ES23&gt;charge_ELA,$B23&gt;NDC!$H$22-0.1+MIN(3*$ET$12,1.5)),0,1))</f>
        <v>#N/A</v>
      </c>
      <c r="EU23" s="86" t="b">
        <f t="shared" si="60"/>
        <v>0</v>
      </c>
      <c r="EV23" s="86">
        <f t="shared" si="61"/>
        <v>0.61</v>
      </c>
      <c r="EW23" s="86">
        <f t="shared" si="62"/>
        <v>0.61</v>
      </c>
      <c r="EX23" s="30" t="e">
        <f t="shared" ca="1" si="96"/>
        <v>#DIV/0!</v>
      </c>
      <c r="EY23" s="85" t="e">
        <f ca="1">IF(EE23&lt;=Hypothèses!$V$7,Hypothèses!$W$7,IF(EE23&lt;=Hypothèses!$V$8,Hypothèses!$W$8,IF(EE23&lt;=Hypothèses!$V$9,Hypothèses!$W$9,IF(EE23&lt;=Hypothèses!$V$10,Hypothèses!$W$10,IF(EE23&lt;=Hypothèses!$V$11,Hypothèses!$W$11,IF(EE23&lt;=Hypothèses!$V$12,Hypothèses!$W$12,IF(EE23&lt;=Hypothèses!$V$13,Hypothèses!$W$13,IF(EE23&lt;=Hypothèses!$V$14,Hypothèses!$W$14,IF(EE23&lt;=Hypothèses!$V$15,Hypothèses!$W$15,IF(EE23&lt;=Hypothèses!$V$16,Hypothèses!$W$16,IF(EE23&lt;=Hypothèses!$V$17,Hypothèses!$W$17,IF(EE23&lt;=Hypothèses!$V$18,Hypothèses!$W$18,""))))))))))))</f>
        <v>#DIV/0!</v>
      </c>
      <c r="EZ23" s="87" t="e">
        <f t="shared" ca="1" si="123"/>
        <v>#DIV/0!</v>
      </c>
      <c r="FA23" s="88" t="e">
        <f ca="1">IF(EE23&lt;=Hypothèses!$V$7,Hypothèses!$X$7,IF(EE23&lt;=Hypothèses!$V$8,Hypothèses!$X$8,IF(EE23&lt;=Hypothèses!$V$9,Hypothèses!$X$9,IF(EE23&lt;=Hypothèses!$V$10,Hypothèses!$X$10,IF(EE23&lt;=Hypothèses!$V$11,Hypothèses!$X$11,IF(EE23&lt;=Hypothèses!$V$12,Hypothèses!$X$12,IF(EE23&lt;=Hypothèses!$V$13,Hypothèses!$X$13,IF(EE23&lt;=Hypothèses!$V$14,Hypothèses!$X$14,IF(EE23&lt;=Hypothèses!$V$15,Hypothèses!$X$15,IF(EE23&lt;=Hypothèses!$V$16,Hypothèses!$X$16,IF(EE23&lt;=Hypothèses!$U$17,Hypothèses!$W$17,IF(EE23&lt;=Hypothèses!$U$18,Hypothèses!$W$18,""))))))))))))</f>
        <v>#DIV/0!</v>
      </c>
      <c r="FB23" s="95" t="e">
        <f t="shared" ca="1" si="97"/>
        <v>#DIV/0!</v>
      </c>
      <c r="FC23" s="101" t="e">
        <f t="shared" si="130"/>
        <v>#N/A</v>
      </c>
      <c r="FD23" s="91" t="e">
        <f t="shared" si="64"/>
        <v>#N/A</v>
      </c>
      <c r="FE23" s="30" t="e">
        <f t="shared" si="114"/>
        <v>#N/A</v>
      </c>
      <c r="FF23" s="30" t="e">
        <f t="shared" si="115"/>
        <v>#N/A</v>
      </c>
      <c r="FG23" s="31" t="e">
        <f>IF(OR(Hypothèses!$B$4=17,Hypothèses!$B$4=18,Hypothèses!$B$4=19,Hypothèses!$B$4=20),
IF($D23="Pressio.",
IF(OR($E23=3,$E23=1,$E23=4),FF23,FE23),
IF($D23="Pénétro.",
IF(OR($E23=3,$E23=1,$E23=4),FF23,FE23))),IF($D23="Pressio.",
IF($E23=3,FF23,FE23),
IF($D23="Pénétro.",
IF($E23=4,FF23,FE23))))</f>
        <v>#N/A</v>
      </c>
      <c r="FH23" s="31" t="e">
        <f>(IF(OR(Hypothèses!$B$4=17,Hypothèses!$B$4=18,Hypothèses!$B$4=19,Hypothèses!$B$4=20),
IF($D23="Pressio.",
IF(OR($E23=3,$E23=1,$E23=4),(PI()*FH$12^2)/4*(FD23*$W23*1000)/($H23*$B$5),(PI()*FH$12^2)/4*(FD23*$W23*1000)/($G23*$B$5)),
IF($D23="Pénétro.",
IF(OR($E23=4,$E23=1,$E23=5),(PI()*FH$12^2)/4*(FD23*$W23*1000)/($H23*$B$5),(PI()*FH$12^2)/4*(FD23*$W23*1000)/($G23*$B$5)))),
IF($D23="Pressio.",
IF($E23=3,(PI()*FH$12^2)/4*(FD23*$W23*1000)/($H23*$B$5),(PI()*FH$12^2)/4*(FD23*$W23*1000)/($G23*$B$5)),
IF($D23="Pénétro.",
IF($E23=4,(PI()*FH$12^2)/4*(FD23*$W23*1000)/($H23*$B$5),(PI()*FH$12^2)/4*(FD23*$W23*1000)/($G23*$B$5))))))/10</f>
        <v>#N/A</v>
      </c>
      <c r="FI23" s="102" t="e">
        <f>(VLOOKUP($B$3,'Coeff EC7'!$T$39:$X$59,2,0)*FG23+VLOOKUP($B$3,'Coeff EC7'!$T$65:$X$85,2,0)*Model0.1C!FH23)/1.1</f>
        <v>#N/A</v>
      </c>
      <c r="FJ23" s="102" t="e">
        <f>(VLOOKUP($B$3,'Coeff EC7'!$T$39:$X$59,3,0)*FG23+VLOOKUP($B$3,'Coeff EC7'!$T$65:$X$85,3,0)*Model0.1C!FH23)/0.9</f>
        <v>#N/A</v>
      </c>
      <c r="FK23" s="102" t="e">
        <f t="shared" si="98"/>
        <v>#N/A</v>
      </c>
      <c r="FL23" s="102" t="e">
        <f t="shared" si="99"/>
        <v>#N/A</v>
      </c>
      <c r="FM23" s="414" t="e">
        <f>IF(FM22=0,0,IF(AND(FI23&gt;charge_ELS_quasi,FJ23&gt;Charge_ELS_freq,FK23&gt;charge_ELU,FL23&gt;charge_ELA,$B23&gt;NDC!$H$22-0.1+MIN(3*$FM$12,1.5)),0,1))</f>
        <v>#N/A</v>
      </c>
    </row>
    <row r="24" spans="1:169">
      <c r="A24" s="96">
        <f t="shared" si="67"/>
        <v>98.900000000000063</v>
      </c>
      <c r="B24" s="97">
        <v>1.1000000000000001</v>
      </c>
      <c r="C24" s="81">
        <f>IF(B24&lt;=Hypothèses!$C$7,Hypothèses!$A$7,IF(B24&lt;=Hypothèses!$C$8,Hypothèses!$A$8,IF(B24&lt;=Hypothèses!$C$9,Hypothèses!$A$9,IF(B24&lt;=Hypothèses!$C$10,Hypothèses!$A$10,IF(B24&lt;=Hypothèses!$C$11,Hypothèses!$A$11,IF(B24&lt;=Hypothèses!$C$12,Hypothèses!$A$12,IF(B24&lt;=Hypothèses!$C$13,Hypothèses!$A$13,IF(B24&lt;=Hypothèses!$C$14,Hypothèses!$A$14,IF(B24&lt;=Hypothèses!$C$15,Hypothèses!$A$15,IF(B24&lt;=Hypothèses!$C$16,Hypothèses!$A$16,IF(B24&lt;=Hypothèses!$C$17,Hypothèses!$A$17,IF(B24&lt;=Hypothèses!$C$18,Hypothèses!$A$18,C23))))))))))))</f>
        <v>11</v>
      </c>
      <c r="D24" s="82" t="str">
        <f>IF(B24&lt;=Hypothèses!$C$7,Hypothèses!$R$7,IF(B24&lt;=Hypothèses!$C$8,Hypothèses!$R$8,IF(B24&lt;=Hypothèses!$C$9,Hypothèses!$R$9,IF(B24&lt;=Hypothèses!$C$10,Hypothèses!$R$10,IF(B24&lt;=Hypothèses!$C$11,Hypothèses!$R$11,IF(B24&lt;=Hypothèses!$C$12,Hypothèses!$R$12,IF(B24&lt;=Hypothèses!$C$13,Hypothèses!$R$13,IF(B24&lt;=Hypothèses!$C$14,Hypothèses!$R$14,IF(B24&lt;=Hypothèses!$C$15,Hypothèses!$R$15,IF(B24&lt;=Hypothèses!$C$16,Hypothèses!$R$16,IF(B24&lt;=Hypothèses!$C$17,Hypothèses!$R$17,IF(B24&lt;=Hypothèses!$C$18,Hypothèses!$R$18,D23))))))))))))</f>
        <v>Pressio.</v>
      </c>
      <c r="E24" s="82" t="e">
        <f>IF(B24&lt;=Hypothèses!$C$7,Hypothèses!$G$7,IF(B24&lt;=Hypothèses!$C$8,Hypothèses!$G$8,IF(B24&lt;=Hypothèses!$C$9,Hypothèses!$G$9,IF(B24&lt;=Hypothèses!$C$10,Hypothèses!$G$10,IF(B24&lt;=Hypothèses!$C$11,Hypothèses!$G$11,IF(B24&lt;=Hypothèses!$C$12,Hypothèses!$G$12,IF(B24&lt;=Hypothèses!$C$13,Hypothèses!$G$13,IF(B24&lt;=Hypothèses!$C$14,Hypothèses!$G$14,IF(B24&lt;=Hypothèses!$C$15,Hypothèses!$G$15,IF(B24&lt;=Hypothèses!$C$16,Hypothèses!$G$16,IF(B24&lt;=Hypothèses!$C$17,Hypothèses!$G$17,IF(B24&lt;=Hypothèses!$C$18,Hypothèses!$G$18,E23))))))))))))</f>
        <v>#N/A</v>
      </c>
      <c r="F24" s="82" t="str">
        <f>IF(B24&lt;=Hypothèses!$C$7,Hypothèses!$F$7,IF(B24&lt;=Hypothèses!$C$8,Hypothèses!$F$8,IF(B24&lt;=Hypothèses!$C$9,Hypothèses!$F$9,IF(B24&lt;=Hypothèses!$C$10,Hypothèses!$F$10,IF(B24&lt;=Hypothèses!$C$11,Hypothèses!$F$11,IF(B24&lt;=Hypothèses!$C$12,Hypothèses!$F$12,IF(B24&lt;=Hypothèses!$C$13,Hypothèses!$F$13,IF(B24&lt;=Hypothèses!$C$14,Hypothèses!$F$14,IF(B24&lt;=Hypothèses!$C$15,Hypothèses!$F$15,IF(B24&lt;=Hypothèses!$C$16,Hypothèses!$F$16,IF(B24&lt;=Hypothèses!$C$17,Hypothèses!$F$17,IF(B24&lt;=Hypothèses!$C$18,Hypothèses!$F$18,F23))))))))))))</f>
        <v/>
      </c>
      <c r="G24" s="91">
        <f t="array" ref="G24">INDEX('Coeff EC7'!$U$7:$X$27,
MATCH(Model0.1C!$B$3,'Coeff EC7'!$T$7:$T$27,0),
MATCH(Model0.1C!$D24&amp;Model0.1C!$B$4,
'Coeff EC7'!$U$6:$X$6&amp;
'Coeff EC7'!$U$5:$X$5,0))</f>
        <v>1.1499999999999999</v>
      </c>
      <c r="H24" s="91">
        <f t="array" ref="H24">INDEX('Coeff EC7'!$Y$7:$AB$27,
MATCH(Model0.1C!$B$3,'Coeff EC7'!$T$7:$T$27,0),
MATCH(Model0.1C!$D24&amp;Model0.1C!$B$4,
'Coeff EC7'!$Y$6:$AB$6&amp;
'Coeff EC7'!$Y$5:$AB$5,0))</f>
        <v>1.4</v>
      </c>
      <c r="I24" s="83" t="e">
        <f>IF(B24&lt;=Hypothèses!$C$7,Hypothèses!$P$7,IF(B24&lt;=Hypothèses!$C$8,Hypothèses!$P$8,IF(B24&lt;=Hypothèses!$C$9,Hypothèses!$P$9,IF(B24&lt;=Hypothèses!$C$10,Hypothèses!$P$10,IF(B24&lt;=Hypothèses!$C$11,Hypothèses!$P$11,IF(B24&lt;=Hypothèses!$C$12,Hypothèses!$P$12,IF(B24&lt;=Hypothèses!$C$13,Hypothèses!$P$13,IF(B24&lt;=Hypothèses!$C$14,Hypothèses!$P$14,IF(B24&lt;=Hypothèses!$C$15,Hypothèses!$P$15,IF(B24&lt;=Hypothèses!$C$16,Hypothèses!$P$16,IF(B24&lt;=Hypothèses!$C$17,Hypothèses!$P$17,IF(B24&lt;=Hypothèses!$C$18,Hypothèses!$P$18,I23))))))))))))</f>
        <v>#N/A</v>
      </c>
      <c r="J24" s="91" t="e">
        <f t="array" ref="J24">INDEX('Coeff EC7'!$D$33:$Q$33,1,MATCH(D24&amp;E24,'Coeff EC7'!$D$31:$Q$31&amp;'Coeff EC7'!$D$32:$Q$32,0))</f>
        <v>#N/A</v>
      </c>
      <c r="K24" s="91" t="e">
        <f t="array" ref="K24">INDEX('Coeff EC7'!$D$34:$Q$34,1,MATCH(D24&amp;E24,'Coeff EC7'!$D$31:$Q$31&amp;'Coeff EC7'!$D$32:$Q$32,0))</f>
        <v>#N/A</v>
      </c>
      <c r="L24" s="91" t="e">
        <f t="array" ref="L24">INDEX('Coeff EC7'!$D$35:$Q$35,1,MATCH(D24&amp;E24,'Coeff EC7'!$D$31:$Q$31&amp;'Coeff EC7'!$D$32:$Q$32,0))</f>
        <v>#N/A</v>
      </c>
      <c r="M24" s="98" t="e">
        <f t="shared" si="8"/>
        <v>#N/A</v>
      </c>
      <c r="N24" s="99" t="e">
        <f t="array" ref="N24">INDEX('Coeff EC7'!$D$7:$Q$27,MATCH($B$3,'Coeff EC7'!$C$7:$C$27,0),MATCH(D24&amp;E24,'Coeff EC7'!$D$5:$Q$5&amp;'Coeff EC7'!$D$6:$Q$6,0))</f>
        <v>#N/A</v>
      </c>
      <c r="O24" s="99" t="e">
        <f t="array" ref="O24">INDEX('Coeff EC7'!$D$41:$Q$61,MATCH($B$3,'Coeff EC7'!$C$41:$C$61,0),MATCH(D24&amp;E24,'Coeff EC7'!$D$39:$Q$39&amp;'Coeff EC7'!$D$40:$Q$40,0))</f>
        <v>#N/A</v>
      </c>
      <c r="P24" s="30" t="e">
        <f t="shared" si="68"/>
        <v>#N/A</v>
      </c>
      <c r="Q24" s="100" t="e">
        <f t="shared" si="10"/>
        <v>#N/A</v>
      </c>
      <c r="R24" s="86" t="b">
        <f t="shared" si="11"/>
        <v>0</v>
      </c>
      <c r="S24" s="86">
        <f t="shared" si="9"/>
        <v>0.5</v>
      </c>
      <c r="T24" s="86">
        <f t="shared" si="12"/>
        <v>0.5</v>
      </c>
      <c r="U24" s="30" t="e">
        <f t="shared" ca="1" si="69"/>
        <v>#DIV/0!</v>
      </c>
      <c r="V24" s="85" t="str">
        <f>IF(B24&lt;=Hypothèses!$V$7,Hypothèses!$W$7,IF(B24&lt;=Hypothèses!$V$8,Hypothèses!$W$8,IF(B24&lt;=Hypothèses!$V$9,Hypothèses!$W$9,IF(B24&lt;=Hypothèses!$V$10,Hypothèses!$W$10,IF(B24&lt;=Hypothèses!$V$11,Hypothèses!$W$11,IF(B24&lt;=Hypothèses!$V$12,Hypothèses!$W$12,IF(B24&lt;=Hypothèses!$V$13,Hypothèses!$W$13,IF(B24&lt;=Hypothèses!$V$14,Hypothèses!$W$14,IF(B24&lt;=Hypothèses!$V$15,Hypothèses!$W$15,IF(B24&lt;=Hypothèses!$V$16,Hypothèses!$W$16,IF(B24&lt;=Hypothèses!$V$17,Hypothèses!$W$17,IF(B24&lt;=Hypothèses!$V$18,Hypothèses!$W$18,""))))))))))))</f>
        <v/>
      </c>
      <c r="W24" s="87" t="e">
        <f t="shared" ca="1" si="116"/>
        <v>#DIV/0!</v>
      </c>
      <c r="X24" s="88" t="str">
        <f>IF(B24&lt;=Hypothèses!$V$7,Hypothèses!$X$7,IF(B24&lt;=Hypothèses!$V$8,Hypothèses!$X$8,IF(B24&lt;=Hypothèses!$V$9,Hypothèses!$X$9,IF(B24&lt;=Hypothèses!$V$10,Hypothèses!$X$10,IF(B24&lt;=Hypothèses!$V$11,Hypothèses!$X$11,IF(B24&lt;=Hypothèses!$V$12,Hypothèses!$X$12,IF(B24&lt;=Hypothèses!$V$13,Hypothèses!$X$13,IF(B24&lt;=Hypothèses!$V$14,Hypothèses!$X$14,IF(B24&lt;=Hypothèses!$V$15,Hypothèses!$X$15,IF(B24&lt;=Hypothèses!$V$16,Hypothèses!$X$16,IF(B24&lt;=Hypothèses!$U$17,Hypothèses!$W$17,IF(B24&lt;=Hypothèses!$U$18,Hypothèses!$W$18,""))))))))))))</f>
        <v/>
      </c>
      <c r="Y24" s="95" t="e">
        <f t="shared" ca="1" si="13"/>
        <v>#DIV/0!</v>
      </c>
      <c r="Z24" s="101" t="e">
        <f t="shared" si="14"/>
        <v>#N/A</v>
      </c>
      <c r="AA24" s="91" t="e">
        <f t="shared" si="15"/>
        <v>#N/A</v>
      </c>
      <c r="AB24" s="30" t="e">
        <f t="shared" si="100"/>
        <v>#N/A</v>
      </c>
      <c r="AC24" s="30" t="e">
        <f t="shared" si="101"/>
        <v>#N/A</v>
      </c>
      <c r="AD24" s="31" t="e">
        <f>IF(OR(Hypothèses!$B$4=17,Hypothèses!$B$4=18,Hypothèses!$B$4=19,Hypothèses!$B$4=20),
IF($D24="Pressio.",
IF(OR($E24=3,$E24=1,$E24=4),AC24,AB24),
IF($D24="Pénétro.",
IF(OR($E24=3,$E24=1,$E24=4),AC24,AB24))),IF($D24="Pressio.",
IF($E24=3,AC24,AB24),
IF($D24="Pénétro.",
IF($E24=4,AC24,AB24))))</f>
        <v>#N/A</v>
      </c>
      <c r="AE24" s="31" t="e">
        <f>(IF(OR(Hypothèses!$B$4=17,Hypothèses!$B$4=18,Hypothèses!$B$4=19,Hypothèses!$B$4=20),
IF($D24="Pressio.",
IF(OR($E24=3,$E24=1,$E24=4),(PI()*AE$12^2)/4*(AA24*$W24*1000)/($H24*$B$5),(PI()*AE$12^2)/4*(AA24*$W24*1000)/($G24*$B$5)),
IF($D24="Pénétro.",
IF(OR($E24=4,$E24=1,$E24=5),(PI()*AE$12^2)/4*(AA24*$W24*1000)/($H24*$B$5),(PI()*AE$12^2)/4*(AA24*$W24*1000)/($G24*$B$5)))),
IF($D24="Pressio.",
IF($E24=3,(PI()*AE$12^2)/4*(AA24*$W24*1000)/($H24*$B$5),(PI()*AE$12^2)/4*(AA24*$W24*1000)/($G24*$B$5)),
IF($D24="Pénétro.",
IF($E24=4,(PI()*AE$12^2)/4*(AA24*$W24*1000)/($H24*$B$5),(PI()*AE$12^2)/4*(AA24*$W24*1000)/($G24*$B$5))))))/10</f>
        <v>#N/A</v>
      </c>
      <c r="AF24" s="102" t="e">
        <f>(VLOOKUP($B$3,'Coeff EC7'!$T$39:$X$59,2,0)*AD24+VLOOKUP($B$3,'Coeff EC7'!$T$65:$X$85,2,0)*Model0.1C!AE24)/1.1</f>
        <v>#N/A</v>
      </c>
      <c r="AG24" s="102" t="e">
        <f>(VLOOKUP($B$3,'Coeff EC7'!$T$39:$X$59,3,0)*AD24+VLOOKUP($B$3,'Coeff EC7'!$T$65:$X$85,3,0)*Model0.1C!AE24)/0.9</f>
        <v>#N/A</v>
      </c>
      <c r="AH24" s="102" t="e">
        <f t="shared" si="18"/>
        <v>#N/A</v>
      </c>
      <c r="AI24" s="102" t="e">
        <f t="shared" si="19"/>
        <v>#N/A</v>
      </c>
      <c r="AJ24" s="414" t="e">
        <f>IF(AJ23=0,0,IF(AND(AF24&gt;charge_ELS_quasi,AG24&gt;Charge_ELS_freq,AH24&gt;charge_ELU,AI24&gt;charge_ELA,$B24&gt;NDC!$H$22-0.1+MIN(3*$AJ$12,1.5)),0,1))</f>
        <v>#N/A</v>
      </c>
      <c r="AK24" s="86" t="b">
        <f t="shared" si="20"/>
        <v>0</v>
      </c>
      <c r="AL24" s="86">
        <f t="shared" si="70"/>
        <v>0.5</v>
      </c>
      <c r="AM24" s="86">
        <f t="shared" si="21"/>
        <v>0.5</v>
      </c>
      <c r="AN24" s="30" t="e">
        <f t="shared" ca="1" si="71"/>
        <v>#DIV/0!</v>
      </c>
      <c r="AO24" s="85" t="e">
        <f ca="1">IF(U24&lt;=Hypothèses!$V$7,Hypothèses!$W$7,IF(U24&lt;=Hypothèses!$V$8,Hypothèses!$W$8,IF(U24&lt;=Hypothèses!$V$9,Hypothèses!$W$9,IF(U24&lt;=Hypothèses!$V$10,Hypothèses!$W$10,IF(U24&lt;=Hypothèses!$V$11,Hypothèses!$W$11,IF(U24&lt;=Hypothèses!$V$12,Hypothèses!$W$12,IF(U24&lt;=Hypothèses!$V$13,Hypothèses!$W$13,IF(U24&lt;=Hypothèses!$V$14,Hypothèses!$W$14,IF(U24&lt;=Hypothèses!$V$15,Hypothèses!$W$15,IF(U24&lt;=Hypothèses!$V$16,Hypothèses!$W$16,IF(U24&lt;=Hypothèses!$V$17,Hypothèses!$W$17,IF(U24&lt;=Hypothèses!$V$18,Hypothèses!$W$18,""))))))))))))</f>
        <v>#DIV/0!</v>
      </c>
      <c r="AP24" s="87" t="e">
        <f t="shared" ca="1" si="117"/>
        <v>#DIV/0!</v>
      </c>
      <c r="AQ24" s="88" t="e">
        <f ca="1">IF(U24&lt;=Hypothèses!$V$7,Hypothèses!$X$7,IF(U24&lt;=Hypothèses!$V$8,Hypothèses!$X$8,IF(U24&lt;=Hypothèses!$V$9,Hypothèses!$X$9,IF(U24&lt;=Hypothèses!$V$10,Hypothèses!$X$10,IF(U24&lt;=Hypothèses!$V$11,Hypothèses!$X$11,IF(U24&lt;=Hypothèses!$V$12,Hypothèses!$X$12,IF(U24&lt;=Hypothèses!$V$13,Hypothèses!$X$13,IF(U24&lt;=Hypothèses!$V$14,Hypothèses!$X$14,IF(U24&lt;=Hypothèses!$V$15,Hypothèses!$X$15,IF(U24&lt;=Hypothèses!$V$16,Hypothèses!$X$16,IF(U24&lt;=Hypothèses!$U$17,Hypothèses!$W$17,IF(U24&lt;=Hypothèses!$U$18,Hypothèses!$W$18,""))))))))))))</f>
        <v>#DIV/0!</v>
      </c>
      <c r="AR24" s="95" t="e">
        <f t="shared" ca="1" si="72"/>
        <v>#DIV/0!</v>
      </c>
      <c r="AS24" s="101" t="e">
        <f t="shared" si="124"/>
        <v>#N/A</v>
      </c>
      <c r="AT24" s="91" t="e">
        <f t="shared" si="23"/>
        <v>#N/A</v>
      </c>
      <c r="AU24" s="30" t="e">
        <f t="shared" si="102"/>
        <v>#N/A</v>
      </c>
      <c r="AV24" s="30" t="e">
        <f t="shared" si="103"/>
        <v>#N/A</v>
      </c>
      <c r="AW24" s="31" t="e">
        <f>IF(OR(Hypothèses!$B$4=17,Hypothèses!$B$4=18,Hypothèses!$B$4=19,Hypothèses!$B$4=20),
IF($D24="Pressio.",
IF(OR($E24=3,$E24=1,$E24=4),AV24,AU24),
IF($D24="Pénétro.",
IF(OR($E24=3,$E24=1,$E24=4),AV24,AU24))),IF($D24="Pressio.",
IF($E24=3,AV24,AU24),
IF($D24="Pénétro.",
IF($E24=4,AV24,AU24))))</f>
        <v>#N/A</v>
      </c>
      <c r="AX24" s="31" t="e">
        <f>(IF(OR(Hypothèses!$B$4=17,Hypothèses!$B$4=18,Hypothèses!$B$4=19,Hypothèses!$B$4=20),
IF($D24="Pressio.",
IF(OR($E24=3,$E24=1,$E24=4),(PI()*AX$12^2)/4*(AT24*$W24*1000)/($H24*$B$5),(PI()*AX$12^2)/4*(AT24*$W24*1000)/($G24*$B$5)),
IF($D24="Pénétro.",
IF(OR($E24=4,$E24=1,$E24=5),(PI()*AX$12^2)/4*(AT24*$W24*1000)/($H24*$B$5),(PI()*AX$12^2)/4*(AT24*$W24*1000)/($G24*$B$5)))),
IF($D24="Pressio.",
IF($E24=3,(PI()*AX$12^2)/4*(AT24*$W24*1000)/($H24*$B$5),(PI()*AX$12^2)/4*(AT24*$W24*1000)/($G24*$B$5)),
IF($D24="Pénétro.",
IF($E24=4,(PI()*AX$12^2)/4*(AT24*$W24*1000)/($H24*$B$5),(PI()*AX$12^2)/4*(AT24*$W24*1000)/($G24*$B$5))))))/10</f>
        <v>#N/A</v>
      </c>
      <c r="AY24" s="102" t="e">
        <f>(VLOOKUP($B$3,'Coeff EC7'!$T$39:$X$59,2,0)*AW24+VLOOKUP($B$3,'Coeff EC7'!$T$65:$X$85,2,0)*Model0.1C!AX24)/1.1</f>
        <v>#N/A</v>
      </c>
      <c r="AZ24" s="102" t="e">
        <f>(VLOOKUP($B$3,'Coeff EC7'!$T$39:$X$59,3,0)*AW24+VLOOKUP($B$3,'Coeff EC7'!$T$65:$X$85,3,0)*Model0.1C!AX24)/0.9</f>
        <v>#N/A</v>
      </c>
      <c r="BA24" s="102" t="e">
        <f t="shared" si="73"/>
        <v>#N/A</v>
      </c>
      <c r="BB24" s="102" t="e">
        <f t="shared" si="74"/>
        <v>#N/A</v>
      </c>
      <c r="BC24" s="414" t="e">
        <f>IF(BC23=0,0,IF(AND(AY24&gt;charge_ELS_quasi,AZ24&gt;Charge_ELS_freq,BA24&gt;charge_ELU,BB24&gt;charge_ELA,$B24&gt;NDC!$H$22-0.1+MIN(3*$BC$12,1.5)),0,1))</f>
        <v>#N/A</v>
      </c>
      <c r="BD24" s="86" t="b">
        <f t="shared" si="26"/>
        <v>0</v>
      </c>
      <c r="BE24" s="86">
        <f t="shared" si="75"/>
        <v>0.5</v>
      </c>
      <c r="BF24" s="86">
        <f t="shared" si="27"/>
        <v>0.5</v>
      </c>
      <c r="BG24" s="30" t="e">
        <f t="shared" ca="1" si="76"/>
        <v>#DIV/0!</v>
      </c>
      <c r="BH24" s="85" t="e">
        <f ca="1">IF(AN24&lt;=Hypothèses!$V$7,Hypothèses!$W$7,IF(AN24&lt;=Hypothèses!$V$8,Hypothèses!$W$8,IF(AN24&lt;=Hypothèses!$V$9,Hypothèses!$W$9,IF(AN24&lt;=Hypothèses!$V$10,Hypothèses!$W$10,IF(AN24&lt;=Hypothèses!$V$11,Hypothèses!$W$11,IF(AN24&lt;=Hypothèses!$V$12,Hypothèses!$W$12,IF(AN24&lt;=Hypothèses!$V$13,Hypothèses!$W$13,IF(AN24&lt;=Hypothèses!$V$14,Hypothèses!$W$14,IF(AN24&lt;=Hypothèses!$V$15,Hypothèses!$W$15,IF(AN24&lt;=Hypothèses!$V$16,Hypothèses!$W$16,IF(AN24&lt;=Hypothèses!$V$17,Hypothèses!$W$17,IF(AN24&lt;=Hypothèses!$V$18,Hypothèses!$W$18,""))))))))))))</f>
        <v>#DIV/0!</v>
      </c>
      <c r="BI24" s="87" t="e">
        <f t="shared" ca="1" si="118"/>
        <v>#DIV/0!</v>
      </c>
      <c r="BJ24" s="88" t="e">
        <f ca="1">IF(AN24&lt;=Hypothèses!$V$7,Hypothèses!$X$7,IF(AN24&lt;=Hypothèses!$V$8,Hypothèses!$X$8,IF(AN24&lt;=Hypothèses!$V$9,Hypothèses!$X$9,IF(AN24&lt;=Hypothèses!$V$10,Hypothèses!$X$10,IF(AN24&lt;=Hypothèses!$V$11,Hypothèses!$X$11,IF(AN24&lt;=Hypothèses!$V$12,Hypothèses!$X$12,IF(AN24&lt;=Hypothèses!$V$13,Hypothèses!$X$13,IF(AN24&lt;=Hypothèses!$V$14,Hypothèses!$X$14,IF(AN24&lt;=Hypothèses!$V$15,Hypothèses!$X$15,IF(AN24&lt;=Hypothèses!$V$16,Hypothèses!$X$16,IF(AN24&lt;=Hypothèses!$U$17,Hypothèses!$W$17,IF(AN24&lt;=Hypothèses!$U$18,Hypothèses!$W$18,""))))))))))))</f>
        <v>#DIV/0!</v>
      </c>
      <c r="BK24" s="95" t="e">
        <f t="shared" ca="1" si="77"/>
        <v>#DIV/0!</v>
      </c>
      <c r="BL24" s="101" t="e">
        <f t="shared" si="125"/>
        <v>#N/A</v>
      </c>
      <c r="BM24" s="91" t="e">
        <f t="shared" si="29"/>
        <v>#N/A</v>
      </c>
      <c r="BN24" s="30" t="e">
        <f t="shared" si="104"/>
        <v>#N/A</v>
      </c>
      <c r="BO24" s="30" t="e">
        <f t="shared" si="105"/>
        <v>#N/A</v>
      </c>
      <c r="BP24" s="31" t="e">
        <f>IF(OR(Hypothèses!$B$4=17,Hypothèses!$B$4=18,Hypothèses!$B$4=19,Hypothèses!$B$4=20),
IF($D24="Pressio.",
IF(OR($E24=3,$E24=1,$E24=4),BO24,BN24),
IF($D24="Pénétro.",
IF(OR($E24=3,$E24=1,$E24=4),BO24,BN24))),IF($D24="Pressio.",
IF($E24=3,BO24,BN24),
IF($D24="Pénétro.",
IF($E24=4,BO24,BN24))))</f>
        <v>#N/A</v>
      </c>
      <c r="BQ24" s="31" t="e">
        <f>(IF(OR(Hypothèses!$B$4=17,Hypothèses!$B$4=18,Hypothèses!$B$4=19,Hypothèses!$B$4=20),
IF($D24="Pressio.",
IF(OR($E24=3,$E24=1,$E24=4),(PI()*BQ$12^2)/4*(BM24*$W24*1000)/($H24*$B$5),(PI()*BQ$12^2)/4*(BM24*$W24*1000)/($G24*$B$5)),
IF($D24="Pénétro.",
IF(OR($E24=4,$E24=1,$E24=5),(PI()*BQ$12^2)/4*(BM24*$W24*1000)/($H24*$B$5),(PI()*BQ$12^2)/4*(BM24*$W24*1000)/($G24*$B$5)))),
IF($D24="Pressio.",
IF($E24=3,(PI()*BQ$12^2)/4*(BM24*$W24*1000)/($H24*$B$5),(PI()*BQ$12^2)/4*(BM24*$W24*1000)/($G24*$B$5)),
IF($D24="Pénétro.",
IF($E24=4,(PI()*BQ$12^2)/4*(BM24*$W24*1000)/($H24*$B$5),(PI()*BQ$12^2)/4*(BM24*$W24*1000)/($G24*$B$5))))))/10</f>
        <v>#N/A</v>
      </c>
      <c r="BR24" s="102" t="e">
        <f>(VLOOKUP($B$3,'Coeff EC7'!$T$39:$X$59,2,0)*BP24+VLOOKUP($B$3,'Coeff EC7'!$T$65:$X$85,2,0)*Model0.1C!BQ24)/1.1</f>
        <v>#N/A</v>
      </c>
      <c r="BS24" s="102" t="e">
        <f>(VLOOKUP($B$3,'Coeff EC7'!$T$39:$X$59,3,0)*BP24+VLOOKUP($B$3,'Coeff EC7'!$T$65:$X$85,3,0)*Model0.1C!BQ24)/0.9</f>
        <v>#N/A</v>
      </c>
      <c r="BT24" s="102" t="e">
        <f t="shared" si="78"/>
        <v>#N/A</v>
      </c>
      <c r="BU24" s="102" t="e">
        <f t="shared" si="79"/>
        <v>#N/A</v>
      </c>
      <c r="BV24" s="414" t="e">
        <f>IF(BV23=0,0,IF(AND(BR24&gt;charge_ELS_quasi,BS24&gt;Charge_ELS_freq,BT24&gt;charge_ELU,BU24&gt;charge_ELA,$B24&gt;NDC!$H$22-0.1+MIN(3*$BV$12,1.5)),0,1))</f>
        <v>#N/A</v>
      </c>
      <c r="BW24" s="86" t="b">
        <f t="shared" si="32"/>
        <v>0</v>
      </c>
      <c r="BX24" s="86">
        <f t="shared" si="33"/>
        <v>0.5</v>
      </c>
      <c r="BY24" s="86">
        <f t="shared" si="34"/>
        <v>0.5</v>
      </c>
      <c r="BZ24" s="30" t="e">
        <f t="shared" ca="1" si="80"/>
        <v>#DIV/0!</v>
      </c>
      <c r="CA24" s="85" t="e">
        <f ca="1">IF(BG24&lt;=Hypothèses!$V$7,Hypothèses!$W$7,IF(BG24&lt;=Hypothèses!$V$8,Hypothèses!$W$8,IF(BG24&lt;=Hypothèses!$V$9,Hypothèses!$W$9,IF(BG24&lt;=Hypothèses!$V$10,Hypothèses!$W$10,IF(BG24&lt;=Hypothèses!$V$11,Hypothèses!$W$11,IF(BG24&lt;=Hypothèses!$V$12,Hypothèses!$W$12,IF(BG24&lt;=Hypothèses!$V$13,Hypothèses!$W$13,IF(BG24&lt;=Hypothèses!$V$14,Hypothèses!$W$14,IF(BG24&lt;=Hypothèses!$V$15,Hypothèses!$W$15,IF(BG24&lt;=Hypothèses!$V$16,Hypothèses!$W$16,IF(BG24&lt;=Hypothèses!$V$17,Hypothèses!$W$17,IF(BG24&lt;=Hypothèses!$V$18,Hypothèses!$W$18,""))))))))))))</f>
        <v>#DIV/0!</v>
      </c>
      <c r="CB24" s="87" t="e">
        <f t="shared" ca="1" si="119"/>
        <v>#DIV/0!</v>
      </c>
      <c r="CC24" s="88" t="e">
        <f ca="1">IF(BG24&lt;=Hypothèses!$V$7,Hypothèses!$X$7,IF(BG24&lt;=Hypothèses!$V$8,Hypothèses!$X$8,IF(BG24&lt;=Hypothèses!$V$9,Hypothèses!$X$9,IF(BG24&lt;=Hypothèses!$V$10,Hypothèses!$X$10,IF(BG24&lt;=Hypothèses!$V$11,Hypothèses!$X$11,IF(BG24&lt;=Hypothèses!$V$12,Hypothèses!$X$12,IF(BG24&lt;=Hypothèses!$V$13,Hypothèses!$X$13,IF(BG24&lt;=Hypothèses!$V$14,Hypothèses!$X$14,IF(BG24&lt;=Hypothèses!$V$15,Hypothèses!$X$15,IF(BG24&lt;=Hypothèses!$V$16,Hypothèses!$X$16,IF(BG24&lt;=Hypothèses!$U$17,Hypothèses!$W$17,IF(BG24&lt;=Hypothèses!$U$18,Hypothèses!$W$18,""))))))))))))</f>
        <v>#DIV/0!</v>
      </c>
      <c r="CD24" s="95" t="e">
        <f t="shared" ca="1" si="81"/>
        <v>#DIV/0!</v>
      </c>
      <c r="CE24" s="101" t="e">
        <f t="shared" si="126"/>
        <v>#N/A</v>
      </c>
      <c r="CF24" s="91" t="e">
        <f t="shared" si="36"/>
        <v>#N/A</v>
      </c>
      <c r="CG24" s="30" t="e">
        <f t="shared" si="106"/>
        <v>#N/A</v>
      </c>
      <c r="CH24" s="30" t="e">
        <f t="shared" si="107"/>
        <v>#N/A</v>
      </c>
      <c r="CI24" s="31" t="e">
        <f>IF(OR(Hypothèses!$B$4=17,Hypothèses!$B$4=18,Hypothèses!$B$4=19,Hypothèses!$B$4=20),
IF($D24="Pressio.",
IF(OR($E24=3,$E24=1,$E24=4),CH24,CG24),
IF($D24="Pénétro.",
IF(OR($E24=3,$E24=1,$E24=4),CH24,CG24))),IF($D24="Pressio.",
IF($E24=3,CH24,CG24),
IF($D24="Pénétro.",
IF($E24=4,CH24,CG24))))</f>
        <v>#N/A</v>
      </c>
      <c r="CJ24" s="31" t="e">
        <f>(IF(OR(Hypothèses!$B$4=17,Hypothèses!$B$4=18,Hypothèses!$B$4=19,Hypothèses!$B$4=20),
IF($D24="Pressio.",
IF(OR($E24=3,$E24=1,$E24=4),(PI()*CJ$12^2)/4*(CF24*$W24*1000)/($H24*$B$5),(PI()*CJ$12^2)/4*(CF24*$W24*1000)/($G24*$B$5)),
IF($D24="Pénétro.",
IF(OR($E24=4,$E24=1,$E24=5),(PI()*CJ$12^2)/4*(CF24*$W24*1000)/($H24*$B$5),(PI()*CJ$12^2)/4*(CF24*$W24*1000)/($G24*$B$5)))),
IF($D24="Pressio.",
IF($E24=3,(PI()*CJ$12^2)/4*(CF24*$W24*1000)/($H24*$B$5),(PI()*CJ$12^2)/4*(CF24*$W24*1000)/($G24*$B$5)),
IF($D24="Pénétro.",
IF($E24=4,(PI()*CJ$12^2)/4*(CF24*$W24*1000)/($H24*$B$5),(PI()*CJ$12^2)/4*(CF24*$W24*1000)/($G24*$B$5))))))/10</f>
        <v>#N/A</v>
      </c>
      <c r="CK24" s="102" t="e">
        <f>(VLOOKUP($B$3,'Coeff EC7'!$T$39:$X$59,2,0)*CI24+VLOOKUP($B$3,'Coeff EC7'!$T$65:$X$85,2,0)*Model0.1C!CJ24)/1.1</f>
        <v>#N/A</v>
      </c>
      <c r="CL24" s="102" t="e">
        <f>(VLOOKUP($B$3,'Coeff EC7'!$T$39:$X$59,3,0)*CI24+VLOOKUP($B$3,'Coeff EC7'!$T$65:$X$85,3,0)*Model0.1C!CJ24)/0.9</f>
        <v>#N/A</v>
      </c>
      <c r="CM24" s="102" t="e">
        <f t="shared" si="82"/>
        <v>#N/A</v>
      </c>
      <c r="CN24" s="102" t="e">
        <f t="shared" si="83"/>
        <v>#N/A</v>
      </c>
      <c r="CO24" s="414" t="e">
        <f>IF(CO23=0,0,IF(AND(CK24&gt;charge_ELS_quasi,CL24&gt;Charge_ELS_freq,CM24&gt;charge_ELU,CN24&gt;charge_ELA,$B24&gt;NDC!$H$22-0.1+MIN(3*$CO$12,1.5)),0,1))</f>
        <v>#N/A</v>
      </c>
      <c r="CP24" s="86" t="b">
        <f t="shared" si="39"/>
        <v>0</v>
      </c>
      <c r="CQ24" s="86">
        <f t="shared" si="40"/>
        <v>0.5</v>
      </c>
      <c r="CR24" s="86">
        <f t="shared" si="41"/>
        <v>0.5</v>
      </c>
      <c r="CS24" s="30" t="e">
        <f t="shared" ca="1" si="84"/>
        <v>#DIV/0!</v>
      </c>
      <c r="CT24" s="85" t="e">
        <f ca="1">IF(BZ24&lt;=Hypothèses!$V$7,Hypothèses!$W$7,IF(BZ24&lt;=Hypothèses!$V$8,Hypothèses!$W$8,IF(BZ24&lt;=Hypothèses!$V$9,Hypothèses!$W$9,IF(BZ24&lt;=Hypothèses!$V$10,Hypothèses!$W$10,IF(BZ24&lt;=Hypothèses!$V$11,Hypothèses!$W$11,IF(BZ24&lt;=Hypothèses!$V$12,Hypothèses!$W$12,IF(BZ24&lt;=Hypothèses!$V$13,Hypothèses!$W$13,IF(BZ24&lt;=Hypothèses!$V$14,Hypothèses!$W$14,IF(BZ24&lt;=Hypothèses!$V$15,Hypothèses!$W$15,IF(BZ24&lt;=Hypothèses!$V$16,Hypothèses!$W$16,IF(BZ24&lt;=Hypothèses!$V$17,Hypothèses!$W$17,IF(BZ24&lt;=Hypothèses!$V$18,Hypothèses!$W$18,""))))))))))))</f>
        <v>#DIV/0!</v>
      </c>
      <c r="CU24" s="87" t="e">
        <f t="shared" ca="1" si="120"/>
        <v>#DIV/0!</v>
      </c>
      <c r="CV24" s="88" t="e">
        <f ca="1">IF(BZ24&lt;=Hypothèses!$V$7,Hypothèses!$X$7,IF(BZ24&lt;=Hypothèses!$V$8,Hypothèses!$X$8,IF(BZ24&lt;=Hypothèses!$V$9,Hypothèses!$X$9,IF(BZ24&lt;=Hypothèses!$V$10,Hypothèses!$X$10,IF(BZ24&lt;=Hypothèses!$V$11,Hypothèses!$X$11,IF(BZ24&lt;=Hypothèses!$V$12,Hypothèses!$X$12,IF(BZ24&lt;=Hypothèses!$V$13,Hypothèses!$X$13,IF(BZ24&lt;=Hypothèses!$V$14,Hypothèses!$X$14,IF(BZ24&lt;=Hypothèses!$V$15,Hypothèses!$X$15,IF(BZ24&lt;=Hypothèses!$V$16,Hypothèses!$X$16,IF(BZ24&lt;=Hypothèses!$U$17,Hypothèses!$W$17,IF(BZ24&lt;=Hypothèses!$U$18,Hypothèses!$W$18,""))))))))))))</f>
        <v>#DIV/0!</v>
      </c>
      <c r="CW24" s="95" t="e">
        <f t="shared" ca="1" si="85"/>
        <v>#DIV/0!</v>
      </c>
      <c r="CX24" s="101" t="e">
        <f t="shared" si="127"/>
        <v>#N/A</v>
      </c>
      <c r="CY24" s="91" t="e">
        <f t="shared" si="43"/>
        <v>#N/A</v>
      </c>
      <c r="CZ24" s="30" t="e">
        <f t="shared" si="108"/>
        <v>#N/A</v>
      </c>
      <c r="DA24" s="30" t="e">
        <f t="shared" si="109"/>
        <v>#N/A</v>
      </c>
      <c r="DB24" s="31" t="e">
        <f>IF(OR(Hypothèses!$B$4=17,Hypothèses!$B$4=18,Hypothèses!$B$4=19,Hypothèses!$B$4=20),
IF($D24="Pressio.",
IF(OR($E24=3,$E24=1,$E24=4),DA24,CZ24),
IF($D24="Pénétro.",
IF(OR($E24=3,$E24=1,$E24=4),DA24,CZ24))),IF($D24="Pressio.",
IF($E24=3,DA24,CZ24),
IF($D24="Pénétro.",
IF($E24=4,DA24,CZ24))))</f>
        <v>#N/A</v>
      </c>
      <c r="DC24" s="31" t="e">
        <f>(IF(OR(Hypothèses!$B$4=17,Hypothèses!$B$4=18,Hypothèses!$B$4=19,Hypothèses!$B$4=20),
IF($D24="Pressio.",
IF(OR($E24=3,$E24=1,$E24=4),(PI()*DC$12^2)/4*(CY24*$W24*1000)/($H24*$B$5),(PI()*DC$12^2)/4*(CY24*$W24*1000)/($G24*$B$5)),
IF($D24="Pénétro.",
IF(OR($E24=4,$E24=1,$E24=5),(PI()*DC$12^2)/4*(CY24*$W24*1000)/($H24*$B$5),(PI()*DC$12^2)/4*(CY24*$W24*1000)/($G24*$B$5)))),
IF($D24="Pressio.",
IF($E24=3,(PI()*DC$12^2)/4*(CY24*$W24*1000)/($H24*$B$5),(PI()*DC$12^2)/4*(CY24*$W24*1000)/($G24*$B$5)),
IF($D24="Pénétro.",
IF($E24=4,(PI()*DC$12^2)/4*(CY24*$W24*1000)/($H24*$B$5),(PI()*DC$12^2)/4*(CY24*$W24*1000)/($G24*$B$5))))))/10</f>
        <v>#N/A</v>
      </c>
      <c r="DD24" s="102" t="e">
        <f>(VLOOKUP($B$3,'Coeff EC7'!$T$39:$X$59,2,0)*DB24+VLOOKUP($B$3,'Coeff EC7'!$T$65:$X$85,2,0)*Model0.1C!DC24)/1.1</f>
        <v>#N/A</v>
      </c>
      <c r="DE24" s="102" t="e">
        <f>(VLOOKUP($B$3,'Coeff EC7'!$T$39:$X$59,3,0)*DB24+VLOOKUP($B$3,'Coeff EC7'!$T$65:$X$85,3,0)*Model0.1C!DC24)/0.9</f>
        <v>#N/A</v>
      </c>
      <c r="DF24" s="102" t="e">
        <f t="shared" si="86"/>
        <v>#N/A</v>
      </c>
      <c r="DG24" s="102" t="e">
        <f t="shared" si="87"/>
        <v>#N/A</v>
      </c>
      <c r="DH24" s="414" t="e">
        <f>IF(DH23=0,0,IF(AND(DD24&gt;charge_ELS_quasi,DE24&gt;Charge_ELS_freq,DF24&gt;charge_ELU,DG24&gt;charge_ELA,$B24&gt;NDC!$H$22-0.1+MIN(3*$DH$12,1.5)),0,1))</f>
        <v>#N/A</v>
      </c>
      <c r="DI24" s="86" t="b">
        <f t="shared" si="46"/>
        <v>0</v>
      </c>
      <c r="DJ24" s="86">
        <f t="shared" si="47"/>
        <v>0.5</v>
      </c>
      <c r="DK24" s="86">
        <f t="shared" si="48"/>
        <v>0.5</v>
      </c>
      <c r="DL24" s="30" t="e">
        <f t="shared" ca="1" si="88"/>
        <v>#DIV/0!</v>
      </c>
      <c r="DM24" s="85" t="e">
        <f ca="1">IF(CS24&lt;=Hypothèses!$V$7,Hypothèses!$W$7,IF(CS24&lt;=Hypothèses!$V$8,Hypothèses!$W$8,IF(CS24&lt;=Hypothèses!$V$9,Hypothèses!$W$9,IF(CS24&lt;=Hypothèses!$V$10,Hypothèses!$W$10,IF(CS24&lt;=Hypothèses!$V$11,Hypothèses!$W$11,IF(CS24&lt;=Hypothèses!$V$12,Hypothèses!$W$12,IF(CS24&lt;=Hypothèses!$V$13,Hypothèses!$W$13,IF(CS24&lt;=Hypothèses!$V$14,Hypothèses!$W$14,IF(CS24&lt;=Hypothèses!$V$15,Hypothèses!$W$15,IF(CS24&lt;=Hypothèses!$V$16,Hypothèses!$W$16,IF(CS24&lt;=Hypothèses!$V$17,Hypothèses!$W$17,IF(CS24&lt;=Hypothèses!$V$18,Hypothèses!$W$18,""))))))))))))</f>
        <v>#DIV/0!</v>
      </c>
      <c r="DN24" s="87" t="e">
        <f t="shared" ca="1" si="121"/>
        <v>#DIV/0!</v>
      </c>
      <c r="DO24" s="88" t="e">
        <f ca="1">IF(CS24&lt;=Hypothèses!$V$7,Hypothèses!$X$7,IF(CS24&lt;=Hypothèses!$V$8,Hypothèses!$X$8,IF(CS24&lt;=Hypothèses!$V$9,Hypothèses!$X$9,IF(CS24&lt;=Hypothèses!$V$10,Hypothèses!$X$10,IF(CS24&lt;=Hypothèses!$V$11,Hypothèses!$X$11,IF(CS24&lt;=Hypothèses!$V$12,Hypothèses!$X$12,IF(CS24&lt;=Hypothèses!$V$13,Hypothèses!$X$13,IF(CS24&lt;=Hypothèses!$V$14,Hypothèses!$X$14,IF(CS24&lt;=Hypothèses!$V$15,Hypothèses!$X$15,IF(CS24&lt;=Hypothèses!$V$16,Hypothèses!$X$16,IF(CS24&lt;=Hypothèses!$U$17,Hypothèses!$W$17,IF(CS24&lt;=Hypothèses!$U$18,Hypothèses!$W$18,""))))))))))))</f>
        <v>#DIV/0!</v>
      </c>
      <c r="DP24" s="95" t="e">
        <f t="shared" ca="1" si="89"/>
        <v>#DIV/0!</v>
      </c>
      <c r="DQ24" s="101" t="e">
        <f t="shared" si="128"/>
        <v>#N/A</v>
      </c>
      <c r="DR24" s="91" t="e">
        <f t="shared" si="50"/>
        <v>#N/A</v>
      </c>
      <c r="DS24" s="30" t="e">
        <f t="shared" si="110"/>
        <v>#N/A</v>
      </c>
      <c r="DT24" s="30" t="e">
        <f t="shared" si="111"/>
        <v>#N/A</v>
      </c>
      <c r="DU24" s="31" t="e">
        <f>IF(OR(Hypothèses!$B$4=17,Hypothèses!$B$4=18,Hypothèses!$B$4=19,Hypothèses!$B$4=20),
IF($D24="Pressio.",
IF(OR($E24=3,$E24=1,$E24=4),DT24,DS24),
IF($D24="Pénétro.",
IF(OR($E24=3,$E24=1,$E24=4),DT24,DS24))),IF($D24="Pressio.",
IF($E24=3,DT24,DS24),
IF($D24="Pénétro.",
IF($E24=4,DT24,DS24))))</f>
        <v>#N/A</v>
      </c>
      <c r="DV24" s="31" t="e">
        <f>(IF(OR(Hypothèses!$B$4=17,Hypothèses!$B$4=18,Hypothèses!$B$4=19,Hypothèses!$B$4=20),
IF($D24="Pressio.",
IF(OR($E24=3,$E24=1,$E24=4),(PI()*DV$12^2)/4*(DR24*$W24*1000)/($H24*$B$5),(PI()*DV$12^2)/4*(DR24*$W24*1000)/($G24*$B$5)),
IF($D24="Pénétro.",
IF(OR($E24=4,$E24=1,$E24=5),(PI()*DV$12^2)/4*(DR24*$W24*1000)/($H24*$B$5),(PI()*DV$12^2)/4*(DR24*$W24*1000)/($G24*$B$5)))),
IF($D24="Pressio.",
IF($E24=3,(PI()*DV$12^2)/4*(DR24*$W24*1000)/($H24*$B$5),(PI()*DV$12^2)/4*(DR24*$W24*1000)/($G24*$B$5)),
IF($D24="Pénétro.",
IF($E24=4,(PI()*DV$12^2)/4*(DR24*$W24*1000)/($H24*$B$5),(PI()*DV$12^2)/4*(DR24*$W24*1000)/($G24*$B$5))))))/10</f>
        <v>#N/A</v>
      </c>
      <c r="DW24" s="102" t="e">
        <f>(VLOOKUP($B$3,'Coeff EC7'!$T$39:$X$59,2,0)*DU24+VLOOKUP($B$3,'Coeff EC7'!$T$65:$X$85,2,0)*Model0.1C!DV24)/1.1</f>
        <v>#N/A</v>
      </c>
      <c r="DX24" s="102" t="e">
        <f>(VLOOKUP($B$3,'Coeff EC7'!$T$39:$X$59,3,0)*DU24+VLOOKUP($B$3,'Coeff EC7'!$T$65:$X$85,3,0)*Model0.1C!DV24)/0.9</f>
        <v>#N/A</v>
      </c>
      <c r="DY24" s="102" t="e">
        <f t="shared" si="90"/>
        <v>#N/A</v>
      </c>
      <c r="DZ24" s="102" t="e">
        <f t="shared" si="91"/>
        <v>#N/A</v>
      </c>
      <c r="EA24" s="414" t="e">
        <f>IF(EA23=0,0,IF(AND(DW24&gt;charge_ELS_quasi,DX24&gt;Charge_ELS_freq,DY24&gt;charge_ELU,DZ24&gt;charge_ELA,$B24&gt;NDC!$H$22-0.1+MIN(3*$EA$12,1.5)),0,1))</f>
        <v>#N/A</v>
      </c>
      <c r="EB24" s="86" t="b">
        <f t="shared" si="53"/>
        <v>0</v>
      </c>
      <c r="EC24" s="418">
        <f t="shared" si="54"/>
        <v>0.51</v>
      </c>
      <c r="ED24" s="86">
        <f t="shared" si="55"/>
        <v>0.51</v>
      </c>
      <c r="EE24" s="30" t="e">
        <f t="shared" ca="1" si="92"/>
        <v>#DIV/0!</v>
      </c>
      <c r="EF24" s="85" t="e">
        <f ca="1">IF(DL24&lt;=Hypothèses!$V$7,Hypothèses!$W$7,IF(DL24&lt;=Hypothèses!$V$8,Hypothèses!$W$8,IF(DL24&lt;=Hypothèses!$V$9,Hypothèses!$W$9,IF(DL24&lt;=Hypothèses!$V$10,Hypothèses!$W$10,IF(DL24&lt;=Hypothèses!$V$11,Hypothèses!$W$11,IF(DL24&lt;=Hypothèses!$V$12,Hypothèses!$W$12,IF(DL24&lt;=Hypothèses!$V$13,Hypothèses!$W$13,IF(DL24&lt;=Hypothèses!$V$14,Hypothèses!$W$14,IF(DL24&lt;=Hypothèses!$V$15,Hypothèses!$W$15,IF(DL24&lt;=Hypothèses!$V$16,Hypothèses!$W$16,IF(DL24&lt;=Hypothèses!$V$17,Hypothèses!$W$17,IF(DL24&lt;=Hypothèses!$V$18,Hypothèses!$W$18,""))))))))))))</f>
        <v>#DIV/0!</v>
      </c>
      <c r="EG24" s="87" t="e">
        <f t="shared" ca="1" si="122"/>
        <v>#DIV/0!</v>
      </c>
      <c r="EH24" s="88" t="e">
        <f ca="1">IF(DL24&lt;=Hypothèses!$V$7,Hypothèses!$X$7,IF(DL24&lt;=Hypothèses!$V$8,Hypothèses!$X$8,IF(DL24&lt;=Hypothèses!$V$9,Hypothèses!$X$9,IF(DL24&lt;=Hypothèses!$V$10,Hypothèses!$X$10,IF(DL24&lt;=Hypothèses!$V$11,Hypothèses!$X$11,IF(DL24&lt;=Hypothèses!$V$12,Hypothèses!$X$12,IF(DL24&lt;=Hypothèses!$V$13,Hypothèses!$X$13,IF(DL24&lt;=Hypothèses!$V$14,Hypothèses!$X$14,IF(DL24&lt;=Hypothèses!$V$15,Hypothèses!$X$15,IF(DL24&lt;=Hypothèses!$V$16,Hypothèses!$X$16,IF(DL24&lt;=Hypothèses!$U$17,Hypothèses!$W$17,IF(DL24&lt;=Hypothèses!$U$18,Hypothèses!$W$18,""))))))))))))</f>
        <v>#DIV/0!</v>
      </c>
      <c r="EI24" s="95" t="e">
        <f t="shared" ca="1" si="93"/>
        <v>#DIV/0!</v>
      </c>
      <c r="EJ24" s="101" t="e">
        <f t="shared" si="129"/>
        <v>#N/A</v>
      </c>
      <c r="EK24" s="91" t="e">
        <f t="shared" si="57"/>
        <v>#N/A</v>
      </c>
      <c r="EL24" s="30" t="e">
        <f t="shared" si="112"/>
        <v>#N/A</v>
      </c>
      <c r="EM24" s="30" t="e">
        <f t="shared" si="113"/>
        <v>#N/A</v>
      </c>
      <c r="EN24" s="31" t="e">
        <f>IF(OR(Hypothèses!$B$4=17,Hypothèses!$B$4=18,Hypothèses!$B$4=19,Hypothèses!$B$4=20),
IF($D24="Pressio.",
IF(OR($E24=3,$E24=1,$E24=4),EM24,EL24),
IF($D24="Pénétro.",
IF(OR($E24=3,$E24=1,$E24=4),EM24,EL24))),IF($D24="Pressio.",
IF($E24=3,EM24,EL24),
IF($D24="Pénétro.",
IF($E24=4,EM24,EL24))))</f>
        <v>#N/A</v>
      </c>
      <c r="EO24" s="31" t="e">
        <f>(IF(OR(Hypothèses!$B$4=17,Hypothèses!$B$4=18,Hypothèses!$B$4=19,Hypothèses!$B$4=20),
IF($D24="Pressio.",
IF(OR($E24=3,$E24=1,$E24=4),(PI()*EO$12^2)/4*(EK24*$W24*1000)/($H24*$B$5),(PI()*EO$12^2)/4*(EK24*$W24*1000)/($G24*$B$5)),
IF($D24="Pénétro.",
IF(OR($E24=4,$E24=1,$E24=5),(PI()*EO$12^2)/4*(EK24*$W24*1000)/($H24*$B$5),(PI()*EO$12^2)/4*(EK24*$W24*1000)/($G24*$B$5)))),
IF($D24="Pressio.",
IF($E24=3,(PI()*EO$12^2)/4*(EK24*$W24*1000)/($H24*$B$5),(PI()*EO$12^2)/4*(EK24*$W24*1000)/($G24*$B$5)),
IF($D24="Pénétro.",
IF($E24=4,(PI()*EO$12^2)/4*(EK24*$W24*1000)/($H24*$B$5),(PI()*EO$12^2)/4*(EK24*$W24*1000)/($G24*$B$5))))))/10</f>
        <v>#N/A</v>
      </c>
      <c r="EP24" s="102" t="e">
        <f>(VLOOKUP($B$3,'Coeff EC7'!$T$39:$X$59,2,0)*EN24+VLOOKUP($B$3,'Coeff EC7'!$T$65:$X$85,2,0)*Model0.1C!EO24)/1.1</f>
        <v>#N/A</v>
      </c>
      <c r="EQ24" s="102" t="e">
        <f>(VLOOKUP($B$3,'Coeff EC7'!$T$39:$X$59,3,0)*EN24+VLOOKUP($B$3,'Coeff EC7'!$T$65:$X$85,3,0)*Model0.1C!EO24)/0.9</f>
        <v>#N/A</v>
      </c>
      <c r="ER24" s="102" t="e">
        <f t="shared" si="94"/>
        <v>#N/A</v>
      </c>
      <c r="ES24" s="102" t="e">
        <f t="shared" si="95"/>
        <v>#N/A</v>
      </c>
      <c r="ET24" s="414" t="e">
        <f>IF(ET23=0,0,IF(AND(EP24&gt;charge_ELS_quasi,EQ24&gt;Charge_ELS_freq,ER24&gt;charge_ELU,ES24&gt;charge_ELA,$B24&gt;NDC!$H$22-0.1+MIN(3*$ET$12,1.5)),0,1))</f>
        <v>#N/A</v>
      </c>
      <c r="EU24" s="86" t="b">
        <f t="shared" si="60"/>
        <v>0</v>
      </c>
      <c r="EV24" s="86">
        <f t="shared" si="61"/>
        <v>0.61</v>
      </c>
      <c r="EW24" s="86">
        <f t="shared" si="62"/>
        <v>0.61</v>
      </c>
      <c r="EX24" s="30" t="e">
        <f t="shared" ca="1" si="96"/>
        <v>#DIV/0!</v>
      </c>
      <c r="EY24" s="85" t="e">
        <f ca="1">IF(EE24&lt;=Hypothèses!$V$7,Hypothèses!$W$7,IF(EE24&lt;=Hypothèses!$V$8,Hypothèses!$W$8,IF(EE24&lt;=Hypothèses!$V$9,Hypothèses!$W$9,IF(EE24&lt;=Hypothèses!$V$10,Hypothèses!$W$10,IF(EE24&lt;=Hypothèses!$V$11,Hypothèses!$W$11,IF(EE24&lt;=Hypothèses!$V$12,Hypothèses!$W$12,IF(EE24&lt;=Hypothèses!$V$13,Hypothèses!$W$13,IF(EE24&lt;=Hypothèses!$V$14,Hypothèses!$W$14,IF(EE24&lt;=Hypothèses!$V$15,Hypothèses!$W$15,IF(EE24&lt;=Hypothèses!$V$16,Hypothèses!$W$16,IF(EE24&lt;=Hypothèses!$V$17,Hypothèses!$W$17,IF(EE24&lt;=Hypothèses!$V$18,Hypothèses!$W$18,""))))))))))))</f>
        <v>#DIV/0!</v>
      </c>
      <c r="EZ24" s="87" t="e">
        <f t="shared" ca="1" si="123"/>
        <v>#DIV/0!</v>
      </c>
      <c r="FA24" s="88" t="e">
        <f ca="1">IF(EE24&lt;=Hypothèses!$V$7,Hypothèses!$X$7,IF(EE24&lt;=Hypothèses!$V$8,Hypothèses!$X$8,IF(EE24&lt;=Hypothèses!$V$9,Hypothèses!$X$9,IF(EE24&lt;=Hypothèses!$V$10,Hypothèses!$X$10,IF(EE24&lt;=Hypothèses!$V$11,Hypothèses!$X$11,IF(EE24&lt;=Hypothèses!$V$12,Hypothèses!$X$12,IF(EE24&lt;=Hypothèses!$V$13,Hypothèses!$X$13,IF(EE24&lt;=Hypothèses!$V$14,Hypothèses!$X$14,IF(EE24&lt;=Hypothèses!$V$15,Hypothèses!$X$15,IF(EE24&lt;=Hypothèses!$V$16,Hypothèses!$X$16,IF(EE24&lt;=Hypothèses!$U$17,Hypothèses!$W$17,IF(EE24&lt;=Hypothèses!$U$18,Hypothèses!$W$18,""))))))))))))</f>
        <v>#DIV/0!</v>
      </c>
      <c r="FB24" s="95" t="e">
        <f t="shared" ca="1" si="97"/>
        <v>#DIV/0!</v>
      </c>
      <c r="FC24" s="101" t="e">
        <f t="shared" si="130"/>
        <v>#N/A</v>
      </c>
      <c r="FD24" s="91" t="e">
        <f t="shared" si="64"/>
        <v>#N/A</v>
      </c>
      <c r="FE24" s="30" t="e">
        <f t="shared" si="114"/>
        <v>#N/A</v>
      </c>
      <c r="FF24" s="30" t="e">
        <f t="shared" si="115"/>
        <v>#N/A</v>
      </c>
      <c r="FG24" s="31" t="e">
        <f>IF(OR(Hypothèses!$B$4=17,Hypothèses!$B$4=18,Hypothèses!$B$4=19,Hypothèses!$B$4=20),
IF($D24="Pressio.",
IF(OR($E24=3,$E24=1,$E24=4),FF24,FE24),
IF($D24="Pénétro.",
IF(OR($E24=3,$E24=1,$E24=4),FF24,FE24))),IF($D24="Pressio.",
IF($E24=3,FF24,FE24),
IF($D24="Pénétro.",
IF($E24=4,FF24,FE24))))</f>
        <v>#N/A</v>
      </c>
      <c r="FH24" s="31" t="e">
        <f>(IF(OR(Hypothèses!$B$4=17,Hypothèses!$B$4=18,Hypothèses!$B$4=19,Hypothèses!$B$4=20),
IF($D24="Pressio.",
IF(OR($E24=3,$E24=1,$E24=4),(PI()*FH$12^2)/4*(FD24*$W24*1000)/($H24*$B$5),(PI()*FH$12^2)/4*(FD24*$W24*1000)/($G24*$B$5)),
IF($D24="Pénétro.",
IF(OR($E24=4,$E24=1,$E24=5),(PI()*FH$12^2)/4*(FD24*$W24*1000)/($H24*$B$5),(PI()*FH$12^2)/4*(FD24*$W24*1000)/($G24*$B$5)))),
IF($D24="Pressio.",
IF($E24=3,(PI()*FH$12^2)/4*(FD24*$W24*1000)/($H24*$B$5),(PI()*FH$12^2)/4*(FD24*$W24*1000)/($G24*$B$5)),
IF($D24="Pénétro.",
IF($E24=4,(PI()*FH$12^2)/4*(FD24*$W24*1000)/($H24*$B$5),(PI()*FH$12^2)/4*(FD24*$W24*1000)/($G24*$B$5))))))/10</f>
        <v>#N/A</v>
      </c>
      <c r="FI24" s="102" t="e">
        <f>(VLOOKUP($B$3,'Coeff EC7'!$T$39:$X$59,2,0)*FG24+VLOOKUP($B$3,'Coeff EC7'!$T$65:$X$85,2,0)*Model0.1C!FH24)/1.1</f>
        <v>#N/A</v>
      </c>
      <c r="FJ24" s="102" t="e">
        <f>(VLOOKUP($B$3,'Coeff EC7'!$T$39:$X$59,3,0)*FG24+VLOOKUP($B$3,'Coeff EC7'!$T$65:$X$85,3,0)*Model0.1C!FH24)/0.9</f>
        <v>#N/A</v>
      </c>
      <c r="FK24" s="102" t="e">
        <f t="shared" si="98"/>
        <v>#N/A</v>
      </c>
      <c r="FL24" s="102" t="e">
        <f t="shared" si="99"/>
        <v>#N/A</v>
      </c>
      <c r="FM24" s="414" t="e">
        <f>IF(FM23=0,0,IF(AND(FI24&gt;charge_ELS_quasi,FJ24&gt;Charge_ELS_freq,FK24&gt;charge_ELU,FL24&gt;charge_ELA,$B24&gt;NDC!$H$22-0.1+MIN(3*$FM$12,1.5)),0,1))</f>
        <v>#N/A</v>
      </c>
    </row>
    <row r="25" spans="1:169">
      <c r="A25" s="96">
        <f t="shared" si="67"/>
        <v>98.800000000000068</v>
      </c>
      <c r="B25" s="97">
        <v>1.2</v>
      </c>
      <c r="C25" s="81">
        <f>IF(B25&lt;=Hypothèses!$C$7,Hypothèses!$A$7,IF(B25&lt;=Hypothèses!$C$8,Hypothèses!$A$8,IF(B25&lt;=Hypothèses!$C$9,Hypothèses!$A$9,IF(B25&lt;=Hypothèses!$C$10,Hypothèses!$A$10,IF(B25&lt;=Hypothèses!$C$11,Hypothèses!$A$11,IF(B25&lt;=Hypothèses!$C$12,Hypothèses!$A$12,IF(B25&lt;=Hypothèses!$C$13,Hypothèses!$A$13,IF(B25&lt;=Hypothèses!$C$14,Hypothèses!$A$14,IF(B25&lt;=Hypothèses!$C$15,Hypothèses!$A$15,IF(B25&lt;=Hypothèses!$C$16,Hypothèses!$A$16,IF(B25&lt;=Hypothèses!$C$17,Hypothèses!$A$17,IF(B25&lt;=Hypothèses!$C$18,Hypothèses!$A$18,C24))))))))))))</f>
        <v>11</v>
      </c>
      <c r="D25" s="82" t="str">
        <f>IF(B25&lt;=Hypothèses!$C$7,Hypothèses!$R$7,IF(B25&lt;=Hypothèses!$C$8,Hypothèses!$R$8,IF(B25&lt;=Hypothèses!$C$9,Hypothèses!$R$9,IF(B25&lt;=Hypothèses!$C$10,Hypothèses!$R$10,IF(B25&lt;=Hypothèses!$C$11,Hypothèses!$R$11,IF(B25&lt;=Hypothèses!$C$12,Hypothèses!$R$12,IF(B25&lt;=Hypothèses!$C$13,Hypothèses!$R$13,IF(B25&lt;=Hypothèses!$C$14,Hypothèses!$R$14,IF(B25&lt;=Hypothèses!$C$15,Hypothèses!$R$15,IF(B25&lt;=Hypothèses!$C$16,Hypothèses!$R$16,IF(B25&lt;=Hypothèses!$C$17,Hypothèses!$R$17,IF(B25&lt;=Hypothèses!$C$18,Hypothèses!$R$18,D24))))))))))))</f>
        <v>Pressio.</v>
      </c>
      <c r="E25" s="82" t="e">
        <f>IF(B25&lt;=Hypothèses!$C$7,Hypothèses!$G$7,IF(B25&lt;=Hypothèses!$C$8,Hypothèses!$G$8,IF(B25&lt;=Hypothèses!$C$9,Hypothèses!$G$9,IF(B25&lt;=Hypothèses!$C$10,Hypothèses!$G$10,IF(B25&lt;=Hypothèses!$C$11,Hypothèses!$G$11,IF(B25&lt;=Hypothèses!$C$12,Hypothèses!$G$12,IF(B25&lt;=Hypothèses!$C$13,Hypothèses!$G$13,IF(B25&lt;=Hypothèses!$C$14,Hypothèses!$G$14,IF(B25&lt;=Hypothèses!$C$15,Hypothèses!$G$15,IF(B25&lt;=Hypothèses!$C$16,Hypothèses!$G$16,IF(B25&lt;=Hypothèses!$C$17,Hypothèses!$G$17,IF(B25&lt;=Hypothèses!$C$18,Hypothèses!$G$18,E24))))))))))))</f>
        <v>#N/A</v>
      </c>
      <c r="F25" s="82" t="str">
        <f>IF(B25&lt;=Hypothèses!$C$7,Hypothèses!$F$7,IF(B25&lt;=Hypothèses!$C$8,Hypothèses!$F$8,IF(B25&lt;=Hypothèses!$C$9,Hypothèses!$F$9,IF(B25&lt;=Hypothèses!$C$10,Hypothèses!$F$10,IF(B25&lt;=Hypothèses!$C$11,Hypothèses!$F$11,IF(B25&lt;=Hypothèses!$C$12,Hypothèses!$F$12,IF(B25&lt;=Hypothèses!$C$13,Hypothèses!$F$13,IF(B25&lt;=Hypothèses!$C$14,Hypothèses!$F$14,IF(B25&lt;=Hypothèses!$C$15,Hypothèses!$F$15,IF(B25&lt;=Hypothèses!$C$16,Hypothèses!$F$16,IF(B25&lt;=Hypothèses!$C$17,Hypothèses!$F$17,IF(B25&lt;=Hypothèses!$C$18,Hypothèses!$F$18,F24))))))))))))</f>
        <v/>
      </c>
      <c r="G25" s="91">
        <f t="array" ref="G25">INDEX('Coeff EC7'!$U$7:$X$27,
MATCH(Model0.1C!$B$3,'Coeff EC7'!$T$7:$T$27,0),
MATCH(Model0.1C!$D25&amp;Model0.1C!$B$4,
'Coeff EC7'!$U$6:$X$6&amp;
'Coeff EC7'!$U$5:$X$5,0))</f>
        <v>1.1499999999999999</v>
      </c>
      <c r="H25" s="91">
        <f t="array" ref="H25">INDEX('Coeff EC7'!$Y$7:$AB$27,
MATCH(Model0.1C!$B$3,'Coeff EC7'!$T$7:$T$27,0),
MATCH(Model0.1C!$D25&amp;Model0.1C!$B$4,
'Coeff EC7'!$Y$6:$AB$6&amp;
'Coeff EC7'!$Y$5:$AB$5,0))</f>
        <v>1.4</v>
      </c>
      <c r="I25" s="83" t="e">
        <f>IF(B25&lt;=Hypothèses!$C$7,Hypothèses!$P$7,IF(B25&lt;=Hypothèses!$C$8,Hypothèses!$P$8,IF(B25&lt;=Hypothèses!$C$9,Hypothèses!$P$9,IF(B25&lt;=Hypothèses!$C$10,Hypothèses!$P$10,IF(B25&lt;=Hypothèses!$C$11,Hypothèses!$P$11,IF(B25&lt;=Hypothèses!$C$12,Hypothèses!$P$12,IF(B25&lt;=Hypothèses!$C$13,Hypothèses!$P$13,IF(B25&lt;=Hypothèses!$C$14,Hypothèses!$P$14,IF(B25&lt;=Hypothèses!$C$15,Hypothèses!$P$15,IF(B25&lt;=Hypothèses!$C$16,Hypothèses!$P$16,IF(B25&lt;=Hypothèses!$C$17,Hypothèses!$P$17,IF(B25&lt;=Hypothèses!$C$18,Hypothèses!$P$18,I24))))))))))))</f>
        <v>#N/A</v>
      </c>
      <c r="J25" s="91" t="e">
        <f t="array" ref="J25">INDEX('Coeff EC7'!$D$33:$Q$33,1,MATCH(D25&amp;E25,'Coeff EC7'!$D$31:$Q$31&amp;'Coeff EC7'!$D$32:$Q$32,0))</f>
        <v>#N/A</v>
      </c>
      <c r="K25" s="91" t="e">
        <f t="array" ref="K25">INDEX('Coeff EC7'!$D$34:$Q$34,1,MATCH(D25&amp;E25,'Coeff EC7'!$D$31:$Q$31&amp;'Coeff EC7'!$D$32:$Q$32,0))</f>
        <v>#N/A</v>
      </c>
      <c r="L25" s="91" t="e">
        <f t="array" ref="L25">INDEX('Coeff EC7'!$D$35:$Q$35,1,MATCH(D25&amp;E25,'Coeff EC7'!$D$31:$Q$31&amp;'Coeff EC7'!$D$32:$Q$32,0))</f>
        <v>#N/A</v>
      </c>
      <c r="M25" s="98" t="e">
        <f t="shared" si="8"/>
        <v>#N/A</v>
      </c>
      <c r="N25" s="99" t="e">
        <f t="array" ref="N25">INDEX('Coeff EC7'!$D$7:$Q$27,MATCH($B$3,'Coeff EC7'!$C$7:$C$27,0),MATCH(D25&amp;E25,'Coeff EC7'!$D$5:$Q$5&amp;'Coeff EC7'!$D$6:$Q$6,0))</f>
        <v>#N/A</v>
      </c>
      <c r="O25" s="99" t="e">
        <f t="array" ref="O25">INDEX('Coeff EC7'!$D$41:$Q$61,MATCH($B$3,'Coeff EC7'!$C$41:$C$61,0),MATCH(D25&amp;E25,'Coeff EC7'!$D$39:$Q$39&amp;'Coeff EC7'!$D$40:$Q$40,0))</f>
        <v>#N/A</v>
      </c>
      <c r="P25" s="30" t="e">
        <f t="shared" si="68"/>
        <v>#N/A</v>
      </c>
      <c r="Q25" s="100" t="e">
        <f t="shared" si="10"/>
        <v>#N/A</v>
      </c>
      <c r="R25" s="86" t="b">
        <f t="shared" si="11"/>
        <v>0</v>
      </c>
      <c r="S25" s="86">
        <f t="shared" si="9"/>
        <v>0.5</v>
      </c>
      <c r="T25" s="86">
        <f t="shared" si="12"/>
        <v>0.5</v>
      </c>
      <c r="U25" s="30" t="e">
        <f t="shared" ca="1" si="69"/>
        <v>#DIV/0!</v>
      </c>
      <c r="V25" s="85" t="str">
        <f>IF(B25&lt;=Hypothèses!$V$7,Hypothèses!$W$7,IF(B25&lt;=Hypothèses!$V$8,Hypothèses!$W$8,IF(B25&lt;=Hypothèses!$V$9,Hypothèses!$W$9,IF(B25&lt;=Hypothèses!$V$10,Hypothèses!$W$10,IF(B25&lt;=Hypothèses!$V$11,Hypothèses!$W$11,IF(B25&lt;=Hypothèses!$V$12,Hypothèses!$W$12,IF(B25&lt;=Hypothèses!$V$13,Hypothèses!$W$13,IF(B25&lt;=Hypothèses!$V$14,Hypothèses!$W$14,IF(B25&lt;=Hypothèses!$V$15,Hypothèses!$W$15,IF(B25&lt;=Hypothèses!$V$16,Hypothèses!$W$16,IF(B25&lt;=Hypothèses!$V$17,Hypothèses!$W$17,IF(B25&lt;=Hypothèses!$V$18,Hypothèses!$W$18,""))))))))))))</f>
        <v/>
      </c>
      <c r="W25" s="87" t="e">
        <f t="shared" ca="1" si="116"/>
        <v>#DIV/0!</v>
      </c>
      <c r="X25" s="88" t="str">
        <f>IF(B25&lt;=Hypothèses!$V$7,Hypothèses!$X$7,IF(B25&lt;=Hypothèses!$V$8,Hypothèses!$X$8,IF(B25&lt;=Hypothèses!$V$9,Hypothèses!$X$9,IF(B25&lt;=Hypothèses!$V$10,Hypothèses!$X$10,IF(B25&lt;=Hypothèses!$V$11,Hypothèses!$X$11,IF(B25&lt;=Hypothèses!$V$12,Hypothèses!$X$12,IF(B25&lt;=Hypothèses!$V$13,Hypothèses!$X$13,IF(B25&lt;=Hypothèses!$V$14,Hypothèses!$X$14,IF(B25&lt;=Hypothèses!$V$15,Hypothèses!$X$15,IF(B25&lt;=Hypothèses!$V$16,Hypothèses!$X$16,IF(B25&lt;=Hypothèses!$U$17,Hypothèses!$W$17,IF(B25&lt;=Hypothèses!$U$18,Hypothèses!$W$18,""))))))))))))</f>
        <v/>
      </c>
      <c r="Y25" s="95" t="e">
        <f t="shared" ca="1" si="13"/>
        <v>#DIV/0!</v>
      </c>
      <c r="Z25" s="101" t="e">
        <f t="shared" si="14"/>
        <v>#N/A</v>
      </c>
      <c r="AA25" s="91" t="e">
        <f t="shared" si="15"/>
        <v>#N/A</v>
      </c>
      <c r="AB25" s="30" t="e">
        <f t="shared" si="100"/>
        <v>#N/A</v>
      </c>
      <c r="AC25" s="30" t="e">
        <f t="shared" si="101"/>
        <v>#N/A</v>
      </c>
      <c r="AD25" s="31" t="e">
        <f>IF(OR(Hypothèses!$B$4=17,Hypothèses!$B$4=18,Hypothèses!$B$4=19,Hypothèses!$B$4=20),
IF($D25="Pressio.",
IF(OR($E25=3,$E25=1,$E25=4),AC25,AB25),
IF($D25="Pénétro.",
IF(OR($E25=3,$E25=1,$E25=4),AC25,AB25))),IF($D25="Pressio.",
IF($E25=3,AC25,AB25),
IF($D25="Pénétro.",
IF($E25=4,AC25,AB25))))</f>
        <v>#N/A</v>
      </c>
      <c r="AE25" s="31" t="e">
        <f>(IF(OR(Hypothèses!$B$4=17,Hypothèses!$B$4=18,Hypothèses!$B$4=19,Hypothèses!$B$4=20),
IF($D25="Pressio.",
IF(OR($E25=3,$E25=1,$E25=4),(PI()*AE$12^2)/4*(AA25*$W25*1000)/($H25*$B$5),(PI()*AE$12^2)/4*(AA25*$W25*1000)/($G25*$B$5)),
IF($D25="Pénétro.",
IF(OR($E25=4,$E25=1,$E25=5),(PI()*AE$12^2)/4*(AA25*$W25*1000)/($H25*$B$5),(PI()*AE$12^2)/4*(AA25*$W25*1000)/($G25*$B$5)))),
IF($D25="Pressio.",
IF($E25=3,(PI()*AE$12^2)/4*(AA25*$W25*1000)/($H25*$B$5),(PI()*AE$12^2)/4*(AA25*$W25*1000)/($G25*$B$5)),
IF($D25="Pénétro.",
IF($E25=4,(PI()*AE$12^2)/4*(AA25*$W25*1000)/($H25*$B$5),(PI()*AE$12^2)/4*(AA25*$W25*1000)/($G25*$B$5))))))/10</f>
        <v>#N/A</v>
      </c>
      <c r="AF25" s="102" t="e">
        <f>(VLOOKUP($B$3,'Coeff EC7'!$T$39:$X$59,2,0)*AD25+VLOOKUP($B$3,'Coeff EC7'!$T$65:$X$85,2,0)*Model0.1C!AE25)/1.1</f>
        <v>#N/A</v>
      </c>
      <c r="AG25" s="102" t="e">
        <f>(VLOOKUP($B$3,'Coeff EC7'!$T$39:$X$59,3,0)*AD25+VLOOKUP($B$3,'Coeff EC7'!$T$65:$X$85,3,0)*Model0.1C!AE25)/0.9</f>
        <v>#N/A</v>
      </c>
      <c r="AH25" s="102" t="e">
        <f t="shared" si="18"/>
        <v>#N/A</v>
      </c>
      <c r="AI25" s="102" t="e">
        <f t="shared" si="19"/>
        <v>#N/A</v>
      </c>
      <c r="AJ25" s="414" t="e">
        <f>IF(AJ24=0,0,IF(AND(AF25&gt;charge_ELS_quasi,AG25&gt;Charge_ELS_freq,AH25&gt;charge_ELU,AI25&gt;charge_ELA,$B25&gt;NDC!$H$22-0.1+MIN(3*$AJ$12,1.5)),0,1))</f>
        <v>#N/A</v>
      </c>
      <c r="AK25" s="86" t="b">
        <f t="shared" si="20"/>
        <v>0</v>
      </c>
      <c r="AL25" s="86">
        <f t="shared" si="70"/>
        <v>0.5</v>
      </c>
      <c r="AM25" s="86">
        <f t="shared" si="21"/>
        <v>0.5</v>
      </c>
      <c r="AN25" s="30" t="e">
        <f t="shared" ca="1" si="71"/>
        <v>#DIV/0!</v>
      </c>
      <c r="AO25" s="85" t="e">
        <f ca="1">IF(U25&lt;=Hypothèses!$V$7,Hypothèses!$W$7,IF(U25&lt;=Hypothèses!$V$8,Hypothèses!$W$8,IF(U25&lt;=Hypothèses!$V$9,Hypothèses!$W$9,IF(U25&lt;=Hypothèses!$V$10,Hypothèses!$W$10,IF(U25&lt;=Hypothèses!$V$11,Hypothèses!$W$11,IF(U25&lt;=Hypothèses!$V$12,Hypothèses!$W$12,IF(U25&lt;=Hypothèses!$V$13,Hypothèses!$W$13,IF(U25&lt;=Hypothèses!$V$14,Hypothèses!$W$14,IF(U25&lt;=Hypothèses!$V$15,Hypothèses!$W$15,IF(U25&lt;=Hypothèses!$V$16,Hypothèses!$W$16,IF(U25&lt;=Hypothèses!$V$17,Hypothèses!$W$17,IF(U25&lt;=Hypothèses!$V$18,Hypothèses!$W$18,""))))))))))))</f>
        <v>#DIV/0!</v>
      </c>
      <c r="AP25" s="87" t="e">
        <f t="shared" ca="1" si="117"/>
        <v>#DIV/0!</v>
      </c>
      <c r="AQ25" s="88" t="e">
        <f ca="1">IF(U25&lt;=Hypothèses!$V$7,Hypothèses!$X$7,IF(U25&lt;=Hypothèses!$V$8,Hypothèses!$X$8,IF(U25&lt;=Hypothèses!$V$9,Hypothèses!$X$9,IF(U25&lt;=Hypothèses!$V$10,Hypothèses!$X$10,IF(U25&lt;=Hypothèses!$V$11,Hypothèses!$X$11,IF(U25&lt;=Hypothèses!$V$12,Hypothèses!$X$12,IF(U25&lt;=Hypothèses!$V$13,Hypothèses!$X$13,IF(U25&lt;=Hypothèses!$V$14,Hypothèses!$X$14,IF(U25&lt;=Hypothèses!$V$15,Hypothèses!$X$15,IF(U25&lt;=Hypothèses!$V$16,Hypothèses!$X$16,IF(U25&lt;=Hypothèses!$U$17,Hypothèses!$W$17,IF(U25&lt;=Hypothèses!$U$18,Hypothèses!$W$18,""))))))))))))</f>
        <v>#DIV/0!</v>
      </c>
      <c r="AR25" s="95" t="e">
        <f t="shared" ca="1" si="72"/>
        <v>#DIV/0!</v>
      </c>
      <c r="AS25" s="101" t="e">
        <f t="shared" si="124"/>
        <v>#N/A</v>
      </c>
      <c r="AT25" s="91" t="e">
        <f t="shared" si="23"/>
        <v>#N/A</v>
      </c>
      <c r="AU25" s="30" t="e">
        <f t="shared" si="102"/>
        <v>#N/A</v>
      </c>
      <c r="AV25" s="30" t="e">
        <f t="shared" si="103"/>
        <v>#N/A</v>
      </c>
      <c r="AW25" s="31" t="e">
        <f>IF(OR(Hypothèses!$B$4=17,Hypothèses!$B$4=18,Hypothèses!$B$4=19,Hypothèses!$B$4=20),
IF($D25="Pressio.",
IF(OR($E25=3,$E25=1,$E25=4),AV25,AU25),
IF($D25="Pénétro.",
IF(OR($E25=3,$E25=1,$E25=4),AV25,AU25))),IF($D25="Pressio.",
IF($E25=3,AV25,AU25),
IF($D25="Pénétro.",
IF($E25=4,AV25,AU25))))</f>
        <v>#N/A</v>
      </c>
      <c r="AX25" s="31" t="e">
        <f>(IF(OR(Hypothèses!$B$4=17,Hypothèses!$B$4=18,Hypothèses!$B$4=19,Hypothèses!$B$4=20),
IF($D25="Pressio.",
IF(OR($E25=3,$E25=1,$E25=4),(PI()*AX$12^2)/4*(AT25*$W25*1000)/($H25*$B$5),(PI()*AX$12^2)/4*(AT25*$W25*1000)/($G25*$B$5)),
IF($D25="Pénétro.",
IF(OR($E25=4,$E25=1,$E25=5),(PI()*AX$12^2)/4*(AT25*$W25*1000)/($H25*$B$5),(PI()*AX$12^2)/4*(AT25*$W25*1000)/($G25*$B$5)))),
IF($D25="Pressio.",
IF($E25=3,(PI()*AX$12^2)/4*(AT25*$W25*1000)/($H25*$B$5),(PI()*AX$12^2)/4*(AT25*$W25*1000)/($G25*$B$5)),
IF($D25="Pénétro.",
IF($E25=4,(PI()*AX$12^2)/4*(AT25*$W25*1000)/($H25*$B$5),(PI()*AX$12^2)/4*(AT25*$W25*1000)/($G25*$B$5))))))/10</f>
        <v>#N/A</v>
      </c>
      <c r="AY25" s="102" t="e">
        <f>(VLOOKUP($B$3,'Coeff EC7'!$T$39:$X$59,2,0)*AW25+VLOOKUP($B$3,'Coeff EC7'!$T$65:$X$85,2,0)*Model0.1C!AX25)/1.1</f>
        <v>#N/A</v>
      </c>
      <c r="AZ25" s="102" t="e">
        <f>(VLOOKUP($B$3,'Coeff EC7'!$T$39:$X$59,3,0)*AW25+VLOOKUP($B$3,'Coeff EC7'!$T$65:$X$85,3,0)*Model0.1C!AX25)/0.9</f>
        <v>#N/A</v>
      </c>
      <c r="BA25" s="102" t="e">
        <f t="shared" si="73"/>
        <v>#N/A</v>
      </c>
      <c r="BB25" s="102" t="e">
        <f t="shared" si="74"/>
        <v>#N/A</v>
      </c>
      <c r="BC25" s="414" t="e">
        <f>IF(BC24=0,0,IF(AND(AY25&gt;charge_ELS_quasi,AZ25&gt;Charge_ELS_freq,BA25&gt;charge_ELU,BB25&gt;charge_ELA,$B25&gt;NDC!$H$22-0.1+MIN(3*$BC$12,1.5)),0,1))</f>
        <v>#N/A</v>
      </c>
      <c r="BD25" s="86" t="b">
        <f t="shared" si="26"/>
        <v>0</v>
      </c>
      <c r="BE25" s="86">
        <f t="shared" si="75"/>
        <v>0.5</v>
      </c>
      <c r="BF25" s="86">
        <f t="shared" si="27"/>
        <v>0.5</v>
      </c>
      <c r="BG25" s="30" t="e">
        <f t="shared" ca="1" si="76"/>
        <v>#DIV/0!</v>
      </c>
      <c r="BH25" s="85" t="e">
        <f ca="1">IF(AN25&lt;=Hypothèses!$V$7,Hypothèses!$W$7,IF(AN25&lt;=Hypothèses!$V$8,Hypothèses!$W$8,IF(AN25&lt;=Hypothèses!$V$9,Hypothèses!$W$9,IF(AN25&lt;=Hypothèses!$V$10,Hypothèses!$W$10,IF(AN25&lt;=Hypothèses!$V$11,Hypothèses!$W$11,IF(AN25&lt;=Hypothèses!$V$12,Hypothèses!$W$12,IF(AN25&lt;=Hypothèses!$V$13,Hypothèses!$W$13,IF(AN25&lt;=Hypothèses!$V$14,Hypothèses!$W$14,IF(AN25&lt;=Hypothèses!$V$15,Hypothèses!$W$15,IF(AN25&lt;=Hypothèses!$V$16,Hypothèses!$W$16,IF(AN25&lt;=Hypothèses!$V$17,Hypothèses!$W$17,IF(AN25&lt;=Hypothèses!$V$18,Hypothèses!$W$18,""))))))))))))</f>
        <v>#DIV/0!</v>
      </c>
      <c r="BI25" s="87" t="e">
        <f t="shared" ca="1" si="118"/>
        <v>#DIV/0!</v>
      </c>
      <c r="BJ25" s="88" t="e">
        <f ca="1">IF(AN25&lt;=Hypothèses!$V$7,Hypothèses!$X$7,IF(AN25&lt;=Hypothèses!$V$8,Hypothèses!$X$8,IF(AN25&lt;=Hypothèses!$V$9,Hypothèses!$X$9,IF(AN25&lt;=Hypothèses!$V$10,Hypothèses!$X$10,IF(AN25&lt;=Hypothèses!$V$11,Hypothèses!$X$11,IF(AN25&lt;=Hypothèses!$V$12,Hypothèses!$X$12,IF(AN25&lt;=Hypothèses!$V$13,Hypothèses!$X$13,IF(AN25&lt;=Hypothèses!$V$14,Hypothèses!$X$14,IF(AN25&lt;=Hypothèses!$V$15,Hypothèses!$X$15,IF(AN25&lt;=Hypothèses!$V$16,Hypothèses!$X$16,IF(AN25&lt;=Hypothèses!$U$17,Hypothèses!$W$17,IF(AN25&lt;=Hypothèses!$U$18,Hypothèses!$W$18,""))))))))))))</f>
        <v>#DIV/0!</v>
      </c>
      <c r="BK25" s="95" t="e">
        <f t="shared" ca="1" si="77"/>
        <v>#DIV/0!</v>
      </c>
      <c r="BL25" s="101" t="e">
        <f t="shared" si="125"/>
        <v>#N/A</v>
      </c>
      <c r="BM25" s="91" t="e">
        <f t="shared" si="29"/>
        <v>#N/A</v>
      </c>
      <c r="BN25" s="30" t="e">
        <f t="shared" si="104"/>
        <v>#N/A</v>
      </c>
      <c r="BO25" s="30" t="e">
        <f t="shared" si="105"/>
        <v>#N/A</v>
      </c>
      <c r="BP25" s="31" t="e">
        <f>IF(OR(Hypothèses!$B$4=17,Hypothèses!$B$4=18,Hypothèses!$B$4=19,Hypothèses!$B$4=20),
IF($D25="Pressio.",
IF(OR($E25=3,$E25=1,$E25=4),BO25,BN25),
IF($D25="Pénétro.",
IF(OR($E25=3,$E25=1,$E25=4),BO25,BN25))),IF($D25="Pressio.",
IF($E25=3,BO25,BN25),
IF($D25="Pénétro.",
IF($E25=4,BO25,BN25))))</f>
        <v>#N/A</v>
      </c>
      <c r="BQ25" s="31" t="e">
        <f>(IF(OR(Hypothèses!$B$4=17,Hypothèses!$B$4=18,Hypothèses!$B$4=19,Hypothèses!$B$4=20),
IF($D25="Pressio.",
IF(OR($E25=3,$E25=1,$E25=4),(PI()*BQ$12^2)/4*(BM25*$W25*1000)/($H25*$B$5),(PI()*BQ$12^2)/4*(BM25*$W25*1000)/($G25*$B$5)),
IF($D25="Pénétro.",
IF(OR($E25=4,$E25=1,$E25=5),(PI()*BQ$12^2)/4*(BM25*$W25*1000)/($H25*$B$5),(PI()*BQ$12^2)/4*(BM25*$W25*1000)/($G25*$B$5)))),
IF($D25="Pressio.",
IF($E25=3,(PI()*BQ$12^2)/4*(BM25*$W25*1000)/($H25*$B$5),(PI()*BQ$12^2)/4*(BM25*$W25*1000)/($G25*$B$5)),
IF($D25="Pénétro.",
IF($E25=4,(PI()*BQ$12^2)/4*(BM25*$W25*1000)/($H25*$B$5),(PI()*BQ$12^2)/4*(BM25*$W25*1000)/($G25*$B$5))))))/10</f>
        <v>#N/A</v>
      </c>
      <c r="BR25" s="102" t="e">
        <f>(VLOOKUP($B$3,'Coeff EC7'!$T$39:$X$59,2,0)*BP25+VLOOKUP($B$3,'Coeff EC7'!$T$65:$X$85,2,0)*Model0.1C!BQ25)/1.1</f>
        <v>#N/A</v>
      </c>
      <c r="BS25" s="102" t="e">
        <f>(VLOOKUP($B$3,'Coeff EC7'!$T$39:$X$59,3,0)*BP25+VLOOKUP($B$3,'Coeff EC7'!$T$65:$X$85,3,0)*Model0.1C!BQ25)/0.9</f>
        <v>#N/A</v>
      </c>
      <c r="BT25" s="102" t="e">
        <f t="shared" si="78"/>
        <v>#N/A</v>
      </c>
      <c r="BU25" s="102" t="e">
        <f t="shared" si="79"/>
        <v>#N/A</v>
      </c>
      <c r="BV25" s="414" t="e">
        <f>IF(BV24=0,0,IF(AND(BR25&gt;charge_ELS_quasi,BS25&gt;Charge_ELS_freq,BT25&gt;charge_ELU,BU25&gt;charge_ELA,$B25&gt;NDC!$H$22-0.1+MIN(3*$BV$12,1.5)),0,1))</f>
        <v>#N/A</v>
      </c>
      <c r="BW25" s="86" t="b">
        <f t="shared" si="32"/>
        <v>0</v>
      </c>
      <c r="BX25" s="86">
        <f t="shared" si="33"/>
        <v>0.5</v>
      </c>
      <c r="BY25" s="86">
        <f t="shared" si="34"/>
        <v>0.5</v>
      </c>
      <c r="BZ25" s="30" t="e">
        <f t="shared" ca="1" si="80"/>
        <v>#DIV/0!</v>
      </c>
      <c r="CA25" s="85" t="e">
        <f ca="1">IF(BG25&lt;=Hypothèses!$V$7,Hypothèses!$W$7,IF(BG25&lt;=Hypothèses!$V$8,Hypothèses!$W$8,IF(BG25&lt;=Hypothèses!$V$9,Hypothèses!$W$9,IF(BG25&lt;=Hypothèses!$V$10,Hypothèses!$W$10,IF(BG25&lt;=Hypothèses!$V$11,Hypothèses!$W$11,IF(BG25&lt;=Hypothèses!$V$12,Hypothèses!$W$12,IF(BG25&lt;=Hypothèses!$V$13,Hypothèses!$W$13,IF(BG25&lt;=Hypothèses!$V$14,Hypothèses!$W$14,IF(BG25&lt;=Hypothèses!$V$15,Hypothèses!$W$15,IF(BG25&lt;=Hypothèses!$V$16,Hypothèses!$W$16,IF(BG25&lt;=Hypothèses!$V$17,Hypothèses!$W$17,IF(BG25&lt;=Hypothèses!$V$18,Hypothèses!$W$18,""))))))))))))</f>
        <v>#DIV/0!</v>
      </c>
      <c r="CB25" s="87" t="e">
        <f t="shared" ca="1" si="119"/>
        <v>#DIV/0!</v>
      </c>
      <c r="CC25" s="88" t="e">
        <f ca="1">IF(BG25&lt;=Hypothèses!$V$7,Hypothèses!$X$7,IF(BG25&lt;=Hypothèses!$V$8,Hypothèses!$X$8,IF(BG25&lt;=Hypothèses!$V$9,Hypothèses!$X$9,IF(BG25&lt;=Hypothèses!$V$10,Hypothèses!$X$10,IF(BG25&lt;=Hypothèses!$V$11,Hypothèses!$X$11,IF(BG25&lt;=Hypothèses!$V$12,Hypothèses!$X$12,IF(BG25&lt;=Hypothèses!$V$13,Hypothèses!$X$13,IF(BG25&lt;=Hypothèses!$V$14,Hypothèses!$X$14,IF(BG25&lt;=Hypothèses!$V$15,Hypothèses!$X$15,IF(BG25&lt;=Hypothèses!$V$16,Hypothèses!$X$16,IF(BG25&lt;=Hypothèses!$U$17,Hypothèses!$W$17,IF(BG25&lt;=Hypothèses!$U$18,Hypothèses!$W$18,""))))))))))))</f>
        <v>#DIV/0!</v>
      </c>
      <c r="CD25" s="95" t="e">
        <f t="shared" ca="1" si="81"/>
        <v>#DIV/0!</v>
      </c>
      <c r="CE25" s="101" t="e">
        <f t="shared" si="126"/>
        <v>#N/A</v>
      </c>
      <c r="CF25" s="91" t="e">
        <f t="shared" si="36"/>
        <v>#N/A</v>
      </c>
      <c r="CG25" s="30" t="e">
        <f t="shared" si="106"/>
        <v>#N/A</v>
      </c>
      <c r="CH25" s="30" t="e">
        <f t="shared" si="107"/>
        <v>#N/A</v>
      </c>
      <c r="CI25" s="31" t="e">
        <f>IF(OR(Hypothèses!$B$4=17,Hypothèses!$B$4=18,Hypothèses!$B$4=19,Hypothèses!$B$4=20),
IF($D25="Pressio.",
IF(OR($E25=3,$E25=1,$E25=4),CH25,CG25),
IF($D25="Pénétro.",
IF(OR($E25=3,$E25=1,$E25=4),CH25,CG25))),IF($D25="Pressio.",
IF($E25=3,CH25,CG25),
IF($D25="Pénétro.",
IF($E25=4,CH25,CG25))))</f>
        <v>#N/A</v>
      </c>
      <c r="CJ25" s="31" t="e">
        <f>(IF(OR(Hypothèses!$B$4=17,Hypothèses!$B$4=18,Hypothèses!$B$4=19,Hypothèses!$B$4=20),
IF($D25="Pressio.",
IF(OR($E25=3,$E25=1,$E25=4),(PI()*CJ$12^2)/4*(CF25*$W25*1000)/($H25*$B$5),(PI()*CJ$12^2)/4*(CF25*$W25*1000)/($G25*$B$5)),
IF($D25="Pénétro.",
IF(OR($E25=4,$E25=1,$E25=5),(PI()*CJ$12^2)/4*(CF25*$W25*1000)/($H25*$B$5),(PI()*CJ$12^2)/4*(CF25*$W25*1000)/($G25*$B$5)))),
IF($D25="Pressio.",
IF($E25=3,(PI()*CJ$12^2)/4*(CF25*$W25*1000)/($H25*$B$5),(PI()*CJ$12^2)/4*(CF25*$W25*1000)/($G25*$B$5)),
IF($D25="Pénétro.",
IF($E25=4,(PI()*CJ$12^2)/4*(CF25*$W25*1000)/($H25*$B$5),(PI()*CJ$12^2)/4*(CF25*$W25*1000)/($G25*$B$5))))))/10</f>
        <v>#N/A</v>
      </c>
      <c r="CK25" s="102" t="e">
        <f>(VLOOKUP($B$3,'Coeff EC7'!$T$39:$X$59,2,0)*CI25+VLOOKUP($B$3,'Coeff EC7'!$T$65:$X$85,2,0)*Model0.1C!CJ25)/1.1</f>
        <v>#N/A</v>
      </c>
      <c r="CL25" s="102" t="e">
        <f>(VLOOKUP($B$3,'Coeff EC7'!$T$39:$X$59,3,0)*CI25+VLOOKUP($B$3,'Coeff EC7'!$T$65:$X$85,3,0)*Model0.1C!CJ25)/0.9</f>
        <v>#N/A</v>
      </c>
      <c r="CM25" s="102" t="e">
        <f t="shared" si="82"/>
        <v>#N/A</v>
      </c>
      <c r="CN25" s="102" t="e">
        <f t="shared" si="83"/>
        <v>#N/A</v>
      </c>
      <c r="CO25" s="414" t="e">
        <f>IF(CO24=0,0,IF(AND(CK25&gt;charge_ELS_quasi,CL25&gt;Charge_ELS_freq,CM25&gt;charge_ELU,CN25&gt;charge_ELA,$B25&gt;NDC!$H$22-0.1+MIN(3*$CO$12,1.5)),0,1))</f>
        <v>#N/A</v>
      </c>
      <c r="CP25" s="86" t="b">
        <f t="shared" si="39"/>
        <v>0</v>
      </c>
      <c r="CQ25" s="86">
        <f t="shared" si="40"/>
        <v>0.5</v>
      </c>
      <c r="CR25" s="86">
        <f t="shared" si="41"/>
        <v>0.5</v>
      </c>
      <c r="CS25" s="30" t="e">
        <f t="shared" ca="1" si="84"/>
        <v>#DIV/0!</v>
      </c>
      <c r="CT25" s="85" t="e">
        <f ca="1">IF(BZ25&lt;=Hypothèses!$V$7,Hypothèses!$W$7,IF(BZ25&lt;=Hypothèses!$V$8,Hypothèses!$W$8,IF(BZ25&lt;=Hypothèses!$V$9,Hypothèses!$W$9,IF(BZ25&lt;=Hypothèses!$V$10,Hypothèses!$W$10,IF(BZ25&lt;=Hypothèses!$V$11,Hypothèses!$W$11,IF(BZ25&lt;=Hypothèses!$V$12,Hypothèses!$W$12,IF(BZ25&lt;=Hypothèses!$V$13,Hypothèses!$W$13,IF(BZ25&lt;=Hypothèses!$V$14,Hypothèses!$W$14,IF(BZ25&lt;=Hypothèses!$V$15,Hypothèses!$W$15,IF(BZ25&lt;=Hypothèses!$V$16,Hypothèses!$W$16,IF(BZ25&lt;=Hypothèses!$V$17,Hypothèses!$W$17,IF(BZ25&lt;=Hypothèses!$V$18,Hypothèses!$W$18,""))))))))))))</f>
        <v>#DIV/0!</v>
      </c>
      <c r="CU25" s="87" t="e">
        <f t="shared" ca="1" si="120"/>
        <v>#DIV/0!</v>
      </c>
      <c r="CV25" s="88" t="e">
        <f ca="1">IF(BZ25&lt;=Hypothèses!$V$7,Hypothèses!$X$7,IF(BZ25&lt;=Hypothèses!$V$8,Hypothèses!$X$8,IF(BZ25&lt;=Hypothèses!$V$9,Hypothèses!$X$9,IF(BZ25&lt;=Hypothèses!$V$10,Hypothèses!$X$10,IF(BZ25&lt;=Hypothèses!$V$11,Hypothèses!$X$11,IF(BZ25&lt;=Hypothèses!$V$12,Hypothèses!$X$12,IF(BZ25&lt;=Hypothèses!$V$13,Hypothèses!$X$13,IF(BZ25&lt;=Hypothèses!$V$14,Hypothèses!$X$14,IF(BZ25&lt;=Hypothèses!$V$15,Hypothèses!$X$15,IF(BZ25&lt;=Hypothèses!$V$16,Hypothèses!$X$16,IF(BZ25&lt;=Hypothèses!$U$17,Hypothèses!$W$17,IF(BZ25&lt;=Hypothèses!$U$18,Hypothèses!$W$18,""))))))))))))</f>
        <v>#DIV/0!</v>
      </c>
      <c r="CW25" s="95" t="e">
        <f t="shared" ca="1" si="85"/>
        <v>#DIV/0!</v>
      </c>
      <c r="CX25" s="101" t="e">
        <f t="shared" si="127"/>
        <v>#N/A</v>
      </c>
      <c r="CY25" s="91" t="e">
        <f t="shared" si="43"/>
        <v>#N/A</v>
      </c>
      <c r="CZ25" s="30" t="e">
        <f t="shared" si="108"/>
        <v>#N/A</v>
      </c>
      <c r="DA25" s="30" t="e">
        <f t="shared" si="109"/>
        <v>#N/A</v>
      </c>
      <c r="DB25" s="31" t="e">
        <f>IF(OR(Hypothèses!$B$4=17,Hypothèses!$B$4=18,Hypothèses!$B$4=19,Hypothèses!$B$4=20),
IF($D25="Pressio.",
IF(OR($E25=3,$E25=1,$E25=4),DA25,CZ25),
IF($D25="Pénétro.",
IF(OR($E25=3,$E25=1,$E25=4),DA25,CZ25))),IF($D25="Pressio.",
IF($E25=3,DA25,CZ25),
IF($D25="Pénétro.",
IF($E25=4,DA25,CZ25))))</f>
        <v>#N/A</v>
      </c>
      <c r="DC25" s="31" t="e">
        <f>(IF(OR(Hypothèses!$B$4=17,Hypothèses!$B$4=18,Hypothèses!$B$4=19,Hypothèses!$B$4=20),
IF($D25="Pressio.",
IF(OR($E25=3,$E25=1,$E25=4),(PI()*DC$12^2)/4*(CY25*$W25*1000)/($H25*$B$5),(PI()*DC$12^2)/4*(CY25*$W25*1000)/($G25*$B$5)),
IF($D25="Pénétro.",
IF(OR($E25=4,$E25=1,$E25=5),(PI()*DC$12^2)/4*(CY25*$W25*1000)/($H25*$B$5),(PI()*DC$12^2)/4*(CY25*$W25*1000)/($G25*$B$5)))),
IF($D25="Pressio.",
IF($E25=3,(PI()*DC$12^2)/4*(CY25*$W25*1000)/($H25*$B$5),(PI()*DC$12^2)/4*(CY25*$W25*1000)/($G25*$B$5)),
IF($D25="Pénétro.",
IF($E25=4,(PI()*DC$12^2)/4*(CY25*$W25*1000)/($H25*$B$5),(PI()*DC$12^2)/4*(CY25*$W25*1000)/($G25*$B$5))))))/10</f>
        <v>#N/A</v>
      </c>
      <c r="DD25" s="102" t="e">
        <f>(VLOOKUP($B$3,'Coeff EC7'!$T$39:$X$59,2,0)*DB25+VLOOKUP($B$3,'Coeff EC7'!$T$65:$X$85,2,0)*Model0.1C!DC25)/1.1</f>
        <v>#N/A</v>
      </c>
      <c r="DE25" s="102" t="e">
        <f>(VLOOKUP($B$3,'Coeff EC7'!$T$39:$X$59,3,0)*DB25+VLOOKUP($B$3,'Coeff EC7'!$T$65:$X$85,3,0)*Model0.1C!DC25)/0.9</f>
        <v>#N/A</v>
      </c>
      <c r="DF25" s="102" t="e">
        <f t="shared" si="86"/>
        <v>#N/A</v>
      </c>
      <c r="DG25" s="102" t="e">
        <f t="shared" si="87"/>
        <v>#N/A</v>
      </c>
      <c r="DH25" s="414" t="e">
        <f>IF(DH24=0,0,IF(AND(DD25&gt;charge_ELS_quasi,DE25&gt;Charge_ELS_freq,DF25&gt;charge_ELU,DG25&gt;charge_ELA,$B25&gt;NDC!$H$22-0.1+MIN(3*$DH$12,1.5)),0,1))</f>
        <v>#N/A</v>
      </c>
      <c r="DI25" s="86" t="b">
        <f t="shared" si="46"/>
        <v>0</v>
      </c>
      <c r="DJ25" s="86">
        <f t="shared" si="47"/>
        <v>0.5</v>
      </c>
      <c r="DK25" s="86">
        <f t="shared" si="48"/>
        <v>0.5</v>
      </c>
      <c r="DL25" s="30" t="e">
        <f t="shared" ca="1" si="88"/>
        <v>#DIV/0!</v>
      </c>
      <c r="DM25" s="85" t="e">
        <f ca="1">IF(CS25&lt;=Hypothèses!$V$7,Hypothèses!$W$7,IF(CS25&lt;=Hypothèses!$V$8,Hypothèses!$W$8,IF(CS25&lt;=Hypothèses!$V$9,Hypothèses!$W$9,IF(CS25&lt;=Hypothèses!$V$10,Hypothèses!$W$10,IF(CS25&lt;=Hypothèses!$V$11,Hypothèses!$W$11,IF(CS25&lt;=Hypothèses!$V$12,Hypothèses!$W$12,IF(CS25&lt;=Hypothèses!$V$13,Hypothèses!$W$13,IF(CS25&lt;=Hypothèses!$V$14,Hypothèses!$W$14,IF(CS25&lt;=Hypothèses!$V$15,Hypothèses!$W$15,IF(CS25&lt;=Hypothèses!$V$16,Hypothèses!$W$16,IF(CS25&lt;=Hypothèses!$V$17,Hypothèses!$W$17,IF(CS25&lt;=Hypothèses!$V$18,Hypothèses!$W$18,""))))))))))))</f>
        <v>#DIV/0!</v>
      </c>
      <c r="DN25" s="87" t="e">
        <f t="shared" ca="1" si="121"/>
        <v>#DIV/0!</v>
      </c>
      <c r="DO25" s="88" t="e">
        <f ca="1">IF(CS25&lt;=Hypothèses!$V$7,Hypothèses!$X$7,IF(CS25&lt;=Hypothèses!$V$8,Hypothèses!$X$8,IF(CS25&lt;=Hypothèses!$V$9,Hypothèses!$X$9,IF(CS25&lt;=Hypothèses!$V$10,Hypothèses!$X$10,IF(CS25&lt;=Hypothèses!$V$11,Hypothèses!$X$11,IF(CS25&lt;=Hypothèses!$V$12,Hypothèses!$X$12,IF(CS25&lt;=Hypothèses!$V$13,Hypothèses!$X$13,IF(CS25&lt;=Hypothèses!$V$14,Hypothèses!$X$14,IF(CS25&lt;=Hypothèses!$V$15,Hypothèses!$X$15,IF(CS25&lt;=Hypothèses!$V$16,Hypothèses!$X$16,IF(CS25&lt;=Hypothèses!$U$17,Hypothèses!$W$17,IF(CS25&lt;=Hypothèses!$U$18,Hypothèses!$W$18,""))))))))))))</f>
        <v>#DIV/0!</v>
      </c>
      <c r="DP25" s="95" t="e">
        <f t="shared" ca="1" si="89"/>
        <v>#DIV/0!</v>
      </c>
      <c r="DQ25" s="101" t="e">
        <f t="shared" si="128"/>
        <v>#N/A</v>
      </c>
      <c r="DR25" s="91" t="e">
        <f t="shared" si="50"/>
        <v>#N/A</v>
      </c>
      <c r="DS25" s="30" t="e">
        <f t="shared" si="110"/>
        <v>#N/A</v>
      </c>
      <c r="DT25" s="30" t="e">
        <f t="shared" si="111"/>
        <v>#N/A</v>
      </c>
      <c r="DU25" s="31" t="e">
        <f>IF(OR(Hypothèses!$B$4=17,Hypothèses!$B$4=18,Hypothèses!$B$4=19,Hypothèses!$B$4=20),
IF($D25="Pressio.",
IF(OR($E25=3,$E25=1,$E25=4),DT25,DS25),
IF($D25="Pénétro.",
IF(OR($E25=3,$E25=1,$E25=4),DT25,DS25))),IF($D25="Pressio.",
IF($E25=3,DT25,DS25),
IF($D25="Pénétro.",
IF($E25=4,DT25,DS25))))</f>
        <v>#N/A</v>
      </c>
      <c r="DV25" s="31" t="e">
        <f>(IF(OR(Hypothèses!$B$4=17,Hypothèses!$B$4=18,Hypothèses!$B$4=19,Hypothèses!$B$4=20),
IF($D25="Pressio.",
IF(OR($E25=3,$E25=1,$E25=4),(PI()*DV$12^2)/4*(DR25*$W25*1000)/($H25*$B$5),(PI()*DV$12^2)/4*(DR25*$W25*1000)/($G25*$B$5)),
IF($D25="Pénétro.",
IF(OR($E25=4,$E25=1,$E25=5),(PI()*DV$12^2)/4*(DR25*$W25*1000)/($H25*$B$5),(PI()*DV$12^2)/4*(DR25*$W25*1000)/($G25*$B$5)))),
IF($D25="Pressio.",
IF($E25=3,(PI()*DV$12^2)/4*(DR25*$W25*1000)/($H25*$B$5),(PI()*DV$12^2)/4*(DR25*$W25*1000)/($G25*$B$5)),
IF($D25="Pénétro.",
IF($E25=4,(PI()*DV$12^2)/4*(DR25*$W25*1000)/($H25*$B$5),(PI()*DV$12^2)/4*(DR25*$W25*1000)/($G25*$B$5))))))/10</f>
        <v>#N/A</v>
      </c>
      <c r="DW25" s="102" t="e">
        <f>(VLOOKUP($B$3,'Coeff EC7'!$T$39:$X$59,2,0)*DU25+VLOOKUP($B$3,'Coeff EC7'!$T$65:$X$85,2,0)*Model0.1C!DV25)/1.1</f>
        <v>#N/A</v>
      </c>
      <c r="DX25" s="102" t="e">
        <f>(VLOOKUP($B$3,'Coeff EC7'!$T$39:$X$59,3,0)*DU25+VLOOKUP($B$3,'Coeff EC7'!$T$65:$X$85,3,0)*Model0.1C!DV25)/0.9</f>
        <v>#N/A</v>
      </c>
      <c r="DY25" s="102" t="e">
        <f t="shared" si="90"/>
        <v>#N/A</v>
      </c>
      <c r="DZ25" s="102" t="e">
        <f t="shared" si="91"/>
        <v>#N/A</v>
      </c>
      <c r="EA25" s="414" t="e">
        <f>IF(EA24=0,0,IF(AND(DW25&gt;charge_ELS_quasi,DX25&gt;Charge_ELS_freq,DY25&gt;charge_ELU,DZ25&gt;charge_ELA,$B25&gt;NDC!$H$22-0.1+MIN(3*$EA$12,1.5)),0,1))</f>
        <v>#N/A</v>
      </c>
      <c r="EB25" s="86" t="b">
        <f t="shared" si="53"/>
        <v>0</v>
      </c>
      <c r="EC25" s="418">
        <f t="shared" si="54"/>
        <v>0.51</v>
      </c>
      <c r="ED25" s="86">
        <f t="shared" si="55"/>
        <v>0.51</v>
      </c>
      <c r="EE25" s="30" t="e">
        <f t="shared" ca="1" si="92"/>
        <v>#DIV/0!</v>
      </c>
      <c r="EF25" s="85" t="e">
        <f ca="1">IF(DL25&lt;=Hypothèses!$V$7,Hypothèses!$W$7,IF(DL25&lt;=Hypothèses!$V$8,Hypothèses!$W$8,IF(DL25&lt;=Hypothèses!$V$9,Hypothèses!$W$9,IF(DL25&lt;=Hypothèses!$V$10,Hypothèses!$W$10,IF(DL25&lt;=Hypothèses!$V$11,Hypothèses!$W$11,IF(DL25&lt;=Hypothèses!$V$12,Hypothèses!$W$12,IF(DL25&lt;=Hypothèses!$V$13,Hypothèses!$W$13,IF(DL25&lt;=Hypothèses!$V$14,Hypothèses!$W$14,IF(DL25&lt;=Hypothèses!$V$15,Hypothèses!$W$15,IF(DL25&lt;=Hypothèses!$V$16,Hypothèses!$W$16,IF(DL25&lt;=Hypothèses!$V$17,Hypothèses!$W$17,IF(DL25&lt;=Hypothèses!$V$18,Hypothèses!$W$18,""))))))))))))</f>
        <v>#DIV/0!</v>
      </c>
      <c r="EG25" s="87" t="e">
        <f t="shared" ca="1" si="122"/>
        <v>#DIV/0!</v>
      </c>
      <c r="EH25" s="88" t="e">
        <f ca="1">IF(DL25&lt;=Hypothèses!$V$7,Hypothèses!$X$7,IF(DL25&lt;=Hypothèses!$V$8,Hypothèses!$X$8,IF(DL25&lt;=Hypothèses!$V$9,Hypothèses!$X$9,IF(DL25&lt;=Hypothèses!$V$10,Hypothèses!$X$10,IF(DL25&lt;=Hypothèses!$V$11,Hypothèses!$X$11,IF(DL25&lt;=Hypothèses!$V$12,Hypothèses!$X$12,IF(DL25&lt;=Hypothèses!$V$13,Hypothèses!$X$13,IF(DL25&lt;=Hypothèses!$V$14,Hypothèses!$X$14,IF(DL25&lt;=Hypothèses!$V$15,Hypothèses!$X$15,IF(DL25&lt;=Hypothèses!$V$16,Hypothèses!$X$16,IF(DL25&lt;=Hypothèses!$U$17,Hypothèses!$W$17,IF(DL25&lt;=Hypothèses!$U$18,Hypothèses!$W$18,""))))))))))))</f>
        <v>#DIV/0!</v>
      </c>
      <c r="EI25" s="95" t="e">
        <f t="shared" ca="1" si="93"/>
        <v>#DIV/0!</v>
      </c>
      <c r="EJ25" s="101" t="e">
        <f t="shared" si="129"/>
        <v>#N/A</v>
      </c>
      <c r="EK25" s="91" t="e">
        <f t="shared" si="57"/>
        <v>#N/A</v>
      </c>
      <c r="EL25" s="30" t="e">
        <f t="shared" si="112"/>
        <v>#N/A</v>
      </c>
      <c r="EM25" s="30" t="e">
        <f t="shared" si="113"/>
        <v>#N/A</v>
      </c>
      <c r="EN25" s="31" t="e">
        <f>IF(OR(Hypothèses!$B$4=17,Hypothèses!$B$4=18,Hypothèses!$B$4=19,Hypothèses!$B$4=20),
IF($D25="Pressio.",
IF(OR($E25=3,$E25=1,$E25=4),EM25,EL25),
IF($D25="Pénétro.",
IF(OR($E25=3,$E25=1,$E25=4),EM25,EL25))),IF($D25="Pressio.",
IF($E25=3,EM25,EL25),
IF($D25="Pénétro.",
IF($E25=4,EM25,EL25))))</f>
        <v>#N/A</v>
      </c>
      <c r="EO25" s="31" t="e">
        <f>(IF(OR(Hypothèses!$B$4=17,Hypothèses!$B$4=18,Hypothèses!$B$4=19,Hypothèses!$B$4=20),
IF($D25="Pressio.",
IF(OR($E25=3,$E25=1,$E25=4),(PI()*EO$12^2)/4*(EK25*$W25*1000)/($H25*$B$5),(PI()*EO$12^2)/4*(EK25*$W25*1000)/($G25*$B$5)),
IF($D25="Pénétro.",
IF(OR($E25=4,$E25=1,$E25=5),(PI()*EO$12^2)/4*(EK25*$W25*1000)/($H25*$B$5),(PI()*EO$12^2)/4*(EK25*$W25*1000)/($G25*$B$5)))),
IF($D25="Pressio.",
IF($E25=3,(PI()*EO$12^2)/4*(EK25*$W25*1000)/($H25*$B$5),(PI()*EO$12^2)/4*(EK25*$W25*1000)/($G25*$B$5)),
IF($D25="Pénétro.",
IF($E25=4,(PI()*EO$12^2)/4*(EK25*$W25*1000)/($H25*$B$5),(PI()*EO$12^2)/4*(EK25*$W25*1000)/($G25*$B$5))))))/10</f>
        <v>#N/A</v>
      </c>
      <c r="EP25" s="102" t="e">
        <f>(VLOOKUP($B$3,'Coeff EC7'!$T$39:$X$59,2,0)*EN25+VLOOKUP($B$3,'Coeff EC7'!$T$65:$X$85,2,0)*Model0.1C!EO25)/1.1</f>
        <v>#N/A</v>
      </c>
      <c r="EQ25" s="102" t="e">
        <f>(VLOOKUP($B$3,'Coeff EC7'!$T$39:$X$59,3,0)*EN25+VLOOKUP($B$3,'Coeff EC7'!$T$65:$X$85,3,0)*Model0.1C!EO25)/0.9</f>
        <v>#N/A</v>
      </c>
      <c r="ER25" s="102" t="e">
        <f t="shared" si="94"/>
        <v>#N/A</v>
      </c>
      <c r="ES25" s="102" t="e">
        <f t="shared" si="95"/>
        <v>#N/A</v>
      </c>
      <c r="ET25" s="414" t="e">
        <f>IF(ET24=0,0,IF(AND(EP25&gt;charge_ELS_quasi,EQ25&gt;Charge_ELS_freq,ER25&gt;charge_ELU,ES25&gt;charge_ELA,$B25&gt;NDC!$H$22-0.1+MIN(3*$ET$12,1.5)),0,1))</f>
        <v>#N/A</v>
      </c>
      <c r="EU25" s="86" t="b">
        <f t="shared" si="60"/>
        <v>0</v>
      </c>
      <c r="EV25" s="86">
        <f t="shared" si="61"/>
        <v>0.61</v>
      </c>
      <c r="EW25" s="86">
        <f t="shared" si="62"/>
        <v>0.61</v>
      </c>
      <c r="EX25" s="30" t="e">
        <f t="shared" ca="1" si="96"/>
        <v>#DIV/0!</v>
      </c>
      <c r="EY25" s="85" t="e">
        <f ca="1">IF(EE25&lt;=Hypothèses!$V$7,Hypothèses!$W$7,IF(EE25&lt;=Hypothèses!$V$8,Hypothèses!$W$8,IF(EE25&lt;=Hypothèses!$V$9,Hypothèses!$W$9,IF(EE25&lt;=Hypothèses!$V$10,Hypothèses!$W$10,IF(EE25&lt;=Hypothèses!$V$11,Hypothèses!$W$11,IF(EE25&lt;=Hypothèses!$V$12,Hypothèses!$W$12,IF(EE25&lt;=Hypothèses!$V$13,Hypothèses!$W$13,IF(EE25&lt;=Hypothèses!$V$14,Hypothèses!$W$14,IF(EE25&lt;=Hypothèses!$V$15,Hypothèses!$W$15,IF(EE25&lt;=Hypothèses!$V$16,Hypothèses!$W$16,IF(EE25&lt;=Hypothèses!$V$17,Hypothèses!$W$17,IF(EE25&lt;=Hypothèses!$V$18,Hypothèses!$W$18,""))))))))))))</f>
        <v>#DIV/0!</v>
      </c>
      <c r="EZ25" s="87" t="e">
        <f t="shared" ca="1" si="123"/>
        <v>#DIV/0!</v>
      </c>
      <c r="FA25" s="88" t="e">
        <f ca="1">IF(EE25&lt;=Hypothèses!$V$7,Hypothèses!$X$7,IF(EE25&lt;=Hypothèses!$V$8,Hypothèses!$X$8,IF(EE25&lt;=Hypothèses!$V$9,Hypothèses!$X$9,IF(EE25&lt;=Hypothèses!$V$10,Hypothèses!$X$10,IF(EE25&lt;=Hypothèses!$V$11,Hypothèses!$X$11,IF(EE25&lt;=Hypothèses!$V$12,Hypothèses!$X$12,IF(EE25&lt;=Hypothèses!$V$13,Hypothèses!$X$13,IF(EE25&lt;=Hypothèses!$V$14,Hypothèses!$X$14,IF(EE25&lt;=Hypothèses!$V$15,Hypothèses!$X$15,IF(EE25&lt;=Hypothèses!$V$16,Hypothèses!$X$16,IF(EE25&lt;=Hypothèses!$U$17,Hypothèses!$W$17,IF(EE25&lt;=Hypothèses!$U$18,Hypothèses!$W$18,""))))))))))))</f>
        <v>#DIV/0!</v>
      </c>
      <c r="FB25" s="95" t="e">
        <f t="shared" ca="1" si="97"/>
        <v>#DIV/0!</v>
      </c>
      <c r="FC25" s="101" t="e">
        <f t="shared" si="130"/>
        <v>#N/A</v>
      </c>
      <c r="FD25" s="91" t="e">
        <f t="shared" si="64"/>
        <v>#N/A</v>
      </c>
      <c r="FE25" s="30" t="e">
        <f t="shared" si="114"/>
        <v>#N/A</v>
      </c>
      <c r="FF25" s="30" t="e">
        <f t="shared" si="115"/>
        <v>#N/A</v>
      </c>
      <c r="FG25" s="31" t="e">
        <f>IF(OR(Hypothèses!$B$4=17,Hypothèses!$B$4=18,Hypothèses!$B$4=19,Hypothèses!$B$4=20),
IF($D25="Pressio.",
IF(OR($E25=3,$E25=1,$E25=4),FF25,FE25),
IF($D25="Pénétro.",
IF(OR($E25=3,$E25=1,$E25=4),FF25,FE25))),IF($D25="Pressio.",
IF($E25=3,FF25,FE25),
IF($D25="Pénétro.",
IF($E25=4,FF25,FE25))))</f>
        <v>#N/A</v>
      </c>
      <c r="FH25" s="31" t="e">
        <f>(IF(OR(Hypothèses!$B$4=17,Hypothèses!$B$4=18,Hypothèses!$B$4=19,Hypothèses!$B$4=20),
IF($D25="Pressio.",
IF(OR($E25=3,$E25=1,$E25=4),(PI()*FH$12^2)/4*(FD25*$W25*1000)/($H25*$B$5),(PI()*FH$12^2)/4*(FD25*$W25*1000)/($G25*$B$5)),
IF($D25="Pénétro.",
IF(OR($E25=4,$E25=1,$E25=5),(PI()*FH$12^2)/4*(FD25*$W25*1000)/($H25*$B$5),(PI()*FH$12^2)/4*(FD25*$W25*1000)/($G25*$B$5)))),
IF($D25="Pressio.",
IF($E25=3,(PI()*FH$12^2)/4*(FD25*$W25*1000)/($H25*$B$5),(PI()*FH$12^2)/4*(FD25*$W25*1000)/($G25*$B$5)),
IF($D25="Pénétro.",
IF($E25=4,(PI()*FH$12^2)/4*(FD25*$W25*1000)/($H25*$B$5),(PI()*FH$12^2)/4*(FD25*$W25*1000)/($G25*$B$5))))))/10</f>
        <v>#N/A</v>
      </c>
      <c r="FI25" s="102" t="e">
        <f>(VLOOKUP($B$3,'Coeff EC7'!$T$39:$X$59,2,0)*FG25+VLOOKUP($B$3,'Coeff EC7'!$T$65:$X$85,2,0)*Model0.1C!FH25)/1.1</f>
        <v>#N/A</v>
      </c>
      <c r="FJ25" s="102" t="e">
        <f>(VLOOKUP($B$3,'Coeff EC7'!$T$39:$X$59,3,0)*FG25+VLOOKUP($B$3,'Coeff EC7'!$T$65:$X$85,3,0)*Model0.1C!FH25)/0.9</f>
        <v>#N/A</v>
      </c>
      <c r="FK25" s="102" t="e">
        <f t="shared" si="98"/>
        <v>#N/A</v>
      </c>
      <c r="FL25" s="102" t="e">
        <f t="shared" si="99"/>
        <v>#N/A</v>
      </c>
      <c r="FM25" s="414" t="e">
        <f>IF(FM24=0,0,IF(AND(FI25&gt;charge_ELS_quasi,FJ25&gt;Charge_ELS_freq,FK25&gt;charge_ELU,FL25&gt;charge_ELA,$B25&gt;NDC!$H$22-0.1+MIN(3*$FM$12,1.5)),0,1))</f>
        <v>#N/A</v>
      </c>
    </row>
    <row r="26" spans="1:169">
      <c r="A26" s="96">
        <f t="shared" si="67"/>
        <v>98.700000000000074</v>
      </c>
      <c r="B26" s="97">
        <v>1.3</v>
      </c>
      <c r="C26" s="81">
        <f>IF(B26&lt;=Hypothèses!$C$7,Hypothèses!$A$7,IF(B26&lt;=Hypothèses!$C$8,Hypothèses!$A$8,IF(B26&lt;=Hypothèses!$C$9,Hypothèses!$A$9,IF(B26&lt;=Hypothèses!$C$10,Hypothèses!$A$10,IF(B26&lt;=Hypothèses!$C$11,Hypothèses!$A$11,IF(B26&lt;=Hypothèses!$C$12,Hypothèses!$A$12,IF(B26&lt;=Hypothèses!$C$13,Hypothèses!$A$13,IF(B26&lt;=Hypothèses!$C$14,Hypothèses!$A$14,IF(B26&lt;=Hypothèses!$C$15,Hypothèses!$A$15,IF(B26&lt;=Hypothèses!$C$16,Hypothèses!$A$16,IF(B26&lt;=Hypothèses!$C$17,Hypothèses!$A$17,IF(B26&lt;=Hypothèses!$C$18,Hypothèses!$A$18,C25))))))))))))</f>
        <v>11</v>
      </c>
      <c r="D26" s="82" t="str">
        <f>IF(B26&lt;=Hypothèses!$C$7,Hypothèses!$R$7,IF(B26&lt;=Hypothèses!$C$8,Hypothèses!$R$8,IF(B26&lt;=Hypothèses!$C$9,Hypothèses!$R$9,IF(B26&lt;=Hypothèses!$C$10,Hypothèses!$R$10,IF(B26&lt;=Hypothèses!$C$11,Hypothèses!$R$11,IF(B26&lt;=Hypothèses!$C$12,Hypothèses!$R$12,IF(B26&lt;=Hypothèses!$C$13,Hypothèses!$R$13,IF(B26&lt;=Hypothèses!$C$14,Hypothèses!$R$14,IF(B26&lt;=Hypothèses!$C$15,Hypothèses!$R$15,IF(B26&lt;=Hypothèses!$C$16,Hypothèses!$R$16,IF(B26&lt;=Hypothèses!$C$17,Hypothèses!$R$17,IF(B26&lt;=Hypothèses!$C$18,Hypothèses!$R$18,D25))))))))))))</f>
        <v>Pressio.</v>
      </c>
      <c r="E26" s="82" t="e">
        <f>IF(B26&lt;=Hypothèses!$C$7,Hypothèses!$G$7,IF(B26&lt;=Hypothèses!$C$8,Hypothèses!$G$8,IF(B26&lt;=Hypothèses!$C$9,Hypothèses!$G$9,IF(B26&lt;=Hypothèses!$C$10,Hypothèses!$G$10,IF(B26&lt;=Hypothèses!$C$11,Hypothèses!$G$11,IF(B26&lt;=Hypothèses!$C$12,Hypothèses!$G$12,IF(B26&lt;=Hypothèses!$C$13,Hypothèses!$G$13,IF(B26&lt;=Hypothèses!$C$14,Hypothèses!$G$14,IF(B26&lt;=Hypothèses!$C$15,Hypothèses!$G$15,IF(B26&lt;=Hypothèses!$C$16,Hypothèses!$G$16,IF(B26&lt;=Hypothèses!$C$17,Hypothèses!$G$17,IF(B26&lt;=Hypothèses!$C$18,Hypothèses!$G$18,E25))))))))))))</f>
        <v>#N/A</v>
      </c>
      <c r="F26" s="82" t="str">
        <f>IF(B26&lt;=Hypothèses!$C$7,Hypothèses!$F$7,IF(B26&lt;=Hypothèses!$C$8,Hypothèses!$F$8,IF(B26&lt;=Hypothèses!$C$9,Hypothèses!$F$9,IF(B26&lt;=Hypothèses!$C$10,Hypothèses!$F$10,IF(B26&lt;=Hypothèses!$C$11,Hypothèses!$F$11,IF(B26&lt;=Hypothèses!$C$12,Hypothèses!$F$12,IF(B26&lt;=Hypothèses!$C$13,Hypothèses!$F$13,IF(B26&lt;=Hypothèses!$C$14,Hypothèses!$F$14,IF(B26&lt;=Hypothèses!$C$15,Hypothèses!$F$15,IF(B26&lt;=Hypothèses!$C$16,Hypothèses!$F$16,IF(B26&lt;=Hypothèses!$C$17,Hypothèses!$F$17,IF(B26&lt;=Hypothèses!$C$18,Hypothèses!$F$18,F25))))))))))))</f>
        <v/>
      </c>
      <c r="G26" s="91">
        <f t="array" ref="G26">INDEX('Coeff EC7'!$U$7:$X$27,
MATCH(Model0.1C!$B$3,'Coeff EC7'!$T$7:$T$27,0),
MATCH(Model0.1C!$D26&amp;Model0.1C!$B$4,
'Coeff EC7'!$U$6:$X$6&amp;
'Coeff EC7'!$U$5:$X$5,0))</f>
        <v>1.1499999999999999</v>
      </c>
      <c r="H26" s="91">
        <f t="array" ref="H26">INDEX('Coeff EC7'!$Y$7:$AB$27,
MATCH(Model0.1C!$B$3,'Coeff EC7'!$T$7:$T$27,0),
MATCH(Model0.1C!$D26&amp;Model0.1C!$B$4,
'Coeff EC7'!$Y$6:$AB$6&amp;
'Coeff EC7'!$Y$5:$AB$5,0))</f>
        <v>1.4</v>
      </c>
      <c r="I26" s="83" t="e">
        <f>IF(B26&lt;=Hypothèses!$C$7,Hypothèses!$P$7,IF(B26&lt;=Hypothèses!$C$8,Hypothèses!$P$8,IF(B26&lt;=Hypothèses!$C$9,Hypothèses!$P$9,IF(B26&lt;=Hypothèses!$C$10,Hypothèses!$P$10,IF(B26&lt;=Hypothèses!$C$11,Hypothèses!$P$11,IF(B26&lt;=Hypothèses!$C$12,Hypothèses!$P$12,IF(B26&lt;=Hypothèses!$C$13,Hypothèses!$P$13,IF(B26&lt;=Hypothèses!$C$14,Hypothèses!$P$14,IF(B26&lt;=Hypothèses!$C$15,Hypothèses!$P$15,IF(B26&lt;=Hypothèses!$C$16,Hypothèses!$P$16,IF(B26&lt;=Hypothèses!$C$17,Hypothèses!$P$17,IF(B26&lt;=Hypothèses!$C$18,Hypothèses!$P$18,I25))))))))))))</f>
        <v>#N/A</v>
      </c>
      <c r="J26" s="91" t="e">
        <f t="array" ref="J26">INDEX('Coeff EC7'!$D$33:$Q$33,1,MATCH(D26&amp;E26,'Coeff EC7'!$D$31:$Q$31&amp;'Coeff EC7'!$D$32:$Q$32,0))</f>
        <v>#N/A</v>
      </c>
      <c r="K26" s="91" t="e">
        <f t="array" ref="K26">INDEX('Coeff EC7'!$D$34:$Q$34,1,MATCH(D26&amp;E26,'Coeff EC7'!$D$31:$Q$31&amp;'Coeff EC7'!$D$32:$Q$32,0))</f>
        <v>#N/A</v>
      </c>
      <c r="L26" s="91" t="e">
        <f t="array" ref="L26">INDEX('Coeff EC7'!$D$35:$Q$35,1,MATCH(D26&amp;E26,'Coeff EC7'!$D$31:$Q$31&amp;'Coeff EC7'!$D$32:$Q$32,0))</f>
        <v>#N/A</v>
      </c>
      <c r="M26" s="98" t="e">
        <f t="shared" si="8"/>
        <v>#N/A</v>
      </c>
      <c r="N26" s="99" t="e">
        <f t="array" ref="N26">INDEX('Coeff EC7'!$D$7:$Q$27,MATCH($B$3,'Coeff EC7'!$C$7:$C$27,0),MATCH(D26&amp;E26,'Coeff EC7'!$D$5:$Q$5&amp;'Coeff EC7'!$D$6:$Q$6,0))</f>
        <v>#N/A</v>
      </c>
      <c r="O26" s="99" t="e">
        <f t="array" ref="O26">INDEX('Coeff EC7'!$D$41:$Q$61,MATCH($B$3,'Coeff EC7'!$C$41:$C$61,0),MATCH(D26&amp;E26,'Coeff EC7'!$D$39:$Q$39&amp;'Coeff EC7'!$D$40:$Q$40,0))</f>
        <v>#N/A</v>
      </c>
      <c r="P26" s="30" t="e">
        <f t="shared" si="68"/>
        <v>#N/A</v>
      </c>
      <c r="Q26" s="100" t="e">
        <f t="shared" si="10"/>
        <v>#N/A</v>
      </c>
      <c r="R26" s="86" t="b">
        <f t="shared" si="11"/>
        <v>0</v>
      </c>
      <c r="S26" s="86">
        <f t="shared" si="9"/>
        <v>0.5</v>
      </c>
      <c r="T26" s="86">
        <f t="shared" si="12"/>
        <v>0.5</v>
      </c>
      <c r="U26" s="30" t="e">
        <f t="shared" ca="1" si="69"/>
        <v>#DIV/0!</v>
      </c>
      <c r="V26" s="85" t="str">
        <f>IF(B26&lt;=Hypothèses!$V$7,Hypothèses!$W$7,IF(B26&lt;=Hypothèses!$V$8,Hypothèses!$W$8,IF(B26&lt;=Hypothèses!$V$9,Hypothèses!$W$9,IF(B26&lt;=Hypothèses!$V$10,Hypothèses!$W$10,IF(B26&lt;=Hypothèses!$V$11,Hypothèses!$W$11,IF(B26&lt;=Hypothèses!$V$12,Hypothèses!$W$12,IF(B26&lt;=Hypothèses!$V$13,Hypothèses!$W$13,IF(B26&lt;=Hypothèses!$V$14,Hypothèses!$W$14,IF(B26&lt;=Hypothèses!$V$15,Hypothèses!$W$15,IF(B26&lt;=Hypothèses!$V$16,Hypothèses!$W$16,IF(B26&lt;=Hypothèses!$V$17,Hypothèses!$W$17,IF(B26&lt;=Hypothèses!$V$18,Hypothèses!$W$18,""))))))))))))</f>
        <v/>
      </c>
      <c r="W26" s="87" t="e">
        <f t="shared" ca="1" si="116"/>
        <v>#DIV/0!</v>
      </c>
      <c r="X26" s="88" t="str">
        <f>IF(B26&lt;=Hypothèses!$V$7,Hypothèses!$X$7,IF(B26&lt;=Hypothèses!$V$8,Hypothèses!$X$8,IF(B26&lt;=Hypothèses!$V$9,Hypothèses!$X$9,IF(B26&lt;=Hypothèses!$V$10,Hypothèses!$X$10,IF(B26&lt;=Hypothèses!$V$11,Hypothèses!$X$11,IF(B26&lt;=Hypothèses!$V$12,Hypothèses!$X$12,IF(B26&lt;=Hypothèses!$V$13,Hypothèses!$X$13,IF(B26&lt;=Hypothèses!$V$14,Hypothèses!$X$14,IF(B26&lt;=Hypothèses!$V$15,Hypothèses!$X$15,IF(B26&lt;=Hypothèses!$V$16,Hypothèses!$X$16,IF(B26&lt;=Hypothèses!$U$17,Hypothèses!$W$17,IF(B26&lt;=Hypothèses!$U$18,Hypothèses!$W$18,""))))))))))))</f>
        <v/>
      </c>
      <c r="Y26" s="95" t="e">
        <f t="shared" ca="1" si="13"/>
        <v>#DIV/0!</v>
      </c>
      <c r="Z26" s="101" t="e">
        <f t="shared" si="14"/>
        <v>#N/A</v>
      </c>
      <c r="AA26" s="91" t="e">
        <f t="shared" si="15"/>
        <v>#N/A</v>
      </c>
      <c r="AB26" s="30" t="e">
        <f t="shared" si="100"/>
        <v>#N/A</v>
      </c>
      <c r="AC26" s="30" t="e">
        <f t="shared" si="101"/>
        <v>#N/A</v>
      </c>
      <c r="AD26" s="31" t="e">
        <f>IF(OR(Hypothèses!$B$4=17,Hypothèses!$B$4=18,Hypothèses!$B$4=19,Hypothèses!$B$4=20),
IF($D26="Pressio.",
IF(OR($E26=3,$E26=1,$E26=4),AC26,AB26),
IF($D26="Pénétro.",
IF(OR($E26=3,$E26=1,$E26=4),AC26,AB26))),IF($D26="Pressio.",
IF($E26=3,AC26,AB26),
IF($D26="Pénétro.",
IF($E26=4,AC26,AB26))))</f>
        <v>#N/A</v>
      </c>
      <c r="AE26" s="31" t="e">
        <f>(IF(OR(Hypothèses!$B$4=17,Hypothèses!$B$4=18,Hypothèses!$B$4=19,Hypothèses!$B$4=20),
IF($D26="Pressio.",
IF(OR($E26=3,$E26=1,$E26=4),(PI()*AE$12^2)/4*(AA26*$W26*1000)/($H26*$B$5),(PI()*AE$12^2)/4*(AA26*$W26*1000)/($G26*$B$5)),
IF($D26="Pénétro.",
IF(OR($E26=4,$E26=1,$E26=5),(PI()*AE$12^2)/4*(AA26*$W26*1000)/($H26*$B$5),(PI()*AE$12^2)/4*(AA26*$W26*1000)/($G26*$B$5)))),
IF($D26="Pressio.",
IF($E26=3,(PI()*AE$12^2)/4*(AA26*$W26*1000)/($H26*$B$5),(PI()*AE$12^2)/4*(AA26*$W26*1000)/($G26*$B$5)),
IF($D26="Pénétro.",
IF($E26=4,(PI()*AE$12^2)/4*(AA26*$W26*1000)/($H26*$B$5),(PI()*AE$12^2)/4*(AA26*$W26*1000)/($G26*$B$5))))))/10</f>
        <v>#N/A</v>
      </c>
      <c r="AF26" s="102" t="e">
        <f>(VLOOKUP($B$3,'Coeff EC7'!$T$39:$X$59,2,0)*AD26+VLOOKUP($B$3,'Coeff EC7'!$T$65:$X$85,2,0)*Model0.1C!AE26)/1.1</f>
        <v>#N/A</v>
      </c>
      <c r="AG26" s="102" t="e">
        <f>(VLOOKUP($B$3,'Coeff EC7'!$T$39:$X$59,3,0)*AD26+VLOOKUP($B$3,'Coeff EC7'!$T$65:$X$85,3,0)*Model0.1C!AE26)/0.9</f>
        <v>#N/A</v>
      </c>
      <c r="AH26" s="102" t="e">
        <f t="shared" si="18"/>
        <v>#N/A</v>
      </c>
      <c r="AI26" s="102" t="e">
        <f t="shared" si="19"/>
        <v>#N/A</v>
      </c>
      <c r="AJ26" s="414" t="e">
        <f>IF(AJ25=0,0,IF(AND(AF26&gt;charge_ELS_quasi,AG26&gt;Charge_ELS_freq,AH26&gt;charge_ELU,AI26&gt;charge_ELA,$B26&gt;NDC!$H$22-0.1+MIN(3*$AJ$12,1.5)),0,1))</f>
        <v>#N/A</v>
      </c>
      <c r="AK26" s="86" t="b">
        <f t="shared" si="20"/>
        <v>0</v>
      </c>
      <c r="AL26" s="86">
        <f t="shared" si="70"/>
        <v>0.5</v>
      </c>
      <c r="AM26" s="86">
        <f t="shared" si="21"/>
        <v>0.5</v>
      </c>
      <c r="AN26" s="30" t="e">
        <f t="shared" ca="1" si="71"/>
        <v>#DIV/0!</v>
      </c>
      <c r="AO26" s="85" t="e">
        <f ca="1">IF(U26&lt;=Hypothèses!$V$7,Hypothèses!$W$7,IF(U26&lt;=Hypothèses!$V$8,Hypothèses!$W$8,IF(U26&lt;=Hypothèses!$V$9,Hypothèses!$W$9,IF(U26&lt;=Hypothèses!$V$10,Hypothèses!$W$10,IF(U26&lt;=Hypothèses!$V$11,Hypothèses!$W$11,IF(U26&lt;=Hypothèses!$V$12,Hypothèses!$W$12,IF(U26&lt;=Hypothèses!$V$13,Hypothèses!$W$13,IF(U26&lt;=Hypothèses!$V$14,Hypothèses!$W$14,IF(U26&lt;=Hypothèses!$V$15,Hypothèses!$W$15,IF(U26&lt;=Hypothèses!$V$16,Hypothèses!$W$16,IF(U26&lt;=Hypothèses!$V$17,Hypothèses!$W$17,IF(U26&lt;=Hypothèses!$V$18,Hypothèses!$W$18,""))))))))))))</f>
        <v>#DIV/0!</v>
      </c>
      <c r="AP26" s="87" t="e">
        <f t="shared" ca="1" si="117"/>
        <v>#DIV/0!</v>
      </c>
      <c r="AQ26" s="88" t="e">
        <f ca="1">IF(U26&lt;=Hypothèses!$V$7,Hypothèses!$X$7,IF(U26&lt;=Hypothèses!$V$8,Hypothèses!$X$8,IF(U26&lt;=Hypothèses!$V$9,Hypothèses!$X$9,IF(U26&lt;=Hypothèses!$V$10,Hypothèses!$X$10,IF(U26&lt;=Hypothèses!$V$11,Hypothèses!$X$11,IF(U26&lt;=Hypothèses!$V$12,Hypothèses!$X$12,IF(U26&lt;=Hypothèses!$V$13,Hypothèses!$X$13,IF(U26&lt;=Hypothèses!$V$14,Hypothèses!$X$14,IF(U26&lt;=Hypothèses!$V$15,Hypothèses!$X$15,IF(U26&lt;=Hypothèses!$V$16,Hypothèses!$X$16,IF(U26&lt;=Hypothèses!$U$17,Hypothèses!$W$17,IF(U26&lt;=Hypothèses!$U$18,Hypothèses!$W$18,""))))))))))))</f>
        <v>#DIV/0!</v>
      </c>
      <c r="AR26" s="95" t="e">
        <f t="shared" ca="1" si="72"/>
        <v>#DIV/0!</v>
      </c>
      <c r="AS26" s="101" t="e">
        <f t="shared" si="124"/>
        <v>#N/A</v>
      </c>
      <c r="AT26" s="91" t="e">
        <f t="shared" si="23"/>
        <v>#N/A</v>
      </c>
      <c r="AU26" s="30" t="e">
        <f t="shared" si="102"/>
        <v>#N/A</v>
      </c>
      <c r="AV26" s="30" t="e">
        <f t="shared" si="103"/>
        <v>#N/A</v>
      </c>
      <c r="AW26" s="31" t="e">
        <f>IF(OR(Hypothèses!$B$4=17,Hypothèses!$B$4=18,Hypothèses!$B$4=19,Hypothèses!$B$4=20),
IF($D26="Pressio.",
IF(OR($E26=3,$E26=1,$E26=4),AV26,AU26),
IF($D26="Pénétro.",
IF(OR($E26=3,$E26=1,$E26=4),AV26,AU26))),IF($D26="Pressio.",
IF($E26=3,AV26,AU26),
IF($D26="Pénétro.",
IF($E26=4,AV26,AU26))))</f>
        <v>#N/A</v>
      </c>
      <c r="AX26" s="31" t="e">
        <f>(IF(OR(Hypothèses!$B$4=17,Hypothèses!$B$4=18,Hypothèses!$B$4=19,Hypothèses!$B$4=20),
IF($D26="Pressio.",
IF(OR($E26=3,$E26=1,$E26=4),(PI()*AX$12^2)/4*(AT26*$W26*1000)/($H26*$B$5),(PI()*AX$12^2)/4*(AT26*$W26*1000)/($G26*$B$5)),
IF($D26="Pénétro.",
IF(OR($E26=4,$E26=1,$E26=5),(PI()*AX$12^2)/4*(AT26*$W26*1000)/($H26*$B$5),(PI()*AX$12^2)/4*(AT26*$W26*1000)/($G26*$B$5)))),
IF($D26="Pressio.",
IF($E26=3,(PI()*AX$12^2)/4*(AT26*$W26*1000)/($H26*$B$5),(PI()*AX$12^2)/4*(AT26*$W26*1000)/($G26*$B$5)),
IF($D26="Pénétro.",
IF($E26=4,(PI()*AX$12^2)/4*(AT26*$W26*1000)/($H26*$B$5),(PI()*AX$12^2)/4*(AT26*$W26*1000)/($G26*$B$5))))))/10</f>
        <v>#N/A</v>
      </c>
      <c r="AY26" s="102" t="e">
        <f>(VLOOKUP($B$3,'Coeff EC7'!$T$39:$X$59,2,0)*AW26+VLOOKUP($B$3,'Coeff EC7'!$T$65:$X$85,2,0)*Model0.1C!AX26)/1.1</f>
        <v>#N/A</v>
      </c>
      <c r="AZ26" s="102" t="e">
        <f>(VLOOKUP($B$3,'Coeff EC7'!$T$39:$X$59,3,0)*AW26+VLOOKUP($B$3,'Coeff EC7'!$T$65:$X$85,3,0)*Model0.1C!AX26)/0.9</f>
        <v>#N/A</v>
      </c>
      <c r="BA26" s="102" t="e">
        <f t="shared" si="73"/>
        <v>#N/A</v>
      </c>
      <c r="BB26" s="102" t="e">
        <f t="shared" si="74"/>
        <v>#N/A</v>
      </c>
      <c r="BC26" s="414" t="e">
        <f>IF(BC25=0,0,IF(AND(AY26&gt;charge_ELS_quasi,AZ26&gt;Charge_ELS_freq,BA26&gt;charge_ELU,BB26&gt;charge_ELA,$B26&gt;NDC!$H$22-0.1+MIN(3*$BC$12,1.5)),0,1))</f>
        <v>#N/A</v>
      </c>
      <c r="BD26" s="86" t="b">
        <f t="shared" si="26"/>
        <v>0</v>
      </c>
      <c r="BE26" s="86">
        <f t="shared" si="75"/>
        <v>0.5</v>
      </c>
      <c r="BF26" s="86">
        <f t="shared" si="27"/>
        <v>0.5</v>
      </c>
      <c r="BG26" s="30" t="e">
        <f t="shared" ca="1" si="76"/>
        <v>#DIV/0!</v>
      </c>
      <c r="BH26" s="85" t="e">
        <f ca="1">IF(AN26&lt;=Hypothèses!$V$7,Hypothèses!$W$7,IF(AN26&lt;=Hypothèses!$V$8,Hypothèses!$W$8,IF(AN26&lt;=Hypothèses!$V$9,Hypothèses!$W$9,IF(AN26&lt;=Hypothèses!$V$10,Hypothèses!$W$10,IF(AN26&lt;=Hypothèses!$V$11,Hypothèses!$W$11,IF(AN26&lt;=Hypothèses!$V$12,Hypothèses!$W$12,IF(AN26&lt;=Hypothèses!$V$13,Hypothèses!$W$13,IF(AN26&lt;=Hypothèses!$V$14,Hypothèses!$W$14,IF(AN26&lt;=Hypothèses!$V$15,Hypothèses!$W$15,IF(AN26&lt;=Hypothèses!$V$16,Hypothèses!$W$16,IF(AN26&lt;=Hypothèses!$V$17,Hypothèses!$W$17,IF(AN26&lt;=Hypothèses!$V$18,Hypothèses!$W$18,""))))))))))))</f>
        <v>#DIV/0!</v>
      </c>
      <c r="BI26" s="87" t="e">
        <f t="shared" ca="1" si="118"/>
        <v>#DIV/0!</v>
      </c>
      <c r="BJ26" s="88" t="e">
        <f ca="1">IF(AN26&lt;=Hypothèses!$V$7,Hypothèses!$X$7,IF(AN26&lt;=Hypothèses!$V$8,Hypothèses!$X$8,IF(AN26&lt;=Hypothèses!$V$9,Hypothèses!$X$9,IF(AN26&lt;=Hypothèses!$V$10,Hypothèses!$X$10,IF(AN26&lt;=Hypothèses!$V$11,Hypothèses!$X$11,IF(AN26&lt;=Hypothèses!$V$12,Hypothèses!$X$12,IF(AN26&lt;=Hypothèses!$V$13,Hypothèses!$X$13,IF(AN26&lt;=Hypothèses!$V$14,Hypothèses!$X$14,IF(AN26&lt;=Hypothèses!$V$15,Hypothèses!$X$15,IF(AN26&lt;=Hypothèses!$V$16,Hypothèses!$X$16,IF(AN26&lt;=Hypothèses!$U$17,Hypothèses!$W$17,IF(AN26&lt;=Hypothèses!$U$18,Hypothèses!$W$18,""))))))))))))</f>
        <v>#DIV/0!</v>
      </c>
      <c r="BK26" s="95" t="e">
        <f t="shared" ca="1" si="77"/>
        <v>#DIV/0!</v>
      </c>
      <c r="BL26" s="101" t="e">
        <f t="shared" si="125"/>
        <v>#N/A</v>
      </c>
      <c r="BM26" s="91" t="e">
        <f t="shared" si="29"/>
        <v>#N/A</v>
      </c>
      <c r="BN26" s="30" t="e">
        <f t="shared" si="104"/>
        <v>#N/A</v>
      </c>
      <c r="BO26" s="30" t="e">
        <f t="shared" si="105"/>
        <v>#N/A</v>
      </c>
      <c r="BP26" s="31" t="e">
        <f>IF(OR(Hypothèses!$B$4=17,Hypothèses!$B$4=18,Hypothèses!$B$4=19,Hypothèses!$B$4=20),
IF($D26="Pressio.",
IF(OR($E26=3,$E26=1,$E26=4),BO26,BN26),
IF($D26="Pénétro.",
IF(OR($E26=3,$E26=1,$E26=4),BO26,BN26))),IF($D26="Pressio.",
IF($E26=3,BO26,BN26),
IF($D26="Pénétro.",
IF($E26=4,BO26,BN26))))</f>
        <v>#N/A</v>
      </c>
      <c r="BQ26" s="31" t="e">
        <f>(IF(OR(Hypothèses!$B$4=17,Hypothèses!$B$4=18,Hypothèses!$B$4=19,Hypothèses!$B$4=20),
IF($D26="Pressio.",
IF(OR($E26=3,$E26=1,$E26=4),(PI()*BQ$12^2)/4*(BM26*$W26*1000)/($H26*$B$5),(PI()*BQ$12^2)/4*(BM26*$W26*1000)/($G26*$B$5)),
IF($D26="Pénétro.",
IF(OR($E26=4,$E26=1,$E26=5),(PI()*BQ$12^2)/4*(BM26*$W26*1000)/($H26*$B$5),(PI()*BQ$12^2)/4*(BM26*$W26*1000)/($G26*$B$5)))),
IF($D26="Pressio.",
IF($E26=3,(PI()*BQ$12^2)/4*(BM26*$W26*1000)/($H26*$B$5),(PI()*BQ$12^2)/4*(BM26*$W26*1000)/($G26*$B$5)),
IF($D26="Pénétro.",
IF($E26=4,(PI()*BQ$12^2)/4*(BM26*$W26*1000)/($H26*$B$5),(PI()*BQ$12^2)/4*(BM26*$W26*1000)/($G26*$B$5))))))/10</f>
        <v>#N/A</v>
      </c>
      <c r="BR26" s="102" t="e">
        <f>(VLOOKUP($B$3,'Coeff EC7'!$T$39:$X$59,2,0)*BP26+VLOOKUP($B$3,'Coeff EC7'!$T$65:$X$85,2,0)*Model0.1C!BQ26)/1.1</f>
        <v>#N/A</v>
      </c>
      <c r="BS26" s="102" t="e">
        <f>(VLOOKUP($B$3,'Coeff EC7'!$T$39:$X$59,3,0)*BP26+VLOOKUP($B$3,'Coeff EC7'!$T$65:$X$85,3,0)*Model0.1C!BQ26)/0.9</f>
        <v>#N/A</v>
      </c>
      <c r="BT26" s="102" t="e">
        <f t="shared" si="78"/>
        <v>#N/A</v>
      </c>
      <c r="BU26" s="102" t="e">
        <f t="shared" si="79"/>
        <v>#N/A</v>
      </c>
      <c r="BV26" s="414" t="e">
        <f>IF(BV25=0,0,IF(AND(BR26&gt;charge_ELS_quasi,BS26&gt;Charge_ELS_freq,BT26&gt;charge_ELU,BU26&gt;charge_ELA,$B26&gt;NDC!$H$22-0.1+MIN(3*$BV$12,1.5)),0,1))</f>
        <v>#N/A</v>
      </c>
      <c r="BW26" s="86" t="b">
        <f t="shared" si="32"/>
        <v>0</v>
      </c>
      <c r="BX26" s="86">
        <f t="shared" si="33"/>
        <v>0.5</v>
      </c>
      <c r="BY26" s="86">
        <f t="shared" si="34"/>
        <v>0.5</v>
      </c>
      <c r="BZ26" s="30" t="e">
        <f t="shared" ca="1" si="80"/>
        <v>#DIV/0!</v>
      </c>
      <c r="CA26" s="85" t="e">
        <f ca="1">IF(BG26&lt;=Hypothèses!$V$7,Hypothèses!$W$7,IF(BG26&lt;=Hypothèses!$V$8,Hypothèses!$W$8,IF(BG26&lt;=Hypothèses!$V$9,Hypothèses!$W$9,IF(BG26&lt;=Hypothèses!$V$10,Hypothèses!$W$10,IF(BG26&lt;=Hypothèses!$V$11,Hypothèses!$W$11,IF(BG26&lt;=Hypothèses!$V$12,Hypothèses!$W$12,IF(BG26&lt;=Hypothèses!$V$13,Hypothèses!$W$13,IF(BG26&lt;=Hypothèses!$V$14,Hypothèses!$W$14,IF(BG26&lt;=Hypothèses!$V$15,Hypothèses!$W$15,IF(BG26&lt;=Hypothèses!$V$16,Hypothèses!$W$16,IF(BG26&lt;=Hypothèses!$V$17,Hypothèses!$W$17,IF(BG26&lt;=Hypothèses!$V$18,Hypothèses!$W$18,""))))))))))))</f>
        <v>#DIV/0!</v>
      </c>
      <c r="CB26" s="87" t="e">
        <f t="shared" ca="1" si="119"/>
        <v>#DIV/0!</v>
      </c>
      <c r="CC26" s="88" t="e">
        <f ca="1">IF(BG26&lt;=Hypothèses!$V$7,Hypothèses!$X$7,IF(BG26&lt;=Hypothèses!$V$8,Hypothèses!$X$8,IF(BG26&lt;=Hypothèses!$V$9,Hypothèses!$X$9,IF(BG26&lt;=Hypothèses!$V$10,Hypothèses!$X$10,IF(BG26&lt;=Hypothèses!$V$11,Hypothèses!$X$11,IF(BG26&lt;=Hypothèses!$V$12,Hypothèses!$X$12,IF(BG26&lt;=Hypothèses!$V$13,Hypothèses!$X$13,IF(BG26&lt;=Hypothèses!$V$14,Hypothèses!$X$14,IF(BG26&lt;=Hypothèses!$V$15,Hypothèses!$X$15,IF(BG26&lt;=Hypothèses!$V$16,Hypothèses!$X$16,IF(BG26&lt;=Hypothèses!$U$17,Hypothèses!$W$17,IF(BG26&lt;=Hypothèses!$U$18,Hypothèses!$W$18,""))))))))))))</f>
        <v>#DIV/0!</v>
      </c>
      <c r="CD26" s="95" t="e">
        <f t="shared" ca="1" si="81"/>
        <v>#DIV/0!</v>
      </c>
      <c r="CE26" s="101" t="e">
        <f t="shared" si="126"/>
        <v>#N/A</v>
      </c>
      <c r="CF26" s="91" t="e">
        <f t="shared" si="36"/>
        <v>#N/A</v>
      </c>
      <c r="CG26" s="30" t="e">
        <f t="shared" si="106"/>
        <v>#N/A</v>
      </c>
      <c r="CH26" s="30" t="e">
        <f t="shared" si="107"/>
        <v>#N/A</v>
      </c>
      <c r="CI26" s="31" t="e">
        <f>IF(OR(Hypothèses!$B$4=17,Hypothèses!$B$4=18,Hypothèses!$B$4=19,Hypothèses!$B$4=20),
IF($D26="Pressio.",
IF(OR($E26=3,$E26=1,$E26=4),CH26,CG26),
IF($D26="Pénétro.",
IF(OR($E26=3,$E26=1,$E26=4),CH26,CG26))),IF($D26="Pressio.",
IF($E26=3,CH26,CG26),
IF($D26="Pénétro.",
IF($E26=4,CH26,CG26))))</f>
        <v>#N/A</v>
      </c>
      <c r="CJ26" s="31" t="e">
        <f>(IF(OR(Hypothèses!$B$4=17,Hypothèses!$B$4=18,Hypothèses!$B$4=19,Hypothèses!$B$4=20),
IF($D26="Pressio.",
IF(OR($E26=3,$E26=1,$E26=4),(PI()*CJ$12^2)/4*(CF26*$W26*1000)/($H26*$B$5),(PI()*CJ$12^2)/4*(CF26*$W26*1000)/($G26*$B$5)),
IF($D26="Pénétro.",
IF(OR($E26=4,$E26=1,$E26=5),(PI()*CJ$12^2)/4*(CF26*$W26*1000)/($H26*$B$5),(PI()*CJ$12^2)/4*(CF26*$W26*1000)/($G26*$B$5)))),
IF($D26="Pressio.",
IF($E26=3,(PI()*CJ$12^2)/4*(CF26*$W26*1000)/($H26*$B$5),(PI()*CJ$12^2)/4*(CF26*$W26*1000)/($G26*$B$5)),
IF($D26="Pénétro.",
IF($E26=4,(PI()*CJ$12^2)/4*(CF26*$W26*1000)/($H26*$B$5),(PI()*CJ$12^2)/4*(CF26*$W26*1000)/($G26*$B$5))))))/10</f>
        <v>#N/A</v>
      </c>
      <c r="CK26" s="102" t="e">
        <f>(VLOOKUP($B$3,'Coeff EC7'!$T$39:$X$59,2,0)*CI26+VLOOKUP($B$3,'Coeff EC7'!$T$65:$X$85,2,0)*Model0.1C!CJ26)/1.1</f>
        <v>#N/A</v>
      </c>
      <c r="CL26" s="102" t="e">
        <f>(VLOOKUP($B$3,'Coeff EC7'!$T$39:$X$59,3,0)*CI26+VLOOKUP($B$3,'Coeff EC7'!$T$65:$X$85,3,0)*Model0.1C!CJ26)/0.9</f>
        <v>#N/A</v>
      </c>
      <c r="CM26" s="102" t="e">
        <f t="shared" si="82"/>
        <v>#N/A</v>
      </c>
      <c r="CN26" s="102" t="e">
        <f t="shared" si="83"/>
        <v>#N/A</v>
      </c>
      <c r="CO26" s="414" t="e">
        <f>IF(CO25=0,0,IF(AND(CK26&gt;charge_ELS_quasi,CL26&gt;Charge_ELS_freq,CM26&gt;charge_ELU,CN26&gt;charge_ELA,$B26&gt;NDC!$H$22-0.1+MIN(3*$CO$12,1.5)),0,1))</f>
        <v>#N/A</v>
      </c>
      <c r="CP26" s="86" t="b">
        <f t="shared" si="39"/>
        <v>0</v>
      </c>
      <c r="CQ26" s="86">
        <f t="shared" si="40"/>
        <v>0.5</v>
      </c>
      <c r="CR26" s="86">
        <f t="shared" si="41"/>
        <v>0.5</v>
      </c>
      <c r="CS26" s="30" t="e">
        <f t="shared" ca="1" si="84"/>
        <v>#DIV/0!</v>
      </c>
      <c r="CT26" s="85" t="e">
        <f ca="1">IF(BZ26&lt;=Hypothèses!$V$7,Hypothèses!$W$7,IF(BZ26&lt;=Hypothèses!$V$8,Hypothèses!$W$8,IF(BZ26&lt;=Hypothèses!$V$9,Hypothèses!$W$9,IF(BZ26&lt;=Hypothèses!$V$10,Hypothèses!$W$10,IF(BZ26&lt;=Hypothèses!$V$11,Hypothèses!$W$11,IF(BZ26&lt;=Hypothèses!$V$12,Hypothèses!$W$12,IF(BZ26&lt;=Hypothèses!$V$13,Hypothèses!$W$13,IF(BZ26&lt;=Hypothèses!$V$14,Hypothèses!$W$14,IF(BZ26&lt;=Hypothèses!$V$15,Hypothèses!$W$15,IF(BZ26&lt;=Hypothèses!$V$16,Hypothèses!$W$16,IF(BZ26&lt;=Hypothèses!$V$17,Hypothèses!$W$17,IF(BZ26&lt;=Hypothèses!$V$18,Hypothèses!$W$18,""))))))))))))</f>
        <v>#DIV/0!</v>
      </c>
      <c r="CU26" s="87" t="e">
        <f t="shared" ca="1" si="120"/>
        <v>#DIV/0!</v>
      </c>
      <c r="CV26" s="88" t="e">
        <f ca="1">IF(BZ26&lt;=Hypothèses!$V$7,Hypothèses!$X$7,IF(BZ26&lt;=Hypothèses!$V$8,Hypothèses!$X$8,IF(BZ26&lt;=Hypothèses!$V$9,Hypothèses!$X$9,IF(BZ26&lt;=Hypothèses!$V$10,Hypothèses!$X$10,IF(BZ26&lt;=Hypothèses!$V$11,Hypothèses!$X$11,IF(BZ26&lt;=Hypothèses!$V$12,Hypothèses!$X$12,IF(BZ26&lt;=Hypothèses!$V$13,Hypothèses!$X$13,IF(BZ26&lt;=Hypothèses!$V$14,Hypothèses!$X$14,IF(BZ26&lt;=Hypothèses!$V$15,Hypothèses!$X$15,IF(BZ26&lt;=Hypothèses!$V$16,Hypothèses!$X$16,IF(BZ26&lt;=Hypothèses!$U$17,Hypothèses!$W$17,IF(BZ26&lt;=Hypothèses!$U$18,Hypothèses!$W$18,""))))))))))))</f>
        <v>#DIV/0!</v>
      </c>
      <c r="CW26" s="95" t="e">
        <f t="shared" ca="1" si="85"/>
        <v>#DIV/0!</v>
      </c>
      <c r="CX26" s="101" t="e">
        <f t="shared" si="127"/>
        <v>#N/A</v>
      </c>
      <c r="CY26" s="91" t="e">
        <f t="shared" si="43"/>
        <v>#N/A</v>
      </c>
      <c r="CZ26" s="30" t="e">
        <f t="shared" si="108"/>
        <v>#N/A</v>
      </c>
      <c r="DA26" s="30" t="e">
        <f t="shared" si="109"/>
        <v>#N/A</v>
      </c>
      <c r="DB26" s="31" t="e">
        <f>IF(OR(Hypothèses!$B$4=17,Hypothèses!$B$4=18,Hypothèses!$B$4=19,Hypothèses!$B$4=20),
IF($D26="Pressio.",
IF(OR($E26=3,$E26=1,$E26=4),DA26,CZ26),
IF($D26="Pénétro.",
IF(OR($E26=3,$E26=1,$E26=4),DA26,CZ26))),IF($D26="Pressio.",
IF($E26=3,DA26,CZ26),
IF($D26="Pénétro.",
IF($E26=4,DA26,CZ26))))</f>
        <v>#N/A</v>
      </c>
      <c r="DC26" s="31" t="e">
        <f>(IF(OR(Hypothèses!$B$4=17,Hypothèses!$B$4=18,Hypothèses!$B$4=19,Hypothèses!$B$4=20),
IF($D26="Pressio.",
IF(OR($E26=3,$E26=1,$E26=4),(PI()*DC$12^2)/4*(CY26*$W26*1000)/($H26*$B$5),(PI()*DC$12^2)/4*(CY26*$W26*1000)/($G26*$B$5)),
IF($D26="Pénétro.",
IF(OR($E26=4,$E26=1,$E26=5),(PI()*DC$12^2)/4*(CY26*$W26*1000)/($H26*$B$5),(PI()*DC$12^2)/4*(CY26*$W26*1000)/($G26*$B$5)))),
IF($D26="Pressio.",
IF($E26=3,(PI()*DC$12^2)/4*(CY26*$W26*1000)/($H26*$B$5),(PI()*DC$12^2)/4*(CY26*$W26*1000)/($G26*$B$5)),
IF($D26="Pénétro.",
IF($E26=4,(PI()*DC$12^2)/4*(CY26*$W26*1000)/($H26*$B$5),(PI()*DC$12^2)/4*(CY26*$W26*1000)/($G26*$B$5))))))/10</f>
        <v>#N/A</v>
      </c>
      <c r="DD26" s="102" t="e">
        <f>(VLOOKUP($B$3,'Coeff EC7'!$T$39:$X$59,2,0)*DB26+VLOOKUP($B$3,'Coeff EC7'!$T$65:$X$85,2,0)*Model0.1C!DC26)/1.1</f>
        <v>#N/A</v>
      </c>
      <c r="DE26" s="102" t="e">
        <f>(VLOOKUP($B$3,'Coeff EC7'!$T$39:$X$59,3,0)*DB26+VLOOKUP($B$3,'Coeff EC7'!$T$65:$X$85,3,0)*Model0.1C!DC26)/0.9</f>
        <v>#N/A</v>
      </c>
      <c r="DF26" s="102" t="e">
        <f t="shared" si="86"/>
        <v>#N/A</v>
      </c>
      <c r="DG26" s="102" t="e">
        <f t="shared" si="87"/>
        <v>#N/A</v>
      </c>
      <c r="DH26" s="414" t="e">
        <f>IF(DH25=0,0,IF(AND(DD26&gt;charge_ELS_quasi,DE26&gt;Charge_ELS_freq,DF26&gt;charge_ELU,DG26&gt;charge_ELA,$B26&gt;NDC!$H$22-0.1+MIN(3*$DH$12,1.5)),0,1))</f>
        <v>#N/A</v>
      </c>
      <c r="DI26" s="86" t="b">
        <f t="shared" si="46"/>
        <v>0</v>
      </c>
      <c r="DJ26" s="86">
        <f t="shared" si="47"/>
        <v>0.5</v>
      </c>
      <c r="DK26" s="86">
        <f t="shared" si="48"/>
        <v>0.5</v>
      </c>
      <c r="DL26" s="30" t="e">
        <f t="shared" ca="1" si="88"/>
        <v>#DIV/0!</v>
      </c>
      <c r="DM26" s="85" t="e">
        <f ca="1">IF(CS26&lt;=Hypothèses!$V$7,Hypothèses!$W$7,IF(CS26&lt;=Hypothèses!$V$8,Hypothèses!$W$8,IF(CS26&lt;=Hypothèses!$V$9,Hypothèses!$W$9,IF(CS26&lt;=Hypothèses!$V$10,Hypothèses!$W$10,IF(CS26&lt;=Hypothèses!$V$11,Hypothèses!$W$11,IF(CS26&lt;=Hypothèses!$V$12,Hypothèses!$W$12,IF(CS26&lt;=Hypothèses!$V$13,Hypothèses!$W$13,IF(CS26&lt;=Hypothèses!$V$14,Hypothèses!$W$14,IF(CS26&lt;=Hypothèses!$V$15,Hypothèses!$W$15,IF(CS26&lt;=Hypothèses!$V$16,Hypothèses!$W$16,IF(CS26&lt;=Hypothèses!$V$17,Hypothèses!$W$17,IF(CS26&lt;=Hypothèses!$V$18,Hypothèses!$W$18,""))))))))))))</f>
        <v>#DIV/0!</v>
      </c>
      <c r="DN26" s="87" t="e">
        <f t="shared" ca="1" si="121"/>
        <v>#DIV/0!</v>
      </c>
      <c r="DO26" s="88" t="e">
        <f ca="1">IF(CS26&lt;=Hypothèses!$V$7,Hypothèses!$X$7,IF(CS26&lt;=Hypothèses!$V$8,Hypothèses!$X$8,IF(CS26&lt;=Hypothèses!$V$9,Hypothèses!$X$9,IF(CS26&lt;=Hypothèses!$V$10,Hypothèses!$X$10,IF(CS26&lt;=Hypothèses!$V$11,Hypothèses!$X$11,IF(CS26&lt;=Hypothèses!$V$12,Hypothèses!$X$12,IF(CS26&lt;=Hypothèses!$V$13,Hypothèses!$X$13,IF(CS26&lt;=Hypothèses!$V$14,Hypothèses!$X$14,IF(CS26&lt;=Hypothèses!$V$15,Hypothèses!$X$15,IF(CS26&lt;=Hypothèses!$V$16,Hypothèses!$X$16,IF(CS26&lt;=Hypothèses!$U$17,Hypothèses!$W$17,IF(CS26&lt;=Hypothèses!$U$18,Hypothèses!$W$18,""))))))))))))</f>
        <v>#DIV/0!</v>
      </c>
      <c r="DP26" s="95" t="e">
        <f t="shared" ca="1" si="89"/>
        <v>#DIV/0!</v>
      </c>
      <c r="DQ26" s="101" t="e">
        <f t="shared" si="128"/>
        <v>#N/A</v>
      </c>
      <c r="DR26" s="91" t="e">
        <f t="shared" si="50"/>
        <v>#N/A</v>
      </c>
      <c r="DS26" s="30" t="e">
        <f t="shared" si="110"/>
        <v>#N/A</v>
      </c>
      <c r="DT26" s="30" t="e">
        <f t="shared" si="111"/>
        <v>#N/A</v>
      </c>
      <c r="DU26" s="31" t="e">
        <f>IF(OR(Hypothèses!$B$4=17,Hypothèses!$B$4=18,Hypothèses!$B$4=19,Hypothèses!$B$4=20),
IF($D26="Pressio.",
IF(OR($E26=3,$E26=1,$E26=4),DT26,DS26),
IF($D26="Pénétro.",
IF(OR($E26=3,$E26=1,$E26=4),DT26,DS26))),IF($D26="Pressio.",
IF($E26=3,DT26,DS26),
IF($D26="Pénétro.",
IF($E26=4,DT26,DS26))))</f>
        <v>#N/A</v>
      </c>
      <c r="DV26" s="31" t="e">
        <f>(IF(OR(Hypothèses!$B$4=17,Hypothèses!$B$4=18,Hypothèses!$B$4=19,Hypothèses!$B$4=20),
IF($D26="Pressio.",
IF(OR($E26=3,$E26=1,$E26=4),(PI()*DV$12^2)/4*(DR26*$W26*1000)/($H26*$B$5),(PI()*DV$12^2)/4*(DR26*$W26*1000)/($G26*$B$5)),
IF($D26="Pénétro.",
IF(OR($E26=4,$E26=1,$E26=5),(PI()*DV$12^2)/4*(DR26*$W26*1000)/($H26*$B$5),(PI()*DV$12^2)/4*(DR26*$W26*1000)/($G26*$B$5)))),
IF($D26="Pressio.",
IF($E26=3,(PI()*DV$12^2)/4*(DR26*$W26*1000)/($H26*$B$5),(PI()*DV$12^2)/4*(DR26*$W26*1000)/($G26*$B$5)),
IF($D26="Pénétro.",
IF($E26=4,(PI()*DV$12^2)/4*(DR26*$W26*1000)/($H26*$B$5),(PI()*DV$12^2)/4*(DR26*$W26*1000)/($G26*$B$5))))))/10</f>
        <v>#N/A</v>
      </c>
      <c r="DW26" s="102" t="e">
        <f>(VLOOKUP($B$3,'Coeff EC7'!$T$39:$X$59,2,0)*DU26+VLOOKUP($B$3,'Coeff EC7'!$T$65:$X$85,2,0)*Model0.1C!DV26)/1.1</f>
        <v>#N/A</v>
      </c>
      <c r="DX26" s="102" t="e">
        <f>(VLOOKUP($B$3,'Coeff EC7'!$T$39:$X$59,3,0)*DU26+VLOOKUP($B$3,'Coeff EC7'!$T$65:$X$85,3,0)*Model0.1C!DV26)/0.9</f>
        <v>#N/A</v>
      </c>
      <c r="DY26" s="102" t="e">
        <f t="shared" si="90"/>
        <v>#N/A</v>
      </c>
      <c r="DZ26" s="102" t="e">
        <f t="shared" si="91"/>
        <v>#N/A</v>
      </c>
      <c r="EA26" s="414" t="e">
        <f>IF(EA25=0,0,IF(AND(DW26&gt;charge_ELS_quasi,DX26&gt;Charge_ELS_freq,DY26&gt;charge_ELU,DZ26&gt;charge_ELA,$B26&gt;NDC!$H$22-0.1+MIN(3*$EA$12,1.5)),0,1))</f>
        <v>#N/A</v>
      </c>
      <c r="EB26" s="86" t="b">
        <f t="shared" si="53"/>
        <v>0</v>
      </c>
      <c r="EC26" s="418">
        <f t="shared" si="54"/>
        <v>0.51</v>
      </c>
      <c r="ED26" s="86">
        <f t="shared" si="55"/>
        <v>0.51</v>
      </c>
      <c r="EE26" s="30" t="e">
        <f t="shared" ca="1" si="92"/>
        <v>#DIV/0!</v>
      </c>
      <c r="EF26" s="85" t="e">
        <f ca="1">IF(DL26&lt;=Hypothèses!$V$7,Hypothèses!$W$7,IF(DL26&lt;=Hypothèses!$V$8,Hypothèses!$W$8,IF(DL26&lt;=Hypothèses!$V$9,Hypothèses!$W$9,IF(DL26&lt;=Hypothèses!$V$10,Hypothèses!$W$10,IF(DL26&lt;=Hypothèses!$V$11,Hypothèses!$W$11,IF(DL26&lt;=Hypothèses!$V$12,Hypothèses!$W$12,IF(DL26&lt;=Hypothèses!$V$13,Hypothèses!$W$13,IF(DL26&lt;=Hypothèses!$V$14,Hypothèses!$W$14,IF(DL26&lt;=Hypothèses!$V$15,Hypothèses!$W$15,IF(DL26&lt;=Hypothèses!$V$16,Hypothèses!$W$16,IF(DL26&lt;=Hypothèses!$V$17,Hypothèses!$W$17,IF(DL26&lt;=Hypothèses!$V$18,Hypothèses!$W$18,""))))))))))))</f>
        <v>#DIV/0!</v>
      </c>
      <c r="EG26" s="87" t="e">
        <f t="shared" ca="1" si="122"/>
        <v>#DIV/0!</v>
      </c>
      <c r="EH26" s="88" t="e">
        <f ca="1">IF(DL26&lt;=Hypothèses!$V$7,Hypothèses!$X$7,IF(DL26&lt;=Hypothèses!$V$8,Hypothèses!$X$8,IF(DL26&lt;=Hypothèses!$V$9,Hypothèses!$X$9,IF(DL26&lt;=Hypothèses!$V$10,Hypothèses!$X$10,IF(DL26&lt;=Hypothèses!$V$11,Hypothèses!$X$11,IF(DL26&lt;=Hypothèses!$V$12,Hypothèses!$X$12,IF(DL26&lt;=Hypothèses!$V$13,Hypothèses!$X$13,IF(DL26&lt;=Hypothèses!$V$14,Hypothèses!$X$14,IF(DL26&lt;=Hypothèses!$V$15,Hypothèses!$X$15,IF(DL26&lt;=Hypothèses!$V$16,Hypothèses!$X$16,IF(DL26&lt;=Hypothèses!$U$17,Hypothèses!$W$17,IF(DL26&lt;=Hypothèses!$U$18,Hypothèses!$W$18,""))))))))))))</f>
        <v>#DIV/0!</v>
      </c>
      <c r="EI26" s="95" t="e">
        <f t="shared" ca="1" si="93"/>
        <v>#DIV/0!</v>
      </c>
      <c r="EJ26" s="101" t="e">
        <f t="shared" si="129"/>
        <v>#N/A</v>
      </c>
      <c r="EK26" s="91" t="e">
        <f t="shared" si="57"/>
        <v>#N/A</v>
      </c>
      <c r="EL26" s="30" t="e">
        <f t="shared" si="112"/>
        <v>#N/A</v>
      </c>
      <c r="EM26" s="30" t="e">
        <f t="shared" si="113"/>
        <v>#N/A</v>
      </c>
      <c r="EN26" s="31" t="e">
        <f>IF(OR(Hypothèses!$B$4=17,Hypothèses!$B$4=18,Hypothèses!$B$4=19,Hypothèses!$B$4=20),
IF($D26="Pressio.",
IF(OR($E26=3,$E26=1,$E26=4),EM26,EL26),
IF($D26="Pénétro.",
IF(OR($E26=3,$E26=1,$E26=4),EM26,EL26))),IF($D26="Pressio.",
IF($E26=3,EM26,EL26),
IF($D26="Pénétro.",
IF($E26=4,EM26,EL26))))</f>
        <v>#N/A</v>
      </c>
      <c r="EO26" s="31" t="e">
        <f>(IF(OR(Hypothèses!$B$4=17,Hypothèses!$B$4=18,Hypothèses!$B$4=19,Hypothèses!$B$4=20),
IF($D26="Pressio.",
IF(OR($E26=3,$E26=1,$E26=4),(PI()*EO$12^2)/4*(EK26*$W26*1000)/($H26*$B$5),(PI()*EO$12^2)/4*(EK26*$W26*1000)/($G26*$B$5)),
IF($D26="Pénétro.",
IF(OR($E26=4,$E26=1,$E26=5),(PI()*EO$12^2)/4*(EK26*$W26*1000)/($H26*$B$5),(PI()*EO$12^2)/4*(EK26*$W26*1000)/($G26*$B$5)))),
IF($D26="Pressio.",
IF($E26=3,(PI()*EO$12^2)/4*(EK26*$W26*1000)/($H26*$B$5),(PI()*EO$12^2)/4*(EK26*$W26*1000)/($G26*$B$5)),
IF($D26="Pénétro.",
IF($E26=4,(PI()*EO$12^2)/4*(EK26*$W26*1000)/($H26*$B$5),(PI()*EO$12^2)/4*(EK26*$W26*1000)/($G26*$B$5))))))/10</f>
        <v>#N/A</v>
      </c>
      <c r="EP26" s="102" t="e">
        <f>(VLOOKUP($B$3,'Coeff EC7'!$T$39:$X$59,2,0)*EN26+VLOOKUP($B$3,'Coeff EC7'!$T$65:$X$85,2,0)*Model0.1C!EO26)/1.1</f>
        <v>#N/A</v>
      </c>
      <c r="EQ26" s="102" t="e">
        <f>(VLOOKUP($B$3,'Coeff EC7'!$T$39:$X$59,3,0)*EN26+VLOOKUP($B$3,'Coeff EC7'!$T$65:$X$85,3,0)*Model0.1C!EO26)/0.9</f>
        <v>#N/A</v>
      </c>
      <c r="ER26" s="102" t="e">
        <f t="shared" si="94"/>
        <v>#N/A</v>
      </c>
      <c r="ES26" s="102" t="e">
        <f t="shared" si="95"/>
        <v>#N/A</v>
      </c>
      <c r="ET26" s="414" t="e">
        <f>IF(ET25=0,0,IF(AND(EP26&gt;charge_ELS_quasi,EQ26&gt;Charge_ELS_freq,ER26&gt;charge_ELU,ES26&gt;charge_ELA,$B26&gt;NDC!$H$22-0.1+MIN(3*$ET$12,1.5)),0,1))</f>
        <v>#N/A</v>
      </c>
      <c r="EU26" s="86" t="b">
        <f t="shared" si="60"/>
        <v>0</v>
      </c>
      <c r="EV26" s="86">
        <f t="shared" si="61"/>
        <v>0.61</v>
      </c>
      <c r="EW26" s="86">
        <f t="shared" si="62"/>
        <v>0.61</v>
      </c>
      <c r="EX26" s="30" t="e">
        <f t="shared" ca="1" si="96"/>
        <v>#DIV/0!</v>
      </c>
      <c r="EY26" s="85" t="e">
        <f ca="1">IF(EE26&lt;=Hypothèses!$V$7,Hypothèses!$W$7,IF(EE26&lt;=Hypothèses!$V$8,Hypothèses!$W$8,IF(EE26&lt;=Hypothèses!$V$9,Hypothèses!$W$9,IF(EE26&lt;=Hypothèses!$V$10,Hypothèses!$W$10,IF(EE26&lt;=Hypothèses!$V$11,Hypothèses!$W$11,IF(EE26&lt;=Hypothèses!$V$12,Hypothèses!$W$12,IF(EE26&lt;=Hypothèses!$V$13,Hypothèses!$W$13,IF(EE26&lt;=Hypothèses!$V$14,Hypothèses!$W$14,IF(EE26&lt;=Hypothèses!$V$15,Hypothèses!$W$15,IF(EE26&lt;=Hypothèses!$V$16,Hypothèses!$W$16,IF(EE26&lt;=Hypothèses!$V$17,Hypothèses!$W$17,IF(EE26&lt;=Hypothèses!$V$18,Hypothèses!$W$18,""))))))))))))</f>
        <v>#DIV/0!</v>
      </c>
      <c r="EZ26" s="87" t="e">
        <f t="shared" ca="1" si="123"/>
        <v>#DIV/0!</v>
      </c>
      <c r="FA26" s="88" t="e">
        <f ca="1">IF(EE26&lt;=Hypothèses!$V$7,Hypothèses!$X$7,IF(EE26&lt;=Hypothèses!$V$8,Hypothèses!$X$8,IF(EE26&lt;=Hypothèses!$V$9,Hypothèses!$X$9,IF(EE26&lt;=Hypothèses!$V$10,Hypothèses!$X$10,IF(EE26&lt;=Hypothèses!$V$11,Hypothèses!$X$11,IF(EE26&lt;=Hypothèses!$V$12,Hypothèses!$X$12,IF(EE26&lt;=Hypothèses!$V$13,Hypothèses!$X$13,IF(EE26&lt;=Hypothèses!$V$14,Hypothèses!$X$14,IF(EE26&lt;=Hypothèses!$V$15,Hypothèses!$X$15,IF(EE26&lt;=Hypothèses!$V$16,Hypothèses!$X$16,IF(EE26&lt;=Hypothèses!$U$17,Hypothèses!$W$17,IF(EE26&lt;=Hypothèses!$U$18,Hypothèses!$W$18,""))))))))))))</f>
        <v>#DIV/0!</v>
      </c>
      <c r="FB26" s="95" t="e">
        <f t="shared" ca="1" si="97"/>
        <v>#DIV/0!</v>
      </c>
      <c r="FC26" s="101" t="e">
        <f t="shared" si="130"/>
        <v>#N/A</v>
      </c>
      <c r="FD26" s="91" t="e">
        <f t="shared" si="64"/>
        <v>#N/A</v>
      </c>
      <c r="FE26" s="30" t="e">
        <f t="shared" si="114"/>
        <v>#N/A</v>
      </c>
      <c r="FF26" s="30" t="e">
        <f t="shared" si="115"/>
        <v>#N/A</v>
      </c>
      <c r="FG26" s="31" t="e">
        <f>IF(OR(Hypothèses!$B$4=17,Hypothèses!$B$4=18,Hypothèses!$B$4=19,Hypothèses!$B$4=20),
IF($D26="Pressio.",
IF(OR($E26=3,$E26=1,$E26=4),FF26,FE26),
IF($D26="Pénétro.",
IF(OR($E26=3,$E26=1,$E26=4),FF26,FE26))),IF($D26="Pressio.",
IF($E26=3,FF26,FE26),
IF($D26="Pénétro.",
IF($E26=4,FF26,FE26))))</f>
        <v>#N/A</v>
      </c>
      <c r="FH26" s="31" t="e">
        <f>(IF(OR(Hypothèses!$B$4=17,Hypothèses!$B$4=18,Hypothèses!$B$4=19,Hypothèses!$B$4=20),
IF($D26="Pressio.",
IF(OR($E26=3,$E26=1,$E26=4),(PI()*FH$12^2)/4*(FD26*$W26*1000)/($H26*$B$5),(PI()*FH$12^2)/4*(FD26*$W26*1000)/($G26*$B$5)),
IF($D26="Pénétro.",
IF(OR($E26=4,$E26=1,$E26=5),(PI()*FH$12^2)/4*(FD26*$W26*1000)/($H26*$B$5),(PI()*FH$12^2)/4*(FD26*$W26*1000)/($G26*$B$5)))),
IF($D26="Pressio.",
IF($E26=3,(PI()*FH$12^2)/4*(FD26*$W26*1000)/($H26*$B$5),(PI()*FH$12^2)/4*(FD26*$W26*1000)/($G26*$B$5)),
IF($D26="Pénétro.",
IF($E26=4,(PI()*FH$12^2)/4*(FD26*$W26*1000)/($H26*$B$5),(PI()*FH$12^2)/4*(FD26*$W26*1000)/($G26*$B$5))))))/10</f>
        <v>#N/A</v>
      </c>
      <c r="FI26" s="102" t="e">
        <f>(VLOOKUP($B$3,'Coeff EC7'!$T$39:$X$59,2,0)*FG26+VLOOKUP($B$3,'Coeff EC7'!$T$65:$X$85,2,0)*Model0.1C!FH26)/1.1</f>
        <v>#N/A</v>
      </c>
      <c r="FJ26" s="102" t="e">
        <f>(VLOOKUP($B$3,'Coeff EC7'!$T$39:$X$59,3,0)*FG26+VLOOKUP($B$3,'Coeff EC7'!$T$65:$X$85,3,0)*Model0.1C!FH26)/0.9</f>
        <v>#N/A</v>
      </c>
      <c r="FK26" s="102" t="e">
        <f t="shared" si="98"/>
        <v>#N/A</v>
      </c>
      <c r="FL26" s="102" t="e">
        <f t="shared" si="99"/>
        <v>#N/A</v>
      </c>
      <c r="FM26" s="414" t="e">
        <f>IF(FM25=0,0,IF(AND(FI26&gt;charge_ELS_quasi,FJ26&gt;Charge_ELS_freq,FK26&gt;charge_ELU,FL26&gt;charge_ELA,$B26&gt;NDC!$H$22-0.1+MIN(3*$FM$12,1.5)),0,1))</f>
        <v>#N/A</v>
      </c>
    </row>
    <row r="27" spans="1:169">
      <c r="A27" s="96">
        <f t="shared" si="67"/>
        <v>98.60000000000008</v>
      </c>
      <c r="B27" s="97">
        <v>1.4</v>
      </c>
      <c r="C27" s="81">
        <f>IF(B27&lt;=Hypothèses!$C$7,Hypothèses!$A$7,IF(B27&lt;=Hypothèses!$C$8,Hypothèses!$A$8,IF(B27&lt;=Hypothèses!$C$9,Hypothèses!$A$9,IF(B27&lt;=Hypothèses!$C$10,Hypothèses!$A$10,IF(B27&lt;=Hypothèses!$C$11,Hypothèses!$A$11,IF(B27&lt;=Hypothèses!$C$12,Hypothèses!$A$12,IF(B27&lt;=Hypothèses!$C$13,Hypothèses!$A$13,IF(B27&lt;=Hypothèses!$C$14,Hypothèses!$A$14,IF(B27&lt;=Hypothèses!$C$15,Hypothèses!$A$15,IF(B27&lt;=Hypothèses!$C$16,Hypothèses!$A$16,IF(B27&lt;=Hypothèses!$C$17,Hypothèses!$A$17,IF(B27&lt;=Hypothèses!$C$18,Hypothèses!$A$18,C26))))))))))))</f>
        <v>11</v>
      </c>
      <c r="D27" s="82" t="str">
        <f>IF(B27&lt;=Hypothèses!$C$7,Hypothèses!$R$7,IF(B27&lt;=Hypothèses!$C$8,Hypothèses!$R$8,IF(B27&lt;=Hypothèses!$C$9,Hypothèses!$R$9,IF(B27&lt;=Hypothèses!$C$10,Hypothèses!$R$10,IF(B27&lt;=Hypothèses!$C$11,Hypothèses!$R$11,IF(B27&lt;=Hypothèses!$C$12,Hypothèses!$R$12,IF(B27&lt;=Hypothèses!$C$13,Hypothèses!$R$13,IF(B27&lt;=Hypothèses!$C$14,Hypothèses!$R$14,IF(B27&lt;=Hypothèses!$C$15,Hypothèses!$R$15,IF(B27&lt;=Hypothèses!$C$16,Hypothèses!$R$16,IF(B27&lt;=Hypothèses!$C$17,Hypothèses!$R$17,IF(B27&lt;=Hypothèses!$C$18,Hypothèses!$R$18,D26))))))))))))</f>
        <v>Pressio.</v>
      </c>
      <c r="E27" s="82" t="e">
        <f>IF(B27&lt;=Hypothèses!$C$7,Hypothèses!$G$7,IF(B27&lt;=Hypothèses!$C$8,Hypothèses!$G$8,IF(B27&lt;=Hypothèses!$C$9,Hypothèses!$G$9,IF(B27&lt;=Hypothèses!$C$10,Hypothèses!$G$10,IF(B27&lt;=Hypothèses!$C$11,Hypothèses!$G$11,IF(B27&lt;=Hypothèses!$C$12,Hypothèses!$G$12,IF(B27&lt;=Hypothèses!$C$13,Hypothèses!$G$13,IF(B27&lt;=Hypothèses!$C$14,Hypothèses!$G$14,IF(B27&lt;=Hypothèses!$C$15,Hypothèses!$G$15,IF(B27&lt;=Hypothèses!$C$16,Hypothèses!$G$16,IF(B27&lt;=Hypothèses!$C$17,Hypothèses!$G$17,IF(B27&lt;=Hypothèses!$C$18,Hypothèses!$G$18,E26))))))))))))</f>
        <v>#N/A</v>
      </c>
      <c r="F27" s="82" t="str">
        <f>IF(B27&lt;=Hypothèses!$C$7,Hypothèses!$F$7,IF(B27&lt;=Hypothèses!$C$8,Hypothèses!$F$8,IF(B27&lt;=Hypothèses!$C$9,Hypothèses!$F$9,IF(B27&lt;=Hypothèses!$C$10,Hypothèses!$F$10,IF(B27&lt;=Hypothèses!$C$11,Hypothèses!$F$11,IF(B27&lt;=Hypothèses!$C$12,Hypothèses!$F$12,IF(B27&lt;=Hypothèses!$C$13,Hypothèses!$F$13,IF(B27&lt;=Hypothèses!$C$14,Hypothèses!$F$14,IF(B27&lt;=Hypothèses!$C$15,Hypothèses!$F$15,IF(B27&lt;=Hypothèses!$C$16,Hypothèses!$F$16,IF(B27&lt;=Hypothèses!$C$17,Hypothèses!$F$17,IF(B27&lt;=Hypothèses!$C$18,Hypothèses!$F$18,F26))))))))))))</f>
        <v/>
      </c>
      <c r="G27" s="91">
        <f t="array" ref="G27">INDEX('Coeff EC7'!$U$7:$X$27,
MATCH(Model0.1C!$B$3,'Coeff EC7'!$T$7:$T$27,0),
MATCH(Model0.1C!$D27&amp;Model0.1C!$B$4,
'Coeff EC7'!$U$6:$X$6&amp;
'Coeff EC7'!$U$5:$X$5,0))</f>
        <v>1.1499999999999999</v>
      </c>
      <c r="H27" s="91">
        <f t="array" ref="H27">INDEX('Coeff EC7'!$Y$7:$AB$27,
MATCH(Model0.1C!$B$3,'Coeff EC7'!$T$7:$T$27,0),
MATCH(Model0.1C!$D27&amp;Model0.1C!$B$4,
'Coeff EC7'!$Y$6:$AB$6&amp;
'Coeff EC7'!$Y$5:$AB$5,0))</f>
        <v>1.4</v>
      </c>
      <c r="I27" s="83" t="e">
        <f>IF(B27&lt;=Hypothèses!$C$7,Hypothèses!$P$7,IF(B27&lt;=Hypothèses!$C$8,Hypothèses!$P$8,IF(B27&lt;=Hypothèses!$C$9,Hypothèses!$P$9,IF(B27&lt;=Hypothèses!$C$10,Hypothèses!$P$10,IF(B27&lt;=Hypothèses!$C$11,Hypothèses!$P$11,IF(B27&lt;=Hypothèses!$C$12,Hypothèses!$P$12,IF(B27&lt;=Hypothèses!$C$13,Hypothèses!$P$13,IF(B27&lt;=Hypothèses!$C$14,Hypothèses!$P$14,IF(B27&lt;=Hypothèses!$C$15,Hypothèses!$P$15,IF(B27&lt;=Hypothèses!$C$16,Hypothèses!$P$16,IF(B27&lt;=Hypothèses!$C$17,Hypothèses!$P$17,IF(B27&lt;=Hypothèses!$C$18,Hypothèses!$P$18,I26))))))))))))</f>
        <v>#N/A</v>
      </c>
      <c r="J27" s="91" t="e">
        <f t="array" ref="J27">INDEX('Coeff EC7'!$D$33:$Q$33,1,MATCH(D27&amp;E27,'Coeff EC7'!$D$31:$Q$31&amp;'Coeff EC7'!$D$32:$Q$32,0))</f>
        <v>#N/A</v>
      </c>
      <c r="K27" s="91" t="e">
        <f t="array" ref="K27">INDEX('Coeff EC7'!$D$34:$Q$34,1,MATCH(D27&amp;E27,'Coeff EC7'!$D$31:$Q$31&amp;'Coeff EC7'!$D$32:$Q$32,0))</f>
        <v>#N/A</v>
      </c>
      <c r="L27" s="91" t="e">
        <f t="array" ref="L27">INDEX('Coeff EC7'!$D$35:$Q$35,1,MATCH(D27&amp;E27,'Coeff EC7'!$D$31:$Q$31&amp;'Coeff EC7'!$D$32:$Q$32,0))</f>
        <v>#N/A</v>
      </c>
      <c r="M27" s="98" t="e">
        <f t="shared" si="8"/>
        <v>#N/A</v>
      </c>
      <c r="N27" s="99" t="e">
        <f t="array" ref="N27">INDEX('Coeff EC7'!$D$7:$Q$27,MATCH($B$3,'Coeff EC7'!$C$7:$C$27,0),MATCH(D27&amp;E27,'Coeff EC7'!$D$5:$Q$5&amp;'Coeff EC7'!$D$6:$Q$6,0))</f>
        <v>#N/A</v>
      </c>
      <c r="O27" s="99" t="e">
        <f t="array" ref="O27">INDEX('Coeff EC7'!$D$41:$Q$61,MATCH($B$3,'Coeff EC7'!$C$41:$C$61,0),MATCH(D27&amp;E27,'Coeff EC7'!$D$39:$Q$39&amp;'Coeff EC7'!$D$40:$Q$40,0))</f>
        <v>#N/A</v>
      </c>
      <c r="P27" s="30" t="e">
        <f t="shared" si="68"/>
        <v>#N/A</v>
      </c>
      <c r="Q27" s="100" t="e">
        <f t="shared" si="10"/>
        <v>#N/A</v>
      </c>
      <c r="R27" s="86" t="b">
        <f t="shared" si="11"/>
        <v>0</v>
      </c>
      <c r="S27" s="86">
        <f t="shared" si="9"/>
        <v>0.5</v>
      </c>
      <c r="T27" s="86">
        <f t="shared" si="12"/>
        <v>0.5</v>
      </c>
      <c r="U27" s="30" t="e">
        <f t="shared" ca="1" si="69"/>
        <v>#DIV/0!</v>
      </c>
      <c r="V27" s="85" t="str">
        <f>IF(B27&lt;=Hypothèses!$V$7,Hypothèses!$W$7,IF(B27&lt;=Hypothèses!$V$8,Hypothèses!$W$8,IF(B27&lt;=Hypothèses!$V$9,Hypothèses!$W$9,IF(B27&lt;=Hypothèses!$V$10,Hypothèses!$W$10,IF(B27&lt;=Hypothèses!$V$11,Hypothèses!$W$11,IF(B27&lt;=Hypothèses!$V$12,Hypothèses!$W$12,IF(B27&lt;=Hypothèses!$V$13,Hypothèses!$W$13,IF(B27&lt;=Hypothèses!$V$14,Hypothèses!$W$14,IF(B27&lt;=Hypothèses!$V$15,Hypothèses!$W$15,IF(B27&lt;=Hypothèses!$V$16,Hypothèses!$W$16,IF(B27&lt;=Hypothèses!$V$17,Hypothèses!$W$17,IF(B27&lt;=Hypothèses!$V$18,Hypothèses!$W$18,""))))))))))))</f>
        <v/>
      </c>
      <c r="W27" s="87" t="e">
        <f t="shared" ca="1" si="116"/>
        <v>#DIV/0!</v>
      </c>
      <c r="X27" s="88" t="str">
        <f>IF(B27&lt;=Hypothèses!$V$7,Hypothèses!$X$7,IF(B27&lt;=Hypothèses!$V$8,Hypothèses!$X$8,IF(B27&lt;=Hypothèses!$V$9,Hypothèses!$X$9,IF(B27&lt;=Hypothèses!$V$10,Hypothèses!$X$10,IF(B27&lt;=Hypothèses!$V$11,Hypothèses!$X$11,IF(B27&lt;=Hypothèses!$V$12,Hypothèses!$X$12,IF(B27&lt;=Hypothèses!$V$13,Hypothèses!$X$13,IF(B27&lt;=Hypothèses!$V$14,Hypothèses!$X$14,IF(B27&lt;=Hypothèses!$V$15,Hypothèses!$X$15,IF(B27&lt;=Hypothèses!$V$16,Hypothèses!$X$16,IF(B27&lt;=Hypothèses!$U$17,Hypothèses!$W$17,IF(B27&lt;=Hypothèses!$U$18,Hypothèses!$W$18,""))))))))))))</f>
        <v/>
      </c>
      <c r="Y27" s="95" t="e">
        <f t="shared" ca="1" si="13"/>
        <v>#DIV/0!</v>
      </c>
      <c r="Z27" s="101" t="e">
        <f t="shared" si="14"/>
        <v>#N/A</v>
      </c>
      <c r="AA27" s="91" t="e">
        <f t="shared" si="15"/>
        <v>#N/A</v>
      </c>
      <c r="AB27" s="30" t="e">
        <f t="shared" si="100"/>
        <v>#N/A</v>
      </c>
      <c r="AC27" s="30" t="e">
        <f t="shared" si="101"/>
        <v>#N/A</v>
      </c>
      <c r="AD27" s="31" t="e">
        <f>IF(OR(Hypothèses!$B$4=17,Hypothèses!$B$4=18,Hypothèses!$B$4=19,Hypothèses!$B$4=20),
IF($D27="Pressio.",
IF(OR($E27=3,$E27=1,$E27=4),AC27,AB27),
IF($D27="Pénétro.",
IF(OR($E27=3,$E27=1,$E27=4),AC27,AB27))),IF($D27="Pressio.",
IF($E27=3,AC27,AB27),
IF($D27="Pénétro.",
IF($E27=4,AC27,AB27))))</f>
        <v>#N/A</v>
      </c>
      <c r="AE27" s="31" t="e">
        <f>(IF(OR(Hypothèses!$B$4=17,Hypothèses!$B$4=18,Hypothèses!$B$4=19,Hypothèses!$B$4=20),
IF($D27="Pressio.",
IF(OR($E27=3,$E27=1,$E27=4),(PI()*AE$12^2)/4*(AA27*$W27*1000)/($H27*$B$5),(PI()*AE$12^2)/4*(AA27*$W27*1000)/($G27*$B$5)),
IF($D27="Pénétro.",
IF(OR($E27=4,$E27=1,$E27=5),(PI()*AE$12^2)/4*(AA27*$W27*1000)/($H27*$B$5),(PI()*AE$12^2)/4*(AA27*$W27*1000)/($G27*$B$5)))),
IF($D27="Pressio.",
IF($E27=3,(PI()*AE$12^2)/4*(AA27*$W27*1000)/($H27*$B$5),(PI()*AE$12^2)/4*(AA27*$W27*1000)/($G27*$B$5)),
IF($D27="Pénétro.",
IF($E27=4,(PI()*AE$12^2)/4*(AA27*$W27*1000)/($H27*$B$5),(PI()*AE$12^2)/4*(AA27*$W27*1000)/($G27*$B$5))))))/10</f>
        <v>#N/A</v>
      </c>
      <c r="AF27" s="102" t="e">
        <f>(VLOOKUP($B$3,'Coeff EC7'!$T$39:$X$59,2,0)*AD27+VLOOKUP($B$3,'Coeff EC7'!$T$65:$X$85,2,0)*Model0.1C!AE27)/1.1</f>
        <v>#N/A</v>
      </c>
      <c r="AG27" s="102" t="e">
        <f>(VLOOKUP($B$3,'Coeff EC7'!$T$39:$X$59,3,0)*AD27+VLOOKUP($B$3,'Coeff EC7'!$T$65:$X$85,3,0)*Model0.1C!AE27)/0.9</f>
        <v>#N/A</v>
      </c>
      <c r="AH27" s="102" t="e">
        <f t="shared" si="18"/>
        <v>#N/A</v>
      </c>
      <c r="AI27" s="102" t="e">
        <f t="shared" si="19"/>
        <v>#N/A</v>
      </c>
      <c r="AJ27" s="414" t="e">
        <f>IF(AJ26=0,0,IF(AND(AF27&gt;charge_ELS_quasi,AG27&gt;Charge_ELS_freq,AH27&gt;charge_ELU,AI27&gt;charge_ELA,$B27&gt;NDC!$H$22-0.1+MIN(3*$AJ$12,1.5)),0,1))</f>
        <v>#N/A</v>
      </c>
      <c r="AK27" s="86" t="b">
        <f t="shared" si="20"/>
        <v>0</v>
      </c>
      <c r="AL27" s="86">
        <f t="shared" si="70"/>
        <v>0.5</v>
      </c>
      <c r="AM27" s="86">
        <f t="shared" si="21"/>
        <v>0.5</v>
      </c>
      <c r="AN27" s="30" t="e">
        <f t="shared" ca="1" si="71"/>
        <v>#DIV/0!</v>
      </c>
      <c r="AO27" s="85" t="e">
        <f ca="1">IF(U27&lt;=Hypothèses!$V$7,Hypothèses!$W$7,IF(U27&lt;=Hypothèses!$V$8,Hypothèses!$W$8,IF(U27&lt;=Hypothèses!$V$9,Hypothèses!$W$9,IF(U27&lt;=Hypothèses!$V$10,Hypothèses!$W$10,IF(U27&lt;=Hypothèses!$V$11,Hypothèses!$W$11,IF(U27&lt;=Hypothèses!$V$12,Hypothèses!$W$12,IF(U27&lt;=Hypothèses!$V$13,Hypothèses!$W$13,IF(U27&lt;=Hypothèses!$V$14,Hypothèses!$W$14,IF(U27&lt;=Hypothèses!$V$15,Hypothèses!$W$15,IF(U27&lt;=Hypothèses!$V$16,Hypothèses!$W$16,IF(U27&lt;=Hypothèses!$V$17,Hypothèses!$W$17,IF(U27&lt;=Hypothèses!$V$18,Hypothèses!$W$18,""))))))))))))</f>
        <v>#DIV/0!</v>
      </c>
      <c r="AP27" s="87" t="e">
        <f t="shared" ca="1" si="117"/>
        <v>#DIV/0!</v>
      </c>
      <c r="AQ27" s="88" t="e">
        <f ca="1">IF(U27&lt;=Hypothèses!$V$7,Hypothèses!$X$7,IF(U27&lt;=Hypothèses!$V$8,Hypothèses!$X$8,IF(U27&lt;=Hypothèses!$V$9,Hypothèses!$X$9,IF(U27&lt;=Hypothèses!$V$10,Hypothèses!$X$10,IF(U27&lt;=Hypothèses!$V$11,Hypothèses!$X$11,IF(U27&lt;=Hypothèses!$V$12,Hypothèses!$X$12,IF(U27&lt;=Hypothèses!$V$13,Hypothèses!$X$13,IF(U27&lt;=Hypothèses!$V$14,Hypothèses!$X$14,IF(U27&lt;=Hypothèses!$V$15,Hypothèses!$X$15,IF(U27&lt;=Hypothèses!$V$16,Hypothèses!$X$16,IF(U27&lt;=Hypothèses!$U$17,Hypothèses!$W$17,IF(U27&lt;=Hypothèses!$U$18,Hypothèses!$W$18,""))))))))))))</f>
        <v>#DIV/0!</v>
      </c>
      <c r="AR27" s="95" t="e">
        <f t="shared" ca="1" si="72"/>
        <v>#DIV/0!</v>
      </c>
      <c r="AS27" s="101" t="e">
        <f t="shared" si="124"/>
        <v>#N/A</v>
      </c>
      <c r="AT27" s="91" t="e">
        <f t="shared" si="23"/>
        <v>#N/A</v>
      </c>
      <c r="AU27" s="30" t="e">
        <f t="shared" si="102"/>
        <v>#N/A</v>
      </c>
      <c r="AV27" s="30" t="e">
        <f t="shared" si="103"/>
        <v>#N/A</v>
      </c>
      <c r="AW27" s="31" t="e">
        <f>IF(OR(Hypothèses!$B$4=17,Hypothèses!$B$4=18,Hypothèses!$B$4=19,Hypothèses!$B$4=20),
IF($D27="Pressio.",
IF(OR($E27=3,$E27=1,$E27=4),AV27,AU27),
IF($D27="Pénétro.",
IF(OR($E27=3,$E27=1,$E27=4),AV27,AU27))),IF($D27="Pressio.",
IF($E27=3,AV27,AU27),
IF($D27="Pénétro.",
IF($E27=4,AV27,AU27))))</f>
        <v>#N/A</v>
      </c>
      <c r="AX27" s="31" t="e">
        <f>(IF(OR(Hypothèses!$B$4=17,Hypothèses!$B$4=18,Hypothèses!$B$4=19,Hypothèses!$B$4=20),
IF($D27="Pressio.",
IF(OR($E27=3,$E27=1,$E27=4),(PI()*AX$12^2)/4*(AT27*$W27*1000)/($H27*$B$5),(PI()*AX$12^2)/4*(AT27*$W27*1000)/($G27*$B$5)),
IF($D27="Pénétro.",
IF(OR($E27=4,$E27=1,$E27=5),(PI()*AX$12^2)/4*(AT27*$W27*1000)/($H27*$B$5),(PI()*AX$12^2)/4*(AT27*$W27*1000)/($G27*$B$5)))),
IF($D27="Pressio.",
IF($E27=3,(PI()*AX$12^2)/4*(AT27*$W27*1000)/($H27*$B$5),(PI()*AX$12^2)/4*(AT27*$W27*1000)/($G27*$B$5)),
IF($D27="Pénétro.",
IF($E27=4,(PI()*AX$12^2)/4*(AT27*$W27*1000)/($H27*$B$5),(PI()*AX$12^2)/4*(AT27*$W27*1000)/($G27*$B$5))))))/10</f>
        <v>#N/A</v>
      </c>
      <c r="AY27" s="102" t="e">
        <f>(VLOOKUP($B$3,'Coeff EC7'!$T$39:$X$59,2,0)*AW27+VLOOKUP($B$3,'Coeff EC7'!$T$65:$X$85,2,0)*Model0.1C!AX27)/1.1</f>
        <v>#N/A</v>
      </c>
      <c r="AZ27" s="102" t="e">
        <f>(VLOOKUP($B$3,'Coeff EC7'!$T$39:$X$59,3,0)*AW27+VLOOKUP($B$3,'Coeff EC7'!$T$65:$X$85,3,0)*Model0.1C!AX27)/0.9</f>
        <v>#N/A</v>
      </c>
      <c r="BA27" s="102" t="e">
        <f t="shared" si="73"/>
        <v>#N/A</v>
      </c>
      <c r="BB27" s="102" t="e">
        <f t="shared" si="74"/>
        <v>#N/A</v>
      </c>
      <c r="BC27" s="414" t="e">
        <f>IF(BC26=0,0,IF(AND(AY27&gt;charge_ELS_quasi,AZ27&gt;Charge_ELS_freq,BA27&gt;charge_ELU,BB27&gt;charge_ELA,$B27&gt;NDC!$H$22-0.1+MIN(3*$BC$12,1.5)),0,1))</f>
        <v>#N/A</v>
      </c>
      <c r="BD27" s="86" t="b">
        <f t="shared" si="26"/>
        <v>0</v>
      </c>
      <c r="BE27" s="86">
        <f t="shared" si="75"/>
        <v>0.5</v>
      </c>
      <c r="BF27" s="86">
        <f t="shared" si="27"/>
        <v>0.5</v>
      </c>
      <c r="BG27" s="30" t="e">
        <f t="shared" ca="1" si="76"/>
        <v>#DIV/0!</v>
      </c>
      <c r="BH27" s="85" t="e">
        <f ca="1">IF(AN27&lt;=Hypothèses!$V$7,Hypothèses!$W$7,IF(AN27&lt;=Hypothèses!$V$8,Hypothèses!$W$8,IF(AN27&lt;=Hypothèses!$V$9,Hypothèses!$W$9,IF(AN27&lt;=Hypothèses!$V$10,Hypothèses!$W$10,IF(AN27&lt;=Hypothèses!$V$11,Hypothèses!$W$11,IF(AN27&lt;=Hypothèses!$V$12,Hypothèses!$W$12,IF(AN27&lt;=Hypothèses!$V$13,Hypothèses!$W$13,IF(AN27&lt;=Hypothèses!$V$14,Hypothèses!$W$14,IF(AN27&lt;=Hypothèses!$V$15,Hypothèses!$W$15,IF(AN27&lt;=Hypothèses!$V$16,Hypothèses!$W$16,IF(AN27&lt;=Hypothèses!$V$17,Hypothèses!$W$17,IF(AN27&lt;=Hypothèses!$V$18,Hypothèses!$W$18,""))))))))))))</f>
        <v>#DIV/0!</v>
      </c>
      <c r="BI27" s="87" t="e">
        <f t="shared" ca="1" si="118"/>
        <v>#DIV/0!</v>
      </c>
      <c r="BJ27" s="88" t="e">
        <f ca="1">IF(AN27&lt;=Hypothèses!$V$7,Hypothèses!$X$7,IF(AN27&lt;=Hypothèses!$V$8,Hypothèses!$X$8,IF(AN27&lt;=Hypothèses!$V$9,Hypothèses!$X$9,IF(AN27&lt;=Hypothèses!$V$10,Hypothèses!$X$10,IF(AN27&lt;=Hypothèses!$V$11,Hypothèses!$X$11,IF(AN27&lt;=Hypothèses!$V$12,Hypothèses!$X$12,IF(AN27&lt;=Hypothèses!$V$13,Hypothèses!$X$13,IF(AN27&lt;=Hypothèses!$V$14,Hypothèses!$X$14,IF(AN27&lt;=Hypothèses!$V$15,Hypothèses!$X$15,IF(AN27&lt;=Hypothèses!$V$16,Hypothèses!$X$16,IF(AN27&lt;=Hypothèses!$U$17,Hypothèses!$W$17,IF(AN27&lt;=Hypothèses!$U$18,Hypothèses!$W$18,""))))))))))))</f>
        <v>#DIV/0!</v>
      </c>
      <c r="BK27" s="95" t="e">
        <f t="shared" ca="1" si="77"/>
        <v>#DIV/0!</v>
      </c>
      <c r="BL27" s="101" t="e">
        <f t="shared" si="125"/>
        <v>#N/A</v>
      </c>
      <c r="BM27" s="91" t="e">
        <f t="shared" si="29"/>
        <v>#N/A</v>
      </c>
      <c r="BN27" s="30" t="e">
        <f t="shared" si="104"/>
        <v>#N/A</v>
      </c>
      <c r="BO27" s="30" t="e">
        <f t="shared" si="105"/>
        <v>#N/A</v>
      </c>
      <c r="BP27" s="31" t="e">
        <f>IF(OR(Hypothèses!$B$4=17,Hypothèses!$B$4=18,Hypothèses!$B$4=19,Hypothèses!$B$4=20),
IF($D27="Pressio.",
IF(OR($E27=3,$E27=1,$E27=4),BO27,BN27),
IF($D27="Pénétro.",
IF(OR($E27=3,$E27=1,$E27=4),BO27,BN27))),IF($D27="Pressio.",
IF($E27=3,BO27,BN27),
IF($D27="Pénétro.",
IF($E27=4,BO27,BN27))))</f>
        <v>#N/A</v>
      </c>
      <c r="BQ27" s="31" t="e">
        <f>(IF(OR(Hypothèses!$B$4=17,Hypothèses!$B$4=18,Hypothèses!$B$4=19,Hypothèses!$B$4=20),
IF($D27="Pressio.",
IF(OR($E27=3,$E27=1,$E27=4),(PI()*BQ$12^2)/4*(BM27*$W27*1000)/($H27*$B$5),(PI()*BQ$12^2)/4*(BM27*$W27*1000)/($G27*$B$5)),
IF($D27="Pénétro.",
IF(OR($E27=4,$E27=1,$E27=5),(PI()*BQ$12^2)/4*(BM27*$W27*1000)/($H27*$B$5),(PI()*BQ$12^2)/4*(BM27*$W27*1000)/($G27*$B$5)))),
IF($D27="Pressio.",
IF($E27=3,(PI()*BQ$12^2)/4*(BM27*$W27*1000)/($H27*$B$5),(PI()*BQ$12^2)/4*(BM27*$W27*1000)/($G27*$B$5)),
IF($D27="Pénétro.",
IF($E27=4,(PI()*BQ$12^2)/4*(BM27*$W27*1000)/($H27*$B$5),(PI()*BQ$12^2)/4*(BM27*$W27*1000)/($G27*$B$5))))))/10</f>
        <v>#N/A</v>
      </c>
      <c r="BR27" s="102" t="e">
        <f>(VLOOKUP($B$3,'Coeff EC7'!$T$39:$X$59,2,0)*BP27+VLOOKUP($B$3,'Coeff EC7'!$T$65:$X$85,2,0)*Model0.1C!BQ27)/1.1</f>
        <v>#N/A</v>
      </c>
      <c r="BS27" s="102" t="e">
        <f>(VLOOKUP($B$3,'Coeff EC7'!$T$39:$X$59,3,0)*BP27+VLOOKUP($B$3,'Coeff EC7'!$T$65:$X$85,3,0)*Model0.1C!BQ27)/0.9</f>
        <v>#N/A</v>
      </c>
      <c r="BT27" s="102" t="e">
        <f t="shared" si="78"/>
        <v>#N/A</v>
      </c>
      <c r="BU27" s="102" t="e">
        <f t="shared" si="79"/>
        <v>#N/A</v>
      </c>
      <c r="BV27" s="414" t="e">
        <f>IF(BV26=0,0,IF(AND(BR27&gt;charge_ELS_quasi,BS27&gt;Charge_ELS_freq,BT27&gt;charge_ELU,BU27&gt;charge_ELA,$B27&gt;NDC!$H$22-0.1+MIN(3*$BV$12,1.5)),0,1))</f>
        <v>#N/A</v>
      </c>
      <c r="BW27" s="86" t="b">
        <f t="shared" si="32"/>
        <v>0</v>
      </c>
      <c r="BX27" s="86">
        <f t="shared" si="33"/>
        <v>0.5</v>
      </c>
      <c r="BY27" s="86">
        <f t="shared" si="34"/>
        <v>0.5</v>
      </c>
      <c r="BZ27" s="30" t="e">
        <f t="shared" ca="1" si="80"/>
        <v>#DIV/0!</v>
      </c>
      <c r="CA27" s="85" t="e">
        <f ca="1">IF(BG27&lt;=Hypothèses!$V$7,Hypothèses!$W$7,IF(BG27&lt;=Hypothèses!$V$8,Hypothèses!$W$8,IF(BG27&lt;=Hypothèses!$V$9,Hypothèses!$W$9,IF(BG27&lt;=Hypothèses!$V$10,Hypothèses!$W$10,IF(BG27&lt;=Hypothèses!$V$11,Hypothèses!$W$11,IF(BG27&lt;=Hypothèses!$V$12,Hypothèses!$W$12,IF(BG27&lt;=Hypothèses!$V$13,Hypothèses!$W$13,IF(BG27&lt;=Hypothèses!$V$14,Hypothèses!$W$14,IF(BG27&lt;=Hypothèses!$V$15,Hypothèses!$W$15,IF(BG27&lt;=Hypothèses!$V$16,Hypothèses!$W$16,IF(BG27&lt;=Hypothèses!$V$17,Hypothèses!$W$17,IF(BG27&lt;=Hypothèses!$V$18,Hypothèses!$W$18,""))))))))))))</f>
        <v>#DIV/0!</v>
      </c>
      <c r="CB27" s="87" t="e">
        <f t="shared" ca="1" si="119"/>
        <v>#DIV/0!</v>
      </c>
      <c r="CC27" s="88" t="e">
        <f ca="1">IF(BG27&lt;=Hypothèses!$V$7,Hypothèses!$X$7,IF(BG27&lt;=Hypothèses!$V$8,Hypothèses!$X$8,IF(BG27&lt;=Hypothèses!$V$9,Hypothèses!$X$9,IF(BG27&lt;=Hypothèses!$V$10,Hypothèses!$X$10,IF(BG27&lt;=Hypothèses!$V$11,Hypothèses!$X$11,IF(BG27&lt;=Hypothèses!$V$12,Hypothèses!$X$12,IF(BG27&lt;=Hypothèses!$V$13,Hypothèses!$X$13,IF(BG27&lt;=Hypothèses!$V$14,Hypothèses!$X$14,IF(BG27&lt;=Hypothèses!$V$15,Hypothèses!$X$15,IF(BG27&lt;=Hypothèses!$V$16,Hypothèses!$X$16,IF(BG27&lt;=Hypothèses!$U$17,Hypothèses!$W$17,IF(BG27&lt;=Hypothèses!$U$18,Hypothèses!$W$18,""))))))))))))</f>
        <v>#DIV/0!</v>
      </c>
      <c r="CD27" s="95" t="e">
        <f t="shared" ca="1" si="81"/>
        <v>#DIV/0!</v>
      </c>
      <c r="CE27" s="101" t="e">
        <f t="shared" si="126"/>
        <v>#N/A</v>
      </c>
      <c r="CF27" s="91" t="e">
        <f t="shared" si="36"/>
        <v>#N/A</v>
      </c>
      <c r="CG27" s="30" t="e">
        <f t="shared" si="106"/>
        <v>#N/A</v>
      </c>
      <c r="CH27" s="30" t="e">
        <f t="shared" si="107"/>
        <v>#N/A</v>
      </c>
      <c r="CI27" s="31" t="e">
        <f>IF(OR(Hypothèses!$B$4=17,Hypothèses!$B$4=18,Hypothèses!$B$4=19,Hypothèses!$B$4=20),
IF($D27="Pressio.",
IF(OR($E27=3,$E27=1,$E27=4),CH27,CG27),
IF($D27="Pénétro.",
IF(OR($E27=3,$E27=1,$E27=4),CH27,CG27))),IF($D27="Pressio.",
IF($E27=3,CH27,CG27),
IF($D27="Pénétro.",
IF($E27=4,CH27,CG27))))</f>
        <v>#N/A</v>
      </c>
      <c r="CJ27" s="31" t="e">
        <f>(IF(OR(Hypothèses!$B$4=17,Hypothèses!$B$4=18,Hypothèses!$B$4=19,Hypothèses!$B$4=20),
IF($D27="Pressio.",
IF(OR($E27=3,$E27=1,$E27=4),(PI()*CJ$12^2)/4*(CF27*$W27*1000)/($H27*$B$5),(PI()*CJ$12^2)/4*(CF27*$W27*1000)/($G27*$B$5)),
IF($D27="Pénétro.",
IF(OR($E27=4,$E27=1,$E27=5),(PI()*CJ$12^2)/4*(CF27*$W27*1000)/($H27*$B$5),(PI()*CJ$12^2)/4*(CF27*$W27*1000)/($G27*$B$5)))),
IF($D27="Pressio.",
IF($E27=3,(PI()*CJ$12^2)/4*(CF27*$W27*1000)/($H27*$B$5),(PI()*CJ$12^2)/4*(CF27*$W27*1000)/($G27*$B$5)),
IF($D27="Pénétro.",
IF($E27=4,(PI()*CJ$12^2)/4*(CF27*$W27*1000)/($H27*$B$5),(PI()*CJ$12^2)/4*(CF27*$W27*1000)/($G27*$B$5))))))/10</f>
        <v>#N/A</v>
      </c>
      <c r="CK27" s="102" t="e">
        <f>(VLOOKUP($B$3,'Coeff EC7'!$T$39:$X$59,2,0)*CI27+VLOOKUP($B$3,'Coeff EC7'!$T$65:$X$85,2,0)*Model0.1C!CJ27)/1.1</f>
        <v>#N/A</v>
      </c>
      <c r="CL27" s="102" t="e">
        <f>(VLOOKUP($B$3,'Coeff EC7'!$T$39:$X$59,3,0)*CI27+VLOOKUP($B$3,'Coeff EC7'!$T$65:$X$85,3,0)*Model0.1C!CJ27)/0.9</f>
        <v>#N/A</v>
      </c>
      <c r="CM27" s="102" t="e">
        <f t="shared" si="82"/>
        <v>#N/A</v>
      </c>
      <c r="CN27" s="102" t="e">
        <f t="shared" si="83"/>
        <v>#N/A</v>
      </c>
      <c r="CO27" s="414" t="e">
        <f>IF(CO26=0,0,IF(AND(CK27&gt;charge_ELS_quasi,CL27&gt;Charge_ELS_freq,CM27&gt;charge_ELU,CN27&gt;charge_ELA,$B27&gt;NDC!$H$22-0.1+MIN(3*$CO$12,1.5)),0,1))</f>
        <v>#N/A</v>
      </c>
      <c r="CP27" s="86" t="b">
        <f t="shared" si="39"/>
        <v>0</v>
      </c>
      <c r="CQ27" s="86">
        <f t="shared" si="40"/>
        <v>0.5</v>
      </c>
      <c r="CR27" s="86">
        <f t="shared" si="41"/>
        <v>0.5</v>
      </c>
      <c r="CS27" s="30" t="e">
        <f t="shared" ca="1" si="84"/>
        <v>#DIV/0!</v>
      </c>
      <c r="CT27" s="85" t="e">
        <f ca="1">IF(BZ27&lt;=Hypothèses!$V$7,Hypothèses!$W$7,IF(BZ27&lt;=Hypothèses!$V$8,Hypothèses!$W$8,IF(BZ27&lt;=Hypothèses!$V$9,Hypothèses!$W$9,IF(BZ27&lt;=Hypothèses!$V$10,Hypothèses!$W$10,IF(BZ27&lt;=Hypothèses!$V$11,Hypothèses!$W$11,IF(BZ27&lt;=Hypothèses!$V$12,Hypothèses!$W$12,IF(BZ27&lt;=Hypothèses!$V$13,Hypothèses!$W$13,IF(BZ27&lt;=Hypothèses!$V$14,Hypothèses!$W$14,IF(BZ27&lt;=Hypothèses!$V$15,Hypothèses!$W$15,IF(BZ27&lt;=Hypothèses!$V$16,Hypothèses!$W$16,IF(BZ27&lt;=Hypothèses!$V$17,Hypothèses!$W$17,IF(BZ27&lt;=Hypothèses!$V$18,Hypothèses!$W$18,""))))))))))))</f>
        <v>#DIV/0!</v>
      </c>
      <c r="CU27" s="87" t="e">
        <f t="shared" ca="1" si="120"/>
        <v>#DIV/0!</v>
      </c>
      <c r="CV27" s="88" t="e">
        <f ca="1">IF(BZ27&lt;=Hypothèses!$V$7,Hypothèses!$X$7,IF(BZ27&lt;=Hypothèses!$V$8,Hypothèses!$X$8,IF(BZ27&lt;=Hypothèses!$V$9,Hypothèses!$X$9,IF(BZ27&lt;=Hypothèses!$V$10,Hypothèses!$X$10,IF(BZ27&lt;=Hypothèses!$V$11,Hypothèses!$X$11,IF(BZ27&lt;=Hypothèses!$V$12,Hypothèses!$X$12,IF(BZ27&lt;=Hypothèses!$V$13,Hypothèses!$X$13,IF(BZ27&lt;=Hypothèses!$V$14,Hypothèses!$X$14,IF(BZ27&lt;=Hypothèses!$V$15,Hypothèses!$X$15,IF(BZ27&lt;=Hypothèses!$V$16,Hypothèses!$X$16,IF(BZ27&lt;=Hypothèses!$U$17,Hypothèses!$W$17,IF(BZ27&lt;=Hypothèses!$U$18,Hypothèses!$W$18,""))))))))))))</f>
        <v>#DIV/0!</v>
      </c>
      <c r="CW27" s="95" t="e">
        <f t="shared" ca="1" si="85"/>
        <v>#DIV/0!</v>
      </c>
      <c r="CX27" s="101" t="e">
        <f t="shared" si="127"/>
        <v>#N/A</v>
      </c>
      <c r="CY27" s="91" t="e">
        <f t="shared" si="43"/>
        <v>#N/A</v>
      </c>
      <c r="CZ27" s="30" t="e">
        <f t="shared" si="108"/>
        <v>#N/A</v>
      </c>
      <c r="DA27" s="30" t="e">
        <f t="shared" si="109"/>
        <v>#N/A</v>
      </c>
      <c r="DB27" s="31" t="e">
        <f>IF(OR(Hypothèses!$B$4=17,Hypothèses!$B$4=18,Hypothèses!$B$4=19,Hypothèses!$B$4=20),
IF($D27="Pressio.",
IF(OR($E27=3,$E27=1,$E27=4),DA27,CZ27),
IF($D27="Pénétro.",
IF(OR($E27=3,$E27=1,$E27=4),DA27,CZ27))),IF($D27="Pressio.",
IF($E27=3,DA27,CZ27),
IF($D27="Pénétro.",
IF($E27=4,DA27,CZ27))))</f>
        <v>#N/A</v>
      </c>
      <c r="DC27" s="31" t="e">
        <f>(IF(OR(Hypothèses!$B$4=17,Hypothèses!$B$4=18,Hypothèses!$B$4=19,Hypothèses!$B$4=20),
IF($D27="Pressio.",
IF(OR($E27=3,$E27=1,$E27=4),(PI()*DC$12^2)/4*(CY27*$W27*1000)/($H27*$B$5),(PI()*DC$12^2)/4*(CY27*$W27*1000)/($G27*$B$5)),
IF($D27="Pénétro.",
IF(OR($E27=4,$E27=1,$E27=5),(PI()*DC$12^2)/4*(CY27*$W27*1000)/($H27*$B$5),(PI()*DC$12^2)/4*(CY27*$W27*1000)/($G27*$B$5)))),
IF($D27="Pressio.",
IF($E27=3,(PI()*DC$12^2)/4*(CY27*$W27*1000)/($H27*$B$5),(PI()*DC$12^2)/4*(CY27*$W27*1000)/($G27*$B$5)),
IF($D27="Pénétro.",
IF($E27=4,(PI()*DC$12^2)/4*(CY27*$W27*1000)/($H27*$B$5),(PI()*DC$12^2)/4*(CY27*$W27*1000)/($G27*$B$5))))))/10</f>
        <v>#N/A</v>
      </c>
      <c r="DD27" s="102" t="e">
        <f>(VLOOKUP($B$3,'Coeff EC7'!$T$39:$X$59,2,0)*DB27+VLOOKUP($B$3,'Coeff EC7'!$T$65:$X$85,2,0)*Model0.1C!DC27)/1.1</f>
        <v>#N/A</v>
      </c>
      <c r="DE27" s="102" t="e">
        <f>(VLOOKUP($B$3,'Coeff EC7'!$T$39:$X$59,3,0)*DB27+VLOOKUP($B$3,'Coeff EC7'!$T$65:$X$85,3,0)*Model0.1C!DC27)/0.9</f>
        <v>#N/A</v>
      </c>
      <c r="DF27" s="102" t="e">
        <f t="shared" si="86"/>
        <v>#N/A</v>
      </c>
      <c r="DG27" s="102" t="e">
        <f t="shared" si="87"/>
        <v>#N/A</v>
      </c>
      <c r="DH27" s="414" t="e">
        <f>IF(DH26=0,0,IF(AND(DD27&gt;charge_ELS_quasi,DE27&gt;Charge_ELS_freq,DF27&gt;charge_ELU,DG27&gt;charge_ELA,$B27&gt;NDC!$H$22-0.1+MIN(3*$DH$12,1.5)),0,1))</f>
        <v>#N/A</v>
      </c>
      <c r="DI27" s="86" t="b">
        <f t="shared" si="46"/>
        <v>0</v>
      </c>
      <c r="DJ27" s="86">
        <f t="shared" si="47"/>
        <v>0.5</v>
      </c>
      <c r="DK27" s="86">
        <f t="shared" si="48"/>
        <v>0.5</v>
      </c>
      <c r="DL27" s="30" t="e">
        <f t="shared" ca="1" si="88"/>
        <v>#DIV/0!</v>
      </c>
      <c r="DM27" s="85" t="e">
        <f ca="1">IF(CS27&lt;=Hypothèses!$V$7,Hypothèses!$W$7,IF(CS27&lt;=Hypothèses!$V$8,Hypothèses!$W$8,IF(CS27&lt;=Hypothèses!$V$9,Hypothèses!$W$9,IF(CS27&lt;=Hypothèses!$V$10,Hypothèses!$W$10,IF(CS27&lt;=Hypothèses!$V$11,Hypothèses!$W$11,IF(CS27&lt;=Hypothèses!$V$12,Hypothèses!$W$12,IF(CS27&lt;=Hypothèses!$V$13,Hypothèses!$W$13,IF(CS27&lt;=Hypothèses!$V$14,Hypothèses!$W$14,IF(CS27&lt;=Hypothèses!$V$15,Hypothèses!$W$15,IF(CS27&lt;=Hypothèses!$V$16,Hypothèses!$W$16,IF(CS27&lt;=Hypothèses!$V$17,Hypothèses!$W$17,IF(CS27&lt;=Hypothèses!$V$18,Hypothèses!$W$18,""))))))))))))</f>
        <v>#DIV/0!</v>
      </c>
      <c r="DN27" s="87" t="e">
        <f t="shared" ca="1" si="121"/>
        <v>#DIV/0!</v>
      </c>
      <c r="DO27" s="88" t="e">
        <f ca="1">IF(CS27&lt;=Hypothèses!$V$7,Hypothèses!$X$7,IF(CS27&lt;=Hypothèses!$V$8,Hypothèses!$X$8,IF(CS27&lt;=Hypothèses!$V$9,Hypothèses!$X$9,IF(CS27&lt;=Hypothèses!$V$10,Hypothèses!$X$10,IF(CS27&lt;=Hypothèses!$V$11,Hypothèses!$X$11,IF(CS27&lt;=Hypothèses!$V$12,Hypothèses!$X$12,IF(CS27&lt;=Hypothèses!$V$13,Hypothèses!$X$13,IF(CS27&lt;=Hypothèses!$V$14,Hypothèses!$X$14,IF(CS27&lt;=Hypothèses!$V$15,Hypothèses!$X$15,IF(CS27&lt;=Hypothèses!$V$16,Hypothèses!$X$16,IF(CS27&lt;=Hypothèses!$U$17,Hypothèses!$W$17,IF(CS27&lt;=Hypothèses!$U$18,Hypothèses!$W$18,""))))))))))))</f>
        <v>#DIV/0!</v>
      </c>
      <c r="DP27" s="95" t="e">
        <f t="shared" ca="1" si="89"/>
        <v>#DIV/0!</v>
      </c>
      <c r="DQ27" s="101" t="e">
        <f t="shared" si="128"/>
        <v>#N/A</v>
      </c>
      <c r="DR27" s="91" t="e">
        <f t="shared" si="50"/>
        <v>#N/A</v>
      </c>
      <c r="DS27" s="30" t="e">
        <f t="shared" si="110"/>
        <v>#N/A</v>
      </c>
      <c r="DT27" s="30" t="e">
        <f t="shared" si="111"/>
        <v>#N/A</v>
      </c>
      <c r="DU27" s="31" t="e">
        <f>IF(OR(Hypothèses!$B$4=17,Hypothèses!$B$4=18,Hypothèses!$B$4=19,Hypothèses!$B$4=20),
IF($D27="Pressio.",
IF(OR($E27=3,$E27=1,$E27=4),DT27,DS27),
IF($D27="Pénétro.",
IF(OR($E27=3,$E27=1,$E27=4),DT27,DS27))),IF($D27="Pressio.",
IF($E27=3,DT27,DS27),
IF($D27="Pénétro.",
IF($E27=4,DT27,DS27))))</f>
        <v>#N/A</v>
      </c>
      <c r="DV27" s="31" t="e">
        <f>(IF(OR(Hypothèses!$B$4=17,Hypothèses!$B$4=18,Hypothèses!$B$4=19,Hypothèses!$B$4=20),
IF($D27="Pressio.",
IF(OR($E27=3,$E27=1,$E27=4),(PI()*DV$12^2)/4*(DR27*$W27*1000)/($H27*$B$5),(PI()*DV$12^2)/4*(DR27*$W27*1000)/($G27*$B$5)),
IF($D27="Pénétro.",
IF(OR($E27=4,$E27=1,$E27=5),(PI()*DV$12^2)/4*(DR27*$W27*1000)/($H27*$B$5),(PI()*DV$12^2)/4*(DR27*$W27*1000)/($G27*$B$5)))),
IF($D27="Pressio.",
IF($E27=3,(PI()*DV$12^2)/4*(DR27*$W27*1000)/($H27*$B$5),(PI()*DV$12^2)/4*(DR27*$W27*1000)/($G27*$B$5)),
IF($D27="Pénétro.",
IF($E27=4,(PI()*DV$12^2)/4*(DR27*$W27*1000)/($H27*$B$5),(PI()*DV$12^2)/4*(DR27*$W27*1000)/($G27*$B$5))))))/10</f>
        <v>#N/A</v>
      </c>
      <c r="DW27" s="102" t="e">
        <f>(VLOOKUP($B$3,'Coeff EC7'!$T$39:$X$59,2,0)*DU27+VLOOKUP($B$3,'Coeff EC7'!$T$65:$X$85,2,0)*Model0.1C!DV27)/1.1</f>
        <v>#N/A</v>
      </c>
      <c r="DX27" s="102" t="e">
        <f>(VLOOKUP($B$3,'Coeff EC7'!$T$39:$X$59,3,0)*DU27+VLOOKUP($B$3,'Coeff EC7'!$T$65:$X$85,3,0)*Model0.1C!DV27)/0.9</f>
        <v>#N/A</v>
      </c>
      <c r="DY27" s="102" t="e">
        <f t="shared" si="90"/>
        <v>#N/A</v>
      </c>
      <c r="DZ27" s="102" t="e">
        <f t="shared" si="91"/>
        <v>#N/A</v>
      </c>
      <c r="EA27" s="414" t="e">
        <f>IF(EA26=0,0,IF(AND(DW27&gt;charge_ELS_quasi,DX27&gt;Charge_ELS_freq,DY27&gt;charge_ELU,DZ27&gt;charge_ELA,$B27&gt;NDC!$H$22-0.1+MIN(3*$EA$12,1.5)),0,1))</f>
        <v>#N/A</v>
      </c>
      <c r="EB27" s="86" t="b">
        <f t="shared" si="53"/>
        <v>0</v>
      </c>
      <c r="EC27" s="418">
        <f t="shared" si="54"/>
        <v>0.51</v>
      </c>
      <c r="ED27" s="86">
        <f t="shared" si="55"/>
        <v>0.51</v>
      </c>
      <c r="EE27" s="30" t="e">
        <f t="shared" ca="1" si="92"/>
        <v>#DIV/0!</v>
      </c>
      <c r="EF27" s="85" t="e">
        <f ca="1">IF(DL27&lt;=Hypothèses!$V$7,Hypothèses!$W$7,IF(DL27&lt;=Hypothèses!$V$8,Hypothèses!$W$8,IF(DL27&lt;=Hypothèses!$V$9,Hypothèses!$W$9,IF(DL27&lt;=Hypothèses!$V$10,Hypothèses!$W$10,IF(DL27&lt;=Hypothèses!$V$11,Hypothèses!$W$11,IF(DL27&lt;=Hypothèses!$V$12,Hypothèses!$W$12,IF(DL27&lt;=Hypothèses!$V$13,Hypothèses!$W$13,IF(DL27&lt;=Hypothèses!$V$14,Hypothèses!$W$14,IF(DL27&lt;=Hypothèses!$V$15,Hypothèses!$W$15,IF(DL27&lt;=Hypothèses!$V$16,Hypothèses!$W$16,IF(DL27&lt;=Hypothèses!$V$17,Hypothèses!$W$17,IF(DL27&lt;=Hypothèses!$V$18,Hypothèses!$W$18,""))))))))))))</f>
        <v>#DIV/0!</v>
      </c>
      <c r="EG27" s="87" t="e">
        <f t="shared" ca="1" si="122"/>
        <v>#DIV/0!</v>
      </c>
      <c r="EH27" s="88" t="e">
        <f ca="1">IF(DL27&lt;=Hypothèses!$V$7,Hypothèses!$X$7,IF(DL27&lt;=Hypothèses!$V$8,Hypothèses!$X$8,IF(DL27&lt;=Hypothèses!$V$9,Hypothèses!$X$9,IF(DL27&lt;=Hypothèses!$V$10,Hypothèses!$X$10,IF(DL27&lt;=Hypothèses!$V$11,Hypothèses!$X$11,IF(DL27&lt;=Hypothèses!$V$12,Hypothèses!$X$12,IF(DL27&lt;=Hypothèses!$V$13,Hypothèses!$X$13,IF(DL27&lt;=Hypothèses!$V$14,Hypothèses!$X$14,IF(DL27&lt;=Hypothèses!$V$15,Hypothèses!$X$15,IF(DL27&lt;=Hypothèses!$V$16,Hypothèses!$X$16,IF(DL27&lt;=Hypothèses!$U$17,Hypothèses!$W$17,IF(DL27&lt;=Hypothèses!$U$18,Hypothèses!$W$18,""))))))))))))</f>
        <v>#DIV/0!</v>
      </c>
      <c r="EI27" s="95" t="e">
        <f t="shared" ca="1" si="93"/>
        <v>#DIV/0!</v>
      </c>
      <c r="EJ27" s="101" t="e">
        <f t="shared" si="129"/>
        <v>#N/A</v>
      </c>
      <c r="EK27" s="91" t="e">
        <f t="shared" si="57"/>
        <v>#N/A</v>
      </c>
      <c r="EL27" s="30" t="e">
        <f t="shared" si="112"/>
        <v>#N/A</v>
      </c>
      <c r="EM27" s="30" t="e">
        <f t="shared" si="113"/>
        <v>#N/A</v>
      </c>
      <c r="EN27" s="31" t="e">
        <f>IF(OR(Hypothèses!$B$4=17,Hypothèses!$B$4=18,Hypothèses!$B$4=19,Hypothèses!$B$4=20),
IF($D27="Pressio.",
IF(OR($E27=3,$E27=1,$E27=4),EM27,EL27),
IF($D27="Pénétro.",
IF(OR($E27=3,$E27=1,$E27=4),EM27,EL27))),IF($D27="Pressio.",
IF($E27=3,EM27,EL27),
IF($D27="Pénétro.",
IF($E27=4,EM27,EL27))))</f>
        <v>#N/A</v>
      </c>
      <c r="EO27" s="31" t="e">
        <f>(IF(OR(Hypothèses!$B$4=17,Hypothèses!$B$4=18,Hypothèses!$B$4=19,Hypothèses!$B$4=20),
IF($D27="Pressio.",
IF(OR($E27=3,$E27=1,$E27=4),(PI()*EO$12^2)/4*(EK27*$W27*1000)/($H27*$B$5),(PI()*EO$12^2)/4*(EK27*$W27*1000)/($G27*$B$5)),
IF($D27="Pénétro.",
IF(OR($E27=4,$E27=1,$E27=5),(PI()*EO$12^2)/4*(EK27*$W27*1000)/($H27*$B$5),(PI()*EO$12^2)/4*(EK27*$W27*1000)/($G27*$B$5)))),
IF($D27="Pressio.",
IF($E27=3,(PI()*EO$12^2)/4*(EK27*$W27*1000)/($H27*$B$5),(PI()*EO$12^2)/4*(EK27*$W27*1000)/($G27*$B$5)),
IF($D27="Pénétro.",
IF($E27=4,(PI()*EO$12^2)/4*(EK27*$W27*1000)/($H27*$B$5),(PI()*EO$12^2)/4*(EK27*$W27*1000)/($G27*$B$5))))))/10</f>
        <v>#N/A</v>
      </c>
      <c r="EP27" s="102" t="e">
        <f>(VLOOKUP($B$3,'Coeff EC7'!$T$39:$X$59,2,0)*EN27+VLOOKUP($B$3,'Coeff EC7'!$T$65:$X$85,2,0)*Model0.1C!EO27)/1.1</f>
        <v>#N/A</v>
      </c>
      <c r="EQ27" s="102" t="e">
        <f>(VLOOKUP($B$3,'Coeff EC7'!$T$39:$X$59,3,0)*EN27+VLOOKUP($B$3,'Coeff EC7'!$T$65:$X$85,3,0)*Model0.1C!EO27)/0.9</f>
        <v>#N/A</v>
      </c>
      <c r="ER27" s="102" t="e">
        <f t="shared" si="94"/>
        <v>#N/A</v>
      </c>
      <c r="ES27" s="102" t="e">
        <f t="shared" si="95"/>
        <v>#N/A</v>
      </c>
      <c r="ET27" s="414" t="e">
        <f>IF(ET26=0,0,IF(AND(EP27&gt;charge_ELS_quasi,EQ27&gt;Charge_ELS_freq,ER27&gt;charge_ELU,ES27&gt;charge_ELA,$B27&gt;NDC!$H$22-0.1+MIN(3*$ET$12,1.5)),0,1))</f>
        <v>#N/A</v>
      </c>
      <c r="EU27" s="86" t="b">
        <f t="shared" si="60"/>
        <v>0</v>
      </c>
      <c r="EV27" s="86">
        <f t="shared" si="61"/>
        <v>0.61</v>
      </c>
      <c r="EW27" s="86">
        <f t="shared" si="62"/>
        <v>0.61</v>
      </c>
      <c r="EX27" s="30" t="e">
        <f t="shared" ca="1" si="96"/>
        <v>#DIV/0!</v>
      </c>
      <c r="EY27" s="85" t="e">
        <f ca="1">IF(EE27&lt;=Hypothèses!$V$7,Hypothèses!$W$7,IF(EE27&lt;=Hypothèses!$V$8,Hypothèses!$W$8,IF(EE27&lt;=Hypothèses!$V$9,Hypothèses!$W$9,IF(EE27&lt;=Hypothèses!$V$10,Hypothèses!$W$10,IF(EE27&lt;=Hypothèses!$V$11,Hypothèses!$W$11,IF(EE27&lt;=Hypothèses!$V$12,Hypothèses!$W$12,IF(EE27&lt;=Hypothèses!$V$13,Hypothèses!$W$13,IF(EE27&lt;=Hypothèses!$V$14,Hypothèses!$W$14,IF(EE27&lt;=Hypothèses!$V$15,Hypothèses!$W$15,IF(EE27&lt;=Hypothèses!$V$16,Hypothèses!$W$16,IF(EE27&lt;=Hypothèses!$V$17,Hypothèses!$W$17,IF(EE27&lt;=Hypothèses!$V$18,Hypothèses!$W$18,""))))))))))))</f>
        <v>#DIV/0!</v>
      </c>
      <c r="EZ27" s="87" t="e">
        <f t="shared" ca="1" si="123"/>
        <v>#DIV/0!</v>
      </c>
      <c r="FA27" s="88" t="e">
        <f ca="1">IF(EE27&lt;=Hypothèses!$V$7,Hypothèses!$X$7,IF(EE27&lt;=Hypothèses!$V$8,Hypothèses!$X$8,IF(EE27&lt;=Hypothèses!$V$9,Hypothèses!$X$9,IF(EE27&lt;=Hypothèses!$V$10,Hypothèses!$X$10,IF(EE27&lt;=Hypothèses!$V$11,Hypothèses!$X$11,IF(EE27&lt;=Hypothèses!$V$12,Hypothèses!$X$12,IF(EE27&lt;=Hypothèses!$V$13,Hypothèses!$X$13,IF(EE27&lt;=Hypothèses!$V$14,Hypothèses!$X$14,IF(EE27&lt;=Hypothèses!$V$15,Hypothèses!$X$15,IF(EE27&lt;=Hypothèses!$V$16,Hypothèses!$X$16,IF(EE27&lt;=Hypothèses!$U$17,Hypothèses!$W$17,IF(EE27&lt;=Hypothèses!$U$18,Hypothèses!$W$18,""))))))))))))</f>
        <v>#DIV/0!</v>
      </c>
      <c r="FB27" s="95" t="e">
        <f t="shared" ca="1" si="97"/>
        <v>#DIV/0!</v>
      </c>
      <c r="FC27" s="101" t="e">
        <f t="shared" si="130"/>
        <v>#N/A</v>
      </c>
      <c r="FD27" s="91" t="e">
        <f t="shared" si="64"/>
        <v>#N/A</v>
      </c>
      <c r="FE27" s="30" t="e">
        <f t="shared" si="114"/>
        <v>#N/A</v>
      </c>
      <c r="FF27" s="30" t="e">
        <f t="shared" si="115"/>
        <v>#N/A</v>
      </c>
      <c r="FG27" s="31" t="e">
        <f>IF(OR(Hypothèses!$B$4=17,Hypothèses!$B$4=18,Hypothèses!$B$4=19,Hypothèses!$B$4=20),
IF($D27="Pressio.",
IF(OR($E27=3,$E27=1,$E27=4),FF27,FE27),
IF($D27="Pénétro.",
IF(OR($E27=3,$E27=1,$E27=4),FF27,FE27))),IF($D27="Pressio.",
IF($E27=3,FF27,FE27),
IF($D27="Pénétro.",
IF($E27=4,FF27,FE27))))</f>
        <v>#N/A</v>
      </c>
      <c r="FH27" s="31" t="e">
        <f>(IF(OR(Hypothèses!$B$4=17,Hypothèses!$B$4=18,Hypothèses!$B$4=19,Hypothèses!$B$4=20),
IF($D27="Pressio.",
IF(OR($E27=3,$E27=1,$E27=4),(PI()*FH$12^2)/4*(FD27*$W27*1000)/($H27*$B$5),(PI()*FH$12^2)/4*(FD27*$W27*1000)/($G27*$B$5)),
IF($D27="Pénétro.",
IF(OR($E27=4,$E27=1,$E27=5),(PI()*FH$12^2)/4*(FD27*$W27*1000)/($H27*$B$5),(PI()*FH$12^2)/4*(FD27*$W27*1000)/($G27*$B$5)))),
IF($D27="Pressio.",
IF($E27=3,(PI()*FH$12^2)/4*(FD27*$W27*1000)/($H27*$B$5),(PI()*FH$12^2)/4*(FD27*$W27*1000)/($G27*$B$5)),
IF($D27="Pénétro.",
IF($E27=4,(PI()*FH$12^2)/4*(FD27*$W27*1000)/($H27*$B$5),(PI()*FH$12^2)/4*(FD27*$W27*1000)/($G27*$B$5))))))/10</f>
        <v>#N/A</v>
      </c>
      <c r="FI27" s="102" t="e">
        <f>(VLOOKUP($B$3,'Coeff EC7'!$T$39:$X$59,2,0)*FG27+VLOOKUP($B$3,'Coeff EC7'!$T$65:$X$85,2,0)*Model0.1C!FH27)/1.1</f>
        <v>#N/A</v>
      </c>
      <c r="FJ27" s="102" t="e">
        <f>(VLOOKUP($B$3,'Coeff EC7'!$T$39:$X$59,3,0)*FG27+VLOOKUP($B$3,'Coeff EC7'!$T$65:$X$85,3,0)*Model0.1C!FH27)/0.9</f>
        <v>#N/A</v>
      </c>
      <c r="FK27" s="102" t="e">
        <f t="shared" si="98"/>
        <v>#N/A</v>
      </c>
      <c r="FL27" s="102" t="e">
        <f t="shared" si="99"/>
        <v>#N/A</v>
      </c>
      <c r="FM27" s="414" t="e">
        <f>IF(FM26=0,0,IF(AND(FI27&gt;charge_ELS_quasi,FJ27&gt;Charge_ELS_freq,FK27&gt;charge_ELU,FL27&gt;charge_ELA,$B27&gt;NDC!$H$22-0.1+MIN(3*$FM$12,1.5)),0,1))</f>
        <v>#N/A</v>
      </c>
    </row>
    <row r="28" spans="1:169">
      <c r="A28" s="96">
        <f t="shared" si="67"/>
        <v>98.500000000000085</v>
      </c>
      <c r="B28" s="97">
        <v>1.5</v>
      </c>
      <c r="C28" s="81">
        <f>IF(B28&lt;=Hypothèses!$C$7,Hypothèses!$A$7,IF(B28&lt;=Hypothèses!$C$8,Hypothèses!$A$8,IF(B28&lt;=Hypothèses!$C$9,Hypothèses!$A$9,IF(B28&lt;=Hypothèses!$C$10,Hypothèses!$A$10,IF(B28&lt;=Hypothèses!$C$11,Hypothèses!$A$11,IF(B28&lt;=Hypothèses!$C$12,Hypothèses!$A$12,IF(B28&lt;=Hypothèses!$C$13,Hypothèses!$A$13,IF(B28&lt;=Hypothèses!$C$14,Hypothèses!$A$14,IF(B28&lt;=Hypothèses!$C$15,Hypothèses!$A$15,IF(B28&lt;=Hypothèses!$C$16,Hypothèses!$A$16,IF(B28&lt;=Hypothèses!$C$17,Hypothèses!$A$17,IF(B28&lt;=Hypothèses!$C$18,Hypothèses!$A$18,C27))))))))))))</f>
        <v>11</v>
      </c>
      <c r="D28" s="82" t="str">
        <f>IF(B28&lt;=Hypothèses!$C$7,Hypothèses!$R$7,IF(B28&lt;=Hypothèses!$C$8,Hypothèses!$R$8,IF(B28&lt;=Hypothèses!$C$9,Hypothèses!$R$9,IF(B28&lt;=Hypothèses!$C$10,Hypothèses!$R$10,IF(B28&lt;=Hypothèses!$C$11,Hypothèses!$R$11,IF(B28&lt;=Hypothèses!$C$12,Hypothèses!$R$12,IF(B28&lt;=Hypothèses!$C$13,Hypothèses!$R$13,IF(B28&lt;=Hypothèses!$C$14,Hypothèses!$R$14,IF(B28&lt;=Hypothèses!$C$15,Hypothèses!$R$15,IF(B28&lt;=Hypothèses!$C$16,Hypothèses!$R$16,IF(B28&lt;=Hypothèses!$C$17,Hypothèses!$R$17,IF(B28&lt;=Hypothèses!$C$18,Hypothèses!$R$18,D27))))))))))))</f>
        <v>Pressio.</v>
      </c>
      <c r="E28" s="82" t="e">
        <f>IF(B28&lt;=Hypothèses!$C$7,Hypothèses!$G$7,IF(B28&lt;=Hypothèses!$C$8,Hypothèses!$G$8,IF(B28&lt;=Hypothèses!$C$9,Hypothèses!$G$9,IF(B28&lt;=Hypothèses!$C$10,Hypothèses!$G$10,IF(B28&lt;=Hypothèses!$C$11,Hypothèses!$G$11,IF(B28&lt;=Hypothèses!$C$12,Hypothèses!$G$12,IF(B28&lt;=Hypothèses!$C$13,Hypothèses!$G$13,IF(B28&lt;=Hypothèses!$C$14,Hypothèses!$G$14,IF(B28&lt;=Hypothèses!$C$15,Hypothèses!$G$15,IF(B28&lt;=Hypothèses!$C$16,Hypothèses!$G$16,IF(B28&lt;=Hypothèses!$C$17,Hypothèses!$G$17,IF(B28&lt;=Hypothèses!$C$18,Hypothèses!$G$18,E27))))))))))))</f>
        <v>#N/A</v>
      </c>
      <c r="F28" s="82" t="str">
        <f>IF(B28&lt;=Hypothèses!$C$7,Hypothèses!$F$7,IF(B28&lt;=Hypothèses!$C$8,Hypothèses!$F$8,IF(B28&lt;=Hypothèses!$C$9,Hypothèses!$F$9,IF(B28&lt;=Hypothèses!$C$10,Hypothèses!$F$10,IF(B28&lt;=Hypothèses!$C$11,Hypothèses!$F$11,IF(B28&lt;=Hypothèses!$C$12,Hypothèses!$F$12,IF(B28&lt;=Hypothèses!$C$13,Hypothèses!$F$13,IF(B28&lt;=Hypothèses!$C$14,Hypothèses!$F$14,IF(B28&lt;=Hypothèses!$C$15,Hypothèses!$F$15,IF(B28&lt;=Hypothèses!$C$16,Hypothèses!$F$16,IF(B28&lt;=Hypothèses!$C$17,Hypothèses!$F$17,IF(B28&lt;=Hypothèses!$C$18,Hypothèses!$F$18,F27))))))))))))</f>
        <v/>
      </c>
      <c r="G28" s="91">
        <f t="array" ref="G28">INDEX('Coeff EC7'!$U$7:$X$27,
MATCH(Model0.1C!$B$3,'Coeff EC7'!$T$7:$T$27,0),
MATCH(Model0.1C!$D28&amp;Model0.1C!$B$4,
'Coeff EC7'!$U$6:$X$6&amp;
'Coeff EC7'!$U$5:$X$5,0))</f>
        <v>1.1499999999999999</v>
      </c>
      <c r="H28" s="91">
        <f t="array" ref="H28">INDEX('Coeff EC7'!$Y$7:$AB$27,
MATCH(Model0.1C!$B$3,'Coeff EC7'!$T$7:$T$27,0),
MATCH(Model0.1C!$D28&amp;Model0.1C!$B$4,
'Coeff EC7'!$Y$6:$AB$6&amp;
'Coeff EC7'!$Y$5:$AB$5,0))</f>
        <v>1.4</v>
      </c>
      <c r="I28" s="83" t="e">
        <f>IF(B28&lt;=Hypothèses!$C$7,Hypothèses!$P$7,IF(B28&lt;=Hypothèses!$C$8,Hypothèses!$P$8,IF(B28&lt;=Hypothèses!$C$9,Hypothèses!$P$9,IF(B28&lt;=Hypothèses!$C$10,Hypothèses!$P$10,IF(B28&lt;=Hypothèses!$C$11,Hypothèses!$P$11,IF(B28&lt;=Hypothèses!$C$12,Hypothèses!$P$12,IF(B28&lt;=Hypothèses!$C$13,Hypothèses!$P$13,IF(B28&lt;=Hypothèses!$C$14,Hypothèses!$P$14,IF(B28&lt;=Hypothèses!$C$15,Hypothèses!$P$15,IF(B28&lt;=Hypothèses!$C$16,Hypothèses!$P$16,IF(B28&lt;=Hypothèses!$C$17,Hypothèses!$P$17,IF(B28&lt;=Hypothèses!$C$18,Hypothèses!$P$18,I27))))))))))))</f>
        <v>#N/A</v>
      </c>
      <c r="J28" s="91" t="e">
        <f t="array" ref="J28">INDEX('Coeff EC7'!$D$33:$Q$33,1,MATCH(D28&amp;E28,'Coeff EC7'!$D$31:$Q$31&amp;'Coeff EC7'!$D$32:$Q$32,0))</f>
        <v>#N/A</v>
      </c>
      <c r="K28" s="91" t="e">
        <f t="array" ref="K28">INDEX('Coeff EC7'!$D$34:$Q$34,1,MATCH(D28&amp;E28,'Coeff EC7'!$D$31:$Q$31&amp;'Coeff EC7'!$D$32:$Q$32,0))</f>
        <v>#N/A</v>
      </c>
      <c r="L28" s="91" t="e">
        <f t="array" ref="L28">INDEX('Coeff EC7'!$D$35:$Q$35,1,MATCH(D28&amp;E28,'Coeff EC7'!$D$31:$Q$31&amp;'Coeff EC7'!$D$32:$Q$32,0))</f>
        <v>#N/A</v>
      </c>
      <c r="M28" s="98" t="e">
        <f t="shared" si="8"/>
        <v>#N/A</v>
      </c>
      <c r="N28" s="99" t="e">
        <f t="array" ref="N28">INDEX('Coeff EC7'!$D$7:$Q$27,MATCH($B$3,'Coeff EC7'!$C$7:$C$27,0),MATCH(D28&amp;E28,'Coeff EC7'!$D$5:$Q$5&amp;'Coeff EC7'!$D$6:$Q$6,0))</f>
        <v>#N/A</v>
      </c>
      <c r="O28" s="99" t="e">
        <f t="array" ref="O28">INDEX('Coeff EC7'!$D$41:$Q$61,MATCH($B$3,'Coeff EC7'!$C$41:$C$61,0),MATCH(D28&amp;E28,'Coeff EC7'!$D$39:$Q$39&amp;'Coeff EC7'!$D$40:$Q$40,0))</f>
        <v>#N/A</v>
      </c>
      <c r="P28" s="30" t="e">
        <f t="shared" si="68"/>
        <v>#N/A</v>
      </c>
      <c r="Q28" s="100" t="e">
        <f t="shared" si="10"/>
        <v>#N/A</v>
      </c>
      <c r="R28" s="86" t="b">
        <f t="shared" si="11"/>
        <v>0</v>
      </c>
      <c r="S28" s="86">
        <f t="shared" si="9"/>
        <v>0.5</v>
      </c>
      <c r="T28" s="86">
        <f t="shared" si="12"/>
        <v>0.5</v>
      </c>
      <c r="U28" s="30" t="e">
        <f t="shared" ca="1" si="69"/>
        <v>#DIV/0!</v>
      </c>
      <c r="V28" s="85" t="str">
        <f>IF(B28&lt;=Hypothèses!$V$7,Hypothèses!$W$7,IF(B28&lt;=Hypothèses!$V$8,Hypothèses!$W$8,IF(B28&lt;=Hypothèses!$V$9,Hypothèses!$W$9,IF(B28&lt;=Hypothèses!$V$10,Hypothèses!$W$10,IF(B28&lt;=Hypothèses!$V$11,Hypothèses!$W$11,IF(B28&lt;=Hypothèses!$V$12,Hypothèses!$W$12,IF(B28&lt;=Hypothèses!$V$13,Hypothèses!$W$13,IF(B28&lt;=Hypothèses!$V$14,Hypothèses!$W$14,IF(B28&lt;=Hypothèses!$V$15,Hypothèses!$W$15,IF(B28&lt;=Hypothèses!$V$16,Hypothèses!$W$16,IF(B28&lt;=Hypothèses!$V$17,Hypothèses!$W$17,IF(B28&lt;=Hypothèses!$V$18,Hypothèses!$W$18,""))))))))))))</f>
        <v/>
      </c>
      <c r="W28" s="87" t="e">
        <f t="shared" ca="1" si="116"/>
        <v>#DIV/0!</v>
      </c>
      <c r="X28" s="88" t="str">
        <f>IF(B28&lt;=Hypothèses!$V$7,Hypothèses!$X$7,IF(B28&lt;=Hypothèses!$V$8,Hypothèses!$X$8,IF(B28&lt;=Hypothèses!$V$9,Hypothèses!$X$9,IF(B28&lt;=Hypothèses!$V$10,Hypothèses!$X$10,IF(B28&lt;=Hypothèses!$V$11,Hypothèses!$X$11,IF(B28&lt;=Hypothèses!$V$12,Hypothèses!$X$12,IF(B28&lt;=Hypothèses!$V$13,Hypothèses!$X$13,IF(B28&lt;=Hypothèses!$V$14,Hypothèses!$X$14,IF(B28&lt;=Hypothèses!$V$15,Hypothèses!$X$15,IF(B28&lt;=Hypothèses!$V$16,Hypothèses!$X$16,IF(B28&lt;=Hypothèses!$U$17,Hypothèses!$W$17,IF(B28&lt;=Hypothèses!$U$18,Hypothèses!$W$18,""))))))))))))</f>
        <v/>
      </c>
      <c r="Y28" s="95" t="e">
        <f t="shared" ca="1" si="13"/>
        <v>#DIV/0!</v>
      </c>
      <c r="Z28" s="101" t="e">
        <f t="shared" si="14"/>
        <v>#N/A</v>
      </c>
      <c r="AA28" s="91" t="e">
        <f t="shared" si="15"/>
        <v>#N/A</v>
      </c>
      <c r="AB28" s="30" t="e">
        <f t="shared" si="100"/>
        <v>#N/A</v>
      </c>
      <c r="AC28" s="30" t="e">
        <f t="shared" si="101"/>
        <v>#N/A</v>
      </c>
      <c r="AD28" s="31" t="e">
        <f>IF(OR(Hypothèses!$B$4=17,Hypothèses!$B$4=18,Hypothèses!$B$4=19,Hypothèses!$B$4=20),
IF($D28="Pressio.",
IF(OR($E28=3,$E28=1,$E28=4),AC28,AB28),
IF($D28="Pénétro.",
IF(OR($E28=3,$E28=1,$E28=4),AC28,AB28))),IF($D28="Pressio.",
IF($E28=3,AC28,AB28),
IF($D28="Pénétro.",
IF($E28=4,AC28,AB28))))</f>
        <v>#N/A</v>
      </c>
      <c r="AE28" s="31" t="e">
        <f>(IF(OR(Hypothèses!$B$4=17,Hypothèses!$B$4=18,Hypothèses!$B$4=19,Hypothèses!$B$4=20),
IF($D28="Pressio.",
IF(OR($E28=3,$E28=1,$E28=4),(PI()*AE$12^2)/4*(AA28*$W28*1000)/($H28*$B$5),(PI()*AE$12^2)/4*(AA28*$W28*1000)/($G28*$B$5)),
IF($D28="Pénétro.",
IF(OR($E28=4,$E28=1,$E28=5),(PI()*AE$12^2)/4*(AA28*$W28*1000)/($H28*$B$5),(PI()*AE$12^2)/4*(AA28*$W28*1000)/($G28*$B$5)))),
IF($D28="Pressio.",
IF($E28=3,(PI()*AE$12^2)/4*(AA28*$W28*1000)/($H28*$B$5),(PI()*AE$12^2)/4*(AA28*$W28*1000)/($G28*$B$5)),
IF($D28="Pénétro.",
IF($E28=4,(PI()*AE$12^2)/4*(AA28*$W28*1000)/($H28*$B$5),(PI()*AE$12^2)/4*(AA28*$W28*1000)/($G28*$B$5))))))/10</f>
        <v>#N/A</v>
      </c>
      <c r="AF28" s="102" t="e">
        <f>(VLOOKUP($B$3,'Coeff EC7'!$T$39:$X$59,2,0)*AD28+VLOOKUP($B$3,'Coeff EC7'!$T$65:$X$85,2,0)*Model0.1C!AE28)/1.1</f>
        <v>#N/A</v>
      </c>
      <c r="AG28" s="102" t="e">
        <f>(VLOOKUP($B$3,'Coeff EC7'!$T$39:$X$59,3,0)*AD28+VLOOKUP($B$3,'Coeff EC7'!$T$65:$X$85,3,0)*Model0.1C!AE28)/0.9</f>
        <v>#N/A</v>
      </c>
      <c r="AH28" s="102" t="e">
        <f t="shared" si="18"/>
        <v>#N/A</v>
      </c>
      <c r="AI28" s="102" t="e">
        <f t="shared" si="19"/>
        <v>#N/A</v>
      </c>
      <c r="AJ28" s="414" t="e">
        <f>IF(AJ27=0,0,IF(AND(AF28&gt;charge_ELS_quasi,AG28&gt;Charge_ELS_freq,AH28&gt;charge_ELU,AI28&gt;charge_ELA,$B28&gt;NDC!$H$22-0.1+MIN(3*$AJ$12,1.5)),0,1))</f>
        <v>#N/A</v>
      </c>
      <c r="AK28" s="86" t="b">
        <f t="shared" si="20"/>
        <v>0</v>
      </c>
      <c r="AL28" s="86">
        <f t="shared" si="70"/>
        <v>0.5</v>
      </c>
      <c r="AM28" s="86">
        <f t="shared" si="21"/>
        <v>0.5</v>
      </c>
      <c r="AN28" s="30" t="e">
        <f t="shared" ca="1" si="71"/>
        <v>#DIV/0!</v>
      </c>
      <c r="AO28" s="85" t="e">
        <f ca="1">IF(U28&lt;=Hypothèses!$V$7,Hypothèses!$W$7,IF(U28&lt;=Hypothèses!$V$8,Hypothèses!$W$8,IF(U28&lt;=Hypothèses!$V$9,Hypothèses!$W$9,IF(U28&lt;=Hypothèses!$V$10,Hypothèses!$W$10,IF(U28&lt;=Hypothèses!$V$11,Hypothèses!$W$11,IF(U28&lt;=Hypothèses!$V$12,Hypothèses!$W$12,IF(U28&lt;=Hypothèses!$V$13,Hypothèses!$W$13,IF(U28&lt;=Hypothèses!$V$14,Hypothèses!$W$14,IF(U28&lt;=Hypothèses!$V$15,Hypothèses!$W$15,IF(U28&lt;=Hypothèses!$V$16,Hypothèses!$W$16,IF(U28&lt;=Hypothèses!$V$17,Hypothèses!$W$17,IF(U28&lt;=Hypothèses!$V$18,Hypothèses!$W$18,""))))))))))))</f>
        <v>#DIV/0!</v>
      </c>
      <c r="AP28" s="87" t="e">
        <f t="shared" ca="1" si="117"/>
        <v>#DIV/0!</v>
      </c>
      <c r="AQ28" s="88" t="e">
        <f ca="1">IF(U28&lt;=Hypothèses!$V$7,Hypothèses!$X$7,IF(U28&lt;=Hypothèses!$V$8,Hypothèses!$X$8,IF(U28&lt;=Hypothèses!$V$9,Hypothèses!$X$9,IF(U28&lt;=Hypothèses!$V$10,Hypothèses!$X$10,IF(U28&lt;=Hypothèses!$V$11,Hypothèses!$X$11,IF(U28&lt;=Hypothèses!$V$12,Hypothèses!$X$12,IF(U28&lt;=Hypothèses!$V$13,Hypothèses!$X$13,IF(U28&lt;=Hypothèses!$V$14,Hypothèses!$X$14,IF(U28&lt;=Hypothèses!$V$15,Hypothèses!$X$15,IF(U28&lt;=Hypothèses!$V$16,Hypothèses!$X$16,IF(U28&lt;=Hypothèses!$U$17,Hypothèses!$W$17,IF(U28&lt;=Hypothèses!$U$18,Hypothèses!$W$18,""))))))))))))</f>
        <v>#DIV/0!</v>
      </c>
      <c r="AR28" s="95" t="e">
        <f t="shared" ca="1" si="72"/>
        <v>#DIV/0!</v>
      </c>
      <c r="AS28" s="101" t="e">
        <f t="shared" si="124"/>
        <v>#N/A</v>
      </c>
      <c r="AT28" s="91" t="e">
        <f t="shared" si="23"/>
        <v>#N/A</v>
      </c>
      <c r="AU28" s="30" t="e">
        <f t="shared" si="102"/>
        <v>#N/A</v>
      </c>
      <c r="AV28" s="30" t="e">
        <f t="shared" si="103"/>
        <v>#N/A</v>
      </c>
      <c r="AW28" s="31" t="e">
        <f>IF(OR(Hypothèses!$B$4=17,Hypothèses!$B$4=18,Hypothèses!$B$4=19,Hypothèses!$B$4=20),
IF($D28="Pressio.",
IF(OR($E28=3,$E28=1,$E28=4),AV28,AU28),
IF($D28="Pénétro.",
IF(OR($E28=3,$E28=1,$E28=4),AV28,AU28))),IF($D28="Pressio.",
IF($E28=3,AV28,AU28),
IF($D28="Pénétro.",
IF($E28=4,AV28,AU28))))</f>
        <v>#N/A</v>
      </c>
      <c r="AX28" s="31" t="e">
        <f>(IF(OR(Hypothèses!$B$4=17,Hypothèses!$B$4=18,Hypothèses!$B$4=19,Hypothèses!$B$4=20),
IF($D28="Pressio.",
IF(OR($E28=3,$E28=1,$E28=4),(PI()*AX$12^2)/4*(AT28*$W28*1000)/($H28*$B$5),(PI()*AX$12^2)/4*(AT28*$W28*1000)/($G28*$B$5)),
IF($D28="Pénétro.",
IF(OR($E28=4,$E28=1,$E28=5),(PI()*AX$12^2)/4*(AT28*$W28*1000)/($H28*$B$5),(PI()*AX$12^2)/4*(AT28*$W28*1000)/($G28*$B$5)))),
IF($D28="Pressio.",
IF($E28=3,(PI()*AX$12^2)/4*(AT28*$W28*1000)/($H28*$B$5),(PI()*AX$12^2)/4*(AT28*$W28*1000)/($G28*$B$5)),
IF($D28="Pénétro.",
IF($E28=4,(PI()*AX$12^2)/4*(AT28*$W28*1000)/($H28*$B$5),(PI()*AX$12^2)/4*(AT28*$W28*1000)/($G28*$B$5))))))/10</f>
        <v>#N/A</v>
      </c>
      <c r="AY28" s="102" t="e">
        <f>(VLOOKUP($B$3,'Coeff EC7'!$T$39:$X$59,2,0)*AW28+VLOOKUP($B$3,'Coeff EC7'!$T$65:$X$85,2,0)*Model0.1C!AX28)/1.1</f>
        <v>#N/A</v>
      </c>
      <c r="AZ28" s="102" t="e">
        <f>(VLOOKUP($B$3,'Coeff EC7'!$T$39:$X$59,3,0)*AW28+VLOOKUP($B$3,'Coeff EC7'!$T$65:$X$85,3,0)*Model0.1C!AX28)/0.9</f>
        <v>#N/A</v>
      </c>
      <c r="BA28" s="102" t="e">
        <f t="shared" si="73"/>
        <v>#N/A</v>
      </c>
      <c r="BB28" s="102" t="e">
        <f t="shared" si="74"/>
        <v>#N/A</v>
      </c>
      <c r="BC28" s="414" t="e">
        <f>IF(BC27=0,0,IF(AND(AY28&gt;charge_ELS_quasi,AZ28&gt;Charge_ELS_freq,BA28&gt;charge_ELU,BB28&gt;charge_ELA,$B28&gt;NDC!$H$22-0.1+MIN(3*$BC$12,1.5)),0,1))</f>
        <v>#N/A</v>
      </c>
      <c r="BD28" s="86" t="b">
        <f t="shared" si="26"/>
        <v>0</v>
      </c>
      <c r="BE28" s="86">
        <f t="shared" si="75"/>
        <v>0.5</v>
      </c>
      <c r="BF28" s="86">
        <f t="shared" si="27"/>
        <v>0.5</v>
      </c>
      <c r="BG28" s="30" t="e">
        <f t="shared" ca="1" si="76"/>
        <v>#DIV/0!</v>
      </c>
      <c r="BH28" s="85" t="e">
        <f ca="1">IF(AN28&lt;=Hypothèses!$V$7,Hypothèses!$W$7,IF(AN28&lt;=Hypothèses!$V$8,Hypothèses!$W$8,IF(AN28&lt;=Hypothèses!$V$9,Hypothèses!$W$9,IF(AN28&lt;=Hypothèses!$V$10,Hypothèses!$W$10,IF(AN28&lt;=Hypothèses!$V$11,Hypothèses!$W$11,IF(AN28&lt;=Hypothèses!$V$12,Hypothèses!$W$12,IF(AN28&lt;=Hypothèses!$V$13,Hypothèses!$W$13,IF(AN28&lt;=Hypothèses!$V$14,Hypothèses!$W$14,IF(AN28&lt;=Hypothèses!$V$15,Hypothèses!$W$15,IF(AN28&lt;=Hypothèses!$V$16,Hypothèses!$W$16,IF(AN28&lt;=Hypothèses!$V$17,Hypothèses!$W$17,IF(AN28&lt;=Hypothèses!$V$18,Hypothèses!$W$18,""))))))))))))</f>
        <v>#DIV/0!</v>
      </c>
      <c r="BI28" s="87" t="e">
        <f t="shared" ca="1" si="118"/>
        <v>#DIV/0!</v>
      </c>
      <c r="BJ28" s="88" t="e">
        <f ca="1">IF(AN28&lt;=Hypothèses!$V$7,Hypothèses!$X$7,IF(AN28&lt;=Hypothèses!$V$8,Hypothèses!$X$8,IF(AN28&lt;=Hypothèses!$V$9,Hypothèses!$X$9,IF(AN28&lt;=Hypothèses!$V$10,Hypothèses!$X$10,IF(AN28&lt;=Hypothèses!$V$11,Hypothèses!$X$11,IF(AN28&lt;=Hypothèses!$V$12,Hypothèses!$X$12,IF(AN28&lt;=Hypothèses!$V$13,Hypothèses!$X$13,IF(AN28&lt;=Hypothèses!$V$14,Hypothèses!$X$14,IF(AN28&lt;=Hypothèses!$V$15,Hypothèses!$X$15,IF(AN28&lt;=Hypothèses!$V$16,Hypothèses!$X$16,IF(AN28&lt;=Hypothèses!$U$17,Hypothèses!$W$17,IF(AN28&lt;=Hypothèses!$U$18,Hypothèses!$W$18,""))))))))))))</f>
        <v>#DIV/0!</v>
      </c>
      <c r="BK28" s="95" t="e">
        <f t="shared" ca="1" si="77"/>
        <v>#DIV/0!</v>
      </c>
      <c r="BL28" s="101" t="e">
        <f t="shared" si="125"/>
        <v>#N/A</v>
      </c>
      <c r="BM28" s="91" t="e">
        <f t="shared" si="29"/>
        <v>#N/A</v>
      </c>
      <c r="BN28" s="30" t="e">
        <f t="shared" si="104"/>
        <v>#N/A</v>
      </c>
      <c r="BO28" s="30" t="e">
        <f t="shared" si="105"/>
        <v>#N/A</v>
      </c>
      <c r="BP28" s="31" t="e">
        <f>IF(OR(Hypothèses!$B$4=17,Hypothèses!$B$4=18,Hypothèses!$B$4=19,Hypothèses!$B$4=20),
IF($D28="Pressio.",
IF(OR($E28=3,$E28=1,$E28=4),BO28,BN28),
IF($D28="Pénétro.",
IF(OR($E28=3,$E28=1,$E28=4),BO28,BN28))),IF($D28="Pressio.",
IF($E28=3,BO28,BN28),
IF($D28="Pénétro.",
IF($E28=4,BO28,BN28))))</f>
        <v>#N/A</v>
      </c>
      <c r="BQ28" s="31" t="e">
        <f>(IF(OR(Hypothèses!$B$4=17,Hypothèses!$B$4=18,Hypothèses!$B$4=19,Hypothèses!$B$4=20),
IF($D28="Pressio.",
IF(OR($E28=3,$E28=1,$E28=4),(PI()*BQ$12^2)/4*(BM28*$W28*1000)/($H28*$B$5),(PI()*BQ$12^2)/4*(BM28*$W28*1000)/($G28*$B$5)),
IF($D28="Pénétro.",
IF(OR($E28=4,$E28=1,$E28=5),(PI()*BQ$12^2)/4*(BM28*$W28*1000)/($H28*$B$5),(PI()*BQ$12^2)/4*(BM28*$W28*1000)/($G28*$B$5)))),
IF($D28="Pressio.",
IF($E28=3,(PI()*BQ$12^2)/4*(BM28*$W28*1000)/($H28*$B$5),(PI()*BQ$12^2)/4*(BM28*$W28*1000)/($G28*$B$5)),
IF($D28="Pénétro.",
IF($E28=4,(PI()*BQ$12^2)/4*(BM28*$W28*1000)/($H28*$B$5),(PI()*BQ$12^2)/4*(BM28*$W28*1000)/($G28*$B$5))))))/10</f>
        <v>#N/A</v>
      </c>
      <c r="BR28" s="102" t="e">
        <f>(VLOOKUP($B$3,'Coeff EC7'!$T$39:$X$59,2,0)*BP28+VLOOKUP($B$3,'Coeff EC7'!$T$65:$X$85,2,0)*Model0.1C!BQ28)/1.1</f>
        <v>#N/A</v>
      </c>
      <c r="BS28" s="102" t="e">
        <f>(VLOOKUP($B$3,'Coeff EC7'!$T$39:$X$59,3,0)*BP28+VLOOKUP($B$3,'Coeff EC7'!$T$65:$X$85,3,0)*Model0.1C!BQ28)/0.9</f>
        <v>#N/A</v>
      </c>
      <c r="BT28" s="102" t="e">
        <f t="shared" si="78"/>
        <v>#N/A</v>
      </c>
      <c r="BU28" s="102" t="e">
        <f t="shared" si="79"/>
        <v>#N/A</v>
      </c>
      <c r="BV28" s="414" t="e">
        <f>IF(BV27=0,0,IF(AND(BR28&gt;charge_ELS_quasi,BS28&gt;Charge_ELS_freq,BT28&gt;charge_ELU,BU28&gt;charge_ELA,$B28&gt;NDC!$H$22-0.1+MIN(3*$BV$12,1.5)),0,1))</f>
        <v>#N/A</v>
      </c>
      <c r="BW28" s="86" t="b">
        <f t="shared" si="32"/>
        <v>0</v>
      </c>
      <c r="BX28" s="86">
        <f t="shared" si="33"/>
        <v>0.5</v>
      </c>
      <c r="BY28" s="86">
        <f t="shared" si="34"/>
        <v>0.5</v>
      </c>
      <c r="BZ28" s="30" t="e">
        <f t="shared" ca="1" si="80"/>
        <v>#DIV/0!</v>
      </c>
      <c r="CA28" s="85" t="e">
        <f ca="1">IF(BG28&lt;=Hypothèses!$V$7,Hypothèses!$W$7,IF(BG28&lt;=Hypothèses!$V$8,Hypothèses!$W$8,IF(BG28&lt;=Hypothèses!$V$9,Hypothèses!$W$9,IF(BG28&lt;=Hypothèses!$V$10,Hypothèses!$W$10,IF(BG28&lt;=Hypothèses!$V$11,Hypothèses!$W$11,IF(BG28&lt;=Hypothèses!$V$12,Hypothèses!$W$12,IF(BG28&lt;=Hypothèses!$V$13,Hypothèses!$W$13,IF(BG28&lt;=Hypothèses!$V$14,Hypothèses!$W$14,IF(BG28&lt;=Hypothèses!$V$15,Hypothèses!$W$15,IF(BG28&lt;=Hypothèses!$V$16,Hypothèses!$W$16,IF(BG28&lt;=Hypothèses!$V$17,Hypothèses!$W$17,IF(BG28&lt;=Hypothèses!$V$18,Hypothèses!$W$18,""))))))))))))</f>
        <v>#DIV/0!</v>
      </c>
      <c r="CB28" s="87" t="e">
        <f t="shared" ca="1" si="119"/>
        <v>#DIV/0!</v>
      </c>
      <c r="CC28" s="88" t="e">
        <f ca="1">IF(BG28&lt;=Hypothèses!$V$7,Hypothèses!$X$7,IF(BG28&lt;=Hypothèses!$V$8,Hypothèses!$X$8,IF(BG28&lt;=Hypothèses!$V$9,Hypothèses!$X$9,IF(BG28&lt;=Hypothèses!$V$10,Hypothèses!$X$10,IF(BG28&lt;=Hypothèses!$V$11,Hypothèses!$X$11,IF(BG28&lt;=Hypothèses!$V$12,Hypothèses!$X$12,IF(BG28&lt;=Hypothèses!$V$13,Hypothèses!$X$13,IF(BG28&lt;=Hypothèses!$V$14,Hypothèses!$X$14,IF(BG28&lt;=Hypothèses!$V$15,Hypothèses!$X$15,IF(BG28&lt;=Hypothèses!$V$16,Hypothèses!$X$16,IF(BG28&lt;=Hypothèses!$U$17,Hypothèses!$W$17,IF(BG28&lt;=Hypothèses!$U$18,Hypothèses!$W$18,""))))))))))))</f>
        <v>#DIV/0!</v>
      </c>
      <c r="CD28" s="95" t="e">
        <f t="shared" ca="1" si="81"/>
        <v>#DIV/0!</v>
      </c>
      <c r="CE28" s="101" t="e">
        <f t="shared" si="126"/>
        <v>#N/A</v>
      </c>
      <c r="CF28" s="91" t="e">
        <f t="shared" si="36"/>
        <v>#N/A</v>
      </c>
      <c r="CG28" s="30" t="e">
        <f t="shared" si="106"/>
        <v>#N/A</v>
      </c>
      <c r="CH28" s="30" t="e">
        <f t="shared" si="107"/>
        <v>#N/A</v>
      </c>
      <c r="CI28" s="31" t="e">
        <f>IF(OR(Hypothèses!$B$4=17,Hypothèses!$B$4=18,Hypothèses!$B$4=19,Hypothèses!$B$4=20),
IF($D28="Pressio.",
IF(OR($E28=3,$E28=1,$E28=4),CH28,CG28),
IF($D28="Pénétro.",
IF(OR($E28=3,$E28=1,$E28=4),CH28,CG28))),IF($D28="Pressio.",
IF($E28=3,CH28,CG28),
IF($D28="Pénétro.",
IF($E28=4,CH28,CG28))))</f>
        <v>#N/A</v>
      </c>
      <c r="CJ28" s="31" t="e">
        <f>(IF(OR(Hypothèses!$B$4=17,Hypothèses!$B$4=18,Hypothèses!$B$4=19,Hypothèses!$B$4=20),
IF($D28="Pressio.",
IF(OR($E28=3,$E28=1,$E28=4),(PI()*CJ$12^2)/4*(CF28*$W28*1000)/($H28*$B$5),(PI()*CJ$12^2)/4*(CF28*$W28*1000)/($G28*$B$5)),
IF($D28="Pénétro.",
IF(OR($E28=4,$E28=1,$E28=5),(PI()*CJ$12^2)/4*(CF28*$W28*1000)/($H28*$B$5),(PI()*CJ$12^2)/4*(CF28*$W28*1000)/($G28*$B$5)))),
IF($D28="Pressio.",
IF($E28=3,(PI()*CJ$12^2)/4*(CF28*$W28*1000)/($H28*$B$5),(PI()*CJ$12^2)/4*(CF28*$W28*1000)/($G28*$B$5)),
IF($D28="Pénétro.",
IF($E28=4,(PI()*CJ$12^2)/4*(CF28*$W28*1000)/($H28*$B$5),(PI()*CJ$12^2)/4*(CF28*$W28*1000)/($G28*$B$5))))))/10</f>
        <v>#N/A</v>
      </c>
      <c r="CK28" s="102" t="e">
        <f>(VLOOKUP($B$3,'Coeff EC7'!$T$39:$X$59,2,0)*CI28+VLOOKUP($B$3,'Coeff EC7'!$T$65:$X$85,2,0)*Model0.1C!CJ28)/1.1</f>
        <v>#N/A</v>
      </c>
      <c r="CL28" s="102" t="e">
        <f>(VLOOKUP($B$3,'Coeff EC7'!$T$39:$X$59,3,0)*CI28+VLOOKUP($B$3,'Coeff EC7'!$T$65:$X$85,3,0)*Model0.1C!CJ28)/0.9</f>
        <v>#N/A</v>
      </c>
      <c r="CM28" s="102" t="e">
        <f t="shared" si="82"/>
        <v>#N/A</v>
      </c>
      <c r="CN28" s="102" t="e">
        <f t="shared" si="83"/>
        <v>#N/A</v>
      </c>
      <c r="CO28" s="414" t="e">
        <f>IF(CO27=0,0,IF(AND(CK28&gt;charge_ELS_quasi,CL28&gt;Charge_ELS_freq,CM28&gt;charge_ELU,CN28&gt;charge_ELA,$B28&gt;NDC!$H$22-0.1+MIN(3*$CO$12,1.5)),0,1))</f>
        <v>#N/A</v>
      </c>
      <c r="CP28" s="86" t="b">
        <f t="shared" si="39"/>
        <v>0</v>
      </c>
      <c r="CQ28" s="86">
        <f t="shared" si="40"/>
        <v>0.5</v>
      </c>
      <c r="CR28" s="86">
        <f t="shared" si="41"/>
        <v>0.5</v>
      </c>
      <c r="CS28" s="30" t="e">
        <f t="shared" ca="1" si="84"/>
        <v>#DIV/0!</v>
      </c>
      <c r="CT28" s="85" t="e">
        <f ca="1">IF(BZ28&lt;=Hypothèses!$V$7,Hypothèses!$W$7,IF(BZ28&lt;=Hypothèses!$V$8,Hypothèses!$W$8,IF(BZ28&lt;=Hypothèses!$V$9,Hypothèses!$W$9,IF(BZ28&lt;=Hypothèses!$V$10,Hypothèses!$W$10,IF(BZ28&lt;=Hypothèses!$V$11,Hypothèses!$W$11,IF(BZ28&lt;=Hypothèses!$V$12,Hypothèses!$W$12,IF(BZ28&lt;=Hypothèses!$V$13,Hypothèses!$W$13,IF(BZ28&lt;=Hypothèses!$V$14,Hypothèses!$W$14,IF(BZ28&lt;=Hypothèses!$V$15,Hypothèses!$W$15,IF(BZ28&lt;=Hypothèses!$V$16,Hypothèses!$W$16,IF(BZ28&lt;=Hypothèses!$V$17,Hypothèses!$W$17,IF(BZ28&lt;=Hypothèses!$V$18,Hypothèses!$W$18,""))))))))))))</f>
        <v>#DIV/0!</v>
      </c>
      <c r="CU28" s="87" t="e">
        <f t="shared" ca="1" si="120"/>
        <v>#DIV/0!</v>
      </c>
      <c r="CV28" s="88" t="e">
        <f ca="1">IF(BZ28&lt;=Hypothèses!$V$7,Hypothèses!$X$7,IF(BZ28&lt;=Hypothèses!$V$8,Hypothèses!$X$8,IF(BZ28&lt;=Hypothèses!$V$9,Hypothèses!$X$9,IF(BZ28&lt;=Hypothèses!$V$10,Hypothèses!$X$10,IF(BZ28&lt;=Hypothèses!$V$11,Hypothèses!$X$11,IF(BZ28&lt;=Hypothèses!$V$12,Hypothèses!$X$12,IF(BZ28&lt;=Hypothèses!$V$13,Hypothèses!$X$13,IF(BZ28&lt;=Hypothèses!$V$14,Hypothèses!$X$14,IF(BZ28&lt;=Hypothèses!$V$15,Hypothèses!$X$15,IF(BZ28&lt;=Hypothèses!$V$16,Hypothèses!$X$16,IF(BZ28&lt;=Hypothèses!$U$17,Hypothèses!$W$17,IF(BZ28&lt;=Hypothèses!$U$18,Hypothèses!$W$18,""))))))))))))</f>
        <v>#DIV/0!</v>
      </c>
      <c r="CW28" s="95" t="e">
        <f t="shared" ca="1" si="85"/>
        <v>#DIV/0!</v>
      </c>
      <c r="CX28" s="101" t="e">
        <f t="shared" si="127"/>
        <v>#N/A</v>
      </c>
      <c r="CY28" s="91" t="e">
        <f t="shared" si="43"/>
        <v>#N/A</v>
      </c>
      <c r="CZ28" s="30" t="e">
        <f t="shared" si="108"/>
        <v>#N/A</v>
      </c>
      <c r="DA28" s="30" t="e">
        <f t="shared" si="109"/>
        <v>#N/A</v>
      </c>
      <c r="DB28" s="31" t="e">
        <f>IF(OR(Hypothèses!$B$4=17,Hypothèses!$B$4=18,Hypothèses!$B$4=19,Hypothèses!$B$4=20),
IF($D28="Pressio.",
IF(OR($E28=3,$E28=1,$E28=4),DA28,CZ28),
IF($D28="Pénétro.",
IF(OR($E28=3,$E28=1,$E28=4),DA28,CZ28))),IF($D28="Pressio.",
IF($E28=3,DA28,CZ28),
IF($D28="Pénétro.",
IF($E28=4,DA28,CZ28))))</f>
        <v>#N/A</v>
      </c>
      <c r="DC28" s="31" t="e">
        <f>(IF(OR(Hypothèses!$B$4=17,Hypothèses!$B$4=18,Hypothèses!$B$4=19,Hypothèses!$B$4=20),
IF($D28="Pressio.",
IF(OR($E28=3,$E28=1,$E28=4),(PI()*DC$12^2)/4*(CY28*$W28*1000)/($H28*$B$5),(PI()*DC$12^2)/4*(CY28*$W28*1000)/($G28*$B$5)),
IF($D28="Pénétro.",
IF(OR($E28=4,$E28=1,$E28=5),(PI()*DC$12^2)/4*(CY28*$W28*1000)/($H28*$B$5),(PI()*DC$12^2)/4*(CY28*$W28*1000)/($G28*$B$5)))),
IF($D28="Pressio.",
IF($E28=3,(PI()*DC$12^2)/4*(CY28*$W28*1000)/($H28*$B$5),(PI()*DC$12^2)/4*(CY28*$W28*1000)/($G28*$B$5)),
IF($D28="Pénétro.",
IF($E28=4,(PI()*DC$12^2)/4*(CY28*$W28*1000)/($H28*$B$5),(PI()*DC$12^2)/4*(CY28*$W28*1000)/($G28*$B$5))))))/10</f>
        <v>#N/A</v>
      </c>
      <c r="DD28" s="102" t="e">
        <f>(VLOOKUP($B$3,'Coeff EC7'!$T$39:$X$59,2,0)*DB28+VLOOKUP($B$3,'Coeff EC7'!$T$65:$X$85,2,0)*Model0.1C!DC28)/1.1</f>
        <v>#N/A</v>
      </c>
      <c r="DE28" s="102" t="e">
        <f>(VLOOKUP($B$3,'Coeff EC7'!$T$39:$X$59,3,0)*DB28+VLOOKUP($B$3,'Coeff EC7'!$T$65:$X$85,3,0)*Model0.1C!DC28)/0.9</f>
        <v>#N/A</v>
      </c>
      <c r="DF28" s="102" t="e">
        <f t="shared" si="86"/>
        <v>#N/A</v>
      </c>
      <c r="DG28" s="102" t="e">
        <f t="shared" si="87"/>
        <v>#N/A</v>
      </c>
      <c r="DH28" s="414" t="e">
        <f>IF(DH27=0,0,IF(AND(DD28&gt;charge_ELS_quasi,DE28&gt;Charge_ELS_freq,DF28&gt;charge_ELU,DG28&gt;charge_ELA,$B28&gt;NDC!$H$22-0.1+MIN(3*$DH$12,1.5)),0,1))</f>
        <v>#N/A</v>
      </c>
      <c r="DI28" s="86" t="b">
        <f t="shared" si="46"/>
        <v>0</v>
      </c>
      <c r="DJ28" s="86">
        <f t="shared" si="47"/>
        <v>0.5</v>
      </c>
      <c r="DK28" s="86">
        <f t="shared" si="48"/>
        <v>0.5</v>
      </c>
      <c r="DL28" s="30" t="e">
        <f t="shared" ca="1" si="88"/>
        <v>#DIV/0!</v>
      </c>
      <c r="DM28" s="85" t="e">
        <f ca="1">IF(CS28&lt;=Hypothèses!$V$7,Hypothèses!$W$7,IF(CS28&lt;=Hypothèses!$V$8,Hypothèses!$W$8,IF(CS28&lt;=Hypothèses!$V$9,Hypothèses!$W$9,IF(CS28&lt;=Hypothèses!$V$10,Hypothèses!$W$10,IF(CS28&lt;=Hypothèses!$V$11,Hypothèses!$W$11,IF(CS28&lt;=Hypothèses!$V$12,Hypothèses!$W$12,IF(CS28&lt;=Hypothèses!$V$13,Hypothèses!$W$13,IF(CS28&lt;=Hypothèses!$V$14,Hypothèses!$W$14,IF(CS28&lt;=Hypothèses!$V$15,Hypothèses!$W$15,IF(CS28&lt;=Hypothèses!$V$16,Hypothèses!$W$16,IF(CS28&lt;=Hypothèses!$V$17,Hypothèses!$W$17,IF(CS28&lt;=Hypothèses!$V$18,Hypothèses!$W$18,""))))))))))))</f>
        <v>#DIV/0!</v>
      </c>
      <c r="DN28" s="87" t="e">
        <f t="shared" ca="1" si="121"/>
        <v>#DIV/0!</v>
      </c>
      <c r="DO28" s="88" t="e">
        <f ca="1">IF(CS28&lt;=Hypothèses!$V$7,Hypothèses!$X$7,IF(CS28&lt;=Hypothèses!$V$8,Hypothèses!$X$8,IF(CS28&lt;=Hypothèses!$V$9,Hypothèses!$X$9,IF(CS28&lt;=Hypothèses!$V$10,Hypothèses!$X$10,IF(CS28&lt;=Hypothèses!$V$11,Hypothèses!$X$11,IF(CS28&lt;=Hypothèses!$V$12,Hypothèses!$X$12,IF(CS28&lt;=Hypothèses!$V$13,Hypothèses!$X$13,IF(CS28&lt;=Hypothèses!$V$14,Hypothèses!$X$14,IF(CS28&lt;=Hypothèses!$V$15,Hypothèses!$X$15,IF(CS28&lt;=Hypothèses!$V$16,Hypothèses!$X$16,IF(CS28&lt;=Hypothèses!$U$17,Hypothèses!$W$17,IF(CS28&lt;=Hypothèses!$U$18,Hypothèses!$W$18,""))))))))))))</f>
        <v>#DIV/0!</v>
      </c>
      <c r="DP28" s="95" t="e">
        <f t="shared" ca="1" si="89"/>
        <v>#DIV/0!</v>
      </c>
      <c r="DQ28" s="101" t="e">
        <f t="shared" si="128"/>
        <v>#N/A</v>
      </c>
      <c r="DR28" s="91" t="e">
        <f t="shared" si="50"/>
        <v>#N/A</v>
      </c>
      <c r="DS28" s="30" t="e">
        <f t="shared" si="110"/>
        <v>#N/A</v>
      </c>
      <c r="DT28" s="30" t="e">
        <f t="shared" si="111"/>
        <v>#N/A</v>
      </c>
      <c r="DU28" s="31" t="e">
        <f>IF(OR(Hypothèses!$B$4=17,Hypothèses!$B$4=18,Hypothèses!$B$4=19,Hypothèses!$B$4=20),
IF($D28="Pressio.",
IF(OR($E28=3,$E28=1,$E28=4),DT28,DS28),
IF($D28="Pénétro.",
IF(OR($E28=3,$E28=1,$E28=4),DT28,DS28))),IF($D28="Pressio.",
IF($E28=3,DT28,DS28),
IF($D28="Pénétro.",
IF($E28=4,DT28,DS28))))</f>
        <v>#N/A</v>
      </c>
      <c r="DV28" s="31" t="e">
        <f>(IF(OR(Hypothèses!$B$4=17,Hypothèses!$B$4=18,Hypothèses!$B$4=19,Hypothèses!$B$4=20),
IF($D28="Pressio.",
IF(OR($E28=3,$E28=1,$E28=4),(PI()*DV$12^2)/4*(DR28*$W28*1000)/($H28*$B$5),(PI()*DV$12^2)/4*(DR28*$W28*1000)/($G28*$B$5)),
IF($D28="Pénétro.",
IF(OR($E28=4,$E28=1,$E28=5),(PI()*DV$12^2)/4*(DR28*$W28*1000)/($H28*$B$5),(PI()*DV$12^2)/4*(DR28*$W28*1000)/($G28*$B$5)))),
IF($D28="Pressio.",
IF($E28=3,(PI()*DV$12^2)/4*(DR28*$W28*1000)/($H28*$B$5),(PI()*DV$12^2)/4*(DR28*$W28*1000)/($G28*$B$5)),
IF($D28="Pénétro.",
IF($E28=4,(PI()*DV$12^2)/4*(DR28*$W28*1000)/($H28*$B$5),(PI()*DV$12^2)/4*(DR28*$W28*1000)/($G28*$B$5))))))/10</f>
        <v>#N/A</v>
      </c>
      <c r="DW28" s="102" t="e">
        <f>(VLOOKUP($B$3,'Coeff EC7'!$T$39:$X$59,2,0)*DU28+VLOOKUP($B$3,'Coeff EC7'!$T$65:$X$85,2,0)*Model0.1C!DV28)/1.1</f>
        <v>#N/A</v>
      </c>
      <c r="DX28" s="102" t="e">
        <f>(VLOOKUP($B$3,'Coeff EC7'!$T$39:$X$59,3,0)*DU28+VLOOKUP($B$3,'Coeff EC7'!$T$65:$X$85,3,0)*Model0.1C!DV28)/0.9</f>
        <v>#N/A</v>
      </c>
      <c r="DY28" s="102" t="e">
        <f t="shared" si="90"/>
        <v>#N/A</v>
      </c>
      <c r="DZ28" s="102" t="e">
        <f t="shared" si="91"/>
        <v>#N/A</v>
      </c>
      <c r="EA28" s="414" t="e">
        <f>IF(EA27=0,0,IF(AND(DW28&gt;charge_ELS_quasi,DX28&gt;Charge_ELS_freq,DY28&gt;charge_ELU,DZ28&gt;charge_ELA,$B28&gt;NDC!$H$22-0.1+MIN(3*$EA$12,1.5)),0,1))</f>
        <v>#N/A</v>
      </c>
      <c r="EB28" s="86" t="b">
        <f t="shared" si="53"/>
        <v>0</v>
      </c>
      <c r="EC28" s="418">
        <f t="shared" si="54"/>
        <v>0.51</v>
      </c>
      <c r="ED28" s="86">
        <f t="shared" si="55"/>
        <v>0.51</v>
      </c>
      <c r="EE28" s="30" t="e">
        <f t="shared" ca="1" si="92"/>
        <v>#DIV/0!</v>
      </c>
      <c r="EF28" s="85" t="e">
        <f ca="1">IF(DL28&lt;=Hypothèses!$V$7,Hypothèses!$W$7,IF(DL28&lt;=Hypothèses!$V$8,Hypothèses!$W$8,IF(DL28&lt;=Hypothèses!$V$9,Hypothèses!$W$9,IF(DL28&lt;=Hypothèses!$V$10,Hypothèses!$W$10,IF(DL28&lt;=Hypothèses!$V$11,Hypothèses!$W$11,IF(DL28&lt;=Hypothèses!$V$12,Hypothèses!$W$12,IF(DL28&lt;=Hypothèses!$V$13,Hypothèses!$W$13,IF(DL28&lt;=Hypothèses!$V$14,Hypothèses!$W$14,IF(DL28&lt;=Hypothèses!$V$15,Hypothèses!$W$15,IF(DL28&lt;=Hypothèses!$V$16,Hypothèses!$W$16,IF(DL28&lt;=Hypothèses!$V$17,Hypothèses!$W$17,IF(DL28&lt;=Hypothèses!$V$18,Hypothèses!$W$18,""))))))))))))</f>
        <v>#DIV/0!</v>
      </c>
      <c r="EG28" s="87" t="e">
        <f t="shared" ca="1" si="122"/>
        <v>#DIV/0!</v>
      </c>
      <c r="EH28" s="88" t="e">
        <f ca="1">IF(DL28&lt;=Hypothèses!$V$7,Hypothèses!$X$7,IF(DL28&lt;=Hypothèses!$V$8,Hypothèses!$X$8,IF(DL28&lt;=Hypothèses!$V$9,Hypothèses!$X$9,IF(DL28&lt;=Hypothèses!$V$10,Hypothèses!$X$10,IF(DL28&lt;=Hypothèses!$V$11,Hypothèses!$X$11,IF(DL28&lt;=Hypothèses!$V$12,Hypothèses!$X$12,IF(DL28&lt;=Hypothèses!$V$13,Hypothèses!$X$13,IF(DL28&lt;=Hypothèses!$V$14,Hypothèses!$X$14,IF(DL28&lt;=Hypothèses!$V$15,Hypothèses!$X$15,IF(DL28&lt;=Hypothèses!$V$16,Hypothèses!$X$16,IF(DL28&lt;=Hypothèses!$U$17,Hypothèses!$W$17,IF(DL28&lt;=Hypothèses!$U$18,Hypothèses!$W$18,""))))))))))))</f>
        <v>#DIV/0!</v>
      </c>
      <c r="EI28" s="95" t="e">
        <f t="shared" ca="1" si="93"/>
        <v>#DIV/0!</v>
      </c>
      <c r="EJ28" s="101" t="e">
        <f t="shared" si="129"/>
        <v>#N/A</v>
      </c>
      <c r="EK28" s="91" t="e">
        <f t="shared" si="57"/>
        <v>#N/A</v>
      </c>
      <c r="EL28" s="30" t="e">
        <f t="shared" si="112"/>
        <v>#N/A</v>
      </c>
      <c r="EM28" s="30" t="e">
        <f t="shared" si="113"/>
        <v>#N/A</v>
      </c>
      <c r="EN28" s="31" t="e">
        <f>IF(OR(Hypothèses!$B$4=17,Hypothèses!$B$4=18,Hypothèses!$B$4=19,Hypothèses!$B$4=20),
IF($D28="Pressio.",
IF(OR($E28=3,$E28=1,$E28=4),EM28,EL28),
IF($D28="Pénétro.",
IF(OR($E28=3,$E28=1,$E28=4),EM28,EL28))),IF($D28="Pressio.",
IF($E28=3,EM28,EL28),
IF($D28="Pénétro.",
IF($E28=4,EM28,EL28))))</f>
        <v>#N/A</v>
      </c>
      <c r="EO28" s="31" t="e">
        <f>(IF(OR(Hypothèses!$B$4=17,Hypothèses!$B$4=18,Hypothèses!$B$4=19,Hypothèses!$B$4=20),
IF($D28="Pressio.",
IF(OR($E28=3,$E28=1,$E28=4),(PI()*EO$12^2)/4*(EK28*$W28*1000)/($H28*$B$5),(PI()*EO$12^2)/4*(EK28*$W28*1000)/($G28*$B$5)),
IF($D28="Pénétro.",
IF(OR($E28=4,$E28=1,$E28=5),(PI()*EO$12^2)/4*(EK28*$W28*1000)/($H28*$B$5),(PI()*EO$12^2)/4*(EK28*$W28*1000)/($G28*$B$5)))),
IF($D28="Pressio.",
IF($E28=3,(PI()*EO$12^2)/4*(EK28*$W28*1000)/($H28*$B$5),(PI()*EO$12^2)/4*(EK28*$W28*1000)/($G28*$B$5)),
IF($D28="Pénétro.",
IF($E28=4,(PI()*EO$12^2)/4*(EK28*$W28*1000)/($H28*$B$5),(PI()*EO$12^2)/4*(EK28*$W28*1000)/($G28*$B$5))))))/10</f>
        <v>#N/A</v>
      </c>
      <c r="EP28" s="102" t="e">
        <f>(VLOOKUP($B$3,'Coeff EC7'!$T$39:$X$59,2,0)*EN28+VLOOKUP($B$3,'Coeff EC7'!$T$65:$X$85,2,0)*Model0.1C!EO28)/1.1</f>
        <v>#N/A</v>
      </c>
      <c r="EQ28" s="102" t="e">
        <f>(VLOOKUP($B$3,'Coeff EC7'!$T$39:$X$59,3,0)*EN28+VLOOKUP($B$3,'Coeff EC7'!$T$65:$X$85,3,0)*Model0.1C!EO28)/0.9</f>
        <v>#N/A</v>
      </c>
      <c r="ER28" s="102" t="e">
        <f t="shared" si="94"/>
        <v>#N/A</v>
      </c>
      <c r="ES28" s="102" t="e">
        <f t="shared" si="95"/>
        <v>#N/A</v>
      </c>
      <c r="ET28" s="414" t="e">
        <f>IF(ET27=0,0,IF(AND(EP28&gt;charge_ELS_quasi,EQ28&gt;Charge_ELS_freq,ER28&gt;charge_ELU,ES28&gt;charge_ELA,$B28&gt;NDC!$H$22-0.1+MIN(3*$ET$12,1.5)),0,1))</f>
        <v>#N/A</v>
      </c>
      <c r="EU28" s="86" t="b">
        <f t="shared" si="60"/>
        <v>0</v>
      </c>
      <c r="EV28" s="86">
        <f t="shared" si="61"/>
        <v>0.61</v>
      </c>
      <c r="EW28" s="86">
        <f t="shared" si="62"/>
        <v>0.61</v>
      </c>
      <c r="EX28" s="30" t="e">
        <f t="shared" ca="1" si="96"/>
        <v>#DIV/0!</v>
      </c>
      <c r="EY28" s="85" t="e">
        <f ca="1">IF(EE28&lt;=Hypothèses!$V$7,Hypothèses!$W$7,IF(EE28&lt;=Hypothèses!$V$8,Hypothèses!$W$8,IF(EE28&lt;=Hypothèses!$V$9,Hypothèses!$W$9,IF(EE28&lt;=Hypothèses!$V$10,Hypothèses!$W$10,IF(EE28&lt;=Hypothèses!$V$11,Hypothèses!$W$11,IF(EE28&lt;=Hypothèses!$V$12,Hypothèses!$W$12,IF(EE28&lt;=Hypothèses!$V$13,Hypothèses!$W$13,IF(EE28&lt;=Hypothèses!$V$14,Hypothèses!$W$14,IF(EE28&lt;=Hypothèses!$V$15,Hypothèses!$W$15,IF(EE28&lt;=Hypothèses!$V$16,Hypothèses!$W$16,IF(EE28&lt;=Hypothèses!$V$17,Hypothèses!$W$17,IF(EE28&lt;=Hypothèses!$V$18,Hypothèses!$W$18,""))))))))))))</f>
        <v>#DIV/0!</v>
      </c>
      <c r="EZ28" s="87" t="e">
        <f t="shared" ca="1" si="123"/>
        <v>#DIV/0!</v>
      </c>
      <c r="FA28" s="88" t="e">
        <f ca="1">IF(EE28&lt;=Hypothèses!$V$7,Hypothèses!$X$7,IF(EE28&lt;=Hypothèses!$V$8,Hypothèses!$X$8,IF(EE28&lt;=Hypothèses!$V$9,Hypothèses!$X$9,IF(EE28&lt;=Hypothèses!$V$10,Hypothèses!$X$10,IF(EE28&lt;=Hypothèses!$V$11,Hypothèses!$X$11,IF(EE28&lt;=Hypothèses!$V$12,Hypothèses!$X$12,IF(EE28&lt;=Hypothèses!$V$13,Hypothèses!$X$13,IF(EE28&lt;=Hypothèses!$V$14,Hypothèses!$X$14,IF(EE28&lt;=Hypothèses!$V$15,Hypothèses!$X$15,IF(EE28&lt;=Hypothèses!$V$16,Hypothèses!$X$16,IF(EE28&lt;=Hypothèses!$U$17,Hypothèses!$W$17,IF(EE28&lt;=Hypothèses!$U$18,Hypothèses!$W$18,""))))))))))))</f>
        <v>#DIV/0!</v>
      </c>
      <c r="FB28" s="95" t="e">
        <f t="shared" ca="1" si="97"/>
        <v>#DIV/0!</v>
      </c>
      <c r="FC28" s="101" t="e">
        <f t="shared" si="130"/>
        <v>#N/A</v>
      </c>
      <c r="FD28" s="91" t="e">
        <f t="shared" si="64"/>
        <v>#N/A</v>
      </c>
      <c r="FE28" s="30" t="e">
        <f t="shared" si="114"/>
        <v>#N/A</v>
      </c>
      <c r="FF28" s="30" t="e">
        <f t="shared" si="115"/>
        <v>#N/A</v>
      </c>
      <c r="FG28" s="31" t="e">
        <f>IF(OR(Hypothèses!$B$4=17,Hypothèses!$B$4=18,Hypothèses!$B$4=19,Hypothèses!$B$4=20),
IF($D28="Pressio.",
IF(OR($E28=3,$E28=1,$E28=4),FF28,FE28),
IF($D28="Pénétro.",
IF(OR($E28=3,$E28=1,$E28=4),FF28,FE28))),IF($D28="Pressio.",
IF($E28=3,FF28,FE28),
IF($D28="Pénétro.",
IF($E28=4,FF28,FE28))))</f>
        <v>#N/A</v>
      </c>
      <c r="FH28" s="31" t="e">
        <f>(IF(OR(Hypothèses!$B$4=17,Hypothèses!$B$4=18,Hypothèses!$B$4=19,Hypothèses!$B$4=20),
IF($D28="Pressio.",
IF(OR($E28=3,$E28=1,$E28=4),(PI()*FH$12^2)/4*(FD28*$W28*1000)/($H28*$B$5),(PI()*FH$12^2)/4*(FD28*$W28*1000)/($G28*$B$5)),
IF($D28="Pénétro.",
IF(OR($E28=4,$E28=1,$E28=5),(PI()*FH$12^2)/4*(FD28*$W28*1000)/($H28*$B$5),(PI()*FH$12^2)/4*(FD28*$W28*1000)/($G28*$B$5)))),
IF($D28="Pressio.",
IF($E28=3,(PI()*FH$12^2)/4*(FD28*$W28*1000)/($H28*$B$5),(PI()*FH$12^2)/4*(FD28*$W28*1000)/($G28*$B$5)),
IF($D28="Pénétro.",
IF($E28=4,(PI()*FH$12^2)/4*(FD28*$W28*1000)/($H28*$B$5),(PI()*FH$12^2)/4*(FD28*$W28*1000)/($G28*$B$5))))))/10</f>
        <v>#N/A</v>
      </c>
      <c r="FI28" s="102" t="e">
        <f>(VLOOKUP($B$3,'Coeff EC7'!$T$39:$X$59,2,0)*FG28+VLOOKUP($B$3,'Coeff EC7'!$T$65:$X$85,2,0)*Model0.1C!FH28)/1.1</f>
        <v>#N/A</v>
      </c>
      <c r="FJ28" s="102" t="e">
        <f>(VLOOKUP($B$3,'Coeff EC7'!$T$39:$X$59,3,0)*FG28+VLOOKUP($B$3,'Coeff EC7'!$T$65:$X$85,3,0)*Model0.1C!FH28)/0.9</f>
        <v>#N/A</v>
      </c>
      <c r="FK28" s="102" t="e">
        <f t="shared" si="98"/>
        <v>#N/A</v>
      </c>
      <c r="FL28" s="102" t="e">
        <f t="shared" si="99"/>
        <v>#N/A</v>
      </c>
      <c r="FM28" s="414" t="e">
        <f>IF(FM27=0,0,IF(AND(FI28&gt;charge_ELS_quasi,FJ28&gt;Charge_ELS_freq,FK28&gt;charge_ELU,FL28&gt;charge_ELA,$B28&gt;NDC!$H$22-0.1+MIN(3*$FM$12,1.5)),0,1))</f>
        <v>#N/A</v>
      </c>
    </row>
    <row r="29" spans="1:169">
      <c r="A29" s="96">
        <f t="shared" si="67"/>
        <v>98.400000000000091</v>
      </c>
      <c r="B29" s="97">
        <v>1.6</v>
      </c>
      <c r="C29" s="81">
        <f>IF(B29&lt;=Hypothèses!$C$7,Hypothèses!$A$7,IF(B29&lt;=Hypothèses!$C$8,Hypothèses!$A$8,IF(B29&lt;=Hypothèses!$C$9,Hypothèses!$A$9,IF(B29&lt;=Hypothèses!$C$10,Hypothèses!$A$10,IF(B29&lt;=Hypothèses!$C$11,Hypothèses!$A$11,IF(B29&lt;=Hypothèses!$C$12,Hypothèses!$A$12,IF(B29&lt;=Hypothèses!$C$13,Hypothèses!$A$13,IF(B29&lt;=Hypothèses!$C$14,Hypothèses!$A$14,IF(B29&lt;=Hypothèses!$C$15,Hypothèses!$A$15,IF(B29&lt;=Hypothèses!$C$16,Hypothèses!$A$16,IF(B29&lt;=Hypothèses!$C$17,Hypothèses!$A$17,IF(B29&lt;=Hypothèses!$C$18,Hypothèses!$A$18,C28))))))))))))</f>
        <v>11</v>
      </c>
      <c r="D29" s="82" t="str">
        <f>IF(B29&lt;=Hypothèses!$C$7,Hypothèses!$R$7,IF(B29&lt;=Hypothèses!$C$8,Hypothèses!$R$8,IF(B29&lt;=Hypothèses!$C$9,Hypothèses!$R$9,IF(B29&lt;=Hypothèses!$C$10,Hypothèses!$R$10,IF(B29&lt;=Hypothèses!$C$11,Hypothèses!$R$11,IF(B29&lt;=Hypothèses!$C$12,Hypothèses!$R$12,IF(B29&lt;=Hypothèses!$C$13,Hypothèses!$R$13,IF(B29&lt;=Hypothèses!$C$14,Hypothèses!$R$14,IF(B29&lt;=Hypothèses!$C$15,Hypothèses!$R$15,IF(B29&lt;=Hypothèses!$C$16,Hypothèses!$R$16,IF(B29&lt;=Hypothèses!$C$17,Hypothèses!$R$17,IF(B29&lt;=Hypothèses!$C$18,Hypothèses!$R$18,D28))))))))))))</f>
        <v>Pressio.</v>
      </c>
      <c r="E29" s="82" t="e">
        <f>IF(B29&lt;=Hypothèses!$C$7,Hypothèses!$G$7,IF(B29&lt;=Hypothèses!$C$8,Hypothèses!$G$8,IF(B29&lt;=Hypothèses!$C$9,Hypothèses!$G$9,IF(B29&lt;=Hypothèses!$C$10,Hypothèses!$G$10,IF(B29&lt;=Hypothèses!$C$11,Hypothèses!$G$11,IF(B29&lt;=Hypothèses!$C$12,Hypothèses!$G$12,IF(B29&lt;=Hypothèses!$C$13,Hypothèses!$G$13,IF(B29&lt;=Hypothèses!$C$14,Hypothèses!$G$14,IF(B29&lt;=Hypothèses!$C$15,Hypothèses!$G$15,IF(B29&lt;=Hypothèses!$C$16,Hypothèses!$G$16,IF(B29&lt;=Hypothèses!$C$17,Hypothèses!$G$17,IF(B29&lt;=Hypothèses!$C$18,Hypothèses!$G$18,E28))))))))))))</f>
        <v>#N/A</v>
      </c>
      <c r="F29" s="82" t="str">
        <f>IF(B29&lt;=Hypothèses!$C$7,Hypothèses!$F$7,IF(B29&lt;=Hypothèses!$C$8,Hypothèses!$F$8,IF(B29&lt;=Hypothèses!$C$9,Hypothèses!$F$9,IF(B29&lt;=Hypothèses!$C$10,Hypothèses!$F$10,IF(B29&lt;=Hypothèses!$C$11,Hypothèses!$F$11,IF(B29&lt;=Hypothèses!$C$12,Hypothèses!$F$12,IF(B29&lt;=Hypothèses!$C$13,Hypothèses!$F$13,IF(B29&lt;=Hypothèses!$C$14,Hypothèses!$F$14,IF(B29&lt;=Hypothèses!$C$15,Hypothèses!$F$15,IF(B29&lt;=Hypothèses!$C$16,Hypothèses!$F$16,IF(B29&lt;=Hypothèses!$C$17,Hypothèses!$F$17,IF(B29&lt;=Hypothèses!$C$18,Hypothèses!$F$18,F28))))))))))))</f>
        <v/>
      </c>
      <c r="G29" s="91">
        <f t="array" ref="G29">INDEX('Coeff EC7'!$U$7:$X$27,
MATCH(Model0.1C!$B$3,'Coeff EC7'!$T$7:$T$27,0),
MATCH(Model0.1C!$D29&amp;Model0.1C!$B$4,
'Coeff EC7'!$U$6:$X$6&amp;
'Coeff EC7'!$U$5:$X$5,0))</f>
        <v>1.1499999999999999</v>
      </c>
      <c r="H29" s="91">
        <f t="array" ref="H29">INDEX('Coeff EC7'!$Y$7:$AB$27,
MATCH(Model0.1C!$B$3,'Coeff EC7'!$T$7:$T$27,0),
MATCH(Model0.1C!$D29&amp;Model0.1C!$B$4,
'Coeff EC7'!$Y$6:$AB$6&amp;
'Coeff EC7'!$Y$5:$AB$5,0))</f>
        <v>1.4</v>
      </c>
      <c r="I29" s="83" t="e">
        <f>IF(B29&lt;=Hypothèses!$C$7,Hypothèses!$P$7,IF(B29&lt;=Hypothèses!$C$8,Hypothèses!$P$8,IF(B29&lt;=Hypothèses!$C$9,Hypothèses!$P$9,IF(B29&lt;=Hypothèses!$C$10,Hypothèses!$P$10,IF(B29&lt;=Hypothèses!$C$11,Hypothèses!$P$11,IF(B29&lt;=Hypothèses!$C$12,Hypothèses!$P$12,IF(B29&lt;=Hypothèses!$C$13,Hypothèses!$P$13,IF(B29&lt;=Hypothèses!$C$14,Hypothèses!$P$14,IF(B29&lt;=Hypothèses!$C$15,Hypothèses!$P$15,IF(B29&lt;=Hypothèses!$C$16,Hypothèses!$P$16,IF(B29&lt;=Hypothèses!$C$17,Hypothèses!$P$17,IF(B29&lt;=Hypothèses!$C$18,Hypothèses!$P$18,I28))))))))))))</f>
        <v>#N/A</v>
      </c>
      <c r="J29" s="91" t="e">
        <f t="array" ref="J29">INDEX('Coeff EC7'!$D$33:$Q$33,1,MATCH(D29&amp;E29,'Coeff EC7'!$D$31:$Q$31&amp;'Coeff EC7'!$D$32:$Q$32,0))</f>
        <v>#N/A</v>
      </c>
      <c r="K29" s="91" t="e">
        <f t="array" ref="K29">INDEX('Coeff EC7'!$D$34:$Q$34,1,MATCH(D29&amp;E29,'Coeff EC7'!$D$31:$Q$31&amp;'Coeff EC7'!$D$32:$Q$32,0))</f>
        <v>#N/A</v>
      </c>
      <c r="L29" s="91" t="e">
        <f t="array" ref="L29">INDEX('Coeff EC7'!$D$35:$Q$35,1,MATCH(D29&amp;E29,'Coeff EC7'!$D$31:$Q$31&amp;'Coeff EC7'!$D$32:$Q$32,0))</f>
        <v>#N/A</v>
      </c>
      <c r="M29" s="98" t="e">
        <f t="shared" si="8"/>
        <v>#N/A</v>
      </c>
      <c r="N29" s="99" t="e">
        <f t="array" ref="N29">INDEX('Coeff EC7'!$D$7:$Q$27,MATCH($B$3,'Coeff EC7'!$C$7:$C$27,0),MATCH(D29&amp;E29,'Coeff EC7'!$D$5:$Q$5&amp;'Coeff EC7'!$D$6:$Q$6,0))</f>
        <v>#N/A</v>
      </c>
      <c r="O29" s="99" t="e">
        <f t="array" ref="O29">INDEX('Coeff EC7'!$D$41:$Q$61,MATCH($B$3,'Coeff EC7'!$C$41:$C$61,0),MATCH(D29&amp;E29,'Coeff EC7'!$D$39:$Q$39&amp;'Coeff EC7'!$D$40:$Q$40,0))</f>
        <v>#N/A</v>
      </c>
      <c r="P29" s="30" t="e">
        <f t="shared" si="68"/>
        <v>#N/A</v>
      </c>
      <c r="Q29" s="100" t="e">
        <f t="shared" si="10"/>
        <v>#N/A</v>
      </c>
      <c r="R29" s="86" t="b">
        <f t="shared" si="11"/>
        <v>0</v>
      </c>
      <c r="S29" s="86">
        <f t="shared" si="9"/>
        <v>0.5</v>
      </c>
      <c r="T29" s="86">
        <f t="shared" si="12"/>
        <v>0.5</v>
      </c>
      <c r="U29" s="30" t="e">
        <f t="shared" ca="1" si="69"/>
        <v>#DIV/0!</v>
      </c>
      <c r="V29" s="85" t="str">
        <f>IF(B29&lt;=Hypothèses!$V$7,Hypothèses!$W$7,IF(B29&lt;=Hypothèses!$V$8,Hypothèses!$W$8,IF(B29&lt;=Hypothèses!$V$9,Hypothèses!$W$9,IF(B29&lt;=Hypothèses!$V$10,Hypothèses!$W$10,IF(B29&lt;=Hypothèses!$V$11,Hypothèses!$W$11,IF(B29&lt;=Hypothèses!$V$12,Hypothèses!$W$12,IF(B29&lt;=Hypothèses!$V$13,Hypothèses!$W$13,IF(B29&lt;=Hypothèses!$V$14,Hypothèses!$W$14,IF(B29&lt;=Hypothèses!$V$15,Hypothèses!$W$15,IF(B29&lt;=Hypothèses!$V$16,Hypothèses!$W$16,IF(B29&lt;=Hypothèses!$V$17,Hypothèses!$W$17,IF(B29&lt;=Hypothèses!$V$18,Hypothèses!$W$18,""))))))))))))</f>
        <v/>
      </c>
      <c r="W29" s="87" t="e">
        <f t="shared" ca="1" si="116"/>
        <v>#DIV/0!</v>
      </c>
      <c r="X29" s="88" t="str">
        <f>IF(B29&lt;=Hypothèses!$V$7,Hypothèses!$X$7,IF(B29&lt;=Hypothèses!$V$8,Hypothèses!$X$8,IF(B29&lt;=Hypothèses!$V$9,Hypothèses!$X$9,IF(B29&lt;=Hypothèses!$V$10,Hypothèses!$X$10,IF(B29&lt;=Hypothèses!$V$11,Hypothèses!$X$11,IF(B29&lt;=Hypothèses!$V$12,Hypothèses!$X$12,IF(B29&lt;=Hypothèses!$V$13,Hypothèses!$X$13,IF(B29&lt;=Hypothèses!$V$14,Hypothèses!$X$14,IF(B29&lt;=Hypothèses!$V$15,Hypothèses!$X$15,IF(B29&lt;=Hypothèses!$V$16,Hypothèses!$X$16,IF(B29&lt;=Hypothèses!$U$17,Hypothèses!$W$17,IF(B29&lt;=Hypothèses!$U$18,Hypothèses!$W$18,""))))))))))))</f>
        <v/>
      </c>
      <c r="Y29" s="95" t="e">
        <f t="shared" ca="1" si="13"/>
        <v>#DIV/0!</v>
      </c>
      <c r="Z29" s="101" t="e">
        <f t="shared" si="14"/>
        <v>#N/A</v>
      </c>
      <c r="AA29" s="91" t="e">
        <f t="shared" si="15"/>
        <v>#N/A</v>
      </c>
      <c r="AB29" s="30" t="e">
        <f t="shared" si="100"/>
        <v>#N/A</v>
      </c>
      <c r="AC29" s="30" t="e">
        <f t="shared" si="101"/>
        <v>#N/A</v>
      </c>
      <c r="AD29" s="31" t="e">
        <f>IF(OR(Hypothèses!$B$4=17,Hypothèses!$B$4=18,Hypothèses!$B$4=19,Hypothèses!$B$4=20),
IF($D29="Pressio.",
IF(OR($E29=3,$E29=1,$E29=4),AC29,AB29),
IF($D29="Pénétro.",
IF(OR($E29=3,$E29=1,$E29=4),AC29,AB29))),IF($D29="Pressio.",
IF($E29=3,AC29,AB29),
IF($D29="Pénétro.",
IF($E29=4,AC29,AB29))))</f>
        <v>#N/A</v>
      </c>
      <c r="AE29" s="31" t="e">
        <f>(IF(OR(Hypothèses!$B$4=17,Hypothèses!$B$4=18,Hypothèses!$B$4=19,Hypothèses!$B$4=20),
IF($D29="Pressio.",
IF(OR($E29=3,$E29=1,$E29=4),(PI()*AE$12^2)/4*(AA29*$W29*1000)/($H29*$B$5),(PI()*AE$12^2)/4*(AA29*$W29*1000)/($G29*$B$5)),
IF($D29="Pénétro.",
IF(OR($E29=4,$E29=1,$E29=5),(PI()*AE$12^2)/4*(AA29*$W29*1000)/($H29*$B$5),(PI()*AE$12^2)/4*(AA29*$W29*1000)/($G29*$B$5)))),
IF($D29="Pressio.",
IF($E29=3,(PI()*AE$12^2)/4*(AA29*$W29*1000)/($H29*$B$5),(PI()*AE$12^2)/4*(AA29*$W29*1000)/($G29*$B$5)),
IF($D29="Pénétro.",
IF($E29=4,(PI()*AE$12^2)/4*(AA29*$W29*1000)/($H29*$B$5),(PI()*AE$12^2)/4*(AA29*$W29*1000)/($G29*$B$5))))))/10</f>
        <v>#N/A</v>
      </c>
      <c r="AF29" s="102" t="e">
        <f>(VLOOKUP($B$3,'Coeff EC7'!$T$39:$X$59,2,0)*AD29+VLOOKUP($B$3,'Coeff EC7'!$T$65:$X$85,2,0)*Model0.1C!AE29)/1.1</f>
        <v>#N/A</v>
      </c>
      <c r="AG29" s="102" t="e">
        <f>(VLOOKUP($B$3,'Coeff EC7'!$T$39:$X$59,3,0)*AD29+VLOOKUP($B$3,'Coeff EC7'!$T$65:$X$85,3,0)*Model0.1C!AE29)/0.9</f>
        <v>#N/A</v>
      </c>
      <c r="AH29" s="102" t="e">
        <f t="shared" si="18"/>
        <v>#N/A</v>
      </c>
      <c r="AI29" s="102" t="e">
        <f t="shared" si="19"/>
        <v>#N/A</v>
      </c>
      <c r="AJ29" s="414" t="e">
        <f>IF(AJ28=0,0,IF(AND(AF29&gt;charge_ELS_quasi,AG29&gt;Charge_ELS_freq,AH29&gt;charge_ELU,AI29&gt;charge_ELA,$B29&gt;NDC!$H$22-0.1+MIN(3*$AJ$12,1.5)),0,1))</f>
        <v>#N/A</v>
      </c>
      <c r="AK29" s="86" t="b">
        <f t="shared" si="20"/>
        <v>0</v>
      </c>
      <c r="AL29" s="86">
        <f t="shared" si="70"/>
        <v>0.5</v>
      </c>
      <c r="AM29" s="86">
        <f t="shared" si="21"/>
        <v>0.5</v>
      </c>
      <c r="AN29" s="30" t="e">
        <f t="shared" ca="1" si="71"/>
        <v>#DIV/0!</v>
      </c>
      <c r="AO29" s="85" t="e">
        <f ca="1">IF(U29&lt;=Hypothèses!$V$7,Hypothèses!$W$7,IF(U29&lt;=Hypothèses!$V$8,Hypothèses!$W$8,IF(U29&lt;=Hypothèses!$V$9,Hypothèses!$W$9,IF(U29&lt;=Hypothèses!$V$10,Hypothèses!$W$10,IF(U29&lt;=Hypothèses!$V$11,Hypothèses!$W$11,IF(U29&lt;=Hypothèses!$V$12,Hypothèses!$W$12,IF(U29&lt;=Hypothèses!$V$13,Hypothèses!$W$13,IF(U29&lt;=Hypothèses!$V$14,Hypothèses!$W$14,IF(U29&lt;=Hypothèses!$V$15,Hypothèses!$W$15,IF(U29&lt;=Hypothèses!$V$16,Hypothèses!$W$16,IF(U29&lt;=Hypothèses!$V$17,Hypothèses!$W$17,IF(U29&lt;=Hypothèses!$V$18,Hypothèses!$W$18,""))))))))))))</f>
        <v>#DIV/0!</v>
      </c>
      <c r="AP29" s="87" t="e">
        <f t="shared" ca="1" si="117"/>
        <v>#DIV/0!</v>
      </c>
      <c r="AQ29" s="88" t="e">
        <f ca="1">IF(U29&lt;=Hypothèses!$V$7,Hypothèses!$X$7,IF(U29&lt;=Hypothèses!$V$8,Hypothèses!$X$8,IF(U29&lt;=Hypothèses!$V$9,Hypothèses!$X$9,IF(U29&lt;=Hypothèses!$V$10,Hypothèses!$X$10,IF(U29&lt;=Hypothèses!$V$11,Hypothèses!$X$11,IF(U29&lt;=Hypothèses!$V$12,Hypothèses!$X$12,IF(U29&lt;=Hypothèses!$V$13,Hypothèses!$X$13,IF(U29&lt;=Hypothèses!$V$14,Hypothèses!$X$14,IF(U29&lt;=Hypothèses!$V$15,Hypothèses!$X$15,IF(U29&lt;=Hypothèses!$V$16,Hypothèses!$X$16,IF(U29&lt;=Hypothèses!$U$17,Hypothèses!$W$17,IF(U29&lt;=Hypothèses!$U$18,Hypothèses!$W$18,""))))))))))))</f>
        <v>#DIV/0!</v>
      </c>
      <c r="AR29" s="95" t="e">
        <f t="shared" ca="1" si="72"/>
        <v>#DIV/0!</v>
      </c>
      <c r="AS29" s="101" t="e">
        <f t="shared" si="124"/>
        <v>#N/A</v>
      </c>
      <c r="AT29" s="91" t="e">
        <f t="shared" si="23"/>
        <v>#N/A</v>
      </c>
      <c r="AU29" s="30" t="e">
        <f t="shared" si="102"/>
        <v>#N/A</v>
      </c>
      <c r="AV29" s="30" t="e">
        <f t="shared" si="103"/>
        <v>#N/A</v>
      </c>
      <c r="AW29" s="31" t="e">
        <f>IF(OR(Hypothèses!$B$4=17,Hypothèses!$B$4=18,Hypothèses!$B$4=19,Hypothèses!$B$4=20),
IF($D29="Pressio.",
IF(OR($E29=3,$E29=1,$E29=4),AV29,AU29),
IF($D29="Pénétro.",
IF(OR($E29=3,$E29=1,$E29=4),AV29,AU29))),IF($D29="Pressio.",
IF($E29=3,AV29,AU29),
IF($D29="Pénétro.",
IF($E29=4,AV29,AU29))))</f>
        <v>#N/A</v>
      </c>
      <c r="AX29" s="31" t="e">
        <f>(IF(OR(Hypothèses!$B$4=17,Hypothèses!$B$4=18,Hypothèses!$B$4=19,Hypothèses!$B$4=20),
IF($D29="Pressio.",
IF(OR($E29=3,$E29=1,$E29=4),(PI()*AX$12^2)/4*(AT29*$W29*1000)/($H29*$B$5),(PI()*AX$12^2)/4*(AT29*$W29*1000)/($G29*$B$5)),
IF($D29="Pénétro.",
IF(OR($E29=4,$E29=1,$E29=5),(PI()*AX$12^2)/4*(AT29*$W29*1000)/($H29*$B$5),(PI()*AX$12^2)/4*(AT29*$W29*1000)/($G29*$B$5)))),
IF($D29="Pressio.",
IF($E29=3,(PI()*AX$12^2)/4*(AT29*$W29*1000)/($H29*$B$5),(PI()*AX$12^2)/4*(AT29*$W29*1000)/($G29*$B$5)),
IF($D29="Pénétro.",
IF($E29=4,(PI()*AX$12^2)/4*(AT29*$W29*1000)/($H29*$B$5),(PI()*AX$12^2)/4*(AT29*$W29*1000)/($G29*$B$5))))))/10</f>
        <v>#N/A</v>
      </c>
      <c r="AY29" s="102" t="e">
        <f>(VLOOKUP($B$3,'Coeff EC7'!$T$39:$X$59,2,0)*AW29+VLOOKUP($B$3,'Coeff EC7'!$T$65:$X$85,2,0)*Model0.1C!AX29)/1.1</f>
        <v>#N/A</v>
      </c>
      <c r="AZ29" s="102" t="e">
        <f>(VLOOKUP($B$3,'Coeff EC7'!$T$39:$X$59,3,0)*AW29+VLOOKUP($B$3,'Coeff EC7'!$T$65:$X$85,3,0)*Model0.1C!AX29)/0.9</f>
        <v>#N/A</v>
      </c>
      <c r="BA29" s="102" t="e">
        <f t="shared" si="73"/>
        <v>#N/A</v>
      </c>
      <c r="BB29" s="102" t="e">
        <f t="shared" si="74"/>
        <v>#N/A</v>
      </c>
      <c r="BC29" s="414" t="e">
        <f>IF(BC28=0,0,IF(AND(AY29&gt;charge_ELS_quasi,AZ29&gt;Charge_ELS_freq,BA29&gt;charge_ELU,BB29&gt;charge_ELA,$B29&gt;NDC!$H$22-0.1+MIN(3*$BC$12,1.5)),0,1))</f>
        <v>#N/A</v>
      </c>
      <c r="BD29" s="86" t="b">
        <f t="shared" si="26"/>
        <v>0</v>
      </c>
      <c r="BE29" s="86">
        <f t="shared" si="75"/>
        <v>0.5</v>
      </c>
      <c r="BF29" s="86">
        <f t="shared" si="27"/>
        <v>0.5</v>
      </c>
      <c r="BG29" s="30" t="e">
        <f t="shared" ca="1" si="76"/>
        <v>#DIV/0!</v>
      </c>
      <c r="BH29" s="85" t="e">
        <f ca="1">IF(AN29&lt;=Hypothèses!$V$7,Hypothèses!$W$7,IF(AN29&lt;=Hypothèses!$V$8,Hypothèses!$W$8,IF(AN29&lt;=Hypothèses!$V$9,Hypothèses!$W$9,IF(AN29&lt;=Hypothèses!$V$10,Hypothèses!$W$10,IF(AN29&lt;=Hypothèses!$V$11,Hypothèses!$W$11,IF(AN29&lt;=Hypothèses!$V$12,Hypothèses!$W$12,IF(AN29&lt;=Hypothèses!$V$13,Hypothèses!$W$13,IF(AN29&lt;=Hypothèses!$V$14,Hypothèses!$W$14,IF(AN29&lt;=Hypothèses!$V$15,Hypothèses!$W$15,IF(AN29&lt;=Hypothèses!$V$16,Hypothèses!$W$16,IF(AN29&lt;=Hypothèses!$V$17,Hypothèses!$W$17,IF(AN29&lt;=Hypothèses!$V$18,Hypothèses!$W$18,""))))))))))))</f>
        <v>#DIV/0!</v>
      </c>
      <c r="BI29" s="87" t="e">
        <f t="shared" ca="1" si="118"/>
        <v>#DIV/0!</v>
      </c>
      <c r="BJ29" s="88" t="e">
        <f ca="1">IF(AN29&lt;=Hypothèses!$V$7,Hypothèses!$X$7,IF(AN29&lt;=Hypothèses!$V$8,Hypothèses!$X$8,IF(AN29&lt;=Hypothèses!$V$9,Hypothèses!$X$9,IF(AN29&lt;=Hypothèses!$V$10,Hypothèses!$X$10,IF(AN29&lt;=Hypothèses!$V$11,Hypothèses!$X$11,IF(AN29&lt;=Hypothèses!$V$12,Hypothèses!$X$12,IF(AN29&lt;=Hypothèses!$V$13,Hypothèses!$X$13,IF(AN29&lt;=Hypothèses!$V$14,Hypothèses!$X$14,IF(AN29&lt;=Hypothèses!$V$15,Hypothèses!$X$15,IF(AN29&lt;=Hypothèses!$V$16,Hypothèses!$X$16,IF(AN29&lt;=Hypothèses!$U$17,Hypothèses!$W$17,IF(AN29&lt;=Hypothèses!$U$18,Hypothèses!$W$18,""))))))))))))</f>
        <v>#DIV/0!</v>
      </c>
      <c r="BK29" s="95" t="e">
        <f t="shared" ca="1" si="77"/>
        <v>#DIV/0!</v>
      </c>
      <c r="BL29" s="101" t="e">
        <f t="shared" si="125"/>
        <v>#N/A</v>
      </c>
      <c r="BM29" s="91" t="e">
        <f t="shared" si="29"/>
        <v>#N/A</v>
      </c>
      <c r="BN29" s="30" t="e">
        <f t="shared" si="104"/>
        <v>#N/A</v>
      </c>
      <c r="BO29" s="30" t="e">
        <f t="shared" si="105"/>
        <v>#N/A</v>
      </c>
      <c r="BP29" s="31" t="e">
        <f>IF(OR(Hypothèses!$B$4=17,Hypothèses!$B$4=18,Hypothèses!$B$4=19,Hypothèses!$B$4=20),
IF($D29="Pressio.",
IF(OR($E29=3,$E29=1,$E29=4),BO29,BN29),
IF($D29="Pénétro.",
IF(OR($E29=3,$E29=1,$E29=4),BO29,BN29))),IF($D29="Pressio.",
IF($E29=3,BO29,BN29),
IF($D29="Pénétro.",
IF($E29=4,BO29,BN29))))</f>
        <v>#N/A</v>
      </c>
      <c r="BQ29" s="31" t="e">
        <f>(IF(OR(Hypothèses!$B$4=17,Hypothèses!$B$4=18,Hypothèses!$B$4=19,Hypothèses!$B$4=20),
IF($D29="Pressio.",
IF(OR($E29=3,$E29=1,$E29=4),(PI()*BQ$12^2)/4*(BM29*$W29*1000)/($H29*$B$5),(PI()*BQ$12^2)/4*(BM29*$W29*1000)/($G29*$B$5)),
IF($D29="Pénétro.",
IF(OR($E29=4,$E29=1,$E29=5),(PI()*BQ$12^2)/4*(BM29*$W29*1000)/($H29*$B$5),(PI()*BQ$12^2)/4*(BM29*$W29*1000)/($G29*$B$5)))),
IF($D29="Pressio.",
IF($E29=3,(PI()*BQ$12^2)/4*(BM29*$W29*1000)/($H29*$B$5),(PI()*BQ$12^2)/4*(BM29*$W29*1000)/($G29*$B$5)),
IF($D29="Pénétro.",
IF($E29=4,(PI()*BQ$12^2)/4*(BM29*$W29*1000)/($H29*$B$5),(PI()*BQ$12^2)/4*(BM29*$W29*1000)/($G29*$B$5))))))/10</f>
        <v>#N/A</v>
      </c>
      <c r="BR29" s="102" t="e">
        <f>(VLOOKUP($B$3,'Coeff EC7'!$T$39:$X$59,2,0)*BP29+VLOOKUP($B$3,'Coeff EC7'!$T$65:$X$85,2,0)*Model0.1C!BQ29)/1.1</f>
        <v>#N/A</v>
      </c>
      <c r="BS29" s="102" t="e">
        <f>(VLOOKUP($B$3,'Coeff EC7'!$T$39:$X$59,3,0)*BP29+VLOOKUP($B$3,'Coeff EC7'!$T$65:$X$85,3,0)*Model0.1C!BQ29)/0.9</f>
        <v>#N/A</v>
      </c>
      <c r="BT29" s="102" t="e">
        <f t="shared" si="78"/>
        <v>#N/A</v>
      </c>
      <c r="BU29" s="102" t="e">
        <f t="shared" si="79"/>
        <v>#N/A</v>
      </c>
      <c r="BV29" s="414" t="e">
        <f>IF(BV28=0,0,IF(AND(BR29&gt;charge_ELS_quasi,BS29&gt;Charge_ELS_freq,BT29&gt;charge_ELU,BU29&gt;charge_ELA,$B29&gt;NDC!$H$22-0.1+MIN(3*$BV$12,1.5)),0,1))</f>
        <v>#N/A</v>
      </c>
      <c r="BW29" s="86" t="b">
        <f t="shared" si="32"/>
        <v>0</v>
      </c>
      <c r="BX29" s="86">
        <f t="shared" si="33"/>
        <v>0.5</v>
      </c>
      <c r="BY29" s="86">
        <f t="shared" si="34"/>
        <v>0.5</v>
      </c>
      <c r="BZ29" s="30" t="e">
        <f t="shared" ca="1" si="80"/>
        <v>#DIV/0!</v>
      </c>
      <c r="CA29" s="85" t="e">
        <f ca="1">IF(BG29&lt;=Hypothèses!$V$7,Hypothèses!$W$7,IF(BG29&lt;=Hypothèses!$V$8,Hypothèses!$W$8,IF(BG29&lt;=Hypothèses!$V$9,Hypothèses!$W$9,IF(BG29&lt;=Hypothèses!$V$10,Hypothèses!$W$10,IF(BG29&lt;=Hypothèses!$V$11,Hypothèses!$W$11,IF(BG29&lt;=Hypothèses!$V$12,Hypothèses!$W$12,IF(BG29&lt;=Hypothèses!$V$13,Hypothèses!$W$13,IF(BG29&lt;=Hypothèses!$V$14,Hypothèses!$W$14,IF(BG29&lt;=Hypothèses!$V$15,Hypothèses!$W$15,IF(BG29&lt;=Hypothèses!$V$16,Hypothèses!$W$16,IF(BG29&lt;=Hypothèses!$V$17,Hypothèses!$W$17,IF(BG29&lt;=Hypothèses!$V$18,Hypothèses!$W$18,""))))))))))))</f>
        <v>#DIV/0!</v>
      </c>
      <c r="CB29" s="87" t="e">
        <f t="shared" ca="1" si="119"/>
        <v>#DIV/0!</v>
      </c>
      <c r="CC29" s="88" t="e">
        <f ca="1">IF(BG29&lt;=Hypothèses!$V$7,Hypothèses!$X$7,IF(BG29&lt;=Hypothèses!$V$8,Hypothèses!$X$8,IF(BG29&lt;=Hypothèses!$V$9,Hypothèses!$X$9,IF(BG29&lt;=Hypothèses!$V$10,Hypothèses!$X$10,IF(BG29&lt;=Hypothèses!$V$11,Hypothèses!$X$11,IF(BG29&lt;=Hypothèses!$V$12,Hypothèses!$X$12,IF(BG29&lt;=Hypothèses!$V$13,Hypothèses!$X$13,IF(BG29&lt;=Hypothèses!$V$14,Hypothèses!$X$14,IF(BG29&lt;=Hypothèses!$V$15,Hypothèses!$X$15,IF(BG29&lt;=Hypothèses!$V$16,Hypothèses!$X$16,IF(BG29&lt;=Hypothèses!$U$17,Hypothèses!$W$17,IF(BG29&lt;=Hypothèses!$U$18,Hypothèses!$W$18,""))))))))))))</f>
        <v>#DIV/0!</v>
      </c>
      <c r="CD29" s="95" t="e">
        <f t="shared" ca="1" si="81"/>
        <v>#DIV/0!</v>
      </c>
      <c r="CE29" s="101" t="e">
        <f t="shared" si="126"/>
        <v>#N/A</v>
      </c>
      <c r="CF29" s="91" t="e">
        <f t="shared" si="36"/>
        <v>#N/A</v>
      </c>
      <c r="CG29" s="30" t="e">
        <f t="shared" si="106"/>
        <v>#N/A</v>
      </c>
      <c r="CH29" s="30" t="e">
        <f t="shared" si="107"/>
        <v>#N/A</v>
      </c>
      <c r="CI29" s="31" t="e">
        <f>IF(OR(Hypothèses!$B$4=17,Hypothèses!$B$4=18,Hypothèses!$B$4=19,Hypothèses!$B$4=20),
IF($D29="Pressio.",
IF(OR($E29=3,$E29=1,$E29=4),CH29,CG29),
IF($D29="Pénétro.",
IF(OR($E29=3,$E29=1,$E29=4),CH29,CG29))),IF($D29="Pressio.",
IF($E29=3,CH29,CG29),
IF($D29="Pénétro.",
IF($E29=4,CH29,CG29))))</f>
        <v>#N/A</v>
      </c>
      <c r="CJ29" s="31" t="e">
        <f>(IF(OR(Hypothèses!$B$4=17,Hypothèses!$B$4=18,Hypothèses!$B$4=19,Hypothèses!$B$4=20),
IF($D29="Pressio.",
IF(OR($E29=3,$E29=1,$E29=4),(PI()*CJ$12^2)/4*(CF29*$W29*1000)/($H29*$B$5),(PI()*CJ$12^2)/4*(CF29*$W29*1000)/($G29*$B$5)),
IF($D29="Pénétro.",
IF(OR($E29=4,$E29=1,$E29=5),(PI()*CJ$12^2)/4*(CF29*$W29*1000)/($H29*$B$5),(PI()*CJ$12^2)/4*(CF29*$W29*1000)/($G29*$B$5)))),
IF($D29="Pressio.",
IF($E29=3,(PI()*CJ$12^2)/4*(CF29*$W29*1000)/($H29*$B$5),(PI()*CJ$12^2)/4*(CF29*$W29*1000)/($G29*$B$5)),
IF($D29="Pénétro.",
IF($E29=4,(PI()*CJ$12^2)/4*(CF29*$W29*1000)/($H29*$B$5),(PI()*CJ$12^2)/4*(CF29*$W29*1000)/($G29*$B$5))))))/10</f>
        <v>#N/A</v>
      </c>
      <c r="CK29" s="102" t="e">
        <f>(VLOOKUP($B$3,'Coeff EC7'!$T$39:$X$59,2,0)*CI29+VLOOKUP($B$3,'Coeff EC7'!$T$65:$X$85,2,0)*Model0.1C!CJ29)/1.1</f>
        <v>#N/A</v>
      </c>
      <c r="CL29" s="102" t="e">
        <f>(VLOOKUP($B$3,'Coeff EC7'!$T$39:$X$59,3,0)*CI29+VLOOKUP($B$3,'Coeff EC7'!$T$65:$X$85,3,0)*Model0.1C!CJ29)/0.9</f>
        <v>#N/A</v>
      </c>
      <c r="CM29" s="102" t="e">
        <f t="shared" si="82"/>
        <v>#N/A</v>
      </c>
      <c r="CN29" s="102" t="e">
        <f t="shared" si="83"/>
        <v>#N/A</v>
      </c>
      <c r="CO29" s="414" t="e">
        <f>IF(CO28=0,0,IF(AND(CK29&gt;charge_ELS_quasi,CL29&gt;Charge_ELS_freq,CM29&gt;charge_ELU,CN29&gt;charge_ELA,$B29&gt;NDC!$H$22-0.1+MIN(3*$CO$12,1.5)),0,1))</f>
        <v>#N/A</v>
      </c>
      <c r="CP29" s="86" t="b">
        <f t="shared" si="39"/>
        <v>0</v>
      </c>
      <c r="CQ29" s="86">
        <f t="shared" si="40"/>
        <v>0.5</v>
      </c>
      <c r="CR29" s="86">
        <f t="shared" si="41"/>
        <v>0.5</v>
      </c>
      <c r="CS29" s="30" t="e">
        <f t="shared" ca="1" si="84"/>
        <v>#DIV/0!</v>
      </c>
      <c r="CT29" s="85" t="e">
        <f ca="1">IF(BZ29&lt;=Hypothèses!$V$7,Hypothèses!$W$7,IF(BZ29&lt;=Hypothèses!$V$8,Hypothèses!$W$8,IF(BZ29&lt;=Hypothèses!$V$9,Hypothèses!$W$9,IF(BZ29&lt;=Hypothèses!$V$10,Hypothèses!$W$10,IF(BZ29&lt;=Hypothèses!$V$11,Hypothèses!$W$11,IF(BZ29&lt;=Hypothèses!$V$12,Hypothèses!$W$12,IF(BZ29&lt;=Hypothèses!$V$13,Hypothèses!$W$13,IF(BZ29&lt;=Hypothèses!$V$14,Hypothèses!$W$14,IF(BZ29&lt;=Hypothèses!$V$15,Hypothèses!$W$15,IF(BZ29&lt;=Hypothèses!$V$16,Hypothèses!$W$16,IF(BZ29&lt;=Hypothèses!$V$17,Hypothèses!$W$17,IF(BZ29&lt;=Hypothèses!$V$18,Hypothèses!$W$18,""))))))))))))</f>
        <v>#DIV/0!</v>
      </c>
      <c r="CU29" s="87" t="e">
        <f t="shared" ca="1" si="120"/>
        <v>#DIV/0!</v>
      </c>
      <c r="CV29" s="88" t="e">
        <f ca="1">IF(BZ29&lt;=Hypothèses!$V$7,Hypothèses!$X$7,IF(BZ29&lt;=Hypothèses!$V$8,Hypothèses!$X$8,IF(BZ29&lt;=Hypothèses!$V$9,Hypothèses!$X$9,IF(BZ29&lt;=Hypothèses!$V$10,Hypothèses!$X$10,IF(BZ29&lt;=Hypothèses!$V$11,Hypothèses!$X$11,IF(BZ29&lt;=Hypothèses!$V$12,Hypothèses!$X$12,IF(BZ29&lt;=Hypothèses!$V$13,Hypothèses!$X$13,IF(BZ29&lt;=Hypothèses!$V$14,Hypothèses!$X$14,IF(BZ29&lt;=Hypothèses!$V$15,Hypothèses!$X$15,IF(BZ29&lt;=Hypothèses!$V$16,Hypothèses!$X$16,IF(BZ29&lt;=Hypothèses!$U$17,Hypothèses!$W$17,IF(BZ29&lt;=Hypothèses!$U$18,Hypothèses!$W$18,""))))))))))))</f>
        <v>#DIV/0!</v>
      </c>
      <c r="CW29" s="95" t="e">
        <f t="shared" ca="1" si="85"/>
        <v>#DIV/0!</v>
      </c>
      <c r="CX29" s="101" t="e">
        <f t="shared" si="127"/>
        <v>#N/A</v>
      </c>
      <c r="CY29" s="91" t="e">
        <f t="shared" si="43"/>
        <v>#N/A</v>
      </c>
      <c r="CZ29" s="30" t="e">
        <f t="shared" si="108"/>
        <v>#N/A</v>
      </c>
      <c r="DA29" s="30" t="e">
        <f t="shared" si="109"/>
        <v>#N/A</v>
      </c>
      <c r="DB29" s="31" t="e">
        <f>IF(OR(Hypothèses!$B$4=17,Hypothèses!$B$4=18,Hypothèses!$B$4=19,Hypothèses!$B$4=20),
IF($D29="Pressio.",
IF(OR($E29=3,$E29=1,$E29=4),DA29,CZ29),
IF($D29="Pénétro.",
IF(OR($E29=3,$E29=1,$E29=4),DA29,CZ29))),IF($D29="Pressio.",
IF($E29=3,DA29,CZ29),
IF($D29="Pénétro.",
IF($E29=4,DA29,CZ29))))</f>
        <v>#N/A</v>
      </c>
      <c r="DC29" s="31" t="e">
        <f>(IF(OR(Hypothèses!$B$4=17,Hypothèses!$B$4=18,Hypothèses!$B$4=19,Hypothèses!$B$4=20),
IF($D29="Pressio.",
IF(OR($E29=3,$E29=1,$E29=4),(PI()*DC$12^2)/4*(CY29*$W29*1000)/($H29*$B$5),(PI()*DC$12^2)/4*(CY29*$W29*1000)/($G29*$B$5)),
IF($D29="Pénétro.",
IF(OR($E29=4,$E29=1,$E29=5),(PI()*DC$12^2)/4*(CY29*$W29*1000)/($H29*$B$5),(PI()*DC$12^2)/4*(CY29*$W29*1000)/($G29*$B$5)))),
IF($D29="Pressio.",
IF($E29=3,(PI()*DC$12^2)/4*(CY29*$W29*1000)/($H29*$B$5),(PI()*DC$12^2)/4*(CY29*$W29*1000)/($G29*$B$5)),
IF($D29="Pénétro.",
IF($E29=4,(PI()*DC$12^2)/4*(CY29*$W29*1000)/($H29*$B$5),(PI()*DC$12^2)/4*(CY29*$W29*1000)/($G29*$B$5))))))/10</f>
        <v>#N/A</v>
      </c>
      <c r="DD29" s="102" t="e">
        <f>(VLOOKUP($B$3,'Coeff EC7'!$T$39:$X$59,2,0)*DB29+VLOOKUP($B$3,'Coeff EC7'!$T$65:$X$85,2,0)*Model0.1C!DC29)/1.1</f>
        <v>#N/A</v>
      </c>
      <c r="DE29" s="102" t="e">
        <f>(VLOOKUP($B$3,'Coeff EC7'!$T$39:$X$59,3,0)*DB29+VLOOKUP($B$3,'Coeff EC7'!$T$65:$X$85,3,0)*Model0.1C!DC29)/0.9</f>
        <v>#N/A</v>
      </c>
      <c r="DF29" s="102" t="e">
        <f t="shared" si="86"/>
        <v>#N/A</v>
      </c>
      <c r="DG29" s="102" t="e">
        <f t="shared" si="87"/>
        <v>#N/A</v>
      </c>
      <c r="DH29" s="414" t="e">
        <f>IF(DH28=0,0,IF(AND(DD29&gt;charge_ELS_quasi,DE29&gt;Charge_ELS_freq,DF29&gt;charge_ELU,DG29&gt;charge_ELA,$B29&gt;NDC!$H$22-0.1+MIN(3*$DH$12,1.5)),0,1))</f>
        <v>#N/A</v>
      </c>
      <c r="DI29" s="86" t="b">
        <f t="shared" si="46"/>
        <v>0</v>
      </c>
      <c r="DJ29" s="86">
        <f t="shared" si="47"/>
        <v>0.5</v>
      </c>
      <c r="DK29" s="86">
        <f t="shared" si="48"/>
        <v>0.5</v>
      </c>
      <c r="DL29" s="30" t="e">
        <f t="shared" ca="1" si="88"/>
        <v>#DIV/0!</v>
      </c>
      <c r="DM29" s="85" t="e">
        <f ca="1">IF(CS29&lt;=Hypothèses!$V$7,Hypothèses!$W$7,IF(CS29&lt;=Hypothèses!$V$8,Hypothèses!$W$8,IF(CS29&lt;=Hypothèses!$V$9,Hypothèses!$W$9,IF(CS29&lt;=Hypothèses!$V$10,Hypothèses!$W$10,IF(CS29&lt;=Hypothèses!$V$11,Hypothèses!$W$11,IF(CS29&lt;=Hypothèses!$V$12,Hypothèses!$W$12,IF(CS29&lt;=Hypothèses!$V$13,Hypothèses!$W$13,IF(CS29&lt;=Hypothèses!$V$14,Hypothèses!$W$14,IF(CS29&lt;=Hypothèses!$V$15,Hypothèses!$W$15,IF(CS29&lt;=Hypothèses!$V$16,Hypothèses!$W$16,IF(CS29&lt;=Hypothèses!$V$17,Hypothèses!$W$17,IF(CS29&lt;=Hypothèses!$V$18,Hypothèses!$W$18,""))))))))))))</f>
        <v>#DIV/0!</v>
      </c>
      <c r="DN29" s="87" t="e">
        <f t="shared" ca="1" si="121"/>
        <v>#DIV/0!</v>
      </c>
      <c r="DO29" s="88" t="e">
        <f ca="1">IF(CS29&lt;=Hypothèses!$V$7,Hypothèses!$X$7,IF(CS29&lt;=Hypothèses!$V$8,Hypothèses!$X$8,IF(CS29&lt;=Hypothèses!$V$9,Hypothèses!$X$9,IF(CS29&lt;=Hypothèses!$V$10,Hypothèses!$X$10,IF(CS29&lt;=Hypothèses!$V$11,Hypothèses!$X$11,IF(CS29&lt;=Hypothèses!$V$12,Hypothèses!$X$12,IF(CS29&lt;=Hypothèses!$V$13,Hypothèses!$X$13,IF(CS29&lt;=Hypothèses!$V$14,Hypothèses!$X$14,IF(CS29&lt;=Hypothèses!$V$15,Hypothèses!$X$15,IF(CS29&lt;=Hypothèses!$V$16,Hypothèses!$X$16,IF(CS29&lt;=Hypothèses!$U$17,Hypothèses!$W$17,IF(CS29&lt;=Hypothèses!$U$18,Hypothèses!$W$18,""))))))))))))</f>
        <v>#DIV/0!</v>
      </c>
      <c r="DP29" s="95" t="e">
        <f t="shared" ca="1" si="89"/>
        <v>#DIV/0!</v>
      </c>
      <c r="DQ29" s="101" t="e">
        <f t="shared" si="128"/>
        <v>#N/A</v>
      </c>
      <c r="DR29" s="91" t="e">
        <f t="shared" si="50"/>
        <v>#N/A</v>
      </c>
      <c r="DS29" s="30" t="e">
        <f t="shared" si="110"/>
        <v>#N/A</v>
      </c>
      <c r="DT29" s="30" t="e">
        <f t="shared" si="111"/>
        <v>#N/A</v>
      </c>
      <c r="DU29" s="31" t="e">
        <f>IF(OR(Hypothèses!$B$4=17,Hypothèses!$B$4=18,Hypothèses!$B$4=19,Hypothèses!$B$4=20),
IF($D29="Pressio.",
IF(OR($E29=3,$E29=1,$E29=4),DT29,DS29),
IF($D29="Pénétro.",
IF(OR($E29=3,$E29=1,$E29=4),DT29,DS29))),IF($D29="Pressio.",
IF($E29=3,DT29,DS29),
IF($D29="Pénétro.",
IF($E29=4,DT29,DS29))))</f>
        <v>#N/A</v>
      </c>
      <c r="DV29" s="31" t="e">
        <f>(IF(OR(Hypothèses!$B$4=17,Hypothèses!$B$4=18,Hypothèses!$B$4=19,Hypothèses!$B$4=20),
IF($D29="Pressio.",
IF(OR($E29=3,$E29=1,$E29=4),(PI()*DV$12^2)/4*(DR29*$W29*1000)/($H29*$B$5),(PI()*DV$12^2)/4*(DR29*$W29*1000)/($G29*$B$5)),
IF($D29="Pénétro.",
IF(OR($E29=4,$E29=1,$E29=5),(PI()*DV$12^2)/4*(DR29*$W29*1000)/($H29*$B$5),(PI()*DV$12^2)/4*(DR29*$W29*1000)/($G29*$B$5)))),
IF($D29="Pressio.",
IF($E29=3,(PI()*DV$12^2)/4*(DR29*$W29*1000)/($H29*$B$5),(PI()*DV$12^2)/4*(DR29*$W29*1000)/($G29*$B$5)),
IF($D29="Pénétro.",
IF($E29=4,(PI()*DV$12^2)/4*(DR29*$W29*1000)/($H29*$B$5),(PI()*DV$12^2)/4*(DR29*$W29*1000)/($G29*$B$5))))))/10</f>
        <v>#N/A</v>
      </c>
      <c r="DW29" s="102" t="e">
        <f>(VLOOKUP($B$3,'Coeff EC7'!$T$39:$X$59,2,0)*DU29+VLOOKUP($B$3,'Coeff EC7'!$T$65:$X$85,2,0)*Model0.1C!DV29)/1.1</f>
        <v>#N/A</v>
      </c>
      <c r="DX29" s="102" t="e">
        <f>(VLOOKUP($B$3,'Coeff EC7'!$T$39:$X$59,3,0)*DU29+VLOOKUP($B$3,'Coeff EC7'!$T$65:$X$85,3,0)*Model0.1C!DV29)/0.9</f>
        <v>#N/A</v>
      </c>
      <c r="DY29" s="102" t="e">
        <f t="shared" si="90"/>
        <v>#N/A</v>
      </c>
      <c r="DZ29" s="102" t="e">
        <f t="shared" si="91"/>
        <v>#N/A</v>
      </c>
      <c r="EA29" s="414" t="e">
        <f>IF(EA28=0,0,IF(AND(DW29&gt;charge_ELS_quasi,DX29&gt;Charge_ELS_freq,DY29&gt;charge_ELU,DZ29&gt;charge_ELA,$B29&gt;NDC!$H$22-0.1+MIN(3*$EA$12,1.5)),0,1))</f>
        <v>#N/A</v>
      </c>
      <c r="EB29" s="86" t="b">
        <f t="shared" si="53"/>
        <v>0</v>
      </c>
      <c r="EC29" s="418">
        <f t="shared" si="54"/>
        <v>0.51</v>
      </c>
      <c r="ED29" s="86">
        <f t="shared" si="55"/>
        <v>0.51</v>
      </c>
      <c r="EE29" s="30" t="e">
        <f t="shared" ca="1" si="92"/>
        <v>#DIV/0!</v>
      </c>
      <c r="EF29" s="85" t="e">
        <f ca="1">IF(DL29&lt;=Hypothèses!$V$7,Hypothèses!$W$7,IF(DL29&lt;=Hypothèses!$V$8,Hypothèses!$W$8,IF(DL29&lt;=Hypothèses!$V$9,Hypothèses!$W$9,IF(DL29&lt;=Hypothèses!$V$10,Hypothèses!$W$10,IF(DL29&lt;=Hypothèses!$V$11,Hypothèses!$W$11,IF(DL29&lt;=Hypothèses!$V$12,Hypothèses!$W$12,IF(DL29&lt;=Hypothèses!$V$13,Hypothèses!$W$13,IF(DL29&lt;=Hypothèses!$V$14,Hypothèses!$W$14,IF(DL29&lt;=Hypothèses!$V$15,Hypothèses!$W$15,IF(DL29&lt;=Hypothèses!$V$16,Hypothèses!$W$16,IF(DL29&lt;=Hypothèses!$V$17,Hypothèses!$W$17,IF(DL29&lt;=Hypothèses!$V$18,Hypothèses!$W$18,""))))))))))))</f>
        <v>#DIV/0!</v>
      </c>
      <c r="EG29" s="87" t="e">
        <f t="shared" ca="1" si="122"/>
        <v>#DIV/0!</v>
      </c>
      <c r="EH29" s="88" t="e">
        <f ca="1">IF(DL29&lt;=Hypothèses!$V$7,Hypothèses!$X$7,IF(DL29&lt;=Hypothèses!$V$8,Hypothèses!$X$8,IF(DL29&lt;=Hypothèses!$V$9,Hypothèses!$X$9,IF(DL29&lt;=Hypothèses!$V$10,Hypothèses!$X$10,IF(DL29&lt;=Hypothèses!$V$11,Hypothèses!$X$11,IF(DL29&lt;=Hypothèses!$V$12,Hypothèses!$X$12,IF(DL29&lt;=Hypothèses!$V$13,Hypothèses!$X$13,IF(DL29&lt;=Hypothèses!$V$14,Hypothèses!$X$14,IF(DL29&lt;=Hypothèses!$V$15,Hypothèses!$X$15,IF(DL29&lt;=Hypothèses!$V$16,Hypothèses!$X$16,IF(DL29&lt;=Hypothèses!$U$17,Hypothèses!$W$17,IF(DL29&lt;=Hypothèses!$U$18,Hypothèses!$W$18,""))))))))))))</f>
        <v>#DIV/0!</v>
      </c>
      <c r="EI29" s="95" t="e">
        <f t="shared" ca="1" si="93"/>
        <v>#DIV/0!</v>
      </c>
      <c r="EJ29" s="101" t="e">
        <f t="shared" si="129"/>
        <v>#N/A</v>
      </c>
      <c r="EK29" s="91" t="e">
        <f t="shared" si="57"/>
        <v>#N/A</v>
      </c>
      <c r="EL29" s="30" t="e">
        <f t="shared" si="112"/>
        <v>#N/A</v>
      </c>
      <c r="EM29" s="30" t="e">
        <f t="shared" si="113"/>
        <v>#N/A</v>
      </c>
      <c r="EN29" s="31" t="e">
        <f>IF(OR(Hypothèses!$B$4=17,Hypothèses!$B$4=18,Hypothèses!$B$4=19,Hypothèses!$B$4=20),
IF($D29="Pressio.",
IF(OR($E29=3,$E29=1,$E29=4),EM29,EL29),
IF($D29="Pénétro.",
IF(OR($E29=3,$E29=1,$E29=4),EM29,EL29))),IF($D29="Pressio.",
IF($E29=3,EM29,EL29),
IF($D29="Pénétro.",
IF($E29=4,EM29,EL29))))</f>
        <v>#N/A</v>
      </c>
      <c r="EO29" s="31" t="e">
        <f>(IF(OR(Hypothèses!$B$4=17,Hypothèses!$B$4=18,Hypothèses!$B$4=19,Hypothèses!$B$4=20),
IF($D29="Pressio.",
IF(OR($E29=3,$E29=1,$E29=4),(PI()*EO$12^2)/4*(EK29*$W29*1000)/($H29*$B$5),(PI()*EO$12^2)/4*(EK29*$W29*1000)/($G29*$B$5)),
IF($D29="Pénétro.",
IF(OR($E29=4,$E29=1,$E29=5),(PI()*EO$12^2)/4*(EK29*$W29*1000)/($H29*$B$5),(PI()*EO$12^2)/4*(EK29*$W29*1000)/($G29*$B$5)))),
IF($D29="Pressio.",
IF($E29=3,(PI()*EO$12^2)/4*(EK29*$W29*1000)/($H29*$B$5),(PI()*EO$12^2)/4*(EK29*$W29*1000)/($G29*$B$5)),
IF($D29="Pénétro.",
IF($E29=4,(PI()*EO$12^2)/4*(EK29*$W29*1000)/($H29*$B$5),(PI()*EO$12^2)/4*(EK29*$W29*1000)/($G29*$B$5))))))/10</f>
        <v>#N/A</v>
      </c>
      <c r="EP29" s="102" t="e">
        <f>(VLOOKUP($B$3,'Coeff EC7'!$T$39:$X$59,2,0)*EN29+VLOOKUP($B$3,'Coeff EC7'!$T$65:$X$85,2,0)*Model0.1C!EO29)/1.1</f>
        <v>#N/A</v>
      </c>
      <c r="EQ29" s="102" t="e">
        <f>(VLOOKUP($B$3,'Coeff EC7'!$T$39:$X$59,3,0)*EN29+VLOOKUP($B$3,'Coeff EC7'!$T$65:$X$85,3,0)*Model0.1C!EO29)/0.9</f>
        <v>#N/A</v>
      </c>
      <c r="ER29" s="102" t="e">
        <f t="shared" si="94"/>
        <v>#N/A</v>
      </c>
      <c r="ES29" s="102" t="e">
        <f t="shared" si="95"/>
        <v>#N/A</v>
      </c>
      <c r="ET29" s="414" t="e">
        <f>IF(ET28=0,0,IF(AND(EP29&gt;charge_ELS_quasi,EQ29&gt;Charge_ELS_freq,ER29&gt;charge_ELU,ES29&gt;charge_ELA,$B29&gt;NDC!$H$22-0.1+MIN(3*$ET$12,1.5)),0,1))</f>
        <v>#N/A</v>
      </c>
      <c r="EU29" s="86" t="b">
        <f t="shared" si="60"/>
        <v>0</v>
      </c>
      <c r="EV29" s="86">
        <f t="shared" si="61"/>
        <v>0.61</v>
      </c>
      <c r="EW29" s="86">
        <f t="shared" si="62"/>
        <v>0.61</v>
      </c>
      <c r="EX29" s="30" t="e">
        <f t="shared" ca="1" si="96"/>
        <v>#DIV/0!</v>
      </c>
      <c r="EY29" s="85" t="e">
        <f ca="1">IF(EE29&lt;=Hypothèses!$V$7,Hypothèses!$W$7,IF(EE29&lt;=Hypothèses!$V$8,Hypothèses!$W$8,IF(EE29&lt;=Hypothèses!$V$9,Hypothèses!$W$9,IF(EE29&lt;=Hypothèses!$V$10,Hypothèses!$W$10,IF(EE29&lt;=Hypothèses!$V$11,Hypothèses!$W$11,IF(EE29&lt;=Hypothèses!$V$12,Hypothèses!$W$12,IF(EE29&lt;=Hypothèses!$V$13,Hypothèses!$W$13,IF(EE29&lt;=Hypothèses!$V$14,Hypothèses!$W$14,IF(EE29&lt;=Hypothèses!$V$15,Hypothèses!$W$15,IF(EE29&lt;=Hypothèses!$V$16,Hypothèses!$W$16,IF(EE29&lt;=Hypothèses!$V$17,Hypothèses!$W$17,IF(EE29&lt;=Hypothèses!$V$18,Hypothèses!$W$18,""))))))))))))</f>
        <v>#DIV/0!</v>
      </c>
      <c r="EZ29" s="87" t="e">
        <f t="shared" ca="1" si="123"/>
        <v>#DIV/0!</v>
      </c>
      <c r="FA29" s="88" t="e">
        <f ca="1">IF(EE29&lt;=Hypothèses!$V$7,Hypothèses!$X$7,IF(EE29&lt;=Hypothèses!$V$8,Hypothèses!$X$8,IF(EE29&lt;=Hypothèses!$V$9,Hypothèses!$X$9,IF(EE29&lt;=Hypothèses!$V$10,Hypothèses!$X$10,IF(EE29&lt;=Hypothèses!$V$11,Hypothèses!$X$11,IF(EE29&lt;=Hypothèses!$V$12,Hypothèses!$X$12,IF(EE29&lt;=Hypothèses!$V$13,Hypothèses!$X$13,IF(EE29&lt;=Hypothèses!$V$14,Hypothèses!$X$14,IF(EE29&lt;=Hypothèses!$V$15,Hypothèses!$X$15,IF(EE29&lt;=Hypothèses!$V$16,Hypothèses!$X$16,IF(EE29&lt;=Hypothèses!$U$17,Hypothèses!$W$17,IF(EE29&lt;=Hypothèses!$U$18,Hypothèses!$W$18,""))))))))))))</f>
        <v>#DIV/0!</v>
      </c>
      <c r="FB29" s="95" t="e">
        <f t="shared" ca="1" si="97"/>
        <v>#DIV/0!</v>
      </c>
      <c r="FC29" s="101" t="e">
        <f t="shared" si="130"/>
        <v>#N/A</v>
      </c>
      <c r="FD29" s="91" t="e">
        <f t="shared" si="64"/>
        <v>#N/A</v>
      </c>
      <c r="FE29" s="30" t="e">
        <f t="shared" si="114"/>
        <v>#N/A</v>
      </c>
      <c r="FF29" s="30" t="e">
        <f t="shared" si="115"/>
        <v>#N/A</v>
      </c>
      <c r="FG29" s="31" t="e">
        <f>IF(OR(Hypothèses!$B$4=17,Hypothèses!$B$4=18,Hypothèses!$B$4=19,Hypothèses!$B$4=20),
IF($D29="Pressio.",
IF(OR($E29=3,$E29=1,$E29=4),FF29,FE29),
IF($D29="Pénétro.",
IF(OR($E29=3,$E29=1,$E29=4),FF29,FE29))),IF($D29="Pressio.",
IF($E29=3,FF29,FE29),
IF($D29="Pénétro.",
IF($E29=4,FF29,FE29))))</f>
        <v>#N/A</v>
      </c>
      <c r="FH29" s="31" t="e">
        <f>(IF(OR(Hypothèses!$B$4=17,Hypothèses!$B$4=18,Hypothèses!$B$4=19,Hypothèses!$B$4=20),
IF($D29="Pressio.",
IF(OR($E29=3,$E29=1,$E29=4),(PI()*FH$12^2)/4*(FD29*$W29*1000)/($H29*$B$5),(PI()*FH$12^2)/4*(FD29*$W29*1000)/($G29*$B$5)),
IF($D29="Pénétro.",
IF(OR($E29=4,$E29=1,$E29=5),(PI()*FH$12^2)/4*(FD29*$W29*1000)/($H29*$B$5),(PI()*FH$12^2)/4*(FD29*$W29*1000)/($G29*$B$5)))),
IF($D29="Pressio.",
IF($E29=3,(PI()*FH$12^2)/4*(FD29*$W29*1000)/($H29*$B$5),(PI()*FH$12^2)/4*(FD29*$W29*1000)/($G29*$B$5)),
IF($D29="Pénétro.",
IF($E29=4,(PI()*FH$12^2)/4*(FD29*$W29*1000)/($H29*$B$5),(PI()*FH$12^2)/4*(FD29*$W29*1000)/($G29*$B$5))))))/10</f>
        <v>#N/A</v>
      </c>
      <c r="FI29" s="102" t="e">
        <f>(VLOOKUP($B$3,'Coeff EC7'!$T$39:$X$59,2,0)*FG29+VLOOKUP($B$3,'Coeff EC7'!$T$65:$X$85,2,0)*Model0.1C!FH29)/1.1</f>
        <v>#N/A</v>
      </c>
      <c r="FJ29" s="102" t="e">
        <f>(VLOOKUP($B$3,'Coeff EC7'!$T$39:$X$59,3,0)*FG29+VLOOKUP($B$3,'Coeff EC7'!$T$65:$X$85,3,0)*Model0.1C!FH29)/0.9</f>
        <v>#N/A</v>
      </c>
      <c r="FK29" s="102" t="e">
        <f t="shared" si="98"/>
        <v>#N/A</v>
      </c>
      <c r="FL29" s="102" t="e">
        <f t="shared" si="99"/>
        <v>#N/A</v>
      </c>
      <c r="FM29" s="414" t="e">
        <f>IF(FM28=0,0,IF(AND(FI29&gt;charge_ELS_quasi,FJ29&gt;Charge_ELS_freq,FK29&gt;charge_ELU,FL29&gt;charge_ELA,$B29&gt;NDC!$H$22-0.1+MIN(3*$FM$12,1.5)),0,1))</f>
        <v>#N/A</v>
      </c>
    </row>
    <row r="30" spans="1:169">
      <c r="A30" s="96">
        <f t="shared" si="67"/>
        <v>98.300000000000097</v>
      </c>
      <c r="B30" s="97">
        <v>1.7</v>
      </c>
      <c r="C30" s="81">
        <f>IF(B30&lt;=Hypothèses!$C$7,Hypothèses!$A$7,IF(B30&lt;=Hypothèses!$C$8,Hypothèses!$A$8,IF(B30&lt;=Hypothèses!$C$9,Hypothèses!$A$9,IF(B30&lt;=Hypothèses!$C$10,Hypothèses!$A$10,IF(B30&lt;=Hypothèses!$C$11,Hypothèses!$A$11,IF(B30&lt;=Hypothèses!$C$12,Hypothèses!$A$12,IF(B30&lt;=Hypothèses!$C$13,Hypothèses!$A$13,IF(B30&lt;=Hypothèses!$C$14,Hypothèses!$A$14,IF(B30&lt;=Hypothèses!$C$15,Hypothèses!$A$15,IF(B30&lt;=Hypothèses!$C$16,Hypothèses!$A$16,IF(B30&lt;=Hypothèses!$C$17,Hypothèses!$A$17,IF(B30&lt;=Hypothèses!$C$18,Hypothèses!$A$18,C29))))))))))))</f>
        <v>11</v>
      </c>
      <c r="D30" s="82" t="str">
        <f>IF(B30&lt;=Hypothèses!$C$7,Hypothèses!$R$7,IF(B30&lt;=Hypothèses!$C$8,Hypothèses!$R$8,IF(B30&lt;=Hypothèses!$C$9,Hypothèses!$R$9,IF(B30&lt;=Hypothèses!$C$10,Hypothèses!$R$10,IF(B30&lt;=Hypothèses!$C$11,Hypothèses!$R$11,IF(B30&lt;=Hypothèses!$C$12,Hypothèses!$R$12,IF(B30&lt;=Hypothèses!$C$13,Hypothèses!$R$13,IF(B30&lt;=Hypothèses!$C$14,Hypothèses!$R$14,IF(B30&lt;=Hypothèses!$C$15,Hypothèses!$R$15,IF(B30&lt;=Hypothèses!$C$16,Hypothèses!$R$16,IF(B30&lt;=Hypothèses!$C$17,Hypothèses!$R$17,IF(B30&lt;=Hypothèses!$C$18,Hypothèses!$R$18,D29))))))))))))</f>
        <v>Pressio.</v>
      </c>
      <c r="E30" s="82" t="e">
        <f>IF(B30&lt;=Hypothèses!$C$7,Hypothèses!$G$7,IF(B30&lt;=Hypothèses!$C$8,Hypothèses!$G$8,IF(B30&lt;=Hypothèses!$C$9,Hypothèses!$G$9,IF(B30&lt;=Hypothèses!$C$10,Hypothèses!$G$10,IF(B30&lt;=Hypothèses!$C$11,Hypothèses!$G$11,IF(B30&lt;=Hypothèses!$C$12,Hypothèses!$G$12,IF(B30&lt;=Hypothèses!$C$13,Hypothèses!$G$13,IF(B30&lt;=Hypothèses!$C$14,Hypothèses!$G$14,IF(B30&lt;=Hypothèses!$C$15,Hypothèses!$G$15,IF(B30&lt;=Hypothèses!$C$16,Hypothèses!$G$16,IF(B30&lt;=Hypothèses!$C$17,Hypothèses!$G$17,IF(B30&lt;=Hypothèses!$C$18,Hypothèses!$G$18,E29))))))))))))</f>
        <v>#N/A</v>
      </c>
      <c r="F30" s="82" t="str">
        <f>IF(B30&lt;=Hypothèses!$C$7,Hypothèses!$F$7,IF(B30&lt;=Hypothèses!$C$8,Hypothèses!$F$8,IF(B30&lt;=Hypothèses!$C$9,Hypothèses!$F$9,IF(B30&lt;=Hypothèses!$C$10,Hypothèses!$F$10,IF(B30&lt;=Hypothèses!$C$11,Hypothèses!$F$11,IF(B30&lt;=Hypothèses!$C$12,Hypothèses!$F$12,IF(B30&lt;=Hypothèses!$C$13,Hypothèses!$F$13,IF(B30&lt;=Hypothèses!$C$14,Hypothèses!$F$14,IF(B30&lt;=Hypothèses!$C$15,Hypothèses!$F$15,IF(B30&lt;=Hypothèses!$C$16,Hypothèses!$F$16,IF(B30&lt;=Hypothèses!$C$17,Hypothèses!$F$17,IF(B30&lt;=Hypothèses!$C$18,Hypothèses!$F$18,F29))))))))))))</f>
        <v/>
      </c>
      <c r="G30" s="91">
        <f t="array" ref="G30">INDEX('Coeff EC7'!$U$7:$X$27,
MATCH(Model0.1C!$B$3,'Coeff EC7'!$T$7:$T$27,0),
MATCH(Model0.1C!$D30&amp;Model0.1C!$B$4,
'Coeff EC7'!$U$6:$X$6&amp;
'Coeff EC7'!$U$5:$X$5,0))</f>
        <v>1.1499999999999999</v>
      </c>
      <c r="H30" s="91">
        <f t="array" ref="H30">INDEX('Coeff EC7'!$Y$7:$AB$27,
MATCH(Model0.1C!$B$3,'Coeff EC7'!$T$7:$T$27,0),
MATCH(Model0.1C!$D30&amp;Model0.1C!$B$4,
'Coeff EC7'!$Y$6:$AB$6&amp;
'Coeff EC7'!$Y$5:$AB$5,0))</f>
        <v>1.4</v>
      </c>
      <c r="I30" s="83" t="e">
        <f>IF(B30&lt;=Hypothèses!$C$7,Hypothèses!$P$7,IF(B30&lt;=Hypothèses!$C$8,Hypothèses!$P$8,IF(B30&lt;=Hypothèses!$C$9,Hypothèses!$P$9,IF(B30&lt;=Hypothèses!$C$10,Hypothèses!$P$10,IF(B30&lt;=Hypothèses!$C$11,Hypothèses!$P$11,IF(B30&lt;=Hypothèses!$C$12,Hypothèses!$P$12,IF(B30&lt;=Hypothèses!$C$13,Hypothèses!$P$13,IF(B30&lt;=Hypothèses!$C$14,Hypothèses!$P$14,IF(B30&lt;=Hypothèses!$C$15,Hypothèses!$P$15,IF(B30&lt;=Hypothèses!$C$16,Hypothèses!$P$16,IF(B30&lt;=Hypothèses!$C$17,Hypothèses!$P$17,IF(B30&lt;=Hypothèses!$C$18,Hypothèses!$P$18,I29))))))))))))</f>
        <v>#N/A</v>
      </c>
      <c r="J30" s="91" t="e">
        <f t="array" ref="J30">INDEX('Coeff EC7'!$D$33:$Q$33,1,MATCH(D30&amp;E30,'Coeff EC7'!$D$31:$Q$31&amp;'Coeff EC7'!$D$32:$Q$32,0))</f>
        <v>#N/A</v>
      </c>
      <c r="K30" s="91" t="e">
        <f t="array" ref="K30">INDEX('Coeff EC7'!$D$34:$Q$34,1,MATCH(D30&amp;E30,'Coeff EC7'!$D$31:$Q$31&amp;'Coeff EC7'!$D$32:$Q$32,0))</f>
        <v>#N/A</v>
      </c>
      <c r="L30" s="91" t="e">
        <f t="array" ref="L30">INDEX('Coeff EC7'!$D$35:$Q$35,1,MATCH(D30&amp;E30,'Coeff EC7'!$D$31:$Q$31&amp;'Coeff EC7'!$D$32:$Q$32,0))</f>
        <v>#N/A</v>
      </c>
      <c r="M30" s="98" t="e">
        <f t="shared" si="8"/>
        <v>#N/A</v>
      </c>
      <c r="N30" s="99" t="e">
        <f t="array" ref="N30">INDEX('Coeff EC7'!$D$7:$Q$27,MATCH($B$3,'Coeff EC7'!$C$7:$C$27,0),MATCH(D30&amp;E30,'Coeff EC7'!$D$5:$Q$5&amp;'Coeff EC7'!$D$6:$Q$6,0))</f>
        <v>#N/A</v>
      </c>
      <c r="O30" s="99" t="e">
        <f t="array" ref="O30">INDEX('Coeff EC7'!$D$41:$Q$61,MATCH($B$3,'Coeff EC7'!$C$41:$C$61,0),MATCH(D30&amp;E30,'Coeff EC7'!$D$39:$Q$39&amp;'Coeff EC7'!$D$40:$Q$40,0))</f>
        <v>#N/A</v>
      </c>
      <c r="P30" s="30" t="e">
        <f t="shared" si="68"/>
        <v>#N/A</v>
      </c>
      <c r="Q30" s="100" t="e">
        <f t="shared" si="10"/>
        <v>#N/A</v>
      </c>
      <c r="R30" s="86" t="b">
        <f t="shared" si="11"/>
        <v>0</v>
      </c>
      <c r="S30" s="86">
        <f t="shared" si="9"/>
        <v>0.5</v>
      </c>
      <c r="T30" s="86">
        <f t="shared" si="12"/>
        <v>0.5</v>
      </c>
      <c r="U30" s="30" t="e">
        <f t="shared" ca="1" si="69"/>
        <v>#DIV/0!</v>
      </c>
      <c r="V30" s="85" t="str">
        <f>IF(B30&lt;=Hypothèses!$V$7,Hypothèses!$W$7,IF(B30&lt;=Hypothèses!$V$8,Hypothèses!$W$8,IF(B30&lt;=Hypothèses!$V$9,Hypothèses!$W$9,IF(B30&lt;=Hypothèses!$V$10,Hypothèses!$W$10,IF(B30&lt;=Hypothèses!$V$11,Hypothèses!$W$11,IF(B30&lt;=Hypothèses!$V$12,Hypothèses!$W$12,IF(B30&lt;=Hypothèses!$V$13,Hypothèses!$W$13,IF(B30&lt;=Hypothèses!$V$14,Hypothèses!$W$14,IF(B30&lt;=Hypothèses!$V$15,Hypothèses!$W$15,IF(B30&lt;=Hypothèses!$V$16,Hypothèses!$W$16,IF(B30&lt;=Hypothèses!$V$17,Hypothèses!$W$17,IF(B30&lt;=Hypothèses!$V$18,Hypothèses!$W$18,""))))))))))))</f>
        <v/>
      </c>
      <c r="W30" s="87" t="e">
        <f t="shared" ca="1" si="116"/>
        <v>#DIV/0!</v>
      </c>
      <c r="X30" s="88" t="str">
        <f>IF(B30&lt;=Hypothèses!$V$7,Hypothèses!$X$7,IF(B30&lt;=Hypothèses!$V$8,Hypothèses!$X$8,IF(B30&lt;=Hypothèses!$V$9,Hypothèses!$X$9,IF(B30&lt;=Hypothèses!$V$10,Hypothèses!$X$10,IF(B30&lt;=Hypothèses!$V$11,Hypothèses!$X$11,IF(B30&lt;=Hypothèses!$V$12,Hypothèses!$X$12,IF(B30&lt;=Hypothèses!$V$13,Hypothèses!$X$13,IF(B30&lt;=Hypothèses!$V$14,Hypothèses!$X$14,IF(B30&lt;=Hypothèses!$V$15,Hypothèses!$X$15,IF(B30&lt;=Hypothèses!$V$16,Hypothèses!$X$16,IF(B30&lt;=Hypothèses!$U$17,Hypothèses!$W$17,IF(B30&lt;=Hypothèses!$U$18,Hypothèses!$W$18,""))))))))))))</f>
        <v/>
      </c>
      <c r="Y30" s="95" t="e">
        <f t="shared" ca="1" si="13"/>
        <v>#DIV/0!</v>
      </c>
      <c r="Z30" s="101" t="e">
        <f t="shared" si="14"/>
        <v>#N/A</v>
      </c>
      <c r="AA30" s="91" t="e">
        <f t="shared" si="15"/>
        <v>#N/A</v>
      </c>
      <c r="AB30" s="30" t="e">
        <f t="shared" si="100"/>
        <v>#N/A</v>
      </c>
      <c r="AC30" s="30" t="e">
        <f t="shared" si="101"/>
        <v>#N/A</v>
      </c>
      <c r="AD30" s="31" t="e">
        <f>IF(OR(Hypothèses!$B$4=17,Hypothèses!$B$4=18,Hypothèses!$B$4=19,Hypothèses!$B$4=20),
IF($D30="Pressio.",
IF(OR($E30=3,$E30=1,$E30=4),AC30,AB30),
IF($D30="Pénétro.",
IF(OR($E30=3,$E30=1,$E30=4),AC30,AB30))),IF($D30="Pressio.",
IF($E30=3,AC30,AB30),
IF($D30="Pénétro.",
IF($E30=4,AC30,AB30))))</f>
        <v>#N/A</v>
      </c>
      <c r="AE30" s="31" t="e">
        <f>(IF(OR(Hypothèses!$B$4=17,Hypothèses!$B$4=18,Hypothèses!$B$4=19,Hypothèses!$B$4=20),
IF($D30="Pressio.",
IF(OR($E30=3,$E30=1,$E30=4),(PI()*AE$12^2)/4*(AA30*$W30*1000)/($H30*$B$5),(PI()*AE$12^2)/4*(AA30*$W30*1000)/($G30*$B$5)),
IF($D30="Pénétro.",
IF(OR($E30=4,$E30=1,$E30=5),(PI()*AE$12^2)/4*(AA30*$W30*1000)/($H30*$B$5),(PI()*AE$12^2)/4*(AA30*$W30*1000)/($G30*$B$5)))),
IF($D30="Pressio.",
IF($E30=3,(PI()*AE$12^2)/4*(AA30*$W30*1000)/($H30*$B$5),(PI()*AE$12^2)/4*(AA30*$W30*1000)/($G30*$B$5)),
IF($D30="Pénétro.",
IF($E30=4,(PI()*AE$12^2)/4*(AA30*$W30*1000)/($H30*$B$5),(PI()*AE$12^2)/4*(AA30*$W30*1000)/($G30*$B$5))))))/10</f>
        <v>#N/A</v>
      </c>
      <c r="AF30" s="102" t="e">
        <f>(VLOOKUP($B$3,'Coeff EC7'!$T$39:$X$59,2,0)*AD30+VLOOKUP($B$3,'Coeff EC7'!$T$65:$X$85,2,0)*Model0.1C!AE30)/1.1</f>
        <v>#N/A</v>
      </c>
      <c r="AG30" s="102" t="e">
        <f>(VLOOKUP($B$3,'Coeff EC7'!$T$39:$X$59,3,0)*AD30+VLOOKUP($B$3,'Coeff EC7'!$T$65:$X$85,3,0)*Model0.1C!AE30)/0.9</f>
        <v>#N/A</v>
      </c>
      <c r="AH30" s="102" t="e">
        <f t="shared" si="18"/>
        <v>#N/A</v>
      </c>
      <c r="AI30" s="102" t="e">
        <f t="shared" si="19"/>
        <v>#N/A</v>
      </c>
      <c r="AJ30" s="414" t="e">
        <f>IF(AJ29=0,0,IF(AND(AF30&gt;charge_ELS_quasi,AG30&gt;Charge_ELS_freq,AH30&gt;charge_ELU,AI30&gt;charge_ELA,$B30&gt;NDC!$H$22-0.1+MIN(3*$AJ$12,1.5)),0,1))</f>
        <v>#N/A</v>
      </c>
      <c r="AK30" s="86" t="b">
        <f t="shared" si="20"/>
        <v>0</v>
      </c>
      <c r="AL30" s="86">
        <f t="shared" si="70"/>
        <v>0.5</v>
      </c>
      <c r="AM30" s="86">
        <f t="shared" si="21"/>
        <v>0.5</v>
      </c>
      <c r="AN30" s="30" t="e">
        <f t="shared" ca="1" si="71"/>
        <v>#DIV/0!</v>
      </c>
      <c r="AO30" s="85" t="e">
        <f ca="1">IF(U30&lt;=Hypothèses!$V$7,Hypothèses!$W$7,IF(U30&lt;=Hypothèses!$V$8,Hypothèses!$W$8,IF(U30&lt;=Hypothèses!$V$9,Hypothèses!$W$9,IF(U30&lt;=Hypothèses!$V$10,Hypothèses!$W$10,IF(U30&lt;=Hypothèses!$V$11,Hypothèses!$W$11,IF(U30&lt;=Hypothèses!$V$12,Hypothèses!$W$12,IF(U30&lt;=Hypothèses!$V$13,Hypothèses!$W$13,IF(U30&lt;=Hypothèses!$V$14,Hypothèses!$W$14,IF(U30&lt;=Hypothèses!$V$15,Hypothèses!$W$15,IF(U30&lt;=Hypothèses!$V$16,Hypothèses!$W$16,IF(U30&lt;=Hypothèses!$V$17,Hypothèses!$W$17,IF(U30&lt;=Hypothèses!$V$18,Hypothèses!$W$18,""))))))))))))</f>
        <v>#DIV/0!</v>
      </c>
      <c r="AP30" s="87" t="e">
        <f t="shared" ca="1" si="117"/>
        <v>#DIV/0!</v>
      </c>
      <c r="AQ30" s="88" t="e">
        <f ca="1">IF(U30&lt;=Hypothèses!$V$7,Hypothèses!$X$7,IF(U30&lt;=Hypothèses!$V$8,Hypothèses!$X$8,IF(U30&lt;=Hypothèses!$V$9,Hypothèses!$X$9,IF(U30&lt;=Hypothèses!$V$10,Hypothèses!$X$10,IF(U30&lt;=Hypothèses!$V$11,Hypothèses!$X$11,IF(U30&lt;=Hypothèses!$V$12,Hypothèses!$X$12,IF(U30&lt;=Hypothèses!$V$13,Hypothèses!$X$13,IF(U30&lt;=Hypothèses!$V$14,Hypothèses!$X$14,IF(U30&lt;=Hypothèses!$V$15,Hypothèses!$X$15,IF(U30&lt;=Hypothèses!$V$16,Hypothèses!$X$16,IF(U30&lt;=Hypothèses!$U$17,Hypothèses!$W$17,IF(U30&lt;=Hypothèses!$U$18,Hypothèses!$W$18,""))))))))))))</f>
        <v>#DIV/0!</v>
      </c>
      <c r="AR30" s="95" t="e">
        <f t="shared" ca="1" si="72"/>
        <v>#DIV/0!</v>
      </c>
      <c r="AS30" s="101" t="e">
        <f t="shared" si="124"/>
        <v>#N/A</v>
      </c>
      <c r="AT30" s="91" t="e">
        <f t="shared" si="23"/>
        <v>#N/A</v>
      </c>
      <c r="AU30" s="30" t="e">
        <f t="shared" si="102"/>
        <v>#N/A</v>
      </c>
      <c r="AV30" s="30" t="e">
        <f t="shared" si="103"/>
        <v>#N/A</v>
      </c>
      <c r="AW30" s="31" t="e">
        <f>IF(OR(Hypothèses!$B$4=17,Hypothèses!$B$4=18,Hypothèses!$B$4=19,Hypothèses!$B$4=20),
IF($D30="Pressio.",
IF(OR($E30=3,$E30=1,$E30=4),AV30,AU30),
IF($D30="Pénétro.",
IF(OR($E30=3,$E30=1,$E30=4),AV30,AU30))),IF($D30="Pressio.",
IF($E30=3,AV30,AU30),
IF($D30="Pénétro.",
IF($E30=4,AV30,AU30))))</f>
        <v>#N/A</v>
      </c>
      <c r="AX30" s="31" t="e">
        <f>(IF(OR(Hypothèses!$B$4=17,Hypothèses!$B$4=18,Hypothèses!$B$4=19,Hypothèses!$B$4=20),
IF($D30="Pressio.",
IF(OR($E30=3,$E30=1,$E30=4),(PI()*AX$12^2)/4*(AT30*$W30*1000)/($H30*$B$5),(PI()*AX$12^2)/4*(AT30*$W30*1000)/($G30*$B$5)),
IF($D30="Pénétro.",
IF(OR($E30=4,$E30=1,$E30=5),(PI()*AX$12^2)/4*(AT30*$W30*1000)/($H30*$B$5),(PI()*AX$12^2)/4*(AT30*$W30*1000)/($G30*$B$5)))),
IF($D30="Pressio.",
IF($E30=3,(PI()*AX$12^2)/4*(AT30*$W30*1000)/($H30*$B$5),(PI()*AX$12^2)/4*(AT30*$W30*1000)/($G30*$B$5)),
IF($D30="Pénétro.",
IF($E30=4,(PI()*AX$12^2)/4*(AT30*$W30*1000)/($H30*$B$5),(PI()*AX$12^2)/4*(AT30*$W30*1000)/($G30*$B$5))))))/10</f>
        <v>#N/A</v>
      </c>
      <c r="AY30" s="102" t="e">
        <f>(VLOOKUP($B$3,'Coeff EC7'!$T$39:$X$59,2,0)*AW30+VLOOKUP($B$3,'Coeff EC7'!$T$65:$X$85,2,0)*Model0.1C!AX30)/1.1</f>
        <v>#N/A</v>
      </c>
      <c r="AZ30" s="102" t="e">
        <f>(VLOOKUP($B$3,'Coeff EC7'!$T$39:$X$59,3,0)*AW30+VLOOKUP($B$3,'Coeff EC7'!$T$65:$X$85,3,0)*Model0.1C!AX30)/0.9</f>
        <v>#N/A</v>
      </c>
      <c r="BA30" s="102" t="e">
        <f t="shared" si="73"/>
        <v>#N/A</v>
      </c>
      <c r="BB30" s="102" t="e">
        <f t="shared" si="74"/>
        <v>#N/A</v>
      </c>
      <c r="BC30" s="414" t="e">
        <f>IF(BC29=0,0,IF(AND(AY30&gt;charge_ELS_quasi,AZ30&gt;Charge_ELS_freq,BA30&gt;charge_ELU,BB30&gt;charge_ELA,$B30&gt;NDC!$H$22-0.1+MIN(3*$BC$12,1.5)),0,1))</f>
        <v>#N/A</v>
      </c>
      <c r="BD30" s="86" t="b">
        <f t="shared" si="26"/>
        <v>0</v>
      </c>
      <c r="BE30" s="86">
        <f t="shared" si="75"/>
        <v>0.5</v>
      </c>
      <c r="BF30" s="86">
        <f t="shared" si="27"/>
        <v>0.5</v>
      </c>
      <c r="BG30" s="30" t="e">
        <f t="shared" ca="1" si="76"/>
        <v>#DIV/0!</v>
      </c>
      <c r="BH30" s="85" t="e">
        <f ca="1">IF(AN30&lt;=Hypothèses!$V$7,Hypothèses!$W$7,IF(AN30&lt;=Hypothèses!$V$8,Hypothèses!$W$8,IF(AN30&lt;=Hypothèses!$V$9,Hypothèses!$W$9,IF(AN30&lt;=Hypothèses!$V$10,Hypothèses!$W$10,IF(AN30&lt;=Hypothèses!$V$11,Hypothèses!$W$11,IF(AN30&lt;=Hypothèses!$V$12,Hypothèses!$W$12,IF(AN30&lt;=Hypothèses!$V$13,Hypothèses!$W$13,IF(AN30&lt;=Hypothèses!$V$14,Hypothèses!$W$14,IF(AN30&lt;=Hypothèses!$V$15,Hypothèses!$W$15,IF(AN30&lt;=Hypothèses!$V$16,Hypothèses!$W$16,IF(AN30&lt;=Hypothèses!$V$17,Hypothèses!$W$17,IF(AN30&lt;=Hypothèses!$V$18,Hypothèses!$W$18,""))))))))))))</f>
        <v>#DIV/0!</v>
      </c>
      <c r="BI30" s="87" t="e">
        <f t="shared" ca="1" si="118"/>
        <v>#DIV/0!</v>
      </c>
      <c r="BJ30" s="88" t="e">
        <f ca="1">IF(AN30&lt;=Hypothèses!$V$7,Hypothèses!$X$7,IF(AN30&lt;=Hypothèses!$V$8,Hypothèses!$X$8,IF(AN30&lt;=Hypothèses!$V$9,Hypothèses!$X$9,IF(AN30&lt;=Hypothèses!$V$10,Hypothèses!$X$10,IF(AN30&lt;=Hypothèses!$V$11,Hypothèses!$X$11,IF(AN30&lt;=Hypothèses!$V$12,Hypothèses!$X$12,IF(AN30&lt;=Hypothèses!$V$13,Hypothèses!$X$13,IF(AN30&lt;=Hypothèses!$V$14,Hypothèses!$X$14,IF(AN30&lt;=Hypothèses!$V$15,Hypothèses!$X$15,IF(AN30&lt;=Hypothèses!$V$16,Hypothèses!$X$16,IF(AN30&lt;=Hypothèses!$U$17,Hypothèses!$W$17,IF(AN30&lt;=Hypothèses!$U$18,Hypothèses!$W$18,""))))))))))))</f>
        <v>#DIV/0!</v>
      </c>
      <c r="BK30" s="95" t="e">
        <f t="shared" ca="1" si="77"/>
        <v>#DIV/0!</v>
      </c>
      <c r="BL30" s="101" t="e">
        <f t="shared" si="125"/>
        <v>#N/A</v>
      </c>
      <c r="BM30" s="91" t="e">
        <f t="shared" si="29"/>
        <v>#N/A</v>
      </c>
      <c r="BN30" s="30" t="e">
        <f t="shared" si="104"/>
        <v>#N/A</v>
      </c>
      <c r="BO30" s="30" t="e">
        <f t="shared" si="105"/>
        <v>#N/A</v>
      </c>
      <c r="BP30" s="31" t="e">
        <f>IF(OR(Hypothèses!$B$4=17,Hypothèses!$B$4=18,Hypothèses!$B$4=19,Hypothèses!$B$4=20),
IF($D30="Pressio.",
IF(OR($E30=3,$E30=1,$E30=4),BO30,BN30),
IF($D30="Pénétro.",
IF(OR($E30=3,$E30=1,$E30=4),BO30,BN30))),IF($D30="Pressio.",
IF($E30=3,BO30,BN30),
IF($D30="Pénétro.",
IF($E30=4,BO30,BN30))))</f>
        <v>#N/A</v>
      </c>
      <c r="BQ30" s="31" t="e">
        <f>(IF(OR(Hypothèses!$B$4=17,Hypothèses!$B$4=18,Hypothèses!$B$4=19,Hypothèses!$B$4=20),
IF($D30="Pressio.",
IF(OR($E30=3,$E30=1,$E30=4),(PI()*BQ$12^2)/4*(BM30*$W30*1000)/($H30*$B$5),(PI()*BQ$12^2)/4*(BM30*$W30*1000)/($G30*$B$5)),
IF($D30="Pénétro.",
IF(OR($E30=4,$E30=1,$E30=5),(PI()*BQ$12^2)/4*(BM30*$W30*1000)/($H30*$B$5),(PI()*BQ$12^2)/4*(BM30*$W30*1000)/($G30*$B$5)))),
IF($D30="Pressio.",
IF($E30=3,(PI()*BQ$12^2)/4*(BM30*$W30*1000)/($H30*$B$5),(PI()*BQ$12^2)/4*(BM30*$W30*1000)/($G30*$B$5)),
IF($D30="Pénétro.",
IF($E30=4,(PI()*BQ$12^2)/4*(BM30*$W30*1000)/($H30*$B$5),(PI()*BQ$12^2)/4*(BM30*$W30*1000)/($G30*$B$5))))))/10</f>
        <v>#N/A</v>
      </c>
      <c r="BR30" s="102" t="e">
        <f>(VLOOKUP($B$3,'Coeff EC7'!$T$39:$X$59,2,0)*BP30+VLOOKUP($B$3,'Coeff EC7'!$T$65:$X$85,2,0)*Model0.1C!BQ30)/1.1</f>
        <v>#N/A</v>
      </c>
      <c r="BS30" s="102" t="e">
        <f>(VLOOKUP($B$3,'Coeff EC7'!$T$39:$X$59,3,0)*BP30+VLOOKUP($B$3,'Coeff EC7'!$T$65:$X$85,3,0)*Model0.1C!BQ30)/0.9</f>
        <v>#N/A</v>
      </c>
      <c r="BT30" s="102" t="e">
        <f t="shared" si="78"/>
        <v>#N/A</v>
      </c>
      <c r="BU30" s="102" t="e">
        <f t="shared" si="79"/>
        <v>#N/A</v>
      </c>
      <c r="BV30" s="414" t="e">
        <f>IF(BV29=0,0,IF(AND(BR30&gt;charge_ELS_quasi,BS30&gt;Charge_ELS_freq,BT30&gt;charge_ELU,BU30&gt;charge_ELA,$B30&gt;NDC!$H$22-0.1+MIN(3*$BV$12,1.5)),0,1))</f>
        <v>#N/A</v>
      </c>
      <c r="BW30" s="86" t="b">
        <f t="shared" si="32"/>
        <v>0</v>
      </c>
      <c r="BX30" s="86">
        <f t="shared" si="33"/>
        <v>0.5</v>
      </c>
      <c r="BY30" s="86">
        <f t="shared" si="34"/>
        <v>0.5</v>
      </c>
      <c r="BZ30" s="30" t="e">
        <f t="shared" ca="1" si="80"/>
        <v>#DIV/0!</v>
      </c>
      <c r="CA30" s="85" t="e">
        <f ca="1">IF(BG30&lt;=Hypothèses!$V$7,Hypothèses!$W$7,IF(BG30&lt;=Hypothèses!$V$8,Hypothèses!$W$8,IF(BG30&lt;=Hypothèses!$V$9,Hypothèses!$W$9,IF(BG30&lt;=Hypothèses!$V$10,Hypothèses!$W$10,IF(BG30&lt;=Hypothèses!$V$11,Hypothèses!$W$11,IF(BG30&lt;=Hypothèses!$V$12,Hypothèses!$W$12,IF(BG30&lt;=Hypothèses!$V$13,Hypothèses!$W$13,IF(BG30&lt;=Hypothèses!$V$14,Hypothèses!$W$14,IF(BG30&lt;=Hypothèses!$V$15,Hypothèses!$W$15,IF(BG30&lt;=Hypothèses!$V$16,Hypothèses!$W$16,IF(BG30&lt;=Hypothèses!$V$17,Hypothèses!$W$17,IF(BG30&lt;=Hypothèses!$V$18,Hypothèses!$W$18,""))))))))))))</f>
        <v>#DIV/0!</v>
      </c>
      <c r="CB30" s="87" t="e">
        <f t="shared" ca="1" si="119"/>
        <v>#DIV/0!</v>
      </c>
      <c r="CC30" s="88" t="e">
        <f ca="1">IF(BG30&lt;=Hypothèses!$V$7,Hypothèses!$X$7,IF(BG30&lt;=Hypothèses!$V$8,Hypothèses!$X$8,IF(BG30&lt;=Hypothèses!$V$9,Hypothèses!$X$9,IF(BG30&lt;=Hypothèses!$V$10,Hypothèses!$X$10,IF(BG30&lt;=Hypothèses!$V$11,Hypothèses!$X$11,IF(BG30&lt;=Hypothèses!$V$12,Hypothèses!$X$12,IF(BG30&lt;=Hypothèses!$V$13,Hypothèses!$X$13,IF(BG30&lt;=Hypothèses!$V$14,Hypothèses!$X$14,IF(BG30&lt;=Hypothèses!$V$15,Hypothèses!$X$15,IF(BG30&lt;=Hypothèses!$V$16,Hypothèses!$X$16,IF(BG30&lt;=Hypothèses!$U$17,Hypothèses!$W$17,IF(BG30&lt;=Hypothèses!$U$18,Hypothèses!$W$18,""))))))))))))</f>
        <v>#DIV/0!</v>
      </c>
      <c r="CD30" s="95" t="e">
        <f t="shared" ca="1" si="81"/>
        <v>#DIV/0!</v>
      </c>
      <c r="CE30" s="101" t="e">
        <f t="shared" si="126"/>
        <v>#N/A</v>
      </c>
      <c r="CF30" s="91" t="e">
        <f t="shared" si="36"/>
        <v>#N/A</v>
      </c>
      <c r="CG30" s="30" t="e">
        <f t="shared" si="106"/>
        <v>#N/A</v>
      </c>
      <c r="CH30" s="30" t="e">
        <f t="shared" si="107"/>
        <v>#N/A</v>
      </c>
      <c r="CI30" s="31" t="e">
        <f>IF(OR(Hypothèses!$B$4=17,Hypothèses!$B$4=18,Hypothèses!$B$4=19,Hypothèses!$B$4=20),
IF($D30="Pressio.",
IF(OR($E30=3,$E30=1,$E30=4),CH30,CG30),
IF($D30="Pénétro.",
IF(OR($E30=3,$E30=1,$E30=4),CH30,CG30))),IF($D30="Pressio.",
IF($E30=3,CH30,CG30),
IF($D30="Pénétro.",
IF($E30=4,CH30,CG30))))</f>
        <v>#N/A</v>
      </c>
      <c r="CJ30" s="31" t="e">
        <f>(IF(OR(Hypothèses!$B$4=17,Hypothèses!$B$4=18,Hypothèses!$B$4=19,Hypothèses!$B$4=20),
IF($D30="Pressio.",
IF(OR($E30=3,$E30=1,$E30=4),(PI()*CJ$12^2)/4*(CF30*$W30*1000)/($H30*$B$5),(PI()*CJ$12^2)/4*(CF30*$W30*1000)/($G30*$B$5)),
IF($D30="Pénétro.",
IF(OR($E30=4,$E30=1,$E30=5),(PI()*CJ$12^2)/4*(CF30*$W30*1000)/($H30*$B$5),(PI()*CJ$12^2)/4*(CF30*$W30*1000)/($G30*$B$5)))),
IF($D30="Pressio.",
IF($E30=3,(PI()*CJ$12^2)/4*(CF30*$W30*1000)/($H30*$B$5),(PI()*CJ$12^2)/4*(CF30*$W30*1000)/($G30*$B$5)),
IF($D30="Pénétro.",
IF($E30=4,(PI()*CJ$12^2)/4*(CF30*$W30*1000)/($H30*$B$5),(PI()*CJ$12^2)/4*(CF30*$W30*1000)/($G30*$B$5))))))/10</f>
        <v>#N/A</v>
      </c>
      <c r="CK30" s="102" t="e">
        <f>(VLOOKUP($B$3,'Coeff EC7'!$T$39:$X$59,2,0)*CI30+VLOOKUP($B$3,'Coeff EC7'!$T$65:$X$85,2,0)*Model0.1C!CJ30)/1.1</f>
        <v>#N/A</v>
      </c>
      <c r="CL30" s="102" t="e">
        <f>(VLOOKUP($B$3,'Coeff EC7'!$T$39:$X$59,3,0)*CI30+VLOOKUP($B$3,'Coeff EC7'!$T$65:$X$85,3,0)*Model0.1C!CJ30)/0.9</f>
        <v>#N/A</v>
      </c>
      <c r="CM30" s="102" t="e">
        <f t="shared" si="82"/>
        <v>#N/A</v>
      </c>
      <c r="CN30" s="102" t="e">
        <f t="shared" si="83"/>
        <v>#N/A</v>
      </c>
      <c r="CO30" s="414" t="e">
        <f>IF(CO29=0,0,IF(AND(CK30&gt;charge_ELS_quasi,CL30&gt;Charge_ELS_freq,CM30&gt;charge_ELU,CN30&gt;charge_ELA,$B30&gt;NDC!$H$22-0.1+MIN(3*$CO$12,1.5)),0,1))</f>
        <v>#N/A</v>
      </c>
      <c r="CP30" s="86" t="b">
        <f t="shared" si="39"/>
        <v>0</v>
      </c>
      <c r="CQ30" s="86">
        <f t="shared" si="40"/>
        <v>0.5</v>
      </c>
      <c r="CR30" s="86">
        <f t="shared" si="41"/>
        <v>0.5</v>
      </c>
      <c r="CS30" s="30" t="e">
        <f t="shared" ca="1" si="84"/>
        <v>#DIV/0!</v>
      </c>
      <c r="CT30" s="85" t="e">
        <f ca="1">IF(BZ30&lt;=Hypothèses!$V$7,Hypothèses!$W$7,IF(BZ30&lt;=Hypothèses!$V$8,Hypothèses!$W$8,IF(BZ30&lt;=Hypothèses!$V$9,Hypothèses!$W$9,IF(BZ30&lt;=Hypothèses!$V$10,Hypothèses!$W$10,IF(BZ30&lt;=Hypothèses!$V$11,Hypothèses!$W$11,IF(BZ30&lt;=Hypothèses!$V$12,Hypothèses!$W$12,IF(BZ30&lt;=Hypothèses!$V$13,Hypothèses!$W$13,IF(BZ30&lt;=Hypothèses!$V$14,Hypothèses!$W$14,IF(BZ30&lt;=Hypothèses!$V$15,Hypothèses!$W$15,IF(BZ30&lt;=Hypothèses!$V$16,Hypothèses!$W$16,IF(BZ30&lt;=Hypothèses!$V$17,Hypothèses!$W$17,IF(BZ30&lt;=Hypothèses!$V$18,Hypothèses!$W$18,""))))))))))))</f>
        <v>#DIV/0!</v>
      </c>
      <c r="CU30" s="87" t="e">
        <f t="shared" ca="1" si="120"/>
        <v>#DIV/0!</v>
      </c>
      <c r="CV30" s="88" t="e">
        <f ca="1">IF(BZ30&lt;=Hypothèses!$V$7,Hypothèses!$X$7,IF(BZ30&lt;=Hypothèses!$V$8,Hypothèses!$X$8,IF(BZ30&lt;=Hypothèses!$V$9,Hypothèses!$X$9,IF(BZ30&lt;=Hypothèses!$V$10,Hypothèses!$X$10,IF(BZ30&lt;=Hypothèses!$V$11,Hypothèses!$X$11,IF(BZ30&lt;=Hypothèses!$V$12,Hypothèses!$X$12,IF(BZ30&lt;=Hypothèses!$V$13,Hypothèses!$X$13,IF(BZ30&lt;=Hypothèses!$V$14,Hypothèses!$X$14,IF(BZ30&lt;=Hypothèses!$V$15,Hypothèses!$X$15,IF(BZ30&lt;=Hypothèses!$V$16,Hypothèses!$X$16,IF(BZ30&lt;=Hypothèses!$U$17,Hypothèses!$W$17,IF(BZ30&lt;=Hypothèses!$U$18,Hypothèses!$W$18,""))))))))))))</f>
        <v>#DIV/0!</v>
      </c>
      <c r="CW30" s="95" t="e">
        <f t="shared" ca="1" si="85"/>
        <v>#DIV/0!</v>
      </c>
      <c r="CX30" s="101" t="e">
        <f t="shared" si="127"/>
        <v>#N/A</v>
      </c>
      <c r="CY30" s="91" t="e">
        <f t="shared" si="43"/>
        <v>#N/A</v>
      </c>
      <c r="CZ30" s="30" t="e">
        <f t="shared" si="108"/>
        <v>#N/A</v>
      </c>
      <c r="DA30" s="30" t="e">
        <f t="shared" si="109"/>
        <v>#N/A</v>
      </c>
      <c r="DB30" s="31" t="e">
        <f>IF(OR(Hypothèses!$B$4=17,Hypothèses!$B$4=18,Hypothèses!$B$4=19,Hypothèses!$B$4=20),
IF($D30="Pressio.",
IF(OR($E30=3,$E30=1,$E30=4),DA30,CZ30),
IF($D30="Pénétro.",
IF(OR($E30=3,$E30=1,$E30=4),DA30,CZ30))),IF($D30="Pressio.",
IF($E30=3,DA30,CZ30),
IF($D30="Pénétro.",
IF($E30=4,DA30,CZ30))))</f>
        <v>#N/A</v>
      </c>
      <c r="DC30" s="31" t="e">
        <f>(IF(OR(Hypothèses!$B$4=17,Hypothèses!$B$4=18,Hypothèses!$B$4=19,Hypothèses!$B$4=20),
IF($D30="Pressio.",
IF(OR($E30=3,$E30=1,$E30=4),(PI()*DC$12^2)/4*(CY30*$W30*1000)/($H30*$B$5),(PI()*DC$12^2)/4*(CY30*$W30*1000)/($G30*$B$5)),
IF($D30="Pénétro.",
IF(OR($E30=4,$E30=1,$E30=5),(PI()*DC$12^2)/4*(CY30*$W30*1000)/($H30*$B$5),(PI()*DC$12^2)/4*(CY30*$W30*1000)/($G30*$B$5)))),
IF($D30="Pressio.",
IF($E30=3,(PI()*DC$12^2)/4*(CY30*$W30*1000)/($H30*$B$5),(PI()*DC$12^2)/4*(CY30*$W30*1000)/($G30*$B$5)),
IF($D30="Pénétro.",
IF($E30=4,(PI()*DC$12^2)/4*(CY30*$W30*1000)/($H30*$B$5),(PI()*DC$12^2)/4*(CY30*$W30*1000)/($G30*$B$5))))))/10</f>
        <v>#N/A</v>
      </c>
      <c r="DD30" s="102" t="e">
        <f>(VLOOKUP($B$3,'Coeff EC7'!$T$39:$X$59,2,0)*DB30+VLOOKUP($B$3,'Coeff EC7'!$T$65:$X$85,2,0)*Model0.1C!DC30)/1.1</f>
        <v>#N/A</v>
      </c>
      <c r="DE30" s="102" t="e">
        <f>(VLOOKUP($B$3,'Coeff EC7'!$T$39:$X$59,3,0)*DB30+VLOOKUP($B$3,'Coeff EC7'!$T$65:$X$85,3,0)*Model0.1C!DC30)/0.9</f>
        <v>#N/A</v>
      </c>
      <c r="DF30" s="102" t="e">
        <f t="shared" si="86"/>
        <v>#N/A</v>
      </c>
      <c r="DG30" s="102" t="e">
        <f t="shared" si="87"/>
        <v>#N/A</v>
      </c>
      <c r="DH30" s="414" t="e">
        <f>IF(DH29=0,0,IF(AND(DD30&gt;charge_ELS_quasi,DE30&gt;Charge_ELS_freq,DF30&gt;charge_ELU,DG30&gt;charge_ELA,$B30&gt;NDC!$H$22-0.1+MIN(3*$DH$12,1.5)),0,1))</f>
        <v>#N/A</v>
      </c>
      <c r="DI30" s="86" t="b">
        <f t="shared" si="46"/>
        <v>0</v>
      </c>
      <c r="DJ30" s="86">
        <f t="shared" si="47"/>
        <v>0.5</v>
      </c>
      <c r="DK30" s="86">
        <f t="shared" si="48"/>
        <v>0.5</v>
      </c>
      <c r="DL30" s="30" t="e">
        <f t="shared" ca="1" si="88"/>
        <v>#DIV/0!</v>
      </c>
      <c r="DM30" s="85" t="e">
        <f ca="1">IF(CS30&lt;=Hypothèses!$V$7,Hypothèses!$W$7,IF(CS30&lt;=Hypothèses!$V$8,Hypothèses!$W$8,IF(CS30&lt;=Hypothèses!$V$9,Hypothèses!$W$9,IF(CS30&lt;=Hypothèses!$V$10,Hypothèses!$W$10,IF(CS30&lt;=Hypothèses!$V$11,Hypothèses!$W$11,IF(CS30&lt;=Hypothèses!$V$12,Hypothèses!$W$12,IF(CS30&lt;=Hypothèses!$V$13,Hypothèses!$W$13,IF(CS30&lt;=Hypothèses!$V$14,Hypothèses!$W$14,IF(CS30&lt;=Hypothèses!$V$15,Hypothèses!$W$15,IF(CS30&lt;=Hypothèses!$V$16,Hypothèses!$W$16,IF(CS30&lt;=Hypothèses!$V$17,Hypothèses!$W$17,IF(CS30&lt;=Hypothèses!$V$18,Hypothèses!$W$18,""))))))))))))</f>
        <v>#DIV/0!</v>
      </c>
      <c r="DN30" s="87" t="e">
        <f t="shared" ca="1" si="121"/>
        <v>#DIV/0!</v>
      </c>
      <c r="DO30" s="88" t="e">
        <f ca="1">IF(CS30&lt;=Hypothèses!$V$7,Hypothèses!$X$7,IF(CS30&lt;=Hypothèses!$V$8,Hypothèses!$X$8,IF(CS30&lt;=Hypothèses!$V$9,Hypothèses!$X$9,IF(CS30&lt;=Hypothèses!$V$10,Hypothèses!$X$10,IF(CS30&lt;=Hypothèses!$V$11,Hypothèses!$X$11,IF(CS30&lt;=Hypothèses!$V$12,Hypothèses!$X$12,IF(CS30&lt;=Hypothèses!$V$13,Hypothèses!$X$13,IF(CS30&lt;=Hypothèses!$V$14,Hypothèses!$X$14,IF(CS30&lt;=Hypothèses!$V$15,Hypothèses!$X$15,IF(CS30&lt;=Hypothèses!$V$16,Hypothèses!$X$16,IF(CS30&lt;=Hypothèses!$U$17,Hypothèses!$W$17,IF(CS30&lt;=Hypothèses!$U$18,Hypothèses!$W$18,""))))))))))))</f>
        <v>#DIV/0!</v>
      </c>
      <c r="DP30" s="95" t="e">
        <f t="shared" ca="1" si="89"/>
        <v>#DIV/0!</v>
      </c>
      <c r="DQ30" s="101" t="e">
        <f t="shared" si="128"/>
        <v>#N/A</v>
      </c>
      <c r="DR30" s="91" t="e">
        <f t="shared" si="50"/>
        <v>#N/A</v>
      </c>
      <c r="DS30" s="30" t="e">
        <f t="shared" si="110"/>
        <v>#N/A</v>
      </c>
      <c r="DT30" s="30" t="e">
        <f t="shared" si="111"/>
        <v>#N/A</v>
      </c>
      <c r="DU30" s="31" t="e">
        <f>IF(OR(Hypothèses!$B$4=17,Hypothèses!$B$4=18,Hypothèses!$B$4=19,Hypothèses!$B$4=20),
IF($D30="Pressio.",
IF(OR($E30=3,$E30=1,$E30=4),DT30,DS30),
IF($D30="Pénétro.",
IF(OR($E30=3,$E30=1,$E30=4),DT30,DS30))),IF($D30="Pressio.",
IF($E30=3,DT30,DS30),
IF($D30="Pénétro.",
IF($E30=4,DT30,DS30))))</f>
        <v>#N/A</v>
      </c>
      <c r="DV30" s="31" t="e">
        <f>(IF(OR(Hypothèses!$B$4=17,Hypothèses!$B$4=18,Hypothèses!$B$4=19,Hypothèses!$B$4=20),
IF($D30="Pressio.",
IF(OR($E30=3,$E30=1,$E30=4),(PI()*DV$12^2)/4*(DR30*$W30*1000)/($H30*$B$5),(PI()*DV$12^2)/4*(DR30*$W30*1000)/($G30*$B$5)),
IF($D30="Pénétro.",
IF(OR($E30=4,$E30=1,$E30=5),(PI()*DV$12^2)/4*(DR30*$W30*1000)/($H30*$B$5),(PI()*DV$12^2)/4*(DR30*$W30*1000)/($G30*$B$5)))),
IF($D30="Pressio.",
IF($E30=3,(PI()*DV$12^2)/4*(DR30*$W30*1000)/($H30*$B$5),(PI()*DV$12^2)/4*(DR30*$W30*1000)/($G30*$B$5)),
IF($D30="Pénétro.",
IF($E30=4,(PI()*DV$12^2)/4*(DR30*$W30*1000)/($H30*$B$5),(PI()*DV$12^2)/4*(DR30*$W30*1000)/($G30*$B$5))))))/10</f>
        <v>#N/A</v>
      </c>
      <c r="DW30" s="102" t="e">
        <f>(VLOOKUP($B$3,'Coeff EC7'!$T$39:$X$59,2,0)*DU30+VLOOKUP($B$3,'Coeff EC7'!$T$65:$X$85,2,0)*Model0.1C!DV30)/1.1</f>
        <v>#N/A</v>
      </c>
      <c r="DX30" s="102" t="e">
        <f>(VLOOKUP($B$3,'Coeff EC7'!$T$39:$X$59,3,0)*DU30+VLOOKUP($B$3,'Coeff EC7'!$T$65:$X$85,3,0)*Model0.1C!DV30)/0.9</f>
        <v>#N/A</v>
      </c>
      <c r="DY30" s="102" t="e">
        <f t="shared" si="90"/>
        <v>#N/A</v>
      </c>
      <c r="DZ30" s="102" t="e">
        <f t="shared" si="91"/>
        <v>#N/A</v>
      </c>
      <c r="EA30" s="414" t="e">
        <f>IF(EA29=0,0,IF(AND(DW30&gt;charge_ELS_quasi,DX30&gt;Charge_ELS_freq,DY30&gt;charge_ELU,DZ30&gt;charge_ELA,$B30&gt;NDC!$H$22-0.1+MIN(3*$EA$12,1.5)),0,1))</f>
        <v>#N/A</v>
      </c>
      <c r="EB30" s="86" t="b">
        <f t="shared" si="53"/>
        <v>0</v>
      </c>
      <c r="EC30" s="418">
        <f t="shared" si="54"/>
        <v>0.51</v>
      </c>
      <c r="ED30" s="86">
        <f t="shared" si="55"/>
        <v>0.51</v>
      </c>
      <c r="EE30" s="30" t="e">
        <f t="shared" ca="1" si="92"/>
        <v>#DIV/0!</v>
      </c>
      <c r="EF30" s="85" t="e">
        <f ca="1">IF(DL30&lt;=Hypothèses!$V$7,Hypothèses!$W$7,IF(DL30&lt;=Hypothèses!$V$8,Hypothèses!$W$8,IF(DL30&lt;=Hypothèses!$V$9,Hypothèses!$W$9,IF(DL30&lt;=Hypothèses!$V$10,Hypothèses!$W$10,IF(DL30&lt;=Hypothèses!$V$11,Hypothèses!$W$11,IF(DL30&lt;=Hypothèses!$V$12,Hypothèses!$W$12,IF(DL30&lt;=Hypothèses!$V$13,Hypothèses!$W$13,IF(DL30&lt;=Hypothèses!$V$14,Hypothèses!$W$14,IF(DL30&lt;=Hypothèses!$V$15,Hypothèses!$W$15,IF(DL30&lt;=Hypothèses!$V$16,Hypothèses!$W$16,IF(DL30&lt;=Hypothèses!$V$17,Hypothèses!$W$17,IF(DL30&lt;=Hypothèses!$V$18,Hypothèses!$W$18,""))))))))))))</f>
        <v>#DIV/0!</v>
      </c>
      <c r="EG30" s="87" t="e">
        <f t="shared" ca="1" si="122"/>
        <v>#DIV/0!</v>
      </c>
      <c r="EH30" s="88" t="e">
        <f ca="1">IF(DL30&lt;=Hypothèses!$V$7,Hypothèses!$X$7,IF(DL30&lt;=Hypothèses!$V$8,Hypothèses!$X$8,IF(DL30&lt;=Hypothèses!$V$9,Hypothèses!$X$9,IF(DL30&lt;=Hypothèses!$V$10,Hypothèses!$X$10,IF(DL30&lt;=Hypothèses!$V$11,Hypothèses!$X$11,IF(DL30&lt;=Hypothèses!$V$12,Hypothèses!$X$12,IF(DL30&lt;=Hypothèses!$V$13,Hypothèses!$X$13,IF(DL30&lt;=Hypothèses!$V$14,Hypothèses!$X$14,IF(DL30&lt;=Hypothèses!$V$15,Hypothèses!$X$15,IF(DL30&lt;=Hypothèses!$V$16,Hypothèses!$X$16,IF(DL30&lt;=Hypothèses!$U$17,Hypothèses!$W$17,IF(DL30&lt;=Hypothèses!$U$18,Hypothèses!$W$18,""))))))))))))</f>
        <v>#DIV/0!</v>
      </c>
      <c r="EI30" s="95" t="e">
        <f t="shared" ca="1" si="93"/>
        <v>#DIV/0!</v>
      </c>
      <c r="EJ30" s="101" t="e">
        <f t="shared" si="129"/>
        <v>#N/A</v>
      </c>
      <c r="EK30" s="91" t="e">
        <f t="shared" si="57"/>
        <v>#N/A</v>
      </c>
      <c r="EL30" s="30" t="e">
        <f t="shared" si="112"/>
        <v>#N/A</v>
      </c>
      <c r="EM30" s="30" t="e">
        <f t="shared" si="113"/>
        <v>#N/A</v>
      </c>
      <c r="EN30" s="31" t="e">
        <f>IF(OR(Hypothèses!$B$4=17,Hypothèses!$B$4=18,Hypothèses!$B$4=19,Hypothèses!$B$4=20),
IF($D30="Pressio.",
IF(OR($E30=3,$E30=1,$E30=4),EM30,EL30),
IF($D30="Pénétro.",
IF(OR($E30=3,$E30=1,$E30=4),EM30,EL30))),IF($D30="Pressio.",
IF($E30=3,EM30,EL30),
IF($D30="Pénétro.",
IF($E30=4,EM30,EL30))))</f>
        <v>#N/A</v>
      </c>
      <c r="EO30" s="31" t="e">
        <f>(IF(OR(Hypothèses!$B$4=17,Hypothèses!$B$4=18,Hypothèses!$B$4=19,Hypothèses!$B$4=20),
IF($D30="Pressio.",
IF(OR($E30=3,$E30=1,$E30=4),(PI()*EO$12^2)/4*(EK30*$W30*1000)/($H30*$B$5),(PI()*EO$12^2)/4*(EK30*$W30*1000)/($G30*$B$5)),
IF($D30="Pénétro.",
IF(OR($E30=4,$E30=1,$E30=5),(PI()*EO$12^2)/4*(EK30*$W30*1000)/($H30*$B$5),(PI()*EO$12^2)/4*(EK30*$W30*1000)/($G30*$B$5)))),
IF($D30="Pressio.",
IF($E30=3,(PI()*EO$12^2)/4*(EK30*$W30*1000)/($H30*$B$5),(PI()*EO$12^2)/4*(EK30*$W30*1000)/($G30*$B$5)),
IF($D30="Pénétro.",
IF($E30=4,(PI()*EO$12^2)/4*(EK30*$W30*1000)/($H30*$B$5),(PI()*EO$12^2)/4*(EK30*$W30*1000)/($G30*$B$5))))))/10</f>
        <v>#N/A</v>
      </c>
      <c r="EP30" s="102" t="e">
        <f>(VLOOKUP($B$3,'Coeff EC7'!$T$39:$X$59,2,0)*EN30+VLOOKUP($B$3,'Coeff EC7'!$T$65:$X$85,2,0)*Model0.1C!EO30)/1.1</f>
        <v>#N/A</v>
      </c>
      <c r="EQ30" s="102" t="e">
        <f>(VLOOKUP($B$3,'Coeff EC7'!$T$39:$X$59,3,0)*EN30+VLOOKUP($B$3,'Coeff EC7'!$T$65:$X$85,3,0)*Model0.1C!EO30)/0.9</f>
        <v>#N/A</v>
      </c>
      <c r="ER30" s="102" t="e">
        <f t="shared" si="94"/>
        <v>#N/A</v>
      </c>
      <c r="ES30" s="102" t="e">
        <f t="shared" si="95"/>
        <v>#N/A</v>
      </c>
      <c r="ET30" s="414" t="e">
        <f>IF(ET29=0,0,IF(AND(EP30&gt;charge_ELS_quasi,EQ30&gt;Charge_ELS_freq,ER30&gt;charge_ELU,ES30&gt;charge_ELA,$B30&gt;NDC!$H$22-0.1+MIN(3*$ET$12,1.5)),0,1))</f>
        <v>#N/A</v>
      </c>
      <c r="EU30" s="86" t="b">
        <f t="shared" si="60"/>
        <v>0</v>
      </c>
      <c r="EV30" s="86">
        <f t="shared" si="61"/>
        <v>0.61</v>
      </c>
      <c r="EW30" s="86">
        <f t="shared" si="62"/>
        <v>0.61</v>
      </c>
      <c r="EX30" s="30" t="e">
        <f t="shared" ca="1" si="96"/>
        <v>#DIV/0!</v>
      </c>
      <c r="EY30" s="85" t="e">
        <f ca="1">IF(EE30&lt;=Hypothèses!$V$7,Hypothèses!$W$7,IF(EE30&lt;=Hypothèses!$V$8,Hypothèses!$W$8,IF(EE30&lt;=Hypothèses!$V$9,Hypothèses!$W$9,IF(EE30&lt;=Hypothèses!$V$10,Hypothèses!$W$10,IF(EE30&lt;=Hypothèses!$V$11,Hypothèses!$W$11,IF(EE30&lt;=Hypothèses!$V$12,Hypothèses!$W$12,IF(EE30&lt;=Hypothèses!$V$13,Hypothèses!$W$13,IF(EE30&lt;=Hypothèses!$V$14,Hypothèses!$W$14,IF(EE30&lt;=Hypothèses!$V$15,Hypothèses!$W$15,IF(EE30&lt;=Hypothèses!$V$16,Hypothèses!$W$16,IF(EE30&lt;=Hypothèses!$V$17,Hypothèses!$W$17,IF(EE30&lt;=Hypothèses!$V$18,Hypothèses!$W$18,""))))))))))))</f>
        <v>#DIV/0!</v>
      </c>
      <c r="EZ30" s="87" t="e">
        <f t="shared" ca="1" si="123"/>
        <v>#DIV/0!</v>
      </c>
      <c r="FA30" s="88" t="e">
        <f ca="1">IF(EE30&lt;=Hypothèses!$V$7,Hypothèses!$X$7,IF(EE30&lt;=Hypothèses!$V$8,Hypothèses!$X$8,IF(EE30&lt;=Hypothèses!$V$9,Hypothèses!$X$9,IF(EE30&lt;=Hypothèses!$V$10,Hypothèses!$X$10,IF(EE30&lt;=Hypothèses!$V$11,Hypothèses!$X$11,IF(EE30&lt;=Hypothèses!$V$12,Hypothèses!$X$12,IF(EE30&lt;=Hypothèses!$V$13,Hypothèses!$X$13,IF(EE30&lt;=Hypothèses!$V$14,Hypothèses!$X$14,IF(EE30&lt;=Hypothèses!$V$15,Hypothèses!$X$15,IF(EE30&lt;=Hypothèses!$V$16,Hypothèses!$X$16,IF(EE30&lt;=Hypothèses!$U$17,Hypothèses!$W$17,IF(EE30&lt;=Hypothèses!$U$18,Hypothèses!$W$18,""))))))))))))</f>
        <v>#DIV/0!</v>
      </c>
      <c r="FB30" s="95" t="e">
        <f t="shared" ca="1" si="97"/>
        <v>#DIV/0!</v>
      </c>
      <c r="FC30" s="101" t="e">
        <f t="shared" si="130"/>
        <v>#N/A</v>
      </c>
      <c r="FD30" s="91" t="e">
        <f t="shared" si="64"/>
        <v>#N/A</v>
      </c>
      <c r="FE30" s="30" t="e">
        <f t="shared" si="114"/>
        <v>#N/A</v>
      </c>
      <c r="FF30" s="30" t="e">
        <f t="shared" si="115"/>
        <v>#N/A</v>
      </c>
      <c r="FG30" s="31" t="e">
        <f>IF(OR(Hypothèses!$B$4=17,Hypothèses!$B$4=18,Hypothèses!$B$4=19,Hypothèses!$B$4=20),
IF($D30="Pressio.",
IF(OR($E30=3,$E30=1,$E30=4),FF30,FE30),
IF($D30="Pénétro.",
IF(OR($E30=3,$E30=1,$E30=4),FF30,FE30))),IF($D30="Pressio.",
IF($E30=3,FF30,FE30),
IF($D30="Pénétro.",
IF($E30=4,FF30,FE30))))</f>
        <v>#N/A</v>
      </c>
      <c r="FH30" s="31" t="e">
        <f>(IF(OR(Hypothèses!$B$4=17,Hypothèses!$B$4=18,Hypothèses!$B$4=19,Hypothèses!$B$4=20),
IF($D30="Pressio.",
IF(OR($E30=3,$E30=1,$E30=4),(PI()*FH$12^2)/4*(FD30*$W30*1000)/($H30*$B$5),(PI()*FH$12^2)/4*(FD30*$W30*1000)/($G30*$B$5)),
IF($D30="Pénétro.",
IF(OR($E30=4,$E30=1,$E30=5),(PI()*FH$12^2)/4*(FD30*$W30*1000)/($H30*$B$5),(PI()*FH$12^2)/4*(FD30*$W30*1000)/($G30*$B$5)))),
IF($D30="Pressio.",
IF($E30=3,(PI()*FH$12^2)/4*(FD30*$W30*1000)/($H30*$B$5),(PI()*FH$12^2)/4*(FD30*$W30*1000)/($G30*$B$5)),
IF($D30="Pénétro.",
IF($E30=4,(PI()*FH$12^2)/4*(FD30*$W30*1000)/($H30*$B$5),(PI()*FH$12^2)/4*(FD30*$W30*1000)/($G30*$B$5))))))/10</f>
        <v>#N/A</v>
      </c>
      <c r="FI30" s="102" t="e">
        <f>(VLOOKUP($B$3,'Coeff EC7'!$T$39:$X$59,2,0)*FG30+VLOOKUP($B$3,'Coeff EC7'!$T$65:$X$85,2,0)*Model0.1C!FH30)/1.1</f>
        <v>#N/A</v>
      </c>
      <c r="FJ30" s="102" t="e">
        <f>(VLOOKUP($B$3,'Coeff EC7'!$T$39:$X$59,3,0)*FG30+VLOOKUP($B$3,'Coeff EC7'!$T$65:$X$85,3,0)*Model0.1C!FH30)/0.9</f>
        <v>#N/A</v>
      </c>
      <c r="FK30" s="102" t="e">
        <f t="shared" si="98"/>
        <v>#N/A</v>
      </c>
      <c r="FL30" s="102" t="e">
        <f t="shared" si="99"/>
        <v>#N/A</v>
      </c>
      <c r="FM30" s="414" t="e">
        <f>IF(FM29=0,0,IF(AND(FI30&gt;charge_ELS_quasi,FJ30&gt;Charge_ELS_freq,FK30&gt;charge_ELU,FL30&gt;charge_ELA,$B30&gt;NDC!$H$22-0.1+MIN(3*$FM$12,1.5)),0,1))</f>
        <v>#N/A</v>
      </c>
    </row>
    <row r="31" spans="1:169">
      <c r="A31" s="96">
        <f t="shared" si="67"/>
        <v>98.200000000000102</v>
      </c>
      <c r="B31" s="97">
        <v>1.8</v>
      </c>
      <c r="C31" s="81">
        <f>IF(B31&lt;=Hypothèses!$C$7,Hypothèses!$A$7,IF(B31&lt;=Hypothèses!$C$8,Hypothèses!$A$8,IF(B31&lt;=Hypothèses!$C$9,Hypothèses!$A$9,IF(B31&lt;=Hypothèses!$C$10,Hypothèses!$A$10,IF(B31&lt;=Hypothèses!$C$11,Hypothèses!$A$11,IF(B31&lt;=Hypothèses!$C$12,Hypothèses!$A$12,IF(B31&lt;=Hypothèses!$C$13,Hypothèses!$A$13,IF(B31&lt;=Hypothèses!$C$14,Hypothèses!$A$14,IF(B31&lt;=Hypothèses!$C$15,Hypothèses!$A$15,IF(B31&lt;=Hypothèses!$C$16,Hypothèses!$A$16,IF(B31&lt;=Hypothèses!$C$17,Hypothèses!$A$17,IF(B31&lt;=Hypothèses!$C$18,Hypothèses!$A$18,C30))))))))))))</f>
        <v>11</v>
      </c>
      <c r="D31" s="82" t="str">
        <f>IF(B31&lt;=Hypothèses!$C$7,Hypothèses!$R$7,IF(B31&lt;=Hypothèses!$C$8,Hypothèses!$R$8,IF(B31&lt;=Hypothèses!$C$9,Hypothèses!$R$9,IF(B31&lt;=Hypothèses!$C$10,Hypothèses!$R$10,IF(B31&lt;=Hypothèses!$C$11,Hypothèses!$R$11,IF(B31&lt;=Hypothèses!$C$12,Hypothèses!$R$12,IF(B31&lt;=Hypothèses!$C$13,Hypothèses!$R$13,IF(B31&lt;=Hypothèses!$C$14,Hypothèses!$R$14,IF(B31&lt;=Hypothèses!$C$15,Hypothèses!$R$15,IF(B31&lt;=Hypothèses!$C$16,Hypothèses!$R$16,IF(B31&lt;=Hypothèses!$C$17,Hypothèses!$R$17,IF(B31&lt;=Hypothèses!$C$18,Hypothèses!$R$18,D30))))))))))))</f>
        <v>Pressio.</v>
      </c>
      <c r="E31" s="82" t="e">
        <f>IF(B31&lt;=Hypothèses!$C$7,Hypothèses!$G$7,IF(B31&lt;=Hypothèses!$C$8,Hypothèses!$G$8,IF(B31&lt;=Hypothèses!$C$9,Hypothèses!$G$9,IF(B31&lt;=Hypothèses!$C$10,Hypothèses!$G$10,IF(B31&lt;=Hypothèses!$C$11,Hypothèses!$G$11,IF(B31&lt;=Hypothèses!$C$12,Hypothèses!$G$12,IF(B31&lt;=Hypothèses!$C$13,Hypothèses!$G$13,IF(B31&lt;=Hypothèses!$C$14,Hypothèses!$G$14,IF(B31&lt;=Hypothèses!$C$15,Hypothèses!$G$15,IF(B31&lt;=Hypothèses!$C$16,Hypothèses!$G$16,IF(B31&lt;=Hypothèses!$C$17,Hypothèses!$G$17,IF(B31&lt;=Hypothèses!$C$18,Hypothèses!$G$18,E30))))))))))))</f>
        <v>#N/A</v>
      </c>
      <c r="F31" s="82" t="str">
        <f>IF(B31&lt;=Hypothèses!$C$7,Hypothèses!$F$7,IF(B31&lt;=Hypothèses!$C$8,Hypothèses!$F$8,IF(B31&lt;=Hypothèses!$C$9,Hypothèses!$F$9,IF(B31&lt;=Hypothèses!$C$10,Hypothèses!$F$10,IF(B31&lt;=Hypothèses!$C$11,Hypothèses!$F$11,IF(B31&lt;=Hypothèses!$C$12,Hypothèses!$F$12,IF(B31&lt;=Hypothèses!$C$13,Hypothèses!$F$13,IF(B31&lt;=Hypothèses!$C$14,Hypothèses!$F$14,IF(B31&lt;=Hypothèses!$C$15,Hypothèses!$F$15,IF(B31&lt;=Hypothèses!$C$16,Hypothèses!$F$16,IF(B31&lt;=Hypothèses!$C$17,Hypothèses!$F$17,IF(B31&lt;=Hypothèses!$C$18,Hypothèses!$F$18,F30))))))))))))</f>
        <v/>
      </c>
      <c r="G31" s="91">
        <f t="array" ref="G31">INDEX('Coeff EC7'!$U$7:$X$27,
MATCH(Model0.1C!$B$3,'Coeff EC7'!$T$7:$T$27,0),
MATCH(Model0.1C!$D31&amp;Model0.1C!$B$4,
'Coeff EC7'!$U$6:$X$6&amp;
'Coeff EC7'!$U$5:$X$5,0))</f>
        <v>1.1499999999999999</v>
      </c>
      <c r="H31" s="91">
        <f t="array" ref="H31">INDEX('Coeff EC7'!$Y$7:$AB$27,
MATCH(Model0.1C!$B$3,'Coeff EC7'!$T$7:$T$27,0),
MATCH(Model0.1C!$D31&amp;Model0.1C!$B$4,
'Coeff EC7'!$Y$6:$AB$6&amp;
'Coeff EC7'!$Y$5:$AB$5,0))</f>
        <v>1.4</v>
      </c>
      <c r="I31" s="83" t="e">
        <f>IF(B31&lt;=Hypothèses!$C$7,Hypothèses!$P$7,IF(B31&lt;=Hypothèses!$C$8,Hypothèses!$P$8,IF(B31&lt;=Hypothèses!$C$9,Hypothèses!$P$9,IF(B31&lt;=Hypothèses!$C$10,Hypothèses!$P$10,IF(B31&lt;=Hypothèses!$C$11,Hypothèses!$P$11,IF(B31&lt;=Hypothèses!$C$12,Hypothèses!$P$12,IF(B31&lt;=Hypothèses!$C$13,Hypothèses!$P$13,IF(B31&lt;=Hypothèses!$C$14,Hypothèses!$P$14,IF(B31&lt;=Hypothèses!$C$15,Hypothèses!$P$15,IF(B31&lt;=Hypothèses!$C$16,Hypothèses!$P$16,IF(B31&lt;=Hypothèses!$C$17,Hypothèses!$P$17,IF(B31&lt;=Hypothèses!$C$18,Hypothèses!$P$18,I30))))))))))))</f>
        <v>#N/A</v>
      </c>
      <c r="J31" s="91" t="e">
        <f t="array" ref="J31">INDEX('Coeff EC7'!$D$33:$Q$33,1,MATCH(D31&amp;E31,'Coeff EC7'!$D$31:$Q$31&amp;'Coeff EC7'!$D$32:$Q$32,0))</f>
        <v>#N/A</v>
      </c>
      <c r="K31" s="91" t="e">
        <f t="array" ref="K31">INDEX('Coeff EC7'!$D$34:$Q$34,1,MATCH(D31&amp;E31,'Coeff EC7'!$D$31:$Q$31&amp;'Coeff EC7'!$D$32:$Q$32,0))</f>
        <v>#N/A</v>
      </c>
      <c r="L31" s="91" t="e">
        <f t="array" ref="L31">INDEX('Coeff EC7'!$D$35:$Q$35,1,MATCH(D31&amp;E31,'Coeff EC7'!$D$31:$Q$31&amp;'Coeff EC7'!$D$32:$Q$32,0))</f>
        <v>#N/A</v>
      </c>
      <c r="M31" s="98" t="e">
        <f t="shared" si="8"/>
        <v>#N/A</v>
      </c>
      <c r="N31" s="99" t="e">
        <f t="array" ref="N31">INDEX('Coeff EC7'!$D$7:$Q$27,MATCH($B$3,'Coeff EC7'!$C$7:$C$27,0),MATCH(D31&amp;E31,'Coeff EC7'!$D$5:$Q$5&amp;'Coeff EC7'!$D$6:$Q$6,0))</f>
        <v>#N/A</v>
      </c>
      <c r="O31" s="99" t="e">
        <f t="array" ref="O31">INDEX('Coeff EC7'!$D$41:$Q$61,MATCH($B$3,'Coeff EC7'!$C$41:$C$61,0),MATCH(D31&amp;E31,'Coeff EC7'!$D$39:$Q$39&amp;'Coeff EC7'!$D$40:$Q$40,0))</f>
        <v>#N/A</v>
      </c>
      <c r="P31" s="30" t="e">
        <f t="shared" si="68"/>
        <v>#N/A</v>
      </c>
      <c r="Q31" s="100" t="e">
        <f t="shared" si="10"/>
        <v>#N/A</v>
      </c>
      <c r="R31" s="86" t="b">
        <f t="shared" si="11"/>
        <v>0</v>
      </c>
      <c r="S31" s="86">
        <f t="shared" si="9"/>
        <v>0.5</v>
      </c>
      <c r="T31" s="86">
        <f t="shared" si="12"/>
        <v>0.5</v>
      </c>
      <c r="U31" s="30" t="e">
        <f t="shared" ca="1" si="69"/>
        <v>#DIV/0!</v>
      </c>
      <c r="V31" s="85" t="str">
        <f>IF(B31&lt;=Hypothèses!$V$7,Hypothèses!$W$7,IF(B31&lt;=Hypothèses!$V$8,Hypothèses!$W$8,IF(B31&lt;=Hypothèses!$V$9,Hypothèses!$W$9,IF(B31&lt;=Hypothèses!$V$10,Hypothèses!$W$10,IF(B31&lt;=Hypothèses!$V$11,Hypothèses!$W$11,IF(B31&lt;=Hypothèses!$V$12,Hypothèses!$W$12,IF(B31&lt;=Hypothèses!$V$13,Hypothèses!$W$13,IF(B31&lt;=Hypothèses!$V$14,Hypothèses!$W$14,IF(B31&lt;=Hypothèses!$V$15,Hypothèses!$W$15,IF(B31&lt;=Hypothèses!$V$16,Hypothèses!$W$16,IF(B31&lt;=Hypothèses!$V$17,Hypothèses!$W$17,IF(B31&lt;=Hypothèses!$V$18,Hypothèses!$W$18,""))))))))))))</f>
        <v/>
      </c>
      <c r="W31" s="87" t="e">
        <f t="shared" ca="1" si="116"/>
        <v>#DIV/0!</v>
      </c>
      <c r="X31" s="88" t="str">
        <f>IF(B31&lt;=Hypothèses!$V$7,Hypothèses!$X$7,IF(B31&lt;=Hypothèses!$V$8,Hypothèses!$X$8,IF(B31&lt;=Hypothèses!$V$9,Hypothèses!$X$9,IF(B31&lt;=Hypothèses!$V$10,Hypothèses!$X$10,IF(B31&lt;=Hypothèses!$V$11,Hypothèses!$X$11,IF(B31&lt;=Hypothèses!$V$12,Hypothèses!$X$12,IF(B31&lt;=Hypothèses!$V$13,Hypothèses!$X$13,IF(B31&lt;=Hypothèses!$V$14,Hypothèses!$X$14,IF(B31&lt;=Hypothèses!$V$15,Hypothèses!$X$15,IF(B31&lt;=Hypothèses!$V$16,Hypothèses!$X$16,IF(B31&lt;=Hypothèses!$U$17,Hypothèses!$W$17,IF(B31&lt;=Hypothèses!$U$18,Hypothèses!$W$18,""))))))))))))</f>
        <v/>
      </c>
      <c r="Y31" s="95" t="e">
        <f t="shared" ca="1" si="13"/>
        <v>#DIV/0!</v>
      </c>
      <c r="Z31" s="101" t="e">
        <f t="shared" si="14"/>
        <v>#N/A</v>
      </c>
      <c r="AA31" s="91" t="e">
        <f t="shared" si="15"/>
        <v>#N/A</v>
      </c>
      <c r="AB31" s="30" t="e">
        <f t="shared" si="100"/>
        <v>#N/A</v>
      </c>
      <c r="AC31" s="30" t="e">
        <f t="shared" si="101"/>
        <v>#N/A</v>
      </c>
      <c r="AD31" s="31" t="e">
        <f>IF(OR(Hypothèses!$B$4=17,Hypothèses!$B$4=18,Hypothèses!$B$4=19,Hypothèses!$B$4=20),
IF($D31="Pressio.",
IF(OR($E31=3,$E31=1,$E31=4),AC31,AB31),
IF($D31="Pénétro.",
IF(OR($E31=3,$E31=1,$E31=4),AC31,AB31))),IF($D31="Pressio.",
IF($E31=3,AC31,AB31),
IF($D31="Pénétro.",
IF($E31=4,AC31,AB31))))</f>
        <v>#N/A</v>
      </c>
      <c r="AE31" s="31" t="e">
        <f>(IF(OR(Hypothèses!$B$4=17,Hypothèses!$B$4=18,Hypothèses!$B$4=19,Hypothèses!$B$4=20),
IF($D31="Pressio.",
IF(OR($E31=3,$E31=1,$E31=4),(PI()*AE$12^2)/4*(AA31*$W31*1000)/($H31*$B$5),(PI()*AE$12^2)/4*(AA31*$W31*1000)/($G31*$B$5)),
IF($D31="Pénétro.",
IF(OR($E31=4,$E31=1,$E31=5),(PI()*AE$12^2)/4*(AA31*$W31*1000)/($H31*$B$5),(PI()*AE$12^2)/4*(AA31*$W31*1000)/($G31*$B$5)))),
IF($D31="Pressio.",
IF($E31=3,(PI()*AE$12^2)/4*(AA31*$W31*1000)/($H31*$B$5),(PI()*AE$12^2)/4*(AA31*$W31*1000)/($G31*$B$5)),
IF($D31="Pénétro.",
IF($E31=4,(PI()*AE$12^2)/4*(AA31*$W31*1000)/($H31*$B$5),(PI()*AE$12^2)/4*(AA31*$W31*1000)/($G31*$B$5))))))/10</f>
        <v>#N/A</v>
      </c>
      <c r="AF31" s="102" t="e">
        <f>(VLOOKUP($B$3,'Coeff EC7'!$T$39:$X$59,2,0)*AD31+VLOOKUP($B$3,'Coeff EC7'!$T$65:$X$85,2,0)*Model0.1C!AE31)/1.1</f>
        <v>#N/A</v>
      </c>
      <c r="AG31" s="102" t="e">
        <f>(VLOOKUP($B$3,'Coeff EC7'!$T$39:$X$59,3,0)*AD31+VLOOKUP($B$3,'Coeff EC7'!$T$65:$X$85,3,0)*Model0.1C!AE31)/0.9</f>
        <v>#N/A</v>
      </c>
      <c r="AH31" s="102" t="e">
        <f t="shared" si="18"/>
        <v>#N/A</v>
      </c>
      <c r="AI31" s="102" t="e">
        <f t="shared" si="19"/>
        <v>#N/A</v>
      </c>
      <c r="AJ31" s="414" t="e">
        <f>IF(AJ30=0,0,IF(AND(AF31&gt;charge_ELS_quasi,AG31&gt;Charge_ELS_freq,AH31&gt;charge_ELU,AI31&gt;charge_ELA,$B31&gt;NDC!$H$22-0.1+MIN(3*$AJ$12,1.5)),0,1))</f>
        <v>#N/A</v>
      </c>
      <c r="AK31" s="86" t="b">
        <f t="shared" si="20"/>
        <v>0</v>
      </c>
      <c r="AL31" s="86">
        <f t="shared" si="70"/>
        <v>0.5</v>
      </c>
      <c r="AM31" s="86">
        <f t="shared" si="21"/>
        <v>0.5</v>
      </c>
      <c r="AN31" s="30" t="e">
        <f t="shared" ca="1" si="71"/>
        <v>#DIV/0!</v>
      </c>
      <c r="AO31" s="85" t="e">
        <f ca="1">IF(U31&lt;=Hypothèses!$V$7,Hypothèses!$W$7,IF(U31&lt;=Hypothèses!$V$8,Hypothèses!$W$8,IF(U31&lt;=Hypothèses!$V$9,Hypothèses!$W$9,IF(U31&lt;=Hypothèses!$V$10,Hypothèses!$W$10,IF(U31&lt;=Hypothèses!$V$11,Hypothèses!$W$11,IF(U31&lt;=Hypothèses!$V$12,Hypothèses!$W$12,IF(U31&lt;=Hypothèses!$V$13,Hypothèses!$W$13,IF(U31&lt;=Hypothèses!$V$14,Hypothèses!$W$14,IF(U31&lt;=Hypothèses!$V$15,Hypothèses!$W$15,IF(U31&lt;=Hypothèses!$V$16,Hypothèses!$W$16,IF(U31&lt;=Hypothèses!$V$17,Hypothèses!$W$17,IF(U31&lt;=Hypothèses!$V$18,Hypothèses!$W$18,""))))))))))))</f>
        <v>#DIV/0!</v>
      </c>
      <c r="AP31" s="87" t="e">
        <f t="shared" ca="1" si="117"/>
        <v>#DIV/0!</v>
      </c>
      <c r="AQ31" s="88" t="e">
        <f ca="1">IF(U31&lt;=Hypothèses!$V$7,Hypothèses!$X$7,IF(U31&lt;=Hypothèses!$V$8,Hypothèses!$X$8,IF(U31&lt;=Hypothèses!$V$9,Hypothèses!$X$9,IF(U31&lt;=Hypothèses!$V$10,Hypothèses!$X$10,IF(U31&lt;=Hypothèses!$V$11,Hypothèses!$X$11,IF(U31&lt;=Hypothèses!$V$12,Hypothèses!$X$12,IF(U31&lt;=Hypothèses!$V$13,Hypothèses!$X$13,IF(U31&lt;=Hypothèses!$V$14,Hypothèses!$X$14,IF(U31&lt;=Hypothèses!$V$15,Hypothèses!$X$15,IF(U31&lt;=Hypothèses!$V$16,Hypothèses!$X$16,IF(U31&lt;=Hypothèses!$U$17,Hypothèses!$W$17,IF(U31&lt;=Hypothèses!$U$18,Hypothèses!$W$18,""))))))))))))</f>
        <v>#DIV/0!</v>
      </c>
      <c r="AR31" s="95" t="e">
        <f t="shared" ca="1" si="72"/>
        <v>#DIV/0!</v>
      </c>
      <c r="AS31" s="101" t="e">
        <f t="shared" si="124"/>
        <v>#N/A</v>
      </c>
      <c r="AT31" s="91" t="e">
        <f t="shared" si="23"/>
        <v>#N/A</v>
      </c>
      <c r="AU31" s="30" t="e">
        <f t="shared" si="102"/>
        <v>#N/A</v>
      </c>
      <c r="AV31" s="30" t="e">
        <f t="shared" si="103"/>
        <v>#N/A</v>
      </c>
      <c r="AW31" s="31" t="e">
        <f>IF(OR(Hypothèses!$B$4=17,Hypothèses!$B$4=18,Hypothèses!$B$4=19,Hypothèses!$B$4=20),
IF($D31="Pressio.",
IF(OR($E31=3,$E31=1,$E31=4),AV31,AU31),
IF($D31="Pénétro.",
IF(OR($E31=3,$E31=1,$E31=4),AV31,AU31))),IF($D31="Pressio.",
IF($E31=3,AV31,AU31),
IF($D31="Pénétro.",
IF($E31=4,AV31,AU31))))</f>
        <v>#N/A</v>
      </c>
      <c r="AX31" s="31" t="e">
        <f>(IF(OR(Hypothèses!$B$4=17,Hypothèses!$B$4=18,Hypothèses!$B$4=19,Hypothèses!$B$4=20),
IF($D31="Pressio.",
IF(OR($E31=3,$E31=1,$E31=4),(PI()*AX$12^2)/4*(AT31*$W31*1000)/($H31*$B$5),(PI()*AX$12^2)/4*(AT31*$W31*1000)/($G31*$B$5)),
IF($D31="Pénétro.",
IF(OR($E31=4,$E31=1,$E31=5),(PI()*AX$12^2)/4*(AT31*$W31*1000)/($H31*$B$5),(PI()*AX$12^2)/4*(AT31*$W31*1000)/($G31*$B$5)))),
IF($D31="Pressio.",
IF($E31=3,(PI()*AX$12^2)/4*(AT31*$W31*1000)/($H31*$B$5),(PI()*AX$12^2)/4*(AT31*$W31*1000)/($G31*$B$5)),
IF($D31="Pénétro.",
IF($E31=4,(PI()*AX$12^2)/4*(AT31*$W31*1000)/($H31*$B$5),(PI()*AX$12^2)/4*(AT31*$W31*1000)/($G31*$B$5))))))/10</f>
        <v>#N/A</v>
      </c>
      <c r="AY31" s="102" t="e">
        <f>(VLOOKUP($B$3,'Coeff EC7'!$T$39:$X$59,2,0)*AW31+VLOOKUP($B$3,'Coeff EC7'!$T$65:$X$85,2,0)*Model0.1C!AX31)/1.1</f>
        <v>#N/A</v>
      </c>
      <c r="AZ31" s="102" t="e">
        <f>(VLOOKUP($B$3,'Coeff EC7'!$T$39:$X$59,3,0)*AW31+VLOOKUP($B$3,'Coeff EC7'!$T$65:$X$85,3,0)*Model0.1C!AX31)/0.9</f>
        <v>#N/A</v>
      </c>
      <c r="BA31" s="102" t="e">
        <f t="shared" si="73"/>
        <v>#N/A</v>
      </c>
      <c r="BB31" s="102" t="e">
        <f t="shared" si="74"/>
        <v>#N/A</v>
      </c>
      <c r="BC31" s="414" t="e">
        <f>IF(BC30=0,0,IF(AND(AY31&gt;charge_ELS_quasi,AZ31&gt;Charge_ELS_freq,BA31&gt;charge_ELU,BB31&gt;charge_ELA,$B31&gt;NDC!$H$22-0.1+MIN(3*$BC$12,1.5)),0,1))</f>
        <v>#N/A</v>
      </c>
      <c r="BD31" s="86" t="b">
        <f t="shared" si="26"/>
        <v>0</v>
      </c>
      <c r="BE31" s="86">
        <f t="shared" si="75"/>
        <v>0.5</v>
      </c>
      <c r="BF31" s="86">
        <f t="shared" si="27"/>
        <v>0.5</v>
      </c>
      <c r="BG31" s="30" t="e">
        <f t="shared" ca="1" si="76"/>
        <v>#DIV/0!</v>
      </c>
      <c r="BH31" s="85" t="e">
        <f ca="1">IF(AN31&lt;=Hypothèses!$V$7,Hypothèses!$W$7,IF(AN31&lt;=Hypothèses!$V$8,Hypothèses!$W$8,IF(AN31&lt;=Hypothèses!$V$9,Hypothèses!$W$9,IF(AN31&lt;=Hypothèses!$V$10,Hypothèses!$W$10,IF(AN31&lt;=Hypothèses!$V$11,Hypothèses!$W$11,IF(AN31&lt;=Hypothèses!$V$12,Hypothèses!$W$12,IF(AN31&lt;=Hypothèses!$V$13,Hypothèses!$W$13,IF(AN31&lt;=Hypothèses!$V$14,Hypothèses!$W$14,IF(AN31&lt;=Hypothèses!$V$15,Hypothèses!$W$15,IF(AN31&lt;=Hypothèses!$V$16,Hypothèses!$W$16,IF(AN31&lt;=Hypothèses!$V$17,Hypothèses!$W$17,IF(AN31&lt;=Hypothèses!$V$18,Hypothèses!$W$18,""))))))))))))</f>
        <v>#DIV/0!</v>
      </c>
      <c r="BI31" s="87" t="e">
        <f t="shared" ca="1" si="118"/>
        <v>#DIV/0!</v>
      </c>
      <c r="BJ31" s="88" t="e">
        <f ca="1">IF(AN31&lt;=Hypothèses!$V$7,Hypothèses!$X$7,IF(AN31&lt;=Hypothèses!$V$8,Hypothèses!$X$8,IF(AN31&lt;=Hypothèses!$V$9,Hypothèses!$X$9,IF(AN31&lt;=Hypothèses!$V$10,Hypothèses!$X$10,IF(AN31&lt;=Hypothèses!$V$11,Hypothèses!$X$11,IF(AN31&lt;=Hypothèses!$V$12,Hypothèses!$X$12,IF(AN31&lt;=Hypothèses!$V$13,Hypothèses!$X$13,IF(AN31&lt;=Hypothèses!$V$14,Hypothèses!$X$14,IF(AN31&lt;=Hypothèses!$V$15,Hypothèses!$X$15,IF(AN31&lt;=Hypothèses!$V$16,Hypothèses!$X$16,IF(AN31&lt;=Hypothèses!$U$17,Hypothèses!$W$17,IF(AN31&lt;=Hypothèses!$U$18,Hypothèses!$W$18,""))))))))))))</f>
        <v>#DIV/0!</v>
      </c>
      <c r="BK31" s="95" t="e">
        <f t="shared" ca="1" si="77"/>
        <v>#DIV/0!</v>
      </c>
      <c r="BL31" s="101" t="e">
        <f t="shared" si="125"/>
        <v>#N/A</v>
      </c>
      <c r="BM31" s="91" t="e">
        <f t="shared" si="29"/>
        <v>#N/A</v>
      </c>
      <c r="BN31" s="30" t="e">
        <f t="shared" si="104"/>
        <v>#N/A</v>
      </c>
      <c r="BO31" s="30" t="e">
        <f t="shared" si="105"/>
        <v>#N/A</v>
      </c>
      <c r="BP31" s="31" t="e">
        <f>IF(OR(Hypothèses!$B$4=17,Hypothèses!$B$4=18,Hypothèses!$B$4=19,Hypothèses!$B$4=20),
IF($D31="Pressio.",
IF(OR($E31=3,$E31=1,$E31=4),BO31,BN31),
IF($D31="Pénétro.",
IF(OR($E31=3,$E31=1,$E31=4),BO31,BN31))),IF($D31="Pressio.",
IF($E31=3,BO31,BN31),
IF($D31="Pénétro.",
IF($E31=4,BO31,BN31))))</f>
        <v>#N/A</v>
      </c>
      <c r="BQ31" s="31" t="e">
        <f>(IF(OR(Hypothèses!$B$4=17,Hypothèses!$B$4=18,Hypothèses!$B$4=19,Hypothèses!$B$4=20),
IF($D31="Pressio.",
IF(OR($E31=3,$E31=1,$E31=4),(PI()*BQ$12^2)/4*(BM31*$W31*1000)/($H31*$B$5),(PI()*BQ$12^2)/4*(BM31*$W31*1000)/($G31*$B$5)),
IF($D31="Pénétro.",
IF(OR($E31=4,$E31=1,$E31=5),(PI()*BQ$12^2)/4*(BM31*$W31*1000)/($H31*$B$5),(PI()*BQ$12^2)/4*(BM31*$W31*1000)/($G31*$B$5)))),
IF($D31="Pressio.",
IF($E31=3,(PI()*BQ$12^2)/4*(BM31*$W31*1000)/($H31*$B$5),(PI()*BQ$12^2)/4*(BM31*$W31*1000)/($G31*$B$5)),
IF($D31="Pénétro.",
IF($E31=4,(PI()*BQ$12^2)/4*(BM31*$W31*1000)/($H31*$B$5),(PI()*BQ$12^2)/4*(BM31*$W31*1000)/($G31*$B$5))))))/10</f>
        <v>#N/A</v>
      </c>
      <c r="BR31" s="102" t="e">
        <f>(VLOOKUP($B$3,'Coeff EC7'!$T$39:$X$59,2,0)*BP31+VLOOKUP($B$3,'Coeff EC7'!$T$65:$X$85,2,0)*Model0.1C!BQ31)/1.1</f>
        <v>#N/A</v>
      </c>
      <c r="BS31" s="102" t="e">
        <f>(VLOOKUP($B$3,'Coeff EC7'!$T$39:$X$59,3,0)*BP31+VLOOKUP($B$3,'Coeff EC7'!$T$65:$X$85,3,0)*Model0.1C!BQ31)/0.9</f>
        <v>#N/A</v>
      </c>
      <c r="BT31" s="102" t="e">
        <f t="shared" si="78"/>
        <v>#N/A</v>
      </c>
      <c r="BU31" s="102" t="e">
        <f t="shared" si="79"/>
        <v>#N/A</v>
      </c>
      <c r="BV31" s="414" t="e">
        <f>IF(BV30=0,0,IF(AND(BR31&gt;charge_ELS_quasi,BS31&gt;Charge_ELS_freq,BT31&gt;charge_ELU,BU31&gt;charge_ELA,$B31&gt;NDC!$H$22-0.1+MIN(3*$BV$12,1.5)),0,1))</f>
        <v>#N/A</v>
      </c>
      <c r="BW31" s="86" t="b">
        <f t="shared" si="32"/>
        <v>0</v>
      </c>
      <c r="BX31" s="86">
        <f t="shared" si="33"/>
        <v>0.5</v>
      </c>
      <c r="BY31" s="86">
        <f t="shared" si="34"/>
        <v>0.5</v>
      </c>
      <c r="BZ31" s="30" t="e">
        <f t="shared" ca="1" si="80"/>
        <v>#DIV/0!</v>
      </c>
      <c r="CA31" s="85" t="e">
        <f ca="1">IF(BG31&lt;=Hypothèses!$V$7,Hypothèses!$W$7,IF(BG31&lt;=Hypothèses!$V$8,Hypothèses!$W$8,IF(BG31&lt;=Hypothèses!$V$9,Hypothèses!$W$9,IF(BG31&lt;=Hypothèses!$V$10,Hypothèses!$W$10,IF(BG31&lt;=Hypothèses!$V$11,Hypothèses!$W$11,IF(BG31&lt;=Hypothèses!$V$12,Hypothèses!$W$12,IF(BG31&lt;=Hypothèses!$V$13,Hypothèses!$W$13,IF(BG31&lt;=Hypothèses!$V$14,Hypothèses!$W$14,IF(BG31&lt;=Hypothèses!$V$15,Hypothèses!$W$15,IF(BG31&lt;=Hypothèses!$V$16,Hypothèses!$W$16,IF(BG31&lt;=Hypothèses!$V$17,Hypothèses!$W$17,IF(BG31&lt;=Hypothèses!$V$18,Hypothèses!$W$18,""))))))))))))</f>
        <v>#DIV/0!</v>
      </c>
      <c r="CB31" s="87" t="e">
        <f t="shared" ca="1" si="119"/>
        <v>#DIV/0!</v>
      </c>
      <c r="CC31" s="88" t="e">
        <f ca="1">IF(BG31&lt;=Hypothèses!$V$7,Hypothèses!$X$7,IF(BG31&lt;=Hypothèses!$V$8,Hypothèses!$X$8,IF(BG31&lt;=Hypothèses!$V$9,Hypothèses!$X$9,IF(BG31&lt;=Hypothèses!$V$10,Hypothèses!$X$10,IF(BG31&lt;=Hypothèses!$V$11,Hypothèses!$X$11,IF(BG31&lt;=Hypothèses!$V$12,Hypothèses!$X$12,IF(BG31&lt;=Hypothèses!$V$13,Hypothèses!$X$13,IF(BG31&lt;=Hypothèses!$V$14,Hypothèses!$X$14,IF(BG31&lt;=Hypothèses!$V$15,Hypothèses!$X$15,IF(BG31&lt;=Hypothèses!$V$16,Hypothèses!$X$16,IF(BG31&lt;=Hypothèses!$U$17,Hypothèses!$W$17,IF(BG31&lt;=Hypothèses!$U$18,Hypothèses!$W$18,""))))))))))))</f>
        <v>#DIV/0!</v>
      </c>
      <c r="CD31" s="95" t="e">
        <f t="shared" ca="1" si="81"/>
        <v>#DIV/0!</v>
      </c>
      <c r="CE31" s="101" t="e">
        <f t="shared" si="126"/>
        <v>#N/A</v>
      </c>
      <c r="CF31" s="91" t="e">
        <f t="shared" si="36"/>
        <v>#N/A</v>
      </c>
      <c r="CG31" s="30" t="e">
        <f t="shared" si="106"/>
        <v>#N/A</v>
      </c>
      <c r="CH31" s="30" t="e">
        <f t="shared" si="107"/>
        <v>#N/A</v>
      </c>
      <c r="CI31" s="31" t="e">
        <f>IF(OR(Hypothèses!$B$4=17,Hypothèses!$B$4=18,Hypothèses!$B$4=19,Hypothèses!$B$4=20),
IF($D31="Pressio.",
IF(OR($E31=3,$E31=1,$E31=4),CH31,CG31),
IF($D31="Pénétro.",
IF(OR($E31=3,$E31=1,$E31=4),CH31,CG31))),IF($D31="Pressio.",
IF($E31=3,CH31,CG31),
IF($D31="Pénétro.",
IF($E31=4,CH31,CG31))))</f>
        <v>#N/A</v>
      </c>
      <c r="CJ31" s="31" t="e">
        <f>(IF(OR(Hypothèses!$B$4=17,Hypothèses!$B$4=18,Hypothèses!$B$4=19,Hypothèses!$B$4=20),
IF($D31="Pressio.",
IF(OR($E31=3,$E31=1,$E31=4),(PI()*CJ$12^2)/4*(CF31*$W31*1000)/($H31*$B$5),(PI()*CJ$12^2)/4*(CF31*$W31*1000)/($G31*$B$5)),
IF($D31="Pénétro.",
IF(OR($E31=4,$E31=1,$E31=5),(PI()*CJ$12^2)/4*(CF31*$W31*1000)/($H31*$B$5),(PI()*CJ$12^2)/4*(CF31*$W31*1000)/($G31*$B$5)))),
IF($D31="Pressio.",
IF($E31=3,(PI()*CJ$12^2)/4*(CF31*$W31*1000)/($H31*$B$5),(PI()*CJ$12^2)/4*(CF31*$W31*1000)/($G31*$B$5)),
IF($D31="Pénétro.",
IF($E31=4,(PI()*CJ$12^2)/4*(CF31*$W31*1000)/($H31*$B$5),(PI()*CJ$12^2)/4*(CF31*$W31*1000)/($G31*$B$5))))))/10</f>
        <v>#N/A</v>
      </c>
      <c r="CK31" s="102" t="e">
        <f>(VLOOKUP($B$3,'Coeff EC7'!$T$39:$X$59,2,0)*CI31+VLOOKUP($B$3,'Coeff EC7'!$T$65:$X$85,2,0)*Model0.1C!CJ31)/1.1</f>
        <v>#N/A</v>
      </c>
      <c r="CL31" s="102" t="e">
        <f>(VLOOKUP($B$3,'Coeff EC7'!$T$39:$X$59,3,0)*CI31+VLOOKUP($B$3,'Coeff EC7'!$T$65:$X$85,3,0)*Model0.1C!CJ31)/0.9</f>
        <v>#N/A</v>
      </c>
      <c r="CM31" s="102" t="e">
        <f t="shared" si="82"/>
        <v>#N/A</v>
      </c>
      <c r="CN31" s="102" t="e">
        <f t="shared" si="83"/>
        <v>#N/A</v>
      </c>
      <c r="CO31" s="414" t="e">
        <f>IF(CO30=0,0,IF(AND(CK31&gt;charge_ELS_quasi,CL31&gt;Charge_ELS_freq,CM31&gt;charge_ELU,CN31&gt;charge_ELA,$B31&gt;NDC!$H$22-0.1+MIN(3*$CO$12,1.5)),0,1))</f>
        <v>#N/A</v>
      </c>
      <c r="CP31" s="86" t="b">
        <f t="shared" si="39"/>
        <v>0</v>
      </c>
      <c r="CQ31" s="86">
        <f t="shared" si="40"/>
        <v>0.5</v>
      </c>
      <c r="CR31" s="86">
        <f t="shared" si="41"/>
        <v>0.5</v>
      </c>
      <c r="CS31" s="30" t="e">
        <f t="shared" ca="1" si="84"/>
        <v>#DIV/0!</v>
      </c>
      <c r="CT31" s="85" t="e">
        <f ca="1">IF(BZ31&lt;=Hypothèses!$V$7,Hypothèses!$W$7,IF(BZ31&lt;=Hypothèses!$V$8,Hypothèses!$W$8,IF(BZ31&lt;=Hypothèses!$V$9,Hypothèses!$W$9,IF(BZ31&lt;=Hypothèses!$V$10,Hypothèses!$W$10,IF(BZ31&lt;=Hypothèses!$V$11,Hypothèses!$W$11,IF(BZ31&lt;=Hypothèses!$V$12,Hypothèses!$W$12,IF(BZ31&lt;=Hypothèses!$V$13,Hypothèses!$W$13,IF(BZ31&lt;=Hypothèses!$V$14,Hypothèses!$W$14,IF(BZ31&lt;=Hypothèses!$V$15,Hypothèses!$W$15,IF(BZ31&lt;=Hypothèses!$V$16,Hypothèses!$W$16,IF(BZ31&lt;=Hypothèses!$V$17,Hypothèses!$W$17,IF(BZ31&lt;=Hypothèses!$V$18,Hypothèses!$W$18,""))))))))))))</f>
        <v>#DIV/0!</v>
      </c>
      <c r="CU31" s="87" t="e">
        <f t="shared" ca="1" si="120"/>
        <v>#DIV/0!</v>
      </c>
      <c r="CV31" s="88" t="e">
        <f ca="1">IF(BZ31&lt;=Hypothèses!$V$7,Hypothèses!$X$7,IF(BZ31&lt;=Hypothèses!$V$8,Hypothèses!$X$8,IF(BZ31&lt;=Hypothèses!$V$9,Hypothèses!$X$9,IF(BZ31&lt;=Hypothèses!$V$10,Hypothèses!$X$10,IF(BZ31&lt;=Hypothèses!$V$11,Hypothèses!$X$11,IF(BZ31&lt;=Hypothèses!$V$12,Hypothèses!$X$12,IF(BZ31&lt;=Hypothèses!$V$13,Hypothèses!$X$13,IF(BZ31&lt;=Hypothèses!$V$14,Hypothèses!$X$14,IF(BZ31&lt;=Hypothèses!$V$15,Hypothèses!$X$15,IF(BZ31&lt;=Hypothèses!$V$16,Hypothèses!$X$16,IF(BZ31&lt;=Hypothèses!$U$17,Hypothèses!$W$17,IF(BZ31&lt;=Hypothèses!$U$18,Hypothèses!$W$18,""))))))))))))</f>
        <v>#DIV/0!</v>
      </c>
      <c r="CW31" s="95" t="e">
        <f t="shared" ca="1" si="85"/>
        <v>#DIV/0!</v>
      </c>
      <c r="CX31" s="101" t="e">
        <f t="shared" si="127"/>
        <v>#N/A</v>
      </c>
      <c r="CY31" s="91" t="e">
        <f t="shared" si="43"/>
        <v>#N/A</v>
      </c>
      <c r="CZ31" s="30" t="e">
        <f t="shared" si="108"/>
        <v>#N/A</v>
      </c>
      <c r="DA31" s="30" t="e">
        <f t="shared" si="109"/>
        <v>#N/A</v>
      </c>
      <c r="DB31" s="31" t="e">
        <f>IF(OR(Hypothèses!$B$4=17,Hypothèses!$B$4=18,Hypothèses!$B$4=19,Hypothèses!$B$4=20),
IF($D31="Pressio.",
IF(OR($E31=3,$E31=1,$E31=4),DA31,CZ31),
IF($D31="Pénétro.",
IF(OR($E31=3,$E31=1,$E31=4),DA31,CZ31))),IF($D31="Pressio.",
IF($E31=3,DA31,CZ31),
IF($D31="Pénétro.",
IF($E31=4,DA31,CZ31))))</f>
        <v>#N/A</v>
      </c>
      <c r="DC31" s="31" t="e">
        <f>(IF(OR(Hypothèses!$B$4=17,Hypothèses!$B$4=18,Hypothèses!$B$4=19,Hypothèses!$B$4=20),
IF($D31="Pressio.",
IF(OR($E31=3,$E31=1,$E31=4),(PI()*DC$12^2)/4*(CY31*$W31*1000)/($H31*$B$5),(PI()*DC$12^2)/4*(CY31*$W31*1000)/($G31*$B$5)),
IF($D31="Pénétro.",
IF(OR($E31=4,$E31=1,$E31=5),(PI()*DC$12^2)/4*(CY31*$W31*1000)/($H31*$B$5),(PI()*DC$12^2)/4*(CY31*$W31*1000)/($G31*$B$5)))),
IF($D31="Pressio.",
IF($E31=3,(PI()*DC$12^2)/4*(CY31*$W31*1000)/($H31*$B$5),(PI()*DC$12^2)/4*(CY31*$W31*1000)/($G31*$B$5)),
IF($D31="Pénétro.",
IF($E31=4,(PI()*DC$12^2)/4*(CY31*$W31*1000)/($H31*$B$5),(PI()*DC$12^2)/4*(CY31*$W31*1000)/($G31*$B$5))))))/10</f>
        <v>#N/A</v>
      </c>
      <c r="DD31" s="102" t="e">
        <f>(VLOOKUP($B$3,'Coeff EC7'!$T$39:$X$59,2,0)*DB31+VLOOKUP($B$3,'Coeff EC7'!$T$65:$X$85,2,0)*Model0.1C!DC31)/1.1</f>
        <v>#N/A</v>
      </c>
      <c r="DE31" s="102" t="e">
        <f>(VLOOKUP($B$3,'Coeff EC7'!$T$39:$X$59,3,0)*DB31+VLOOKUP($B$3,'Coeff EC7'!$T$65:$X$85,3,0)*Model0.1C!DC31)/0.9</f>
        <v>#N/A</v>
      </c>
      <c r="DF31" s="102" t="e">
        <f t="shared" si="86"/>
        <v>#N/A</v>
      </c>
      <c r="DG31" s="102" t="e">
        <f t="shared" si="87"/>
        <v>#N/A</v>
      </c>
      <c r="DH31" s="414" t="e">
        <f>IF(DH30=0,0,IF(AND(DD31&gt;charge_ELS_quasi,DE31&gt;Charge_ELS_freq,DF31&gt;charge_ELU,DG31&gt;charge_ELA,$B31&gt;NDC!$H$22-0.1+MIN(3*$DH$12,1.5)),0,1))</f>
        <v>#N/A</v>
      </c>
      <c r="DI31" s="86" t="b">
        <f t="shared" si="46"/>
        <v>0</v>
      </c>
      <c r="DJ31" s="86">
        <f t="shared" si="47"/>
        <v>0.5</v>
      </c>
      <c r="DK31" s="86">
        <f t="shared" si="48"/>
        <v>0.5</v>
      </c>
      <c r="DL31" s="30" t="e">
        <f t="shared" ca="1" si="88"/>
        <v>#DIV/0!</v>
      </c>
      <c r="DM31" s="85" t="e">
        <f ca="1">IF(CS31&lt;=Hypothèses!$V$7,Hypothèses!$W$7,IF(CS31&lt;=Hypothèses!$V$8,Hypothèses!$W$8,IF(CS31&lt;=Hypothèses!$V$9,Hypothèses!$W$9,IF(CS31&lt;=Hypothèses!$V$10,Hypothèses!$W$10,IF(CS31&lt;=Hypothèses!$V$11,Hypothèses!$W$11,IF(CS31&lt;=Hypothèses!$V$12,Hypothèses!$W$12,IF(CS31&lt;=Hypothèses!$V$13,Hypothèses!$W$13,IF(CS31&lt;=Hypothèses!$V$14,Hypothèses!$W$14,IF(CS31&lt;=Hypothèses!$V$15,Hypothèses!$W$15,IF(CS31&lt;=Hypothèses!$V$16,Hypothèses!$W$16,IF(CS31&lt;=Hypothèses!$V$17,Hypothèses!$W$17,IF(CS31&lt;=Hypothèses!$V$18,Hypothèses!$W$18,""))))))))))))</f>
        <v>#DIV/0!</v>
      </c>
      <c r="DN31" s="87" t="e">
        <f t="shared" ca="1" si="121"/>
        <v>#DIV/0!</v>
      </c>
      <c r="DO31" s="88" t="e">
        <f ca="1">IF(CS31&lt;=Hypothèses!$V$7,Hypothèses!$X$7,IF(CS31&lt;=Hypothèses!$V$8,Hypothèses!$X$8,IF(CS31&lt;=Hypothèses!$V$9,Hypothèses!$X$9,IF(CS31&lt;=Hypothèses!$V$10,Hypothèses!$X$10,IF(CS31&lt;=Hypothèses!$V$11,Hypothèses!$X$11,IF(CS31&lt;=Hypothèses!$V$12,Hypothèses!$X$12,IF(CS31&lt;=Hypothèses!$V$13,Hypothèses!$X$13,IF(CS31&lt;=Hypothèses!$V$14,Hypothèses!$X$14,IF(CS31&lt;=Hypothèses!$V$15,Hypothèses!$X$15,IF(CS31&lt;=Hypothèses!$V$16,Hypothèses!$X$16,IF(CS31&lt;=Hypothèses!$U$17,Hypothèses!$W$17,IF(CS31&lt;=Hypothèses!$U$18,Hypothèses!$W$18,""))))))))))))</f>
        <v>#DIV/0!</v>
      </c>
      <c r="DP31" s="95" t="e">
        <f t="shared" ca="1" si="89"/>
        <v>#DIV/0!</v>
      </c>
      <c r="DQ31" s="101" t="e">
        <f t="shared" si="128"/>
        <v>#N/A</v>
      </c>
      <c r="DR31" s="91" t="e">
        <f t="shared" si="50"/>
        <v>#N/A</v>
      </c>
      <c r="DS31" s="30" t="e">
        <f t="shared" si="110"/>
        <v>#N/A</v>
      </c>
      <c r="DT31" s="30" t="e">
        <f t="shared" si="111"/>
        <v>#N/A</v>
      </c>
      <c r="DU31" s="31" t="e">
        <f>IF(OR(Hypothèses!$B$4=17,Hypothèses!$B$4=18,Hypothèses!$B$4=19,Hypothèses!$B$4=20),
IF($D31="Pressio.",
IF(OR($E31=3,$E31=1,$E31=4),DT31,DS31),
IF($D31="Pénétro.",
IF(OR($E31=3,$E31=1,$E31=4),DT31,DS31))),IF($D31="Pressio.",
IF($E31=3,DT31,DS31),
IF($D31="Pénétro.",
IF($E31=4,DT31,DS31))))</f>
        <v>#N/A</v>
      </c>
      <c r="DV31" s="31" t="e">
        <f>(IF(OR(Hypothèses!$B$4=17,Hypothèses!$B$4=18,Hypothèses!$B$4=19,Hypothèses!$B$4=20),
IF($D31="Pressio.",
IF(OR($E31=3,$E31=1,$E31=4),(PI()*DV$12^2)/4*(DR31*$W31*1000)/($H31*$B$5),(PI()*DV$12^2)/4*(DR31*$W31*1000)/($G31*$B$5)),
IF($D31="Pénétro.",
IF(OR($E31=4,$E31=1,$E31=5),(PI()*DV$12^2)/4*(DR31*$W31*1000)/($H31*$B$5),(PI()*DV$12^2)/4*(DR31*$W31*1000)/($G31*$B$5)))),
IF($D31="Pressio.",
IF($E31=3,(PI()*DV$12^2)/4*(DR31*$W31*1000)/($H31*$B$5),(PI()*DV$12^2)/4*(DR31*$W31*1000)/($G31*$B$5)),
IF($D31="Pénétro.",
IF($E31=4,(PI()*DV$12^2)/4*(DR31*$W31*1000)/($H31*$B$5),(PI()*DV$12^2)/4*(DR31*$W31*1000)/($G31*$B$5))))))/10</f>
        <v>#N/A</v>
      </c>
      <c r="DW31" s="102" t="e">
        <f>(VLOOKUP($B$3,'Coeff EC7'!$T$39:$X$59,2,0)*DU31+VLOOKUP($B$3,'Coeff EC7'!$T$65:$X$85,2,0)*Model0.1C!DV31)/1.1</f>
        <v>#N/A</v>
      </c>
      <c r="DX31" s="102" t="e">
        <f>(VLOOKUP($B$3,'Coeff EC7'!$T$39:$X$59,3,0)*DU31+VLOOKUP($B$3,'Coeff EC7'!$T$65:$X$85,3,0)*Model0.1C!DV31)/0.9</f>
        <v>#N/A</v>
      </c>
      <c r="DY31" s="102" t="e">
        <f t="shared" si="90"/>
        <v>#N/A</v>
      </c>
      <c r="DZ31" s="102" t="e">
        <f t="shared" si="91"/>
        <v>#N/A</v>
      </c>
      <c r="EA31" s="414" t="e">
        <f>IF(EA30=0,0,IF(AND(DW31&gt;charge_ELS_quasi,DX31&gt;Charge_ELS_freq,DY31&gt;charge_ELU,DZ31&gt;charge_ELA,$B31&gt;NDC!$H$22-0.1+MIN(3*$EA$12,1.5)),0,1))</f>
        <v>#N/A</v>
      </c>
      <c r="EB31" s="86" t="b">
        <f t="shared" si="53"/>
        <v>0</v>
      </c>
      <c r="EC31" s="418">
        <f t="shared" si="54"/>
        <v>0.51</v>
      </c>
      <c r="ED31" s="86">
        <f t="shared" si="55"/>
        <v>0.51</v>
      </c>
      <c r="EE31" s="30" t="e">
        <f t="shared" ca="1" si="92"/>
        <v>#DIV/0!</v>
      </c>
      <c r="EF31" s="85" t="e">
        <f ca="1">IF(DL31&lt;=Hypothèses!$V$7,Hypothèses!$W$7,IF(DL31&lt;=Hypothèses!$V$8,Hypothèses!$W$8,IF(DL31&lt;=Hypothèses!$V$9,Hypothèses!$W$9,IF(DL31&lt;=Hypothèses!$V$10,Hypothèses!$W$10,IF(DL31&lt;=Hypothèses!$V$11,Hypothèses!$W$11,IF(DL31&lt;=Hypothèses!$V$12,Hypothèses!$W$12,IF(DL31&lt;=Hypothèses!$V$13,Hypothèses!$W$13,IF(DL31&lt;=Hypothèses!$V$14,Hypothèses!$W$14,IF(DL31&lt;=Hypothèses!$V$15,Hypothèses!$W$15,IF(DL31&lt;=Hypothèses!$V$16,Hypothèses!$W$16,IF(DL31&lt;=Hypothèses!$V$17,Hypothèses!$W$17,IF(DL31&lt;=Hypothèses!$V$18,Hypothèses!$W$18,""))))))))))))</f>
        <v>#DIV/0!</v>
      </c>
      <c r="EG31" s="87" t="e">
        <f t="shared" ca="1" si="122"/>
        <v>#DIV/0!</v>
      </c>
      <c r="EH31" s="88" t="e">
        <f ca="1">IF(DL31&lt;=Hypothèses!$V$7,Hypothèses!$X$7,IF(DL31&lt;=Hypothèses!$V$8,Hypothèses!$X$8,IF(DL31&lt;=Hypothèses!$V$9,Hypothèses!$X$9,IF(DL31&lt;=Hypothèses!$V$10,Hypothèses!$X$10,IF(DL31&lt;=Hypothèses!$V$11,Hypothèses!$X$11,IF(DL31&lt;=Hypothèses!$V$12,Hypothèses!$X$12,IF(DL31&lt;=Hypothèses!$V$13,Hypothèses!$X$13,IF(DL31&lt;=Hypothèses!$V$14,Hypothèses!$X$14,IF(DL31&lt;=Hypothèses!$V$15,Hypothèses!$X$15,IF(DL31&lt;=Hypothèses!$V$16,Hypothèses!$X$16,IF(DL31&lt;=Hypothèses!$U$17,Hypothèses!$W$17,IF(DL31&lt;=Hypothèses!$U$18,Hypothèses!$W$18,""))))))))))))</f>
        <v>#DIV/0!</v>
      </c>
      <c r="EI31" s="95" t="e">
        <f t="shared" ca="1" si="93"/>
        <v>#DIV/0!</v>
      </c>
      <c r="EJ31" s="101" t="e">
        <f t="shared" si="129"/>
        <v>#N/A</v>
      </c>
      <c r="EK31" s="91" t="e">
        <f t="shared" si="57"/>
        <v>#N/A</v>
      </c>
      <c r="EL31" s="30" t="e">
        <f t="shared" si="112"/>
        <v>#N/A</v>
      </c>
      <c r="EM31" s="30" t="e">
        <f t="shared" si="113"/>
        <v>#N/A</v>
      </c>
      <c r="EN31" s="31" t="e">
        <f>IF(OR(Hypothèses!$B$4=17,Hypothèses!$B$4=18,Hypothèses!$B$4=19,Hypothèses!$B$4=20),
IF($D31="Pressio.",
IF(OR($E31=3,$E31=1,$E31=4),EM31,EL31),
IF($D31="Pénétro.",
IF(OR($E31=3,$E31=1,$E31=4),EM31,EL31))),IF($D31="Pressio.",
IF($E31=3,EM31,EL31),
IF($D31="Pénétro.",
IF($E31=4,EM31,EL31))))</f>
        <v>#N/A</v>
      </c>
      <c r="EO31" s="31" t="e">
        <f>(IF(OR(Hypothèses!$B$4=17,Hypothèses!$B$4=18,Hypothèses!$B$4=19,Hypothèses!$B$4=20),
IF($D31="Pressio.",
IF(OR($E31=3,$E31=1,$E31=4),(PI()*EO$12^2)/4*(EK31*$W31*1000)/($H31*$B$5),(PI()*EO$12^2)/4*(EK31*$W31*1000)/($G31*$B$5)),
IF($D31="Pénétro.",
IF(OR($E31=4,$E31=1,$E31=5),(PI()*EO$12^2)/4*(EK31*$W31*1000)/($H31*$B$5),(PI()*EO$12^2)/4*(EK31*$W31*1000)/($G31*$B$5)))),
IF($D31="Pressio.",
IF($E31=3,(PI()*EO$12^2)/4*(EK31*$W31*1000)/($H31*$B$5),(PI()*EO$12^2)/4*(EK31*$W31*1000)/($G31*$B$5)),
IF($D31="Pénétro.",
IF($E31=4,(PI()*EO$12^2)/4*(EK31*$W31*1000)/($H31*$B$5),(PI()*EO$12^2)/4*(EK31*$W31*1000)/($G31*$B$5))))))/10</f>
        <v>#N/A</v>
      </c>
      <c r="EP31" s="102" t="e">
        <f>(VLOOKUP($B$3,'Coeff EC7'!$T$39:$X$59,2,0)*EN31+VLOOKUP($B$3,'Coeff EC7'!$T$65:$X$85,2,0)*Model0.1C!EO31)/1.1</f>
        <v>#N/A</v>
      </c>
      <c r="EQ31" s="102" t="e">
        <f>(VLOOKUP($B$3,'Coeff EC7'!$T$39:$X$59,3,0)*EN31+VLOOKUP($B$3,'Coeff EC7'!$T$65:$X$85,3,0)*Model0.1C!EO31)/0.9</f>
        <v>#N/A</v>
      </c>
      <c r="ER31" s="102" t="e">
        <f t="shared" si="94"/>
        <v>#N/A</v>
      </c>
      <c r="ES31" s="102" t="e">
        <f t="shared" si="95"/>
        <v>#N/A</v>
      </c>
      <c r="ET31" s="414" t="e">
        <f>IF(ET30=0,0,IF(AND(EP31&gt;charge_ELS_quasi,EQ31&gt;Charge_ELS_freq,ER31&gt;charge_ELU,ES31&gt;charge_ELA,$B31&gt;NDC!$H$22-0.1+MIN(3*$ET$12,1.5)),0,1))</f>
        <v>#N/A</v>
      </c>
      <c r="EU31" s="86" t="b">
        <f t="shared" si="60"/>
        <v>0</v>
      </c>
      <c r="EV31" s="86">
        <f t="shared" si="61"/>
        <v>0.61</v>
      </c>
      <c r="EW31" s="86">
        <f t="shared" si="62"/>
        <v>0.61</v>
      </c>
      <c r="EX31" s="30" t="e">
        <f t="shared" ca="1" si="96"/>
        <v>#DIV/0!</v>
      </c>
      <c r="EY31" s="85" t="e">
        <f ca="1">IF(EE31&lt;=Hypothèses!$V$7,Hypothèses!$W$7,IF(EE31&lt;=Hypothèses!$V$8,Hypothèses!$W$8,IF(EE31&lt;=Hypothèses!$V$9,Hypothèses!$W$9,IF(EE31&lt;=Hypothèses!$V$10,Hypothèses!$W$10,IF(EE31&lt;=Hypothèses!$V$11,Hypothèses!$W$11,IF(EE31&lt;=Hypothèses!$V$12,Hypothèses!$W$12,IF(EE31&lt;=Hypothèses!$V$13,Hypothèses!$W$13,IF(EE31&lt;=Hypothèses!$V$14,Hypothèses!$W$14,IF(EE31&lt;=Hypothèses!$V$15,Hypothèses!$W$15,IF(EE31&lt;=Hypothèses!$V$16,Hypothèses!$W$16,IF(EE31&lt;=Hypothèses!$V$17,Hypothèses!$W$17,IF(EE31&lt;=Hypothèses!$V$18,Hypothèses!$W$18,""))))))))))))</f>
        <v>#DIV/0!</v>
      </c>
      <c r="EZ31" s="87" t="e">
        <f t="shared" ca="1" si="123"/>
        <v>#DIV/0!</v>
      </c>
      <c r="FA31" s="88" t="e">
        <f ca="1">IF(EE31&lt;=Hypothèses!$V$7,Hypothèses!$X$7,IF(EE31&lt;=Hypothèses!$V$8,Hypothèses!$X$8,IF(EE31&lt;=Hypothèses!$V$9,Hypothèses!$X$9,IF(EE31&lt;=Hypothèses!$V$10,Hypothèses!$X$10,IF(EE31&lt;=Hypothèses!$V$11,Hypothèses!$X$11,IF(EE31&lt;=Hypothèses!$V$12,Hypothèses!$X$12,IF(EE31&lt;=Hypothèses!$V$13,Hypothèses!$X$13,IF(EE31&lt;=Hypothèses!$V$14,Hypothèses!$X$14,IF(EE31&lt;=Hypothèses!$V$15,Hypothèses!$X$15,IF(EE31&lt;=Hypothèses!$V$16,Hypothèses!$X$16,IF(EE31&lt;=Hypothèses!$U$17,Hypothèses!$W$17,IF(EE31&lt;=Hypothèses!$U$18,Hypothèses!$W$18,""))))))))))))</f>
        <v>#DIV/0!</v>
      </c>
      <c r="FB31" s="95" t="e">
        <f t="shared" ca="1" si="97"/>
        <v>#DIV/0!</v>
      </c>
      <c r="FC31" s="101" t="e">
        <f t="shared" si="130"/>
        <v>#N/A</v>
      </c>
      <c r="FD31" s="91" t="e">
        <f t="shared" si="64"/>
        <v>#N/A</v>
      </c>
      <c r="FE31" s="30" t="e">
        <f t="shared" si="114"/>
        <v>#N/A</v>
      </c>
      <c r="FF31" s="30" t="e">
        <f t="shared" si="115"/>
        <v>#N/A</v>
      </c>
      <c r="FG31" s="31" t="e">
        <f>IF(OR(Hypothèses!$B$4=17,Hypothèses!$B$4=18,Hypothèses!$B$4=19,Hypothèses!$B$4=20),
IF($D31="Pressio.",
IF(OR($E31=3,$E31=1,$E31=4),FF31,FE31),
IF($D31="Pénétro.",
IF(OR($E31=3,$E31=1,$E31=4),FF31,FE31))),IF($D31="Pressio.",
IF($E31=3,FF31,FE31),
IF($D31="Pénétro.",
IF($E31=4,FF31,FE31))))</f>
        <v>#N/A</v>
      </c>
      <c r="FH31" s="31" t="e">
        <f>(IF(OR(Hypothèses!$B$4=17,Hypothèses!$B$4=18,Hypothèses!$B$4=19,Hypothèses!$B$4=20),
IF($D31="Pressio.",
IF(OR($E31=3,$E31=1,$E31=4),(PI()*FH$12^2)/4*(FD31*$W31*1000)/($H31*$B$5),(PI()*FH$12^2)/4*(FD31*$W31*1000)/($G31*$B$5)),
IF($D31="Pénétro.",
IF(OR($E31=4,$E31=1,$E31=5),(PI()*FH$12^2)/4*(FD31*$W31*1000)/($H31*$B$5),(PI()*FH$12^2)/4*(FD31*$W31*1000)/($G31*$B$5)))),
IF($D31="Pressio.",
IF($E31=3,(PI()*FH$12^2)/4*(FD31*$W31*1000)/($H31*$B$5),(PI()*FH$12^2)/4*(FD31*$W31*1000)/($G31*$B$5)),
IF($D31="Pénétro.",
IF($E31=4,(PI()*FH$12^2)/4*(FD31*$W31*1000)/($H31*$B$5),(PI()*FH$12^2)/4*(FD31*$W31*1000)/($G31*$B$5))))))/10</f>
        <v>#N/A</v>
      </c>
      <c r="FI31" s="102" t="e">
        <f>(VLOOKUP($B$3,'Coeff EC7'!$T$39:$X$59,2,0)*FG31+VLOOKUP($B$3,'Coeff EC7'!$T$65:$X$85,2,0)*Model0.1C!FH31)/1.1</f>
        <v>#N/A</v>
      </c>
      <c r="FJ31" s="102" t="e">
        <f>(VLOOKUP($B$3,'Coeff EC7'!$T$39:$X$59,3,0)*FG31+VLOOKUP($B$3,'Coeff EC7'!$T$65:$X$85,3,0)*Model0.1C!FH31)/0.9</f>
        <v>#N/A</v>
      </c>
      <c r="FK31" s="102" t="e">
        <f t="shared" si="98"/>
        <v>#N/A</v>
      </c>
      <c r="FL31" s="102" t="e">
        <f t="shared" si="99"/>
        <v>#N/A</v>
      </c>
      <c r="FM31" s="414" t="e">
        <f>IF(FM30=0,0,IF(AND(FI31&gt;charge_ELS_quasi,FJ31&gt;Charge_ELS_freq,FK31&gt;charge_ELU,FL31&gt;charge_ELA,$B31&gt;NDC!$H$22-0.1+MIN(3*$FM$12,1.5)),0,1))</f>
        <v>#N/A</v>
      </c>
    </row>
    <row r="32" spans="1:169">
      <c r="A32" s="96">
        <f t="shared" si="67"/>
        <v>98.100000000000108</v>
      </c>
      <c r="B32" s="97">
        <v>1.9</v>
      </c>
      <c r="C32" s="81">
        <f>IF(B32&lt;=Hypothèses!$C$7,Hypothèses!$A$7,IF(B32&lt;=Hypothèses!$C$8,Hypothèses!$A$8,IF(B32&lt;=Hypothèses!$C$9,Hypothèses!$A$9,IF(B32&lt;=Hypothèses!$C$10,Hypothèses!$A$10,IF(B32&lt;=Hypothèses!$C$11,Hypothèses!$A$11,IF(B32&lt;=Hypothèses!$C$12,Hypothèses!$A$12,IF(B32&lt;=Hypothèses!$C$13,Hypothèses!$A$13,IF(B32&lt;=Hypothèses!$C$14,Hypothèses!$A$14,IF(B32&lt;=Hypothèses!$C$15,Hypothèses!$A$15,IF(B32&lt;=Hypothèses!$C$16,Hypothèses!$A$16,IF(B32&lt;=Hypothèses!$C$17,Hypothèses!$A$17,IF(B32&lt;=Hypothèses!$C$18,Hypothèses!$A$18,C31))))))))))))</f>
        <v>11</v>
      </c>
      <c r="D32" s="82" t="str">
        <f>IF(B32&lt;=Hypothèses!$C$7,Hypothèses!$R$7,IF(B32&lt;=Hypothèses!$C$8,Hypothèses!$R$8,IF(B32&lt;=Hypothèses!$C$9,Hypothèses!$R$9,IF(B32&lt;=Hypothèses!$C$10,Hypothèses!$R$10,IF(B32&lt;=Hypothèses!$C$11,Hypothèses!$R$11,IF(B32&lt;=Hypothèses!$C$12,Hypothèses!$R$12,IF(B32&lt;=Hypothèses!$C$13,Hypothèses!$R$13,IF(B32&lt;=Hypothèses!$C$14,Hypothèses!$R$14,IF(B32&lt;=Hypothèses!$C$15,Hypothèses!$R$15,IF(B32&lt;=Hypothèses!$C$16,Hypothèses!$R$16,IF(B32&lt;=Hypothèses!$C$17,Hypothèses!$R$17,IF(B32&lt;=Hypothèses!$C$18,Hypothèses!$R$18,D31))))))))))))</f>
        <v>Pressio.</v>
      </c>
      <c r="E32" s="82" t="e">
        <f>IF(B32&lt;=Hypothèses!$C$7,Hypothèses!$G$7,IF(B32&lt;=Hypothèses!$C$8,Hypothèses!$G$8,IF(B32&lt;=Hypothèses!$C$9,Hypothèses!$G$9,IF(B32&lt;=Hypothèses!$C$10,Hypothèses!$G$10,IF(B32&lt;=Hypothèses!$C$11,Hypothèses!$G$11,IF(B32&lt;=Hypothèses!$C$12,Hypothèses!$G$12,IF(B32&lt;=Hypothèses!$C$13,Hypothèses!$G$13,IF(B32&lt;=Hypothèses!$C$14,Hypothèses!$G$14,IF(B32&lt;=Hypothèses!$C$15,Hypothèses!$G$15,IF(B32&lt;=Hypothèses!$C$16,Hypothèses!$G$16,IF(B32&lt;=Hypothèses!$C$17,Hypothèses!$G$17,IF(B32&lt;=Hypothèses!$C$18,Hypothèses!$G$18,E31))))))))))))</f>
        <v>#N/A</v>
      </c>
      <c r="F32" s="82" t="str">
        <f>IF(B32&lt;=Hypothèses!$C$7,Hypothèses!$F$7,IF(B32&lt;=Hypothèses!$C$8,Hypothèses!$F$8,IF(B32&lt;=Hypothèses!$C$9,Hypothèses!$F$9,IF(B32&lt;=Hypothèses!$C$10,Hypothèses!$F$10,IF(B32&lt;=Hypothèses!$C$11,Hypothèses!$F$11,IF(B32&lt;=Hypothèses!$C$12,Hypothèses!$F$12,IF(B32&lt;=Hypothèses!$C$13,Hypothèses!$F$13,IF(B32&lt;=Hypothèses!$C$14,Hypothèses!$F$14,IF(B32&lt;=Hypothèses!$C$15,Hypothèses!$F$15,IF(B32&lt;=Hypothèses!$C$16,Hypothèses!$F$16,IF(B32&lt;=Hypothèses!$C$17,Hypothèses!$F$17,IF(B32&lt;=Hypothèses!$C$18,Hypothèses!$F$18,F31))))))))))))</f>
        <v/>
      </c>
      <c r="G32" s="91">
        <f t="array" ref="G32">INDEX('Coeff EC7'!$U$7:$X$27,
MATCH(Model0.1C!$B$3,'Coeff EC7'!$T$7:$T$27,0),
MATCH(Model0.1C!$D32&amp;Model0.1C!$B$4,
'Coeff EC7'!$U$6:$X$6&amp;
'Coeff EC7'!$U$5:$X$5,0))</f>
        <v>1.1499999999999999</v>
      </c>
      <c r="H32" s="91">
        <f t="array" ref="H32">INDEX('Coeff EC7'!$Y$7:$AB$27,
MATCH(Model0.1C!$B$3,'Coeff EC7'!$T$7:$T$27,0),
MATCH(Model0.1C!$D32&amp;Model0.1C!$B$4,
'Coeff EC7'!$Y$6:$AB$6&amp;
'Coeff EC7'!$Y$5:$AB$5,0))</f>
        <v>1.4</v>
      </c>
      <c r="I32" s="83" t="e">
        <f>IF(B32&lt;=Hypothèses!$C$7,Hypothèses!$P$7,IF(B32&lt;=Hypothèses!$C$8,Hypothèses!$P$8,IF(B32&lt;=Hypothèses!$C$9,Hypothèses!$P$9,IF(B32&lt;=Hypothèses!$C$10,Hypothèses!$P$10,IF(B32&lt;=Hypothèses!$C$11,Hypothèses!$P$11,IF(B32&lt;=Hypothèses!$C$12,Hypothèses!$P$12,IF(B32&lt;=Hypothèses!$C$13,Hypothèses!$P$13,IF(B32&lt;=Hypothèses!$C$14,Hypothèses!$P$14,IF(B32&lt;=Hypothèses!$C$15,Hypothèses!$P$15,IF(B32&lt;=Hypothèses!$C$16,Hypothèses!$P$16,IF(B32&lt;=Hypothèses!$C$17,Hypothèses!$P$17,IF(B32&lt;=Hypothèses!$C$18,Hypothèses!$P$18,I31))))))))))))</f>
        <v>#N/A</v>
      </c>
      <c r="J32" s="91" t="e">
        <f t="array" ref="J32">INDEX('Coeff EC7'!$D$33:$Q$33,1,MATCH(D32&amp;E32,'Coeff EC7'!$D$31:$Q$31&amp;'Coeff EC7'!$D$32:$Q$32,0))</f>
        <v>#N/A</v>
      </c>
      <c r="K32" s="91" t="e">
        <f t="array" ref="K32">INDEX('Coeff EC7'!$D$34:$Q$34,1,MATCH(D32&amp;E32,'Coeff EC7'!$D$31:$Q$31&amp;'Coeff EC7'!$D$32:$Q$32,0))</f>
        <v>#N/A</v>
      </c>
      <c r="L32" s="91" t="e">
        <f t="array" ref="L32">INDEX('Coeff EC7'!$D$35:$Q$35,1,MATCH(D32&amp;E32,'Coeff EC7'!$D$31:$Q$31&amp;'Coeff EC7'!$D$32:$Q$32,0))</f>
        <v>#N/A</v>
      </c>
      <c r="M32" s="98" t="e">
        <f t="shared" si="8"/>
        <v>#N/A</v>
      </c>
      <c r="N32" s="99" t="e">
        <f t="array" ref="N32">INDEX('Coeff EC7'!$D$7:$Q$27,MATCH($B$3,'Coeff EC7'!$C$7:$C$27,0),MATCH(D32&amp;E32,'Coeff EC7'!$D$5:$Q$5&amp;'Coeff EC7'!$D$6:$Q$6,0))</f>
        <v>#N/A</v>
      </c>
      <c r="O32" s="99" t="e">
        <f t="array" ref="O32">INDEX('Coeff EC7'!$D$41:$Q$61,MATCH($B$3,'Coeff EC7'!$C$41:$C$61,0),MATCH(D32&amp;E32,'Coeff EC7'!$D$39:$Q$39&amp;'Coeff EC7'!$D$40:$Q$40,0))</f>
        <v>#N/A</v>
      </c>
      <c r="P32" s="30" t="e">
        <f t="shared" si="68"/>
        <v>#N/A</v>
      </c>
      <c r="Q32" s="100" t="e">
        <f t="shared" si="10"/>
        <v>#N/A</v>
      </c>
      <c r="R32" s="86" t="b">
        <f t="shared" si="11"/>
        <v>0</v>
      </c>
      <c r="S32" s="86">
        <f t="shared" si="9"/>
        <v>0.5</v>
      </c>
      <c r="T32" s="86">
        <f t="shared" si="12"/>
        <v>0.5</v>
      </c>
      <c r="U32" s="30" t="e">
        <f t="shared" ca="1" si="69"/>
        <v>#DIV/0!</v>
      </c>
      <c r="V32" s="85" t="str">
        <f>IF(B32&lt;=Hypothèses!$V$7,Hypothèses!$W$7,IF(B32&lt;=Hypothèses!$V$8,Hypothèses!$W$8,IF(B32&lt;=Hypothèses!$V$9,Hypothèses!$W$9,IF(B32&lt;=Hypothèses!$V$10,Hypothèses!$W$10,IF(B32&lt;=Hypothèses!$V$11,Hypothèses!$W$11,IF(B32&lt;=Hypothèses!$V$12,Hypothèses!$W$12,IF(B32&lt;=Hypothèses!$V$13,Hypothèses!$W$13,IF(B32&lt;=Hypothèses!$V$14,Hypothèses!$W$14,IF(B32&lt;=Hypothèses!$V$15,Hypothèses!$W$15,IF(B32&lt;=Hypothèses!$V$16,Hypothèses!$W$16,IF(B32&lt;=Hypothèses!$V$17,Hypothèses!$W$17,IF(B32&lt;=Hypothèses!$V$18,Hypothèses!$W$18,""))))))))))))</f>
        <v/>
      </c>
      <c r="W32" s="87" t="e">
        <f t="shared" ca="1" si="116"/>
        <v>#DIV/0!</v>
      </c>
      <c r="X32" s="88" t="str">
        <f>IF(B32&lt;=Hypothèses!$V$7,Hypothèses!$X$7,IF(B32&lt;=Hypothèses!$V$8,Hypothèses!$X$8,IF(B32&lt;=Hypothèses!$V$9,Hypothèses!$X$9,IF(B32&lt;=Hypothèses!$V$10,Hypothèses!$X$10,IF(B32&lt;=Hypothèses!$V$11,Hypothèses!$X$11,IF(B32&lt;=Hypothèses!$V$12,Hypothèses!$X$12,IF(B32&lt;=Hypothèses!$V$13,Hypothèses!$X$13,IF(B32&lt;=Hypothèses!$V$14,Hypothèses!$X$14,IF(B32&lt;=Hypothèses!$V$15,Hypothèses!$X$15,IF(B32&lt;=Hypothèses!$V$16,Hypothèses!$X$16,IF(B32&lt;=Hypothèses!$U$17,Hypothèses!$W$17,IF(B32&lt;=Hypothèses!$U$18,Hypothèses!$W$18,""))))))))))))</f>
        <v/>
      </c>
      <c r="Y32" s="95" t="e">
        <f t="shared" ca="1" si="13"/>
        <v>#DIV/0!</v>
      </c>
      <c r="Z32" s="101" t="e">
        <f t="shared" si="14"/>
        <v>#N/A</v>
      </c>
      <c r="AA32" s="91" t="e">
        <f t="shared" si="15"/>
        <v>#N/A</v>
      </c>
      <c r="AB32" s="30" t="e">
        <f t="shared" si="100"/>
        <v>#N/A</v>
      </c>
      <c r="AC32" s="30" t="e">
        <f t="shared" si="101"/>
        <v>#N/A</v>
      </c>
      <c r="AD32" s="31" t="e">
        <f>IF(OR(Hypothèses!$B$4=17,Hypothèses!$B$4=18,Hypothèses!$B$4=19,Hypothèses!$B$4=20),
IF($D32="Pressio.",
IF(OR($E32=3,$E32=1,$E32=4),AC32,AB32),
IF($D32="Pénétro.",
IF(OR($E32=3,$E32=1,$E32=4),AC32,AB32))),IF($D32="Pressio.",
IF($E32=3,AC32,AB32),
IF($D32="Pénétro.",
IF($E32=4,AC32,AB32))))</f>
        <v>#N/A</v>
      </c>
      <c r="AE32" s="31" t="e">
        <f>(IF(OR(Hypothèses!$B$4=17,Hypothèses!$B$4=18,Hypothèses!$B$4=19,Hypothèses!$B$4=20),
IF($D32="Pressio.",
IF(OR($E32=3,$E32=1,$E32=4),(PI()*AE$12^2)/4*(AA32*$W32*1000)/($H32*$B$5),(PI()*AE$12^2)/4*(AA32*$W32*1000)/($G32*$B$5)),
IF($D32="Pénétro.",
IF(OR($E32=4,$E32=1,$E32=5),(PI()*AE$12^2)/4*(AA32*$W32*1000)/($H32*$B$5),(PI()*AE$12^2)/4*(AA32*$W32*1000)/($G32*$B$5)))),
IF($D32="Pressio.",
IF($E32=3,(PI()*AE$12^2)/4*(AA32*$W32*1000)/($H32*$B$5),(PI()*AE$12^2)/4*(AA32*$W32*1000)/($G32*$B$5)),
IF($D32="Pénétro.",
IF($E32=4,(PI()*AE$12^2)/4*(AA32*$W32*1000)/($H32*$B$5),(PI()*AE$12^2)/4*(AA32*$W32*1000)/($G32*$B$5))))))/10</f>
        <v>#N/A</v>
      </c>
      <c r="AF32" s="102" t="e">
        <f>(VLOOKUP($B$3,'Coeff EC7'!$T$39:$X$59,2,0)*AD32+VLOOKUP($B$3,'Coeff EC7'!$T$65:$X$85,2,0)*Model0.1C!AE32)/1.1</f>
        <v>#N/A</v>
      </c>
      <c r="AG32" s="102" t="e">
        <f>(VLOOKUP($B$3,'Coeff EC7'!$T$39:$X$59,3,0)*AD32+VLOOKUP($B$3,'Coeff EC7'!$T$65:$X$85,3,0)*Model0.1C!AE32)/0.9</f>
        <v>#N/A</v>
      </c>
      <c r="AH32" s="102" t="e">
        <f t="shared" si="18"/>
        <v>#N/A</v>
      </c>
      <c r="AI32" s="102" t="e">
        <f t="shared" si="19"/>
        <v>#N/A</v>
      </c>
      <c r="AJ32" s="414" t="e">
        <f>IF(AJ31=0,0,IF(AND(AF32&gt;charge_ELS_quasi,AG32&gt;Charge_ELS_freq,AH32&gt;charge_ELU,AI32&gt;charge_ELA,$B32&gt;NDC!$H$22-0.1+MIN(3*$AJ$12,1.5)),0,1))</f>
        <v>#N/A</v>
      </c>
      <c r="AK32" s="86" t="b">
        <f t="shared" si="20"/>
        <v>0</v>
      </c>
      <c r="AL32" s="86">
        <f t="shared" si="70"/>
        <v>0.5</v>
      </c>
      <c r="AM32" s="86">
        <f t="shared" si="21"/>
        <v>0.5</v>
      </c>
      <c r="AN32" s="30" t="e">
        <f t="shared" ca="1" si="71"/>
        <v>#DIV/0!</v>
      </c>
      <c r="AO32" s="85" t="e">
        <f ca="1">IF(U32&lt;=Hypothèses!$V$7,Hypothèses!$W$7,IF(U32&lt;=Hypothèses!$V$8,Hypothèses!$W$8,IF(U32&lt;=Hypothèses!$V$9,Hypothèses!$W$9,IF(U32&lt;=Hypothèses!$V$10,Hypothèses!$W$10,IF(U32&lt;=Hypothèses!$V$11,Hypothèses!$W$11,IF(U32&lt;=Hypothèses!$V$12,Hypothèses!$W$12,IF(U32&lt;=Hypothèses!$V$13,Hypothèses!$W$13,IF(U32&lt;=Hypothèses!$V$14,Hypothèses!$W$14,IF(U32&lt;=Hypothèses!$V$15,Hypothèses!$W$15,IF(U32&lt;=Hypothèses!$V$16,Hypothèses!$W$16,IF(U32&lt;=Hypothèses!$V$17,Hypothèses!$W$17,IF(U32&lt;=Hypothèses!$V$18,Hypothèses!$W$18,""))))))))))))</f>
        <v>#DIV/0!</v>
      </c>
      <c r="AP32" s="87" t="e">
        <f t="shared" ca="1" si="117"/>
        <v>#DIV/0!</v>
      </c>
      <c r="AQ32" s="88" t="e">
        <f ca="1">IF(U32&lt;=Hypothèses!$V$7,Hypothèses!$X$7,IF(U32&lt;=Hypothèses!$V$8,Hypothèses!$X$8,IF(U32&lt;=Hypothèses!$V$9,Hypothèses!$X$9,IF(U32&lt;=Hypothèses!$V$10,Hypothèses!$X$10,IF(U32&lt;=Hypothèses!$V$11,Hypothèses!$X$11,IF(U32&lt;=Hypothèses!$V$12,Hypothèses!$X$12,IF(U32&lt;=Hypothèses!$V$13,Hypothèses!$X$13,IF(U32&lt;=Hypothèses!$V$14,Hypothèses!$X$14,IF(U32&lt;=Hypothèses!$V$15,Hypothèses!$X$15,IF(U32&lt;=Hypothèses!$V$16,Hypothèses!$X$16,IF(U32&lt;=Hypothèses!$U$17,Hypothèses!$W$17,IF(U32&lt;=Hypothèses!$U$18,Hypothèses!$W$18,""))))))))))))</f>
        <v>#DIV/0!</v>
      </c>
      <c r="AR32" s="95" t="e">
        <f t="shared" ca="1" si="72"/>
        <v>#DIV/0!</v>
      </c>
      <c r="AS32" s="101" t="e">
        <f t="shared" si="124"/>
        <v>#N/A</v>
      </c>
      <c r="AT32" s="91" t="e">
        <f t="shared" si="23"/>
        <v>#N/A</v>
      </c>
      <c r="AU32" s="30" t="e">
        <f t="shared" si="102"/>
        <v>#N/A</v>
      </c>
      <c r="AV32" s="30" t="e">
        <f t="shared" si="103"/>
        <v>#N/A</v>
      </c>
      <c r="AW32" s="31" t="e">
        <f>IF(OR(Hypothèses!$B$4=17,Hypothèses!$B$4=18,Hypothèses!$B$4=19,Hypothèses!$B$4=20),
IF($D32="Pressio.",
IF(OR($E32=3,$E32=1,$E32=4),AV32,AU32),
IF($D32="Pénétro.",
IF(OR($E32=3,$E32=1,$E32=4),AV32,AU32))),IF($D32="Pressio.",
IF($E32=3,AV32,AU32),
IF($D32="Pénétro.",
IF($E32=4,AV32,AU32))))</f>
        <v>#N/A</v>
      </c>
      <c r="AX32" s="31" t="e">
        <f>(IF(OR(Hypothèses!$B$4=17,Hypothèses!$B$4=18,Hypothèses!$B$4=19,Hypothèses!$B$4=20),
IF($D32="Pressio.",
IF(OR($E32=3,$E32=1,$E32=4),(PI()*AX$12^2)/4*(AT32*$W32*1000)/($H32*$B$5),(PI()*AX$12^2)/4*(AT32*$W32*1000)/($G32*$B$5)),
IF($D32="Pénétro.",
IF(OR($E32=4,$E32=1,$E32=5),(PI()*AX$12^2)/4*(AT32*$W32*1000)/($H32*$B$5),(PI()*AX$12^2)/4*(AT32*$W32*1000)/($G32*$B$5)))),
IF($D32="Pressio.",
IF($E32=3,(PI()*AX$12^2)/4*(AT32*$W32*1000)/($H32*$B$5),(PI()*AX$12^2)/4*(AT32*$W32*1000)/($G32*$B$5)),
IF($D32="Pénétro.",
IF($E32=4,(PI()*AX$12^2)/4*(AT32*$W32*1000)/($H32*$B$5),(PI()*AX$12^2)/4*(AT32*$W32*1000)/($G32*$B$5))))))/10</f>
        <v>#N/A</v>
      </c>
      <c r="AY32" s="102" t="e">
        <f>(VLOOKUP($B$3,'Coeff EC7'!$T$39:$X$59,2,0)*AW32+VLOOKUP($B$3,'Coeff EC7'!$T$65:$X$85,2,0)*Model0.1C!AX32)/1.1</f>
        <v>#N/A</v>
      </c>
      <c r="AZ32" s="102" t="e">
        <f>(VLOOKUP($B$3,'Coeff EC7'!$T$39:$X$59,3,0)*AW32+VLOOKUP($B$3,'Coeff EC7'!$T$65:$X$85,3,0)*Model0.1C!AX32)/0.9</f>
        <v>#N/A</v>
      </c>
      <c r="BA32" s="102" t="e">
        <f t="shared" si="73"/>
        <v>#N/A</v>
      </c>
      <c r="BB32" s="102" t="e">
        <f t="shared" si="74"/>
        <v>#N/A</v>
      </c>
      <c r="BC32" s="414" t="e">
        <f>IF(BC31=0,0,IF(AND(AY32&gt;charge_ELS_quasi,AZ32&gt;Charge_ELS_freq,BA32&gt;charge_ELU,BB32&gt;charge_ELA,$B32&gt;NDC!$H$22-0.1+MIN(3*$BC$12,1.5)),0,1))</f>
        <v>#N/A</v>
      </c>
      <c r="BD32" s="86" t="b">
        <f t="shared" si="26"/>
        <v>0</v>
      </c>
      <c r="BE32" s="86">
        <f t="shared" si="75"/>
        <v>0.5</v>
      </c>
      <c r="BF32" s="86">
        <f t="shared" si="27"/>
        <v>0.5</v>
      </c>
      <c r="BG32" s="30" t="e">
        <f t="shared" ca="1" si="76"/>
        <v>#DIV/0!</v>
      </c>
      <c r="BH32" s="85" t="e">
        <f ca="1">IF(AN32&lt;=Hypothèses!$V$7,Hypothèses!$W$7,IF(AN32&lt;=Hypothèses!$V$8,Hypothèses!$W$8,IF(AN32&lt;=Hypothèses!$V$9,Hypothèses!$W$9,IF(AN32&lt;=Hypothèses!$V$10,Hypothèses!$W$10,IF(AN32&lt;=Hypothèses!$V$11,Hypothèses!$W$11,IF(AN32&lt;=Hypothèses!$V$12,Hypothèses!$W$12,IF(AN32&lt;=Hypothèses!$V$13,Hypothèses!$W$13,IF(AN32&lt;=Hypothèses!$V$14,Hypothèses!$W$14,IF(AN32&lt;=Hypothèses!$V$15,Hypothèses!$W$15,IF(AN32&lt;=Hypothèses!$V$16,Hypothèses!$W$16,IF(AN32&lt;=Hypothèses!$V$17,Hypothèses!$W$17,IF(AN32&lt;=Hypothèses!$V$18,Hypothèses!$W$18,""))))))))))))</f>
        <v>#DIV/0!</v>
      </c>
      <c r="BI32" s="87" t="e">
        <f t="shared" ca="1" si="118"/>
        <v>#DIV/0!</v>
      </c>
      <c r="BJ32" s="88" t="e">
        <f ca="1">IF(AN32&lt;=Hypothèses!$V$7,Hypothèses!$X$7,IF(AN32&lt;=Hypothèses!$V$8,Hypothèses!$X$8,IF(AN32&lt;=Hypothèses!$V$9,Hypothèses!$X$9,IF(AN32&lt;=Hypothèses!$V$10,Hypothèses!$X$10,IF(AN32&lt;=Hypothèses!$V$11,Hypothèses!$X$11,IF(AN32&lt;=Hypothèses!$V$12,Hypothèses!$X$12,IF(AN32&lt;=Hypothèses!$V$13,Hypothèses!$X$13,IF(AN32&lt;=Hypothèses!$V$14,Hypothèses!$X$14,IF(AN32&lt;=Hypothèses!$V$15,Hypothèses!$X$15,IF(AN32&lt;=Hypothèses!$V$16,Hypothèses!$X$16,IF(AN32&lt;=Hypothèses!$U$17,Hypothèses!$W$17,IF(AN32&lt;=Hypothèses!$U$18,Hypothèses!$W$18,""))))))))))))</f>
        <v>#DIV/0!</v>
      </c>
      <c r="BK32" s="95" t="e">
        <f t="shared" ca="1" si="77"/>
        <v>#DIV/0!</v>
      </c>
      <c r="BL32" s="101" t="e">
        <f t="shared" si="125"/>
        <v>#N/A</v>
      </c>
      <c r="BM32" s="91" t="e">
        <f t="shared" si="29"/>
        <v>#N/A</v>
      </c>
      <c r="BN32" s="30" t="e">
        <f t="shared" si="104"/>
        <v>#N/A</v>
      </c>
      <c r="BO32" s="30" t="e">
        <f t="shared" si="105"/>
        <v>#N/A</v>
      </c>
      <c r="BP32" s="31" t="e">
        <f>IF(OR(Hypothèses!$B$4=17,Hypothèses!$B$4=18,Hypothèses!$B$4=19,Hypothèses!$B$4=20),
IF($D32="Pressio.",
IF(OR($E32=3,$E32=1,$E32=4),BO32,BN32),
IF($D32="Pénétro.",
IF(OR($E32=3,$E32=1,$E32=4),BO32,BN32))),IF($D32="Pressio.",
IF($E32=3,BO32,BN32),
IF($D32="Pénétro.",
IF($E32=4,BO32,BN32))))</f>
        <v>#N/A</v>
      </c>
      <c r="BQ32" s="31" t="e">
        <f>(IF(OR(Hypothèses!$B$4=17,Hypothèses!$B$4=18,Hypothèses!$B$4=19,Hypothèses!$B$4=20),
IF($D32="Pressio.",
IF(OR($E32=3,$E32=1,$E32=4),(PI()*BQ$12^2)/4*(BM32*$W32*1000)/($H32*$B$5),(PI()*BQ$12^2)/4*(BM32*$W32*1000)/($G32*$B$5)),
IF($D32="Pénétro.",
IF(OR($E32=4,$E32=1,$E32=5),(PI()*BQ$12^2)/4*(BM32*$W32*1000)/($H32*$B$5),(PI()*BQ$12^2)/4*(BM32*$W32*1000)/($G32*$B$5)))),
IF($D32="Pressio.",
IF($E32=3,(PI()*BQ$12^2)/4*(BM32*$W32*1000)/($H32*$B$5),(PI()*BQ$12^2)/4*(BM32*$W32*1000)/($G32*$B$5)),
IF($D32="Pénétro.",
IF($E32=4,(PI()*BQ$12^2)/4*(BM32*$W32*1000)/($H32*$B$5),(PI()*BQ$12^2)/4*(BM32*$W32*1000)/($G32*$B$5))))))/10</f>
        <v>#N/A</v>
      </c>
      <c r="BR32" s="102" t="e">
        <f>(VLOOKUP($B$3,'Coeff EC7'!$T$39:$X$59,2,0)*BP32+VLOOKUP($B$3,'Coeff EC7'!$T$65:$X$85,2,0)*Model0.1C!BQ32)/1.1</f>
        <v>#N/A</v>
      </c>
      <c r="BS32" s="102" t="e">
        <f>(VLOOKUP($B$3,'Coeff EC7'!$T$39:$X$59,3,0)*BP32+VLOOKUP($B$3,'Coeff EC7'!$T$65:$X$85,3,0)*Model0.1C!BQ32)/0.9</f>
        <v>#N/A</v>
      </c>
      <c r="BT32" s="102" t="e">
        <f t="shared" si="78"/>
        <v>#N/A</v>
      </c>
      <c r="BU32" s="102" t="e">
        <f t="shared" si="79"/>
        <v>#N/A</v>
      </c>
      <c r="BV32" s="414" t="e">
        <f>IF(BV31=0,0,IF(AND(BR32&gt;charge_ELS_quasi,BS32&gt;Charge_ELS_freq,BT32&gt;charge_ELU,BU32&gt;charge_ELA,$B32&gt;NDC!$H$22-0.1+MIN(3*$BV$12,1.5)),0,1))</f>
        <v>#N/A</v>
      </c>
      <c r="BW32" s="86" t="b">
        <f t="shared" si="32"/>
        <v>0</v>
      </c>
      <c r="BX32" s="86">
        <f t="shared" si="33"/>
        <v>0.5</v>
      </c>
      <c r="BY32" s="86">
        <f t="shared" si="34"/>
        <v>0.5</v>
      </c>
      <c r="BZ32" s="30" t="e">
        <f t="shared" ca="1" si="80"/>
        <v>#DIV/0!</v>
      </c>
      <c r="CA32" s="85" t="e">
        <f ca="1">IF(BG32&lt;=Hypothèses!$V$7,Hypothèses!$W$7,IF(BG32&lt;=Hypothèses!$V$8,Hypothèses!$W$8,IF(BG32&lt;=Hypothèses!$V$9,Hypothèses!$W$9,IF(BG32&lt;=Hypothèses!$V$10,Hypothèses!$W$10,IF(BG32&lt;=Hypothèses!$V$11,Hypothèses!$W$11,IF(BG32&lt;=Hypothèses!$V$12,Hypothèses!$W$12,IF(BG32&lt;=Hypothèses!$V$13,Hypothèses!$W$13,IF(BG32&lt;=Hypothèses!$V$14,Hypothèses!$W$14,IF(BG32&lt;=Hypothèses!$V$15,Hypothèses!$W$15,IF(BG32&lt;=Hypothèses!$V$16,Hypothèses!$W$16,IF(BG32&lt;=Hypothèses!$V$17,Hypothèses!$W$17,IF(BG32&lt;=Hypothèses!$V$18,Hypothèses!$W$18,""))))))))))))</f>
        <v>#DIV/0!</v>
      </c>
      <c r="CB32" s="87" t="e">
        <f t="shared" ca="1" si="119"/>
        <v>#DIV/0!</v>
      </c>
      <c r="CC32" s="88" t="e">
        <f ca="1">IF(BG32&lt;=Hypothèses!$V$7,Hypothèses!$X$7,IF(BG32&lt;=Hypothèses!$V$8,Hypothèses!$X$8,IF(BG32&lt;=Hypothèses!$V$9,Hypothèses!$X$9,IF(BG32&lt;=Hypothèses!$V$10,Hypothèses!$X$10,IF(BG32&lt;=Hypothèses!$V$11,Hypothèses!$X$11,IF(BG32&lt;=Hypothèses!$V$12,Hypothèses!$X$12,IF(BG32&lt;=Hypothèses!$V$13,Hypothèses!$X$13,IF(BG32&lt;=Hypothèses!$V$14,Hypothèses!$X$14,IF(BG32&lt;=Hypothèses!$V$15,Hypothèses!$X$15,IF(BG32&lt;=Hypothèses!$V$16,Hypothèses!$X$16,IF(BG32&lt;=Hypothèses!$U$17,Hypothèses!$W$17,IF(BG32&lt;=Hypothèses!$U$18,Hypothèses!$W$18,""))))))))))))</f>
        <v>#DIV/0!</v>
      </c>
      <c r="CD32" s="95" t="e">
        <f t="shared" ca="1" si="81"/>
        <v>#DIV/0!</v>
      </c>
      <c r="CE32" s="101" t="e">
        <f t="shared" si="126"/>
        <v>#N/A</v>
      </c>
      <c r="CF32" s="91" t="e">
        <f t="shared" si="36"/>
        <v>#N/A</v>
      </c>
      <c r="CG32" s="30" t="e">
        <f t="shared" si="106"/>
        <v>#N/A</v>
      </c>
      <c r="CH32" s="30" t="e">
        <f t="shared" si="107"/>
        <v>#N/A</v>
      </c>
      <c r="CI32" s="31" t="e">
        <f>IF(OR(Hypothèses!$B$4=17,Hypothèses!$B$4=18,Hypothèses!$B$4=19,Hypothèses!$B$4=20),
IF($D32="Pressio.",
IF(OR($E32=3,$E32=1,$E32=4),CH32,CG32),
IF($D32="Pénétro.",
IF(OR($E32=3,$E32=1,$E32=4),CH32,CG32))),IF($D32="Pressio.",
IF($E32=3,CH32,CG32),
IF($D32="Pénétro.",
IF($E32=4,CH32,CG32))))</f>
        <v>#N/A</v>
      </c>
      <c r="CJ32" s="31" t="e">
        <f>(IF(OR(Hypothèses!$B$4=17,Hypothèses!$B$4=18,Hypothèses!$B$4=19,Hypothèses!$B$4=20),
IF($D32="Pressio.",
IF(OR($E32=3,$E32=1,$E32=4),(PI()*CJ$12^2)/4*(CF32*$W32*1000)/($H32*$B$5),(PI()*CJ$12^2)/4*(CF32*$W32*1000)/($G32*$B$5)),
IF($D32="Pénétro.",
IF(OR($E32=4,$E32=1,$E32=5),(PI()*CJ$12^2)/4*(CF32*$W32*1000)/($H32*$B$5),(PI()*CJ$12^2)/4*(CF32*$W32*1000)/($G32*$B$5)))),
IF($D32="Pressio.",
IF($E32=3,(PI()*CJ$12^2)/4*(CF32*$W32*1000)/($H32*$B$5),(PI()*CJ$12^2)/4*(CF32*$W32*1000)/($G32*$B$5)),
IF($D32="Pénétro.",
IF($E32=4,(PI()*CJ$12^2)/4*(CF32*$W32*1000)/($H32*$B$5),(PI()*CJ$12^2)/4*(CF32*$W32*1000)/($G32*$B$5))))))/10</f>
        <v>#N/A</v>
      </c>
      <c r="CK32" s="102" t="e">
        <f>(VLOOKUP($B$3,'Coeff EC7'!$T$39:$X$59,2,0)*CI32+VLOOKUP($B$3,'Coeff EC7'!$T$65:$X$85,2,0)*Model0.1C!CJ32)/1.1</f>
        <v>#N/A</v>
      </c>
      <c r="CL32" s="102" t="e">
        <f>(VLOOKUP($B$3,'Coeff EC7'!$T$39:$X$59,3,0)*CI32+VLOOKUP($B$3,'Coeff EC7'!$T$65:$X$85,3,0)*Model0.1C!CJ32)/0.9</f>
        <v>#N/A</v>
      </c>
      <c r="CM32" s="102" t="e">
        <f t="shared" si="82"/>
        <v>#N/A</v>
      </c>
      <c r="CN32" s="102" t="e">
        <f t="shared" si="83"/>
        <v>#N/A</v>
      </c>
      <c r="CO32" s="414" t="e">
        <f>IF(CO31=0,0,IF(AND(CK32&gt;charge_ELS_quasi,CL32&gt;Charge_ELS_freq,CM32&gt;charge_ELU,CN32&gt;charge_ELA,$B32&gt;NDC!$H$22-0.1+MIN(3*$CO$12,1.5)),0,1))</f>
        <v>#N/A</v>
      </c>
      <c r="CP32" s="86" t="b">
        <f t="shared" si="39"/>
        <v>0</v>
      </c>
      <c r="CQ32" s="86">
        <f t="shared" si="40"/>
        <v>0.5</v>
      </c>
      <c r="CR32" s="86">
        <f t="shared" si="41"/>
        <v>0.5</v>
      </c>
      <c r="CS32" s="30" t="e">
        <f t="shared" ca="1" si="84"/>
        <v>#DIV/0!</v>
      </c>
      <c r="CT32" s="85" t="e">
        <f ca="1">IF(BZ32&lt;=Hypothèses!$V$7,Hypothèses!$W$7,IF(BZ32&lt;=Hypothèses!$V$8,Hypothèses!$W$8,IF(BZ32&lt;=Hypothèses!$V$9,Hypothèses!$W$9,IF(BZ32&lt;=Hypothèses!$V$10,Hypothèses!$W$10,IF(BZ32&lt;=Hypothèses!$V$11,Hypothèses!$W$11,IF(BZ32&lt;=Hypothèses!$V$12,Hypothèses!$W$12,IF(BZ32&lt;=Hypothèses!$V$13,Hypothèses!$W$13,IF(BZ32&lt;=Hypothèses!$V$14,Hypothèses!$W$14,IF(BZ32&lt;=Hypothèses!$V$15,Hypothèses!$W$15,IF(BZ32&lt;=Hypothèses!$V$16,Hypothèses!$W$16,IF(BZ32&lt;=Hypothèses!$V$17,Hypothèses!$W$17,IF(BZ32&lt;=Hypothèses!$V$18,Hypothèses!$W$18,""))))))))))))</f>
        <v>#DIV/0!</v>
      </c>
      <c r="CU32" s="87" t="e">
        <f t="shared" ca="1" si="120"/>
        <v>#DIV/0!</v>
      </c>
      <c r="CV32" s="88" t="e">
        <f ca="1">IF(BZ32&lt;=Hypothèses!$V$7,Hypothèses!$X$7,IF(BZ32&lt;=Hypothèses!$V$8,Hypothèses!$X$8,IF(BZ32&lt;=Hypothèses!$V$9,Hypothèses!$X$9,IF(BZ32&lt;=Hypothèses!$V$10,Hypothèses!$X$10,IF(BZ32&lt;=Hypothèses!$V$11,Hypothèses!$X$11,IF(BZ32&lt;=Hypothèses!$V$12,Hypothèses!$X$12,IF(BZ32&lt;=Hypothèses!$V$13,Hypothèses!$X$13,IF(BZ32&lt;=Hypothèses!$V$14,Hypothèses!$X$14,IF(BZ32&lt;=Hypothèses!$V$15,Hypothèses!$X$15,IF(BZ32&lt;=Hypothèses!$V$16,Hypothèses!$X$16,IF(BZ32&lt;=Hypothèses!$U$17,Hypothèses!$W$17,IF(BZ32&lt;=Hypothèses!$U$18,Hypothèses!$W$18,""))))))))))))</f>
        <v>#DIV/0!</v>
      </c>
      <c r="CW32" s="95" t="e">
        <f t="shared" ca="1" si="85"/>
        <v>#DIV/0!</v>
      </c>
      <c r="CX32" s="101" t="e">
        <f t="shared" si="127"/>
        <v>#N/A</v>
      </c>
      <c r="CY32" s="91" t="e">
        <f t="shared" si="43"/>
        <v>#N/A</v>
      </c>
      <c r="CZ32" s="30" t="e">
        <f t="shared" si="108"/>
        <v>#N/A</v>
      </c>
      <c r="DA32" s="30" t="e">
        <f t="shared" si="109"/>
        <v>#N/A</v>
      </c>
      <c r="DB32" s="31" t="e">
        <f>IF(OR(Hypothèses!$B$4=17,Hypothèses!$B$4=18,Hypothèses!$B$4=19,Hypothèses!$B$4=20),
IF($D32="Pressio.",
IF(OR($E32=3,$E32=1,$E32=4),DA32,CZ32),
IF($D32="Pénétro.",
IF(OR($E32=3,$E32=1,$E32=4),DA32,CZ32))),IF($D32="Pressio.",
IF($E32=3,DA32,CZ32),
IF($D32="Pénétro.",
IF($E32=4,DA32,CZ32))))</f>
        <v>#N/A</v>
      </c>
      <c r="DC32" s="31" t="e">
        <f>(IF(OR(Hypothèses!$B$4=17,Hypothèses!$B$4=18,Hypothèses!$B$4=19,Hypothèses!$B$4=20),
IF($D32="Pressio.",
IF(OR($E32=3,$E32=1,$E32=4),(PI()*DC$12^2)/4*(CY32*$W32*1000)/($H32*$B$5),(PI()*DC$12^2)/4*(CY32*$W32*1000)/($G32*$B$5)),
IF($D32="Pénétro.",
IF(OR($E32=4,$E32=1,$E32=5),(PI()*DC$12^2)/4*(CY32*$W32*1000)/($H32*$B$5),(PI()*DC$12^2)/4*(CY32*$W32*1000)/($G32*$B$5)))),
IF($D32="Pressio.",
IF($E32=3,(PI()*DC$12^2)/4*(CY32*$W32*1000)/($H32*$B$5),(PI()*DC$12^2)/4*(CY32*$W32*1000)/($G32*$B$5)),
IF($D32="Pénétro.",
IF($E32=4,(PI()*DC$12^2)/4*(CY32*$W32*1000)/($H32*$B$5),(PI()*DC$12^2)/4*(CY32*$W32*1000)/($G32*$B$5))))))/10</f>
        <v>#N/A</v>
      </c>
      <c r="DD32" s="102" t="e">
        <f>(VLOOKUP($B$3,'Coeff EC7'!$T$39:$X$59,2,0)*DB32+VLOOKUP($B$3,'Coeff EC7'!$T$65:$X$85,2,0)*Model0.1C!DC32)/1.1</f>
        <v>#N/A</v>
      </c>
      <c r="DE32" s="102" t="e">
        <f>(VLOOKUP($B$3,'Coeff EC7'!$T$39:$X$59,3,0)*DB32+VLOOKUP($B$3,'Coeff EC7'!$T$65:$X$85,3,0)*Model0.1C!DC32)/0.9</f>
        <v>#N/A</v>
      </c>
      <c r="DF32" s="102" t="e">
        <f t="shared" si="86"/>
        <v>#N/A</v>
      </c>
      <c r="DG32" s="102" t="e">
        <f t="shared" si="87"/>
        <v>#N/A</v>
      </c>
      <c r="DH32" s="414" t="e">
        <f>IF(DH31=0,0,IF(AND(DD32&gt;charge_ELS_quasi,DE32&gt;Charge_ELS_freq,DF32&gt;charge_ELU,DG32&gt;charge_ELA,$B32&gt;NDC!$H$22-0.1+MIN(3*$DH$12,1.5)),0,1))</f>
        <v>#N/A</v>
      </c>
      <c r="DI32" s="86" t="b">
        <f t="shared" si="46"/>
        <v>0</v>
      </c>
      <c r="DJ32" s="86">
        <f t="shared" si="47"/>
        <v>0.5</v>
      </c>
      <c r="DK32" s="86">
        <f t="shared" si="48"/>
        <v>0.5</v>
      </c>
      <c r="DL32" s="30" t="e">
        <f t="shared" ca="1" si="88"/>
        <v>#DIV/0!</v>
      </c>
      <c r="DM32" s="85" t="e">
        <f ca="1">IF(CS32&lt;=Hypothèses!$V$7,Hypothèses!$W$7,IF(CS32&lt;=Hypothèses!$V$8,Hypothèses!$W$8,IF(CS32&lt;=Hypothèses!$V$9,Hypothèses!$W$9,IF(CS32&lt;=Hypothèses!$V$10,Hypothèses!$W$10,IF(CS32&lt;=Hypothèses!$V$11,Hypothèses!$W$11,IF(CS32&lt;=Hypothèses!$V$12,Hypothèses!$W$12,IF(CS32&lt;=Hypothèses!$V$13,Hypothèses!$W$13,IF(CS32&lt;=Hypothèses!$V$14,Hypothèses!$W$14,IF(CS32&lt;=Hypothèses!$V$15,Hypothèses!$W$15,IF(CS32&lt;=Hypothèses!$V$16,Hypothèses!$W$16,IF(CS32&lt;=Hypothèses!$V$17,Hypothèses!$W$17,IF(CS32&lt;=Hypothèses!$V$18,Hypothèses!$W$18,""))))))))))))</f>
        <v>#DIV/0!</v>
      </c>
      <c r="DN32" s="87" t="e">
        <f t="shared" ca="1" si="121"/>
        <v>#DIV/0!</v>
      </c>
      <c r="DO32" s="88" t="e">
        <f ca="1">IF(CS32&lt;=Hypothèses!$V$7,Hypothèses!$X$7,IF(CS32&lt;=Hypothèses!$V$8,Hypothèses!$X$8,IF(CS32&lt;=Hypothèses!$V$9,Hypothèses!$X$9,IF(CS32&lt;=Hypothèses!$V$10,Hypothèses!$X$10,IF(CS32&lt;=Hypothèses!$V$11,Hypothèses!$X$11,IF(CS32&lt;=Hypothèses!$V$12,Hypothèses!$X$12,IF(CS32&lt;=Hypothèses!$V$13,Hypothèses!$X$13,IF(CS32&lt;=Hypothèses!$V$14,Hypothèses!$X$14,IF(CS32&lt;=Hypothèses!$V$15,Hypothèses!$X$15,IF(CS32&lt;=Hypothèses!$V$16,Hypothèses!$X$16,IF(CS32&lt;=Hypothèses!$U$17,Hypothèses!$W$17,IF(CS32&lt;=Hypothèses!$U$18,Hypothèses!$W$18,""))))))))))))</f>
        <v>#DIV/0!</v>
      </c>
      <c r="DP32" s="95" t="e">
        <f t="shared" ca="1" si="89"/>
        <v>#DIV/0!</v>
      </c>
      <c r="DQ32" s="101" t="e">
        <f t="shared" si="128"/>
        <v>#N/A</v>
      </c>
      <c r="DR32" s="91" t="e">
        <f t="shared" si="50"/>
        <v>#N/A</v>
      </c>
      <c r="DS32" s="30" t="e">
        <f t="shared" si="110"/>
        <v>#N/A</v>
      </c>
      <c r="DT32" s="30" t="e">
        <f t="shared" si="111"/>
        <v>#N/A</v>
      </c>
      <c r="DU32" s="31" t="e">
        <f>IF(OR(Hypothèses!$B$4=17,Hypothèses!$B$4=18,Hypothèses!$B$4=19,Hypothèses!$B$4=20),
IF($D32="Pressio.",
IF(OR($E32=3,$E32=1,$E32=4),DT32,DS32),
IF($D32="Pénétro.",
IF(OR($E32=3,$E32=1,$E32=4),DT32,DS32))),IF($D32="Pressio.",
IF($E32=3,DT32,DS32),
IF($D32="Pénétro.",
IF($E32=4,DT32,DS32))))</f>
        <v>#N/A</v>
      </c>
      <c r="DV32" s="31" t="e">
        <f>(IF(OR(Hypothèses!$B$4=17,Hypothèses!$B$4=18,Hypothèses!$B$4=19,Hypothèses!$B$4=20),
IF($D32="Pressio.",
IF(OR($E32=3,$E32=1,$E32=4),(PI()*DV$12^2)/4*(DR32*$W32*1000)/($H32*$B$5),(PI()*DV$12^2)/4*(DR32*$W32*1000)/($G32*$B$5)),
IF($D32="Pénétro.",
IF(OR($E32=4,$E32=1,$E32=5),(PI()*DV$12^2)/4*(DR32*$W32*1000)/($H32*$B$5),(PI()*DV$12^2)/4*(DR32*$W32*1000)/($G32*$B$5)))),
IF($D32="Pressio.",
IF($E32=3,(PI()*DV$12^2)/4*(DR32*$W32*1000)/($H32*$B$5),(PI()*DV$12^2)/4*(DR32*$W32*1000)/($G32*$B$5)),
IF($D32="Pénétro.",
IF($E32=4,(PI()*DV$12^2)/4*(DR32*$W32*1000)/($H32*$B$5),(PI()*DV$12^2)/4*(DR32*$W32*1000)/($G32*$B$5))))))/10</f>
        <v>#N/A</v>
      </c>
      <c r="DW32" s="102" t="e">
        <f>(VLOOKUP($B$3,'Coeff EC7'!$T$39:$X$59,2,0)*DU32+VLOOKUP($B$3,'Coeff EC7'!$T$65:$X$85,2,0)*Model0.1C!DV32)/1.1</f>
        <v>#N/A</v>
      </c>
      <c r="DX32" s="102" t="e">
        <f>(VLOOKUP($B$3,'Coeff EC7'!$T$39:$X$59,3,0)*DU32+VLOOKUP($B$3,'Coeff EC7'!$T$65:$X$85,3,0)*Model0.1C!DV32)/0.9</f>
        <v>#N/A</v>
      </c>
      <c r="DY32" s="102" t="e">
        <f t="shared" si="90"/>
        <v>#N/A</v>
      </c>
      <c r="DZ32" s="102" t="e">
        <f t="shared" si="91"/>
        <v>#N/A</v>
      </c>
      <c r="EA32" s="414" t="e">
        <f>IF(EA31=0,0,IF(AND(DW32&gt;charge_ELS_quasi,DX32&gt;Charge_ELS_freq,DY32&gt;charge_ELU,DZ32&gt;charge_ELA,$B32&gt;NDC!$H$22-0.1+MIN(3*$EA$12,1.5)),0,1))</f>
        <v>#N/A</v>
      </c>
      <c r="EB32" s="86" t="b">
        <f t="shared" si="53"/>
        <v>0</v>
      </c>
      <c r="EC32" s="418">
        <f t="shared" si="54"/>
        <v>0.51</v>
      </c>
      <c r="ED32" s="86">
        <f t="shared" si="55"/>
        <v>0.51</v>
      </c>
      <c r="EE32" s="30" t="e">
        <f t="shared" ca="1" si="92"/>
        <v>#DIV/0!</v>
      </c>
      <c r="EF32" s="85" t="e">
        <f ca="1">IF(DL32&lt;=Hypothèses!$V$7,Hypothèses!$W$7,IF(DL32&lt;=Hypothèses!$V$8,Hypothèses!$W$8,IF(DL32&lt;=Hypothèses!$V$9,Hypothèses!$W$9,IF(DL32&lt;=Hypothèses!$V$10,Hypothèses!$W$10,IF(DL32&lt;=Hypothèses!$V$11,Hypothèses!$W$11,IF(DL32&lt;=Hypothèses!$V$12,Hypothèses!$W$12,IF(DL32&lt;=Hypothèses!$V$13,Hypothèses!$W$13,IF(DL32&lt;=Hypothèses!$V$14,Hypothèses!$W$14,IF(DL32&lt;=Hypothèses!$V$15,Hypothèses!$W$15,IF(DL32&lt;=Hypothèses!$V$16,Hypothèses!$W$16,IF(DL32&lt;=Hypothèses!$V$17,Hypothèses!$W$17,IF(DL32&lt;=Hypothèses!$V$18,Hypothèses!$W$18,""))))))))))))</f>
        <v>#DIV/0!</v>
      </c>
      <c r="EG32" s="87" t="e">
        <f t="shared" ca="1" si="122"/>
        <v>#DIV/0!</v>
      </c>
      <c r="EH32" s="88" t="e">
        <f ca="1">IF(DL32&lt;=Hypothèses!$V$7,Hypothèses!$X$7,IF(DL32&lt;=Hypothèses!$V$8,Hypothèses!$X$8,IF(DL32&lt;=Hypothèses!$V$9,Hypothèses!$X$9,IF(DL32&lt;=Hypothèses!$V$10,Hypothèses!$X$10,IF(DL32&lt;=Hypothèses!$V$11,Hypothèses!$X$11,IF(DL32&lt;=Hypothèses!$V$12,Hypothèses!$X$12,IF(DL32&lt;=Hypothèses!$V$13,Hypothèses!$X$13,IF(DL32&lt;=Hypothèses!$V$14,Hypothèses!$X$14,IF(DL32&lt;=Hypothèses!$V$15,Hypothèses!$X$15,IF(DL32&lt;=Hypothèses!$V$16,Hypothèses!$X$16,IF(DL32&lt;=Hypothèses!$U$17,Hypothèses!$W$17,IF(DL32&lt;=Hypothèses!$U$18,Hypothèses!$W$18,""))))))))))))</f>
        <v>#DIV/0!</v>
      </c>
      <c r="EI32" s="95" t="e">
        <f t="shared" ca="1" si="93"/>
        <v>#DIV/0!</v>
      </c>
      <c r="EJ32" s="101" t="e">
        <f t="shared" si="129"/>
        <v>#N/A</v>
      </c>
      <c r="EK32" s="91" t="e">
        <f t="shared" si="57"/>
        <v>#N/A</v>
      </c>
      <c r="EL32" s="30" t="e">
        <f t="shared" si="112"/>
        <v>#N/A</v>
      </c>
      <c r="EM32" s="30" t="e">
        <f t="shared" si="113"/>
        <v>#N/A</v>
      </c>
      <c r="EN32" s="31" t="e">
        <f>IF(OR(Hypothèses!$B$4=17,Hypothèses!$B$4=18,Hypothèses!$B$4=19,Hypothèses!$B$4=20),
IF($D32="Pressio.",
IF(OR($E32=3,$E32=1,$E32=4),EM32,EL32),
IF($D32="Pénétro.",
IF(OR($E32=3,$E32=1,$E32=4),EM32,EL32))),IF($D32="Pressio.",
IF($E32=3,EM32,EL32),
IF($D32="Pénétro.",
IF($E32=4,EM32,EL32))))</f>
        <v>#N/A</v>
      </c>
      <c r="EO32" s="31" t="e">
        <f>(IF(OR(Hypothèses!$B$4=17,Hypothèses!$B$4=18,Hypothèses!$B$4=19,Hypothèses!$B$4=20),
IF($D32="Pressio.",
IF(OR($E32=3,$E32=1,$E32=4),(PI()*EO$12^2)/4*(EK32*$W32*1000)/($H32*$B$5),(PI()*EO$12^2)/4*(EK32*$W32*1000)/($G32*$B$5)),
IF($D32="Pénétro.",
IF(OR($E32=4,$E32=1,$E32=5),(PI()*EO$12^2)/4*(EK32*$W32*1000)/($H32*$B$5),(PI()*EO$12^2)/4*(EK32*$W32*1000)/($G32*$B$5)))),
IF($D32="Pressio.",
IF($E32=3,(PI()*EO$12^2)/4*(EK32*$W32*1000)/($H32*$B$5),(PI()*EO$12^2)/4*(EK32*$W32*1000)/($G32*$B$5)),
IF($D32="Pénétro.",
IF($E32=4,(PI()*EO$12^2)/4*(EK32*$W32*1000)/($H32*$B$5),(PI()*EO$12^2)/4*(EK32*$W32*1000)/($G32*$B$5))))))/10</f>
        <v>#N/A</v>
      </c>
      <c r="EP32" s="102" t="e">
        <f>(VLOOKUP($B$3,'Coeff EC7'!$T$39:$X$59,2,0)*EN32+VLOOKUP($B$3,'Coeff EC7'!$T$65:$X$85,2,0)*Model0.1C!EO32)/1.1</f>
        <v>#N/A</v>
      </c>
      <c r="EQ32" s="102" t="e">
        <f>(VLOOKUP($B$3,'Coeff EC7'!$T$39:$X$59,3,0)*EN32+VLOOKUP($B$3,'Coeff EC7'!$T$65:$X$85,3,0)*Model0.1C!EO32)/0.9</f>
        <v>#N/A</v>
      </c>
      <c r="ER32" s="102" t="e">
        <f t="shared" si="94"/>
        <v>#N/A</v>
      </c>
      <c r="ES32" s="102" t="e">
        <f t="shared" si="95"/>
        <v>#N/A</v>
      </c>
      <c r="ET32" s="414" t="e">
        <f>IF(ET31=0,0,IF(AND(EP32&gt;charge_ELS_quasi,EQ32&gt;Charge_ELS_freq,ER32&gt;charge_ELU,ES32&gt;charge_ELA,$B32&gt;NDC!$H$22-0.1+MIN(3*$ET$12,1.5)),0,1))</f>
        <v>#N/A</v>
      </c>
      <c r="EU32" s="86" t="b">
        <f t="shared" si="60"/>
        <v>0</v>
      </c>
      <c r="EV32" s="86">
        <f t="shared" si="61"/>
        <v>0.61</v>
      </c>
      <c r="EW32" s="86">
        <f t="shared" si="62"/>
        <v>0.61</v>
      </c>
      <c r="EX32" s="30" t="e">
        <f t="shared" ca="1" si="96"/>
        <v>#DIV/0!</v>
      </c>
      <c r="EY32" s="85" t="e">
        <f ca="1">IF(EE32&lt;=Hypothèses!$V$7,Hypothèses!$W$7,IF(EE32&lt;=Hypothèses!$V$8,Hypothèses!$W$8,IF(EE32&lt;=Hypothèses!$V$9,Hypothèses!$W$9,IF(EE32&lt;=Hypothèses!$V$10,Hypothèses!$W$10,IF(EE32&lt;=Hypothèses!$V$11,Hypothèses!$W$11,IF(EE32&lt;=Hypothèses!$V$12,Hypothèses!$W$12,IF(EE32&lt;=Hypothèses!$V$13,Hypothèses!$W$13,IF(EE32&lt;=Hypothèses!$V$14,Hypothèses!$W$14,IF(EE32&lt;=Hypothèses!$V$15,Hypothèses!$W$15,IF(EE32&lt;=Hypothèses!$V$16,Hypothèses!$W$16,IF(EE32&lt;=Hypothèses!$V$17,Hypothèses!$W$17,IF(EE32&lt;=Hypothèses!$V$18,Hypothèses!$W$18,""))))))))))))</f>
        <v>#DIV/0!</v>
      </c>
      <c r="EZ32" s="87" t="e">
        <f t="shared" ca="1" si="123"/>
        <v>#DIV/0!</v>
      </c>
      <c r="FA32" s="88" t="e">
        <f ca="1">IF(EE32&lt;=Hypothèses!$V$7,Hypothèses!$X$7,IF(EE32&lt;=Hypothèses!$V$8,Hypothèses!$X$8,IF(EE32&lt;=Hypothèses!$V$9,Hypothèses!$X$9,IF(EE32&lt;=Hypothèses!$V$10,Hypothèses!$X$10,IF(EE32&lt;=Hypothèses!$V$11,Hypothèses!$X$11,IF(EE32&lt;=Hypothèses!$V$12,Hypothèses!$X$12,IF(EE32&lt;=Hypothèses!$V$13,Hypothèses!$X$13,IF(EE32&lt;=Hypothèses!$V$14,Hypothèses!$X$14,IF(EE32&lt;=Hypothèses!$V$15,Hypothèses!$X$15,IF(EE32&lt;=Hypothèses!$V$16,Hypothèses!$X$16,IF(EE32&lt;=Hypothèses!$U$17,Hypothèses!$W$17,IF(EE32&lt;=Hypothèses!$U$18,Hypothèses!$W$18,""))))))))))))</f>
        <v>#DIV/0!</v>
      </c>
      <c r="FB32" s="95" t="e">
        <f t="shared" ca="1" si="97"/>
        <v>#DIV/0!</v>
      </c>
      <c r="FC32" s="101" t="e">
        <f t="shared" si="130"/>
        <v>#N/A</v>
      </c>
      <c r="FD32" s="91" t="e">
        <f t="shared" si="64"/>
        <v>#N/A</v>
      </c>
      <c r="FE32" s="30" t="e">
        <f t="shared" si="114"/>
        <v>#N/A</v>
      </c>
      <c r="FF32" s="30" t="e">
        <f t="shared" si="115"/>
        <v>#N/A</v>
      </c>
      <c r="FG32" s="31" t="e">
        <f>IF(OR(Hypothèses!$B$4=17,Hypothèses!$B$4=18,Hypothèses!$B$4=19,Hypothèses!$B$4=20),
IF($D32="Pressio.",
IF(OR($E32=3,$E32=1,$E32=4),FF32,FE32),
IF($D32="Pénétro.",
IF(OR($E32=3,$E32=1,$E32=4),FF32,FE32))),IF($D32="Pressio.",
IF($E32=3,FF32,FE32),
IF($D32="Pénétro.",
IF($E32=4,FF32,FE32))))</f>
        <v>#N/A</v>
      </c>
      <c r="FH32" s="31" t="e">
        <f>(IF(OR(Hypothèses!$B$4=17,Hypothèses!$B$4=18,Hypothèses!$B$4=19,Hypothèses!$B$4=20),
IF($D32="Pressio.",
IF(OR($E32=3,$E32=1,$E32=4),(PI()*FH$12^2)/4*(FD32*$W32*1000)/($H32*$B$5),(PI()*FH$12^2)/4*(FD32*$W32*1000)/($G32*$B$5)),
IF($D32="Pénétro.",
IF(OR($E32=4,$E32=1,$E32=5),(PI()*FH$12^2)/4*(FD32*$W32*1000)/($H32*$B$5),(PI()*FH$12^2)/4*(FD32*$W32*1000)/($G32*$B$5)))),
IF($D32="Pressio.",
IF($E32=3,(PI()*FH$12^2)/4*(FD32*$W32*1000)/($H32*$B$5),(PI()*FH$12^2)/4*(FD32*$W32*1000)/($G32*$B$5)),
IF($D32="Pénétro.",
IF($E32=4,(PI()*FH$12^2)/4*(FD32*$W32*1000)/($H32*$B$5),(PI()*FH$12^2)/4*(FD32*$W32*1000)/($G32*$B$5))))))/10</f>
        <v>#N/A</v>
      </c>
      <c r="FI32" s="102" t="e">
        <f>(VLOOKUP($B$3,'Coeff EC7'!$T$39:$X$59,2,0)*FG32+VLOOKUP($B$3,'Coeff EC7'!$T$65:$X$85,2,0)*Model0.1C!FH32)/1.1</f>
        <v>#N/A</v>
      </c>
      <c r="FJ32" s="102" t="e">
        <f>(VLOOKUP($B$3,'Coeff EC7'!$T$39:$X$59,3,0)*FG32+VLOOKUP($B$3,'Coeff EC7'!$T$65:$X$85,3,0)*Model0.1C!FH32)/0.9</f>
        <v>#N/A</v>
      </c>
      <c r="FK32" s="102" t="e">
        <f t="shared" si="98"/>
        <v>#N/A</v>
      </c>
      <c r="FL32" s="102" t="e">
        <f t="shared" si="99"/>
        <v>#N/A</v>
      </c>
      <c r="FM32" s="414" t="e">
        <f>IF(FM31=0,0,IF(AND(FI32&gt;charge_ELS_quasi,FJ32&gt;Charge_ELS_freq,FK32&gt;charge_ELU,FL32&gt;charge_ELA,$B32&gt;NDC!$H$22-0.1+MIN(3*$FM$12,1.5)),0,1))</f>
        <v>#N/A</v>
      </c>
    </row>
    <row r="33" spans="1:169">
      <c r="A33" s="96">
        <f t="shared" si="67"/>
        <v>98.000000000000114</v>
      </c>
      <c r="B33" s="97">
        <v>2</v>
      </c>
      <c r="C33" s="81">
        <f>IF(B33&lt;=Hypothèses!$C$7,Hypothèses!$A$7,IF(B33&lt;=Hypothèses!$C$8,Hypothèses!$A$8,IF(B33&lt;=Hypothèses!$C$9,Hypothèses!$A$9,IF(B33&lt;=Hypothèses!$C$10,Hypothèses!$A$10,IF(B33&lt;=Hypothèses!$C$11,Hypothèses!$A$11,IF(B33&lt;=Hypothèses!$C$12,Hypothèses!$A$12,IF(B33&lt;=Hypothèses!$C$13,Hypothèses!$A$13,IF(B33&lt;=Hypothèses!$C$14,Hypothèses!$A$14,IF(B33&lt;=Hypothèses!$C$15,Hypothèses!$A$15,IF(B33&lt;=Hypothèses!$C$16,Hypothèses!$A$16,IF(B33&lt;=Hypothèses!$C$17,Hypothèses!$A$17,IF(B33&lt;=Hypothèses!$C$18,Hypothèses!$A$18,C32))))))))))))</f>
        <v>11</v>
      </c>
      <c r="D33" s="82" t="str">
        <f>IF(B33&lt;=Hypothèses!$C$7,Hypothèses!$R$7,IF(B33&lt;=Hypothèses!$C$8,Hypothèses!$R$8,IF(B33&lt;=Hypothèses!$C$9,Hypothèses!$R$9,IF(B33&lt;=Hypothèses!$C$10,Hypothèses!$R$10,IF(B33&lt;=Hypothèses!$C$11,Hypothèses!$R$11,IF(B33&lt;=Hypothèses!$C$12,Hypothèses!$R$12,IF(B33&lt;=Hypothèses!$C$13,Hypothèses!$R$13,IF(B33&lt;=Hypothèses!$C$14,Hypothèses!$R$14,IF(B33&lt;=Hypothèses!$C$15,Hypothèses!$R$15,IF(B33&lt;=Hypothèses!$C$16,Hypothèses!$R$16,IF(B33&lt;=Hypothèses!$C$17,Hypothèses!$R$17,IF(B33&lt;=Hypothèses!$C$18,Hypothèses!$R$18,D32))))))))))))</f>
        <v>Pressio.</v>
      </c>
      <c r="E33" s="82" t="e">
        <f>IF(B33&lt;=Hypothèses!$C$7,Hypothèses!$G$7,IF(B33&lt;=Hypothèses!$C$8,Hypothèses!$G$8,IF(B33&lt;=Hypothèses!$C$9,Hypothèses!$G$9,IF(B33&lt;=Hypothèses!$C$10,Hypothèses!$G$10,IF(B33&lt;=Hypothèses!$C$11,Hypothèses!$G$11,IF(B33&lt;=Hypothèses!$C$12,Hypothèses!$G$12,IF(B33&lt;=Hypothèses!$C$13,Hypothèses!$G$13,IF(B33&lt;=Hypothèses!$C$14,Hypothèses!$G$14,IF(B33&lt;=Hypothèses!$C$15,Hypothèses!$G$15,IF(B33&lt;=Hypothèses!$C$16,Hypothèses!$G$16,IF(B33&lt;=Hypothèses!$C$17,Hypothèses!$G$17,IF(B33&lt;=Hypothèses!$C$18,Hypothèses!$G$18,E32))))))))))))</f>
        <v>#N/A</v>
      </c>
      <c r="F33" s="82" t="str">
        <f>IF(B33&lt;=Hypothèses!$C$7,Hypothèses!$F$7,IF(B33&lt;=Hypothèses!$C$8,Hypothèses!$F$8,IF(B33&lt;=Hypothèses!$C$9,Hypothèses!$F$9,IF(B33&lt;=Hypothèses!$C$10,Hypothèses!$F$10,IF(B33&lt;=Hypothèses!$C$11,Hypothèses!$F$11,IF(B33&lt;=Hypothèses!$C$12,Hypothèses!$F$12,IF(B33&lt;=Hypothèses!$C$13,Hypothèses!$F$13,IF(B33&lt;=Hypothèses!$C$14,Hypothèses!$F$14,IF(B33&lt;=Hypothèses!$C$15,Hypothèses!$F$15,IF(B33&lt;=Hypothèses!$C$16,Hypothèses!$F$16,IF(B33&lt;=Hypothèses!$C$17,Hypothèses!$F$17,IF(B33&lt;=Hypothèses!$C$18,Hypothèses!$F$18,F32))))))))))))</f>
        <v/>
      </c>
      <c r="G33" s="91">
        <f t="array" ref="G33">INDEX('Coeff EC7'!$U$7:$X$27,
MATCH(Model0.1C!$B$3,'Coeff EC7'!$T$7:$T$27,0),
MATCH(Model0.1C!$D33&amp;Model0.1C!$B$4,
'Coeff EC7'!$U$6:$X$6&amp;
'Coeff EC7'!$U$5:$X$5,0))</f>
        <v>1.1499999999999999</v>
      </c>
      <c r="H33" s="91">
        <f t="array" ref="H33">INDEX('Coeff EC7'!$Y$7:$AB$27,
MATCH(Model0.1C!$B$3,'Coeff EC7'!$T$7:$T$27,0),
MATCH(Model0.1C!$D33&amp;Model0.1C!$B$4,
'Coeff EC7'!$Y$6:$AB$6&amp;
'Coeff EC7'!$Y$5:$AB$5,0))</f>
        <v>1.4</v>
      </c>
      <c r="I33" s="83" t="e">
        <f>IF(B33&lt;=Hypothèses!$C$7,Hypothèses!$P$7,IF(B33&lt;=Hypothèses!$C$8,Hypothèses!$P$8,IF(B33&lt;=Hypothèses!$C$9,Hypothèses!$P$9,IF(B33&lt;=Hypothèses!$C$10,Hypothèses!$P$10,IF(B33&lt;=Hypothèses!$C$11,Hypothèses!$P$11,IF(B33&lt;=Hypothèses!$C$12,Hypothèses!$P$12,IF(B33&lt;=Hypothèses!$C$13,Hypothèses!$P$13,IF(B33&lt;=Hypothèses!$C$14,Hypothèses!$P$14,IF(B33&lt;=Hypothèses!$C$15,Hypothèses!$P$15,IF(B33&lt;=Hypothèses!$C$16,Hypothèses!$P$16,IF(B33&lt;=Hypothèses!$C$17,Hypothèses!$P$17,IF(B33&lt;=Hypothèses!$C$18,Hypothèses!$P$18,I32))))))))))))</f>
        <v>#N/A</v>
      </c>
      <c r="J33" s="91" t="e">
        <f t="array" ref="J33">INDEX('Coeff EC7'!$D$33:$Q$33,1,MATCH(D33&amp;E33,'Coeff EC7'!$D$31:$Q$31&amp;'Coeff EC7'!$D$32:$Q$32,0))</f>
        <v>#N/A</v>
      </c>
      <c r="K33" s="91" t="e">
        <f t="array" ref="K33">INDEX('Coeff EC7'!$D$34:$Q$34,1,MATCH(D33&amp;E33,'Coeff EC7'!$D$31:$Q$31&amp;'Coeff EC7'!$D$32:$Q$32,0))</f>
        <v>#N/A</v>
      </c>
      <c r="L33" s="91" t="e">
        <f t="array" ref="L33">INDEX('Coeff EC7'!$D$35:$Q$35,1,MATCH(D33&amp;E33,'Coeff EC7'!$D$31:$Q$31&amp;'Coeff EC7'!$D$32:$Q$32,0))</f>
        <v>#N/A</v>
      </c>
      <c r="M33" s="98" t="e">
        <f t="shared" si="8"/>
        <v>#N/A</v>
      </c>
      <c r="N33" s="99" t="e">
        <f t="array" ref="N33">INDEX('Coeff EC7'!$D$7:$Q$27,MATCH($B$3,'Coeff EC7'!$C$7:$C$27,0),MATCH(D33&amp;E33,'Coeff EC7'!$D$5:$Q$5&amp;'Coeff EC7'!$D$6:$Q$6,0))</f>
        <v>#N/A</v>
      </c>
      <c r="O33" s="99" t="e">
        <f t="array" ref="O33">INDEX('Coeff EC7'!$D$41:$Q$61,MATCH($B$3,'Coeff EC7'!$C$41:$C$61,0),MATCH(D33&amp;E33,'Coeff EC7'!$D$39:$Q$39&amp;'Coeff EC7'!$D$40:$Q$40,0))</f>
        <v>#N/A</v>
      </c>
      <c r="P33" s="30" t="e">
        <f t="shared" si="68"/>
        <v>#N/A</v>
      </c>
      <c r="Q33" s="100" t="e">
        <f t="shared" si="10"/>
        <v>#N/A</v>
      </c>
      <c r="R33" s="86" t="b">
        <f t="shared" si="11"/>
        <v>0</v>
      </c>
      <c r="S33" s="86">
        <f t="shared" si="9"/>
        <v>0.5</v>
      </c>
      <c r="T33" s="86">
        <f t="shared" si="12"/>
        <v>0.5</v>
      </c>
      <c r="U33" s="30" t="e">
        <f t="shared" ca="1" si="69"/>
        <v>#DIV/0!</v>
      </c>
      <c r="V33" s="85" t="str">
        <f>IF(B33&lt;=Hypothèses!$V$7,Hypothèses!$W$7,IF(B33&lt;=Hypothèses!$V$8,Hypothèses!$W$8,IF(B33&lt;=Hypothèses!$V$9,Hypothèses!$W$9,IF(B33&lt;=Hypothèses!$V$10,Hypothèses!$W$10,IF(B33&lt;=Hypothèses!$V$11,Hypothèses!$W$11,IF(B33&lt;=Hypothèses!$V$12,Hypothèses!$W$12,IF(B33&lt;=Hypothèses!$V$13,Hypothèses!$W$13,IF(B33&lt;=Hypothèses!$V$14,Hypothèses!$W$14,IF(B33&lt;=Hypothèses!$V$15,Hypothèses!$W$15,IF(B33&lt;=Hypothèses!$V$16,Hypothèses!$W$16,IF(B33&lt;=Hypothèses!$V$17,Hypothèses!$W$17,IF(B33&lt;=Hypothèses!$V$18,Hypothèses!$W$18,""))))))))))))</f>
        <v/>
      </c>
      <c r="W33" s="87" t="e">
        <f t="shared" ca="1" si="116"/>
        <v>#DIV/0!</v>
      </c>
      <c r="X33" s="88" t="str">
        <f>IF(B33&lt;=Hypothèses!$V$7,Hypothèses!$X$7,IF(B33&lt;=Hypothèses!$V$8,Hypothèses!$X$8,IF(B33&lt;=Hypothèses!$V$9,Hypothèses!$X$9,IF(B33&lt;=Hypothèses!$V$10,Hypothèses!$X$10,IF(B33&lt;=Hypothèses!$V$11,Hypothèses!$X$11,IF(B33&lt;=Hypothèses!$V$12,Hypothèses!$X$12,IF(B33&lt;=Hypothèses!$V$13,Hypothèses!$X$13,IF(B33&lt;=Hypothèses!$V$14,Hypothèses!$X$14,IF(B33&lt;=Hypothèses!$V$15,Hypothèses!$X$15,IF(B33&lt;=Hypothèses!$V$16,Hypothèses!$X$16,IF(B33&lt;=Hypothèses!$U$17,Hypothèses!$W$17,IF(B33&lt;=Hypothèses!$U$18,Hypothèses!$W$18,""))))))))))))</f>
        <v/>
      </c>
      <c r="Y33" s="95" t="e">
        <f t="shared" ca="1" si="13"/>
        <v>#DIV/0!</v>
      </c>
      <c r="Z33" s="101" t="e">
        <f t="shared" si="14"/>
        <v>#N/A</v>
      </c>
      <c r="AA33" s="91" t="e">
        <f t="shared" si="15"/>
        <v>#N/A</v>
      </c>
      <c r="AB33" s="30" t="e">
        <f t="shared" si="100"/>
        <v>#N/A</v>
      </c>
      <c r="AC33" s="30" t="e">
        <f t="shared" si="101"/>
        <v>#N/A</v>
      </c>
      <c r="AD33" s="31" t="e">
        <f>IF(OR(Hypothèses!$B$4=17,Hypothèses!$B$4=18,Hypothèses!$B$4=19,Hypothèses!$B$4=20),
IF($D33="Pressio.",
IF(OR($E33=3,$E33=1,$E33=4),AC33,AB33),
IF($D33="Pénétro.",
IF(OR($E33=3,$E33=1,$E33=4),AC33,AB33))),IF($D33="Pressio.",
IF($E33=3,AC33,AB33),
IF($D33="Pénétro.",
IF($E33=4,AC33,AB33))))</f>
        <v>#N/A</v>
      </c>
      <c r="AE33" s="31" t="e">
        <f>(IF(OR(Hypothèses!$B$4=17,Hypothèses!$B$4=18,Hypothèses!$B$4=19,Hypothèses!$B$4=20),
IF($D33="Pressio.",
IF(OR($E33=3,$E33=1,$E33=4),(PI()*AE$12^2)/4*(AA33*$W33*1000)/($H33*$B$5),(PI()*AE$12^2)/4*(AA33*$W33*1000)/($G33*$B$5)),
IF($D33="Pénétro.",
IF(OR($E33=4,$E33=1,$E33=5),(PI()*AE$12^2)/4*(AA33*$W33*1000)/($H33*$B$5),(PI()*AE$12^2)/4*(AA33*$W33*1000)/($G33*$B$5)))),
IF($D33="Pressio.",
IF($E33=3,(PI()*AE$12^2)/4*(AA33*$W33*1000)/($H33*$B$5),(PI()*AE$12^2)/4*(AA33*$W33*1000)/($G33*$B$5)),
IF($D33="Pénétro.",
IF($E33=4,(PI()*AE$12^2)/4*(AA33*$W33*1000)/($H33*$B$5),(PI()*AE$12^2)/4*(AA33*$W33*1000)/($G33*$B$5))))))/10</f>
        <v>#N/A</v>
      </c>
      <c r="AF33" s="102" t="e">
        <f>(VLOOKUP($B$3,'Coeff EC7'!$T$39:$X$59,2,0)*AD33+VLOOKUP($B$3,'Coeff EC7'!$T$65:$X$85,2,0)*Model0.1C!AE33)/1.1</f>
        <v>#N/A</v>
      </c>
      <c r="AG33" s="102" t="e">
        <f>(VLOOKUP($B$3,'Coeff EC7'!$T$39:$X$59,3,0)*AD33+VLOOKUP($B$3,'Coeff EC7'!$T$65:$X$85,3,0)*Model0.1C!AE33)/0.9</f>
        <v>#N/A</v>
      </c>
      <c r="AH33" s="102" t="e">
        <f t="shared" si="18"/>
        <v>#N/A</v>
      </c>
      <c r="AI33" s="102" t="e">
        <f t="shared" si="19"/>
        <v>#N/A</v>
      </c>
      <c r="AJ33" s="414" t="e">
        <f>IF(AJ32=0,0,IF(AND(AF33&gt;charge_ELS_quasi,AG33&gt;Charge_ELS_freq,AH33&gt;charge_ELU,AI33&gt;charge_ELA,$B33&gt;NDC!$H$22-0.1+MIN(3*$AJ$12,1.5)),0,1))</f>
        <v>#N/A</v>
      </c>
      <c r="AK33" s="86" t="b">
        <f t="shared" si="20"/>
        <v>0</v>
      </c>
      <c r="AL33" s="86">
        <f t="shared" si="70"/>
        <v>0.5</v>
      </c>
      <c r="AM33" s="86">
        <f t="shared" si="21"/>
        <v>0.5</v>
      </c>
      <c r="AN33" s="30" t="e">
        <f t="shared" ca="1" si="71"/>
        <v>#DIV/0!</v>
      </c>
      <c r="AO33" s="85" t="e">
        <f ca="1">IF(U33&lt;=Hypothèses!$V$7,Hypothèses!$W$7,IF(U33&lt;=Hypothèses!$V$8,Hypothèses!$W$8,IF(U33&lt;=Hypothèses!$V$9,Hypothèses!$W$9,IF(U33&lt;=Hypothèses!$V$10,Hypothèses!$W$10,IF(U33&lt;=Hypothèses!$V$11,Hypothèses!$W$11,IF(U33&lt;=Hypothèses!$V$12,Hypothèses!$W$12,IF(U33&lt;=Hypothèses!$V$13,Hypothèses!$W$13,IF(U33&lt;=Hypothèses!$V$14,Hypothèses!$W$14,IF(U33&lt;=Hypothèses!$V$15,Hypothèses!$W$15,IF(U33&lt;=Hypothèses!$V$16,Hypothèses!$W$16,IF(U33&lt;=Hypothèses!$V$17,Hypothèses!$W$17,IF(U33&lt;=Hypothèses!$V$18,Hypothèses!$W$18,""))))))))))))</f>
        <v>#DIV/0!</v>
      </c>
      <c r="AP33" s="87" t="e">
        <f t="shared" ca="1" si="117"/>
        <v>#DIV/0!</v>
      </c>
      <c r="AQ33" s="88" t="e">
        <f ca="1">IF(U33&lt;=Hypothèses!$V$7,Hypothèses!$X$7,IF(U33&lt;=Hypothèses!$V$8,Hypothèses!$X$8,IF(U33&lt;=Hypothèses!$V$9,Hypothèses!$X$9,IF(U33&lt;=Hypothèses!$V$10,Hypothèses!$X$10,IF(U33&lt;=Hypothèses!$V$11,Hypothèses!$X$11,IF(U33&lt;=Hypothèses!$V$12,Hypothèses!$X$12,IF(U33&lt;=Hypothèses!$V$13,Hypothèses!$X$13,IF(U33&lt;=Hypothèses!$V$14,Hypothèses!$X$14,IF(U33&lt;=Hypothèses!$V$15,Hypothèses!$X$15,IF(U33&lt;=Hypothèses!$V$16,Hypothèses!$X$16,IF(U33&lt;=Hypothèses!$U$17,Hypothèses!$W$17,IF(U33&lt;=Hypothèses!$U$18,Hypothèses!$W$18,""))))))))))))</f>
        <v>#DIV/0!</v>
      </c>
      <c r="AR33" s="95" t="e">
        <f t="shared" ca="1" si="72"/>
        <v>#DIV/0!</v>
      </c>
      <c r="AS33" s="101" t="e">
        <f t="shared" si="124"/>
        <v>#N/A</v>
      </c>
      <c r="AT33" s="91" t="e">
        <f t="shared" si="23"/>
        <v>#N/A</v>
      </c>
      <c r="AU33" s="30" t="e">
        <f t="shared" si="102"/>
        <v>#N/A</v>
      </c>
      <c r="AV33" s="30" t="e">
        <f t="shared" si="103"/>
        <v>#N/A</v>
      </c>
      <c r="AW33" s="31" t="e">
        <f>IF(OR(Hypothèses!$B$4=17,Hypothèses!$B$4=18,Hypothèses!$B$4=19,Hypothèses!$B$4=20),
IF($D33="Pressio.",
IF(OR($E33=3,$E33=1,$E33=4),AV33,AU33),
IF($D33="Pénétro.",
IF(OR($E33=3,$E33=1,$E33=4),AV33,AU33))),IF($D33="Pressio.",
IF($E33=3,AV33,AU33),
IF($D33="Pénétro.",
IF($E33=4,AV33,AU33))))</f>
        <v>#N/A</v>
      </c>
      <c r="AX33" s="31" t="e">
        <f>(IF(OR(Hypothèses!$B$4=17,Hypothèses!$B$4=18,Hypothèses!$B$4=19,Hypothèses!$B$4=20),
IF($D33="Pressio.",
IF(OR($E33=3,$E33=1,$E33=4),(PI()*AX$12^2)/4*(AT33*$W33*1000)/($H33*$B$5),(PI()*AX$12^2)/4*(AT33*$W33*1000)/($G33*$B$5)),
IF($D33="Pénétro.",
IF(OR($E33=4,$E33=1,$E33=5),(PI()*AX$12^2)/4*(AT33*$W33*1000)/($H33*$B$5),(PI()*AX$12^2)/4*(AT33*$W33*1000)/($G33*$B$5)))),
IF($D33="Pressio.",
IF($E33=3,(PI()*AX$12^2)/4*(AT33*$W33*1000)/($H33*$B$5),(PI()*AX$12^2)/4*(AT33*$W33*1000)/($G33*$B$5)),
IF($D33="Pénétro.",
IF($E33=4,(PI()*AX$12^2)/4*(AT33*$W33*1000)/($H33*$B$5),(PI()*AX$12^2)/4*(AT33*$W33*1000)/($G33*$B$5))))))/10</f>
        <v>#N/A</v>
      </c>
      <c r="AY33" s="102" t="e">
        <f>(VLOOKUP($B$3,'Coeff EC7'!$T$39:$X$59,2,0)*AW33+VLOOKUP($B$3,'Coeff EC7'!$T$65:$X$85,2,0)*Model0.1C!AX33)/1.1</f>
        <v>#N/A</v>
      </c>
      <c r="AZ33" s="102" t="e">
        <f>(VLOOKUP($B$3,'Coeff EC7'!$T$39:$X$59,3,0)*AW33+VLOOKUP($B$3,'Coeff EC7'!$T$65:$X$85,3,0)*Model0.1C!AX33)/0.9</f>
        <v>#N/A</v>
      </c>
      <c r="BA33" s="102" t="e">
        <f t="shared" si="73"/>
        <v>#N/A</v>
      </c>
      <c r="BB33" s="102" t="e">
        <f t="shared" si="74"/>
        <v>#N/A</v>
      </c>
      <c r="BC33" s="414" t="e">
        <f>IF(BC32=0,0,IF(AND(AY33&gt;charge_ELS_quasi,AZ33&gt;Charge_ELS_freq,BA33&gt;charge_ELU,BB33&gt;charge_ELA,$B33&gt;NDC!$H$22-0.1+MIN(3*$BC$12,1.5)),0,1))</f>
        <v>#N/A</v>
      </c>
      <c r="BD33" s="86" t="b">
        <f t="shared" si="26"/>
        <v>0</v>
      </c>
      <c r="BE33" s="86">
        <f t="shared" si="75"/>
        <v>0.5</v>
      </c>
      <c r="BF33" s="86">
        <f t="shared" si="27"/>
        <v>0.5</v>
      </c>
      <c r="BG33" s="30" t="e">
        <f t="shared" ca="1" si="76"/>
        <v>#DIV/0!</v>
      </c>
      <c r="BH33" s="85" t="e">
        <f ca="1">IF(AN33&lt;=Hypothèses!$V$7,Hypothèses!$W$7,IF(AN33&lt;=Hypothèses!$V$8,Hypothèses!$W$8,IF(AN33&lt;=Hypothèses!$V$9,Hypothèses!$W$9,IF(AN33&lt;=Hypothèses!$V$10,Hypothèses!$W$10,IF(AN33&lt;=Hypothèses!$V$11,Hypothèses!$W$11,IF(AN33&lt;=Hypothèses!$V$12,Hypothèses!$W$12,IF(AN33&lt;=Hypothèses!$V$13,Hypothèses!$W$13,IF(AN33&lt;=Hypothèses!$V$14,Hypothèses!$W$14,IF(AN33&lt;=Hypothèses!$V$15,Hypothèses!$W$15,IF(AN33&lt;=Hypothèses!$V$16,Hypothèses!$W$16,IF(AN33&lt;=Hypothèses!$V$17,Hypothèses!$W$17,IF(AN33&lt;=Hypothèses!$V$18,Hypothèses!$W$18,""))))))))))))</f>
        <v>#DIV/0!</v>
      </c>
      <c r="BI33" s="87" t="e">
        <f t="shared" ca="1" si="118"/>
        <v>#DIV/0!</v>
      </c>
      <c r="BJ33" s="88" t="e">
        <f ca="1">IF(AN33&lt;=Hypothèses!$V$7,Hypothèses!$X$7,IF(AN33&lt;=Hypothèses!$V$8,Hypothèses!$X$8,IF(AN33&lt;=Hypothèses!$V$9,Hypothèses!$X$9,IF(AN33&lt;=Hypothèses!$V$10,Hypothèses!$X$10,IF(AN33&lt;=Hypothèses!$V$11,Hypothèses!$X$11,IF(AN33&lt;=Hypothèses!$V$12,Hypothèses!$X$12,IF(AN33&lt;=Hypothèses!$V$13,Hypothèses!$X$13,IF(AN33&lt;=Hypothèses!$V$14,Hypothèses!$X$14,IF(AN33&lt;=Hypothèses!$V$15,Hypothèses!$X$15,IF(AN33&lt;=Hypothèses!$V$16,Hypothèses!$X$16,IF(AN33&lt;=Hypothèses!$U$17,Hypothèses!$W$17,IF(AN33&lt;=Hypothèses!$U$18,Hypothèses!$W$18,""))))))))))))</f>
        <v>#DIV/0!</v>
      </c>
      <c r="BK33" s="95" t="e">
        <f t="shared" ca="1" si="77"/>
        <v>#DIV/0!</v>
      </c>
      <c r="BL33" s="101" t="e">
        <f t="shared" si="125"/>
        <v>#N/A</v>
      </c>
      <c r="BM33" s="91" t="e">
        <f t="shared" si="29"/>
        <v>#N/A</v>
      </c>
      <c r="BN33" s="30" t="e">
        <f t="shared" si="104"/>
        <v>#N/A</v>
      </c>
      <c r="BO33" s="30" t="e">
        <f t="shared" si="105"/>
        <v>#N/A</v>
      </c>
      <c r="BP33" s="31" t="e">
        <f>IF(OR(Hypothèses!$B$4=17,Hypothèses!$B$4=18,Hypothèses!$B$4=19,Hypothèses!$B$4=20),
IF($D33="Pressio.",
IF(OR($E33=3,$E33=1,$E33=4),BO33,BN33),
IF($D33="Pénétro.",
IF(OR($E33=3,$E33=1,$E33=4),BO33,BN33))),IF($D33="Pressio.",
IF($E33=3,BO33,BN33),
IF($D33="Pénétro.",
IF($E33=4,BO33,BN33))))</f>
        <v>#N/A</v>
      </c>
      <c r="BQ33" s="31" t="e">
        <f>(IF(OR(Hypothèses!$B$4=17,Hypothèses!$B$4=18,Hypothèses!$B$4=19,Hypothèses!$B$4=20),
IF($D33="Pressio.",
IF(OR($E33=3,$E33=1,$E33=4),(PI()*BQ$12^2)/4*(BM33*$W33*1000)/($H33*$B$5),(PI()*BQ$12^2)/4*(BM33*$W33*1000)/($G33*$B$5)),
IF($D33="Pénétro.",
IF(OR($E33=4,$E33=1,$E33=5),(PI()*BQ$12^2)/4*(BM33*$W33*1000)/($H33*$B$5),(PI()*BQ$12^2)/4*(BM33*$W33*1000)/($G33*$B$5)))),
IF($D33="Pressio.",
IF($E33=3,(PI()*BQ$12^2)/4*(BM33*$W33*1000)/($H33*$B$5),(PI()*BQ$12^2)/4*(BM33*$W33*1000)/($G33*$B$5)),
IF($D33="Pénétro.",
IF($E33=4,(PI()*BQ$12^2)/4*(BM33*$W33*1000)/($H33*$B$5),(PI()*BQ$12^2)/4*(BM33*$W33*1000)/($G33*$B$5))))))/10</f>
        <v>#N/A</v>
      </c>
      <c r="BR33" s="102" t="e">
        <f>(VLOOKUP($B$3,'Coeff EC7'!$T$39:$X$59,2,0)*BP33+VLOOKUP($B$3,'Coeff EC7'!$T$65:$X$85,2,0)*Model0.1C!BQ33)/1.1</f>
        <v>#N/A</v>
      </c>
      <c r="BS33" s="102" t="e">
        <f>(VLOOKUP($B$3,'Coeff EC7'!$T$39:$X$59,3,0)*BP33+VLOOKUP($B$3,'Coeff EC7'!$T$65:$X$85,3,0)*Model0.1C!BQ33)/0.9</f>
        <v>#N/A</v>
      </c>
      <c r="BT33" s="102" t="e">
        <f t="shared" si="78"/>
        <v>#N/A</v>
      </c>
      <c r="BU33" s="102" t="e">
        <f t="shared" si="79"/>
        <v>#N/A</v>
      </c>
      <c r="BV33" s="414" t="e">
        <f>IF(BV32=0,0,IF(AND(BR33&gt;charge_ELS_quasi,BS33&gt;Charge_ELS_freq,BT33&gt;charge_ELU,BU33&gt;charge_ELA,$B33&gt;NDC!$H$22-0.1+MIN(3*$BV$12,1.5)),0,1))</f>
        <v>#N/A</v>
      </c>
      <c r="BW33" s="86" t="b">
        <f t="shared" si="32"/>
        <v>0</v>
      </c>
      <c r="BX33" s="86">
        <f t="shared" si="33"/>
        <v>0.5</v>
      </c>
      <c r="BY33" s="86">
        <f t="shared" si="34"/>
        <v>0.5</v>
      </c>
      <c r="BZ33" s="30" t="e">
        <f t="shared" ca="1" si="80"/>
        <v>#DIV/0!</v>
      </c>
      <c r="CA33" s="85" t="e">
        <f ca="1">IF(BG33&lt;=Hypothèses!$V$7,Hypothèses!$W$7,IF(BG33&lt;=Hypothèses!$V$8,Hypothèses!$W$8,IF(BG33&lt;=Hypothèses!$V$9,Hypothèses!$W$9,IF(BG33&lt;=Hypothèses!$V$10,Hypothèses!$W$10,IF(BG33&lt;=Hypothèses!$V$11,Hypothèses!$W$11,IF(BG33&lt;=Hypothèses!$V$12,Hypothèses!$W$12,IF(BG33&lt;=Hypothèses!$V$13,Hypothèses!$W$13,IF(BG33&lt;=Hypothèses!$V$14,Hypothèses!$W$14,IF(BG33&lt;=Hypothèses!$V$15,Hypothèses!$W$15,IF(BG33&lt;=Hypothèses!$V$16,Hypothèses!$W$16,IF(BG33&lt;=Hypothèses!$V$17,Hypothèses!$W$17,IF(BG33&lt;=Hypothèses!$V$18,Hypothèses!$W$18,""))))))))))))</f>
        <v>#DIV/0!</v>
      </c>
      <c r="CB33" s="87" t="e">
        <f t="shared" ca="1" si="119"/>
        <v>#DIV/0!</v>
      </c>
      <c r="CC33" s="88" t="e">
        <f ca="1">IF(BG33&lt;=Hypothèses!$V$7,Hypothèses!$X$7,IF(BG33&lt;=Hypothèses!$V$8,Hypothèses!$X$8,IF(BG33&lt;=Hypothèses!$V$9,Hypothèses!$X$9,IF(BG33&lt;=Hypothèses!$V$10,Hypothèses!$X$10,IF(BG33&lt;=Hypothèses!$V$11,Hypothèses!$X$11,IF(BG33&lt;=Hypothèses!$V$12,Hypothèses!$X$12,IF(BG33&lt;=Hypothèses!$V$13,Hypothèses!$X$13,IF(BG33&lt;=Hypothèses!$V$14,Hypothèses!$X$14,IF(BG33&lt;=Hypothèses!$V$15,Hypothèses!$X$15,IF(BG33&lt;=Hypothèses!$V$16,Hypothèses!$X$16,IF(BG33&lt;=Hypothèses!$U$17,Hypothèses!$W$17,IF(BG33&lt;=Hypothèses!$U$18,Hypothèses!$W$18,""))))))))))))</f>
        <v>#DIV/0!</v>
      </c>
      <c r="CD33" s="95" t="e">
        <f t="shared" ca="1" si="81"/>
        <v>#DIV/0!</v>
      </c>
      <c r="CE33" s="101" t="e">
        <f t="shared" si="126"/>
        <v>#N/A</v>
      </c>
      <c r="CF33" s="91" t="e">
        <f t="shared" si="36"/>
        <v>#N/A</v>
      </c>
      <c r="CG33" s="30" t="e">
        <f t="shared" si="106"/>
        <v>#N/A</v>
      </c>
      <c r="CH33" s="30" t="e">
        <f t="shared" si="107"/>
        <v>#N/A</v>
      </c>
      <c r="CI33" s="31" t="e">
        <f>IF(OR(Hypothèses!$B$4=17,Hypothèses!$B$4=18,Hypothèses!$B$4=19,Hypothèses!$B$4=20),
IF($D33="Pressio.",
IF(OR($E33=3,$E33=1,$E33=4),CH33,CG33),
IF($D33="Pénétro.",
IF(OR($E33=3,$E33=1,$E33=4),CH33,CG33))),IF($D33="Pressio.",
IF($E33=3,CH33,CG33),
IF($D33="Pénétro.",
IF($E33=4,CH33,CG33))))</f>
        <v>#N/A</v>
      </c>
      <c r="CJ33" s="31" t="e">
        <f>(IF(OR(Hypothèses!$B$4=17,Hypothèses!$B$4=18,Hypothèses!$B$4=19,Hypothèses!$B$4=20),
IF($D33="Pressio.",
IF(OR($E33=3,$E33=1,$E33=4),(PI()*CJ$12^2)/4*(CF33*$W33*1000)/($H33*$B$5),(PI()*CJ$12^2)/4*(CF33*$W33*1000)/($G33*$B$5)),
IF($D33="Pénétro.",
IF(OR($E33=4,$E33=1,$E33=5),(PI()*CJ$12^2)/4*(CF33*$W33*1000)/($H33*$B$5),(PI()*CJ$12^2)/4*(CF33*$W33*1000)/($G33*$B$5)))),
IF($D33="Pressio.",
IF($E33=3,(PI()*CJ$12^2)/4*(CF33*$W33*1000)/($H33*$B$5),(PI()*CJ$12^2)/4*(CF33*$W33*1000)/($G33*$B$5)),
IF($D33="Pénétro.",
IF($E33=4,(PI()*CJ$12^2)/4*(CF33*$W33*1000)/($H33*$B$5),(PI()*CJ$12^2)/4*(CF33*$W33*1000)/($G33*$B$5))))))/10</f>
        <v>#N/A</v>
      </c>
      <c r="CK33" s="102" t="e">
        <f>(VLOOKUP($B$3,'Coeff EC7'!$T$39:$X$59,2,0)*CI33+VLOOKUP($B$3,'Coeff EC7'!$T$65:$X$85,2,0)*Model0.1C!CJ33)/1.1</f>
        <v>#N/A</v>
      </c>
      <c r="CL33" s="102" t="e">
        <f>(VLOOKUP($B$3,'Coeff EC7'!$T$39:$X$59,3,0)*CI33+VLOOKUP($B$3,'Coeff EC7'!$T$65:$X$85,3,0)*Model0.1C!CJ33)/0.9</f>
        <v>#N/A</v>
      </c>
      <c r="CM33" s="102" t="e">
        <f t="shared" si="82"/>
        <v>#N/A</v>
      </c>
      <c r="CN33" s="102" t="e">
        <f t="shared" si="83"/>
        <v>#N/A</v>
      </c>
      <c r="CO33" s="414" t="e">
        <f>IF(CO32=0,0,IF(AND(CK33&gt;charge_ELS_quasi,CL33&gt;Charge_ELS_freq,CM33&gt;charge_ELU,CN33&gt;charge_ELA,$B33&gt;NDC!$H$22-0.1+MIN(3*$CO$12,1.5)),0,1))</f>
        <v>#N/A</v>
      </c>
      <c r="CP33" s="86" t="b">
        <f t="shared" si="39"/>
        <v>0</v>
      </c>
      <c r="CQ33" s="86">
        <f t="shared" si="40"/>
        <v>0.5</v>
      </c>
      <c r="CR33" s="86">
        <f t="shared" si="41"/>
        <v>0.5</v>
      </c>
      <c r="CS33" s="30" t="e">
        <f t="shared" ca="1" si="84"/>
        <v>#DIV/0!</v>
      </c>
      <c r="CT33" s="85" t="e">
        <f ca="1">IF(BZ33&lt;=Hypothèses!$V$7,Hypothèses!$W$7,IF(BZ33&lt;=Hypothèses!$V$8,Hypothèses!$W$8,IF(BZ33&lt;=Hypothèses!$V$9,Hypothèses!$W$9,IF(BZ33&lt;=Hypothèses!$V$10,Hypothèses!$W$10,IF(BZ33&lt;=Hypothèses!$V$11,Hypothèses!$W$11,IF(BZ33&lt;=Hypothèses!$V$12,Hypothèses!$W$12,IF(BZ33&lt;=Hypothèses!$V$13,Hypothèses!$W$13,IF(BZ33&lt;=Hypothèses!$V$14,Hypothèses!$W$14,IF(BZ33&lt;=Hypothèses!$V$15,Hypothèses!$W$15,IF(BZ33&lt;=Hypothèses!$V$16,Hypothèses!$W$16,IF(BZ33&lt;=Hypothèses!$V$17,Hypothèses!$W$17,IF(BZ33&lt;=Hypothèses!$V$18,Hypothèses!$W$18,""))))))))))))</f>
        <v>#DIV/0!</v>
      </c>
      <c r="CU33" s="87" t="e">
        <f t="shared" ca="1" si="120"/>
        <v>#DIV/0!</v>
      </c>
      <c r="CV33" s="88" t="e">
        <f ca="1">IF(BZ33&lt;=Hypothèses!$V$7,Hypothèses!$X$7,IF(BZ33&lt;=Hypothèses!$V$8,Hypothèses!$X$8,IF(BZ33&lt;=Hypothèses!$V$9,Hypothèses!$X$9,IF(BZ33&lt;=Hypothèses!$V$10,Hypothèses!$X$10,IF(BZ33&lt;=Hypothèses!$V$11,Hypothèses!$X$11,IF(BZ33&lt;=Hypothèses!$V$12,Hypothèses!$X$12,IF(BZ33&lt;=Hypothèses!$V$13,Hypothèses!$X$13,IF(BZ33&lt;=Hypothèses!$V$14,Hypothèses!$X$14,IF(BZ33&lt;=Hypothèses!$V$15,Hypothèses!$X$15,IF(BZ33&lt;=Hypothèses!$V$16,Hypothèses!$X$16,IF(BZ33&lt;=Hypothèses!$U$17,Hypothèses!$W$17,IF(BZ33&lt;=Hypothèses!$U$18,Hypothèses!$W$18,""))))))))))))</f>
        <v>#DIV/0!</v>
      </c>
      <c r="CW33" s="95" t="e">
        <f t="shared" ca="1" si="85"/>
        <v>#DIV/0!</v>
      </c>
      <c r="CX33" s="101" t="e">
        <f t="shared" si="127"/>
        <v>#N/A</v>
      </c>
      <c r="CY33" s="91" t="e">
        <f t="shared" si="43"/>
        <v>#N/A</v>
      </c>
      <c r="CZ33" s="30" t="e">
        <f t="shared" si="108"/>
        <v>#N/A</v>
      </c>
      <c r="DA33" s="30" t="e">
        <f t="shared" si="109"/>
        <v>#N/A</v>
      </c>
      <c r="DB33" s="31" t="e">
        <f>IF(OR(Hypothèses!$B$4=17,Hypothèses!$B$4=18,Hypothèses!$B$4=19,Hypothèses!$B$4=20),
IF($D33="Pressio.",
IF(OR($E33=3,$E33=1,$E33=4),DA33,CZ33),
IF($D33="Pénétro.",
IF(OR($E33=3,$E33=1,$E33=4),DA33,CZ33))),IF($D33="Pressio.",
IF($E33=3,DA33,CZ33),
IF($D33="Pénétro.",
IF($E33=4,DA33,CZ33))))</f>
        <v>#N/A</v>
      </c>
      <c r="DC33" s="31" t="e">
        <f>(IF(OR(Hypothèses!$B$4=17,Hypothèses!$B$4=18,Hypothèses!$B$4=19,Hypothèses!$B$4=20),
IF($D33="Pressio.",
IF(OR($E33=3,$E33=1,$E33=4),(PI()*DC$12^2)/4*(CY33*$W33*1000)/($H33*$B$5),(PI()*DC$12^2)/4*(CY33*$W33*1000)/($G33*$B$5)),
IF($D33="Pénétro.",
IF(OR($E33=4,$E33=1,$E33=5),(PI()*DC$12^2)/4*(CY33*$W33*1000)/($H33*$B$5),(PI()*DC$12^2)/4*(CY33*$W33*1000)/($G33*$B$5)))),
IF($D33="Pressio.",
IF($E33=3,(PI()*DC$12^2)/4*(CY33*$W33*1000)/($H33*$B$5),(PI()*DC$12^2)/4*(CY33*$W33*1000)/($G33*$B$5)),
IF($D33="Pénétro.",
IF($E33=4,(PI()*DC$12^2)/4*(CY33*$W33*1000)/($H33*$B$5),(PI()*DC$12^2)/4*(CY33*$W33*1000)/($G33*$B$5))))))/10</f>
        <v>#N/A</v>
      </c>
      <c r="DD33" s="102" t="e">
        <f>(VLOOKUP($B$3,'Coeff EC7'!$T$39:$X$59,2,0)*DB33+VLOOKUP($B$3,'Coeff EC7'!$T$65:$X$85,2,0)*Model0.1C!DC33)/1.1</f>
        <v>#N/A</v>
      </c>
      <c r="DE33" s="102" t="e">
        <f>(VLOOKUP($B$3,'Coeff EC7'!$T$39:$X$59,3,0)*DB33+VLOOKUP($B$3,'Coeff EC7'!$T$65:$X$85,3,0)*Model0.1C!DC33)/0.9</f>
        <v>#N/A</v>
      </c>
      <c r="DF33" s="102" t="e">
        <f t="shared" si="86"/>
        <v>#N/A</v>
      </c>
      <c r="DG33" s="102" t="e">
        <f t="shared" si="87"/>
        <v>#N/A</v>
      </c>
      <c r="DH33" s="414" t="e">
        <f>IF(DH32=0,0,IF(AND(DD33&gt;charge_ELS_quasi,DE33&gt;Charge_ELS_freq,DF33&gt;charge_ELU,DG33&gt;charge_ELA,$B33&gt;NDC!$H$22-0.1+MIN(3*$DH$12,1.5)),0,1))</f>
        <v>#N/A</v>
      </c>
      <c r="DI33" s="86" t="b">
        <f t="shared" si="46"/>
        <v>0</v>
      </c>
      <c r="DJ33" s="86">
        <f t="shared" si="47"/>
        <v>0.5</v>
      </c>
      <c r="DK33" s="86">
        <f t="shared" si="48"/>
        <v>0.5</v>
      </c>
      <c r="DL33" s="30" t="e">
        <f t="shared" ca="1" si="88"/>
        <v>#DIV/0!</v>
      </c>
      <c r="DM33" s="85" t="e">
        <f ca="1">IF(CS33&lt;=Hypothèses!$V$7,Hypothèses!$W$7,IF(CS33&lt;=Hypothèses!$V$8,Hypothèses!$W$8,IF(CS33&lt;=Hypothèses!$V$9,Hypothèses!$W$9,IF(CS33&lt;=Hypothèses!$V$10,Hypothèses!$W$10,IF(CS33&lt;=Hypothèses!$V$11,Hypothèses!$W$11,IF(CS33&lt;=Hypothèses!$V$12,Hypothèses!$W$12,IF(CS33&lt;=Hypothèses!$V$13,Hypothèses!$W$13,IF(CS33&lt;=Hypothèses!$V$14,Hypothèses!$W$14,IF(CS33&lt;=Hypothèses!$V$15,Hypothèses!$W$15,IF(CS33&lt;=Hypothèses!$V$16,Hypothèses!$W$16,IF(CS33&lt;=Hypothèses!$V$17,Hypothèses!$W$17,IF(CS33&lt;=Hypothèses!$V$18,Hypothèses!$W$18,""))))))))))))</f>
        <v>#DIV/0!</v>
      </c>
      <c r="DN33" s="87" t="e">
        <f t="shared" ca="1" si="121"/>
        <v>#DIV/0!</v>
      </c>
      <c r="DO33" s="88" t="e">
        <f ca="1">IF(CS33&lt;=Hypothèses!$V$7,Hypothèses!$X$7,IF(CS33&lt;=Hypothèses!$V$8,Hypothèses!$X$8,IF(CS33&lt;=Hypothèses!$V$9,Hypothèses!$X$9,IF(CS33&lt;=Hypothèses!$V$10,Hypothèses!$X$10,IF(CS33&lt;=Hypothèses!$V$11,Hypothèses!$X$11,IF(CS33&lt;=Hypothèses!$V$12,Hypothèses!$X$12,IF(CS33&lt;=Hypothèses!$V$13,Hypothèses!$X$13,IF(CS33&lt;=Hypothèses!$V$14,Hypothèses!$X$14,IF(CS33&lt;=Hypothèses!$V$15,Hypothèses!$X$15,IF(CS33&lt;=Hypothèses!$V$16,Hypothèses!$X$16,IF(CS33&lt;=Hypothèses!$U$17,Hypothèses!$W$17,IF(CS33&lt;=Hypothèses!$U$18,Hypothèses!$W$18,""))))))))))))</f>
        <v>#DIV/0!</v>
      </c>
      <c r="DP33" s="95" t="e">
        <f t="shared" ca="1" si="89"/>
        <v>#DIV/0!</v>
      </c>
      <c r="DQ33" s="101" t="e">
        <f t="shared" si="128"/>
        <v>#N/A</v>
      </c>
      <c r="DR33" s="91" t="e">
        <f t="shared" si="50"/>
        <v>#N/A</v>
      </c>
      <c r="DS33" s="30" t="e">
        <f t="shared" si="110"/>
        <v>#N/A</v>
      </c>
      <c r="DT33" s="30" t="e">
        <f t="shared" si="111"/>
        <v>#N/A</v>
      </c>
      <c r="DU33" s="31" t="e">
        <f>IF(OR(Hypothèses!$B$4=17,Hypothèses!$B$4=18,Hypothèses!$B$4=19,Hypothèses!$B$4=20),
IF($D33="Pressio.",
IF(OR($E33=3,$E33=1,$E33=4),DT33,DS33),
IF($D33="Pénétro.",
IF(OR($E33=3,$E33=1,$E33=4),DT33,DS33))),IF($D33="Pressio.",
IF($E33=3,DT33,DS33),
IF($D33="Pénétro.",
IF($E33=4,DT33,DS33))))</f>
        <v>#N/A</v>
      </c>
      <c r="DV33" s="31" t="e">
        <f>(IF(OR(Hypothèses!$B$4=17,Hypothèses!$B$4=18,Hypothèses!$B$4=19,Hypothèses!$B$4=20),
IF($D33="Pressio.",
IF(OR($E33=3,$E33=1,$E33=4),(PI()*DV$12^2)/4*(DR33*$W33*1000)/($H33*$B$5),(PI()*DV$12^2)/4*(DR33*$W33*1000)/($G33*$B$5)),
IF($D33="Pénétro.",
IF(OR($E33=4,$E33=1,$E33=5),(PI()*DV$12^2)/4*(DR33*$W33*1000)/($H33*$B$5),(PI()*DV$12^2)/4*(DR33*$W33*1000)/($G33*$B$5)))),
IF($D33="Pressio.",
IF($E33=3,(PI()*DV$12^2)/4*(DR33*$W33*1000)/($H33*$B$5),(PI()*DV$12^2)/4*(DR33*$W33*1000)/($G33*$B$5)),
IF($D33="Pénétro.",
IF($E33=4,(PI()*DV$12^2)/4*(DR33*$W33*1000)/($H33*$B$5),(PI()*DV$12^2)/4*(DR33*$W33*1000)/($G33*$B$5))))))/10</f>
        <v>#N/A</v>
      </c>
      <c r="DW33" s="102" t="e">
        <f>(VLOOKUP($B$3,'Coeff EC7'!$T$39:$X$59,2,0)*DU33+VLOOKUP($B$3,'Coeff EC7'!$T$65:$X$85,2,0)*Model0.1C!DV33)/1.1</f>
        <v>#N/A</v>
      </c>
      <c r="DX33" s="102" t="e">
        <f>(VLOOKUP($B$3,'Coeff EC7'!$T$39:$X$59,3,0)*DU33+VLOOKUP($B$3,'Coeff EC7'!$T$65:$X$85,3,0)*Model0.1C!DV33)/0.9</f>
        <v>#N/A</v>
      </c>
      <c r="DY33" s="102" t="e">
        <f t="shared" si="90"/>
        <v>#N/A</v>
      </c>
      <c r="DZ33" s="102" t="e">
        <f t="shared" si="91"/>
        <v>#N/A</v>
      </c>
      <c r="EA33" s="414" t="e">
        <f>IF(EA32=0,0,IF(AND(DW33&gt;charge_ELS_quasi,DX33&gt;Charge_ELS_freq,DY33&gt;charge_ELU,DZ33&gt;charge_ELA,$B33&gt;NDC!$H$22-0.1+MIN(3*$EA$12,1.5)),0,1))</f>
        <v>#N/A</v>
      </c>
      <c r="EB33" s="86" t="b">
        <f t="shared" si="53"/>
        <v>0</v>
      </c>
      <c r="EC33" s="418">
        <f t="shared" si="54"/>
        <v>0.51</v>
      </c>
      <c r="ED33" s="86">
        <f t="shared" si="55"/>
        <v>0.51</v>
      </c>
      <c r="EE33" s="30" t="e">
        <f t="shared" ca="1" si="92"/>
        <v>#DIV/0!</v>
      </c>
      <c r="EF33" s="85" t="e">
        <f ca="1">IF(DL33&lt;=Hypothèses!$V$7,Hypothèses!$W$7,IF(DL33&lt;=Hypothèses!$V$8,Hypothèses!$W$8,IF(DL33&lt;=Hypothèses!$V$9,Hypothèses!$W$9,IF(DL33&lt;=Hypothèses!$V$10,Hypothèses!$W$10,IF(DL33&lt;=Hypothèses!$V$11,Hypothèses!$W$11,IF(DL33&lt;=Hypothèses!$V$12,Hypothèses!$W$12,IF(DL33&lt;=Hypothèses!$V$13,Hypothèses!$W$13,IF(DL33&lt;=Hypothèses!$V$14,Hypothèses!$W$14,IF(DL33&lt;=Hypothèses!$V$15,Hypothèses!$W$15,IF(DL33&lt;=Hypothèses!$V$16,Hypothèses!$W$16,IF(DL33&lt;=Hypothèses!$V$17,Hypothèses!$W$17,IF(DL33&lt;=Hypothèses!$V$18,Hypothèses!$W$18,""))))))))))))</f>
        <v>#DIV/0!</v>
      </c>
      <c r="EG33" s="87" t="e">
        <f t="shared" ca="1" si="122"/>
        <v>#DIV/0!</v>
      </c>
      <c r="EH33" s="88" t="e">
        <f ca="1">IF(DL33&lt;=Hypothèses!$V$7,Hypothèses!$X$7,IF(DL33&lt;=Hypothèses!$V$8,Hypothèses!$X$8,IF(DL33&lt;=Hypothèses!$V$9,Hypothèses!$X$9,IF(DL33&lt;=Hypothèses!$V$10,Hypothèses!$X$10,IF(DL33&lt;=Hypothèses!$V$11,Hypothèses!$X$11,IF(DL33&lt;=Hypothèses!$V$12,Hypothèses!$X$12,IF(DL33&lt;=Hypothèses!$V$13,Hypothèses!$X$13,IF(DL33&lt;=Hypothèses!$V$14,Hypothèses!$X$14,IF(DL33&lt;=Hypothèses!$V$15,Hypothèses!$X$15,IF(DL33&lt;=Hypothèses!$V$16,Hypothèses!$X$16,IF(DL33&lt;=Hypothèses!$U$17,Hypothèses!$W$17,IF(DL33&lt;=Hypothèses!$U$18,Hypothèses!$W$18,""))))))))))))</f>
        <v>#DIV/0!</v>
      </c>
      <c r="EI33" s="95" t="e">
        <f t="shared" ca="1" si="93"/>
        <v>#DIV/0!</v>
      </c>
      <c r="EJ33" s="101" t="e">
        <f t="shared" si="129"/>
        <v>#N/A</v>
      </c>
      <c r="EK33" s="91" t="e">
        <f t="shared" si="57"/>
        <v>#N/A</v>
      </c>
      <c r="EL33" s="30" t="e">
        <f t="shared" si="112"/>
        <v>#N/A</v>
      </c>
      <c r="EM33" s="30" t="e">
        <f t="shared" si="113"/>
        <v>#N/A</v>
      </c>
      <c r="EN33" s="31" t="e">
        <f>IF(OR(Hypothèses!$B$4=17,Hypothèses!$B$4=18,Hypothèses!$B$4=19,Hypothèses!$B$4=20),
IF($D33="Pressio.",
IF(OR($E33=3,$E33=1,$E33=4),EM33,EL33),
IF($D33="Pénétro.",
IF(OR($E33=3,$E33=1,$E33=4),EM33,EL33))),IF($D33="Pressio.",
IF($E33=3,EM33,EL33),
IF($D33="Pénétro.",
IF($E33=4,EM33,EL33))))</f>
        <v>#N/A</v>
      </c>
      <c r="EO33" s="31" t="e">
        <f>(IF(OR(Hypothèses!$B$4=17,Hypothèses!$B$4=18,Hypothèses!$B$4=19,Hypothèses!$B$4=20),
IF($D33="Pressio.",
IF(OR($E33=3,$E33=1,$E33=4),(PI()*EO$12^2)/4*(EK33*$W33*1000)/($H33*$B$5),(PI()*EO$12^2)/4*(EK33*$W33*1000)/($G33*$B$5)),
IF($D33="Pénétro.",
IF(OR($E33=4,$E33=1,$E33=5),(PI()*EO$12^2)/4*(EK33*$W33*1000)/($H33*$B$5),(PI()*EO$12^2)/4*(EK33*$W33*1000)/($G33*$B$5)))),
IF($D33="Pressio.",
IF($E33=3,(PI()*EO$12^2)/4*(EK33*$W33*1000)/($H33*$B$5),(PI()*EO$12^2)/4*(EK33*$W33*1000)/($G33*$B$5)),
IF($D33="Pénétro.",
IF($E33=4,(PI()*EO$12^2)/4*(EK33*$W33*1000)/($H33*$B$5),(PI()*EO$12^2)/4*(EK33*$W33*1000)/($G33*$B$5))))))/10</f>
        <v>#N/A</v>
      </c>
      <c r="EP33" s="102" t="e">
        <f>(VLOOKUP($B$3,'Coeff EC7'!$T$39:$X$59,2,0)*EN33+VLOOKUP($B$3,'Coeff EC7'!$T$65:$X$85,2,0)*Model0.1C!EO33)/1.1</f>
        <v>#N/A</v>
      </c>
      <c r="EQ33" s="102" t="e">
        <f>(VLOOKUP($B$3,'Coeff EC7'!$T$39:$X$59,3,0)*EN33+VLOOKUP($B$3,'Coeff EC7'!$T$65:$X$85,3,0)*Model0.1C!EO33)/0.9</f>
        <v>#N/A</v>
      </c>
      <c r="ER33" s="102" t="e">
        <f t="shared" si="94"/>
        <v>#N/A</v>
      </c>
      <c r="ES33" s="102" t="e">
        <f t="shared" si="95"/>
        <v>#N/A</v>
      </c>
      <c r="ET33" s="414" t="e">
        <f>IF(ET32=0,0,IF(AND(EP33&gt;charge_ELS_quasi,EQ33&gt;Charge_ELS_freq,ER33&gt;charge_ELU,ES33&gt;charge_ELA,$B33&gt;NDC!$H$22-0.1+MIN(3*$ET$12,1.5)),0,1))</f>
        <v>#N/A</v>
      </c>
      <c r="EU33" s="86" t="b">
        <f t="shared" si="60"/>
        <v>0</v>
      </c>
      <c r="EV33" s="86">
        <f t="shared" si="61"/>
        <v>0.61</v>
      </c>
      <c r="EW33" s="86">
        <f t="shared" si="62"/>
        <v>0.61</v>
      </c>
      <c r="EX33" s="30" t="e">
        <f t="shared" ca="1" si="96"/>
        <v>#DIV/0!</v>
      </c>
      <c r="EY33" s="85" t="e">
        <f ca="1">IF(EE33&lt;=Hypothèses!$V$7,Hypothèses!$W$7,IF(EE33&lt;=Hypothèses!$V$8,Hypothèses!$W$8,IF(EE33&lt;=Hypothèses!$V$9,Hypothèses!$W$9,IF(EE33&lt;=Hypothèses!$V$10,Hypothèses!$W$10,IF(EE33&lt;=Hypothèses!$V$11,Hypothèses!$W$11,IF(EE33&lt;=Hypothèses!$V$12,Hypothèses!$W$12,IF(EE33&lt;=Hypothèses!$V$13,Hypothèses!$W$13,IF(EE33&lt;=Hypothèses!$V$14,Hypothèses!$W$14,IF(EE33&lt;=Hypothèses!$V$15,Hypothèses!$W$15,IF(EE33&lt;=Hypothèses!$V$16,Hypothèses!$W$16,IF(EE33&lt;=Hypothèses!$V$17,Hypothèses!$W$17,IF(EE33&lt;=Hypothèses!$V$18,Hypothèses!$W$18,""))))))))))))</f>
        <v>#DIV/0!</v>
      </c>
      <c r="EZ33" s="87" t="e">
        <f t="shared" ca="1" si="123"/>
        <v>#DIV/0!</v>
      </c>
      <c r="FA33" s="88" t="e">
        <f ca="1">IF(EE33&lt;=Hypothèses!$V$7,Hypothèses!$X$7,IF(EE33&lt;=Hypothèses!$V$8,Hypothèses!$X$8,IF(EE33&lt;=Hypothèses!$V$9,Hypothèses!$X$9,IF(EE33&lt;=Hypothèses!$V$10,Hypothèses!$X$10,IF(EE33&lt;=Hypothèses!$V$11,Hypothèses!$X$11,IF(EE33&lt;=Hypothèses!$V$12,Hypothèses!$X$12,IF(EE33&lt;=Hypothèses!$V$13,Hypothèses!$X$13,IF(EE33&lt;=Hypothèses!$V$14,Hypothèses!$X$14,IF(EE33&lt;=Hypothèses!$V$15,Hypothèses!$X$15,IF(EE33&lt;=Hypothèses!$V$16,Hypothèses!$X$16,IF(EE33&lt;=Hypothèses!$U$17,Hypothèses!$W$17,IF(EE33&lt;=Hypothèses!$U$18,Hypothèses!$W$18,""))))))))))))</f>
        <v>#DIV/0!</v>
      </c>
      <c r="FB33" s="95" t="e">
        <f t="shared" ca="1" si="97"/>
        <v>#DIV/0!</v>
      </c>
      <c r="FC33" s="101" t="e">
        <f t="shared" si="130"/>
        <v>#N/A</v>
      </c>
      <c r="FD33" s="91" t="e">
        <f t="shared" si="64"/>
        <v>#N/A</v>
      </c>
      <c r="FE33" s="30" t="e">
        <f t="shared" si="114"/>
        <v>#N/A</v>
      </c>
      <c r="FF33" s="30" t="e">
        <f t="shared" si="115"/>
        <v>#N/A</v>
      </c>
      <c r="FG33" s="31" t="e">
        <f>IF(OR(Hypothèses!$B$4=17,Hypothèses!$B$4=18,Hypothèses!$B$4=19,Hypothèses!$B$4=20),
IF($D33="Pressio.",
IF(OR($E33=3,$E33=1,$E33=4),FF33,FE33),
IF($D33="Pénétro.",
IF(OR($E33=3,$E33=1,$E33=4),FF33,FE33))),IF($D33="Pressio.",
IF($E33=3,FF33,FE33),
IF($D33="Pénétro.",
IF($E33=4,FF33,FE33))))</f>
        <v>#N/A</v>
      </c>
      <c r="FH33" s="31" t="e">
        <f>(IF(OR(Hypothèses!$B$4=17,Hypothèses!$B$4=18,Hypothèses!$B$4=19,Hypothèses!$B$4=20),
IF($D33="Pressio.",
IF(OR($E33=3,$E33=1,$E33=4),(PI()*FH$12^2)/4*(FD33*$W33*1000)/($H33*$B$5),(PI()*FH$12^2)/4*(FD33*$W33*1000)/($G33*$B$5)),
IF($D33="Pénétro.",
IF(OR($E33=4,$E33=1,$E33=5),(PI()*FH$12^2)/4*(FD33*$W33*1000)/($H33*$B$5),(PI()*FH$12^2)/4*(FD33*$W33*1000)/($G33*$B$5)))),
IF($D33="Pressio.",
IF($E33=3,(PI()*FH$12^2)/4*(FD33*$W33*1000)/($H33*$B$5),(PI()*FH$12^2)/4*(FD33*$W33*1000)/($G33*$B$5)),
IF($D33="Pénétro.",
IF($E33=4,(PI()*FH$12^2)/4*(FD33*$W33*1000)/($H33*$B$5),(PI()*FH$12^2)/4*(FD33*$W33*1000)/($G33*$B$5))))))/10</f>
        <v>#N/A</v>
      </c>
      <c r="FI33" s="102" t="e">
        <f>(VLOOKUP($B$3,'Coeff EC7'!$T$39:$X$59,2,0)*FG33+VLOOKUP($B$3,'Coeff EC7'!$T$65:$X$85,2,0)*Model0.1C!FH33)/1.1</f>
        <v>#N/A</v>
      </c>
      <c r="FJ33" s="102" t="e">
        <f>(VLOOKUP($B$3,'Coeff EC7'!$T$39:$X$59,3,0)*FG33+VLOOKUP($B$3,'Coeff EC7'!$T$65:$X$85,3,0)*Model0.1C!FH33)/0.9</f>
        <v>#N/A</v>
      </c>
      <c r="FK33" s="102" t="e">
        <f t="shared" si="98"/>
        <v>#N/A</v>
      </c>
      <c r="FL33" s="102" t="e">
        <f t="shared" si="99"/>
        <v>#N/A</v>
      </c>
      <c r="FM33" s="414" t="e">
        <f>IF(FM32=0,0,IF(AND(FI33&gt;charge_ELS_quasi,FJ33&gt;Charge_ELS_freq,FK33&gt;charge_ELU,FL33&gt;charge_ELA,$B33&gt;NDC!$H$22-0.1+MIN(3*$FM$12,1.5)),0,1))</f>
        <v>#N/A</v>
      </c>
    </row>
    <row r="34" spans="1:169">
      <c r="A34" s="96">
        <f t="shared" si="67"/>
        <v>97.900000000000119</v>
      </c>
      <c r="B34" s="97">
        <v>2.1</v>
      </c>
      <c r="C34" s="81">
        <f>IF(B34&lt;=Hypothèses!$C$7,Hypothèses!$A$7,IF(B34&lt;=Hypothèses!$C$8,Hypothèses!$A$8,IF(B34&lt;=Hypothèses!$C$9,Hypothèses!$A$9,IF(B34&lt;=Hypothèses!$C$10,Hypothèses!$A$10,IF(B34&lt;=Hypothèses!$C$11,Hypothèses!$A$11,IF(B34&lt;=Hypothèses!$C$12,Hypothèses!$A$12,IF(B34&lt;=Hypothèses!$C$13,Hypothèses!$A$13,IF(B34&lt;=Hypothèses!$C$14,Hypothèses!$A$14,IF(B34&lt;=Hypothèses!$C$15,Hypothèses!$A$15,IF(B34&lt;=Hypothèses!$C$16,Hypothèses!$A$16,IF(B34&lt;=Hypothèses!$C$17,Hypothèses!$A$17,IF(B34&lt;=Hypothèses!$C$18,Hypothèses!$A$18,C33))))))))))))</f>
        <v>11</v>
      </c>
      <c r="D34" s="82" t="str">
        <f>IF(B34&lt;=Hypothèses!$C$7,Hypothèses!$R$7,IF(B34&lt;=Hypothèses!$C$8,Hypothèses!$R$8,IF(B34&lt;=Hypothèses!$C$9,Hypothèses!$R$9,IF(B34&lt;=Hypothèses!$C$10,Hypothèses!$R$10,IF(B34&lt;=Hypothèses!$C$11,Hypothèses!$R$11,IF(B34&lt;=Hypothèses!$C$12,Hypothèses!$R$12,IF(B34&lt;=Hypothèses!$C$13,Hypothèses!$R$13,IF(B34&lt;=Hypothèses!$C$14,Hypothèses!$R$14,IF(B34&lt;=Hypothèses!$C$15,Hypothèses!$R$15,IF(B34&lt;=Hypothèses!$C$16,Hypothèses!$R$16,IF(B34&lt;=Hypothèses!$C$17,Hypothèses!$R$17,IF(B34&lt;=Hypothèses!$C$18,Hypothèses!$R$18,D33))))))))))))</f>
        <v>Pressio.</v>
      </c>
      <c r="E34" s="82" t="e">
        <f>IF(B34&lt;=Hypothèses!$C$7,Hypothèses!$G$7,IF(B34&lt;=Hypothèses!$C$8,Hypothèses!$G$8,IF(B34&lt;=Hypothèses!$C$9,Hypothèses!$G$9,IF(B34&lt;=Hypothèses!$C$10,Hypothèses!$G$10,IF(B34&lt;=Hypothèses!$C$11,Hypothèses!$G$11,IF(B34&lt;=Hypothèses!$C$12,Hypothèses!$G$12,IF(B34&lt;=Hypothèses!$C$13,Hypothèses!$G$13,IF(B34&lt;=Hypothèses!$C$14,Hypothèses!$G$14,IF(B34&lt;=Hypothèses!$C$15,Hypothèses!$G$15,IF(B34&lt;=Hypothèses!$C$16,Hypothèses!$G$16,IF(B34&lt;=Hypothèses!$C$17,Hypothèses!$G$17,IF(B34&lt;=Hypothèses!$C$18,Hypothèses!$G$18,E33))))))))))))</f>
        <v>#N/A</v>
      </c>
      <c r="F34" s="82" t="str">
        <f>IF(B34&lt;=Hypothèses!$C$7,Hypothèses!$F$7,IF(B34&lt;=Hypothèses!$C$8,Hypothèses!$F$8,IF(B34&lt;=Hypothèses!$C$9,Hypothèses!$F$9,IF(B34&lt;=Hypothèses!$C$10,Hypothèses!$F$10,IF(B34&lt;=Hypothèses!$C$11,Hypothèses!$F$11,IF(B34&lt;=Hypothèses!$C$12,Hypothèses!$F$12,IF(B34&lt;=Hypothèses!$C$13,Hypothèses!$F$13,IF(B34&lt;=Hypothèses!$C$14,Hypothèses!$F$14,IF(B34&lt;=Hypothèses!$C$15,Hypothèses!$F$15,IF(B34&lt;=Hypothèses!$C$16,Hypothèses!$F$16,IF(B34&lt;=Hypothèses!$C$17,Hypothèses!$F$17,IF(B34&lt;=Hypothèses!$C$18,Hypothèses!$F$18,F33))))))))))))</f>
        <v/>
      </c>
      <c r="G34" s="91">
        <f t="array" ref="G34">INDEX('Coeff EC7'!$U$7:$X$27,
MATCH(Model0.1C!$B$3,'Coeff EC7'!$T$7:$T$27,0),
MATCH(Model0.1C!$D34&amp;Model0.1C!$B$4,
'Coeff EC7'!$U$6:$X$6&amp;
'Coeff EC7'!$U$5:$X$5,0))</f>
        <v>1.1499999999999999</v>
      </c>
      <c r="H34" s="91">
        <f t="array" ref="H34">INDEX('Coeff EC7'!$Y$7:$AB$27,
MATCH(Model0.1C!$B$3,'Coeff EC7'!$T$7:$T$27,0),
MATCH(Model0.1C!$D34&amp;Model0.1C!$B$4,
'Coeff EC7'!$Y$6:$AB$6&amp;
'Coeff EC7'!$Y$5:$AB$5,0))</f>
        <v>1.4</v>
      </c>
      <c r="I34" s="83" t="e">
        <f>IF(B34&lt;=Hypothèses!$C$7,Hypothèses!$P$7,IF(B34&lt;=Hypothèses!$C$8,Hypothèses!$P$8,IF(B34&lt;=Hypothèses!$C$9,Hypothèses!$P$9,IF(B34&lt;=Hypothèses!$C$10,Hypothèses!$P$10,IF(B34&lt;=Hypothèses!$C$11,Hypothèses!$P$11,IF(B34&lt;=Hypothèses!$C$12,Hypothèses!$P$12,IF(B34&lt;=Hypothèses!$C$13,Hypothèses!$P$13,IF(B34&lt;=Hypothèses!$C$14,Hypothèses!$P$14,IF(B34&lt;=Hypothèses!$C$15,Hypothèses!$P$15,IF(B34&lt;=Hypothèses!$C$16,Hypothèses!$P$16,IF(B34&lt;=Hypothèses!$C$17,Hypothèses!$P$17,IF(B34&lt;=Hypothèses!$C$18,Hypothèses!$P$18,I33))))))))))))</f>
        <v>#N/A</v>
      </c>
      <c r="J34" s="91" t="e">
        <f t="array" ref="J34">INDEX('Coeff EC7'!$D$33:$Q$33,1,MATCH(D34&amp;E34,'Coeff EC7'!$D$31:$Q$31&amp;'Coeff EC7'!$D$32:$Q$32,0))</f>
        <v>#N/A</v>
      </c>
      <c r="K34" s="91" t="e">
        <f t="array" ref="K34">INDEX('Coeff EC7'!$D$34:$Q$34,1,MATCH(D34&amp;E34,'Coeff EC7'!$D$31:$Q$31&amp;'Coeff EC7'!$D$32:$Q$32,0))</f>
        <v>#N/A</v>
      </c>
      <c r="L34" s="91" t="e">
        <f t="array" ref="L34">INDEX('Coeff EC7'!$D$35:$Q$35,1,MATCH(D34&amp;E34,'Coeff EC7'!$D$31:$Q$31&amp;'Coeff EC7'!$D$32:$Q$32,0))</f>
        <v>#N/A</v>
      </c>
      <c r="M34" s="98" t="e">
        <f t="shared" si="8"/>
        <v>#N/A</v>
      </c>
      <c r="N34" s="99" t="e">
        <f t="array" ref="N34">INDEX('Coeff EC7'!$D$7:$Q$27,MATCH($B$3,'Coeff EC7'!$C$7:$C$27,0),MATCH(D34&amp;E34,'Coeff EC7'!$D$5:$Q$5&amp;'Coeff EC7'!$D$6:$Q$6,0))</f>
        <v>#N/A</v>
      </c>
      <c r="O34" s="99" t="e">
        <f t="array" ref="O34">INDEX('Coeff EC7'!$D$41:$Q$61,MATCH($B$3,'Coeff EC7'!$C$41:$C$61,0),MATCH(D34&amp;E34,'Coeff EC7'!$D$39:$Q$39&amp;'Coeff EC7'!$D$40:$Q$40,0))</f>
        <v>#N/A</v>
      </c>
      <c r="P34" s="30" t="e">
        <f t="shared" si="68"/>
        <v>#N/A</v>
      </c>
      <c r="Q34" s="100" t="e">
        <f t="shared" si="10"/>
        <v>#N/A</v>
      </c>
      <c r="R34" s="86" t="b">
        <f t="shared" si="11"/>
        <v>0</v>
      </c>
      <c r="S34" s="86">
        <f t="shared" si="9"/>
        <v>0.5</v>
      </c>
      <c r="T34" s="86">
        <f t="shared" si="12"/>
        <v>0.5</v>
      </c>
      <c r="U34" s="30" t="e">
        <f t="shared" ca="1" si="69"/>
        <v>#DIV/0!</v>
      </c>
      <c r="V34" s="85" t="str">
        <f>IF(B34&lt;=Hypothèses!$V$7,Hypothèses!$W$7,IF(B34&lt;=Hypothèses!$V$8,Hypothèses!$W$8,IF(B34&lt;=Hypothèses!$V$9,Hypothèses!$W$9,IF(B34&lt;=Hypothèses!$V$10,Hypothèses!$W$10,IF(B34&lt;=Hypothèses!$V$11,Hypothèses!$W$11,IF(B34&lt;=Hypothèses!$V$12,Hypothèses!$W$12,IF(B34&lt;=Hypothèses!$V$13,Hypothèses!$W$13,IF(B34&lt;=Hypothèses!$V$14,Hypothèses!$W$14,IF(B34&lt;=Hypothèses!$V$15,Hypothèses!$W$15,IF(B34&lt;=Hypothèses!$V$16,Hypothèses!$W$16,IF(B34&lt;=Hypothèses!$V$17,Hypothèses!$W$17,IF(B34&lt;=Hypothèses!$V$18,Hypothèses!$W$18,""))))))))))))</f>
        <v/>
      </c>
      <c r="W34" s="87" t="e">
        <f t="shared" ca="1" si="116"/>
        <v>#DIV/0!</v>
      </c>
      <c r="X34" s="88" t="str">
        <f>IF(B34&lt;=Hypothèses!$V$7,Hypothèses!$X$7,IF(B34&lt;=Hypothèses!$V$8,Hypothèses!$X$8,IF(B34&lt;=Hypothèses!$V$9,Hypothèses!$X$9,IF(B34&lt;=Hypothèses!$V$10,Hypothèses!$X$10,IF(B34&lt;=Hypothèses!$V$11,Hypothèses!$X$11,IF(B34&lt;=Hypothèses!$V$12,Hypothèses!$X$12,IF(B34&lt;=Hypothèses!$V$13,Hypothèses!$X$13,IF(B34&lt;=Hypothèses!$V$14,Hypothèses!$X$14,IF(B34&lt;=Hypothèses!$V$15,Hypothèses!$X$15,IF(B34&lt;=Hypothèses!$V$16,Hypothèses!$X$16,IF(B34&lt;=Hypothèses!$U$17,Hypothèses!$W$17,IF(B34&lt;=Hypothèses!$U$18,Hypothèses!$W$18,""))))))))))))</f>
        <v/>
      </c>
      <c r="Y34" s="95" t="e">
        <f t="shared" ca="1" si="13"/>
        <v>#DIV/0!</v>
      </c>
      <c r="Z34" s="101" t="e">
        <f t="shared" si="14"/>
        <v>#N/A</v>
      </c>
      <c r="AA34" s="91" t="e">
        <f t="shared" si="15"/>
        <v>#N/A</v>
      </c>
      <c r="AB34" s="30" t="e">
        <f t="shared" si="100"/>
        <v>#N/A</v>
      </c>
      <c r="AC34" s="30" t="e">
        <f t="shared" si="101"/>
        <v>#N/A</v>
      </c>
      <c r="AD34" s="31" t="e">
        <f>IF(OR(Hypothèses!$B$4=17,Hypothèses!$B$4=18,Hypothèses!$B$4=19,Hypothèses!$B$4=20),
IF($D34="Pressio.",
IF(OR($E34=3,$E34=1,$E34=4),AC34,AB34),
IF($D34="Pénétro.",
IF(OR($E34=3,$E34=1,$E34=4),AC34,AB34))),IF($D34="Pressio.",
IF($E34=3,AC34,AB34),
IF($D34="Pénétro.",
IF($E34=4,AC34,AB34))))</f>
        <v>#N/A</v>
      </c>
      <c r="AE34" s="31" t="e">
        <f>(IF(OR(Hypothèses!$B$4=17,Hypothèses!$B$4=18,Hypothèses!$B$4=19,Hypothèses!$B$4=20),
IF($D34="Pressio.",
IF(OR($E34=3,$E34=1,$E34=4),(PI()*AE$12^2)/4*(AA34*$W34*1000)/($H34*$B$5),(PI()*AE$12^2)/4*(AA34*$W34*1000)/($G34*$B$5)),
IF($D34="Pénétro.",
IF(OR($E34=4,$E34=1,$E34=5),(PI()*AE$12^2)/4*(AA34*$W34*1000)/($H34*$B$5),(PI()*AE$12^2)/4*(AA34*$W34*1000)/($G34*$B$5)))),
IF($D34="Pressio.",
IF($E34=3,(PI()*AE$12^2)/4*(AA34*$W34*1000)/($H34*$B$5),(PI()*AE$12^2)/4*(AA34*$W34*1000)/($G34*$B$5)),
IF($D34="Pénétro.",
IF($E34=4,(PI()*AE$12^2)/4*(AA34*$W34*1000)/($H34*$B$5),(PI()*AE$12^2)/4*(AA34*$W34*1000)/($G34*$B$5))))))/10</f>
        <v>#N/A</v>
      </c>
      <c r="AF34" s="102" t="e">
        <f>(VLOOKUP($B$3,'Coeff EC7'!$T$39:$X$59,2,0)*AD34+VLOOKUP($B$3,'Coeff EC7'!$T$65:$X$85,2,0)*Model0.1C!AE34)/1.1</f>
        <v>#N/A</v>
      </c>
      <c r="AG34" s="102" t="e">
        <f>(VLOOKUP($B$3,'Coeff EC7'!$T$39:$X$59,3,0)*AD34+VLOOKUP($B$3,'Coeff EC7'!$T$65:$X$85,3,0)*Model0.1C!AE34)/0.9</f>
        <v>#N/A</v>
      </c>
      <c r="AH34" s="102" t="e">
        <f t="shared" si="18"/>
        <v>#N/A</v>
      </c>
      <c r="AI34" s="102" t="e">
        <f t="shared" si="19"/>
        <v>#N/A</v>
      </c>
      <c r="AJ34" s="414" t="e">
        <f>IF(AJ33=0,0,IF(AND(AF34&gt;charge_ELS_quasi,AG34&gt;Charge_ELS_freq,AH34&gt;charge_ELU,AI34&gt;charge_ELA,$B34&gt;NDC!$H$22-0.1+MIN(3*$AJ$12,1.5)),0,1))</f>
        <v>#N/A</v>
      </c>
      <c r="AK34" s="86" t="b">
        <f t="shared" si="20"/>
        <v>0</v>
      </c>
      <c r="AL34" s="86">
        <f t="shared" si="70"/>
        <v>0.5</v>
      </c>
      <c r="AM34" s="86">
        <f t="shared" si="21"/>
        <v>0.5</v>
      </c>
      <c r="AN34" s="30" t="e">
        <f t="shared" ca="1" si="71"/>
        <v>#DIV/0!</v>
      </c>
      <c r="AO34" s="85" t="e">
        <f ca="1">IF(U34&lt;=Hypothèses!$V$7,Hypothèses!$W$7,IF(U34&lt;=Hypothèses!$V$8,Hypothèses!$W$8,IF(U34&lt;=Hypothèses!$V$9,Hypothèses!$W$9,IF(U34&lt;=Hypothèses!$V$10,Hypothèses!$W$10,IF(U34&lt;=Hypothèses!$V$11,Hypothèses!$W$11,IF(U34&lt;=Hypothèses!$V$12,Hypothèses!$W$12,IF(U34&lt;=Hypothèses!$V$13,Hypothèses!$W$13,IF(U34&lt;=Hypothèses!$V$14,Hypothèses!$W$14,IF(U34&lt;=Hypothèses!$V$15,Hypothèses!$W$15,IF(U34&lt;=Hypothèses!$V$16,Hypothèses!$W$16,IF(U34&lt;=Hypothèses!$V$17,Hypothèses!$W$17,IF(U34&lt;=Hypothèses!$V$18,Hypothèses!$W$18,""))))))))))))</f>
        <v>#DIV/0!</v>
      </c>
      <c r="AP34" s="87" t="e">
        <f t="shared" ca="1" si="117"/>
        <v>#DIV/0!</v>
      </c>
      <c r="AQ34" s="88" t="e">
        <f ca="1">IF(U34&lt;=Hypothèses!$V$7,Hypothèses!$X$7,IF(U34&lt;=Hypothèses!$V$8,Hypothèses!$X$8,IF(U34&lt;=Hypothèses!$V$9,Hypothèses!$X$9,IF(U34&lt;=Hypothèses!$V$10,Hypothèses!$X$10,IF(U34&lt;=Hypothèses!$V$11,Hypothèses!$X$11,IF(U34&lt;=Hypothèses!$V$12,Hypothèses!$X$12,IF(U34&lt;=Hypothèses!$V$13,Hypothèses!$X$13,IF(U34&lt;=Hypothèses!$V$14,Hypothèses!$X$14,IF(U34&lt;=Hypothèses!$V$15,Hypothèses!$X$15,IF(U34&lt;=Hypothèses!$V$16,Hypothèses!$X$16,IF(U34&lt;=Hypothèses!$U$17,Hypothèses!$W$17,IF(U34&lt;=Hypothèses!$U$18,Hypothèses!$W$18,""))))))))))))</f>
        <v>#DIV/0!</v>
      </c>
      <c r="AR34" s="95" t="e">
        <f t="shared" ca="1" si="72"/>
        <v>#DIV/0!</v>
      </c>
      <c r="AS34" s="101" t="e">
        <f t="shared" si="124"/>
        <v>#N/A</v>
      </c>
      <c r="AT34" s="91" t="e">
        <f t="shared" si="23"/>
        <v>#N/A</v>
      </c>
      <c r="AU34" s="30" t="e">
        <f t="shared" si="102"/>
        <v>#N/A</v>
      </c>
      <c r="AV34" s="30" t="e">
        <f t="shared" si="103"/>
        <v>#N/A</v>
      </c>
      <c r="AW34" s="31" t="e">
        <f>IF(OR(Hypothèses!$B$4=17,Hypothèses!$B$4=18,Hypothèses!$B$4=19,Hypothèses!$B$4=20),
IF($D34="Pressio.",
IF(OR($E34=3,$E34=1,$E34=4),AV34,AU34),
IF($D34="Pénétro.",
IF(OR($E34=3,$E34=1,$E34=4),AV34,AU34))),IF($D34="Pressio.",
IF($E34=3,AV34,AU34),
IF($D34="Pénétro.",
IF($E34=4,AV34,AU34))))</f>
        <v>#N/A</v>
      </c>
      <c r="AX34" s="31" t="e">
        <f>(IF(OR(Hypothèses!$B$4=17,Hypothèses!$B$4=18,Hypothèses!$B$4=19,Hypothèses!$B$4=20),
IF($D34="Pressio.",
IF(OR($E34=3,$E34=1,$E34=4),(PI()*AX$12^2)/4*(AT34*$W34*1000)/($H34*$B$5),(PI()*AX$12^2)/4*(AT34*$W34*1000)/($G34*$B$5)),
IF($D34="Pénétro.",
IF(OR($E34=4,$E34=1,$E34=5),(PI()*AX$12^2)/4*(AT34*$W34*1000)/($H34*$B$5),(PI()*AX$12^2)/4*(AT34*$W34*1000)/($G34*$B$5)))),
IF($D34="Pressio.",
IF($E34=3,(PI()*AX$12^2)/4*(AT34*$W34*1000)/($H34*$B$5),(PI()*AX$12^2)/4*(AT34*$W34*1000)/($G34*$B$5)),
IF($D34="Pénétro.",
IF($E34=4,(PI()*AX$12^2)/4*(AT34*$W34*1000)/($H34*$B$5),(PI()*AX$12^2)/4*(AT34*$W34*1000)/($G34*$B$5))))))/10</f>
        <v>#N/A</v>
      </c>
      <c r="AY34" s="102" t="e">
        <f>(VLOOKUP($B$3,'Coeff EC7'!$T$39:$X$59,2,0)*AW34+VLOOKUP($B$3,'Coeff EC7'!$T$65:$X$85,2,0)*Model0.1C!AX34)/1.1</f>
        <v>#N/A</v>
      </c>
      <c r="AZ34" s="102" t="e">
        <f>(VLOOKUP($B$3,'Coeff EC7'!$T$39:$X$59,3,0)*AW34+VLOOKUP($B$3,'Coeff EC7'!$T$65:$X$85,3,0)*Model0.1C!AX34)/0.9</f>
        <v>#N/A</v>
      </c>
      <c r="BA34" s="102" t="e">
        <f t="shared" si="73"/>
        <v>#N/A</v>
      </c>
      <c r="BB34" s="102" t="e">
        <f t="shared" si="74"/>
        <v>#N/A</v>
      </c>
      <c r="BC34" s="414" t="e">
        <f>IF(BC33=0,0,IF(AND(AY34&gt;charge_ELS_quasi,AZ34&gt;Charge_ELS_freq,BA34&gt;charge_ELU,BB34&gt;charge_ELA,$B34&gt;NDC!$H$22-0.1+MIN(3*$BC$12,1.5)),0,1))</f>
        <v>#N/A</v>
      </c>
      <c r="BD34" s="86" t="b">
        <f t="shared" si="26"/>
        <v>0</v>
      </c>
      <c r="BE34" s="86">
        <f t="shared" si="75"/>
        <v>0.5</v>
      </c>
      <c r="BF34" s="86">
        <f t="shared" si="27"/>
        <v>0.5</v>
      </c>
      <c r="BG34" s="30" t="e">
        <f t="shared" ca="1" si="76"/>
        <v>#DIV/0!</v>
      </c>
      <c r="BH34" s="85" t="e">
        <f ca="1">IF(AN34&lt;=Hypothèses!$V$7,Hypothèses!$W$7,IF(AN34&lt;=Hypothèses!$V$8,Hypothèses!$W$8,IF(AN34&lt;=Hypothèses!$V$9,Hypothèses!$W$9,IF(AN34&lt;=Hypothèses!$V$10,Hypothèses!$W$10,IF(AN34&lt;=Hypothèses!$V$11,Hypothèses!$W$11,IF(AN34&lt;=Hypothèses!$V$12,Hypothèses!$W$12,IF(AN34&lt;=Hypothèses!$V$13,Hypothèses!$W$13,IF(AN34&lt;=Hypothèses!$V$14,Hypothèses!$W$14,IF(AN34&lt;=Hypothèses!$V$15,Hypothèses!$W$15,IF(AN34&lt;=Hypothèses!$V$16,Hypothèses!$W$16,IF(AN34&lt;=Hypothèses!$V$17,Hypothèses!$W$17,IF(AN34&lt;=Hypothèses!$V$18,Hypothèses!$W$18,""))))))))))))</f>
        <v>#DIV/0!</v>
      </c>
      <c r="BI34" s="87" t="e">
        <f t="shared" ca="1" si="118"/>
        <v>#DIV/0!</v>
      </c>
      <c r="BJ34" s="88" t="e">
        <f ca="1">IF(AN34&lt;=Hypothèses!$V$7,Hypothèses!$X$7,IF(AN34&lt;=Hypothèses!$V$8,Hypothèses!$X$8,IF(AN34&lt;=Hypothèses!$V$9,Hypothèses!$X$9,IF(AN34&lt;=Hypothèses!$V$10,Hypothèses!$X$10,IF(AN34&lt;=Hypothèses!$V$11,Hypothèses!$X$11,IF(AN34&lt;=Hypothèses!$V$12,Hypothèses!$X$12,IF(AN34&lt;=Hypothèses!$V$13,Hypothèses!$X$13,IF(AN34&lt;=Hypothèses!$V$14,Hypothèses!$X$14,IF(AN34&lt;=Hypothèses!$V$15,Hypothèses!$X$15,IF(AN34&lt;=Hypothèses!$V$16,Hypothèses!$X$16,IF(AN34&lt;=Hypothèses!$U$17,Hypothèses!$W$17,IF(AN34&lt;=Hypothèses!$U$18,Hypothèses!$W$18,""))))))))))))</f>
        <v>#DIV/0!</v>
      </c>
      <c r="BK34" s="95" t="e">
        <f t="shared" ca="1" si="77"/>
        <v>#DIV/0!</v>
      </c>
      <c r="BL34" s="101" t="e">
        <f t="shared" si="125"/>
        <v>#N/A</v>
      </c>
      <c r="BM34" s="91" t="e">
        <f t="shared" si="29"/>
        <v>#N/A</v>
      </c>
      <c r="BN34" s="30" t="e">
        <f t="shared" si="104"/>
        <v>#N/A</v>
      </c>
      <c r="BO34" s="30" t="e">
        <f t="shared" si="105"/>
        <v>#N/A</v>
      </c>
      <c r="BP34" s="31" t="e">
        <f>IF(OR(Hypothèses!$B$4=17,Hypothèses!$B$4=18,Hypothèses!$B$4=19,Hypothèses!$B$4=20),
IF($D34="Pressio.",
IF(OR($E34=3,$E34=1,$E34=4),BO34,BN34),
IF($D34="Pénétro.",
IF(OR($E34=3,$E34=1,$E34=4),BO34,BN34))),IF($D34="Pressio.",
IF($E34=3,BO34,BN34),
IF($D34="Pénétro.",
IF($E34=4,BO34,BN34))))</f>
        <v>#N/A</v>
      </c>
      <c r="BQ34" s="31" t="e">
        <f>(IF(OR(Hypothèses!$B$4=17,Hypothèses!$B$4=18,Hypothèses!$B$4=19,Hypothèses!$B$4=20),
IF($D34="Pressio.",
IF(OR($E34=3,$E34=1,$E34=4),(PI()*BQ$12^2)/4*(BM34*$W34*1000)/($H34*$B$5),(PI()*BQ$12^2)/4*(BM34*$W34*1000)/($G34*$B$5)),
IF($D34="Pénétro.",
IF(OR($E34=4,$E34=1,$E34=5),(PI()*BQ$12^2)/4*(BM34*$W34*1000)/($H34*$B$5),(PI()*BQ$12^2)/4*(BM34*$W34*1000)/($G34*$B$5)))),
IF($D34="Pressio.",
IF($E34=3,(PI()*BQ$12^2)/4*(BM34*$W34*1000)/($H34*$B$5),(PI()*BQ$12^2)/4*(BM34*$W34*1000)/($G34*$B$5)),
IF($D34="Pénétro.",
IF($E34=4,(PI()*BQ$12^2)/4*(BM34*$W34*1000)/($H34*$B$5),(PI()*BQ$12^2)/4*(BM34*$W34*1000)/($G34*$B$5))))))/10</f>
        <v>#N/A</v>
      </c>
      <c r="BR34" s="102" t="e">
        <f>(VLOOKUP($B$3,'Coeff EC7'!$T$39:$X$59,2,0)*BP34+VLOOKUP($B$3,'Coeff EC7'!$T$65:$X$85,2,0)*Model0.1C!BQ34)/1.1</f>
        <v>#N/A</v>
      </c>
      <c r="BS34" s="102" t="e">
        <f>(VLOOKUP($B$3,'Coeff EC7'!$T$39:$X$59,3,0)*BP34+VLOOKUP($B$3,'Coeff EC7'!$T$65:$X$85,3,0)*Model0.1C!BQ34)/0.9</f>
        <v>#N/A</v>
      </c>
      <c r="BT34" s="102" t="e">
        <f t="shared" si="78"/>
        <v>#N/A</v>
      </c>
      <c r="BU34" s="102" t="e">
        <f t="shared" si="79"/>
        <v>#N/A</v>
      </c>
      <c r="BV34" s="414" t="e">
        <f>IF(BV33=0,0,IF(AND(BR34&gt;charge_ELS_quasi,BS34&gt;Charge_ELS_freq,BT34&gt;charge_ELU,BU34&gt;charge_ELA,$B34&gt;NDC!$H$22-0.1+MIN(3*$BV$12,1.5)),0,1))</f>
        <v>#N/A</v>
      </c>
      <c r="BW34" s="86" t="b">
        <f t="shared" si="32"/>
        <v>0</v>
      </c>
      <c r="BX34" s="86">
        <f t="shared" si="33"/>
        <v>0.5</v>
      </c>
      <c r="BY34" s="86">
        <f t="shared" si="34"/>
        <v>0.5</v>
      </c>
      <c r="BZ34" s="30" t="e">
        <f t="shared" ca="1" si="80"/>
        <v>#DIV/0!</v>
      </c>
      <c r="CA34" s="85" t="e">
        <f ca="1">IF(BG34&lt;=Hypothèses!$V$7,Hypothèses!$W$7,IF(BG34&lt;=Hypothèses!$V$8,Hypothèses!$W$8,IF(BG34&lt;=Hypothèses!$V$9,Hypothèses!$W$9,IF(BG34&lt;=Hypothèses!$V$10,Hypothèses!$W$10,IF(BG34&lt;=Hypothèses!$V$11,Hypothèses!$W$11,IF(BG34&lt;=Hypothèses!$V$12,Hypothèses!$W$12,IF(BG34&lt;=Hypothèses!$V$13,Hypothèses!$W$13,IF(BG34&lt;=Hypothèses!$V$14,Hypothèses!$W$14,IF(BG34&lt;=Hypothèses!$V$15,Hypothèses!$W$15,IF(BG34&lt;=Hypothèses!$V$16,Hypothèses!$W$16,IF(BG34&lt;=Hypothèses!$V$17,Hypothèses!$W$17,IF(BG34&lt;=Hypothèses!$V$18,Hypothèses!$W$18,""))))))))))))</f>
        <v>#DIV/0!</v>
      </c>
      <c r="CB34" s="87" t="e">
        <f t="shared" ca="1" si="119"/>
        <v>#DIV/0!</v>
      </c>
      <c r="CC34" s="88" t="e">
        <f ca="1">IF(BG34&lt;=Hypothèses!$V$7,Hypothèses!$X$7,IF(BG34&lt;=Hypothèses!$V$8,Hypothèses!$X$8,IF(BG34&lt;=Hypothèses!$V$9,Hypothèses!$X$9,IF(BG34&lt;=Hypothèses!$V$10,Hypothèses!$X$10,IF(BG34&lt;=Hypothèses!$V$11,Hypothèses!$X$11,IF(BG34&lt;=Hypothèses!$V$12,Hypothèses!$X$12,IF(BG34&lt;=Hypothèses!$V$13,Hypothèses!$X$13,IF(BG34&lt;=Hypothèses!$V$14,Hypothèses!$X$14,IF(BG34&lt;=Hypothèses!$V$15,Hypothèses!$X$15,IF(BG34&lt;=Hypothèses!$V$16,Hypothèses!$X$16,IF(BG34&lt;=Hypothèses!$U$17,Hypothèses!$W$17,IF(BG34&lt;=Hypothèses!$U$18,Hypothèses!$W$18,""))))))))))))</f>
        <v>#DIV/0!</v>
      </c>
      <c r="CD34" s="95" t="e">
        <f t="shared" ca="1" si="81"/>
        <v>#DIV/0!</v>
      </c>
      <c r="CE34" s="101" t="e">
        <f t="shared" si="126"/>
        <v>#N/A</v>
      </c>
      <c r="CF34" s="91" t="e">
        <f t="shared" si="36"/>
        <v>#N/A</v>
      </c>
      <c r="CG34" s="30" t="e">
        <f t="shared" si="106"/>
        <v>#N/A</v>
      </c>
      <c r="CH34" s="30" t="e">
        <f t="shared" si="107"/>
        <v>#N/A</v>
      </c>
      <c r="CI34" s="31" t="e">
        <f>IF(OR(Hypothèses!$B$4=17,Hypothèses!$B$4=18,Hypothèses!$B$4=19,Hypothèses!$B$4=20),
IF($D34="Pressio.",
IF(OR($E34=3,$E34=1,$E34=4),CH34,CG34),
IF($D34="Pénétro.",
IF(OR($E34=3,$E34=1,$E34=4),CH34,CG34))),IF($D34="Pressio.",
IF($E34=3,CH34,CG34),
IF($D34="Pénétro.",
IF($E34=4,CH34,CG34))))</f>
        <v>#N/A</v>
      </c>
      <c r="CJ34" s="31" t="e">
        <f>(IF(OR(Hypothèses!$B$4=17,Hypothèses!$B$4=18,Hypothèses!$B$4=19,Hypothèses!$B$4=20),
IF($D34="Pressio.",
IF(OR($E34=3,$E34=1,$E34=4),(PI()*CJ$12^2)/4*(CF34*$W34*1000)/($H34*$B$5),(PI()*CJ$12^2)/4*(CF34*$W34*1000)/($G34*$B$5)),
IF($D34="Pénétro.",
IF(OR($E34=4,$E34=1,$E34=5),(PI()*CJ$12^2)/4*(CF34*$W34*1000)/($H34*$B$5),(PI()*CJ$12^2)/4*(CF34*$W34*1000)/($G34*$B$5)))),
IF($D34="Pressio.",
IF($E34=3,(PI()*CJ$12^2)/4*(CF34*$W34*1000)/($H34*$B$5),(PI()*CJ$12^2)/4*(CF34*$W34*1000)/($G34*$B$5)),
IF($D34="Pénétro.",
IF($E34=4,(PI()*CJ$12^2)/4*(CF34*$W34*1000)/($H34*$B$5),(PI()*CJ$12^2)/4*(CF34*$W34*1000)/($G34*$B$5))))))/10</f>
        <v>#N/A</v>
      </c>
      <c r="CK34" s="102" t="e">
        <f>(VLOOKUP($B$3,'Coeff EC7'!$T$39:$X$59,2,0)*CI34+VLOOKUP($B$3,'Coeff EC7'!$T$65:$X$85,2,0)*Model0.1C!CJ34)/1.1</f>
        <v>#N/A</v>
      </c>
      <c r="CL34" s="102" t="e">
        <f>(VLOOKUP($B$3,'Coeff EC7'!$T$39:$X$59,3,0)*CI34+VLOOKUP($B$3,'Coeff EC7'!$T$65:$X$85,3,0)*Model0.1C!CJ34)/0.9</f>
        <v>#N/A</v>
      </c>
      <c r="CM34" s="102" t="e">
        <f t="shared" si="82"/>
        <v>#N/A</v>
      </c>
      <c r="CN34" s="102" t="e">
        <f t="shared" si="83"/>
        <v>#N/A</v>
      </c>
      <c r="CO34" s="414" t="e">
        <f>IF(CO33=0,0,IF(AND(CK34&gt;charge_ELS_quasi,CL34&gt;Charge_ELS_freq,CM34&gt;charge_ELU,CN34&gt;charge_ELA,$B34&gt;NDC!$H$22-0.1+MIN(3*$CO$12,1.5)),0,1))</f>
        <v>#N/A</v>
      </c>
      <c r="CP34" s="86" t="b">
        <f t="shared" si="39"/>
        <v>0</v>
      </c>
      <c r="CQ34" s="86">
        <f t="shared" si="40"/>
        <v>0.5</v>
      </c>
      <c r="CR34" s="86">
        <f t="shared" si="41"/>
        <v>0.5</v>
      </c>
      <c r="CS34" s="30" t="e">
        <f t="shared" ca="1" si="84"/>
        <v>#DIV/0!</v>
      </c>
      <c r="CT34" s="85" t="e">
        <f ca="1">IF(BZ34&lt;=Hypothèses!$V$7,Hypothèses!$W$7,IF(BZ34&lt;=Hypothèses!$V$8,Hypothèses!$W$8,IF(BZ34&lt;=Hypothèses!$V$9,Hypothèses!$W$9,IF(BZ34&lt;=Hypothèses!$V$10,Hypothèses!$W$10,IF(BZ34&lt;=Hypothèses!$V$11,Hypothèses!$W$11,IF(BZ34&lt;=Hypothèses!$V$12,Hypothèses!$W$12,IF(BZ34&lt;=Hypothèses!$V$13,Hypothèses!$W$13,IF(BZ34&lt;=Hypothèses!$V$14,Hypothèses!$W$14,IF(BZ34&lt;=Hypothèses!$V$15,Hypothèses!$W$15,IF(BZ34&lt;=Hypothèses!$V$16,Hypothèses!$W$16,IF(BZ34&lt;=Hypothèses!$V$17,Hypothèses!$W$17,IF(BZ34&lt;=Hypothèses!$V$18,Hypothèses!$W$18,""))))))))))))</f>
        <v>#DIV/0!</v>
      </c>
      <c r="CU34" s="87" t="e">
        <f t="shared" ca="1" si="120"/>
        <v>#DIV/0!</v>
      </c>
      <c r="CV34" s="88" t="e">
        <f ca="1">IF(BZ34&lt;=Hypothèses!$V$7,Hypothèses!$X$7,IF(BZ34&lt;=Hypothèses!$V$8,Hypothèses!$X$8,IF(BZ34&lt;=Hypothèses!$V$9,Hypothèses!$X$9,IF(BZ34&lt;=Hypothèses!$V$10,Hypothèses!$X$10,IF(BZ34&lt;=Hypothèses!$V$11,Hypothèses!$X$11,IF(BZ34&lt;=Hypothèses!$V$12,Hypothèses!$X$12,IF(BZ34&lt;=Hypothèses!$V$13,Hypothèses!$X$13,IF(BZ34&lt;=Hypothèses!$V$14,Hypothèses!$X$14,IF(BZ34&lt;=Hypothèses!$V$15,Hypothèses!$X$15,IF(BZ34&lt;=Hypothèses!$V$16,Hypothèses!$X$16,IF(BZ34&lt;=Hypothèses!$U$17,Hypothèses!$W$17,IF(BZ34&lt;=Hypothèses!$U$18,Hypothèses!$W$18,""))))))))))))</f>
        <v>#DIV/0!</v>
      </c>
      <c r="CW34" s="95" t="e">
        <f t="shared" ca="1" si="85"/>
        <v>#DIV/0!</v>
      </c>
      <c r="CX34" s="101" t="e">
        <f t="shared" si="127"/>
        <v>#N/A</v>
      </c>
      <c r="CY34" s="91" t="e">
        <f t="shared" si="43"/>
        <v>#N/A</v>
      </c>
      <c r="CZ34" s="30" t="e">
        <f t="shared" si="108"/>
        <v>#N/A</v>
      </c>
      <c r="DA34" s="30" t="e">
        <f t="shared" si="109"/>
        <v>#N/A</v>
      </c>
      <c r="DB34" s="31" t="e">
        <f>IF(OR(Hypothèses!$B$4=17,Hypothèses!$B$4=18,Hypothèses!$B$4=19,Hypothèses!$B$4=20),
IF($D34="Pressio.",
IF(OR($E34=3,$E34=1,$E34=4),DA34,CZ34),
IF($D34="Pénétro.",
IF(OR($E34=3,$E34=1,$E34=4),DA34,CZ34))),IF($D34="Pressio.",
IF($E34=3,DA34,CZ34),
IF($D34="Pénétro.",
IF($E34=4,DA34,CZ34))))</f>
        <v>#N/A</v>
      </c>
      <c r="DC34" s="31" t="e">
        <f>(IF(OR(Hypothèses!$B$4=17,Hypothèses!$B$4=18,Hypothèses!$B$4=19,Hypothèses!$B$4=20),
IF($D34="Pressio.",
IF(OR($E34=3,$E34=1,$E34=4),(PI()*DC$12^2)/4*(CY34*$W34*1000)/($H34*$B$5),(PI()*DC$12^2)/4*(CY34*$W34*1000)/($G34*$B$5)),
IF($D34="Pénétro.",
IF(OR($E34=4,$E34=1,$E34=5),(PI()*DC$12^2)/4*(CY34*$W34*1000)/($H34*$B$5),(PI()*DC$12^2)/4*(CY34*$W34*1000)/($G34*$B$5)))),
IF($D34="Pressio.",
IF($E34=3,(PI()*DC$12^2)/4*(CY34*$W34*1000)/($H34*$B$5),(PI()*DC$12^2)/4*(CY34*$W34*1000)/($G34*$B$5)),
IF($D34="Pénétro.",
IF($E34=4,(PI()*DC$12^2)/4*(CY34*$W34*1000)/($H34*$B$5),(PI()*DC$12^2)/4*(CY34*$W34*1000)/($G34*$B$5))))))/10</f>
        <v>#N/A</v>
      </c>
      <c r="DD34" s="102" t="e">
        <f>(VLOOKUP($B$3,'Coeff EC7'!$T$39:$X$59,2,0)*DB34+VLOOKUP($B$3,'Coeff EC7'!$T$65:$X$85,2,0)*Model0.1C!DC34)/1.1</f>
        <v>#N/A</v>
      </c>
      <c r="DE34" s="102" t="e">
        <f>(VLOOKUP($B$3,'Coeff EC7'!$T$39:$X$59,3,0)*DB34+VLOOKUP($B$3,'Coeff EC7'!$T$65:$X$85,3,0)*Model0.1C!DC34)/0.9</f>
        <v>#N/A</v>
      </c>
      <c r="DF34" s="102" t="e">
        <f t="shared" si="86"/>
        <v>#N/A</v>
      </c>
      <c r="DG34" s="102" t="e">
        <f t="shared" si="87"/>
        <v>#N/A</v>
      </c>
      <c r="DH34" s="414" t="e">
        <f>IF(DH33=0,0,IF(AND(DD34&gt;charge_ELS_quasi,DE34&gt;Charge_ELS_freq,DF34&gt;charge_ELU,DG34&gt;charge_ELA,$B34&gt;NDC!$H$22-0.1+MIN(3*$DH$12,1.5)),0,1))</f>
        <v>#N/A</v>
      </c>
      <c r="DI34" s="86" t="b">
        <f t="shared" si="46"/>
        <v>0</v>
      </c>
      <c r="DJ34" s="86">
        <f t="shared" si="47"/>
        <v>0.5</v>
      </c>
      <c r="DK34" s="86">
        <f t="shared" si="48"/>
        <v>0.5</v>
      </c>
      <c r="DL34" s="30" t="e">
        <f t="shared" ca="1" si="88"/>
        <v>#DIV/0!</v>
      </c>
      <c r="DM34" s="85" t="e">
        <f ca="1">IF(CS34&lt;=Hypothèses!$V$7,Hypothèses!$W$7,IF(CS34&lt;=Hypothèses!$V$8,Hypothèses!$W$8,IF(CS34&lt;=Hypothèses!$V$9,Hypothèses!$W$9,IF(CS34&lt;=Hypothèses!$V$10,Hypothèses!$W$10,IF(CS34&lt;=Hypothèses!$V$11,Hypothèses!$W$11,IF(CS34&lt;=Hypothèses!$V$12,Hypothèses!$W$12,IF(CS34&lt;=Hypothèses!$V$13,Hypothèses!$W$13,IF(CS34&lt;=Hypothèses!$V$14,Hypothèses!$W$14,IF(CS34&lt;=Hypothèses!$V$15,Hypothèses!$W$15,IF(CS34&lt;=Hypothèses!$V$16,Hypothèses!$W$16,IF(CS34&lt;=Hypothèses!$V$17,Hypothèses!$W$17,IF(CS34&lt;=Hypothèses!$V$18,Hypothèses!$W$18,""))))))))))))</f>
        <v>#DIV/0!</v>
      </c>
      <c r="DN34" s="87" t="e">
        <f t="shared" ca="1" si="121"/>
        <v>#DIV/0!</v>
      </c>
      <c r="DO34" s="88" t="e">
        <f ca="1">IF(CS34&lt;=Hypothèses!$V$7,Hypothèses!$X$7,IF(CS34&lt;=Hypothèses!$V$8,Hypothèses!$X$8,IF(CS34&lt;=Hypothèses!$V$9,Hypothèses!$X$9,IF(CS34&lt;=Hypothèses!$V$10,Hypothèses!$X$10,IF(CS34&lt;=Hypothèses!$V$11,Hypothèses!$X$11,IF(CS34&lt;=Hypothèses!$V$12,Hypothèses!$X$12,IF(CS34&lt;=Hypothèses!$V$13,Hypothèses!$X$13,IF(CS34&lt;=Hypothèses!$V$14,Hypothèses!$X$14,IF(CS34&lt;=Hypothèses!$V$15,Hypothèses!$X$15,IF(CS34&lt;=Hypothèses!$V$16,Hypothèses!$X$16,IF(CS34&lt;=Hypothèses!$U$17,Hypothèses!$W$17,IF(CS34&lt;=Hypothèses!$U$18,Hypothèses!$W$18,""))))))))))))</f>
        <v>#DIV/0!</v>
      </c>
      <c r="DP34" s="95" t="e">
        <f t="shared" ca="1" si="89"/>
        <v>#DIV/0!</v>
      </c>
      <c r="DQ34" s="101" t="e">
        <f t="shared" si="128"/>
        <v>#N/A</v>
      </c>
      <c r="DR34" s="91" t="e">
        <f t="shared" si="50"/>
        <v>#N/A</v>
      </c>
      <c r="DS34" s="30" t="e">
        <f t="shared" si="110"/>
        <v>#N/A</v>
      </c>
      <c r="DT34" s="30" t="e">
        <f t="shared" si="111"/>
        <v>#N/A</v>
      </c>
      <c r="DU34" s="31" t="e">
        <f>IF(OR(Hypothèses!$B$4=17,Hypothèses!$B$4=18,Hypothèses!$B$4=19,Hypothèses!$B$4=20),
IF($D34="Pressio.",
IF(OR($E34=3,$E34=1,$E34=4),DT34,DS34),
IF($D34="Pénétro.",
IF(OR($E34=3,$E34=1,$E34=4),DT34,DS34))),IF($D34="Pressio.",
IF($E34=3,DT34,DS34),
IF($D34="Pénétro.",
IF($E34=4,DT34,DS34))))</f>
        <v>#N/A</v>
      </c>
      <c r="DV34" s="31" t="e">
        <f>(IF(OR(Hypothèses!$B$4=17,Hypothèses!$B$4=18,Hypothèses!$B$4=19,Hypothèses!$B$4=20),
IF($D34="Pressio.",
IF(OR($E34=3,$E34=1,$E34=4),(PI()*DV$12^2)/4*(DR34*$W34*1000)/($H34*$B$5),(PI()*DV$12^2)/4*(DR34*$W34*1000)/($G34*$B$5)),
IF($D34="Pénétro.",
IF(OR($E34=4,$E34=1,$E34=5),(PI()*DV$12^2)/4*(DR34*$W34*1000)/($H34*$B$5),(PI()*DV$12^2)/4*(DR34*$W34*1000)/($G34*$B$5)))),
IF($D34="Pressio.",
IF($E34=3,(PI()*DV$12^2)/4*(DR34*$W34*1000)/($H34*$B$5),(PI()*DV$12^2)/4*(DR34*$W34*1000)/($G34*$B$5)),
IF($D34="Pénétro.",
IF($E34=4,(PI()*DV$12^2)/4*(DR34*$W34*1000)/($H34*$B$5),(PI()*DV$12^2)/4*(DR34*$W34*1000)/($G34*$B$5))))))/10</f>
        <v>#N/A</v>
      </c>
      <c r="DW34" s="102" t="e">
        <f>(VLOOKUP($B$3,'Coeff EC7'!$T$39:$X$59,2,0)*DU34+VLOOKUP($B$3,'Coeff EC7'!$T$65:$X$85,2,0)*Model0.1C!DV34)/1.1</f>
        <v>#N/A</v>
      </c>
      <c r="DX34" s="102" t="e">
        <f>(VLOOKUP($B$3,'Coeff EC7'!$T$39:$X$59,3,0)*DU34+VLOOKUP($B$3,'Coeff EC7'!$T$65:$X$85,3,0)*Model0.1C!DV34)/0.9</f>
        <v>#N/A</v>
      </c>
      <c r="DY34" s="102" t="e">
        <f t="shared" si="90"/>
        <v>#N/A</v>
      </c>
      <c r="DZ34" s="102" t="e">
        <f t="shared" si="91"/>
        <v>#N/A</v>
      </c>
      <c r="EA34" s="414" t="e">
        <f>IF(EA33=0,0,IF(AND(DW34&gt;charge_ELS_quasi,DX34&gt;Charge_ELS_freq,DY34&gt;charge_ELU,DZ34&gt;charge_ELA,$B34&gt;NDC!$H$22-0.1+MIN(3*$EA$12,1.5)),0,1))</f>
        <v>#N/A</v>
      </c>
      <c r="EB34" s="86" t="b">
        <f t="shared" si="53"/>
        <v>0</v>
      </c>
      <c r="EC34" s="418">
        <f t="shared" si="54"/>
        <v>0.51</v>
      </c>
      <c r="ED34" s="86">
        <f t="shared" si="55"/>
        <v>0.51</v>
      </c>
      <c r="EE34" s="30" t="e">
        <f t="shared" ca="1" si="92"/>
        <v>#DIV/0!</v>
      </c>
      <c r="EF34" s="85" t="e">
        <f ca="1">IF(DL34&lt;=Hypothèses!$V$7,Hypothèses!$W$7,IF(DL34&lt;=Hypothèses!$V$8,Hypothèses!$W$8,IF(DL34&lt;=Hypothèses!$V$9,Hypothèses!$W$9,IF(DL34&lt;=Hypothèses!$V$10,Hypothèses!$W$10,IF(DL34&lt;=Hypothèses!$V$11,Hypothèses!$W$11,IF(DL34&lt;=Hypothèses!$V$12,Hypothèses!$W$12,IF(DL34&lt;=Hypothèses!$V$13,Hypothèses!$W$13,IF(DL34&lt;=Hypothèses!$V$14,Hypothèses!$W$14,IF(DL34&lt;=Hypothèses!$V$15,Hypothèses!$W$15,IF(DL34&lt;=Hypothèses!$V$16,Hypothèses!$W$16,IF(DL34&lt;=Hypothèses!$V$17,Hypothèses!$W$17,IF(DL34&lt;=Hypothèses!$V$18,Hypothèses!$W$18,""))))))))))))</f>
        <v>#DIV/0!</v>
      </c>
      <c r="EG34" s="87" t="e">
        <f t="shared" ca="1" si="122"/>
        <v>#DIV/0!</v>
      </c>
      <c r="EH34" s="88" t="e">
        <f ca="1">IF(DL34&lt;=Hypothèses!$V$7,Hypothèses!$X$7,IF(DL34&lt;=Hypothèses!$V$8,Hypothèses!$X$8,IF(DL34&lt;=Hypothèses!$V$9,Hypothèses!$X$9,IF(DL34&lt;=Hypothèses!$V$10,Hypothèses!$X$10,IF(DL34&lt;=Hypothèses!$V$11,Hypothèses!$X$11,IF(DL34&lt;=Hypothèses!$V$12,Hypothèses!$X$12,IF(DL34&lt;=Hypothèses!$V$13,Hypothèses!$X$13,IF(DL34&lt;=Hypothèses!$V$14,Hypothèses!$X$14,IF(DL34&lt;=Hypothèses!$V$15,Hypothèses!$X$15,IF(DL34&lt;=Hypothèses!$V$16,Hypothèses!$X$16,IF(DL34&lt;=Hypothèses!$U$17,Hypothèses!$W$17,IF(DL34&lt;=Hypothèses!$U$18,Hypothèses!$W$18,""))))))))))))</f>
        <v>#DIV/0!</v>
      </c>
      <c r="EI34" s="95" t="e">
        <f t="shared" ca="1" si="93"/>
        <v>#DIV/0!</v>
      </c>
      <c r="EJ34" s="101" t="e">
        <f t="shared" si="129"/>
        <v>#N/A</v>
      </c>
      <c r="EK34" s="91" t="e">
        <f t="shared" si="57"/>
        <v>#N/A</v>
      </c>
      <c r="EL34" s="30" t="e">
        <f t="shared" si="112"/>
        <v>#N/A</v>
      </c>
      <c r="EM34" s="30" t="e">
        <f t="shared" si="113"/>
        <v>#N/A</v>
      </c>
      <c r="EN34" s="31" t="e">
        <f>IF(OR(Hypothèses!$B$4=17,Hypothèses!$B$4=18,Hypothèses!$B$4=19,Hypothèses!$B$4=20),
IF($D34="Pressio.",
IF(OR($E34=3,$E34=1,$E34=4),EM34,EL34),
IF($D34="Pénétro.",
IF(OR($E34=3,$E34=1,$E34=4),EM34,EL34))),IF($D34="Pressio.",
IF($E34=3,EM34,EL34),
IF($D34="Pénétro.",
IF($E34=4,EM34,EL34))))</f>
        <v>#N/A</v>
      </c>
      <c r="EO34" s="31" t="e">
        <f>(IF(OR(Hypothèses!$B$4=17,Hypothèses!$B$4=18,Hypothèses!$B$4=19,Hypothèses!$B$4=20),
IF($D34="Pressio.",
IF(OR($E34=3,$E34=1,$E34=4),(PI()*EO$12^2)/4*(EK34*$W34*1000)/($H34*$B$5),(PI()*EO$12^2)/4*(EK34*$W34*1000)/($G34*$B$5)),
IF($D34="Pénétro.",
IF(OR($E34=4,$E34=1,$E34=5),(PI()*EO$12^2)/4*(EK34*$W34*1000)/($H34*$B$5),(PI()*EO$12^2)/4*(EK34*$W34*1000)/($G34*$B$5)))),
IF($D34="Pressio.",
IF($E34=3,(PI()*EO$12^2)/4*(EK34*$W34*1000)/($H34*$B$5),(PI()*EO$12^2)/4*(EK34*$W34*1000)/($G34*$B$5)),
IF($D34="Pénétro.",
IF($E34=4,(PI()*EO$12^2)/4*(EK34*$W34*1000)/($H34*$B$5),(PI()*EO$12^2)/4*(EK34*$W34*1000)/($G34*$B$5))))))/10</f>
        <v>#N/A</v>
      </c>
      <c r="EP34" s="102" t="e">
        <f>(VLOOKUP($B$3,'Coeff EC7'!$T$39:$X$59,2,0)*EN34+VLOOKUP($B$3,'Coeff EC7'!$T$65:$X$85,2,0)*Model0.1C!EO34)/1.1</f>
        <v>#N/A</v>
      </c>
      <c r="EQ34" s="102" t="e">
        <f>(VLOOKUP($B$3,'Coeff EC7'!$T$39:$X$59,3,0)*EN34+VLOOKUP($B$3,'Coeff EC7'!$T$65:$X$85,3,0)*Model0.1C!EO34)/0.9</f>
        <v>#N/A</v>
      </c>
      <c r="ER34" s="102" t="e">
        <f t="shared" si="94"/>
        <v>#N/A</v>
      </c>
      <c r="ES34" s="102" t="e">
        <f t="shared" si="95"/>
        <v>#N/A</v>
      </c>
      <c r="ET34" s="414" t="e">
        <f>IF(ET33=0,0,IF(AND(EP34&gt;charge_ELS_quasi,EQ34&gt;Charge_ELS_freq,ER34&gt;charge_ELU,ES34&gt;charge_ELA,$B34&gt;NDC!$H$22-0.1+MIN(3*$ET$12,1.5)),0,1))</f>
        <v>#N/A</v>
      </c>
      <c r="EU34" s="86" t="b">
        <f t="shared" si="60"/>
        <v>0</v>
      </c>
      <c r="EV34" s="86">
        <f t="shared" si="61"/>
        <v>0.61</v>
      </c>
      <c r="EW34" s="86">
        <f t="shared" si="62"/>
        <v>0.61</v>
      </c>
      <c r="EX34" s="30" t="e">
        <f t="shared" ca="1" si="96"/>
        <v>#DIV/0!</v>
      </c>
      <c r="EY34" s="85" t="e">
        <f ca="1">IF(EE34&lt;=Hypothèses!$V$7,Hypothèses!$W$7,IF(EE34&lt;=Hypothèses!$V$8,Hypothèses!$W$8,IF(EE34&lt;=Hypothèses!$V$9,Hypothèses!$W$9,IF(EE34&lt;=Hypothèses!$V$10,Hypothèses!$W$10,IF(EE34&lt;=Hypothèses!$V$11,Hypothèses!$W$11,IF(EE34&lt;=Hypothèses!$V$12,Hypothèses!$W$12,IF(EE34&lt;=Hypothèses!$V$13,Hypothèses!$W$13,IF(EE34&lt;=Hypothèses!$V$14,Hypothèses!$W$14,IF(EE34&lt;=Hypothèses!$V$15,Hypothèses!$W$15,IF(EE34&lt;=Hypothèses!$V$16,Hypothèses!$W$16,IF(EE34&lt;=Hypothèses!$V$17,Hypothèses!$W$17,IF(EE34&lt;=Hypothèses!$V$18,Hypothèses!$W$18,""))))))))))))</f>
        <v>#DIV/0!</v>
      </c>
      <c r="EZ34" s="87" t="e">
        <f t="shared" ca="1" si="123"/>
        <v>#DIV/0!</v>
      </c>
      <c r="FA34" s="88" t="e">
        <f ca="1">IF(EE34&lt;=Hypothèses!$V$7,Hypothèses!$X$7,IF(EE34&lt;=Hypothèses!$V$8,Hypothèses!$X$8,IF(EE34&lt;=Hypothèses!$V$9,Hypothèses!$X$9,IF(EE34&lt;=Hypothèses!$V$10,Hypothèses!$X$10,IF(EE34&lt;=Hypothèses!$V$11,Hypothèses!$X$11,IF(EE34&lt;=Hypothèses!$V$12,Hypothèses!$X$12,IF(EE34&lt;=Hypothèses!$V$13,Hypothèses!$X$13,IF(EE34&lt;=Hypothèses!$V$14,Hypothèses!$X$14,IF(EE34&lt;=Hypothèses!$V$15,Hypothèses!$X$15,IF(EE34&lt;=Hypothèses!$V$16,Hypothèses!$X$16,IF(EE34&lt;=Hypothèses!$U$17,Hypothèses!$W$17,IF(EE34&lt;=Hypothèses!$U$18,Hypothèses!$W$18,""))))))))))))</f>
        <v>#DIV/0!</v>
      </c>
      <c r="FB34" s="95" t="e">
        <f t="shared" ca="1" si="97"/>
        <v>#DIV/0!</v>
      </c>
      <c r="FC34" s="101" t="e">
        <f t="shared" si="130"/>
        <v>#N/A</v>
      </c>
      <c r="FD34" s="91" t="e">
        <f t="shared" si="64"/>
        <v>#N/A</v>
      </c>
      <c r="FE34" s="30" t="e">
        <f t="shared" si="114"/>
        <v>#N/A</v>
      </c>
      <c r="FF34" s="30" t="e">
        <f t="shared" si="115"/>
        <v>#N/A</v>
      </c>
      <c r="FG34" s="31" t="e">
        <f>IF(OR(Hypothèses!$B$4=17,Hypothèses!$B$4=18,Hypothèses!$B$4=19,Hypothèses!$B$4=20),
IF($D34="Pressio.",
IF(OR($E34=3,$E34=1,$E34=4),FF34,FE34),
IF($D34="Pénétro.",
IF(OR($E34=3,$E34=1,$E34=4),FF34,FE34))),IF($D34="Pressio.",
IF($E34=3,FF34,FE34),
IF($D34="Pénétro.",
IF($E34=4,FF34,FE34))))</f>
        <v>#N/A</v>
      </c>
      <c r="FH34" s="31" t="e">
        <f>(IF(OR(Hypothèses!$B$4=17,Hypothèses!$B$4=18,Hypothèses!$B$4=19,Hypothèses!$B$4=20),
IF($D34="Pressio.",
IF(OR($E34=3,$E34=1,$E34=4),(PI()*FH$12^2)/4*(FD34*$W34*1000)/($H34*$B$5),(PI()*FH$12^2)/4*(FD34*$W34*1000)/($G34*$B$5)),
IF($D34="Pénétro.",
IF(OR($E34=4,$E34=1,$E34=5),(PI()*FH$12^2)/4*(FD34*$W34*1000)/($H34*$B$5),(PI()*FH$12^2)/4*(FD34*$W34*1000)/($G34*$B$5)))),
IF($D34="Pressio.",
IF($E34=3,(PI()*FH$12^2)/4*(FD34*$W34*1000)/($H34*$B$5),(PI()*FH$12^2)/4*(FD34*$W34*1000)/($G34*$B$5)),
IF($D34="Pénétro.",
IF($E34=4,(PI()*FH$12^2)/4*(FD34*$W34*1000)/($H34*$B$5),(PI()*FH$12^2)/4*(FD34*$W34*1000)/($G34*$B$5))))))/10</f>
        <v>#N/A</v>
      </c>
      <c r="FI34" s="102" t="e">
        <f>(VLOOKUP($B$3,'Coeff EC7'!$T$39:$X$59,2,0)*FG34+VLOOKUP($B$3,'Coeff EC7'!$T$65:$X$85,2,0)*Model0.1C!FH34)/1.1</f>
        <v>#N/A</v>
      </c>
      <c r="FJ34" s="102" t="e">
        <f>(VLOOKUP($B$3,'Coeff EC7'!$T$39:$X$59,3,0)*FG34+VLOOKUP($B$3,'Coeff EC7'!$T$65:$X$85,3,0)*Model0.1C!FH34)/0.9</f>
        <v>#N/A</v>
      </c>
      <c r="FK34" s="102" t="e">
        <f t="shared" si="98"/>
        <v>#N/A</v>
      </c>
      <c r="FL34" s="102" t="e">
        <f t="shared" si="99"/>
        <v>#N/A</v>
      </c>
      <c r="FM34" s="414" t="e">
        <f>IF(FM33=0,0,IF(AND(FI34&gt;charge_ELS_quasi,FJ34&gt;Charge_ELS_freq,FK34&gt;charge_ELU,FL34&gt;charge_ELA,$B34&gt;NDC!$H$22-0.1+MIN(3*$FM$12,1.5)),0,1))</f>
        <v>#N/A</v>
      </c>
    </row>
    <row r="35" spans="1:169">
      <c r="A35" s="96">
        <f t="shared" si="67"/>
        <v>97.800000000000125</v>
      </c>
      <c r="B35" s="97">
        <v>2.2000000000000002</v>
      </c>
      <c r="C35" s="81">
        <f>IF(B35&lt;=Hypothèses!$C$7,Hypothèses!$A$7,IF(B35&lt;=Hypothèses!$C$8,Hypothèses!$A$8,IF(B35&lt;=Hypothèses!$C$9,Hypothèses!$A$9,IF(B35&lt;=Hypothèses!$C$10,Hypothèses!$A$10,IF(B35&lt;=Hypothèses!$C$11,Hypothèses!$A$11,IF(B35&lt;=Hypothèses!$C$12,Hypothèses!$A$12,IF(B35&lt;=Hypothèses!$C$13,Hypothèses!$A$13,IF(B35&lt;=Hypothèses!$C$14,Hypothèses!$A$14,IF(B35&lt;=Hypothèses!$C$15,Hypothèses!$A$15,IF(B35&lt;=Hypothèses!$C$16,Hypothèses!$A$16,IF(B35&lt;=Hypothèses!$C$17,Hypothèses!$A$17,IF(B35&lt;=Hypothèses!$C$18,Hypothèses!$A$18,C34))))))))))))</f>
        <v>11</v>
      </c>
      <c r="D35" s="82" t="str">
        <f>IF(B35&lt;=Hypothèses!$C$7,Hypothèses!$R$7,IF(B35&lt;=Hypothèses!$C$8,Hypothèses!$R$8,IF(B35&lt;=Hypothèses!$C$9,Hypothèses!$R$9,IF(B35&lt;=Hypothèses!$C$10,Hypothèses!$R$10,IF(B35&lt;=Hypothèses!$C$11,Hypothèses!$R$11,IF(B35&lt;=Hypothèses!$C$12,Hypothèses!$R$12,IF(B35&lt;=Hypothèses!$C$13,Hypothèses!$R$13,IF(B35&lt;=Hypothèses!$C$14,Hypothèses!$R$14,IF(B35&lt;=Hypothèses!$C$15,Hypothèses!$R$15,IF(B35&lt;=Hypothèses!$C$16,Hypothèses!$R$16,IF(B35&lt;=Hypothèses!$C$17,Hypothèses!$R$17,IF(B35&lt;=Hypothèses!$C$18,Hypothèses!$R$18,D34))))))))))))</f>
        <v>Pressio.</v>
      </c>
      <c r="E35" s="82" t="e">
        <f>IF(B35&lt;=Hypothèses!$C$7,Hypothèses!$G$7,IF(B35&lt;=Hypothèses!$C$8,Hypothèses!$G$8,IF(B35&lt;=Hypothèses!$C$9,Hypothèses!$G$9,IF(B35&lt;=Hypothèses!$C$10,Hypothèses!$G$10,IF(B35&lt;=Hypothèses!$C$11,Hypothèses!$G$11,IF(B35&lt;=Hypothèses!$C$12,Hypothèses!$G$12,IF(B35&lt;=Hypothèses!$C$13,Hypothèses!$G$13,IF(B35&lt;=Hypothèses!$C$14,Hypothèses!$G$14,IF(B35&lt;=Hypothèses!$C$15,Hypothèses!$G$15,IF(B35&lt;=Hypothèses!$C$16,Hypothèses!$G$16,IF(B35&lt;=Hypothèses!$C$17,Hypothèses!$G$17,IF(B35&lt;=Hypothèses!$C$18,Hypothèses!$G$18,E34))))))))))))</f>
        <v>#N/A</v>
      </c>
      <c r="F35" s="82" t="str">
        <f>IF(B35&lt;=Hypothèses!$C$7,Hypothèses!$F$7,IF(B35&lt;=Hypothèses!$C$8,Hypothèses!$F$8,IF(B35&lt;=Hypothèses!$C$9,Hypothèses!$F$9,IF(B35&lt;=Hypothèses!$C$10,Hypothèses!$F$10,IF(B35&lt;=Hypothèses!$C$11,Hypothèses!$F$11,IF(B35&lt;=Hypothèses!$C$12,Hypothèses!$F$12,IF(B35&lt;=Hypothèses!$C$13,Hypothèses!$F$13,IF(B35&lt;=Hypothèses!$C$14,Hypothèses!$F$14,IF(B35&lt;=Hypothèses!$C$15,Hypothèses!$F$15,IF(B35&lt;=Hypothèses!$C$16,Hypothèses!$F$16,IF(B35&lt;=Hypothèses!$C$17,Hypothèses!$F$17,IF(B35&lt;=Hypothèses!$C$18,Hypothèses!$F$18,F34))))))))))))</f>
        <v/>
      </c>
      <c r="G35" s="91">
        <f t="array" ref="G35">INDEX('Coeff EC7'!$U$7:$X$27,
MATCH(Model0.1C!$B$3,'Coeff EC7'!$T$7:$T$27,0),
MATCH(Model0.1C!$D35&amp;Model0.1C!$B$4,
'Coeff EC7'!$U$6:$X$6&amp;
'Coeff EC7'!$U$5:$X$5,0))</f>
        <v>1.1499999999999999</v>
      </c>
      <c r="H35" s="91">
        <f t="array" ref="H35">INDEX('Coeff EC7'!$Y$7:$AB$27,
MATCH(Model0.1C!$B$3,'Coeff EC7'!$T$7:$T$27,0),
MATCH(Model0.1C!$D35&amp;Model0.1C!$B$4,
'Coeff EC7'!$Y$6:$AB$6&amp;
'Coeff EC7'!$Y$5:$AB$5,0))</f>
        <v>1.4</v>
      </c>
      <c r="I35" s="83" t="e">
        <f>IF(B35&lt;=Hypothèses!$C$7,Hypothèses!$P$7,IF(B35&lt;=Hypothèses!$C$8,Hypothèses!$P$8,IF(B35&lt;=Hypothèses!$C$9,Hypothèses!$P$9,IF(B35&lt;=Hypothèses!$C$10,Hypothèses!$P$10,IF(B35&lt;=Hypothèses!$C$11,Hypothèses!$P$11,IF(B35&lt;=Hypothèses!$C$12,Hypothèses!$P$12,IF(B35&lt;=Hypothèses!$C$13,Hypothèses!$P$13,IF(B35&lt;=Hypothèses!$C$14,Hypothèses!$P$14,IF(B35&lt;=Hypothèses!$C$15,Hypothèses!$P$15,IF(B35&lt;=Hypothèses!$C$16,Hypothèses!$P$16,IF(B35&lt;=Hypothèses!$C$17,Hypothèses!$P$17,IF(B35&lt;=Hypothèses!$C$18,Hypothèses!$P$18,I34))))))))))))</f>
        <v>#N/A</v>
      </c>
      <c r="J35" s="91" t="e">
        <f t="array" ref="J35">INDEX('Coeff EC7'!$D$33:$Q$33,1,MATCH(D35&amp;E35,'Coeff EC7'!$D$31:$Q$31&amp;'Coeff EC7'!$D$32:$Q$32,0))</f>
        <v>#N/A</v>
      </c>
      <c r="K35" s="91" t="e">
        <f t="array" ref="K35">INDEX('Coeff EC7'!$D$34:$Q$34,1,MATCH(D35&amp;E35,'Coeff EC7'!$D$31:$Q$31&amp;'Coeff EC7'!$D$32:$Q$32,0))</f>
        <v>#N/A</v>
      </c>
      <c r="L35" s="91" t="e">
        <f t="array" ref="L35">INDEX('Coeff EC7'!$D$35:$Q$35,1,MATCH(D35&amp;E35,'Coeff EC7'!$D$31:$Q$31&amp;'Coeff EC7'!$D$32:$Q$32,0))</f>
        <v>#N/A</v>
      </c>
      <c r="M35" s="98" t="e">
        <f t="shared" si="8"/>
        <v>#N/A</v>
      </c>
      <c r="N35" s="99" t="e">
        <f t="array" ref="N35">INDEX('Coeff EC7'!$D$7:$Q$27,MATCH($B$3,'Coeff EC7'!$C$7:$C$27,0),MATCH(D35&amp;E35,'Coeff EC7'!$D$5:$Q$5&amp;'Coeff EC7'!$D$6:$Q$6,0))</f>
        <v>#N/A</v>
      </c>
      <c r="O35" s="99" t="e">
        <f t="array" ref="O35">INDEX('Coeff EC7'!$D$41:$Q$61,MATCH($B$3,'Coeff EC7'!$C$41:$C$61,0),MATCH(D35&amp;E35,'Coeff EC7'!$D$39:$Q$39&amp;'Coeff EC7'!$D$40:$Q$40,0))</f>
        <v>#N/A</v>
      </c>
      <c r="P35" s="30" t="e">
        <f t="shared" si="68"/>
        <v>#N/A</v>
      </c>
      <c r="Q35" s="100" t="e">
        <f t="shared" si="10"/>
        <v>#N/A</v>
      </c>
      <c r="R35" s="86" t="b">
        <f t="shared" si="11"/>
        <v>0</v>
      </c>
      <c r="S35" s="86">
        <f t="shared" si="9"/>
        <v>0.5</v>
      </c>
      <c r="T35" s="86">
        <f t="shared" si="12"/>
        <v>0.5</v>
      </c>
      <c r="U35" s="30" t="e">
        <f t="shared" ca="1" si="69"/>
        <v>#DIV/0!</v>
      </c>
      <c r="V35" s="85" t="str">
        <f>IF(B35&lt;=Hypothèses!$V$7,Hypothèses!$W$7,IF(B35&lt;=Hypothèses!$V$8,Hypothèses!$W$8,IF(B35&lt;=Hypothèses!$V$9,Hypothèses!$W$9,IF(B35&lt;=Hypothèses!$V$10,Hypothèses!$W$10,IF(B35&lt;=Hypothèses!$V$11,Hypothèses!$W$11,IF(B35&lt;=Hypothèses!$V$12,Hypothèses!$W$12,IF(B35&lt;=Hypothèses!$V$13,Hypothèses!$W$13,IF(B35&lt;=Hypothèses!$V$14,Hypothèses!$W$14,IF(B35&lt;=Hypothèses!$V$15,Hypothèses!$W$15,IF(B35&lt;=Hypothèses!$V$16,Hypothèses!$W$16,IF(B35&lt;=Hypothèses!$V$17,Hypothèses!$W$17,IF(B35&lt;=Hypothèses!$V$18,Hypothèses!$W$18,""))))))))))))</f>
        <v/>
      </c>
      <c r="W35" s="87" t="e">
        <f t="shared" ca="1" si="116"/>
        <v>#DIV/0!</v>
      </c>
      <c r="X35" s="88" t="str">
        <f>IF(B35&lt;=Hypothèses!$V$7,Hypothèses!$X$7,IF(B35&lt;=Hypothèses!$V$8,Hypothèses!$X$8,IF(B35&lt;=Hypothèses!$V$9,Hypothèses!$X$9,IF(B35&lt;=Hypothèses!$V$10,Hypothèses!$X$10,IF(B35&lt;=Hypothèses!$V$11,Hypothèses!$X$11,IF(B35&lt;=Hypothèses!$V$12,Hypothèses!$X$12,IF(B35&lt;=Hypothèses!$V$13,Hypothèses!$X$13,IF(B35&lt;=Hypothèses!$V$14,Hypothèses!$X$14,IF(B35&lt;=Hypothèses!$V$15,Hypothèses!$X$15,IF(B35&lt;=Hypothèses!$V$16,Hypothèses!$X$16,IF(B35&lt;=Hypothèses!$U$17,Hypothèses!$W$17,IF(B35&lt;=Hypothèses!$U$18,Hypothèses!$W$18,""))))))))))))</f>
        <v/>
      </c>
      <c r="Y35" s="95" t="e">
        <f t="shared" ca="1" si="13"/>
        <v>#DIV/0!</v>
      </c>
      <c r="Z35" s="101" t="e">
        <f t="shared" si="14"/>
        <v>#N/A</v>
      </c>
      <c r="AA35" s="91" t="e">
        <f t="shared" si="15"/>
        <v>#N/A</v>
      </c>
      <c r="AB35" s="30" t="e">
        <f t="shared" si="100"/>
        <v>#N/A</v>
      </c>
      <c r="AC35" s="30" t="e">
        <f t="shared" si="101"/>
        <v>#N/A</v>
      </c>
      <c r="AD35" s="31" t="e">
        <f>IF(OR(Hypothèses!$B$4=17,Hypothèses!$B$4=18,Hypothèses!$B$4=19,Hypothèses!$B$4=20),
IF($D35="Pressio.",
IF(OR($E35=3,$E35=1,$E35=4),AC35,AB35),
IF($D35="Pénétro.",
IF(OR($E35=3,$E35=1,$E35=4),AC35,AB35))),IF($D35="Pressio.",
IF($E35=3,AC35,AB35),
IF($D35="Pénétro.",
IF($E35=4,AC35,AB35))))</f>
        <v>#N/A</v>
      </c>
      <c r="AE35" s="31" t="e">
        <f>(IF(OR(Hypothèses!$B$4=17,Hypothèses!$B$4=18,Hypothèses!$B$4=19,Hypothèses!$B$4=20),
IF($D35="Pressio.",
IF(OR($E35=3,$E35=1,$E35=4),(PI()*AE$12^2)/4*(AA35*$W35*1000)/($H35*$B$5),(PI()*AE$12^2)/4*(AA35*$W35*1000)/($G35*$B$5)),
IF($D35="Pénétro.",
IF(OR($E35=4,$E35=1,$E35=5),(PI()*AE$12^2)/4*(AA35*$W35*1000)/($H35*$B$5),(PI()*AE$12^2)/4*(AA35*$W35*1000)/($G35*$B$5)))),
IF($D35="Pressio.",
IF($E35=3,(PI()*AE$12^2)/4*(AA35*$W35*1000)/($H35*$B$5),(PI()*AE$12^2)/4*(AA35*$W35*1000)/($G35*$B$5)),
IF($D35="Pénétro.",
IF($E35=4,(PI()*AE$12^2)/4*(AA35*$W35*1000)/($H35*$B$5),(PI()*AE$12^2)/4*(AA35*$W35*1000)/($G35*$B$5))))))/10</f>
        <v>#N/A</v>
      </c>
      <c r="AF35" s="102" t="e">
        <f>(VLOOKUP($B$3,'Coeff EC7'!$T$39:$X$59,2,0)*AD35+VLOOKUP($B$3,'Coeff EC7'!$T$65:$X$85,2,0)*Model0.1C!AE35)/1.1</f>
        <v>#N/A</v>
      </c>
      <c r="AG35" s="102" t="e">
        <f>(VLOOKUP($B$3,'Coeff EC7'!$T$39:$X$59,3,0)*AD35+VLOOKUP($B$3,'Coeff EC7'!$T$65:$X$85,3,0)*Model0.1C!AE35)/0.9</f>
        <v>#N/A</v>
      </c>
      <c r="AH35" s="102" t="e">
        <f t="shared" si="18"/>
        <v>#N/A</v>
      </c>
      <c r="AI35" s="102" t="e">
        <f t="shared" si="19"/>
        <v>#N/A</v>
      </c>
      <c r="AJ35" s="414" t="e">
        <f>IF(AJ34=0,0,IF(AND(AF35&gt;charge_ELS_quasi,AG35&gt;Charge_ELS_freq,AH35&gt;charge_ELU,AI35&gt;charge_ELA,$B35&gt;NDC!$H$22-0.1+MIN(3*$AJ$12,1.5)),0,1))</f>
        <v>#N/A</v>
      </c>
      <c r="AK35" s="86" t="b">
        <f t="shared" si="20"/>
        <v>0</v>
      </c>
      <c r="AL35" s="86">
        <f t="shared" si="70"/>
        <v>0.5</v>
      </c>
      <c r="AM35" s="86">
        <f t="shared" si="21"/>
        <v>0.5</v>
      </c>
      <c r="AN35" s="30" t="e">
        <f t="shared" ca="1" si="71"/>
        <v>#DIV/0!</v>
      </c>
      <c r="AO35" s="85" t="e">
        <f ca="1">IF(U35&lt;=Hypothèses!$V$7,Hypothèses!$W$7,IF(U35&lt;=Hypothèses!$V$8,Hypothèses!$W$8,IF(U35&lt;=Hypothèses!$V$9,Hypothèses!$W$9,IF(U35&lt;=Hypothèses!$V$10,Hypothèses!$W$10,IF(U35&lt;=Hypothèses!$V$11,Hypothèses!$W$11,IF(U35&lt;=Hypothèses!$V$12,Hypothèses!$W$12,IF(U35&lt;=Hypothèses!$V$13,Hypothèses!$W$13,IF(U35&lt;=Hypothèses!$V$14,Hypothèses!$W$14,IF(U35&lt;=Hypothèses!$V$15,Hypothèses!$W$15,IF(U35&lt;=Hypothèses!$V$16,Hypothèses!$W$16,IF(U35&lt;=Hypothèses!$V$17,Hypothèses!$W$17,IF(U35&lt;=Hypothèses!$V$18,Hypothèses!$W$18,""))))))))))))</f>
        <v>#DIV/0!</v>
      </c>
      <c r="AP35" s="87" t="e">
        <f t="shared" ca="1" si="117"/>
        <v>#DIV/0!</v>
      </c>
      <c r="AQ35" s="88" t="e">
        <f ca="1">IF(U35&lt;=Hypothèses!$V$7,Hypothèses!$X$7,IF(U35&lt;=Hypothèses!$V$8,Hypothèses!$X$8,IF(U35&lt;=Hypothèses!$V$9,Hypothèses!$X$9,IF(U35&lt;=Hypothèses!$V$10,Hypothèses!$X$10,IF(U35&lt;=Hypothèses!$V$11,Hypothèses!$X$11,IF(U35&lt;=Hypothèses!$V$12,Hypothèses!$X$12,IF(U35&lt;=Hypothèses!$V$13,Hypothèses!$X$13,IF(U35&lt;=Hypothèses!$V$14,Hypothèses!$X$14,IF(U35&lt;=Hypothèses!$V$15,Hypothèses!$X$15,IF(U35&lt;=Hypothèses!$V$16,Hypothèses!$X$16,IF(U35&lt;=Hypothèses!$U$17,Hypothèses!$W$17,IF(U35&lt;=Hypothèses!$U$18,Hypothèses!$W$18,""))))))))))))</f>
        <v>#DIV/0!</v>
      </c>
      <c r="AR35" s="95" t="e">
        <f t="shared" ca="1" si="72"/>
        <v>#DIV/0!</v>
      </c>
      <c r="AS35" s="101" t="e">
        <f t="shared" si="124"/>
        <v>#N/A</v>
      </c>
      <c r="AT35" s="91" t="e">
        <f t="shared" si="23"/>
        <v>#N/A</v>
      </c>
      <c r="AU35" s="30" t="e">
        <f t="shared" si="102"/>
        <v>#N/A</v>
      </c>
      <c r="AV35" s="30" t="e">
        <f t="shared" si="103"/>
        <v>#N/A</v>
      </c>
      <c r="AW35" s="31" t="e">
        <f>IF(OR(Hypothèses!$B$4=17,Hypothèses!$B$4=18,Hypothèses!$B$4=19,Hypothèses!$B$4=20),
IF($D35="Pressio.",
IF(OR($E35=3,$E35=1,$E35=4),AV35,AU35),
IF($D35="Pénétro.",
IF(OR($E35=3,$E35=1,$E35=4),AV35,AU35))),IF($D35="Pressio.",
IF($E35=3,AV35,AU35),
IF($D35="Pénétro.",
IF($E35=4,AV35,AU35))))</f>
        <v>#N/A</v>
      </c>
      <c r="AX35" s="31" t="e">
        <f>(IF(OR(Hypothèses!$B$4=17,Hypothèses!$B$4=18,Hypothèses!$B$4=19,Hypothèses!$B$4=20),
IF($D35="Pressio.",
IF(OR($E35=3,$E35=1,$E35=4),(PI()*AX$12^2)/4*(AT35*$W35*1000)/($H35*$B$5),(PI()*AX$12^2)/4*(AT35*$W35*1000)/($G35*$B$5)),
IF($D35="Pénétro.",
IF(OR($E35=4,$E35=1,$E35=5),(PI()*AX$12^2)/4*(AT35*$W35*1000)/($H35*$B$5),(PI()*AX$12^2)/4*(AT35*$W35*1000)/($G35*$B$5)))),
IF($D35="Pressio.",
IF($E35=3,(PI()*AX$12^2)/4*(AT35*$W35*1000)/($H35*$B$5),(PI()*AX$12^2)/4*(AT35*$W35*1000)/($G35*$B$5)),
IF($D35="Pénétro.",
IF($E35=4,(PI()*AX$12^2)/4*(AT35*$W35*1000)/($H35*$B$5),(PI()*AX$12^2)/4*(AT35*$W35*1000)/($G35*$B$5))))))/10</f>
        <v>#N/A</v>
      </c>
      <c r="AY35" s="102" t="e">
        <f>(VLOOKUP($B$3,'Coeff EC7'!$T$39:$X$59,2,0)*AW35+VLOOKUP($B$3,'Coeff EC7'!$T$65:$X$85,2,0)*Model0.1C!AX35)/1.1</f>
        <v>#N/A</v>
      </c>
      <c r="AZ35" s="102" t="e">
        <f>(VLOOKUP($B$3,'Coeff EC7'!$T$39:$X$59,3,0)*AW35+VLOOKUP($B$3,'Coeff EC7'!$T$65:$X$85,3,0)*Model0.1C!AX35)/0.9</f>
        <v>#N/A</v>
      </c>
      <c r="BA35" s="102" t="e">
        <f t="shared" si="73"/>
        <v>#N/A</v>
      </c>
      <c r="BB35" s="102" t="e">
        <f t="shared" si="74"/>
        <v>#N/A</v>
      </c>
      <c r="BC35" s="414" t="e">
        <f>IF(BC34=0,0,IF(AND(AY35&gt;charge_ELS_quasi,AZ35&gt;Charge_ELS_freq,BA35&gt;charge_ELU,BB35&gt;charge_ELA,$B35&gt;NDC!$H$22-0.1+MIN(3*$BC$12,1.5)),0,1))</f>
        <v>#N/A</v>
      </c>
      <c r="BD35" s="86" t="b">
        <f t="shared" si="26"/>
        <v>0</v>
      </c>
      <c r="BE35" s="86">
        <f t="shared" si="75"/>
        <v>0.5</v>
      </c>
      <c r="BF35" s="86">
        <f t="shared" si="27"/>
        <v>0.5</v>
      </c>
      <c r="BG35" s="30" t="e">
        <f t="shared" ca="1" si="76"/>
        <v>#DIV/0!</v>
      </c>
      <c r="BH35" s="85" t="e">
        <f ca="1">IF(AN35&lt;=Hypothèses!$V$7,Hypothèses!$W$7,IF(AN35&lt;=Hypothèses!$V$8,Hypothèses!$W$8,IF(AN35&lt;=Hypothèses!$V$9,Hypothèses!$W$9,IF(AN35&lt;=Hypothèses!$V$10,Hypothèses!$W$10,IF(AN35&lt;=Hypothèses!$V$11,Hypothèses!$W$11,IF(AN35&lt;=Hypothèses!$V$12,Hypothèses!$W$12,IF(AN35&lt;=Hypothèses!$V$13,Hypothèses!$W$13,IF(AN35&lt;=Hypothèses!$V$14,Hypothèses!$W$14,IF(AN35&lt;=Hypothèses!$V$15,Hypothèses!$W$15,IF(AN35&lt;=Hypothèses!$V$16,Hypothèses!$W$16,IF(AN35&lt;=Hypothèses!$V$17,Hypothèses!$W$17,IF(AN35&lt;=Hypothèses!$V$18,Hypothèses!$W$18,""))))))))))))</f>
        <v>#DIV/0!</v>
      </c>
      <c r="BI35" s="87" t="e">
        <f t="shared" ca="1" si="118"/>
        <v>#DIV/0!</v>
      </c>
      <c r="BJ35" s="88" t="e">
        <f ca="1">IF(AN35&lt;=Hypothèses!$V$7,Hypothèses!$X$7,IF(AN35&lt;=Hypothèses!$V$8,Hypothèses!$X$8,IF(AN35&lt;=Hypothèses!$V$9,Hypothèses!$X$9,IF(AN35&lt;=Hypothèses!$V$10,Hypothèses!$X$10,IF(AN35&lt;=Hypothèses!$V$11,Hypothèses!$X$11,IF(AN35&lt;=Hypothèses!$V$12,Hypothèses!$X$12,IF(AN35&lt;=Hypothèses!$V$13,Hypothèses!$X$13,IF(AN35&lt;=Hypothèses!$V$14,Hypothèses!$X$14,IF(AN35&lt;=Hypothèses!$V$15,Hypothèses!$X$15,IF(AN35&lt;=Hypothèses!$V$16,Hypothèses!$X$16,IF(AN35&lt;=Hypothèses!$U$17,Hypothèses!$W$17,IF(AN35&lt;=Hypothèses!$U$18,Hypothèses!$W$18,""))))))))))))</f>
        <v>#DIV/0!</v>
      </c>
      <c r="BK35" s="95" t="e">
        <f t="shared" ca="1" si="77"/>
        <v>#DIV/0!</v>
      </c>
      <c r="BL35" s="101" t="e">
        <f t="shared" si="125"/>
        <v>#N/A</v>
      </c>
      <c r="BM35" s="91" t="e">
        <f t="shared" si="29"/>
        <v>#N/A</v>
      </c>
      <c r="BN35" s="30" t="e">
        <f t="shared" si="104"/>
        <v>#N/A</v>
      </c>
      <c r="BO35" s="30" t="e">
        <f t="shared" si="105"/>
        <v>#N/A</v>
      </c>
      <c r="BP35" s="31" t="e">
        <f>IF(OR(Hypothèses!$B$4=17,Hypothèses!$B$4=18,Hypothèses!$B$4=19,Hypothèses!$B$4=20),
IF($D35="Pressio.",
IF(OR($E35=3,$E35=1,$E35=4),BO35,BN35),
IF($D35="Pénétro.",
IF(OR($E35=3,$E35=1,$E35=4),BO35,BN35))),IF($D35="Pressio.",
IF($E35=3,BO35,BN35),
IF($D35="Pénétro.",
IF($E35=4,BO35,BN35))))</f>
        <v>#N/A</v>
      </c>
      <c r="BQ35" s="31" t="e">
        <f>(IF(OR(Hypothèses!$B$4=17,Hypothèses!$B$4=18,Hypothèses!$B$4=19,Hypothèses!$B$4=20),
IF($D35="Pressio.",
IF(OR($E35=3,$E35=1,$E35=4),(PI()*BQ$12^2)/4*(BM35*$W35*1000)/($H35*$B$5),(PI()*BQ$12^2)/4*(BM35*$W35*1000)/($G35*$B$5)),
IF($D35="Pénétro.",
IF(OR($E35=4,$E35=1,$E35=5),(PI()*BQ$12^2)/4*(BM35*$W35*1000)/($H35*$B$5),(PI()*BQ$12^2)/4*(BM35*$W35*1000)/($G35*$B$5)))),
IF($D35="Pressio.",
IF($E35=3,(PI()*BQ$12^2)/4*(BM35*$W35*1000)/($H35*$B$5),(PI()*BQ$12^2)/4*(BM35*$W35*1000)/($G35*$B$5)),
IF($D35="Pénétro.",
IF($E35=4,(PI()*BQ$12^2)/4*(BM35*$W35*1000)/($H35*$B$5),(PI()*BQ$12^2)/4*(BM35*$W35*1000)/($G35*$B$5))))))/10</f>
        <v>#N/A</v>
      </c>
      <c r="BR35" s="102" t="e">
        <f>(VLOOKUP($B$3,'Coeff EC7'!$T$39:$X$59,2,0)*BP35+VLOOKUP($B$3,'Coeff EC7'!$T$65:$X$85,2,0)*Model0.1C!BQ35)/1.1</f>
        <v>#N/A</v>
      </c>
      <c r="BS35" s="102" t="e">
        <f>(VLOOKUP($B$3,'Coeff EC7'!$T$39:$X$59,3,0)*BP35+VLOOKUP($B$3,'Coeff EC7'!$T$65:$X$85,3,0)*Model0.1C!BQ35)/0.9</f>
        <v>#N/A</v>
      </c>
      <c r="BT35" s="102" t="e">
        <f t="shared" si="78"/>
        <v>#N/A</v>
      </c>
      <c r="BU35" s="102" t="e">
        <f t="shared" si="79"/>
        <v>#N/A</v>
      </c>
      <c r="BV35" s="414" t="e">
        <f>IF(BV34=0,0,IF(AND(BR35&gt;charge_ELS_quasi,BS35&gt;Charge_ELS_freq,BT35&gt;charge_ELU,BU35&gt;charge_ELA,$B35&gt;NDC!$H$22-0.1+MIN(3*$BV$12,1.5)),0,1))</f>
        <v>#N/A</v>
      </c>
      <c r="BW35" s="86" t="b">
        <f t="shared" si="32"/>
        <v>0</v>
      </c>
      <c r="BX35" s="86">
        <f t="shared" si="33"/>
        <v>0.5</v>
      </c>
      <c r="BY35" s="86">
        <f t="shared" si="34"/>
        <v>0.5</v>
      </c>
      <c r="BZ35" s="30" t="e">
        <f t="shared" ca="1" si="80"/>
        <v>#DIV/0!</v>
      </c>
      <c r="CA35" s="85" t="e">
        <f ca="1">IF(BG35&lt;=Hypothèses!$V$7,Hypothèses!$W$7,IF(BG35&lt;=Hypothèses!$V$8,Hypothèses!$W$8,IF(BG35&lt;=Hypothèses!$V$9,Hypothèses!$W$9,IF(BG35&lt;=Hypothèses!$V$10,Hypothèses!$W$10,IF(BG35&lt;=Hypothèses!$V$11,Hypothèses!$W$11,IF(BG35&lt;=Hypothèses!$V$12,Hypothèses!$W$12,IF(BG35&lt;=Hypothèses!$V$13,Hypothèses!$W$13,IF(BG35&lt;=Hypothèses!$V$14,Hypothèses!$W$14,IF(BG35&lt;=Hypothèses!$V$15,Hypothèses!$W$15,IF(BG35&lt;=Hypothèses!$V$16,Hypothèses!$W$16,IF(BG35&lt;=Hypothèses!$V$17,Hypothèses!$W$17,IF(BG35&lt;=Hypothèses!$V$18,Hypothèses!$W$18,""))))))))))))</f>
        <v>#DIV/0!</v>
      </c>
      <c r="CB35" s="87" t="e">
        <f t="shared" ca="1" si="119"/>
        <v>#DIV/0!</v>
      </c>
      <c r="CC35" s="88" t="e">
        <f ca="1">IF(BG35&lt;=Hypothèses!$V$7,Hypothèses!$X$7,IF(BG35&lt;=Hypothèses!$V$8,Hypothèses!$X$8,IF(BG35&lt;=Hypothèses!$V$9,Hypothèses!$X$9,IF(BG35&lt;=Hypothèses!$V$10,Hypothèses!$X$10,IF(BG35&lt;=Hypothèses!$V$11,Hypothèses!$X$11,IF(BG35&lt;=Hypothèses!$V$12,Hypothèses!$X$12,IF(BG35&lt;=Hypothèses!$V$13,Hypothèses!$X$13,IF(BG35&lt;=Hypothèses!$V$14,Hypothèses!$X$14,IF(BG35&lt;=Hypothèses!$V$15,Hypothèses!$X$15,IF(BG35&lt;=Hypothèses!$V$16,Hypothèses!$X$16,IF(BG35&lt;=Hypothèses!$U$17,Hypothèses!$W$17,IF(BG35&lt;=Hypothèses!$U$18,Hypothèses!$W$18,""))))))))))))</f>
        <v>#DIV/0!</v>
      </c>
      <c r="CD35" s="95" t="e">
        <f t="shared" ca="1" si="81"/>
        <v>#DIV/0!</v>
      </c>
      <c r="CE35" s="101" t="e">
        <f t="shared" si="126"/>
        <v>#N/A</v>
      </c>
      <c r="CF35" s="91" t="e">
        <f t="shared" si="36"/>
        <v>#N/A</v>
      </c>
      <c r="CG35" s="30" t="e">
        <f t="shared" si="106"/>
        <v>#N/A</v>
      </c>
      <c r="CH35" s="30" t="e">
        <f t="shared" si="107"/>
        <v>#N/A</v>
      </c>
      <c r="CI35" s="31" t="e">
        <f>IF(OR(Hypothèses!$B$4=17,Hypothèses!$B$4=18,Hypothèses!$B$4=19,Hypothèses!$B$4=20),
IF($D35="Pressio.",
IF(OR($E35=3,$E35=1,$E35=4),CH35,CG35),
IF($D35="Pénétro.",
IF(OR($E35=3,$E35=1,$E35=4),CH35,CG35))),IF($D35="Pressio.",
IF($E35=3,CH35,CG35),
IF($D35="Pénétro.",
IF($E35=4,CH35,CG35))))</f>
        <v>#N/A</v>
      </c>
      <c r="CJ35" s="31" t="e">
        <f>(IF(OR(Hypothèses!$B$4=17,Hypothèses!$B$4=18,Hypothèses!$B$4=19,Hypothèses!$B$4=20),
IF($D35="Pressio.",
IF(OR($E35=3,$E35=1,$E35=4),(PI()*CJ$12^2)/4*(CF35*$W35*1000)/($H35*$B$5),(PI()*CJ$12^2)/4*(CF35*$W35*1000)/($G35*$B$5)),
IF($D35="Pénétro.",
IF(OR($E35=4,$E35=1,$E35=5),(PI()*CJ$12^2)/4*(CF35*$W35*1000)/($H35*$B$5),(PI()*CJ$12^2)/4*(CF35*$W35*1000)/($G35*$B$5)))),
IF($D35="Pressio.",
IF($E35=3,(PI()*CJ$12^2)/4*(CF35*$W35*1000)/($H35*$B$5),(PI()*CJ$12^2)/4*(CF35*$W35*1000)/($G35*$B$5)),
IF($D35="Pénétro.",
IF($E35=4,(PI()*CJ$12^2)/4*(CF35*$W35*1000)/($H35*$B$5),(PI()*CJ$12^2)/4*(CF35*$W35*1000)/($G35*$B$5))))))/10</f>
        <v>#N/A</v>
      </c>
      <c r="CK35" s="102" t="e">
        <f>(VLOOKUP($B$3,'Coeff EC7'!$T$39:$X$59,2,0)*CI35+VLOOKUP($B$3,'Coeff EC7'!$T$65:$X$85,2,0)*Model0.1C!CJ35)/1.1</f>
        <v>#N/A</v>
      </c>
      <c r="CL35" s="102" t="e">
        <f>(VLOOKUP($B$3,'Coeff EC7'!$T$39:$X$59,3,0)*CI35+VLOOKUP($B$3,'Coeff EC7'!$T$65:$X$85,3,0)*Model0.1C!CJ35)/0.9</f>
        <v>#N/A</v>
      </c>
      <c r="CM35" s="102" t="e">
        <f t="shared" si="82"/>
        <v>#N/A</v>
      </c>
      <c r="CN35" s="102" t="e">
        <f t="shared" si="83"/>
        <v>#N/A</v>
      </c>
      <c r="CO35" s="414" t="e">
        <f>IF(CO34=0,0,IF(AND(CK35&gt;charge_ELS_quasi,CL35&gt;Charge_ELS_freq,CM35&gt;charge_ELU,CN35&gt;charge_ELA,$B35&gt;NDC!$H$22-0.1+MIN(3*$CO$12,1.5)),0,1))</f>
        <v>#N/A</v>
      </c>
      <c r="CP35" s="86" t="b">
        <f t="shared" si="39"/>
        <v>0</v>
      </c>
      <c r="CQ35" s="86">
        <f t="shared" si="40"/>
        <v>0.5</v>
      </c>
      <c r="CR35" s="86">
        <f t="shared" si="41"/>
        <v>0.5</v>
      </c>
      <c r="CS35" s="30" t="e">
        <f t="shared" ca="1" si="84"/>
        <v>#DIV/0!</v>
      </c>
      <c r="CT35" s="85" t="e">
        <f ca="1">IF(BZ35&lt;=Hypothèses!$V$7,Hypothèses!$W$7,IF(BZ35&lt;=Hypothèses!$V$8,Hypothèses!$W$8,IF(BZ35&lt;=Hypothèses!$V$9,Hypothèses!$W$9,IF(BZ35&lt;=Hypothèses!$V$10,Hypothèses!$W$10,IF(BZ35&lt;=Hypothèses!$V$11,Hypothèses!$W$11,IF(BZ35&lt;=Hypothèses!$V$12,Hypothèses!$W$12,IF(BZ35&lt;=Hypothèses!$V$13,Hypothèses!$W$13,IF(BZ35&lt;=Hypothèses!$V$14,Hypothèses!$W$14,IF(BZ35&lt;=Hypothèses!$V$15,Hypothèses!$W$15,IF(BZ35&lt;=Hypothèses!$V$16,Hypothèses!$W$16,IF(BZ35&lt;=Hypothèses!$V$17,Hypothèses!$W$17,IF(BZ35&lt;=Hypothèses!$V$18,Hypothèses!$W$18,""))))))))))))</f>
        <v>#DIV/0!</v>
      </c>
      <c r="CU35" s="87" t="e">
        <f t="shared" ca="1" si="120"/>
        <v>#DIV/0!</v>
      </c>
      <c r="CV35" s="88" t="e">
        <f ca="1">IF(BZ35&lt;=Hypothèses!$V$7,Hypothèses!$X$7,IF(BZ35&lt;=Hypothèses!$V$8,Hypothèses!$X$8,IF(BZ35&lt;=Hypothèses!$V$9,Hypothèses!$X$9,IF(BZ35&lt;=Hypothèses!$V$10,Hypothèses!$X$10,IF(BZ35&lt;=Hypothèses!$V$11,Hypothèses!$X$11,IF(BZ35&lt;=Hypothèses!$V$12,Hypothèses!$X$12,IF(BZ35&lt;=Hypothèses!$V$13,Hypothèses!$X$13,IF(BZ35&lt;=Hypothèses!$V$14,Hypothèses!$X$14,IF(BZ35&lt;=Hypothèses!$V$15,Hypothèses!$X$15,IF(BZ35&lt;=Hypothèses!$V$16,Hypothèses!$X$16,IF(BZ35&lt;=Hypothèses!$U$17,Hypothèses!$W$17,IF(BZ35&lt;=Hypothèses!$U$18,Hypothèses!$W$18,""))))))))))))</f>
        <v>#DIV/0!</v>
      </c>
      <c r="CW35" s="95" t="e">
        <f t="shared" ca="1" si="85"/>
        <v>#DIV/0!</v>
      </c>
      <c r="CX35" s="101" t="e">
        <f t="shared" si="127"/>
        <v>#N/A</v>
      </c>
      <c r="CY35" s="91" t="e">
        <f t="shared" si="43"/>
        <v>#N/A</v>
      </c>
      <c r="CZ35" s="30" t="e">
        <f t="shared" si="108"/>
        <v>#N/A</v>
      </c>
      <c r="DA35" s="30" t="e">
        <f t="shared" si="109"/>
        <v>#N/A</v>
      </c>
      <c r="DB35" s="31" t="e">
        <f>IF(OR(Hypothèses!$B$4=17,Hypothèses!$B$4=18,Hypothèses!$B$4=19,Hypothèses!$B$4=20),
IF($D35="Pressio.",
IF(OR($E35=3,$E35=1,$E35=4),DA35,CZ35),
IF($D35="Pénétro.",
IF(OR($E35=3,$E35=1,$E35=4),DA35,CZ35))),IF($D35="Pressio.",
IF($E35=3,DA35,CZ35),
IF($D35="Pénétro.",
IF($E35=4,DA35,CZ35))))</f>
        <v>#N/A</v>
      </c>
      <c r="DC35" s="31" t="e">
        <f>(IF(OR(Hypothèses!$B$4=17,Hypothèses!$B$4=18,Hypothèses!$B$4=19,Hypothèses!$B$4=20),
IF($D35="Pressio.",
IF(OR($E35=3,$E35=1,$E35=4),(PI()*DC$12^2)/4*(CY35*$W35*1000)/($H35*$B$5),(PI()*DC$12^2)/4*(CY35*$W35*1000)/($G35*$B$5)),
IF($D35="Pénétro.",
IF(OR($E35=4,$E35=1,$E35=5),(PI()*DC$12^2)/4*(CY35*$W35*1000)/($H35*$B$5),(PI()*DC$12^2)/4*(CY35*$W35*1000)/($G35*$B$5)))),
IF($D35="Pressio.",
IF($E35=3,(PI()*DC$12^2)/4*(CY35*$W35*1000)/($H35*$B$5),(PI()*DC$12^2)/4*(CY35*$W35*1000)/($G35*$B$5)),
IF($D35="Pénétro.",
IF($E35=4,(PI()*DC$12^2)/4*(CY35*$W35*1000)/($H35*$B$5),(PI()*DC$12^2)/4*(CY35*$W35*1000)/($G35*$B$5))))))/10</f>
        <v>#N/A</v>
      </c>
      <c r="DD35" s="102" t="e">
        <f>(VLOOKUP($B$3,'Coeff EC7'!$T$39:$X$59,2,0)*DB35+VLOOKUP($B$3,'Coeff EC7'!$T$65:$X$85,2,0)*Model0.1C!DC35)/1.1</f>
        <v>#N/A</v>
      </c>
      <c r="DE35" s="102" t="e">
        <f>(VLOOKUP($B$3,'Coeff EC7'!$T$39:$X$59,3,0)*DB35+VLOOKUP($B$3,'Coeff EC7'!$T$65:$X$85,3,0)*Model0.1C!DC35)/0.9</f>
        <v>#N/A</v>
      </c>
      <c r="DF35" s="102" t="e">
        <f t="shared" si="86"/>
        <v>#N/A</v>
      </c>
      <c r="DG35" s="102" t="e">
        <f t="shared" si="87"/>
        <v>#N/A</v>
      </c>
      <c r="DH35" s="414" t="e">
        <f>IF(DH34=0,0,IF(AND(DD35&gt;charge_ELS_quasi,DE35&gt;Charge_ELS_freq,DF35&gt;charge_ELU,DG35&gt;charge_ELA,$B35&gt;NDC!$H$22-0.1+MIN(3*$DH$12,1.5)),0,1))</f>
        <v>#N/A</v>
      </c>
      <c r="DI35" s="86" t="b">
        <f t="shared" si="46"/>
        <v>0</v>
      </c>
      <c r="DJ35" s="86">
        <f t="shared" si="47"/>
        <v>0.5</v>
      </c>
      <c r="DK35" s="86">
        <f t="shared" si="48"/>
        <v>0.5</v>
      </c>
      <c r="DL35" s="30" t="e">
        <f t="shared" ca="1" si="88"/>
        <v>#DIV/0!</v>
      </c>
      <c r="DM35" s="85" t="e">
        <f ca="1">IF(CS35&lt;=Hypothèses!$V$7,Hypothèses!$W$7,IF(CS35&lt;=Hypothèses!$V$8,Hypothèses!$W$8,IF(CS35&lt;=Hypothèses!$V$9,Hypothèses!$W$9,IF(CS35&lt;=Hypothèses!$V$10,Hypothèses!$W$10,IF(CS35&lt;=Hypothèses!$V$11,Hypothèses!$W$11,IF(CS35&lt;=Hypothèses!$V$12,Hypothèses!$W$12,IF(CS35&lt;=Hypothèses!$V$13,Hypothèses!$W$13,IF(CS35&lt;=Hypothèses!$V$14,Hypothèses!$W$14,IF(CS35&lt;=Hypothèses!$V$15,Hypothèses!$W$15,IF(CS35&lt;=Hypothèses!$V$16,Hypothèses!$W$16,IF(CS35&lt;=Hypothèses!$V$17,Hypothèses!$W$17,IF(CS35&lt;=Hypothèses!$V$18,Hypothèses!$W$18,""))))))))))))</f>
        <v>#DIV/0!</v>
      </c>
      <c r="DN35" s="87" t="e">
        <f t="shared" ca="1" si="121"/>
        <v>#DIV/0!</v>
      </c>
      <c r="DO35" s="88" t="e">
        <f ca="1">IF(CS35&lt;=Hypothèses!$V$7,Hypothèses!$X$7,IF(CS35&lt;=Hypothèses!$V$8,Hypothèses!$X$8,IF(CS35&lt;=Hypothèses!$V$9,Hypothèses!$X$9,IF(CS35&lt;=Hypothèses!$V$10,Hypothèses!$X$10,IF(CS35&lt;=Hypothèses!$V$11,Hypothèses!$X$11,IF(CS35&lt;=Hypothèses!$V$12,Hypothèses!$X$12,IF(CS35&lt;=Hypothèses!$V$13,Hypothèses!$X$13,IF(CS35&lt;=Hypothèses!$V$14,Hypothèses!$X$14,IF(CS35&lt;=Hypothèses!$V$15,Hypothèses!$X$15,IF(CS35&lt;=Hypothèses!$V$16,Hypothèses!$X$16,IF(CS35&lt;=Hypothèses!$U$17,Hypothèses!$W$17,IF(CS35&lt;=Hypothèses!$U$18,Hypothèses!$W$18,""))))))))))))</f>
        <v>#DIV/0!</v>
      </c>
      <c r="DP35" s="95" t="e">
        <f t="shared" ca="1" si="89"/>
        <v>#DIV/0!</v>
      </c>
      <c r="DQ35" s="101" t="e">
        <f t="shared" si="128"/>
        <v>#N/A</v>
      </c>
      <c r="DR35" s="91" t="e">
        <f t="shared" si="50"/>
        <v>#N/A</v>
      </c>
      <c r="DS35" s="30" t="e">
        <f t="shared" si="110"/>
        <v>#N/A</v>
      </c>
      <c r="DT35" s="30" t="e">
        <f t="shared" si="111"/>
        <v>#N/A</v>
      </c>
      <c r="DU35" s="31" t="e">
        <f>IF(OR(Hypothèses!$B$4=17,Hypothèses!$B$4=18,Hypothèses!$B$4=19,Hypothèses!$B$4=20),
IF($D35="Pressio.",
IF(OR($E35=3,$E35=1,$E35=4),DT35,DS35),
IF($D35="Pénétro.",
IF(OR($E35=3,$E35=1,$E35=4),DT35,DS35))),IF($D35="Pressio.",
IF($E35=3,DT35,DS35),
IF($D35="Pénétro.",
IF($E35=4,DT35,DS35))))</f>
        <v>#N/A</v>
      </c>
      <c r="DV35" s="31" t="e">
        <f>(IF(OR(Hypothèses!$B$4=17,Hypothèses!$B$4=18,Hypothèses!$B$4=19,Hypothèses!$B$4=20),
IF($D35="Pressio.",
IF(OR($E35=3,$E35=1,$E35=4),(PI()*DV$12^2)/4*(DR35*$W35*1000)/($H35*$B$5),(PI()*DV$12^2)/4*(DR35*$W35*1000)/($G35*$B$5)),
IF($D35="Pénétro.",
IF(OR($E35=4,$E35=1,$E35=5),(PI()*DV$12^2)/4*(DR35*$W35*1000)/($H35*$B$5),(PI()*DV$12^2)/4*(DR35*$W35*1000)/($G35*$B$5)))),
IF($D35="Pressio.",
IF($E35=3,(PI()*DV$12^2)/4*(DR35*$W35*1000)/($H35*$B$5),(PI()*DV$12^2)/4*(DR35*$W35*1000)/($G35*$B$5)),
IF($D35="Pénétro.",
IF($E35=4,(PI()*DV$12^2)/4*(DR35*$W35*1000)/($H35*$B$5),(PI()*DV$12^2)/4*(DR35*$W35*1000)/($G35*$B$5))))))/10</f>
        <v>#N/A</v>
      </c>
      <c r="DW35" s="102" t="e">
        <f>(VLOOKUP($B$3,'Coeff EC7'!$T$39:$X$59,2,0)*DU35+VLOOKUP($B$3,'Coeff EC7'!$T$65:$X$85,2,0)*Model0.1C!DV35)/1.1</f>
        <v>#N/A</v>
      </c>
      <c r="DX35" s="102" t="e">
        <f>(VLOOKUP($B$3,'Coeff EC7'!$T$39:$X$59,3,0)*DU35+VLOOKUP($B$3,'Coeff EC7'!$T$65:$X$85,3,0)*Model0.1C!DV35)/0.9</f>
        <v>#N/A</v>
      </c>
      <c r="DY35" s="102" t="e">
        <f t="shared" si="90"/>
        <v>#N/A</v>
      </c>
      <c r="DZ35" s="102" t="e">
        <f t="shared" si="91"/>
        <v>#N/A</v>
      </c>
      <c r="EA35" s="414" t="e">
        <f>IF(EA34=0,0,IF(AND(DW35&gt;charge_ELS_quasi,DX35&gt;Charge_ELS_freq,DY35&gt;charge_ELU,DZ35&gt;charge_ELA,$B35&gt;NDC!$H$22-0.1+MIN(3*$EA$12,1.5)),0,1))</f>
        <v>#N/A</v>
      </c>
      <c r="EB35" s="86" t="b">
        <f t="shared" si="53"/>
        <v>0</v>
      </c>
      <c r="EC35" s="418">
        <f t="shared" si="54"/>
        <v>0.51</v>
      </c>
      <c r="ED35" s="86">
        <f t="shared" si="55"/>
        <v>0.51</v>
      </c>
      <c r="EE35" s="30" t="e">
        <f t="shared" ca="1" si="92"/>
        <v>#DIV/0!</v>
      </c>
      <c r="EF35" s="85" t="e">
        <f ca="1">IF(DL35&lt;=Hypothèses!$V$7,Hypothèses!$W$7,IF(DL35&lt;=Hypothèses!$V$8,Hypothèses!$W$8,IF(DL35&lt;=Hypothèses!$V$9,Hypothèses!$W$9,IF(DL35&lt;=Hypothèses!$V$10,Hypothèses!$W$10,IF(DL35&lt;=Hypothèses!$V$11,Hypothèses!$W$11,IF(DL35&lt;=Hypothèses!$V$12,Hypothèses!$W$12,IF(DL35&lt;=Hypothèses!$V$13,Hypothèses!$W$13,IF(DL35&lt;=Hypothèses!$V$14,Hypothèses!$W$14,IF(DL35&lt;=Hypothèses!$V$15,Hypothèses!$W$15,IF(DL35&lt;=Hypothèses!$V$16,Hypothèses!$W$16,IF(DL35&lt;=Hypothèses!$V$17,Hypothèses!$W$17,IF(DL35&lt;=Hypothèses!$V$18,Hypothèses!$W$18,""))))))))))))</f>
        <v>#DIV/0!</v>
      </c>
      <c r="EG35" s="87" t="e">
        <f t="shared" ca="1" si="122"/>
        <v>#DIV/0!</v>
      </c>
      <c r="EH35" s="88" t="e">
        <f ca="1">IF(DL35&lt;=Hypothèses!$V$7,Hypothèses!$X$7,IF(DL35&lt;=Hypothèses!$V$8,Hypothèses!$X$8,IF(DL35&lt;=Hypothèses!$V$9,Hypothèses!$X$9,IF(DL35&lt;=Hypothèses!$V$10,Hypothèses!$X$10,IF(DL35&lt;=Hypothèses!$V$11,Hypothèses!$X$11,IF(DL35&lt;=Hypothèses!$V$12,Hypothèses!$X$12,IF(DL35&lt;=Hypothèses!$V$13,Hypothèses!$X$13,IF(DL35&lt;=Hypothèses!$V$14,Hypothèses!$X$14,IF(DL35&lt;=Hypothèses!$V$15,Hypothèses!$X$15,IF(DL35&lt;=Hypothèses!$V$16,Hypothèses!$X$16,IF(DL35&lt;=Hypothèses!$U$17,Hypothèses!$W$17,IF(DL35&lt;=Hypothèses!$U$18,Hypothèses!$W$18,""))))))))))))</f>
        <v>#DIV/0!</v>
      </c>
      <c r="EI35" s="95" t="e">
        <f t="shared" ca="1" si="93"/>
        <v>#DIV/0!</v>
      </c>
      <c r="EJ35" s="101" t="e">
        <f t="shared" si="129"/>
        <v>#N/A</v>
      </c>
      <c r="EK35" s="91" t="e">
        <f t="shared" si="57"/>
        <v>#N/A</v>
      </c>
      <c r="EL35" s="30" t="e">
        <f t="shared" si="112"/>
        <v>#N/A</v>
      </c>
      <c r="EM35" s="30" t="e">
        <f t="shared" si="113"/>
        <v>#N/A</v>
      </c>
      <c r="EN35" s="31" t="e">
        <f>IF(OR(Hypothèses!$B$4=17,Hypothèses!$B$4=18,Hypothèses!$B$4=19,Hypothèses!$B$4=20),
IF($D35="Pressio.",
IF(OR($E35=3,$E35=1,$E35=4),EM35,EL35),
IF($D35="Pénétro.",
IF(OR($E35=3,$E35=1,$E35=4),EM35,EL35))),IF($D35="Pressio.",
IF($E35=3,EM35,EL35),
IF($D35="Pénétro.",
IF($E35=4,EM35,EL35))))</f>
        <v>#N/A</v>
      </c>
      <c r="EO35" s="31" t="e">
        <f>(IF(OR(Hypothèses!$B$4=17,Hypothèses!$B$4=18,Hypothèses!$B$4=19,Hypothèses!$B$4=20),
IF($D35="Pressio.",
IF(OR($E35=3,$E35=1,$E35=4),(PI()*EO$12^2)/4*(EK35*$W35*1000)/($H35*$B$5),(PI()*EO$12^2)/4*(EK35*$W35*1000)/($G35*$B$5)),
IF($D35="Pénétro.",
IF(OR($E35=4,$E35=1,$E35=5),(PI()*EO$12^2)/4*(EK35*$W35*1000)/($H35*$B$5),(PI()*EO$12^2)/4*(EK35*$W35*1000)/($G35*$B$5)))),
IF($D35="Pressio.",
IF($E35=3,(PI()*EO$12^2)/4*(EK35*$W35*1000)/($H35*$B$5),(PI()*EO$12^2)/4*(EK35*$W35*1000)/($G35*$B$5)),
IF($D35="Pénétro.",
IF($E35=4,(PI()*EO$12^2)/4*(EK35*$W35*1000)/($H35*$B$5),(PI()*EO$12^2)/4*(EK35*$W35*1000)/($G35*$B$5))))))/10</f>
        <v>#N/A</v>
      </c>
      <c r="EP35" s="102" t="e">
        <f>(VLOOKUP($B$3,'Coeff EC7'!$T$39:$X$59,2,0)*EN35+VLOOKUP($B$3,'Coeff EC7'!$T$65:$X$85,2,0)*Model0.1C!EO35)/1.1</f>
        <v>#N/A</v>
      </c>
      <c r="EQ35" s="102" t="e">
        <f>(VLOOKUP($B$3,'Coeff EC7'!$T$39:$X$59,3,0)*EN35+VLOOKUP($B$3,'Coeff EC7'!$T$65:$X$85,3,0)*Model0.1C!EO35)/0.9</f>
        <v>#N/A</v>
      </c>
      <c r="ER35" s="102" t="e">
        <f t="shared" si="94"/>
        <v>#N/A</v>
      </c>
      <c r="ES35" s="102" t="e">
        <f t="shared" si="95"/>
        <v>#N/A</v>
      </c>
      <c r="ET35" s="414" t="e">
        <f>IF(ET34=0,0,IF(AND(EP35&gt;charge_ELS_quasi,EQ35&gt;Charge_ELS_freq,ER35&gt;charge_ELU,ES35&gt;charge_ELA,$B35&gt;NDC!$H$22-0.1+MIN(3*$ET$12,1.5)),0,1))</f>
        <v>#N/A</v>
      </c>
      <c r="EU35" s="86" t="b">
        <f t="shared" si="60"/>
        <v>0</v>
      </c>
      <c r="EV35" s="86">
        <f t="shared" si="61"/>
        <v>0.61</v>
      </c>
      <c r="EW35" s="86">
        <f t="shared" si="62"/>
        <v>0.61</v>
      </c>
      <c r="EX35" s="30" t="e">
        <f t="shared" ca="1" si="96"/>
        <v>#DIV/0!</v>
      </c>
      <c r="EY35" s="85" t="e">
        <f ca="1">IF(EE35&lt;=Hypothèses!$V$7,Hypothèses!$W$7,IF(EE35&lt;=Hypothèses!$V$8,Hypothèses!$W$8,IF(EE35&lt;=Hypothèses!$V$9,Hypothèses!$W$9,IF(EE35&lt;=Hypothèses!$V$10,Hypothèses!$W$10,IF(EE35&lt;=Hypothèses!$V$11,Hypothèses!$W$11,IF(EE35&lt;=Hypothèses!$V$12,Hypothèses!$W$12,IF(EE35&lt;=Hypothèses!$V$13,Hypothèses!$W$13,IF(EE35&lt;=Hypothèses!$V$14,Hypothèses!$W$14,IF(EE35&lt;=Hypothèses!$V$15,Hypothèses!$W$15,IF(EE35&lt;=Hypothèses!$V$16,Hypothèses!$W$16,IF(EE35&lt;=Hypothèses!$V$17,Hypothèses!$W$17,IF(EE35&lt;=Hypothèses!$V$18,Hypothèses!$W$18,""))))))))))))</f>
        <v>#DIV/0!</v>
      </c>
      <c r="EZ35" s="87" t="e">
        <f t="shared" ca="1" si="123"/>
        <v>#DIV/0!</v>
      </c>
      <c r="FA35" s="88" t="e">
        <f ca="1">IF(EE35&lt;=Hypothèses!$V$7,Hypothèses!$X$7,IF(EE35&lt;=Hypothèses!$V$8,Hypothèses!$X$8,IF(EE35&lt;=Hypothèses!$V$9,Hypothèses!$X$9,IF(EE35&lt;=Hypothèses!$V$10,Hypothèses!$X$10,IF(EE35&lt;=Hypothèses!$V$11,Hypothèses!$X$11,IF(EE35&lt;=Hypothèses!$V$12,Hypothèses!$X$12,IF(EE35&lt;=Hypothèses!$V$13,Hypothèses!$X$13,IF(EE35&lt;=Hypothèses!$V$14,Hypothèses!$X$14,IF(EE35&lt;=Hypothèses!$V$15,Hypothèses!$X$15,IF(EE35&lt;=Hypothèses!$V$16,Hypothèses!$X$16,IF(EE35&lt;=Hypothèses!$U$17,Hypothèses!$W$17,IF(EE35&lt;=Hypothèses!$U$18,Hypothèses!$W$18,""))))))))))))</f>
        <v>#DIV/0!</v>
      </c>
      <c r="FB35" s="95" t="e">
        <f t="shared" ca="1" si="97"/>
        <v>#DIV/0!</v>
      </c>
      <c r="FC35" s="101" t="e">
        <f t="shared" si="130"/>
        <v>#N/A</v>
      </c>
      <c r="FD35" s="91" t="e">
        <f t="shared" si="64"/>
        <v>#N/A</v>
      </c>
      <c r="FE35" s="30" t="e">
        <f t="shared" si="114"/>
        <v>#N/A</v>
      </c>
      <c r="FF35" s="30" t="e">
        <f t="shared" si="115"/>
        <v>#N/A</v>
      </c>
      <c r="FG35" s="31" t="e">
        <f>IF(OR(Hypothèses!$B$4=17,Hypothèses!$B$4=18,Hypothèses!$B$4=19,Hypothèses!$B$4=20),
IF($D35="Pressio.",
IF(OR($E35=3,$E35=1,$E35=4),FF35,FE35),
IF($D35="Pénétro.",
IF(OR($E35=3,$E35=1,$E35=4),FF35,FE35))),IF($D35="Pressio.",
IF($E35=3,FF35,FE35),
IF($D35="Pénétro.",
IF($E35=4,FF35,FE35))))</f>
        <v>#N/A</v>
      </c>
      <c r="FH35" s="31" t="e">
        <f>(IF(OR(Hypothèses!$B$4=17,Hypothèses!$B$4=18,Hypothèses!$B$4=19,Hypothèses!$B$4=20),
IF($D35="Pressio.",
IF(OR($E35=3,$E35=1,$E35=4),(PI()*FH$12^2)/4*(FD35*$W35*1000)/($H35*$B$5),(PI()*FH$12^2)/4*(FD35*$W35*1000)/($G35*$B$5)),
IF($D35="Pénétro.",
IF(OR($E35=4,$E35=1,$E35=5),(PI()*FH$12^2)/4*(FD35*$W35*1000)/($H35*$B$5),(PI()*FH$12^2)/4*(FD35*$W35*1000)/($G35*$B$5)))),
IF($D35="Pressio.",
IF($E35=3,(PI()*FH$12^2)/4*(FD35*$W35*1000)/($H35*$B$5),(PI()*FH$12^2)/4*(FD35*$W35*1000)/($G35*$B$5)),
IF($D35="Pénétro.",
IF($E35=4,(PI()*FH$12^2)/4*(FD35*$W35*1000)/($H35*$B$5),(PI()*FH$12^2)/4*(FD35*$W35*1000)/($G35*$B$5))))))/10</f>
        <v>#N/A</v>
      </c>
      <c r="FI35" s="102" t="e">
        <f>(VLOOKUP($B$3,'Coeff EC7'!$T$39:$X$59,2,0)*FG35+VLOOKUP($B$3,'Coeff EC7'!$T$65:$X$85,2,0)*Model0.1C!FH35)/1.1</f>
        <v>#N/A</v>
      </c>
      <c r="FJ35" s="102" t="e">
        <f>(VLOOKUP($B$3,'Coeff EC7'!$T$39:$X$59,3,0)*FG35+VLOOKUP($B$3,'Coeff EC7'!$T$65:$X$85,3,0)*Model0.1C!FH35)/0.9</f>
        <v>#N/A</v>
      </c>
      <c r="FK35" s="102" t="e">
        <f t="shared" si="98"/>
        <v>#N/A</v>
      </c>
      <c r="FL35" s="102" t="e">
        <f t="shared" si="99"/>
        <v>#N/A</v>
      </c>
      <c r="FM35" s="414" t="e">
        <f>IF(FM34=0,0,IF(AND(FI35&gt;charge_ELS_quasi,FJ35&gt;Charge_ELS_freq,FK35&gt;charge_ELU,FL35&gt;charge_ELA,$B35&gt;NDC!$H$22-0.1+MIN(3*$FM$12,1.5)),0,1))</f>
        <v>#N/A</v>
      </c>
    </row>
    <row r="36" spans="1:169">
      <c r="A36" s="96">
        <f t="shared" si="67"/>
        <v>97.700000000000131</v>
      </c>
      <c r="B36" s="97">
        <v>2.2999999999999998</v>
      </c>
      <c r="C36" s="81">
        <f>IF(B36&lt;=Hypothèses!$C$7,Hypothèses!$A$7,IF(B36&lt;=Hypothèses!$C$8,Hypothèses!$A$8,IF(B36&lt;=Hypothèses!$C$9,Hypothèses!$A$9,IF(B36&lt;=Hypothèses!$C$10,Hypothèses!$A$10,IF(B36&lt;=Hypothèses!$C$11,Hypothèses!$A$11,IF(B36&lt;=Hypothèses!$C$12,Hypothèses!$A$12,IF(B36&lt;=Hypothèses!$C$13,Hypothèses!$A$13,IF(B36&lt;=Hypothèses!$C$14,Hypothèses!$A$14,IF(B36&lt;=Hypothèses!$C$15,Hypothèses!$A$15,IF(B36&lt;=Hypothèses!$C$16,Hypothèses!$A$16,IF(B36&lt;=Hypothèses!$C$17,Hypothèses!$A$17,IF(B36&lt;=Hypothèses!$C$18,Hypothèses!$A$18,C35))))))))))))</f>
        <v>11</v>
      </c>
      <c r="D36" s="82" t="str">
        <f>IF(B36&lt;=Hypothèses!$C$7,Hypothèses!$R$7,IF(B36&lt;=Hypothèses!$C$8,Hypothèses!$R$8,IF(B36&lt;=Hypothèses!$C$9,Hypothèses!$R$9,IF(B36&lt;=Hypothèses!$C$10,Hypothèses!$R$10,IF(B36&lt;=Hypothèses!$C$11,Hypothèses!$R$11,IF(B36&lt;=Hypothèses!$C$12,Hypothèses!$R$12,IF(B36&lt;=Hypothèses!$C$13,Hypothèses!$R$13,IF(B36&lt;=Hypothèses!$C$14,Hypothèses!$R$14,IF(B36&lt;=Hypothèses!$C$15,Hypothèses!$R$15,IF(B36&lt;=Hypothèses!$C$16,Hypothèses!$R$16,IF(B36&lt;=Hypothèses!$C$17,Hypothèses!$R$17,IF(B36&lt;=Hypothèses!$C$18,Hypothèses!$R$18,D35))))))))))))</f>
        <v>Pressio.</v>
      </c>
      <c r="E36" s="82" t="e">
        <f>IF(B36&lt;=Hypothèses!$C$7,Hypothèses!$G$7,IF(B36&lt;=Hypothèses!$C$8,Hypothèses!$G$8,IF(B36&lt;=Hypothèses!$C$9,Hypothèses!$G$9,IF(B36&lt;=Hypothèses!$C$10,Hypothèses!$G$10,IF(B36&lt;=Hypothèses!$C$11,Hypothèses!$G$11,IF(B36&lt;=Hypothèses!$C$12,Hypothèses!$G$12,IF(B36&lt;=Hypothèses!$C$13,Hypothèses!$G$13,IF(B36&lt;=Hypothèses!$C$14,Hypothèses!$G$14,IF(B36&lt;=Hypothèses!$C$15,Hypothèses!$G$15,IF(B36&lt;=Hypothèses!$C$16,Hypothèses!$G$16,IF(B36&lt;=Hypothèses!$C$17,Hypothèses!$G$17,IF(B36&lt;=Hypothèses!$C$18,Hypothèses!$G$18,E35))))))))))))</f>
        <v>#N/A</v>
      </c>
      <c r="F36" s="82" t="str">
        <f>IF(B36&lt;=Hypothèses!$C$7,Hypothèses!$F$7,IF(B36&lt;=Hypothèses!$C$8,Hypothèses!$F$8,IF(B36&lt;=Hypothèses!$C$9,Hypothèses!$F$9,IF(B36&lt;=Hypothèses!$C$10,Hypothèses!$F$10,IF(B36&lt;=Hypothèses!$C$11,Hypothèses!$F$11,IF(B36&lt;=Hypothèses!$C$12,Hypothèses!$F$12,IF(B36&lt;=Hypothèses!$C$13,Hypothèses!$F$13,IF(B36&lt;=Hypothèses!$C$14,Hypothèses!$F$14,IF(B36&lt;=Hypothèses!$C$15,Hypothèses!$F$15,IF(B36&lt;=Hypothèses!$C$16,Hypothèses!$F$16,IF(B36&lt;=Hypothèses!$C$17,Hypothèses!$F$17,IF(B36&lt;=Hypothèses!$C$18,Hypothèses!$F$18,F35))))))))))))</f>
        <v/>
      </c>
      <c r="G36" s="91">
        <f t="array" ref="G36">INDEX('Coeff EC7'!$U$7:$X$27,
MATCH(Model0.1C!$B$3,'Coeff EC7'!$T$7:$T$27,0),
MATCH(Model0.1C!$D36&amp;Model0.1C!$B$4,
'Coeff EC7'!$U$6:$X$6&amp;
'Coeff EC7'!$U$5:$X$5,0))</f>
        <v>1.1499999999999999</v>
      </c>
      <c r="H36" s="91">
        <f t="array" ref="H36">INDEX('Coeff EC7'!$Y$7:$AB$27,
MATCH(Model0.1C!$B$3,'Coeff EC7'!$T$7:$T$27,0),
MATCH(Model0.1C!$D36&amp;Model0.1C!$B$4,
'Coeff EC7'!$Y$6:$AB$6&amp;
'Coeff EC7'!$Y$5:$AB$5,0))</f>
        <v>1.4</v>
      </c>
      <c r="I36" s="83" t="e">
        <f>IF(B36&lt;=Hypothèses!$C$7,Hypothèses!$P$7,IF(B36&lt;=Hypothèses!$C$8,Hypothèses!$P$8,IF(B36&lt;=Hypothèses!$C$9,Hypothèses!$P$9,IF(B36&lt;=Hypothèses!$C$10,Hypothèses!$P$10,IF(B36&lt;=Hypothèses!$C$11,Hypothèses!$P$11,IF(B36&lt;=Hypothèses!$C$12,Hypothèses!$P$12,IF(B36&lt;=Hypothèses!$C$13,Hypothèses!$P$13,IF(B36&lt;=Hypothèses!$C$14,Hypothèses!$P$14,IF(B36&lt;=Hypothèses!$C$15,Hypothèses!$P$15,IF(B36&lt;=Hypothèses!$C$16,Hypothèses!$P$16,IF(B36&lt;=Hypothèses!$C$17,Hypothèses!$P$17,IF(B36&lt;=Hypothèses!$C$18,Hypothèses!$P$18,I35))))))))))))</f>
        <v>#N/A</v>
      </c>
      <c r="J36" s="91" t="e">
        <f t="array" ref="J36">INDEX('Coeff EC7'!$D$33:$Q$33,1,MATCH(D36&amp;E36,'Coeff EC7'!$D$31:$Q$31&amp;'Coeff EC7'!$D$32:$Q$32,0))</f>
        <v>#N/A</v>
      </c>
      <c r="K36" s="91" t="e">
        <f t="array" ref="K36">INDEX('Coeff EC7'!$D$34:$Q$34,1,MATCH(D36&amp;E36,'Coeff EC7'!$D$31:$Q$31&amp;'Coeff EC7'!$D$32:$Q$32,0))</f>
        <v>#N/A</v>
      </c>
      <c r="L36" s="91" t="e">
        <f t="array" ref="L36">INDEX('Coeff EC7'!$D$35:$Q$35,1,MATCH(D36&amp;E36,'Coeff EC7'!$D$31:$Q$31&amp;'Coeff EC7'!$D$32:$Q$32,0))</f>
        <v>#N/A</v>
      </c>
      <c r="M36" s="98" t="e">
        <f t="shared" si="8"/>
        <v>#N/A</v>
      </c>
      <c r="N36" s="99" t="e">
        <f t="array" ref="N36">INDEX('Coeff EC7'!$D$7:$Q$27,MATCH($B$3,'Coeff EC7'!$C$7:$C$27,0),MATCH(D36&amp;E36,'Coeff EC7'!$D$5:$Q$5&amp;'Coeff EC7'!$D$6:$Q$6,0))</f>
        <v>#N/A</v>
      </c>
      <c r="O36" s="99" t="e">
        <f t="array" ref="O36">INDEX('Coeff EC7'!$D$41:$Q$61,MATCH($B$3,'Coeff EC7'!$C$41:$C$61,0),MATCH(D36&amp;E36,'Coeff EC7'!$D$39:$Q$39&amp;'Coeff EC7'!$D$40:$Q$40,0))</f>
        <v>#N/A</v>
      </c>
      <c r="P36" s="30" t="e">
        <f t="shared" si="68"/>
        <v>#N/A</v>
      </c>
      <c r="Q36" s="100" t="e">
        <f t="shared" si="10"/>
        <v>#N/A</v>
      </c>
      <c r="R36" s="86" t="b">
        <f t="shared" si="11"/>
        <v>0</v>
      </c>
      <c r="S36" s="86">
        <f t="shared" si="9"/>
        <v>0.5</v>
      </c>
      <c r="T36" s="86">
        <f t="shared" si="12"/>
        <v>0.5</v>
      </c>
      <c r="U36" s="30" t="e">
        <f t="shared" ca="1" si="69"/>
        <v>#DIV/0!</v>
      </c>
      <c r="V36" s="85" t="str">
        <f>IF(B36&lt;=Hypothèses!$V$7,Hypothèses!$W$7,IF(B36&lt;=Hypothèses!$V$8,Hypothèses!$W$8,IF(B36&lt;=Hypothèses!$V$9,Hypothèses!$W$9,IF(B36&lt;=Hypothèses!$V$10,Hypothèses!$W$10,IF(B36&lt;=Hypothèses!$V$11,Hypothèses!$W$11,IF(B36&lt;=Hypothèses!$V$12,Hypothèses!$W$12,IF(B36&lt;=Hypothèses!$V$13,Hypothèses!$W$13,IF(B36&lt;=Hypothèses!$V$14,Hypothèses!$W$14,IF(B36&lt;=Hypothèses!$V$15,Hypothèses!$W$15,IF(B36&lt;=Hypothèses!$V$16,Hypothèses!$W$16,IF(B36&lt;=Hypothèses!$V$17,Hypothèses!$W$17,IF(B36&lt;=Hypothèses!$V$18,Hypothèses!$W$18,""))))))))))))</f>
        <v/>
      </c>
      <c r="W36" s="87" t="e">
        <f t="shared" ca="1" si="116"/>
        <v>#DIV/0!</v>
      </c>
      <c r="X36" s="88" t="str">
        <f>IF(B36&lt;=Hypothèses!$V$7,Hypothèses!$X$7,IF(B36&lt;=Hypothèses!$V$8,Hypothèses!$X$8,IF(B36&lt;=Hypothèses!$V$9,Hypothèses!$X$9,IF(B36&lt;=Hypothèses!$V$10,Hypothèses!$X$10,IF(B36&lt;=Hypothèses!$V$11,Hypothèses!$X$11,IF(B36&lt;=Hypothèses!$V$12,Hypothèses!$X$12,IF(B36&lt;=Hypothèses!$V$13,Hypothèses!$X$13,IF(B36&lt;=Hypothèses!$V$14,Hypothèses!$X$14,IF(B36&lt;=Hypothèses!$V$15,Hypothèses!$X$15,IF(B36&lt;=Hypothèses!$V$16,Hypothèses!$X$16,IF(B36&lt;=Hypothèses!$U$17,Hypothèses!$W$17,IF(B36&lt;=Hypothèses!$U$18,Hypothèses!$W$18,""))))))))))))</f>
        <v/>
      </c>
      <c r="Y36" s="95" t="e">
        <f t="shared" ca="1" si="13"/>
        <v>#DIV/0!</v>
      </c>
      <c r="Z36" s="101" t="e">
        <f t="shared" si="14"/>
        <v>#N/A</v>
      </c>
      <c r="AA36" s="91" t="e">
        <f t="shared" si="15"/>
        <v>#N/A</v>
      </c>
      <c r="AB36" s="30" t="e">
        <f t="shared" si="100"/>
        <v>#N/A</v>
      </c>
      <c r="AC36" s="30" t="e">
        <f t="shared" si="101"/>
        <v>#N/A</v>
      </c>
      <c r="AD36" s="31" t="e">
        <f>IF(OR(Hypothèses!$B$4=17,Hypothèses!$B$4=18,Hypothèses!$B$4=19,Hypothèses!$B$4=20),
IF($D36="Pressio.",
IF(OR($E36=3,$E36=1,$E36=4),AC36,AB36),
IF($D36="Pénétro.",
IF(OR($E36=3,$E36=1,$E36=4),AC36,AB36))),IF($D36="Pressio.",
IF($E36=3,AC36,AB36),
IF($D36="Pénétro.",
IF($E36=4,AC36,AB36))))</f>
        <v>#N/A</v>
      </c>
      <c r="AE36" s="31" t="e">
        <f>(IF(OR(Hypothèses!$B$4=17,Hypothèses!$B$4=18,Hypothèses!$B$4=19,Hypothèses!$B$4=20),
IF($D36="Pressio.",
IF(OR($E36=3,$E36=1,$E36=4),(PI()*AE$12^2)/4*(AA36*$W36*1000)/($H36*$B$5),(PI()*AE$12^2)/4*(AA36*$W36*1000)/($G36*$B$5)),
IF($D36="Pénétro.",
IF(OR($E36=4,$E36=1,$E36=5),(PI()*AE$12^2)/4*(AA36*$W36*1000)/($H36*$B$5),(PI()*AE$12^2)/4*(AA36*$W36*1000)/($G36*$B$5)))),
IF($D36="Pressio.",
IF($E36=3,(PI()*AE$12^2)/4*(AA36*$W36*1000)/($H36*$B$5),(PI()*AE$12^2)/4*(AA36*$W36*1000)/($G36*$B$5)),
IF($D36="Pénétro.",
IF($E36=4,(PI()*AE$12^2)/4*(AA36*$W36*1000)/($H36*$B$5),(PI()*AE$12^2)/4*(AA36*$W36*1000)/($G36*$B$5))))))/10</f>
        <v>#N/A</v>
      </c>
      <c r="AF36" s="102" t="e">
        <f>(VLOOKUP($B$3,'Coeff EC7'!$T$39:$X$59,2,0)*AD36+VLOOKUP($B$3,'Coeff EC7'!$T$65:$X$85,2,0)*Model0.1C!AE36)/1.1</f>
        <v>#N/A</v>
      </c>
      <c r="AG36" s="102" t="e">
        <f>(VLOOKUP($B$3,'Coeff EC7'!$T$39:$X$59,3,0)*AD36+VLOOKUP($B$3,'Coeff EC7'!$T$65:$X$85,3,0)*Model0.1C!AE36)/0.9</f>
        <v>#N/A</v>
      </c>
      <c r="AH36" s="102" t="e">
        <f t="shared" si="18"/>
        <v>#N/A</v>
      </c>
      <c r="AI36" s="102" t="e">
        <f t="shared" si="19"/>
        <v>#N/A</v>
      </c>
      <c r="AJ36" s="414" t="e">
        <f>IF(AJ35=0,0,IF(AND(AF36&gt;charge_ELS_quasi,AG36&gt;Charge_ELS_freq,AH36&gt;charge_ELU,AI36&gt;charge_ELA,$B36&gt;NDC!$H$22-0.1+MIN(3*$AJ$12,1.5)),0,1))</f>
        <v>#N/A</v>
      </c>
      <c r="AK36" s="86" t="b">
        <f t="shared" si="20"/>
        <v>0</v>
      </c>
      <c r="AL36" s="86">
        <f t="shared" si="70"/>
        <v>0.5</v>
      </c>
      <c r="AM36" s="86">
        <f t="shared" si="21"/>
        <v>0.5</v>
      </c>
      <c r="AN36" s="30" t="e">
        <f t="shared" ca="1" si="71"/>
        <v>#DIV/0!</v>
      </c>
      <c r="AO36" s="85" t="e">
        <f ca="1">IF(U36&lt;=Hypothèses!$V$7,Hypothèses!$W$7,IF(U36&lt;=Hypothèses!$V$8,Hypothèses!$W$8,IF(U36&lt;=Hypothèses!$V$9,Hypothèses!$W$9,IF(U36&lt;=Hypothèses!$V$10,Hypothèses!$W$10,IF(U36&lt;=Hypothèses!$V$11,Hypothèses!$W$11,IF(U36&lt;=Hypothèses!$V$12,Hypothèses!$W$12,IF(U36&lt;=Hypothèses!$V$13,Hypothèses!$W$13,IF(U36&lt;=Hypothèses!$V$14,Hypothèses!$W$14,IF(U36&lt;=Hypothèses!$V$15,Hypothèses!$W$15,IF(U36&lt;=Hypothèses!$V$16,Hypothèses!$W$16,IF(U36&lt;=Hypothèses!$V$17,Hypothèses!$W$17,IF(U36&lt;=Hypothèses!$V$18,Hypothèses!$W$18,""))))))))))))</f>
        <v>#DIV/0!</v>
      </c>
      <c r="AP36" s="87" t="e">
        <f t="shared" ca="1" si="117"/>
        <v>#DIV/0!</v>
      </c>
      <c r="AQ36" s="88" t="e">
        <f ca="1">IF(U36&lt;=Hypothèses!$V$7,Hypothèses!$X$7,IF(U36&lt;=Hypothèses!$V$8,Hypothèses!$X$8,IF(U36&lt;=Hypothèses!$V$9,Hypothèses!$X$9,IF(U36&lt;=Hypothèses!$V$10,Hypothèses!$X$10,IF(U36&lt;=Hypothèses!$V$11,Hypothèses!$X$11,IF(U36&lt;=Hypothèses!$V$12,Hypothèses!$X$12,IF(U36&lt;=Hypothèses!$V$13,Hypothèses!$X$13,IF(U36&lt;=Hypothèses!$V$14,Hypothèses!$X$14,IF(U36&lt;=Hypothèses!$V$15,Hypothèses!$X$15,IF(U36&lt;=Hypothèses!$V$16,Hypothèses!$X$16,IF(U36&lt;=Hypothèses!$U$17,Hypothèses!$W$17,IF(U36&lt;=Hypothèses!$U$18,Hypothèses!$W$18,""))))))))))))</f>
        <v>#DIV/0!</v>
      </c>
      <c r="AR36" s="95" t="e">
        <f t="shared" ca="1" si="72"/>
        <v>#DIV/0!</v>
      </c>
      <c r="AS36" s="101" t="e">
        <f t="shared" si="124"/>
        <v>#N/A</v>
      </c>
      <c r="AT36" s="91" t="e">
        <f t="shared" si="23"/>
        <v>#N/A</v>
      </c>
      <c r="AU36" s="30" t="e">
        <f t="shared" si="102"/>
        <v>#N/A</v>
      </c>
      <c r="AV36" s="30" t="e">
        <f t="shared" si="103"/>
        <v>#N/A</v>
      </c>
      <c r="AW36" s="31" t="e">
        <f>IF(OR(Hypothèses!$B$4=17,Hypothèses!$B$4=18,Hypothèses!$B$4=19,Hypothèses!$B$4=20),
IF($D36="Pressio.",
IF(OR($E36=3,$E36=1,$E36=4),AV36,AU36),
IF($D36="Pénétro.",
IF(OR($E36=3,$E36=1,$E36=4),AV36,AU36))),IF($D36="Pressio.",
IF($E36=3,AV36,AU36),
IF($D36="Pénétro.",
IF($E36=4,AV36,AU36))))</f>
        <v>#N/A</v>
      </c>
      <c r="AX36" s="31" t="e">
        <f>(IF(OR(Hypothèses!$B$4=17,Hypothèses!$B$4=18,Hypothèses!$B$4=19,Hypothèses!$B$4=20),
IF($D36="Pressio.",
IF(OR($E36=3,$E36=1,$E36=4),(PI()*AX$12^2)/4*(AT36*$W36*1000)/($H36*$B$5),(PI()*AX$12^2)/4*(AT36*$W36*1000)/($G36*$B$5)),
IF($D36="Pénétro.",
IF(OR($E36=4,$E36=1,$E36=5),(PI()*AX$12^2)/4*(AT36*$W36*1000)/($H36*$B$5),(PI()*AX$12^2)/4*(AT36*$W36*1000)/($G36*$B$5)))),
IF($D36="Pressio.",
IF($E36=3,(PI()*AX$12^2)/4*(AT36*$W36*1000)/($H36*$B$5),(PI()*AX$12^2)/4*(AT36*$W36*1000)/($G36*$B$5)),
IF($D36="Pénétro.",
IF($E36=4,(PI()*AX$12^2)/4*(AT36*$W36*1000)/($H36*$B$5),(PI()*AX$12^2)/4*(AT36*$W36*1000)/($G36*$B$5))))))/10</f>
        <v>#N/A</v>
      </c>
      <c r="AY36" s="102" t="e">
        <f>(VLOOKUP($B$3,'Coeff EC7'!$T$39:$X$59,2,0)*AW36+VLOOKUP($B$3,'Coeff EC7'!$T$65:$X$85,2,0)*Model0.1C!AX36)/1.1</f>
        <v>#N/A</v>
      </c>
      <c r="AZ36" s="102" t="e">
        <f>(VLOOKUP($B$3,'Coeff EC7'!$T$39:$X$59,3,0)*AW36+VLOOKUP($B$3,'Coeff EC7'!$T$65:$X$85,3,0)*Model0.1C!AX36)/0.9</f>
        <v>#N/A</v>
      </c>
      <c r="BA36" s="102" t="e">
        <f t="shared" si="73"/>
        <v>#N/A</v>
      </c>
      <c r="BB36" s="102" t="e">
        <f t="shared" si="74"/>
        <v>#N/A</v>
      </c>
      <c r="BC36" s="414" t="e">
        <f>IF(BC35=0,0,IF(AND(AY36&gt;charge_ELS_quasi,AZ36&gt;Charge_ELS_freq,BA36&gt;charge_ELU,BB36&gt;charge_ELA,$B36&gt;NDC!$H$22-0.1+MIN(3*$BC$12,1.5)),0,1))</f>
        <v>#N/A</v>
      </c>
      <c r="BD36" s="86" t="b">
        <f t="shared" si="26"/>
        <v>0</v>
      </c>
      <c r="BE36" s="86">
        <f t="shared" si="75"/>
        <v>0.5</v>
      </c>
      <c r="BF36" s="86">
        <f t="shared" si="27"/>
        <v>0.5</v>
      </c>
      <c r="BG36" s="30" t="e">
        <f t="shared" ca="1" si="76"/>
        <v>#DIV/0!</v>
      </c>
      <c r="BH36" s="85" t="e">
        <f ca="1">IF(AN36&lt;=Hypothèses!$V$7,Hypothèses!$W$7,IF(AN36&lt;=Hypothèses!$V$8,Hypothèses!$W$8,IF(AN36&lt;=Hypothèses!$V$9,Hypothèses!$W$9,IF(AN36&lt;=Hypothèses!$V$10,Hypothèses!$W$10,IF(AN36&lt;=Hypothèses!$V$11,Hypothèses!$W$11,IF(AN36&lt;=Hypothèses!$V$12,Hypothèses!$W$12,IF(AN36&lt;=Hypothèses!$V$13,Hypothèses!$W$13,IF(AN36&lt;=Hypothèses!$V$14,Hypothèses!$W$14,IF(AN36&lt;=Hypothèses!$V$15,Hypothèses!$W$15,IF(AN36&lt;=Hypothèses!$V$16,Hypothèses!$W$16,IF(AN36&lt;=Hypothèses!$V$17,Hypothèses!$W$17,IF(AN36&lt;=Hypothèses!$V$18,Hypothèses!$W$18,""))))))))))))</f>
        <v>#DIV/0!</v>
      </c>
      <c r="BI36" s="87" t="e">
        <f t="shared" ca="1" si="118"/>
        <v>#DIV/0!</v>
      </c>
      <c r="BJ36" s="88" t="e">
        <f ca="1">IF(AN36&lt;=Hypothèses!$V$7,Hypothèses!$X$7,IF(AN36&lt;=Hypothèses!$V$8,Hypothèses!$X$8,IF(AN36&lt;=Hypothèses!$V$9,Hypothèses!$X$9,IF(AN36&lt;=Hypothèses!$V$10,Hypothèses!$X$10,IF(AN36&lt;=Hypothèses!$V$11,Hypothèses!$X$11,IF(AN36&lt;=Hypothèses!$V$12,Hypothèses!$X$12,IF(AN36&lt;=Hypothèses!$V$13,Hypothèses!$X$13,IF(AN36&lt;=Hypothèses!$V$14,Hypothèses!$X$14,IF(AN36&lt;=Hypothèses!$V$15,Hypothèses!$X$15,IF(AN36&lt;=Hypothèses!$V$16,Hypothèses!$X$16,IF(AN36&lt;=Hypothèses!$U$17,Hypothèses!$W$17,IF(AN36&lt;=Hypothèses!$U$18,Hypothèses!$W$18,""))))))))))))</f>
        <v>#DIV/0!</v>
      </c>
      <c r="BK36" s="95" t="e">
        <f t="shared" ca="1" si="77"/>
        <v>#DIV/0!</v>
      </c>
      <c r="BL36" s="101" t="e">
        <f t="shared" si="125"/>
        <v>#N/A</v>
      </c>
      <c r="BM36" s="91" t="e">
        <f t="shared" si="29"/>
        <v>#N/A</v>
      </c>
      <c r="BN36" s="30" t="e">
        <f t="shared" si="104"/>
        <v>#N/A</v>
      </c>
      <c r="BO36" s="30" t="e">
        <f t="shared" si="105"/>
        <v>#N/A</v>
      </c>
      <c r="BP36" s="31" t="e">
        <f>IF(OR(Hypothèses!$B$4=17,Hypothèses!$B$4=18,Hypothèses!$B$4=19,Hypothèses!$B$4=20),
IF($D36="Pressio.",
IF(OR($E36=3,$E36=1,$E36=4),BO36,BN36),
IF($D36="Pénétro.",
IF(OR($E36=3,$E36=1,$E36=4),BO36,BN36))),IF($D36="Pressio.",
IF($E36=3,BO36,BN36),
IF($D36="Pénétro.",
IF($E36=4,BO36,BN36))))</f>
        <v>#N/A</v>
      </c>
      <c r="BQ36" s="31" t="e">
        <f>(IF(OR(Hypothèses!$B$4=17,Hypothèses!$B$4=18,Hypothèses!$B$4=19,Hypothèses!$B$4=20),
IF($D36="Pressio.",
IF(OR($E36=3,$E36=1,$E36=4),(PI()*BQ$12^2)/4*(BM36*$W36*1000)/($H36*$B$5),(PI()*BQ$12^2)/4*(BM36*$W36*1000)/($G36*$B$5)),
IF($D36="Pénétro.",
IF(OR($E36=4,$E36=1,$E36=5),(PI()*BQ$12^2)/4*(BM36*$W36*1000)/($H36*$B$5),(PI()*BQ$12^2)/4*(BM36*$W36*1000)/($G36*$B$5)))),
IF($D36="Pressio.",
IF($E36=3,(PI()*BQ$12^2)/4*(BM36*$W36*1000)/($H36*$B$5),(PI()*BQ$12^2)/4*(BM36*$W36*1000)/($G36*$B$5)),
IF($D36="Pénétro.",
IF($E36=4,(PI()*BQ$12^2)/4*(BM36*$W36*1000)/($H36*$B$5),(PI()*BQ$12^2)/4*(BM36*$W36*1000)/($G36*$B$5))))))/10</f>
        <v>#N/A</v>
      </c>
      <c r="BR36" s="102" t="e">
        <f>(VLOOKUP($B$3,'Coeff EC7'!$T$39:$X$59,2,0)*BP36+VLOOKUP($B$3,'Coeff EC7'!$T$65:$X$85,2,0)*Model0.1C!BQ36)/1.1</f>
        <v>#N/A</v>
      </c>
      <c r="BS36" s="102" t="e">
        <f>(VLOOKUP($B$3,'Coeff EC7'!$T$39:$X$59,3,0)*BP36+VLOOKUP($B$3,'Coeff EC7'!$T$65:$X$85,3,0)*Model0.1C!BQ36)/0.9</f>
        <v>#N/A</v>
      </c>
      <c r="BT36" s="102" t="e">
        <f t="shared" si="78"/>
        <v>#N/A</v>
      </c>
      <c r="BU36" s="102" t="e">
        <f t="shared" si="79"/>
        <v>#N/A</v>
      </c>
      <c r="BV36" s="414" t="e">
        <f>IF(BV35=0,0,IF(AND(BR36&gt;charge_ELS_quasi,BS36&gt;Charge_ELS_freq,BT36&gt;charge_ELU,BU36&gt;charge_ELA,$B36&gt;NDC!$H$22-0.1+MIN(3*$BV$12,1.5)),0,1))</f>
        <v>#N/A</v>
      </c>
      <c r="BW36" s="86" t="b">
        <f t="shared" si="32"/>
        <v>0</v>
      </c>
      <c r="BX36" s="86">
        <f t="shared" si="33"/>
        <v>0.5</v>
      </c>
      <c r="BY36" s="86">
        <f t="shared" si="34"/>
        <v>0.5</v>
      </c>
      <c r="BZ36" s="30" t="e">
        <f t="shared" ca="1" si="80"/>
        <v>#DIV/0!</v>
      </c>
      <c r="CA36" s="85" t="e">
        <f ca="1">IF(BG36&lt;=Hypothèses!$V$7,Hypothèses!$W$7,IF(BG36&lt;=Hypothèses!$V$8,Hypothèses!$W$8,IF(BG36&lt;=Hypothèses!$V$9,Hypothèses!$W$9,IF(BG36&lt;=Hypothèses!$V$10,Hypothèses!$W$10,IF(BG36&lt;=Hypothèses!$V$11,Hypothèses!$W$11,IF(BG36&lt;=Hypothèses!$V$12,Hypothèses!$W$12,IF(BG36&lt;=Hypothèses!$V$13,Hypothèses!$W$13,IF(BG36&lt;=Hypothèses!$V$14,Hypothèses!$W$14,IF(BG36&lt;=Hypothèses!$V$15,Hypothèses!$W$15,IF(BG36&lt;=Hypothèses!$V$16,Hypothèses!$W$16,IF(BG36&lt;=Hypothèses!$V$17,Hypothèses!$W$17,IF(BG36&lt;=Hypothèses!$V$18,Hypothèses!$W$18,""))))))))))))</f>
        <v>#DIV/0!</v>
      </c>
      <c r="CB36" s="87" t="e">
        <f t="shared" ca="1" si="119"/>
        <v>#DIV/0!</v>
      </c>
      <c r="CC36" s="88" t="e">
        <f ca="1">IF(BG36&lt;=Hypothèses!$V$7,Hypothèses!$X$7,IF(BG36&lt;=Hypothèses!$V$8,Hypothèses!$X$8,IF(BG36&lt;=Hypothèses!$V$9,Hypothèses!$X$9,IF(BG36&lt;=Hypothèses!$V$10,Hypothèses!$X$10,IF(BG36&lt;=Hypothèses!$V$11,Hypothèses!$X$11,IF(BG36&lt;=Hypothèses!$V$12,Hypothèses!$X$12,IF(BG36&lt;=Hypothèses!$V$13,Hypothèses!$X$13,IF(BG36&lt;=Hypothèses!$V$14,Hypothèses!$X$14,IF(BG36&lt;=Hypothèses!$V$15,Hypothèses!$X$15,IF(BG36&lt;=Hypothèses!$V$16,Hypothèses!$X$16,IF(BG36&lt;=Hypothèses!$U$17,Hypothèses!$W$17,IF(BG36&lt;=Hypothèses!$U$18,Hypothèses!$W$18,""))))))))))))</f>
        <v>#DIV/0!</v>
      </c>
      <c r="CD36" s="95" t="e">
        <f t="shared" ca="1" si="81"/>
        <v>#DIV/0!</v>
      </c>
      <c r="CE36" s="101" t="e">
        <f t="shared" si="126"/>
        <v>#N/A</v>
      </c>
      <c r="CF36" s="91" t="e">
        <f t="shared" si="36"/>
        <v>#N/A</v>
      </c>
      <c r="CG36" s="30" t="e">
        <f t="shared" si="106"/>
        <v>#N/A</v>
      </c>
      <c r="CH36" s="30" t="e">
        <f t="shared" si="107"/>
        <v>#N/A</v>
      </c>
      <c r="CI36" s="31" t="e">
        <f>IF(OR(Hypothèses!$B$4=17,Hypothèses!$B$4=18,Hypothèses!$B$4=19,Hypothèses!$B$4=20),
IF($D36="Pressio.",
IF(OR($E36=3,$E36=1,$E36=4),CH36,CG36),
IF($D36="Pénétro.",
IF(OR($E36=3,$E36=1,$E36=4),CH36,CG36))),IF($D36="Pressio.",
IF($E36=3,CH36,CG36),
IF($D36="Pénétro.",
IF($E36=4,CH36,CG36))))</f>
        <v>#N/A</v>
      </c>
      <c r="CJ36" s="31" t="e">
        <f>(IF(OR(Hypothèses!$B$4=17,Hypothèses!$B$4=18,Hypothèses!$B$4=19,Hypothèses!$B$4=20),
IF($D36="Pressio.",
IF(OR($E36=3,$E36=1,$E36=4),(PI()*CJ$12^2)/4*(CF36*$W36*1000)/($H36*$B$5),(PI()*CJ$12^2)/4*(CF36*$W36*1000)/($G36*$B$5)),
IF($D36="Pénétro.",
IF(OR($E36=4,$E36=1,$E36=5),(PI()*CJ$12^2)/4*(CF36*$W36*1000)/($H36*$B$5),(PI()*CJ$12^2)/4*(CF36*$W36*1000)/($G36*$B$5)))),
IF($D36="Pressio.",
IF($E36=3,(PI()*CJ$12^2)/4*(CF36*$W36*1000)/($H36*$B$5),(PI()*CJ$12^2)/4*(CF36*$W36*1000)/($G36*$B$5)),
IF($D36="Pénétro.",
IF($E36=4,(PI()*CJ$12^2)/4*(CF36*$W36*1000)/($H36*$B$5),(PI()*CJ$12^2)/4*(CF36*$W36*1000)/($G36*$B$5))))))/10</f>
        <v>#N/A</v>
      </c>
      <c r="CK36" s="102" t="e">
        <f>(VLOOKUP($B$3,'Coeff EC7'!$T$39:$X$59,2,0)*CI36+VLOOKUP($B$3,'Coeff EC7'!$T$65:$X$85,2,0)*Model0.1C!CJ36)/1.1</f>
        <v>#N/A</v>
      </c>
      <c r="CL36" s="102" t="e">
        <f>(VLOOKUP($B$3,'Coeff EC7'!$T$39:$X$59,3,0)*CI36+VLOOKUP($B$3,'Coeff EC7'!$T$65:$X$85,3,0)*Model0.1C!CJ36)/0.9</f>
        <v>#N/A</v>
      </c>
      <c r="CM36" s="102" t="e">
        <f t="shared" si="82"/>
        <v>#N/A</v>
      </c>
      <c r="CN36" s="102" t="e">
        <f t="shared" si="83"/>
        <v>#N/A</v>
      </c>
      <c r="CO36" s="414" t="e">
        <f>IF(CO35=0,0,IF(AND(CK36&gt;charge_ELS_quasi,CL36&gt;Charge_ELS_freq,CM36&gt;charge_ELU,CN36&gt;charge_ELA,$B36&gt;NDC!$H$22-0.1+MIN(3*$CO$12,1.5)),0,1))</f>
        <v>#N/A</v>
      </c>
      <c r="CP36" s="86" t="b">
        <f t="shared" si="39"/>
        <v>0</v>
      </c>
      <c r="CQ36" s="86">
        <f t="shared" si="40"/>
        <v>0.5</v>
      </c>
      <c r="CR36" s="86">
        <f t="shared" si="41"/>
        <v>0.5</v>
      </c>
      <c r="CS36" s="30" t="e">
        <f t="shared" ca="1" si="84"/>
        <v>#DIV/0!</v>
      </c>
      <c r="CT36" s="85" t="e">
        <f ca="1">IF(BZ36&lt;=Hypothèses!$V$7,Hypothèses!$W$7,IF(BZ36&lt;=Hypothèses!$V$8,Hypothèses!$W$8,IF(BZ36&lt;=Hypothèses!$V$9,Hypothèses!$W$9,IF(BZ36&lt;=Hypothèses!$V$10,Hypothèses!$W$10,IF(BZ36&lt;=Hypothèses!$V$11,Hypothèses!$W$11,IF(BZ36&lt;=Hypothèses!$V$12,Hypothèses!$W$12,IF(BZ36&lt;=Hypothèses!$V$13,Hypothèses!$W$13,IF(BZ36&lt;=Hypothèses!$V$14,Hypothèses!$W$14,IF(BZ36&lt;=Hypothèses!$V$15,Hypothèses!$W$15,IF(BZ36&lt;=Hypothèses!$V$16,Hypothèses!$W$16,IF(BZ36&lt;=Hypothèses!$V$17,Hypothèses!$W$17,IF(BZ36&lt;=Hypothèses!$V$18,Hypothèses!$W$18,""))))))))))))</f>
        <v>#DIV/0!</v>
      </c>
      <c r="CU36" s="87" t="e">
        <f t="shared" ca="1" si="120"/>
        <v>#DIV/0!</v>
      </c>
      <c r="CV36" s="88" t="e">
        <f ca="1">IF(BZ36&lt;=Hypothèses!$V$7,Hypothèses!$X$7,IF(BZ36&lt;=Hypothèses!$V$8,Hypothèses!$X$8,IF(BZ36&lt;=Hypothèses!$V$9,Hypothèses!$X$9,IF(BZ36&lt;=Hypothèses!$V$10,Hypothèses!$X$10,IF(BZ36&lt;=Hypothèses!$V$11,Hypothèses!$X$11,IF(BZ36&lt;=Hypothèses!$V$12,Hypothèses!$X$12,IF(BZ36&lt;=Hypothèses!$V$13,Hypothèses!$X$13,IF(BZ36&lt;=Hypothèses!$V$14,Hypothèses!$X$14,IF(BZ36&lt;=Hypothèses!$V$15,Hypothèses!$X$15,IF(BZ36&lt;=Hypothèses!$V$16,Hypothèses!$X$16,IF(BZ36&lt;=Hypothèses!$U$17,Hypothèses!$W$17,IF(BZ36&lt;=Hypothèses!$U$18,Hypothèses!$W$18,""))))))))))))</f>
        <v>#DIV/0!</v>
      </c>
      <c r="CW36" s="95" t="e">
        <f t="shared" ca="1" si="85"/>
        <v>#DIV/0!</v>
      </c>
      <c r="CX36" s="101" t="e">
        <f t="shared" si="127"/>
        <v>#N/A</v>
      </c>
      <c r="CY36" s="91" t="e">
        <f t="shared" si="43"/>
        <v>#N/A</v>
      </c>
      <c r="CZ36" s="30" t="e">
        <f t="shared" si="108"/>
        <v>#N/A</v>
      </c>
      <c r="DA36" s="30" t="e">
        <f t="shared" si="109"/>
        <v>#N/A</v>
      </c>
      <c r="DB36" s="31" t="e">
        <f>IF(OR(Hypothèses!$B$4=17,Hypothèses!$B$4=18,Hypothèses!$B$4=19,Hypothèses!$B$4=20),
IF($D36="Pressio.",
IF(OR($E36=3,$E36=1,$E36=4),DA36,CZ36),
IF($D36="Pénétro.",
IF(OR($E36=3,$E36=1,$E36=4),DA36,CZ36))),IF($D36="Pressio.",
IF($E36=3,DA36,CZ36),
IF($D36="Pénétro.",
IF($E36=4,DA36,CZ36))))</f>
        <v>#N/A</v>
      </c>
      <c r="DC36" s="31" t="e">
        <f>(IF(OR(Hypothèses!$B$4=17,Hypothèses!$B$4=18,Hypothèses!$B$4=19,Hypothèses!$B$4=20),
IF($D36="Pressio.",
IF(OR($E36=3,$E36=1,$E36=4),(PI()*DC$12^2)/4*(CY36*$W36*1000)/($H36*$B$5),(PI()*DC$12^2)/4*(CY36*$W36*1000)/($G36*$B$5)),
IF($D36="Pénétro.",
IF(OR($E36=4,$E36=1,$E36=5),(PI()*DC$12^2)/4*(CY36*$W36*1000)/($H36*$B$5),(PI()*DC$12^2)/4*(CY36*$W36*1000)/($G36*$B$5)))),
IF($D36="Pressio.",
IF($E36=3,(PI()*DC$12^2)/4*(CY36*$W36*1000)/($H36*$B$5),(PI()*DC$12^2)/4*(CY36*$W36*1000)/($G36*$B$5)),
IF($D36="Pénétro.",
IF($E36=4,(PI()*DC$12^2)/4*(CY36*$W36*1000)/($H36*$B$5),(PI()*DC$12^2)/4*(CY36*$W36*1000)/($G36*$B$5))))))/10</f>
        <v>#N/A</v>
      </c>
      <c r="DD36" s="102" t="e">
        <f>(VLOOKUP($B$3,'Coeff EC7'!$T$39:$X$59,2,0)*DB36+VLOOKUP($B$3,'Coeff EC7'!$T$65:$X$85,2,0)*Model0.1C!DC36)/1.1</f>
        <v>#N/A</v>
      </c>
      <c r="DE36" s="102" t="e">
        <f>(VLOOKUP($B$3,'Coeff EC7'!$T$39:$X$59,3,0)*DB36+VLOOKUP($B$3,'Coeff EC7'!$T$65:$X$85,3,0)*Model0.1C!DC36)/0.9</f>
        <v>#N/A</v>
      </c>
      <c r="DF36" s="102" t="e">
        <f t="shared" si="86"/>
        <v>#N/A</v>
      </c>
      <c r="DG36" s="102" t="e">
        <f t="shared" si="87"/>
        <v>#N/A</v>
      </c>
      <c r="DH36" s="414" t="e">
        <f>IF(DH35=0,0,IF(AND(DD36&gt;charge_ELS_quasi,DE36&gt;Charge_ELS_freq,DF36&gt;charge_ELU,DG36&gt;charge_ELA,$B36&gt;NDC!$H$22-0.1+MIN(3*$DH$12,1.5)),0,1))</f>
        <v>#N/A</v>
      </c>
      <c r="DI36" s="86" t="b">
        <f t="shared" si="46"/>
        <v>0</v>
      </c>
      <c r="DJ36" s="86">
        <f t="shared" si="47"/>
        <v>0.5</v>
      </c>
      <c r="DK36" s="86">
        <f t="shared" si="48"/>
        <v>0.5</v>
      </c>
      <c r="DL36" s="30" t="e">
        <f t="shared" ca="1" si="88"/>
        <v>#DIV/0!</v>
      </c>
      <c r="DM36" s="85" t="e">
        <f ca="1">IF(CS36&lt;=Hypothèses!$V$7,Hypothèses!$W$7,IF(CS36&lt;=Hypothèses!$V$8,Hypothèses!$W$8,IF(CS36&lt;=Hypothèses!$V$9,Hypothèses!$W$9,IF(CS36&lt;=Hypothèses!$V$10,Hypothèses!$W$10,IF(CS36&lt;=Hypothèses!$V$11,Hypothèses!$W$11,IF(CS36&lt;=Hypothèses!$V$12,Hypothèses!$W$12,IF(CS36&lt;=Hypothèses!$V$13,Hypothèses!$W$13,IF(CS36&lt;=Hypothèses!$V$14,Hypothèses!$W$14,IF(CS36&lt;=Hypothèses!$V$15,Hypothèses!$W$15,IF(CS36&lt;=Hypothèses!$V$16,Hypothèses!$W$16,IF(CS36&lt;=Hypothèses!$V$17,Hypothèses!$W$17,IF(CS36&lt;=Hypothèses!$V$18,Hypothèses!$W$18,""))))))))))))</f>
        <v>#DIV/0!</v>
      </c>
      <c r="DN36" s="87" t="e">
        <f t="shared" ca="1" si="121"/>
        <v>#DIV/0!</v>
      </c>
      <c r="DO36" s="88" t="e">
        <f ca="1">IF(CS36&lt;=Hypothèses!$V$7,Hypothèses!$X$7,IF(CS36&lt;=Hypothèses!$V$8,Hypothèses!$X$8,IF(CS36&lt;=Hypothèses!$V$9,Hypothèses!$X$9,IF(CS36&lt;=Hypothèses!$V$10,Hypothèses!$X$10,IF(CS36&lt;=Hypothèses!$V$11,Hypothèses!$X$11,IF(CS36&lt;=Hypothèses!$V$12,Hypothèses!$X$12,IF(CS36&lt;=Hypothèses!$V$13,Hypothèses!$X$13,IF(CS36&lt;=Hypothèses!$V$14,Hypothèses!$X$14,IF(CS36&lt;=Hypothèses!$V$15,Hypothèses!$X$15,IF(CS36&lt;=Hypothèses!$V$16,Hypothèses!$X$16,IF(CS36&lt;=Hypothèses!$U$17,Hypothèses!$W$17,IF(CS36&lt;=Hypothèses!$U$18,Hypothèses!$W$18,""))))))))))))</f>
        <v>#DIV/0!</v>
      </c>
      <c r="DP36" s="95" t="e">
        <f t="shared" ca="1" si="89"/>
        <v>#DIV/0!</v>
      </c>
      <c r="DQ36" s="101" t="e">
        <f t="shared" si="128"/>
        <v>#N/A</v>
      </c>
      <c r="DR36" s="91" t="e">
        <f t="shared" si="50"/>
        <v>#N/A</v>
      </c>
      <c r="DS36" s="30" t="e">
        <f t="shared" si="110"/>
        <v>#N/A</v>
      </c>
      <c r="DT36" s="30" t="e">
        <f t="shared" si="111"/>
        <v>#N/A</v>
      </c>
      <c r="DU36" s="31" t="e">
        <f>IF(OR(Hypothèses!$B$4=17,Hypothèses!$B$4=18,Hypothèses!$B$4=19,Hypothèses!$B$4=20),
IF($D36="Pressio.",
IF(OR($E36=3,$E36=1,$E36=4),DT36,DS36),
IF($D36="Pénétro.",
IF(OR($E36=3,$E36=1,$E36=4),DT36,DS36))),IF($D36="Pressio.",
IF($E36=3,DT36,DS36),
IF($D36="Pénétro.",
IF($E36=4,DT36,DS36))))</f>
        <v>#N/A</v>
      </c>
      <c r="DV36" s="31" t="e">
        <f>(IF(OR(Hypothèses!$B$4=17,Hypothèses!$B$4=18,Hypothèses!$B$4=19,Hypothèses!$B$4=20),
IF($D36="Pressio.",
IF(OR($E36=3,$E36=1,$E36=4),(PI()*DV$12^2)/4*(DR36*$W36*1000)/($H36*$B$5),(PI()*DV$12^2)/4*(DR36*$W36*1000)/($G36*$B$5)),
IF($D36="Pénétro.",
IF(OR($E36=4,$E36=1,$E36=5),(PI()*DV$12^2)/4*(DR36*$W36*1000)/($H36*$B$5),(PI()*DV$12^2)/4*(DR36*$W36*1000)/($G36*$B$5)))),
IF($D36="Pressio.",
IF($E36=3,(PI()*DV$12^2)/4*(DR36*$W36*1000)/($H36*$B$5),(PI()*DV$12^2)/4*(DR36*$W36*1000)/($G36*$B$5)),
IF($D36="Pénétro.",
IF($E36=4,(PI()*DV$12^2)/4*(DR36*$W36*1000)/($H36*$B$5),(PI()*DV$12^2)/4*(DR36*$W36*1000)/($G36*$B$5))))))/10</f>
        <v>#N/A</v>
      </c>
      <c r="DW36" s="102" t="e">
        <f>(VLOOKUP($B$3,'Coeff EC7'!$T$39:$X$59,2,0)*DU36+VLOOKUP($B$3,'Coeff EC7'!$T$65:$X$85,2,0)*Model0.1C!DV36)/1.1</f>
        <v>#N/A</v>
      </c>
      <c r="DX36" s="102" t="e">
        <f>(VLOOKUP($B$3,'Coeff EC7'!$T$39:$X$59,3,0)*DU36+VLOOKUP($B$3,'Coeff EC7'!$T$65:$X$85,3,0)*Model0.1C!DV36)/0.9</f>
        <v>#N/A</v>
      </c>
      <c r="DY36" s="102" t="e">
        <f t="shared" si="90"/>
        <v>#N/A</v>
      </c>
      <c r="DZ36" s="102" t="e">
        <f t="shared" si="91"/>
        <v>#N/A</v>
      </c>
      <c r="EA36" s="414" t="e">
        <f>IF(EA35=0,0,IF(AND(DW36&gt;charge_ELS_quasi,DX36&gt;Charge_ELS_freq,DY36&gt;charge_ELU,DZ36&gt;charge_ELA,$B36&gt;NDC!$H$22-0.1+MIN(3*$EA$12,1.5)),0,1))</f>
        <v>#N/A</v>
      </c>
      <c r="EB36" s="86" t="b">
        <f t="shared" si="53"/>
        <v>0</v>
      </c>
      <c r="EC36" s="418">
        <f t="shared" si="54"/>
        <v>0.51</v>
      </c>
      <c r="ED36" s="86">
        <f t="shared" si="55"/>
        <v>0.51</v>
      </c>
      <c r="EE36" s="30" t="e">
        <f t="shared" ca="1" si="92"/>
        <v>#DIV/0!</v>
      </c>
      <c r="EF36" s="85" t="e">
        <f ca="1">IF(DL36&lt;=Hypothèses!$V$7,Hypothèses!$W$7,IF(DL36&lt;=Hypothèses!$V$8,Hypothèses!$W$8,IF(DL36&lt;=Hypothèses!$V$9,Hypothèses!$W$9,IF(DL36&lt;=Hypothèses!$V$10,Hypothèses!$W$10,IF(DL36&lt;=Hypothèses!$V$11,Hypothèses!$W$11,IF(DL36&lt;=Hypothèses!$V$12,Hypothèses!$W$12,IF(DL36&lt;=Hypothèses!$V$13,Hypothèses!$W$13,IF(DL36&lt;=Hypothèses!$V$14,Hypothèses!$W$14,IF(DL36&lt;=Hypothèses!$V$15,Hypothèses!$W$15,IF(DL36&lt;=Hypothèses!$V$16,Hypothèses!$W$16,IF(DL36&lt;=Hypothèses!$V$17,Hypothèses!$W$17,IF(DL36&lt;=Hypothèses!$V$18,Hypothèses!$W$18,""))))))))))))</f>
        <v>#DIV/0!</v>
      </c>
      <c r="EG36" s="87" t="e">
        <f t="shared" ca="1" si="122"/>
        <v>#DIV/0!</v>
      </c>
      <c r="EH36" s="88" t="e">
        <f ca="1">IF(DL36&lt;=Hypothèses!$V$7,Hypothèses!$X$7,IF(DL36&lt;=Hypothèses!$V$8,Hypothèses!$X$8,IF(DL36&lt;=Hypothèses!$V$9,Hypothèses!$X$9,IF(DL36&lt;=Hypothèses!$V$10,Hypothèses!$X$10,IF(DL36&lt;=Hypothèses!$V$11,Hypothèses!$X$11,IF(DL36&lt;=Hypothèses!$V$12,Hypothèses!$X$12,IF(DL36&lt;=Hypothèses!$V$13,Hypothèses!$X$13,IF(DL36&lt;=Hypothèses!$V$14,Hypothèses!$X$14,IF(DL36&lt;=Hypothèses!$V$15,Hypothèses!$X$15,IF(DL36&lt;=Hypothèses!$V$16,Hypothèses!$X$16,IF(DL36&lt;=Hypothèses!$U$17,Hypothèses!$W$17,IF(DL36&lt;=Hypothèses!$U$18,Hypothèses!$W$18,""))))))))))))</f>
        <v>#DIV/0!</v>
      </c>
      <c r="EI36" s="95" t="e">
        <f t="shared" ca="1" si="93"/>
        <v>#DIV/0!</v>
      </c>
      <c r="EJ36" s="101" t="e">
        <f t="shared" si="129"/>
        <v>#N/A</v>
      </c>
      <c r="EK36" s="91" t="e">
        <f t="shared" si="57"/>
        <v>#N/A</v>
      </c>
      <c r="EL36" s="30" t="e">
        <f t="shared" si="112"/>
        <v>#N/A</v>
      </c>
      <c r="EM36" s="30" t="e">
        <f t="shared" si="113"/>
        <v>#N/A</v>
      </c>
      <c r="EN36" s="31" t="e">
        <f>IF(OR(Hypothèses!$B$4=17,Hypothèses!$B$4=18,Hypothèses!$B$4=19,Hypothèses!$B$4=20),
IF($D36="Pressio.",
IF(OR($E36=3,$E36=1,$E36=4),EM36,EL36),
IF($D36="Pénétro.",
IF(OR($E36=3,$E36=1,$E36=4),EM36,EL36))),IF($D36="Pressio.",
IF($E36=3,EM36,EL36),
IF($D36="Pénétro.",
IF($E36=4,EM36,EL36))))</f>
        <v>#N/A</v>
      </c>
      <c r="EO36" s="31" t="e">
        <f>(IF(OR(Hypothèses!$B$4=17,Hypothèses!$B$4=18,Hypothèses!$B$4=19,Hypothèses!$B$4=20),
IF($D36="Pressio.",
IF(OR($E36=3,$E36=1,$E36=4),(PI()*EO$12^2)/4*(EK36*$W36*1000)/($H36*$B$5),(PI()*EO$12^2)/4*(EK36*$W36*1000)/($G36*$B$5)),
IF($D36="Pénétro.",
IF(OR($E36=4,$E36=1,$E36=5),(PI()*EO$12^2)/4*(EK36*$W36*1000)/($H36*$B$5),(PI()*EO$12^2)/4*(EK36*$W36*1000)/($G36*$B$5)))),
IF($D36="Pressio.",
IF($E36=3,(PI()*EO$12^2)/4*(EK36*$W36*1000)/($H36*$B$5),(PI()*EO$12^2)/4*(EK36*$W36*1000)/($G36*$B$5)),
IF($D36="Pénétro.",
IF($E36=4,(PI()*EO$12^2)/4*(EK36*$W36*1000)/($H36*$B$5),(PI()*EO$12^2)/4*(EK36*$W36*1000)/($G36*$B$5))))))/10</f>
        <v>#N/A</v>
      </c>
      <c r="EP36" s="102" t="e">
        <f>(VLOOKUP($B$3,'Coeff EC7'!$T$39:$X$59,2,0)*EN36+VLOOKUP($B$3,'Coeff EC7'!$T$65:$X$85,2,0)*Model0.1C!EO36)/1.1</f>
        <v>#N/A</v>
      </c>
      <c r="EQ36" s="102" t="e">
        <f>(VLOOKUP($B$3,'Coeff EC7'!$T$39:$X$59,3,0)*EN36+VLOOKUP($B$3,'Coeff EC7'!$T$65:$X$85,3,0)*Model0.1C!EO36)/0.9</f>
        <v>#N/A</v>
      </c>
      <c r="ER36" s="102" t="e">
        <f t="shared" si="94"/>
        <v>#N/A</v>
      </c>
      <c r="ES36" s="102" t="e">
        <f t="shared" si="95"/>
        <v>#N/A</v>
      </c>
      <c r="ET36" s="414" t="e">
        <f>IF(ET35=0,0,IF(AND(EP36&gt;charge_ELS_quasi,EQ36&gt;Charge_ELS_freq,ER36&gt;charge_ELU,ES36&gt;charge_ELA,$B36&gt;NDC!$H$22-0.1+MIN(3*$ET$12,1.5)),0,1))</f>
        <v>#N/A</v>
      </c>
      <c r="EU36" s="86" t="b">
        <f t="shared" si="60"/>
        <v>0</v>
      </c>
      <c r="EV36" s="86">
        <f t="shared" si="61"/>
        <v>0.61</v>
      </c>
      <c r="EW36" s="86">
        <f t="shared" si="62"/>
        <v>0.61</v>
      </c>
      <c r="EX36" s="30" t="e">
        <f t="shared" ca="1" si="96"/>
        <v>#DIV/0!</v>
      </c>
      <c r="EY36" s="85" t="e">
        <f ca="1">IF(EE36&lt;=Hypothèses!$V$7,Hypothèses!$W$7,IF(EE36&lt;=Hypothèses!$V$8,Hypothèses!$W$8,IF(EE36&lt;=Hypothèses!$V$9,Hypothèses!$W$9,IF(EE36&lt;=Hypothèses!$V$10,Hypothèses!$W$10,IF(EE36&lt;=Hypothèses!$V$11,Hypothèses!$W$11,IF(EE36&lt;=Hypothèses!$V$12,Hypothèses!$W$12,IF(EE36&lt;=Hypothèses!$V$13,Hypothèses!$W$13,IF(EE36&lt;=Hypothèses!$V$14,Hypothèses!$W$14,IF(EE36&lt;=Hypothèses!$V$15,Hypothèses!$W$15,IF(EE36&lt;=Hypothèses!$V$16,Hypothèses!$W$16,IF(EE36&lt;=Hypothèses!$V$17,Hypothèses!$W$17,IF(EE36&lt;=Hypothèses!$V$18,Hypothèses!$W$18,""))))))))))))</f>
        <v>#DIV/0!</v>
      </c>
      <c r="EZ36" s="87" t="e">
        <f t="shared" ca="1" si="123"/>
        <v>#DIV/0!</v>
      </c>
      <c r="FA36" s="88" t="e">
        <f ca="1">IF(EE36&lt;=Hypothèses!$V$7,Hypothèses!$X$7,IF(EE36&lt;=Hypothèses!$V$8,Hypothèses!$X$8,IF(EE36&lt;=Hypothèses!$V$9,Hypothèses!$X$9,IF(EE36&lt;=Hypothèses!$V$10,Hypothèses!$X$10,IF(EE36&lt;=Hypothèses!$V$11,Hypothèses!$X$11,IF(EE36&lt;=Hypothèses!$V$12,Hypothèses!$X$12,IF(EE36&lt;=Hypothèses!$V$13,Hypothèses!$X$13,IF(EE36&lt;=Hypothèses!$V$14,Hypothèses!$X$14,IF(EE36&lt;=Hypothèses!$V$15,Hypothèses!$X$15,IF(EE36&lt;=Hypothèses!$V$16,Hypothèses!$X$16,IF(EE36&lt;=Hypothèses!$U$17,Hypothèses!$W$17,IF(EE36&lt;=Hypothèses!$U$18,Hypothèses!$W$18,""))))))))))))</f>
        <v>#DIV/0!</v>
      </c>
      <c r="FB36" s="95" t="e">
        <f t="shared" ca="1" si="97"/>
        <v>#DIV/0!</v>
      </c>
      <c r="FC36" s="101" t="e">
        <f t="shared" si="130"/>
        <v>#N/A</v>
      </c>
      <c r="FD36" s="91" t="e">
        <f t="shared" si="64"/>
        <v>#N/A</v>
      </c>
      <c r="FE36" s="30" t="e">
        <f t="shared" si="114"/>
        <v>#N/A</v>
      </c>
      <c r="FF36" s="30" t="e">
        <f t="shared" si="115"/>
        <v>#N/A</v>
      </c>
      <c r="FG36" s="31" t="e">
        <f>IF(OR(Hypothèses!$B$4=17,Hypothèses!$B$4=18,Hypothèses!$B$4=19,Hypothèses!$B$4=20),
IF($D36="Pressio.",
IF(OR($E36=3,$E36=1,$E36=4),FF36,FE36),
IF($D36="Pénétro.",
IF(OR($E36=3,$E36=1,$E36=4),FF36,FE36))),IF($D36="Pressio.",
IF($E36=3,FF36,FE36),
IF($D36="Pénétro.",
IF($E36=4,FF36,FE36))))</f>
        <v>#N/A</v>
      </c>
      <c r="FH36" s="31" t="e">
        <f>(IF(OR(Hypothèses!$B$4=17,Hypothèses!$B$4=18,Hypothèses!$B$4=19,Hypothèses!$B$4=20),
IF($D36="Pressio.",
IF(OR($E36=3,$E36=1,$E36=4),(PI()*FH$12^2)/4*(FD36*$W36*1000)/($H36*$B$5),(PI()*FH$12^2)/4*(FD36*$W36*1000)/($G36*$B$5)),
IF($D36="Pénétro.",
IF(OR($E36=4,$E36=1,$E36=5),(PI()*FH$12^2)/4*(FD36*$W36*1000)/($H36*$B$5),(PI()*FH$12^2)/4*(FD36*$W36*1000)/($G36*$B$5)))),
IF($D36="Pressio.",
IF($E36=3,(PI()*FH$12^2)/4*(FD36*$W36*1000)/($H36*$B$5),(PI()*FH$12^2)/4*(FD36*$W36*1000)/($G36*$B$5)),
IF($D36="Pénétro.",
IF($E36=4,(PI()*FH$12^2)/4*(FD36*$W36*1000)/($H36*$B$5),(PI()*FH$12^2)/4*(FD36*$W36*1000)/($G36*$B$5))))))/10</f>
        <v>#N/A</v>
      </c>
      <c r="FI36" s="102" t="e">
        <f>(VLOOKUP($B$3,'Coeff EC7'!$T$39:$X$59,2,0)*FG36+VLOOKUP($B$3,'Coeff EC7'!$T$65:$X$85,2,0)*Model0.1C!FH36)/1.1</f>
        <v>#N/A</v>
      </c>
      <c r="FJ36" s="102" t="e">
        <f>(VLOOKUP($B$3,'Coeff EC7'!$T$39:$X$59,3,0)*FG36+VLOOKUP($B$3,'Coeff EC7'!$T$65:$X$85,3,0)*Model0.1C!FH36)/0.9</f>
        <v>#N/A</v>
      </c>
      <c r="FK36" s="102" t="e">
        <f t="shared" si="98"/>
        <v>#N/A</v>
      </c>
      <c r="FL36" s="102" t="e">
        <f t="shared" si="99"/>
        <v>#N/A</v>
      </c>
      <c r="FM36" s="414" t="e">
        <f>IF(FM35=0,0,IF(AND(FI36&gt;charge_ELS_quasi,FJ36&gt;Charge_ELS_freq,FK36&gt;charge_ELU,FL36&gt;charge_ELA,$B36&gt;NDC!$H$22-0.1+MIN(3*$FM$12,1.5)),0,1))</f>
        <v>#N/A</v>
      </c>
    </row>
    <row r="37" spans="1:169">
      <c r="A37" s="96">
        <f t="shared" si="67"/>
        <v>97.600000000000136</v>
      </c>
      <c r="B37" s="97">
        <v>2.4</v>
      </c>
      <c r="C37" s="81">
        <f>IF(B37&lt;=Hypothèses!$C$7,Hypothèses!$A$7,IF(B37&lt;=Hypothèses!$C$8,Hypothèses!$A$8,IF(B37&lt;=Hypothèses!$C$9,Hypothèses!$A$9,IF(B37&lt;=Hypothèses!$C$10,Hypothèses!$A$10,IF(B37&lt;=Hypothèses!$C$11,Hypothèses!$A$11,IF(B37&lt;=Hypothèses!$C$12,Hypothèses!$A$12,IF(B37&lt;=Hypothèses!$C$13,Hypothèses!$A$13,IF(B37&lt;=Hypothèses!$C$14,Hypothèses!$A$14,IF(B37&lt;=Hypothèses!$C$15,Hypothèses!$A$15,IF(B37&lt;=Hypothèses!$C$16,Hypothèses!$A$16,IF(B37&lt;=Hypothèses!$C$17,Hypothèses!$A$17,IF(B37&lt;=Hypothèses!$C$18,Hypothèses!$A$18,C36))))))))))))</f>
        <v>11</v>
      </c>
      <c r="D37" s="82" t="str">
        <f>IF(B37&lt;=Hypothèses!$C$7,Hypothèses!$R$7,IF(B37&lt;=Hypothèses!$C$8,Hypothèses!$R$8,IF(B37&lt;=Hypothèses!$C$9,Hypothèses!$R$9,IF(B37&lt;=Hypothèses!$C$10,Hypothèses!$R$10,IF(B37&lt;=Hypothèses!$C$11,Hypothèses!$R$11,IF(B37&lt;=Hypothèses!$C$12,Hypothèses!$R$12,IF(B37&lt;=Hypothèses!$C$13,Hypothèses!$R$13,IF(B37&lt;=Hypothèses!$C$14,Hypothèses!$R$14,IF(B37&lt;=Hypothèses!$C$15,Hypothèses!$R$15,IF(B37&lt;=Hypothèses!$C$16,Hypothèses!$R$16,IF(B37&lt;=Hypothèses!$C$17,Hypothèses!$R$17,IF(B37&lt;=Hypothèses!$C$18,Hypothèses!$R$18,D36))))))))))))</f>
        <v>Pressio.</v>
      </c>
      <c r="E37" s="82" t="e">
        <f>IF(B37&lt;=Hypothèses!$C$7,Hypothèses!$G$7,IF(B37&lt;=Hypothèses!$C$8,Hypothèses!$G$8,IF(B37&lt;=Hypothèses!$C$9,Hypothèses!$G$9,IF(B37&lt;=Hypothèses!$C$10,Hypothèses!$G$10,IF(B37&lt;=Hypothèses!$C$11,Hypothèses!$G$11,IF(B37&lt;=Hypothèses!$C$12,Hypothèses!$G$12,IF(B37&lt;=Hypothèses!$C$13,Hypothèses!$G$13,IF(B37&lt;=Hypothèses!$C$14,Hypothèses!$G$14,IF(B37&lt;=Hypothèses!$C$15,Hypothèses!$G$15,IF(B37&lt;=Hypothèses!$C$16,Hypothèses!$G$16,IF(B37&lt;=Hypothèses!$C$17,Hypothèses!$G$17,IF(B37&lt;=Hypothèses!$C$18,Hypothèses!$G$18,E36))))))))))))</f>
        <v>#N/A</v>
      </c>
      <c r="F37" s="82" t="str">
        <f>IF(B37&lt;=Hypothèses!$C$7,Hypothèses!$F$7,IF(B37&lt;=Hypothèses!$C$8,Hypothèses!$F$8,IF(B37&lt;=Hypothèses!$C$9,Hypothèses!$F$9,IF(B37&lt;=Hypothèses!$C$10,Hypothèses!$F$10,IF(B37&lt;=Hypothèses!$C$11,Hypothèses!$F$11,IF(B37&lt;=Hypothèses!$C$12,Hypothèses!$F$12,IF(B37&lt;=Hypothèses!$C$13,Hypothèses!$F$13,IF(B37&lt;=Hypothèses!$C$14,Hypothèses!$F$14,IF(B37&lt;=Hypothèses!$C$15,Hypothèses!$F$15,IF(B37&lt;=Hypothèses!$C$16,Hypothèses!$F$16,IF(B37&lt;=Hypothèses!$C$17,Hypothèses!$F$17,IF(B37&lt;=Hypothèses!$C$18,Hypothèses!$F$18,F36))))))))))))</f>
        <v/>
      </c>
      <c r="G37" s="91">
        <f t="array" ref="G37">INDEX('Coeff EC7'!$U$7:$X$27,
MATCH(Model0.1C!$B$3,'Coeff EC7'!$T$7:$T$27,0),
MATCH(Model0.1C!$D37&amp;Model0.1C!$B$4,
'Coeff EC7'!$U$6:$X$6&amp;
'Coeff EC7'!$U$5:$X$5,0))</f>
        <v>1.1499999999999999</v>
      </c>
      <c r="H37" s="91">
        <f t="array" ref="H37">INDEX('Coeff EC7'!$Y$7:$AB$27,
MATCH(Model0.1C!$B$3,'Coeff EC7'!$T$7:$T$27,0),
MATCH(Model0.1C!$D37&amp;Model0.1C!$B$4,
'Coeff EC7'!$Y$6:$AB$6&amp;
'Coeff EC7'!$Y$5:$AB$5,0))</f>
        <v>1.4</v>
      </c>
      <c r="I37" s="83" t="e">
        <f>IF(B37&lt;=Hypothèses!$C$7,Hypothèses!$P$7,IF(B37&lt;=Hypothèses!$C$8,Hypothèses!$P$8,IF(B37&lt;=Hypothèses!$C$9,Hypothèses!$P$9,IF(B37&lt;=Hypothèses!$C$10,Hypothèses!$P$10,IF(B37&lt;=Hypothèses!$C$11,Hypothèses!$P$11,IF(B37&lt;=Hypothèses!$C$12,Hypothèses!$P$12,IF(B37&lt;=Hypothèses!$C$13,Hypothèses!$P$13,IF(B37&lt;=Hypothèses!$C$14,Hypothèses!$P$14,IF(B37&lt;=Hypothèses!$C$15,Hypothèses!$P$15,IF(B37&lt;=Hypothèses!$C$16,Hypothèses!$P$16,IF(B37&lt;=Hypothèses!$C$17,Hypothèses!$P$17,IF(B37&lt;=Hypothèses!$C$18,Hypothèses!$P$18,I36))))))))))))</f>
        <v>#N/A</v>
      </c>
      <c r="J37" s="91" t="e">
        <f t="array" ref="J37">INDEX('Coeff EC7'!$D$33:$Q$33,1,MATCH(D37&amp;E37,'Coeff EC7'!$D$31:$Q$31&amp;'Coeff EC7'!$D$32:$Q$32,0))</f>
        <v>#N/A</v>
      </c>
      <c r="K37" s="91" t="e">
        <f t="array" ref="K37">INDEX('Coeff EC7'!$D$34:$Q$34,1,MATCH(D37&amp;E37,'Coeff EC7'!$D$31:$Q$31&amp;'Coeff EC7'!$D$32:$Q$32,0))</f>
        <v>#N/A</v>
      </c>
      <c r="L37" s="91" t="e">
        <f t="array" ref="L37">INDEX('Coeff EC7'!$D$35:$Q$35,1,MATCH(D37&amp;E37,'Coeff EC7'!$D$31:$Q$31&amp;'Coeff EC7'!$D$32:$Q$32,0))</f>
        <v>#N/A</v>
      </c>
      <c r="M37" s="98" t="e">
        <f t="shared" si="8"/>
        <v>#N/A</v>
      </c>
      <c r="N37" s="99" t="e">
        <f t="array" ref="N37">INDEX('Coeff EC7'!$D$7:$Q$27,MATCH($B$3,'Coeff EC7'!$C$7:$C$27,0),MATCH(D37&amp;E37,'Coeff EC7'!$D$5:$Q$5&amp;'Coeff EC7'!$D$6:$Q$6,0))</f>
        <v>#N/A</v>
      </c>
      <c r="O37" s="99" t="e">
        <f t="array" ref="O37">INDEX('Coeff EC7'!$D$41:$Q$61,MATCH($B$3,'Coeff EC7'!$C$41:$C$61,0),MATCH(D37&amp;E37,'Coeff EC7'!$D$39:$Q$39&amp;'Coeff EC7'!$D$40:$Q$40,0))</f>
        <v>#N/A</v>
      </c>
      <c r="P37" s="30" t="e">
        <f t="shared" si="68"/>
        <v>#N/A</v>
      </c>
      <c r="Q37" s="100" t="e">
        <f t="shared" si="10"/>
        <v>#N/A</v>
      </c>
      <c r="R37" s="86" t="b">
        <f t="shared" si="11"/>
        <v>0</v>
      </c>
      <c r="S37" s="86">
        <f t="shared" si="9"/>
        <v>0.5</v>
      </c>
      <c r="T37" s="86">
        <f t="shared" si="12"/>
        <v>0.5</v>
      </c>
      <c r="U37" s="30" t="e">
        <f t="shared" ca="1" si="69"/>
        <v>#DIV/0!</v>
      </c>
      <c r="V37" s="85" t="str">
        <f>IF(B37&lt;=Hypothèses!$V$7,Hypothèses!$W$7,IF(B37&lt;=Hypothèses!$V$8,Hypothèses!$W$8,IF(B37&lt;=Hypothèses!$V$9,Hypothèses!$W$9,IF(B37&lt;=Hypothèses!$V$10,Hypothèses!$W$10,IF(B37&lt;=Hypothèses!$V$11,Hypothèses!$W$11,IF(B37&lt;=Hypothèses!$V$12,Hypothèses!$W$12,IF(B37&lt;=Hypothèses!$V$13,Hypothèses!$W$13,IF(B37&lt;=Hypothèses!$V$14,Hypothèses!$W$14,IF(B37&lt;=Hypothèses!$V$15,Hypothèses!$W$15,IF(B37&lt;=Hypothèses!$V$16,Hypothèses!$W$16,IF(B37&lt;=Hypothèses!$V$17,Hypothèses!$W$17,IF(B37&lt;=Hypothèses!$V$18,Hypothèses!$W$18,""))))))))))))</f>
        <v/>
      </c>
      <c r="W37" s="87" t="e">
        <f t="shared" ca="1" si="116"/>
        <v>#DIV/0!</v>
      </c>
      <c r="X37" s="88" t="str">
        <f>IF(B37&lt;=Hypothèses!$V$7,Hypothèses!$X$7,IF(B37&lt;=Hypothèses!$V$8,Hypothèses!$X$8,IF(B37&lt;=Hypothèses!$V$9,Hypothèses!$X$9,IF(B37&lt;=Hypothèses!$V$10,Hypothèses!$X$10,IF(B37&lt;=Hypothèses!$V$11,Hypothèses!$X$11,IF(B37&lt;=Hypothèses!$V$12,Hypothèses!$X$12,IF(B37&lt;=Hypothèses!$V$13,Hypothèses!$X$13,IF(B37&lt;=Hypothèses!$V$14,Hypothèses!$X$14,IF(B37&lt;=Hypothèses!$V$15,Hypothèses!$X$15,IF(B37&lt;=Hypothèses!$V$16,Hypothèses!$X$16,IF(B37&lt;=Hypothèses!$U$17,Hypothèses!$W$17,IF(B37&lt;=Hypothèses!$U$18,Hypothèses!$W$18,""))))))))))))</f>
        <v/>
      </c>
      <c r="Y37" s="95" t="e">
        <f t="shared" ca="1" si="13"/>
        <v>#DIV/0!</v>
      </c>
      <c r="Z37" s="101" t="e">
        <f t="shared" si="14"/>
        <v>#N/A</v>
      </c>
      <c r="AA37" s="91" t="e">
        <f t="shared" si="15"/>
        <v>#N/A</v>
      </c>
      <c r="AB37" s="30" t="e">
        <f t="shared" si="100"/>
        <v>#N/A</v>
      </c>
      <c r="AC37" s="30" t="e">
        <f t="shared" si="101"/>
        <v>#N/A</v>
      </c>
      <c r="AD37" s="31" t="e">
        <f>IF(OR(Hypothèses!$B$4=17,Hypothèses!$B$4=18,Hypothèses!$B$4=19,Hypothèses!$B$4=20),
IF($D37="Pressio.",
IF(OR($E37=3,$E37=1,$E37=4),AC37,AB37),
IF($D37="Pénétro.",
IF(OR($E37=3,$E37=1,$E37=4),AC37,AB37))),IF($D37="Pressio.",
IF($E37=3,AC37,AB37),
IF($D37="Pénétro.",
IF($E37=4,AC37,AB37))))</f>
        <v>#N/A</v>
      </c>
      <c r="AE37" s="31" t="e">
        <f>(IF(OR(Hypothèses!$B$4=17,Hypothèses!$B$4=18,Hypothèses!$B$4=19,Hypothèses!$B$4=20),
IF($D37="Pressio.",
IF(OR($E37=3,$E37=1,$E37=4),(PI()*AE$12^2)/4*(AA37*$W37*1000)/($H37*$B$5),(PI()*AE$12^2)/4*(AA37*$W37*1000)/($G37*$B$5)),
IF($D37="Pénétro.",
IF(OR($E37=4,$E37=1,$E37=5),(PI()*AE$12^2)/4*(AA37*$W37*1000)/($H37*$B$5),(PI()*AE$12^2)/4*(AA37*$W37*1000)/($G37*$B$5)))),
IF($D37="Pressio.",
IF($E37=3,(PI()*AE$12^2)/4*(AA37*$W37*1000)/($H37*$B$5),(PI()*AE$12^2)/4*(AA37*$W37*1000)/($G37*$B$5)),
IF($D37="Pénétro.",
IF($E37=4,(PI()*AE$12^2)/4*(AA37*$W37*1000)/($H37*$B$5),(PI()*AE$12^2)/4*(AA37*$W37*1000)/($G37*$B$5))))))/10</f>
        <v>#N/A</v>
      </c>
      <c r="AF37" s="102" t="e">
        <f>(VLOOKUP($B$3,'Coeff EC7'!$T$39:$X$59,2,0)*AD37+VLOOKUP($B$3,'Coeff EC7'!$T$65:$X$85,2,0)*Model0.1C!AE37)/1.1</f>
        <v>#N/A</v>
      </c>
      <c r="AG37" s="102" t="e">
        <f>(VLOOKUP($B$3,'Coeff EC7'!$T$39:$X$59,3,0)*AD37+VLOOKUP($B$3,'Coeff EC7'!$T$65:$X$85,3,0)*Model0.1C!AE37)/0.9</f>
        <v>#N/A</v>
      </c>
      <c r="AH37" s="102" t="e">
        <f t="shared" si="18"/>
        <v>#N/A</v>
      </c>
      <c r="AI37" s="102" t="e">
        <f t="shared" si="19"/>
        <v>#N/A</v>
      </c>
      <c r="AJ37" s="414" t="e">
        <f>IF(AJ36=0,0,IF(AND(AF37&gt;charge_ELS_quasi,AG37&gt;Charge_ELS_freq,AH37&gt;charge_ELU,AI37&gt;charge_ELA,$B37&gt;NDC!$H$22-0.1+MIN(3*$AJ$12,1.5)),0,1))</f>
        <v>#N/A</v>
      </c>
      <c r="AK37" s="86" t="b">
        <f t="shared" si="20"/>
        <v>0</v>
      </c>
      <c r="AL37" s="86">
        <f t="shared" si="70"/>
        <v>0.5</v>
      </c>
      <c r="AM37" s="86">
        <f t="shared" si="21"/>
        <v>0.5</v>
      </c>
      <c r="AN37" s="30" t="e">
        <f t="shared" ca="1" si="71"/>
        <v>#DIV/0!</v>
      </c>
      <c r="AO37" s="85" t="e">
        <f ca="1">IF(U37&lt;=Hypothèses!$V$7,Hypothèses!$W$7,IF(U37&lt;=Hypothèses!$V$8,Hypothèses!$W$8,IF(U37&lt;=Hypothèses!$V$9,Hypothèses!$W$9,IF(U37&lt;=Hypothèses!$V$10,Hypothèses!$W$10,IF(U37&lt;=Hypothèses!$V$11,Hypothèses!$W$11,IF(U37&lt;=Hypothèses!$V$12,Hypothèses!$W$12,IF(U37&lt;=Hypothèses!$V$13,Hypothèses!$W$13,IF(U37&lt;=Hypothèses!$V$14,Hypothèses!$W$14,IF(U37&lt;=Hypothèses!$V$15,Hypothèses!$W$15,IF(U37&lt;=Hypothèses!$V$16,Hypothèses!$W$16,IF(U37&lt;=Hypothèses!$V$17,Hypothèses!$W$17,IF(U37&lt;=Hypothèses!$V$18,Hypothèses!$W$18,""))))))))))))</f>
        <v>#DIV/0!</v>
      </c>
      <c r="AP37" s="87" t="e">
        <f t="shared" ca="1" si="117"/>
        <v>#DIV/0!</v>
      </c>
      <c r="AQ37" s="88" t="e">
        <f ca="1">IF(U37&lt;=Hypothèses!$V$7,Hypothèses!$X$7,IF(U37&lt;=Hypothèses!$V$8,Hypothèses!$X$8,IF(U37&lt;=Hypothèses!$V$9,Hypothèses!$X$9,IF(U37&lt;=Hypothèses!$V$10,Hypothèses!$X$10,IF(U37&lt;=Hypothèses!$V$11,Hypothèses!$X$11,IF(U37&lt;=Hypothèses!$V$12,Hypothèses!$X$12,IF(U37&lt;=Hypothèses!$V$13,Hypothèses!$X$13,IF(U37&lt;=Hypothèses!$V$14,Hypothèses!$X$14,IF(U37&lt;=Hypothèses!$V$15,Hypothèses!$X$15,IF(U37&lt;=Hypothèses!$V$16,Hypothèses!$X$16,IF(U37&lt;=Hypothèses!$U$17,Hypothèses!$W$17,IF(U37&lt;=Hypothèses!$U$18,Hypothèses!$W$18,""))))))))))))</f>
        <v>#DIV/0!</v>
      </c>
      <c r="AR37" s="95" t="e">
        <f t="shared" ca="1" si="72"/>
        <v>#DIV/0!</v>
      </c>
      <c r="AS37" s="101" t="e">
        <f t="shared" si="124"/>
        <v>#N/A</v>
      </c>
      <c r="AT37" s="91" t="e">
        <f t="shared" si="23"/>
        <v>#N/A</v>
      </c>
      <c r="AU37" s="30" t="e">
        <f t="shared" si="102"/>
        <v>#N/A</v>
      </c>
      <c r="AV37" s="30" t="e">
        <f t="shared" si="103"/>
        <v>#N/A</v>
      </c>
      <c r="AW37" s="31" t="e">
        <f>IF(OR(Hypothèses!$B$4=17,Hypothèses!$B$4=18,Hypothèses!$B$4=19,Hypothèses!$B$4=20),
IF($D37="Pressio.",
IF(OR($E37=3,$E37=1,$E37=4),AV37,AU37),
IF($D37="Pénétro.",
IF(OR($E37=3,$E37=1,$E37=4),AV37,AU37))),IF($D37="Pressio.",
IF($E37=3,AV37,AU37),
IF($D37="Pénétro.",
IF($E37=4,AV37,AU37))))</f>
        <v>#N/A</v>
      </c>
      <c r="AX37" s="31" t="e">
        <f>(IF(OR(Hypothèses!$B$4=17,Hypothèses!$B$4=18,Hypothèses!$B$4=19,Hypothèses!$B$4=20),
IF($D37="Pressio.",
IF(OR($E37=3,$E37=1,$E37=4),(PI()*AX$12^2)/4*(AT37*$W37*1000)/($H37*$B$5),(PI()*AX$12^2)/4*(AT37*$W37*1000)/($G37*$B$5)),
IF($D37="Pénétro.",
IF(OR($E37=4,$E37=1,$E37=5),(PI()*AX$12^2)/4*(AT37*$W37*1000)/($H37*$B$5),(PI()*AX$12^2)/4*(AT37*$W37*1000)/($G37*$B$5)))),
IF($D37="Pressio.",
IF($E37=3,(PI()*AX$12^2)/4*(AT37*$W37*1000)/($H37*$B$5),(PI()*AX$12^2)/4*(AT37*$W37*1000)/($G37*$B$5)),
IF($D37="Pénétro.",
IF($E37=4,(PI()*AX$12^2)/4*(AT37*$W37*1000)/($H37*$B$5),(PI()*AX$12^2)/4*(AT37*$W37*1000)/($G37*$B$5))))))/10</f>
        <v>#N/A</v>
      </c>
      <c r="AY37" s="102" t="e">
        <f>(VLOOKUP($B$3,'Coeff EC7'!$T$39:$X$59,2,0)*AW37+VLOOKUP($B$3,'Coeff EC7'!$T$65:$X$85,2,0)*Model0.1C!AX37)/1.1</f>
        <v>#N/A</v>
      </c>
      <c r="AZ37" s="102" t="e">
        <f>(VLOOKUP($B$3,'Coeff EC7'!$T$39:$X$59,3,0)*AW37+VLOOKUP($B$3,'Coeff EC7'!$T$65:$X$85,3,0)*Model0.1C!AX37)/0.9</f>
        <v>#N/A</v>
      </c>
      <c r="BA37" s="102" t="e">
        <f t="shared" si="73"/>
        <v>#N/A</v>
      </c>
      <c r="BB37" s="102" t="e">
        <f t="shared" si="74"/>
        <v>#N/A</v>
      </c>
      <c r="BC37" s="414" t="e">
        <f>IF(BC36=0,0,IF(AND(AY37&gt;charge_ELS_quasi,AZ37&gt;Charge_ELS_freq,BA37&gt;charge_ELU,BB37&gt;charge_ELA,$B37&gt;NDC!$H$22-0.1+MIN(3*$BC$12,1.5)),0,1))</f>
        <v>#N/A</v>
      </c>
      <c r="BD37" s="86" t="b">
        <f t="shared" si="26"/>
        <v>0</v>
      </c>
      <c r="BE37" s="86">
        <f t="shared" si="75"/>
        <v>0.5</v>
      </c>
      <c r="BF37" s="86">
        <f t="shared" si="27"/>
        <v>0.5</v>
      </c>
      <c r="BG37" s="30" t="e">
        <f t="shared" ca="1" si="76"/>
        <v>#DIV/0!</v>
      </c>
      <c r="BH37" s="85" t="e">
        <f ca="1">IF(AN37&lt;=Hypothèses!$V$7,Hypothèses!$W$7,IF(AN37&lt;=Hypothèses!$V$8,Hypothèses!$W$8,IF(AN37&lt;=Hypothèses!$V$9,Hypothèses!$W$9,IF(AN37&lt;=Hypothèses!$V$10,Hypothèses!$W$10,IF(AN37&lt;=Hypothèses!$V$11,Hypothèses!$W$11,IF(AN37&lt;=Hypothèses!$V$12,Hypothèses!$W$12,IF(AN37&lt;=Hypothèses!$V$13,Hypothèses!$W$13,IF(AN37&lt;=Hypothèses!$V$14,Hypothèses!$W$14,IF(AN37&lt;=Hypothèses!$V$15,Hypothèses!$W$15,IF(AN37&lt;=Hypothèses!$V$16,Hypothèses!$W$16,IF(AN37&lt;=Hypothèses!$V$17,Hypothèses!$W$17,IF(AN37&lt;=Hypothèses!$V$18,Hypothèses!$W$18,""))))))))))))</f>
        <v>#DIV/0!</v>
      </c>
      <c r="BI37" s="87" t="e">
        <f t="shared" ca="1" si="118"/>
        <v>#DIV/0!</v>
      </c>
      <c r="BJ37" s="88" t="e">
        <f ca="1">IF(AN37&lt;=Hypothèses!$V$7,Hypothèses!$X$7,IF(AN37&lt;=Hypothèses!$V$8,Hypothèses!$X$8,IF(AN37&lt;=Hypothèses!$V$9,Hypothèses!$X$9,IF(AN37&lt;=Hypothèses!$V$10,Hypothèses!$X$10,IF(AN37&lt;=Hypothèses!$V$11,Hypothèses!$X$11,IF(AN37&lt;=Hypothèses!$V$12,Hypothèses!$X$12,IF(AN37&lt;=Hypothèses!$V$13,Hypothèses!$X$13,IF(AN37&lt;=Hypothèses!$V$14,Hypothèses!$X$14,IF(AN37&lt;=Hypothèses!$V$15,Hypothèses!$X$15,IF(AN37&lt;=Hypothèses!$V$16,Hypothèses!$X$16,IF(AN37&lt;=Hypothèses!$U$17,Hypothèses!$W$17,IF(AN37&lt;=Hypothèses!$U$18,Hypothèses!$W$18,""))))))))))))</f>
        <v>#DIV/0!</v>
      </c>
      <c r="BK37" s="95" t="e">
        <f t="shared" ca="1" si="77"/>
        <v>#DIV/0!</v>
      </c>
      <c r="BL37" s="101" t="e">
        <f t="shared" si="125"/>
        <v>#N/A</v>
      </c>
      <c r="BM37" s="91" t="e">
        <f t="shared" si="29"/>
        <v>#N/A</v>
      </c>
      <c r="BN37" s="30" t="e">
        <f t="shared" si="104"/>
        <v>#N/A</v>
      </c>
      <c r="BO37" s="30" t="e">
        <f t="shared" si="105"/>
        <v>#N/A</v>
      </c>
      <c r="BP37" s="31" t="e">
        <f>IF(OR(Hypothèses!$B$4=17,Hypothèses!$B$4=18,Hypothèses!$B$4=19,Hypothèses!$B$4=20),
IF($D37="Pressio.",
IF(OR($E37=3,$E37=1,$E37=4),BO37,BN37),
IF($D37="Pénétro.",
IF(OR($E37=3,$E37=1,$E37=4),BO37,BN37))),IF($D37="Pressio.",
IF($E37=3,BO37,BN37),
IF($D37="Pénétro.",
IF($E37=4,BO37,BN37))))</f>
        <v>#N/A</v>
      </c>
      <c r="BQ37" s="31" t="e">
        <f>(IF(OR(Hypothèses!$B$4=17,Hypothèses!$B$4=18,Hypothèses!$B$4=19,Hypothèses!$B$4=20),
IF($D37="Pressio.",
IF(OR($E37=3,$E37=1,$E37=4),(PI()*BQ$12^2)/4*(BM37*$W37*1000)/($H37*$B$5),(PI()*BQ$12^2)/4*(BM37*$W37*1000)/($G37*$B$5)),
IF($D37="Pénétro.",
IF(OR($E37=4,$E37=1,$E37=5),(PI()*BQ$12^2)/4*(BM37*$W37*1000)/($H37*$B$5),(PI()*BQ$12^2)/4*(BM37*$W37*1000)/($G37*$B$5)))),
IF($D37="Pressio.",
IF($E37=3,(PI()*BQ$12^2)/4*(BM37*$W37*1000)/($H37*$B$5),(PI()*BQ$12^2)/4*(BM37*$W37*1000)/($G37*$B$5)),
IF($D37="Pénétro.",
IF($E37=4,(PI()*BQ$12^2)/4*(BM37*$W37*1000)/($H37*$B$5),(PI()*BQ$12^2)/4*(BM37*$W37*1000)/($G37*$B$5))))))/10</f>
        <v>#N/A</v>
      </c>
      <c r="BR37" s="102" t="e">
        <f>(VLOOKUP($B$3,'Coeff EC7'!$T$39:$X$59,2,0)*BP37+VLOOKUP($B$3,'Coeff EC7'!$T$65:$X$85,2,0)*Model0.1C!BQ37)/1.1</f>
        <v>#N/A</v>
      </c>
      <c r="BS37" s="102" t="e">
        <f>(VLOOKUP($B$3,'Coeff EC7'!$T$39:$X$59,3,0)*BP37+VLOOKUP($B$3,'Coeff EC7'!$T$65:$X$85,3,0)*Model0.1C!BQ37)/0.9</f>
        <v>#N/A</v>
      </c>
      <c r="BT37" s="102" t="e">
        <f t="shared" si="78"/>
        <v>#N/A</v>
      </c>
      <c r="BU37" s="102" t="e">
        <f t="shared" si="79"/>
        <v>#N/A</v>
      </c>
      <c r="BV37" s="414" t="e">
        <f>IF(BV36=0,0,IF(AND(BR37&gt;charge_ELS_quasi,BS37&gt;Charge_ELS_freq,BT37&gt;charge_ELU,BU37&gt;charge_ELA,$B37&gt;NDC!$H$22-0.1+MIN(3*$BV$12,1.5)),0,1))</f>
        <v>#N/A</v>
      </c>
      <c r="BW37" s="86" t="b">
        <f t="shared" si="32"/>
        <v>0</v>
      </c>
      <c r="BX37" s="86">
        <f t="shared" si="33"/>
        <v>0.5</v>
      </c>
      <c r="BY37" s="86">
        <f t="shared" si="34"/>
        <v>0.5</v>
      </c>
      <c r="BZ37" s="30" t="e">
        <f t="shared" ca="1" si="80"/>
        <v>#DIV/0!</v>
      </c>
      <c r="CA37" s="85" t="e">
        <f ca="1">IF(BG37&lt;=Hypothèses!$V$7,Hypothèses!$W$7,IF(BG37&lt;=Hypothèses!$V$8,Hypothèses!$W$8,IF(BG37&lt;=Hypothèses!$V$9,Hypothèses!$W$9,IF(BG37&lt;=Hypothèses!$V$10,Hypothèses!$W$10,IF(BG37&lt;=Hypothèses!$V$11,Hypothèses!$W$11,IF(BG37&lt;=Hypothèses!$V$12,Hypothèses!$W$12,IF(BG37&lt;=Hypothèses!$V$13,Hypothèses!$W$13,IF(BG37&lt;=Hypothèses!$V$14,Hypothèses!$W$14,IF(BG37&lt;=Hypothèses!$V$15,Hypothèses!$W$15,IF(BG37&lt;=Hypothèses!$V$16,Hypothèses!$W$16,IF(BG37&lt;=Hypothèses!$V$17,Hypothèses!$W$17,IF(BG37&lt;=Hypothèses!$V$18,Hypothèses!$W$18,""))))))))))))</f>
        <v>#DIV/0!</v>
      </c>
      <c r="CB37" s="87" t="e">
        <f t="shared" ca="1" si="119"/>
        <v>#DIV/0!</v>
      </c>
      <c r="CC37" s="88" t="e">
        <f ca="1">IF(BG37&lt;=Hypothèses!$V$7,Hypothèses!$X$7,IF(BG37&lt;=Hypothèses!$V$8,Hypothèses!$X$8,IF(BG37&lt;=Hypothèses!$V$9,Hypothèses!$X$9,IF(BG37&lt;=Hypothèses!$V$10,Hypothèses!$X$10,IF(BG37&lt;=Hypothèses!$V$11,Hypothèses!$X$11,IF(BG37&lt;=Hypothèses!$V$12,Hypothèses!$X$12,IF(BG37&lt;=Hypothèses!$V$13,Hypothèses!$X$13,IF(BG37&lt;=Hypothèses!$V$14,Hypothèses!$X$14,IF(BG37&lt;=Hypothèses!$V$15,Hypothèses!$X$15,IF(BG37&lt;=Hypothèses!$V$16,Hypothèses!$X$16,IF(BG37&lt;=Hypothèses!$U$17,Hypothèses!$W$17,IF(BG37&lt;=Hypothèses!$U$18,Hypothèses!$W$18,""))))))))))))</f>
        <v>#DIV/0!</v>
      </c>
      <c r="CD37" s="95" t="e">
        <f t="shared" ca="1" si="81"/>
        <v>#DIV/0!</v>
      </c>
      <c r="CE37" s="101" t="e">
        <f t="shared" si="126"/>
        <v>#N/A</v>
      </c>
      <c r="CF37" s="91" t="e">
        <f t="shared" si="36"/>
        <v>#N/A</v>
      </c>
      <c r="CG37" s="30" t="e">
        <f t="shared" si="106"/>
        <v>#N/A</v>
      </c>
      <c r="CH37" s="30" t="e">
        <f t="shared" si="107"/>
        <v>#N/A</v>
      </c>
      <c r="CI37" s="31" t="e">
        <f>IF(OR(Hypothèses!$B$4=17,Hypothèses!$B$4=18,Hypothèses!$B$4=19,Hypothèses!$B$4=20),
IF($D37="Pressio.",
IF(OR($E37=3,$E37=1,$E37=4),CH37,CG37),
IF($D37="Pénétro.",
IF(OR($E37=3,$E37=1,$E37=4),CH37,CG37))),IF($D37="Pressio.",
IF($E37=3,CH37,CG37),
IF($D37="Pénétro.",
IF($E37=4,CH37,CG37))))</f>
        <v>#N/A</v>
      </c>
      <c r="CJ37" s="31" t="e">
        <f>(IF(OR(Hypothèses!$B$4=17,Hypothèses!$B$4=18,Hypothèses!$B$4=19,Hypothèses!$B$4=20),
IF($D37="Pressio.",
IF(OR($E37=3,$E37=1,$E37=4),(PI()*CJ$12^2)/4*(CF37*$W37*1000)/($H37*$B$5),(PI()*CJ$12^2)/4*(CF37*$W37*1000)/($G37*$B$5)),
IF($D37="Pénétro.",
IF(OR($E37=4,$E37=1,$E37=5),(PI()*CJ$12^2)/4*(CF37*$W37*1000)/($H37*$B$5),(PI()*CJ$12^2)/4*(CF37*$W37*1000)/($G37*$B$5)))),
IF($D37="Pressio.",
IF($E37=3,(PI()*CJ$12^2)/4*(CF37*$W37*1000)/($H37*$B$5),(PI()*CJ$12^2)/4*(CF37*$W37*1000)/($G37*$B$5)),
IF($D37="Pénétro.",
IF($E37=4,(PI()*CJ$12^2)/4*(CF37*$W37*1000)/($H37*$B$5),(PI()*CJ$12^2)/4*(CF37*$W37*1000)/($G37*$B$5))))))/10</f>
        <v>#N/A</v>
      </c>
      <c r="CK37" s="102" t="e">
        <f>(VLOOKUP($B$3,'Coeff EC7'!$T$39:$X$59,2,0)*CI37+VLOOKUP($B$3,'Coeff EC7'!$T$65:$X$85,2,0)*Model0.1C!CJ37)/1.1</f>
        <v>#N/A</v>
      </c>
      <c r="CL37" s="102" t="e">
        <f>(VLOOKUP($B$3,'Coeff EC7'!$T$39:$X$59,3,0)*CI37+VLOOKUP($B$3,'Coeff EC7'!$T$65:$X$85,3,0)*Model0.1C!CJ37)/0.9</f>
        <v>#N/A</v>
      </c>
      <c r="CM37" s="102" t="e">
        <f t="shared" si="82"/>
        <v>#N/A</v>
      </c>
      <c r="CN37" s="102" t="e">
        <f t="shared" si="83"/>
        <v>#N/A</v>
      </c>
      <c r="CO37" s="414" t="e">
        <f>IF(CO36=0,0,IF(AND(CK37&gt;charge_ELS_quasi,CL37&gt;Charge_ELS_freq,CM37&gt;charge_ELU,CN37&gt;charge_ELA,$B37&gt;NDC!$H$22-0.1+MIN(3*$CO$12,1.5)),0,1))</f>
        <v>#N/A</v>
      </c>
      <c r="CP37" s="86" t="b">
        <f t="shared" si="39"/>
        <v>0</v>
      </c>
      <c r="CQ37" s="86">
        <f t="shared" si="40"/>
        <v>0.5</v>
      </c>
      <c r="CR37" s="86">
        <f t="shared" si="41"/>
        <v>0.5</v>
      </c>
      <c r="CS37" s="30" t="e">
        <f t="shared" ca="1" si="84"/>
        <v>#DIV/0!</v>
      </c>
      <c r="CT37" s="85" t="e">
        <f ca="1">IF(BZ37&lt;=Hypothèses!$V$7,Hypothèses!$W$7,IF(BZ37&lt;=Hypothèses!$V$8,Hypothèses!$W$8,IF(BZ37&lt;=Hypothèses!$V$9,Hypothèses!$W$9,IF(BZ37&lt;=Hypothèses!$V$10,Hypothèses!$W$10,IF(BZ37&lt;=Hypothèses!$V$11,Hypothèses!$W$11,IF(BZ37&lt;=Hypothèses!$V$12,Hypothèses!$W$12,IF(BZ37&lt;=Hypothèses!$V$13,Hypothèses!$W$13,IF(BZ37&lt;=Hypothèses!$V$14,Hypothèses!$W$14,IF(BZ37&lt;=Hypothèses!$V$15,Hypothèses!$W$15,IF(BZ37&lt;=Hypothèses!$V$16,Hypothèses!$W$16,IF(BZ37&lt;=Hypothèses!$V$17,Hypothèses!$W$17,IF(BZ37&lt;=Hypothèses!$V$18,Hypothèses!$W$18,""))))))))))))</f>
        <v>#DIV/0!</v>
      </c>
      <c r="CU37" s="87" t="e">
        <f t="shared" ca="1" si="120"/>
        <v>#DIV/0!</v>
      </c>
      <c r="CV37" s="88" t="e">
        <f ca="1">IF(BZ37&lt;=Hypothèses!$V$7,Hypothèses!$X$7,IF(BZ37&lt;=Hypothèses!$V$8,Hypothèses!$X$8,IF(BZ37&lt;=Hypothèses!$V$9,Hypothèses!$X$9,IF(BZ37&lt;=Hypothèses!$V$10,Hypothèses!$X$10,IF(BZ37&lt;=Hypothèses!$V$11,Hypothèses!$X$11,IF(BZ37&lt;=Hypothèses!$V$12,Hypothèses!$X$12,IF(BZ37&lt;=Hypothèses!$V$13,Hypothèses!$X$13,IF(BZ37&lt;=Hypothèses!$V$14,Hypothèses!$X$14,IF(BZ37&lt;=Hypothèses!$V$15,Hypothèses!$X$15,IF(BZ37&lt;=Hypothèses!$V$16,Hypothèses!$X$16,IF(BZ37&lt;=Hypothèses!$U$17,Hypothèses!$W$17,IF(BZ37&lt;=Hypothèses!$U$18,Hypothèses!$W$18,""))))))))))))</f>
        <v>#DIV/0!</v>
      </c>
      <c r="CW37" s="95" t="e">
        <f t="shared" ca="1" si="85"/>
        <v>#DIV/0!</v>
      </c>
      <c r="CX37" s="101" t="e">
        <f t="shared" si="127"/>
        <v>#N/A</v>
      </c>
      <c r="CY37" s="91" t="e">
        <f t="shared" si="43"/>
        <v>#N/A</v>
      </c>
      <c r="CZ37" s="30" t="e">
        <f t="shared" si="108"/>
        <v>#N/A</v>
      </c>
      <c r="DA37" s="30" t="e">
        <f t="shared" si="109"/>
        <v>#N/A</v>
      </c>
      <c r="DB37" s="31" t="e">
        <f>IF(OR(Hypothèses!$B$4=17,Hypothèses!$B$4=18,Hypothèses!$B$4=19,Hypothèses!$B$4=20),
IF($D37="Pressio.",
IF(OR($E37=3,$E37=1,$E37=4),DA37,CZ37),
IF($D37="Pénétro.",
IF(OR($E37=3,$E37=1,$E37=4),DA37,CZ37))),IF($D37="Pressio.",
IF($E37=3,DA37,CZ37),
IF($D37="Pénétro.",
IF($E37=4,DA37,CZ37))))</f>
        <v>#N/A</v>
      </c>
      <c r="DC37" s="31" t="e">
        <f>(IF(OR(Hypothèses!$B$4=17,Hypothèses!$B$4=18,Hypothèses!$B$4=19,Hypothèses!$B$4=20),
IF($D37="Pressio.",
IF(OR($E37=3,$E37=1,$E37=4),(PI()*DC$12^2)/4*(CY37*$W37*1000)/($H37*$B$5),(PI()*DC$12^2)/4*(CY37*$W37*1000)/($G37*$B$5)),
IF($D37="Pénétro.",
IF(OR($E37=4,$E37=1,$E37=5),(PI()*DC$12^2)/4*(CY37*$W37*1000)/($H37*$B$5),(PI()*DC$12^2)/4*(CY37*$W37*1000)/($G37*$B$5)))),
IF($D37="Pressio.",
IF($E37=3,(PI()*DC$12^2)/4*(CY37*$W37*1000)/($H37*$B$5),(PI()*DC$12^2)/4*(CY37*$W37*1000)/($G37*$B$5)),
IF($D37="Pénétro.",
IF($E37=4,(PI()*DC$12^2)/4*(CY37*$W37*1000)/($H37*$B$5),(PI()*DC$12^2)/4*(CY37*$W37*1000)/($G37*$B$5))))))/10</f>
        <v>#N/A</v>
      </c>
      <c r="DD37" s="102" t="e">
        <f>(VLOOKUP($B$3,'Coeff EC7'!$T$39:$X$59,2,0)*DB37+VLOOKUP($B$3,'Coeff EC7'!$T$65:$X$85,2,0)*Model0.1C!DC37)/1.1</f>
        <v>#N/A</v>
      </c>
      <c r="DE37" s="102" t="e">
        <f>(VLOOKUP($B$3,'Coeff EC7'!$T$39:$X$59,3,0)*DB37+VLOOKUP($B$3,'Coeff EC7'!$T$65:$X$85,3,0)*Model0.1C!DC37)/0.9</f>
        <v>#N/A</v>
      </c>
      <c r="DF37" s="102" t="e">
        <f t="shared" si="86"/>
        <v>#N/A</v>
      </c>
      <c r="DG37" s="102" t="e">
        <f t="shared" si="87"/>
        <v>#N/A</v>
      </c>
      <c r="DH37" s="414" t="e">
        <f>IF(DH36=0,0,IF(AND(DD37&gt;charge_ELS_quasi,DE37&gt;Charge_ELS_freq,DF37&gt;charge_ELU,DG37&gt;charge_ELA,$B37&gt;NDC!$H$22-0.1+MIN(3*$DH$12,1.5)),0,1))</f>
        <v>#N/A</v>
      </c>
      <c r="DI37" s="86" t="b">
        <f t="shared" si="46"/>
        <v>0</v>
      </c>
      <c r="DJ37" s="86">
        <f t="shared" si="47"/>
        <v>0.5</v>
      </c>
      <c r="DK37" s="86">
        <f t="shared" si="48"/>
        <v>0.5</v>
      </c>
      <c r="DL37" s="30" t="e">
        <f t="shared" ca="1" si="88"/>
        <v>#DIV/0!</v>
      </c>
      <c r="DM37" s="85" t="e">
        <f ca="1">IF(CS37&lt;=Hypothèses!$V$7,Hypothèses!$W$7,IF(CS37&lt;=Hypothèses!$V$8,Hypothèses!$W$8,IF(CS37&lt;=Hypothèses!$V$9,Hypothèses!$W$9,IF(CS37&lt;=Hypothèses!$V$10,Hypothèses!$W$10,IF(CS37&lt;=Hypothèses!$V$11,Hypothèses!$W$11,IF(CS37&lt;=Hypothèses!$V$12,Hypothèses!$W$12,IF(CS37&lt;=Hypothèses!$V$13,Hypothèses!$W$13,IF(CS37&lt;=Hypothèses!$V$14,Hypothèses!$W$14,IF(CS37&lt;=Hypothèses!$V$15,Hypothèses!$W$15,IF(CS37&lt;=Hypothèses!$V$16,Hypothèses!$W$16,IF(CS37&lt;=Hypothèses!$V$17,Hypothèses!$W$17,IF(CS37&lt;=Hypothèses!$V$18,Hypothèses!$W$18,""))))))))))))</f>
        <v>#DIV/0!</v>
      </c>
      <c r="DN37" s="87" t="e">
        <f t="shared" ca="1" si="121"/>
        <v>#DIV/0!</v>
      </c>
      <c r="DO37" s="88" t="e">
        <f ca="1">IF(CS37&lt;=Hypothèses!$V$7,Hypothèses!$X$7,IF(CS37&lt;=Hypothèses!$V$8,Hypothèses!$X$8,IF(CS37&lt;=Hypothèses!$V$9,Hypothèses!$X$9,IF(CS37&lt;=Hypothèses!$V$10,Hypothèses!$X$10,IF(CS37&lt;=Hypothèses!$V$11,Hypothèses!$X$11,IF(CS37&lt;=Hypothèses!$V$12,Hypothèses!$X$12,IF(CS37&lt;=Hypothèses!$V$13,Hypothèses!$X$13,IF(CS37&lt;=Hypothèses!$V$14,Hypothèses!$X$14,IF(CS37&lt;=Hypothèses!$V$15,Hypothèses!$X$15,IF(CS37&lt;=Hypothèses!$V$16,Hypothèses!$X$16,IF(CS37&lt;=Hypothèses!$U$17,Hypothèses!$W$17,IF(CS37&lt;=Hypothèses!$U$18,Hypothèses!$W$18,""))))))))))))</f>
        <v>#DIV/0!</v>
      </c>
      <c r="DP37" s="95" t="e">
        <f t="shared" ca="1" si="89"/>
        <v>#DIV/0!</v>
      </c>
      <c r="DQ37" s="101" t="e">
        <f t="shared" si="128"/>
        <v>#N/A</v>
      </c>
      <c r="DR37" s="91" t="e">
        <f t="shared" si="50"/>
        <v>#N/A</v>
      </c>
      <c r="DS37" s="30" t="e">
        <f t="shared" si="110"/>
        <v>#N/A</v>
      </c>
      <c r="DT37" s="30" t="e">
        <f t="shared" si="111"/>
        <v>#N/A</v>
      </c>
      <c r="DU37" s="31" t="e">
        <f>IF(OR(Hypothèses!$B$4=17,Hypothèses!$B$4=18,Hypothèses!$B$4=19,Hypothèses!$B$4=20),
IF($D37="Pressio.",
IF(OR($E37=3,$E37=1,$E37=4),DT37,DS37),
IF($D37="Pénétro.",
IF(OR($E37=3,$E37=1,$E37=4),DT37,DS37))),IF($D37="Pressio.",
IF($E37=3,DT37,DS37),
IF($D37="Pénétro.",
IF($E37=4,DT37,DS37))))</f>
        <v>#N/A</v>
      </c>
      <c r="DV37" s="31" t="e">
        <f>(IF(OR(Hypothèses!$B$4=17,Hypothèses!$B$4=18,Hypothèses!$B$4=19,Hypothèses!$B$4=20),
IF($D37="Pressio.",
IF(OR($E37=3,$E37=1,$E37=4),(PI()*DV$12^2)/4*(DR37*$W37*1000)/($H37*$B$5),(PI()*DV$12^2)/4*(DR37*$W37*1000)/($G37*$B$5)),
IF($D37="Pénétro.",
IF(OR($E37=4,$E37=1,$E37=5),(PI()*DV$12^2)/4*(DR37*$W37*1000)/($H37*$B$5),(PI()*DV$12^2)/4*(DR37*$W37*1000)/($G37*$B$5)))),
IF($D37="Pressio.",
IF($E37=3,(PI()*DV$12^2)/4*(DR37*$W37*1000)/($H37*$B$5),(PI()*DV$12^2)/4*(DR37*$W37*1000)/($G37*$B$5)),
IF($D37="Pénétro.",
IF($E37=4,(PI()*DV$12^2)/4*(DR37*$W37*1000)/($H37*$B$5),(PI()*DV$12^2)/4*(DR37*$W37*1000)/($G37*$B$5))))))/10</f>
        <v>#N/A</v>
      </c>
      <c r="DW37" s="102" t="e">
        <f>(VLOOKUP($B$3,'Coeff EC7'!$T$39:$X$59,2,0)*DU37+VLOOKUP($B$3,'Coeff EC7'!$T$65:$X$85,2,0)*Model0.1C!DV37)/1.1</f>
        <v>#N/A</v>
      </c>
      <c r="DX37" s="102" t="e">
        <f>(VLOOKUP($B$3,'Coeff EC7'!$T$39:$X$59,3,0)*DU37+VLOOKUP($B$3,'Coeff EC7'!$T$65:$X$85,3,0)*Model0.1C!DV37)/0.9</f>
        <v>#N/A</v>
      </c>
      <c r="DY37" s="102" t="e">
        <f t="shared" si="90"/>
        <v>#N/A</v>
      </c>
      <c r="DZ37" s="102" t="e">
        <f t="shared" si="91"/>
        <v>#N/A</v>
      </c>
      <c r="EA37" s="414" t="e">
        <f>IF(EA36=0,0,IF(AND(DW37&gt;charge_ELS_quasi,DX37&gt;Charge_ELS_freq,DY37&gt;charge_ELU,DZ37&gt;charge_ELA,$B37&gt;NDC!$H$22-0.1+MIN(3*$EA$12,1.5)),0,1))</f>
        <v>#N/A</v>
      </c>
      <c r="EB37" s="86" t="b">
        <f t="shared" si="53"/>
        <v>0</v>
      </c>
      <c r="EC37" s="418">
        <f t="shared" si="54"/>
        <v>0.51</v>
      </c>
      <c r="ED37" s="86">
        <f t="shared" si="55"/>
        <v>0.51</v>
      </c>
      <c r="EE37" s="30" t="e">
        <f t="shared" ca="1" si="92"/>
        <v>#DIV/0!</v>
      </c>
      <c r="EF37" s="85" t="e">
        <f ca="1">IF(DL37&lt;=Hypothèses!$V$7,Hypothèses!$W$7,IF(DL37&lt;=Hypothèses!$V$8,Hypothèses!$W$8,IF(DL37&lt;=Hypothèses!$V$9,Hypothèses!$W$9,IF(DL37&lt;=Hypothèses!$V$10,Hypothèses!$W$10,IF(DL37&lt;=Hypothèses!$V$11,Hypothèses!$W$11,IF(DL37&lt;=Hypothèses!$V$12,Hypothèses!$W$12,IF(DL37&lt;=Hypothèses!$V$13,Hypothèses!$W$13,IF(DL37&lt;=Hypothèses!$V$14,Hypothèses!$W$14,IF(DL37&lt;=Hypothèses!$V$15,Hypothèses!$W$15,IF(DL37&lt;=Hypothèses!$V$16,Hypothèses!$W$16,IF(DL37&lt;=Hypothèses!$V$17,Hypothèses!$W$17,IF(DL37&lt;=Hypothèses!$V$18,Hypothèses!$W$18,""))))))))))))</f>
        <v>#DIV/0!</v>
      </c>
      <c r="EG37" s="87" t="e">
        <f t="shared" ca="1" si="122"/>
        <v>#DIV/0!</v>
      </c>
      <c r="EH37" s="88" t="e">
        <f ca="1">IF(DL37&lt;=Hypothèses!$V$7,Hypothèses!$X$7,IF(DL37&lt;=Hypothèses!$V$8,Hypothèses!$X$8,IF(DL37&lt;=Hypothèses!$V$9,Hypothèses!$X$9,IF(DL37&lt;=Hypothèses!$V$10,Hypothèses!$X$10,IF(DL37&lt;=Hypothèses!$V$11,Hypothèses!$X$11,IF(DL37&lt;=Hypothèses!$V$12,Hypothèses!$X$12,IF(DL37&lt;=Hypothèses!$V$13,Hypothèses!$X$13,IF(DL37&lt;=Hypothèses!$V$14,Hypothèses!$X$14,IF(DL37&lt;=Hypothèses!$V$15,Hypothèses!$X$15,IF(DL37&lt;=Hypothèses!$V$16,Hypothèses!$X$16,IF(DL37&lt;=Hypothèses!$U$17,Hypothèses!$W$17,IF(DL37&lt;=Hypothèses!$U$18,Hypothèses!$W$18,""))))))))))))</f>
        <v>#DIV/0!</v>
      </c>
      <c r="EI37" s="95" t="e">
        <f t="shared" ca="1" si="93"/>
        <v>#DIV/0!</v>
      </c>
      <c r="EJ37" s="101" t="e">
        <f t="shared" si="129"/>
        <v>#N/A</v>
      </c>
      <c r="EK37" s="91" t="e">
        <f t="shared" si="57"/>
        <v>#N/A</v>
      </c>
      <c r="EL37" s="30" t="e">
        <f t="shared" si="112"/>
        <v>#N/A</v>
      </c>
      <c r="EM37" s="30" t="e">
        <f t="shared" si="113"/>
        <v>#N/A</v>
      </c>
      <c r="EN37" s="31" t="e">
        <f>IF(OR(Hypothèses!$B$4=17,Hypothèses!$B$4=18,Hypothèses!$B$4=19,Hypothèses!$B$4=20),
IF($D37="Pressio.",
IF(OR($E37=3,$E37=1,$E37=4),EM37,EL37),
IF($D37="Pénétro.",
IF(OR($E37=3,$E37=1,$E37=4),EM37,EL37))),IF($D37="Pressio.",
IF($E37=3,EM37,EL37),
IF($D37="Pénétro.",
IF($E37=4,EM37,EL37))))</f>
        <v>#N/A</v>
      </c>
      <c r="EO37" s="31" t="e">
        <f>(IF(OR(Hypothèses!$B$4=17,Hypothèses!$B$4=18,Hypothèses!$B$4=19,Hypothèses!$B$4=20),
IF($D37="Pressio.",
IF(OR($E37=3,$E37=1,$E37=4),(PI()*EO$12^2)/4*(EK37*$W37*1000)/($H37*$B$5),(PI()*EO$12^2)/4*(EK37*$W37*1000)/($G37*$B$5)),
IF($D37="Pénétro.",
IF(OR($E37=4,$E37=1,$E37=5),(PI()*EO$12^2)/4*(EK37*$W37*1000)/($H37*$B$5),(PI()*EO$12^2)/4*(EK37*$W37*1000)/($G37*$B$5)))),
IF($D37="Pressio.",
IF($E37=3,(PI()*EO$12^2)/4*(EK37*$W37*1000)/($H37*$B$5),(PI()*EO$12^2)/4*(EK37*$W37*1000)/($G37*$B$5)),
IF($D37="Pénétro.",
IF($E37=4,(PI()*EO$12^2)/4*(EK37*$W37*1000)/($H37*$B$5),(PI()*EO$12^2)/4*(EK37*$W37*1000)/($G37*$B$5))))))/10</f>
        <v>#N/A</v>
      </c>
      <c r="EP37" s="102" t="e">
        <f>(VLOOKUP($B$3,'Coeff EC7'!$T$39:$X$59,2,0)*EN37+VLOOKUP($B$3,'Coeff EC7'!$T$65:$X$85,2,0)*Model0.1C!EO37)/1.1</f>
        <v>#N/A</v>
      </c>
      <c r="EQ37" s="102" t="e">
        <f>(VLOOKUP($B$3,'Coeff EC7'!$T$39:$X$59,3,0)*EN37+VLOOKUP($B$3,'Coeff EC7'!$T$65:$X$85,3,0)*Model0.1C!EO37)/0.9</f>
        <v>#N/A</v>
      </c>
      <c r="ER37" s="102" t="e">
        <f t="shared" si="94"/>
        <v>#N/A</v>
      </c>
      <c r="ES37" s="102" t="e">
        <f t="shared" si="95"/>
        <v>#N/A</v>
      </c>
      <c r="ET37" s="414" t="e">
        <f>IF(ET36=0,0,IF(AND(EP37&gt;charge_ELS_quasi,EQ37&gt;Charge_ELS_freq,ER37&gt;charge_ELU,ES37&gt;charge_ELA,$B37&gt;NDC!$H$22-0.1+MIN(3*$ET$12,1.5)),0,1))</f>
        <v>#N/A</v>
      </c>
      <c r="EU37" s="86" t="b">
        <f t="shared" si="60"/>
        <v>0</v>
      </c>
      <c r="EV37" s="86">
        <f t="shared" si="61"/>
        <v>0.61</v>
      </c>
      <c r="EW37" s="86">
        <f t="shared" si="62"/>
        <v>0.61</v>
      </c>
      <c r="EX37" s="30" t="e">
        <f t="shared" ca="1" si="96"/>
        <v>#DIV/0!</v>
      </c>
      <c r="EY37" s="85" t="e">
        <f ca="1">IF(EE37&lt;=Hypothèses!$V$7,Hypothèses!$W$7,IF(EE37&lt;=Hypothèses!$V$8,Hypothèses!$W$8,IF(EE37&lt;=Hypothèses!$V$9,Hypothèses!$W$9,IF(EE37&lt;=Hypothèses!$V$10,Hypothèses!$W$10,IF(EE37&lt;=Hypothèses!$V$11,Hypothèses!$W$11,IF(EE37&lt;=Hypothèses!$V$12,Hypothèses!$W$12,IF(EE37&lt;=Hypothèses!$V$13,Hypothèses!$W$13,IF(EE37&lt;=Hypothèses!$V$14,Hypothèses!$W$14,IF(EE37&lt;=Hypothèses!$V$15,Hypothèses!$W$15,IF(EE37&lt;=Hypothèses!$V$16,Hypothèses!$W$16,IF(EE37&lt;=Hypothèses!$V$17,Hypothèses!$W$17,IF(EE37&lt;=Hypothèses!$V$18,Hypothèses!$W$18,""))))))))))))</f>
        <v>#DIV/0!</v>
      </c>
      <c r="EZ37" s="87" t="e">
        <f t="shared" ca="1" si="123"/>
        <v>#DIV/0!</v>
      </c>
      <c r="FA37" s="88" t="e">
        <f ca="1">IF(EE37&lt;=Hypothèses!$V$7,Hypothèses!$X$7,IF(EE37&lt;=Hypothèses!$V$8,Hypothèses!$X$8,IF(EE37&lt;=Hypothèses!$V$9,Hypothèses!$X$9,IF(EE37&lt;=Hypothèses!$V$10,Hypothèses!$X$10,IF(EE37&lt;=Hypothèses!$V$11,Hypothèses!$X$11,IF(EE37&lt;=Hypothèses!$V$12,Hypothèses!$X$12,IF(EE37&lt;=Hypothèses!$V$13,Hypothèses!$X$13,IF(EE37&lt;=Hypothèses!$V$14,Hypothèses!$X$14,IF(EE37&lt;=Hypothèses!$V$15,Hypothèses!$X$15,IF(EE37&lt;=Hypothèses!$V$16,Hypothèses!$X$16,IF(EE37&lt;=Hypothèses!$U$17,Hypothèses!$W$17,IF(EE37&lt;=Hypothèses!$U$18,Hypothèses!$W$18,""))))))))))))</f>
        <v>#DIV/0!</v>
      </c>
      <c r="FB37" s="95" t="e">
        <f t="shared" ca="1" si="97"/>
        <v>#DIV/0!</v>
      </c>
      <c r="FC37" s="101" t="e">
        <f t="shared" si="130"/>
        <v>#N/A</v>
      </c>
      <c r="FD37" s="91" t="e">
        <f t="shared" si="64"/>
        <v>#N/A</v>
      </c>
      <c r="FE37" s="30" t="e">
        <f t="shared" si="114"/>
        <v>#N/A</v>
      </c>
      <c r="FF37" s="30" t="e">
        <f t="shared" si="115"/>
        <v>#N/A</v>
      </c>
      <c r="FG37" s="31" t="e">
        <f>IF(OR(Hypothèses!$B$4=17,Hypothèses!$B$4=18,Hypothèses!$B$4=19,Hypothèses!$B$4=20),
IF($D37="Pressio.",
IF(OR($E37=3,$E37=1,$E37=4),FF37,FE37),
IF($D37="Pénétro.",
IF(OR($E37=3,$E37=1,$E37=4),FF37,FE37))),IF($D37="Pressio.",
IF($E37=3,FF37,FE37),
IF($D37="Pénétro.",
IF($E37=4,FF37,FE37))))</f>
        <v>#N/A</v>
      </c>
      <c r="FH37" s="31" t="e">
        <f>(IF(OR(Hypothèses!$B$4=17,Hypothèses!$B$4=18,Hypothèses!$B$4=19,Hypothèses!$B$4=20),
IF($D37="Pressio.",
IF(OR($E37=3,$E37=1,$E37=4),(PI()*FH$12^2)/4*(FD37*$W37*1000)/($H37*$B$5),(PI()*FH$12^2)/4*(FD37*$W37*1000)/($G37*$B$5)),
IF($D37="Pénétro.",
IF(OR($E37=4,$E37=1,$E37=5),(PI()*FH$12^2)/4*(FD37*$W37*1000)/($H37*$B$5),(PI()*FH$12^2)/4*(FD37*$W37*1000)/($G37*$B$5)))),
IF($D37="Pressio.",
IF($E37=3,(PI()*FH$12^2)/4*(FD37*$W37*1000)/($H37*$B$5),(PI()*FH$12^2)/4*(FD37*$W37*1000)/($G37*$B$5)),
IF($D37="Pénétro.",
IF($E37=4,(PI()*FH$12^2)/4*(FD37*$W37*1000)/($H37*$B$5),(PI()*FH$12^2)/4*(FD37*$W37*1000)/($G37*$B$5))))))/10</f>
        <v>#N/A</v>
      </c>
      <c r="FI37" s="102" t="e">
        <f>(VLOOKUP($B$3,'Coeff EC7'!$T$39:$X$59,2,0)*FG37+VLOOKUP($B$3,'Coeff EC7'!$T$65:$X$85,2,0)*Model0.1C!FH37)/1.1</f>
        <v>#N/A</v>
      </c>
      <c r="FJ37" s="102" t="e">
        <f>(VLOOKUP($B$3,'Coeff EC7'!$T$39:$X$59,3,0)*FG37+VLOOKUP($B$3,'Coeff EC7'!$T$65:$X$85,3,0)*Model0.1C!FH37)/0.9</f>
        <v>#N/A</v>
      </c>
      <c r="FK37" s="102" t="e">
        <f t="shared" si="98"/>
        <v>#N/A</v>
      </c>
      <c r="FL37" s="102" t="e">
        <f t="shared" si="99"/>
        <v>#N/A</v>
      </c>
      <c r="FM37" s="414" t="e">
        <f>IF(FM36=0,0,IF(AND(FI37&gt;charge_ELS_quasi,FJ37&gt;Charge_ELS_freq,FK37&gt;charge_ELU,FL37&gt;charge_ELA,$B37&gt;NDC!$H$22-0.1+MIN(3*$FM$12,1.5)),0,1))</f>
        <v>#N/A</v>
      </c>
    </row>
    <row r="38" spans="1:169">
      <c r="A38" s="96">
        <f t="shared" si="67"/>
        <v>97.500000000000142</v>
      </c>
      <c r="B38" s="97">
        <v>2.5</v>
      </c>
      <c r="C38" s="81">
        <f>IF(B38&lt;=Hypothèses!$C$7,Hypothèses!$A$7,IF(B38&lt;=Hypothèses!$C$8,Hypothèses!$A$8,IF(B38&lt;=Hypothèses!$C$9,Hypothèses!$A$9,IF(B38&lt;=Hypothèses!$C$10,Hypothèses!$A$10,IF(B38&lt;=Hypothèses!$C$11,Hypothèses!$A$11,IF(B38&lt;=Hypothèses!$C$12,Hypothèses!$A$12,IF(B38&lt;=Hypothèses!$C$13,Hypothèses!$A$13,IF(B38&lt;=Hypothèses!$C$14,Hypothèses!$A$14,IF(B38&lt;=Hypothèses!$C$15,Hypothèses!$A$15,IF(B38&lt;=Hypothèses!$C$16,Hypothèses!$A$16,IF(B38&lt;=Hypothèses!$C$17,Hypothèses!$A$17,IF(B38&lt;=Hypothèses!$C$18,Hypothèses!$A$18,C37))))))))))))</f>
        <v>11</v>
      </c>
      <c r="D38" s="82" t="str">
        <f>IF(B38&lt;=Hypothèses!$C$7,Hypothèses!$R$7,IF(B38&lt;=Hypothèses!$C$8,Hypothèses!$R$8,IF(B38&lt;=Hypothèses!$C$9,Hypothèses!$R$9,IF(B38&lt;=Hypothèses!$C$10,Hypothèses!$R$10,IF(B38&lt;=Hypothèses!$C$11,Hypothèses!$R$11,IF(B38&lt;=Hypothèses!$C$12,Hypothèses!$R$12,IF(B38&lt;=Hypothèses!$C$13,Hypothèses!$R$13,IF(B38&lt;=Hypothèses!$C$14,Hypothèses!$R$14,IF(B38&lt;=Hypothèses!$C$15,Hypothèses!$R$15,IF(B38&lt;=Hypothèses!$C$16,Hypothèses!$R$16,IF(B38&lt;=Hypothèses!$C$17,Hypothèses!$R$17,IF(B38&lt;=Hypothèses!$C$18,Hypothèses!$R$18,D37))))))))))))</f>
        <v>Pressio.</v>
      </c>
      <c r="E38" s="82" t="e">
        <f>IF(B38&lt;=Hypothèses!$C$7,Hypothèses!$G$7,IF(B38&lt;=Hypothèses!$C$8,Hypothèses!$G$8,IF(B38&lt;=Hypothèses!$C$9,Hypothèses!$G$9,IF(B38&lt;=Hypothèses!$C$10,Hypothèses!$G$10,IF(B38&lt;=Hypothèses!$C$11,Hypothèses!$G$11,IF(B38&lt;=Hypothèses!$C$12,Hypothèses!$G$12,IF(B38&lt;=Hypothèses!$C$13,Hypothèses!$G$13,IF(B38&lt;=Hypothèses!$C$14,Hypothèses!$G$14,IF(B38&lt;=Hypothèses!$C$15,Hypothèses!$G$15,IF(B38&lt;=Hypothèses!$C$16,Hypothèses!$G$16,IF(B38&lt;=Hypothèses!$C$17,Hypothèses!$G$17,IF(B38&lt;=Hypothèses!$C$18,Hypothèses!$G$18,E37))))))))))))</f>
        <v>#N/A</v>
      </c>
      <c r="F38" s="82" t="str">
        <f>IF(B38&lt;=Hypothèses!$C$7,Hypothèses!$F$7,IF(B38&lt;=Hypothèses!$C$8,Hypothèses!$F$8,IF(B38&lt;=Hypothèses!$C$9,Hypothèses!$F$9,IF(B38&lt;=Hypothèses!$C$10,Hypothèses!$F$10,IF(B38&lt;=Hypothèses!$C$11,Hypothèses!$F$11,IF(B38&lt;=Hypothèses!$C$12,Hypothèses!$F$12,IF(B38&lt;=Hypothèses!$C$13,Hypothèses!$F$13,IF(B38&lt;=Hypothèses!$C$14,Hypothèses!$F$14,IF(B38&lt;=Hypothèses!$C$15,Hypothèses!$F$15,IF(B38&lt;=Hypothèses!$C$16,Hypothèses!$F$16,IF(B38&lt;=Hypothèses!$C$17,Hypothèses!$F$17,IF(B38&lt;=Hypothèses!$C$18,Hypothèses!$F$18,F37))))))))))))</f>
        <v/>
      </c>
      <c r="G38" s="91">
        <f t="array" ref="G38">INDEX('Coeff EC7'!$U$7:$X$27,
MATCH(Model0.1C!$B$3,'Coeff EC7'!$T$7:$T$27,0),
MATCH(Model0.1C!$D38&amp;Model0.1C!$B$4,
'Coeff EC7'!$U$6:$X$6&amp;
'Coeff EC7'!$U$5:$X$5,0))</f>
        <v>1.1499999999999999</v>
      </c>
      <c r="H38" s="91">
        <f t="array" ref="H38">INDEX('Coeff EC7'!$Y$7:$AB$27,
MATCH(Model0.1C!$B$3,'Coeff EC7'!$T$7:$T$27,0),
MATCH(Model0.1C!$D38&amp;Model0.1C!$B$4,
'Coeff EC7'!$Y$6:$AB$6&amp;
'Coeff EC7'!$Y$5:$AB$5,0))</f>
        <v>1.4</v>
      </c>
      <c r="I38" s="83" t="e">
        <f>IF(B38&lt;=Hypothèses!$C$7,Hypothèses!$P$7,IF(B38&lt;=Hypothèses!$C$8,Hypothèses!$P$8,IF(B38&lt;=Hypothèses!$C$9,Hypothèses!$P$9,IF(B38&lt;=Hypothèses!$C$10,Hypothèses!$P$10,IF(B38&lt;=Hypothèses!$C$11,Hypothèses!$P$11,IF(B38&lt;=Hypothèses!$C$12,Hypothèses!$P$12,IF(B38&lt;=Hypothèses!$C$13,Hypothèses!$P$13,IF(B38&lt;=Hypothèses!$C$14,Hypothèses!$P$14,IF(B38&lt;=Hypothèses!$C$15,Hypothèses!$P$15,IF(B38&lt;=Hypothèses!$C$16,Hypothèses!$P$16,IF(B38&lt;=Hypothèses!$C$17,Hypothèses!$P$17,IF(B38&lt;=Hypothèses!$C$18,Hypothèses!$P$18,I37))))))))))))</f>
        <v>#N/A</v>
      </c>
      <c r="J38" s="91" t="e">
        <f t="array" ref="J38">INDEX('Coeff EC7'!$D$33:$Q$33,1,MATCH(D38&amp;E38,'Coeff EC7'!$D$31:$Q$31&amp;'Coeff EC7'!$D$32:$Q$32,0))</f>
        <v>#N/A</v>
      </c>
      <c r="K38" s="91" t="e">
        <f t="array" ref="K38">INDEX('Coeff EC7'!$D$34:$Q$34,1,MATCH(D38&amp;E38,'Coeff EC7'!$D$31:$Q$31&amp;'Coeff EC7'!$D$32:$Q$32,0))</f>
        <v>#N/A</v>
      </c>
      <c r="L38" s="91" t="e">
        <f t="array" ref="L38">INDEX('Coeff EC7'!$D$35:$Q$35,1,MATCH(D38&amp;E38,'Coeff EC7'!$D$31:$Q$31&amp;'Coeff EC7'!$D$32:$Q$32,0))</f>
        <v>#N/A</v>
      </c>
      <c r="M38" s="98" t="e">
        <f t="shared" si="8"/>
        <v>#N/A</v>
      </c>
      <c r="N38" s="99" t="e">
        <f t="array" ref="N38">INDEX('Coeff EC7'!$D$7:$Q$27,MATCH($B$3,'Coeff EC7'!$C$7:$C$27,0),MATCH(D38&amp;E38,'Coeff EC7'!$D$5:$Q$5&amp;'Coeff EC7'!$D$6:$Q$6,0))</f>
        <v>#N/A</v>
      </c>
      <c r="O38" s="99" t="e">
        <f t="array" ref="O38">INDEX('Coeff EC7'!$D$41:$Q$61,MATCH($B$3,'Coeff EC7'!$C$41:$C$61,0),MATCH(D38&amp;E38,'Coeff EC7'!$D$39:$Q$39&amp;'Coeff EC7'!$D$40:$Q$40,0))</f>
        <v>#N/A</v>
      </c>
      <c r="P38" s="30" t="e">
        <f t="shared" si="68"/>
        <v>#N/A</v>
      </c>
      <c r="Q38" s="100" t="e">
        <f t="shared" si="10"/>
        <v>#N/A</v>
      </c>
      <c r="R38" s="86" t="b">
        <f t="shared" si="11"/>
        <v>0</v>
      </c>
      <c r="S38" s="86">
        <f t="shared" si="9"/>
        <v>0.5</v>
      </c>
      <c r="T38" s="86">
        <f t="shared" si="12"/>
        <v>0.5</v>
      </c>
      <c r="U38" s="30" t="e">
        <f t="shared" ca="1" si="69"/>
        <v>#DIV/0!</v>
      </c>
      <c r="V38" s="85" t="str">
        <f>IF(B38&lt;=Hypothèses!$V$7,Hypothèses!$W$7,IF(B38&lt;=Hypothèses!$V$8,Hypothèses!$W$8,IF(B38&lt;=Hypothèses!$V$9,Hypothèses!$W$9,IF(B38&lt;=Hypothèses!$V$10,Hypothèses!$W$10,IF(B38&lt;=Hypothèses!$V$11,Hypothèses!$W$11,IF(B38&lt;=Hypothèses!$V$12,Hypothèses!$W$12,IF(B38&lt;=Hypothèses!$V$13,Hypothèses!$W$13,IF(B38&lt;=Hypothèses!$V$14,Hypothèses!$W$14,IF(B38&lt;=Hypothèses!$V$15,Hypothèses!$W$15,IF(B38&lt;=Hypothèses!$V$16,Hypothèses!$W$16,IF(B38&lt;=Hypothèses!$V$17,Hypothèses!$W$17,IF(B38&lt;=Hypothèses!$V$18,Hypothèses!$W$18,""))))))))))))</f>
        <v/>
      </c>
      <c r="W38" s="87" t="e">
        <f t="shared" ca="1" si="116"/>
        <v>#DIV/0!</v>
      </c>
      <c r="X38" s="88" t="str">
        <f>IF(B38&lt;=Hypothèses!$V$7,Hypothèses!$X$7,IF(B38&lt;=Hypothèses!$V$8,Hypothèses!$X$8,IF(B38&lt;=Hypothèses!$V$9,Hypothèses!$X$9,IF(B38&lt;=Hypothèses!$V$10,Hypothèses!$X$10,IF(B38&lt;=Hypothèses!$V$11,Hypothèses!$X$11,IF(B38&lt;=Hypothèses!$V$12,Hypothèses!$X$12,IF(B38&lt;=Hypothèses!$V$13,Hypothèses!$X$13,IF(B38&lt;=Hypothèses!$V$14,Hypothèses!$X$14,IF(B38&lt;=Hypothèses!$V$15,Hypothèses!$X$15,IF(B38&lt;=Hypothèses!$V$16,Hypothèses!$X$16,IF(B38&lt;=Hypothèses!$U$17,Hypothèses!$W$17,IF(B38&lt;=Hypothèses!$U$18,Hypothèses!$W$18,""))))))))))))</f>
        <v/>
      </c>
      <c r="Y38" s="95" t="e">
        <f t="shared" ca="1" si="13"/>
        <v>#DIV/0!</v>
      </c>
      <c r="Z38" s="101" t="e">
        <f t="shared" si="14"/>
        <v>#N/A</v>
      </c>
      <c r="AA38" s="91" t="e">
        <f t="shared" si="15"/>
        <v>#N/A</v>
      </c>
      <c r="AB38" s="30" t="e">
        <f t="shared" si="100"/>
        <v>#N/A</v>
      </c>
      <c r="AC38" s="30" t="e">
        <f t="shared" si="101"/>
        <v>#N/A</v>
      </c>
      <c r="AD38" s="31" t="e">
        <f>IF(OR(Hypothèses!$B$4=17,Hypothèses!$B$4=18,Hypothèses!$B$4=19,Hypothèses!$B$4=20),
IF($D38="Pressio.",
IF(OR($E38=3,$E38=1,$E38=4),AC38,AB38),
IF($D38="Pénétro.",
IF(OR($E38=3,$E38=1,$E38=4),AC38,AB38))),IF($D38="Pressio.",
IF($E38=3,AC38,AB38),
IF($D38="Pénétro.",
IF($E38=4,AC38,AB38))))</f>
        <v>#N/A</v>
      </c>
      <c r="AE38" s="31" t="e">
        <f>(IF(OR(Hypothèses!$B$4=17,Hypothèses!$B$4=18,Hypothèses!$B$4=19,Hypothèses!$B$4=20),
IF($D38="Pressio.",
IF(OR($E38=3,$E38=1,$E38=4),(PI()*AE$12^2)/4*(AA38*$W38*1000)/($H38*$B$5),(PI()*AE$12^2)/4*(AA38*$W38*1000)/($G38*$B$5)),
IF($D38="Pénétro.",
IF(OR($E38=4,$E38=1,$E38=5),(PI()*AE$12^2)/4*(AA38*$W38*1000)/($H38*$B$5),(PI()*AE$12^2)/4*(AA38*$W38*1000)/($G38*$B$5)))),
IF($D38="Pressio.",
IF($E38=3,(PI()*AE$12^2)/4*(AA38*$W38*1000)/($H38*$B$5),(PI()*AE$12^2)/4*(AA38*$W38*1000)/($G38*$B$5)),
IF($D38="Pénétro.",
IF($E38=4,(PI()*AE$12^2)/4*(AA38*$W38*1000)/($H38*$B$5),(PI()*AE$12^2)/4*(AA38*$W38*1000)/($G38*$B$5))))))/10</f>
        <v>#N/A</v>
      </c>
      <c r="AF38" s="102" t="e">
        <f>(VLOOKUP($B$3,'Coeff EC7'!$T$39:$X$59,2,0)*AD38+VLOOKUP($B$3,'Coeff EC7'!$T$65:$X$85,2,0)*Model0.1C!AE38)/1.1</f>
        <v>#N/A</v>
      </c>
      <c r="AG38" s="102" t="e">
        <f>(VLOOKUP($B$3,'Coeff EC7'!$T$39:$X$59,3,0)*AD38+VLOOKUP($B$3,'Coeff EC7'!$T$65:$X$85,3,0)*Model0.1C!AE38)/0.9</f>
        <v>#N/A</v>
      </c>
      <c r="AH38" s="102" t="e">
        <f t="shared" si="18"/>
        <v>#N/A</v>
      </c>
      <c r="AI38" s="102" t="e">
        <f t="shared" si="19"/>
        <v>#N/A</v>
      </c>
      <c r="AJ38" s="414" t="e">
        <f>IF(AJ37=0,0,IF(AND(AF38&gt;charge_ELS_quasi,AG38&gt;Charge_ELS_freq,AH38&gt;charge_ELU,AI38&gt;charge_ELA,$B38&gt;NDC!$H$22-0.1+MIN(3*$AJ$12,1.5)),0,1))</f>
        <v>#N/A</v>
      </c>
      <c r="AK38" s="86" t="b">
        <f t="shared" si="20"/>
        <v>0</v>
      </c>
      <c r="AL38" s="86">
        <f t="shared" si="70"/>
        <v>0.5</v>
      </c>
      <c r="AM38" s="86">
        <f t="shared" si="21"/>
        <v>0.5</v>
      </c>
      <c r="AN38" s="30" t="e">
        <f t="shared" ca="1" si="71"/>
        <v>#DIV/0!</v>
      </c>
      <c r="AO38" s="85" t="e">
        <f ca="1">IF(U38&lt;=Hypothèses!$V$7,Hypothèses!$W$7,IF(U38&lt;=Hypothèses!$V$8,Hypothèses!$W$8,IF(U38&lt;=Hypothèses!$V$9,Hypothèses!$W$9,IF(U38&lt;=Hypothèses!$V$10,Hypothèses!$W$10,IF(U38&lt;=Hypothèses!$V$11,Hypothèses!$W$11,IF(U38&lt;=Hypothèses!$V$12,Hypothèses!$W$12,IF(U38&lt;=Hypothèses!$V$13,Hypothèses!$W$13,IF(U38&lt;=Hypothèses!$V$14,Hypothèses!$W$14,IF(U38&lt;=Hypothèses!$V$15,Hypothèses!$W$15,IF(U38&lt;=Hypothèses!$V$16,Hypothèses!$W$16,IF(U38&lt;=Hypothèses!$V$17,Hypothèses!$W$17,IF(U38&lt;=Hypothèses!$V$18,Hypothèses!$W$18,""))))))))))))</f>
        <v>#DIV/0!</v>
      </c>
      <c r="AP38" s="87" t="e">
        <f t="shared" ca="1" si="117"/>
        <v>#DIV/0!</v>
      </c>
      <c r="AQ38" s="88" t="e">
        <f ca="1">IF(U38&lt;=Hypothèses!$V$7,Hypothèses!$X$7,IF(U38&lt;=Hypothèses!$V$8,Hypothèses!$X$8,IF(U38&lt;=Hypothèses!$V$9,Hypothèses!$X$9,IF(U38&lt;=Hypothèses!$V$10,Hypothèses!$X$10,IF(U38&lt;=Hypothèses!$V$11,Hypothèses!$X$11,IF(U38&lt;=Hypothèses!$V$12,Hypothèses!$X$12,IF(U38&lt;=Hypothèses!$V$13,Hypothèses!$X$13,IF(U38&lt;=Hypothèses!$V$14,Hypothèses!$X$14,IF(U38&lt;=Hypothèses!$V$15,Hypothèses!$X$15,IF(U38&lt;=Hypothèses!$V$16,Hypothèses!$X$16,IF(U38&lt;=Hypothèses!$U$17,Hypothèses!$W$17,IF(U38&lt;=Hypothèses!$U$18,Hypothèses!$W$18,""))))))))))))</f>
        <v>#DIV/0!</v>
      </c>
      <c r="AR38" s="95" t="e">
        <f t="shared" ca="1" si="72"/>
        <v>#DIV/0!</v>
      </c>
      <c r="AS38" s="101" t="e">
        <f t="shared" si="124"/>
        <v>#N/A</v>
      </c>
      <c r="AT38" s="91" t="e">
        <f t="shared" si="23"/>
        <v>#N/A</v>
      </c>
      <c r="AU38" s="30" t="e">
        <f t="shared" si="102"/>
        <v>#N/A</v>
      </c>
      <c r="AV38" s="30" t="e">
        <f t="shared" si="103"/>
        <v>#N/A</v>
      </c>
      <c r="AW38" s="31" t="e">
        <f>IF(OR(Hypothèses!$B$4=17,Hypothèses!$B$4=18,Hypothèses!$B$4=19,Hypothèses!$B$4=20),
IF($D38="Pressio.",
IF(OR($E38=3,$E38=1,$E38=4),AV38,AU38),
IF($D38="Pénétro.",
IF(OR($E38=3,$E38=1,$E38=4),AV38,AU38))),IF($D38="Pressio.",
IF($E38=3,AV38,AU38),
IF($D38="Pénétro.",
IF($E38=4,AV38,AU38))))</f>
        <v>#N/A</v>
      </c>
      <c r="AX38" s="31" t="e">
        <f>(IF(OR(Hypothèses!$B$4=17,Hypothèses!$B$4=18,Hypothèses!$B$4=19,Hypothèses!$B$4=20),
IF($D38="Pressio.",
IF(OR($E38=3,$E38=1,$E38=4),(PI()*AX$12^2)/4*(AT38*$W38*1000)/($H38*$B$5),(PI()*AX$12^2)/4*(AT38*$W38*1000)/($G38*$B$5)),
IF($D38="Pénétro.",
IF(OR($E38=4,$E38=1,$E38=5),(PI()*AX$12^2)/4*(AT38*$W38*1000)/($H38*$B$5),(PI()*AX$12^2)/4*(AT38*$W38*1000)/($G38*$B$5)))),
IF($D38="Pressio.",
IF($E38=3,(PI()*AX$12^2)/4*(AT38*$W38*1000)/($H38*$B$5),(PI()*AX$12^2)/4*(AT38*$W38*1000)/($G38*$B$5)),
IF($D38="Pénétro.",
IF($E38=4,(PI()*AX$12^2)/4*(AT38*$W38*1000)/($H38*$B$5),(PI()*AX$12^2)/4*(AT38*$W38*1000)/($G38*$B$5))))))/10</f>
        <v>#N/A</v>
      </c>
      <c r="AY38" s="102" t="e">
        <f>(VLOOKUP($B$3,'Coeff EC7'!$T$39:$X$59,2,0)*AW38+VLOOKUP($B$3,'Coeff EC7'!$T$65:$X$85,2,0)*Model0.1C!AX38)/1.1</f>
        <v>#N/A</v>
      </c>
      <c r="AZ38" s="102" t="e">
        <f>(VLOOKUP($B$3,'Coeff EC7'!$T$39:$X$59,3,0)*AW38+VLOOKUP($B$3,'Coeff EC7'!$T$65:$X$85,3,0)*Model0.1C!AX38)/0.9</f>
        <v>#N/A</v>
      </c>
      <c r="BA38" s="102" t="e">
        <f t="shared" si="73"/>
        <v>#N/A</v>
      </c>
      <c r="BB38" s="102" t="e">
        <f t="shared" si="74"/>
        <v>#N/A</v>
      </c>
      <c r="BC38" s="414" t="e">
        <f>IF(BC37=0,0,IF(AND(AY38&gt;charge_ELS_quasi,AZ38&gt;Charge_ELS_freq,BA38&gt;charge_ELU,BB38&gt;charge_ELA,$B38&gt;NDC!$H$22-0.1+MIN(3*$BC$12,1.5)),0,1))</f>
        <v>#N/A</v>
      </c>
      <c r="BD38" s="86" t="b">
        <f t="shared" si="26"/>
        <v>0</v>
      </c>
      <c r="BE38" s="86">
        <f t="shared" si="75"/>
        <v>0.5</v>
      </c>
      <c r="BF38" s="86">
        <f t="shared" si="27"/>
        <v>0.5</v>
      </c>
      <c r="BG38" s="30" t="e">
        <f t="shared" ca="1" si="76"/>
        <v>#DIV/0!</v>
      </c>
      <c r="BH38" s="85" t="e">
        <f ca="1">IF(AN38&lt;=Hypothèses!$V$7,Hypothèses!$W$7,IF(AN38&lt;=Hypothèses!$V$8,Hypothèses!$W$8,IF(AN38&lt;=Hypothèses!$V$9,Hypothèses!$W$9,IF(AN38&lt;=Hypothèses!$V$10,Hypothèses!$W$10,IF(AN38&lt;=Hypothèses!$V$11,Hypothèses!$W$11,IF(AN38&lt;=Hypothèses!$V$12,Hypothèses!$W$12,IF(AN38&lt;=Hypothèses!$V$13,Hypothèses!$W$13,IF(AN38&lt;=Hypothèses!$V$14,Hypothèses!$W$14,IF(AN38&lt;=Hypothèses!$V$15,Hypothèses!$W$15,IF(AN38&lt;=Hypothèses!$V$16,Hypothèses!$W$16,IF(AN38&lt;=Hypothèses!$V$17,Hypothèses!$W$17,IF(AN38&lt;=Hypothèses!$V$18,Hypothèses!$W$18,""))))))))))))</f>
        <v>#DIV/0!</v>
      </c>
      <c r="BI38" s="87" t="e">
        <f t="shared" ca="1" si="118"/>
        <v>#DIV/0!</v>
      </c>
      <c r="BJ38" s="88" t="e">
        <f ca="1">IF(AN38&lt;=Hypothèses!$V$7,Hypothèses!$X$7,IF(AN38&lt;=Hypothèses!$V$8,Hypothèses!$X$8,IF(AN38&lt;=Hypothèses!$V$9,Hypothèses!$X$9,IF(AN38&lt;=Hypothèses!$V$10,Hypothèses!$X$10,IF(AN38&lt;=Hypothèses!$V$11,Hypothèses!$X$11,IF(AN38&lt;=Hypothèses!$V$12,Hypothèses!$X$12,IF(AN38&lt;=Hypothèses!$V$13,Hypothèses!$X$13,IF(AN38&lt;=Hypothèses!$V$14,Hypothèses!$X$14,IF(AN38&lt;=Hypothèses!$V$15,Hypothèses!$X$15,IF(AN38&lt;=Hypothèses!$V$16,Hypothèses!$X$16,IF(AN38&lt;=Hypothèses!$U$17,Hypothèses!$W$17,IF(AN38&lt;=Hypothèses!$U$18,Hypothèses!$W$18,""))))))))))))</f>
        <v>#DIV/0!</v>
      </c>
      <c r="BK38" s="95" t="e">
        <f t="shared" ca="1" si="77"/>
        <v>#DIV/0!</v>
      </c>
      <c r="BL38" s="101" t="e">
        <f t="shared" si="125"/>
        <v>#N/A</v>
      </c>
      <c r="BM38" s="91" t="e">
        <f t="shared" si="29"/>
        <v>#N/A</v>
      </c>
      <c r="BN38" s="30" t="e">
        <f t="shared" si="104"/>
        <v>#N/A</v>
      </c>
      <c r="BO38" s="30" t="e">
        <f t="shared" si="105"/>
        <v>#N/A</v>
      </c>
      <c r="BP38" s="31" t="e">
        <f>IF(OR(Hypothèses!$B$4=17,Hypothèses!$B$4=18,Hypothèses!$B$4=19,Hypothèses!$B$4=20),
IF($D38="Pressio.",
IF(OR($E38=3,$E38=1,$E38=4),BO38,BN38),
IF($D38="Pénétro.",
IF(OR($E38=3,$E38=1,$E38=4),BO38,BN38))),IF($D38="Pressio.",
IF($E38=3,BO38,BN38),
IF($D38="Pénétro.",
IF($E38=4,BO38,BN38))))</f>
        <v>#N/A</v>
      </c>
      <c r="BQ38" s="31" t="e">
        <f>(IF(OR(Hypothèses!$B$4=17,Hypothèses!$B$4=18,Hypothèses!$B$4=19,Hypothèses!$B$4=20),
IF($D38="Pressio.",
IF(OR($E38=3,$E38=1,$E38=4),(PI()*BQ$12^2)/4*(BM38*$W38*1000)/($H38*$B$5),(PI()*BQ$12^2)/4*(BM38*$W38*1000)/($G38*$B$5)),
IF($D38="Pénétro.",
IF(OR($E38=4,$E38=1,$E38=5),(PI()*BQ$12^2)/4*(BM38*$W38*1000)/($H38*$B$5),(PI()*BQ$12^2)/4*(BM38*$W38*1000)/($G38*$B$5)))),
IF($D38="Pressio.",
IF($E38=3,(PI()*BQ$12^2)/4*(BM38*$W38*1000)/($H38*$B$5),(PI()*BQ$12^2)/4*(BM38*$W38*1000)/($G38*$B$5)),
IF($D38="Pénétro.",
IF($E38=4,(PI()*BQ$12^2)/4*(BM38*$W38*1000)/($H38*$B$5),(PI()*BQ$12^2)/4*(BM38*$W38*1000)/($G38*$B$5))))))/10</f>
        <v>#N/A</v>
      </c>
      <c r="BR38" s="102" t="e">
        <f>(VLOOKUP($B$3,'Coeff EC7'!$T$39:$X$59,2,0)*BP38+VLOOKUP($B$3,'Coeff EC7'!$T$65:$X$85,2,0)*Model0.1C!BQ38)/1.1</f>
        <v>#N/A</v>
      </c>
      <c r="BS38" s="102" t="e">
        <f>(VLOOKUP($B$3,'Coeff EC7'!$T$39:$X$59,3,0)*BP38+VLOOKUP($B$3,'Coeff EC7'!$T$65:$X$85,3,0)*Model0.1C!BQ38)/0.9</f>
        <v>#N/A</v>
      </c>
      <c r="BT38" s="102" t="e">
        <f t="shared" si="78"/>
        <v>#N/A</v>
      </c>
      <c r="BU38" s="102" t="e">
        <f t="shared" si="79"/>
        <v>#N/A</v>
      </c>
      <c r="BV38" s="414" t="e">
        <f>IF(BV37=0,0,IF(AND(BR38&gt;charge_ELS_quasi,BS38&gt;Charge_ELS_freq,BT38&gt;charge_ELU,BU38&gt;charge_ELA,$B38&gt;NDC!$H$22-0.1+MIN(3*$BV$12,1.5)),0,1))</f>
        <v>#N/A</v>
      </c>
      <c r="BW38" s="86" t="b">
        <f t="shared" si="32"/>
        <v>0</v>
      </c>
      <c r="BX38" s="86">
        <f t="shared" si="33"/>
        <v>0.5</v>
      </c>
      <c r="BY38" s="86">
        <f t="shared" si="34"/>
        <v>0.5</v>
      </c>
      <c r="BZ38" s="30" t="e">
        <f t="shared" ca="1" si="80"/>
        <v>#DIV/0!</v>
      </c>
      <c r="CA38" s="85" t="e">
        <f ca="1">IF(BG38&lt;=Hypothèses!$V$7,Hypothèses!$W$7,IF(BG38&lt;=Hypothèses!$V$8,Hypothèses!$W$8,IF(BG38&lt;=Hypothèses!$V$9,Hypothèses!$W$9,IF(BG38&lt;=Hypothèses!$V$10,Hypothèses!$W$10,IF(BG38&lt;=Hypothèses!$V$11,Hypothèses!$W$11,IF(BG38&lt;=Hypothèses!$V$12,Hypothèses!$W$12,IF(BG38&lt;=Hypothèses!$V$13,Hypothèses!$W$13,IF(BG38&lt;=Hypothèses!$V$14,Hypothèses!$W$14,IF(BG38&lt;=Hypothèses!$V$15,Hypothèses!$W$15,IF(BG38&lt;=Hypothèses!$V$16,Hypothèses!$W$16,IF(BG38&lt;=Hypothèses!$V$17,Hypothèses!$W$17,IF(BG38&lt;=Hypothèses!$V$18,Hypothèses!$W$18,""))))))))))))</f>
        <v>#DIV/0!</v>
      </c>
      <c r="CB38" s="87" t="e">
        <f t="shared" ca="1" si="119"/>
        <v>#DIV/0!</v>
      </c>
      <c r="CC38" s="88" t="e">
        <f ca="1">IF(BG38&lt;=Hypothèses!$V$7,Hypothèses!$X$7,IF(BG38&lt;=Hypothèses!$V$8,Hypothèses!$X$8,IF(BG38&lt;=Hypothèses!$V$9,Hypothèses!$X$9,IF(BG38&lt;=Hypothèses!$V$10,Hypothèses!$X$10,IF(BG38&lt;=Hypothèses!$V$11,Hypothèses!$X$11,IF(BG38&lt;=Hypothèses!$V$12,Hypothèses!$X$12,IF(BG38&lt;=Hypothèses!$V$13,Hypothèses!$X$13,IF(BG38&lt;=Hypothèses!$V$14,Hypothèses!$X$14,IF(BG38&lt;=Hypothèses!$V$15,Hypothèses!$X$15,IF(BG38&lt;=Hypothèses!$V$16,Hypothèses!$X$16,IF(BG38&lt;=Hypothèses!$U$17,Hypothèses!$W$17,IF(BG38&lt;=Hypothèses!$U$18,Hypothèses!$W$18,""))))))))))))</f>
        <v>#DIV/0!</v>
      </c>
      <c r="CD38" s="95" t="e">
        <f t="shared" ca="1" si="81"/>
        <v>#DIV/0!</v>
      </c>
      <c r="CE38" s="101" t="e">
        <f t="shared" si="126"/>
        <v>#N/A</v>
      </c>
      <c r="CF38" s="91" t="e">
        <f t="shared" si="36"/>
        <v>#N/A</v>
      </c>
      <c r="CG38" s="30" t="e">
        <f t="shared" si="106"/>
        <v>#N/A</v>
      </c>
      <c r="CH38" s="30" t="e">
        <f t="shared" si="107"/>
        <v>#N/A</v>
      </c>
      <c r="CI38" s="31" t="e">
        <f>IF(OR(Hypothèses!$B$4=17,Hypothèses!$B$4=18,Hypothèses!$B$4=19,Hypothèses!$B$4=20),
IF($D38="Pressio.",
IF(OR($E38=3,$E38=1,$E38=4),CH38,CG38),
IF($D38="Pénétro.",
IF(OR($E38=3,$E38=1,$E38=4),CH38,CG38))),IF($D38="Pressio.",
IF($E38=3,CH38,CG38),
IF($D38="Pénétro.",
IF($E38=4,CH38,CG38))))</f>
        <v>#N/A</v>
      </c>
      <c r="CJ38" s="31" t="e">
        <f>(IF(OR(Hypothèses!$B$4=17,Hypothèses!$B$4=18,Hypothèses!$B$4=19,Hypothèses!$B$4=20),
IF($D38="Pressio.",
IF(OR($E38=3,$E38=1,$E38=4),(PI()*CJ$12^2)/4*(CF38*$W38*1000)/($H38*$B$5),(PI()*CJ$12^2)/4*(CF38*$W38*1000)/($G38*$B$5)),
IF($D38="Pénétro.",
IF(OR($E38=4,$E38=1,$E38=5),(PI()*CJ$12^2)/4*(CF38*$W38*1000)/($H38*$B$5),(PI()*CJ$12^2)/4*(CF38*$W38*1000)/($G38*$B$5)))),
IF($D38="Pressio.",
IF($E38=3,(PI()*CJ$12^2)/4*(CF38*$W38*1000)/($H38*$B$5),(PI()*CJ$12^2)/4*(CF38*$W38*1000)/($G38*$B$5)),
IF($D38="Pénétro.",
IF($E38=4,(PI()*CJ$12^2)/4*(CF38*$W38*1000)/($H38*$B$5),(PI()*CJ$12^2)/4*(CF38*$W38*1000)/($G38*$B$5))))))/10</f>
        <v>#N/A</v>
      </c>
      <c r="CK38" s="102" t="e">
        <f>(VLOOKUP($B$3,'Coeff EC7'!$T$39:$X$59,2,0)*CI38+VLOOKUP($B$3,'Coeff EC7'!$T$65:$X$85,2,0)*Model0.1C!CJ38)/1.1</f>
        <v>#N/A</v>
      </c>
      <c r="CL38" s="102" t="e">
        <f>(VLOOKUP($B$3,'Coeff EC7'!$T$39:$X$59,3,0)*CI38+VLOOKUP($B$3,'Coeff EC7'!$T$65:$X$85,3,0)*Model0.1C!CJ38)/0.9</f>
        <v>#N/A</v>
      </c>
      <c r="CM38" s="102" t="e">
        <f t="shared" si="82"/>
        <v>#N/A</v>
      </c>
      <c r="CN38" s="102" t="e">
        <f t="shared" si="83"/>
        <v>#N/A</v>
      </c>
      <c r="CO38" s="414" t="e">
        <f>IF(CO37=0,0,IF(AND(CK38&gt;charge_ELS_quasi,CL38&gt;Charge_ELS_freq,CM38&gt;charge_ELU,CN38&gt;charge_ELA,$B38&gt;NDC!$H$22-0.1+MIN(3*$CO$12,1.5)),0,1))</f>
        <v>#N/A</v>
      </c>
      <c r="CP38" s="86" t="b">
        <f t="shared" si="39"/>
        <v>0</v>
      </c>
      <c r="CQ38" s="86">
        <f t="shared" si="40"/>
        <v>0.5</v>
      </c>
      <c r="CR38" s="86">
        <f t="shared" si="41"/>
        <v>0.5</v>
      </c>
      <c r="CS38" s="30" t="e">
        <f t="shared" ca="1" si="84"/>
        <v>#DIV/0!</v>
      </c>
      <c r="CT38" s="85" t="e">
        <f ca="1">IF(BZ38&lt;=Hypothèses!$V$7,Hypothèses!$W$7,IF(BZ38&lt;=Hypothèses!$V$8,Hypothèses!$W$8,IF(BZ38&lt;=Hypothèses!$V$9,Hypothèses!$W$9,IF(BZ38&lt;=Hypothèses!$V$10,Hypothèses!$W$10,IF(BZ38&lt;=Hypothèses!$V$11,Hypothèses!$W$11,IF(BZ38&lt;=Hypothèses!$V$12,Hypothèses!$W$12,IF(BZ38&lt;=Hypothèses!$V$13,Hypothèses!$W$13,IF(BZ38&lt;=Hypothèses!$V$14,Hypothèses!$W$14,IF(BZ38&lt;=Hypothèses!$V$15,Hypothèses!$W$15,IF(BZ38&lt;=Hypothèses!$V$16,Hypothèses!$W$16,IF(BZ38&lt;=Hypothèses!$V$17,Hypothèses!$W$17,IF(BZ38&lt;=Hypothèses!$V$18,Hypothèses!$W$18,""))))))))))))</f>
        <v>#DIV/0!</v>
      </c>
      <c r="CU38" s="87" t="e">
        <f t="shared" ca="1" si="120"/>
        <v>#DIV/0!</v>
      </c>
      <c r="CV38" s="88" t="e">
        <f ca="1">IF(BZ38&lt;=Hypothèses!$V$7,Hypothèses!$X$7,IF(BZ38&lt;=Hypothèses!$V$8,Hypothèses!$X$8,IF(BZ38&lt;=Hypothèses!$V$9,Hypothèses!$X$9,IF(BZ38&lt;=Hypothèses!$V$10,Hypothèses!$X$10,IF(BZ38&lt;=Hypothèses!$V$11,Hypothèses!$X$11,IF(BZ38&lt;=Hypothèses!$V$12,Hypothèses!$X$12,IF(BZ38&lt;=Hypothèses!$V$13,Hypothèses!$X$13,IF(BZ38&lt;=Hypothèses!$V$14,Hypothèses!$X$14,IF(BZ38&lt;=Hypothèses!$V$15,Hypothèses!$X$15,IF(BZ38&lt;=Hypothèses!$V$16,Hypothèses!$X$16,IF(BZ38&lt;=Hypothèses!$U$17,Hypothèses!$W$17,IF(BZ38&lt;=Hypothèses!$U$18,Hypothèses!$W$18,""))))))))))))</f>
        <v>#DIV/0!</v>
      </c>
      <c r="CW38" s="95" t="e">
        <f t="shared" ca="1" si="85"/>
        <v>#DIV/0!</v>
      </c>
      <c r="CX38" s="101" t="e">
        <f t="shared" si="127"/>
        <v>#N/A</v>
      </c>
      <c r="CY38" s="91" t="e">
        <f t="shared" si="43"/>
        <v>#N/A</v>
      </c>
      <c r="CZ38" s="30" t="e">
        <f t="shared" si="108"/>
        <v>#N/A</v>
      </c>
      <c r="DA38" s="30" t="e">
        <f t="shared" si="109"/>
        <v>#N/A</v>
      </c>
      <c r="DB38" s="31" t="e">
        <f>IF(OR(Hypothèses!$B$4=17,Hypothèses!$B$4=18,Hypothèses!$B$4=19,Hypothèses!$B$4=20),
IF($D38="Pressio.",
IF(OR($E38=3,$E38=1,$E38=4),DA38,CZ38),
IF($D38="Pénétro.",
IF(OR($E38=3,$E38=1,$E38=4),DA38,CZ38))),IF($D38="Pressio.",
IF($E38=3,DA38,CZ38),
IF($D38="Pénétro.",
IF($E38=4,DA38,CZ38))))</f>
        <v>#N/A</v>
      </c>
      <c r="DC38" s="31" t="e">
        <f>(IF(OR(Hypothèses!$B$4=17,Hypothèses!$B$4=18,Hypothèses!$B$4=19,Hypothèses!$B$4=20),
IF($D38="Pressio.",
IF(OR($E38=3,$E38=1,$E38=4),(PI()*DC$12^2)/4*(CY38*$W38*1000)/($H38*$B$5),(PI()*DC$12^2)/4*(CY38*$W38*1000)/($G38*$B$5)),
IF($D38="Pénétro.",
IF(OR($E38=4,$E38=1,$E38=5),(PI()*DC$12^2)/4*(CY38*$W38*1000)/($H38*$B$5),(PI()*DC$12^2)/4*(CY38*$W38*1000)/($G38*$B$5)))),
IF($D38="Pressio.",
IF($E38=3,(PI()*DC$12^2)/4*(CY38*$W38*1000)/($H38*$B$5),(PI()*DC$12^2)/4*(CY38*$W38*1000)/($G38*$B$5)),
IF($D38="Pénétro.",
IF($E38=4,(PI()*DC$12^2)/4*(CY38*$W38*1000)/($H38*$B$5),(PI()*DC$12^2)/4*(CY38*$W38*1000)/($G38*$B$5))))))/10</f>
        <v>#N/A</v>
      </c>
      <c r="DD38" s="102" t="e">
        <f>(VLOOKUP($B$3,'Coeff EC7'!$T$39:$X$59,2,0)*DB38+VLOOKUP($B$3,'Coeff EC7'!$T$65:$X$85,2,0)*Model0.1C!DC38)/1.1</f>
        <v>#N/A</v>
      </c>
      <c r="DE38" s="102" t="e">
        <f>(VLOOKUP($B$3,'Coeff EC7'!$T$39:$X$59,3,0)*DB38+VLOOKUP($B$3,'Coeff EC7'!$T$65:$X$85,3,0)*Model0.1C!DC38)/0.9</f>
        <v>#N/A</v>
      </c>
      <c r="DF38" s="102" t="e">
        <f t="shared" si="86"/>
        <v>#N/A</v>
      </c>
      <c r="DG38" s="102" t="e">
        <f t="shared" si="87"/>
        <v>#N/A</v>
      </c>
      <c r="DH38" s="414" t="e">
        <f>IF(DH37=0,0,IF(AND(DD38&gt;charge_ELS_quasi,DE38&gt;Charge_ELS_freq,DF38&gt;charge_ELU,DG38&gt;charge_ELA,$B38&gt;NDC!$H$22-0.1+MIN(3*$DH$12,1.5)),0,1))</f>
        <v>#N/A</v>
      </c>
      <c r="DI38" s="86" t="b">
        <f t="shared" si="46"/>
        <v>0</v>
      </c>
      <c r="DJ38" s="86">
        <f t="shared" si="47"/>
        <v>0.5</v>
      </c>
      <c r="DK38" s="86">
        <f t="shared" si="48"/>
        <v>0.5</v>
      </c>
      <c r="DL38" s="30" t="e">
        <f t="shared" ca="1" si="88"/>
        <v>#DIV/0!</v>
      </c>
      <c r="DM38" s="85" t="e">
        <f ca="1">IF(CS38&lt;=Hypothèses!$V$7,Hypothèses!$W$7,IF(CS38&lt;=Hypothèses!$V$8,Hypothèses!$W$8,IF(CS38&lt;=Hypothèses!$V$9,Hypothèses!$W$9,IF(CS38&lt;=Hypothèses!$V$10,Hypothèses!$W$10,IF(CS38&lt;=Hypothèses!$V$11,Hypothèses!$W$11,IF(CS38&lt;=Hypothèses!$V$12,Hypothèses!$W$12,IF(CS38&lt;=Hypothèses!$V$13,Hypothèses!$W$13,IF(CS38&lt;=Hypothèses!$V$14,Hypothèses!$W$14,IF(CS38&lt;=Hypothèses!$V$15,Hypothèses!$W$15,IF(CS38&lt;=Hypothèses!$V$16,Hypothèses!$W$16,IF(CS38&lt;=Hypothèses!$V$17,Hypothèses!$W$17,IF(CS38&lt;=Hypothèses!$V$18,Hypothèses!$W$18,""))))))))))))</f>
        <v>#DIV/0!</v>
      </c>
      <c r="DN38" s="87" t="e">
        <f t="shared" ca="1" si="121"/>
        <v>#DIV/0!</v>
      </c>
      <c r="DO38" s="88" t="e">
        <f ca="1">IF(CS38&lt;=Hypothèses!$V$7,Hypothèses!$X$7,IF(CS38&lt;=Hypothèses!$V$8,Hypothèses!$X$8,IF(CS38&lt;=Hypothèses!$V$9,Hypothèses!$X$9,IF(CS38&lt;=Hypothèses!$V$10,Hypothèses!$X$10,IF(CS38&lt;=Hypothèses!$V$11,Hypothèses!$X$11,IF(CS38&lt;=Hypothèses!$V$12,Hypothèses!$X$12,IF(CS38&lt;=Hypothèses!$V$13,Hypothèses!$X$13,IF(CS38&lt;=Hypothèses!$V$14,Hypothèses!$X$14,IF(CS38&lt;=Hypothèses!$V$15,Hypothèses!$X$15,IF(CS38&lt;=Hypothèses!$V$16,Hypothèses!$X$16,IF(CS38&lt;=Hypothèses!$U$17,Hypothèses!$W$17,IF(CS38&lt;=Hypothèses!$U$18,Hypothèses!$W$18,""))))))))))))</f>
        <v>#DIV/0!</v>
      </c>
      <c r="DP38" s="95" t="e">
        <f t="shared" ca="1" si="89"/>
        <v>#DIV/0!</v>
      </c>
      <c r="DQ38" s="101" t="e">
        <f t="shared" si="128"/>
        <v>#N/A</v>
      </c>
      <c r="DR38" s="91" t="e">
        <f t="shared" si="50"/>
        <v>#N/A</v>
      </c>
      <c r="DS38" s="30" t="e">
        <f t="shared" si="110"/>
        <v>#N/A</v>
      </c>
      <c r="DT38" s="30" t="e">
        <f t="shared" si="111"/>
        <v>#N/A</v>
      </c>
      <c r="DU38" s="31" t="e">
        <f>IF(OR(Hypothèses!$B$4=17,Hypothèses!$B$4=18,Hypothèses!$B$4=19,Hypothèses!$B$4=20),
IF($D38="Pressio.",
IF(OR($E38=3,$E38=1,$E38=4),DT38,DS38),
IF($D38="Pénétro.",
IF(OR($E38=3,$E38=1,$E38=4),DT38,DS38))),IF($D38="Pressio.",
IF($E38=3,DT38,DS38),
IF($D38="Pénétro.",
IF($E38=4,DT38,DS38))))</f>
        <v>#N/A</v>
      </c>
      <c r="DV38" s="31" t="e">
        <f>(IF(OR(Hypothèses!$B$4=17,Hypothèses!$B$4=18,Hypothèses!$B$4=19,Hypothèses!$B$4=20),
IF($D38="Pressio.",
IF(OR($E38=3,$E38=1,$E38=4),(PI()*DV$12^2)/4*(DR38*$W38*1000)/($H38*$B$5),(PI()*DV$12^2)/4*(DR38*$W38*1000)/($G38*$B$5)),
IF($D38="Pénétro.",
IF(OR($E38=4,$E38=1,$E38=5),(PI()*DV$12^2)/4*(DR38*$W38*1000)/($H38*$B$5),(PI()*DV$12^2)/4*(DR38*$W38*1000)/($G38*$B$5)))),
IF($D38="Pressio.",
IF($E38=3,(PI()*DV$12^2)/4*(DR38*$W38*1000)/($H38*$B$5),(PI()*DV$12^2)/4*(DR38*$W38*1000)/($G38*$B$5)),
IF($D38="Pénétro.",
IF($E38=4,(PI()*DV$12^2)/4*(DR38*$W38*1000)/($H38*$B$5),(PI()*DV$12^2)/4*(DR38*$W38*1000)/($G38*$B$5))))))/10</f>
        <v>#N/A</v>
      </c>
      <c r="DW38" s="102" t="e">
        <f>(VLOOKUP($B$3,'Coeff EC7'!$T$39:$X$59,2,0)*DU38+VLOOKUP($B$3,'Coeff EC7'!$T$65:$X$85,2,0)*Model0.1C!DV38)/1.1</f>
        <v>#N/A</v>
      </c>
      <c r="DX38" s="102" t="e">
        <f>(VLOOKUP($B$3,'Coeff EC7'!$T$39:$X$59,3,0)*DU38+VLOOKUP($B$3,'Coeff EC7'!$T$65:$X$85,3,0)*Model0.1C!DV38)/0.9</f>
        <v>#N/A</v>
      </c>
      <c r="DY38" s="102" t="e">
        <f t="shared" si="90"/>
        <v>#N/A</v>
      </c>
      <c r="DZ38" s="102" t="e">
        <f t="shared" si="91"/>
        <v>#N/A</v>
      </c>
      <c r="EA38" s="414" t="e">
        <f>IF(EA37=0,0,IF(AND(DW38&gt;charge_ELS_quasi,DX38&gt;Charge_ELS_freq,DY38&gt;charge_ELU,DZ38&gt;charge_ELA,$B38&gt;NDC!$H$22-0.1+MIN(3*$EA$12,1.5)),0,1))</f>
        <v>#N/A</v>
      </c>
      <c r="EB38" s="86" t="b">
        <f t="shared" si="53"/>
        <v>0</v>
      </c>
      <c r="EC38" s="418">
        <f t="shared" si="54"/>
        <v>0.51</v>
      </c>
      <c r="ED38" s="86">
        <f t="shared" si="55"/>
        <v>0.51</v>
      </c>
      <c r="EE38" s="30" t="e">
        <f t="shared" ca="1" si="92"/>
        <v>#DIV/0!</v>
      </c>
      <c r="EF38" s="85" t="e">
        <f ca="1">IF(DL38&lt;=Hypothèses!$V$7,Hypothèses!$W$7,IF(DL38&lt;=Hypothèses!$V$8,Hypothèses!$W$8,IF(DL38&lt;=Hypothèses!$V$9,Hypothèses!$W$9,IF(DL38&lt;=Hypothèses!$V$10,Hypothèses!$W$10,IF(DL38&lt;=Hypothèses!$V$11,Hypothèses!$W$11,IF(DL38&lt;=Hypothèses!$V$12,Hypothèses!$W$12,IF(DL38&lt;=Hypothèses!$V$13,Hypothèses!$W$13,IF(DL38&lt;=Hypothèses!$V$14,Hypothèses!$W$14,IF(DL38&lt;=Hypothèses!$V$15,Hypothèses!$W$15,IF(DL38&lt;=Hypothèses!$V$16,Hypothèses!$W$16,IF(DL38&lt;=Hypothèses!$V$17,Hypothèses!$W$17,IF(DL38&lt;=Hypothèses!$V$18,Hypothèses!$W$18,""))))))))))))</f>
        <v>#DIV/0!</v>
      </c>
      <c r="EG38" s="87" t="e">
        <f t="shared" ca="1" si="122"/>
        <v>#DIV/0!</v>
      </c>
      <c r="EH38" s="88" t="e">
        <f ca="1">IF(DL38&lt;=Hypothèses!$V$7,Hypothèses!$X$7,IF(DL38&lt;=Hypothèses!$V$8,Hypothèses!$X$8,IF(DL38&lt;=Hypothèses!$V$9,Hypothèses!$X$9,IF(DL38&lt;=Hypothèses!$V$10,Hypothèses!$X$10,IF(DL38&lt;=Hypothèses!$V$11,Hypothèses!$X$11,IF(DL38&lt;=Hypothèses!$V$12,Hypothèses!$X$12,IF(DL38&lt;=Hypothèses!$V$13,Hypothèses!$X$13,IF(DL38&lt;=Hypothèses!$V$14,Hypothèses!$X$14,IF(DL38&lt;=Hypothèses!$V$15,Hypothèses!$X$15,IF(DL38&lt;=Hypothèses!$V$16,Hypothèses!$X$16,IF(DL38&lt;=Hypothèses!$U$17,Hypothèses!$W$17,IF(DL38&lt;=Hypothèses!$U$18,Hypothèses!$W$18,""))))))))))))</f>
        <v>#DIV/0!</v>
      </c>
      <c r="EI38" s="95" t="e">
        <f t="shared" ca="1" si="93"/>
        <v>#DIV/0!</v>
      </c>
      <c r="EJ38" s="101" t="e">
        <f t="shared" si="129"/>
        <v>#N/A</v>
      </c>
      <c r="EK38" s="91" t="e">
        <f t="shared" si="57"/>
        <v>#N/A</v>
      </c>
      <c r="EL38" s="30" t="e">
        <f t="shared" si="112"/>
        <v>#N/A</v>
      </c>
      <c r="EM38" s="30" t="e">
        <f t="shared" si="113"/>
        <v>#N/A</v>
      </c>
      <c r="EN38" s="31" t="e">
        <f>IF(OR(Hypothèses!$B$4=17,Hypothèses!$B$4=18,Hypothèses!$B$4=19,Hypothèses!$B$4=20),
IF($D38="Pressio.",
IF(OR($E38=3,$E38=1,$E38=4),EM38,EL38),
IF($D38="Pénétro.",
IF(OR($E38=3,$E38=1,$E38=4),EM38,EL38))),IF($D38="Pressio.",
IF($E38=3,EM38,EL38),
IF($D38="Pénétro.",
IF($E38=4,EM38,EL38))))</f>
        <v>#N/A</v>
      </c>
      <c r="EO38" s="31" t="e">
        <f>(IF(OR(Hypothèses!$B$4=17,Hypothèses!$B$4=18,Hypothèses!$B$4=19,Hypothèses!$B$4=20),
IF($D38="Pressio.",
IF(OR($E38=3,$E38=1,$E38=4),(PI()*EO$12^2)/4*(EK38*$W38*1000)/($H38*$B$5),(PI()*EO$12^2)/4*(EK38*$W38*1000)/($G38*$B$5)),
IF($D38="Pénétro.",
IF(OR($E38=4,$E38=1,$E38=5),(PI()*EO$12^2)/4*(EK38*$W38*1000)/($H38*$B$5),(PI()*EO$12^2)/4*(EK38*$W38*1000)/($G38*$B$5)))),
IF($D38="Pressio.",
IF($E38=3,(PI()*EO$12^2)/4*(EK38*$W38*1000)/($H38*$B$5),(PI()*EO$12^2)/4*(EK38*$W38*1000)/($G38*$B$5)),
IF($D38="Pénétro.",
IF($E38=4,(PI()*EO$12^2)/4*(EK38*$W38*1000)/($H38*$B$5),(PI()*EO$12^2)/4*(EK38*$W38*1000)/($G38*$B$5))))))/10</f>
        <v>#N/A</v>
      </c>
      <c r="EP38" s="102" t="e">
        <f>(VLOOKUP($B$3,'Coeff EC7'!$T$39:$X$59,2,0)*EN38+VLOOKUP($B$3,'Coeff EC7'!$T$65:$X$85,2,0)*Model0.1C!EO38)/1.1</f>
        <v>#N/A</v>
      </c>
      <c r="EQ38" s="102" t="e">
        <f>(VLOOKUP($B$3,'Coeff EC7'!$T$39:$X$59,3,0)*EN38+VLOOKUP($B$3,'Coeff EC7'!$T$65:$X$85,3,0)*Model0.1C!EO38)/0.9</f>
        <v>#N/A</v>
      </c>
      <c r="ER38" s="102" t="e">
        <f t="shared" si="94"/>
        <v>#N/A</v>
      </c>
      <c r="ES38" s="102" t="e">
        <f t="shared" si="95"/>
        <v>#N/A</v>
      </c>
      <c r="ET38" s="414" t="e">
        <f>IF(ET37=0,0,IF(AND(EP38&gt;charge_ELS_quasi,EQ38&gt;Charge_ELS_freq,ER38&gt;charge_ELU,ES38&gt;charge_ELA,$B38&gt;NDC!$H$22-0.1+MIN(3*$ET$12,1.5)),0,1))</f>
        <v>#N/A</v>
      </c>
      <c r="EU38" s="86" t="b">
        <f t="shared" si="60"/>
        <v>0</v>
      </c>
      <c r="EV38" s="86">
        <f t="shared" si="61"/>
        <v>0.61</v>
      </c>
      <c r="EW38" s="86">
        <f t="shared" si="62"/>
        <v>0.61</v>
      </c>
      <c r="EX38" s="30" t="e">
        <f t="shared" ca="1" si="96"/>
        <v>#DIV/0!</v>
      </c>
      <c r="EY38" s="85" t="e">
        <f ca="1">IF(EE38&lt;=Hypothèses!$V$7,Hypothèses!$W$7,IF(EE38&lt;=Hypothèses!$V$8,Hypothèses!$W$8,IF(EE38&lt;=Hypothèses!$V$9,Hypothèses!$W$9,IF(EE38&lt;=Hypothèses!$V$10,Hypothèses!$W$10,IF(EE38&lt;=Hypothèses!$V$11,Hypothèses!$W$11,IF(EE38&lt;=Hypothèses!$V$12,Hypothèses!$W$12,IF(EE38&lt;=Hypothèses!$V$13,Hypothèses!$W$13,IF(EE38&lt;=Hypothèses!$V$14,Hypothèses!$W$14,IF(EE38&lt;=Hypothèses!$V$15,Hypothèses!$W$15,IF(EE38&lt;=Hypothèses!$V$16,Hypothèses!$W$16,IF(EE38&lt;=Hypothèses!$V$17,Hypothèses!$W$17,IF(EE38&lt;=Hypothèses!$V$18,Hypothèses!$W$18,""))))))))))))</f>
        <v>#DIV/0!</v>
      </c>
      <c r="EZ38" s="87" t="e">
        <f t="shared" ca="1" si="123"/>
        <v>#DIV/0!</v>
      </c>
      <c r="FA38" s="88" t="e">
        <f ca="1">IF(EE38&lt;=Hypothèses!$V$7,Hypothèses!$X$7,IF(EE38&lt;=Hypothèses!$V$8,Hypothèses!$X$8,IF(EE38&lt;=Hypothèses!$V$9,Hypothèses!$X$9,IF(EE38&lt;=Hypothèses!$V$10,Hypothèses!$X$10,IF(EE38&lt;=Hypothèses!$V$11,Hypothèses!$X$11,IF(EE38&lt;=Hypothèses!$V$12,Hypothèses!$X$12,IF(EE38&lt;=Hypothèses!$V$13,Hypothèses!$X$13,IF(EE38&lt;=Hypothèses!$V$14,Hypothèses!$X$14,IF(EE38&lt;=Hypothèses!$V$15,Hypothèses!$X$15,IF(EE38&lt;=Hypothèses!$V$16,Hypothèses!$X$16,IF(EE38&lt;=Hypothèses!$U$17,Hypothèses!$W$17,IF(EE38&lt;=Hypothèses!$U$18,Hypothèses!$W$18,""))))))))))))</f>
        <v>#DIV/0!</v>
      </c>
      <c r="FB38" s="95" t="e">
        <f t="shared" ca="1" si="97"/>
        <v>#DIV/0!</v>
      </c>
      <c r="FC38" s="101" t="e">
        <f t="shared" si="130"/>
        <v>#N/A</v>
      </c>
      <c r="FD38" s="91" t="e">
        <f t="shared" si="64"/>
        <v>#N/A</v>
      </c>
      <c r="FE38" s="30" t="e">
        <f t="shared" si="114"/>
        <v>#N/A</v>
      </c>
      <c r="FF38" s="30" t="e">
        <f t="shared" si="115"/>
        <v>#N/A</v>
      </c>
      <c r="FG38" s="31" t="e">
        <f>IF(OR(Hypothèses!$B$4=17,Hypothèses!$B$4=18,Hypothèses!$B$4=19,Hypothèses!$B$4=20),
IF($D38="Pressio.",
IF(OR($E38=3,$E38=1,$E38=4),FF38,FE38),
IF($D38="Pénétro.",
IF(OR($E38=3,$E38=1,$E38=4),FF38,FE38))),IF($D38="Pressio.",
IF($E38=3,FF38,FE38),
IF($D38="Pénétro.",
IF($E38=4,FF38,FE38))))</f>
        <v>#N/A</v>
      </c>
      <c r="FH38" s="31" t="e">
        <f>(IF(OR(Hypothèses!$B$4=17,Hypothèses!$B$4=18,Hypothèses!$B$4=19,Hypothèses!$B$4=20),
IF($D38="Pressio.",
IF(OR($E38=3,$E38=1,$E38=4),(PI()*FH$12^2)/4*(FD38*$W38*1000)/($H38*$B$5),(PI()*FH$12^2)/4*(FD38*$W38*1000)/($G38*$B$5)),
IF($D38="Pénétro.",
IF(OR($E38=4,$E38=1,$E38=5),(PI()*FH$12^2)/4*(FD38*$W38*1000)/($H38*$B$5),(PI()*FH$12^2)/4*(FD38*$W38*1000)/($G38*$B$5)))),
IF($D38="Pressio.",
IF($E38=3,(PI()*FH$12^2)/4*(FD38*$W38*1000)/($H38*$B$5),(PI()*FH$12^2)/4*(FD38*$W38*1000)/($G38*$B$5)),
IF($D38="Pénétro.",
IF($E38=4,(PI()*FH$12^2)/4*(FD38*$W38*1000)/($H38*$B$5),(PI()*FH$12^2)/4*(FD38*$W38*1000)/($G38*$B$5))))))/10</f>
        <v>#N/A</v>
      </c>
      <c r="FI38" s="102" t="e">
        <f>(VLOOKUP($B$3,'Coeff EC7'!$T$39:$X$59,2,0)*FG38+VLOOKUP($B$3,'Coeff EC7'!$T$65:$X$85,2,0)*Model0.1C!FH38)/1.1</f>
        <v>#N/A</v>
      </c>
      <c r="FJ38" s="102" t="e">
        <f>(VLOOKUP($B$3,'Coeff EC7'!$T$39:$X$59,3,0)*FG38+VLOOKUP($B$3,'Coeff EC7'!$T$65:$X$85,3,0)*Model0.1C!FH38)/0.9</f>
        <v>#N/A</v>
      </c>
      <c r="FK38" s="102" t="e">
        <f t="shared" si="98"/>
        <v>#N/A</v>
      </c>
      <c r="FL38" s="102" t="e">
        <f t="shared" si="99"/>
        <v>#N/A</v>
      </c>
      <c r="FM38" s="414" t="e">
        <f>IF(FM37=0,0,IF(AND(FI38&gt;charge_ELS_quasi,FJ38&gt;Charge_ELS_freq,FK38&gt;charge_ELU,FL38&gt;charge_ELA,$B38&gt;NDC!$H$22-0.1+MIN(3*$FM$12,1.5)),0,1))</f>
        <v>#N/A</v>
      </c>
    </row>
    <row r="39" spans="1:169">
      <c r="A39" s="96">
        <f t="shared" si="67"/>
        <v>97.400000000000148</v>
      </c>
      <c r="B39" s="97">
        <v>2.6</v>
      </c>
      <c r="C39" s="81">
        <f>IF(B39&lt;=Hypothèses!$C$7,Hypothèses!$A$7,IF(B39&lt;=Hypothèses!$C$8,Hypothèses!$A$8,IF(B39&lt;=Hypothèses!$C$9,Hypothèses!$A$9,IF(B39&lt;=Hypothèses!$C$10,Hypothèses!$A$10,IF(B39&lt;=Hypothèses!$C$11,Hypothèses!$A$11,IF(B39&lt;=Hypothèses!$C$12,Hypothèses!$A$12,IF(B39&lt;=Hypothèses!$C$13,Hypothèses!$A$13,IF(B39&lt;=Hypothèses!$C$14,Hypothèses!$A$14,IF(B39&lt;=Hypothèses!$C$15,Hypothèses!$A$15,IF(B39&lt;=Hypothèses!$C$16,Hypothèses!$A$16,IF(B39&lt;=Hypothèses!$C$17,Hypothèses!$A$17,IF(B39&lt;=Hypothèses!$C$18,Hypothèses!$A$18,C38))))))))))))</f>
        <v>11</v>
      </c>
      <c r="D39" s="82" t="str">
        <f>IF(B39&lt;=Hypothèses!$C$7,Hypothèses!$R$7,IF(B39&lt;=Hypothèses!$C$8,Hypothèses!$R$8,IF(B39&lt;=Hypothèses!$C$9,Hypothèses!$R$9,IF(B39&lt;=Hypothèses!$C$10,Hypothèses!$R$10,IF(B39&lt;=Hypothèses!$C$11,Hypothèses!$R$11,IF(B39&lt;=Hypothèses!$C$12,Hypothèses!$R$12,IF(B39&lt;=Hypothèses!$C$13,Hypothèses!$R$13,IF(B39&lt;=Hypothèses!$C$14,Hypothèses!$R$14,IF(B39&lt;=Hypothèses!$C$15,Hypothèses!$R$15,IF(B39&lt;=Hypothèses!$C$16,Hypothèses!$R$16,IF(B39&lt;=Hypothèses!$C$17,Hypothèses!$R$17,IF(B39&lt;=Hypothèses!$C$18,Hypothèses!$R$18,D38))))))))))))</f>
        <v>Pressio.</v>
      </c>
      <c r="E39" s="82" t="e">
        <f>IF(B39&lt;=Hypothèses!$C$7,Hypothèses!$G$7,IF(B39&lt;=Hypothèses!$C$8,Hypothèses!$G$8,IF(B39&lt;=Hypothèses!$C$9,Hypothèses!$G$9,IF(B39&lt;=Hypothèses!$C$10,Hypothèses!$G$10,IF(B39&lt;=Hypothèses!$C$11,Hypothèses!$G$11,IF(B39&lt;=Hypothèses!$C$12,Hypothèses!$G$12,IF(B39&lt;=Hypothèses!$C$13,Hypothèses!$G$13,IF(B39&lt;=Hypothèses!$C$14,Hypothèses!$G$14,IF(B39&lt;=Hypothèses!$C$15,Hypothèses!$G$15,IF(B39&lt;=Hypothèses!$C$16,Hypothèses!$G$16,IF(B39&lt;=Hypothèses!$C$17,Hypothèses!$G$17,IF(B39&lt;=Hypothèses!$C$18,Hypothèses!$G$18,E38))))))))))))</f>
        <v>#N/A</v>
      </c>
      <c r="F39" s="82" t="str">
        <f>IF(B39&lt;=Hypothèses!$C$7,Hypothèses!$F$7,IF(B39&lt;=Hypothèses!$C$8,Hypothèses!$F$8,IF(B39&lt;=Hypothèses!$C$9,Hypothèses!$F$9,IF(B39&lt;=Hypothèses!$C$10,Hypothèses!$F$10,IF(B39&lt;=Hypothèses!$C$11,Hypothèses!$F$11,IF(B39&lt;=Hypothèses!$C$12,Hypothèses!$F$12,IF(B39&lt;=Hypothèses!$C$13,Hypothèses!$F$13,IF(B39&lt;=Hypothèses!$C$14,Hypothèses!$F$14,IF(B39&lt;=Hypothèses!$C$15,Hypothèses!$F$15,IF(B39&lt;=Hypothèses!$C$16,Hypothèses!$F$16,IF(B39&lt;=Hypothèses!$C$17,Hypothèses!$F$17,IF(B39&lt;=Hypothèses!$C$18,Hypothèses!$F$18,F38))))))))))))</f>
        <v/>
      </c>
      <c r="G39" s="91">
        <f t="array" ref="G39">INDEX('Coeff EC7'!$U$7:$X$27,
MATCH(Model0.1C!$B$3,'Coeff EC7'!$T$7:$T$27,0),
MATCH(Model0.1C!$D39&amp;Model0.1C!$B$4,
'Coeff EC7'!$U$6:$X$6&amp;
'Coeff EC7'!$U$5:$X$5,0))</f>
        <v>1.1499999999999999</v>
      </c>
      <c r="H39" s="91">
        <f t="array" ref="H39">INDEX('Coeff EC7'!$Y$7:$AB$27,
MATCH(Model0.1C!$B$3,'Coeff EC7'!$T$7:$T$27,0),
MATCH(Model0.1C!$D39&amp;Model0.1C!$B$4,
'Coeff EC7'!$Y$6:$AB$6&amp;
'Coeff EC7'!$Y$5:$AB$5,0))</f>
        <v>1.4</v>
      </c>
      <c r="I39" s="83" t="e">
        <f>IF(B39&lt;=Hypothèses!$C$7,Hypothèses!$P$7,IF(B39&lt;=Hypothèses!$C$8,Hypothèses!$P$8,IF(B39&lt;=Hypothèses!$C$9,Hypothèses!$P$9,IF(B39&lt;=Hypothèses!$C$10,Hypothèses!$P$10,IF(B39&lt;=Hypothèses!$C$11,Hypothèses!$P$11,IF(B39&lt;=Hypothèses!$C$12,Hypothèses!$P$12,IF(B39&lt;=Hypothèses!$C$13,Hypothèses!$P$13,IF(B39&lt;=Hypothèses!$C$14,Hypothèses!$P$14,IF(B39&lt;=Hypothèses!$C$15,Hypothèses!$P$15,IF(B39&lt;=Hypothèses!$C$16,Hypothèses!$P$16,IF(B39&lt;=Hypothèses!$C$17,Hypothèses!$P$17,IF(B39&lt;=Hypothèses!$C$18,Hypothèses!$P$18,I38))))))))))))</f>
        <v>#N/A</v>
      </c>
      <c r="J39" s="91" t="e">
        <f t="array" ref="J39">INDEX('Coeff EC7'!$D$33:$Q$33,1,MATCH(D39&amp;E39,'Coeff EC7'!$D$31:$Q$31&amp;'Coeff EC7'!$D$32:$Q$32,0))</f>
        <v>#N/A</v>
      </c>
      <c r="K39" s="91" t="e">
        <f t="array" ref="K39">INDEX('Coeff EC7'!$D$34:$Q$34,1,MATCH(D39&amp;E39,'Coeff EC7'!$D$31:$Q$31&amp;'Coeff EC7'!$D$32:$Q$32,0))</f>
        <v>#N/A</v>
      </c>
      <c r="L39" s="91" t="e">
        <f t="array" ref="L39">INDEX('Coeff EC7'!$D$35:$Q$35,1,MATCH(D39&amp;E39,'Coeff EC7'!$D$31:$Q$31&amp;'Coeff EC7'!$D$32:$Q$32,0))</f>
        <v>#N/A</v>
      </c>
      <c r="M39" s="98" t="e">
        <f t="shared" si="8"/>
        <v>#N/A</v>
      </c>
      <c r="N39" s="99" t="e">
        <f t="array" ref="N39">INDEX('Coeff EC7'!$D$7:$Q$27,MATCH($B$3,'Coeff EC7'!$C$7:$C$27,0),MATCH(D39&amp;E39,'Coeff EC7'!$D$5:$Q$5&amp;'Coeff EC7'!$D$6:$Q$6,0))</f>
        <v>#N/A</v>
      </c>
      <c r="O39" s="99" t="e">
        <f t="array" ref="O39">INDEX('Coeff EC7'!$D$41:$Q$61,MATCH($B$3,'Coeff EC7'!$C$41:$C$61,0),MATCH(D39&amp;E39,'Coeff EC7'!$D$39:$Q$39&amp;'Coeff EC7'!$D$40:$Q$40,0))</f>
        <v>#N/A</v>
      </c>
      <c r="P39" s="30" t="e">
        <f t="shared" si="68"/>
        <v>#N/A</v>
      </c>
      <c r="Q39" s="100" t="e">
        <f t="shared" si="10"/>
        <v>#N/A</v>
      </c>
      <c r="R39" s="86" t="b">
        <f t="shared" si="11"/>
        <v>0</v>
      </c>
      <c r="S39" s="86">
        <f t="shared" si="9"/>
        <v>0.5</v>
      </c>
      <c r="T39" s="86">
        <f t="shared" si="12"/>
        <v>0.5</v>
      </c>
      <c r="U39" s="30" t="e">
        <f t="shared" ca="1" si="69"/>
        <v>#DIV/0!</v>
      </c>
      <c r="V39" s="85" t="str">
        <f>IF(B39&lt;=Hypothèses!$V$7,Hypothèses!$W$7,IF(B39&lt;=Hypothèses!$V$8,Hypothèses!$W$8,IF(B39&lt;=Hypothèses!$V$9,Hypothèses!$W$9,IF(B39&lt;=Hypothèses!$V$10,Hypothèses!$W$10,IF(B39&lt;=Hypothèses!$V$11,Hypothèses!$W$11,IF(B39&lt;=Hypothèses!$V$12,Hypothèses!$W$12,IF(B39&lt;=Hypothèses!$V$13,Hypothèses!$W$13,IF(B39&lt;=Hypothèses!$V$14,Hypothèses!$W$14,IF(B39&lt;=Hypothèses!$V$15,Hypothèses!$W$15,IF(B39&lt;=Hypothèses!$V$16,Hypothèses!$W$16,IF(B39&lt;=Hypothèses!$V$17,Hypothèses!$W$17,IF(B39&lt;=Hypothèses!$V$18,Hypothèses!$W$18,""))))))))))))</f>
        <v/>
      </c>
      <c r="W39" s="87" t="e">
        <f t="shared" ca="1" si="116"/>
        <v>#DIV/0!</v>
      </c>
      <c r="X39" s="88" t="str">
        <f>IF(B39&lt;=Hypothèses!$V$7,Hypothèses!$X$7,IF(B39&lt;=Hypothèses!$V$8,Hypothèses!$X$8,IF(B39&lt;=Hypothèses!$V$9,Hypothèses!$X$9,IF(B39&lt;=Hypothèses!$V$10,Hypothèses!$X$10,IF(B39&lt;=Hypothèses!$V$11,Hypothèses!$X$11,IF(B39&lt;=Hypothèses!$V$12,Hypothèses!$X$12,IF(B39&lt;=Hypothèses!$V$13,Hypothèses!$X$13,IF(B39&lt;=Hypothèses!$V$14,Hypothèses!$X$14,IF(B39&lt;=Hypothèses!$V$15,Hypothèses!$X$15,IF(B39&lt;=Hypothèses!$V$16,Hypothèses!$X$16,IF(B39&lt;=Hypothèses!$U$17,Hypothèses!$W$17,IF(B39&lt;=Hypothèses!$U$18,Hypothèses!$W$18,""))))))))))))</f>
        <v/>
      </c>
      <c r="Y39" s="95" t="e">
        <f t="shared" ca="1" si="13"/>
        <v>#DIV/0!</v>
      </c>
      <c r="Z39" s="101" t="e">
        <f t="shared" si="14"/>
        <v>#N/A</v>
      </c>
      <c r="AA39" s="91" t="e">
        <f t="shared" si="15"/>
        <v>#N/A</v>
      </c>
      <c r="AB39" s="30" t="e">
        <f t="shared" si="100"/>
        <v>#N/A</v>
      </c>
      <c r="AC39" s="30" t="e">
        <f t="shared" si="101"/>
        <v>#N/A</v>
      </c>
      <c r="AD39" s="31" t="e">
        <f>IF(OR(Hypothèses!$B$4=17,Hypothèses!$B$4=18,Hypothèses!$B$4=19,Hypothèses!$B$4=20),
IF($D39="Pressio.",
IF(OR($E39=3,$E39=1,$E39=4),AC39,AB39),
IF($D39="Pénétro.",
IF(OR($E39=3,$E39=1,$E39=4),AC39,AB39))),IF($D39="Pressio.",
IF($E39=3,AC39,AB39),
IF($D39="Pénétro.",
IF($E39=4,AC39,AB39))))</f>
        <v>#N/A</v>
      </c>
      <c r="AE39" s="31" t="e">
        <f>(IF(OR(Hypothèses!$B$4=17,Hypothèses!$B$4=18,Hypothèses!$B$4=19,Hypothèses!$B$4=20),
IF($D39="Pressio.",
IF(OR($E39=3,$E39=1,$E39=4),(PI()*AE$12^2)/4*(AA39*$W39*1000)/($H39*$B$5),(PI()*AE$12^2)/4*(AA39*$W39*1000)/($G39*$B$5)),
IF($D39="Pénétro.",
IF(OR($E39=4,$E39=1,$E39=5),(PI()*AE$12^2)/4*(AA39*$W39*1000)/($H39*$B$5),(PI()*AE$12^2)/4*(AA39*$W39*1000)/($G39*$B$5)))),
IF($D39="Pressio.",
IF($E39=3,(PI()*AE$12^2)/4*(AA39*$W39*1000)/($H39*$B$5),(PI()*AE$12^2)/4*(AA39*$W39*1000)/($G39*$B$5)),
IF($D39="Pénétro.",
IF($E39=4,(PI()*AE$12^2)/4*(AA39*$W39*1000)/($H39*$B$5),(PI()*AE$12^2)/4*(AA39*$W39*1000)/($G39*$B$5))))))/10</f>
        <v>#N/A</v>
      </c>
      <c r="AF39" s="102" t="e">
        <f>(VLOOKUP($B$3,'Coeff EC7'!$T$39:$X$59,2,0)*AD39+VLOOKUP($B$3,'Coeff EC7'!$T$65:$X$85,2,0)*Model0.1C!AE39)/1.1</f>
        <v>#N/A</v>
      </c>
      <c r="AG39" s="102" t="e">
        <f>(VLOOKUP($B$3,'Coeff EC7'!$T$39:$X$59,3,0)*AD39+VLOOKUP($B$3,'Coeff EC7'!$T$65:$X$85,3,0)*Model0.1C!AE39)/0.9</f>
        <v>#N/A</v>
      </c>
      <c r="AH39" s="102" t="e">
        <f t="shared" si="18"/>
        <v>#N/A</v>
      </c>
      <c r="AI39" s="102" t="e">
        <f t="shared" si="19"/>
        <v>#N/A</v>
      </c>
      <c r="AJ39" s="414" t="e">
        <f>IF(AJ38=0,0,IF(AND(AF39&gt;charge_ELS_quasi,AG39&gt;Charge_ELS_freq,AH39&gt;charge_ELU,AI39&gt;charge_ELA,$B39&gt;NDC!$H$22-0.1+MIN(3*$AJ$12,1.5)),0,1))</f>
        <v>#N/A</v>
      </c>
      <c r="AK39" s="86" t="b">
        <f t="shared" si="20"/>
        <v>0</v>
      </c>
      <c r="AL39" s="86">
        <f t="shared" si="70"/>
        <v>0.5</v>
      </c>
      <c r="AM39" s="86">
        <f t="shared" si="21"/>
        <v>0.5</v>
      </c>
      <c r="AN39" s="30" t="e">
        <f t="shared" ca="1" si="71"/>
        <v>#DIV/0!</v>
      </c>
      <c r="AO39" s="85" t="e">
        <f ca="1">IF(U39&lt;=Hypothèses!$V$7,Hypothèses!$W$7,IF(U39&lt;=Hypothèses!$V$8,Hypothèses!$W$8,IF(U39&lt;=Hypothèses!$V$9,Hypothèses!$W$9,IF(U39&lt;=Hypothèses!$V$10,Hypothèses!$W$10,IF(U39&lt;=Hypothèses!$V$11,Hypothèses!$W$11,IF(U39&lt;=Hypothèses!$V$12,Hypothèses!$W$12,IF(U39&lt;=Hypothèses!$V$13,Hypothèses!$W$13,IF(U39&lt;=Hypothèses!$V$14,Hypothèses!$W$14,IF(U39&lt;=Hypothèses!$V$15,Hypothèses!$W$15,IF(U39&lt;=Hypothèses!$V$16,Hypothèses!$W$16,IF(U39&lt;=Hypothèses!$V$17,Hypothèses!$W$17,IF(U39&lt;=Hypothèses!$V$18,Hypothèses!$W$18,""))))))))))))</f>
        <v>#DIV/0!</v>
      </c>
      <c r="AP39" s="87" t="e">
        <f t="shared" ca="1" si="117"/>
        <v>#DIV/0!</v>
      </c>
      <c r="AQ39" s="88" t="e">
        <f ca="1">IF(U39&lt;=Hypothèses!$V$7,Hypothèses!$X$7,IF(U39&lt;=Hypothèses!$V$8,Hypothèses!$X$8,IF(U39&lt;=Hypothèses!$V$9,Hypothèses!$X$9,IF(U39&lt;=Hypothèses!$V$10,Hypothèses!$X$10,IF(U39&lt;=Hypothèses!$V$11,Hypothèses!$X$11,IF(U39&lt;=Hypothèses!$V$12,Hypothèses!$X$12,IF(U39&lt;=Hypothèses!$V$13,Hypothèses!$X$13,IF(U39&lt;=Hypothèses!$V$14,Hypothèses!$X$14,IF(U39&lt;=Hypothèses!$V$15,Hypothèses!$X$15,IF(U39&lt;=Hypothèses!$V$16,Hypothèses!$X$16,IF(U39&lt;=Hypothèses!$U$17,Hypothèses!$W$17,IF(U39&lt;=Hypothèses!$U$18,Hypothèses!$W$18,""))))))))))))</f>
        <v>#DIV/0!</v>
      </c>
      <c r="AR39" s="95" t="e">
        <f t="shared" ca="1" si="72"/>
        <v>#DIV/0!</v>
      </c>
      <c r="AS39" s="101" t="e">
        <f t="shared" si="124"/>
        <v>#N/A</v>
      </c>
      <c r="AT39" s="91" t="e">
        <f t="shared" si="23"/>
        <v>#N/A</v>
      </c>
      <c r="AU39" s="30" t="e">
        <f t="shared" si="102"/>
        <v>#N/A</v>
      </c>
      <c r="AV39" s="30" t="e">
        <f t="shared" si="103"/>
        <v>#N/A</v>
      </c>
      <c r="AW39" s="31" t="e">
        <f>IF(OR(Hypothèses!$B$4=17,Hypothèses!$B$4=18,Hypothèses!$B$4=19,Hypothèses!$B$4=20),
IF($D39="Pressio.",
IF(OR($E39=3,$E39=1,$E39=4),AV39,AU39),
IF($D39="Pénétro.",
IF(OR($E39=3,$E39=1,$E39=4),AV39,AU39))),IF($D39="Pressio.",
IF($E39=3,AV39,AU39),
IF($D39="Pénétro.",
IF($E39=4,AV39,AU39))))</f>
        <v>#N/A</v>
      </c>
      <c r="AX39" s="31" t="e">
        <f>(IF(OR(Hypothèses!$B$4=17,Hypothèses!$B$4=18,Hypothèses!$B$4=19,Hypothèses!$B$4=20),
IF($D39="Pressio.",
IF(OR($E39=3,$E39=1,$E39=4),(PI()*AX$12^2)/4*(AT39*$W39*1000)/($H39*$B$5),(PI()*AX$12^2)/4*(AT39*$W39*1000)/($G39*$B$5)),
IF($D39="Pénétro.",
IF(OR($E39=4,$E39=1,$E39=5),(PI()*AX$12^2)/4*(AT39*$W39*1000)/($H39*$B$5),(PI()*AX$12^2)/4*(AT39*$W39*1000)/($G39*$B$5)))),
IF($D39="Pressio.",
IF($E39=3,(PI()*AX$12^2)/4*(AT39*$W39*1000)/($H39*$B$5),(PI()*AX$12^2)/4*(AT39*$W39*1000)/($G39*$B$5)),
IF($D39="Pénétro.",
IF($E39=4,(PI()*AX$12^2)/4*(AT39*$W39*1000)/($H39*$B$5),(PI()*AX$12^2)/4*(AT39*$W39*1000)/($G39*$B$5))))))/10</f>
        <v>#N/A</v>
      </c>
      <c r="AY39" s="102" t="e">
        <f>(VLOOKUP($B$3,'Coeff EC7'!$T$39:$X$59,2,0)*AW39+VLOOKUP($B$3,'Coeff EC7'!$T$65:$X$85,2,0)*Model0.1C!AX39)/1.1</f>
        <v>#N/A</v>
      </c>
      <c r="AZ39" s="102" t="e">
        <f>(VLOOKUP($B$3,'Coeff EC7'!$T$39:$X$59,3,0)*AW39+VLOOKUP($B$3,'Coeff EC7'!$T$65:$X$85,3,0)*Model0.1C!AX39)/0.9</f>
        <v>#N/A</v>
      </c>
      <c r="BA39" s="102" t="e">
        <f t="shared" si="73"/>
        <v>#N/A</v>
      </c>
      <c r="BB39" s="102" t="e">
        <f t="shared" si="74"/>
        <v>#N/A</v>
      </c>
      <c r="BC39" s="414" t="e">
        <f>IF(BC38=0,0,IF(AND(AY39&gt;charge_ELS_quasi,AZ39&gt;Charge_ELS_freq,BA39&gt;charge_ELU,BB39&gt;charge_ELA,$B39&gt;NDC!$H$22-0.1+MIN(3*$BC$12,1.5)),0,1))</f>
        <v>#N/A</v>
      </c>
      <c r="BD39" s="86" t="b">
        <f t="shared" si="26"/>
        <v>0</v>
      </c>
      <c r="BE39" s="86">
        <f t="shared" si="75"/>
        <v>0.5</v>
      </c>
      <c r="BF39" s="86">
        <f t="shared" si="27"/>
        <v>0.5</v>
      </c>
      <c r="BG39" s="30" t="e">
        <f t="shared" ca="1" si="76"/>
        <v>#DIV/0!</v>
      </c>
      <c r="BH39" s="85" t="e">
        <f ca="1">IF(AN39&lt;=Hypothèses!$V$7,Hypothèses!$W$7,IF(AN39&lt;=Hypothèses!$V$8,Hypothèses!$W$8,IF(AN39&lt;=Hypothèses!$V$9,Hypothèses!$W$9,IF(AN39&lt;=Hypothèses!$V$10,Hypothèses!$W$10,IF(AN39&lt;=Hypothèses!$V$11,Hypothèses!$W$11,IF(AN39&lt;=Hypothèses!$V$12,Hypothèses!$W$12,IF(AN39&lt;=Hypothèses!$V$13,Hypothèses!$W$13,IF(AN39&lt;=Hypothèses!$V$14,Hypothèses!$W$14,IF(AN39&lt;=Hypothèses!$V$15,Hypothèses!$W$15,IF(AN39&lt;=Hypothèses!$V$16,Hypothèses!$W$16,IF(AN39&lt;=Hypothèses!$V$17,Hypothèses!$W$17,IF(AN39&lt;=Hypothèses!$V$18,Hypothèses!$W$18,""))))))))))))</f>
        <v>#DIV/0!</v>
      </c>
      <c r="BI39" s="87" t="e">
        <f t="shared" ca="1" si="118"/>
        <v>#DIV/0!</v>
      </c>
      <c r="BJ39" s="88" t="e">
        <f ca="1">IF(AN39&lt;=Hypothèses!$V$7,Hypothèses!$X$7,IF(AN39&lt;=Hypothèses!$V$8,Hypothèses!$X$8,IF(AN39&lt;=Hypothèses!$V$9,Hypothèses!$X$9,IF(AN39&lt;=Hypothèses!$V$10,Hypothèses!$X$10,IF(AN39&lt;=Hypothèses!$V$11,Hypothèses!$X$11,IF(AN39&lt;=Hypothèses!$V$12,Hypothèses!$X$12,IF(AN39&lt;=Hypothèses!$V$13,Hypothèses!$X$13,IF(AN39&lt;=Hypothèses!$V$14,Hypothèses!$X$14,IF(AN39&lt;=Hypothèses!$V$15,Hypothèses!$X$15,IF(AN39&lt;=Hypothèses!$V$16,Hypothèses!$X$16,IF(AN39&lt;=Hypothèses!$U$17,Hypothèses!$W$17,IF(AN39&lt;=Hypothèses!$U$18,Hypothèses!$W$18,""))))))))))))</f>
        <v>#DIV/0!</v>
      </c>
      <c r="BK39" s="95" t="e">
        <f t="shared" ca="1" si="77"/>
        <v>#DIV/0!</v>
      </c>
      <c r="BL39" s="101" t="e">
        <f t="shared" si="125"/>
        <v>#N/A</v>
      </c>
      <c r="BM39" s="91" t="e">
        <f t="shared" si="29"/>
        <v>#N/A</v>
      </c>
      <c r="BN39" s="30" t="e">
        <f t="shared" si="104"/>
        <v>#N/A</v>
      </c>
      <c r="BO39" s="30" t="e">
        <f t="shared" si="105"/>
        <v>#N/A</v>
      </c>
      <c r="BP39" s="31" t="e">
        <f>IF(OR(Hypothèses!$B$4=17,Hypothèses!$B$4=18,Hypothèses!$B$4=19,Hypothèses!$B$4=20),
IF($D39="Pressio.",
IF(OR($E39=3,$E39=1,$E39=4),BO39,BN39),
IF($D39="Pénétro.",
IF(OR($E39=3,$E39=1,$E39=4),BO39,BN39))),IF($D39="Pressio.",
IF($E39=3,BO39,BN39),
IF($D39="Pénétro.",
IF($E39=4,BO39,BN39))))</f>
        <v>#N/A</v>
      </c>
      <c r="BQ39" s="31" t="e">
        <f>(IF(OR(Hypothèses!$B$4=17,Hypothèses!$B$4=18,Hypothèses!$B$4=19,Hypothèses!$B$4=20),
IF($D39="Pressio.",
IF(OR($E39=3,$E39=1,$E39=4),(PI()*BQ$12^2)/4*(BM39*$W39*1000)/($H39*$B$5),(PI()*BQ$12^2)/4*(BM39*$W39*1000)/($G39*$B$5)),
IF($D39="Pénétro.",
IF(OR($E39=4,$E39=1,$E39=5),(PI()*BQ$12^2)/4*(BM39*$W39*1000)/($H39*$B$5),(PI()*BQ$12^2)/4*(BM39*$W39*1000)/($G39*$B$5)))),
IF($D39="Pressio.",
IF($E39=3,(PI()*BQ$12^2)/4*(BM39*$W39*1000)/($H39*$B$5),(PI()*BQ$12^2)/4*(BM39*$W39*1000)/($G39*$B$5)),
IF($D39="Pénétro.",
IF($E39=4,(PI()*BQ$12^2)/4*(BM39*$W39*1000)/($H39*$B$5),(PI()*BQ$12^2)/4*(BM39*$W39*1000)/($G39*$B$5))))))/10</f>
        <v>#N/A</v>
      </c>
      <c r="BR39" s="102" t="e">
        <f>(VLOOKUP($B$3,'Coeff EC7'!$T$39:$X$59,2,0)*BP39+VLOOKUP($B$3,'Coeff EC7'!$T$65:$X$85,2,0)*Model0.1C!BQ39)/1.1</f>
        <v>#N/A</v>
      </c>
      <c r="BS39" s="102" t="e">
        <f>(VLOOKUP($B$3,'Coeff EC7'!$T$39:$X$59,3,0)*BP39+VLOOKUP($B$3,'Coeff EC7'!$T$65:$X$85,3,0)*Model0.1C!BQ39)/0.9</f>
        <v>#N/A</v>
      </c>
      <c r="BT39" s="102" t="e">
        <f t="shared" si="78"/>
        <v>#N/A</v>
      </c>
      <c r="BU39" s="102" t="e">
        <f t="shared" si="79"/>
        <v>#N/A</v>
      </c>
      <c r="BV39" s="414" t="e">
        <f>IF(BV38=0,0,IF(AND(BR39&gt;charge_ELS_quasi,BS39&gt;Charge_ELS_freq,BT39&gt;charge_ELU,BU39&gt;charge_ELA,$B39&gt;NDC!$H$22-0.1+MIN(3*$BV$12,1.5)),0,1))</f>
        <v>#N/A</v>
      </c>
      <c r="BW39" s="86" t="b">
        <f t="shared" si="32"/>
        <v>0</v>
      </c>
      <c r="BX39" s="86">
        <f t="shared" si="33"/>
        <v>0.5</v>
      </c>
      <c r="BY39" s="86">
        <f t="shared" si="34"/>
        <v>0.5</v>
      </c>
      <c r="BZ39" s="30" t="e">
        <f t="shared" ca="1" si="80"/>
        <v>#DIV/0!</v>
      </c>
      <c r="CA39" s="85" t="e">
        <f ca="1">IF(BG39&lt;=Hypothèses!$V$7,Hypothèses!$W$7,IF(BG39&lt;=Hypothèses!$V$8,Hypothèses!$W$8,IF(BG39&lt;=Hypothèses!$V$9,Hypothèses!$W$9,IF(BG39&lt;=Hypothèses!$V$10,Hypothèses!$W$10,IF(BG39&lt;=Hypothèses!$V$11,Hypothèses!$W$11,IF(BG39&lt;=Hypothèses!$V$12,Hypothèses!$W$12,IF(BG39&lt;=Hypothèses!$V$13,Hypothèses!$W$13,IF(BG39&lt;=Hypothèses!$V$14,Hypothèses!$W$14,IF(BG39&lt;=Hypothèses!$V$15,Hypothèses!$W$15,IF(BG39&lt;=Hypothèses!$V$16,Hypothèses!$W$16,IF(BG39&lt;=Hypothèses!$V$17,Hypothèses!$W$17,IF(BG39&lt;=Hypothèses!$V$18,Hypothèses!$W$18,""))))))))))))</f>
        <v>#DIV/0!</v>
      </c>
      <c r="CB39" s="87" t="e">
        <f t="shared" ca="1" si="119"/>
        <v>#DIV/0!</v>
      </c>
      <c r="CC39" s="88" t="e">
        <f ca="1">IF(BG39&lt;=Hypothèses!$V$7,Hypothèses!$X$7,IF(BG39&lt;=Hypothèses!$V$8,Hypothèses!$X$8,IF(BG39&lt;=Hypothèses!$V$9,Hypothèses!$X$9,IF(BG39&lt;=Hypothèses!$V$10,Hypothèses!$X$10,IF(BG39&lt;=Hypothèses!$V$11,Hypothèses!$X$11,IF(BG39&lt;=Hypothèses!$V$12,Hypothèses!$X$12,IF(BG39&lt;=Hypothèses!$V$13,Hypothèses!$X$13,IF(BG39&lt;=Hypothèses!$V$14,Hypothèses!$X$14,IF(BG39&lt;=Hypothèses!$V$15,Hypothèses!$X$15,IF(BG39&lt;=Hypothèses!$V$16,Hypothèses!$X$16,IF(BG39&lt;=Hypothèses!$U$17,Hypothèses!$W$17,IF(BG39&lt;=Hypothèses!$U$18,Hypothèses!$W$18,""))))))))))))</f>
        <v>#DIV/0!</v>
      </c>
      <c r="CD39" s="95" t="e">
        <f t="shared" ca="1" si="81"/>
        <v>#DIV/0!</v>
      </c>
      <c r="CE39" s="101" t="e">
        <f t="shared" si="126"/>
        <v>#N/A</v>
      </c>
      <c r="CF39" s="91" t="e">
        <f t="shared" si="36"/>
        <v>#N/A</v>
      </c>
      <c r="CG39" s="30" t="e">
        <f t="shared" si="106"/>
        <v>#N/A</v>
      </c>
      <c r="CH39" s="30" t="e">
        <f t="shared" si="107"/>
        <v>#N/A</v>
      </c>
      <c r="CI39" s="31" t="e">
        <f>IF(OR(Hypothèses!$B$4=17,Hypothèses!$B$4=18,Hypothèses!$B$4=19,Hypothèses!$B$4=20),
IF($D39="Pressio.",
IF(OR($E39=3,$E39=1,$E39=4),CH39,CG39),
IF($D39="Pénétro.",
IF(OR($E39=3,$E39=1,$E39=4),CH39,CG39))),IF($D39="Pressio.",
IF($E39=3,CH39,CG39),
IF($D39="Pénétro.",
IF($E39=4,CH39,CG39))))</f>
        <v>#N/A</v>
      </c>
      <c r="CJ39" s="31" t="e">
        <f>(IF(OR(Hypothèses!$B$4=17,Hypothèses!$B$4=18,Hypothèses!$B$4=19,Hypothèses!$B$4=20),
IF($D39="Pressio.",
IF(OR($E39=3,$E39=1,$E39=4),(PI()*CJ$12^2)/4*(CF39*$W39*1000)/($H39*$B$5),(PI()*CJ$12^2)/4*(CF39*$W39*1000)/($G39*$B$5)),
IF($D39="Pénétro.",
IF(OR($E39=4,$E39=1,$E39=5),(PI()*CJ$12^2)/4*(CF39*$W39*1000)/($H39*$B$5),(PI()*CJ$12^2)/4*(CF39*$W39*1000)/($G39*$B$5)))),
IF($D39="Pressio.",
IF($E39=3,(PI()*CJ$12^2)/4*(CF39*$W39*1000)/($H39*$B$5),(PI()*CJ$12^2)/4*(CF39*$W39*1000)/($G39*$B$5)),
IF($D39="Pénétro.",
IF($E39=4,(PI()*CJ$12^2)/4*(CF39*$W39*1000)/($H39*$B$5),(PI()*CJ$12^2)/4*(CF39*$W39*1000)/($G39*$B$5))))))/10</f>
        <v>#N/A</v>
      </c>
      <c r="CK39" s="102" t="e">
        <f>(VLOOKUP($B$3,'Coeff EC7'!$T$39:$X$59,2,0)*CI39+VLOOKUP($B$3,'Coeff EC7'!$T$65:$X$85,2,0)*Model0.1C!CJ39)/1.1</f>
        <v>#N/A</v>
      </c>
      <c r="CL39" s="102" t="e">
        <f>(VLOOKUP($B$3,'Coeff EC7'!$T$39:$X$59,3,0)*CI39+VLOOKUP($B$3,'Coeff EC7'!$T$65:$X$85,3,0)*Model0.1C!CJ39)/0.9</f>
        <v>#N/A</v>
      </c>
      <c r="CM39" s="102" t="e">
        <f t="shared" si="82"/>
        <v>#N/A</v>
      </c>
      <c r="CN39" s="102" t="e">
        <f t="shared" si="83"/>
        <v>#N/A</v>
      </c>
      <c r="CO39" s="414" t="e">
        <f>IF(CO38=0,0,IF(AND(CK39&gt;charge_ELS_quasi,CL39&gt;Charge_ELS_freq,CM39&gt;charge_ELU,CN39&gt;charge_ELA,$B39&gt;NDC!$H$22-0.1+MIN(3*$CO$12,1.5)),0,1))</f>
        <v>#N/A</v>
      </c>
      <c r="CP39" s="86" t="b">
        <f t="shared" si="39"/>
        <v>0</v>
      </c>
      <c r="CQ39" s="86">
        <f t="shared" si="40"/>
        <v>0.5</v>
      </c>
      <c r="CR39" s="86">
        <f t="shared" si="41"/>
        <v>0.5</v>
      </c>
      <c r="CS39" s="30" t="e">
        <f t="shared" ca="1" si="84"/>
        <v>#DIV/0!</v>
      </c>
      <c r="CT39" s="85" t="e">
        <f ca="1">IF(BZ39&lt;=Hypothèses!$V$7,Hypothèses!$W$7,IF(BZ39&lt;=Hypothèses!$V$8,Hypothèses!$W$8,IF(BZ39&lt;=Hypothèses!$V$9,Hypothèses!$W$9,IF(BZ39&lt;=Hypothèses!$V$10,Hypothèses!$W$10,IF(BZ39&lt;=Hypothèses!$V$11,Hypothèses!$W$11,IF(BZ39&lt;=Hypothèses!$V$12,Hypothèses!$W$12,IF(BZ39&lt;=Hypothèses!$V$13,Hypothèses!$W$13,IF(BZ39&lt;=Hypothèses!$V$14,Hypothèses!$W$14,IF(BZ39&lt;=Hypothèses!$V$15,Hypothèses!$W$15,IF(BZ39&lt;=Hypothèses!$V$16,Hypothèses!$W$16,IF(BZ39&lt;=Hypothèses!$V$17,Hypothèses!$W$17,IF(BZ39&lt;=Hypothèses!$V$18,Hypothèses!$W$18,""))))))))))))</f>
        <v>#DIV/0!</v>
      </c>
      <c r="CU39" s="87" t="e">
        <f t="shared" ca="1" si="120"/>
        <v>#DIV/0!</v>
      </c>
      <c r="CV39" s="88" t="e">
        <f ca="1">IF(BZ39&lt;=Hypothèses!$V$7,Hypothèses!$X$7,IF(BZ39&lt;=Hypothèses!$V$8,Hypothèses!$X$8,IF(BZ39&lt;=Hypothèses!$V$9,Hypothèses!$X$9,IF(BZ39&lt;=Hypothèses!$V$10,Hypothèses!$X$10,IF(BZ39&lt;=Hypothèses!$V$11,Hypothèses!$X$11,IF(BZ39&lt;=Hypothèses!$V$12,Hypothèses!$X$12,IF(BZ39&lt;=Hypothèses!$V$13,Hypothèses!$X$13,IF(BZ39&lt;=Hypothèses!$V$14,Hypothèses!$X$14,IF(BZ39&lt;=Hypothèses!$V$15,Hypothèses!$X$15,IF(BZ39&lt;=Hypothèses!$V$16,Hypothèses!$X$16,IF(BZ39&lt;=Hypothèses!$U$17,Hypothèses!$W$17,IF(BZ39&lt;=Hypothèses!$U$18,Hypothèses!$W$18,""))))))))))))</f>
        <v>#DIV/0!</v>
      </c>
      <c r="CW39" s="95" t="e">
        <f t="shared" ca="1" si="85"/>
        <v>#DIV/0!</v>
      </c>
      <c r="CX39" s="101" t="e">
        <f t="shared" si="127"/>
        <v>#N/A</v>
      </c>
      <c r="CY39" s="91" t="e">
        <f t="shared" si="43"/>
        <v>#N/A</v>
      </c>
      <c r="CZ39" s="30" t="e">
        <f t="shared" si="108"/>
        <v>#N/A</v>
      </c>
      <c r="DA39" s="30" t="e">
        <f t="shared" si="109"/>
        <v>#N/A</v>
      </c>
      <c r="DB39" s="31" t="e">
        <f>IF(OR(Hypothèses!$B$4=17,Hypothèses!$B$4=18,Hypothèses!$B$4=19,Hypothèses!$B$4=20),
IF($D39="Pressio.",
IF(OR($E39=3,$E39=1,$E39=4),DA39,CZ39),
IF($D39="Pénétro.",
IF(OR($E39=3,$E39=1,$E39=4),DA39,CZ39))),IF($D39="Pressio.",
IF($E39=3,DA39,CZ39),
IF($D39="Pénétro.",
IF($E39=4,DA39,CZ39))))</f>
        <v>#N/A</v>
      </c>
      <c r="DC39" s="31" t="e">
        <f>(IF(OR(Hypothèses!$B$4=17,Hypothèses!$B$4=18,Hypothèses!$B$4=19,Hypothèses!$B$4=20),
IF($D39="Pressio.",
IF(OR($E39=3,$E39=1,$E39=4),(PI()*DC$12^2)/4*(CY39*$W39*1000)/($H39*$B$5),(PI()*DC$12^2)/4*(CY39*$W39*1000)/($G39*$B$5)),
IF($D39="Pénétro.",
IF(OR($E39=4,$E39=1,$E39=5),(PI()*DC$12^2)/4*(CY39*$W39*1000)/($H39*$B$5),(PI()*DC$12^2)/4*(CY39*$W39*1000)/($G39*$B$5)))),
IF($D39="Pressio.",
IF($E39=3,(PI()*DC$12^2)/4*(CY39*$W39*1000)/($H39*$B$5),(PI()*DC$12^2)/4*(CY39*$W39*1000)/($G39*$B$5)),
IF($D39="Pénétro.",
IF($E39=4,(PI()*DC$12^2)/4*(CY39*$W39*1000)/($H39*$B$5),(PI()*DC$12^2)/4*(CY39*$W39*1000)/($G39*$B$5))))))/10</f>
        <v>#N/A</v>
      </c>
      <c r="DD39" s="102" t="e">
        <f>(VLOOKUP($B$3,'Coeff EC7'!$T$39:$X$59,2,0)*DB39+VLOOKUP($B$3,'Coeff EC7'!$T$65:$X$85,2,0)*Model0.1C!DC39)/1.1</f>
        <v>#N/A</v>
      </c>
      <c r="DE39" s="102" t="e">
        <f>(VLOOKUP($B$3,'Coeff EC7'!$T$39:$X$59,3,0)*DB39+VLOOKUP($B$3,'Coeff EC7'!$T$65:$X$85,3,0)*Model0.1C!DC39)/0.9</f>
        <v>#N/A</v>
      </c>
      <c r="DF39" s="102" t="e">
        <f t="shared" si="86"/>
        <v>#N/A</v>
      </c>
      <c r="DG39" s="102" t="e">
        <f t="shared" si="87"/>
        <v>#N/A</v>
      </c>
      <c r="DH39" s="414" t="e">
        <f>IF(DH38=0,0,IF(AND(DD39&gt;charge_ELS_quasi,DE39&gt;Charge_ELS_freq,DF39&gt;charge_ELU,DG39&gt;charge_ELA,$B39&gt;NDC!$H$22-0.1+MIN(3*$DH$12,1.5)),0,1))</f>
        <v>#N/A</v>
      </c>
      <c r="DI39" s="86" t="b">
        <f t="shared" si="46"/>
        <v>0</v>
      </c>
      <c r="DJ39" s="86">
        <f t="shared" si="47"/>
        <v>0.5</v>
      </c>
      <c r="DK39" s="86">
        <f t="shared" si="48"/>
        <v>0.5</v>
      </c>
      <c r="DL39" s="30" t="e">
        <f t="shared" ca="1" si="88"/>
        <v>#DIV/0!</v>
      </c>
      <c r="DM39" s="85" t="e">
        <f ca="1">IF(CS39&lt;=Hypothèses!$V$7,Hypothèses!$W$7,IF(CS39&lt;=Hypothèses!$V$8,Hypothèses!$W$8,IF(CS39&lt;=Hypothèses!$V$9,Hypothèses!$W$9,IF(CS39&lt;=Hypothèses!$V$10,Hypothèses!$W$10,IF(CS39&lt;=Hypothèses!$V$11,Hypothèses!$W$11,IF(CS39&lt;=Hypothèses!$V$12,Hypothèses!$W$12,IF(CS39&lt;=Hypothèses!$V$13,Hypothèses!$W$13,IF(CS39&lt;=Hypothèses!$V$14,Hypothèses!$W$14,IF(CS39&lt;=Hypothèses!$V$15,Hypothèses!$W$15,IF(CS39&lt;=Hypothèses!$V$16,Hypothèses!$W$16,IF(CS39&lt;=Hypothèses!$V$17,Hypothèses!$W$17,IF(CS39&lt;=Hypothèses!$V$18,Hypothèses!$W$18,""))))))))))))</f>
        <v>#DIV/0!</v>
      </c>
      <c r="DN39" s="87" t="e">
        <f t="shared" ca="1" si="121"/>
        <v>#DIV/0!</v>
      </c>
      <c r="DO39" s="88" t="e">
        <f ca="1">IF(CS39&lt;=Hypothèses!$V$7,Hypothèses!$X$7,IF(CS39&lt;=Hypothèses!$V$8,Hypothèses!$X$8,IF(CS39&lt;=Hypothèses!$V$9,Hypothèses!$X$9,IF(CS39&lt;=Hypothèses!$V$10,Hypothèses!$X$10,IF(CS39&lt;=Hypothèses!$V$11,Hypothèses!$X$11,IF(CS39&lt;=Hypothèses!$V$12,Hypothèses!$X$12,IF(CS39&lt;=Hypothèses!$V$13,Hypothèses!$X$13,IF(CS39&lt;=Hypothèses!$V$14,Hypothèses!$X$14,IF(CS39&lt;=Hypothèses!$V$15,Hypothèses!$X$15,IF(CS39&lt;=Hypothèses!$V$16,Hypothèses!$X$16,IF(CS39&lt;=Hypothèses!$U$17,Hypothèses!$W$17,IF(CS39&lt;=Hypothèses!$U$18,Hypothèses!$W$18,""))))))))))))</f>
        <v>#DIV/0!</v>
      </c>
      <c r="DP39" s="95" t="e">
        <f t="shared" ca="1" si="89"/>
        <v>#DIV/0!</v>
      </c>
      <c r="DQ39" s="101" t="e">
        <f t="shared" si="128"/>
        <v>#N/A</v>
      </c>
      <c r="DR39" s="91" t="e">
        <f t="shared" si="50"/>
        <v>#N/A</v>
      </c>
      <c r="DS39" s="30" t="e">
        <f t="shared" si="110"/>
        <v>#N/A</v>
      </c>
      <c r="DT39" s="30" t="e">
        <f t="shared" si="111"/>
        <v>#N/A</v>
      </c>
      <c r="DU39" s="31" t="e">
        <f>IF(OR(Hypothèses!$B$4=17,Hypothèses!$B$4=18,Hypothèses!$B$4=19,Hypothèses!$B$4=20),
IF($D39="Pressio.",
IF(OR($E39=3,$E39=1,$E39=4),DT39,DS39),
IF($D39="Pénétro.",
IF(OR($E39=3,$E39=1,$E39=4),DT39,DS39))),IF($D39="Pressio.",
IF($E39=3,DT39,DS39),
IF($D39="Pénétro.",
IF($E39=4,DT39,DS39))))</f>
        <v>#N/A</v>
      </c>
      <c r="DV39" s="31" t="e">
        <f>(IF(OR(Hypothèses!$B$4=17,Hypothèses!$B$4=18,Hypothèses!$B$4=19,Hypothèses!$B$4=20),
IF($D39="Pressio.",
IF(OR($E39=3,$E39=1,$E39=4),(PI()*DV$12^2)/4*(DR39*$W39*1000)/($H39*$B$5),(PI()*DV$12^2)/4*(DR39*$W39*1000)/($G39*$B$5)),
IF($D39="Pénétro.",
IF(OR($E39=4,$E39=1,$E39=5),(PI()*DV$12^2)/4*(DR39*$W39*1000)/($H39*$B$5),(PI()*DV$12^2)/4*(DR39*$W39*1000)/($G39*$B$5)))),
IF($D39="Pressio.",
IF($E39=3,(PI()*DV$12^2)/4*(DR39*$W39*1000)/($H39*$B$5),(PI()*DV$12^2)/4*(DR39*$W39*1000)/($G39*$B$5)),
IF($D39="Pénétro.",
IF($E39=4,(PI()*DV$12^2)/4*(DR39*$W39*1000)/($H39*$B$5),(PI()*DV$12^2)/4*(DR39*$W39*1000)/($G39*$B$5))))))/10</f>
        <v>#N/A</v>
      </c>
      <c r="DW39" s="102" t="e">
        <f>(VLOOKUP($B$3,'Coeff EC7'!$T$39:$X$59,2,0)*DU39+VLOOKUP($B$3,'Coeff EC7'!$T$65:$X$85,2,0)*Model0.1C!DV39)/1.1</f>
        <v>#N/A</v>
      </c>
      <c r="DX39" s="102" t="e">
        <f>(VLOOKUP($B$3,'Coeff EC7'!$T$39:$X$59,3,0)*DU39+VLOOKUP($B$3,'Coeff EC7'!$T$65:$X$85,3,0)*Model0.1C!DV39)/0.9</f>
        <v>#N/A</v>
      </c>
      <c r="DY39" s="102" t="e">
        <f t="shared" si="90"/>
        <v>#N/A</v>
      </c>
      <c r="DZ39" s="102" t="e">
        <f t="shared" si="91"/>
        <v>#N/A</v>
      </c>
      <c r="EA39" s="414" t="e">
        <f>IF(EA38=0,0,IF(AND(DW39&gt;charge_ELS_quasi,DX39&gt;Charge_ELS_freq,DY39&gt;charge_ELU,DZ39&gt;charge_ELA,$B39&gt;NDC!$H$22-0.1+MIN(3*$EA$12,1.5)),0,1))</f>
        <v>#N/A</v>
      </c>
      <c r="EB39" s="86" t="b">
        <f t="shared" si="53"/>
        <v>0</v>
      </c>
      <c r="EC39" s="418">
        <f t="shared" si="54"/>
        <v>0.51</v>
      </c>
      <c r="ED39" s="86">
        <f t="shared" si="55"/>
        <v>0.51</v>
      </c>
      <c r="EE39" s="30" t="e">
        <f t="shared" ca="1" si="92"/>
        <v>#DIV/0!</v>
      </c>
      <c r="EF39" s="85" t="e">
        <f ca="1">IF(DL39&lt;=Hypothèses!$V$7,Hypothèses!$W$7,IF(DL39&lt;=Hypothèses!$V$8,Hypothèses!$W$8,IF(DL39&lt;=Hypothèses!$V$9,Hypothèses!$W$9,IF(DL39&lt;=Hypothèses!$V$10,Hypothèses!$W$10,IF(DL39&lt;=Hypothèses!$V$11,Hypothèses!$W$11,IF(DL39&lt;=Hypothèses!$V$12,Hypothèses!$W$12,IF(DL39&lt;=Hypothèses!$V$13,Hypothèses!$W$13,IF(DL39&lt;=Hypothèses!$V$14,Hypothèses!$W$14,IF(DL39&lt;=Hypothèses!$V$15,Hypothèses!$W$15,IF(DL39&lt;=Hypothèses!$V$16,Hypothèses!$W$16,IF(DL39&lt;=Hypothèses!$V$17,Hypothèses!$W$17,IF(DL39&lt;=Hypothèses!$V$18,Hypothèses!$W$18,""))))))))))))</f>
        <v>#DIV/0!</v>
      </c>
      <c r="EG39" s="87" t="e">
        <f t="shared" ca="1" si="122"/>
        <v>#DIV/0!</v>
      </c>
      <c r="EH39" s="88" t="e">
        <f ca="1">IF(DL39&lt;=Hypothèses!$V$7,Hypothèses!$X$7,IF(DL39&lt;=Hypothèses!$V$8,Hypothèses!$X$8,IF(DL39&lt;=Hypothèses!$V$9,Hypothèses!$X$9,IF(DL39&lt;=Hypothèses!$V$10,Hypothèses!$X$10,IF(DL39&lt;=Hypothèses!$V$11,Hypothèses!$X$11,IF(DL39&lt;=Hypothèses!$V$12,Hypothèses!$X$12,IF(DL39&lt;=Hypothèses!$V$13,Hypothèses!$X$13,IF(DL39&lt;=Hypothèses!$V$14,Hypothèses!$X$14,IF(DL39&lt;=Hypothèses!$V$15,Hypothèses!$X$15,IF(DL39&lt;=Hypothèses!$V$16,Hypothèses!$X$16,IF(DL39&lt;=Hypothèses!$U$17,Hypothèses!$W$17,IF(DL39&lt;=Hypothèses!$U$18,Hypothèses!$W$18,""))))))))))))</f>
        <v>#DIV/0!</v>
      </c>
      <c r="EI39" s="95" t="e">
        <f t="shared" ca="1" si="93"/>
        <v>#DIV/0!</v>
      </c>
      <c r="EJ39" s="101" t="e">
        <f t="shared" si="129"/>
        <v>#N/A</v>
      </c>
      <c r="EK39" s="91" t="e">
        <f t="shared" si="57"/>
        <v>#N/A</v>
      </c>
      <c r="EL39" s="30" t="e">
        <f t="shared" si="112"/>
        <v>#N/A</v>
      </c>
      <c r="EM39" s="30" t="e">
        <f t="shared" si="113"/>
        <v>#N/A</v>
      </c>
      <c r="EN39" s="31" t="e">
        <f>IF(OR(Hypothèses!$B$4=17,Hypothèses!$B$4=18,Hypothèses!$B$4=19,Hypothèses!$B$4=20),
IF($D39="Pressio.",
IF(OR($E39=3,$E39=1,$E39=4),EM39,EL39),
IF($D39="Pénétro.",
IF(OR($E39=3,$E39=1,$E39=4),EM39,EL39))),IF($D39="Pressio.",
IF($E39=3,EM39,EL39),
IF($D39="Pénétro.",
IF($E39=4,EM39,EL39))))</f>
        <v>#N/A</v>
      </c>
      <c r="EO39" s="31" t="e">
        <f>(IF(OR(Hypothèses!$B$4=17,Hypothèses!$B$4=18,Hypothèses!$B$4=19,Hypothèses!$B$4=20),
IF($D39="Pressio.",
IF(OR($E39=3,$E39=1,$E39=4),(PI()*EO$12^2)/4*(EK39*$W39*1000)/($H39*$B$5),(PI()*EO$12^2)/4*(EK39*$W39*1000)/($G39*$B$5)),
IF($D39="Pénétro.",
IF(OR($E39=4,$E39=1,$E39=5),(PI()*EO$12^2)/4*(EK39*$W39*1000)/($H39*$B$5),(PI()*EO$12^2)/4*(EK39*$W39*1000)/($G39*$B$5)))),
IF($D39="Pressio.",
IF($E39=3,(PI()*EO$12^2)/4*(EK39*$W39*1000)/($H39*$B$5),(PI()*EO$12^2)/4*(EK39*$W39*1000)/($G39*$B$5)),
IF($D39="Pénétro.",
IF($E39=4,(PI()*EO$12^2)/4*(EK39*$W39*1000)/($H39*$B$5),(PI()*EO$12^2)/4*(EK39*$W39*1000)/($G39*$B$5))))))/10</f>
        <v>#N/A</v>
      </c>
      <c r="EP39" s="102" t="e">
        <f>(VLOOKUP($B$3,'Coeff EC7'!$T$39:$X$59,2,0)*EN39+VLOOKUP($B$3,'Coeff EC7'!$T$65:$X$85,2,0)*Model0.1C!EO39)/1.1</f>
        <v>#N/A</v>
      </c>
      <c r="EQ39" s="102" t="e">
        <f>(VLOOKUP($B$3,'Coeff EC7'!$T$39:$X$59,3,0)*EN39+VLOOKUP($B$3,'Coeff EC7'!$T$65:$X$85,3,0)*Model0.1C!EO39)/0.9</f>
        <v>#N/A</v>
      </c>
      <c r="ER39" s="102" t="e">
        <f t="shared" si="94"/>
        <v>#N/A</v>
      </c>
      <c r="ES39" s="102" t="e">
        <f t="shared" si="95"/>
        <v>#N/A</v>
      </c>
      <c r="ET39" s="414" t="e">
        <f>IF(ET38=0,0,IF(AND(EP39&gt;charge_ELS_quasi,EQ39&gt;Charge_ELS_freq,ER39&gt;charge_ELU,ES39&gt;charge_ELA,$B39&gt;NDC!$H$22-0.1+MIN(3*$ET$12,1.5)),0,1))</f>
        <v>#N/A</v>
      </c>
      <c r="EU39" s="86" t="b">
        <f t="shared" si="60"/>
        <v>0</v>
      </c>
      <c r="EV39" s="86">
        <f t="shared" si="61"/>
        <v>0.61</v>
      </c>
      <c r="EW39" s="86">
        <f t="shared" si="62"/>
        <v>0.61</v>
      </c>
      <c r="EX39" s="30" t="e">
        <f t="shared" ca="1" si="96"/>
        <v>#DIV/0!</v>
      </c>
      <c r="EY39" s="85" t="e">
        <f ca="1">IF(EE39&lt;=Hypothèses!$V$7,Hypothèses!$W$7,IF(EE39&lt;=Hypothèses!$V$8,Hypothèses!$W$8,IF(EE39&lt;=Hypothèses!$V$9,Hypothèses!$W$9,IF(EE39&lt;=Hypothèses!$V$10,Hypothèses!$W$10,IF(EE39&lt;=Hypothèses!$V$11,Hypothèses!$W$11,IF(EE39&lt;=Hypothèses!$V$12,Hypothèses!$W$12,IF(EE39&lt;=Hypothèses!$V$13,Hypothèses!$W$13,IF(EE39&lt;=Hypothèses!$V$14,Hypothèses!$W$14,IF(EE39&lt;=Hypothèses!$V$15,Hypothèses!$W$15,IF(EE39&lt;=Hypothèses!$V$16,Hypothèses!$W$16,IF(EE39&lt;=Hypothèses!$V$17,Hypothèses!$W$17,IF(EE39&lt;=Hypothèses!$V$18,Hypothèses!$W$18,""))))))))))))</f>
        <v>#DIV/0!</v>
      </c>
      <c r="EZ39" s="87" t="e">
        <f t="shared" ca="1" si="123"/>
        <v>#DIV/0!</v>
      </c>
      <c r="FA39" s="88" t="e">
        <f ca="1">IF(EE39&lt;=Hypothèses!$V$7,Hypothèses!$X$7,IF(EE39&lt;=Hypothèses!$V$8,Hypothèses!$X$8,IF(EE39&lt;=Hypothèses!$V$9,Hypothèses!$X$9,IF(EE39&lt;=Hypothèses!$V$10,Hypothèses!$X$10,IF(EE39&lt;=Hypothèses!$V$11,Hypothèses!$X$11,IF(EE39&lt;=Hypothèses!$V$12,Hypothèses!$X$12,IF(EE39&lt;=Hypothèses!$V$13,Hypothèses!$X$13,IF(EE39&lt;=Hypothèses!$V$14,Hypothèses!$X$14,IF(EE39&lt;=Hypothèses!$V$15,Hypothèses!$X$15,IF(EE39&lt;=Hypothèses!$V$16,Hypothèses!$X$16,IF(EE39&lt;=Hypothèses!$U$17,Hypothèses!$W$17,IF(EE39&lt;=Hypothèses!$U$18,Hypothèses!$W$18,""))))))))))))</f>
        <v>#DIV/0!</v>
      </c>
      <c r="FB39" s="95" t="e">
        <f t="shared" ca="1" si="97"/>
        <v>#DIV/0!</v>
      </c>
      <c r="FC39" s="101" t="e">
        <f t="shared" si="130"/>
        <v>#N/A</v>
      </c>
      <c r="FD39" s="91" t="e">
        <f t="shared" si="64"/>
        <v>#N/A</v>
      </c>
      <c r="FE39" s="30" t="e">
        <f t="shared" si="114"/>
        <v>#N/A</v>
      </c>
      <c r="FF39" s="30" t="e">
        <f t="shared" si="115"/>
        <v>#N/A</v>
      </c>
      <c r="FG39" s="31" t="e">
        <f>IF(OR(Hypothèses!$B$4=17,Hypothèses!$B$4=18,Hypothèses!$B$4=19,Hypothèses!$B$4=20),
IF($D39="Pressio.",
IF(OR($E39=3,$E39=1,$E39=4),FF39,FE39),
IF($D39="Pénétro.",
IF(OR($E39=3,$E39=1,$E39=4),FF39,FE39))),IF($D39="Pressio.",
IF($E39=3,FF39,FE39),
IF($D39="Pénétro.",
IF($E39=4,FF39,FE39))))</f>
        <v>#N/A</v>
      </c>
      <c r="FH39" s="31" t="e">
        <f>(IF(OR(Hypothèses!$B$4=17,Hypothèses!$B$4=18,Hypothèses!$B$4=19,Hypothèses!$B$4=20),
IF($D39="Pressio.",
IF(OR($E39=3,$E39=1,$E39=4),(PI()*FH$12^2)/4*(FD39*$W39*1000)/($H39*$B$5),(PI()*FH$12^2)/4*(FD39*$W39*1000)/($G39*$B$5)),
IF($D39="Pénétro.",
IF(OR($E39=4,$E39=1,$E39=5),(PI()*FH$12^2)/4*(FD39*$W39*1000)/($H39*$B$5),(PI()*FH$12^2)/4*(FD39*$W39*1000)/($G39*$B$5)))),
IF($D39="Pressio.",
IF($E39=3,(PI()*FH$12^2)/4*(FD39*$W39*1000)/($H39*$B$5),(PI()*FH$12^2)/4*(FD39*$W39*1000)/($G39*$B$5)),
IF($D39="Pénétro.",
IF($E39=4,(PI()*FH$12^2)/4*(FD39*$W39*1000)/($H39*$B$5),(PI()*FH$12^2)/4*(FD39*$W39*1000)/($G39*$B$5))))))/10</f>
        <v>#N/A</v>
      </c>
      <c r="FI39" s="102" t="e">
        <f>(VLOOKUP($B$3,'Coeff EC7'!$T$39:$X$59,2,0)*FG39+VLOOKUP($B$3,'Coeff EC7'!$T$65:$X$85,2,0)*Model0.1C!FH39)/1.1</f>
        <v>#N/A</v>
      </c>
      <c r="FJ39" s="102" t="e">
        <f>(VLOOKUP($B$3,'Coeff EC7'!$T$39:$X$59,3,0)*FG39+VLOOKUP($B$3,'Coeff EC7'!$T$65:$X$85,3,0)*Model0.1C!FH39)/0.9</f>
        <v>#N/A</v>
      </c>
      <c r="FK39" s="102" t="e">
        <f t="shared" si="98"/>
        <v>#N/A</v>
      </c>
      <c r="FL39" s="102" t="e">
        <f t="shared" si="99"/>
        <v>#N/A</v>
      </c>
      <c r="FM39" s="414" t="e">
        <f>IF(FM38=0,0,IF(AND(FI39&gt;charge_ELS_quasi,FJ39&gt;Charge_ELS_freq,FK39&gt;charge_ELU,FL39&gt;charge_ELA,$B39&gt;NDC!$H$22-0.1+MIN(3*$FM$12,1.5)),0,1))</f>
        <v>#N/A</v>
      </c>
    </row>
    <row r="40" spans="1:169">
      <c r="A40" s="96">
        <f t="shared" si="67"/>
        <v>97.300000000000153</v>
      </c>
      <c r="B40" s="97">
        <v>2.7</v>
      </c>
      <c r="C40" s="81">
        <f>IF(B40&lt;=Hypothèses!$C$7,Hypothèses!$A$7,IF(B40&lt;=Hypothèses!$C$8,Hypothèses!$A$8,IF(B40&lt;=Hypothèses!$C$9,Hypothèses!$A$9,IF(B40&lt;=Hypothèses!$C$10,Hypothèses!$A$10,IF(B40&lt;=Hypothèses!$C$11,Hypothèses!$A$11,IF(B40&lt;=Hypothèses!$C$12,Hypothèses!$A$12,IF(B40&lt;=Hypothèses!$C$13,Hypothèses!$A$13,IF(B40&lt;=Hypothèses!$C$14,Hypothèses!$A$14,IF(B40&lt;=Hypothèses!$C$15,Hypothèses!$A$15,IF(B40&lt;=Hypothèses!$C$16,Hypothèses!$A$16,IF(B40&lt;=Hypothèses!$C$17,Hypothèses!$A$17,IF(B40&lt;=Hypothèses!$C$18,Hypothèses!$A$18,C39))))))))))))</f>
        <v>11</v>
      </c>
      <c r="D40" s="82" t="str">
        <f>IF(B40&lt;=Hypothèses!$C$7,Hypothèses!$R$7,IF(B40&lt;=Hypothèses!$C$8,Hypothèses!$R$8,IF(B40&lt;=Hypothèses!$C$9,Hypothèses!$R$9,IF(B40&lt;=Hypothèses!$C$10,Hypothèses!$R$10,IF(B40&lt;=Hypothèses!$C$11,Hypothèses!$R$11,IF(B40&lt;=Hypothèses!$C$12,Hypothèses!$R$12,IF(B40&lt;=Hypothèses!$C$13,Hypothèses!$R$13,IF(B40&lt;=Hypothèses!$C$14,Hypothèses!$R$14,IF(B40&lt;=Hypothèses!$C$15,Hypothèses!$R$15,IF(B40&lt;=Hypothèses!$C$16,Hypothèses!$R$16,IF(B40&lt;=Hypothèses!$C$17,Hypothèses!$R$17,IF(B40&lt;=Hypothèses!$C$18,Hypothèses!$R$18,D39))))))))))))</f>
        <v>Pressio.</v>
      </c>
      <c r="E40" s="82" t="e">
        <f>IF(B40&lt;=Hypothèses!$C$7,Hypothèses!$G$7,IF(B40&lt;=Hypothèses!$C$8,Hypothèses!$G$8,IF(B40&lt;=Hypothèses!$C$9,Hypothèses!$G$9,IF(B40&lt;=Hypothèses!$C$10,Hypothèses!$G$10,IF(B40&lt;=Hypothèses!$C$11,Hypothèses!$G$11,IF(B40&lt;=Hypothèses!$C$12,Hypothèses!$G$12,IF(B40&lt;=Hypothèses!$C$13,Hypothèses!$G$13,IF(B40&lt;=Hypothèses!$C$14,Hypothèses!$G$14,IF(B40&lt;=Hypothèses!$C$15,Hypothèses!$G$15,IF(B40&lt;=Hypothèses!$C$16,Hypothèses!$G$16,IF(B40&lt;=Hypothèses!$C$17,Hypothèses!$G$17,IF(B40&lt;=Hypothèses!$C$18,Hypothèses!$G$18,E39))))))))))))</f>
        <v>#N/A</v>
      </c>
      <c r="F40" s="82" t="str">
        <f>IF(B40&lt;=Hypothèses!$C$7,Hypothèses!$F$7,IF(B40&lt;=Hypothèses!$C$8,Hypothèses!$F$8,IF(B40&lt;=Hypothèses!$C$9,Hypothèses!$F$9,IF(B40&lt;=Hypothèses!$C$10,Hypothèses!$F$10,IF(B40&lt;=Hypothèses!$C$11,Hypothèses!$F$11,IF(B40&lt;=Hypothèses!$C$12,Hypothèses!$F$12,IF(B40&lt;=Hypothèses!$C$13,Hypothèses!$F$13,IF(B40&lt;=Hypothèses!$C$14,Hypothèses!$F$14,IF(B40&lt;=Hypothèses!$C$15,Hypothèses!$F$15,IF(B40&lt;=Hypothèses!$C$16,Hypothèses!$F$16,IF(B40&lt;=Hypothèses!$C$17,Hypothèses!$F$17,IF(B40&lt;=Hypothèses!$C$18,Hypothèses!$F$18,F39))))))))))))</f>
        <v/>
      </c>
      <c r="G40" s="91">
        <f t="array" ref="G40">INDEX('Coeff EC7'!$U$7:$X$27,
MATCH(Model0.1C!$B$3,'Coeff EC7'!$T$7:$T$27,0),
MATCH(Model0.1C!$D40&amp;Model0.1C!$B$4,
'Coeff EC7'!$U$6:$X$6&amp;
'Coeff EC7'!$U$5:$X$5,0))</f>
        <v>1.1499999999999999</v>
      </c>
      <c r="H40" s="91">
        <f t="array" ref="H40">INDEX('Coeff EC7'!$Y$7:$AB$27,
MATCH(Model0.1C!$B$3,'Coeff EC7'!$T$7:$T$27,0),
MATCH(Model0.1C!$D40&amp;Model0.1C!$B$4,
'Coeff EC7'!$Y$6:$AB$6&amp;
'Coeff EC7'!$Y$5:$AB$5,0))</f>
        <v>1.4</v>
      </c>
      <c r="I40" s="83" t="e">
        <f>IF(B40&lt;=Hypothèses!$C$7,Hypothèses!$P$7,IF(B40&lt;=Hypothèses!$C$8,Hypothèses!$P$8,IF(B40&lt;=Hypothèses!$C$9,Hypothèses!$P$9,IF(B40&lt;=Hypothèses!$C$10,Hypothèses!$P$10,IF(B40&lt;=Hypothèses!$C$11,Hypothèses!$P$11,IF(B40&lt;=Hypothèses!$C$12,Hypothèses!$P$12,IF(B40&lt;=Hypothèses!$C$13,Hypothèses!$P$13,IF(B40&lt;=Hypothèses!$C$14,Hypothèses!$P$14,IF(B40&lt;=Hypothèses!$C$15,Hypothèses!$P$15,IF(B40&lt;=Hypothèses!$C$16,Hypothèses!$P$16,IF(B40&lt;=Hypothèses!$C$17,Hypothèses!$P$17,IF(B40&lt;=Hypothèses!$C$18,Hypothèses!$P$18,I39))))))))))))</f>
        <v>#N/A</v>
      </c>
      <c r="J40" s="91" t="e">
        <f t="array" ref="J40">INDEX('Coeff EC7'!$D$33:$Q$33,1,MATCH(D40&amp;E40,'Coeff EC7'!$D$31:$Q$31&amp;'Coeff EC7'!$D$32:$Q$32,0))</f>
        <v>#N/A</v>
      </c>
      <c r="K40" s="91" t="e">
        <f t="array" ref="K40">INDEX('Coeff EC7'!$D$34:$Q$34,1,MATCH(D40&amp;E40,'Coeff EC7'!$D$31:$Q$31&amp;'Coeff EC7'!$D$32:$Q$32,0))</f>
        <v>#N/A</v>
      </c>
      <c r="L40" s="91" t="e">
        <f t="array" ref="L40">INDEX('Coeff EC7'!$D$35:$Q$35,1,MATCH(D40&amp;E40,'Coeff EC7'!$D$31:$Q$31&amp;'Coeff EC7'!$D$32:$Q$32,0))</f>
        <v>#N/A</v>
      </c>
      <c r="M40" s="98" t="e">
        <f t="shared" si="8"/>
        <v>#N/A</v>
      </c>
      <c r="N40" s="99" t="e">
        <f t="array" ref="N40">INDEX('Coeff EC7'!$D$7:$Q$27,MATCH($B$3,'Coeff EC7'!$C$7:$C$27,0),MATCH(D40&amp;E40,'Coeff EC7'!$D$5:$Q$5&amp;'Coeff EC7'!$D$6:$Q$6,0))</f>
        <v>#N/A</v>
      </c>
      <c r="O40" s="99" t="e">
        <f t="array" ref="O40">INDEX('Coeff EC7'!$D$41:$Q$61,MATCH($B$3,'Coeff EC7'!$C$41:$C$61,0),MATCH(D40&amp;E40,'Coeff EC7'!$D$39:$Q$39&amp;'Coeff EC7'!$D$40:$Q$40,0))</f>
        <v>#N/A</v>
      </c>
      <c r="P40" s="30" t="e">
        <f t="shared" si="68"/>
        <v>#N/A</v>
      </c>
      <c r="Q40" s="100" t="e">
        <f t="shared" si="10"/>
        <v>#N/A</v>
      </c>
      <c r="R40" s="86" t="b">
        <f t="shared" si="11"/>
        <v>0</v>
      </c>
      <c r="S40" s="86">
        <f t="shared" si="9"/>
        <v>0.5</v>
      </c>
      <c r="T40" s="86">
        <f t="shared" si="12"/>
        <v>0.5</v>
      </c>
      <c r="U40" s="30" t="e">
        <f t="shared" ca="1" si="69"/>
        <v>#DIV/0!</v>
      </c>
      <c r="V40" s="85" t="str">
        <f>IF(B40&lt;=Hypothèses!$V$7,Hypothèses!$W$7,IF(B40&lt;=Hypothèses!$V$8,Hypothèses!$W$8,IF(B40&lt;=Hypothèses!$V$9,Hypothèses!$W$9,IF(B40&lt;=Hypothèses!$V$10,Hypothèses!$W$10,IF(B40&lt;=Hypothèses!$V$11,Hypothèses!$W$11,IF(B40&lt;=Hypothèses!$V$12,Hypothèses!$W$12,IF(B40&lt;=Hypothèses!$V$13,Hypothèses!$W$13,IF(B40&lt;=Hypothèses!$V$14,Hypothèses!$W$14,IF(B40&lt;=Hypothèses!$V$15,Hypothèses!$W$15,IF(B40&lt;=Hypothèses!$V$16,Hypothèses!$W$16,IF(B40&lt;=Hypothèses!$V$17,Hypothèses!$W$17,IF(B40&lt;=Hypothèses!$V$18,Hypothèses!$W$18,""))))))))))))</f>
        <v/>
      </c>
      <c r="W40" s="87" t="e">
        <f t="shared" ca="1" si="116"/>
        <v>#DIV/0!</v>
      </c>
      <c r="X40" s="88" t="str">
        <f>IF(B40&lt;=Hypothèses!$V$7,Hypothèses!$X$7,IF(B40&lt;=Hypothèses!$V$8,Hypothèses!$X$8,IF(B40&lt;=Hypothèses!$V$9,Hypothèses!$X$9,IF(B40&lt;=Hypothèses!$V$10,Hypothèses!$X$10,IF(B40&lt;=Hypothèses!$V$11,Hypothèses!$X$11,IF(B40&lt;=Hypothèses!$V$12,Hypothèses!$X$12,IF(B40&lt;=Hypothèses!$V$13,Hypothèses!$X$13,IF(B40&lt;=Hypothèses!$V$14,Hypothèses!$X$14,IF(B40&lt;=Hypothèses!$V$15,Hypothèses!$X$15,IF(B40&lt;=Hypothèses!$V$16,Hypothèses!$X$16,IF(B40&lt;=Hypothèses!$U$17,Hypothèses!$W$17,IF(B40&lt;=Hypothèses!$U$18,Hypothèses!$W$18,""))))))))))))</f>
        <v/>
      </c>
      <c r="Y40" s="95" t="e">
        <f t="shared" ca="1" si="13"/>
        <v>#DIV/0!</v>
      </c>
      <c r="Z40" s="101" t="e">
        <f t="shared" si="14"/>
        <v>#N/A</v>
      </c>
      <c r="AA40" s="91" t="e">
        <f t="shared" si="15"/>
        <v>#N/A</v>
      </c>
      <c r="AB40" s="30" t="e">
        <f t="shared" si="100"/>
        <v>#N/A</v>
      </c>
      <c r="AC40" s="30" t="e">
        <f t="shared" si="101"/>
        <v>#N/A</v>
      </c>
      <c r="AD40" s="31" t="e">
        <f>IF(OR(Hypothèses!$B$4=17,Hypothèses!$B$4=18,Hypothèses!$B$4=19,Hypothèses!$B$4=20),
IF($D40="Pressio.",
IF(OR($E40=3,$E40=1,$E40=4),AC40,AB40),
IF($D40="Pénétro.",
IF(OR($E40=3,$E40=1,$E40=4),AC40,AB40))),IF($D40="Pressio.",
IF($E40=3,AC40,AB40),
IF($D40="Pénétro.",
IF($E40=4,AC40,AB40))))</f>
        <v>#N/A</v>
      </c>
      <c r="AE40" s="31" t="e">
        <f>(IF(OR(Hypothèses!$B$4=17,Hypothèses!$B$4=18,Hypothèses!$B$4=19,Hypothèses!$B$4=20),
IF($D40="Pressio.",
IF(OR($E40=3,$E40=1,$E40=4),(PI()*AE$12^2)/4*(AA40*$W40*1000)/($H40*$B$5),(PI()*AE$12^2)/4*(AA40*$W40*1000)/($G40*$B$5)),
IF($D40="Pénétro.",
IF(OR($E40=4,$E40=1,$E40=5),(PI()*AE$12^2)/4*(AA40*$W40*1000)/($H40*$B$5),(PI()*AE$12^2)/4*(AA40*$W40*1000)/($G40*$B$5)))),
IF($D40="Pressio.",
IF($E40=3,(PI()*AE$12^2)/4*(AA40*$W40*1000)/($H40*$B$5),(PI()*AE$12^2)/4*(AA40*$W40*1000)/($G40*$B$5)),
IF($D40="Pénétro.",
IF($E40=4,(PI()*AE$12^2)/4*(AA40*$W40*1000)/($H40*$B$5),(PI()*AE$12^2)/4*(AA40*$W40*1000)/($G40*$B$5))))))/10</f>
        <v>#N/A</v>
      </c>
      <c r="AF40" s="102" t="e">
        <f>(VLOOKUP($B$3,'Coeff EC7'!$T$39:$X$59,2,0)*AD40+VLOOKUP($B$3,'Coeff EC7'!$T$65:$X$85,2,0)*Model0.1C!AE40)/1.1</f>
        <v>#N/A</v>
      </c>
      <c r="AG40" s="102" t="e">
        <f>(VLOOKUP($B$3,'Coeff EC7'!$T$39:$X$59,3,0)*AD40+VLOOKUP($B$3,'Coeff EC7'!$T$65:$X$85,3,0)*Model0.1C!AE40)/0.9</f>
        <v>#N/A</v>
      </c>
      <c r="AH40" s="102" t="e">
        <f t="shared" si="18"/>
        <v>#N/A</v>
      </c>
      <c r="AI40" s="102" t="e">
        <f t="shared" si="19"/>
        <v>#N/A</v>
      </c>
      <c r="AJ40" s="414" t="e">
        <f>IF(AJ39=0,0,IF(AND(AF40&gt;charge_ELS_quasi,AG40&gt;Charge_ELS_freq,AH40&gt;charge_ELU,AI40&gt;charge_ELA,$B40&gt;NDC!$H$22-0.1+MIN(3*$AJ$12,1.5)),0,1))</f>
        <v>#N/A</v>
      </c>
      <c r="AK40" s="86" t="b">
        <f t="shared" si="20"/>
        <v>0</v>
      </c>
      <c r="AL40" s="86">
        <f t="shared" si="70"/>
        <v>0.5</v>
      </c>
      <c r="AM40" s="86">
        <f t="shared" si="21"/>
        <v>0.5</v>
      </c>
      <c r="AN40" s="30" t="e">
        <f t="shared" ca="1" si="71"/>
        <v>#DIV/0!</v>
      </c>
      <c r="AO40" s="85" t="e">
        <f ca="1">IF(U40&lt;=Hypothèses!$V$7,Hypothèses!$W$7,IF(U40&lt;=Hypothèses!$V$8,Hypothèses!$W$8,IF(U40&lt;=Hypothèses!$V$9,Hypothèses!$W$9,IF(U40&lt;=Hypothèses!$V$10,Hypothèses!$W$10,IF(U40&lt;=Hypothèses!$V$11,Hypothèses!$W$11,IF(U40&lt;=Hypothèses!$V$12,Hypothèses!$W$12,IF(U40&lt;=Hypothèses!$V$13,Hypothèses!$W$13,IF(U40&lt;=Hypothèses!$V$14,Hypothèses!$W$14,IF(U40&lt;=Hypothèses!$V$15,Hypothèses!$W$15,IF(U40&lt;=Hypothèses!$V$16,Hypothèses!$W$16,IF(U40&lt;=Hypothèses!$V$17,Hypothèses!$W$17,IF(U40&lt;=Hypothèses!$V$18,Hypothèses!$W$18,""))))))))))))</f>
        <v>#DIV/0!</v>
      </c>
      <c r="AP40" s="87" t="e">
        <f t="shared" ca="1" si="117"/>
        <v>#DIV/0!</v>
      </c>
      <c r="AQ40" s="88" t="e">
        <f ca="1">IF(U40&lt;=Hypothèses!$V$7,Hypothèses!$X$7,IF(U40&lt;=Hypothèses!$V$8,Hypothèses!$X$8,IF(U40&lt;=Hypothèses!$V$9,Hypothèses!$X$9,IF(U40&lt;=Hypothèses!$V$10,Hypothèses!$X$10,IF(U40&lt;=Hypothèses!$V$11,Hypothèses!$X$11,IF(U40&lt;=Hypothèses!$V$12,Hypothèses!$X$12,IF(U40&lt;=Hypothèses!$V$13,Hypothèses!$X$13,IF(U40&lt;=Hypothèses!$V$14,Hypothèses!$X$14,IF(U40&lt;=Hypothèses!$V$15,Hypothèses!$X$15,IF(U40&lt;=Hypothèses!$V$16,Hypothèses!$X$16,IF(U40&lt;=Hypothèses!$U$17,Hypothèses!$W$17,IF(U40&lt;=Hypothèses!$U$18,Hypothèses!$W$18,""))))))))))))</f>
        <v>#DIV/0!</v>
      </c>
      <c r="AR40" s="95" t="e">
        <f t="shared" ca="1" si="72"/>
        <v>#DIV/0!</v>
      </c>
      <c r="AS40" s="101" t="e">
        <f t="shared" si="124"/>
        <v>#N/A</v>
      </c>
      <c r="AT40" s="91" t="e">
        <f t="shared" si="23"/>
        <v>#N/A</v>
      </c>
      <c r="AU40" s="30" t="e">
        <f t="shared" si="102"/>
        <v>#N/A</v>
      </c>
      <c r="AV40" s="30" t="e">
        <f t="shared" si="103"/>
        <v>#N/A</v>
      </c>
      <c r="AW40" s="31" t="e">
        <f>IF(OR(Hypothèses!$B$4=17,Hypothèses!$B$4=18,Hypothèses!$B$4=19,Hypothèses!$B$4=20),
IF($D40="Pressio.",
IF(OR($E40=3,$E40=1,$E40=4),AV40,AU40),
IF($D40="Pénétro.",
IF(OR($E40=3,$E40=1,$E40=4),AV40,AU40))),IF($D40="Pressio.",
IF($E40=3,AV40,AU40),
IF($D40="Pénétro.",
IF($E40=4,AV40,AU40))))</f>
        <v>#N/A</v>
      </c>
      <c r="AX40" s="31" t="e">
        <f>(IF(OR(Hypothèses!$B$4=17,Hypothèses!$B$4=18,Hypothèses!$B$4=19,Hypothèses!$B$4=20),
IF($D40="Pressio.",
IF(OR($E40=3,$E40=1,$E40=4),(PI()*AX$12^2)/4*(AT40*$W40*1000)/($H40*$B$5),(PI()*AX$12^2)/4*(AT40*$W40*1000)/($G40*$B$5)),
IF($D40="Pénétro.",
IF(OR($E40=4,$E40=1,$E40=5),(PI()*AX$12^2)/4*(AT40*$W40*1000)/($H40*$B$5),(PI()*AX$12^2)/4*(AT40*$W40*1000)/($G40*$B$5)))),
IF($D40="Pressio.",
IF($E40=3,(PI()*AX$12^2)/4*(AT40*$W40*1000)/($H40*$B$5),(PI()*AX$12^2)/4*(AT40*$W40*1000)/($G40*$B$5)),
IF($D40="Pénétro.",
IF($E40=4,(PI()*AX$12^2)/4*(AT40*$W40*1000)/($H40*$B$5),(PI()*AX$12^2)/4*(AT40*$W40*1000)/($G40*$B$5))))))/10</f>
        <v>#N/A</v>
      </c>
      <c r="AY40" s="102" t="e">
        <f>(VLOOKUP($B$3,'Coeff EC7'!$T$39:$X$59,2,0)*AW40+VLOOKUP($B$3,'Coeff EC7'!$T$65:$X$85,2,0)*Model0.1C!AX40)/1.1</f>
        <v>#N/A</v>
      </c>
      <c r="AZ40" s="102" t="e">
        <f>(VLOOKUP($B$3,'Coeff EC7'!$T$39:$X$59,3,0)*AW40+VLOOKUP($B$3,'Coeff EC7'!$T$65:$X$85,3,0)*Model0.1C!AX40)/0.9</f>
        <v>#N/A</v>
      </c>
      <c r="BA40" s="102" t="e">
        <f t="shared" si="73"/>
        <v>#N/A</v>
      </c>
      <c r="BB40" s="102" t="e">
        <f t="shared" si="74"/>
        <v>#N/A</v>
      </c>
      <c r="BC40" s="414" t="e">
        <f>IF(BC39=0,0,IF(AND(AY40&gt;charge_ELS_quasi,AZ40&gt;Charge_ELS_freq,BA40&gt;charge_ELU,BB40&gt;charge_ELA,$B40&gt;NDC!$H$22-0.1+MIN(3*$BC$12,1.5)),0,1))</f>
        <v>#N/A</v>
      </c>
      <c r="BD40" s="86" t="b">
        <f t="shared" si="26"/>
        <v>0</v>
      </c>
      <c r="BE40" s="86">
        <f t="shared" si="75"/>
        <v>0.5</v>
      </c>
      <c r="BF40" s="86">
        <f t="shared" si="27"/>
        <v>0.5</v>
      </c>
      <c r="BG40" s="30" t="e">
        <f t="shared" ca="1" si="76"/>
        <v>#DIV/0!</v>
      </c>
      <c r="BH40" s="85" t="e">
        <f ca="1">IF(AN40&lt;=Hypothèses!$V$7,Hypothèses!$W$7,IF(AN40&lt;=Hypothèses!$V$8,Hypothèses!$W$8,IF(AN40&lt;=Hypothèses!$V$9,Hypothèses!$W$9,IF(AN40&lt;=Hypothèses!$V$10,Hypothèses!$W$10,IF(AN40&lt;=Hypothèses!$V$11,Hypothèses!$W$11,IF(AN40&lt;=Hypothèses!$V$12,Hypothèses!$W$12,IF(AN40&lt;=Hypothèses!$V$13,Hypothèses!$W$13,IF(AN40&lt;=Hypothèses!$V$14,Hypothèses!$W$14,IF(AN40&lt;=Hypothèses!$V$15,Hypothèses!$W$15,IF(AN40&lt;=Hypothèses!$V$16,Hypothèses!$W$16,IF(AN40&lt;=Hypothèses!$V$17,Hypothèses!$W$17,IF(AN40&lt;=Hypothèses!$V$18,Hypothèses!$W$18,""))))))))))))</f>
        <v>#DIV/0!</v>
      </c>
      <c r="BI40" s="87" t="e">
        <f t="shared" ca="1" si="118"/>
        <v>#DIV/0!</v>
      </c>
      <c r="BJ40" s="88" t="e">
        <f ca="1">IF(AN40&lt;=Hypothèses!$V$7,Hypothèses!$X$7,IF(AN40&lt;=Hypothèses!$V$8,Hypothèses!$X$8,IF(AN40&lt;=Hypothèses!$V$9,Hypothèses!$X$9,IF(AN40&lt;=Hypothèses!$V$10,Hypothèses!$X$10,IF(AN40&lt;=Hypothèses!$V$11,Hypothèses!$X$11,IF(AN40&lt;=Hypothèses!$V$12,Hypothèses!$X$12,IF(AN40&lt;=Hypothèses!$V$13,Hypothèses!$X$13,IF(AN40&lt;=Hypothèses!$V$14,Hypothèses!$X$14,IF(AN40&lt;=Hypothèses!$V$15,Hypothèses!$X$15,IF(AN40&lt;=Hypothèses!$V$16,Hypothèses!$X$16,IF(AN40&lt;=Hypothèses!$U$17,Hypothèses!$W$17,IF(AN40&lt;=Hypothèses!$U$18,Hypothèses!$W$18,""))))))))))))</f>
        <v>#DIV/0!</v>
      </c>
      <c r="BK40" s="95" t="e">
        <f t="shared" ca="1" si="77"/>
        <v>#DIV/0!</v>
      </c>
      <c r="BL40" s="101" t="e">
        <f t="shared" si="125"/>
        <v>#N/A</v>
      </c>
      <c r="BM40" s="91" t="e">
        <f t="shared" si="29"/>
        <v>#N/A</v>
      </c>
      <c r="BN40" s="30" t="e">
        <f t="shared" si="104"/>
        <v>#N/A</v>
      </c>
      <c r="BO40" s="30" t="e">
        <f t="shared" si="105"/>
        <v>#N/A</v>
      </c>
      <c r="BP40" s="31" t="e">
        <f>IF(OR(Hypothèses!$B$4=17,Hypothèses!$B$4=18,Hypothèses!$B$4=19,Hypothèses!$B$4=20),
IF($D40="Pressio.",
IF(OR($E40=3,$E40=1,$E40=4),BO40,BN40),
IF($D40="Pénétro.",
IF(OR($E40=3,$E40=1,$E40=4),BO40,BN40))),IF($D40="Pressio.",
IF($E40=3,BO40,BN40),
IF($D40="Pénétro.",
IF($E40=4,BO40,BN40))))</f>
        <v>#N/A</v>
      </c>
      <c r="BQ40" s="31" t="e">
        <f>(IF(OR(Hypothèses!$B$4=17,Hypothèses!$B$4=18,Hypothèses!$B$4=19,Hypothèses!$B$4=20),
IF($D40="Pressio.",
IF(OR($E40=3,$E40=1,$E40=4),(PI()*BQ$12^2)/4*(BM40*$W40*1000)/($H40*$B$5),(PI()*BQ$12^2)/4*(BM40*$W40*1000)/($G40*$B$5)),
IF($D40="Pénétro.",
IF(OR($E40=4,$E40=1,$E40=5),(PI()*BQ$12^2)/4*(BM40*$W40*1000)/($H40*$B$5),(PI()*BQ$12^2)/4*(BM40*$W40*1000)/($G40*$B$5)))),
IF($D40="Pressio.",
IF($E40=3,(PI()*BQ$12^2)/4*(BM40*$W40*1000)/($H40*$B$5),(PI()*BQ$12^2)/4*(BM40*$W40*1000)/($G40*$B$5)),
IF($D40="Pénétro.",
IF($E40=4,(PI()*BQ$12^2)/4*(BM40*$W40*1000)/($H40*$B$5),(PI()*BQ$12^2)/4*(BM40*$W40*1000)/($G40*$B$5))))))/10</f>
        <v>#N/A</v>
      </c>
      <c r="BR40" s="102" t="e">
        <f>(VLOOKUP($B$3,'Coeff EC7'!$T$39:$X$59,2,0)*BP40+VLOOKUP($B$3,'Coeff EC7'!$T$65:$X$85,2,0)*Model0.1C!BQ40)/1.1</f>
        <v>#N/A</v>
      </c>
      <c r="BS40" s="102" t="e">
        <f>(VLOOKUP($B$3,'Coeff EC7'!$T$39:$X$59,3,0)*BP40+VLOOKUP($B$3,'Coeff EC7'!$T$65:$X$85,3,0)*Model0.1C!BQ40)/0.9</f>
        <v>#N/A</v>
      </c>
      <c r="BT40" s="102" t="e">
        <f t="shared" si="78"/>
        <v>#N/A</v>
      </c>
      <c r="BU40" s="102" t="e">
        <f t="shared" si="79"/>
        <v>#N/A</v>
      </c>
      <c r="BV40" s="414" t="e">
        <f>IF(BV39=0,0,IF(AND(BR40&gt;charge_ELS_quasi,BS40&gt;Charge_ELS_freq,BT40&gt;charge_ELU,BU40&gt;charge_ELA,$B40&gt;NDC!$H$22-0.1+MIN(3*$BV$12,1.5)),0,1))</f>
        <v>#N/A</v>
      </c>
      <c r="BW40" s="86" t="b">
        <f t="shared" si="32"/>
        <v>0</v>
      </c>
      <c r="BX40" s="86">
        <f t="shared" si="33"/>
        <v>0.5</v>
      </c>
      <c r="BY40" s="86">
        <f t="shared" si="34"/>
        <v>0.5</v>
      </c>
      <c r="BZ40" s="30" t="e">
        <f t="shared" ca="1" si="80"/>
        <v>#DIV/0!</v>
      </c>
      <c r="CA40" s="85" t="e">
        <f ca="1">IF(BG40&lt;=Hypothèses!$V$7,Hypothèses!$W$7,IF(BG40&lt;=Hypothèses!$V$8,Hypothèses!$W$8,IF(BG40&lt;=Hypothèses!$V$9,Hypothèses!$W$9,IF(BG40&lt;=Hypothèses!$V$10,Hypothèses!$W$10,IF(BG40&lt;=Hypothèses!$V$11,Hypothèses!$W$11,IF(BG40&lt;=Hypothèses!$V$12,Hypothèses!$W$12,IF(BG40&lt;=Hypothèses!$V$13,Hypothèses!$W$13,IF(BG40&lt;=Hypothèses!$V$14,Hypothèses!$W$14,IF(BG40&lt;=Hypothèses!$V$15,Hypothèses!$W$15,IF(BG40&lt;=Hypothèses!$V$16,Hypothèses!$W$16,IF(BG40&lt;=Hypothèses!$V$17,Hypothèses!$W$17,IF(BG40&lt;=Hypothèses!$V$18,Hypothèses!$W$18,""))))))))))))</f>
        <v>#DIV/0!</v>
      </c>
      <c r="CB40" s="87" t="e">
        <f t="shared" ca="1" si="119"/>
        <v>#DIV/0!</v>
      </c>
      <c r="CC40" s="88" t="e">
        <f ca="1">IF(BG40&lt;=Hypothèses!$V$7,Hypothèses!$X$7,IF(BG40&lt;=Hypothèses!$V$8,Hypothèses!$X$8,IF(BG40&lt;=Hypothèses!$V$9,Hypothèses!$X$9,IF(BG40&lt;=Hypothèses!$V$10,Hypothèses!$X$10,IF(BG40&lt;=Hypothèses!$V$11,Hypothèses!$X$11,IF(BG40&lt;=Hypothèses!$V$12,Hypothèses!$X$12,IF(BG40&lt;=Hypothèses!$V$13,Hypothèses!$X$13,IF(BG40&lt;=Hypothèses!$V$14,Hypothèses!$X$14,IF(BG40&lt;=Hypothèses!$V$15,Hypothèses!$X$15,IF(BG40&lt;=Hypothèses!$V$16,Hypothèses!$X$16,IF(BG40&lt;=Hypothèses!$U$17,Hypothèses!$W$17,IF(BG40&lt;=Hypothèses!$U$18,Hypothèses!$W$18,""))))))))))))</f>
        <v>#DIV/0!</v>
      </c>
      <c r="CD40" s="95" t="e">
        <f t="shared" ca="1" si="81"/>
        <v>#DIV/0!</v>
      </c>
      <c r="CE40" s="101" t="e">
        <f t="shared" si="126"/>
        <v>#N/A</v>
      </c>
      <c r="CF40" s="91" t="e">
        <f t="shared" si="36"/>
        <v>#N/A</v>
      </c>
      <c r="CG40" s="30" t="e">
        <f t="shared" si="106"/>
        <v>#N/A</v>
      </c>
      <c r="CH40" s="30" t="e">
        <f t="shared" si="107"/>
        <v>#N/A</v>
      </c>
      <c r="CI40" s="31" t="e">
        <f>IF(OR(Hypothèses!$B$4=17,Hypothèses!$B$4=18,Hypothèses!$B$4=19,Hypothèses!$B$4=20),
IF($D40="Pressio.",
IF(OR($E40=3,$E40=1,$E40=4),CH40,CG40),
IF($D40="Pénétro.",
IF(OR($E40=3,$E40=1,$E40=4),CH40,CG40))),IF($D40="Pressio.",
IF($E40=3,CH40,CG40),
IF($D40="Pénétro.",
IF($E40=4,CH40,CG40))))</f>
        <v>#N/A</v>
      </c>
      <c r="CJ40" s="31" t="e">
        <f>(IF(OR(Hypothèses!$B$4=17,Hypothèses!$B$4=18,Hypothèses!$B$4=19,Hypothèses!$B$4=20),
IF($D40="Pressio.",
IF(OR($E40=3,$E40=1,$E40=4),(PI()*CJ$12^2)/4*(CF40*$W40*1000)/($H40*$B$5),(PI()*CJ$12^2)/4*(CF40*$W40*1000)/($G40*$B$5)),
IF($D40="Pénétro.",
IF(OR($E40=4,$E40=1,$E40=5),(PI()*CJ$12^2)/4*(CF40*$W40*1000)/($H40*$B$5),(PI()*CJ$12^2)/4*(CF40*$W40*1000)/($G40*$B$5)))),
IF($D40="Pressio.",
IF($E40=3,(PI()*CJ$12^2)/4*(CF40*$W40*1000)/($H40*$B$5),(PI()*CJ$12^2)/4*(CF40*$W40*1000)/($G40*$B$5)),
IF($D40="Pénétro.",
IF($E40=4,(PI()*CJ$12^2)/4*(CF40*$W40*1000)/($H40*$B$5),(PI()*CJ$12^2)/4*(CF40*$W40*1000)/($G40*$B$5))))))/10</f>
        <v>#N/A</v>
      </c>
      <c r="CK40" s="102" t="e">
        <f>(VLOOKUP($B$3,'Coeff EC7'!$T$39:$X$59,2,0)*CI40+VLOOKUP($B$3,'Coeff EC7'!$T$65:$X$85,2,0)*Model0.1C!CJ40)/1.1</f>
        <v>#N/A</v>
      </c>
      <c r="CL40" s="102" t="e">
        <f>(VLOOKUP($B$3,'Coeff EC7'!$T$39:$X$59,3,0)*CI40+VLOOKUP($B$3,'Coeff EC7'!$T$65:$X$85,3,0)*Model0.1C!CJ40)/0.9</f>
        <v>#N/A</v>
      </c>
      <c r="CM40" s="102" t="e">
        <f t="shared" si="82"/>
        <v>#N/A</v>
      </c>
      <c r="CN40" s="102" t="e">
        <f t="shared" si="83"/>
        <v>#N/A</v>
      </c>
      <c r="CO40" s="414" t="e">
        <f>IF(CO39=0,0,IF(AND(CK40&gt;charge_ELS_quasi,CL40&gt;Charge_ELS_freq,CM40&gt;charge_ELU,CN40&gt;charge_ELA,$B40&gt;NDC!$H$22-0.1+MIN(3*$CO$12,1.5)),0,1))</f>
        <v>#N/A</v>
      </c>
      <c r="CP40" s="86" t="b">
        <f t="shared" si="39"/>
        <v>0</v>
      </c>
      <c r="CQ40" s="86">
        <f t="shared" si="40"/>
        <v>0.5</v>
      </c>
      <c r="CR40" s="86">
        <f t="shared" si="41"/>
        <v>0.5</v>
      </c>
      <c r="CS40" s="30" t="e">
        <f t="shared" ca="1" si="84"/>
        <v>#DIV/0!</v>
      </c>
      <c r="CT40" s="85" t="e">
        <f ca="1">IF(BZ40&lt;=Hypothèses!$V$7,Hypothèses!$W$7,IF(BZ40&lt;=Hypothèses!$V$8,Hypothèses!$W$8,IF(BZ40&lt;=Hypothèses!$V$9,Hypothèses!$W$9,IF(BZ40&lt;=Hypothèses!$V$10,Hypothèses!$W$10,IF(BZ40&lt;=Hypothèses!$V$11,Hypothèses!$W$11,IF(BZ40&lt;=Hypothèses!$V$12,Hypothèses!$W$12,IF(BZ40&lt;=Hypothèses!$V$13,Hypothèses!$W$13,IF(BZ40&lt;=Hypothèses!$V$14,Hypothèses!$W$14,IF(BZ40&lt;=Hypothèses!$V$15,Hypothèses!$W$15,IF(BZ40&lt;=Hypothèses!$V$16,Hypothèses!$W$16,IF(BZ40&lt;=Hypothèses!$V$17,Hypothèses!$W$17,IF(BZ40&lt;=Hypothèses!$V$18,Hypothèses!$W$18,""))))))))))))</f>
        <v>#DIV/0!</v>
      </c>
      <c r="CU40" s="87" t="e">
        <f t="shared" ca="1" si="120"/>
        <v>#DIV/0!</v>
      </c>
      <c r="CV40" s="88" t="e">
        <f ca="1">IF(BZ40&lt;=Hypothèses!$V$7,Hypothèses!$X$7,IF(BZ40&lt;=Hypothèses!$V$8,Hypothèses!$X$8,IF(BZ40&lt;=Hypothèses!$V$9,Hypothèses!$X$9,IF(BZ40&lt;=Hypothèses!$V$10,Hypothèses!$X$10,IF(BZ40&lt;=Hypothèses!$V$11,Hypothèses!$X$11,IF(BZ40&lt;=Hypothèses!$V$12,Hypothèses!$X$12,IF(BZ40&lt;=Hypothèses!$V$13,Hypothèses!$X$13,IF(BZ40&lt;=Hypothèses!$V$14,Hypothèses!$X$14,IF(BZ40&lt;=Hypothèses!$V$15,Hypothèses!$X$15,IF(BZ40&lt;=Hypothèses!$V$16,Hypothèses!$X$16,IF(BZ40&lt;=Hypothèses!$U$17,Hypothèses!$W$17,IF(BZ40&lt;=Hypothèses!$U$18,Hypothèses!$W$18,""))))))))))))</f>
        <v>#DIV/0!</v>
      </c>
      <c r="CW40" s="95" t="e">
        <f t="shared" ca="1" si="85"/>
        <v>#DIV/0!</v>
      </c>
      <c r="CX40" s="101" t="e">
        <f t="shared" si="127"/>
        <v>#N/A</v>
      </c>
      <c r="CY40" s="91" t="e">
        <f t="shared" si="43"/>
        <v>#N/A</v>
      </c>
      <c r="CZ40" s="30" t="e">
        <f t="shared" si="108"/>
        <v>#N/A</v>
      </c>
      <c r="DA40" s="30" t="e">
        <f t="shared" si="109"/>
        <v>#N/A</v>
      </c>
      <c r="DB40" s="31" t="e">
        <f>IF(OR(Hypothèses!$B$4=17,Hypothèses!$B$4=18,Hypothèses!$B$4=19,Hypothèses!$B$4=20),
IF($D40="Pressio.",
IF(OR($E40=3,$E40=1,$E40=4),DA40,CZ40),
IF($D40="Pénétro.",
IF(OR($E40=3,$E40=1,$E40=4),DA40,CZ40))),IF($D40="Pressio.",
IF($E40=3,DA40,CZ40),
IF($D40="Pénétro.",
IF($E40=4,DA40,CZ40))))</f>
        <v>#N/A</v>
      </c>
      <c r="DC40" s="31" t="e">
        <f>(IF(OR(Hypothèses!$B$4=17,Hypothèses!$B$4=18,Hypothèses!$B$4=19,Hypothèses!$B$4=20),
IF($D40="Pressio.",
IF(OR($E40=3,$E40=1,$E40=4),(PI()*DC$12^2)/4*(CY40*$W40*1000)/($H40*$B$5),(PI()*DC$12^2)/4*(CY40*$W40*1000)/($G40*$B$5)),
IF($D40="Pénétro.",
IF(OR($E40=4,$E40=1,$E40=5),(PI()*DC$12^2)/4*(CY40*$W40*1000)/($H40*$B$5),(PI()*DC$12^2)/4*(CY40*$W40*1000)/($G40*$B$5)))),
IF($D40="Pressio.",
IF($E40=3,(PI()*DC$12^2)/4*(CY40*$W40*1000)/($H40*$B$5),(PI()*DC$12^2)/4*(CY40*$W40*1000)/($G40*$B$5)),
IF($D40="Pénétro.",
IF($E40=4,(PI()*DC$12^2)/4*(CY40*$W40*1000)/($H40*$B$5),(PI()*DC$12^2)/4*(CY40*$W40*1000)/($G40*$B$5))))))/10</f>
        <v>#N/A</v>
      </c>
      <c r="DD40" s="102" t="e">
        <f>(VLOOKUP($B$3,'Coeff EC7'!$T$39:$X$59,2,0)*DB40+VLOOKUP($B$3,'Coeff EC7'!$T$65:$X$85,2,0)*Model0.1C!DC40)/1.1</f>
        <v>#N/A</v>
      </c>
      <c r="DE40" s="102" t="e">
        <f>(VLOOKUP($B$3,'Coeff EC7'!$T$39:$X$59,3,0)*DB40+VLOOKUP($B$3,'Coeff EC7'!$T$65:$X$85,3,0)*Model0.1C!DC40)/0.9</f>
        <v>#N/A</v>
      </c>
      <c r="DF40" s="102" t="e">
        <f t="shared" si="86"/>
        <v>#N/A</v>
      </c>
      <c r="DG40" s="102" t="e">
        <f t="shared" si="87"/>
        <v>#N/A</v>
      </c>
      <c r="DH40" s="414" t="e">
        <f>IF(DH39=0,0,IF(AND(DD40&gt;charge_ELS_quasi,DE40&gt;Charge_ELS_freq,DF40&gt;charge_ELU,DG40&gt;charge_ELA,$B40&gt;NDC!$H$22-0.1+MIN(3*$DH$12,1.5)),0,1))</f>
        <v>#N/A</v>
      </c>
      <c r="DI40" s="86" t="b">
        <f t="shared" si="46"/>
        <v>0</v>
      </c>
      <c r="DJ40" s="86">
        <f t="shared" si="47"/>
        <v>0.5</v>
      </c>
      <c r="DK40" s="86">
        <f t="shared" si="48"/>
        <v>0.5</v>
      </c>
      <c r="DL40" s="30" t="e">
        <f t="shared" ca="1" si="88"/>
        <v>#DIV/0!</v>
      </c>
      <c r="DM40" s="85" t="e">
        <f ca="1">IF(CS40&lt;=Hypothèses!$V$7,Hypothèses!$W$7,IF(CS40&lt;=Hypothèses!$V$8,Hypothèses!$W$8,IF(CS40&lt;=Hypothèses!$V$9,Hypothèses!$W$9,IF(CS40&lt;=Hypothèses!$V$10,Hypothèses!$W$10,IF(CS40&lt;=Hypothèses!$V$11,Hypothèses!$W$11,IF(CS40&lt;=Hypothèses!$V$12,Hypothèses!$W$12,IF(CS40&lt;=Hypothèses!$V$13,Hypothèses!$W$13,IF(CS40&lt;=Hypothèses!$V$14,Hypothèses!$W$14,IF(CS40&lt;=Hypothèses!$V$15,Hypothèses!$W$15,IF(CS40&lt;=Hypothèses!$V$16,Hypothèses!$W$16,IF(CS40&lt;=Hypothèses!$V$17,Hypothèses!$W$17,IF(CS40&lt;=Hypothèses!$V$18,Hypothèses!$W$18,""))))))))))))</f>
        <v>#DIV/0!</v>
      </c>
      <c r="DN40" s="87" t="e">
        <f t="shared" ca="1" si="121"/>
        <v>#DIV/0!</v>
      </c>
      <c r="DO40" s="88" t="e">
        <f ca="1">IF(CS40&lt;=Hypothèses!$V$7,Hypothèses!$X$7,IF(CS40&lt;=Hypothèses!$V$8,Hypothèses!$X$8,IF(CS40&lt;=Hypothèses!$V$9,Hypothèses!$X$9,IF(CS40&lt;=Hypothèses!$V$10,Hypothèses!$X$10,IF(CS40&lt;=Hypothèses!$V$11,Hypothèses!$X$11,IF(CS40&lt;=Hypothèses!$V$12,Hypothèses!$X$12,IF(CS40&lt;=Hypothèses!$V$13,Hypothèses!$X$13,IF(CS40&lt;=Hypothèses!$V$14,Hypothèses!$X$14,IF(CS40&lt;=Hypothèses!$V$15,Hypothèses!$X$15,IF(CS40&lt;=Hypothèses!$V$16,Hypothèses!$X$16,IF(CS40&lt;=Hypothèses!$U$17,Hypothèses!$W$17,IF(CS40&lt;=Hypothèses!$U$18,Hypothèses!$W$18,""))))))))))))</f>
        <v>#DIV/0!</v>
      </c>
      <c r="DP40" s="95" t="e">
        <f t="shared" ca="1" si="89"/>
        <v>#DIV/0!</v>
      </c>
      <c r="DQ40" s="101" t="e">
        <f t="shared" si="128"/>
        <v>#N/A</v>
      </c>
      <c r="DR40" s="91" t="e">
        <f t="shared" si="50"/>
        <v>#N/A</v>
      </c>
      <c r="DS40" s="30" t="e">
        <f t="shared" si="110"/>
        <v>#N/A</v>
      </c>
      <c r="DT40" s="30" t="e">
        <f t="shared" si="111"/>
        <v>#N/A</v>
      </c>
      <c r="DU40" s="31" t="e">
        <f>IF(OR(Hypothèses!$B$4=17,Hypothèses!$B$4=18,Hypothèses!$B$4=19,Hypothèses!$B$4=20),
IF($D40="Pressio.",
IF(OR($E40=3,$E40=1,$E40=4),DT40,DS40),
IF($D40="Pénétro.",
IF(OR($E40=3,$E40=1,$E40=4),DT40,DS40))),IF($D40="Pressio.",
IF($E40=3,DT40,DS40),
IF($D40="Pénétro.",
IF($E40=4,DT40,DS40))))</f>
        <v>#N/A</v>
      </c>
      <c r="DV40" s="31" t="e">
        <f>(IF(OR(Hypothèses!$B$4=17,Hypothèses!$B$4=18,Hypothèses!$B$4=19,Hypothèses!$B$4=20),
IF($D40="Pressio.",
IF(OR($E40=3,$E40=1,$E40=4),(PI()*DV$12^2)/4*(DR40*$W40*1000)/($H40*$B$5),(PI()*DV$12^2)/4*(DR40*$W40*1000)/($G40*$B$5)),
IF($D40="Pénétro.",
IF(OR($E40=4,$E40=1,$E40=5),(PI()*DV$12^2)/4*(DR40*$W40*1000)/($H40*$B$5),(PI()*DV$12^2)/4*(DR40*$W40*1000)/($G40*$B$5)))),
IF($D40="Pressio.",
IF($E40=3,(PI()*DV$12^2)/4*(DR40*$W40*1000)/($H40*$B$5),(PI()*DV$12^2)/4*(DR40*$W40*1000)/($G40*$B$5)),
IF($D40="Pénétro.",
IF($E40=4,(PI()*DV$12^2)/4*(DR40*$W40*1000)/($H40*$B$5),(PI()*DV$12^2)/4*(DR40*$W40*1000)/($G40*$B$5))))))/10</f>
        <v>#N/A</v>
      </c>
      <c r="DW40" s="102" t="e">
        <f>(VLOOKUP($B$3,'Coeff EC7'!$T$39:$X$59,2,0)*DU40+VLOOKUP($B$3,'Coeff EC7'!$T$65:$X$85,2,0)*Model0.1C!DV40)/1.1</f>
        <v>#N/A</v>
      </c>
      <c r="DX40" s="102" t="e">
        <f>(VLOOKUP($B$3,'Coeff EC7'!$T$39:$X$59,3,0)*DU40+VLOOKUP($B$3,'Coeff EC7'!$T$65:$X$85,3,0)*Model0.1C!DV40)/0.9</f>
        <v>#N/A</v>
      </c>
      <c r="DY40" s="102" t="e">
        <f t="shared" si="90"/>
        <v>#N/A</v>
      </c>
      <c r="DZ40" s="102" t="e">
        <f t="shared" si="91"/>
        <v>#N/A</v>
      </c>
      <c r="EA40" s="414" t="e">
        <f>IF(EA39=0,0,IF(AND(DW40&gt;charge_ELS_quasi,DX40&gt;Charge_ELS_freq,DY40&gt;charge_ELU,DZ40&gt;charge_ELA,$B40&gt;NDC!$H$22-0.1+MIN(3*$EA$12,1.5)),0,1))</f>
        <v>#N/A</v>
      </c>
      <c r="EB40" s="86" t="b">
        <f t="shared" si="53"/>
        <v>0</v>
      </c>
      <c r="EC40" s="418">
        <f t="shared" si="54"/>
        <v>0.51</v>
      </c>
      <c r="ED40" s="86">
        <f t="shared" si="55"/>
        <v>0.51</v>
      </c>
      <c r="EE40" s="30" t="e">
        <f t="shared" ca="1" si="92"/>
        <v>#DIV/0!</v>
      </c>
      <c r="EF40" s="85" t="e">
        <f ca="1">IF(DL40&lt;=Hypothèses!$V$7,Hypothèses!$W$7,IF(DL40&lt;=Hypothèses!$V$8,Hypothèses!$W$8,IF(DL40&lt;=Hypothèses!$V$9,Hypothèses!$W$9,IF(DL40&lt;=Hypothèses!$V$10,Hypothèses!$W$10,IF(DL40&lt;=Hypothèses!$V$11,Hypothèses!$W$11,IF(DL40&lt;=Hypothèses!$V$12,Hypothèses!$W$12,IF(DL40&lt;=Hypothèses!$V$13,Hypothèses!$W$13,IF(DL40&lt;=Hypothèses!$V$14,Hypothèses!$W$14,IF(DL40&lt;=Hypothèses!$V$15,Hypothèses!$W$15,IF(DL40&lt;=Hypothèses!$V$16,Hypothèses!$W$16,IF(DL40&lt;=Hypothèses!$V$17,Hypothèses!$W$17,IF(DL40&lt;=Hypothèses!$V$18,Hypothèses!$W$18,""))))))))))))</f>
        <v>#DIV/0!</v>
      </c>
      <c r="EG40" s="87" t="e">
        <f t="shared" ca="1" si="122"/>
        <v>#DIV/0!</v>
      </c>
      <c r="EH40" s="88" t="e">
        <f ca="1">IF(DL40&lt;=Hypothèses!$V$7,Hypothèses!$X$7,IF(DL40&lt;=Hypothèses!$V$8,Hypothèses!$X$8,IF(DL40&lt;=Hypothèses!$V$9,Hypothèses!$X$9,IF(DL40&lt;=Hypothèses!$V$10,Hypothèses!$X$10,IF(DL40&lt;=Hypothèses!$V$11,Hypothèses!$X$11,IF(DL40&lt;=Hypothèses!$V$12,Hypothèses!$X$12,IF(DL40&lt;=Hypothèses!$V$13,Hypothèses!$X$13,IF(DL40&lt;=Hypothèses!$V$14,Hypothèses!$X$14,IF(DL40&lt;=Hypothèses!$V$15,Hypothèses!$X$15,IF(DL40&lt;=Hypothèses!$V$16,Hypothèses!$X$16,IF(DL40&lt;=Hypothèses!$U$17,Hypothèses!$W$17,IF(DL40&lt;=Hypothèses!$U$18,Hypothèses!$W$18,""))))))))))))</f>
        <v>#DIV/0!</v>
      </c>
      <c r="EI40" s="95" t="e">
        <f t="shared" ca="1" si="93"/>
        <v>#DIV/0!</v>
      </c>
      <c r="EJ40" s="101" t="e">
        <f t="shared" si="129"/>
        <v>#N/A</v>
      </c>
      <c r="EK40" s="91" t="e">
        <f t="shared" si="57"/>
        <v>#N/A</v>
      </c>
      <c r="EL40" s="30" t="e">
        <f t="shared" si="112"/>
        <v>#N/A</v>
      </c>
      <c r="EM40" s="30" t="e">
        <f t="shared" si="113"/>
        <v>#N/A</v>
      </c>
      <c r="EN40" s="31" t="e">
        <f>IF(OR(Hypothèses!$B$4=17,Hypothèses!$B$4=18,Hypothèses!$B$4=19,Hypothèses!$B$4=20),
IF($D40="Pressio.",
IF(OR($E40=3,$E40=1,$E40=4),EM40,EL40),
IF($D40="Pénétro.",
IF(OR($E40=3,$E40=1,$E40=4),EM40,EL40))),IF($D40="Pressio.",
IF($E40=3,EM40,EL40),
IF($D40="Pénétro.",
IF($E40=4,EM40,EL40))))</f>
        <v>#N/A</v>
      </c>
      <c r="EO40" s="31" t="e">
        <f>(IF(OR(Hypothèses!$B$4=17,Hypothèses!$B$4=18,Hypothèses!$B$4=19,Hypothèses!$B$4=20),
IF($D40="Pressio.",
IF(OR($E40=3,$E40=1,$E40=4),(PI()*EO$12^2)/4*(EK40*$W40*1000)/($H40*$B$5),(PI()*EO$12^2)/4*(EK40*$W40*1000)/($G40*$B$5)),
IF($D40="Pénétro.",
IF(OR($E40=4,$E40=1,$E40=5),(PI()*EO$12^2)/4*(EK40*$W40*1000)/($H40*$B$5),(PI()*EO$12^2)/4*(EK40*$W40*1000)/($G40*$B$5)))),
IF($D40="Pressio.",
IF($E40=3,(PI()*EO$12^2)/4*(EK40*$W40*1000)/($H40*$B$5),(PI()*EO$12^2)/4*(EK40*$W40*1000)/($G40*$B$5)),
IF($D40="Pénétro.",
IF($E40=4,(PI()*EO$12^2)/4*(EK40*$W40*1000)/($H40*$B$5),(PI()*EO$12^2)/4*(EK40*$W40*1000)/($G40*$B$5))))))/10</f>
        <v>#N/A</v>
      </c>
      <c r="EP40" s="102" t="e">
        <f>(VLOOKUP($B$3,'Coeff EC7'!$T$39:$X$59,2,0)*EN40+VLOOKUP($B$3,'Coeff EC7'!$T$65:$X$85,2,0)*Model0.1C!EO40)/1.1</f>
        <v>#N/A</v>
      </c>
      <c r="EQ40" s="102" t="e">
        <f>(VLOOKUP($B$3,'Coeff EC7'!$T$39:$X$59,3,0)*EN40+VLOOKUP($B$3,'Coeff EC7'!$T$65:$X$85,3,0)*Model0.1C!EO40)/0.9</f>
        <v>#N/A</v>
      </c>
      <c r="ER40" s="102" t="e">
        <f t="shared" si="94"/>
        <v>#N/A</v>
      </c>
      <c r="ES40" s="102" t="e">
        <f t="shared" si="95"/>
        <v>#N/A</v>
      </c>
      <c r="ET40" s="414" t="e">
        <f>IF(ET39=0,0,IF(AND(EP40&gt;charge_ELS_quasi,EQ40&gt;Charge_ELS_freq,ER40&gt;charge_ELU,ES40&gt;charge_ELA,$B40&gt;NDC!$H$22-0.1+MIN(3*$ET$12,1.5)),0,1))</f>
        <v>#N/A</v>
      </c>
      <c r="EU40" s="86" t="b">
        <f t="shared" si="60"/>
        <v>0</v>
      </c>
      <c r="EV40" s="86">
        <f t="shared" si="61"/>
        <v>0.61</v>
      </c>
      <c r="EW40" s="86">
        <f t="shared" si="62"/>
        <v>0.61</v>
      </c>
      <c r="EX40" s="30" t="e">
        <f t="shared" ca="1" si="96"/>
        <v>#DIV/0!</v>
      </c>
      <c r="EY40" s="85" t="e">
        <f ca="1">IF(EE40&lt;=Hypothèses!$V$7,Hypothèses!$W$7,IF(EE40&lt;=Hypothèses!$V$8,Hypothèses!$W$8,IF(EE40&lt;=Hypothèses!$V$9,Hypothèses!$W$9,IF(EE40&lt;=Hypothèses!$V$10,Hypothèses!$W$10,IF(EE40&lt;=Hypothèses!$V$11,Hypothèses!$W$11,IF(EE40&lt;=Hypothèses!$V$12,Hypothèses!$W$12,IF(EE40&lt;=Hypothèses!$V$13,Hypothèses!$W$13,IF(EE40&lt;=Hypothèses!$V$14,Hypothèses!$W$14,IF(EE40&lt;=Hypothèses!$V$15,Hypothèses!$W$15,IF(EE40&lt;=Hypothèses!$V$16,Hypothèses!$W$16,IF(EE40&lt;=Hypothèses!$V$17,Hypothèses!$W$17,IF(EE40&lt;=Hypothèses!$V$18,Hypothèses!$W$18,""))))))))))))</f>
        <v>#DIV/0!</v>
      </c>
      <c r="EZ40" s="87" t="e">
        <f t="shared" ca="1" si="123"/>
        <v>#DIV/0!</v>
      </c>
      <c r="FA40" s="88" t="e">
        <f ca="1">IF(EE40&lt;=Hypothèses!$V$7,Hypothèses!$X$7,IF(EE40&lt;=Hypothèses!$V$8,Hypothèses!$X$8,IF(EE40&lt;=Hypothèses!$V$9,Hypothèses!$X$9,IF(EE40&lt;=Hypothèses!$V$10,Hypothèses!$X$10,IF(EE40&lt;=Hypothèses!$V$11,Hypothèses!$X$11,IF(EE40&lt;=Hypothèses!$V$12,Hypothèses!$X$12,IF(EE40&lt;=Hypothèses!$V$13,Hypothèses!$X$13,IF(EE40&lt;=Hypothèses!$V$14,Hypothèses!$X$14,IF(EE40&lt;=Hypothèses!$V$15,Hypothèses!$X$15,IF(EE40&lt;=Hypothèses!$V$16,Hypothèses!$X$16,IF(EE40&lt;=Hypothèses!$U$17,Hypothèses!$W$17,IF(EE40&lt;=Hypothèses!$U$18,Hypothèses!$W$18,""))))))))))))</f>
        <v>#DIV/0!</v>
      </c>
      <c r="FB40" s="95" t="e">
        <f t="shared" ca="1" si="97"/>
        <v>#DIV/0!</v>
      </c>
      <c r="FC40" s="101" t="e">
        <f t="shared" si="130"/>
        <v>#N/A</v>
      </c>
      <c r="FD40" s="91" t="e">
        <f t="shared" si="64"/>
        <v>#N/A</v>
      </c>
      <c r="FE40" s="30" t="e">
        <f t="shared" si="114"/>
        <v>#N/A</v>
      </c>
      <c r="FF40" s="30" t="e">
        <f t="shared" si="115"/>
        <v>#N/A</v>
      </c>
      <c r="FG40" s="31" t="e">
        <f>IF(OR(Hypothèses!$B$4=17,Hypothèses!$B$4=18,Hypothèses!$B$4=19,Hypothèses!$B$4=20),
IF($D40="Pressio.",
IF(OR($E40=3,$E40=1,$E40=4),FF40,FE40),
IF($D40="Pénétro.",
IF(OR($E40=3,$E40=1,$E40=4),FF40,FE40))),IF($D40="Pressio.",
IF($E40=3,FF40,FE40),
IF($D40="Pénétro.",
IF($E40=4,FF40,FE40))))</f>
        <v>#N/A</v>
      </c>
      <c r="FH40" s="31" t="e">
        <f>(IF(OR(Hypothèses!$B$4=17,Hypothèses!$B$4=18,Hypothèses!$B$4=19,Hypothèses!$B$4=20),
IF($D40="Pressio.",
IF(OR($E40=3,$E40=1,$E40=4),(PI()*FH$12^2)/4*(FD40*$W40*1000)/($H40*$B$5),(PI()*FH$12^2)/4*(FD40*$W40*1000)/($G40*$B$5)),
IF($D40="Pénétro.",
IF(OR($E40=4,$E40=1,$E40=5),(PI()*FH$12^2)/4*(FD40*$W40*1000)/($H40*$B$5),(PI()*FH$12^2)/4*(FD40*$W40*1000)/($G40*$B$5)))),
IF($D40="Pressio.",
IF($E40=3,(PI()*FH$12^2)/4*(FD40*$W40*1000)/($H40*$B$5),(PI()*FH$12^2)/4*(FD40*$W40*1000)/($G40*$B$5)),
IF($D40="Pénétro.",
IF($E40=4,(PI()*FH$12^2)/4*(FD40*$W40*1000)/($H40*$B$5),(PI()*FH$12^2)/4*(FD40*$W40*1000)/($G40*$B$5))))))/10</f>
        <v>#N/A</v>
      </c>
      <c r="FI40" s="102" t="e">
        <f>(VLOOKUP($B$3,'Coeff EC7'!$T$39:$X$59,2,0)*FG40+VLOOKUP($B$3,'Coeff EC7'!$T$65:$X$85,2,0)*Model0.1C!FH40)/1.1</f>
        <v>#N/A</v>
      </c>
      <c r="FJ40" s="102" t="e">
        <f>(VLOOKUP($B$3,'Coeff EC7'!$T$39:$X$59,3,0)*FG40+VLOOKUP($B$3,'Coeff EC7'!$T$65:$X$85,3,0)*Model0.1C!FH40)/0.9</f>
        <v>#N/A</v>
      </c>
      <c r="FK40" s="102" t="e">
        <f t="shared" si="98"/>
        <v>#N/A</v>
      </c>
      <c r="FL40" s="102" t="e">
        <f t="shared" si="99"/>
        <v>#N/A</v>
      </c>
      <c r="FM40" s="414" t="e">
        <f>IF(FM39=0,0,IF(AND(FI40&gt;charge_ELS_quasi,FJ40&gt;Charge_ELS_freq,FK40&gt;charge_ELU,FL40&gt;charge_ELA,$B40&gt;NDC!$H$22-0.1+MIN(3*$FM$12,1.5)),0,1))</f>
        <v>#N/A</v>
      </c>
    </row>
    <row r="41" spans="1:169">
      <c r="A41" s="96">
        <f t="shared" si="67"/>
        <v>97.200000000000159</v>
      </c>
      <c r="B41" s="97">
        <v>2.8</v>
      </c>
      <c r="C41" s="81">
        <f>IF(B41&lt;=Hypothèses!$C$7,Hypothèses!$A$7,IF(B41&lt;=Hypothèses!$C$8,Hypothèses!$A$8,IF(B41&lt;=Hypothèses!$C$9,Hypothèses!$A$9,IF(B41&lt;=Hypothèses!$C$10,Hypothèses!$A$10,IF(B41&lt;=Hypothèses!$C$11,Hypothèses!$A$11,IF(B41&lt;=Hypothèses!$C$12,Hypothèses!$A$12,IF(B41&lt;=Hypothèses!$C$13,Hypothèses!$A$13,IF(B41&lt;=Hypothèses!$C$14,Hypothèses!$A$14,IF(B41&lt;=Hypothèses!$C$15,Hypothèses!$A$15,IF(B41&lt;=Hypothèses!$C$16,Hypothèses!$A$16,IF(B41&lt;=Hypothèses!$C$17,Hypothèses!$A$17,IF(B41&lt;=Hypothèses!$C$18,Hypothèses!$A$18,C40))))))))))))</f>
        <v>11</v>
      </c>
      <c r="D41" s="82" t="str">
        <f>IF(B41&lt;=Hypothèses!$C$7,Hypothèses!$R$7,IF(B41&lt;=Hypothèses!$C$8,Hypothèses!$R$8,IF(B41&lt;=Hypothèses!$C$9,Hypothèses!$R$9,IF(B41&lt;=Hypothèses!$C$10,Hypothèses!$R$10,IF(B41&lt;=Hypothèses!$C$11,Hypothèses!$R$11,IF(B41&lt;=Hypothèses!$C$12,Hypothèses!$R$12,IF(B41&lt;=Hypothèses!$C$13,Hypothèses!$R$13,IF(B41&lt;=Hypothèses!$C$14,Hypothèses!$R$14,IF(B41&lt;=Hypothèses!$C$15,Hypothèses!$R$15,IF(B41&lt;=Hypothèses!$C$16,Hypothèses!$R$16,IF(B41&lt;=Hypothèses!$C$17,Hypothèses!$R$17,IF(B41&lt;=Hypothèses!$C$18,Hypothèses!$R$18,D40))))))))))))</f>
        <v>Pressio.</v>
      </c>
      <c r="E41" s="82" t="e">
        <f>IF(B41&lt;=Hypothèses!$C$7,Hypothèses!$G$7,IF(B41&lt;=Hypothèses!$C$8,Hypothèses!$G$8,IF(B41&lt;=Hypothèses!$C$9,Hypothèses!$G$9,IF(B41&lt;=Hypothèses!$C$10,Hypothèses!$G$10,IF(B41&lt;=Hypothèses!$C$11,Hypothèses!$G$11,IF(B41&lt;=Hypothèses!$C$12,Hypothèses!$G$12,IF(B41&lt;=Hypothèses!$C$13,Hypothèses!$G$13,IF(B41&lt;=Hypothèses!$C$14,Hypothèses!$G$14,IF(B41&lt;=Hypothèses!$C$15,Hypothèses!$G$15,IF(B41&lt;=Hypothèses!$C$16,Hypothèses!$G$16,IF(B41&lt;=Hypothèses!$C$17,Hypothèses!$G$17,IF(B41&lt;=Hypothèses!$C$18,Hypothèses!$G$18,E40))))))))))))</f>
        <v>#N/A</v>
      </c>
      <c r="F41" s="82" t="str">
        <f>IF(B41&lt;=Hypothèses!$C$7,Hypothèses!$F$7,IF(B41&lt;=Hypothèses!$C$8,Hypothèses!$F$8,IF(B41&lt;=Hypothèses!$C$9,Hypothèses!$F$9,IF(B41&lt;=Hypothèses!$C$10,Hypothèses!$F$10,IF(B41&lt;=Hypothèses!$C$11,Hypothèses!$F$11,IF(B41&lt;=Hypothèses!$C$12,Hypothèses!$F$12,IF(B41&lt;=Hypothèses!$C$13,Hypothèses!$F$13,IF(B41&lt;=Hypothèses!$C$14,Hypothèses!$F$14,IF(B41&lt;=Hypothèses!$C$15,Hypothèses!$F$15,IF(B41&lt;=Hypothèses!$C$16,Hypothèses!$F$16,IF(B41&lt;=Hypothèses!$C$17,Hypothèses!$F$17,IF(B41&lt;=Hypothèses!$C$18,Hypothèses!$F$18,F40))))))))))))</f>
        <v/>
      </c>
      <c r="G41" s="91">
        <f t="array" ref="G41">INDEX('Coeff EC7'!$U$7:$X$27,
MATCH(Model0.1C!$B$3,'Coeff EC7'!$T$7:$T$27,0),
MATCH(Model0.1C!$D41&amp;Model0.1C!$B$4,
'Coeff EC7'!$U$6:$X$6&amp;
'Coeff EC7'!$U$5:$X$5,0))</f>
        <v>1.1499999999999999</v>
      </c>
      <c r="H41" s="91">
        <f t="array" ref="H41">INDEX('Coeff EC7'!$Y$7:$AB$27,
MATCH(Model0.1C!$B$3,'Coeff EC7'!$T$7:$T$27,0),
MATCH(Model0.1C!$D41&amp;Model0.1C!$B$4,
'Coeff EC7'!$Y$6:$AB$6&amp;
'Coeff EC7'!$Y$5:$AB$5,0))</f>
        <v>1.4</v>
      </c>
      <c r="I41" s="83" t="e">
        <f>IF(B41&lt;=Hypothèses!$C$7,Hypothèses!$P$7,IF(B41&lt;=Hypothèses!$C$8,Hypothèses!$P$8,IF(B41&lt;=Hypothèses!$C$9,Hypothèses!$P$9,IF(B41&lt;=Hypothèses!$C$10,Hypothèses!$P$10,IF(B41&lt;=Hypothèses!$C$11,Hypothèses!$P$11,IF(B41&lt;=Hypothèses!$C$12,Hypothèses!$P$12,IF(B41&lt;=Hypothèses!$C$13,Hypothèses!$P$13,IF(B41&lt;=Hypothèses!$C$14,Hypothèses!$P$14,IF(B41&lt;=Hypothèses!$C$15,Hypothèses!$P$15,IF(B41&lt;=Hypothèses!$C$16,Hypothèses!$P$16,IF(B41&lt;=Hypothèses!$C$17,Hypothèses!$P$17,IF(B41&lt;=Hypothèses!$C$18,Hypothèses!$P$18,I40))))))))))))</f>
        <v>#N/A</v>
      </c>
      <c r="J41" s="91" t="e">
        <f t="array" ref="J41">INDEX('Coeff EC7'!$D$33:$Q$33,1,MATCH(D41&amp;E41,'Coeff EC7'!$D$31:$Q$31&amp;'Coeff EC7'!$D$32:$Q$32,0))</f>
        <v>#N/A</v>
      </c>
      <c r="K41" s="91" t="e">
        <f t="array" ref="K41">INDEX('Coeff EC7'!$D$34:$Q$34,1,MATCH(D41&amp;E41,'Coeff EC7'!$D$31:$Q$31&amp;'Coeff EC7'!$D$32:$Q$32,0))</f>
        <v>#N/A</v>
      </c>
      <c r="L41" s="91" t="e">
        <f t="array" ref="L41">INDEX('Coeff EC7'!$D$35:$Q$35,1,MATCH(D41&amp;E41,'Coeff EC7'!$D$31:$Q$31&amp;'Coeff EC7'!$D$32:$Q$32,0))</f>
        <v>#N/A</v>
      </c>
      <c r="M41" s="98" t="e">
        <f t="shared" si="8"/>
        <v>#N/A</v>
      </c>
      <c r="N41" s="99" t="e">
        <f t="array" ref="N41">INDEX('Coeff EC7'!$D$7:$Q$27,MATCH($B$3,'Coeff EC7'!$C$7:$C$27,0),MATCH(D41&amp;E41,'Coeff EC7'!$D$5:$Q$5&amp;'Coeff EC7'!$D$6:$Q$6,0))</f>
        <v>#N/A</v>
      </c>
      <c r="O41" s="99" t="e">
        <f t="array" ref="O41">INDEX('Coeff EC7'!$D$41:$Q$61,MATCH($B$3,'Coeff EC7'!$C$41:$C$61,0),MATCH(D41&amp;E41,'Coeff EC7'!$D$39:$Q$39&amp;'Coeff EC7'!$D$40:$Q$40,0))</f>
        <v>#N/A</v>
      </c>
      <c r="P41" s="30" t="e">
        <f t="shared" si="68"/>
        <v>#N/A</v>
      </c>
      <c r="Q41" s="100" t="e">
        <f t="shared" si="10"/>
        <v>#N/A</v>
      </c>
      <c r="R41" s="86" t="b">
        <f t="shared" si="11"/>
        <v>0</v>
      </c>
      <c r="S41" s="86">
        <f t="shared" si="9"/>
        <v>0.5</v>
      </c>
      <c r="T41" s="86">
        <f t="shared" si="12"/>
        <v>0.5</v>
      </c>
      <c r="U41" s="30" t="e">
        <f t="shared" ca="1" si="69"/>
        <v>#DIV/0!</v>
      </c>
      <c r="V41" s="85" t="str">
        <f>IF(B41&lt;=Hypothèses!$V$7,Hypothèses!$W$7,IF(B41&lt;=Hypothèses!$V$8,Hypothèses!$W$8,IF(B41&lt;=Hypothèses!$V$9,Hypothèses!$W$9,IF(B41&lt;=Hypothèses!$V$10,Hypothèses!$W$10,IF(B41&lt;=Hypothèses!$V$11,Hypothèses!$W$11,IF(B41&lt;=Hypothèses!$V$12,Hypothèses!$W$12,IF(B41&lt;=Hypothèses!$V$13,Hypothèses!$W$13,IF(B41&lt;=Hypothèses!$V$14,Hypothèses!$W$14,IF(B41&lt;=Hypothèses!$V$15,Hypothèses!$W$15,IF(B41&lt;=Hypothèses!$V$16,Hypothèses!$W$16,IF(B41&lt;=Hypothèses!$V$17,Hypothèses!$W$17,IF(B41&lt;=Hypothèses!$V$18,Hypothèses!$W$18,""))))))))))))</f>
        <v/>
      </c>
      <c r="W41" s="87" t="e">
        <f t="shared" ca="1" si="116"/>
        <v>#DIV/0!</v>
      </c>
      <c r="X41" s="88" t="str">
        <f>IF(B41&lt;=Hypothèses!$V$7,Hypothèses!$X$7,IF(B41&lt;=Hypothèses!$V$8,Hypothèses!$X$8,IF(B41&lt;=Hypothèses!$V$9,Hypothèses!$X$9,IF(B41&lt;=Hypothèses!$V$10,Hypothèses!$X$10,IF(B41&lt;=Hypothèses!$V$11,Hypothèses!$X$11,IF(B41&lt;=Hypothèses!$V$12,Hypothèses!$X$12,IF(B41&lt;=Hypothèses!$V$13,Hypothèses!$X$13,IF(B41&lt;=Hypothèses!$V$14,Hypothèses!$X$14,IF(B41&lt;=Hypothèses!$V$15,Hypothèses!$X$15,IF(B41&lt;=Hypothèses!$V$16,Hypothèses!$X$16,IF(B41&lt;=Hypothèses!$U$17,Hypothèses!$W$17,IF(B41&lt;=Hypothèses!$U$18,Hypothèses!$W$18,""))))))))))))</f>
        <v/>
      </c>
      <c r="Y41" s="95" t="e">
        <f t="shared" ca="1" si="13"/>
        <v>#DIV/0!</v>
      </c>
      <c r="Z41" s="101" t="e">
        <f t="shared" si="14"/>
        <v>#N/A</v>
      </c>
      <c r="AA41" s="91" t="e">
        <f t="shared" si="15"/>
        <v>#N/A</v>
      </c>
      <c r="AB41" s="30" t="e">
        <f t="shared" si="100"/>
        <v>#N/A</v>
      </c>
      <c r="AC41" s="30" t="e">
        <f t="shared" si="101"/>
        <v>#N/A</v>
      </c>
      <c r="AD41" s="31" t="e">
        <f>IF(OR(Hypothèses!$B$4=17,Hypothèses!$B$4=18,Hypothèses!$B$4=19,Hypothèses!$B$4=20),
IF($D41="Pressio.",
IF(OR($E41=3,$E41=1,$E41=4),AC41,AB41),
IF($D41="Pénétro.",
IF(OR($E41=3,$E41=1,$E41=4),AC41,AB41))),IF($D41="Pressio.",
IF($E41=3,AC41,AB41),
IF($D41="Pénétro.",
IF($E41=4,AC41,AB41))))</f>
        <v>#N/A</v>
      </c>
      <c r="AE41" s="31" t="e">
        <f>(IF(OR(Hypothèses!$B$4=17,Hypothèses!$B$4=18,Hypothèses!$B$4=19,Hypothèses!$B$4=20),
IF($D41="Pressio.",
IF(OR($E41=3,$E41=1,$E41=4),(PI()*AE$12^2)/4*(AA41*$W41*1000)/($H41*$B$5),(PI()*AE$12^2)/4*(AA41*$W41*1000)/($G41*$B$5)),
IF($D41="Pénétro.",
IF(OR($E41=4,$E41=1,$E41=5),(PI()*AE$12^2)/4*(AA41*$W41*1000)/($H41*$B$5),(PI()*AE$12^2)/4*(AA41*$W41*1000)/($G41*$B$5)))),
IF($D41="Pressio.",
IF($E41=3,(PI()*AE$12^2)/4*(AA41*$W41*1000)/($H41*$B$5),(PI()*AE$12^2)/4*(AA41*$W41*1000)/($G41*$B$5)),
IF($D41="Pénétro.",
IF($E41=4,(PI()*AE$12^2)/4*(AA41*$W41*1000)/($H41*$B$5),(PI()*AE$12^2)/4*(AA41*$W41*1000)/($G41*$B$5))))))/10</f>
        <v>#N/A</v>
      </c>
      <c r="AF41" s="102" t="e">
        <f>(VLOOKUP($B$3,'Coeff EC7'!$T$39:$X$59,2,0)*AD41+VLOOKUP($B$3,'Coeff EC7'!$T$65:$X$85,2,0)*Model0.1C!AE41)/1.1</f>
        <v>#N/A</v>
      </c>
      <c r="AG41" s="102" t="e">
        <f>(VLOOKUP($B$3,'Coeff EC7'!$T$39:$X$59,3,0)*AD41+VLOOKUP($B$3,'Coeff EC7'!$T$65:$X$85,3,0)*Model0.1C!AE41)/0.9</f>
        <v>#N/A</v>
      </c>
      <c r="AH41" s="102" t="e">
        <f t="shared" si="18"/>
        <v>#N/A</v>
      </c>
      <c r="AI41" s="102" t="e">
        <f t="shared" si="19"/>
        <v>#N/A</v>
      </c>
      <c r="AJ41" s="414" t="e">
        <f>IF(AJ40=0,0,IF(AND(AF41&gt;charge_ELS_quasi,AG41&gt;Charge_ELS_freq,AH41&gt;charge_ELU,AI41&gt;charge_ELA,$B41&gt;NDC!$H$22-0.1+MIN(3*$AJ$12,1.5)),0,1))</f>
        <v>#N/A</v>
      </c>
      <c r="AK41" s="86" t="b">
        <f t="shared" si="20"/>
        <v>0</v>
      </c>
      <c r="AL41" s="86">
        <f t="shared" si="70"/>
        <v>0.5</v>
      </c>
      <c r="AM41" s="86">
        <f t="shared" si="21"/>
        <v>0.5</v>
      </c>
      <c r="AN41" s="30" t="e">
        <f t="shared" ca="1" si="71"/>
        <v>#DIV/0!</v>
      </c>
      <c r="AO41" s="85" t="e">
        <f ca="1">IF(U41&lt;=Hypothèses!$V$7,Hypothèses!$W$7,IF(U41&lt;=Hypothèses!$V$8,Hypothèses!$W$8,IF(U41&lt;=Hypothèses!$V$9,Hypothèses!$W$9,IF(U41&lt;=Hypothèses!$V$10,Hypothèses!$W$10,IF(U41&lt;=Hypothèses!$V$11,Hypothèses!$W$11,IF(U41&lt;=Hypothèses!$V$12,Hypothèses!$W$12,IF(U41&lt;=Hypothèses!$V$13,Hypothèses!$W$13,IF(U41&lt;=Hypothèses!$V$14,Hypothèses!$W$14,IF(U41&lt;=Hypothèses!$V$15,Hypothèses!$W$15,IF(U41&lt;=Hypothèses!$V$16,Hypothèses!$W$16,IF(U41&lt;=Hypothèses!$V$17,Hypothèses!$W$17,IF(U41&lt;=Hypothèses!$V$18,Hypothèses!$W$18,""))))))))))))</f>
        <v>#DIV/0!</v>
      </c>
      <c r="AP41" s="87" t="e">
        <f t="shared" ca="1" si="117"/>
        <v>#DIV/0!</v>
      </c>
      <c r="AQ41" s="88" t="e">
        <f ca="1">IF(U41&lt;=Hypothèses!$V$7,Hypothèses!$X$7,IF(U41&lt;=Hypothèses!$V$8,Hypothèses!$X$8,IF(U41&lt;=Hypothèses!$V$9,Hypothèses!$X$9,IF(U41&lt;=Hypothèses!$V$10,Hypothèses!$X$10,IF(U41&lt;=Hypothèses!$V$11,Hypothèses!$X$11,IF(U41&lt;=Hypothèses!$V$12,Hypothèses!$X$12,IF(U41&lt;=Hypothèses!$V$13,Hypothèses!$X$13,IF(U41&lt;=Hypothèses!$V$14,Hypothèses!$X$14,IF(U41&lt;=Hypothèses!$V$15,Hypothèses!$X$15,IF(U41&lt;=Hypothèses!$V$16,Hypothèses!$X$16,IF(U41&lt;=Hypothèses!$U$17,Hypothèses!$W$17,IF(U41&lt;=Hypothèses!$U$18,Hypothèses!$W$18,""))))))))))))</f>
        <v>#DIV/0!</v>
      </c>
      <c r="AR41" s="95" t="e">
        <f t="shared" ca="1" si="72"/>
        <v>#DIV/0!</v>
      </c>
      <c r="AS41" s="101" t="e">
        <f t="shared" si="124"/>
        <v>#N/A</v>
      </c>
      <c r="AT41" s="91" t="e">
        <f t="shared" si="23"/>
        <v>#N/A</v>
      </c>
      <c r="AU41" s="30" t="e">
        <f t="shared" si="102"/>
        <v>#N/A</v>
      </c>
      <c r="AV41" s="30" t="e">
        <f t="shared" si="103"/>
        <v>#N/A</v>
      </c>
      <c r="AW41" s="31" t="e">
        <f>IF(OR(Hypothèses!$B$4=17,Hypothèses!$B$4=18,Hypothèses!$B$4=19,Hypothèses!$B$4=20),
IF($D41="Pressio.",
IF(OR($E41=3,$E41=1,$E41=4),AV41,AU41),
IF($D41="Pénétro.",
IF(OR($E41=3,$E41=1,$E41=4),AV41,AU41))),IF($D41="Pressio.",
IF($E41=3,AV41,AU41),
IF($D41="Pénétro.",
IF($E41=4,AV41,AU41))))</f>
        <v>#N/A</v>
      </c>
      <c r="AX41" s="31" t="e">
        <f>(IF(OR(Hypothèses!$B$4=17,Hypothèses!$B$4=18,Hypothèses!$B$4=19,Hypothèses!$B$4=20),
IF($D41="Pressio.",
IF(OR($E41=3,$E41=1,$E41=4),(PI()*AX$12^2)/4*(AT41*$W41*1000)/($H41*$B$5),(PI()*AX$12^2)/4*(AT41*$W41*1000)/($G41*$B$5)),
IF($D41="Pénétro.",
IF(OR($E41=4,$E41=1,$E41=5),(PI()*AX$12^2)/4*(AT41*$W41*1000)/($H41*$B$5),(PI()*AX$12^2)/4*(AT41*$W41*1000)/($G41*$B$5)))),
IF($D41="Pressio.",
IF($E41=3,(PI()*AX$12^2)/4*(AT41*$W41*1000)/($H41*$B$5),(PI()*AX$12^2)/4*(AT41*$W41*1000)/($G41*$B$5)),
IF($D41="Pénétro.",
IF($E41=4,(PI()*AX$12^2)/4*(AT41*$W41*1000)/($H41*$B$5),(PI()*AX$12^2)/4*(AT41*$W41*1000)/($G41*$B$5))))))/10</f>
        <v>#N/A</v>
      </c>
      <c r="AY41" s="102" t="e">
        <f>(VLOOKUP($B$3,'Coeff EC7'!$T$39:$X$59,2,0)*AW41+VLOOKUP($B$3,'Coeff EC7'!$T$65:$X$85,2,0)*Model0.1C!AX41)/1.1</f>
        <v>#N/A</v>
      </c>
      <c r="AZ41" s="102" t="e">
        <f>(VLOOKUP($B$3,'Coeff EC7'!$T$39:$X$59,3,0)*AW41+VLOOKUP($B$3,'Coeff EC7'!$T$65:$X$85,3,0)*Model0.1C!AX41)/0.9</f>
        <v>#N/A</v>
      </c>
      <c r="BA41" s="102" t="e">
        <f t="shared" si="73"/>
        <v>#N/A</v>
      </c>
      <c r="BB41" s="102" t="e">
        <f t="shared" si="74"/>
        <v>#N/A</v>
      </c>
      <c r="BC41" s="414" t="e">
        <f>IF(BC40=0,0,IF(AND(AY41&gt;charge_ELS_quasi,AZ41&gt;Charge_ELS_freq,BA41&gt;charge_ELU,BB41&gt;charge_ELA,$B41&gt;NDC!$H$22-0.1+MIN(3*$BC$12,1.5)),0,1))</f>
        <v>#N/A</v>
      </c>
      <c r="BD41" s="86" t="b">
        <f t="shared" si="26"/>
        <v>0</v>
      </c>
      <c r="BE41" s="86">
        <f t="shared" si="75"/>
        <v>0.5</v>
      </c>
      <c r="BF41" s="86">
        <f t="shared" si="27"/>
        <v>0.5</v>
      </c>
      <c r="BG41" s="30" t="e">
        <f t="shared" ca="1" si="76"/>
        <v>#DIV/0!</v>
      </c>
      <c r="BH41" s="85" t="e">
        <f ca="1">IF(AN41&lt;=Hypothèses!$V$7,Hypothèses!$W$7,IF(AN41&lt;=Hypothèses!$V$8,Hypothèses!$W$8,IF(AN41&lt;=Hypothèses!$V$9,Hypothèses!$W$9,IF(AN41&lt;=Hypothèses!$V$10,Hypothèses!$W$10,IF(AN41&lt;=Hypothèses!$V$11,Hypothèses!$W$11,IF(AN41&lt;=Hypothèses!$V$12,Hypothèses!$W$12,IF(AN41&lt;=Hypothèses!$V$13,Hypothèses!$W$13,IF(AN41&lt;=Hypothèses!$V$14,Hypothèses!$W$14,IF(AN41&lt;=Hypothèses!$V$15,Hypothèses!$W$15,IF(AN41&lt;=Hypothèses!$V$16,Hypothèses!$W$16,IF(AN41&lt;=Hypothèses!$V$17,Hypothèses!$W$17,IF(AN41&lt;=Hypothèses!$V$18,Hypothèses!$W$18,""))))))))))))</f>
        <v>#DIV/0!</v>
      </c>
      <c r="BI41" s="87" t="e">
        <f t="shared" ca="1" si="118"/>
        <v>#DIV/0!</v>
      </c>
      <c r="BJ41" s="88" t="e">
        <f ca="1">IF(AN41&lt;=Hypothèses!$V$7,Hypothèses!$X$7,IF(AN41&lt;=Hypothèses!$V$8,Hypothèses!$X$8,IF(AN41&lt;=Hypothèses!$V$9,Hypothèses!$X$9,IF(AN41&lt;=Hypothèses!$V$10,Hypothèses!$X$10,IF(AN41&lt;=Hypothèses!$V$11,Hypothèses!$X$11,IF(AN41&lt;=Hypothèses!$V$12,Hypothèses!$X$12,IF(AN41&lt;=Hypothèses!$V$13,Hypothèses!$X$13,IF(AN41&lt;=Hypothèses!$V$14,Hypothèses!$X$14,IF(AN41&lt;=Hypothèses!$V$15,Hypothèses!$X$15,IF(AN41&lt;=Hypothèses!$V$16,Hypothèses!$X$16,IF(AN41&lt;=Hypothèses!$U$17,Hypothèses!$W$17,IF(AN41&lt;=Hypothèses!$U$18,Hypothèses!$W$18,""))))))))))))</f>
        <v>#DIV/0!</v>
      </c>
      <c r="BK41" s="95" t="e">
        <f t="shared" ca="1" si="77"/>
        <v>#DIV/0!</v>
      </c>
      <c r="BL41" s="101" t="e">
        <f t="shared" si="125"/>
        <v>#N/A</v>
      </c>
      <c r="BM41" s="91" t="e">
        <f t="shared" si="29"/>
        <v>#N/A</v>
      </c>
      <c r="BN41" s="30" t="e">
        <f t="shared" si="104"/>
        <v>#N/A</v>
      </c>
      <c r="BO41" s="30" t="e">
        <f t="shared" si="105"/>
        <v>#N/A</v>
      </c>
      <c r="BP41" s="31" t="e">
        <f>IF(OR(Hypothèses!$B$4=17,Hypothèses!$B$4=18,Hypothèses!$B$4=19,Hypothèses!$B$4=20),
IF($D41="Pressio.",
IF(OR($E41=3,$E41=1,$E41=4),BO41,BN41),
IF($D41="Pénétro.",
IF(OR($E41=3,$E41=1,$E41=4),BO41,BN41))),IF($D41="Pressio.",
IF($E41=3,BO41,BN41),
IF($D41="Pénétro.",
IF($E41=4,BO41,BN41))))</f>
        <v>#N/A</v>
      </c>
      <c r="BQ41" s="31" t="e">
        <f>(IF(OR(Hypothèses!$B$4=17,Hypothèses!$B$4=18,Hypothèses!$B$4=19,Hypothèses!$B$4=20),
IF($D41="Pressio.",
IF(OR($E41=3,$E41=1,$E41=4),(PI()*BQ$12^2)/4*(BM41*$W41*1000)/($H41*$B$5),(PI()*BQ$12^2)/4*(BM41*$W41*1000)/($G41*$B$5)),
IF($D41="Pénétro.",
IF(OR($E41=4,$E41=1,$E41=5),(PI()*BQ$12^2)/4*(BM41*$W41*1000)/($H41*$B$5),(PI()*BQ$12^2)/4*(BM41*$W41*1000)/($G41*$B$5)))),
IF($D41="Pressio.",
IF($E41=3,(PI()*BQ$12^2)/4*(BM41*$W41*1000)/($H41*$B$5),(PI()*BQ$12^2)/4*(BM41*$W41*1000)/($G41*$B$5)),
IF($D41="Pénétro.",
IF($E41=4,(PI()*BQ$12^2)/4*(BM41*$W41*1000)/($H41*$B$5),(PI()*BQ$12^2)/4*(BM41*$W41*1000)/($G41*$B$5))))))/10</f>
        <v>#N/A</v>
      </c>
      <c r="BR41" s="102" t="e">
        <f>(VLOOKUP($B$3,'Coeff EC7'!$T$39:$X$59,2,0)*BP41+VLOOKUP($B$3,'Coeff EC7'!$T$65:$X$85,2,0)*Model0.1C!BQ41)/1.1</f>
        <v>#N/A</v>
      </c>
      <c r="BS41" s="102" t="e">
        <f>(VLOOKUP($B$3,'Coeff EC7'!$T$39:$X$59,3,0)*BP41+VLOOKUP($B$3,'Coeff EC7'!$T$65:$X$85,3,0)*Model0.1C!BQ41)/0.9</f>
        <v>#N/A</v>
      </c>
      <c r="BT41" s="102" t="e">
        <f t="shared" si="78"/>
        <v>#N/A</v>
      </c>
      <c r="BU41" s="102" t="e">
        <f t="shared" si="79"/>
        <v>#N/A</v>
      </c>
      <c r="BV41" s="414" t="e">
        <f>IF(BV40=0,0,IF(AND(BR41&gt;charge_ELS_quasi,BS41&gt;Charge_ELS_freq,BT41&gt;charge_ELU,BU41&gt;charge_ELA,$B41&gt;NDC!$H$22-0.1+MIN(3*$BV$12,1.5)),0,1))</f>
        <v>#N/A</v>
      </c>
      <c r="BW41" s="86" t="b">
        <f t="shared" si="32"/>
        <v>0</v>
      </c>
      <c r="BX41" s="86">
        <f t="shared" si="33"/>
        <v>0.5</v>
      </c>
      <c r="BY41" s="86">
        <f t="shared" si="34"/>
        <v>0.5</v>
      </c>
      <c r="BZ41" s="30" t="e">
        <f t="shared" ca="1" si="80"/>
        <v>#DIV/0!</v>
      </c>
      <c r="CA41" s="85" t="e">
        <f ca="1">IF(BG41&lt;=Hypothèses!$V$7,Hypothèses!$W$7,IF(BG41&lt;=Hypothèses!$V$8,Hypothèses!$W$8,IF(BG41&lt;=Hypothèses!$V$9,Hypothèses!$W$9,IF(BG41&lt;=Hypothèses!$V$10,Hypothèses!$W$10,IF(BG41&lt;=Hypothèses!$V$11,Hypothèses!$W$11,IF(BG41&lt;=Hypothèses!$V$12,Hypothèses!$W$12,IF(BG41&lt;=Hypothèses!$V$13,Hypothèses!$W$13,IF(BG41&lt;=Hypothèses!$V$14,Hypothèses!$W$14,IF(BG41&lt;=Hypothèses!$V$15,Hypothèses!$W$15,IF(BG41&lt;=Hypothèses!$V$16,Hypothèses!$W$16,IF(BG41&lt;=Hypothèses!$V$17,Hypothèses!$W$17,IF(BG41&lt;=Hypothèses!$V$18,Hypothèses!$W$18,""))))))))))))</f>
        <v>#DIV/0!</v>
      </c>
      <c r="CB41" s="87" t="e">
        <f t="shared" ca="1" si="119"/>
        <v>#DIV/0!</v>
      </c>
      <c r="CC41" s="88" t="e">
        <f ca="1">IF(BG41&lt;=Hypothèses!$V$7,Hypothèses!$X$7,IF(BG41&lt;=Hypothèses!$V$8,Hypothèses!$X$8,IF(BG41&lt;=Hypothèses!$V$9,Hypothèses!$X$9,IF(BG41&lt;=Hypothèses!$V$10,Hypothèses!$X$10,IF(BG41&lt;=Hypothèses!$V$11,Hypothèses!$X$11,IF(BG41&lt;=Hypothèses!$V$12,Hypothèses!$X$12,IF(BG41&lt;=Hypothèses!$V$13,Hypothèses!$X$13,IF(BG41&lt;=Hypothèses!$V$14,Hypothèses!$X$14,IF(BG41&lt;=Hypothèses!$V$15,Hypothèses!$X$15,IF(BG41&lt;=Hypothèses!$V$16,Hypothèses!$X$16,IF(BG41&lt;=Hypothèses!$U$17,Hypothèses!$W$17,IF(BG41&lt;=Hypothèses!$U$18,Hypothèses!$W$18,""))))))))))))</f>
        <v>#DIV/0!</v>
      </c>
      <c r="CD41" s="95" t="e">
        <f t="shared" ca="1" si="81"/>
        <v>#DIV/0!</v>
      </c>
      <c r="CE41" s="101" t="e">
        <f t="shared" si="126"/>
        <v>#N/A</v>
      </c>
      <c r="CF41" s="91" t="e">
        <f t="shared" si="36"/>
        <v>#N/A</v>
      </c>
      <c r="CG41" s="30" t="e">
        <f t="shared" si="106"/>
        <v>#N/A</v>
      </c>
      <c r="CH41" s="30" t="e">
        <f t="shared" si="107"/>
        <v>#N/A</v>
      </c>
      <c r="CI41" s="31" t="e">
        <f>IF(OR(Hypothèses!$B$4=17,Hypothèses!$B$4=18,Hypothèses!$B$4=19,Hypothèses!$B$4=20),
IF($D41="Pressio.",
IF(OR($E41=3,$E41=1,$E41=4),CH41,CG41),
IF($D41="Pénétro.",
IF(OR($E41=3,$E41=1,$E41=4),CH41,CG41))),IF($D41="Pressio.",
IF($E41=3,CH41,CG41),
IF($D41="Pénétro.",
IF($E41=4,CH41,CG41))))</f>
        <v>#N/A</v>
      </c>
      <c r="CJ41" s="31" t="e">
        <f>(IF(OR(Hypothèses!$B$4=17,Hypothèses!$B$4=18,Hypothèses!$B$4=19,Hypothèses!$B$4=20),
IF($D41="Pressio.",
IF(OR($E41=3,$E41=1,$E41=4),(PI()*CJ$12^2)/4*(CF41*$W41*1000)/($H41*$B$5),(PI()*CJ$12^2)/4*(CF41*$W41*1000)/($G41*$B$5)),
IF($D41="Pénétro.",
IF(OR($E41=4,$E41=1,$E41=5),(PI()*CJ$12^2)/4*(CF41*$W41*1000)/($H41*$B$5),(PI()*CJ$12^2)/4*(CF41*$W41*1000)/($G41*$B$5)))),
IF($D41="Pressio.",
IF($E41=3,(PI()*CJ$12^2)/4*(CF41*$W41*1000)/($H41*$B$5),(PI()*CJ$12^2)/4*(CF41*$W41*1000)/($G41*$B$5)),
IF($D41="Pénétro.",
IF($E41=4,(PI()*CJ$12^2)/4*(CF41*$W41*1000)/($H41*$B$5),(PI()*CJ$12^2)/4*(CF41*$W41*1000)/($G41*$B$5))))))/10</f>
        <v>#N/A</v>
      </c>
      <c r="CK41" s="102" t="e">
        <f>(VLOOKUP($B$3,'Coeff EC7'!$T$39:$X$59,2,0)*CI41+VLOOKUP($B$3,'Coeff EC7'!$T$65:$X$85,2,0)*Model0.1C!CJ41)/1.1</f>
        <v>#N/A</v>
      </c>
      <c r="CL41" s="102" t="e">
        <f>(VLOOKUP($B$3,'Coeff EC7'!$T$39:$X$59,3,0)*CI41+VLOOKUP($B$3,'Coeff EC7'!$T$65:$X$85,3,0)*Model0.1C!CJ41)/0.9</f>
        <v>#N/A</v>
      </c>
      <c r="CM41" s="102" t="e">
        <f t="shared" si="82"/>
        <v>#N/A</v>
      </c>
      <c r="CN41" s="102" t="e">
        <f t="shared" si="83"/>
        <v>#N/A</v>
      </c>
      <c r="CO41" s="414" t="e">
        <f>IF(CO40=0,0,IF(AND(CK41&gt;charge_ELS_quasi,CL41&gt;Charge_ELS_freq,CM41&gt;charge_ELU,CN41&gt;charge_ELA,$B41&gt;NDC!$H$22-0.1+MIN(3*$CO$12,1.5)),0,1))</f>
        <v>#N/A</v>
      </c>
      <c r="CP41" s="86" t="b">
        <f t="shared" si="39"/>
        <v>0</v>
      </c>
      <c r="CQ41" s="86">
        <f t="shared" si="40"/>
        <v>0.5</v>
      </c>
      <c r="CR41" s="86">
        <f t="shared" si="41"/>
        <v>0.5</v>
      </c>
      <c r="CS41" s="30" t="e">
        <f t="shared" ca="1" si="84"/>
        <v>#DIV/0!</v>
      </c>
      <c r="CT41" s="85" t="e">
        <f ca="1">IF(BZ41&lt;=Hypothèses!$V$7,Hypothèses!$W$7,IF(BZ41&lt;=Hypothèses!$V$8,Hypothèses!$W$8,IF(BZ41&lt;=Hypothèses!$V$9,Hypothèses!$W$9,IF(BZ41&lt;=Hypothèses!$V$10,Hypothèses!$W$10,IF(BZ41&lt;=Hypothèses!$V$11,Hypothèses!$W$11,IF(BZ41&lt;=Hypothèses!$V$12,Hypothèses!$W$12,IF(BZ41&lt;=Hypothèses!$V$13,Hypothèses!$W$13,IF(BZ41&lt;=Hypothèses!$V$14,Hypothèses!$W$14,IF(BZ41&lt;=Hypothèses!$V$15,Hypothèses!$W$15,IF(BZ41&lt;=Hypothèses!$V$16,Hypothèses!$W$16,IF(BZ41&lt;=Hypothèses!$V$17,Hypothèses!$W$17,IF(BZ41&lt;=Hypothèses!$V$18,Hypothèses!$W$18,""))))))))))))</f>
        <v>#DIV/0!</v>
      </c>
      <c r="CU41" s="87" t="e">
        <f t="shared" ca="1" si="120"/>
        <v>#DIV/0!</v>
      </c>
      <c r="CV41" s="88" t="e">
        <f ca="1">IF(BZ41&lt;=Hypothèses!$V$7,Hypothèses!$X$7,IF(BZ41&lt;=Hypothèses!$V$8,Hypothèses!$X$8,IF(BZ41&lt;=Hypothèses!$V$9,Hypothèses!$X$9,IF(BZ41&lt;=Hypothèses!$V$10,Hypothèses!$X$10,IF(BZ41&lt;=Hypothèses!$V$11,Hypothèses!$X$11,IF(BZ41&lt;=Hypothèses!$V$12,Hypothèses!$X$12,IF(BZ41&lt;=Hypothèses!$V$13,Hypothèses!$X$13,IF(BZ41&lt;=Hypothèses!$V$14,Hypothèses!$X$14,IF(BZ41&lt;=Hypothèses!$V$15,Hypothèses!$X$15,IF(BZ41&lt;=Hypothèses!$V$16,Hypothèses!$X$16,IF(BZ41&lt;=Hypothèses!$U$17,Hypothèses!$W$17,IF(BZ41&lt;=Hypothèses!$U$18,Hypothèses!$W$18,""))))))))))))</f>
        <v>#DIV/0!</v>
      </c>
      <c r="CW41" s="95" t="e">
        <f t="shared" ca="1" si="85"/>
        <v>#DIV/0!</v>
      </c>
      <c r="CX41" s="101" t="e">
        <f t="shared" si="127"/>
        <v>#N/A</v>
      </c>
      <c r="CY41" s="91" t="e">
        <f t="shared" si="43"/>
        <v>#N/A</v>
      </c>
      <c r="CZ41" s="30" t="e">
        <f t="shared" si="108"/>
        <v>#N/A</v>
      </c>
      <c r="DA41" s="30" t="e">
        <f t="shared" si="109"/>
        <v>#N/A</v>
      </c>
      <c r="DB41" s="31" t="e">
        <f>IF(OR(Hypothèses!$B$4=17,Hypothèses!$B$4=18,Hypothèses!$B$4=19,Hypothèses!$B$4=20),
IF($D41="Pressio.",
IF(OR($E41=3,$E41=1,$E41=4),DA41,CZ41),
IF($D41="Pénétro.",
IF(OR($E41=3,$E41=1,$E41=4),DA41,CZ41))),IF($D41="Pressio.",
IF($E41=3,DA41,CZ41),
IF($D41="Pénétro.",
IF($E41=4,DA41,CZ41))))</f>
        <v>#N/A</v>
      </c>
      <c r="DC41" s="31" t="e">
        <f>(IF(OR(Hypothèses!$B$4=17,Hypothèses!$B$4=18,Hypothèses!$B$4=19,Hypothèses!$B$4=20),
IF($D41="Pressio.",
IF(OR($E41=3,$E41=1,$E41=4),(PI()*DC$12^2)/4*(CY41*$W41*1000)/($H41*$B$5),(PI()*DC$12^2)/4*(CY41*$W41*1000)/($G41*$B$5)),
IF($D41="Pénétro.",
IF(OR($E41=4,$E41=1,$E41=5),(PI()*DC$12^2)/4*(CY41*$W41*1000)/($H41*$B$5),(PI()*DC$12^2)/4*(CY41*$W41*1000)/($G41*$B$5)))),
IF($D41="Pressio.",
IF($E41=3,(PI()*DC$12^2)/4*(CY41*$W41*1000)/($H41*$B$5),(PI()*DC$12^2)/4*(CY41*$W41*1000)/($G41*$B$5)),
IF($D41="Pénétro.",
IF($E41=4,(PI()*DC$12^2)/4*(CY41*$W41*1000)/($H41*$B$5),(PI()*DC$12^2)/4*(CY41*$W41*1000)/($G41*$B$5))))))/10</f>
        <v>#N/A</v>
      </c>
      <c r="DD41" s="102" t="e">
        <f>(VLOOKUP($B$3,'Coeff EC7'!$T$39:$X$59,2,0)*DB41+VLOOKUP($B$3,'Coeff EC7'!$T$65:$X$85,2,0)*Model0.1C!DC41)/1.1</f>
        <v>#N/A</v>
      </c>
      <c r="DE41" s="102" t="e">
        <f>(VLOOKUP($B$3,'Coeff EC7'!$T$39:$X$59,3,0)*DB41+VLOOKUP($B$3,'Coeff EC7'!$T$65:$X$85,3,0)*Model0.1C!DC41)/0.9</f>
        <v>#N/A</v>
      </c>
      <c r="DF41" s="102" t="e">
        <f t="shared" si="86"/>
        <v>#N/A</v>
      </c>
      <c r="DG41" s="102" t="e">
        <f t="shared" si="87"/>
        <v>#N/A</v>
      </c>
      <c r="DH41" s="414" t="e">
        <f>IF(DH40=0,0,IF(AND(DD41&gt;charge_ELS_quasi,DE41&gt;Charge_ELS_freq,DF41&gt;charge_ELU,DG41&gt;charge_ELA,$B41&gt;NDC!$H$22-0.1+MIN(3*$DH$12,1.5)),0,1))</f>
        <v>#N/A</v>
      </c>
      <c r="DI41" s="86" t="b">
        <f t="shared" si="46"/>
        <v>0</v>
      </c>
      <c r="DJ41" s="86">
        <f t="shared" si="47"/>
        <v>0.5</v>
      </c>
      <c r="DK41" s="86">
        <f t="shared" si="48"/>
        <v>0.5</v>
      </c>
      <c r="DL41" s="30" t="e">
        <f t="shared" ca="1" si="88"/>
        <v>#DIV/0!</v>
      </c>
      <c r="DM41" s="85" t="e">
        <f ca="1">IF(CS41&lt;=Hypothèses!$V$7,Hypothèses!$W$7,IF(CS41&lt;=Hypothèses!$V$8,Hypothèses!$W$8,IF(CS41&lt;=Hypothèses!$V$9,Hypothèses!$W$9,IF(CS41&lt;=Hypothèses!$V$10,Hypothèses!$W$10,IF(CS41&lt;=Hypothèses!$V$11,Hypothèses!$W$11,IF(CS41&lt;=Hypothèses!$V$12,Hypothèses!$W$12,IF(CS41&lt;=Hypothèses!$V$13,Hypothèses!$W$13,IF(CS41&lt;=Hypothèses!$V$14,Hypothèses!$W$14,IF(CS41&lt;=Hypothèses!$V$15,Hypothèses!$W$15,IF(CS41&lt;=Hypothèses!$V$16,Hypothèses!$W$16,IF(CS41&lt;=Hypothèses!$V$17,Hypothèses!$W$17,IF(CS41&lt;=Hypothèses!$V$18,Hypothèses!$W$18,""))))))))))))</f>
        <v>#DIV/0!</v>
      </c>
      <c r="DN41" s="87" t="e">
        <f t="shared" ca="1" si="121"/>
        <v>#DIV/0!</v>
      </c>
      <c r="DO41" s="88" t="e">
        <f ca="1">IF(CS41&lt;=Hypothèses!$V$7,Hypothèses!$X$7,IF(CS41&lt;=Hypothèses!$V$8,Hypothèses!$X$8,IF(CS41&lt;=Hypothèses!$V$9,Hypothèses!$X$9,IF(CS41&lt;=Hypothèses!$V$10,Hypothèses!$X$10,IF(CS41&lt;=Hypothèses!$V$11,Hypothèses!$X$11,IF(CS41&lt;=Hypothèses!$V$12,Hypothèses!$X$12,IF(CS41&lt;=Hypothèses!$V$13,Hypothèses!$X$13,IF(CS41&lt;=Hypothèses!$V$14,Hypothèses!$X$14,IF(CS41&lt;=Hypothèses!$V$15,Hypothèses!$X$15,IF(CS41&lt;=Hypothèses!$V$16,Hypothèses!$X$16,IF(CS41&lt;=Hypothèses!$U$17,Hypothèses!$W$17,IF(CS41&lt;=Hypothèses!$U$18,Hypothèses!$W$18,""))))))))))))</f>
        <v>#DIV/0!</v>
      </c>
      <c r="DP41" s="95" t="e">
        <f t="shared" ca="1" si="89"/>
        <v>#DIV/0!</v>
      </c>
      <c r="DQ41" s="101" t="e">
        <f t="shared" si="128"/>
        <v>#N/A</v>
      </c>
      <c r="DR41" s="91" t="e">
        <f t="shared" si="50"/>
        <v>#N/A</v>
      </c>
      <c r="DS41" s="30" t="e">
        <f t="shared" si="110"/>
        <v>#N/A</v>
      </c>
      <c r="DT41" s="30" t="e">
        <f t="shared" si="111"/>
        <v>#N/A</v>
      </c>
      <c r="DU41" s="31" t="e">
        <f>IF(OR(Hypothèses!$B$4=17,Hypothèses!$B$4=18,Hypothèses!$B$4=19,Hypothèses!$B$4=20),
IF($D41="Pressio.",
IF(OR($E41=3,$E41=1,$E41=4),DT41,DS41),
IF($D41="Pénétro.",
IF(OR($E41=3,$E41=1,$E41=4),DT41,DS41))),IF($D41="Pressio.",
IF($E41=3,DT41,DS41),
IF($D41="Pénétro.",
IF($E41=4,DT41,DS41))))</f>
        <v>#N/A</v>
      </c>
      <c r="DV41" s="31" t="e">
        <f>(IF(OR(Hypothèses!$B$4=17,Hypothèses!$B$4=18,Hypothèses!$B$4=19,Hypothèses!$B$4=20),
IF($D41="Pressio.",
IF(OR($E41=3,$E41=1,$E41=4),(PI()*DV$12^2)/4*(DR41*$W41*1000)/($H41*$B$5),(PI()*DV$12^2)/4*(DR41*$W41*1000)/($G41*$B$5)),
IF($D41="Pénétro.",
IF(OR($E41=4,$E41=1,$E41=5),(PI()*DV$12^2)/4*(DR41*$W41*1000)/($H41*$B$5),(PI()*DV$12^2)/4*(DR41*$W41*1000)/($G41*$B$5)))),
IF($D41="Pressio.",
IF($E41=3,(PI()*DV$12^2)/4*(DR41*$W41*1000)/($H41*$B$5),(PI()*DV$12^2)/4*(DR41*$W41*1000)/($G41*$B$5)),
IF($D41="Pénétro.",
IF($E41=4,(PI()*DV$12^2)/4*(DR41*$W41*1000)/($H41*$B$5),(PI()*DV$12^2)/4*(DR41*$W41*1000)/($G41*$B$5))))))/10</f>
        <v>#N/A</v>
      </c>
      <c r="DW41" s="102" t="e">
        <f>(VLOOKUP($B$3,'Coeff EC7'!$T$39:$X$59,2,0)*DU41+VLOOKUP($B$3,'Coeff EC7'!$T$65:$X$85,2,0)*Model0.1C!DV41)/1.1</f>
        <v>#N/A</v>
      </c>
      <c r="DX41" s="102" t="e">
        <f>(VLOOKUP($B$3,'Coeff EC7'!$T$39:$X$59,3,0)*DU41+VLOOKUP($B$3,'Coeff EC7'!$T$65:$X$85,3,0)*Model0.1C!DV41)/0.9</f>
        <v>#N/A</v>
      </c>
      <c r="DY41" s="102" t="e">
        <f t="shared" si="90"/>
        <v>#N/A</v>
      </c>
      <c r="DZ41" s="102" t="e">
        <f t="shared" si="91"/>
        <v>#N/A</v>
      </c>
      <c r="EA41" s="414" t="e">
        <f>IF(EA40=0,0,IF(AND(DW41&gt;charge_ELS_quasi,DX41&gt;Charge_ELS_freq,DY41&gt;charge_ELU,DZ41&gt;charge_ELA,$B41&gt;NDC!$H$22-0.1+MIN(3*$EA$12,1.5)),0,1))</f>
        <v>#N/A</v>
      </c>
      <c r="EB41" s="86" t="b">
        <f t="shared" si="53"/>
        <v>0</v>
      </c>
      <c r="EC41" s="418">
        <f t="shared" si="54"/>
        <v>0.51</v>
      </c>
      <c r="ED41" s="86">
        <f t="shared" si="55"/>
        <v>0.51</v>
      </c>
      <c r="EE41" s="30" t="e">
        <f t="shared" ca="1" si="92"/>
        <v>#DIV/0!</v>
      </c>
      <c r="EF41" s="85" t="e">
        <f ca="1">IF(DL41&lt;=Hypothèses!$V$7,Hypothèses!$W$7,IF(DL41&lt;=Hypothèses!$V$8,Hypothèses!$W$8,IF(DL41&lt;=Hypothèses!$V$9,Hypothèses!$W$9,IF(DL41&lt;=Hypothèses!$V$10,Hypothèses!$W$10,IF(DL41&lt;=Hypothèses!$V$11,Hypothèses!$W$11,IF(DL41&lt;=Hypothèses!$V$12,Hypothèses!$W$12,IF(DL41&lt;=Hypothèses!$V$13,Hypothèses!$W$13,IF(DL41&lt;=Hypothèses!$V$14,Hypothèses!$W$14,IF(DL41&lt;=Hypothèses!$V$15,Hypothèses!$W$15,IF(DL41&lt;=Hypothèses!$V$16,Hypothèses!$W$16,IF(DL41&lt;=Hypothèses!$V$17,Hypothèses!$W$17,IF(DL41&lt;=Hypothèses!$V$18,Hypothèses!$W$18,""))))))))))))</f>
        <v>#DIV/0!</v>
      </c>
      <c r="EG41" s="87" t="e">
        <f t="shared" ca="1" si="122"/>
        <v>#DIV/0!</v>
      </c>
      <c r="EH41" s="88" t="e">
        <f ca="1">IF(DL41&lt;=Hypothèses!$V$7,Hypothèses!$X$7,IF(DL41&lt;=Hypothèses!$V$8,Hypothèses!$X$8,IF(DL41&lt;=Hypothèses!$V$9,Hypothèses!$X$9,IF(DL41&lt;=Hypothèses!$V$10,Hypothèses!$X$10,IF(DL41&lt;=Hypothèses!$V$11,Hypothèses!$X$11,IF(DL41&lt;=Hypothèses!$V$12,Hypothèses!$X$12,IF(DL41&lt;=Hypothèses!$V$13,Hypothèses!$X$13,IF(DL41&lt;=Hypothèses!$V$14,Hypothèses!$X$14,IF(DL41&lt;=Hypothèses!$V$15,Hypothèses!$X$15,IF(DL41&lt;=Hypothèses!$V$16,Hypothèses!$X$16,IF(DL41&lt;=Hypothèses!$U$17,Hypothèses!$W$17,IF(DL41&lt;=Hypothèses!$U$18,Hypothèses!$W$18,""))))))))))))</f>
        <v>#DIV/0!</v>
      </c>
      <c r="EI41" s="95" t="e">
        <f t="shared" ca="1" si="93"/>
        <v>#DIV/0!</v>
      </c>
      <c r="EJ41" s="101" t="e">
        <f t="shared" si="129"/>
        <v>#N/A</v>
      </c>
      <c r="EK41" s="91" t="e">
        <f t="shared" si="57"/>
        <v>#N/A</v>
      </c>
      <c r="EL41" s="30" t="e">
        <f t="shared" si="112"/>
        <v>#N/A</v>
      </c>
      <c r="EM41" s="30" t="e">
        <f t="shared" si="113"/>
        <v>#N/A</v>
      </c>
      <c r="EN41" s="31" t="e">
        <f>IF(OR(Hypothèses!$B$4=17,Hypothèses!$B$4=18,Hypothèses!$B$4=19,Hypothèses!$B$4=20),
IF($D41="Pressio.",
IF(OR($E41=3,$E41=1,$E41=4),EM41,EL41),
IF($D41="Pénétro.",
IF(OR($E41=3,$E41=1,$E41=4),EM41,EL41))),IF($D41="Pressio.",
IF($E41=3,EM41,EL41),
IF($D41="Pénétro.",
IF($E41=4,EM41,EL41))))</f>
        <v>#N/A</v>
      </c>
      <c r="EO41" s="31" t="e">
        <f>(IF(OR(Hypothèses!$B$4=17,Hypothèses!$B$4=18,Hypothèses!$B$4=19,Hypothèses!$B$4=20),
IF($D41="Pressio.",
IF(OR($E41=3,$E41=1,$E41=4),(PI()*EO$12^2)/4*(EK41*$W41*1000)/($H41*$B$5),(PI()*EO$12^2)/4*(EK41*$W41*1000)/($G41*$B$5)),
IF($D41="Pénétro.",
IF(OR($E41=4,$E41=1,$E41=5),(PI()*EO$12^2)/4*(EK41*$W41*1000)/($H41*$B$5),(PI()*EO$12^2)/4*(EK41*$W41*1000)/($G41*$B$5)))),
IF($D41="Pressio.",
IF($E41=3,(PI()*EO$12^2)/4*(EK41*$W41*1000)/($H41*$B$5),(PI()*EO$12^2)/4*(EK41*$W41*1000)/($G41*$B$5)),
IF($D41="Pénétro.",
IF($E41=4,(PI()*EO$12^2)/4*(EK41*$W41*1000)/($H41*$B$5),(PI()*EO$12^2)/4*(EK41*$W41*1000)/($G41*$B$5))))))/10</f>
        <v>#N/A</v>
      </c>
      <c r="EP41" s="102" t="e">
        <f>(VLOOKUP($B$3,'Coeff EC7'!$T$39:$X$59,2,0)*EN41+VLOOKUP($B$3,'Coeff EC7'!$T$65:$X$85,2,0)*Model0.1C!EO41)/1.1</f>
        <v>#N/A</v>
      </c>
      <c r="EQ41" s="102" t="e">
        <f>(VLOOKUP($B$3,'Coeff EC7'!$T$39:$X$59,3,0)*EN41+VLOOKUP($B$3,'Coeff EC7'!$T$65:$X$85,3,0)*Model0.1C!EO41)/0.9</f>
        <v>#N/A</v>
      </c>
      <c r="ER41" s="102" t="e">
        <f t="shared" si="94"/>
        <v>#N/A</v>
      </c>
      <c r="ES41" s="102" t="e">
        <f t="shared" si="95"/>
        <v>#N/A</v>
      </c>
      <c r="ET41" s="414" t="e">
        <f>IF(ET40=0,0,IF(AND(EP41&gt;charge_ELS_quasi,EQ41&gt;Charge_ELS_freq,ER41&gt;charge_ELU,ES41&gt;charge_ELA,$B41&gt;NDC!$H$22-0.1+MIN(3*$ET$12,1.5)),0,1))</f>
        <v>#N/A</v>
      </c>
      <c r="EU41" s="86" t="b">
        <f t="shared" si="60"/>
        <v>0</v>
      </c>
      <c r="EV41" s="86">
        <f t="shared" si="61"/>
        <v>0.61</v>
      </c>
      <c r="EW41" s="86">
        <f t="shared" si="62"/>
        <v>0.61</v>
      </c>
      <c r="EX41" s="30" t="e">
        <f t="shared" ca="1" si="96"/>
        <v>#DIV/0!</v>
      </c>
      <c r="EY41" s="85" t="e">
        <f ca="1">IF(EE41&lt;=Hypothèses!$V$7,Hypothèses!$W$7,IF(EE41&lt;=Hypothèses!$V$8,Hypothèses!$W$8,IF(EE41&lt;=Hypothèses!$V$9,Hypothèses!$W$9,IF(EE41&lt;=Hypothèses!$V$10,Hypothèses!$W$10,IF(EE41&lt;=Hypothèses!$V$11,Hypothèses!$W$11,IF(EE41&lt;=Hypothèses!$V$12,Hypothèses!$W$12,IF(EE41&lt;=Hypothèses!$V$13,Hypothèses!$W$13,IF(EE41&lt;=Hypothèses!$V$14,Hypothèses!$W$14,IF(EE41&lt;=Hypothèses!$V$15,Hypothèses!$W$15,IF(EE41&lt;=Hypothèses!$V$16,Hypothèses!$W$16,IF(EE41&lt;=Hypothèses!$V$17,Hypothèses!$W$17,IF(EE41&lt;=Hypothèses!$V$18,Hypothèses!$W$18,""))))))))))))</f>
        <v>#DIV/0!</v>
      </c>
      <c r="EZ41" s="87" t="e">
        <f t="shared" ca="1" si="123"/>
        <v>#DIV/0!</v>
      </c>
      <c r="FA41" s="88" t="e">
        <f ca="1">IF(EE41&lt;=Hypothèses!$V$7,Hypothèses!$X$7,IF(EE41&lt;=Hypothèses!$V$8,Hypothèses!$X$8,IF(EE41&lt;=Hypothèses!$V$9,Hypothèses!$X$9,IF(EE41&lt;=Hypothèses!$V$10,Hypothèses!$X$10,IF(EE41&lt;=Hypothèses!$V$11,Hypothèses!$X$11,IF(EE41&lt;=Hypothèses!$V$12,Hypothèses!$X$12,IF(EE41&lt;=Hypothèses!$V$13,Hypothèses!$X$13,IF(EE41&lt;=Hypothèses!$V$14,Hypothèses!$X$14,IF(EE41&lt;=Hypothèses!$V$15,Hypothèses!$X$15,IF(EE41&lt;=Hypothèses!$V$16,Hypothèses!$X$16,IF(EE41&lt;=Hypothèses!$U$17,Hypothèses!$W$17,IF(EE41&lt;=Hypothèses!$U$18,Hypothèses!$W$18,""))))))))))))</f>
        <v>#DIV/0!</v>
      </c>
      <c r="FB41" s="95" t="e">
        <f t="shared" ca="1" si="97"/>
        <v>#DIV/0!</v>
      </c>
      <c r="FC41" s="101" t="e">
        <f t="shared" si="130"/>
        <v>#N/A</v>
      </c>
      <c r="FD41" s="91" t="e">
        <f t="shared" si="64"/>
        <v>#N/A</v>
      </c>
      <c r="FE41" s="30" t="e">
        <f t="shared" si="114"/>
        <v>#N/A</v>
      </c>
      <c r="FF41" s="30" t="e">
        <f t="shared" si="115"/>
        <v>#N/A</v>
      </c>
      <c r="FG41" s="31" t="e">
        <f>IF(OR(Hypothèses!$B$4=17,Hypothèses!$B$4=18,Hypothèses!$B$4=19,Hypothèses!$B$4=20),
IF($D41="Pressio.",
IF(OR($E41=3,$E41=1,$E41=4),FF41,FE41),
IF($D41="Pénétro.",
IF(OR($E41=3,$E41=1,$E41=4),FF41,FE41))),IF($D41="Pressio.",
IF($E41=3,FF41,FE41),
IF($D41="Pénétro.",
IF($E41=4,FF41,FE41))))</f>
        <v>#N/A</v>
      </c>
      <c r="FH41" s="31" t="e">
        <f>(IF(OR(Hypothèses!$B$4=17,Hypothèses!$B$4=18,Hypothèses!$B$4=19,Hypothèses!$B$4=20),
IF($D41="Pressio.",
IF(OR($E41=3,$E41=1,$E41=4),(PI()*FH$12^2)/4*(FD41*$W41*1000)/($H41*$B$5),(PI()*FH$12^2)/4*(FD41*$W41*1000)/($G41*$B$5)),
IF($D41="Pénétro.",
IF(OR($E41=4,$E41=1,$E41=5),(PI()*FH$12^2)/4*(FD41*$W41*1000)/($H41*$B$5),(PI()*FH$12^2)/4*(FD41*$W41*1000)/($G41*$B$5)))),
IF($D41="Pressio.",
IF($E41=3,(PI()*FH$12^2)/4*(FD41*$W41*1000)/($H41*$B$5),(PI()*FH$12^2)/4*(FD41*$W41*1000)/($G41*$B$5)),
IF($D41="Pénétro.",
IF($E41=4,(PI()*FH$12^2)/4*(FD41*$W41*1000)/($H41*$B$5),(PI()*FH$12^2)/4*(FD41*$W41*1000)/($G41*$B$5))))))/10</f>
        <v>#N/A</v>
      </c>
      <c r="FI41" s="102" t="e">
        <f>(VLOOKUP($B$3,'Coeff EC7'!$T$39:$X$59,2,0)*FG41+VLOOKUP($B$3,'Coeff EC7'!$T$65:$X$85,2,0)*Model0.1C!FH41)/1.1</f>
        <v>#N/A</v>
      </c>
      <c r="FJ41" s="102" t="e">
        <f>(VLOOKUP($B$3,'Coeff EC7'!$T$39:$X$59,3,0)*FG41+VLOOKUP($B$3,'Coeff EC7'!$T$65:$X$85,3,0)*Model0.1C!FH41)/0.9</f>
        <v>#N/A</v>
      </c>
      <c r="FK41" s="102" t="e">
        <f t="shared" si="98"/>
        <v>#N/A</v>
      </c>
      <c r="FL41" s="102" t="e">
        <f t="shared" si="99"/>
        <v>#N/A</v>
      </c>
      <c r="FM41" s="414" t="e">
        <f>IF(FM40=0,0,IF(AND(FI41&gt;charge_ELS_quasi,FJ41&gt;Charge_ELS_freq,FK41&gt;charge_ELU,FL41&gt;charge_ELA,$B41&gt;NDC!$H$22-0.1+MIN(3*$FM$12,1.5)),0,1))</f>
        <v>#N/A</v>
      </c>
    </row>
    <row r="42" spans="1:169">
      <c r="A42" s="96">
        <f t="shared" si="67"/>
        <v>97.100000000000165</v>
      </c>
      <c r="B42" s="97">
        <v>2.9</v>
      </c>
      <c r="C42" s="81">
        <f>IF(B42&lt;=Hypothèses!$C$7,Hypothèses!$A$7,IF(B42&lt;=Hypothèses!$C$8,Hypothèses!$A$8,IF(B42&lt;=Hypothèses!$C$9,Hypothèses!$A$9,IF(B42&lt;=Hypothèses!$C$10,Hypothèses!$A$10,IF(B42&lt;=Hypothèses!$C$11,Hypothèses!$A$11,IF(B42&lt;=Hypothèses!$C$12,Hypothèses!$A$12,IF(B42&lt;=Hypothèses!$C$13,Hypothèses!$A$13,IF(B42&lt;=Hypothèses!$C$14,Hypothèses!$A$14,IF(B42&lt;=Hypothèses!$C$15,Hypothèses!$A$15,IF(B42&lt;=Hypothèses!$C$16,Hypothèses!$A$16,IF(B42&lt;=Hypothèses!$C$17,Hypothèses!$A$17,IF(B42&lt;=Hypothèses!$C$18,Hypothèses!$A$18,C41))))))))))))</f>
        <v>11</v>
      </c>
      <c r="D42" s="82" t="str">
        <f>IF(B42&lt;=Hypothèses!$C$7,Hypothèses!$R$7,IF(B42&lt;=Hypothèses!$C$8,Hypothèses!$R$8,IF(B42&lt;=Hypothèses!$C$9,Hypothèses!$R$9,IF(B42&lt;=Hypothèses!$C$10,Hypothèses!$R$10,IF(B42&lt;=Hypothèses!$C$11,Hypothèses!$R$11,IF(B42&lt;=Hypothèses!$C$12,Hypothèses!$R$12,IF(B42&lt;=Hypothèses!$C$13,Hypothèses!$R$13,IF(B42&lt;=Hypothèses!$C$14,Hypothèses!$R$14,IF(B42&lt;=Hypothèses!$C$15,Hypothèses!$R$15,IF(B42&lt;=Hypothèses!$C$16,Hypothèses!$R$16,IF(B42&lt;=Hypothèses!$C$17,Hypothèses!$R$17,IF(B42&lt;=Hypothèses!$C$18,Hypothèses!$R$18,D41))))))))))))</f>
        <v>Pressio.</v>
      </c>
      <c r="E42" s="82" t="e">
        <f>IF(B42&lt;=Hypothèses!$C$7,Hypothèses!$G$7,IF(B42&lt;=Hypothèses!$C$8,Hypothèses!$G$8,IF(B42&lt;=Hypothèses!$C$9,Hypothèses!$G$9,IF(B42&lt;=Hypothèses!$C$10,Hypothèses!$G$10,IF(B42&lt;=Hypothèses!$C$11,Hypothèses!$G$11,IF(B42&lt;=Hypothèses!$C$12,Hypothèses!$G$12,IF(B42&lt;=Hypothèses!$C$13,Hypothèses!$G$13,IF(B42&lt;=Hypothèses!$C$14,Hypothèses!$G$14,IF(B42&lt;=Hypothèses!$C$15,Hypothèses!$G$15,IF(B42&lt;=Hypothèses!$C$16,Hypothèses!$G$16,IF(B42&lt;=Hypothèses!$C$17,Hypothèses!$G$17,IF(B42&lt;=Hypothèses!$C$18,Hypothèses!$G$18,E41))))))))))))</f>
        <v>#N/A</v>
      </c>
      <c r="F42" s="82" t="str">
        <f>IF(B42&lt;=Hypothèses!$C$7,Hypothèses!$F$7,IF(B42&lt;=Hypothèses!$C$8,Hypothèses!$F$8,IF(B42&lt;=Hypothèses!$C$9,Hypothèses!$F$9,IF(B42&lt;=Hypothèses!$C$10,Hypothèses!$F$10,IF(B42&lt;=Hypothèses!$C$11,Hypothèses!$F$11,IF(B42&lt;=Hypothèses!$C$12,Hypothèses!$F$12,IF(B42&lt;=Hypothèses!$C$13,Hypothèses!$F$13,IF(B42&lt;=Hypothèses!$C$14,Hypothèses!$F$14,IF(B42&lt;=Hypothèses!$C$15,Hypothèses!$F$15,IF(B42&lt;=Hypothèses!$C$16,Hypothèses!$F$16,IF(B42&lt;=Hypothèses!$C$17,Hypothèses!$F$17,IF(B42&lt;=Hypothèses!$C$18,Hypothèses!$F$18,F41))))))))))))</f>
        <v/>
      </c>
      <c r="G42" s="91">
        <f t="array" ref="G42">INDEX('Coeff EC7'!$U$7:$X$27,
MATCH(Model0.1C!$B$3,'Coeff EC7'!$T$7:$T$27,0),
MATCH(Model0.1C!$D42&amp;Model0.1C!$B$4,
'Coeff EC7'!$U$6:$X$6&amp;
'Coeff EC7'!$U$5:$X$5,0))</f>
        <v>1.1499999999999999</v>
      </c>
      <c r="H42" s="91">
        <f t="array" ref="H42">INDEX('Coeff EC7'!$Y$7:$AB$27,
MATCH(Model0.1C!$B$3,'Coeff EC7'!$T$7:$T$27,0),
MATCH(Model0.1C!$D42&amp;Model0.1C!$B$4,
'Coeff EC7'!$Y$6:$AB$6&amp;
'Coeff EC7'!$Y$5:$AB$5,0))</f>
        <v>1.4</v>
      </c>
      <c r="I42" s="83" t="e">
        <f>IF(B42&lt;=Hypothèses!$C$7,Hypothèses!$P$7,IF(B42&lt;=Hypothèses!$C$8,Hypothèses!$P$8,IF(B42&lt;=Hypothèses!$C$9,Hypothèses!$P$9,IF(B42&lt;=Hypothèses!$C$10,Hypothèses!$P$10,IF(B42&lt;=Hypothèses!$C$11,Hypothèses!$P$11,IF(B42&lt;=Hypothèses!$C$12,Hypothèses!$P$12,IF(B42&lt;=Hypothèses!$C$13,Hypothèses!$P$13,IF(B42&lt;=Hypothèses!$C$14,Hypothèses!$P$14,IF(B42&lt;=Hypothèses!$C$15,Hypothèses!$P$15,IF(B42&lt;=Hypothèses!$C$16,Hypothèses!$P$16,IF(B42&lt;=Hypothèses!$C$17,Hypothèses!$P$17,IF(B42&lt;=Hypothèses!$C$18,Hypothèses!$P$18,I41))))))))))))</f>
        <v>#N/A</v>
      </c>
      <c r="J42" s="91" t="e">
        <f t="array" ref="J42">INDEX('Coeff EC7'!$D$33:$Q$33,1,MATCH(D42&amp;E42,'Coeff EC7'!$D$31:$Q$31&amp;'Coeff EC7'!$D$32:$Q$32,0))</f>
        <v>#N/A</v>
      </c>
      <c r="K42" s="91" t="e">
        <f t="array" ref="K42">INDEX('Coeff EC7'!$D$34:$Q$34,1,MATCH(D42&amp;E42,'Coeff EC7'!$D$31:$Q$31&amp;'Coeff EC7'!$D$32:$Q$32,0))</f>
        <v>#N/A</v>
      </c>
      <c r="L42" s="91" t="e">
        <f t="array" ref="L42">INDEX('Coeff EC7'!$D$35:$Q$35,1,MATCH(D42&amp;E42,'Coeff EC7'!$D$31:$Q$31&amp;'Coeff EC7'!$D$32:$Q$32,0))</f>
        <v>#N/A</v>
      </c>
      <c r="M42" s="98" t="e">
        <f t="shared" si="8"/>
        <v>#N/A</v>
      </c>
      <c r="N42" s="99" t="e">
        <f t="array" ref="N42">INDEX('Coeff EC7'!$D$7:$Q$27,MATCH($B$3,'Coeff EC7'!$C$7:$C$27,0),MATCH(D42&amp;E42,'Coeff EC7'!$D$5:$Q$5&amp;'Coeff EC7'!$D$6:$Q$6,0))</f>
        <v>#N/A</v>
      </c>
      <c r="O42" s="99" t="e">
        <f t="array" ref="O42">INDEX('Coeff EC7'!$D$41:$Q$61,MATCH($B$3,'Coeff EC7'!$C$41:$C$61,0),MATCH(D42&amp;E42,'Coeff EC7'!$D$39:$Q$39&amp;'Coeff EC7'!$D$40:$Q$40,0))</f>
        <v>#N/A</v>
      </c>
      <c r="P42" s="30" t="e">
        <f t="shared" si="68"/>
        <v>#N/A</v>
      </c>
      <c r="Q42" s="100" t="e">
        <f t="shared" si="10"/>
        <v>#N/A</v>
      </c>
      <c r="R42" s="86" t="b">
        <f t="shared" si="11"/>
        <v>0</v>
      </c>
      <c r="S42" s="86">
        <f t="shared" si="9"/>
        <v>0.5</v>
      </c>
      <c r="T42" s="86">
        <f t="shared" si="12"/>
        <v>0.5</v>
      </c>
      <c r="U42" s="30" t="e">
        <f t="shared" ca="1" si="69"/>
        <v>#DIV/0!</v>
      </c>
      <c r="V42" s="85" t="str">
        <f>IF(B42&lt;=Hypothèses!$V$7,Hypothèses!$W$7,IF(B42&lt;=Hypothèses!$V$8,Hypothèses!$W$8,IF(B42&lt;=Hypothèses!$V$9,Hypothèses!$W$9,IF(B42&lt;=Hypothèses!$V$10,Hypothèses!$W$10,IF(B42&lt;=Hypothèses!$V$11,Hypothèses!$W$11,IF(B42&lt;=Hypothèses!$V$12,Hypothèses!$W$12,IF(B42&lt;=Hypothèses!$V$13,Hypothèses!$W$13,IF(B42&lt;=Hypothèses!$V$14,Hypothèses!$W$14,IF(B42&lt;=Hypothèses!$V$15,Hypothèses!$W$15,IF(B42&lt;=Hypothèses!$V$16,Hypothèses!$W$16,IF(B42&lt;=Hypothèses!$V$17,Hypothèses!$W$17,IF(B42&lt;=Hypothèses!$V$18,Hypothèses!$W$18,""))))))))))))</f>
        <v/>
      </c>
      <c r="W42" s="87" t="e">
        <f t="shared" ca="1" si="116"/>
        <v>#DIV/0!</v>
      </c>
      <c r="X42" s="88" t="str">
        <f>IF(B42&lt;=Hypothèses!$V$7,Hypothèses!$X$7,IF(B42&lt;=Hypothèses!$V$8,Hypothèses!$X$8,IF(B42&lt;=Hypothèses!$V$9,Hypothèses!$X$9,IF(B42&lt;=Hypothèses!$V$10,Hypothèses!$X$10,IF(B42&lt;=Hypothèses!$V$11,Hypothèses!$X$11,IF(B42&lt;=Hypothèses!$V$12,Hypothèses!$X$12,IF(B42&lt;=Hypothèses!$V$13,Hypothèses!$X$13,IF(B42&lt;=Hypothèses!$V$14,Hypothèses!$X$14,IF(B42&lt;=Hypothèses!$V$15,Hypothèses!$X$15,IF(B42&lt;=Hypothèses!$V$16,Hypothèses!$X$16,IF(B42&lt;=Hypothèses!$U$17,Hypothèses!$W$17,IF(B42&lt;=Hypothèses!$U$18,Hypothèses!$W$18,""))))))))))))</f>
        <v/>
      </c>
      <c r="Y42" s="95" t="e">
        <f t="shared" ca="1" si="13"/>
        <v>#DIV/0!</v>
      </c>
      <c r="Z42" s="101" t="e">
        <f t="shared" si="14"/>
        <v>#N/A</v>
      </c>
      <c r="AA42" s="91" t="e">
        <f t="shared" si="15"/>
        <v>#N/A</v>
      </c>
      <c r="AB42" s="30" t="e">
        <f t="shared" si="100"/>
        <v>#N/A</v>
      </c>
      <c r="AC42" s="30" t="e">
        <f t="shared" si="101"/>
        <v>#N/A</v>
      </c>
      <c r="AD42" s="31" t="e">
        <f>IF(OR(Hypothèses!$B$4=17,Hypothèses!$B$4=18,Hypothèses!$B$4=19,Hypothèses!$B$4=20),
IF($D42="Pressio.",
IF(OR($E42=3,$E42=1,$E42=4),AC42,AB42),
IF($D42="Pénétro.",
IF(OR($E42=3,$E42=1,$E42=4),AC42,AB42))),IF($D42="Pressio.",
IF($E42=3,AC42,AB42),
IF($D42="Pénétro.",
IF($E42=4,AC42,AB42))))</f>
        <v>#N/A</v>
      </c>
      <c r="AE42" s="31" t="e">
        <f>(IF(OR(Hypothèses!$B$4=17,Hypothèses!$B$4=18,Hypothèses!$B$4=19,Hypothèses!$B$4=20),
IF($D42="Pressio.",
IF(OR($E42=3,$E42=1,$E42=4),(PI()*AE$12^2)/4*(AA42*$W42*1000)/($H42*$B$5),(PI()*AE$12^2)/4*(AA42*$W42*1000)/($G42*$B$5)),
IF($D42="Pénétro.",
IF(OR($E42=4,$E42=1,$E42=5),(PI()*AE$12^2)/4*(AA42*$W42*1000)/($H42*$B$5),(PI()*AE$12^2)/4*(AA42*$W42*1000)/($G42*$B$5)))),
IF($D42="Pressio.",
IF($E42=3,(PI()*AE$12^2)/4*(AA42*$W42*1000)/($H42*$B$5),(PI()*AE$12^2)/4*(AA42*$W42*1000)/($G42*$B$5)),
IF($D42="Pénétro.",
IF($E42=4,(PI()*AE$12^2)/4*(AA42*$W42*1000)/($H42*$B$5),(PI()*AE$12^2)/4*(AA42*$W42*1000)/($G42*$B$5))))))/10</f>
        <v>#N/A</v>
      </c>
      <c r="AF42" s="102" t="e">
        <f>(VLOOKUP($B$3,'Coeff EC7'!$T$39:$X$59,2,0)*AD42+VLOOKUP($B$3,'Coeff EC7'!$T$65:$X$85,2,0)*Model0.1C!AE42)/1.1</f>
        <v>#N/A</v>
      </c>
      <c r="AG42" s="102" t="e">
        <f>(VLOOKUP($B$3,'Coeff EC7'!$T$39:$X$59,3,0)*AD42+VLOOKUP($B$3,'Coeff EC7'!$T$65:$X$85,3,0)*Model0.1C!AE42)/0.9</f>
        <v>#N/A</v>
      </c>
      <c r="AH42" s="102" t="e">
        <f t="shared" si="18"/>
        <v>#N/A</v>
      </c>
      <c r="AI42" s="102" t="e">
        <f t="shared" si="19"/>
        <v>#N/A</v>
      </c>
      <c r="AJ42" s="414" t="e">
        <f>IF(AJ41=0,0,IF(AND(AF42&gt;charge_ELS_quasi,AG42&gt;Charge_ELS_freq,AH42&gt;charge_ELU,AI42&gt;charge_ELA,$B42&gt;NDC!$H$22-0.1+MIN(3*$AJ$12,1.5)),0,1))</f>
        <v>#N/A</v>
      </c>
      <c r="AK42" s="86" t="b">
        <f t="shared" si="20"/>
        <v>0</v>
      </c>
      <c r="AL42" s="86">
        <f t="shared" si="70"/>
        <v>0.5</v>
      </c>
      <c r="AM42" s="86">
        <f t="shared" si="21"/>
        <v>0.5</v>
      </c>
      <c r="AN42" s="30" t="e">
        <f t="shared" ca="1" si="71"/>
        <v>#DIV/0!</v>
      </c>
      <c r="AO42" s="85" t="e">
        <f ca="1">IF(U42&lt;=Hypothèses!$V$7,Hypothèses!$W$7,IF(U42&lt;=Hypothèses!$V$8,Hypothèses!$W$8,IF(U42&lt;=Hypothèses!$V$9,Hypothèses!$W$9,IF(U42&lt;=Hypothèses!$V$10,Hypothèses!$W$10,IF(U42&lt;=Hypothèses!$V$11,Hypothèses!$W$11,IF(U42&lt;=Hypothèses!$V$12,Hypothèses!$W$12,IF(U42&lt;=Hypothèses!$V$13,Hypothèses!$W$13,IF(U42&lt;=Hypothèses!$V$14,Hypothèses!$W$14,IF(U42&lt;=Hypothèses!$V$15,Hypothèses!$W$15,IF(U42&lt;=Hypothèses!$V$16,Hypothèses!$W$16,IF(U42&lt;=Hypothèses!$V$17,Hypothèses!$W$17,IF(U42&lt;=Hypothèses!$V$18,Hypothèses!$W$18,""))))))))))))</f>
        <v>#DIV/0!</v>
      </c>
      <c r="AP42" s="87" t="e">
        <f t="shared" ca="1" si="117"/>
        <v>#DIV/0!</v>
      </c>
      <c r="AQ42" s="88" t="e">
        <f ca="1">IF(U42&lt;=Hypothèses!$V$7,Hypothèses!$X$7,IF(U42&lt;=Hypothèses!$V$8,Hypothèses!$X$8,IF(U42&lt;=Hypothèses!$V$9,Hypothèses!$X$9,IF(U42&lt;=Hypothèses!$V$10,Hypothèses!$X$10,IF(U42&lt;=Hypothèses!$V$11,Hypothèses!$X$11,IF(U42&lt;=Hypothèses!$V$12,Hypothèses!$X$12,IF(U42&lt;=Hypothèses!$V$13,Hypothèses!$X$13,IF(U42&lt;=Hypothèses!$V$14,Hypothèses!$X$14,IF(U42&lt;=Hypothèses!$V$15,Hypothèses!$X$15,IF(U42&lt;=Hypothèses!$V$16,Hypothèses!$X$16,IF(U42&lt;=Hypothèses!$U$17,Hypothèses!$W$17,IF(U42&lt;=Hypothèses!$U$18,Hypothèses!$W$18,""))))))))))))</f>
        <v>#DIV/0!</v>
      </c>
      <c r="AR42" s="95" t="e">
        <f t="shared" ca="1" si="72"/>
        <v>#DIV/0!</v>
      </c>
      <c r="AS42" s="101" t="e">
        <f t="shared" si="124"/>
        <v>#N/A</v>
      </c>
      <c r="AT42" s="91" t="e">
        <f t="shared" si="23"/>
        <v>#N/A</v>
      </c>
      <c r="AU42" s="30" t="e">
        <f t="shared" si="102"/>
        <v>#N/A</v>
      </c>
      <c r="AV42" s="30" t="e">
        <f t="shared" si="103"/>
        <v>#N/A</v>
      </c>
      <c r="AW42" s="31" t="e">
        <f>IF(OR(Hypothèses!$B$4=17,Hypothèses!$B$4=18,Hypothèses!$B$4=19,Hypothèses!$B$4=20),
IF($D42="Pressio.",
IF(OR($E42=3,$E42=1,$E42=4),AV42,AU42),
IF($D42="Pénétro.",
IF(OR($E42=3,$E42=1,$E42=4),AV42,AU42))),IF($D42="Pressio.",
IF($E42=3,AV42,AU42),
IF($D42="Pénétro.",
IF($E42=4,AV42,AU42))))</f>
        <v>#N/A</v>
      </c>
      <c r="AX42" s="31" t="e">
        <f>(IF(OR(Hypothèses!$B$4=17,Hypothèses!$B$4=18,Hypothèses!$B$4=19,Hypothèses!$B$4=20),
IF($D42="Pressio.",
IF(OR($E42=3,$E42=1,$E42=4),(PI()*AX$12^2)/4*(AT42*$W42*1000)/($H42*$B$5),(PI()*AX$12^2)/4*(AT42*$W42*1000)/($G42*$B$5)),
IF($D42="Pénétro.",
IF(OR($E42=4,$E42=1,$E42=5),(PI()*AX$12^2)/4*(AT42*$W42*1000)/($H42*$B$5),(PI()*AX$12^2)/4*(AT42*$W42*1000)/($G42*$B$5)))),
IF($D42="Pressio.",
IF($E42=3,(PI()*AX$12^2)/4*(AT42*$W42*1000)/($H42*$B$5),(PI()*AX$12^2)/4*(AT42*$W42*1000)/($G42*$B$5)),
IF($D42="Pénétro.",
IF($E42=4,(PI()*AX$12^2)/4*(AT42*$W42*1000)/($H42*$B$5),(PI()*AX$12^2)/4*(AT42*$W42*1000)/($G42*$B$5))))))/10</f>
        <v>#N/A</v>
      </c>
      <c r="AY42" s="102" t="e">
        <f>(VLOOKUP($B$3,'Coeff EC7'!$T$39:$X$59,2,0)*AW42+VLOOKUP($B$3,'Coeff EC7'!$T$65:$X$85,2,0)*Model0.1C!AX42)/1.1</f>
        <v>#N/A</v>
      </c>
      <c r="AZ42" s="102" t="e">
        <f>(VLOOKUP($B$3,'Coeff EC7'!$T$39:$X$59,3,0)*AW42+VLOOKUP($B$3,'Coeff EC7'!$T$65:$X$85,3,0)*Model0.1C!AX42)/0.9</f>
        <v>#N/A</v>
      </c>
      <c r="BA42" s="102" t="e">
        <f t="shared" si="73"/>
        <v>#N/A</v>
      </c>
      <c r="BB42" s="102" t="e">
        <f t="shared" si="74"/>
        <v>#N/A</v>
      </c>
      <c r="BC42" s="414" t="e">
        <f>IF(BC41=0,0,IF(AND(AY42&gt;charge_ELS_quasi,AZ42&gt;Charge_ELS_freq,BA42&gt;charge_ELU,BB42&gt;charge_ELA,$B42&gt;NDC!$H$22-0.1+MIN(3*$BC$12,1.5)),0,1))</f>
        <v>#N/A</v>
      </c>
      <c r="BD42" s="86" t="b">
        <f t="shared" si="26"/>
        <v>0</v>
      </c>
      <c r="BE42" s="86">
        <f t="shared" si="75"/>
        <v>0.5</v>
      </c>
      <c r="BF42" s="86">
        <f t="shared" si="27"/>
        <v>0.5</v>
      </c>
      <c r="BG42" s="30" t="e">
        <f t="shared" ca="1" si="76"/>
        <v>#DIV/0!</v>
      </c>
      <c r="BH42" s="85" t="e">
        <f ca="1">IF(AN42&lt;=Hypothèses!$V$7,Hypothèses!$W$7,IF(AN42&lt;=Hypothèses!$V$8,Hypothèses!$W$8,IF(AN42&lt;=Hypothèses!$V$9,Hypothèses!$W$9,IF(AN42&lt;=Hypothèses!$V$10,Hypothèses!$W$10,IF(AN42&lt;=Hypothèses!$V$11,Hypothèses!$W$11,IF(AN42&lt;=Hypothèses!$V$12,Hypothèses!$W$12,IF(AN42&lt;=Hypothèses!$V$13,Hypothèses!$W$13,IF(AN42&lt;=Hypothèses!$V$14,Hypothèses!$W$14,IF(AN42&lt;=Hypothèses!$V$15,Hypothèses!$W$15,IF(AN42&lt;=Hypothèses!$V$16,Hypothèses!$W$16,IF(AN42&lt;=Hypothèses!$V$17,Hypothèses!$W$17,IF(AN42&lt;=Hypothèses!$V$18,Hypothèses!$W$18,""))))))))))))</f>
        <v>#DIV/0!</v>
      </c>
      <c r="BI42" s="87" t="e">
        <f t="shared" ca="1" si="118"/>
        <v>#DIV/0!</v>
      </c>
      <c r="BJ42" s="88" t="e">
        <f ca="1">IF(AN42&lt;=Hypothèses!$V$7,Hypothèses!$X$7,IF(AN42&lt;=Hypothèses!$V$8,Hypothèses!$X$8,IF(AN42&lt;=Hypothèses!$V$9,Hypothèses!$X$9,IF(AN42&lt;=Hypothèses!$V$10,Hypothèses!$X$10,IF(AN42&lt;=Hypothèses!$V$11,Hypothèses!$X$11,IF(AN42&lt;=Hypothèses!$V$12,Hypothèses!$X$12,IF(AN42&lt;=Hypothèses!$V$13,Hypothèses!$X$13,IF(AN42&lt;=Hypothèses!$V$14,Hypothèses!$X$14,IF(AN42&lt;=Hypothèses!$V$15,Hypothèses!$X$15,IF(AN42&lt;=Hypothèses!$V$16,Hypothèses!$X$16,IF(AN42&lt;=Hypothèses!$U$17,Hypothèses!$W$17,IF(AN42&lt;=Hypothèses!$U$18,Hypothèses!$W$18,""))))))))))))</f>
        <v>#DIV/0!</v>
      </c>
      <c r="BK42" s="95" t="e">
        <f t="shared" ca="1" si="77"/>
        <v>#DIV/0!</v>
      </c>
      <c r="BL42" s="101" t="e">
        <f t="shared" si="125"/>
        <v>#N/A</v>
      </c>
      <c r="BM42" s="91" t="e">
        <f t="shared" si="29"/>
        <v>#N/A</v>
      </c>
      <c r="BN42" s="30" t="e">
        <f t="shared" si="104"/>
        <v>#N/A</v>
      </c>
      <c r="BO42" s="30" t="e">
        <f t="shared" si="105"/>
        <v>#N/A</v>
      </c>
      <c r="BP42" s="31" t="e">
        <f>IF(OR(Hypothèses!$B$4=17,Hypothèses!$B$4=18,Hypothèses!$B$4=19,Hypothèses!$B$4=20),
IF($D42="Pressio.",
IF(OR($E42=3,$E42=1,$E42=4),BO42,BN42),
IF($D42="Pénétro.",
IF(OR($E42=3,$E42=1,$E42=4),BO42,BN42))),IF($D42="Pressio.",
IF($E42=3,BO42,BN42),
IF($D42="Pénétro.",
IF($E42=4,BO42,BN42))))</f>
        <v>#N/A</v>
      </c>
      <c r="BQ42" s="31" t="e">
        <f>(IF(OR(Hypothèses!$B$4=17,Hypothèses!$B$4=18,Hypothèses!$B$4=19,Hypothèses!$B$4=20),
IF($D42="Pressio.",
IF(OR($E42=3,$E42=1,$E42=4),(PI()*BQ$12^2)/4*(BM42*$W42*1000)/($H42*$B$5),(PI()*BQ$12^2)/4*(BM42*$W42*1000)/($G42*$B$5)),
IF($D42="Pénétro.",
IF(OR($E42=4,$E42=1,$E42=5),(PI()*BQ$12^2)/4*(BM42*$W42*1000)/($H42*$B$5),(PI()*BQ$12^2)/4*(BM42*$W42*1000)/($G42*$B$5)))),
IF($D42="Pressio.",
IF($E42=3,(PI()*BQ$12^2)/4*(BM42*$W42*1000)/($H42*$B$5),(PI()*BQ$12^2)/4*(BM42*$W42*1000)/($G42*$B$5)),
IF($D42="Pénétro.",
IF($E42=4,(PI()*BQ$12^2)/4*(BM42*$W42*1000)/($H42*$B$5),(PI()*BQ$12^2)/4*(BM42*$W42*1000)/($G42*$B$5))))))/10</f>
        <v>#N/A</v>
      </c>
      <c r="BR42" s="102" t="e">
        <f>(VLOOKUP($B$3,'Coeff EC7'!$T$39:$X$59,2,0)*BP42+VLOOKUP($B$3,'Coeff EC7'!$T$65:$X$85,2,0)*Model0.1C!BQ42)/1.1</f>
        <v>#N/A</v>
      </c>
      <c r="BS42" s="102" t="e">
        <f>(VLOOKUP($B$3,'Coeff EC7'!$T$39:$X$59,3,0)*BP42+VLOOKUP($B$3,'Coeff EC7'!$T$65:$X$85,3,0)*Model0.1C!BQ42)/0.9</f>
        <v>#N/A</v>
      </c>
      <c r="BT42" s="102" t="e">
        <f t="shared" si="78"/>
        <v>#N/A</v>
      </c>
      <c r="BU42" s="102" t="e">
        <f t="shared" si="79"/>
        <v>#N/A</v>
      </c>
      <c r="BV42" s="414" t="e">
        <f>IF(BV41=0,0,IF(AND(BR42&gt;charge_ELS_quasi,BS42&gt;Charge_ELS_freq,BT42&gt;charge_ELU,BU42&gt;charge_ELA,$B42&gt;NDC!$H$22-0.1+MIN(3*$BV$12,1.5)),0,1))</f>
        <v>#N/A</v>
      </c>
      <c r="BW42" s="86" t="b">
        <f t="shared" si="32"/>
        <v>0</v>
      </c>
      <c r="BX42" s="86">
        <f t="shared" si="33"/>
        <v>0.5</v>
      </c>
      <c r="BY42" s="86">
        <f t="shared" si="34"/>
        <v>0.5</v>
      </c>
      <c r="BZ42" s="30" t="e">
        <f t="shared" ca="1" si="80"/>
        <v>#DIV/0!</v>
      </c>
      <c r="CA42" s="85" t="e">
        <f ca="1">IF(BG42&lt;=Hypothèses!$V$7,Hypothèses!$W$7,IF(BG42&lt;=Hypothèses!$V$8,Hypothèses!$W$8,IF(BG42&lt;=Hypothèses!$V$9,Hypothèses!$W$9,IF(BG42&lt;=Hypothèses!$V$10,Hypothèses!$W$10,IF(BG42&lt;=Hypothèses!$V$11,Hypothèses!$W$11,IF(BG42&lt;=Hypothèses!$V$12,Hypothèses!$W$12,IF(BG42&lt;=Hypothèses!$V$13,Hypothèses!$W$13,IF(BG42&lt;=Hypothèses!$V$14,Hypothèses!$W$14,IF(BG42&lt;=Hypothèses!$V$15,Hypothèses!$W$15,IF(BG42&lt;=Hypothèses!$V$16,Hypothèses!$W$16,IF(BG42&lt;=Hypothèses!$V$17,Hypothèses!$W$17,IF(BG42&lt;=Hypothèses!$V$18,Hypothèses!$W$18,""))))))))))))</f>
        <v>#DIV/0!</v>
      </c>
      <c r="CB42" s="87" t="e">
        <f t="shared" ca="1" si="119"/>
        <v>#DIV/0!</v>
      </c>
      <c r="CC42" s="88" t="e">
        <f ca="1">IF(BG42&lt;=Hypothèses!$V$7,Hypothèses!$X$7,IF(BG42&lt;=Hypothèses!$V$8,Hypothèses!$X$8,IF(BG42&lt;=Hypothèses!$V$9,Hypothèses!$X$9,IF(BG42&lt;=Hypothèses!$V$10,Hypothèses!$X$10,IF(BG42&lt;=Hypothèses!$V$11,Hypothèses!$X$11,IF(BG42&lt;=Hypothèses!$V$12,Hypothèses!$X$12,IF(BG42&lt;=Hypothèses!$V$13,Hypothèses!$X$13,IF(BG42&lt;=Hypothèses!$V$14,Hypothèses!$X$14,IF(BG42&lt;=Hypothèses!$V$15,Hypothèses!$X$15,IF(BG42&lt;=Hypothèses!$V$16,Hypothèses!$X$16,IF(BG42&lt;=Hypothèses!$U$17,Hypothèses!$W$17,IF(BG42&lt;=Hypothèses!$U$18,Hypothèses!$W$18,""))))))))))))</f>
        <v>#DIV/0!</v>
      </c>
      <c r="CD42" s="95" t="e">
        <f t="shared" ca="1" si="81"/>
        <v>#DIV/0!</v>
      </c>
      <c r="CE42" s="101" t="e">
        <f t="shared" si="126"/>
        <v>#N/A</v>
      </c>
      <c r="CF42" s="91" t="e">
        <f t="shared" si="36"/>
        <v>#N/A</v>
      </c>
      <c r="CG42" s="30" t="e">
        <f t="shared" si="106"/>
        <v>#N/A</v>
      </c>
      <c r="CH42" s="30" t="e">
        <f t="shared" si="107"/>
        <v>#N/A</v>
      </c>
      <c r="CI42" s="31" t="e">
        <f>IF(OR(Hypothèses!$B$4=17,Hypothèses!$B$4=18,Hypothèses!$B$4=19,Hypothèses!$B$4=20),
IF($D42="Pressio.",
IF(OR($E42=3,$E42=1,$E42=4),CH42,CG42),
IF($D42="Pénétro.",
IF(OR($E42=3,$E42=1,$E42=4),CH42,CG42))),IF($D42="Pressio.",
IF($E42=3,CH42,CG42),
IF($D42="Pénétro.",
IF($E42=4,CH42,CG42))))</f>
        <v>#N/A</v>
      </c>
      <c r="CJ42" s="31" t="e">
        <f>(IF(OR(Hypothèses!$B$4=17,Hypothèses!$B$4=18,Hypothèses!$B$4=19,Hypothèses!$B$4=20),
IF($D42="Pressio.",
IF(OR($E42=3,$E42=1,$E42=4),(PI()*CJ$12^2)/4*(CF42*$W42*1000)/($H42*$B$5),(PI()*CJ$12^2)/4*(CF42*$W42*1000)/($G42*$B$5)),
IF($D42="Pénétro.",
IF(OR($E42=4,$E42=1,$E42=5),(PI()*CJ$12^2)/4*(CF42*$W42*1000)/($H42*$B$5),(PI()*CJ$12^2)/4*(CF42*$W42*1000)/($G42*$B$5)))),
IF($D42="Pressio.",
IF($E42=3,(PI()*CJ$12^2)/4*(CF42*$W42*1000)/($H42*$B$5),(PI()*CJ$12^2)/4*(CF42*$W42*1000)/($G42*$B$5)),
IF($D42="Pénétro.",
IF($E42=4,(PI()*CJ$12^2)/4*(CF42*$W42*1000)/($H42*$B$5),(PI()*CJ$12^2)/4*(CF42*$W42*1000)/($G42*$B$5))))))/10</f>
        <v>#N/A</v>
      </c>
      <c r="CK42" s="102" t="e">
        <f>(VLOOKUP($B$3,'Coeff EC7'!$T$39:$X$59,2,0)*CI42+VLOOKUP($B$3,'Coeff EC7'!$T$65:$X$85,2,0)*Model0.1C!CJ42)/1.1</f>
        <v>#N/A</v>
      </c>
      <c r="CL42" s="102" t="e">
        <f>(VLOOKUP($B$3,'Coeff EC7'!$T$39:$X$59,3,0)*CI42+VLOOKUP($B$3,'Coeff EC7'!$T$65:$X$85,3,0)*Model0.1C!CJ42)/0.9</f>
        <v>#N/A</v>
      </c>
      <c r="CM42" s="102" t="e">
        <f t="shared" si="82"/>
        <v>#N/A</v>
      </c>
      <c r="CN42" s="102" t="e">
        <f t="shared" si="83"/>
        <v>#N/A</v>
      </c>
      <c r="CO42" s="414" t="e">
        <f>IF(CO41=0,0,IF(AND(CK42&gt;charge_ELS_quasi,CL42&gt;Charge_ELS_freq,CM42&gt;charge_ELU,CN42&gt;charge_ELA,$B42&gt;NDC!$H$22-0.1+MIN(3*$CO$12,1.5)),0,1))</f>
        <v>#N/A</v>
      </c>
      <c r="CP42" s="86" t="b">
        <f t="shared" si="39"/>
        <v>0</v>
      </c>
      <c r="CQ42" s="86">
        <f t="shared" si="40"/>
        <v>0.5</v>
      </c>
      <c r="CR42" s="86">
        <f t="shared" si="41"/>
        <v>0.5</v>
      </c>
      <c r="CS42" s="30" t="e">
        <f t="shared" ca="1" si="84"/>
        <v>#DIV/0!</v>
      </c>
      <c r="CT42" s="85" t="e">
        <f ca="1">IF(BZ42&lt;=Hypothèses!$V$7,Hypothèses!$W$7,IF(BZ42&lt;=Hypothèses!$V$8,Hypothèses!$W$8,IF(BZ42&lt;=Hypothèses!$V$9,Hypothèses!$W$9,IF(BZ42&lt;=Hypothèses!$V$10,Hypothèses!$W$10,IF(BZ42&lt;=Hypothèses!$V$11,Hypothèses!$W$11,IF(BZ42&lt;=Hypothèses!$V$12,Hypothèses!$W$12,IF(BZ42&lt;=Hypothèses!$V$13,Hypothèses!$W$13,IF(BZ42&lt;=Hypothèses!$V$14,Hypothèses!$W$14,IF(BZ42&lt;=Hypothèses!$V$15,Hypothèses!$W$15,IF(BZ42&lt;=Hypothèses!$V$16,Hypothèses!$W$16,IF(BZ42&lt;=Hypothèses!$V$17,Hypothèses!$W$17,IF(BZ42&lt;=Hypothèses!$V$18,Hypothèses!$W$18,""))))))))))))</f>
        <v>#DIV/0!</v>
      </c>
      <c r="CU42" s="87" t="e">
        <f t="shared" ca="1" si="120"/>
        <v>#DIV/0!</v>
      </c>
      <c r="CV42" s="88" t="e">
        <f ca="1">IF(BZ42&lt;=Hypothèses!$V$7,Hypothèses!$X$7,IF(BZ42&lt;=Hypothèses!$V$8,Hypothèses!$X$8,IF(BZ42&lt;=Hypothèses!$V$9,Hypothèses!$X$9,IF(BZ42&lt;=Hypothèses!$V$10,Hypothèses!$X$10,IF(BZ42&lt;=Hypothèses!$V$11,Hypothèses!$X$11,IF(BZ42&lt;=Hypothèses!$V$12,Hypothèses!$X$12,IF(BZ42&lt;=Hypothèses!$V$13,Hypothèses!$X$13,IF(BZ42&lt;=Hypothèses!$V$14,Hypothèses!$X$14,IF(BZ42&lt;=Hypothèses!$V$15,Hypothèses!$X$15,IF(BZ42&lt;=Hypothèses!$V$16,Hypothèses!$X$16,IF(BZ42&lt;=Hypothèses!$U$17,Hypothèses!$W$17,IF(BZ42&lt;=Hypothèses!$U$18,Hypothèses!$W$18,""))))))))))))</f>
        <v>#DIV/0!</v>
      </c>
      <c r="CW42" s="95" t="e">
        <f t="shared" ca="1" si="85"/>
        <v>#DIV/0!</v>
      </c>
      <c r="CX42" s="101" t="e">
        <f t="shared" si="127"/>
        <v>#N/A</v>
      </c>
      <c r="CY42" s="91" t="e">
        <f t="shared" si="43"/>
        <v>#N/A</v>
      </c>
      <c r="CZ42" s="30" t="e">
        <f t="shared" si="108"/>
        <v>#N/A</v>
      </c>
      <c r="DA42" s="30" t="e">
        <f t="shared" si="109"/>
        <v>#N/A</v>
      </c>
      <c r="DB42" s="31" t="e">
        <f>IF(OR(Hypothèses!$B$4=17,Hypothèses!$B$4=18,Hypothèses!$B$4=19,Hypothèses!$B$4=20),
IF($D42="Pressio.",
IF(OR($E42=3,$E42=1,$E42=4),DA42,CZ42),
IF($D42="Pénétro.",
IF(OR($E42=3,$E42=1,$E42=4),DA42,CZ42))),IF($D42="Pressio.",
IF($E42=3,DA42,CZ42),
IF($D42="Pénétro.",
IF($E42=4,DA42,CZ42))))</f>
        <v>#N/A</v>
      </c>
      <c r="DC42" s="31" t="e">
        <f>(IF(OR(Hypothèses!$B$4=17,Hypothèses!$B$4=18,Hypothèses!$B$4=19,Hypothèses!$B$4=20),
IF($D42="Pressio.",
IF(OR($E42=3,$E42=1,$E42=4),(PI()*DC$12^2)/4*(CY42*$W42*1000)/($H42*$B$5),(PI()*DC$12^2)/4*(CY42*$W42*1000)/($G42*$B$5)),
IF($D42="Pénétro.",
IF(OR($E42=4,$E42=1,$E42=5),(PI()*DC$12^2)/4*(CY42*$W42*1000)/($H42*$B$5),(PI()*DC$12^2)/4*(CY42*$W42*1000)/($G42*$B$5)))),
IF($D42="Pressio.",
IF($E42=3,(PI()*DC$12^2)/4*(CY42*$W42*1000)/($H42*$B$5),(PI()*DC$12^2)/4*(CY42*$W42*1000)/($G42*$B$5)),
IF($D42="Pénétro.",
IF($E42=4,(PI()*DC$12^2)/4*(CY42*$W42*1000)/($H42*$B$5),(PI()*DC$12^2)/4*(CY42*$W42*1000)/($G42*$B$5))))))/10</f>
        <v>#N/A</v>
      </c>
      <c r="DD42" s="102" t="e">
        <f>(VLOOKUP($B$3,'Coeff EC7'!$T$39:$X$59,2,0)*DB42+VLOOKUP($B$3,'Coeff EC7'!$T$65:$X$85,2,0)*Model0.1C!DC42)/1.1</f>
        <v>#N/A</v>
      </c>
      <c r="DE42" s="102" t="e">
        <f>(VLOOKUP($B$3,'Coeff EC7'!$T$39:$X$59,3,0)*DB42+VLOOKUP($B$3,'Coeff EC7'!$T$65:$X$85,3,0)*Model0.1C!DC42)/0.9</f>
        <v>#N/A</v>
      </c>
      <c r="DF42" s="102" t="e">
        <f t="shared" si="86"/>
        <v>#N/A</v>
      </c>
      <c r="DG42" s="102" t="e">
        <f t="shared" si="87"/>
        <v>#N/A</v>
      </c>
      <c r="DH42" s="414" t="e">
        <f>IF(DH41=0,0,IF(AND(DD42&gt;charge_ELS_quasi,DE42&gt;Charge_ELS_freq,DF42&gt;charge_ELU,DG42&gt;charge_ELA,$B42&gt;NDC!$H$22-0.1+MIN(3*$DH$12,1.5)),0,1))</f>
        <v>#N/A</v>
      </c>
      <c r="DI42" s="86" t="b">
        <f t="shared" si="46"/>
        <v>0</v>
      </c>
      <c r="DJ42" s="86">
        <f t="shared" si="47"/>
        <v>0.5</v>
      </c>
      <c r="DK42" s="86">
        <f t="shared" si="48"/>
        <v>0.5</v>
      </c>
      <c r="DL42" s="30" t="e">
        <f t="shared" ca="1" si="88"/>
        <v>#DIV/0!</v>
      </c>
      <c r="DM42" s="85" t="e">
        <f ca="1">IF(CS42&lt;=Hypothèses!$V$7,Hypothèses!$W$7,IF(CS42&lt;=Hypothèses!$V$8,Hypothèses!$W$8,IF(CS42&lt;=Hypothèses!$V$9,Hypothèses!$W$9,IF(CS42&lt;=Hypothèses!$V$10,Hypothèses!$W$10,IF(CS42&lt;=Hypothèses!$V$11,Hypothèses!$W$11,IF(CS42&lt;=Hypothèses!$V$12,Hypothèses!$W$12,IF(CS42&lt;=Hypothèses!$V$13,Hypothèses!$W$13,IF(CS42&lt;=Hypothèses!$V$14,Hypothèses!$W$14,IF(CS42&lt;=Hypothèses!$V$15,Hypothèses!$W$15,IF(CS42&lt;=Hypothèses!$V$16,Hypothèses!$W$16,IF(CS42&lt;=Hypothèses!$V$17,Hypothèses!$W$17,IF(CS42&lt;=Hypothèses!$V$18,Hypothèses!$W$18,""))))))))))))</f>
        <v>#DIV/0!</v>
      </c>
      <c r="DN42" s="87" t="e">
        <f t="shared" ca="1" si="121"/>
        <v>#DIV/0!</v>
      </c>
      <c r="DO42" s="88" t="e">
        <f ca="1">IF(CS42&lt;=Hypothèses!$V$7,Hypothèses!$X$7,IF(CS42&lt;=Hypothèses!$V$8,Hypothèses!$X$8,IF(CS42&lt;=Hypothèses!$V$9,Hypothèses!$X$9,IF(CS42&lt;=Hypothèses!$V$10,Hypothèses!$X$10,IF(CS42&lt;=Hypothèses!$V$11,Hypothèses!$X$11,IF(CS42&lt;=Hypothèses!$V$12,Hypothèses!$X$12,IF(CS42&lt;=Hypothèses!$V$13,Hypothèses!$X$13,IF(CS42&lt;=Hypothèses!$V$14,Hypothèses!$X$14,IF(CS42&lt;=Hypothèses!$V$15,Hypothèses!$X$15,IF(CS42&lt;=Hypothèses!$V$16,Hypothèses!$X$16,IF(CS42&lt;=Hypothèses!$U$17,Hypothèses!$W$17,IF(CS42&lt;=Hypothèses!$U$18,Hypothèses!$W$18,""))))))))))))</f>
        <v>#DIV/0!</v>
      </c>
      <c r="DP42" s="95" t="e">
        <f t="shared" ca="1" si="89"/>
        <v>#DIV/0!</v>
      </c>
      <c r="DQ42" s="101" t="e">
        <f t="shared" si="128"/>
        <v>#N/A</v>
      </c>
      <c r="DR42" s="91" t="e">
        <f t="shared" si="50"/>
        <v>#N/A</v>
      </c>
      <c r="DS42" s="30" t="e">
        <f t="shared" si="110"/>
        <v>#N/A</v>
      </c>
      <c r="DT42" s="30" t="e">
        <f t="shared" si="111"/>
        <v>#N/A</v>
      </c>
      <c r="DU42" s="31" t="e">
        <f>IF(OR(Hypothèses!$B$4=17,Hypothèses!$B$4=18,Hypothèses!$B$4=19,Hypothèses!$B$4=20),
IF($D42="Pressio.",
IF(OR($E42=3,$E42=1,$E42=4),DT42,DS42),
IF($D42="Pénétro.",
IF(OR($E42=3,$E42=1,$E42=4),DT42,DS42))),IF($D42="Pressio.",
IF($E42=3,DT42,DS42),
IF($D42="Pénétro.",
IF($E42=4,DT42,DS42))))</f>
        <v>#N/A</v>
      </c>
      <c r="DV42" s="31" t="e">
        <f>(IF(OR(Hypothèses!$B$4=17,Hypothèses!$B$4=18,Hypothèses!$B$4=19,Hypothèses!$B$4=20),
IF($D42="Pressio.",
IF(OR($E42=3,$E42=1,$E42=4),(PI()*DV$12^2)/4*(DR42*$W42*1000)/($H42*$B$5),(PI()*DV$12^2)/4*(DR42*$W42*1000)/($G42*$B$5)),
IF($D42="Pénétro.",
IF(OR($E42=4,$E42=1,$E42=5),(PI()*DV$12^2)/4*(DR42*$W42*1000)/($H42*$B$5),(PI()*DV$12^2)/4*(DR42*$W42*1000)/($G42*$B$5)))),
IF($D42="Pressio.",
IF($E42=3,(PI()*DV$12^2)/4*(DR42*$W42*1000)/($H42*$B$5),(PI()*DV$12^2)/4*(DR42*$W42*1000)/($G42*$B$5)),
IF($D42="Pénétro.",
IF($E42=4,(PI()*DV$12^2)/4*(DR42*$W42*1000)/($H42*$B$5),(PI()*DV$12^2)/4*(DR42*$W42*1000)/($G42*$B$5))))))/10</f>
        <v>#N/A</v>
      </c>
      <c r="DW42" s="102" t="e">
        <f>(VLOOKUP($B$3,'Coeff EC7'!$T$39:$X$59,2,0)*DU42+VLOOKUP($B$3,'Coeff EC7'!$T$65:$X$85,2,0)*Model0.1C!DV42)/1.1</f>
        <v>#N/A</v>
      </c>
      <c r="DX42" s="102" t="e">
        <f>(VLOOKUP($B$3,'Coeff EC7'!$T$39:$X$59,3,0)*DU42+VLOOKUP($B$3,'Coeff EC7'!$T$65:$X$85,3,0)*Model0.1C!DV42)/0.9</f>
        <v>#N/A</v>
      </c>
      <c r="DY42" s="102" t="e">
        <f t="shared" si="90"/>
        <v>#N/A</v>
      </c>
      <c r="DZ42" s="102" t="e">
        <f t="shared" si="91"/>
        <v>#N/A</v>
      </c>
      <c r="EA42" s="414" t="e">
        <f>IF(EA41=0,0,IF(AND(DW42&gt;charge_ELS_quasi,DX42&gt;Charge_ELS_freq,DY42&gt;charge_ELU,DZ42&gt;charge_ELA,$B42&gt;NDC!$H$22-0.1+MIN(3*$EA$12,1.5)),0,1))</f>
        <v>#N/A</v>
      </c>
      <c r="EB42" s="86" t="b">
        <f t="shared" si="53"/>
        <v>0</v>
      </c>
      <c r="EC42" s="418">
        <f t="shared" si="54"/>
        <v>0.51</v>
      </c>
      <c r="ED42" s="86">
        <f t="shared" si="55"/>
        <v>0.51</v>
      </c>
      <c r="EE42" s="30" t="e">
        <f t="shared" ca="1" si="92"/>
        <v>#DIV/0!</v>
      </c>
      <c r="EF42" s="85" t="e">
        <f ca="1">IF(DL42&lt;=Hypothèses!$V$7,Hypothèses!$W$7,IF(DL42&lt;=Hypothèses!$V$8,Hypothèses!$W$8,IF(DL42&lt;=Hypothèses!$V$9,Hypothèses!$W$9,IF(DL42&lt;=Hypothèses!$V$10,Hypothèses!$W$10,IF(DL42&lt;=Hypothèses!$V$11,Hypothèses!$W$11,IF(DL42&lt;=Hypothèses!$V$12,Hypothèses!$W$12,IF(DL42&lt;=Hypothèses!$V$13,Hypothèses!$W$13,IF(DL42&lt;=Hypothèses!$V$14,Hypothèses!$W$14,IF(DL42&lt;=Hypothèses!$V$15,Hypothèses!$W$15,IF(DL42&lt;=Hypothèses!$V$16,Hypothèses!$W$16,IF(DL42&lt;=Hypothèses!$V$17,Hypothèses!$W$17,IF(DL42&lt;=Hypothèses!$V$18,Hypothèses!$W$18,""))))))))))))</f>
        <v>#DIV/0!</v>
      </c>
      <c r="EG42" s="87" t="e">
        <f t="shared" ca="1" si="122"/>
        <v>#DIV/0!</v>
      </c>
      <c r="EH42" s="88" t="e">
        <f ca="1">IF(DL42&lt;=Hypothèses!$V$7,Hypothèses!$X$7,IF(DL42&lt;=Hypothèses!$V$8,Hypothèses!$X$8,IF(DL42&lt;=Hypothèses!$V$9,Hypothèses!$X$9,IF(DL42&lt;=Hypothèses!$V$10,Hypothèses!$X$10,IF(DL42&lt;=Hypothèses!$V$11,Hypothèses!$X$11,IF(DL42&lt;=Hypothèses!$V$12,Hypothèses!$X$12,IF(DL42&lt;=Hypothèses!$V$13,Hypothèses!$X$13,IF(DL42&lt;=Hypothèses!$V$14,Hypothèses!$X$14,IF(DL42&lt;=Hypothèses!$V$15,Hypothèses!$X$15,IF(DL42&lt;=Hypothèses!$V$16,Hypothèses!$X$16,IF(DL42&lt;=Hypothèses!$U$17,Hypothèses!$W$17,IF(DL42&lt;=Hypothèses!$U$18,Hypothèses!$W$18,""))))))))))))</f>
        <v>#DIV/0!</v>
      </c>
      <c r="EI42" s="95" t="e">
        <f t="shared" ca="1" si="93"/>
        <v>#DIV/0!</v>
      </c>
      <c r="EJ42" s="101" t="e">
        <f t="shared" si="129"/>
        <v>#N/A</v>
      </c>
      <c r="EK42" s="91" t="e">
        <f t="shared" si="57"/>
        <v>#N/A</v>
      </c>
      <c r="EL42" s="30" t="e">
        <f t="shared" si="112"/>
        <v>#N/A</v>
      </c>
      <c r="EM42" s="30" t="e">
        <f t="shared" si="113"/>
        <v>#N/A</v>
      </c>
      <c r="EN42" s="31" t="e">
        <f>IF(OR(Hypothèses!$B$4=17,Hypothèses!$B$4=18,Hypothèses!$B$4=19,Hypothèses!$B$4=20),
IF($D42="Pressio.",
IF(OR($E42=3,$E42=1,$E42=4),EM42,EL42),
IF($D42="Pénétro.",
IF(OR($E42=3,$E42=1,$E42=4),EM42,EL42))),IF($D42="Pressio.",
IF($E42=3,EM42,EL42),
IF($D42="Pénétro.",
IF($E42=4,EM42,EL42))))</f>
        <v>#N/A</v>
      </c>
      <c r="EO42" s="31" t="e">
        <f>(IF(OR(Hypothèses!$B$4=17,Hypothèses!$B$4=18,Hypothèses!$B$4=19,Hypothèses!$B$4=20),
IF($D42="Pressio.",
IF(OR($E42=3,$E42=1,$E42=4),(PI()*EO$12^2)/4*(EK42*$W42*1000)/($H42*$B$5),(PI()*EO$12^2)/4*(EK42*$W42*1000)/($G42*$B$5)),
IF($D42="Pénétro.",
IF(OR($E42=4,$E42=1,$E42=5),(PI()*EO$12^2)/4*(EK42*$W42*1000)/($H42*$B$5),(PI()*EO$12^2)/4*(EK42*$W42*1000)/($G42*$B$5)))),
IF($D42="Pressio.",
IF($E42=3,(PI()*EO$12^2)/4*(EK42*$W42*1000)/($H42*$B$5),(PI()*EO$12^2)/4*(EK42*$W42*1000)/($G42*$B$5)),
IF($D42="Pénétro.",
IF($E42=4,(PI()*EO$12^2)/4*(EK42*$W42*1000)/($H42*$B$5),(PI()*EO$12^2)/4*(EK42*$W42*1000)/($G42*$B$5))))))/10</f>
        <v>#N/A</v>
      </c>
      <c r="EP42" s="102" t="e">
        <f>(VLOOKUP($B$3,'Coeff EC7'!$T$39:$X$59,2,0)*EN42+VLOOKUP($B$3,'Coeff EC7'!$T$65:$X$85,2,0)*Model0.1C!EO42)/1.1</f>
        <v>#N/A</v>
      </c>
      <c r="EQ42" s="102" t="e">
        <f>(VLOOKUP($B$3,'Coeff EC7'!$T$39:$X$59,3,0)*EN42+VLOOKUP($B$3,'Coeff EC7'!$T$65:$X$85,3,0)*Model0.1C!EO42)/0.9</f>
        <v>#N/A</v>
      </c>
      <c r="ER42" s="102" t="e">
        <f t="shared" si="94"/>
        <v>#N/A</v>
      </c>
      <c r="ES42" s="102" t="e">
        <f t="shared" si="95"/>
        <v>#N/A</v>
      </c>
      <c r="ET42" s="414" t="e">
        <f>IF(ET41=0,0,IF(AND(EP42&gt;charge_ELS_quasi,EQ42&gt;Charge_ELS_freq,ER42&gt;charge_ELU,ES42&gt;charge_ELA,$B42&gt;NDC!$H$22-0.1+MIN(3*$ET$12,1.5)),0,1))</f>
        <v>#N/A</v>
      </c>
      <c r="EU42" s="86" t="b">
        <f t="shared" si="60"/>
        <v>0</v>
      </c>
      <c r="EV42" s="86">
        <f t="shared" si="61"/>
        <v>0.61</v>
      </c>
      <c r="EW42" s="86">
        <f t="shared" si="62"/>
        <v>0.61</v>
      </c>
      <c r="EX42" s="30" t="e">
        <f t="shared" ca="1" si="96"/>
        <v>#DIV/0!</v>
      </c>
      <c r="EY42" s="85" t="e">
        <f ca="1">IF(EE42&lt;=Hypothèses!$V$7,Hypothèses!$W$7,IF(EE42&lt;=Hypothèses!$V$8,Hypothèses!$W$8,IF(EE42&lt;=Hypothèses!$V$9,Hypothèses!$W$9,IF(EE42&lt;=Hypothèses!$V$10,Hypothèses!$W$10,IF(EE42&lt;=Hypothèses!$V$11,Hypothèses!$W$11,IF(EE42&lt;=Hypothèses!$V$12,Hypothèses!$W$12,IF(EE42&lt;=Hypothèses!$V$13,Hypothèses!$W$13,IF(EE42&lt;=Hypothèses!$V$14,Hypothèses!$W$14,IF(EE42&lt;=Hypothèses!$V$15,Hypothèses!$W$15,IF(EE42&lt;=Hypothèses!$V$16,Hypothèses!$W$16,IF(EE42&lt;=Hypothèses!$V$17,Hypothèses!$W$17,IF(EE42&lt;=Hypothèses!$V$18,Hypothèses!$W$18,""))))))))))))</f>
        <v>#DIV/0!</v>
      </c>
      <c r="EZ42" s="87" t="e">
        <f t="shared" ca="1" si="123"/>
        <v>#DIV/0!</v>
      </c>
      <c r="FA42" s="88" t="e">
        <f ca="1">IF(EE42&lt;=Hypothèses!$V$7,Hypothèses!$X$7,IF(EE42&lt;=Hypothèses!$V$8,Hypothèses!$X$8,IF(EE42&lt;=Hypothèses!$V$9,Hypothèses!$X$9,IF(EE42&lt;=Hypothèses!$V$10,Hypothèses!$X$10,IF(EE42&lt;=Hypothèses!$V$11,Hypothèses!$X$11,IF(EE42&lt;=Hypothèses!$V$12,Hypothèses!$X$12,IF(EE42&lt;=Hypothèses!$V$13,Hypothèses!$X$13,IF(EE42&lt;=Hypothèses!$V$14,Hypothèses!$X$14,IF(EE42&lt;=Hypothèses!$V$15,Hypothèses!$X$15,IF(EE42&lt;=Hypothèses!$V$16,Hypothèses!$X$16,IF(EE42&lt;=Hypothèses!$U$17,Hypothèses!$W$17,IF(EE42&lt;=Hypothèses!$U$18,Hypothèses!$W$18,""))))))))))))</f>
        <v>#DIV/0!</v>
      </c>
      <c r="FB42" s="95" t="e">
        <f t="shared" ca="1" si="97"/>
        <v>#DIV/0!</v>
      </c>
      <c r="FC42" s="101" t="e">
        <f t="shared" si="130"/>
        <v>#N/A</v>
      </c>
      <c r="FD42" s="91" t="e">
        <f t="shared" si="64"/>
        <v>#N/A</v>
      </c>
      <c r="FE42" s="30" t="e">
        <f t="shared" si="114"/>
        <v>#N/A</v>
      </c>
      <c r="FF42" s="30" t="e">
        <f t="shared" si="115"/>
        <v>#N/A</v>
      </c>
      <c r="FG42" s="31" t="e">
        <f>IF(OR(Hypothèses!$B$4=17,Hypothèses!$B$4=18,Hypothèses!$B$4=19,Hypothèses!$B$4=20),
IF($D42="Pressio.",
IF(OR($E42=3,$E42=1,$E42=4),FF42,FE42),
IF($D42="Pénétro.",
IF(OR($E42=3,$E42=1,$E42=4),FF42,FE42))),IF($D42="Pressio.",
IF($E42=3,FF42,FE42),
IF($D42="Pénétro.",
IF($E42=4,FF42,FE42))))</f>
        <v>#N/A</v>
      </c>
      <c r="FH42" s="31" t="e">
        <f>(IF(OR(Hypothèses!$B$4=17,Hypothèses!$B$4=18,Hypothèses!$B$4=19,Hypothèses!$B$4=20),
IF($D42="Pressio.",
IF(OR($E42=3,$E42=1,$E42=4),(PI()*FH$12^2)/4*(FD42*$W42*1000)/($H42*$B$5),(PI()*FH$12^2)/4*(FD42*$W42*1000)/($G42*$B$5)),
IF($D42="Pénétro.",
IF(OR($E42=4,$E42=1,$E42=5),(PI()*FH$12^2)/4*(FD42*$W42*1000)/($H42*$B$5),(PI()*FH$12^2)/4*(FD42*$W42*1000)/($G42*$B$5)))),
IF($D42="Pressio.",
IF($E42=3,(PI()*FH$12^2)/4*(FD42*$W42*1000)/($H42*$B$5),(PI()*FH$12^2)/4*(FD42*$W42*1000)/($G42*$B$5)),
IF($D42="Pénétro.",
IF($E42=4,(PI()*FH$12^2)/4*(FD42*$W42*1000)/($H42*$B$5),(PI()*FH$12^2)/4*(FD42*$W42*1000)/($G42*$B$5))))))/10</f>
        <v>#N/A</v>
      </c>
      <c r="FI42" s="102" t="e">
        <f>(VLOOKUP($B$3,'Coeff EC7'!$T$39:$X$59,2,0)*FG42+VLOOKUP($B$3,'Coeff EC7'!$T$65:$X$85,2,0)*Model0.1C!FH42)/1.1</f>
        <v>#N/A</v>
      </c>
      <c r="FJ42" s="102" t="e">
        <f>(VLOOKUP($B$3,'Coeff EC7'!$T$39:$X$59,3,0)*FG42+VLOOKUP($B$3,'Coeff EC7'!$T$65:$X$85,3,0)*Model0.1C!FH42)/0.9</f>
        <v>#N/A</v>
      </c>
      <c r="FK42" s="102" t="e">
        <f t="shared" si="98"/>
        <v>#N/A</v>
      </c>
      <c r="FL42" s="102" t="e">
        <f t="shared" si="99"/>
        <v>#N/A</v>
      </c>
      <c r="FM42" s="414" t="e">
        <f>IF(FM41=0,0,IF(AND(FI42&gt;charge_ELS_quasi,FJ42&gt;Charge_ELS_freq,FK42&gt;charge_ELU,FL42&gt;charge_ELA,$B42&gt;NDC!$H$22-0.1+MIN(3*$FM$12,1.5)),0,1))</f>
        <v>#N/A</v>
      </c>
    </row>
    <row r="43" spans="1:169">
      <c r="A43" s="96">
        <f t="shared" si="67"/>
        <v>97.000000000000171</v>
      </c>
      <c r="B43" s="97">
        <v>3</v>
      </c>
      <c r="C43" s="81">
        <f>IF(B43&lt;=Hypothèses!$C$7,Hypothèses!$A$7,IF(B43&lt;=Hypothèses!$C$8,Hypothèses!$A$8,IF(B43&lt;=Hypothèses!$C$9,Hypothèses!$A$9,IF(B43&lt;=Hypothèses!$C$10,Hypothèses!$A$10,IF(B43&lt;=Hypothèses!$C$11,Hypothèses!$A$11,IF(B43&lt;=Hypothèses!$C$12,Hypothèses!$A$12,IF(B43&lt;=Hypothèses!$C$13,Hypothèses!$A$13,IF(B43&lt;=Hypothèses!$C$14,Hypothèses!$A$14,IF(B43&lt;=Hypothèses!$C$15,Hypothèses!$A$15,IF(B43&lt;=Hypothèses!$C$16,Hypothèses!$A$16,IF(B43&lt;=Hypothèses!$C$17,Hypothèses!$A$17,IF(B43&lt;=Hypothèses!$C$18,Hypothèses!$A$18,C42))))))))))))</f>
        <v>11</v>
      </c>
      <c r="D43" s="82" t="str">
        <f>IF(B43&lt;=Hypothèses!$C$7,Hypothèses!$R$7,IF(B43&lt;=Hypothèses!$C$8,Hypothèses!$R$8,IF(B43&lt;=Hypothèses!$C$9,Hypothèses!$R$9,IF(B43&lt;=Hypothèses!$C$10,Hypothèses!$R$10,IF(B43&lt;=Hypothèses!$C$11,Hypothèses!$R$11,IF(B43&lt;=Hypothèses!$C$12,Hypothèses!$R$12,IF(B43&lt;=Hypothèses!$C$13,Hypothèses!$R$13,IF(B43&lt;=Hypothèses!$C$14,Hypothèses!$R$14,IF(B43&lt;=Hypothèses!$C$15,Hypothèses!$R$15,IF(B43&lt;=Hypothèses!$C$16,Hypothèses!$R$16,IF(B43&lt;=Hypothèses!$C$17,Hypothèses!$R$17,IF(B43&lt;=Hypothèses!$C$18,Hypothèses!$R$18,D42))))))))))))</f>
        <v>Pressio.</v>
      </c>
      <c r="E43" s="82" t="e">
        <f>IF(B43&lt;=Hypothèses!$C$7,Hypothèses!$G$7,IF(B43&lt;=Hypothèses!$C$8,Hypothèses!$G$8,IF(B43&lt;=Hypothèses!$C$9,Hypothèses!$G$9,IF(B43&lt;=Hypothèses!$C$10,Hypothèses!$G$10,IF(B43&lt;=Hypothèses!$C$11,Hypothèses!$G$11,IF(B43&lt;=Hypothèses!$C$12,Hypothèses!$G$12,IF(B43&lt;=Hypothèses!$C$13,Hypothèses!$G$13,IF(B43&lt;=Hypothèses!$C$14,Hypothèses!$G$14,IF(B43&lt;=Hypothèses!$C$15,Hypothèses!$G$15,IF(B43&lt;=Hypothèses!$C$16,Hypothèses!$G$16,IF(B43&lt;=Hypothèses!$C$17,Hypothèses!$G$17,IF(B43&lt;=Hypothèses!$C$18,Hypothèses!$G$18,E42))))))))))))</f>
        <v>#N/A</v>
      </c>
      <c r="F43" s="82" t="str">
        <f>IF(B43&lt;=Hypothèses!$C$7,Hypothèses!$F$7,IF(B43&lt;=Hypothèses!$C$8,Hypothèses!$F$8,IF(B43&lt;=Hypothèses!$C$9,Hypothèses!$F$9,IF(B43&lt;=Hypothèses!$C$10,Hypothèses!$F$10,IF(B43&lt;=Hypothèses!$C$11,Hypothèses!$F$11,IF(B43&lt;=Hypothèses!$C$12,Hypothèses!$F$12,IF(B43&lt;=Hypothèses!$C$13,Hypothèses!$F$13,IF(B43&lt;=Hypothèses!$C$14,Hypothèses!$F$14,IF(B43&lt;=Hypothèses!$C$15,Hypothèses!$F$15,IF(B43&lt;=Hypothèses!$C$16,Hypothèses!$F$16,IF(B43&lt;=Hypothèses!$C$17,Hypothèses!$F$17,IF(B43&lt;=Hypothèses!$C$18,Hypothèses!$F$18,F42))))))))))))</f>
        <v/>
      </c>
      <c r="G43" s="91">
        <f t="array" ref="G43">INDEX('Coeff EC7'!$U$7:$X$27,
MATCH(Model0.1C!$B$3,'Coeff EC7'!$T$7:$T$27,0),
MATCH(Model0.1C!$D43&amp;Model0.1C!$B$4,
'Coeff EC7'!$U$6:$X$6&amp;
'Coeff EC7'!$U$5:$X$5,0))</f>
        <v>1.1499999999999999</v>
      </c>
      <c r="H43" s="91">
        <f t="array" ref="H43">INDEX('Coeff EC7'!$Y$7:$AB$27,
MATCH(Model0.1C!$B$3,'Coeff EC7'!$T$7:$T$27,0),
MATCH(Model0.1C!$D43&amp;Model0.1C!$B$4,
'Coeff EC7'!$Y$6:$AB$6&amp;
'Coeff EC7'!$Y$5:$AB$5,0))</f>
        <v>1.4</v>
      </c>
      <c r="I43" s="83" t="e">
        <f>IF(B43&lt;=Hypothèses!$C$7,Hypothèses!$P$7,IF(B43&lt;=Hypothèses!$C$8,Hypothèses!$P$8,IF(B43&lt;=Hypothèses!$C$9,Hypothèses!$P$9,IF(B43&lt;=Hypothèses!$C$10,Hypothèses!$P$10,IF(B43&lt;=Hypothèses!$C$11,Hypothèses!$P$11,IF(B43&lt;=Hypothèses!$C$12,Hypothèses!$P$12,IF(B43&lt;=Hypothèses!$C$13,Hypothèses!$P$13,IF(B43&lt;=Hypothèses!$C$14,Hypothèses!$P$14,IF(B43&lt;=Hypothèses!$C$15,Hypothèses!$P$15,IF(B43&lt;=Hypothèses!$C$16,Hypothèses!$P$16,IF(B43&lt;=Hypothèses!$C$17,Hypothèses!$P$17,IF(B43&lt;=Hypothèses!$C$18,Hypothèses!$P$18,I42))))))))))))</f>
        <v>#N/A</v>
      </c>
      <c r="J43" s="91" t="e">
        <f t="array" ref="J43">INDEX('Coeff EC7'!$D$33:$Q$33,1,MATCH(D43&amp;E43,'Coeff EC7'!$D$31:$Q$31&amp;'Coeff EC7'!$D$32:$Q$32,0))</f>
        <v>#N/A</v>
      </c>
      <c r="K43" s="91" t="e">
        <f t="array" ref="K43">INDEX('Coeff EC7'!$D$34:$Q$34,1,MATCH(D43&amp;E43,'Coeff EC7'!$D$31:$Q$31&amp;'Coeff EC7'!$D$32:$Q$32,0))</f>
        <v>#N/A</v>
      </c>
      <c r="L43" s="91" t="e">
        <f t="array" ref="L43">INDEX('Coeff EC7'!$D$35:$Q$35,1,MATCH(D43&amp;E43,'Coeff EC7'!$D$31:$Q$31&amp;'Coeff EC7'!$D$32:$Q$32,0))</f>
        <v>#N/A</v>
      </c>
      <c r="M43" s="98" t="e">
        <f t="shared" si="8"/>
        <v>#N/A</v>
      </c>
      <c r="N43" s="99" t="e">
        <f t="array" ref="N43">INDEX('Coeff EC7'!$D$7:$Q$27,MATCH($B$3,'Coeff EC7'!$C$7:$C$27,0),MATCH(D43&amp;E43,'Coeff EC7'!$D$5:$Q$5&amp;'Coeff EC7'!$D$6:$Q$6,0))</f>
        <v>#N/A</v>
      </c>
      <c r="O43" s="99" t="e">
        <f t="array" ref="O43">INDEX('Coeff EC7'!$D$41:$Q$61,MATCH($B$3,'Coeff EC7'!$C$41:$C$61,0),MATCH(D43&amp;E43,'Coeff EC7'!$D$39:$Q$39&amp;'Coeff EC7'!$D$40:$Q$40,0))</f>
        <v>#N/A</v>
      </c>
      <c r="P43" s="30" t="e">
        <f t="shared" si="68"/>
        <v>#N/A</v>
      </c>
      <c r="Q43" s="100" t="e">
        <f t="shared" si="10"/>
        <v>#N/A</v>
      </c>
      <c r="R43" s="86" t="b">
        <f t="shared" si="11"/>
        <v>0</v>
      </c>
      <c r="S43" s="86">
        <f t="shared" si="9"/>
        <v>0.5</v>
      </c>
      <c r="T43" s="86">
        <f t="shared" si="12"/>
        <v>0.5</v>
      </c>
      <c r="U43" s="30" t="e">
        <f t="shared" ca="1" si="69"/>
        <v>#DIV/0!</v>
      </c>
      <c r="V43" s="85" t="str">
        <f>IF(B43&lt;=Hypothèses!$V$7,Hypothèses!$W$7,IF(B43&lt;=Hypothèses!$V$8,Hypothèses!$W$8,IF(B43&lt;=Hypothèses!$V$9,Hypothèses!$W$9,IF(B43&lt;=Hypothèses!$V$10,Hypothèses!$W$10,IF(B43&lt;=Hypothèses!$V$11,Hypothèses!$W$11,IF(B43&lt;=Hypothèses!$V$12,Hypothèses!$W$12,IF(B43&lt;=Hypothèses!$V$13,Hypothèses!$W$13,IF(B43&lt;=Hypothèses!$V$14,Hypothèses!$W$14,IF(B43&lt;=Hypothèses!$V$15,Hypothèses!$W$15,IF(B43&lt;=Hypothèses!$V$16,Hypothèses!$W$16,IF(B43&lt;=Hypothèses!$V$17,Hypothèses!$W$17,IF(B43&lt;=Hypothèses!$V$18,Hypothèses!$W$18,""))))))))))))</f>
        <v/>
      </c>
      <c r="W43" s="87" t="e">
        <f t="shared" ca="1" si="116"/>
        <v>#DIV/0!</v>
      </c>
      <c r="X43" s="88" t="str">
        <f>IF(B43&lt;=Hypothèses!$V$7,Hypothèses!$X$7,IF(B43&lt;=Hypothèses!$V$8,Hypothèses!$X$8,IF(B43&lt;=Hypothèses!$V$9,Hypothèses!$X$9,IF(B43&lt;=Hypothèses!$V$10,Hypothèses!$X$10,IF(B43&lt;=Hypothèses!$V$11,Hypothèses!$X$11,IF(B43&lt;=Hypothèses!$V$12,Hypothèses!$X$12,IF(B43&lt;=Hypothèses!$V$13,Hypothèses!$X$13,IF(B43&lt;=Hypothèses!$V$14,Hypothèses!$X$14,IF(B43&lt;=Hypothèses!$V$15,Hypothèses!$X$15,IF(B43&lt;=Hypothèses!$V$16,Hypothèses!$X$16,IF(B43&lt;=Hypothèses!$U$17,Hypothèses!$W$17,IF(B43&lt;=Hypothèses!$U$18,Hypothèses!$W$18,""))))))))))))</f>
        <v/>
      </c>
      <c r="Y43" s="95" t="e">
        <f t="shared" ca="1" si="13"/>
        <v>#DIV/0!</v>
      </c>
      <c r="Z43" s="101" t="e">
        <f t="shared" si="14"/>
        <v>#N/A</v>
      </c>
      <c r="AA43" s="91" t="e">
        <f t="shared" si="15"/>
        <v>#N/A</v>
      </c>
      <c r="AB43" s="30" t="e">
        <f t="shared" si="100"/>
        <v>#N/A</v>
      </c>
      <c r="AC43" s="30" t="e">
        <f t="shared" si="101"/>
        <v>#N/A</v>
      </c>
      <c r="AD43" s="31" t="e">
        <f>IF(OR(Hypothèses!$B$4=17,Hypothèses!$B$4=18,Hypothèses!$B$4=19,Hypothèses!$B$4=20),
IF($D43="Pressio.",
IF(OR($E43=3,$E43=1,$E43=4),AC43,AB43),
IF($D43="Pénétro.",
IF(OR($E43=3,$E43=1,$E43=4),AC43,AB43))),IF($D43="Pressio.",
IF($E43=3,AC43,AB43),
IF($D43="Pénétro.",
IF($E43=4,AC43,AB43))))</f>
        <v>#N/A</v>
      </c>
      <c r="AE43" s="31" t="e">
        <f>(IF(OR(Hypothèses!$B$4=17,Hypothèses!$B$4=18,Hypothèses!$B$4=19,Hypothèses!$B$4=20),
IF($D43="Pressio.",
IF(OR($E43=3,$E43=1,$E43=4),(PI()*AE$12^2)/4*(AA43*$W43*1000)/($H43*$B$5),(PI()*AE$12^2)/4*(AA43*$W43*1000)/($G43*$B$5)),
IF($D43="Pénétro.",
IF(OR($E43=4,$E43=1,$E43=5),(PI()*AE$12^2)/4*(AA43*$W43*1000)/($H43*$B$5),(PI()*AE$12^2)/4*(AA43*$W43*1000)/($G43*$B$5)))),
IF($D43="Pressio.",
IF($E43=3,(PI()*AE$12^2)/4*(AA43*$W43*1000)/($H43*$B$5),(PI()*AE$12^2)/4*(AA43*$W43*1000)/($G43*$B$5)),
IF($D43="Pénétro.",
IF($E43=4,(PI()*AE$12^2)/4*(AA43*$W43*1000)/($H43*$B$5),(PI()*AE$12^2)/4*(AA43*$W43*1000)/($G43*$B$5))))))/10</f>
        <v>#N/A</v>
      </c>
      <c r="AF43" s="102" t="e">
        <f>(VLOOKUP($B$3,'Coeff EC7'!$T$39:$X$59,2,0)*AD43+VLOOKUP($B$3,'Coeff EC7'!$T$65:$X$85,2,0)*Model0.1C!AE43)/1.1</f>
        <v>#N/A</v>
      </c>
      <c r="AG43" s="102" t="e">
        <f>(VLOOKUP($B$3,'Coeff EC7'!$T$39:$X$59,3,0)*AD43+VLOOKUP($B$3,'Coeff EC7'!$T$65:$X$85,3,0)*Model0.1C!AE43)/0.9</f>
        <v>#N/A</v>
      </c>
      <c r="AH43" s="102" t="e">
        <f t="shared" si="18"/>
        <v>#N/A</v>
      </c>
      <c r="AI43" s="102" t="e">
        <f t="shared" si="19"/>
        <v>#N/A</v>
      </c>
      <c r="AJ43" s="414" t="e">
        <f>IF(AJ42=0,0,IF(AND(AF43&gt;charge_ELS_quasi,AG43&gt;Charge_ELS_freq,AH43&gt;charge_ELU,AI43&gt;charge_ELA,$B43&gt;NDC!$H$22-0.1+MIN(3*$AJ$12,1.5)),0,1))</f>
        <v>#N/A</v>
      </c>
      <c r="AK43" s="86" t="b">
        <f t="shared" si="20"/>
        <v>0</v>
      </c>
      <c r="AL43" s="86">
        <f t="shared" si="70"/>
        <v>0.5</v>
      </c>
      <c r="AM43" s="86">
        <f t="shared" si="21"/>
        <v>0.5</v>
      </c>
      <c r="AN43" s="30" t="e">
        <f t="shared" ca="1" si="71"/>
        <v>#DIV/0!</v>
      </c>
      <c r="AO43" s="85" t="e">
        <f ca="1">IF(U43&lt;=Hypothèses!$V$7,Hypothèses!$W$7,IF(U43&lt;=Hypothèses!$V$8,Hypothèses!$W$8,IF(U43&lt;=Hypothèses!$V$9,Hypothèses!$W$9,IF(U43&lt;=Hypothèses!$V$10,Hypothèses!$W$10,IF(U43&lt;=Hypothèses!$V$11,Hypothèses!$W$11,IF(U43&lt;=Hypothèses!$V$12,Hypothèses!$W$12,IF(U43&lt;=Hypothèses!$V$13,Hypothèses!$W$13,IF(U43&lt;=Hypothèses!$V$14,Hypothèses!$W$14,IF(U43&lt;=Hypothèses!$V$15,Hypothèses!$W$15,IF(U43&lt;=Hypothèses!$V$16,Hypothèses!$W$16,IF(U43&lt;=Hypothèses!$V$17,Hypothèses!$W$17,IF(U43&lt;=Hypothèses!$V$18,Hypothèses!$W$18,""))))))))))))</f>
        <v>#DIV/0!</v>
      </c>
      <c r="AP43" s="87" t="e">
        <f t="shared" ca="1" si="117"/>
        <v>#DIV/0!</v>
      </c>
      <c r="AQ43" s="88" t="e">
        <f ca="1">IF(U43&lt;=Hypothèses!$V$7,Hypothèses!$X$7,IF(U43&lt;=Hypothèses!$V$8,Hypothèses!$X$8,IF(U43&lt;=Hypothèses!$V$9,Hypothèses!$X$9,IF(U43&lt;=Hypothèses!$V$10,Hypothèses!$X$10,IF(U43&lt;=Hypothèses!$V$11,Hypothèses!$X$11,IF(U43&lt;=Hypothèses!$V$12,Hypothèses!$X$12,IF(U43&lt;=Hypothèses!$V$13,Hypothèses!$X$13,IF(U43&lt;=Hypothèses!$V$14,Hypothèses!$X$14,IF(U43&lt;=Hypothèses!$V$15,Hypothèses!$X$15,IF(U43&lt;=Hypothèses!$V$16,Hypothèses!$X$16,IF(U43&lt;=Hypothèses!$U$17,Hypothèses!$W$17,IF(U43&lt;=Hypothèses!$U$18,Hypothèses!$W$18,""))))))))))))</f>
        <v>#DIV/0!</v>
      </c>
      <c r="AR43" s="95" t="e">
        <f t="shared" ca="1" si="72"/>
        <v>#DIV/0!</v>
      </c>
      <c r="AS43" s="101" t="e">
        <f t="shared" si="124"/>
        <v>#N/A</v>
      </c>
      <c r="AT43" s="91" t="e">
        <f t="shared" si="23"/>
        <v>#N/A</v>
      </c>
      <c r="AU43" s="30" t="e">
        <f t="shared" si="102"/>
        <v>#N/A</v>
      </c>
      <c r="AV43" s="30" t="e">
        <f t="shared" si="103"/>
        <v>#N/A</v>
      </c>
      <c r="AW43" s="31" t="e">
        <f>IF(OR(Hypothèses!$B$4=17,Hypothèses!$B$4=18,Hypothèses!$B$4=19,Hypothèses!$B$4=20),
IF($D43="Pressio.",
IF(OR($E43=3,$E43=1,$E43=4),AV43,AU43),
IF($D43="Pénétro.",
IF(OR($E43=3,$E43=1,$E43=4),AV43,AU43))),IF($D43="Pressio.",
IF($E43=3,AV43,AU43),
IF($D43="Pénétro.",
IF($E43=4,AV43,AU43))))</f>
        <v>#N/A</v>
      </c>
      <c r="AX43" s="31" t="e">
        <f>(IF(OR(Hypothèses!$B$4=17,Hypothèses!$B$4=18,Hypothèses!$B$4=19,Hypothèses!$B$4=20),
IF($D43="Pressio.",
IF(OR($E43=3,$E43=1,$E43=4),(PI()*AX$12^2)/4*(AT43*$W43*1000)/($H43*$B$5),(PI()*AX$12^2)/4*(AT43*$W43*1000)/($G43*$B$5)),
IF($D43="Pénétro.",
IF(OR($E43=4,$E43=1,$E43=5),(PI()*AX$12^2)/4*(AT43*$W43*1000)/($H43*$B$5),(PI()*AX$12^2)/4*(AT43*$W43*1000)/($G43*$B$5)))),
IF($D43="Pressio.",
IF($E43=3,(PI()*AX$12^2)/4*(AT43*$W43*1000)/($H43*$B$5),(PI()*AX$12^2)/4*(AT43*$W43*1000)/($G43*$B$5)),
IF($D43="Pénétro.",
IF($E43=4,(PI()*AX$12^2)/4*(AT43*$W43*1000)/($H43*$B$5),(PI()*AX$12^2)/4*(AT43*$W43*1000)/($G43*$B$5))))))/10</f>
        <v>#N/A</v>
      </c>
      <c r="AY43" s="102" t="e">
        <f>(VLOOKUP($B$3,'Coeff EC7'!$T$39:$X$59,2,0)*AW43+VLOOKUP($B$3,'Coeff EC7'!$T$65:$X$85,2,0)*Model0.1C!AX43)/1.1</f>
        <v>#N/A</v>
      </c>
      <c r="AZ43" s="102" t="e">
        <f>(VLOOKUP($B$3,'Coeff EC7'!$T$39:$X$59,3,0)*AW43+VLOOKUP($B$3,'Coeff EC7'!$T$65:$X$85,3,0)*Model0.1C!AX43)/0.9</f>
        <v>#N/A</v>
      </c>
      <c r="BA43" s="102" t="e">
        <f t="shared" si="73"/>
        <v>#N/A</v>
      </c>
      <c r="BB43" s="102" t="e">
        <f t="shared" si="74"/>
        <v>#N/A</v>
      </c>
      <c r="BC43" s="414" t="e">
        <f>IF(BC42=0,0,IF(AND(AY43&gt;charge_ELS_quasi,AZ43&gt;Charge_ELS_freq,BA43&gt;charge_ELU,BB43&gt;charge_ELA,$B43&gt;NDC!$H$22-0.1+MIN(3*$BC$12,1.5)),0,1))</f>
        <v>#N/A</v>
      </c>
      <c r="BD43" s="86" t="b">
        <f t="shared" si="26"/>
        <v>0</v>
      </c>
      <c r="BE43" s="86">
        <f t="shared" si="75"/>
        <v>0.5</v>
      </c>
      <c r="BF43" s="86">
        <f t="shared" si="27"/>
        <v>0.5</v>
      </c>
      <c r="BG43" s="30" t="e">
        <f t="shared" ca="1" si="76"/>
        <v>#DIV/0!</v>
      </c>
      <c r="BH43" s="85" t="e">
        <f ca="1">IF(AN43&lt;=Hypothèses!$V$7,Hypothèses!$W$7,IF(AN43&lt;=Hypothèses!$V$8,Hypothèses!$W$8,IF(AN43&lt;=Hypothèses!$V$9,Hypothèses!$W$9,IF(AN43&lt;=Hypothèses!$V$10,Hypothèses!$W$10,IF(AN43&lt;=Hypothèses!$V$11,Hypothèses!$W$11,IF(AN43&lt;=Hypothèses!$V$12,Hypothèses!$W$12,IF(AN43&lt;=Hypothèses!$V$13,Hypothèses!$W$13,IF(AN43&lt;=Hypothèses!$V$14,Hypothèses!$W$14,IF(AN43&lt;=Hypothèses!$V$15,Hypothèses!$W$15,IF(AN43&lt;=Hypothèses!$V$16,Hypothèses!$W$16,IF(AN43&lt;=Hypothèses!$V$17,Hypothèses!$W$17,IF(AN43&lt;=Hypothèses!$V$18,Hypothèses!$W$18,""))))))))))))</f>
        <v>#DIV/0!</v>
      </c>
      <c r="BI43" s="87" t="e">
        <f t="shared" ca="1" si="118"/>
        <v>#DIV/0!</v>
      </c>
      <c r="BJ43" s="88" t="e">
        <f ca="1">IF(AN43&lt;=Hypothèses!$V$7,Hypothèses!$X$7,IF(AN43&lt;=Hypothèses!$V$8,Hypothèses!$X$8,IF(AN43&lt;=Hypothèses!$V$9,Hypothèses!$X$9,IF(AN43&lt;=Hypothèses!$V$10,Hypothèses!$X$10,IF(AN43&lt;=Hypothèses!$V$11,Hypothèses!$X$11,IF(AN43&lt;=Hypothèses!$V$12,Hypothèses!$X$12,IF(AN43&lt;=Hypothèses!$V$13,Hypothèses!$X$13,IF(AN43&lt;=Hypothèses!$V$14,Hypothèses!$X$14,IF(AN43&lt;=Hypothèses!$V$15,Hypothèses!$X$15,IF(AN43&lt;=Hypothèses!$V$16,Hypothèses!$X$16,IF(AN43&lt;=Hypothèses!$U$17,Hypothèses!$W$17,IF(AN43&lt;=Hypothèses!$U$18,Hypothèses!$W$18,""))))))))))))</f>
        <v>#DIV/0!</v>
      </c>
      <c r="BK43" s="95" t="e">
        <f t="shared" ca="1" si="77"/>
        <v>#DIV/0!</v>
      </c>
      <c r="BL43" s="101" t="e">
        <f t="shared" si="125"/>
        <v>#N/A</v>
      </c>
      <c r="BM43" s="91" t="e">
        <f t="shared" si="29"/>
        <v>#N/A</v>
      </c>
      <c r="BN43" s="30" t="e">
        <f t="shared" si="104"/>
        <v>#N/A</v>
      </c>
      <c r="BO43" s="30" t="e">
        <f t="shared" si="105"/>
        <v>#N/A</v>
      </c>
      <c r="BP43" s="31" t="e">
        <f>IF(OR(Hypothèses!$B$4=17,Hypothèses!$B$4=18,Hypothèses!$B$4=19,Hypothèses!$B$4=20),
IF($D43="Pressio.",
IF(OR($E43=3,$E43=1,$E43=4),BO43,BN43),
IF($D43="Pénétro.",
IF(OR($E43=3,$E43=1,$E43=4),BO43,BN43))),IF($D43="Pressio.",
IF($E43=3,BO43,BN43),
IF($D43="Pénétro.",
IF($E43=4,BO43,BN43))))</f>
        <v>#N/A</v>
      </c>
      <c r="BQ43" s="31" t="e">
        <f>(IF(OR(Hypothèses!$B$4=17,Hypothèses!$B$4=18,Hypothèses!$B$4=19,Hypothèses!$B$4=20),
IF($D43="Pressio.",
IF(OR($E43=3,$E43=1,$E43=4),(PI()*BQ$12^2)/4*(BM43*$W43*1000)/($H43*$B$5),(PI()*BQ$12^2)/4*(BM43*$W43*1000)/($G43*$B$5)),
IF($D43="Pénétro.",
IF(OR($E43=4,$E43=1,$E43=5),(PI()*BQ$12^2)/4*(BM43*$W43*1000)/($H43*$B$5),(PI()*BQ$12^2)/4*(BM43*$W43*1000)/($G43*$B$5)))),
IF($D43="Pressio.",
IF($E43=3,(PI()*BQ$12^2)/4*(BM43*$W43*1000)/($H43*$B$5),(PI()*BQ$12^2)/4*(BM43*$W43*1000)/($G43*$B$5)),
IF($D43="Pénétro.",
IF($E43=4,(PI()*BQ$12^2)/4*(BM43*$W43*1000)/($H43*$B$5),(PI()*BQ$12^2)/4*(BM43*$W43*1000)/($G43*$B$5))))))/10</f>
        <v>#N/A</v>
      </c>
      <c r="BR43" s="102" t="e">
        <f>(VLOOKUP($B$3,'Coeff EC7'!$T$39:$X$59,2,0)*BP43+VLOOKUP($B$3,'Coeff EC7'!$T$65:$X$85,2,0)*Model0.1C!BQ43)/1.1</f>
        <v>#N/A</v>
      </c>
      <c r="BS43" s="102" t="e">
        <f>(VLOOKUP($B$3,'Coeff EC7'!$T$39:$X$59,3,0)*BP43+VLOOKUP($B$3,'Coeff EC7'!$T$65:$X$85,3,0)*Model0.1C!BQ43)/0.9</f>
        <v>#N/A</v>
      </c>
      <c r="BT43" s="102" t="e">
        <f t="shared" si="78"/>
        <v>#N/A</v>
      </c>
      <c r="BU43" s="102" t="e">
        <f t="shared" si="79"/>
        <v>#N/A</v>
      </c>
      <c r="BV43" s="414" t="e">
        <f>IF(BV42=0,0,IF(AND(BR43&gt;charge_ELS_quasi,BS43&gt;Charge_ELS_freq,BT43&gt;charge_ELU,BU43&gt;charge_ELA,$B43&gt;NDC!$H$22-0.1+MIN(3*$BV$12,1.5)),0,1))</f>
        <v>#N/A</v>
      </c>
      <c r="BW43" s="86" t="b">
        <f t="shared" si="32"/>
        <v>0</v>
      </c>
      <c r="BX43" s="86">
        <f t="shared" si="33"/>
        <v>0.5</v>
      </c>
      <c r="BY43" s="86">
        <f t="shared" si="34"/>
        <v>0.5</v>
      </c>
      <c r="BZ43" s="30" t="e">
        <f t="shared" ca="1" si="80"/>
        <v>#DIV/0!</v>
      </c>
      <c r="CA43" s="85" t="e">
        <f ca="1">IF(BG43&lt;=Hypothèses!$V$7,Hypothèses!$W$7,IF(BG43&lt;=Hypothèses!$V$8,Hypothèses!$W$8,IF(BG43&lt;=Hypothèses!$V$9,Hypothèses!$W$9,IF(BG43&lt;=Hypothèses!$V$10,Hypothèses!$W$10,IF(BG43&lt;=Hypothèses!$V$11,Hypothèses!$W$11,IF(BG43&lt;=Hypothèses!$V$12,Hypothèses!$W$12,IF(BG43&lt;=Hypothèses!$V$13,Hypothèses!$W$13,IF(BG43&lt;=Hypothèses!$V$14,Hypothèses!$W$14,IF(BG43&lt;=Hypothèses!$V$15,Hypothèses!$W$15,IF(BG43&lt;=Hypothèses!$V$16,Hypothèses!$W$16,IF(BG43&lt;=Hypothèses!$V$17,Hypothèses!$W$17,IF(BG43&lt;=Hypothèses!$V$18,Hypothèses!$W$18,""))))))))))))</f>
        <v>#DIV/0!</v>
      </c>
      <c r="CB43" s="87" t="e">
        <f t="shared" ca="1" si="119"/>
        <v>#DIV/0!</v>
      </c>
      <c r="CC43" s="88" t="e">
        <f ca="1">IF(BG43&lt;=Hypothèses!$V$7,Hypothèses!$X$7,IF(BG43&lt;=Hypothèses!$V$8,Hypothèses!$X$8,IF(BG43&lt;=Hypothèses!$V$9,Hypothèses!$X$9,IF(BG43&lt;=Hypothèses!$V$10,Hypothèses!$X$10,IF(BG43&lt;=Hypothèses!$V$11,Hypothèses!$X$11,IF(BG43&lt;=Hypothèses!$V$12,Hypothèses!$X$12,IF(BG43&lt;=Hypothèses!$V$13,Hypothèses!$X$13,IF(BG43&lt;=Hypothèses!$V$14,Hypothèses!$X$14,IF(BG43&lt;=Hypothèses!$V$15,Hypothèses!$X$15,IF(BG43&lt;=Hypothèses!$V$16,Hypothèses!$X$16,IF(BG43&lt;=Hypothèses!$U$17,Hypothèses!$W$17,IF(BG43&lt;=Hypothèses!$U$18,Hypothèses!$W$18,""))))))))))))</f>
        <v>#DIV/0!</v>
      </c>
      <c r="CD43" s="95" t="e">
        <f t="shared" ca="1" si="81"/>
        <v>#DIV/0!</v>
      </c>
      <c r="CE43" s="101" t="e">
        <f t="shared" si="126"/>
        <v>#N/A</v>
      </c>
      <c r="CF43" s="91" t="e">
        <f t="shared" si="36"/>
        <v>#N/A</v>
      </c>
      <c r="CG43" s="30" t="e">
        <f t="shared" si="106"/>
        <v>#N/A</v>
      </c>
      <c r="CH43" s="30" t="e">
        <f t="shared" si="107"/>
        <v>#N/A</v>
      </c>
      <c r="CI43" s="31" t="e">
        <f>IF(OR(Hypothèses!$B$4=17,Hypothèses!$B$4=18,Hypothèses!$B$4=19,Hypothèses!$B$4=20),
IF($D43="Pressio.",
IF(OR($E43=3,$E43=1,$E43=4),CH43,CG43),
IF($D43="Pénétro.",
IF(OR($E43=3,$E43=1,$E43=4),CH43,CG43))),IF($D43="Pressio.",
IF($E43=3,CH43,CG43),
IF($D43="Pénétro.",
IF($E43=4,CH43,CG43))))</f>
        <v>#N/A</v>
      </c>
      <c r="CJ43" s="31" t="e">
        <f>(IF(OR(Hypothèses!$B$4=17,Hypothèses!$B$4=18,Hypothèses!$B$4=19,Hypothèses!$B$4=20),
IF($D43="Pressio.",
IF(OR($E43=3,$E43=1,$E43=4),(PI()*CJ$12^2)/4*(CF43*$W43*1000)/($H43*$B$5),(PI()*CJ$12^2)/4*(CF43*$W43*1000)/($G43*$B$5)),
IF($D43="Pénétro.",
IF(OR($E43=4,$E43=1,$E43=5),(PI()*CJ$12^2)/4*(CF43*$W43*1000)/($H43*$B$5),(PI()*CJ$12^2)/4*(CF43*$W43*1000)/($G43*$B$5)))),
IF($D43="Pressio.",
IF($E43=3,(PI()*CJ$12^2)/4*(CF43*$W43*1000)/($H43*$B$5),(PI()*CJ$12^2)/4*(CF43*$W43*1000)/($G43*$B$5)),
IF($D43="Pénétro.",
IF($E43=4,(PI()*CJ$12^2)/4*(CF43*$W43*1000)/($H43*$B$5),(PI()*CJ$12^2)/4*(CF43*$W43*1000)/($G43*$B$5))))))/10</f>
        <v>#N/A</v>
      </c>
      <c r="CK43" s="102" t="e">
        <f>(VLOOKUP($B$3,'Coeff EC7'!$T$39:$X$59,2,0)*CI43+VLOOKUP($B$3,'Coeff EC7'!$T$65:$X$85,2,0)*Model0.1C!CJ43)/1.1</f>
        <v>#N/A</v>
      </c>
      <c r="CL43" s="102" t="e">
        <f>(VLOOKUP($B$3,'Coeff EC7'!$T$39:$X$59,3,0)*CI43+VLOOKUP($B$3,'Coeff EC7'!$T$65:$X$85,3,0)*Model0.1C!CJ43)/0.9</f>
        <v>#N/A</v>
      </c>
      <c r="CM43" s="102" t="e">
        <f t="shared" si="82"/>
        <v>#N/A</v>
      </c>
      <c r="CN43" s="102" t="e">
        <f t="shared" si="83"/>
        <v>#N/A</v>
      </c>
      <c r="CO43" s="414" t="e">
        <f>IF(CO42=0,0,IF(AND(CK43&gt;charge_ELS_quasi,CL43&gt;Charge_ELS_freq,CM43&gt;charge_ELU,CN43&gt;charge_ELA,$B43&gt;NDC!$H$22-0.1+MIN(3*$CO$12,1.5)),0,1))</f>
        <v>#N/A</v>
      </c>
      <c r="CP43" s="86" t="b">
        <f t="shared" si="39"/>
        <v>0</v>
      </c>
      <c r="CQ43" s="86">
        <f t="shared" si="40"/>
        <v>0.5</v>
      </c>
      <c r="CR43" s="86">
        <f t="shared" si="41"/>
        <v>0.5</v>
      </c>
      <c r="CS43" s="30" t="e">
        <f t="shared" ca="1" si="84"/>
        <v>#DIV/0!</v>
      </c>
      <c r="CT43" s="85" t="e">
        <f ca="1">IF(BZ43&lt;=Hypothèses!$V$7,Hypothèses!$W$7,IF(BZ43&lt;=Hypothèses!$V$8,Hypothèses!$W$8,IF(BZ43&lt;=Hypothèses!$V$9,Hypothèses!$W$9,IF(BZ43&lt;=Hypothèses!$V$10,Hypothèses!$W$10,IF(BZ43&lt;=Hypothèses!$V$11,Hypothèses!$W$11,IF(BZ43&lt;=Hypothèses!$V$12,Hypothèses!$W$12,IF(BZ43&lt;=Hypothèses!$V$13,Hypothèses!$W$13,IF(BZ43&lt;=Hypothèses!$V$14,Hypothèses!$W$14,IF(BZ43&lt;=Hypothèses!$V$15,Hypothèses!$W$15,IF(BZ43&lt;=Hypothèses!$V$16,Hypothèses!$W$16,IF(BZ43&lt;=Hypothèses!$V$17,Hypothèses!$W$17,IF(BZ43&lt;=Hypothèses!$V$18,Hypothèses!$W$18,""))))))))))))</f>
        <v>#DIV/0!</v>
      </c>
      <c r="CU43" s="87" t="e">
        <f t="shared" ca="1" si="120"/>
        <v>#DIV/0!</v>
      </c>
      <c r="CV43" s="88" t="e">
        <f ca="1">IF(BZ43&lt;=Hypothèses!$V$7,Hypothèses!$X$7,IF(BZ43&lt;=Hypothèses!$V$8,Hypothèses!$X$8,IF(BZ43&lt;=Hypothèses!$V$9,Hypothèses!$X$9,IF(BZ43&lt;=Hypothèses!$V$10,Hypothèses!$X$10,IF(BZ43&lt;=Hypothèses!$V$11,Hypothèses!$X$11,IF(BZ43&lt;=Hypothèses!$V$12,Hypothèses!$X$12,IF(BZ43&lt;=Hypothèses!$V$13,Hypothèses!$X$13,IF(BZ43&lt;=Hypothèses!$V$14,Hypothèses!$X$14,IF(BZ43&lt;=Hypothèses!$V$15,Hypothèses!$X$15,IF(BZ43&lt;=Hypothèses!$V$16,Hypothèses!$X$16,IF(BZ43&lt;=Hypothèses!$U$17,Hypothèses!$W$17,IF(BZ43&lt;=Hypothèses!$U$18,Hypothèses!$W$18,""))))))))))))</f>
        <v>#DIV/0!</v>
      </c>
      <c r="CW43" s="95" t="e">
        <f t="shared" ca="1" si="85"/>
        <v>#DIV/0!</v>
      </c>
      <c r="CX43" s="101" t="e">
        <f t="shared" si="127"/>
        <v>#N/A</v>
      </c>
      <c r="CY43" s="91" t="e">
        <f t="shared" si="43"/>
        <v>#N/A</v>
      </c>
      <c r="CZ43" s="30" t="e">
        <f t="shared" si="108"/>
        <v>#N/A</v>
      </c>
      <c r="DA43" s="30" t="e">
        <f t="shared" si="109"/>
        <v>#N/A</v>
      </c>
      <c r="DB43" s="31" t="e">
        <f>IF(OR(Hypothèses!$B$4=17,Hypothèses!$B$4=18,Hypothèses!$B$4=19,Hypothèses!$B$4=20),
IF($D43="Pressio.",
IF(OR($E43=3,$E43=1,$E43=4),DA43,CZ43),
IF($D43="Pénétro.",
IF(OR($E43=3,$E43=1,$E43=4),DA43,CZ43))),IF($D43="Pressio.",
IF($E43=3,DA43,CZ43),
IF($D43="Pénétro.",
IF($E43=4,DA43,CZ43))))</f>
        <v>#N/A</v>
      </c>
      <c r="DC43" s="31" t="e">
        <f>(IF(OR(Hypothèses!$B$4=17,Hypothèses!$B$4=18,Hypothèses!$B$4=19,Hypothèses!$B$4=20),
IF($D43="Pressio.",
IF(OR($E43=3,$E43=1,$E43=4),(PI()*DC$12^2)/4*(CY43*$W43*1000)/($H43*$B$5),(PI()*DC$12^2)/4*(CY43*$W43*1000)/($G43*$B$5)),
IF($D43="Pénétro.",
IF(OR($E43=4,$E43=1,$E43=5),(PI()*DC$12^2)/4*(CY43*$W43*1000)/($H43*$B$5),(PI()*DC$12^2)/4*(CY43*$W43*1000)/($G43*$B$5)))),
IF($D43="Pressio.",
IF($E43=3,(PI()*DC$12^2)/4*(CY43*$W43*1000)/($H43*$B$5),(PI()*DC$12^2)/4*(CY43*$W43*1000)/($G43*$B$5)),
IF($D43="Pénétro.",
IF($E43=4,(PI()*DC$12^2)/4*(CY43*$W43*1000)/($H43*$B$5),(PI()*DC$12^2)/4*(CY43*$W43*1000)/($G43*$B$5))))))/10</f>
        <v>#N/A</v>
      </c>
      <c r="DD43" s="102" t="e">
        <f>(VLOOKUP($B$3,'Coeff EC7'!$T$39:$X$59,2,0)*DB43+VLOOKUP($B$3,'Coeff EC7'!$T$65:$X$85,2,0)*Model0.1C!DC43)/1.1</f>
        <v>#N/A</v>
      </c>
      <c r="DE43" s="102" t="e">
        <f>(VLOOKUP($B$3,'Coeff EC7'!$T$39:$X$59,3,0)*DB43+VLOOKUP($B$3,'Coeff EC7'!$T$65:$X$85,3,0)*Model0.1C!DC43)/0.9</f>
        <v>#N/A</v>
      </c>
      <c r="DF43" s="102" t="e">
        <f t="shared" si="86"/>
        <v>#N/A</v>
      </c>
      <c r="DG43" s="102" t="e">
        <f t="shared" si="87"/>
        <v>#N/A</v>
      </c>
      <c r="DH43" s="414" t="e">
        <f>IF(DH42=0,0,IF(AND(DD43&gt;charge_ELS_quasi,DE43&gt;Charge_ELS_freq,DF43&gt;charge_ELU,DG43&gt;charge_ELA,$B43&gt;NDC!$H$22-0.1+MIN(3*$DH$12,1.5)),0,1))</f>
        <v>#N/A</v>
      </c>
      <c r="DI43" s="86" t="b">
        <f t="shared" si="46"/>
        <v>0</v>
      </c>
      <c r="DJ43" s="86">
        <f t="shared" si="47"/>
        <v>0.5</v>
      </c>
      <c r="DK43" s="86">
        <f t="shared" si="48"/>
        <v>0.5</v>
      </c>
      <c r="DL43" s="30" t="e">
        <f t="shared" ca="1" si="88"/>
        <v>#DIV/0!</v>
      </c>
      <c r="DM43" s="85" t="e">
        <f ca="1">IF(CS43&lt;=Hypothèses!$V$7,Hypothèses!$W$7,IF(CS43&lt;=Hypothèses!$V$8,Hypothèses!$W$8,IF(CS43&lt;=Hypothèses!$V$9,Hypothèses!$W$9,IF(CS43&lt;=Hypothèses!$V$10,Hypothèses!$W$10,IF(CS43&lt;=Hypothèses!$V$11,Hypothèses!$W$11,IF(CS43&lt;=Hypothèses!$V$12,Hypothèses!$W$12,IF(CS43&lt;=Hypothèses!$V$13,Hypothèses!$W$13,IF(CS43&lt;=Hypothèses!$V$14,Hypothèses!$W$14,IF(CS43&lt;=Hypothèses!$V$15,Hypothèses!$W$15,IF(CS43&lt;=Hypothèses!$V$16,Hypothèses!$W$16,IF(CS43&lt;=Hypothèses!$V$17,Hypothèses!$W$17,IF(CS43&lt;=Hypothèses!$V$18,Hypothèses!$W$18,""))))))))))))</f>
        <v>#DIV/0!</v>
      </c>
      <c r="DN43" s="87" t="e">
        <f t="shared" ca="1" si="121"/>
        <v>#DIV/0!</v>
      </c>
      <c r="DO43" s="88" t="e">
        <f ca="1">IF(CS43&lt;=Hypothèses!$V$7,Hypothèses!$X$7,IF(CS43&lt;=Hypothèses!$V$8,Hypothèses!$X$8,IF(CS43&lt;=Hypothèses!$V$9,Hypothèses!$X$9,IF(CS43&lt;=Hypothèses!$V$10,Hypothèses!$X$10,IF(CS43&lt;=Hypothèses!$V$11,Hypothèses!$X$11,IF(CS43&lt;=Hypothèses!$V$12,Hypothèses!$X$12,IF(CS43&lt;=Hypothèses!$V$13,Hypothèses!$X$13,IF(CS43&lt;=Hypothèses!$V$14,Hypothèses!$X$14,IF(CS43&lt;=Hypothèses!$V$15,Hypothèses!$X$15,IF(CS43&lt;=Hypothèses!$V$16,Hypothèses!$X$16,IF(CS43&lt;=Hypothèses!$U$17,Hypothèses!$W$17,IF(CS43&lt;=Hypothèses!$U$18,Hypothèses!$W$18,""))))))))))))</f>
        <v>#DIV/0!</v>
      </c>
      <c r="DP43" s="95" t="e">
        <f t="shared" ca="1" si="89"/>
        <v>#DIV/0!</v>
      </c>
      <c r="DQ43" s="101" t="e">
        <f t="shared" si="128"/>
        <v>#N/A</v>
      </c>
      <c r="DR43" s="91" t="e">
        <f t="shared" si="50"/>
        <v>#N/A</v>
      </c>
      <c r="DS43" s="30" t="e">
        <f t="shared" si="110"/>
        <v>#N/A</v>
      </c>
      <c r="DT43" s="30" t="e">
        <f t="shared" si="111"/>
        <v>#N/A</v>
      </c>
      <c r="DU43" s="31" t="e">
        <f>IF(OR(Hypothèses!$B$4=17,Hypothèses!$B$4=18,Hypothèses!$B$4=19,Hypothèses!$B$4=20),
IF($D43="Pressio.",
IF(OR($E43=3,$E43=1,$E43=4),DT43,DS43),
IF($D43="Pénétro.",
IF(OR($E43=3,$E43=1,$E43=4),DT43,DS43))),IF($D43="Pressio.",
IF($E43=3,DT43,DS43),
IF($D43="Pénétro.",
IF($E43=4,DT43,DS43))))</f>
        <v>#N/A</v>
      </c>
      <c r="DV43" s="31" t="e">
        <f>(IF(OR(Hypothèses!$B$4=17,Hypothèses!$B$4=18,Hypothèses!$B$4=19,Hypothèses!$B$4=20),
IF($D43="Pressio.",
IF(OR($E43=3,$E43=1,$E43=4),(PI()*DV$12^2)/4*(DR43*$W43*1000)/($H43*$B$5),(PI()*DV$12^2)/4*(DR43*$W43*1000)/($G43*$B$5)),
IF($D43="Pénétro.",
IF(OR($E43=4,$E43=1,$E43=5),(PI()*DV$12^2)/4*(DR43*$W43*1000)/($H43*$B$5),(PI()*DV$12^2)/4*(DR43*$W43*1000)/($G43*$B$5)))),
IF($D43="Pressio.",
IF($E43=3,(PI()*DV$12^2)/4*(DR43*$W43*1000)/($H43*$B$5),(PI()*DV$12^2)/4*(DR43*$W43*1000)/($G43*$B$5)),
IF($D43="Pénétro.",
IF($E43=4,(PI()*DV$12^2)/4*(DR43*$W43*1000)/($H43*$B$5),(PI()*DV$12^2)/4*(DR43*$W43*1000)/($G43*$B$5))))))/10</f>
        <v>#N/A</v>
      </c>
      <c r="DW43" s="102" t="e">
        <f>(VLOOKUP($B$3,'Coeff EC7'!$T$39:$X$59,2,0)*DU43+VLOOKUP($B$3,'Coeff EC7'!$T$65:$X$85,2,0)*Model0.1C!DV43)/1.1</f>
        <v>#N/A</v>
      </c>
      <c r="DX43" s="102" t="e">
        <f>(VLOOKUP($B$3,'Coeff EC7'!$T$39:$X$59,3,0)*DU43+VLOOKUP($B$3,'Coeff EC7'!$T$65:$X$85,3,0)*Model0.1C!DV43)/0.9</f>
        <v>#N/A</v>
      </c>
      <c r="DY43" s="102" t="e">
        <f t="shared" si="90"/>
        <v>#N/A</v>
      </c>
      <c r="DZ43" s="102" t="e">
        <f t="shared" si="91"/>
        <v>#N/A</v>
      </c>
      <c r="EA43" s="414" t="e">
        <f>IF(EA42=0,0,IF(AND(DW43&gt;charge_ELS_quasi,DX43&gt;Charge_ELS_freq,DY43&gt;charge_ELU,DZ43&gt;charge_ELA,$B43&gt;NDC!$H$22-0.1+MIN(3*$EA$12,1.5)),0,1))</f>
        <v>#N/A</v>
      </c>
      <c r="EB43" s="86" t="b">
        <f t="shared" si="53"/>
        <v>0</v>
      </c>
      <c r="EC43" s="418">
        <f t="shared" si="54"/>
        <v>0.51</v>
      </c>
      <c r="ED43" s="86">
        <f t="shared" si="55"/>
        <v>0.51</v>
      </c>
      <c r="EE43" s="30" t="e">
        <f t="shared" ca="1" si="92"/>
        <v>#DIV/0!</v>
      </c>
      <c r="EF43" s="85" t="e">
        <f ca="1">IF(DL43&lt;=Hypothèses!$V$7,Hypothèses!$W$7,IF(DL43&lt;=Hypothèses!$V$8,Hypothèses!$W$8,IF(DL43&lt;=Hypothèses!$V$9,Hypothèses!$W$9,IF(DL43&lt;=Hypothèses!$V$10,Hypothèses!$W$10,IF(DL43&lt;=Hypothèses!$V$11,Hypothèses!$W$11,IF(DL43&lt;=Hypothèses!$V$12,Hypothèses!$W$12,IF(DL43&lt;=Hypothèses!$V$13,Hypothèses!$W$13,IF(DL43&lt;=Hypothèses!$V$14,Hypothèses!$W$14,IF(DL43&lt;=Hypothèses!$V$15,Hypothèses!$W$15,IF(DL43&lt;=Hypothèses!$V$16,Hypothèses!$W$16,IF(DL43&lt;=Hypothèses!$V$17,Hypothèses!$W$17,IF(DL43&lt;=Hypothèses!$V$18,Hypothèses!$W$18,""))))))))))))</f>
        <v>#DIV/0!</v>
      </c>
      <c r="EG43" s="87" t="e">
        <f t="shared" ca="1" si="122"/>
        <v>#DIV/0!</v>
      </c>
      <c r="EH43" s="88" t="e">
        <f ca="1">IF(DL43&lt;=Hypothèses!$V$7,Hypothèses!$X$7,IF(DL43&lt;=Hypothèses!$V$8,Hypothèses!$X$8,IF(DL43&lt;=Hypothèses!$V$9,Hypothèses!$X$9,IF(DL43&lt;=Hypothèses!$V$10,Hypothèses!$X$10,IF(DL43&lt;=Hypothèses!$V$11,Hypothèses!$X$11,IF(DL43&lt;=Hypothèses!$V$12,Hypothèses!$X$12,IF(DL43&lt;=Hypothèses!$V$13,Hypothèses!$X$13,IF(DL43&lt;=Hypothèses!$V$14,Hypothèses!$X$14,IF(DL43&lt;=Hypothèses!$V$15,Hypothèses!$X$15,IF(DL43&lt;=Hypothèses!$V$16,Hypothèses!$X$16,IF(DL43&lt;=Hypothèses!$U$17,Hypothèses!$W$17,IF(DL43&lt;=Hypothèses!$U$18,Hypothèses!$W$18,""))))))))))))</f>
        <v>#DIV/0!</v>
      </c>
      <c r="EI43" s="95" t="e">
        <f t="shared" ca="1" si="93"/>
        <v>#DIV/0!</v>
      </c>
      <c r="EJ43" s="101" t="e">
        <f t="shared" si="129"/>
        <v>#N/A</v>
      </c>
      <c r="EK43" s="91" t="e">
        <f t="shared" si="57"/>
        <v>#N/A</v>
      </c>
      <c r="EL43" s="30" t="e">
        <f t="shared" si="112"/>
        <v>#N/A</v>
      </c>
      <c r="EM43" s="30" t="e">
        <f t="shared" si="113"/>
        <v>#N/A</v>
      </c>
      <c r="EN43" s="31" t="e">
        <f>IF(OR(Hypothèses!$B$4=17,Hypothèses!$B$4=18,Hypothèses!$B$4=19,Hypothèses!$B$4=20),
IF($D43="Pressio.",
IF(OR($E43=3,$E43=1,$E43=4),EM43,EL43),
IF($D43="Pénétro.",
IF(OR($E43=3,$E43=1,$E43=4),EM43,EL43))),IF($D43="Pressio.",
IF($E43=3,EM43,EL43),
IF($D43="Pénétro.",
IF($E43=4,EM43,EL43))))</f>
        <v>#N/A</v>
      </c>
      <c r="EO43" s="31" t="e">
        <f>(IF(OR(Hypothèses!$B$4=17,Hypothèses!$B$4=18,Hypothèses!$B$4=19,Hypothèses!$B$4=20),
IF($D43="Pressio.",
IF(OR($E43=3,$E43=1,$E43=4),(PI()*EO$12^2)/4*(EK43*$W43*1000)/($H43*$B$5),(PI()*EO$12^2)/4*(EK43*$W43*1000)/($G43*$B$5)),
IF($D43="Pénétro.",
IF(OR($E43=4,$E43=1,$E43=5),(PI()*EO$12^2)/4*(EK43*$W43*1000)/($H43*$B$5),(PI()*EO$12^2)/4*(EK43*$W43*1000)/($G43*$B$5)))),
IF($D43="Pressio.",
IF($E43=3,(PI()*EO$12^2)/4*(EK43*$W43*1000)/($H43*$B$5),(PI()*EO$12^2)/4*(EK43*$W43*1000)/($G43*$B$5)),
IF($D43="Pénétro.",
IF($E43=4,(PI()*EO$12^2)/4*(EK43*$W43*1000)/($H43*$B$5),(PI()*EO$12^2)/4*(EK43*$W43*1000)/($G43*$B$5))))))/10</f>
        <v>#N/A</v>
      </c>
      <c r="EP43" s="102" t="e">
        <f>(VLOOKUP($B$3,'Coeff EC7'!$T$39:$X$59,2,0)*EN43+VLOOKUP($B$3,'Coeff EC7'!$T$65:$X$85,2,0)*Model0.1C!EO43)/1.1</f>
        <v>#N/A</v>
      </c>
      <c r="EQ43" s="102" t="e">
        <f>(VLOOKUP($B$3,'Coeff EC7'!$T$39:$X$59,3,0)*EN43+VLOOKUP($B$3,'Coeff EC7'!$T$65:$X$85,3,0)*Model0.1C!EO43)/0.9</f>
        <v>#N/A</v>
      </c>
      <c r="ER43" s="102" t="e">
        <f t="shared" si="94"/>
        <v>#N/A</v>
      </c>
      <c r="ES43" s="102" t="e">
        <f t="shared" si="95"/>
        <v>#N/A</v>
      </c>
      <c r="ET43" s="414" t="e">
        <f>IF(ET42=0,0,IF(AND(EP43&gt;charge_ELS_quasi,EQ43&gt;Charge_ELS_freq,ER43&gt;charge_ELU,ES43&gt;charge_ELA,$B43&gt;NDC!$H$22-0.1+MIN(3*$ET$12,1.5)),0,1))</f>
        <v>#N/A</v>
      </c>
      <c r="EU43" s="86" t="b">
        <f t="shared" si="60"/>
        <v>0</v>
      </c>
      <c r="EV43" s="86">
        <f t="shared" si="61"/>
        <v>0.61</v>
      </c>
      <c r="EW43" s="86">
        <f t="shared" si="62"/>
        <v>0.61</v>
      </c>
      <c r="EX43" s="30" t="e">
        <f t="shared" ca="1" si="96"/>
        <v>#DIV/0!</v>
      </c>
      <c r="EY43" s="85" t="e">
        <f ca="1">IF(EE43&lt;=Hypothèses!$V$7,Hypothèses!$W$7,IF(EE43&lt;=Hypothèses!$V$8,Hypothèses!$W$8,IF(EE43&lt;=Hypothèses!$V$9,Hypothèses!$W$9,IF(EE43&lt;=Hypothèses!$V$10,Hypothèses!$W$10,IF(EE43&lt;=Hypothèses!$V$11,Hypothèses!$W$11,IF(EE43&lt;=Hypothèses!$V$12,Hypothèses!$W$12,IF(EE43&lt;=Hypothèses!$V$13,Hypothèses!$W$13,IF(EE43&lt;=Hypothèses!$V$14,Hypothèses!$W$14,IF(EE43&lt;=Hypothèses!$V$15,Hypothèses!$W$15,IF(EE43&lt;=Hypothèses!$V$16,Hypothèses!$W$16,IF(EE43&lt;=Hypothèses!$V$17,Hypothèses!$W$17,IF(EE43&lt;=Hypothèses!$V$18,Hypothèses!$W$18,""))))))))))))</f>
        <v>#DIV/0!</v>
      </c>
      <c r="EZ43" s="87" t="e">
        <f t="shared" ca="1" si="123"/>
        <v>#DIV/0!</v>
      </c>
      <c r="FA43" s="88" t="e">
        <f ca="1">IF(EE43&lt;=Hypothèses!$V$7,Hypothèses!$X$7,IF(EE43&lt;=Hypothèses!$V$8,Hypothèses!$X$8,IF(EE43&lt;=Hypothèses!$V$9,Hypothèses!$X$9,IF(EE43&lt;=Hypothèses!$V$10,Hypothèses!$X$10,IF(EE43&lt;=Hypothèses!$V$11,Hypothèses!$X$11,IF(EE43&lt;=Hypothèses!$V$12,Hypothèses!$X$12,IF(EE43&lt;=Hypothèses!$V$13,Hypothèses!$X$13,IF(EE43&lt;=Hypothèses!$V$14,Hypothèses!$X$14,IF(EE43&lt;=Hypothèses!$V$15,Hypothèses!$X$15,IF(EE43&lt;=Hypothèses!$V$16,Hypothèses!$X$16,IF(EE43&lt;=Hypothèses!$U$17,Hypothèses!$W$17,IF(EE43&lt;=Hypothèses!$U$18,Hypothèses!$W$18,""))))))))))))</f>
        <v>#DIV/0!</v>
      </c>
      <c r="FB43" s="95" t="e">
        <f t="shared" ca="1" si="97"/>
        <v>#DIV/0!</v>
      </c>
      <c r="FC43" s="101" t="e">
        <f t="shared" si="130"/>
        <v>#N/A</v>
      </c>
      <c r="FD43" s="91" t="e">
        <f t="shared" si="64"/>
        <v>#N/A</v>
      </c>
      <c r="FE43" s="30" t="e">
        <f t="shared" si="114"/>
        <v>#N/A</v>
      </c>
      <c r="FF43" s="30" t="e">
        <f t="shared" si="115"/>
        <v>#N/A</v>
      </c>
      <c r="FG43" s="31" t="e">
        <f>IF(OR(Hypothèses!$B$4=17,Hypothèses!$B$4=18,Hypothèses!$B$4=19,Hypothèses!$B$4=20),
IF($D43="Pressio.",
IF(OR($E43=3,$E43=1,$E43=4),FF43,FE43),
IF($D43="Pénétro.",
IF(OR($E43=3,$E43=1,$E43=4),FF43,FE43))),IF($D43="Pressio.",
IF($E43=3,FF43,FE43),
IF($D43="Pénétro.",
IF($E43=4,FF43,FE43))))</f>
        <v>#N/A</v>
      </c>
      <c r="FH43" s="31" t="e">
        <f>(IF(OR(Hypothèses!$B$4=17,Hypothèses!$B$4=18,Hypothèses!$B$4=19,Hypothèses!$B$4=20),
IF($D43="Pressio.",
IF(OR($E43=3,$E43=1,$E43=4),(PI()*FH$12^2)/4*(FD43*$W43*1000)/($H43*$B$5),(PI()*FH$12^2)/4*(FD43*$W43*1000)/($G43*$B$5)),
IF($D43="Pénétro.",
IF(OR($E43=4,$E43=1,$E43=5),(PI()*FH$12^2)/4*(FD43*$W43*1000)/($H43*$B$5),(PI()*FH$12^2)/4*(FD43*$W43*1000)/($G43*$B$5)))),
IF($D43="Pressio.",
IF($E43=3,(PI()*FH$12^2)/4*(FD43*$W43*1000)/($H43*$B$5),(PI()*FH$12^2)/4*(FD43*$W43*1000)/($G43*$B$5)),
IF($D43="Pénétro.",
IF($E43=4,(PI()*FH$12^2)/4*(FD43*$W43*1000)/($H43*$B$5),(PI()*FH$12^2)/4*(FD43*$W43*1000)/($G43*$B$5))))))/10</f>
        <v>#N/A</v>
      </c>
      <c r="FI43" s="102" t="e">
        <f>(VLOOKUP($B$3,'Coeff EC7'!$T$39:$X$59,2,0)*FG43+VLOOKUP($B$3,'Coeff EC7'!$T$65:$X$85,2,0)*Model0.1C!FH43)/1.1</f>
        <v>#N/A</v>
      </c>
      <c r="FJ43" s="102" t="e">
        <f>(VLOOKUP($B$3,'Coeff EC7'!$T$39:$X$59,3,0)*FG43+VLOOKUP($B$3,'Coeff EC7'!$T$65:$X$85,3,0)*Model0.1C!FH43)/0.9</f>
        <v>#N/A</v>
      </c>
      <c r="FK43" s="102" t="e">
        <f t="shared" si="98"/>
        <v>#N/A</v>
      </c>
      <c r="FL43" s="102" t="e">
        <f t="shared" si="99"/>
        <v>#N/A</v>
      </c>
      <c r="FM43" s="414" t="e">
        <f>IF(FM42=0,0,IF(AND(FI43&gt;charge_ELS_quasi,FJ43&gt;Charge_ELS_freq,FK43&gt;charge_ELU,FL43&gt;charge_ELA,$B43&gt;NDC!$H$22-0.1+MIN(3*$FM$12,1.5)),0,1))</f>
        <v>#N/A</v>
      </c>
    </row>
    <row r="44" spans="1:169">
      <c r="A44" s="96">
        <f t="shared" si="67"/>
        <v>96.900000000000176</v>
      </c>
      <c r="B44" s="97">
        <v>3.1</v>
      </c>
      <c r="C44" s="81">
        <f>IF(B44&lt;=Hypothèses!$C$7,Hypothèses!$A$7,IF(B44&lt;=Hypothèses!$C$8,Hypothèses!$A$8,IF(B44&lt;=Hypothèses!$C$9,Hypothèses!$A$9,IF(B44&lt;=Hypothèses!$C$10,Hypothèses!$A$10,IF(B44&lt;=Hypothèses!$C$11,Hypothèses!$A$11,IF(B44&lt;=Hypothèses!$C$12,Hypothèses!$A$12,IF(B44&lt;=Hypothèses!$C$13,Hypothèses!$A$13,IF(B44&lt;=Hypothèses!$C$14,Hypothèses!$A$14,IF(B44&lt;=Hypothèses!$C$15,Hypothèses!$A$15,IF(B44&lt;=Hypothèses!$C$16,Hypothèses!$A$16,IF(B44&lt;=Hypothèses!$C$17,Hypothèses!$A$17,IF(B44&lt;=Hypothèses!$C$18,Hypothèses!$A$18,C43))))))))))))</f>
        <v>11</v>
      </c>
      <c r="D44" s="82" t="str">
        <f>IF(B44&lt;=Hypothèses!$C$7,Hypothèses!$R$7,IF(B44&lt;=Hypothèses!$C$8,Hypothèses!$R$8,IF(B44&lt;=Hypothèses!$C$9,Hypothèses!$R$9,IF(B44&lt;=Hypothèses!$C$10,Hypothèses!$R$10,IF(B44&lt;=Hypothèses!$C$11,Hypothèses!$R$11,IF(B44&lt;=Hypothèses!$C$12,Hypothèses!$R$12,IF(B44&lt;=Hypothèses!$C$13,Hypothèses!$R$13,IF(B44&lt;=Hypothèses!$C$14,Hypothèses!$R$14,IF(B44&lt;=Hypothèses!$C$15,Hypothèses!$R$15,IF(B44&lt;=Hypothèses!$C$16,Hypothèses!$R$16,IF(B44&lt;=Hypothèses!$C$17,Hypothèses!$R$17,IF(B44&lt;=Hypothèses!$C$18,Hypothèses!$R$18,D43))))))))))))</f>
        <v>Pressio.</v>
      </c>
      <c r="E44" s="82" t="e">
        <f>IF(B44&lt;=Hypothèses!$C$7,Hypothèses!$G$7,IF(B44&lt;=Hypothèses!$C$8,Hypothèses!$G$8,IF(B44&lt;=Hypothèses!$C$9,Hypothèses!$G$9,IF(B44&lt;=Hypothèses!$C$10,Hypothèses!$G$10,IF(B44&lt;=Hypothèses!$C$11,Hypothèses!$G$11,IF(B44&lt;=Hypothèses!$C$12,Hypothèses!$G$12,IF(B44&lt;=Hypothèses!$C$13,Hypothèses!$G$13,IF(B44&lt;=Hypothèses!$C$14,Hypothèses!$G$14,IF(B44&lt;=Hypothèses!$C$15,Hypothèses!$G$15,IF(B44&lt;=Hypothèses!$C$16,Hypothèses!$G$16,IF(B44&lt;=Hypothèses!$C$17,Hypothèses!$G$17,IF(B44&lt;=Hypothèses!$C$18,Hypothèses!$G$18,E43))))))))))))</f>
        <v>#N/A</v>
      </c>
      <c r="F44" s="82" t="str">
        <f>IF(B44&lt;=Hypothèses!$C$7,Hypothèses!$F$7,IF(B44&lt;=Hypothèses!$C$8,Hypothèses!$F$8,IF(B44&lt;=Hypothèses!$C$9,Hypothèses!$F$9,IF(B44&lt;=Hypothèses!$C$10,Hypothèses!$F$10,IF(B44&lt;=Hypothèses!$C$11,Hypothèses!$F$11,IF(B44&lt;=Hypothèses!$C$12,Hypothèses!$F$12,IF(B44&lt;=Hypothèses!$C$13,Hypothèses!$F$13,IF(B44&lt;=Hypothèses!$C$14,Hypothèses!$F$14,IF(B44&lt;=Hypothèses!$C$15,Hypothèses!$F$15,IF(B44&lt;=Hypothèses!$C$16,Hypothèses!$F$16,IF(B44&lt;=Hypothèses!$C$17,Hypothèses!$F$17,IF(B44&lt;=Hypothèses!$C$18,Hypothèses!$F$18,F43))))))))))))</f>
        <v/>
      </c>
      <c r="G44" s="91">
        <f t="array" ref="G44">INDEX('Coeff EC7'!$U$7:$X$27,
MATCH(Model0.1C!$B$3,'Coeff EC7'!$T$7:$T$27,0),
MATCH(Model0.1C!$D44&amp;Model0.1C!$B$4,
'Coeff EC7'!$U$6:$X$6&amp;
'Coeff EC7'!$U$5:$X$5,0))</f>
        <v>1.1499999999999999</v>
      </c>
      <c r="H44" s="91">
        <f t="array" ref="H44">INDEX('Coeff EC7'!$Y$7:$AB$27,
MATCH(Model0.1C!$B$3,'Coeff EC7'!$T$7:$T$27,0),
MATCH(Model0.1C!$D44&amp;Model0.1C!$B$4,
'Coeff EC7'!$Y$6:$AB$6&amp;
'Coeff EC7'!$Y$5:$AB$5,0))</f>
        <v>1.4</v>
      </c>
      <c r="I44" s="83" t="e">
        <f>IF(B44&lt;=Hypothèses!$C$7,Hypothèses!$P$7,IF(B44&lt;=Hypothèses!$C$8,Hypothèses!$P$8,IF(B44&lt;=Hypothèses!$C$9,Hypothèses!$P$9,IF(B44&lt;=Hypothèses!$C$10,Hypothèses!$P$10,IF(B44&lt;=Hypothèses!$C$11,Hypothèses!$P$11,IF(B44&lt;=Hypothèses!$C$12,Hypothèses!$P$12,IF(B44&lt;=Hypothèses!$C$13,Hypothèses!$P$13,IF(B44&lt;=Hypothèses!$C$14,Hypothèses!$P$14,IF(B44&lt;=Hypothèses!$C$15,Hypothèses!$P$15,IF(B44&lt;=Hypothèses!$C$16,Hypothèses!$P$16,IF(B44&lt;=Hypothèses!$C$17,Hypothèses!$P$17,IF(B44&lt;=Hypothèses!$C$18,Hypothèses!$P$18,I43))))))))))))</f>
        <v>#N/A</v>
      </c>
      <c r="J44" s="91" t="e">
        <f t="array" ref="J44">INDEX('Coeff EC7'!$D$33:$Q$33,1,MATCH(D44&amp;E44,'Coeff EC7'!$D$31:$Q$31&amp;'Coeff EC7'!$D$32:$Q$32,0))</f>
        <v>#N/A</v>
      </c>
      <c r="K44" s="91" t="e">
        <f t="array" ref="K44">INDEX('Coeff EC7'!$D$34:$Q$34,1,MATCH(D44&amp;E44,'Coeff EC7'!$D$31:$Q$31&amp;'Coeff EC7'!$D$32:$Q$32,0))</f>
        <v>#N/A</v>
      </c>
      <c r="L44" s="91" t="e">
        <f t="array" ref="L44">INDEX('Coeff EC7'!$D$35:$Q$35,1,MATCH(D44&amp;E44,'Coeff EC7'!$D$31:$Q$31&amp;'Coeff EC7'!$D$32:$Q$32,0))</f>
        <v>#N/A</v>
      </c>
      <c r="M44" s="98" t="e">
        <f t="shared" si="8"/>
        <v>#N/A</v>
      </c>
      <c r="N44" s="99" t="e">
        <f t="array" ref="N44">INDEX('Coeff EC7'!$D$7:$Q$27,MATCH($B$3,'Coeff EC7'!$C$7:$C$27,0),MATCH(D44&amp;E44,'Coeff EC7'!$D$5:$Q$5&amp;'Coeff EC7'!$D$6:$Q$6,0))</f>
        <v>#N/A</v>
      </c>
      <c r="O44" s="99" t="e">
        <f t="array" ref="O44">INDEX('Coeff EC7'!$D$41:$Q$61,MATCH($B$3,'Coeff EC7'!$C$41:$C$61,0),MATCH(D44&amp;E44,'Coeff EC7'!$D$39:$Q$39&amp;'Coeff EC7'!$D$40:$Q$40,0))</f>
        <v>#N/A</v>
      </c>
      <c r="P44" s="30" t="e">
        <f t="shared" si="68"/>
        <v>#N/A</v>
      </c>
      <c r="Q44" s="100" t="e">
        <f t="shared" si="10"/>
        <v>#N/A</v>
      </c>
      <c r="R44" s="86" t="b">
        <f t="shared" si="11"/>
        <v>0</v>
      </c>
      <c r="S44" s="86">
        <f t="shared" si="9"/>
        <v>0.5</v>
      </c>
      <c r="T44" s="86">
        <f t="shared" si="12"/>
        <v>0.5</v>
      </c>
      <c r="U44" s="30" t="e">
        <f t="shared" ca="1" si="69"/>
        <v>#DIV/0!</v>
      </c>
      <c r="V44" s="85" t="str">
        <f>IF(B44&lt;=Hypothèses!$V$7,Hypothèses!$W$7,IF(B44&lt;=Hypothèses!$V$8,Hypothèses!$W$8,IF(B44&lt;=Hypothèses!$V$9,Hypothèses!$W$9,IF(B44&lt;=Hypothèses!$V$10,Hypothèses!$W$10,IF(B44&lt;=Hypothèses!$V$11,Hypothèses!$W$11,IF(B44&lt;=Hypothèses!$V$12,Hypothèses!$W$12,IF(B44&lt;=Hypothèses!$V$13,Hypothèses!$W$13,IF(B44&lt;=Hypothèses!$V$14,Hypothèses!$W$14,IF(B44&lt;=Hypothèses!$V$15,Hypothèses!$W$15,IF(B44&lt;=Hypothèses!$V$16,Hypothèses!$W$16,IF(B44&lt;=Hypothèses!$V$17,Hypothèses!$W$17,IF(B44&lt;=Hypothèses!$V$18,Hypothèses!$W$18,""))))))))))))</f>
        <v/>
      </c>
      <c r="W44" s="87" t="e">
        <f t="shared" ca="1" si="116"/>
        <v>#DIV/0!</v>
      </c>
      <c r="X44" s="88" t="str">
        <f>IF(B44&lt;=Hypothèses!$V$7,Hypothèses!$X$7,IF(B44&lt;=Hypothèses!$V$8,Hypothèses!$X$8,IF(B44&lt;=Hypothèses!$V$9,Hypothèses!$X$9,IF(B44&lt;=Hypothèses!$V$10,Hypothèses!$X$10,IF(B44&lt;=Hypothèses!$V$11,Hypothèses!$X$11,IF(B44&lt;=Hypothèses!$V$12,Hypothèses!$X$12,IF(B44&lt;=Hypothèses!$V$13,Hypothèses!$X$13,IF(B44&lt;=Hypothèses!$V$14,Hypothèses!$X$14,IF(B44&lt;=Hypothèses!$V$15,Hypothèses!$X$15,IF(B44&lt;=Hypothèses!$V$16,Hypothèses!$X$16,IF(B44&lt;=Hypothèses!$U$17,Hypothèses!$W$17,IF(B44&lt;=Hypothèses!$U$18,Hypothèses!$W$18,""))))))))))))</f>
        <v/>
      </c>
      <c r="Y44" s="95" t="e">
        <f t="shared" ca="1" si="13"/>
        <v>#DIV/0!</v>
      </c>
      <c r="Z44" s="101" t="e">
        <f t="shared" si="14"/>
        <v>#N/A</v>
      </c>
      <c r="AA44" s="91" t="e">
        <f t="shared" si="15"/>
        <v>#N/A</v>
      </c>
      <c r="AB44" s="30" t="e">
        <f t="shared" si="100"/>
        <v>#N/A</v>
      </c>
      <c r="AC44" s="30" t="e">
        <f t="shared" si="101"/>
        <v>#N/A</v>
      </c>
      <c r="AD44" s="31" t="e">
        <f>IF(OR(Hypothèses!$B$4=17,Hypothèses!$B$4=18,Hypothèses!$B$4=19,Hypothèses!$B$4=20),
IF($D44="Pressio.",
IF(OR($E44=3,$E44=1,$E44=4),AC44,AB44),
IF($D44="Pénétro.",
IF(OR($E44=3,$E44=1,$E44=4),AC44,AB44))),IF($D44="Pressio.",
IF($E44=3,AC44,AB44),
IF($D44="Pénétro.",
IF($E44=4,AC44,AB44))))</f>
        <v>#N/A</v>
      </c>
      <c r="AE44" s="31" t="e">
        <f>(IF(OR(Hypothèses!$B$4=17,Hypothèses!$B$4=18,Hypothèses!$B$4=19,Hypothèses!$B$4=20),
IF($D44="Pressio.",
IF(OR($E44=3,$E44=1,$E44=4),(PI()*AE$12^2)/4*(AA44*$W44*1000)/($H44*$B$5),(PI()*AE$12^2)/4*(AA44*$W44*1000)/($G44*$B$5)),
IF($D44="Pénétro.",
IF(OR($E44=4,$E44=1,$E44=5),(PI()*AE$12^2)/4*(AA44*$W44*1000)/($H44*$B$5),(PI()*AE$12^2)/4*(AA44*$W44*1000)/($G44*$B$5)))),
IF($D44="Pressio.",
IF($E44=3,(PI()*AE$12^2)/4*(AA44*$W44*1000)/($H44*$B$5),(PI()*AE$12^2)/4*(AA44*$W44*1000)/($G44*$B$5)),
IF($D44="Pénétro.",
IF($E44=4,(PI()*AE$12^2)/4*(AA44*$W44*1000)/($H44*$B$5),(PI()*AE$12^2)/4*(AA44*$W44*1000)/($G44*$B$5))))))/10</f>
        <v>#N/A</v>
      </c>
      <c r="AF44" s="102" t="e">
        <f>(VLOOKUP($B$3,'Coeff EC7'!$T$39:$X$59,2,0)*AD44+VLOOKUP($B$3,'Coeff EC7'!$T$65:$X$85,2,0)*Model0.1C!AE44)/1.1</f>
        <v>#N/A</v>
      </c>
      <c r="AG44" s="102" t="e">
        <f>(VLOOKUP($B$3,'Coeff EC7'!$T$39:$X$59,3,0)*AD44+VLOOKUP($B$3,'Coeff EC7'!$T$65:$X$85,3,0)*Model0.1C!AE44)/0.9</f>
        <v>#N/A</v>
      </c>
      <c r="AH44" s="102" t="e">
        <f t="shared" si="18"/>
        <v>#N/A</v>
      </c>
      <c r="AI44" s="102" t="e">
        <f t="shared" si="19"/>
        <v>#N/A</v>
      </c>
      <c r="AJ44" s="414" t="e">
        <f>IF(AJ43=0,0,IF(AND(AF44&gt;charge_ELS_quasi,AG44&gt;Charge_ELS_freq,AH44&gt;charge_ELU,AI44&gt;charge_ELA,$B44&gt;NDC!$H$22-0.1+MIN(3*$AJ$12,1.5)),0,1))</f>
        <v>#N/A</v>
      </c>
      <c r="AK44" s="86" t="b">
        <f t="shared" si="20"/>
        <v>0</v>
      </c>
      <c r="AL44" s="86">
        <f t="shared" si="70"/>
        <v>0.5</v>
      </c>
      <c r="AM44" s="86">
        <f t="shared" si="21"/>
        <v>0.5</v>
      </c>
      <c r="AN44" s="30" t="e">
        <f t="shared" ca="1" si="71"/>
        <v>#DIV/0!</v>
      </c>
      <c r="AO44" s="85" t="e">
        <f ca="1">IF(U44&lt;=Hypothèses!$V$7,Hypothèses!$W$7,IF(U44&lt;=Hypothèses!$V$8,Hypothèses!$W$8,IF(U44&lt;=Hypothèses!$V$9,Hypothèses!$W$9,IF(U44&lt;=Hypothèses!$V$10,Hypothèses!$W$10,IF(U44&lt;=Hypothèses!$V$11,Hypothèses!$W$11,IF(U44&lt;=Hypothèses!$V$12,Hypothèses!$W$12,IF(U44&lt;=Hypothèses!$V$13,Hypothèses!$W$13,IF(U44&lt;=Hypothèses!$V$14,Hypothèses!$W$14,IF(U44&lt;=Hypothèses!$V$15,Hypothèses!$W$15,IF(U44&lt;=Hypothèses!$V$16,Hypothèses!$W$16,IF(U44&lt;=Hypothèses!$V$17,Hypothèses!$W$17,IF(U44&lt;=Hypothèses!$V$18,Hypothèses!$W$18,""))))))))))))</f>
        <v>#DIV/0!</v>
      </c>
      <c r="AP44" s="87" t="e">
        <f t="shared" ca="1" si="117"/>
        <v>#DIV/0!</v>
      </c>
      <c r="AQ44" s="88" t="e">
        <f ca="1">IF(U44&lt;=Hypothèses!$V$7,Hypothèses!$X$7,IF(U44&lt;=Hypothèses!$V$8,Hypothèses!$X$8,IF(U44&lt;=Hypothèses!$V$9,Hypothèses!$X$9,IF(U44&lt;=Hypothèses!$V$10,Hypothèses!$X$10,IF(U44&lt;=Hypothèses!$V$11,Hypothèses!$X$11,IF(U44&lt;=Hypothèses!$V$12,Hypothèses!$X$12,IF(U44&lt;=Hypothèses!$V$13,Hypothèses!$X$13,IF(U44&lt;=Hypothèses!$V$14,Hypothèses!$X$14,IF(U44&lt;=Hypothèses!$V$15,Hypothèses!$X$15,IF(U44&lt;=Hypothèses!$V$16,Hypothèses!$X$16,IF(U44&lt;=Hypothèses!$U$17,Hypothèses!$W$17,IF(U44&lt;=Hypothèses!$U$18,Hypothèses!$W$18,""))))))))))))</f>
        <v>#DIV/0!</v>
      </c>
      <c r="AR44" s="95" t="e">
        <f t="shared" ca="1" si="72"/>
        <v>#DIV/0!</v>
      </c>
      <c r="AS44" s="101" t="e">
        <f t="shared" si="124"/>
        <v>#N/A</v>
      </c>
      <c r="AT44" s="91" t="e">
        <f t="shared" si="23"/>
        <v>#N/A</v>
      </c>
      <c r="AU44" s="30" t="e">
        <f t="shared" si="102"/>
        <v>#N/A</v>
      </c>
      <c r="AV44" s="30" t="e">
        <f t="shared" si="103"/>
        <v>#N/A</v>
      </c>
      <c r="AW44" s="31" t="e">
        <f>IF(OR(Hypothèses!$B$4=17,Hypothèses!$B$4=18,Hypothèses!$B$4=19,Hypothèses!$B$4=20),
IF($D44="Pressio.",
IF(OR($E44=3,$E44=1,$E44=4),AV44,AU44),
IF($D44="Pénétro.",
IF(OR($E44=3,$E44=1,$E44=4),AV44,AU44))),IF($D44="Pressio.",
IF($E44=3,AV44,AU44),
IF($D44="Pénétro.",
IF($E44=4,AV44,AU44))))</f>
        <v>#N/A</v>
      </c>
      <c r="AX44" s="31" t="e">
        <f>(IF(OR(Hypothèses!$B$4=17,Hypothèses!$B$4=18,Hypothèses!$B$4=19,Hypothèses!$B$4=20),
IF($D44="Pressio.",
IF(OR($E44=3,$E44=1,$E44=4),(PI()*AX$12^2)/4*(AT44*$W44*1000)/($H44*$B$5),(PI()*AX$12^2)/4*(AT44*$W44*1000)/($G44*$B$5)),
IF($D44="Pénétro.",
IF(OR($E44=4,$E44=1,$E44=5),(PI()*AX$12^2)/4*(AT44*$W44*1000)/($H44*$B$5),(PI()*AX$12^2)/4*(AT44*$W44*1000)/($G44*$B$5)))),
IF($D44="Pressio.",
IF($E44=3,(PI()*AX$12^2)/4*(AT44*$W44*1000)/($H44*$B$5),(PI()*AX$12^2)/4*(AT44*$W44*1000)/($G44*$B$5)),
IF($D44="Pénétro.",
IF($E44=4,(PI()*AX$12^2)/4*(AT44*$W44*1000)/($H44*$B$5),(PI()*AX$12^2)/4*(AT44*$W44*1000)/($G44*$B$5))))))/10</f>
        <v>#N/A</v>
      </c>
      <c r="AY44" s="102" t="e">
        <f>(VLOOKUP($B$3,'Coeff EC7'!$T$39:$X$59,2,0)*AW44+VLOOKUP($B$3,'Coeff EC7'!$T$65:$X$85,2,0)*Model0.1C!AX44)/1.1</f>
        <v>#N/A</v>
      </c>
      <c r="AZ44" s="102" t="e">
        <f>(VLOOKUP($B$3,'Coeff EC7'!$T$39:$X$59,3,0)*AW44+VLOOKUP($B$3,'Coeff EC7'!$T$65:$X$85,3,0)*Model0.1C!AX44)/0.9</f>
        <v>#N/A</v>
      </c>
      <c r="BA44" s="102" t="e">
        <f t="shared" si="73"/>
        <v>#N/A</v>
      </c>
      <c r="BB44" s="102" t="e">
        <f t="shared" si="74"/>
        <v>#N/A</v>
      </c>
      <c r="BC44" s="414" t="e">
        <f>IF(BC43=0,0,IF(AND(AY44&gt;charge_ELS_quasi,AZ44&gt;Charge_ELS_freq,BA44&gt;charge_ELU,BB44&gt;charge_ELA,$B44&gt;NDC!$H$22-0.1+MIN(3*$BC$12,1.5)),0,1))</f>
        <v>#N/A</v>
      </c>
      <c r="BD44" s="86" t="b">
        <f t="shared" si="26"/>
        <v>0</v>
      </c>
      <c r="BE44" s="86">
        <f t="shared" si="75"/>
        <v>0.5</v>
      </c>
      <c r="BF44" s="86">
        <f t="shared" si="27"/>
        <v>0.5</v>
      </c>
      <c r="BG44" s="30" t="e">
        <f t="shared" ca="1" si="76"/>
        <v>#DIV/0!</v>
      </c>
      <c r="BH44" s="85" t="e">
        <f ca="1">IF(AN44&lt;=Hypothèses!$V$7,Hypothèses!$W$7,IF(AN44&lt;=Hypothèses!$V$8,Hypothèses!$W$8,IF(AN44&lt;=Hypothèses!$V$9,Hypothèses!$W$9,IF(AN44&lt;=Hypothèses!$V$10,Hypothèses!$W$10,IF(AN44&lt;=Hypothèses!$V$11,Hypothèses!$W$11,IF(AN44&lt;=Hypothèses!$V$12,Hypothèses!$W$12,IF(AN44&lt;=Hypothèses!$V$13,Hypothèses!$W$13,IF(AN44&lt;=Hypothèses!$V$14,Hypothèses!$W$14,IF(AN44&lt;=Hypothèses!$V$15,Hypothèses!$W$15,IF(AN44&lt;=Hypothèses!$V$16,Hypothèses!$W$16,IF(AN44&lt;=Hypothèses!$V$17,Hypothèses!$W$17,IF(AN44&lt;=Hypothèses!$V$18,Hypothèses!$W$18,""))))))))))))</f>
        <v>#DIV/0!</v>
      </c>
      <c r="BI44" s="87" t="e">
        <f t="shared" ca="1" si="118"/>
        <v>#DIV/0!</v>
      </c>
      <c r="BJ44" s="88" t="e">
        <f ca="1">IF(AN44&lt;=Hypothèses!$V$7,Hypothèses!$X$7,IF(AN44&lt;=Hypothèses!$V$8,Hypothèses!$X$8,IF(AN44&lt;=Hypothèses!$V$9,Hypothèses!$X$9,IF(AN44&lt;=Hypothèses!$V$10,Hypothèses!$X$10,IF(AN44&lt;=Hypothèses!$V$11,Hypothèses!$X$11,IF(AN44&lt;=Hypothèses!$V$12,Hypothèses!$X$12,IF(AN44&lt;=Hypothèses!$V$13,Hypothèses!$X$13,IF(AN44&lt;=Hypothèses!$V$14,Hypothèses!$X$14,IF(AN44&lt;=Hypothèses!$V$15,Hypothèses!$X$15,IF(AN44&lt;=Hypothèses!$V$16,Hypothèses!$X$16,IF(AN44&lt;=Hypothèses!$U$17,Hypothèses!$W$17,IF(AN44&lt;=Hypothèses!$U$18,Hypothèses!$W$18,""))))))))))))</f>
        <v>#DIV/0!</v>
      </c>
      <c r="BK44" s="95" t="e">
        <f t="shared" ca="1" si="77"/>
        <v>#DIV/0!</v>
      </c>
      <c r="BL44" s="101" t="e">
        <f t="shared" si="125"/>
        <v>#N/A</v>
      </c>
      <c r="BM44" s="91" t="e">
        <f t="shared" si="29"/>
        <v>#N/A</v>
      </c>
      <c r="BN44" s="30" t="e">
        <f t="shared" si="104"/>
        <v>#N/A</v>
      </c>
      <c r="BO44" s="30" t="e">
        <f t="shared" si="105"/>
        <v>#N/A</v>
      </c>
      <c r="BP44" s="31" t="e">
        <f>IF(OR(Hypothèses!$B$4=17,Hypothèses!$B$4=18,Hypothèses!$B$4=19,Hypothèses!$B$4=20),
IF($D44="Pressio.",
IF(OR($E44=3,$E44=1,$E44=4),BO44,BN44),
IF($D44="Pénétro.",
IF(OR($E44=3,$E44=1,$E44=4),BO44,BN44))),IF($D44="Pressio.",
IF($E44=3,BO44,BN44),
IF($D44="Pénétro.",
IF($E44=4,BO44,BN44))))</f>
        <v>#N/A</v>
      </c>
      <c r="BQ44" s="31" t="e">
        <f>(IF(OR(Hypothèses!$B$4=17,Hypothèses!$B$4=18,Hypothèses!$B$4=19,Hypothèses!$B$4=20),
IF($D44="Pressio.",
IF(OR($E44=3,$E44=1,$E44=4),(PI()*BQ$12^2)/4*(BM44*$W44*1000)/($H44*$B$5),(PI()*BQ$12^2)/4*(BM44*$W44*1000)/($G44*$B$5)),
IF($D44="Pénétro.",
IF(OR($E44=4,$E44=1,$E44=5),(PI()*BQ$12^2)/4*(BM44*$W44*1000)/($H44*$B$5),(PI()*BQ$12^2)/4*(BM44*$W44*1000)/($G44*$B$5)))),
IF($D44="Pressio.",
IF($E44=3,(PI()*BQ$12^2)/4*(BM44*$W44*1000)/($H44*$B$5),(PI()*BQ$12^2)/4*(BM44*$W44*1000)/($G44*$B$5)),
IF($D44="Pénétro.",
IF($E44=4,(PI()*BQ$12^2)/4*(BM44*$W44*1000)/($H44*$B$5),(PI()*BQ$12^2)/4*(BM44*$W44*1000)/($G44*$B$5))))))/10</f>
        <v>#N/A</v>
      </c>
      <c r="BR44" s="102" t="e">
        <f>(VLOOKUP($B$3,'Coeff EC7'!$T$39:$X$59,2,0)*BP44+VLOOKUP($B$3,'Coeff EC7'!$T$65:$X$85,2,0)*Model0.1C!BQ44)/1.1</f>
        <v>#N/A</v>
      </c>
      <c r="BS44" s="102" t="e">
        <f>(VLOOKUP($B$3,'Coeff EC7'!$T$39:$X$59,3,0)*BP44+VLOOKUP($B$3,'Coeff EC7'!$T$65:$X$85,3,0)*Model0.1C!BQ44)/0.9</f>
        <v>#N/A</v>
      </c>
      <c r="BT44" s="102" t="e">
        <f t="shared" si="78"/>
        <v>#N/A</v>
      </c>
      <c r="BU44" s="102" t="e">
        <f t="shared" si="79"/>
        <v>#N/A</v>
      </c>
      <c r="BV44" s="414" t="e">
        <f>IF(BV43=0,0,IF(AND(BR44&gt;charge_ELS_quasi,BS44&gt;Charge_ELS_freq,BT44&gt;charge_ELU,BU44&gt;charge_ELA,$B44&gt;NDC!$H$22-0.1+MIN(3*$BV$12,1.5)),0,1))</f>
        <v>#N/A</v>
      </c>
      <c r="BW44" s="86" t="b">
        <f t="shared" si="32"/>
        <v>0</v>
      </c>
      <c r="BX44" s="86">
        <f t="shared" si="33"/>
        <v>0.5</v>
      </c>
      <c r="BY44" s="86">
        <f t="shared" si="34"/>
        <v>0.5</v>
      </c>
      <c r="BZ44" s="30" t="e">
        <f t="shared" ca="1" si="80"/>
        <v>#DIV/0!</v>
      </c>
      <c r="CA44" s="85" t="e">
        <f ca="1">IF(BG44&lt;=Hypothèses!$V$7,Hypothèses!$W$7,IF(BG44&lt;=Hypothèses!$V$8,Hypothèses!$W$8,IF(BG44&lt;=Hypothèses!$V$9,Hypothèses!$W$9,IF(BG44&lt;=Hypothèses!$V$10,Hypothèses!$W$10,IF(BG44&lt;=Hypothèses!$V$11,Hypothèses!$W$11,IF(BG44&lt;=Hypothèses!$V$12,Hypothèses!$W$12,IF(BG44&lt;=Hypothèses!$V$13,Hypothèses!$W$13,IF(BG44&lt;=Hypothèses!$V$14,Hypothèses!$W$14,IF(BG44&lt;=Hypothèses!$V$15,Hypothèses!$W$15,IF(BG44&lt;=Hypothèses!$V$16,Hypothèses!$W$16,IF(BG44&lt;=Hypothèses!$V$17,Hypothèses!$W$17,IF(BG44&lt;=Hypothèses!$V$18,Hypothèses!$W$18,""))))))))))))</f>
        <v>#DIV/0!</v>
      </c>
      <c r="CB44" s="87" t="e">
        <f t="shared" ca="1" si="119"/>
        <v>#DIV/0!</v>
      </c>
      <c r="CC44" s="88" t="e">
        <f ca="1">IF(BG44&lt;=Hypothèses!$V$7,Hypothèses!$X$7,IF(BG44&lt;=Hypothèses!$V$8,Hypothèses!$X$8,IF(BG44&lt;=Hypothèses!$V$9,Hypothèses!$X$9,IF(BG44&lt;=Hypothèses!$V$10,Hypothèses!$X$10,IF(BG44&lt;=Hypothèses!$V$11,Hypothèses!$X$11,IF(BG44&lt;=Hypothèses!$V$12,Hypothèses!$X$12,IF(BG44&lt;=Hypothèses!$V$13,Hypothèses!$X$13,IF(BG44&lt;=Hypothèses!$V$14,Hypothèses!$X$14,IF(BG44&lt;=Hypothèses!$V$15,Hypothèses!$X$15,IF(BG44&lt;=Hypothèses!$V$16,Hypothèses!$X$16,IF(BG44&lt;=Hypothèses!$U$17,Hypothèses!$W$17,IF(BG44&lt;=Hypothèses!$U$18,Hypothèses!$W$18,""))))))))))))</f>
        <v>#DIV/0!</v>
      </c>
      <c r="CD44" s="95" t="e">
        <f t="shared" ca="1" si="81"/>
        <v>#DIV/0!</v>
      </c>
      <c r="CE44" s="101" t="e">
        <f t="shared" si="126"/>
        <v>#N/A</v>
      </c>
      <c r="CF44" s="91" t="e">
        <f t="shared" si="36"/>
        <v>#N/A</v>
      </c>
      <c r="CG44" s="30" t="e">
        <f t="shared" si="106"/>
        <v>#N/A</v>
      </c>
      <c r="CH44" s="30" t="e">
        <f t="shared" si="107"/>
        <v>#N/A</v>
      </c>
      <c r="CI44" s="31" t="e">
        <f>IF(OR(Hypothèses!$B$4=17,Hypothèses!$B$4=18,Hypothèses!$B$4=19,Hypothèses!$B$4=20),
IF($D44="Pressio.",
IF(OR($E44=3,$E44=1,$E44=4),CH44,CG44),
IF($D44="Pénétro.",
IF(OR($E44=3,$E44=1,$E44=4),CH44,CG44))),IF($D44="Pressio.",
IF($E44=3,CH44,CG44),
IF($D44="Pénétro.",
IF($E44=4,CH44,CG44))))</f>
        <v>#N/A</v>
      </c>
      <c r="CJ44" s="31" t="e">
        <f>(IF(OR(Hypothèses!$B$4=17,Hypothèses!$B$4=18,Hypothèses!$B$4=19,Hypothèses!$B$4=20),
IF($D44="Pressio.",
IF(OR($E44=3,$E44=1,$E44=4),(PI()*CJ$12^2)/4*(CF44*$W44*1000)/($H44*$B$5),(PI()*CJ$12^2)/4*(CF44*$W44*1000)/($G44*$B$5)),
IF($D44="Pénétro.",
IF(OR($E44=4,$E44=1,$E44=5),(PI()*CJ$12^2)/4*(CF44*$W44*1000)/($H44*$B$5),(PI()*CJ$12^2)/4*(CF44*$W44*1000)/($G44*$B$5)))),
IF($D44="Pressio.",
IF($E44=3,(PI()*CJ$12^2)/4*(CF44*$W44*1000)/($H44*$B$5),(PI()*CJ$12^2)/4*(CF44*$W44*1000)/($G44*$B$5)),
IF($D44="Pénétro.",
IF($E44=4,(PI()*CJ$12^2)/4*(CF44*$W44*1000)/($H44*$B$5),(PI()*CJ$12^2)/4*(CF44*$W44*1000)/($G44*$B$5))))))/10</f>
        <v>#N/A</v>
      </c>
      <c r="CK44" s="102" t="e">
        <f>(VLOOKUP($B$3,'Coeff EC7'!$T$39:$X$59,2,0)*CI44+VLOOKUP($B$3,'Coeff EC7'!$T$65:$X$85,2,0)*Model0.1C!CJ44)/1.1</f>
        <v>#N/A</v>
      </c>
      <c r="CL44" s="102" t="e">
        <f>(VLOOKUP($B$3,'Coeff EC7'!$T$39:$X$59,3,0)*CI44+VLOOKUP($B$3,'Coeff EC7'!$T$65:$X$85,3,0)*Model0.1C!CJ44)/0.9</f>
        <v>#N/A</v>
      </c>
      <c r="CM44" s="102" t="e">
        <f t="shared" si="82"/>
        <v>#N/A</v>
      </c>
      <c r="CN44" s="102" t="e">
        <f t="shared" si="83"/>
        <v>#N/A</v>
      </c>
      <c r="CO44" s="414" t="e">
        <f>IF(CO43=0,0,IF(AND(CK44&gt;charge_ELS_quasi,CL44&gt;Charge_ELS_freq,CM44&gt;charge_ELU,CN44&gt;charge_ELA,$B44&gt;NDC!$H$22-0.1+MIN(3*$CO$12,1.5)),0,1))</f>
        <v>#N/A</v>
      </c>
      <c r="CP44" s="86" t="b">
        <f t="shared" si="39"/>
        <v>0</v>
      </c>
      <c r="CQ44" s="86">
        <f t="shared" si="40"/>
        <v>0.5</v>
      </c>
      <c r="CR44" s="86">
        <f t="shared" si="41"/>
        <v>0.5</v>
      </c>
      <c r="CS44" s="30" t="e">
        <f t="shared" ca="1" si="84"/>
        <v>#DIV/0!</v>
      </c>
      <c r="CT44" s="85" t="e">
        <f ca="1">IF(BZ44&lt;=Hypothèses!$V$7,Hypothèses!$W$7,IF(BZ44&lt;=Hypothèses!$V$8,Hypothèses!$W$8,IF(BZ44&lt;=Hypothèses!$V$9,Hypothèses!$W$9,IF(BZ44&lt;=Hypothèses!$V$10,Hypothèses!$W$10,IF(BZ44&lt;=Hypothèses!$V$11,Hypothèses!$W$11,IF(BZ44&lt;=Hypothèses!$V$12,Hypothèses!$W$12,IF(BZ44&lt;=Hypothèses!$V$13,Hypothèses!$W$13,IF(BZ44&lt;=Hypothèses!$V$14,Hypothèses!$W$14,IF(BZ44&lt;=Hypothèses!$V$15,Hypothèses!$W$15,IF(BZ44&lt;=Hypothèses!$V$16,Hypothèses!$W$16,IF(BZ44&lt;=Hypothèses!$V$17,Hypothèses!$W$17,IF(BZ44&lt;=Hypothèses!$V$18,Hypothèses!$W$18,""))))))))))))</f>
        <v>#DIV/0!</v>
      </c>
      <c r="CU44" s="87" t="e">
        <f t="shared" ca="1" si="120"/>
        <v>#DIV/0!</v>
      </c>
      <c r="CV44" s="88" t="e">
        <f ca="1">IF(BZ44&lt;=Hypothèses!$V$7,Hypothèses!$X$7,IF(BZ44&lt;=Hypothèses!$V$8,Hypothèses!$X$8,IF(BZ44&lt;=Hypothèses!$V$9,Hypothèses!$X$9,IF(BZ44&lt;=Hypothèses!$V$10,Hypothèses!$X$10,IF(BZ44&lt;=Hypothèses!$V$11,Hypothèses!$X$11,IF(BZ44&lt;=Hypothèses!$V$12,Hypothèses!$X$12,IF(BZ44&lt;=Hypothèses!$V$13,Hypothèses!$X$13,IF(BZ44&lt;=Hypothèses!$V$14,Hypothèses!$X$14,IF(BZ44&lt;=Hypothèses!$V$15,Hypothèses!$X$15,IF(BZ44&lt;=Hypothèses!$V$16,Hypothèses!$X$16,IF(BZ44&lt;=Hypothèses!$U$17,Hypothèses!$W$17,IF(BZ44&lt;=Hypothèses!$U$18,Hypothèses!$W$18,""))))))))))))</f>
        <v>#DIV/0!</v>
      </c>
      <c r="CW44" s="95" t="e">
        <f t="shared" ca="1" si="85"/>
        <v>#DIV/0!</v>
      </c>
      <c r="CX44" s="101" t="e">
        <f t="shared" si="127"/>
        <v>#N/A</v>
      </c>
      <c r="CY44" s="91" t="e">
        <f t="shared" si="43"/>
        <v>#N/A</v>
      </c>
      <c r="CZ44" s="30" t="e">
        <f t="shared" si="108"/>
        <v>#N/A</v>
      </c>
      <c r="DA44" s="30" t="e">
        <f t="shared" si="109"/>
        <v>#N/A</v>
      </c>
      <c r="DB44" s="31" t="e">
        <f>IF(OR(Hypothèses!$B$4=17,Hypothèses!$B$4=18,Hypothèses!$B$4=19,Hypothèses!$B$4=20),
IF($D44="Pressio.",
IF(OR($E44=3,$E44=1,$E44=4),DA44,CZ44),
IF($D44="Pénétro.",
IF(OR($E44=3,$E44=1,$E44=4),DA44,CZ44))),IF($D44="Pressio.",
IF($E44=3,DA44,CZ44),
IF($D44="Pénétro.",
IF($E44=4,DA44,CZ44))))</f>
        <v>#N/A</v>
      </c>
      <c r="DC44" s="31" t="e">
        <f>(IF(OR(Hypothèses!$B$4=17,Hypothèses!$B$4=18,Hypothèses!$B$4=19,Hypothèses!$B$4=20),
IF($D44="Pressio.",
IF(OR($E44=3,$E44=1,$E44=4),(PI()*DC$12^2)/4*(CY44*$W44*1000)/($H44*$B$5),(PI()*DC$12^2)/4*(CY44*$W44*1000)/($G44*$B$5)),
IF($D44="Pénétro.",
IF(OR($E44=4,$E44=1,$E44=5),(PI()*DC$12^2)/4*(CY44*$W44*1000)/($H44*$B$5),(PI()*DC$12^2)/4*(CY44*$W44*1000)/($G44*$B$5)))),
IF($D44="Pressio.",
IF($E44=3,(PI()*DC$12^2)/4*(CY44*$W44*1000)/($H44*$B$5),(PI()*DC$12^2)/4*(CY44*$W44*1000)/($G44*$B$5)),
IF($D44="Pénétro.",
IF($E44=4,(PI()*DC$12^2)/4*(CY44*$W44*1000)/($H44*$B$5),(PI()*DC$12^2)/4*(CY44*$W44*1000)/($G44*$B$5))))))/10</f>
        <v>#N/A</v>
      </c>
      <c r="DD44" s="102" t="e">
        <f>(VLOOKUP($B$3,'Coeff EC7'!$T$39:$X$59,2,0)*DB44+VLOOKUP($B$3,'Coeff EC7'!$T$65:$X$85,2,0)*Model0.1C!DC44)/1.1</f>
        <v>#N/A</v>
      </c>
      <c r="DE44" s="102" t="e">
        <f>(VLOOKUP($B$3,'Coeff EC7'!$T$39:$X$59,3,0)*DB44+VLOOKUP($B$3,'Coeff EC7'!$T$65:$X$85,3,0)*Model0.1C!DC44)/0.9</f>
        <v>#N/A</v>
      </c>
      <c r="DF44" s="102" t="e">
        <f t="shared" si="86"/>
        <v>#N/A</v>
      </c>
      <c r="DG44" s="102" t="e">
        <f t="shared" si="87"/>
        <v>#N/A</v>
      </c>
      <c r="DH44" s="414" t="e">
        <f>IF(DH43=0,0,IF(AND(DD44&gt;charge_ELS_quasi,DE44&gt;Charge_ELS_freq,DF44&gt;charge_ELU,DG44&gt;charge_ELA,$B44&gt;NDC!$H$22-0.1+MIN(3*$DH$12,1.5)),0,1))</f>
        <v>#N/A</v>
      </c>
      <c r="DI44" s="86" t="b">
        <f t="shared" si="46"/>
        <v>0</v>
      </c>
      <c r="DJ44" s="86">
        <f t="shared" si="47"/>
        <v>0.5</v>
      </c>
      <c r="DK44" s="86">
        <f t="shared" si="48"/>
        <v>0.5</v>
      </c>
      <c r="DL44" s="30" t="e">
        <f t="shared" ca="1" si="88"/>
        <v>#DIV/0!</v>
      </c>
      <c r="DM44" s="85" t="e">
        <f ca="1">IF(CS44&lt;=Hypothèses!$V$7,Hypothèses!$W$7,IF(CS44&lt;=Hypothèses!$V$8,Hypothèses!$W$8,IF(CS44&lt;=Hypothèses!$V$9,Hypothèses!$W$9,IF(CS44&lt;=Hypothèses!$V$10,Hypothèses!$W$10,IF(CS44&lt;=Hypothèses!$V$11,Hypothèses!$W$11,IF(CS44&lt;=Hypothèses!$V$12,Hypothèses!$W$12,IF(CS44&lt;=Hypothèses!$V$13,Hypothèses!$W$13,IF(CS44&lt;=Hypothèses!$V$14,Hypothèses!$W$14,IF(CS44&lt;=Hypothèses!$V$15,Hypothèses!$W$15,IF(CS44&lt;=Hypothèses!$V$16,Hypothèses!$W$16,IF(CS44&lt;=Hypothèses!$V$17,Hypothèses!$W$17,IF(CS44&lt;=Hypothèses!$V$18,Hypothèses!$W$18,""))))))))))))</f>
        <v>#DIV/0!</v>
      </c>
      <c r="DN44" s="87" t="e">
        <f t="shared" ca="1" si="121"/>
        <v>#DIV/0!</v>
      </c>
      <c r="DO44" s="88" t="e">
        <f ca="1">IF(CS44&lt;=Hypothèses!$V$7,Hypothèses!$X$7,IF(CS44&lt;=Hypothèses!$V$8,Hypothèses!$X$8,IF(CS44&lt;=Hypothèses!$V$9,Hypothèses!$X$9,IF(CS44&lt;=Hypothèses!$V$10,Hypothèses!$X$10,IF(CS44&lt;=Hypothèses!$V$11,Hypothèses!$X$11,IF(CS44&lt;=Hypothèses!$V$12,Hypothèses!$X$12,IF(CS44&lt;=Hypothèses!$V$13,Hypothèses!$X$13,IF(CS44&lt;=Hypothèses!$V$14,Hypothèses!$X$14,IF(CS44&lt;=Hypothèses!$V$15,Hypothèses!$X$15,IF(CS44&lt;=Hypothèses!$V$16,Hypothèses!$X$16,IF(CS44&lt;=Hypothèses!$U$17,Hypothèses!$W$17,IF(CS44&lt;=Hypothèses!$U$18,Hypothèses!$W$18,""))))))))))))</f>
        <v>#DIV/0!</v>
      </c>
      <c r="DP44" s="95" t="e">
        <f t="shared" ca="1" si="89"/>
        <v>#DIV/0!</v>
      </c>
      <c r="DQ44" s="101" t="e">
        <f t="shared" si="128"/>
        <v>#N/A</v>
      </c>
      <c r="DR44" s="91" t="e">
        <f t="shared" si="50"/>
        <v>#N/A</v>
      </c>
      <c r="DS44" s="30" t="e">
        <f t="shared" si="110"/>
        <v>#N/A</v>
      </c>
      <c r="DT44" s="30" t="e">
        <f t="shared" si="111"/>
        <v>#N/A</v>
      </c>
      <c r="DU44" s="31" t="e">
        <f>IF(OR(Hypothèses!$B$4=17,Hypothèses!$B$4=18,Hypothèses!$B$4=19,Hypothèses!$B$4=20),
IF($D44="Pressio.",
IF(OR($E44=3,$E44=1,$E44=4),DT44,DS44),
IF($D44="Pénétro.",
IF(OR($E44=3,$E44=1,$E44=4),DT44,DS44))),IF($D44="Pressio.",
IF($E44=3,DT44,DS44),
IF($D44="Pénétro.",
IF($E44=4,DT44,DS44))))</f>
        <v>#N/A</v>
      </c>
      <c r="DV44" s="31" t="e">
        <f>(IF(OR(Hypothèses!$B$4=17,Hypothèses!$B$4=18,Hypothèses!$B$4=19,Hypothèses!$B$4=20),
IF($D44="Pressio.",
IF(OR($E44=3,$E44=1,$E44=4),(PI()*DV$12^2)/4*(DR44*$W44*1000)/($H44*$B$5),(PI()*DV$12^2)/4*(DR44*$W44*1000)/($G44*$B$5)),
IF($D44="Pénétro.",
IF(OR($E44=4,$E44=1,$E44=5),(PI()*DV$12^2)/4*(DR44*$W44*1000)/($H44*$B$5),(PI()*DV$12^2)/4*(DR44*$W44*1000)/($G44*$B$5)))),
IF($D44="Pressio.",
IF($E44=3,(PI()*DV$12^2)/4*(DR44*$W44*1000)/($H44*$B$5),(PI()*DV$12^2)/4*(DR44*$W44*1000)/($G44*$B$5)),
IF($D44="Pénétro.",
IF($E44=4,(PI()*DV$12^2)/4*(DR44*$W44*1000)/($H44*$B$5),(PI()*DV$12^2)/4*(DR44*$W44*1000)/($G44*$B$5))))))/10</f>
        <v>#N/A</v>
      </c>
      <c r="DW44" s="102" t="e">
        <f>(VLOOKUP($B$3,'Coeff EC7'!$T$39:$X$59,2,0)*DU44+VLOOKUP($B$3,'Coeff EC7'!$T$65:$X$85,2,0)*Model0.1C!DV44)/1.1</f>
        <v>#N/A</v>
      </c>
      <c r="DX44" s="102" t="e">
        <f>(VLOOKUP($B$3,'Coeff EC7'!$T$39:$X$59,3,0)*DU44+VLOOKUP($B$3,'Coeff EC7'!$T$65:$X$85,3,0)*Model0.1C!DV44)/0.9</f>
        <v>#N/A</v>
      </c>
      <c r="DY44" s="102" t="e">
        <f t="shared" si="90"/>
        <v>#N/A</v>
      </c>
      <c r="DZ44" s="102" t="e">
        <f t="shared" si="91"/>
        <v>#N/A</v>
      </c>
      <c r="EA44" s="414" t="e">
        <f>IF(EA43=0,0,IF(AND(DW44&gt;charge_ELS_quasi,DX44&gt;Charge_ELS_freq,DY44&gt;charge_ELU,DZ44&gt;charge_ELA,$B44&gt;NDC!$H$22-0.1+MIN(3*$EA$12,1.5)),0,1))</f>
        <v>#N/A</v>
      </c>
      <c r="EB44" s="86" t="b">
        <f t="shared" si="53"/>
        <v>0</v>
      </c>
      <c r="EC44" s="418">
        <f t="shared" si="54"/>
        <v>0.51</v>
      </c>
      <c r="ED44" s="86">
        <f t="shared" si="55"/>
        <v>0.51</v>
      </c>
      <c r="EE44" s="30" t="e">
        <f t="shared" ca="1" si="92"/>
        <v>#DIV/0!</v>
      </c>
      <c r="EF44" s="85" t="e">
        <f ca="1">IF(DL44&lt;=Hypothèses!$V$7,Hypothèses!$W$7,IF(DL44&lt;=Hypothèses!$V$8,Hypothèses!$W$8,IF(DL44&lt;=Hypothèses!$V$9,Hypothèses!$W$9,IF(DL44&lt;=Hypothèses!$V$10,Hypothèses!$W$10,IF(DL44&lt;=Hypothèses!$V$11,Hypothèses!$W$11,IF(DL44&lt;=Hypothèses!$V$12,Hypothèses!$W$12,IF(DL44&lt;=Hypothèses!$V$13,Hypothèses!$W$13,IF(DL44&lt;=Hypothèses!$V$14,Hypothèses!$W$14,IF(DL44&lt;=Hypothèses!$V$15,Hypothèses!$W$15,IF(DL44&lt;=Hypothèses!$V$16,Hypothèses!$W$16,IF(DL44&lt;=Hypothèses!$V$17,Hypothèses!$W$17,IF(DL44&lt;=Hypothèses!$V$18,Hypothèses!$W$18,""))))))))))))</f>
        <v>#DIV/0!</v>
      </c>
      <c r="EG44" s="87" t="e">
        <f t="shared" ca="1" si="122"/>
        <v>#DIV/0!</v>
      </c>
      <c r="EH44" s="88" t="e">
        <f ca="1">IF(DL44&lt;=Hypothèses!$V$7,Hypothèses!$X$7,IF(DL44&lt;=Hypothèses!$V$8,Hypothèses!$X$8,IF(DL44&lt;=Hypothèses!$V$9,Hypothèses!$X$9,IF(DL44&lt;=Hypothèses!$V$10,Hypothèses!$X$10,IF(DL44&lt;=Hypothèses!$V$11,Hypothèses!$X$11,IF(DL44&lt;=Hypothèses!$V$12,Hypothèses!$X$12,IF(DL44&lt;=Hypothèses!$V$13,Hypothèses!$X$13,IF(DL44&lt;=Hypothèses!$V$14,Hypothèses!$X$14,IF(DL44&lt;=Hypothèses!$V$15,Hypothèses!$X$15,IF(DL44&lt;=Hypothèses!$V$16,Hypothèses!$X$16,IF(DL44&lt;=Hypothèses!$U$17,Hypothèses!$W$17,IF(DL44&lt;=Hypothèses!$U$18,Hypothèses!$W$18,""))))))))))))</f>
        <v>#DIV/0!</v>
      </c>
      <c r="EI44" s="95" t="e">
        <f t="shared" ca="1" si="93"/>
        <v>#DIV/0!</v>
      </c>
      <c r="EJ44" s="101" t="e">
        <f t="shared" si="129"/>
        <v>#N/A</v>
      </c>
      <c r="EK44" s="91" t="e">
        <f t="shared" si="57"/>
        <v>#N/A</v>
      </c>
      <c r="EL44" s="30" t="e">
        <f t="shared" si="112"/>
        <v>#N/A</v>
      </c>
      <c r="EM44" s="30" t="e">
        <f t="shared" si="113"/>
        <v>#N/A</v>
      </c>
      <c r="EN44" s="31" t="e">
        <f>IF(OR(Hypothèses!$B$4=17,Hypothèses!$B$4=18,Hypothèses!$B$4=19,Hypothèses!$B$4=20),
IF($D44="Pressio.",
IF(OR($E44=3,$E44=1,$E44=4),EM44,EL44),
IF($D44="Pénétro.",
IF(OR($E44=3,$E44=1,$E44=4),EM44,EL44))),IF($D44="Pressio.",
IF($E44=3,EM44,EL44),
IF($D44="Pénétro.",
IF($E44=4,EM44,EL44))))</f>
        <v>#N/A</v>
      </c>
      <c r="EO44" s="31" t="e">
        <f>(IF(OR(Hypothèses!$B$4=17,Hypothèses!$B$4=18,Hypothèses!$B$4=19,Hypothèses!$B$4=20),
IF($D44="Pressio.",
IF(OR($E44=3,$E44=1,$E44=4),(PI()*EO$12^2)/4*(EK44*$W44*1000)/($H44*$B$5),(PI()*EO$12^2)/4*(EK44*$W44*1000)/($G44*$B$5)),
IF($D44="Pénétro.",
IF(OR($E44=4,$E44=1,$E44=5),(PI()*EO$12^2)/4*(EK44*$W44*1000)/($H44*$B$5),(PI()*EO$12^2)/4*(EK44*$W44*1000)/($G44*$B$5)))),
IF($D44="Pressio.",
IF($E44=3,(PI()*EO$12^2)/4*(EK44*$W44*1000)/($H44*$B$5),(PI()*EO$12^2)/4*(EK44*$W44*1000)/($G44*$B$5)),
IF($D44="Pénétro.",
IF($E44=4,(PI()*EO$12^2)/4*(EK44*$W44*1000)/($H44*$B$5),(PI()*EO$12^2)/4*(EK44*$W44*1000)/($G44*$B$5))))))/10</f>
        <v>#N/A</v>
      </c>
      <c r="EP44" s="102" t="e">
        <f>(VLOOKUP($B$3,'Coeff EC7'!$T$39:$X$59,2,0)*EN44+VLOOKUP($B$3,'Coeff EC7'!$T$65:$X$85,2,0)*Model0.1C!EO44)/1.1</f>
        <v>#N/A</v>
      </c>
      <c r="EQ44" s="102" t="e">
        <f>(VLOOKUP($B$3,'Coeff EC7'!$T$39:$X$59,3,0)*EN44+VLOOKUP($B$3,'Coeff EC7'!$T$65:$X$85,3,0)*Model0.1C!EO44)/0.9</f>
        <v>#N/A</v>
      </c>
      <c r="ER44" s="102" t="e">
        <f t="shared" si="94"/>
        <v>#N/A</v>
      </c>
      <c r="ES44" s="102" t="e">
        <f t="shared" si="95"/>
        <v>#N/A</v>
      </c>
      <c r="ET44" s="414" t="e">
        <f>IF(ET43=0,0,IF(AND(EP44&gt;charge_ELS_quasi,EQ44&gt;Charge_ELS_freq,ER44&gt;charge_ELU,ES44&gt;charge_ELA,$B44&gt;NDC!$H$22-0.1+MIN(3*$ET$12,1.5)),0,1))</f>
        <v>#N/A</v>
      </c>
      <c r="EU44" s="86" t="b">
        <f t="shared" si="60"/>
        <v>0</v>
      </c>
      <c r="EV44" s="86">
        <f t="shared" si="61"/>
        <v>0.61</v>
      </c>
      <c r="EW44" s="86">
        <f t="shared" si="62"/>
        <v>0.61</v>
      </c>
      <c r="EX44" s="30" t="e">
        <f t="shared" ca="1" si="96"/>
        <v>#DIV/0!</v>
      </c>
      <c r="EY44" s="85" t="e">
        <f ca="1">IF(EE44&lt;=Hypothèses!$V$7,Hypothèses!$W$7,IF(EE44&lt;=Hypothèses!$V$8,Hypothèses!$W$8,IF(EE44&lt;=Hypothèses!$V$9,Hypothèses!$W$9,IF(EE44&lt;=Hypothèses!$V$10,Hypothèses!$W$10,IF(EE44&lt;=Hypothèses!$V$11,Hypothèses!$W$11,IF(EE44&lt;=Hypothèses!$V$12,Hypothèses!$W$12,IF(EE44&lt;=Hypothèses!$V$13,Hypothèses!$W$13,IF(EE44&lt;=Hypothèses!$V$14,Hypothèses!$W$14,IF(EE44&lt;=Hypothèses!$V$15,Hypothèses!$W$15,IF(EE44&lt;=Hypothèses!$V$16,Hypothèses!$W$16,IF(EE44&lt;=Hypothèses!$V$17,Hypothèses!$W$17,IF(EE44&lt;=Hypothèses!$V$18,Hypothèses!$W$18,""))))))))))))</f>
        <v>#DIV/0!</v>
      </c>
      <c r="EZ44" s="87" t="e">
        <f t="shared" ca="1" si="123"/>
        <v>#DIV/0!</v>
      </c>
      <c r="FA44" s="88" t="e">
        <f ca="1">IF(EE44&lt;=Hypothèses!$V$7,Hypothèses!$X$7,IF(EE44&lt;=Hypothèses!$V$8,Hypothèses!$X$8,IF(EE44&lt;=Hypothèses!$V$9,Hypothèses!$X$9,IF(EE44&lt;=Hypothèses!$V$10,Hypothèses!$X$10,IF(EE44&lt;=Hypothèses!$V$11,Hypothèses!$X$11,IF(EE44&lt;=Hypothèses!$V$12,Hypothèses!$X$12,IF(EE44&lt;=Hypothèses!$V$13,Hypothèses!$X$13,IF(EE44&lt;=Hypothèses!$V$14,Hypothèses!$X$14,IF(EE44&lt;=Hypothèses!$V$15,Hypothèses!$X$15,IF(EE44&lt;=Hypothèses!$V$16,Hypothèses!$X$16,IF(EE44&lt;=Hypothèses!$U$17,Hypothèses!$W$17,IF(EE44&lt;=Hypothèses!$U$18,Hypothèses!$W$18,""))))))))))))</f>
        <v>#DIV/0!</v>
      </c>
      <c r="FB44" s="95" t="e">
        <f t="shared" ca="1" si="97"/>
        <v>#DIV/0!</v>
      </c>
      <c r="FC44" s="101" t="e">
        <f t="shared" si="130"/>
        <v>#N/A</v>
      </c>
      <c r="FD44" s="91" t="e">
        <f t="shared" si="64"/>
        <v>#N/A</v>
      </c>
      <c r="FE44" s="30" t="e">
        <f t="shared" si="114"/>
        <v>#N/A</v>
      </c>
      <c r="FF44" s="30" t="e">
        <f t="shared" si="115"/>
        <v>#N/A</v>
      </c>
      <c r="FG44" s="31" t="e">
        <f>IF(OR(Hypothèses!$B$4=17,Hypothèses!$B$4=18,Hypothèses!$B$4=19,Hypothèses!$B$4=20),
IF($D44="Pressio.",
IF(OR($E44=3,$E44=1,$E44=4),FF44,FE44),
IF($D44="Pénétro.",
IF(OR($E44=3,$E44=1,$E44=4),FF44,FE44))),IF($D44="Pressio.",
IF($E44=3,FF44,FE44),
IF($D44="Pénétro.",
IF($E44=4,FF44,FE44))))</f>
        <v>#N/A</v>
      </c>
      <c r="FH44" s="31" t="e">
        <f>(IF(OR(Hypothèses!$B$4=17,Hypothèses!$B$4=18,Hypothèses!$B$4=19,Hypothèses!$B$4=20),
IF($D44="Pressio.",
IF(OR($E44=3,$E44=1,$E44=4),(PI()*FH$12^2)/4*(FD44*$W44*1000)/($H44*$B$5),(PI()*FH$12^2)/4*(FD44*$W44*1000)/($G44*$B$5)),
IF($D44="Pénétro.",
IF(OR($E44=4,$E44=1,$E44=5),(PI()*FH$12^2)/4*(FD44*$W44*1000)/($H44*$B$5),(PI()*FH$12^2)/4*(FD44*$W44*1000)/($G44*$B$5)))),
IF($D44="Pressio.",
IF($E44=3,(PI()*FH$12^2)/4*(FD44*$W44*1000)/($H44*$B$5),(PI()*FH$12^2)/4*(FD44*$W44*1000)/($G44*$B$5)),
IF($D44="Pénétro.",
IF($E44=4,(PI()*FH$12^2)/4*(FD44*$W44*1000)/($H44*$B$5),(PI()*FH$12^2)/4*(FD44*$W44*1000)/($G44*$B$5))))))/10</f>
        <v>#N/A</v>
      </c>
      <c r="FI44" s="102" t="e">
        <f>(VLOOKUP($B$3,'Coeff EC7'!$T$39:$X$59,2,0)*FG44+VLOOKUP($B$3,'Coeff EC7'!$T$65:$X$85,2,0)*Model0.1C!FH44)/1.1</f>
        <v>#N/A</v>
      </c>
      <c r="FJ44" s="102" t="e">
        <f>(VLOOKUP($B$3,'Coeff EC7'!$T$39:$X$59,3,0)*FG44+VLOOKUP($B$3,'Coeff EC7'!$T$65:$X$85,3,0)*Model0.1C!FH44)/0.9</f>
        <v>#N/A</v>
      </c>
      <c r="FK44" s="102" t="e">
        <f t="shared" si="98"/>
        <v>#N/A</v>
      </c>
      <c r="FL44" s="102" t="e">
        <f t="shared" si="99"/>
        <v>#N/A</v>
      </c>
      <c r="FM44" s="414" t="e">
        <f>IF(FM43=0,0,IF(AND(FI44&gt;charge_ELS_quasi,FJ44&gt;Charge_ELS_freq,FK44&gt;charge_ELU,FL44&gt;charge_ELA,$B44&gt;NDC!$H$22-0.1+MIN(3*$FM$12,1.5)),0,1))</f>
        <v>#N/A</v>
      </c>
    </row>
    <row r="45" spans="1:169">
      <c r="A45" s="96">
        <f t="shared" si="67"/>
        <v>96.800000000000182</v>
      </c>
      <c r="B45" s="97">
        <v>3.2</v>
      </c>
      <c r="C45" s="81">
        <f>IF(B45&lt;=Hypothèses!$C$7,Hypothèses!$A$7,IF(B45&lt;=Hypothèses!$C$8,Hypothèses!$A$8,IF(B45&lt;=Hypothèses!$C$9,Hypothèses!$A$9,IF(B45&lt;=Hypothèses!$C$10,Hypothèses!$A$10,IF(B45&lt;=Hypothèses!$C$11,Hypothèses!$A$11,IF(B45&lt;=Hypothèses!$C$12,Hypothèses!$A$12,IF(B45&lt;=Hypothèses!$C$13,Hypothèses!$A$13,IF(B45&lt;=Hypothèses!$C$14,Hypothèses!$A$14,IF(B45&lt;=Hypothèses!$C$15,Hypothèses!$A$15,IF(B45&lt;=Hypothèses!$C$16,Hypothèses!$A$16,IF(B45&lt;=Hypothèses!$C$17,Hypothèses!$A$17,IF(B45&lt;=Hypothèses!$C$18,Hypothèses!$A$18,C44))))))))))))</f>
        <v>11</v>
      </c>
      <c r="D45" s="82" t="str">
        <f>IF(B45&lt;=Hypothèses!$C$7,Hypothèses!$R$7,IF(B45&lt;=Hypothèses!$C$8,Hypothèses!$R$8,IF(B45&lt;=Hypothèses!$C$9,Hypothèses!$R$9,IF(B45&lt;=Hypothèses!$C$10,Hypothèses!$R$10,IF(B45&lt;=Hypothèses!$C$11,Hypothèses!$R$11,IF(B45&lt;=Hypothèses!$C$12,Hypothèses!$R$12,IF(B45&lt;=Hypothèses!$C$13,Hypothèses!$R$13,IF(B45&lt;=Hypothèses!$C$14,Hypothèses!$R$14,IF(B45&lt;=Hypothèses!$C$15,Hypothèses!$R$15,IF(B45&lt;=Hypothèses!$C$16,Hypothèses!$R$16,IF(B45&lt;=Hypothèses!$C$17,Hypothèses!$R$17,IF(B45&lt;=Hypothèses!$C$18,Hypothèses!$R$18,D44))))))))))))</f>
        <v>Pressio.</v>
      </c>
      <c r="E45" s="82" t="e">
        <f>IF(B45&lt;=Hypothèses!$C$7,Hypothèses!$G$7,IF(B45&lt;=Hypothèses!$C$8,Hypothèses!$G$8,IF(B45&lt;=Hypothèses!$C$9,Hypothèses!$G$9,IF(B45&lt;=Hypothèses!$C$10,Hypothèses!$G$10,IF(B45&lt;=Hypothèses!$C$11,Hypothèses!$G$11,IF(B45&lt;=Hypothèses!$C$12,Hypothèses!$G$12,IF(B45&lt;=Hypothèses!$C$13,Hypothèses!$G$13,IF(B45&lt;=Hypothèses!$C$14,Hypothèses!$G$14,IF(B45&lt;=Hypothèses!$C$15,Hypothèses!$G$15,IF(B45&lt;=Hypothèses!$C$16,Hypothèses!$G$16,IF(B45&lt;=Hypothèses!$C$17,Hypothèses!$G$17,IF(B45&lt;=Hypothèses!$C$18,Hypothèses!$G$18,E44))))))))))))</f>
        <v>#N/A</v>
      </c>
      <c r="F45" s="82" t="str">
        <f>IF(B45&lt;=Hypothèses!$C$7,Hypothèses!$F$7,IF(B45&lt;=Hypothèses!$C$8,Hypothèses!$F$8,IF(B45&lt;=Hypothèses!$C$9,Hypothèses!$F$9,IF(B45&lt;=Hypothèses!$C$10,Hypothèses!$F$10,IF(B45&lt;=Hypothèses!$C$11,Hypothèses!$F$11,IF(B45&lt;=Hypothèses!$C$12,Hypothèses!$F$12,IF(B45&lt;=Hypothèses!$C$13,Hypothèses!$F$13,IF(B45&lt;=Hypothèses!$C$14,Hypothèses!$F$14,IF(B45&lt;=Hypothèses!$C$15,Hypothèses!$F$15,IF(B45&lt;=Hypothèses!$C$16,Hypothèses!$F$16,IF(B45&lt;=Hypothèses!$C$17,Hypothèses!$F$17,IF(B45&lt;=Hypothèses!$C$18,Hypothèses!$F$18,F44))))))))))))</f>
        <v/>
      </c>
      <c r="G45" s="91">
        <f t="array" ref="G45">INDEX('Coeff EC7'!$U$7:$X$27,
MATCH(Model0.1C!$B$3,'Coeff EC7'!$T$7:$T$27,0),
MATCH(Model0.1C!$D45&amp;Model0.1C!$B$4,
'Coeff EC7'!$U$6:$X$6&amp;
'Coeff EC7'!$U$5:$X$5,0))</f>
        <v>1.1499999999999999</v>
      </c>
      <c r="H45" s="91">
        <f t="array" ref="H45">INDEX('Coeff EC7'!$Y$7:$AB$27,
MATCH(Model0.1C!$B$3,'Coeff EC7'!$T$7:$T$27,0),
MATCH(Model0.1C!$D45&amp;Model0.1C!$B$4,
'Coeff EC7'!$Y$6:$AB$6&amp;
'Coeff EC7'!$Y$5:$AB$5,0))</f>
        <v>1.4</v>
      </c>
      <c r="I45" s="83" t="e">
        <f>IF(B45&lt;=Hypothèses!$C$7,Hypothèses!$P$7,IF(B45&lt;=Hypothèses!$C$8,Hypothèses!$P$8,IF(B45&lt;=Hypothèses!$C$9,Hypothèses!$P$9,IF(B45&lt;=Hypothèses!$C$10,Hypothèses!$P$10,IF(B45&lt;=Hypothèses!$C$11,Hypothèses!$P$11,IF(B45&lt;=Hypothèses!$C$12,Hypothèses!$P$12,IF(B45&lt;=Hypothèses!$C$13,Hypothèses!$P$13,IF(B45&lt;=Hypothèses!$C$14,Hypothèses!$P$14,IF(B45&lt;=Hypothèses!$C$15,Hypothèses!$P$15,IF(B45&lt;=Hypothèses!$C$16,Hypothèses!$P$16,IF(B45&lt;=Hypothèses!$C$17,Hypothèses!$P$17,IF(B45&lt;=Hypothèses!$C$18,Hypothèses!$P$18,I44))))))))))))</f>
        <v>#N/A</v>
      </c>
      <c r="J45" s="91" t="e">
        <f t="array" ref="J45">INDEX('Coeff EC7'!$D$33:$Q$33,1,MATCH(D45&amp;E45,'Coeff EC7'!$D$31:$Q$31&amp;'Coeff EC7'!$D$32:$Q$32,0))</f>
        <v>#N/A</v>
      </c>
      <c r="K45" s="91" t="e">
        <f t="array" ref="K45">INDEX('Coeff EC7'!$D$34:$Q$34,1,MATCH(D45&amp;E45,'Coeff EC7'!$D$31:$Q$31&amp;'Coeff EC7'!$D$32:$Q$32,0))</f>
        <v>#N/A</v>
      </c>
      <c r="L45" s="91" t="e">
        <f t="array" ref="L45">INDEX('Coeff EC7'!$D$35:$Q$35,1,MATCH(D45&amp;E45,'Coeff EC7'!$D$31:$Q$31&amp;'Coeff EC7'!$D$32:$Q$32,0))</f>
        <v>#N/A</v>
      </c>
      <c r="M45" s="98" t="e">
        <f t="shared" si="8"/>
        <v>#N/A</v>
      </c>
      <c r="N45" s="99" t="e">
        <f t="array" ref="N45">INDEX('Coeff EC7'!$D$7:$Q$27,MATCH($B$3,'Coeff EC7'!$C$7:$C$27,0),MATCH(D45&amp;E45,'Coeff EC7'!$D$5:$Q$5&amp;'Coeff EC7'!$D$6:$Q$6,0))</f>
        <v>#N/A</v>
      </c>
      <c r="O45" s="99" t="e">
        <f t="array" ref="O45">INDEX('Coeff EC7'!$D$41:$Q$61,MATCH($B$3,'Coeff EC7'!$C$41:$C$61,0),MATCH(D45&amp;E45,'Coeff EC7'!$D$39:$Q$39&amp;'Coeff EC7'!$D$40:$Q$40,0))</f>
        <v>#N/A</v>
      </c>
      <c r="P45" s="30" t="e">
        <f t="shared" si="68"/>
        <v>#N/A</v>
      </c>
      <c r="Q45" s="100" t="e">
        <f t="shared" si="10"/>
        <v>#N/A</v>
      </c>
      <c r="R45" s="86" t="b">
        <f t="shared" si="11"/>
        <v>0</v>
      </c>
      <c r="S45" s="86">
        <f t="shared" si="9"/>
        <v>0.5</v>
      </c>
      <c r="T45" s="86">
        <f t="shared" si="12"/>
        <v>0.5</v>
      </c>
      <c r="U45" s="30" t="e">
        <f t="shared" ca="1" si="69"/>
        <v>#DIV/0!</v>
      </c>
      <c r="V45" s="85" t="str">
        <f>IF(B45&lt;=Hypothèses!$V$7,Hypothèses!$W$7,IF(B45&lt;=Hypothèses!$V$8,Hypothèses!$W$8,IF(B45&lt;=Hypothèses!$V$9,Hypothèses!$W$9,IF(B45&lt;=Hypothèses!$V$10,Hypothèses!$W$10,IF(B45&lt;=Hypothèses!$V$11,Hypothèses!$W$11,IF(B45&lt;=Hypothèses!$V$12,Hypothèses!$W$12,IF(B45&lt;=Hypothèses!$V$13,Hypothèses!$W$13,IF(B45&lt;=Hypothèses!$V$14,Hypothèses!$W$14,IF(B45&lt;=Hypothèses!$V$15,Hypothèses!$W$15,IF(B45&lt;=Hypothèses!$V$16,Hypothèses!$W$16,IF(B45&lt;=Hypothèses!$V$17,Hypothèses!$W$17,IF(B45&lt;=Hypothèses!$V$18,Hypothèses!$W$18,""))))))))))))</f>
        <v/>
      </c>
      <c r="W45" s="87" t="e">
        <f t="shared" ca="1" si="116"/>
        <v>#DIV/0!</v>
      </c>
      <c r="X45" s="88" t="str">
        <f>IF(B45&lt;=Hypothèses!$V$7,Hypothèses!$X$7,IF(B45&lt;=Hypothèses!$V$8,Hypothèses!$X$8,IF(B45&lt;=Hypothèses!$V$9,Hypothèses!$X$9,IF(B45&lt;=Hypothèses!$V$10,Hypothèses!$X$10,IF(B45&lt;=Hypothèses!$V$11,Hypothèses!$X$11,IF(B45&lt;=Hypothèses!$V$12,Hypothèses!$X$12,IF(B45&lt;=Hypothèses!$V$13,Hypothèses!$X$13,IF(B45&lt;=Hypothèses!$V$14,Hypothèses!$X$14,IF(B45&lt;=Hypothèses!$V$15,Hypothèses!$X$15,IF(B45&lt;=Hypothèses!$V$16,Hypothèses!$X$16,IF(B45&lt;=Hypothèses!$U$17,Hypothèses!$W$17,IF(B45&lt;=Hypothèses!$U$18,Hypothèses!$W$18,""))))))))))))</f>
        <v/>
      </c>
      <c r="Y45" s="95" t="e">
        <f t="shared" ca="1" si="13"/>
        <v>#DIV/0!</v>
      </c>
      <c r="Z45" s="101" t="e">
        <f t="shared" si="14"/>
        <v>#N/A</v>
      </c>
      <c r="AA45" s="91" t="e">
        <f t="shared" si="15"/>
        <v>#N/A</v>
      </c>
      <c r="AB45" s="30" t="e">
        <f t="shared" si="100"/>
        <v>#N/A</v>
      </c>
      <c r="AC45" s="30" t="e">
        <f t="shared" si="101"/>
        <v>#N/A</v>
      </c>
      <c r="AD45" s="31" t="e">
        <f>IF(OR(Hypothèses!$B$4=17,Hypothèses!$B$4=18,Hypothèses!$B$4=19,Hypothèses!$B$4=20),
IF($D45="Pressio.",
IF(OR($E45=3,$E45=1,$E45=4),AC45,AB45),
IF($D45="Pénétro.",
IF(OR($E45=3,$E45=1,$E45=4),AC45,AB45))),IF($D45="Pressio.",
IF($E45=3,AC45,AB45),
IF($D45="Pénétro.",
IF($E45=4,AC45,AB45))))</f>
        <v>#N/A</v>
      </c>
      <c r="AE45" s="31" t="e">
        <f>(IF(OR(Hypothèses!$B$4=17,Hypothèses!$B$4=18,Hypothèses!$B$4=19,Hypothèses!$B$4=20),
IF($D45="Pressio.",
IF(OR($E45=3,$E45=1,$E45=4),(PI()*AE$12^2)/4*(AA45*$W45*1000)/($H45*$B$5),(PI()*AE$12^2)/4*(AA45*$W45*1000)/($G45*$B$5)),
IF($D45="Pénétro.",
IF(OR($E45=4,$E45=1,$E45=5),(PI()*AE$12^2)/4*(AA45*$W45*1000)/($H45*$B$5),(PI()*AE$12^2)/4*(AA45*$W45*1000)/($G45*$B$5)))),
IF($D45="Pressio.",
IF($E45=3,(PI()*AE$12^2)/4*(AA45*$W45*1000)/($H45*$B$5),(PI()*AE$12^2)/4*(AA45*$W45*1000)/($G45*$B$5)),
IF($D45="Pénétro.",
IF($E45=4,(PI()*AE$12^2)/4*(AA45*$W45*1000)/($H45*$B$5),(PI()*AE$12^2)/4*(AA45*$W45*1000)/($G45*$B$5))))))/10</f>
        <v>#N/A</v>
      </c>
      <c r="AF45" s="102" t="e">
        <f>(VLOOKUP($B$3,'Coeff EC7'!$T$39:$X$59,2,0)*AD45+VLOOKUP($B$3,'Coeff EC7'!$T$65:$X$85,2,0)*Model0.1C!AE45)/1.1</f>
        <v>#N/A</v>
      </c>
      <c r="AG45" s="102" t="e">
        <f>(VLOOKUP($B$3,'Coeff EC7'!$T$39:$X$59,3,0)*AD45+VLOOKUP($B$3,'Coeff EC7'!$T$65:$X$85,3,0)*Model0.1C!AE45)/0.9</f>
        <v>#N/A</v>
      </c>
      <c r="AH45" s="102" t="e">
        <f t="shared" si="18"/>
        <v>#N/A</v>
      </c>
      <c r="AI45" s="102" t="e">
        <f t="shared" si="19"/>
        <v>#N/A</v>
      </c>
      <c r="AJ45" s="414" t="e">
        <f>IF(AJ44=0,0,IF(AND(AF45&gt;charge_ELS_quasi,AG45&gt;Charge_ELS_freq,AH45&gt;charge_ELU,AI45&gt;charge_ELA,$B45&gt;NDC!$H$22-0.1+MIN(3*$AJ$12,1.5)),0,1))</f>
        <v>#N/A</v>
      </c>
      <c r="AK45" s="86" t="b">
        <f t="shared" si="20"/>
        <v>0</v>
      </c>
      <c r="AL45" s="86">
        <f t="shared" si="70"/>
        <v>0.5</v>
      </c>
      <c r="AM45" s="86">
        <f t="shared" si="21"/>
        <v>0.5</v>
      </c>
      <c r="AN45" s="30" t="e">
        <f t="shared" ca="1" si="71"/>
        <v>#DIV/0!</v>
      </c>
      <c r="AO45" s="85" t="e">
        <f ca="1">IF(U45&lt;=Hypothèses!$V$7,Hypothèses!$W$7,IF(U45&lt;=Hypothèses!$V$8,Hypothèses!$W$8,IF(U45&lt;=Hypothèses!$V$9,Hypothèses!$W$9,IF(U45&lt;=Hypothèses!$V$10,Hypothèses!$W$10,IF(U45&lt;=Hypothèses!$V$11,Hypothèses!$W$11,IF(U45&lt;=Hypothèses!$V$12,Hypothèses!$W$12,IF(U45&lt;=Hypothèses!$V$13,Hypothèses!$W$13,IF(U45&lt;=Hypothèses!$V$14,Hypothèses!$W$14,IF(U45&lt;=Hypothèses!$V$15,Hypothèses!$W$15,IF(U45&lt;=Hypothèses!$V$16,Hypothèses!$W$16,IF(U45&lt;=Hypothèses!$V$17,Hypothèses!$W$17,IF(U45&lt;=Hypothèses!$V$18,Hypothèses!$W$18,""))))))))))))</f>
        <v>#DIV/0!</v>
      </c>
      <c r="AP45" s="87" t="e">
        <f t="shared" ca="1" si="117"/>
        <v>#DIV/0!</v>
      </c>
      <c r="AQ45" s="88" t="e">
        <f ca="1">IF(U45&lt;=Hypothèses!$V$7,Hypothèses!$X$7,IF(U45&lt;=Hypothèses!$V$8,Hypothèses!$X$8,IF(U45&lt;=Hypothèses!$V$9,Hypothèses!$X$9,IF(U45&lt;=Hypothèses!$V$10,Hypothèses!$X$10,IF(U45&lt;=Hypothèses!$V$11,Hypothèses!$X$11,IF(U45&lt;=Hypothèses!$V$12,Hypothèses!$X$12,IF(U45&lt;=Hypothèses!$V$13,Hypothèses!$X$13,IF(U45&lt;=Hypothèses!$V$14,Hypothèses!$X$14,IF(U45&lt;=Hypothèses!$V$15,Hypothèses!$X$15,IF(U45&lt;=Hypothèses!$V$16,Hypothèses!$X$16,IF(U45&lt;=Hypothèses!$U$17,Hypothèses!$W$17,IF(U45&lt;=Hypothèses!$U$18,Hypothèses!$W$18,""))))))))))))</f>
        <v>#DIV/0!</v>
      </c>
      <c r="AR45" s="95" t="e">
        <f t="shared" ca="1" si="72"/>
        <v>#DIV/0!</v>
      </c>
      <c r="AS45" s="101" t="e">
        <f t="shared" si="124"/>
        <v>#N/A</v>
      </c>
      <c r="AT45" s="91" t="e">
        <f t="shared" si="23"/>
        <v>#N/A</v>
      </c>
      <c r="AU45" s="30" t="e">
        <f t="shared" si="102"/>
        <v>#N/A</v>
      </c>
      <c r="AV45" s="30" t="e">
        <f t="shared" si="103"/>
        <v>#N/A</v>
      </c>
      <c r="AW45" s="31" t="e">
        <f>IF(OR(Hypothèses!$B$4=17,Hypothèses!$B$4=18,Hypothèses!$B$4=19,Hypothèses!$B$4=20),
IF($D45="Pressio.",
IF(OR($E45=3,$E45=1,$E45=4),AV45,AU45),
IF($D45="Pénétro.",
IF(OR($E45=3,$E45=1,$E45=4),AV45,AU45))),IF($D45="Pressio.",
IF($E45=3,AV45,AU45),
IF($D45="Pénétro.",
IF($E45=4,AV45,AU45))))</f>
        <v>#N/A</v>
      </c>
      <c r="AX45" s="31" t="e">
        <f>(IF(OR(Hypothèses!$B$4=17,Hypothèses!$B$4=18,Hypothèses!$B$4=19,Hypothèses!$B$4=20),
IF($D45="Pressio.",
IF(OR($E45=3,$E45=1,$E45=4),(PI()*AX$12^2)/4*(AT45*$W45*1000)/($H45*$B$5),(PI()*AX$12^2)/4*(AT45*$W45*1000)/($G45*$B$5)),
IF($D45="Pénétro.",
IF(OR($E45=4,$E45=1,$E45=5),(PI()*AX$12^2)/4*(AT45*$W45*1000)/($H45*$B$5),(PI()*AX$12^2)/4*(AT45*$W45*1000)/($G45*$B$5)))),
IF($D45="Pressio.",
IF($E45=3,(PI()*AX$12^2)/4*(AT45*$W45*1000)/($H45*$B$5),(PI()*AX$12^2)/4*(AT45*$W45*1000)/($G45*$B$5)),
IF($D45="Pénétro.",
IF($E45=4,(PI()*AX$12^2)/4*(AT45*$W45*1000)/($H45*$B$5),(PI()*AX$12^2)/4*(AT45*$W45*1000)/($G45*$B$5))))))/10</f>
        <v>#N/A</v>
      </c>
      <c r="AY45" s="102" t="e">
        <f>(VLOOKUP($B$3,'Coeff EC7'!$T$39:$X$59,2,0)*AW45+VLOOKUP($B$3,'Coeff EC7'!$T$65:$X$85,2,0)*Model0.1C!AX45)/1.1</f>
        <v>#N/A</v>
      </c>
      <c r="AZ45" s="102" t="e">
        <f>(VLOOKUP($B$3,'Coeff EC7'!$T$39:$X$59,3,0)*AW45+VLOOKUP($B$3,'Coeff EC7'!$T$65:$X$85,3,0)*Model0.1C!AX45)/0.9</f>
        <v>#N/A</v>
      </c>
      <c r="BA45" s="102" t="e">
        <f t="shared" si="73"/>
        <v>#N/A</v>
      </c>
      <c r="BB45" s="102" t="e">
        <f t="shared" si="74"/>
        <v>#N/A</v>
      </c>
      <c r="BC45" s="414" t="e">
        <f>IF(BC44=0,0,IF(AND(AY45&gt;charge_ELS_quasi,AZ45&gt;Charge_ELS_freq,BA45&gt;charge_ELU,BB45&gt;charge_ELA,$B45&gt;NDC!$H$22-0.1+MIN(3*$BC$12,1.5)),0,1))</f>
        <v>#N/A</v>
      </c>
      <c r="BD45" s="86" t="b">
        <f t="shared" si="26"/>
        <v>0</v>
      </c>
      <c r="BE45" s="86">
        <f t="shared" si="75"/>
        <v>0.5</v>
      </c>
      <c r="BF45" s="86">
        <f t="shared" si="27"/>
        <v>0.5</v>
      </c>
      <c r="BG45" s="30" t="e">
        <f t="shared" ca="1" si="76"/>
        <v>#DIV/0!</v>
      </c>
      <c r="BH45" s="85" t="e">
        <f ca="1">IF(AN45&lt;=Hypothèses!$V$7,Hypothèses!$W$7,IF(AN45&lt;=Hypothèses!$V$8,Hypothèses!$W$8,IF(AN45&lt;=Hypothèses!$V$9,Hypothèses!$W$9,IF(AN45&lt;=Hypothèses!$V$10,Hypothèses!$W$10,IF(AN45&lt;=Hypothèses!$V$11,Hypothèses!$W$11,IF(AN45&lt;=Hypothèses!$V$12,Hypothèses!$W$12,IF(AN45&lt;=Hypothèses!$V$13,Hypothèses!$W$13,IF(AN45&lt;=Hypothèses!$V$14,Hypothèses!$W$14,IF(AN45&lt;=Hypothèses!$V$15,Hypothèses!$W$15,IF(AN45&lt;=Hypothèses!$V$16,Hypothèses!$W$16,IF(AN45&lt;=Hypothèses!$V$17,Hypothèses!$W$17,IF(AN45&lt;=Hypothèses!$V$18,Hypothèses!$W$18,""))))))))))))</f>
        <v>#DIV/0!</v>
      </c>
      <c r="BI45" s="87" t="e">
        <f t="shared" ca="1" si="118"/>
        <v>#DIV/0!</v>
      </c>
      <c r="BJ45" s="88" t="e">
        <f ca="1">IF(AN45&lt;=Hypothèses!$V$7,Hypothèses!$X$7,IF(AN45&lt;=Hypothèses!$V$8,Hypothèses!$X$8,IF(AN45&lt;=Hypothèses!$V$9,Hypothèses!$X$9,IF(AN45&lt;=Hypothèses!$V$10,Hypothèses!$X$10,IF(AN45&lt;=Hypothèses!$V$11,Hypothèses!$X$11,IF(AN45&lt;=Hypothèses!$V$12,Hypothèses!$X$12,IF(AN45&lt;=Hypothèses!$V$13,Hypothèses!$X$13,IF(AN45&lt;=Hypothèses!$V$14,Hypothèses!$X$14,IF(AN45&lt;=Hypothèses!$V$15,Hypothèses!$X$15,IF(AN45&lt;=Hypothèses!$V$16,Hypothèses!$X$16,IF(AN45&lt;=Hypothèses!$U$17,Hypothèses!$W$17,IF(AN45&lt;=Hypothèses!$U$18,Hypothèses!$W$18,""))))))))))))</f>
        <v>#DIV/0!</v>
      </c>
      <c r="BK45" s="95" t="e">
        <f t="shared" ca="1" si="77"/>
        <v>#DIV/0!</v>
      </c>
      <c r="BL45" s="101" t="e">
        <f t="shared" si="125"/>
        <v>#N/A</v>
      </c>
      <c r="BM45" s="91" t="e">
        <f t="shared" si="29"/>
        <v>#N/A</v>
      </c>
      <c r="BN45" s="30" t="e">
        <f t="shared" si="104"/>
        <v>#N/A</v>
      </c>
      <c r="BO45" s="30" t="e">
        <f t="shared" si="105"/>
        <v>#N/A</v>
      </c>
      <c r="BP45" s="31" t="e">
        <f>IF(OR(Hypothèses!$B$4=17,Hypothèses!$B$4=18,Hypothèses!$B$4=19,Hypothèses!$B$4=20),
IF($D45="Pressio.",
IF(OR($E45=3,$E45=1,$E45=4),BO45,BN45),
IF($D45="Pénétro.",
IF(OR($E45=3,$E45=1,$E45=4),BO45,BN45))),IF($D45="Pressio.",
IF($E45=3,BO45,BN45),
IF($D45="Pénétro.",
IF($E45=4,BO45,BN45))))</f>
        <v>#N/A</v>
      </c>
      <c r="BQ45" s="31" t="e">
        <f>(IF(OR(Hypothèses!$B$4=17,Hypothèses!$B$4=18,Hypothèses!$B$4=19,Hypothèses!$B$4=20),
IF($D45="Pressio.",
IF(OR($E45=3,$E45=1,$E45=4),(PI()*BQ$12^2)/4*(BM45*$W45*1000)/($H45*$B$5),(PI()*BQ$12^2)/4*(BM45*$W45*1000)/($G45*$B$5)),
IF($D45="Pénétro.",
IF(OR($E45=4,$E45=1,$E45=5),(PI()*BQ$12^2)/4*(BM45*$W45*1000)/($H45*$B$5),(PI()*BQ$12^2)/4*(BM45*$W45*1000)/($G45*$B$5)))),
IF($D45="Pressio.",
IF($E45=3,(PI()*BQ$12^2)/4*(BM45*$W45*1000)/($H45*$B$5),(PI()*BQ$12^2)/4*(BM45*$W45*1000)/($G45*$B$5)),
IF($D45="Pénétro.",
IF($E45=4,(PI()*BQ$12^2)/4*(BM45*$W45*1000)/($H45*$B$5),(PI()*BQ$12^2)/4*(BM45*$W45*1000)/($G45*$B$5))))))/10</f>
        <v>#N/A</v>
      </c>
      <c r="BR45" s="102" t="e">
        <f>(VLOOKUP($B$3,'Coeff EC7'!$T$39:$X$59,2,0)*BP45+VLOOKUP($B$3,'Coeff EC7'!$T$65:$X$85,2,0)*Model0.1C!BQ45)/1.1</f>
        <v>#N/A</v>
      </c>
      <c r="BS45" s="102" t="e">
        <f>(VLOOKUP($B$3,'Coeff EC7'!$T$39:$X$59,3,0)*BP45+VLOOKUP($B$3,'Coeff EC7'!$T$65:$X$85,3,0)*Model0.1C!BQ45)/0.9</f>
        <v>#N/A</v>
      </c>
      <c r="BT45" s="102" t="e">
        <f t="shared" si="78"/>
        <v>#N/A</v>
      </c>
      <c r="BU45" s="102" t="e">
        <f t="shared" si="79"/>
        <v>#N/A</v>
      </c>
      <c r="BV45" s="414" t="e">
        <f>IF(BV44=0,0,IF(AND(BR45&gt;charge_ELS_quasi,BS45&gt;Charge_ELS_freq,BT45&gt;charge_ELU,BU45&gt;charge_ELA,$B45&gt;NDC!$H$22-0.1+MIN(3*$BV$12,1.5)),0,1))</f>
        <v>#N/A</v>
      </c>
      <c r="BW45" s="86" t="b">
        <f t="shared" si="32"/>
        <v>0</v>
      </c>
      <c r="BX45" s="86">
        <f t="shared" si="33"/>
        <v>0.5</v>
      </c>
      <c r="BY45" s="86">
        <f t="shared" si="34"/>
        <v>0.5</v>
      </c>
      <c r="BZ45" s="30" t="e">
        <f t="shared" ca="1" si="80"/>
        <v>#DIV/0!</v>
      </c>
      <c r="CA45" s="85" t="e">
        <f ca="1">IF(BG45&lt;=Hypothèses!$V$7,Hypothèses!$W$7,IF(BG45&lt;=Hypothèses!$V$8,Hypothèses!$W$8,IF(BG45&lt;=Hypothèses!$V$9,Hypothèses!$W$9,IF(BG45&lt;=Hypothèses!$V$10,Hypothèses!$W$10,IF(BG45&lt;=Hypothèses!$V$11,Hypothèses!$W$11,IF(BG45&lt;=Hypothèses!$V$12,Hypothèses!$W$12,IF(BG45&lt;=Hypothèses!$V$13,Hypothèses!$W$13,IF(BG45&lt;=Hypothèses!$V$14,Hypothèses!$W$14,IF(BG45&lt;=Hypothèses!$V$15,Hypothèses!$W$15,IF(BG45&lt;=Hypothèses!$V$16,Hypothèses!$W$16,IF(BG45&lt;=Hypothèses!$V$17,Hypothèses!$W$17,IF(BG45&lt;=Hypothèses!$V$18,Hypothèses!$W$18,""))))))))))))</f>
        <v>#DIV/0!</v>
      </c>
      <c r="CB45" s="87" t="e">
        <f t="shared" ca="1" si="119"/>
        <v>#DIV/0!</v>
      </c>
      <c r="CC45" s="88" t="e">
        <f ca="1">IF(BG45&lt;=Hypothèses!$V$7,Hypothèses!$X$7,IF(BG45&lt;=Hypothèses!$V$8,Hypothèses!$X$8,IF(BG45&lt;=Hypothèses!$V$9,Hypothèses!$X$9,IF(BG45&lt;=Hypothèses!$V$10,Hypothèses!$X$10,IF(BG45&lt;=Hypothèses!$V$11,Hypothèses!$X$11,IF(BG45&lt;=Hypothèses!$V$12,Hypothèses!$X$12,IF(BG45&lt;=Hypothèses!$V$13,Hypothèses!$X$13,IF(BG45&lt;=Hypothèses!$V$14,Hypothèses!$X$14,IF(BG45&lt;=Hypothèses!$V$15,Hypothèses!$X$15,IF(BG45&lt;=Hypothèses!$V$16,Hypothèses!$X$16,IF(BG45&lt;=Hypothèses!$U$17,Hypothèses!$W$17,IF(BG45&lt;=Hypothèses!$U$18,Hypothèses!$W$18,""))))))))))))</f>
        <v>#DIV/0!</v>
      </c>
      <c r="CD45" s="95" t="e">
        <f t="shared" ca="1" si="81"/>
        <v>#DIV/0!</v>
      </c>
      <c r="CE45" s="101" t="e">
        <f t="shared" si="126"/>
        <v>#N/A</v>
      </c>
      <c r="CF45" s="91" t="e">
        <f t="shared" si="36"/>
        <v>#N/A</v>
      </c>
      <c r="CG45" s="30" t="e">
        <f t="shared" si="106"/>
        <v>#N/A</v>
      </c>
      <c r="CH45" s="30" t="e">
        <f t="shared" si="107"/>
        <v>#N/A</v>
      </c>
      <c r="CI45" s="31" t="e">
        <f>IF(OR(Hypothèses!$B$4=17,Hypothèses!$B$4=18,Hypothèses!$B$4=19,Hypothèses!$B$4=20),
IF($D45="Pressio.",
IF(OR($E45=3,$E45=1,$E45=4),CH45,CG45),
IF($D45="Pénétro.",
IF(OR($E45=3,$E45=1,$E45=4),CH45,CG45))),IF($D45="Pressio.",
IF($E45=3,CH45,CG45),
IF($D45="Pénétro.",
IF($E45=4,CH45,CG45))))</f>
        <v>#N/A</v>
      </c>
      <c r="CJ45" s="31" t="e">
        <f>(IF(OR(Hypothèses!$B$4=17,Hypothèses!$B$4=18,Hypothèses!$B$4=19,Hypothèses!$B$4=20),
IF($D45="Pressio.",
IF(OR($E45=3,$E45=1,$E45=4),(PI()*CJ$12^2)/4*(CF45*$W45*1000)/($H45*$B$5),(PI()*CJ$12^2)/4*(CF45*$W45*1000)/($G45*$B$5)),
IF($D45="Pénétro.",
IF(OR($E45=4,$E45=1,$E45=5),(PI()*CJ$12^2)/4*(CF45*$W45*1000)/($H45*$B$5),(PI()*CJ$12^2)/4*(CF45*$W45*1000)/($G45*$B$5)))),
IF($D45="Pressio.",
IF($E45=3,(PI()*CJ$12^2)/4*(CF45*$W45*1000)/($H45*$B$5),(PI()*CJ$12^2)/4*(CF45*$W45*1000)/($G45*$B$5)),
IF($D45="Pénétro.",
IF($E45=4,(PI()*CJ$12^2)/4*(CF45*$W45*1000)/($H45*$B$5),(PI()*CJ$12^2)/4*(CF45*$W45*1000)/($G45*$B$5))))))/10</f>
        <v>#N/A</v>
      </c>
      <c r="CK45" s="102" t="e">
        <f>(VLOOKUP($B$3,'Coeff EC7'!$T$39:$X$59,2,0)*CI45+VLOOKUP($B$3,'Coeff EC7'!$T$65:$X$85,2,0)*Model0.1C!CJ45)/1.1</f>
        <v>#N/A</v>
      </c>
      <c r="CL45" s="102" t="e">
        <f>(VLOOKUP($B$3,'Coeff EC7'!$T$39:$X$59,3,0)*CI45+VLOOKUP($B$3,'Coeff EC7'!$T$65:$X$85,3,0)*Model0.1C!CJ45)/0.9</f>
        <v>#N/A</v>
      </c>
      <c r="CM45" s="102" t="e">
        <f t="shared" si="82"/>
        <v>#N/A</v>
      </c>
      <c r="CN45" s="102" t="e">
        <f t="shared" si="83"/>
        <v>#N/A</v>
      </c>
      <c r="CO45" s="414" t="e">
        <f>IF(CO44=0,0,IF(AND(CK45&gt;charge_ELS_quasi,CL45&gt;Charge_ELS_freq,CM45&gt;charge_ELU,CN45&gt;charge_ELA,$B45&gt;NDC!$H$22-0.1+MIN(3*$CO$12,1.5)),0,1))</f>
        <v>#N/A</v>
      </c>
      <c r="CP45" s="86" t="b">
        <f t="shared" si="39"/>
        <v>0</v>
      </c>
      <c r="CQ45" s="86">
        <f t="shared" si="40"/>
        <v>0.5</v>
      </c>
      <c r="CR45" s="86">
        <f t="shared" si="41"/>
        <v>0.5</v>
      </c>
      <c r="CS45" s="30" t="e">
        <f t="shared" ca="1" si="84"/>
        <v>#DIV/0!</v>
      </c>
      <c r="CT45" s="85" t="e">
        <f ca="1">IF(BZ45&lt;=Hypothèses!$V$7,Hypothèses!$W$7,IF(BZ45&lt;=Hypothèses!$V$8,Hypothèses!$W$8,IF(BZ45&lt;=Hypothèses!$V$9,Hypothèses!$W$9,IF(BZ45&lt;=Hypothèses!$V$10,Hypothèses!$W$10,IF(BZ45&lt;=Hypothèses!$V$11,Hypothèses!$W$11,IF(BZ45&lt;=Hypothèses!$V$12,Hypothèses!$W$12,IF(BZ45&lt;=Hypothèses!$V$13,Hypothèses!$W$13,IF(BZ45&lt;=Hypothèses!$V$14,Hypothèses!$W$14,IF(BZ45&lt;=Hypothèses!$V$15,Hypothèses!$W$15,IF(BZ45&lt;=Hypothèses!$V$16,Hypothèses!$W$16,IF(BZ45&lt;=Hypothèses!$V$17,Hypothèses!$W$17,IF(BZ45&lt;=Hypothèses!$V$18,Hypothèses!$W$18,""))))))))))))</f>
        <v>#DIV/0!</v>
      </c>
      <c r="CU45" s="87" t="e">
        <f t="shared" ca="1" si="120"/>
        <v>#DIV/0!</v>
      </c>
      <c r="CV45" s="88" t="e">
        <f ca="1">IF(BZ45&lt;=Hypothèses!$V$7,Hypothèses!$X$7,IF(BZ45&lt;=Hypothèses!$V$8,Hypothèses!$X$8,IF(BZ45&lt;=Hypothèses!$V$9,Hypothèses!$X$9,IF(BZ45&lt;=Hypothèses!$V$10,Hypothèses!$X$10,IF(BZ45&lt;=Hypothèses!$V$11,Hypothèses!$X$11,IF(BZ45&lt;=Hypothèses!$V$12,Hypothèses!$X$12,IF(BZ45&lt;=Hypothèses!$V$13,Hypothèses!$X$13,IF(BZ45&lt;=Hypothèses!$V$14,Hypothèses!$X$14,IF(BZ45&lt;=Hypothèses!$V$15,Hypothèses!$X$15,IF(BZ45&lt;=Hypothèses!$V$16,Hypothèses!$X$16,IF(BZ45&lt;=Hypothèses!$U$17,Hypothèses!$W$17,IF(BZ45&lt;=Hypothèses!$U$18,Hypothèses!$W$18,""))))))))))))</f>
        <v>#DIV/0!</v>
      </c>
      <c r="CW45" s="95" t="e">
        <f t="shared" ca="1" si="85"/>
        <v>#DIV/0!</v>
      </c>
      <c r="CX45" s="101" t="e">
        <f t="shared" si="127"/>
        <v>#N/A</v>
      </c>
      <c r="CY45" s="91" t="e">
        <f t="shared" si="43"/>
        <v>#N/A</v>
      </c>
      <c r="CZ45" s="30" t="e">
        <f t="shared" si="108"/>
        <v>#N/A</v>
      </c>
      <c r="DA45" s="30" t="e">
        <f t="shared" si="109"/>
        <v>#N/A</v>
      </c>
      <c r="DB45" s="31" t="e">
        <f>IF(OR(Hypothèses!$B$4=17,Hypothèses!$B$4=18,Hypothèses!$B$4=19,Hypothèses!$B$4=20),
IF($D45="Pressio.",
IF(OR($E45=3,$E45=1,$E45=4),DA45,CZ45),
IF($D45="Pénétro.",
IF(OR($E45=3,$E45=1,$E45=4),DA45,CZ45))),IF($D45="Pressio.",
IF($E45=3,DA45,CZ45),
IF($D45="Pénétro.",
IF($E45=4,DA45,CZ45))))</f>
        <v>#N/A</v>
      </c>
      <c r="DC45" s="31" t="e">
        <f>(IF(OR(Hypothèses!$B$4=17,Hypothèses!$B$4=18,Hypothèses!$B$4=19,Hypothèses!$B$4=20),
IF($D45="Pressio.",
IF(OR($E45=3,$E45=1,$E45=4),(PI()*DC$12^2)/4*(CY45*$W45*1000)/($H45*$B$5),(PI()*DC$12^2)/4*(CY45*$W45*1000)/($G45*$B$5)),
IF($D45="Pénétro.",
IF(OR($E45=4,$E45=1,$E45=5),(PI()*DC$12^2)/4*(CY45*$W45*1000)/($H45*$B$5),(PI()*DC$12^2)/4*(CY45*$W45*1000)/($G45*$B$5)))),
IF($D45="Pressio.",
IF($E45=3,(PI()*DC$12^2)/4*(CY45*$W45*1000)/($H45*$B$5),(PI()*DC$12^2)/4*(CY45*$W45*1000)/($G45*$B$5)),
IF($D45="Pénétro.",
IF($E45=4,(PI()*DC$12^2)/4*(CY45*$W45*1000)/($H45*$B$5),(PI()*DC$12^2)/4*(CY45*$W45*1000)/($G45*$B$5))))))/10</f>
        <v>#N/A</v>
      </c>
      <c r="DD45" s="102" t="e">
        <f>(VLOOKUP($B$3,'Coeff EC7'!$T$39:$X$59,2,0)*DB45+VLOOKUP($B$3,'Coeff EC7'!$T$65:$X$85,2,0)*Model0.1C!DC45)/1.1</f>
        <v>#N/A</v>
      </c>
      <c r="DE45" s="102" t="e">
        <f>(VLOOKUP($B$3,'Coeff EC7'!$T$39:$X$59,3,0)*DB45+VLOOKUP($B$3,'Coeff EC7'!$T$65:$X$85,3,0)*Model0.1C!DC45)/0.9</f>
        <v>#N/A</v>
      </c>
      <c r="DF45" s="102" t="e">
        <f t="shared" si="86"/>
        <v>#N/A</v>
      </c>
      <c r="DG45" s="102" t="e">
        <f t="shared" si="87"/>
        <v>#N/A</v>
      </c>
      <c r="DH45" s="414" t="e">
        <f>IF(DH44=0,0,IF(AND(DD45&gt;charge_ELS_quasi,DE45&gt;Charge_ELS_freq,DF45&gt;charge_ELU,DG45&gt;charge_ELA,$B45&gt;NDC!$H$22-0.1+MIN(3*$DH$12,1.5)),0,1))</f>
        <v>#N/A</v>
      </c>
      <c r="DI45" s="86" t="b">
        <f t="shared" si="46"/>
        <v>0</v>
      </c>
      <c r="DJ45" s="86">
        <f t="shared" si="47"/>
        <v>0.5</v>
      </c>
      <c r="DK45" s="86">
        <f t="shared" si="48"/>
        <v>0.5</v>
      </c>
      <c r="DL45" s="30" t="e">
        <f t="shared" ca="1" si="88"/>
        <v>#DIV/0!</v>
      </c>
      <c r="DM45" s="85" t="e">
        <f ca="1">IF(CS45&lt;=Hypothèses!$V$7,Hypothèses!$W$7,IF(CS45&lt;=Hypothèses!$V$8,Hypothèses!$W$8,IF(CS45&lt;=Hypothèses!$V$9,Hypothèses!$W$9,IF(CS45&lt;=Hypothèses!$V$10,Hypothèses!$W$10,IF(CS45&lt;=Hypothèses!$V$11,Hypothèses!$W$11,IF(CS45&lt;=Hypothèses!$V$12,Hypothèses!$W$12,IF(CS45&lt;=Hypothèses!$V$13,Hypothèses!$W$13,IF(CS45&lt;=Hypothèses!$V$14,Hypothèses!$W$14,IF(CS45&lt;=Hypothèses!$V$15,Hypothèses!$W$15,IF(CS45&lt;=Hypothèses!$V$16,Hypothèses!$W$16,IF(CS45&lt;=Hypothèses!$V$17,Hypothèses!$W$17,IF(CS45&lt;=Hypothèses!$V$18,Hypothèses!$W$18,""))))))))))))</f>
        <v>#DIV/0!</v>
      </c>
      <c r="DN45" s="87" t="e">
        <f t="shared" ca="1" si="121"/>
        <v>#DIV/0!</v>
      </c>
      <c r="DO45" s="88" t="e">
        <f ca="1">IF(CS45&lt;=Hypothèses!$V$7,Hypothèses!$X$7,IF(CS45&lt;=Hypothèses!$V$8,Hypothèses!$X$8,IF(CS45&lt;=Hypothèses!$V$9,Hypothèses!$X$9,IF(CS45&lt;=Hypothèses!$V$10,Hypothèses!$X$10,IF(CS45&lt;=Hypothèses!$V$11,Hypothèses!$X$11,IF(CS45&lt;=Hypothèses!$V$12,Hypothèses!$X$12,IF(CS45&lt;=Hypothèses!$V$13,Hypothèses!$X$13,IF(CS45&lt;=Hypothèses!$V$14,Hypothèses!$X$14,IF(CS45&lt;=Hypothèses!$V$15,Hypothèses!$X$15,IF(CS45&lt;=Hypothèses!$V$16,Hypothèses!$X$16,IF(CS45&lt;=Hypothèses!$U$17,Hypothèses!$W$17,IF(CS45&lt;=Hypothèses!$U$18,Hypothèses!$W$18,""))))))))))))</f>
        <v>#DIV/0!</v>
      </c>
      <c r="DP45" s="95" t="e">
        <f t="shared" ca="1" si="89"/>
        <v>#DIV/0!</v>
      </c>
      <c r="DQ45" s="101" t="e">
        <f t="shared" si="128"/>
        <v>#N/A</v>
      </c>
      <c r="DR45" s="91" t="e">
        <f t="shared" si="50"/>
        <v>#N/A</v>
      </c>
      <c r="DS45" s="30" t="e">
        <f t="shared" si="110"/>
        <v>#N/A</v>
      </c>
      <c r="DT45" s="30" t="e">
        <f t="shared" si="111"/>
        <v>#N/A</v>
      </c>
      <c r="DU45" s="31" t="e">
        <f>IF(OR(Hypothèses!$B$4=17,Hypothèses!$B$4=18,Hypothèses!$B$4=19,Hypothèses!$B$4=20),
IF($D45="Pressio.",
IF(OR($E45=3,$E45=1,$E45=4),DT45,DS45),
IF($D45="Pénétro.",
IF(OR($E45=3,$E45=1,$E45=4),DT45,DS45))),IF($D45="Pressio.",
IF($E45=3,DT45,DS45),
IF($D45="Pénétro.",
IF($E45=4,DT45,DS45))))</f>
        <v>#N/A</v>
      </c>
      <c r="DV45" s="31" t="e">
        <f>(IF(OR(Hypothèses!$B$4=17,Hypothèses!$B$4=18,Hypothèses!$B$4=19,Hypothèses!$B$4=20),
IF($D45="Pressio.",
IF(OR($E45=3,$E45=1,$E45=4),(PI()*DV$12^2)/4*(DR45*$W45*1000)/($H45*$B$5),(PI()*DV$12^2)/4*(DR45*$W45*1000)/($G45*$B$5)),
IF($D45="Pénétro.",
IF(OR($E45=4,$E45=1,$E45=5),(PI()*DV$12^2)/4*(DR45*$W45*1000)/($H45*$B$5),(PI()*DV$12^2)/4*(DR45*$W45*1000)/($G45*$B$5)))),
IF($D45="Pressio.",
IF($E45=3,(PI()*DV$12^2)/4*(DR45*$W45*1000)/($H45*$B$5),(PI()*DV$12^2)/4*(DR45*$W45*1000)/($G45*$B$5)),
IF($D45="Pénétro.",
IF($E45=4,(PI()*DV$12^2)/4*(DR45*$W45*1000)/($H45*$B$5),(PI()*DV$12^2)/4*(DR45*$W45*1000)/($G45*$B$5))))))/10</f>
        <v>#N/A</v>
      </c>
      <c r="DW45" s="102" t="e">
        <f>(VLOOKUP($B$3,'Coeff EC7'!$T$39:$X$59,2,0)*DU45+VLOOKUP($B$3,'Coeff EC7'!$T$65:$X$85,2,0)*Model0.1C!DV45)/1.1</f>
        <v>#N/A</v>
      </c>
      <c r="DX45" s="102" t="e">
        <f>(VLOOKUP($B$3,'Coeff EC7'!$T$39:$X$59,3,0)*DU45+VLOOKUP($B$3,'Coeff EC7'!$T$65:$X$85,3,0)*Model0.1C!DV45)/0.9</f>
        <v>#N/A</v>
      </c>
      <c r="DY45" s="102" t="e">
        <f t="shared" si="90"/>
        <v>#N/A</v>
      </c>
      <c r="DZ45" s="102" t="e">
        <f t="shared" si="91"/>
        <v>#N/A</v>
      </c>
      <c r="EA45" s="414" t="e">
        <f>IF(EA44=0,0,IF(AND(DW45&gt;charge_ELS_quasi,DX45&gt;Charge_ELS_freq,DY45&gt;charge_ELU,DZ45&gt;charge_ELA,$B45&gt;NDC!$H$22-0.1+MIN(3*$EA$12,1.5)),0,1))</f>
        <v>#N/A</v>
      </c>
      <c r="EB45" s="86" t="b">
        <f t="shared" si="53"/>
        <v>0</v>
      </c>
      <c r="EC45" s="418">
        <f t="shared" si="54"/>
        <v>0.51</v>
      </c>
      <c r="ED45" s="86">
        <f t="shared" si="55"/>
        <v>0.51</v>
      </c>
      <c r="EE45" s="30" t="e">
        <f t="shared" ca="1" si="92"/>
        <v>#DIV/0!</v>
      </c>
      <c r="EF45" s="85" t="e">
        <f ca="1">IF(DL45&lt;=Hypothèses!$V$7,Hypothèses!$W$7,IF(DL45&lt;=Hypothèses!$V$8,Hypothèses!$W$8,IF(DL45&lt;=Hypothèses!$V$9,Hypothèses!$W$9,IF(DL45&lt;=Hypothèses!$V$10,Hypothèses!$W$10,IF(DL45&lt;=Hypothèses!$V$11,Hypothèses!$W$11,IF(DL45&lt;=Hypothèses!$V$12,Hypothèses!$W$12,IF(DL45&lt;=Hypothèses!$V$13,Hypothèses!$W$13,IF(DL45&lt;=Hypothèses!$V$14,Hypothèses!$W$14,IF(DL45&lt;=Hypothèses!$V$15,Hypothèses!$W$15,IF(DL45&lt;=Hypothèses!$V$16,Hypothèses!$W$16,IF(DL45&lt;=Hypothèses!$V$17,Hypothèses!$W$17,IF(DL45&lt;=Hypothèses!$V$18,Hypothèses!$W$18,""))))))))))))</f>
        <v>#DIV/0!</v>
      </c>
      <c r="EG45" s="87" t="e">
        <f t="shared" ca="1" si="122"/>
        <v>#DIV/0!</v>
      </c>
      <c r="EH45" s="88" t="e">
        <f ca="1">IF(DL45&lt;=Hypothèses!$V$7,Hypothèses!$X$7,IF(DL45&lt;=Hypothèses!$V$8,Hypothèses!$X$8,IF(DL45&lt;=Hypothèses!$V$9,Hypothèses!$X$9,IF(DL45&lt;=Hypothèses!$V$10,Hypothèses!$X$10,IF(DL45&lt;=Hypothèses!$V$11,Hypothèses!$X$11,IF(DL45&lt;=Hypothèses!$V$12,Hypothèses!$X$12,IF(DL45&lt;=Hypothèses!$V$13,Hypothèses!$X$13,IF(DL45&lt;=Hypothèses!$V$14,Hypothèses!$X$14,IF(DL45&lt;=Hypothèses!$V$15,Hypothèses!$X$15,IF(DL45&lt;=Hypothèses!$V$16,Hypothèses!$X$16,IF(DL45&lt;=Hypothèses!$U$17,Hypothèses!$W$17,IF(DL45&lt;=Hypothèses!$U$18,Hypothèses!$W$18,""))))))))))))</f>
        <v>#DIV/0!</v>
      </c>
      <c r="EI45" s="95" t="e">
        <f t="shared" ca="1" si="93"/>
        <v>#DIV/0!</v>
      </c>
      <c r="EJ45" s="101" t="e">
        <f t="shared" si="129"/>
        <v>#N/A</v>
      </c>
      <c r="EK45" s="91" t="e">
        <f t="shared" si="57"/>
        <v>#N/A</v>
      </c>
      <c r="EL45" s="30" t="e">
        <f t="shared" si="112"/>
        <v>#N/A</v>
      </c>
      <c r="EM45" s="30" t="e">
        <f t="shared" si="113"/>
        <v>#N/A</v>
      </c>
      <c r="EN45" s="31" t="e">
        <f>IF(OR(Hypothèses!$B$4=17,Hypothèses!$B$4=18,Hypothèses!$B$4=19,Hypothèses!$B$4=20),
IF($D45="Pressio.",
IF(OR($E45=3,$E45=1,$E45=4),EM45,EL45),
IF($D45="Pénétro.",
IF(OR($E45=3,$E45=1,$E45=4),EM45,EL45))),IF($D45="Pressio.",
IF($E45=3,EM45,EL45),
IF($D45="Pénétro.",
IF($E45=4,EM45,EL45))))</f>
        <v>#N/A</v>
      </c>
      <c r="EO45" s="31" t="e">
        <f>(IF(OR(Hypothèses!$B$4=17,Hypothèses!$B$4=18,Hypothèses!$B$4=19,Hypothèses!$B$4=20),
IF($D45="Pressio.",
IF(OR($E45=3,$E45=1,$E45=4),(PI()*EO$12^2)/4*(EK45*$W45*1000)/($H45*$B$5),(PI()*EO$12^2)/4*(EK45*$W45*1000)/($G45*$B$5)),
IF($D45="Pénétro.",
IF(OR($E45=4,$E45=1,$E45=5),(PI()*EO$12^2)/4*(EK45*$W45*1000)/($H45*$B$5),(PI()*EO$12^2)/4*(EK45*$W45*1000)/($G45*$B$5)))),
IF($D45="Pressio.",
IF($E45=3,(PI()*EO$12^2)/4*(EK45*$W45*1000)/($H45*$B$5),(PI()*EO$12^2)/4*(EK45*$W45*1000)/($G45*$B$5)),
IF($D45="Pénétro.",
IF($E45=4,(PI()*EO$12^2)/4*(EK45*$W45*1000)/($H45*$B$5),(PI()*EO$12^2)/4*(EK45*$W45*1000)/($G45*$B$5))))))/10</f>
        <v>#N/A</v>
      </c>
      <c r="EP45" s="102" t="e">
        <f>(VLOOKUP($B$3,'Coeff EC7'!$T$39:$X$59,2,0)*EN45+VLOOKUP($B$3,'Coeff EC7'!$T$65:$X$85,2,0)*Model0.1C!EO45)/1.1</f>
        <v>#N/A</v>
      </c>
      <c r="EQ45" s="102" t="e">
        <f>(VLOOKUP($B$3,'Coeff EC7'!$T$39:$X$59,3,0)*EN45+VLOOKUP($B$3,'Coeff EC7'!$T$65:$X$85,3,0)*Model0.1C!EO45)/0.9</f>
        <v>#N/A</v>
      </c>
      <c r="ER45" s="102" t="e">
        <f t="shared" si="94"/>
        <v>#N/A</v>
      </c>
      <c r="ES45" s="102" t="e">
        <f t="shared" si="95"/>
        <v>#N/A</v>
      </c>
      <c r="ET45" s="414" t="e">
        <f>IF(ET44=0,0,IF(AND(EP45&gt;charge_ELS_quasi,EQ45&gt;Charge_ELS_freq,ER45&gt;charge_ELU,ES45&gt;charge_ELA,$B45&gt;NDC!$H$22-0.1+MIN(3*$ET$12,1.5)),0,1))</f>
        <v>#N/A</v>
      </c>
      <c r="EU45" s="86" t="b">
        <f t="shared" si="60"/>
        <v>0</v>
      </c>
      <c r="EV45" s="86">
        <f t="shared" si="61"/>
        <v>0.61</v>
      </c>
      <c r="EW45" s="86">
        <f t="shared" si="62"/>
        <v>0.61</v>
      </c>
      <c r="EX45" s="30" t="e">
        <f t="shared" ca="1" si="96"/>
        <v>#DIV/0!</v>
      </c>
      <c r="EY45" s="85" t="e">
        <f ca="1">IF(EE45&lt;=Hypothèses!$V$7,Hypothèses!$W$7,IF(EE45&lt;=Hypothèses!$V$8,Hypothèses!$W$8,IF(EE45&lt;=Hypothèses!$V$9,Hypothèses!$W$9,IF(EE45&lt;=Hypothèses!$V$10,Hypothèses!$W$10,IF(EE45&lt;=Hypothèses!$V$11,Hypothèses!$W$11,IF(EE45&lt;=Hypothèses!$V$12,Hypothèses!$W$12,IF(EE45&lt;=Hypothèses!$V$13,Hypothèses!$W$13,IF(EE45&lt;=Hypothèses!$V$14,Hypothèses!$W$14,IF(EE45&lt;=Hypothèses!$V$15,Hypothèses!$W$15,IF(EE45&lt;=Hypothèses!$V$16,Hypothèses!$W$16,IF(EE45&lt;=Hypothèses!$V$17,Hypothèses!$W$17,IF(EE45&lt;=Hypothèses!$V$18,Hypothèses!$W$18,""))))))))))))</f>
        <v>#DIV/0!</v>
      </c>
      <c r="EZ45" s="87" t="e">
        <f t="shared" ca="1" si="123"/>
        <v>#DIV/0!</v>
      </c>
      <c r="FA45" s="88" t="e">
        <f ca="1">IF(EE45&lt;=Hypothèses!$V$7,Hypothèses!$X$7,IF(EE45&lt;=Hypothèses!$V$8,Hypothèses!$X$8,IF(EE45&lt;=Hypothèses!$V$9,Hypothèses!$X$9,IF(EE45&lt;=Hypothèses!$V$10,Hypothèses!$X$10,IF(EE45&lt;=Hypothèses!$V$11,Hypothèses!$X$11,IF(EE45&lt;=Hypothèses!$V$12,Hypothèses!$X$12,IF(EE45&lt;=Hypothèses!$V$13,Hypothèses!$X$13,IF(EE45&lt;=Hypothèses!$V$14,Hypothèses!$X$14,IF(EE45&lt;=Hypothèses!$V$15,Hypothèses!$X$15,IF(EE45&lt;=Hypothèses!$V$16,Hypothèses!$X$16,IF(EE45&lt;=Hypothèses!$U$17,Hypothèses!$W$17,IF(EE45&lt;=Hypothèses!$U$18,Hypothèses!$W$18,""))))))))))))</f>
        <v>#DIV/0!</v>
      </c>
      <c r="FB45" s="95" t="e">
        <f t="shared" ca="1" si="97"/>
        <v>#DIV/0!</v>
      </c>
      <c r="FC45" s="101" t="e">
        <f t="shared" si="130"/>
        <v>#N/A</v>
      </c>
      <c r="FD45" s="91" t="e">
        <f t="shared" si="64"/>
        <v>#N/A</v>
      </c>
      <c r="FE45" s="30" t="e">
        <f t="shared" si="114"/>
        <v>#N/A</v>
      </c>
      <c r="FF45" s="30" t="e">
        <f t="shared" si="115"/>
        <v>#N/A</v>
      </c>
      <c r="FG45" s="31" t="e">
        <f>IF(OR(Hypothèses!$B$4=17,Hypothèses!$B$4=18,Hypothèses!$B$4=19,Hypothèses!$B$4=20),
IF($D45="Pressio.",
IF(OR($E45=3,$E45=1,$E45=4),FF45,FE45),
IF($D45="Pénétro.",
IF(OR($E45=3,$E45=1,$E45=4),FF45,FE45))),IF($D45="Pressio.",
IF($E45=3,FF45,FE45),
IF($D45="Pénétro.",
IF($E45=4,FF45,FE45))))</f>
        <v>#N/A</v>
      </c>
      <c r="FH45" s="31" t="e">
        <f>(IF(OR(Hypothèses!$B$4=17,Hypothèses!$B$4=18,Hypothèses!$B$4=19,Hypothèses!$B$4=20),
IF($D45="Pressio.",
IF(OR($E45=3,$E45=1,$E45=4),(PI()*FH$12^2)/4*(FD45*$W45*1000)/($H45*$B$5),(PI()*FH$12^2)/4*(FD45*$W45*1000)/($G45*$B$5)),
IF($D45="Pénétro.",
IF(OR($E45=4,$E45=1,$E45=5),(PI()*FH$12^2)/4*(FD45*$W45*1000)/($H45*$B$5),(PI()*FH$12^2)/4*(FD45*$W45*1000)/($G45*$B$5)))),
IF($D45="Pressio.",
IF($E45=3,(PI()*FH$12^2)/4*(FD45*$W45*1000)/($H45*$B$5),(PI()*FH$12^2)/4*(FD45*$W45*1000)/($G45*$B$5)),
IF($D45="Pénétro.",
IF($E45=4,(PI()*FH$12^2)/4*(FD45*$W45*1000)/($H45*$B$5),(PI()*FH$12^2)/4*(FD45*$W45*1000)/($G45*$B$5))))))/10</f>
        <v>#N/A</v>
      </c>
      <c r="FI45" s="102" t="e">
        <f>(VLOOKUP($B$3,'Coeff EC7'!$T$39:$X$59,2,0)*FG45+VLOOKUP($B$3,'Coeff EC7'!$T$65:$X$85,2,0)*Model0.1C!FH45)/1.1</f>
        <v>#N/A</v>
      </c>
      <c r="FJ45" s="102" t="e">
        <f>(VLOOKUP($B$3,'Coeff EC7'!$T$39:$X$59,3,0)*FG45+VLOOKUP($B$3,'Coeff EC7'!$T$65:$X$85,3,0)*Model0.1C!FH45)/0.9</f>
        <v>#N/A</v>
      </c>
      <c r="FK45" s="102" t="e">
        <f t="shared" si="98"/>
        <v>#N/A</v>
      </c>
      <c r="FL45" s="102" t="e">
        <f t="shared" si="99"/>
        <v>#N/A</v>
      </c>
      <c r="FM45" s="414" t="e">
        <f>IF(FM44=0,0,IF(AND(FI45&gt;charge_ELS_quasi,FJ45&gt;Charge_ELS_freq,FK45&gt;charge_ELU,FL45&gt;charge_ELA,$B45&gt;NDC!$H$22-0.1+MIN(3*$FM$12,1.5)),0,1))</f>
        <v>#N/A</v>
      </c>
    </row>
    <row r="46" spans="1:169">
      <c r="A46" s="96">
        <f t="shared" si="67"/>
        <v>96.700000000000188</v>
      </c>
      <c r="B46" s="97">
        <v>3.3</v>
      </c>
      <c r="C46" s="81">
        <f>IF(B46&lt;=Hypothèses!$C$7,Hypothèses!$A$7,IF(B46&lt;=Hypothèses!$C$8,Hypothèses!$A$8,IF(B46&lt;=Hypothèses!$C$9,Hypothèses!$A$9,IF(B46&lt;=Hypothèses!$C$10,Hypothèses!$A$10,IF(B46&lt;=Hypothèses!$C$11,Hypothèses!$A$11,IF(B46&lt;=Hypothèses!$C$12,Hypothèses!$A$12,IF(B46&lt;=Hypothèses!$C$13,Hypothèses!$A$13,IF(B46&lt;=Hypothèses!$C$14,Hypothèses!$A$14,IF(B46&lt;=Hypothèses!$C$15,Hypothèses!$A$15,IF(B46&lt;=Hypothèses!$C$16,Hypothèses!$A$16,IF(B46&lt;=Hypothèses!$C$17,Hypothèses!$A$17,IF(B46&lt;=Hypothèses!$C$18,Hypothèses!$A$18,C45))))))))))))</f>
        <v>11</v>
      </c>
      <c r="D46" s="82" t="str">
        <f>IF(B46&lt;=Hypothèses!$C$7,Hypothèses!$R$7,IF(B46&lt;=Hypothèses!$C$8,Hypothèses!$R$8,IF(B46&lt;=Hypothèses!$C$9,Hypothèses!$R$9,IF(B46&lt;=Hypothèses!$C$10,Hypothèses!$R$10,IF(B46&lt;=Hypothèses!$C$11,Hypothèses!$R$11,IF(B46&lt;=Hypothèses!$C$12,Hypothèses!$R$12,IF(B46&lt;=Hypothèses!$C$13,Hypothèses!$R$13,IF(B46&lt;=Hypothèses!$C$14,Hypothèses!$R$14,IF(B46&lt;=Hypothèses!$C$15,Hypothèses!$R$15,IF(B46&lt;=Hypothèses!$C$16,Hypothèses!$R$16,IF(B46&lt;=Hypothèses!$C$17,Hypothèses!$R$17,IF(B46&lt;=Hypothèses!$C$18,Hypothèses!$R$18,D45))))))))))))</f>
        <v>Pressio.</v>
      </c>
      <c r="E46" s="82" t="e">
        <f>IF(B46&lt;=Hypothèses!$C$7,Hypothèses!$G$7,IF(B46&lt;=Hypothèses!$C$8,Hypothèses!$G$8,IF(B46&lt;=Hypothèses!$C$9,Hypothèses!$G$9,IF(B46&lt;=Hypothèses!$C$10,Hypothèses!$G$10,IF(B46&lt;=Hypothèses!$C$11,Hypothèses!$G$11,IF(B46&lt;=Hypothèses!$C$12,Hypothèses!$G$12,IF(B46&lt;=Hypothèses!$C$13,Hypothèses!$G$13,IF(B46&lt;=Hypothèses!$C$14,Hypothèses!$G$14,IF(B46&lt;=Hypothèses!$C$15,Hypothèses!$G$15,IF(B46&lt;=Hypothèses!$C$16,Hypothèses!$G$16,IF(B46&lt;=Hypothèses!$C$17,Hypothèses!$G$17,IF(B46&lt;=Hypothèses!$C$18,Hypothèses!$G$18,E45))))))))))))</f>
        <v>#N/A</v>
      </c>
      <c r="F46" s="82" t="str">
        <f>IF(B46&lt;=Hypothèses!$C$7,Hypothèses!$F$7,IF(B46&lt;=Hypothèses!$C$8,Hypothèses!$F$8,IF(B46&lt;=Hypothèses!$C$9,Hypothèses!$F$9,IF(B46&lt;=Hypothèses!$C$10,Hypothèses!$F$10,IF(B46&lt;=Hypothèses!$C$11,Hypothèses!$F$11,IF(B46&lt;=Hypothèses!$C$12,Hypothèses!$F$12,IF(B46&lt;=Hypothèses!$C$13,Hypothèses!$F$13,IF(B46&lt;=Hypothèses!$C$14,Hypothèses!$F$14,IF(B46&lt;=Hypothèses!$C$15,Hypothèses!$F$15,IF(B46&lt;=Hypothèses!$C$16,Hypothèses!$F$16,IF(B46&lt;=Hypothèses!$C$17,Hypothèses!$F$17,IF(B46&lt;=Hypothèses!$C$18,Hypothèses!$F$18,F45))))))))))))</f>
        <v/>
      </c>
      <c r="G46" s="91">
        <f t="array" ref="G46">INDEX('Coeff EC7'!$U$7:$X$27,
MATCH(Model0.1C!$B$3,'Coeff EC7'!$T$7:$T$27,0),
MATCH(Model0.1C!$D46&amp;Model0.1C!$B$4,
'Coeff EC7'!$U$6:$X$6&amp;
'Coeff EC7'!$U$5:$X$5,0))</f>
        <v>1.1499999999999999</v>
      </c>
      <c r="H46" s="91">
        <f t="array" ref="H46">INDEX('Coeff EC7'!$Y$7:$AB$27,
MATCH(Model0.1C!$B$3,'Coeff EC7'!$T$7:$T$27,0),
MATCH(Model0.1C!$D46&amp;Model0.1C!$B$4,
'Coeff EC7'!$Y$6:$AB$6&amp;
'Coeff EC7'!$Y$5:$AB$5,0))</f>
        <v>1.4</v>
      </c>
      <c r="I46" s="83" t="e">
        <f>IF(B46&lt;=Hypothèses!$C$7,Hypothèses!$P$7,IF(B46&lt;=Hypothèses!$C$8,Hypothèses!$P$8,IF(B46&lt;=Hypothèses!$C$9,Hypothèses!$P$9,IF(B46&lt;=Hypothèses!$C$10,Hypothèses!$P$10,IF(B46&lt;=Hypothèses!$C$11,Hypothèses!$P$11,IF(B46&lt;=Hypothèses!$C$12,Hypothèses!$P$12,IF(B46&lt;=Hypothèses!$C$13,Hypothèses!$P$13,IF(B46&lt;=Hypothèses!$C$14,Hypothèses!$P$14,IF(B46&lt;=Hypothèses!$C$15,Hypothèses!$P$15,IF(B46&lt;=Hypothèses!$C$16,Hypothèses!$P$16,IF(B46&lt;=Hypothèses!$C$17,Hypothèses!$P$17,IF(B46&lt;=Hypothèses!$C$18,Hypothèses!$P$18,I45))))))))))))</f>
        <v>#N/A</v>
      </c>
      <c r="J46" s="91" t="e">
        <f t="array" ref="J46">INDEX('Coeff EC7'!$D$33:$Q$33,1,MATCH(D46&amp;E46,'Coeff EC7'!$D$31:$Q$31&amp;'Coeff EC7'!$D$32:$Q$32,0))</f>
        <v>#N/A</v>
      </c>
      <c r="K46" s="91" t="e">
        <f t="array" ref="K46">INDEX('Coeff EC7'!$D$34:$Q$34,1,MATCH(D46&amp;E46,'Coeff EC7'!$D$31:$Q$31&amp;'Coeff EC7'!$D$32:$Q$32,0))</f>
        <v>#N/A</v>
      </c>
      <c r="L46" s="91" t="e">
        <f t="array" ref="L46">INDEX('Coeff EC7'!$D$35:$Q$35,1,MATCH(D46&amp;E46,'Coeff EC7'!$D$31:$Q$31&amp;'Coeff EC7'!$D$32:$Q$32,0))</f>
        <v>#N/A</v>
      </c>
      <c r="M46" s="98" t="e">
        <f t="shared" si="8"/>
        <v>#N/A</v>
      </c>
      <c r="N46" s="99" t="e">
        <f t="array" ref="N46">INDEX('Coeff EC7'!$D$7:$Q$27,MATCH($B$3,'Coeff EC7'!$C$7:$C$27,0),MATCH(D46&amp;E46,'Coeff EC7'!$D$5:$Q$5&amp;'Coeff EC7'!$D$6:$Q$6,0))</f>
        <v>#N/A</v>
      </c>
      <c r="O46" s="99" t="e">
        <f t="array" ref="O46">INDEX('Coeff EC7'!$D$41:$Q$61,MATCH($B$3,'Coeff EC7'!$C$41:$C$61,0),MATCH(D46&amp;E46,'Coeff EC7'!$D$39:$Q$39&amp;'Coeff EC7'!$D$40:$Q$40,0))</f>
        <v>#N/A</v>
      </c>
      <c r="P46" s="30" t="e">
        <f t="shared" si="68"/>
        <v>#N/A</v>
      </c>
      <c r="Q46" s="100" t="e">
        <f t="shared" si="10"/>
        <v>#N/A</v>
      </c>
      <c r="R46" s="86" t="b">
        <f t="shared" si="11"/>
        <v>0</v>
      </c>
      <c r="S46" s="86">
        <f t="shared" si="9"/>
        <v>0.5</v>
      </c>
      <c r="T46" s="86">
        <f t="shared" si="12"/>
        <v>0.5</v>
      </c>
      <c r="U46" s="30" t="e">
        <f t="shared" ca="1" si="69"/>
        <v>#DIV/0!</v>
      </c>
      <c r="V46" s="85" t="str">
        <f>IF(B46&lt;=Hypothèses!$V$7,Hypothèses!$W$7,IF(B46&lt;=Hypothèses!$V$8,Hypothèses!$W$8,IF(B46&lt;=Hypothèses!$V$9,Hypothèses!$W$9,IF(B46&lt;=Hypothèses!$V$10,Hypothèses!$W$10,IF(B46&lt;=Hypothèses!$V$11,Hypothèses!$W$11,IF(B46&lt;=Hypothèses!$V$12,Hypothèses!$W$12,IF(B46&lt;=Hypothèses!$V$13,Hypothèses!$W$13,IF(B46&lt;=Hypothèses!$V$14,Hypothèses!$W$14,IF(B46&lt;=Hypothèses!$V$15,Hypothèses!$W$15,IF(B46&lt;=Hypothèses!$V$16,Hypothèses!$W$16,IF(B46&lt;=Hypothèses!$V$17,Hypothèses!$W$17,IF(B46&lt;=Hypothèses!$V$18,Hypothèses!$W$18,""))))))))))))</f>
        <v/>
      </c>
      <c r="W46" s="87" t="e">
        <f t="shared" ca="1" si="116"/>
        <v>#DIV/0!</v>
      </c>
      <c r="X46" s="88" t="str">
        <f>IF(B46&lt;=Hypothèses!$V$7,Hypothèses!$X$7,IF(B46&lt;=Hypothèses!$V$8,Hypothèses!$X$8,IF(B46&lt;=Hypothèses!$V$9,Hypothèses!$X$9,IF(B46&lt;=Hypothèses!$V$10,Hypothèses!$X$10,IF(B46&lt;=Hypothèses!$V$11,Hypothèses!$X$11,IF(B46&lt;=Hypothèses!$V$12,Hypothèses!$X$12,IF(B46&lt;=Hypothèses!$V$13,Hypothèses!$X$13,IF(B46&lt;=Hypothèses!$V$14,Hypothèses!$X$14,IF(B46&lt;=Hypothèses!$V$15,Hypothèses!$X$15,IF(B46&lt;=Hypothèses!$V$16,Hypothèses!$X$16,IF(B46&lt;=Hypothèses!$U$17,Hypothèses!$W$17,IF(B46&lt;=Hypothèses!$U$18,Hypothèses!$W$18,""))))))))))))</f>
        <v/>
      </c>
      <c r="Y46" s="95" t="e">
        <f t="shared" ca="1" si="13"/>
        <v>#DIV/0!</v>
      </c>
      <c r="Z46" s="101" t="e">
        <f t="shared" si="14"/>
        <v>#N/A</v>
      </c>
      <c r="AA46" s="91" t="e">
        <f t="shared" si="15"/>
        <v>#N/A</v>
      </c>
      <c r="AB46" s="30" t="e">
        <f t="shared" si="100"/>
        <v>#N/A</v>
      </c>
      <c r="AC46" s="30" t="e">
        <f t="shared" si="101"/>
        <v>#N/A</v>
      </c>
      <c r="AD46" s="31" t="e">
        <f>IF(OR(Hypothèses!$B$4=17,Hypothèses!$B$4=18,Hypothèses!$B$4=19,Hypothèses!$B$4=20),
IF($D46="Pressio.",
IF(OR($E46=3,$E46=1,$E46=4),AC46,AB46),
IF($D46="Pénétro.",
IF(OR($E46=3,$E46=1,$E46=4),AC46,AB46))),IF($D46="Pressio.",
IF($E46=3,AC46,AB46),
IF($D46="Pénétro.",
IF($E46=4,AC46,AB46))))</f>
        <v>#N/A</v>
      </c>
      <c r="AE46" s="31" t="e">
        <f>(IF(OR(Hypothèses!$B$4=17,Hypothèses!$B$4=18,Hypothèses!$B$4=19,Hypothèses!$B$4=20),
IF($D46="Pressio.",
IF(OR($E46=3,$E46=1,$E46=4),(PI()*AE$12^2)/4*(AA46*$W46*1000)/($H46*$B$5),(PI()*AE$12^2)/4*(AA46*$W46*1000)/($G46*$B$5)),
IF($D46="Pénétro.",
IF(OR($E46=4,$E46=1,$E46=5),(PI()*AE$12^2)/4*(AA46*$W46*1000)/($H46*$B$5),(PI()*AE$12^2)/4*(AA46*$W46*1000)/($G46*$B$5)))),
IF($D46="Pressio.",
IF($E46=3,(PI()*AE$12^2)/4*(AA46*$W46*1000)/($H46*$B$5),(PI()*AE$12^2)/4*(AA46*$W46*1000)/($G46*$B$5)),
IF($D46="Pénétro.",
IF($E46=4,(PI()*AE$12^2)/4*(AA46*$W46*1000)/($H46*$B$5),(PI()*AE$12^2)/4*(AA46*$W46*1000)/($G46*$B$5))))))/10</f>
        <v>#N/A</v>
      </c>
      <c r="AF46" s="102" t="e">
        <f>(VLOOKUP($B$3,'Coeff EC7'!$T$39:$X$59,2,0)*AD46+VLOOKUP($B$3,'Coeff EC7'!$T$65:$X$85,2,0)*Model0.1C!AE46)/1.1</f>
        <v>#N/A</v>
      </c>
      <c r="AG46" s="102" t="e">
        <f>(VLOOKUP($B$3,'Coeff EC7'!$T$39:$X$59,3,0)*AD46+VLOOKUP($B$3,'Coeff EC7'!$T$65:$X$85,3,0)*Model0.1C!AE46)/0.9</f>
        <v>#N/A</v>
      </c>
      <c r="AH46" s="102" t="e">
        <f t="shared" si="18"/>
        <v>#N/A</v>
      </c>
      <c r="AI46" s="102" t="e">
        <f t="shared" si="19"/>
        <v>#N/A</v>
      </c>
      <c r="AJ46" s="414" t="e">
        <f>IF(AJ45=0,0,IF(AND(AF46&gt;charge_ELS_quasi,AG46&gt;Charge_ELS_freq,AH46&gt;charge_ELU,AI46&gt;charge_ELA,$B46&gt;NDC!$H$22-0.1+MIN(3*$AJ$12,1.5)),0,1))</f>
        <v>#N/A</v>
      </c>
      <c r="AK46" s="86" t="b">
        <f t="shared" si="20"/>
        <v>0</v>
      </c>
      <c r="AL46" s="86">
        <f t="shared" si="70"/>
        <v>0.5</v>
      </c>
      <c r="AM46" s="86">
        <f t="shared" si="21"/>
        <v>0.5</v>
      </c>
      <c r="AN46" s="30" t="e">
        <f t="shared" ca="1" si="71"/>
        <v>#DIV/0!</v>
      </c>
      <c r="AO46" s="85" t="e">
        <f ca="1">IF(U46&lt;=Hypothèses!$V$7,Hypothèses!$W$7,IF(U46&lt;=Hypothèses!$V$8,Hypothèses!$W$8,IF(U46&lt;=Hypothèses!$V$9,Hypothèses!$W$9,IF(U46&lt;=Hypothèses!$V$10,Hypothèses!$W$10,IF(U46&lt;=Hypothèses!$V$11,Hypothèses!$W$11,IF(U46&lt;=Hypothèses!$V$12,Hypothèses!$W$12,IF(U46&lt;=Hypothèses!$V$13,Hypothèses!$W$13,IF(U46&lt;=Hypothèses!$V$14,Hypothèses!$W$14,IF(U46&lt;=Hypothèses!$V$15,Hypothèses!$W$15,IF(U46&lt;=Hypothèses!$V$16,Hypothèses!$W$16,IF(U46&lt;=Hypothèses!$V$17,Hypothèses!$W$17,IF(U46&lt;=Hypothèses!$V$18,Hypothèses!$W$18,""))))))))))))</f>
        <v>#DIV/0!</v>
      </c>
      <c r="AP46" s="87" t="e">
        <f t="shared" ca="1" si="117"/>
        <v>#DIV/0!</v>
      </c>
      <c r="AQ46" s="88" t="e">
        <f ca="1">IF(U46&lt;=Hypothèses!$V$7,Hypothèses!$X$7,IF(U46&lt;=Hypothèses!$V$8,Hypothèses!$X$8,IF(U46&lt;=Hypothèses!$V$9,Hypothèses!$X$9,IF(U46&lt;=Hypothèses!$V$10,Hypothèses!$X$10,IF(U46&lt;=Hypothèses!$V$11,Hypothèses!$X$11,IF(U46&lt;=Hypothèses!$V$12,Hypothèses!$X$12,IF(U46&lt;=Hypothèses!$V$13,Hypothèses!$X$13,IF(U46&lt;=Hypothèses!$V$14,Hypothèses!$X$14,IF(U46&lt;=Hypothèses!$V$15,Hypothèses!$X$15,IF(U46&lt;=Hypothèses!$V$16,Hypothèses!$X$16,IF(U46&lt;=Hypothèses!$U$17,Hypothèses!$W$17,IF(U46&lt;=Hypothèses!$U$18,Hypothèses!$W$18,""))))))))))))</f>
        <v>#DIV/0!</v>
      </c>
      <c r="AR46" s="95" t="e">
        <f t="shared" ca="1" si="72"/>
        <v>#DIV/0!</v>
      </c>
      <c r="AS46" s="101" t="e">
        <f t="shared" si="124"/>
        <v>#N/A</v>
      </c>
      <c r="AT46" s="91" t="e">
        <f t="shared" si="23"/>
        <v>#N/A</v>
      </c>
      <c r="AU46" s="30" t="e">
        <f t="shared" si="102"/>
        <v>#N/A</v>
      </c>
      <c r="AV46" s="30" t="e">
        <f t="shared" si="103"/>
        <v>#N/A</v>
      </c>
      <c r="AW46" s="31" t="e">
        <f>IF(OR(Hypothèses!$B$4=17,Hypothèses!$B$4=18,Hypothèses!$B$4=19,Hypothèses!$B$4=20),
IF($D46="Pressio.",
IF(OR($E46=3,$E46=1,$E46=4),AV46,AU46),
IF($D46="Pénétro.",
IF(OR($E46=3,$E46=1,$E46=4),AV46,AU46))),IF($D46="Pressio.",
IF($E46=3,AV46,AU46),
IF($D46="Pénétro.",
IF($E46=4,AV46,AU46))))</f>
        <v>#N/A</v>
      </c>
      <c r="AX46" s="31" t="e">
        <f>(IF(OR(Hypothèses!$B$4=17,Hypothèses!$B$4=18,Hypothèses!$B$4=19,Hypothèses!$B$4=20),
IF($D46="Pressio.",
IF(OR($E46=3,$E46=1,$E46=4),(PI()*AX$12^2)/4*(AT46*$W46*1000)/($H46*$B$5),(PI()*AX$12^2)/4*(AT46*$W46*1000)/($G46*$B$5)),
IF($D46="Pénétro.",
IF(OR($E46=4,$E46=1,$E46=5),(PI()*AX$12^2)/4*(AT46*$W46*1000)/($H46*$B$5),(PI()*AX$12^2)/4*(AT46*$W46*1000)/($G46*$B$5)))),
IF($D46="Pressio.",
IF($E46=3,(PI()*AX$12^2)/4*(AT46*$W46*1000)/($H46*$B$5),(PI()*AX$12^2)/4*(AT46*$W46*1000)/($G46*$B$5)),
IF($D46="Pénétro.",
IF($E46=4,(PI()*AX$12^2)/4*(AT46*$W46*1000)/($H46*$B$5),(PI()*AX$12^2)/4*(AT46*$W46*1000)/($G46*$B$5))))))/10</f>
        <v>#N/A</v>
      </c>
      <c r="AY46" s="102" t="e">
        <f>(VLOOKUP($B$3,'Coeff EC7'!$T$39:$X$59,2,0)*AW46+VLOOKUP($B$3,'Coeff EC7'!$T$65:$X$85,2,0)*Model0.1C!AX46)/1.1</f>
        <v>#N/A</v>
      </c>
      <c r="AZ46" s="102" t="e">
        <f>(VLOOKUP($B$3,'Coeff EC7'!$T$39:$X$59,3,0)*AW46+VLOOKUP($B$3,'Coeff EC7'!$T$65:$X$85,3,0)*Model0.1C!AX46)/0.9</f>
        <v>#N/A</v>
      </c>
      <c r="BA46" s="102" t="e">
        <f t="shared" si="73"/>
        <v>#N/A</v>
      </c>
      <c r="BB46" s="102" t="e">
        <f t="shared" si="74"/>
        <v>#N/A</v>
      </c>
      <c r="BC46" s="414" t="e">
        <f>IF(BC45=0,0,IF(AND(AY46&gt;charge_ELS_quasi,AZ46&gt;Charge_ELS_freq,BA46&gt;charge_ELU,BB46&gt;charge_ELA,$B46&gt;NDC!$H$22-0.1+MIN(3*$BC$12,1.5)),0,1))</f>
        <v>#N/A</v>
      </c>
      <c r="BD46" s="86" t="b">
        <f t="shared" si="26"/>
        <v>0</v>
      </c>
      <c r="BE46" s="86">
        <f t="shared" si="75"/>
        <v>0.5</v>
      </c>
      <c r="BF46" s="86">
        <f t="shared" si="27"/>
        <v>0.5</v>
      </c>
      <c r="BG46" s="30" t="e">
        <f t="shared" ca="1" si="76"/>
        <v>#DIV/0!</v>
      </c>
      <c r="BH46" s="85" t="e">
        <f ca="1">IF(AN46&lt;=Hypothèses!$V$7,Hypothèses!$W$7,IF(AN46&lt;=Hypothèses!$V$8,Hypothèses!$W$8,IF(AN46&lt;=Hypothèses!$V$9,Hypothèses!$W$9,IF(AN46&lt;=Hypothèses!$V$10,Hypothèses!$W$10,IF(AN46&lt;=Hypothèses!$V$11,Hypothèses!$W$11,IF(AN46&lt;=Hypothèses!$V$12,Hypothèses!$W$12,IF(AN46&lt;=Hypothèses!$V$13,Hypothèses!$W$13,IF(AN46&lt;=Hypothèses!$V$14,Hypothèses!$W$14,IF(AN46&lt;=Hypothèses!$V$15,Hypothèses!$W$15,IF(AN46&lt;=Hypothèses!$V$16,Hypothèses!$W$16,IF(AN46&lt;=Hypothèses!$V$17,Hypothèses!$W$17,IF(AN46&lt;=Hypothèses!$V$18,Hypothèses!$W$18,""))))))))))))</f>
        <v>#DIV/0!</v>
      </c>
      <c r="BI46" s="87" t="e">
        <f t="shared" ca="1" si="118"/>
        <v>#DIV/0!</v>
      </c>
      <c r="BJ46" s="88" t="e">
        <f ca="1">IF(AN46&lt;=Hypothèses!$V$7,Hypothèses!$X$7,IF(AN46&lt;=Hypothèses!$V$8,Hypothèses!$X$8,IF(AN46&lt;=Hypothèses!$V$9,Hypothèses!$X$9,IF(AN46&lt;=Hypothèses!$V$10,Hypothèses!$X$10,IF(AN46&lt;=Hypothèses!$V$11,Hypothèses!$X$11,IF(AN46&lt;=Hypothèses!$V$12,Hypothèses!$X$12,IF(AN46&lt;=Hypothèses!$V$13,Hypothèses!$X$13,IF(AN46&lt;=Hypothèses!$V$14,Hypothèses!$X$14,IF(AN46&lt;=Hypothèses!$V$15,Hypothèses!$X$15,IF(AN46&lt;=Hypothèses!$V$16,Hypothèses!$X$16,IF(AN46&lt;=Hypothèses!$U$17,Hypothèses!$W$17,IF(AN46&lt;=Hypothèses!$U$18,Hypothèses!$W$18,""))))))))))))</f>
        <v>#DIV/0!</v>
      </c>
      <c r="BK46" s="95" t="e">
        <f t="shared" ca="1" si="77"/>
        <v>#DIV/0!</v>
      </c>
      <c r="BL46" s="101" t="e">
        <f t="shared" si="125"/>
        <v>#N/A</v>
      </c>
      <c r="BM46" s="91" t="e">
        <f t="shared" si="29"/>
        <v>#N/A</v>
      </c>
      <c r="BN46" s="30" t="e">
        <f t="shared" si="104"/>
        <v>#N/A</v>
      </c>
      <c r="BO46" s="30" t="e">
        <f t="shared" si="105"/>
        <v>#N/A</v>
      </c>
      <c r="BP46" s="31" t="e">
        <f>IF(OR(Hypothèses!$B$4=17,Hypothèses!$B$4=18,Hypothèses!$B$4=19,Hypothèses!$B$4=20),
IF($D46="Pressio.",
IF(OR($E46=3,$E46=1,$E46=4),BO46,BN46),
IF($D46="Pénétro.",
IF(OR($E46=3,$E46=1,$E46=4),BO46,BN46))),IF($D46="Pressio.",
IF($E46=3,BO46,BN46),
IF($D46="Pénétro.",
IF($E46=4,BO46,BN46))))</f>
        <v>#N/A</v>
      </c>
      <c r="BQ46" s="31" t="e">
        <f>(IF(OR(Hypothèses!$B$4=17,Hypothèses!$B$4=18,Hypothèses!$B$4=19,Hypothèses!$B$4=20),
IF($D46="Pressio.",
IF(OR($E46=3,$E46=1,$E46=4),(PI()*BQ$12^2)/4*(BM46*$W46*1000)/($H46*$B$5),(PI()*BQ$12^2)/4*(BM46*$W46*1000)/($G46*$B$5)),
IF($D46="Pénétro.",
IF(OR($E46=4,$E46=1,$E46=5),(PI()*BQ$12^2)/4*(BM46*$W46*1000)/($H46*$B$5),(PI()*BQ$12^2)/4*(BM46*$W46*1000)/($G46*$B$5)))),
IF($D46="Pressio.",
IF($E46=3,(PI()*BQ$12^2)/4*(BM46*$W46*1000)/($H46*$B$5),(PI()*BQ$12^2)/4*(BM46*$W46*1000)/($G46*$B$5)),
IF($D46="Pénétro.",
IF($E46=4,(PI()*BQ$12^2)/4*(BM46*$W46*1000)/($H46*$B$5),(PI()*BQ$12^2)/4*(BM46*$W46*1000)/($G46*$B$5))))))/10</f>
        <v>#N/A</v>
      </c>
      <c r="BR46" s="102" t="e">
        <f>(VLOOKUP($B$3,'Coeff EC7'!$T$39:$X$59,2,0)*BP46+VLOOKUP($B$3,'Coeff EC7'!$T$65:$X$85,2,0)*Model0.1C!BQ46)/1.1</f>
        <v>#N/A</v>
      </c>
      <c r="BS46" s="102" t="e">
        <f>(VLOOKUP($B$3,'Coeff EC7'!$T$39:$X$59,3,0)*BP46+VLOOKUP($B$3,'Coeff EC7'!$T$65:$X$85,3,0)*Model0.1C!BQ46)/0.9</f>
        <v>#N/A</v>
      </c>
      <c r="BT46" s="102" t="e">
        <f t="shared" si="78"/>
        <v>#N/A</v>
      </c>
      <c r="BU46" s="102" t="e">
        <f t="shared" si="79"/>
        <v>#N/A</v>
      </c>
      <c r="BV46" s="414" t="e">
        <f>IF(BV45=0,0,IF(AND(BR46&gt;charge_ELS_quasi,BS46&gt;Charge_ELS_freq,BT46&gt;charge_ELU,BU46&gt;charge_ELA,$B46&gt;NDC!$H$22-0.1+MIN(3*$BV$12,1.5)),0,1))</f>
        <v>#N/A</v>
      </c>
      <c r="BW46" s="86" t="b">
        <f t="shared" si="32"/>
        <v>0</v>
      </c>
      <c r="BX46" s="86">
        <f t="shared" si="33"/>
        <v>0.5</v>
      </c>
      <c r="BY46" s="86">
        <f t="shared" si="34"/>
        <v>0.5</v>
      </c>
      <c r="BZ46" s="30" t="e">
        <f t="shared" ca="1" si="80"/>
        <v>#DIV/0!</v>
      </c>
      <c r="CA46" s="85" t="e">
        <f ca="1">IF(BG46&lt;=Hypothèses!$V$7,Hypothèses!$W$7,IF(BG46&lt;=Hypothèses!$V$8,Hypothèses!$W$8,IF(BG46&lt;=Hypothèses!$V$9,Hypothèses!$W$9,IF(BG46&lt;=Hypothèses!$V$10,Hypothèses!$W$10,IF(BG46&lt;=Hypothèses!$V$11,Hypothèses!$W$11,IF(BG46&lt;=Hypothèses!$V$12,Hypothèses!$W$12,IF(BG46&lt;=Hypothèses!$V$13,Hypothèses!$W$13,IF(BG46&lt;=Hypothèses!$V$14,Hypothèses!$W$14,IF(BG46&lt;=Hypothèses!$V$15,Hypothèses!$W$15,IF(BG46&lt;=Hypothèses!$V$16,Hypothèses!$W$16,IF(BG46&lt;=Hypothèses!$V$17,Hypothèses!$W$17,IF(BG46&lt;=Hypothèses!$V$18,Hypothèses!$W$18,""))))))))))))</f>
        <v>#DIV/0!</v>
      </c>
      <c r="CB46" s="87" t="e">
        <f t="shared" ca="1" si="119"/>
        <v>#DIV/0!</v>
      </c>
      <c r="CC46" s="88" t="e">
        <f ca="1">IF(BG46&lt;=Hypothèses!$V$7,Hypothèses!$X$7,IF(BG46&lt;=Hypothèses!$V$8,Hypothèses!$X$8,IF(BG46&lt;=Hypothèses!$V$9,Hypothèses!$X$9,IF(BG46&lt;=Hypothèses!$V$10,Hypothèses!$X$10,IF(BG46&lt;=Hypothèses!$V$11,Hypothèses!$X$11,IF(BG46&lt;=Hypothèses!$V$12,Hypothèses!$X$12,IF(BG46&lt;=Hypothèses!$V$13,Hypothèses!$X$13,IF(BG46&lt;=Hypothèses!$V$14,Hypothèses!$X$14,IF(BG46&lt;=Hypothèses!$V$15,Hypothèses!$X$15,IF(BG46&lt;=Hypothèses!$V$16,Hypothèses!$X$16,IF(BG46&lt;=Hypothèses!$U$17,Hypothèses!$W$17,IF(BG46&lt;=Hypothèses!$U$18,Hypothèses!$W$18,""))))))))))))</f>
        <v>#DIV/0!</v>
      </c>
      <c r="CD46" s="95" t="e">
        <f t="shared" ca="1" si="81"/>
        <v>#DIV/0!</v>
      </c>
      <c r="CE46" s="101" t="e">
        <f t="shared" si="126"/>
        <v>#N/A</v>
      </c>
      <c r="CF46" s="91" t="e">
        <f t="shared" si="36"/>
        <v>#N/A</v>
      </c>
      <c r="CG46" s="30" t="e">
        <f t="shared" si="106"/>
        <v>#N/A</v>
      </c>
      <c r="CH46" s="30" t="e">
        <f t="shared" si="107"/>
        <v>#N/A</v>
      </c>
      <c r="CI46" s="31" t="e">
        <f>IF(OR(Hypothèses!$B$4=17,Hypothèses!$B$4=18,Hypothèses!$B$4=19,Hypothèses!$B$4=20),
IF($D46="Pressio.",
IF(OR($E46=3,$E46=1,$E46=4),CH46,CG46),
IF($D46="Pénétro.",
IF(OR($E46=3,$E46=1,$E46=4),CH46,CG46))),IF($D46="Pressio.",
IF($E46=3,CH46,CG46),
IF($D46="Pénétro.",
IF($E46=4,CH46,CG46))))</f>
        <v>#N/A</v>
      </c>
      <c r="CJ46" s="31" t="e">
        <f>(IF(OR(Hypothèses!$B$4=17,Hypothèses!$B$4=18,Hypothèses!$B$4=19,Hypothèses!$B$4=20),
IF($D46="Pressio.",
IF(OR($E46=3,$E46=1,$E46=4),(PI()*CJ$12^2)/4*(CF46*$W46*1000)/($H46*$B$5),(PI()*CJ$12^2)/4*(CF46*$W46*1000)/($G46*$B$5)),
IF($D46="Pénétro.",
IF(OR($E46=4,$E46=1,$E46=5),(PI()*CJ$12^2)/4*(CF46*$W46*1000)/($H46*$B$5),(PI()*CJ$12^2)/4*(CF46*$W46*1000)/($G46*$B$5)))),
IF($D46="Pressio.",
IF($E46=3,(PI()*CJ$12^2)/4*(CF46*$W46*1000)/($H46*$B$5),(PI()*CJ$12^2)/4*(CF46*$W46*1000)/($G46*$B$5)),
IF($D46="Pénétro.",
IF($E46=4,(PI()*CJ$12^2)/4*(CF46*$W46*1000)/($H46*$B$5),(PI()*CJ$12^2)/4*(CF46*$W46*1000)/($G46*$B$5))))))/10</f>
        <v>#N/A</v>
      </c>
      <c r="CK46" s="102" t="e">
        <f>(VLOOKUP($B$3,'Coeff EC7'!$T$39:$X$59,2,0)*CI46+VLOOKUP($B$3,'Coeff EC7'!$T$65:$X$85,2,0)*Model0.1C!CJ46)/1.1</f>
        <v>#N/A</v>
      </c>
      <c r="CL46" s="102" t="e">
        <f>(VLOOKUP($B$3,'Coeff EC7'!$T$39:$X$59,3,0)*CI46+VLOOKUP($B$3,'Coeff EC7'!$T$65:$X$85,3,0)*Model0.1C!CJ46)/0.9</f>
        <v>#N/A</v>
      </c>
      <c r="CM46" s="102" t="e">
        <f t="shared" si="82"/>
        <v>#N/A</v>
      </c>
      <c r="CN46" s="102" t="e">
        <f t="shared" si="83"/>
        <v>#N/A</v>
      </c>
      <c r="CO46" s="414" t="e">
        <f>IF(CO45=0,0,IF(AND(CK46&gt;charge_ELS_quasi,CL46&gt;Charge_ELS_freq,CM46&gt;charge_ELU,CN46&gt;charge_ELA,$B46&gt;NDC!$H$22-0.1+MIN(3*$CO$12,1.5)),0,1))</f>
        <v>#N/A</v>
      </c>
      <c r="CP46" s="86" t="b">
        <f t="shared" si="39"/>
        <v>0</v>
      </c>
      <c r="CQ46" s="86">
        <f t="shared" si="40"/>
        <v>0.5</v>
      </c>
      <c r="CR46" s="86">
        <f t="shared" si="41"/>
        <v>0.5</v>
      </c>
      <c r="CS46" s="30" t="e">
        <f t="shared" ca="1" si="84"/>
        <v>#DIV/0!</v>
      </c>
      <c r="CT46" s="85" t="e">
        <f ca="1">IF(BZ46&lt;=Hypothèses!$V$7,Hypothèses!$W$7,IF(BZ46&lt;=Hypothèses!$V$8,Hypothèses!$W$8,IF(BZ46&lt;=Hypothèses!$V$9,Hypothèses!$W$9,IF(BZ46&lt;=Hypothèses!$V$10,Hypothèses!$W$10,IF(BZ46&lt;=Hypothèses!$V$11,Hypothèses!$W$11,IF(BZ46&lt;=Hypothèses!$V$12,Hypothèses!$W$12,IF(BZ46&lt;=Hypothèses!$V$13,Hypothèses!$W$13,IF(BZ46&lt;=Hypothèses!$V$14,Hypothèses!$W$14,IF(BZ46&lt;=Hypothèses!$V$15,Hypothèses!$W$15,IF(BZ46&lt;=Hypothèses!$V$16,Hypothèses!$W$16,IF(BZ46&lt;=Hypothèses!$V$17,Hypothèses!$W$17,IF(BZ46&lt;=Hypothèses!$V$18,Hypothèses!$W$18,""))))))))))))</f>
        <v>#DIV/0!</v>
      </c>
      <c r="CU46" s="87" t="e">
        <f t="shared" ca="1" si="120"/>
        <v>#DIV/0!</v>
      </c>
      <c r="CV46" s="88" t="e">
        <f ca="1">IF(BZ46&lt;=Hypothèses!$V$7,Hypothèses!$X$7,IF(BZ46&lt;=Hypothèses!$V$8,Hypothèses!$X$8,IF(BZ46&lt;=Hypothèses!$V$9,Hypothèses!$X$9,IF(BZ46&lt;=Hypothèses!$V$10,Hypothèses!$X$10,IF(BZ46&lt;=Hypothèses!$V$11,Hypothèses!$X$11,IF(BZ46&lt;=Hypothèses!$V$12,Hypothèses!$X$12,IF(BZ46&lt;=Hypothèses!$V$13,Hypothèses!$X$13,IF(BZ46&lt;=Hypothèses!$V$14,Hypothèses!$X$14,IF(BZ46&lt;=Hypothèses!$V$15,Hypothèses!$X$15,IF(BZ46&lt;=Hypothèses!$V$16,Hypothèses!$X$16,IF(BZ46&lt;=Hypothèses!$U$17,Hypothèses!$W$17,IF(BZ46&lt;=Hypothèses!$U$18,Hypothèses!$W$18,""))))))))))))</f>
        <v>#DIV/0!</v>
      </c>
      <c r="CW46" s="95" t="e">
        <f t="shared" ca="1" si="85"/>
        <v>#DIV/0!</v>
      </c>
      <c r="CX46" s="101" t="e">
        <f t="shared" si="127"/>
        <v>#N/A</v>
      </c>
      <c r="CY46" s="91" t="e">
        <f t="shared" si="43"/>
        <v>#N/A</v>
      </c>
      <c r="CZ46" s="30" t="e">
        <f t="shared" si="108"/>
        <v>#N/A</v>
      </c>
      <c r="DA46" s="30" t="e">
        <f t="shared" si="109"/>
        <v>#N/A</v>
      </c>
      <c r="DB46" s="31" t="e">
        <f>IF(OR(Hypothèses!$B$4=17,Hypothèses!$B$4=18,Hypothèses!$B$4=19,Hypothèses!$B$4=20),
IF($D46="Pressio.",
IF(OR($E46=3,$E46=1,$E46=4),DA46,CZ46),
IF($D46="Pénétro.",
IF(OR($E46=3,$E46=1,$E46=4),DA46,CZ46))),IF($D46="Pressio.",
IF($E46=3,DA46,CZ46),
IF($D46="Pénétro.",
IF($E46=4,DA46,CZ46))))</f>
        <v>#N/A</v>
      </c>
      <c r="DC46" s="31" t="e">
        <f>(IF(OR(Hypothèses!$B$4=17,Hypothèses!$B$4=18,Hypothèses!$B$4=19,Hypothèses!$B$4=20),
IF($D46="Pressio.",
IF(OR($E46=3,$E46=1,$E46=4),(PI()*DC$12^2)/4*(CY46*$W46*1000)/($H46*$B$5),(PI()*DC$12^2)/4*(CY46*$W46*1000)/($G46*$B$5)),
IF($D46="Pénétro.",
IF(OR($E46=4,$E46=1,$E46=5),(PI()*DC$12^2)/4*(CY46*$W46*1000)/($H46*$B$5),(PI()*DC$12^2)/4*(CY46*$W46*1000)/($G46*$B$5)))),
IF($D46="Pressio.",
IF($E46=3,(PI()*DC$12^2)/4*(CY46*$W46*1000)/($H46*$B$5),(PI()*DC$12^2)/4*(CY46*$W46*1000)/($G46*$B$5)),
IF($D46="Pénétro.",
IF($E46=4,(PI()*DC$12^2)/4*(CY46*$W46*1000)/($H46*$B$5),(PI()*DC$12^2)/4*(CY46*$W46*1000)/($G46*$B$5))))))/10</f>
        <v>#N/A</v>
      </c>
      <c r="DD46" s="102" t="e">
        <f>(VLOOKUP($B$3,'Coeff EC7'!$T$39:$X$59,2,0)*DB46+VLOOKUP($B$3,'Coeff EC7'!$T$65:$X$85,2,0)*Model0.1C!DC46)/1.1</f>
        <v>#N/A</v>
      </c>
      <c r="DE46" s="102" t="e">
        <f>(VLOOKUP($B$3,'Coeff EC7'!$T$39:$X$59,3,0)*DB46+VLOOKUP($B$3,'Coeff EC7'!$T$65:$X$85,3,0)*Model0.1C!DC46)/0.9</f>
        <v>#N/A</v>
      </c>
      <c r="DF46" s="102" t="e">
        <f t="shared" si="86"/>
        <v>#N/A</v>
      </c>
      <c r="DG46" s="102" t="e">
        <f t="shared" si="87"/>
        <v>#N/A</v>
      </c>
      <c r="DH46" s="414" t="e">
        <f>IF(DH45=0,0,IF(AND(DD46&gt;charge_ELS_quasi,DE46&gt;Charge_ELS_freq,DF46&gt;charge_ELU,DG46&gt;charge_ELA,$B46&gt;NDC!$H$22-0.1+MIN(3*$DH$12,1.5)),0,1))</f>
        <v>#N/A</v>
      </c>
      <c r="DI46" s="86" t="b">
        <f t="shared" si="46"/>
        <v>0</v>
      </c>
      <c r="DJ46" s="86">
        <f t="shared" si="47"/>
        <v>0.5</v>
      </c>
      <c r="DK46" s="86">
        <f t="shared" si="48"/>
        <v>0.5</v>
      </c>
      <c r="DL46" s="30" t="e">
        <f t="shared" ca="1" si="88"/>
        <v>#DIV/0!</v>
      </c>
      <c r="DM46" s="85" t="e">
        <f ca="1">IF(CS46&lt;=Hypothèses!$V$7,Hypothèses!$W$7,IF(CS46&lt;=Hypothèses!$V$8,Hypothèses!$W$8,IF(CS46&lt;=Hypothèses!$V$9,Hypothèses!$W$9,IF(CS46&lt;=Hypothèses!$V$10,Hypothèses!$W$10,IF(CS46&lt;=Hypothèses!$V$11,Hypothèses!$W$11,IF(CS46&lt;=Hypothèses!$V$12,Hypothèses!$W$12,IF(CS46&lt;=Hypothèses!$V$13,Hypothèses!$W$13,IF(CS46&lt;=Hypothèses!$V$14,Hypothèses!$W$14,IF(CS46&lt;=Hypothèses!$V$15,Hypothèses!$W$15,IF(CS46&lt;=Hypothèses!$V$16,Hypothèses!$W$16,IF(CS46&lt;=Hypothèses!$V$17,Hypothèses!$W$17,IF(CS46&lt;=Hypothèses!$V$18,Hypothèses!$W$18,""))))))))))))</f>
        <v>#DIV/0!</v>
      </c>
      <c r="DN46" s="87" t="e">
        <f t="shared" ca="1" si="121"/>
        <v>#DIV/0!</v>
      </c>
      <c r="DO46" s="88" t="e">
        <f ca="1">IF(CS46&lt;=Hypothèses!$V$7,Hypothèses!$X$7,IF(CS46&lt;=Hypothèses!$V$8,Hypothèses!$X$8,IF(CS46&lt;=Hypothèses!$V$9,Hypothèses!$X$9,IF(CS46&lt;=Hypothèses!$V$10,Hypothèses!$X$10,IF(CS46&lt;=Hypothèses!$V$11,Hypothèses!$X$11,IF(CS46&lt;=Hypothèses!$V$12,Hypothèses!$X$12,IF(CS46&lt;=Hypothèses!$V$13,Hypothèses!$X$13,IF(CS46&lt;=Hypothèses!$V$14,Hypothèses!$X$14,IF(CS46&lt;=Hypothèses!$V$15,Hypothèses!$X$15,IF(CS46&lt;=Hypothèses!$V$16,Hypothèses!$X$16,IF(CS46&lt;=Hypothèses!$U$17,Hypothèses!$W$17,IF(CS46&lt;=Hypothèses!$U$18,Hypothèses!$W$18,""))))))))))))</f>
        <v>#DIV/0!</v>
      </c>
      <c r="DP46" s="95" t="e">
        <f t="shared" ca="1" si="89"/>
        <v>#DIV/0!</v>
      </c>
      <c r="DQ46" s="101" t="e">
        <f t="shared" si="128"/>
        <v>#N/A</v>
      </c>
      <c r="DR46" s="91" t="e">
        <f t="shared" si="50"/>
        <v>#N/A</v>
      </c>
      <c r="DS46" s="30" t="e">
        <f t="shared" si="110"/>
        <v>#N/A</v>
      </c>
      <c r="DT46" s="30" t="e">
        <f t="shared" si="111"/>
        <v>#N/A</v>
      </c>
      <c r="DU46" s="31" t="e">
        <f>IF(OR(Hypothèses!$B$4=17,Hypothèses!$B$4=18,Hypothèses!$B$4=19,Hypothèses!$B$4=20),
IF($D46="Pressio.",
IF(OR($E46=3,$E46=1,$E46=4),DT46,DS46),
IF($D46="Pénétro.",
IF(OR($E46=3,$E46=1,$E46=4),DT46,DS46))),IF($D46="Pressio.",
IF($E46=3,DT46,DS46),
IF($D46="Pénétro.",
IF($E46=4,DT46,DS46))))</f>
        <v>#N/A</v>
      </c>
      <c r="DV46" s="31" t="e">
        <f>(IF(OR(Hypothèses!$B$4=17,Hypothèses!$B$4=18,Hypothèses!$B$4=19,Hypothèses!$B$4=20),
IF($D46="Pressio.",
IF(OR($E46=3,$E46=1,$E46=4),(PI()*DV$12^2)/4*(DR46*$W46*1000)/($H46*$B$5),(PI()*DV$12^2)/4*(DR46*$W46*1000)/($G46*$B$5)),
IF($D46="Pénétro.",
IF(OR($E46=4,$E46=1,$E46=5),(PI()*DV$12^2)/4*(DR46*$W46*1000)/($H46*$B$5),(PI()*DV$12^2)/4*(DR46*$W46*1000)/($G46*$B$5)))),
IF($D46="Pressio.",
IF($E46=3,(PI()*DV$12^2)/4*(DR46*$W46*1000)/($H46*$B$5),(PI()*DV$12^2)/4*(DR46*$W46*1000)/($G46*$B$5)),
IF($D46="Pénétro.",
IF($E46=4,(PI()*DV$12^2)/4*(DR46*$W46*1000)/($H46*$B$5),(PI()*DV$12^2)/4*(DR46*$W46*1000)/($G46*$B$5))))))/10</f>
        <v>#N/A</v>
      </c>
      <c r="DW46" s="102" t="e">
        <f>(VLOOKUP($B$3,'Coeff EC7'!$T$39:$X$59,2,0)*DU46+VLOOKUP($B$3,'Coeff EC7'!$T$65:$X$85,2,0)*Model0.1C!DV46)/1.1</f>
        <v>#N/A</v>
      </c>
      <c r="DX46" s="102" t="e">
        <f>(VLOOKUP($B$3,'Coeff EC7'!$T$39:$X$59,3,0)*DU46+VLOOKUP($B$3,'Coeff EC7'!$T$65:$X$85,3,0)*Model0.1C!DV46)/0.9</f>
        <v>#N/A</v>
      </c>
      <c r="DY46" s="102" t="e">
        <f t="shared" si="90"/>
        <v>#N/A</v>
      </c>
      <c r="DZ46" s="102" t="e">
        <f t="shared" si="91"/>
        <v>#N/A</v>
      </c>
      <c r="EA46" s="414" t="e">
        <f>IF(EA45=0,0,IF(AND(DW46&gt;charge_ELS_quasi,DX46&gt;Charge_ELS_freq,DY46&gt;charge_ELU,DZ46&gt;charge_ELA,$B46&gt;NDC!$H$22-0.1+MIN(3*$EA$12,1.5)),0,1))</f>
        <v>#N/A</v>
      </c>
      <c r="EB46" s="86" t="b">
        <f t="shared" si="53"/>
        <v>0</v>
      </c>
      <c r="EC46" s="418">
        <f t="shared" si="54"/>
        <v>0.51</v>
      </c>
      <c r="ED46" s="86">
        <f t="shared" si="55"/>
        <v>0.51</v>
      </c>
      <c r="EE46" s="30" t="e">
        <f t="shared" ca="1" si="92"/>
        <v>#DIV/0!</v>
      </c>
      <c r="EF46" s="85" t="e">
        <f ca="1">IF(DL46&lt;=Hypothèses!$V$7,Hypothèses!$W$7,IF(DL46&lt;=Hypothèses!$V$8,Hypothèses!$W$8,IF(DL46&lt;=Hypothèses!$V$9,Hypothèses!$W$9,IF(DL46&lt;=Hypothèses!$V$10,Hypothèses!$W$10,IF(DL46&lt;=Hypothèses!$V$11,Hypothèses!$W$11,IF(DL46&lt;=Hypothèses!$V$12,Hypothèses!$W$12,IF(DL46&lt;=Hypothèses!$V$13,Hypothèses!$W$13,IF(DL46&lt;=Hypothèses!$V$14,Hypothèses!$W$14,IF(DL46&lt;=Hypothèses!$V$15,Hypothèses!$W$15,IF(DL46&lt;=Hypothèses!$V$16,Hypothèses!$W$16,IF(DL46&lt;=Hypothèses!$V$17,Hypothèses!$W$17,IF(DL46&lt;=Hypothèses!$V$18,Hypothèses!$W$18,""))))))))))))</f>
        <v>#DIV/0!</v>
      </c>
      <c r="EG46" s="87" t="e">
        <f t="shared" ca="1" si="122"/>
        <v>#DIV/0!</v>
      </c>
      <c r="EH46" s="88" t="e">
        <f ca="1">IF(DL46&lt;=Hypothèses!$V$7,Hypothèses!$X$7,IF(DL46&lt;=Hypothèses!$V$8,Hypothèses!$X$8,IF(DL46&lt;=Hypothèses!$V$9,Hypothèses!$X$9,IF(DL46&lt;=Hypothèses!$V$10,Hypothèses!$X$10,IF(DL46&lt;=Hypothèses!$V$11,Hypothèses!$X$11,IF(DL46&lt;=Hypothèses!$V$12,Hypothèses!$X$12,IF(DL46&lt;=Hypothèses!$V$13,Hypothèses!$X$13,IF(DL46&lt;=Hypothèses!$V$14,Hypothèses!$X$14,IF(DL46&lt;=Hypothèses!$V$15,Hypothèses!$X$15,IF(DL46&lt;=Hypothèses!$V$16,Hypothèses!$X$16,IF(DL46&lt;=Hypothèses!$U$17,Hypothèses!$W$17,IF(DL46&lt;=Hypothèses!$U$18,Hypothèses!$W$18,""))))))))))))</f>
        <v>#DIV/0!</v>
      </c>
      <c r="EI46" s="95" t="e">
        <f t="shared" ca="1" si="93"/>
        <v>#DIV/0!</v>
      </c>
      <c r="EJ46" s="101" t="e">
        <f t="shared" si="129"/>
        <v>#N/A</v>
      </c>
      <c r="EK46" s="91" t="e">
        <f t="shared" si="57"/>
        <v>#N/A</v>
      </c>
      <c r="EL46" s="30" t="e">
        <f t="shared" si="112"/>
        <v>#N/A</v>
      </c>
      <c r="EM46" s="30" t="e">
        <f t="shared" si="113"/>
        <v>#N/A</v>
      </c>
      <c r="EN46" s="31" t="e">
        <f>IF(OR(Hypothèses!$B$4=17,Hypothèses!$B$4=18,Hypothèses!$B$4=19,Hypothèses!$B$4=20),
IF($D46="Pressio.",
IF(OR($E46=3,$E46=1,$E46=4),EM46,EL46),
IF($D46="Pénétro.",
IF(OR($E46=3,$E46=1,$E46=4),EM46,EL46))),IF($D46="Pressio.",
IF($E46=3,EM46,EL46),
IF($D46="Pénétro.",
IF($E46=4,EM46,EL46))))</f>
        <v>#N/A</v>
      </c>
      <c r="EO46" s="31" t="e">
        <f>(IF(OR(Hypothèses!$B$4=17,Hypothèses!$B$4=18,Hypothèses!$B$4=19,Hypothèses!$B$4=20),
IF($D46="Pressio.",
IF(OR($E46=3,$E46=1,$E46=4),(PI()*EO$12^2)/4*(EK46*$W46*1000)/($H46*$B$5),(PI()*EO$12^2)/4*(EK46*$W46*1000)/($G46*$B$5)),
IF($D46="Pénétro.",
IF(OR($E46=4,$E46=1,$E46=5),(PI()*EO$12^2)/4*(EK46*$W46*1000)/($H46*$B$5),(PI()*EO$12^2)/4*(EK46*$W46*1000)/($G46*$B$5)))),
IF($D46="Pressio.",
IF($E46=3,(PI()*EO$12^2)/4*(EK46*$W46*1000)/($H46*$B$5),(PI()*EO$12^2)/4*(EK46*$W46*1000)/($G46*$B$5)),
IF($D46="Pénétro.",
IF($E46=4,(PI()*EO$12^2)/4*(EK46*$W46*1000)/($H46*$B$5),(PI()*EO$12^2)/4*(EK46*$W46*1000)/($G46*$B$5))))))/10</f>
        <v>#N/A</v>
      </c>
      <c r="EP46" s="102" t="e">
        <f>(VLOOKUP($B$3,'Coeff EC7'!$T$39:$X$59,2,0)*EN46+VLOOKUP($B$3,'Coeff EC7'!$T$65:$X$85,2,0)*Model0.1C!EO46)/1.1</f>
        <v>#N/A</v>
      </c>
      <c r="EQ46" s="102" t="e">
        <f>(VLOOKUP($B$3,'Coeff EC7'!$T$39:$X$59,3,0)*EN46+VLOOKUP($B$3,'Coeff EC7'!$T$65:$X$85,3,0)*Model0.1C!EO46)/0.9</f>
        <v>#N/A</v>
      </c>
      <c r="ER46" s="102" t="e">
        <f t="shared" si="94"/>
        <v>#N/A</v>
      </c>
      <c r="ES46" s="102" t="e">
        <f t="shared" si="95"/>
        <v>#N/A</v>
      </c>
      <c r="ET46" s="414" t="e">
        <f>IF(ET45=0,0,IF(AND(EP46&gt;charge_ELS_quasi,EQ46&gt;Charge_ELS_freq,ER46&gt;charge_ELU,ES46&gt;charge_ELA,$B46&gt;NDC!$H$22-0.1+MIN(3*$ET$12,1.5)),0,1))</f>
        <v>#N/A</v>
      </c>
      <c r="EU46" s="86" t="b">
        <f t="shared" si="60"/>
        <v>0</v>
      </c>
      <c r="EV46" s="86">
        <f t="shared" si="61"/>
        <v>0.61</v>
      </c>
      <c r="EW46" s="86">
        <f t="shared" si="62"/>
        <v>0.61</v>
      </c>
      <c r="EX46" s="30" t="e">
        <f t="shared" ca="1" si="96"/>
        <v>#DIV/0!</v>
      </c>
      <c r="EY46" s="85" t="e">
        <f ca="1">IF(EE46&lt;=Hypothèses!$V$7,Hypothèses!$W$7,IF(EE46&lt;=Hypothèses!$V$8,Hypothèses!$W$8,IF(EE46&lt;=Hypothèses!$V$9,Hypothèses!$W$9,IF(EE46&lt;=Hypothèses!$V$10,Hypothèses!$W$10,IF(EE46&lt;=Hypothèses!$V$11,Hypothèses!$W$11,IF(EE46&lt;=Hypothèses!$V$12,Hypothèses!$W$12,IF(EE46&lt;=Hypothèses!$V$13,Hypothèses!$W$13,IF(EE46&lt;=Hypothèses!$V$14,Hypothèses!$W$14,IF(EE46&lt;=Hypothèses!$V$15,Hypothèses!$W$15,IF(EE46&lt;=Hypothèses!$V$16,Hypothèses!$W$16,IF(EE46&lt;=Hypothèses!$V$17,Hypothèses!$W$17,IF(EE46&lt;=Hypothèses!$V$18,Hypothèses!$W$18,""))))))))))))</f>
        <v>#DIV/0!</v>
      </c>
      <c r="EZ46" s="87" t="e">
        <f t="shared" ca="1" si="123"/>
        <v>#DIV/0!</v>
      </c>
      <c r="FA46" s="88" t="e">
        <f ca="1">IF(EE46&lt;=Hypothèses!$V$7,Hypothèses!$X$7,IF(EE46&lt;=Hypothèses!$V$8,Hypothèses!$X$8,IF(EE46&lt;=Hypothèses!$V$9,Hypothèses!$X$9,IF(EE46&lt;=Hypothèses!$V$10,Hypothèses!$X$10,IF(EE46&lt;=Hypothèses!$V$11,Hypothèses!$X$11,IF(EE46&lt;=Hypothèses!$V$12,Hypothèses!$X$12,IF(EE46&lt;=Hypothèses!$V$13,Hypothèses!$X$13,IF(EE46&lt;=Hypothèses!$V$14,Hypothèses!$X$14,IF(EE46&lt;=Hypothèses!$V$15,Hypothèses!$X$15,IF(EE46&lt;=Hypothèses!$V$16,Hypothèses!$X$16,IF(EE46&lt;=Hypothèses!$U$17,Hypothèses!$W$17,IF(EE46&lt;=Hypothèses!$U$18,Hypothèses!$W$18,""))))))))))))</f>
        <v>#DIV/0!</v>
      </c>
      <c r="FB46" s="95" t="e">
        <f t="shared" ca="1" si="97"/>
        <v>#DIV/0!</v>
      </c>
      <c r="FC46" s="101" t="e">
        <f t="shared" si="130"/>
        <v>#N/A</v>
      </c>
      <c r="FD46" s="91" t="e">
        <f t="shared" si="64"/>
        <v>#N/A</v>
      </c>
      <c r="FE46" s="30" t="e">
        <f t="shared" si="114"/>
        <v>#N/A</v>
      </c>
      <c r="FF46" s="30" t="e">
        <f t="shared" si="115"/>
        <v>#N/A</v>
      </c>
      <c r="FG46" s="31" t="e">
        <f>IF(OR(Hypothèses!$B$4=17,Hypothèses!$B$4=18,Hypothèses!$B$4=19,Hypothèses!$B$4=20),
IF($D46="Pressio.",
IF(OR($E46=3,$E46=1,$E46=4),FF46,FE46),
IF($D46="Pénétro.",
IF(OR($E46=3,$E46=1,$E46=4),FF46,FE46))),IF($D46="Pressio.",
IF($E46=3,FF46,FE46),
IF($D46="Pénétro.",
IF($E46=4,FF46,FE46))))</f>
        <v>#N/A</v>
      </c>
      <c r="FH46" s="31" t="e">
        <f>(IF(OR(Hypothèses!$B$4=17,Hypothèses!$B$4=18,Hypothèses!$B$4=19,Hypothèses!$B$4=20),
IF($D46="Pressio.",
IF(OR($E46=3,$E46=1,$E46=4),(PI()*FH$12^2)/4*(FD46*$W46*1000)/($H46*$B$5),(PI()*FH$12^2)/4*(FD46*$W46*1000)/($G46*$B$5)),
IF($D46="Pénétro.",
IF(OR($E46=4,$E46=1,$E46=5),(PI()*FH$12^2)/4*(FD46*$W46*1000)/($H46*$B$5),(PI()*FH$12^2)/4*(FD46*$W46*1000)/($G46*$B$5)))),
IF($D46="Pressio.",
IF($E46=3,(PI()*FH$12^2)/4*(FD46*$W46*1000)/($H46*$B$5),(PI()*FH$12^2)/4*(FD46*$W46*1000)/($G46*$B$5)),
IF($D46="Pénétro.",
IF($E46=4,(PI()*FH$12^2)/4*(FD46*$W46*1000)/($H46*$B$5),(PI()*FH$12^2)/4*(FD46*$W46*1000)/($G46*$B$5))))))/10</f>
        <v>#N/A</v>
      </c>
      <c r="FI46" s="102" t="e">
        <f>(VLOOKUP($B$3,'Coeff EC7'!$T$39:$X$59,2,0)*FG46+VLOOKUP($B$3,'Coeff EC7'!$T$65:$X$85,2,0)*Model0.1C!FH46)/1.1</f>
        <v>#N/A</v>
      </c>
      <c r="FJ46" s="102" t="e">
        <f>(VLOOKUP($B$3,'Coeff EC7'!$T$39:$X$59,3,0)*FG46+VLOOKUP($B$3,'Coeff EC7'!$T$65:$X$85,3,0)*Model0.1C!FH46)/0.9</f>
        <v>#N/A</v>
      </c>
      <c r="FK46" s="102" t="e">
        <f t="shared" si="98"/>
        <v>#N/A</v>
      </c>
      <c r="FL46" s="102" t="e">
        <f t="shared" si="99"/>
        <v>#N/A</v>
      </c>
      <c r="FM46" s="414" t="e">
        <f>IF(FM45=0,0,IF(AND(FI46&gt;charge_ELS_quasi,FJ46&gt;Charge_ELS_freq,FK46&gt;charge_ELU,FL46&gt;charge_ELA,$B46&gt;NDC!$H$22-0.1+MIN(3*$FM$12,1.5)),0,1))</f>
        <v>#N/A</v>
      </c>
    </row>
    <row r="47" spans="1:169">
      <c r="A47" s="96">
        <f t="shared" si="67"/>
        <v>96.600000000000193</v>
      </c>
      <c r="B47" s="97">
        <v>3.4</v>
      </c>
      <c r="C47" s="81">
        <f>IF(B47&lt;=Hypothèses!$C$7,Hypothèses!$A$7,IF(B47&lt;=Hypothèses!$C$8,Hypothèses!$A$8,IF(B47&lt;=Hypothèses!$C$9,Hypothèses!$A$9,IF(B47&lt;=Hypothèses!$C$10,Hypothèses!$A$10,IF(B47&lt;=Hypothèses!$C$11,Hypothèses!$A$11,IF(B47&lt;=Hypothèses!$C$12,Hypothèses!$A$12,IF(B47&lt;=Hypothèses!$C$13,Hypothèses!$A$13,IF(B47&lt;=Hypothèses!$C$14,Hypothèses!$A$14,IF(B47&lt;=Hypothèses!$C$15,Hypothèses!$A$15,IF(B47&lt;=Hypothèses!$C$16,Hypothèses!$A$16,IF(B47&lt;=Hypothèses!$C$17,Hypothèses!$A$17,IF(B47&lt;=Hypothèses!$C$18,Hypothèses!$A$18,C46))))))))))))</f>
        <v>11</v>
      </c>
      <c r="D47" s="82" t="str">
        <f>IF(B47&lt;=Hypothèses!$C$7,Hypothèses!$R$7,IF(B47&lt;=Hypothèses!$C$8,Hypothèses!$R$8,IF(B47&lt;=Hypothèses!$C$9,Hypothèses!$R$9,IF(B47&lt;=Hypothèses!$C$10,Hypothèses!$R$10,IF(B47&lt;=Hypothèses!$C$11,Hypothèses!$R$11,IF(B47&lt;=Hypothèses!$C$12,Hypothèses!$R$12,IF(B47&lt;=Hypothèses!$C$13,Hypothèses!$R$13,IF(B47&lt;=Hypothèses!$C$14,Hypothèses!$R$14,IF(B47&lt;=Hypothèses!$C$15,Hypothèses!$R$15,IF(B47&lt;=Hypothèses!$C$16,Hypothèses!$R$16,IF(B47&lt;=Hypothèses!$C$17,Hypothèses!$R$17,IF(B47&lt;=Hypothèses!$C$18,Hypothèses!$R$18,D46))))))))))))</f>
        <v>Pressio.</v>
      </c>
      <c r="E47" s="82" t="e">
        <f>IF(B47&lt;=Hypothèses!$C$7,Hypothèses!$G$7,IF(B47&lt;=Hypothèses!$C$8,Hypothèses!$G$8,IF(B47&lt;=Hypothèses!$C$9,Hypothèses!$G$9,IF(B47&lt;=Hypothèses!$C$10,Hypothèses!$G$10,IF(B47&lt;=Hypothèses!$C$11,Hypothèses!$G$11,IF(B47&lt;=Hypothèses!$C$12,Hypothèses!$G$12,IF(B47&lt;=Hypothèses!$C$13,Hypothèses!$G$13,IF(B47&lt;=Hypothèses!$C$14,Hypothèses!$G$14,IF(B47&lt;=Hypothèses!$C$15,Hypothèses!$G$15,IF(B47&lt;=Hypothèses!$C$16,Hypothèses!$G$16,IF(B47&lt;=Hypothèses!$C$17,Hypothèses!$G$17,IF(B47&lt;=Hypothèses!$C$18,Hypothèses!$G$18,E46))))))))))))</f>
        <v>#N/A</v>
      </c>
      <c r="F47" s="82" t="str">
        <f>IF(B47&lt;=Hypothèses!$C$7,Hypothèses!$F$7,IF(B47&lt;=Hypothèses!$C$8,Hypothèses!$F$8,IF(B47&lt;=Hypothèses!$C$9,Hypothèses!$F$9,IF(B47&lt;=Hypothèses!$C$10,Hypothèses!$F$10,IF(B47&lt;=Hypothèses!$C$11,Hypothèses!$F$11,IF(B47&lt;=Hypothèses!$C$12,Hypothèses!$F$12,IF(B47&lt;=Hypothèses!$C$13,Hypothèses!$F$13,IF(B47&lt;=Hypothèses!$C$14,Hypothèses!$F$14,IF(B47&lt;=Hypothèses!$C$15,Hypothèses!$F$15,IF(B47&lt;=Hypothèses!$C$16,Hypothèses!$F$16,IF(B47&lt;=Hypothèses!$C$17,Hypothèses!$F$17,IF(B47&lt;=Hypothèses!$C$18,Hypothèses!$F$18,F46))))))))))))</f>
        <v/>
      </c>
      <c r="G47" s="91">
        <f t="array" ref="G47">INDEX('Coeff EC7'!$U$7:$X$27,
MATCH(Model0.1C!$B$3,'Coeff EC7'!$T$7:$T$27,0),
MATCH(Model0.1C!$D47&amp;Model0.1C!$B$4,
'Coeff EC7'!$U$6:$X$6&amp;
'Coeff EC7'!$U$5:$X$5,0))</f>
        <v>1.1499999999999999</v>
      </c>
      <c r="H47" s="91">
        <f t="array" ref="H47">INDEX('Coeff EC7'!$Y$7:$AB$27,
MATCH(Model0.1C!$B$3,'Coeff EC7'!$T$7:$T$27,0),
MATCH(Model0.1C!$D47&amp;Model0.1C!$B$4,
'Coeff EC7'!$Y$6:$AB$6&amp;
'Coeff EC7'!$Y$5:$AB$5,0))</f>
        <v>1.4</v>
      </c>
      <c r="I47" s="83" t="e">
        <f>IF(B47&lt;=Hypothèses!$C$7,Hypothèses!$P$7,IF(B47&lt;=Hypothèses!$C$8,Hypothèses!$P$8,IF(B47&lt;=Hypothèses!$C$9,Hypothèses!$P$9,IF(B47&lt;=Hypothèses!$C$10,Hypothèses!$P$10,IF(B47&lt;=Hypothèses!$C$11,Hypothèses!$P$11,IF(B47&lt;=Hypothèses!$C$12,Hypothèses!$P$12,IF(B47&lt;=Hypothèses!$C$13,Hypothèses!$P$13,IF(B47&lt;=Hypothèses!$C$14,Hypothèses!$P$14,IF(B47&lt;=Hypothèses!$C$15,Hypothèses!$P$15,IF(B47&lt;=Hypothèses!$C$16,Hypothèses!$P$16,IF(B47&lt;=Hypothèses!$C$17,Hypothèses!$P$17,IF(B47&lt;=Hypothèses!$C$18,Hypothèses!$P$18,I46))))))))))))</f>
        <v>#N/A</v>
      </c>
      <c r="J47" s="91" t="e">
        <f t="array" ref="J47">INDEX('Coeff EC7'!$D$33:$Q$33,1,MATCH(D47&amp;E47,'Coeff EC7'!$D$31:$Q$31&amp;'Coeff EC7'!$D$32:$Q$32,0))</f>
        <v>#N/A</v>
      </c>
      <c r="K47" s="91" t="e">
        <f t="array" ref="K47">INDEX('Coeff EC7'!$D$34:$Q$34,1,MATCH(D47&amp;E47,'Coeff EC7'!$D$31:$Q$31&amp;'Coeff EC7'!$D$32:$Q$32,0))</f>
        <v>#N/A</v>
      </c>
      <c r="L47" s="91" t="e">
        <f t="array" ref="L47">INDEX('Coeff EC7'!$D$35:$Q$35,1,MATCH(D47&amp;E47,'Coeff EC7'!$D$31:$Q$31&amp;'Coeff EC7'!$D$32:$Q$32,0))</f>
        <v>#N/A</v>
      </c>
      <c r="M47" s="98" t="e">
        <f t="shared" si="8"/>
        <v>#N/A</v>
      </c>
      <c r="N47" s="99" t="e">
        <f t="array" ref="N47">INDEX('Coeff EC7'!$D$7:$Q$27,MATCH($B$3,'Coeff EC7'!$C$7:$C$27,0),MATCH(D47&amp;E47,'Coeff EC7'!$D$5:$Q$5&amp;'Coeff EC7'!$D$6:$Q$6,0))</f>
        <v>#N/A</v>
      </c>
      <c r="O47" s="99" t="e">
        <f t="array" ref="O47">INDEX('Coeff EC7'!$D$41:$Q$61,MATCH($B$3,'Coeff EC7'!$C$41:$C$61,0),MATCH(D47&amp;E47,'Coeff EC7'!$D$39:$Q$39&amp;'Coeff EC7'!$D$40:$Q$40,0))</f>
        <v>#N/A</v>
      </c>
      <c r="P47" s="30" t="e">
        <f t="shared" si="68"/>
        <v>#N/A</v>
      </c>
      <c r="Q47" s="100" t="e">
        <f t="shared" si="10"/>
        <v>#N/A</v>
      </c>
      <c r="R47" s="86" t="b">
        <f t="shared" si="11"/>
        <v>0</v>
      </c>
      <c r="S47" s="86">
        <f t="shared" si="9"/>
        <v>0.5</v>
      </c>
      <c r="T47" s="86">
        <f t="shared" si="12"/>
        <v>0.5</v>
      </c>
      <c r="U47" s="30" t="e">
        <f t="shared" ca="1" si="69"/>
        <v>#DIV/0!</v>
      </c>
      <c r="V47" s="85" t="str">
        <f>IF(B47&lt;=Hypothèses!$V$7,Hypothèses!$W$7,IF(B47&lt;=Hypothèses!$V$8,Hypothèses!$W$8,IF(B47&lt;=Hypothèses!$V$9,Hypothèses!$W$9,IF(B47&lt;=Hypothèses!$V$10,Hypothèses!$W$10,IF(B47&lt;=Hypothèses!$V$11,Hypothèses!$W$11,IF(B47&lt;=Hypothèses!$V$12,Hypothèses!$W$12,IF(B47&lt;=Hypothèses!$V$13,Hypothèses!$W$13,IF(B47&lt;=Hypothèses!$V$14,Hypothèses!$W$14,IF(B47&lt;=Hypothèses!$V$15,Hypothèses!$W$15,IF(B47&lt;=Hypothèses!$V$16,Hypothèses!$W$16,IF(B47&lt;=Hypothèses!$V$17,Hypothèses!$W$17,IF(B47&lt;=Hypothèses!$V$18,Hypothèses!$W$18,""))))))))))))</f>
        <v/>
      </c>
      <c r="W47" s="87" t="e">
        <f t="shared" ca="1" si="116"/>
        <v>#DIV/0!</v>
      </c>
      <c r="X47" s="88" t="str">
        <f>IF(B47&lt;=Hypothèses!$V$7,Hypothèses!$X$7,IF(B47&lt;=Hypothèses!$V$8,Hypothèses!$X$8,IF(B47&lt;=Hypothèses!$V$9,Hypothèses!$X$9,IF(B47&lt;=Hypothèses!$V$10,Hypothèses!$X$10,IF(B47&lt;=Hypothèses!$V$11,Hypothèses!$X$11,IF(B47&lt;=Hypothèses!$V$12,Hypothèses!$X$12,IF(B47&lt;=Hypothèses!$V$13,Hypothèses!$X$13,IF(B47&lt;=Hypothèses!$V$14,Hypothèses!$X$14,IF(B47&lt;=Hypothèses!$V$15,Hypothèses!$X$15,IF(B47&lt;=Hypothèses!$V$16,Hypothèses!$X$16,IF(B47&lt;=Hypothèses!$U$17,Hypothèses!$W$17,IF(B47&lt;=Hypothèses!$U$18,Hypothèses!$W$18,""))))))))))))</f>
        <v/>
      </c>
      <c r="Y47" s="95" t="e">
        <f t="shared" ca="1" si="13"/>
        <v>#DIV/0!</v>
      </c>
      <c r="Z47" s="101" t="e">
        <f t="shared" si="14"/>
        <v>#N/A</v>
      </c>
      <c r="AA47" s="91" t="e">
        <f t="shared" si="15"/>
        <v>#N/A</v>
      </c>
      <c r="AB47" s="30" t="e">
        <f t="shared" si="100"/>
        <v>#N/A</v>
      </c>
      <c r="AC47" s="30" t="e">
        <f t="shared" si="101"/>
        <v>#N/A</v>
      </c>
      <c r="AD47" s="31" t="e">
        <f>IF(OR(Hypothèses!$B$4=17,Hypothèses!$B$4=18,Hypothèses!$B$4=19,Hypothèses!$B$4=20),
IF($D47="Pressio.",
IF(OR($E47=3,$E47=1,$E47=4),AC47,AB47),
IF($D47="Pénétro.",
IF(OR($E47=3,$E47=1,$E47=4),AC47,AB47))),IF($D47="Pressio.",
IF($E47=3,AC47,AB47),
IF($D47="Pénétro.",
IF($E47=4,AC47,AB47))))</f>
        <v>#N/A</v>
      </c>
      <c r="AE47" s="31" t="e">
        <f>(IF(OR(Hypothèses!$B$4=17,Hypothèses!$B$4=18,Hypothèses!$B$4=19,Hypothèses!$B$4=20),
IF($D47="Pressio.",
IF(OR($E47=3,$E47=1,$E47=4),(PI()*AE$12^2)/4*(AA47*$W47*1000)/($H47*$B$5),(PI()*AE$12^2)/4*(AA47*$W47*1000)/($G47*$B$5)),
IF($D47="Pénétro.",
IF(OR($E47=4,$E47=1,$E47=5),(PI()*AE$12^2)/4*(AA47*$W47*1000)/($H47*$B$5),(PI()*AE$12^2)/4*(AA47*$W47*1000)/($G47*$B$5)))),
IF($D47="Pressio.",
IF($E47=3,(PI()*AE$12^2)/4*(AA47*$W47*1000)/($H47*$B$5),(PI()*AE$12^2)/4*(AA47*$W47*1000)/($G47*$B$5)),
IF($D47="Pénétro.",
IF($E47=4,(PI()*AE$12^2)/4*(AA47*$W47*1000)/($H47*$B$5),(PI()*AE$12^2)/4*(AA47*$W47*1000)/($G47*$B$5))))))/10</f>
        <v>#N/A</v>
      </c>
      <c r="AF47" s="102" t="e">
        <f>(VLOOKUP($B$3,'Coeff EC7'!$T$39:$X$59,2,0)*AD47+VLOOKUP($B$3,'Coeff EC7'!$T$65:$X$85,2,0)*Model0.1C!AE47)/1.1</f>
        <v>#N/A</v>
      </c>
      <c r="AG47" s="102" t="e">
        <f>(VLOOKUP($B$3,'Coeff EC7'!$T$39:$X$59,3,0)*AD47+VLOOKUP($B$3,'Coeff EC7'!$T$65:$X$85,3,0)*Model0.1C!AE47)/0.9</f>
        <v>#N/A</v>
      </c>
      <c r="AH47" s="102" t="e">
        <f t="shared" si="18"/>
        <v>#N/A</v>
      </c>
      <c r="AI47" s="102" t="e">
        <f t="shared" si="19"/>
        <v>#N/A</v>
      </c>
      <c r="AJ47" s="414" t="e">
        <f>IF(AJ46=0,0,IF(AND(AF47&gt;charge_ELS_quasi,AG47&gt;Charge_ELS_freq,AH47&gt;charge_ELU,AI47&gt;charge_ELA,$B47&gt;NDC!$H$22-0.1+MIN(3*$AJ$12,1.5)),0,1))</f>
        <v>#N/A</v>
      </c>
      <c r="AK47" s="86" t="b">
        <f t="shared" si="20"/>
        <v>0</v>
      </c>
      <c r="AL47" s="86">
        <f t="shared" si="70"/>
        <v>0.5</v>
      </c>
      <c r="AM47" s="86">
        <f t="shared" si="21"/>
        <v>0.5</v>
      </c>
      <c r="AN47" s="30" t="e">
        <f t="shared" ca="1" si="71"/>
        <v>#DIV/0!</v>
      </c>
      <c r="AO47" s="85" t="e">
        <f ca="1">IF(U47&lt;=Hypothèses!$V$7,Hypothèses!$W$7,IF(U47&lt;=Hypothèses!$V$8,Hypothèses!$W$8,IF(U47&lt;=Hypothèses!$V$9,Hypothèses!$W$9,IF(U47&lt;=Hypothèses!$V$10,Hypothèses!$W$10,IF(U47&lt;=Hypothèses!$V$11,Hypothèses!$W$11,IF(U47&lt;=Hypothèses!$V$12,Hypothèses!$W$12,IF(U47&lt;=Hypothèses!$V$13,Hypothèses!$W$13,IF(U47&lt;=Hypothèses!$V$14,Hypothèses!$W$14,IF(U47&lt;=Hypothèses!$V$15,Hypothèses!$W$15,IF(U47&lt;=Hypothèses!$V$16,Hypothèses!$W$16,IF(U47&lt;=Hypothèses!$V$17,Hypothèses!$W$17,IF(U47&lt;=Hypothèses!$V$18,Hypothèses!$W$18,""))))))))))))</f>
        <v>#DIV/0!</v>
      </c>
      <c r="AP47" s="87" t="e">
        <f t="shared" ca="1" si="117"/>
        <v>#DIV/0!</v>
      </c>
      <c r="AQ47" s="88" t="e">
        <f ca="1">IF(U47&lt;=Hypothèses!$V$7,Hypothèses!$X$7,IF(U47&lt;=Hypothèses!$V$8,Hypothèses!$X$8,IF(U47&lt;=Hypothèses!$V$9,Hypothèses!$X$9,IF(U47&lt;=Hypothèses!$V$10,Hypothèses!$X$10,IF(U47&lt;=Hypothèses!$V$11,Hypothèses!$X$11,IF(U47&lt;=Hypothèses!$V$12,Hypothèses!$X$12,IF(U47&lt;=Hypothèses!$V$13,Hypothèses!$X$13,IF(U47&lt;=Hypothèses!$V$14,Hypothèses!$X$14,IF(U47&lt;=Hypothèses!$V$15,Hypothèses!$X$15,IF(U47&lt;=Hypothèses!$V$16,Hypothèses!$X$16,IF(U47&lt;=Hypothèses!$U$17,Hypothèses!$W$17,IF(U47&lt;=Hypothèses!$U$18,Hypothèses!$W$18,""))))))))))))</f>
        <v>#DIV/0!</v>
      </c>
      <c r="AR47" s="95" t="e">
        <f t="shared" ca="1" si="72"/>
        <v>#DIV/0!</v>
      </c>
      <c r="AS47" s="101" t="e">
        <f t="shared" si="124"/>
        <v>#N/A</v>
      </c>
      <c r="AT47" s="91" t="e">
        <f t="shared" si="23"/>
        <v>#N/A</v>
      </c>
      <c r="AU47" s="30" t="e">
        <f t="shared" si="102"/>
        <v>#N/A</v>
      </c>
      <c r="AV47" s="30" t="e">
        <f t="shared" si="103"/>
        <v>#N/A</v>
      </c>
      <c r="AW47" s="31" t="e">
        <f>IF(OR(Hypothèses!$B$4=17,Hypothèses!$B$4=18,Hypothèses!$B$4=19,Hypothèses!$B$4=20),
IF($D47="Pressio.",
IF(OR($E47=3,$E47=1,$E47=4),AV47,AU47),
IF($D47="Pénétro.",
IF(OR($E47=3,$E47=1,$E47=4),AV47,AU47))),IF($D47="Pressio.",
IF($E47=3,AV47,AU47),
IF($D47="Pénétro.",
IF($E47=4,AV47,AU47))))</f>
        <v>#N/A</v>
      </c>
      <c r="AX47" s="31" t="e">
        <f>(IF(OR(Hypothèses!$B$4=17,Hypothèses!$B$4=18,Hypothèses!$B$4=19,Hypothèses!$B$4=20),
IF($D47="Pressio.",
IF(OR($E47=3,$E47=1,$E47=4),(PI()*AX$12^2)/4*(AT47*$W47*1000)/($H47*$B$5),(PI()*AX$12^2)/4*(AT47*$W47*1000)/($G47*$B$5)),
IF($D47="Pénétro.",
IF(OR($E47=4,$E47=1,$E47=5),(PI()*AX$12^2)/4*(AT47*$W47*1000)/($H47*$B$5),(PI()*AX$12^2)/4*(AT47*$W47*1000)/($G47*$B$5)))),
IF($D47="Pressio.",
IF($E47=3,(PI()*AX$12^2)/4*(AT47*$W47*1000)/($H47*$B$5),(PI()*AX$12^2)/4*(AT47*$W47*1000)/($G47*$B$5)),
IF($D47="Pénétro.",
IF($E47=4,(PI()*AX$12^2)/4*(AT47*$W47*1000)/($H47*$B$5),(PI()*AX$12^2)/4*(AT47*$W47*1000)/($G47*$B$5))))))/10</f>
        <v>#N/A</v>
      </c>
      <c r="AY47" s="102" t="e">
        <f>(VLOOKUP($B$3,'Coeff EC7'!$T$39:$X$59,2,0)*AW47+VLOOKUP($B$3,'Coeff EC7'!$T$65:$X$85,2,0)*Model0.1C!AX47)/1.1</f>
        <v>#N/A</v>
      </c>
      <c r="AZ47" s="102" t="e">
        <f>(VLOOKUP($B$3,'Coeff EC7'!$T$39:$X$59,3,0)*AW47+VLOOKUP($B$3,'Coeff EC7'!$T$65:$X$85,3,0)*Model0.1C!AX47)/0.9</f>
        <v>#N/A</v>
      </c>
      <c r="BA47" s="102" t="e">
        <f t="shared" si="73"/>
        <v>#N/A</v>
      </c>
      <c r="BB47" s="102" t="e">
        <f t="shared" si="74"/>
        <v>#N/A</v>
      </c>
      <c r="BC47" s="414" t="e">
        <f>IF(BC46=0,0,IF(AND(AY47&gt;charge_ELS_quasi,AZ47&gt;Charge_ELS_freq,BA47&gt;charge_ELU,BB47&gt;charge_ELA,$B47&gt;NDC!$H$22-0.1+MIN(3*$BC$12,1.5)),0,1))</f>
        <v>#N/A</v>
      </c>
      <c r="BD47" s="86" t="b">
        <f t="shared" si="26"/>
        <v>0</v>
      </c>
      <c r="BE47" s="86">
        <f t="shared" si="75"/>
        <v>0.5</v>
      </c>
      <c r="BF47" s="86">
        <f t="shared" si="27"/>
        <v>0.5</v>
      </c>
      <c r="BG47" s="30" t="e">
        <f t="shared" ca="1" si="76"/>
        <v>#DIV/0!</v>
      </c>
      <c r="BH47" s="85" t="e">
        <f ca="1">IF(AN47&lt;=Hypothèses!$V$7,Hypothèses!$W$7,IF(AN47&lt;=Hypothèses!$V$8,Hypothèses!$W$8,IF(AN47&lt;=Hypothèses!$V$9,Hypothèses!$W$9,IF(AN47&lt;=Hypothèses!$V$10,Hypothèses!$W$10,IF(AN47&lt;=Hypothèses!$V$11,Hypothèses!$W$11,IF(AN47&lt;=Hypothèses!$V$12,Hypothèses!$W$12,IF(AN47&lt;=Hypothèses!$V$13,Hypothèses!$W$13,IF(AN47&lt;=Hypothèses!$V$14,Hypothèses!$W$14,IF(AN47&lt;=Hypothèses!$V$15,Hypothèses!$W$15,IF(AN47&lt;=Hypothèses!$V$16,Hypothèses!$W$16,IF(AN47&lt;=Hypothèses!$V$17,Hypothèses!$W$17,IF(AN47&lt;=Hypothèses!$V$18,Hypothèses!$W$18,""))))))))))))</f>
        <v>#DIV/0!</v>
      </c>
      <c r="BI47" s="87" t="e">
        <f t="shared" ca="1" si="118"/>
        <v>#DIV/0!</v>
      </c>
      <c r="BJ47" s="88" t="e">
        <f ca="1">IF(AN47&lt;=Hypothèses!$V$7,Hypothèses!$X$7,IF(AN47&lt;=Hypothèses!$V$8,Hypothèses!$X$8,IF(AN47&lt;=Hypothèses!$V$9,Hypothèses!$X$9,IF(AN47&lt;=Hypothèses!$V$10,Hypothèses!$X$10,IF(AN47&lt;=Hypothèses!$V$11,Hypothèses!$X$11,IF(AN47&lt;=Hypothèses!$V$12,Hypothèses!$X$12,IF(AN47&lt;=Hypothèses!$V$13,Hypothèses!$X$13,IF(AN47&lt;=Hypothèses!$V$14,Hypothèses!$X$14,IF(AN47&lt;=Hypothèses!$V$15,Hypothèses!$X$15,IF(AN47&lt;=Hypothèses!$V$16,Hypothèses!$X$16,IF(AN47&lt;=Hypothèses!$U$17,Hypothèses!$W$17,IF(AN47&lt;=Hypothèses!$U$18,Hypothèses!$W$18,""))))))))))))</f>
        <v>#DIV/0!</v>
      </c>
      <c r="BK47" s="95" t="e">
        <f t="shared" ca="1" si="77"/>
        <v>#DIV/0!</v>
      </c>
      <c r="BL47" s="101" t="e">
        <f t="shared" si="125"/>
        <v>#N/A</v>
      </c>
      <c r="BM47" s="91" t="e">
        <f t="shared" si="29"/>
        <v>#N/A</v>
      </c>
      <c r="BN47" s="30" t="e">
        <f t="shared" si="104"/>
        <v>#N/A</v>
      </c>
      <c r="BO47" s="30" t="e">
        <f t="shared" si="105"/>
        <v>#N/A</v>
      </c>
      <c r="BP47" s="31" t="e">
        <f>IF(OR(Hypothèses!$B$4=17,Hypothèses!$B$4=18,Hypothèses!$B$4=19,Hypothèses!$B$4=20),
IF($D47="Pressio.",
IF(OR($E47=3,$E47=1,$E47=4),BO47,BN47),
IF($D47="Pénétro.",
IF(OR($E47=3,$E47=1,$E47=4),BO47,BN47))),IF($D47="Pressio.",
IF($E47=3,BO47,BN47),
IF($D47="Pénétro.",
IF($E47=4,BO47,BN47))))</f>
        <v>#N/A</v>
      </c>
      <c r="BQ47" s="31" t="e">
        <f>(IF(OR(Hypothèses!$B$4=17,Hypothèses!$B$4=18,Hypothèses!$B$4=19,Hypothèses!$B$4=20),
IF($D47="Pressio.",
IF(OR($E47=3,$E47=1,$E47=4),(PI()*BQ$12^2)/4*(BM47*$W47*1000)/($H47*$B$5),(PI()*BQ$12^2)/4*(BM47*$W47*1000)/($G47*$B$5)),
IF($D47="Pénétro.",
IF(OR($E47=4,$E47=1,$E47=5),(PI()*BQ$12^2)/4*(BM47*$W47*1000)/($H47*$B$5),(PI()*BQ$12^2)/4*(BM47*$W47*1000)/($G47*$B$5)))),
IF($D47="Pressio.",
IF($E47=3,(PI()*BQ$12^2)/4*(BM47*$W47*1000)/($H47*$B$5),(PI()*BQ$12^2)/4*(BM47*$W47*1000)/($G47*$B$5)),
IF($D47="Pénétro.",
IF($E47=4,(PI()*BQ$12^2)/4*(BM47*$W47*1000)/($H47*$B$5),(PI()*BQ$12^2)/4*(BM47*$W47*1000)/($G47*$B$5))))))/10</f>
        <v>#N/A</v>
      </c>
      <c r="BR47" s="102" t="e">
        <f>(VLOOKUP($B$3,'Coeff EC7'!$T$39:$X$59,2,0)*BP47+VLOOKUP($B$3,'Coeff EC7'!$T$65:$X$85,2,0)*Model0.1C!BQ47)/1.1</f>
        <v>#N/A</v>
      </c>
      <c r="BS47" s="102" t="e">
        <f>(VLOOKUP($B$3,'Coeff EC7'!$T$39:$X$59,3,0)*BP47+VLOOKUP($B$3,'Coeff EC7'!$T$65:$X$85,3,0)*Model0.1C!BQ47)/0.9</f>
        <v>#N/A</v>
      </c>
      <c r="BT47" s="102" t="e">
        <f t="shared" si="78"/>
        <v>#N/A</v>
      </c>
      <c r="BU47" s="102" t="e">
        <f t="shared" si="79"/>
        <v>#N/A</v>
      </c>
      <c r="BV47" s="414" t="e">
        <f>IF(BV46=0,0,IF(AND(BR47&gt;charge_ELS_quasi,BS47&gt;Charge_ELS_freq,BT47&gt;charge_ELU,BU47&gt;charge_ELA,$B47&gt;NDC!$H$22-0.1+MIN(3*$BV$12,1.5)),0,1))</f>
        <v>#N/A</v>
      </c>
      <c r="BW47" s="86" t="b">
        <f t="shared" si="32"/>
        <v>0</v>
      </c>
      <c r="BX47" s="86">
        <f t="shared" si="33"/>
        <v>0.5</v>
      </c>
      <c r="BY47" s="86">
        <f t="shared" si="34"/>
        <v>0.5</v>
      </c>
      <c r="BZ47" s="30" t="e">
        <f t="shared" ca="1" si="80"/>
        <v>#DIV/0!</v>
      </c>
      <c r="CA47" s="85" t="e">
        <f ca="1">IF(BG47&lt;=Hypothèses!$V$7,Hypothèses!$W$7,IF(BG47&lt;=Hypothèses!$V$8,Hypothèses!$W$8,IF(BG47&lt;=Hypothèses!$V$9,Hypothèses!$W$9,IF(BG47&lt;=Hypothèses!$V$10,Hypothèses!$W$10,IF(BG47&lt;=Hypothèses!$V$11,Hypothèses!$W$11,IF(BG47&lt;=Hypothèses!$V$12,Hypothèses!$W$12,IF(BG47&lt;=Hypothèses!$V$13,Hypothèses!$W$13,IF(BG47&lt;=Hypothèses!$V$14,Hypothèses!$W$14,IF(BG47&lt;=Hypothèses!$V$15,Hypothèses!$W$15,IF(BG47&lt;=Hypothèses!$V$16,Hypothèses!$W$16,IF(BG47&lt;=Hypothèses!$V$17,Hypothèses!$W$17,IF(BG47&lt;=Hypothèses!$V$18,Hypothèses!$W$18,""))))))))))))</f>
        <v>#DIV/0!</v>
      </c>
      <c r="CB47" s="87" t="e">
        <f t="shared" ca="1" si="119"/>
        <v>#DIV/0!</v>
      </c>
      <c r="CC47" s="88" t="e">
        <f ca="1">IF(BG47&lt;=Hypothèses!$V$7,Hypothèses!$X$7,IF(BG47&lt;=Hypothèses!$V$8,Hypothèses!$X$8,IF(BG47&lt;=Hypothèses!$V$9,Hypothèses!$X$9,IF(BG47&lt;=Hypothèses!$V$10,Hypothèses!$X$10,IF(BG47&lt;=Hypothèses!$V$11,Hypothèses!$X$11,IF(BG47&lt;=Hypothèses!$V$12,Hypothèses!$X$12,IF(BG47&lt;=Hypothèses!$V$13,Hypothèses!$X$13,IF(BG47&lt;=Hypothèses!$V$14,Hypothèses!$X$14,IF(BG47&lt;=Hypothèses!$V$15,Hypothèses!$X$15,IF(BG47&lt;=Hypothèses!$V$16,Hypothèses!$X$16,IF(BG47&lt;=Hypothèses!$U$17,Hypothèses!$W$17,IF(BG47&lt;=Hypothèses!$U$18,Hypothèses!$W$18,""))))))))))))</f>
        <v>#DIV/0!</v>
      </c>
      <c r="CD47" s="95" t="e">
        <f t="shared" ca="1" si="81"/>
        <v>#DIV/0!</v>
      </c>
      <c r="CE47" s="101" t="e">
        <f t="shared" si="126"/>
        <v>#N/A</v>
      </c>
      <c r="CF47" s="91" t="e">
        <f t="shared" si="36"/>
        <v>#N/A</v>
      </c>
      <c r="CG47" s="30" t="e">
        <f t="shared" si="106"/>
        <v>#N/A</v>
      </c>
      <c r="CH47" s="30" t="e">
        <f t="shared" si="107"/>
        <v>#N/A</v>
      </c>
      <c r="CI47" s="31" t="e">
        <f>IF(OR(Hypothèses!$B$4=17,Hypothèses!$B$4=18,Hypothèses!$B$4=19,Hypothèses!$B$4=20),
IF($D47="Pressio.",
IF(OR($E47=3,$E47=1,$E47=4),CH47,CG47),
IF($D47="Pénétro.",
IF(OR($E47=3,$E47=1,$E47=4),CH47,CG47))),IF($D47="Pressio.",
IF($E47=3,CH47,CG47),
IF($D47="Pénétro.",
IF($E47=4,CH47,CG47))))</f>
        <v>#N/A</v>
      </c>
      <c r="CJ47" s="31" t="e">
        <f>(IF(OR(Hypothèses!$B$4=17,Hypothèses!$B$4=18,Hypothèses!$B$4=19,Hypothèses!$B$4=20),
IF($D47="Pressio.",
IF(OR($E47=3,$E47=1,$E47=4),(PI()*CJ$12^2)/4*(CF47*$W47*1000)/($H47*$B$5),(PI()*CJ$12^2)/4*(CF47*$W47*1000)/($G47*$B$5)),
IF($D47="Pénétro.",
IF(OR($E47=4,$E47=1,$E47=5),(PI()*CJ$12^2)/4*(CF47*$W47*1000)/($H47*$B$5),(PI()*CJ$12^2)/4*(CF47*$W47*1000)/($G47*$B$5)))),
IF($D47="Pressio.",
IF($E47=3,(PI()*CJ$12^2)/4*(CF47*$W47*1000)/($H47*$B$5),(PI()*CJ$12^2)/4*(CF47*$W47*1000)/($G47*$B$5)),
IF($D47="Pénétro.",
IF($E47=4,(PI()*CJ$12^2)/4*(CF47*$W47*1000)/($H47*$B$5),(PI()*CJ$12^2)/4*(CF47*$W47*1000)/($G47*$B$5))))))/10</f>
        <v>#N/A</v>
      </c>
      <c r="CK47" s="102" t="e">
        <f>(VLOOKUP($B$3,'Coeff EC7'!$T$39:$X$59,2,0)*CI47+VLOOKUP($B$3,'Coeff EC7'!$T$65:$X$85,2,0)*Model0.1C!CJ47)/1.1</f>
        <v>#N/A</v>
      </c>
      <c r="CL47" s="102" t="e">
        <f>(VLOOKUP($B$3,'Coeff EC7'!$T$39:$X$59,3,0)*CI47+VLOOKUP($B$3,'Coeff EC7'!$T$65:$X$85,3,0)*Model0.1C!CJ47)/0.9</f>
        <v>#N/A</v>
      </c>
      <c r="CM47" s="102" t="e">
        <f t="shared" si="82"/>
        <v>#N/A</v>
      </c>
      <c r="CN47" s="102" t="e">
        <f t="shared" si="83"/>
        <v>#N/A</v>
      </c>
      <c r="CO47" s="414" t="e">
        <f>IF(CO46=0,0,IF(AND(CK47&gt;charge_ELS_quasi,CL47&gt;Charge_ELS_freq,CM47&gt;charge_ELU,CN47&gt;charge_ELA,$B47&gt;NDC!$H$22-0.1+MIN(3*$CO$12,1.5)),0,1))</f>
        <v>#N/A</v>
      </c>
      <c r="CP47" s="86" t="b">
        <f t="shared" si="39"/>
        <v>0</v>
      </c>
      <c r="CQ47" s="86">
        <f t="shared" si="40"/>
        <v>0.5</v>
      </c>
      <c r="CR47" s="86">
        <f t="shared" si="41"/>
        <v>0.5</v>
      </c>
      <c r="CS47" s="30" t="e">
        <f t="shared" ca="1" si="84"/>
        <v>#DIV/0!</v>
      </c>
      <c r="CT47" s="85" t="e">
        <f ca="1">IF(BZ47&lt;=Hypothèses!$V$7,Hypothèses!$W$7,IF(BZ47&lt;=Hypothèses!$V$8,Hypothèses!$W$8,IF(BZ47&lt;=Hypothèses!$V$9,Hypothèses!$W$9,IF(BZ47&lt;=Hypothèses!$V$10,Hypothèses!$W$10,IF(BZ47&lt;=Hypothèses!$V$11,Hypothèses!$W$11,IF(BZ47&lt;=Hypothèses!$V$12,Hypothèses!$W$12,IF(BZ47&lt;=Hypothèses!$V$13,Hypothèses!$W$13,IF(BZ47&lt;=Hypothèses!$V$14,Hypothèses!$W$14,IF(BZ47&lt;=Hypothèses!$V$15,Hypothèses!$W$15,IF(BZ47&lt;=Hypothèses!$V$16,Hypothèses!$W$16,IF(BZ47&lt;=Hypothèses!$V$17,Hypothèses!$W$17,IF(BZ47&lt;=Hypothèses!$V$18,Hypothèses!$W$18,""))))))))))))</f>
        <v>#DIV/0!</v>
      </c>
      <c r="CU47" s="87" t="e">
        <f t="shared" ca="1" si="120"/>
        <v>#DIV/0!</v>
      </c>
      <c r="CV47" s="88" t="e">
        <f ca="1">IF(BZ47&lt;=Hypothèses!$V$7,Hypothèses!$X$7,IF(BZ47&lt;=Hypothèses!$V$8,Hypothèses!$X$8,IF(BZ47&lt;=Hypothèses!$V$9,Hypothèses!$X$9,IF(BZ47&lt;=Hypothèses!$V$10,Hypothèses!$X$10,IF(BZ47&lt;=Hypothèses!$V$11,Hypothèses!$X$11,IF(BZ47&lt;=Hypothèses!$V$12,Hypothèses!$X$12,IF(BZ47&lt;=Hypothèses!$V$13,Hypothèses!$X$13,IF(BZ47&lt;=Hypothèses!$V$14,Hypothèses!$X$14,IF(BZ47&lt;=Hypothèses!$V$15,Hypothèses!$X$15,IF(BZ47&lt;=Hypothèses!$V$16,Hypothèses!$X$16,IF(BZ47&lt;=Hypothèses!$U$17,Hypothèses!$W$17,IF(BZ47&lt;=Hypothèses!$U$18,Hypothèses!$W$18,""))))))))))))</f>
        <v>#DIV/0!</v>
      </c>
      <c r="CW47" s="95" t="e">
        <f t="shared" ca="1" si="85"/>
        <v>#DIV/0!</v>
      </c>
      <c r="CX47" s="101" t="e">
        <f t="shared" si="127"/>
        <v>#N/A</v>
      </c>
      <c r="CY47" s="91" t="e">
        <f t="shared" si="43"/>
        <v>#N/A</v>
      </c>
      <c r="CZ47" s="30" t="e">
        <f t="shared" si="108"/>
        <v>#N/A</v>
      </c>
      <c r="DA47" s="30" t="e">
        <f t="shared" si="109"/>
        <v>#N/A</v>
      </c>
      <c r="DB47" s="31" t="e">
        <f>IF(OR(Hypothèses!$B$4=17,Hypothèses!$B$4=18,Hypothèses!$B$4=19,Hypothèses!$B$4=20),
IF($D47="Pressio.",
IF(OR($E47=3,$E47=1,$E47=4),DA47,CZ47),
IF($D47="Pénétro.",
IF(OR($E47=3,$E47=1,$E47=4),DA47,CZ47))),IF($D47="Pressio.",
IF($E47=3,DA47,CZ47),
IF($D47="Pénétro.",
IF($E47=4,DA47,CZ47))))</f>
        <v>#N/A</v>
      </c>
      <c r="DC47" s="31" t="e">
        <f>(IF(OR(Hypothèses!$B$4=17,Hypothèses!$B$4=18,Hypothèses!$B$4=19,Hypothèses!$B$4=20),
IF($D47="Pressio.",
IF(OR($E47=3,$E47=1,$E47=4),(PI()*DC$12^2)/4*(CY47*$W47*1000)/($H47*$B$5),(PI()*DC$12^2)/4*(CY47*$W47*1000)/($G47*$B$5)),
IF($D47="Pénétro.",
IF(OR($E47=4,$E47=1,$E47=5),(PI()*DC$12^2)/4*(CY47*$W47*1000)/($H47*$B$5),(PI()*DC$12^2)/4*(CY47*$W47*1000)/($G47*$B$5)))),
IF($D47="Pressio.",
IF($E47=3,(PI()*DC$12^2)/4*(CY47*$W47*1000)/($H47*$B$5),(PI()*DC$12^2)/4*(CY47*$W47*1000)/($G47*$B$5)),
IF($D47="Pénétro.",
IF($E47=4,(PI()*DC$12^2)/4*(CY47*$W47*1000)/($H47*$B$5),(PI()*DC$12^2)/4*(CY47*$W47*1000)/($G47*$B$5))))))/10</f>
        <v>#N/A</v>
      </c>
      <c r="DD47" s="102" t="e">
        <f>(VLOOKUP($B$3,'Coeff EC7'!$T$39:$X$59,2,0)*DB47+VLOOKUP($B$3,'Coeff EC7'!$T$65:$X$85,2,0)*Model0.1C!DC47)/1.1</f>
        <v>#N/A</v>
      </c>
      <c r="DE47" s="102" t="e">
        <f>(VLOOKUP($B$3,'Coeff EC7'!$T$39:$X$59,3,0)*DB47+VLOOKUP($B$3,'Coeff EC7'!$T$65:$X$85,3,0)*Model0.1C!DC47)/0.9</f>
        <v>#N/A</v>
      </c>
      <c r="DF47" s="102" t="e">
        <f t="shared" si="86"/>
        <v>#N/A</v>
      </c>
      <c r="DG47" s="102" t="e">
        <f t="shared" si="87"/>
        <v>#N/A</v>
      </c>
      <c r="DH47" s="414" t="e">
        <f>IF(DH46=0,0,IF(AND(DD47&gt;charge_ELS_quasi,DE47&gt;Charge_ELS_freq,DF47&gt;charge_ELU,DG47&gt;charge_ELA,$B47&gt;NDC!$H$22-0.1+MIN(3*$DH$12,1.5)),0,1))</f>
        <v>#N/A</v>
      </c>
      <c r="DI47" s="86" t="b">
        <f t="shared" si="46"/>
        <v>0</v>
      </c>
      <c r="DJ47" s="86">
        <f t="shared" si="47"/>
        <v>0.5</v>
      </c>
      <c r="DK47" s="86">
        <f t="shared" si="48"/>
        <v>0.5</v>
      </c>
      <c r="DL47" s="30" t="e">
        <f t="shared" ca="1" si="88"/>
        <v>#DIV/0!</v>
      </c>
      <c r="DM47" s="85" t="e">
        <f ca="1">IF(CS47&lt;=Hypothèses!$V$7,Hypothèses!$W$7,IF(CS47&lt;=Hypothèses!$V$8,Hypothèses!$W$8,IF(CS47&lt;=Hypothèses!$V$9,Hypothèses!$W$9,IF(CS47&lt;=Hypothèses!$V$10,Hypothèses!$W$10,IF(CS47&lt;=Hypothèses!$V$11,Hypothèses!$W$11,IF(CS47&lt;=Hypothèses!$V$12,Hypothèses!$W$12,IF(CS47&lt;=Hypothèses!$V$13,Hypothèses!$W$13,IF(CS47&lt;=Hypothèses!$V$14,Hypothèses!$W$14,IF(CS47&lt;=Hypothèses!$V$15,Hypothèses!$W$15,IF(CS47&lt;=Hypothèses!$V$16,Hypothèses!$W$16,IF(CS47&lt;=Hypothèses!$V$17,Hypothèses!$W$17,IF(CS47&lt;=Hypothèses!$V$18,Hypothèses!$W$18,""))))))))))))</f>
        <v>#DIV/0!</v>
      </c>
      <c r="DN47" s="87" t="e">
        <f t="shared" ca="1" si="121"/>
        <v>#DIV/0!</v>
      </c>
      <c r="DO47" s="88" t="e">
        <f ca="1">IF(CS47&lt;=Hypothèses!$V$7,Hypothèses!$X$7,IF(CS47&lt;=Hypothèses!$V$8,Hypothèses!$X$8,IF(CS47&lt;=Hypothèses!$V$9,Hypothèses!$X$9,IF(CS47&lt;=Hypothèses!$V$10,Hypothèses!$X$10,IF(CS47&lt;=Hypothèses!$V$11,Hypothèses!$X$11,IF(CS47&lt;=Hypothèses!$V$12,Hypothèses!$X$12,IF(CS47&lt;=Hypothèses!$V$13,Hypothèses!$X$13,IF(CS47&lt;=Hypothèses!$V$14,Hypothèses!$X$14,IF(CS47&lt;=Hypothèses!$V$15,Hypothèses!$X$15,IF(CS47&lt;=Hypothèses!$V$16,Hypothèses!$X$16,IF(CS47&lt;=Hypothèses!$U$17,Hypothèses!$W$17,IF(CS47&lt;=Hypothèses!$U$18,Hypothèses!$W$18,""))))))))))))</f>
        <v>#DIV/0!</v>
      </c>
      <c r="DP47" s="95" t="e">
        <f t="shared" ca="1" si="89"/>
        <v>#DIV/0!</v>
      </c>
      <c r="DQ47" s="101" t="e">
        <f t="shared" si="128"/>
        <v>#N/A</v>
      </c>
      <c r="DR47" s="91" t="e">
        <f t="shared" si="50"/>
        <v>#N/A</v>
      </c>
      <c r="DS47" s="30" t="e">
        <f t="shared" si="110"/>
        <v>#N/A</v>
      </c>
      <c r="DT47" s="30" t="e">
        <f t="shared" si="111"/>
        <v>#N/A</v>
      </c>
      <c r="DU47" s="31" t="e">
        <f>IF(OR(Hypothèses!$B$4=17,Hypothèses!$B$4=18,Hypothèses!$B$4=19,Hypothèses!$B$4=20),
IF($D47="Pressio.",
IF(OR($E47=3,$E47=1,$E47=4),DT47,DS47),
IF($D47="Pénétro.",
IF(OR($E47=3,$E47=1,$E47=4),DT47,DS47))),IF($D47="Pressio.",
IF($E47=3,DT47,DS47),
IF($D47="Pénétro.",
IF($E47=4,DT47,DS47))))</f>
        <v>#N/A</v>
      </c>
      <c r="DV47" s="31" t="e">
        <f>(IF(OR(Hypothèses!$B$4=17,Hypothèses!$B$4=18,Hypothèses!$B$4=19,Hypothèses!$B$4=20),
IF($D47="Pressio.",
IF(OR($E47=3,$E47=1,$E47=4),(PI()*DV$12^2)/4*(DR47*$W47*1000)/($H47*$B$5),(PI()*DV$12^2)/4*(DR47*$W47*1000)/($G47*$B$5)),
IF($D47="Pénétro.",
IF(OR($E47=4,$E47=1,$E47=5),(PI()*DV$12^2)/4*(DR47*$W47*1000)/($H47*$B$5),(PI()*DV$12^2)/4*(DR47*$W47*1000)/($G47*$B$5)))),
IF($D47="Pressio.",
IF($E47=3,(PI()*DV$12^2)/4*(DR47*$W47*1000)/($H47*$B$5),(PI()*DV$12^2)/4*(DR47*$W47*1000)/($G47*$B$5)),
IF($D47="Pénétro.",
IF($E47=4,(PI()*DV$12^2)/4*(DR47*$W47*1000)/($H47*$B$5),(PI()*DV$12^2)/4*(DR47*$W47*1000)/($G47*$B$5))))))/10</f>
        <v>#N/A</v>
      </c>
      <c r="DW47" s="102" t="e">
        <f>(VLOOKUP($B$3,'Coeff EC7'!$T$39:$X$59,2,0)*DU47+VLOOKUP($B$3,'Coeff EC7'!$T$65:$X$85,2,0)*Model0.1C!DV47)/1.1</f>
        <v>#N/A</v>
      </c>
      <c r="DX47" s="102" t="e">
        <f>(VLOOKUP($B$3,'Coeff EC7'!$T$39:$X$59,3,0)*DU47+VLOOKUP($B$3,'Coeff EC7'!$T$65:$X$85,3,0)*Model0.1C!DV47)/0.9</f>
        <v>#N/A</v>
      </c>
      <c r="DY47" s="102" t="e">
        <f t="shared" si="90"/>
        <v>#N/A</v>
      </c>
      <c r="DZ47" s="102" t="e">
        <f t="shared" si="91"/>
        <v>#N/A</v>
      </c>
      <c r="EA47" s="414" t="e">
        <f>IF(EA46=0,0,IF(AND(DW47&gt;charge_ELS_quasi,DX47&gt;Charge_ELS_freq,DY47&gt;charge_ELU,DZ47&gt;charge_ELA,$B47&gt;NDC!$H$22-0.1+MIN(3*$EA$12,1.5)),0,1))</f>
        <v>#N/A</v>
      </c>
      <c r="EB47" s="86" t="b">
        <f t="shared" si="53"/>
        <v>0</v>
      </c>
      <c r="EC47" s="418">
        <f t="shared" si="54"/>
        <v>0.51</v>
      </c>
      <c r="ED47" s="86">
        <f t="shared" si="55"/>
        <v>0.51</v>
      </c>
      <c r="EE47" s="30" t="e">
        <f t="shared" ca="1" si="92"/>
        <v>#DIV/0!</v>
      </c>
      <c r="EF47" s="85" t="e">
        <f ca="1">IF(DL47&lt;=Hypothèses!$V$7,Hypothèses!$W$7,IF(DL47&lt;=Hypothèses!$V$8,Hypothèses!$W$8,IF(DL47&lt;=Hypothèses!$V$9,Hypothèses!$W$9,IF(DL47&lt;=Hypothèses!$V$10,Hypothèses!$W$10,IF(DL47&lt;=Hypothèses!$V$11,Hypothèses!$W$11,IF(DL47&lt;=Hypothèses!$V$12,Hypothèses!$W$12,IF(DL47&lt;=Hypothèses!$V$13,Hypothèses!$W$13,IF(DL47&lt;=Hypothèses!$V$14,Hypothèses!$W$14,IF(DL47&lt;=Hypothèses!$V$15,Hypothèses!$W$15,IF(DL47&lt;=Hypothèses!$V$16,Hypothèses!$W$16,IF(DL47&lt;=Hypothèses!$V$17,Hypothèses!$W$17,IF(DL47&lt;=Hypothèses!$V$18,Hypothèses!$W$18,""))))))))))))</f>
        <v>#DIV/0!</v>
      </c>
      <c r="EG47" s="87" t="e">
        <f t="shared" ca="1" si="122"/>
        <v>#DIV/0!</v>
      </c>
      <c r="EH47" s="88" t="e">
        <f ca="1">IF(DL47&lt;=Hypothèses!$V$7,Hypothèses!$X$7,IF(DL47&lt;=Hypothèses!$V$8,Hypothèses!$X$8,IF(DL47&lt;=Hypothèses!$V$9,Hypothèses!$X$9,IF(DL47&lt;=Hypothèses!$V$10,Hypothèses!$X$10,IF(DL47&lt;=Hypothèses!$V$11,Hypothèses!$X$11,IF(DL47&lt;=Hypothèses!$V$12,Hypothèses!$X$12,IF(DL47&lt;=Hypothèses!$V$13,Hypothèses!$X$13,IF(DL47&lt;=Hypothèses!$V$14,Hypothèses!$X$14,IF(DL47&lt;=Hypothèses!$V$15,Hypothèses!$X$15,IF(DL47&lt;=Hypothèses!$V$16,Hypothèses!$X$16,IF(DL47&lt;=Hypothèses!$U$17,Hypothèses!$W$17,IF(DL47&lt;=Hypothèses!$U$18,Hypothèses!$W$18,""))))))))))))</f>
        <v>#DIV/0!</v>
      </c>
      <c r="EI47" s="95" t="e">
        <f t="shared" ca="1" si="93"/>
        <v>#DIV/0!</v>
      </c>
      <c r="EJ47" s="101" t="e">
        <f t="shared" si="129"/>
        <v>#N/A</v>
      </c>
      <c r="EK47" s="91" t="e">
        <f t="shared" si="57"/>
        <v>#N/A</v>
      </c>
      <c r="EL47" s="30" t="e">
        <f t="shared" si="112"/>
        <v>#N/A</v>
      </c>
      <c r="EM47" s="30" t="e">
        <f t="shared" si="113"/>
        <v>#N/A</v>
      </c>
      <c r="EN47" s="31" t="e">
        <f>IF(OR(Hypothèses!$B$4=17,Hypothèses!$B$4=18,Hypothèses!$B$4=19,Hypothèses!$B$4=20),
IF($D47="Pressio.",
IF(OR($E47=3,$E47=1,$E47=4),EM47,EL47),
IF($D47="Pénétro.",
IF(OR($E47=3,$E47=1,$E47=4),EM47,EL47))),IF($D47="Pressio.",
IF($E47=3,EM47,EL47),
IF($D47="Pénétro.",
IF($E47=4,EM47,EL47))))</f>
        <v>#N/A</v>
      </c>
      <c r="EO47" s="31" t="e">
        <f>(IF(OR(Hypothèses!$B$4=17,Hypothèses!$B$4=18,Hypothèses!$B$4=19,Hypothèses!$B$4=20),
IF($D47="Pressio.",
IF(OR($E47=3,$E47=1,$E47=4),(PI()*EO$12^2)/4*(EK47*$W47*1000)/($H47*$B$5),(PI()*EO$12^2)/4*(EK47*$W47*1000)/($G47*$B$5)),
IF($D47="Pénétro.",
IF(OR($E47=4,$E47=1,$E47=5),(PI()*EO$12^2)/4*(EK47*$W47*1000)/($H47*$B$5),(PI()*EO$12^2)/4*(EK47*$W47*1000)/($G47*$B$5)))),
IF($D47="Pressio.",
IF($E47=3,(PI()*EO$12^2)/4*(EK47*$W47*1000)/($H47*$B$5),(PI()*EO$12^2)/4*(EK47*$W47*1000)/($G47*$B$5)),
IF($D47="Pénétro.",
IF($E47=4,(PI()*EO$12^2)/4*(EK47*$W47*1000)/($H47*$B$5),(PI()*EO$12^2)/4*(EK47*$W47*1000)/($G47*$B$5))))))/10</f>
        <v>#N/A</v>
      </c>
      <c r="EP47" s="102" t="e">
        <f>(VLOOKUP($B$3,'Coeff EC7'!$T$39:$X$59,2,0)*EN47+VLOOKUP($B$3,'Coeff EC7'!$T$65:$X$85,2,0)*Model0.1C!EO47)/1.1</f>
        <v>#N/A</v>
      </c>
      <c r="EQ47" s="102" t="e">
        <f>(VLOOKUP($B$3,'Coeff EC7'!$T$39:$X$59,3,0)*EN47+VLOOKUP($B$3,'Coeff EC7'!$T$65:$X$85,3,0)*Model0.1C!EO47)/0.9</f>
        <v>#N/A</v>
      </c>
      <c r="ER47" s="102" t="e">
        <f t="shared" si="94"/>
        <v>#N/A</v>
      </c>
      <c r="ES47" s="102" t="e">
        <f t="shared" si="95"/>
        <v>#N/A</v>
      </c>
      <c r="ET47" s="414" t="e">
        <f>IF(ET46=0,0,IF(AND(EP47&gt;charge_ELS_quasi,EQ47&gt;Charge_ELS_freq,ER47&gt;charge_ELU,ES47&gt;charge_ELA,$B47&gt;NDC!$H$22-0.1+MIN(3*$ET$12,1.5)),0,1))</f>
        <v>#N/A</v>
      </c>
      <c r="EU47" s="86" t="b">
        <f t="shared" si="60"/>
        <v>0</v>
      </c>
      <c r="EV47" s="86">
        <f t="shared" si="61"/>
        <v>0.61</v>
      </c>
      <c r="EW47" s="86">
        <f t="shared" si="62"/>
        <v>0.61</v>
      </c>
      <c r="EX47" s="30" t="e">
        <f t="shared" ca="1" si="96"/>
        <v>#DIV/0!</v>
      </c>
      <c r="EY47" s="85" t="e">
        <f ca="1">IF(EE47&lt;=Hypothèses!$V$7,Hypothèses!$W$7,IF(EE47&lt;=Hypothèses!$V$8,Hypothèses!$W$8,IF(EE47&lt;=Hypothèses!$V$9,Hypothèses!$W$9,IF(EE47&lt;=Hypothèses!$V$10,Hypothèses!$W$10,IF(EE47&lt;=Hypothèses!$V$11,Hypothèses!$W$11,IF(EE47&lt;=Hypothèses!$V$12,Hypothèses!$W$12,IF(EE47&lt;=Hypothèses!$V$13,Hypothèses!$W$13,IF(EE47&lt;=Hypothèses!$V$14,Hypothèses!$W$14,IF(EE47&lt;=Hypothèses!$V$15,Hypothèses!$W$15,IF(EE47&lt;=Hypothèses!$V$16,Hypothèses!$W$16,IF(EE47&lt;=Hypothèses!$V$17,Hypothèses!$W$17,IF(EE47&lt;=Hypothèses!$V$18,Hypothèses!$W$18,""))))))))))))</f>
        <v>#DIV/0!</v>
      </c>
      <c r="EZ47" s="87" t="e">
        <f t="shared" ca="1" si="123"/>
        <v>#DIV/0!</v>
      </c>
      <c r="FA47" s="88" t="e">
        <f ca="1">IF(EE47&lt;=Hypothèses!$V$7,Hypothèses!$X$7,IF(EE47&lt;=Hypothèses!$V$8,Hypothèses!$X$8,IF(EE47&lt;=Hypothèses!$V$9,Hypothèses!$X$9,IF(EE47&lt;=Hypothèses!$V$10,Hypothèses!$X$10,IF(EE47&lt;=Hypothèses!$V$11,Hypothèses!$X$11,IF(EE47&lt;=Hypothèses!$V$12,Hypothèses!$X$12,IF(EE47&lt;=Hypothèses!$V$13,Hypothèses!$X$13,IF(EE47&lt;=Hypothèses!$V$14,Hypothèses!$X$14,IF(EE47&lt;=Hypothèses!$V$15,Hypothèses!$X$15,IF(EE47&lt;=Hypothèses!$V$16,Hypothèses!$X$16,IF(EE47&lt;=Hypothèses!$U$17,Hypothèses!$W$17,IF(EE47&lt;=Hypothèses!$U$18,Hypothèses!$W$18,""))))))))))))</f>
        <v>#DIV/0!</v>
      </c>
      <c r="FB47" s="95" t="e">
        <f t="shared" ca="1" si="97"/>
        <v>#DIV/0!</v>
      </c>
      <c r="FC47" s="101" t="e">
        <f t="shared" si="130"/>
        <v>#N/A</v>
      </c>
      <c r="FD47" s="91" t="e">
        <f t="shared" si="64"/>
        <v>#N/A</v>
      </c>
      <c r="FE47" s="30" t="e">
        <f t="shared" si="114"/>
        <v>#N/A</v>
      </c>
      <c r="FF47" s="30" t="e">
        <f t="shared" si="115"/>
        <v>#N/A</v>
      </c>
      <c r="FG47" s="31" t="e">
        <f>IF(OR(Hypothèses!$B$4=17,Hypothèses!$B$4=18,Hypothèses!$B$4=19,Hypothèses!$B$4=20),
IF($D47="Pressio.",
IF(OR($E47=3,$E47=1,$E47=4),FF47,FE47),
IF($D47="Pénétro.",
IF(OR($E47=3,$E47=1,$E47=4),FF47,FE47))),IF($D47="Pressio.",
IF($E47=3,FF47,FE47),
IF($D47="Pénétro.",
IF($E47=4,FF47,FE47))))</f>
        <v>#N/A</v>
      </c>
      <c r="FH47" s="31" t="e">
        <f>(IF(OR(Hypothèses!$B$4=17,Hypothèses!$B$4=18,Hypothèses!$B$4=19,Hypothèses!$B$4=20),
IF($D47="Pressio.",
IF(OR($E47=3,$E47=1,$E47=4),(PI()*FH$12^2)/4*(FD47*$W47*1000)/($H47*$B$5),(PI()*FH$12^2)/4*(FD47*$W47*1000)/($G47*$B$5)),
IF($D47="Pénétro.",
IF(OR($E47=4,$E47=1,$E47=5),(PI()*FH$12^2)/4*(FD47*$W47*1000)/($H47*$B$5),(PI()*FH$12^2)/4*(FD47*$W47*1000)/($G47*$B$5)))),
IF($D47="Pressio.",
IF($E47=3,(PI()*FH$12^2)/4*(FD47*$W47*1000)/($H47*$B$5),(PI()*FH$12^2)/4*(FD47*$W47*1000)/($G47*$B$5)),
IF($D47="Pénétro.",
IF($E47=4,(PI()*FH$12^2)/4*(FD47*$W47*1000)/($H47*$B$5),(PI()*FH$12^2)/4*(FD47*$W47*1000)/($G47*$B$5))))))/10</f>
        <v>#N/A</v>
      </c>
      <c r="FI47" s="102" t="e">
        <f>(VLOOKUP($B$3,'Coeff EC7'!$T$39:$X$59,2,0)*FG47+VLOOKUP($B$3,'Coeff EC7'!$T$65:$X$85,2,0)*Model0.1C!FH47)/1.1</f>
        <v>#N/A</v>
      </c>
      <c r="FJ47" s="102" t="e">
        <f>(VLOOKUP($B$3,'Coeff EC7'!$T$39:$X$59,3,0)*FG47+VLOOKUP($B$3,'Coeff EC7'!$T$65:$X$85,3,0)*Model0.1C!FH47)/0.9</f>
        <v>#N/A</v>
      </c>
      <c r="FK47" s="102" t="e">
        <f t="shared" si="98"/>
        <v>#N/A</v>
      </c>
      <c r="FL47" s="102" t="e">
        <f t="shared" si="99"/>
        <v>#N/A</v>
      </c>
      <c r="FM47" s="414" t="e">
        <f>IF(FM46=0,0,IF(AND(FI47&gt;charge_ELS_quasi,FJ47&gt;Charge_ELS_freq,FK47&gt;charge_ELU,FL47&gt;charge_ELA,$B47&gt;NDC!$H$22-0.1+MIN(3*$FM$12,1.5)),0,1))</f>
        <v>#N/A</v>
      </c>
    </row>
    <row r="48" spans="1:169">
      <c r="A48" s="96">
        <f t="shared" si="67"/>
        <v>96.500000000000199</v>
      </c>
      <c r="B48" s="97">
        <v>3.5</v>
      </c>
      <c r="C48" s="81">
        <f>IF(B48&lt;=Hypothèses!$C$7,Hypothèses!$A$7,IF(B48&lt;=Hypothèses!$C$8,Hypothèses!$A$8,IF(B48&lt;=Hypothèses!$C$9,Hypothèses!$A$9,IF(B48&lt;=Hypothèses!$C$10,Hypothèses!$A$10,IF(B48&lt;=Hypothèses!$C$11,Hypothèses!$A$11,IF(B48&lt;=Hypothèses!$C$12,Hypothèses!$A$12,IF(B48&lt;=Hypothèses!$C$13,Hypothèses!$A$13,IF(B48&lt;=Hypothèses!$C$14,Hypothèses!$A$14,IF(B48&lt;=Hypothèses!$C$15,Hypothèses!$A$15,IF(B48&lt;=Hypothèses!$C$16,Hypothèses!$A$16,IF(B48&lt;=Hypothèses!$C$17,Hypothèses!$A$17,IF(B48&lt;=Hypothèses!$C$18,Hypothèses!$A$18,C47))))))))))))</f>
        <v>11</v>
      </c>
      <c r="D48" s="82" t="str">
        <f>IF(B48&lt;=Hypothèses!$C$7,Hypothèses!$R$7,IF(B48&lt;=Hypothèses!$C$8,Hypothèses!$R$8,IF(B48&lt;=Hypothèses!$C$9,Hypothèses!$R$9,IF(B48&lt;=Hypothèses!$C$10,Hypothèses!$R$10,IF(B48&lt;=Hypothèses!$C$11,Hypothèses!$R$11,IF(B48&lt;=Hypothèses!$C$12,Hypothèses!$R$12,IF(B48&lt;=Hypothèses!$C$13,Hypothèses!$R$13,IF(B48&lt;=Hypothèses!$C$14,Hypothèses!$R$14,IF(B48&lt;=Hypothèses!$C$15,Hypothèses!$R$15,IF(B48&lt;=Hypothèses!$C$16,Hypothèses!$R$16,IF(B48&lt;=Hypothèses!$C$17,Hypothèses!$R$17,IF(B48&lt;=Hypothèses!$C$18,Hypothèses!$R$18,D47))))))))))))</f>
        <v>Pressio.</v>
      </c>
      <c r="E48" s="82" t="e">
        <f>IF(B48&lt;=Hypothèses!$C$7,Hypothèses!$G$7,IF(B48&lt;=Hypothèses!$C$8,Hypothèses!$G$8,IF(B48&lt;=Hypothèses!$C$9,Hypothèses!$G$9,IF(B48&lt;=Hypothèses!$C$10,Hypothèses!$G$10,IF(B48&lt;=Hypothèses!$C$11,Hypothèses!$G$11,IF(B48&lt;=Hypothèses!$C$12,Hypothèses!$G$12,IF(B48&lt;=Hypothèses!$C$13,Hypothèses!$G$13,IF(B48&lt;=Hypothèses!$C$14,Hypothèses!$G$14,IF(B48&lt;=Hypothèses!$C$15,Hypothèses!$G$15,IF(B48&lt;=Hypothèses!$C$16,Hypothèses!$G$16,IF(B48&lt;=Hypothèses!$C$17,Hypothèses!$G$17,IF(B48&lt;=Hypothèses!$C$18,Hypothèses!$G$18,E47))))))))))))</f>
        <v>#N/A</v>
      </c>
      <c r="F48" s="82" t="str">
        <f>IF(B48&lt;=Hypothèses!$C$7,Hypothèses!$F$7,IF(B48&lt;=Hypothèses!$C$8,Hypothèses!$F$8,IF(B48&lt;=Hypothèses!$C$9,Hypothèses!$F$9,IF(B48&lt;=Hypothèses!$C$10,Hypothèses!$F$10,IF(B48&lt;=Hypothèses!$C$11,Hypothèses!$F$11,IF(B48&lt;=Hypothèses!$C$12,Hypothèses!$F$12,IF(B48&lt;=Hypothèses!$C$13,Hypothèses!$F$13,IF(B48&lt;=Hypothèses!$C$14,Hypothèses!$F$14,IF(B48&lt;=Hypothèses!$C$15,Hypothèses!$F$15,IF(B48&lt;=Hypothèses!$C$16,Hypothèses!$F$16,IF(B48&lt;=Hypothèses!$C$17,Hypothèses!$F$17,IF(B48&lt;=Hypothèses!$C$18,Hypothèses!$F$18,F47))))))))))))</f>
        <v/>
      </c>
      <c r="G48" s="91">
        <f t="array" ref="G48">INDEX('Coeff EC7'!$U$7:$X$27,
MATCH(Model0.1C!$B$3,'Coeff EC7'!$T$7:$T$27,0),
MATCH(Model0.1C!$D48&amp;Model0.1C!$B$4,
'Coeff EC7'!$U$6:$X$6&amp;
'Coeff EC7'!$U$5:$X$5,0))</f>
        <v>1.1499999999999999</v>
      </c>
      <c r="H48" s="91">
        <f t="array" ref="H48">INDEX('Coeff EC7'!$Y$7:$AB$27,
MATCH(Model0.1C!$B$3,'Coeff EC7'!$T$7:$T$27,0),
MATCH(Model0.1C!$D48&amp;Model0.1C!$B$4,
'Coeff EC7'!$Y$6:$AB$6&amp;
'Coeff EC7'!$Y$5:$AB$5,0))</f>
        <v>1.4</v>
      </c>
      <c r="I48" s="83" t="e">
        <f>IF(B48&lt;=Hypothèses!$C$7,Hypothèses!$P$7,IF(B48&lt;=Hypothèses!$C$8,Hypothèses!$P$8,IF(B48&lt;=Hypothèses!$C$9,Hypothèses!$P$9,IF(B48&lt;=Hypothèses!$C$10,Hypothèses!$P$10,IF(B48&lt;=Hypothèses!$C$11,Hypothèses!$P$11,IF(B48&lt;=Hypothèses!$C$12,Hypothèses!$P$12,IF(B48&lt;=Hypothèses!$C$13,Hypothèses!$P$13,IF(B48&lt;=Hypothèses!$C$14,Hypothèses!$P$14,IF(B48&lt;=Hypothèses!$C$15,Hypothèses!$P$15,IF(B48&lt;=Hypothèses!$C$16,Hypothèses!$P$16,IF(B48&lt;=Hypothèses!$C$17,Hypothèses!$P$17,IF(B48&lt;=Hypothèses!$C$18,Hypothèses!$P$18,I47))))))))))))</f>
        <v>#N/A</v>
      </c>
      <c r="J48" s="91" t="e">
        <f t="array" ref="J48">INDEX('Coeff EC7'!$D$33:$Q$33,1,MATCH(D48&amp;E48,'Coeff EC7'!$D$31:$Q$31&amp;'Coeff EC7'!$D$32:$Q$32,0))</f>
        <v>#N/A</v>
      </c>
      <c r="K48" s="91" t="e">
        <f t="array" ref="K48">INDEX('Coeff EC7'!$D$34:$Q$34,1,MATCH(D48&amp;E48,'Coeff EC7'!$D$31:$Q$31&amp;'Coeff EC7'!$D$32:$Q$32,0))</f>
        <v>#N/A</v>
      </c>
      <c r="L48" s="91" t="e">
        <f t="array" ref="L48">INDEX('Coeff EC7'!$D$35:$Q$35,1,MATCH(D48&amp;E48,'Coeff EC7'!$D$31:$Q$31&amp;'Coeff EC7'!$D$32:$Q$32,0))</f>
        <v>#N/A</v>
      </c>
      <c r="M48" s="98" t="e">
        <f t="shared" si="8"/>
        <v>#N/A</v>
      </c>
      <c r="N48" s="99" t="e">
        <f t="array" ref="N48">INDEX('Coeff EC7'!$D$7:$Q$27,MATCH($B$3,'Coeff EC7'!$C$7:$C$27,0),MATCH(D48&amp;E48,'Coeff EC7'!$D$5:$Q$5&amp;'Coeff EC7'!$D$6:$Q$6,0))</f>
        <v>#N/A</v>
      </c>
      <c r="O48" s="99" t="e">
        <f t="array" ref="O48">INDEX('Coeff EC7'!$D$41:$Q$61,MATCH($B$3,'Coeff EC7'!$C$41:$C$61,0),MATCH(D48&amp;E48,'Coeff EC7'!$D$39:$Q$39&amp;'Coeff EC7'!$D$40:$Q$40,0))</f>
        <v>#N/A</v>
      </c>
      <c r="P48" s="30" t="e">
        <f t="shared" si="68"/>
        <v>#N/A</v>
      </c>
      <c r="Q48" s="100" t="e">
        <f t="shared" si="10"/>
        <v>#N/A</v>
      </c>
      <c r="R48" s="86" t="b">
        <f t="shared" si="11"/>
        <v>0</v>
      </c>
      <c r="S48" s="86">
        <f t="shared" si="9"/>
        <v>0.5</v>
      </c>
      <c r="T48" s="86">
        <f t="shared" si="12"/>
        <v>0.5</v>
      </c>
      <c r="U48" s="30" t="e">
        <f t="shared" ca="1" si="69"/>
        <v>#DIV/0!</v>
      </c>
      <c r="V48" s="85" t="str">
        <f>IF(B48&lt;=Hypothèses!$V$7,Hypothèses!$W$7,IF(B48&lt;=Hypothèses!$V$8,Hypothèses!$W$8,IF(B48&lt;=Hypothèses!$V$9,Hypothèses!$W$9,IF(B48&lt;=Hypothèses!$V$10,Hypothèses!$W$10,IF(B48&lt;=Hypothèses!$V$11,Hypothèses!$W$11,IF(B48&lt;=Hypothèses!$V$12,Hypothèses!$W$12,IF(B48&lt;=Hypothèses!$V$13,Hypothèses!$W$13,IF(B48&lt;=Hypothèses!$V$14,Hypothèses!$W$14,IF(B48&lt;=Hypothèses!$V$15,Hypothèses!$W$15,IF(B48&lt;=Hypothèses!$V$16,Hypothèses!$W$16,IF(B48&lt;=Hypothèses!$V$17,Hypothèses!$W$17,IF(B48&lt;=Hypothèses!$V$18,Hypothèses!$W$18,""))))))))))))</f>
        <v/>
      </c>
      <c r="W48" s="87" t="e">
        <f t="shared" ca="1" si="116"/>
        <v>#DIV/0!</v>
      </c>
      <c r="X48" s="88" t="str">
        <f>IF(B48&lt;=Hypothèses!$V$7,Hypothèses!$X$7,IF(B48&lt;=Hypothèses!$V$8,Hypothèses!$X$8,IF(B48&lt;=Hypothèses!$V$9,Hypothèses!$X$9,IF(B48&lt;=Hypothèses!$V$10,Hypothèses!$X$10,IF(B48&lt;=Hypothèses!$V$11,Hypothèses!$X$11,IF(B48&lt;=Hypothèses!$V$12,Hypothèses!$X$12,IF(B48&lt;=Hypothèses!$V$13,Hypothèses!$X$13,IF(B48&lt;=Hypothèses!$V$14,Hypothèses!$X$14,IF(B48&lt;=Hypothèses!$V$15,Hypothèses!$X$15,IF(B48&lt;=Hypothèses!$V$16,Hypothèses!$X$16,IF(B48&lt;=Hypothèses!$U$17,Hypothèses!$W$17,IF(B48&lt;=Hypothèses!$U$18,Hypothèses!$W$18,""))))))))))))</f>
        <v/>
      </c>
      <c r="Y48" s="95" t="e">
        <f t="shared" ca="1" si="13"/>
        <v>#DIV/0!</v>
      </c>
      <c r="Z48" s="101" t="e">
        <f t="shared" si="14"/>
        <v>#N/A</v>
      </c>
      <c r="AA48" s="91" t="e">
        <f t="shared" si="15"/>
        <v>#N/A</v>
      </c>
      <c r="AB48" s="30" t="e">
        <f t="shared" si="100"/>
        <v>#N/A</v>
      </c>
      <c r="AC48" s="30" t="e">
        <f t="shared" si="101"/>
        <v>#N/A</v>
      </c>
      <c r="AD48" s="31" t="e">
        <f>IF(OR(Hypothèses!$B$4=17,Hypothèses!$B$4=18,Hypothèses!$B$4=19,Hypothèses!$B$4=20),
IF($D48="Pressio.",
IF(OR($E48=3,$E48=1,$E48=4),AC48,AB48),
IF($D48="Pénétro.",
IF(OR($E48=3,$E48=1,$E48=4),AC48,AB48))),IF($D48="Pressio.",
IF($E48=3,AC48,AB48),
IF($D48="Pénétro.",
IF($E48=4,AC48,AB48))))</f>
        <v>#N/A</v>
      </c>
      <c r="AE48" s="31" t="e">
        <f>(IF(OR(Hypothèses!$B$4=17,Hypothèses!$B$4=18,Hypothèses!$B$4=19,Hypothèses!$B$4=20),
IF($D48="Pressio.",
IF(OR($E48=3,$E48=1,$E48=4),(PI()*AE$12^2)/4*(AA48*$W48*1000)/($H48*$B$5),(PI()*AE$12^2)/4*(AA48*$W48*1000)/($G48*$B$5)),
IF($D48="Pénétro.",
IF(OR($E48=4,$E48=1,$E48=5),(PI()*AE$12^2)/4*(AA48*$W48*1000)/($H48*$B$5),(PI()*AE$12^2)/4*(AA48*$W48*1000)/($G48*$B$5)))),
IF($D48="Pressio.",
IF($E48=3,(PI()*AE$12^2)/4*(AA48*$W48*1000)/($H48*$B$5),(PI()*AE$12^2)/4*(AA48*$W48*1000)/($G48*$B$5)),
IF($D48="Pénétro.",
IF($E48=4,(PI()*AE$12^2)/4*(AA48*$W48*1000)/($H48*$B$5),(PI()*AE$12^2)/4*(AA48*$W48*1000)/($G48*$B$5))))))/10</f>
        <v>#N/A</v>
      </c>
      <c r="AF48" s="102" t="e">
        <f>(VLOOKUP($B$3,'Coeff EC7'!$T$39:$X$59,2,0)*AD48+VLOOKUP($B$3,'Coeff EC7'!$T$65:$X$85,2,0)*Model0.1C!AE48)/1.1</f>
        <v>#N/A</v>
      </c>
      <c r="AG48" s="102" t="e">
        <f>(VLOOKUP($B$3,'Coeff EC7'!$T$39:$X$59,3,0)*AD48+VLOOKUP($B$3,'Coeff EC7'!$T$65:$X$85,3,0)*Model0.1C!AE48)/0.9</f>
        <v>#N/A</v>
      </c>
      <c r="AH48" s="102" t="e">
        <f t="shared" si="18"/>
        <v>#N/A</v>
      </c>
      <c r="AI48" s="102" t="e">
        <f t="shared" si="19"/>
        <v>#N/A</v>
      </c>
      <c r="AJ48" s="414" t="e">
        <f>IF(AJ47=0,0,IF(AND(AF48&gt;charge_ELS_quasi,AG48&gt;Charge_ELS_freq,AH48&gt;charge_ELU,AI48&gt;charge_ELA,$B48&gt;NDC!$H$22-0.1+MIN(3*$AJ$12,1.5)),0,1))</f>
        <v>#N/A</v>
      </c>
      <c r="AK48" s="86" t="b">
        <f t="shared" si="20"/>
        <v>0</v>
      </c>
      <c r="AL48" s="86">
        <f t="shared" si="70"/>
        <v>0.5</v>
      </c>
      <c r="AM48" s="86">
        <f t="shared" si="21"/>
        <v>0.5</v>
      </c>
      <c r="AN48" s="30" t="e">
        <f t="shared" ca="1" si="71"/>
        <v>#DIV/0!</v>
      </c>
      <c r="AO48" s="85" t="e">
        <f ca="1">IF(U48&lt;=Hypothèses!$V$7,Hypothèses!$W$7,IF(U48&lt;=Hypothèses!$V$8,Hypothèses!$W$8,IF(U48&lt;=Hypothèses!$V$9,Hypothèses!$W$9,IF(U48&lt;=Hypothèses!$V$10,Hypothèses!$W$10,IF(U48&lt;=Hypothèses!$V$11,Hypothèses!$W$11,IF(U48&lt;=Hypothèses!$V$12,Hypothèses!$W$12,IF(U48&lt;=Hypothèses!$V$13,Hypothèses!$W$13,IF(U48&lt;=Hypothèses!$V$14,Hypothèses!$W$14,IF(U48&lt;=Hypothèses!$V$15,Hypothèses!$W$15,IF(U48&lt;=Hypothèses!$V$16,Hypothèses!$W$16,IF(U48&lt;=Hypothèses!$V$17,Hypothèses!$W$17,IF(U48&lt;=Hypothèses!$V$18,Hypothèses!$W$18,""))))))))))))</f>
        <v>#DIV/0!</v>
      </c>
      <c r="AP48" s="87" t="e">
        <f t="shared" ca="1" si="117"/>
        <v>#DIV/0!</v>
      </c>
      <c r="AQ48" s="88" t="e">
        <f ca="1">IF(U48&lt;=Hypothèses!$V$7,Hypothèses!$X$7,IF(U48&lt;=Hypothèses!$V$8,Hypothèses!$X$8,IF(U48&lt;=Hypothèses!$V$9,Hypothèses!$X$9,IF(U48&lt;=Hypothèses!$V$10,Hypothèses!$X$10,IF(U48&lt;=Hypothèses!$V$11,Hypothèses!$X$11,IF(U48&lt;=Hypothèses!$V$12,Hypothèses!$X$12,IF(U48&lt;=Hypothèses!$V$13,Hypothèses!$X$13,IF(U48&lt;=Hypothèses!$V$14,Hypothèses!$X$14,IF(U48&lt;=Hypothèses!$V$15,Hypothèses!$X$15,IF(U48&lt;=Hypothèses!$V$16,Hypothèses!$X$16,IF(U48&lt;=Hypothèses!$U$17,Hypothèses!$W$17,IF(U48&lt;=Hypothèses!$U$18,Hypothèses!$W$18,""))))))))))))</f>
        <v>#DIV/0!</v>
      </c>
      <c r="AR48" s="95" t="e">
        <f t="shared" ca="1" si="72"/>
        <v>#DIV/0!</v>
      </c>
      <c r="AS48" s="101" t="e">
        <f t="shared" si="124"/>
        <v>#N/A</v>
      </c>
      <c r="AT48" s="91" t="e">
        <f t="shared" si="23"/>
        <v>#N/A</v>
      </c>
      <c r="AU48" s="30" t="e">
        <f t="shared" si="102"/>
        <v>#N/A</v>
      </c>
      <c r="AV48" s="30" t="e">
        <f t="shared" si="103"/>
        <v>#N/A</v>
      </c>
      <c r="AW48" s="31" t="e">
        <f>IF(OR(Hypothèses!$B$4=17,Hypothèses!$B$4=18,Hypothèses!$B$4=19,Hypothèses!$B$4=20),
IF($D48="Pressio.",
IF(OR($E48=3,$E48=1,$E48=4),AV48,AU48),
IF($D48="Pénétro.",
IF(OR($E48=3,$E48=1,$E48=4),AV48,AU48))),IF($D48="Pressio.",
IF($E48=3,AV48,AU48),
IF($D48="Pénétro.",
IF($E48=4,AV48,AU48))))</f>
        <v>#N/A</v>
      </c>
      <c r="AX48" s="31" t="e">
        <f>(IF(OR(Hypothèses!$B$4=17,Hypothèses!$B$4=18,Hypothèses!$B$4=19,Hypothèses!$B$4=20),
IF($D48="Pressio.",
IF(OR($E48=3,$E48=1,$E48=4),(PI()*AX$12^2)/4*(AT48*$W48*1000)/($H48*$B$5),(PI()*AX$12^2)/4*(AT48*$W48*1000)/($G48*$B$5)),
IF($D48="Pénétro.",
IF(OR($E48=4,$E48=1,$E48=5),(PI()*AX$12^2)/4*(AT48*$W48*1000)/($H48*$B$5),(PI()*AX$12^2)/4*(AT48*$W48*1000)/($G48*$B$5)))),
IF($D48="Pressio.",
IF($E48=3,(PI()*AX$12^2)/4*(AT48*$W48*1000)/($H48*$B$5),(PI()*AX$12^2)/4*(AT48*$W48*1000)/($G48*$B$5)),
IF($D48="Pénétro.",
IF($E48=4,(PI()*AX$12^2)/4*(AT48*$W48*1000)/($H48*$B$5),(PI()*AX$12^2)/4*(AT48*$W48*1000)/($G48*$B$5))))))/10</f>
        <v>#N/A</v>
      </c>
      <c r="AY48" s="102" t="e">
        <f>(VLOOKUP($B$3,'Coeff EC7'!$T$39:$X$59,2,0)*AW48+VLOOKUP($B$3,'Coeff EC7'!$T$65:$X$85,2,0)*Model0.1C!AX48)/1.1</f>
        <v>#N/A</v>
      </c>
      <c r="AZ48" s="102" t="e">
        <f>(VLOOKUP($B$3,'Coeff EC7'!$T$39:$X$59,3,0)*AW48+VLOOKUP($B$3,'Coeff EC7'!$T$65:$X$85,3,0)*Model0.1C!AX48)/0.9</f>
        <v>#N/A</v>
      </c>
      <c r="BA48" s="102" t="e">
        <f t="shared" si="73"/>
        <v>#N/A</v>
      </c>
      <c r="BB48" s="102" t="e">
        <f t="shared" si="74"/>
        <v>#N/A</v>
      </c>
      <c r="BC48" s="414" t="e">
        <f>IF(BC47=0,0,IF(AND(AY48&gt;charge_ELS_quasi,AZ48&gt;Charge_ELS_freq,BA48&gt;charge_ELU,BB48&gt;charge_ELA,$B48&gt;NDC!$H$22-0.1+MIN(3*$BC$12,1.5)),0,1))</f>
        <v>#N/A</v>
      </c>
      <c r="BD48" s="86" t="b">
        <f t="shared" si="26"/>
        <v>0</v>
      </c>
      <c r="BE48" s="86">
        <f t="shared" si="75"/>
        <v>0.5</v>
      </c>
      <c r="BF48" s="86">
        <f t="shared" si="27"/>
        <v>0.5</v>
      </c>
      <c r="BG48" s="30" t="e">
        <f t="shared" ca="1" si="76"/>
        <v>#DIV/0!</v>
      </c>
      <c r="BH48" s="85" t="e">
        <f ca="1">IF(AN48&lt;=Hypothèses!$V$7,Hypothèses!$W$7,IF(AN48&lt;=Hypothèses!$V$8,Hypothèses!$W$8,IF(AN48&lt;=Hypothèses!$V$9,Hypothèses!$W$9,IF(AN48&lt;=Hypothèses!$V$10,Hypothèses!$W$10,IF(AN48&lt;=Hypothèses!$V$11,Hypothèses!$W$11,IF(AN48&lt;=Hypothèses!$V$12,Hypothèses!$W$12,IF(AN48&lt;=Hypothèses!$V$13,Hypothèses!$W$13,IF(AN48&lt;=Hypothèses!$V$14,Hypothèses!$W$14,IF(AN48&lt;=Hypothèses!$V$15,Hypothèses!$W$15,IF(AN48&lt;=Hypothèses!$V$16,Hypothèses!$W$16,IF(AN48&lt;=Hypothèses!$V$17,Hypothèses!$W$17,IF(AN48&lt;=Hypothèses!$V$18,Hypothèses!$W$18,""))))))))))))</f>
        <v>#DIV/0!</v>
      </c>
      <c r="BI48" s="87" t="e">
        <f t="shared" ca="1" si="118"/>
        <v>#DIV/0!</v>
      </c>
      <c r="BJ48" s="88" t="e">
        <f ca="1">IF(AN48&lt;=Hypothèses!$V$7,Hypothèses!$X$7,IF(AN48&lt;=Hypothèses!$V$8,Hypothèses!$X$8,IF(AN48&lt;=Hypothèses!$V$9,Hypothèses!$X$9,IF(AN48&lt;=Hypothèses!$V$10,Hypothèses!$X$10,IF(AN48&lt;=Hypothèses!$V$11,Hypothèses!$X$11,IF(AN48&lt;=Hypothèses!$V$12,Hypothèses!$X$12,IF(AN48&lt;=Hypothèses!$V$13,Hypothèses!$X$13,IF(AN48&lt;=Hypothèses!$V$14,Hypothèses!$X$14,IF(AN48&lt;=Hypothèses!$V$15,Hypothèses!$X$15,IF(AN48&lt;=Hypothèses!$V$16,Hypothèses!$X$16,IF(AN48&lt;=Hypothèses!$U$17,Hypothèses!$W$17,IF(AN48&lt;=Hypothèses!$U$18,Hypothèses!$W$18,""))))))))))))</f>
        <v>#DIV/0!</v>
      </c>
      <c r="BK48" s="95" t="e">
        <f t="shared" ca="1" si="77"/>
        <v>#DIV/0!</v>
      </c>
      <c r="BL48" s="101" t="e">
        <f t="shared" si="125"/>
        <v>#N/A</v>
      </c>
      <c r="BM48" s="91" t="e">
        <f t="shared" si="29"/>
        <v>#N/A</v>
      </c>
      <c r="BN48" s="30" t="e">
        <f t="shared" si="104"/>
        <v>#N/A</v>
      </c>
      <c r="BO48" s="30" t="e">
        <f t="shared" si="105"/>
        <v>#N/A</v>
      </c>
      <c r="BP48" s="31" t="e">
        <f>IF(OR(Hypothèses!$B$4=17,Hypothèses!$B$4=18,Hypothèses!$B$4=19,Hypothèses!$B$4=20),
IF($D48="Pressio.",
IF(OR($E48=3,$E48=1,$E48=4),BO48,BN48),
IF($D48="Pénétro.",
IF(OR($E48=3,$E48=1,$E48=4),BO48,BN48))),IF($D48="Pressio.",
IF($E48=3,BO48,BN48),
IF($D48="Pénétro.",
IF($E48=4,BO48,BN48))))</f>
        <v>#N/A</v>
      </c>
      <c r="BQ48" s="31" t="e">
        <f>(IF(OR(Hypothèses!$B$4=17,Hypothèses!$B$4=18,Hypothèses!$B$4=19,Hypothèses!$B$4=20),
IF($D48="Pressio.",
IF(OR($E48=3,$E48=1,$E48=4),(PI()*BQ$12^2)/4*(BM48*$W48*1000)/($H48*$B$5),(PI()*BQ$12^2)/4*(BM48*$W48*1000)/($G48*$B$5)),
IF($D48="Pénétro.",
IF(OR($E48=4,$E48=1,$E48=5),(PI()*BQ$12^2)/4*(BM48*$W48*1000)/($H48*$B$5),(PI()*BQ$12^2)/4*(BM48*$W48*1000)/($G48*$B$5)))),
IF($D48="Pressio.",
IF($E48=3,(PI()*BQ$12^2)/4*(BM48*$W48*1000)/($H48*$B$5),(PI()*BQ$12^2)/4*(BM48*$W48*1000)/($G48*$B$5)),
IF($D48="Pénétro.",
IF($E48=4,(PI()*BQ$12^2)/4*(BM48*$W48*1000)/($H48*$B$5),(PI()*BQ$12^2)/4*(BM48*$W48*1000)/($G48*$B$5))))))/10</f>
        <v>#N/A</v>
      </c>
      <c r="BR48" s="102" t="e">
        <f>(VLOOKUP($B$3,'Coeff EC7'!$T$39:$X$59,2,0)*BP48+VLOOKUP($B$3,'Coeff EC7'!$T$65:$X$85,2,0)*Model0.1C!BQ48)/1.1</f>
        <v>#N/A</v>
      </c>
      <c r="BS48" s="102" t="e">
        <f>(VLOOKUP($B$3,'Coeff EC7'!$T$39:$X$59,3,0)*BP48+VLOOKUP($B$3,'Coeff EC7'!$T$65:$X$85,3,0)*Model0.1C!BQ48)/0.9</f>
        <v>#N/A</v>
      </c>
      <c r="BT48" s="102" t="e">
        <f t="shared" si="78"/>
        <v>#N/A</v>
      </c>
      <c r="BU48" s="102" t="e">
        <f t="shared" si="79"/>
        <v>#N/A</v>
      </c>
      <c r="BV48" s="414" t="e">
        <f>IF(BV47=0,0,IF(AND(BR48&gt;charge_ELS_quasi,BS48&gt;Charge_ELS_freq,BT48&gt;charge_ELU,BU48&gt;charge_ELA,$B48&gt;NDC!$H$22-0.1+MIN(3*$BV$12,1.5)),0,1))</f>
        <v>#N/A</v>
      </c>
      <c r="BW48" s="86" t="b">
        <f t="shared" si="32"/>
        <v>0</v>
      </c>
      <c r="BX48" s="86">
        <f t="shared" si="33"/>
        <v>0.5</v>
      </c>
      <c r="BY48" s="86">
        <f t="shared" si="34"/>
        <v>0.5</v>
      </c>
      <c r="BZ48" s="30" t="e">
        <f t="shared" ca="1" si="80"/>
        <v>#DIV/0!</v>
      </c>
      <c r="CA48" s="85" t="e">
        <f ca="1">IF(BG48&lt;=Hypothèses!$V$7,Hypothèses!$W$7,IF(BG48&lt;=Hypothèses!$V$8,Hypothèses!$W$8,IF(BG48&lt;=Hypothèses!$V$9,Hypothèses!$W$9,IF(BG48&lt;=Hypothèses!$V$10,Hypothèses!$W$10,IF(BG48&lt;=Hypothèses!$V$11,Hypothèses!$W$11,IF(BG48&lt;=Hypothèses!$V$12,Hypothèses!$W$12,IF(BG48&lt;=Hypothèses!$V$13,Hypothèses!$W$13,IF(BG48&lt;=Hypothèses!$V$14,Hypothèses!$W$14,IF(BG48&lt;=Hypothèses!$V$15,Hypothèses!$W$15,IF(BG48&lt;=Hypothèses!$V$16,Hypothèses!$W$16,IF(BG48&lt;=Hypothèses!$V$17,Hypothèses!$W$17,IF(BG48&lt;=Hypothèses!$V$18,Hypothèses!$W$18,""))))))))))))</f>
        <v>#DIV/0!</v>
      </c>
      <c r="CB48" s="87" t="e">
        <f t="shared" ca="1" si="119"/>
        <v>#DIV/0!</v>
      </c>
      <c r="CC48" s="88" t="e">
        <f ca="1">IF(BG48&lt;=Hypothèses!$V$7,Hypothèses!$X$7,IF(BG48&lt;=Hypothèses!$V$8,Hypothèses!$X$8,IF(BG48&lt;=Hypothèses!$V$9,Hypothèses!$X$9,IF(BG48&lt;=Hypothèses!$V$10,Hypothèses!$X$10,IF(BG48&lt;=Hypothèses!$V$11,Hypothèses!$X$11,IF(BG48&lt;=Hypothèses!$V$12,Hypothèses!$X$12,IF(BG48&lt;=Hypothèses!$V$13,Hypothèses!$X$13,IF(BG48&lt;=Hypothèses!$V$14,Hypothèses!$X$14,IF(BG48&lt;=Hypothèses!$V$15,Hypothèses!$X$15,IF(BG48&lt;=Hypothèses!$V$16,Hypothèses!$X$16,IF(BG48&lt;=Hypothèses!$U$17,Hypothèses!$W$17,IF(BG48&lt;=Hypothèses!$U$18,Hypothèses!$W$18,""))))))))))))</f>
        <v>#DIV/0!</v>
      </c>
      <c r="CD48" s="95" t="e">
        <f t="shared" ca="1" si="81"/>
        <v>#DIV/0!</v>
      </c>
      <c r="CE48" s="101" t="e">
        <f t="shared" si="126"/>
        <v>#N/A</v>
      </c>
      <c r="CF48" s="91" t="e">
        <f t="shared" si="36"/>
        <v>#N/A</v>
      </c>
      <c r="CG48" s="30" t="e">
        <f t="shared" si="106"/>
        <v>#N/A</v>
      </c>
      <c r="CH48" s="30" t="e">
        <f t="shared" si="107"/>
        <v>#N/A</v>
      </c>
      <c r="CI48" s="31" t="e">
        <f>IF(OR(Hypothèses!$B$4=17,Hypothèses!$B$4=18,Hypothèses!$B$4=19,Hypothèses!$B$4=20),
IF($D48="Pressio.",
IF(OR($E48=3,$E48=1,$E48=4),CH48,CG48),
IF($D48="Pénétro.",
IF(OR($E48=3,$E48=1,$E48=4),CH48,CG48))),IF($D48="Pressio.",
IF($E48=3,CH48,CG48),
IF($D48="Pénétro.",
IF($E48=4,CH48,CG48))))</f>
        <v>#N/A</v>
      </c>
      <c r="CJ48" s="31" t="e">
        <f>(IF(OR(Hypothèses!$B$4=17,Hypothèses!$B$4=18,Hypothèses!$B$4=19,Hypothèses!$B$4=20),
IF($D48="Pressio.",
IF(OR($E48=3,$E48=1,$E48=4),(PI()*CJ$12^2)/4*(CF48*$W48*1000)/($H48*$B$5),(PI()*CJ$12^2)/4*(CF48*$W48*1000)/($G48*$B$5)),
IF($D48="Pénétro.",
IF(OR($E48=4,$E48=1,$E48=5),(PI()*CJ$12^2)/4*(CF48*$W48*1000)/($H48*$B$5),(PI()*CJ$12^2)/4*(CF48*$W48*1000)/($G48*$B$5)))),
IF($D48="Pressio.",
IF($E48=3,(PI()*CJ$12^2)/4*(CF48*$W48*1000)/($H48*$B$5),(PI()*CJ$12^2)/4*(CF48*$W48*1000)/($G48*$B$5)),
IF($D48="Pénétro.",
IF($E48=4,(PI()*CJ$12^2)/4*(CF48*$W48*1000)/($H48*$B$5),(PI()*CJ$12^2)/4*(CF48*$W48*1000)/($G48*$B$5))))))/10</f>
        <v>#N/A</v>
      </c>
      <c r="CK48" s="102" t="e">
        <f>(VLOOKUP($B$3,'Coeff EC7'!$T$39:$X$59,2,0)*CI48+VLOOKUP($B$3,'Coeff EC7'!$T$65:$X$85,2,0)*Model0.1C!CJ48)/1.1</f>
        <v>#N/A</v>
      </c>
      <c r="CL48" s="102" t="e">
        <f>(VLOOKUP($B$3,'Coeff EC7'!$T$39:$X$59,3,0)*CI48+VLOOKUP($B$3,'Coeff EC7'!$T$65:$X$85,3,0)*Model0.1C!CJ48)/0.9</f>
        <v>#N/A</v>
      </c>
      <c r="CM48" s="102" t="e">
        <f t="shared" si="82"/>
        <v>#N/A</v>
      </c>
      <c r="CN48" s="102" t="e">
        <f t="shared" si="83"/>
        <v>#N/A</v>
      </c>
      <c r="CO48" s="414" t="e">
        <f>IF(CO47=0,0,IF(AND(CK48&gt;charge_ELS_quasi,CL48&gt;Charge_ELS_freq,CM48&gt;charge_ELU,CN48&gt;charge_ELA,$B48&gt;NDC!$H$22-0.1+MIN(3*$CO$12,1.5)),0,1))</f>
        <v>#N/A</v>
      </c>
      <c r="CP48" s="86" t="b">
        <f t="shared" si="39"/>
        <v>0</v>
      </c>
      <c r="CQ48" s="86">
        <f t="shared" si="40"/>
        <v>0.5</v>
      </c>
      <c r="CR48" s="86">
        <f t="shared" si="41"/>
        <v>0.5</v>
      </c>
      <c r="CS48" s="30" t="e">
        <f t="shared" ca="1" si="84"/>
        <v>#DIV/0!</v>
      </c>
      <c r="CT48" s="85" t="e">
        <f ca="1">IF(BZ48&lt;=Hypothèses!$V$7,Hypothèses!$W$7,IF(BZ48&lt;=Hypothèses!$V$8,Hypothèses!$W$8,IF(BZ48&lt;=Hypothèses!$V$9,Hypothèses!$W$9,IF(BZ48&lt;=Hypothèses!$V$10,Hypothèses!$W$10,IF(BZ48&lt;=Hypothèses!$V$11,Hypothèses!$W$11,IF(BZ48&lt;=Hypothèses!$V$12,Hypothèses!$W$12,IF(BZ48&lt;=Hypothèses!$V$13,Hypothèses!$W$13,IF(BZ48&lt;=Hypothèses!$V$14,Hypothèses!$W$14,IF(BZ48&lt;=Hypothèses!$V$15,Hypothèses!$W$15,IF(BZ48&lt;=Hypothèses!$V$16,Hypothèses!$W$16,IF(BZ48&lt;=Hypothèses!$V$17,Hypothèses!$W$17,IF(BZ48&lt;=Hypothèses!$V$18,Hypothèses!$W$18,""))))))))))))</f>
        <v>#DIV/0!</v>
      </c>
      <c r="CU48" s="87" t="e">
        <f t="shared" ca="1" si="120"/>
        <v>#DIV/0!</v>
      </c>
      <c r="CV48" s="88" t="e">
        <f ca="1">IF(BZ48&lt;=Hypothèses!$V$7,Hypothèses!$X$7,IF(BZ48&lt;=Hypothèses!$V$8,Hypothèses!$X$8,IF(BZ48&lt;=Hypothèses!$V$9,Hypothèses!$X$9,IF(BZ48&lt;=Hypothèses!$V$10,Hypothèses!$X$10,IF(BZ48&lt;=Hypothèses!$V$11,Hypothèses!$X$11,IF(BZ48&lt;=Hypothèses!$V$12,Hypothèses!$X$12,IF(BZ48&lt;=Hypothèses!$V$13,Hypothèses!$X$13,IF(BZ48&lt;=Hypothèses!$V$14,Hypothèses!$X$14,IF(BZ48&lt;=Hypothèses!$V$15,Hypothèses!$X$15,IF(BZ48&lt;=Hypothèses!$V$16,Hypothèses!$X$16,IF(BZ48&lt;=Hypothèses!$U$17,Hypothèses!$W$17,IF(BZ48&lt;=Hypothèses!$U$18,Hypothèses!$W$18,""))))))))))))</f>
        <v>#DIV/0!</v>
      </c>
      <c r="CW48" s="95" t="e">
        <f t="shared" ca="1" si="85"/>
        <v>#DIV/0!</v>
      </c>
      <c r="CX48" s="101" t="e">
        <f t="shared" si="127"/>
        <v>#N/A</v>
      </c>
      <c r="CY48" s="91" t="e">
        <f t="shared" si="43"/>
        <v>#N/A</v>
      </c>
      <c r="CZ48" s="30" t="e">
        <f t="shared" si="108"/>
        <v>#N/A</v>
      </c>
      <c r="DA48" s="30" t="e">
        <f t="shared" si="109"/>
        <v>#N/A</v>
      </c>
      <c r="DB48" s="31" t="e">
        <f>IF(OR(Hypothèses!$B$4=17,Hypothèses!$B$4=18,Hypothèses!$B$4=19,Hypothèses!$B$4=20),
IF($D48="Pressio.",
IF(OR($E48=3,$E48=1,$E48=4),DA48,CZ48),
IF($D48="Pénétro.",
IF(OR($E48=3,$E48=1,$E48=4),DA48,CZ48))),IF($D48="Pressio.",
IF($E48=3,DA48,CZ48),
IF($D48="Pénétro.",
IF($E48=4,DA48,CZ48))))</f>
        <v>#N/A</v>
      </c>
      <c r="DC48" s="31" t="e">
        <f>(IF(OR(Hypothèses!$B$4=17,Hypothèses!$B$4=18,Hypothèses!$B$4=19,Hypothèses!$B$4=20),
IF($D48="Pressio.",
IF(OR($E48=3,$E48=1,$E48=4),(PI()*DC$12^2)/4*(CY48*$W48*1000)/($H48*$B$5),(PI()*DC$12^2)/4*(CY48*$W48*1000)/($G48*$B$5)),
IF($D48="Pénétro.",
IF(OR($E48=4,$E48=1,$E48=5),(PI()*DC$12^2)/4*(CY48*$W48*1000)/($H48*$B$5),(PI()*DC$12^2)/4*(CY48*$W48*1000)/($G48*$B$5)))),
IF($D48="Pressio.",
IF($E48=3,(PI()*DC$12^2)/4*(CY48*$W48*1000)/($H48*$B$5),(PI()*DC$12^2)/4*(CY48*$W48*1000)/($G48*$B$5)),
IF($D48="Pénétro.",
IF($E48=4,(PI()*DC$12^2)/4*(CY48*$W48*1000)/($H48*$B$5),(PI()*DC$12^2)/4*(CY48*$W48*1000)/($G48*$B$5))))))/10</f>
        <v>#N/A</v>
      </c>
      <c r="DD48" s="102" t="e">
        <f>(VLOOKUP($B$3,'Coeff EC7'!$T$39:$X$59,2,0)*DB48+VLOOKUP($B$3,'Coeff EC7'!$T$65:$X$85,2,0)*Model0.1C!DC48)/1.1</f>
        <v>#N/A</v>
      </c>
      <c r="DE48" s="102" t="e">
        <f>(VLOOKUP($B$3,'Coeff EC7'!$T$39:$X$59,3,0)*DB48+VLOOKUP($B$3,'Coeff EC7'!$T$65:$X$85,3,0)*Model0.1C!DC48)/0.9</f>
        <v>#N/A</v>
      </c>
      <c r="DF48" s="102" t="e">
        <f t="shared" si="86"/>
        <v>#N/A</v>
      </c>
      <c r="DG48" s="102" t="e">
        <f t="shared" si="87"/>
        <v>#N/A</v>
      </c>
      <c r="DH48" s="414" t="e">
        <f>IF(DH47=0,0,IF(AND(DD48&gt;charge_ELS_quasi,DE48&gt;Charge_ELS_freq,DF48&gt;charge_ELU,DG48&gt;charge_ELA,$B48&gt;NDC!$H$22-0.1+MIN(3*$DH$12,1.5)),0,1))</f>
        <v>#N/A</v>
      </c>
      <c r="DI48" s="86" t="b">
        <f t="shared" si="46"/>
        <v>0</v>
      </c>
      <c r="DJ48" s="86">
        <f t="shared" si="47"/>
        <v>0.5</v>
      </c>
      <c r="DK48" s="86">
        <f t="shared" si="48"/>
        <v>0.5</v>
      </c>
      <c r="DL48" s="30" t="e">
        <f t="shared" ca="1" si="88"/>
        <v>#DIV/0!</v>
      </c>
      <c r="DM48" s="85" t="e">
        <f ca="1">IF(CS48&lt;=Hypothèses!$V$7,Hypothèses!$W$7,IF(CS48&lt;=Hypothèses!$V$8,Hypothèses!$W$8,IF(CS48&lt;=Hypothèses!$V$9,Hypothèses!$W$9,IF(CS48&lt;=Hypothèses!$V$10,Hypothèses!$W$10,IF(CS48&lt;=Hypothèses!$V$11,Hypothèses!$W$11,IF(CS48&lt;=Hypothèses!$V$12,Hypothèses!$W$12,IF(CS48&lt;=Hypothèses!$V$13,Hypothèses!$W$13,IF(CS48&lt;=Hypothèses!$V$14,Hypothèses!$W$14,IF(CS48&lt;=Hypothèses!$V$15,Hypothèses!$W$15,IF(CS48&lt;=Hypothèses!$V$16,Hypothèses!$W$16,IF(CS48&lt;=Hypothèses!$V$17,Hypothèses!$W$17,IF(CS48&lt;=Hypothèses!$V$18,Hypothèses!$W$18,""))))))))))))</f>
        <v>#DIV/0!</v>
      </c>
      <c r="DN48" s="87" t="e">
        <f t="shared" ca="1" si="121"/>
        <v>#DIV/0!</v>
      </c>
      <c r="DO48" s="88" t="e">
        <f ca="1">IF(CS48&lt;=Hypothèses!$V$7,Hypothèses!$X$7,IF(CS48&lt;=Hypothèses!$V$8,Hypothèses!$X$8,IF(CS48&lt;=Hypothèses!$V$9,Hypothèses!$X$9,IF(CS48&lt;=Hypothèses!$V$10,Hypothèses!$X$10,IF(CS48&lt;=Hypothèses!$V$11,Hypothèses!$X$11,IF(CS48&lt;=Hypothèses!$V$12,Hypothèses!$X$12,IF(CS48&lt;=Hypothèses!$V$13,Hypothèses!$X$13,IF(CS48&lt;=Hypothèses!$V$14,Hypothèses!$X$14,IF(CS48&lt;=Hypothèses!$V$15,Hypothèses!$X$15,IF(CS48&lt;=Hypothèses!$V$16,Hypothèses!$X$16,IF(CS48&lt;=Hypothèses!$U$17,Hypothèses!$W$17,IF(CS48&lt;=Hypothèses!$U$18,Hypothèses!$W$18,""))))))))))))</f>
        <v>#DIV/0!</v>
      </c>
      <c r="DP48" s="95" t="e">
        <f t="shared" ca="1" si="89"/>
        <v>#DIV/0!</v>
      </c>
      <c r="DQ48" s="101" t="e">
        <f t="shared" si="128"/>
        <v>#N/A</v>
      </c>
      <c r="DR48" s="91" t="e">
        <f t="shared" si="50"/>
        <v>#N/A</v>
      </c>
      <c r="DS48" s="30" t="e">
        <f t="shared" si="110"/>
        <v>#N/A</v>
      </c>
      <c r="DT48" s="30" t="e">
        <f t="shared" si="111"/>
        <v>#N/A</v>
      </c>
      <c r="DU48" s="31" t="e">
        <f>IF(OR(Hypothèses!$B$4=17,Hypothèses!$B$4=18,Hypothèses!$B$4=19,Hypothèses!$B$4=20),
IF($D48="Pressio.",
IF(OR($E48=3,$E48=1,$E48=4),DT48,DS48),
IF($D48="Pénétro.",
IF(OR($E48=3,$E48=1,$E48=4),DT48,DS48))),IF($D48="Pressio.",
IF($E48=3,DT48,DS48),
IF($D48="Pénétro.",
IF($E48=4,DT48,DS48))))</f>
        <v>#N/A</v>
      </c>
      <c r="DV48" s="31" t="e">
        <f>(IF(OR(Hypothèses!$B$4=17,Hypothèses!$B$4=18,Hypothèses!$B$4=19,Hypothèses!$B$4=20),
IF($D48="Pressio.",
IF(OR($E48=3,$E48=1,$E48=4),(PI()*DV$12^2)/4*(DR48*$W48*1000)/($H48*$B$5),(PI()*DV$12^2)/4*(DR48*$W48*1000)/($G48*$B$5)),
IF($D48="Pénétro.",
IF(OR($E48=4,$E48=1,$E48=5),(PI()*DV$12^2)/4*(DR48*$W48*1000)/($H48*$B$5),(PI()*DV$12^2)/4*(DR48*$W48*1000)/($G48*$B$5)))),
IF($D48="Pressio.",
IF($E48=3,(PI()*DV$12^2)/4*(DR48*$W48*1000)/($H48*$B$5),(PI()*DV$12^2)/4*(DR48*$W48*1000)/($G48*$B$5)),
IF($D48="Pénétro.",
IF($E48=4,(PI()*DV$12^2)/4*(DR48*$W48*1000)/($H48*$B$5),(PI()*DV$12^2)/4*(DR48*$W48*1000)/($G48*$B$5))))))/10</f>
        <v>#N/A</v>
      </c>
      <c r="DW48" s="102" t="e">
        <f>(VLOOKUP($B$3,'Coeff EC7'!$T$39:$X$59,2,0)*DU48+VLOOKUP($B$3,'Coeff EC7'!$T$65:$X$85,2,0)*Model0.1C!DV48)/1.1</f>
        <v>#N/A</v>
      </c>
      <c r="DX48" s="102" t="e">
        <f>(VLOOKUP($B$3,'Coeff EC7'!$T$39:$X$59,3,0)*DU48+VLOOKUP($B$3,'Coeff EC7'!$T$65:$X$85,3,0)*Model0.1C!DV48)/0.9</f>
        <v>#N/A</v>
      </c>
      <c r="DY48" s="102" t="e">
        <f t="shared" si="90"/>
        <v>#N/A</v>
      </c>
      <c r="DZ48" s="102" t="e">
        <f t="shared" si="91"/>
        <v>#N/A</v>
      </c>
      <c r="EA48" s="414" t="e">
        <f>IF(EA47=0,0,IF(AND(DW48&gt;charge_ELS_quasi,DX48&gt;Charge_ELS_freq,DY48&gt;charge_ELU,DZ48&gt;charge_ELA,$B48&gt;NDC!$H$22-0.1+MIN(3*$EA$12,1.5)),0,1))</f>
        <v>#N/A</v>
      </c>
      <c r="EB48" s="86" t="b">
        <f t="shared" si="53"/>
        <v>0</v>
      </c>
      <c r="EC48" s="418">
        <f t="shared" si="54"/>
        <v>0.51</v>
      </c>
      <c r="ED48" s="86">
        <f t="shared" si="55"/>
        <v>0.51</v>
      </c>
      <c r="EE48" s="30" t="e">
        <f t="shared" ca="1" si="92"/>
        <v>#DIV/0!</v>
      </c>
      <c r="EF48" s="85" t="e">
        <f ca="1">IF(DL48&lt;=Hypothèses!$V$7,Hypothèses!$W$7,IF(DL48&lt;=Hypothèses!$V$8,Hypothèses!$W$8,IF(DL48&lt;=Hypothèses!$V$9,Hypothèses!$W$9,IF(DL48&lt;=Hypothèses!$V$10,Hypothèses!$W$10,IF(DL48&lt;=Hypothèses!$V$11,Hypothèses!$W$11,IF(DL48&lt;=Hypothèses!$V$12,Hypothèses!$W$12,IF(DL48&lt;=Hypothèses!$V$13,Hypothèses!$W$13,IF(DL48&lt;=Hypothèses!$V$14,Hypothèses!$W$14,IF(DL48&lt;=Hypothèses!$V$15,Hypothèses!$W$15,IF(DL48&lt;=Hypothèses!$V$16,Hypothèses!$W$16,IF(DL48&lt;=Hypothèses!$V$17,Hypothèses!$W$17,IF(DL48&lt;=Hypothèses!$V$18,Hypothèses!$W$18,""))))))))))))</f>
        <v>#DIV/0!</v>
      </c>
      <c r="EG48" s="87" t="e">
        <f t="shared" ca="1" si="122"/>
        <v>#DIV/0!</v>
      </c>
      <c r="EH48" s="88" t="e">
        <f ca="1">IF(DL48&lt;=Hypothèses!$V$7,Hypothèses!$X$7,IF(DL48&lt;=Hypothèses!$V$8,Hypothèses!$X$8,IF(DL48&lt;=Hypothèses!$V$9,Hypothèses!$X$9,IF(DL48&lt;=Hypothèses!$V$10,Hypothèses!$X$10,IF(DL48&lt;=Hypothèses!$V$11,Hypothèses!$X$11,IF(DL48&lt;=Hypothèses!$V$12,Hypothèses!$X$12,IF(DL48&lt;=Hypothèses!$V$13,Hypothèses!$X$13,IF(DL48&lt;=Hypothèses!$V$14,Hypothèses!$X$14,IF(DL48&lt;=Hypothèses!$V$15,Hypothèses!$X$15,IF(DL48&lt;=Hypothèses!$V$16,Hypothèses!$X$16,IF(DL48&lt;=Hypothèses!$U$17,Hypothèses!$W$17,IF(DL48&lt;=Hypothèses!$U$18,Hypothèses!$W$18,""))))))))))))</f>
        <v>#DIV/0!</v>
      </c>
      <c r="EI48" s="95" t="e">
        <f t="shared" ca="1" si="93"/>
        <v>#DIV/0!</v>
      </c>
      <c r="EJ48" s="101" t="e">
        <f t="shared" si="129"/>
        <v>#N/A</v>
      </c>
      <c r="EK48" s="91" t="e">
        <f t="shared" si="57"/>
        <v>#N/A</v>
      </c>
      <c r="EL48" s="30" t="e">
        <f t="shared" si="112"/>
        <v>#N/A</v>
      </c>
      <c r="EM48" s="30" t="e">
        <f t="shared" si="113"/>
        <v>#N/A</v>
      </c>
      <c r="EN48" s="31" t="e">
        <f>IF(OR(Hypothèses!$B$4=17,Hypothèses!$B$4=18,Hypothèses!$B$4=19,Hypothèses!$B$4=20),
IF($D48="Pressio.",
IF(OR($E48=3,$E48=1,$E48=4),EM48,EL48),
IF($D48="Pénétro.",
IF(OR($E48=3,$E48=1,$E48=4),EM48,EL48))),IF($D48="Pressio.",
IF($E48=3,EM48,EL48),
IF($D48="Pénétro.",
IF($E48=4,EM48,EL48))))</f>
        <v>#N/A</v>
      </c>
      <c r="EO48" s="31" t="e">
        <f>(IF(OR(Hypothèses!$B$4=17,Hypothèses!$B$4=18,Hypothèses!$B$4=19,Hypothèses!$B$4=20),
IF($D48="Pressio.",
IF(OR($E48=3,$E48=1,$E48=4),(PI()*EO$12^2)/4*(EK48*$W48*1000)/($H48*$B$5),(PI()*EO$12^2)/4*(EK48*$W48*1000)/($G48*$B$5)),
IF($D48="Pénétro.",
IF(OR($E48=4,$E48=1,$E48=5),(PI()*EO$12^2)/4*(EK48*$W48*1000)/($H48*$B$5),(PI()*EO$12^2)/4*(EK48*$W48*1000)/($G48*$B$5)))),
IF($D48="Pressio.",
IF($E48=3,(PI()*EO$12^2)/4*(EK48*$W48*1000)/($H48*$B$5),(PI()*EO$12^2)/4*(EK48*$W48*1000)/($G48*$B$5)),
IF($D48="Pénétro.",
IF($E48=4,(PI()*EO$12^2)/4*(EK48*$W48*1000)/($H48*$B$5),(PI()*EO$12^2)/4*(EK48*$W48*1000)/($G48*$B$5))))))/10</f>
        <v>#N/A</v>
      </c>
      <c r="EP48" s="102" t="e">
        <f>(VLOOKUP($B$3,'Coeff EC7'!$T$39:$X$59,2,0)*EN48+VLOOKUP($B$3,'Coeff EC7'!$T$65:$X$85,2,0)*Model0.1C!EO48)/1.1</f>
        <v>#N/A</v>
      </c>
      <c r="EQ48" s="102" t="e">
        <f>(VLOOKUP($B$3,'Coeff EC7'!$T$39:$X$59,3,0)*EN48+VLOOKUP($B$3,'Coeff EC7'!$T$65:$X$85,3,0)*Model0.1C!EO48)/0.9</f>
        <v>#N/A</v>
      </c>
      <c r="ER48" s="102" t="e">
        <f t="shared" si="94"/>
        <v>#N/A</v>
      </c>
      <c r="ES48" s="102" t="e">
        <f t="shared" si="95"/>
        <v>#N/A</v>
      </c>
      <c r="ET48" s="414" t="e">
        <f>IF(ET47=0,0,IF(AND(EP48&gt;charge_ELS_quasi,EQ48&gt;Charge_ELS_freq,ER48&gt;charge_ELU,ES48&gt;charge_ELA,$B48&gt;NDC!$H$22-0.1+MIN(3*$ET$12,1.5)),0,1))</f>
        <v>#N/A</v>
      </c>
      <c r="EU48" s="86" t="b">
        <f t="shared" si="60"/>
        <v>0</v>
      </c>
      <c r="EV48" s="86">
        <f t="shared" si="61"/>
        <v>0.61</v>
      </c>
      <c r="EW48" s="86">
        <f t="shared" si="62"/>
        <v>0.61</v>
      </c>
      <c r="EX48" s="30" t="e">
        <f t="shared" ca="1" si="96"/>
        <v>#DIV/0!</v>
      </c>
      <c r="EY48" s="85" t="e">
        <f ca="1">IF(EE48&lt;=Hypothèses!$V$7,Hypothèses!$W$7,IF(EE48&lt;=Hypothèses!$V$8,Hypothèses!$W$8,IF(EE48&lt;=Hypothèses!$V$9,Hypothèses!$W$9,IF(EE48&lt;=Hypothèses!$V$10,Hypothèses!$W$10,IF(EE48&lt;=Hypothèses!$V$11,Hypothèses!$W$11,IF(EE48&lt;=Hypothèses!$V$12,Hypothèses!$W$12,IF(EE48&lt;=Hypothèses!$V$13,Hypothèses!$W$13,IF(EE48&lt;=Hypothèses!$V$14,Hypothèses!$W$14,IF(EE48&lt;=Hypothèses!$V$15,Hypothèses!$W$15,IF(EE48&lt;=Hypothèses!$V$16,Hypothèses!$W$16,IF(EE48&lt;=Hypothèses!$V$17,Hypothèses!$W$17,IF(EE48&lt;=Hypothèses!$V$18,Hypothèses!$W$18,""))))))))))))</f>
        <v>#DIV/0!</v>
      </c>
      <c r="EZ48" s="87" t="e">
        <f t="shared" ca="1" si="123"/>
        <v>#DIV/0!</v>
      </c>
      <c r="FA48" s="88" t="e">
        <f ca="1">IF(EE48&lt;=Hypothèses!$V$7,Hypothèses!$X$7,IF(EE48&lt;=Hypothèses!$V$8,Hypothèses!$X$8,IF(EE48&lt;=Hypothèses!$V$9,Hypothèses!$X$9,IF(EE48&lt;=Hypothèses!$V$10,Hypothèses!$X$10,IF(EE48&lt;=Hypothèses!$V$11,Hypothèses!$X$11,IF(EE48&lt;=Hypothèses!$V$12,Hypothèses!$X$12,IF(EE48&lt;=Hypothèses!$V$13,Hypothèses!$X$13,IF(EE48&lt;=Hypothèses!$V$14,Hypothèses!$X$14,IF(EE48&lt;=Hypothèses!$V$15,Hypothèses!$X$15,IF(EE48&lt;=Hypothèses!$V$16,Hypothèses!$X$16,IF(EE48&lt;=Hypothèses!$U$17,Hypothèses!$W$17,IF(EE48&lt;=Hypothèses!$U$18,Hypothèses!$W$18,""))))))))))))</f>
        <v>#DIV/0!</v>
      </c>
      <c r="FB48" s="95" t="e">
        <f t="shared" ca="1" si="97"/>
        <v>#DIV/0!</v>
      </c>
      <c r="FC48" s="101" t="e">
        <f t="shared" si="130"/>
        <v>#N/A</v>
      </c>
      <c r="FD48" s="91" t="e">
        <f t="shared" si="64"/>
        <v>#N/A</v>
      </c>
      <c r="FE48" s="30" t="e">
        <f t="shared" si="114"/>
        <v>#N/A</v>
      </c>
      <c r="FF48" s="30" t="e">
        <f t="shared" si="115"/>
        <v>#N/A</v>
      </c>
      <c r="FG48" s="31" t="e">
        <f>IF(OR(Hypothèses!$B$4=17,Hypothèses!$B$4=18,Hypothèses!$B$4=19,Hypothèses!$B$4=20),
IF($D48="Pressio.",
IF(OR($E48=3,$E48=1,$E48=4),FF48,FE48),
IF($D48="Pénétro.",
IF(OR($E48=3,$E48=1,$E48=4),FF48,FE48))),IF($D48="Pressio.",
IF($E48=3,FF48,FE48),
IF($D48="Pénétro.",
IF($E48=4,FF48,FE48))))</f>
        <v>#N/A</v>
      </c>
      <c r="FH48" s="31" t="e">
        <f>(IF(OR(Hypothèses!$B$4=17,Hypothèses!$B$4=18,Hypothèses!$B$4=19,Hypothèses!$B$4=20),
IF($D48="Pressio.",
IF(OR($E48=3,$E48=1,$E48=4),(PI()*FH$12^2)/4*(FD48*$W48*1000)/($H48*$B$5),(PI()*FH$12^2)/4*(FD48*$W48*1000)/($G48*$B$5)),
IF($D48="Pénétro.",
IF(OR($E48=4,$E48=1,$E48=5),(PI()*FH$12^2)/4*(FD48*$W48*1000)/($H48*$B$5),(PI()*FH$12^2)/4*(FD48*$W48*1000)/($G48*$B$5)))),
IF($D48="Pressio.",
IF($E48=3,(PI()*FH$12^2)/4*(FD48*$W48*1000)/($H48*$B$5),(PI()*FH$12^2)/4*(FD48*$W48*1000)/($G48*$B$5)),
IF($D48="Pénétro.",
IF($E48=4,(PI()*FH$12^2)/4*(FD48*$W48*1000)/($H48*$B$5),(PI()*FH$12^2)/4*(FD48*$W48*1000)/($G48*$B$5))))))/10</f>
        <v>#N/A</v>
      </c>
      <c r="FI48" s="102" t="e">
        <f>(VLOOKUP($B$3,'Coeff EC7'!$T$39:$X$59,2,0)*FG48+VLOOKUP($B$3,'Coeff EC7'!$T$65:$X$85,2,0)*Model0.1C!FH48)/1.1</f>
        <v>#N/A</v>
      </c>
      <c r="FJ48" s="102" t="e">
        <f>(VLOOKUP($B$3,'Coeff EC7'!$T$39:$X$59,3,0)*FG48+VLOOKUP($B$3,'Coeff EC7'!$T$65:$X$85,3,0)*Model0.1C!FH48)/0.9</f>
        <v>#N/A</v>
      </c>
      <c r="FK48" s="102" t="e">
        <f t="shared" si="98"/>
        <v>#N/A</v>
      </c>
      <c r="FL48" s="102" t="e">
        <f t="shared" si="99"/>
        <v>#N/A</v>
      </c>
      <c r="FM48" s="414" t="e">
        <f>IF(FM47=0,0,IF(AND(FI48&gt;charge_ELS_quasi,FJ48&gt;Charge_ELS_freq,FK48&gt;charge_ELU,FL48&gt;charge_ELA,$B48&gt;NDC!$H$22-0.1+MIN(3*$FM$12,1.5)),0,1))</f>
        <v>#N/A</v>
      </c>
    </row>
    <row r="49" spans="1:169">
      <c r="A49" s="96">
        <f t="shared" si="67"/>
        <v>96.400000000000205</v>
      </c>
      <c r="B49" s="97">
        <v>3.6</v>
      </c>
      <c r="C49" s="81">
        <f>IF(B49&lt;=Hypothèses!$C$7,Hypothèses!$A$7,IF(B49&lt;=Hypothèses!$C$8,Hypothèses!$A$8,IF(B49&lt;=Hypothèses!$C$9,Hypothèses!$A$9,IF(B49&lt;=Hypothèses!$C$10,Hypothèses!$A$10,IF(B49&lt;=Hypothèses!$C$11,Hypothèses!$A$11,IF(B49&lt;=Hypothèses!$C$12,Hypothèses!$A$12,IF(B49&lt;=Hypothèses!$C$13,Hypothèses!$A$13,IF(B49&lt;=Hypothèses!$C$14,Hypothèses!$A$14,IF(B49&lt;=Hypothèses!$C$15,Hypothèses!$A$15,IF(B49&lt;=Hypothèses!$C$16,Hypothèses!$A$16,IF(B49&lt;=Hypothèses!$C$17,Hypothèses!$A$17,IF(B49&lt;=Hypothèses!$C$18,Hypothèses!$A$18,C48))))))))))))</f>
        <v>11</v>
      </c>
      <c r="D49" s="82" t="str">
        <f>IF(B49&lt;=Hypothèses!$C$7,Hypothèses!$R$7,IF(B49&lt;=Hypothèses!$C$8,Hypothèses!$R$8,IF(B49&lt;=Hypothèses!$C$9,Hypothèses!$R$9,IF(B49&lt;=Hypothèses!$C$10,Hypothèses!$R$10,IF(B49&lt;=Hypothèses!$C$11,Hypothèses!$R$11,IF(B49&lt;=Hypothèses!$C$12,Hypothèses!$R$12,IF(B49&lt;=Hypothèses!$C$13,Hypothèses!$R$13,IF(B49&lt;=Hypothèses!$C$14,Hypothèses!$R$14,IF(B49&lt;=Hypothèses!$C$15,Hypothèses!$R$15,IF(B49&lt;=Hypothèses!$C$16,Hypothèses!$R$16,IF(B49&lt;=Hypothèses!$C$17,Hypothèses!$R$17,IF(B49&lt;=Hypothèses!$C$18,Hypothèses!$R$18,D48))))))))))))</f>
        <v>Pressio.</v>
      </c>
      <c r="E49" s="82" t="e">
        <f>IF(B49&lt;=Hypothèses!$C$7,Hypothèses!$G$7,IF(B49&lt;=Hypothèses!$C$8,Hypothèses!$G$8,IF(B49&lt;=Hypothèses!$C$9,Hypothèses!$G$9,IF(B49&lt;=Hypothèses!$C$10,Hypothèses!$G$10,IF(B49&lt;=Hypothèses!$C$11,Hypothèses!$G$11,IF(B49&lt;=Hypothèses!$C$12,Hypothèses!$G$12,IF(B49&lt;=Hypothèses!$C$13,Hypothèses!$G$13,IF(B49&lt;=Hypothèses!$C$14,Hypothèses!$G$14,IF(B49&lt;=Hypothèses!$C$15,Hypothèses!$G$15,IF(B49&lt;=Hypothèses!$C$16,Hypothèses!$G$16,IF(B49&lt;=Hypothèses!$C$17,Hypothèses!$G$17,IF(B49&lt;=Hypothèses!$C$18,Hypothèses!$G$18,E48))))))))))))</f>
        <v>#N/A</v>
      </c>
      <c r="F49" s="82" t="str">
        <f>IF(B49&lt;=Hypothèses!$C$7,Hypothèses!$F$7,IF(B49&lt;=Hypothèses!$C$8,Hypothèses!$F$8,IF(B49&lt;=Hypothèses!$C$9,Hypothèses!$F$9,IF(B49&lt;=Hypothèses!$C$10,Hypothèses!$F$10,IF(B49&lt;=Hypothèses!$C$11,Hypothèses!$F$11,IF(B49&lt;=Hypothèses!$C$12,Hypothèses!$F$12,IF(B49&lt;=Hypothèses!$C$13,Hypothèses!$F$13,IF(B49&lt;=Hypothèses!$C$14,Hypothèses!$F$14,IF(B49&lt;=Hypothèses!$C$15,Hypothèses!$F$15,IF(B49&lt;=Hypothèses!$C$16,Hypothèses!$F$16,IF(B49&lt;=Hypothèses!$C$17,Hypothèses!$F$17,IF(B49&lt;=Hypothèses!$C$18,Hypothèses!$F$18,F48))))))))))))</f>
        <v/>
      </c>
      <c r="G49" s="91">
        <f t="array" ref="G49">INDEX('Coeff EC7'!$U$7:$X$27,
MATCH(Model0.1C!$B$3,'Coeff EC7'!$T$7:$T$27,0),
MATCH(Model0.1C!$D49&amp;Model0.1C!$B$4,
'Coeff EC7'!$U$6:$X$6&amp;
'Coeff EC7'!$U$5:$X$5,0))</f>
        <v>1.1499999999999999</v>
      </c>
      <c r="H49" s="91">
        <f t="array" ref="H49">INDEX('Coeff EC7'!$Y$7:$AB$27,
MATCH(Model0.1C!$B$3,'Coeff EC7'!$T$7:$T$27,0),
MATCH(Model0.1C!$D49&amp;Model0.1C!$B$4,
'Coeff EC7'!$Y$6:$AB$6&amp;
'Coeff EC7'!$Y$5:$AB$5,0))</f>
        <v>1.4</v>
      </c>
      <c r="I49" s="83" t="e">
        <f>IF(B49&lt;=Hypothèses!$C$7,Hypothèses!$P$7,IF(B49&lt;=Hypothèses!$C$8,Hypothèses!$P$8,IF(B49&lt;=Hypothèses!$C$9,Hypothèses!$P$9,IF(B49&lt;=Hypothèses!$C$10,Hypothèses!$P$10,IF(B49&lt;=Hypothèses!$C$11,Hypothèses!$P$11,IF(B49&lt;=Hypothèses!$C$12,Hypothèses!$P$12,IF(B49&lt;=Hypothèses!$C$13,Hypothèses!$P$13,IF(B49&lt;=Hypothèses!$C$14,Hypothèses!$P$14,IF(B49&lt;=Hypothèses!$C$15,Hypothèses!$P$15,IF(B49&lt;=Hypothèses!$C$16,Hypothèses!$P$16,IF(B49&lt;=Hypothèses!$C$17,Hypothèses!$P$17,IF(B49&lt;=Hypothèses!$C$18,Hypothèses!$P$18,I48))))))))))))</f>
        <v>#N/A</v>
      </c>
      <c r="J49" s="91" t="e">
        <f t="array" ref="J49">INDEX('Coeff EC7'!$D$33:$Q$33,1,MATCH(D49&amp;E49,'Coeff EC7'!$D$31:$Q$31&amp;'Coeff EC7'!$D$32:$Q$32,0))</f>
        <v>#N/A</v>
      </c>
      <c r="K49" s="91" t="e">
        <f t="array" ref="K49">INDEX('Coeff EC7'!$D$34:$Q$34,1,MATCH(D49&amp;E49,'Coeff EC7'!$D$31:$Q$31&amp;'Coeff EC7'!$D$32:$Q$32,0))</f>
        <v>#N/A</v>
      </c>
      <c r="L49" s="91" t="e">
        <f t="array" ref="L49">INDEX('Coeff EC7'!$D$35:$Q$35,1,MATCH(D49&amp;E49,'Coeff EC7'!$D$31:$Q$31&amp;'Coeff EC7'!$D$32:$Q$32,0))</f>
        <v>#N/A</v>
      </c>
      <c r="M49" s="98" t="e">
        <f t="shared" si="8"/>
        <v>#N/A</v>
      </c>
      <c r="N49" s="99" t="e">
        <f t="array" ref="N49">INDEX('Coeff EC7'!$D$7:$Q$27,MATCH($B$3,'Coeff EC7'!$C$7:$C$27,0),MATCH(D49&amp;E49,'Coeff EC7'!$D$5:$Q$5&amp;'Coeff EC7'!$D$6:$Q$6,0))</f>
        <v>#N/A</v>
      </c>
      <c r="O49" s="99" t="e">
        <f t="array" ref="O49">INDEX('Coeff EC7'!$D$41:$Q$61,MATCH($B$3,'Coeff EC7'!$C$41:$C$61,0),MATCH(D49&amp;E49,'Coeff EC7'!$D$39:$Q$39&amp;'Coeff EC7'!$D$40:$Q$40,0))</f>
        <v>#N/A</v>
      </c>
      <c r="P49" s="30" t="e">
        <f t="shared" si="68"/>
        <v>#N/A</v>
      </c>
      <c r="Q49" s="100" t="e">
        <f t="shared" si="10"/>
        <v>#N/A</v>
      </c>
      <c r="R49" s="86" t="b">
        <f t="shared" si="11"/>
        <v>0</v>
      </c>
      <c r="S49" s="86">
        <f t="shared" si="9"/>
        <v>0.5</v>
      </c>
      <c r="T49" s="86">
        <f t="shared" si="12"/>
        <v>0.5</v>
      </c>
      <c r="U49" s="30" t="e">
        <f t="shared" ca="1" si="69"/>
        <v>#DIV/0!</v>
      </c>
      <c r="V49" s="85" t="str">
        <f>IF(B49&lt;=Hypothèses!$V$7,Hypothèses!$W$7,IF(B49&lt;=Hypothèses!$V$8,Hypothèses!$W$8,IF(B49&lt;=Hypothèses!$V$9,Hypothèses!$W$9,IF(B49&lt;=Hypothèses!$V$10,Hypothèses!$W$10,IF(B49&lt;=Hypothèses!$V$11,Hypothèses!$W$11,IF(B49&lt;=Hypothèses!$V$12,Hypothèses!$W$12,IF(B49&lt;=Hypothèses!$V$13,Hypothèses!$W$13,IF(B49&lt;=Hypothèses!$V$14,Hypothèses!$W$14,IF(B49&lt;=Hypothèses!$V$15,Hypothèses!$W$15,IF(B49&lt;=Hypothèses!$V$16,Hypothèses!$W$16,IF(B49&lt;=Hypothèses!$V$17,Hypothèses!$W$17,IF(B49&lt;=Hypothèses!$V$18,Hypothèses!$W$18,""))))))))))))</f>
        <v/>
      </c>
      <c r="W49" s="87" t="e">
        <f t="shared" ca="1" si="116"/>
        <v>#DIV/0!</v>
      </c>
      <c r="X49" s="88" t="str">
        <f>IF(B49&lt;=Hypothèses!$V$7,Hypothèses!$X$7,IF(B49&lt;=Hypothèses!$V$8,Hypothèses!$X$8,IF(B49&lt;=Hypothèses!$V$9,Hypothèses!$X$9,IF(B49&lt;=Hypothèses!$V$10,Hypothèses!$X$10,IF(B49&lt;=Hypothèses!$V$11,Hypothèses!$X$11,IF(B49&lt;=Hypothèses!$V$12,Hypothèses!$X$12,IF(B49&lt;=Hypothèses!$V$13,Hypothèses!$X$13,IF(B49&lt;=Hypothèses!$V$14,Hypothèses!$X$14,IF(B49&lt;=Hypothèses!$V$15,Hypothèses!$X$15,IF(B49&lt;=Hypothèses!$V$16,Hypothèses!$X$16,IF(B49&lt;=Hypothèses!$U$17,Hypothèses!$W$17,IF(B49&lt;=Hypothèses!$U$18,Hypothèses!$W$18,""))))))))))))</f>
        <v/>
      </c>
      <c r="Y49" s="95" t="e">
        <f t="shared" ca="1" si="13"/>
        <v>#DIV/0!</v>
      </c>
      <c r="Z49" s="101" t="e">
        <f t="shared" si="14"/>
        <v>#N/A</v>
      </c>
      <c r="AA49" s="91" t="e">
        <f t="shared" si="15"/>
        <v>#N/A</v>
      </c>
      <c r="AB49" s="30" t="e">
        <f t="shared" si="100"/>
        <v>#N/A</v>
      </c>
      <c r="AC49" s="30" t="e">
        <f t="shared" si="101"/>
        <v>#N/A</v>
      </c>
      <c r="AD49" s="31" t="e">
        <f>IF(OR(Hypothèses!$B$4=17,Hypothèses!$B$4=18,Hypothèses!$B$4=19,Hypothèses!$B$4=20),
IF($D49="Pressio.",
IF(OR($E49=3,$E49=1,$E49=4),AC49,AB49),
IF($D49="Pénétro.",
IF(OR($E49=3,$E49=1,$E49=4),AC49,AB49))),IF($D49="Pressio.",
IF($E49=3,AC49,AB49),
IF($D49="Pénétro.",
IF($E49=4,AC49,AB49))))</f>
        <v>#N/A</v>
      </c>
      <c r="AE49" s="31" t="e">
        <f>(IF(OR(Hypothèses!$B$4=17,Hypothèses!$B$4=18,Hypothèses!$B$4=19,Hypothèses!$B$4=20),
IF($D49="Pressio.",
IF(OR($E49=3,$E49=1,$E49=4),(PI()*AE$12^2)/4*(AA49*$W49*1000)/($H49*$B$5),(PI()*AE$12^2)/4*(AA49*$W49*1000)/($G49*$B$5)),
IF($D49="Pénétro.",
IF(OR($E49=4,$E49=1,$E49=5),(PI()*AE$12^2)/4*(AA49*$W49*1000)/($H49*$B$5),(PI()*AE$12^2)/4*(AA49*$W49*1000)/($G49*$B$5)))),
IF($D49="Pressio.",
IF($E49=3,(PI()*AE$12^2)/4*(AA49*$W49*1000)/($H49*$B$5),(PI()*AE$12^2)/4*(AA49*$W49*1000)/($G49*$B$5)),
IF($D49="Pénétro.",
IF($E49=4,(PI()*AE$12^2)/4*(AA49*$W49*1000)/($H49*$B$5),(PI()*AE$12^2)/4*(AA49*$W49*1000)/($G49*$B$5))))))/10</f>
        <v>#N/A</v>
      </c>
      <c r="AF49" s="102" t="e">
        <f>(VLOOKUP($B$3,'Coeff EC7'!$T$39:$X$59,2,0)*AD49+VLOOKUP($B$3,'Coeff EC7'!$T$65:$X$85,2,0)*Model0.1C!AE49)/1.1</f>
        <v>#N/A</v>
      </c>
      <c r="AG49" s="102" t="e">
        <f>(VLOOKUP($B$3,'Coeff EC7'!$T$39:$X$59,3,0)*AD49+VLOOKUP($B$3,'Coeff EC7'!$T$65:$X$85,3,0)*Model0.1C!AE49)/0.9</f>
        <v>#N/A</v>
      </c>
      <c r="AH49" s="102" t="e">
        <f t="shared" si="18"/>
        <v>#N/A</v>
      </c>
      <c r="AI49" s="102" t="e">
        <f t="shared" si="19"/>
        <v>#N/A</v>
      </c>
      <c r="AJ49" s="414" t="e">
        <f>IF(AJ48=0,0,IF(AND(AF49&gt;charge_ELS_quasi,AG49&gt;Charge_ELS_freq,AH49&gt;charge_ELU,AI49&gt;charge_ELA,$B49&gt;NDC!$H$22-0.1+MIN(3*$AJ$12,1.5)),0,1))</f>
        <v>#N/A</v>
      </c>
      <c r="AK49" s="86" t="b">
        <f t="shared" si="20"/>
        <v>0</v>
      </c>
      <c r="AL49" s="86">
        <f t="shared" si="70"/>
        <v>0.5</v>
      </c>
      <c r="AM49" s="86">
        <f t="shared" si="21"/>
        <v>0.5</v>
      </c>
      <c r="AN49" s="30" t="e">
        <f t="shared" ca="1" si="71"/>
        <v>#DIV/0!</v>
      </c>
      <c r="AO49" s="85" t="e">
        <f ca="1">IF(U49&lt;=Hypothèses!$V$7,Hypothèses!$W$7,IF(U49&lt;=Hypothèses!$V$8,Hypothèses!$W$8,IF(U49&lt;=Hypothèses!$V$9,Hypothèses!$W$9,IF(U49&lt;=Hypothèses!$V$10,Hypothèses!$W$10,IF(U49&lt;=Hypothèses!$V$11,Hypothèses!$W$11,IF(U49&lt;=Hypothèses!$V$12,Hypothèses!$W$12,IF(U49&lt;=Hypothèses!$V$13,Hypothèses!$W$13,IF(U49&lt;=Hypothèses!$V$14,Hypothèses!$W$14,IF(U49&lt;=Hypothèses!$V$15,Hypothèses!$W$15,IF(U49&lt;=Hypothèses!$V$16,Hypothèses!$W$16,IF(U49&lt;=Hypothèses!$V$17,Hypothèses!$W$17,IF(U49&lt;=Hypothèses!$V$18,Hypothèses!$W$18,""))))))))))))</f>
        <v>#DIV/0!</v>
      </c>
      <c r="AP49" s="87" t="e">
        <f t="shared" ca="1" si="117"/>
        <v>#DIV/0!</v>
      </c>
      <c r="AQ49" s="88" t="e">
        <f ca="1">IF(U49&lt;=Hypothèses!$V$7,Hypothèses!$X$7,IF(U49&lt;=Hypothèses!$V$8,Hypothèses!$X$8,IF(U49&lt;=Hypothèses!$V$9,Hypothèses!$X$9,IF(U49&lt;=Hypothèses!$V$10,Hypothèses!$X$10,IF(U49&lt;=Hypothèses!$V$11,Hypothèses!$X$11,IF(U49&lt;=Hypothèses!$V$12,Hypothèses!$X$12,IF(U49&lt;=Hypothèses!$V$13,Hypothèses!$X$13,IF(U49&lt;=Hypothèses!$V$14,Hypothèses!$X$14,IF(U49&lt;=Hypothèses!$V$15,Hypothèses!$X$15,IF(U49&lt;=Hypothèses!$V$16,Hypothèses!$X$16,IF(U49&lt;=Hypothèses!$U$17,Hypothèses!$W$17,IF(U49&lt;=Hypothèses!$U$18,Hypothèses!$W$18,""))))))))))))</f>
        <v>#DIV/0!</v>
      </c>
      <c r="AR49" s="95" t="e">
        <f t="shared" ca="1" si="72"/>
        <v>#DIV/0!</v>
      </c>
      <c r="AS49" s="101" t="e">
        <f t="shared" si="124"/>
        <v>#N/A</v>
      </c>
      <c r="AT49" s="91" t="e">
        <f t="shared" si="23"/>
        <v>#N/A</v>
      </c>
      <c r="AU49" s="30" t="e">
        <f t="shared" si="102"/>
        <v>#N/A</v>
      </c>
      <c r="AV49" s="30" t="e">
        <f t="shared" si="103"/>
        <v>#N/A</v>
      </c>
      <c r="AW49" s="31" t="e">
        <f>IF(OR(Hypothèses!$B$4=17,Hypothèses!$B$4=18,Hypothèses!$B$4=19,Hypothèses!$B$4=20),
IF($D49="Pressio.",
IF(OR($E49=3,$E49=1,$E49=4),AV49,AU49),
IF($D49="Pénétro.",
IF(OR($E49=3,$E49=1,$E49=4),AV49,AU49))),IF($D49="Pressio.",
IF($E49=3,AV49,AU49),
IF($D49="Pénétro.",
IF($E49=4,AV49,AU49))))</f>
        <v>#N/A</v>
      </c>
      <c r="AX49" s="31" t="e">
        <f>(IF(OR(Hypothèses!$B$4=17,Hypothèses!$B$4=18,Hypothèses!$B$4=19,Hypothèses!$B$4=20),
IF($D49="Pressio.",
IF(OR($E49=3,$E49=1,$E49=4),(PI()*AX$12^2)/4*(AT49*$W49*1000)/($H49*$B$5),(PI()*AX$12^2)/4*(AT49*$W49*1000)/($G49*$B$5)),
IF($D49="Pénétro.",
IF(OR($E49=4,$E49=1,$E49=5),(PI()*AX$12^2)/4*(AT49*$W49*1000)/($H49*$B$5),(PI()*AX$12^2)/4*(AT49*$W49*1000)/($G49*$B$5)))),
IF($D49="Pressio.",
IF($E49=3,(PI()*AX$12^2)/4*(AT49*$W49*1000)/($H49*$B$5),(PI()*AX$12^2)/4*(AT49*$W49*1000)/($G49*$B$5)),
IF($D49="Pénétro.",
IF($E49=4,(PI()*AX$12^2)/4*(AT49*$W49*1000)/($H49*$B$5),(PI()*AX$12^2)/4*(AT49*$W49*1000)/($G49*$B$5))))))/10</f>
        <v>#N/A</v>
      </c>
      <c r="AY49" s="102" t="e">
        <f>(VLOOKUP($B$3,'Coeff EC7'!$T$39:$X$59,2,0)*AW49+VLOOKUP($B$3,'Coeff EC7'!$T$65:$X$85,2,0)*Model0.1C!AX49)/1.1</f>
        <v>#N/A</v>
      </c>
      <c r="AZ49" s="102" t="e">
        <f>(VLOOKUP($B$3,'Coeff EC7'!$T$39:$X$59,3,0)*AW49+VLOOKUP($B$3,'Coeff EC7'!$T$65:$X$85,3,0)*Model0.1C!AX49)/0.9</f>
        <v>#N/A</v>
      </c>
      <c r="BA49" s="102" t="e">
        <f t="shared" si="73"/>
        <v>#N/A</v>
      </c>
      <c r="BB49" s="102" t="e">
        <f t="shared" si="74"/>
        <v>#N/A</v>
      </c>
      <c r="BC49" s="414" t="e">
        <f>IF(BC48=0,0,IF(AND(AY49&gt;charge_ELS_quasi,AZ49&gt;Charge_ELS_freq,BA49&gt;charge_ELU,BB49&gt;charge_ELA,$B49&gt;NDC!$H$22-0.1+MIN(3*$BC$12,1.5)),0,1))</f>
        <v>#N/A</v>
      </c>
      <c r="BD49" s="86" t="b">
        <f t="shared" si="26"/>
        <v>0</v>
      </c>
      <c r="BE49" s="86">
        <f t="shared" si="75"/>
        <v>0.5</v>
      </c>
      <c r="BF49" s="86">
        <f t="shared" si="27"/>
        <v>0.5</v>
      </c>
      <c r="BG49" s="30" t="e">
        <f t="shared" ca="1" si="76"/>
        <v>#DIV/0!</v>
      </c>
      <c r="BH49" s="85" t="e">
        <f ca="1">IF(AN49&lt;=Hypothèses!$V$7,Hypothèses!$W$7,IF(AN49&lt;=Hypothèses!$V$8,Hypothèses!$W$8,IF(AN49&lt;=Hypothèses!$V$9,Hypothèses!$W$9,IF(AN49&lt;=Hypothèses!$V$10,Hypothèses!$W$10,IF(AN49&lt;=Hypothèses!$V$11,Hypothèses!$W$11,IF(AN49&lt;=Hypothèses!$V$12,Hypothèses!$W$12,IF(AN49&lt;=Hypothèses!$V$13,Hypothèses!$W$13,IF(AN49&lt;=Hypothèses!$V$14,Hypothèses!$W$14,IF(AN49&lt;=Hypothèses!$V$15,Hypothèses!$W$15,IF(AN49&lt;=Hypothèses!$V$16,Hypothèses!$W$16,IF(AN49&lt;=Hypothèses!$V$17,Hypothèses!$W$17,IF(AN49&lt;=Hypothèses!$V$18,Hypothèses!$W$18,""))))))))))))</f>
        <v>#DIV/0!</v>
      </c>
      <c r="BI49" s="87" t="e">
        <f t="shared" ca="1" si="118"/>
        <v>#DIV/0!</v>
      </c>
      <c r="BJ49" s="88" t="e">
        <f ca="1">IF(AN49&lt;=Hypothèses!$V$7,Hypothèses!$X$7,IF(AN49&lt;=Hypothèses!$V$8,Hypothèses!$X$8,IF(AN49&lt;=Hypothèses!$V$9,Hypothèses!$X$9,IF(AN49&lt;=Hypothèses!$V$10,Hypothèses!$X$10,IF(AN49&lt;=Hypothèses!$V$11,Hypothèses!$X$11,IF(AN49&lt;=Hypothèses!$V$12,Hypothèses!$X$12,IF(AN49&lt;=Hypothèses!$V$13,Hypothèses!$X$13,IF(AN49&lt;=Hypothèses!$V$14,Hypothèses!$X$14,IF(AN49&lt;=Hypothèses!$V$15,Hypothèses!$X$15,IF(AN49&lt;=Hypothèses!$V$16,Hypothèses!$X$16,IF(AN49&lt;=Hypothèses!$U$17,Hypothèses!$W$17,IF(AN49&lt;=Hypothèses!$U$18,Hypothèses!$W$18,""))))))))))))</f>
        <v>#DIV/0!</v>
      </c>
      <c r="BK49" s="95" t="e">
        <f t="shared" ca="1" si="77"/>
        <v>#DIV/0!</v>
      </c>
      <c r="BL49" s="101" t="e">
        <f t="shared" si="125"/>
        <v>#N/A</v>
      </c>
      <c r="BM49" s="91" t="e">
        <f t="shared" si="29"/>
        <v>#N/A</v>
      </c>
      <c r="BN49" s="30" t="e">
        <f t="shared" si="104"/>
        <v>#N/A</v>
      </c>
      <c r="BO49" s="30" t="e">
        <f t="shared" si="105"/>
        <v>#N/A</v>
      </c>
      <c r="BP49" s="31" t="e">
        <f>IF(OR(Hypothèses!$B$4=17,Hypothèses!$B$4=18,Hypothèses!$B$4=19,Hypothèses!$B$4=20),
IF($D49="Pressio.",
IF(OR($E49=3,$E49=1,$E49=4),BO49,BN49),
IF($D49="Pénétro.",
IF(OR($E49=3,$E49=1,$E49=4),BO49,BN49))),IF($D49="Pressio.",
IF($E49=3,BO49,BN49),
IF($D49="Pénétro.",
IF($E49=4,BO49,BN49))))</f>
        <v>#N/A</v>
      </c>
      <c r="BQ49" s="31" t="e">
        <f>(IF(OR(Hypothèses!$B$4=17,Hypothèses!$B$4=18,Hypothèses!$B$4=19,Hypothèses!$B$4=20),
IF($D49="Pressio.",
IF(OR($E49=3,$E49=1,$E49=4),(PI()*BQ$12^2)/4*(BM49*$W49*1000)/($H49*$B$5),(PI()*BQ$12^2)/4*(BM49*$W49*1000)/($G49*$B$5)),
IF($D49="Pénétro.",
IF(OR($E49=4,$E49=1,$E49=5),(PI()*BQ$12^2)/4*(BM49*$W49*1000)/($H49*$B$5),(PI()*BQ$12^2)/4*(BM49*$W49*1000)/($G49*$B$5)))),
IF($D49="Pressio.",
IF($E49=3,(PI()*BQ$12^2)/4*(BM49*$W49*1000)/($H49*$B$5),(PI()*BQ$12^2)/4*(BM49*$W49*1000)/($G49*$B$5)),
IF($D49="Pénétro.",
IF($E49=4,(PI()*BQ$12^2)/4*(BM49*$W49*1000)/($H49*$B$5),(PI()*BQ$12^2)/4*(BM49*$W49*1000)/($G49*$B$5))))))/10</f>
        <v>#N/A</v>
      </c>
      <c r="BR49" s="102" t="e">
        <f>(VLOOKUP($B$3,'Coeff EC7'!$T$39:$X$59,2,0)*BP49+VLOOKUP($B$3,'Coeff EC7'!$T$65:$X$85,2,0)*Model0.1C!BQ49)/1.1</f>
        <v>#N/A</v>
      </c>
      <c r="BS49" s="102" t="e">
        <f>(VLOOKUP($B$3,'Coeff EC7'!$T$39:$X$59,3,0)*BP49+VLOOKUP($B$3,'Coeff EC7'!$T$65:$X$85,3,0)*Model0.1C!BQ49)/0.9</f>
        <v>#N/A</v>
      </c>
      <c r="BT49" s="102" t="e">
        <f t="shared" si="78"/>
        <v>#N/A</v>
      </c>
      <c r="BU49" s="102" t="e">
        <f t="shared" si="79"/>
        <v>#N/A</v>
      </c>
      <c r="BV49" s="414" t="e">
        <f>IF(BV48=0,0,IF(AND(BR49&gt;charge_ELS_quasi,BS49&gt;Charge_ELS_freq,BT49&gt;charge_ELU,BU49&gt;charge_ELA,$B49&gt;NDC!$H$22-0.1+MIN(3*$BV$12,1.5)),0,1))</f>
        <v>#N/A</v>
      </c>
      <c r="BW49" s="86" t="b">
        <f t="shared" si="32"/>
        <v>0</v>
      </c>
      <c r="BX49" s="86">
        <f t="shared" si="33"/>
        <v>0.5</v>
      </c>
      <c r="BY49" s="86">
        <f t="shared" si="34"/>
        <v>0.5</v>
      </c>
      <c r="BZ49" s="30" t="e">
        <f t="shared" ca="1" si="80"/>
        <v>#DIV/0!</v>
      </c>
      <c r="CA49" s="85" t="e">
        <f ca="1">IF(BG49&lt;=Hypothèses!$V$7,Hypothèses!$W$7,IF(BG49&lt;=Hypothèses!$V$8,Hypothèses!$W$8,IF(BG49&lt;=Hypothèses!$V$9,Hypothèses!$W$9,IF(BG49&lt;=Hypothèses!$V$10,Hypothèses!$W$10,IF(BG49&lt;=Hypothèses!$V$11,Hypothèses!$W$11,IF(BG49&lt;=Hypothèses!$V$12,Hypothèses!$W$12,IF(BG49&lt;=Hypothèses!$V$13,Hypothèses!$W$13,IF(BG49&lt;=Hypothèses!$V$14,Hypothèses!$W$14,IF(BG49&lt;=Hypothèses!$V$15,Hypothèses!$W$15,IF(BG49&lt;=Hypothèses!$V$16,Hypothèses!$W$16,IF(BG49&lt;=Hypothèses!$V$17,Hypothèses!$W$17,IF(BG49&lt;=Hypothèses!$V$18,Hypothèses!$W$18,""))))))))))))</f>
        <v>#DIV/0!</v>
      </c>
      <c r="CB49" s="87" t="e">
        <f t="shared" ca="1" si="119"/>
        <v>#DIV/0!</v>
      </c>
      <c r="CC49" s="88" t="e">
        <f ca="1">IF(BG49&lt;=Hypothèses!$V$7,Hypothèses!$X$7,IF(BG49&lt;=Hypothèses!$V$8,Hypothèses!$X$8,IF(BG49&lt;=Hypothèses!$V$9,Hypothèses!$X$9,IF(BG49&lt;=Hypothèses!$V$10,Hypothèses!$X$10,IF(BG49&lt;=Hypothèses!$V$11,Hypothèses!$X$11,IF(BG49&lt;=Hypothèses!$V$12,Hypothèses!$X$12,IF(BG49&lt;=Hypothèses!$V$13,Hypothèses!$X$13,IF(BG49&lt;=Hypothèses!$V$14,Hypothèses!$X$14,IF(BG49&lt;=Hypothèses!$V$15,Hypothèses!$X$15,IF(BG49&lt;=Hypothèses!$V$16,Hypothèses!$X$16,IF(BG49&lt;=Hypothèses!$U$17,Hypothèses!$W$17,IF(BG49&lt;=Hypothèses!$U$18,Hypothèses!$W$18,""))))))))))))</f>
        <v>#DIV/0!</v>
      </c>
      <c r="CD49" s="95" t="e">
        <f t="shared" ca="1" si="81"/>
        <v>#DIV/0!</v>
      </c>
      <c r="CE49" s="101" t="e">
        <f t="shared" si="126"/>
        <v>#N/A</v>
      </c>
      <c r="CF49" s="91" t="e">
        <f t="shared" si="36"/>
        <v>#N/A</v>
      </c>
      <c r="CG49" s="30" t="e">
        <f t="shared" si="106"/>
        <v>#N/A</v>
      </c>
      <c r="CH49" s="30" t="e">
        <f t="shared" si="107"/>
        <v>#N/A</v>
      </c>
      <c r="CI49" s="31" t="e">
        <f>IF(OR(Hypothèses!$B$4=17,Hypothèses!$B$4=18,Hypothèses!$B$4=19,Hypothèses!$B$4=20),
IF($D49="Pressio.",
IF(OR($E49=3,$E49=1,$E49=4),CH49,CG49),
IF($D49="Pénétro.",
IF(OR($E49=3,$E49=1,$E49=4),CH49,CG49))),IF($D49="Pressio.",
IF($E49=3,CH49,CG49),
IF($D49="Pénétro.",
IF($E49=4,CH49,CG49))))</f>
        <v>#N/A</v>
      </c>
      <c r="CJ49" s="31" t="e">
        <f>(IF(OR(Hypothèses!$B$4=17,Hypothèses!$B$4=18,Hypothèses!$B$4=19,Hypothèses!$B$4=20),
IF($D49="Pressio.",
IF(OR($E49=3,$E49=1,$E49=4),(PI()*CJ$12^2)/4*(CF49*$W49*1000)/($H49*$B$5),(PI()*CJ$12^2)/4*(CF49*$W49*1000)/($G49*$B$5)),
IF($D49="Pénétro.",
IF(OR($E49=4,$E49=1,$E49=5),(PI()*CJ$12^2)/4*(CF49*$W49*1000)/($H49*$B$5),(PI()*CJ$12^2)/4*(CF49*$W49*1000)/($G49*$B$5)))),
IF($D49="Pressio.",
IF($E49=3,(PI()*CJ$12^2)/4*(CF49*$W49*1000)/($H49*$B$5),(PI()*CJ$12^2)/4*(CF49*$W49*1000)/($G49*$B$5)),
IF($D49="Pénétro.",
IF($E49=4,(PI()*CJ$12^2)/4*(CF49*$W49*1000)/($H49*$B$5),(PI()*CJ$12^2)/4*(CF49*$W49*1000)/($G49*$B$5))))))/10</f>
        <v>#N/A</v>
      </c>
      <c r="CK49" s="102" t="e">
        <f>(VLOOKUP($B$3,'Coeff EC7'!$T$39:$X$59,2,0)*CI49+VLOOKUP($B$3,'Coeff EC7'!$T$65:$X$85,2,0)*Model0.1C!CJ49)/1.1</f>
        <v>#N/A</v>
      </c>
      <c r="CL49" s="102" t="e">
        <f>(VLOOKUP($B$3,'Coeff EC7'!$T$39:$X$59,3,0)*CI49+VLOOKUP($B$3,'Coeff EC7'!$T$65:$X$85,3,0)*Model0.1C!CJ49)/0.9</f>
        <v>#N/A</v>
      </c>
      <c r="CM49" s="102" t="e">
        <f t="shared" si="82"/>
        <v>#N/A</v>
      </c>
      <c r="CN49" s="102" t="e">
        <f t="shared" si="83"/>
        <v>#N/A</v>
      </c>
      <c r="CO49" s="414" t="e">
        <f>IF(CO48=0,0,IF(AND(CK49&gt;charge_ELS_quasi,CL49&gt;Charge_ELS_freq,CM49&gt;charge_ELU,CN49&gt;charge_ELA,$B49&gt;NDC!$H$22-0.1+MIN(3*$CO$12,1.5)),0,1))</f>
        <v>#N/A</v>
      </c>
      <c r="CP49" s="86" t="b">
        <f t="shared" si="39"/>
        <v>0</v>
      </c>
      <c r="CQ49" s="86">
        <f t="shared" si="40"/>
        <v>0.5</v>
      </c>
      <c r="CR49" s="86">
        <f t="shared" si="41"/>
        <v>0.5</v>
      </c>
      <c r="CS49" s="30" t="e">
        <f t="shared" ca="1" si="84"/>
        <v>#DIV/0!</v>
      </c>
      <c r="CT49" s="85" t="e">
        <f ca="1">IF(BZ49&lt;=Hypothèses!$V$7,Hypothèses!$W$7,IF(BZ49&lt;=Hypothèses!$V$8,Hypothèses!$W$8,IF(BZ49&lt;=Hypothèses!$V$9,Hypothèses!$W$9,IF(BZ49&lt;=Hypothèses!$V$10,Hypothèses!$W$10,IF(BZ49&lt;=Hypothèses!$V$11,Hypothèses!$W$11,IF(BZ49&lt;=Hypothèses!$V$12,Hypothèses!$W$12,IF(BZ49&lt;=Hypothèses!$V$13,Hypothèses!$W$13,IF(BZ49&lt;=Hypothèses!$V$14,Hypothèses!$W$14,IF(BZ49&lt;=Hypothèses!$V$15,Hypothèses!$W$15,IF(BZ49&lt;=Hypothèses!$V$16,Hypothèses!$W$16,IF(BZ49&lt;=Hypothèses!$V$17,Hypothèses!$W$17,IF(BZ49&lt;=Hypothèses!$V$18,Hypothèses!$W$18,""))))))))))))</f>
        <v>#DIV/0!</v>
      </c>
      <c r="CU49" s="87" t="e">
        <f t="shared" ca="1" si="120"/>
        <v>#DIV/0!</v>
      </c>
      <c r="CV49" s="88" t="e">
        <f ca="1">IF(BZ49&lt;=Hypothèses!$V$7,Hypothèses!$X$7,IF(BZ49&lt;=Hypothèses!$V$8,Hypothèses!$X$8,IF(BZ49&lt;=Hypothèses!$V$9,Hypothèses!$X$9,IF(BZ49&lt;=Hypothèses!$V$10,Hypothèses!$X$10,IF(BZ49&lt;=Hypothèses!$V$11,Hypothèses!$X$11,IF(BZ49&lt;=Hypothèses!$V$12,Hypothèses!$X$12,IF(BZ49&lt;=Hypothèses!$V$13,Hypothèses!$X$13,IF(BZ49&lt;=Hypothèses!$V$14,Hypothèses!$X$14,IF(BZ49&lt;=Hypothèses!$V$15,Hypothèses!$X$15,IF(BZ49&lt;=Hypothèses!$V$16,Hypothèses!$X$16,IF(BZ49&lt;=Hypothèses!$U$17,Hypothèses!$W$17,IF(BZ49&lt;=Hypothèses!$U$18,Hypothèses!$W$18,""))))))))))))</f>
        <v>#DIV/0!</v>
      </c>
      <c r="CW49" s="95" t="e">
        <f t="shared" ca="1" si="85"/>
        <v>#DIV/0!</v>
      </c>
      <c r="CX49" s="101" t="e">
        <f t="shared" si="127"/>
        <v>#N/A</v>
      </c>
      <c r="CY49" s="91" t="e">
        <f t="shared" si="43"/>
        <v>#N/A</v>
      </c>
      <c r="CZ49" s="30" t="e">
        <f t="shared" si="108"/>
        <v>#N/A</v>
      </c>
      <c r="DA49" s="30" t="e">
        <f t="shared" si="109"/>
        <v>#N/A</v>
      </c>
      <c r="DB49" s="31" t="e">
        <f>IF(OR(Hypothèses!$B$4=17,Hypothèses!$B$4=18,Hypothèses!$B$4=19,Hypothèses!$B$4=20),
IF($D49="Pressio.",
IF(OR($E49=3,$E49=1,$E49=4),DA49,CZ49),
IF($D49="Pénétro.",
IF(OR($E49=3,$E49=1,$E49=4),DA49,CZ49))),IF($D49="Pressio.",
IF($E49=3,DA49,CZ49),
IF($D49="Pénétro.",
IF($E49=4,DA49,CZ49))))</f>
        <v>#N/A</v>
      </c>
      <c r="DC49" s="31" t="e">
        <f>(IF(OR(Hypothèses!$B$4=17,Hypothèses!$B$4=18,Hypothèses!$B$4=19,Hypothèses!$B$4=20),
IF($D49="Pressio.",
IF(OR($E49=3,$E49=1,$E49=4),(PI()*DC$12^2)/4*(CY49*$W49*1000)/($H49*$B$5),(PI()*DC$12^2)/4*(CY49*$W49*1000)/($G49*$B$5)),
IF($D49="Pénétro.",
IF(OR($E49=4,$E49=1,$E49=5),(PI()*DC$12^2)/4*(CY49*$W49*1000)/($H49*$B$5),(PI()*DC$12^2)/4*(CY49*$W49*1000)/($G49*$B$5)))),
IF($D49="Pressio.",
IF($E49=3,(PI()*DC$12^2)/4*(CY49*$W49*1000)/($H49*$B$5),(PI()*DC$12^2)/4*(CY49*$W49*1000)/($G49*$B$5)),
IF($D49="Pénétro.",
IF($E49=4,(PI()*DC$12^2)/4*(CY49*$W49*1000)/($H49*$B$5),(PI()*DC$12^2)/4*(CY49*$W49*1000)/($G49*$B$5))))))/10</f>
        <v>#N/A</v>
      </c>
      <c r="DD49" s="102" t="e">
        <f>(VLOOKUP($B$3,'Coeff EC7'!$T$39:$X$59,2,0)*DB49+VLOOKUP($B$3,'Coeff EC7'!$T$65:$X$85,2,0)*Model0.1C!DC49)/1.1</f>
        <v>#N/A</v>
      </c>
      <c r="DE49" s="102" t="e">
        <f>(VLOOKUP($B$3,'Coeff EC7'!$T$39:$X$59,3,0)*DB49+VLOOKUP($B$3,'Coeff EC7'!$T$65:$X$85,3,0)*Model0.1C!DC49)/0.9</f>
        <v>#N/A</v>
      </c>
      <c r="DF49" s="102" t="e">
        <f t="shared" si="86"/>
        <v>#N/A</v>
      </c>
      <c r="DG49" s="102" t="e">
        <f t="shared" si="87"/>
        <v>#N/A</v>
      </c>
      <c r="DH49" s="414" t="e">
        <f>IF(DH48=0,0,IF(AND(DD49&gt;charge_ELS_quasi,DE49&gt;Charge_ELS_freq,DF49&gt;charge_ELU,DG49&gt;charge_ELA,$B49&gt;NDC!$H$22-0.1+MIN(3*$DH$12,1.5)),0,1))</f>
        <v>#N/A</v>
      </c>
      <c r="DI49" s="86" t="b">
        <f t="shared" si="46"/>
        <v>0</v>
      </c>
      <c r="DJ49" s="86">
        <f t="shared" si="47"/>
        <v>0.5</v>
      </c>
      <c r="DK49" s="86">
        <f t="shared" si="48"/>
        <v>0.5</v>
      </c>
      <c r="DL49" s="30" t="e">
        <f t="shared" ca="1" si="88"/>
        <v>#DIV/0!</v>
      </c>
      <c r="DM49" s="85" t="e">
        <f ca="1">IF(CS49&lt;=Hypothèses!$V$7,Hypothèses!$W$7,IF(CS49&lt;=Hypothèses!$V$8,Hypothèses!$W$8,IF(CS49&lt;=Hypothèses!$V$9,Hypothèses!$W$9,IF(CS49&lt;=Hypothèses!$V$10,Hypothèses!$W$10,IF(CS49&lt;=Hypothèses!$V$11,Hypothèses!$W$11,IF(CS49&lt;=Hypothèses!$V$12,Hypothèses!$W$12,IF(CS49&lt;=Hypothèses!$V$13,Hypothèses!$W$13,IF(CS49&lt;=Hypothèses!$V$14,Hypothèses!$W$14,IF(CS49&lt;=Hypothèses!$V$15,Hypothèses!$W$15,IF(CS49&lt;=Hypothèses!$V$16,Hypothèses!$W$16,IF(CS49&lt;=Hypothèses!$V$17,Hypothèses!$W$17,IF(CS49&lt;=Hypothèses!$V$18,Hypothèses!$W$18,""))))))))))))</f>
        <v>#DIV/0!</v>
      </c>
      <c r="DN49" s="87" t="e">
        <f t="shared" ca="1" si="121"/>
        <v>#DIV/0!</v>
      </c>
      <c r="DO49" s="88" t="e">
        <f ca="1">IF(CS49&lt;=Hypothèses!$V$7,Hypothèses!$X$7,IF(CS49&lt;=Hypothèses!$V$8,Hypothèses!$X$8,IF(CS49&lt;=Hypothèses!$V$9,Hypothèses!$X$9,IF(CS49&lt;=Hypothèses!$V$10,Hypothèses!$X$10,IF(CS49&lt;=Hypothèses!$V$11,Hypothèses!$X$11,IF(CS49&lt;=Hypothèses!$V$12,Hypothèses!$X$12,IF(CS49&lt;=Hypothèses!$V$13,Hypothèses!$X$13,IF(CS49&lt;=Hypothèses!$V$14,Hypothèses!$X$14,IF(CS49&lt;=Hypothèses!$V$15,Hypothèses!$X$15,IF(CS49&lt;=Hypothèses!$V$16,Hypothèses!$X$16,IF(CS49&lt;=Hypothèses!$U$17,Hypothèses!$W$17,IF(CS49&lt;=Hypothèses!$U$18,Hypothèses!$W$18,""))))))))))))</f>
        <v>#DIV/0!</v>
      </c>
      <c r="DP49" s="95" t="e">
        <f t="shared" ca="1" si="89"/>
        <v>#DIV/0!</v>
      </c>
      <c r="DQ49" s="101" t="e">
        <f t="shared" si="128"/>
        <v>#N/A</v>
      </c>
      <c r="DR49" s="91" t="e">
        <f t="shared" si="50"/>
        <v>#N/A</v>
      </c>
      <c r="DS49" s="30" t="e">
        <f t="shared" si="110"/>
        <v>#N/A</v>
      </c>
      <c r="DT49" s="30" t="e">
        <f t="shared" si="111"/>
        <v>#N/A</v>
      </c>
      <c r="DU49" s="31" t="e">
        <f>IF(OR(Hypothèses!$B$4=17,Hypothèses!$B$4=18,Hypothèses!$B$4=19,Hypothèses!$B$4=20),
IF($D49="Pressio.",
IF(OR($E49=3,$E49=1,$E49=4),DT49,DS49),
IF($D49="Pénétro.",
IF(OR($E49=3,$E49=1,$E49=4),DT49,DS49))),IF($D49="Pressio.",
IF($E49=3,DT49,DS49),
IF($D49="Pénétro.",
IF($E49=4,DT49,DS49))))</f>
        <v>#N/A</v>
      </c>
      <c r="DV49" s="31" t="e">
        <f>(IF(OR(Hypothèses!$B$4=17,Hypothèses!$B$4=18,Hypothèses!$B$4=19,Hypothèses!$B$4=20),
IF($D49="Pressio.",
IF(OR($E49=3,$E49=1,$E49=4),(PI()*DV$12^2)/4*(DR49*$W49*1000)/($H49*$B$5),(PI()*DV$12^2)/4*(DR49*$W49*1000)/($G49*$B$5)),
IF($D49="Pénétro.",
IF(OR($E49=4,$E49=1,$E49=5),(PI()*DV$12^2)/4*(DR49*$W49*1000)/($H49*$B$5),(PI()*DV$12^2)/4*(DR49*$W49*1000)/($G49*$B$5)))),
IF($D49="Pressio.",
IF($E49=3,(PI()*DV$12^2)/4*(DR49*$W49*1000)/($H49*$B$5),(PI()*DV$12^2)/4*(DR49*$W49*1000)/($G49*$B$5)),
IF($D49="Pénétro.",
IF($E49=4,(PI()*DV$12^2)/4*(DR49*$W49*1000)/($H49*$B$5),(PI()*DV$12^2)/4*(DR49*$W49*1000)/($G49*$B$5))))))/10</f>
        <v>#N/A</v>
      </c>
      <c r="DW49" s="102" t="e">
        <f>(VLOOKUP($B$3,'Coeff EC7'!$T$39:$X$59,2,0)*DU49+VLOOKUP($B$3,'Coeff EC7'!$T$65:$X$85,2,0)*Model0.1C!DV49)/1.1</f>
        <v>#N/A</v>
      </c>
      <c r="DX49" s="102" t="e">
        <f>(VLOOKUP($B$3,'Coeff EC7'!$T$39:$X$59,3,0)*DU49+VLOOKUP($B$3,'Coeff EC7'!$T$65:$X$85,3,0)*Model0.1C!DV49)/0.9</f>
        <v>#N/A</v>
      </c>
      <c r="DY49" s="102" t="e">
        <f t="shared" si="90"/>
        <v>#N/A</v>
      </c>
      <c r="DZ49" s="102" t="e">
        <f t="shared" si="91"/>
        <v>#N/A</v>
      </c>
      <c r="EA49" s="414" t="e">
        <f>IF(EA48=0,0,IF(AND(DW49&gt;charge_ELS_quasi,DX49&gt;Charge_ELS_freq,DY49&gt;charge_ELU,DZ49&gt;charge_ELA,$B49&gt;NDC!$H$22-0.1+MIN(3*$EA$12,1.5)),0,1))</f>
        <v>#N/A</v>
      </c>
      <c r="EB49" s="86" t="b">
        <f t="shared" si="53"/>
        <v>0</v>
      </c>
      <c r="EC49" s="418">
        <f t="shared" si="54"/>
        <v>0.51</v>
      </c>
      <c r="ED49" s="86">
        <f t="shared" si="55"/>
        <v>0.51</v>
      </c>
      <c r="EE49" s="30" t="e">
        <f t="shared" ca="1" si="92"/>
        <v>#DIV/0!</v>
      </c>
      <c r="EF49" s="85" t="e">
        <f ca="1">IF(DL49&lt;=Hypothèses!$V$7,Hypothèses!$W$7,IF(DL49&lt;=Hypothèses!$V$8,Hypothèses!$W$8,IF(DL49&lt;=Hypothèses!$V$9,Hypothèses!$W$9,IF(DL49&lt;=Hypothèses!$V$10,Hypothèses!$W$10,IF(DL49&lt;=Hypothèses!$V$11,Hypothèses!$W$11,IF(DL49&lt;=Hypothèses!$V$12,Hypothèses!$W$12,IF(DL49&lt;=Hypothèses!$V$13,Hypothèses!$W$13,IF(DL49&lt;=Hypothèses!$V$14,Hypothèses!$W$14,IF(DL49&lt;=Hypothèses!$V$15,Hypothèses!$W$15,IF(DL49&lt;=Hypothèses!$V$16,Hypothèses!$W$16,IF(DL49&lt;=Hypothèses!$V$17,Hypothèses!$W$17,IF(DL49&lt;=Hypothèses!$V$18,Hypothèses!$W$18,""))))))))))))</f>
        <v>#DIV/0!</v>
      </c>
      <c r="EG49" s="87" t="e">
        <f t="shared" ca="1" si="122"/>
        <v>#DIV/0!</v>
      </c>
      <c r="EH49" s="88" t="e">
        <f ca="1">IF(DL49&lt;=Hypothèses!$V$7,Hypothèses!$X$7,IF(DL49&lt;=Hypothèses!$V$8,Hypothèses!$X$8,IF(DL49&lt;=Hypothèses!$V$9,Hypothèses!$X$9,IF(DL49&lt;=Hypothèses!$V$10,Hypothèses!$X$10,IF(DL49&lt;=Hypothèses!$V$11,Hypothèses!$X$11,IF(DL49&lt;=Hypothèses!$V$12,Hypothèses!$X$12,IF(DL49&lt;=Hypothèses!$V$13,Hypothèses!$X$13,IF(DL49&lt;=Hypothèses!$V$14,Hypothèses!$X$14,IF(DL49&lt;=Hypothèses!$V$15,Hypothèses!$X$15,IF(DL49&lt;=Hypothèses!$V$16,Hypothèses!$X$16,IF(DL49&lt;=Hypothèses!$U$17,Hypothèses!$W$17,IF(DL49&lt;=Hypothèses!$U$18,Hypothèses!$W$18,""))))))))))))</f>
        <v>#DIV/0!</v>
      </c>
      <c r="EI49" s="95" t="e">
        <f t="shared" ca="1" si="93"/>
        <v>#DIV/0!</v>
      </c>
      <c r="EJ49" s="101" t="e">
        <f t="shared" si="129"/>
        <v>#N/A</v>
      </c>
      <c r="EK49" s="91" t="e">
        <f t="shared" si="57"/>
        <v>#N/A</v>
      </c>
      <c r="EL49" s="30" t="e">
        <f t="shared" si="112"/>
        <v>#N/A</v>
      </c>
      <c r="EM49" s="30" t="e">
        <f t="shared" si="113"/>
        <v>#N/A</v>
      </c>
      <c r="EN49" s="31" t="e">
        <f>IF(OR(Hypothèses!$B$4=17,Hypothèses!$B$4=18,Hypothèses!$B$4=19,Hypothèses!$B$4=20),
IF($D49="Pressio.",
IF(OR($E49=3,$E49=1,$E49=4),EM49,EL49),
IF($D49="Pénétro.",
IF(OR($E49=3,$E49=1,$E49=4),EM49,EL49))),IF($D49="Pressio.",
IF($E49=3,EM49,EL49),
IF($D49="Pénétro.",
IF($E49=4,EM49,EL49))))</f>
        <v>#N/A</v>
      </c>
      <c r="EO49" s="31" t="e">
        <f>(IF(OR(Hypothèses!$B$4=17,Hypothèses!$B$4=18,Hypothèses!$B$4=19,Hypothèses!$B$4=20),
IF($D49="Pressio.",
IF(OR($E49=3,$E49=1,$E49=4),(PI()*EO$12^2)/4*(EK49*$W49*1000)/($H49*$B$5),(PI()*EO$12^2)/4*(EK49*$W49*1000)/($G49*$B$5)),
IF($D49="Pénétro.",
IF(OR($E49=4,$E49=1,$E49=5),(PI()*EO$12^2)/4*(EK49*$W49*1000)/($H49*$B$5),(PI()*EO$12^2)/4*(EK49*$W49*1000)/($G49*$B$5)))),
IF($D49="Pressio.",
IF($E49=3,(PI()*EO$12^2)/4*(EK49*$W49*1000)/($H49*$B$5),(PI()*EO$12^2)/4*(EK49*$W49*1000)/($G49*$B$5)),
IF($D49="Pénétro.",
IF($E49=4,(PI()*EO$12^2)/4*(EK49*$W49*1000)/($H49*$B$5),(PI()*EO$12^2)/4*(EK49*$W49*1000)/($G49*$B$5))))))/10</f>
        <v>#N/A</v>
      </c>
      <c r="EP49" s="102" t="e">
        <f>(VLOOKUP($B$3,'Coeff EC7'!$T$39:$X$59,2,0)*EN49+VLOOKUP($B$3,'Coeff EC7'!$T$65:$X$85,2,0)*Model0.1C!EO49)/1.1</f>
        <v>#N/A</v>
      </c>
      <c r="EQ49" s="102" t="e">
        <f>(VLOOKUP($B$3,'Coeff EC7'!$T$39:$X$59,3,0)*EN49+VLOOKUP($B$3,'Coeff EC7'!$T$65:$X$85,3,0)*Model0.1C!EO49)/0.9</f>
        <v>#N/A</v>
      </c>
      <c r="ER49" s="102" t="e">
        <f t="shared" si="94"/>
        <v>#N/A</v>
      </c>
      <c r="ES49" s="102" t="e">
        <f t="shared" si="95"/>
        <v>#N/A</v>
      </c>
      <c r="ET49" s="414" t="e">
        <f>IF(ET48=0,0,IF(AND(EP49&gt;charge_ELS_quasi,EQ49&gt;Charge_ELS_freq,ER49&gt;charge_ELU,ES49&gt;charge_ELA,$B49&gt;NDC!$H$22-0.1+MIN(3*$ET$12,1.5)),0,1))</f>
        <v>#N/A</v>
      </c>
      <c r="EU49" s="86" t="b">
        <f t="shared" si="60"/>
        <v>0</v>
      </c>
      <c r="EV49" s="86">
        <f t="shared" si="61"/>
        <v>0.61</v>
      </c>
      <c r="EW49" s="86">
        <f t="shared" si="62"/>
        <v>0.61</v>
      </c>
      <c r="EX49" s="30" t="e">
        <f t="shared" ca="1" si="96"/>
        <v>#DIV/0!</v>
      </c>
      <c r="EY49" s="85" t="e">
        <f ca="1">IF(EE49&lt;=Hypothèses!$V$7,Hypothèses!$W$7,IF(EE49&lt;=Hypothèses!$V$8,Hypothèses!$W$8,IF(EE49&lt;=Hypothèses!$V$9,Hypothèses!$W$9,IF(EE49&lt;=Hypothèses!$V$10,Hypothèses!$W$10,IF(EE49&lt;=Hypothèses!$V$11,Hypothèses!$W$11,IF(EE49&lt;=Hypothèses!$V$12,Hypothèses!$W$12,IF(EE49&lt;=Hypothèses!$V$13,Hypothèses!$W$13,IF(EE49&lt;=Hypothèses!$V$14,Hypothèses!$W$14,IF(EE49&lt;=Hypothèses!$V$15,Hypothèses!$W$15,IF(EE49&lt;=Hypothèses!$V$16,Hypothèses!$W$16,IF(EE49&lt;=Hypothèses!$V$17,Hypothèses!$W$17,IF(EE49&lt;=Hypothèses!$V$18,Hypothèses!$W$18,""))))))))))))</f>
        <v>#DIV/0!</v>
      </c>
      <c r="EZ49" s="87" t="e">
        <f t="shared" ca="1" si="123"/>
        <v>#DIV/0!</v>
      </c>
      <c r="FA49" s="88" t="e">
        <f ca="1">IF(EE49&lt;=Hypothèses!$V$7,Hypothèses!$X$7,IF(EE49&lt;=Hypothèses!$V$8,Hypothèses!$X$8,IF(EE49&lt;=Hypothèses!$V$9,Hypothèses!$X$9,IF(EE49&lt;=Hypothèses!$V$10,Hypothèses!$X$10,IF(EE49&lt;=Hypothèses!$V$11,Hypothèses!$X$11,IF(EE49&lt;=Hypothèses!$V$12,Hypothèses!$X$12,IF(EE49&lt;=Hypothèses!$V$13,Hypothèses!$X$13,IF(EE49&lt;=Hypothèses!$V$14,Hypothèses!$X$14,IF(EE49&lt;=Hypothèses!$V$15,Hypothèses!$X$15,IF(EE49&lt;=Hypothèses!$V$16,Hypothèses!$X$16,IF(EE49&lt;=Hypothèses!$U$17,Hypothèses!$W$17,IF(EE49&lt;=Hypothèses!$U$18,Hypothèses!$W$18,""))))))))))))</f>
        <v>#DIV/0!</v>
      </c>
      <c r="FB49" s="95" t="e">
        <f t="shared" ca="1" si="97"/>
        <v>#DIV/0!</v>
      </c>
      <c r="FC49" s="101" t="e">
        <f t="shared" si="130"/>
        <v>#N/A</v>
      </c>
      <c r="FD49" s="91" t="e">
        <f t="shared" si="64"/>
        <v>#N/A</v>
      </c>
      <c r="FE49" s="30" t="e">
        <f t="shared" si="114"/>
        <v>#N/A</v>
      </c>
      <c r="FF49" s="30" t="e">
        <f t="shared" si="115"/>
        <v>#N/A</v>
      </c>
      <c r="FG49" s="31" t="e">
        <f>IF(OR(Hypothèses!$B$4=17,Hypothèses!$B$4=18,Hypothèses!$B$4=19,Hypothèses!$B$4=20),
IF($D49="Pressio.",
IF(OR($E49=3,$E49=1,$E49=4),FF49,FE49),
IF($D49="Pénétro.",
IF(OR($E49=3,$E49=1,$E49=4),FF49,FE49))),IF($D49="Pressio.",
IF($E49=3,FF49,FE49),
IF($D49="Pénétro.",
IF($E49=4,FF49,FE49))))</f>
        <v>#N/A</v>
      </c>
      <c r="FH49" s="31" t="e">
        <f>(IF(OR(Hypothèses!$B$4=17,Hypothèses!$B$4=18,Hypothèses!$B$4=19,Hypothèses!$B$4=20),
IF($D49="Pressio.",
IF(OR($E49=3,$E49=1,$E49=4),(PI()*FH$12^2)/4*(FD49*$W49*1000)/($H49*$B$5),(PI()*FH$12^2)/4*(FD49*$W49*1000)/($G49*$B$5)),
IF($D49="Pénétro.",
IF(OR($E49=4,$E49=1,$E49=5),(PI()*FH$12^2)/4*(FD49*$W49*1000)/($H49*$B$5),(PI()*FH$12^2)/4*(FD49*$W49*1000)/($G49*$B$5)))),
IF($D49="Pressio.",
IF($E49=3,(PI()*FH$12^2)/4*(FD49*$W49*1000)/($H49*$B$5),(PI()*FH$12^2)/4*(FD49*$W49*1000)/($G49*$B$5)),
IF($D49="Pénétro.",
IF($E49=4,(PI()*FH$12^2)/4*(FD49*$W49*1000)/($H49*$B$5),(PI()*FH$12^2)/4*(FD49*$W49*1000)/($G49*$B$5))))))/10</f>
        <v>#N/A</v>
      </c>
      <c r="FI49" s="102" t="e">
        <f>(VLOOKUP($B$3,'Coeff EC7'!$T$39:$X$59,2,0)*FG49+VLOOKUP($B$3,'Coeff EC7'!$T$65:$X$85,2,0)*Model0.1C!FH49)/1.1</f>
        <v>#N/A</v>
      </c>
      <c r="FJ49" s="102" t="e">
        <f>(VLOOKUP($B$3,'Coeff EC7'!$T$39:$X$59,3,0)*FG49+VLOOKUP($B$3,'Coeff EC7'!$T$65:$X$85,3,0)*Model0.1C!FH49)/0.9</f>
        <v>#N/A</v>
      </c>
      <c r="FK49" s="102" t="e">
        <f t="shared" si="98"/>
        <v>#N/A</v>
      </c>
      <c r="FL49" s="102" t="e">
        <f t="shared" si="99"/>
        <v>#N/A</v>
      </c>
      <c r="FM49" s="414" t="e">
        <f>IF(FM48=0,0,IF(AND(FI49&gt;charge_ELS_quasi,FJ49&gt;Charge_ELS_freq,FK49&gt;charge_ELU,FL49&gt;charge_ELA,$B49&gt;NDC!$H$22-0.1+MIN(3*$FM$12,1.5)),0,1))</f>
        <v>#N/A</v>
      </c>
    </row>
    <row r="50" spans="1:169">
      <c r="A50" s="96">
        <f t="shared" si="67"/>
        <v>96.30000000000021</v>
      </c>
      <c r="B50" s="97">
        <v>3.7</v>
      </c>
      <c r="C50" s="81">
        <f>IF(B50&lt;=Hypothèses!$C$7,Hypothèses!$A$7,IF(B50&lt;=Hypothèses!$C$8,Hypothèses!$A$8,IF(B50&lt;=Hypothèses!$C$9,Hypothèses!$A$9,IF(B50&lt;=Hypothèses!$C$10,Hypothèses!$A$10,IF(B50&lt;=Hypothèses!$C$11,Hypothèses!$A$11,IF(B50&lt;=Hypothèses!$C$12,Hypothèses!$A$12,IF(B50&lt;=Hypothèses!$C$13,Hypothèses!$A$13,IF(B50&lt;=Hypothèses!$C$14,Hypothèses!$A$14,IF(B50&lt;=Hypothèses!$C$15,Hypothèses!$A$15,IF(B50&lt;=Hypothèses!$C$16,Hypothèses!$A$16,IF(B50&lt;=Hypothèses!$C$17,Hypothèses!$A$17,IF(B50&lt;=Hypothèses!$C$18,Hypothèses!$A$18,C49))))))))))))</f>
        <v>11</v>
      </c>
      <c r="D50" s="82" t="str">
        <f>IF(B50&lt;=Hypothèses!$C$7,Hypothèses!$R$7,IF(B50&lt;=Hypothèses!$C$8,Hypothèses!$R$8,IF(B50&lt;=Hypothèses!$C$9,Hypothèses!$R$9,IF(B50&lt;=Hypothèses!$C$10,Hypothèses!$R$10,IF(B50&lt;=Hypothèses!$C$11,Hypothèses!$R$11,IF(B50&lt;=Hypothèses!$C$12,Hypothèses!$R$12,IF(B50&lt;=Hypothèses!$C$13,Hypothèses!$R$13,IF(B50&lt;=Hypothèses!$C$14,Hypothèses!$R$14,IF(B50&lt;=Hypothèses!$C$15,Hypothèses!$R$15,IF(B50&lt;=Hypothèses!$C$16,Hypothèses!$R$16,IF(B50&lt;=Hypothèses!$C$17,Hypothèses!$R$17,IF(B50&lt;=Hypothèses!$C$18,Hypothèses!$R$18,D49))))))))))))</f>
        <v>Pressio.</v>
      </c>
      <c r="E50" s="82" t="e">
        <f>IF(B50&lt;=Hypothèses!$C$7,Hypothèses!$G$7,IF(B50&lt;=Hypothèses!$C$8,Hypothèses!$G$8,IF(B50&lt;=Hypothèses!$C$9,Hypothèses!$G$9,IF(B50&lt;=Hypothèses!$C$10,Hypothèses!$G$10,IF(B50&lt;=Hypothèses!$C$11,Hypothèses!$G$11,IF(B50&lt;=Hypothèses!$C$12,Hypothèses!$G$12,IF(B50&lt;=Hypothèses!$C$13,Hypothèses!$G$13,IF(B50&lt;=Hypothèses!$C$14,Hypothèses!$G$14,IF(B50&lt;=Hypothèses!$C$15,Hypothèses!$G$15,IF(B50&lt;=Hypothèses!$C$16,Hypothèses!$G$16,IF(B50&lt;=Hypothèses!$C$17,Hypothèses!$G$17,IF(B50&lt;=Hypothèses!$C$18,Hypothèses!$G$18,E49))))))))))))</f>
        <v>#N/A</v>
      </c>
      <c r="F50" s="82" t="str">
        <f>IF(B50&lt;=Hypothèses!$C$7,Hypothèses!$F$7,IF(B50&lt;=Hypothèses!$C$8,Hypothèses!$F$8,IF(B50&lt;=Hypothèses!$C$9,Hypothèses!$F$9,IF(B50&lt;=Hypothèses!$C$10,Hypothèses!$F$10,IF(B50&lt;=Hypothèses!$C$11,Hypothèses!$F$11,IF(B50&lt;=Hypothèses!$C$12,Hypothèses!$F$12,IF(B50&lt;=Hypothèses!$C$13,Hypothèses!$F$13,IF(B50&lt;=Hypothèses!$C$14,Hypothèses!$F$14,IF(B50&lt;=Hypothèses!$C$15,Hypothèses!$F$15,IF(B50&lt;=Hypothèses!$C$16,Hypothèses!$F$16,IF(B50&lt;=Hypothèses!$C$17,Hypothèses!$F$17,IF(B50&lt;=Hypothèses!$C$18,Hypothèses!$F$18,F49))))))))))))</f>
        <v/>
      </c>
      <c r="G50" s="91">
        <f t="array" ref="G50">INDEX('Coeff EC7'!$U$7:$X$27,
MATCH(Model0.1C!$B$3,'Coeff EC7'!$T$7:$T$27,0),
MATCH(Model0.1C!$D50&amp;Model0.1C!$B$4,
'Coeff EC7'!$U$6:$X$6&amp;
'Coeff EC7'!$U$5:$X$5,0))</f>
        <v>1.1499999999999999</v>
      </c>
      <c r="H50" s="91">
        <f t="array" ref="H50">INDEX('Coeff EC7'!$Y$7:$AB$27,
MATCH(Model0.1C!$B$3,'Coeff EC7'!$T$7:$T$27,0),
MATCH(Model0.1C!$D50&amp;Model0.1C!$B$4,
'Coeff EC7'!$Y$6:$AB$6&amp;
'Coeff EC7'!$Y$5:$AB$5,0))</f>
        <v>1.4</v>
      </c>
      <c r="I50" s="83" t="e">
        <f>IF(B50&lt;=Hypothèses!$C$7,Hypothèses!$P$7,IF(B50&lt;=Hypothèses!$C$8,Hypothèses!$P$8,IF(B50&lt;=Hypothèses!$C$9,Hypothèses!$P$9,IF(B50&lt;=Hypothèses!$C$10,Hypothèses!$P$10,IF(B50&lt;=Hypothèses!$C$11,Hypothèses!$P$11,IF(B50&lt;=Hypothèses!$C$12,Hypothèses!$P$12,IF(B50&lt;=Hypothèses!$C$13,Hypothèses!$P$13,IF(B50&lt;=Hypothèses!$C$14,Hypothèses!$P$14,IF(B50&lt;=Hypothèses!$C$15,Hypothèses!$P$15,IF(B50&lt;=Hypothèses!$C$16,Hypothèses!$P$16,IF(B50&lt;=Hypothèses!$C$17,Hypothèses!$P$17,IF(B50&lt;=Hypothèses!$C$18,Hypothèses!$P$18,I49))))))))))))</f>
        <v>#N/A</v>
      </c>
      <c r="J50" s="91" t="e">
        <f t="array" ref="J50">INDEX('Coeff EC7'!$D$33:$Q$33,1,MATCH(D50&amp;E50,'Coeff EC7'!$D$31:$Q$31&amp;'Coeff EC7'!$D$32:$Q$32,0))</f>
        <v>#N/A</v>
      </c>
      <c r="K50" s="91" t="e">
        <f t="array" ref="K50">INDEX('Coeff EC7'!$D$34:$Q$34,1,MATCH(D50&amp;E50,'Coeff EC7'!$D$31:$Q$31&amp;'Coeff EC7'!$D$32:$Q$32,0))</f>
        <v>#N/A</v>
      </c>
      <c r="L50" s="91" t="e">
        <f t="array" ref="L50">INDEX('Coeff EC7'!$D$35:$Q$35,1,MATCH(D50&amp;E50,'Coeff EC7'!$D$31:$Q$31&amp;'Coeff EC7'!$D$32:$Q$32,0))</f>
        <v>#N/A</v>
      </c>
      <c r="M50" s="98" t="e">
        <f t="shared" si="8"/>
        <v>#N/A</v>
      </c>
      <c r="N50" s="99" t="e">
        <f t="array" ref="N50">INDEX('Coeff EC7'!$D$7:$Q$27,MATCH($B$3,'Coeff EC7'!$C$7:$C$27,0),MATCH(D50&amp;E50,'Coeff EC7'!$D$5:$Q$5&amp;'Coeff EC7'!$D$6:$Q$6,0))</f>
        <v>#N/A</v>
      </c>
      <c r="O50" s="99" t="e">
        <f t="array" ref="O50">INDEX('Coeff EC7'!$D$41:$Q$61,MATCH($B$3,'Coeff EC7'!$C$41:$C$61,0),MATCH(D50&amp;E50,'Coeff EC7'!$D$39:$Q$39&amp;'Coeff EC7'!$D$40:$Q$40,0))</f>
        <v>#N/A</v>
      </c>
      <c r="P50" s="30" t="e">
        <f t="shared" si="68"/>
        <v>#N/A</v>
      </c>
      <c r="Q50" s="100" t="e">
        <f t="shared" si="10"/>
        <v>#N/A</v>
      </c>
      <c r="R50" s="86" t="b">
        <f t="shared" si="11"/>
        <v>0</v>
      </c>
      <c r="S50" s="86">
        <f t="shared" si="9"/>
        <v>0.5</v>
      </c>
      <c r="T50" s="86">
        <f t="shared" si="12"/>
        <v>0.5</v>
      </c>
      <c r="U50" s="30" t="e">
        <f t="shared" ca="1" si="69"/>
        <v>#DIV/0!</v>
      </c>
      <c r="V50" s="85" t="str">
        <f>IF(B50&lt;=Hypothèses!$V$7,Hypothèses!$W$7,IF(B50&lt;=Hypothèses!$V$8,Hypothèses!$W$8,IF(B50&lt;=Hypothèses!$V$9,Hypothèses!$W$9,IF(B50&lt;=Hypothèses!$V$10,Hypothèses!$W$10,IF(B50&lt;=Hypothèses!$V$11,Hypothèses!$W$11,IF(B50&lt;=Hypothèses!$V$12,Hypothèses!$W$12,IF(B50&lt;=Hypothèses!$V$13,Hypothèses!$W$13,IF(B50&lt;=Hypothèses!$V$14,Hypothèses!$W$14,IF(B50&lt;=Hypothèses!$V$15,Hypothèses!$W$15,IF(B50&lt;=Hypothèses!$V$16,Hypothèses!$W$16,IF(B50&lt;=Hypothèses!$V$17,Hypothèses!$W$17,IF(B50&lt;=Hypothèses!$V$18,Hypothèses!$W$18,""))))))))))))</f>
        <v/>
      </c>
      <c r="W50" s="87" t="e">
        <f t="shared" ca="1" si="116"/>
        <v>#DIV/0!</v>
      </c>
      <c r="X50" s="88" t="str">
        <f>IF(B50&lt;=Hypothèses!$V$7,Hypothèses!$X$7,IF(B50&lt;=Hypothèses!$V$8,Hypothèses!$X$8,IF(B50&lt;=Hypothèses!$V$9,Hypothèses!$X$9,IF(B50&lt;=Hypothèses!$V$10,Hypothèses!$X$10,IF(B50&lt;=Hypothèses!$V$11,Hypothèses!$X$11,IF(B50&lt;=Hypothèses!$V$12,Hypothèses!$X$12,IF(B50&lt;=Hypothèses!$V$13,Hypothèses!$X$13,IF(B50&lt;=Hypothèses!$V$14,Hypothèses!$X$14,IF(B50&lt;=Hypothèses!$V$15,Hypothèses!$X$15,IF(B50&lt;=Hypothèses!$V$16,Hypothèses!$X$16,IF(B50&lt;=Hypothèses!$U$17,Hypothèses!$W$17,IF(B50&lt;=Hypothèses!$U$18,Hypothèses!$W$18,""))))))))))))</f>
        <v/>
      </c>
      <c r="Y50" s="95" t="e">
        <f t="shared" ca="1" si="13"/>
        <v>#DIV/0!</v>
      </c>
      <c r="Z50" s="101" t="e">
        <f t="shared" si="14"/>
        <v>#N/A</v>
      </c>
      <c r="AA50" s="91" t="e">
        <f t="shared" si="15"/>
        <v>#N/A</v>
      </c>
      <c r="AB50" s="30" t="e">
        <f t="shared" si="100"/>
        <v>#N/A</v>
      </c>
      <c r="AC50" s="30" t="e">
        <f t="shared" si="101"/>
        <v>#N/A</v>
      </c>
      <c r="AD50" s="31" t="e">
        <f>IF(OR(Hypothèses!$B$4=17,Hypothèses!$B$4=18,Hypothèses!$B$4=19,Hypothèses!$B$4=20),
IF($D50="Pressio.",
IF(OR($E50=3,$E50=1,$E50=4),AC50,AB50),
IF($D50="Pénétro.",
IF(OR($E50=3,$E50=1,$E50=4),AC50,AB50))),IF($D50="Pressio.",
IF($E50=3,AC50,AB50),
IF($D50="Pénétro.",
IF($E50=4,AC50,AB50))))</f>
        <v>#N/A</v>
      </c>
      <c r="AE50" s="31" t="e">
        <f>(IF(OR(Hypothèses!$B$4=17,Hypothèses!$B$4=18,Hypothèses!$B$4=19,Hypothèses!$B$4=20),
IF($D50="Pressio.",
IF(OR($E50=3,$E50=1,$E50=4),(PI()*AE$12^2)/4*(AA50*$W50*1000)/($H50*$B$5),(PI()*AE$12^2)/4*(AA50*$W50*1000)/($G50*$B$5)),
IF($D50="Pénétro.",
IF(OR($E50=4,$E50=1,$E50=5),(PI()*AE$12^2)/4*(AA50*$W50*1000)/($H50*$B$5),(PI()*AE$12^2)/4*(AA50*$W50*1000)/($G50*$B$5)))),
IF($D50="Pressio.",
IF($E50=3,(PI()*AE$12^2)/4*(AA50*$W50*1000)/($H50*$B$5),(PI()*AE$12^2)/4*(AA50*$W50*1000)/($G50*$B$5)),
IF($D50="Pénétro.",
IF($E50=4,(PI()*AE$12^2)/4*(AA50*$W50*1000)/($H50*$B$5),(PI()*AE$12^2)/4*(AA50*$W50*1000)/($G50*$B$5))))))/10</f>
        <v>#N/A</v>
      </c>
      <c r="AF50" s="102" t="e">
        <f>(VLOOKUP($B$3,'Coeff EC7'!$T$39:$X$59,2,0)*AD50+VLOOKUP($B$3,'Coeff EC7'!$T$65:$X$85,2,0)*Model0.1C!AE50)/1.1</f>
        <v>#N/A</v>
      </c>
      <c r="AG50" s="102" t="e">
        <f>(VLOOKUP($B$3,'Coeff EC7'!$T$39:$X$59,3,0)*AD50+VLOOKUP($B$3,'Coeff EC7'!$T$65:$X$85,3,0)*Model0.1C!AE50)/0.9</f>
        <v>#N/A</v>
      </c>
      <c r="AH50" s="102" t="e">
        <f t="shared" si="18"/>
        <v>#N/A</v>
      </c>
      <c r="AI50" s="102" t="e">
        <f t="shared" si="19"/>
        <v>#N/A</v>
      </c>
      <c r="AJ50" s="414" t="e">
        <f>IF(AJ49=0,0,IF(AND(AF50&gt;charge_ELS_quasi,AG50&gt;Charge_ELS_freq,AH50&gt;charge_ELU,AI50&gt;charge_ELA,$B50&gt;NDC!$H$22-0.1+MIN(3*$AJ$12,1.5)),0,1))</f>
        <v>#N/A</v>
      </c>
      <c r="AK50" s="86" t="b">
        <f t="shared" si="20"/>
        <v>0</v>
      </c>
      <c r="AL50" s="86">
        <f t="shared" si="70"/>
        <v>0.5</v>
      </c>
      <c r="AM50" s="86">
        <f t="shared" si="21"/>
        <v>0.5</v>
      </c>
      <c r="AN50" s="30" t="e">
        <f t="shared" ca="1" si="71"/>
        <v>#DIV/0!</v>
      </c>
      <c r="AO50" s="85" t="e">
        <f ca="1">IF(U50&lt;=Hypothèses!$V$7,Hypothèses!$W$7,IF(U50&lt;=Hypothèses!$V$8,Hypothèses!$W$8,IF(U50&lt;=Hypothèses!$V$9,Hypothèses!$W$9,IF(U50&lt;=Hypothèses!$V$10,Hypothèses!$W$10,IF(U50&lt;=Hypothèses!$V$11,Hypothèses!$W$11,IF(U50&lt;=Hypothèses!$V$12,Hypothèses!$W$12,IF(U50&lt;=Hypothèses!$V$13,Hypothèses!$W$13,IF(U50&lt;=Hypothèses!$V$14,Hypothèses!$W$14,IF(U50&lt;=Hypothèses!$V$15,Hypothèses!$W$15,IF(U50&lt;=Hypothèses!$V$16,Hypothèses!$W$16,IF(U50&lt;=Hypothèses!$V$17,Hypothèses!$W$17,IF(U50&lt;=Hypothèses!$V$18,Hypothèses!$W$18,""))))))))))))</f>
        <v>#DIV/0!</v>
      </c>
      <c r="AP50" s="87" t="e">
        <f t="shared" ca="1" si="117"/>
        <v>#DIV/0!</v>
      </c>
      <c r="AQ50" s="88" t="e">
        <f ca="1">IF(U50&lt;=Hypothèses!$V$7,Hypothèses!$X$7,IF(U50&lt;=Hypothèses!$V$8,Hypothèses!$X$8,IF(U50&lt;=Hypothèses!$V$9,Hypothèses!$X$9,IF(U50&lt;=Hypothèses!$V$10,Hypothèses!$X$10,IF(U50&lt;=Hypothèses!$V$11,Hypothèses!$X$11,IF(U50&lt;=Hypothèses!$V$12,Hypothèses!$X$12,IF(U50&lt;=Hypothèses!$V$13,Hypothèses!$X$13,IF(U50&lt;=Hypothèses!$V$14,Hypothèses!$X$14,IF(U50&lt;=Hypothèses!$V$15,Hypothèses!$X$15,IF(U50&lt;=Hypothèses!$V$16,Hypothèses!$X$16,IF(U50&lt;=Hypothèses!$U$17,Hypothèses!$W$17,IF(U50&lt;=Hypothèses!$U$18,Hypothèses!$W$18,""))))))))))))</f>
        <v>#DIV/0!</v>
      </c>
      <c r="AR50" s="95" t="e">
        <f t="shared" ca="1" si="72"/>
        <v>#DIV/0!</v>
      </c>
      <c r="AS50" s="101" t="e">
        <f t="shared" si="124"/>
        <v>#N/A</v>
      </c>
      <c r="AT50" s="91" t="e">
        <f t="shared" si="23"/>
        <v>#N/A</v>
      </c>
      <c r="AU50" s="30" t="e">
        <f t="shared" si="102"/>
        <v>#N/A</v>
      </c>
      <c r="AV50" s="30" t="e">
        <f t="shared" si="103"/>
        <v>#N/A</v>
      </c>
      <c r="AW50" s="31" t="e">
        <f>IF(OR(Hypothèses!$B$4=17,Hypothèses!$B$4=18,Hypothèses!$B$4=19,Hypothèses!$B$4=20),
IF($D50="Pressio.",
IF(OR($E50=3,$E50=1,$E50=4),AV50,AU50),
IF($D50="Pénétro.",
IF(OR($E50=3,$E50=1,$E50=4),AV50,AU50))),IF($D50="Pressio.",
IF($E50=3,AV50,AU50),
IF($D50="Pénétro.",
IF($E50=4,AV50,AU50))))</f>
        <v>#N/A</v>
      </c>
      <c r="AX50" s="31" t="e">
        <f>(IF(OR(Hypothèses!$B$4=17,Hypothèses!$B$4=18,Hypothèses!$B$4=19,Hypothèses!$B$4=20),
IF($D50="Pressio.",
IF(OR($E50=3,$E50=1,$E50=4),(PI()*AX$12^2)/4*(AT50*$W50*1000)/($H50*$B$5),(PI()*AX$12^2)/4*(AT50*$W50*1000)/($G50*$B$5)),
IF($D50="Pénétro.",
IF(OR($E50=4,$E50=1,$E50=5),(PI()*AX$12^2)/4*(AT50*$W50*1000)/($H50*$B$5),(PI()*AX$12^2)/4*(AT50*$W50*1000)/($G50*$B$5)))),
IF($D50="Pressio.",
IF($E50=3,(PI()*AX$12^2)/4*(AT50*$W50*1000)/($H50*$B$5),(PI()*AX$12^2)/4*(AT50*$W50*1000)/($G50*$B$5)),
IF($D50="Pénétro.",
IF($E50=4,(PI()*AX$12^2)/4*(AT50*$W50*1000)/($H50*$B$5),(PI()*AX$12^2)/4*(AT50*$W50*1000)/($G50*$B$5))))))/10</f>
        <v>#N/A</v>
      </c>
      <c r="AY50" s="102" t="e">
        <f>(VLOOKUP($B$3,'Coeff EC7'!$T$39:$X$59,2,0)*AW50+VLOOKUP($B$3,'Coeff EC7'!$T$65:$X$85,2,0)*Model0.1C!AX50)/1.1</f>
        <v>#N/A</v>
      </c>
      <c r="AZ50" s="102" t="e">
        <f>(VLOOKUP($B$3,'Coeff EC7'!$T$39:$X$59,3,0)*AW50+VLOOKUP($B$3,'Coeff EC7'!$T$65:$X$85,3,0)*Model0.1C!AX50)/0.9</f>
        <v>#N/A</v>
      </c>
      <c r="BA50" s="102" t="e">
        <f t="shared" si="73"/>
        <v>#N/A</v>
      </c>
      <c r="BB50" s="102" t="e">
        <f t="shared" si="74"/>
        <v>#N/A</v>
      </c>
      <c r="BC50" s="414" t="e">
        <f>IF(BC49=0,0,IF(AND(AY50&gt;charge_ELS_quasi,AZ50&gt;Charge_ELS_freq,BA50&gt;charge_ELU,BB50&gt;charge_ELA,$B50&gt;NDC!$H$22-0.1+MIN(3*$BC$12,1.5)),0,1))</f>
        <v>#N/A</v>
      </c>
      <c r="BD50" s="86" t="b">
        <f t="shared" si="26"/>
        <v>0</v>
      </c>
      <c r="BE50" s="86">
        <f t="shared" si="75"/>
        <v>0.5</v>
      </c>
      <c r="BF50" s="86">
        <f t="shared" si="27"/>
        <v>0.5</v>
      </c>
      <c r="BG50" s="30" t="e">
        <f t="shared" ca="1" si="76"/>
        <v>#DIV/0!</v>
      </c>
      <c r="BH50" s="85" t="e">
        <f ca="1">IF(AN50&lt;=Hypothèses!$V$7,Hypothèses!$W$7,IF(AN50&lt;=Hypothèses!$V$8,Hypothèses!$W$8,IF(AN50&lt;=Hypothèses!$V$9,Hypothèses!$W$9,IF(AN50&lt;=Hypothèses!$V$10,Hypothèses!$W$10,IF(AN50&lt;=Hypothèses!$V$11,Hypothèses!$W$11,IF(AN50&lt;=Hypothèses!$V$12,Hypothèses!$W$12,IF(AN50&lt;=Hypothèses!$V$13,Hypothèses!$W$13,IF(AN50&lt;=Hypothèses!$V$14,Hypothèses!$W$14,IF(AN50&lt;=Hypothèses!$V$15,Hypothèses!$W$15,IF(AN50&lt;=Hypothèses!$V$16,Hypothèses!$W$16,IF(AN50&lt;=Hypothèses!$V$17,Hypothèses!$W$17,IF(AN50&lt;=Hypothèses!$V$18,Hypothèses!$W$18,""))))))))))))</f>
        <v>#DIV/0!</v>
      </c>
      <c r="BI50" s="87" t="e">
        <f t="shared" ca="1" si="118"/>
        <v>#DIV/0!</v>
      </c>
      <c r="BJ50" s="88" t="e">
        <f ca="1">IF(AN50&lt;=Hypothèses!$V$7,Hypothèses!$X$7,IF(AN50&lt;=Hypothèses!$V$8,Hypothèses!$X$8,IF(AN50&lt;=Hypothèses!$V$9,Hypothèses!$X$9,IF(AN50&lt;=Hypothèses!$V$10,Hypothèses!$X$10,IF(AN50&lt;=Hypothèses!$V$11,Hypothèses!$X$11,IF(AN50&lt;=Hypothèses!$V$12,Hypothèses!$X$12,IF(AN50&lt;=Hypothèses!$V$13,Hypothèses!$X$13,IF(AN50&lt;=Hypothèses!$V$14,Hypothèses!$X$14,IF(AN50&lt;=Hypothèses!$V$15,Hypothèses!$X$15,IF(AN50&lt;=Hypothèses!$V$16,Hypothèses!$X$16,IF(AN50&lt;=Hypothèses!$U$17,Hypothèses!$W$17,IF(AN50&lt;=Hypothèses!$U$18,Hypothèses!$W$18,""))))))))))))</f>
        <v>#DIV/0!</v>
      </c>
      <c r="BK50" s="95" t="e">
        <f t="shared" ca="1" si="77"/>
        <v>#DIV/0!</v>
      </c>
      <c r="BL50" s="101" t="e">
        <f t="shared" si="125"/>
        <v>#N/A</v>
      </c>
      <c r="BM50" s="91" t="e">
        <f t="shared" si="29"/>
        <v>#N/A</v>
      </c>
      <c r="BN50" s="30" t="e">
        <f t="shared" si="104"/>
        <v>#N/A</v>
      </c>
      <c r="BO50" s="30" t="e">
        <f t="shared" si="105"/>
        <v>#N/A</v>
      </c>
      <c r="BP50" s="31" t="e">
        <f>IF(OR(Hypothèses!$B$4=17,Hypothèses!$B$4=18,Hypothèses!$B$4=19,Hypothèses!$B$4=20),
IF($D50="Pressio.",
IF(OR($E50=3,$E50=1,$E50=4),BO50,BN50),
IF($D50="Pénétro.",
IF(OR($E50=3,$E50=1,$E50=4),BO50,BN50))),IF($D50="Pressio.",
IF($E50=3,BO50,BN50),
IF($D50="Pénétro.",
IF($E50=4,BO50,BN50))))</f>
        <v>#N/A</v>
      </c>
      <c r="BQ50" s="31" t="e">
        <f>(IF(OR(Hypothèses!$B$4=17,Hypothèses!$B$4=18,Hypothèses!$B$4=19,Hypothèses!$B$4=20),
IF($D50="Pressio.",
IF(OR($E50=3,$E50=1,$E50=4),(PI()*BQ$12^2)/4*(BM50*$W50*1000)/($H50*$B$5),(PI()*BQ$12^2)/4*(BM50*$W50*1000)/($G50*$B$5)),
IF($D50="Pénétro.",
IF(OR($E50=4,$E50=1,$E50=5),(PI()*BQ$12^2)/4*(BM50*$W50*1000)/($H50*$B$5),(PI()*BQ$12^2)/4*(BM50*$W50*1000)/($G50*$B$5)))),
IF($D50="Pressio.",
IF($E50=3,(PI()*BQ$12^2)/4*(BM50*$W50*1000)/($H50*$B$5),(PI()*BQ$12^2)/4*(BM50*$W50*1000)/($G50*$B$5)),
IF($D50="Pénétro.",
IF($E50=4,(PI()*BQ$12^2)/4*(BM50*$W50*1000)/($H50*$B$5),(PI()*BQ$12^2)/4*(BM50*$W50*1000)/($G50*$B$5))))))/10</f>
        <v>#N/A</v>
      </c>
      <c r="BR50" s="102" t="e">
        <f>(VLOOKUP($B$3,'Coeff EC7'!$T$39:$X$59,2,0)*BP50+VLOOKUP($B$3,'Coeff EC7'!$T$65:$X$85,2,0)*Model0.1C!BQ50)/1.1</f>
        <v>#N/A</v>
      </c>
      <c r="BS50" s="102" t="e">
        <f>(VLOOKUP($B$3,'Coeff EC7'!$T$39:$X$59,3,0)*BP50+VLOOKUP($B$3,'Coeff EC7'!$T$65:$X$85,3,0)*Model0.1C!BQ50)/0.9</f>
        <v>#N/A</v>
      </c>
      <c r="BT50" s="102" t="e">
        <f t="shared" si="78"/>
        <v>#N/A</v>
      </c>
      <c r="BU50" s="102" t="e">
        <f t="shared" si="79"/>
        <v>#N/A</v>
      </c>
      <c r="BV50" s="414" t="e">
        <f>IF(BV49=0,0,IF(AND(BR50&gt;charge_ELS_quasi,BS50&gt;Charge_ELS_freq,BT50&gt;charge_ELU,BU50&gt;charge_ELA,$B50&gt;NDC!$H$22-0.1+MIN(3*$BV$12,1.5)),0,1))</f>
        <v>#N/A</v>
      </c>
      <c r="BW50" s="86" t="b">
        <f t="shared" si="32"/>
        <v>0</v>
      </c>
      <c r="BX50" s="86">
        <f t="shared" si="33"/>
        <v>0.5</v>
      </c>
      <c r="BY50" s="86">
        <f t="shared" si="34"/>
        <v>0.5</v>
      </c>
      <c r="BZ50" s="30" t="e">
        <f t="shared" ca="1" si="80"/>
        <v>#DIV/0!</v>
      </c>
      <c r="CA50" s="85" t="e">
        <f ca="1">IF(BG50&lt;=Hypothèses!$V$7,Hypothèses!$W$7,IF(BG50&lt;=Hypothèses!$V$8,Hypothèses!$W$8,IF(BG50&lt;=Hypothèses!$V$9,Hypothèses!$W$9,IF(BG50&lt;=Hypothèses!$V$10,Hypothèses!$W$10,IF(BG50&lt;=Hypothèses!$V$11,Hypothèses!$W$11,IF(BG50&lt;=Hypothèses!$V$12,Hypothèses!$W$12,IF(BG50&lt;=Hypothèses!$V$13,Hypothèses!$W$13,IF(BG50&lt;=Hypothèses!$V$14,Hypothèses!$W$14,IF(BG50&lt;=Hypothèses!$V$15,Hypothèses!$W$15,IF(BG50&lt;=Hypothèses!$V$16,Hypothèses!$W$16,IF(BG50&lt;=Hypothèses!$V$17,Hypothèses!$W$17,IF(BG50&lt;=Hypothèses!$V$18,Hypothèses!$W$18,""))))))))))))</f>
        <v>#DIV/0!</v>
      </c>
      <c r="CB50" s="87" t="e">
        <f t="shared" ca="1" si="119"/>
        <v>#DIV/0!</v>
      </c>
      <c r="CC50" s="88" t="e">
        <f ca="1">IF(BG50&lt;=Hypothèses!$V$7,Hypothèses!$X$7,IF(BG50&lt;=Hypothèses!$V$8,Hypothèses!$X$8,IF(BG50&lt;=Hypothèses!$V$9,Hypothèses!$X$9,IF(BG50&lt;=Hypothèses!$V$10,Hypothèses!$X$10,IF(BG50&lt;=Hypothèses!$V$11,Hypothèses!$X$11,IF(BG50&lt;=Hypothèses!$V$12,Hypothèses!$X$12,IF(BG50&lt;=Hypothèses!$V$13,Hypothèses!$X$13,IF(BG50&lt;=Hypothèses!$V$14,Hypothèses!$X$14,IF(BG50&lt;=Hypothèses!$V$15,Hypothèses!$X$15,IF(BG50&lt;=Hypothèses!$V$16,Hypothèses!$X$16,IF(BG50&lt;=Hypothèses!$U$17,Hypothèses!$W$17,IF(BG50&lt;=Hypothèses!$U$18,Hypothèses!$W$18,""))))))))))))</f>
        <v>#DIV/0!</v>
      </c>
      <c r="CD50" s="95" t="e">
        <f t="shared" ca="1" si="81"/>
        <v>#DIV/0!</v>
      </c>
      <c r="CE50" s="101" t="e">
        <f t="shared" si="126"/>
        <v>#N/A</v>
      </c>
      <c r="CF50" s="91" t="e">
        <f t="shared" si="36"/>
        <v>#N/A</v>
      </c>
      <c r="CG50" s="30" t="e">
        <f t="shared" si="106"/>
        <v>#N/A</v>
      </c>
      <c r="CH50" s="30" t="e">
        <f t="shared" si="107"/>
        <v>#N/A</v>
      </c>
      <c r="CI50" s="31" t="e">
        <f>IF(OR(Hypothèses!$B$4=17,Hypothèses!$B$4=18,Hypothèses!$B$4=19,Hypothèses!$B$4=20),
IF($D50="Pressio.",
IF(OR($E50=3,$E50=1,$E50=4),CH50,CG50),
IF($D50="Pénétro.",
IF(OR($E50=3,$E50=1,$E50=4),CH50,CG50))),IF($D50="Pressio.",
IF($E50=3,CH50,CG50),
IF($D50="Pénétro.",
IF($E50=4,CH50,CG50))))</f>
        <v>#N/A</v>
      </c>
      <c r="CJ50" s="31" t="e">
        <f>(IF(OR(Hypothèses!$B$4=17,Hypothèses!$B$4=18,Hypothèses!$B$4=19,Hypothèses!$B$4=20),
IF($D50="Pressio.",
IF(OR($E50=3,$E50=1,$E50=4),(PI()*CJ$12^2)/4*(CF50*$W50*1000)/($H50*$B$5),(PI()*CJ$12^2)/4*(CF50*$W50*1000)/($G50*$B$5)),
IF($D50="Pénétro.",
IF(OR($E50=4,$E50=1,$E50=5),(PI()*CJ$12^2)/4*(CF50*$W50*1000)/($H50*$B$5),(PI()*CJ$12^2)/4*(CF50*$W50*1000)/($G50*$B$5)))),
IF($D50="Pressio.",
IF($E50=3,(PI()*CJ$12^2)/4*(CF50*$W50*1000)/($H50*$B$5),(PI()*CJ$12^2)/4*(CF50*$W50*1000)/($G50*$B$5)),
IF($D50="Pénétro.",
IF($E50=4,(PI()*CJ$12^2)/4*(CF50*$W50*1000)/($H50*$B$5),(PI()*CJ$12^2)/4*(CF50*$W50*1000)/($G50*$B$5))))))/10</f>
        <v>#N/A</v>
      </c>
      <c r="CK50" s="102" t="e">
        <f>(VLOOKUP($B$3,'Coeff EC7'!$T$39:$X$59,2,0)*CI50+VLOOKUP($B$3,'Coeff EC7'!$T$65:$X$85,2,0)*Model0.1C!CJ50)/1.1</f>
        <v>#N/A</v>
      </c>
      <c r="CL50" s="102" t="e">
        <f>(VLOOKUP($B$3,'Coeff EC7'!$T$39:$X$59,3,0)*CI50+VLOOKUP($B$3,'Coeff EC7'!$T$65:$X$85,3,0)*Model0.1C!CJ50)/0.9</f>
        <v>#N/A</v>
      </c>
      <c r="CM50" s="102" t="e">
        <f t="shared" si="82"/>
        <v>#N/A</v>
      </c>
      <c r="CN50" s="102" t="e">
        <f t="shared" si="83"/>
        <v>#N/A</v>
      </c>
      <c r="CO50" s="414" t="e">
        <f>IF(CO49=0,0,IF(AND(CK50&gt;charge_ELS_quasi,CL50&gt;Charge_ELS_freq,CM50&gt;charge_ELU,CN50&gt;charge_ELA,$B50&gt;NDC!$H$22-0.1+MIN(3*$CO$12,1.5)),0,1))</f>
        <v>#N/A</v>
      </c>
      <c r="CP50" s="86" t="b">
        <f t="shared" si="39"/>
        <v>0</v>
      </c>
      <c r="CQ50" s="86">
        <f t="shared" si="40"/>
        <v>0.5</v>
      </c>
      <c r="CR50" s="86">
        <f t="shared" si="41"/>
        <v>0.5</v>
      </c>
      <c r="CS50" s="30" t="e">
        <f t="shared" ca="1" si="84"/>
        <v>#DIV/0!</v>
      </c>
      <c r="CT50" s="85" t="e">
        <f ca="1">IF(BZ50&lt;=Hypothèses!$V$7,Hypothèses!$W$7,IF(BZ50&lt;=Hypothèses!$V$8,Hypothèses!$W$8,IF(BZ50&lt;=Hypothèses!$V$9,Hypothèses!$W$9,IF(BZ50&lt;=Hypothèses!$V$10,Hypothèses!$W$10,IF(BZ50&lt;=Hypothèses!$V$11,Hypothèses!$W$11,IF(BZ50&lt;=Hypothèses!$V$12,Hypothèses!$W$12,IF(BZ50&lt;=Hypothèses!$V$13,Hypothèses!$W$13,IF(BZ50&lt;=Hypothèses!$V$14,Hypothèses!$W$14,IF(BZ50&lt;=Hypothèses!$V$15,Hypothèses!$W$15,IF(BZ50&lt;=Hypothèses!$V$16,Hypothèses!$W$16,IF(BZ50&lt;=Hypothèses!$V$17,Hypothèses!$W$17,IF(BZ50&lt;=Hypothèses!$V$18,Hypothèses!$W$18,""))))))))))))</f>
        <v>#DIV/0!</v>
      </c>
      <c r="CU50" s="87" t="e">
        <f t="shared" ca="1" si="120"/>
        <v>#DIV/0!</v>
      </c>
      <c r="CV50" s="88" t="e">
        <f ca="1">IF(BZ50&lt;=Hypothèses!$V$7,Hypothèses!$X$7,IF(BZ50&lt;=Hypothèses!$V$8,Hypothèses!$X$8,IF(BZ50&lt;=Hypothèses!$V$9,Hypothèses!$X$9,IF(BZ50&lt;=Hypothèses!$V$10,Hypothèses!$X$10,IF(BZ50&lt;=Hypothèses!$V$11,Hypothèses!$X$11,IF(BZ50&lt;=Hypothèses!$V$12,Hypothèses!$X$12,IF(BZ50&lt;=Hypothèses!$V$13,Hypothèses!$X$13,IF(BZ50&lt;=Hypothèses!$V$14,Hypothèses!$X$14,IF(BZ50&lt;=Hypothèses!$V$15,Hypothèses!$X$15,IF(BZ50&lt;=Hypothèses!$V$16,Hypothèses!$X$16,IF(BZ50&lt;=Hypothèses!$U$17,Hypothèses!$W$17,IF(BZ50&lt;=Hypothèses!$U$18,Hypothèses!$W$18,""))))))))))))</f>
        <v>#DIV/0!</v>
      </c>
      <c r="CW50" s="95" t="e">
        <f t="shared" ca="1" si="85"/>
        <v>#DIV/0!</v>
      </c>
      <c r="CX50" s="101" t="e">
        <f t="shared" si="127"/>
        <v>#N/A</v>
      </c>
      <c r="CY50" s="91" t="e">
        <f t="shared" si="43"/>
        <v>#N/A</v>
      </c>
      <c r="CZ50" s="30" t="e">
        <f t="shared" si="108"/>
        <v>#N/A</v>
      </c>
      <c r="DA50" s="30" t="e">
        <f t="shared" si="109"/>
        <v>#N/A</v>
      </c>
      <c r="DB50" s="31" t="e">
        <f>IF(OR(Hypothèses!$B$4=17,Hypothèses!$B$4=18,Hypothèses!$B$4=19,Hypothèses!$B$4=20),
IF($D50="Pressio.",
IF(OR($E50=3,$E50=1,$E50=4),DA50,CZ50),
IF($D50="Pénétro.",
IF(OR($E50=3,$E50=1,$E50=4),DA50,CZ50))),IF($D50="Pressio.",
IF($E50=3,DA50,CZ50),
IF($D50="Pénétro.",
IF($E50=4,DA50,CZ50))))</f>
        <v>#N/A</v>
      </c>
      <c r="DC50" s="31" t="e">
        <f>(IF(OR(Hypothèses!$B$4=17,Hypothèses!$B$4=18,Hypothèses!$B$4=19,Hypothèses!$B$4=20),
IF($D50="Pressio.",
IF(OR($E50=3,$E50=1,$E50=4),(PI()*DC$12^2)/4*(CY50*$W50*1000)/($H50*$B$5),(PI()*DC$12^2)/4*(CY50*$W50*1000)/($G50*$B$5)),
IF($D50="Pénétro.",
IF(OR($E50=4,$E50=1,$E50=5),(PI()*DC$12^2)/4*(CY50*$W50*1000)/($H50*$B$5),(PI()*DC$12^2)/4*(CY50*$W50*1000)/($G50*$B$5)))),
IF($D50="Pressio.",
IF($E50=3,(PI()*DC$12^2)/4*(CY50*$W50*1000)/($H50*$B$5),(PI()*DC$12^2)/4*(CY50*$W50*1000)/($G50*$B$5)),
IF($D50="Pénétro.",
IF($E50=4,(PI()*DC$12^2)/4*(CY50*$W50*1000)/($H50*$B$5),(PI()*DC$12^2)/4*(CY50*$W50*1000)/($G50*$B$5))))))/10</f>
        <v>#N/A</v>
      </c>
      <c r="DD50" s="102" t="e">
        <f>(VLOOKUP($B$3,'Coeff EC7'!$T$39:$X$59,2,0)*DB50+VLOOKUP($B$3,'Coeff EC7'!$T$65:$X$85,2,0)*Model0.1C!DC50)/1.1</f>
        <v>#N/A</v>
      </c>
      <c r="DE50" s="102" t="e">
        <f>(VLOOKUP($B$3,'Coeff EC7'!$T$39:$X$59,3,0)*DB50+VLOOKUP($B$3,'Coeff EC7'!$T$65:$X$85,3,0)*Model0.1C!DC50)/0.9</f>
        <v>#N/A</v>
      </c>
      <c r="DF50" s="102" t="e">
        <f t="shared" si="86"/>
        <v>#N/A</v>
      </c>
      <c r="DG50" s="102" t="e">
        <f t="shared" si="87"/>
        <v>#N/A</v>
      </c>
      <c r="DH50" s="414" t="e">
        <f>IF(DH49=0,0,IF(AND(DD50&gt;charge_ELS_quasi,DE50&gt;Charge_ELS_freq,DF50&gt;charge_ELU,DG50&gt;charge_ELA,$B50&gt;NDC!$H$22-0.1+MIN(3*$DH$12,1.5)),0,1))</f>
        <v>#N/A</v>
      </c>
      <c r="DI50" s="86" t="b">
        <f t="shared" si="46"/>
        <v>0</v>
      </c>
      <c r="DJ50" s="86">
        <f t="shared" si="47"/>
        <v>0.5</v>
      </c>
      <c r="DK50" s="86">
        <f t="shared" si="48"/>
        <v>0.5</v>
      </c>
      <c r="DL50" s="30" t="e">
        <f t="shared" ca="1" si="88"/>
        <v>#DIV/0!</v>
      </c>
      <c r="DM50" s="85" t="e">
        <f ca="1">IF(CS50&lt;=Hypothèses!$V$7,Hypothèses!$W$7,IF(CS50&lt;=Hypothèses!$V$8,Hypothèses!$W$8,IF(CS50&lt;=Hypothèses!$V$9,Hypothèses!$W$9,IF(CS50&lt;=Hypothèses!$V$10,Hypothèses!$W$10,IF(CS50&lt;=Hypothèses!$V$11,Hypothèses!$W$11,IF(CS50&lt;=Hypothèses!$V$12,Hypothèses!$W$12,IF(CS50&lt;=Hypothèses!$V$13,Hypothèses!$W$13,IF(CS50&lt;=Hypothèses!$V$14,Hypothèses!$W$14,IF(CS50&lt;=Hypothèses!$V$15,Hypothèses!$W$15,IF(CS50&lt;=Hypothèses!$V$16,Hypothèses!$W$16,IF(CS50&lt;=Hypothèses!$V$17,Hypothèses!$W$17,IF(CS50&lt;=Hypothèses!$V$18,Hypothèses!$W$18,""))))))))))))</f>
        <v>#DIV/0!</v>
      </c>
      <c r="DN50" s="87" t="e">
        <f t="shared" ca="1" si="121"/>
        <v>#DIV/0!</v>
      </c>
      <c r="DO50" s="88" t="e">
        <f ca="1">IF(CS50&lt;=Hypothèses!$V$7,Hypothèses!$X$7,IF(CS50&lt;=Hypothèses!$V$8,Hypothèses!$X$8,IF(CS50&lt;=Hypothèses!$V$9,Hypothèses!$X$9,IF(CS50&lt;=Hypothèses!$V$10,Hypothèses!$X$10,IF(CS50&lt;=Hypothèses!$V$11,Hypothèses!$X$11,IF(CS50&lt;=Hypothèses!$V$12,Hypothèses!$X$12,IF(CS50&lt;=Hypothèses!$V$13,Hypothèses!$X$13,IF(CS50&lt;=Hypothèses!$V$14,Hypothèses!$X$14,IF(CS50&lt;=Hypothèses!$V$15,Hypothèses!$X$15,IF(CS50&lt;=Hypothèses!$V$16,Hypothèses!$X$16,IF(CS50&lt;=Hypothèses!$U$17,Hypothèses!$W$17,IF(CS50&lt;=Hypothèses!$U$18,Hypothèses!$W$18,""))))))))))))</f>
        <v>#DIV/0!</v>
      </c>
      <c r="DP50" s="95" t="e">
        <f t="shared" ca="1" si="89"/>
        <v>#DIV/0!</v>
      </c>
      <c r="DQ50" s="101" t="e">
        <f t="shared" si="128"/>
        <v>#N/A</v>
      </c>
      <c r="DR50" s="91" t="e">
        <f t="shared" si="50"/>
        <v>#N/A</v>
      </c>
      <c r="DS50" s="30" t="e">
        <f t="shared" si="110"/>
        <v>#N/A</v>
      </c>
      <c r="DT50" s="30" t="e">
        <f t="shared" si="111"/>
        <v>#N/A</v>
      </c>
      <c r="DU50" s="31" t="e">
        <f>IF(OR(Hypothèses!$B$4=17,Hypothèses!$B$4=18,Hypothèses!$B$4=19,Hypothèses!$B$4=20),
IF($D50="Pressio.",
IF(OR($E50=3,$E50=1,$E50=4),DT50,DS50),
IF($D50="Pénétro.",
IF(OR($E50=3,$E50=1,$E50=4),DT50,DS50))),IF($D50="Pressio.",
IF($E50=3,DT50,DS50),
IF($D50="Pénétro.",
IF($E50=4,DT50,DS50))))</f>
        <v>#N/A</v>
      </c>
      <c r="DV50" s="31" t="e">
        <f>(IF(OR(Hypothèses!$B$4=17,Hypothèses!$B$4=18,Hypothèses!$B$4=19,Hypothèses!$B$4=20),
IF($D50="Pressio.",
IF(OR($E50=3,$E50=1,$E50=4),(PI()*DV$12^2)/4*(DR50*$W50*1000)/($H50*$B$5),(PI()*DV$12^2)/4*(DR50*$W50*1000)/($G50*$B$5)),
IF($D50="Pénétro.",
IF(OR($E50=4,$E50=1,$E50=5),(PI()*DV$12^2)/4*(DR50*$W50*1000)/($H50*$B$5),(PI()*DV$12^2)/4*(DR50*$W50*1000)/($G50*$B$5)))),
IF($D50="Pressio.",
IF($E50=3,(PI()*DV$12^2)/4*(DR50*$W50*1000)/($H50*$B$5),(PI()*DV$12^2)/4*(DR50*$W50*1000)/($G50*$B$5)),
IF($D50="Pénétro.",
IF($E50=4,(PI()*DV$12^2)/4*(DR50*$W50*1000)/($H50*$B$5),(PI()*DV$12^2)/4*(DR50*$W50*1000)/($G50*$B$5))))))/10</f>
        <v>#N/A</v>
      </c>
      <c r="DW50" s="102" t="e">
        <f>(VLOOKUP($B$3,'Coeff EC7'!$T$39:$X$59,2,0)*DU50+VLOOKUP($B$3,'Coeff EC7'!$T$65:$X$85,2,0)*Model0.1C!DV50)/1.1</f>
        <v>#N/A</v>
      </c>
      <c r="DX50" s="102" t="e">
        <f>(VLOOKUP($B$3,'Coeff EC7'!$T$39:$X$59,3,0)*DU50+VLOOKUP($B$3,'Coeff EC7'!$T$65:$X$85,3,0)*Model0.1C!DV50)/0.9</f>
        <v>#N/A</v>
      </c>
      <c r="DY50" s="102" t="e">
        <f t="shared" si="90"/>
        <v>#N/A</v>
      </c>
      <c r="DZ50" s="102" t="e">
        <f t="shared" si="91"/>
        <v>#N/A</v>
      </c>
      <c r="EA50" s="414" t="e">
        <f>IF(EA49=0,0,IF(AND(DW50&gt;charge_ELS_quasi,DX50&gt;Charge_ELS_freq,DY50&gt;charge_ELU,DZ50&gt;charge_ELA,$B50&gt;NDC!$H$22-0.1+MIN(3*$EA$12,1.5)),0,1))</f>
        <v>#N/A</v>
      </c>
      <c r="EB50" s="86" t="b">
        <f t="shared" si="53"/>
        <v>0</v>
      </c>
      <c r="EC50" s="418">
        <f t="shared" si="54"/>
        <v>0.51</v>
      </c>
      <c r="ED50" s="86">
        <f t="shared" si="55"/>
        <v>0.51</v>
      </c>
      <c r="EE50" s="30" t="e">
        <f t="shared" ca="1" si="92"/>
        <v>#DIV/0!</v>
      </c>
      <c r="EF50" s="85" t="e">
        <f ca="1">IF(DL50&lt;=Hypothèses!$V$7,Hypothèses!$W$7,IF(DL50&lt;=Hypothèses!$V$8,Hypothèses!$W$8,IF(DL50&lt;=Hypothèses!$V$9,Hypothèses!$W$9,IF(DL50&lt;=Hypothèses!$V$10,Hypothèses!$W$10,IF(DL50&lt;=Hypothèses!$V$11,Hypothèses!$W$11,IF(DL50&lt;=Hypothèses!$V$12,Hypothèses!$W$12,IF(DL50&lt;=Hypothèses!$V$13,Hypothèses!$W$13,IF(DL50&lt;=Hypothèses!$V$14,Hypothèses!$W$14,IF(DL50&lt;=Hypothèses!$V$15,Hypothèses!$W$15,IF(DL50&lt;=Hypothèses!$V$16,Hypothèses!$W$16,IF(DL50&lt;=Hypothèses!$V$17,Hypothèses!$W$17,IF(DL50&lt;=Hypothèses!$V$18,Hypothèses!$W$18,""))))))))))))</f>
        <v>#DIV/0!</v>
      </c>
      <c r="EG50" s="87" t="e">
        <f t="shared" ca="1" si="122"/>
        <v>#DIV/0!</v>
      </c>
      <c r="EH50" s="88" t="e">
        <f ca="1">IF(DL50&lt;=Hypothèses!$V$7,Hypothèses!$X$7,IF(DL50&lt;=Hypothèses!$V$8,Hypothèses!$X$8,IF(DL50&lt;=Hypothèses!$V$9,Hypothèses!$X$9,IF(DL50&lt;=Hypothèses!$V$10,Hypothèses!$X$10,IF(DL50&lt;=Hypothèses!$V$11,Hypothèses!$X$11,IF(DL50&lt;=Hypothèses!$V$12,Hypothèses!$X$12,IF(DL50&lt;=Hypothèses!$V$13,Hypothèses!$X$13,IF(DL50&lt;=Hypothèses!$V$14,Hypothèses!$X$14,IF(DL50&lt;=Hypothèses!$V$15,Hypothèses!$X$15,IF(DL50&lt;=Hypothèses!$V$16,Hypothèses!$X$16,IF(DL50&lt;=Hypothèses!$U$17,Hypothèses!$W$17,IF(DL50&lt;=Hypothèses!$U$18,Hypothèses!$W$18,""))))))))))))</f>
        <v>#DIV/0!</v>
      </c>
      <c r="EI50" s="95" t="e">
        <f t="shared" ca="1" si="93"/>
        <v>#DIV/0!</v>
      </c>
      <c r="EJ50" s="101" t="e">
        <f t="shared" si="129"/>
        <v>#N/A</v>
      </c>
      <c r="EK50" s="91" t="e">
        <f t="shared" si="57"/>
        <v>#N/A</v>
      </c>
      <c r="EL50" s="30" t="e">
        <f t="shared" si="112"/>
        <v>#N/A</v>
      </c>
      <c r="EM50" s="30" t="e">
        <f t="shared" si="113"/>
        <v>#N/A</v>
      </c>
      <c r="EN50" s="31" t="e">
        <f>IF(OR(Hypothèses!$B$4=17,Hypothèses!$B$4=18,Hypothèses!$B$4=19,Hypothèses!$B$4=20),
IF($D50="Pressio.",
IF(OR($E50=3,$E50=1,$E50=4),EM50,EL50),
IF($D50="Pénétro.",
IF(OR($E50=3,$E50=1,$E50=4),EM50,EL50))),IF($D50="Pressio.",
IF($E50=3,EM50,EL50),
IF($D50="Pénétro.",
IF($E50=4,EM50,EL50))))</f>
        <v>#N/A</v>
      </c>
      <c r="EO50" s="31" t="e">
        <f>(IF(OR(Hypothèses!$B$4=17,Hypothèses!$B$4=18,Hypothèses!$B$4=19,Hypothèses!$B$4=20),
IF($D50="Pressio.",
IF(OR($E50=3,$E50=1,$E50=4),(PI()*EO$12^2)/4*(EK50*$W50*1000)/($H50*$B$5),(PI()*EO$12^2)/4*(EK50*$W50*1000)/($G50*$B$5)),
IF($D50="Pénétro.",
IF(OR($E50=4,$E50=1,$E50=5),(PI()*EO$12^2)/4*(EK50*$W50*1000)/($H50*$B$5),(PI()*EO$12^2)/4*(EK50*$W50*1000)/($G50*$B$5)))),
IF($D50="Pressio.",
IF($E50=3,(PI()*EO$12^2)/4*(EK50*$W50*1000)/($H50*$B$5),(PI()*EO$12^2)/4*(EK50*$W50*1000)/($G50*$B$5)),
IF($D50="Pénétro.",
IF($E50=4,(PI()*EO$12^2)/4*(EK50*$W50*1000)/($H50*$B$5),(PI()*EO$12^2)/4*(EK50*$W50*1000)/($G50*$B$5))))))/10</f>
        <v>#N/A</v>
      </c>
      <c r="EP50" s="102" t="e">
        <f>(VLOOKUP($B$3,'Coeff EC7'!$T$39:$X$59,2,0)*EN50+VLOOKUP($B$3,'Coeff EC7'!$T$65:$X$85,2,0)*Model0.1C!EO50)/1.1</f>
        <v>#N/A</v>
      </c>
      <c r="EQ50" s="102" t="e">
        <f>(VLOOKUP($B$3,'Coeff EC7'!$T$39:$X$59,3,0)*EN50+VLOOKUP($B$3,'Coeff EC7'!$T$65:$X$85,3,0)*Model0.1C!EO50)/0.9</f>
        <v>#N/A</v>
      </c>
      <c r="ER50" s="102" t="e">
        <f t="shared" si="94"/>
        <v>#N/A</v>
      </c>
      <c r="ES50" s="102" t="e">
        <f t="shared" si="95"/>
        <v>#N/A</v>
      </c>
      <c r="ET50" s="414" t="e">
        <f>IF(ET49=0,0,IF(AND(EP50&gt;charge_ELS_quasi,EQ50&gt;Charge_ELS_freq,ER50&gt;charge_ELU,ES50&gt;charge_ELA,$B50&gt;NDC!$H$22-0.1+MIN(3*$ET$12,1.5)),0,1))</f>
        <v>#N/A</v>
      </c>
      <c r="EU50" s="86" t="b">
        <f t="shared" si="60"/>
        <v>0</v>
      </c>
      <c r="EV50" s="86">
        <f t="shared" si="61"/>
        <v>0.61</v>
      </c>
      <c r="EW50" s="86">
        <f t="shared" si="62"/>
        <v>0.61</v>
      </c>
      <c r="EX50" s="30" t="e">
        <f t="shared" ca="1" si="96"/>
        <v>#DIV/0!</v>
      </c>
      <c r="EY50" s="85" t="e">
        <f ca="1">IF(EE50&lt;=Hypothèses!$V$7,Hypothèses!$W$7,IF(EE50&lt;=Hypothèses!$V$8,Hypothèses!$W$8,IF(EE50&lt;=Hypothèses!$V$9,Hypothèses!$W$9,IF(EE50&lt;=Hypothèses!$V$10,Hypothèses!$W$10,IF(EE50&lt;=Hypothèses!$V$11,Hypothèses!$W$11,IF(EE50&lt;=Hypothèses!$V$12,Hypothèses!$W$12,IF(EE50&lt;=Hypothèses!$V$13,Hypothèses!$W$13,IF(EE50&lt;=Hypothèses!$V$14,Hypothèses!$W$14,IF(EE50&lt;=Hypothèses!$V$15,Hypothèses!$W$15,IF(EE50&lt;=Hypothèses!$V$16,Hypothèses!$W$16,IF(EE50&lt;=Hypothèses!$V$17,Hypothèses!$W$17,IF(EE50&lt;=Hypothèses!$V$18,Hypothèses!$W$18,""))))))))))))</f>
        <v>#DIV/0!</v>
      </c>
      <c r="EZ50" s="87" t="e">
        <f t="shared" ca="1" si="123"/>
        <v>#DIV/0!</v>
      </c>
      <c r="FA50" s="88" t="e">
        <f ca="1">IF(EE50&lt;=Hypothèses!$V$7,Hypothèses!$X$7,IF(EE50&lt;=Hypothèses!$V$8,Hypothèses!$X$8,IF(EE50&lt;=Hypothèses!$V$9,Hypothèses!$X$9,IF(EE50&lt;=Hypothèses!$V$10,Hypothèses!$X$10,IF(EE50&lt;=Hypothèses!$V$11,Hypothèses!$X$11,IF(EE50&lt;=Hypothèses!$V$12,Hypothèses!$X$12,IF(EE50&lt;=Hypothèses!$V$13,Hypothèses!$X$13,IF(EE50&lt;=Hypothèses!$V$14,Hypothèses!$X$14,IF(EE50&lt;=Hypothèses!$V$15,Hypothèses!$X$15,IF(EE50&lt;=Hypothèses!$V$16,Hypothèses!$X$16,IF(EE50&lt;=Hypothèses!$U$17,Hypothèses!$W$17,IF(EE50&lt;=Hypothèses!$U$18,Hypothèses!$W$18,""))))))))))))</f>
        <v>#DIV/0!</v>
      </c>
      <c r="FB50" s="95" t="e">
        <f t="shared" ca="1" si="97"/>
        <v>#DIV/0!</v>
      </c>
      <c r="FC50" s="101" t="e">
        <f t="shared" si="130"/>
        <v>#N/A</v>
      </c>
      <c r="FD50" s="91" t="e">
        <f t="shared" si="64"/>
        <v>#N/A</v>
      </c>
      <c r="FE50" s="30" t="e">
        <f t="shared" si="114"/>
        <v>#N/A</v>
      </c>
      <c r="FF50" s="30" t="e">
        <f t="shared" si="115"/>
        <v>#N/A</v>
      </c>
      <c r="FG50" s="31" t="e">
        <f>IF(OR(Hypothèses!$B$4=17,Hypothèses!$B$4=18,Hypothèses!$B$4=19,Hypothèses!$B$4=20),
IF($D50="Pressio.",
IF(OR($E50=3,$E50=1,$E50=4),FF50,FE50),
IF($D50="Pénétro.",
IF(OR($E50=3,$E50=1,$E50=4),FF50,FE50))),IF($D50="Pressio.",
IF($E50=3,FF50,FE50),
IF($D50="Pénétro.",
IF($E50=4,FF50,FE50))))</f>
        <v>#N/A</v>
      </c>
      <c r="FH50" s="31" t="e">
        <f>(IF(OR(Hypothèses!$B$4=17,Hypothèses!$B$4=18,Hypothèses!$B$4=19,Hypothèses!$B$4=20),
IF($D50="Pressio.",
IF(OR($E50=3,$E50=1,$E50=4),(PI()*FH$12^2)/4*(FD50*$W50*1000)/($H50*$B$5),(PI()*FH$12^2)/4*(FD50*$W50*1000)/($G50*$B$5)),
IF($D50="Pénétro.",
IF(OR($E50=4,$E50=1,$E50=5),(PI()*FH$12^2)/4*(FD50*$W50*1000)/($H50*$B$5),(PI()*FH$12^2)/4*(FD50*$W50*1000)/($G50*$B$5)))),
IF($D50="Pressio.",
IF($E50=3,(PI()*FH$12^2)/4*(FD50*$W50*1000)/($H50*$B$5),(PI()*FH$12^2)/4*(FD50*$W50*1000)/($G50*$B$5)),
IF($D50="Pénétro.",
IF($E50=4,(PI()*FH$12^2)/4*(FD50*$W50*1000)/($H50*$B$5),(PI()*FH$12^2)/4*(FD50*$W50*1000)/($G50*$B$5))))))/10</f>
        <v>#N/A</v>
      </c>
      <c r="FI50" s="102" t="e">
        <f>(VLOOKUP($B$3,'Coeff EC7'!$T$39:$X$59,2,0)*FG50+VLOOKUP($B$3,'Coeff EC7'!$T$65:$X$85,2,0)*Model0.1C!FH50)/1.1</f>
        <v>#N/A</v>
      </c>
      <c r="FJ50" s="102" t="e">
        <f>(VLOOKUP($B$3,'Coeff EC7'!$T$39:$X$59,3,0)*FG50+VLOOKUP($B$3,'Coeff EC7'!$T$65:$X$85,3,0)*Model0.1C!FH50)/0.9</f>
        <v>#N/A</v>
      </c>
      <c r="FK50" s="102" t="e">
        <f t="shared" si="98"/>
        <v>#N/A</v>
      </c>
      <c r="FL50" s="102" t="e">
        <f t="shared" si="99"/>
        <v>#N/A</v>
      </c>
      <c r="FM50" s="414" t="e">
        <f>IF(FM49=0,0,IF(AND(FI50&gt;charge_ELS_quasi,FJ50&gt;Charge_ELS_freq,FK50&gt;charge_ELU,FL50&gt;charge_ELA,$B50&gt;NDC!$H$22-0.1+MIN(3*$FM$12,1.5)),0,1))</f>
        <v>#N/A</v>
      </c>
    </row>
    <row r="51" spans="1:169">
      <c r="A51" s="96">
        <f t="shared" si="67"/>
        <v>96.200000000000216</v>
      </c>
      <c r="B51" s="97">
        <v>3.8</v>
      </c>
      <c r="C51" s="81">
        <f>IF(B51&lt;=Hypothèses!$C$7,Hypothèses!$A$7,IF(B51&lt;=Hypothèses!$C$8,Hypothèses!$A$8,IF(B51&lt;=Hypothèses!$C$9,Hypothèses!$A$9,IF(B51&lt;=Hypothèses!$C$10,Hypothèses!$A$10,IF(B51&lt;=Hypothèses!$C$11,Hypothèses!$A$11,IF(B51&lt;=Hypothèses!$C$12,Hypothèses!$A$12,IF(B51&lt;=Hypothèses!$C$13,Hypothèses!$A$13,IF(B51&lt;=Hypothèses!$C$14,Hypothèses!$A$14,IF(B51&lt;=Hypothèses!$C$15,Hypothèses!$A$15,IF(B51&lt;=Hypothèses!$C$16,Hypothèses!$A$16,IF(B51&lt;=Hypothèses!$C$17,Hypothèses!$A$17,IF(B51&lt;=Hypothèses!$C$18,Hypothèses!$A$18,C50))))))))))))</f>
        <v>11</v>
      </c>
      <c r="D51" s="82" t="str">
        <f>IF(B51&lt;=Hypothèses!$C$7,Hypothèses!$R$7,IF(B51&lt;=Hypothèses!$C$8,Hypothèses!$R$8,IF(B51&lt;=Hypothèses!$C$9,Hypothèses!$R$9,IF(B51&lt;=Hypothèses!$C$10,Hypothèses!$R$10,IF(B51&lt;=Hypothèses!$C$11,Hypothèses!$R$11,IF(B51&lt;=Hypothèses!$C$12,Hypothèses!$R$12,IF(B51&lt;=Hypothèses!$C$13,Hypothèses!$R$13,IF(B51&lt;=Hypothèses!$C$14,Hypothèses!$R$14,IF(B51&lt;=Hypothèses!$C$15,Hypothèses!$R$15,IF(B51&lt;=Hypothèses!$C$16,Hypothèses!$R$16,IF(B51&lt;=Hypothèses!$C$17,Hypothèses!$R$17,IF(B51&lt;=Hypothèses!$C$18,Hypothèses!$R$18,D50))))))))))))</f>
        <v>Pressio.</v>
      </c>
      <c r="E51" s="82" t="e">
        <f>IF(B51&lt;=Hypothèses!$C$7,Hypothèses!$G$7,IF(B51&lt;=Hypothèses!$C$8,Hypothèses!$G$8,IF(B51&lt;=Hypothèses!$C$9,Hypothèses!$G$9,IF(B51&lt;=Hypothèses!$C$10,Hypothèses!$G$10,IF(B51&lt;=Hypothèses!$C$11,Hypothèses!$G$11,IF(B51&lt;=Hypothèses!$C$12,Hypothèses!$G$12,IF(B51&lt;=Hypothèses!$C$13,Hypothèses!$G$13,IF(B51&lt;=Hypothèses!$C$14,Hypothèses!$G$14,IF(B51&lt;=Hypothèses!$C$15,Hypothèses!$G$15,IF(B51&lt;=Hypothèses!$C$16,Hypothèses!$G$16,IF(B51&lt;=Hypothèses!$C$17,Hypothèses!$G$17,IF(B51&lt;=Hypothèses!$C$18,Hypothèses!$G$18,E50))))))))))))</f>
        <v>#N/A</v>
      </c>
      <c r="F51" s="82" t="str">
        <f>IF(B51&lt;=Hypothèses!$C$7,Hypothèses!$F$7,IF(B51&lt;=Hypothèses!$C$8,Hypothèses!$F$8,IF(B51&lt;=Hypothèses!$C$9,Hypothèses!$F$9,IF(B51&lt;=Hypothèses!$C$10,Hypothèses!$F$10,IF(B51&lt;=Hypothèses!$C$11,Hypothèses!$F$11,IF(B51&lt;=Hypothèses!$C$12,Hypothèses!$F$12,IF(B51&lt;=Hypothèses!$C$13,Hypothèses!$F$13,IF(B51&lt;=Hypothèses!$C$14,Hypothèses!$F$14,IF(B51&lt;=Hypothèses!$C$15,Hypothèses!$F$15,IF(B51&lt;=Hypothèses!$C$16,Hypothèses!$F$16,IF(B51&lt;=Hypothèses!$C$17,Hypothèses!$F$17,IF(B51&lt;=Hypothèses!$C$18,Hypothèses!$F$18,F50))))))))))))</f>
        <v/>
      </c>
      <c r="G51" s="91">
        <f t="array" ref="G51">INDEX('Coeff EC7'!$U$7:$X$27,
MATCH(Model0.1C!$B$3,'Coeff EC7'!$T$7:$T$27,0),
MATCH(Model0.1C!$D51&amp;Model0.1C!$B$4,
'Coeff EC7'!$U$6:$X$6&amp;
'Coeff EC7'!$U$5:$X$5,0))</f>
        <v>1.1499999999999999</v>
      </c>
      <c r="H51" s="91">
        <f t="array" ref="H51">INDEX('Coeff EC7'!$Y$7:$AB$27,
MATCH(Model0.1C!$B$3,'Coeff EC7'!$T$7:$T$27,0),
MATCH(Model0.1C!$D51&amp;Model0.1C!$B$4,
'Coeff EC7'!$Y$6:$AB$6&amp;
'Coeff EC7'!$Y$5:$AB$5,0))</f>
        <v>1.4</v>
      </c>
      <c r="I51" s="83" t="e">
        <f>IF(B51&lt;=Hypothèses!$C$7,Hypothèses!$P$7,IF(B51&lt;=Hypothèses!$C$8,Hypothèses!$P$8,IF(B51&lt;=Hypothèses!$C$9,Hypothèses!$P$9,IF(B51&lt;=Hypothèses!$C$10,Hypothèses!$P$10,IF(B51&lt;=Hypothèses!$C$11,Hypothèses!$P$11,IF(B51&lt;=Hypothèses!$C$12,Hypothèses!$P$12,IF(B51&lt;=Hypothèses!$C$13,Hypothèses!$P$13,IF(B51&lt;=Hypothèses!$C$14,Hypothèses!$P$14,IF(B51&lt;=Hypothèses!$C$15,Hypothèses!$P$15,IF(B51&lt;=Hypothèses!$C$16,Hypothèses!$P$16,IF(B51&lt;=Hypothèses!$C$17,Hypothèses!$P$17,IF(B51&lt;=Hypothèses!$C$18,Hypothèses!$P$18,I50))))))))))))</f>
        <v>#N/A</v>
      </c>
      <c r="J51" s="91" t="e">
        <f t="array" ref="J51">INDEX('Coeff EC7'!$D$33:$Q$33,1,MATCH(D51&amp;E51,'Coeff EC7'!$D$31:$Q$31&amp;'Coeff EC7'!$D$32:$Q$32,0))</f>
        <v>#N/A</v>
      </c>
      <c r="K51" s="91" t="e">
        <f t="array" ref="K51">INDEX('Coeff EC7'!$D$34:$Q$34,1,MATCH(D51&amp;E51,'Coeff EC7'!$D$31:$Q$31&amp;'Coeff EC7'!$D$32:$Q$32,0))</f>
        <v>#N/A</v>
      </c>
      <c r="L51" s="91" t="e">
        <f t="array" ref="L51">INDEX('Coeff EC7'!$D$35:$Q$35,1,MATCH(D51&amp;E51,'Coeff EC7'!$D$31:$Q$31&amp;'Coeff EC7'!$D$32:$Q$32,0))</f>
        <v>#N/A</v>
      </c>
      <c r="M51" s="98" t="e">
        <f t="shared" si="8"/>
        <v>#N/A</v>
      </c>
      <c r="N51" s="99" t="e">
        <f t="array" ref="N51">INDEX('Coeff EC7'!$D$7:$Q$27,MATCH($B$3,'Coeff EC7'!$C$7:$C$27,0),MATCH(D51&amp;E51,'Coeff EC7'!$D$5:$Q$5&amp;'Coeff EC7'!$D$6:$Q$6,0))</f>
        <v>#N/A</v>
      </c>
      <c r="O51" s="99" t="e">
        <f t="array" ref="O51">INDEX('Coeff EC7'!$D$41:$Q$61,MATCH($B$3,'Coeff EC7'!$C$41:$C$61,0),MATCH(D51&amp;E51,'Coeff EC7'!$D$39:$Q$39&amp;'Coeff EC7'!$D$40:$Q$40,0))</f>
        <v>#N/A</v>
      </c>
      <c r="P51" s="30" t="e">
        <f t="shared" si="68"/>
        <v>#N/A</v>
      </c>
      <c r="Q51" s="100" t="e">
        <f t="shared" si="10"/>
        <v>#N/A</v>
      </c>
      <c r="R51" s="86" t="b">
        <f t="shared" si="11"/>
        <v>0</v>
      </c>
      <c r="S51" s="86">
        <f t="shared" si="9"/>
        <v>0.5</v>
      </c>
      <c r="T51" s="86">
        <f t="shared" si="12"/>
        <v>0.5</v>
      </c>
      <c r="U51" s="30" t="e">
        <f t="shared" ca="1" si="69"/>
        <v>#DIV/0!</v>
      </c>
      <c r="V51" s="85" t="str">
        <f>IF(B51&lt;=Hypothèses!$V$7,Hypothèses!$W$7,IF(B51&lt;=Hypothèses!$V$8,Hypothèses!$W$8,IF(B51&lt;=Hypothèses!$V$9,Hypothèses!$W$9,IF(B51&lt;=Hypothèses!$V$10,Hypothèses!$W$10,IF(B51&lt;=Hypothèses!$V$11,Hypothèses!$W$11,IF(B51&lt;=Hypothèses!$V$12,Hypothèses!$W$12,IF(B51&lt;=Hypothèses!$V$13,Hypothèses!$W$13,IF(B51&lt;=Hypothèses!$V$14,Hypothèses!$W$14,IF(B51&lt;=Hypothèses!$V$15,Hypothèses!$W$15,IF(B51&lt;=Hypothèses!$V$16,Hypothèses!$W$16,IF(B51&lt;=Hypothèses!$V$17,Hypothèses!$W$17,IF(B51&lt;=Hypothèses!$V$18,Hypothèses!$W$18,""))))))))))))</f>
        <v/>
      </c>
      <c r="W51" s="87" t="e">
        <f t="shared" ca="1" si="116"/>
        <v>#DIV/0!</v>
      </c>
      <c r="X51" s="88" t="str">
        <f>IF(B51&lt;=Hypothèses!$V$7,Hypothèses!$X$7,IF(B51&lt;=Hypothèses!$V$8,Hypothèses!$X$8,IF(B51&lt;=Hypothèses!$V$9,Hypothèses!$X$9,IF(B51&lt;=Hypothèses!$V$10,Hypothèses!$X$10,IF(B51&lt;=Hypothèses!$V$11,Hypothèses!$X$11,IF(B51&lt;=Hypothèses!$V$12,Hypothèses!$X$12,IF(B51&lt;=Hypothèses!$V$13,Hypothèses!$X$13,IF(B51&lt;=Hypothèses!$V$14,Hypothèses!$X$14,IF(B51&lt;=Hypothèses!$V$15,Hypothèses!$X$15,IF(B51&lt;=Hypothèses!$V$16,Hypothèses!$X$16,IF(B51&lt;=Hypothèses!$U$17,Hypothèses!$W$17,IF(B51&lt;=Hypothèses!$U$18,Hypothèses!$W$18,""))))))))))))</f>
        <v/>
      </c>
      <c r="Y51" s="95" t="e">
        <f t="shared" ca="1" si="13"/>
        <v>#DIV/0!</v>
      </c>
      <c r="Z51" s="101" t="e">
        <f t="shared" si="14"/>
        <v>#N/A</v>
      </c>
      <c r="AA51" s="91" t="e">
        <f t="shared" si="15"/>
        <v>#N/A</v>
      </c>
      <c r="AB51" s="30" t="e">
        <f t="shared" si="100"/>
        <v>#N/A</v>
      </c>
      <c r="AC51" s="30" t="e">
        <f t="shared" si="101"/>
        <v>#N/A</v>
      </c>
      <c r="AD51" s="31" t="e">
        <f>IF(OR(Hypothèses!$B$4=17,Hypothèses!$B$4=18,Hypothèses!$B$4=19,Hypothèses!$B$4=20),
IF($D51="Pressio.",
IF(OR($E51=3,$E51=1,$E51=4),AC51,AB51),
IF($D51="Pénétro.",
IF(OR($E51=3,$E51=1,$E51=4),AC51,AB51))),IF($D51="Pressio.",
IF($E51=3,AC51,AB51),
IF($D51="Pénétro.",
IF($E51=4,AC51,AB51))))</f>
        <v>#N/A</v>
      </c>
      <c r="AE51" s="31" t="e">
        <f>(IF(OR(Hypothèses!$B$4=17,Hypothèses!$B$4=18,Hypothèses!$B$4=19,Hypothèses!$B$4=20),
IF($D51="Pressio.",
IF(OR($E51=3,$E51=1,$E51=4),(PI()*AE$12^2)/4*(AA51*$W51*1000)/($H51*$B$5),(PI()*AE$12^2)/4*(AA51*$W51*1000)/($G51*$B$5)),
IF($D51="Pénétro.",
IF(OR($E51=4,$E51=1,$E51=5),(PI()*AE$12^2)/4*(AA51*$W51*1000)/($H51*$B$5),(PI()*AE$12^2)/4*(AA51*$W51*1000)/($G51*$B$5)))),
IF($D51="Pressio.",
IF($E51=3,(PI()*AE$12^2)/4*(AA51*$W51*1000)/($H51*$B$5),(PI()*AE$12^2)/4*(AA51*$W51*1000)/($G51*$B$5)),
IF($D51="Pénétro.",
IF($E51=4,(PI()*AE$12^2)/4*(AA51*$W51*1000)/($H51*$B$5),(PI()*AE$12^2)/4*(AA51*$W51*1000)/($G51*$B$5))))))/10</f>
        <v>#N/A</v>
      </c>
      <c r="AF51" s="102" t="e">
        <f>(VLOOKUP($B$3,'Coeff EC7'!$T$39:$X$59,2,0)*AD51+VLOOKUP($B$3,'Coeff EC7'!$T$65:$X$85,2,0)*Model0.1C!AE51)/1.1</f>
        <v>#N/A</v>
      </c>
      <c r="AG51" s="102" t="e">
        <f>(VLOOKUP($B$3,'Coeff EC7'!$T$39:$X$59,3,0)*AD51+VLOOKUP($B$3,'Coeff EC7'!$T$65:$X$85,3,0)*Model0.1C!AE51)/0.9</f>
        <v>#N/A</v>
      </c>
      <c r="AH51" s="102" t="e">
        <f t="shared" si="18"/>
        <v>#N/A</v>
      </c>
      <c r="AI51" s="102" t="e">
        <f t="shared" si="19"/>
        <v>#N/A</v>
      </c>
      <c r="AJ51" s="414" t="e">
        <f>IF(AJ50=0,0,IF(AND(AF51&gt;charge_ELS_quasi,AG51&gt;Charge_ELS_freq,AH51&gt;charge_ELU,AI51&gt;charge_ELA,$B51&gt;NDC!$H$22-0.1+MIN(3*$AJ$12,1.5)),0,1))</f>
        <v>#N/A</v>
      </c>
      <c r="AK51" s="86" t="b">
        <f t="shared" si="20"/>
        <v>0</v>
      </c>
      <c r="AL51" s="86">
        <f t="shared" si="70"/>
        <v>0.5</v>
      </c>
      <c r="AM51" s="86">
        <f t="shared" si="21"/>
        <v>0.5</v>
      </c>
      <c r="AN51" s="30" t="e">
        <f t="shared" ca="1" si="71"/>
        <v>#DIV/0!</v>
      </c>
      <c r="AO51" s="85" t="e">
        <f ca="1">IF(U51&lt;=Hypothèses!$V$7,Hypothèses!$W$7,IF(U51&lt;=Hypothèses!$V$8,Hypothèses!$W$8,IF(U51&lt;=Hypothèses!$V$9,Hypothèses!$W$9,IF(U51&lt;=Hypothèses!$V$10,Hypothèses!$W$10,IF(U51&lt;=Hypothèses!$V$11,Hypothèses!$W$11,IF(U51&lt;=Hypothèses!$V$12,Hypothèses!$W$12,IF(U51&lt;=Hypothèses!$V$13,Hypothèses!$W$13,IF(U51&lt;=Hypothèses!$V$14,Hypothèses!$W$14,IF(U51&lt;=Hypothèses!$V$15,Hypothèses!$W$15,IF(U51&lt;=Hypothèses!$V$16,Hypothèses!$W$16,IF(U51&lt;=Hypothèses!$V$17,Hypothèses!$W$17,IF(U51&lt;=Hypothèses!$V$18,Hypothèses!$W$18,""))))))))))))</f>
        <v>#DIV/0!</v>
      </c>
      <c r="AP51" s="87" t="e">
        <f t="shared" ca="1" si="117"/>
        <v>#DIV/0!</v>
      </c>
      <c r="AQ51" s="88" t="e">
        <f ca="1">IF(U51&lt;=Hypothèses!$V$7,Hypothèses!$X$7,IF(U51&lt;=Hypothèses!$V$8,Hypothèses!$X$8,IF(U51&lt;=Hypothèses!$V$9,Hypothèses!$X$9,IF(U51&lt;=Hypothèses!$V$10,Hypothèses!$X$10,IF(U51&lt;=Hypothèses!$V$11,Hypothèses!$X$11,IF(U51&lt;=Hypothèses!$V$12,Hypothèses!$X$12,IF(U51&lt;=Hypothèses!$V$13,Hypothèses!$X$13,IF(U51&lt;=Hypothèses!$V$14,Hypothèses!$X$14,IF(U51&lt;=Hypothèses!$V$15,Hypothèses!$X$15,IF(U51&lt;=Hypothèses!$V$16,Hypothèses!$X$16,IF(U51&lt;=Hypothèses!$U$17,Hypothèses!$W$17,IF(U51&lt;=Hypothèses!$U$18,Hypothèses!$W$18,""))))))))))))</f>
        <v>#DIV/0!</v>
      </c>
      <c r="AR51" s="95" t="e">
        <f t="shared" ca="1" si="72"/>
        <v>#DIV/0!</v>
      </c>
      <c r="AS51" s="101" t="e">
        <f t="shared" si="124"/>
        <v>#N/A</v>
      </c>
      <c r="AT51" s="91" t="e">
        <f t="shared" si="23"/>
        <v>#N/A</v>
      </c>
      <c r="AU51" s="30" t="e">
        <f t="shared" si="102"/>
        <v>#N/A</v>
      </c>
      <c r="AV51" s="30" t="e">
        <f t="shared" si="103"/>
        <v>#N/A</v>
      </c>
      <c r="AW51" s="31" t="e">
        <f>IF(OR(Hypothèses!$B$4=17,Hypothèses!$B$4=18,Hypothèses!$B$4=19,Hypothèses!$B$4=20),
IF($D51="Pressio.",
IF(OR($E51=3,$E51=1,$E51=4),AV51,AU51),
IF($D51="Pénétro.",
IF(OR($E51=3,$E51=1,$E51=4),AV51,AU51))),IF($D51="Pressio.",
IF($E51=3,AV51,AU51),
IF($D51="Pénétro.",
IF($E51=4,AV51,AU51))))</f>
        <v>#N/A</v>
      </c>
      <c r="AX51" s="31" t="e">
        <f>(IF(OR(Hypothèses!$B$4=17,Hypothèses!$B$4=18,Hypothèses!$B$4=19,Hypothèses!$B$4=20),
IF($D51="Pressio.",
IF(OR($E51=3,$E51=1,$E51=4),(PI()*AX$12^2)/4*(AT51*$W51*1000)/($H51*$B$5),(PI()*AX$12^2)/4*(AT51*$W51*1000)/($G51*$B$5)),
IF($D51="Pénétro.",
IF(OR($E51=4,$E51=1,$E51=5),(PI()*AX$12^2)/4*(AT51*$W51*1000)/($H51*$B$5),(PI()*AX$12^2)/4*(AT51*$W51*1000)/($G51*$B$5)))),
IF($D51="Pressio.",
IF($E51=3,(PI()*AX$12^2)/4*(AT51*$W51*1000)/($H51*$B$5),(PI()*AX$12^2)/4*(AT51*$W51*1000)/($G51*$B$5)),
IF($D51="Pénétro.",
IF($E51=4,(PI()*AX$12^2)/4*(AT51*$W51*1000)/($H51*$B$5),(PI()*AX$12^2)/4*(AT51*$W51*1000)/($G51*$B$5))))))/10</f>
        <v>#N/A</v>
      </c>
      <c r="AY51" s="102" t="e">
        <f>(VLOOKUP($B$3,'Coeff EC7'!$T$39:$X$59,2,0)*AW51+VLOOKUP($B$3,'Coeff EC7'!$T$65:$X$85,2,0)*Model0.1C!AX51)/1.1</f>
        <v>#N/A</v>
      </c>
      <c r="AZ51" s="102" t="e">
        <f>(VLOOKUP($B$3,'Coeff EC7'!$T$39:$X$59,3,0)*AW51+VLOOKUP($B$3,'Coeff EC7'!$T$65:$X$85,3,0)*Model0.1C!AX51)/0.9</f>
        <v>#N/A</v>
      </c>
      <c r="BA51" s="102" t="e">
        <f t="shared" si="73"/>
        <v>#N/A</v>
      </c>
      <c r="BB51" s="102" t="e">
        <f t="shared" si="74"/>
        <v>#N/A</v>
      </c>
      <c r="BC51" s="414" t="e">
        <f>IF(BC50=0,0,IF(AND(AY51&gt;charge_ELS_quasi,AZ51&gt;Charge_ELS_freq,BA51&gt;charge_ELU,BB51&gt;charge_ELA,$B51&gt;NDC!$H$22-0.1+MIN(3*$BC$12,1.5)),0,1))</f>
        <v>#N/A</v>
      </c>
      <c r="BD51" s="86" t="b">
        <f t="shared" si="26"/>
        <v>0</v>
      </c>
      <c r="BE51" s="86">
        <f t="shared" si="75"/>
        <v>0.5</v>
      </c>
      <c r="BF51" s="86">
        <f t="shared" si="27"/>
        <v>0.5</v>
      </c>
      <c r="BG51" s="30" t="e">
        <f t="shared" ca="1" si="76"/>
        <v>#DIV/0!</v>
      </c>
      <c r="BH51" s="85" t="e">
        <f ca="1">IF(AN51&lt;=Hypothèses!$V$7,Hypothèses!$W$7,IF(AN51&lt;=Hypothèses!$V$8,Hypothèses!$W$8,IF(AN51&lt;=Hypothèses!$V$9,Hypothèses!$W$9,IF(AN51&lt;=Hypothèses!$V$10,Hypothèses!$W$10,IF(AN51&lt;=Hypothèses!$V$11,Hypothèses!$W$11,IF(AN51&lt;=Hypothèses!$V$12,Hypothèses!$W$12,IF(AN51&lt;=Hypothèses!$V$13,Hypothèses!$W$13,IF(AN51&lt;=Hypothèses!$V$14,Hypothèses!$W$14,IF(AN51&lt;=Hypothèses!$V$15,Hypothèses!$W$15,IF(AN51&lt;=Hypothèses!$V$16,Hypothèses!$W$16,IF(AN51&lt;=Hypothèses!$V$17,Hypothèses!$W$17,IF(AN51&lt;=Hypothèses!$V$18,Hypothèses!$W$18,""))))))))))))</f>
        <v>#DIV/0!</v>
      </c>
      <c r="BI51" s="87" t="e">
        <f t="shared" ca="1" si="118"/>
        <v>#DIV/0!</v>
      </c>
      <c r="BJ51" s="88" t="e">
        <f ca="1">IF(AN51&lt;=Hypothèses!$V$7,Hypothèses!$X$7,IF(AN51&lt;=Hypothèses!$V$8,Hypothèses!$X$8,IF(AN51&lt;=Hypothèses!$V$9,Hypothèses!$X$9,IF(AN51&lt;=Hypothèses!$V$10,Hypothèses!$X$10,IF(AN51&lt;=Hypothèses!$V$11,Hypothèses!$X$11,IF(AN51&lt;=Hypothèses!$V$12,Hypothèses!$X$12,IF(AN51&lt;=Hypothèses!$V$13,Hypothèses!$X$13,IF(AN51&lt;=Hypothèses!$V$14,Hypothèses!$X$14,IF(AN51&lt;=Hypothèses!$V$15,Hypothèses!$X$15,IF(AN51&lt;=Hypothèses!$V$16,Hypothèses!$X$16,IF(AN51&lt;=Hypothèses!$U$17,Hypothèses!$W$17,IF(AN51&lt;=Hypothèses!$U$18,Hypothèses!$W$18,""))))))))))))</f>
        <v>#DIV/0!</v>
      </c>
      <c r="BK51" s="95" t="e">
        <f t="shared" ca="1" si="77"/>
        <v>#DIV/0!</v>
      </c>
      <c r="BL51" s="101" t="e">
        <f t="shared" si="125"/>
        <v>#N/A</v>
      </c>
      <c r="BM51" s="91" t="e">
        <f t="shared" si="29"/>
        <v>#N/A</v>
      </c>
      <c r="BN51" s="30" t="e">
        <f t="shared" si="104"/>
        <v>#N/A</v>
      </c>
      <c r="BO51" s="30" t="e">
        <f t="shared" si="105"/>
        <v>#N/A</v>
      </c>
      <c r="BP51" s="31" t="e">
        <f>IF(OR(Hypothèses!$B$4=17,Hypothèses!$B$4=18,Hypothèses!$B$4=19,Hypothèses!$B$4=20),
IF($D51="Pressio.",
IF(OR($E51=3,$E51=1,$E51=4),BO51,BN51),
IF($D51="Pénétro.",
IF(OR($E51=3,$E51=1,$E51=4),BO51,BN51))),IF($D51="Pressio.",
IF($E51=3,BO51,BN51),
IF($D51="Pénétro.",
IF($E51=4,BO51,BN51))))</f>
        <v>#N/A</v>
      </c>
      <c r="BQ51" s="31" t="e">
        <f>(IF(OR(Hypothèses!$B$4=17,Hypothèses!$B$4=18,Hypothèses!$B$4=19,Hypothèses!$B$4=20),
IF($D51="Pressio.",
IF(OR($E51=3,$E51=1,$E51=4),(PI()*BQ$12^2)/4*(BM51*$W51*1000)/($H51*$B$5),(PI()*BQ$12^2)/4*(BM51*$W51*1000)/($G51*$B$5)),
IF($D51="Pénétro.",
IF(OR($E51=4,$E51=1,$E51=5),(PI()*BQ$12^2)/4*(BM51*$W51*1000)/($H51*$B$5),(PI()*BQ$12^2)/4*(BM51*$W51*1000)/($G51*$B$5)))),
IF($D51="Pressio.",
IF($E51=3,(PI()*BQ$12^2)/4*(BM51*$W51*1000)/($H51*$B$5),(PI()*BQ$12^2)/4*(BM51*$W51*1000)/($G51*$B$5)),
IF($D51="Pénétro.",
IF($E51=4,(PI()*BQ$12^2)/4*(BM51*$W51*1000)/($H51*$B$5),(PI()*BQ$12^2)/4*(BM51*$W51*1000)/($G51*$B$5))))))/10</f>
        <v>#N/A</v>
      </c>
      <c r="BR51" s="102" t="e">
        <f>(VLOOKUP($B$3,'Coeff EC7'!$T$39:$X$59,2,0)*BP51+VLOOKUP($B$3,'Coeff EC7'!$T$65:$X$85,2,0)*Model0.1C!BQ51)/1.1</f>
        <v>#N/A</v>
      </c>
      <c r="BS51" s="102" t="e">
        <f>(VLOOKUP($B$3,'Coeff EC7'!$T$39:$X$59,3,0)*BP51+VLOOKUP($B$3,'Coeff EC7'!$T$65:$X$85,3,0)*Model0.1C!BQ51)/0.9</f>
        <v>#N/A</v>
      </c>
      <c r="BT51" s="102" t="e">
        <f t="shared" si="78"/>
        <v>#N/A</v>
      </c>
      <c r="BU51" s="102" t="e">
        <f t="shared" si="79"/>
        <v>#N/A</v>
      </c>
      <c r="BV51" s="414" t="e">
        <f>IF(BV50=0,0,IF(AND(BR51&gt;charge_ELS_quasi,BS51&gt;Charge_ELS_freq,BT51&gt;charge_ELU,BU51&gt;charge_ELA,$B51&gt;NDC!$H$22-0.1+MIN(3*$BV$12,1.5)),0,1))</f>
        <v>#N/A</v>
      </c>
      <c r="BW51" s="86" t="b">
        <f t="shared" si="32"/>
        <v>0</v>
      </c>
      <c r="BX51" s="86">
        <f t="shared" si="33"/>
        <v>0.5</v>
      </c>
      <c r="BY51" s="86">
        <f t="shared" si="34"/>
        <v>0.5</v>
      </c>
      <c r="BZ51" s="30" t="e">
        <f t="shared" ca="1" si="80"/>
        <v>#DIV/0!</v>
      </c>
      <c r="CA51" s="85" t="e">
        <f ca="1">IF(BG51&lt;=Hypothèses!$V$7,Hypothèses!$W$7,IF(BG51&lt;=Hypothèses!$V$8,Hypothèses!$W$8,IF(BG51&lt;=Hypothèses!$V$9,Hypothèses!$W$9,IF(BG51&lt;=Hypothèses!$V$10,Hypothèses!$W$10,IF(BG51&lt;=Hypothèses!$V$11,Hypothèses!$W$11,IF(BG51&lt;=Hypothèses!$V$12,Hypothèses!$W$12,IF(BG51&lt;=Hypothèses!$V$13,Hypothèses!$W$13,IF(BG51&lt;=Hypothèses!$V$14,Hypothèses!$W$14,IF(BG51&lt;=Hypothèses!$V$15,Hypothèses!$W$15,IF(BG51&lt;=Hypothèses!$V$16,Hypothèses!$W$16,IF(BG51&lt;=Hypothèses!$V$17,Hypothèses!$W$17,IF(BG51&lt;=Hypothèses!$V$18,Hypothèses!$W$18,""))))))))))))</f>
        <v>#DIV/0!</v>
      </c>
      <c r="CB51" s="87" t="e">
        <f t="shared" ca="1" si="119"/>
        <v>#DIV/0!</v>
      </c>
      <c r="CC51" s="88" t="e">
        <f ca="1">IF(BG51&lt;=Hypothèses!$V$7,Hypothèses!$X$7,IF(BG51&lt;=Hypothèses!$V$8,Hypothèses!$X$8,IF(BG51&lt;=Hypothèses!$V$9,Hypothèses!$X$9,IF(BG51&lt;=Hypothèses!$V$10,Hypothèses!$X$10,IF(BG51&lt;=Hypothèses!$V$11,Hypothèses!$X$11,IF(BG51&lt;=Hypothèses!$V$12,Hypothèses!$X$12,IF(BG51&lt;=Hypothèses!$V$13,Hypothèses!$X$13,IF(BG51&lt;=Hypothèses!$V$14,Hypothèses!$X$14,IF(BG51&lt;=Hypothèses!$V$15,Hypothèses!$X$15,IF(BG51&lt;=Hypothèses!$V$16,Hypothèses!$X$16,IF(BG51&lt;=Hypothèses!$U$17,Hypothèses!$W$17,IF(BG51&lt;=Hypothèses!$U$18,Hypothèses!$W$18,""))))))))))))</f>
        <v>#DIV/0!</v>
      </c>
      <c r="CD51" s="95" t="e">
        <f t="shared" ca="1" si="81"/>
        <v>#DIV/0!</v>
      </c>
      <c r="CE51" s="101" t="e">
        <f t="shared" si="126"/>
        <v>#N/A</v>
      </c>
      <c r="CF51" s="91" t="e">
        <f t="shared" si="36"/>
        <v>#N/A</v>
      </c>
      <c r="CG51" s="30" t="e">
        <f t="shared" si="106"/>
        <v>#N/A</v>
      </c>
      <c r="CH51" s="30" t="e">
        <f t="shared" si="107"/>
        <v>#N/A</v>
      </c>
      <c r="CI51" s="31" t="e">
        <f>IF(OR(Hypothèses!$B$4=17,Hypothèses!$B$4=18,Hypothèses!$B$4=19,Hypothèses!$B$4=20),
IF($D51="Pressio.",
IF(OR($E51=3,$E51=1,$E51=4),CH51,CG51),
IF($D51="Pénétro.",
IF(OR($E51=3,$E51=1,$E51=4),CH51,CG51))),IF($D51="Pressio.",
IF($E51=3,CH51,CG51),
IF($D51="Pénétro.",
IF($E51=4,CH51,CG51))))</f>
        <v>#N/A</v>
      </c>
      <c r="CJ51" s="31" t="e">
        <f>(IF(OR(Hypothèses!$B$4=17,Hypothèses!$B$4=18,Hypothèses!$B$4=19,Hypothèses!$B$4=20),
IF($D51="Pressio.",
IF(OR($E51=3,$E51=1,$E51=4),(PI()*CJ$12^2)/4*(CF51*$W51*1000)/($H51*$B$5),(PI()*CJ$12^2)/4*(CF51*$W51*1000)/($G51*$B$5)),
IF($D51="Pénétro.",
IF(OR($E51=4,$E51=1,$E51=5),(PI()*CJ$12^2)/4*(CF51*$W51*1000)/($H51*$B$5),(PI()*CJ$12^2)/4*(CF51*$W51*1000)/($G51*$B$5)))),
IF($D51="Pressio.",
IF($E51=3,(PI()*CJ$12^2)/4*(CF51*$W51*1000)/($H51*$B$5),(PI()*CJ$12^2)/4*(CF51*$W51*1000)/($G51*$B$5)),
IF($D51="Pénétro.",
IF($E51=4,(PI()*CJ$12^2)/4*(CF51*$W51*1000)/($H51*$B$5),(PI()*CJ$12^2)/4*(CF51*$W51*1000)/($G51*$B$5))))))/10</f>
        <v>#N/A</v>
      </c>
      <c r="CK51" s="102" t="e">
        <f>(VLOOKUP($B$3,'Coeff EC7'!$T$39:$X$59,2,0)*CI51+VLOOKUP($B$3,'Coeff EC7'!$T$65:$X$85,2,0)*Model0.1C!CJ51)/1.1</f>
        <v>#N/A</v>
      </c>
      <c r="CL51" s="102" t="e">
        <f>(VLOOKUP($B$3,'Coeff EC7'!$T$39:$X$59,3,0)*CI51+VLOOKUP($B$3,'Coeff EC7'!$T$65:$X$85,3,0)*Model0.1C!CJ51)/0.9</f>
        <v>#N/A</v>
      </c>
      <c r="CM51" s="102" t="e">
        <f t="shared" si="82"/>
        <v>#N/A</v>
      </c>
      <c r="CN51" s="102" t="e">
        <f t="shared" si="83"/>
        <v>#N/A</v>
      </c>
      <c r="CO51" s="414" t="e">
        <f>IF(CO50=0,0,IF(AND(CK51&gt;charge_ELS_quasi,CL51&gt;Charge_ELS_freq,CM51&gt;charge_ELU,CN51&gt;charge_ELA,$B51&gt;NDC!$H$22-0.1+MIN(3*$CO$12,1.5)),0,1))</f>
        <v>#N/A</v>
      </c>
      <c r="CP51" s="86" t="b">
        <f t="shared" si="39"/>
        <v>0</v>
      </c>
      <c r="CQ51" s="86">
        <f t="shared" si="40"/>
        <v>0.5</v>
      </c>
      <c r="CR51" s="86">
        <f t="shared" si="41"/>
        <v>0.5</v>
      </c>
      <c r="CS51" s="30" t="e">
        <f t="shared" ca="1" si="84"/>
        <v>#DIV/0!</v>
      </c>
      <c r="CT51" s="85" t="e">
        <f ca="1">IF(BZ51&lt;=Hypothèses!$V$7,Hypothèses!$W$7,IF(BZ51&lt;=Hypothèses!$V$8,Hypothèses!$W$8,IF(BZ51&lt;=Hypothèses!$V$9,Hypothèses!$W$9,IF(BZ51&lt;=Hypothèses!$V$10,Hypothèses!$W$10,IF(BZ51&lt;=Hypothèses!$V$11,Hypothèses!$W$11,IF(BZ51&lt;=Hypothèses!$V$12,Hypothèses!$W$12,IF(BZ51&lt;=Hypothèses!$V$13,Hypothèses!$W$13,IF(BZ51&lt;=Hypothèses!$V$14,Hypothèses!$W$14,IF(BZ51&lt;=Hypothèses!$V$15,Hypothèses!$W$15,IF(BZ51&lt;=Hypothèses!$V$16,Hypothèses!$W$16,IF(BZ51&lt;=Hypothèses!$V$17,Hypothèses!$W$17,IF(BZ51&lt;=Hypothèses!$V$18,Hypothèses!$W$18,""))))))))))))</f>
        <v>#DIV/0!</v>
      </c>
      <c r="CU51" s="87" t="e">
        <f t="shared" ca="1" si="120"/>
        <v>#DIV/0!</v>
      </c>
      <c r="CV51" s="88" t="e">
        <f ca="1">IF(BZ51&lt;=Hypothèses!$V$7,Hypothèses!$X$7,IF(BZ51&lt;=Hypothèses!$V$8,Hypothèses!$X$8,IF(BZ51&lt;=Hypothèses!$V$9,Hypothèses!$X$9,IF(BZ51&lt;=Hypothèses!$V$10,Hypothèses!$X$10,IF(BZ51&lt;=Hypothèses!$V$11,Hypothèses!$X$11,IF(BZ51&lt;=Hypothèses!$V$12,Hypothèses!$X$12,IF(BZ51&lt;=Hypothèses!$V$13,Hypothèses!$X$13,IF(BZ51&lt;=Hypothèses!$V$14,Hypothèses!$X$14,IF(BZ51&lt;=Hypothèses!$V$15,Hypothèses!$X$15,IF(BZ51&lt;=Hypothèses!$V$16,Hypothèses!$X$16,IF(BZ51&lt;=Hypothèses!$U$17,Hypothèses!$W$17,IF(BZ51&lt;=Hypothèses!$U$18,Hypothèses!$W$18,""))))))))))))</f>
        <v>#DIV/0!</v>
      </c>
      <c r="CW51" s="95" t="e">
        <f t="shared" ca="1" si="85"/>
        <v>#DIV/0!</v>
      </c>
      <c r="CX51" s="101" t="e">
        <f t="shared" si="127"/>
        <v>#N/A</v>
      </c>
      <c r="CY51" s="91" t="e">
        <f t="shared" si="43"/>
        <v>#N/A</v>
      </c>
      <c r="CZ51" s="30" t="e">
        <f t="shared" si="108"/>
        <v>#N/A</v>
      </c>
      <c r="DA51" s="30" t="e">
        <f t="shared" si="109"/>
        <v>#N/A</v>
      </c>
      <c r="DB51" s="31" t="e">
        <f>IF(OR(Hypothèses!$B$4=17,Hypothèses!$B$4=18,Hypothèses!$B$4=19,Hypothèses!$B$4=20),
IF($D51="Pressio.",
IF(OR($E51=3,$E51=1,$E51=4),DA51,CZ51),
IF($D51="Pénétro.",
IF(OR($E51=3,$E51=1,$E51=4),DA51,CZ51))),IF($D51="Pressio.",
IF($E51=3,DA51,CZ51),
IF($D51="Pénétro.",
IF($E51=4,DA51,CZ51))))</f>
        <v>#N/A</v>
      </c>
      <c r="DC51" s="31" t="e">
        <f>(IF(OR(Hypothèses!$B$4=17,Hypothèses!$B$4=18,Hypothèses!$B$4=19,Hypothèses!$B$4=20),
IF($D51="Pressio.",
IF(OR($E51=3,$E51=1,$E51=4),(PI()*DC$12^2)/4*(CY51*$W51*1000)/($H51*$B$5),(PI()*DC$12^2)/4*(CY51*$W51*1000)/($G51*$B$5)),
IF($D51="Pénétro.",
IF(OR($E51=4,$E51=1,$E51=5),(PI()*DC$12^2)/4*(CY51*$W51*1000)/($H51*$B$5),(PI()*DC$12^2)/4*(CY51*$W51*1000)/($G51*$B$5)))),
IF($D51="Pressio.",
IF($E51=3,(PI()*DC$12^2)/4*(CY51*$W51*1000)/($H51*$B$5),(PI()*DC$12^2)/4*(CY51*$W51*1000)/($G51*$B$5)),
IF($D51="Pénétro.",
IF($E51=4,(PI()*DC$12^2)/4*(CY51*$W51*1000)/($H51*$B$5),(PI()*DC$12^2)/4*(CY51*$W51*1000)/($G51*$B$5))))))/10</f>
        <v>#N/A</v>
      </c>
      <c r="DD51" s="102" t="e">
        <f>(VLOOKUP($B$3,'Coeff EC7'!$T$39:$X$59,2,0)*DB51+VLOOKUP($B$3,'Coeff EC7'!$T$65:$X$85,2,0)*Model0.1C!DC51)/1.1</f>
        <v>#N/A</v>
      </c>
      <c r="DE51" s="102" t="e">
        <f>(VLOOKUP($B$3,'Coeff EC7'!$T$39:$X$59,3,0)*DB51+VLOOKUP($B$3,'Coeff EC7'!$T$65:$X$85,3,0)*Model0.1C!DC51)/0.9</f>
        <v>#N/A</v>
      </c>
      <c r="DF51" s="102" t="e">
        <f t="shared" si="86"/>
        <v>#N/A</v>
      </c>
      <c r="DG51" s="102" t="e">
        <f t="shared" si="87"/>
        <v>#N/A</v>
      </c>
      <c r="DH51" s="414" t="e">
        <f>IF(DH50=0,0,IF(AND(DD51&gt;charge_ELS_quasi,DE51&gt;Charge_ELS_freq,DF51&gt;charge_ELU,DG51&gt;charge_ELA,$B51&gt;NDC!$H$22-0.1+MIN(3*$DH$12,1.5)),0,1))</f>
        <v>#N/A</v>
      </c>
      <c r="DI51" s="86" t="b">
        <f t="shared" si="46"/>
        <v>0</v>
      </c>
      <c r="DJ51" s="86">
        <f t="shared" si="47"/>
        <v>0.5</v>
      </c>
      <c r="DK51" s="86">
        <f t="shared" si="48"/>
        <v>0.5</v>
      </c>
      <c r="DL51" s="30" t="e">
        <f t="shared" ca="1" si="88"/>
        <v>#DIV/0!</v>
      </c>
      <c r="DM51" s="85" t="e">
        <f ca="1">IF(CS51&lt;=Hypothèses!$V$7,Hypothèses!$W$7,IF(CS51&lt;=Hypothèses!$V$8,Hypothèses!$W$8,IF(CS51&lt;=Hypothèses!$V$9,Hypothèses!$W$9,IF(CS51&lt;=Hypothèses!$V$10,Hypothèses!$W$10,IF(CS51&lt;=Hypothèses!$V$11,Hypothèses!$W$11,IF(CS51&lt;=Hypothèses!$V$12,Hypothèses!$W$12,IF(CS51&lt;=Hypothèses!$V$13,Hypothèses!$W$13,IF(CS51&lt;=Hypothèses!$V$14,Hypothèses!$W$14,IF(CS51&lt;=Hypothèses!$V$15,Hypothèses!$W$15,IF(CS51&lt;=Hypothèses!$V$16,Hypothèses!$W$16,IF(CS51&lt;=Hypothèses!$V$17,Hypothèses!$W$17,IF(CS51&lt;=Hypothèses!$V$18,Hypothèses!$W$18,""))))))))))))</f>
        <v>#DIV/0!</v>
      </c>
      <c r="DN51" s="87" t="e">
        <f t="shared" ca="1" si="121"/>
        <v>#DIV/0!</v>
      </c>
      <c r="DO51" s="88" t="e">
        <f ca="1">IF(CS51&lt;=Hypothèses!$V$7,Hypothèses!$X$7,IF(CS51&lt;=Hypothèses!$V$8,Hypothèses!$X$8,IF(CS51&lt;=Hypothèses!$V$9,Hypothèses!$X$9,IF(CS51&lt;=Hypothèses!$V$10,Hypothèses!$X$10,IF(CS51&lt;=Hypothèses!$V$11,Hypothèses!$X$11,IF(CS51&lt;=Hypothèses!$V$12,Hypothèses!$X$12,IF(CS51&lt;=Hypothèses!$V$13,Hypothèses!$X$13,IF(CS51&lt;=Hypothèses!$V$14,Hypothèses!$X$14,IF(CS51&lt;=Hypothèses!$V$15,Hypothèses!$X$15,IF(CS51&lt;=Hypothèses!$V$16,Hypothèses!$X$16,IF(CS51&lt;=Hypothèses!$U$17,Hypothèses!$W$17,IF(CS51&lt;=Hypothèses!$U$18,Hypothèses!$W$18,""))))))))))))</f>
        <v>#DIV/0!</v>
      </c>
      <c r="DP51" s="95" t="e">
        <f t="shared" ca="1" si="89"/>
        <v>#DIV/0!</v>
      </c>
      <c r="DQ51" s="101" t="e">
        <f t="shared" si="128"/>
        <v>#N/A</v>
      </c>
      <c r="DR51" s="91" t="e">
        <f t="shared" si="50"/>
        <v>#N/A</v>
      </c>
      <c r="DS51" s="30" t="e">
        <f t="shared" si="110"/>
        <v>#N/A</v>
      </c>
      <c r="DT51" s="30" t="e">
        <f t="shared" si="111"/>
        <v>#N/A</v>
      </c>
      <c r="DU51" s="31" t="e">
        <f>IF(OR(Hypothèses!$B$4=17,Hypothèses!$B$4=18,Hypothèses!$B$4=19,Hypothèses!$B$4=20),
IF($D51="Pressio.",
IF(OR($E51=3,$E51=1,$E51=4),DT51,DS51),
IF($D51="Pénétro.",
IF(OR($E51=3,$E51=1,$E51=4),DT51,DS51))),IF($D51="Pressio.",
IF($E51=3,DT51,DS51),
IF($D51="Pénétro.",
IF($E51=4,DT51,DS51))))</f>
        <v>#N/A</v>
      </c>
      <c r="DV51" s="31" t="e">
        <f>(IF(OR(Hypothèses!$B$4=17,Hypothèses!$B$4=18,Hypothèses!$B$4=19,Hypothèses!$B$4=20),
IF($D51="Pressio.",
IF(OR($E51=3,$E51=1,$E51=4),(PI()*DV$12^2)/4*(DR51*$W51*1000)/($H51*$B$5),(PI()*DV$12^2)/4*(DR51*$W51*1000)/($G51*$B$5)),
IF($D51="Pénétro.",
IF(OR($E51=4,$E51=1,$E51=5),(PI()*DV$12^2)/4*(DR51*$W51*1000)/($H51*$B$5),(PI()*DV$12^2)/4*(DR51*$W51*1000)/($G51*$B$5)))),
IF($D51="Pressio.",
IF($E51=3,(PI()*DV$12^2)/4*(DR51*$W51*1000)/($H51*$B$5),(PI()*DV$12^2)/4*(DR51*$W51*1000)/($G51*$B$5)),
IF($D51="Pénétro.",
IF($E51=4,(PI()*DV$12^2)/4*(DR51*$W51*1000)/($H51*$B$5),(PI()*DV$12^2)/4*(DR51*$W51*1000)/($G51*$B$5))))))/10</f>
        <v>#N/A</v>
      </c>
      <c r="DW51" s="102" t="e">
        <f>(VLOOKUP($B$3,'Coeff EC7'!$T$39:$X$59,2,0)*DU51+VLOOKUP($B$3,'Coeff EC7'!$T$65:$X$85,2,0)*Model0.1C!DV51)/1.1</f>
        <v>#N/A</v>
      </c>
      <c r="DX51" s="102" t="e">
        <f>(VLOOKUP($B$3,'Coeff EC7'!$T$39:$X$59,3,0)*DU51+VLOOKUP($B$3,'Coeff EC7'!$T$65:$X$85,3,0)*Model0.1C!DV51)/0.9</f>
        <v>#N/A</v>
      </c>
      <c r="DY51" s="102" t="e">
        <f t="shared" si="90"/>
        <v>#N/A</v>
      </c>
      <c r="DZ51" s="102" t="e">
        <f t="shared" si="91"/>
        <v>#N/A</v>
      </c>
      <c r="EA51" s="414" t="e">
        <f>IF(EA50=0,0,IF(AND(DW51&gt;charge_ELS_quasi,DX51&gt;Charge_ELS_freq,DY51&gt;charge_ELU,DZ51&gt;charge_ELA,$B51&gt;NDC!$H$22-0.1+MIN(3*$EA$12,1.5)),0,1))</f>
        <v>#N/A</v>
      </c>
      <c r="EB51" s="86" t="b">
        <f t="shared" si="53"/>
        <v>0</v>
      </c>
      <c r="EC51" s="418">
        <f t="shared" si="54"/>
        <v>0.51</v>
      </c>
      <c r="ED51" s="86">
        <f t="shared" si="55"/>
        <v>0.51</v>
      </c>
      <c r="EE51" s="30" t="e">
        <f t="shared" ca="1" si="92"/>
        <v>#DIV/0!</v>
      </c>
      <c r="EF51" s="85" t="e">
        <f ca="1">IF(DL51&lt;=Hypothèses!$V$7,Hypothèses!$W$7,IF(DL51&lt;=Hypothèses!$V$8,Hypothèses!$W$8,IF(DL51&lt;=Hypothèses!$V$9,Hypothèses!$W$9,IF(DL51&lt;=Hypothèses!$V$10,Hypothèses!$W$10,IF(DL51&lt;=Hypothèses!$V$11,Hypothèses!$W$11,IF(DL51&lt;=Hypothèses!$V$12,Hypothèses!$W$12,IF(DL51&lt;=Hypothèses!$V$13,Hypothèses!$W$13,IF(DL51&lt;=Hypothèses!$V$14,Hypothèses!$W$14,IF(DL51&lt;=Hypothèses!$V$15,Hypothèses!$W$15,IF(DL51&lt;=Hypothèses!$V$16,Hypothèses!$W$16,IF(DL51&lt;=Hypothèses!$V$17,Hypothèses!$W$17,IF(DL51&lt;=Hypothèses!$V$18,Hypothèses!$W$18,""))))))))))))</f>
        <v>#DIV/0!</v>
      </c>
      <c r="EG51" s="87" t="e">
        <f t="shared" ca="1" si="122"/>
        <v>#DIV/0!</v>
      </c>
      <c r="EH51" s="88" t="e">
        <f ca="1">IF(DL51&lt;=Hypothèses!$V$7,Hypothèses!$X$7,IF(DL51&lt;=Hypothèses!$V$8,Hypothèses!$X$8,IF(DL51&lt;=Hypothèses!$V$9,Hypothèses!$X$9,IF(DL51&lt;=Hypothèses!$V$10,Hypothèses!$X$10,IF(DL51&lt;=Hypothèses!$V$11,Hypothèses!$X$11,IF(DL51&lt;=Hypothèses!$V$12,Hypothèses!$X$12,IF(DL51&lt;=Hypothèses!$V$13,Hypothèses!$X$13,IF(DL51&lt;=Hypothèses!$V$14,Hypothèses!$X$14,IF(DL51&lt;=Hypothèses!$V$15,Hypothèses!$X$15,IF(DL51&lt;=Hypothèses!$V$16,Hypothèses!$X$16,IF(DL51&lt;=Hypothèses!$U$17,Hypothèses!$W$17,IF(DL51&lt;=Hypothèses!$U$18,Hypothèses!$W$18,""))))))))))))</f>
        <v>#DIV/0!</v>
      </c>
      <c r="EI51" s="95" t="e">
        <f t="shared" ca="1" si="93"/>
        <v>#DIV/0!</v>
      </c>
      <c r="EJ51" s="101" t="e">
        <f t="shared" si="129"/>
        <v>#N/A</v>
      </c>
      <c r="EK51" s="91" t="e">
        <f t="shared" si="57"/>
        <v>#N/A</v>
      </c>
      <c r="EL51" s="30" t="e">
        <f t="shared" si="112"/>
        <v>#N/A</v>
      </c>
      <c r="EM51" s="30" t="e">
        <f t="shared" si="113"/>
        <v>#N/A</v>
      </c>
      <c r="EN51" s="31" t="e">
        <f>IF(OR(Hypothèses!$B$4=17,Hypothèses!$B$4=18,Hypothèses!$B$4=19,Hypothèses!$B$4=20),
IF($D51="Pressio.",
IF(OR($E51=3,$E51=1,$E51=4),EM51,EL51),
IF($D51="Pénétro.",
IF(OR($E51=3,$E51=1,$E51=4),EM51,EL51))),IF($D51="Pressio.",
IF($E51=3,EM51,EL51),
IF($D51="Pénétro.",
IF($E51=4,EM51,EL51))))</f>
        <v>#N/A</v>
      </c>
      <c r="EO51" s="31" t="e">
        <f>(IF(OR(Hypothèses!$B$4=17,Hypothèses!$B$4=18,Hypothèses!$B$4=19,Hypothèses!$B$4=20),
IF($D51="Pressio.",
IF(OR($E51=3,$E51=1,$E51=4),(PI()*EO$12^2)/4*(EK51*$W51*1000)/($H51*$B$5),(PI()*EO$12^2)/4*(EK51*$W51*1000)/($G51*$B$5)),
IF($D51="Pénétro.",
IF(OR($E51=4,$E51=1,$E51=5),(PI()*EO$12^2)/4*(EK51*$W51*1000)/($H51*$B$5),(PI()*EO$12^2)/4*(EK51*$W51*1000)/($G51*$B$5)))),
IF($D51="Pressio.",
IF($E51=3,(PI()*EO$12^2)/4*(EK51*$W51*1000)/($H51*$B$5),(PI()*EO$12^2)/4*(EK51*$W51*1000)/($G51*$B$5)),
IF($D51="Pénétro.",
IF($E51=4,(PI()*EO$12^2)/4*(EK51*$W51*1000)/($H51*$B$5),(PI()*EO$12^2)/4*(EK51*$W51*1000)/($G51*$B$5))))))/10</f>
        <v>#N/A</v>
      </c>
      <c r="EP51" s="102" t="e">
        <f>(VLOOKUP($B$3,'Coeff EC7'!$T$39:$X$59,2,0)*EN51+VLOOKUP($B$3,'Coeff EC7'!$T$65:$X$85,2,0)*Model0.1C!EO51)/1.1</f>
        <v>#N/A</v>
      </c>
      <c r="EQ51" s="102" t="e">
        <f>(VLOOKUP($B$3,'Coeff EC7'!$T$39:$X$59,3,0)*EN51+VLOOKUP($B$3,'Coeff EC7'!$T$65:$X$85,3,0)*Model0.1C!EO51)/0.9</f>
        <v>#N/A</v>
      </c>
      <c r="ER51" s="102" t="e">
        <f t="shared" si="94"/>
        <v>#N/A</v>
      </c>
      <c r="ES51" s="102" t="e">
        <f t="shared" si="95"/>
        <v>#N/A</v>
      </c>
      <c r="ET51" s="414" t="e">
        <f>IF(ET50=0,0,IF(AND(EP51&gt;charge_ELS_quasi,EQ51&gt;Charge_ELS_freq,ER51&gt;charge_ELU,ES51&gt;charge_ELA,$B51&gt;NDC!$H$22-0.1+MIN(3*$ET$12,1.5)),0,1))</f>
        <v>#N/A</v>
      </c>
      <c r="EU51" s="86" t="b">
        <f t="shared" si="60"/>
        <v>0</v>
      </c>
      <c r="EV51" s="86">
        <f t="shared" si="61"/>
        <v>0.61</v>
      </c>
      <c r="EW51" s="86">
        <f t="shared" si="62"/>
        <v>0.61</v>
      </c>
      <c r="EX51" s="30" t="e">
        <f t="shared" ca="1" si="96"/>
        <v>#DIV/0!</v>
      </c>
      <c r="EY51" s="85" t="e">
        <f ca="1">IF(EE51&lt;=Hypothèses!$V$7,Hypothèses!$W$7,IF(EE51&lt;=Hypothèses!$V$8,Hypothèses!$W$8,IF(EE51&lt;=Hypothèses!$V$9,Hypothèses!$W$9,IF(EE51&lt;=Hypothèses!$V$10,Hypothèses!$W$10,IF(EE51&lt;=Hypothèses!$V$11,Hypothèses!$W$11,IF(EE51&lt;=Hypothèses!$V$12,Hypothèses!$W$12,IF(EE51&lt;=Hypothèses!$V$13,Hypothèses!$W$13,IF(EE51&lt;=Hypothèses!$V$14,Hypothèses!$W$14,IF(EE51&lt;=Hypothèses!$V$15,Hypothèses!$W$15,IF(EE51&lt;=Hypothèses!$V$16,Hypothèses!$W$16,IF(EE51&lt;=Hypothèses!$V$17,Hypothèses!$W$17,IF(EE51&lt;=Hypothèses!$V$18,Hypothèses!$W$18,""))))))))))))</f>
        <v>#DIV/0!</v>
      </c>
      <c r="EZ51" s="87" t="e">
        <f t="shared" ca="1" si="123"/>
        <v>#DIV/0!</v>
      </c>
      <c r="FA51" s="88" t="e">
        <f ca="1">IF(EE51&lt;=Hypothèses!$V$7,Hypothèses!$X$7,IF(EE51&lt;=Hypothèses!$V$8,Hypothèses!$X$8,IF(EE51&lt;=Hypothèses!$V$9,Hypothèses!$X$9,IF(EE51&lt;=Hypothèses!$V$10,Hypothèses!$X$10,IF(EE51&lt;=Hypothèses!$V$11,Hypothèses!$X$11,IF(EE51&lt;=Hypothèses!$V$12,Hypothèses!$X$12,IF(EE51&lt;=Hypothèses!$V$13,Hypothèses!$X$13,IF(EE51&lt;=Hypothèses!$V$14,Hypothèses!$X$14,IF(EE51&lt;=Hypothèses!$V$15,Hypothèses!$X$15,IF(EE51&lt;=Hypothèses!$V$16,Hypothèses!$X$16,IF(EE51&lt;=Hypothèses!$U$17,Hypothèses!$W$17,IF(EE51&lt;=Hypothèses!$U$18,Hypothèses!$W$18,""))))))))))))</f>
        <v>#DIV/0!</v>
      </c>
      <c r="FB51" s="95" t="e">
        <f t="shared" ca="1" si="97"/>
        <v>#DIV/0!</v>
      </c>
      <c r="FC51" s="101" t="e">
        <f t="shared" si="130"/>
        <v>#N/A</v>
      </c>
      <c r="FD51" s="91" t="e">
        <f t="shared" si="64"/>
        <v>#N/A</v>
      </c>
      <c r="FE51" s="30" t="e">
        <f t="shared" si="114"/>
        <v>#N/A</v>
      </c>
      <c r="FF51" s="30" t="e">
        <f t="shared" si="115"/>
        <v>#N/A</v>
      </c>
      <c r="FG51" s="31" t="e">
        <f>IF(OR(Hypothèses!$B$4=17,Hypothèses!$B$4=18,Hypothèses!$B$4=19,Hypothèses!$B$4=20),
IF($D51="Pressio.",
IF(OR($E51=3,$E51=1,$E51=4),FF51,FE51),
IF($D51="Pénétro.",
IF(OR($E51=3,$E51=1,$E51=4),FF51,FE51))),IF($D51="Pressio.",
IF($E51=3,FF51,FE51),
IF($D51="Pénétro.",
IF($E51=4,FF51,FE51))))</f>
        <v>#N/A</v>
      </c>
      <c r="FH51" s="31" t="e">
        <f>(IF(OR(Hypothèses!$B$4=17,Hypothèses!$B$4=18,Hypothèses!$B$4=19,Hypothèses!$B$4=20),
IF($D51="Pressio.",
IF(OR($E51=3,$E51=1,$E51=4),(PI()*FH$12^2)/4*(FD51*$W51*1000)/($H51*$B$5),(PI()*FH$12^2)/4*(FD51*$W51*1000)/($G51*$B$5)),
IF($D51="Pénétro.",
IF(OR($E51=4,$E51=1,$E51=5),(PI()*FH$12^2)/4*(FD51*$W51*1000)/($H51*$B$5),(PI()*FH$12^2)/4*(FD51*$W51*1000)/($G51*$B$5)))),
IF($D51="Pressio.",
IF($E51=3,(PI()*FH$12^2)/4*(FD51*$W51*1000)/($H51*$B$5),(PI()*FH$12^2)/4*(FD51*$W51*1000)/($G51*$B$5)),
IF($D51="Pénétro.",
IF($E51=4,(PI()*FH$12^2)/4*(FD51*$W51*1000)/($H51*$B$5),(PI()*FH$12^2)/4*(FD51*$W51*1000)/($G51*$B$5))))))/10</f>
        <v>#N/A</v>
      </c>
      <c r="FI51" s="102" t="e">
        <f>(VLOOKUP($B$3,'Coeff EC7'!$T$39:$X$59,2,0)*FG51+VLOOKUP($B$3,'Coeff EC7'!$T$65:$X$85,2,0)*Model0.1C!FH51)/1.1</f>
        <v>#N/A</v>
      </c>
      <c r="FJ51" s="102" t="e">
        <f>(VLOOKUP($B$3,'Coeff EC7'!$T$39:$X$59,3,0)*FG51+VLOOKUP($B$3,'Coeff EC7'!$T$65:$X$85,3,0)*Model0.1C!FH51)/0.9</f>
        <v>#N/A</v>
      </c>
      <c r="FK51" s="102" t="e">
        <f t="shared" si="98"/>
        <v>#N/A</v>
      </c>
      <c r="FL51" s="102" t="e">
        <f t="shared" si="99"/>
        <v>#N/A</v>
      </c>
      <c r="FM51" s="414" t="e">
        <f>IF(FM50=0,0,IF(AND(FI51&gt;charge_ELS_quasi,FJ51&gt;Charge_ELS_freq,FK51&gt;charge_ELU,FL51&gt;charge_ELA,$B51&gt;NDC!$H$22-0.1+MIN(3*$FM$12,1.5)),0,1))</f>
        <v>#N/A</v>
      </c>
    </row>
    <row r="52" spans="1:169">
      <c r="A52" s="96">
        <f t="shared" si="67"/>
        <v>96.100000000000222</v>
      </c>
      <c r="B52" s="97">
        <v>3.9</v>
      </c>
      <c r="C52" s="81">
        <f>IF(B52&lt;=Hypothèses!$C$7,Hypothèses!$A$7,IF(B52&lt;=Hypothèses!$C$8,Hypothèses!$A$8,IF(B52&lt;=Hypothèses!$C$9,Hypothèses!$A$9,IF(B52&lt;=Hypothèses!$C$10,Hypothèses!$A$10,IF(B52&lt;=Hypothèses!$C$11,Hypothèses!$A$11,IF(B52&lt;=Hypothèses!$C$12,Hypothèses!$A$12,IF(B52&lt;=Hypothèses!$C$13,Hypothèses!$A$13,IF(B52&lt;=Hypothèses!$C$14,Hypothèses!$A$14,IF(B52&lt;=Hypothèses!$C$15,Hypothèses!$A$15,IF(B52&lt;=Hypothèses!$C$16,Hypothèses!$A$16,IF(B52&lt;=Hypothèses!$C$17,Hypothèses!$A$17,IF(B52&lt;=Hypothèses!$C$18,Hypothèses!$A$18,C51))))))))))))</f>
        <v>11</v>
      </c>
      <c r="D52" s="82" t="str">
        <f>IF(B52&lt;=Hypothèses!$C$7,Hypothèses!$R$7,IF(B52&lt;=Hypothèses!$C$8,Hypothèses!$R$8,IF(B52&lt;=Hypothèses!$C$9,Hypothèses!$R$9,IF(B52&lt;=Hypothèses!$C$10,Hypothèses!$R$10,IF(B52&lt;=Hypothèses!$C$11,Hypothèses!$R$11,IF(B52&lt;=Hypothèses!$C$12,Hypothèses!$R$12,IF(B52&lt;=Hypothèses!$C$13,Hypothèses!$R$13,IF(B52&lt;=Hypothèses!$C$14,Hypothèses!$R$14,IF(B52&lt;=Hypothèses!$C$15,Hypothèses!$R$15,IF(B52&lt;=Hypothèses!$C$16,Hypothèses!$R$16,IF(B52&lt;=Hypothèses!$C$17,Hypothèses!$R$17,IF(B52&lt;=Hypothèses!$C$18,Hypothèses!$R$18,D51))))))))))))</f>
        <v>Pressio.</v>
      </c>
      <c r="E52" s="82" t="e">
        <f>IF(B52&lt;=Hypothèses!$C$7,Hypothèses!$G$7,IF(B52&lt;=Hypothèses!$C$8,Hypothèses!$G$8,IF(B52&lt;=Hypothèses!$C$9,Hypothèses!$G$9,IF(B52&lt;=Hypothèses!$C$10,Hypothèses!$G$10,IF(B52&lt;=Hypothèses!$C$11,Hypothèses!$G$11,IF(B52&lt;=Hypothèses!$C$12,Hypothèses!$G$12,IF(B52&lt;=Hypothèses!$C$13,Hypothèses!$G$13,IF(B52&lt;=Hypothèses!$C$14,Hypothèses!$G$14,IF(B52&lt;=Hypothèses!$C$15,Hypothèses!$G$15,IF(B52&lt;=Hypothèses!$C$16,Hypothèses!$G$16,IF(B52&lt;=Hypothèses!$C$17,Hypothèses!$G$17,IF(B52&lt;=Hypothèses!$C$18,Hypothèses!$G$18,E51))))))))))))</f>
        <v>#N/A</v>
      </c>
      <c r="F52" s="82" t="str">
        <f>IF(B52&lt;=Hypothèses!$C$7,Hypothèses!$F$7,IF(B52&lt;=Hypothèses!$C$8,Hypothèses!$F$8,IF(B52&lt;=Hypothèses!$C$9,Hypothèses!$F$9,IF(B52&lt;=Hypothèses!$C$10,Hypothèses!$F$10,IF(B52&lt;=Hypothèses!$C$11,Hypothèses!$F$11,IF(B52&lt;=Hypothèses!$C$12,Hypothèses!$F$12,IF(B52&lt;=Hypothèses!$C$13,Hypothèses!$F$13,IF(B52&lt;=Hypothèses!$C$14,Hypothèses!$F$14,IF(B52&lt;=Hypothèses!$C$15,Hypothèses!$F$15,IF(B52&lt;=Hypothèses!$C$16,Hypothèses!$F$16,IF(B52&lt;=Hypothèses!$C$17,Hypothèses!$F$17,IF(B52&lt;=Hypothèses!$C$18,Hypothèses!$F$18,F51))))))))))))</f>
        <v/>
      </c>
      <c r="G52" s="91">
        <f t="array" ref="G52">INDEX('Coeff EC7'!$U$7:$X$27,
MATCH(Model0.1C!$B$3,'Coeff EC7'!$T$7:$T$27,0),
MATCH(Model0.1C!$D52&amp;Model0.1C!$B$4,
'Coeff EC7'!$U$6:$X$6&amp;
'Coeff EC7'!$U$5:$X$5,0))</f>
        <v>1.1499999999999999</v>
      </c>
      <c r="H52" s="91">
        <f t="array" ref="H52">INDEX('Coeff EC7'!$Y$7:$AB$27,
MATCH(Model0.1C!$B$3,'Coeff EC7'!$T$7:$T$27,0),
MATCH(Model0.1C!$D52&amp;Model0.1C!$B$4,
'Coeff EC7'!$Y$6:$AB$6&amp;
'Coeff EC7'!$Y$5:$AB$5,0))</f>
        <v>1.4</v>
      </c>
      <c r="I52" s="83" t="e">
        <f>IF(B52&lt;=Hypothèses!$C$7,Hypothèses!$P$7,IF(B52&lt;=Hypothèses!$C$8,Hypothèses!$P$8,IF(B52&lt;=Hypothèses!$C$9,Hypothèses!$P$9,IF(B52&lt;=Hypothèses!$C$10,Hypothèses!$P$10,IF(B52&lt;=Hypothèses!$C$11,Hypothèses!$P$11,IF(B52&lt;=Hypothèses!$C$12,Hypothèses!$P$12,IF(B52&lt;=Hypothèses!$C$13,Hypothèses!$P$13,IF(B52&lt;=Hypothèses!$C$14,Hypothèses!$P$14,IF(B52&lt;=Hypothèses!$C$15,Hypothèses!$P$15,IF(B52&lt;=Hypothèses!$C$16,Hypothèses!$P$16,IF(B52&lt;=Hypothèses!$C$17,Hypothèses!$P$17,IF(B52&lt;=Hypothèses!$C$18,Hypothèses!$P$18,I51))))))))))))</f>
        <v>#N/A</v>
      </c>
      <c r="J52" s="91" t="e">
        <f t="array" ref="J52">INDEX('Coeff EC7'!$D$33:$Q$33,1,MATCH(D52&amp;E52,'Coeff EC7'!$D$31:$Q$31&amp;'Coeff EC7'!$D$32:$Q$32,0))</f>
        <v>#N/A</v>
      </c>
      <c r="K52" s="91" t="e">
        <f t="array" ref="K52">INDEX('Coeff EC7'!$D$34:$Q$34,1,MATCH(D52&amp;E52,'Coeff EC7'!$D$31:$Q$31&amp;'Coeff EC7'!$D$32:$Q$32,0))</f>
        <v>#N/A</v>
      </c>
      <c r="L52" s="91" t="e">
        <f t="array" ref="L52">INDEX('Coeff EC7'!$D$35:$Q$35,1,MATCH(D52&amp;E52,'Coeff EC7'!$D$31:$Q$31&amp;'Coeff EC7'!$D$32:$Q$32,0))</f>
        <v>#N/A</v>
      </c>
      <c r="M52" s="98" t="e">
        <f t="shared" si="8"/>
        <v>#N/A</v>
      </c>
      <c r="N52" s="99" t="e">
        <f t="array" ref="N52">INDEX('Coeff EC7'!$D$7:$Q$27,MATCH($B$3,'Coeff EC7'!$C$7:$C$27,0),MATCH(D52&amp;E52,'Coeff EC7'!$D$5:$Q$5&amp;'Coeff EC7'!$D$6:$Q$6,0))</f>
        <v>#N/A</v>
      </c>
      <c r="O52" s="99" t="e">
        <f t="array" ref="O52">INDEX('Coeff EC7'!$D$41:$Q$61,MATCH($B$3,'Coeff EC7'!$C$41:$C$61,0),MATCH(D52&amp;E52,'Coeff EC7'!$D$39:$Q$39&amp;'Coeff EC7'!$D$40:$Q$40,0))</f>
        <v>#N/A</v>
      </c>
      <c r="P52" s="30" t="e">
        <f t="shared" si="68"/>
        <v>#N/A</v>
      </c>
      <c r="Q52" s="100" t="e">
        <f t="shared" si="10"/>
        <v>#N/A</v>
      </c>
      <c r="R52" s="86" t="b">
        <f t="shared" si="11"/>
        <v>0</v>
      </c>
      <c r="S52" s="86">
        <f t="shared" si="9"/>
        <v>0.5</v>
      </c>
      <c r="T52" s="86">
        <f t="shared" si="12"/>
        <v>0.5</v>
      </c>
      <c r="U52" s="30" t="e">
        <f t="shared" ca="1" si="69"/>
        <v>#DIV/0!</v>
      </c>
      <c r="V52" s="85" t="str">
        <f>IF(B52&lt;=Hypothèses!$V$7,Hypothèses!$W$7,IF(B52&lt;=Hypothèses!$V$8,Hypothèses!$W$8,IF(B52&lt;=Hypothèses!$V$9,Hypothèses!$W$9,IF(B52&lt;=Hypothèses!$V$10,Hypothèses!$W$10,IF(B52&lt;=Hypothèses!$V$11,Hypothèses!$W$11,IF(B52&lt;=Hypothèses!$V$12,Hypothèses!$W$12,IF(B52&lt;=Hypothèses!$V$13,Hypothèses!$W$13,IF(B52&lt;=Hypothèses!$V$14,Hypothèses!$W$14,IF(B52&lt;=Hypothèses!$V$15,Hypothèses!$W$15,IF(B52&lt;=Hypothèses!$V$16,Hypothèses!$W$16,IF(B52&lt;=Hypothèses!$V$17,Hypothèses!$W$17,IF(B52&lt;=Hypothèses!$V$18,Hypothèses!$W$18,""))))))))))))</f>
        <v/>
      </c>
      <c r="W52" s="87" t="e">
        <f t="shared" ca="1" si="116"/>
        <v>#DIV/0!</v>
      </c>
      <c r="X52" s="88" t="str">
        <f>IF(B52&lt;=Hypothèses!$V$7,Hypothèses!$X$7,IF(B52&lt;=Hypothèses!$V$8,Hypothèses!$X$8,IF(B52&lt;=Hypothèses!$V$9,Hypothèses!$X$9,IF(B52&lt;=Hypothèses!$V$10,Hypothèses!$X$10,IF(B52&lt;=Hypothèses!$V$11,Hypothèses!$X$11,IF(B52&lt;=Hypothèses!$V$12,Hypothèses!$X$12,IF(B52&lt;=Hypothèses!$V$13,Hypothèses!$X$13,IF(B52&lt;=Hypothèses!$V$14,Hypothèses!$X$14,IF(B52&lt;=Hypothèses!$V$15,Hypothèses!$X$15,IF(B52&lt;=Hypothèses!$V$16,Hypothèses!$X$16,IF(B52&lt;=Hypothèses!$U$17,Hypothèses!$W$17,IF(B52&lt;=Hypothèses!$U$18,Hypothèses!$W$18,""))))))))))))</f>
        <v/>
      </c>
      <c r="Y52" s="95" t="e">
        <f t="shared" ca="1" si="13"/>
        <v>#DIV/0!</v>
      </c>
      <c r="Z52" s="101" t="e">
        <f t="shared" si="14"/>
        <v>#N/A</v>
      </c>
      <c r="AA52" s="91" t="e">
        <f t="shared" si="15"/>
        <v>#N/A</v>
      </c>
      <c r="AB52" s="30" t="e">
        <f t="shared" si="100"/>
        <v>#N/A</v>
      </c>
      <c r="AC52" s="30" t="e">
        <f t="shared" si="101"/>
        <v>#N/A</v>
      </c>
      <c r="AD52" s="31" t="e">
        <f>IF(OR(Hypothèses!$B$4=17,Hypothèses!$B$4=18,Hypothèses!$B$4=19,Hypothèses!$B$4=20),
IF($D52="Pressio.",
IF(OR($E52=3,$E52=1,$E52=4),AC52,AB52),
IF($D52="Pénétro.",
IF(OR($E52=3,$E52=1,$E52=4),AC52,AB52))),IF($D52="Pressio.",
IF($E52=3,AC52,AB52),
IF($D52="Pénétro.",
IF($E52=4,AC52,AB52))))</f>
        <v>#N/A</v>
      </c>
      <c r="AE52" s="31" t="e">
        <f>(IF(OR(Hypothèses!$B$4=17,Hypothèses!$B$4=18,Hypothèses!$B$4=19,Hypothèses!$B$4=20),
IF($D52="Pressio.",
IF(OR($E52=3,$E52=1,$E52=4),(PI()*AE$12^2)/4*(AA52*$W52*1000)/($H52*$B$5),(PI()*AE$12^2)/4*(AA52*$W52*1000)/($G52*$B$5)),
IF($D52="Pénétro.",
IF(OR($E52=4,$E52=1,$E52=5),(PI()*AE$12^2)/4*(AA52*$W52*1000)/($H52*$B$5),(PI()*AE$12^2)/4*(AA52*$W52*1000)/($G52*$B$5)))),
IF($D52="Pressio.",
IF($E52=3,(PI()*AE$12^2)/4*(AA52*$W52*1000)/($H52*$B$5),(PI()*AE$12^2)/4*(AA52*$W52*1000)/($G52*$B$5)),
IF($D52="Pénétro.",
IF($E52=4,(PI()*AE$12^2)/4*(AA52*$W52*1000)/($H52*$B$5),(PI()*AE$12^2)/4*(AA52*$W52*1000)/($G52*$B$5))))))/10</f>
        <v>#N/A</v>
      </c>
      <c r="AF52" s="102" t="e">
        <f>(VLOOKUP($B$3,'Coeff EC7'!$T$39:$X$59,2,0)*AD52+VLOOKUP($B$3,'Coeff EC7'!$T$65:$X$85,2,0)*Model0.1C!AE52)/1.1</f>
        <v>#N/A</v>
      </c>
      <c r="AG52" s="102" t="e">
        <f>(VLOOKUP($B$3,'Coeff EC7'!$T$39:$X$59,3,0)*AD52+VLOOKUP($B$3,'Coeff EC7'!$T$65:$X$85,3,0)*Model0.1C!AE52)/0.9</f>
        <v>#N/A</v>
      </c>
      <c r="AH52" s="102" t="e">
        <f t="shared" si="18"/>
        <v>#N/A</v>
      </c>
      <c r="AI52" s="102" t="e">
        <f t="shared" si="19"/>
        <v>#N/A</v>
      </c>
      <c r="AJ52" s="414" t="e">
        <f>IF(AJ51=0,0,IF(AND(AF52&gt;charge_ELS_quasi,AG52&gt;Charge_ELS_freq,AH52&gt;charge_ELU,AI52&gt;charge_ELA,$B52&gt;NDC!$H$22-0.1+MIN(3*$AJ$12,1.5)),0,1))</f>
        <v>#N/A</v>
      </c>
      <c r="AK52" s="86" t="b">
        <f t="shared" si="20"/>
        <v>0</v>
      </c>
      <c r="AL52" s="86">
        <f t="shared" si="70"/>
        <v>0.5</v>
      </c>
      <c r="AM52" s="86">
        <f t="shared" si="21"/>
        <v>0.5</v>
      </c>
      <c r="AN52" s="30" t="e">
        <f t="shared" ca="1" si="71"/>
        <v>#DIV/0!</v>
      </c>
      <c r="AO52" s="85" t="e">
        <f ca="1">IF(U52&lt;=Hypothèses!$V$7,Hypothèses!$W$7,IF(U52&lt;=Hypothèses!$V$8,Hypothèses!$W$8,IF(U52&lt;=Hypothèses!$V$9,Hypothèses!$W$9,IF(U52&lt;=Hypothèses!$V$10,Hypothèses!$W$10,IF(U52&lt;=Hypothèses!$V$11,Hypothèses!$W$11,IF(U52&lt;=Hypothèses!$V$12,Hypothèses!$W$12,IF(U52&lt;=Hypothèses!$V$13,Hypothèses!$W$13,IF(U52&lt;=Hypothèses!$V$14,Hypothèses!$W$14,IF(U52&lt;=Hypothèses!$V$15,Hypothèses!$W$15,IF(U52&lt;=Hypothèses!$V$16,Hypothèses!$W$16,IF(U52&lt;=Hypothèses!$V$17,Hypothèses!$W$17,IF(U52&lt;=Hypothèses!$V$18,Hypothèses!$W$18,""))))))))))))</f>
        <v>#DIV/0!</v>
      </c>
      <c r="AP52" s="87" t="e">
        <f t="shared" ca="1" si="117"/>
        <v>#DIV/0!</v>
      </c>
      <c r="AQ52" s="88" t="e">
        <f ca="1">IF(U52&lt;=Hypothèses!$V$7,Hypothèses!$X$7,IF(U52&lt;=Hypothèses!$V$8,Hypothèses!$X$8,IF(U52&lt;=Hypothèses!$V$9,Hypothèses!$X$9,IF(U52&lt;=Hypothèses!$V$10,Hypothèses!$X$10,IF(U52&lt;=Hypothèses!$V$11,Hypothèses!$X$11,IF(U52&lt;=Hypothèses!$V$12,Hypothèses!$X$12,IF(U52&lt;=Hypothèses!$V$13,Hypothèses!$X$13,IF(U52&lt;=Hypothèses!$V$14,Hypothèses!$X$14,IF(U52&lt;=Hypothèses!$V$15,Hypothèses!$X$15,IF(U52&lt;=Hypothèses!$V$16,Hypothèses!$X$16,IF(U52&lt;=Hypothèses!$U$17,Hypothèses!$W$17,IF(U52&lt;=Hypothèses!$U$18,Hypothèses!$W$18,""))))))))))))</f>
        <v>#DIV/0!</v>
      </c>
      <c r="AR52" s="95" t="e">
        <f t="shared" ca="1" si="72"/>
        <v>#DIV/0!</v>
      </c>
      <c r="AS52" s="101" t="e">
        <f t="shared" si="124"/>
        <v>#N/A</v>
      </c>
      <c r="AT52" s="91" t="e">
        <f t="shared" si="23"/>
        <v>#N/A</v>
      </c>
      <c r="AU52" s="30" t="e">
        <f t="shared" si="102"/>
        <v>#N/A</v>
      </c>
      <c r="AV52" s="30" t="e">
        <f t="shared" si="103"/>
        <v>#N/A</v>
      </c>
      <c r="AW52" s="31" t="e">
        <f>IF(OR(Hypothèses!$B$4=17,Hypothèses!$B$4=18,Hypothèses!$B$4=19,Hypothèses!$B$4=20),
IF($D52="Pressio.",
IF(OR($E52=3,$E52=1,$E52=4),AV52,AU52),
IF($D52="Pénétro.",
IF(OR($E52=3,$E52=1,$E52=4),AV52,AU52))),IF($D52="Pressio.",
IF($E52=3,AV52,AU52),
IF($D52="Pénétro.",
IF($E52=4,AV52,AU52))))</f>
        <v>#N/A</v>
      </c>
      <c r="AX52" s="31" t="e">
        <f>(IF(OR(Hypothèses!$B$4=17,Hypothèses!$B$4=18,Hypothèses!$B$4=19,Hypothèses!$B$4=20),
IF($D52="Pressio.",
IF(OR($E52=3,$E52=1,$E52=4),(PI()*AX$12^2)/4*(AT52*$W52*1000)/($H52*$B$5),(PI()*AX$12^2)/4*(AT52*$W52*1000)/($G52*$B$5)),
IF($D52="Pénétro.",
IF(OR($E52=4,$E52=1,$E52=5),(PI()*AX$12^2)/4*(AT52*$W52*1000)/($H52*$B$5),(PI()*AX$12^2)/4*(AT52*$W52*1000)/($G52*$B$5)))),
IF($D52="Pressio.",
IF($E52=3,(PI()*AX$12^2)/4*(AT52*$W52*1000)/($H52*$B$5),(PI()*AX$12^2)/4*(AT52*$W52*1000)/($G52*$B$5)),
IF($D52="Pénétro.",
IF($E52=4,(PI()*AX$12^2)/4*(AT52*$W52*1000)/($H52*$B$5),(PI()*AX$12^2)/4*(AT52*$W52*1000)/($G52*$B$5))))))/10</f>
        <v>#N/A</v>
      </c>
      <c r="AY52" s="102" t="e">
        <f>(VLOOKUP($B$3,'Coeff EC7'!$T$39:$X$59,2,0)*AW52+VLOOKUP($B$3,'Coeff EC7'!$T$65:$X$85,2,0)*Model0.1C!AX52)/1.1</f>
        <v>#N/A</v>
      </c>
      <c r="AZ52" s="102" t="e">
        <f>(VLOOKUP($B$3,'Coeff EC7'!$T$39:$X$59,3,0)*AW52+VLOOKUP($B$3,'Coeff EC7'!$T$65:$X$85,3,0)*Model0.1C!AX52)/0.9</f>
        <v>#N/A</v>
      </c>
      <c r="BA52" s="102" t="e">
        <f t="shared" si="73"/>
        <v>#N/A</v>
      </c>
      <c r="BB52" s="102" t="e">
        <f t="shared" si="74"/>
        <v>#N/A</v>
      </c>
      <c r="BC52" s="414" t="e">
        <f>IF(BC51=0,0,IF(AND(AY52&gt;charge_ELS_quasi,AZ52&gt;Charge_ELS_freq,BA52&gt;charge_ELU,BB52&gt;charge_ELA,$B52&gt;NDC!$H$22-0.1+MIN(3*$BC$12,1.5)),0,1))</f>
        <v>#N/A</v>
      </c>
      <c r="BD52" s="86" t="b">
        <f t="shared" si="26"/>
        <v>0</v>
      </c>
      <c r="BE52" s="86">
        <f t="shared" si="75"/>
        <v>0.5</v>
      </c>
      <c r="BF52" s="86">
        <f t="shared" si="27"/>
        <v>0.5</v>
      </c>
      <c r="BG52" s="30" t="e">
        <f t="shared" ca="1" si="76"/>
        <v>#DIV/0!</v>
      </c>
      <c r="BH52" s="85" t="e">
        <f ca="1">IF(AN52&lt;=Hypothèses!$V$7,Hypothèses!$W$7,IF(AN52&lt;=Hypothèses!$V$8,Hypothèses!$W$8,IF(AN52&lt;=Hypothèses!$V$9,Hypothèses!$W$9,IF(AN52&lt;=Hypothèses!$V$10,Hypothèses!$W$10,IF(AN52&lt;=Hypothèses!$V$11,Hypothèses!$W$11,IF(AN52&lt;=Hypothèses!$V$12,Hypothèses!$W$12,IF(AN52&lt;=Hypothèses!$V$13,Hypothèses!$W$13,IF(AN52&lt;=Hypothèses!$V$14,Hypothèses!$W$14,IF(AN52&lt;=Hypothèses!$V$15,Hypothèses!$W$15,IF(AN52&lt;=Hypothèses!$V$16,Hypothèses!$W$16,IF(AN52&lt;=Hypothèses!$V$17,Hypothèses!$W$17,IF(AN52&lt;=Hypothèses!$V$18,Hypothèses!$W$18,""))))))))))))</f>
        <v>#DIV/0!</v>
      </c>
      <c r="BI52" s="87" t="e">
        <f t="shared" ca="1" si="118"/>
        <v>#DIV/0!</v>
      </c>
      <c r="BJ52" s="88" t="e">
        <f ca="1">IF(AN52&lt;=Hypothèses!$V$7,Hypothèses!$X$7,IF(AN52&lt;=Hypothèses!$V$8,Hypothèses!$X$8,IF(AN52&lt;=Hypothèses!$V$9,Hypothèses!$X$9,IF(AN52&lt;=Hypothèses!$V$10,Hypothèses!$X$10,IF(AN52&lt;=Hypothèses!$V$11,Hypothèses!$X$11,IF(AN52&lt;=Hypothèses!$V$12,Hypothèses!$X$12,IF(AN52&lt;=Hypothèses!$V$13,Hypothèses!$X$13,IF(AN52&lt;=Hypothèses!$V$14,Hypothèses!$X$14,IF(AN52&lt;=Hypothèses!$V$15,Hypothèses!$X$15,IF(AN52&lt;=Hypothèses!$V$16,Hypothèses!$X$16,IF(AN52&lt;=Hypothèses!$U$17,Hypothèses!$W$17,IF(AN52&lt;=Hypothèses!$U$18,Hypothèses!$W$18,""))))))))))))</f>
        <v>#DIV/0!</v>
      </c>
      <c r="BK52" s="95" t="e">
        <f t="shared" ca="1" si="77"/>
        <v>#DIV/0!</v>
      </c>
      <c r="BL52" s="101" t="e">
        <f t="shared" si="125"/>
        <v>#N/A</v>
      </c>
      <c r="BM52" s="91" t="e">
        <f t="shared" si="29"/>
        <v>#N/A</v>
      </c>
      <c r="BN52" s="30" t="e">
        <f t="shared" si="104"/>
        <v>#N/A</v>
      </c>
      <c r="BO52" s="30" t="e">
        <f t="shared" si="105"/>
        <v>#N/A</v>
      </c>
      <c r="BP52" s="31" t="e">
        <f>IF(OR(Hypothèses!$B$4=17,Hypothèses!$B$4=18,Hypothèses!$B$4=19,Hypothèses!$B$4=20),
IF($D52="Pressio.",
IF(OR($E52=3,$E52=1,$E52=4),BO52,BN52),
IF($D52="Pénétro.",
IF(OR($E52=3,$E52=1,$E52=4),BO52,BN52))),IF($D52="Pressio.",
IF($E52=3,BO52,BN52),
IF($D52="Pénétro.",
IF($E52=4,BO52,BN52))))</f>
        <v>#N/A</v>
      </c>
      <c r="BQ52" s="31" t="e">
        <f>(IF(OR(Hypothèses!$B$4=17,Hypothèses!$B$4=18,Hypothèses!$B$4=19,Hypothèses!$B$4=20),
IF($D52="Pressio.",
IF(OR($E52=3,$E52=1,$E52=4),(PI()*BQ$12^2)/4*(BM52*$W52*1000)/($H52*$B$5),(PI()*BQ$12^2)/4*(BM52*$W52*1000)/($G52*$B$5)),
IF($D52="Pénétro.",
IF(OR($E52=4,$E52=1,$E52=5),(PI()*BQ$12^2)/4*(BM52*$W52*1000)/($H52*$B$5),(PI()*BQ$12^2)/4*(BM52*$W52*1000)/($G52*$B$5)))),
IF($D52="Pressio.",
IF($E52=3,(PI()*BQ$12^2)/4*(BM52*$W52*1000)/($H52*$B$5),(PI()*BQ$12^2)/4*(BM52*$W52*1000)/($G52*$B$5)),
IF($D52="Pénétro.",
IF($E52=4,(PI()*BQ$12^2)/4*(BM52*$W52*1000)/($H52*$B$5),(PI()*BQ$12^2)/4*(BM52*$W52*1000)/($G52*$B$5))))))/10</f>
        <v>#N/A</v>
      </c>
      <c r="BR52" s="102" t="e">
        <f>(VLOOKUP($B$3,'Coeff EC7'!$T$39:$X$59,2,0)*BP52+VLOOKUP($B$3,'Coeff EC7'!$T$65:$X$85,2,0)*Model0.1C!BQ52)/1.1</f>
        <v>#N/A</v>
      </c>
      <c r="BS52" s="102" t="e">
        <f>(VLOOKUP($B$3,'Coeff EC7'!$T$39:$X$59,3,0)*BP52+VLOOKUP($B$3,'Coeff EC7'!$T$65:$X$85,3,0)*Model0.1C!BQ52)/0.9</f>
        <v>#N/A</v>
      </c>
      <c r="BT52" s="102" t="e">
        <f t="shared" si="78"/>
        <v>#N/A</v>
      </c>
      <c r="BU52" s="102" t="e">
        <f t="shared" si="79"/>
        <v>#N/A</v>
      </c>
      <c r="BV52" s="414" t="e">
        <f>IF(BV51=0,0,IF(AND(BR52&gt;charge_ELS_quasi,BS52&gt;Charge_ELS_freq,BT52&gt;charge_ELU,BU52&gt;charge_ELA,$B52&gt;NDC!$H$22-0.1+MIN(3*$BV$12,1.5)),0,1))</f>
        <v>#N/A</v>
      </c>
      <c r="BW52" s="86" t="b">
        <f t="shared" si="32"/>
        <v>0</v>
      </c>
      <c r="BX52" s="86">
        <f t="shared" si="33"/>
        <v>0.5</v>
      </c>
      <c r="BY52" s="86">
        <f t="shared" si="34"/>
        <v>0.5</v>
      </c>
      <c r="BZ52" s="30" t="e">
        <f t="shared" ca="1" si="80"/>
        <v>#DIV/0!</v>
      </c>
      <c r="CA52" s="85" t="e">
        <f ca="1">IF(BG52&lt;=Hypothèses!$V$7,Hypothèses!$W$7,IF(BG52&lt;=Hypothèses!$V$8,Hypothèses!$W$8,IF(BG52&lt;=Hypothèses!$V$9,Hypothèses!$W$9,IF(BG52&lt;=Hypothèses!$V$10,Hypothèses!$W$10,IF(BG52&lt;=Hypothèses!$V$11,Hypothèses!$W$11,IF(BG52&lt;=Hypothèses!$V$12,Hypothèses!$W$12,IF(BG52&lt;=Hypothèses!$V$13,Hypothèses!$W$13,IF(BG52&lt;=Hypothèses!$V$14,Hypothèses!$W$14,IF(BG52&lt;=Hypothèses!$V$15,Hypothèses!$W$15,IF(BG52&lt;=Hypothèses!$V$16,Hypothèses!$W$16,IF(BG52&lt;=Hypothèses!$V$17,Hypothèses!$W$17,IF(BG52&lt;=Hypothèses!$V$18,Hypothèses!$W$18,""))))))))))))</f>
        <v>#DIV/0!</v>
      </c>
      <c r="CB52" s="87" t="e">
        <f t="shared" ca="1" si="119"/>
        <v>#DIV/0!</v>
      </c>
      <c r="CC52" s="88" t="e">
        <f ca="1">IF(BG52&lt;=Hypothèses!$V$7,Hypothèses!$X$7,IF(BG52&lt;=Hypothèses!$V$8,Hypothèses!$X$8,IF(BG52&lt;=Hypothèses!$V$9,Hypothèses!$X$9,IF(BG52&lt;=Hypothèses!$V$10,Hypothèses!$X$10,IF(BG52&lt;=Hypothèses!$V$11,Hypothèses!$X$11,IF(BG52&lt;=Hypothèses!$V$12,Hypothèses!$X$12,IF(BG52&lt;=Hypothèses!$V$13,Hypothèses!$X$13,IF(BG52&lt;=Hypothèses!$V$14,Hypothèses!$X$14,IF(BG52&lt;=Hypothèses!$V$15,Hypothèses!$X$15,IF(BG52&lt;=Hypothèses!$V$16,Hypothèses!$X$16,IF(BG52&lt;=Hypothèses!$U$17,Hypothèses!$W$17,IF(BG52&lt;=Hypothèses!$U$18,Hypothèses!$W$18,""))))))))))))</f>
        <v>#DIV/0!</v>
      </c>
      <c r="CD52" s="95" t="e">
        <f t="shared" ca="1" si="81"/>
        <v>#DIV/0!</v>
      </c>
      <c r="CE52" s="101" t="e">
        <f t="shared" si="126"/>
        <v>#N/A</v>
      </c>
      <c r="CF52" s="91" t="e">
        <f t="shared" si="36"/>
        <v>#N/A</v>
      </c>
      <c r="CG52" s="30" t="e">
        <f t="shared" si="106"/>
        <v>#N/A</v>
      </c>
      <c r="CH52" s="30" t="e">
        <f t="shared" si="107"/>
        <v>#N/A</v>
      </c>
      <c r="CI52" s="31" t="e">
        <f>IF(OR(Hypothèses!$B$4=17,Hypothèses!$B$4=18,Hypothèses!$B$4=19,Hypothèses!$B$4=20),
IF($D52="Pressio.",
IF(OR($E52=3,$E52=1,$E52=4),CH52,CG52),
IF($D52="Pénétro.",
IF(OR($E52=3,$E52=1,$E52=4),CH52,CG52))),IF($D52="Pressio.",
IF($E52=3,CH52,CG52),
IF($D52="Pénétro.",
IF($E52=4,CH52,CG52))))</f>
        <v>#N/A</v>
      </c>
      <c r="CJ52" s="31" t="e">
        <f>(IF(OR(Hypothèses!$B$4=17,Hypothèses!$B$4=18,Hypothèses!$B$4=19,Hypothèses!$B$4=20),
IF($D52="Pressio.",
IF(OR($E52=3,$E52=1,$E52=4),(PI()*CJ$12^2)/4*(CF52*$W52*1000)/($H52*$B$5),(PI()*CJ$12^2)/4*(CF52*$W52*1000)/($G52*$B$5)),
IF($D52="Pénétro.",
IF(OR($E52=4,$E52=1,$E52=5),(PI()*CJ$12^2)/4*(CF52*$W52*1000)/($H52*$B$5),(PI()*CJ$12^2)/4*(CF52*$W52*1000)/($G52*$B$5)))),
IF($D52="Pressio.",
IF($E52=3,(PI()*CJ$12^2)/4*(CF52*$W52*1000)/($H52*$B$5),(PI()*CJ$12^2)/4*(CF52*$W52*1000)/($G52*$B$5)),
IF($D52="Pénétro.",
IF($E52=4,(PI()*CJ$12^2)/4*(CF52*$W52*1000)/($H52*$B$5),(PI()*CJ$12^2)/4*(CF52*$W52*1000)/($G52*$B$5))))))/10</f>
        <v>#N/A</v>
      </c>
      <c r="CK52" s="102" t="e">
        <f>(VLOOKUP($B$3,'Coeff EC7'!$T$39:$X$59,2,0)*CI52+VLOOKUP($B$3,'Coeff EC7'!$T$65:$X$85,2,0)*Model0.1C!CJ52)/1.1</f>
        <v>#N/A</v>
      </c>
      <c r="CL52" s="102" t="e">
        <f>(VLOOKUP($B$3,'Coeff EC7'!$T$39:$X$59,3,0)*CI52+VLOOKUP($B$3,'Coeff EC7'!$T$65:$X$85,3,0)*Model0.1C!CJ52)/0.9</f>
        <v>#N/A</v>
      </c>
      <c r="CM52" s="102" t="e">
        <f t="shared" si="82"/>
        <v>#N/A</v>
      </c>
      <c r="CN52" s="102" t="e">
        <f t="shared" si="83"/>
        <v>#N/A</v>
      </c>
      <c r="CO52" s="414" t="e">
        <f>IF(CO51=0,0,IF(AND(CK52&gt;charge_ELS_quasi,CL52&gt;Charge_ELS_freq,CM52&gt;charge_ELU,CN52&gt;charge_ELA,$B52&gt;NDC!$H$22-0.1+MIN(3*$CO$12,1.5)),0,1))</f>
        <v>#N/A</v>
      </c>
      <c r="CP52" s="86" t="b">
        <f t="shared" si="39"/>
        <v>0</v>
      </c>
      <c r="CQ52" s="86">
        <f t="shared" si="40"/>
        <v>0.5</v>
      </c>
      <c r="CR52" s="86">
        <f t="shared" si="41"/>
        <v>0.5</v>
      </c>
      <c r="CS52" s="30" t="e">
        <f t="shared" ca="1" si="84"/>
        <v>#DIV/0!</v>
      </c>
      <c r="CT52" s="85" t="e">
        <f ca="1">IF(BZ52&lt;=Hypothèses!$V$7,Hypothèses!$W$7,IF(BZ52&lt;=Hypothèses!$V$8,Hypothèses!$W$8,IF(BZ52&lt;=Hypothèses!$V$9,Hypothèses!$W$9,IF(BZ52&lt;=Hypothèses!$V$10,Hypothèses!$W$10,IF(BZ52&lt;=Hypothèses!$V$11,Hypothèses!$W$11,IF(BZ52&lt;=Hypothèses!$V$12,Hypothèses!$W$12,IF(BZ52&lt;=Hypothèses!$V$13,Hypothèses!$W$13,IF(BZ52&lt;=Hypothèses!$V$14,Hypothèses!$W$14,IF(BZ52&lt;=Hypothèses!$V$15,Hypothèses!$W$15,IF(BZ52&lt;=Hypothèses!$V$16,Hypothèses!$W$16,IF(BZ52&lt;=Hypothèses!$V$17,Hypothèses!$W$17,IF(BZ52&lt;=Hypothèses!$V$18,Hypothèses!$W$18,""))))))))))))</f>
        <v>#DIV/0!</v>
      </c>
      <c r="CU52" s="87" t="e">
        <f t="shared" ca="1" si="120"/>
        <v>#DIV/0!</v>
      </c>
      <c r="CV52" s="88" t="e">
        <f ca="1">IF(BZ52&lt;=Hypothèses!$V$7,Hypothèses!$X$7,IF(BZ52&lt;=Hypothèses!$V$8,Hypothèses!$X$8,IF(BZ52&lt;=Hypothèses!$V$9,Hypothèses!$X$9,IF(BZ52&lt;=Hypothèses!$V$10,Hypothèses!$X$10,IF(BZ52&lt;=Hypothèses!$V$11,Hypothèses!$X$11,IF(BZ52&lt;=Hypothèses!$V$12,Hypothèses!$X$12,IF(BZ52&lt;=Hypothèses!$V$13,Hypothèses!$X$13,IF(BZ52&lt;=Hypothèses!$V$14,Hypothèses!$X$14,IF(BZ52&lt;=Hypothèses!$V$15,Hypothèses!$X$15,IF(BZ52&lt;=Hypothèses!$V$16,Hypothèses!$X$16,IF(BZ52&lt;=Hypothèses!$U$17,Hypothèses!$W$17,IF(BZ52&lt;=Hypothèses!$U$18,Hypothèses!$W$18,""))))))))))))</f>
        <v>#DIV/0!</v>
      </c>
      <c r="CW52" s="95" t="e">
        <f t="shared" ca="1" si="85"/>
        <v>#DIV/0!</v>
      </c>
      <c r="CX52" s="101" t="e">
        <f t="shared" si="127"/>
        <v>#N/A</v>
      </c>
      <c r="CY52" s="91" t="e">
        <f t="shared" si="43"/>
        <v>#N/A</v>
      </c>
      <c r="CZ52" s="30" t="e">
        <f t="shared" si="108"/>
        <v>#N/A</v>
      </c>
      <c r="DA52" s="30" t="e">
        <f t="shared" si="109"/>
        <v>#N/A</v>
      </c>
      <c r="DB52" s="31" t="e">
        <f>IF(OR(Hypothèses!$B$4=17,Hypothèses!$B$4=18,Hypothèses!$B$4=19,Hypothèses!$B$4=20),
IF($D52="Pressio.",
IF(OR($E52=3,$E52=1,$E52=4),DA52,CZ52),
IF($D52="Pénétro.",
IF(OR($E52=3,$E52=1,$E52=4),DA52,CZ52))),IF($D52="Pressio.",
IF($E52=3,DA52,CZ52),
IF($D52="Pénétro.",
IF($E52=4,DA52,CZ52))))</f>
        <v>#N/A</v>
      </c>
      <c r="DC52" s="31" t="e">
        <f>(IF(OR(Hypothèses!$B$4=17,Hypothèses!$B$4=18,Hypothèses!$B$4=19,Hypothèses!$B$4=20),
IF($D52="Pressio.",
IF(OR($E52=3,$E52=1,$E52=4),(PI()*DC$12^2)/4*(CY52*$W52*1000)/($H52*$B$5),(PI()*DC$12^2)/4*(CY52*$W52*1000)/($G52*$B$5)),
IF($D52="Pénétro.",
IF(OR($E52=4,$E52=1,$E52=5),(PI()*DC$12^2)/4*(CY52*$W52*1000)/($H52*$B$5),(PI()*DC$12^2)/4*(CY52*$W52*1000)/($G52*$B$5)))),
IF($D52="Pressio.",
IF($E52=3,(PI()*DC$12^2)/4*(CY52*$W52*1000)/($H52*$B$5),(PI()*DC$12^2)/4*(CY52*$W52*1000)/($G52*$B$5)),
IF($D52="Pénétro.",
IF($E52=4,(PI()*DC$12^2)/4*(CY52*$W52*1000)/($H52*$B$5),(PI()*DC$12^2)/4*(CY52*$W52*1000)/($G52*$B$5))))))/10</f>
        <v>#N/A</v>
      </c>
      <c r="DD52" s="102" t="e">
        <f>(VLOOKUP($B$3,'Coeff EC7'!$T$39:$X$59,2,0)*DB52+VLOOKUP($B$3,'Coeff EC7'!$T$65:$X$85,2,0)*Model0.1C!DC52)/1.1</f>
        <v>#N/A</v>
      </c>
      <c r="DE52" s="102" t="e">
        <f>(VLOOKUP($B$3,'Coeff EC7'!$T$39:$X$59,3,0)*DB52+VLOOKUP($B$3,'Coeff EC7'!$T$65:$X$85,3,0)*Model0.1C!DC52)/0.9</f>
        <v>#N/A</v>
      </c>
      <c r="DF52" s="102" t="e">
        <f t="shared" si="86"/>
        <v>#N/A</v>
      </c>
      <c r="DG52" s="102" t="e">
        <f t="shared" si="87"/>
        <v>#N/A</v>
      </c>
      <c r="DH52" s="414" t="e">
        <f>IF(DH51=0,0,IF(AND(DD52&gt;charge_ELS_quasi,DE52&gt;Charge_ELS_freq,DF52&gt;charge_ELU,DG52&gt;charge_ELA,$B52&gt;NDC!$H$22-0.1+MIN(3*$DH$12,1.5)),0,1))</f>
        <v>#N/A</v>
      </c>
      <c r="DI52" s="86" t="b">
        <f t="shared" si="46"/>
        <v>0</v>
      </c>
      <c r="DJ52" s="86">
        <f t="shared" si="47"/>
        <v>0.5</v>
      </c>
      <c r="DK52" s="86">
        <f t="shared" si="48"/>
        <v>0.5</v>
      </c>
      <c r="DL52" s="30" t="e">
        <f t="shared" ca="1" si="88"/>
        <v>#DIV/0!</v>
      </c>
      <c r="DM52" s="85" t="e">
        <f ca="1">IF(CS52&lt;=Hypothèses!$V$7,Hypothèses!$W$7,IF(CS52&lt;=Hypothèses!$V$8,Hypothèses!$W$8,IF(CS52&lt;=Hypothèses!$V$9,Hypothèses!$W$9,IF(CS52&lt;=Hypothèses!$V$10,Hypothèses!$W$10,IF(CS52&lt;=Hypothèses!$V$11,Hypothèses!$W$11,IF(CS52&lt;=Hypothèses!$V$12,Hypothèses!$W$12,IF(CS52&lt;=Hypothèses!$V$13,Hypothèses!$W$13,IF(CS52&lt;=Hypothèses!$V$14,Hypothèses!$W$14,IF(CS52&lt;=Hypothèses!$V$15,Hypothèses!$W$15,IF(CS52&lt;=Hypothèses!$V$16,Hypothèses!$W$16,IF(CS52&lt;=Hypothèses!$V$17,Hypothèses!$W$17,IF(CS52&lt;=Hypothèses!$V$18,Hypothèses!$W$18,""))))))))))))</f>
        <v>#DIV/0!</v>
      </c>
      <c r="DN52" s="87" t="e">
        <f t="shared" ca="1" si="121"/>
        <v>#DIV/0!</v>
      </c>
      <c r="DO52" s="88" t="e">
        <f ca="1">IF(CS52&lt;=Hypothèses!$V$7,Hypothèses!$X$7,IF(CS52&lt;=Hypothèses!$V$8,Hypothèses!$X$8,IF(CS52&lt;=Hypothèses!$V$9,Hypothèses!$X$9,IF(CS52&lt;=Hypothèses!$V$10,Hypothèses!$X$10,IF(CS52&lt;=Hypothèses!$V$11,Hypothèses!$X$11,IF(CS52&lt;=Hypothèses!$V$12,Hypothèses!$X$12,IF(CS52&lt;=Hypothèses!$V$13,Hypothèses!$X$13,IF(CS52&lt;=Hypothèses!$V$14,Hypothèses!$X$14,IF(CS52&lt;=Hypothèses!$V$15,Hypothèses!$X$15,IF(CS52&lt;=Hypothèses!$V$16,Hypothèses!$X$16,IF(CS52&lt;=Hypothèses!$U$17,Hypothèses!$W$17,IF(CS52&lt;=Hypothèses!$U$18,Hypothèses!$W$18,""))))))))))))</f>
        <v>#DIV/0!</v>
      </c>
      <c r="DP52" s="95" t="e">
        <f t="shared" ca="1" si="89"/>
        <v>#DIV/0!</v>
      </c>
      <c r="DQ52" s="101" t="e">
        <f t="shared" si="128"/>
        <v>#N/A</v>
      </c>
      <c r="DR52" s="91" t="e">
        <f t="shared" si="50"/>
        <v>#N/A</v>
      </c>
      <c r="DS52" s="30" t="e">
        <f t="shared" si="110"/>
        <v>#N/A</v>
      </c>
      <c r="DT52" s="30" t="e">
        <f t="shared" si="111"/>
        <v>#N/A</v>
      </c>
      <c r="DU52" s="31" t="e">
        <f>IF(OR(Hypothèses!$B$4=17,Hypothèses!$B$4=18,Hypothèses!$B$4=19,Hypothèses!$B$4=20),
IF($D52="Pressio.",
IF(OR($E52=3,$E52=1,$E52=4),DT52,DS52),
IF($D52="Pénétro.",
IF(OR($E52=3,$E52=1,$E52=4),DT52,DS52))),IF($D52="Pressio.",
IF($E52=3,DT52,DS52),
IF($D52="Pénétro.",
IF($E52=4,DT52,DS52))))</f>
        <v>#N/A</v>
      </c>
      <c r="DV52" s="31" t="e">
        <f>(IF(OR(Hypothèses!$B$4=17,Hypothèses!$B$4=18,Hypothèses!$B$4=19,Hypothèses!$B$4=20),
IF($D52="Pressio.",
IF(OR($E52=3,$E52=1,$E52=4),(PI()*DV$12^2)/4*(DR52*$W52*1000)/($H52*$B$5),(PI()*DV$12^2)/4*(DR52*$W52*1000)/($G52*$B$5)),
IF($D52="Pénétro.",
IF(OR($E52=4,$E52=1,$E52=5),(PI()*DV$12^2)/4*(DR52*$W52*1000)/($H52*$B$5),(PI()*DV$12^2)/4*(DR52*$W52*1000)/($G52*$B$5)))),
IF($D52="Pressio.",
IF($E52=3,(PI()*DV$12^2)/4*(DR52*$W52*1000)/($H52*$B$5),(PI()*DV$12^2)/4*(DR52*$W52*1000)/($G52*$B$5)),
IF($D52="Pénétro.",
IF($E52=4,(PI()*DV$12^2)/4*(DR52*$W52*1000)/($H52*$B$5),(PI()*DV$12^2)/4*(DR52*$W52*1000)/($G52*$B$5))))))/10</f>
        <v>#N/A</v>
      </c>
      <c r="DW52" s="102" t="e">
        <f>(VLOOKUP($B$3,'Coeff EC7'!$T$39:$X$59,2,0)*DU52+VLOOKUP($B$3,'Coeff EC7'!$T$65:$X$85,2,0)*Model0.1C!DV52)/1.1</f>
        <v>#N/A</v>
      </c>
      <c r="DX52" s="102" t="e">
        <f>(VLOOKUP($B$3,'Coeff EC7'!$T$39:$X$59,3,0)*DU52+VLOOKUP($B$3,'Coeff EC7'!$T$65:$X$85,3,0)*Model0.1C!DV52)/0.9</f>
        <v>#N/A</v>
      </c>
      <c r="DY52" s="102" t="e">
        <f t="shared" si="90"/>
        <v>#N/A</v>
      </c>
      <c r="DZ52" s="102" t="e">
        <f t="shared" si="91"/>
        <v>#N/A</v>
      </c>
      <c r="EA52" s="414" t="e">
        <f>IF(EA51=0,0,IF(AND(DW52&gt;charge_ELS_quasi,DX52&gt;Charge_ELS_freq,DY52&gt;charge_ELU,DZ52&gt;charge_ELA,$B52&gt;NDC!$H$22-0.1+MIN(3*$EA$12,1.5)),0,1))</f>
        <v>#N/A</v>
      </c>
      <c r="EB52" s="86" t="b">
        <f t="shared" si="53"/>
        <v>0</v>
      </c>
      <c r="EC52" s="418">
        <f t="shared" si="54"/>
        <v>0.51</v>
      </c>
      <c r="ED52" s="86">
        <f t="shared" si="55"/>
        <v>0.51</v>
      </c>
      <c r="EE52" s="30" t="e">
        <f t="shared" ca="1" si="92"/>
        <v>#DIV/0!</v>
      </c>
      <c r="EF52" s="85" t="e">
        <f ca="1">IF(DL52&lt;=Hypothèses!$V$7,Hypothèses!$W$7,IF(DL52&lt;=Hypothèses!$V$8,Hypothèses!$W$8,IF(DL52&lt;=Hypothèses!$V$9,Hypothèses!$W$9,IF(DL52&lt;=Hypothèses!$V$10,Hypothèses!$W$10,IF(DL52&lt;=Hypothèses!$V$11,Hypothèses!$W$11,IF(DL52&lt;=Hypothèses!$V$12,Hypothèses!$W$12,IF(DL52&lt;=Hypothèses!$V$13,Hypothèses!$W$13,IF(DL52&lt;=Hypothèses!$V$14,Hypothèses!$W$14,IF(DL52&lt;=Hypothèses!$V$15,Hypothèses!$W$15,IF(DL52&lt;=Hypothèses!$V$16,Hypothèses!$W$16,IF(DL52&lt;=Hypothèses!$V$17,Hypothèses!$W$17,IF(DL52&lt;=Hypothèses!$V$18,Hypothèses!$W$18,""))))))))))))</f>
        <v>#DIV/0!</v>
      </c>
      <c r="EG52" s="87" t="e">
        <f t="shared" ca="1" si="122"/>
        <v>#DIV/0!</v>
      </c>
      <c r="EH52" s="88" t="e">
        <f ca="1">IF(DL52&lt;=Hypothèses!$V$7,Hypothèses!$X$7,IF(DL52&lt;=Hypothèses!$V$8,Hypothèses!$X$8,IF(DL52&lt;=Hypothèses!$V$9,Hypothèses!$X$9,IF(DL52&lt;=Hypothèses!$V$10,Hypothèses!$X$10,IF(DL52&lt;=Hypothèses!$V$11,Hypothèses!$X$11,IF(DL52&lt;=Hypothèses!$V$12,Hypothèses!$X$12,IF(DL52&lt;=Hypothèses!$V$13,Hypothèses!$X$13,IF(DL52&lt;=Hypothèses!$V$14,Hypothèses!$X$14,IF(DL52&lt;=Hypothèses!$V$15,Hypothèses!$X$15,IF(DL52&lt;=Hypothèses!$V$16,Hypothèses!$X$16,IF(DL52&lt;=Hypothèses!$U$17,Hypothèses!$W$17,IF(DL52&lt;=Hypothèses!$U$18,Hypothèses!$W$18,""))))))))))))</f>
        <v>#DIV/0!</v>
      </c>
      <c r="EI52" s="95" t="e">
        <f t="shared" ca="1" si="93"/>
        <v>#DIV/0!</v>
      </c>
      <c r="EJ52" s="101" t="e">
        <f t="shared" si="129"/>
        <v>#N/A</v>
      </c>
      <c r="EK52" s="91" t="e">
        <f t="shared" si="57"/>
        <v>#N/A</v>
      </c>
      <c r="EL52" s="30" t="e">
        <f t="shared" si="112"/>
        <v>#N/A</v>
      </c>
      <c r="EM52" s="30" t="e">
        <f t="shared" si="113"/>
        <v>#N/A</v>
      </c>
      <c r="EN52" s="31" t="e">
        <f>IF(OR(Hypothèses!$B$4=17,Hypothèses!$B$4=18,Hypothèses!$B$4=19,Hypothèses!$B$4=20),
IF($D52="Pressio.",
IF(OR($E52=3,$E52=1,$E52=4),EM52,EL52),
IF($D52="Pénétro.",
IF(OR($E52=3,$E52=1,$E52=4),EM52,EL52))),IF($D52="Pressio.",
IF($E52=3,EM52,EL52),
IF($D52="Pénétro.",
IF($E52=4,EM52,EL52))))</f>
        <v>#N/A</v>
      </c>
      <c r="EO52" s="31" t="e">
        <f>(IF(OR(Hypothèses!$B$4=17,Hypothèses!$B$4=18,Hypothèses!$B$4=19,Hypothèses!$B$4=20),
IF($D52="Pressio.",
IF(OR($E52=3,$E52=1,$E52=4),(PI()*EO$12^2)/4*(EK52*$W52*1000)/($H52*$B$5),(PI()*EO$12^2)/4*(EK52*$W52*1000)/($G52*$B$5)),
IF($D52="Pénétro.",
IF(OR($E52=4,$E52=1,$E52=5),(PI()*EO$12^2)/4*(EK52*$W52*1000)/($H52*$B$5),(PI()*EO$12^2)/4*(EK52*$W52*1000)/($G52*$B$5)))),
IF($D52="Pressio.",
IF($E52=3,(PI()*EO$12^2)/4*(EK52*$W52*1000)/($H52*$B$5),(PI()*EO$12^2)/4*(EK52*$W52*1000)/($G52*$B$5)),
IF($D52="Pénétro.",
IF($E52=4,(PI()*EO$12^2)/4*(EK52*$W52*1000)/($H52*$B$5),(PI()*EO$12^2)/4*(EK52*$W52*1000)/($G52*$B$5))))))/10</f>
        <v>#N/A</v>
      </c>
      <c r="EP52" s="102" t="e">
        <f>(VLOOKUP($B$3,'Coeff EC7'!$T$39:$X$59,2,0)*EN52+VLOOKUP($B$3,'Coeff EC7'!$T$65:$X$85,2,0)*Model0.1C!EO52)/1.1</f>
        <v>#N/A</v>
      </c>
      <c r="EQ52" s="102" t="e">
        <f>(VLOOKUP($B$3,'Coeff EC7'!$T$39:$X$59,3,0)*EN52+VLOOKUP($B$3,'Coeff EC7'!$T$65:$X$85,3,0)*Model0.1C!EO52)/0.9</f>
        <v>#N/A</v>
      </c>
      <c r="ER52" s="102" t="e">
        <f t="shared" si="94"/>
        <v>#N/A</v>
      </c>
      <c r="ES52" s="102" t="e">
        <f t="shared" si="95"/>
        <v>#N/A</v>
      </c>
      <c r="ET52" s="414" t="e">
        <f>IF(ET51=0,0,IF(AND(EP52&gt;charge_ELS_quasi,EQ52&gt;Charge_ELS_freq,ER52&gt;charge_ELU,ES52&gt;charge_ELA,$B52&gt;NDC!$H$22-0.1+MIN(3*$ET$12,1.5)),0,1))</f>
        <v>#N/A</v>
      </c>
      <c r="EU52" s="86" t="b">
        <f t="shared" si="60"/>
        <v>0</v>
      </c>
      <c r="EV52" s="86">
        <f t="shared" si="61"/>
        <v>0.61</v>
      </c>
      <c r="EW52" s="86">
        <f t="shared" si="62"/>
        <v>0.61</v>
      </c>
      <c r="EX52" s="30" t="e">
        <f t="shared" ca="1" si="96"/>
        <v>#DIV/0!</v>
      </c>
      <c r="EY52" s="85" t="e">
        <f ca="1">IF(EE52&lt;=Hypothèses!$V$7,Hypothèses!$W$7,IF(EE52&lt;=Hypothèses!$V$8,Hypothèses!$W$8,IF(EE52&lt;=Hypothèses!$V$9,Hypothèses!$W$9,IF(EE52&lt;=Hypothèses!$V$10,Hypothèses!$W$10,IF(EE52&lt;=Hypothèses!$V$11,Hypothèses!$W$11,IF(EE52&lt;=Hypothèses!$V$12,Hypothèses!$W$12,IF(EE52&lt;=Hypothèses!$V$13,Hypothèses!$W$13,IF(EE52&lt;=Hypothèses!$V$14,Hypothèses!$W$14,IF(EE52&lt;=Hypothèses!$V$15,Hypothèses!$W$15,IF(EE52&lt;=Hypothèses!$V$16,Hypothèses!$W$16,IF(EE52&lt;=Hypothèses!$V$17,Hypothèses!$W$17,IF(EE52&lt;=Hypothèses!$V$18,Hypothèses!$W$18,""))))))))))))</f>
        <v>#DIV/0!</v>
      </c>
      <c r="EZ52" s="87" t="e">
        <f t="shared" ca="1" si="123"/>
        <v>#DIV/0!</v>
      </c>
      <c r="FA52" s="88" t="e">
        <f ca="1">IF(EE52&lt;=Hypothèses!$V$7,Hypothèses!$X$7,IF(EE52&lt;=Hypothèses!$V$8,Hypothèses!$X$8,IF(EE52&lt;=Hypothèses!$V$9,Hypothèses!$X$9,IF(EE52&lt;=Hypothèses!$V$10,Hypothèses!$X$10,IF(EE52&lt;=Hypothèses!$V$11,Hypothèses!$X$11,IF(EE52&lt;=Hypothèses!$V$12,Hypothèses!$X$12,IF(EE52&lt;=Hypothèses!$V$13,Hypothèses!$X$13,IF(EE52&lt;=Hypothèses!$V$14,Hypothèses!$X$14,IF(EE52&lt;=Hypothèses!$V$15,Hypothèses!$X$15,IF(EE52&lt;=Hypothèses!$V$16,Hypothèses!$X$16,IF(EE52&lt;=Hypothèses!$U$17,Hypothèses!$W$17,IF(EE52&lt;=Hypothèses!$U$18,Hypothèses!$W$18,""))))))))))))</f>
        <v>#DIV/0!</v>
      </c>
      <c r="FB52" s="95" t="e">
        <f t="shared" ca="1" si="97"/>
        <v>#DIV/0!</v>
      </c>
      <c r="FC52" s="101" t="e">
        <f t="shared" si="130"/>
        <v>#N/A</v>
      </c>
      <c r="FD52" s="91" t="e">
        <f t="shared" si="64"/>
        <v>#N/A</v>
      </c>
      <c r="FE52" s="30" t="e">
        <f t="shared" si="114"/>
        <v>#N/A</v>
      </c>
      <c r="FF52" s="30" t="e">
        <f t="shared" si="115"/>
        <v>#N/A</v>
      </c>
      <c r="FG52" s="31" t="e">
        <f>IF(OR(Hypothèses!$B$4=17,Hypothèses!$B$4=18,Hypothèses!$B$4=19,Hypothèses!$B$4=20),
IF($D52="Pressio.",
IF(OR($E52=3,$E52=1,$E52=4),FF52,FE52),
IF($D52="Pénétro.",
IF(OR($E52=3,$E52=1,$E52=4),FF52,FE52))),IF($D52="Pressio.",
IF($E52=3,FF52,FE52),
IF($D52="Pénétro.",
IF($E52=4,FF52,FE52))))</f>
        <v>#N/A</v>
      </c>
      <c r="FH52" s="31" t="e">
        <f>(IF(OR(Hypothèses!$B$4=17,Hypothèses!$B$4=18,Hypothèses!$B$4=19,Hypothèses!$B$4=20),
IF($D52="Pressio.",
IF(OR($E52=3,$E52=1,$E52=4),(PI()*FH$12^2)/4*(FD52*$W52*1000)/($H52*$B$5),(PI()*FH$12^2)/4*(FD52*$W52*1000)/($G52*$B$5)),
IF($D52="Pénétro.",
IF(OR($E52=4,$E52=1,$E52=5),(PI()*FH$12^2)/4*(FD52*$W52*1000)/($H52*$B$5),(PI()*FH$12^2)/4*(FD52*$W52*1000)/($G52*$B$5)))),
IF($D52="Pressio.",
IF($E52=3,(PI()*FH$12^2)/4*(FD52*$W52*1000)/($H52*$B$5),(PI()*FH$12^2)/4*(FD52*$W52*1000)/($G52*$B$5)),
IF($D52="Pénétro.",
IF($E52=4,(PI()*FH$12^2)/4*(FD52*$W52*1000)/($H52*$B$5),(PI()*FH$12^2)/4*(FD52*$W52*1000)/($G52*$B$5))))))/10</f>
        <v>#N/A</v>
      </c>
      <c r="FI52" s="102" t="e">
        <f>(VLOOKUP($B$3,'Coeff EC7'!$T$39:$X$59,2,0)*FG52+VLOOKUP($B$3,'Coeff EC7'!$T$65:$X$85,2,0)*Model0.1C!FH52)/1.1</f>
        <v>#N/A</v>
      </c>
      <c r="FJ52" s="102" t="e">
        <f>(VLOOKUP($B$3,'Coeff EC7'!$T$39:$X$59,3,0)*FG52+VLOOKUP($B$3,'Coeff EC7'!$T$65:$X$85,3,0)*Model0.1C!FH52)/0.9</f>
        <v>#N/A</v>
      </c>
      <c r="FK52" s="102" t="e">
        <f t="shared" si="98"/>
        <v>#N/A</v>
      </c>
      <c r="FL52" s="102" t="e">
        <f t="shared" si="99"/>
        <v>#N/A</v>
      </c>
      <c r="FM52" s="414" t="e">
        <f>IF(FM51=0,0,IF(AND(FI52&gt;charge_ELS_quasi,FJ52&gt;Charge_ELS_freq,FK52&gt;charge_ELU,FL52&gt;charge_ELA,$B52&gt;NDC!$H$22-0.1+MIN(3*$FM$12,1.5)),0,1))</f>
        <v>#N/A</v>
      </c>
    </row>
    <row r="53" spans="1:169">
      <c r="A53" s="96">
        <f t="shared" si="67"/>
        <v>96.000000000000227</v>
      </c>
      <c r="B53" s="97">
        <v>4</v>
      </c>
      <c r="C53" s="81">
        <f>IF(B53&lt;=Hypothèses!$C$7,Hypothèses!$A$7,IF(B53&lt;=Hypothèses!$C$8,Hypothèses!$A$8,IF(B53&lt;=Hypothèses!$C$9,Hypothèses!$A$9,IF(B53&lt;=Hypothèses!$C$10,Hypothèses!$A$10,IF(B53&lt;=Hypothèses!$C$11,Hypothèses!$A$11,IF(B53&lt;=Hypothèses!$C$12,Hypothèses!$A$12,IF(B53&lt;=Hypothèses!$C$13,Hypothèses!$A$13,IF(B53&lt;=Hypothèses!$C$14,Hypothèses!$A$14,IF(B53&lt;=Hypothèses!$C$15,Hypothèses!$A$15,IF(B53&lt;=Hypothèses!$C$16,Hypothèses!$A$16,IF(B53&lt;=Hypothèses!$C$17,Hypothèses!$A$17,IF(B53&lt;=Hypothèses!$C$18,Hypothèses!$A$18,C52))))))))))))</f>
        <v>11</v>
      </c>
      <c r="D53" s="82" t="str">
        <f>IF(B53&lt;=Hypothèses!$C$7,Hypothèses!$R$7,IF(B53&lt;=Hypothèses!$C$8,Hypothèses!$R$8,IF(B53&lt;=Hypothèses!$C$9,Hypothèses!$R$9,IF(B53&lt;=Hypothèses!$C$10,Hypothèses!$R$10,IF(B53&lt;=Hypothèses!$C$11,Hypothèses!$R$11,IF(B53&lt;=Hypothèses!$C$12,Hypothèses!$R$12,IF(B53&lt;=Hypothèses!$C$13,Hypothèses!$R$13,IF(B53&lt;=Hypothèses!$C$14,Hypothèses!$R$14,IF(B53&lt;=Hypothèses!$C$15,Hypothèses!$R$15,IF(B53&lt;=Hypothèses!$C$16,Hypothèses!$R$16,IF(B53&lt;=Hypothèses!$C$17,Hypothèses!$R$17,IF(B53&lt;=Hypothèses!$C$18,Hypothèses!$R$18,D52))))))))))))</f>
        <v>Pressio.</v>
      </c>
      <c r="E53" s="82" t="e">
        <f>IF(B53&lt;=Hypothèses!$C$7,Hypothèses!$G$7,IF(B53&lt;=Hypothèses!$C$8,Hypothèses!$G$8,IF(B53&lt;=Hypothèses!$C$9,Hypothèses!$G$9,IF(B53&lt;=Hypothèses!$C$10,Hypothèses!$G$10,IF(B53&lt;=Hypothèses!$C$11,Hypothèses!$G$11,IF(B53&lt;=Hypothèses!$C$12,Hypothèses!$G$12,IF(B53&lt;=Hypothèses!$C$13,Hypothèses!$G$13,IF(B53&lt;=Hypothèses!$C$14,Hypothèses!$G$14,IF(B53&lt;=Hypothèses!$C$15,Hypothèses!$G$15,IF(B53&lt;=Hypothèses!$C$16,Hypothèses!$G$16,IF(B53&lt;=Hypothèses!$C$17,Hypothèses!$G$17,IF(B53&lt;=Hypothèses!$C$18,Hypothèses!$G$18,E52))))))))))))</f>
        <v>#N/A</v>
      </c>
      <c r="F53" s="82" t="str">
        <f>IF(B53&lt;=Hypothèses!$C$7,Hypothèses!$F$7,IF(B53&lt;=Hypothèses!$C$8,Hypothèses!$F$8,IF(B53&lt;=Hypothèses!$C$9,Hypothèses!$F$9,IF(B53&lt;=Hypothèses!$C$10,Hypothèses!$F$10,IF(B53&lt;=Hypothèses!$C$11,Hypothèses!$F$11,IF(B53&lt;=Hypothèses!$C$12,Hypothèses!$F$12,IF(B53&lt;=Hypothèses!$C$13,Hypothèses!$F$13,IF(B53&lt;=Hypothèses!$C$14,Hypothèses!$F$14,IF(B53&lt;=Hypothèses!$C$15,Hypothèses!$F$15,IF(B53&lt;=Hypothèses!$C$16,Hypothèses!$F$16,IF(B53&lt;=Hypothèses!$C$17,Hypothèses!$F$17,IF(B53&lt;=Hypothèses!$C$18,Hypothèses!$F$18,F52))))))))))))</f>
        <v/>
      </c>
      <c r="G53" s="91">
        <f t="array" ref="G53">INDEX('Coeff EC7'!$U$7:$X$27,
MATCH(Model0.1C!$B$3,'Coeff EC7'!$T$7:$T$27,0),
MATCH(Model0.1C!$D53&amp;Model0.1C!$B$4,
'Coeff EC7'!$U$6:$X$6&amp;
'Coeff EC7'!$U$5:$X$5,0))</f>
        <v>1.1499999999999999</v>
      </c>
      <c r="H53" s="91">
        <f t="array" ref="H53">INDEX('Coeff EC7'!$Y$7:$AB$27,
MATCH(Model0.1C!$B$3,'Coeff EC7'!$T$7:$T$27,0),
MATCH(Model0.1C!$D53&amp;Model0.1C!$B$4,
'Coeff EC7'!$Y$6:$AB$6&amp;
'Coeff EC7'!$Y$5:$AB$5,0))</f>
        <v>1.4</v>
      </c>
      <c r="I53" s="83" t="e">
        <f>IF(B53&lt;=Hypothèses!$C$7,Hypothèses!$P$7,IF(B53&lt;=Hypothèses!$C$8,Hypothèses!$P$8,IF(B53&lt;=Hypothèses!$C$9,Hypothèses!$P$9,IF(B53&lt;=Hypothèses!$C$10,Hypothèses!$P$10,IF(B53&lt;=Hypothèses!$C$11,Hypothèses!$P$11,IF(B53&lt;=Hypothèses!$C$12,Hypothèses!$P$12,IF(B53&lt;=Hypothèses!$C$13,Hypothèses!$P$13,IF(B53&lt;=Hypothèses!$C$14,Hypothèses!$P$14,IF(B53&lt;=Hypothèses!$C$15,Hypothèses!$P$15,IF(B53&lt;=Hypothèses!$C$16,Hypothèses!$P$16,IF(B53&lt;=Hypothèses!$C$17,Hypothèses!$P$17,IF(B53&lt;=Hypothèses!$C$18,Hypothèses!$P$18,I52))))))))))))</f>
        <v>#N/A</v>
      </c>
      <c r="J53" s="91" t="e">
        <f t="array" ref="J53">INDEX('Coeff EC7'!$D$33:$Q$33,1,MATCH(D53&amp;E53,'Coeff EC7'!$D$31:$Q$31&amp;'Coeff EC7'!$D$32:$Q$32,0))</f>
        <v>#N/A</v>
      </c>
      <c r="K53" s="91" t="e">
        <f t="array" ref="K53">INDEX('Coeff EC7'!$D$34:$Q$34,1,MATCH(D53&amp;E53,'Coeff EC7'!$D$31:$Q$31&amp;'Coeff EC7'!$D$32:$Q$32,0))</f>
        <v>#N/A</v>
      </c>
      <c r="L53" s="91" t="e">
        <f t="array" ref="L53">INDEX('Coeff EC7'!$D$35:$Q$35,1,MATCH(D53&amp;E53,'Coeff EC7'!$D$31:$Q$31&amp;'Coeff EC7'!$D$32:$Q$32,0))</f>
        <v>#N/A</v>
      </c>
      <c r="M53" s="98" t="e">
        <f t="shared" si="8"/>
        <v>#N/A</v>
      </c>
      <c r="N53" s="99" t="e">
        <f t="array" ref="N53">INDEX('Coeff EC7'!$D$7:$Q$27,MATCH($B$3,'Coeff EC7'!$C$7:$C$27,0),MATCH(D53&amp;E53,'Coeff EC7'!$D$5:$Q$5&amp;'Coeff EC7'!$D$6:$Q$6,0))</f>
        <v>#N/A</v>
      </c>
      <c r="O53" s="99" t="e">
        <f t="array" ref="O53">INDEX('Coeff EC7'!$D$41:$Q$61,MATCH($B$3,'Coeff EC7'!$C$41:$C$61,0),MATCH(D53&amp;E53,'Coeff EC7'!$D$39:$Q$39&amp;'Coeff EC7'!$D$40:$Q$40,0))</f>
        <v>#N/A</v>
      </c>
      <c r="P53" s="30" t="e">
        <f t="shared" si="68"/>
        <v>#N/A</v>
      </c>
      <c r="Q53" s="100" t="e">
        <f t="shared" si="10"/>
        <v>#N/A</v>
      </c>
      <c r="R53" s="86" t="b">
        <f t="shared" si="11"/>
        <v>0</v>
      </c>
      <c r="S53" s="86">
        <f t="shared" si="9"/>
        <v>0.5</v>
      </c>
      <c r="T53" s="86">
        <f t="shared" si="12"/>
        <v>0.5</v>
      </c>
      <c r="U53" s="30" t="e">
        <f t="shared" ca="1" si="69"/>
        <v>#DIV/0!</v>
      </c>
      <c r="V53" s="85" t="str">
        <f>IF(B53&lt;=Hypothèses!$V$7,Hypothèses!$W$7,IF(B53&lt;=Hypothèses!$V$8,Hypothèses!$W$8,IF(B53&lt;=Hypothèses!$V$9,Hypothèses!$W$9,IF(B53&lt;=Hypothèses!$V$10,Hypothèses!$W$10,IF(B53&lt;=Hypothèses!$V$11,Hypothèses!$W$11,IF(B53&lt;=Hypothèses!$V$12,Hypothèses!$W$12,IF(B53&lt;=Hypothèses!$V$13,Hypothèses!$W$13,IF(B53&lt;=Hypothèses!$V$14,Hypothèses!$W$14,IF(B53&lt;=Hypothèses!$V$15,Hypothèses!$W$15,IF(B53&lt;=Hypothèses!$V$16,Hypothèses!$W$16,IF(B53&lt;=Hypothèses!$V$17,Hypothèses!$W$17,IF(B53&lt;=Hypothèses!$V$18,Hypothèses!$W$18,""))))))))))))</f>
        <v/>
      </c>
      <c r="W53" s="87" t="e">
        <f t="shared" ca="1" si="116"/>
        <v>#DIV/0!</v>
      </c>
      <c r="X53" s="88" t="str">
        <f>IF(B53&lt;=Hypothèses!$V$7,Hypothèses!$X$7,IF(B53&lt;=Hypothèses!$V$8,Hypothèses!$X$8,IF(B53&lt;=Hypothèses!$V$9,Hypothèses!$X$9,IF(B53&lt;=Hypothèses!$V$10,Hypothèses!$X$10,IF(B53&lt;=Hypothèses!$V$11,Hypothèses!$X$11,IF(B53&lt;=Hypothèses!$V$12,Hypothèses!$X$12,IF(B53&lt;=Hypothèses!$V$13,Hypothèses!$X$13,IF(B53&lt;=Hypothèses!$V$14,Hypothèses!$X$14,IF(B53&lt;=Hypothèses!$V$15,Hypothèses!$X$15,IF(B53&lt;=Hypothèses!$V$16,Hypothèses!$X$16,IF(B53&lt;=Hypothèses!$U$17,Hypothèses!$W$17,IF(B53&lt;=Hypothèses!$U$18,Hypothèses!$W$18,""))))))))))))</f>
        <v/>
      </c>
      <c r="Y53" s="95" t="e">
        <f t="shared" ca="1" si="13"/>
        <v>#DIV/0!</v>
      </c>
      <c r="Z53" s="101" t="e">
        <f t="shared" si="14"/>
        <v>#N/A</v>
      </c>
      <c r="AA53" s="91" t="e">
        <f t="shared" si="15"/>
        <v>#N/A</v>
      </c>
      <c r="AB53" s="30" t="e">
        <f t="shared" si="100"/>
        <v>#N/A</v>
      </c>
      <c r="AC53" s="30" t="e">
        <f t="shared" si="101"/>
        <v>#N/A</v>
      </c>
      <c r="AD53" s="31" t="e">
        <f>IF(OR(Hypothèses!$B$4=17,Hypothèses!$B$4=18,Hypothèses!$B$4=19,Hypothèses!$B$4=20),
IF($D53="Pressio.",
IF(OR($E53=3,$E53=1,$E53=4),AC53,AB53),
IF($D53="Pénétro.",
IF(OR($E53=3,$E53=1,$E53=4),AC53,AB53))),IF($D53="Pressio.",
IF($E53=3,AC53,AB53),
IF($D53="Pénétro.",
IF($E53=4,AC53,AB53))))</f>
        <v>#N/A</v>
      </c>
      <c r="AE53" s="31" t="e">
        <f>(IF(OR(Hypothèses!$B$4=17,Hypothèses!$B$4=18,Hypothèses!$B$4=19,Hypothèses!$B$4=20),
IF($D53="Pressio.",
IF(OR($E53=3,$E53=1,$E53=4),(PI()*AE$12^2)/4*(AA53*$W53*1000)/($H53*$B$5),(PI()*AE$12^2)/4*(AA53*$W53*1000)/($G53*$B$5)),
IF($D53="Pénétro.",
IF(OR($E53=4,$E53=1,$E53=5),(PI()*AE$12^2)/4*(AA53*$W53*1000)/($H53*$B$5),(PI()*AE$12^2)/4*(AA53*$W53*1000)/($G53*$B$5)))),
IF($D53="Pressio.",
IF($E53=3,(PI()*AE$12^2)/4*(AA53*$W53*1000)/($H53*$B$5),(PI()*AE$12^2)/4*(AA53*$W53*1000)/($G53*$B$5)),
IF($D53="Pénétro.",
IF($E53=4,(PI()*AE$12^2)/4*(AA53*$W53*1000)/($H53*$B$5),(PI()*AE$12^2)/4*(AA53*$W53*1000)/($G53*$B$5))))))/10</f>
        <v>#N/A</v>
      </c>
      <c r="AF53" s="102" t="e">
        <f>(VLOOKUP($B$3,'Coeff EC7'!$T$39:$X$59,2,0)*AD53+VLOOKUP($B$3,'Coeff EC7'!$T$65:$X$85,2,0)*Model0.1C!AE53)/1.1</f>
        <v>#N/A</v>
      </c>
      <c r="AG53" s="102" t="e">
        <f>(VLOOKUP($B$3,'Coeff EC7'!$T$39:$X$59,3,0)*AD53+VLOOKUP($B$3,'Coeff EC7'!$T$65:$X$85,3,0)*Model0.1C!AE53)/0.9</f>
        <v>#N/A</v>
      </c>
      <c r="AH53" s="102" t="e">
        <f t="shared" si="18"/>
        <v>#N/A</v>
      </c>
      <c r="AI53" s="102" t="e">
        <f t="shared" si="19"/>
        <v>#N/A</v>
      </c>
      <c r="AJ53" s="414" t="e">
        <f>IF(AJ52=0,0,IF(AND(AF53&gt;charge_ELS_quasi,AG53&gt;Charge_ELS_freq,AH53&gt;charge_ELU,AI53&gt;charge_ELA,$B53&gt;NDC!$H$22-0.1+MIN(3*$AJ$12,1.5)),0,1))</f>
        <v>#N/A</v>
      </c>
      <c r="AK53" s="86" t="b">
        <f t="shared" si="20"/>
        <v>0</v>
      </c>
      <c r="AL53" s="86">
        <f t="shared" si="70"/>
        <v>0.5</v>
      </c>
      <c r="AM53" s="86">
        <f t="shared" si="21"/>
        <v>0.5</v>
      </c>
      <c r="AN53" s="30" t="e">
        <f t="shared" ca="1" si="71"/>
        <v>#DIV/0!</v>
      </c>
      <c r="AO53" s="85" t="e">
        <f ca="1">IF(U53&lt;=Hypothèses!$V$7,Hypothèses!$W$7,IF(U53&lt;=Hypothèses!$V$8,Hypothèses!$W$8,IF(U53&lt;=Hypothèses!$V$9,Hypothèses!$W$9,IF(U53&lt;=Hypothèses!$V$10,Hypothèses!$W$10,IF(U53&lt;=Hypothèses!$V$11,Hypothèses!$W$11,IF(U53&lt;=Hypothèses!$V$12,Hypothèses!$W$12,IF(U53&lt;=Hypothèses!$V$13,Hypothèses!$W$13,IF(U53&lt;=Hypothèses!$V$14,Hypothèses!$W$14,IF(U53&lt;=Hypothèses!$V$15,Hypothèses!$W$15,IF(U53&lt;=Hypothèses!$V$16,Hypothèses!$W$16,IF(U53&lt;=Hypothèses!$V$17,Hypothèses!$W$17,IF(U53&lt;=Hypothèses!$V$18,Hypothèses!$W$18,""))))))))))))</f>
        <v>#DIV/0!</v>
      </c>
      <c r="AP53" s="87" t="e">
        <f t="shared" ca="1" si="117"/>
        <v>#DIV/0!</v>
      </c>
      <c r="AQ53" s="88" t="e">
        <f ca="1">IF(U53&lt;=Hypothèses!$V$7,Hypothèses!$X$7,IF(U53&lt;=Hypothèses!$V$8,Hypothèses!$X$8,IF(U53&lt;=Hypothèses!$V$9,Hypothèses!$X$9,IF(U53&lt;=Hypothèses!$V$10,Hypothèses!$X$10,IF(U53&lt;=Hypothèses!$V$11,Hypothèses!$X$11,IF(U53&lt;=Hypothèses!$V$12,Hypothèses!$X$12,IF(U53&lt;=Hypothèses!$V$13,Hypothèses!$X$13,IF(U53&lt;=Hypothèses!$V$14,Hypothèses!$X$14,IF(U53&lt;=Hypothèses!$V$15,Hypothèses!$X$15,IF(U53&lt;=Hypothèses!$V$16,Hypothèses!$X$16,IF(U53&lt;=Hypothèses!$U$17,Hypothèses!$W$17,IF(U53&lt;=Hypothèses!$U$18,Hypothèses!$W$18,""))))))))))))</f>
        <v>#DIV/0!</v>
      </c>
      <c r="AR53" s="95" t="e">
        <f t="shared" ca="1" si="72"/>
        <v>#DIV/0!</v>
      </c>
      <c r="AS53" s="101" t="e">
        <f t="shared" si="124"/>
        <v>#N/A</v>
      </c>
      <c r="AT53" s="91" t="e">
        <f t="shared" si="23"/>
        <v>#N/A</v>
      </c>
      <c r="AU53" s="30" t="e">
        <f t="shared" si="102"/>
        <v>#N/A</v>
      </c>
      <c r="AV53" s="30" t="e">
        <f t="shared" si="103"/>
        <v>#N/A</v>
      </c>
      <c r="AW53" s="31" t="e">
        <f>IF(OR(Hypothèses!$B$4=17,Hypothèses!$B$4=18,Hypothèses!$B$4=19,Hypothèses!$B$4=20),
IF($D53="Pressio.",
IF(OR($E53=3,$E53=1,$E53=4),AV53,AU53),
IF($D53="Pénétro.",
IF(OR($E53=3,$E53=1,$E53=4),AV53,AU53))),IF($D53="Pressio.",
IF($E53=3,AV53,AU53),
IF($D53="Pénétro.",
IF($E53=4,AV53,AU53))))</f>
        <v>#N/A</v>
      </c>
      <c r="AX53" s="31" t="e">
        <f>(IF(OR(Hypothèses!$B$4=17,Hypothèses!$B$4=18,Hypothèses!$B$4=19,Hypothèses!$B$4=20),
IF($D53="Pressio.",
IF(OR($E53=3,$E53=1,$E53=4),(PI()*AX$12^2)/4*(AT53*$W53*1000)/($H53*$B$5),(PI()*AX$12^2)/4*(AT53*$W53*1000)/($G53*$B$5)),
IF($D53="Pénétro.",
IF(OR($E53=4,$E53=1,$E53=5),(PI()*AX$12^2)/4*(AT53*$W53*1000)/($H53*$B$5),(PI()*AX$12^2)/4*(AT53*$W53*1000)/($G53*$B$5)))),
IF($D53="Pressio.",
IF($E53=3,(PI()*AX$12^2)/4*(AT53*$W53*1000)/($H53*$B$5),(PI()*AX$12^2)/4*(AT53*$W53*1000)/($G53*$B$5)),
IF($D53="Pénétro.",
IF($E53=4,(PI()*AX$12^2)/4*(AT53*$W53*1000)/($H53*$B$5),(PI()*AX$12^2)/4*(AT53*$W53*1000)/($G53*$B$5))))))/10</f>
        <v>#N/A</v>
      </c>
      <c r="AY53" s="102" t="e">
        <f>(VLOOKUP($B$3,'Coeff EC7'!$T$39:$X$59,2,0)*AW53+VLOOKUP($B$3,'Coeff EC7'!$T$65:$X$85,2,0)*Model0.1C!AX53)/1.1</f>
        <v>#N/A</v>
      </c>
      <c r="AZ53" s="102" t="e">
        <f>(VLOOKUP($B$3,'Coeff EC7'!$T$39:$X$59,3,0)*AW53+VLOOKUP($B$3,'Coeff EC7'!$T$65:$X$85,3,0)*Model0.1C!AX53)/0.9</f>
        <v>#N/A</v>
      </c>
      <c r="BA53" s="102" t="e">
        <f t="shared" si="73"/>
        <v>#N/A</v>
      </c>
      <c r="BB53" s="102" t="e">
        <f t="shared" si="74"/>
        <v>#N/A</v>
      </c>
      <c r="BC53" s="414" t="e">
        <f>IF(BC52=0,0,IF(AND(AY53&gt;charge_ELS_quasi,AZ53&gt;Charge_ELS_freq,BA53&gt;charge_ELU,BB53&gt;charge_ELA,$B53&gt;NDC!$H$22-0.1+MIN(3*$BC$12,1.5)),0,1))</f>
        <v>#N/A</v>
      </c>
      <c r="BD53" s="86" t="b">
        <f t="shared" si="26"/>
        <v>0</v>
      </c>
      <c r="BE53" s="86">
        <f t="shared" si="75"/>
        <v>0.5</v>
      </c>
      <c r="BF53" s="86">
        <f t="shared" si="27"/>
        <v>0.5</v>
      </c>
      <c r="BG53" s="30" t="e">
        <f t="shared" ca="1" si="76"/>
        <v>#DIV/0!</v>
      </c>
      <c r="BH53" s="85" t="e">
        <f ca="1">IF(AN53&lt;=Hypothèses!$V$7,Hypothèses!$W$7,IF(AN53&lt;=Hypothèses!$V$8,Hypothèses!$W$8,IF(AN53&lt;=Hypothèses!$V$9,Hypothèses!$W$9,IF(AN53&lt;=Hypothèses!$V$10,Hypothèses!$W$10,IF(AN53&lt;=Hypothèses!$V$11,Hypothèses!$W$11,IF(AN53&lt;=Hypothèses!$V$12,Hypothèses!$W$12,IF(AN53&lt;=Hypothèses!$V$13,Hypothèses!$W$13,IF(AN53&lt;=Hypothèses!$V$14,Hypothèses!$W$14,IF(AN53&lt;=Hypothèses!$V$15,Hypothèses!$W$15,IF(AN53&lt;=Hypothèses!$V$16,Hypothèses!$W$16,IF(AN53&lt;=Hypothèses!$V$17,Hypothèses!$W$17,IF(AN53&lt;=Hypothèses!$V$18,Hypothèses!$W$18,""))))))))))))</f>
        <v>#DIV/0!</v>
      </c>
      <c r="BI53" s="87" t="e">
        <f t="shared" ca="1" si="118"/>
        <v>#DIV/0!</v>
      </c>
      <c r="BJ53" s="88" t="e">
        <f ca="1">IF(AN53&lt;=Hypothèses!$V$7,Hypothèses!$X$7,IF(AN53&lt;=Hypothèses!$V$8,Hypothèses!$X$8,IF(AN53&lt;=Hypothèses!$V$9,Hypothèses!$X$9,IF(AN53&lt;=Hypothèses!$V$10,Hypothèses!$X$10,IF(AN53&lt;=Hypothèses!$V$11,Hypothèses!$X$11,IF(AN53&lt;=Hypothèses!$V$12,Hypothèses!$X$12,IF(AN53&lt;=Hypothèses!$V$13,Hypothèses!$X$13,IF(AN53&lt;=Hypothèses!$V$14,Hypothèses!$X$14,IF(AN53&lt;=Hypothèses!$V$15,Hypothèses!$X$15,IF(AN53&lt;=Hypothèses!$V$16,Hypothèses!$X$16,IF(AN53&lt;=Hypothèses!$U$17,Hypothèses!$W$17,IF(AN53&lt;=Hypothèses!$U$18,Hypothèses!$W$18,""))))))))))))</f>
        <v>#DIV/0!</v>
      </c>
      <c r="BK53" s="95" t="e">
        <f t="shared" ca="1" si="77"/>
        <v>#DIV/0!</v>
      </c>
      <c r="BL53" s="101" t="e">
        <f t="shared" si="125"/>
        <v>#N/A</v>
      </c>
      <c r="BM53" s="91" t="e">
        <f t="shared" si="29"/>
        <v>#N/A</v>
      </c>
      <c r="BN53" s="30" t="e">
        <f t="shared" si="104"/>
        <v>#N/A</v>
      </c>
      <c r="BO53" s="30" t="e">
        <f t="shared" si="105"/>
        <v>#N/A</v>
      </c>
      <c r="BP53" s="31" t="e">
        <f>IF(OR(Hypothèses!$B$4=17,Hypothèses!$B$4=18,Hypothèses!$B$4=19,Hypothèses!$B$4=20),
IF($D53="Pressio.",
IF(OR($E53=3,$E53=1,$E53=4),BO53,BN53),
IF($D53="Pénétro.",
IF(OR($E53=3,$E53=1,$E53=4),BO53,BN53))),IF($D53="Pressio.",
IF($E53=3,BO53,BN53),
IF($D53="Pénétro.",
IF($E53=4,BO53,BN53))))</f>
        <v>#N/A</v>
      </c>
      <c r="BQ53" s="31" t="e">
        <f>(IF(OR(Hypothèses!$B$4=17,Hypothèses!$B$4=18,Hypothèses!$B$4=19,Hypothèses!$B$4=20),
IF($D53="Pressio.",
IF(OR($E53=3,$E53=1,$E53=4),(PI()*BQ$12^2)/4*(BM53*$W53*1000)/($H53*$B$5),(PI()*BQ$12^2)/4*(BM53*$W53*1000)/($G53*$B$5)),
IF($D53="Pénétro.",
IF(OR($E53=4,$E53=1,$E53=5),(PI()*BQ$12^2)/4*(BM53*$W53*1000)/($H53*$B$5),(PI()*BQ$12^2)/4*(BM53*$W53*1000)/($G53*$B$5)))),
IF($D53="Pressio.",
IF($E53=3,(PI()*BQ$12^2)/4*(BM53*$W53*1000)/($H53*$B$5),(PI()*BQ$12^2)/4*(BM53*$W53*1000)/($G53*$B$5)),
IF($D53="Pénétro.",
IF($E53=4,(PI()*BQ$12^2)/4*(BM53*$W53*1000)/($H53*$B$5),(PI()*BQ$12^2)/4*(BM53*$W53*1000)/($G53*$B$5))))))/10</f>
        <v>#N/A</v>
      </c>
      <c r="BR53" s="102" t="e">
        <f>(VLOOKUP($B$3,'Coeff EC7'!$T$39:$X$59,2,0)*BP53+VLOOKUP($B$3,'Coeff EC7'!$T$65:$X$85,2,0)*Model0.1C!BQ53)/1.1</f>
        <v>#N/A</v>
      </c>
      <c r="BS53" s="102" t="e">
        <f>(VLOOKUP($B$3,'Coeff EC7'!$T$39:$X$59,3,0)*BP53+VLOOKUP($B$3,'Coeff EC7'!$T$65:$X$85,3,0)*Model0.1C!BQ53)/0.9</f>
        <v>#N/A</v>
      </c>
      <c r="BT53" s="102" t="e">
        <f t="shared" si="78"/>
        <v>#N/A</v>
      </c>
      <c r="BU53" s="102" t="e">
        <f t="shared" si="79"/>
        <v>#N/A</v>
      </c>
      <c r="BV53" s="414" t="e">
        <f>IF(BV52=0,0,IF(AND(BR53&gt;charge_ELS_quasi,BS53&gt;Charge_ELS_freq,BT53&gt;charge_ELU,BU53&gt;charge_ELA,$B53&gt;NDC!$H$22-0.1+MIN(3*$BV$12,1.5)),0,1))</f>
        <v>#N/A</v>
      </c>
      <c r="BW53" s="86" t="b">
        <f t="shared" si="32"/>
        <v>0</v>
      </c>
      <c r="BX53" s="86">
        <f t="shared" si="33"/>
        <v>0.5</v>
      </c>
      <c r="BY53" s="86">
        <f t="shared" si="34"/>
        <v>0.5</v>
      </c>
      <c r="BZ53" s="30" t="e">
        <f t="shared" ca="1" si="80"/>
        <v>#DIV/0!</v>
      </c>
      <c r="CA53" s="85" t="e">
        <f ca="1">IF(BG53&lt;=Hypothèses!$V$7,Hypothèses!$W$7,IF(BG53&lt;=Hypothèses!$V$8,Hypothèses!$W$8,IF(BG53&lt;=Hypothèses!$V$9,Hypothèses!$W$9,IF(BG53&lt;=Hypothèses!$V$10,Hypothèses!$W$10,IF(BG53&lt;=Hypothèses!$V$11,Hypothèses!$W$11,IF(BG53&lt;=Hypothèses!$V$12,Hypothèses!$W$12,IF(BG53&lt;=Hypothèses!$V$13,Hypothèses!$W$13,IF(BG53&lt;=Hypothèses!$V$14,Hypothèses!$W$14,IF(BG53&lt;=Hypothèses!$V$15,Hypothèses!$W$15,IF(BG53&lt;=Hypothèses!$V$16,Hypothèses!$W$16,IF(BG53&lt;=Hypothèses!$V$17,Hypothèses!$W$17,IF(BG53&lt;=Hypothèses!$V$18,Hypothèses!$W$18,""))))))))))))</f>
        <v>#DIV/0!</v>
      </c>
      <c r="CB53" s="87" t="e">
        <f t="shared" ca="1" si="119"/>
        <v>#DIV/0!</v>
      </c>
      <c r="CC53" s="88" t="e">
        <f ca="1">IF(BG53&lt;=Hypothèses!$V$7,Hypothèses!$X$7,IF(BG53&lt;=Hypothèses!$V$8,Hypothèses!$X$8,IF(BG53&lt;=Hypothèses!$V$9,Hypothèses!$X$9,IF(BG53&lt;=Hypothèses!$V$10,Hypothèses!$X$10,IF(BG53&lt;=Hypothèses!$V$11,Hypothèses!$X$11,IF(BG53&lt;=Hypothèses!$V$12,Hypothèses!$X$12,IF(BG53&lt;=Hypothèses!$V$13,Hypothèses!$X$13,IF(BG53&lt;=Hypothèses!$V$14,Hypothèses!$X$14,IF(BG53&lt;=Hypothèses!$V$15,Hypothèses!$X$15,IF(BG53&lt;=Hypothèses!$V$16,Hypothèses!$X$16,IF(BG53&lt;=Hypothèses!$U$17,Hypothèses!$W$17,IF(BG53&lt;=Hypothèses!$U$18,Hypothèses!$W$18,""))))))))))))</f>
        <v>#DIV/0!</v>
      </c>
      <c r="CD53" s="95" t="e">
        <f t="shared" ca="1" si="81"/>
        <v>#DIV/0!</v>
      </c>
      <c r="CE53" s="101" t="e">
        <f t="shared" si="126"/>
        <v>#N/A</v>
      </c>
      <c r="CF53" s="91" t="e">
        <f t="shared" si="36"/>
        <v>#N/A</v>
      </c>
      <c r="CG53" s="30" t="e">
        <f t="shared" si="106"/>
        <v>#N/A</v>
      </c>
      <c r="CH53" s="30" t="e">
        <f t="shared" si="107"/>
        <v>#N/A</v>
      </c>
      <c r="CI53" s="31" t="e">
        <f>IF(OR(Hypothèses!$B$4=17,Hypothèses!$B$4=18,Hypothèses!$B$4=19,Hypothèses!$B$4=20),
IF($D53="Pressio.",
IF(OR($E53=3,$E53=1,$E53=4),CH53,CG53),
IF($D53="Pénétro.",
IF(OR($E53=3,$E53=1,$E53=4),CH53,CG53))),IF($D53="Pressio.",
IF($E53=3,CH53,CG53),
IF($D53="Pénétro.",
IF($E53=4,CH53,CG53))))</f>
        <v>#N/A</v>
      </c>
      <c r="CJ53" s="31" t="e">
        <f>(IF(OR(Hypothèses!$B$4=17,Hypothèses!$B$4=18,Hypothèses!$B$4=19,Hypothèses!$B$4=20),
IF($D53="Pressio.",
IF(OR($E53=3,$E53=1,$E53=4),(PI()*CJ$12^2)/4*(CF53*$W53*1000)/($H53*$B$5),(PI()*CJ$12^2)/4*(CF53*$W53*1000)/($G53*$B$5)),
IF($D53="Pénétro.",
IF(OR($E53=4,$E53=1,$E53=5),(PI()*CJ$12^2)/4*(CF53*$W53*1000)/($H53*$B$5),(PI()*CJ$12^2)/4*(CF53*$W53*1000)/($G53*$B$5)))),
IF($D53="Pressio.",
IF($E53=3,(PI()*CJ$12^2)/4*(CF53*$W53*1000)/($H53*$B$5),(PI()*CJ$12^2)/4*(CF53*$W53*1000)/($G53*$B$5)),
IF($D53="Pénétro.",
IF($E53=4,(PI()*CJ$12^2)/4*(CF53*$W53*1000)/($H53*$B$5),(PI()*CJ$12^2)/4*(CF53*$W53*1000)/($G53*$B$5))))))/10</f>
        <v>#N/A</v>
      </c>
      <c r="CK53" s="102" t="e">
        <f>(VLOOKUP($B$3,'Coeff EC7'!$T$39:$X$59,2,0)*CI53+VLOOKUP($B$3,'Coeff EC7'!$T$65:$X$85,2,0)*Model0.1C!CJ53)/1.1</f>
        <v>#N/A</v>
      </c>
      <c r="CL53" s="102" t="e">
        <f>(VLOOKUP($B$3,'Coeff EC7'!$T$39:$X$59,3,0)*CI53+VLOOKUP($B$3,'Coeff EC7'!$T$65:$X$85,3,0)*Model0.1C!CJ53)/0.9</f>
        <v>#N/A</v>
      </c>
      <c r="CM53" s="102" t="e">
        <f t="shared" si="82"/>
        <v>#N/A</v>
      </c>
      <c r="CN53" s="102" t="e">
        <f t="shared" si="83"/>
        <v>#N/A</v>
      </c>
      <c r="CO53" s="414" t="e">
        <f>IF(CO52=0,0,IF(AND(CK53&gt;charge_ELS_quasi,CL53&gt;Charge_ELS_freq,CM53&gt;charge_ELU,CN53&gt;charge_ELA,$B53&gt;NDC!$H$22-0.1+MIN(3*$CO$12,1.5)),0,1))</f>
        <v>#N/A</v>
      </c>
      <c r="CP53" s="86" t="b">
        <f t="shared" si="39"/>
        <v>0</v>
      </c>
      <c r="CQ53" s="86">
        <f t="shared" si="40"/>
        <v>0.5</v>
      </c>
      <c r="CR53" s="86">
        <f t="shared" si="41"/>
        <v>0.5</v>
      </c>
      <c r="CS53" s="30" t="e">
        <f t="shared" ca="1" si="84"/>
        <v>#DIV/0!</v>
      </c>
      <c r="CT53" s="85" t="e">
        <f ca="1">IF(BZ53&lt;=Hypothèses!$V$7,Hypothèses!$W$7,IF(BZ53&lt;=Hypothèses!$V$8,Hypothèses!$W$8,IF(BZ53&lt;=Hypothèses!$V$9,Hypothèses!$W$9,IF(BZ53&lt;=Hypothèses!$V$10,Hypothèses!$W$10,IF(BZ53&lt;=Hypothèses!$V$11,Hypothèses!$W$11,IF(BZ53&lt;=Hypothèses!$V$12,Hypothèses!$W$12,IF(BZ53&lt;=Hypothèses!$V$13,Hypothèses!$W$13,IF(BZ53&lt;=Hypothèses!$V$14,Hypothèses!$W$14,IF(BZ53&lt;=Hypothèses!$V$15,Hypothèses!$W$15,IF(BZ53&lt;=Hypothèses!$V$16,Hypothèses!$W$16,IF(BZ53&lt;=Hypothèses!$V$17,Hypothèses!$W$17,IF(BZ53&lt;=Hypothèses!$V$18,Hypothèses!$W$18,""))))))))))))</f>
        <v>#DIV/0!</v>
      </c>
      <c r="CU53" s="87" t="e">
        <f t="shared" ca="1" si="120"/>
        <v>#DIV/0!</v>
      </c>
      <c r="CV53" s="88" t="e">
        <f ca="1">IF(BZ53&lt;=Hypothèses!$V$7,Hypothèses!$X$7,IF(BZ53&lt;=Hypothèses!$V$8,Hypothèses!$X$8,IF(BZ53&lt;=Hypothèses!$V$9,Hypothèses!$X$9,IF(BZ53&lt;=Hypothèses!$V$10,Hypothèses!$X$10,IF(BZ53&lt;=Hypothèses!$V$11,Hypothèses!$X$11,IF(BZ53&lt;=Hypothèses!$V$12,Hypothèses!$X$12,IF(BZ53&lt;=Hypothèses!$V$13,Hypothèses!$X$13,IF(BZ53&lt;=Hypothèses!$V$14,Hypothèses!$X$14,IF(BZ53&lt;=Hypothèses!$V$15,Hypothèses!$X$15,IF(BZ53&lt;=Hypothèses!$V$16,Hypothèses!$X$16,IF(BZ53&lt;=Hypothèses!$U$17,Hypothèses!$W$17,IF(BZ53&lt;=Hypothèses!$U$18,Hypothèses!$W$18,""))))))))))))</f>
        <v>#DIV/0!</v>
      </c>
      <c r="CW53" s="95" t="e">
        <f t="shared" ca="1" si="85"/>
        <v>#DIV/0!</v>
      </c>
      <c r="CX53" s="101" t="e">
        <f t="shared" si="127"/>
        <v>#N/A</v>
      </c>
      <c r="CY53" s="91" t="e">
        <f t="shared" si="43"/>
        <v>#N/A</v>
      </c>
      <c r="CZ53" s="30" t="e">
        <f t="shared" si="108"/>
        <v>#N/A</v>
      </c>
      <c r="DA53" s="30" t="e">
        <f t="shared" si="109"/>
        <v>#N/A</v>
      </c>
      <c r="DB53" s="31" t="e">
        <f>IF(OR(Hypothèses!$B$4=17,Hypothèses!$B$4=18,Hypothèses!$B$4=19,Hypothèses!$B$4=20),
IF($D53="Pressio.",
IF(OR($E53=3,$E53=1,$E53=4),DA53,CZ53),
IF($D53="Pénétro.",
IF(OR($E53=3,$E53=1,$E53=4),DA53,CZ53))),IF($D53="Pressio.",
IF($E53=3,DA53,CZ53),
IF($D53="Pénétro.",
IF($E53=4,DA53,CZ53))))</f>
        <v>#N/A</v>
      </c>
      <c r="DC53" s="31" t="e">
        <f>(IF(OR(Hypothèses!$B$4=17,Hypothèses!$B$4=18,Hypothèses!$B$4=19,Hypothèses!$B$4=20),
IF($D53="Pressio.",
IF(OR($E53=3,$E53=1,$E53=4),(PI()*DC$12^2)/4*(CY53*$W53*1000)/($H53*$B$5),(PI()*DC$12^2)/4*(CY53*$W53*1000)/($G53*$B$5)),
IF($D53="Pénétro.",
IF(OR($E53=4,$E53=1,$E53=5),(PI()*DC$12^2)/4*(CY53*$W53*1000)/($H53*$B$5),(PI()*DC$12^2)/4*(CY53*$W53*1000)/($G53*$B$5)))),
IF($D53="Pressio.",
IF($E53=3,(PI()*DC$12^2)/4*(CY53*$W53*1000)/($H53*$B$5),(PI()*DC$12^2)/4*(CY53*$W53*1000)/($G53*$B$5)),
IF($D53="Pénétro.",
IF($E53=4,(PI()*DC$12^2)/4*(CY53*$W53*1000)/($H53*$B$5),(PI()*DC$12^2)/4*(CY53*$W53*1000)/($G53*$B$5))))))/10</f>
        <v>#N/A</v>
      </c>
      <c r="DD53" s="102" t="e">
        <f>(VLOOKUP($B$3,'Coeff EC7'!$T$39:$X$59,2,0)*DB53+VLOOKUP($B$3,'Coeff EC7'!$T$65:$X$85,2,0)*Model0.1C!DC53)/1.1</f>
        <v>#N/A</v>
      </c>
      <c r="DE53" s="102" t="e">
        <f>(VLOOKUP($B$3,'Coeff EC7'!$T$39:$X$59,3,0)*DB53+VLOOKUP($B$3,'Coeff EC7'!$T$65:$X$85,3,0)*Model0.1C!DC53)/0.9</f>
        <v>#N/A</v>
      </c>
      <c r="DF53" s="102" t="e">
        <f t="shared" si="86"/>
        <v>#N/A</v>
      </c>
      <c r="DG53" s="102" t="e">
        <f t="shared" si="87"/>
        <v>#N/A</v>
      </c>
      <c r="DH53" s="414" t="e">
        <f>IF(DH52=0,0,IF(AND(DD53&gt;charge_ELS_quasi,DE53&gt;Charge_ELS_freq,DF53&gt;charge_ELU,DG53&gt;charge_ELA,$B53&gt;NDC!$H$22-0.1+MIN(3*$DH$12,1.5)),0,1))</f>
        <v>#N/A</v>
      </c>
      <c r="DI53" s="86" t="b">
        <f t="shared" si="46"/>
        <v>0</v>
      </c>
      <c r="DJ53" s="86">
        <f t="shared" si="47"/>
        <v>0.5</v>
      </c>
      <c r="DK53" s="86">
        <f t="shared" si="48"/>
        <v>0.5</v>
      </c>
      <c r="DL53" s="30" t="e">
        <f t="shared" ca="1" si="88"/>
        <v>#DIV/0!</v>
      </c>
      <c r="DM53" s="85" t="e">
        <f ca="1">IF(CS53&lt;=Hypothèses!$V$7,Hypothèses!$W$7,IF(CS53&lt;=Hypothèses!$V$8,Hypothèses!$W$8,IF(CS53&lt;=Hypothèses!$V$9,Hypothèses!$W$9,IF(CS53&lt;=Hypothèses!$V$10,Hypothèses!$W$10,IF(CS53&lt;=Hypothèses!$V$11,Hypothèses!$W$11,IF(CS53&lt;=Hypothèses!$V$12,Hypothèses!$W$12,IF(CS53&lt;=Hypothèses!$V$13,Hypothèses!$W$13,IF(CS53&lt;=Hypothèses!$V$14,Hypothèses!$W$14,IF(CS53&lt;=Hypothèses!$V$15,Hypothèses!$W$15,IF(CS53&lt;=Hypothèses!$V$16,Hypothèses!$W$16,IF(CS53&lt;=Hypothèses!$V$17,Hypothèses!$W$17,IF(CS53&lt;=Hypothèses!$V$18,Hypothèses!$W$18,""))))))))))))</f>
        <v>#DIV/0!</v>
      </c>
      <c r="DN53" s="87" t="e">
        <f t="shared" ca="1" si="121"/>
        <v>#DIV/0!</v>
      </c>
      <c r="DO53" s="88" t="e">
        <f ca="1">IF(CS53&lt;=Hypothèses!$V$7,Hypothèses!$X$7,IF(CS53&lt;=Hypothèses!$V$8,Hypothèses!$X$8,IF(CS53&lt;=Hypothèses!$V$9,Hypothèses!$X$9,IF(CS53&lt;=Hypothèses!$V$10,Hypothèses!$X$10,IF(CS53&lt;=Hypothèses!$V$11,Hypothèses!$X$11,IF(CS53&lt;=Hypothèses!$V$12,Hypothèses!$X$12,IF(CS53&lt;=Hypothèses!$V$13,Hypothèses!$X$13,IF(CS53&lt;=Hypothèses!$V$14,Hypothèses!$X$14,IF(CS53&lt;=Hypothèses!$V$15,Hypothèses!$X$15,IF(CS53&lt;=Hypothèses!$V$16,Hypothèses!$X$16,IF(CS53&lt;=Hypothèses!$U$17,Hypothèses!$W$17,IF(CS53&lt;=Hypothèses!$U$18,Hypothèses!$W$18,""))))))))))))</f>
        <v>#DIV/0!</v>
      </c>
      <c r="DP53" s="95" t="e">
        <f t="shared" ca="1" si="89"/>
        <v>#DIV/0!</v>
      </c>
      <c r="DQ53" s="101" t="e">
        <f t="shared" si="128"/>
        <v>#N/A</v>
      </c>
      <c r="DR53" s="91" t="e">
        <f t="shared" si="50"/>
        <v>#N/A</v>
      </c>
      <c r="DS53" s="30" t="e">
        <f t="shared" si="110"/>
        <v>#N/A</v>
      </c>
      <c r="DT53" s="30" t="e">
        <f t="shared" si="111"/>
        <v>#N/A</v>
      </c>
      <c r="DU53" s="31" t="e">
        <f>IF(OR(Hypothèses!$B$4=17,Hypothèses!$B$4=18,Hypothèses!$B$4=19,Hypothèses!$B$4=20),
IF($D53="Pressio.",
IF(OR($E53=3,$E53=1,$E53=4),DT53,DS53),
IF($D53="Pénétro.",
IF(OR($E53=3,$E53=1,$E53=4),DT53,DS53))),IF($D53="Pressio.",
IF($E53=3,DT53,DS53),
IF($D53="Pénétro.",
IF($E53=4,DT53,DS53))))</f>
        <v>#N/A</v>
      </c>
      <c r="DV53" s="31" t="e">
        <f>(IF(OR(Hypothèses!$B$4=17,Hypothèses!$B$4=18,Hypothèses!$B$4=19,Hypothèses!$B$4=20),
IF($D53="Pressio.",
IF(OR($E53=3,$E53=1,$E53=4),(PI()*DV$12^2)/4*(DR53*$W53*1000)/($H53*$B$5),(PI()*DV$12^2)/4*(DR53*$W53*1000)/($G53*$B$5)),
IF($D53="Pénétro.",
IF(OR($E53=4,$E53=1,$E53=5),(PI()*DV$12^2)/4*(DR53*$W53*1000)/($H53*$B$5),(PI()*DV$12^2)/4*(DR53*$W53*1000)/($G53*$B$5)))),
IF($D53="Pressio.",
IF($E53=3,(PI()*DV$12^2)/4*(DR53*$W53*1000)/($H53*$B$5),(PI()*DV$12^2)/4*(DR53*$W53*1000)/($G53*$B$5)),
IF($D53="Pénétro.",
IF($E53=4,(PI()*DV$12^2)/4*(DR53*$W53*1000)/($H53*$B$5),(PI()*DV$12^2)/4*(DR53*$W53*1000)/($G53*$B$5))))))/10</f>
        <v>#N/A</v>
      </c>
      <c r="DW53" s="102" t="e">
        <f>(VLOOKUP($B$3,'Coeff EC7'!$T$39:$X$59,2,0)*DU53+VLOOKUP($B$3,'Coeff EC7'!$T$65:$X$85,2,0)*Model0.1C!DV53)/1.1</f>
        <v>#N/A</v>
      </c>
      <c r="DX53" s="102" t="e">
        <f>(VLOOKUP($B$3,'Coeff EC7'!$T$39:$X$59,3,0)*DU53+VLOOKUP($B$3,'Coeff EC7'!$T$65:$X$85,3,0)*Model0.1C!DV53)/0.9</f>
        <v>#N/A</v>
      </c>
      <c r="DY53" s="102" t="e">
        <f t="shared" si="90"/>
        <v>#N/A</v>
      </c>
      <c r="DZ53" s="102" t="e">
        <f t="shared" si="91"/>
        <v>#N/A</v>
      </c>
      <c r="EA53" s="414" t="e">
        <f>IF(EA52=0,0,IF(AND(DW53&gt;charge_ELS_quasi,DX53&gt;Charge_ELS_freq,DY53&gt;charge_ELU,DZ53&gt;charge_ELA,$B53&gt;NDC!$H$22-0.1+MIN(3*$EA$12,1.5)),0,1))</f>
        <v>#N/A</v>
      </c>
      <c r="EB53" s="86" t="b">
        <f t="shared" si="53"/>
        <v>0</v>
      </c>
      <c r="EC53" s="418">
        <f t="shared" si="54"/>
        <v>0.51</v>
      </c>
      <c r="ED53" s="86">
        <f t="shared" si="55"/>
        <v>0.51</v>
      </c>
      <c r="EE53" s="30" t="e">
        <f t="shared" ca="1" si="92"/>
        <v>#DIV/0!</v>
      </c>
      <c r="EF53" s="85" t="e">
        <f ca="1">IF(DL53&lt;=Hypothèses!$V$7,Hypothèses!$W$7,IF(DL53&lt;=Hypothèses!$V$8,Hypothèses!$W$8,IF(DL53&lt;=Hypothèses!$V$9,Hypothèses!$W$9,IF(DL53&lt;=Hypothèses!$V$10,Hypothèses!$W$10,IF(DL53&lt;=Hypothèses!$V$11,Hypothèses!$W$11,IF(DL53&lt;=Hypothèses!$V$12,Hypothèses!$W$12,IF(DL53&lt;=Hypothèses!$V$13,Hypothèses!$W$13,IF(DL53&lt;=Hypothèses!$V$14,Hypothèses!$W$14,IF(DL53&lt;=Hypothèses!$V$15,Hypothèses!$W$15,IF(DL53&lt;=Hypothèses!$V$16,Hypothèses!$W$16,IF(DL53&lt;=Hypothèses!$V$17,Hypothèses!$W$17,IF(DL53&lt;=Hypothèses!$V$18,Hypothèses!$W$18,""))))))))))))</f>
        <v>#DIV/0!</v>
      </c>
      <c r="EG53" s="87" t="e">
        <f t="shared" ca="1" si="122"/>
        <v>#DIV/0!</v>
      </c>
      <c r="EH53" s="88" t="e">
        <f ca="1">IF(DL53&lt;=Hypothèses!$V$7,Hypothèses!$X$7,IF(DL53&lt;=Hypothèses!$V$8,Hypothèses!$X$8,IF(DL53&lt;=Hypothèses!$V$9,Hypothèses!$X$9,IF(DL53&lt;=Hypothèses!$V$10,Hypothèses!$X$10,IF(DL53&lt;=Hypothèses!$V$11,Hypothèses!$X$11,IF(DL53&lt;=Hypothèses!$V$12,Hypothèses!$X$12,IF(DL53&lt;=Hypothèses!$V$13,Hypothèses!$X$13,IF(DL53&lt;=Hypothèses!$V$14,Hypothèses!$X$14,IF(DL53&lt;=Hypothèses!$V$15,Hypothèses!$X$15,IF(DL53&lt;=Hypothèses!$V$16,Hypothèses!$X$16,IF(DL53&lt;=Hypothèses!$U$17,Hypothèses!$W$17,IF(DL53&lt;=Hypothèses!$U$18,Hypothèses!$W$18,""))))))))))))</f>
        <v>#DIV/0!</v>
      </c>
      <c r="EI53" s="95" t="e">
        <f t="shared" ca="1" si="93"/>
        <v>#DIV/0!</v>
      </c>
      <c r="EJ53" s="101" t="e">
        <f t="shared" si="129"/>
        <v>#N/A</v>
      </c>
      <c r="EK53" s="91" t="e">
        <f t="shared" si="57"/>
        <v>#N/A</v>
      </c>
      <c r="EL53" s="30" t="e">
        <f t="shared" si="112"/>
        <v>#N/A</v>
      </c>
      <c r="EM53" s="30" t="e">
        <f t="shared" si="113"/>
        <v>#N/A</v>
      </c>
      <c r="EN53" s="31" t="e">
        <f>IF(OR(Hypothèses!$B$4=17,Hypothèses!$B$4=18,Hypothèses!$B$4=19,Hypothèses!$B$4=20),
IF($D53="Pressio.",
IF(OR($E53=3,$E53=1,$E53=4),EM53,EL53),
IF($D53="Pénétro.",
IF(OR($E53=3,$E53=1,$E53=4),EM53,EL53))),IF($D53="Pressio.",
IF($E53=3,EM53,EL53),
IF($D53="Pénétro.",
IF($E53=4,EM53,EL53))))</f>
        <v>#N/A</v>
      </c>
      <c r="EO53" s="31" t="e">
        <f>(IF(OR(Hypothèses!$B$4=17,Hypothèses!$B$4=18,Hypothèses!$B$4=19,Hypothèses!$B$4=20),
IF($D53="Pressio.",
IF(OR($E53=3,$E53=1,$E53=4),(PI()*EO$12^2)/4*(EK53*$W53*1000)/($H53*$B$5),(PI()*EO$12^2)/4*(EK53*$W53*1000)/($G53*$B$5)),
IF($D53="Pénétro.",
IF(OR($E53=4,$E53=1,$E53=5),(PI()*EO$12^2)/4*(EK53*$W53*1000)/($H53*$B$5),(PI()*EO$12^2)/4*(EK53*$W53*1000)/($G53*$B$5)))),
IF($D53="Pressio.",
IF($E53=3,(PI()*EO$12^2)/4*(EK53*$W53*1000)/($H53*$B$5),(PI()*EO$12^2)/4*(EK53*$W53*1000)/($G53*$B$5)),
IF($D53="Pénétro.",
IF($E53=4,(PI()*EO$12^2)/4*(EK53*$W53*1000)/($H53*$B$5),(PI()*EO$12^2)/4*(EK53*$W53*1000)/($G53*$B$5))))))/10</f>
        <v>#N/A</v>
      </c>
      <c r="EP53" s="102" t="e">
        <f>(VLOOKUP($B$3,'Coeff EC7'!$T$39:$X$59,2,0)*EN53+VLOOKUP($B$3,'Coeff EC7'!$T$65:$X$85,2,0)*Model0.1C!EO53)/1.1</f>
        <v>#N/A</v>
      </c>
      <c r="EQ53" s="102" t="e">
        <f>(VLOOKUP($B$3,'Coeff EC7'!$T$39:$X$59,3,0)*EN53+VLOOKUP($B$3,'Coeff EC7'!$T$65:$X$85,3,0)*Model0.1C!EO53)/0.9</f>
        <v>#N/A</v>
      </c>
      <c r="ER53" s="102" t="e">
        <f t="shared" si="94"/>
        <v>#N/A</v>
      </c>
      <c r="ES53" s="102" t="e">
        <f t="shared" si="95"/>
        <v>#N/A</v>
      </c>
      <c r="ET53" s="414" t="e">
        <f>IF(ET52=0,0,IF(AND(EP53&gt;charge_ELS_quasi,EQ53&gt;Charge_ELS_freq,ER53&gt;charge_ELU,ES53&gt;charge_ELA,$B53&gt;NDC!$H$22-0.1+MIN(3*$ET$12,1.5)),0,1))</f>
        <v>#N/A</v>
      </c>
      <c r="EU53" s="86" t="b">
        <f t="shared" si="60"/>
        <v>0</v>
      </c>
      <c r="EV53" s="86">
        <f t="shared" si="61"/>
        <v>0.61</v>
      </c>
      <c r="EW53" s="86">
        <f t="shared" si="62"/>
        <v>0.61</v>
      </c>
      <c r="EX53" s="30" t="e">
        <f t="shared" ca="1" si="96"/>
        <v>#DIV/0!</v>
      </c>
      <c r="EY53" s="85" t="e">
        <f ca="1">IF(EE53&lt;=Hypothèses!$V$7,Hypothèses!$W$7,IF(EE53&lt;=Hypothèses!$V$8,Hypothèses!$W$8,IF(EE53&lt;=Hypothèses!$V$9,Hypothèses!$W$9,IF(EE53&lt;=Hypothèses!$V$10,Hypothèses!$W$10,IF(EE53&lt;=Hypothèses!$V$11,Hypothèses!$W$11,IF(EE53&lt;=Hypothèses!$V$12,Hypothèses!$W$12,IF(EE53&lt;=Hypothèses!$V$13,Hypothèses!$W$13,IF(EE53&lt;=Hypothèses!$V$14,Hypothèses!$W$14,IF(EE53&lt;=Hypothèses!$V$15,Hypothèses!$W$15,IF(EE53&lt;=Hypothèses!$V$16,Hypothèses!$W$16,IF(EE53&lt;=Hypothèses!$V$17,Hypothèses!$W$17,IF(EE53&lt;=Hypothèses!$V$18,Hypothèses!$W$18,""))))))))))))</f>
        <v>#DIV/0!</v>
      </c>
      <c r="EZ53" s="87" t="e">
        <f t="shared" ca="1" si="123"/>
        <v>#DIV/0!</v>
      </c>
      <c r="FA53" s="88" t="e">
        <f ca="1">IF(EE53&lt;=Hypothèses!$V$7,Hypothèses!$X$7,IF(EE53&lt;=Hypothèses!$V$8,Hypothèses!$X$8,IF(EE53&lt;=Hypothèses!$V$9,Hypothèses!$X$9,IF(EE53&lt;=Hypothèses!$V$10,Hypothèses!$X$10,IF(EE53&lt;=Hypothèses!$V$11,Hypothèses!$X$11,IF(EE53&lt;=Hypothèses!$V$12,Hypothèses!$X$12,IF(EE53&lt;=Hypothèses!$V$13,Hypothèses!$X$13,IF(EE53&lt;=Hypothèses!$V$14,Hypothèses!$X$14,IF(EE53&lt;=Hypothèses!$V$15,Hypothèses!$X$15,IF(EE53&lt;=Hypothèses!$V$16,Hypothèses!$X$16,IF(EE53&lt;=Hypothèses!$U$17,Hypothèses!$W$17,IF(EE53&lt;=Hypothèses!$U$18,Hypothèses!$W$18,""))))))))))))</f>
        <v>#DIV/0!</v>
      </c>
      <c r="FB53" s="95" t="e">
        <f t="shared" ca="1" si="97"/>
        <v>#DIV/0!</v>
      </c>
      <c r="FC53" s="101" t="e">
        <f t="shared" si="130"/>
        <v>#N/A</v>
      </c>
      <c r="FD53" s="91" t="e">
        <f t="shared" si="64"/>
        <v>#N/A</v>
      </c>
      <c r="FE53" s="30" t="e">
        <f t="shared" si="114"/>
        <v>#N/A</v>
      </c>
      <c r="FF53" s="30" t="e">
        <f t="shared" si="115"/>
        <v>#N/A</v>
      </c>
      <c r="FG53" s="31" t="e">
        <f>IF(OR(Hypothèses!$B$4=17,Hypothèses!$B$4=18,Hypothèses!$B$4=19,Hypothèses!$B$4=20),
IF($D53="Pressio.",
IF(OR($E53=3,$E53=1,$E53=4),FF53,FE53),
IF($D53="Pénétro.",
IF(OR($E53=3,$E53=1,$E53=4),FF53,FE53))),IF($D53="Pressio.",
IF($E53=3,FF53,FE53),
IF($D53="Pénétro.",
IF($E53=4,FF53,FE53))))</f>
        <v>#N/A</v>
      </c>
      <c r="FH53" s="31" t="e">
        <f>(IF(OR(Hypothèses!$B$4=17,Hypothèses!$B$4=18,Hypothèses!$B$4=19,Hypothèses!$B$4=20),
IF($D53="Pressio.",
IF(OR($E53=3,$E53=1,$E53=4),(PI()*FH$12^2)/4*(FD53*$W53*1000)/($H53*$B$5),(PI()*FH$12^2)/4*(FD53*$W53*1000)/($G53*$B$5)),
IF($D53="Pénétro.",
IF(OR($E53=4,$E53=1,$E53=5),(PI()*FH$12^2)/4*(FD53*$W53*1000)/($H53*$B$5),(PI()*FH$12^2)/4*(FD53*$W53*1000)/($G53*$B$5)))),
IF($D53="Pressio.",
IF($E53=3,(PI()*FH$12^2)/4*(FD53*$W53*1000)/($H53*$B$5),(PI()*FH$12^2)/4*(FD53*$W53*1000)/($G53*$B$5)),
IF($D53="Pénétro.",
IF($E53=4,(PI()*FH$12^2)/4*(FD53*$W53*1000)/($H53*$B$5),(PI()*FH$12^2)/4*(FD53*$W53*1000)/($G53*$B$5))))))/10</f>
        <v>#N/A</v>
      </c>
      <c r="FI53" s="102" t="e">
        <f>(VLOOKUP($B$3,'Coeff EC7'!$T$39:$X$59,2,0)*FG53+VLOOKUP($B$3,'Coeff EC7'!$T$65:$X$85,2,0)*Model0.1C!FH53)/1.1</f>
        <v>#N/A</v>
      </c>
      <c r="FJ53" s="102" t="e">
        <f>(VLOOKUP($B$3,'Coeff EC7'!$T$39:$X$59,3,0)*FG53+VLOOKUP($B$3,'Coeff EC7'!$T$65:$X$85,3,0)*Model0.1C!FH53)/0.9</f>
        <v>#N/A</v>
      </c>
      <c r="FK53" s="102" t="e">
        <f t="shared" si="98"/>
        <v>#N/A</v>
      </c>
      <c r="FL53" s="102" t="e">
        <f t="shared" si="99"/>
        <v>#N/A</v>
      </c>
      <c r="FM53" s="414" t="e">
        <f>IF(FM52=0,0,IF(AND(FI53&gt;charge_ELS_quasi,FJ53&gt;Charge_ELS_freq,FK53&gt;charge_ELU,FL53&gt;charge_ELA,$B53&gt;NDC!$H$22-0.1+MIN(3*$FM$12,1.5)),0,1))</f>
        <v>#N/A</v>
      </c>
    </row>
    <row r="54" spans="1:169">
      <c r="A54" s="96">
        <f t="shared" si="67"/>
        <v>95.900000000000233</v>
      </c>
      <c r="B54" s="97">
        <v>4.0999999999999996</v>
      </c>
      <c r="C54" s="81">
        <f>IF(B54&lt;=Hypothèses!$C$7,Hypothèses!$A$7,IF(B54&lt;=Hypothèses!$C$8,Hypothèses!$A$8,IF(B54&lt;=Hypothèses!$C$9,Hypothèses!$A$9,IF(B54&lt;=Hypothèses!$C$10,Hypothèses!$A$10,IF(B54&lt;=Hypothèses!$C$11,Hypothèses!$A$11,IF(B54&lt;=Hypothèses!$C$12,Hypothèses!$A$12,IF(B54&lt;=Hypothèses!$C$13,Hypothèses!$A$13,IF(B54&lt;=Hypothèses!$C$14,Hypothèses!$A$14,IF(B54&lt;=Hypothèses!$C$15,Hypothèses!$A$15,IF(B54&lt;=Hypothèses!$C$16,Hypothèses!$A$16,IF(B54&lt;=Hypothèses!$C$17,Hypothèses!$A$17,IF(B54&lt;=Hypothèses!$C$18,Hypothèses!$A$18,C53))))))))))))</f>
        <v>11</v>
      </c>
      <c r="D54" s="82" t="str">
        <f>IF(B54&lt;=Hypothèses!$C$7,Hypothèses!$R$7,IF(B54&lt;=Hypothèses!$C$8,Hypothèses!$R$8,IF(B54&lt;=Hypothèses!$C$9,Hypothèses!$R$9,IF(B54&lt;=Hypothèses!$C$10,Hypothèses!$R$10,IF(B54&lt;=Hypothèses!$C$11,Hypothèses!$R$11,IF(B54&lt;=Hypothèses!$C$12,Hypothèses!$R$12,IF(B54&lt;=Hypothèses!$C$13,Hypothèses!$R$13,IF(B54&lt;=Hypothèses!$C$14,Hypothèses!$R$14,IF(B54&lt;=Hypothèses!$C$15,Hypothèses!$R$15,IF(B54&lt;=Hypothèses!$C$16,Hypothèses!$R$16,IF(B54&lt;=Hypothèses!$C$17,Hypothèses!$R$17,IF(B54&lt;=Hypothèses!$C$18,Hypothèses!$R$18,D53))))))))))))</f>
        <v>Pressio.</v>
      </c>
      <c r="E54" s="82" t="e">
        <f>IF(B54&lt;=Hypothèses!$C$7,Hypothèses!$G$7,IF(B54&lt;=Hypothèses!$C$8,Hypothèses!$G$8,IF(B54&lt;=Hypothèses!$C$9,Hypothèses!$G$9,IF(B54&lt;=Hypothèses!$C$10,Hypothèses!$G$10,IF(B54&lt;=Hypothèses!$C$11,Hypothèses!$G$11,IF(B54&lt;=Hypothèses!$C$12,Hypothèses!$G$12,IF(B54&lt;=Hypothèses!$C$13,Hypothèses!$G$13,IF(B54&lt;=Hypothèses!$C$14,Hypothèses!$G$14,IF(B54&lt;=Hypothèses!$C$15,Hypothèses!$G$15,IF(B54&lt;=Hypothèses!$C$16,Hypothèses!$G$16,IF(B54&lt;=Hypothèses!$C$17,Hypothèses!$G$17,IF(B54&lt;=Hypothèses!$C$18,Hypothèses!$G$18,E53))))))))))))</f>
        <v>#N/A</v>
      </c>
      <c r="F54" s="82" t="str">
        <f>IF(B54&lt;=Hypothèses!$C$7,Hypothèses!$F$7,IF(B54&lt;=Hypothèses!$C$8,Hypothèses!$F$8,IF(B54&lt;=Hypothèses!$C$9,Hypothèses!$F$9,IF(B54&lt;=Hypothèses!$C$10,Hypothèses!$F$10,IF(B54&lt;=Hypothèses!$C$11,Hypothèses!$F$11,IF(B54&lt;=Hypothèses!$C$12,Hypothèses!$F$12,IF(B54&lt;=Hypothèses!$C$13,Hypothèses!$F$13,IF(B54&lt;=Hypothèses!$C$14,Hypothèses!$F$14,IF(B54&lt;=Hypothèses!$C$15,Hypothèses!$F$15,IF(B54&lt;=Hypothèses!$C$16,Hypothèses!$F$16,IF(B54&lt;=Hypothèses!$C$17,Hypothèses!$F$17,IF(B54&lt;=Hypothèses!$C$18,Hypothèses!$F$18,F53))))))))))))</f>
        <v/>
      </c>
      <c r="G54" s="91">
        <f t="array" ref="G54">INDEX('Coeff EC7'!$U$7:$X$27,
MATCH(Model0.1C!$B$3,'Coeff EC7'!$T$7:$T$27,0),
MATCH(Model0.1C!$D54&amp;Model0.1C!$B$4,
'Coeff EC7'!$U$6:$X$6&amp;
'Coeff EC7'!$U$5:$X$5,0))</f>
        <v>1.1499999999999999</v>
      </c>
      <c r="H54" s="91">
        <f t="array" ref="H54">INDEX('Coeff EC7'!$Y$7:$AB$27,
MATCH(Model0.1C!$B$3,'Coeff EC7'!$T$7:$T$27,0),
MATCH(Model0.1C!$D54&amp;Model0.1C!$B$4,
'Coeff EC7'!$Y$6:$AB$6&amp;
'Coeff EC7'!$Y$5:$AB$5,0))</f>
        <v>1.4</v>
      </c>
      <c r="I54" s="83" t="e">
        <f>IF(B54&lt;=Hypothèses!$C$7,Hypothèses!$P$7,IF(B54&lt;=Hypothèses!$C$8,Hypothèses!$P$8,IF(B54&lt;=Hypothèses!$C$9,Hypothèses!$P$9,IF(B54&lt;=Hypothèses!$C$10,Hypothèses!$P$10,IF(B54&lt;=Hypothèses!$C$11,Hypothèses!$P$11,IF(B54&lt;=Hypothèses!$C$12,Hypothèses!$P$12,IF(B54&lt;=Hypothèses!$C$13,Hypothèses!$P$13,IF(B54&lt;=Hypothèses!$C$14,Hypothèses!$P$14,IF(B54&lt;=Hypothèses!$C$15,Hypothèses!$P$15,IF(B54&lt;=Hypothèses!$C$16,Hypothèses!$P$16,IF(B54&lt;=Hypothèses!$C$17,Hypothèses!$P$17,IF(B54&lt;=Hypothèses!$C$18,Hypothèses!$P$18,I53))))))))))))</f>
        <v>#N/A</v>
      </c>
      <c r="J54" s="91" t="e">
        <f t="array" ref="J54">INDEX('Coeff EC7'!$D$33:$Q$33,1,MATCH(D54&amp;E54,'Coeff EC7'!$D$31:$Q$31&amp;'Coeff EC7'!$D$32:$Q$32,0))</f>
        <v>#N/A</v>
      </c>
      <c r="K54" s="91" t="e">
        <f t="array" ref="K54">INDEX('Coeff EC7'!$D$34:$Q$34,1,MATCH(D54&amp;E54,'Coeff EC7'!$D$31:$Q$31&amp;'Coeff EC7'!$D$32:$Q$32,0))</f>
        <v>#N/A</v>
      </c>
      <c r="L54" s="91" t="e">
        <f t="array" ref="L54">INDEX('Coeff EC7'!$D$35:$Q$35,1,MATCH(D54&amp;E54,'Coeff EC7'!$D$31:$Q$31&amp;'Coeff EC7'!$D$32:$Q$32,0))</f>
        <v>#N/A</v>
      </c>
      <c r="M54" s="98" t="e">
        <f t="shared" si="8"/>
        <v>#N/A</v>
      </c>
      <c r="N54" s="99" t="e">
        <f t="array" ref="N54">INDEX('Coeff EC7'!$D$7:$Q$27,MATCH($B$3,'Coeff EC7'!$C$7:$C$27,0),MATCH(D54&amp;E54,'Coeff EC7'!$D$5:$Q$5&amp;'Coeff EC7'!$D$6:$Q$6,0))</f>
        <v>#N/A</v>
      </c>
      <c r="O54" s="99" t="e">
        <f t="array" ref="O54">INDEX('Coeff EC7'!$D$41:$Q$61,MATCH($B$3,'Coeff EC7'!$C$41:$C$61,0),MATCH(D54&amp;E54,'Coeff EC7'!$D$39:$Q$39&amp;'Coeff EC7'!$D$40:$Q$40,0))</f>
        <v>#N/A</v>
      </c>
      <c r="P54" s="30" t="e">
        <f t="shared" si="68"/>
        <v>#N/A</v>
      </c>
      <c r="Q54" s="100" t="e">
        <f t="shared" si="10"/>
        <v>#N/A</v>
      </c>
      <c r="R54" s="86" t="b">
        <f t="shared" si="11"/>
        <v>0</v>
      </c>
      <c r="S54" s="86">
        <f t="shared" si="9"/>
        <v>0.5</v>
      </c>
      <c r="T54" s="86">
        <f t="shared" si="12"/>
        <v>0.5</v>
      </c>
      <c r="U54" s="30" t="e">
        <f t="shared" ca="1" si="69"/>
        <v>#DIV/0!</v>
      </c>
      <c r="V54" s="85" t="str">
        <f>IF(B54&lt;=Hypothèses!$V$7,Hypothèses!$W$7,IF(B54&lt;=Hypothèses!$V$8,Hypothèses!$W$8,IF(B54&lt;=Hypothèses!$V$9,Hypothèses!$W$9,IF(B54&lt;=Hypothèses!$V$10,Hypothèses!$W$10,IF(B54&lt;=Hypothèses!$V$11,Hypothèses!$W$11,IF(B54&lt;=Hypothèses!$V$12,Hypothèses!$W$12,IF(B54&lt;=Hypothèses!$V$13,Hypothèses!$W$13,IF(B54&lt;=Hypothèses!$V$14,Hypothèses!$W$14,IF(B54&lt;=Hypothèses!$V$15,Hypothèses!$W$15,IF(B54&lt;=Hypothèses!$V$16,Hypothèses!$W$16,IF(B54&lt;=Hypothèses!$V$17,Hypothèses!$W$17,IF(B54&lt;=Hypothèses!$V$18,Hypothèses!$W$18,""))))))))))))</f>
        <v/>
      </c>
      <c r="W54" s="87" t="e">
        <f t="shared" ca="1" si="116"/>
        <v>#DIV/0!</v>
      </c>
      <c r="X54" s="88" t="str">
        <f>IF(B54&lt;=Hypothèses!$V$7,Hypothèses!$X$7,IF(B54&lt;=Hypothèses!$V$8,Hypothèses!$X$8,IF(B54&lt;=Hypothèses!$V$9,Hypothèses!$X$9,IF(B54&lt;=Hypothèses!$V$10,Hypothèses!$X$10,IF(B54&lt;=Hypothèses!$V$11,Hypothèses!$X$11,IF(B54&lt;=Hypothèses!$V$12,Hypothèses!$X$12,IF(B54&lt;=Hypothèses!$V$13,Hypothèses!$X$13,IF(B54&lt;=Hypothèses!$V$14,Hypothèses!$X$14,IF(B54&lt;=Hypothèses!$V$15,Hypothèses!$X$15,IF(B54&lt;=Hypothèses!$V$16,Hypothèses!$X$16,IF(B54&lt;=Hypothèses!$U$17,Hypothèses!$W$17,IF(B54&lt;=Hypothèses!$U$18,Hypothèses!$W$18,""))))))))))))</f>
        <v/>
      </c>
      <c r="Y54" s="95" t="e">
        <f t="shared" ca="1" si="13"/>
        <v>#DIV/0!</v>
      </c>
      <c r="Z54" s="101" t="e">
        <f t="shared" si="14"/>
        <v>#N/A</v>
      </c>
      <c r="AA54" s="91" t="e">
        <f t="shared" si="15"/>
        <v>#N/A</v>
      </c>
      <c r="AB54" s="30" t="e">
        <f t="shared" si="100"/>
        <v>#N/A</v>
      </c>
      <c r="AC54" s="30" t="e">
        <f t="shared" si="101"/>
        <v>#N/A</v>
      </c>
      <c r="AD54" s="31" t="e">
        <f>IF(OR(Hypothèses!$B$4=17,Hypothèses!$B$4=18,Hypothèses!$B$4=19,Hypothèses!$B$4=20),
IF($D54="Pressio.",
IF(OR($E54=3,$E54=1,$E54=4),AC54,AB54),
IF($D54="Pénétro.",
IF(OR($E54=3,$E54=1,$E54=4),AC54,AB54))),IF($D54="Pressio.",
IF($E54=3,AC54,AB54),
IF($D54="Pénétro.",
IF($E54=4,AC54,AB54))))</f>
        <v>#N/A</v>
      </c>
      <c r="AE54" s="31" t="e">
        <f>(IF(OR(Hypothèses!$B$4=17,Hypothèses!$B$4=18,Hypothèses!$B$4=19,Hypothèses!$B$4=20),
IF($D54="Pressio.",
IF(OR($E54=3,$E54=1,$E54=4),(PI()*AE$12^2)/4*(AA54*$W54*1000)/($H54*$B$5),(PI()*AE$12^2)/4*(AA54*$W54*1000)/($G54*$B$5)),
IF($D54="Pénétro.",
IF(OR($E54=4,$E54=1,$E54=5),(PI()*AE$12^2)/4*(AA54*$W54*1000)/($H54*$B$5),(PI()*AE$12^2)/4*(AA54*$W54*1000)/($G54*$B$5)))),
IF($D54="Pressio.",
IF($E54=3,(PI()*AE$12^2)/4*(AA54*$W54*1000)/($H54*$B$5),(PI()*AE$12^2)/4*(AA54*$W54*1000)/($G54*$B$5)),
IF($D54="Pénétro.",
IF($E54=4,(PI()*AE$12^2)/4*(AA54*$W54*1000)/($H54*$B$5),(PI()*AE$12^2)/4*(AA54*$W54*1000)/($G54*$B$5))))))/10</f>
        <v>#N/A</v>
      </c>
      <c r="AF54" s="102" t="e">
        <f>(VLOOKUP($B$3,'Coeff EC7'!$T$39:$X$59,2,0)*AD54+VLOOKUP($B$3,'Coeff EC7'!$T$65:$X$85,2,0)*Model0.1C!AE54)/1.1</f>
        <v>#N/A</v>
      </c>
      <c r="AG54" s="102" t="e">
        <f>(VLOOKUP($B$3,'Coeff EC7'!$T$39:$X$59,3,0)*AD54+VLOOKUP($B$3,'Coeff EC7'!$T$65:$X$85,3,0)*Model0.1C!AE54)/0.9</f>
        <v>#N/A</v>
      </c>
      <c r="AH54" s="102" t="e">
        <f t="shared" si="18"/>
        <v>#N/A</v>
      </c>
      <c r="AI54" s="102" t="e">
        <f t="shared" si="19"/>
        <v>#N/A</v>
      </c>
      <c r="AJ54" s="414" t="e">
        <f>IF(AJ53=0,0,IF(AND(AF54&gt;charge_ELS_quasi,AG54&gt;Charge_ELS_freq,AH54&gt;charge_ELU,AI54&gt;charge_ELA,$B54&gt;NDC!$H$22-0.1+MIN(3*$AJ$12,1.5)),0,1))</f>
        <v>#N/A</v>
      </c>
      <c r="AK54" s="86" t="b">
        <f t="shared" si="20"/>
        <v>0</v>
      </c>
      <c r="AL54" s="86">
        <f t="shared" si="70"/>
        <v>0.5</v>
      </c>
      <c r="AM54" s="86">
        <f t="shared" si="21"/>
        <v>0.5</v>
      </c>
      <c r="AN54" s="30" t="e">
        <f t="shared" ca="1" si="71"/>
        <v>#DIV/0!</v>
      </c>
      <c r="AO54" s="85" t="e">
        <f ca="1">IF(U54&lt;=Hypothèses!$V$7,Hypothèses!$W$7,IF(U54&lt;=Hypothèses!$V$8,Hypothèses!$W$8,IF(U54&lt;=Hypothèses!$V$9,Hypothèses!$W$9,IF(U54&lt;=Hypothèses!$V$10,Hypothèses!$W$10,IF(U54&lt;=Hypothèses!$V$11,Hypothèses!$W$11,IF(U54&lt;=Hypothèses!$V$12,Hypothèses!$W$12,IF(U54&lt;=Hypothèses!$V$13,Hypothèses!$W$13,IF(U54&lt;=Hypothèses!$V$14,Hypothèses!$W$14,IF(U54&lt;=Hypothèses!$V$15,Hypothèses!$W$15,IF(U54&lt;=Hypothèses!$V$16,Hypothèses!$W$16,IF(U54&lt;=Hypothèses!$V$17,Hypothèses!$W$17,IF(U54&lt;=Hypothèses!$V$18,Hypothèses!$W$18,""))))))))))))</f>
        <v>#DIV/0!</v>
      </c>
      <c r="AP54" s="87" t="e">
        <f t="shared" ca="1" si="117"/>
        <v>#DIV/0!</v>
      </c>
      <c r="AQ54" s="88" t="e">
        <f ca="1">IF(U54&lt;=Hypothèses!$V$7,Hypothèses!$X$7,IF(U54&lt;=Hypothèses!$V$8,Hypothèses!$X$8,IF(U54&lt;=Hypothèses!$V$9,Hypothèses!$X$9,IF(U54&lt;=Hypothèses!$V$10,Hypothèses!$X$10,IF(U54&lt;=Hypothèses!$V$11,Hypothèses!$X$11,IF(U54&lt;=Hypothèses!$V$12,Hypothèses!$X$12,IF(U54&lt;=Hypothèses!$V$13,Hypothèses!$X$13,IF(U54&lt;=Hypothèses!$V$14,Hypothèses!$X$14,IF(U54&lt;=Hypothèses!$V$15,Hypothèses!$X$15,IF(U54&lt;=Hypothèses!$V$16,Hypothèses!$X$16,IF(U54&lt;=Hypothèses!$U$17,Hypothèses!$W$17,IF(U54&lt;=Hypothèses!$U$18,Hypothèses!$W$18,""))))))))))))</f>
        <v>#DIV/0!</v>
      </c>
      <c r="AR54" s="95" t="e">
        <f t="shared" ca="1" si="72"/>
        <v>#DIV/0!</v>
      </c>
      <c r="AS54" s="101" t="e">
        <f t="shared" si="124"/>
        <v>#N/A</v>
      </c>
      <c r="AT54" s="91" t="e">
        <f t="shared" si="23"/>
        <v>#N/A</v>
      </c>
      <c r="AU54" s="30" t="e">
        <f t="shared" si="102"/>
        <v>#N/A</v>
      </c>
      <c r="AV54" s="30" t="e">
        <f t="shared" si="103"/>
        <v>#N/A</v>
      </c>
      <c r="AW54" s="31" t="e">
        <f>IF(OR(Hypothèses!$B$4=17,Hypothèses!$B$4=18,Hypothèses!$B$4=19,Hypothèses!$B$4=20),
IF($D54="Pressio.",
IF(OR($E54=3,$E54=1,$E54=4),AV54,AU54),
IF($D54="Pénétro.",
IF(OR($E54=3,$E54=1,$E54=4),AV54,AU54))),IF($D54="Pressio.",
IF($E54=3,AV54,AU54),
IF($D54="Pénétro.",
IF($E54=4,AV54,AU54))))</f>
        <v>#N/A</v>
      </c>
      <c r="AX54" s="31" t="e">
        <f>(IF(OR(Hypothèses!$B$4=17,Hypothèses!$B$4=18,Hypothèses!$B$4=19,Hypothèses!$B$4=20),
IF($D54="Pressio.",
IF(OR($E54=3,$E54=1,$E54=4),(PI()*AX$12^2)/4*(AT54*$W54*1000)/($H54*$B$5),(PI()*AX$12^2)/4*(AT54*$W54*1000)/($G54*$B$5)),
IF($D54="Pénétro.",
IF(OR($E54=4,$E54=1,$E54=5),(PI()*AX$12^2)/4*(AT54*$W54*1000)/($H54*$B$5),(PI()*AX$12^2)/4*(AT54*$W54*1000)/($G54*$B$5)))),
IF($D54="Pressio.",
IF($E54=3,(PI()*AX$12^2)/4*(AT54*$W54*1000)/($H54*$B$5),(PI()*AX$12^2)/4*(AT54*$W54*1000)/($G54*$B$5)),
IF($D54="Pénétro.",
IF($E54=4,(PI()*AX$12^2)/4*(AT54*$W54*1000)/($H54*$B$5),(PI()*AX$12^2)/4*(AT54*$W54*1000)/($G54*$B$5))))))/10</f>
        <v>#N/A</v>
      </c>
      <c r="AY54" s="102" t="e">
        <f>(VLOOKUP($B$3,'Coeff EC7'!$T$39:$X$59,2,0)*AW54+VLOOKUP($B$3,'Coeff EC7'!$T$65:$X$85,2,0)*Model0.1C!AX54)/1.1</f>
        <v>#N/A</v>
      </c>
      <c r="AZ54" s="102" t="e">
        <f>(VLOOKUP($B$3,'Coeff EC7'!$T$39:$X$59,3,0)*AW54+VLOOKUP($B$3,'Coeff EC7'!$T$65:$X$85,3,0)*Model0.1C!AX54)/0.9</f>
        <v>#N/A</v>
      </c>
      <c r="BA54" s="102" t="e">
        <f t="shared" si="73"/>
        <v>#N/A</v>
      </c>
      <c r="BB54" s="102" t="e">
        <f t="shared" si="74"/>
        <v>#N/A</v>
      </c>
      <c r="BC54" s="414" t="e">
        <f>IF(BC53=0,0,IF(AND(AY54&gt;charge_ELS_quasi,AZ54&gt;Charge_ELS_freq,BA54&gt;charge_ELU,BB54&gt;charge_ELA,$B54&gt;NDC!$H$22-0.1+MIN(3*$BC$12,1.5)),0,1))</f>
        <v>#N/A</v>
      </c>
      <c r="BD54" s="86" t="b">
        <f t="shared" si="26"/>
        <v>0</v>
      </c>
      <c r="BE54" s="86">
        <f t="shared" si="75"/>
        <v>0.5</v>
      </c>
      <c r="BF54" s="86">
        <f t="shared" si="27"/>
        <v>0.5</v>
      </c>
      <c r="BG54" s="30" t="e">
        <f t="shared" ca="1" si="76"/>
        <v>#DIV/0!</v>
      </c>
      <c r="BH54" s="85" t="e">
        <f ca="1">IF(AN54&lt;=Hypothèses!$V$7,Hypothèses!$W$7,IF(AN54&lt;=Hypothèses!$V$8,Hypothèses!$W$8,IF(AN54&lt;=Hypothèses!$V$9,Hypothèses!$W$9,IF(AN54&lt;=Hypothèses!$V$10,Hypothèses!$W$10,IF(AN54&lt;=Hypothèses!$V$11,Hypothèses!$W$11,IF(AN54&lt;=Hypothèses!$V$12,Hypothèses!$W$12,IF(AN54&lt;=Hypothèses!$V$13,Hypothèses!$W$13,IF(AN54&lt;=Hypothèses!$V$14,Hypothèses!$W$14,IF(AN54&lt;=Hypothèses!$V$15,Hypothèses!$W$15,IF(AN54&lt;=Hypothèses!$V$16,Hypothèses!$W$16,IF(AN54&lt;=Hypothèses!$V$17,Hypothèses!$W$17,IF(AN54&lt;=Hypothèses!$V$18,Hypothèses!$W$18,""))))))))))))</f>
        <v>#DIV/0!</v>
      </c>
      <c r="BI54" s="87" t="e">
        <f t="shared" ca="1" si="118"/>
        <v>#DIV/0!</v>
      </c>
      <c r="BJ54" s="88" t="e">
        <f ca="1">IF(AN54&lt;=Hypothèses!$V$7,Hypothèses!$X$7,IF(AN54&lt;=Hypothèses!$V$8,Hypothèses!$X$8,IF(AN54&lt;=Hypothèses!$V$9,Hypothèses!$X$9,IF(AN54&lt;=Hypothèses!$V$10,Hypothèses!$X$10,IF(AN54&lt;=Hypothèses!$V$11,Hypothèses!$X$11,IF(AN54&lt;=Hypothèses!$V$12,Hypothèses!$X$12,IF(AN54&lt;=Hypothèses!$V$13,Hypothèses!$X$13,IF(AN54&lt;=Hypothèses!$V$14,Hypothèses!$X$14,IF(AN54&lt;=Hypothèses!$V$15,Hypothèses!$X$15,IF(AN54&lt;=Hypothèses!$V$16,Hypothèses!$X$16,IF(AN54&lt;=Hypothèses!$U$17,Hypothèses!$W$17,IF(AN54&lt;=Hypothèses!$U$18,Hypothèses!$W$18,""))))))))))))</f>
        <v>#DIV/0!</v>
      </c>
      <c r="BK54" s="95" t="e">
        <f t="shared" ca="1" si="77"/>
        <v>#DIV/0!</v>
      </c>
      <c r="BL54" s="101" t="e">
        <f t="shared" si="125"/>
        <v>#N/A</v>
      </c>
      <c r="BM54" s="91" t="e">
        <f t="shared" si="29"/>
        <v>#N/A</v>
      </c>
      <c r="BN54" s="30" t="e">
        <f t="shared" si="104"/>
        <v>#N/A</v>
      </c>
      <c r="BO54" s="30" t="e">
        <f t="shared" si="105"/>
        <v>#N/A</v>
      </c>
      <c r="BP54" s="31" t="e">
        <f>IF(OR(Hypothèses!$B$4=17,Hypothèses!$B$4=18,Hypothèses!$B$4=19,Hypothèses!$B$4=20),
IF($D54="Pressio.",
IF(OR($E54=3,$E54=1,$E54=4),BO54,BN54),
IF($D54="Pénétro.",
IF(OR($E54=3,$E54=1,$E54=4),BO54,BN54))),IF($D54="Pressio.",
IF($E54=3,BO54,BN54),
IF($D54="Pénétro.",
IF($E54=4,BO54,BN54))))</f>
        <v>#N/A</v>
      </c>
      <c r="BQ54" s="31" t="e">
        <f>(IF(OR(Hypothèses!$B$4=17,Hypothèses!$B$4=18,Hypothèses!$B$4=19,Hypothèses!$B$4=20),
IF($D54="Pressio.",
IF(OR($E54=3,$E54=1,$E54=4),(PI()*BQ$12^2)/4*(BM54*$W54*1000)/($H54*$B$5),(PI()*BQ$12^2)/4*(BM54*$W54*1000)/($G54*$B$5)),
IF($D54="Pénétro.",
IF(OR($E54=4,$E54=1,$E54=5),(PI()*BQ$12^2)/4*(BM54*$W54*1000)/($H54*$B$5),(PI()*BQ$12^2)/4*(BM54*$W54*1000)/($G54*$B$5)))),
IF($D54="Pressio.",
IF($E54=3,(PI()*BQ$12^2)/4*(BM54*$W54*1000)/($H54*$B$5),(PI()*BQ$12^2)/4*(BM54*$W54*1000)/($G54*$B$5)),
IF($D54="Pénétro.",
IF($E54=4,(PI()*BQ$12^2)/4*(BM54*$W54*1000)/($H54*$B$5),(PI()*BQ$12^2)/4*(BM54*$W54*1000)/($G54*$B$5))))))/10</f>
        <v>#N/A</v>
      </c>
      <c r="BR54" s="102" t="e">
        <f>(VLOOKUP($B$3,'Coeff EC7'!$T$39:$X$59,2,0)*BP54+VLOOKUP($B$3,'Coeff EC7'!$T$65:$X$85,2,0)*Model0.1C!BQ54)/1.1</f>
        <v>#N/A</v>
      </c>
      <c r="BS54" s="102" t="e">
        <f>(VLOOKUP($B$3,'Coeff EC7'!$T$39:$X$59,3,0)*BP54+VLOOKUP($B$3,'Coeff EC7'!$T$65:$X$85,3,0)*Model0.1C!BQ54)/0.9</f>
        <v>#N/A</v>
      </c>
      <c r="BT54" s="102" t="e">
        <f t="shared" si="78"/>
        <v>#N/A</v>
      </c>
      <c r="BU54" s="102" t="e">
        <f t="shared" si="79"/>
        <v>#N/A</v>
      </c>
      <c r="BV54" s="414" t="e">
        <f>IF(BV53=0,0,IF(AND(BR54&gt;charge_ELS_quasi,BS54&gt;Charge_ELS_freq,BT54&gt;charge_ELU,BU54&gt;charge_ELA,$B54&gt;NDC!$H$22-0.1+MIN(3*$BV$12,1.5)),0,1))</f>
        <v>#N/A</v>
      </c>
      <c r="BW54" s="86" t="b">
        <f t="shared" si="32"/>
        <v>0</v>
      </c>
      <c r="BX54" s="86">
        <f t="shared" si="33"/>
        <v>0.5</v>
      </c>
      <c r="BY54" s="86">
        <f t="shared" si="34"/>
        <v>0.5</v>
      </c>
      <c r="BZ54" s="30" t="e">
        <f t="shared" ca="1" si="80"/>
        <v>#DIV/0!</v>
      </c>
      <c r="CA54" s="85" t="e">
        <f ca="1">IF(BG54&lt;=Hypothèses!$V$7,Hypothèses!$W$7,IF(BG54&lt;=Hypothèses!$V$8,Hypothèses!$W$8,IF(BG54&lt;=Hypothèses!$V$9,Hypothèses!$W$9,IF(BG54&lt;=Hypothèses!$V$10,Hypothèses!$W$10,IF(BG54&lt;=Hypothèses!$V$11,Hypothèses!$W$11,IF(BG54&lt;=Hypothèses!$V$12,Hypothèses!$W$12,IF(BG54&lt;=Hypothèses!$V$13,Hypothèses!$W$13,IF(BG54&lt;=Hypothèses!$V$14,Hypothèses!$W$14,IF(BG54&lt;=Hypothèses!$V$15,Hypothèses!$W$15,IF(BG54&lt;=Hypothèses!$V$16,Hypothèses!$W$16,IF(BG54&lt;=Hypothèses!$V$17,Hypothèses!$W$17,IF(BG54&lt;=Hypothèses!$V$18,Hypothèses!$W$18,""))))))))))))</f>
        <v>#DIV/0!</v>
      </c>
      <c r="CB54" s="87" t="e">
        <f t="shared" ca="1" si="119"/>
        <v>#DIV/0!</v>
      </c>
      <c r="CC54" s="88" t="e">
        <f ca="1">IF(BG54&lt;=Hypothèses!$V$7,Hypothèses!$X$7,IF(BG54&lt;=Hypothèses!$V$8,Hypothèses!$X$8,IF(BG54&lt;=Hypothèses!$V$9,Hypothèses!$X$9,IF(BG54&lt;=Hypothèses!$V$10,Hypothèses!$X$10,IF(BG54&lt;=Hypothèses!$V$11,Hypothèses!$X$11,IF(BG54&lt;=Hypothèses!$V$12,Hypothèses!$X$12,IF(BG54&lt;=Hypothèses!$V$13,Hypothèses!$X$13,IF(BG54&lt;=Hypothèses!$V$14,Hypothèses!$X$14,IF(BG54&lt;=Hypothèses!$V$15,Hypothèses!$X$15,IF(BG54&lt;=Hypothèses!$V$16,Hypothèses!$X$16,IF(BG54&lt;=Hypothèses!$U$17,Hypothèses!$W$17,IF(BG54&lt;=Hypothèses!$U$18,Hypothèses!$W$18,""))))))))))))</f>
        <v>#DIV/0!</v>
      </c>
      <c r="CD54" s="95" t="e">
        <f t="shared" ca="1" si="81"/>
        <v>#DIV/0!</v>
      </c>
      <c r="CE54" s="101" t="e">
        <f t="shared" si="126"/>
        <v>#N/A</v>
      </c>
      <c r="CF54" s="91" t="e">
        <f t="shared" si="36"/>
        <v>#N/A</v>
      </c>
      <c r="CG54" s="30" t="e">
        <f t="shared" si="106"/>
        <v>#N/A</v>
      </c>
      <c r="CH54" s="30" t="e">
        <f t="shared" si="107"/>
        <v>#N/A</v>
      </c>
      <c r="CI54" s="31" t="e">
        <f>IF(OR(Hypothèses!$B$4=17,Hypothèses!$B$4=18,Hypothèses!$B$4=19,Hypothèses!$B$4=20),
IF($D54="Pressio.",
IF(OR($E54=3,$E54=1,$E54=4),CH54,CG54),
IF($D54="Pénétro.",
IF(OR($E54=3,$E54=1,$E54=4),CH54,CG54))),IF($D54="Pressio.",
IF($E54=3,CH54,CG54),
IF($D54="Pénétro.",
IF($E54=4,CH54,CG54))))</f>
        <v>#N/A</v>
      </c>
      <c r="CJ54" s="31" t="e">
        <f>(IF(OR(Hypothèses!$B$4=17,Hypothèses!$B$4=18,Hypothèses!$B$4=19,Hypothèses!$B$4=20),
IF($D54="Pressio.",
IF(OR($E54=3,$E54=1,$E54=4),(PI()*CJ$12^2)/4*(CF54*$W54*1000)/($H54*$B$5),(PI()*CJ$12^2)/4*(CF54*$W54*1000)/($G54*$B$5)),
IF($D54="Pénétro.",
IF(OR($E54=4,$E54=1,$E54=5),(PI()*CJ$12^2)/4*(CF54*$W54*1000)/($H54*$B$5),(PI()*CJ$12^2)/4*(CF54*$W54*1000)/($G54*$B$5)))),
IF($D54="Pressio.",
IF($E54=3,(PI()*CJ$12^2)/4*(CF54*$W54*1000)/($H54*$B$5),(PI()*CJ$12^2)/4*(CF54*$W54*1000)/($G54*$B$5)),
IF($D54="Pénétro.",
IF($E54=4,(PI()*CJ$12^2)/4*(CF54*$W54*1000)/($H54*$B$5),(PI()*CJ$12^2)/4*(CF54*$W54*1000)/($G54*$B$5))))))/10</f>
        <v>#N/A</v>
      </c>
      <c r="CK54" s="102" t="e">
        <f>(VLOOKUP($B$3,'Coeff EC7'!$T$39:$X$59,2,0)*CI54+VLOOKUP($B$3,'Coeff EC7'!$T$65:$X$85,2,0)*Model0.1C!CJ54)/1.1</f>
        <v>#N/A</v>
      </c>
      <c r="CL54" s="102" t="e">
        <f>(VLOOKUP($B$3,'Coeff EC7'!$T$39:$X$59,3,0)*CI54+VLOOKUP($B$3,'Coeff EC7'!$T$65:$X$85,3,0)*Model0.1C!CJ54)/0.9</f>
        <v>#N/A</v>
      </c>
      <c r="CM54" s="102" t="e">
        <f t="shared" si="82"/>
        <v>#N/A</v>
      </c>
      <c r="CN54" s="102" t="e">
        <f t="shared" si="83"/>
        <v>#N/A</v>
      </c>
      <c r="CO54" s="414" t="e">
        <f>IF(CO53=0,0,IF(AND(CK54&gt;charge_ELS_quasi,CL54&gt;Charge_ELS_freq,CM54&gt;charge_ELU,CN54&gt;charge_ELA,$B54&gt;NDC!$H$22-0.1+MIN(3*$CO$12,1.5)),0,1))</f>
        <v>#N/A</v>
      </c>
      <c r="CP54" s="86" t="b">
        <f t="shared" si="39"/>
        <v>0</v>
      </c>
      <c r="CQ54" s="86">
        <f t="shared" si="40"/>
        <v>0.5</v>
      </c>
      <c r="CR54" s="86">
        <f t="shared" si="41"/>
        <v>0.5</v>
      </c>
      <c r="CS54" s="30" t="e">
        <f t="shared" ca="1" si="84"/>
        <v>#DIV/0!</v>
      </c>
      <c r="CT54" s="85" t="e">
        <f ca="1">IF(BZ54&lt;=Hypothèses!$V$7,Hypothèses!$W$7,IF(BZ54&lt;=Hypothèses!$V$8,Hypothèses!$W$8,IF(BZ54&lt;=Hypothèses!$V$9,Hypothèses!$W$9,IF(BZ54&lt;=Hypothèses!$V$10,Hypothèses!$W$10,IF(BZ54&lt;=Hypothèses!$V$11,Hypothèses!$W$11,IF(BZ54&lt;=Hypothèses!$V$12,Hypothèses!$W$12,IF(BZ54&lt;=Hypothèses!$V$13,Hypothèses!$W$13,IF(BZ54&lt;=Hypothèses!$V$14,Hypothèses!$W$14,IF(BZ54&lt;=Hypothèses!$V$15,Hypothèses!$W$15,IF(BZ54&lt;=Hypothèses!$V$16,Hypothèses!$W$16,IF(BZ54&lt;=Hypothèses!$V$17,Hypothèses!$W$17,IF(BZ54&lt;=Hypothèses!$V$18,Hypothèses!$W$18,""))))))))))))</f>
        <v>#DIV/0!</v>
      </c>
      <c r="CU54" s="87" t="e">
        <f t="shared" ca="1" si="120"/>
        <v>#DIV/0!</v>
      </c>
      <c r="CV54" s="88" t="e">
        <f ca="1">IF(BZ54&lt;=Hypothèses!$V$7,Hypothèses!$X$7,IF(BZ54&lt;=Hypothèses!$V$8,Hypothèses!$X$8,IF(BZ54&lt;=Hypothèses!$V$9,Hypothèses!$X$9,IF(BZ54&lt;=Hypothèses!$V$10,Hypothèses!$X$10,IF(BZ54&lt;=Hypothèses!$V$11,Hypothèses!$X$11,IF(BZ54&lt;=Hypothèses!$V$12,Hypothèses!$X$12,IF(BZ54&lt;=Hypothèses!$V$13,Hypothèses!$X$13,IF(BZ54&lt;=Hypothèses!$V$14,Hypothèses!$X$14,IF(BZ54&lt;=Hypothèses!$V$15,Hypothèses!$X$15,IF(BZ54&lt;=Hypothèses!$V$16,Hypothèses!$X$16,IF(BZ54&lt;=Hypothèses!$U$17,Hypothèses!$W$17,IF(BZ54&lt;=Hypothèses!$U$18,Hypothèses!$W$18,""))))))))))))</f>
        <v>#DIV/0!</v>
      </c>
      <c r="CW54" s="95" t="e">
        <f t="shared" ca="1" si="85"/>
        <v>#DIV/0!</v>
      </c>
      <c r="CX54" s="101" t="e">
        <f t="shared" si="127"/>
        <v>#N/A</v>
      </c>
      <c r="CY54" s="91" t="e">
        <f t="shared" si="43"/>
        <v>#N/A</v>
      </c>
      <c r="CZ54" s="30" t="e">
        <f t="shared" si="108"/>
        <v>#N/A</v>
      </c>
      <c r="DA54" s="30" t="e">
        <f t="shared" si="109"/>
        <v>#N/A</v>
      </c>
      <c r="DB54" s="31" t="e">
        <f>IF(OR(Hypothèses!$B$4=17,Hypothèses!$B$4=18,Hypothèses!$B$4=19,Hypothèses!$B$4=20),
IF($D54="Pressio.",
IF(OR($E54=3,$E54=1,$E54=4),DA54,CZ54),
IF($D54="Pénétro.",
IF(OR($E54=3,$E54=1,$E54=4),DA54,CZ54))),IF($D54="Pressio.",
IF($E54=3,DA54,CZ54),
IF($D54="Pénétro.",
IF($E54=4,DA54,CZ54))))</f>
        <v>#N/A</v>
      </c>
      <c r="DC54" s="31" t="e">
        <f>(IF(OR(Hypothèses!$B$4=17,Hypothèses!$B$4=18,Hypothèses!$B$4=19,Hypothèses!$B$4=20),
IF($D54="Pressio.",
IF(OR($E54=3,$E54=1,$E54=4),(PI()*DC$12^2)/4*(CY54*$W54*1000)/($H54*$B$5),(PI()*DC$12^2)/4*(CY54*$W54*1000)/($G54*$B$5)),
IF($D54="Pénétro.",
IF(OR($E54=4,$E54=1,$E54=5),(PI()*DC$12^2)/4*(CY54*$W54*1000)/($H54*$B$5),(PI()*DC$12^2)/4*(CY54*$W54*1000)/($G54*$B$5)))),
IF($D54="Pressio.",
IF($E54=3,(PI()*DC$12^2)/4*(CY54*$W54*1000)/($H54*$B$5),(PI()*DC$12^2)/4*(CY54*$W54*1000)/($G54*$B$5)),
IF($D54="Pénétro.",
IF($E54=4,(PI()*DC$12^2)/4*(CY54*$W54*1000)/($H54*$B$5),(PI()*DC$12^2)/4*(CY54*$W54*1000)/($G54*$B$5))))))/10</f>
        <v>#N/A</v>
      </c>
      <c r="DD54" s="102" t="e">
        <f>(VLOOKUP($B$3,'Coeff EC7'!$T$39:$X$59,2,0)*DB54+VLOOKUP($B$3,'Coeff EC7'!$T$65:$X$85,2,0)*Model0.1C!DC54)/1.1</f>
        <v>#N/A</v>
      </c>
      <c r="DE54" s="102" t="e">
        <f>(VLOOKUP($B$3,'Coeff EC7'!$T$39:$X$59,3,0)*DB54+VLOOKUP($B$3,'Coeff EC7'!$T$65:$X$85,3,0)*Model0.1C!DC54)/0.9</f>
        <v>#N/A</v>
      </c>
      <c r="DF54" s="102" t="e">
        <f t="shared" si="86"/>
        <v>#N/A</v>
      </c>
      <c r="DG54" s="102" t="e">
        <f t="shared" si="87"/>
        <v>#N/A</v>
      </c>
      <c r="DH54" s="414" t="e">
        <f>IF(DH53=0,0,IF(AND(DD54&gt;charge_ELS_quasi,DE54&gt;Charge_ELS_freq,DF54&gt;charge_ELU,DG54&gt;charge_ELA,$B54&gt;NDC!$H$22-0.1+MIN(3*$DH$12,1.5)),0,1))</f>
        <v>#N/A</v>
      </c>
      <c r="DI54" s="86" t="b">
        <f t="shared" si="46"/>
        <v>0</v>
      </c>
      <c r="DJ54" s="86">
        <f t="shared" si="47"/>
        <v>0.5</v>
      </c>
      <c r="DK54" s="86">
        <f t="shared" si="48"/>
        <v>0.5</v>
      </c>
      <c r="DL54" s="30" t="e">
        <f t="shared" ca="1" si="88"/>
        <v>#DIV/0!</v>
      </c>
      <c r="DM54" s="85" t="e">
        <f ca="1">IF(CS54&lt;=Hypothèses!$V$7,Hypothèses!$W$7,IF(CS54&lt;=Hypothèses!$V$8,Hypothèses!$W$8,IF(CS54&lt;=Hypothèses!$V$9,Hypothèses!$W$9,IF(CS54&lt;=Hypothèses!$V$10,Hypothèses!$W$10,IF(CS54&lt;=Hypothèses!$V$11,Hypothèses!$W$11,IF(CS54&lt;=Hypothèses!$V$12,Hypothèses!$W$12,IF(CS54&lt;=Hypothèses!$V$13,Hypothèses!$W$13,IF(CS54&lt;=Hypothèses!$V$14,Hypothèses!$W$14,IF(CS54&lt;=Hypothèses!$V$15,Hypothèses!$W$15,IF(CS54&lt;=Hypothèses!$V$16,Hypothèses!$W$16,IF(CS54&lt;=Hypothèses!$V$17,Hypothèses!$W$17,IF(CS54&lt;=Hypothèses!$V$18,Hypothèses!$W$18,""))))))))))))</f>
        <v>#DIV/0!</v>
      </c>
      <c r="DN54" s="87" t="e">
        <f t="shared" ca="1" si="121"/>
        <v>#DIV/0!</v>
      </c>
      <c r="DO54" s="88" t="e">
        <f ca="1">IF(CS54&lt;=Hypothèses!$V$7,Hypothèses!$X$7,IF(CS54&lt;=Hypothèses!$V$8,Hypothèses!$X$8,IF(CS54&lt;=Hypothèses!$V$9,Hypothèses!$X$9,IF(CS54&lt;=Hypothèses!$V$10,Hypothèses!$X$10,IF(CS54&lt;=Hypothèses!$V$11,Hypothèses!$X$11,IF(CS54&lt;=Hypothèses!$V$12,Hypothèses!$X$12,IF(CS54&lt;=Hypothèses!$V$13,Hypothèses!$X$13,IF(CS54&lt;=Hypothèses!$V$14,Hypothèses!$X$14,IF(CS54&lt;=Hypothèses!$V$15,Hypothèses!$X$15,IF(CS54&lt;=Hypothèses!$V$16,Hypothèses!$X$16,IF(CS54&lt;=Hypothèses!$U$17,Hypothèses!$W$17,IF(CS54&lt;=Hypothèses!$U$18,Hypothèses!$W$18,""))))))))))))</f>
        <v>#DIV/0!</v>
      </c>
      <c r="DP54" s="95" t="e">
        <f t="shared" ca="1" si="89"/>
        <v>#DIV/0!</v>
      </c>
      <c r="DQ54" s="101" t="e">
        <f t="shared" si="128"/>
        <v>#N/A</v>
      </c>
      <c r="DR54" s="91" t="e">
        <f t="shared" si="50"/>
        <v>#N/A</v>
      </c>
      <c r="DS54" s="30" t="e">
        <f t="shared" si="110"/>
        <v>#N/A</v>
      </c>
      <c r="DT54" s="30" t="e">
        <f t="shared" si="111"/>
        <v>#N/A</v>
      </c>
      <c r="DU54" s="31" t="e">
        <f>IF(OR(Hypothèses!$B$4=17,Hypothèses!$B$4=18,Hypothèses!$B$4=19,Hypothèses!$B$4=20),
IF($D54="Pressio.",
IF(OR($E54=3,$E54=1,$E54=4),DT54,DS54),
IF($D54="Pénétro.",
IF(OR($E54=3,$E54=1,$E54=4),DT54,DS54))),IF($D54="Pressio.",
IF($E54=3,DT54,DS54),
IF($D54="Pénétro.",
IF($E54=4,DT54,DS54))))</f>
        <v>#N/A</v>
      </c>
      <c r="DV54" s="31" t="e">
        <f>(IF(OR(Hypothèses!$B$4=17,Hypothèses!$B$4=18,Hypothèses!$B$4=19,Hypothèses!$B$4=20),
IF($D54="Pressio.",
IF(OR($E54=3,$E54=1,$E54=4),(PI()*DV$12^2)/4*(DR54*$W54*1000)/($H54*$B$5),(PI()*DV$12^2)/4*(DR54*$W54*1000)/($G54*$B$5)),
IF($D54="Pénétro.",
IF(OR($E54=4,$E54=1,$E54=5),(PI()*DV$12^2)/4*(DR54*$W54*1000)/($H54*$B$5),(PI()*DV$12^2)/4*(DR54*$W54*1000)/($G54*$B$5)))),
IF($D54="Pressio.",
IF($E54=3,(PI()*DV$12^2)/4*(DR54*$W54*1000)/($H54*$B$5),(PI()*DV$12^2)/4*(DR54*$W54*1000)/($G54*$B$5)),
IF($D54="Pénétro.",
IF($E54=4,(PI()*DV$12^2)/4*(DR54*$W54*1000)/($H54*$B$5),(PI()*DV$12^2)/4*(DR54*$W54*1000)/($G54*$B$5))))))/10</f>
        <v>#N/A</v>
      </c>
      <c r="DW54" s="102" t="e">
        <f>(VLOOKUP($B$3,'Coeff EC7'!$T$39:$X$59,2,0)*DU54+VLOOKUP($B$3,'Coeff EC7'!$T$65:$X$85,2,0)*Model0.1C!DV54)/1.1</f>
        <v>#N/A</v>
      </c>
      <c r="DX54" s="102" t="e">
        <f>(VLOOKUP($B$3,'Coeff EC7'!$T$39:$X$59,3,0)*DU54+VLOOKUP($B$3,'Coeff EC7'!$T$65:$X$85,3,0)*Model0.1C!DV54)/0.9</f>
        <v>#N/A</v>
      </c>
      <c r="DY54" s="102" t="e">
        <f t="shared" si="90"/>
        <v>#N/A</v>
      </c>
      <c r="DZ54" s="102" t="e">
        <f t="shared" si="91"/>
        <v>#N/A</v>
      </c>
      <c r="EA54" s="414" t="e">
        <f>IF(EA53=0,0,IF(AND(DW54&gt;charge_ELS_quasi,DX54&gt;Charge_ELS_freq,DY54&gt;charge_ELU,DZ54&gt;charge_ELA,$B54&gt;NDC!$H$22-0.1+MIN(3*$EA$12,1.5)),0,1))</f>
        <v>#N/A</v>
      </c>
      <c r="EB54" s="86" t="b">
        <f t="shared" si="53"/>
        <v>0</v>
      </c>
      <c r="EC54" s="418">
        <f t="shared" si="54"/>
        <v>0.51</v>
      </c>
      <c r="ED54" s="86">
        <f t="shared" si="55"/>
        <v>0.51</v>
      </c>
      <c r="EE54" s="30" t="e">
        <f t="shared" ca="1" si="92"/>
        <v>#DIV/0!</v>
      </c>
      <c r="EF54" s="85" t="e">
        <f ca="1">IF(DL54&lt;=Hypothèses!$V$7,Hypothèses!$W$7,IF(DL54&lt;=Hypothèses!$V$8,Hypothèses!$W$8,IF(DL54&lt;=Hypothèses!$V$9,Hypothèses!$W$9,IF(DL54&lt;=Hypothèses!$V$10,Hypothèses!$W$10,IF(DL54&lt;=Hypothèses!$V$11,Hypothèses!$W$11,IF(DL54&lt;=Hypothèses!$V$12,Hypothèses!$W$12,IF(DL54&lt;=Hypothèses!$V$13,Hypothèses!$W$13,IF(DL54&lt;=Hypothèses!$V$14,Hypothèses!$W$14,IF(DL54&lt;=Hypothèses!$V$15,Hypothèses!$W$15,IF(DL54&lt;=Hypothèses!$V$16,Hypothèses!$W$16,IF(DL54&lt;=Hypothèses!$V$17,Hypothèses!$W$17,IF(DL54&lt;=Hypothèses!$V$18,Hypothèses!$W$18,""))))))))))))</f>
        <v>#DIV/0!</v>
      </c>
      <c r="EG54" s="87" t="e">
        <f t="shared" ca="1" si="122"/>
        <v>#DIV/0!</v>
      </c>
      <c r="EH54" s="88" t="e">
        <f ca="1">IF(DL54&lt;=Hypothèses!$V$7,Hypothèses!$X$7,IF(DL54&lt;=Hypothèses!$V$8,Hypothèses!$X$8,IF(DL54&lt;=Hypothèses!$V$9,Hypothèses!$X$9,IF(DL54&lt;=Hypothèses!$V$10,Hypothèses!$X$10,IF(DL54&lt;=Hypothèses!$V$11,Hypothèses!$X$11,IF(DL54&lt;=Hypothèses!$V$12,Hypothèses!$X$12,IF(DL54&lt;=Hypothèses!$V$13,Hypothèses!$X$13,IF(DL54&lt;=Hypothèses!$V$14,Hypothèses!$X$14,IF(DL54&lt;=Hypothèses!$V$15,Hypothèses!$X$15,IF(DL54&lt;=Hypothèses!$V$16,Hypothèses!$X$16,IF(DL54&lt;=Hypothèses!$U$17,Hypothèses!$W$17,IF(DL54&lt;=Hypothèses!$U$18,Hypothèses!$W$18,""))))))))))))</f>
        <v>#DIV/0!</v>
      </c>
      <c r="EI54" s="95" t="e">
        <f t="shared" ca="1" si="93"/>
        <v>#DIV/0!</v>
      </c>
      <c r="EJ54" s="101" t="e">
        <f t="shared" si="129"/>
        <v>#N/A</v>
      </c>
      <c r="EK54" s="91" t="e">
        <f t="shared" si="57"/>
        <v>#N/A</v>
      </c>
      <c r="EL54" s="30" t="e">
        <f t="shared" si="112"/>
        <v>#N/A</v>
      </c>
      <c r="EM54" s="30" t="e">
        <f t="shared" si="113"/>
        <v>#N/A</v>
      </c>
      <c r="EN54" s="31" t="e">
        <f>IF(OR(Hypothèses!$B$4=17,Hypothèses!$B$4=18,Hypothèses!$B$4=19,Hypothèses!$B$4=20),
IF($D54="Pressio.",
IF(OR($E54=3,$E54=1,$E54=4),EM54,EL54),
IF($D54="Pénétro.",
IF(OR($E54=3,$E54=1,$E54=4),EM54,EL54))),IF($D54="Pressio.",
IF($E54=3,EM54,EL54),
IF($D54="Pénétro.",
IF($E54=4,EM54,EL54))))</f>
        <v>#N/A</v>
      </c>
      <c r="EO54" s="31" t="e">
        <f>(IF(OR(Hypothèses!$B$4=17,Hypothèses!$B$4=18,Hypothèses!$B$4=19,Hypothèses!$B$4=20),
IF($D54="Pressio.",
IF(OR($E54=3,$E54=1,$E54=4),(PI()*EO$12^2)/4*(EK54*$W54*1000)/($H54*$B$5),(PI()*EO$12^2)/4*(EK54*$W54*1000)/($G54*$B$5)),
IF($D54="Pénétro.",
IF(OR($E54=4,$E54=1,$E54=5),(PI()*EO$12^2)/4*(EK54*$W54*1000)/($H54*$B$5),(PI()*EO$12^2)/4*(EK54*$W54*1000)/($G54*$B$5)))),
IF($D54="Pressio.",
IF($E54=3,(PI()*EO$12^2)/4*(EK54*$W54*1000)/($H54*$B$5),(PI()*EO$12^2)/4*(EK54*$W54*1000)/($G54*$B$5)),
IF($D54="Pénétro.",
IF($E54=4,(PI()*EO$12^2)/4*(EK54*$W54*1000)/($H54*$B$5),(PI()*EO$12^2)/4*(EK54*$W54*1000)/($G54*$B$5))))))/10</f>
        <v>#N/A</v>
      </c>
      <c r="EP54" s="102" t="e">
        <f>(VLOOKUP($B$3,'Coeff EC7'!$T$39:$X$59,2,0)*EN54+VLOOKUP($B$3,'Coeff EC7'!$T$65:$X$85,2,0)*Model0.1C!EO54)/1.1</f>
        <v>#N/A</v>
      </c>
      <c r="EQ54" s="102" t="e">
        <f>(VLOOKUP($B$3,'Coeff EC7'!$T$39:$X$59,3,0)*EN54+VLOOKUP($B$3,'Coeff EC7'!$T$65:$X$85,3,0)*Model0.1C!EO54)/0.9</f>
        <v>#N/A</v>
      </c>
      <c r="ER54" s="102" t="e">
        <f t="shared" si="94"/>
        <v>#N/A</v>
      </c>
      <c r="ES54" s="102" t="e">
        <f t="shared" si="95"/>
        <v>#N/A</v>
      </c>
      <c r="ET54" s="414" t="e">
        <f>IF(ET53=0,0,IF(AND(EP54&gt;charge_ELS_quasi,EQ54&gt;Charge_ELS_freq,ER54&gt;charge_ELU,ES54&gt;charge_ELA,$B54&gt;NDC!$H$22-0.1+MIN(3*$ET$12,1.5)),0,1))</f>
        <v>#N/A</v>
      </c>
      <c r="EU54" s="86" t="b">
        <f t="shared" si="60"/>
        <v>0</v>
      </c>
      <c r="EV54" s="86">
        <f t="shared" si="61"/>
        <v>0.61</v>
      </c>
      <c r="EW54" s="86">
        <f t="shared" si="62"/>
        <v>0.61</v>
      </c>
      <c r="EX54" s="30" t="e">
        <f t="shared" ca="1" si="96"/>
        <v>#DIV/0!</v>
      </c>
      <c r="EY54" s="85" t="e">
        <f ca="1">IF(EE54&lt;=Hypothèses!$V$7,Hypothèses!$W$7,IF(EE54&lt;=Hypothèses!$V$8,Hypothèses!$W$8,IF(EE54&lt;=Hypothèses!$V$9,Hypothèses!$W$9,IF(EE54&lt;=Hypothèses!$V$10,Hypothèses!$W$10,IF(EE54&lt;=Hypothèses!$V$11,Hypothèses!$W$11,IF(EE54&lt;=Hypothèses!$V$12,Hypothèses!$W$12,IF(EE54&lt;=Hypothèses!$V$13,Hypothèses!$W$13,IF(EE54&lt;=Hypothèses!$V$14,Hypothèses!$W$14,IF(EE54&lt;=Hypothèses!$V$15,Hypothèses!$W$15,IF(EE54&lt;=Hypothèses!$V$16,Hypothèses!$W$16,IF(EE54&lt;=Hypothèses!$V$17,Hypothèses!$W$17,IF(EE54&lt;=Hypothèses!$V$18,Hypothèses!$W$18,""))))))))))))</f>
        <v>#DIV/0!</v>
      </c>
      <c r="EZ54" s="87" t="e">
        <f t="shared" ca="1" si="123"/>
        <v>#DIV/0!</v>
      </c>
      <c r="FA54" s="88" t="e">
        <f ca="1">IF(EE54&lt;=Hypothèses!$V$7,Hypothèses!$X$7,IF(EE54&lt;=Hypothèses!$V$8,Hypothèses!$X$8,IF(EE54&lt;=Hypothèses!$V$9,Hypothèses!$X$9,IF(EE54&lt;=Hypothèses!$V$10,Hypothèses!$X$10,IF(EE54&lt;=Hypothèses!$V$11,Hypothèses!$X$11,IF(EE54&lt;=Hypothèses!$V$12,Hypothèses!$X$12,IF(EE54&lt;=Hypothèses!$V$13,Hypothèses!$X$13,IF(EE54&lt;=Hypothèses!$V$14,Hypothèses!$X$14,IF(EE54&lt;=Hypothèses!$V$15,Hypothèses!$X$15,IF(EE54&lt;=Hypothèses!$V$16,Hypothèses!$X$16,IF(EE54&lt;=Hypothèses!$U$17,Hypothèses!$W$17,IF(EE54&lt;=Hypothèses!$U$18,Hypothèses!$W$18,""))))))))))))</f>
        <v>#DIV/0!</v>
      </c>
      <c r="FB54" s="95" t="e">
        <f t="shared" ca="1" si="97"/>
        <v>#DIV/0!</v>
      </c>
      <c r="FC54" s="101" t="e">
        <f t="shared" si="130"/>
        <v>#N/A</v>
      </c>
      <c r="FD54" s="91" t="e">
        <f t="shared" si="64"/>
        <v>#N/A</v>
      </c>
      <c r="FE54" s="30" t="e">
        <f t="shared" si="114"/>
        <v>#N/A</v>
      </c>
      <c r="FF54" s="30" t="e">
        <f t="shared" si="115"/>
        <v>#N/A</v>
      </c>
      <c r="FG54" s="31" t="e">
        <f>IF(OR(Hypothèses!$B$4=17,Hypothèses!$B$4=18,Hypothèses!$B$4=19,Hypothèses!$B$4=20),
IF($D54="Pressio.",
IF(OR($E54=3,$E54=1,$E54=4),FF54,FE54),
IF($D54="Pénétro.",
IF(OR($E54=3,$E54=1,$E54=4),FF54,FE54))),IF($D54="Pressio.",
IF($E54=3,FF54,FE54),
IF($D54="Pénétro.",
IF($E54=4,FF54,FE54))))</f>
        <v>#N/A</v>
      </c>
      <c r="FH54" s="31" t="e">
        <f>(IF(OR(Hypothèses!$B$4=17,Hypothèses!$B$4=18,Hypothèses!$B$4=19,Hypothèses!$B$4=20),
IF($D54="Pressio.",
IF(OR($E54=3,$E54=1,$E54=4),(PI()*FH$12^2)/4*(FD54*$W54*1000)/($H54*$B$5),(PI()*FH$12^2)/4*(FD54*$W54*1000)/($G54*$B$5)),
IF($D54="Pénétro.",
IF(OR($E54=4,$E54=1,$E54=5),(PI()*FH$12^2)/4*(FD54*$W54*1000)/($H54*$B$5),(PI()*FH$12^2)/4*(FD54*$W54*1000)/($G54*$B$5)))),
IF($D54="Pressio.",
IF($E54=3,(PI()*FH$12^2)/4*(FD54*$W54*1000)/($H54*$B$5),(PI()*FH$12^2)/4*(FD54*$W54*1000)/($G54*$B$5)),
IF($D54="Pénétro.",
IF($E54=4,(PI()*FH$12^2)/4*(FD54*$W54*1000)/($H54*$B$5),(PI()*FH$12^2)/4*(FD54*$W54*1000)/($G54*$B$5))))))/10</f>
        <v>#N/A</v>
      </c>
      <c r="FI54" s="102" t="e">
        <f>(VLOOKUP($B$3,'Coeff EC7'!$T$39:$X$59,2,0)*FG54+VLOOKUP($B$3,'Coeff EC7'!$T$65:$X$85,2,0)*Model0.1C!FH54)/1.1</f>
        <v>#N/A</v>
      </c>
      <c r="FJ54" s="102" t="e">
        <f>(VLOOKUP($B$3,'Coeff EC7'!$T$39:$X$59,3,0)*FG54+VLOOKUP($B$3,'Coeff EC7'!$T$65:$X$85,3,0)*Model0.1C!FH54)/0.9</f>
        <v>#N/A</v>
      </c>
      <c r="FK54" s="102" t="e">
        <f t="shared" si="98"/>
        <v>#N/A</v>
      </c>
      <c r="FL54" s="102" t="e">
        <f t="shared" si="99"/>
        <v>#N/A</v>
      </c>
      <c r="FM54" s="414" t="e">
        <f>IF(FM53=0,0,IF(AND(FI54&gt;charge_ELS_quasi,FJ54&gt;Charge_ELS_freq,FK54&gt;charge_ELU,FL54&gt;charge_ELA,$B54&gt;NDC!$H$22-0.1+MIN(3*$FM$12,1.5)),0,1))</f>
        <v>#N/A</v>
      </c>
    </row>
    <row r="55" spans="1:169">
      <c r="A55" s="96">
        <f t="shared" si="67"/>
        <v>95.800000000000239</v>
      </c>
      <c r="B55" s="97">
        <v>4.2</v>
      </c>
      <c r="C55" s="81">
        <f>IF(B55&lt;=Hypothèses!$C$7,Hypothèses!$A$7,IF(B55&lt;=Hypothèses!$C$8,Hypothèses!$A$8,IF(B55&lt;=Hypothèses!$C$9,Hypothèses!$A$9,IF(B55&lt;=Hypothèses!$C$10,Hypothèses!$A$10,IF(B55&lt;=Hypothèses!$C$11,Hypothèses!$A$11,IF(B55&lt;=Hypothèses!$C$12,Hypothèses!$A$12,IF(B55&lt;=Hypothèses!$C$13,Hypothèses!$A$13,IF(B55&lt;=Hypothèses!$C$14,Hypothèses!$A$14,IF(B55&lt;=Hypothèses!$C$15,Hypothèses!$A$15,IF(B55&lt;=Hypothèses!$C$16,Hypothèses!$A$16,IF(B55&lt;=Hypothèses!$C$17,Hypothèses!$A$17,IF(B55&lt;=Hypothèses!$C$18,Hypothèses!$A$18,C54))))))))))))</f>
        <v>11</v>
      </c>
      <c r="D55" s="82" t="str">
        <f>IF(B55&lt;=Hypothèses!$C$7,Hypothèses!$R$7,IF(B55&lt;=Hypothèses!$C$8,Hypothèses!$R$8,IF(B55&lt;=Hypothèses!$C$9,Hypothèses!$R$9,IF(B55&lt;=Hypothèses!$C$10,Hypothèses!$R$10,IF(B55&lt;=Hypothèses!$C$11,Hypothèses!$R$11,IF(B55&lt;=Hypothèses!$C$12,Hypothèses!$R$12,IF(B55&lt;=Hypothèses!$C$13,Hypothèses!$R$13,IF(B55&lt;=Hypothèses!$C$14,Hypothèses!$R$14,IF(B55&lt;=Hypothèses!$C$15,Hypothèses!$R$15,IF(B55&lt;=Hypothèses!$C$16,Hypothèses!$R$16,IF(B55&lt;=Hypothèses!$C$17,Hypothèses!$R$17,IF(B55&lt;=Hypothèses!$C$18,Hypothèses!$R$18,D54))))))))))))</f>
        <v>Pressio.</v>
      </c>
      <c r="E55" s="82" t="e">
        <f>IF(B55&lt;=Hypothèses!$C$7,Hypothèses!$G$7,IF(B55&lt;=Hypothèses!$C$8,Hypothèses!$G$8,IF(B55&lt;=Hypothèses!$C$9,Hypothèses!$G$9,IF(B55&lt;=Hypothèses!$C$10,Hypothèses!$G$10,IF(B55&lt;=Hypothèses!$C$11,Hypothèses!$G$11,IF(B55&lt;=Hypothèses!$C$12,Hypothèses!$G$12,IF(B55&lt;=Hypothèses!$C$13,Hypothèses!$G$13,IF(B55&lt;=Hypothèses!$C$14,Hypothèses!$G$14,IF(B55&lt;=Hypothèses!$C$15,Hypothèses!$G$15,IF(B55&lt;=Hypothèses!$C$16,Hypothèses!$G$16,IF(B55&lt;=Hypothèses!$C$17,Hypothèses!$G$17,IF(B55&lt;=Hypothèses!$C$18,Hypothèses!$G$18,E54))))))))))))</f>
        <v>#N/A</v>
      </c>
      <c r="F55" s="82" t="str">
        <f>IF(B55&lt;=Hypothèses!$C$7,Hypothèses!$F$7,IF(B55&lt;=Hypothèses!$C$8,Hypothèses!$F$8,IF(B55&lt;=Hypothèses!$C$9,Hypothèses!$F$9,IF(B55&lt;=Hypothèses!$C$10,Hypothèses!$F$10,IF(B55&lt;=Hypothèses!$C$11,Hypothèses!$F$11,IF(B55&lt;=Hypothèses!$C$12,Hypothèses!$F$12,IF(B55&lt;=Hypothèses!$C$13,Hypothèses!$F$13,IF(B55&lt;=Hypothèses!$C$14,Hypothèses!$F$14,IF(B55&lt;=Hypothèses!$C$15,Hypothèses!$F$15,IF(B55&lt;=Hypothèses!$C$16,Hypothèses!$F$16,IF(B55&lt;=Hypothèses!$C$17,Hypothèses!$F$17,IF(B55&lt;=Hypothèses!$C$18,Hypothèses!$F$18,F54))))))))))))</f>
        <v/>
      </c>
      <c r="G55" s="91">
        <f t="array" ref="G55">INDEX('Coeff EC7'!$U$7:$X$27,
MATCH(Model0.1C!$B$3,'Coeff EC7'!$T$7:$T$27,0),
MATCH(Model0.1C!$D55&amp;Model0.1C!$B$4,
'Coeff EC7'!$U$6:$X$6&amp;
'Coeff EC7'!$U$5:$X$5,0))</f>
        <v>1.1499999999999999</v>
      </c>
      <c r="H55" s="91">
        <f t="array" ref="H55">INDEX('Coeff EC7'!$Y$7:$AB$27,
MATCH(Model0.1C!$B$3,'Coeff EC7'!$T$7:$T$27,0),
MATCH(Model0.1C!$D55&amp;Model0.1C!$B$4,
'Coeff EC7'!$Y$6:$AB$6&amp;
'Coeff EC7'!$Y$5:$AB$5,0))</f>
        <v>1.4</v>
      </c>
      <c r="I55" s="83" t="e">
        <f>IF(B55&lt;=Hypothèses!$C$7,Hypothèses!$P$7,IF(B55&lt;=Hypothèses!$C$8,Hypothèses!$P$8,IF(B55&lt;=Hypothèses!$C$9,Hypothèses!$P$9,IF(B55&lt;=Hypothèses!$C$10,Hypothèses!$P$10,IF(B55&lt;=Hypothèses!$C$11,Hypothèses!$P$11,IF(B55&lt;=Hypothèses!$C$12,Hypothèses!$P$12,IF(B55&lt;=Hypothèses!$C$13,Hypothèses!$P$13,IF(B55&lt;=Hypothèses!$C$14,Hypothèses!$P$14,IF(B55&lt;=Hypothèses!$C$15,Hypothèses!$P$15,IF(B55&lt;=Hypothèses!$C$16,Hypothèses!$P$16,IF(B55&lt;=Hypothèses!$C$17,Hypothèses!$P$17,IF(B55&lt;=Hypothèses!$C$18,Hypothèses!$P$18,I54))))))))))))</f>
        <v>#N/A</v>
      </c>
      <c r="J55" s="91" t="e">
        <f t="array" ref="J55">INDEX('Coeff EC7'!$D$33:$Q$33,1,MATCH(D55&amp;E55,'Coeff EC7'!$D$31:$Q$31&amp;'Coeff EC7'!$D$32:$Q$32,0))</f>
        <v>#N/A</v>
      </c>
      <c r="K55" s="91" t="e">
        <f t="array" ref="K55">INDEX('Coeff EC7'!$D$34:$Q$34,1,MATCH(D55&amp;E55,'Coeff EC7'!$D$31:$Q$31&amp;'Coeff EC7'!$D$32:$Q$32,0))</f>
        <v>#N/A</v>
      </c>
      <c r="L55" s="91" t="e">
        <f t="array" ref="L55">INDEX('Coeff EC7'!$D$35:$Q$35,1,MATCH(D55&amp;E55,'Coeff EC7'!$D$31:$Q$31&amp;'Coeff EC7'!$D$32:$Q$32,0))</f>
        <v>#N/A</v>
      </c>
      <c r="M55" s="98" t="e">
        <f t="shared" si="8"/>
        <v>#N/A</v>
      </c>
      <c r="N55" s="99" t="e">
        <f t="array" ref="N55">INDEX('Coeff EC7'!$D$7:$Q$27,MATCH($B$3,'Coeff EC7'!$C$7:$C$27,0),MATCH(D55&amp;E55,'Coeff EC7'!$D$5:$Q$5&amp;'Coeff EC7'!$D$6:$Q$6,0))</f>
        <v>#N/A</v>
      </c>
      <c r="O55" s="99" t="e">
        <f t="array" ref="O55">INDEX('Coeff EC7'!$D$41:$Q$61,MATCH($B$3,'Coeff EC7'!$C$41:$C$61,0),MATCH(D55&amp;E55,'Coeff EC7'!$D$39:$Q$39&amp;'Coeff EC7'!$D$40:$Q$40,0))</f>
        <v>#N/A</v>
      </c>
      <c r="P55" s="30" t="e">
        <f t="shared" si="68"/>
        <v>#N/A</v>
      </c>
      <c r="Q55" s="100" t="e">
        <f t="shared" si="10"/>
        <v>#N/A</v>
      </c>
      <c r="R55" s="86" t="b">
        <f t="shared" si="11"/>
        <v>0</v>
      </c>
      <c r="S55" s="86">
        <f t="shared" si="9"/>
        <v>0.5</v>
      </c>
      <c r="T55" s="86">
        <f t="shared" si="12"/>
        <v>0.5</v>
      </c>
      <c r="U55" s="30" t="e">
        <f t="shared" ca="1" si="69"/>
        <v>#DIV/0!</v>
      </c>
      <c r="V55" s="85" t="str">
        <f>IF(B55&lt;=Hypothèses!$V$7,Hypothèses!$W$7,IF(B55&lt;=Hypothèses!$V$8,Hypothèses!$W$8,IF(B55&lt;=Hypothèses!$V$9,Hypothèses!$W$9,IF(B55&lt;=Hypothèses!$V$10,Hypothèses!$W$10,IF(B55&lt;=Hypothèses!$V$11,Hypothèses!$W$11,IF(B55&lt;=Hypothèses!$V$12,Hypothèses!$W$12,IF(B55&lt;=Hypothèses!$V$13,Hypothèses!$W$13,IF(B55&lt;=Hypothèses!$V$14,Hypothèses!$W$14,IF(B55&lt;=Hypothèses!$V$15,Hypothèses!$W$15,IF(B55&lt;=Hypothèses!$V$16,Hypothèses!$W$16,IF(B55&lt;=Hypothèses!$V$17,Hypothèses!$W$17,IF(B55&lt;=Hypothèses!$V$18,Hypothèses!$W$18,""))))))))))))</f>
        <v/>
      </c>
      <c r="W55" s="87" t="e">
        <f t="shared" ca="1" si="116"/>
        <v>#DIV/0!</v>
      </c>
      <c r="X55" s="88" t="str">
        <f>IF(B55&lt;=Hypothèses!$V$7,Hypothèses!$X$7,IF(B55&lt;=Hypothèses!$V$8,Hypothèses!$X$8,IF(B55&lt;=Hypothèses!$V$9,Hypothèses!$X$9,IF(B55&lt;=Hypothèses!$V$10,Hypothèses!$X$10,IF(B55&lt;=Hypothèses!$V$11,Hypothèses!$X$11,IF(B55&lt;=Hypothèses!$V$12,Hypothèses!$X$12,IF(B55&lt;=Hypothèses!$V$13,Hypothèses!$X$13,IF(B55&lt;=Hypothèses!$V$14,Hypothèses!$X$14,IF(B55&lt;=Hypothèses!$V$15,Hypothèses!$X$15,IF(B55&lt;=Hypothèses!$V$16,Hypothèses!$X$16,IF(B55&lt;=Hypothèses!$U$17,Hypothèses!$W$17,IF(B55&lt;=Hypothèses!$U$18,Hypothèses!$W$18,""))))))))))))</f>
        <v/>
      </c>
      <c r="Y55" s="95" t="e">
        <f t="shared" ca="1" si="13"/>
        <v>#DIV/0!</v>
      </c>
      <c r="Z55" s="101" t="e">
        <f t="shared" si="14"/>
        <v>#N/A</v>
      </c>
      <c r="AA55" s="91" t="e">
        <f t="shared" si="15"/>
        <v>#N/A</v>
      </c>
      <c r="AB55" s="30" t="e">
        <f t="shared" si="100"/>
        <v>#N/A</v>
      </c>
      <c r="AC55" s="30" t="e">
        <f t="shared" si="101"/>
        <v>#N/A</v>
      </c>
      <c r="AD55" s="31" t="e">
        <f>IF(OR(Hypothèses!$B$4=17,Hypothèses!$B$4=18,Hypothèses!$B$4=19,Hypothèses!$B$4=20),
IF($D55="Pressio.",
IF(OR($E55=3,$E55=1,$E55=4),AC55,AB55),
IF($D55="Pénétro.",
IF(OR($E55=3,$E55=1,$E55=4),AC55,AB55))),IF($D55="Pressio.",
IF($E55=3,AC55,AB55),
IF($D55="Pénétro.",
IF($E55=4,AC55,AB55))))</f>
        <v>#N/A</v>
      </c>
      <c r="AE55" s="31" t="e">
        <f>(IF(OR(Hypothèses!$B$4=17,Hypothèses!$B$4=18,Hypothèses!$B$4=19,Hypothèses!$B$4=20),
IF($D55="Pressio.",
IF(OR($E55=3,$E55=1,$E55=4),(PI()*AE$12^2)/4*(AA55*$W55*1000)/($H55*$B$5),(PI()*AE$12^2)/4*(AA55*$W55*1000)/($G55*$B$5)),
IF($D55="Pénétro.",
IF(OR($E55=4,$E55=1,$E55=5),(PI()*AE$12^2)/4*(AA55*$W55*1000)/($H55*$B$5),(PI()*AE$12^2)/4*(AA55*$W55*1000)/($G55*$B$5)))),
IF($D55="Pressio.",
IF($E55=3,(PI()*AE$12^2)/4*(AA55*$W55*1000)/($H55*$B$5),(PI()*AE$12^2)/4*(AA55*$W55*1000)/($G55*$B$5)),
IF($D55="Pénétro.",
IF($E55=4,(PI()*AE$12^2)/4*(AA55*$W55*1000)/($H55*$B$5),(PI()*AE$12^2)/4*(AA55*$W55*1000)/($G55*$B$5))))))/10</f>
        <v>#N/A</v>
      </c>
      <c r="AF55" s="102" t="e">
        <f>(VLOOKUP($B$3,'Coeff EC7'!$T$39:$X$59,2,0)*AD55+VLOOKUP($B$3,'Coeff EC7'!$T$65:$X$85,2,0)*Model0.1C!AE55)/1.1</f>
        <v>#N/A</v>
      </c>
      <c r="AG55" s="102" t="e">
        <f>(VLOOKUP($B$3,'Coeff EC7'!$T$39:$X$59,3,0)*AD55+VLOOKUP($B$3,'Coeff EC7'!$T$65:$X$85,3,0)*Model0.1C!AE55)/0.9</f>
        <v>#N/A</v>
      </c>
      <c r="AH55" s="102" t="e">
        <f t="shared" si="18"/>
        <v>#N/A</v>
      </c>
      <c r="AI55" s="102" t="e">
        <f t="shared" si="19"/>
        <v>#N/A</v>
      </c>
      <c r="AJ55" s="414" t="e">
        <f>IF(AJ54=0,0,IF(AND(AF55&gt;charge_ELS_quasi,AG55&gt;Charge_ELS_freq,AH55&gt;charge_ELU,AI55&gt;charge_ELA,$B55&gt;NDC!$H$22-0.1+MIN(3*$AJ$12,1.5)),0,1))</f>
        <v>#N/A</v>
      </c>
      <c r="AK55" s="86" t="b">
        <f t="shared" si="20"/>
        <v>0</v>
      </c>
      <c r="AL55" s="86">
        <f t="shared" si="70"/>
        <v>0.5</v>
      </c>
      <c r="AM55" s="86">
        <f t="shared" si="21"/>
        <v>0.5</v>
      </c>
      <c r="AN55" s="30" t="e">
        <f t="shared" ca="1" si="71"/>
        <v>#DIV/0!</v>
      </c>
      <c r="AO55" s="85" t="e">
        <f ca="1">IF(U55&lt;=Hypothèses!$V$7,Hypothèses!$W$7,IF(U55&lt;=Hypothèses!$V$8,Hypothèses!$W$8,IF(U55&lt;=Hypothèses!$V$9,Hypothèses!$W$9,IF(U55&lt;=Hypothèses!$V$10,Hypothèses!$W$10,IF(U55&lt;=Hypothèses!$V$11,Hypothèses!$W$11,IF(U55&lt;=Hypothèses!$V$12,Hypothèses!$W$12,IF(U55&lt;=Hypothèses!$V$13,Hypothèses!$W$13,IF(U55&lt;=Hypothèses!$V$14,Hypothèses!$W$14,IF(U55&lt;=Hypothèses!$V$15,Hypothèses!$W$15,IF(U55&lt;=Hypothèses!$V$16,Hypothèses!$W$16,IF(U55&lt;=Hypothèses!$V$17,Hypothèses!$W$17,IF(U55&lt;=Hypothèses!$V$18,Hypothèses!$W$18,""))))))))))))</f>
        <v>#DIV/0!</v>
      </c>
      <c r="AP55" s="87" t="e">
        <f t="shared" ca="1" si="117"/>
        <v>#DIV/0!</v>
      </c>
      <c r="AQ55" s="88" t="e">
        <f ca="1">IF(U55&lt;=Hypothèses!$V$7,Hypothèses!$X$7,IF(U55&lt;=Hypothèses!$V$8,Hypothèses!$X$8,IF(U55&lt;=Hypothèses!$V$9,Hypothèses!$X$9,IF(U55&lt;=Hypothèses!$V$10,Hypothèses!$X$10,IF(U55&lt;=Hypothèses!$V$11,Hypothèses!$X$11,IF(U55&lt;=Hypothèses!$V$12,Hypothèses!$X$12,IF(U55&lt;=Hypothèses!$V$13,Hypothèses!$X$13,IF(U55&lt;=Hypothèses!$V$14,Hypothèses!$X$14,IF(U55&lt;=Hypothèses!$V$15,Hypothèses!$X$15,IF(U55&lt;=Hypothèses!$V$16,Hypothèses!$X$16,IF(U55&lt;=Hypothèses!$U$17,Hypothèses!$W$17,IF(U55&lt;=Hypothèses!$U$18,Hypothèses!$W$18,""))))))))))))</f>
        <v>#DIV/0!</v>
      </c>
      <c r="AR55" s="95" t="e">
        <f t="shared" ca="1" si="72"/>
        <v>#DIV/0!</v>
      </c>
      <c r="AS55" s="101" t="e">
        <f t="shared" si="124"/>
        <v>#N/A</v>
      </c>
      <c r="AT55" s="91" t="e">
        <f t="shared" si="23"/>
        <v>#N/A</v>
      </c>
      <c r="AU55" s="30" t="e">
        <f t="shared" si="102"/>
        <v>#N/A</v>
      </c>
      <c r="AV55" s="30" t="e">
        <f t="shared" si="103"/>
        <v>#N/A</v>
      </c>
      <c r="AW55" s="31" t="e">
        <f>IF(OR(Hypothèses!$B$4=17,Hypothèses!$B$4=18,Hypothèses!$B$4=19,Hypothèses!$B$4=20),
IF($D55="Pressio.",
IF(OR($E55=3,$E55=1,$E55=4),AV55,AU55),
IF($D55="Pénétro.",
IF(OR($E55=3,$E55=1,$E55=4),AV55,AU55))),IF($D55="Pressio.",
IF($E55=3,AV55,AU55),
IF($D55="Pénétro.",
IF($E55=4,AV55,AU55))))</f>
        <v>#N/A</v>
      </c>
      <c r="AX55" s="31" t="e">
        <f>(IF(OR(Hypothèses!$B$4=17,Hypothèses!$B$4=18,Hypothèses!$B$4=19,Hypothèses!$B$4=20),
IF($D55="Pressio.",
IF(OR($E55=3,$E55=1,$E55=4),(PI()*AX$12^2)/4*(AT55*$W55*1000)/($H55*$B$5),(PI()*AX$12^2)/4*(AT55*$W55*1000)/($G55*$B$5)),
IF($D55="Pénétro.",
IF(OR($E55=4,$E55=1,$E55=5),(PI()*AX$12^2)/4*(AT55*$W55*1000)/($H55*$B$5),(PI()*AX$12^2)/4*(AT55*$W55*1000)/($G55*$B$5)))),
IF($D55="Pressio.",
IF($E55=3,(PI()*AX$12^2)/4*(AT55*$W55*1000)/($H55*$B$5),(PI()*AX$12^2)/4*(AT55*$W55*1000)/($G55*$B$5)),
IF($D55="Pénétro.",
IF($E55=4,(PI()*AX$12^2)/4*(AT55*$W55*1000)/($H55*$B$5),(PI()*AX$12^2)/4*(AT55*$W55*1000)/($G55*$B$5))))))/10</f>
        <v>#N/A</v>
      </c>
      <c r="AY55" s="102" t="e">
        <f>(VLOOKUP($B$3,'Coeff EC7'!$T$39:$X$59,2,0)*AW55+VLOOKUP($B$3,'Coeff EC7'!$T$65:$X$85,2,0)*Model0.1C!AX55)/1.1</f>
        <v>#N/A</v>
      </c>
      <c r="AZ55" s="102" t="e">
        <f>(VLOOKUP($B$3,'Coeff EC7'!$T$39:$X$59,3,0)*AW55+VLOOKUP($B$3,'Coeff EC7'!$T$65:$X$85,3,0)*Model0.1C!AX55)/0.9</f>
        <v>#N/A</v>
      </c>
      <c r="BA55" s="102" t="e">
        <f t="shared" si="73"/>
        <v>#N/A</v>
      </c>
      <c r="BB55" s="102" t="e">
        <f t="shared" si="74"/>
        <v>#N/A</v>
      </c>
      <c r="BC55" s="414" t="e">
        <f>IF(BC54=0,0,IF(AND(AY55&gt;charge_ELS_quasi,AZ55&gt;Charge_ELS_freq,BA55&gt;charge_ELU,BB55&gt;charge_ELA,$B55&gt;NDC!$H$22-0.1+MIN(3*$BC$12,1.5)),0,1))</f>
        <v>#N/A</v>
      </c>
      <c r="BD55" s="86" t="b">
        <f t="shared" si="26"/>
        <v>0</v>
      </c>
      <c r="BE55" s="86">
        <f t="shared" si="75"/>
        <v>0.5</v>
      </c>
      <c r="BF55" s="86">
        <f t="shared" si="27"/>
        <v>0.5</v>
      </c>
      <c r="BG55" s="30" t="e">
        <f t="shared" ca="1" si="76"/>
        <v>#DIV/0!</v>
      </c>
      <c r="BH55" s="85" t="e">
        <f ca="1">IF(AN55&lt;=Hypothèses!$V$7,Hypothèses!$W$7,IF(AN55&lt;=Hypothèses!$V$8,Hypothèses!$W$8,IF(AN55&lt;=Hypothèses!$V$9,Hypothèses!$W$9,IF(AN55&lt;=Hypothèses!$V$10,Hypothèses!$W$10,IF(AN55&lt;=Hypothèses!$V$11,Hypothèses!$W$11,IF(AN55&lt;=Hypothèses!$V$12,Hypothèses!$W$12,IF(AN55&lt;=Hypothèses!$V$13,Hypothèses!$W$13,IF(AN55&lt;=Hypothèses!$V$14,Hypothèses!$W$14,IF(AN55&lt;=Hypothèses!$V$15,Hypothèses!$W$15,IF(AN55&lt;=Hypothèses!$V$16,Hypothèses!$W$16,IF(AN55&lt;=Hypothèses!$V$17,Hypothèses!$W$17,IF(AN55&lt;=Hypothèses!$V$18,Hypothèses!$W$18,""))))))))))))</f>
        <v>#DIV/0!</v>
      </c>
      <c r="BI55" s="87" t="e">
        <f t="shared" ca="1" si="118"/>
        <v>#DIV/0!</v>
      </c>
      <c r="BJ55" s="88" t="e">
        <f ca="1">IF(AN55&lt;=Hypothèses!$V$7,Hypothèses!$X$7,IF(AN55&lt;=Hypothèses!$V$8,Hypothèses!$X$8,IF(AN55&lt;=Hypothèses!$V$9,Hypothèses!$X$9,IF(AN55&lt;=Hypothèses!$V$10,Hypothèses!$X$10,IF(AN55&lt;=Hypothèses!$V$11,Hypothèses!$X$11,IF(AN55&lt;=Hypothèses!$V$12,Hypothèses!$X$12,IF(AN55&lt;=Hypothèses!$V$13,Hypothèses!$X$13,IF(AN55&lt;=Hypothèses!$V$14,Hypothèses!$X$14,IF(AN55&lt;=Hypothèses!$V$15,Hypothèses!$X$15,IF(AN55&lt;=Hypothèses!$V$16,Hypothèses!$X$16,IF(AN55&lt;=Hypothèses!$U$17,Hypothèses!$W$17,IF(AN55&lt;=Hypothèses!$U$18,Hypothèses!$W$18,""))))))))))))</f>
        <v>#DIV/0!</v>
      </c>
      <c r="BK55" s="95" t="e">
        <f t="shared" ca="1" si="77"/>
        <v>#DIV/0!</v>
      </c>
      <c r="BL55" s="101" t="e">
        <f t="shared" si="125"/>
        <v>#N/A</v>
      </c>
      <c r="BM55" s="91" t="e">
        <f t="shared" si="29"/>
        <v>#N/A</v>
      </c>
      <c r="BN55" s="30" t="e">
        <f t="shared" si="104"/>
        <v>#N/A</v>
      </c>
      <c r="BO55" s="30" t="e">
        <f t="shared" si="105"/>
        <v>#N/A</v>
      </c>
      <c r="BP55" s="31" t="e">
        <f>IF(OR(Hypothèses!$B$4=17,Hypothèses!$B$4=18,Hypothèses!$B$4=19,Hypothèses!$B$4=20),
IF($D55="Pressio.",
IF(OR($E55=3,$E55=1,$E55=4),BO55,BN55),
IF($D55="Pénétro.",
IF(OR($E55=3,$E55=1,$E55=4),BO55,BN55))),IF($D55="Pressio.",
IF($E55=3,BO55,BN55),
IF($D55="Pénétro.",
IF($E55=4,BO55,BN55))))</f>
        <v>#N/A</v>
      </c>
      <c r="BQ55" s="31" t="e">
        <f>(IF(OR(Hypothèses!$B$4=17,Hypothèses!$B$4=18,Hypothèses!$B$4=19,Hypothèses!$B$4=20),
IF($D55="Pressio.",
IF(OR($E55=3,$E55=1,$E55=4),(PI()*BQ$12^2)/4*(BM55*$W55*1000)/($H55*$B$5),(PI()*BQ$12^2)/4*(BM55*$W55*1000)/($G55*$B$5)),
IF($D55="Pénétro.",
IF(OR($E55=4,$E55=1,$E55=5),(PI()*BQ$12^2)/4*(BM55*$W55*1000)/($H55*$B$5),(PI()*BQ$12^2)/4*(BM55*$W55*1000)/($G55*$B$5)))),
IF($D55="Pressio.",
IF($E55=3,(PI()*BQ$12^2)/4*(BM55*$W55*1000)/($H55*$B$5),(PI()*BQ$12^2)/4*(BM55*$W55*1000)/($G55*$B$5)),
IF($D55="Pénétro.",
IF($E55=4,(PI()*BQ$12^2)/4*(BM55*$W55*1000)/($H55*$B$5),(PI()*BQ$12^2)/4*(BM55*$W55*1000)/($G55*$B$5))))))/10</f>
        <v>#N/A</v>
      </c>
      <c r="BR55" s="102" t="e">
        <f>(VLOOKUP($B$3,'Coeff EC7'!$T$39:$X$59,2,0)*BP55+VLOOKUP($B$3,'Coeff EC7'!$T$65:$X$85,2,0)*Model0.1C!BQ55)/1.1</f>
        <v>#N/A</v>
      </c>
      <c r="BS55" s="102" t="e">
        <f>(VLOOKUP($B$3,'Coeff EC7'!$T$39:$X$59,3,0)*BP55+VLOOKUP($B$3,'Coeff EC7'!$T$65:$X$85,3,0)*Model0.1C!BQ55)/0.9</f>
        <v>#N/A</v>
      </c>
      <c r="BT55" s="102" t="e">
        <f t="shared" si="78"/>
        <v>#N/A</v>
      </c>
      <c r="BU55" s="102" t="e">
        <f t="shared" si="79"/>
        <v>#N/A</v>
      </c>
      <c r="BV55" s="414" t="e">
        <f>IF(BV54=0,0,IF(AND(BR55&gt;charge_ELS_quasi,BS55&gt;Charge_ELS_freq,BT55&gt;charge_ELU,BU55&gt;charge_ELA,$B55&gt;NDC!$H$22-0.1+MIN(3*$BV$12,1.5)),0,1))</f>
        <v>#N/A</v>
      </c>
      <c r="BW55" s="86" t="b">
        <f t="shared" si="32"/>
        <v>0</v>
      </c>
      <c r="BX55" s="86">
        <f t="shared" si="33"/>
        <v>0.5</v>
      </c>
      <c r="BY55" s="86">
        <f t="shared" si="34"/>
        <v>0.5</v>
      </c>
      <c r="BZ55" s="30" t="e">
        <f t="shared" ca="1" si="80"/>
        <v>#DIV/0!</v>
      </c>
      <c r="CA55" s="85" t="e">
        <f ca="1">IF(BG55&lt;=Hypothèses!$V$7,Hypothèses!$W$7,IF(BG55&lt;=Hypothèses!$V$8,Hypothèses!$W$8,IF(BG55&lt;=Hypothèses!$V$9,Hypothèses!$W$9,IF(BG55&lt;=Hypothèses!$V$10,Hypothèses!$W$10,IF(BG55&lt;=Hypothèses!$V$11,Hypothèses!$W$11,IF(BG55&lt;=Hypothèses!$V$12,Hypothèses!$W$12,IF(BG55&lt;=Hypothèses!$V$13,Hypothèses!$W$13,IF(BG55&lt;=Hypothèses!$V$14,Hypothèses!$W$14,IF(BG55&lt;=Hypothèses!$V$15,Hypothèses!$W$15,IF(BG55&lt;=Hypothèses!$V$16,Hypothèses!$W$16,IF(BG55&lt;=Hypothèses!$V$17,Hypothèses!$W$17,IF(BG55&lt;=Hypothèses!$V$18,Hypothèses!$W$18,""))))))))))))</f>
        <v>#DIV/0!</v>
      </c>
      <c r="CB55" s="87" t="e">
        <f t="shared" ca="1" si="119"/>
        <v>#DIV/0!</v>
      </c>
      <c r="CC55" s="88" t="e">
        <f ca="1">IF(BG55&lt;=Hypothèses!$V$7,Hypothèses!$X$7,IF(BG55&lt;=Hypothèses!$V$8,Hypothèses!$X$8,IF(BG55&lt;=Hypothèses!$V$9,Hypothèses!$X$9,IF(BG55&lt;=Hypothèses!$V$10,Hypothèses!$X$10,IF(BG55&lt;=Hypothèses!$V$11,Hypothèses!$X$11,IF(BG55&lt;=Hypothèses!$V$12,Hypothèses!$X$12,IF(BG55&lt;=Hypothèses!$V$13,Hypothèses!$X$13,IF(BG55&lt;=Hypothèses!$V$14,Hypothèses!$X$14,IF(BG55&lt;=Hypothèses!$V$15,Hypothèses!$X$15,IF(BG55&lt;=Hypothèses!$V$16,Hypothèses!$X$16,IF(BG55&lt;=Hypothèses!$U$17,Hypothèses!$W$17,IF(BG55&lt;=Hypothèses!$U$18,Hypothèses!$W$18,""))))))))))))</f>
        <v>#DIV/0!</v>
      </c>
      <c r="CD55" s="95" t="e">
        <f t="shared" ca="1" si="81"/>
        <v>#DIV/0!</v>
      </c>
      <c r="CE55" s="101" t="e">
        <f t="shared" si="126"/>
        <v>#N/A</v>
      </c>
      <c r="CF55" s="91" t="e">
        <f t="shared" si="36"/>
        <v>#N/A</v>
      </c>
      <c r="CG55" s="30" t="e">
        <f t="shared" si="106"/>
        <v>#N/A</v>
      </c>
      <c r="CH55" s="30" t="e">
        <f t="shared" si="107"/>
        <v>#N/A</v>
      </c>
      <c r="CI55" s="31" t="e">
        <f>IF(OR(Hypothèses!$B$4=17,Hypothèses!$B$4=18,Hypothèses!$B$4=19,Hypothèses!$B$4=20),
IF($D55="Pressio.",
IF(OR($E55=3,$E55=1,$E55=4),CH55,CG55),
IF($D55="Pénétro.",
IF(OR($E55=3,$E55=1,$E55=4),CH55,CG55))),IF($D55="Pressio.",
IF($E55=3,CH55,CG55),
IF($D55="Pénétro.",
IF($E55=4,CH55,CG55))))</f>
        <v>#N/A</v>
      </c>
      <c r="CJ55" s="31" t="e">
        <f>(IF(OR(Hypothèses!$B$4=17,Hypothèses!$B$4=18,Hypothèses!$B$4=19,Hypothèses!$B$4=20),
IF($D55="Pressio.",
IF(OR($E55=3,$E55=1,$E55=4),(PI()*CJ$12^2)/4*(CF55*$W55*1000)/($H55*$B$5),(PI()*CJ$12^2)/4*(CF55*$W55*1000)/($G55*$B$5)),
IF($D55="Pénétro.",
IF(OR($E55=4,$E55=1,$E55=5),(PI()*CJ$12^2)/4*(CF55*$W55*1000)/($H55*$B$5),(PI()*CJ$12^2)/4*(CF55*$W55*1000)/($G55*$B$5)))),
IF($D55="Pressio.",
IF($E55=3,(PI()*CJ$12^2)/4*(CF55*$W55*1000)/($H55*$B$5),(PI()*CJ$12^2)/4*(CF55*$W55*1000)/($G55*$B$5)),
IF($D55="Pénétro.",
IF($E55=4,(PI()*CJ$12^2)/4*(CF55*$W55*1000)/($H55*$B$5),(PI()*CJ$12^2)/4*(CF55*$W55*1000)/($G55*$B$5))))))/10</f>
        <v>#N/A</v>
      </c>
      <c r="CK55" s="102" t="e">
        <f>(VLOOKUP($B$3,'Coeff EC7'!$T$39:$X$59,2,0)*CI55+VLOOKUP($B$3,'Coeff EC7'!$T$65:$X$85,2,0)*Model0.1C!CJ55)/1.1</f>
        <v>#N/A</v>
      </c>
      <c r="CL55" s="102" t="e">
        <f>(VLOOKUP($B$3,'Coeff EC7'!$T$39:$X$59,3,0)*CI55+VLOOKUP($B$3,'Coeff EC7'!$T$65:$X$85,3,0)*Model0.1C!CJ55)/0.9</f>
        <v>#N/A</v>
      </c>
      <c r="CM55" s="102" t="e">
        <f t="shared" si="82"/>
        <v>#N/A</v>
      </c>
      <c r="CN55" s="102" t="e">
        <f t="shared" si="83"/>
        <v>#N/A</v>
      </c>
      <c r="CO55" s="414" t="e">
        <f>IF(CO54=0,0,IF(AND(CK55&gt;charge_ELS_quasi,CL55&gt;Charge_ELS_freq,CM55&gt;charge_ELU,CN55&gt;charge_ELA,$B55&gt;NDC!$H$22-0.1+MIN(3*$CO$12,1.5)),0,1))</f>
        <v>#N/A</v>
      </c>
      <c r="CP55" s="86" t="b">
        <f t="shared" si="39"/>
        <v>0</v>
      </c>
      <c r="CQ55" s="86">
        <f t="shared" si="40"/>
        <v>0.5</v>
      </c>
      <c r="CR55" s="86">
        <f t="shared" si="41"/>
        <v>0.5</v>
      </c>
      <c r="CS55" s="30" t="e">
        <f t="shared" ca="1" si="84"/>
        <v>#DIV/0!</v>
      </c>
      <c r="CT55" s="85" t="e">
        <f ca="1">IF(BZ55&lt;=Hypothèses!$V$7,Hypothèses!$W$7,IF(BZ55&lt;=Hypothèses!$V$8,Hypothèses!$W$8,IF(BZ55&lt;=Hypothèses!$V$9,Hypothèses!$W$9,IF(BZ55&lt;=Hypothèses!$V$10,Hypothèses!$W$10,IF(BZ55&lt;=Hypothèses!$V$11,Hypothèses!$W$11,IF(BZ55&lt;=Hypothèses!$V$12,Hypothèses!$W$12,IF(BZ55&lt;=Hypothèses!$V$13,Hypothèses!$W$13,IF(BZ55&lt;=Hypothèses!$V$14,Hypothèses!$W$14,IF(BZ55&lt;=Hypothèses!$V$15,Hypothèses!$W$15,IF(BZ55&lt;=Hypothèses!$V$16,Hypothèses!$W$16,IF(BZ55&lt;=Hypothèses!$V$17,Hypothèses!$W$17,IF(BZ55&lt;=Hypothèses!$V$18,Hypothèses!$W$18,""))))))))))))</f>
        <v>#DIV/0!</v>
      </c>
      <c r="CU55" s="87" t="e">
        <f t="shared" ca="1" si="120"/>
        <v>#DIV/0!</v>
      </c>
      <c r="CV55" s="88" t="e">
        <f ca="1">IF(BZ55&lt;=Hypothèses!$V$7,Hypothèses!$X$7,IF(BZ55&lt;=Hypothèses!$V$8,Hypothèses!$X$8,IF(BZ55&lt;=Hypothèses!$V$9,Hypothèses!$X$9,IF(BZ55&lt;=Hypothèses!$V$10,Hypothèses!$X$10,IF(BZ55&lt;=Hypothèses!$V$11,Hypothèses!$X$11,IF(BZ55&lt;=Hypothèses!$V$12,Hypothèses!$X$12,IF(BZ55&lt;=Hypothèses!$V$13,Hypothèses!$X$13,IF(BZ55&lt;=Hypothèses!$V$14,Hypothèses!$X$14,IF(BZ55&lt;=Hypothèses!$V$15,Hypothèses!$X$15,IF(BZ55&lt;=Hypothèses!$V$16,Hypothèses!$X$16,IF(BZ55&lt;=Hypothèses!$U$17,Hypothèses!$W$17,IF(BZ55&lt;=Hypothèses!$U$18,Hypothèses!$W$18,""))))))))))))</f>
        <v>#DIV/0!</v>
      </c>
      <c r="CW55" s="95" t="e">
        <f t="shared" ca="1" si="85"/>
        <v>#DIV/0!</v>
      </c>
      <c r="CX55" s="101" t="e">
        <f t="shared" si="127"/>
        <v>#N/A</v>
      </c>
      <c r="CY55" s="91" t="e">
        <f t="shared" si="43"/>
        <v>#N/A</v>
      </c>
      <c r="CZ55" s="30" t="e">
        <f t="shared" si="108"/>
        <v>#N/A</v>
      </c>
      <c r="DA55" s="30" t="e">
        <f t="shared" si="109"/>
        <v>#N/A</v>
      </c>
      <c r="DB55" s="31" t="e">
        <f>IF(OR(Hypothèses!$B$4=17,Hypothèses!$B$4=18,Hypothèses!$B$4=19,Hypothèses!$B$4=20),
IF($D55="Pressio.",
IF(OR($E55=3,$E55=1,$E55=4),DA55,CZ55),
IF($D55="Pénétro.",
IF(OR($E55=3,$E55=1,$E55=4),DA55,CZ55))),IF($D55="Pressio.",
IF($E55=3,DA55,CZ55),
IF($D55="Pénétro.",
IF($E55=4,DA55,CZ55))))</f>
        <v>#N/A</v>
      </c>
      <c r="DC55" s="31" t="e">
        <f>(IF(OR(Hypothèses!$B$4=17,Hypothèses!$B$4=18,Hypothèses!$B$4=19,Hypothèses!$B$4=20),
IF($D55="Pressio.",
IF(OR($E55=3,$E55=1,$E55=4),(PI()*DC$12^2)/4*(CY55*$W55*1000)/($H55*$B$5),(PI()*DC$12^2)/4*(CY55*$W55*1000)/($G55*$B$5)),
IF($D55="Pénétro.",
IF(OR($E55=4,$E55=1,$E55=5),(PI()*DC$12^2)/4*(CY55*$W55*1000)/($H55*$B$5),(PI()*DC$12^2)/4*(CY55*$W55*1000)/($G55*$B$5)))),
IF($D55="Pressio.",
IF($E55=3,(PI()*DC$12^2)/4*(CY55*$W55*1000)/($H55*$B$5),(PI()*DC$12^2)/4*(CY55*$W55*1000)/($G55*$B$5)),
IF($D55="Pénétro.",
IF($E55=4,(PI()*DC$12^2)/4*(CY55*$W55*1000)/($H55*$B$5),(PI()*DC$12^2)/4*(CY55*$W55*1000)/($G55*$B$5))))))/10</f>
        <v>#N/A</v>
      </c>
      <c r="DD55" s="102" t="e">
        <f>(VLOOKUP($B$3,'Coeff EC7'!$T$39:$X$59,2,0)*DB55+VLOOKUP($B$3,'Coeff EC7'!$T$65:$X$85,2,0)*Model0.1C!DC55)/1.1</f>
        <v>#N/A</v>
      </c>
      <c r="DE55" s="102" t="e">
        <f>(VLOOKUP($B$3,'Coeff EC7'!$T$39:$X$59,3,0)*DB55+VLOOKUP($B$3,'Coeff EC7'!$T$65:$X$85,3,0)*Model0.1C!DC55)/0.9</f>
        <v>#N/A</v>
      </c>
      <c r="DF55" s="102" t="e">
        <f t="shared" si="86"/>
        <v>#N/A</v>
      </c>
      <c r="DG55" s="102" t="e">
        <f t="shared" si="87"/>
        <v>#N/A</v>
      </c>
      <c r="DH55" s="414" t="e">
        <f>IF(DH54=0,0,IF(AND(DD55&gt;charge_ELS_quasi,DE55&gt;Charge_ELS_freq,DF55&gt;charge_ELU,DG55&gt;charge_ELA,$B55&gt;NDC!$H$22-0.1+MIN(3*$DH$12,1.5)),0,1))</f>
        <v>#N/A</v>
      </c>
      <c r="DI55" s="86" t="b">
        <f t="shared" si="46"/>
        <v>0</v>
      </c>
      <c r="DJ55" s="86">
        <f t="shared" si="47"/>
        <v>0.5</v>
      </c>
      <c r="DK55" s="86">
        <f t="shared" si="48"/>
        <v>0.5</v>
      </c>
      <c r="DL55" s="30" t="e">
        <f t="shared" ca="1" si="88"/>
        <v>#DIV/0!</v>
      </c>
      <c r="DM55" s="85" t="e">
        <f ca="1">IF(CS55&lt;=Hypothèses!$V$7,Hypothèses!$W$7,IF(CS55&lt;=Hypothèses!$V$8,Hypothèses!$W$8,IF(CS55&lt;=Hypothèses!$V$9,Hypothèses!$W$9,IF(CS55&lt;=Hypothèses!$V$10,Hypothèses!$W$10,IF(CS55&lt;=Hypothèses!$V$11,Hypothèses!$W$11,IF(CS55&lt;=Hypothèses!$V$12,Hypothèses!$W$12,IF(CS55&lt;=Hypothèses!$V$13,Hypothèses!$W$13,IF(CS55&lt;=Hypothèses!$V$14,Hypothèses!$W$14,IF(CS55&lt;=Hypothèses!$V$15,Hypothèses!$W$15,IF(CS55&lt;=Hypothèses!$V$16,Hypothèses!$W$16,IF(CS55&lt;=Hypothèses!$V$17,Hypothèses!$W$17,IF(CS55&lt;=Hypothèses!$V$18,Hypothèses!$W$18,""))))))))))))</f>
        <v>#DIV/0!</v>
      </c>
      <c r="DN55" s="87" t="e">
        <f t="shared" ca="1" si="121"/>
        <v>#DIV/0!</v>
      </c>
      <c r="DO55" s="88" t="e">
        <f ca="1">IF(CS55&lt;=Hypothèses!$V$7,Hypothèses!$X$7,IF(CS55&lt;=Hypothèses!$V$8,Hypothèses!$X$8,IF(CS55&lt;=Hypothèses!$V$9,Hypothèses!$X$9,IF(CS55&lt;=Hypothèses!$V$10,Hypothèses!$X$10,IF(CS55&lt;=Hypothèses!$V$11,Hypothèses!$X$11,IF(CS55&lt;=Hypothèses!$V$12,Hypothèses!$X$12,IF(CS55&lt;=Hypothèses!$V$13,Hypothèses!$X$13,IF(CS55&lt;=Hypothèses!$V$14,Hypothèses!$X$14,IF(CS55&lt;=Hypothèses!$V$15,Hypothèses!$X$15,IF(CS55&lt;=Hypothèses!$V$16,Hypothèses!$X$16,IF(CS55&lt;=Hypothèses!$U$17,Hypothèses!$W$17,IF(CS55&lt;=Hypothèses!$U$18,Hypothèses!$W$18,""))))))))))))</f>
        <v>#DIV/0!</v>
      </c>
      <c r="DP55" s="95" t="e">
        <f t="shared" ca="1" si="89"/>
        <v>#DIV/0!</v>
      </c>
      <c r="DQ55" s="101" t="e">
        <f t="shared" si="128"/>
        <v>#N/A</v>
      </c>
      <c r="DR55" s="91" t="e">
        <f t="shared" si="50"/>
        <v>#N/A</v>
      </c>
      <c r="DS55" s="30" t="e">
        <f t="shared" si="110"/>
        <v>#N/A</v>
      </c>
      <c r="DT55" s="30" t="e">
        <f t="shared" si="111"/>
        <v>#N/A</v>
      </c>
      <c r="DU55" s="31" t="e">
        <f>IF(OR(Hypothèses!$B$4=17,Hypothèses!$B$4=18,Hypothèses!$B$4=19,Hypothèses!$B$4=20),
IF($D55="Pressio.",
IF(OR($E55=3,$E55=1,$E55=4),DT55,DS55),
IF($D55="Pénétro.",
IF(OR($E55=3,$E55=1,$E55=4),DT55,DS55))),IF($D55="Pressio.",
IF($E55=3,DT55,DS55),
IF($D55="Pénétro.",
IF($E55=4,DT55,DS55))))</f>
        <v>#N/A</v>
      </c>
      <c r="DV55" s="31" t="e">
        <f>(IF(OR(Hypothèses!$B$4=17,Hypothèses!$B$4=18,Hypothèses!$B$4=19,Hypothèses!$B$4=20),
IF($D55="Pressio.",
IF(OR($E55=3,$E55=1,$E55=4),(PI()*DV$12^2)/4*(DR55*$W55*1000)/($H55*$B$5),(PI()*DV$12^2)/4*(DR55*$W55*1000)/($G55*$B$5)),
IF($D55="Pénétro.",
IF(OR($E55=4,$E55=1,$E55=5),(PI()*DV$12^2)/4*(DR55*$W55*1000)/($H55*$B$5),(PI()*DV$12^2)/4*(DR55*$W55*1000)/($G55*$B$5)))),
IF($D55="Pressio.",
IF($E55=3,(PI()*DV$12^2)/4*(DR55*$W55*1000)/($H55*$B$5),(PI()*DV$12^2)/4*(DR55*$W55*1000)/($G55*$B$5)),
IF($D55="Pénétro.",
IF($E55=4,(PI()*DV$12^2)/4*(DR55*$W55*1000)/($H55*$B$5),(PI()*DV$12^2)/4*(DR55*$W55*1000)/($G55*$B$5))))))/10</f>
        <v>#N/A</v>
      </c>
      <c r="DW55" s="102" t="e">
        <f>(VLOOKUP($B$3,'Coeff EC7'!$T$39:$X$59,2,0)*DU55+VLOOKUP($B$3,'Coeff EC7'!$T$65:$X$85,2,0)*Model0.1C!DV55)/1.1</f>
        <v>#N/A</v>
      </c>
      <c r="DX55" s="102" t="e">
        <f>(VLOOKUP($B$3,'Coeff EC7'!$T$39:$X$59,3,0)*DU55+VLOOKUP($B$3,'Coeff EC7'!$T$65:$X$85,3,0)*Model0.1C!DV55)/0.9</f>
        <v>#N/A</v>
      </c>
      <c r="DY55" s="102" t="e">
        <f t="shared" si="90"/>
        <v>#N/A</v>
      </c>
      <c r="DZ55" s="102" t="e">
        <f t="shared" si="91"/>
        <v>#N/A</v>
      </c>
      <c r="EA55" s="414" t="e">
        <f>IF(EA54=0,0,IF(AND(DW55&gt;charge_ELS_quasi,DX55&gt;Charge_ELS_freq,DY55&gt;charge_ELU,DZ55&gt;charge_ELA,$B55&gt;NDC!$H$22-0.1+MIN(3*$EA$12,1.5)),0,1))</f>
        <v>#N/A</v>
      </c>
      <c r="EB55" s="86" t="b">
        <f t="shared" si="53"/>
        <v>0</v>
      </c>
      <c r="EC55" s="418">
        <f t="shared" si="54"/>
        <v>0.51</v>
      </c>
      <c r="ED55" s="86">
        <f t="shared" si="55"/>
        <v>0.51</v>
      </c>
      <c r="EE55" s="30" t="e">
        <f t="shared" ca="1" si="92"/>
        <v>#DIV/0!</v>
      </c>
      <c r="EF55" s="85" t="e">
        <f ca="1">IF(DL55&lt;=Hypothèses!$V$7,Hypothèses!$W$7,IF(DL55&lt;=Hypothèses!$V$8,Hypothèses!$W$8,IF(DL55&lt;=Hypothèses!$V$9,Hypothèses!$W$9,IF(DL55&lt;=Hypothèses!$V$10,Hypothèses!$W$10,IF(DL55&lt;=Hypothèses!$V$11,Hypothèses!$W$11,IF(DL55&lt;=Hypothèses!$V$12,Hypothèses!$W$12,IF(DL55&lt;=Hypothèses!$V$13,Hypothèses!$W$13,IF(DL55&lt;=Hypothèses!$V$14,Hypothèses!$W$14,IF(DL55&lt;=Hypothèses!$V$15,Hypothèses!$W$15,IF(DL55&lt;=Hypothèses!$V$16,Hypothèses!$W$16,IF(DL55&lt;=Hypothèses!$V$17,Hypothèses!$W$17,IF(DL55&lt;=Hypothèses!$V$18,Hypothèses!$W$18,""))))))))))))</f>
        <v>#DIV/0!</v>
      </c>
      <c r="EG55" s="87" t="e">
        <f t="shared" ca="1" si="122"/>
        <v>#DIV/0!</v>
      </c>
      <c r="EH55" s="88" t="e">
        <f ca="1">IF(DL55&lt;=Hypothèses!$V$7,Hypothèses!$X$7,IF(DL55&lt;=Hypothèses!$V$8,Hypothèses!$X$8,IF(DL55&lt;=Hypothèses!$V$9,Hypothèses!$X$9,IF(DL55&lt;=Hypothèses!$V$10,Hypothèses!$X$10,IF(DL55&lt;=Hypothèses!$V$11,Hypothèses!$X$11,IF(DL55&lt;=Hypothèses!$V$12,Hypothèses!$X$12,IF(DL55&lt;=Hypothèses!$V$13,Hypothèses!$X$13,IF(DL55&lt;=Hypothèses!$V$14,Hypothèses!$X$14,IF(DL55&lt;=Hypothèses!$V$15,Hypothèses!$X$15,IF(DL55&lt;=Hypothèses!$V$16,Hypothèses!$X$16,IF(DL55&lt;=Hypothèses!$U$17,Hypothèses!$W$17,IF(DL55&lt;=Hypothèses!$U$18,Hypothèses!$W$18,""))))))))))))</f>
        <v>#DIV/0!</v>
      </c>
      <c r="EI55" s="95" t="e">
        <f t="shared" ca="1" si="93"/>
        <v>#DIV/0!</v>
      </c>
      <c r="EJ55" s="101" t="e">
        <f t="shared" si="129"/>
        <v>#N/A</v>
      </c>
      <c r="EK55" s="91" t="e">
        <f t="shared" si="57"/>
        <v>#N/A</v>
      </c>
      <c r="EL55" s="30" t="e">
        <f t="shared" si="112"/>
        <v>#N/A</v>
      </c>
      <c r="EM55" s="30" t="e">
        <f t="shared" si="113"/>
        <v>#N/A</v>
      </c>
      <c r="EN55" s="31" t="e">
        <f>IF(OR(Hypothèses!$B$4=17,Hypothèses!$B$4=18,Hypothèses!$B$4=19,Hypothèses!$B$4=20),
IF($D55="Pressio.",
IF(OR($E55=3,$E55=1,$E55=4),EM55,EL55),
IF($D55="Pénétro.",
IF(OR($E55=3,$E55=1,$E55=4),EM55,EL55))),IF($D55="Pressio.",
IF($E55=3,EM55,EL55),
IF($D55="Pénétro.",
IF($E55=4,EM55,EL55))))</f>
        <v>#N/A</v>
      </c>
      <c r="EO55" s="31" t="e">
        <f>(IF(OR(Hypothèses!$B$4=17,Hypothèses!$B$4=18,Hypothèses!$B$4=19,Hypothèses!$B$4=20),
IF($D55="Pressio.",
IF(OR($E55=3,$E55=1,$E55=4),(PI()*EO$12^2)/4*(EK55*$W55*1000)/($H55*$B$5),(PI()*EO$12^2)/4*(EK55*$W55*1000)/($G55*$B$5)),
IF($D55="Pénétro.",
IF(OR($E55=4,$E55=1,$E55=5),(PI()*EO$12^2)/4*(EK55*$W55*1000)/($H55*$B$5),(PI()*EO$12^2)/4*(EK55*$W55*1000)/($G55*$B$5)))),
IF($D55="Pressio.",
IF($E55=3,(PI()*EO$12^2)/4*(EK55*$W55*1000)/($H55*$B$5),(PI()*EO$12^2)/4*(EK55*$W55*1000)/($G55*$B$5)),
IF($D55="Pénétro.",
IF($E55=4,(PI()*EO$12^2)/4*(EK55*$W55*1000)/($H55*$B$5),(PI()*EO$12^2)/4*(EK55*$W55*1000)/($G55*$B$5))))))/10</f>
        <v>#N/A</v>
      </c>
      <c r="EP55" s="102" t="e">
        <f>(VLOOKUP($B$3,'Coeff EC7'!$T$39:$X$59,2,0)*EN55+VLOOKUP($B$3,'Coeff EC7'!$T$65:$X$85,2,0)*Model0.1C!EO55)/1.1</f>
        <v>#N/A</v>
      </c>
      <c r="EQ55" s="102" t="e">
        <f>(VLOOKUP($B$3,'Coeff EC7'!$T$39:$X$59,3,0)*EN55+VLOOKUP($B$3,'Coeff EC7'!$T$65:$X$85,3,0)*Model0.1C!EO55)/0.9</f>
        <v>#N/A</v>
      </c>
      <c r="ER55" s="102" t="e">
        <f t="shared" si="94"/>
        <v>#N/A</v>
      </c>
      <c r="ES55" s="102" t="e">
        <f t="shared" si="95"/>
        <v>#N/A</v>
      </c>
      <c r="ET55" s="414" t="e">
        <f>IF(ET54=0,0,IF(AND(EP55&gt;charge_ELS_quasi,EQ55&gt;Charge_ELS_freq,ER55&gt;charge_ELU,ES55&gt;charge_ELA,$B55&gt;NDC!$H$22-0.1+MIN(3*$ET$12,1.5)),0,1))</f>
        <v>#N/A</v>
      </c>
      <c r="EU55" s="86" t="b">
        <f t="shared" si="60"/>
        <v>0</v>
      </c>
      <c r="EV55" s="86">
        <f t="shared" si="61"/>
        <v>0.61</v>
      </c>
      <c r="EW55" s="86">
        <f t="shared" si="62"/>
        <v>0.61</v>
      </c>
      <c r="EX55" s="30" t="e">
        <f t="shared" ca="1" si="96"/>
        <v>#DIV/0!</v>
      </c>
      <c r="EY55" s="85" t="e">
        <f ca="1">IF(EE55&lt;=Hypothèses!$V$7,Hypothèses!$W$7,IF(EE55&lt;=Hypothèses!$V$8,Hypothèses!$W$8,IF(EE55&lt;=Hypothèses!$V$9,Hypothèses!$W$9,IF(EE55&lt;=Hypothèses!$V$10,Hypothèses!$W$10,IF(EE55&lt;=Hypothèses!$V$11,Hypothèses!$W$11,IF(EE55&lt;=Hypothèses!$V$12,Hypothèses!$W$12,IF(EE55&lt;=Hypothèses!$V$13,Hypothèses!$W$13,IF(EE55&lt;=Hypothèses!$V$14,Hypothèses!$W$14,IF(EE55&lt;=Hypothèses!$V$15,Hypothèses!$W$15,IF(EE55&lt;=Hypothèses!$V$16,Hypothèses!$W$16,IF(EE55&lt;=Hypothèses!$V$17,Hypothèses!$W$17,IF(EE55&lt;=Hypothèses!$V$18,Hypothèses!$W$18,""))))))))))))</f>
        <v>#DIV/0!</v>
      </c>
      <c r="EZ55" s="87" t="e">
        <f t="shared" ca="1" si="123"/>
        <v>#DIV/0!</v>
      </c>
      <c r="FA55" s="88" t="e">
        <f ca="1">IF(EE55&lt;=Hypothèses!$V$7,Hypothèses!$X$7,IF(EE55&lt;=Hypothèses!$V$8,Hypothèses!$X$8,IF(EE55&lt;=Hypothèses!$V$9,Hypothèses!$X$9,IF(EE55&lt;=Hypothèses!$V$10,Hypothèses!$X$10,IF(EE55&lt;=Hypothèses!$V$11,Hypothèses!$X$11,IF(EE55&lt;=Hypothèses!$V$12,Hypothèses!$X$12,IF(EE55&lt;=Hypothèses!$V$13,Hypothèses!$X$13,IF(EE55&lt;=Hypothèses!$V$14,Hypothèses!$X$14,IF(EE55&lt;=Hypothèses!$V$15,Hypothèses!$X$15,IF(EE55&lt;=Hypothèses!$V$16,Hypothèses!$X$16,IF(EE55&lt;=Hypothèses!$U$17,Hypothèses!$W$17,IF(EE55&lt;=Hypothèses!$U$18,Hypothèses!$W$18,""))))))))))))</f>
        <v>#DIV/0!</v>
      </c>
      <c r="FB55" s="95" t="e">
        <f t="shared" ca="1" si="97"/>
        <v>#DIV/0!</v>
      </c>
      <c r="FC55" s="101" t="e">
        <f t="shared" si="130"/>
        <v>#N/A</v>
      </c>
      <c r="FD55" s="91" t="e">
        <f t="shared" si="64"/>
        <v>#N/A</v>
      </c>
      <c r="FE55" s="30" t="e">
        <f t="shared" si="114"/>
        <v>#N/A</v>
      </c>
      <c r="FF55" s="30" t="e">
        <f t="shared" si="115"/>
        <v>#N/A</v>
      </c>
      <c r="FG55" s="31" t="e">
        <f>IF(OR(Hypothèses!$B$4=17,Hypothèses!$B$4=18,Hypothèses!$B$4=19,Hypothèses!$B$4=20),
IF($D55="Pressio.",
IF(OR($E55=3,$E55=1,$E55=4),FF55,FE55),
IF($D55="Pénétro.",
IF(OR($E55=3,$E55=1,$E55=4),FF55,FE55))),IF($D55="Pressio.",
IF($E55=3,FF55,FE55),
IF($D55="Pénétro.",
IF($E55=4,FF55,FE55))))</f>
        <v>#N/A</v>
      </c>
      <c r="FH55" s="31" t="e">
        <f>(IF(OR(Hypothèses!$B$4=17,Hypothèses!$B$4=18,Hypothèses!$B$4=19,Hypothèses!$B$4=20),
IF($D55="Pressio.",
IF(OR($E55=3,$E55=1,$E55=4),(PI()*FH$12^2)/4*(FD55*$W55*1000)/($H55*$B$5),(PI()*FH$12^2)/4*(FD55*$W55*1000)/($G55*$B$5)),
IF($D55="Pénétro.",
IF(OR($E55=4,$E55=1,$E55=5),(PI()*FH$12^2)/4*(FD55*$W55*1000)/($H55*$B$5),(PI()*FH$12^2)/4*(FD55*$W55*1000)/($G55*$B$5)))),
IF($D55="Pressio.",
IF($E55=3,(PI()*FH$12^2)/4*(FD55*$W55*1000)/($H55*$B$5),(PI()*FH$12^2)/4*(FD55*$W55*1000)/($G55*$B$5)),
IF($D55="Pénétro.",
IF($E55=4,(PI()*FH$12^2)/4*(FD55*$W55*1000)/($H55*$B$5),(PI()*FH$12^2)/4*(FD55*$W55*1000)/($G55*$B$5))))))/10</f>
        <v>#N/A</v>
      </c>
      <c r="FI55" s="102" t="e">
        <f>(VLOOKUP($B$3,'Coeff EC7'!$T$39:$X$59,2,0)*FG55+VLOOKUP($B$3,'Coeff EC7'!$T$65:$X$85,2,0)*Model0.1C!FH55)/1.1</f>
        <v>#N/A</v>
      </c>
      <c r="FJ55" s="102" t="e">
        <f>(VLOOKUP($B$3,'Coeff EC7'!$T$39:$X$59,3,0)*FG55+VLOOKUP($B$3,'Coeff EC7'!$T$65:$X$85,3,0)*Model0.1C!FH55)/0.9</f>
        <v>#N/A</v>
      </c>
      <c r="FK55" s="102" t="e">
        <f t="shared" si="98"/>
        <v>#N/A</v>
      </c>
      <c r="FL55" s="102" t="e">
        <f t="shared" si="99"/>
        <v>#N/A</v>
      </c>
      <c r="FM55" s="414" t="e">
        <f>IF(FM54=0,0,IF(AND(FI55&gt;charge_ELS_quasi,FJ55&gt;Charge_ELS_freq,FK55&gt;charge_ELU,FL55&gt;charge_ELA,$B55&gt;NDC!$H$22-0.1+MIN(3*$FM$12,1.5)),0,1))</f>
        <v>#N/A</v>
      </c>
    </row>
    <row r="56" spans="1:169">
      <c r="A56" s="96">
        <f t="shared" si="67"/>
        <v>95.700000000000244</v>
      </c>
      <c r="B56" s="97">
        <v>4.3</v>
      </c>
      <c r="C56" s="81">
        <f>IF(B56&lt;=Hypothèses!$C$7,Hypothèses!$A$7,IF(B56&lt;=Hypothèses!$C$8,Hypothèses!$A$8,IF(B56&lt;=Hypothèses!$C$9,Hypothèses!$A$9,IF(B56&lt;=Hypothèses!$C$10,Hypothèses!$A$10,IF(B56&lt;=Hypothèses!$C$11,Hypothèses!$A$11,IF(B56&lt;=Hypothèses!$C$12,Hypothèses!$A$12,IF(B56&lt;=Hypothèses!$C$13,Hypothèses!$A$13,IF(B56&lt;=Hypothèses!$C$14,Hypothèses!$A$14,IF(B56&lt;=Hypothèses!$C$15,Hypothèses!$A$15,IF(B56&lt;=Hypothèses!$C$16,Hypothèses!$A$16,IF(B56&lt;=Hypothèses!$C$17,Hypothèses!$A$17,IF(B56&lt;=Hypothèses!$C$18,Hypothèses!$A$18,C55))))))))))))</f>
        <v>11</v>
      </c>
      <c r="D56" s="82" t="str">
        <f>IF(B56&lt;=Hypothèses!$C$7,Hypothèses!$R$7,IF(B56&lt;=Hypothèses!$C$8,Hypothèses!$R$8,IF(B56&lt;=Hypothèses!$C$9,Hypothèses!$R$9,IF(B56&lt;=Hypothèses!$C$10,Hypothèses!$R$10,IF(B56&lt;=Hypothèses!$C$11,Hypothèses!$R$11,IF(B56&lt;=Hypothèses!$C$12,Hypothèses!$R$12,IF(B56&lt;=Hypothèses!$C$13,Hypothèses!$R$13,IF(B56&lt;=Hypothèses!$C$14,Hypothèses!$R$14,IF(B56&lt;=Hypothèses!$C$15,Hypothèses!$R$15,IF(B56&lt;=Hypothèses!$C$16,Hypothèses!$R$16,IF(B56&lt;=Hypothèses!$C$17,Hypothèses!$R$17,IF(B56&lt;=Hypothèses!$C$18,Hypothèses!$R$18,D55))))))))))))</f>
        <v>Pressio.</v>
      </c>
      <c r="E56" s="82" t="e">
        <f>IF(B56&lt;=Hypothèses!$C$7,Hypothèses!$G$7,IF(B56&lt;=Hypothèses!$C$8,Hypothèses!$G$8,IF(B56&lt;=Hypothèses!$C$9,Hypothèses!$G$9,IF(B56&lt;=Hypothèses!$C$10,Hypothèses!$G$10,IF(B56&lt;=Hypothèses!$C$11,Hypothèses!$G$11,IF(B56&lt;=Hypothèses!$C$12,Hypothèses!$G$12,IF(B56&lt;=Hypothèses!$C$13,Hypothèses!$G$13,IF(B56&lt;=Hypothèses!$C$14,Hypothèses!$G$14,IF(B56&lt;=Hypothèses!$C$15,Hypothèses!$G$15,IF(B56&lt;=Hypothèses!$C$16,Hypothèses!$G$16,IF(B56&lt;=Hypothèses!$C$17,Hypothèses!$G$17,IF(B56&lt;=Hypothèses!$C$18,Hypothèses!$G$18,E55))))))))))))</f>
        <v>#N/A</v>
      </c>
      <c r="F56" s="82" t="str">
        <f>IF(B56&lt;=Hypothèses!$C$7,Hypothèses!$F$7,IF(B56&lt;=Hypothèses!$C$8,Hypothèses!$F$8,IF(B56&lt;=Hypothèses!$C$9,Hypothèses!$F$9,IF(B56&lt;=Hypothèses!$C$10,Hypothèses!$F$10,IF(B56&lt;=Hypothèses!$C$11,Hypothèses!$F$11,IF(B56&lt;=Hypothèses!$C$12,Hypothèses!$F$12,IF(B56&lt;=Hypothèses!$C$13,Hypothèses!$F$13,IF(B56&lt;=Hypothèses!$C$14,Hypothèses!$F$14,IF(B56&lt;=Hypothèses!$C$15,Hypothèses!$F$15,IF(B56&lt;=Hypothèses!$C$16,Hypothèses!$F$16,IF(B56&lt;=Hypothèses!$C$17,Hypothèses!$F$17,IF(B56&lt;=Hypothèses!$C$18,Hypothèses!$F$18,F55))))))))))))</f>
        <v/>
      </c>
      <c r="G56" s="91">
        <f t="array" ref="G56">INDEX('Coeff EC7'!$U$7:$X$27,
MATCH(Model0.1C!$B$3,'Coeff EC7'!$T$7:$T$27,0),
MATCH(Model0.1C!$D56&amp;Model0.1C!$B$4,
'Coeff EC7'!$U$6:$X$6&amp;
'Coeff EC7'!$U$5:$X$5,0))</f>
        <v>1.1499999999999999</v>
      </c>
      <c r="H56" s="91">
        <f t="array" ref="H56">INDEX('Coeff EC7'!$Y$7:$AB$27,
MATCH(Model0.1C!$B$3,'Coeff EC7'!$T$7:$T$27,0),
MATCH(Model0.1C!$D56&amp;Model0.1C!$B$4,
'Coeff EC7'!$Y$6:$AB$6&amp;
'Coeff EC7'!$Y$5:$AB$5,0))</f>
        <v>1.4</v>
      </c>
      <c r="I56" s="83" t="e">
        <f>IF(B56&lt;=Hypothèses!$C$7,Hypothèses!$P$7,IF(B56&lt;=Hypothèses!$C$8,Hypothèses!$P$8,IF(B56&lt;=Hypothèses!$C$9,Hypothèses!$P$9,IF(B56&lt;=Hypothèses!$C$10,Hypothèses!$P$10,IF(B56&lt;=Hypothèses!$C$11,Hypothèses!$P$11,IF(B56&lt;=Hypothèses!$C$12,Hypothèses!$P$12,IF(B56&lt;=Hypothèses!$C$13,Hypothèses!$P$13,IF(B56&lt;=Hypothèses!$C$14,Hypothèses!$P$14,IF(B56&lt;=Hypothèses!$C$15,Hypothèses!$P$15,IF(B56&lt;=Hypothèses!$C$16,Hypothèses!$P$16,IF(B56&lt;=Hypothèses!$C$17,Hypothèses!$P$17,IF(B56&lt;=Hypothèses!$C$18,Hypothèses!$P$18,I55))))))))))))</f>
        <v>#N/A</v>
      </c>
      <c r="J56" s="91" t="e">
        <f t="array" ref="J56">INDEX('Coeff EC7'!$D$33:$Q$33,1,MATCH(D56&amp;E56,'Coeff EC7'!$D$31:$Q$31&amp;'Coeff EC7'!$D$32:$Q$32,0))</f>
        <v>#N/A</v>
      </c>
      <c r="K56" s="91" t="e">
        <f t="array" ref="K56">INDEX('Coeff EC7'!$D$34:$Q$34,1,MATCH(D56&amp;E56,'Coeff EC7'!$D$31:$Q$31&amp;'Coeff EC7'!$D$32:$Q$32,0))</f>
        <v>#N/A</v>
      </c>
      <c r="L56" s="91" t="e">
        <f t="array" ref="L56">INDEX('Coeff EC7'!$D$35:$Q$35,1,MATCH(D56&amp;E56,'Coeff EC7'!$D$31:$Q$31&amp;'Coeff EC7'!$D$32:$Q$32,0))</f>
        <v>#N/A</v>
      </c>
      <c r="M56" s="98" t="e">
        <f t="shared" si="8"/>
        <v>#N/A</v>
      </c>
      <c r="N56" s="99" t="e">
        <f t="array" ref="N56">INDEX('Coeff EC7'!$D$7:$Q$27,MATCH($B$3,'Coeff EC7'!$C$7:$C$27,0),MATCH(D56&amp;E56,'Coeff EC7'!$D$5:$Q$5&amp;'Coeff EC7'!$D$6:$Q$6,0))</f>
        <v>#N/A</v>
      </c>
      <c r="O56" s="99" t="e">
        <f t="array" ref="O56">INDEX('Coeff EC7'!$D$41:$Q$61,MATCH($B$3,'Coeff EC7'!$C$41:$C$61,0),MATCH(D56&amp;E56,'Coeff EC7'!$D$39:$Q$39&amp;'Coeff EC7'!$D$40:$Q$40,0))</f>
        <v>#N/A</v>
      </c>
      <c r="P56" s="30" t="e">
        <f t="shared" si="68"/>
        <v>#N/A</v>
      </c>
      <c r="Q56" s="100" t="e">
        <f t="shared" si="10"/>
        <v>#N/A</v>
      </c>
      <c r="R56" s="86" t="b">
        <f t="shared" si="11"/>
        <v>0</v>
      </c>
      <c r="S56" s="86">
        <f t="shared" si="9"/>
        <v>0.5</v>
      </c>
      <c r="T56" s="86">
        <f t="shared" si="12"/>
        <v>0.5</v>
      </c>
      <c r="U56" s="30" t="e">
        <f t="shared" ca="1" si="69"/>
        <v>#DIV/0!</v>
      </c>
      <c r="V56" s="85" t="str">
        <f>IF(B56&lt;=Hypothèses!$V$7,Hypothèses!$W$7,IF(B56&lt;=Hypothèses!$V$8,Hypothèses!$W$8,IF(B56&lt;=Hypothèses!$V$9,Hypothèses!$W$9,IF(B56&lt;=Hypothèses!$V$10,Hypothèses!$W$10,IF(B56&lt;=Hypothèses!$V$11,Hypothèses!$W$11,IF(B56&lt;=Hypothèses!$V$12,Hypothèses!$W$12,IF(B56&lt;=Hypothèses!$V$13,Hypothèses!$W$13,IF(B56&lt;=Hypothèses!$V$14,Hypothèses!$W$14,IF(B56&lt;=Hypothèses!$V$15,Hypothèses!$W$15,IF(B56&lt;=Hypothèses!$V$16,Hypothèses!$W$16,IF(B56&lt;=Hypothèses!$V$17,Hypothèses!$W$17,IF(B56&lt;=Hypothèses!$V$18,Hypothèses!$W$18,""))))))))))))</f>
        <v/>
      </c>
      <c r="W56" s="87" t="e">
        <f t="shared" ca="1" si="116"/>
        <v>#DIV/0!</v>
      </c>
      <c r="X56" s="88" t="str">
        <f>IF(B56&lt;=Hypothèses!$V$7,Hypothèses!$X$7,IF(B56&lt;=Hypothèses!$V$8,Hypothèses!$X$8,IF(B56&lt;=Hypothèses!$V$9,Hypothèses!$X$9,IF(B56&lt;=Hypothèses!$V$10,Hypothèses!$X$10,IF(B56&lt;=Hypothèses!$V$11,Hypothèses!$X$11,IF(B56&lt;=Hypothèses!$V$12,Hypothèses!$X$12,IF(B56&lt;=Hypothèses!$V$13,Hypothèses!$X$13,IF(B56&lt;=Hypothèses!$V$14,Hypothèses!$X$14,IF(B56&lt;=Hypothèses!$V$15,Hypothèses!$X$15,IF(B56&lt;=Hypothèses!$V$16,Hypothèses!$X$16,IF(B56&lt;=Hypothèses!$U$17,Hypothèses!$W$17,IF(B56&lt;=Hypothèses!$U$18,Hypothèses!$W$18,""))))))))))))</f>
        <v/>
      </c>
      <c r="Y56" s="95" t="e">
        <f t="shared" ca="1" si="13"/>
        <v>#DIV/0!</v>
      </c>
      <c r="Z56" s="101" t="e">
        <f t="shared" si="14"/>
        <v>#N/A</v>
      </c>
      <c r="AA56" s="91" t="e">
        <f t="shared" si="15"/>
        <v>#N/A</v>
      </c>
      <c r="AB56" s="30" t="e">
        <f t="shared" si="100"/>
        <v>#N/A</v>
      </c>
      <c r="AC56" s="30" t="e">
        <f t="shared" si="101"/>
        <v>#N/A</v>
      </c>
      <c r="AD56" s="31" t="e">
        <f>IF(OR(Hypothèses!$B$4=17,Hypothèses!$B$4=18,Hypothèses!$B$4=19,Hypothèses!$B$4=20),
IF($D56="Pressio.",
IF(OR($E56=3,$E56=1,$E56=4),AC56,AB56),
IF($D56="Pénétro.",
IF(OR($E56=3,$E56=1,$E56=4),AC56,AB56))),IF($D56="Pressio.",
IF($E56=3,AC56,AB56),
IF($D56="Pénétro.",
IF($E56=4,AC56,AB56))))</f>
        <v>#N/A</v>
      </c>
      <c r="AE56" s="31" t="e">
        <f>(IF(OR(Hypothèses!$B$4=17,Hypothèses!$B$4=18,Hypothèses!$B$4=19,Hypothèses!$B$4=20),
IF($D56="Pressio.",
IF(OR($E56=3,$E56=1,$E56=4),(PI()*AE$12^2)/4*(AA56*$W56*1000)/($H56*$B$5),(PI()*AE$12^2)/4*(AA56*$W56*1000)/($G56*$B$5)),
IF($D56="Pénétro.",
IF(OR($E56=4,$E56=1,$E56=5),(PI()*AE$12^2)/4*(AA56*$W56*1000)/($H56*$B$5),(PI()*AE$12^2)/4*(AA56*$W56*1000)/($G56*$B$5)))),
IF($D56="Pressio.",
IF($E56=3,(PI()*AE$12^2)/4*(AA56*$W56*1000)/($H56*$B$5),(PI()*AE$12^2)/4*(AA56*$W56*1000)/($G56*$B$5)),
IF($D56="Pénétro.",
IF($E56=4,(PI()*AE$12^2)/4*(AA56*$W56*1000)/($H56*$B$5),(PI()*AE$12^2)/4*(AA56*$W56*1000)/($G56*$B$5))))))/10</f>
        <v>#N/A</v>
      </c>
      <c r="AF56" s="102" t="e">
        <f>(VLOOKUP($B$3,'Coeff EC7'!$T$39:$X$59,2,0)*AD56+VLOOKUP($B$3,'Coeff EC7'!$T$65:$X$85,2,0)*Model0.1C!AE56)/1.1</f>
        <v>#N/A</v>
      </c>
      <c r="AG56" s="102" t="e">
        <f>(VLOOKUP($B$3,'Coeff EC7'!$T$39:$X$59,3,0)*AD56+VLOOKUP($B$3,'Coeff EC7'!$T$65:$X$85,3,0)*Model0.1C!AE56)/0.9</f>
        <v>#N/A</v>
      </c>
      <c r="AH56" s="102" t="e">
        <f t="shared" si="18"/>
        <v>#N/A</v>
      </c>
      <c r="AI56" s="102" t="e">
        <f t="shared" si="19"/>
        <v>#N/A</v>
      </c>
      <c r="AJ56" s="414" t="e">
        <f>IF(AJ55=0,0,IF(AND(AF56&gt;charge_ELS_quasi,AG56&gt;Charge_ELS_freq,AH56&gt;charge_ELU,AI56&gt;charge_ELA,$B56&gt;NDC!$H$22-0.1+MIN(3*$AJ$12,1.5)),0,1))</f>
        <v>#N/A</v>
      </c>
      <c r="AK56" s="86" t="b">
        <f t="shared" si="20"/>
        <v>0</v>
      </c>
      <c r="AL56" s="86">
        <f t="shared" si="70"/>
        <v>0.5</v>
      </c>
      <c r="AM56" s="86">
        <f t="shared" si="21"/>
        <v>0.5</v>
      </c>
      <c r="AN56" s="30" t="e">
        <f t="shared" ca="1" si="71"/>
        <v>#DIV/0!</v>
      </c>
      <c r="AO56" s="85" t="e">
        <f ca="1">IF(U56&lt;=Hypothèses!$V$7,Hypothèses!$W$7,IF(U56&lt;=Hypothèses!$V$8,Hypothèses!$W$8,IF(U56&lt;=Hypothèses!$V$9,Hypothèses!$W$9,IF(U56&lt;=Hypothèses!$V$10,Hypothèses!$W$10,IF(U56&lt;=Hypothèses!$V$11,Hypothèses!$W$11,IF(U56&lt;=Hypothèses!$V$12,Hypothèses!$W$12,IF(U56&lt;=Hypothèses!$V$13,Hypothèses!$W$13,IF(U56&lt;=Hypothèses!$V$14,Hypothèses!$W$14,IF(U56&lt;=Hypothèses!$V$15,Hypothèses!$W$15,IF(U56&lt;=Hypothèses!$V$16,Hypothèses!$W$16,IF(U56&lt;=Hypothèses!$V$17,Hypothèses!$W$17,IF(U56&lt;=Hypothèses!$V$18,Hypothèses!$W$18,""))))))))))))</f>
        <v>#DIV/0!</v>
      </c>
      <c r="AP56" s="87" t="e">
        <f t="shared" ca="1" si="117"/>
        <v>#DIV/0!</v>
      </c>
      <c r="AQ56" s="88" t="e">
        <f ca="1">IF(U56&lt;=Hypothèses!$V$7,Hypothèses!$X$7,IF(U56&lt;=Hypothèses!$V$8,Hypothèses!$X$8,IF(U56&lt;=Hypothèses!$V$9,Hypothèses!$X$9,IF(U56&lt;=Hypothèses!$V$10,Hypothèses!$X$10,IF(U56&lt;=Hypothèses!$V$11,Hypothèses!$X$11,IF(U56&lt;=Hypothèses!$V$12,Hypothèses!$X$12,IF(U56&lt;=Hypothèses!$V$13,Hypothèses!$X$13,IF(U56&lt;=Hypothèses!$V$14,Hypothèses!$X$14,IF(U56&lt;=Hypothèses!$V$15,Hypothèses!$X$15,IF(U56&lt;=Hypothèses!$V$16,Hypothèses!$X$16,IF(U56&lt;=Hypothèses!$U$17,Hypothèses!$W$17,IF(U56&lt;=Hypothèses!$U$18,Hypothèses!$W$18,""))))))))))))</f>
        <v>#DIV/0!</v>
      </c>
      <c r="AR56" s="95" t="e">
        <f t="shared" ca="1" si="72"/>
        <v>#DIV/0!</v>
      </c>
      <c r="AS56" s="101" t="e">
        <f t="shared" si="124"/>
        <v>#N/A</v>
      </c>
      <c r="AT56" s="91" t="e">
        <f t="shared" si="23"/>
        <v>#N/A</v>
      </c>
      <c r="AU56" s="30" t="e">
        <f t="shared" si="102"/>
        <v>#N/A</v>
      </c>
      <c r="AV56" s="30" t="e">
        <f t="shared" si="103"/>
        <v>#N/A</v>
      </c>
      <c r="AW56" s="31" t="e">
        <f>IF(OR(Hypothèses!$B$4=17,Hypothèses!$B$4=18,Hypothèses!$B$4=19,Hypothèses!$B$4=20),
IF($D56="Pressio.",
IF(OR($E56=3,$E56=1,$E56=4),AV56,AU56),
IF($D56="Pénétro.",
IF(OR($E56=3,$E56=1,$E56=4),AV56,AU56))),IF($D56="Pressio.",
IF($E56=3,AV56,AU56),
IF($D56="Pénétro.",
IF($E56=4,AV56,AU56))))</f>
        <v>#N/A</v>
      </c>
      <c r="AX56" s="31" t="e">
        <f>(IF(OR(Hypothèses!$B$4=17,Hypothèses!$B$4=18,Hypothèses!$B$4=19,Hypothèses!$B$4=20),
IF($D56="Pressio.",
IF(OR($E56=3,$E56=1,$E56=4),(PI()*AX$12^2)/4*(AT56*$W56*1000)/($H56*$B$5),(PI()*AX$12^2)/4*(AT56*$W56*1000)/($G56*$B$5)),
IF($D56="Pénétro.",
IF(OR($E56=4,$E56=1,$E56=5),(PI()*AX$12^2)/4*(AT56*$W56*1000)/($H56*$B$5),(PI()*AX$12^2)/4*(AT56*$W56*1000)/($G56*$B$5)))),
IF($D56="Pressio.",
IF($E56=3,(PI()*AX$12^2)/4*(AT56*$W56*1000)/($H56*$B$5),(PI()*AX$12^2)/4*(AT56*$W56*1000)/($G56*$B$5)),
IF($D56="Pénétro.",
IF($E56=4,(PI()*AX$12^2)/4*(AT56*$W56*1000)/($H56*$B$5),(PI()*AX$12^2)/4*(AT56*$W56*1000)/($G56*$B$5))))))/10</f>
        <v>#N/A</v>
      </c>
      <c r="AY56" s="102" t="e">
        <f>(VLOOKUP($B$3,'Coeff EC7'!$T$39:$X$59,2,0)*AW56+VLOOKUP($B$3,'Coeff EC7'!$T$65:$X$85,2,0)*Model0.1C!AX56)/1.1</f>
        <v>#N/A</v>
      </c>
      <c r="AZ56" s="102" t="e">
        <f>(VLOOKUP($B$3,'Coeff EC7'!$T$39:$X$59,3,0)*AW56+VLOOKUP($B$3,'Coeff EC7'!$T$65:$X$85,3,0)*Model0.1C!AX56)/0.9</f>
        <v>#N/A</v>
      </c>
      <c r="BA56" s="102" t="e">
        <f t="shared" si="73"/>
        <v>#N/A</v>
      </c>
      <c r="BB56" s="102" t="e">
        <f t="shared" si="74"/>
        <v>#N/A</v>
      </c>
      <c r="BC56" s="414" t="e">
        <f>IF(BC55=0,0,IF(AND(AY56&gt;charge_ELS_quasi,AZ56&gt;Charge_ELS_freq,BA56&gt;charge_ELU,BB56&gt;charge_ELA,$B56&gt;NDC!$H$22-0.1+MIN(3*$BC$12,1.5)),0,1))</f>
        <v>#N/A</v>
      </c>
      <c r="BD56" s="86" t="b">
        <f t="shared" si="26"/>
        <v>0</v>
      </c>
      <c r="BE56" s="86">
        <f t="shared" si="75"/>
        <v>0.5</v>
      </c>
      <c r="BF56" s="86">
        <f t="shared" si="27"/>
        <v>0.5</v>
      </c>
      <c r="BG56" s="30" t="e">
        <f t="shared" ca="1" si="76"/>
        <v>#DIV/0!</v>
      </c>
      <c r="BH56" s="85" t="e">
        <f ca="1">IF(AN56&lt;=Hypothèses!$V$7,Hypothèses!$W$7,IF(AN56&lt;=Hypothèses!$V$8,Hypothèses!$W$8,IF(AN56&lt;=Hypothèses!$V$9,Hypothèses!$W$9,IF(AN56&lt;=Hypothèses!$V$10,Hypothèses!$W$10,IF(AN56&lt;=Hypothèses!$V$11,Hypothèses!$W$11,IF(AN56&lt;=Hypothèses!$V$12,Hypothèses!$W$12,IF(AN56&lt;=Hypothèses!$V$13,Hypothèses!$W$13,IF(AN56&lt;=Hypothèses!$V$14,Hypothèses!$W$14,IF(AN56&lt;=Hypothèses!$V$15,Hypothèses!$W$15,IF(AN56&lt;=Hypothèses!$V$16,Hypothèses!$W$16,IF(AN56&lt;=Hypothèses!$V$17,Hypothèses!$W$17,IF(AN56&lt;=Hypothèses!$V$18,Hypothèses!$W$18,""))))))))))))</f>
        <v>#DIV/0!</v>
      </c>
      <c r="BI56" s="87" t="e">
        <f t="shared" ca="1" si="118"/>
        <v>#DIV/0!</v>
      </c>
      <c r="BJ56" s="88" t="e">
        <f ca="1">IF(AN56&lt;=Hypothèses!$V$7,Hypothèses!$X$7,IF(AN56&lt;=Hypothèses!$V$8,Hypothèses!$X$8,IF(AN56&lt;=Hypothèses!$V$9,Hypothèses!$X$9,IF(AN56&lt;=Hypothèses!$V$10,Hypothèses!$X$10,IF(AN56&lt;=Hypothèses!$V$11,Hypothèses!$X$11,IF(AN56&lt;=Hypothèses!$V$12,Hypothèses!$X$12,IF(AN56&lt;=Hypothèses!$V$13,Hypothèses!$X$13,IF(AN56&lt;=Hypothèses!$V$14,Hypothèses!$X$14,IF(AN56&lt;=Hypothèses!$V$15,Hypothèses!$X$15,IF(AN56&lt;=Hypothèses!$V$16,Hypothèses!$X$16,IF(AN56&lt;=Hypothèses!$U$17,Hypothèses!$W$17,IF(AN56&lt;=Hypothèses!$U$18,Hypothèses!$W$18,""))))))))))))</f>
        <v>#DIV/0!</v>
      </c>
      <c r="BK56" s="95" t="e">
        <f t="shared" ca="1" si="77"/>
        <v>#DIV/0!</v>
      </c>
      <c r="BL56" s="101" t="e">
        <f t="shared" si="125"/>
        <v>#N/A</v>
      </c>
      <c r="BM56" s="91" t="e">
        <f t="shared" si="29"/>
        <v>#N/A</v>
      </c>
      <c r="BN56" s="30" t="e">
        <f t="shared" si="104"/>
        <v>#N/A</v>
      </c>
      <c r="BO56" s="30" t="e">
        <f t="shared" si="105"/>
        <v>#N/A</v>
      </c>
      <c r="BP56" s="31" t="e">
        <f>IF(OR(Hypothèses!$B$4=17,Hypothèses!$B$4=18,Hypothèses!$B$4=19,Hypothèses!$B$4=20),
IF($D56="Pressio.",
IF(OR($E56=3,$E56=1,$E56=4),BO56,BN56),
IF($D56="Pénétro.",
IF(OR($E56=3,$E56=1,$E56=4),BO56,BN56))),IF($D56="Pressio.",
IF($E56=3,BO56,BN56),
IF($D56="Pénétro.",
IF($E56=4,BO56,BN56))))</f>
        <v>#N/A</v>
      </c>
      <c r="BQ56" s="31" t="e">
        <f>(IF(OR(Hypothèses!$B$4=17,Hypothèses!$B$4=18,Hypothèses!$B$4=19,Hypothèses!$B$4=20),
IF($D56="Pressio.",
IF(OR($E56=3,$E56=1,$E56=4),(PI()*BQ$12^2)/4*(BM56*$W56*1000)/($H56*$B$5),(PI()*BQ$12^2)/4*(BM56*$W56*1000)/($G56*$B$5)),
IF($D56="Pénétro.",
IF(OR($E56=4,$E56=1,$E56=5),(PI()*BQ$12^2)/4*(BM56*$W56*1000)/($H56*$B$5),(PI()*BQ$12^2)/4*(BM56*$W56*1000)/($G56*$B$5)))),
IF($D56="Pressio.",
IF($E56=3,(PI()*BQ$12^2)/4*(BM56*$W56*1000)/($H56*$B$5),(PI()*BQ$12^2)/4*(BM56*$W56*1000)/($G56*$B$5)),
IF($D56="Pénétro.",
IF($E56=4,(PI()*BQ$12^2)/4*(BM56*$W56*1000)/($H56*$B$5),(PI()*BQ$12^2)/4*(BM56*$W56*1000)/($G56*$B$5))))))/10</f>
        <v>#N/A</v>
      </c>
      <c r="BR56" s="102" t="e">
        <f>(VLOOKUP($B$3,'Coeff EC7'!$T$39:$X$59,2,0)*BP56+VLOOKUP($B$3,'Coeff EC7'!$T$65:$X$85,2,0)*Model0.1C!BQ56)/1.1</f>
        <v>#N/A</v>
      </c>
      <c r="BS56" s="102" t="e">
        <f>(VLOOKUP($B$3,'Coeff EC7'!$T$39:$X$59,3,0)*BP56+VLOOKUP($B$3,'Coeff EC7'!$T$65:$X$85,3,0)*Model0.1C!BQ56)/0.9</f>
        <v>#N/A</v>
      </c>
      <c r="BT56" s="102" t="e">
        <f t="shared" si="78"/>
        <v>#N/A</v>
      </c>
      <c r="BU56" s="102" t="e">
        <f t="shared" si="79"/>
        <v>#N/A</v>
      </c>
      <c r="BV56" s="414" t="e">
        <f>IF(BV55=0,0,IF(AND(BR56&gt;charge_ELS_quasi,BS56&gt;Charge_ELS_freq,BT56&gt;charge_ELU,BU56&gt;charge_ELA,$B56&gt;NDC!$H$22-0.1+MIN(3*$BV$12,1.5)),0,1))</f>
        <v>#N/A</v>
      </c>
      <c r="BW56" s="86" t="b">
        <f t="shared" si="32"/>
        <v>0</v>
      </c>
      <c r="BX56" s="86">
        <f t="shared" si="33"/>
        <v>0.5</v>
      </c>
      <c r="BY56" s="86">
        <f t="shared" si="34"/>
        <v>0.5</v>
      </c>
      <c r="BZ56" s="30" t="e">
        <f t="shared" ca="1" si="80"/>
        <v>#DIV/0!</v>
      </c>
      <c r="CA56" s="85" t="e">
        <f ca="1">IF(BG56&lt;=Hypothèses!$V$7,Hypothèses!$W$7,IF(BG56&lt;=Hypothèses!$V$8,Hypothèses!$W$8,IF(BG56&lt;=Hypothèses!$V$9,Hypothèses!$W$9,IF(BG56&lt;=Hypothèses!$V$10,Hypothèses!$W$10,IF(BG56&lt;=Hypothèses!$V$11,Hypothèses!$W$11,IF(BG56&lt;=Hypothèses!$V$12,Hypothèses!$W$12,IF(BG56&lt;=Hypothèses!$V$13,Hypothèses!$W$13,IF(BG56&lt;=Hypothèses!$V$14,Hypothèses!$W$14,IF(BG56&lt;=Hypothèses!$V$15,Hypothèses!$W$15,IF(BG56&lt;=Hypothèses!$V$16,Hypothèses!$W$16,IF(BG56&lt;=Hypothèses!$V$17,Hypothèses!$W$17,IF(BG56&lt;=Hypothèses!$V$18,Hypothèses!$W$18,""))))))))))))</f>
        <v>#DIV/0!</v>
      </c>
      <c r="CB56" s="87" t="e">
        <f t="shared" ca="1" si="119"/>
        <v>#DIV/0!</v>
      </c>
      <c r="CC56" s="88" t="e">
        <f ca="1">IF(BG56&lt;=Hypothèses!$V$7,Hypothèses!$X$7,IF(BG56&lt;=Hypothèses!$V$8,Hypothèses!$X$8,IF(BG56&lt;=Hypothèses!$V$9,Hypothèses!$X$9,IF(BG56&lt;=Hypothèses!$V$10,Hypothèses!$X$10,IF(BG56&lt;=Hypothèses!$V$11,Hypothèses!$X$11,IF(BG56&lt;=Hypothèses!$V$12,Hypothèses!$X$12,IF(BG56&lt;=Hypothèses!$V$13,Hypothèses!$X$13,IF(BG56&lt;=Hypothèses!$V$14,Hypothèses!$X$14,IF(BG56&lt;=Hypothèses!$V$15,Hypothèses!$X$15,IF(BG56&lt;=Hypothèses!$V$16,Hypothèses!$X$16,IF(BG56&lt;=Hypothèses!$U$17,Hypothèses!$W$17,IF(BG56&lt;=Hypothèses!$U$18,Hypothèses!$W$18,""))))))))))))</f>
        <v>#DIV/0!</v>
      </c>
      <c r="CD56" s="95" t="e">
        <f t="shared" ca="1" si="81"/>
        <v>#DIV/0!</v>
      </c>
      <c r="CE56" s="101" t="e">
        <f t="shared" si="126"/>
        <v>#N/A</v>
      </c>
      <c r="CF56" s="91" t="e">
        <f t="shared" si="36"/>
        <v>#N/A</v>
      </c>
      <c r="CG56" s="30" t="e">
        <f t="shared" si="106"/>
        <v>#N/A</v>
      </c>
      <c r="CH56" s="30" t="e">
        <f t="shared" si="107"/>
        <v>#N/A</v>
      </c>
      <c r="CI56" s="31" t="e">
        <f>IF(OR(Hypothèses!$B$4=17,Hypothèses!$B$4=18,Hypothèses!$B$4=19,Hypothèses!$B$4=20),
IF($D56="Pressio.",
IF(OR($E56=3,$E56=1,$E56=4),CH56,CG56),
IF($D56="Pénétro.",
IF(OR($E56=3,$E56=1,$E56=4),CH56,CG56))),IF($D56="Pressio.",
IF($E56=3,CH56,CG56),
IF($D56="Pénétro.",
IF($E56=4,CH56,CG56))))</f>
        <v>#N/A</v>
      </c>
      <c r="CJ56" s="31" t="e">
        <f>(IF(OR(Hypothèses!$B$4=17,Hypothèses!$B$4=18,Hypothèses!$B$4=19,Hypothèses!$B$4=20),
IF($D56="Pressio.",
IF(OR($E56=3,$E56=1,$E56=4),(PI()*CJ$12^2)/4*(CF56*$W56*1000)/($H56*$B$5),(PI()*CJ$12^2)/4*(CF56*$W56*1000)/($G56*$B$5)),
IF($D56="Pénétro.",
IF(OR($E56=4,$E56=1,$E56=5),(PI()*CJ$12^2)/4*(CF56*$W56*1000)/($H56*$B$5),(PI()*CJ$12^2)/4*(CF56*$W56*1000)/($G56*$B$5)))),
IF($D56="Pressio.",
IF($E56=3,(PI()*CJ$12^2)/4*(CF56*$W56*1000)/($H56*$B$5),(PI()*CJ$12^2)/4*(CF56*$W56*1000)/($G56*$B$5)),
IF($D56="Pénétro.",
IF($E56=4,(PI()*CJ$12^2)/4*(CF56*$W56*1000)/($H56*$B$5),(PI()*CJ$12^2)/4*(CF56*$W56*1000)/($G56*$B$5))))))/10</f>
        <v>#N/A</v>
      </c>
      <c r="CK56" s="102" t="e">
        <f>(VLOOKUP($B$3,'Coeff EC7'!$T$39:$X$59,2,0)*CI56+VLOOKUP($B$3,'Coeff EC7'!$T$65:$X$85,2,0)*Model0.1C!CJ56)/1.1</f>
        <v>#N/A</v>
      </c>
      <c r="CL56" s="102" t="e">
        <f>(VLOOKUP($B$3,'Coeff EC7'!$T$39:$X$59,3,0)*CI56+VLOOKUP($B$3,'Coeff EC7'!$T$65:$X$85,3,0)*Model0.1C!CJ56)/0.9</f>
        <v>#N/A</v>
      </c>
      <c r="CM56" s="102" t="e">
        <f t="shared" si="82"/>
        <v>#N/A</v>
      </c>
      <c r="CN56" s="102" t="e">
        <f t="shared" si="83"/>
        <v>#N/A</v>
      </c>
      <c r="CO56" s="414" t="e">
        <f>IF(CO55=0,0,IF(AND(CK56&gt;charge_ELS_quasi,CL56&gt;Charge_ELS_freq,CM56&gt;charge_ELU,CN56&gt;charge_ELA,$B56&gt;NDC!$H$22-0.1+MIN(3*$CO$12,1.5)),0,1))</f>
        <v>#N/A</v>
      </c>
      <c r="CP56" s="86" t="b">
        <f t="shared" si="39"/>
        <v>0</v>
      </c>
      <c r="CQ56" s="86">
        <f t="shared" si="40"/>
        <v>0.5</v>
      </c>
      <c r="CR56" s="86">
        <f t="shared" si="41"/>
        <v>0.5</v>
      </c>
      <c r="CS56" s="30" t="e">
        <f t="shared" ca="1" si="84"/>
        <v>#DIV/0!</v>
      </c>
      <c r="CT56" s="85" t="e">
        <f ca="1">IF(BZ56&lt;=Hypothèses!$V$7,Hypothèses!$W$7,IF(BZ56&lt;=Hypothèses!$V$8,Hypothèses!$W$8,IF(BZ56&lt;=Hypothèses!$V$9,Hypothèses!$W$9,IF(BZ56&lt;=Hypothèses!$V$10,Hypothèses!$W$10,IF(BZ56&lt;=Hypothèses!$V$11,Hypothèses!$W$11,IF(BZ56&lt;=Hypothèses!$V$12,Hypothèses!$W$12,IF(BZ56&lt;=Hypothèses!$V$13,Hypothèses!$W$13,IF(BZ56&lt;=Hypothèses!$V$14,Hypothèses!$W$14,IF(BZ56&lt;=Hypothèses!$V$15,Hypothèses!$W$15,IF(BZ56&lt;=Hypothèses!$V$16,Hypothèses!$W$16,IF(BZ56&lt;=Hypothèses!$V$17,Hypothèses!$W$17,IF(BZ56&lt;=Hypothèses!$V$18,Hypothèses!$W$18,""))))))))))))</f>
        <v>#DIV/0!</v>
      </c>
      <c r="CU56" s="87" t="e">
        <f t="shared" ca="1" si="120"/>
        <v>#DIV/0!</v>
      </c>
      <c r="CV56" s="88" t="e">
        <f ca="1">IF(BZ56&lt;=Hypothèses!$V$7,Hypothèses!$X$7,IF(BZ56&lt;=Hypothèses!$V$8,Hypothèses!$X$8,IF(BZ56&lt;=Hypothèses!$V$9,Hypothèses!$X$9,IF(BZ56&lt;=Hypothèses!$V$10,Hypothèses!$X$10,IF(BZ56&lt;=Hypothèses!$V$11,Hypothèses!$X$11,IF(BZ56&lt;=Hypothèses!$V$12,Hypothèses!$X$12,IF(BZ56&lt;=Hypothèses!$V$13,Hypothèses!$X$13,IF(BZ56&lt;=Hypothèses!$V$14,Hypothèses!$X$14,IF(BZ56&lt;=Hypothèses!$V$15,Hypothèses!$X$15,IF(BZ56&lt;=Hypothèses!$V$16,Hypothèses!$X$16,IF(BZ56&lt;=Hypothèses!$U$17,Hypothèses!$W$17,IF(BZ56&lt;=Hypothèses!$U$18,Hypothèses!$W$18,""))))))))))))</f>
        <v>#DIV/0!</v>
      </c>
      <c r="CW56" s="95" t="e">
        <f t="shared" ca="1" si="85"/>
        <v>#DIV/0!</v>
      </c>
      <c r="CX56" s="101" t="e">
        <f t="shared" si="127"/>
        <v>#N/A</v>
      </c>
      <c r="CY56" s="91" t="e">
        <f t="shared" si="43"/>
        <v>#N/A</v>
      </c>
      <c r="CZ56" s="30" t="e">
        <f t="shared" si="108"/>
        <v>#N/A</v>
      </c>
      <c r="DA56" s="30" t="e">
        <f t="shared" si="109"/>
        <v>#N/A</v>
      </c>
      <c r="DB56" s="31" t="e">
        <f>IF(OR(Hypothèses!$B$4=17,Hypothèses!$B$4=18,Hypothèses!$B$4=19,Hypothèses!$B$4=20),
IF($D56="Pressio.",
IF(OR($E56=3,$E56=1,$E56=4),DA56,CZ56),
IF($D56="Pénétro.",
IF(OR($E56=3,$E56=1,$E56=4),DA56,CZ56))),IF($D56="Pressio.",
IF($E56=3,DA56,CZ56),
IF($D56="Pénétro.",
IF($E56=4,DA56,CZ56))))</f>
        <v>#N/A</v>
      </c>
      <c r="DC56" s="31" t="e">
        <f>(IF(OR(Hypothèses!$B$4=17,Hypothèses!$B$4=18,Hypothèses!$B$4=19,Hypothèses!$B$4=20),
IF($D56="Pressio.",
IF(OR($E56=3,$E56=1,$E56=4),(PI()*DC$12^2)/4*(CY56*$W56*1000)/($H56*$B$5),(PI()*DC$12^2)/4*(CY56*$W56*1000)/($G56*$B$5)),
IF($D56="Pénétro.",
IF(OR($E56=4,$E56=1,$E56=5),(PI()*DC$12^2)/4*(CY56*$W56*1000)/($H56*$B$5),(PI()*DC$12^2)/4*(CY56*$W56*1000)/($G56*$B$5)))),
IF($D56="Pressio.",
IF($E56=3,(PI()*DC$12^2)/4*(CY56*$W56*1000)/($H56*$B$5),(PI()*DC$12^2)/4*(CY56*$W56*1000)/($G56*$B$5)),
IF($D56="Pénétro.",
IF($E56=4,(PI()*DC$12^2)/4*(CY56*$W56*1000)/($H56*$B$5),(PI()*DC$12^2)/4*(CY56*$W56*1000)/($G56*$B$5))))))/10</f>
        <v>#N/A</v>
      </c>
      <c r="DD56" s="102" t="e">
        <f>(VLOOKUP($B$3,'Coeff EC7'!$T$39:$X$59,2,0)*DB56+VLOOKUP($B$3,'Coeff EC7'!$T$65:$X$85,2,0)*Model0.1C!DC56)/1.1</f>
        <v>#N/A</v>
      </c>
      <c r="DE56" s="102" t="e">
        <f>(VLOOKUP($B$3,'Coeff EC7'!$T$39:$X$59,3,0)*DB56+VLOOKUP($B$3,'Coeff EC7'!$T$65:$X$85,3,0)*Model0.1C!DC56)/0.9</f>
        <v>#N/A</v>
      </c>
      <c r="DF56" s="102" t="e">
        <f t="shared" si="86"/>
        <v>#N/A</v>
      </c>
      <c r="DG56" s="102" t="e">
        <f t="shared" si="87"/>
        <v>#N/A</v>
      </c>
      <c r="DH56" s="414" t="e">
        <f>IF(DH55=0,0,IF(AND(DD56&gt;charge_ELS_quasi,DE56&gt;Charge_ELS_freq,DF56&gt;charge_ELU,DG56&gt;charge_ELA,$B56&gt;NDC!$H$22-0.1+MIN(3*$DH$12,1.5)),0,1))</f>
        <v>#N/A</v>
      </c>
      <c r="DI56" s="86" t="b">
        <f t="shared" si="46"/>
        <v>0</v>
      </c>
      <c r="DJ56" s="86">
        <f t="shared" si="47"/>
        <v>0.5</v>
      </c>
      <c r="DK56" s="86">
        <f t="shared" si="48"/>
        <v>0.5</v>
      </c>
      <c r="DL56" s="30" t="e">
        <f t="shared" ca="1" si="88"/>
        <v>#DIV/0!</v>
      </c>
      <c r="DM56" s="85" t="e">
        <f ca="1">IF(CS56&lt;=Hypothèses!$V$7,Hypothèses!$W$7,IF(CS56&lt;=Hypothèses!$V$8,Hypothèses!$W$8,IF(CS56&lt;=Hypothèses!$V$9,Hypothèses!$W$9,IF(CS56&lt;=Hypothèses!$V$10,Hypothèses!$W$10,IF(CS56&lt;=Hypothèses!$V$11,Hypothèses!$W$11,IF(CS56&lt;=Hypothèses!$V$12,Hypothèses!$W$12,IF(CS56&lt;=Hypothèses!$V$13,Hypothèses!$W$13,IF(CS56&lt;=Hypothèses!$V$14,Hypothèses!$W$14,IF(CS56&lt;=Hypothèses!$V$15,Hypothèses!$W$15,IF(CS56&lt;=Hypothèses!$V$16,Hypothèses!$W$16,IF(CS56&lt;=Hypothèses!$V$17,Hypothèses!$W$17,IF(CS56&lt;=Hypothèses!$V$18,Hypothèses!$W$18,""))))))))))))</f>
        <v>#DIV/0!</v>
      </c>
      <c r="DN56" s="87" t="e">
        <f t="shared" ca="1" si="121"/>
        <v>#DIV/0!</v>
      </c>
      <c r="DO56" s="88" t="e">
        <f ca="1">IF(CS56&lt;=Hypothèses!$V$7,Hypothèses!$X$7,IF(CS56&lt;=Hypothèses!$V$8,Hypothèses!$X$8,IF(CS56&lt;=Hypothèses!$V$9,Hypothèses!$X$9,IF(CS56&lt;=Hypothèses!$V$10,Hypothèses!$X$10,IF(CS56&lt;=Hypothèses!$V$11,Hypothèses!$X$11,IF(CS56&lt;=Hypothèses!$V$12,Hypothèses!$X$12,IF(CS56&lt;=Hypothèses!$V$13,Hypothèses!$X$13,IF(CS56&lt;=Hypothèses!$V$14,Hypothèses!$X$14,IF(CS56&lt;=Hypothèses!$V$15,Hypothèses!$X$15,IF(CS56&lt;=Hypothèses!$V$16,Hypothèses!$X$16,IF(CS56&lt;=Hypothèses!$U$17,Hypothèses!$W$17,IF(CS56&lt;=Hypothèses!$U$18,Hypothèses!$W$18,""))))))))))))</f>
        <v>#DIV/0!</v>
      </c>
      <c r="DP56" s="95" t="e">
        <f t="shared" ca="1" si="89"/>
        <v>#DIV/0!</v>
      </c>
      <c r="DQ56" s="101" t="e">
        <f t="shared" si="128"/>
        <v>#N/A</v>
      </c>
      <c r="DR56" s="91" t="e">
        <f t="shared" si="50"/>
        <v>#N/A</v>
      </c>
      <c r="DS56" s="30" t="e">
        <f t="shared" si="110"/>
        <v>#N/A</v>
      </c>
      <c r="DT56" s="30" t="e">
        <f t="shared" si="111"/>
        <v>#N/A</v>
      </c>
      <c r="DU56" s="31" t="e">
        <f>IF(OR(Hypothèses!$B$4=17,Hypothèses!$B$4=18,Hypothèses!$B$4=19,Hypothèses!$B$4=20),
IF($D56="Pressio.",
IF(OR($E56=3,$E56=1,$E56=4),DT56,DS56),
IF($D56="Pénétro.",
IF(OR($E56=3,$E56=1,$E56=4),DT56,DS56))),IF($D56="Pressio.",
IF($E56=3,DT56,DS56),
IF($D56="Pénétro.",
IF($E56=4,DT56,DS56))))</f>
        <v>#N/A</v>
      </c>
      <c r="DV56" s="31" t="e">
        <f>(IF(OR(Hypothèses!$B$4=17,Hypothèses!$B$4=18,Hypothèses!$B$4=19,Hypothèses!$B$4=20),
IF($D56="Pressio.",
IF(OR($E56=3,$E56=1,$E56=4),(PI()*DV$12^2)/4*(DR56*$W56*1000)/($H56*$B$5),(PI()*DV$12^2)/4*(DR56*$W56*1000)/($G56*$B$5)),
IF($D56="Pénétro.",
IF(OR($E56=4,$E56=1,$E56=5),(PI()*DV$12^2)/4*(DR56*$W56*1000)/($H56*$B$5),(PI()*DV$12^2)/4*(DR56*$W56*1000)/($G56*$B$5)))),
IF($D56="Pressio.",
IF($E56=3,(PI()*DV$12^2)/4*(DR56*$W56*1000)/($H56*$B$5),(PI()*DV$12^2)/4*(DR56*$W56*1000)/($G56*$B$5)),
IF($D56="Pénétro.",
IF($E56=4,(PI()*DV$12^2)/4*(DR56*$W56*1000)/($H56*$B$5),(PI()*DV$12^2)/4*(DR56*$W56*1000)/($G56*$B$5))))))/10</f>
        <v>#N/A</v>
      </c>
      <c r="DW56" s="102" t="e">
        <f>(VLOOKUP($B$3,'Coeff EC7'!$T$39:$X$59,2,0)*DU56+VLOOKUP($B$3,'Coeff EC7'!$T$65:$X$85,2,0)*Model0.1C!DV56)/1.1</f>
        <v>#N/A</v>
      </c>
      <c r="DX56" s="102" t="e">
        <f>(VLOOKUP($B$3,'Coeff EC7'!$T$39:$X$59,3,0)*DU56+VLOOKUP($B$3,'Coeff EC7'!$T$65:$X$85,3,0)*Model0.1C!DV56)/0.9</f>
        <v>#N/A</v>
      </c>
      <c r="DY56" s="102" t="e">
        <f t="shared" si="90"/>
        <v>#N/A</v>
      </c>
      <c r="DZ56" s="102" t="e">
        <f t="shared" si="91"/>
        <v>#N/A</v>
      </c>
      <c r="EA56" s="414" t="e">
        <f>IF(EA55=0,0,IF(AND(DW56&gt;charge_ELS_quasi,DX56&gt;Charge_ELS_freq,DY56&gt;charge_ELU,DZ56&gt;charge_ELA,$B56&gt;NDC!$H$22-0.1+MIN(3*$EA$12,1.5)),0,1))</f>
        <v>#N/A</v>
      </c>
      <c r="EB56" s="86" t="b">
        <f t="shared" si="53"/>
        <v>0</v>
      </c>
      <c r="EC56" s="418">
        <f t="shared" si="54"/>
        <v>0.51</v>
      </c>
      <c r="ED56" s="86">
        <f t="shared" si="55"/>
        <v>0.51</v>
      </c>
      <c r="EE56" s="30" t="e">
        <f t="shared" ca="1" si="92"/>
        <v>#DIV/0!</v>
      </c>
      <c r="EF56" s="85" t="e">
        <f ca="1">IF(DL56&lt;=Hypothèses!$V$7,Hypothèses!$W$7,IF(DL56&lt;=Hypothèses!$V$8,Hypothèses!$W$8,IF(DL56&lt;=Hypothèses!$V$9,Hypothèses!$W$9,IF(DL56&lt;=Hypothèses!$V$10,Hypothèses!$W$10,IF(DL56&lt;=Hypothèses!$V$11,Hypothèses!$W$11,IF(DL56&lt;=Hypothèses!$V$12,Hypothèses!$W$12,IF(DL56&lt;=Hypothèses!$V$13,Hypothèses!$W$13,IF(DL56&lt;=Hypothèses!$V$14,Hypothèses!$W$14,IF(DL56&lt;=Hypothèses!$V$15,Hypothèses!$W$15,IF(DL56&lt;=Hypothèses!$V$16,Hypothèses!$W$16,IF(DL56&lt;=Hypothèses!$V$17,Hypothèses!$W$17,IF(DL56&lt;=Hypothèses!$V$18,Hypothèses!$W$18,""))))))))))))</f>
        <v>#DIV/0!</v>
      </c>
      <c r="EG56" s="87" t="e">
        <f t="shared" ca="1" si="122"/>
        <v>#DIV/0!</v>
      </c>
      <c r="EH56" s="88" t="e">
        <f ca="1">IF(DL56&lt;=Hypothèses!$V$7,Hypothèses!$X$7,IF(DL56&lt;=Hypothèses!$V$8,Hypothèses!$X$8,IF(DL56&lt;=Hypothèses!$V$9,Hypothèses!$X$9,IF(DL56&lt;=Hypothèses!$V$10,Hypothèses!$X$10,IF(DL56&lt;=Hypothèses!$V$11,Hypothèses!$X$11,IF(DL56&lt;=Hypothèses!$V$12,Hypothèses!$X$12,IF(DL56&lt;=Hypothèses!$V$13,Hypothèses!$X$13,IF(DL56&lt;=Hypothèses!$V$14,Hypothèses!$X$14,IF(DL56&lt;=Hypothèses!$V$15,Hypothèses!$X$15,IF(DL56&lt;=Hypothèses!$V$16,Hypothèses!$X$16,IF(DL56&lt;=Hypothèses!$U$17,Hypothèses!$W$17,IF(DL56&lt;=Hypothèses!$U$18,Hypothèses!$W$18,""))))))))))))</f>
        <v>#DIV/0!</v>
      </c>
      <c r="EI56" s="95" t="e">
        <f t="shared" ca="1" si="93"/>
        <v>#DIV/0!</v>
      </c>
      <c r="EJ56" s="101" t="e">
        <f t="shared" si="129"/>
        <v>#N/A</v>
      </c>
      <c r="EK56" s="91" t="e">
        <f t="shared" si="57"/>
        <v>#N/A</v>
      </c>
      <c r="EL56" s="30" t="e">
        <f t="shared" si="112"/>
        <v>#N/A</v>
      </c>
      <c r="EM56" s="30" t="e">
        <f t="shared" si="113"/>
        <v>#N/A</v>
      </c>
      <c r="EN56" s="31" t="e">
        <f>IF(OR(Hypothèses!$B$4=17,Hypothèses!$B$4=18,Hypothèses!$B$4=19,Hypothèses!$B$4=20),
IF($D56="Pressio.",
IF(OR($E56=3,$E56=1,$E56=4),EM56,EL56),
IF($D56="Pénétro.",
IF(OR($E56=3,$E56=1,$E56=4),EM56,EL56))),IF($D56="Pressio.",
IF($E56=3,EM56,EL56),
IF($D56="Pénétro.",
IF($E56=4,EM56,EL56))))</f>
        <v>#N/A</v>
      </c>
      <c r="EO56" s="31" t="e">
        <f>(IF(OR(Hypothèses!$B$4=17,Hypothèses!$B$4=18,Hypothèses!$B$4=19,Hypothèses!$B$4=20),
IF($D56="Pressio.",
IF(OR($E56=3,$E56=1,$E56=4),(PI()*EO$12^2)/4*(EK56*$W56*1000)/($H56*$B$5),(PI()*EO$12^2)/4*(EK56*$W56*1000)/($G56*$B$5)),
IF($D56="Pénétro.",
IF(OR($E56=4,$E56=1,$E56=5),(PI()*EO$12^2)/4*(EK56*$W56*1000)/($H56*$B$5),(PI()*EO$12^2)/4*(EK56*$W56*1000)/($G56*$B$5)))),
IF($D56="Pressio.",
IF($E56=3,(PI()*EO$12^2)/4*(EK56*$W56*1000)/($H56*$B$5),(PI()*EO$12^2)/4*(EK56*$W56*1000)/($G56*$B$5)),
IF($D56="Pénétro.",
IF($E56=4,(PI()*EO$12^2)/4*(EK56*$W56*1000)/($H56*$B$5),(PI()*EO$12^2)/4*(EK56*$W56*1000)/($G56*$B$5))))))/10</f>
        <v>#N/A</v>
      </c>
      <c r="EP56" s="102" t="e">
        <f>(VLOOKUP($B$3,'Coeff EC7'!$T$39:$X$59,2,0)*EN56+VLOOKUP($B$3,'Coeff EC7'!$T$65:$X$85,2,0)*Model0.1C!EO56)/1.1</f>
        <v>#N/A</v>
      </c>
      <c r="EQ56" s="102" t="e">
        <f>(VLOOKUP($B$3,'Coeff EC7'!$T$39:$X$59,3,0)*EN56+VLOOKUP($B$3,'Coeff EC7'!$T$65:$X$85,3,0)*Model0.1C!EO56)/0.9</f>
        <v>#N/A</v>
      </c>
      <c r="ER56" s="102" t="e">
        <f t="shared" si="94"/>
        <v>#N/A</v>
      </c>
      <c r="ES56" s="102" t="e">
        <f t="shared" si="95"/>
        <v>#N/A</v>
      </c>
      <c r="ET56" s="414" t="e">
        <f>IF(ET55=0,0,IF(AND(EP56&gt;charge_ELS_quasi,EQ56&gt;Charge_ELS_freq,ER56&gt;charge_ELU,ES56&gt;charge_ELA,$B56&gt;NDC!$H$22-0.1+MIN(3*$ET$12,1.5)),0,1))</f>
        <v>#N/A</v>
      </c>
      <c r="EU56" s="86" t="b">
        <f t="shared" si="60"/>
        <v>0</v>
      </c>
      <c r="EV56" s="86">
        <f t="shared" si="61"/>
        <v>0.61</v>
      </c>
      <c r="EW56" s="86">
        <f t="shared" si="62"/>
        <v>0.61</v>
      </c>
      <c r="EX56" s="30" t="e">
        <f t="shared" ca="1" si="96"/>
        <v>#DIV/0!</v>
      </c>
      <c r="EY56" s="85" t="e">
        <f ca="1">IF(EE56&lt;=Hypothèses!$V$7,Hypothèses!$W$7,IF(EE56&lt;=Hypothèses!$V$8,Hypothèses!$W$8,IF(EE56&lt;=Hypothèses!$V$9,Hypothèses!$W$9,IF(EE56&lt;=Hypothèses!$V$10,Hypothèses!$W$10,IF(EE56&lt;=Hypothèses!$V$11,Hypothèses!$W$11,IF(EE56&lt;=Hypothèses!$V$12,Hypothèses!$W$12,IF(EE56&lt;=Hypothèses!$V$13,Hypothèses!$W$13,IF(EE56&lt;=Hypothèses!$V$14,Hypothèses!$W$14,IF(EE56&lt;=Hypothèses!$V$15,Hypothèses!$W$15,IF(EE56&lt;=Hypothèses!$V$16,Hypothèses!$W$16,IF(EE56&lt;=Hypothèses!$V$17,Hypothèses!$W$17,IF(EE56&lt;=Hypothèses!$V$18,Hypothèses!$W$18,""))))))))))))</f>
        <v>#DIV/0!</v>
      </c>
      <c r="EZ56" s="87" t="e">
        <f t="shared" ca="1" si="123"/>
        <v>#DIV/0!</v>
      </c>
      <c r="FA56" s="88" t="e">
        <f ca="1">IF(EE56&lt;=Hypothèses!$V$7,Hypothèses!$X$7,IF(EE56&lt;=Hypothèses!$V$8,Hypothèses!$X$8,IF(EE56&lt;=Hypothèses!$V$9,Hypothèses!$X$9,IF(EE56&lt;=Hypothèses!$V$10,Hypothèses!$X$10,IF(EE56&lt;=Hypothèses!$V$11,Hypothèses!$X$11,IF(EE56&lt;=Hypothèses!$V$12,Hypothèses!$X$12,IF(EE56&lt;=Hypothèses!$V$13,Hypothèses!$X$13,IF(EE56&lt;=Hypothèses!$V$14,Hypothèses!$X$14,IF(EE56&lt;=Hypothèses!$V$15,Hypothèses!$X$15,IF(EE56&lt;=Hypothèses!$V$16,Hypothèses!$X$16,IF(EE56&lt;=Hypothèses!$U$17,Hypothèses!$W$17,IF(EE56&lt;=Hypothèses!$U$18,Hypothèses!$W$18,""))))))))))))</f>
        <v>#DIV/0!</v>
      </c>
      <c r="FB56" s="95" t="e">
        <f t="shared" ca="1" si="97"/>
        <v>#DIV/0!</v>
      </c>
      <c r="FC56" s="101" t="e">
        <f t="shared" si="130"/>
        <v>#N/A</v>
      </c>
      <c r="FD56" s="91" t="e">
        <f t="shared" si="64"/>
        <v>#N/A</v>
      </c>
      <c r="FE56" s="30" t="e">
        <f t="shared" si="114"/>
        <v>#N/A</v>
      </c>
      <c r="FF56" s="30" t="e">
        <f t="shared" si="115"/>
        <v>#N/A</v>
      </c>
      <c r="FG56" s="31" t="e">
        <f>IF(OR(Hypothèses!$B$4=17,Hypothèses!$B$4=18,Hypothèses!$B$4=19,Hypothèses!$B$4=20),
IF($D56="Pressio.",
IF(OR($E56=3,$E56=1,$E56=4),FF56,FE56),
IF($D56="Pénétro.",
IF(OR($E56=3,$E56=1,$E56=4),FF56,FE56))),IF($D56="Pressio.",
IF($E56=3,FF56,FE56),
IF($D56="Pénétro.",
IF($E56=4,FF56,FE56))))</f>
        <v>#N/A</v>
      </c>
      <c r="FH56" s="31" t="e">
        <f>(IF(OR(Hypothèses!$B$4=17,Hypothèses!$B$4=18,Hypothèses!$B$4=19,Hypothèses!$B$4=20),
IF($D56="Pressio.",
IF(OR($E56=3,$E56=1,$E56=4),(PI()*FH$12^2)/4*(FD56*$W56*1000)/($H56*$B$5),(PI()*FH$12^2)/4*(FD56*$W56*1000)/($G56*$B$5)),
IF($D56="Pénétro.",
IF(OR($E56=4,$E56=1,$E56=5),(PI()*FH$12^2)/4*(FD56*$W56*1000)/($H56*$B$5),(PI()*FH$12^2)/4*(FD56*$W56*1000)/($G56*$B$5)))),
IF($D56="Pressio.",
IF($E56=3,(PI()*FH$12^2)/4*(FD56*$W56*1000)/($H56*$B$5),(PI()*FH$12^2)/4*(FD56*$W56*1000)/($G56*$B$5)),
IF($D56="Pénétro.",
IF($E56=4,(PI()*FH$12^2)/4*(FD56*$W56*1000)/($H56*$B$5),(PI()*FH$12^2)/4*(FD56*$W56*1000)/($G56*$B$5))))))/10</f>
        <v>#N/A</v>
      </c>
      <c r="FI56" s="102" t="e">
        <f>(VLOOKUP($B$3,'Coeff EC7'!$T$39:$X$59,2,0)*FG56+VLOOKUP($B$3,'Coeff EC7'!$T$65:$X$85,2,0)*Model0.1C!FH56)/1.1</f>
        <v>#N/A</v>
      </c>
      <c r="FJ56" s="102" t="e">
        <f>(VLOOKUP($B$3,'Coeff EC7'!$T$39:$X$59,3,0)*FG56+VLOOKUP($B$3,'Coeff EC7'!$T$65:$X$85,3,0)*Model0.1C!FH56)/0.9</f>
        <v>#N/A</v>
      </c>
      <c r="FK56" s="102" t="e">
        <f t="shared" si="98"/>
        <v>#N/A</v>
      </c>
      <c r="FL56" s="102" t="e">
        <f t="shared" si="99"/>
        <v>#N/A</v>
      </c>
      <c r="FM56" s="414" t="e">
        <f>IF(FM55=0,0,IF(AND(FI56&gt;charge_ELS_quasi,FJ56&gt;Charge_ELS_freq,FK56&gt;charge_ELU,FL56&gt;charge_ELA,$B56&gt;NDC!$H$22-0.1+MIN(3*$FM$12,1.5)),0,1))</f>
        <v>#N/A</v>
      </c>
    </row>
    <row r="57" spans="1:169">
      <c r="A57" s="96">
        <f t="shared" si="67"/>
        <v>95.60000000000025</v>
      </c>
      <c r="B57" s="97">
        <v>4.4000000000000004</v>
      </c>
      <c r="C57" s="81">
        <f>IF(B57&lt;=Hypothèses!$C$7,Hypothèses!$A$7,IF(B57&lt;=Hypothèses!$C$8,Hypothèses!$A$8,IF(B57&lt;=Hypothèses!$C$9,Hypothèses!$A$9,IF(B57&lt;=Hypothèses!$C$10,Hypothèses!$A$10,IF(B57&lt;=Hypothèses!$C$11,Hypothèses!$A$11,IF(B57&lt;=Hypothèses!$C$12,Hypothèses!$A$12,IF(B57&lt;=Hypothèses!$C$13,Hypothèses!$A$13,IF(B57&lt;=Hypothèses!$C$14,Hypothèses!$A$14,IF(B57&lt;=Hypothèses!$C$15,Hypothèses!$A$15,IF(B57&lt;=Hypothèses!$C$16,Hypothèses!$A$16,IF(B57&lt;=Hypothèses!$C$17,Hypothèses!$A$17,IF(B57&lt;=Hypothèses!$C$18,Hypothèses!$A$18,C56))))))))))))</f>
        <v>11</v>
      </c>
      <c r="D57" s="82" t="str">
        <f>IF(B57&lt;=Hypothèses!$C$7,Hypothèses!$R$7,IF(B57&lt;=Hypothèses!$C$8,Hypothèses!$R$8,IF(B57&lt;=Hypothèses!$C$9,Hypothèses!$R$9,IF(B57&lt;=Hypothèses!$C$10,Hypothèses!$R$10,IF(B57&lt;=Hypothèses!$C$11,Hypothèses!$R$11,IF(B57&lt;=Hypothèses!$C$12,Hypothèses!$R$12,IF(B57&lt;=Hypothèses!$C$13,Hypothèses!$R$13,IF(B57&lt;=Hypothèses!$C$14,Hypothèses!$R$14,IF(B57&lt;=Hypothèses!$C$15,Hypothèses!$R$15,IF(B57&lt;=Hypothèses!$C$16,Hypothèses!$R$16,IF(B57&lt;=Hypothèses!$C$17,Hypothèses!$R$17,IF(B57&lt;=Hypothèses!$C$18,Hypothèses!$R$18,D56))))))))))))</f>
        <v>Pressio.</v>
      </c>
      <c r="E57" s="82" t="e">
        <f>IF(B57&lt;=Hypothèses!$C$7,Hypothèses!$G$7,IF(B57&lt;=Hypothèses!$C$8,Hypothèses!$G$8,IF(B57&lt;=Hypothèses!$C$9,Hypothèses!$G$9,IF(B57&lt;=Hypothèses!$C$10,Hypothèses!$G$10,IF(B57&lt;=Hypothèses!$C$11,Hypothèses!$G$11,IF(B57&lt;=Hypothèses!$C$12,Hypothèses!$G$12,IF(B57&lt;=Hypothèses!$C$13,Hypothèses!$G$13,IF(B57&lt;=Hypothèses!$C$14,Hypothèses!$G$14,IF(B57&lt;=Hypothèses!$C$15,Hypothèses!$G$15,IF(B57&lt;=Hypothèses!$C$16,Hypothèses!$G$16,IF(B57&lt;=Hypothèses!$C$17,Hypothèses!$G$17,IF(B57&lt;=Hypothèses!$C$18,Hypothèses!$G$18,E56))))))))))))</f>
        <v>#N/A</v>
      </c>
      <c r="F57" s="82" t="str">
        <f>IF(B57&lt;=Hypothèses!$C$7,Hypothèses!$F$7,IF(B57&lt;=Hypothèses!$C$8,Hypothèses!$F$8,IF(B57&lt;=Hypothèses!$C$9,Hypothèses!$F$9,IF(B57&lt;=Hypothèses!$C$10,Hypothèses!$F$10,IF(B57&lt;=Hypothèses!$C$11,Hypothèses!$F$11,IF(B57&lt;=Hypothèses!$C$12,Hypothèses!$F$12,IF(B57&lt;=Hypothèses!$C$13,Hypothèses!$F$13,IF(B57&lt;=Hypothèses!$C$14,Hypothèses!$F$14,IF(B57&lt;=Hypothèses!$C$15,Hypothèses!$F$15,IF(B57&lt;=Hypothèses!$C$16,Hypothèses!$F$16,IF(B57&lt;=Hypothèses!$C$17,Hypothèses!$F$17,IF(B57&lt;=Hypothèses!$C$18,Hypothèses!$F$18,F56))))))))))))</f>
        <v/>
      </c>
      <c r="G57" s="91">
        <f t="array" ref="G57">INDEX('Coeff EC7'!$U$7:$X$27,
MATCH(Model0.1C!$B$3,'Coeff EC7'!$T$7:$T$27,0),
MATCH(Model0.1C!$D57&amp;Model0.1C!$B$4,
'Coeff EC7'!$U$6:$X$6&amp;
'Coeff EC7'!$U$5:$X$5,0))</f>
        <v>1.1499999999999999</v>
      </c>
      <c r="H57" s="91">
        <f t="array" ref="H57">INDEX('Coeff EC7'!$Y$7:$AB$27,
MATCH(Model0.1C!$B$3,'Coeff EC7'!$T$7:$T$27,0),
MATCH(Model0.1C!$D57&amp;Model0.1C!$B$4,
'Coeff EC7'!$Y$6:$AB$6&amp;
'Coeff EC7'!$Y$5:$AB$5,0))</f>
        <v>1.4</v>
      </c>
      <c r="I57" s="83" t="e">
        <f>IF(B57&lt;=Hypothèses!$C$7,Hypothèses!$P$7,IF(B57&lt;=Hypothèses!$C$8,Hypothèses!$P$8,IF(B57&lt;=Hypothèses!$C$9,Hypothèses!$P$9,IF(B57&lt;=Hypothèses!$C$10,Hypothèses!$P$10,IF(B57&lt;=Hypothèses!$C$11,Hypothèses!$P$11,IF(B57&lt;=Hypothèses!$C$12,Hypothèses!$P$12,IF(B57&lt;=Hypothèses!$C$13,Hypothèses!$P$13,IF(B57&lt;=Hypothèses!$C$14,Hypothèses!$P$14,IF(B57&lt;=Hypothèses!$C$15,Hypothèses!$P$15,IF(B57&lt;=Hypothèses!$C$16,Hypothèses!$P$16,IF(B57&lt;=Hypothèses!$C$17,Hypothèses!$P$17,IF(B57&lt;=Hypothèses!$C$18,Hypothèses!$P$18,I56))))))))))))</f>
        <v>#N/A</v>
      </c>
      <c r="J57" s="91" t="e">
        <f t="array" ref="J57">INDEX('Coeff EC7'!$D$33:$Q$33,1,MATCH(D57&amp;E57,'Coeff EC7'!$D$31:$Q$31&amp;'Coeff EC7'!$D$32:$Q$32,0))</f>
        <v>#N/A</v>
      </c>
      <c r="K57" s="91" t="e">
        <f t="array" ref="K57">INDEX('Coeff EC7'!$D$34:$Q$34,1,MATCH(D57&amp;E57,'Coeff EC7'!$D$31:$Q$31&amp;'Coeff EC7'!$D$32:$Q$32,0))</f>
        <v>#N/A</v>
      </c>
      <c r="L57" s="91" t="e">
        <f t="array" ref="L57">INDEX('Coeff EC7'!$D$35:$Q$35,1,MATCH(D57&amp;E57,'Coeff EC7'!$D$31:$Q$31&amp;'Coeff EC7'!$D$32:$Q$32,0))</f>
        <v>#N/A</v>
      </c>
      <c r="M57" s="98" t="e">
        <f t="shared" si="8"/>
        <v>#N/A</v>
      </c>
      <c r="N57" s="99" t="e">
        <f t="array" ref="N57">INDEX('Coeff EC7'!$D$7:$Q$27,MATCH($B$3,'Coeff EC7'!$C$7:$C$27,0),MATCH(D57&amp;E57,'Coeff EC7'!$D$5:$Q$5&amp;'Coeff EC7'!$D$6:$Q$6,0))</f>
        <v>#N/A</v>
      </c>
      <c r="O57" s="99" t="e">
        <f t="array" ref="O57">INDEX('Coeff EC7'!$D$41:$Q$61,MATCH($B$3,'Coeff EC7'!$C$41:$C$61,0),MATCH(D57&amp;E57,'Coeff EC7'!$D$39:$Q$39&amp;'Coeff EC7'!$D$40:$Q$40,0))</f>
        <v>#N/A</v>
      </c>
      <c r="P57" s="30" t="e">
        <f t="shared" si="68"/>
        <v>#N/A</v>
      </c>
      <c r="Q57" s="100" t="e">
        <f t="shared" si="10"/>
        <v>#N/A</v>
      </c>
      <c r="R57" s="86" t="b">
        <f t="shared" si="11"/>
        <v>0</v>
      </c>
      <c r="S57" s="86">
        <f t="shared" si="9"/>
        <v>0.5</v>
      </c>
      <c r="T57" s="86">
        <f t="shared" si="12"/>
        <v>0.5</v>
      </c>
      <c r="U57" s="30" t="e">
        <f t="shared" ca="1" si="69"/>
        <v>#DIV/0!</v>
      </c>
      <c r="V57" s="85" t="str">
        <f>IF(B57&lt;=Hypothèses!$V$7,Hypothèses!$W$7,IF(B57&lt;=Hypothèses!$V$8,Hypothèses!$W$8,IF(B57&lt;=Hypothèses!$V$9,Hypothèses!$W$9,IF(B57&lt;=Hypothèses!$V$10,Hypothèses!$W$10,IF(B57&lt;=Hypothèses!$V$11,Hypothèses!$W$11,IF(B57&lt;=Hypothèses!$V$12,Hypothèses!$W$12,IF(B57&lt;=Hypothèses!$V$13,Hypothèses!$W$13,IF(B57&lt;=Hypothèses!$V$14,Hypothèses!$W$14,IF(B57&lt;=Hypothèses!$V$15,Hypothèses!$W$15,IF(B57&lt;=Hypothèses!$V$16,Hypothèses!$W$16,IF(B57&lt;=Hypothèses!$V$17,Hypothèses!$W$17,IF(B57&lt;=Hypothèses!$V$18,Hypothèses!$W$18,""))))))))))))</f>
        <v/>
      </c>
      <c r="W57" s="87" t="e">
        <f t="shared" ca="1" si="116"/>
        <v>#DIV/0!</v>
      </c>
      <c r="X57" s="88" t="str">
        <f>IF(B57&lt;=Hypothèses!$V$7,Hypothèses!$X$7,IF(B57&lt;=Hypothèses!$V$8,Hypothèses!$X$8,IF(B57&lt;=Hypothèses!$V$9,Hypothèses!$X$9,IF(B57&lt;=Hypothèses!$V$10,Hypothèses!$X$10,IF(B57&lt;=Hypothèses!$V$11,Hypothèses!$X$11,IF(B57&lt;=Hypothèses!$V$12,Hypothèses!$X$12,IF(B57&lt;=Hypothèses!$V$13,Hypothèses!$X$13,IF(B57&lt;=Hypothèses!$V$14,Hypothèses!$X$14,IF(B57&lt;=Hypothèses!$V$15,Hypothèses!$X$15,IF(B57&lt;=Hypothèses!$V$16,Hypothèses!$X$16,IF(B57&lt;=Hypothèses!$U$17,Hypothèses!$W$17,IF(B57&lt;=Hypothèses!$U$18,Hypothèses!$W$18,""))))))))))))</f>
        <v/>
      </c>
      <c r="Y57" s="95" t="e">
        <f t="shared" ca="1" si="13"/>
        <v>#DIV/0!</v>
      </c>
      <c r="Z57" s="101" t="e">
        <f t="shared" si="14"/>
        <v>#N/A</v>
      </c>
      <c r="AA57" s="91" t="e">
        <f t="shared" si="15"/>
        <v>#N/A</v>
      </c>
      <c r="AB57" s="30" t="e">
        <f t="shared" si="100"/>
        <v>#N/A</v>
      </c>
      <c r="AC57" s="30" t="e">
        <f t="shared" si="101"/>
        <v>#N/A</v>
      </c>
      <c r="AD57" s="31" t="e">
        <f>IF(OR(Hypothèses!$B$4=17,Hypothèses!$B$4=18,Hypothèses!$B$4=19,Hypothèses!$B$4=20),
IF($D57="Pressio.",
IF(OR($E57=3,$E57=1,$E57=4),AC57,AB57),
IF($D57="Pénétro.",
IF(OR($E57=3,$E57=1,$E57=4),AC57,AB57))),IF($D57="Pressio.",
IF($E57=3,AC57,AB57),
IF($D57="Pénétro.",
IF($E57=4,AC57,AB57))))</f>
        <v>#N/A</v>
      </c>
      <c r="AE57" s="31" t="e">
        <f>(IF(OR(Hypothèses!$B$4=17,Hypothèses!$B$4=18,Hypothèses!$B$4=19,Hypothèses!$B$4=20),
IF($D57="Pressio.",
IF(OR($E57=3,$E57=1,$E57=4),(PI()*AE$12^2)/4*(AA57*$W57*1000)/($H57*$B$5),(PI()*AE$12^2)/4*(AA57*$W57*1000)/($G57*$B$5)),
IF($D57="Pénétro.",
IF(OR($E57=4,$E57=1,$E57=5),(PI()*AE$12^2)/4*(AA57*$W57*1000)/($H57*$B$5),(PI()*AE$12^2)/4*(AA57*$W57*1000)/($G57*$B$5)))),
IF($D57="Pressio.",
IF($E57=3,(PI()*AE$12^2)/4*(AA57*$W57*1000)/($H57*$B$5),(PI()*AE$12^2)/4*(AA57*$W57*1000)/($G57*$B$5)),
IF($D57="Pénétro.",
IF($E57=4,(PI()*AE$12^2)/4*(AA57*$W57*1000)/($H57*$B$5),(PI()*AE$12^2)/4*(AA57*$W57*1000)/($G57*$B$5))))))/10</f>
        <v>#N/A</v>
      </c>
      <c r="AF57" s="102" t="e">
        <f>(VLOOKUP($B$3,'Coeff EC7'!$T$39:$X$59,2,0)*AD57+VLOOKUP($B$3,'Coeff EC7'!$T$65:$X$85,2,0)*Model0.1C!AE57)/1.1</f>
        <v>#N/A</v>
      </c>
      <c r="AG57" s="102" t="e">
        <f>(VLOOKUP($B$3,'Coeff EC7'!$T$39:$X$59,3,0)*AD57+VLOOKUP($B$3,'Coeff EC7'!$T$65:$X$85,3,0)*Model0.1C!AE57)/0.9</f>
        <v>#N/A</v>
      </c>
      <c r="AH57" s="102" t="e">
        <f t="shared" si="18"/>
        <v>#N/A</v>
      </c>
      <c r="AI57" s="102" t="e">
        <f t="shared" si="19"/>
        <v>#N/A</v>
      </c>
      <c r="AJ57" s="414" t="e">
        <f>IF(AJ56=0,0,IF(AND(AF57&gt;charge_ELS_quasi,AG57&gt;Charge_ELS_freq,AH57&gt;charge_ELU,AI57&gt;charge_ELA,$B57&gt;NDC!$H$22-0.1+MIN(3*$AJ$12,1.5)),0,1))</f>
        <v>#N/A</v>
      </c>
      <c r="AK57" s="86" t="b">
        <f t="shared" si="20"/>
        <v>0</v>
      </c>
      <c r="AL57" s="86">
        <f t="shared" si="70"/>
        <v>0.5</v>
      </c>
      <c r="AM57" s="86">
        <f t="shared" si="21"/>
        <v>0.5</v>
      </c>
      <c r="AN57" s="30" t="e">
        <f t="shared" ca="1" si="71"/>
        <v>#DIV/0!</v>
      </c>
      <c r="AO57" s="85" t="e">
        <f ca="1">IF(U57&lt;=Hypothèses!$V$7,Hypothèses!$W$7,IF(U57&lt;=Hypothèses!$V$8,Hypothèses!$W$8,IF(U57&lt;=Hypothèses!$V$9,Hypothèses!$W$9,IF(U57&lt;=Hypothèses!$V$10,Hypothèses!$W$10,IF(U57&lt;=Hypothèses!$V$11,Hypothèses!$W$11,IF(U57&lt;=Hypothèses!$V$12,Hypothèses!$W$12,IF(U57&lt;=Hypothèses!$V$13,Hypothèses!$W$13,IF(U57&lt;=Hypothèses!$V$14,Hypothèses!$W$14,IF(U57&lt;=Hypothèses!$V$15,Hypothèses!$W$15,IF(U57&lt;=Hypothèses!$V$16,Hypothèses!$W$16,IF(U57&lt;=Hypothèses!$V$17,Hypothèses!$W$17,IF(U57&lt;=Hypothèses!$V$18,Hypothèses!$W$18,""))))))))))))</f>
        <v>#DIV/0!</v>
      </c>
      <c r="AP57" s="87" t="e">
        <f t="shared" ca="1" si="117"/>
        <v>#DIV/0!</v>
      </c>
      <c r="AQ57" s="88" t="e">
        <f ca="1">IF(U57&lt;=Hypothèses!$V$7,Hypothèses!$X$7,IF(U57&lt;=Hypothèses!$V$8,Hypothèses!$X$8,IF(U57&lt;=Hypothèses!$V$9,Hypothèses!$X$9,IF(U57&lt;=Hypothèses!$V$10,Hypothèses!$X$10,IF(U57&lt;=Hypothèses!$V$11,Hypothèses!$X$11,IF(U57&lt;=Hypothèses!$V$12,Hypothèses!$X$12,IF(U57&lt;=Hypothèses!$V$13,Hypothèses!$X$13,IF(U57&lt;=Hypothèses!$V$14,Hypothèses!$X$14,IF(U57&lt;=Hypothèses!$V$15,Hypothèses!$X$15,IF(U57&lt;=Hypothèses!$V$16,Hypothèses!$X$16,IF(U57&lt;=Hypothèses!$U$17,Hypothèses!$W$17,IF(U57&lt;=Hypothèses!$U$18,Hypothèses!$W$18,""))))))))))))</f>
        <v>#DIV/0!</v>
      </c>
      <c r="AR57" s="95" t="e">
        <f t="shared" ca="1" si="72"/>
        <v>#DIV/0!</v>
      </c>
      <c r="AS57" s="101" t="e">
        <f t="shared" si="124"/>
        <v>#N/A</v>
      </c>
      <c r="AT57" s="91" t="e">
        <f t="shared" si="23"/>
        <v>#N/A</v>
      </c>
      <c r="AU57" s="30" t="e">
        <f t="shared" si="102"/>
        <v>#N/A</v>
      </c>
      <c r="AV57" s="30" t="e">
        <f t="shared" si="103"/>
        <v>#N/A</v>
      </c>
      <c r="AW57" s="31" t="e">
        <f>IF(OR(Hypothèses!$B$4=17,Hypothèses!$B$4=18,Hypothèses!$B$4=19,Hypothèses!$B$4=20),
IF($D57="Pressio.",
IF(OR($E57=3,$E57=1,$E57=4),AV57,AU57),
IF($D57="Pénétro.",
IF(OR($E57=3,$E57=1,$E57=4),AV57,AU57))),IF($D57="Pressio.",
IF($E57=3,AV57,AU57),
IF($D57="Pénétro.",
IF($E57=4,AV57,AU57))))</f>
        <v>#N/A</v>
      </c>
      <c r="AX57" s="31" t="e">
        <f>(IF(OR(Hypothèses!$B$4=17,Hypothèses!$B$4=18,Hypothèses!$B$4=19,Hypothèses!$B$4=20),
IF($D57="Pressio.",
IF(OR($E57=3,$E57=1,$E57=4),(PI()*AX$12^2)/4*(AT57*$W57*1000)/($H57*$B$5),(PI()*AX$12^2)/4*(AT57*$W57*1000)/($G57*$B$5)),
IF($D57="Pénétro.",
IF(OR($E57=4,$E57=1,$E57=5),(PI()*AX$12^2)/4*(AT57*$W57*1000)/($H57*$B$5),(PI()*AX$12^2)/4*(AT57*$W57*1000)/($G57*$B$5)))),
IF($D57="Pressio.",
IF($E57=3,(PI()*AX$12^2)/4*(AT57*$W57*1000)/($H57*$B$5),(PI()*AX$12^2)/4*(AT57*$W57*1000)/($G57*$B$5)),
IF($D57="Pénétro.",
IF($E57=4,(PI()*AX$12^2)/4*(AT57*$W57*1000)/($H57*$B$5),(PI()*AX$12^2)/4*(AT57*$W57*1000)/($G57*$B$5))))))/10</f>
        <v>#N/A</v>
      </c>
      <c r="AY57" s="102" t="e">
        <f>(VLOOKUP($B$3,'Coeff EC7'!$T$39:$X$59,2,0)*AW57+VLOOKUP($B$3,'Coeff EC7'!$T$65:$X$85,2,0)*Model0.1C!AX57)/1.1</f>
        <v>#N/A</v>
      </c>
      <c r="AZ57" s="102" t="e">
        <f>(VLOOKUP($B$3,'Coeff EC7'!$T$39:$X$59,3,0)*AW57+VLOOKUP($B$3,'Coeff EC7'!$T$65:$X$85,3,0)*Model0.1C!AX57)/0.9</f>
        <v>#N/A</v>
      </c>
      <c r="BA57" s="102" t="e">
        <f t="shared" si="73"/>
        <v>#N/A</v>
      </c>
      <c r="BB57" s="102" t="e">
        <f t="shared" si="74"/>
        <v>#N/A</v>
      </c>
      <c r="BC57" s="414" t="e">
        <f>IF(BC56=0,0,IF(AND(AY57&gt;charge_ELS_quasi,AZ57&gt;Charge_ELS_freq,BA57&gt;charge_ELU,BB57&gt;charge_ELA,$B57&gt;NDC!$H$22-0.1+MIN(3*$BC$12,1.5)),0,1))</f>
        <v>#N/A</v>
      </c>
      <c r="BD57" s="86" t="b">
        <f t="shared" si="26"/>
        <v>0</v>
      </c>
      <c r="BE57" s="86">
        <f t="shared" si="75"/>
        <v>0.5</v>
      </c>
      <c r="BF57" s="86">
        <f t="shared" si="27"/>
        <v>0.5</v>
      </c>
      <c r="BG57" s="30" t="e">
        <f t="shared" ca="1" si="76"/>
        <v>#DIV/0!</v>
      </c>
      <c r="BH57" s="85" t="e">
        <f ca="1">IF(AN57&lt;=Hypothèses!$V$7,Hypothèses!$W$7,IF(AN57&lt;=Hypothèses!$V$8,Hypothèses!$W$8,IF(AN57&lt;=Hypothèses!$V$9,Hypothèses!$W$9,IF(AN57&lt;=Hypothèses!$V$10,Hypothèses!$W$10,IF(AN57&lt;=Hypothèses!$V$11,Hypothèses!$W$11,IF(AN57&lt;=Hypothèses!$V$12,Hypothèses!$W$12,IF(AN57&lt;=Hypothèses!$V$13,Hypothèses!$W$13,IF(AN57&lt;=Hypothèses!$V$14,Hypothèses!$W$14,IF(AN57&lt;=Hypothèses!$V$15,Hypothèses!$W$15,IF(AN57&lt;=Hypothèses!$V$16,Hypothèses!$W$16,IF(AN57&lt;=Hypothèses!$V$17,Hypothèses!$W$17,IF(AN57&lt;=Hypothèses!$V$18,Hypothèses!$W$18,""))))))))))))</f>
        <v>#DIV/0!</v>
      </c>
      <c r="BI57" s="87" t="e">
        <f t="shared" ca="1" si="118"/>
        <v>#DIV/0!</v>
      </c>
      <c r="BJ57" s="88" t="e">
        <f ca="1">IF(AN57&lt;=Hypothèses!$V$7,Hypothèses!$X$7,IF(AN57&lt;=Hypothèses!$V$8,Hypothèses!$X$8,IF(AN57&lt;=Hypothèses!$V$9,Hypothèses!$X$9,IF(AN57&lt;=Hypothèses!$V$10,Hypothèses!$X$10,IF(AN57&lt;=Hypothèses!$V$11,Hypothèses!$X$11,IF(AN57&lt;=Hypothèses!$V$12,Hypothèses!$X$12,IF(AN57&lt;=Hypothèses!$V$13,Hypothèses!$X$13,IF(AN57&lt;=Hypothèses!$V$14,Hypothèses!$X$14,IF(AN57&lt;=Hypothèses!$V$15,Hypothèses!$X$15,IF(AN57&lt;=Hypothèses!$V$16,Hypothèses!$X$16,IF(AN57&lt;=Hypothèses!$U$17,Hypothèses!$W$17,IF(AN57&lt;=Hypothèses!$U$18,Hypothèses!$W$18,""))))))))))))</f>
        <v>#DIV/0!</v>
      </c>
      <c r="BK57" s="95" t="e">
        <f t="shared" ca="1" si="77"/>
        <v>#DIV/0!</v>
      </c>
      <c r="BL57" s="101" t="e">
        <f t="shared" si="125"/>
        <v>#N/A</v>
      </c>
      <c r="BM57" s="91" t="e">
        <f t="shared" si="29"/>
        <v>#N/A</v>
      </c>
      <c r="BN57" s="30" t="e">
        <f t="shared" si="104"/>
        <v>#N/A</v>
      </c>
      <c r="BO57" s="30" t="e">
        <f t="shared" si="105"/>
        <v>#N/A</v>
      </c>
      <c r="BP57" s="31" t="e">
        <f>IF(OR(Hypothèses!$B$4=17,Hypothèses!$B$4=18,Hypothèses!$B$4=19,Hypothèses!$B$4=20),
IF($D57="Pressio.",
IF(OR($E57=3,$E57=1,$E57=4),BO57,BN57),
IF($D57="Pénétro.",
IF(OR($E57=3,$E57=1,$E57=4),BO57,BN57))),IF($D57="Pressio.",
IF($E57=3,BO57,BN57),
IF($D57="Pénétro.",
IF($E57=4,BO57,BN57))))</f>
        <v>#N/A</v>
      </c>
      <c r="BQ57" s="31" t="e">
        <f>(IF(OR(Hypothèses!$B$4=17,Hypothèses!$B$4=18,Hypothèses!$B$4=19,Hypothèses!$B$4=20),
IF($D57="Pressio.",
IF(OR($E57=3,$E57=1,$E57=4),(PI()*BQ$12^2)/4*(BM57*$W57*1000)/($H57*$B$5),(PI()*BQ$12^2)/4*(BM57*$W57*1000)/($G57*$B$5)),
IF($D57="Pénétro.",
IF(OR($E57=4,$E57=1,$E57=5),(PI()*BQ$12^2)/4*(BM57*$W57*1000)/($H57*$B$5),(PI()*BQ$12^2)/4*(BM57*$W57*1000)/($G57*$B$5)))),
IF($D57="Pressio.",
IF($E57=3,(PI()*BQ$12^2)/4*(BM57*$W57*1000)/($H57*$B$5),(PI()*BQ$12^2)/4*(BM57*$W57*1000)/($G57*$B$5)),
IF($D57="Pénétro.",
IF($E57=4,(PI()*BQ$12^2)/4*(BM57*$W57*1000)/($H57*$B$5),(PI()*BQ$12^2)/4*(BM57*$W57*1000)/($G57*$B$5))))))/10</f>
        <v>#N/A</v>
      </c>
      <c r="BR57" s="102" t="e">
        <f>(VLOOKUP($B$3,'Coeff EC7'!$T$39:$X$59,2,0)*BP57+VLOOKUP($B$3,'Coeff EC7'!$T$65:$X$85,2,0)*Model0.1C!BQ57)/1.1</f>
        <v>#N/A</v>
      </c>
      <c r="BS57" s="102" t="e">
        <f>(VLOOKUP($B$3,'Coeff EC7'!$T$39:$X$59,3,0)*BP57+VLOOKUP($B$3,'Coeff EC7'!$T$65:$X$85,3,0)*Model0.1C!BQ57)/0.9</f>
        <v>#N/A</v>
      </c>
      <c r="BT57" s="102" t="e">
        <f t="shared" si="78"/>
        <v>#N/A</v>
      </c>
      <c r="BU57" s="102" t="e">
        <f t="shared" si="79"/>
        <v>#N/A</v>
      </c>
      <c r="BV57" s="414" t="e">
        <f>IF(BV56=0,0,IF(AND(BR57&gt;charge_ELS_quasi,BS57&gt;Charge_ELS_freq,BT57&gt;charge_ELU,BU57&gt;charge_ELA,$B57&gt;NDC!$H$22-0.1+MIN(3*$BV$12,1.5)),0,1))</f>
        <v>#N/A</v>
      </c>
      <c r="BW57" s="86" t="b">
        <f t="shared" si="32"/>
        <v>0</v>
      </c>
      <c r="BX57" s="86">
        <f t="shared" si="33"/>
        <v>0.5</v>
      </c>
      <c r="BY57" s="86">
        <f t="shared" si="34"/>
        <v>0.5</v>
      </c>
      <c r="BZ57" s="30" t="e">
        <f t="shared" ca="1" si="80"/>
        <v>#DIV/0!</v>
      </c>
      <c r="CA57" s="85" t="e">
        <f ca="1">IF(BG57&lt;=Hypothèses!$V$7,Hypothèses!$W$7,IF(BG57&lt;=Hypothèses!$V$8,Hypothèses!$W$8,IF(BG57&lt;=Hypothèses!$V$9,Hypothèses!$W$9,IF(BG57&lt;=Hypothèses!$V$10,Hypothèses!$W$10,IF(BG57&lt;=Hypothèses!$V$11,Hypothèses!$W$11,IF(BG57&lt;=Hypothèses!$V$12,Hypothèses!$W$12,IF(BG57&lt;=Hypothèses!$V$13,Hypothèses!$W$13,IF(BG57&lt;=Hypothèses!$V$14,Hypothèses!$W$14,IF(BG57&lt;=Hypothèses!$V$15,Hypothèses!$W$15,IF(BG57&lt;=Hypothèses!$V$16,Hypothèses!$W$16,IF(BG57&lt;=Hypothèses!$V$17,Hypothèses!$W$17,IF(BG57&lt;=Hypothèses!$V$18,Hypothèses!$W$18,""))))))))))))</f>
        <v>#DIV/0!</v>
      </c>
      <c r="CB57" s="87" t="e">
        <f t="shared" ca="1" si="119"/>
        <v>#DIV/0!</v>
      </c>
      <c r="CC57" s="88" t="e">
        <f ca="1">IF(BG57&lt;=Hypothèses!$V$7,Hypothèses!$X$7,IF(BG57&lt;=Hypothèses!$V$8,Hypothèses!$X$8,IF(BG57&lt;=Hypothèses!$V$9,Hypothèses!$X$9,IF(BG57&lt;=Hypothèses!$V$10,Hypothèses!$X$10,IF(BG57&lt;=Hypothèses!$V$11,Hypothèses!$X$11,IF(BG57&lt;=Hypothèses!$V$12,Hypothèses!$X$12,IF(BG57&lt;=Hypothèses!$V$13,Hypothèses!$X$13,IF(BG57&lt;=Hypothèses!$V$14,Hypothèses!$X$14,IF(BG57&lt;=Hypothèses!$V$15,Hypothèses!$X$15,IF(BG57&lt;=Hypothèses!$V$16,Hypothèses!$X$16,IF(BG57&lt;=Hypothèses!$U$17,Hypothèses!$W$17,IF(BG57&lt;=Hypothèses!$U$18,Hypothèses!$W$18,""))))))))))))</f>
        <v>#DIV/0!</v>
      </c>
      <c r="CD57" s="95" t="e">
        <f t="shared" ca="1" si="81"/>
        <v>#DIV/0!</v>
      </c>
      <c r="CE57" s="101" t="e">
        <f t="shared" si="126"/>
        <v>#N/A</v>
      </c>
      <c r="CF57" s="91" t="e">
        <f t="shared" si="36"/>
        <v>#N/A</v>
      </c>
      <c r="CG57" s="30" t="e">
        <f t="shared" si="106"/>
        <v>#N/A</v>
      </c>
      <c r="CH57" s="30" t="e">
        <f t="shared" si="107"/>
        <v>#N/A</v>
      </c>
      <c r="CI57" s="31" t="e">
        <f>IF(OR(Hypothèses!$B$4=17,Hypothèses!$B$4=18,Hypothèses!$B$4=19,Hypothèses!$B$4=20),
IF($D57="Pressio.",
IF(OR($E57=3,$E57=1,$E57=4),CH57,CG57),
IF($D57="Pénétro.",
IF(OR($E57=3,$E57=1,$E57=4),CH57,CG57))),IF($D57="Pressio.",
IF($E57=3,CH57,CG57),
IF($D57="Pénétro.",
IF($E57=4,CH57,CG57))))</f>
        <v>#N/A</v>
      </c>
      <c r="CJ57" s="31" t="e">
        <f>(IF(OR(Hypothèses!$B$4=17,Hypothèses!$B$4=18,Hypothèses!$B$4=19,Hypothèses!$B$4=20),
IF($D57="Pressio.",
IF(OR($E57=3,$E57=1,$E57=4),(PI()*CJ$12^2)/4*(CF57*$W57*1000)/($H57*$B$5),(PI()*CJ$12^2)/4*(CF57*$W57*1000)/($G57*$B$5)),
IF($D57="Pénétro.",
IF(OR($E57=4,$E57=1,$E57=5),(PI()*CJ$12^2)/4*(CF57*$W57*1000)/($H57*$B$5),(PI()*CJ$12^2)/4*(CF57*$W57*1000)/($G57*$B$5)))),
IF($D57="Pressio.",
IF($E57=3,(PI()*CJ$12^2)/4*(CF57*$W57*1000)/($H57*$B$5),(PI()*CJ$12^2)/4*(CF57*$W57*1000)/($G57*$B$5)),
IF($D57="Pénétro.",
IF($E57=4,(PI()*CJ$12^2)/4*(CF57*$W57*1000)/($H57*$B$5),(PI()*CJ$12^2)/4*(CF57*$W57*1000)/($G57*$B$5))))))/10</f>
        <v>#N/A</v>
      </c>
      <c r="CK57" s="102" t="e">
        <f>(VLOOKUP($B$3,'Coeff EC7'!$T$39:$X$59,2,0)*CI57+VLOOKUP($B$3,'Coeff EC7'!$T$65:$X$85,2,0)*Model0.1C!CJ57)/1.1</f>
        <v>#N/A</v>
      </c>
      <c r="CL57" s="102" t="e">
        <f>(VLOOKUP($B$3,'Coeff EC7'!$T$39:$X$59,3,0)*CI57+VLOOKUP($B$3,'Coeff EC7'!$T$65:$X$85,3,0)*Model0.1C!CJ57)/0.9</f>
        <v>#N/A</v>
      </c>
      <c r="CM57" s="102" t="e">
        <f t="shared" si="82"/>
        <v>#N/A</v>
      </c>
      <c r="CN57" s="102" t="e">
        <f t="shared" si="83"/>
        <v>#N/A</v>
      </c>
      <c r="CO57" s="414" t="e">
        <f>IF(CO56=0,0,IF(AND(CK57&gt;charge_ELS_quasi,CL57&gt;Charge_ELS_freq,CM57&gt;charge_ELU,CN57&gt;charge_ELA,$B57&gt;NDC!$H$22-0.1+MIN(3*$CO$12,1.5)),0,1))</f>
        <v>#N/A</v>
      </c>
      <c r="CP57" s="86" t="b">
        <f t="shared" si="39"/>
        <v>0</v>
      </c>
      <c r="CQ57" s="86">
        <f t="shared" si="40"/>
        <v>0.5</v>
      </c>
      <c r="CR57" s="86">
        <f t="shared" si="41"/>
        <v>0.5</v>
      </c>
      <c r="CS57" s="30" t="e">
        <f t="shared" ca="1" si="84"/>
        <v>#DIV/0!</v>
      </c>
      <c r="CT57" s="85" t="e">
        <f ca="1">IF(BZ57&lt;=Hypothèses!$V$7,Hypothèses!$W$7,IF(BZ57&lt;=Hypothèses!$V$8,Hypothèses!$W$8,IF(BZ57&lt;=Hypothèses!$V$9,Hypothèses!$W$9,IF(BZ57&lt;=Hypothèses!$V$10,Hypothèses!$W$10,IF(BZ57&lt;=Hypothèses!$V$11,Hypothèses!$W$11,IF(BZ57&lt;=Hypothèses!$V$12,Hypothèses!$W$12,IF(BZ57&lt;=Hypothèses!$V$13,Hypothèses!$W$13,IF(BZ57&lt;=Hypothèses!$V$14,Hypothèses!$W$14,IF(BZ57&lt;=Hypothèses!$V$15,Hypothèses!$W$15,IF(BZ57&lt;=Hypothèses!$V$16,Hypothèses!$W$16,IF(BZ57&lt;=Hypothèses!$V$17,Hypothèses!$W$17,IF(BZ57&lt;=Hypothèses!$V$18,Hypothèses!$W$18,""))))))))))))</f>
        <v>#DIV/0!</v>
      </c>
      <c r="CU57" s="87" t="e">
        <f t="shared" ca="1" si="120"/>
        <v>#DIV/0!</v>
      </c>
      <c r="CV57" s="88" t="e">
        <f ca="1">IF(BZ57&lt;=Hypothèses!$V$7,Hypothèses!$X$7,IF(BZ57&lt;=Hypothèses!$V$8,Hypothèses!$X$8,IF(BZ57&lt;=Hypothèses!$V$9,Hypothèses!$X$9,IF(BZ57&lt;=Hypothèses!$V$10,Hypothèses!$X$10,IF(BZ57&lt;=Hypothèses!$V$11,Hypothèses!$X$11,IF(BZ57&lt;=Hypothèses!$V$12,Hypothèses!$X$12,IF(BZ57&lt;=Hypothèses!$V$13,Hypothèses!$X$13,IF(BZ57&lt;=Hypothèses!$V$14,Hypothèses!$X$14,IF(BZ57&lt;=Hypothèses!$V$15,Hypothèses!$X$15,IF(BZ57&lt;=Hypothèses!$V$16,Hypothèses!$X$16,IF(BZ57&lt;=Hypothèses!$U$17,Hypothèses!$W$17,IF(BZ57&lt;=Hypothèses!$U$18,Hypothèses!$W$18,""))))))))))))</f>
        <v>#DIV/0!</v>
      </c>
      <c r="CW57" s="95" t="e">
        <f t="shared" ca="1" si="85"/>
        <v>#DIV/0!</v>
      </c>
      <c r="CX57" s="101" t="e">
        <f t="shared" si="127"/>
        <v>#N/A</v>
      </c>
      <c r="CY57" s="91" t="e">
        <f t="shared" si="43"/>
        <v>#N/A</v>
      </c>
      <c r="CZ57" s="30" t="e">
        <f t="shared" si="108"/>
        <v>#N/A</v>
      </c>
      <c r="DA57" s="30" t="e">
        <f t="shared" si="109"/>
        <v>#N/A</v>
      </c>
      <c r="DB57" s="31" t="e">
        <f>IF(OR(Hypothèses!$B$4=17,Hypothèses!$B$4=18,Hypothèses!$B$4=19,Hypothèses!$B$4=20),
IF($D57="Pressio.",
IF(OR($E57=3,$E57=1,$E57=4),DA57,CZ57),
IF($D57="Pénétro.",
IF(OR($E57=3,$E57=1,$E57=4),DA57,CZ57))),IF($D57="Pressio.",
IF($E57=3,DA57,CZ57),
IF($D57="Pénétro.",
IF($E57=4,DA57,CZ57))))</f>
        <v>#N/A</v>
      </c>
      <c r="DC57" s="31" t="e">
        <f>(IF(OR(Hypothèses!$B$4=17,Hypothèses!$B$4=18,Hypothèses!$B$4=19,Hypothèses!$B$4=20),
IF($D57="Pressio.",
IF(OR($E57=3,$E57=1,$E57=4),(PI()*DC$12^2)/4*(CY57*$W57*1000)/($H57*$B$5),(PI()*DC$12^2)/4*(CY57*$W57*1000)/($G57*$B$5)),
IF($D57="Pénétro.",
IF(OR($E57=4,$E57=1,$E57=5),(PI()*DC$12^2)/4*(CY57*$W57*1000)/($H57*$B$5),(PI()*DC$12^2)/4*(CY57*$W57*1000)/($G57*$B$5)))),
IF($D57="Pressio.",
IF($E57=3,(PI()*DC$12^2)/4*(CY57*$W57*1000)/($H57*$B$5),(PI()*DC$12^2)/4*(CY57*$W57*1000)/($G57*$B$5)),
IF($D57="Pénétro.",
IF($E57=4,(PI()*DC$12^2)/4*(CY57*$W57*1000)/($H57*$B$5),(PI()*DC$12^2)/4*(CY57*$W57*1000)/($G57*$B$5))))))/10</f>
        <v>#N/A</v>
      </c>
      <c r="DD57" s="102" t="e">
        <f>(VLOOKUP($B$3,'Coeff EC7'!$T$39:$X$59,2,0)*DB57+VLOOKUP($B$3,'Coeff EC7'!$T$65:$X$85,2,0)*Model0.1C!DC57)/1.1</f>
        <v>#N/A</v>
      </c>
      <c r="DE57" s="102" t="e">
        <f>(VLOOKUP($B$3,'Coeff EC7'!$T$39:$X$59,3,0)*DB57+VLOOKUP($B$3,'Coeff EC7'!$T$65:$X$85,3,0)*Model0.1C!DC57)/0.9</f>
        <v>#N/A</v>
      </c>
      <c r="DF57" s="102" t="e">
        <f t="shared" si="86"/>
        <v>#N/A</v>
      </c>
      <c r="DG57" s="102" t="e">
        <f t="shared" si="87"/>
        <v>#N/A</v>
      </c>
      <c r="DH57" s="414" t="e">
        <f>IF(DH56=0,0,IF(AND(DD57&gt;charge_ELS_quasi,DE57&gt;Charge_ELS_freq,DF57&gt;charge_ELU,DG57&gt;charge_ELA,$B57&gt;NDC!$H$22-0.1+MIN(3*$DH$12,1.5)),0,1))</f>
        <v>#N/A</v>
      </c>
      <c r="DI57" s="86" t="b">
        <f t="shared" si="46"/>
        <v>0</v>
      </c>
      <c r="DJ57" s="86">
        <f t="shared" si="47"/>
        <v>0.5</v>
      </c>
      <c r="DK57" s="86">
        <f t="shared" si="48"/>
        <v>0.5</v>
      </c>
      <c r="DL57" s="30" t="e">
        <f t="shared" ca="1" si="88"/>
        <v>#DIV/0!</v>
      </c>
      <c r="DM57" s="85" t="e">
        <f ca="1">IF(CS57&lt;=Hypothèses!$V$7,Hypothèses!$W$7,IF(CS57&lt;=Hypothèses!$V$8,Hypothèses!$W$8,IF(CS57&lt;=Hypothèses!$V$9,Hypothèses!$W$9,IF(CS57&lt;=Hypothèses!$V$10,Hypothèses!$W$10,IF(CS57&lt;=Hypothèses!$V$11,Hypothèses!$W$11,IF(CS57&lt;=Hypothèses!$V$12,Hypothèses!$W$12,IF(CS57&lt;=Hypothèses!$V$13,Hypothèses!$W$13,IF(CS57&lt;=Hypothèses!$V$14,Hypothèses!$W$14,IF(CS57&lt;=Hypothèses!$V$15,Hypothèses!$W$15,IF(CS57&lt;=Hypothèses!$V$16,Hypothèses!$W$16,IF(CS57&lt;=Hypothèses!$V$17,Hypothèses!$W$17,IF(CS57&lt;=Hypothèses!$V$18,Hypothèses!$W$18,""))))))))))))</f>
        <v>#DIV/0!</v>
      </c>
      <c r="DN57" s="87" t="e">
        <f t="shared" ca="1" si="121"/>
        <v>#DIV/0!</v>
      </c>
      <c r="DO57" s="88" t="e">
        <f ca="1">IF(CS57&lt;=Hypothèses!$V$7,Hypothèses!$X$7,IF(CS57&lt;=Hypothèses!$V$8,Hypothèses!$X$8,IF(CS57&lt;=Hypothèses!$V$9,Hypothèses!$X$9,IF(CS57&lt;=Hypothèses!$V$10,Hypothèses!$X$10,IF(CS57&lt;=Hypothèses!$V$11,Hypothèses!$X$11,IF(CS57&lt;=Hypothèses!$V$12,Hypothèses!$X$12,IF(CS57&lt;=Hypothèses!$V$13,Hypothèses!$X$13,IF(CS57&lt;=Hypothèses!$V$14,Hypothèses!$X$14,IF(CS57&lt;=Hypothèses!$V$15,Hypothèses!$X$15,IF(CS57&lt;=Hypothèses!$V$16,Hypothèses!$X$16,IF(CS57&lt;=Hypothèses!$U$17,Hypothèses!$W$17,IF(CS57&lt;=Hypothèses!$U$18,Hypothèses!$W$18,""))))))))))))</f>
        <v>#DIV/0!</v>
      </c>
      <c r="DP57" s="95" t="e">
        <f t="shared" ca="1" si="89"/>
        <v>#DIV/0!</v>
      </c>
      <c r="DQ57" s="101" t="e">
        <f t="shared" si="128"/>
        <v>#N/A</v>
      </c>
      <c r="DR57" s="91" t="e">
        <f t="shared" si="50"/>
        <v>#N/A</v>
      </c>
      <c r="DS57" s="30" t="e">
        <f t="shared" si="110"/>
        <v>#N/A</v>
      </c>
      <c r="DT57" s="30" t="e">
        <f t="shared" si="111"/>
        <v>#N/A</v>
      </c>
      <c r="DU57" s="31" t="e">
        <f>IF(OR(Hypothèses!$B$4=17,Hypothèses!$B$4=18,Hypothèses!$B$4=19,Hypothèses!$B$4=20),
IF($D57="Pressio.",
IF(OR($E57=3,$E57=1,$E57=4),DT57,DS57),
IF($D57="Pénétro.",
IF(OR($E57=3,$E57=1,$E57=4),DT57,DS57))),IF($D57="Pressio.",
IF($E57=3,DT57,DS57),
IF($D57="Pénétro.",
IF($E57=4,DT57,DS57))))</f>
        <v>#N/A</v>
      </c>
      <c r="DV57" s="31" t="e">
        <f>(IF(OR(Hypothèses!$B$4=17,Hypothèses!$B$4=18,Hypothèses!$B$4=19,Hypothèses!$B$4=20),
IF($D57="Pressio.",
IF(OR($E57=3,$E57=1,$E57=4),(PI()*DV$12^2)/4*(DR57*$W57*1000)/($H57*$B$5),(PI()*DV$12^2)/4*(DR57*$W57*1000)/($G57*$B$5)),
IF($D57="Pénétro.",
IF(OR($E57=4,$E57=1,$E57=5),(PI()*DV$12^2)/4*(DR57*$W57*1000)/($H57*$B$5),(PI()*DV$12^2)/4*(DR57*$W57*1000)/($G57*$B$5)))),
IF($D57="Pressio.",
IF($E57=3,(PI()*DV$12^2)/4*(DR57*$W57*1000)/($H57*$B$5),(PI()*DV$12^2)/4*(DR57*$W57*1000)/($G57*$B$5)),
IF($D57="Pénétro.",
IF($E57=4,(PI()*DV$12^2)/4*(DR57*$W57*1000)/($H57*$B$5),(PI()*DV$12^2)/4*(DR57*$W57*1000)/($G57*$B$5))))))/10</f>
        <v>#N/A</v>
      </c>
      <c r="DW57" s="102" t="e">
        <f>(VLOOKUP($B$3,'Coeff EC7'!$T$39:$X$59,2,0)*DU57+VLOOKUP($B$3,'Coeff EC7'!$T$65:$X$85,2,0)*Model0.1C!DV57)/1.1</f>
        <v>#N/A</v>
      </c>
      <c r="DX57" s="102" t="e">
        <f>(VLOOKUP($B$3,'Coeff EC7'!$T$39:$X$59,3,0)*DU57+VLOOKUP($B$3,'Coeff EC7'!$T$65:$X$85,3,0)*Model0.1C!DV57)/0.9</f>
        <v>#N/A</v>
      </c>
      <c r="DY57" s="102" t="e">
        <f t="shared" si="90"/>
        <v>#N/A</v>
      </c>
      <c r="DZ57" s="102" t="e">
        <f t="shared" si="91"/>
        <v>#N/A</v>
      </c>
      <c r="EA57" s="414" t="e">
        <f>IF(EA56=0,0,IF(AND(DW57&gt;charge_ELS_quasi,DX57&gt;Charge_ELS_freq,DY57&gt;charge_ELU,DZ57&gt;charge_ELA,$B57&gt;NDC!$H$22-0.1+MIN(3*$EA$12,1.5)),0,1))</f>
        <v>#N/A</v>
      </c>
      <c r="EB57" s="86" t="b">
        <f t="shared" si="53"/>
        <v>0</v>
      </c>
      <c r="EC57" s="418">
        <f t="shared" si="54"/>
        <v>0.51</v>
      </c>
      <c r="ED57" s="86">
        <f t="shared" si="55"/>
        <v>0.51</v>
      </c>
      <c r="EE57" s="30" t="e">
        <f t="shared" ca="1" si="92"/>
        <v>#DIV/0!</v>
      </c>
      <c r="EF57" s="85" t="e">
        <f ca="1">IF(DL57&lt;=Hypothèses!$V$7,Hypothèses!$W$7,IF(DL57&lt;=Hypothèses!$V$8,Hypothèses!$W$8,IF(DL57&lt;=Hypothèses!$V$9,Hypothèses!$W$9,IF(DL57&lt;=Hypothèses!$V$10,Hypothèses!$W$10,IF(DL57&lt;=Hypothèses!$V$11,Hypothèses!$W$11,IF(DL57&lt;=Hypothèses!$V$12,Hypothèses!$W$12,IF(DL57&lt;=Hypothèses!$V$13,Hypothèses!$W$13,IF(DL57&lt;=Hypothèses!$V$14,Hypothèses!$W$14,IF(DL57&lt;=Hypothèses!$V$15,Hypothèses!$W$15,IF(DL57&lt;=Hypothèses!$V$16,Hypothèses!$W$16,IF(DL57&lt;=Hypothèses!$V$17,Hypothèses!$W$17,IF(DL57&lt;=Hypothèses!$V$18,Hypothèses!$W$18,""))))))))))))</f>
        <v>#DIV/0!</v>
      </c>
      <c r="EG57" s="87" t="e">
        <f t="shared" ca="1" si="122"/>
        <v>#DIV/0!</v>
      </c>
      <c r="EH57" s="88" t="e">
        <f ca="1">IF(DL57&lt;=Hypothèses!$V$7,Hypothèses!$X$7,IF(DL57&lt;=Hypothèses!$V$8,Hypothèses!$X$8,IF(DL57&lt;=Hypothèses!$V$9,Hypothèses!$X$9,IF(DL57&lt;=Hypothèses!$V$10,Hypothèses!$X$10,IF(DL57&lt;=Hypothèses!$V$11,Hypothèses!$X$11,IF(DL57&lt;=Hypothèses!$V$12,Hypothèses!$X$12,IF(DL57&lt;=Hypothèses!$V$13,Hypothèses!$X$13,IF(DL57&lt;=Hypothèses!$V$14,Hypothèses!$X$14,IF(DL57&lt;=Hypothèses!$V$15,Hypothèses!$X$15,IF(DL57&lt;=Hypothèses!$V$16,Hypothèses!$X$16,IF(DL57&lt;=Hypothèses!$U$17,Hypothèses!$W$17,IF(DL57&lt;=Hypothèses!$U$18,Hypothèses!$W$18,""))))))))))))</f>
        <v>#DIV/0!</v>
      </c>
      <c r="EI57" s="95" t="e">
        <f t="shared" ca="1" si="93"/>
        <v>#DIV/0!</v>
      </c>
      <c r="EJ57" s="101" t="e">
        <f t="shared" si="129"/>
        <v>#N/A</v>
      </c>
      <c r="EK57" s="91" t="e">
        <f t="shared" si="57"/>
        <v>#N/A</v>
      </c>
      <c r="EL57" s="30" t="e">
        <f t="shared" si="112"/>
        <v>#N/A</v>
      </c>
      <c r="EM57" s="30" t="e">
        <f t="shared" si="113"/>
        <v>#N/A</v>
      </c>
      <c r="EN57" s="31" t="e">
        <f>IF(OR(Hypothèses!$B$4=17,Hypothèses!$B$4=18,Hypothèses!$B$4=19,Hypothèses!$B$4=20),
IF($D57="Pressio.",
IF(OR($E57=3,$E57=1,$E57=4),EM57,EL57),
IF($D57="Pénétro.",
IF(OR($E57=3,$E57=1,$E57=4),EM57,EL57))),IF($D57="Pressio.",
IF($E57=3,EM57,EL57),
IF($D57="Pénétro.",
IF($E57=4,EM57,EL57))))</f>
        <v>#N/A</v>
      </c>
      <c r="EO57" s="31" t="e">
        <f>(IF(OR(Hypothèses!$B$4=17,Hypothèses!$B$4=18,Hypothèses!$B$4=19,Hypothèses!$B$4=20),
IF($D57="Pressio.",
IF(OR($E57=3,$E57=1,$E57=4),(PI()*EO$12^2)/4*(EK57*$W57*1000)/($H57*$B$5),(PI()*EO$12^2)/4*(EK57*$W57*1000)/($G57*$B$5)),
IF($D57="Pénétro.",
IF(OR($E57=4,$E57=1,$E57=5),(PI()*EO$12^2)/4*(EK57*$W57*1000)/($H57*$B$5),(PI()*EO$12^2)/4*(EK57*$W57*1000)/($G57*$B$5)))),
IF($D57="Pressio.",
IF($E57=3,(PI()*EO$12^2)/4*(EK57*$W57*1000)/($H57*$B$5),(PI()*EO$12^2)/4*(EK57*$W57*1000)/($G57*$B$5)),
IF($D57="Pénétro.",
IF($E57=4,(PI()*EO$12^2)/4*(EK57*$W57*1000)/($H57*$B$5),(PI()*EO$12^2)/4*(EK57*$W57*1000)/($G57*$B$5))))))/10</f>
        <v>#N/A</v>
      </c>
      <c r="EP57" s="102" t="e">
        <f>(VLOOKUP($B$3,'Coeff EC7'!$T$39:$X$59,2,0)*EN57+VLOOKUP($B$3,'Coeff EC7'!$T$65:$X$85,2,0)*Model0.1C!EO57)/1.1</f>
        <v>#N/A</v>
      </c>
      <c r="EQ57" s="102" t="e">
        <f>(VLOOKUP($B$3,'Coeff EC7'!$T$39:$X$59,3,0)*EN57+VLOOKUP($B$3,'Coeff EC7'!$T$65:$X$85,3,0)*Model0.1C!EO57)/0.9</f>
        <v>#N/A</v>
      </c>
      <c r="ER57" s="102" t="e">
        <f t="shared" si="94"/>
        <v>#N/A</v>
      </c>
      <c r="ES57" s="102" t="e">
        <f t="shared" si="95"/>
        <v>#N/A</v>
      </c>
      <c r="ET57" s="414" t="e">
        <f>IF(ET56=0,0,IF(AND(EP57&gt;charge_ELS_quasi,EQ57&gt;Charge_ELS_freq,ER57&gt;charge_ELU,ES57&gt;charge_ELA,$B57&gt;NDC!$H$22-0.1+MIN(3*$ET$12,1.5)),0,1))</f>
        <v>#N/A</v>
      </c>
      <c r="EU57" s="86" t="b">
        <f t="shared" si="60"/>
        <v>0</v>
      </c>
      <c r="EV57" s="86">
        <f t="shared" si="61"/>
        <v>0.61</v>
      </c>
      <c r="EW57" s="86">
        <f t="shared" si="62"/>
        <v>0.61</v>
      </c>
      <c r="EX57" s="30" t="e">
        <f t="shared" ca="1" si="96"/>
        <v>#DIV/0!</v>
      </c>
      <c r="EY57" s="85" t="e">
        <f ca="1">IF(EE57&lt;=Hypothèses!$V$7,Hypothèses!$W$7,IF(EE57&lt;=Hypothèses!$V$8,Hypothèses!$W$8,IF(EE57&lt;=Hypothèses!$V$9,Hypothèses!$W$9,IF(EE57&lt;=Hypothèses!$V$10,Hypothèses!$W$10,IF(EE57&lt;=Hypothèses!$V$11,Hypothèses!$W$11,IF(EE57&lt;=Hypothèses!$V$12,Hypothèses!$W$12,IF(EE57&lt;=Hypothèses!$V$13,Hypothèses!$W$13,IF(EE57&lt;=Hypothèses!$V$14,Hypothèses!$W$14,IF(EE57&lt;=Hypothèses!$V$15,Hypothèses!$W$15,IF(EE57&lt;=Hypothèses!$V$16,Hypothèses!$W$16,IF(EE57&lt;=Hypothèses!$V$17,Hypothèses!$W$17,IF(EE57&lt;=Hypothèses!$V$18,Hypothèses!$W$18,""))))))))))))</f>
        <v>#DIV/0!</v>
      </c>
      <c r="EZ57" s="87" t="e">
        <f t="shared" ca="1" si="123"/>
        <v>#DIV/0!</v>
      </c>
      <c r="FA57" s="88" t="e">
        <f ca="1">IF(EE57&lt;=Hypothèses!$V$7,Hypothèses!$X$7,IF(EE57&lt;=Hypothèses!$V$8,Hypothèses!$X$8,IF(EE57&lt;=Hypothèses!$V$9,Hypothèses!$X$9,IF(EE57&lt;=Hypothèses!$V$10,Hypothèses!$X$10,IF(EE57&lt;=Hypothèses!$V$11,Hypothèses!$X$11,IF(EE57&lt;=Hypothèses!$V$12,Hypothèses!$X$12,IF(EE57&lt;=Hypothèses!$V$13,Hypothèses!$X$13,IF(EE57&lt;=Hypothèses!$V$14,Hypothèses!$X$14,IF(EE57&lt;=Hypothèses!$V$15,Hypothèses!$X$15,IF(EE57&lt;=Hypothèses!$V$16,Hypothèses!$X$16,IF(EE57&lt;=Hypothèses!$U$17,Hypothèses!$W$17,IF(EE57&lt;=Hypothèses!$U$18,Hypothèses!$W$18,""))))))))))))</f>
        <v>#DIV/0!</v>
      </c>
      <c r="FB57" s="95" t="e">
        <f t="shared" ca="1" si="97"/>
        <v>#DIV/0!</v>
      </c>
      <c r="FC57" s="101" t="e">
        <f t="shared" si="130"/>
        <v>#N/A</v>
      </c>
      <c r="FD57" s="91" t="e">
        <f t="shared" si="64"/>
        <v>#N/A</v>
      </c>
      <c r="FE57" s="30" t="e">
        <f t="shared" si="114"/>
        <v>#N/A</v>
      </c>
      <c r="FF57" s="30" t="e">
        <f t="shared" si="115"/>
        <v>#N/A</v>
      </c>
      <c r="FG57" s="31" t="e">
        <f>IF(OR(Hypothèses!$B$4=17,Hypothèses!$B$4=18,Hypothèses!$B$4=19,Hypothèses!$B$4=20),
IF($D57="Pressio.",
IF(OR($E57=3,$E57=1,$E57=4),FF57,FE57),
IF($D57="Pénétro.",
IF(OR($E57=3,$E57=1,$E57=4),FF57,FE57))),IF($D57="Pressio.",
IF($E57=3,FF57,FE57),
IF($D57="Pénétro.",
IF($E57=4,FF57,FE57))))</f>
        <v>#N/A</v>
      </c>
      <c r="FH57" s="31" t="e">
        <f>(IF(OR(Hypothèses!$B$4=17,Hypothèses!$B$4=18,Hypothèses!$B$4=19,Hypothèses!$B$4=20),
IF($D57="Pressio.",
IF(OR($E57=3,$E57=1,$E57=4),(PI()*FH$12^2)/4*(FD57*$W57*1000)/($H57*$B$5),(PI()*FH$12^2)/4*(FD57*$W57*1000)/($G57*$B$5)),
IF($D57="Pénétro.",
IF(OR($E57=4,$E57=1,$E57=5),(PI()*FH$12^2)/4*(FD57*$W57*1000)/($H57*$B$5),(PI()*FH$12^2)/4*(FD57*$W57*1000)/($G57*$B$5)))),
IF($D57="Pressio.",
IF($E57=3,(PI()*FH$12^2)/4*(FD57*$W57*1000)/($H57*$B$5),(PI()*FH$12^2)/4*(FD57*$W57*1000)/($G57*$B$5)),
IF($D57="Pénétro.",
IF($E57=4,(PI()*FH$12^2)/4*(FD57*$W57*1000)/($H57*$B$5),(PI()*FH$12^2)/4*(FD57*$W57*1000)/($G57*$B$5))))))/10</f>
        <v>#N/A</v>
      </c>
      <c r="FI57" s="102" t="e">
        <f>(VLOOKUP($B$3,'Coeff EC7'!$T$39:$X$59,2,0)*FG57+VLOOKUP($B$3,'Coeff EC7'!$T$65:$X$85,2,0)*Model0.1C!FH57)/1.1</f>
        <v>#N/A</v>
      </c>
      <c r="FJ57" s="102" t="e">
        <f>(VLOOKUP($B$3,'Coeff EC7'!$T$39:$X$59,3,0)*FG57+VLOOKUP($B$3,'Coeff EC7'!$T$65:$X$85,3,0)*Model0.1C!FH57)/0.9</f>
        <v>#N/A</v>
      </c>
      <c r="FK57" s="102" t="e">
        <f t="shared" si="98"/>
        <v>#N/A</v>
      </c>
      <c r="FL57" s="102" t="e">
        <f t="shared" si="99"/>
        <v>#N/A</v>
      </c>
      <c r="FM57" s="414" t="e">
        <f>IF(FM56=0,0,IF(AND(FI57&gt;charge_ELS_quasi,FJ57&gt;Charge_ELS_freq,FK57&gt;charge_ELU,FL57&gt;charge_ELA,$B57&gt;NDC!$H$22-0.1+MIN(3*$FM$12,1.5)),0,1))</f>
        <v>#N/A</v>
      </c>
    </row>
    <row r="58" spans="1:169">
      <c r="A58" s="96">
        <f t="shared" si="67"/>
        <v>95.500000000000256</v>
      </c>
      <c r="B58" s="97">
        <v>4.5</v>
      </c>
      <c r="C58" s="81">
        <f>IF(B58&lt;=Hypothèses!$C$7,Hypothèses!$A$7,IF(B58&lt;=Hypothèses!$C$8,Hypothèses!$A$8,IF(B58&lt;=Hypothèses!$C$9,Hypothèses!$A$9,IF(B58&lt;=Hypothèses!$C$10,Hypothèses!$A$10,IF(B58&lt;=Hypothèses!$C$11,Hypothèses!$A$11,IF(B58&lt;=Hypothèses!$C$12,Hypothèses!$A$12,IF(B58&lt;=Hypothèses!$C$13,Hypothèses!$A$13,IF(B58&lt;=Hypothèses!$C$14,Hypothèses!$A$14,IF(B58&lt;=Hypothèses!$C$15,Hypothèses!$A$15,IF(B58&lt;=Hypothèses!$C$16,Hypothèses!$A$16,IF(B58&lt;=Hypothèses!$C$17,Hypothèses!$A$17,IF(B58&lt;=Hypothèses!$C$18,Hypothèses!$A$18,C57))))))))))))</f>
        <v>11</v>
      </c>
      <c r="D58" s="82" t="str">
        <f>IF(B58&lt;=Hypothèses!$C$7,Hypothèses!$R$7,IF(B58&lt;=Hypothèses!$C$8,Hypothèses!$R$8,IF(B58&lt;=Hypothèses!$C$9,Hypothèses!$R$9,IF(B58&lt;=Hypothèses!$C$10,Hypothèses!$R$10,IF(B58&lt;=Hypothèses!$C$11,Hypothèses!$R$11,IF(B58&lt;=Hypothèses!$C$12,Hypothèses!$R$12,IF(B58&lt;=Hypothèses!$C$13,Hypothèses!$R$13,IF(B58&lt;=Hypothèses!$C$14,Hypothèses!$R$14,IF(B58&lt;=Hypothèses!$C$15,Hypothèses!$R$15,IF(B58&lt;=Hypothèses!$C$16,Hypothèses!$R$16,IF(B58&lt;=Hypothèses!$C$17,Hypothèses!$R$17,IF(B58&lt;=Hypothèses!$C$18,Hypothèses!$R$18,D57))))))))))))</f>
        <v>Pressio.</v>
      </c>
      <c r="E58" s="82" t="e">
        <f>IF(B58&lt;=Hypothèses!$C$7,Hypothèses!$G$7,IF(B58&lt;=Hypothèses!$C$8,Hypothèses!$G$8,IF(B58&lt;=Hypothèses!$C$9,Hypothèses!$G$9,IF(B58&lt;=Hypothèses!$C$10,Hypothèses!$G$10,IF(B58&lt;=Hypothèses!$C$11,Hypothèses!$G$11,IF(B58&lt;=Hypothèses!$C$12,Hypothèses!$G$12,IF(B58&lt;=Hypothèses!$C$13,Hypothèses!$G$13,IF(B58&lt;=Hypothèses!$C$14,Hypothèses!$G$14,IF(B58&lt;=Hypothèses!$C$15,Hypothèses!$G$15,IF(B58&lt;=Hypothèses!$C$16,Hypothèses!$G$16,IF(B58&lt;=Hypothèses!$C$17,Hypothèses!$G$17,IF(B58&lt;=Hypothèses!$C$18,Hypothèses!$G$18,E57))))))))))))</f>
        <v>#N/A</v>
      </c>
      <c r="F58" s="82" t="str">
        <f>IF(B58&lt;=Hypothèses!$C$7,Hypothèses!$F$7,IF(B58&lt;=Hypothèses!$C$8,Hypothèses!$F$8,IF(B58&lt;=Hypothèses!$C$9,Hypothèses!$F$9,IF(B58&lt;=Hypothèses!$C$10,Hypothèses!$F$10,IF(B58&lt;=Hypothèses!$C$11,Hypothèses!$F$11,IF(B58&lt;=Hypothèses!$C$12,Hypothèses!$F$12,IF(B58&lt;=Hypothèses!$C$13,Hypothèses!$F$13,IF(B58&lt;=Hypothèses!$C$14,Hypothèses!$F$14,IF(B58&lt;=Hypothèses!$C$15,Hypothèses!$F$15,IF(B58&lt;=Hypothèses!$C$16,Hypothèses!$F$16,IF(B58&lt;=Hypothèses!$C$17,Hypothèses!$F$17,IF(B58&lt;=Hypothèses!$C$18,Hypothèses!$F$18,F57))))))))))))</f>
        <v/>
      </c>
      <c r="G58" s="91">
        <f t="array" ref="G58">INDEX('Coeff EC7'!$U$7:$X$27,
MATCH(Model0.1C!$B$3,'Coeff EC7'!$T$7:$T$27,0),
MATCH(Model0.1C!$D58&amp;Model0.1C!$B$4,
'Coeff EC7'!$U$6:$X$6&amp;
'Coeff EC7'!$U$5:$X$5,0))</f>
        <v>1.1499999999999999</v>
      </c>
      <c r="H58" s="91">
        <f t="array" ref="H58">INDEX('Coeff EC7'!$Y$7:$AB$27,
MATCH(Model0.1C!$B$3,'Coeff EC7'!$T$7:$T$27,0),
MATCH(Model0.1C!$D58&amp;Model0.1C!$B$4,
'Coeff EC7'!$Y$6:$AB$6&amp;
'Coeff EC7'!$Y$5:$AB$5,0))</f>
        <v>1.4</v>
      </c>
      <c r="I58" s="83" t="e">
        <f>IF(B58&lt;=Hypothèses!$C$7,Hypothèses!$P$7,IF(B58&lt;=Hypothèses!$C$8,Hypothèses!$P$8,IF(B58&lt;=Hypothèses!$C$9,Hypothèses!$P$9,IF(B58&lt;=Hypothèses!$C$10,Hypothèses!$P$10,IF(B58&lt;=Hypothèses!$C$11,Hypothèses!$P$11,IF(B58&lt;=Hypothèses!$C$12,Hypothèses!$P$12,IF(B58&lt;=Hypothèses!$C$13,Hypothèses!$P$13,IF(B58&lt;=Hypothèses!$C$14,Hypothèses!$P$14,IF(B58&lt;=Hypothèses!$C$15,Hypothèses!$P$15,IF(B58&lt;=Hypothèses!$C$16,Hypothèses!$P$16,IF(B58&lt;=Hypothèses!$C$17,Hypothèses!$P$17,IF(B58&lt;=Hypothèses!$C$18,Hypothèses!$P$18,I57))))))))))))</f>
        <v>#N/A</v>
      </c>
      <c r="J58" s="91" t="e">
        <f t="array" ref="J58">INDEX('Coeff EC7'!$D$33:$Q$33,1,MATCH(D58&amp;E58,'Coeff EC7'!$D$31:$Q$31&amp;'Coeff EC7'!$D$32:$Q$32,0))</f>
        <v>#N/A</v>
      </c>
      <c r="K58" s="91" t="e">
        <f t="array" ref="K58">INDEX('Coeff EC7'!$D$34:$Q$34,1,MATCH(D58&amp;E58,'Coeff EC7'!$D$31:$Q$31&amp;'Coeff EC7'!$D$32:$Q$32,0))</f>
        <v>#N/A</v>
      </c>
      <c r="L58" s="91" t="e">
        <f t="array" ref="L58">INDEX('Coeff EC7'!$D$35:$Q$35,1,MATCH(D58&amp;E58,'Coeff EC7'!$D$31:$Q$31&amp;'Coeff EC7'!$D$32:$Q$32,0))</f>
        <v>#N/A</v>
      </c>
      <c r="M58" s="98" t="e">
        <f t="shared" si="8"/>
        <v>#N/A</v>
      </c>
      <c r="N58" s="99" t="e">
        <f t="array" ref="N58">INDEX('Coeff EC7'!$D$7:$Q$27,MATCH($B$3,'Coeff EC7'!$C$7:$C$27,0),MATCH(D58&amp;E58,'Coeff EC7'!$D$5:$Q$5&amp;'Coeff EC7'!$D$6:$Q$6,0))</f>
        <v>#N/A</v>
      </c>
      <c r="O58" s="99" t="e">
        <f t="array" ref="O58">INDEX('Coeff EC7'!$D$41:$Q$61,MATCH($B$3,'Coeff EC7'!$C$41:$C$61,0),MATCH(D58&amp;E58,'Coeff EC7'!$D$39:$Q$39&amp;'Coeff EC7'!$D$40:$Q$40,0))</f>
        <v>#N/A</v>
      </c>
      <c r="P58" s="30" t="e">
        <f t="shared" si="68"/>
        <v>#N/A</v>
      </c>
      <c r="Q58" s="100" t="e">
        <f t="shared" si="10"/>
        <v>#N/A</v>
      </c>
      <c r="R58" s="86" t="b">
        <f t="shared" si="11"/>
        <v>0</v>
      </c>
      <c r="S58" s="86">
        <f t="shared" si="9"/>
        <v>0.5</v>
      </c>
      <c r="T58" s="86">
        <f t="shared" si="12"/>
        <v>0.5</v>
      </c>
      <c r="U58" s="30" t="e">
        <f t="shared" ca="1" si="69"/>
        <v>#DIV/0!</v>
      </c>
      <c r="V58" s="85" t="str">
        <f>IF(B58&lt;=Hypothèses!$V$7,Hypothèses!$W$7,IF(B58&lt;=Hypothèses!$V$8,Hypothèses!$W$8,IF(B58&lt;=Hypothèses!$V$9,Hypothèses!$W$9,IF(B58&lt;=Hypothèses!$V$10,Hypothèses!$W$10,IF(B58&lt;=Hypothèses!$V$11,Hypothèses!$W$11,IF(B58&lt;=Hypothèses!$V$12,Hypothèses!$W$12,IF(B58&lt;=Hypothèses!$V$13,Hypothèses!$W$13,IF(B58&lt;=Hypothèses!$V$14,Hypothèses!$W$14,IF(B58&lt;=Hypothèses!$V$15,Hypothèses!$W$15,IF(B58&lt;=Hypothèses!$V$16,Hypothèses!$W$16,IF(B58&lt;=Hypothèses!$V$17,Hypothèses!$W$17,IF(B58&lt;=Hypothèses!$V$18,Hypothèses!$W$18,""))))))))))))</f>
        <v/>
      </c>
      <c r="W58" s="87" t="e">
        <f t="shared" ca="1" si="116"/>
        <v>#DIV/0!</v>
      </c>
      <c r="X58" s="88" t="str">
        <f>IF(B58&lt;=Hypothèses!$V$7,Hypothèses!$X$7,IF(B58&lt;=Hypothèses!$V$8,Hypothèses!$X$8,IF(B58&lt;=Hypothèses!$V$9,Hypothèses!$X$9,IF(B58&lt;=Hypothèses!$V$10,Hypothèses!$X$10,IF(B58&lt;=Hypothèses!$V$11,Hypothèses!$X$11,IF(B58&lt;=Hypothèses!$V$12,Hypothèses!$X$12,IF(B58&lt;=Hypothèses!$V$13,Hypothèses!$X$13,IF(B58&lt;=Hypothèses!$V$14,Hypothèses!$X$14,IF(B58&lt;=Hypothèses!$V$15,Hypothèses!$X$15,IF(B58&lt;=Hypothèses!$V$16,Hypothèses!$X$16,IF(B58&lt;=Hypothèses!$U$17,Hypothèses!$W$17,IF(B58&lt;=Hypothèses!$U$18,Hypothèses!$W$18,""))))))))))))</f>
        <v/>
      </c>
      <c r="Y58" s="95" t="e">
        <f t="shared" ca="1" si="13"/>
        <v>#DIV/0!</v>
      </c>
      <c r="Z58" s="101" t="e">
        <f t="shared" si="14"/>
        <v>#N/A</v>
      </c>
      <c r="AA58" s="91" t="e">
        <f t="shared" si="15"/>
        <v>#N/A</v>
      </c>
      <c r="AB58" s="30" t="e">
        <f t="shared" si="100"/>
        <v>#N/A</v>
      </c>
      <c r="AC58" s="30" t="e">
        <f t="shared" si="101"/>
        <v>#N/A</v>
      </c>
      <c r="AD58" s="31" t="e">
        <f>IF(OR(Hypothèses!$B$4=17,Hypothèses!$B$4=18,Hypothèses!$B$4=19,Hypothèses!$B$4=20),
IF($D58="Pressio.",
IF(OR($E58=3,$E58=1,$E58=4),AC58,AB58),
IF($D58="Pénétro.",
IF(OR($E58=3,$E58=1,$E58=4),AC58,AB58))),IF($D58="Pressio.",
IF($E58=3,AC58,AB58),
IF($D58="Pénétro.",
IF($E58=4,AC58,AB58))))</f>
        <v>#N/A</v>
      </c>
      <c r="AE58" s="31" t="e">
        <f>(IF(OR(Hypothèses!$B$4=17,Hypothèses!$B$4=18,Hypothèses!$B$4=19,Hypothèses!$B$4=20),
IF($D58="Pressio.",
IF(OR($E58=3,$E58=1,$E58=4),(PI()*AE$12^2)/4*(AA58*$W58*1000)/($H58*$B$5),(PI()*AE$12^2)/4*(AA58*$W58*1000)/($G58*$B$5)),
IF($D58="Pénétro.",
IF(OR($E58=4,$E58=1,$E58=5),(PI()*AE$12^2)/4*(AA58*$W58*1000)/($H58*$B$5),(PI()*AE$12^2)/4*(AA58*$W58*1000)/($G58*$B$5)))),
IF($D58="Pressio.",
IF($E58=3,(PI()*AE$12^2)/4*(AA58*$W58*1000)/($H58*$B$5),(PI()*AE$12^2)/4*(AA58*$W58*1000)/($G58*$B$5)),
IF($D58="Pénétro.",
IF($E58=4,(PI()*AE$12^2)/4*(AA58*$W58*1000)/($H58*$B$5),(PI()*AE$12^2)/4*(AA58*$W58*1000)/($G58*$B$5))))))/10</f>
        <v>#N/A</v>
      </c>
      <c r="AF58" s="102" t="e">
        <f>(VLOOKUP($B$3,'Coeff EC7'!$T$39:$X$59,2,0)*AD58+VLOOKUP($B$3,'Coeff EC7'!$T$65:$X$85,2,0)*Model0.1C!AE58)/1.1</f>
        <v>#N/A</v>
      </c>
      <c r="AG58" s="102" t="e">
        <f>(VLOOKUP($B$3,'Coeff EC7'!$T$39:$X$59,3,0)*AD58+VLOOKUP($B$3,'Coeff EC7'!$T$65:$X$85,3,0)*Model0.1C!AE58)/0.9</f>
        <v>#N/A</v>
      </c>
      <c r="AH58" s="102" t="e">
        <f t="shared" si="18"/>
        <v>#N/A</v>
      </c>
      <c r="AI58" s="102" t="e">
        <f t="shared" si="19"/>
        <v>#N/A</v>
      </c>
      <c r="AJ58" s="414" t="e">
        <f>IF(AJ57=0,0,IF(AND(AF58&gt;charge_ELS_quasi,AG58&gt;Charge_ELS_freq,AH58&gt;charge_ELU,AI58&gt;charge_ELA,$B58&gt;NDC!$H$22-0.1+MIN(3*$AJ$12,1.5)),0,1))</f>
        <v>#N/A</v>
      </c>
      <c r="AK58" s="86" t="b">
        <f t="shared" si="20"/>
        <v>0</v>
      </c>
      <c r="AL58" s="86">
        <f t="shared" si="70"/>
        <v>0.5</v>
      </c>
      <c r="AM58" s="86">
        <f t="shared" si="21"/>
        <v>0.5</v>
      </c>
      <c r="AN58" s="30" t="e">
        <f t="shared" ca="1" si="71"/>
        <v>#DIV/0!</v>
      </c>
      <c r="AO58" s="85" t="e">
        <f ca="1">IF(U58&lt;=Hypothèses!$V$7,Hypothèses!$W$7,IF(U58&lt;=Hypothèses!$V$8,Hypothèses!$W$8,IF(U58&lt;=Hypothèses!$V$9,Hypothèses!$W$9,IF(U58&lt;=Hypothèses!$V$10,Hypothèses!$W$10,IF(U58&lt;=Hypothèses!$V$11,Hypothèses!$W$11,IF(U58&lt;=Hypothèses!$V$12,Hypothèses!$W$12,IF(U58&lt;=Hypothèses!$V$13,Hypothèses!$W$13,IF(U58&lt;=Hypothèses!$V$14,Hypothèses!$W$14,IF(U58&lt;=Hypothèses!$V$15,Hypothèses!$W$15,IF(U58&lt;=Hypothèses!$V$16,Hypothèses!$W$16,IF(U58&lt;=Hypothèses!$V$17,Hypothèses!$W$17,IF(U58&lt;=Hypothèses!$V$18,Hypothèses!$W$18,""))))))))))))</f>
        <v>#DIV/0!</v>
      </c>
      <c r="AP58" s="87" t="e">
        <f t="shared" ca="1" si="117"/>
        <v>#DIV/0!</v>
      </c>
      <c r="AQ58" s="88" t="e">
        <f ca="1">IF(U58&lt;=Hypothèses!$V$7,Hypothèses!$X$7,IF(U58&lt;=Hypothèses!$V$8,Hypothèses!$X$8,IF(U58&lt;=Hypothèses!$V$9,Hypothèses!$X$9,IF(U58&lt;=Hypothèses!$V$10,Hypothèses!$X$10,IF(U58&lt;=Hypothèses!$V$11,Hypothèses!$X$11,IF(U58&lt;=Hypothèses!$V$12,Hypothèses!$X$12,IF(U58&lt;=Hypothèses!$V$13,Hypothèses!$X$13,IF(U58&lt;=Hypothèses!$V$14,Hypothèses!$X$14,IF(U58&lt;=Hypothèses!$V$15,Hypothèses!$X$15,IF(U58&lt;=Hypothèses!$V$16,Hypothèses!$X$16,IF(U58&lt;=Hypothèses!$U$17,Hypothèses!$W$17,IF(U58&lt;=Hypothèses!$U$18,Hypothèses!$W$18,""))))))))))))</f>
        <v>#DIV/0!</v>
      </c>
      <c r="AR58" s="95" t="e">
        <f t="shared" ca="1" si="72"/>
        <v>#DIV/0!</v>
      </c>
      <c r="AS58" s="101" t="e">
        <f t="shared" si="124"/>
        <v>#N/A</v>
      </c>
      <c r="AT58" s="91" t="e">
        <f t="shared" si="23"/>
        <v>#N/A</v>
      </c>
      <c r="AU58" s="30" t="e">
        <f t="shared" si="102"/>
        <v>#N/A</v>
      </c>
      <c r="AV58" s="30" t="e">
        <f t="shared" si="103"/>
        <v>#N/A</v>
      </c>
      <c r="AW58" s="31" t="e">
        <f>IF(OR(Hypothèses!$B$4=17,Hypothèses!$B$4=18,Hypothèses!$B$4=19,Hypothèses!$B$4=20),
IF($D58="Pressio.",
IF(OR($E58=3,$E58=1,$E58=4),AV58,AU58),
IF($D58="Pénétro.",
IF(OR($E58=3,$E58=1,$E58=4),AV58,AU58))),IF($D58="Pressio.",
IF($E58=3,AV58,AU58),
IF($D58="Pénétro.",
IF($E58=4,AV58,AU58))))</f>
        <v>#N/A</v>
      </c>
      <c r="AX58" s="31" t="e">
        <f>(IF(OR(Hypothèses!$B$4=17,Hypothèses!$B$4=18,Hypothèses!$B$4=19,Hypothèses!$B$4=20),
IF($D58="Pressio.",
IF(OR($E58=3,$E58=1,$E58=4),(PI()*AX$12^2)/4*(AT58*$W58*1000)/($H58*$B$5),(PI()*AX$12^2)/4*(AT58*$W58*1000)/($G58*$B$5)),
IF($D58="Pénétro.",
IF(OR($E58=4,$E58=1,$E58=5),(PI()*AX$12^2)/4*(AT58*$W58*1000)/($H58*$B$5),(PI()*AX$12^2)/4*(AT58*$W58*1000)/($G58*$B$5)))),
IF($D58="Pressio.",
IF($E58=3,(PI()*AX$12^2)/4*(AT58*$W58*1000)/($H58*$B$5),(PI()*AX$12^2)/4*(AT58*$W58*1000)/($G58*$B$5)),
IF($D58="Pénétro.",
IF($E58=4,(PI()*AX$12^2)/4*(AT58*$W58*1000)/($H58*$B$5),(PI()*AX$12^2)/4*(AT58*$W58*1000)/($G58*$B$5))))))/10</f>
        <v>#N/A</v>
      </c>
      <c r="AY58" s="102" t="e">
        <f>(VLOOKUP($B$3,'Coeff EC7'!$T$39:$X$59,2,0)*AW58+VLOOKUP($B$3,'Coeff EC7'!$T$65:$X$85,2,0)*Model0.1C!AX58)/1.1</f>
        <v>#N/A</v>
      </c>
      <c r="AZ58" s="102" t="e">
        <f>(VLOOKUP($B$3,'Coeff EC7'!$T$39:$X$59,3,0)*AW58+VLOOKUP($B$3,'Coeff EC7'!$T$65:$X$85,3,0)*Model0.1C!AX58)/0.9</f>
        <v>#N/A</v>
      </c>
      <c r="BA58" s="102" t="e">
        <f t="shared" si="73"/>
        <v>#N/A</v>
      </c>
      <c r="BB58" s="102" t="e">
        <f t="shared" si="74"/>
        <v>#N/A</v>
      </c>
      <c r="BC58" s="414" t="e">
        <f>IF(BC57=0,0,IF(AND(AY58&gt;charge_ELS_quasi,AZ58&gt;Charge_ELS_freq,BA58&gt;charge_ELU,BB58&gt;charge_ELA,$B58&gt;NDC!$H$22-0.1+MIN(3*$BC$12,1.5)),0,1))</f>
        <v>#N/A</v>
      </c>
      <c r="BD58" s="86" t="b">
        <f t="shared" si="26"/>
        <v>0</v>
      </c>
      <c r="BE58" s="86">
        <f t="shared" si="75"/>
        <v>0.5</v>
      </c>
      <c r="BF58" s="86">
        <f t="shared" si="27"/>
        <v>0.5</v>
      </c>
      <c r="BG58" s="30" t="e">
        <f t="shared" ca="1" si="76"/>
        <v>#DIV/0!</v>
      </c>
      <c r="BH58" s="85" t="e">
        <f ca="1">IF(AN58&lt;=Hypothèses!$V$7,Hypothèses!$W$7,IF(AN58&lt;=Hypothèses!$V$8,Hypothèses!$W$8,IF(AN58&lt;=Hypothèses!$V$9,Hypothèses!$W$9,IF(AN58&lt;=Hypothèses!$V$10,Hypothèses!$W$10,IF(AN58&lt;=Hypothèses!$V$11,Hypothèses!$W$11,IF(AN58&lt;=Hypothèses!$V$12,Hypothèses!$W$12,IF(AN58&lt;=Hypothèses!$V$13,Hypothèses!$W$13,IF(AN58&lt;=Hypothèses!$V$14,Hypothèses!$W$14,IF(AN58&lt;=Hypothèses!$V$15,Hypothèses!$W$15,IF(AN58&lt;=Hypothèses!$V$16,Hypothèses!$W$16,IF(AN58&lt;=Hypothèses!$V$17,Hypothèses!$W$17,IF(AN58&lt;=Hypothèses!$V$18,Hypothèses!$W$18,""))))))))))))</f>
        <v>#DIV/0!</v>
      </c>
      <c r="BI58" s="87" t="e">
        <f t="shared" ca="1" si="118"/>
        <v>#DIV/0!</v>
      </c>
      <c r="BJ58" s="88" t="e">
        <f ca="1">IF(AN58&lt;=Hypothèses!$V$7,Hypothèses!$X$7,IF(AN58&lt;=Hypothèses!$V$8,Hypothèses!$X$8,IF(AN58&lt;=Hypothèses!$V$9,Hypothèses!$X$9,IF(AN58&lt;=Hypothèses!$V$10,Hypothèses!$X$10,IF(AN58&lt;=Hypothèses!$V$11,Hypothèses!$X$11,IF(AN58&lt;=Hypothèses!$V$12,Hypothèses!$X$12,IF(AN58&lt;=Hypothèses!$V$13,Hypothèses!$X$13,IF(AN58&lt;=Hypothèses!$V$14,Hypothèses!$X$14,IF(AN58&lt;=Hypothèses!$V$15,Hypothèses!$X$15,IF(AN58&lt;=Hypothèses!$V$16,Hypothèses!$X$16,IF(AN58&lt;=Hypothèses!$U$17,Hypothèses!$W$17,IF(AN58&lt;=Hypothèses!$U$18,Hypothèses!$W$18,""))))))))))))</f>
        <v>#DIV/0!</v>
      </c>
      <c r="BK58" s="95" t="e">
        <f t="shared" ca="1" si="77"/>
        <v>#DIV/0!</v>
      </c>
      <c r="BL58" s="101" t="e">
        <f t="shared" si="125"/>
        <v>#N/A</v>
      </c>
      <c r="BM58" s="91" t="e">
        <f t="shared" si="29"/>
        <v>#N/A</v>
      </c>
      <c r="BN58" s="30" t="e">
        <f t="shared" si="104"/>
        <v>#N/A</v>
      </c>
      <c r="BO58" s="30" t="e">
        <f t="shared" si="105"/>
        <v>#N/A</v>
      </c>
      <c r="BP58" s="31" t="e">
        <f>IF(OR(Hypothèses!$B$4=17,Hypothèses!$B$4=18,Hypothèses!$B$4=19,Hypothèses!$B$4=20),
IF($D58="Pressio.",
IF(OR($E58=3,$E58=1,$E58=4),BO58,BN58),
IF($D58="Pénétro.",
IF(OR($E58=3,$E58=1,$E58=4),BO58,BN58))),IF($D58="Pressio.",
IF($E58=3,BO58,BN58),
IF($D58="Pénétro.",
IF($E58=4,BO58,BN58))))</f>
        <v>#N/A</v>
      </c>
      <c r="BQ58" s="31" t="e">
        <f>(IF(OR(Hypothèses!$B$4=17,Hypothèses!$B$4=18,Hypothèses!$B$4=19,Hypothèses!$B$4=20),
IF($D58="Pressio.",
IF(OR($E58=3,$E58=1,$E58=4),(PI()*BQ$12^2)/4*(BM58*$W58*1000)/($H58*$B$5),(PI()*BQ$12^2)/4*(BM58*$W58*1000)/($G58*$B$5)),
IF($D58="Pénétro.",
IF(OR($E58=4,$E58=1,$E58=5),(PI()*BQ$12^2)/4*(BM58*$W58*1000)/($H58*$B$5),(PI()*BQ$12^2)/4*(BM58*$W58*1000)/($G58*$B$5)))),
IF($D58="Pressio.",
IF($E58=3,(PI()*BQ$12^2)/4*(BM58*$W58*1000)/($H58*$B$5),(PI()*BQ$12^2)/4*(BM58*$W58*1000)/($G58*$B$5)),
IF($D58="Pénétro.",
IF($E58=4,(PI()*BQ$12^2)/4*(BM58*$W58*1000)/($H58*$B$5),(PI()*BQ$12^2)/4*(BM58*$W58*1000)/($G58*$B$5))))))/10</f>
        <v>#N/A</v>
      </c>
      <c r="BR58" s="102" t="e">
        <f>(VLOOKUP($B$3,'Coeff EC7'!$T$39:$X$59,2,0)*BP58+VLOOKUP($B$3,'Coeff EC7'!$T$65:$X$85,2,0)*Model0.1C!BQ58)/1.1</f>
        <v>#N/A</v>
      </c>
      <c r="BS58" s="102" t="e">
        <f>(VLOOKUP($B$3,'Coeff EC7'!$T$39:$X$59,3,0)*BP58+VLOOKUP($B$3,'Coeff EC7'!$T$65:$X$85,3,0)*Model0.1C!BQ58)/0.9</f>
        <v>#N/A</v>
      </c>
      <c r="BT58" s="102" t="e">
        <f t="shared" si="78"/>
        <v>#N/A</v>
      </c>
      <c r="BU58" s="102" t="e">
        <f t="shared" si="79"/>
        <v>#N/A</v>
      </c>
      <c r="BV58" s="414" t="e">
        <f>IF(BV57=0,0,IF(AND(BR58&gt;charge_ELS_quasi,BS58&gt;Charge_ELS_freq,BT58&gt;charge_ELU,BU58&gt;charge_ELA,$B58&gt;NDC!$H$22-0.1+MIN(3*$BV$12,1.5)),0,1))</f>
        <v>#N/A</v>
      </c>
      <c r="BW58" s="86" t="b">
        <f t="shared" si="32"/>
        <v>0</v>
      </c>
      <c r="BX58" s="86">
        <f t="shared" si="33"/>
        <v>0.5</v>
      </c>
      <c r="BY58" s="86">
        <f t="shared" si="34"/>
        <v>0.5</v>
      </c>
      <c r="BZ58" s="30" t="e">
        <f t="shared" ca="1" si="80"/>
        <v>#DIV/0!</v>
      </c>
      <c r="CA58" s="85" t="e">
        <f ca="1">IF(BG58&lt;=Hypothèses!$V$7,Hypothèses!$W$7,IF(BG58&lt;=Hypothèses!$V$8,Hypothèses!$W$8,IF(BG58&lt;=Hypothèses!$V$9,Hypothèses!$W$9,IF(BG58&lt;=Hypothèses!$V$10,Hypothèses!$W$10,IF(BG58&lt;=Hypothèses!$V$11,Hypothèses!$W$11,IF(BG58&lt;=Hypothèses!$V$12,Hypothèses!$W$12,IF(BG58&lt;=Hypothèses!$V$13,Hypothèses!$W$13,IF(BG58&lt;=Hypothèses!$V$14,Hypothèses!$W$14,IF(BG58&lt;=Hypothèses!$V$15,Hypothèses!$W$15,IF(BG58&lt;=Hypothèses!$V$16,Hypothèses!$W$16,IF(BG58&lt;=Hypothèses!$V$17,Hypothèses!$W$17,IF(BG58&lt;=Hypothèses!$V$18,Hypothèses!$W$18,""))))))))))))</f>
        <v>#DIV/0!</v>
      </c>
      <c r="CB58" s="87" t="e">
        <f t="shared" ca="1" si="119"/>
        <v>#DIV/0!</v>
      </c>
      <c r="CC58" s="88" t="e">
        <f ca="1">IF(BG58&lt;=Hypothèses!$V$7,Hypothèses!$X$7,IF(BG58&lt;=Hypothèses!$V$8,Hypothèses!$X$8,IF(BG58&lt;=Hypothèses!$V$9,Hypothèses!$X$9,IF(BG58&lt;=Hypothèses!$V$10,Hypothèses!$X$10,IF(BG58&lt;=Hypothèses!$V$11,Hypothèses!$X$11,IF(BG58&lt;=Hypothèses!$V$12,Hypothèses!$X$12,IF(BG58&lt;=Hypothèses!$V$13,Hypothèses!$X$13,IF(BG58&lt;=Hypothèses!$V$14,Hypothèses!$X$14,IF(BG58&lt;=Hypothèses!$V$15,Hypothèses!$X$15,IF(BG58&lt;=Hypothèses!$V$16,Hypothèses!$X$16,IF(BG58&lt;=Hypothèses!$U$17,Hypothèses!$W$17,IF(BG58&lt;=Hypothèses!$U$18,Hypothèses!$W$18,""))))))))))))</f>
        <v>#DIV/0!</v>
      </c>
      <c r="CD58" s="95" t="e">
        <f t="shared" ca="1" si="81"/>
        <v>#DIV/0!</v>
      </c>
      <c r="CE58" s="101" t="e">
        <f t="shared" si="126"/>
        <v>#N/A</v>
      </c>
      <c r="CF58" s="91" t="e">
        <f t="shared" si="36"/>
        <v>#N/A</v>
      </c>
      <c r="CG58" s="30" t="e">
        <f t="shared" si="106"/>
        <v>#N/A</v>
      </c>
      <c r="CH58" s="30" t="e">
        <f t="shared" si="107"/>
        <v>#N/A</v>
      </c>
      <c r="CI58" s="31" t="e">
        <f>IF(OR(Hypothèses!$B$4=17,Hypothèses!$B$4=18,Hypothèses!$B$4=19,Hypothèses!$B$4=20),
IF($D58="Pressio.",
IF(OR($E58=3,$E58=1,$E58=4),CH58,CG58),
IF($D58="Pénétro.",
IF(OR($E58=3,$E58=1,$E58=4),CH58,CG58))),IF($D58="Pressio.",
IF($E58=3,CH58,CG58),
IF($D58="Pénétro.",
IF($E58=4,CH58,CG58))))</f>
        <v>#N/A</v>
      </c>
      <c r="CJ58" s="31" t="e">
        <f>(IF(OR(Hypothèses!$B$4=17,Hypothèses!$B$4=18,Hypothèses!$B$4=19,Hypothèses!$B$4=20),
IF($D58="Pressio.",
IF(OR($E58=3,$E58=1,$E58=4),(PI()*CJ$12^2)/4*(CF58*$W58*1000)/($H58*$B$5),(PI()*CJ$12^2)/4*(CF58*$W58*1000)/($G58*$B$5)),
IF($D58="Pénétro.",
IF(OR($E58=4,$E58=1,$E58=5),(PI()*CJ$12^2)/4*(CF58*$W58*1000)/($H58*$B$5),(PI()*CJ$12^2)/4*(CF58*$W58*1000)/($G58*$B$5)))),
IF($D58="Pressio.",
IF($E58=3,(PI()*CJ$12^2)/4*(CF58*$W58*1000)/($H58*$B$5),(PI()*CJ$12^2)/4*(CF58*$W58*1000)/($G58*$B$5)),
IF($D58="Pénétro.",
IF($E58=4,(PI()*CJ$12^2)/4*(CF58*$W58*1000)/($H58*$B$5),(PI()*CJ$12^2)/4*(CF58*$W58*1000)/($G58*$B$5))))))/10</f>
        <v>#N/A</v>
      </c>
      <c r="CK58" s="102" t="e">
        <f>(VLOOKUP($B$3,'Coeff EC7'!$T$39:$X$59,2,0)*CI58+VLOOKUP($B$3,'Coeff EC7'!$T$65:$X$85,2,0)*Model0.1C!CJ58)/1.1</f>
        <v>#N/A</v>
      </c>
      <c r="CL58" s="102" t="e">
        <f>(VLOOKUP($B$3,'Coeff EC7'!$T$39:$X$59,3,0)*CI58+VLOOKUP($B$3,'Coeff EC7'!$T$65:$X$85,3,0)*Model0.1C!CJ58)/0.9</f>
        <v>#N/A</v>
      </c>
      <c r="CM58" s="102" t="e">
        <f t="shared" si="82"/>
        <v>#N/A</v>
      </c>
      <c r="CN58" s="102" t="e">
        <f t="shared" si="83"/>
        <v>#N/A</v>
      </c>
      <c r="CO58" s="414" t="e">
        <f>IF(CO57=0,0,IF(AND(CK58&gt;charge_ELS_quasi,CL58&gt;Charge_ELS_freq,CM58&gt;charge_ELU,CN58&gt;charge_ELA,$B58&gt;NDC!$H$22-0.1+MIN(3*$CO$12,1.5)),0,1))</f>
        <v>#N/A</v>
      </c>
      <c r="CP58" s="86" t="b">
        <f t="shared" si="39"/>
        <v>0</v>
      </c>
      <c r="CQ58" s="86">
        <f t="shared" si="40"/>
        <v>0.5</v>
      </c>
      <c r="CR58" s="86">
        <f t="shared" si="41"/>
        <v>0.5</v>
      </c>
      <c r="CS58" s="30" t="e">
        <f t="shared" ca="1" si="84"/>
        <v>#DIV/0!</v>
      </c>
      <c r="CT58" s="85" t="e">
        <f ca="1">IF(BZ58&lt;=Hypothèses!$V$7,Hypothèses!$W$7,IF(BZ58&lt;=Hypothèses!$V$8,Hypothèses!$W$8,IF(BZ58&lt;=Hypothèses!$V$9,Hypothèses!$W$9,IF(BZ58&lt;=Hypothèses!$V$10,Hypothèses!$W$10,IF(BZ58&lt;=Hypothèses!$V$11,Hypothèses!$W$11,IF(BZ58&lt;=Hypothèses!$V$12,Hypothèses!$W$12,IF(BZ58&lt;=Hypothèses!$V$13,Hypothèses!$W$13,IF(BZ58&lt;=Hypothèses!$V$14,Hypothèses!$W$14,IF(BZ58&lt;=Hypothèses!$V$15,Hypothèses!$W$15,IF(BZ58&lt;=Hypothèses!$V$16,Hypothèses!$W$16,IF(BZ58&lt;=Hypothèses!$V$17,Hypothèses!$W$17,IF(BZ58&lt;=Hypothèses!$V$18,Hypothèses!$W$18,""))))))))))))</f>
        <v>#DIV/0!</v>
      </c>
      <c r="CU58" s="87" t="e">
        <f t="shared" ca="1" si="120"/>
        <v>#DIV/0!</v>
      </c>
      <c r="CV58" s="88" t="e">
        <f ca="1">IF(BZ58&lt;=Hypothèses!$V$7,Hypothèses!$X$7,IF(BZ58&lt;=Hypothèses!$V$8,Hypothèses!$X$8,IF(BZ58&lt;=Hypothèses!$V$9,Hypothèses!$X$9,IF(BZ58&lt;=Hypothèses!$V$10,Hypothèses!$X$10,IF(BZ58&lt;=Hypothèses!$V$11,Hypothèses!$X$11,IF(BZ58&lt;=Hypothèses!$V$12,Hypothèses!$X$12,IF(BZ58&lt;=Hypothèses!$V$13,Hypothèses!$X$13,IF(BZ58&lt;=Hypothèses!$V$14,Hypothèses!$X$14,IF(BZ58&lt;=Hypothèses!$V$15,Hypothèses!$X$15,IF(BZ58&lt;=Hypothèses!$V$16,Hypothèses!$X$16,IF(BZ58&lt;=Hypothèses!$U$17,Hypothèses!$W$17,IF(BZ58&lt;=Hypothèses!$U$18,Hypothèses!$W$18,""))))))))))))</f>
        <v>#DIV/0!</v>
      </c>
      <c r="CW58" s="95" t="e">
        <f t="shared" ca="1" si="85"/>
        <v>#DIV/0!</v>
      </c>
      <c r="CX58" s="101" t="e">
        <f t="shared" si="127"/>
        <v>#N/A</v>
      </c>
      <c r="CY58" s="91" t="e">
        <f t="shared" si="43"/>
        <v>#N/A</v>
      </c>
      <c r="CZ58" s="30" t="e">
        <f t="shared" si="108"/>
        <v>#N/A</v>
      </c>
      <c r="DA58" s="30" t="e">
        <f t="shared" si="109"/>
        <v>#N/A</v>
      </c>
      <c r="DB58" s="31" t="e">
        <f>IF(OR(Hypothèses!$B$4=17,Hypothèses!$B$4=18,Hypothèses!$B$4=19,Hypothèses!$B$4=20),
IF($D58="Pressio.",
IF(OR($E58=3,$E58=1,$E58=4),DA58,CZ58),
IF($D58="Pénétro.",
IF(OR($E58=3,$E58=1,$E58=4),DA58,CZ58))),IF($D58="Pressio.",
IF($E58=3,DA58,CZ58),
IF($D58="Pénétro.",
IF($E58=4,DA58,CZ58))))</f>
        <v>#N/A</v>
      </c>
      <c r="DC58" s="31" t="e">
        <f>(IF(OR(Hypothèses!$B$4=17,Hypothèses!$B$4=18,Hypothèses!$B$4=19,Hypothèses!$B$4=20),
IF($D58="Pressio.",
IF(OR($E58=3,$E58=1,$E58=4),(PI()*DC$12^2)/4*(CY58*$W58*1000)/($H58*$B$5),(PI()*DC$12^2)/4*(CY58*$W58*1000)/($G58*$B$5)),
IF($D58="Pénétro.",
IF(OR($E58=4,$E58=1,$E58=5),(PI()*DC$12^2)/4*(CY58*$W58*1000)/($H58*$B$5),(PI()*DC$12^2)/4*(CY58*$W58*1000)/($G58*$B$5)))),
IF($D58="Pressio.",
IF($E58=3,(PI()*DC$12^2)/4*(CY58*$W58*1000)/($H58*$B$5),(PI()*DC$12^2)/4*(CY58*$W58*1000)/($G58*$B$5)),
IF($D58="Pénétro.",
IF($E58=4,(PI()*DC$12^2)/4*(CY58*$W58*1000)/($H58*$B$5),(PI()*DC$12^2)/4*(CY58*$W58*1000)/($G58*$B$5))))))/10</f>
        <v>#N/A</v>
      </c>
      <c r="DD58" s="102" t="e">
        <f>(VLOOKUP($B$3,'Coeff EC7'!$T$39:$X$59,2,0)*DB58+VLOOKUP($B$3,'Coeff EC7'!$T$65:$X$85,2,0)*Model0.1C!DC58)/1.1</f>
        <v>#N/A</v>
      </c>
      <c r="DE58" s="102" t="e">
        <f>(VLOOKUP($B$3,'Coeff EC7'!$T$39:$X$59,3,0)*DB58+VLOOKUP($B$3,'Coeff EC7'!$T$65:$X$85,3,0)*Model0.1C!DC58)/0.9</f>
        <v>#N/A</v>
      </c>
      <c r="DF58" s="102" t="e">
        <f t="shared" si="86"/>
        <v>#N/A</v>
      </c>
      <c r="DG58" s="102" t="e">
        <f t="shared" si="87"/>
        <v>#N/A</v>
      </c>
      <c r="DH58" s="414" t="e">
        <f>IF(DH57=0,0,IF(AND(DD58&gt;charge_ELS_quasi,DE58&gt;Charge_ELS_freq,DF58&gt;charge_ELU,DG58&gt;charge_ELA,$B58&gt;NDC!$H$22-0.1+MIN(3*$DH$12,1.5)),0,1))</f>
        <v>#N/A</v>
      </c>
      <c r="DI58" s="86" t="b">
        <f t="shared" si="46"/>
        <v>0</v>
      </c>
      <c r="DJ58" s="86">
        <f t="shared" si="47"/>
        <v>0.5</v>
      </c>
      <c r="DK58" s="86">
        <f t="shared" si="48"/>
        <v>0.5</v>
      </c>
      <c r="DL58" s="30" t="e">
        <f t="shared" ca="1" si="88"/>
        <v>#DIV/0!</v>
      </c>
      <c r="DM58" s="85" t="e">
        <f ca="1">IF(CS58&lt;=Hypothèses!$V$7,Hypothèses!$W$7,IF(CS58&lt;=Hypothèses!$V$8,Hypothèses!$W$8,IF(CS58&lt;=Hypothèses!$V$9,Hypothèses!$W$9,IF(CS58&lt;=Hypothèses!$V$10,Hypothèses!$W$10,IF(CS58&lt;=Hypothèses!$V$11,Hypothèses!$W$11,IF(CS58&lt;=Hypothèses!$V$12,Hypothèses!$W$12,IF(CS58&lt;=Hypothèses!$V$13,Hypothèses!$W$13,IF(CS58&lt;=Hypothèses!$V$14,Hypothèses!$W$14,IF(CS58&lt;=Hypothèses!$V$15,Hypothèses!$W$15,IF(CS58&lt;=Hypothèses!$V$16,Hypothèses!$W$16,IF(CS58&lt;=Hypothèses!$V$17,Hypothèses!$W$17,IF(CS58&lt;=Hypothèses!$V$18,Hypothèses!$W$18,""))))))))))))</f>
        <v>#DIV/0!</v>
      </c>
      <c r="DN58" s="87" t="e">
        <f t="shared" ca="1" si="121"/>
        <v>#DIV/0!</v>
      </c>
      <c r="DO58" s="88" t="e">
        <f ca="1">IF(CS58&lt;=Hypothèses!$V$7,Hypothèses!$X$7,IF(CS58&lt;=Hypothèses!$V$8,Hypothèses!$X$8,IF(CS58&lt;=Hypothèses!$V$9,Hypothèses!$X$9,IF(CS58&lt;=Hypothèses!$V$10,Hypothèses!$X$10,IF(CS58&lt;=Hypothèses!$V$11,Hypothèses!$X$11,IF(CS58&lt;=Hypothèses!$V$12,Hypothèses!$X$12,IF(CS58&lt;=Hypothèses!$V$13,Hypothèses!$X$13,IF(CS58&lt;=Hypothèses!$V$14,Hypothèses!$X$14,IF(CS58&lt;=Hypothèses!$V$15,Hypothèses!$X$15,IF(CS58&lt;=Hypothèses!$V$16,Hypothèses!$X$16,IF(CS58&lt;=Hypothèses!$U$17,Hypothèses!$W$17,IF(CS58&lt;=Hypothèses!$U$18,Hypothèses!$W$18,""))))))))))))</f>
        <v>#DIV/0!</v>
      </c>
      <c r="DP58" s="95" t="e">
        <f t="shared" ca="1" si="89"/>
        <v>#DIV/0!</v>
      </c>
      <c r="DQ58" s="101" t="e">
        <f t="shared" si="128"/>
        <v>#N/A</v>
      </c>
      <c r="DR58" s="91" t="e">
        <f t="shared" si="50"/>
        <v>#N/A</v>
      </c>
      <c r="DS58" s="30" t="e">
        <f t="shared" si="110"/>
        <v>#N/A</v>
      </c>
      <c r="DT58" s="30" t="e">
        <f t="shared" si="111"/>
        <v>#N/A</v>
      </c>
      <c r="DU58" s="31" t="e">
        <f>IF(OR(Hypothèses!$B$4=17,Hypothèses!$B$4=18,Hypothèses!$B$4=19,Hypothèses!$B$4=20),
IF($D58="Pressio.",
IF(OR($E58=3,$E58=1,$E58=4),DT58,DS58),
IF($D58="Pénétro.",
IF(OR($E58=3,$E58=1,$E58=4),DT58,DS58))),IF($D58="Pressio.",
IF($E58=3,DT58,DS58),
IF($D58="Pénétro.",
IF($E58=4,DT58,DS58))))</f>
        <v>#N/A</v>
      </c>
      <c r="DV58" s="31" t="e">
        <f>(IF(OR(Hypothèses!$B$4=17,Hypothèses!$B$4=18,Hypothèses!$B$4=19,Hypothèses!$B$4=20),
IF($D58="Pressio.",
IF(OR($E58=3,$E58=1,$E58=4),(PI()*DV$12^2)/4*(DR58*$W58*1000)/($H58*$B$5),(PI()*DV$12^2)/4*(DR58*$W58*1000)/($G58*$B$5)),
IF($D58="Pénétro.",
IF(OR($E58=4,$E58=1,$E58=5),(PI()*DV$12^2)/4*(DR58*$W58*1000)/($H58*$B$5),(PI()*DV$12^2)/4*(DR58*$W58*1000)/($G58*$B$5)))),
IF($D58="Pressio.",
IF($E58=3,(PI()*DV$12^2)/4*(DR58*$W58*1000)/($H58*$B$5),(PI()*DV$12^2)/4*(DR58*$W58*1000)/($G58*$B$5)),
IF($D58="Pénétro.",
IF($E58=4,(PI()*DV$12^2)/4*(DR58*$W58*1000)/($H58*$B$5),(PI()*DV$12^2)/4*(DR58*$W58*1000)/($G58*$B$5))))))/10</f>
        <v>#N/A</v>
      </c>
      <c r="DW58" s="102" t="e">
        <f>(VLOOKUP($B$3,'Coeff EC7'!$T$39:$X$59,2,0)*DU58+VLOOKUP($B$3,'Coeff EC7'!$T$65:$X$85,2,0)*Model0.1C!DV58)/1.1</f>
        <v>#N/A</v>
      </c>
      <c r="DX58" s="102" t="e">
        <f>(VLOOKUP($B$3,'Coeff EC7'!$T$39:$X$59,3,0)*DU58+VLOOKUP($B$3,'Coeff EC7'!$T$65:$X$85,3,0)*Model0.1C!DV58)/0.9</f>
        <v>#N/A</v>
      </c>
      <c r="DY58" s="102" t="e">
        <f t="shared" si="90"/>
        <v>#N/A</v>
      </c>
      <c r="DZ58" s="102" t="e">
        <f t="shared" si="91"/>
        <v>#N/A</v>
      </c>
      <c r="EA58" s="414" t="e">
        <f>IF(EA57=0,0,IF(AND(DW58&gt;charge_ELS_quasi,DX58&gt;Charge_ELS_freq,DY58&gt;charge_ELU,DZ58&gt;charge_ELA,$B58&gt;NDC!$H$22-0.1+MIN(3*$EA$12,1.5)),0,1))</f>
        <v>#N/A</v>
      </c>
      <c r="EB58" s="86" t="b">
        <f t="shared" si="53"/>
        <v>0</v>
      </c>
      <c r="EC58" s="418">
        <f t="shared" si="54"/>
        <v>0.51</v>
      </c>
      <c r="ED58" s="86">
        <f t="shared" si="55"/>
        <v>0.51</v>
      </c>
      <c r="EE58" s="30" t="e">
        <f t="shared" ca="1" si="92"/>
        <v>#DIV/0!</v>
      </c>
      <c r="EF58" s="85" t="e">
        <f ca="1">IF(DL58&lt;=Hypothèses!$V$7,Hypothèses!$W$7,IF(DL58&lt;=Hypothèses!$V$8,Hypothèses!$W$8,IF(DL58&lt;=Hypothèses!$V$9,Hypothèses!$W$9,IF(DL58&lt;=Hypothèses!$V$10,Hypothèses!$W$10,IF(DL58&lt;=Hypothèses!$V$11,Hypothèses!$W$11,IF(DL58&lt;=Hypothèses!$V$12,Hypothèses!$W$12,IF(DL58&lt;=Hypothèses!$V$13,Hypothèses!$W$13,IF(DL58&lt;=Hypothèses!$V$14,Hypothèses!$W$14,IF(DL58&lt;=Hypothèses!$V$15,Hypothèses!$W$15,IF(DL58&lt;=Hypothèses!$V$16,Hypothèses!$W$16,IF(DL58&lt;=Hypothèses!$V$17,Hypothèses!$W$17,IF(DL58&lt;=Hypothèses!$V$18,Hypothèses!$W$18,""))))))))))))</f>
        <v>#DIV/0!</v>
      </c>
      <c r="EG58" s="87" t="e">
        <f t="shared" ca="1" si="122"/>
        <v>#DIV/0!</v>
      </c>
      <c r="EH58" s="88" t="e">
        <f ca="1">IF(DL58&lt;=Hypothèses!$V$7,Hypothèses!$X$7,IF(DL58&lt;=Hypothèses!$V$8,Hypothèses!$X$8,IF(DL58&lt;=Hypothèses!$V$9,Hypothèses!$X$9,IF(DL58&lt;=Hypothèses!$V$10,Hypothèses!$X$10,IF(DL58&lt;=Hypothèses!$V$11,Hypothèses!$X$11,IF(DL58&lt;=Hypothèses!$V$12,Hypothèses!$X$12,IF(DL58&lt;=Hypothèses!$V$13,Hypothèses!$X$13,IF(DL58&lt;=Hypothèses!$V$14,Hypothèses!$X$14,IF(DL58&lt;=Hypothèses!$V$15,Hypothèses!$X$15,IF(DL58&lt;=Hypothèses!$V$16,Hypothèses!$X$16,IF(DL58&lt;=Hypothèses!$U$17,Hypothèses!$W$17,IF(DL58&lt;=Hypothèses!$U$18,Hypothèses!$W$18,""))))))))))))</f>
        <v>#DIV/0!</v>
      </c>
      <c r="EI58" s="95" t="e">
        <f t="shared" ca="1" si="93"/>
        <v>#DIV/0!</v>
      </c>
      <c r="EJ58" s="101" t="e">
        <f t="shared" si="129"/>
        <v>#N/A</v>
      </c>
      <c r="EK58" s="91" t="e">
        <f t="shared" si="57"/>
        <v>#N/A</v>
      </c>
      <c r="EL58" s="30" t="e">
        <f t="shared" si="112"/>
        <v>#N/A</v>
      </c>
      <c r="EM58" s="30" t="e">
        <f t="shared" si="113"/>
        <v>#N/A</v>
      </c>
      <c r="EN58" s="31" t="e">
        <f>IF(OR(Hypothèses!$B$4=17,Hypothèses!$B$4=18,Hypothèses!$B$4=19,Hypothèses!$B$4=20),
IF($D58="Pressio.",
IF(OR($E58=3,$E58=1,$E58=4),EM58,EL58),
IF($D58="Pénétro.",
IF(OR($E58=3,$E58=1,$E58=4),EM58,EL58))),IF($D58="Pressio.",
IF($E58=3,EM58,EL58),
IF($D58="Pénétro.",
IF($E58=4,EM58,EL58))))</f>
        <v>#N/A</v>
      </c>
      <c r="EO58" s="31" t="e">
        <f>(IF(OR(Hypothèses!$B$4=17,Hypothèses!$B$4=18,Hypothèses!$B$4=19,Hypothèses!$B$4=20),
IF($D58="Pressio.",
IF(OR($E58=3,$E58=1,$E58=4),(PI()*EO$12^2)/4*(EK58*$W58*1000)/($H58*$B$5),(PI()*EO$12^2)/4*(EK58*$W58*1000)/($G58*$B$5)),
IF($D58="Pénétro.",
IF(OR($E58=4,$E58=1,$E58=5),(PI()*EO$12^2)/4*(EK58*$W58*1000)/($H58*$B$5),(PI()*EO$12^2)/4*(EK58*$W58*1000)/($G58*$B$5)))),
IF($D58="Pressio.",
IF($E58=3,(PI()*EO$12^2)/4*(EK58*$W58*1000)/($H58*$B$5),(PI()*EO$12^2)/4*(EK58*$W58*1000)/($G58*$B$5)),
IF($D58="Pénétro.",
IF($E58=4,(PI()*EO$12^2)/4*(EK58*$W58*1000)/($H58*$B$5),(PI()*EO$12^2)/4*(EK58*$W58*1000)/($G58*$B$5))))))/10</f>
        <v>#N/A</v>
      </c>
      <c r="EP58" s="102" t="e">
        <f>(VLOOKUP($B$3,'Coeff EC7'!$T$39:$X$59,2,0)*EN58+VLOOKUP($B$3,'Coeff EC7'!$T$65:$X$85,2,0)*Model0.1C!EO58)/1.1</f>
        <v>#N/A</v>
      </c>
      <c r="EQ58" s="102" t="e">
        <f>(VLOOKUP($B$3,'Coeff EC7'!$T$39:$X$59,3,0)*EN58+VLOOKUP($B$3,'Coeff EC7'!$T$65:$X$85,3,0)*Model0.1C!EO58)/0.9</f>
        <v>#N/A</v>
      </c>
      <c r="ER58" s="102" t="e">
        <f t="shared" si="94"/>
        <v>#N/A</v>
      </c>
      <c r="ES58" s="102" t="e">
        <f t="shared" si="95"/>
        <v>#N/A</v>
      </c>
      <c r="ET58" s="414" t="e">
        <f>IF(ET57=0,0,IF(AND(EP58&gt;charge_ELS_quasi,EQ58&gt;Charge_ELS_freq,ER58&gt;charge_ELU,ES58&gt;charge_ELA,$B58&gt;NDC!$H$22-0.1+MIN(3*$ET$12,1.5)),0,1))</f>
        <v>#N/A</v>
      </c>
      <c r="EU58" s="86" t="b">
        <f t="shared" si="60"/>
        <v>0</v>
      </c>
      <c r="EV58" s="86">
        <f t="shared" si="61"/>
        <v>0.61</v>
      </c>
      <c r="EW58" s="86">
        <f t="shared" si="62"/>
        <v>0.61</v>
      </c>
      <c r="EX58" s="30" t="e">
        <f t="shared" ca="1" si="96"/>
        <v>#DIV/0!</v>
      </c>
      <c r="EY58" s="85" t="e">
        <f ca="1">IF(EE58&lt;=Hypothèses!$V$7,Hypothèses!$W$7,IF(EE58&lt;=Hypothèses!$V$8,Hypothèses!$W$8,IF(EE58&lt;=Hypothèses!$V$9,Hypothèses!$W$9,IF(EE58&lt;=Hypothèses!$V$10,Hypothèses!$W$10,IF(EE58&lt;=Hypothèses!$V$11,Hypothèses!$W$11,IF(EE58&lt;=Hypothèses!$V$12,Hypothèses!$W$12,IF(EE58&lt;=Hypothèses!$V$13,Hypothèses!$W$13,IF(EE58&lt;=Hypothèses!$V$14,Hypothèses!$W$14,IF(EE58&lt;=Hypothèses!$V$15,Hypothèses!$W$15,IF(EE58&lt;=Hypothèses!$V$16,Hypothèses!$W$16,IF(EE58&lt;=Hypothèses!$V$17,Hypothèses!$W$17,IF(EE58&lt;=Hypothèses!$V$18,Hypothèses!$W$18,""))))))))))))</f>
        <v>#DIV/0!</v>
      </c>
      <c r="EZ58" s="87" t="e">
        <f t="shared" ca="1" si="123"/>
        <v>#DIV/0!</v>
      </c>
      <c r="FA58" s="88" t="e">
        <f ca="1">IF(EE58&lt;=Hypothèses!$V$7,Hypothèses!$X$7,IF(EE58&lt;=Hypothèses!$V$8,Hypothèses!$X$8,IF(EE58&lt;=Hypothèses!$V$9,Hypothèses!$X$9,IF(EE58&lt;=Hypothèses!$V$10,Hypothèses!$X$10,IF(EE58&lt;=Hypothèses!$V$11,Hypothèses!$X$11,IF(EE58&lt;=Hypothèses!$V$12,Hypothèses!$X$12,IF(EE58&lt;=Hypothèses!$V$13,Hypothèses!$X$13,IF(EE58&lt;=Hypothèses!$V$14,Hypothèses!$X$14,IF(EE58&lt;=Hypothèses!$V$15,Hypothèses!$X$15,IF(EE58&lt;=Hypothèses!$V$16,Hypothèses!$X$16,IF(EE58&lt;=Hypothèses!$U$17,Hypothèses!$W$17,IF(EE58&lt;=Hypothèses!$U$18,Hypothèses!$W$18,""))))))))))))</f>
        <v>#DIV/0!</v>
      </c>
      <c r="FB58" s="95" t="e">
        <f t="shared" ca="1" si="97"/>
        <v>#DIV/0!</v>
      </c>
      <c r="FC58" s="101" t="e">
        <f t="shared" si="130"/>
        <v>#N/A</v>
      </c>
      <c r="FD58" s="91" t="e">
        <f t="shared" si="64"/>
        <v>#N/A</v>
      </c>
      <c r="FE58" s="30" t="e">
        <f t="shared" si="114"/>
        <v>#N/A</v>
      </c>
      <c r="FF58" s="30" t="e">
        <f t="shared" si="115"/>
        <v>#N/A</v>
      </c>
      <c r="FG58" s="31" t="e">
        <f>IF(OR(Hypothèses!$B$4=17,Hypothèses!$B$4=18,Hypothèses!$B$4=19,Hypothèses!$B$4=20),
IF($D58="Pressio.",
IF(OR($E58=3,$E58=1,$E58=4),FF58,FE58),
IF($D58="Pénétro.",
IF(OR($E58=3,$E58=1,$E58=4),FF58,FE58))),IF($D58="Pressio.",
IF($E58=3,FF58,FE58),
IF($D58="Pénétro.",
IF($E58=4,FF58,FE58))))</f>
        <v>#N/A</v>
      </c>
      <c r="FH58" s="31" t="e">
        <f>(IF(OR(Hypothèses!$B$4=17,Hypothèses!$B$4=18,Hypothèses!$B$4=19,Hypothèses!$B$4=20),
IF($D58="Pressio.",
IF(OR($E58=3,$E58=1,$E58=4),(PI()*FH$12^2)/4*(FD58*$W58*1000)/($H58*$B$5),(PI()*FH$12^2)/4*(FD58*$W58*1000)/($G58*$B$5)),
IF($D58="Pénétro.",
IF(OR($E58=4,$E58=1,$E58=5),(PI()*FH$12^2)/4*(FD58*$W58*1000)/($H58*$B$5),(PI()*FH$12^2)/4*(FD58*$W58*1000)/($G58*$B$5)))),
IF($D58="Pressio.",
IF($E58=3,(PI()*FH$12^2)/4*(FD58*$W58*1000)/($H58*$B$5),(PI()*FH$12^2)/4*(FD58*$W58*1000)/($G58*$B$5)),
IF($D58="Pénétro.",
IF($E58=4,(PI()*FH$12^2)/4*(FD58*$W58*1000)/($H58*$B$5),(PI()*FH$12^2)/4*(FD58*$W58*1000)/($G58*$B$5))))))/10</f>
        <v>#N/A</v>
      </c>
      <c r="FI58" s="102" t="e">
        <f>(VLOOKUP($B$3,'Coeff EC7'!$T$39:$X$59,2,0)*FG58+VLOOKUP($B$3,'Coeff EC7'!$T$65:$X$85,2,0)*Model0.1C!FH58)/1.1</f>
        <v>#N/A</v>
      </c>
      <c r="FJ58" s="102" t="e">
        <f>(VLOOKUP($B$3,'Coeff EC7'!$T$39:$X$59,3,0)*FG58+VLOOKUP($B$3,'Coeff EC7'!$T$65:$X$85,3,0)*Model0.1C!FH58)/0.9</f>
        <v>#N/A</v>
      </c>
      <c r="FK58" s="102" t="e">
        <f t="shared" si="98"/>
        <v>#N/A</v>
      </c>
      <c r="FL58" s="102" t="e">
        <f t="shared" si="99"/>
        <v>#N/A</v>
      </c>
      <c r="FM58" s="414" t="e">
        <f>IF(FM57=0,0,IF(AND(FI58&gt;charge_ELS_quasi,FJ58&gt;Charge_ELS_freq,FK58&gt;charge_ELU,FL58&gt;charge_ELA,$B58&gt;NDC!$H$22-0.1+MIN(3*$FM$12,1.5)),0,1))</f>
        <v>#N/A</v>
      </c>
    </row>
    <row r="59" spans="1:169">
      <c r="A59" s="96">
        <f t="shared" si="67"/>
        <v>95.400000000000261</v>
      </c>
      <c r="B59" s="97">
        <v>4.5999999999999996</v>
      </c>
      <c r="C59" s="81">
        <f>IF(B59&lt;=Hypothèses!$C$7,Hypothèses!$A$7,IF(B59&lt;=Hypothèses!$C$8,Hypothèses!$A$8,IF(B59&lt;=Hypothèses!$C$9,Hypothèses!$A$9,IF(B59&lt;=Hypothèses!$C$10,Hypothèses!$A$10,IF(B59&lt;=Hypothèses!$C$11,Hypothèses!$A$11,IF(B59&lt;=Hypothèses!$C$12,Hypothèses!$A$12,IF(B59&lt;=Hypothèses!$C$13,Hypothèses!$A$13,IF(B59&lt;=Hypothèses!$C$14,Hypothèses!$A$14,IF(B59&lt;=Hypothèses!$C$15,Hypothèses!$A$15,IF(B59&lt;=Hypothèses!$C$16,Hypothèses!$A$16,IF(B59&lt;=Hypothèses!$C$17,Hypothèses!$A$17,IF(B59&lt;=Hypothèses!$C$18,Hypothèses!$A$18,C58))))))))))))</f>
        <v>11</v>
      </c>
      <c r="D59" s="82" t="str">
        <f>IF(B59&lt;=Hypothèses!$C$7,Hypothèses!$R$7,IF(B59&lt;=Hypothèses!$C$8,Hypothèses!$R$8,IF(B59&lt;=Hypothèses!$C$9,Hypothèses!$R$9,IF(B59&lt;=Hypothèses!$C$10,Hypothèses!$R$10,IF(B59&lt;=Hypothèses!$C$11,Hypothèses!$R$11,IF(B59&lt;=Hypothèses!$C$12,Hypothèses!$R$12,IF(B59&lt;=Hypothèses!$C$13,Hypothèses!$R$13,IF(B59&lt;=Hypothèses!$C$14,Hypothèses!$R$14,IF(B59&lt;=Hypothèses!$C$15,Hypothèses!$R$15,IF(B59&lt;=Hypothèses!$C$16,Hypothèses!$R$16,IF(B59&lt;=Hypothèses!$C$17,Hypothèses!$R$17,IF(B59&lt;=Hypothèses!$C$18,Hypothèses!$R$18,D58))))))))))))</f>
        <v>Pressio.</v>
      </c>
      <c r="E59" s="82" t="e">
        <f>IF(B59&lt;=Hypothèses!$C$7,Hypothèses!$G$7,IF(B59&lt;=Hypothèses!$C$8,Hypothèses!$G$8,IF(B59&lt;=Hypothèses!$C$9,Hypothèses!$G$9,IF(B59&lt;=Hypothèses!$C$10,Hypothèses!$G$10,IF(B59&lt;=Hypothèses!$C$11,Hypothèses!$G$11,IF(B59&lt;=Hypothèses!$C$12,Hypothèses!$G$12,IF(B59&lt;=Hypothèses!$C$13,Hypothèses!$G$13,IF(B59&lt;=Hypothèses!$C$14,Hypothèses!$G$14,IF(B59&lt;=Hypothèses!$C$15,Hypothèses!$G$15,IF(B59&lt;=Hypothèses!$C$16,Hypothèses!$G$16,IF(B59&lt;=Hypothèses!$C$17,Hypothèses!$G$17,IF(B59&lt;=Hypothèses!$C$18,Hypothèses!$G$18,E58))))))))))))</f>
        <v>#N/A</v>
      </c>
      <c r="F59" s="82" t="str">
        <f>IF(B59&lt;=Hypothèses!$C$7,Hypothèses!$F$7,IF(B59&lt;=Hypothèses!$C$8,Hypothèses!$F$8,IF(B59&lt;=Hypothèses!$C$9,Hypothèses!$F$9,IF(B59&lt;=Hypothèses!$C$10,Hypothèses!$F$10,IF(B59&lt;=Hypothèses!$C$11,Hypothèses!$F$11,IF(B59&lt;=Hypothèses!$C$12,Hypothèses!$F$12,IF(B59&lt;=Hypothèses!$C$13,Hypothèses!$F$13,IF(B59&lt;=Hypothèses!$C$14,Hypothèses!$F$14,IF(B59&lt;=Hypothèses!$C$15,Hypothèses!$F$15,IF(B59&lt;=Hypothèses!$C$16,Hypothèses!$F$16,IF(B59&lt;=Hypothèses!$C$17,Hypothèses!$F$17,IF(B59&lt;=Hypothèses!$C$18,Hypothèses!$F$18,F58))))))))))))</f>
        <v/>
      </c>
      <c r="G59" s="91">
        <f t="array" ref="G59">INDEX('Coeff EC7'!$U$7:$X$27,
MATCH(Model0.1C!$B$3,'Coeff EC7'!$T$7:$T$27,0),
MATCH(Model0.1C!$D59&amp;Model0.1C!$B$4,
'Coeff EC7'!$U$6:$X$6&amp;
'Coeff EC7'!$U$5:$X$5,0))</f>
        <v>1.1499999999999999</v>
      </c>
      <c r="H59" s="91">
        <f t="array" ref="H59">INDEX('Coeff EC7'!$Y$7:$AB$27,
MATCH(Model0.1C!$B$3,'Coeff EC7'!$T$7:$T$27,0),
MATCH(Model0.1C!$D59&amp;Model0.1C!$B$4,
'Coeff EC7'!$Y$6:$AB$6&amp;
'Coeff EC7'!$Y$5:$AB$5,0))</f>
        <v>1.4</v>
      </c>
      <c r="I59" s="83" t="e">
        <f>IF(B59&lt;=Hypothèses!$C$7,Hypothèses!$P$7,IF(B59&lt;=Hypothèses!$C$8,Hypothèses!$P$8,IF(B59&lt;=Hypothèses!$C$9,Hypothèses!$P$9,IF(B59&lt;=Hypothèses!$C$10,Hypothèses!$P$10,IF(B59&lt;=Hypothèses!$C$11,Hypothèses!$P$11,IF(B59&lt;=Hypothèses!$C$12,Hypothèses!$P$12,IF(B59&lt;=Hypothèses!$C$13,Hypothèses!$P$13,IF(B59&lt;=Hypothèses!$C$14,Hypothèses!$P$14,IF(B59&lt;=Hypothèses!$C$15,Hypothèses!$P$15,IF(B59&lt;=Hypothèses!$C$16,Hypothèses!$P$16,IF(B59&lt;=Hypothèses!$C$17,Hypothèses!$P$17,IF(B59&lt;=Hypothèses!$C$18,Hypothèses!$P$18,I58))))))))))))</f>
        <v>#N/A</v>
      </c>
      <c r="J59" s="91" t="e">
        <f t="array" ref="J59">INDEX('Coeff EC7'!$D$33:$Q$33,1,MATCH(D59&amp;E59,'Coeff EC7'!$D$31:$Q$31&amp;'Coeff EC7'!$D$32:$Q$32,0))</f>
        <v>#N/A</v>
      </c>
      <c r="K59" s="91" t="e">
        <f t="array" ref="K59">INDEX('Coeff EC7'!$D$34:$Q$34,1,MATCH(D59&amp;E59,'Coeff EC7'!$D$31:$Q$31&amp;'Coeff EC7'!$D$32:$Q$32,0))</f>
        <v>#N/A</v>
      </c>
      <c r="L59" s="91" t="e">
        <f t="array" ref="L59">INDEX('Coeff EC7'!$D$35:$Q$35,1,MATCH(D59&amp;E59,'Coeff EC7'!$D$31:$Q$31&amp;'Coeff EC7'!$D$32:$Q$32,0))</f>
        <v>#N/A</v>
      </c>
      <c r="M59" s="98" t="e">
        <f t="shared" si="8"/>
        <v>#N/A</v>
      </c>
      <c r="N59" s="99" t="e">
        <f t="array" ref="N59">INDEX('Coeff EC7'!$D$7:$Q$27,MATCH($B$3,'Coeff EC7'!$C$7:$C$27,0),MATCH(D59&amp;E59,'Coeff EC7'!$D$5:$Q$5&amp;'Coeff EC7'!$D$6:$Q$6,0))</f>
        <v>#N/A</v>
      </c>
      <c r="O59" s="99" t="e">
        <f t="array" ref="O59">INDEX('Coeff EC7'!$D$41:$Q$61,MATCH($B$3,'Coeff EC7'!$C$41:$C$61,0),MATCH(D59&amp;E59,'Coeff EC7'!$D$39:$Q$39&amp;'Coeff EC7'!$D$40:$Q$40,0))</f>
        <v>#N/A</v>
      </c>
      <c r="P59" s="30" t="e">
        <f t="shared" si="68"/>
        <v>#N/A</v>
      </c>
      <c r="Q59" s="100" t="e">
        <f t="shared" si="10"/>
        <v>#N/A</v>
      </c>
      <c r="R59" s="86" t="b">
        <f t="shared" si="11"/>
        <v>0</v>
      </c>
      <c r="S59" s="86">
        <f t="shared" si="9"/>
        <v>0.5</v>
      </c>
      <c r="T59" s="86">
        <f t="shared" si="12"/>
        <v>0.5</v>
      </c>
      <c r="U59" s="30" t="e">
        <f t="shared" ca="1" si="69"/>
        <v>#DIV/0!</v>
      </c>
      <c r="V59" s="85" t="str">
        <f>IF(B59&lt;=Hypothèses!$V$7,Hypothèses!$W$7,IF(B59&lt;=Hypothèses!$V$8,Hypothèses!$W$8,IF(B59&lt;=Hypothèses!$V$9,Hypothèses!$W$9,IF(B59&lt;=Hypothèses!$V$10,Hypothèses!$W$10,IF(B59&lt;=Hypothèses!$V$11,Hypothèses!$W$11,IF(B59&lt;=Hypothèses!$V$12,Hypothèses!$W$12,IF(B59&lt;=Hypothèses!$V$13,Hypothèses!$W$13,IF(B59&lt;=Hypothèses!$V$14,Hypothèses!$W$14,IF(B59&lt;=Hypothèses!$V$15,Hypothèses!$W$15,IF(B59&lt;=Hypothèses!$V$16,Hypothèses!$W$16,IF(B59&lt;=Hypothèses!$V$17,Hypothèses!$W$17,IF(B59&lt;=Hypothèses!$V$18,Hypothèses!$W$18,""))))))))))))</f>
        <v/>
      </c>
      <c r="W59" s="87" t="e">
        <f t="shared" ca="1" si="116"/>
        <v>#DIV/0!</v>
      </c>
      <c r="X59" s="88" t="str">
        <f>IF(B59&lt;=Hypothèses!$V$7,Hypothèses!$X$7,IF(B59&lt;=Hypothèses!$V$8,Hypothèses!$X$8,IF(B59&lt;=Hypothèses!$V$9,Hypothèses!$X$9,IF(B59&lt;=Hypothèses!$V$10,Hypothèses!$X$10,IF(B59&lt;=Hypothèses!$V$11,Hypothèses!$X$11,IF(B59&lt;=Hypothèses!$V$12,Hypothèses!$X$12,IF(B59&lt;=Hypothèses!$V$13,Hypothèses!$X$13,IF(B59&lt;=Hypothèses!$V$14,Hypothèses!$X$14,IF(B59&lt;=Hypothèses!$V$15,Hypothèses!$X$15,IF(B59&lt;=Hypothèses!$V$16,Hypothèses!$X$16,IF(B59&lt;=Hypothèses!$U$17,Hypothèses!$W$17,IF(B59&lt;=Hypothèses!$U$18,Hypothèses!$W$18,""))))))))))))</f>
        <v/>
      </c>
      <c r="Y59" s="95" t="e">
        <f t="shared" ca="1" si="13"/>
        <v>#DIV/0!</v>
      </c>
      <c r="Z59" s="101" t="e">
        <f t="shared" si="14"/>
        <v>#N/A</v>
      </c>
      <c r="AA59" s="91" t="e">
        <f t="shared" si="15"/>
        <v>#N/A</v>
      </c>
      <c r="AB59" s="30" t="e">
        <f t="shared" si="100"/>
        <v>#N/A</v>
      </c>
      <c r="AC59" s="30" t="e">
        <f t="shared" si="101"/>
        <v>#N/A</v>
      </c>
      <c r="AD59" s="31" t="e">
        <f>IF(OR(Hypothèses!$B$4=17,Hypothèses!$B$4=18,Hypothèses!$B$4=19,Hypothèses!$B$4=20),
IF($D59="Pressio.",
IF(OR($E59=3,$E59=1,$E59=4),AC59,AB59),
IF($D59="Pénétro.",
IF(OR($E59=3,$E59=1,$E59=4),AC59,AB59))),IF($D59="Pressio.",
IF($E59=3,AC59,AB59),
IF($D59="Pénétro.",
IF($E59=4,AC59,AB59))))</f>
        <v>#N/A</v>
      </c>
      <c r="AE59" s="31" t="e">
        <f>(IF(OR(Hypothèses!$B$4=17,Hypothèses!$B$4=18,Hypothèses!$B$4=19,Hypothèses!$B$4=20),
IF($D59="Pressio.",
IF(OR($E59=3,$E59=1,$E59=4),(PI()*AE$12^2)/4*(AA59*$W59*1000)/($H59*$B$5),(PI()*AE$12^2)/4*(AA59*$W59*1000)/($G59*$B$5)),
IF($D59="Pénétro.",
IF(OR($E59=4,$E59=1,$E59=5),(PI()*AE$12^2)/4*(AA59*$W59*1000)/($H59*$B$5),(PI()*AE$12^2)/4*(AA59*$W59*1000)/($G59*$B$5)))),
IF($D59="Pressio.",
IF($E59=3,(PI()*AE$12^2)/4*(AA59*$W59*1000)/($H59*$B$5),(PI()*AE$12^2)/4*(AA59*$W59*1000)/($G59*$B$5)),
IF($D59="Pénétro.",
IF($E59=4,(PI()*AE$12^2)/4*(AA59*$W59*1000)/($H59*$B$5),(PI()*AE$12^2)/4*(AA59*$W59*1000)/($G59*$B$5))))))/10</f>
        <v>#N/A</v>
      </c>
      <c r="AF59" s="102" t="e">
        <f>(VLOOKUP($B$3,'Coeff EC7'!$T$39:$X$59,2,0)*AD59+VLOOKUP($B$3,'Coeff EC7'!$T$65:$X$85,2,0)*Model0.1C!AE59)/1.1</f>
        <v>#N/A</v>
      </c>
      <c r="AG59" s="102" t="e">
        <f>(VLOOKUP($B$3,'Coeff EC7'!$T$39:$X$59,3,0)*AD59+VLOOKUP($B$3,'Coeff EC7'!$T$65:$X$85,3,0)*Model0.1C!AE59)/0.9</f>
        <v>#N/A</v>
      </c>
      <c r="AH59" s="102" t="e">
        <f t="shared" si="18"/>
        <v>#N/A</v>
      </c>
      <c r="AI59" s="102" t="e">
        <f t="shared" si="19"/>
        <v>#N/A</v>
      </c>
      <c r="AJ59" s="414" t="e">
        <f>IF(AJ58=0,0,IF(AND(AF59&gt;charge_ELS_quasi,AG59&gt;Charge_ELS_freq,AH59&gt;charge_ELU,AI59&gt;charge_ELA,$B59&gt;NDC!$H$22-0.1+MIN(3*$AJ$12,1.5)),0,1))</f>
        <v>#N/A</v>
      </c>
      <c r="AK59" s="86" t="b">
        <f t="shared" si="20"/>
        <v>0</v>
      </c>
      <c r="AL59" s="86">
        <f t="shared" si="70"/>
        <v>0.5</v>
      </c>
      <c r="AM59" s="86">
        <f t="shared" si="21"/>
        <v>0.5</v>
      </c>
      <c r="AN59" s="30" t="e">
        <f t="shared" ca="1" si="71"/>
        <v>#DIV/0!</v>
      </c>
      <c r="AO59" s="85" t="e">
        <f ca="1">IF(U59&lt;=Hypothèses!$V$7,Hypothèses!$W$7,IF(U59&lt;=Hypothèses!$V$8,Hypothèses!$W$8,IF(U59&lt;=Hypothèses!$V$9,Hypothèses!$W$9,IF(U59&lt;=Hypothèses!$V$10,Hypothèses!$W$10,IF(U59&lt;=Hypothèses!$V$11,Hypothèses!$W$11,IF(U59&lt;=Hypothèses!$V$12,Hypothèses!$W$12,IF(U59&lt;=Hypothèses!$V$13,Hypothèses!$W$13,IF(U59&lt;=Hypothèses!$V$14,Hypothèses!$W$14,IF(U59&lt;=Hypothèses!$V$15,Hypothèses!$W$15,IF(U59&lt;=Hypothèses!$V$16,Hypothèses!$W$16,IF(U59&lt;=Hypothèses!$V$17,Hypothèses!$W$17,IF(U59&lt;=Hypothèses!$V$18,Hypothèses!$W$18,""))))))))))))</f>
        <v>#DIV/0!</v>
      </c>
      <c r="AP59" s="87" t="e">
        <f t="shared" ca="1" si="117"/>
        <v>#DIV/0!</v>
      </c>
      <c r="AQ59" s="88" t="e">
        <f ca="1">IF(U59&lt;=Hypothèses!$V$7,Hypothèses!$X$7,IF(U59&lt;=Hypothèses!$V$8,Hypothèses!$X$8,IF(U59&lt;=Hypothèses!$V$9,Hypothèses!$X$9,IF(U59&lt;=Hypothèses!$V$10,Hypothèses!$X$10,IF(U59&lt;=Hypothèses!$V$11,Hypothèses!$X$11,IF(U59&lt;=Hypothèses!$V$12,Hypothèses!$X$12,IF(U59&lt;=Hypothèses!$V$13,Hypothèses!$X$13,IF(U59&lt;=Hypothèses!$V$14,Hypothèses!$X$14,IF(U59&lt;=Hypothèses!$V$15,Hypothèses!$X$15,IF(U59&lt;=Hypothèses!$V$16,Hypothèses!$X$16,IF(U59&lt;=Hypothèses!$U$17,Hypothèses!$W$17,IF(U59&lt;=Hypothèses!$U$18,Hypothèses!$W$18,""))))))))))))</f>
        <v>#DIV/0!</v>
      </c>
      <c r="AR59" s="95" t="e">
        <f t="shared" ca="1" si="72"/>
        <v>#DIV/0!</v>
      </c>
      <c r="AS59" s="101" t="e">
        <f t="shared" si="124"/>
        <v>#N/A</v>
      </c>
      <c r="AT59" s="91" t="e">
        <f t="shared" si="23"/>
        <v>#N/A</v>
      </c>
      <c r="AU59" s="30" t="e">
        <f t="shared" si="102"/>
        <v>#N/A</v>
      </c>
      <c r="AV59" s="30" t="e">
        <f t="shared" si="103"/>
        <v>#N/A</v>
      </c>
      <c r="AW59" s="31" t="e">
        <f>IF(OR(Hypothèses!$B$4=17,Hypothèses!$B$4=18,Hypothèses!$B$4=19,Hypothèses!$B$4=20),
IF($D59="Pressio.",
IF(OR($E59=3,$E59=1,$E59=4),AV59,AU59),
IF($D59="Pénétro.",
IF(OR($E59=3,$E59=1,$E59=4),AV59,AU59))),IF($D59="Pressio.",
IF($E59=3,AV59,AU59),
IF($D59="Pénétro.",
IF($E59=4,AV59,AU59))))</f>
        <v>#N/A</v>
      </c>
      <c r="AX59" s="31" t="e">
        <f>(IF(OR(Hypothèses!$B$4=17,Hypothèses!$B$4=18,Hypothèses!$B$4=19,Hypothèses!$B$4=20),
IF($D59="Pressio.",
IF(OR($E59=3,$E59=1,$E59=4),(PI()*AX$12^2)/4*(AT59*$W59*1000)/($H59*$B$5),(PI()*AX$12^2)/4*(AT59*$W59*1000)/($G59*$B$5)),
IF($D59="Pénétro.",
IF(OR($E59=4,$E59=1,$E59=5),(PI()*AX$12^2)/4*(AT59*$W59*1000)/($H59*$B$5),(PI()*AX$12^2)/4*(AT59*$W59*1000)/($G59*$B$5)))),
IF($D59="Pressio.",
IF($E59=3,(PI()*AX$12^2)/4*(AT59*$W59*1000)/($H59*$B$5),(PI()*AX$12^2)/4*(AT59*$W59*1000)/($G59*$B$5)),
IF($D59="Pénétro.",
IF($E59=4,(PI()*AX$12^2)/4*(AT59*$W59*1000)/($H59*$B$5),(PI()*AX$12^2)/4*(AT59*$W59*1000)/($G59*$B$5))))))/10</f>
        <v>#N/A</v>
      </c>
      <c r="AY59" s="102" t="e">
        <f>(VLOOKUP($B$3,'Coeff EC7'!$T$39:$X$59,2,0)*AW59+VLOOKUP($B$3,'Coeff EC7'!$T$65:$X$85,2,0)*Model0.1C!AX59)/1.1</f>
        <v>#N/A</v>
      </c>
      <c r="AZ59" s="102" t="e">
        <f>(VLOOKUP($B$3,'Coeff EC7'!$T$39:$X$59,3,0)*AW59+VLOOKUP($B$3,'Coeff EC7'!$T$65:$X$85,3,0)*Model0.1C!AX59)/0.9</f>
        <v>#N/A</v>
      </c>
      <c r="BA59" s="102" t="e">
        <f t="shared" si="73"/>
        <v>#N/A</v>
      </c>
      <c r="BB59" s="102" t="e">
        <f t="shared" si="74"/>
        <v>#N/A</v>
      </c>
      <c r="BC59" s="414" t="e">
        <f>IF(BC58=0,0,IF(AND(AY59&gt;charge_ELS_quasi,AZ59&gt;Charge_ELS_freq,BA59&gt;charge_ELU,BB59&gt;charge_ELA,$B59&gt;NDC!$H$22-0.1+MIN(3*$BC$12,1.5)),0,1))</f>
        <v>#N/A</v>
      </c>
      <c r="BD59" s="86" t="b">
        <f t="shared" si="26"/>
        <v>0</v>
      </c>
      <c r="BE59" s="86">
        <f t="shared" si="75"/>
        <v>0.5</v>
      </c>
      <c r="BF59" s="86">
        <f t="shared" si="27"/>
        <v>0.5</v>
      </c>
      <c r="BG59" s="30" t="e">
        <f t="shared" ca="1" si="76"/>
        <v>#DIV/0!</v>
      </c>
      <c r="BH59" s="85" t="e">
        <f ca="1">IF(AN59&lt;=Hypothèses!$V$7,Hypothèses!$W$7,IF(AN59&lt;=Hypothèses!$V$8,Hypothèses!$W$8,IF(AN59&lt;=Hypothèses!$V$9,Hypothèses!$W$9,IF(AN59&lt;=Hypothèses!$V$10,Hypothèses!$W$10,IF(AN59&lt;=Hypothèses!$V$11,Hypothèses!$W$11,IF(AN59&lt;=Hypothèses!$V$12,Hypothèses!$W$12,IF(AN59&lt;=Hypothèses!$V$13,Hypothèses!$W$13,IF(AN59&lt;=Hypothèses!$V$14,Hypothèses!$W$14,IF(AN59&lt;=Hypothèses!$V$15,Hypothèses!$W$15,IF(AN59&lt;=Hypothèses!$V$16,Hypothèses!$W$16,IF(AN59&lt;=Hypothèses!$V$17,Hypothèses!$W$17,IF(AN59&lt;=Hypothèses!$V$18,Hypothèses!$W$18,""))))))))))))</f>
        <v>#DIV/0!</v>
      </c>
      <c r="BI59" s="87" t="e">
        <f t="shared" ca="1" si="118"/>
        <v>#DIV/0!</v>
      </c>
      <c r="BJ59" s="88" t="e">
        <f ca="1">IF(AN59&lt;=Hypothèses!$V$7,Hypothèses!$X$7,IF(AN59&lt;=Hypothèses!$V$8,Hypothèses!$X$8,IF(AN59&lt;=Hypothèses!$V$9,Hypothèses!$X$9,IF(AN59&lt;=Hypothèses!$V$10,Hypothèses!$X$10,IF(AN59&lt;=Hypothèses!$V$11,Hypothèses!$X$11,IF(AN59&lt;=Hypothèses!$V$12,Hypothèses!$X$12,IF(AN59&lt;=Hypothèses!$V$13,Hypothèses!$X$13,IF(AN59&lt;=Hypothèses!$V$14,Hypothèses!$X$14,IF(AN59&lt;=Hypothèses!$V$15,Hypothèses!$X$15,IF(AN59&lt;=Hypothèses!$V$16,Hypothèses!$X$16,IF(AN59&lt;=Hypothèses!$U$17,Hypothèses!$W$17,IF(AN59&lt;=Hypothèses!$U$18,Hypothèses!$W$18,""))))))))))))</f>
        <v>#DIV/0!</v>
      </c>
      <c r="BK59" s="95" t="e">
        <f t="shared" ca="1" si="77"/>
        <v>#DIV/0!</v>
      </c>
      <c r="BL59" s="101" t="e">
        <f t="shared" si="125"/>
        <v>#N/A</v>
      </c>
      <c r="BM59" s="91" t="e">
        <f t="shared" si="29"/>
        <v>#N/A</v>
      </c>
      <c r="BN59" s="30" t="e">
        <f t="shared" si="104"/>
        <v>#N/A</v>
      </c>
      <c r="BO59" s="30" t="e">
        <f t="shared" si="105"/>
        <v>#N/A</v>
      </c>
      <c r="BP59" s="31" t="e">
        <f>IF(OR(Hypothèses!$B$4=17,Hypothèses!$B$4=18,Hypothèses!$B$4=19,Hypothèses!$B$4=20),
IF($D59="Pressio.",
IF(OR($E59=3,$E59=1,$E59=4),BO59,BN59),
IF($D59="Pénétro.",
IF(OR($E59=3,$E59=1,$E59=4),BO59,BN59))),IF($D59="Pressio.",
IF($E59=3,BO59,BN59),
IF($D59="Pénétro.",
IF($E59=4,BO59,BN59))))</f>
        <v>#N/A</v>
      </c>
      <c r="BQ59" s="31" t="e">
        <f>(IF(OR(Hypothèses!$B$4=17,Hypothèses!$B$4=18,Hypothèses!$B$4=19,Hypothèses!$B$4=20),
IF($D59="Pressio.",
IF(OR($E59=3,$E59=1,$E59=4),(PI()*BQ$12^2)/4*(BM59*$W59*1000)/($H59*$B$5),(PI()*BQ$12^2)/4*(BM59*$W59*1000)/($G59*$B$5)),
IF($D59="Pénétro.",
IF(OR($E59=4,$E59=1,$E59=5),(PI()*BQ$12^2)/4*(BM59*$W59*1000)/($H59*$B$5),(PI()*BQ$12^2)/4*(BM59*$W59*1000)/($G59*$B$5)))),
IF($D59="Pressio.",
IF($E59=3,(PI()*BQ$12^2)/4*(BM59*$W59*1000)/($H59*$B$5),(PI()*BQ$12^2)/4*(BM59*$W59*1000)/($G59*$B$5)),
IF($D59="Pénétro.",
IF($E59=4,(PI()*BQ$12^2)/4*(BM59*$W59*1000)/($H59*$B$5),(PI()*BQ$12^2)/4*(BM59*$W59*1000)/($G59*$B$5))))))/10</f>
        <v>#N/A</v>
      </c>
      <c r="BR59" s="102" t="e">
        <f>(VLOOKUP($B$3,'Coeff EC7'!$T$39:$X$59,2,0)*BP59+VLOOKUP($B$3,'Coeff EC7'!$T$65:$X$85,2,0)*Model0.1C!BQ59)/1.1</f>
        <v>#N/A</v>
      </c>
      <c r="BS59" s="102" t="e">
        <f>(VLOOKUP($B$3,'Coeff EC7'!$T$39:$X$59,3,0)*BP59+VLOOKUP($B$3,'Coeff EC7'!$T$65:$X$85,3,0)*Model0.1C!BQ59)/0.9</f>
        <v>#N/A</v>
      </c>
      <c r="BT59" s="102" t="e">
        <f t="shared" si="78"/>
        <v>#N/A</v>
      </c>
      <c r="BU59" s="102" t="e">
        <f t="shared" si="79"/>
        <v>#N/A</v>
      </c>
      <c r="BV59" s="414" t="e">
        <f>IF(BV58=0,0,IF(AND(BR59&gt;charge_ELS_quasi,BS59&gt;Charge_ELS_freq,BT59&gt;charge_ELU,BU59&gt;charge_ELA,$B59&gt;NDC!$H$22-0.1+MIN(3*$BV$12,1.5)),0,1))</f>
        <v>#N/A</v>
      </c>
      <c r="BW59" s="86" t="b">
        <f t="shared" si="32"/>
        <v>0</v>
      </c>
      <c r="BX59" s="86">
        <f t="shared" si="33"/>
        <v>0.5</v>
      </c>
      <c r="BY59" s="86">
        <f t="shared" si="34"/>
        <v>0.5</v>
      </c>
      <c r="BZ59" s="30" t="e">
        <f t="shared" ca="1" si="80"/>
        <v>#DIV/0!</v>
      </c>
      <c r="CA59" s="85" t="e">
        <f ca="1">IF(BG59&lt;=Hypothèses!$V$7,Hypothèses!$W$7,IF(BG59&lt;=Hypothèses!$V$8,Hypothèses!$W$8,IF(BG59&lt;=Hypothèses!$V$9,Hypothèses!$W$9,IF(BG59&lt;=Hypothèses!$V$10,Hypothèses!$W$10,IF(BG59&lt;=Hypothèses!$V$11,Hypothèses!$W$11,IF(BG59&lt;=Hypothèses!$V$12,Hypothèses!$W$12,IF(BG59&lt;=Hypothèses!$V$13,Hypothèses!$W$13,IF(BG59&lt;=Hypothèses!$V$14,Hypothèses!$W$14,IF(BG59&lt;=Hypothèses!$V$15,Hypothèses!$W$15,IF(BG59&lt;=Hypothèses!$V$16,Hypothèses!$W$16,IF(BG59&lt;=Hypothèses!$V$17,Hypothèses!$W$17,IF(BG59&lt;=Hypothèses!$V$18,Hypothèses!$W$18,""))))))))))))</f>
        <v>#DIV/0!</v>
      </c>
      <c r="CB59" s="87" t="e">
        <f t="shared" ca="1" si="119"/>
        <v>#DIV/0!</v>
      </c>
      <c r="CC59" s="88" t="e">
        <f ca="1">IF(BG59&lt;=Hypothèses!$V$7,Hypothèses!$X$7,IF(BG59&lt;=Hypothèses!$V$8,Hypothèses!$X$8,IF(BG59&lt;=Hypothèses!$V$9,Hypothèses!$X$9,IF(BG59&lt;=Hypothèses!$V$10,Hypothèses!$X$10,IF(BG59&lt;=Hypothèses!$V$11,Hypothèses!$X$11,IF(BG59&lt;=Hypothèses!$V$12,Hypothèses!$X$12,IF(BG59&lt;=Hypothèses!$V$13,Hypothèses!$X$13,IF(BG59&lt;=Hypothèses!$V$14,Hypothèses!$X$14,IF(BG59&lt;=Hypothèses!$V$15,Hypothèses!$X$15,IF(BG59&lt;=Hypothèses!$V$16,Hypothèses!$X$16,IF(BG59&lt;=Hypothèses!$U$17,Hypothèses!$W$17,IF(BG59&lt;=Hypothèses!$U$18,Hypothèses!$W$18,""))))))))))))</f>
        <v>#DIV/0!</v>
      </c>
      <c r="CD59" s="95" t="e">
        <f t="shared" ca="1" si="81"/>
        <v>#DIV/0!</v>
      </c>
      <c r="CE59" s="101" t="e">
        <f t="shared" si="126"/>
        <v>#N/A</v>
      </c>
      <c r="CF59" s="91" t="e">
        <f t="shared" si="36"/>
        <v>#N/A</v>
      </c>
      <c r="CG59" s="30" t="e">
        <f t="shared" si="106"/>
        <v>#N/A</v>
      </c>
      <c r="CH59" s="30" t="e">
        <f t="shared" si="107"/>
        <v>#N/A</v>
      </c>
      <c r="CI59" s="31" t="e">
        <f>IF(OR(Hypothèses!$B$4=17,Hypothèses!$B$4=18,Hypothèses!$B$4=19,Hypothèses!$B$4=20),
IF($D59="Pressio.",
IF(OR($E59=3,$E59=1,$E59=4),CH59,CG59),
IF($D59="Pénétro.",
IF(OR($E59=3,$E59=1,$E59=4),CH59,CG59))),IF($D59="Pressio.",
IF($E59=3,CH59,CG59),
IF($D59="Pénétro.",
IF($E59=4,CH59,CG59))))</f>
        <v>#N/A</v>
      </c>
      <c r="CJ59" s="31" t="e">
        <f>(IF(OR(Hypothèses!$B$4=17,Hypothèses!$B$4=18,Hypothèses!$B$4=19,Hypothèses!$B$4=20),
IF($D59="Pressio.",
IF(OR($E59=3,$E59=1,$E59=4),(PI()*CJ$12^2)/4*(CF59*$W59*1000)/($H59*$B$5),(PI()*CJ$12^2)/4*(CF59*$W59*1000)/($G59*$B$5)),
IF($D59="Pénétro.",
IF(OR($E59=4,$E59=1,$E59=5),(PI()*CJ$12^2)/4*(CF59*$W59*1000)/($H59*$B$5),(PI()*CJ$12^2)/4*(CF59*$W59*1000)/($G59*$B$5)))),
IF($D59="Pressio.",
IF($E59=3,(PI()*CJ$12^2)/4*(CF59*$W59*1000)/($H59*$B$5),(PI()*CJ$12^2)/4*(CF59*$W59*1000)/($G59*$B$5)),
IF($D59="Pénétro.",
IF($E59=4,(PI()*CJ$12^2)/4*(CF59*$W59*1000)/($H59*$B$5),(PI()*CJ$12^2)/4*(CF59*$W59*1000)/($G59*$B$5))))))/10</f>
        <v>#N/A</v>
      </c>
      <c r="CK59" s="102" t="e">
        <f>(VLOOKUP($B$3,'Coeff EC7'!$T$39:$X$59,2,0)*CI59+VLOOKUP($B$3,'Coeff EC7'!$T$65:$X$85,2,0)*Model0.1C!CJ59)/1.1</f>
        <v>#N/A</v>
      </c>
      <c r="CL59" s="102" t="e">
        <f>(VLOOKUP($B$3,'Coeff EC7'!$T$39:$X$59,3,0)*CI59+VLOOKUP($B$3,'Coeff EC7'!$T$65:$X$85,3,0)*Model0.1C!CJ59)/0.9</f>
        <v>#N/A</v>
      </c>
      <c r="CM59" s="102" t="e">
        <f t="shared" si="82"/>
        <v>#N/A</v>
      </c>
      <c r="CN59" s="102" t="e">
        <f t="shared" si="83"/>
        <v>#N/A</v>
      </c>
      <c r="CO59" s="414" t="e">
        <f>IF(CO58=0,0,IF(AND(CK59&gt;charge_ELS_quasi,CL59&gt;Charge_ELS_freq,CM59&gt;charge_ELU,CN59&gt;charge_ELA,$B59&gt;NDC!$H$22-0.1+MIN(3*$CO$12,1.5)),0,1))</f>
        <v>#N/A</v>
      </c>
      <c r="CP59" s="86" t="b">
        <f t="shared" si="39"/>
        <v>0</v>
      </c>
      <c r="CQ59" s="86">
        <f t="shared" si="40"/>
        <v>0.5</v>
      </c>
      <c r="CR59" s="86">
        <f t="shared" si="41"/>
        <v>0.5</v>
      </c>
      <c r="CS59" s="30" t="e">
        <f t="shared" ca="1" si="84"/>
        <v>#DIV/0!</v>
      </c>
      <c r="CT59" s="85" t="e">
        <f ca="1">IF(BZ59&lt;=Hypothèses!$V$7,Hypothèses!$W$7,IF(BZ59&lt;=Hypothèses!$V$8,Hypothèses!$W$8,IF(BZ59&lt;=Hypothèses!$V$9,Hypothèses!$W$9,IF(BZ59&lt;=Hypothèses!$V$10,Hypothèses!$W$10,IF(BZ59&lt;=Hypothèses!$V$11,Hypothèses!$W$11,IF(BZ59&lt;=Hypothèses!$V$12,Hypothèses!$W$12,IF(BZ59&lt;=Hypothèses!$V$13,Hypothèses!$W$13,IF(BZ59&lt;=Hypothèses!$V$14,Hypothèses!$W$14,IF(BZ59&lt;=Hypothèses!$V$15,Hypothèses!$W$15,IF(BZ59&lt;=Hypothèses!$V$16,Hypothèses!$W$16,IF(BZ59&lt;=Hypothèses!$V$17,Hypothèses!$W$17,IF(BZ59&lt;=Hypothèses!$V$18,Hypothèses!$W$18,""))))))))))))</f>
        <v>#DIV/0!</v>
      </c>
      <c r="CU59" s="87" t="e">
        <f t="shared" ca="1" si="120"/>
        <v>#DIV/0!</v>
      </c>
      <c r="CV59" s="88" t="e">
        <f ca="1">IF(BZ59&lt;=Hypothèses!$V$7,Hypothèses!$X$7,IF(BZ59&lt;=Hypothèses!$V$8,Hypothèses!$X$8,IF(BZ59&lt;=Hypothèses!$V$9,Hypothèses!$X$9,IF(BZ59&lt;=Hypothèses!$V$10,Hypothèses!$X$10,IF(BZ59&lt;=Hypothèses!$V$11,Hypothèses!$X$11,IF(BZ59&lt;=Hypothèses!$V$12,Hypothèses!$X$12,IF(BZ59&lt;=Hypothèses!$V$13,Hypothèses!$X$13,IF(BZ59&lt;=Hypothèses!$V$14,Hypothèses!$X$14,IF(BZ59&lt;=Hypothèses!$V$15,Hypothèses!$X$15,IF(BZ59&lt;=Hypothèses!$V$16,Hypothèses!$X$16,IF(BZ59&lt;=Hypothèses!$U$17,Hypothèses!$W$17,IF(BZ59&lt;=Hypothèses!$U$18,Hypothèses!$W$18,""))))))))))))</f>
        <v>#DIV/0!</v>
      </c>
      <c r="CW59" s="95" t="e">
        <f t="shared" ca="1" si="85"/>
        <v>#DIV/0!</v>
      </c>
      <c r="CX59" s="101" t="e">
        <f t="shared" si="127"/>
        <v>#N/A</v>
      </c>
      <c r="CY59" s="91" t="e">
        <f t="shared" si="43"/>
        <v>#N/A</v>
      </c>
      <c r="CZ59" s="30" t="e">
        <f t="shared" si="108"/>
        <v>#N/A</v>
      </c>
      <c r="DA59" s="30" t="e">
        <f t="shared" si="109"/>
        <v>#N/A</v>
      </c>
      <c r="DB59" s="31" t="e">
        <f>IF(OR(Hypothèses!$B$4=17,Hypothèses!$B$4=18,Hypothèses!$B$4=19,Hypothèses!$B$4=20),
IF($D59="Pressio.",
IF(OR($E59=3,$E59=1,$E59=4),DA59,CZ59),
IF($D59="Pénétro.",
IF(OR($E59=3,$E59=1,$E59=4),DA59,CZ59))),IF($D59="Pressio.",
IF($E59=3,DA59,CZ59),
IF($D59="Pénétro.",
IF($E59=4,DA59,CZ59))))</f>
        <v>#N/A</v>
      </c>
      <c r="DC59" s="31" t="e">
        <f>(IF(OR(Hypothèses!$B$4=17,Hypothèses!$B$4=18,Hypothèses!$B$4=19,Hypothèses!$B$4=20),
IF($D59="Pressio.",
IF(OR($E59=3,$E59=1,$E59=4),(PI()*DC$12^2)/4*(CY59*$W59*1000)/($H59*$B$5),(PI()*DC$12^2)/4*(CY59*$W59*1000)/($G59*$B$5)),
IF($D59="Pénétro.",
IF(OR($E59=4,$E59=1,$E59=5),(PI()*DC$12^2)/4*(CY59*$W59*1000)/($H59*$B$5),(PI()*DC$12^2)/4*(CY59*$W59*1000)/($G59*$B$5)))),
IF($D59="Pressio.",
IF($E59=3,(PI()*DC$12^2)/4*(CY59*$W59*1000)/($H59*$B$5),(PI()*DC$12^2)/4*(CY59*$W59*1000)/($G59*$B$5)),
IF($D59="Pénétro.",
IF($E59=4,(PI()*DC$12^2)/4*(CY59*$W59*1000)/($H59*$B$5),(PI()*DC$12^2)/4*(CY59*$W59*1000)/($G59*$B$5))))))/10</f>
        <v>#N/A</v>
      </c>
      <c r="DD59" s="102" t="e">
        <f>(VLOOKUP($B$3,'Coeff EC7'!$T$39:$X$59,2,0)*DB59+VLOOKUP($B$3,'Coeff EC7'!$T$65:$X$85,2,0)*Model0.1C!DC59)/1.1</f>
        <v>#N/A</v>
      </c>
      <c r="DE59" s="102" t="e">
        <f>(VLOOKUP($B$3,'Coeff EC7'!$T$39:$X$59,3,0)*DB59+VLOOKUP($B$3,'Coeff EC7'!$T$65:$X$85,3,0)*Model0.1C!DC59)/0.9</f>
        <v>#N/A</v>
      </c>
      <c r="DF59" s="102" t="e">
        <f t="shared" si="86"/>
        <v>#N/A</v>
      </c>
      <c r="DG59" s="102" t="e">
        <f t="shared" si="87"/>
        <v>#N/A</v>
      </c>
      <c r="DH59" s="414" t="e">
        <f>IF(DH58=0,0,IF(AND(DD59&gt;charge_ELS_quasi,DE59&gt;Charge_ELS_freq,DF59&gt;charge_ELU,DG59&gt;charge_ELA,$B59&gt;NDC!$H$22-0.1+MIN(3*$DH$12,1.5)),0,1))</f>
        <v>#N/A</v>
      </c>
      <c r="DI59" s="86" t="b">
        <f t="shared" si="46"/>
        <v>0</v>
      </c>
      <c r="DJ59" s="86">
        <f t="shared" si="47"/>
        <v>0.5</v>
      </c>
      <c r="DK59" s="86">
        <f t="shared" si="48"/>
        <v>0.5</v>
      </c>
      <c r="DL59" s="30" t="e">
        <f t="shared" ca="1" si="88"/>
        <v>#DIV/0!</v>
      </c>
      <c r="DM59" s="85" t="e">
        <f ca="1">IF(CS59&lt;=Hypothèses!$V$7,Hypothèses!$W$7,IF(CS59&lt;=Hypothèses!$V$8,Hypothèses!$W$8,IF(CS59&lt;=Hypothèses!$V$9,Hypothèses!$W$9,IF(CS59&lt;=Hypothèses!$V$10,Hypothèses!$W$10,IF(CS59&lt;=Hypothèses!$V$11,Hypothèses!$W$11,IF(CS59&lt;=Hypothèses!$V$12,Hypothèses!$W$12,IF(CS59&lt;=Hypothèses!$V$13,Hypothèses!$W$13,IF(CS59&lt;=Hypothèses!$V$14,Hypothèses!$W$14,IF(CS59&lt;=Hypothèses!$V$15,Hypothèses!$W$15,IF(CS59&lt;=Hypothèses!$V$16,Hypothèses!$W$16,IF(CS59&lt;=Hypothèses!$V$17,Hypothèses!$W$17,IF(CS59&lt;=Hypothèses!$V$18,Hypothèses!$W$18,""))))))))))))</f>
        <v>#DIV/0!</v>
      </c>
      <c r="DN59" s="87" t="e">
        <f t="shared" ca="1" si="121"/>
        <v>#DIV/0!</v>
      </c>
      <c r="DO59" s="88" t="e">
        <f ca="1">IF(CS59&lt;=Hypothèses!$V$7,Hypothèses!$X$7,IF(CS59&lt;=Hypothèses!$V$8,Hypothèses!$X$8,IF(CS59&lt;=Hypothèses!$V$9,Hypothèses!$X$9,IF(CS59&lt;=Hypothèses!$V$10,Hypothèses!$X$10,IF(CS59&lt;=Hypothèses!$V$11,Hypothèses!$X$11,IF(CS59&lt;=Hypothèses!$V$12,Hypothèses!$X$12,IF(CS59&lt;=Hypothèses!$V$13,Hypothèses!$X$13,IF(CS59&lt;=Hypothèses!$V$14,Hypothèses!$X$14,IF(CS59&lt;=Hypothèses!$V$15,Hypothèses!$X$15,IF(CS59&lt;=Hypothèses!$V$16,Hypothèses!$X$16,IF(CS59&lt;=Hypothèses!$U$17,Hypothèses!$W$17,IF(CS59&lt;=Hypothèses!$U$18,Hypothèses!$W$18,""))))))))))))</f>
        <v>#DIV/0!</v>
      </c>
      <c r="DP59" s="95" t="e">
        <f t="shared" ca="1" si="89"/>
        <v>#DIV/0!</v>
      </c>
      <c r="DQ59" s="101" t="e">
        <f t="shared" si="128"/>
        <v>#N/A</v>
      </c>
      <c r="DR59" s="91" t="e">
        <f t="shared" si="50"/>
        <v>#N/A</v>
      </c>
      <c r="DS59" s="30" t="e">
        <f t="shared" si="110"/>
        <v>#N/A</v>
      </c>
      <c r="DT59" s="30" t="e">
        <f t="shared" si="111"/>
        <v>#N/A</v>
      </c>
      <c r="DU59" s="31" t="e">
        <f>IF(OR(Hypothèses!$B$4=17,Hypothèses!$B$4=18,Hypothèses!$B$4=19,Hypothèses!$B$4=20),
IF($D59="Pressio.",
IF(OR($E59=3,$E59=1,$E59=4),DT59,DS59),
IF($D59="Pénétro.",
IF(OR($E59=3,$E59=1,$E59=4),DT59,DS59))),IF($D59="Pressio.",
IF($E59=3,DT59,DS59),
IF($D59="Pénétro.",
IF($E59=4,DT59,DS59))))</f>
        <v>#N/A</v>
      </c>
      <c r="DV59" s="31" t="e">
        <f>(IF(OR(Hypothèses!$B$4=17,Hypothèses!$B$4=18,Hypothèses!$B$4=19,Hypothèses!$B$4=20),
IF($D59="Pressio.",
IF(OR($E59=3,$E59=1,$E59=4),(PI()*DV$12^2)/4*(DR59*$W59*1000)/($H59*$B$5),(PI()*DV$12^2)/4*(DR59*$W59*1000)/($G59*$B$5)),
IF($D59="Pénétro.",
IF(OR($E59=4,$E59=1,$E59=5),(PI()*DV$12^2)/4*(DR59*$W59*1000)/($H59*$B$5),(PI()*DV$12^2)/4*(DR59*$W59*1000)/($G59*$B$5)))),
IF($D59="Pressio.",
IF($E59=3,(PI()*DV$12^2)/4*(DR59*$W59*1000)/($H59*$B$5),(PI()*DV$12^2)/4*(DR59*$W59*1000)/($G59*$B$5)),
IF($D59="Pénétro.",
IF($E59=4,(PI()*DV$12^2)/4*(DR59*$W59*1000)/($H59*$B$5),(PI()*DV$12^2)/4*(DR59*$W59*1000)/($G59*$B$5))))))/10</f>
        <v>#N/A</v>
      </c>
      <c r="DW59" s="102" t="e">
        <f>(VLOOKUP($B$3,'Coeff EC7'!$T$39:$X$59,2,0)*DU59+VLOOKUP($B$3,'Coeff EC7'!$T$65:$X$85,2,0)*Model0.1C!DV59)/1.1</f>
        <v>#N/A</v>
      </c>
      <c r="DX59" s="102" t="e">
        <f>(VLOOKUP($B$3,'Coeff EC7'!$T$39:$X$59,3,0)*DU59+VLOOKUP($B$3,'Coeff EC7'!$T$65:$X$85,3,0)*Model0.1C!DV59)/0.9</f>
        <v>#N/A</v>
      </c>
      <c r="DY59" s="102" t="e">
        <f t="shared" si="90"/>
        <v>#N/A</v>
      </c>
      <c r="DZ59" s="102" t="e">
        <f t="shared" si="91"/>
        <v>#N/A</v>
      </c>
      <c r="EA59" s="414" t="e">
        <f>IF(EA58=0,0,IF(AND(DW59&gt;charge_ELS_quasi,DX59&gt;Charge_ELS_freq,DY59&gt;charge_ELU,DZ59&gt;charge_ELA,$B59&gt;NDC!$H$22-0.1+MIN(3*$EA$12,1.5)),0,1))</f>
        <v>#N/A</v>
      </c>
      <c r="EB59" s="86" t="b">
        <f t="shared" si="53"/>
        <v>0</v>
      </c>
      <c r="EC59" s="418">
        <f t="shared" si="54"/>
        <v>0.51</v>
      </c>
      <c r="ED59" s="86">
        <f t="shared" si="55"/>
        <v>0.51</v>
      </c>
      <c r="EE59" s="30" t="e">
        <f t="shared" ca="1" si="92"/>
        <v>#DIV/0!</v>
      </c>
      <c r="EF59" s="85" t="e">
        <f ca="1">IF(DL59&lt;=Hypothèses!$V$7,Hypothèses!$W$7,IF(DL59&lt;=Hypothèses!$V$8,Hypothèses!$W$8,IF(DL59&lt;=Hypothèses!$V$9,Hypothèses!$W$9,IF(DL59&lt;=Hypothèses!$V$10,Hypothèses!$W$10,IF(DL59&lt;=Hypothèses!$V$11,Hypothèses!$W$11,IF(DL59&lt;=Hypothèses!$V$12,Hypothèses!$W$12,IF(DL59&lt;=Hypothèses!$V$13,Hypothèses!$W$13,IF(DL59&lt;=Hypothèses!$V$14,Hypothèses!$W$14,IF(DL59&lt;=Hypothèses!$V$15,Hypothèses!$W$15,IF(DL59&lt;=Hypothèses!$V$16,Hypothèses!$W$16,IF(DL59&lt;=Hypothèses!$V$17,Hypothèses!$W$17,IF(DL59&lt;=Hypothèses!$V$18,Hypothèses!$W$18,""))))))))))))</f>
        <v>#DIV/0!</v>
      </c>
      <c r="EG59" s="87" t="e">
        <f t="shared" ca="1" si="122"/>
        <v>#DIV/0!</v>
      </c>
      <c r="EH59" s="88" t="e">
        <f ca="1">IF(DL59&lt;=Hypothèses!$V$7,Hypothèses!$X$7,IF(DL59&lt;=Hypothèses!$V$8,Hypothèses!$X$8,IF(DL59&lt;=Hypothèses!$V$9,Hypothèses!$X$9,IF(DL59&lt;=Hypothèses!$V$10,Hypothèses!$X$10,IF(DL59&lt;=Hypothèses!$V$11,Hypothèses!$X$11,IF(DL59&lt;=Hypothèses!$V$12,Hypothèses!$X$12,IF(DL59&lt;=Hypothèses!$V$13,Hypothèses!$X$13,IF(DL59&lt;=Hypothèses!$V$14,Hypothèses!$X$14,IF(DL59&lt;=Hypothèses!$V$15,Hypothèses!$X$15,IF(DL59&lt;=Hypothèses!$V$16,Hypothèses!$X$16,IF(DL59&lt;=Hypothèses!$U$17,Hypothèses!$W$17,IF(DL59&lt;=Hypothèses!$U$18,Hypothèses!$W$18,""))))))))))))</f>
        <v>#DIV/0!</v>
      </c>
      <c r="EI59" s="95" t="e">
        <f t="shared" ca="1" si="93"/>
        <v>#DIV/0!</v>
      </c>
      <c r="EJ59" s="101" t="e">
        <f t="shared" si="129"/>
        <v>#N/A</v>
      </c>
      <c r="EK59" s="91" t="e">
        <f t="shared" si="57"/>
        <v>#N/A</v>
      </c>
      <c r="EL59" s="30" t="e">
        <f t="shared" si="112"/>
        <v>#N/A</v>
      </c>
      <c r="EM59" s="30" t="e">
        <f t="shared" si="113"/>
        <v>#N/A</v>
      </c>
      <c r="EN59" s="31" t="e">
        <f>IF(OR(Hypothèses!$B$4=17,Hypothèses!$B$4=18,Hypothèses!$B$4=19,Hypothèses!$B$4=20),
IF($D59="Pressio.",
IF(OR($E59=3,$E59=1,$E59=4),EM59,EL59),
IF($D59="Pénétro.",
IF(OR($E59=3,$E59=1,$E59=4),EM59,EL59))),IF($D59="Pressio.",
IF($E59=3,EM59,EL59),
IF($D59="Pénétro.",
IF($E59=4,EM59,EL59))))</f>
        <v>#N/A</v>
      </c>
      <c r="EO59" s="31" t="e">
        <f>(IF(OR(Hypothèses!$B$4=17,Hypothèses!$B$4=18,Hypothèses!$B$4=19,Hypothèses!$B$4=20),
IF($D59="Pressio.",
IF(OR($E59=3,$E59=1,$E59=4),(PI()*EO$12^2)/4*(EK59*$W59*1000)/($H59*$B$5),(PI()*EO$12^2)/4*(EK59*$W59*1000)/($G59*$B$5)),
IF($D59="Pénétro.",
IF(OR($E59=4,$E59=1,$E59=5),(PI()*EO$12^2)/4*(EK59*$W59*1000)/($H59*$B$5),(PI()*EO$12^2)/4*(EK59*$W59*1000)/($G59*$B$5)))),
IF($D59="Pressio.",
IF($E59=3,(PI()*EO$12^2)/4*(EK59*$W59*1000)/($H59*$B$5),(PI()*EO$12^2)/4*(EK59*$W59*1000)/($G59*$B$5)),
IF($D59="Pénétro.",
IF($E59=4,(PI()*EO$12^2)/4*(EK59*$W59*1000)/($H59*$B$5),(PI()*EO$12^2)/4*(EK59*$W59*1000)/($G59*$B$5))))))/10</f>
        <v>#N/A</v>
      </c>
      <c r="EP59" s="102" t="e">
        <f>(VLOOKUP($B$3,'Coeff EC7'!$T$39:$X$59,2,0)*EN59+VLOOKUP($B$3,'Coeff EC7'!$T$65:$X$85,2,0)*Model0.1C!EO59)/1.1</f>
        <v>#N/A</v>
      </c>
      <c r="EQ59" s="102" t="e">
        <f>(VLOOKUP($B$3,'Coeff EC7'!$T$39:$X$59,3,0)*EN59+VLOOKUP($B$3,'Coeff EC7'!$T$65:$X$85,3,0)*Model0.1C!EO59)/0.9</f>
        <v>#N/A</v>
      </c>
      <c r="ER59" s="102" t="e">
        <f t="shared" si="94"/>
        <v>#N/A</v>
      </c>
      <c r="ES59" s="102" t="e">
        <f t="shared" si="95"/>
        <v>#N/A</v>
      </c>
      <c r="ET59" s="414" t="e">
        <f>IF(ET58=0,0,IF(AND(EP59&gt;charge_ELS_quasi,EQ59&gt;Charge_ELS_freq,ER59&gt;charge_ELU,ES59&gt;charge_ELA,$B59&gt;NDC!$H$22-0.1+MIN(3*$ET$12,1.5)),0,1))</f>
        <v>#N/A</v>
      </c>
      <c r="EU59" s="86" t="b">
        <f t="shared" si="60"/>
        <v>0</v>
      </c>
      <c r="EV59" s="86">
        <f t="shared" si="61"/>
        <v>0.61</v>
      </c>
      <c r="EW59" s="86">
        <f t="shared" si="62"/>
        <v>0.61</v>
      </c>
      <c r="EX59" s="30" t="e">
        <f t="shared" ca="1" si="96"/>
        <v>#DIV/0!</v>
      </c>
      <c r="EY59" s="85" t="e">
        <f ca="1">IF(EE59&lt;=Hypothèses!$V$7,Hypothèses!$W$7,IF(EE59&lt;=Hypothèses!$V$8,Hypothèses!$W$8,IF(EE59&lt;=Hypothèses!$V$9,Hypothèses!$W$9,IF(EE59&lt;=Hypothèses!$V$10,Hypothèses!$W$10,IF(EE59&lt;=Hypothèses!$V$11,Hypothèses!$W$11,IF(EE59&lt;=Hypothèses!$V$12,Hypothèses!$W$12,IF(EE59&lt;=Hypothèses!$V$13,Hypothèses!$W$13,IF(EE59&lt;=Hypothèses!$V$14,Hypothèses!$W$14,IF(EE59&lt;=Hypothèses!$V$15,Hypothèses!$W$15,IF(EE59&lt;=Hypothèses!$V$16,Hypothèses!$W$16,IF(EE59&lt;=Hypothèses!$V$17,Hypothèses!$W$17,IF(EE59&lt;=Hypothèses!$V$18,Hypothèses!$W$18,""))))))))))))</f>
        <v>#DIV/0!</v>
      </c>
      <c r="EZ59" s="87" t="e">
        <f t="shared" ca="1" si="123"/>
        <v>#DIV/0!</v>
      </c>
      <c r="FA59" s="88" t="e">
        <f ca="1">IF(EE59&lt;=Hypothèses!$V$7,Hypothèses!$X$7,IF(EE59&lt;=Hypothèses!$V$8,Hypothèses!$X$8,IF(EE59&lt;=Hypothèses!$V$9,Hypothèses!$X$9,IF(EE59&lt;=Hypothèses!$V$10,Hypothèses!$X$10,IF(EE59&lt;=Hypothèses!$V$11,Hypothèses!$X$11,IF(EE59&lt;=Hypothèses!$V$12,Hypothèses!$X$12,IF(EE59&lt;=Hypothèses!$V$13,Hypothèses!$X$13,IF(EE59&lt;=Hypothèses!$V$14,Hypothèses!$X$14,IF(EE59&lt;=Hypothèses!$V$15,Hypothèses!$X$15,IF(EE59&lt;=Hypothèses!$V$16,Hypothèses!$X$16,IF(EE59&lt;=Hypothèses!$U$17,Hypothèses!$W$17,IF(EE59&lt;=Hypothèses!$U$18,Hypothèses!$W$18,""))))))))))))</f>
        <v>#DIV/0!</v>
      </c>
      <c r="FB59" s="95" t="e">
        <f t="shared" ca="1" si="97"/>
        <v>#DIV/0!</v>
      </c>
      <c r="FC59" s="101" t="e">
        <f t="shared" si="130"/>
        <v>#N/A</v>
      </c>
      <c r="FD59" s="91" t="e">
        <f t="shared" si="64"/>
        <v>#N/A</v>
      </c>
      <c r="FE59" s="30" t="e">
        <f t="shared" si="114"/>
        <v>#N/A</v>
      </c>
      <c r="FF59" s="30" t="e">
        <f t="shared" si="115"/>
        <v>#N/A</v>
      </c>
      <c r="FG59" s="31" t="e">
        <f>IF(OR(Hypothèses!$B$4=17,Hypothèses!$B$4=18,Hypothèses!$B$4=19,Hypothèses!$B$4=20),
IF($D59="Pressio.",
IF(OR($E59=3,$E59=1,$E59=4),FF59,FE59),
IF($D59="Pénétro.",
IF(OR($E59=3,$E59=1,$E59=4),FF59,FE59))),IF($D59="Pressio.",
IF($E59=3,FF59,FE59),
IF($D59="Pénétro.",
IF($E59=4,FF59,FE59))))</f>
        <v>#N/A</v>
      </c>
      <c r="FH59" s="31" t="e">
        <f>(IF(OR(Hypothèses!$B$4=17,Hypothèses!$B$4=18,Hypothèses!$B$4=19,Hypothèses!$B$4=20),
IF($D59="Pressio.",
IF(OR($E59=3,$E59=1,$E59=4),(PI()*FH$12^2)/4*(FD59*$W59*1000)/($H59*$B$5),(PI()*FH$12^2)/4*(FD59*$W59*1000)/($G59*$B$5)),
IF($D59="Pénétro.",
IF(OR($E59=4,$E59=1,$E59=5),(PI()*FH$12^2)/4*(FD59*$W59*1000)/($H59*$B$5),(PI()*FH$12^2)/4*(FD59*$W59*1000)/($G59*$B$5)))),
IF($D59="Pressio.",
IF($E59=3,(PI()*FH$12^2)/4*(FD59*$W59*1000)/($H59*$B$5),(PI()*FH$12^2)/4*(FD59*$W59*1000)/($G59*$B$5)),
IF($D59="Pénétro.",
IF($E59=4,(PI()*FH$12^2)/4*(FD59*$W59*1000)/($H59*$B$5),(PI()*FH$12^2)/4*(FD59*$W59*1000)/($G59*$B$5))))))/10</f>
        <v>#N/A</v>
      </c>
      <c r="FI59" s="102" t="e">
        <f>(VLOOKUP($B$3,'Coeff EC7'!$T$39:$X$59,2,0)*FG59+VLOOKUP($B$3,'Coeff EC7'!$T$65:$X$85,2,0)*Model0.1C!FH59)/1.1</f>
        <v>#N/A</v>
      </c>
      <c r="FJ59" s="102" t="e">
        <f>(VLOOKUP($B$3,'Coeff EC7'!$T$39:$X$59,3,0)*FG59+VLOOKUP($B$3,'Coeff EC7'!$T$65:$X$85,3,0)*Model0.1C!FH59)/0.9</f>
        <v>#N/A</v>
      </c>
      <c r="FK59" s="102" t="e">
        <f t="shared" si="98"/>
        <v>#N/A</v>
      </c>
      <c r="FL59" s="102" t="e">
        <f t="shared" si="99"/>
        <v>#N/A</v>
      </c>
      <c r="FM59" s="414" t="e">
        <f>IF(FM58=0,0,IF(AND(FI59&gt;charge_ELS_quasi,FJ59&gt;Charge_ELS_freq,FK59&gt;charge_ELU,FL59&gt;charge_ELA,$B59&gt;NDC!$H$22-0.1+MIN(3*$FM$12,1.5)),0,1))</f>
        <v>#N/A</v>
      </c>
    </row>
    <row r="60" spans="1:169">
      <c r="A60" s="96">
        <f t="shared" si="67"/>
        <v>95.300000000000267</v>
      </c>
      <c r="B60" s="97">
        <v>4.7</v>
      </c>
      <c r="C60" s="81">
        <f>IF(B60&lt;=Hypothèses!$C$7,Hypothèses!$A$7,IF(B60&lt;=Hypothèses!$C$8,Hypothèses!$A$8,IF(B60&lt;=Hypothèses!$C$9,Hypothèses!$A$9,IF(B60&lt;=Hypothèses!$C$10,Hypothèses!$A$10,IF(B60&lt;=Hypothèses!$C$11,Hypothèses!$A$11,IF(B60&lt;=Hypothèses!$C$12,Hypothèses!$A$12,IF(B60&lt;=Hypothèses!$C$13,Hypothèses!$A$13,IF(B60&lt;=Hypothèses!$C$14,Hypothèses!$A$14,IF(B60&lt;=Hypothèses!$C$15,Hypothèses!$A$15,IF(B60&lt;=Hypothèses!$C$16,Hypothèses!$A$16,IF(B60&lt;=Hypothèses!$C$17,Hypothèses!$A$17,IF(B60&lt;=Hypothèses!$C$18,Hypothèses!$A$18,C59))))))))))))</f>
        <v>11</v>
      </c>
      <c r="D60" s="82" t="str">
        <f>IF(B60&lt;=Hypothèses!$C$7,Hypothèses!$R$7,IF(B60&lt;=Hypothèses!$C$8,Hypothèses!$R$8,IF(B60&lt;=Hypothèses!$C$9,Hypothèses!$R$9,IF(B60&lt;=Hypothèses!$C$10,Hypothèses!$R$10,IF(B60&lt;=Hypothèses!$C$11,Hypothèses!$R$11,IF(B60&lt;=Hypothèses!$C$12,Hypothèses!$R$12,IF(B60&lt;=Hypothèses!$C$13,Hypothèses!$R$13,IF(B60&lt;=Hypothèses!$C$14,Hypothèses!$R$14,IF(B60&lt;=Hypothèses!$C$15,Hypothèses!$R$15,IF(B60&lt;=Hypothèses!$C$16,Hypothèses!$R$16,IF(B60&lt;=Hypothèses!$C$17,Hypothèses!$R$17,IF(B60&lt;=Hypothèses!$C$18,Hypothèses!$R$18,D59))))))))))))</f>
        <v>Pressio.</v>
      </c>
      <c r="E60" s="82" t="e">
        <f>IF(B60&lt;=Hypothèses!$C$7,Hypothèses!$G$7,IF(B60&lt;=Hypothèses!$C$8,Hypothèses!$G$8,IF(B60&lt;=Hypothèses!$C$9,Hypothèses!$G$9,IF(B60&lt;=Hypothèses!$C$10,Hypothèses!$G$10,IF(B60&lt;=Hypothèses!$C$11,Hypothèses!$G$11,IF(B60&lt;=Hypothèses!$C$12,Hypothèses!$G$12,IF(B60&lt;=Hypothèses!$C$13,Hypothèses!$G$13,IF(B60&lt;=Hypothèses!$C$14,Hypothèses!$G$14,IF(B60&lt;=Hypothèses!$C$15,Hypothèses!$G$15,IF(B60&lt;=Hypothèses!$C$16,Hypothèses!$G$16,IF(B60&lt;=Hypothèses!$C$17,Hypothèses!$G$17,IF(B60&lt;=Hypothèses!$C$18,Hypothèses!$G$18,E59))))))))))))</f>
        <v>#N/A</v>
      </c>
      <c r="F60" s="82" t="str">
        <f>IF(B60&lt;=Hypothèses!$C$7,Hypothèses!$F$7,IF(B60&lt;=Hypothèses!$C$8,Hypothèses!$F$8,IF(B60&lt;=Hypothèses!$C$9,Hypothèses!$F$9,IF(B60&lt;=Hypothèses!$C$10,Hypothèses!$F$10,IF(B60&lt;=Hypothèses!$C$11,Hypothèses!$F$11,IF(B60&lt;=Hypothèses!$C$12,Hypothèses!$F$12,IF(B60&lt;=Hypothèses!$C$13,Hypothèses!$F$13,IF(B60&lt;=Hypothèses!$C$14,Hypothèses!$F$14,IF(B60&lt;=Hypothèses!$C$15,Hypothèses!$F$15,IF(B60&lt;=Hypothèses!$C$16,Hypothèses!$F$16,IF(B60&lt;=Hypothèses!$C$17,Hypothèses!$F$17,IF(B60&lt;=Hypothèses!$C$18,Hypothèses!$F$18,F59))))))))))))</f>
        <v/>
      </c>
      <c r="G60" s="91">
        <f t="array" ref="G60">INDEX('Coeff EC7'!$U$7:$X$27,
MATCH(Model0.1C!$B$3,'Coeff EC7'!$T$7:$T$27,0),
MATCH(Model0.1C!$D60&amp;Model0.1C!$B$4,
'Coeff EC7'!$U$6:$X$6&amp;
'Coeff EC7'!$U$5:$X$5,0))</f>
        <v>1.1499999999999999</v>
      </c>
      <c r="H60" s="91">
        <f t="array" ref="H60">INDEX('Coeff EC7'!$Y$7:$AB$27,
MATCH(Model0.1C!$B$3,'Coeff EC7'!$T$7:$T$27,0),
MATCH(Model0.1C!$D60&amp;Model0.1C!$B$4,
'Coeff EC7'!$Y$6:$AB$6&amp;
'Coeff EC7'!$Y$5:$AB$5,0))</f>
        <v>1.4</v>
      </c>
      <c r="I60" s="83" t="e">
        <f>IF(B60&lt;=Hypothèses!$C$7,Hypothèses!$P$7,IF(B60&lt;=Hypothèses!$C$8,Hypothèses!$P$8,IF(B60&lt;=Hypothèses!$C$9,Hypothèses!$P$9,IF(B60&lt;=Hypothèses!$C$10,Hypothèses!$P$10,IF(B60&lt;=Hypothèses!$C$11,Hypothèses!$P$11,IF(B60&lt;=Hypothèses!$C$12,Hypothèses!$P$12,IF(B60&lt;=Hypothèses!$C$13,Hypothèses!$P$13,IF(B60&lt;=Hypothèses!$C$14,Hypothèses!$P$14,IF(B60&lt;=Hypothèses!$C$15,Hypothèses!$P$15,IF(B60&lt;=Hypothèses!$C$16,Hypothèses!$P$16,IF(B60&lt;=Hypothèses!$C$17,Hypothèses!$P$17,IF(B60&lt;=Hypothèses!$C$18,Hypothèses!$P$18,I59))))))))))))</f>
        <v>#N/A</v>
      </c>
      <c r="J60" s="91" t="e">
        <f t="array" ref="J60">INDEX('Coeff EC7'!$D$33:$Q$33,1,MATCH(D60&amp;E60,'Coeff EC7'!$D$31:$Q$31&amp;'Coeff EC7'!$D$32:$Q$32,0))</f>
        <v>#N/A</v>
      </c>
      <c r="K60" s="91" t="e">
        <f t="array" ref="K60">INDEX('Coeff EC7'!$D$34:$Q$34,1,MATCH(D60&amp;E60,'Coeff EC7'!$D$31:$Q$31&amp;'Coeff EC7'!$D$32:$Q$32,0))</f>
        <v>#N/A</v>
      </c>
      <c r="L60" s="91" t="e">
        <f t="array" ref="L60">INDEX('Coeff EC7'!$D$35:$Q$35,1,MATCH(D60&amp;E60,'Coeff EC7'!$D$31:$Q$31&amp;'Coeff EC7'!$D$32:$Q$32,0))</f>
        <v>#N/A</v>
      </c>
      <c r="M60" s="98" t="e">
        <f t="shared" si="8"/>
        <v>#N/A</v>
      </c>
      <c r="N60" s="99" t="e">
        <f t="array" ref="N60">INDEX('Coeff EC7'!$D$7:$Q$27,MATCH($B$3,'Coeff EC7'!$C$7:$C$27,0),MATCH(D60&amp;E60,'Coeff EC7'!$D$5:$Q$5&amp;'Coeff EC7'!$D$6:$Q$6,0))</f>
        <v>#N/A</v>
      </c>
      <c r="O60" s="99" t="e">
        <f t="array" ref="O60">INDEX('Coeff EC7'!$D$41:$Q$61,MATCH($B$3,'Coeff EC7'!$C$41:$C$61,0),MATCH(D60&amp;E60,'Coeff EC7'!$D$39:$Q$39&amp;'Coeff EC7'!$D$40:$Q$40,0))</f>
        <v>#N/A</v>
      </c>
      <c r="P60" s="30" t="e">
        <f t="shared" si="68"/>
        <v>#N/A</v>
      </c>
      <c r="Q60" s="100" t="e">
        <f t="shared" si="10"/>
        <v>#N/A</v>
      </c>
      <c r="R60" s="86" t="b">
        <f t="shared" si="11"/>
        <v>0</v>
      </c>
      <c r="S60" s="86">
        <f t="shared" si="9"/>
        <v>0.5</v>
      </c>
      <c r="T60" s="86">
        <f t="shared" si="12"/>
        <v>0.5</v>
      </c>
      <c r="U60" s="30" t="e">
        <f t="shared" ca="1" si="69"/>
        <v>#DIV/0!</v>
      </c>
      <c r="V60" s="85" t="str">
        <f>IF(B60&lt;=Hypothèses!$V$7,Hypothèses!$W$7,IF(B60&lt;=Hypothèses!$V$8,Hypothèses!$W$8,IF(B60&lt;=Hypothèses!$V$9,Hypothèses!$W$9,IF(B60&lt;=Hypothèses!$V$10,Hypothèses!$W$10,IF(B60&lt;=Hypothèses!$V$11,Hypothèses!$W$11,IF(B60&lt;=Hypothèses!$V$12,Hypothèses!$W$12,IF(B60&lt;=Hypothèses!$V$13,Hypothèses!$W$13,IF(B60&lt;=Hypothèses!$V$14,Hypothèses!$W$14,IF(B60&lt;=Hypothèses!$V$15,Hypothèses!$W$15,IF(B60&lt;=Hypothèses!$V$16,Hypothèses!$W$16,IF(B60&lt;=Hypothèses!$V$17,Hypothèses!$W$17,IF(B60&lt;=Hypothèses!$V$18,Hypothèses!$W$18,""))))))))))))</f>
        <v/>
      </c>
      <c r="W60" s="87" t="e">
        <f t="shared" ca="1" si="116"/>
        <v>#DIV/0!</v>
      </c>
      <c r="X60" s="88" t="str">
        <f>IF(B60&lt;=Hypothèses!$V$7,Hypothèses!$X$7,IF(B60&lt;=Hypothèses!$V$8,Hypothèses!$X$8,IF(B60&lt;=Hypothèses!$V$9,Hypothèses!$X$9,IF(B60&lt;=Hypothèses!$V$10,Hypothèses!$X$10,IF(B60&lt;=Hypothèses!$V$11,Hypothèses!$X$11,IF(B60&lt;=Hypothèses!$V$12,Hypothèses!$X$12,IF(B60&lt;=Hypothèses!$V$13,Hypothèses!$X$13,IF(B60&lt;=Hypothèses!$V$14,Hypothèses!$X$14,IF(B60&lt;=Hypothèses!$V$15,Hypothèses!$X$15,IF(B60&lt;=Hypothèses!$V$16,Hypothèses!$X$16,IF(B60&lt;=Hypothèses!$U$17,Hypothèses!$W$17,IF(B60&lt;=Hypothèses!$U$18,Hypothèses!$W$18,""))))))))))))</f>
        <v/>
      </c>
      <c r="Y60" s="95" t="e">
        <f t="shared" ca="1" si="13"/>
        <v>#DIV/0!</v>
      </c>
      <c r="Z60" s="101" t="e">
        <f t="shared" si="14"/>
        <v>#N/A</v>
      </c>
      <c r="AA60" s="91" t="e">
        <f t="shared" si="15"/>
        <v>#N/A</v>
      </c>
      <c r="AB60" s="30" t="e">
        <f t="shared" si="100"/>
        <v>#N/A</v>
      </c>
      <c r="AC60" s="30" t="e">
        <f t="shared" si="101"/>
        <v>#N/A</v>
      </c>
      <c r="AD60" s="31" t="e">
        <f>IF(OR(Hypothèses!$B$4=17,Hypothèses!$B$4=18,Hypothèses!$B$4=19,Hypothèses!$B$4=20),
IF($D60="Pressio.",
IF(OR($E60=3,$E60=1,$E60=4),AC60,AB60),
IF($D60="Pénétro.",
IF(OR($E60=3,$E60=1,$E60=4),AC60,AB60))),IF($D60="Pressio.",
IF($E60=3,AC60,AB60),
IF($D60="Pénétro.",
IF($E60=4,AC60,AB60))))</f>
        <v>#N/A</v>
      </c>
      <c r="AE60" s="31" t="e">
        <f>(IF(OR(Hypothèses!$B$4=17,Hypothèses!$B$4=18,Hypothèses!$B$4=19,Hypothèses!$B$4=20),
IF($D60="Pressio.",
IF(OR($E60=3,$E60=1,$E60=4),(PI()*AE$12^2)/4*(AA60*$W60*1000)/($H60*$B$5),(PI()*AE$12^2)/4*(AA60*$W60*1000)/($G60*$B$5)),
IF($D60="Pénétro.",
IF(OR($E60=4,$E60=1,$E60=5),(PI()*AE$12^2)/4*(AA60*$W60*1000)/($H60*$B$5),(PI()*AE$12^2)/4*(AA60*$W60*1000)/($G60*$B$5)))),
IF($D60="Pressio.",
IF($E60=3,(PI()*AE$12^2)/4*(AA60*$W60*1000)/($H60*$B$5),(PI()*AE$12^2)/4*(AA60*$W60*1000)/($G60*$B$5)),
IF($D60="Pénétro.",
IF($E60=4,(PI()*AE$12^2)/4*(AA60*$W60*1000)/($H60*$B$5),(PI()*AE$12^2)/4*(AA60*$W60*1000)/($G60*$B$5))))))/10</f>
        <v>#N/A</v>
      </c>
      <c r="AF60" s="102" t="e">
        <f>(VLOOKUP($B$3,'Coeff EC7'!$T$39:$X$59,2,0)*AD60+VLOOKUP($B$3,'Coeff EC7'!$T$65:$X$85,2,0)*Model0.1C!AE60)/1.1</f>
        <v>#N/A</v>
      </c>
      <c r="AG60" s="102" t="e">
        <f>(VLOOKUP($B$3,'Coeff EC7'!$T$39:$X$59,3,0)*AD60+VLOOKUP($B$3,'Coeff EC7'!$T$65:$X$85,3,0)*Model0.1C!AE60)/0.9</f>
        <v>#N/A</v>
      </c>
      <c r="AH60" s="102" t="e">
        <f t="shared" si="18"/>
        <v>#N/A</v>
      </c>
      <c r="AI60" s="102" t="e">
        <f t="shared" si="19"/>
        <v>#N/A</v>
      </c>
      <c r="AJ60" s="414" t="e">
        <f>IF(AJ59=0,0,IF(AND(AF60&gt;charge_ELS_quasi,AG60&gt;Charge_ELS_freq,AH60&gt;charge_ELU,AI60&gt;charge_ELA,$B60&gt;NDC!$H$22-0.1+MIN(3*$AJ$12,1.5)),0,1))</f>
        <v>#N/A</v>
      </c>
      <c r="AK60" s="86" t="b">
        <f t="shared" si="20"/>
        <v>0</v>
      </c>
      <c r="AL60" s="86">
        <f t="shared" si="70"/>
        <v>0.5</v>
      </c>
      <c r="AM60" s="86">
        <f t="shared" si="21"/>
        <v>0.5</v>
      </c>
      <c r="AN60" s="30" t="e">
        <f t="shared" ca="1" si="71"/>
        <v>#DIV/0!</v>
      </c>
      <c r="AO60" s="85" t="e">
        <f ca="1">IF(U60&lt;=Hypothèses!$V$7,Hypothèses!$W$7,IF(U60&lt;=Hypothèses!$V$8,Hypothèses!$W$8,IF(U60&lt;=Hypothèses!$V$9,Hypothèses!$W$9,IF(U60&lt;=Hypothèses!$V$10,Hypothèses!$W$10,IF(U60&lt;=Hypothèses!$V$11,Hypothèses!$W$11,IF(U60&lt;=Hypothèses!$V$12,Hypothèses!$W$12,IF(U60&lt;=Hypothèses!$V$13,Hypothèses!$W$13,IF(U60&lt;=Hypothèses!$V$14,Hypothèses!$W$14,IF(U60&lt;=Hypothèses!$V$15,Hypothèses!$W$15,IF(U60&lt;=Hypothèses!$V$16,Hypothèses!$W$16,IF(U60&lt;=Hypothèses!$V$17,Hypothèses!$W$17,IF(U60&lt;=Hypothèses!$V$18,Hypothèses!$W$18,""))))))))))))</f>
        <v>#DIV/0!</v>
      </c>
      <c r="AP60" s="87" t="e">
        <f t="shared" ca="1" si="117"/>
        <v>#DIV/0!</v>
      </c>
      <c r="AQ60" s="88" t="e">
        <f ca="1">IF(U60&lt;=Hypothèses!$V$7,Hypothèses!$X$7,IF(U60&lt;=Hypothèses!$V$8,Hypothèses!$X$8,IF(U60&lt;=Hypothèses!$V$9,Hypothèses!$X$9,IF(U60&lt;=Hypothèses!$V$10,Hypothèses!$X$10,IF(U60&lt;=Hypothèses!$V$11,Hypothèses!$X$11,IF(U60&lt;=Hypothèses!$V$12,Hypothèses!$X$12,IF(U60&lt;=Hypothèses!$V$13,Hypothèses!$X$13,IF(U60&lt;=Hypothèses!$V$14,Hypothèses!$X$14,IF(U60&lt;=Hypothèses!$V$15,Hypothèses!$X$15,IF(U60&lt;=Hypothèses!$V$16,Hypothèses!$X$16,IF(U60&lt;=Hypothèses!$U$17,Hypothèses!$W$17,IF(U60&lt;=Hypothèses!$U$18,Hypothèses!$W$18,""))))))))))))</f>
        <v>#DIV/0!</v>
      </c>
      <c r="AR60" s="95" t="e">
        <f t="shared" ca="1" si="72"/>
        <v>#DIV/0!</v>
      </c>
      <c r="AS60" s="101" t="e">
        <f t="shared" si="124"/>
        <v>#N/A</v>
      </c>
      <c r="AT60" s="91" t="e">
        <f t="shared" si="23"/>
        <v>#N/A</v>
      </c>
      <c r="AU60" s="30" t="e">
        <f t="shared" si="102"/>
        <v>#N/A</v>
      </c>
      <c r="AV60" s="30" t="e">
        <f t="shared" si="103"/>
        <v>#N/A</v>
      </c>
      <c r="AW60" s="31" t="e">
        <f>IF(OR(Hypothèses!$B$4=17,Hypothèses!$B$4=18,Hypothèses!$B$4=19,Hypothèses!$B$4=20),
IF($D60="Pressio.",
IF(OR($E60=3,$E60=1,$E60=4),AV60,AU60),
IF($D60="Pénétro.",
IF(OR($E60=3,$E60=1,$E60=4),AV60,AU60))),IF($D60="Pressio.",
IF($E60=3,AV60,AU60),
IF($D60="Pénétro.",
IF($E60=4,AV60,AU60))))</f>
        <v>#N/A</v>
      </c>
      <c r="AX60" s="31" t="e">
        <f>(IF(OR(Hypothèses!$B$4=17,Hypothèses!$B$4=18,Hypothèses!$B$4=19,Hypothèses!$B$4=20),
IF($D60="Pressio.",
IF(OR($E60=3,$E60=1,$E60=4),(PI()*AX$12^2)/4*(AT60*$W60*1000)/($H60*$B$5),(PI()*AX$12^2)/4*(AT60*$W60*1000)/($G60*$B$5)),
IF($D60="Pénétro.",
IF(OR($E60=4,$E60=1,$E60=5),(PI()*AX$12^2)/4*(AT60*$W60*1000)/($H60*$B$5),(PI()*AX$12^2)/4*(AT60*$W60*1000)/($G60*$B$5)))),
IF($D60="Pressio.",
IF($E60=3,(PI()*AX$12^2)/4*(AT60*$W60*1000)/($H60*$B$5),(PI()*AX$12^2)/4*(AT60*$W60*1000)/($G60*$B$5)),
IF($D60="Pénétro.",
IF($E60=4,(PI()*AX$12^2)/4*(AT60*$W60*1000)/($H60*$B$5),(PI()*AX$12^2)/4*(AT60*$W60*1000)/($G60*$B$5))))))/10</f>
        <v>#N/A</v>
      </c>
      <c r="AY60" s="102" t="e">
        <f>(VLOOKUP($B$3,'Coeff EC7'!$T$39:$X$59,2,0)*AW60+VLOOKUP($B$3,'Coeff EC7'!$T$65:$X$85,2,0)*Model0.1C!AX60)/1.1</f>
        <v>#N/A</v>
      </c>
      <c r="AZ60" s="102" t="e">
        <f>(VLOOKUP($B$3,'Coeff EC7'!$T$39:$X$59,3,0)*AW60+VLOOKUP($B$3,'Coeff EC7'!$T$65:$X$85,3,0)*Model0.1C!AX60)/0.9</f>
        <v>#N/A</v>
      </c>
      <c r="BA60" s="102" t="e">
        <f t="shared" si="73"/>
        <v>#N/A</v>
      </c>
      <c r="BB60" s="102" t="e">
        <f t="shared" si="74"/>
        <v>#N/A</v>
      </c>
      <c r="BC60" s="414" t="e">
        <f>IF(BC59=0,0,IF(AND(AY60&gt;charge_ELS_quasi,AZ60&gt;Charge_ELS_freq,BA60&gt;charge_ELU,BB60&gt;charge_ELA,$B60&gt;NDC!$H$22-0.1+MIN(3*$BC$12,1.5)),0,1))</f>
        <v>#N/A</v>
      </c>
      <c r="BD60" s="86" t="b">
        <f t="shared" si="26"/>
        <v>0</v>
      </c>
      <c r="BE60" s="86">
        <f t="shared" si="75"/>
        <v>0.5</v>
      </c>
      <c r="BF60" s="86">
        <f t="shared" si="27"/>
        <v>0.5</v>
      </c>
      <c r="BG60" s="30" t="e">
        <f t="shared" ca="1" si="76"/>
        <v>#DIV/0!</v>
      </c>
      <c r="BH60" s="85" t="e">
        <f ca="1">IF(AN60&lt;=Hypothèses!$V$7,Hypothèses!$W$7,IF(AN60&lt;=Hypothèses!$V$8,Hypothèses!$W$8,IF(AN60&lt;=Hypothèses!$V$9,Hypothèses!$W$9,IF(AN60&lt;=Hypothèses!$V$10,Hypothèses!$W$10,IF(AN60&lt;=Hypothèses!$V$11,Hypothèses!$W$11,IF(AN60&lt;=Hypothèses!$V$12,Hypothèses!$W$12,IF(AN60&lt;=Hypothèses!$V$13,Hypothèses!$W$13,IF(AN60&lt;=Hypothèses!$V$14,Hypothèses!$W$14,IF(AN60&lt;=Hypothèses!$V$15,Hypothèses!$W$15,IF(AN60&lt;=Hypothèses!$V$16,Hypothèses!$W$16,IF(AN60&lt;=Hypothèses!$V$17,Hypothèses!$W$17,IF(AN60&lt;=Hypothèses!$V$18,Hypothèses!$W$18,""))))))))))))</f>
        <v>#DIV/0!</v>
      </c>
      <c r="BI60" s="87" t="e">
        <f t="shared" ca="1" si="118"/>
        <v>#DIV/0!</v>
      </c>
      <c r="BJ60" s="88" t="e">
        <f ca="1">IF(AN60&lt;=Hypothèses!$V$7,Hypothèses!$X$7,IF(AN60&lt;=Hypothèses!$V$8,Hypothèses!$X$8,IF(AN60&lt;=Hypothèses!$V$9,Hypothèses!$X$9,IF(AN60&lt;=Hypothèses!$V$10,Hypothèses!$X$10,IF(AN60&lt;=Hypothèses!$V$11,Hypothèses!$X$11,IF(AN60&lt;=Hypothèses!$V$12,Hypothèses!$X$12,IF(AN60&lt;=Hypothèses!$V$13,Hypothèses!$X$13,IF(AN60&lt;=Hypothèses!$V$14,Hypothèses!$X$14,IF(AN60&lt;=Hypothèses!$V$15,Hypothèses!$X$15,IF(AN60&lt;=Hypothèses!$V$16,Hypothèses!$X$16,IF(AN60&lt;=Hypothèses!$U$17,Hypothèses!$W$17,IF(AN60&lt;=Hypothèses!$U$18,Hypothèses!$W$18,""))))))))))))</f>
        <v>#DIV/0!</v>
      </c>
      <c r="BK60" s="95" t="e">
        <f t="shared" ca="1" si="77"/>
        <v>#DIV/0!</v>
      </c>
      <c r="BL60" s="101" t="e">
        <f t="shared" si="125"/>
        <v>#N/A</v>
      </c>
      <c r="BM60" s="91" t="e">
        <f t="shared" si="29"/>
        <v>#N/A</v>
      </c>
      <c r="BN60" s="30" t="e">
        <f t="shared" si="104"/>
        <v>#N/A</v>
      </c>
      <c r="BO60" s="30" t="e">
        <f t="shared" si="105"/>
        <v>#N/A</v>
      </c>
      <c r="BP60" s="31" t="e">
        <f>IF(OR(Hypothèses!$B$4=17,Hypothèses!$B$4=18,Hypothèses!$B$4=19,Hypothèses!$B$4=20),
IF($D60="Pressio.",
IF(OR($E60=3,$E60=1,$E60=4),BO60,BN60),
IF($D60="Pénétro.",
IF(OR($E60=3,$E60=1,$E60=4),BO60,BN60))),IF($D60="Pressio.",
IF($E60=3,BO60,BN60),
IF($D60="Pénétro.",
IF($E60=4,BO60,BN60))))</f>
        <v>#N/A</v>
      </c>
      <c r="BQ60" s="31" t="e">
        <f>(IF(OR(Hypothèses!$B$4=17,Hypothèses!$B$4=18,Hypothèses!$B$4=19,Hypothèses!$B$4=20),
IF($D60="Pressio.",
IF(OR($E60=3,$E60=1,$E60=4),(PI()*BQ$12^2)/4*(BM60*$W60*1000)/($H60*$B$5),(PI()*BQ$12^2)/4*(BM60*$W60*1000)/($G60*$B$5)),
IF($D60="Pénétro.",
IF(OR($E60=4,$E60=1,$E60=5),(PI()*BQ$12^2)/4*(BM60*$W60*1000)/($H60*$B$5),(PI()*BQ$12^2)/4*(BM60*$W60*1000)/($G60*$B$5)))),
IF($D60="Pressio.",
IF($E60=3,(PI()*BQ$12^2)/4*(BM60*$W60*1000)/($H60*$B$5),(PI()*BQ$12^2)/4*(BM60*$W60*1000)/($G60*$B$5)),
IF($D60="Pénétro.",
IF($E60=4,(PI()*BQ$12^2)/4*(BM60*$W60*1000)/($H60*$B$5),(PI()*BQ$12^2)/4*(BM60*$W60*1000)/($G60*$B$5))))))/10</f>
        <v>#N/A</v>
      </c>
      <c r="BR60" s="102" t="e">
        <f>(VLOOKUP($B$3,'Coeff EC7'!$T$39:$X$59,2,0)*BP60+VLOOKUP($B$3,'Coeff EC7'!$T$65:$X$85,2,0)*Model0.1C!BQ60)/1.1</f>
        <v>#N/A</v>
      </c>
      <c r="BS60" s="102" t="e">
        <f>(VLOOKUP($B$3,'Coeff EC7'!$T$39:$X$59,3,0)*BP60+VLOOKUP($B$3,'Coeff EC7'!$T$65:$X$85,3,0)*Model0.1C!BQ60)/0.9</f>
        <v>#N/A</v>
      </c>
      <c r="BT60" s="102" t="e">
        <f t="shared" si="78"/>
        <v>#N/A</v>
      </c>
      <c r="BU60" s="102" t="e">
        <f t="shared" si="79"/>
        <v>#N/A</v>
      </c>
      <c r="BV60" s="414" t="e">
        <f>IF(BV59=0,0,IF(AND(BR60&gt;charge_ELS_quasi,BS60&gt;Charge_ELS_freq,BT60&gt;charge_ELU,BU60&gt;charge_ELA,$B60&gt;NDC!$H$22-0.1+MIN(3*$BV$12,1.5)),0,1))</f>
        <v>#N/A</v>
      </c>
      <c r="BW60" s="86" t="b">
        <f t="shared" si="32"/>
        <v>0</v>
      </c>
      <c r="BX60" s="86">
        <f t="shared" si="33"/>
        <v>0.5</v>
      </c>
      <c r="BY60" s="86">
        <f t="shared" si="34"/>
        <v>0.5</v>
      </c>
      <c r="BZ60" s="30" t="e">
        <f t="shared" ca="1" si="80"/>
        <v>#DIV/0!</v>
      </c>
      <c r="CA60" s="85" t="e">
        <f ca="1">IF(BG60&lt;=Hypothèses!$V$7,Hypothèses!$W$7,IF(BG60&lt;=Hypothèses!$V$8,Hypothèses!$W$8,IF(BG60&lt;=Hypothèses!$V$9,Hypothèses!$W$9,IF(BG60&lt;=Hypothèses!$V$10,Hypothèses!$W$10,IF(BG60&lt;=Hypothèses!$V$11,Hypothèses!$W$11,IF(BG60&lt;=Hypothèses!$V$12,Hypothèses!$W$12,IF(BG60&lt;=Hypothèses!$V$13,Hypothèses!$W$13,IF(BG60&lt;=Hypothèses!$V$14,Hypothèses!$W$14,IF(BG60&lt;=Hypothèses!$V$15,Hypothèses!$W$15,IF(BG60&lt;=Hypothèses!$V$16,Hypothèses!$W$16,IF(BG60&lt;=Hypothèses!$V$17,Hypothèses!$W$17,IF(BG60&lt;=Hypothèses!$V$18,Hypothèses!$W$18,""))))))))))))</f>
        <v>#DIV/0!</v>
      </c>
      <c r="CB60" s="87" t="e">
        <f t="shared" ca="1" si="119"/>
        <v>#DIV/0!</v>
      </c>
      <c r="CC60" s="88" t="e">
        <f ca="1">IF(BG60&lt;=Hypothèses!$V$7,Hypothèses!$X$7,IF(BG60&lt;=Hypothèses!$V$8,Hypothèses!$X$8,IF(BG60&lt;=Hypothèses!$V$9,Hypothèses!$X$9,IF(BG60&lt;=Hypothèses!$V$10,Hypothèses!$X$10,IF(BG60&lt;=Hypothèses!$V$11,Hypothèses!$X$11,IF(BG60&lt;=Hypothèses!$V$12,Hypothèses!$X$12,IF(BG60&lt;=Hypothèses!$V$13,Hypothèses!$X$13,IF(BG60&lt;=Hypothèses!$V$14,Hypothèses!$X$14,IF(BG60&lt;=Hypothèses!$V$15,Hypothèses!$X$15,IF(BG60&lt;=Hypothèses!$V$16,Hypothèses!$X$16,IF(BG60&lt;=Hypothèses!$U$17,Hypothèses!$W$17,IF(BG60&lt;=Hypothèses!$U$18,Hypothèses!$W$18,""))))))))))))</f>
        <v>#DIV/0!</v>
      </c>
      <c r="CD60" s="95" t="e">
        <f t="shared" ca="1" si="81"/>
        <v>#DIV/0!</v>
      </c>
      <c r="CE60" s="101" t="e">
        <f t="shared" si="126"/>
        <v>#N/A</v>
      </c>
      <c r="CF60" s="91" t="e">
        <f t="shared" si="36"/>
        <v>#N/A</v>
      </c>
      <c r="CG60" s="30" t="e">
        <f t="shared" si="106"/>
        <v>#N/A</v>
      </c>
      <c r="CH60" s="30" t="e">
        <f t="shared" si="107"/>
        <v>#N/A</v>
      </c>
      <c r="CI60" s="31" t="e">
        <f>IF(OR(Hypothèses!$B$4=17,Hypothèses!$B$4=18,Hypothèses!$B$4=19,Hypothèses!$B$4=20),
IF($D60="Pressio.",
IF(OR($E60=3,$E60=1,$E60=4),CH60,CG60),
IF($D60="Pénétro.",
IF(OR($E60=3,$E60=1,$E60=4),CH60,CG60))),IF($D60="Pressio.",
IF($E60=3,CH60,CG60),
IF($D60="Pénétro.",
IF($E60=4,CH60,CG60))))</f>
        <v>#N/A</v>
      </c>
      <c r="CJ60" s="31" t="e">
        <f>(IF(OR(Hypothèses!$B$4=17,Hypothèses!$B$4=18,Hypothèses!$B$4=19,Hypothèses!$B$4=20),
IF($D60="Pressio.",
IF(OR($E60=3,$E60=1,$E60=4),(PI()*CJ$12^2)/4*(CF60*$W60*1000)/($H60*$B$5),(PI()*CJ$12^2)/4*(CF60*$W60*1000)/($G60*$B$5)),
IF($D60="Pénétro.",
IF(OR($E60=4,$E60=1,$E60=5),(PI()*CJ$12^2)/4*(CF60*$W60*1000)/($H60*$B$5),(PI()*CJ$12^2)/4*(CF60*$W60*1000)/($G60*$B$5)))),
IF($D60="Pressio.",
IF($E60=3,(PI()*CJ$12^2)/4*(CF60*$W60*1000)/($H60*$B$5),(PI()*CJ$12^2)/4*(CF60*$W60*1000)/($G60*$B$5)),
IF($D60="Pénétro.",
IF($E60=4,(PI()*CJ$12^2)/4*(CF60*$W60*1000)/($H60*$B$5),(PI()*CJ$12^2)/4*(CF60*$W60*1000)/($G60*$B$5))))))/10</f>
        <v>#N/A</v>
      </c>
      <c r="CK60" s="102" t="e">
        <f>(VLOOKUP($B$3,'Coeff EC7'!$T$39:$X$59,2,0)*CI60+VLOOKUP($B$3,'Coeff EC7'!$T$65:$X$85,2,0)*Model0.1C!CJ60)/1.1</f>
        <v>#N/A</v>
      </c>
      <c r="CL60" s="102" t="e">
        <f>(VLOOKUP($B$3,'Coeff EC7'!$T$39:$X$59,3,0)*CI60+VLOOKUP($B$3,'Coeff EC7'!$T$65:$X$85,3,0)*Model0.1C!CJ60)/0.9</f>
        <v>#N/A</v>
      </c>
      <c r="CM60" s="102" t="e">
        <f t="shared" si="82"/>
        <v>#N/A</v>
      </c>
      <c r="CN60" s="102" t="e">
        <f t="shared" si="83"/>
        <v>#N/A</v>
      </c>
      <c r="CO60" s="414" t="e">
        <f>IF(CO59=0,0,IF(AND(CK60&gt;charge_ELS_quasi,CL60&gt;Charge_ELS_freq,CM60&gt;charge_ELU,CN60&gt;charge_ELA,$B60&gt;NDC!$H$22-0.1+MIN(3*$CO$12,1.5)),0,1))</f>
        <v>#N/A</v>
      </c>
      <c r="CP60" s="86" t="b">
        <f t="shared" si="39"/>
        <v>0</v>
      </c>
      <c r="CQ60" s="86">
        <f t="shared" si="40"/>
        <v>0.5</v>
      </c>
      <c r="CR60" s="86">
        <f t="shared" si="41"/>
        <v>0.5</v>
      </c>
      <c r="CS60" s="30" t="e">
        <f t="shared" ca="1" si="84"/>
        <v>#DIV/0!</v>
      </c>
      <c r="CT60" s="85" t="e">
        <f ca="1">IF(BZ60&lt;=Hypothèses!$V$7,Hypothèses!$W$7,IF(BZ60&lt;=Hypothèses!$V$8,Hypothèses!$W$8,IF(BZ60&lt;=Hypothèses!$V$9,Hypothèses!$W$9,IF(BZ60&lt;=Hypothèses!$V$10,Hypothèses!$W$10,IF(BZ60&lt;=Hypothèses!$V$11,Hypothèses!$W$11,IF(BZ60&lt;=Hypothèses!$V$12,Hypothèses!$W$12,IF(BZ60&lt;=Hypothèses!$V$13,Hypothèses!$W$13,IF(BZ60&lt;=Hypothèses!$V$14,Hypothèses!$W$14,IF(BZ60&lt;=Hypothèses!$V$15,Hypothèses!$W$15,IF(BZ60&lt;=Hypothèses!$V$16,Hypothèses!$W$16,IF(BZ60&lt;=Hypothèses!$V$17,Hypothèses!$W$17,IF(BZ60&lt;=Hypothèses!$V$18,Hypothèses!$W$18,""))))))))))))</f>
        <v>#DIV/0!</v>
      </c>
      <c r="CU60" s="87" t="e">
        <f t="shared" ca="1" si="120"/>
        <v>#DIV/0!</v>
      </c>
      <c r="CV60" s="88" t="e">
        <f ca="1">IF(BZ60&lt;=Hypothèses!$V$7,Hypothèses!$X$7,IF(BZ60&lt;=Hypothèses!$V$8,Hypothèses!$X$8,IF(BZ60&lt;=Hypothèses!$V$9,Hypothèses!$X$9,IF(BZ60&lt;=Hypothèses!$V$10,Hypothèses!$X$10,IF(BZ60&lt;=Hypothèses!$V$11,Hypothèses!$X$11,IF(BZ60&lt;=Hypothèses!$V$12,Hypothèses!$X$12,IF(BZ60&lt;=Hypothèses!$V$13,Hypothèses!$X$13,IF(BZ60&lt;=Hypothèses!$V$14,Hypothèses!$X$14,IF(BZ60&lt;=Hypothèses!$V$15,Hypothèses!$X$15,IF(BZ60&lt;=Hypothèses!$V$16,Hypothèses!$X$16,IF(BZ60&lt;=Hypothèses!$U$17,Hypothèses!$W$17,IF(BZ60&lt;=Hypothèses!$U$18,Hypothèses!$W$18,""))))))))))))</f>
        <v>#DIV/0!</v>
      </c>
      <c r="CW60" s="95" t="e">
        <f t="shared" ca="1" si="85"/>
        <v>#DIV/0!</v>
      </c>
      <c r="CX60" s="101" t="e">
        <f t="shared" si="127"/>
        <v>#N/A</v>
      </c>
      <c r="CY60" s="91" t="e">
        <f t="shared" si="43"/>
        <v>#N/A</v>
      </c>
      <c r="CZ60" s="30" t="e">
        <f t="shared" si="108"/>
        <v>#N/A</v>
      </c>
      <c r="DA60" s="30" t="e">
        <f t="shared" si="109"/>
        <v>#N/A</v>
      </c>
      <c r="DB60" s="31" t="e">
        <f>IF(OR(Hypothèses!$B$4=17,Hypothèses!$B$4=18,Hypothèses!$B$4=19,Hypothèses!$B$4=20),
IF($D60="Pressio.",
IF(OR($E60=3,$E60=1,$E60=4),DA60,CZ60),
IF($D60="Pénétro.",
IF(OR($E60=3,$E60=1,$E60=4),DA60,CZ60))),IF($D60="Pressio.",
IF($E60=3,DA60,CZ60),
IF($D60="Pénétro.",
IF($E60=4,DA60,CZ60))))</f>
        <v>#N/A</v>
      </c>
      <c r="DC60" s="31" t="e">
        <f>(IF(OR(Hypothèses!$B$4=17,Hypothèses!$B$4=18,Hypothèses!$B$4=19,Hypothèses!$B$4=20),
IF($D60="Pressio.",
IF(OR($E60=3,$E60=1,$E60=4),(PI()*DC$12^2)/4*(CY60*$W60*1000)/($H60*$B$5),(PI()*DC$12^2)/4*(CY60*$W60*1000)/($G60*$B$5)),
IF($D60="Pénétro.",
IF(OR($E60=4,$E60=1,$E60=5),(PI()*DC$12^2)/4*(CY60*$W60*1000)/($H60*$B$5),(PI()*DC$12^2)/4*(CY60*$W60*1000)/($G60*$B$5)))),
IF($D60="Pressio.",
IF($E60=3,(PI()*DC$12^2)/4*(CY60*$W60*1000)/($H60*$B$5),(PI()*DC$12^2)/4*(CY60*$W60*1000)/($G60*$B$5)),
IF($D60="Pénétro.",
IF($E60=4,(PI()*DC$12^2)/4*(CY60*$W60*1000)/($H60*$B$5),(PI()*DC$12^2)/4*(CY60*$W60*1000)/($G60*$B$5))))))/10</f>
        <v>#N/A</v>
      </c>
      <c r="DD60" s="102" t="e">
        <f>(VLOOKUP($B$3,'Coeff EC7'!$T$39:$X$59,2,0)*DB60+VLOOKUP($B$3,'Coeff EC7'!$T$65:$X$85,2,0)*Model0.1C!DC60)/1.1</f>
        <v>#N/A</v>
      </c>
      <c r="DE60" s="102" t="e">
        <f>(VLOOKUP($B$3,'Coeff EC7'!$T$39:$X$59,3,0)*DB60+VLOOKUP($B$3,'Coeff EC7'!$T$65:$X$85,3,0)*Model0.1C!DC60)/0.9</f>
        <v>#N/A</v>
      </c>
      <c r="DF60" s="102" t="e">
        <f t="shared" si="86"/>
        <v>#N/A</v>
      </c>
      <c r="DG60" s="102" t="e">
        <f t="shared" si="87"/>
        <v>#N/A</v>
      </c>
      <c r="DH60" s="414" t="e">
        <f>IF(DH59=0,0,IF(AND(DD60&gt;charge_ELS_quasi,DE60&gt;Charge_ELS_freq,DF60&gt;charge_ELU,DG60&gt;charge_ELA,$B60&gt;NDC!$H$22-0.1+MIN(3*$DH$12,1.5)),0,1))</f>
        <v>#N/A</v>
      </c>
      <c r="DI60" s="86" t="b">
        <f t="shared" si="46"/>
        <v>0</v>
      </c>
      <c r="DJ60" s="86">
        <f t="shared" si="47"/>
        <v>0.5</v>
      </c>
      <c r="DK60" s="86">
        <f t="shared" si="48"/>
        <v>0.5</v>
      </c>
      <c r="DL60" s="30" t="e">
        <f t="shared" ca="1" si="88"/>
        <v>#DIV/0!</v>
      </c>
      <c r="DM60" s="85" t="e">
        <f ca="1">IF(CS60&lt;=Hypothèses!$V$7,Hypothèses!$W$7,IF(CS60&lt;=Hypothèses!$V$8,Hypothèses!$W$8,IF(CS60&lt;=Hypothèses!$V$9,Hypothèses!$W$9,IF(CS60&lt;=Hypothèses!$V$10,Hypothèses!$W$10,IF(CS60&lt;=Hypothèses!$V$11,Hypothèses!$W$11,IF(CS60&lt;=Hypothèses!$V$12,Hypothèses!$W$12,IF(CS60&lt;=Hypothèses!$V$13,Hypothèses!$W$13,IF(CS60&lt;=Hypothèses!$V$14,Hypothèses!$W$14,IF(CS60&lt;=Hypothèses!$V$15,Hypothèses!$W$15,IF(CS60&lt;=Hypothèses!$V$16,Hypothèses!$W$16,IF(CS60&lt;=Hypothèses!$V$17,Hypothèses!$W$17,IF(CS60&lt;=Hypothèses!$V$18,Hypothèses!$W$18,""))))))))))))</f>
        <v>#DIV/0!</v>
      </c>
      <c r="DN60" s="87" t="e">
        <f t="shared" ca="1" si="121"/>
        <v>#DIV/0!</v>
      </c>
      <c r="DO60" s="88" t="e">
        <f ca="1">IF(CS60&lt;=Hypothèses!$V$7,Hypothèses!$X$7,IF(CS60&lt;=Hypothèses!$V$8,Hypothèses!$X$8,IF(CS60&lt;=Hypothèses!$V$9,Hypothèses!$X$9,IF(CS60&lt;=Hypothèses!$V$10,Hypothèses!$X$10,IF(CS60&lt;=Hypothèses!$V$11,Hypothèses!$X$11,IF(CS60&lt;=Hypothèses!$V$12,Hypothèses!$X$12,IF(CS60&lt;=Hypothèses!$V$13,Hypothèses!$X$13,IF(CS60&lt;=Hypothèses!$V$14,Hypothèses!$X$14,IF(CS60&lt;=Hypothèses!$V$15,Hypothèses!$X$15,IF(CS60&lt;=Hypothèses!$V$16,Hypothèses!$X$16,IF(CS60&lt;=Hypothèses!$U$17,Hypothèses!$W$17,IF(CS60&lt;=Hypothèses!$U$18,Hypothèses!$W$18,""))))))))))))</f>
        <v>#DIV/0!</v>
      </c>
      <c r="DP60" s="95" t="e">
        <f t="shared" ca="1" si="89"/>
        <v>#DIV/0!</v>
      </c>
      <c r="DQ60" s="101" t="e">
        <f t="shared" si="128"/>
        <v>#N/A</v>
      </c>
      <c r="DR60" s="91" t="e">
        <f t="shared" si="50"/>
        <v>#N/A</v>
      </c>
      <c r="DS60" s="30" t="e">
        <f t="shared" si="110"/>
        <v>#N/A</v>
      </c>
      <c r="DT60" s="30" t="e">
        <f t="shared" si="111"/>
        <v>#N/A</v>
      </c>
      <c r="DU60" s="31" t="e">
        <f>IF(OR(Hypothèses!$B$4=17,Hypothèses!$B$4=18,Hypothèses!$B$4=19,Hypothèses!$B$4=20),
IF($D60="Pressio.",
IF(OR($E60=3,$E60=1,$E60=4),DT60,DS60),
IF($D60="Pénétro.",
IF(OR($E60=3,$E60=1,$E60=4),DT60,DS60))),IF($D60="Pressio.",
IF($E60=3,DT60,DS60),
IF($D60="Pénétro.",
IF($E60=4,DT60,DS60))))</f>
        <v>#N/A</v>
      </c>
      <c r="DV60" s="31" t="e">
        <f>(IF(OR(Hypothèses!$B$4=17,Hypothèses!$B$4=18,Hypothèses!$B$4=19,Hypothèses!$B$4=20),
IF($D60="Pressio.",
IF(OR($E60=3,$E60=1,$E60=4),(PI()*DV$12^2)/4*(DR60*$W60*1000)/($H60*$B$5),(PI()*DV$12^2)/4*(DR60*$W60*1000)/($G60*$B$5)),
IF($D60="Pénétro.",
IF(OR($E60=4,$E60=1,$E60=5),(PI()*DV$12^2)/4*(DR60*$W60*1000)/($H60*$B$5),(PI()*DV$12^2)/4*(DR60*$W60*1000)/($G60*$B$5)))),
IF($D60="Pressio.",
IF($E60=3,(PI()*DV$12^2)/4*(DR60*$W60*1000)/($H60*$B$5),(PI()*DV$12^2)/4*(DR60*$W60*1000)/($G60*$B$5)),
IF($D60="Pénétro.",
IF($E60=4,(PI()*DV$12^2)/4*(DR60*$W60*1000)/($H60*$B$5),(PI()*DV$12^2)/4*(DR60*$W60*1000)/($G60*$B$5))))))/10</f>
        <v>#N/A</v>
      </c>
      <c r="DW60" s="102" t="e">
        <f>(VLOOKUP($B$3,'Coeff EC7'!$T$39:$X$59,2,0)*DU60+VLOOKUP($B$3,'Coeff EC7'!$T$65:$X$85,2,0)*Model0.1C!DV60)/1.1</f>
        <v>#N/A</v>
      </c>
      <c r="DX60" s="102" t="e">
        <f>(VLOOKUP($B$3,'Coeff EC7'!$T$39:$X$59,3,0)*DU60+VLOOKUP($B$3,'Coeff EC7'!$T$65:$X$85,3,0)*Model0.1C!DV60)/0.9</f>
        <v>#N/A</v>
      </c>
      <c r="DY60" s="102" t="e">
        <f t="shared" si="90"/>
        <v>#N/A</v>
      </c>
      <c r="DZ60" s="102" t="e">
        <f t="shared" si="91"/>
        <v>#N/A</v>
      </c>
      <c r="EA60" s="414" t="e">
        <f>IF(EA59=0,0,IF(AND(DW60&gt;charge_ELS_quasi,DX60&gt;Charge_ELS_freq,DY60&gt;charge_ELU,DZ60&gt;charge_ELA,$B60&gt;NDC!$H$22-0.1+MIN(3*$EA$12,1.5)),0,1))</f>
        <v>#N/A</v>
      </c>
      <c r="EB60" s="86" t="b">
        <f t="shared" si="53"/>
        <v>0</v>
      </c>
      <c r="EC60" s="418">
        <f t="shared" si="54"/>
        <v>0.51</v>
      </c>
      <c r="ED60" s="86">
        <f t="shared" si="55"/>
        <v>0.51</v>
      </c>
      <c r="EE60" s="30" t="e">
        <f t="shared" ca="1" si="92"/>
        <v>#DIV/0!</v>
      </c>
      <c r="EF60" s="85" t="e">
        <f ca="1">IF(DL60&lt;=Hypothèses!$V$7,Hypothèses!$W$7,IF(DL60&lt;=Hypothèses!$V$8,Hypothèses!$W$8,IF(DL60&lt;=Hypothèses!$V$9,Hypothèses!$W$9,IF(DL60&lt;=Hypothèses!$V$10,Hypothèses!$W$10,IF(DL60&lt;=Hypothèses!$V$11,Hypothèses!$W$11,IF(DL60&lt;=Hypothèses!$V$12,Hypothèses!$W$12,IF(DL60&lt;=Hypothèses!$V$13,Hypothèses!$W$13,IF(DL60&lt;=Hypothèses!$V$14,Hypothèses!$W$14,IF(DL60&lt;=Hypothèses!$V$15,Hypothèses!$W$15,IF(DL60&lt;=Hypothèses!$V$16,Hypothèses!$W$16,IF(DL60&lt;=Hypothèses!$V$17,Hypothèses!$W$17,IF(DL60&lt;=Hypothèses!$V$18,Hypothèses!$W$18,""))))))))))))</f>
        <v>#DIV/0!</v>
      </c>
      <c r="EG60" s="87" t="e">
        <f t="shared" ca="1" si="122"/>
        <v>#DIV/0!</v>
      </c>
      <c r="EH60" s="88" t="e">
        <f ca="1">IF(DL60&lt;=Hypothèses!$V$7,Hypothèses!$X$7,IF(DL60&lt;=Hypothèses!$V$8,Hypothèses!$X$8,IF(DL60&lt;=Hypothèses!$V$9,Hypothèses!$X$9,IF(DL60&lt;=Hypothèses!$V$10,Hypothèses!$X$10,IF(DL60&lt;=Hypothèses!$V$11,Hypothèses!$X$11,IF(DL60&lt;=Hypothèses!$V$12,Hypothèses!$X$12,IF(DL60&lt;=Hypothèses!$V$13,Hypothèses!$X$13,IF(DL60&lt;=Hypothèses!$V$14,Hypothèses!$X$14,IF(DL60&lt;=Hypothèses!$V$15,Hypothèses!$X$15,IF(DL60&lt;=Hypothèses!$V$16,Hypothèses!$X$16,IF(DL60&lt;=Hypothèses!$U$17,Hypothèses!$W$17,IF(DL60&lt;=Hypothèses!$U$18,Hypothèses!$W$18,""))))))))))))</f>
        <v>#DIV/0!</v>
      </c>
      <c r="EI60" s="95" t="e">
        <f t="shared" ca="1" si="93"/>
        <v>#DIV/0!</v>
      </c>
      <c r="EJ60" s="101" t="e">
        <f t="shared" si="129"/>
        <v>#N/A</v>
      </c>
      <c r="EK60" s="91" t="e">
        <f t="shared" si="57"/>
        <v>#N/A</v>
      </c>
      <c r="EL60" s="30" t="e">
        <f t="shared" si="112"/>
        <v>#N/A</v>
      </c>
      <c r="EM60" s="30" t="e">
        <f t="shared" si="113"/>
        <v>#N/A</v>
      </c>
      <c r="EN60" s="31" t="e">
        <f>IF(OR(Hypothèses!$B$4=17,Hypothèses!$B$4=18,Hypothèses!$B$4=19,Hypothèses!$B$4=20),
IF($D60="Pressio.",
IF(OR($E60=3,$E60=1,$E60=4),EM60,EL60),
IF($D60="Pénétro.",
IF(OR($E60=3,$E60=1,$E60=4),EM60,EL60))),IF($D60="Pressio.",
IF($E60=3,EM60,EL60),
IF($D60="Pénétro.",
IF($E60=4,EM60,EL60))))</f>
        <v>#N/A</v>
      </c>
      <c r="EO60" s="31" t="e">
        <f>(IF(OR(Hypothèses!$B$4=17,Hypothèses!$B$4=18,Hypothèses!$B$4=19,Hypothèses!$B$4=20),
IF($D60="Pressio.",
IF(OR($E60=3,$E60=1,$E60=4),(PI()*EO$12^2)/4*(EK60*$W60*1000)/($H60*$B$5),(PI()*EO$12^2)/4*(EK60*$W60*1000)/($G60*$B$5)),
IF($D60="Pénétro.",
IF(OR($E60=4,$E60=1,$E60=5),(PI()*EO$12^2)/4*(EK60*$W60*1000)/($H60*$B$5),(PI()*EO$12^2)/4*(EK60*$W60*1000)/($G60*$B$5)))),
IF($D60="Pressio.",
IF($E60=3,(PI()*EO$12^2)/4*(EK60*$W60*1000)/($H60*$B$5),(PI()*EO$12^2)/4*(EK60*$W60*1000)/($G60*$B$5)),
IF($D60="Pénétro.",
IF($E60=4,(PI()*EO$12^2)/4*(EK60*$W60*1000)/($H60*$B$5),(PI()*EO$12^2)/4*(EK60*$W60*1000)/($G60*$B$5))))))/10</f>
        <v>#N/A</v>
      </c>
      <c r="EP60" s="102" t="e">
        <f>(VLOOKUP($B$3,'Coeff EC7'!$T$39:$X$59,2,0)*EN60+VLOOKUP($B$3,'Coeff EC7'!$T$65:$X$85,2,0)*Model0.1C!EO60)/1.1</f>
        <v>#N/A</v>
      </c>
      <c r="EQ60" s="102" t="e">
        <f>(VLOOKUP($B$3,'Coeff EC7'!$T$39:$X$59,3,0)*EN60+VLOOKUP($B$3,'Coeff EC7'!$T$65:$X$85,3,0)*Model0.1C!EO60)/0.9</f>
        <v>#N/A</v>
      </c>
      <c r="ER60" s="102" t="e">
        <f t="shared" si="94"/>
        <v>#N/A</v>
      </c>
      <c r="ES60" s="102" t="e">
        <f t="shared" si="95"/>
        <v>#N/A</v>
      </c>
      <c r="ET60" s="414" t="e">
        <f>IF(ET59=0,0,IF(AND(EP60&gt;charge_ELS_quasi,EQ60&gt;Charge_ELS_freq,ER60&gt;charge_ELU,ES60&gt;charge_ELA,$B60&gt;NDC!$H$22-0.1+MIN(3*$ET$12,1.5)),0,1))</f>
        <v>#N/A</v>
      </c>
      <c r="EU60" s="86" t="b">
        <f t="shared" si="60"/>
        <v>0</v>
      </c>
      <c r="EV60" s="86">
        <f t="shared" si="61"/>
        <v>0.61</v>
      </c>
      <c r="EW60" s="86">
        <f t="shared" si="62"/>
        <v>0.61</v>
      </c>
      <c r="EX60" s="30" t="e">
        <f t="shared" ca="1" si="96"/>
        <v>#DIV/0!</v>
      </c>
      <c r="EY60" s="85" t="e">
        <f ca="1">IF(EE60&lt;=Hypothèses!$V$7,Hypothèses!$W$7,IF(EE60&lt;=Hypothèses!$V$8,Hypothèses!$W$8,IF(EE60&lt;=Hypothèses!$V$9,Hypothèses!$W$9,IF(EE60&lt;=Hypothèses!$V$10,Hypothèses!$W$10,IF(EE60&lt;=Hypothèses!$V$11,Hypothèses!$W$11,IF(EE60&lt;=Hypothèses!$V$12,Hypothèses!$W$12,IF(EE60&lt;=Hypothèses!$V$13,Hypothèses!$W$13,IF(EE60&lt;=Hypothèses!$V$14,Hypothèses!$W$14,IF(EE60&lt;=Hypothèses!$V$15,Hypothèses!$W$15,IF(EE60&lt;=Hypothèses!$V$16,Hypothèses!$W$16,IF(EE60&lt;=Hypothèses!$V$17,Hypothèses!$W$17,IF(EE60&lt;=Hypothèses!$V$18,Hypothèses!$W$18,""))))))))))))</f>
        <v>#DIV/0!</v>
      </c>
      <c r="EZ60" s="87" t="e">
        <f t="shared" ca="1" si="123"/>
        <v>#DIV/0!</v>
      </c>
      <c r="FA60" s="88" t="e">
        <f ca="1">IF(EE60&lt;=Hypothèses!$V$7,Hypothèses!$X$7,IF(EE60&lt;=Hypothèses!$V$8,Hypothèses!$X$8,IF(EE60&lt;=Hypothèses!$V$9,Hypothèses!$X$9,IF(EE60&lt;=Hypothèses!$V$10,Hypothèses!$X$10,IF(EE60&lt;=Hypothèses!$V$11,Hypothèses!$X$11,IF(EE60&lt;=Hypothèses!$V$12,Hypothèses!$X$12,IF(EE60&lt;=Hypothèses!$V$13,Hypothèses!$X$13,IF(EE60&lt;=Hypothèses!$V$14,Hypothèses!$X$14,IF(EE60&lt;=Hypothèses!$V$15,Hypothèses!$X$15,IF(EE60&lt;=Hypothèses!$V$16,Hypothèses!$X$16,IF(EE60&lt;=Hypothèses!$U$17,Hypothèses!$W$17,IF(EE60&lt;=Hypothèses!$U$18,Hypothèses!$W$18,""))))))))))))</f>
        <v>#DIV/0!</v>
      </c>
      <c r="FB60" s="95" t="e">
        <f t="shared" ca="1" si="97"/>
        <v>#DIV/0!</v>
      </c>
      <c r="FC60" s="101" t="e">
        <f t="shared" si="130"/>
        <v>#N/A</v>
      </c>
      <c r="FD60" s="91" t="e">
        <f t="shared" si="64"/>
        <v>#N/A</v>
      </c>
      <c r="FE60" s="30" t="e">
        <f t="shared" si="114"/>
        <v>#N/A</v>
      </c>
      <c r="FF60" s="30" t="e">
        <f t="shared" si="115"/>
        <v>#N/A</v>
      </c>
      <c r="FG60" s="31" t="e">
        <f>IF(OR(Hypothèses!$B$4=17,Hypothèses!$B$4=18,Hypothèses!$B$4=19,Hypothèses!$B$4=20),
IF($D60="Pressio.",
IF(OR($E60=3,$E60=1,$E60=4),FF60,FE60),
IF($D60="Pénétro.",
IF(OR($E60=3,$E60=1,$E60=4),FF60,FE60))),IF($D60="Pressio.",
IF($E60=3,FF60,FE60),
IF($D60="Pénétro.",
IF($E60=4,FF60,FE60))))</f>
        <v>#N/A</v>
      </c>
      <c r="FH60" s="31" t="e">
        <f>(IF(OR(Hypothèses!$B$4=17,Hypothèses!$B$4=18,Hypothèses!$B$4=19,Hypothèses!$B$4=20),
IF($D60="Pressio.",
IF(OR($E60=3,$E60=1,$E60=4),(PI()*FH$12^2)/4*(FD60*$W60*1000)/($H60*$B$5),(PI()*FH$12^2)/4*(FD60*$W60*1000)/($G60*$B$5)),
IF($D60="Pénétro.",
IF(OR($E60=4,$E60=1,$E60=5),(PI()*FH$12^2)/4*(FD60*$W60*1000)/($H60*$B$5),(PI()*FH$12^2)/4*(FD60*$W60*1000)/($G60*$B$5)))),
IF($D60="Pressio.",
IF($E60=3,(PI()*FH$12^2)/4*(FD60*$W60*1000)/($H60*$B$5),(PI()*FH$12^2)/4*(FD60*$W60*1000)/($G60*$B$5)),
IF($D60="Pénétro.",
IF($E60=4,(PI()*FH$12^2)/4*(FD60*$W60*1000)/($H60*$B$5),(PI()*FH$12^2)/4*(FD60*$W60*1000)/($G60*$B$5))))))/10</f>
        <v>#N/A</v>
      </c>
      <c r="FI60" s="102" t="e">
        <f>(VLOOKUP($B$3,'Coeff EC7'!$T$39:$X$59,2,0)*FG60+VLOOKUP($B$3,'Coeff EC7'!$T$65:$X$85,2,0)*Model0.1C!FH60)/1.1</f>
        <v>#N/A</v>
      </c>
      <c r="FJ60" s="102" t="e">
        <f>(VLOOKUP($B$3,'Coeff EC7'!$T$39:$X$59,3,0)*FG60+VLOOKUP($B$3,'Coeff EC7'!$T$65:$X$85,3,0)*Model0.1C!FH60)/0.9</f>
        <v>#N/A</v>
      </c>
      <c r="FK60" s="102" t="e">
        <f t="shared" si="98"/>
        <v>#N/A</v>
      </c>
      <c r="FL60" s="102" t="e">
        <f t="shared" si="99"/>
        <v>#N/A</v>
      </c>
      <c r="FM60" s="414" t="e">
        <f>IF(FM59=0,0,IF(AND(FI60&gt;charge_ELS_quasi,FJ60&gt;Charge_ELS_freq,FK60&gt;charge_ELU,FL60&gt;charge_ELA,$B60&gt;NDC!$H$22-0.1+MIN(3*$FM$12,1.5)),0,1))</f>
        <v>#N/A</v>
      </c>
    </row>
    <row r="61" spans="1:169">
      <c r="A61" s="96">
        <f t="shared" si="67"/>
        <v>95.200000000000273</v>
      </c>
      <c r="B61" s="97">
        <v>4.8</v>
      </c>
      <c r="C61" s="81">
        <f>IF(B61&lt;=Hypothèses!$C$7,Hypothèses!$A$7,IF(B61&lt;=Hypothèses!$C$8,Hypothèses!$A$8,IF(B61&lt;=Hypothèses!$C$9,Hypothèses!$A$9,IF(B61&lt;=Hypothèses!$C$10,Hypothèses!$A$10,IF(B61&lt;=Hypothèses!$C$11,Hypothèses!$A$11,IF(B61&lt;=Hypothèses!$C$12,Hypothèses!$A$12,IF(B61&lt;=Hypothèses!$C$13,Hypothèses!$A$13,IF(B61&lt;=Hypothèses!$C$14,Hypothèses!$A$14,IF(B61&lt;=Hypothèses!$C$15,Hypothèses!$A$15,IF(B61&lt;=Hypothèses!$C$16,Hypothèses!$A$16,IF(B61&lt;=Hypothèses!$C$17,Hypothèses!$A$17,IF(B61&lt;=Hypothèses!$C$18,Hypothèses!$A$18,C60))))))))))))</f>
        <v>11</v>
      </c>
      <c r="D61" s="82" t="str">
        <f>IF(B61&lt;=Hypothèses!$C$7,Hypothèses!$R$7,IF(B61&lt;=Hypothèses!$C$8,Hypothèses!$R$8,IF(B61&lt;=Hypothèses!$C$9,Hypothèses!$R$9,IF(B61&lt;=Hypothèses!$C$10,Hypothèses!$R$10,IF(B61&lt;=Hypothèses!$C$11,Hypothèses!$R$11,IF(B61&lt;=Hypothèses!$C$12,Hypothèses!$R$12,IF(B61&lt;=Hypothèses!$C$13,Hypothèses!$R$13,IF(B61&lt;=Hypothèses!$C$14,Hypothèses!$R$14,IF(B61&lt;=Hypothèses!$C$15,Hypothèses!$R$15,IF(B61&lt;=Hypothèses!$C$16,Hypothèses!$R$16,IF(B61&lt;=Hypothèses!$C$17,Hypothèses!$R$17,IF(B61&lt;=Hypothèses!$C$18,Hypothèses!$R$18,D60))))))))))))</f>
        <v>Pressio.</v>
      </c>
      <c r="E61" s="82" t="e">
        <f>IF(B61&lt;=Hypothèses!$C$7,Hypothèses!$G$7,IF(B61&lt;=Hypothèses!$C$8,Hypothèses!$G$8,IF(B61&lt;=Hypothèses!$C$9,Hypothèses!$G$9,IF(B61&lt;=Hypothèses!$C$10,Hypothèses!$G$10,IF(B61&lt;=Hypothèses!$C$11,Hypothèses!$G$11,IF(B61&lt;=Hypothèses!$C$12,Hypothèses!$G$12,IF(B61&lt;=Hypothèses!$C$13,Hypothèses!$G$13,IF(B61&lt;=Hypothèses!$C$14,Hypothèses!$G$14,IF(B61&lt;=Hypothèses!$C$15,Hypothèses!$G$15,IF(B61&lt;=Hypothèses!$C$16,Hypothèses!$G$16,IF(B61&lt;=Hypothèses!$C$17,Hypothèses!$G$17,IF(B61&lt;=Hypothèses!$C$18,Hypothèses!$G$18,E60))))))))))))</f>
        <v>#N/A</v>
      </c>
      <c r="F61" s="82" t="str">
        <f>IF(B61&lt;=Hypothèses!$C$7,Hypothèses!$F$7,IF(B61&lt;=Hypothèses!$C$8,Hypothèses!$F$8,IF(B61&lt;=Hypothèses!$C$9,Hypothèses!$F$9,IF(B61&lt;=Hypothèses!$C$10,Hypothèses!$F$10,IF(B61&lt;=Hypothèses!$C$11,Hypothèses!$F$11,IF(B61&lt;=Hypothèses!$C$12,Hypothèses!$F$12,IF(B61&lt;=Hypothèses!$C$13,Hypothèses!$F$13,IF(B61&lt;=Hypothèses!$C$14,Hypothèses!$F$14,IF(B61&lt;=Hypothèses!$C$15,Hypothèses!$F$15,IF(B61&lt;=Hypothèses!$C$16,Hypothèses!$F$16,IF(B61&lt;=Hypothèses!$C$17,Hypothèses!$F$17,IF(B61&lt;=Hypothèses!$C$18,Hypothèses!$F$18,F60))))))))))))</f>
        <v/>
      </c>
      <c r="G61" s="91">
        <f t="array" ref="G61">INDEX('Coeff EC7'!$U$7:$X$27,
MATCH(Model0.1C!$B$3,'Coeff EC7'!$T$7:$T$27,0),
MATCH(Model0.1C!$D61&amp;Model0.1C!$B$4,
'Coeff EC7'!$U$6:$X$6&amp;
'Coeff EC7'!$U$5:$X$5,0))</f>
        <v>1.1499999999999999</v>
      </c>
      <c r="H61" s="91">
        <f t="array" ref="H61">INDEX('Coeff EC7'!$Y$7:$AB$27,
MATCH(Model0.1C!$B$3,'Coeff EC7'!$T$7:$T$27,0),
MATCH(Model0.1C!$D61&amp;Model0.1C!$B$4,
'Coeff EC7'!$Y$6:$AB$6&amp;
'Coeff EC7'!$Y$5:$AB$5,0))</f>
        <v>1.4</v>
      </c>
      <c r="I61" s="83" t="e">
        <f>IF(B61&lt;=Hypothèses!$C$7,Hypothèses!$P$7,IF(B61&lt;=Hypothèses!$C$8,Hypothèses!$P$8,IF(B61&lt;=Hypothèses!$C$9,Hypothèses!$P$9,IF(B61&lt;=Hypothèses!$C$10,Hypothèses!$P$10,IF(B61&lt;=Hypothèses!$C$11,Hypothèses!$P$11,IF(B61&lt;=Hypothèses!$C$12,Hypothèses!$P$12,IF(B61&lt;=Hypothèses!$C$13,Hypothèses!$P$13,IF(B61&lt;=Hypothèses!$C$14,Hypothèses!$P$14,IF(B61&lt;=Hypothèses!$C$15,Hypothèses!$P$15,IF(B61&lt;=Hypothèses!$C$16,Hypothèses!$P$16,IF(B61&lt;=Hypothèses!$C$17,Hypothèses!$P$17,IF(B61&lt;=Hypothèses!$C$18,Hypothèses!$P$18,I60))))))))))))</f>
        <v>#N/A</v>
      </c>
      <c r="J61" s="91" t="e">
        <f t="array" ref="J61">INDEX('Coeff EC7'!$D$33:$Q$33,1,MATCH(D61&amp;E61,'Coeff EC7'!$D$31:$Q$31&amp;'Coeff EC7'!$D$32:$Q$32,0))</f>
        <v>#N/A</v>
      </c>
      <c r="K61" s="91" t="e">
        <f t="array" ref="K61">INDEX('Coeff EC7'!$D$34:$Q$34,1,MATCH(D61&amp;E61,'Coeff EC7'!$D$31:$Q$31&amp;'Coeff EC7'!$D$32:$Q$32,0))</f>
        <v>#N/A</v>
      </c>
      <c r="L61" s="91" t="e">
        <f t="array" ref="L61">INDEX('Coeff EC7'!$D$35:$Q$35,1,MATCH(D61&amp;E61,'Coeff EC7'!$D$31:$Q$31&amp;'Coeff EC7'!$D$32:$Q$32,0))</f>
        <v>#N/A</v>
      </c>
      <c r="M61" s="98" t="e">
        <f t="shared" si="8"/>
        <v>#N/A</v>
      </c>
      <c r="N61" s="99" t="e">
        <f t="array" ref="N61">INDEX('Coeff EC7'!$D$7:$Q$27,MATCH($B$3,'Coeff EC7'!$C$7:$C$27,0),MATCH(D61&amp;E61,'Coeff EC7'!$D$5:$Q$5&amp;'Coeff EC7'!$D$6:$Q$6,0))</f>
        <v>#N/A</v>
      </c>
      <c r="O61" s="99" t="e">
        <f t="array" ref="O61">INDEX('Coeff EC7'!$D$41:$Q$61,MATCH($B$3,'Coeff EC7'!$C$41:$C$61,0),MATCH(D61&amp;E61,'Coeff EC7'!$D$39:$Q$39&amp;'Coeff EC7'!$D$40:$Q$40,0))</f>
        <v>#N/A</v>
      </c>
      <c r="P61" s="30" t="e">
        <f t="shared" si="68"/>
        <v>#N/A</v>
      </c>
      <c r="Q61" s="100" t="e">
        <f t="shared" si="10"/>
        <v>#N/A</v>
      </c>
      <c r="R61" s="86" t="b">
        <f t="shared" si="11"/>
        <v>0</v>
      </c>
      <c r="S61" s="86">
        <f t="shared" si="9"/>
        <v>0.5</v>
      </c>
      <c r="T61" s="86">
        <f t="shared" si="12"/>
        <v>0.5</v>
      </c>
      <c r="U61" s="30" t="e">
        <f t="shared" ca="1" si="69"/>
        <v>#DIV/0!</v>
      </c>
      <c r="V61" s="85" t="str">
        <f>IF(B61&lt;=Hypothèses!$V$7,Hypothèses!$W$7,IF(B61&lt;=Hypothèses!$V$8,Hypothèses!$W$8,IF(B61&lt;=Hypothèses!$V$9,Hypothèses!$W$9,IF(B61&lt;=Hypothèses!$V$10,Hypothèses!$W$10,IF(B61&lt;=Hypothèses!$V$11,Hypothèses!$W$11,IF(B61&lt;=Hypothèses!$V$12,Hypothèses!$W$12,IF(B61&lt;=Hypothèses!$V$13,Hypothèses!$W$13,IF(B61&lt;=Hypothèses!$V$14,Hypothèses!$W$14,IF(B61&lt;=Hypothèses!$V$15,Hypothèses!$W$15,IF(B61&lt;=Hypothèses!$V$16,Hypothèses!$W$16,IF(B61&lt;=Hypothèses!$V$17,Hypothèses!$W$17,IF(B61&lt;=Hypothèses!$V$18,Hypothèses!$W$18,""))))))))))))</f>
        <v/>
      </c>
      <c r="W61" s="87" t="e">
        <f t="shared" ca="1" si="116"/>
        <v>#DIV/0!</v>
      </c>
      <c r="X61" s="88" t="str">
        <f>IF(B61&lt;=Hypothèses!$V$7,Hypothèses!$X$7,IF(B61&lt;=Hypothèses!$V$8,Hypothèses!$X$8,IF(B61&lt;=Hypothèses!$V$9,Hypothèses!$X$9,IF(B61&lt;=Hypothèses!$V$10,Hypothèses!$X$10,IF(B61&lt;=Hypothèses!$V$11,Hypothèses!$X$11,IF(B61&lt;=Hypothèses!$V$12,Hypothèses!$X$12,IF(B61&lt;=Hypothèses!$V$13,Hypothèses!$X$13,IF(B61&lt;=Hypothèses!$V$14,Hypothèses!$X$14,IF(B61&lt;=Hypothèses!$V$15,Hypothèses!$X$15,IF(B61&lt;=Hypothèses!$V$16,Hypothèses!$X$16,IF(B61&lt;=Hypothèses!$U$17,Hypothèses!$W$17,IF(B61&lt;=Hypothèses!$U$18,Hypothèses!$W$18,""))))))))))))</f>
        <v/>
      </c>
      <c r="Y61" s="95" t="e">
        <f t="shared" ca="1" si="13"/>
        <v>#DIV/0!</v>
      </c>
      <c r="Z61" s="101" t="e">
        <f t="shared" si="14"/>
        <v>#N/A</v>
      </c>
      <c r="AA61" s="91" t="e">
        <f t="shared" si="15"/>
        <v>#N/A</v>
      </c>
      <c r="AB61" s="30" t="e">
        <f t="shared" si="100"/>
        <v>#N/A</v>
      </c>
      <c r="AC61" s="30" t="e">
        <f t="shared" si="101"/>
        <v>#N/A</v>
      </c>
      <c r="AD61" s="31" t="e">
        <f>IF(OR(Hypothèses!$B$4=17,Hypothèses!$B$4=18,Hypothèses!$B$4=19,Hypothèses!$B$4=20),
IF($D61="Pressio.",
IF(OR($E61=3,$E61=1,$E61=4),AC61,AB61),
IF($D61="Pénétro.",
IF(OR($E61=3,$E61=1,$E61=4),AC61,AB61))),IF($D61="Pressio.",
IF($E61=3,AC61,AB61),
IF($D61="Pénétro.",
IF($E61=4,AC61,AB61))))</f>
        <v>#N/A</v>
      </c>
      <c r="AE61" s="31" t="e">
        <f>(IF(OR(Hypothèses!$B$4=17,Hypothèses!$B$4=18,Hypothèses!$B$4=19,Hypothèses!$B$4=20),
IF($D61="Pressio.",
IF(OR($E61=3,$E61=1,$E61=4),(PI()*AE$12^2)/4*(AA61*$W61*1000)/($H61*$B$5),(PI()*AE$12^2)/4*(AA61*$W61*1000)/($G61*$B$5)),
IF($D61="Pénétro.",
IF(OR($E61=4,$E61=1,$E61=5),(PI()*AE$12^2)/4*(AA61*$W61*1000)/($H61*$B$5),(PI()*AE$12^2)/4*(AA61*$W61*1000)/($G61*$B$5)))),
IF($D61="Pressio.",
IF($E61=3,(PI()*AE$12^2)/4*(AA61*$W61*1000)/($H61*$B$5),(PI()*AE$12^2)/4*(AA61*$W61*1000)/($G61*$B$5)),
IF($D61="Pénétro.",
IF($E61=4,(PI()*AE$12^2)/4*(AA61*$W61*1000)/($H61*$B$5),(PI()*AE$12^2)/4*(AA61*$W61*1000)/($G61*$B$5))))))/10</f>
        <v>#N/A</v>
      </c>
      <c r="AF61" s="102" t="e">
        <f>(VLOOKUP($B$3,'Coeff EC7'!$T$39:$X$59,2,0)*AD61+VLOOKUP($B$3,'Coeff EC7'!$T$65:$X$85,2,0)*Model0.1C!AE61)/1.1</f>
        <v>#N/A</v>
      </c>
      <c r="AG61" s="102" t="e">
        <f>(VLOOKUP($B$3,'Coeff EC7'!$T$39:$X$59,3,0)*AD61+VLOOKUP($B$3,'Coeff EC7'!$T$65:$X$85,3,0)*Model0.1C!AE61)/0.9</f>
        <v>#N/A</v>
      </c>
      <c r="AH61" s="102" t="e">
        <f t="shared" si="18"/>
        <v>#N/A</v>
      </c>
      <c r="AI61" s="102" t="e">
        <f t="shared" si="19"/>
        <v>#N/A</v>
      </c>
      <c r="AJ61" s="414" t="e">
        <f>IF(AJ60=0,0,IF(AND(AF61&gt;charge_ELS_quasi,AG61&gt;Charge_ELS_freq,AH61&gt;charge_ELU,AI61&gt;charge_ELA,$B61&gt;NDC!$H$22-0.1+MIN(3*$AJ$12,1.5)),0,1))</f>
        <v>#N/A</v>
      </c>
      <c r="AK61" s="86" t="b">
        <f t="shared" si="20"/>
        <v>0</v>
      </c>
      <c r="AL61" s="86">
        <f t="shared" si="70"/>
        <v>0.5</v>
      </c>
      <c r="AM61" s="86">
        <f t="shared" si="21"/>
        <v>0.5</v>
      </c>
      <c r="AN61" s="30" t="e">
        <f t="shared" ca="1" si="71"/>
        <v>#DIV/0!</v>
      </c>
      <c r="AO61" s="85" t="e">
        <f ca="1">IF(U61&lt;=Hypothèses!$V$7,Hypothèses!$W$7,IF(U61&lt;=Hypothèses!$V$8,Hypothèses!$W$8,IF(U61&lt;=Hypothèses!$V$9,Hypothèses!$W$9,IF(U61&lt;=Hypothèses!$V$10,Hypothèses!$W$10,IF(U61&lt;=Hypothèses!$V$11,Hypothèses!$W$11,IF(U61&lt;=Hypothèses!$V$12,Hypothèses!$W$12,IF(U61&lt;=Hypothèses!$V$13,Hypothèses!$W$13,IF(U61&lt;=Hypothèses!$V$14,Hypothèses!$W$14,IF(U61&lt;=Hypothèses!$V$15,Hypothèses!$W$15,IF(U61&lt;=Hypothèses!$V$16,Hypothèses!$W$16,IF(U61&lt;=Hypothèses!$V$17,Hypothèses!$W$17,IF(U61&lt;=Hypothèses!$V$18,Hypothèses!$W$18,""))))))))))))</f>
        <v>#DIV/0!</v>
      </c>
      <c r="AP61" s="87" t="e">
        <f t="shared" ca="1" si="117"/>
        <v>#DIV/0!</v>
      </c>
      <c r="AQ61" s="88" t="e">
        <f ca="1">IF(U61&lt;=Hypothèses!$V$7,Hypothèses!$X$7,IF(U61&lt;=Hypothèses!$V$8,Hypothèses!$X$8,IF(U61&lt;=Hypothèses!$V$9,Hypothèses!$X$9,IF(U61&lt;=Hypothèses!$V$10,Hypothèses!$X$10,IF(U61&lt;=Hypothèses!$V$11,Hypothèses!$X$11,IF(U61&lt;=Hypothèses!$V$12,Hypothèses!$X$12,IF(U61&lt;=Hypothèses!$V$13,Hypothèses!$X$13,IF(U61&lt;=Hypothèses!$V$14,Hypothèses!$X$14,IF(U61&lt;=Hypothèses!$V$15,Hypothèses!$X$15,IF(U61&lt;=Hypothèses!$V$16,Hypothèses!$X$16,IF(U61&lt;=Hypothèses!$U$17,Hypothèses!$W$17,IF(U61&lt;=Hypothèses!$U$18,Hypothèses!$W$18,""))))))))))))</f>
        <v>#DIV/0!</v>
      </c>
      <c r="AR61" s="95" t="e">
        <f t="shared" ca="1" si="72"/>
        <v>#DIV/0!</v>
      </c>
      <c r="AS61" s="101" t="e">
        <f t="shared" si="124"/>
        <v>#N/A</v>
      </c>
      <c r="AT61" s="91" t="e">
        <f t="shared" si="23"/>
        <v>#N/A</v>
      </c>
      <c r="AU61" s="30" t="e">
        <f t="shared" si="102"/>
        <v>#N/A</v>
      </c>
      <c r="AV61" s="30" t="e">
        <f t="shared" si="103"/>
        <v>#N/A</v>
      </c>
      <c r="AW61" s="31" t="e">
        <f>IF(OR(Hypothèses!$B$4=17,Hypothèses!$B$4=18,Hypothèses!$B$4=19,Hypothèses!$B$4=20),
IF($D61="Pressio.",
IF(OR($E61=3,$E61=1,$E61=4),AV61,AU61),
IF($D61="Pénétro.",
IF(OR($E61=3,$E61=1,$E61=4),AV61,AU61))),IF($D61="Pressio.",
IF($E61=3,AV61,AU61),
IF($D61="Pénétro.",
IF($E61=4,AV61,AU61))))</f>
        <v>#N/A</v>
      </c>
      <c r="AX61" s="31" t="e">
        <f>(IF(OR(Hypothèses!$B$4=17,Hypothèses!$B$4=18,Hypothèses!$B$4=19,Hypothèses!$B$4=20),
IF($D61="Pressio.",
IF(OR($E61=3,$E61=1,$E61=4),(PI()*AX$12^2)/4*(AT61*$W61*1000)/($H61*$B$5),(PI()*AX$12^2)/4*(AT61*$W61*1000)/($G61*$B$5)),
IF($D61="Pénétro.",
IF(OR($E61=4,$E61=1,$E61=5),(PI()*AX$12^2)/4*(AT61*$W61*1000)/($H61*$B$5),(PI()*AX$12^2)/4*(AT61*$W61*1000)/($G61*$B$5)))),
IF($D61="Pressio.",
IF($E61=3,(PI()*AX$12^2)/4*(AT61*$W61*1000)/($H61*$B$5),(PI()*AX$12^2)/4*(AT61*$W61*1000)/($G61*$B$5)),
IF($D61="Pénétro.",
IF($E61=4,(PI()*AX$12^2)/4*(AT61*$W61*1000)/($H61*$B$5),(PI()*AX$12^2)/4*(AT61*$W61*1000)/($G61*$B$5))))))/10</f>
        <v>#N/A</v>
      </c>
      <c r="AY61" s="102" t="e">
        <f>(VLOOKUP($B$3,'Coeff EC7'!$T$39:$X$59,2,0)*AW61+VLOOKUP($B$3,'Coeff EC7'!$T$65:$X$85,2,0)*Model0.1C!AX61)/1.1</f>
        <v>#N/A</v>
      </c>
      <c r="AZ61" s="102" t="e">
        <f>(VLOOKUP($B$3,'Coeff EC7'!$T$39:$X$59,3,0)*AW61+VLOOKUP($B$3,'Coeff EC7'!$T$65:$X$85,3,0)*Model0.1C!AX61)/0.9</f>
        <v>#N/A</v>
      </c>
      <c r="BA61" s="102" t="e">
        <f t="shared" si="73"/>
        <v>#N/A</v>
      </c>
      <c r="BB61" s="102" t="e">
        <f t="shared" si="74"/>
        <v>#N/A</v>
      </c>
      <c r="BC61" s="414" t="e">
        <f>IF(BC60=0,0,IF(AND(AY61&gt;charge_ELS_quasi,AZ61&gt;Charge_ELS_freq,BA61&gt;charge_ELU,BB61&gt;charge_ELA,$B61&gt;NDC!$H$22-0.1+MIN(3*$BC$12,1.5)),0,1))</f>
        <v>#N/A</v>
      </c>
      <c r="BD61" s="86" t="b">
        <f t="shared" si="26"/>
        <v>0</v>
      </c>
      <c r="BE61" s="86">
        <f t="shared" si="75"/>
        <v>0.5</v>
      </c>
      <c r="BF61" s="86">
        <f t="shared" si="27"/>
        <v>0.5</v>
      </c>
      <c r="BG61" s="30" t="e">
        <f t="shared" ca="1" si="76"/>
        <v>#DIV/0!</v>
      </c>
      <c r="BH61" s="85" t="e">
        <f ca="1">IF(AN61&lt;=Hypothèses!$V$7,Hypothèses!$W$7,IF(AN61&lt;=Hypothèses!$V$8,Hypothèses!$W$8,IF(AN61&lt;=Hypothèses!$V$9,Hypothèses!$W$9,IF(AN61&lt;=Hypothèses!$V$10,Hypothèses!$W$10,IF(AN61&lt;=Hypothèses!$V$11,Hypothèses!$W$11,IF(AN61&lt;=Hypothèses!$V$12,Hypothèses!$W$12,IF(AN61&lt;=Hypothèses!$V$13,Hypothèses!$W$13,IF(AN61&lt;=Hypothèses!$V$14,Hypothèses!$W$14,IF(AN61&lt;=Hypothèses!$V$15,Hypothèses!$W$15,IF(AN61&lt;=Hypothèses!$V$16,Hypothèses!$W$16,IF(AN61&lt;=Hypothèses!$V$17,Hypothèses!$W$17,IF(AN61&lt;=Hypothèses!$V$18,Hypothèses!$W$18,""))))))))))))</f>
        <v>#DIV/0!</v>
      </c>
      <c r="BI61" s="87" t="e">
        <f t="shared" ca="1" si="118"/>
        <v>#DIV/0!</v>
      </c>
      <c r="BJ61" s="88" t="e">
        <f ca="1">IF(AN61&lt;=Hypothèses!$V$7,Hypothèses!$X$7,IF(AN61&lt;=Hypothèses!$V$8,Hypothèses!$X$8,IF(AN61&lt;=Hypothèses!$V$9,Hypothèses!$X$9,IF(AN61&lt;=Hypothèses!$V$10,Hypothèses!$X$10,IF(AN61&lt;=Hypothèses!$V$11,Hypothèses!$X$11,IF(AN61&lt;=Hypothèses!$V$12,Hypothèses!$X$12,IF(AN61&lt;=Hypothèses!$V$13,Hypothèses!$X$13,IF(AN61&lt;=Hypothèses!$V$14,Hypothèses!$X$14,IF(AN61&lt;=Hypothèses!$V$15,Hypothèses!$X$15,IF(AN61&lt;=Hypothèses!$V$16,Hypothèses!$X$16,IF(AN61&lt;=Hypothèses!$U$17,Hypothèses!$W$17,IF(AN61&lt;=Hypothèses!$U$18,Hypothèses!$W$18,""))))))))))))</f>
        <v>#DIV/0!</v>
      </c>
      <c r="BK61" s="95" t="e">
        <f t="shared" ca="1" si="77"/>
        <v>#DIV/0!</v>
      </c>
      <c r="BL61" s="101" t="e">
        <f t="shared" si="125"/>
        <v>#N/A</v>
      </c>
      <c r="BM61" s="91" t="e">
        <f t="shared" si="29"/>
        <v>#N/A</v>
      </c>
      <c r="BN61" s="30" t="e">
        <f t="shared" si="104"/>
        <v>#N/A</v>
      </c>
      <c r="BO61" s="30" t="e">
        <f t="shared" si="105"/>
        <v>#N/A</v>
      </c>
      <c r="BP61" s="31" t="e">
        <f>IF(OR(Hypothèses!$B$4=17,Hypothèses!$B$4=18,Hypothèses!$B$4=19,Hypothèses!$B$4=20),
IF($D61="Pressio.",
IF(OR($E61=3,$E61=1,$E61=4),BO61,BN61),
IF($D61="Pénétro.",
IF(OR($E61=3,$E61=1,$E61=4),BO61,BN61))),IF($D61="Pressio.",
IF($E61=3,BO61,BN61),
IF($D61="Pénétro.",
IF($E61=4,BO61,BN61))))</f>
        <v>#N/A</v>
      </c>
      <c r="BQ61" s="31" t="e">
        <f>(IF(OR(Hypothèses!$B$4=17,Hypothèses!$B$4=18,Hypothèses!$B$4=19,Hypothèses!$B$4=20),
IF($D61="Pressio.",
IF(OR($E61=3,$E61=1,$E61=4),(PI()*BQ$12^2)/4*(BM61*$W61*1000)/($H61*$B$5),(PI()*BQ$12^2)/4*(BM61*$W61*1000)/($G61*$B$5)),
IF($D61="Pénétro.",
IF(OR($E61=4,$E61=1,$E61=5),(PI()*BQ$12^2)/4*(BM61*$W61*1000)/($H61*$B$5),(PI()*BQ$12^2)/4*(BM61*$W61*1000)/($G61*$B$5)))),
IF($D61="Pressio.",
IF($E61=3,(PI()*BQ$12^2)/4*(BM61*$W61*1000)/($H61*$B$5),(PI()*BQ$12^2)/4*(BM61*$W61*1000)/($G61*$B$5)),
IF($D61="Pénétro.",
IF($E61=4,(PI()*BQ$12^2)/4*(BM61*$W61*1000)/($H61*$B$5),(PI()*BQ$12^2)/4*(BM61*$W61*1000)/($G61*$B$5))))))/10</f>
        <v>#N/A</v>
      </c>
      <c r="BR61" s="102" t="e">
        <f>(VLOOKUP($B$3,'Coeff EC7'!$T$39:$X$59,2,0)*BP61+VLOOKUP($B$3,'Coeff EC7'!$T$65:$X$85,2,0)*Model0.1C!BQ61)/1.1</f>
        <v>#N/A</v>
      </c>
      <c r="BS61" s="102" t="e">
        <f>(VLOOKUP($B$3,'Coeff EC7'!$T$39:$X$59,3,0)*BP61+VLOOKUP($B$3,'Coeff EC7'!$T$65:$X$85,3,0)*Model0.1C!BQ61)/0.9</f>
        <v>#N/A</v>
      </c>
      <c r="BT61" s="102" t="e">
        <f t="shared" si="78"/>
        <v>#N/A</v>
      </c>
      <c r="BU61" s="102" t="e">
        <f t="shared" si="79"/>
        <v>#N/A</v>
      </c>
      <c r="BV61" s="414" t="e">
        <f>IF(BV60=0,0,IF(AND(BR61&gt;charge_ELS_quasi,BS61&gt;Charge_ELS_freq,BT61&gt;charge_ELU,BU61&gt;charge_ELA,$B61&gt;NDC!$H$22-0.1+MIN(3*$BV$12,1.5)),0,1))</f>
        <v>#N/A</v>
      </c>
      <c r="BW61" s="86" t="b">
        <f t="shared" si="32"/>
        <v>0</v>
      </c>
      <c r="BX61" s="86">
        <f t="shared" si="33"/>
        <v>0.5</v>
      </c>
      <c r="BY61" s="86">
        <f t="shared" si="34"/>
        <v>0.5</v>
      </c>
      <c r="BZ61" s="30" t="e">
        <f t="shared" ca="1" si="80"/>
        <v>#DIV/0!</v>
      </c>
      <c r="CA61" s="85" t="e">
        <f ca="1">IF(BG61&lt;=Hypothèses!$V$7,Hypothèses!$W$7,IF(BG61&lt;=Hypothèses!$V$8,Hypothèses!$W$8,IF(BG61&lt;=Hypothèses!$V$9,Hypothèses!$W$9,IF(BG61&lt;=Hypothèses!$V$10,Hypothèses!$W$10,IF(BG61&lt;=Hypothèses!$V$11,Hypothèses!$W$11,IF(BG61&lt;=Hypothèses!$V$12,Hypothèses!$W$12,IF(BG61&lt;=Hypothèses!$V$13,Hypothèses!$W$13,IF(BG61&lt;=Hypothèses!$V$14,Hypothèses!$W$14,IF(BG61&lt;=Hypothèses!$V$15,Hypothèses!$W$15,IF(BG61&lt;=Hypothèses!$V$16,Hypothèses!$W$16,IF(BG61&lt;=Hypothèses!$V$17,Hypothèses!$W$17,IF(BG61&lt;=Hypothèses!$V$18,Hypothèses!$W$18,""))))))))))))</f>
        <v>#DIV/0!</v>
      </c>
      <c r="CB61" s="87" t="e">
        <f t="shared" ca="1" si="119"/>
        <v>#DIV/0!</v>
      </c>
      <c r="CC61" s="88" t="e">
        <f ca="1">IF(BG61&lt;=Hypothèses!$V$7,Hypothèses!$X$7,IF(BG61&lt;=Hypothèses!$V$8,Hypothèses!$X$8,IF(BG61&lt;=Hypothèses!$V$9,Hypothèses!$X$9,IF(BG61&lt;=Hypothèses!$V$10,Hypothèses!$X$10,IF(BG61&lt;=Hypothèses!$V$11,Hypothèses!$X$11,IF(BG61&lt;=Hypothèses!$V$12,Hypothèses!$X$12,IF(BG61&lt;=Hypothèses!$V$13,Hypothèses!$X$13,IF(BG61&lt;=Hypothèses!$V$14,Hypothèses!$X$14,IF(BG61&lt;=Hypothèses!$V$15,Hypothèses!$X$15,IF(BG61&lt;=Hypothèses!$V$16,Hypothèses!$X$16,IF(BG61&lt;=Hypothèses!$U$17,Hypothèses!$W$17,IF(BG61&lt;=Hypothèses!$U$18,Hypothèses!$W$18,""))))))))))))</f>
        <v>#DIV/0!</v>
      </c>
      <c r="CD61" s="95" t="e">
        <f t="shared" ca="1" si="81"/>
        <v>#DIV/0!</v>
      </c>
      <c r="CE61" s="101" t="e">
        <f t="shared" si="126"/>
        <v>#N/A</v>
      </c>
      <c r="CF61" s="91" t="e">
        <f t="shared" si="36"/>
        <v>#N/A</v>
      </c>
      <c r="CG61" s="30" t="e">
        <f t="shared" si="106"/>
        <v>#N/A</v>
      </c>
      <c r="CH61" s="30" t="e">
        <f t="shared" si="107"/>
        <v>#N/A</v>
      </c>
      <c r="CI61" s="31" t="e">
        <f>IF(OR(Hypothèses!$B$4=17,Hypothèses!$B$4=18,Hypothèses!$B$4=19,Hypothèses!$B$4=20),
IF($D61="Pressio.",
IF(OR($E61=3,$E61=1,$E61=4),CH61,CG61),
IF($D61="Pénétro.",
IF(OR($E61=3,$E61=1,$E61=4),CH61,CG61))),IF($D61="Pressio.",
IF($E61=3,CH61,CG61),
IF($D61="Pénétro.",
IF($E61=4,CH61,CG61))))</f>
        <v>#N/A</v>
      </c>
      <c r="CJ61" s="31" t="e">
        <f>(IF(OR(Hypothèses!$B$4=17,Hypothèses!$B$4=18,Hypothèses!$B$4=19,Hypothèses!$B$4=20),
IF($D61="Pressio.",
IF(OR($E61=3,$E61=1,$E61=4),(PI()*CJ$12^2)/4*(CF61*$W61*1000)/($H61*$B$5),(PI()*CJ$12^2)/4*(CF61*$W61*1000)/($G61*$B$5)),
IF($D61="Pénétro.",
IF(OR($E61=4,$E61=1,$E61=5),(PI()*CJ$12^2)/4*(CF61*$W61*1000)/($H61*$B$5),(PI()*CJ$12^2)/4*(CF61*$W61*1000)/($G61*$B$5)))),
IF($D61="Pressio.",
IF($E61=3,(PI()*CJ$12^2)/4*(CF61*$W61*1000)/($H61*$B$5),(PI()*CJ$12^2)/4*(CF61*$W61*1000)/($G61*$B$5)),
IF($D61="Pénétro.",
IF($E61=4,(PI()*CJ$12^2)/4*(CF61*$W61*1000)/($H61*$B$5),(PI()*CJ$12^2)/4*(CF61*$W61*1000)/($G61*$B$5))))))/10</f>
        <v>#N/A</v>
      </c>
      <c r="CK61" s="102" t="e">
        <f>(VLOOKUP($B$3,'Coeff EC7'!$T$39:$X$59,2,0)*CI61+VLOOKUP($B$3,'Coeff EC7'!$T$65:$X$85,2,0)*Model0.1C!CJ61)/1.1</f>
        <v>#N/A</v>
      </c>
      <c r="CL61" s="102" t="e">
        <f>(VLOOKUP($B$3,'Coeff EC7'!$T$39:$X$59,3,0)*CI61+VLOOKUP($B$3,'Coeff EC7'!$T$65:$X$85,3,0)*Model0.1C!CJ61)/0.9</f>
        <v>#N/A</v>
      </c>
      <c r="CM61" s="102" t="e">
        <f t="shared" si="82"/>
        <v>#N/A</v>
      </c>
      <c r="CN61" s="102" t="e">
        <f t="shared" si="83"/>
        <v>#N/A</v>
      </c>
      <c r="CO61" s="414" t="e">
        <f>IF(CO60=0,0,IF(AND(CK61&gt;charge_ELS_quasi,CL61&gt;Charge_ELS_freq,CM61&gt;charge_ELU,CN61&gt;charge_ELA,$B61&gt;NDC!$H$22-0.1+MIN(3*$CO$12,1.5)),0,1))</f>
        <v>#N/A</v>
      </c>
      <c r="CP61" s="86" t="b">
        <f t="shared" si="39"/>
        <v>0</v>
      </c>
      <c r="CQ61" s="86">
        <f t="shared" si="40"/>
        <v>0.5</v>
      </c>
      <c r="CR61" s="86">
        <f t="shared" si="41"/>
        <v>0.5</v>
      </c>
      <c r="CS61" s="30" t="e">
        <f t="shared" ca="1" si="84"/>
        <v>#DIV/0!</v>
      </c>
      <c r="CT61" s="85" t="e">
        <f ca="1">IF(BZ61&lt;=Hypothèses!$V$7,Hypothèses!$W$7,IF(BZ61&lt;=Hypothèses!$V$8,Hypothèses!$W$8,IF(BZ61&lt;=Hypothèses!$V$9,Hypothèses!$W$9,IF(BZ61&lt;=Hypothèses!$V$10,Hypothèses!$W$10,IF(BZ61&lt;=Hypothèses!$V$11,Hypothèses!$W$11,IF(BZ61&lt;=Hypothèses!$V$12,Hypothèses!$W$12,IF(BZ61&lt;=Hypothèses!$V$13,Hypothèses!$W$13,IF(BZ61&lt;=Hypothèses!$V$14,Hypothèses!$W$14,IF(BZ61&lt;=Hypothèses!$V$15,Hypothèses!$W$15,IF(BZ61&lt;=Hypothèses!$V$16,Hypothèses!$W$16,IF(BZ61&lt;=Hypothèses!$V$17,Hypothèses!$W$17,IF(BZ61&lt;=Hypothèses!$V$18,Hypothèses!$W$18,""))))))))))))</f>
        <v>#DIV/0!</v>
      </c>
      <c r="CU61" s="87" t="e">
        <f t="shared" ca="1" si="120"/>
        <v>#DIV/0!</v>
      </c>
      <c r="CV61" s="88" t="e">
        <f ca="1">IF(BZ61&lt;=Hypothèses!$V$7,Hypothèses!$X$7,IF(BZ61&lt;=Hypothèses!$V$8,Hypothèses!$X$8,IF(BZ61&lt;=Hypothèses!$V$9,Hypothèses!$X$9,IF(BZ61&lt;=Hypothèses!$V$10,Hypothèses!$X$10,IF(BZ61&lt;=Hypothèses!$V$11,Hypothèses!$X$11,IF(BZ61&lt;=Hypothèses!$V$12,Hypothèses!$X$12,IF(BZ61&lt;=Hypothèses!$V$13,Hypothèses!$X$13,IF(BZ61&lt;=Hypothèses!$V$14,Hypothèses!$X$14,IF(BZ61&lt;=Hypothèses!$V$15,Hypothèses!$X$15,IF(BZ61&lt;=Hypothèses!$V$16,Hypothèses!$X$16,IF(BZ61&lt;=Hypothèses!$U$17,Hypothèses!$W$17,IF(BZ61&lt;=Hypothèses!$U$18,Hypothèses!$W$18,""))))))))))))</f>
        <v>#DIV/0!</v>
      </c>
      <c r="CW61" s="95" t="e">
        <f t="shared" ca="1" si="85"/>
        <v>#DIV/0!</v>
      </c>
      <c r="CX61" s="101" t="e">
        <f t="shared" si="127"/>
        <v>#N/A</v>
      </c>
      <c r="CY61" s="91" t="e">
        <f t="shared" si="43"/>
        <v>#N/A</v>
      </c>
      <c r="CZ61" s="30" t="e">
        <f t="shared" si="108"/>
        <v>#N/A</v>
      </c>
      <c r="DA61" s="30" t="e">
        <f t="shared" si="109"/>
        <v>#N/A</v>
      </c>
      <c r="DB61" s="31" t="e">
        <f>IF(OR(Hypothèses!$B$4=17,Hypothèses!$B$4=18,Hypothèses!$B$4=19,Hypothèses!$B$4=20),
IF($D61="Pressio.",
IF(OR($E61=3,$E61=1,$E61=4),DA61,CZ61),
IF($D61="Pénétro.",
IF(OR($E61=3,$E61=1,$E61=4),DA61,CZ61))),IF($D61="Pressio.",
IF($E61=3,DA61,CZ61),
IF($D61="Pénétro.",
IF($E61=4,DA61,CZ61))))</f>
        <v>#N/A</v>
      </c>
      <c r="DC61" s="31" t="e">
        <f>(IF(OR(Hypothèses!$B$4=17,Hypothèses!$B$4=18,Hypothèses!$B$4=19,Hypothèses!$B$4=20),
IF($D61="Pressio.",
IF(OR($E61=3,$E61=1,$E61=4),(PI()*DC$12^2)/4*(CY61*$W61*1000)/($H61*$B$5),(PI()*DC$12^2)/4*(CY61*$W61*1000)/($G61*$B$5)),
IF($D61="Pénétro.",
IF(OR($E61=4,$E61=1,$E61=5),(PI()*DC$12^2)/4*(CY61*$W61*1000)/($H61*$B$5),(PI()*DC$12^2)/4*(CY61*$W61*1000)/($G61*$B$5)))),
IF($D61="Pressio.",
IF($E61=3,(PI()*DC$12^2)/4*(CY61*$W61*1000)/($H61*$B$5),(PI()*DC$12^2)/4*(CY61*$W61*1000)/($G61*$B$5)),
IF($D61="Pénétro.",
IF($E61=4,(PI()*DC$12^2)/4*(CY61*$W61*1000)/($H61*$B$5),(PI()*DC$12^2)/4*(CY61*$W61*1000)/($G61*$B$5))))))/10</f>
        <v>#N/A</v>
      </c>
      <c r="DD61" s="102" t="e">
        <f>(VLOOKUP($B$3,'Coeff EC7'!$T$39:$X$59,2,0)*DB61+VLOOKUP($B$3,'Coeff EC7'!$T$65:$X$85,2,0)*Model0.1C!DC61)/1.1</f>
        <v>#N/A</v>
      </c>
      <c r="DE61" s="102" t="e">
        <f>(VLOOKUP($B$3,'Coeff EC7'!$T$39:$X$59,3,0)*DB61+VLOOKUP($B$3,'Coeff EC7'!$T$65:$X$85,3,0)*Model0.1C!DC61)/0.9</f>
        <v>#N/A</v>
      </c>
      <c r="DF61" s="102" t="e">
        <f t="shared" si="86"/>
        <v>#N/A</v>
      </c>
      <c r="DG61" s="102" t="e">
        <f t="shared" si="87"/>
        <v>#N/A</v>
      </c>
      <c r="DH61" s="414" t="e">
        <f>IF(DH60=0,0,IF(AND(DD61&gt;charge_ELS_quasi,DE61&gt;Charge_ELS_freq,DF61&gt;charge_ELU,DG61&gt;charge_ELA,$B61&gt;NDC!$H$22-0.1+MIN(3*$DH$12,1.5)),0,1))</f>
        <v>#N/A</v>
      </c>
      <c r="DI61" s="86" t="b">
        <f t="shared" si="46"/>
        <v>0</v>
      </c>
      <c r="DJ61" s="86">
        <f t="shared" si="47"/>
        <v>0.5</v>
      </c>
      <c r="DK61" s="86">
        <f t="shared" si="48"/>
        <v>0.5</v>
      </c>
      <c r="DL61" s="30" t="e">
        <f t="shared" ca="1" si="88"/>
        <v>#DIV/0!</v>
      </c>
      <c r="DM61" s="85" t="e">
        <f ca="1">IF(CS61&lt;=Hypothèses!$V$7,Hypothèses!$W$7,IF(CS61&lt;=Hypothèses!$V$8,Hypothèses!$W$8,IF(CS61&lt;=Hypothèses!$V$9,Hypothèses!$W$9,IF(CS61&lt;=Hypothèses!$V$10,Hypothèses!$W$10,IF(CS61&lt;=Hypothèses!$V$11,Hypothèses!$W$11,IF(CS61&lt;=Hypothèses!$V$12,Hypothèses!$W$12,IF(CS61&lt;=Hypothèses!$V$13,Hypothèses!$W$13,IF(CS61&lt;=Hypothèses!$V$14,Hypothèses!$W$14,IF(CS61&lt;=Hypothèses!$V$15,Hypothèses!$W$15,IF(CS61&lt;=Hypothèses!$V$16,Hypothèses!$W$16,IF(CS61&lt;=Hypothèses!$V$17,Hypothèses!$W$17,IF(CS61&lt;=Hypothèses!$V$18,Hypothèses!$W$18,""))))))))))))</f>
        <v>#DIV/0!</v>
      </c>
      <c r="DN61" s="87" t="e">
        <f t="shared" ca="1" si="121"/>
        <v>#DIV/0!</v>
      </c>
      <c r="DO61" s="88" t="e">
        <f ca="1">IF(CS61&lt;=Hypothèses!$V$7,Hypothèses!$X$7,IF(CS61&lt;=Hypothèses!$V$8,Hypothèses!$X$8,IF(CS61&lt;=Hypothèses!$V$9,Hypothèses!$X$9,IF(CS61&lt;=Hypothèses!$V$10,Hypothèses!$X$10,IF(CS61&lt;=Hypothèses!$V$11,Hypothèses!$X$11,IF(CS61&lt;=Hypothèses!$V$12,Hypothèses!$X$12,IF(CS61&lt;=Hypothèses!$V$13,Hypothèses!$X$13,IF(CS61&lt;=Hypothèses!$V$14,Hypothèses!$X$14,IF(CS61&lt;=Hypothèses!$V$15,Hypothèses!$X$15,IF(CS61&lt;=Hypothèses!$V$16,Hypothèses!$X$16,IF(CS61&lt;=Hypothèses!$U$17,Hypothèses!$W$17,IF(CS61&lt;=Hypothèses!$U$18,Hypothèses!$W$18,""))))))))))))</f>
        <v>#DIV/0!</v>
      </c>
      <c r="DP61" s="95" t="e">
        <f t="shared" ca="1" si="89"/>
        <v>#DIV/0!</v>
      </c>
      <c r="DQ61" s="101" t="e">
        <f t="shared" si="128"/>
        <v>#N/A</v>
      </c>
      <c r="DR61" s="91" t="e">
        <f t="shared" si="50"/>
        <v>#N/A</v>
      </c>
      <c r="DS61" s="30" t="e">
        <f t="shared" si="110"/>
        <v>#N/A</v>
      </c>
      <c r="DT61" s="30" t="e">
        <f t="shared" si="111"/>
        <v>#N/A</v>
      </c>
      <c r="DU61" s="31" t="e">
        <f>IF(OR(Hypothèses!$B$4=17,Hypothèses!$B$4=18,Hypothèses!$B$4=19,Hypothèses!$B$4=20),
IF($D61="Pressio.",
IF(OR($E61=3,$E61=1,$E61=4),DT61,DS61),
IF($D61="Pénétro.",
IF(OR($E61=3,$E61=1,$E61=4),DT61,DS61))),IF($D61="Pressio.",
IF($E61=3,DT61,DS61),
IF($D61="Pénétro.",
IF($E61=4,DT61,DS61))))</f>
        <v>#N/A</v>
      </c>
      <c r="DV61" s="31" t="e">
        <f>(IF(OR(Hypothèses!$B$4=17,Hypothèses!$B$4=18,Hypothèses!$B$4=19,Hypothèses!$B$4=20),
IF($D61="Pressio.",
IF(OR($E61=3,$E61=1,$E61=4),(PI()*DV$12^2)/4*(DR61*$W61*1000)/($H61*$B$5),(PI()*DV$12^2)/4*(DR61*$W61*1000)/($G61*$B$5)),
IF($D61="Pénétro.",
IF(OR($E61=4,$E61=1,$E61=5),(PI()*DV$12^2)/4*(DR61*$W61*1000)/($H61*$B$5),(PI()*DV$12^2)/4*(DR61*$W61*1000)/($G61*$B$5)))),
IF($D61="Pressio.",
IF($E61=3,(PI()*DV$12^2)/4*(DR61*$W61*1000)/($H61*$B$5),(PI()*DV$12^2)/4*(DR61*$W61*1000)/($G61*$B$5)),
IF($D61="Pénétro.",
IF($E61=4,(PI()*DV$12^2)/4*(DR61*$W61*1000)/($H61*$B$5),(PI()*DV$12^2)/4*(DR61*$W61*1000)/($G61*$B$5))))))/10</f>
        <v>#N/A</v>
      </c>
      <c r="DW61" s="102" t="e">
        <f>(VLOOKUP($B$3,'Coeff EC7'!$T$39:$X$59,2,0)*DU61+VLOOKUP($B$3,'Coeff EC7'!$T$65:$X$85,2,0)*Model0.1C!DV61)/1.1</f>
        <v>#N/A</v>
      </c>
      <c r="DX61" s="102" t="e">
        <f>(VLOOKUP($B$3,'Coeff EC7'!$T$39:$X$59,3,0)*DU61+VLOOKUP($B$3,'Coeff EC7'!$T$65:$X$85,3,0)*Model0.1C!DV61)/0.9</f>
        <v>#N/A</v>
      </c>
      <c r="DY61" s="102" t="e">
        <f t="shared" si="90"/>
        <v>#N/A</v>
      </c>
      <c r="DZ61" s="102" t="e">
        <f t="shared" si="91"/>
        <v>#N/A</v>
      </c>
      <c r="EA61" s="414" t="e">
        <f>IF(EA60=0,0,IF(AND(DW61&gt;charge_ELS_quasi,DX61&gt;Charge_ELS_freq,DY61&gt;charge_ELU,DZ61&gt;charge_ELA,$B61&gt;NDC!$H$22-0.1+MIN(3*$EA$12,1.5)),0,1))</f>
        <v>#N/A</v>
      </c>
      <c r="EB61" s="86" t="b">
        <f t="shared" si="53"/>
        <v>0</v>
      </c>
      <c r="EC61" s="418">
        <f t="shared" si="54"/>
        <v>0.51</v>
      </c>
      <c r="ED61" s="86">
        <f t="shared" si="55"/>
        <v>0.51</v>
      </c>
      <c r="EE61" s="30" t="e">
        <f t="shared" ca="1" si="92"/>
        <v>#DIV/0!</v>
      </c>
      <c r="EF61" s="85" t="e">
        <f ca="1">IF(DL61&lt;=Hypothèses!$V$7,Hypothèses!$W$7,IF(DL61&lt;=Hypothèses!$V$8,Hypothèses!$W$8,IF(DL61&lt;=Hypothèses!$V$9,Hypothèses!$W$9,IF(DL61&lt;=Hypothèses!$V$10,Hypothèses!$W$10,IF(DL61&lt;=Hypothèses!$V$11,Hypothèses!$W$11,IF(DL61&lt;=Hypothèses!$V$12,Hypothèses!$W$12,IF(DL61&lt;=Hypothèses!$V$13,Hypothèses!$W$13,IF(DL61&lt;=Hypothèses!$V$14,Hypothèses!$W$14,IF(DL61&lt;=Hypothèses!$V$15,Hypothèses!$W$15,IF(DL61&lt;=Hypothèses!$V$16,Hypothèses!$W$16,IF(DL61&lt;=Hypothèses!$V$17,Hypothèses!$W$17,IF(DL61&lt;=Hypothèses!$V$18,Hypothèses!$W$18,""))))))))))))</f>
        <v>#DIV/0!</v>
      </c>
      <c r="EG61" s="87" t="e">
        <f t="shared" ca="1" si="122"/>
        <v>#DIV/0!</v>
      </c>
      <c r="EH61" s="88" t="e">
        <f ca="1">IF(DL61&lt;=Hypothèses!$V$7,Hypothèses!$X$7,IF(DL61&lt;=Hypothèses!$V$8,Hypothèses!$X$8,IF(DL61&lt;=Hypothèses!$V$9,Hypothèses!$X$9,IF(DL61&lt;=Hypothèses!$V$10,Hypothèses!$X$10,IF(DL61&lt;=Hypothèses!$V$11,Hypothèses!$X$11,IF(DL61&lt;=Hypothèses!$V$12,Hypothèses!$X$12,IF(DL61&lt;=Hypothèses!$V$13,Hypothèses!$X$13,IF(DL61&lt;=Hypothèses!$V$14,Hypothèses!$X$14,IF(DL61&lt;=Hypothèses!$V$15,Hypothèses!$X$15,IF(DL61&lt;=Hypothèses!$V$16,Hypothèses!$X$16,IF(DL61&lt;=Hypothèses!$U$17,Hypothèses!$W$17,IF(DL61&lt;=Hypothèses!$U$18,Hypothèses!$W$18,""))))))))))))</f>
        <v>#DIV/0!</v>
      </c>
      <c r="EI61" s="95" t="e">
        <f t="shared" ca="1" si="93"/>
        <v>#DIV/0!</v>
      </c>
      <c r="EJ61" s="101" t="e">
        <f t="shared" si="129"/>
        <v>#N/A</v>
      </c>
      <c r="EK61" s="91" t="e">
        <f t="shared" si="57"/>
        <v>#N/A</v>
      </c>
      <c r="EL61" s="30" t="e">
        <f t="shared" si="112"/>
        <v>#N/A</v>
      </c>
      <c r="EM61" s="30" t="e">
        <f t="shared" si="113"/>
        <v>#N/A</v>
      </c>
      <c r="EN61" s="31" t="e">
        <f>IF(OR(Hypothèses!$B$4=17,Hypothèses!$B$4=18,Hypothèses!$B$4=19,Hypothèses!$B$4=20),
IF($D61="Pressio.",
IF(OR($E61=3,$E61=1,$E61=4),EM61,EL61),
IF($D61="Pénétro.",
IF(OR($E61=3,$E61=1,$E61=4),EM61,EL61))),IF($D61="Pressio.",
IF($E61=3,EM61,EL61),
IF($D61="Pénétro.",
IF($E61=4,EM61,EL61))))</f>
        <v>#N/A</v>
      </c>
      <c r="EO61" s="31" t="e">
        <f>(IF(OR(Hypothèses!$B$4=17,Hypothèses!$B$4=18,Hypothèses!$B$4=19,Hypothèses!$B$4=20),
IF($D61="Pressio.",
IF(OR($E61=3,$E61=1,$E61=4),(PI()*EO$12^2)/4*(EK61*$W61*1000)/($H61*$B$5),(PI()*EO$12^2)/4*(EK61*$W61*1000)/($G61*$B$5)),
IF($D61="Pénétro.",
IF(OR($E61=4,$E61=1,$E61=5),(PI()*EO$12^2)/4*(EK61*$W61*1000)/($H61*$B$5),(PI()*EO$12^2)/4*(EK61*$W61*1000)/($G61*$B$5)))),
IF($D61="Pressio.",
IF($E61=3,(PI()*EO$12^2)/4*(EK61*$W61*1000)/($H61*$B$5),(PI()*EO$12^2)/4*(EK61*$W61*1000)/($G61*$B$5)),
IF($D61="Pénétro.",
IF($E61=4,(PI()*EO$12^2)/4*(EK61*$W61*1000)/($H61*$B$5),(PI()*EO$12^2)/4*(EK61*$W61*1000)/($G61*$B$5))))))/10</f>
        <v>#N/A</v>
      </c>
      <c r="EP61" s="102" t="e">
        <f>(VLOOKUP($B$3,'Coeff EC7'!$T$39:$X$59,2,0)*EN61+VLOOKUP($B$3,'Coeff EC7'!$T$65:$X$85,2,0)*Model0.1C!EO61)/1.1</f>
        <v>#N/A</v>
      </c>
      <c r="EQ61" s="102" t="e">
        <f>(VLOOKUP($B$3,'Coeff EC7'!$T$39:$X$59,3,0)*EN61+VLOOKUP($B$3,'Coeff EC7'!$T$65:$X$85,3,0)*Model0.1C!EO61)/0.9</f>
        <v>#N/A</v>
      </c>
      <c r="ER61" s="102" t="e">
        <f t="shared" si="94"/>
        <v>#N/A</v>
      </c>
      <c r="ES61" s="102" t="e">
        <f t="shared" si="95"/>
        <v>#N/A</v>
      </c>
      <c r="ET61" s="414" t="e">
        <f>IF(ET60=0,0,IF(AND(EP61&gt;charge_ELS_quasi,EQ61&gt;Charge_ELS_freq,ER61&gt;charge_ELU,ES61&gt;charge_ELA,$B61&gt;NDC!$H$22-0.1+MIN(3*$ET$12,1.5)),0,1))</f>
        <v>#N/A</v>
      </c>
      <c r="EU61" s="86" t="b">
        <f t="shared" si="60"/>
        <v>0</v>
      </c>
      <c r="EV61" s="86">
        <f t="shared" si="61"/>
        <v>0.61</v>
      </c>
      <c r="EW61" s="86">
        <f t="shared" si="62"/>
        <v>0.61</v>
      </c>
      <c r="EX61" s="30" t="e">
        <f t="shared" ca="1" si="96"/>
        <v>#DIV/0!</v>
      </c>
      <c r="EY61" s="85" t="e">
        <f ca="1">IF(EE61&lt;=Hypothèses!$V$7,Hypothèses!$W$7,IF(EE61&lt;=Hypothèses!$V$8,Hypothèses!$W$8,IF(EE61&lt;=Hypothèses!$V$9,Hypothèses!$W$9,IF(EE61&lt;=Hypothèses!$V$10,Hypothèses!$W$10,IF(EE61&lt;=Hypothèses!$V$11,Hypothèses!$W$11,IF(EE61&lt;=Hypothèses!$V$12,Hypothèses!$W$12,IF(EE61&lt;=Hypothèses!$V$13,Hypothèses!$W$13,IF(EE61&lt;=Hypothèses!$V$14,Hypothèses!$W$14,IF(EE61&lt;=Hypothèses!$V$15,Hypothèses!$W$15,IF(EE61&lt;=Hypothèses!$V$16,Hypothèses!$W$16,IF(EE61&lt;=Hypothèses!$V$17,Hypothèses!$W$17,IF(EE61&lt;=Hypothèses!$V$18,Hypothèses!$W$18,""))))))))))))</f>
        <v>#DIV/0!</v>
      </c>
      <c r="EZ61" s="87" t="e">
        <f t="shared" ca="1" si="123"/>
        <v>#DIV/0!</v>
      </c>
      <c r="FA61" s="88" t="e">
        <f ca="1">IF(EE61&lt;=Hypothèses!$V$7,Hypothèses!$X$7,IF(EE61&lt;=Hypothèses!$V$8,Hypothèses!$X$8,IF(EE61&lt;=Hypothèses!$V$9,Hypothèses!$X$9,IF(EE61&lt;=Hypothèses!$V$10,Hypothèses!$X$10,IF(EE61&lt;=Hypothèses!$V$11,Hypothèses!$X$11,IF(EE61&lt;=Hypothèses!$V$12,Hypothèses!$X$12,IF(EE61&lt;=Hypothèses!$V$13,Hypothèses!$X$13,IF(EE61&lt;=Hypothèses!$V$14,Hypothèses!$X$14,IF(EE61&lt;=Hypothèses!$V$15,Hypothèses!$X$15,IF(EE61&lt;=Hypothèses!$V$16,Hypothèses!$X$16,IF(EE61&lt;=Hypothèses!$U$17,Hypothèses!$W$17,IF(EE61&lt;=Hypothèses!$U$18,Hypothèses!$W$18,""))))))))))))</f>
        <v>#DIV/0!</v>
      </c>
      <c r="FB61" s="95" t="e">
        <f t="shared" ca="1" si="97"/>
        <v>#DIV/0!</v>
      </c>
      <c r="FC61" s="101" t="e">
        <f t="shared" si="130"/>
        <v>#N/A</v>
      </c>
      <c r="FD61" s="91" t="e">
        <f t="shared" si="64"/>
        <v>#N/A</v>
      </c>
      <c r="FE61" s="30" t="e">
        <f t="shared" si="114"/>
        <v>#N/A</v>
      </c>
      <c r="FF61" s="30" t="e">
        <f t="shared" si="115"/>
        <v>#N/A</v>
      </c>
      <c r="FG61" s="31" t="e">
        <f>IF(OR(Hypothèses!$B$4=17,Hypothèses!$B$4=18,Hypothèses!$B$4=19,Hypothèses!$B$4=20),
IF($D61="Pressio.",
IF(OR($E61=3,$E61=1,$E61=4),FF61,FE61),
IF($D61="Pénétro.",
IF(OR($E61=3,$E61=1,$E61=4),FF61,FE61))),IF($D61="Pressio.",
IF($E61=3,FF61,FE61),
IF($D61="Pénétro.",
IF($E61=4,FF61,FE61))))</f>
        <v>#N/A</v>
      </c>
      <c r="FH61" s="31" t="e">
        <f>(IF(OR(Hypothèses!$B$4=17,Hypothèses!$B$4=18,Hypothèses!$B$4=19,Hypothèses!$B$4=20),
IF($D61="Pressio.",
IF(OR($E61=3,$E61=1,$E61=4),(PI()*FH$12^2)/4*(FD61*$W61*1000)/($H61*$B$5),(PI()*FH$12^2)/4*(FD61*$W61*1000)/($G61*$B$5)),
IF($D61="Pénétro.",
IF(OR($E61=4,$E61=1,$E61=5),(PI()*FH$12^2)/4*(FD61*$W61*1000)/($H61*$B$5),(PI()*FH$12^2)/4*(FD61*$W61*1000)/($G61*$B$5)))),
IF($D61="Pressio.",
IF($E61=3,(PI()*FH$12^2)/4*(FD61*$W61*1000)/($H61*$B$5),(PI()*FH$12^2)/4*(FD61*$W61*1000)/($G61*$B$5)),
IF($D61="Pénétro.",
IF($E61=4,(PI()*FH$12^2)/4*(FD61*$W61*1000)/($H61*$B$5),(PI()*FH$12^2)/4*(FD61*$W61*1000)/($G61*$B$5))))))/10</f>
        <v>#N/A</v>
      </c>
      <c r="FI61" s="102" t="e">
        <f>(VLOOKUP($B$3,'Coeff EC7'!$T$39:$X$59,2,0)*FG61+VLOOKUP($B$3,'Coeff EC7'!$T$65:$X$85,2,0)*Model0.1C!FH61)/1.1</f>
        <v>#N/A</v>
      </c>
      <c r="FJ61" s="102" t="e">
        <f>(VLOOKUP($B$3,'Coeff EC7'!$T$39:$X$59,3,0)*FG61+VLOOKUP($B$3,'Coeff EC7'!$T$65:$X$85,3,0)*Model0.1C!FH61)/0.9</f>
        <v>#N/A</v>
      </c>
      <c r="FK61" s="102" t="e">
        <f t="shared" si="98"/>
        <v>#N/A</v>
      </c>
      <c r="FL61" s="102" t="e">
        <f t="shared" si="99"/>
        <v>#N/A</v>
      </c>
      <c r="FM61" s="414" t="e">
        <f>IF(FM60=0,0,IF(AND(FI61&gt;charge_ELS_quasi,FJ61&gt;Charge_ELS_freq,FK61&gt;charge_ELU,FL61&gt;charge_ELA,$B61&gt;NDC!$H$22-0.1+MIN(3*$FM$12,1.5)),0,1))</f>
        <v>#N/A</v>
      </c>
    </row>
    <row r="62" spans="1:169">
      <c r="A62" s="96">
        <f t="shared" si="67"/>
        <v>95.100000000000279</v>
      </c>
      <c r="B62" s="97">
        <v>4.9000000000000004</v>
      </c>
      <c r="C62" s="81">
        <f>IF(B62&lt;=Hypothèses!$C$7,Hypothèses!$A$7,IF(B62&lt;=Hypothèses!$C$8,Hypothèses!$A$8,IF(B62&lt;=Hypothèses!$C$9,Hypothèses!$A$9,IF(B62&lt;=Hypothèses!$C$10,Hypothèses!$A$10,IF(B62&lt;=Hypothèses!$C$11,Hypothèses!$A$11,IF(B62&lt;=Hypothèses!$C$12,Hypothèses!$A$12,IF(B62&lt;=Hypothèses!$C$13,Hypothèses!$A$13,IF(B62&lt;=Hypothèses!$C$14,Hypothèses!$A$14,IF(B62&lt;=Hypothèses!$C$15,Hypothèses!$A$15,IF(B62&lt;=Hypothèses!$C$16,Hypothèses!$A$16,IF(B62&lt;=Hypothèses!$C$17,Hypothèses!$A$17,IF(B62&lt;=Hypothèses!$C$18,Hypothèses!$A$18,C61))))))))))))</f>
        <v>11</v>
      </c>
      <c r="D62" s="82" t="str">
        <f>IF(B62&lt;=Hypothèses!$C$7,Hypothèses!$R$7,IF(B62&lt;=Hypothèses!$C$8,Hypothèses!$R$8,IF(B62&lt;=Hypothèses!$C$9,Hypothèses!$R$9,IF(B62&lt;=Hypothèses!$C$10,Hypothèses!$R$10,IF(B62&lt;=Hypothèses!$C$11,Hypothèses!$R$11,IF(B62&lt;=Hypothèses!$C$12,Hypothèses!$R$12,IF(B62&lt;=Hypothèses!$C$13,Hypothèses!$R$13,IF(B62&lt;=Hypothèses!$C$14,Hypothèses!$R$14,IF(B62&lt;=Hypothèses!$C$15,Hypothèses!$R$15,IF(B62&lt;=Hypothèses!$C$16,Hypothèses!$R$16,IF(B62&lt;=Hypothèses!$C$17,Hypothèses!$R$17,IF(B62&lt;=Hypothèses!$C$18,Hypothèses!$R$18,D61))))))))))))</f>
        <v>Pressio.</v>
      </c>
      <c r="E62" s="82" t="e">
        <f>IF(B62&lt;=Hypothèses!$C$7,Hypothèses!$G$7,IF(B62&lt;=Hypothèses!$C$8,Hypothèses!$G$8,IF(B62&lt;=Hypothèses!$C$9,Hypothèses!$G$9,IF(B62&lt;=Hypothèses!$C$10,Hypothèses!$G$10,IF(B62&lt;=Hypothèses!$C$11,Hypothèses!$G$11,IF(B62&lt;=Hypothèses!$C$12,Hypothèses!$G$12,IF(B62&lt;=Hypothèses!$C$13,Hypothèses!$G$13,IF(B62&lt;=Hypothèses!$C$14,Hypothèses!$G$14,IF(B62&lt;=Hypothèses!$C$15,Hypothèses!$G$15,IF(B62&lt;=Hypothèses!$C$16,Hypothèses!$G$16,IF(B62&lt;=Hypothèses!$C$17,Hypothèses!$G$17,IF(B62&lt;=Hypothèses!$C$18,Hypothèses!$G$18,E61))))))))))))</f>
        <v>#N/A</v>
      </c>
      <c r="F62" s="82" t="str">
        <f>IF(B62&lt;=Hypothèses!$C$7,Hypothèses!$F$7,IF(B62&lt;=Hypothèses!$C$8,Hypothèses!$F$8,IF(B62&lt;=Hypothèses!$C$9,Hypothèses!$F$9,IF(B62&lt;=Hypothèses!$C$10,Hypothèses!$F$10,IF(B62&lt;=Hypothèses!$C$11,Hypothèses!$F$11,IF(B62&lt;=Hypothèses!$C$12,Hypothèses!$F$12,IF(B62&lt;=Hypothèses!$C$13,Hypothèses!$F$13,IF(B62&lt;=Hypothèses!$C$14,Hypothèses!$F$14,IF(B62&lt;=Hypothèses!$C$15,Hypothèses!$F$15,IF(B62&lt;=Hypothèses!$C$16,Hypothèses!$F$16,IF(B62&lt;=Hypothèses!$C$17,Hypothèses!$F$17,IF(B62&lt;=Hypothèses!$C$18,Hypothèses!$F$18,F61))))))))))))</f>
        <v/>
      </c>
      <c r="G62" s="91">
        <f t="array" ref="G62">INDEX('Coeff EC7'!$U$7:$X$27,
MATCH(Model0.1C!$B$3,'Coeff EC7'!$T$7:$T$27,0),
MATCH(Model0.1C!$D62&amp;Model0.1C!$B$4,
'Coeff EC7'!$U$6:$X$6&amp;
'Coeff EC7'!$U$5:$X$5,0))</f>
        <v>1.1499999999999999</v>
      </c>
      <c r="H62" s="91">
        <f t="array" ref="H62">INDEX('Coeff EC7'!$Y$7:$AB$27,
MATCH(Model0.1C!$B$3,'Coeff EC7'!$T$7:$T$27,0),
MATCH(Model0.1C!$D62&amp;Model0.1C!$B$4,
'Coeff EC7'!$Y$6:$AB$6&amp;
'Coeff EC7'!$Y$5:$AB$5,0))</f>
        <v>1.4</v>
      </c>
      <c r="I62" s="83" t="e">
        <f>IF(B62&lt;=Hypothèses!$C$7,Hypothèses!$P$7,IF(B62&lt;=Hypothèses!$C$8,Hypothèses!$P$8,IF(B62&lt;=Hypothèses!$C$9,Hypothèses!$P$9,IF(B62&lt;=Hypothèses!$C$10,Hypothèses!$P$10,IF(B62&lt;=Hypothèses!$C$11,Hypothèses!$P$11,IF(B62&lt;=Hypothèses!$C$12,Hypothèses!$P$12,IF(B62&lt;=Hypothèses!$C$13,Hypothèses!$P$13,IF(B62&lt;=Hypothèses!$C$14,Hypothèses!$P$14,IF(B62&lt;=Hypothèses!$C$15,Hypothèses!$P$15,IF(B62&lt;=Hypothèses!$C$16,Hypothèses!$P$16,IF(B62&lt;=Hypothèses!$C$17,Hypothèses!$P$17,IF(B62&lt;=Hypothèses!$C$18,Hypothèses!$P$18,I61))))))))))))</f>
        <v>#N/A</v>
      </c>
      <c r="J62" s="91" t="e">
        <f t="array" ref="J62">INDEX('Coeff EC7'!$D$33:$Q$33,1,MATCH(D62&amp;E62,'Coeff EC7'!$D$31:$Q$31&amp;'Coeff EC7'!$D$32:$Q$32,0))</f>
        <v>#N/A</v>
      </c>
      <c r="K62" s="91" t="e">
        <f t="array" ref="K62">INDEX('Coeff EC7'!$D$34:$Q$34,1,MATCH(D62&amp;E62,'Coeff EC7'!$D$31:$Q$31&amp;'Coeff EC7'!$D$32:$Q$32,0))</f>
        <v>#N/A</v>
      </c>
      <c r="L62" s="91" t="e">
        <f t="array" ref="L62">INDEX('Coeff EC7'!$D$35:$Q$35,1,MATCH(D62&amp;E62,'Coeff EC7'!$D$31:$Q$31&amp;'Coeff EC7'!$D$32:$Q$32,0))</f>
        <v>#N/A</v>
      </c>
      <c r="M62" s="98" t="e">
        <f t="shared" si="8"/>
        <v>#N/A</v>
      </c>
      <c r="N62" s="99" t="e">
        <f t="array" ref="N62">INDEX('Coeff EC7'!$D$7:$Q$27,MATCH($B$3,'Coeff EC7'!$C$7:$C$27,0),MATCH(D62&amp;E62,'Coeff EC7'!$D$5:$Q$5&amp;'Coeff EC7'!$D$6:$Q$6,0))</f>
        <v>#N/A</v>
      </c>
      <c r="O62" s="99" t="e">
        <f t="array" ref="O62">INDEX('Coeff EC7'!$D$41:$Q$61,MATCH($B$3,'Coeff EC7'!$C$41:$C$61,0),MATCH(D62&amp;E62,'Coeff EC7'!$D$39:$Q$39&amp;'Coeff EC7'!$D$40:$Q$40,0))</f>
        <v>#N/A</v>
      </c>
      <c r="P62" s="30" t="e">
        <f t="shared" si="68"/>
        <v>#N/A</v>
      </c>
      <c r="Q62" s="100" t="e">
        <f t="shared" si="10"/>
        <v>#N/A</v>
      </c>
      <c r="R62" s="86" t="b">
        <f t="shared" si="11"/>
        <v>0</v>
      </c>
      <c r="S62" s="86">
        <f t="shared" si="9"/>
        <v>0.5</v>
      </c>
      <c r="T62" s="86">
        <f t="shared" si="12"/>
        <v>0.5</v>
      </c>
      <c r="U62" s="30" t="e">
        <f t="shared" ca="1" si="69"/>
        <v>#DIV/0!</v>
      </c>
      <c r="V62" s="85" t="str">
        <f>IF(B62&lt;=Hypothèses!$V$7,Hypothèses!$W$7,IF(B62&lt;=Hypothèses!$V$8,Hypothèses!$W$8,IF(B62&lt;=Hypothèses!$V$9,Hypothèses!$W$9,IF(B62&lt;=Hypothèses!$V$10,Hypothèses!$W$10,IF(B62&lt;=Hypothèses!$V$11,Hypothèses!$W$11,IF(B62&lt;=Hypothèses!$V$12,Hypothèses!$W$12,IF(B62&lt;=Hypothèses!$V$13,Hypothèses!$W$13,IF(B62&lt;=Hypothèses!$V$14,Hypothèses!$W$14,IF(B62&lt;=Hypothèses!$V$15,Hypothèses!$W$15,IF(B62&lt;=Hypothèses!$V$16,Hypothèses!$W$16,IF(B62&lt;=Hypothèses!$V$17,Hypothèses!$W$17,IF(B62&lt;=Hypothèses!$V$18,Hypothèses!$W$18,""))))))))))))</f>
        <v/>
      </c>
      <c r="W62" s="87" t="e">
        <f t="shared" ca="1" si="116"/>
        <v>#DIV/0!</v>
      </c>
      <c r="X62" s="88" t="str">
        <f>IF(B62&lt;=Hypothèses!$V$7,Hypothèses!$X$7,IF(B62&lt;=Hypothèses!$V$8,Hypothèses!$X$8,IF(B62&lt;=Hypothèses!$V$9,Hypothèses!$X$9,IF(B62&lt;=Hypothèses!$V$10,Hypothèses!$X$10,IF(B62&lt;=Hypothèses!$V$11,Hypothèses!$X$11,IF(B62&lt;=Hypothèses!$V$12,Hypothèses!$X$12,IF(B62&lt;=Hypothèses!$V$13,Hypothèses!$X$13,IF(B62&lt;=Hypothèses!$V$14,Hypothèses!$X$14,IF(B62&lt;=Hypothèses!$V$15,Hypothèses!$X$15,IF(B62&lt;=Hypothèses!$V$16,Hypothèses!$X$16,IF(B62&lt;=Hypothèses!$U$17,Hypothèses!$W$17,IF(B62&lt;=Hypothèses!$U$18,Hypothèses!$W$18,""))))))))))))</f>
        <v/>
      </c>
      <c r="Y62" s="95" t="e">
        <f t="shared" ca="1" si="13"/>
        <v>#DIV/0!</v>
      </c>
      <c r="Z62" s="101" t="e">
        <f t="shared" si="14"/>
        <v>#N/A</v>
      </c>
      <c r="AA62" s="91" t="e">
        <f t="shared" si="15"/>
        <v>#N/A</v>
      </c>
      <c r="AB62" s="30" t="e">
        <f t="shared" si="100"/>
        <v>#N/A</v>
      </c>
      <c r="AC62" s="30" t="e">
        <f t="shared" si="101"/>
        <v>#N/A</v>
      </c>
      <c r="AD62" s="31" t="e">
        <f>IF(OR(Hypothèses!$B$4=17,Hypothèses!$B$4=18,Hypothèses!$B$4=19,Hypothèses!$B$4=20),
IF($D62="Pressio.",
IF(OR($E62=3,$E62=1,$E62=4),AC62,AB62),
IF($D62="Pénétro.",
IF(OR($E62=3,$E62=1,$E62=4),AC62,AB62))),IF($D62="Pressio.",
IF($E62=3,AC62,AB62),
IF($D62="Pénétro.",
IF($E62=4,AC62,AB62))))</f>
        <v>#N/A</v>
      </c>
      <c r="AE62" s="31" t="e">
        <f>(IF(OR(Hypothèses!$B$4=17,Hypothèses!$B$4=18,Hypothèses!$B$4=19,Hypothèses!$B$4=20),
IF($D62="Pressio.",
IF(OR($E62=3,$E62=1,$E62=4),(PI()*AE$12^2)/4*(AA62*$W62*1000)/($H62*$B$5),(PI()*AE$12^2)/4*(AA62*$W62*1000)/($G62*$B$5)),
IF($D62="Pénétro.",
IF(OR($E62=4,$E62=1,$E62=5),(PI()*AE$12^2)/4*(AA62*$W62*1000)/($H62*$B$5),(PI()*AE$12^2)/4*(AA62*$W62*1000)/($G62*$B$5)))),
IF($D62="Pressio.",
IF($E62=3,(PI()*AE$12^2)/4*(AA62*$W62*1000)/($H62*$B$5),(PI()*AE$12^2)/4*(AA62*$W62*1000)/($G62*$B$5)),
IF($D62="Pénétro.",
IF($E62=4,(PI()*AE$12^2)/4*(AA62*$W62*1000)/($H62*$B$5),(PI()*AE$12^2)/4*(AA62*$W62*1000)/($G62*$B$5))))))/10</f>
        <v>#N/A</v>
      </c>
      <c r="AF62" s="102" t="e">
        <f>(VLOOKUP($B$3,'Coeff EC7'!$T$39:$X$59,2,0)*AD62+VLOOKUP($B$3,'Coeff EC7'!$T$65:$X$85,2,0)*Model0.1C!AE62)/1.1</f>
        <v>#N/A</v>
      </c>
      <c r="AG62" s="102" t="e">
        <f>(VLOOKUP($B$3,'Coeff EC7'!$T$39:$X$59,3,0)*AD62+VLOOKUP($B$3,'Coeff EC7'!$T$65:$X$85,3,0)*Model0.1C!AE62)/0.9</f>
        <v>#N/A</v>
      </c>
      <c r="AH62" s="102" t="e">
        <f t="shared" si="18"/>
        <v>#N/A</v>
      </c>
      <c r="AI62" s="102" t="e">
        <f t="shared" si="19"/>
        <v>#N/A</v>
      </c>
      <c r="AJ62" s="414" t="e">
        <f>IF(AJ61=0,0,IF(AND(AF62&gt;charge_ELS_quasi,AG62&gt;Charge_ELS_freq,AH62&gt;charge_ELU,AI62&gt;charge_ELA,$B62&gt;NDC!$H$22-0.1+MIN(3*$AJ$12,1.5)),0,1))</f>
        <v>#N/A</v>
      </c>
      <c r="AK62" s="86" t="b">
        <f t="shared" si="20"/>
        <v>0</v>
      </c>
      <c r="AL62" s="86">
        <f t="shared" si="70"/>
        <v>0.5</v>
      </c>
      <c r="AM62" s="86">
        <f t="shared" si="21"/>
        <v>0.5</v>
      </c>
      <c r="AN62" s="30" t="e">
        <f t="shared" ca="1" si="71"/>
        <v>#DIV/0!</v>
      </c>
      <c r="AO62" s="85" t="e">
        <f ca="1">IF(U62&lt;=Hypothèses!$V$7,Hypothèses!$W$7,IF(U62&lt;=Hypothèses!$V$8,Hypothèses!$W$8,IF(U62&lt;=Hypothèses!$V$9,Hypothèses!$W$9,IF(U62&lt;=Hypothèses!$V$10,Hypothèses!$W$10,IF(U62&lt;=Hypothèses!$V$11,Hypothèses!$W$11,IF(U62&lt;=Hypothèses!$V$12,Hypothèses!$W$12,IF(U62&lt;=Hypothèses!$V$13,Hypothèses!$W$13,IF(U62&lt;=Hypothèses!$V$14,Hypothèses!$W$14,IF(U62&lt;=Hypothèses!$V$15,Hypothèses!$W$15,IF(U62&lt;=Hypothèses!$V$16,Hypothèses!$W$16,IF(U62&lt;=Hypothèses!$V$17,Hypothèses!$W$17,IF(U62&lt;=Hypothèses!$V$18,Hypothèses!$W$18,""))))))))))))</f>
        <v>#DIV/0!</v>
      </c>
      <c r="AP62" s="87" t="e">
        <f t="shared" ca="1" si="117"/>
        <v>#DIV/0!</v>
      </c>
      <c r="AQ62" s="88" t="e">
        <f ca="1">IF(U62&lt;=Hypothèses!$V$7,Hypothèses!$X$7,IF(U62&lt;=Hypothèses!$V$8,Hypothèses!$X$8,IF(U62&lt;=Hypothèses!$V$9,Hypothèses!$X$9,IF(U62&lt;=Hypothèses!$V$10,Hypothèses!$X$10,IF(U62&lt;=Hypothèses!$V$11,Hypothèses!$X$11,IF(U62&lt;=Hypothèses!$V$12,Hypothèses!$X$12,IF(U62&lt;=Hypothèses!$V$13,Hypothèses!$X$13,IF(U62&lt;=Hypothèses!$V$14,Hypothèses!$X$14,IF(U62&lt;=Hypothèses!$V$15,Hypothèses!$X$15,IF(U62&lt;=Hypothèses!$V$16,Hypothèses!$X$16,IF(U62&lt;=Hypothèses!$U$17,Hypothèses!$W$17,IF(U62&lt;=Hypothèses!$U$18,Hypothèses!$W$18,""))))))))))))</f>
        <v>#DIV/0!</v>
      </c>
      <c r="AR62" s="95" t="e">
        <f t="shared" ca="1" si="72"/>
        <v>#DIV/0!</v>
      </c>
      <c r="AS62" s="101" t="e">
        <f t="shared" si="124"/>
        <v>#N/A</v>
      </c>
      <c r="AT62" s="91" t="e">
        <f t="shared" si="23"/>
        <v>#N/A</v>
      </c>
      <c r="AU62" s="30" t="e">
        <f t="shared" si="102"/>
        <v>#N/A</v>
      </c>
      <c r="AV62" s="30" t="e">
        <f t="shared" si="103"/>
        <v>#N/A</v>
      </c>
      <c r="AW62" s="31" t="e">
        <f>IF(OR(Hypothèses!$B$4=17,Hypothèses!$B$4=18,Hypothèses!$B$4=19,Hypothèses!$B$4=20),
IF($D62="Pressio.",
IF(OR($E62=3,$E62=1,$E62=4),AV62,AU62),
IF($D62="Pénétro.",
IF(OR($E62=3,$E62=1,$E62=4),AV62,AU62))),IF($D62="Pressio.",
IF($E62=3,AV62,AU62),
IF($D62="Pénétro.",
IF($E62=4,AV62,AU62))))</f>
        <v>#N/A</v>
      </c>
      <c r="AX62" s="31" t="e">
        <f>(IF(OR(Hypothèses!$B$4=17,Hypothèses!$B$4=18,Hypothèses!$B$4=19,Hypothèses!$B$4=20),
IF($D62="Pressio.",
IF(OR($E62=3,$E62=1,$E62=4),(PI()*AX$12^2)/4*(AT62*$W62*1000)/($H62*$B$5),(PI()*AX$12^2)/4*(AT62*$W62*1000)/($G62*$B$5)),
IF($D62="Pénétro.",
IF(OR($E62=4,$E62=1,$E62=5),(PI()*AX$12^2)/4*(AT62*$W62*1000)/($H62*$B$5),(PI()*AX$12^2)/4*(AT62*$W62*1000)/($G62*$B$5)))),
IF($D62="Pressio.",
IF($E62=3,(PI()*AX$12^2)/4*(AT62*$W62*1000)/($H62*$B$5),(PI()*AX$12^2)/4*(AT62*$W62*1000)/($G62*$B$5)),
IF($D62="Pénétro.",
IF($E62=4,(PI()*AX$12^2)/4*(AT62*$W62*1000)/($H62*$B$5),(PI()*AX$12^2)/4*(AT62*$W62*1000)/($G62*$B$5))))))/10</f>
        <v>#N/A</v>
      </c>
      <c r="AY62" s="102" t="e">
        <f>(VLOOKUP($B$3,'Coeff EC7'!$T$39:$X$59,2,0)*AW62+VLOOKUP($B$3,'Coeff EC7'!$T$65:$X$85,2,0)*Model0.1C!AX62)/1.1</f>
        <v>#N/A</v>
      </c>
      <c r="AZ62" s="102" t="e">
        <f>(VLOOKUP($B$3,'Coeff EC7'!$T$39:$X$59,3,0)*AW62+VLOOKUP($B$3,'Coeff EC7'!$T$65:$X$85,3,0)*Model0.1C!AX62)/0.9</f>
        <v>#N/A</v>
      </c>
      <c r="BA62" s="102" t="e">
        <f t="shared" si="73"/>
        <v>#N/A</v>
      </c>
      <c r="BB62" s="102" t="e">
        <f t="shared" si="74"/>
        <v>#N/A</v>
      </c>
      <c r="BC62" s="414" t="e">
        <f>IF(BC61=0,0,IF(AND(AY62&gt;charge_ELS_quasi,AZ62&gt;Charge_ELS_freq,BA62&gt;charge_ELU,BB62&gt;charge_ELA,$B62&gt;NDC!$H$22-0.1+MIN(3*$BC$12,1.5)),0,1))</f>
        <v>#N/A</v>
      </c>
      <c r="BD62" s="86" t="b">
        <f t="shared" si="26"/>
        <v>0</v>
      </c>
      <c r="BE62" s="86">
        <f t="shared" si="75"/>
        <v>0.5</v>
      </c>
      <c r="BF62" s="86">
        <f t="shared" si="27"/>
        <v>0.5</v>
      </c>
      <c r="BG62" s="30" t="e">
        <f t="shared" ca="1" si="76"/>
        <v>#DIV/0!</v>
      </c>
      <c r="BH62" s="85" t="e">
        <f ca="1">IF(AN62&lt;=Hypothèses!$V$7,Hypothèses!$W$7,IF(AN62&lt;=Hypothèses!$V$8,Hypothèses!$W$8,IF(AN62&lt;=Hypothèses!$V$9,Hypothèses!$W$9,IF(AN62&lt;=Hypothèses!$V$10,Hypothèses!$W$10,IF(AN62&lt;=Hypothèses!$V$11,Hypothèses!$W$11,IF(AN62&lt;=Hypothèses!$V$12,Hypothèses!$W$12,IF(AN62&lt;=Hypothèses!$V$13,Hypothèses!$W$13,IF(AN62&lt;=Hypothèses!$V$14,Hypothèses!$W$14,IF(AN62&lt;=Hypothèses!$V$15,Hypothèses!$W$15,IF(AN62&lt;=Hypothèses!$V$16,Hypothèses!$W$16,IF(AN62&lt;=Hypothèses!$V$17,Hypothèses!$W$17,IF(AN62&lt;=Hypothèses!$V$18,Hypothèses!$W$18,""))))))))))))</f>
        <v>#DIV/0!</v>
      </c>
      <c r="BI62" s="87" t="e">
        <f t="shared" ca="1" si="118"/>
        <v>#DIV/0!</v>
      </c>
      <c r="BJ62" s="88" t="e">
        <f ca="1">IF(AN62&lt;=Hypothèses!$V$7,Hypothèses!$X$7,IF(AN62&lt;=Hypothèses!$V$8,Hypothèses!$X$8,IF(AN62&lt;=Hypothèses!$V$9,Hypothèses!$X$9,IF(AN62&lt;=Hypothèses!$V$10,Hypothèses!$X$10,IF(AN62&lt;=Hypothèses!$V$11,Hypothèses!$X$11,IF(AN62&lt;=Hypothèses!$V$12,Hypothèses!$X$12,IF(AN62&lt;=Hypothèses!$V$13,Hypothèses!$X$13,IF(AN62&lt;=Hypothèses!$V$14,Hypothèses!$X$14,IF(AN62&lt;=Hypothèses!$V$15,Hypothèses!$X$15,IF(AN62&lt;=Hypothèses!$V$16,Hypothèses!$X$16,IF(AN62&lt;=Hypothèses!$U$17,Hypothèses!$W$17,IF(AN62&lt;=Hypothèses!$U$18,Hypothèses!$W$18,""))))))))))))</f>
        <v>#DIV/0!</v>
      </c>
      <c r="BK62" s="95" t="e">
        <f t="shared" ca="1" si="77"/>
        <v>#DIV/0!</v>
      </c>
      <c r="BL62" s="101" t="e">
        <f t="shared" si="125"/>
        <v>#N/A</v>
      </c>
      <c r="BM62" s="91" t="e">
        <f t="shared" si="29"/>
        <v>#N/A</v>
      </c>
      <c r="BN62" s="30" t="e">
        <f t="shared" si="104"/>
        <v>#N/A</v>
      </c>
      <c r="BO62" s="30" t="e">
        <f t="shared" si="105"/>
        <v>#N/A</v>
      </c>
      <c r="BP62" s="31" t="e">
        <f>IF(OR(Hypothèses!$B$4=17,Hypothèses!$B$4=18,Hypothèses!$B$4=19,Hypothèses!$B$4=20),
IF($D62="Pressio.",
IF(OR($E62=3,$E62=1,$E62=4),BO62,BN62),
IF($D62="Pénétro.",
IF(OR($E62=3,$E62=1,$E62=4),BO62,BN62))),IF($D62="Pressio.",
IF($E62=3,BO62,BN62),
IF($D62="Pénétro.",
IF($E62=4,BO62,BN62))))</f>
        <v>#N/A</v>
      </c>
      <c r="BQ62" s="31" t="e">
        <f>(IF(OR(Hypothèses!$B$4=17,Hypothèses!$B$4=18,Hypothèses!$B$4=19,Hypothèses!$B$4=20),
IF($D62="Pressio.",
IF(OR($E62=3,$E62=1,$E62=4),(PI()*BQ$12^2)/4*(BM62*$W62*1000)/($H62*$B$5),(PI()*BQ$12^2)/4*(BM62*$W62*1000)/($G62*$B$5)),
IF($D62="Pénétro.",
IF(OR($E62=4,$E62=1,$E62=5),(PI()*BQ$12^2)/4*(BM62*$W62*1000)/($H62*$B$5),(PI()*BQ$12^2)/4*(BM62*$W62*1000)/($G62*$B$5)))),
IF($D62="Pressio.",
IF($E62=3,(PI()*BQ$12^2)/4*(BM62*$W62*1000)/($H62*$B$5),(PI()*BQ$12^2)/4*(BM62*$W62*1000)/($G62*$B$5)),
IF($D62="Pénétro.",
IF($E62=4,(PI()*BQ$12^2)/4*(BM62*$W62*1000)/($H62*$B$5),(PI()*BQ$12^2)/4*(BM62*$W62*1000)/($G62*$B$5))))))/10</f>
        <v>#N/A</v>
      </c>
      <c r="BR62" s="102" t="e">
        <f>(VLOOKUP($B$3,'Coeff EC7'!$T$39:$X$59,2,0)*BP62+VLOOKUP($B$3,'Coeff EC7'!$T$65:$X$85,2,0)*Model0.1C!BQ62)/1.1</f>
        <v>#N/A</v>
      </c>
      <c r="BS62" s="102" t="e">
        <f>(VLOOKUP($B$3,'Coeff EC7'!$T$39:$X$59,3,0)*BP62+VLOOKUP($B$3,'Coeff EC7'!$T$65:$X$85,3,0)*Model0.1C!BQ62)/0.9</f>
        <v>#N/A</v>
      </c>
      <c r="BT62" s="102" t="e">
        <f t="shared" si="78"/>
        <v>#N/A</v>
      </c>
      <c r="BU62" s="102" t="e">
        <f t="shared" si="79"/>
        <v>#N/A</v>
      </c>
      <c r="BV62" s="414" t="e">
        <f>IF(BV61=0,0,IF(AND(BR62&gt;charge_ELS_quasi,BS62&gt;Charge_ELS_freq,BT62&gt;charge_ELU,BU62&gt;charge_ELA,$B62&gt;NDC!$H$22-0.1+MIN(3*$BV$12,1.5)),0,1))</f>
        <v>#N/A</v>
      </c>
      <c r="BW62" s="86" t="b">
        <f t="shared" si="32"/>
        <v>0</v>
      </c>
      <c r="BX62" s="86">
        <f t="shared" si="33"/>
        <v>0.5</v>
      </c>
      <c r="BY62" s="86">
        <f t="shared" si="34"/>
        <v>0.5</v>
      </c>
      <c r="BZ62" s="30" t="e">
        <f t="shared" ca="1" si="80"/>
        <v>#DIV/0!</v>
      </c>
      <c r="CA62" s="85" t="e">
        <f ca="1">IF(BG62&lt;=Hypothèses!$V$7,Hypothèses!$W$7,IF(BG62&lt;=Hypothèses!$V$8,Hypothèses!$W$8,IF(BG62&lt;=Hypothèses!$V$9,Hypothèses!$W$9,IF(BG62&lt;=Hypothèses!$V$10,Hypothèses!$W$10,IF(BG62&lt;=Hypothèses!$V$11,Hypothèses!$W$11,IF(BG62&lt;=Hypothèses!$V$12,Hypothèses!$W$12,IF(BG62&lt;=Hypothèses!$V$13,Hypothèses!$W$13,IF(BG62&lt;=Hypothèses!$V$14,Hypothèses!$W$14,IF(BG62&lt;=Hypothèses!$V$15,Hypothèses!$W$15,IF(BG62&lt;=Hypothèses!$V$16,Hypothèses!$W$16,IF(BG62&lt;=Hypothèses!$V$17,Hypothèses!$W$17,IF(BG62&lt;=Hypothèses!$V$18,Hypothèses!$W$18,""))))))))))))</f>
        <v>#DIV/0!</v>
      </c>
      <c r="CB62" s="87" t="e">
        <f t="shared" ca="1" si="119"/>
        <v>#DIV/0!</v>
      </c>
      <c r="CC62" s="88" t="e">
        <f ca="1">IF(BG62&lt;=Hypothèses!$V$7,Hypothèses!$X$7,IF(BG62&lt;=Hypothèses!$V$8,Hypothèses!$X$8,IF(BG62&lt;=Hypothèses!$V$9,Hypothèses!$X$9,IF(BG62&lt;=Hypothèses!$V$10,Hypothèses!$X$10,IF(BG62&lt;=Hypothèses!$V$11,Hypothèses!$X$11,IF(BG62&lt;=Hypothèses!$V$12,Hypothèses!$X$12,IF(BG62&lt;=Hypothèses!$V$13,Hypothèses!$X$13,IF(BG62&lt;=Hypothèses!$V$14,Hypothèses!$X$14,IF(BG62&lt;=Hypothèses!$V$15,Hypothèses!$X$15,IF(BG62&lt;=Hypothèses!$V$16,Hypothèses!$X$16,IF(BG62&lt;=Hypothèses!$U$17,Hypothèses!$W$17,IF(BG62&lt;=Hypothèses!$U$18,Hypothèses!$W$18,""))))))))))))</f>
        <v>#DIV/0!</v>
      </c>
      <c r="CD62" s="95" t="e">
        <f t="shared" ca="1" si="81"/>
        <v>#DIV/0!</v>
      </c>
      <c r="CE62" s="101" t="e">
        <f t="shared" si="126"/>
        <v>#N/A</v>
      </c>
      <c r="CF62" s="91" t="e">
        <f t="shared" si="36"/>
        <v>#N/A</v>
      </c>
      <c r="CG62" s="30" t="e">
        <f t="shared" si="106"/>
        <v>#N/A</v>
      </c>
      <c r="CH62" s="30" t="e">
        <f t="shared" si="107"/>
        <v>#N/A</v>
      </c>
      <c r="CI62" s="31" t="e">
        <f>IF(OR(Hypothèses!$B$4=17,Hypothèses!$B$4=18,Hypothèses!$B$4=19,Hypothèses!$B$4=20),
IF($D62="Pressio.",
IF(OR($E62=3,$E62=1,$E62=4),CH62,CG62),
IF($D62="Pénétro.",
IF(OR($E62=3,$E62=1,$E62=4),CH62,CG62))),IF($D62="Pressio.",
IF($E62=3,CH62,CG62),
IF($D62="Pénétro.",
IF($E62=4,CH62,CG62))))</f>
        <v>#N/A</v>
      </c>
      <c r="CJ62" s="31" t="e">
        <f>(IF(OR(Hypothèses!$B$4=17,Hypothèses!$B$4=18,Hypothèses!$B$4=19,Hypothèses!$B$4=20),
IF($D62="Pressio.",
IF(OR($E62=3,$E62=1,$E62=4),(PI()*CJ$12^2)/4*(CF62*$W62*1000)/($H62*$B$5),(PI()*CJ$12^2)/4*(CF62*$W62*1000)/($G62*$B$5)),
IF($D62="Pénétro.",
IF(OR($E62=4,$E62=1,$E62=5),(PI()*CJ$12^2)/4*(CF62*$W62*1000)/($H62*$B$5),(PI()*CJ$12^2)/4*(CF62*$W62*1000)/($G62*$B$5)))),
IF($D62="Pressio.",
IF($E62=3,(PI()*CJ$12^2)/4*(CF62*$W62*1000)/($H62*$B$5),(PI()*CJ$12^2)/4*(CF62*$W62*1000)/($G62*$B$5)),
IF($D62="Pénétro.",
IF($E62=4,(PI()*CJ$12^2)/4*(CF62*$W62*1000)/($H62*$B$5),(PI()*CJ$12^2)/4*(CF62*$W62*1000)/($G62*$B$5))))))/10</f>
        <v>#N/A</v>
      </c>
      <c r="CK62" s="102" t="e">
        <f>(VLOOKUP($B$3,'Coeff EC7'!$T$39:$X$59,2,0)*CI62+VLOOKUP($B$3,'Coeff EC7'!$T$65:$X$85,2,0)*Model0.1C!CJ62)/1.1</f>
        <v>#N/A</v>
      </c>
      <c r="CL62" s="102" t="e">
        <f>(VLOOKUP($B$3,'Coeff EC7'!$T$39:$X$59,3,0)*CI62+VLOOKUP($B$3,'Coeff EC7'!$T$65:$X$85,3,0)*Model0.1C!CJ62)/0.9</f>
        <v>#N/A</v>
      </c>
      <c r="CM62" s="102" t="e">
        <f t="shared" si="82"/>
        <v>#N/A</v>
      </c>
      <c r="CN62" s="102" t="e">
        <f t="shared" si="83"/>
        <v>#N/A</v>
      </c>
      <c r="CO62" s="414" t="e">
        <f>IF(CO61=0,0,IF(AND(CK62&gt;charge_ELS_quasi,CL62&gt;Charge_ELS_freq,CM62&gt;charge_ELU,CN62&gt;charge_ELA,$B62&gt;NDC!$H$22-0.1+MIN(3*$CO$12,1.5)),0,1))</f>
        <v>#N/A</v>
      </c>
      <c r="CP62" s="86" t="b">
        <f t="shared" si="39"/>
        <v>0</v>
      </c>
      <c r="CQ62" s="86">
        <f t="shared" si="40"/>
        <v>0.5</v>
      </c>
      <c r="CR62" s="86">
        <f t="shared" si="41"/>
        <v>0.5</v>
      </c>
      <c r="CS62" s="30" t="e">
        <f t="shared" ca="1" si="84"/>
        <v>#DIV/0!</v>
      </c>
      <c r="CT62" s="85" t="e">
        <f ca="1">IF(BZ62&lt;=Hypothèses!$V$7,Hypothèses!$W$7,IF(BZ62&lt;=Hypothèses!$V$8,Hypothèses!$W$8,IF(BZ62&lt;=Hypothèses!$V$9,Hypothèses!$W$9,IF(BZ62&lt;=Hypothèses!$V$10,Hypothèses!$W$10,IF(BZ62&lt;=Hypothèses!$V$11,Hypothèses!$W$11,IF(BZ62&lt;=Hypothèses!$V$12,Hypothèses!$W$12,IF(BZ62&lt;=Hypothèses!$V$13,Hypothèses!$W$13,IF(BZ62&lt;=Hypothèses!$V$14,Hypothèses!$W$14,IF(BZ62&lt;=Hypothèses!$V$15,Hypothèses!$W$15,IF(BZ62&lt;=Hypothèses!$V$16,Hypothèses!$W$16,IF(BZ62&lt;=Hypothèses!$V$17,Hypothèses!$W$17,IF(BZ62&lt;=Hypothèses!$V$18,Hypothèses!$W$18,""))))))))))))</f>
        <v>#DIV/0!</v>
      </c>
      <c r="CU62" s="87" t="e">
        <f t="shared" ca="1" si="120"/>
        <v>#DIV/0!</v>
      </c>
      <c r="CV62" s="88" t="e">
        <f ca="1">IF(BZ62&lt;=Hypothèses!$V$7,Hypothèses!$X$7,IF(BZ62&lt;=Hypothèses!$V$8,Hypothèses!$X$8,IF(BZ62&lt;=Hypothèses!$V$9,Hypothèses!$X$9,IF(BZ62&lt;=Hypothèses!$V$10,Hypothèses!$X$10,IF(BZ62&lt;=Hypothèses!$V$11,Hypothèses!$X$11,IF(BZ62&lt;=Hypothèses!$V$12,Hypothèses!$X$12,IF(BZ62&lt;=Hypothèses!$V$13,Hypothèses!$X$13,IF(BZ62&lt;=Hypothèses!$V$14,Hypothèses!$X$14,IF(BZ62&lt;=Hypothèses!$V$15,Hypothèses!$X$15,IF(BZ62&lt;=Hypothèses!$V$16,Hypothèses!$X$16,IF(BZ62&lt;=Hypothèses!$U$17,Hypothèses!$W$17,IF(BZ62&lt;=Hypothèses!$U$18,Hypothèses!$W$18,""))))))))))))</f>
        <v>#DIV/0!</v>
      </c>
      <c r="CW62" s="95" t="e">
        <f t="shared" ca="1" si="85"/>
        <v>#DIV/0!</v>
      </c>
      <c r="CX62" s="101" t="e">
        <f t="shared" si="127"/>
        <v>#N/A</v>
      </c>
      <c r="CY62" s="91" t="e">
        <f t="shared" si="43"/>
        <v>#N/A</v>
      </c>
      <c r="CZ62" s="30" t="e">
        <f t="shared" si="108"/>
        <v>#N/A</v>
      </c>
      <c r="DA62" s="30" t="e">
        <f t="shared" si="109"/>
        <v>#N/A</v>
      </c>
      <c r="DB62" s="31" t="e">
        <f>IF(OR(Hypothèses!$B$4=17,Hypothèses!$B$4=18,Hypothèses!$B$4=19,Hypothèses!$B$4=20),
IF($D62="Pressio.",
IF(OR($E62=3,$E62=1,$E62=4),DA62,CZ62),
IF($D62="Pénétro.",
IF(OR($E62=3,$E62=1,$E62=4),DA62,CZ62))),IF($D62="Pressio.",
IF($E62=3,DA62,CZ62),
IF($D62="Pénétro.",
IF($E62=4,DA62,CZ62))))</f>
        <v>#N/A</v>
      </c>
      <c r="DC62" s="31" t="e">
        <f>(IF(OR(Hypothèses!$B$4=17,Hypothèses!$B$4=18,Hypothèses!$B$4=19,Hypothèses!$B$4=20),
IF($D62="Pressio.",
IF(OR($E62=3,$E62=1,$E62=4),(PI()*DC$12^2)/4*(CY62*$W62*1000)/($H62*$B$5),(PI()*DC$12^2)/4*(CY62*$W62*1000)/($G62*$B$5)),
IF($D62="Pénétro.",
IF(OR($E62=4,$E62=1,$E62=5),(PI()*DC$12^2)/4*(CY62*$W62*1000)/($H62*$B$5),(PI()*DC$12^2)/4*(CY62*$W62*1000)/($G62*$B$5)))),
IF($D62="Pressio.",
IF($E62=3,(PI()*DC$12^2)/4*(CY62*$W62*1000)/($H62*$B$5),(PI()*DC$12^2)/4*(CY62*$W62*1000)/($G62*$B$5)),
IF($D62="Pénétro.",
IF($E62=4,(PI()*DC$12^2)/4*(CY62*$W62*1000)/($H62*$B$5),(PI()*DC$12^2)/4*(CY62*$W62*1000)/($G62*$B$5))))))/10</f>
        <v>#N/A</v>
      </c>
      <c r="DD62" s="102" t="e">
        <f>(VLOOKUP($B$3,'Coeff EC7'!$T$39:$X$59,2,0)*DB62+VLOOKUP($B$3,'Coeff EC7'!$T$65:$X$85,2,0)*Model0.1C!DC62)/1.1</f>
        <v>#N/A</v>
      </c>
      <c r="DE62" s="102" t="e">
        <f>(VLOOKUP($B$3,'Coeff EC7'!$T$39:$X$59,3,0)*DB62+VLOOKUP($B$3,'Coeff EC7'!$T$65:$X$85,3,0)*Model0.1C!DC62)/0.9</f>
        <v>#N/A</v>
      </c>
      <c r="DF62" s="102" t="e">
        <f t="shared" si="86"/>
        <v>#N/A</v>
      </c>
      <c r="DG62" s="102" t="e">
        <f t="shared" si="87"/>
        <v>#N/A</v>
      </c>
      <c r="DH62" s="414" t="e">
        <f>IF(DH61=0,0,IF(AND(DD62&gt;charge_ELS_quasi,DE62&gt;Charge_ELS_freq,DF62&gt;charge_ELU,DG62&gt;charge_ELA,$B62&gt;NDC!$H$22-0.1+MIN(3*$DH$12,1.5)),0,1))</f>
        <v>#N/A</v>
      </c>
      <c r="DI62" s="86" t="b">
        <f t="shared" si="46"/>
        <v>0</v>
      </c>
      <c r="DJ62" s="86">
        <f t="shared" si="47"/>
        <v>0.5</v>
      </c>
      <c r="DK62" s="86">
        <f t="shared" si="48"/>
        <v>0.5</v>
      </c>
      <c r="DL62" s="30" t="e">
        <f t="shared" ca="1" si="88"/>
        <v>#DIV/0!</v>
      </c>
      <c r="DM62" s="85" t="e">
        <f ca="1">IF(CS62&lt;=Hypothèses!$V$7,Hypothèses!$W$7,IF(CS62&lt;=Hypothèses!$V$8,Hypothèses!$W$8,IF(CS62&lt;=Hypothèses!$V$9,Hypothèses!$W$9,IF(CS62&lt;=Hypothèses!$V$10,Hypothèses!$W$10,IF(CS62&lt;=Hypothèses!$V$11,Hypothèses!$W$11,IF(CS62&lt;=Hypothèses!$V$12,Hypothèses!$W$12,IF(CS62&lt;=Hypothèses!$V$13,Hypothèses!$W$13,IF(CS62&lt;=Hypothèses!$V$14,Hypothèses!$W$14,IF(CS62&lt;=Hypothèses!$V$15,Hypothèses!$W$15,IF(CS62&lt;=Hypothèses!$V$16,Hypothèses!$W$16,IF(CS62&lt;=Hypothèses!$V$17,Hypothèses!$W$17,IF(CS62&lt;=Hypothèses!$V$18,Hypothèses!$W$18,""))))))))))))</f>
        <v>#DIV/0!</v>
      </c>
      <c r="DN62" s="87" t="e">
        <f t="shared" ca="1" si="121"/>
        <v>#DIV/0!</v>
      </c>
      <c r="DO62" s="88" t="e">
        <f ca="1">IF(CS62&lt;=Hypothèses!$V$7,Hypothèses!$X$7,IF(CS62&lt;=Hypothèses!$V$8,Hypothèses!$X$8,IF(CS62&lt;=Hypothèses!$V$9,Hypothèses!$X$9,IF(CS62&lt;=Hypothèses!$V$10,Hypothèses!$X$10,IF(CS62&lt;=Hypothèses!$V$11,Hypothèses!$X$11,IF(CS62&lt;=Hypothèses!$V$12,Hypothèses!$X$12,IF(CS62&lt;=Hypothèses!$V$13,Hypothèses!$X$13,IF(CS62&lt;=Hypothèses!$V$14,Hypothèses!$X$14,IF(CS62&lt;=Hypothèses!$V$15,Hypothèses!$X$15,IF(CS62&lt;=Hypothèses!$V$16,Hypothèses!$X$16,IF(CS62&lt;=Hypothèses!$U$17,Hypothèses!$W$17,IF(CS62&lt;=Hypothèses!$U$18,Hypothèses!$W$18,""))))))))))))</f>
        <v>#DIV/0!</v>
      </c>
      <c r="DP62" s="95" t="e">
        <f t="shared" ca="1" si="89"/>
        <v>#DIV/0!</v>
      </c>
      <c r="DQ62" s="101" t="e">
        <f t="shared" si="128"/>
        <v>#N/A</v>
      </c>
      <c r="DR62" s="91" t="e">
        <f t="shared" si="50"/>
        <v>#N/A</v>
      </c>
      <c r="DS62" s="30" t="e">
        <f t="shared" si="110"/>
        <v>#N/A</v>
      </c>
      <c r="DT62" s="30" t="e">
        <f t="shared" si="111"/>
        <v>#N/A</v>
      </c>
      <c r="DU62" s="31" t="e">
        <f>IF(OR(Hypothèses!$B$4=17,Hypothèses!$B$4=18,Hypothèses!$B$4=19,Hypothèses!$B$4=20),
IF($D62="Pressio.",
IF(OR($E62=3,$E62=1,$E62=4),DT62,DS62),
IF($D62="Pénétro.",
IF(OR($E62=3,$E62=1,$E62=4),DT62,DS62))),IF($D62="Pressio.",
IF($E62=3,DT62,DS62),
IF($D62="Pénétro.",
IF($E62=4,DT62,DS62))))</f>
        <v>#N/A</v>
      </c>
      <c r="DV62" s="31" t="e">
        <f>(IF(OR(Hypothèses!$B$4=17,Hypothèses!$B$4=18,Hypothèses!$B$4=19,Hypothèses!$B$4=20),
IF($D62="Pressio.",
IF(OR($E62=3,$E62=1,$E62=4),(PI()*DV$12^2)/4*(DR62*$W62*1000)/($H62*$B$5),(PI()*DV$12^2)/4*(DR62*$W62*1000)/($G62*$B$5)),
IF($D62="Pénétro.",
IF(OR($E62=4,$E62=1,$E62=5),(PI()*DV$12^2)/4*(DR62*$W62*1000)/($H62*$B$5),(PI()*DV$12^2)/4*(DR62*$W62*1000)/($G62*$B$5)))),
IF($D62="Pressio.",
IF($E62=3,(PI()*DV$12^2)/4*(DR62*$W62*1000)/($H62*$B$5),(PI()*DV$12^2)/4*(DR62*$W62*1000)/($G62*$B$5)),
IF($D62="Pénétro.",
IF($E62=4,(PI()*DV$12^2)/4*(DR62*$W62*1000)/($H62*$B$5),(PI()*DV$12^2)/4*(DR62*$W62*1000)/($G62*$B$5))))))/10</f>
        <v>#N/A</v>
      </c>
      <c r="DW62" s="102" t="e">
        <f>(VLOOKUP($B$3,'Coeff EC7'!$T$39:$X$59,2,0)*DU62+VLOOKUP($B$3,'Coeff EC7'!$T$65:$X$85,2,0)*Model0.1C!DV62)/1.1</f>
        <v>#N/A</v>
      </c>
      <c r="DX62" s="102" t="e">
        <f>(VLOOKUP($B$3,'Coeff EC7'!$T$39:$X$59,3,0)*DU62+VLOOKUP($B$3,'Coeff EC7'!$T$65:$X$85,3,0)*Model0.1C!DV62)/0.9</f>
        <v>#N/A</v>
      </c>
      <c r="DY62" s="102" t="e">
        <f t="shared" si="90"/>
        <v>#N/A</v>
      </c>
      <c r="DZ62" s="102" t="e">
        <f t="shared" si="91"/>
        <v>#N/A</v>
      </c>
      <c r="EA62" s="414" t="e">
        <f>IF(EA61=0,0,IF(AND(DW62&gt;charge_ELS_quasi,DX62&gt;Charge_ELS_freq,DY62&gt;charge_ELU,DZ62&gt;charge_ELA,$B62&gt;NDC!$H$22-0.1+MIN(3*$EA$12,1.5)),0,1))</f>
        <v>#N/A</v>
      </c>
      <c r="EB62" s="86" t="b">
        <f t="shared" si="53"/>
        <v>0</v>
      </c>
      <c r="EC62" s="418">
        <f t="shared" si="54"/>
        <v>0.51</v>
      </c>
      <c r="ED62" s="86">
        <f t="shared" si="55"/>
        <v>0.51</v>
      </c>
      <c r="EE62" s="30" t="e">
        <f t="shared" ca="1" si="92"/>
        <v>#DIV/0!</v>
      </c>
      <c r="EF62" s="85" t="e">
        <f ca="1">IF(DL62&lt;=Hypothèses!$V$7,Hypothèses!$W$7,IF(DL62&lt;=Hypothèses!$V$8,Hypothèses!$W$8,IF(DL62&lt;=Hypothèses!$V$9,Hypothèses!$W$9,IF(DL62&lt;=Hypothèses!$V$10,Hypothèses!$W$10,IF(DL62&lt;=Hypothèses!$V$11,Hypothèses!$W$11,IF(DL62&lt;=Hypothèses!$V$12,Hypothèses!$W$12,IF(DL62&lt;=Hypothèses!$V$13,Hypothèses!$W$13,IF(DL62&lt;=Hypothèses!$V$14,Hypothèses!$W$14,IF(DL62&lt;=Hypothèses!$V$15,Hypothèses!$W$15,IF(DL62&lt;=Hypothèses!$V$16,Hypothèses!$W$16,IF(DL62&lt;=Hypothèses!$V$17,Hypothèses!$W$17,IF(DL62&lt;=Hypothèses!$V$18,Hypothèses!$W$18,""))))))))))))</f>
        <v>#DIV/0!</v>
      </c>
      <c r="EG62" s="87" t="e">
        <f t="shared" ca="1" si="122"/>
        <v>#DIV/0!</v>
      </c>
      <c r="EH62" s="88" t="e">
        <f ca="1">IF(DL62&lt;=Hypothèses!$V$7,Hypothèses!$X$7,IF(DL62&lt;=Hypothèses!$V$8,Hypothèses!$X$8,IF(DL62&lt;=Hypothèses!$V$9,Hypothèses!$X$9,IF(DL62&lt;=Hypothèses!$V$10,Hypothèses!$X$10,IF(DL62&lt;=Hypothèses!$V$11,Hypothèses!$X$11,IF(DL62&lt;=Hypothèses!$V$12,Hypothèses!$X$12,IF(DL62&lt;=Hypothèses!$V$13,Hypothèses!$X$13,IF(DL62&lt;=Hypothèses!$V$14,Hypothèses!$X$14,IF(DL62&lt;=Hypothèses!$V$15,Hypothèses!$X$15,IF(DL62&lt;=Hypothèses!$V$16,Hypothèses!$X$16,IF(DL62&lt;=Hypothèses!$U$17,Hypothèses!$W$17,IF(DL62&lt;=Hypothèses!$U$18,Hypothèses!$W$18,""))))))))))))</f>
        <v>#DIV/0!</v>
      </c>
      <c r="EI62" s="95" t="e">
        <f t="shared" ca="1" si="93"/>
        <v>#DIV/0!</v>
      </c>
      <c r="EJ62" s="101" t="e">
        <f t="shared" si="129"/>
        <v>#N/A</v>
      </c>
      <c r="EK62" s="91" t="e">
        <f t="shared" si="57"/>
        <v>#N/A</v>
      </c>
      <c r="EL62" s="30" t="e">
        <f t="shared" si="112"/>
        <v>#N/A</v>
      </c>
      <c r="EM62" s="30" t="e">
        <f t="shared" si="113"/>
        <v>#N/A</v>
      </c>
      <c r="EN62" s="31" t="e">
        <f>IF(OR(Hypothèses!$B$4=17,Hypothèses!$B$4=18,Hypothèses!$B$4=19,Hypothèses!$B$4=20),
IF($D62="Pressio.",
IF(OR($E62=3,$E62=1,$E62=4),EM62,EL62),
IF($D62="Pénétro.",
IF(OR($E62=3,$E62=1,$E62=4),EM62,EL62))),IF($D62="Pressio.",
IF($E62=3,EM62,EL62),
IF($D62="Pénétro.",
IF($E62=4,EM62,EL62))))</f>
        <v>#N/A</v>
      </c>
      <c r="EO62" s="31" t="e">
        <f>(IF(OR(Hypothèses!$B$4=17,Hypothèses!$B$4=18,Hypothèses!$B$4=19,Hypothèses!$B$4=20),
IF($D62="Pressio.",
IF(OR($E62=3,$E62=1,$E62=4),(PI()*EO$12^2)/4*(EK62*$W62*1000)/($H62*$B$5),(PI()*EO$12^2)/4*(EK62*$W62*1000)/($G62*$B$5)),
IF($D62="Pénétro.",
IF(OR($E62=4,$E62=1,$E62=5),(PI()*EO$12^2)/4*(EK62*$W62*1000)/($H62*$B$5),(PI()*EO$12^2)/4*(EK62*$W62*1000)/($G62*$B$5)))),
IF($D62="Pressio.",
IF($E62=3,(PI()*EO$12^2)/4*(EK62*$W62*1000)/($H62*$B$5),(PI()*EO$12^2)/4*(EK62*$W62*1000)/($G62*$B$5)),
IF($D62="Pénétro.",
IF($E62=4,(PI()*EO$12^2)/4*(EK62*$W62*1000)/($H62*$B$5),(PI()*EO$12^2)/4*(EK62*$W62*1000)/($G62*$B$5))))))/10</f>
        <v>#N/A</v>
      </c>
      <c r="EP62" s="102" t="e">
        <f>(VLOOKUP($B$3,'Coeff EC7'!$T$39:$X$59,2,0)*EN62+VLOOKUP($B$3,'Coeff EC7'!$T$65:$X$85,2,0)*Model0.1C!EO62)/1.1</f>
        <v>#N/A</v>
      </c>
      <c r="EQ62" s="102" t="e">
        <f>(VLOOKUP($B$3,'Coeff EC7'!$T$39:$X$59,3,0)*EN62+VLOOKUP($B$3,'Coeff EC7'!$T$65:$X$85,3,0)*Model0.1C!EO62)/0.9</f>
        <v>#N/A</v>
      </c>
      <c r="ER62" s="102" t="e">
        <f t="shared" si="94"/>
        <v>#N/A</v>
      </c>
      <c r="ES62" s="102" t="e">
        <f t="shared" si="95"/>
        <v>#N/A</v>
      </c>
      <c r="ET62" s="414" t="e">
        <f>IF(ET61=0,0,IF(AND(EP62&gt;charge_ELS_quasi,EQ62&gt;Charge_ELS_freq,ER62&gt;charge_ELU,ES62&gt;charge_ELA,$B62&gt;NDC!$H$22-0.1+MIN(3*$ET$12,1.5)),0,1))</f>
        <v>#N/A</v>
      </c>
      <c r="EU62" s="86" t="b">
        <f t="shared" si="60"/>
        <v>0</v>
      </c>
      <c r="EV62" s="86">
        <f t="shared" si="61"/>
        <v>0.61</v>
      </c>
      <c r="EW62" s="86">
        <f t="shared" si="62"/>
        <v>0.61</v>
      </c>
      <c r="EX62" s="30" t="e">
        <f t="shared" ca="1" si="96"/>
        <v>#DIV/0!</v>
      </c>
      <c r="EY62" s="85" t="e">
        <f ca="1">IF(EE62&lt;=Hypothèses!$V$7,Hypothèses!$W$7,IF(EE62&lt;=Hypothèses!$V$8,Hypothèses!$W$8,IF(EE62&lt;=Hypothèses!$V$9,Hypothèses!$W$9,IF(EE62&lt;=Hypothèses!$V$10,Hypothèses!$W$10,IF(EE62&lt;=Hypothèses!$V$11,Hypothèses!$W$11,IF(EE62&lt;=Hypothèses!$V$12,Hypothèses!$W$12,IF(EE62&lt;=Hypothèses!$V$13,Hypothèses!$W$13,IF(EE62&lt;=Hypothèses!$V$14,Hypothèses!$W$14,IF(EE62&lt;=Hypothèses!$V$15,Hypothèses!$W$15,IF(EE62&lt;=Hypothèses!$V$16,Hypothèses!$W$16,IF(EE62&lt;=Hypothèses!$V$17,Hypothèses!$W$17,IF(EE62&lt;=Hypothèses!$V$18,Hypothèses!$W$18,""))))))))))))</f>
        <v>#DIV/0!</v>
      </c>
      <c r="EZ62" s="87" t="e">
        <f t="shared" ca="1" si="123"/>
        <v>#DIV/0!</v>
      </c>
      <c r="FA62" s="88" t="e">
        <f ca="1">IF(EE62&lt;=Hypothèses!$V$7,Hypothèses!$X$7,IF(EE62&lt;=Hypothèses!$V$8,Hypothèses!$X$8,IF(EE62&lt;=Hypothèses!$V$9,Hypothèses!$X$9,IF(EE62&lt;=Hypothèses!$V$10,Hypothèses!$X$10,IF(EE62&lt;=Hypothèses!$V$11,Hypothèses!$X$11,IF(EE62&lt;=Hypothèses!$V$12,Hypothèses!$X$12,IF(EE62&lt;=Hypothèses!$V$13,Hypothèses!$X$13,IF(EE62&lt;=Hypothèses!$V$14,Hypothèses!$X$14,IF(EE62&lt;=Hypothèses!$V$15,Hypothèses!$X$15,IF(EE62&lt;=Hypothèses!$V$16,Hypothèses!$X$16,IF(EE62&lt;=Hypothèses!$U$17,Hypothèses!$W$17,IF(EE62&lt;=Hypothèses!$U$18,Hypothèses!$W$18,""))))))))))))</f>
        <v>#DIV/0!</v>
      </c>
      <c r="FB62" s="95" t="e">
        <f t="shared" ca="1" si="97"/>
        <v>#DIV/0!</v>
      </c>
      <c r="FC62" s="101" t="e">
        <f t="shared" si="130"/>
        <v>#N/A</v>
      </c>
      <c r="FD62" s="91" t="e">
        <f t="shared" si="64"/>
        <v>#N/A</v>
      </c>
      <c r="FE62" s="30" t="e">
        <f t="shared" si="114"/>
        <v>#N/A</v>
      </c>
      <c r="FF62" s="30" t="e">
        <f t="shared" si="115"/>
        <v>#N/A</v>
      </c>
      <c r="FG62" s="31" t="e">
        <f>IF(OR(Hypothèses!$B$4=17,Hypothèses!$B$4=18,Hypothèses!$B$4=19,Hypothèses!$B$4=20),
IF($D62="Pressio.",
IF(OR($E62=3,$E62=1,$E62=4),FF62,FE62),
IF($D62="Pénétro.",
IF(OR($E62=3,$E62=1,$E62=4),FF62,FE62))),IF($D62="Pressio.",
IF($E62=3,FF62,FE62),
IF($D62="Pénétro.",
IF($E62=4,FF62,FE62))))</f>
        <v>#N/A</v>
      </c>
      <c r="FH62" s="31" t="e">
        <f>(IF(OR(Hypothèses!$B$4=17,Hypothèses!$B$4=18,Hypothèses!$B$4=19,Hypothèses!$B$4=20),
IF($D62="Pressio.",
IF(OR($E62=3,$E62=1,$E62=4),(PI()*FH$12^2)/4*(FD62*$W62*1000)/($H62*$B$5),(PI()*FH$12^2)/4*(FD62*$W62*1000)/($G62*$B$5)),
IF($D62="Pénétro.",
IF(OR($E62=4,$E62=1,$E62=5),(PI()*FH$12^2)/4*(FD62*$W62*1000)/($H62*$B$5),(PI()*FH$12^2)/4*(FD62*$W62*1000)/($G62*$B$5)))),
IF($D62="Pressio.",
IF($E62=3,(PI()*FH$12^2)/4*(FD62*$W62*1000)/($H62*$B$5),(PI()*FH$12^2)/4*(FD62*$W62*1000)/($G62*$B$5)),
IF($D62="Pénétro.",
IF($E62=4,(PI()*FH$12^2)/4*(FD62*$W62*1000)/($H62*$B$5),(PI()*FH$12^2)/4*(FD62*$W62*1000)/($G62*$B$5))))))/10</f>
        <v>#N/A</v>
      </c>
      <c r="FI62" s="102" t="e">
        <f>(VLOOKUP($B$3,'Coeff EC7'!$T$39:$X$59,2,0)*FG62+VLOOKUP($B$3,'Coeff EC7'!$T$65:$X$85,2,0)*Model0.1C!FH62)/1.1</f>
        <v>#N/A</v>
      </c>
      <c r="FJ62" s="102" t="e">
        <f>(VLOOKUP($B$3,'Coeff EC7'!$T$39:$X$59,3,0)*FG62+VLOOKUP($B$3,'Coeff EC7'!$T$65:$X$85,3,0)*Model0.1C!FH62)/0.9</f>
        <v>#N/A</v>
      </c>
      <c r="FK62" s="102" t="e">
        <f t="shared" si="98"/>
        <v>#N/A</v>
      </c>
      <c r="FL62" s="102" t="e">
        <f t="shared" si="99"/>
        <v>#N/A</v>
      </c>
      <c r="FM62" s="414" t="e">
        <f>IF(FM61=0,0,IF(AND(FI62&gt;charge_ELS_quasi,FJ62&gt;Charge_ELS_freq,FK62&gt;charge_ELU,FL62&gt;charge_ELA,$B62&gt;NDC!$H$22-0.1+MIN(3*$FM$12,1.5)),0,1))</f>
        <v>#N/A</v>
      </c>
    </row>
    <row r="63" spans="1:169">
      <c r="A63" s="96">
        <f t="shared" si="67"/>
        <v>95.000000000000284</v>
      </c>
      <c r="B63" s="97">
        <v>5</v>
      </c>
      <c r="C63" s="81">
        <f>IF(B63&lt;=Hypothèses!$C$7,Hypothèses!$A$7,IF(B63&lt;=Hypothèses!$C$8,Hypothèses!$A$8,IF(B63&lt;=Hypothèses!$C$9,Hypothèses!$A$9,IF(B63&lt;=Hypothèses!$C$10,Hypothèses!$A$10,IF(B63&lt;=Hypothèses!$C$11,Hypothèses!$A$11,IF(B63&lt;=Hypothèses!$C$12,Hypothèses!$A$12,IF(B63&lt;=Hypothèses!$C$13,Hypothèses!$A$13,IF(B63&lt;=Hypothèses!$C$14,Hypothèses!$A$14,IF(B63&lt;=Hypothèses!$C$15,Hypothèses!$A$15,IF(B63&lt;=Hypothèses!$C$16,Hypothèses!$A$16,IF(B63&lt;=Hypothèses!$C$17,Hypothèses!$A$17,IF(B63&lt;=Hypothèses!$C$18,Hypothèses!$A$18,C62))))))))))))</f>
        <v>11</v>
      </c>
      <c r="D63" s="82" t="str">
        <f>IF(B63&lt;=Hypothèses!$C$7,Hypothèses!$R$7,IF(B63&lt;=Hypothèses!$C$8,Hypothèses!$R$8,IF(B63&lt;=Hypothèses!$C$9,Hypothèses!$R$9,IF(B63&lt;=Hypothèses!$C$10,Hypothèses!$R$10,IF(B63&lt;=Hypothèses!$C$11,Hypothèses!$R$11,IF(B63&lt;=Hypothèses!$C$12,Hypothèses!$R$12,IF(B63&lt;=Hypothèses!$C$13,Hypothèses!$R$13,IF(B63&lt;=Hypothèses!$C$14,Hypothèses!$R$14,IF(B63&lt;=Hypothèses!$C$15,Hypothèses!$R$15,IF(B63&lt;=Hypothèses!$C$16,Hypothèses!$R$16,IF(B63&lt;=Hypothèses!$C$17,Hypothèses!$R$17,IF(B63&lt;=Hypothèses!$C$18,Hypothèses!$R$18,D62))))))))))))</f>
        <v>Pressio.</v>
      </c>
      <c r="E63" s="82" t="e">
        <f>IF(B63&lt;=Hypothèses!$C$7,Hypothèses!$G$7,IF(B63&lt;=Hypothèses!$C$8,Hypothèses!$G$8,IF(B63&lt;=Hypothèses!$C$9,Hypothèses!$G$9,IF(B63&lt;=Hypothèses!$C$10,Hypothèses!$G$10,IF(B63&lt;=Hypothèses!$C$11,Hypothèses!$G$11,IF(B63&lt;=Hypothèses!$C$12,Hypothèses!$G$12,IF(B63&lt;=Hypothèses!$C$13,Hypothèses!$G$13,IF(B63&lt;=Hypothèses!$C$14,Hypothèses!$G$14,IF(B63&lt;=Hypothèses!$C$15,Hypothèses!$G$15,IF(B63&lt;=Hypothèses!$C$16,Hypothèses!$G$16,IF(B63&lt;=Hypothèses!$C$17,Hypothèses!$G$17,IF(B63&lt;=Hypothèses!$C$18,Hypothèses!$G$18,E62))))))))))))</f>
        <v>#N/A</v>
      </c>
      <c r="F63" s="82" t="str">
        <f>IF(B63&lt;=Hypothèses!$C$7,Hypothèses!$F$7,IF(B63&lt;=Hypothèses!$C$8,Hypothèses!$F$8,IF(B63&lt;=Hypothèses!$C$9,Hypothèses!$F$9,IF(B63&lt;=Hypothèses!$C$10,Hypothèses!$F$10,IF(B63&lt;=Hypothèses!$C$11,Hypothèses!$F$11,IF(B63&lt;=Hypothèses!$C$12,Hypothèses!$F$12,IF(B63&lt;=Hypothèses!$C$13,Hypothèses!$F$13,IF(B63&lt;=Hypothèses!$C$14,Hypothèses!$F$14,IF(B63&lt;=Hypothèses!$C$15,Hypothèses!$F$15,IF(B63&lt;=Hypothèses!$C$16,Hypothèses!$F$16,IF(B63&lt;=Hypothèses!$C$17,Hypothèses!$F$17,IF(B63&lt;=Hypothèses!$C$18,Hypothèses!$F$18,F62))))))))))))</f>
        <v/>
      </c>
      <c r="G63" s="91">
        <f t="array" ref="G63">INDEX('Coeff EC7'!$U$7:$X$27,
MATCH(Model0.1C!$B$3,'Coeff EC7'!$T$7:$T$27,0),
MATCH(Model0.1C!$D63&amp;Model0.1C!$B$4,
'Coeff EC7'!$U$6:$X$6&amp;
'Coeff EC7'!$U$5:$X$5,0))</f>
        <v>1.1499999999999999</v>
      </c>
      <c r="H63" s="91">
        <f t="array" ref="H63">INDEX('Coeff EC7'!$Y$7:$AB$27,
MATCH(Model0.1C!$B$3,'Coeff EC7'!$T$7:$T$27,0),
MATCH(Model0.1C!$D63&amp;Model0.1C!$B$4,
'Coeff EC7'!$Y$6:$AB$6&amp;
'Coeff EC7'!$Y$5:$AB$5,0))</f>
        <v>1.4</v>
      </c>
      <c r="I63" s="83" t="e">
        <f>IF(B63&lt;=Hypothèses!$C$7,Hypothèses!$P$7,IF(B63&lt;=Hypothèses!$C$8,Hypothèses!$P$8,IF(B63&lt;=Hypothèses!$C$9,Hypothèses!$P$9,IF(B63&lt;=Hypothèses!$C$10,Hypothèses!$P$10,IF(B63&lt;=Hypothèses!$C$11,Hypothèses!$P$11,IF(B63&lt;=Hypothèses!$C$12,Hypothèses!$P$12,IF(B63&lt;=Hypothèses!$C$13,Hypothèses!$P$13,IF(B63&lt;=Hypothèses!$C$14,Hypothèses!$P$14,IF(B63&lt;=Hypothèses!$C$15,Hypothèses!$P$15,IF(B63&lt;=Hypothèses!$C$16,Hypothèses!$P$16,IF(B63&lt;=Hypothèses!$C$17,Hypothèses!$P$17,IF(B63&lt;=Hypothèses!$C$18,Hypothèses!$P$18,I62))))))))))))</f>
        <v>#N/A</v>
      </c>
      <c r="J63" s="91" t="e">
        <f t="array" ref="J63">INDEX('Coeff EC7'!$D$33:$Q$33,1,MATCH(D63&amp;E63,'Coeff EC7'!$D$31:$Q$31&amp;'Coeff EC7'!$D$32:$Q$32,0))</f>
        <v>#N/A</v>
      </c>
      <c r="K63" s="91" t="e">
        <f t="array" ref="K63">INDEX('Coeff EC7'!$D$34:$Q$34,1,MATCH(D63&amp;E63,'Coeff EC7'!$D$31:$Q$31&amp;'Coeff EC7'!$D$32:$Q$32,0))</f>
        <v>#N/A</v>
      </c>
      <c r="L63" s="91" t="e">
        <f t="array" ref="L63">INDEX('Coeff EC7'!$D$35:$Q$35,1,MATCH(D63&amp;E63,'Coeff EC7'!$D$31:$Q$31&amp;'Coeff EC7'!$D$32:$Q$32,0))</f>
        <v>#N/A</v>
      </c>
      <c r="M63" s="98" t="e">
        <f t="shared" si="8"/>
        <v>#N/A</v>
      </c>
      <c r="N63" s="99" t="e">
        <f t="array" ref="N63">INDEX('Coeff EC7'!$D$7:$Q$27,MATCH($B$3,'Coeff EC7'!$C$7:$C$27,0),MATCH(D63&amp;E63,'Coeff EC7'!$D$5:$Q$5&amp;'Coeff EC7'!$D$6:$Q$6,0))</f>
        <v>#N/A</v>
      </c>
      <c r="O63" s="99" t="e">
        <f t="array" ref="O63">INDEX('Coeff EC7'!$D$41:$Q$61,MATCH($B$3,'Coeff EC7'!$C$41:$C$61,0),MATCH(D63&amp;E63,'Coeff EC7'!$D$39:$Q$39&amp;'Coeff EC7'!$D$40:$Q$40,0))</f>
        <v>#N/A</v>
      </c>
      <c r="P63" s="30" t="e">
        <f t="shared" si="68"/>
        <v>#N/A</v>
      </c>
      <c r="Q63" s="100" t="e">
        <f t="shared" si="10"/>
        <v>#N/A</v>
      </c>
      <c r="R63" s="86" t="b">
        <f t="shared" si="11"/>
        <v>0</v>
      </c>
      <c r="S63" s="86">
        <f t="shared" si="9"/>
        <v>0.5</v>
      </c>
      <c r="T63" s="86">
        <f t="shared" si="12"/>
        <v>0.5</v>
      </c>
      <c r="U63" s="30" t="e">
        <f t="shared" ca="1" si="69"/>
        <v>#DIV/0!</v>
      </c>
      <c r="V63" s="85" t="str">
        <f>IF(B63&lt;=Hypothèses!$V$7,Hypothèses!$W$7,IF(B63&lt;=Hypothèses!$V$8,Hypothèses!$W$8,IF(B63&lt;=Hypothèses!$V$9,Hypothèses!$W$9,IF(B63&lt;=Hypothèses!$V$10,Hypothèses!$W$10,IF(B63&lt;=Hypothèses!$V$11,Hypothèses!$W$11,IF(B63&lt;=Hypothèses!$V$12,Hypothèses!$W$12,IF(B63&lt;=Hypothèses!$V$13,Hypothèses!$W$13,IF(B63&lt;=Hypothèses!$V$14,Hypothèses!$W$14,IF(B63&lt;=Hypothèses!$V$15,Hypothèses!$W$15,IF(B63&lt;=Hypothèses!$V$16,Hypothèses!$W$16,IF(B63&lt;=Hypothèses!$V$17,Hypothèses!$W$17,IF(B63&lt;=Hypothèses!$V$18,Hypothèses!$W$18,""))))))))))))</f>
        <v/>
      </c>
      <c r="W63" s="87" t="e">
        <f t="shared" ca="1" si="116"/>
        <v>#DIV/0!</v>
      </c>
      <c r="X63" s="88" t="str">
        <f>IF(B63&lt;=Hypothèses!$V$7,Hypothèses!$X$7,IF(B63&lt;=Hypothèses!$V$8,Hypothèses!$X$8,IF(B63&lt;=Hypothèses!$V$9,Hypothèses!$X$9,IF(B63&lt;=Hypothèses!$V$10,Hypothèses!$X$10,IF(B63&lt;=Hypothèses!$V$11,Hypothèses!$X$11,IF(B63&lt;=Hypothèses!$V$12,Hypothèses!$X$12,IF(B63&lt;=Hypothèses!$V$13,Hypothèses!$X$13,IF(B63&lt;=Hypothèses!$V$14,Hypothèses!$X$14,IF(B63&lt;=Hypothèses!$V$15,Hypothèses!$X$15,IF(B63&lt;=Hypothèses!$V$16,Hypothèses!$X$16,IF(B63&lt;=Hypothèses!$U$17,Hypothèses!$W$17,IF(B63&lt;=Hypothèses!$U$18,Hypothèses!$W$18,""))))))))))))</f>
        <v/>
      </c>
      <c r="Y63" s="95" t="e">
        <f t="shared" ca="1" si="13"/>
        <v>#DIV/0!</v>
      </c>
      <c r="Z63" s="101" t="e">
        <f t="shared" si="14"/>
        <v>#N/A</v>
      </c>
      <c r="AA63" s="91" t="e">
        <f t="shared" si="15"/>
        <v>#N/A</v>
      </c>
      <c r="AB63" s="30" t="e">
        <f t="shared" si="100"/>
        <v>#N/A</v>
      </c>
      <c r="AC63" s="30" t="e">
        <f t="shared" si="101"/>
        <v>#N/A</v>
      </c>
      <c r="AD63" s="31" t="e">
        <f>IF(OR(Hypothèses!$B$4=17,Hypothèses!$B$4=18,Hypothèses!$B$4=19,Hypothèses!$B$4=20),
IF($D63="Pressio.",
IF(OR($E63=3,$E63=1,$E63=4),AC63,AB63),
IF($D63="Pénétro.",
IF(OR($E63=3,$E63=1,$E63=4),AC63,AB63))),IF($D63="Pressio.",
IF($E63=3,AC63,AB63),
IF($D63="Pénétro.",
IF($E63=4,AC63,AB63))))</f>
        <v>#N/A</v>
      </c>
      <c r="AE63" s="31" t="e">
        <f>(IF(OR(Hypothèses!$B$4=17,Hypothèses!$B$4=18,Hypothèses!$B$4=19,Hypothèses!$B$4=20),
IF($D63="Pressio.",
IF(OR($E63=3,$E63=1,$E63=4),(PI()*AE$12^2)/4*(AA63*$W63*1000)/($H63*$B$5),(PI()*AE$12^2)/4*(AA63*$W63*1000)/($G63*$B$5)),
IF($D63="Pénétro.",
IF(OR($E63=4,$E63=1,$E63=5),(PI()*AE$12^2)/4*(AA63*$W63*1000)/($H63*$B$5),(PI()*AE$12^2)/4*(AA63*$W63*1000)/($G63*$B$5)))),
IF($D63="Pressio.",
IF($E63=3,(PI()*AE$12^2)/4*(AA63*$W63*1000)/($H63*$B$5),(PI()*AE$12^2)/4*(AA63*$W63*1000)/($G63*$B$5)),
IF($D63="Pénétro.",
IF($E63=4,(PI()*AE$12^2)/4*(AA63*$W63*1000)/($H63*$B$5),(PI()*AE$12^2)/4*(AA63*$W63*1000)/($G63*$B$5))))))/10</f>
        <v>#N/A</v>
      </c>
      <c r="AF63" s="102" t="e">
        <f>(VLOOKUP($B$3,'Coeff EC7'!$T$39:$X$59,2,0)*AD63+VLOOKUP($B$3,'Coeff EC7'!$T$65:$X$85,2,0)*Model0.1C!AE63)/1.1</f>
        <v>#N/A</v>
      </c>
      <c r="AG63" s="102" t="e">
        <f>(VLOOKUP($B$3,'Coeff EC7'!$T$39:$X$59,3,0)*AD63+VLOOKUP($B$3,'Coeff EC7'!$T$65:$X$85,3,0)*Model0.1C!AE63)/0.9</f>
        <v>#N/A</v>
      </c>
      <c r="AH63" s="102" t="e">
        <f t="shared" si="18"/>
        <v>#N/A</v>
      </c>
      <c r="AI63" s="102" t="e">
        <f t="shared" si="19"/>
        <v>#N/A</v>
      </c>
      <c r="AJ63" s="414" t="e">
        <f>IF(AJ62=0,0,IF(AND(AF63&gt;charge_ELS_quasi,AG63&gt;Charge_ELS_freq,AH63&gt;charge_ELU,AI63&gt;charge_ELA,$B63&gt;NDC!$H$22-0.1+MIN(3*$AJ$12,1.5)),0,1))</f>
        <v>#N/A</v>
      </c>
      <c r="AK63" s="86" t="b">
        <f t="shared" si="20"/>
        <v>0</v>
      </c>
      <c r="AL63" s="86">
        <f t="shared" si="70"/>
        <v>0.5</v>
      </c>
      <c r="AM63" s="86">
        <f t="shared" si="21"/>
        <v>0.5</v>
      </c>
      <c r="AN63" s="30" t="e">
        <f t="shared" ca="1" si="71"/>
        <v>#DIV/0!</v>
      </c>
      <c r="AO63" s="85" t="e">
        <f ca="1">IF(U63&lt;=Hypothèses!$V$7,Hypothèses!$W$7,IF(U63&lt;=Hypothèses!$V$8,Hypothèses!$W$8,IF(U63&lt;=Hypothèses!$V$9,Hypothèses!$W$9,IF(U63&lt;=Hypothèses!$V$10,Hypothèses!$W$10,IF(U63&lt;=Hypothèses!$V$11,Hypothèses!$W$11,IF(U63&lt;=Hypothèses!$V$12,Hypothèses!$W$12,IF(U63&lt;=Hypothèses!$V$13,Hypothèses!$W$13,IF(U63&lt;=Hypothèses!$V$14,Hypothèses!$W$14,IF(U63&lt;=Hypothèses!$V$15,Hypothèses!$W$15,IF(U63&lt;=Hypothèses!$V$16,Hypothèses!$W$16,IF(U63&lt;=Hypothèses!$V$17,Hypothèses!$W$17,IF(U63&lt;=Hypothèses!$V$18,Hypothèses!$W$18,""))))))))))))</f>
        <v>#DIV/0!</v>
      </c>
      <c r="AP63" s="87" t="e">
        <f t="shared" ca="1" si="117"/>
        <v>#DIV/0!</v>
      </c>
      <c r="AQ63" s="88" t="e">
        <f ca="1">IF(U63&lt;=Hypothèses!$V$7,Hypothèses!$X$7,IF(U63&lt;=Hypothèses!$V$8,Hypothèses!$X$8,IF(U63&lt;=Hypothèses!$V$9,Hypothèses!$X$9,IF(U63&lt;=Hypothèses!$V$10,Hypothèses!$X$10,IF(U63&lt;=Hypothèses!$V$11,Hypothèses!$X$11,IF(U63&lt;=Hypothèses!$V$12,Hypothèses!$X$12,IF(U63&lt;=Hypothèses!$V$13,Hypothèses!$X$13,IF(U63&lt;=Hypothèses!$V$14,Hypothèses!$X$14,IF(U63&lt;=Hypothèses!$V$15,Hypothèses!$X$15,IF(U63&lt;=Hypothèses!$V$16,Hypothèses!$X$16,IF(U63&lt;=Hypothèses!$U$17,Hypothèses!$W$17,IF(U63&lt;=Hypothèses!$U$18,Hypothèses!$W$18,""))))))))))))</f>
        <v>#DIV/0!</v>
      </c>
      <c r="AR63" s="95" t="e">
        <f t="shared" ca="1" si="72"/>
        <v>#DIV/0!</v>
      </c>
      <c r="AS63" s="101" t="e">
        <f t="shared" si="124"/>
        <v>#N/A</v>
      </c>
      <c r="AT63" s="91" t="e">
        <f t="shared" si="23"/>
        <v>#N/A</v>
      </c>
      <c r="AU63" s="30" t="e">
        <f t="shared" si="102"/>
        <v>#N/A</v>
      </c>
      <c r="AV63" s="30" t="e">
        <f t="shared" si="103"/>
        <v>#N/A</v>
      </c>
      <c r="AW63" s="31" t="e">
        <f>IF(OR(Hypothèses!$B$4=17,Hypothèses!$B$4=18,Hypothèses!$B$4=19,Hypothèses!$B$4=20),
IF($D63="Pressio.",
IF(OR($E63=3,$E63=1,$E63=4),AV63,AU63),
IF($D63="Pénétro.",
IF(OR($E63=3,$E63=1,$E63=4),AV63,AU63))),IF($D63="Pressio.",
IF($E63=3,AV63,AU63),
IF($D63="Pénétro.",
IF($E63=4,AV63,AU63))))</f>
        <v>#N/A</v>
      </c>
      <c r="AX63" s="31" t="e">
        <f>(IF(OR(Hypothèses!$B$4=17,Hypothèses!$B$4=18,Hypothèses!$B$4=19,Hypothèses!$B$4=20),
IF($D63="Pressio.",
IF(OR($E63=3,$E63=1,$E63=4),(PI()*AX$12^2)/4*(AT63*$W63*1000)/($H63*$B$5),(PI()*AX$12^2)/4*(AT63*$W63*1000)/($G63*$B$5)),
IF($D63="Pénétro.",
IF(OR($E63=4,$E63=1,$E63=5),(PI()*AX$12^2)/4*(AT63*$W63*1000)/($H63*$B$5),(PI()*AX$12^2)/4*(AT63*$W63*1000)/($G63*$B$5)))),
IF($D63="Pressio.",
IF($E63=3,(PI()*AX$12^2)/4*(AT63*$W63*1000)/($H63*$B$5),(PI()*AX$12^2)/4*(AT63*$W63*1000)/($G63*$B$5)),
IF($D63="Pénétro.",
IF($E63=4,(PI()*AX$12^2)/4*(AT63*$W63*1000)/($H63*$B$5),(PI()*AX$12^2)/4*(AT63*$W63*1000)/($G63*$B$5))))))/10</f>
        <v>#N/A</v>
      </c>
      <c r="AY63" s="102" t="e">
        <f>(VLOOKUP($B$3,'Coeff EC7'!$T$39:$X$59,2,0)*AW63+VLOOKUP($B$3,'Coeff EC7'!$T$65:$X$85,2,0)*Model0.1C!AX63)/1.1</f>
        <v>#N/A</v>
      </c>
      <c r="AZ63" s="102" t="e">
        <f>(VLOOKUP($B$3,'Coeff EC7'!$T$39:$X$59,3,0)*AW63+VLOOKUP($B$3,'Coeff EC7'!$T$65:$X$85,3,0)*Model0.1C!AX63)/0.9</f>
        <v>#N/A</v>
      </c>
      <c r="BA63" s="102" t="e">
        <f t="shared" si="73"/>
        <v>#N/A</v>
      </c>
      <c r="BB63" s="102" t="e">
        <f t="shared" si="74"/>
        <v>#N/A</v>
      </c>
      <c r="BC63" s="414" t="e">
        <f>IF(BC62=0,0,IF(AND(AY63&gt;charge_ELS_quasi,AZ63&gt;Charge_ELS_freq,BA63&gt;charge_ELU,BB63&gt;charge_ELA,$B63&gt;NDC!$H$22-0.1+MIN(3*$BC$12,1.5)),0,1))</f>
        <v>#N/A</v>
      </c>
      <c r="BD63" s="86" t="b">
        <f t="shared" si="26"/>
        <v>0</v>
      </c>
      <c r="BE63" s="86">
        <f t="shared" si="75"/>
        <v>0.5</v>
      </c>
      <c r="BF63" s="86">
        <f t="shared" si="27"/>
        <v>0.5</v>
      </c>
      <c r="BG63" s="30" t="e">
        <f t="shared" ca="1" si="76"/>
        <v>#DIV/0!</v>
      </c>
      <c r="BH63" s="85" t="e">
        <f ca="1">IF(AN63&lt;=Hypothèses!$V$7,Hypothèses!$W$7,IF(AN63&lt;=Hypothèses!$V$8,Hypothèses!$W$8,IF(AN63&lt;=Hypothèses!$V$9,Hypothèses!$W$9,IF(AN63&lt;=Hypothèses!$V$10,Hypothèses!$W$10,IF(AN63&lt;=Hypothèses!$V$11,Hypothèses!$W$11,IF(AN63&lt;=Hypothèses!$V$12,Hypothèses!$W$12,IF(AN63&lt;=Hypothèses!$V$13,Hypothèses!$W$13,IF(AN63&lt;=Hypothèses!$V$14,Hypothèses!$W$14,IF(AN63&lt;=Hypothèses!$V$15,Hypothèses!$W$15,IF(AN63&lt;=Hypothèses!$V$16,Hypothèses!$W$16,IF(AN63&lt;=Hypothèses!$V$17,Hypothèses!$W$17,IF(AN63&lt;=Hypothèses!$V$18,Hypothèses!$W$18,""))))))))))))</f>
        <v>#DIV/0!</v>
      </c>
      <c r="BI63" s="87" t="e">
        <f t="shared" ca="1" si="118"/>
        <v>#DIV/0!</v>
      </c>
      <c r="BJ63" s="88" t="e">
        <f ca="1">IF(AN63&lt;=Hypothèses!$V$7,Hypothèses!$X$7,IF(AN63&lt;=Hypothèses!$V$8,Hypothèses!$X$8,IF(AN63&lt;=Hypothèses!$V$9,Hypothèses!$X$9,IF(AN63&lt;=Hypothèses!$V$10,Hypothèses!$X$10,IF(AN63&lt;=Hypothèses!$V$11,Hypothèses!$X$11,IF(AN63&lt;=Hypothèses!$V$12,Hypothèses!$X$12,IF(AN63&lt;=Hypothèses!$V$13,Hypothèses!$X$13,IF(AN63&lt;=Hypothèses!$V$14,Hypothèses!$X$14,IF(AN63&lt;=Hypothèses!$V$15,Hypothèses!$X$15,IF(AN63&lt;=Hypothèses!$V$16,Hypothèses!$X$16,IF(AN63&lt;=Hypothèses!$U$17,Hypothèses!$W$17,IF(AN63&lt;=Hypothèses!$U$18,Hypothèses!$W$18,""))))))))))))</f>
        <v>#DIV/0!</v>
      </c>
      <c r="BK63" s="95" t="e">
        <f t="shared" ca="1" si="77"/>
        <v>#DIV/0!</v>
      </c>
      <c r="BL63" s="101" t="e">
        <f t="shared" si="125"/>
        <v>#N/A</v>
      </c>
      <c r="BM63" s="91" t="e">
        <f t="shared" si="29"/>
        <v>#N/A</v>
      </c>
      <c r="BN63" s="30" t="e">
        <f t="shared" si="104"/>
        <v>#N/A</v>
      </c>
      <c r="BO63" s="30" t="e">
        <f t="shared" si="105"/>
        <v>#N/A</v>
      </c>
      <c r="BP63" s="31" t="e">
        <f>IF(OR(Hypothèses!$B$4=17,Hypothèses!$B$4=18,Hypothèses!$B$4=19,Hypothèses!$B$4=20),
IF($D63="Pressio.",
IF(OR($E63=3,$E63=1,$E63=4),BO63,BN63),
IF($D63="Pénétro.",
IF(OR($E63=3,$E63=1,$E63=4),BO63,BN63))),IF($D63="Pressio.",
IF($E63=3,BO63,BN63),
IF($D63="Pénétro.",
IF($E63=4,BO63,BN63))))</f>
        <v>#N/A</v>
      </c>
      <c r="BQ63" s="31" t="e">
        <f>(IF(OR(Hypothèses!$B$4=17,Hypothèses!$B$4=18,Hypothèses!$B$4=19,Hypothèses!$B$4=20),
IF($D63="Pressio.",
IF(OR($E63=3,$E63=1,$E63=4),(PI()*BQ$12^2)/4*(BM63*$W63*1000)/($H63*$B$5),(PI()*BQ$12^2)/4*(BM63*$W63*1000)/($G63*$B$5)),
IF($D63="Pénétro.",
IF(OR($E63=4,$E63=1,$E63=5),(PI()*BQ$12^2)/4*(BM63*$W63*1000)/($H63*$B$5),(PI()*BQ$12^2)/4*(BM63*$W63*1000)/($G63*$B$5)))),
IF($D63="Pressio.",
IF($E63=3,(PI()*BQ$12^2)/4*(BM63*$W63*1000)/($H63*$B$5),(PI()*BQ$12^2)/4*(BM63*$W63*1000)/($G63*$B$5)),
IF($D63="Pénétro.",
IF($E63=4,(PI()*BQ$12^2)/4*(BM63*$W63*1000)/($H63*$B$5),(PI()*BQ$12^2)/4*(BM63*$W63*1000)/($G63*$B$5))))))/10</f>
        <v>#N/A</v>
      </c>
      <c r="BR63" s="102" t="e">
        <f>(VLOOKUP($B$3,'Coeff EC7'!$T$39:$X$59,2,0)*BP63+VLOOKUP($B$3,'Coeff EC7'!$T$65:$X$85,2,0)*Model0.1C!BQ63)/1.1</f>
        <v>#N/A</v>
      </c>
      <c r="BS63" s="102" t="e">
        <f>(VLOOKUP($B$3,'Coeff EC7'!$T$39:$X$59,3,0)*BP63+VLOOKUP($B$3,'Coeff EC7'!$T$65:$X$85,3,0)*Model0.1C!BQ63)/0.9</f>
        <v>#N/A</v>
      </c>
      <c r="BT63" s="102" t="e">
        <f t="shared" si="78"/>
        <v>#N/A</v>
      </c>
      <c r="BU63" s="102" t="e">
        <f t="shared" si="79"/>
        <v>#N/A</v>
      </c>
      <c r="BV63" s="414" t="e">
        <f>IF(BV62=0,0,IF(AND(BR63&gt;charge_ELS_quasi,BS63&gt;Charge_ELS_freq,BT63&gt;charge_ELU,BU63&gt;charge_ELA,$B63&gt;NDC!$H$22-0.1+MIN(3*$BV$12,1.5)),0,1))</f>
        <v>#N/A</v>
      </c>
      <c r="BW63" s="86" t="b">
        <f t="shared" si="32"/>
        <v>0</v>
      </c>
      <c r="BX63" s="86">
        <f t="shared" si="33"/>
        <v>0.5</v>
      </c>
      <c r="BY63" s="86">
        <f t="shared" si="34"/>
        <v>0.5</v>
      </c>
      <c r="BZ63" s="30" t="e">
        <f t="shared" ca="1" si="80"/>
        <v>#DIV/0!</v>
      </c>
      <c r="CA63" s="85" t="e">
        <f ca="1">IF(BG63&lt;=Hypothèses!$V$7,Hypothèses!$W$7,IF(BG63&lt;=Hypothèses!$V$8,Hypothèses!$W$8,IF(BG63&lt;=Hypothèses!$V$9,Hypothèses!$W$9,IF(BG63&lt;=Hypothèses!$V$10,Hypothèses!$W$10,IF(BG63&lt;=Hypothèses!$V$11,Hypothèses!$W$11,IF(BG63&lt;=Hypothèses!$V$12,Hypothèses!$W$12,IF(BG63&lt;=Hypothèses!$V$13,Hypothèses!$W$13,IF(BG63&lt;=Hypothèses!$V$14,Hypothèses!$W$14,IF(BG63&lt;=Hypothèses!$V$15,Hypothèses!$W$15,IF(BG63&lt;=Hypothèses!$V$16,Hypothèses!$W$16,IF(BG63&lt;=Hypothèses!$V$17,Hypothèses!$W$17,IF(BG63&lt;=Hypothèses!$V$18,Hypothèses!$W$18,""))))))))))))</f>
        <v>#DIV/0!</v>
      </c>
      <c r="CB63" s="87" t="e">
        <f t="shared" ca="1" si="119"/>
        <v>#DIV/0!</v>
      </c>
      <c r="CC63" s="88" t="e">
        <f ca="1">IF(BG63&lt;=Hypothèses!$V$7,Hypothèses!$X$7,IF(BG63&lt;=Hypothèses!$V$8,Hypothèses!$X$8,IF(BG63&lt;=Hypothèses!$V$9,Hypothèses!$X$9,IF(BG63&lt;=Hypothèses!$V$10,Hypothèses!$X$10,IF(BG63&lt;=Hypothèses!$V$11,Hypothèses!$X$11,IF(BG63&lt;=Hypothèses!$V$12,Hypothèses!$X$12,IF(BG63&lt;=Hypothèses!$V$13,Hypothèses!$X$13,IF(BG63&lt;=Hypothèses!$V$14,Hypothèses!$X$14,IF(BG63&lt;=Hypothèses!$V$15,Hypothèses!$X$15,IF(BG63&lt;=Hypothèses!$V$16,Hypothèses!$X$16,IF(BG63&lt;=Hypothèses!$U$17,Hypothèses!$W$17,IF(BG63&lt;=Hypothèses!$U$18,Hypothèses!$W$18,""))))))))))))</f>
        <v>#DIV/0!</v>
      </c>
      <c r="CD63" s="95" t="e">
        <f t="shared" ca="1" si="81"/>
        <v>#DIV/0!</v>
      </c>
      <c r="CE63" s="101" t="e">
        <f t="shared" si="126"/>
        <v>#N/A</v>
      </c>
      <c r="CF63" s="91" t="e">
        <f t="shared" si="36"/>
        <v>#N/A</v>
      </c>
      <c r="CG63" s="30" t="e">
        <f t="shared" si="106"/>
        <v>#N/A</v>
      </c>
      <c r="CH63" s="30" t="e">
        <f t="shared" si="107"/>
        <v>#N/A</v>
      </c>
      <c r="CI63" s="31" t="e">
        <f>IF(OR(Hypothèses!$B$4=17,Hypothèses!$B$4=18,Hypothèses!$B$4=19,Hypothèses!$B$4=20),
IF($D63="Pressio.",
IF(OR($E63=3,$E63=1,$E63=4),CH63,CG63),
IF($D63="Pénétro.",
IF(OR($E63=3,$E63=1,$E63=4),CH63,CG63))),IF($D63="Pressio.",
IF($E63=3,CH63,CG63),
IF($D63="Pénétro.",
IF($E63=4,CH63,CG63))))</f>
        <v>#N/A</v>
      </c>
      <c r="CJ63" s="31" t="e">
        <f>(IF(OR(Hypothèses!$B$4=17,Hypothèses!$B$4=18,Hypothèses!$B$4=19,Hypothèses!$B$4=20),
IF($D63="Pressio.",
IF(OR($E63=3,$E63=1,$E63=4),(PI()*CJ$12^2)/4*(CF63*$W63*1000)/($H63*$B$5),(PI()*CJ$12^2)/4*(CF63*$W63*1000)/($G63*$B$5)),
IF($D63="Pénétro.",
IF(OR($E63=4,$E63=1,$E63=5),(PI()*CJ$12^2)/4*(CF63*$W63*1000)/($H63*$B$5),(PI()*CJ$12^2)/4*(CF63*$W63*1000)/($G63*$B$5)))),
IF($D63="Pressio.",
IF($E63=3,(PI()*CJ$12^2)/4*(CF63*$W63*1000)/($H63*$B$5),(PI()*CJ$12^2)/4*(CF63*$W63*1000)/($G63*$B$5)),
IF($D63="Pénétro.",
IF($E63=4,(PI()*CJ$12^2)/4*(CF63*$W63*1000)/($H63*$B$5),(PI()*CJ$12^2)/4*(CF63*$W63*1000)/($G63*$B$5))))))/10</f>
        <v>#N/A</v>
      </c>
      <c r="CK63" s="102" t="e">
        <f>(VLOOKUP($B$3,'Coeff EC7'!$T$39:$X$59,2,0)*CI63+VLOOKUP($B$3,'Coeff EC7'!$T$65:$X$85,2,0)*Model0.1C!CJ63)/1.1</f>
        <v>#N/A</v>
      </c>
      <c r="CL63" s="102" t="e">
        <f>(VLOOKUP($B$3,'Coeff EC7'!$T$39:$X$59,3,0)*CI63+VLOOKUP($B$3,'Coeff EC7'!$T$65:$X$85,3,0)*Model0.1C!CJ63)/0.9</f>
        <v>#N/A</v>
      </c>
      <c r="CM63" s="102" t="e">
        <f t="shared" si="82"/>
        <v>#N/A</v>
      </c>
      <c r="CN63" s="102" t="e">
        <f t="shared" si="83"/>
        <v>#N/A</v>
      </c>
      <c r="CO63" s="414" t="e">
        <f>IF(CO62=0,0,IF(AND(CK63&gt;charge_ELS_quasi,CL63&gt;Charge_ELS_freq,CM63&gt;charge_ELU,CN63&gt;charge_ELA,$B63&gt;NDC!$H$22-0.1+MIN(3*$CO$12,1.5)),0,1))</f>
        <v>#N/A</v>
      </c>
      <c r="CP63" s="86" t="b">
        <f t="shared" si="39"/>
        <v>0</v>
      </c>
      <c r="CQ63" s="86">
        <f t="shared" si="40"/>
        <v>0.5</v>
      </c>
      <c r="CR63" s="86">
        <f t="shared" si="41"/>
        <v>0.5</v>
      </c>
      <c r="CS63" s="30" t="e">
        <f t="shared" ca="1" si="84"/>
        <v>#DIV/0!</v>
      </c>
      <c r="CT63" s="85" t="e">
        <f ca="1">IF(BZ63&lt;=Hypothèses!$V$7,Hypothèses!$W$7,IF(BZ63&lt;=Hypothèses!$V$8,Hypothèses!$W$8,IF(BZ63&lt;=Hypothèses!$V$9,Hypothèses!$W$9,IF(BZ63&lt;=Hypothèses!$V$10,Hypothèses!$W$10,IF(BZ63&lt;=Hypothèses!$V$11,Hypothèses!$W$11,IF(BZ63&lt;=Hypothèses!$V$12,Hypothèses!$W$12,IF(BZ63&lt;=Hypothèses!$V$13,Hypothèses!$W$13,IF(BZ63&lt;=Hypothèses!$V$14,Hypothèses!$W$14,IF(BZ63&lt;=Hypothèses!$V$15,Hypothèses!$W$15,IF(BZ63&lt;=Hypothèses!$V$16,Hypothèses!$W$16,IF(BZ63&lt;=Hypothèses!$V$17,Hypothèses!$W$17,IF(BZ63&lt;=Hypothèses!$V$18,Hypothèses!$W$18,""))))))))))))</f>
        <v>#DIV/0!</v>
      </c>
      <c r="CU63" s="87" t="e">
        <f t="shared" ca="1" si="120"/>
        <v>#DIV/0!</v>
      </c>
      <c r="CV63" s="88" t="e">
        <f ca="1">IF(BZ63&lt;=Hypothèses!$V$7,Hypothèses!$X$7,IF(BZ63&lt;=Hypothèses!$V$8,Hypothèses!$X$8,IF(BZ63&lt;=Hypothèses!$V$9,Hypothèses!$X$9,IF(BZ63&lt;=Hypothèses!$V$10,Hypothèses!$X$10,IF(BZ63&lt;=Hypothèses!$V$11,Hypothèses!$X$11,IF(BZ63&lt;=Hypothèses!$V$12,Hypothèses!$X$12,IF(BZ63&lt;=Hypothèses!$V$13,Hypothèses!$X$13,IF(BZ63&lt;=Hypothèses!$V$14,Hypothèses!$X$14,IF(BZ63&lt;=Hypothèses!$V$15,Hypothèses!$X$15,IF(BZ63&lt;=Hypothèses!$V$16,Hypothèses!$X$16,IF(BZ63&lt;=Hypothèses!$U$17,Hypothèses!$W$17,IF(BZ63&lt;=Hypothèses!$U$18,Hypothèses!$W$18,""))))))))))))</f>
        <v>#DIV/0!</v>
      </c>
      <c r="CW63" s="95" t="e">
        <f t="shared" ca="1" si="85"/>
        <v>#DIV/0!</v>
      </c>
      <c r="CX63" s="101" t="e">
        <f t="shared" si="127"/>
        <v>#N/A</v>
      </c>
      <c r="CY63" s="91" t="e">
        <f t="shared" si="43"/>
        <v>#N/A</v>
      </c>
      <c r="CZ63" s="30" t="e">
        <f t="shared" si="108"/>
        <v>#N/A</v>
      </c>
      <c r="DA63" s="30" t="e">
        <f t="shared" si="109"/>
        <v>#N/A</v>
      </c>
      <c r="DB63" s="31" t="e">
        <f>IF(OR(Hypothèses!$B$4=17,Hypothèses!$B$4=18,Hypothèses!$B$4=19,Hypothèses!$B$4=20),
IF($D63="Pressio.",
IF(OR($E63=3,$E63=1,$E63=4),DA63,CZ63),
IF($D63="Pénétro.",
IF(OR($E63=3,$E63=1,$E63=4),DA63,CZ63))),IF($D63="Pressio.",
IF($E63=3,DA63,CZ63),
IF($D63="Pénétro.",
IF($E63=4,DA63,CZ63))))</f>
        <v>#N/A</v>
      </c>
      <c r="DC63" s="31" t="e">
        <f>(IF(OR(Hypothèses!$B$4=17,Hypothèses!$B$4=18,Hypothèses!$B$4=19,Hypothèses!$B$4=20),
IF($D63="Pressio.",
IF(OR($E63=3,$E63=1,$E63=4),(PI()*DC$12^2)/4*(CY63*$W63*1000)/($H63*$B$5),(PI()*DC$12^2)/4*(CY63*$W63*1000)/($G63*$B$5)),
IF($D63="Pénétro.",
IF(OR($E63=4,$E63=1,$E63=5),(PI()*DC$12^2)/4*(CY63*$W63*1000)/($H63*$B$5),(PI()*DC$12^2)/4*(CY63*$W63*1000)/($G63*$B$5)))),
IF($D63="Pressio.",
IF($E63=3,(PI()*DC$12^2)/4*(CY63*$W63*1000)/($H63*$B$5),(PI()*DC$12^2)/4*(CY63*$W63*1000)/($G63*$B$5)),
IF($D63="Pénétro.",
IF($E63=4,(PI()*DC$12^2)/4*(CY63*$W63*1000)/($H63*$B$5),(PI()*DC$12^2)/4*(CY63*$W63*1000)/($G63*$B$5))))))/10</f>
        <v>#N/A</v>
      </c>
      <c r="DD63" s="102" t="e">
        <f>(VLOOKUP($B$3,'Coeff EC7'!$T$39:$X$59,2,0)*DB63+VLOOKUP($B$3,'Coeff EC7'!$T$65:$X$85,2,0)*Model0.1C!DC63)/1.1</f>
        <v>#N/A</v>
      </c>
      <c r="DE63" s="102" t="e">
        <f>(VLOOKUP($B$3,'Coeff EC7'!$T$39:$X$59,3,0)*DB63+VLOOKUP($B$3,'Coeff EC7'!$T$65:$X$85,3,0)*Model0.1C!DC63)/0.9</f>
        <v>#N/A</v>
      </c>
      <c r="DF63" s="102" t="e">
        <f t="shared" si="86"/>
        <v>#N/A</v>
      </c>
      <c r="DG63" s="102" t="e">
        <f t="shared" si="87"/>
        <v>#N/A</v>
      </c>
      <c r="DH63" s="414" t="e">
        <f>IF(DH62=0,0,IF(AND(DD63&gt;charge_ELS_quasi,DE63&gt;Charge_ELS_freq,DF63&gt;charge_ELU,DG63&gt;charge_ELA,$B63&gt;NDC!$H$22-0.1+MIN(3*$DH$12,1.5)),0,1))</f>
        <v>#N/A</v>
      </c>
      <c r="DI63" s="86" t="b">
        <f t="shared" si="46"/>
        <v>0</v>
      </c>
      <c r="DJ63" s="86">
        <f t="shared" si="47"/>
        <v>0.5</v>
      </c>
      <c r="DK63" s="86">
        <f t="shared" si="48"/>
        <v>0.5</v>
      </c>
      <c r="DL63" s="30" t="e">
        <f t="shared" ca="1" si="88"/>
        <v>#DIV/0!</v>
      </c>
      <c r="DM63" s="85" t="e">
        <f ca="1">IF(CS63&lt;=Hypothèses!$V$7,Hypothèses!$W$7,IF(CS63&lt;=Hypothèses!$V$8,Hypothèses!$W$8,IF(CS63&lt;=Hypothèses!$V$9,Hypothèses!$W$9,IF(CS63&lt;=Hypothèses!$V$10,Hypothèses!$W$10,IF(CS63&lt;=Hypothèses!$V$11,Hypothèses!$W$11,IF(CS63&lt;=Hypothèses!$V$12,Hypothèses!$W$12,IF(CS63&lt;=Hypothèses!$V$13,Hypothèses!$W$13,IF(CS63&lt;=Hypothèses!$V$14,Hypothèses!$W$14,IF(CS63&lt;=Hypothèses!$V$15,Hypothèses!$W$15,IF(CS63&lt;=Hypothèses!$V$16,Hypothèses!$W$16,IF(CS63&lt;=Hypothèses!$V$17,Hypothèses!$W$17,IF(CS63&lt;=Hypothèses!$V$18,Hypothèses!$W$18,""))))))))))))</f>
        <v>#DIV/0!</v>
      </c>
      <c r="DN63" s="87" t="e">
        <f t="shared" ca="1" si="121"/>
        <v>#DIV/0!</v>
      </c>
      <c r="DO63" s="88" t="e">
        <f ca="1">IF(CS63&lt;=Hypothèses!$V$7,Hypothèses!$X$7,IF(CS63&lt;=Hypothèses!$V$8,Hypothèses!$X$8,IF(CS63&lt;=Hypothèses!$V$9,Hypothèses!$X$9,IF(CS63&lt;=Hypothèses!$V$10,Hypothèses!$X$10,IF(CS63&lt;=Hypothèses!$V$11,Hypothèses!$X$11,IF(CS63&lt;=Hypothèses!$V$12,Hypothèses!$X$12,IF(CS63&lt;=Hypothèses!$V$13,Hypothèses!$X$13,IF(CS63&lt;=Hypothèses!$V$14,Hypothèses!$X$14,IF(CS63&lt;=Hypothèses!$V$15,Hypothèses!$X$15,IF(CS63&lt;=Hypothèses!$V$16,Hypothèses!$X$16,IF(CS63&lt;=Hypothèses!$U$17,Hypothèses!$W$17,IF(CS63&lt;=Hypothèses!$U$18,Hypothèses!$W$18,""))))))))))))</f>
        <v>#DIV/0!</v>
      </c>
      <c r="DP63" s="95" t="e">
        <f t="shared" ca="1" si="89"/>
        <v>#DIV/0!</v>
      </c>
      <c r="DQ63" s="101" t="e">
        <f t="shared" si="128"/>
        <v>#N/A</v>
      </c>
      <c r="DR63" s="91" t="e">
        <f t="shared" si="50"/>
        <v>#N/A</v>
      </c>
      <c r="DS63" s="30" t="e">
        <f t="shared" si="110"/>
        <v>#N/A</v>
      </c>
      <c r="DT63" s="30" t="e">
        <f t="shared" si="111"/>
        <v>#N/A</v>
      </c>
      <c r="DU63" s="31" t="e">
        <f>IF(OR(Hypothèses!$B$4=17,Hypothèses!$B$4=18,Hypothèses!$B$4=19,Hypothèses!$B$4=20),
IF($D63="Pressio.",
IF(OR($E63=3,$E63=1,$E63=4),DT63,DS63),
IF($D63="Pénétro.",
IF(OR($E63=3,$E63=1,$E63=4),DT63,DS63))),IF($D63="Pressio.",
IF($E63=3,DT63,DS63),
IF($D63="Pénétro.",
IF($E63=4,DT63,DS63))))</f>
        <v>#N/A</v>
      </c>
      <c r="DV63" s="31" t="e">
        <f>(IF(OR(Hypothèses!$B$4=17,Hypothèses!$B$4=18,Hypothèses!$B$4=19,Hypothèses!$B$4=20),
IF($D63="Pressio.",
IF(OR($E63=3,$E63=1,$E63=4),(PI()*DV$12^2)/4*(DR63*$W63*1000)/($H63*$B$5),(PI()*DV$12^2)/4*(DR63*$W63*1000)/($G63*$B$5)),
IF($D63="Pénétro.",
IF(OR($E63=4,$E63=1,$E63=5),(PI()*DV$12^2)/4*(DR63*$W63*1000)/($H63*$B$5),(PI()*DV$12^2)/4*(DR63*$W63*1000)/($G63*$B$5)))),
IF($D63="Pressio.",
IF($E63=3,(PI()*DV$12^2)/4*(DR63*$W63*1000)/($H63*$B$5),(PI()*DV$12^2)/4*(DR63*$W63*1000)/($G63*$B$5)),
IF($D63="Pénétro.",
IF($E63=4,(PI()*DV$12^2)/4*(DR63*$W63*1000)/($H63*$B$5),(PI()*DV$12^2)/4*(DR63*$W63*1000)/($G63*$B$5))))))/10</f>
        <v>#N/A</v>
      </c>
      <c r="DW63" s="102" t="e">
        <f>(VLOOKUP($B$3,'Coeff EC7'!$T$39:$X$59,2,0)*DU63+VLOOKUP($B$3,'Coeff EC7'!$T$65:$X$85,2,0)*Model0.1C!DV63)/1.1</f>
        <v>#N/A</v>
      </c>
      <c r="DX63" s="102" t="e">
        <f>(VLOOKUP($B$3,'Coeff EC7'!$T$39:$X$59,3,0)*DU63+VLOOKUP($B$3,'Coeff EC7'!$T$65:$X$85,3,0)*Model0.1C!DV63)/0.9</f>
        <v>#N/A</v>
      </c>
      <c r="DY63" s="102" t="e">
        <f t="shared" si="90"/>
        <v>#N/A</v>
      </c>
      <c r="DZ63" s="102" t="e">
        <f t="shared" si="91"/>
        <v>#N/A</v>
      </c>
      <c r="EA63" s="414" t="e">
        <f>IF(EA62=0,0,IF(AND(DW63&gt;charge_ELS_quasi,DX63&gt;Charge_ELS_freq,DY63&gt;charge_ELU,DZ63&gt;charge_ELA,$B63&gt;NDC!$H$22-0.1+MIN(3*$EA$12,1.5)),0,1))</f>
        <v>#N/A</v>
      </c>
      <c r="EB63" s="86" t="b">
        <f t="shared" si="53"/>
        <v>0</v>
      </c>
      <c r="EC63" s="418">
        <f t="shared" si="54"/>
        <v>0.51</v>
      </c>
      <c r="ED63" s="86">
        <f t="shared" si="55"/>
        <v>0.51</v>
      </c>
      <c r="EE63" s="30" t="e">
        <f t="shared" ca="1" si="92"/>
        <v>#DIV/0!</v>
      </c>
      <c r="EF63" s="85" t="e">
        <f ca="1">IF(DL63&lt;=Hypothèses!$V$7,Hypothèses!$W$7,IF(DL63&lt;=Hypothèses!$V$8,Hypothèses!$W$8,IF(DL63&lt;=Hypothèses!$V$9,Hypothèses!$W$9,IF(DL63&lt;=Hypothèses!$V$10,Hypothèses!$W$10,IF(DL63&lt;=Hypothèses!$V$11,Hypothèses!$W$11,IF(DL63&lt;=Hypothèses!$V$12,Hypothèses!$W$12,IF(DL63&lt;=Hypothèses!$V$13,Hypothèses!$W$13,IF(DL63&lt;=Hypothèses!$V$14,Hypothèses!$W$14,IF(DL63&lt;=Hypothèses!$V$15,Hypothèses!$W$15,IF(DL63&lt;=Hypothèses!$V$16,Hypothèses!$W$16,IF(DL63&lt;=Hypothèses!$V$17,Hypothèses!$W$17,IF(DL63&lt;=Hypothèses!$V$18,Hypothèses!$W$18,""))))))))))))</f>
        <v>#DIV/0!</v>
      </c>
      <c r="EG63" s="87" t="e">
        <f t="shared" ca="1" si="122"/>
        <v>#DIV/0!</v>
      </c>
      <c r="EH63" s="88" t="e">
        <f ca="1">IF(DL63&lt;=Hypothèses!$V$7,Hypothèses!$X$7,IF(DL63&lt;=Hypothèses!$V$8,Hypothèses!$X$8,IF(DL63&lt;=Hypothèses!$V$9,Hypothèses!$X$9,IF(DL63&lt;=Hypothèses!$V$10,Hypothèses!$X$10,IF(DL63&lt;=Hypothèses!$V$11,Hypothèses!$X$11,IF(DL63&lt;=Hypothèses!$V$12,Hypothèses!$X$12,IF(DL63&lt;=Hypothèses!$V$13,Hypothèses!$X$13,IF(DL63&lt;=Hypothèses!$V$14,Hypothèses!$X$14,IF(DL63&lt;=Hypothèses!$V$15,Hypothèses!$X$15,IF(DL63&lt;=Hypothèses!$V$16,Hypothèses!$X$16,IF(DL63&lt;=Hypothèses!$U$17,Hypothèses!$W$17,IF(DL63&lt;=Hypothèses!$U$18,Hypothèses!$W$18,""))))))))))))</f>
        <v>#DIV/0!</v>
      </c>
      <c r="EI63" s="95" t="e">
        <f t="shared" ca="1" si="93"/>
        <v>#DIV/0!</v>
      </c>
      <c r="EJ63" s="101" t="e">
        <f t="shared" si="129"/>
        <v>#N/A</v>
      </c>
      <c r="EK63" s="91" t="e">
        <f t="shared" si="57"/>
        <v>#N/A</v>
      </c>
      <c r="EL63" s="30" t="e">
        <f t="shared" si="112"/>
        <v>#N/A</v>
      </c>
      <c r="EM63" s="30" t="e">
        <f t="shared" si="113"/>
        <v>#N/A</v>
      </c>
      <c r="EN63" s="31" t="e">
        <f>IF(OR(Hypothèses!$B$4=17,Hypothèses!$B$4=18,Hypothèses!$B$4=19,Hypothèses!$B$4=20),
IF($D63="Pressio.",
IF(OR($E63=3,$E63=1,$E63=4),EM63,EL63),
IF($D63="Pénétro.",
IF(OR($E63=3,$E63=1,$E63=4),EM63,EL63))),IF($D63="Pressio.",
IF($E63=3,EM63,EL63),
IF($D63="Pénétro.",
IF($E63=4,EM63,EL63))))</f>
        <v>#N/A</v>
      </c>
      <c r="EO63" s="31" t="e">
        <f>(IF(OR(Hypothèses!$B$4=17,Hypothèses!$B$4=18,Hypothèses!$B$4=19,Hypothèses!$B$4=20),
IF($D63="Pressio.",
IF(OR($E63=3,$E63=1,$E63=4),(PI()*EO$12^2)/4*(EK63*$W63*1000)/($H63*$B$5),(PI()*EO$12^2)/4*(EK63*$W63*1000)/($G63*$B$5)),
IF($D63="Pénétro.",
IF(OR($E63=4,$E63=1,$E63=5),(PI()*EO$12^2)/4*(EK63*$W63*1000)/($H63*$B$5),(PI()*EO$12^2)/4*(EK63*$W63*1000)/($G63*$B$5)))),
IF($D63="Pressio.",
IF($E63=3,(PI()*EO$12^2)/4*(EK63*$W63*1000)/($H63*$B$5),(PI()*EO$12^2)/4*(EK63*$W63*1000)/($G63*$B$5)),
IF($D63="Pénétro.",
IF($E63=4,(PI()*EO$12^2)/4*(EK63*$W63*1000)/($H63*$B$5),(PI()*EO$12^2)/4*(EK63*$W63*1000)/($G63*$B$5))))))/10</f>
        <v>#N/A</v>
      </c>
      <c r="EP63" s="102" t="e">
        <f>(VLOOKUP($B$3,'Coeff EC7'!$T$39:$X$59,2,0)*EN63+VLOOKUP($B$3,'Coeff EC7'!$T$65:$X$85,2,0)*Model0.1C!EO63)/1.1</f>
        <v>#N/A</v>
      </c>
      <c r="EQ63" s="102" t="e">
        <f>(VLOOKUP($B$3,'Coeff EC7'!$T$39:$X$59,3,0)*EN63+VLOOKUP($B$3,'Coeff EC7'!$T$65:$X$85,3,0)*Model0.1C!EO63)/0.9</f>
        <v>#N/A</v>
      </c>
      <c r="ER63" s="102" t="e">
        <f t="shared" si="94"/>
        <v>#N/A</v>
      </c>
      <c r="ES63" s="102" t="e">
        <f t="shared" si="95"/>
        <v>#N/A</v>
      </c>
      <c r="ET63" s="414" t="e">
        <f>IF(ET62=0,0,IF(AND(EP63&gt;charge_ELS_quasi,EQ63&gt;Charge_ELS_freq,ER63&gt;charge_ELU,ES63&gt;charge_ELA,$B63&gt;NDC!$H$22-0.1+MIN(3*$ET$12,1.5)),0,1))</f>
        <v>#N/A</v>
      </c>
      <c r="EU63" s="86" t="b">
        <f t="shared" si="60"/>
        <v>0</v>
      </c>
      <c r="EV63" s="86">
        <f t="shared" si="61"/>
        <v>0.61</v>
      </c>
      <c r="EW63" s="86">
        <f t="shared" si="62"/>
        <v>0.61</v>
      </c>
      <c r="EX63" s="30" t="e">
        <f t="shared" ca="1" si="96"/>
        <v>#DIV/0!</v>
      </c>
      <c r="EY63" s="85" t="e">
        <f ca="1">IF(EE63&lt;=Hypothèses!$V$7,Hypothèses!$W$7,IF(EE63&lt;=Hypothèses!$V$8,Hypothèses!$W$8,IF(EE63&lt;=Hypothèses!$V$9,Hypothèses!$W$9,IF(EE63&lt;=Hypothèses!$V$10,Hypothèses!$W$10,IF(EE63&lt;=Hypothèses!$V$11,Hypothèses!$W$11,IF(EE63&lt;=Hypothèses!$V$12,Hypothèses!$W$12,IF(EE63&lt;=Hypothèses!$V$13,Hypothèses!$W$13,IF(EE63&lt;=Hypothèses!$V$14,Hypothèses!$W$14,IF(EE63&lt;=Hypothèses!$V$15,Hypothèses!$W$15,IF(EE63&lt;=Hypothèses!$V$16,Hypothèses!$W$16,IF(EE63&lt;=Hypothèses!$V$17,Hypothèses!$W$17,IF(EE63&lt;=Hypothèses!$V$18,Hypothèses!$W$18,""))))))))))))</f>
        <v>#DIV/0!</v>
      </c>
      <c r="EZ63" s="87" t="e">
        <f t="shared" ca="1" si="123"/>
        <v>#DIV/0!</v>
      </c>
      <c r="FA63" s="88" t="e">
        <f ca="1">IF(EE63&lt;=Hypothèses!$V$7,Hypothèses!$X$7,IF(EE63&lt;=Hypothèses!$V$8,Hypothèses!$X$8,IF(EE63&lt;=Hypothèses!$V$9,Hypothèses!$X$9,IF(EE63&lt;=Hypothèses!$V$10,Hypothèses!$X$10,IF(EE63&lt;=Hypothèses!$V$11,Hypothèses!$X$11,IF(EE63&lt;=Hypothèses!$V$12,Hypothèses!$X$12,IF(EE63&lt;=Hypothèses!$V$13,Hypothèses!$X$13,IF(EE63&lt;=Hypothèses!$V$14,Hypothèses!$X$14,IF(EE63&lt;=Hypothèses!$V$15,Hypothèses!$X$15,IF(EE63&lt;=Hypothèses!$V$16,Hypothèses!$X$16,IF(EE63&lt;=Hypothèses!$U$17,Hypothèses!$W$17,IF(EE63&lt;=Hypothèses!$U$18,Hypothèses!$W$18,""))))))))))))</f>
        <v>#DIV/0!</v>
      </c>
      <c r="FB63" s="95" t="e">
        <f t="shared" ca="1" si="97"/>
        <v>#DIV/0!</v>
      </c>
      <c r="FC63" s="101" t="e">
        <f t="shared" si="130"/>
        <v>#N/A</v>
      </c>
      <c r="FD63" s="91" t="e">
        <f t="shared" si="64"/>
        <v>#N/A</v>
      </c>
      <c r="FE63" s="30" t="e">
        <f t="shared" si="114"/>
        <v>#N/A</v>
      </c>
      <c r="FF63" s="30" t="e">
        <f t="shared" si="115"/>
        <v>#N/A</v>
      </c>
      <c r="FG63" s="31" t="e">
        <f>IF(OR(Hypothèses!$B$4=17,Hypothèses!$B$4=18,Hypothèses!$B$4=19,Hypothèses!$B$4=20),
IF($D63="Pressio.",
IF(OR($E63=3,$E63=1,$E63=4),FF63,FE63),
IF($D63="Pénétro.",
IF(OR($E63=3,$E63=1,$E63=4),FF63,FE63))),IF($D63="Pressio.",
IF($E63=3,FF63,FE63),
IF($D63="Pénétro.",
IF($E63=4,FF63,FE63))))</f>
        <v>#N/A</v>
      </c>
      <c r="FH63" s="31" t="e">
        <f>(IF(OR(Hypothèses!$B$4=17,Hypothèses!$B$4=18,Hypothèses!$B$4=19,Hypothèses!$B$4=20),
IF($D63="Pressio.",
IF(OR($E63=3,$E63=1,$E63=4),(PI()*FH$12^2)/4*(FD63*$W63*1000)/($H63*$B$5),(PI()*FH$12^2)/4*(FD63*$W63*1000)/($G63*$B$5)),
IF($D63="Pénétro.",
IF(OR($E63=4,$E63=1,$E63=5),(PI()*FH$12^2)/4*(FD63*$W63*1000)/($H63*$B$5),(PI()*FH$12^2)/4*(FD63*$W63*1000)/($G63*$B$5)))),
IF($D63="Pressio.",
IF($E63=3,(PI()*FH$12^2)/4*(FD63*$W63*1000)/($H63*$B$5),(PI()*FH$12^2)/4*(FD63*$W63*1000)/($G63*$B$5)),
IF($D63="Pénétro.",
IF($E63=4,(PI()*FH$12^2)/4*(FD63*$W63*1000)/($H63*$B$5),(PI()*FH$12^2)/4*(FD63*$W63*1000)/($G63*$B$5))))))/10</f>
        <v>#N/A</v>
      </c>
      <c r="FI63" s="102" t="e">
        <f>(VLOOKUP($B$3,'Coeff EC7'!$T$39:$X$59,2,0)*FG63+VLOOKUP($B$3,'Coeff EC7'!$T$65:$X$85,2,0)*Model0.1C!FH63)/1.1</f>
        <v>#N/A</v>
      </c>
      <c r="FJ63" s="102" t="e">
        <f>(VLOOKUP($B$3,'Coeff EC7'!$T$39:$X$59,3,0)*FG63+VLOOKUP($B$3,'Coeff EC7'!$T$65:$X$85,3,0)*Model0.1C!FH63)/0.9</f>
        <v>#N/A</v>
      </c>
      <c r="FK63" s="102" t="e">
        <f t="shared" si="98"/>
        <v>#N/A</v>
      </c>
      <c r="FL63" s="102" t="e">
        <f t="shared" si="99"/>
        <v>#N/A</v>
      </c>
      <c r="FM63" s="414" t="e">
        <f>IF(FM62=0,0,IF(AND(FI63&gt;charge_ELS_quasi,FJ63&gt;Charge_ELS_freq,FK63&gt;charge_ELU,FL63&gt;charge_ELA,$B63&gt;NDC!$H$22-0.1+MIN(3*$FM$12,1.5)),0,1))</f>
        <v>#N/A</v>
      </c>
    </row>
    <row r="64" spans="1:169">
      <c r="A64" s="96">
        <f t="shared" si="67"/>
        <v>94.90000000000029</v>
      </c>
      <c r="B64" s="97">
        <v>5.0999999999999996</v>
      </c>
      <c r="C64" s="81">
        <f>IF(B64&lt;=Hypothèses!$C$7,Hypothèses!$A$7,IF(B64&lt;=Hypothèses!$C$8,Hypothèses!$A$8,IF(B64&lt;=Hypothèses!$C$9,Hypothèses!$A$9,IF(B64&lt;=Hypothèses!$C$10,Hypothèses!$A$10,IF(B64&lt;=Hypothèses!$C$11,Hypothèses!$A$11,IF(B64&lt;=Hypothèses!$C$12,Hypothèses!$A$12,IF(B64&lt;=Hypothèses!$C$13,Hypothèses!$A$13,IF(B64&lt;=Hypothèses!$C$14,Hypothèses!$A$14,IF(B64&lt;=Hypothèses!$C$15,Hypothèses!$A$15,IF(B64&lt;=Hypothèses!$C$16,Hypothèses!$A$16,IF(B64&lt;=Hypothèses!$C$17,Hypothèses!$A$17,IF(B64&lt;=Hypothèses!$C$18,Hypothèses!$A$18,C63))))))))))))</f>
        <v>11</v>
      </c>
      <c r="D64" s="82" t="str">
        <f>IF(B64&lt;=Hypothèses!$C$7,Hypothèses!$R$7,IF(B64&lt;=Hypothèses!$C$8,Hypothèses!$R$8,IF(B64&lt;=Hypothèses!$C$9,Hypothèses!$R$9,IF(B64&lt;=Hypothèses!$C$10,Hypothèses!$R$10,IF(B64&lt;=Hypothèses!$C$11,Hypothèses!$R$11,IF(B64&lt;=Hypothèses!$C$12,Hypothèses!$R$12,IF(B64&lt;=Hypothèses!$C$13,Hypothèses!$R$13,IF(B64&lt;=Hypothèses!$C$14,Hypothèses!$R$14,IF(B64&lt;=Hypothèses!$C$15,Hypothèses!$R$15,IF(B64&lt;=Hypothèses!$C$16,Hypothèses!$R$16,IF(B64&lt;=Hypothèses!$C$17,Hypothèses!$R$17,IF(B64&lt;=Hypothèses!$C$18,Hypothèses!$R$18,D63))))))))))))</f>
        <v>Pressio.</v>
      </c>
      <c r="E64" s="82" t="e">
        <f>IF(B64&lt;=Hypothèses!$C$7,Hypothèses!$G$7,IF(B64&lt;=Hypothèses!$C$8,Hypothèses!$G$8,IF(B64&lt;=Hypothèses!$C$9,Hypothèses!$G$9,IF(B64&lt;=Hypothèses!$C$10,Hypothèses!$G$10,IF(B64&lt;=Hypothèses!$C$11,Hypothèses!$G$11,IF(B64&lt;=Hypothèses!$C$12,Hypothèses!$G$12,IF(B64&lt;=Hypothèses!$C$13,Hypothèses!$G$13,IF(B64&lt;=Hypothèses!$C$14,Hypothèses!$G$14,IF(B64&lt;=Hypothèses!$C$15,Hypothèses!$G$15,IF(B64&lt;=Hypothèses!$C$16,Hypothèses!$G$16,IF(B64&lt;=Hypothèses!$C$17,Hypothèses!$G$17,IF(B64&lt;=Hypothèses!$C$18,Hypothèses!$G$18,E63))))))))))))</f>
        <v>#N/A</v>
      </c>
      <c r="F64" s="82" t="str">
        <f>IF(B64&lt;=Hypothèses!$C$7,Hypothèses!$F$7,IF(B64&lt;=Hypothèses!$C$8,Hypothèses!$F$8,IF(B64&lt;=Hypothèses!$C$9,Hypothèses!$F$9,IF(B64&lt;=Hypothèses!$C$10,Hypothèses!$F$10,IF(B64&lt;=Hypothèses!$C$11,Hypothèses!$F$11,IF(B64&lt;=Hypothèses!$C$12,Hypothèses!$F$12,IF(B64&lt;=Hypothèses!$C$13,Hypothèses!$F$13,IF(B64&lt;=Hypothèses!$C$14,Hypothèses!$F$14,IF(B64&lt;=Hypothèses!$C$15,Hypothèses!$F$15,IF(B64&lt;=Hypothèses!$C$16,Hypothèses!$F$16,IF(B64&lt;=Hypothèses!$C$17,Hypothèses!$F$17,IF(B64&lt;=Hypothèses!$C$18,Hypothèses!$F$18,F63))))))))))))</f>
        <v/>
      </c>
      <c r="G64" s="91">
        <f t="array" ref="G64">INDEX('Coeff EC7'!$U$7:$X$27,
MATCH(Model0.1C!$B$3,'Coeff EC7'!$T$7:$T$27,0),
MATCH(Model0.1C!$D64&amp;Model0.1C!$B$4,
'Coeff EC7'!$U$6:$X$6&amp;
'Coeff EC7'!$U$5:$X$5,0))</f>
        <v>1.1499999999999999</v>
      </c>
      <c r="H64" s="91">
        <f t="array" ref="H64">INDEX('Coeff EC7'!$Y$7:$AB$27,
MATCH(Model0.1C!$B$3,'Coeff EC7'!$T$7:$T$27,0),
MATCH(Model0.1C!$D64&amp;Model0.1C!$B$4,
'Coeff EC7'!$Y$6:$AB$6&amp;
'Coeff EC7'!$Y$5:$AB$5,0))</f>
        <v>1.4</v>
      </c>
      <c r="I64" s="83" t="e">
        <f>IF(B64&lt;=Hypothèses!$C$7,Hypothèses!$P$7,IF(B64&lt;=Hypothèses!$C$8,Hypothèses!$P$8,IF(B64&lt;=Hypothèses!$C$9,Hypothèses!$P$9,IF(B64&lt;=Hypothèses!$C$10,Hypothèses!$P$10,IF(B64&lt;=Hypothèses!$C$11,Hypothèses!$P$11,IF(B64&lt;=Hypothèses!$C$12,Hypothèses!$P$12,IF(B64&lt;=Hypothèses!$C$13,Hypothèses!$P$13,IF(B64&lt;=Hypothèses!$C$14,Hypothèses!$P$14,IF(B64&lt;=Hypothèses!$C$15,Hypothèses!$P$15,IF(B64&lt;=Hypothèses!$C$16,Hypothèses!$P$16,IF(B64&lt;=Hypothèses!$C$17,Hypothèses!$P$17,IF(B64&lt;=Hypothèses!$C$18,Hypothèses!$P$18,I63))))))))))))</f>
        <v>#N/A</v>
      </c>
      <c r="J64" s="91" t="e">
        <f t="array" ref="J64">INDEX('Coeff EC7'!$D$33:$Q$33,1,MATCH(D64&amp;E64,'Coeff EC7'!$D$31:$Q$31&amp;'Coeff EC7'!$D$32:$Q$32,0))</f>
        <v>#N/A</v>
      </c>
      <c r="K64" s="91" t="e">
        <f t="array" ref="K64">INDEX('Coeff EC7'!$D$34:$Q$34,1,MATCH(D64&amp;E64,'Coeff EC7'!$D$31:$Q$31&amp;'Coeff EC7'!$D$32:$Q$32,0))</f>
        <v>#N/A</v>
      </c>
      <c r="L64" s="91" t="e">
        <f t="array" ref="L64">INDEX('Coeff EC7'!$D$35:$Q$35,1,MATCH(D64&amp;E64,'Coeff EC7'!$D$31:$Q$31&amp;'Coeff EC7'!$D$32:$Q$32,0))</f>
        <v>#N/A</v>
      </c>
      <c r="M64" s="98" t="e">
        <f t="shared" si="8"/>
        <v>#N/A</v>
      </c>
      <c r="N64" s="99" t="e">
        <f t="array" ref="N64">INDEX('Coeff EC7'!$D$7:$Q$27,MATCH($B$3,'Coeff EC7'!$C$7:$C$27,0),MATCH(D64&amp;E64,'Coeff EC7'!$D$5:$Q$5&amp;'Coeff EC7'!$D$6:$Q$6,0))</f>
        <v>#N/A</v>
      </c>
      <c r="O64" s="99" t="e">
        <f t="array" ref="O64">INDEX('Coeff EC7'!$D$41:$Q$61,MATCH($B$3,'Coeff EC7'!$C$41:$C$61,0),MATCH(D64&amp;E64,'Coeff EC7'!$D$39:$Q$39&amp;'Coeff EC7'!$D$40:$Q$40,0))</f>
        <v>#N/A</v>
      </c>
      <c r="P64" s="30" t="e">
        <f t="shared" si="68"/>
        <v>#N/A</v>
      </c>
      <c r="Q64" s="100" t="e">
        <f t="shared" si="10"/>
        <v>#N/A</v>
      </c>
      <c r="R64" s="86" t="b">
        <f t="shared" si="11"/>
        <v>0</v>
      </c>
      <c r="S64" s="86">
        <f t="shared" si="9"/>
        <v>0.5</v>
      </c>
      <c r="T64" s="86">
        <f t="shared" si="12"/>
        <v>0.5</v>
      </c>
      <c r="U64" s="30" t="e">
        <f t="shared" ca="1" si="69"/>
        <v>#DIV/0!</v>
      </c>
      <c r="V64" s="85" t="str">
        <f>IF(B64&lt;=Hypothèses!$V$7,Hypothèses!$W$7,IF(B64&lt;=Hypothèses!$V$8,Hypothèses!$W$8,IF(B64&lt;=Hypothèses!$V$9,Hypothèses!$W$9,IF(B64&lt;=Hypothèses!$V$10,Hypothèses!$W$10,IF(B64&lt;=Hypothèses!$V$11,Hypothèses!$W$11,IF(B64&lt;=Hypothèses!$V$12,Hypothèses!$W$12,IF(B64&lt;=Hypothèses!$V$13,Hypothèses!$W$13,IF(B64&lt;=Hypothèses!$V$14,Hypothèses!$W$14,IF(B64&lt;=Hypothèses!$V$15,Hypothèses!$W$15,IF(B64&lt;=Hypothèses!$V$16,Hypothèses!$W$16,IF(B64&lt;=Hypothèses!$V$17,Hypothèses!$W$17,IF(B64&lt;=Hypothèses!$V$18,Hypothèses!$W$18,""))))))))))))</f>
        <v/>
      </c>
      <c r="W64" s="87" t="e">
        <f t="shared" ca="1" si="116"/>
        <v>#DIV/0!</v>
      </c>
      <c r="X64" s="88" t="str">
        <f>IF(B64&lt;=Hypothèses!$V$7,Hypothèses!$X$7,IF(B64&lt;=Hypothèses!$V$8,Hypothèses!$X$8,IF(B64&lt;=Hypothèses!$V$9,Hypothèses!$X$9,IF(B64&lt;=Hypothèses!$V$10,Hypothèses!$X$10,IF(B64&lt;=Hypothèses!$V$11,Hypothèses!$X$11,IF(B64&lt;=Hypothèses!$V$12,Hypothèses!$X$12,IF(B64&lt;=Hypothèses!$V$13,Hypothèses!$X$13,IF(B64&lt;=Hypothèses!$V$14,Hypothèses!$X$14,IF(B64&lt;=Hypothèses!$V$15,Hypothèses!$X$15,IF(B64&lt;=Hypothèses!$V$16,Hypothèses!$X$16,IF(B64&lt;=Hypothèses!$U$17,Hypothèses!$W$17,IF(B64&lt;=Hypothèses!$U$18,Hypothèses!$W$18,""))))))))))))</f>
        <v/>
      </c>
      <c r="Y64" s="95" t="e">
        <f t="shared" ca="1" si="13"/>
        <v>#DIV/0!</v>
      </c>
      <c r="Z64" s="101" t="e">
        <f t="shared" si="14"/>
        <v>#N/A</v>
      </c>
      <c r="AA64" s="91" t="e">
        <f t="shared" si="15"/>
        <v>#N/A</v>
      </c>
      <c r="AB64" s="30" t="e">
        <f t="shared" si="100"/>
        <v>#N/A</v>
      </c>
      <c r="AC64" s="30" t="e">
        <f t="shared" si="101"/>
        <v>#N/A</v>
      </c>
      <c r="AD64" s="31" t="e">
        <f>IF(OR(Hypothèses!$B$4=17,Hypothèses!$B$4=18,Hypothèses!$B$4=19,Hypothèses!$B$4=20),
IF($D64="Pressio.",
IF(OR($E64=3,$E64=1,$E64=4),AC64,AB64),
IF($D64="Pénétro.",
IF(OR($E64=3,$E64=1,$E64=4),AC64,AB64))),IF($D64="Pressio.",
IF($E64=3,AC64,AB64),
IF($D64="Pénétro.",
IF($E64=4,AC64,AB64))))</f>
        <v>#N/A</v>
      </c>
      <c r="AE64" s="31" t="e">
        <f>(IF(OR(Hypothèses!$B$4=17,Hypothèses!$B$4=18,Hypothèses!$B$4=19,Hypothèses!$B$4=20),
IF($D64="Pressio.",
IF(OR($E64=3,$E64=1,$E64=4),(PI()*AE$12^2)/4*(AA64*$W64*1000)/($H64*$B$5),(PI()*AE$12^2)/4*(AA64*$W64*1000)/($G64*$B$5)),
IF($D64="Pénétro.",
IF(OR($E64=4,$E64=1,$E64=5),(PI()*AE$12^2)/4*(AA64*$W64*1000)/($H64*$B$5),(PI()*AE$12^2)/4*(AA64*$W64*1000)/($G64*$B$5)))),
IF($D64="Pressio.",
IF($E64=3,(PI()*AE$12^2)/4*(AA64*$W64*1000)/($H64*$B$5),(PI()*AE$12^2)/4*(AA64*$W64*1000)/($G64*$B$5)),
IF($D64="Pénétro.",
IF($E64=4,(PI()*AE$12^2)/4*(AA64*$W64*1000)/($H64*$B$5),(PI()*AE$12^2)/4*(AA64*$W64*1000)/($G64*$B$5))))))/10</f>
        <v>#N/A</v>
      </c>
      <c r="AF64" s="102" t="e">
        <f>(VLOOKUP($B$3,'Coeff EC7'!$T$39:$X$59,2,0)*AD64+VLOOKUP($B$3,'Coeff EC7'!$T$65:$X$85,2,0)*Model0.1C!AE64)/1.1</f>
        <v>#N/A</v>
      </c>
      <c r="AG64" s="102" t="e">
        <f>(VLOOKUP($B$3,'Coeff EC7'!$T$39:$X$59,3,0)*AD64+VLOOKUP($B$3,'Coeff EC7'!$T$65:$X$85,3,0)*Model0.1C!AE64)/0.9</f>
        <v>#N/A</v>
      </c>
      <c r="AH64" s="102" t="e">
        <f t="shared" si="18"/>
        <v>#N/A</v>
      </c>
      <c r="AI64" s="102" t="e">
        <f t="shared" si="19"/>
        <v>#N/A</v>
      </c>
      <c r="AJ64" s="414" t="e">
        <f>IF(AJ63=0,0,IF(AND(AF64&gt;charge_ELS_quasi,AG64&gt;Charge_ELS_freq,AH64&gt;charge_ELU,AI64&gt;charge_ELA,$B64&gt;NDC!$H$22-0.1+MIN(3*$AJ$12,1.5)),0,1))</f>
        <v>#N/A</v>
      </c>
      <c r="AK64" s="86" t="b">
        <f t="shared" si="20"/>
        <v>0</v>
      </c>
      <c r="AL64" s="86">
        <f t="shared" si="70"/>
        <v>0.5</v>
      </c>
      <c r="AM64" s="86">
        <f t="shared" si="21"/>
        <v>0.5</v>
      </c>
      <c r="AN64" s="30" t="e">
        <f t="shared" ca="1" si="71"/>
        <v>#DIV/0!</v>
      </c>
      <c r="AO64" s="85" t="e">
        <f ca="1">IF(U64&lt;=Hypothèses!$V$7,Hypothèses!$W$7,IF(U64&lt;=Hypothèses!$V$8,Hypothèses!$W$8,IF(U64&lt;=Hypothèses!$V$9,Hypothèses!$W$9,IF(U64&lt;=Hypothèses!$V$10,Hypothèses!$W$10,IF(U64&lt;=Hypothèses!$V$11,Hypothèses!$W$11,IF(U64&lt;=Hypothèses!$V$12,Hypothèses!$W$12,IF(U64&lt;=Hypothèses!$V$13,Hypothèses!$W$13,IF(U64&lt;=Hypothèses!$V$14,Hypothèses!$W$14,IF(U64&lt;=Hypothèses!$V$15,Hypothèses!$W$15,IF(U64&lt;=Hypothèses!$V$16,Hypothèses!$W$16,IF(U64&lt;=Hypothèses!$V$17,Hypothèses!$W$17,IF(U64&lt;=Hypothèses!$V$18,Hypothèses!$W$18,""))))))))))))</f>
        <v>#DIV/0!</v>
      </c>
      <c r="AP64" s="87" t="e">
        <f t="shared" ca="1" si="117"/>
        <v>#DIV/0!</v>
      </c>
      <c r="AQ64" s="88" t="e">
        <f ca="1">IF(U64&lt;=Hypothèses!$V$7,Hypothèses!$X$7,IF(U64&lt;=Hypothèses!$V$8,Hypothèses!$X$8,IF(U64&lt;=Hypothèses!$V$9,Hypothèses!$X$9,IF(U64&lt;=Hypothèses!$V$10,Hypothèses!$X$10,IF(U64&lt;=Hypothèses!$V$11,Hypothèses!$X$11,IF(U64&lt;=Hypothèses!$V$12,Hypothèses!$X$12,IF(U64&lt;=Hypothèses!$V$13,Hypothèses!$X$13,IF(U64&lt;=Hypothèses!$V$14,Hypothèses!$X$14,IF(U64&lt;=Hypothèses!$V$15,Hypothèses!$X$15,IF(U64&lt;=Hypothèses!$V$16,Hypothèses!$X$16,IF(U64&lt;=Hypothèses!$U$17,Hypothèses!$W$17,IF(U64&lt;=Hypothèses!$U$18,Hypothèses!$W$18,""))))))))))))</f>
        <v>#DIV/0!</v>
      </c>
      <c r="AR64" s="95" t="e">
        <f t="shared" ca="1" si="72"/>
        <v>#DIV/0!</v>
      </c>
      <c r="AS64" s="101" t="e">
        <f t="shared" si="124"/>
        <v>#N/A</v>
      </c>
      <c r="AT64" s="91" t="e">
        <f t="shared" si="23"/>
        <v>#N/A</v>
      </c>
      <c r="AU64" s="30" t="e">
        <f t="shared" si="102"/>
        <v>#N/A</v>
      </c>
      <c r="AV64" s="30" t="e">
        <f t="shared" si="103"/>
        <v>#N/A</v>
      </c>
      <c r="AW64" s="31" t="e">
        <f>IF(OR(Hypothèses!$B$4=17,Hypothèses!$B$4=18,Hypothèses!$B$4=19,Hypothèses!$B$4=20),
IF($D64="Pressio.",
IF(OR($E64=3,$E64=1,$E64=4),AV64,AU64),
IF($D64="Pénétro.",
IF(OR($E64=3,$E64=1,$E64=4),AV64,AU64))),IF($D64="Pressio.",
IF($E64=3,AV64,AU64),
IF($D64="Pénétro.",
IF($E64=4,AV64,AU64))))</f>
        <v>#N/A</v>
      </c>
      <c r="AX64" s="31" t="e">
        <f>(IF(OR(Hypothèses!$B$4=17,Hypothèses!$B$4=18,Hypothèses!$B$4=19,Hypothèses!$B$4=20),
IF($D64="Pressio.",
IF(OR($E64=3,$E64=1,$E64=4),(PI()*AX$12^2)/4*(AT64*$W64*1000)/($H64*$B$5),(PI()*AX$12^2)/4*(AT64*$W64*1000)/($G64*$B$5)),
IF($D64="Pénétro.",
IF(OR($E64=4,$E64=1,$E64=5),(PI()*AX$12^2)/4*(AT64*$W64*1000)/($H64*$B$5),(PI()*AX$12^2)/4*(AT64*$W64*1000)/($G64*$B$5)))),
IF($D64="Pressio.",
IF($E64=3,(PI()*AX$12^2)/4*(AT64*$W64*1000)/($H64*$B$5),(PI()*AX$12^2)/4*(AT64*$W64*1000)/($G64*$B$5)),
IF($D64="Pénétro.",
IF($E64=4,(PI()*AX$12^2)/4*(AT64*$W64*1000)/($H64*$B$5),(PI()*AX$12^2)/4*(AT64*$W64*1000)/($G64*$B$5))))))/10</f>
        <v>#N/A</v>
      </c>
      <c r="AY64" s="102" t="e">
        <f>(VLOOKUP($B$3,'Coeff EC7'!$T$39:$X$59,2,0)*AW64+VLOOKUP($B$3,'Coeff EC7'!$T$65:$X$85,2,0)*Model0.1C!AX64)/1.1</f>
        <v>#N/A</v>
      </c>
      <c r="AZ64" s="102" t="e">
        <f>(VLOOKUP($B$3,'Coeff EC7'!$T$39:$X$59,3,0)*AW64+VLOOKUP($B$3,'Coeff EC7'!$T$65:$X$85,3,0)*Model0.1C!AX64)/0.9</f>
        <v>#N/A</v>
      </c>
      <c r="BA64" s="102" t="e">
        <f t="shared" si="73"/>
        <v>#N/A</v>
      </c>
      <c r="BB64" s="102" t="e">
        <f t="shared" si="74"/>
        <v>#N/A</v>
      </c>
      <c r="BC64" s="414" t="e">
        <f>IF(BC63=0,0,IF(AND(AY64&gt;charge_ELS_quasi,AZ64&gt;Charge_ELS_freq,BA64&gt;charge_ELU,BB64&gt;charge_ELA,$B64&gt;NDC!$H$22-0.1+MIN(3*$BC$12,1.5)),0,1))</f>
        <v>#N/A</v>
      </c>
      <c r="BD64" s="86" t="b">
        <f t="shared" si="26"/>
        <v>0</v>
      </c>
      <c r="BE64" s="86">
        <f t="shared" si="75"/>
        <v>0.5</v>
      </c>
      <c r="BF64" s="86">
        <f t="shared" si="27"/>
        <v>0.5</v>
      </c>
      <c r="BG64" s="30" t="e">
        <f t="shared" ca="1" si="76"/>
        <v>#DIV/0!</v>
      </c>
      <c r="BH64" s="85" t="e">
        <f ca="1">IF(AN64&lt;=Hypothèses!$V$7,Hypothèses!$W$7,IF(AN64&lt;=Hypothèses!$V$8,Hypothèses!$W$8,IF(AN64&lt;=Hypothèses!$V$9,Hypothèses!$W$9,IF(AN64&lt;=Hypothèses!$V$10,Hypothèses!$W$10,IF(AN64&lt;=Hypothèses!$V$11,Hypothèses!$W$11,IF(AN64&lt;=Hypothèses!$V$12,Hypothèses!$W$12,IF(AN64&lt;=Hypothèses!$V$13,Hypothèses!$W$13,IF(AN64&lt;=Hypothèses!$V$14,Hypothèses!$W$14,IF(AN64&lt;=Hypothèses!$V$15,Hypothèses!$W$15,IF(AN64&lt;=Hypothèses!$V$16,Hypothèses!$W$16,IF(AN64&lt;=Hypothèses!$V$17,Hypothèses!$W$17,IF(AN64&lt;=Hypothèses!$V$18,Hypothèses!$W$18,""))))))))))))</f>
        <v>#DIV/0!</v>
      </c>
      <c r="BI64" s="87" t="e">
        <f t="shared" ca="1" si="118"/>
        <v>#DIV/0!</v>
      </c>
      <c r="BJ64" s="88" t="e">
        <f ca="1">IF(AN64&lt;=Hypothèses!$V$7,Hypothèses!$X$7,IF(AN64&lt;=Hypothèses!$V$8,Hypothèses!$X$8,IF(AN64&lt;=Hypothèses!$V$9,Hypothèses!$X$9,IF(AN64&lt;=Hypothèses!$V$10,Hypothèses!$X$10,IF(AN64&lt;=Hypothèses!$V$11,Hypothèses!$X$11,IF(AN64&lt;=Hypothèses!$V$12,Hypothèses!$X$12,IF(AN64&lt;=Hypothèses!$V$13,Hypothèses!$X$13,IF(AN64&lt;=Hypothèses!$V$14,Hypothèses!$X$14,IF(AN64&lt;=Hypothèses!$V$15,Hypothèses!$X$15,IF(AN64&lt;=Hypothèses!$V$16,Hypothèses!$X$16,IF(AN64&lt;=Hypothèses!$U$17,Hypothèses!$W$17,IF(AN64&lt;=Hypothèses!$U$18,Hypothèses!$W$18,""))))))))))))</f>
        <v>#DIV/0!</v>
      </c>
      <c r="BK64" s="95" t="e">
        <f t="shared" ca="1" si="77"/>
        <v>#DIV/0!</v>
      </c>
      <c r="BL64" s="101" t="e">
        <f t="shared" si="125"/>
        <v>#N/A</v>
      </c>
      <c r="BM64" s="91" t="e">
        <f t="shared" si="29"/>
        <v>#N/A</v>
      </c>
      <c r="BN64" s="30" t="e">
        <f t="shared" si="104"/>
        <v>#N/A</v>
      </c>
      <c r="BO64" s="30" t="e">
        <f t="shared" si="105"/>
        <v>#N/A</v>
      </c>
      <c r="BP64" s="31" t="e">
        <f>IF(OR(Hypothèses!$B$4=17,Hypothèses!$B$4=18,Hypothèses!$B$4=19,Hypothèses!$B$4=20),
IF($D64="Pressio.",
IF(OR($E64=3,$E64=1,$E64=4),BO64,BN64),
IF($D64="Pénétro.",
IF(OR($E64=3,$E64=1,$E64=4),BO64,BN64))),IF($D64="Pressio.",
IF($E64=3,BO64,BN64),
IF($D64="Pénétro.",
IF($E64=4,BO64,BN64))))</f>
        <v>#N/A</v>
      </c>
      <c r="BQ64" s="31" t="e">
        <f>(IF(OR(Hypothèses!$B$4=17,Hypothèses!$B$4=18,Hypothèses!$B$4=19,Hypothèses!$B$4=20),
IF($D64="Pressio.",
IF(OR($E64=3,$E64=1,$E64=4),(PI()*BQ$12^2)/4*(BM64*$W64*1000)/($H64*$B$5),(PI()*BQ$12^2)/4*(BM64*$W64*1000)/($G64*$B$5)),
IF($D64="Pénétro.",
IF(OR($E64=4,$E64=1,$E64=5),(PI()*BQ$12^2)/4*(BM64*$W64*1000)/($H64*$B$5),(PI()*BQ$12^2)/4*(BM64*$W64*1000)/($G64*$B$5)))),
IF($D64="Pressio.",
IF($E64=3,(PI()*BQ$12^2)/4*(BM64*$W64*1000)/($H64*$B$5),(PI()*BQ$12^2)/4*(BM64*$W64*1000)/($G64*$B$5)),
IF($D64="Pénétro.",
IF($E64=4,(PI()*BQ$12^2)/4*(BM64*$W64*1000)/($H64*$B$5),(PI()*BQ$12^2)/4*(BM64*$W64*1000)/($G64*$B$5))))))/10</f>
        <v>#N/A</v>
      </c>
      <c r="BR64" s="102" t="e">
        <f>(VLOOKUP($B$3,'Coeff EC7'!$T$39:$X$59,2,0)*BP64+VLOOKUP($B$3,'Coeff EC7'!$T$65:$X$85,2,0)*Model0.1C!BQ64)/1.1</f>
        <v>#N/A</v>
      </c>
      <c r="BS64" s="102" t="e">
        <f>(VLOOKUP($B$3,'Coeff EC7'!$T$39:$X$59,3,0)*BP64+VLOOKUP($B$3,'Coeff EC7'!$T$65:$X$85,3,0)*Model0.1C!BQ64)/0.9</f>
        <v>#N/A</v>
      </c>
      <c r="BT64" s="102" t="e">
        <f t="shared" si="78"/>
        <v>#N/A</v>
      </c>
      <c r="BU64" s="102" t="e">
        <f t="shared" si="79"/>
        <v>#N/A</v>
      </c>
      <c r="BV64" s="414" t="e">
        <f>IF(BV63=0,0,IF(AND(BR64&gt;charge_ELS_quasi,BS64&gt;Charge_ELS_freq,BT64&gt;charge_ELU,BU64&gt;charge_ELA,$B64&gt;NDC!$H$22-0.1+MIN(3*$BV$12,1.5)),0,1))</f>
        <v>#N/A</v>
      </c>
      <c r="BW64" s="86" t="b">
        <f t="shared" si="32"/>
        <v>0</v>
      </c>
      <c r="BX64" s="86">
        <f t="shared" si="33"/>
        <v>0.5</v>
      </c>
      <c r="BY64" s="86">
        <f t="shared" si="34"/>
        <v>0.5</v>
      </c>
      <c r="BZ64" s="30" t="e">
        <f t="shared" ca="1" si="80"/>
        <v>#DIV/0!</v>
      </c>
      <c r="CA64" s="85" t="e">
        <f ca="1">IF(BG64&lt;=Hypothèses!$V$7,Hypothèses!$W$7,IF(BG64&lt;=Hypothèses!$V$8,Hypothèses!$W$8,IF(BG64&lt;=Hypothèses!$V$9,Hypothèses!$W$9,IF(BG64&lt;=Hypothèses!$V$10,Hypothèses!$W$10,IF(BG64&lt;=Hypothèses!$V$11,Hypothèses!$W$11,IF(BG64&lt;=Hypothèses!$V$12,Hypothèses!$W$12,IF(BG64&lt;=Hypothèses!$V$13,Hypothèses!$W$13,IF(BG64&lt;=Hypothèses!$V$14,Hypothèses!$W$14,IF(BG64&lt;=Hypothèses!$V$15,Hypothèses!$W$15,IF(BG64&lt;=Hypothèses!$V$16,Hypothèses!$W$16,IF(BG64&lt;=Hypothèses!$V$17,Hypothèses!$W$17,IF(BG64&lt;=Hypothèses!$V$18,Hypothèses!$W$18,""))))))))))))</f>
        <v>#DIV/0!</v>
      </c>
      <c r="CB64" s="87" t="e">
        <f t="shared" ca="1" si="119"/>
        <v>#DIV/0!</v>
      </c>
      <c r="CC64" s="88" t="e">
        <f ca="1">IF(BG64&lt;=Hypothèses!$V$7,Hypothèses!$X$7,IF(BG64&lt;=Hypothèses!$V$8,Hypothèses!$X$8,IF(BG64&lt;=Hypothèses!$V$9,Hypothèses!$X$9,IF(BG64&lt;=Hypothèses!$V$10,Hypothèses!$X$10,IF(BG64&lt;=Hypothèses!$V$11,Hypothèses!$X$11,IF(BG64&lt;=Hypothèses!$V$12,Hypothèses!$X$12,IF(BG64&lt;=Hypothèses!$V$13,Hypothèses!$X$13,IF(BG64&lt;=Hypothèses!$V$14,Hypothèses!$X$14,IF(BG64&lt;=Hypothèses!$V$15,Hypothèses!$X$15,IF(BG64&lt;=Hypothèses!$V$16,Hypothèses!$X$16,IF(BG64&lt;=Hypothèses!$U$17,Hypothèses!$W$17,IF(BG64&lt;=Hypothèses!$U$18,Hypothèses!$W$18,""))))))))))))</f>
        <v>#DIV/0!</v>
      </c>
      <c r="CD64" s="95" t="e">
        <f t="shared" ca="1" si="81"/>
        <v>#DIV/0!</v>
      </c>
      <c r="CE64" s="101" t="e">
        <f t="shared" si="126"/>
        <v>#N/A</v>
      </c>
      <c r="CF64" s="91" t="e">
        <f t="shared" si="36"/>
        <v>#N/A</v>
      </c>
      <c r="CG64" s="30" t="e">
        <f t="shared" si="106"/>
        <v>#N/A</v>
      </c>
      <c r="CH64" s="30" t="e">
        <f t="shared" si="107"/>
        <v>#N/A</v>
      </c>
      <c r="CI64" s="31" t="e">
        <f>IF(OR(Hypothèses!$B$4=17,Hypothèses!$B$4=18,Hypothèses!$B$4=19,Hypothèses!$B$4=20),
IF($D64="Pressio.",
IF(OR($E64=3,$E64=1,$E64=4),CH64,CG64),
IF($D64="Pénétro.",
IF(OR($E64=3,$E64=1,$E64=4),CH64,CG64))),IF($D64="Pressio.",
IF($E64=3,CH64,CG64),
IF($D64="Pénétro.",
IF($E64=4,CH64,CG64))))</f>
        <v>#N/A</v>
      </c>
      <c r="CJ64" s="31" t="e">
        <f>(IF(OR(Hypothèses!$B$4=17,Hypothèses!$B$4=18,Hypothèses!$B$4=19,Hypothèses!$B$4=20),
IF($D64="Pressio.",
IF(OR($E64=3,$E64=1,$E64=4),(PI()*CJ$12^2)/4*(CF64*$W64*1000)/($H64*$B$5),(PI()*CJ$12^2)/4*(CF64*$W64*1000)/($G64*$B$5)),
IF($D64="Pénétro.",
IF(OR($E64=4,$E64=1,$E64=5),(PI()*CJ$12^2)/4*(CF64*$W64*1000)/($H64*$B$5),(PI()*CJ$12^2)/4*(CF64*$W64*1000)/($G64*$B$5)))),
IF($D64="Pressio.",
IF($E64=3,(PI()*CJ$12^2)/4*(CF64*$W64*1000)/($H64*$B$5),(PI()*CJ$12^2)/4*(CF64*$W64*1000)/($G64*$B$5)),
IF($D64="Pénétro.",
IF($E64=4,(PI()*CJ$12^2)/4*(CF64*$W64*1000)/($H64*$B$5),(PI()*CJ$12^2)/4*(CF64*$W64*1000)/($G64*$B$5))))))/10</f>
        <v>#N/A</v>
      </c>
      <c r="CK64" s="102" t="e">
        <f>(VLOOKUP($B$3,'Coeff EC7'!$T$39:$X$59,2,0)*CI64+VLOOKUP($B$3,'Coeff EC7'!$T$65:$X$85,2,0)*Model0.1C!CJ64)/1.1</f>
        <v>#N/A</v>
      </c>
      <c r="CL64" s="102" t="e">
        <f>(VLOOKUP($B$3,'Coeff EC7'!$T$39:$X$59,3,0)*CI64+VLOOKUP($B$3,'Coeff EC7'!$T$65:$X$85,3,0)*Model0.1C!CJ64)/0.9</f>
        <v>#N/A</v>
      </c>
      <c r="CM64" s="102" t="e">
        <f t="shared" si="82"/>
        <v>#N/A</v>
      </c>
      <c r="CN64" s="102" t="e">
        <f t="shared" si="83"/>
        <v>#N/A</v>
      </c>
      <c r="CO64" s="414" t="e">
        <f>IF(CO63=0,0,IF(AND(CK64&gt;charge_ELS_quasi,CL64&gt;Charge_ELS_freq,CM64&gt;charge_ELU,CN64&gt;charge_ELA,$B64&gt;NDC!$H$22-0.1+MIN(3*$CO$12,1.5)),0,1))</f>
        <v>#N/A</v>
      </c>
      <c r="CP64" s="86" t="b">
        <f t="shared" si="39"/>
        <v>0</v>
      </c>
      <c r="CQ64" s="86">
        <f t="shared" si="40"/>
        <v>0.5</v>
      </c>
      <c r="CR64" s="86">
        <f t="shared" si="41"/>
        <v>0.5</v>
      </c>
      <c r="CS64" s="30" t="e">
        <f t="shared" ca="1" si="84"/>
        <v>#DIV/0!</v>
      </c>
      <c r="CT64" s="85" t="e">
        <f ca="1">IF(BZ64&lt;=Hypothèses!$V$7,Hypothèses!$W$7,IF(BZ64&lt;=Hypothèses!$V$8,Hypothèses!$W$8,IF(BZ64&lt;=Hypothèses!$V$9,Hypothèses!$W$9,IF(BZ64&lt;=Hypothèses!$V$10,Hypothèses!$W$10,IF(BZ64&lt;=Hypothèses!$V$11,Hypothèses!$W$11,IF(BZ64&lt;=Hypothèses!$V$12,Hypothèses!$W$12,IF(BZ64&lt;=Hypothèses!$V$13,Hypothèses!$W$13,IF(BZ64&lt;=Hypothèses!$V$14,Hypothèses!$W$14,IF(BZ64&lt;=Hypothèses!$V$15,Hypothèses!$W$15,IF(BZ64&lt;=Hypothèses!$V$16,Hypothèses!$W$16,IF(BZ64&lt;=Hypothèses!$V$17,Hypothèses!$W$17,IF(BZ64&lt;=Hypothèses!$V$18,Hypothèses!$W$18,""))))))))))))</f>
        <v>#DIV/0!</v>
      </c>
      <c r="CU64" s="87" t="e">
        <f t="shared" ca="1" si="120"/>
        <v>#DIV/0!</v>
      </c>
      <c r="CV64" s="88" t="e">
        <f ca="1">IF(BZ64&lt;=Hypothèses!$V$7,Hypothèses!$X$7,IF(BZ64&lt;=Hypothèses!$V$8,Hypothèses!$X$8,IF(BZ64&lt;=Hypothèses!$V$9,Hypothèses!$X$9,IF(BZ64&lt;=Hypothèses!$V$10,Hypothèses!$X$10,IF(BZ64&lt;=Hypothèses!$V$11,Hypothèses!$X$11,IF(BZ64&lt;=Hypothèses!$V$12,Hypothèses!$X$12,IF(BZ64&lt;=Hypothèses!$V$13,Hypothèses!$X$13,IF(BZ64&lt;=Hypothèses!$V$14,Hypothèses!$X$14,IF(BZ64&lt;=Hypothèses!$V$15,Hypothèses!$X$15,IF(BZ64&lt;=Hypothèses!$V$16,Hypothèses!$X$16,IF(BZ64&lt;=Hypothèses!$U$17,Hypothèses!$W$17,IF(BZ64&lt;=Hypothèses!$U$18,Hypothèses!$W$18,""))))))))))))</f>
        <v>#DIV/0!</v>
      </c>
      <c r="CW64" s="95" t="e">
        <f t="shared" ca="1" si="85"/>
        <v>#DIV/0!</v>
      </c>
      <c r="CX64" s="101" t="e">
        <f t="shared" si="127"/>
        <v>#N/A</v>
      </c>
      <c r="CY64" s="91" t="e">
        <f t="shared" si="43"/>
        <v>#N/A</v>
      </c>
      <c r="CZ64" s="30" t="e">
        <f t="shared" si="108"/>
        <v>#N/A</v>
      </c>
      <c r="DA64" s="30" t="e">
        <f t="shared" si="109"/>
        <v>#N/A</v>
      </c>
      <c r="DB64" s="31" t="e">
        <f>IF(OR(Hypothèses!$B$4=17,Hypothèses!$B$4=18,Hypothèses!$B$4=19,Hypothèses!$B$4=20),
IF($D64="Pressio.",
IF(OR($E64=3,$E64=1,$E64=4),DA64,CZ64),
IF($D64="Pénétro.",
IF(OR($E64=3,$E64=1,$E64=4),DA64,CZ64))),IF($D64="Pressio.",
IF($E64=3,DA64,CZ64),
IF($D64="Pénétro.",
IF($E64=4,DA64,CZ64))))</f>
        <v>#N/A</v>
      </c>
      <c r="DC64" s="31" t="e">
        <f>(IF(OR(Hypothèses!$B$4=17,Hypothèses!$B$4=18,Hypothèses!$B$4=19,Hypothèses!$B$4=20),
IF($D64="Pressio.",
IF(OR($E64=3,$E64=1,$E64=4),(PI()*DC$12^2)/4*(CY64*$W64*1000)/($H64*$B$5),(PI()*DC$12^2)/4*(CY64*$W64*1000)/($G64*$B$5)),
IF($D64="Pénétro.",
IF(OR($E64=4,$E64=1,$E64=5),(PI()*DC$12^2)/4*(CY64*$W64*1000)/($H64*$B$5),(PI()*DC$12^2)/4*(CY64*$W64*1000)/($G64*$B$5)))),
IF($D64="Pressio.",
IF($E64=3,(PI()*DC$12^2)/4*(CY64*$W64*1000)/($H64*$B$5),(PI()*DC$12^2)/4*(CY64*$W64*1000)/($G64*$B$5)),
IF($D64="Pénétro.",
IF($E64=4,(PI()*DC$12^2)/4*(CY64*$W64*1000)/($H64*$B$5),(PI()*DC$12^2)/4*(CY64*$W64*1000)/($G64*$B$5))))))/10</f>
        <v>#N/A</v>
      </c>
      <c r="DD64" s="102" t="e">
        <f>(VLOOKUP($B$3,'Coeff EC7'!$T$39:$X$59,2,0)*DB64+VLOOKUP($B$3,'Coeff EC7'!$T$65:$X$85,2,0)*Model0.1C!DC64)/1.1</f>
        <v>#N/A</v>
      </c>
      <c r="DE64" s="102" t="e">
        <f>(VLOOKUP($B$3,'Coeff EC7'!$T$39:$X$59,3,0)*DB64+VLOOKUP($B$3,'Coeff EC7'!$T$65:$X$85,3,0)*Model0.1C!DC64)/0.9</f>
        <v>#N/A</v>
      </c>
      <c r="DF64" s="102" t="e">
        <f t="shared" si="86"/>
        <v>#N/A</v>
      </c>
      <c r="DG64" s="102" t="e">
        <f t="shared" si="87"/>
        <v>#N/A</v>
      </c>
      <c r="DH64" s="414" t="e">
        <f>IF(DH63=0,0,IF(AND(DD64&gt;charge_ELS_quasi,DE64&gt;Charge_ELS_freq,DF64&gt;charge_ELU,DG64&gt;charge_ELA,$B64&gt;NDC!$H$22-0.1+MIN(3*$DH$12,1.5)),0,1))</f>
        <v>#N/A</v>
      </c>
      <c r="DI64" s="86" t="b">
        <f t="shared" si="46"/>
        <v>0</v>
      </c>
      <c r="DJ64" s="86">
        <f t="shared" si="47"/>
        <v>0.5</v>
      </c>
      <c r="DK64" s="86">
        <f t="shared" si="48"/>
        <v>0.5</v>
      </c>
      <c r="DL64" s="30" t="e">
        <f t="shared" ca="1" si="88"/>
        <v>#DIV/0!</v>
      </c>
      <c r="DM64" s="85" t="e">
        <f ca="1">IF(CS64&lt;=Hypothèses!$V$7,Hypothèses!$W$7,IF(CS64&lt;=Hypothèses!$V$8,Hypothèses!$W$8,IF(CS64&lt;=Hypothèses!$V$9,Hypothèses!$W$9,IF(CS64&lt;=Hypothèses!$V$10,Hypothèses!$W$10,IF(CS64&lt;=Hypothèses!$V$11,Hypothèses!$W$11,IF(CS64&lt;=Hypothèses!$V$12,Hypothèses!$W$12,IF(CS64&lt;=Hypothèses!$V$13,Hypothèses!$W$13,IF(CS64&lt;=Hypothèses!$V$14,Hypothèses!$W$14,IF(CS64&lt;=Hypothèses!$V$15,Hypothèses!$W$15,IF(CS64&lt;=Hypothèses!$V$16,Hypothèses!$W$16,IF(CS64&lt;=Hypothèses!$V$17,Hypothèses!$W$17,IF(CS64&lt;=Hypothèses!$V$18,Hypothèses!$W$18,""))))))))))))</f>
        <v>#DIV/0!</v>
      </c>
      <c r="DN64" s="87" t="e">
        <f t="shared" ca="1" si="121"/>
        <v>#DIV/0!</v>
      </c>
      <c r="DO64" s="88" t="e">
        <f ca="1">IF(CS64&lt;=Hypothèses!$V$7,Hypothèses!$X$7,IF(CS64&lt;=Hypothèses!$V$8,Hypothèses!$X$8,IF(CS64&lt;=Hypothèses!$V$9,Hypothèses!$X$9,IF(CS64&lt;=Hypothèses!$V$10,Hypothèses!$X$10,IF(CS64&lt;=Hypothèses!$V$11,Hypothèses!$X$11,IF(CS64&lt;=Hypothèses!$V$12,Hypothèses!$X$12,IF(CS64&lt;=Hypothèses!$V$13,Hypothèses!$X$13,IF(CS64&lt;=Hypothèses!$V$14,Hypothèses!$X$14,IF(CS64&lt;=Hypothèses!$V$15,Hypothèses!$X$15,IF(CS64&lt;=Hypothèses!$V$16,Hypothèses!$X$16,IF(CS64&lt;=Hypothèses!$U$17,Hypothèses!$W$17,IF(CS64&lt;=Hypothèses!$U$18,Hypothèses!$W$18,""))))))))))))</f>
        <v>#DIV/0!</v>
      </c>
      <c r="DP64" s="95" t="e">
        <f t="shared" ca="1" si="89"/>
        <v>#DIV/0!</v>
      </c>
      <c r="DQ64" s="101" t="e">
        <f t="shared" si="128"/>
        <v>#N/A</v>
      </c>
      <c r="DR64" s="91" t="e">
        <f t="shared" si="50"/>
        <v>#N/A</v>
      </c>
      <c r="DS64" s="30" t="e">
        <f t="shared" si="110"/>
        <v>#N/A</v>
      </c>
      <c r="DT64" s="30" t="e">
        <f t="shared" si="111"/>
        <v>#N/A</v>
      </c>
      <c r="DU64" s="31" t="e">
        <f>IF(OR(Hypothèses!$B$4=17,Hypothèses!$B$4=18,Hypothèses!$B$4=19,Hypothèses!$B$4=20),
IF($D64="Pressio.",
IF(OR($E64=3,$E64=1,$E64=4),DT64,DS64),
IF($D64="Pénétro.",
IF(OR($E64=3,$E64=1,$E64=4),DT64,DS64))),IF($D64="Pressio.",
IF($E64=3,DT64,DS64),
IF($D64="Pénétro.",
IF($E64=4,DT64,DS64))))</f>
        <v>#N/A</v>
      </c>
      <c r="DV64" s="31" t="e">
        <f>(IF(OR(Hypothèses!$B$4=17,Hypothèses!$B$4=18,Hypothèses!$B$4=19,Hypothèses!$B$4=20),
IF($D64="Pressio.",
IF(OR($E64=3,$E64=1,$E64=4),(PI()*DV$12^2)/4*(DR64*$W64*1000)/($H64*$B$5),(PI()*DV$12^2)/4*(DR64*$W64*1000)/($G64*$B$5)),
IF($D64="Pénétro.",
IF(OR($E64=4,$E64=1,$E64=5),(PI()*DV$12^2)/4*(DR64*$W64*1000)/($H64*$B$5),(PI()*DV$12^2)/4*(DR64*$W64*1000)/($G64*$B$5)))),
IF($D64="Pressio.",
IF($E64=3,(PI()*DV$12^2)/4*(DR64*$W64*1000)/($H64*$B$5),(PI()*DV$12^2)/4*(DR64*$W64*1000)/($G64*$B$5)),
IF($D64="Pénétro.",
IF($E64=4,(PI()*DV$12^2)/4*(DR64*$W64*1000)/($H64*$B$5),(PI()*DV$12^2)/4*(DR64*$W64*1000)/($G64*$B$5))))))/10</f>
        <v>#N/A</v>
      </c>
      <c r="DW64" s="102" t="e">
        <f>(VLOOKUP($B$3,'Coeff EC7'!$T$39:$X$59,2,0)*DU64+VLOOKUP($B$3,'Coeff EC7'!$T$65:$X$85,2,0)*Model0.1C!DV64)/1.1</f>
        <v>#N/A</v>
      </c>
      <c r="DX64" s="102" t="e">
        <f>(VLOOKUP($B$3,'Coeff EC7'!$T$39:$X$59,3,0)*DU64+VLOOKUP($B$3,'Coeff EC7'!$T$65:$X$85,3,0)*Model0.1C!DV64)/0.9</f>
        <v>#N/A</v>
      </c>
      <c r="DY64" s="102" t="e">
        <f t="shared" si="90"/>
        <v>#N/A</v>
      </c>
      <c r="DZ64" s="102" t="e">
        <f t="shared" si="91"/>
        <v>#N/A</v>
      </c>
      <c r="EA64" s="414" t="e">
        <f>IF(EA63=0,0,IF(AND(DW64&gt;charge_ELS_quasi,DX64&gt;Charge_ELS_freq,DY64&gt;charge_ELU,DZ64&gt;charge_ELA,$B64&gt;NDC!$H$22-0.1+MIN(3*$EA$12,1.5)),0,1))</f>
        <v>#N/A</v>
      </c>
      <c r="EB64" s="86" t="b">
        <f t="shared" si="53"/>
        <v>0</v>
      </c>
      <c r="EC64" s="418">
        <f t="shared" si="54"/>
        <v>0.51</v>
      </c>
      <c r="ED64" s="86">
        <f t="shared" si="55"/>
        <v>0.51</v>
      </c>
      <c r="EE64" s="30" t="e">
        <f t="shared" ca="1" si="92"/>
        <v>#DIV/0!</v>
      </c>
      <c r="EF64" s="85" t="e">
        <f ca="1">IF(DL64&lt;=Hypothèses!$V$7,Hypothèses!$W$7,IF(DL64&lt;=Hypothèses!$V$8,Hypothèses!$W$8,IF(DL64&lt;=Hypothèses!$V$9,Hypothèses!$W$9,IF(DL64&lt;=Hypothèses!$V$10,Hypothèses!$W$10,IF(DL64&lt;=Hypothèses!$V$11,Hypothèses!$W$11,IF(DL64&lt;=Hypothèses!$V$12,Hypothèses!$W$12,IF(DL64&lt;=Hypothèses!$V$13,Hypothèses!$W$13,IF(DL64&lt;=Hypothèses!$V$14,Hypothèses!$W$14,IF(DL64&lt;=Hypothèses!$V$15,Hypothèses!$W$15,IF(DL64&lt;=Hypothèses!$V$16,Hypothèses!$W$16,IF(DL64&lt;=Hypothèses!$V$17,Hypothèses!$W$17,IF(DL64&lt;=Hypothèses!$V$18,Hypothèses!$W$18,""))))))))))))</f>
        <v>#DIV/0!</v>
      </c>
      <c r="EG64" s="87" t="e">
        <f t="shared" ca="1" si="122"/>
        <v>#DIV/0!</v>
      </c>
      <c r="EH64" s="88" t="e">
        <f ca="1">IF(DL64&lt;=Hypothèses!$V$7,Hypothèses!$X$7,IF(DL64&lt;=Hypothèses!$V$8,Hypothèses!$X$8,IF(DL64&lt;=Hypothèses!$V$9,Hypothèses!$X$9,IF(DL64&lt;=Hypothèses!$V$10,Hypothèses!$X$10,IF(DL64&lt;=Hypothèses!$V$11,Hypothèses!$X$11,IF(DL64&lt;=Hypothèses!$V$12,Hypothèses!$X$12,IF(DL64&lt;=Hypothèses!$V$13,Hypothèses!$X$13,IF(DL64&lt;=Hypothèses!$V$14,Hypothèses!$X$14,IF(DL64&lt;=Hypothèses!$V$15,Hypothèses!$X$15,IF(DL64&lt;=Hypothèses!$V$16,Hypothèses!$X$16,IF(DL64&lt;=Hypothèses!$U$17,Hypothèses!$W$17,IF(DL64&lt;=Hypothèses!$U$18,Hypothèses!$W$18,""))))))))))))</f>
        <v>#DIV/0!</v>
      </c>
      <c r="EI64" s="95" t="e">
        <f t="shared" ca="1" si="93"/>
        <v>#DIV/0!</v>
      </c>
      <c r="EJ64" s="101" t="e">
        <f t="shared" si="129"/>
        <v>#N/A</v>
      </c>
      <c r="EK64" s="91" t="e">
        <f t="shared" si="57"/>
        <v>#N/A</v>
      </c>
      <c r="EL64" s="30" t="e">
        <f t="shared" si="112"/>
        <v>#N/A</v>
      </c>
      <c r="EM64" s="30" t="e">
        <f t="shared" si="113"/>
        <v>#N/A</v>
      </c>
      <c r="EN64" s="31" t="e">
        <f>IF(OR(Hypothèses!$B$4=17,Hypothèses!$B$4=18,Hypothèses!$B$4=19,Hypothèses!$B$4=20),
IF($D64="Pressio.",
IF(OR($E64=3,$E64=1,$E64=4),EM64,EL64),
IF($D64="Pénétro.",
IF(OR($E64=3,$E64=1,$E64=4),EM64,EL64))),IF($D64="Pressio.",
IF($E64=3,EM64,EL64),
IF($D64="Pénétro.",
IF($E64=4,EM64,EL64))))</f>
        <v>#N/A</v>
      </c>
      <c r="EO64" s="31" t="e">
        <f>(IF(OR(Hypothèses!$B$4=17,Hypothèses!$B$4=18,Hypothèses!$B$4=19,Hypothèses!$B$4=20),
IF($D64="Pressio.",
IF(OR($E64=3,$E64=1,$E64=4),(PI()*EO$12^2)/4*(EK64*$W64*1000)/($H64*$B$5),(PI()*EO$12^2)/4*(EK64*$W64*1000)/($G64*$B$5)),
IF($D64="Pénétro.",
IF(OR($E64=4,$E64=1,$E64=5),(PI()*EO$12^2)/4*(EK64*$W64*1000)/($H64*$B$5),(PI()*EO$12^2)/4*(EK64*$W64*1000)/($G64*$B$5)))),
IF($D64="Pressio.",
IF($E64=3,(PI()*EO$12^2)/4*(EK64*$W64*1000)/($H64*$B$5),(PI()*EO$12^2)/4*(EK64*$W64*1000)/($G64*$B$5)),
IF($D64="Pénétro.",
IF($E64=4,(PI()*EO$12^2)/4*(EK64*$W64*1000)/($H64*$B$5),(PI()*EO$12^2)/4*(EK64*$W64*1000)/($G64*$B$5))))))/10</f>
        <v>#N/A</v>
      </c>
      <c r="EP64" s="102" t="e">
        <f>(VLOOKUP($B$3,'Coeff EC7'!$T$39:$X$59,2,0)*EN64+VLOOKUP($B$3,'Coeff EC7'!$T$65:$X$85,2,0)*Model0.1C!EO64)/1.1</f>
        <v>#N/A</v>
      </c>
      <c r="EQ64" s="102" t="e">
        <f>(VLOOKUP($B$3,'Coeff EC7'!$T$39:$X$59,3,0)*EN64+VLOOKUP($B$3,'Coeff EC7'!$T$65:$X$85,3,0)*Model0.1C!EO64)/0.9</f>
        <v>#N/A</v>
      </c>
      <c r="ER64" s="102" t="e">
        <f t="shared" si="94"/>
        <v>#N/A</v>
      </c>
      <c r="ES64" s="102" t="e">
        <f t="shared" si="95"/>
        <v>#N/A</v>
      </c>
      <c r="ET64" s="414" t="e">
        <f>IF(ET63=0,0,IF(AND(EP64&gt;charge_ELS_quasi,EQ64&gt;Charge_ELS_freq,ER64&gt;charge_ELU,ES64&gt;charge_ELA,$B64&gt;NDC!$H$22-0.1+MIN(3*$ET$12,1.5)),0,1))</f>
        <v>#N/A</v>
      </c>
      <c r="EU64" s="86" t="b">
        <f t="shared" si="60"/>
        <v>0</v>
      </c>
      <c r="EV64" s="86">
        <f t="shared" si="61"/>
        <v>0.61</v>
      </c>
      <c r="EW64" s="86">
        <f t="shared" si="62"/>
        <v>0.61</v>
      </c>
      <c r="EX64" s="30" t="e">
        <f t="shared" ca="1" si="96"/>
        <v>#DIV/0!</v>
      </c>
      <c r="EY64" s="85" t="e">
        <f ca="1">IF(EE64&lt;=Hypothèses!$V$7,Hypothèses!$W$7,IF(EE64&lt;=Hypothèses!$V$8,Hypothèses!$W$8,IF(EE64&lt;=Hypothèses!$V$9,Hypothèses!$W$9,IF(EE64&lt;=Hypothèses!$V$10,Hypothèses!$W$10,IF(EE64&lt;=Hypothèses!$V$11,Hypothèses!$W$11,IF(EE64&lt;=Hypothèses!$V$12,Hypothèses!$W$12,IF(EE64&lt;=Hypothèses!$V$13,Hypothèses!$W$13,IF(EE64&lt;=Hypothèses!$V$14,Hypothèses!$W$14,IF(EE64&lt;=Hypothèses!$V$15,Hypothèses!$W$15,IF(EE64&lt;=Hypothèses!$V$16,Hypothèses!$W$16,IF(EE64&lt;=Hypothèses!$V$17,Hypothèses!$W$17,IF(EE64&lt;=Hypothèses!$V$18,Hypothèses!$W$18,""))))))))))))</f>
        <v>#DIV/0!</v>
      </c>
      <c r="EZ64" s="87" t="e">
        <f t="shared" ca="1" si="123"/>
        <v>#DIV/0!</v>
      </c>
      <c r="FA64" s="88" t="e">
        <f ca="1">IF(EE64&lt;=Hypothèses!$V$7,Hypothèses!$X$7,IF(EE64&lt;=Hypothèses!$V$8,Hypothèses!$X$8,IF(EE64&lt;=Hypothèses!$V$9,Hypothèses!$X$9,IF(EE64&lt;=Hypothèses!$V$10,Hypothèses!$X$10,IF(EE64&lt;=Hypothèses!$V$11,Hypothèses!$X$11,IF(EE64&lt;=Hypothèses!$V$12,Hypothèses!$X$12,IF(EE64&lt;=Hypothèses!$V$13,Hypothèses!$X$13,IF(EE64&lt;=Hypothèses!$V$14,Hypothèses!$X$14,IF(EE64&lt;=Hypothèses!$V$15,Hypothèses!$X$15,IF(EE64&lt;=Hypothèses!$V$16,Hypothèses!$X$16,IF(EE64&lt;=Hypothèses!$U$17,Hypothèses!$W$17,IF(EE64&lt;=Hypothèses!$U$18,Hypothèses!$W$18,""))))))))))))</f>
        <v>#DIV/0!</v>
      </c>
      <c r="FB64" s="95" t="e">
        <f t="shared" ca="1" si="97"/>
        <v>#DIV/0!</v>
      </c>
      <c r="FC64" s="101" t="e">
        <f t="shared" si="130"/>
        <v>#N/A</v>
      </c>
      <c r="FD64" s="91" t="e">
        <f t="shared" si="64"/>
        <v>#N/A</v>
      </c>
      <c r="FE64" s="30" t="e">
        <f t="shared" si="114"/>
        <v>#N/A</v>
      </c>
      <c r="FF64" s="30" t="e">
        <f t="shared" si="115"/>
        <v>#N/A</v>
      </c>
      <c r="FG64" s="31" t="e">
        <f>IF(OR(Hypothèses!$B$4=17,Hypothèses!$B$4=18,Hypothèses!$B$4=19,Hypothèses!$B$4=20),
IF($D64="Pressio.",
IF(OR($E64=3,$E64=1,$E64=4),FF64,FE64),
IF($D64="Pénétro.",
IF(OR($E64=3,$E64=1,$E64=4),FF64,FE64))),IF($D64="Pressio.",
IF($E64=3,FF64,FE64),
IF($D64="Pénétro.",
IF($E64=4,FF64,FE64))))</f>
        <v>#N/A</v>
      </c>
      <c r="FH64" s="31" t="e">
        <f>(IF(OR(Hypothèses!$B$4=17,Hypothèses!$B$4=18,Hypothèses!$B$4=19,Hypothèses!$B$4=20),
IF($D64="Pressio.",
IF(OR($E64=3,$E64=1,$E64=4),(PI()*FH$12^2)/4*(FD64*$W64*1000)/($H64*$B$5),(PI()*FH$12^2)/4*(FD64*$W64*1000)/($G64*$B$5)),
IF($D64="Pénétro.",
IF(OR($E64=4,$E64=1,$E64=5),(PI()*FH$12^2)/4*(FD64*$W64*1000)/($H64*$B$5),(PI()*FH$12^2)/4*(FD64*$W64*1000)/($G64*$B$5)))),
IF($D64="Pressio.",
IF($E64=3,(PI()*FH$12^2)/4*(FD64*$W64*1000)/($H64*$B$5),(PI()*FH$12^2)/4*(FD64*$W64*1000)/($G64*$B$5)),
IF($D64="Pénétro.",
IF($E64=4,(PI()*FH$12^2)/4*(FD64*$W64*1000)/($H64*$B$5),(PI()*FH$12^2)/4*(FD64*$W64*1000)/($G64*$B$5))))))/10</f>
        <v>#N/A</v>
      </c>
      <c r="FI64" s="102" t="e">
        <f>(VLOOKUP($B$3,'Coeff EC7'!$T$39:$X$59,2,0)*FG64+VLOOKUP($B$3,'Coeff EC7'!$T$65:$X$85,2,0)*Model0.1C!FH64)/1.1</f>
        <v>#N/A</v>
      </c>
      <c r="FJ64" s="102" t="e">
        <f>(VLOOKUP($B$3,'Coeff EC7'!$T$39:$X$59,3,0)*FG64+VLOOKUP($B$3,'Coeff EC7'!$T$65:$X$85,3,0)*Model0.1C!FH64)/0.9</f>
        <v>#N/A</v>
      </c>
      <c r="FK64" s="102" t="e">
        <f t="shared" si="98"/>
        <v>#N/A</v>
      </c>
      <c r="FL64" s="102" t="e">
        <f t="shared" si="99"/>
        <v>#N/A</v>
      </c>
      <c r="FM64" s="414" t="e">
        <f>IF(FM63=0,0,IF(AND(FI64&gt;charge_ELS_quasi,FJ64&gt;Charge_ELS_freq,FK64&gt;charge_ELU,FL64&gt;charge_ELA,$B64&gt;NDC!$H$22-0.1+MIN(3*$FM$12,1.5)),0,1))</f>
        <v>#N/A</v>
      </c>
    </row>
    <row r="65" spans="1:169">
      <c r="A65" s="96">
        <f t="shared" si="67"/>
        <v>94.800000000000296</v>
      </c>
      <c r="B65" s="97">
        <v>5.2</v>
      </c>
      <c r="C65" s="81">
        <f>IF(B65&lt;=Hypothèses!$C$7,Hypothèses!$A$7,IF(B65&lt;=Hypothèses!$C$8,Hypothèses!$A$8,IF(B65&lt;=Hypothèses!$C$9,Hypothèses!$A$9,IF(B65&lt;=Hypothèses!$C$10,Hypothèses!$A$10,IF(B65&lt;=Hypothèses!$C$11,Hypothèses!$A$11,IF(B65&lt;=Hypothèses!$C$12,Hypothèses!$A$12,IF(B65&lt;=Hypothèses!$C$13,Hypothèses!$A$13,IF(B65&lt;=Hypothèses!$C$14,Hypothèses!$A$14,IF(B65&lt;=Hypothèses!$C$15,Hypothèses!$A$15,IF(B65&lt;=Hypothèses!$C$16,Hypothèses!$A$16,IF(B65&lt;=Hypothèses!$C$17,Hypothèses!$A$17,IF(B65&lt;=Hypothèses!$C$18,Hypothèses!$A$18,C64))))))))))))</f>
        <v>11</v>
      </c>
      <c r="D65" s="82" t="str">
        <f>IF(B65&lt;=Hypothèses!$C$7,Hypothèses!$R$7,IF(B65&lt;=Hypothèses!$C$8,Hypothèses!$R$8,IF(B65&lt;=Hypothèses!$C$9,Hypothèses!$R$9,IF(B65&lt;=Hypothèses!$C$10,Hypothèses!$R$10,IF(B65&lt;=Hypothèses!$C$11,Hypothèses!$R$11,IF(B65&lt;=Hypothèses!$C$12,Hypothèses!$R$12,IF(B65&lt;=Hypothèses!$C$13,Hypothèses!$R$13,IF(B65&lt;=Hypothèses!$C$14,Hypothèses!$R$14,IF(B65&lt;=Hypothèses!$C$15,Hypothèses!$R$15,IF(B65&lt;=Hypothèses!$C$16,Hypothèses!$R$16,IF(B65&lt;=Hypothèses!$C$17,Hypothèses!$R$17,IF(B65&lt;=Hypothèses!$C$18,Hypothèses!$R$18,D64))))))))))))</f>
        <v>Pressio.</v>
      </c>
      <c r="E65" s="82" t="e">
        <f>IF(B65&lt;=Hypothèses!$C$7,Hypothèses!$G$7,IF(B65&lt;=Hypothèses!$C$8,Hypothèses!$G$8,IF(B65&lt;=Hypothèses!$C$9,Hypothèses!$G$9,IF(B65&lt;=Hypothèses!$C$10,Hypothèses!$G$10,IF(B65&lt;=Hypothèses!$C$11,Hypothèses!$G$11,IF(B65&lt;=Hypothèses!$C$12,Hypothèses!$G$12,IF(B65&lt;=Hypothèses!$C$13,Hypothèses!$G$13,IF(B65&lt;=Hypothèses!$C$14,Hypothèses!$G$14,IF(B65&lt;=Hypothèses!$C$15,Hypothèses!$G$15,IF(B65&lt;=Hypothèses!$C$16,Hypothèses!$G$16,IF(B65&lt;=Hypothèses!$C$17,Hypothèses!$G$17,IF(B65&lt;=Hypothèses!$C$18,Hypothèses!$G$18,E64))))))))))))</f>
        <v>#N/A</v>
      </c>
      <c r="F65" s="82" t="str">
        <f>IF(B65&lt;=Hypothèses!$C$7,Hypothèses!$F$7,IF(B65&lt;=Hypothèses!$C$8,Hypothèses!$F$8,IF(B65&lt;=Hypothèses!$C$9,Hypothèses!$F$9,IF(B65&lt;=Hypothèses!$C$10,Hypothèses!$F$10,IF(B65&lt;=Hypothèses!$C$11,Hypothèses!$F$11,IF(B65&lt;=Hypothèses!$C$12,Hypothèses!$F$12,IF(B65&lt;=Hypothèses!$C$13,Hypothèses!$F$13,IF(B65&lt;=Hypothèses!$C$14,Hypothèses!$F$14,IF(B65&lt;=Hypothèses!$C$15,Hypothèses!$F$15,IF(B65&lt;=Hypothèses!$C$16,Hypothèses!$F$16,IF(B65&lt;=Hypothèses!$C$17,Hypothèses!$F$17,IF(B65&lt;=Hypothèses!$C$18,Hypothèses!$F$18,F64))))))))))))</f>
        <v/>
      </c>
      <c r="G65" s="91">
        <f t="array" ref="G65">INDEX('Coeff EC7'!$U$7:$X$27,
MATCH(Model0.1C!$B$3,'Coeff EC7'!$T$7:$T$27,0),
MATCH(Model0.1C!$D65&amp;Model0.1C!$B$4,
'Coeff EC7'!$U$6:$X$6&amp;
'Coeff EC7'!$U$5:$X$5,0))</f>
        <v>1.1499999999999999</v>
      </c>
      <c r="H65" s="91">
        <f t="array" ref="H65">INDEX('Coeff EC7'!$Y$7:$AB$27,
MATCH(Model0.1C!$B$3,'Coeff EC7'!$T$7:$T$27,0),
MATCH(Model0.1C!$D65&amp;Model0.1C!$B$4,
'Coeff EC7'!$Y$6:$AB$6&amp;
'Coeff EC7'!$Y$5:$AB$5,0))</f>
        <v>1.4</v>
      </c>
      <c r="I65" s="83" t="e">
        <f>IF(B65&lt;=Hypothèses!$C$7,Hypothèses!$P$7,IF(B65&lt;=Hypothèses!$C$8,Hypothèses!$P$8,IF(B65&lt;=Hypothèses!$C$9,Hypothèses!$P$9,IF(B65&lt;=Hypothèses!$C$10,Hypothèses!$P$10,IF(B65&lt;=Hypothèses!$C$11,Hypothèses!$P$11,IF(B65&lt;=Hypothèses!$C$12,Hypothèses!$P$12,IF(B65&lt;=Hypothèses!$C$13,Hypothèses!$P$13,IF(B65&lt;=Hypothèses!$C$14,Hypothèses!$P$14,IF(B65&lt;=Hypothèses!$C$15,Hypothèses!$P$15,IF(B65&lt;=Hypothèses!$C$16,Hypothèses!$P$16,IF(B65&lt;=Hypothèses!$C$17,Hypothèses!$P$17,IF(B65&lt;=Hypothèses!$C$18,Hypothèses!$P$18,I64))))))))))))</f>
        <v>#N/A</v>
      </c>
      <c r="J65" s="91" t="e">
        <f t="array" ref="J65">INDEX('Coeff EC7'!$D$33:$Q$33,1,MATCH(D65&amp;E65,'Coeff EC7'!$D$31:$Q$31&amp;'Coeff EC7'!$D$32:$Q$32,0))</f>
        <v>#N/A</v>
      </c>
      <c r="K65" s="91" t="e">
        <f t="array" ref="K65">INDEX('Coeff EC7'!$D$34:$Q$34,1,MATCH(D65&amp;E65,'Coeff EC7'!$D$31:$Q$31&amp;'Coeff EC7'!$D$32:$Q$32,0))</f>
        <v>#N/A</v>
      </c>
      <c r="L65" s="91" t="e">
        <f t="array" ref="L65">INDEX('Coeff EC7'!$D$35:$Q$35,1,MATCH(D65&amp;E65,'Coeff EC7'!$D$31:$Q$31&amp;'Coeff EC7'!$D$32:$Q$32,0))</f>
        <v>#N/A</v>
      </c>
      <c r="M65" s="98" t="e">
        <f t="shared" si="8"/>
        <v>#N/A</v>
      </c>
      <c r="N65" s="99" t="e">
        <f t="array" ref="N65">INDEX('Coeff EC7'!$D$7:$Q$27,MATCH($B$3,'Coeff EC7'!$C$7:$C$27,0),MATCH(D65&amp;E65,'Coeff EC7'!$D$5:$Q$5&amp;'Coeff EC7'!$D$6:$Q$6,0))</f>
        <v>#N/A</v>
      </c>
      <c r="O65" s="99" t="e">
        <f t="array" ref="O65">INDEX('Coeff EC7'!$D$41:$Q$61,MATCH($B$3,'Coeff EC7'!$C$41:$C$61,0),MATCH(D65&amp;E65,'Coeff EC7'!$D$39:$Q$39&amp;'Coeff EC7'!$D$40:$Q$40,0))</f>
        <v>#N/A</v>
      </c>
      <c r="P65" s="30" t="e">
        <f t="shared" si="68"/>
        <v>#N/A</v>
      </c>
      <c r="Q65" s="100" t="e">
        <f t="shared" si="10"/>
        <v>#N/A</v>
      </c>
      <c r="R65" s="86" t="b">
        <f t="shared" si="11"/>
        <v>0</v>
      </c>
      <c r="S65" s="86">
        <f t="shared" si="9"/>
        <v>0.5</v>
      </c>
      <c r="T65" s="86">
        <f t="shared" si="12"/>
        <v>0.5</v>
      </c>
      <c r="U65" s="30" t="e">
        <f t="shared" ca="1" si="69"/>
        <v>#DIV/0!</v>
      </c>
      <c r="V65" s="85" t="str">
        <f>IF(B65&lt;=Hypothèses!$V$7,Hypothèses!$W$7,IF(B65&lt;=Hypothèses!$V$8,Hypothèses!$W$8,IF(B65&lt;=Hypothèses!$V$9,Hypothèses!$W$9,IF(B65&lt;=Hypothèses!$V$10,Hypothèses!$W$10,IF(B65&lt;=Hypothèses!$V$11,Hypothèses!$W$11,IF(B65&lt;=Hypothèses!$V$12,Hypothèses!$W$12,IF(B65&lt;=Hypothèses!$V$13,Hypothèses!$W$13,IF(B65&lt;=Hypothèses!$V$14,Hypothèses!$W$14,IF(B65&lt;=Hypothèses!$V$15,Hypothèses!$W$15,IF(B65&lt;=Hypothèses!$V$16,Hypothèses!$W$16,IF(B65&lt;=Hypothèses!$V$17,Hypothèses!$W$17,IF(B65&lt;=Hypothèses!$V$18,Hypothèses!$W$18,""))))))))))))</f>
        <v/>
      </c>
      <c r="W65" s="87" t="e">
        <f t="shared" ca="1" si="116"/>
        <v>#DIV/0!</v>
      </c>
      <c r="X65" s="88" t="str">
        <f>IF(B65&lt;=Hypothèses!$V$7,Hypothèses!$X$7,IF(B65&lt;=Hypothèses!$V$8,Hypothèses!$X$8,IF(B65&lt;=Hypothèses!$V$9,Hypothèses!$X$9,IF(B65&lt;=Hypothèses!$V$10,Hypothèses!$X$10,IF(B65&lt;=Hypothèses!$V$11,Hypothèses!$X$11,IF(B65&lt;=Hypothèses!$V$12,Hypothèses!$X$12,IF(B65&lt;=Hypothèses!$V$13,Hypothèses!$X$13,IF(B65&lt;=Hypothèses!$V$14,Hypothèses!$X$14,IF(B65&lt;=Hypothèses!$V$15,Hypothèses!$X$15,IF(B65&lt;=Hypothèses!$V$16,Hypothèses!$X$16,IF(B65&lt;=Hypothèses!$U$17,Hypothèses!$W$17,IF(B65&lt;=Hypothèses!$U$18,Hypothèses!$W$18,""))))))))))))</f>
        <v/>
      </c>
      <c r="Y65" s="95" t="e">
        <f t="shared" ca="1" si="13"/>
        <v>#DIV/0!</v>
      </c>
      <c r="Z65" s="101" t="e">
        <f t="shared" si="14"/>
        <v>#N/A</v>
      </c>
      <c r="AA65" s="91" t="e">
        <f t="shared" si="15"/>
        <v>#N/A</v>
      </c>
      <c r="AB65" s="30" t="e">
        <f t="shared" si="100"/>
        <v>#N/A</v>
      </c>
      <c r="AC65" s="30" t="e">
        <f t="shared" si="101"/>
        <v>#N/A</v>
      </c>
      <c r="AD65" s="31" t="e">
        <f>IF(OR(Hypothèses!$B$4=17,Hypothèses!$B$4=18,Hypothèses!$B$4=19,Hypothèses!$B$4=20),
IF($D65="Pressio.",
IF(OR($E65=3,$E65=1,$E65=4),AC65,AB65),
IF($D65="Pénétro.",
IF(OR($E65=3,$E65=1,$E65=4),AC65,AB65))),IF($D65="Pressio.",
IF($E65=3,AC65,AB65),
IF($D65="Pénétro.",
IF($E65=4,AC65,AB65))))</f>
        <v>#N/A</v>
      </c>
      <c r="AE65" s="31" t="e">
        <f>(IF(OR(Hypothèses!$B$4=17,Hypothèses!$B$4=18,Hypothèses!$B$4=19,Hypothèses!$B$4=20),
IF($D65="Pressio.",
IF(OR($E65=3,$E65=1,$E65=4),(PI()*AE$12^2)/4*(AA65*$W65*1000)/($H65*$B$5),(PI()*AE$12^2)/4*(AA65*$W65*1000)/($G65*$B$5)),
IF($D65="Pénétro.",
IF(OR($E65=4,$E65=1,$E65=5),(PI()*AE$12^2)/4*(AA65*$W65*1000)/($H65*$B$5),(PI()*AE$12^2)/4*(AA65*$W65*1000)/($G65*$B$5)))),
IF($D65="Pressio.",
IF($E65=3,(PI()*AE$12^2)/4*(AA65*$W65*1000)/($H65*$B$5),(PI()*AE$12^2)/4*(AA65*$W65*1000)/($G65*$B$5)),
IF($D65="Pénétro.",
IF($E65=4,(PI()*AE$12^2)/4*(AA65*$W65*1000)/($H65*$B$5),(PI()*AE$12^2)/4*(AA65*$W65*1000)/($G65*$B$5))))))/10</f>
        <v>#N/A</v>
      </c>
      <c r="AF65" s="102" t="e">
        <f>(VLOOKUP($B$3,'Coeff EC7'!$T$39:$X$59,2,0)*AD65+VLOOKUP($B$3,'Coeff EC7'!$T$65:$X$85,2,0)*Model0.1C!AE65)/1.1</f>
        <v>#N/A</v>
      </c>
      <c r="AG65" s="102" t="e">
        <f>(VLOOKUP($B$3,'Coeff EC7'!$T$39:$X$59,3,0)*AD65+VLOOKUP($B$3,'Coeff EC7'!$T$65:$X$85,3,0)*Model0.1C!AE65)/0.9</f>
        <v>#N/A</v>
      </c>
      <c r="AH65" s="102" t="e">
        <f t="shared" si="18"/>
        <v>#N/A</v>
      </c>
      <c r="AI65" s="102" t="e">
        <f t="shared" si="19"/>
        <v>#N/A</v>
      </c>
      <c r="AJ65" s="414" t="e">
        <f>IF(AJ64=0,0,IF(AND(AF65&gt;charge_ELS_quasi,AG65&gt;Charge_ELS_freq,AH65&gt;charge_ELU,AI65&gt;charge_ELA,$B65&gt;NDC!$H$22-0.1+MIN(3*$AJ$12,1.5)),0,1))</f>
        <v>#N/A</v>
      </c>
      <c r="AK65" s="86" t="b">
        <f t="shared" si="20"/>
        <v>0</v>
      </c>
      <c r="AL65" s="86">
        <f t="shared" si="70"/>
        <v>0.5</v>
      </c>
      <c r="AM65" s="86">
        <f t="shared" si="21"/>
        <v>0.5</v>
      </c>
      <c r="AN65" s="30" t="e">
        <f t="shared" ca="1" si="71"/>
        <v>#DIV/0!</v>
      </c>
      <c r="AO65" s="85" t="e">
        <f ca="1">IF(U65&lt;=Hypothèses!$V$7,Hypothèses!$W$7,IF(U65&lt;=Hypothèses!$V$8,Hypothèses!$W$8,IF(U65&lt;=Hypothèses!$V$9,Hypothèses!$W$9,IF(U65&lt;=Hypothèses!$V$10,Hypothèses!$W$10,IF(U65&lt;=Hypothèses!$V$11,Hypothèses!$W$11,IF(U65&lt;=Hypothèses!$V$12,Hypothèses!$W$12,IF(U65&lt;=Hypothèses!$V$13,Hypothèses!$W$13,IF(U65&lt;=Hypothèses!$V$14,Hypothèses!$W$14,IF(U65&lt;=Hypothèses!$V$15,Hypothèses!$W$15,IF(U65&lt;=Hypothèses!$V$16,Hypothèses!$W$16,IF(U65&lt;=Hypothèses!$V$17,Hypothèses!$W$17,IF(U65&lt;=Hypothèses!$V$18,Hypothèses!$W$18,""))))))))))))</f>
        <v>#DIV/0!</v>
      </c>
      <c r="AP65" s="87" t="e">
        <f t="shared" ca="1" si="117"/>
        <v>#DIV/0!</v>
      </c>
      <c r="AQ65" s="88" t="e">
        <f ca="1">IF(U65&lt;=Hypothèses!$V$7,Hypothèses!$X$7,IF(U65&lt;=Hypothèses!$V$8,Hypothèses!$X$8,IF(U65&lt;=Hypothèses!$V$9,Hypothèses!$X$9,IF(U65&lt;=Hypothèses!$V$10,Hypothèses!$X$10,IF(U65&lt;=Hypothèses!$V$11,Hypothèses!$X$11,IF(U65&lt;=Hypothèses!$V$12,Hypothèses!$X$12,IF(U65&lt;=Hypothèses!$V$13,Hypothèses!$X$13,IF(U65&lt;=Hypothèses!$V$14,Hypothèses!$X$14,IF(U65&lt;=Hypothèses!$V$15,Hypothèses!$X$15,IF(U65&lt;=Hypothèses!$V$16,Hypothèses!$X$16,IF(U65&lt;=Hypothèses!$U$17,Hypothèses!$W$17,IF(U65&lt;=Hypothèses!$U$18,Hypothèses!$W$18,""))))))))))))</f>
        <v>#DIV/0!</v>
      </c>
      <c r="AR65" s="95" t="e">
        <f t="shared" ca="1" si="72"/>
        <v>#DIV/0!</v>
      </c>
      <c r="AS65" s="101" t="e">
        <f t="shared" si="124"/>
        <v>#N/A</v>
      </c>
      <c r="AT65" s="91" t="e">
        <f t="shared" si="23"/>
        <v>#N/A</v>
      </c>
      <c r="AU65" s="30" t="e">
        <f t="shared" si="102"/>
        <v>#N/A</v>
      </c>
      <c r="AV65" s="30" t="e">
        <f t="shared" si="103"/>
        <v>#N/A</v>
      </c>
      <c r="AW65" s="31" t="e">
        <f>IF(OR(Hypothèses!$B$4=17,Hypothèses!$B$4=18,Hypothèses!$B$4=19,Hypothèses!$B$4=20),
IF($D65="Pressio.",
IF(OR($E65=3,$E65=1,$E65=4),AV65,AU65),
IF($D65="Pénétro.",
IF(OR($E65=3,$E65=1,$E65=4),AV65,AU65))),IF($D65="Pressio.",
IF($E65=3,AV65,AU65),
IF($D65="Pénétro.",
IF($E65=4,AV65,AU65))))</f>
        <v>#N/A</v>
      </c>
      <c r="AX65" s="31" t="e">
        <f>(IF(OR(Hypothèses!$B$4=17,Hypothèses!$B$4=18,Hypothèses!$B$4=19,Hypothèses!$B$4=20),
IF($D65="Pressio.",
IF(OR($E65=3,$E65=1,$E65=4),(PI()*AX$12^2)/4*(AT65*$W65*1000)/($H65*$B$5),(PI()*AX$12^2)/4*(AT65*$W65*1000)/($G65*$B$5)),
IF($D65="Pénétro.",
IF(OR($E65=4,$E65=1,$E65=5),(PI()*AX$12^2)/4*(AT65*$W65*1000)/($H65*$B$5),(PI()*AX$12^2)/4*(AT65*$W65*1000)/($G65*$B$5)))),
IF($D65="Pressio.",
IF($E65=3,(PI()*AX$12^2)/4*(AT65*$W65*1000)/($H65*$B$5),(PI()*AX$12^2)/4*(AT65*$W65*1000)/($G65*$B$5)),
IF($D65="Pénétro.",
IF($E65=4,(PI()*AX$12^2)/4*(AT65*$W65*1000)/($H65*$B$5),(PI()*AX$12^2)/4*(AT65*$W65*1000)/($G65*$B$5))))))/10</f>
        <v>#N/A</v>
      </c>
      <c r="AY65" s="102" t="e">
        <f>(VLOOKUP($B$3,'Coeff EC7'!$T$39:$X$59,2,0)*AW65+VLOOKUP($B$3,'Coeff EC7'!$T$65:$X$85,2,0)*Model0.1C!AX65)/1.1</f>
        <v>#N/A</v>
      </c>
      <c r="AZ65" s="102" t="e">
        <f>(VLOOKUP($B$3,'Coeff EC7'!$T$39:$X$59,3,0)*AW65+VLOOKUP($B$3,'Coeff EC7'!$T$65:$X$85,3,0)*Model0.1C!AX65)/0.9</f>
        <v>#N/A</v>
      </c>
      <c r="BA65" s="102" t="e">
        <f t="shared" si="73"/>
        <v>#N/A</v>
      </c>
      <c r="BB65" s="102" t="e">
        <f t="shared" si="74"/>
        <v>#N/A</v>
      </c>
      <c r="BC65" s="414" t="e">
        <f>IF(BC64=0,0,IF(AND(AY65&gt;charge_ELS_quasi,AZ65&gt;Charge_ELS_freq,BA65&gt;charge_ELU,BB65&gt;charge_ELA,$B65&gt;NDC!$H$22-0.1+MIN(3*$BC$12,1.5)),0,1))</f>
        <v>#N/A</v>
      </c>
      <c r="BD65" s="86" t="b">
        <f t="shared" si="26"/>
        <v>0</v>
      </c>
      <c r="BE65" s="86">
        <f t="shared" si="75"/>
        <v>0.5</v>
      </c>
      <c r="BF65" s="86">
        <f t="shared" si="27"/>
        <v>0.5</v>
      </c>
      <c r="BG65" s="30" t="e">
        <f t="shared" ca="1" si="76"/>
        <v>#DIV/0!</v>
      </c>
      <c r="BH65" s="85" t="e">
        <f ca="1">IF(AN65&lt;=Hypothèses!$V$7,Hypothèses!$W$7,IF(AN65&lt;=Hypothèses!$V$8,Hypothèses!$W$8,IF(AN65&lt;=Hypothèses!$V$9,Hypothèses!$W$9,IF(AN65&lt;=Hypothèses!$V$10,Hypothèses!$W$10,IF(AN65&lt;=Hypothèses!$V$11,Hypothèses!$W$11,IF(AN65&lt;=Hypothèses!$V$12,Hypothèses!$W$12,IF(AN65&lt;=Hypothèses!$V$13,Hypothèses!$W$13,IF(AN65&lt;=Hypothèses!$V$14,Hypothèses!$W$14,IF(AN65&lt;=Hypothèses!$V$15,Hypothèses!$W$15,IF(AN65&lt;=Hypothèses!$V$16,Hypothèses!$W$16,IF(AN65&lt;=Hypothèses!$V$17,Hypothèses!$W$17,IF(AN65&lt;=Hypothèses!$V$18,Hypothèses!$W$18,""))))))))))))</f>
        <v>#DIV/0!</v>
      </c>
      <c r="BI65" s="87" t="e">
        <f t="shared" ca="1" si="118"/>
        <v>#DIV/0!</v>
      </c>
      <c r="BJ65" s="88" t="e">
        <f ca="1">IF(AN65&lt;=Hypothèses!$V$7,Hypothèses!$X$7,IF(AN65&lt;=Hypothèses!$V$8,Hypothèses!$X$8,IF(AN65&lt;=Hypothèses!$V$9,Hypothèses!$X$9,IF(AN65&lt;=Hypothèses!$V$10,Hypothèses!$X$10,IF(AN65&lt;=Hypothèses!$V$11,Hypothèses!$X$11,IF(AN65&lt;=Hypothèses!$V$12,Hypothèses!$X$12,IF(AN65&lt;=Hypothèses!$V$13,Hypothèses!$X$13,IF(AN65&lt;=Hypothèses!$V$14,Hypothèses!$X$14,IF(AN65&lt;=Hypothèses!$V$15,Hypothèses!$X$15,IF(AN65&lt;=Hypothèses!$V$16,Hypothèses!$X$16,IF(AN65&lt;=Hypothèses!$U$17,Hypothèses!$W$17,IF(AN65&lt;=Hypothèses!$U$18,Hypothèses!$W$18,""))))))))))))</f>
        <v>#DIV/0!</v>
      </c>
      <c r="BK65" s="95" t="e">
        <f t="shared" ca="1" si="77"/>
        <v>#DIV/0!</v>
      </c>
      <c r="BL65" s="101" t="e">
        <f t="shared" si="125"/>
        <v>#N/A</v>
      </c>
      <c r="BM65" s="91" t="e">
        <f t="shared" si="29"/>
        <v>#N/A</v>
      </c>
      <c r="BN65" s="30" t="e">
        <f t="shared" si="104"/>
        <v>#N/A</v>
      </c>
      <c r="BO65" s="30" t="e">
        <f t="shared" si="105"/>
        <v>#N/A</v>
      </c>
      <c r="BP65" s="31" t="e">
        <f>IF(OR(Hypothèses!$B$4=17,Hypothèses!$B$4=18,Hypothèses!$B$4=19,Hypothèses!$B$4=20),
IF($D65="Pressio.",
IF(OR($E65=3,$E65=1,$E65=4),BO65,BN65),
IF($D65="Pénétro.",
IF(OR($E65=3,$E65=1,$E65=4),BO65,BN65))),IF($D65="Pressio.",
IF($E65=3,BO65,BN65),
IF($D65="Pénétro.",
IF($E65=4,BO65,BN65))))</f>
        <v>#N/A</v>
      </c>
      <c r="BQ65" s="31" t="e">
        <f>(IF(OR(Hypothèses!$B$4=17,Hypothèses!$B$4=18,Hypothèses!$B$4=19,Hypothèses!$B$4=20),
IF($D65="Pressio.",
IF(OR($E65=3,$E65=1,$E65=4),(PI()*BQ$12^2)/4*(BM65*$W65*1000)/($H65*$B$5),(PI()*BQ$12^2)/4*(BM65*$W65*1000)/($G65*$B$5)),
IF($D65="Pénétro.",
IF(OR($E65=4,$E65=1,$E65=5),(PI()*BQ$12^2)/4*(BM65*$W65*1000)/($H65*$B$5),(PI()*BQ$12^2)/4*(BM65*$W65*1000)/($G65*$B$5)))),
IF($D65="Pressio.",
IF($E65=3,(PI()*BQ$12^2)/4*(BM65*$W65*1000)/($H65*$B$5),(PI()*BQ$12^2)/4*(BM65*$W65*1000)/($G65*$B$5)),
IF($D65="Pénétro.",
IF($E65=4,(PI()*BQ$12^2)/4*(BM65*$W65*1000)/($H65*$B$5),(PI()*BQ$12^2)/4*(BM65*$W65*1000)/($G65*$B$5))))))/10</f>
        <v>#N/A</v>
      </c>
      <c r="BR65" s="102" t="e">
        <f>(VLOOKUP($B$3,'Coeff EC7'!$T$39:$X$59,2,0)*BP65+VLOOKUP($B$3,'Coeff EC7'!$T$65:$X$85,2,0)*Model0.1C!BQ65)/1.1</f>
        <v>#N/A</v>
      </c>
      <c r="BS65" s="102" t="e">
        <f>(VLOOKUP($B$3,'Coeff EC7'!$T$39:$X$59,3,0)*BP65+VLOOKUP($B$3,'Coeff EC7'!$T$65:$X$85,3,0)*Model0.1C!BQ65)/0.9</f>
        <v>#N/A</v>
      </c>
      <c r="BT65" s="102" t="e">
        <f t="shared" si="78"/>
        <v>#N/A</v>
      </c>
      <c r="BU65" s="102" t="e">
        <f t="shared" si="79"/>
        <v>#N/A</v>
      </c>
      <c r="BV65" s="414" t="e">
        <f>IF(BV64=0,0,IF(AND(BR65&gt;charge_ELS_quasi,BS65&gt;Charge_ELS_freq,BT65&gt;charge_ELU,BU65&gt;charge_ELA,$B65&gt;NDC!$H$22-0.1+MIN(3*$BV$12,1.5)),0,1))</f>
        <v>#N/A</v>
      </c>
      <c r="BW65" s="86" t="b">
        <f t="shared" si="32"/>
        <v>0</v>
      </c>
      <c r="BX65" s="86">
        <f t="shared" si="33"/>
        <v>0.5</v>
      </c>
      <c r="BY65" s="86">
        <f t="shared" si="34"/>
        <v>0.5</v>
      </c>
      <c r="BZ65" s="30" t="e">
        <f t="shared" ca="1" si="80"/>
        <v>#DIV/0!</v>
      </c>
      <c r="CA65" s="85" t="e">
        <f ca="1">IF(BG65&lt;=Hypothèses!$V$7,Hypothèses!$W$7,IF(BG65&lt;=Hypothèses!$V$8,Hypothèses!$W$8,IF(BG65&lt;=Hypothèses!$V$9,Hypothèses!$W$9,IF(BG65&lt;=Hypothèses!$V$10,Hypothèses!$W$10,IF(BG65&lt;=Hypothèses!$V$11,Hypothèses!$W$11,IF(BG65&lt;=Hypothèses!$V$12,Hypothèses!$W$12,IF(BG65&lt;=Hypothèses!$V$13,Hypothèses!$W$13,IF(BG65&lt;=Hypothèses!$V$14,Hypothèses!$W$14,IF(BG65&lt;=Hypothèses!$V$15,Hypothèses!$W$15,IF(BG65&lt;=Hypothèses!$V$16,Hypothèses!$W$16,IF(BG65&lt;=Hypothèses!$V$17,Hypothèses!$W$17,IF(BG65&lt;=Hypothèses!$V$18,Hypothèses!$W$18,""))))))))))))</f>
        <v>#DIV/0!</v>
      </c>
      <c r="CB65" s="87" t="e">
        <f t="shared" ca="1" si="119"/>
        <v>#DIV/0!</v>
      </c>
      <c r="CC65" s="88" t="e">
        <f ca="1">IF(BG65&lt;=Hypothèses!$V$7,Hypothèses!$X$7,IF(BG65&lt;=Hypothèses!$V$8,Hypothèses!$X$8,IF(BG65&lt;=Hypothèses!$V$9,Hypothèses!$X$9,IF(BG65&lt;=Hypothèses!$V$10,Hypothèses!$X$10,IF(BG65&lt;=Hypothèses!$V$11,Hypothèses!$X$11,IF(BG65&lt;=Hypothèses!$V$12,Hypothèses!$X$12,IF(BG65&lt;=Hypothèses!$V$13,Hypothèses!$X$13,IF(BG65&lt;=Hypothèses!$V$14,Hypothèses!$X$14,IF(BG65&lt;=Hypothèses!$V$15,Hypothèses!$X$15,IF(BG65&lt;=Hypothèses!$V$16,Hypothèses!$X$16,IF(BG65&lt;=Hypothèses!$U$17,Hypothèses!$W$17,IF(BG65&lt;=Hypothèses!$U$18,Hypothèses!$W$18,""))))))))))))</f>
        <v>#DIV/0!</v>
      </c>
      <c r="CD65" s="95" t="e">
        <f t="shared" ca="1" si="81"/>
        <v>#DIV/0!</v>
      </c>
      <c r="CE65" s="101" t="e">
        <f t="shared" si="126"/>
        <v>#N/A</v>
      </c>
      <c r="CF65" s="91" t="e">
        <f t="shared" si="36"/>
        <v>#N/A</v>
      </c>
      <c r="CG65" s="30" t="e">
        <f t="shared" si="106"/>
        <v>#N/A</v>
      </c>
      <c r="CH65" s="30" t="e">
        <f t="shared" si="107"/>
        <v>#N/A</v>
      </c>
      <c r="CI65" s="31" t="e">
        <f>IF(OR(Hypothèses!$B$4=17,Hypothèses!$B$4=18,Hypothèses!$B$4=19,Hypothèses!$B$4=20),
IF($D65="Pressio.",
IF(OR($E65=3,$E65=1,$E65=4),CH65,CG65),
IF($D65="Pénétro.",
IF(OR($E65=3,$E65=1,$E65=4),CH65,CG65))),IF($D65="Pressio.",
IF($E65=3,CH65,CG65),
IF($D65="Pénétro.",
IF($E65=4,CH65,CG65))))</f>
        <v>#N/A</v>
      </c>
      <c r="CJ65" s="31" t="e">
        <f>(IF(OR(Hypothèses!$B$4=17,Hypothèses!$B$4=18,Hypothèses!$B$4=19,Hypothèses!$B$4=20),
IF($D65="Pressio.",
IF(OR($E65=3,$E65=1,$E65=4),(PI()*CJ$12^2)/4*(CF65*$W65*1000)/($H65*$B$5),(PI()*CJ$12^2)/4*(CF65*$W65*1000)/($G65*$B$5)),
IF($D65="Pénétro.",
IF(OR($E65=4,$E65=1,$E65=5),(PI()*CJ$12^2)/4*(CF65*$W65*1000)/($H65*$B$5),(PI()*CJ$12^2)/4*(CF65*$W65*1000)/($G65*$B$5)))),
IF($D65="Pressio.",
IF($E65=3,(PI()*CJ$12^2)/4*(CF65*$W65*1000)/($H65*$B$5),(PI()*CJ$12^2)/4*(CF65*$W65*1000)/($G65*$B$5)),
IF($D65="Pénétro.",
IF($E65=4,(PI()*CJ$12^2)/4*(CF65*$W65*1000)/($H65*$B$5),(PI()*CJ$12^2)/4*(CF65*$W65*1000)/($G65*$B$5))))))/10</f>
        <v>#N/A</v>
      </c>
      <c r="CK65" s="102" t="e">
        <f>(VLOOKUP($B$3,'Coeff EC7'!$T$39:$X$59,2,0)*CI65+VLOOKUP($B$3,'Coeff EC7'!$T$65:$X$85,2,0)*Model0.1C!CJ65)/1.1</f>
        <v>#N/A</v>
      </c>
      <c r="CL65" s="102" t="e">
        <f>(VLOOKUP($B$3,'Coeff EC7'!$T$39:$X$59,3,0)*CI65+VLOOKUP($B$3,'Coeff EC7'!$T$65:$X$85,3,0)*Model0.1C!CJ65)/0.9</f>
        <v>#N/A</v>
      </c>
      <c r="CM65" s="102" t="e">
        <f t="shared" si="82"/>
        <v>#N/A</v>
      </c>
      <c r="CN65" s="102" t="e">
        <f t="shared" si="83"/>
        <v>#N/A</v>
      </c>
      <c r="CO65" s="414" t="e">
        <f>IF(CO64=0,0,IF(AND(CK65&gt;charge_ELS_quasi,CL65&gt;Charge_ELS_freq,CM65&gt;charge_ELU,CN65&gt;charge_ELA,$B65&gt;NDC!$H$22-0.1+MIN(3*$CO$12,1.5)),0,1))</f>
        <v>#N/A</v>
      </c>
      <c r="CP65" s="86" t="b">
        <f t="shared" si="39"/>
        <v>0</v>
      </c>
      <c r="CQ65" s="86">
        <f t="shared" si="40"/>
        <v>0.5</v>
      </c>
      <c r="CR65" s="86">
        <f t="shared" si="41"/>
        <v>0.5</v>
      </c>
      <c r="CS65" s="30" t="e">
        <f t="shared" ca="1" si="84"/>
        <v>#DIV/0!</v>
      </c>
      <c r="CT65" s="85" t="e">
        <f ca="1">IF(BZ65&lt;=Hypothèses!$V$7,Hypothèses!$W$7,IF(BZ65&lt;=Hypothèses!$V$8,Hypothèses!$W$8,IF(BZ65&lt;=Hypothèses!$V$9,Hypothèses!$W$9,IF(BZ65&lt;=Hypothèses!$V$10,Hypothèses!$W$10,IF(BZ65&lt;=Hypothèses!$V$11,Hypothèses!$W$11,IF(BZ65&lt;=Hypothèses!$V$12,Hypothèses!$W$12,IF(BZ65&lt;=Hypothèses!$V$13,Hypothèses!$W$13,IF(BZ65&lt;=Hypothèses!$V$14,Hypothèses!$W$14,IF(BZ65&lt;=Hypothèses!$V$15,Hypothèses!$W$15,IF(BZ65&lt;=Hypothèses!$V$16,Hypothèses!$W$16,IF(BZ65&lt;=Hypothèses!$V$17,Hypothèses!$W$17,IF(BZ65&lt;=Hypothèses!$V$18,Hypothèses!$W$18,""))))))))))))</f>
        <v>#DIV/0!</v>
      </c>
      <c r="CU65" s="87" t="e">
        <f t="shared" ca="1" si="120"/>
        <v>#DIV/0!</v>
      </c>
      <c r="CV65" s="88" t="e">
        <f ca="1">IF(BZ65&lt;=Hypothèses!$V$7,Hypothèses!$X$7,IF(BZ65&lt;=Hypothèses!$V$8,Hypothèses!$X$8,IF(BZ65&lt;=Hypothèses!$V$9,Hypothèses!$X$9,IF(BZ65&lt;=Hypothèses!$V$10,Hypothèses!$X$10,IF(BZ65&lt;=Hypothèses!$V$11,Hypothèses!$X$11,IF(BZ65&lt;=Hypothèses!$V$12,Hypothèses!$X$12,IF(BZ65&lt;=Hypothèses!$V$13,Hypothèses!$X$13,IF(BZ65&lt;=Hypothèses!$V$14,Hypothèses!$X$14,IF(BZ65&lt;=Hypothèses!$V$15,Hypothèses!$X$15,IF(BZ65&lt;=Hypothèses!$V$16,Hypothèses!$X$16,IF(BZ65&lt;=Hypothèses!$U$17,Hypothèses!$W$17,IF(BZ65&lt;=Hypothèses!$U$18,Hypothèses!$W$18,""))))))))))))</f>
        <v>#DIV/0!</v>
      </c>
      <c r="CW65" s="95" t="e">
        <f t="shared" ca="1" si="85"/>
        <v>#DIV/0!</v>
      </c>
      <c r="CX65" s="101" t="e">
        <f t="shared" si="127"/>
        <v>#N/A</v>
      </c>
      <c r="CY65" s="91" t="e">
        <f t="shared" si="43"/>
        <v>#N/A</v>
      </c>
      <c r="CZ65" s="30" t="e">
        <f t="shared" si="108"/>
        <v>#N/A</v>
      </c>
      <c r="DA65" s="30" t="e">
        <f t="shared" si="109"/>
        <v>#N/A</v>
      </c>
      <c r="DB65" s="31" t="e">
        <f>IF(OR(Hypothèses!$B$4=17,Hypothèses!$B$4=18,Hypothèses!$B$4=19,Hypothèses!$B$4=20),
IF($D65="Pressio.",
IF(OR($E65=3,$E65=1,$E65=4),DA65,CZ65),
IF($D65="Pénétro.",
IF(OR($E65=3,$E65=1,$E65=4),DA65,CZ65))),IF($D65="Pressio.",
IF($E65=3,DA65,CZ65),
IF($D65="Pénétro.",
IF($E65=4,DA65,CZ65))))</f>
        <v>#N/A</v>
      </c>
      <c r="DC65" s="31" t="e">
        <f>(IF(OR(Hypothèses!$B$4=17,Hypothèses!$B$4=18,Hypothèses!$B$4=19,Hypothèses!$B$4=20),
IF($D65="Pressio.",
IF(OR($E65=3,$E65=1,$E65=4),(PI()*DC$12^2)/4*(CY65*$W65*1000)/($H65*$B$5),(PI()*DC$12^2)/4*(CY65*$W65*1000)/($G65*$B$5)),
IF($D65="Pénétro.",
IF(OR($E65=4,$E65=1,$E65=5),(PI()*DC$12^2)/4*(CY65*$W65*1000)/($H65*$B$5),(PI()*DC$12^2)/4*(CY65*$W65*1000)/($G65*$B$5)))),
IF($D65="Pressio.",
IF($E65=3,(PI()*DC$12^2)/4*(CY65*$W65*1000)/($H65*$B$5),(PI()*DC$12^2)/4*(CY65*$W65*1000)/($G65*$B$5)),
IF($D65="Pénétro.",
IF($E65=4,(PI()*DC$12^2)/4*(CY65*$W65*1000)/($H65*$B$5),(PI()*DC$12^2)/4*(CY65*$W65*1000)/($G65*$B$5))))))/10</f>
        <v>#N/A</v>
      </c>
      <c r="DD65" s="102" t="e">
        <f>(VLOOKUP($B$3,'Coeff EC7'!$T$39:$X$59,2,0)*DB65+VLOOKUP($B$3,'Coeff EC7'!$T$65:$X$85,2,0)*Model0.1C!DC65)/1.1</f>
        <v>#N/A</v>
      </c>
      <c r="DE65" s="102" t="e">
        <f>(VLOOKUP($B$3,'Coeff EC7'!$T$39:$X$59,3,0)*DB65+VLOOKUP($B$3,'Coeff EC7'!$T$65:$X$85,3,0)*Model0.1C!DC65)/0.9</f>
        <v>#N/A</v>
      </c>
      <c r="DF65" s="102" t="e">
        <f t="shared" si="86"/>
        <v>#N/A</v>
      </c>
      <c r="DG65" s="102" t="e">
        <f t="shared" si="87"/>
        <v>#N/A</v>
      </c>
      <c r="DH65" s="414" t="e">
        <f>IF(DH64=0,0,IF(AND(DD65&gt;charge_ELS_quasi,DE65&gt;Charge_ELS_freq,DF65&gt;charge_ELU,DG65&gt;charge_ELA,$B65&gt;NDC!$H$22-0.1+MIN(3*$DH$12,1.5)),0,1))</f>
        <v>#N/A</v>
      </c>
      <c r="DI65" s="86" t="b">
        <f t="shared" si="46"/>
        <v>0</v>
      </c>
      <c r="DJ65" s="86">
        <f t="shared" si="47"/>
        <v>0.5</v>
      </c>
      <c r="DK65" s="86">
        <f t="shared" si="48"/>
        <v>0.5</v>
      </c>
      <c r="DL65" s="30" t="e">
        <f t="shared" ca="1" si="88"/>
        <v>#DIV/0!</v>
      </c>
      <c r="DM65" s="85" t="e">
        <f ca="1">IF(CS65&lt;=Hypothèses!$V$7,Hypothèses!$W$7,IF(CS65&lt;=Hypothèses!$V$8,Hypothèses!$W$8,IF(CS65&lt;=Hypothèses!$V$9,Hypothèses!$W$9,IF(CS65&lt;=Hypothèses!$V$10,Hypothèses!$W$10,IF(CS65&lt;=Hypothèses!$V$11,Hypothèses!$W$11,IF(CS65&lt;=Hypothèses!$V$12,Hypothèses!$W$12,IF(CS65&lt;=Hypothèses!$V$13,Hypothèses!$W$13,IF(CS65&lt;=Hypothèses!$V$14,Hypothèses!$W$14,IF(CS65&lt;=Hypothèses!$V$15,Hypothèses!$W$15,IF(CS65&lt;=Hypothèses!$V$16,Hypothèses!$W$16,IF(CS65&lt;=Hypothèses!$V$17,Hypothèses!$W$17,IF(CS65&lt;=Hypothèses!$V$18,Hypothèses!$W$18,""))))))))))))</f>
        <v>#DIV/0!</v>
      </c>
      <c r="DN65" s="87" t="e">
        <f t="shared" ca="1" si="121"/>
        <v>#DIV/0!</v>
      </c>
      <c r="DO65" s="88" t="e">
        <f ca="1">IF(CS65&lt;=Hypothèses!$V$7,Hypothèses!$X$7,IF(CS65&lt;=Hypothèses!$V$8,Hypothèses!$X$8,IF(CS65&lt;=Hypothèses!$V$9,Hypothèses!$X$9,IF(CS65&lt;=Hypothèses!$V$10,Hypothèses!$X$10,IF(CS65&lt;=Hypothèses!$V$11,Hypothèses!$X$11,IF(CS65&lt;=Hypothèses!$V$12,Hypothèses!$X$12,IF(CS65&lt;=Hypothèses!$V$13,Hypothèses!$X$13,IF(CS65&lt;=Hypothèses!$V$14,Hypothèses!$X$14,IF(CS65&lt;=Hypothèses!$V$15,Hypothèses!$X$15,IF(CS65&lt;=Hypothèses!$V$16,Hypothèses!$X$16,IF(CS65&lt;=Hypothèses!$U$17,Hypothèses!$W$17,IF(CS65&lt;=Hypothèses!$U$18,Hypothèses!$W$18,""))))))))))))</f>
        <v>#DIV/0!</v>
      </c>
      <c r="DP65" s="95" t="e">
        <f t="shared" ca="1" si="89"/>
        <v>#DIV/0!</v>
      </c>
      <c r="DQ65" s="101" t="e">
        <f t="shared" si="128"/>
        <v>#N/A</v>
      </c>
      <c r="DR65" s="91" t="e">
        <f t="shared" si="50"/>
        <v>#N/A</v>
      </c>
      <c r="DS65" s="30" t="e">
        <f t="shared" si="110"/>
        <v>#N/A</v>
      </c>
      <c r="DT65" s="30" t="e">
        <f t="shared" si="111"/>
        <v>#N/A</v>
      </c>
      <c r="DU65" s="31" t="e">
        <f>IF(OR(Hypothèses!$B$4=17,Hypothèses!$B$4=18,Hypothèses!$B$4=19,Hypothèses!$B$4=20),
IF($D65="Pressio.",
IF(OR($E65=3,$E65=1,$E65=4),DT65,DS65),
IF($D65="Pénétro.",
IF(OR($E65=3,$E65=1,$E65=4),DT65,DS65))),IF($D65="Pressio.",
IF($E65=3,DT65,DS65),
IF($D65="Pénétro.",
IF($E65=4,DT65,DS65))))</f>
        <v>#N/A</v>
      </c>
      <c r="DV65" s="31" t="e">
        <f>(IF(OR(Hypothèses!$B$4=17,Hypothèses!$B$4=18,Hypothèses!$B$4=19,Hypothèses!$B$4=20),
IF($D65="Pressio.",
IF(OR($E65=3,$E65=1,$E65=4),(PI()*DV$12^2)/4*(DR65*$W65*1000)/($H65*$B$5),(PI()*DV$12^2)/4*(DR65*$W65*1000)/($G65*$B$5)),
IF($D65="Pénétro.",
IF(OR($E65=4,$E65=1,$E65=5),(PI()*DV$12^2)/4*(DR65*$W65*1000)/($H65*$B$5),(PI()*DV$12^2)/4*(DR65*$W65*1000)/($G65*$B$5)))),
IF($D65="Pressio.",
IF($E65=3,(PI()*DV$12^2)/4*(DR65*$W65*1000)/($H65*$B$5),(PI()*DV$12^2)/4*(DR65*$W65*1000)/($G65*$B$5)),
IF($D65="Pénétro.",
IF($E65=4,(PI()*DV$12^2)/4*(DR65*$W65*1000)/($H65*$B$5),(PI()*DV$12^2)/4*(DR65*$W65*1000)/($G65*$B$5))))))/10</f>
        <v>#N/A</v>
      </c>
      <c r="DW65" s="102" t="e">
        <f>(VLOOKUP($B$3,'Coeff EC7'!$T$39:$X$59,2,0)*DU65+VLOOKUP($B$3,'Coeff EC7'!$T$65:$X$85,2,0)*Model0.1C!DV65)/1.1</f>
        <v>#N/A</v>
      </c>
      <c r="DX65" s="102" t="e">
        <f>(VLOOKUP($B$3,'Coeff EC7'!$T$39:$X$59,3,0)*DU65+VLOOKUP($B$3,'Coeff EC7'!$T$65:$X$85,3,0)*Model0.1C!DV65)/0.9</f>
        <v>#N/A</v>
      </c>
      <c r="DY65" s="102" t="e">
        <f t="shared" si="90"/>
        <v>#N/A</v>
      </c>
      <c r="DZ65" s="102" t="e">
        <f t="shared" si="91"/>
        <v>#N/A</v>
      </c>
      <c r="EA65" s="414" t="e">
        <f>IF(EA64=0,0,IF(AND(DW65&gt;charge_ELS_quasi,DX65&gt;Charge_ELS_freq,DY65&gt;charge_ELU,DZ65&gt;charge_ELA,$B65&gt;NDC!$H$22-0.1+MIN(3*$EA$12,1.5)),0,1))</f>
        <v>#N/A</v>
      </c>
      <c r="EB65" s="86" t="b">
        <f t="shared" si="53"/>
        <v>0</v>
      </c>
      <c r="EC65" s="418">
        <f t="shared" si="54"/>
        <v>0.51</v>
      </c>
      <c r="ED65" s="86">
        <f t="shared" si="55"/>
        <v>0.51</v>
      </c>
      <c r="EE65" s="30" t="e">
        <f t="shared" ca="1" si="92"/>
        <v>#DIV/0!</v>
      </c>
      <c r="EF65" s="85" t="e">
        <f ca="1">IF(DL65&lt;=Hypothèses!$V$7,Hypothèses!$W$7,IF(DL65&lt;=Hypothèses!$V$8,Hypothèses!$W$8,IF(DL65&lt;=Hypothèses!$V$9,Hypothèses!$W$9,IF(DL65&lt;=Hypothèses!$V$10,Hypothèses!$W$10,IF(DL65&lt;=Hypothèses!$V$11,Hypothèses!$W$11,IF(DL65&lt;=Hypothèses!$V$12,Hypothèses!$W$12,IF(DL65&lt;=Hypothèses!$V$13,Hypothèses!$W$13,IF(DL65&lt;=Hypothèses!$V$14,Hypothèses!$W$14,IF(DL65&lt;=Hypothèses!$V$15,Hypothèses!$W$15,IF(DL65&lt;=Hypothèses!$V$16,Hypothèses!$W$16,IF(DL65&lt;=Hypothèses!$V$17,Hypothèses!$W$17,IF(DL65&lt;=Hypothèses!$V$18,Hypothèses!$W$18,""))))))))))))</f>
        <v>#DIV/0!</v>
      </c>
      <c r="EG65" s="87" t="e">
        <f t="shared" ca="1" si="122"/>
        <v>#DIV/0!</v>
      </c>
      <c r="EH65" s="88" t="e">
        <f ca="1">IF(DL65&lt;=Hypothèses!$V$7,Hypothèses!$X$7,IF(DL65&lt;=Hypothèses!$V$8,Hypothèses!$X$8,IF(DL65&lt;=Hypothèses!$V$9,Hypothèses!$X$9,IF(DL65&lt;=Hypothèses!$V$10,Hypothèses!$X$10,IF(DL65&lt;=Hypothèses!$V$11,Hypothèses!$X$11,IF(DL65&lt;=Hypothèses!$V$12,Hypothèses!$X$12,IF(DL65&lt;=Hypothèses!$V$13,Hypothèses!$X$13,IF(DL65&lt;=Hypothèses!$V$14,Hypothèses!$X$14,IF(DL65&lt;=Hypothèses!$V$15,Hypothèses!$X$15,IF(DL65&lt;=Hypothèses!$V$16,Hypothèses!$X$16,IF(DL65&lt;=Hypothèses!$U$17,Hypothèses!$W$17,IF(DL65&lt;=Hypothèses!$U$18,Hypothèses!$W$18,""))))))))))))</f>
        <v>#DIV/0!</v>
      </c>
      <c r="EI65" s="95" t="e">
        <f t="shared" ca="1" si="93"/>
        <v>#DIV/0!</v>
      </c>
      <c r="EJ65" s="101" t="e">
        <f t="shared" si="129"/>
        <v>#N/A</v>
      </c>
      <c r="EK65" s="91" t="e">
        <f t="shared" si="57"/>
        <v>#N/A</v>
      </c>
      <c r="EL65" s="30" t="e">
        <f t="shared" si="112"/>
        <v>#N/A</v>
      </c>
      <c r="EM65" s="30" t="e">
        <f t="shared" si="113"/>
        <v>#N/A</v>
      </c>
      <c r="EN65" s="31" t="e">
        <f>IF(OR(Hypothèses!$B$4=17,Hypothèses!$B$4=18,Hypothèses!$B$4=19,Hypothèses!$B$4=20),
IF($D65="Pressio.",
IF(OR($E65=3,$E65=1,$E65=4),EM65,EL65),
IF($D65="Pénétro.",
IF(OR($E65=3,$E65=1,$E65=4),EM65,EL65))),IF($D65="Pressio.",
IF($E65=3,EM65,EL65),
IF($D65="Pénétro.",
IF($E65=4,EM65,EL65))))</f>
        <v>#N/A</v>
      </c>
      <c r="EO65" s="31" t="e">
        <f>(IF(OR(Hypothèses!$B$4=17,Hypothèses!$B$4=18,Hypothèses!$B$4=19,Hypothèses!$B$4=20),
IF($D65="Pressio.",
IF(OR($E65=3,$E65=1,$E65=4),(PI()*EO$12^2)/4*(EK65*$W65*1000)/($H65*$B$5),(PI()*EO$12^2)/4*(EK65*$W65*1000)/($G65*$B$5)),
IF($D65="Pénétro.",
IF(OR($E65=4,$E65=1,$E65=5),(PI()*EO$12^2)/4*(EK65*$W65*1000)/($H65*$B$5),(PI()*EO$12^2)/4*(EK65*$W65*1000)/($G65*$B$5)))),
IF($D65="Pressio.",
IF($E65=3,(PI()*EO$12^2)/4*(EK65*$W65*1000)/($H65*$B$5),(PI()*EO$12^2)/4*(EK65*$W65*1000)/($G65*$B$5)),
IF($D65="Pénétro.",
IF($E65=4,(PI()*EO$12^2)/4*(EK65*$W65*1000)/($H65*$B$5),(PI()*EO$12^2)/4*(EK65*$W65*1000)/($G65*$B$5))))))/10</f>
        <v>#N/A</v>
      </c>
      <c r="EP65" s="102" t="e">
        <f>(VLOOKUP($B$3,'Coeff EC7'!$T$39:$X$59,2,0)*EN65+VLOOKUP($B$3,'Coeff EC7'!$T$65:$X$85,2,0)*Model0.1C!EO65)/1.1</f>
        <v>#N/A</v>
      </c>
      <c r="EQ65" s="102" t="e">
        <f>(VLOOKUP($B$3,'Coeff EC7'!$T$39:$X$59,3,0)*EN65+VLOOKUP($B$3,'Coeff EC7'!$T$65:$X$85,3,0)*Model0.1C!EO65)/0.9</f>
        <v>#N/A</v>
      </c>
      <c r="ER65" s="102" t="e">
        <f t="shared" si="94"/>
        <v>#N/A</v>
      </c>
      <c r="ES65" s="102" t="e">
        <f t="shared" si="95"/>
        <v>#N/A</v>
      </c>
      <c r="ET65" s="414" t="e">
        <f>IF(ET64=0,0,IF(AND(EP65&gt;charge_ELS_quasi,EQ65&gt;Charge_ELS_freq,ER65&gt;charge_ELU,ES65&gt;charge_ELA,$B65&gt;NDC!$H$22-0.1+MIN(3*$ET$12,1.5)),0,1))</f>
        <v>#N/A</v>
      </c>
      <c r="EU65" s="86" t="b">
        <f t="shared" si="60"/>
        <v>0</v>
      </c>
      <c r="EV65" s="86">
        <f t="shared" si="61"/>
        <v>0.61</v>
      </c>
      <c r="EW65" s="86">
        <f t="shared" si="62"/>
        <v>0.61</v>
      </c>
      <c r="EX65" s="30" t="e">
        <f t="shared" ca="1" si="96"/>
        <v>#DIV/0!</v>
      </c>
      <c r="EY65" s="85" t="e">
        <f ca="1">IF(EE65&lt;=Hypothèses!$V$7,Hypothèses!$W$7,IF(EE65&lt;=Hypothèses!$V$8,Hypothèses!$W$8,IF(EE65&lt;=Hypothèses!$V$9,Hypothèses!$W$9,IF(EE65&lt;=Hypothèses!$V$10,Hypothèses!$W$10,IF(EE65&lt;=Hypothèses!$V$11,Hypothèses!$W$11,IF(EE65&lt;=Hypothèses!$V$12,Hypothèses!$W$12,IF(EE65&lt;=Hypothèses!$V$13,Hypothèses!$W$13,IF(EE65&lt;=Hypothèses!$V$14,Hypothèses!$W$14,IF(EE65&lt;=Hypothèses!$V$15,Hypothèses!$W$15,IF(EE65&lt;=Hypothèses!$V$16,Hypothèses!$W$16,IF(EE65&lt;=Hypothèses!$V$17,Hypothèses!$W$17,IF(EE65&lt;=Hypothèses!$V$18,Hypothèses!$W$18,""))))))))))))</f>
        <v>#DIV/0!</v>
      </c>
      <c r="EZ65" s="87" t="e">
        <f t="shared" ca="1" si="123"/>
        <v>#DIV/0!</v>
      </c>
      <c r="FA65" s="88" t="e">
        <f ca="1">IF(EE65&lt;=Hypothèses!$V$7,Hypothèses!$X$7,IF(EE65&lt;=Hypothèses!$V$8,Hypothèses!$X$8,IF(EE65&lt;=Hypothèses!$V$9,Hypothèses!$X$9,IF(EE65&lt;=Hypothèses!$V$10,Hypothèses!$X$10,IF(EE65&lt;=Hypothèses!$V$11,Hypothèses!$X$11,IF(EE65&lt;=Hypothèses!$V$12,Hypothèses!$X$12,IF(EE65&lt;=Hypothèses!$V$13,Hypothèses!$X$13,IF(EE65&lt;=Hypothèses!$V$14,Hypothèses!$X$14,IF(EE65&lt;=Hypothèses!$V$15,Hypothèses!$X$15,IF(EE65&lt;=Hypothèses!$V$16,Hypothèses!$X$16,IF(EE65&lt;=Hypothèses!$U$17,Hypothèses!$W$17,IF(EE65&lt;=Hypothèses!$U$18,Hypothèses!$W$18,""))))))))))))</f>
        <v>#DIV/0!</v>
      </c>
      <c r="FB65" s="95" t="e">
        <f t="shared" ca="1" si="97"/>
        <v>#DIV/0!</v>
      </c>
      <c r="FC65" s="101" t="e">
        <f t="shared" si="130"/>
        <v>#N/A</v>
      </c>
      <c r="FD65" s="91" t="e">
        <f t="shared" si="64"/>
        <v>#N/A</v>
      </c>
      <c r="FE65" s="30" t="e">
        <f t="shared" si="114"/>
        <v>#N/A</v>
      </c>
      <c r="FF65" s="30" t="e">
        <f t="shared" si="115"/>
        <v>#N/A</v>
      </c>
      <c r="FG65" s="31" t="e">
        <f>IF(OR(Hypothèses!$B$4=17,Hypothèses!$B$4=18,Hypothèses!$B$4=19,Hypothèses!$B$4=20),
IF($D65="Pressio.",
IF(OR($E65=3,$E65=1,$E65=4),FF65,FE65),
IF($D65="Pénétro.",
IF(OR($E65=3,$E65=1,$E65=4),FF65,FE65))),IF($D65="Pressio.",
IF($E65=3,FF65,FE65),
IF($D65="Pénétro.",
IF($E65=4,FF65,FE65))))</f>
        <v>#N/A</v>
      </c>
      <c r="FH65" s="31" t="e">
        <f>(IF(OR(Hypothèses!$B$4=17,Hypothèses!$B$4=18,Hypothèses!$B$4=19,Hypothèses!$B$4=20),
IF($D65="Pressio.",
IF(OR($E65=3,$E65=1,$E65=4),(PI()*FH$12^2)/4*(FD65*$W65*1000)/($H65*$B$5),(PI()*FH$12^2)/4*(FD65*$W65*1000)/($G65*$B$5)),
IF($D65="Pénétro.",
IF(OR($E65=4,$E65=1,$E65=5),(PI()*FH$12^2)/4*(FD65*$W65*1000)/($H65*$B$5),(PI()*FH$12^2)/4*(FD65*$W65*1000)/($G65*$B$5)))),
IF($D65="Pressio.",
IF($E65=3,(PI()*FH$12^2)/4*(FD65*$W65*1000)/($H65*$B$5),(PI()*FH$12^2)/4*(FD65*$W65*1000)/($G65*$B$5)),
IF($D65="Pénétro.",
IF($E65=4,(PI()*FH$12^2)/4*(FD65*$W65*1000)/($H65*$B$5),(PI()*FH$12^2)/4*(FD65*$W65*1000)/($G65*$B$5))))))/10</f>
        <v>#N/A</v>
      </c>
      <c r="FI65" s="102" t="e">
        <f>(VLOOKUP($B$3,'Coeff EC7'!$T$39:$X$59,2,0)*FG65+VLOOKUP($B$3,'Coeff EC7'!$T$65:$X$85,2,0)*Model0.1C!FH65)/1.1</f>
        <v>#N/A</v>
      </c>
      <c r="FJ65" s="102" t="e">
        <f>(VLOOKUP($B$3,'Coeff EC7'!$T$39:$X$59,3,0)*FG65+VLOOKUP($B$3,'Coeff EC7'!$T$65:$X$85,3,0)*Model0.1C!FH65)/0.9</f>
        <v>#N/A</v>
      </c>
      <c r="FK65" s="102" t="e">
        <f t="shared" si="98"/>
        <v>#N/A</v>
      </c>
      <c r="FL65" s="102" t="e">
        <f t="shared" si="99"/>
        <v>#N/A</v>
      </c>
      <c r="FM65" s="414" t="e">
        <f>IF(FM64=0,0,IF(AND(FI65&gt;charge_ELS_quasi,FJ65&gt;Charge_ELS_freq,FK65&gt;charge_ELU,FL65&gt;charge_ELA,$B65&gt;NDC!$H$22-0.1+MIN(3*$FM$12,1.5)),0,1))</f>
        <v>#N/A</v>
      </c>
    </row>
    <row r="66" spans="1:169">
      <c r="A66" s="96">
        <f t="shared" si="67"/>
        <v>94.700000000000301</v>
      </c>
      <c r="B66" s="97">
        <v>5.3</v>
      </c>
      <c r="C66" s="81">
        <f>IF(B66&lt;=Hypothèses!$C$7,Hypothèses!$A$7,IF(B66&lt;=Hypothèses!$C$8,Hypothèses!$A$8,IF(B66&lt;=Hypothèses!$C$9,Hypothèses!$A$9,IF(B66&lt;=Hypothèses!$C$10,Hypothèses!$A$10,IF(B66&lt;=Hypothèses!$C$11,Hypothèses!$A$11,IF(B66&lt;=Hypothèses!$C$12,Hypothèses!$A$12,IF(B66&lt;=Hypothèses!$C$13,Hypothèses!$A$13,IF(B66&lt;=Hypothèses!$C$14,Hypothèses!$A$14,IF(B66&lt;=Hypothèses!$C$15,Hypothèses!$A$15,IF(B66&lt;=Hypothèses!$C$16,Hypothèses!$A$16,IF(B66&lt;=Hypothèses!$C$17,Hypothèses!$A$17,IF(B66&lt;=Hypothèses!$C$18,Hypothèses!$A$18,C65))))))))))))</f>
        <v>11</v>
      </c>
      <c r="D66" s="82" t="str">
        <f>IF(B66&lt;=Hypothèses!$C$7,Hypothèses!$R$7,IF(B66&lt;=Hypothèses!$C$8,Hypothèses!$R$8,IF(B66&lt;=Hypothèses!$C$9,Hypothèses!$R$9,IF(B66&lt;=Hypothèses!$C$10,Hypothèses!$R$10,IF(B66&lt;=Hypothèses!$C$11,Hypothèses!$R$11,IF(B66&lt;=Hypothèses!$C$12,Hypothèses!$R$12,IF(B66&lt;=Hypothèses!$C$13,Hypothèses!$R$13,IF(B66&lt;=Hypothèses!$C$14,Hypothèses!$R$14,IF(B66&lt;=Hypothèses!$C$15,Hypothèses!$R$15,IF(B66&lt;=Hypothèses!$C$16,Hypothèses!$R$16,IF(B66&lt;=Hypothèses!$C$17,Hypothèses!$R$17,IF(B66&lt;=Hypothèses!$C$18,Hypothèses!$R$18,D65))))))))))))</f>
        <v>Pressio.</v>
      </c>
      <c r="E66" s="82" t="e">
        <f>IF(B66&lt;=Hypothèses!$C$7,Hypothèses!$G$7,IF(B66&lt;=Hypothèses!$C$8,Hypothèses!$G$8,IF(B66&lt;=Hypothèses!$C$9,Hypothèses!$G$9,IF(B66&lt;=Hypothèses!$C$10,Hypothèses!$G$10,IF(B66&lt;=Hypothèses!$C$11,Hypothèses!$G$11,IF(B66&lt;=Hypothèses!$C$12,Hypothèses!$G$12,IF(B66&lt;=Hypothèses!$C$13,Hypothèses!$G$13,IF(B66&lt;=Hypothèses!$C$14,Hypothèses!$G$14,IF(B66&lt;=Hypothèses!$C$15,Hypothèses!$G$15,IF(B66&lt;=Hypothèses!$C$16,Hypothèses!$G$16,IF(B66&lt;=Hypothèses!$C$17,Hypothèses!$G$17,IF(B66&lt;=Hypothèses!$C$18,Hypothèses!$G$18,E65))))))))))))</f>
        <v>#N/A</v>
      </c>
      <c r="F66" s="82" t="str">
        <f>IF(B66&lt;=Hypothèses!$C$7,Hypothèses!$F$7,IF(B66&lt;=Hypothèses!$C$8,Hypothèses!$F$8,IF(B66&lt;=Hypothèses!$C$9,Hypothèses!$F$9,IF(B66&lt;=Hypothèses!$C$10,Hypothèses!$F$10,IF(B66&lt;=Hypothèses!$C$11,Hypothèses!$F$11,IF(B66&lt;=Hypothèses!$C$12,Hypothèses!$F$12,IF(B66&lt;=Hypothèses!$C$13,Hypothèses!$F$13,IF(B66&lt;=Hypothèses!$C$14,Hypothèses!$F$14,IF(B66&lt;=Hypothèses!$C$15,Hypothèses!$F$15,IF(B66&lt;=Hypothèses!$C$16,Hypothèses!$F$16,IF(B66&lt;=Hypothèses!$C$17,Hypothèses!$F$17,IF(B66&lt;=Hypothèses!$C$18,Hypothèses!$F$18,F65))))))))))))</f>
        <v/>
      </c>
      <c r="G66" s="91">
        <f t="array" ref="G66">INDEX('Coeff EC7'!$U$7:$X$27,
MATCH(Model0.1C!$B$3,'Coeff EC7'!$T$7:$T$27,0),
MATCH(Model0.1C!$D66&amp;Model0.1C!$B$4,
'Coeff EC7'!$U$6:$X$6&amp;
'Coeff EC7'!$U$5:$X$5,0))</f>
        <v>1.1499999999999999</v>
      </c>
      <c r="H66" s="91">
        <f t="array" ref="H66">INDEX('Coeff EC7'!$Y$7:$AB$27,
MATCH(Model0.1C!$B$3,'Coeff EC7'!$T$7:$T$27,0),
MATCH(Model0.1C!$D66&amp;Model0.1C!$B$4,
'Coeff EC7'!$Y$6:$AB$6&amp;
'Coeff EC7'!$Y$5:$AB$5,0))</f>
        <v>1.4</v>
      </c>
      <c r="I66" s="83" t="e">
        <f>IF(B66&lt;=Hypothèses!$C$7,Hypothèses!$P$7,IF(B66&lt;=Hypothèses!$C$8,Hypothèses!$P$8,IF(B66&lt;=Hypothèses!$C$9,Hypothèses!$P$9,IF(B66&lt;=Hypothèses!$C$10,Hypothèses!$P$10,IF(B66&lt;=Hypothèses!$C$11,Hypothèses!$P$11,IF(B66&lt;=Hypothèses!$C$12,Hypothèses!$P$12,IF(B66&lt;=Hypothèses!$C$13,Hypothèses!$P$13,IF(B66&lt;=Hypothèses!$C$14,Hypothèses!$P$14,IF(B66&lt;=Hypothèses!$C$15,Hypothèses!$P$15,IF(B66&lt;=Hypothèses!$C$16,Hypothèses!$P$16,IF(B66&lt;=Hypothèses!$C$17,Hypothèses!$P$17,IF(B66&lt;=Hypothèses!$C$18,Hypothèses!$P$18,I65))))))))))))</f>
        <v>#N/A</v>
      </c>
      <c r="J66" s="91" t="e">
        <f t="array" ref="J66">INDEX('Coeff EC7'!$D$33:$Q$33,1,MATCH(D66&amp;E66,'Coeff EC7'!$D$31:$Q$31&amp;'Coeff EC7'!$D$32:$Q$32,0))</f>
        <v>#N/A</v>
      </c>
      <c r="K66" s="91" t="e">
        <f t="array" ref="K66">INDEX('Coeff EC7'!$D$34:$Q$34,1,MATCH(D66&amp;E66,'Coeff EC7'!$D$31:$Q$31&amp;'Coeff EC7'!$D$32:$Q$32,0))</f>
        <v>#N/A</v>
      </c>
      <c r="L66" s="91" t="e">
        <f t="array" ref="L66">INDEX('Coeff EC7'!$D$35:$Q$35,1,MATCH(D66&amp;E66,'Coeff EC7'!$D$31:$Q$31&amp;'Coeff EC7'!$D$32:$Q$32,0))</f>
        <v>#N/A</v>
      </c>
      <c r="M66" s="98" t="e">
        <f t="shared" si="8"/>
        <v>#N/A</v>
      </c>
      <c r="N66" s="99" t="e">
        <f t="array" ref="N66">INDEX('Coeff EC7'!$D$7:$Q$27,MATCH($B$3,'Coeff EC7'!$C$7:$C$27,0),MATCH(D66&amp;E66,'Coeff EC7'!$D$5:$Q$5&amp;'Coeff EC7'!$D$6:$Q$6,0))</f>
        <v>#N/A</v>
      </c>
      <c r="O66" s="99" t="e">
        <f t="array" ref="O66">INDEX('Coeff EC7'!$D$41:$Q$61,MATCH($B$3,'Coeff EC7'!$C$41:$C$61,0),MATCH(D66&amp;E66,'Coeff EC7'!$D$39:$Q$39&amp;'Coeff EC7'!$D$40:$Q$40,0))</f>
        <v>#N/A</v>
      </c>
      <c r="P66" s="30" t="e">
        <f t="shared" si="68"/>
        <v>#N/A</v>
      </c>
      <c r="Q66" s="100" t="e">
        <f t="shared" si="10"/>
        <v>#N/A</v>
      </c>
      <c r="R66" s="86" t="b">
        <f t="shared" si="11"/>
        <v>0</v>
      </c>
      <c r="S66" s="86">
        <f t="shared" si="9"/>
        <v>0.5</v>
      </c>
      <c r="T66" s="86">
        <f t="shared" si="12"/>
        <v>0.5</v>
      </c>
      <c r="U66" s="30" t="e">
        <f t="shared" ca="1" si="69"/>
        <v>#DIV/0!</v>
      </c>
      <c r="V66" s="85" t="str">
        <f>IF(B66&lt;=Hypothèses!$V$7,Hypothèses!$W$7,IF(B66&lt;=Hypothèses!$V$8,Hypothèses!$W$8,IF(B66&lt;=Hypothèses!$V$9,Hypothèses!$W$9,IF(B66&lt;=Hypothèses!$V$10,Hypothèses!$W$10,IF(B66&lt;=Hypothèses!$V$11,Hypothèses!$W$11,IF(B66&lt;=Hypothèses!$V$12,Hypothèses!$W$12,IF(B66&lt;=Hypothèses!$V$13,Hypothèses!$W$13,IF(B66&lt;=Hypothèses!$V$14,Hypothèses!$W$14,IF(B66&lt;=Hypothèses!$V$15,Hypothèses!$W$15,IF(B66&lt;=Hypothèses!$V$16,Hypothèses!$W$16,IF(B66&lt;=Hypothèses!$V$17,Hypothèses!$W$17,IF(B66&lt;=Hypothèses!$V$18,Hypothèses!$W$18,""))))))))))))</f>
        <v/>
      </c>
      <c r="W66" s="87" t="e">
        <f t="shared" ca="1" si="116"/>
        <v>#DIV/0!</v>
      </c>
      <c r="X66" s="88" t="str">
        <f>IF(B66&lt;=Hypothèses!$V$7,Hypothèses!$X$7,IF(B66&lt;=Hypothèses!$V$8,Hypothèses!$X$8,IF(B66&lt;=Hypothèses!$V$9,Hypothèses!$X$9,IF(B66&lt;=Hypothèses!$V$10,Hypothèses!$X$10,IF(B66&lt;=Hypothèses!$V$11,Hypothèses!$X$11,IF(B66&lt;=Hypothèses!$V$12,Hypothèses!$X$12,IF(B66&lt;=Hypothèses!$V$13,Hypothèses!$X$13,IF(B66&lt;=Hypothèses!$V$14,Hypothèses!$X$14,IF(B66&lt;=Hypothèses!$V$15,Hypothèses!$X$15,IF(B66&lt;=Hypothèses!$V$16,Hypothèses!$X$16,IF(B66&lt;=Hypothèses!$U$17,Hypothèses!$W$17,IF(B66&lt;=Hypothèses!$U$18,Hypothèses!$W$18,""))))))))))))</f>
        <v/>
      </c>
      <c r="Y66" s="95" t="e">
        <f t="shared" ca="1" si="13"/>
        <v>#DIV/0!</v>
      </c>
      <c r="Z66" s="101" t="e">
        <f t="shared" si="14"/>
        <v>#N/A</v>
      </c>
      <c r="AA66" s="91" t="e">
        <f t="shared" si="15"/>
        <v>#N/A</v>
      </c>
      <c r="AB66" s="30" t="e">
        <f t="shared" si="100"/>
        <v>#N/A</v>
      </c>
      <c r="AC66" s="30" t="e">
        <f t="shared" si="101"/>
        <v>#N/A</v>
      </c>
      <c r="AD66" s="31" t="e">
        <f>IF(OR(Hypothèses!$B$4=17,Hypothèses!$B$4=18,Hypothèses!$B$4=19,Hypothèses!$B$4=20),
IF($D66="Pressio.",
IF(OR($E66=3,$E66=1,$E66=4),AC66,AB66),
IF($D66="Pénétro.",
IF(OR($E66=3,$E66=1,$E66=4),AC66,AB66))),IF($D66="Pressio.",
IF($E66=3,AC66,AB66),
IF($D66="Pénétro.",
IF($E66=4,AC66,AB66))))</f>
        <v>#N/A</v>
      </c>
      <c r="AE66" s="31" t="e">
        <f>(IF(OR(Hypothèses!$B$4=17,Hypothèses!$B$4=18,Hypothèses!$B$4=19,Hypothèses!$B$4=20),
IF($D66="Pressio.",
IF(OR($E66=3,$E66=1,$E66=4),(PI()*AE$12^2)/4*(AA66*$W66*1000)/($H66*$B$5),(PI()*AE$12^2)/4*(AA66*$W66*1000)/($G66*$B$5)),
IF($D66="Pénétro.",
IF(OR($E66=4,$E66=1,$E66=5),(PI()*AE$12^2)/4*(AA66*$W66*1000)/($H66*$B$5),(PI()*AE$12^2)/4*(AA66*$W66*1000)/($G66*$B$5)))),
IF($D66="Pressio.",
IF($E66=3,(PI()*AE$12^2)/4*(AA66*$W66*1000)/($H66*$B$5),(PI()*AE$12^2)/4*(AA66*$W66*1000)/($G66*$B$5)),
IF($D66="Pénétro.",
IF($E66=4,(PI()*AE$12^2)/4*(AA66*$W66*1000)/($H66*$B$5),(PI()*AE$12^2)/4*(AA66*$W66*1000)/($G66*$B$5))))))/10</f>
        <v>#N/A</v>
      </c>
      <c r="AF66" s="102" t="e">
        <f>(VLOOKUP($B$3,'Coeff EC7'!$T$39:$X$59,2,0)*AD66+VLOOKUP($B$3,'Coeff EC7'!$T$65:$X$85,2,0)*Model0.1C!AE66)/1.1</f>
        <v>#N/A</v>
      </c>
      <c r="AG66" s="102" t="e">
        <f>(VLOOKUP($B$3,'Coeff EC7'!$T$39:$X$59,3,0)*AD66+VLOOKUP($B$3,'Coeff EC7'!$T$65:$X$85,3,0)*Model0.1C!AE66)/0.9</f>
        <v>#N/A</v>
      </c>
      <c r="AH66" s="102" t="e">
        <f t="shared" si="18"/>
        <v>#N/A</v>
      </c>
      <c r="AI66" s="102" t="e">
        <f t="shared" si="19"/>
        <v>#N/A</v>
      </c>
      <c r="AJ66" s="414" t="e">
        <f>IF(AJ65=0,0,IF(AND(AF66&gt;charge_ELS_quasi,AG66&gt;Charge_ELS_freq,AH66&gt;charge_ELU,AI66&gt;charge_ELA,$B66&gt;NDC!$H$22-0.1+MIN(3*$AJ$12,1.5)),0,1))</f>
        <v>#N/A</v>
      </c>
      <c r="AK66" s="86" t="b">
        <f t="shared" si="20"/>
        <v>0</v>
      </c>
      <c r="AL66" s="86">
        <f t="shared" si="70"/>
        <v>0.5</v>
      </c>
      <c r="AM66" s="86">
        <f t="shared" si="21"/>
        <v>0.5</v>
      </c>
      <c r="AN66" s="30" t="e">
        <f t="shared" ca="1" si="71"/>
        <v>#DIV/0!</v>
      </c>
      <c r="AO66" s="85" t="e">
        <f ca="1">IF(U66&lt;=Hypothèses!$V$7,Hypothèses!$W$7,IF(U66&lt;=Hypothèses!$V$8,Hypothèses!$W$8,IF(U66&lt;=Hypothèses!$V$9,Hypothèses!$W$9,IF(U66&lt;=Hypothèses!$V$10,Hypothèses!$W$10,IF(U66&lt;=Hypothèses!$V$11,Hypothèses!$W$11,IF(U66&lt;=Hypothèses!$V$12,Hypothèses!$W$12,IF(U66&lt;=Hypothèses!$V$13,Hypothèses!$W$13,IF(U66&lt;=Hypothèses!$V$14,Hypothèses!$W$14,IF(U66&lt;=Hypothèses!$V$15,Hypothèses!$W$15,IF(U66&lt;=Hypothèses!$V$16,Hypothèses!$W$16,IF(U66&lt;=Hypothèses!$V$17,Hypothèses!$W$17,IF(U66&lt;=Hypothèses!$V$18,Hypothèses!$W$18,""))))))))))))</f>
        <v>#DIV/0!</v>
      </c>
      <c r="AP66" s="87" t="e">
        <f t="shared" ca="1" si="117"/>
        <v>#DIV/0!</v>
      </c>
      <c r="AQ66" s="88" t="e">
        <f ca="1">IF(U66&lt;=Hypothèses!$V$7,Hypothèses!$X$7,IF(U66&lt;=Hypothèses!$V$8,Hypothèses!$X$8,IF(U66&lt;=Hypothèses!$V$9,Hypothèses!$X$9,IF(U66&lt;=Hypothèses!$V$10,Hypothèses!$X$10,IF(U66&lt;=Hypothèses!$V$11,Hypothèses!$X$11,IF(U66&lt;=Hypothèses!$V$12,Hypothèses!$X$12,IF(U66&lt;=Hypothèses!$V$13,Hypothèses!$X$13,IF(U66&lt;=Hypothèses!$V$14,Hypothèses!$X$14,IF(U66&lt;=Hypothèses!$V$15,Hypothèses!$X$15,IF(U66&lt;=Hypothèses!$V$16,Hypothèses!$X$16,IF(U66&lt;=Hypothèses!$U$17,Hypothèses!$W$17,IF(U66&lt;=Hypothèses!$U$18,Hypothèses!$W$18,""))))))))))))</f>
        <v>#DIV/0!</v>
      </c>
      <c r="AR66" s="95" t="e">
        <f t="shared" ca="1" si="72"/>
        <v>#DIV/0!</v>
      </c>
      <c r="AS66" s="101" t="e">
        <f t="shared" si="124"/>
        <v>#N/A</v>
      </c>
      <c r="AT66" s="91" t="e">
        <f t="shared" si="23"/>
        <v>#N/A</v>
      </c>
      <c r="AU66" s="30" t="e">
        <f t="shared" si="102"/>
        <v>#N/A</v>
      </c>
      <c r="AV66" s="30" t="e">
        <f t="shared" si="103"/>
        <v>#N/A</v>
      </c>
      <c r="AW66" s="31" t="e">
        <f>IF(OR(Hypothèses!$B$4=17,Hypothèses!$B$4=18,Hypothèses!$B$4=19,Hypothèses!$B$4=20),
IF($D66="Pressio.",
IF(OR($E66=3,$E66=1,$E66=4),AV66,AU66),
IF($D66="Pénétro.",
IF(OR($E66=3,$E66=1,$E66=4),AV66,AU66))),IF($D66="Pressio.",
IF($E66=3,AV66,AU66),
IF($D66="Pénétro.",
IF($E66=4,AV66,AU66))))</f>
        <v>#N/A</v>
      </c>
      <c r="AX66" s="31" t="e">
        <f>(IF(OR(Hypothèses!$B$4=17,Hypothèses!$B$4=18,Hypothèses!$B$4=19,Hypothèses!$B$4=20),
IF($D66="Pressio.",
IF(OR($E66=3,$E66=1,$E66=4),(PI()*AX$12^2)/4*(AT66*$W66*1000)/($H66*$B$5),(PI()*AX$12^2)/4*(AT66*$W66*1000)/($G66*$B$5)),
IF($D66="Pénétro.",
IF(OR($E66=4,$E66=1,$E66=5),(PI()*AX$12^2)/4*(AT66*$W66*1000)/($H66*$B$5),(PI()*AX$12^2)/4*(AT66*$W66*1000)/($G66*$B$5)))),
IF($D66="Pressio.",
IF($E66=3,(PI()*AX$12^2)/4*(AT66*$W66*1000)/($H66*$B$5),(PI()*AX$12^2)/4*(AT66*$W66*1000)/($G66*$B$5)),
IF($D66="Pénétro.",
IF($E66=4,(PI()*AX$12^2)/4*(AT66*$W66*1000)/($H66*$B$5),(PI()*AX$12^2)/4*(AT66*$W66*1000)/($G66*$B$5))))))/10</f>
        <v>#N/A</v>
      </c>
      <c r="AY66" s="102" t="e">
        <f>(VLOOKUP($B$3,'Coeff EC7'!$T$39:$X$59,2,0)*AW66+VLOOKUP($B$3,'Coeff EC7'!$T$65:$X$85,2,0)*Model0.1C!AX66)/1.1</f>
        <v>#N/A</v>
      </c>
      <c r="AZ66" s="102" t="e">
        <f>(VLOOKUP($B$3,'Coeff EC7'!$T$39:$X$59,3,0)*AW66+VLOOKUP($B$3,'Coeff EC7'!$T$65:$X$85,3,0)*Model0.1C!AX66)/0.9</f>
        <v>#N/A</v>
      </c>
      <c r="BA66" s="102" t="e">
        <f t="shared" si="73"/>
        <v>#N/A</v>
      </c>
      <c r="BB66" s="102" t="e">
        <f t="shared" si="74"/>
        <v>#N/A</v>
      </c>
      <c r="BC66" s="414" t="e">
        <f>IF(BC65=0,0,IF(AND(AY66&gt;charge_ELS_quasi,AZ66&gt;Charge_ELS_freq,BA66&gt;charge_ELU,BB66&gt;charge_ELA,$B66&gt;NDC!$H$22-0.1+MIN(3*$BC$12,1.5)),0,1))</f>
        <v>#N/A</v>
      </c>
      <c r="BD66" s="86" t="b">
        <f t="shared" si="26"/>
        <v>0</v>
      </c>
      <c r="BE66" s="86">
        <f t="shared" si="75"/>
        <v>0.5</v>
      </c>
      <c r="BF66" s="86">
        <f t="shared" si="27"/>
        <v>0.5</v>
      </c>
      <c r="BG66" s="30" t="e">
        <f t="shared" ca="1" si="76"/>
        <v>#DIV/0!</v>
      </c>
      <c r="BH66" s="85" t="e">
        <f ca="1">IF(AN66&lt;=Hypothèses!$V$7,Hypothèses!$W$7,IF(AN66&lt;=Hypothèses!$V$8,Hypothèses!$W$8,IF(AN66&lt;=Hypothèses!$V$9,Hypothèses!$W$9,IF(AN66&lt;=Hypothèses!$V$10,Hypothèses!$W$10,IF(AN66&lt;=Hypothèses!$V$11,Hypothèses!$W$11,IF(AN66&lt;=Hypothèses!$V$12,Hypothèses!$W$12,IF(AN66&lt;=Hypothèses!$V$13,Hypothèses!$W$13,IF(AN66&lt;=Hypothèses!$V$14,Hypothèses!$W$14,IF(AN66&lt;=Hypothèses!$V$15,Hypothèses!$W$15,IF(AN66&lt;=Hypothèses!$V$16,Hypothèses!$W$16,IF(AN66&lt;=Hypothèses!$V$17,Hypothèses!$W$17,IF(AN66&lt;=Hypothèses!$V$18,Hypothèses!$W$18,""))))))))))))</f>
        <v>#DIV/0!</v>
      </c>
      <c r="BI66" s="87" t="e">
        <f t="shared" ca="1" si="118"/>
        <v>#DIV/0!</v>
      </c>
      <c r="BJ66" s="88" t="e">
        <f ca="1">IF(AN66&lt;=Hypothèses!$V$7,Hypothèses!$X$7,IF(AN66&lt;=Hypothèses!$V$8,Hypothèses!$X$8,IF(AN66&lt;=Hypothèses!$V$9,Hypothèses!$X$9,IF(AN66&lt;=Hypothèses!$V$10,Hypothèses!$X$10,IF(AN66&lt;=Hypothèses!$V$11,Hypothèses!$X$11,IF(AN66&lt;=Hypothèses!$V$12,Hypothèses!$X$12,IF(AN66&lt;=Hypothèses!$V$13,Hypothèses!$X$13,IF(AN66&lt;=Hypothèses!$V$14,Hypothèses!$X$14,IF(AN66&lt;=Hypothèses!$V$15,Hypothèses!$X$15,IF(AN66&lt;=Hypothèses!$V$16,Hypothèses!$X$16,IF(AN66&lt;=Hypothèses!$U$17,Hypothèses!$W$17,IF(AN66&lt;=Hypothèses!$U$18,Hypothèses!$W$18,""))))))))))))</f>
        <v>#DIV/0!</v>
      </c>
      <c r="BK66" s="95" t="e">
        <f t="shared" ca="1" si="77"/>
        <v>#DIV/0!</v>
      </c>
      <c r="BL66" s="101" t="e">
        <f t="shared" si="125"/>
        <v>#N/A</v>
      </c>
      <c r="BM66" s="91" t="e">
        <f t="shared" si="29"/>
        <v>#N/A</v>
      </c>
      <c r="BN66" s="30" t="e">
        <f t="shared" si="104"/>
        <v>#N/A</v>
      </c>
      <c r="BO66" s="30" t="e">
        <f t="shared" si="105"/>
        <v>#N/A</v>
      </c>
      <c r="BP66" s="31" t="e">
        <f>IF(OR(Hypothèses!$B$4=17,Hypothèses!$B$4=18,Hypothèses!$B$4=19,Hypothèses!$B$4=20),
IF($D66="Pressio.",
IF(OR($E66=3,$E66=1,$E66=4),BO66,BN66),
IF($D66="Pénétro.",
IF(OR($E66=3,$E66=1,$E66=4),BO66,BN66))),IF($D66="Pressio.",
IF($E66=3,BO66,BN66),
IF($D66="Pénétro.",
IF($E66=4,BO66,BN66))))</f>
        <v>#N/A</v>
      </c>
      <c r="BQ66" s="31" t="e">
        <f>(IF(OR(Hypothèses!$B$4=17,Hypothèses!$B$4=18,Hypothèses!$B$4=19,Hypothèses!$B$4=20),
IF($D66="Pressio.",
IF(OR($E66=3,$E66=1,$E66=4),(PI()*BQ$12^2)/4*(BM66*$W66*1000)/($H66*$B$5),(PI()*BQ$12^2)/4*(BM66*$W66*1000)/($G66*$B$5)),
IF($D66="Pénétro.",
IF(OR($E66=4,$E66=1,$E66=5),(PI()*BQ$12^2)/4*(BM66*$W66*1000)/($H66*$B$5),(PI()*BQ$12^2)/4*(BM66*$W66*1000)/($G66*$B$5)))),
IF($D66="Pressio.",
IF($E66=3,(PI()*BQ$12^2)/4*(BM66*$W66*1000)/($H66*$B$5),(PI()*BQ$12^2)/4*(BM66*$W66*1000)/($G66*$B$5)),
IF($D66="Pénétro.",
IF($E66=4,(PI()*BQ$12^2)/4*(BM66*$W66*1000)/($H66*$B$5),(PI()*BQ$12^2)/4*(BM66*$W66*1000)/($G66*$B$5))))))/10</f>
        <v>#N/A</v>
      </c>
      <c r="BR66" s="102" t="e">
        <f>(VLOOKUP($B$3,'Coeff EC7'!$T$39:$X$59,2,0)*BP66+VLOOKUP($B$3,'Coeff EC7'!$T$65:$X$85,2,0)*Model0.1C!BQ66)/1.1</f>
        <v>#N/A</v>
      </c>
      <c r="BS66" s="102" t="e">
        <f>(VLOOKUP($B$3,'Coeff EC7'!$T$39:$X$59,3,0)*BP66+VLOOKUP($B$3,'Coeff EC7'!$T$65:$X$85,3,0)*Model0.1C!BQ66)/0.9</f>
        <v>#N/A</v>
      </c>
      <c r="BT66" s="102" t="e">
        <f t="shared" si="78"/>
        <v>#N/A</v>
      </c>
      <c r="BU66" s="102" t="e">
        <f t="shared" si="79"/>
        <v>#N/A</v>
      </c>
      <c r="BV66" s="414" t="e">
        <f>IF(BV65=0,0,IF(AND(BR66&gt;charge_ELS_quasi,BS66&gt;Charge_ELS_freq,BT66&gt;charge_ELU,BU66&gt;charge_ELA,$B66&gt;NDC!$H$22-0.1+MIN(3*$BV$12,1.5)),0,1))</f>
        <v>#N/A</v>
      </c>
      <c r="BW66" s="86" t="b">
        <f t="shared" si="32"/>
        <v>0</v>
      </c>
      <c r="BX66" s="86">
        <f t="shared" si="33"/>
        <v>0.5</v>
      </c>
      <c r="BY66" s="86">
        <f t="shared" si="34"/>
        <v>0.5</v>
      </c>
      <c r="BZ66" s="30" t="e">
        <f t="shared" ca="1" si="80"/>
        <v>#DIV/0!</v>
      </c>
      <c r="CA66" s="85" t="e">
        <f ca="1">IF(BG66&lt;=Hypothèses!$V$7,Hypothèses!$W$7,IF(BG66&lt;=Hypothèses!$V$8,Hypothèses!$W$8,IF(BG66&lt;=Hypothèses!$V$9,Hypothèses!$W$9,IF(BG66&lt;=Hypothèses!$V$10,Hypothèses!$W$10,IF(BG66&lt;=Hypothèses!$V$11,Hypothèses!$W$11,IF(BG66&lt;=Hypothèses!$V$12,Hypothèses!$W$12,IF(BG66&lt;=Hypothèses!$V$13,Hypothèses!$W$13,IF(BG66&lt;=Hypothèses!$V$14,Hypothèses!$W$14,IF(BG66&lt;=Hypothèses!$V$15,Hypothèses!$W$15,IF(BG66&lt;=Hypothèses!$V$16,Hypothèses!$W$16,IF(BG66&lt;=Hypothèses!$V$17,Hypothèses!$W$17,IF(BG66&lt;=Hypothèses!$V$18,Hypothèses!$W$18,""))))))))))))</f>
        <v>#DIV/0!</v>
      </c>
      <c r="CB66" s="87" t="e">
        <f t="shared" ca="1" si="119"/>
        <v>#DIV/0!</v>
      </c>
      <c r="CC66" s="88" t="e">
        <f ca="1">IF(BG66&lt;=Hypothèses!$V$7,Hypothèses!$X$7,IF(BG66&lt;=Hypothèses!$V$8,Hypothèses!$X$8,IF(BG66&lt;=Hypothèses!$V$9,Hypothèses!$X$9,IF(BG66&lt;=Hypothèses!$V$10,Hypothèses!$X$10,IF(BG66&lt;=Hypothèses!$V$11,Hypothèses!$X$11,IF(BG66&lt;=Hypothèses!$V$12,Hypothèses!$X$12,IF(BG66&lt;=Hypothèses!$V$13,Hypothèses!$X$13,IF(BG66&lt;=Hypothèses!$V$14,Hypothèses!$X$14,IF(BG66&lt;=Hypothèses!$V$15,Hypothèses!$X$15,IF(BG66&lt;=Hypothèses!$V$16,Hypothèses!$X$16,IF(BG66&lt;=Hypothèses!$U$17,Hypothèses!$W$17,IF(BG66&lt;=Hypothèses!$U$18,Hypothèses!$W$18,""))))))))))))</f>
        <v>#DIV/0!</v>
      </c>
      <c r="CD66" s="95" t="e">
        <f t="shared" ca="1" si="81"/>
        <v>#DIV/0!</v>
      </c>
      <c r="CE66" s="101" t="e">
        <f t="shared" si="126"/>
        <v>#N/A</v>
      </c>
      <c r="CF66" s="91" t="e">
        <f t="shared" si="36"/>
        <v>#N/A</v>
      </c>
      <c r="CG66" s="30" t="e">
        <f t="shared" si="106"/>
        <v>#N/A</v>
      </c>
      <c r="CH66" s="30" t="e">
        <f t="shared" si="107"/>
        <v>#N/A</v>
      </c>
      <c r="CI66" s="31" t="e">
        <f>IF(OR(Hypothèses!$B$4=17,Hypothèses!$B$4=18,Hypothèses!$B$4=19,Hypothèses!$B$4=20),
IF($D66="Pressio.",
IF(OR($E66=3,$E66=1,$E66=4),CH66,CG66),
IF($D66="Pénétro.",
IF(OR($E66=3,$E66=1,$E66=4),CH66,CG66))),IF($D66="Pressio.",
IF($E66=3,CH66,CG66),
IF($D66="Pénétro.",
IF($E66=4,CH66,CG66))))</f>
        <v>#N/A</v>
      </c>
      <c r="CJ66" s="31" t="e">
        <f>(IF(OR(Hypothèses!$B$4=17,Hypothèses!$B$4=18,Hypothèses!$B$4=19,Hypothèses!$B$4=20),
IF($D66="Pressio.",
IF(OR($E66=3,$E66=1,$E66=4),(PI()*CJ$12^2)/4*(CF66*$W66*1000)/($H66*$B$5),(PI()*CJ$12^2)/4*(CF66*$W66*1000)/($G66*$B$5)),
IF($D66="Pénétro.",
IF(OR($E66=4,$E66=1,$E66=5),(PI()*CJ$12^2)/4*(CF66*$W66*1000)/($H66*$B$5),(PI()*CJ$12^2)/4*(CF66*$W66*1000)/($G66*$B$5)))),
IF($D66="Pressio.",
IF($E66=3,(PI()*CJ$12^2)/4*(CF66*$W66*1000)/($H66*$B$5),(PI()*CJ$12^2)/4*(CF66*$W66*1000)/($G66*$B$5)),
IF($D66="Pénétro.",
IF($E66=4,(PI()*CJ$12^2)/4*(CF66*$W66*1000)/($H66*$B$5),(PI()*CJ$12^2)/4*(CF66*$W66*1000)/($G66*$B$5))))))/10</f>
        <v>#N/A</v>
      </c>
      <c r="CK66" s="102" t="e">
        <f>(VLOOKUP($B$3,'Coeff EC7'!$T$39:$X$59,2,0)*CI66+VLOOKUP($B$3,'Coeff EC7'!$T$65:$X$85,2,0)*Model0.1C!CJ66)/1.1</f>
        <v>#N/A</v>
      </c>
      <c r="CL66" s="102" t="e">
        <f>(VLOOKUP($B$3,'Coeff EC7'!$T$39:$X$59,3,0)*CI66+VLOOKUP($B$3,'Coeff EC7'!$T$65:$X$85,3,0)*Model0.1C!CJ66)/0.9</f>
        <v>#N/A</v>
      </c>
      <c r="CM66" s="102" t="e">
        <f t="shared" si="82"/>
        <v>#N/A</v>
      </c>
      <c r="CN66" s="102" t="e">
        <f t="shared" si="83"/>
        <v>#N/A</v>
      </c>
      <c r="CO66" s="414" t="e">
        <f>IF(CO65=0,0,IF(AND(CK66&gt;charge_ELS_quasi,CL66&gt;Charge_ELS_freq,CM66&gt;charge_ELU,CN66&gt;charge_ELA,$B66&gt;NDC!$H$22-0.1+MIN(3*$CO$12,1.5)),0,1))</f>
        <v>#N/A</v>
      </c>
      <c r="CP66" s="86" t="b">
        <f t="shared" si="39"/>
        <v>0</v>
      </c>
      <c r="CQ66" s="86">
        <f t="shared" si="40"/>
        <v>0.5</v>
      </c>
      <c r="CR66" s="86">
        <f t="shared" si="41"/>
        <v>0.5</v>
      </c>
      <c r="CS66" s="30" t="e">
        <f t="shared" ca="1" si="84"/>
        <v>#DIV/0!</v>
      </c>
      <c r="CT66" s="85" t="e">
        <f ca="1">IF(BZ66&lt;=Hypothèses!$V$7,Hypothèses!$W$7,IF(BZ66&lt;=Hypothèses!$V$8,Hypothèses!$W$8,IF(BZ66&lt;=Hypothèses!$V$9,Hypothèses!$W$9,IF(BZ66&lt;=Hypothèses!$V$10,Hypothèses!$W$10,IF(BZ66&lt;=Hypothèses!$V$11,Hypothèses!$W$11,IF(BZ66&lt;=Hypothèses!$V$12,Hypothèses!$W$12,IF(BZ66&lt;=Hypothèses!$V$13,Hypothèses!$W$13,IF(BZ66&lt;=Hypothèses!$V$14,Hypothèses!$W$14,IF(BZ66&lt;=Hypothèses!$V$15,Hypothèses!$W$15,IF(BZ66&lt;=Hypothèses!$V$16,Hypothèses!$W$16,IF(BZ66&lt;=Hypothèses!$V$17,Hypothèses!$W$17,IF(BZ66&lt;=Hypothèses!$V$18,Hypothèses!$W$18,""))))))))))))</f>
        <v>#DIV/0!</v>
      </c>
      <c r="CU66" s="87" t="e">
        <f t="shared" ca="1" si="120"/>
        <v>#DIV/0!</v>
      </c>
      <c r="CV66" s="88" t="e">
        <f ca="1">IF(BZ66&lt;=Hypothèses!$V$7,Hypothèses!$X$7,IF(BZ66&lt;=Hypothèses!$V$8,Hypothèses!$X$8,IF(BZ66&lt;=Hypothèses!$V$9,Hypothèses!$X$9,IF(BZ66&lt;=Hypothèses!$V$10,Hypothèses!$X$10,IF(BZ66&lt;=Hypothèses!$V$11,Hypothèses!$X$11,IF(BZ66&lt;=Hypothèses!$V$12,Hypothèses!$X$12,IF(BZ66&lt;=Hypothèses!$V$13,Hypothèses!$X$13,IF(BZ66&lt;=Hypothèses!$V$14,Hypothèses!$X$14,IF(BZ66&lt;=Hypothèses!$V$15,Hypothèses!$X$15,IF(BZ66&lt;=Hypothèses!$V$16,Hypothèses!$X$16,IF(BZ66&lt;=Hypothèses!$U$17,Hypothèses!$W$17,IF(BZ66&lt;=Hypothèses!$U$18,Hypothèses!$W$18,""))))))))))))</f>
        <v>#DIV/0!</v>
      </c>
      <c r="CW66" s="95" t="e">
        <f t="shared" ca="1" si="85"/>
        <v>#DIV/0!</v>
      </c>
      <c r="CX66" s="101" t="e">
        <f t="shared" si="127"/>
        <v>#N/A</v>
      </c>
      <c r="CY66" s="91" t="e">
        <f t="shared" si="43"/>
        <v>#N/A</v>
      </c>
      <c r="CZ66" s="30" t="e">
        <f t="shared" si="108"/>
        <v>#N/A</v>
      </c>
      <c r="DA66" s="30" t="e">
        <f t="shared" si="109"/>
        <v>#N/A</v>
      </c>
      <c r="DB66" s="31" t="e">
        <f>IF(OR(Hypothèses!$B$4=17,Hypothèses!$B$4=18,Hypothèses!$B$4=19,Hypothèses!$B$4=20),
IF($D66="Pressio.",
IF(OR($E66=3,$E66=1,$E66=4),DA66,CZ66),
IF($D66="Pénétro.",
IF(OR($E66=3,$E66=1,$E66=4),DA66,CZ66))),IF($D66="Pressio.",
IF($E66=3,DA66,CZ66),
IF($D66="Pénétro.",
IF($E66=4,DA66,CZ66))))</f>
        <v>#N/A</v>
      </c>
      <c r="DC66" s="31" t="e">
        <f>(IF(OR(Hypothèses!$B$4=17,Hypothèses!$B$4=18,Hypothèses!$B$4=19,Hypothèses!$B$4=20),
IF($D66="Pressio.",
IF(OR($E66=3,$E66=1,$E66=4),(PI()*DC$12^2)/4*(CY66*$W66*1000)/($H66*$B$5),(PI()*DC$12^2)/4*(CY66*$W66*1000)/($G66*$B$5)),
IF($D66="Pénétro.",
IF(OR($E66=4,$E66=1,$E66=5),(PI()*DC$12^2)/4*(CY66*$W66*1000)/($H66*$B$5),(PI()*DC$12^2)/4*(CY66*$W66*1000)/($G66*$B$5)))),
IF($D66="Pressio.",
IF($E66=3,(PI()*DC$12^2)/4*(CY66*$W66*1000)/($H66*$B$5),(PI()*DC$12^2)/4*(CY66*$W66*1000)/($G66*$B$5)),
IF($D66="Pénétro.",
IF($E66=4,(PI()*DC$12^2)/4*(CY66*$W66*1000)/($H66*$B$5),(PI()*DC$12^2)/4*(CY66*$W66*1000)/($G66*$B$5))))))/10</f>
        <v>#N/A</v>
      </c>
      <c r="DD66" s="102" t="e">
        <f>(VLOOKUP($B$3,'Coeff EC7'!$T$39:$X$59,2,0)*DB66+VLOOKUP($B$3,'Coeff EC7'!$T$65:$X$85,2,0)*Model0.1C!DC66)/1.1</f>
        <v>#N/A</v>
      </c>
      <c r="DE66" s="102" t="e">
        <f>(VLOOKUP($B$3,'Coeff EC7'!$T$39:$X$59,3,0)*DB66+VLOOKUP($B$3,'Coeff EC7'!$T$65:$X$85,3,0)*Model0.1C!DC66)/0.9</f>
        <v>#N/A</v>
      </c>
      <c r="DF66" s="102" t="e">
        <f t="shared" si="86"/>
        <v>#N/A</v>
      </c>
      <c r="DG66" s="102" t="e">
        <f t="shared" si="87"/>
        <v>#N/A</v>
      </c>
      <c r="DH66" s="414" t="e">
        <f>IF(DH65=0,0,IF(AND(DD66&gt;charge_ELS_quasi,DE66&gt;Charge_ELS_freq,DF66&gt;charge_ELU,DG66&gt;charge_ELA,$B66&gt;NDC!$H$22-0.1+MIN(3*$DH$12,1.5)),0,1))</f>
        <v>#N/A</v>
      </c>
      <c r="DI66" s="86" t="b">
        <f t="shared" si="46"/>
        <v>0</v>
      </c>
      <c r="DJ66" s="86">
        <f t="shared" si="47"/>
        <v>0.5</v>
      </c>
      <c r="DK66" s="86">
        <f t="shared" si="48"/>
        <v>0.5</v>
      </c>
      <c r="DL66" s="30" t="e">
        <f t="shared" ca="1" si="88"/>
        <v>#DIV/0!</v>
      </c>
      <c r="DM66" s="85" t="e">
        <f ca="1">IF(CS66&lt;=Hypothèses!$V$7,Hypothèses!$W$7,IF(CS66&lt;=Hypothèses!$V$8,Hypothèses!$W$8,IF(CS66&lt;=Hypothèses!$V$9,Hypothèses!$W$9,IF(CS66&lt;=Hypothèses!$V$10,Hypothèses!$W$10,IF(CS66&lt;=Hypothèses!$V$11,Hypothèses!$W$11,IF(CS66&lt;=Hypothèses!$V$12,Hypothèses!$W$12,IF(CS66&lt;=Hypothèses!$V$13,Hypothèses!$W$13,IF(CS66&lt;=Hypothèses!$V$14,Hypothèses!$W$14,IF(CS66&lt;=Hypothèses!$V$15,Hypothèses!$W$15,IF(CS66&lt;=Hypothèses!$V$16,Hypothèses!$W$16,IF(CS66&lt;=Hypothèses!$V$17,Hypothèses!$W$17,IF(CS66&lt;=Hypothèses!$V$18,Hypothèses!$W$18,""))))))))))))</f>
        <v>#DIV/0!</v>
      </c>
      <c r="DN66" s="87" t="e">
        <f t="shared" ca="1" si="121"/>
        <v>#DIV/0!</v>
      </c>
      <c r="DO66" s="88" t="e">
        <f ca="1">IF(CS66&lt;=Hypothèses!$V$7,Hypothèses!$X$7,IF(CS66&lt;=Hypothèses!$V$8,Hypothèses!$X$8,IF(CS66&lt;=Hypothèses!$V$9,Hypothèses!$X$9,IF(CS66&lt;=Hypothèses!$V$10,Hypothèses!$X$10,IF(CS66&lt;=Hypothèses!$V$11,Hypothèses!$X$11,IF(CS66&lt;=Hypothèses!$V$12,Hypothèses!$X$12,IF(CS66&lt;=Hypothèses!$V$13,Hypothèses!$X$13,IF(CS66&lt;=Hypothèses!$V$14,Hypothèses!$X$14,IF(CS66&lt;=Hypothèses!$V$15,Hypothèses!$X$15,IF(CS66&lt;=Hypothèses!$V$16,Hypothèses!$X$16,IF(CS66&lt;=Hypothèses!$U$17,Hypothèses!$W$17,IF(CS66&lt;=Hypothèses!$U$18,Hypothèses!$W$18,""))))))))))))</f>
        <v>#DIV/0!</v>
      </c>
      <c r="DP66" s="95" t="e">
        <f t="shared" ca="1" si="89"/>
        <v>#DIV/0!</v>
      </c>
      <c r="DQ66" s="101" t="e">
        <f t="shared" si="128"/>
        <v>#N/A</v>
      </c>
      <c r="DR66" s="91" t="e">
        <f t="shared" si="50"/>
        <v>#N/A</v>
      </c>
      <c r="DS66" s="30" t="e">
        <f t="shared" si="110"/>
        <v>#N/A</v>
      </c>
      <c r="DT66" s="30" t="e">
        <f t="shared" si="111"/>
        <v>#N/A</v>
      </c>
      <c r="DU66" s="31" t="e">
        <f>IF(OR(Hypothèses!$B$4=17,Hypothèses!$B$4=18,Hypothèses!$B$4=19,Hypothèses!$B$4=20),
IF($D66="Pressio.",
IF(OR($E66=3,$E66=1,$E66=4),DT66,DS66),
IF($D66="Pénétro.",
IF(OR($E66=3,$E66=1,$E66=4),DT66,DS66))),IF($D66="Pressio.",
IF($E66=3,DT66,DS66),
IF($D66="Pénétro.",
IF($E66=4,DT66,DS66))))</f>
        <v>#N/A</v>
      </c>
      <c r="DV66" s="31" t="e">
        <f>(IF(OR(Hypothèses!$B$4=17,Hypothèses!$B$4=18,Hypothèses!$B$4=19,Hypothèses!$B$4=20),
IF($D66="Pressio.",
IF(OR($E66=3,$E66=1,$E66=4),(PI()*DV$12^2)/4*(DR66*$W66*1000)/($H66*$B$5),(PI()*DV$12^2)/4*(DR66*$W66*1000)/($G66*$B$5)),
IF($D66="Pénétro.",
IF(OR($E66=4,$E66=1,$E66=5),(PI()*DV$12^2)/4*(DR66*$W66*1000)/($H66*$B$5),(PI()*DV$12^2)/4*(DR66*$W66*1000)/($G66*$B$5)))),
IF($D66="Pressio.",
IF($E66=3,(PI()*DV$12^2)/4*(DR66*$W66*1000)/($H66*$B$5),(PI()*DV$12^2)/4*(DR66*$W66*1000)/($G66*$B$5)),
IF($D66="Pénétro.",
IF($E66=4,(PI()*DV$12^2)/4*(DR66*$W66*1000)/($H66*$B$5),(PI()*DV$12^2)/4*(DR66*$W66*1000)/($G66*$B$5))))))/10</f>
        <v>#N/A</v>
      </c>
      <c r="DW66" s="102" t="e">
        <f>(VLOOKUP($B$3,'Coeff EC7'!$T$39:$X$59,2,0)*DU66+VLOOKUP($B$3,'Coeff EC7'!$T$65:$X$85,2,0)*Model0.1C!DV66)/1.1</f>
        <v>#N/A</v>
      </c>
      <c r="DX66" s="102" t="e">
        <f>(VLOOKUP($B$3,'Coeff EC7'!$T$39:$X$59,3,0)*DU66+VLOOKUP($B$3,'Coeff EC7'!$T$65:$X$85,3,0)*Model0.1C!DV66)/0.9</f>
        <v>#N/A</v>
      </c>
      <c r="DY66" s="102" t="e">
        <f t="shared" si="90"/>
        <v>#N/A</v>
      </c>
      <c r="DZ66" s="102" t="e">
        <f t="shared" si="91"/>
        <v>#N/A</v>
      </c>
      <c r="EA66" s="414" t="e">
        <f>IF(EA65=0,0,IF(AND(DW66&gt;charge_ELS_quasi,DX66&gt;Charge_ELS_freq,DY66&gt;charge_ELU,DZ66&gt;charge_ELA,$B66&gt;NDC!$H$22-0.1+MIN(3*$EA$12,1.5)),0,1))</f>
        <v>#N/A</v>
      </c>
      <c r="EB66" s="86" t="b">
        <f t="shared" si="53"/>
        <v>0</v>
      </c>
      <c r="EC66" s="418">
        <f t="shared" si="54"/>
        <v>0.51</v>
      </c>
      <c r="ED66" s="86">
        <f t="shared" si="55"/>
        <v>0.51</v>
      </c>
      <c r="EE66" s="30" t="e">
        <f t="shared" ca="1" si="92"/>
        <v>#DIV/0!</v>
      </c>
      <c r="EF66" s="85" t="e">
        <f ca="1">IF(DL66&lt;=Hypothèses!$V$7,Hypothèses!$W$7,IF(DL66&lt;=Hypothèses!$V$8,Hypothèses!$W$8,IF(DL66&lt;=Hypothèses!$V$9,Hypothèses!$W$9,IF(DL66&lt;=Hypothèses!$V$10,Hypothèses!$W$10,IF(DL66&lt;=Hypothèses!$V$11,Hypothèses!$W$11,IF(DL66&lt;=Hypothèses!$V$12,Hypothèses!$W$12,IF(DL66&lt;=Hypothèses!$V$13,Hypothèses!$W$13,IF(DL66&lt;=Hypothèses!$V$14,Hypothèses!$W$14,IF(DL66&lt;=Hypothèses!$V$15,Hypothèses!$W$15,IF(DL66&lt;=Hypothèses!$V$16,Hypothèses!$W$16,IF(DL66&lt;=Hypothèses!$V$17,Hypothèses!$W$17,IF(DL66&lt;=Hypothèses!$V$18,Hypothèses!$W$18,""))))))))))))</f>
        <v>#DIV/0!</v>
      </c>
      <c r="EG66" s="87" t="e">
        <f t="shared" ca="1" si="122"/>
        <v>#DIV/0!</v>
      </c>
      <c r="EH66" s="88" t="e">
        <f ca="1">IF(DL66&lt;=Hypothèses!$V$7,Hypothèses!$X$7,IF(DL66&lt;=Hypothèses!$V$8,Hypothèses!$X$8,IF(DL66&lt;=Hypothèses!$V$9,Hypothèses!$X$9,IF(DL66&lt;=Hypothèses!$V$10,Hypothèses!$X$10,IF(DL66&lt;=Hypothèses!$V$11,Hypothèses!$X$11,IF(DL66&lt;=Hypothèses!$V$12,Hypothèses!$X$12,IF(DL66&lt;=Hypothèses!$V$13,Hypothèses!$X$13,IF(DL66&lt;=Hypothèses!$V$14,Hypothèses!$X$14,IF(DL66&lt;=Hypothèses!$V$15,Hypothèses!$X$15,IF(DL66&lt;=Hypothèses!$V$16,Hypothèses!$X$16,IF(DL66&lt;=Hypothèses!$U$17,Hypothèses!$W$17,IF(DL66&lt;=Hypothèses!$U$18,Hypothèses!$W$18,""))))))))))))</f>
        <v>#DIV/0!</v>
      </c>
      <c r="EI66" s="95" t="e">
        <f t="shared" ca="1" si="93"/>
        <v>#DIV/0!</v>
      </c>
      <c r="EJ66" s="101" t="e">
        <f t="shared" si="129"/>
        <v>#N/A</v>
      </c>
      <c r="EK66" s="91" t="e">
        <f t="shared" si="57"/>
        <v>#N/A</v>
      </c>
      <c r="EL66" s="30" t="e">
        <f t="shared" si="112"/>
        <v>#N/A</v>
      </c>
      <c r="EM66" s="30" t="e">
        <f t="shared" si="113"/>
        <v>#N/A</v>
      </c>
      <c r="EN66" s="31" t="e">
        <f>IF(OR(Hypothèses!$B$4=17,Hypothèses!$B$4=18,Hypothèses!$B$4=19,Hypothèses!$B$4=20),
IF($D66="Pressio.",
IF(OR($E66=3,$E66=1,$E66=4),EM66,EL66),
IF($D66="Pénétro.",
IF(OR($E66=3,$E66=1,$E66=4),EM66,EL66))),IF($D66="Pressio.",
IF($E66=3,EM66,EL66),
IF($D66="Pénétro.",
IF($E66=4,EM66,EL66))))</f>
        <v>#N/A</v>
      </c>
      <c r="EO66" s="31" t="e">
        <f>(IF(OR(Hypothèses!$B$4=17,Hypothèses!$B$4=18,Hypothèses!$B$4=19,Hypothèses!$B$4=20),
IF($D66="Pressio.",
IF(OR($E66=3,$E66=1,$E66=4),(PI()*EO$12^2)/4*(EK66*$W66*1000)/($H66*$B$5),(PI()*EO$12^2)/4*(EK66*$W66*1000)/($G66*$B$5)),
IF($D66="Pénétro.",
IF(OR($E66=4,$E66=1,$E66=5),(PI()*EO$12^2)/4*(EK66*$W66*1000)/($H66*$B$5),(PI()*EO$12^2)/4*(EK66*$W66*1000)/($G66*$B$5)))),
IF($D66="Pressio.",
IF($E66=3,(PI()*EO$12^2)/4*(EK66*$W66*1000)/($H66*$B$5),(PI()*EO$12^2)/4*(EK66*$W66*1000)/($G66*$B$5)),
IF($D66="Pénétro.",
IF($E66=4,(PI()*EO$12^2)/4*(EK66*$W66*1000)/($H66*$B$5),(PI()*EO$12^2)/4*(EK66*$W66*1000)/($G66*$B$5))))))/10</f>
        <v>#N/A</v>
      </c>
      <c r="EP66" s="102" t="e">
        <f>(VLOOKUP($B$3,'Coeff EC7'!$T$39:$X$59,2,0)*EN66+VLOOKUP($B$3,'Coeff EC7'!$T$65:$X$85,2,0)*Model0.1C!EO66)/1.1</f>
        <v>#N/A</v>
      </c>
      <c r="EQ66" s="102" t="e">
        <f>(VLOOKUP($B$3,'Coeff EC7'!$T$39:$X$59,3,0)*EN66+VLOOKUP($B$3,'Coeff EC7'!$T$65:$X$85,3,0)*Model0.1C!EO66)/0.9</f>
        <v>#N/A</v>
      </c>
      <c r="ER66" s="102" t="e">
        <f t="shared" si="94"/>
        <v>#N/A</v>
      </c>
      <c r="ES66" s="102" t="e">
        <f t="shared" si="95"/>
        <v>#N/A</v>
      </c>
      <c r="ET66" s="414" t="e">
        <f>IF(ET65=0,0,IF(AND(EP66&gt;charge_ELS_quasi,EQ66&gt;Charge_ELS_freq,ER66&gt;charge_ELU,ES66&gt;charge_ELA,$B66&gt;NDC!$H$22-0.1+MIN(3*$ET$12,1.5)),0,1))</f>
        <v>#N/A</v>
      </c>
      <c r="EU66" s="86" t="b">
        <f t="shared" si="60"/>
        <v>0</v>
      </c>
      <c r="EV66" s="86">
        <f t="shared" si="61"/>
        <v>0.61</v>
      </c>
      <c r="EW66" s="86">
        <f t="shared" si="62"/>
        <v>0.61</v>
      </c>
      <c r="EX66" s="30" t="e">
        <f t="shared" ca="1" si="96"/>
        <v>#DIV/0!</v>
      </c>
      <c r="EY66" s="85" t="e">
        <f ca="1">IF(EE66&lt;=Hypothèses!$V$7,Hypothèses!$W$7,IF(EE66&lt;=Hypothèses!$V$8,Hypothèses!$W$8,IF(EE66&lt;=Hypothèses!$V$9,Hypothèses!$W$9,IF(EE66&lt;=Hypothèses!$V$10,Hypothèses!$W$10,IF(EE66&lt;=Hypothèses!$V$11,Hypothèses!$W$11,IF(EE66&lt;=Hypothèses!$V$12,Hypothèses!$W$12,IF(EE66&lt;=Hypothèses!$V$13,Hypothèses!$W$13,IF(EE66&lt;=Hypothèses!$V$14,Hypothèses!$W$14,IF(EE66&lt;=Hypothèses!$V$15,Hypothèses!$W$15,IF(EE66&lt;=Hypothèses!$V$16,Hypothèses!$W$16,IF(EE66&lt;=Hypothèses!$V$17,Hypothèses!$W$17,IF(EE66&lt;=Hypothèses!$V$18,Hypothèses!$W$18,""))))))))))))</f>
        <v>#DIV/0!</v>
      </c>
      <c r="EZ66" s="87" t="e">
        <f t="shared" ca="1" si="123"/>
        <v>#DIV/0!</v>
      </c>
      <c r="FA66" s="88" t="e">
        <f ca="1">IF(EE66&lt;=Hypothèses!$V$7,Hypothèses!$X$7,IF(EE66&lt;=Hypothèses!$V$8,Hypothèses!$X$8,IF(EE66&lt;=Hypothèses!$V$9,Hypothèses!$X$9,IF(EE66&lt;=Hypothèses!$V$10,Hypothèses!$X$10,IF(EE66&lt;=Hypothèses!$V$11,Hypothèses!$X$11,IF(EE66&lt;=Hypothèses!$V$12,Hypothèses!$X$12,IF(EE66&lt;=Hypothèses!$V$13,Hypothèses!$X$13,IF(EE66&lt;=Hypothèses!$V$14,Hypothèses!$X$14,IF(EE66&lt;=Hypothèses!$V$15,Hypothèses!$X$15,IF(EE66&lt;=Hypothèses!$V$16,Hypothèses!$X$16,IF(EE66&lt;=Hypothèses!$U$17,Hypothèses!$W$17,IF(EE66&lt;=Hypothèses!$U$18,Hypothèses!$W$18,""))))))))))))</f>
        <v>#DIV/0!</v>
      </c>
      <c r="FB66" s="95" t="e">
        <f t="shared" ca="1" si="97"/>
        <v>#DIV/0!</v>
      </c>
      <c r="FC66" s="101" t="e">
        <f t="shared" si="130"/>
        <v>#N/A</v>
      </c>
      <c r="FD66" s="91" t="e">
        <f t="shared" si="64"/>
        <v>#N/A</v>
      </c>
      <c r="FE66" s="30" t="e">
        <f t="shared" si="114"/>
        <v>#N/A</v>
      </c>
      <c r="FF66" s="30" t="e">
        <f t="shared" si="115"/>
        <v>#N/A</v>
      </c>
      <c r="FG66" s="31" t="e">
        <f>IF(OR(Hypothèses!$B$4=17,Hypothèses!$B$4=18,Hypothèses!$B$4=19,Hypothèses!$B$4=20),
IF($D66="Pressio.",
IF(OR($E66=3,$E66=1,$E66=4),FF66,FE66),
IF($D66="Pénétro.",
IF(OR($E66=3,$E66=1,$E66=4),FF66,FE66))),IF($D66="Pressio.",
IF($E66=3,FF66,FE66),
IF($D66="Pénétro.",
IF($E66=4,FF66,FE66))))</f>
        <v>#N/A</v>
      </c>
      <c r="FH66" s="31" t="e">
        <f>(IF(OR(Hypothèses!$B$4=17,Hypothèses!$B$4=18,Hypothèses!$B$4=19,Hypothèses!$B$4=20),
IF($D66="Pressio.",
IF(OR($E66=3,$E66=1,$E66=4),(PI()*FH$12^2)/4*(FD66*$W66*1000)/($H66*$B$5),(PI()*FH$12^2)/4*(FD66*$W66*1000)/($G66*$B$5)),
IF($D66="Pénétro.",
IF(OR($E66=4,$E66=1,$E66=5),(PI()*FH$12^2)/4*(FD66*$W66*1000)/($H66*$B$5),(PI()*FH$12^2)/4*(FD66*$W66*1000)/($G66*$B$5)))),
IF($D66="Pressio.",
IF($E66=3,(PI()*FH$12^2)/4*(FD66*$W66*1000)/($H66*$B$5),(PI()*FH$12^2)/4*(FD66*$W66*1000)/($G66*$B$5)),
IF($D66="Pénétro.",
IF($E66=4,(PI()*FH$12^2)/4*(FD66*$W66*1000)/($H66*$B$5),(PI()*FH$12^2)/4*(FD66*$W66*1000)/($G66*$B$5))))))/10</f>
        <v>#N/A</v>
      </c>
      <c r="FI66" s="102" t="e">
        <f>(VLOOKUP($B$3,'Coeff EC7'!$T$39:$X$59,2,0)*FG66+VLOOKUP($B$3,'Coeff EC7'!$T$65:$X$85,2,0)*Model0.1C!FH66)/1.1</f>
        <v>#N/A</v>
      </c>
      <c r="FJ66" s="102" t="e">
        <f>(VLOOKUP($B$3,'Coeff EC7'!$T$39:$X$59,3,0)*FG66+VLOOKUP($B$3,'Coeff EC7'!$T$65:$X$85,3,0)*Model0.1C!FH66)/0.9</f>
        <v>#N/A</v>
      </c>
      <c r="FK66" s="102" t="e">
        <f t="shared" si="98"/>
        <v>#N/A</v>
      </c>
      <c r="FL66" s="102" t="e">
        <f t="shared" si="99"/>
        <v>#N/A</v>
      </c>
      <c r="FM66" s="414" t="e">
        <f>IF(FM65=0,0,IF(AND(FI66&gt;charge_ELS_quasi,FJ66&gt;Charge_ELS_freq,FK66&gt;charge_ELU,FL66&gt;charge_ELA,$B66&gt;NDC!$H$22-0.1+MIN(3*$FM$12,1.5)),0,1))</f>
        <v>#N/A</v>
      </c>
    </row>
    <row r="67" spans="1:169">
      <c r="A67" s="96">
        <f t="shared" si="67"/>
        <v>94.600000000000307</v>
      </c>
      <c r="B67" s="97">
        <v>5.4</v>
      </c>
      <c r="C67" s="81">
        <f>IF(B67&lt;=Hypothèses!$C$7,Hypothèses!$A$7,IF(B67&lt;=Hypothèses!$C$8,Hypothèses!$A$8,IF(B67&lt;=Hypothèses!$C$9,Hypothèses!$A$9,IF(B67&lt;=Hypothèses!$C$10,Hypothèses!$A$10,IF(B67&lt;=Hypothèses!$C$11,Hypothèses!$A$11,IF(B67&lt;=Hypothèses!$C$12,Hypothèses!$A$12,IF(B67&lt;=Hypothèses!$C$13,Hypothèses!$A$13,IF(B67&lt;=Hypothèses!$C$14,Hypothèses!$A$14,IF(B67&lt;=Hypothèses!$C$15,Hypothèses!$A$15,IF(B67&lt;=Hypothèses!$C$16,Hypothèses!$A$16,IF(B67&lt;=Hypothèses!$C$17,Hypothèses!$A$17,IF(B67&lt;=Hypothèses!$C$18,Hypothèses!$A$18,C66))))))))))))</f>
        <v>11</v>
      </c>
      <c r="D67" s="82" t="str">
        <f>IF(B67&lt;=Hypothèses!$C$7,Hypothèses!$R$7,IF(B67&lt;=Hypothèses!$C$8,Hypothèses!$R$8,IF(B67&lt;=Hypothèses!$C$9,Hypothèses!$R$9,IF(B67&lt;=Hypothèses!$C$10,Hypothèses!$R$10,IF(B67&lt;=Hypothèses!$C$11,Hypothèses!$R$11,IF(B67&lt;=Hypothèses!$C$12,Hypothèses!$R$12,IF(B67&lt;=Hypothèses!$C$13,Hypothèses!$R$13,IF(B67&lt;=Hypothèses!$C$14,Hypothèses!$R$14,IF(B67&lt;=Hypothèses!$C$15,Hypothèses!$R$15,IF(B67&lt;=Hypothèses!$C$16,Hypothèses!$R$16,IF(B67&lt;=Hypothèses!$C$17,Hypothèses!$R$17,IF(B67&lt;=Hypothèses!$C$18,Hypothèses!$R$18,D66))))))))))))</f>
        <v>Pressio.</v>
      </c>
      <c r="E67" s="82" t="e">
        <f>IF(B67&lt;=Hypothèses!$C$7,Hypothèses!$G$7,IF(B67&lt;=Hypothèses!$C$8,Hypothèses!$G$8,IF(B67&lt;=Hypothèses!$C$9,Hypothèses!$G$9,IF(B67&lt;=Hypothèses!$C$10,Hypothèses!$G$10,IF(B67&lt;=Hypothèses!$C$11,Hypothèses!$G$11,IF(B67&lt;=Hypothèses!$C$12,Hypothèses!$G$12,IF(B67&lt;=Hypothèses!$C$13,Hypothèses!$G$13,IF(B67&lt;=Hypothèses!$C$14,Hypothèses!$G$14,IF(B67&lt;=Hypothèses!$C$15,Hypothèses!$G$15,IF(B67&lt;=Hypothèses!$C$16,Hypothèses!$G$16,IF(B67&lt;=Hypothèses!$C$17,Hypothèses!$G$17,IF(B67&lt;=Hypothèses!$C$18,Hypothèses!$G$18,E66))))))))))))</f>
        <v>#N/A</v>
      </c>
      <c r="F67" s="82" t="str">
        <f>IF(B67&lt;=Hypothèses!$C$7,Hypothèses!$F$7,IF(B67&lt;=Hypothèses!$C$8,Hypothèses!$F$8,IF(B67&lt;=Hypothèses!$C$9,Hypothèses!$F$9,IF(B67&lt;=Hypothèses!$C$10,Hypothèses!$F$10,IF(B67&lt;=Hypothèses!$C$11,Hypothèses!$F$11,IF(B67&lt;=Hypothèses!$C$12,Hypothèses!$F$12,IF(B67&lt;=Hypothèses!$C$13,Hypothèses!$F$13,IF(B67&lt;=Hypothèses!$C$14,Hypothèses!$F$14,IF(B67&lt;=Hypothèses!$C$15,Hypothèses!$F$15,IF(B67&lt;=Hypothèses!$C$16,Hypothèses!$F$16,IF(B67&lt;=Hypothèses!$C$17,Hypothèses!$F$17,IF(B67&lt;=Hypothèses!$C$18,Hypothèses!$F$18,F66))))))))))))</f>
        <v/>
      </c>
      <c r="G67" s="91">
        <f t="array" ref="G67">INDEX('Coeff EC7'!$U$7:$X$27,
MATCH(Model0.1C!$B$3,'Coeff EC7'!$T$7:$T$27,0),
MATCH(Model0.1C!$D67&amp;Model0.1C!$B$4,
'Coeff EC7'!$U$6:$X$6&amp;
'Coeff EC7'!$U$5:$X$5,0))</f>
        <v>1.1499999999999999</v>
      </c>
      <c r="H67" s="91">
        <f t="array" ref="H67">INDEX('Coeff EC7'!$Y$7:$AB$27,
MATCH(Model0.1C!$B$3,'Coeff EC7'!$T$7:$T$27,0),
MATCH(Model0.1C!$D67&amp;Model0.1C!$B$4,
'Coeff EC7'!$Y$6:$AB$6&amp;
'Coeff EC7'!$Y$5:$AB$5,0))</f>
        <v>1.4</v>
      </c>
      <c r="I67" s="83" t="e">
        <f>IF(B67&lt;=Hypothèses!$C$7,Hypothèses!$P$7,IF(B67&lt;=Hypothèses!$C$8,Hypothèses!$P$8,IF(B67&lt;=Hypothèses!$C$9,Hypothèses!$P$9,IF(B67&lt;=Hypothèses!$C$10,Hypothèses!$P$10,IF(B67&lt;=Hypothèses!$C$11,Hypothèses!$P$11,IF(B67&lt;=Hypothèses!$C$12,Hypothèses!$P$12,IF(B67&lt;=Hypothèses!$C$13,Hypothèses!$P$13,IF(B67&lt;=Hypothèses!$C$14,Hypothèses!$P$14,IF(B67&lt;=Hypothèses!$C$15,Hypothèses!$P$15,IF(B67&lt;=Hypothèses!$C$16,Hypothèses!$P$16,IF(B67&lt;=Hypothèses!$C$17,Hypothèses!$P$17,IF(B67&lt;=Hypothèses!$C$18,Hypothèses!$P$18,I66))))))))))))</f>
        <v>#N/A</v>
      </c>
      <c r="J67" s="91" t="e">
        <f t="array" ref="J67">INDEX('Coeff EC7'!$D$33:$Q$33,1,MATCH(D67&amp;E67,'Coeff EC7'!$D$31:$Q$31&amp;'Coeff EC7'!$D$32:$Q$32,0))</f>
        <v>#N/A</v>
      </c>
      <c r="K67" s="91" t="e">
        <f t="array" ref="K67">INDEX('Coeff EC7'!$D$34:$Q$34,1,MATCH(D67&amp;E67,'Coeff EC7'!$D$31:$Q$31&amp;'Coeff EC7'!$D$32:$Q$32,0))</f>
        <v>#N/A</v>
      </c>
      <c r="L67" s="91" t="e">
        <f t="array" ref="L67">INDEX('Coeff EC7'!$D$35:$Q$35,1,MATCH(D67&amp;E67,'Coeff EC7'!$D$31:$Q$31&amp;'Coeff EC7'!$D$32:$Q$32,0))</f>
        <v>#N/A</v>
      </c>
      <c r="M67" s="98" t="e">
        <f t="shared" si="8"/>
        <v>#N/A</v>
      </c>
      <c r="N67" s="99" t="e">
        <f t="array" ref="N67">INDEX('Coeff EC7'!$D$7:$Q$27,MATCH($B$3,'Coeff EC7'!$C$7:$C$27,0),MATCH(D67&amp;E67,'Coeff EC7'!$D$5:$Q$5&amp;'Coeff EC7'!$D$6:$Q$6,0))</f>
        <v>#N/A</v>
      </c>
      <c r="O67" s="99" t="e">
        <f t="array" ref="O67">INDEX('Coeff EC7'!$D$41:$Q$61,MATCH($B$3,'Coeff EC7'!$C$41:$C$61,0),MATCH(D67&amp;E67,'Coeff EC7'!$D$39:$Q$39&amp;'Coeff EC7'!$D$40:$Q$40,0))</f>
        <v>#N/A</v>
      </c>
      <c r="P67" s="30" t="e">
        <f t="shared" si="68"/>
        <v>#N/A</v>
      </c>
      <c r="Q67" s="100" t="e">
        <f t="shared" si="10"/>
        <v>#N/A</v>
      </c>
      <c r="R67" s="86" t="b">
        <f t="shared" si="11"/>
        <v>0</v>
      </c>
      <c r="S67" s="86">
        <f t="shared" si="9"/>
        <v>0.5</v>
      </c>
      <c r="T67" s="86">
        <f t="shared" si="12"/>
        <v>0.5</v>
      </c>
      <c r="U67" s="30" t="e">
        <f t="shared" ca="1" si="69"/>
        <v>#DIV/0!</v>
      </c>
      <c r="V67" s="85" t="str">
        <f>IF(B67&lt;=Hypothèses!$V$7,Hypothèses!$W$7,IF(B67&lt;=Hypothèses!$V$8,Hypothèses!$W$8,IF(B67&lt;=Hypothèses!$V$9,Hypothèses!$W$9,IF(B67&lt;=Hypothèses!$V$10,Hypothèses!$W$10,IF(B67&lt;=Hypothèses!$V$11,Hypothèses!$W$11,IF(B67&lt;=Hypothèses!$V$12,Hypothèses!$W$12,IF(B67&lt;=Hypothèses!$V$13,Hypothèses!$W$13,IF(B67&lt;=Hypothèses!$V$14,Hypothèses!$W$14,IF(B67&lt;=Hypothèses!$V$15,Hypothèses!$W$15,IF(B67&lt;=Hypothèses!$V$16,Hypothèses!$W$16,IF(B67&lt;=Hypothèses!$V$17,Hypothèses!$W$17,IF(B67&lt;=Hypothèses!$V$18,Hypothèses!$W$18,""))))))))))))</f>
        <v/>
      </c>
      <c r="W67" s="87" t="e">
        <f t="shared" ca="1" si="116"/>
        <v>#DIV/0!</v>
      </c>
      <c r="X67" s="88" t="str">
        <f>IF(B67&lt;=Hypothèses!$V$7,Hypothèses!$X$7,IF(B67&lt;=Hypothèses!$V$8,Hypothèses!$X$8,IF(B67&lt;=Hypothèses!$V$9,Hypothèses!$X$9,IF(B67&lt;=Hypothèses!$V$10,Hypothèses!$X$10,IF(B67&lt;=Hypothèses!$V$11,Hypothèses!$X$11,IF(B67&lt;=Hypothèses!$V$12,Hypothèses!$X$12,IF(B67&lt;=Hypothèses!$V$13,Hypothèses!$X$13,IF(B67&lt;=Hypothèses!$V$14,Hypothèses!$X$14,IF(B67&lt;=Hypothèses!$V$15,Hypothèses!$X$15,IF(B67&lt;=Hypothèses!$V$16,Hypothèses!$X$16,IF(B67&lt;=Hypothèses!$U$17,Hypothèses!$W$17,IF(B67&lt;=Hypothèses!$U$18,Hypothèses!$W$18,""))))))))))))</f>
        <v/>
      </c>
      <c r="Y67" s="95" t="e">
        <f t="shared" ca="1" si="13"/>
        <v>#DIV/0!</v>
      </c>
      <c r="Z67" s="101" t="e">
        <f t="shared" si="14"/>
        <v>#N/A</v>
      </c>
      <c r="AA67" s="91" t="e">
        <f t="shared" si="15"/>
        <v>#N/A</v>
      </c>
      <c r="AB67" s="30" t="e">
        <f t="shared" si="100"/>
        <v>#N/A</v>
      </c>
      <c r="AC67" s="30" t="e">
        <f t="shared" si="101"/>
        <v>#N/A</v>
      </c>
      <c r="AD67" s="31" t="e">
        <f>IF(OR(Hypothèses!$B$4=17,Hypothèses!$B$4=18,Hypothèses!$B$4=19,Hypothèses!$B$4=20),
IF($D67="Pressio.",
IF(OR($E67=3,$E67=1,$E67=4),AC67,AB67),
IF($D67="Pénétro.",
IF(OR($E67=3,$E67=1,$E67=4),AC67,AB67))),IF($D67="Pressio.",
IF($E67=3,AC67,AB67),
IF($D67="Pénétro.",
IF($E67=4,AC67,AB67))))</f>
        <v>#N/A</v>
      </c>
      <c r="AE67" s="31" t="e">
        <f>(IF(OR(Hypothèses!$B$4=17,Hypothèses!$B$4=18,Hypothèses!$B$4=19,Hypothèses!$B$4=20),
IF($D67="Pressio.",
IF(OR($E67=3,$E67=1,$E67=4),(PI()*AE$12^2)/4*(AA67*$W67*1000)/($H67*$B$5),(PI()*AE$12^2)/4*(AA67*$W67*1000)/($G67*$B$5)),
IF($D67="Pénétro.",
IF(OR($E67=4,$E67=1,$E67=5),(PI()*AE$12^2)/4*(AA67*$W67*1000)/($H67*$B$5),(PI()*AE$12^2)/4*(AA67*$W67*1000)/($G67*$B$5)))),
IF($D67="Pressio.",
IF($E67=3,(PI()*AE$12^2)/4*(AA67*$W67*1000)/($H67*$B$5),(PI()*AE$12^2)/4*(AA67*$W67*1000)/($G67*$B$5)),
IF($D67="Pénétro.",
IF($E67=4,(PI()*AE$12^2)/4*(AA67*$W67*1000)/($H67*$B$5),(PI()*AE$12^2)/4*(AA67*$W67*1000)/($G67*$B$5))))))/10</f>
        <v>#N/A</v>
      </c>
      <c r="AF67" s="102" t="e">
        <f>(VLOOKUP($B$3,'Coeff EC7'!$T$39:$X$59,2,0)*AD67+VLOOKUP($B$3,'Coeff EC7'!$T$65:$X$85,2,0)*Model0.1C!AE67)/1.1</f>
        <v>#N/A</v>
      </c>
      <c r="AG67" s="102" t="e">
        <f>(VLOOKUP($B$3,'Coeff EC7'!$T$39:$X$59,3,0)*AD67+VLOOKUP($B$3,'Coeff EC7'!$T$65:$X$85,3,0)*Model0.1C!AE67)/0.9</f>
        <v>#N/A</v>
      </c>
      <c r="AH67" s="102" t="e">
        <f t="shared" si="18"/>
        <v>#N/A</v>
      </c>
      <c r="AI67" s="102" t="e">
        <f t="shared" si="19"/>
        <v>#N/A</v>
      </c>
      <c r="AJ67" s="414" t="e">
        <f>IF(AJ66=0,0,IF(AND(AF67&gt;charge_ELS_quasi,AG67&gt;Charge_ELS_freq,AH67&gt;charge_ELU,AI67&gt;charge_ELA,$B67&gt;NDC!$H$22-0.1+MIN(3*$AJ$12,1.5)),0,1))</f>
        <v>#N/A</v>
      </c>
      <c r="AK67" s="86" t="b">
        <f t="shared" si="20"/>
        <v>0</v>
      </c>
      <c r="AL67" s="86">
        <f t="shared" si="70"/>
        <v>0.5</v>
      </c>
      <c r="AM67" s="86">
        <f t="shared" si="21"/>
        <v>0.5</v>
      </c>
      <c r="AN67" s="30" t="e">
        <f t="shared" ca="1" si="71"/>
        <v>#DIV/0!</v>
      </c>
      <c r="AO67" s="85" t="e">
        <f ca="1">IF(U67&lt;=Hypothèses!$V$7,Hypothèses!$W$7,IF(U67&lt;=Hypothèses!$V$8,Hypothèses!$W$8,IF(U67&lt;=Hypothèses!$V$9,Hypothèses!$W$9,IF(U67&lt;=Hypothèses!$V$10,Hypothèses!$W$10,IF(U67&lt;=Hypothèses!$V$11,Hypothèses!$W$11,IF(U67&lt;=Hypothèses!$V$12,Hypothèses!$W$12,IF(U67&lt;=Hypothèses!$V$13,Hypothèses!$W$13,IF(U67&lt;=Hypothèses!$V$14,Hypothèses!$W$14,IF(U67&lt;=Hypothèses!$V$15,Hypothèses!$W$15,IF(U67&lt;=Hypothèses!$V$16,Hypothèses!$W$16,IF(U67&lt;=Hypothèses!$V$17,Hypothèses!$W$17,IF(U67&lt;=Hypothèses!$V$18,Hypothèses!$W$18,""))))))))))))</f>
        <v>#DIV/0!</v>
      </c>
      <c r="AP67" s="87" t="e">
        <f t="shared" ca="1" si="117"/>
        <v>#DIV/0!</v>
      </c>
      <c r="AQ67" s="88" t="e">
        <f ca="1">IF(U67&lt;=Hypothèses!$V$7,Hypothèses!$X$7,IF(U67&lt;=Hypothèses!$V$8,Hypothèses!$X$8,IF(U67&lt;=Hypothèses!$V$9,Hypothèses!$X$9,IF(U67&lt;=Hypothèses!$V$10,Hypothèses!$X$10,IF(U67&lt;=Hypothèses!$V$11,Hypothèses!$X$11,IF(U67&lt;=Hypothèses!$V$12,Hypothèses!$X$12,IF(U67&lt;=Hypothèses!$V$13,Hypothèses!$X$13,IF(U67&lt;=Hypothèses!$V$14,Hypothèses!$X$14,IF(U67&lt;=Hypothèses!$V$15,Hypothèses!$X$15,IF(U67&lt;=Hypothèses!$V$16,Hypothèses!$X$16,IF(U67&lt;=Hypothèses!$U$17,Hypothèses!$W$17,IF(U67&lt;=Hypothèses!$U$18,Hypothèses!$W$18,""))))))))))))</f>
        <v>#DIV/0!</v>
      </c>
      <c r="AR67" s="95" t="e">
        <f t="shared" ca="1" si="72"/>
        <v>#DIV/0!</v>
      </c>
      <c r="AS67" s="101" t="e">
        <f t="shared" si="124"/>
        <v>#N/A</v>
      </c>
      <c r="AT67" s="91" t="e">
        <f t="shared" si="23"/>
        <v>#N/A</v>
      </c>
      <c r="AU67" s="30" t="e">
        <f t="shared" si="102"/>
        <v>#N/A</v>
      </c>
      <c r="AV67" s="30" t="e">
        <f t="shared" si="103"/>
        <v>#N/A</v>
      </c>
      <c r="AW67" s="31" t="e">
        <f>IF(OR(Hypothèses!$B$4=17,Hypothèses!$B$4=18,Hypothèses!$B$4=19,Hypothèses!$B$4=20),
IF($D67="Pressio.",
IF(OR($E67=3,$E67=1,$E67=4),AV67,AU67),
IF($D67="Pénétro.",
IF(OR($E67=3,$E67=1,$E67=4),AV67,AU67))),IF($D67="Pressio.",
IF($E67=3,AV67,AU67),
IF($D67="Pénétro.",
IF($E67=4,AV67,AU67))))</f>
        <v>#N/A</v>
      </c>
      <c r="AX67" s="31" t="e">
        <f>(IF(OR(Hypothèses!$B$4=17,Hypothèses!$B$4=18,Hypothèses!$B$4=19,Hypothèses!$B$4=20),
IF($D67="Pressio.",
IF(OR($E67=3,$E67=1,$E67=4),(PI()*AX$12^2)/4*(AT67*$W67*1000)/($H67*$B$5),(PI()*AX$12^2)/4*(AT67*$W67*1000)/($G67*$B$5)),
IF($D67="Pénétro.",
IF(OR($E67=4,$E67=1,$E67=5),(PI()*AX$12^2)/4*(AT67*$W67*1000)/($H67*$B$5),(PI()*AX$12^2)/4*(AT67*$W67*1000)/($G67*$B$5)))),
IF($D67="Pressio.",
IF($E67=3,(PI()*AX$12^2)/4*(AT67*$W67*1000)/($H67*$B$5),(PI()*AX$12^2)/4*(AT67*$W67*1000)/($G67*$B$5)),
IF($D67="Pénétro.",
IF($E67=4,(PI()*AX$12^2)/4*(AT67*$W67*1000)/($H67*$B$5),(PI()*AX$12^2)/4*(AT67*$W67*1000)/($G67*$B$5))))))/10</f>
        <v>#N/A</v>
      </c>
      <c r="AY67" s="102" t="e">
        <f>(VLOOKUP($B$3,'Coeff EC7'!$T$39:$X$59,2,0)*AW67+VLOOKUP($B$3,'Coeff EC7'!$T$65:$X$85,2,0)*Model0.1C!AX67)/1.1</f>
        <v>#N/A</v>
      </c>
      <c r="AZ67" s="102" t="e">
        <f>(VLOOKUP($B$3,'Coeff EC7'!$T$39:$X$59,3,0)*AW67+VLOOKUP($B$3,'Coeff EC7'!$T$65:$X$85,3,0)*Model0.1C!AX67)/0.9</f>
        <v>#N/A</v>
      </c>
      <c r="BA67" s="102" t="e">
        <f t="shared" si="73"/>
        <v>#N/A</v>
      </c>
      <c r="BB67" s="102" t="e">
        <f t="shared" si="74"/>
        <v>#N/A</v>
      </c>
      <c r="BC67" s="414" t="e">
        <f>IF(BC66=0,0,IF(AND(AY67&gt;charge_ELS_quasi,AZ67&gt;Charge_ELS_freq,BA67&gt;charge_ELU,BB67&gt;charge_ELA,$B67&gt;NDC!$H$22-0.1+MIN(3*$BC$12,1.5)),0,1))</f>
        <v>#N/A</v>
      </c>
      <c r="BD67" s="86" t="b">
        <f t="shared" si="26"/>
        <v>0</v>
      </c>
      <c r="BE67" s="86">
        <f t="shared" si="75"/>
        <v>0.5</v>
      </c>
      <c r="BF67" s="86">
        <f t="shared" si="27"/>
        <v>0.5</v>
      </c>
      <c r="BG67" s="30" t="e">
        <f t="shared" ca="1" si="76"/>
        <v>#DIV/0!</v>
      </c>
      <c r="BH67" s="85" t="e">
        <f ca="1">IF(AN67&lt;=Hypothèses!$V$7,Hypothèses!$W$7,IF(AN67&lt;=Hypothèses!$V$8,Hypothèses!$W$8,IF(AN67&lt;=Hypothèses!$V$9,Hypothèses!$W$9,IF(AN67&lt;=Hypothèses!$V$10,Hypothèses!$W$10,IF(AN67&lt;=Hypothèses!$V$11,Hypothèses!$W$11,IF(AN67&lt;=Hypothèses!$V$12,Hypothèses!$W$12,IF(AN67&lt;=Hypothèses!$V$13,Hypothèses!$W$13,IF(AN67&lt;=Hypothèses!$V$14,Hypothèses!$W$14,IF(AN67&lt;=Hypothèses!$V$15,Hypothèses!$W$15,IF(AN67&lt;=Hypothèses!$V$16,Hypothèses!$W$16,IF(AN67&lt;=Hypothèses!$V$17,Hypothèses!$W$17,IF(AN67&lt;=Hypothèses!$V$18,Hypothèses!$W$18,""))))))))))))</f>
        <v>#DIV/0!</v>
      </c>
      <c r="BI67" s="87" t="e">
        <f t="shared" ca="1" si="118"/>
        <v>#DIV/0!</v>
      </c>
      <c r="BJ67" s="88" t="e">
        <f ca="1">IF(AN67&lt;=Hypothèses!$V$7,Hypothèses!$X$7,IF(AN67&lt;=Hypothèses!$V$8,Hypothèses!$X$8,IF(AN67&lt;=Hypothèses!$V$9,Hypothèses!$X$9,IF(AN67&lt;=Hypothèses!$V$10,Hypothèses!$X$10,IF(AN67&lt;=Hypothèses!$V$11,Hypothèses!$X$11,IF(AN67&lt;=Hypothèses!$V$12,Hypothèses!$X$12,IF(AN67&lt;=Hypothèses!$V$13,Hypothèses!$X$13,IF(AN67&lt;=Hypothèses!$V$14,Hypothèses!$X$14,IF(AN67&lt;=Hypothèses!$V$15,Hypothèses!$X$15,IF(AN67&lt;=Hypothèses!$V$16,Hypothèses!$X$16,IF(AN67&lt;=Hypothèses!$U$17,Hypothèses!$W$17,IF(AN67&lt;=Hypothèses!$U$18,Hypothèses!$W$18,""))))))))))))</f>
        <v>#DIV/0!</v>
      </c>
      <c r="BK67" s="95" t="e">
        <f t="shared" ca="1" si="77"/>
        <v>#DIV/0!</v>
      </c>
      <c r="BL67" s="101" t="e">
        <f t="shared" si="125"/>
        <v>#N/A</v>
      </c>
      <c r="BM67" s="91" t="e">
        <f t="shared" si="29"/>
        <v>#N/A</v>
      </c>
      <c r="BN67" s="30" t="e">
        <f t="shared" si="104"/>
        <v>#N/A</v>
      </c>
      <c r="BO67" s="30" t="e">
        <f t="shared" si="105"/>
        <v>#N/A</v>
      </c>
      <c r="BP67" s="31" t="e">
        <f>IF(OR(Hypothèses!$B$4=17,Hypothèses!$B$4=18,Hypothèses!$B$4=19,Hypothèses!$B$4=20),
IF($D67="Pressio.",
IF(OR($E67=3,$E67=1,$E67=4),BO67,BN67),
IF($D67="Pénétro.",
IF(OR($E67=3,$E67=1,$E67=4),BO67,BN67))),IF($D67="Pressio.",
IF($E67=3,BO67,BN67),
IF($D67="Pénétro.",
IF($E67=4,BO67,BN67))))</f>
        <v>#N/A</v>
      </c>
      <c r="BQ67" s="31" t="e">
        <f>(IF(OR(Hypothèses!$B$4=17,Hypothèses!$B$4=18,Hypothèses!$B$4=19,Hypothèses!$B$4=20),
IF($D67="Pressio.",
IF(OR($E67=3,$E67=1,$E67=4),(PI()*BQ$12^2)/4*(BM67*$W67*1000)/($H67*$B$5),(PI()*BQ$12^2)/4*(BM67*$W67*1000)/($G67*$B$5)),
IF($D67="Pénétro.",
IF(OR($E67=4,$E67=1,$E67=5),(PI()*BQ$12^2)/4*(BM67*$W67*1000)/($H67*$B$5),(PI()*BQ$12^2)/4*(BM67*$W67*1000)/($G67*$B$5)))),
IF($D67="Pressio.",
IF($E67=3,(PI()*BQ$12^2)/4*(BM67*$W67*1000)/($H67*$B$5),(PI()*BQ$12^2)/4*(BM67*$W67*1000)/($G67*$B$5)),
IF($D67="Pénétro.",
IF($E67=4,(PI()*BQ$12^2)/4*(BM67*$W67*1000)/($H67*$B$5),(PI()*BQ$12^2)/4*(BM67*$W67*1000)/($G67*$B$5))))))/10</f>
        <v>#N/A</v>
      </c>
      <c r="BR67" s="102" t="e">
        <f>(VLOOKUP($B$3,'Coeff EC7'!$T$39:$X$59,2,0)*BP67+VLOOKUP($B$3,'Coeff EC7'!$T$65:$X$85,2,0)*Model0.1C!BQ67)/1.1</f>
        <v>#N/A</v>
      </c>
      <c r="BS67" s="102" t="e">
        <f>(VLOOKUP($B$3,'Coeff EC7'!$T$39:$X$59,3,0)*BP67+VLOOKUP($B$3,'Coeff EC7'!$T$65:$X$85,3,0)*Model0.1C!BQ67)/0.9</f>
        <v>#N/A</v>
      </c>
      <c r="BT67" s="102" t="e">
        <f t="shared" si="78"/>
        <v>#N/A</v>
      </c>
      <c r="BU67" s="102" t="e">
        <f t="shared" si="79"/>
        <v>#N/A</v>
      </c>
      <c r="BV67" s="414" t="e">
        <f>IF(BV66=0,0,IF(AND(BR67&gt;charge_ELS_quasi,BS67&gt;Charge_ELS_freq,BT67&gt;charge_ELU,BU67&gt;charge_ELA,$B67&gt;NDC!$H$22-0.1+MIN(3*$BV$12,1.5)),0,1))</f>
        <v>#N/A</v>
      </c>
      <c r="BW67" s="86" t="b">
        <f t="shared" si="32"/>
        <v>0</v>
      </c>
      <c r="BX67" s="86">
        <f t="shared" si="33"/>
        <v>0.5</v>
      </c>
      <c r="BY67" s="86">
        <f t="shared" si="34"/>
        <v>0.5</v>
      </c>
      <c r="BZ67" s="30" t="e">
        <f t="shared" ca="1" si="80"/>
        <v>#DIV/0!</v>
      </c>
      <c r="CA67" s="85" t="e">
        <f ca="1">IF(BG67&lt;=Hypothèses!$V$7,Hypothèses!$W$7,IF(BG67&lt;=Hypothèses!$V$8,Hypothèses!$W$8,IF(BG67&lt;=Hypothèses!$V$9,Hypothèses!$W$9,IF(BG67&lt;=Hypothèses!$V$10,Hypothèses!$W$10,IF(BG67&lt;=Hypothèses!$V$11,Hypothèses!$W$11,IF(BG67&lt;=Hypothèses!$V$12,Hypothèses!$W$12,IF(BG67&lt;=Hypothèses!$V$13,Hypothèses!$W$13,IF(BG67&lt;=Hypothèses!$V$14,Hypothèses!$W$14,IF(BG67&lt;=Hypothèses!$V$15,Hypothèses!$W$15,IF(BG67&lt;=Hypothèses!$V$16,Hypothèses!$W$16,IF(BG67&lt;=Hypothèses!$V$17,Hypothèses!$W$17,IF(BG67&lt;=Hypothèses!$V$18,Hypothèses!$W$18,""))))))))))))</f>
        <v>#DIV/0!</v>
      </c>
      <c r="CB67" s="87" t="e">
        <f t="shared" ca="1" si="119"/>
        <v>#DIV/0!</v>
      </c>
      <c r="CC67" s="88" t="e">
        <f ca="1">IF(BG67&lt;=Hypothèses!$V$7,Hypothèses!$X$7,IF(BG67&lt;=Hypothèses!$V$8,Hypothèses!$X$8,IF(BG67&lt;=Hypothèses!$V$9,Hypothèses!$X$9,IF(BG67&lt;=Hypothèses!$V$10,Hypothèses!$X$10,IF(BG67&lt;=Hypothèses!$V$11,Hypothèses!$X$11,IF(BG67&lt;=Hypothèses!$V$12,Hypothèses!$X$12,IF(BG67&lt;=Hypothèses!$V$13,Hypothèses!$X$13,IF(BG67&lt;=Hypothèses!$V$14,Hypothèses!$X$14,IF(BG67&lt;=Hypothèses!$V$15,Hypothèses!$X$15,IF(BG67&lt;=Hypothèses!$V$16,Hypothèses!$X$16,IF(BG67&lt;=Hypothèses!$U$17,Hypothèses!$W$17,IF(BG67&lt;=Hypothèses!$U$18,Hypothèses!$W$18,""))))))))))))</f>
        <v>#DIV/0!</v>
      </c>
      <c r="CD67" s="95" t="e">
        <f t="shared" ca="1" si="81"/>
        <v>#DIV/0!</v>
      </c>
      <c r="CE67" s="101" t="e">
        <f t="shared" si="126"/>
        <v>#N/A</v>
      </c>
      <c r="CF67" s="91" t="e">
        <f t="shared" si="36"/>
        <v>#N/A</v>
      </c>
      <c r="CG67" s="30" t="e">
        <f t="shared" si="106"/>
        <v>#N/A</v>
      </c>
      <c r="CH67" s="30" t="e">
        <f t="shared" si="107"/>
        <v>#N/A</v>
      </c>
      <c r="CI67" s="31" t="e">
        <f>IF(OR(Hypothèses!$B$4=17,Hypothèses!$B$4=18,Hypothèses!$B$4=19,Hypothèses!$B$4=20),
IF($D67="Pressio.",
IF(OR($E67=3,$E67=1,$E67=4),CH67,CG67),
IF($D67="Pénétro.",
IF(OR($E67=3,$E67=1,$E67=4),CH67,CG67))),IF($D67="Pressio.",
IF($E67=3,CH67,CG67),
IF($D67="Pénétro.",
IF($E67=4,CH67,CG67))))</f>
        <v>#N/A</v>
      </c>
      <c r="CJ67" s="31" t="e">
        <f>(IF(OR(Hypothèses!$B$4=17,Hypothèses!$B$4=18,Hypothèses!$B$4=19,Hypothèses!$B$4=20),
IF($D67="Pressio.",
IF(OR($E67=3,$E67=1,$E67=4),(PI()*CJ$12^2)/4*(CF67*$W67*1000)/($H67*$B$5),(PI()*CJ$12^2)/4*(CF67*$W67*1000)/($G67*$B$5)),
IF($D67="Pénétro.",
IF(OR($E67=4,$E67=1,$E67=5),(PI()*CJ$12^2)/4*(CF67*$W67*1000)/($H67*$B$5),(PI()*CJ$12^2)/4*(CF67*$W67*1000)/($G67*$B$5)))),
IF($D67="Pressio.",
IF($E67=3,(PI()*CJ$12^2)/4*(CF67*$W67*1000)/($H67*$B$5),(PI()*CJ$12^2)/4*(CF67*$W67*1000)/($G67*$B$5)),
IF($D67="Pénétro.",
IF($E67=4,(PI()*CJ$12^2)/4*(CF67*$W67*1000)/($H67*$B$5),(PI()*CJ$12^2)/4*(CF67*$W67*1000)/($G67*$B$5))))))/10</f>
        <v>#N/A</v>
      </c>
      <c r="CK67" s="102" t="e">
        <f>(VLOOKUP($B$3,'Coeff EC7'!$T$39:$X$59,2,0)*CI67+VLOOKUP($B$3,'Coeff EC7'!$T$65:$X$85,2,0)*Model0.1C!CJ67)/1.1</f>
        <v>#N/A</v>
      </c>
      <c r="CL67" s="102" t="e">
        <f>(VLOOKUP($B$3,'Coeff EC7'!$T$39:$X$59,3,0)*CI67+VLOOKUP($B$3,'Coeff EC7'!$T$65:$X$85,3,0)*Model0.1C!CJ67)/0.9</f>
        <v>#N/A</v>
      </c>
      <c r="CM67" s="102" t="e">
        <f t="shared" si="82"/>
        <v>#N/A</v>
      </c>
      <c r="CN67" s="102" t="e">
        <f t="shared" si="83"/>
        <v>#N/A</v>
      </c>
      <c r="CO67" s="414" t="e">
        <f>IF(CO66=0,0,IF(AND(CK67&gt;charge_ELS_quasi,CL67&gt;Charge_ELS_freq,CM67&gt;charge_ELU,CN67&gt;charge_ELA,$B67&gt;NDC!$H$22-0.1+MIN(3*$CO$12,1.5)),0,1))</f>
        <v>#N/A</v>
      </c>
      <c r="CP67" s="86" t="b">
        <f t="shared" si="39"/>
        <v>0</v>
      </c>
      <c r="CQ67" s="86">
        <f t="shared" si="40"/>
        <v>0.5</v>
      </c>
      <c r="CR67" s="86">
        <f t="shared" si="41"/>
        <v>0.5</v>
      </c>
      <c r="CS67" s="30" t="e">
        <f t="shared" ca="1" si="84"/>
        <v>#DIV/0!</v>
      </c>
      <c r="CT67" s="85" t="e">
        <f ca="1">IF(BZ67&lt;=Hypothèses!$V$7,Hypothèses!$W$7,IF(BZ67&lt;=Hypothèses!$V$8,Hypothèses!$W$8,IF(BZ67&lt;=Hypothèses!$V$9,Hypothèses!$W$9,IF(BZ67&lt;=Hypothèses!$V$10,Hypothèses!$W$10,IF(BZ67&lt;=Hypothèses!$V$11,Hypothèses!$W$11,IF(BZ67&lt;=Hypothèses!$V$12,Hypothèses!$W$12,IF(BZ67&lt;=Hypothèses!$V$13,Hypothèses!$W$13,IF(BZ67&lt;=Hypothèses!$V$14,Hypothèses!$W$14,IF(BZ67&lt;=Hypothèses!$V$15,Hypothèses!$W$15,IF(BZ67&lt;=Hypothèses!$V$16,Hypothèses!$W$16,IF(BZ67&lt;=Hypothèses!$V$17,Hypothèses!$W$17,IF(BZ67&lt;=Hypothèses!$V$18,Hypothèses!$W$18,""))))))))))))</f>
        <v>#DIV/0!</v>
      </c>
      <c r="CU67" s="87" t="e">
        <f t="shared" ca="1" si="120"/>
        <v>#DIV/0!</v>
      </c>
      <c r="CV67" s="88" t="e">
        <f ca="1">IF(BZ67&lt;=Hypothèses!$V$7,Hypothèses!$X$7,IF(BZ67&lt;=Hypothèses!$V$8,Hypothèses!$X$8,IF(BZ67&lt;=Hypothèses!$V$9,Hypothèses!$X$9,IF(BZ67&lt;=Hypothèses!$V$10,Hypothèses!$X$10,IF(BZ67&lt;=Hypothèses!$V$11,Hypothèses!$X$11,IF(BZ67&lt;=Hypothèses!$V$12,Hypothèses!$X$12,IF(BZ67&lt;=Hypothèses!$V$13,Hypothèses!$X$13,IF(BZ67&lt;=Hypothèses!$V$14,Hypothèses!$X$14,IF(BZ67&lt;=Hypothèses!$V$15,Hypothèses!$X$15,IF(BZ67&lt;=Hypothèses!$V$16,Hypothèses!$X$16,IF(BZ67&lt;=Hypothèses!$U$17,Hypothèses!$W$17,IF(BZ67&lt;=Hypothèses!$U$18,Hypothèses!$W$18,""))))))))))))</f>
        <v>#DIV/0!</v>
      </c>
      <c r="CW67" s="95" t="e">
        <f t="shared" ca="1" si="85"/>
        <v>#DIV/0!</v>
      </c>
      <c r="CX67" s="101" t="e">
        <f t="shared" si="127"/>
        <v>#N/A</v>
      </c>
      <c r="CY67" s="91" t="e">
        <f t="shared" si="43"/>
        <v>#N/A</v>
      </c>
      <c r="CZ67" s="30" t="e">
        <f t="shared" si="108"/>
        <v>#N/A</v>
      </c>
      <c r="DA67" s="30" t="e">
        <f t="shared" si="109"/>
        <v>#N/A</v>
      </c>
      <c r="DB67" s="31" t="e">
        <f>IF(OR(Hypothèses!$B$4=17,Hypothèses!$B$4=18,Hypothèses!$B$4=19,Hypothèses!$B$4=20),
IF($D67="Pressio.",
IF(OR($E67=3,$E67=1,$E67=4),DA67,CZ67),
IF($D67="Pénétro.",
IF(OR($E67=3,$E67=1,$E67=4),DA67,CZ67))),IF($D67="Pressio.",
IF($E67=3,DA67,CZ67),
IF($D67="Pénétro.",
IF($E67=4,DA67,CZ67))))</f>
        <v>#N/A</v>
      </c>
      <c r="DC67" s="31" t="e">
        <f>(IF(OR(Hypothèses!$B$4=17,Hypothèses!$B$4=18,Hypothèses!$B$4=19,Hypothèses!$B$4=20),
IF($D67="Pressio.",
IF(OR($E67=3,$E67=1,$E67=4),(PI()*DC$12^2)/4*(CY67*$W67*1000)/($H67*$B$5),(PI()*DC$12^2)/4*(CY67*$W67*1000)/($G67*$B$5)),
IF($D67="Pénétro.",
IF(OR($E67=4,$E67=1,$E67=5),(PI()*DC$12^2)/4*(CY67*$W67*1000)/($H67*$B$5),(PI()*DC$12^2)/4*(CY67*$W67*1000)/($G67*$B$5)))),
IF($D67="Pressio.",
IF($E67=3,(PI()*DC$12^2)/4*(CY67*$W67*1000)/($H67*$B$5),(PI()*DC$12^2)/4*(CY67*$W67*1000)/($G67*$B$5)),
IF($D67="Pénétro.",
IF($E67=4,(PI()*DC$12^2)/4*(CY67*$W67*1000)/($H67*$B$5),(PI()*DC$12^2)/4*(CY67*$W67*1000)/($G67*$B$5))))))/10</f>
        <v>#N/A</v>
      </c>
      <c r="DD67" s="102" t="e">
        <f>(VLOOKUP($B$3,'Coeff EC7'!$T$39:$X$59,2,0)*DB67+VLOOKUP($B$3,'Coeff EC7'!$T$65:$X$85,2,0)*Model0.1C!DC67)/1.1</f>
        <v>#N/A</v>
      </c>
      <c r="DE67" s="102" t="e">
        <f>(VLOOKUP($B$3,'Coeff EC7'!$T$39:$X$59,3,0)*DB67+VLOOKUP($B$3,'Coeff EC7'!$T$65:$X$85,3,0)*Model0.1C!DC67)/0.9</f>
        <v>#N/A</v>
      </c>
      <c r="DF67" s="102" t="e">
        <f t="shared" si="86"/>
        <v>#N/A</v>
      </c>
      <c r="DG67" s="102" t="e">
        <f t="shared" si="87"/>
        <v>#N/A</v>
      </c>
      <c r="DH67" s="414" t="e">
        <f>IF(DH66=0,0,IF(AND(DD67&gt;charge_ELS_quasi,DE67&gt;Charge_ELS_freq,DF67&gt;charge_ELU,DG67&gt;charge_ELA,$B67&gt;NDC!$H$22-0.1+MIN(3*$DH$12,1.5)),0,1))</f>
        <v>#N/A</v>
      </c>
      <c r="DI67" s="86" t="b">
        <f t="shared" si="46"/>
        <v>0</v>
      </c>
      <c r="DJ67" s="86">
        <f t="shared" si="47"/>
        <v>0.5</v>
      </c>
      <c r="DK67" s="86">
        <f t="shared" si="48"/>
        <v>0.5</v>
      </c>
      <c r="DL67" s="30" t="e">
        <f t="shared" ca="1" si="88"/>
        <v>#DIV/0!</v>
      </c>
      <c r="DM67" s="85" t="e">
        <f ca="1">IF(CS67&lt;=Hypothèses!$V$7,Hypothèses!$W$7,IF(CS67&lt;=Hypothèses!$V$8,Hypothèses!$W$8,IF(CS67&lt;=Hypothèses!$V$9,Hypothèses!$W$9,IF(CS67&lt;=Hypothèses!$V$10,Hypothèses!$W$10,IF(CS67&lt;=Hypothèses!$V$11,Hypothèses!$W$11,IF(CS67&lt;=Hypothèses!$V$12,Hypothèses!$W$12,IF(CS67&lt;=Hypothèses!$V$13,Hypothèses!$W$13,IF(CS67&lt;=Hypothèses!$V$14,Hypothèses!$W$14,IF(CS67&lt;=Hypothèses!$V$15,Hypothèses!$W$15,IF(CS67&lt;=Hypothèses!$V$16,Hypothèses!$W$16,IF(CS67&lt;=Hypothèses!$V$17,Hypothèses!$W$17,IF(CS67&lt;=Hypothèses!$V$18,Hypothèses!$W$18,""))))))))))))</f>
        <v>#DIV/0!</v>
      </c>
      <c r="DN67" s="87" t="e">
        <f t="shared" ca="1" si="121"/>
        <v>#DIV/0!</v>
      </c>
      <c r="DO67" s="88" t="e">
        <f ca="1">IF(CS67&lt;=Hypothèses!$V$7,Hypothèses!$X$7,IF(CS67&lt;=Hypothèses!$V$8,Hypothèses!$X$8,IF(CS67&lt;=Hypothèses!$V$9,Hypothèses!$X$9,IF(CS67&lt;=Hypothèses!$V$10,Hypothèses!$X$10,IF(CS67&lt;=Hypothèses!$V$11,Hypothèses!$X$11,IF(CS67&lt;=Hypothèses!$V$12,Hypothèses!$X$12,IF(CS67&lt;=Hypothèses!$V$13,Hypothèses!$X$13,IF(CS67&lt;=Hypothèses!$V$14,Hypothèses!$X$14,IF(CS67&lt;=Hypothèses!$V$15,Hypothèses!$X$15,IF(CS67&lt;=Hypothèses!$V$16,Hypothèses!$X$16,IF(CS67&lt;=Hypothèses!$U$17,Hypothèses!$W$17,IF(CS67&lt;=Hypothèses!$U$18,Hypothèses!$W$18,""))))))))))))</f>
        <v>#DIV/0!</v>
      </c>
      <c r="DP67" s="95" t="e">
        <f t="shared" ca="1" si="89"/>
        <v>#DIV/0!</v>
      </c>
      <c r="DQ67" s="101" t="e">
        <f t="shared" si="128"/>
        <v>#N/A</v>
      </c>
      <c r="DR67" s="91" t="e">
        <f t="shared" si="50"/>
        <v>#N/A</v>
      </c>
      <c r="DS67" s="30" t="e">
        <f t="shared" si="110"/>
        <v>#N/A</v>
      </c>
      <c r="DT67" s="30" t="e">
        <f t="shared" si="111"/>
        <v>#N/A</v>
      </c>
      <c r="DU67" s="31" t="e">
        <f>IF(OR(Hypothèses!$B$4=17,Hypothèses!$B$4=18,Hypothèses!$B$4=19,Hypothèses!$B$4=20),
IF($D67="Pressio.",
IF(OR($E67=3,$E67=1,$E67=4),DT67,DS67),
IF($D67="Pénétro.",
IF(OR($E67=3,$E67=1,$E67=4),DT67,DS67))),IF($D67="Pressio.",
IF($E67=3,DT67,DS67),
IF($D67="Pénétro.",
IF($E67=4,DT67,DS67))))</f>
        <v>#N/A</v>
      </c>
      <c r="DV67" s="31" t="e">
        <f>(IF(OR(Hypothèses!$B$4=17,Hypothèses!$B$4=18,Hypothèses!$B$4=19,Hypothèses!$B$4=20),
IF($D67="Pressio.",
IF(OR($E67=3,$E67=1,$E67=4),(PI()*DV$12^2)/4*(DR67*$W67*1000)/($H67*$B$5),(PI()*DV$12^2)/4*(DR67*$W67*1000)/($G67*$B$5)),
IF($D67="Pénétro.",
IF(OR($E67=4,$E67=1,$E67=5),(PI()*DV$12^2)/4*(DR67*$W67*1000)/($H67*$B$5),(PI()*DV$12^2)/4*(DR67*$W67*1000)/($G67*$B$5)))),
IF($D67="Pressio.",
IF($E67=3,(PI()*DV$12^2)/4*(DR67*$W67*1000)/($H67*$B$5),(PI()*DV$12^2)/4*(DR67*$W67*1000)/($G67*$B$5)),
IF($D67="Pénétro.",
IF($E67=4,(PI()*DV$12^2)/4*(DR67*$W67*1000)/($H67*$B$5),(PI()*DV$12^2)/4*(DR67*$W67*1000)/($G67*$B$5))))))/10</f>
        <v>#N/A</v>
      </c>
      <c r="DW67" s="102" t="e">
        <f>(VLOOKUP($B$3,'Coeff EC7'!$T$39:$X$59,2,0)*DU67+VLOOKUP($B$3,'Coeff EC7'!$T$65:$X$85,2,0)*Model0.1C!DV67)/1.1</f>
        <v>#N/A</v>
      </c>
      <c r="DX67" s="102" t="e">
        <f>(VLOOKUP($B$3,'Coeff EC7'!$T$39:$X$59,3,0)*DU67+VLOOKUP($B$3,'Coeff EC7'!$T$65:$X$85,3,0)*Model0.1C!DV67)/0.9</f>
        <v>#N/A</v>
      </c>
      <c r="DY67" s="102" t="e">
        <f t="shared" si="90"/>
        <v>#N/A</v>
      </c>
      <c r="DZ67" s="102" t="e">
        <f t="shared" si="91"/>
        <v>#N/A</v>
      </c>
      <c r="EA67" s="414" t="e">
        <f>IF(EA66=0,0,IF(AND(DW67&gt;charge_ELS_quasi,DX67&gt;Charge_ELS_freq,DY67&gt;charge_ELU,DZ67&gt;charge_ELA,$B67&gt;NDC!$H$22-0.1+MIN(3*$EA$12,1.5)),0,1))</f>
        <v>#N/A</v>
      </c>
      <c r="EB67" s="86" t="b">
        <f t="shared" si="53"/>
        <v>0</v>
      </c>
      <c r="EC67" s="418">
        <f t="shared" si="54"/>
        <v>0.51</v>
      </c>
      <c r="ED67" s="86">
        <f t="shared" si="55"/>
        <v>0.51</v>
      </c>
      <c r="EE67" s="30" t="e">
        <f t="shared" ca="1" si="92"/>
        <v>#DIV/0!</v>
      </c>
      <c r="EF67" s="85" t="e">
        <f ca="1">IF(DL67&lt;=Hypothèses!$V$7,Hypothèses!$W$7,IF(DL67&lt;=Hypothèses!$V$8,Hypothèses!$W$8,IF(DL67&lt;=Hypothèses!$V$9,Hypothèses!$W$9,IF(DL67&lt;=Hypothèses!$V$10,Hypothèses!$W$10,IF(DL67&lt;=Hypothèses!$V$11,Hypothèses!$W$11,IF(DL67&lt;=Hypothèses!$V$12,Hypothèses!$W$12,IF(DL67&lt;=Hypothèses!$V$13,Hypothèses!$W$13,IF(DL67&lt;=Hypothèses!$V$14,Hypothèses!$W$14,IF(DL67&lt;=Hypothèses!$V$15,Hypothèses!$W$15,IF(DL67&lt;=Hypothèses!$V$16,Hypothèses!$W$16,IF(DL67&lt;=Hypothèses!$V$17,Hypothèses!$W$17,IF(DL67&lt;=Hypothèses!$V$18,Hypothèses!$W$18,""))))))))))))</f>
        <v>#DIV/0!</v>
      </c>
      <c r="EG67" s="87" t="e">
        <f t="shared" ca="1" si="122"/>
        <v>#DIV/0!</v>
      </c>
      <c r="EH67" s="88" t="e">
        <f ca="1">IF(DL67&lt;=Hypothèses!$V$7,Hypothèses!$X$7,IF(DL67&lt;=Hypothèses!$V$8,Hypothèses!$X$8,IF(DL67&lt;=Hypothèses!$V$9,Hypothèses!$X$9,IF(DL67&lt;=Hypothèses!$V$10,Hypothèses!$X$10,IF(DL67&lt;=Hypothèses!$V$11,Hypothèses!$X$11,IF(DL67&lt;=Hypothèses!$V$12,Hypothèses!$X$12,IF(DL67&lt;=Hypothèses!$V$13,Hypothèses!$X$13,IF(DL67&lt;=Hypothèses!$V$14,Hypothèses!$X$14,IF(DL67&lt;=Hypothèses!$V$15,Hypothèses!$X$15,IF(DL67&lt;=Hypothèses!$V$16,Hypothèses!$X$16,IF(DL67&lt;=Hypothèses!$U$17,Hypothèses!$W$17,IF(DL67&lt;=Hypothèses!$U$18,Hypothèses!$W$18,""))))))))))))</f>
        <v>#DIV/0!</v>
      </c>
      <c r="EI67" s="95" t="e">
        <f t="shared" ca="1" si="93"/>
        <v>#DIV/0!</v>
      </c>
      <c r="EJ67" s="101" t="e">
        <f t="shared" si="129"/>
        <v>#N/A</v>
      </c>
      <c r="EK67" s="91" t="e">
        <f t="shared" si="57"/>
        <v>#N/A</v>
      </c>
      <c r="EL67" s="30" t="e">
        <f t="shared" si="112"/>
        <v>#N/A</v>
      </c>
      <c r="EM67" s="30" t="e">
        <f t="shared" si="113"/>
        <v>#N/A</v>
      </c>
      <c r="EN67" s="31" t="e">
        <f>IF(OR(Hypothèses!$B$4=17,Hypothèses!$B$4=18,Hypothèses!$B$4=19,Hypothèses!$B$4=20),
IF($D67="Pressio.",
IF(OR($E67=3,$E67=1,$E67=4),EM67,EL67),
IF($D67="Pénétro.",
IF(OR($E67=3,$E67=1,$E67=4),EM67,EL67))),IF($D67="Pressio.",
IF($E67=3,EM67,EL67),
IF($D67="Pénétro.",
IF($E67=4,EM67,EL67))))</f>
        <v>#N/A</v>
      </c>
      <c r="EO67" s="31" t="e">
        <f>(IF(OR(Hypothèses!$B$4=17,Hypothèses!$B$4=18,Hypothèses!$B$4=19,Hypothèses!$B$4=20),
IF($D67="Pressio.",
IF(OR($E67=3,$E67=1,$E67=4),(PI()*EO$12^2)/4*(EK67*$W67*1000)/($H67*$B$5),(PI()*EO$12^2)/4*(EK67*$W67*1000)/($G67*$B$5)),
IF($D67="Pénétro.",
IF(OR($E67=4,$E67=1,$E67=5),(PI()*EO$12^2)/4*(EK67*$W67*1000)/($H67*$B$5),(PI()*EO$12^2)/4*(EK67*$W67*1000)/($G67*$B$5)))),
IF($D67="Pressio.",
IF($E67=3,(PI()*EO$12^2)/4*(EK67*$W67*1000)/($H67*$B$5),(PI()*EO$12^2)/4*(EK67*$W67*1000)/($G67*$B$5)),
IF($D67="Pénétro.",
IF($E67=4,(PI()*EO$12^2)/4*(EK67*$W67*1000)/($H67*$B$5),(PI()*EO$12^2)/4*(EK67*$W67*1000)/($G67*$B$5))))))/10</f>
        <v>#N/A</v>
      </c>
      <c r="EP67" s="102" t="e">
        <f>(VLOOKUP($B$3,'Coeff EC7'!$T$39:$X$59,2,0)*EN67+VLOOKUP($B$3,'Coeff EC7'!$T$65:$X$85,2,0)*Model0.1C!EO67)/1.1</f>
        <v>#N/A</v>
      </c>
      <c r="EQ67" s="102" t="e">
        <f>(VLOOKUP($B$3,'Coeff EC7'!$T$39:$X$59,3,0)*EN67+VLOOKUP($B$3,'Coeff EC7'!$T$65:$X$85,3,0)*Model0.1C!EO67)/0.9</f>
        <v>#N/A</v>
      </c>
      <c r="ER67" s="102" t="e">
        <f t="shared" si="94"/>
        <v>#N/A</v>
      </c>
      <c r="ES67" s="102" t="e">
        <f t="shared" si="95"/>
        <v>#N/A</v>
      </c>
      <c r="ET67" s="414" t="e">
        <f>IF(ET66=0,0,IF(AND(EP67&gt;charge_ELS_quasi,EQ67&gt;Charge_ELS_freq,ER67&gt;charge_ELU,ES67&gt;charge_ELA,$B67&gt;NDC!$H$22-0.1+MIN(3*$ET$12,1.5)),0,1))</f>
        <v>#N/A</v>
      </c>
      <c r="EU67" s="86" t="b">
        <f t="shared" si="60"/>
        <v>0</v>
      </c>
      <c r="EV67" s="86">
        <f t="shared" si="61"/>
        <v>0.61</v>
      </c>
      <c r="EW67" s="86">
        <f t="shared" si="62"/>
        <v>0.61</v>
      </c>
      <c r="EX67" s="30" t="e">
        <f t="shared" ca="1" si="96"/>
        <v>#DIV/0!</v>
      </c>
      <c r="EY67" s="85" t="e">
        <f ca="1">IF(EE67&lt;=Hypothèses!$V$7,Hypothèses!$W$7,IF(EE67&lt;=Hypothèses!$V$8,Hypothèses!$W$8,IF(EE67&lt;=Hypothèses!$V$9,Hypothèses!$W$9,IF(EE67&lt;=Hypothèses!$V$10,Hypothèses!$W$10,IF(EE67&lt;=Hypothèses!$V$11,Hypothèses!$W$11,IF(EE67&lt;=Hypothèses!$V$12,Hypothèses!$W$12,IF(EE67&lt;=Hypothèses!$V$13,Hypothèses!$W$13,IF(EE67&lt;=Hypothèses!$V$14,Hypothèses!$W$14,IF(EE67&lt;=Hypothèses!$V$15,Hypothèses!$W$15,IF(EE67&lt;=Hypothèses!$V$16,Hypothèses!$W$16,IF(EE67&lt;=Hypothèses!$V$17,Hypothèses!$W$17,IF(EE67&lt;=Hypothèses!$V$18,Hypothèses!$W$18,""))))))))))))</f>
        <v>#DIV/0!</v>
      </c>
      <c r="EZ67" s="87" t="e">
        <f t="shared" ca="1" si="123"/>
        <v>#DIV/0!</v>
      </c>
      <c r="FA67" s="88" t="e">
        <f ca="1">IF(EE67&lt;=Hypothèses!$V$7,Hypothèses!$X$7,IF(EE67&lt;=Hypothèses!$V$8,Hypothèses!$X$8,IF(EE67&lt;=Hypothèses!$V$9,Hypothèses!$X$9,IF(EE67&lt;=Hypothèses!$V$10,Hypothèses!$X$10,IF(EE67&lt;=Hypothèses!$V$11,Hypothèses!$X$11,IF(EE67&lt;=Hypothèses!$V$12,Hypothèses!$X$12,IF(EE67&lt;=Hypothèses!$V$13,Hypothèses!$X$13,IF(EE67&lt;=Hypothèses!$V$14,Hypothèses!$X$14,IF(EE67&lt;=Hypothèses!$V$15,Hypothèses!$X$15,IF(EE67&lt;=Hypothèses!$V$16,Hypothèses!$X$16,IF(EE67&lt;=Hypothèses!$U$17,Hypothèses!$W$17,IF(EE67&lt;=Hypothèses!$U$18,Hypothèses!$W$18,""))))))))))))</f>
        <v>#DIV/0!</v>
      </c>
      <c r="FB67" s="95" t="e">
        <f t="shared" ca="1" si="97"/>
        <v>#DIV/0!</v>
      </c>
      <c r="FC67" s="101" t="e">
        <f t="shared" si="130"/>
        <v>#N/A</v>
      </c>
      <c r="FD67" s="91" t="e">
        <f t="shared" si="64"/>
        <v>#N/A</v>
      </c>
      <c r="FE67" s="30" t="e">
        <f t="shared" si="114"/>
        <v>#N/A</v>
      </c>
      <c r="FF67" s="30" t="e">
        <f t="shared" si="115"/>
        <v>#N/A</v>
      </c>
      <c r="FG67" s="31" t="e">
        <f>IF(OR(Hypothèses!$B$4=17,Hypothèses!$B$4=18,Hypothèses!$B$4=19,Hypothèses!$B$4=20),
IF($D67="Pressio.",
IF(OR($E67=3,$E67=1,$E67=4),FF67,FE67),
IF($D67="Pénétro.",
IF(OR($E67=3,$E67=1,$E67=4),FF67,FE67))),IF($D67="Pressio.",
IF($E67=3,FF67,FE67),
IF($D67="Pénétro.",
IF($E67=4,FF67,FE67))))</f>
        <v>#N/A</v>
      </c>
      <c r="FH67" s="31" t="e">
        <f>(IF(OR(Hypothèses!$B$4=17,Hypothèses!$B$4=18,Hypothèses!$B$4=19,Hypothèses!$B$4=20),
IF($D67="Pressio.",
IF(OR($E67=3,$E67=1,$E67=4),(PI()*FH$12^2)/4*(FD67*$W67*1000)/($H67*$B$5),(PI()*FH$12^2)/4*(FD67*$W67*1000)/($G67*$B$5)),
IF($D67="Pénétro.",
IF(OR($E67=4,$E67=1,$E67=5),(PI()*FH$12^2)/4*(FD67*$W67*1000)/($H67*$B$5),(PI()*FH$12^2)/4*(FD67*$W67*1000)/($G67*$B$5)))),
IF($D67="Pressio.",
IF($E67=3,(PI()*FH$12^2)/4*(FD67*$W67*1000)/($H67*$B$5),(PI()*FH$12^2)/4*(FD67*$W67*1000)/($G67*$B$5)),
IF($D67="Pénétro.",
IF($E67=4,(PI()*FH$12^2)/4*(FD67*$W67*1000)/($H67*$B$5),(PI()*FH$12^2)/4*(FD67*$W67*1000)/($G67*$B$5))))))/10</f>
        <v>#N/A</v>
      </c>
      <c r="FI67" s="102" t="e">
        <f>(VLOOKUP($B$3,'Coeff EC7'!$T$39:$X$59,2,0)*FG67+VLOOKUP($B$3,'Coeff EC7'!$T$65:$X$85,2,0)*Model0.1C!FH67)/1.1</f>
        <v>#N/A</v>
      </c>
      <c r="FJ67" s="102" t="e">
        <f>(VLOOKUP($B$3,'Coeff EC7'!$T$39:$X$59,3,0)*FG67+VLOOKUP($B$3,'Coeff EC7'!$T$65:$X$85,3,0)*Model0.1C!FH67)/0.9</f>
        <v>#N/A</v>
      </c>
      <c r="FK67" s="102" t="e">
        <f t="shared" si="98"/>
        <v>#N/A</v>
      </c>
      <c r="FL67" s="102" t="e">
        <f t="shared" si="99"/>
        <v>#N/A</v>
      </c>
      <c r="FM67" s="414" t="e">
        <f>IF(FM66=0,0,IF(AND(FI67&gt;charge_ELS_quasi,FJ67&gt;Charge_ELS_freq,FK67&gt;charge_ELU,FL67&gt;charge_ELA,$B67&gt;NDC!$H$22-0.1+MIN(3*$FM$12,1.5)),0,1))</f>
        <v>#N/A</v>
      </c>
    </row>
    <row r="68" spans="1:169">
      <c r="A68" s="96">
        <f t="shared" si="67"/>
        <v>94.500000000000313</v>
      </c>
      <c r="B68" s="97">
        <v>5.5</v>
      </c>
      <c r="C68" s="81">
        <f>IF(B68&lt;=Hypothèses!$C$7,Hypothèses!$A$7,IF(B68&lt;=Hypothèses!$C$8,Hypothèses!$A$8,IF(B68&lt;=Hypothèses!$C$9,Hypothèses!$A$9,IF(B68&lt;=Hypothèses!$C$10,Hypothèses!$A$10,IF(B68&lt;=Hypothèses!$C$11,Hypothèses!$A$11,IF(B68&lt;=Hypothèses!$C$12,Hypothèses!$A$12,IF(B68&lt;=Hypothèses!$C$13,Hypothèses!$A$13,IF(B68&lt;=Hypothèses!$C$14,Hypothèses!$A$14,IF(B68&lt;=Hypothèses!$C$15,Hypothèses!$A$15,IF(B68&lt;=Hypothèses!$C$16,Hypothèses!$A$16,IF(B68&lt;=Hypothèses!$C$17,Hypothèses!$A$17,IF(B68&lt;=Hypothèses!$C$18,Hypothèses!$A$18,C67))))))))))))</f>
        <v>11</v>
      </c>
      <c r="D68" s="82" t="str">
        <f>IF(B68&lt;=Hypothèses!$C$7,Hypothèses!$R$7,IF(B68&lt;=Hypothèses!$C$8,Hypothèses!$R$8,IF(B68&lt;=Hypothèses!$C$9,Hypothèses!$R$9,IF(B68&lt;=Hypothèses!$C$10,Hypothèses!$R$10,IF(B68&lt;=Hypothèses!$C$11,Hypothèses!$R$11,IF(B68&lt;=Hypothèses!$C$12,Hypothèses!$R$12,IF(B68&lt;=Hypothèses!$C$13,Hypothèses!$R$13,IF(B68&lt;=Hypothèses!$C$14,Hypothèses!$R$14,IF(B68&lt;=Hypothèses!$C$15,Hypothèses!$R$15,IF(B68&lt;=Hypothèses!$C$16,Hypothèses!$R$16,IF(B68&lt;=Hypothèses!$C$17,Hypothèses!$R$17,IF(B68&lt;=Hypothèses!$C$18,Hypothèses!$R$18,D67))))))))))))</f>
        <v>Pressio.</v>
      </c>
      <c r="E68" s="82" t="e">
        <f>IF(B68&lt;=Hypothèses!$C$7,Hypothèses!$G$7,IF(B68&lt;=Hypothèses!$C$8,Hypothèses!$G$8,IF(B68&lt;=Hypothèses!$C$9,Hypothèses!$G$9,IF(B68&lt;=Hypothèses!$C$10,Hypothèses!$G$10,IF(B68&lt;=Hypothèses!$C$11,Hypothèses!$G$11,IF(B68&lt;=Hypothèses!$C$12,Hypothèses!$G$12,IF(B68&lt;=Hypothèses!$C$13,Hypothèses!$G$13,IF(B68&lt;=Hypothèses!$C$14,Hypothèses!$G$14,IF(B68&lt;=Hypothèses!$C$15,Hypothèses!$G$15,IF(B68&lt;=Hypothèses!$C$16,Hypothèses!$G$16,IF(B68&lt;=Hypothèses!$C$17,Hypothèses!$G$17,IF(B68&lt;=Hypothèses!$C$18,Hypothèses!$G$18,E67))))))))))))</f>
        <v>#N/A</v>
      </c>
      <c r="F68" s="82" t="str">
        <f>IF(B68&lt;=Hypothèses!$C$7,Hypothèses!$F$7,IF(B68&lt;=Hypothèses!$C$8,Hypothèses!$F$8,IF(B68&lt;=Hypothèses!$C$9,Hypothèses!$F$9,IF(B68&lt;=Hypothèses!$C$10,Hypothèses!$F$10,IF(B68&lt;=Hypothèses!$C$11,Hypothèses!$F$11,IF(B68&lt;=Hypothèses!$C$12,Hypothèses!$F$12,IF(B68&lt;=Hypothèses!$C$13,Hypothèses!$F$13,IF(B68&lt;=Hypothèses!$C$14,Hypothèses!$F$14,IF(B68&lt;=Hypothèses!$C$15,Hypothèses!$F$15,IF(B68&lt;=Hypothèses!$C$16,Hypothèses!$F$16,IF(B68&lt;=Hypothèses!$C$17,Hypothèses!$F$17,IF(B68&lt;=Hypothèses!$C$18,Hypothèses!$F$18,F67))))))))))))</f>
        <v/>
      </c>
      <c r="G68" s="91">
        <f t="array" ref="G68">INDEX('Coeff EC7'!$U$7:$X$27,
MATCH(Model0.1C!$B$3,'Coeff EC7'!$T$7:$T$27,0),
MATCH(Model0.1C!$D68&amp;Model0.1C!$B$4,
'Coeff EC7'!$U$6:$X$6&amp;
'Coeff EC7'!$U$5:$X$5,0))</f>
        <v>1.1499999999999999</v>
      </c>
      <c r="H68" s="91">
        <f t="array" ref="H68">INDEX('Coeff EC7'!$Y$7:$AB$27,
MATCH(Model0.1C!$B$3,'Coeff EC7'!$T$7:$T$27,0),
MATCH(Model0.1C!$D68&amp;Model0.1C!$B$4,
'Coeff EC7'!$Y$6:$AB$6&amp;
'Coeff EC7'!$Y$5:$AB$5,0))</f>
        <v>1.4</v>
      </c>
      <c r="I68" s="83" t="e">
        <f>IF(B68&lt;=Hypothèses!$C$7,Hypothèses!$P$7,IF(B68&lt;=Hypothèses!$C$8,Hypothèses!$P$8,IF(B68&lt;=Hypothèses!$C$9,Hypothèses!$P$9,IF(B68&lt;=Hypothèses!$C$10,Hypothèses!$P$10,IF(B68&lt;=Hypothèses!$C$11,Hypothèses!$P$11,IF(B68&lt;=Hypothèses!$C$12,Hypothèses!$P$12,IF(B68&lt;=Hypothèses!$C$13,Hypothèses!$P$13,IF(B68&lt;=Hypothèses!$C$14,Hypothèses!$P$14,IF(B68&lt;=Hypothèses!$C$15,Hypothèses!$P$15,IF(B68&lt;=Hypothèses!$C$16,Hypothèses!$P$16,IF(B68&lt;=Hypothèses!$C$17,Hypothèses!$P$17,IF(B68&lt;=Hypothèses!$C$18,Hypothèses!$P$18,I67))))))))))))</f>
        <v>#N/A</v>
      </c>
      <c r="J68" s="91" t="e">
        <f t="array" ref="J68">INDEX('Coeff EC7'!$D$33:$Q$33,1,MATCH(D68&amp;E68,'Coeff EC7'!$D$31:$Q$31&amp;'Coeff EC7'!$D$32:$Q$32,0))</f>
        <v>#N/A</v>
      </c>
      <c r="K68" s="91" t="e">
        <f t="array" ref="K68">INDEX('Coeff EC7'!$D$34:$Q$34,1,MATCH(D68&amp;E68,'Coeff EC7'!$D$31:$Q$31&amp;'Coeff EC7'!$D$32:$Q$32,0))</f>
        <v>#N/A</v>
      </c>
      <c r="L68" s="91" t="e">
        <f t="array" ref="L68">INDEX('Coeff EC7'!$D$35:$Q$35,1,MATCH(D68&amp;E68,'Coeff EC7'!$D$31:$Q$31&amp;'Coeff EC7'!$D$32:$Q$32,0))</f>
        <v>#N/A</v>
      </c>
      <c r="M68" s="98" t="e">
        <f t="shared" si="8"/>
        <v>#N/A</v>
      </c>
      <c r="N68" s="99" t="e">
        <f t="array" ref="N68">INDEX('Coeff EC7'!$D$7:$Q$27,MATCH($B$3,'Coeff EC7'!$C$7:$C$27,0),MATCH(D68&amp;E68,'Coeff EC7'!$D$5:$Q$5&amp;'Coeff EC7'!$D$6:$Q$6,0))</f>
        <v>#N/A</v>
      </c>
      <c r="O68" s="99" t="e">
        <f t="array" ref="O68">INDEX('Coeff EC7'!$D$41:$Q$61,MATCH($B$3,'Coeff EC7'!$C$41:$C$61,0),MATCH(D68&amp;E68,'Coeff EC7'!$D$39:$Q$39&amp;'Coeff EC7'!$D$40:$Q$40,0))</f>
        <v>#N/A</v>
      </c>
      <c r="P68" s="30" t="e">
        <f t="shared" si="68"/>
        <v>#N/A</v>
      </c>
      <c r="Q68" s="100" t="e">
        <f t="shared" si="10"/>
        <v>#N/A</v>
      </c>
      <c r="R68" s="86" t="b">
        <f t="shared" si="11"/>
        <v>0</v>
      </c>
      <c r="S68" s="86">
        <f t="shared" si="9"/>
        <v>0.5</v>
      </c>
      <c r="T68" s="86">
        <f t="shared" si="12"/>
        <v>0.5</v>
      </c>
      <c r="U68" s="30" t="e">
        <f t="shared" ca="1" si="69"/>
        <v>#DIV/0!</v>
      </c>
      <c r="V68" s="85" t="str">
        <f>IF(B68&lt;=Hypothèses!$V$7,Hypothèses!$W$7,IF(B68&lt;=Hypothèses!$V$8,Hypothèses!$W$8,IF(B68&lt;=Hypothèses!$V$9,Hypothèses!$W$9,IF(B68&lt;=Hypothèses!$V$10,Hypothèses!$W$10,IF(B68&lt;=Hypothèses!$V$11,Hypothèses!$W$11,IF(B68&lt;=Hypothèses!$V$12,Hypothèses!$W$12,IF(B68&lt;=Hypothèses!$V$13,Hypothèses!$W$13,IF(B68&lt;=Hypothèses!$V$14,Hypothèses!$W$14,IF(B68&lt;=Hypothèses!$V$15,Hypothèses!$W$15,IF(B68&lt;=Hypothèses!$V$16,Hypothèses!$W$16,IF(B68&lt;=Hypothèses!$V$17,Hypothèses!$W$17,IF(B68&lt;=Hypothèses!$V$18,Hypothèses!$W$18,""))))))))))))</f>
        <v/>
      </c>
      <c r="W68" s="87" t="e">
        <f t="shared" ca="1" si="116"/>
        <v>#DIV/0!</v>
      </c>
      <c r="X68" s="88" t="str">
        <f>IF(B68&lt;=Hypothèses!$V$7,Hypothèses!$X$7,IF(B68&lt;=Hypothèses!$V$8,Hypothèses!$X$8,IF(B68&lt;=Hypothèses!$V$9,Hypothèses!$X$9,IF(B68&lt;=Hypothèses!$V$10,Hypothèses!$X$10,IF(B68&lt;=Hypothèses!$V$11,Hypothèses!$X$11,IF(B68&lt;=Hypothèses!$V$12,Hypothèses!$X$12,IF(B68&lt;=Hypothèses!$V$13,Hypothèses!$X$13,IF(B68&lt;=Hypothèses!$V$14,Hypothèses!$X$14,IF(B68&lt;=Hypothèses!$V$15,Hypothèses!$X$15,IF(B68&lt;=Hypothèses!$V$16,Hypothèses!$X$16,IF(B68&lt;=Hypothèses!$U$17,Hypothèses!$W$17,IF(B68&lt;=Hypothèses!$U$18,Hypothèses!$W$18,""))))))))))))</f>
        <v/>
      </c>
      <c r="Y68" s="95" t="e">
        <f t="shared" ca="1" si="13"/>
        <v>#DIV/0!</v>
      </c>
      <c r="Z68" s="101" t="e">
        <f t="shared" si="14"/>
        <v>#N/A</v>
      </c>
      <c r="AA68" s="91" t="e">
        <f t="shared" si="15"/>
        <v>#N/A</v>
      </c>
      <c r="AB68" s="30" t="e">
        <f t="shared" si="100"/>
        <v>#N/A</v>
      </c>
      <c r="AC68" s="30" t="e">
        <f t="shared" si="101"/>
        <v>#N/A</v>
      </c>
      <c r="AD68" s="31" t="e">
        <f>IF(OR(Hypothèses!$B$4=17,Hypothèses!$B$4=18,Hypothèses!$B$4=19,Hypothèses!$B$4=20),
IF($D68="Pressio.",
IF(OR($E68=3,$E68=1,$E68=4),AC68,AB68),
IF($D68="Pénétro.",
IF(OR($E68=3,$E68=1,$E68=4),AC68,AB68))),IF($D68="Pressio.",
IF($E68=3,AC68,AB68),
IF($D68="Pénétro.",
IF($E68=4,AC68,AB68))))</f>
        <v>#N/A</v>
      </c>
      <c r="AE68" s="31" t="e">
        <f>(IF(OR(Hypothèses!$B$4=17,Hypothèses!$B$4=18,Hypothèses!$B$4=19,Hypothèses!$B$4=20),
IF($D68="Pressio.",
IF(OR($E68=3,$E68=1,$E68=4),(PI()*AE$12^2)/4*(AA68*$W68*1000)/($H68*$B$5),(PI()*AE$12^2)/4*(AA68*$W68*1000)/($G68*$B$5)),
IF($D68="Pénétro.",
IF(OR($E68=4,$E68=1,$E68=5),(PI()*AE$12^2)/4*(AA68*$W68*1000)/($H68*$B$5),(PI()*AE$12^2)/4*(AA68*$W68*1000)/($G68*$B$5)))),
IF($D68="Pressio.",
IF($E68=3,(PI()*AE$12^2)/4*(AA68*$W68*1000)/($H68*$B$5),(PI()*AE$12^2)/4*(AA68*$W68*1000)/($G68*$B$5)),
IF($D68="Pénétro.",
IF($E68=4,(PI()*AE$12^2)/4*(AA68*$W68*1000)/($H68*$B$5),(PI()*AE$12^2)/4*(AA68*$W68*1000)/($G68*$B$5))))))/10</f>
        <v>#N/A</v>
      </c>
      <c r="AF68" s="102" t="e">
        <f>(VLOOKUP($B$3,'Coeff EC7'!$T$39:$X$59,2,0)*AD68+VLOOKUP($B$3,'Coeff EC7'!$T$65:$X$85,2,0)*Model0.1C!AE68)/1.1</f>
        <v>#N/A</v>
      </c>
      <c r="AG68" s="102" t="e">
        <f>(VLOOKUP($B$3,'Coeff EC7'!$T$39:$X$59,3,0)*AD68+VLOOKUP($B$3,'Coeff EC7'!$T$65:$X$85,3,0)*Model0.1C!AE68)/0.9</f>
        <v>#N/A</v>
      </c>
      <c r="AH68" s="102" t="e">
        <f t="shared" si="18"/>
        <v>#N/A</v>
      </c>
      <c r="AI68" s="102" t="e">
        <f t="shared" si="19"/>
        <v>#N/A</v>
      </c>
      <c r="AJ68" s="414" t="e">
        <f>IF(AJ67=0,0,IF(AND(AF68&gt;charge_ELS_quasi,AG68&gt;Charge_ELS_freq,AH68&gt;charge_ELU,AI68&gt;charge_ELA,$B68&gt;NDC!$H$22-0.1+MIN(3*$AJ$12,1.5)),0,1))</f>
        <v>#N/A</v>
      </c>
      <c r="AK68" s="86" t="b">
        <f t="shared" si="20"/>
        <v>0</v>
      </c>
      <c r="AL68" s="86">
        <f t="shared" si="70"/>
        <v>0.5</v>
      </c>
      <c r="AM68" s="86">
        <f t="shared" si="21"/>
        <v>0.5</v>
      </c>
      <c r="AN68" s="30" t="e">
        <f t="shared" ca="1" si="71"/>
        <v>#DIV/0!</v>
      </c>
      <c r="AO68" s="85" t="e">
        <f ca="1">IF(U68&lt;=Hypothèses!$V$7,Hypothèses!$W$7,IF(U68&lt;=Hypothèses!$V$8,Hypothèses!$W$8,IF(U68&lt;=Hypothèses!$V$9,Hypothèses!$W$9,IF(U68&lt;=Hypothèses!$V$10,Hypothèses!$W$10,IF(U68&lt;=Hypothèses!$V$11,Hypothèses!$W$11,IF(U68&lt;=Hypothèses!$V$12,Hypothèses!$W$12,IF(U68&lt;=Hypothèses!$V$13,Hypothèses!$W$13,IF(U68&lt;=Hypothèses!$V$14,Hypothèses!$W$14,IF(U68&lt;=Hypothèses!$V$15,Hypothèses!$W$15,IF(U68&lt;=Hypothèses!$V$16,Hypothèses!$W$16,IF(U68&lt;=Hypothèses!$V$17,Hypothèses!$W$17,IF(U68&lt;=Hypothèses!$V$18,Hypothèses!$W$18,""))))))))))))</f>
        <v>#DIV/0!</v>
      </c>
      <c r="AP68" s="87" t="e">
        <f t="shared" ca="1" si="117"/>
        <v>#DIV/0!</v>
      </c>
      <c r="AQ68" s="88" t="e">
        <f ca="1">IF(U68&lt;=Hypothèses!$V$7,Hypothèses!$X$7,IF(U68&lt;=Hypothèses!$V$8,Hypothèses!$X$8,IF(U68&lt;=Hypothèses!$V$9,Hypothèses!$X$9,IF(U68&lt;=Hypothèses!$V$10,Hypothèses!$X$10,IF(U68&lt;=Hypothèses!$V$11,Hypothèses!$X$11,IF(U68&lt;=Hypothèses!$V$12,Hypothèses!$X$12,IF(U68&lt;=Hypothèses!$V$13,Hypothèses!$X$13,IF(U68&lt;=Hypothèses!$V$14,Hypothèses!$X$14,IF(U68&lt;=Hypothèses!$V$15,Hypothèses!$X$15,IF(U68&lt;=Hypothèses!$V$16,Hypothèses!$X$16,IF(U68&lt;=Hypothèses!$U$17,Hypothèses!$W$17,IF(U68&lt;=Hypothèses!$U$18,Hypothèses!$W$18,""))))))))))))</f>
        <v>#DIV/0!</v>
      </c>
      <c r="AR68" s="95" t="e">
        <f t="shared" ca="1" si="72"/>
        <v>#DIV/0!</v>
      </c>
      <c r="AS68" s="101" t="e">
        <f t="shared" si="124"/>
        <v>#N/A</v>
      </c>
      <c r="AT68" s="91" t="e">
        <f t="shared" si="23"/>
        <v>#N/A</v>
      </c>
      <c r="AU68" s="30" t="e">
        <f t="shared" si="102"/>
        <v>#N/A</v>
      </c>
      <c r="AV68" s="30" t="e">
        <f t="shared" si="103"/>
        <v>#N/A</v>
      </c>
      <c r="AW68" s="31" t="e">
        <f>IF(OR(Hypothèses!$B$4=17,Hypothèses!$B$4=18,Hypothèses!$B$4=19,Hypothèses!$B$4=20),
IF($D68="Pressio.",
IF(OR($E68=3,$E68=1,$E68=4),AV68,AU68),
IF($D68="Pénétro.",
IF(OR($E68=3,$E68=1,$E68=4),AV68,AU68))),IF($D68="Pressio.",
IF($E68=3,AV68,AU68),
IF($D68="Pénétro.",
IF($E68=4,AV68,AU68))))</f>
        <v>#N/A</v>
      </c>
      <c r="AX68" s="31" t="e">
        <f>(IF(OR(Hypothèses!$B$4=17,Hypothèses!$B$4=18,Hypothèses!$B$4=19,Hypothèses!$B$4=20),
IF($D68="Pressio.",
IF(OR($E68=3,$E68=1,$E68=4),(PI()*AX$12^2)/4*(AT68*$W68*1000)/($H68*$B$5),(PI()*AX$12^2)/4*(AT68*$W68*1000)/($G68*$B$5)),
IF($D68="Pénétro.",
IF(OR($E68=4,$E68=1,$E68=5),(PI()*AX$12^2)/4*(AT68*$W68*1000)/($H68*$B$5),(PI()*AX$12^2)/4*(AT68*$W68*1000)/($G68*$B$5)))),
IF($D68="Pressio.",
IF($E68=3,(PI()*AX$12^2)/4*(AT68*$W68*1000)/($H68*$B$5),(PI()*AX$12^2)/4*(AT68*$W68*1000)/($G68*$B$5)),
IF($D68="Pénétro.",
IF($E68=4,(PI()*AX$12^2)/4*(AT68*$W68*1000)/($H68*$B$5),(PI()*AX$12^2)/4*(AT68*$W68*1000)/($G68*$B$5))))))/10</f>
        <v>#N/A</v>
      </c>
      <c r="AY68" s="102" t="e">
        <f>(VLOOKUP($B$3,'Coeff EC7'!$T$39:$X$59,2,0)*AW68+VLOOKUP($B$3,'Coeff EC7'!$T$65:$X$85,2,0)*Model0.1C!AX68)/1.1</f>
        <v>#N/A</v>
      </c>
      <c r="AZ68" s="102" t="e">
        <f>(VLOOKUP($B$3,'Coeff EC7'!$T$39:$X$59,3,0)*AW68+VLOOKUP($B$3,'Coeff EC7'!$T$65:$X$85,3,0)*Model0.1C!AX68)/0.9</f>
        <v>#N/A</v>
      </c>
      <c r="BA68" s="102" t="e">
        <f t="shared" si="73"/>
        <v>#N/A</v>
      </c>
      <c r="BB68" s="102" t="e">
        <f t="shared" si="74"/>
        <v>#N/A</v>
      </c>
      <c r="BC68" s="414" t="e">
        <f>IF(BC67=0,0,IF(AND(AY68&gt;charge_ELS_quasi,AZ68&gt;Charge_ELS_freq,BA68&gt;charge_ELU,BB68&gt;charge_ELA,$B68&gt;NDC!$H$22-0.1+MIN(3*$BC$12,1.5)),0,1))</f>
        <v>#N/A</v>
      </c>
      <c r="BD68" s="86" t="b">
        <f t="shared" si="26"/>
        <v>0</v>
      </c>
      <c r="BE68" s="86">
        <f t="shared" si="75"/>
        <v>0.5</v>
      </c>
      <c r="BF68" s="86">
        <f t="shared" si="27"/>
        <v>0.5</v>
      </c>
      <c r="BG68" s="30" t="e">
        <f t="shared" ca="1" si="76"/>
        <v>#DIV/0!</v>
      </c>
      <c r="BH68" s="85" t="e">
        <f ca="1">IF(AN68&lt;=Hypothèses!$V$7,Hypothèses!$W$7,IF(AN68&lt;=Hypothèses!$V$8,Hypothèses!$W$8,IF(AN68&lt;=Hypothèses!$V$9,Hypothèses!$W$9,IF(AN68&lt;=Hypothèses!$V$10,Hypothèses!$W$10,IF(AN68&lt;=Hypothèses!$V$11,Hypothèses!$W$11,IF(AN68&lt;=Hypothèses!$V$12,Hypothèses!$W$12,IF(AN68&lt;=Hypothèses!$V$13,Hypothèses!$W$13,IF(AN68&lt;=Hypothèses!$V$14,Hypothèses!$W$14,IF(AN68&lt;=Hypothèses!$V$15,Hypothèses!$W$15,IF(AN68&lt;=Hypothèses!$V$16,Hypothèses!$W$16,IF(AN68&lt;=Hypothèses!$V$17,Hypothèses!$W$17,IF(AN68&lt;=Hypothèses!$V$18,Hypothèses!$W$18,""))))))))))))</f>
        <v>#DIV/0!</v>
      </c>
      <c r="BI68" s="87" t="e">
        <f t="shared" ca="1" si="118"/>
        <v>#DIV/0!</v>
      </c>
      <c r="BJ68" s="88" t="e">
        <f ca="1">IF(AN68&lt;=Hypothèses!$V$7,Hypothèses!$X$7,IF(AN68&lt;=Hypothèses!$V$8,Hypothèses!$X$8,IF(AN68&lt;=Hypothèses!$V$9,Hypothèses!$X$9,IF(AN68&lt;=Hypothèses!$V$10,Hypothèses!$X$10,IF(AN68&lt;=Hypothèses!$V$11,Hypothèses!$X$11,IF(AN68&lt;=Hypothèses!$V$12,Hypothèses!$X$12,IF(AN68&lt;=Hypothèses!$V$13,Hypothèses!$X$13,IF(AN68&lt;=Hypothèses!$V$14,Hypothèses!$X$14,IF(AN68&lt;=Hypothèses!$V$15,Hypothèses!$X$15,IF(AN68&lt;=Hypothèses!$V$16,Hypothèses!$X$16,IF(AN68&lt;=Hypothèses!$U$17,Hypothèses!$W$17,IF(AN68&lt;=Hypothèses!$U$18,Hypothèses!$W$18,""))))))))))))</f>
        <v>#DIV/0!</v>
      </c>
      <c r="BK68" s="95" t="e">
        <f t="shared" ca="1" si="77"/>
        <v>#DIV/0!</v>
      </c>
      <c r="BL68" s="101" t="e">
        <f t="shared" si="125"/>
        <v>#N/A</v>
      </c>
      <c r="BM68" s="91" t="e">
        <f t="shared" si="29"/>
        <v>#N/A</v>
      </c>
      <c r="BN68" s="30" t="e">
        <f t="shared" si="104"/>
        <v>#N/A</v>
      </c>
      <c r="BO68" s="30" t="e">
        <f t="shared" si="105"/>
        <v>#N/A</v>
      </c>
      <c r="BP68" s="31" t="e">
        <f>IF(OR(Hypothèses!$B$4=17,Hypothèses!$B$4=18,Hypothèses!$B$4=19,Hypothèses!$B$4=20),
IF($D68="Pressio.",
IF(OR($E68=3,$E68=1,$E68=4),BO68,BN68),
IF($D68="Pénétro.",
IF(OR($E68=3,$E68=1,$E68=4),BO68,BN68))),IF($D68="Pressio.",
IF($E68=3,BO68,BN68),
IF($D68="Pénétro.",
IF($E68=4,BO68,BN68))))</f>
        <v>#N/A</v>
      </c>
      <c r="BQ68" s="31" t="e">
        <f>(IF(OR(Hypothèses!$B$4=17,Hypothèses!$B$4=18,Hypothèses!$B$4=19,Hypothèses!$B$4=20),
IF($D68="Pressio.",
IF(OR($E68=3,$E68=1,$E68=4),(PI()*BQ$12^2)/4*(BM68*$W68*1000)/($H68*$B$5),(PI()*BQ$12^2)/4*(BM68*$W68*1000)/($G68*$B$5)),
IF($D68="Pénétro.",
IF(OR($E68=4,$E68=1,$E68=5),(PI()*BQ$12^2)/4*(BM68*$W68*1000)/($H68*$B$5),(PI()*BQ$12^2)/4*(BM68*$W68*1000)/($G68*$B$5)))),
IF($D68="Pressio.",
IF($E68=3,(PI()*BQ$12^2)/4*(BM68*$W68*1000)/($H68*$B$5),(PI()*BQ$12^2)/4*(BM68*$W68*1000)/($G68*$B$5)),
IF($D68="Pénétro.",
IF($E68=4,(PI()*BQ$12^2)/4*(BM68*$W68*1000)/($H68*$B$5),(PI()*BQ$12^2)/4*(BM68*$W68*1000)/($G68*$B$5))))))/10</f>
        <v>#N/A</v>
      </c>
      <c r="BR68" s="102" t="e">
        <f>(VLOOKUP($B$3,'Coeff EC7'!$T$39:$X$59,2,0)*BP68+VLOOKUP($B$3,'Coeff EC7'!$T$65:$X$85,2,0)*Model0.1C!BQ68)/1.1</f>
        <v>#N/A</v>
      </c>
      <c r="BS68" s="102" t="e">
        <f>(VLOOKUP($B$3,'Coeff EC7'!$T$39:$X$59,3,0)*BP68+VLOOKUP($B$3,'Coeff EC7'!$T$65:$X$85,3,0)*Model0.1C!BQ68)/0.9</f>
        <v>#N/A</v>
      </c>
      <c r="BT68" s="102" t="e">
        <f t="shared" si="78"/>
        <v>#N/A</v>
      </c>
      <c r="BU68" s="102" t="e">
        <f t="shared" si="79"/>
        <v>#N/A</v>
      </c>
      <c r="BV68" s="414" t="e">
        <f>IF(BV67=0,0,IF(AND(BR68&gt;charge_ELS_quasi,BS68&gt;Charge_ELS_freq,BT68&gt;charge_ELU,BU68&gt;charge_ELA,$B68&gt;NDC!$H$22-0.1+MIN(3*$BV$12,1.5)),0,1))</f>
        <v>#N/A</v>
      </c>
      <c r="BW68" s="86" t="b">
        <f t="shared" si="32"/>
        <v>0</v>
      </c>
      <c r="BX68" s="86">
        <f t="shared" si="33"/>
        <v>0.5</v>
      </c>
      <c r="BY68" s="86">
        <f t="shared" si="34"/>
        <v>0.5</v>
      </c>
      <c r="BZ68" s="30" t="e">
        <f t="shared" ca="1" si="80"/>
        <v>#DIV/0!</v>
      </c>
      <c r="CA68" s="85" t="e">
        <f ca="1">IF(BG68&lt;=Hypothèses!$V$7,Hypothèses!$W$7,IF(BG68&lt;=Hypothèses!$V$8,Hypothèses!$W$8,IF(BG68&lt;=Hypothèses!$V$9,Hypothèses!$W$9,IF(BG68&lt;=Hypothèses!$V$10,Hypothèses!$W$10,IF(BG68&lt;=Hypothèses!$V$11,Hypothèses!$W$11,IF(BG68&lt;=Hypothèses!$V$12,Hypothèses!$W$12,IF(BG68&lt;=Hypothèses!$V$13,Hypothèses!$W$13,IF(BG68&lt;=Hypothèses!$V$14,Hypothèses!$W$14,IF(BG68&lt;=Hypothèses!$V$15,Hypothèses!$W$15,IF(BG68&lt;=Hypothèses!$V$16,Hypothèses!$W$16,IF(BG68&lt;=Hypothèses!$V$17,Hypothèses!$W$17,IF(BG68&lt;=Hypothèses!$V$18,Hypothèses!$W$18,""))))))))))))</f>
        <v>#DIV/0!</v>
      </c>
      <c r="CB68" s="87" t="e">
        <f t="shared" ca="1" si="119"/>
        <v>#DIV/0!</v>
      </c>
      <c r="CC68" s="88" t="e">
        <f ca="1">IF(BG68&lt;=Hypothèses!$V$7,Hypothèses!$X$7,IF(BG68&lt;=Hypothèses!$V$8,Hypothèses!$X$8,IF(BG68&lt;=Hypothèses!$V$9,Hypothèses!$X$9,IF(BG68&lt;=Hypothèses!$V$10,Hypothèses!$X$10,IF(BG68&lt;=Hypothèses!$V$11,Hypothèses!$X$11,IF(BG68&lt;=Hypothèses!$V$12,Hypothèses!$X$12,IF(BG68&lt;=Hypothèses!$V$13,Hypothèses!$X$13,IF(BG68&lt;=Hypothèses!$V$14,Hypothèses!$X$14,IF(BG68&lt;=Hypothèses!$V$15,Hypothèses!$X$15,IF(BG68&lt;=Hypothèses!$V$16,Hypothèses!$X$16,IF(BG68&lt;=Hypothèses!$U$17,Hypothèses!$W$17,IF(BG68&lt;=Hypothèses!$U$18,Hypothèses!$W$18,""))))))))))))</f>
        <v>#DIV/0!</v>
      </c>
      <c r="CD68" s="95" t="e">
        <f t="shared" ca="1" si="81"/>
        <v>#DIV/0!</v>
      </c>
      <c r="CE68" s="101" t="e">
        <f t="shared" si="126"/>
        <v>#N/A</v>
      </c>
      <c r="CF68" s="91" t="e">
        <f t="shared" si="36"/>
        <v>#N/A</v>
      </c>
      <c r="CG68" s="30" t="e">
        <f t="shared" si="106"/>
        <v>#N/A</v>
      </c>
      <c r="CH68" s="30" t="e">
        <f t="shared" si="107"/>
        <v>#N/A</v>
      </c>
      <c r="CI68" s="31" t="e">
        <f>IF(OR(Hypothèses!$B$4=17,Hypothèses!$B$4=18,Hypothèses!$B$4=19,Hypothèses!$B$4=20),
IF($D68="Pressio.",
IF(OR($E68=3,$E68=1,$E68=4),CH68,CG68),
IF($D68="Pénétro.",
IF(OR($E68=3,$E68=1,$E68=4),CH68,CG68))),IF($D68="Pressio.",
IF($E68=3,CH68,CG68),
IF($D68="Pénétro.",
IF($E68=4,CH68,CG68))))</f>
        <v>#N/A</v>
      </c>
      <c r="CJ68" s="31" t="e">
        <f>(IF(OR(Hypothèses!$B$4=17,Hypothèses!$B$4=18,Hypothèses!$B$4=19,Hypothèses!$B$4=20),
IF($D68="Pressio.",
IF(OR($E68=3,$E68=1,$E68=4),(PI()*CJ$12^2)/4*(CF68*$W68*1000)/($H68*$B$5),(PI()*CJ$12^2)/4*(CF68*$W68*1000)/($G68*$B$5)),
IF($D68="Pénétro.",
IF(OR($E68=4,$E68=1,$E68=5),(PI()*CJ$12^2)/4*(CF68*$W68*1000)/($H68*$B$5),(PI()*CJ$12^2)/4*(CF68*$W68*1000)/($G68*$B$5)))),
IF($D68="Pressio.",
IF($E68=3,(PI()*CJ$12^2)/4*(CF68*$W68*1000)/($H68*$B$5),(PI()*CJ$12^2)/4*(CF68*$W68*1000)/($G68*$B$5)),
IF($D68="Pénétro.",
IF($E68=4,(PI()*CJ$12^2)/4*(CF68*$W68*1000)/($H68*$B$5),(PI()*CJ$12^2)/4*(CF68*$W68*1000)/($G68*$B$5))))))/10</f>
        <v>#N/A</v>
      </c>
      <c r="CK68" s="102" t="e">
        <f>(VLOOKUP($B$3,'Coeff EC7'!$T$39:$X$59,2,0)*CI68+VLOOKUP($B$3,'Coeff EC7'!$T$65:$X$85,2,0)*Model0.1C!CJ68)/1.1</f>
        <v>#N/A</v>
      </c>
      <c r="CL68" s="102" t="e">
        <f>(VLOOKUP($B$3,'Coeff EC7'!$T$39:$X$59,3,0)*CI68+VLOOKUP($B$3,'Coeff EC7'!$T$65:$X$85,3,0)*Model0.1C!CJ68)/0.9</f>
        <v>#N/A</v>
      </c>
      <c r="CM68" s="102" t="e">
        <f t="shared" si="82"/>
        <v>#N/A</v>
      </c>
      <c r="CN68" s="102" t="e">
        <f t="shared" si="83"/>
        <v>#N/A</v>
      </c>
      <c r="CO68" s="414" t="e">
        <f>IF(CO67=0,0,IF(AND(CK68&gt;charge_ELS_quasi,CL68&gt;Charge_ELS_freq,CM68&gt;charge_ELU,CN68&gt;charge_ELA,$B68&gt;NDC!$H$22-0.1+MIN(3*$CO$12,1.5)),0,1))</f>
        <v>#N/A</v>
      </c>
      <c r="CP68" s="86" t="b">
        <f t="shared" si="39"/>
        <v>0</v>
      </c>
      <c r="CQ68" s="86">
        <f t="shared" si="40"/>
        <v>0.5</v>
      </c>
      <c r="CR68" s="86">
        <f t="shared" si="41"/>
        <v>0.5</v>
      </c>
      <c r="CS68" s="30" t="e">
        <f t="shared" ca="1" si="84"/>
        <v>#DIV/0!</v>
      </c>
      <c r="CT68" s="85" t="e">
        <f ca="1">IF(BZ68&lt;=Hypothèses!$V$7,Hypothèses!$W$7,IF(BZ68&lt;=Hypothèses!$V$8,Hypothèses!$W$8,IF(BZ68&lt;=Hypothèses!$V$9,Hypothèses!$W$9,IF(BZ68&lt;=Hypothèses!$V$10,Hypothèses!$W$10,IF(BZ68&lt;=Hypothèses!$V$11,Hypothèses!$W$11,IF(BZ68&lt;=Hypothèses!$V$12,Hypothèses!$W$12,IF(BZ68&lt;=Hypothèses!$V$13,Hypothèses!$W$13,IF(BZ68&lt;=Hypothèses!$V$14,Hypothèses!$W$14,IF(BZ68&lt;=Hypothèses!$V$15,Hypothèses!$W$15,IF(BZ68&lt;=Hypothèses!$V$16,Hypothèses!$W$16,IF(BZ68&lt;=Hypothèses!$V$17,Hypothèses!$W$17,IF(BZ68&lt;=Hypothèses!$V$18,Hypothèses!$W$18,""))))))))))))</f>
        <v>#DIV/0!</v>
      </c>
      <c r="CU68" s="87" t="e">
        <f t="shared" ca="1" si="120"/>
        <v>#DIV/0!</v>
      </c>
      <c r="CV68" s="88" t="e">
        <f ca="1">IF(BZ68&lt;=Hypothèses!$V$7,Hypothèses!$X$7,IF(BZ68&lt;=Hypothèses!$V$8,Hypothèses!$X$8,IF(BZ68&lt;=Hypothèses!$V$9,Hypothèses!$X$9,IF(BZ68&lt;=Hypothèses!$V$10,Hypothèses!$X$10,IF(BZ68&lt;=Hypothèses!$V$11,Hypothèses!$X$11,IF(BZ68&lt;=Hypothèses!$V$12,Hypothèses!$X$12,IF(BZ68&lt;=Hypothèses!$V$13,Hypothèses!$X$13,IF(BZ68&lt;=Hypothèses!$V$14,Hypothèses!$X$14,IF(BZ68&lt;=Hypothèses!$V$15,Hypothèses!$X$15,IF(BZ68&lt;=Hypothèses!$V$16,Hypothèses!$X$16,IF(BZ68&lt;=Hypothèses!$U$17,Hypothèses!$W$17,IF(BZ68&lt;=Hypothèses!$U$18,Hypothèses!$W$18,""))))))))))))</f>
        <v>#DIV/0!</v>
      </c>
      <c r="CW68" s="95" t="e">
        <f t="shared" ca="1" si="85"/>
        <v>#DIV/0!</v>
      </c>
      <c r="CX68" s="101" t="e">
        <f t="shared" si="127"/>
        <v>#N/A</v>
      </c>
      <c r="CY68" s="91" t="e">
        <f t="shared" si="43"/>
        <v>#N/A</v>
      </c>
      <c r="CZ68" s="30" t="e">
        <f t="shared" si="108"/>
        <v>#N/A</v>
      </c>
      <c r="DA68" s="30" t="e">
        <f t="shared" si="109"/>
        <v>#N/A</v>
      </c>
      <c r="DB68" s="31" t="e">
        <f>IF(OR(Hypothèses!$B$4=17,Hypothèses!$B$4=18,Hypothèses!$B$4=19,Hypothèses!$B$4=20),
IF($D68="Pressio.",
IF(OR($E68=3,$E68=1,$E68=4),DA68,CZ68),
IF($D68="Pénétro.",
IF(OR($E68=3,$E68=1,$E68=4),DA68,CZ68))),IF($D68="Pressio.",
IF($E68=3,DA68,CZ68),
IF($D68="Pénétro.",
IF($E68=4,DA68,CZ68))))</f>
        <v>#N/A</v>
      </c>
      <c r="DC68" s="31" t="e">
        <f>(IF(OR(Hypothèses!$B$4=17,Hypothèses!$B$4=18,Hypothèses!$B$4=19,Hypothèses!$B$4=20),
IF($D68="Pressio.",
IF(OR($E68=3,$E68=1,$E68=4),(PI()*DC$12^2)/4*(CY68*$W68*1000)/($H68*$B$5),(PI()*DC$12^2)/4*(CY68*$W68*1000)/($G68*$B$5)),
IF($D68="Pénétro.",
IF(OR($E68=4,$E68=1,$E68=5),(PI()*DC$12^2)/4*(CY68*$W68*1000)/($H68*$B$5),(PI()*DC$12^2)/4*(CY68*$W68*1000)/($G68*$B$5)))),
IF($D68="Pressio.",
IF($E68=3,(PI()*DC$12^2)/4*(CY68*$W68*1000)/($H68*$B$5),(PI()*DC$12^2)/4*(CY68*$W68*1000)/($G68*$B$5)),
IF($D68="Pénétro.",
IF($E68=4,(PI()*DC$12^2)/4*(CY68*$W68*1000)/($H68*$B$5),(PI()*DC$12^2)/4*(CY68*$W68*1000)/($G68*$B$5))))))/10</f>
        <v>#N/A</v>
      </c>
      <c r="DD68" s="102" t="e">
        <f>(VLOOKUP($B$3,'Coeff EC7'!$T$39:$X$59,2,0)*DB68+VLOOKUP($B$3,'Coeff EC7'!$T$65:$X$85,2,0)*Model0.1C!DC68)/1.1</f>
        <v>#N/A</v>
      </c>
      <c r="DE68" s="102" t="e">
        <f>(VLOOKUP($B$3,'Coeff EC7'!$T$39:$X$59,3,0)*DB68+VLOOKUP($B$3,'Coeff EC7'!$T$65:$X$85,3,0)*Model0.1C!DC68)/0.9</f>
        <v>#N/A</v>
      </c>
      <c r="DF68" s="102" t="e">
        <f t="shared" si="86"/>
        <v>#N/A</v>
      </c>
      <c r="DG68" s="102" t="e">
        <f t="shared" si="87"/>
        <v>#N/A</v>
      </c>
      <c r="DH68" s="414" t="e">
        <f>IF(DH67=0,0,IF(AND(DD68&gt;charge_ELS_quasi,DE68&gt;Charge_ELS_freq,DF68&gt;charge_ELU,DG68&gt;charge_ELA,$B68&gt;NDC!$H$22-0.1+MIN(3*$DH$12,1.5)),0,1))</f>
        <v>#N/A</v>
      </c>
      <c r="DI68" s="86" t="b">
        <f t="shared" si="46"/>
        <v>0</v>
      </c>
      <c r="DJ68" s="86">
        <f t="shared" si="47"/>
        <v>0.5</v>
      </c>
      <c r="DK68" s="86">
        <f t="shared" si="48"/>
        <v>0.5</v>
      </c>
      <c r="DL68" s="30" t="e">
        <f t="shared" ca="1" si="88"/>
        <v>#DIV/0!</v>
      </c>
      <c r="DM68" s="85" t="e">
        <f ca="1">IF(CS68&lt;=Hypothèses!$V$7,Hypothèses!$W$7,IF(CS68&lt;=Hypothèses!$V$8,Hypothèses!$W$8,IF(CS68&lt;=Hypothèses!$V$9,Hypothèses!$W$9,IF(CS68&lt;=Hypothèses!$V$10,Hypothèses!$W$10,IF(CS68&lt;=Hypothèses!$V$11,Hypothèses!$W$11,IF(CS68&lt;=Hypothèses!$V$12,Hypothèses!$W$12,IF(CS68&lt;=Hypothèses!$V$13,Hypothèses!$W$13,IF(CS68&lt;=Hypothèses!$V$14,Hypothèses!$W$14,IF(CS68&lt;=Hypothèses!$V$15,Hypothèses!$W$15,IF(CS68&lt;=Hypothèses!$V$16,Hypothèses!$W$16,IF(CS68&lt;=Hypothèses!$V$17,Hypothèses!$W$17,IF(CS68&lt;=Hypothèses!$V$18,Hypothèses!$W$18,""))))))))))))</f>
        <v>#DIV/0!</v>
      </c>
      <c r="DN68" s="87" t="e">
        <f t="shared" ca="1" si="121"/>
        <v>#DIV/0!</v>
      </c>
      <c r="DO68" s="88" t="e">
        <f ca="1">IF(CS68&lt;=Hypothèses!$V$7,Hypothèses!$X$7,IF(CS68&lt;=Hypothèses!$V$8,Hypothèses!$X$8,IF(CS68&lt;=Hypothèses!$V$9,Hypothèses!$X$9,IF(CS68&lt;=Hypothèses!$V$10,Hypothèses!$X$10,IF(CS68&lt;=Hypothèses!$V$11,Hypothèses!$X$11,IF(CS68&lt;=Hypothèses!$V$12,Hypothèses!$X$12,IF(CS68&lt;=Hypothèses!$V$13,Hypothèses!$X$13,IF(CS68&lt;=Hypothèses!$V$14,Hypothèses!$X$14,IF(CS68&lt;=Hypothèses!$V$15,Hypothèses!$X$15,IF(CS68&lt;=Hypothèses!$V$16,Hypothèses!$X$16,IF(CS68&lt;=Hypothèses!$U$17,Hypothèses!$W$17,IF(CS68&lt;=Hypothèses!$U$18,Hypothèses!$W$18,""))))))))))))</f>
        <v>#DIV/0!</v>
      </c>
      <c r="DP68" s="95" t="e">
        <f t="shared" ca="1" si="89"/>
        <v>#DIV/0!</v>
      </c>
      <c r="DQ68" s="101" t="e">
        <f t="shared" si="128"/>
        <v>#N/A</v>
      </c>
      <c r="DR68" s="91" t="e">
        <f t="shared" si="50"/>
        <v>#N/A</v>
      </c>
      <c r="DS68" s="30" t="e">
        <f t="shared" si="110"/>
        <v>#N/A</v>
      </c>
      <c r="DT68" s="30" t="e">
        <f t="shared" si="111"/>
        <v>#N/A</v>
      </c>
      <c r="DU68" s="31" t="e">
        <f>IF(OR(Hypothèses!$B$4=17,Hypothèses!$B$4=18,Hypothèses!$B$4=19,Hypothèses!$B$4=20),
IF($D68="Pressio.",
IF(OR($E68=3,$E68=1,$E68=4),DT68,DS68),
IF($D68="Pénétro.",
IF(OR($E68=3,$E68=1,$E68=4),DT68,DS68))),IF($D68="Pressio.",
IF($E68=3,DT68,DS68),
IF($D68="Pénétro.",
IF($E68=4,DT68,DS68))))</f>
        <v>#N/A</v>
      </c>
      <c r="DV68" s="31" t="e">
        <f>(IF(OR(Hypothèses!$B$4=17,Hypothèses!$B$4=18,Hypothèses!$B$4=19,Hypothèses!$B$4=20),
IF($D68="Pressio.",
IF(OR($E68=3,$E68=1,$E68=4),(PI()*DV$12^2)/4*(DR68*$W68*1000)/($H68*$B$5),(PI()*DV$12^2)/4*(DR68*$W68*1000)/($G68*$B$5)),
IF($D68="Pénétro.",
IF(OR($E68=4,$E68=1,$E68=5),(PI()*DV$12^2)/4*(DR68*$W68*1000)/($H68*$B$5),(PI()*DV$12^2)/4*(DR68*$W68*1000)/($G68*$B$5)))),
IF($D68="Pressio.",
IF($E68=3,(PI()*DV$12^2)/4*(DR68*$W68*1000)/($H68*$B$5),(PI()*DV$12^2)/4*(DR68*$W68*1000)/($G68*$B$5)),
IF($D68="Pénétro.",
IF($E68=4,(PI()*DV$12^2)/4*(DR68*$W68*1000)/($H68*$B$5),(PI()*DV$12^2)/4*(DR68*$W68*1000)/($G68*$B$5))))))/10</f>
        <v>#N/A</v>
      </c>
      <c r="DW68" s="102" t="e">
        <f>(VLOOKUP($B$3,'Coeff EC7'!$T$39:$X$59,2,0)*DU68+VLOOKUP($B$3,'Coeff EC7'!$T$65:$X$85,2,0)*Model0.1C!DV68)/1.1</f>
        <v>#N/A</v>
      </c>
      <c r="DX68" s="102" t="e">
        <f>(VLOOKUP($B$3,'Coeff EC7'!$T$39:$X$59,3,0)*DU68+VLOOKUP($B$3,'Coeff EC7'!$T$65:$X$85,3,0)*Model0.1C!DV68)/0.9</f>
        <v>#N/A</v>
      </c>
      <c r="DY68" s="102" t="e">
        <f t="shared" si="90"/>
        <v>#N/A</v>
      </c>
      <c r="DZ68" s="102" t="e">
        <f t="shared" si="91"/>
        <v>#N/A</v>
      </c>
      <c r="EA68" s="414" t="e">
        <f>IF(EA67=0,0,IF(AND(DW68&gt;charge_ELS_quasi,DX68&gt;Charge_ELS_freq,DY68&gt;charge_ELU,DZ68&gt;charge_ELA,$B68&gt;NDC!$H$22-0.1+MIN(3*$EA$12,1.5)),0,1))</f>
        <v>#N/A</v>
      </c>
      <c r="EB68" s="86" t="b">
        <f t="shared" si="53"/>
        <v>0</v>
      </c>
      <c r="EC68" s="418">
        <f t="shared" si="54"/>
        <v>0.51</v>
      </c>
      <c r="ED68" s="86">
        <f t="shared" si="55"/>
        <v>0.51</v>
      </c>
      <c r="EE68" s="30" t="e">
        <f t="shared" ca="1" si="92"/>
        <v>#DIV/0!</v>
      </c>
      <c r="EF68" s="85" t="e">
        <f ca="1">IF(DL68&lt;=Hypothèses!$V$7,Hypothèses!$W$7,IF(DL68&lt;=Hypothèses!$V$8,Hypothèses!$W$8,IF(DL68&lt;=Hypothèses!$V$9,Hypothèses!$W$9,IF(DL68&lt;=Hypothèses!$V$10,Hypothèses!$W$10,IF(DL68&lt;=Hypothèses!$V$11,Hypothèses!$W$11,IF(DL68&lt;=Hypothèses!$V$12,Hypothèses!$W$12,IF(DL68&lt;=Hypothèses!$V$13,Hypothèses!$W$13,IF(DL68&lt;=Hypothèses!$V$14,Hypothèses!$W$14,IF(DL68&lt;=Hypothèses!$V$15,Hypothèses!$W$15,IF(DL68&lt;=Hypothèses!$V$16,Hypothèses!$W$16,IF(DL68&lt;=Hypothèses!$V$17,Hypothèses!$W$17,IF(DL68&lt;=Hypothèses!$V$18,Hypothèses!$W$18,""))))))))))))</f>
        <v>#DIV/0!</v>
      </c>
      <c r="EG68" s="87" t="e">
        <f t="shared" ca="1" si="122"/>
        <v>#DIV/0!</v>
      </c>
      <c r="EH68" s="88" t="e">
        <f ca="1">IF(DL68&lt;=Hypothèses!$V$7,Hypothèses!$X$7,IF(DL68&lt;=Hypothèses!$V$8,Hypothèses!$X$8,IF(DL68&lt;=Hypothèses!$V$9,Hypothèses!$X$9,IF(DL68&lt;=Hypothèses!$V$10,Hypothèses!$X$10,IF(DL68&lt;=Hypothèses!$V$11,Hypothèses!$X$11,IF(DL68&lt;=Hypothèses!$V$12,Hypothèses!$X$12,IF(DL68&lt;=Hypothèses!$V$13,Hypothèses!$X$13,IF(DL68&lt;=Hypothèses!$V$14,Hypothèses!$X$14,IF(DL68&lt;=Hypothèses!$V$15,Hypothèses!$X$15,IF(DL68&lt;=Hypothèses!$V$16,Hypothèses!$X$16,IF(DL68&lt;=Hypothèses!$U$17,Hypothèses!$W$17,IF(DL68&lt;=Hypothèses!$U$18,Hypothèses!$W$18,""))))))))))))</f>
        <v>#DIV/0!</v>
      </c>
      <c r="EI68" s="95" t="e">
        <f t="shared" ca="1" si="93"/>
        <v>#DIV/0!</v>
      </c>
      <c r="EJ68" s="101" t="e">
        <f t="shared" si="129"/>
        <v>#N/A</v>
      </c>
      <c r="EK68" s="91" t="e">
        <f t="shared" si="57"/>
        <v>#N/A</v>
      </c>
      <c r="EL68" s="30" t="e">
        <f t="shared" si="112"/>
        <v>#N/A</v>
      </c>
      <c r="EM68" s="30" t="e">
        <f t="shared" si="113"/>
        <v>#N/A</v>
      </c>
      <c r="EN68" s="31" t="e">
        <f>IF(OR(Hypothèses!$B$4=17,Hypothèses!$B$4=18,Hypothèses!$B$4=19,Hypothèses!$B$4=20),
IF($D68="Pressio.",
IF(OR($E68=3,$E68=1,$E68=4),EM68,EL68),
IF($D68="Pénétro.",
IF(OR($E68=3,$E68=1,$E68=4),EM68,EL68))),IF($D68="Pressio.",
IF($E68=3,EM68,EL68),
IF($D68="Pénétro.",
IF($E68=4,EM68,EL68))))</f>
        <v>#N/A</v>
      </c>
      <c r="EO68" s="31" t="e">
        <f>(IF(OR(Hypothèses!$B$4=17,Hypothèses!$B$4=18,Hypothèses!$B$4=19,Hypothèses!$B$4=20),
IF($D68="Pressio.",
IF(OR($E68=3,$E68=1,$E68=4),(PI()*EO$12^2)/4*(EK68*$W68*1000)/($H68*$B$5),(PI()*EO$12^2)/4*(EK68*$W68*1000)/($G68*$B$5)),
IF($D68="Pénétro.",
IF(OR($E68=4,$E68=1,$E68=5),(PI()*EO$12^2)/4*(EK68*$W68*1000)/($H68*$B$5),(PI()*EO$12^2)/4*(EK68*$W68*1000)/($G68*$B$5)))),
IF($D68="Pressio.",
IF($E68=3,(PI()*EO$12^2)/4*(EK68*$W68*1000)/($H68*$B$5),(PI()*EO$12^2)/4*(EK68*$W68*1000)/($G68*$B$5)),
IF($D68="Pénétro.",
IF($E68=4,(PI()*EO$12^2)/4*(EK68*$W68*1000)/($H68*$B$5),(PI()*EO$12^2)/4*(EK68*$W68*1000)/($G68*$B$5))))))/10</f>
        <v>#N/A</v>
      </c>
      <c r="EP68" s="102" t="e">
        <f>(VLOOKUP($B$3,'Coeff EC7'!$T$39:$X$59,2,0)*EN68+VLOOKUP($B$3,'Coeff EC7'!$T$65:$X$85,2,0)*Model0.1C!EO68)/1.1</f>
        <v>#N/A</v>
      </c>
      <c r="EQ68" s="102" t="e">
        <f>(VLOOKUP($B$3,'Coeff EC7'!$T$39:$X$59,3,0)*EN68+VLOOKUP($B$3,'Coeff EC7'!$T$65:$X$85,3,0)*Model0.1C!EO68)/0.9</f>
        <v>#N/A</v>
      </c>
      <c r="ER68" s="102" t="e">
        <f t="shared" si="94"/>
        <v>#N/A</v>
      </c>
      <c r="ES68" s="102" t="e">
        <f t="shared" si="95"/>
        <v>#N/A</v>
      </c>
      <c r="ET68" s="414" t="e">
        <f>IF(ET67=0,0,IF(AND(EP68&gt;charge_ELS_quasi,EQ68&gt;Charge_ELS_freq,ER68&gt;charge_ELU,ES68&gt;charge_ELA,$B68&gt;NDC!$H$22-0.1+MIN(3*$ET$12,1.5)),0,1))</f>
        <v>#N/A</v>
      </c>
      <c r="EU68" s="86" t="b">
        <f t="shared" si="60"/>
        <v>0</v>
      </c>
      <c r="EV68" s="86">
        <f t="shared" si="61"/>
        <v>0.61</v>
      </c>
      <c r="EW68" s="86">
        <f t="shared" si="62"/>
        <v>0.61</v>
      </c>
      <c r="EX68" s="30" t="e">
        <f t="shared" ca="1" si="96"/>
        <v>#DIV/0!</v>
      </c>
      <c r="EY68" s="85" t="e">
        <f ca="1">IF(EE68&lt;=Hypothèses!$V$7,Hypothèses!$W$7,IF(EE68&lt;=Hypothèses!$V$8,Hypothèses!$W$8,IF(EE68&lt;=Hypothèses!$V$9,Hypothèses!$W$9,IF(EE68&lt;=Hypothèses!$V$10,Hypothèses!$W$10,IF(EE68&lt;=Hypothèses!$V$11,Hypothèses!$W$11,IF(EE68&lt;=Hypothèses!$V$12,Hypothèses!$W$12,IF(EE68&lt;=Hypothèses!$V$13,Hypothèses!$W$13,IF(EE68&lt;=Hypothèses!$V$14,Hypothèses!$W$14,IF(EE68&lt;=Hypothèses!$V$15,Hypothèses!$W$15,IF(EE68&lt;=Hypothèses!$V$16,Hypothèses!$W$16,IF(EE68&lt;=Hypothèses!$V$17,Hypothèses!$W$17,IF(EE68&lt;=Hypothèses!$V$18,Hypothèses!$W$18,""))))))))))))</f>
        <v>#DIV/0!</v>
      </c>
      <c r="EZ68" s="87" t="e">
        <f t="shared" ca="1" si="123"/>
        <v>#DIV/0!</v>
      </c>
      <c r="FA68" s="88" t="e">
        <f ca="1">IF(EE68&lt;=Hypothèses!$V$7,Hypothèses!$X$7,IF(EE68&lt;=Hypothèses!$V$8,Hypothèses!$X$8,IF(EE68&lt;=Hypothèses!$V$9,Hypothèses!$X$9,IF(EE68&lt;=Hypothèses!$V$10,Hypothèses!$X$10,IF(EE68&lt;=Hypothèses!$V$11,Hypothèses!$X$11,IF(EE68&lt;=Hypothèses!$V$12,Hypothèses!$X$12,IF(EE68&lt;=Hypothèses!$V$13,Hypothèses!$X$13,IF(EE68&lt;=Hypothèses!$V$14,Hypothèses!$X$14,IF(EE68&lt;=Hypothèses!$V$15,Hypothèses!$X$15,IF(EE68&lt;=Hypothèses!$V$16,Hypothèses!$X$16,IF(EE68&lt;=Hypothèses!$U$17,Hypothèses!$W$17,IF(EE68&lt;=Hypothèses!$U$18,Hypothèses!$W$18,""))))))))))))</f>
        <v>#DIV/0!</v>
      </c>
      <c r="FB68" s="95" t="e">
        <f t="shared" ca="1" si="97"/>
        <v>#DIV/0!</v>
      </c>
      <c r="FC68" s="101" t="e">
        <f t="shared" si="130"/>
        <v>#N/A</v>
      </c>
      <c r="FD68" s="91" t="e">
        <f t="shared" si="64"/>
        <v>#N/A</v>
      </c>
      <c r="FE68" s="30" t="e">
        <f t="shared" si="114"/>
        <v>#N/A</v>
      </c>
      <c r="FF68" s="30" t="e">
        <f t="shared" si="115"/>
        <v>#N/A</v>
      </c>
      <c r="FG68" s="31" t="e">
        <f>IF(OR(Hypothèses!$B$4=17,Hypothèses!$B$4=18,Hypothèses!$B$4=19,Hypothèses!$B$4=20),
IF($D68="Pressio.",
IF(OR($E68=3,$E68=1,$E68=4),FF68,FE68),
IF($D68="Pénétro.",
IF(OR($E68=3,$E68=1,$E68=4),FF68,FE68))),IF($D68="Pressio.",
IF($E68=3,FF68,FE68),
IF($D68="Pénétro.",
IF($E68=4,FF68,FE68))))</f>
        <v>#N/A</v>
      </c>
      <c r="FH68" s="31" t="e">
        <f>(IF(OR(Hypothèses!$B$4=17,Hypothèses!$B$4=18,Hypothèses!$B$4=19,Hypothèses!$B$4=20),
IF($D68="Pressio.",
IF(OR($E68=3,$E68=1,$E68=4),(PI()*FH$12^2)/4*(FD68*$W68*1000)/($H68*$B$5),(PI()*FH$12^2)/4*(FD68*$W68*1000)/($G68*$B$5)),
IF($D68="Pénétro.",
IF(OR($E68=4,$E68=1,$E68=5),(PI()*FH$12^2)/4*(FD68*$W68*1000)/($H68*$B$5),(PI()*FH$12^2)/4*(FD68*$W68*1000)/($G68*$B$5)))),
IF($D68="Pressio.",
IF($E68=3,(PI()*FH$12^2)/4*(FD68*$W68*1000)/($H68*$B$5),(PI()*FH$12^2)/4*(FD68*$W68*1000)/($G68*$B$5)),
IF($D68="Pénétro.",
IF($E68=4,(PI()*FH$12^2)/4*(FD68*$W68*1000)/($H68*$B$5),(PI()*FH$12^2)/4*(FD68*$W68*1000)/($G68*$B$5))))))/10</f>
        <v>#N/A</v>
      </c>
      <c r="FI68" s="102" t="e">
        <f>(VLOOKUP($B$3,'Coeff EC7'!$T$39:$X$59,2,0)*FG68+VLOOKUP($B$3,'Coeff EC7'!$T$65:$X$85,2,0)*Model0.1C!FH68)/1.1</f>
        <v>#N/A</v>
      </c>
      <c r="FJ68" s="102" t="e">
        <f>(VLOOKUP($B$3,'Coeff EC7'!$T$39:$X$59,3,0)*FG68+VLOOKUP($B$3,'Coeff EC7'!$T$65:$X$85,3,0)*Model0.1C!FH68)/0.9</f>
        <v>#N/A</v>
      </c>
      <c r="FK68" s="102" t="e">
        <f t="shared" si="98"/>
        <v>#N/A</v>
      </c>
      <c r="FL68" s="102" t="e">
        <f t="shared" si="99"/>
        <v>#N/A</v>
      </c>
      <c r="FM68" s="414" t="e">
        <f>IF(FM67=0,0,IF(AND(FI68&gt;charge_ELS_quasi,FJ68&gt;Charge_ELS_freq,FK68&gt;charge_ELU,FL68&gt;charge_ELA,$B68&gt;NDC!$H$22-0.1+MIN(3*$FM$12,1.5)),0,1))</f>
        <v>#N/A</v>
      </c>
    </row>
    <row r="69" spans="1:169">
      <c r="A69" s="96">
        <f t="shared" si="67"/>
        <v>94.400000000000318</v>
      </c>
      <c r="B69" s="97">
        <v>5.6</v>
      </c>
      <c r="C69" s="81">
        <f>IF(B69&lt;=Hypothèses!$C$7,Hypothèses!$A$7,IF(B69&lt;=Hypothèses!$C$8,Hypothèses!$A$8,IF(B69&lt;=Hypothèses!$C$9,Hypothèses!$A$9,IF(B69&lt;=Hypothèses!$C$10,Hypothèses!$A$10,IF(B69&lt;=Hypothèses!$C$11,Hypothèses!$A$11,IF(B69&lt;=Hypothèses!$C$12,Hypothèses!$A$12,IF(B69&lt;=Hypothèses!$C$13,Hypothèses!$A$13,IF(B69&lt;=Hypothèses!$C$14,Hypothèses!$A$14,IF(B69&lt;=Hypothèses!$C$15,Hypothèses!$A$15,IF(B69&lt;=Hypothèses!$C$16,Hypothèses!$A$16,IF(B69&lt;=Hypothèses!$C$17,Hypothèses!$A$17,IF(B69&lt;=Hypothèses!$C$18,Hypothèses!$A$18,C68))))))))))))</f>
        <v>11</v>
      </c>
      <c r="D69" s="82" t="str">
        <f>IF(B69&lt;=Hypothèses!$C$7,Hypothèses!$R$7,IF(B69&lt;=Hypothèses!$C$8,Hypothèses!$R$8,IF(B69&lt;=Hypothèses!$C$9,Hypothèses!$R$9,IF(B69&lt;=Hypothèses!$C$10,Hypothèses!$R$10,IF(B69&lt;=Hypothèses!$C$11,Hypothèses!$R$11,IF(B69&lt;=Hypothèses!$C$12,Hypothèses!$R$12,IF(B69&lt;=Hypothèses!$C$13,Hypothèses!$R$13,IF(B69&lt;=Hypothèses!$C$14,Hypothèses!$R$14,IF(B69&lt;=Hypothèses!$C$15,Hypothèses!$R$15,IF(B69&lt;=Hypothèses!$C$16,Hypothèses!$R$16,IF(B69&lt;=Hypothèses!$C$17,Hypothèses!$R$17,IF(B69&lt;=Hypothèses!$C$18,Hypothèses!$R$18,D68))))))))))))</f>
        <v>Pressio.</v>
      </c>
      <c r="E69" s="82" t="e">
        <f>IF(B69&lt;=Hypothèses!$C$7,Hypothèses!$G$7,IF(B69&lt;=Hypothèses!$C$8,Hypothèses!$G$8,IF(B69&lt;=Hypothèses!$C$9,Hypothèses!$G$9,IF(B69&lt;=Hypothèses!$C$10,Hypothèses!$G$10,IF(B69&lt;=Hypothèses!$C$11,Hypothèses!$G$11,IF(B69&lt;=Hypothèses!$C$12,Hypothèses!$G$12,IF(B69&lt;=Hypothèses!$C$13,Hypothèses!$G$13,IF(B69&lt;=Hypothèses!$C$14,Hypothèses!$G$14,IF(B69&lt;=Hypothèses!$C$15,Hypothèses!$G$15,IF(B69&lt;=Hypothèses!$C$16,Hypothèses!$G$16,IF(B69&lt;=Hypothèses!$C$17,Hypothèses!$G$17,IF(B69&lt;=Hypothèses!$C$18,Hypothèses!$G$18,E68))))))))))))</f>
        <v>#N/A</v>
      </c>
      <c r="F69" s="82" t="str">
        <f>IF(B69&lt;=Hypothèses!$C$7,Hypothèses!$F$7,IF(B69&lt;=Hypothèses!$C$8,Hypothèses!$F$8,IF(B69&lt;=Hypothèses!$C$9,Hypothèses!$F$9,IF(B69&lt;=Hypothèses!$C$10,Hypothèses!$F$10,IF(B69&lt;=Hypothèses!$C$11,Hypothèses!$F$11,IF(B69&lt;=Hypothèses!$C$12,Hypothèses!$F$12,IF(B69&lt;=Hypothèses!$C$13,Hypothèses!$F$13,IF(B69&lt;=Hypothèses!$C$14,Hypothèses!$F$14,IF(B69&lt;=Hypothèses!$C$15,Hypothèses!$F$15,IF(B69&lt;=Hypothèses!$C$16,Hypothèses!$F$16,IF(B69&lt;=Hypothèses!$C$17,Hypothèses!$F$17,IF(B69&lt;=Hypothèses!$C$18,Hypothèses!$F$18,F68))))))))))))</f>
        <v/>
      </c>
      <c r="G69" s="91">
        <f t="array" ref="G69">INDEX('Coeff EC7'!$U$7:$X$27,
MATCH(Model0.1C!$B$3,'Coeff EC7'!$T$7:$T$27,0),
MATCH(Model0.1C!$D69&amp;Model0.1C!$B$4,
'Coeff EC7'!$U$6:$X$6&amp;
'Coeff EC7'!$U$5:$X$5,0))</f>
        <v>1.1499999999999999</v>
      </c>
      <c r="H69" s="91">
        <f t="array" ref="H69">INDEX('Coeff EC7'!$Y$7:$AB$27,
MATCH(Model0.1C!$B$3,'Coeff EC7'!$T$7:$T$27,0),
MATCH(Model0.1C!$D69&amp;Model0.1C!$B$4,
'Coeff EC7'!$Y$6:$AB$6&amp;
'Coeff EC7'!$Y$5:$AB$5,0))</f>
        <v>1.4</v>
      </c>
      <c r="I69" s="83" t="e">
        <f>IF(B69&lt;=Hypothèses!$C$7,Hypothèses!$P$7,IF(B69&lt;=Hypothèses!$C$8,Hypothèses!$P$8,IF(B69&lt;=Hypothèses!$C$9,Hypothèses!$P$9,IF(B69&lt;=Hypothèses!$C$10,Hypothèses!$P$10,IF(B69&lt;=Hypothèses!$C$11,Hypothèses!$P$11,IF(B69&lt;=Hypothèses!$C$12,Hypothèses!$P$12,IF(B69&lt;=Hypothèses!$C$13,Hypothèses!$P$13,IF(B69&lt;=Hypothèses!$C$14,Hypothèses!$P$14,IF(B69&lt;=Hypothèses!$C$15,Hypothèses!$P$15,IF(B69&lt;=Hypothèses!$C$16,Hypothèses!$P$16,IF(B69&lt;=Hypothèses!$C$17,Hypothèses!$P$17,IF(B69&lt;=Hypothèses!$C$18,Hypothèses!$P$18,I68))))))))))))</f>
        <v>#N/A</v>
      </c>
      <c r="J69" s="91" t="e">
        <f t="array" ref="J69">INDEX('Coeff EC7'!$D$33:$Q$33,1,MATCH(D69&amp;E69,'Coeff EC7'!$D$31:$Q$31&amp;'Coeff EC7'!$D$32:$Q$32,0))</f>
        <v>#N/A</v>
      </c>
      <c r="K69" s="91" t="e">
        <f t="array" ref="K69">INDEX('Coeff EC7'!$D$34:$Q$34,1,MATCH(D69&amp;E69,'Coeff EC7'!$D$31:$Q$31&amp;'Coeff EC7'!$D$32:$Q$32,0))</f>
        <v>#N/A</v>
      </c>
      <c r="L69" s="91" t="e">
        <f t="array" ref="L69">INDEX('Coeff EC7'!$D$35:$Q$35,1,MATCH(D69&amp;E69,'Coeff EC7'!$D$31:$Q$31&amp;'Coeff EC7'!$D$32:$Q$32,0))</f>
        <v>#N/A</v>
      </c>
      <c r="M69" s="98" t="e">
        <f t="shared" si="8"/>
        <v>#N/A</v>
      </c>
      <c r="N69" s="99" t="e">
        <f t="array" ref="N69">INDEX('Coeff EC7'!$D$7:$Q$27,MATCH($B$3,'Coeff EC7'!$C$7:$C$27,0),MATCH(D69&amp;E69,'Coeff EC7'!$D$5:$Q$5&amp;'Coeff EC7'!$D$6:$Q$6,0))</f>
        <v>#N/A</v>
      </c>
      <c r="O69" s="99" t="e">
        <f t="array" ref="O69">INDEX('Coeff EC7'!$D$41:$Q$61,MATCH($B$3,'Coeff EC7'!$C$41:$C$61,0),MATCH(D69&amp;E69,'Coeff EC7'!$D$39:$Q$39&amp;'Coeff EC7'!$D$40:$Q$40,0))</f>
        <v>#N/A</v>
      </c>
      <c r="P69" s="30" t="e">
        <f t="shared" si="68"/>
        <v>#N/A</v>
      </c>
      <c r="Q69" s="100" t="e">
        <f t="shared" si="10"/>
        <v>#N/A</v>
      </c>
      <c r="R69" s="86" t="b">
        <f t="shared" si="11"/>
        <v>0</v>
      </c>
      <c r="S69" s="86">
        <f t="shared" si="9"/>
        <v>0.5</v>
      </c>
      <c r="T69" s="86">
        <f t="shared" si="12"/>
        <v>0.5</v>
      </c>
      <c r="U69" s="30" t="e">
        <f t="shared" ca="1" si="69"/>
        <v>#DIV/0!</v>
      </c>
      <c r="V69" s="85" t="str">
        <f>IF(B69&lt;=Hypothèses!$V$7,Hypothèses!$W$7,IF(B69&lt;=Hypothèses!$V$8,Hypothèses!$W$8,IF(B69&lt;=Hypothèses!$V$9,Hypothèses!$W$9,IF(B69&lt;=Hypothèses!$V$10,Hypothèses!$W$10,IF(B69&lt;=Hypothèses!$V$11,Hypothèses!$W$11,IF(B69&lt;=Hypothèses!$V$12,Hypothèses!$W$12,IF(B69&lt;=Hypothèses!$V$13,Hypothèses!$W$13,IF(B69&lt;=Hypothèses!$V$14,Hypothèses!$W$14,IF(B69&lt;=Hypothèses!$V$15,Hypothèses!$W$15,IF(B69&lt;=Hypothèses!$V$16,Hypothèses!$W$16,IF(B69&lt;=Hypothèses!$V$17,Hypothèses!$W$17,IF(B69&lt;=Hypothèses!$V$18,Hypothèses!$W$18,""))))))))))))</f>
        <v/>
      </c>
      <c r="W69" s="87" t="e">
        <f t="shared" ca="1" si="116"/>
        <v>#DIV/0!</v>
      </c>
      <c r="X69" s="88" t="str">
        <f>IF(B69&lt;=Hypothèses!$V$7,Hypothèses!$X$7,IF(B69&lt;=Hypothèses!$V$8,Hypothèses!$X$8,IF(B69&lt;=Hypothèses!$V$9,Hypothèses!$X$9,IF(B69&lt;=Hypothèses!$V$10,Hypothèses!$X$10,IF(B69&lt;=Hypothèses!$V$11,Hypothèses!$X$11,IF(B69&lt;=Hypothèses!$V$12,Hypothèses!$X$12,IF(B69&lt;=Hypothèses!$V$13,Hypothèses!$X$13,IF(B69&lt;=Hypothèses!$V$14,Hypothèses!$X$14,IF(B69&lt;=Hypothèses!$V$15,Hypothèses!$X$15,IF(B69&lt;=Hypothèses!$V$16,Hypothèses!$X$16,IF(B69&lt;=Hypothèses!$U$17,Hypothèses!$W$17,IF(B69&lt;=Hypothèses!$U$18,Hypothèses!$W$18,""))))))))))))</f>
        <v/>
      </c>
      <c r="Y69" s="95" t="e">
        <f t="shared" ca="1" si="13"/>
        <v>#DIV/0!</v>
      </c>
      <c r="Z69" s="101" t="e">
        <f t="shared" si="14"/>
        <v>#N/A</v>
      </c>
      <c r="AA69" s="91" t="e">
        <f t="shared" si="15"/>
        <v>#N/A</v>
      </c>
      <c r="AB69" s="30" t="e">
        <f t="shared" si="100"/>
        <v>#N/A</v>
      </c>
      <c r="AC69" s="30" t="e">
        <f t="shared" si="101"/>
        <v>#N/A</v>
      </c>
      <c r="AD69" s="31" t="e">
        <f>IF(OR(Hypothèses!$B$4=17,Hypothèses!$B$4=18,Hypothèses!$B$4=19,Hypothèses!$B$4=20),
IF($D69="Pressio.",
IF(OR($E69=3,$E69=1,$E69=4),AC69,AB69),
IF($D69="Pénétro.",
IF(OR($E69=3,$E69=1,$E69=4),AC69,AB69))),IF($D69="Pressio.",
IF($E69=3,AC69,AB69),
IF($D69="Pénétro.",
IF($E69=4,AC69,AB69))))</f>
        <v>#N/A</v>
      </c>
      <c r="AE69" s="31" t="e">
        <f>(IF(OR(Hypothèses!$B$4=17,Hypothèses!$B$4=18,Hypothèses!$B$4=19,Hypothèses!$B$4=20),
IF($D69="Pressio.",
IF(OR($E69=3,$E69=1,$E69=4),(PI()*AE$12^2)/4*(AA69*$W69*1000)/($H69*$B$5),(PI()*AE$12^2)/4*(AA69*$W69*1000)/($G69*$B$5)),
IF($D69="Pénétro.",
IF(OR($E69=4,$E69=1,$E69=5),(PI()*AE$12^2)/4*(AA69*$W69*1000)/($H69*$B$5),(PI()*AE$12^2)/4*(AA69*$W69*1000)/($G69*$B$5)))),
IF($D69="Pressio.",
IF($E69=3,(PI()*AE$12^2)/4*(AA69*$W69*1000)/($H69*$B$5),(PI()*AE$12^2)/4*(AA69*$W69*1000)/($G69*$B$5)),
IF($D69="Pénétro.",
IF($E69=4,(PI()*AE$12^2)/4*(AA69*$W69*1000)/($H69*$B$5),(PI()*AE$12^2)/4*(AA69*$W69*1000)/($G69*$B$5))))))/10</f>
        <v>#N/A</v>
      </c>
      <c r="AF69" s="102" t="e">
        <f>(VLOOKUP($B$3,'Coeff EC7'!$T$39:$X$59,2,0)*AD69+VLOOKUP($B$3,'Coeff EC7'!$T$65:$X$85,2,0)*Model0.1C!AE69)/1.1</f>
        <v>#N/A</v>
      </c>
      <c r="AG69" s="102" t="e">
        <f>(VLOOKUP($B$3,'Coeff EC7'!$T$39:$X$59,3,0)*AD69+VLOOKUP($B$3,'Coeff EC7'!$T$65:$X$85,3,0)*Model0.1C!AE69)/0.9</f>
        <v>#N/A</v>
      </c>
      <c r="AH69" s="102" t="e">
        <f t="shared" si="18"/>
        <v>#N/A</v>
      </c>
      <c r="AI69" s="102" t="e">
        <f t="shared" si="19"/>
        <v>#N/A</v>
      </c>
      <c r="AJ69" s="414" t="e">
        <f>IF(AJ68=0,0,IF(AND(AF69&gt;charge_ELS_quasi,AG69&gt;Charge_ELS_freq,AH69&gt;charge_ELU,AI69&gt;charge_ELA,$B69&gt;NDC!$H$22-0.1+MIN(3*$AJ$12,1.5)),0,1))</f>
        <v>#N/A</v>
      </c>
      <c r="AK69" s="86" t="b">
        <f t="shared" si="20"/>
        <v>0</v>
      </c>
      <c r="AL69" s="86">
        <f t="shared" si="70"/>
        <v>0.5</v>
      </c>
      <c r="AM69" s="86">
        <f t="shared" si="21"/>
        <v>0.5</v>
      </c>
      <c r="AN69" s="30" t="e">
        <f t="shared" ca="1" si="71"/>
        <v>#DIV/0!</v>
      </c>
      <c r="AO69" s="85" t="e">
        <f ca="1">IF(U69&lt;=Hypothèses!$V$7,Hypothèses!$W$7,IF(U69&lt;=Hypothèses!$V$8,Hypothèses!$W$8,IF(U69&lt;=Hypothèses!$V$9,Hypothèses!$W$9,IF(U69&lt;=Hypothèses!$V$10,Hypothèses!$W$10,IF(U69&lt;=Hypothèses!$V$11,Hypothèses!$W$11,IF(U69&lt;=Hypothèses!$V$12,Hypothèses!$W$12,IF(U69&lt;=Hypothèses!$V$13,Hypothèses!$W$13,IF(U69&lt;=Hypothèses!$V$14,Hypothèses!$W$14,IF(U69&lt;=Hypothèses!$V$15,Hypothèses!$W$15,IF(U69&lt;=Hypothèses!$V$16,Hypothèses!$W$16,IF(U69&lt;=Hypothèses!$V$17,Hypothèses!$W$17,IF(U69&lt;=Hypothèses!$V$18,Hypothèses!$W$18,""))))))))))))</f>
        <v>#DIV/0!</v>
      </c>
      <c r="AP69" s="87" t="e">
        <f t="shared" ca="1" si="117"/>
        <v>#DIV/0!</v>
      </c>
      <c r="AQ69" s="88" t="e">
        <f ca="1">IF(U69&lt;=Hypothèses!$V$7,Hypothèses!$X$7,IF(U69&lt;=Hypothèses!$V$8,Hypothèses!$X$8,IF(U69&lt;=Hypothèses!$V$9,Hypothèses!$X$9,IF(U69&lt;=Hypothèses!$V$10,Hypothèses!$X$10,IF(U69&lt;=Hypothèses!$V$11,Hypothèses!$X$11,IF(U69&lt;=Hypothèses!$V$12,Hypothèses!$X$12,IF(U69&lt;=Hypothèses!$V$13,Hypothèses!$X$13,IF(U69&lt;=Hypothèses!$V$14,Hypothèses!$X$14,IF(U69&lt;=Hypothèses!$V$15,Hypothèses!$X$15,IF(U69&lt;=Hypothèses!$V$16,Hypothèses!$X$16,IF(U69&lt;=Hypothèses!$U$17,Hypothèses!$W$17,IF(U69&lt;=Hypothèses!$U$18,Hypothèses!$W$18,""))))))))))))</f>
        <v>#DIV/0!</v>
      </c>
      <c r="AR69" s="95" t="e">
        <f t="shared" ca="1" si="72"/>
        <v>#DIV/0!</v>
      </c>
      <c r="AS69" s="101" t="e">
        <f t="shared" si="124"/>
        <v>#N/A</v>
      </c>
      <c r="AT69" s="91" t="e">
        <f t="shared" si="23"/>
        <v>#N/A</v>
      </c>
      <c r="AU69" s="30" t="e">
        <f t="shared" si="102"/>
        <v>#N/A</v>
      </c>
      <c r="AV69" s="30" t="e">
        <f t="shared" si="103"/>
        <v>#N/A</v>
      </c>
      <c r="AW69" s="31" t="e">
        <f>IF(OR(Hypothèses!$B$4=17,Hypothèses!$B$4=18,Hypothèses!$B$4=19,Hypothèses!$B$4=20),
IF($D69="Pressio.",
IF(OR($E69=3,$E69=1,$E69=4),AV69,AU69),
IF($D69="Pénétro.",
IF(OR($E69=3,$E69=1,$E69=4),AV69,AU69))),IF($D69="Pressio.",
IF($E69=3,AV69,AU69),
IF($D69="Pénétro.",
IF($E69=4,AV69,AU69))))</f>
        <v>#N/A</v>
      </c>
      <c r="AX69" s="31" t="e">
        <f>(IF(OR(Hypothèses!$B$4=17,Hypothèses!$B$4=18,Hypothèses!$B$4=19,Hypothèses!$B$4=20),
IF($D69="Pressio.",
IF(OR($E69=3,$E69=1,$E69=4),(PI()*AX$12^2)/4*(AT69*$W69*1000)/($H69*$B$5),(PI()*AX$12^2)/4*(AT69*$W69*1000)/($G69*$B$5)),
IF($D69="Pénétro.",
IF(OR($E69=4,$E69=1,$E69=5),(PI()*AX$12^2)/4*(AT69*$W69*1000)/($H69*$B$5),(PI()*AX$12^2)/4*(AT69*$W69*1000)/($G69*$B$5)))),
IF($D69="Pressio.",
IF($E69=3,(PI()*AX$12^2)/4*(AT69*$W69*1000)/($H69*$B$5),(PI()*AX$12^2)/4*(AT69*$W69*1000)/($G69*$B$5)),
IF($D69="Pénétro.",
IF($E69=4,(PI()*AX$12^2)/4*(AT69*$W69*1000)/($H69*$B$5),(PI()*AX$12^2)/4*(AT69*$W69*1000)/($G69*$B$5))))))/10</f>
        <v>#N/A</v>
      </c>
      <c r="AY69" s="102" t="e">
        <f>(VLOOKUP($B$3,'Coeff EC7'!$T$39:$X$59,2,0)*AW69+VLOOKUP($B$3,'Coeff EC7'!$T$65:$X$85,2,0)*Model0.1C!AX69)/1.1</f>
        <v>#N/A</v>
      </c>
      <c r="AZ69" s="102" t="e">
        <f>(VLOOKUP($B$3,'Coeff EC7'!$T$39:$X$59,3,0)*AW69+VLOOKUP($B$3,'Coeff EC7'!$T$65:$X$85,3,0)*Model0.1C!AX69)/0.9</f>
        <v>#N/A</v>
      </c>
      <c r="BA69" s="102" t="e">
        <f t="shared" si="73"/>
        <v>#N/A</v>
      </c>
      <c r="BB69" s="102" t="e">
        <f t="shared" si="74"/>
        <v>#N/A</v>
      </c>
      <c r="BC69" s="414" t="e">
        <f>IF(BC68=0,0,IF(AND(AY69&gt;charge_ELS_quasi,AZ69&gt;Charge_ELS_freq,BA69&gt;charge_ELU,BB69&gt;charge_ELA,$B69&gt;NDC!$H$22-0.1+MIN(3*$BC$12,1.5)),0,1))</f>
        <v>#N/A</v>
      </c>
      <c r="BD69" s="86" t="b">
        <f t="shared" si="26"/>
        <v>0</v>
      </c>
      <c r="BE69" s="86">
        <f t="shared" si="75"/>
        <v>0.5</v>
      </c>
      <c r="BF69" s="86">
        <f t="shared" si="27"/>
        <v>0.5</v>
      </c>
      <c r="BG69" s="30" t="e">
        <f t="shared" ca="1" si="76"/>
        <v>#DIV/0!</v>
      </c>
      <c r="BH69" s="85" t="e">
        <f ca="1">IF(AN69&lt;=Hypothèses!$V$7,Hypothèses!$W$7,IF(AN69&lt;=Hypothèses!$V$8,Hypothèses!$W$8,IF(AN69&lt;=Hypothèses!$V$9,Hypothèses!$W$9,IF(AN69&lt;=Hypothèses!$V$10,Hypothèses!$W$10,IF(AN69&lt;=Hypothèses!$V$11,Hypothèses!$W$11,IF(AN69&lt;=Hypothèses!$V$12,Hypothèses!$W$12,IF(AN69&lt;=Hypothèses!$V$13,Hypothèses!$W$13,IF(AN69&lt;=Hypothèses!$V$14,Hypothèses!$W$14,IF(AN69&lt;=Hypothèses!$V$15,Hypothèses!$W$15,IF(AN69&lt;=Hypothèses!$V$16,Hypothèses!$W$16,IF(AN69&lt;=Hypothèses!$V$17,Hypothèses!$W$17,IF(AN69&lt;=Hypothèses!$V$18,Hypothèses!$W$18,""))))))))))))</f>
        <v>#DIV/0!</v>
      </c>
      <c r="BI69" s="87" t="e">
        <f t="shared" ca="1" si="118"/>
        <v>#DIV/0!</v>
      </c>
      <c r="BJ69" s="88" t="e">
        <f ca="1">IF(AN69&lt;=Hypothèses!$V$7,Hypothèses!$X$7,IF(AN69&lt;=Hypothèses!$V$8,Hypothèses!$X$8,IF(AN69&lt;=Hypothèses!$V$9,Hypothèses!$X$9,IF(AN69&lt;=Hypothèses!$V$10,Hypothèses!$X$10,IF(AN69&lt;=Hypothèses!$V$11,Hypothèses!$X$11,IF(AN69&lt;=Hypothèses!$V$12,Hypothèses!$X$12,IF(AN69&lt;=Hypothèses!$V$13,Hypothèses!$X$13,IF(AN69&lt;=Hypothèses!$V$14,Hypothèses!$X$14,IF(AN69&lt;=Hypothèses!$V$15,Hypothèses!$X$15,IF(AN69&lt;=Hypothèses!$V$16,Hypothèses!$X$16,IF(AN69&lt;=Hypothèses!$U$17,Hypothèses!$W$17,IF(AN69&lt;=Hypothèses!$U$18,Hypothèses!$W$18,""))))))))))))</f>
        <v>#DIV/0!</v>
      </c>
      <c r="BK69" s="95" t="e">
        <f t="shared" ca="1" si="77"/>
        <v>#DIV/0!</v>
      </c>
      <c r="BL69" s="101" t="e">
        <f t="shared" si="125"/>
        <v>#N/A</v>
      </c>
      <c r="BM69" s="91" t="e">
        <f t="shared" si="29"/>
        <v>#N/A</v>
      </c>
      <c r="BN69" s="30" t="e">
        <f t="shared" si="104"/>
        <v>#N/A</v>
      </c>
      <c r="BO69" s="30" t="e">
        <f t="shared" si="105"/>
        <v>#N/A</v>
      </c>
      <c r="BP69" s="31" t="e">
        <f>IF(OR(Hypothèses!$B$4=17,Hypothèses!$B$4=18,Hypothèses!$B$4=19,Hypothèses!$B$4=20),
IF($D69="Pressio.",
IF(OR($E69=3,$E69=1,$E69=4),BO69,BN69),
IF($D69="Pénétro.",
IF(OR($E69=3,$E69=1,$E69=4),BO69,BN69))),IF($D69="Pressio.",
IF($E69=3,BO69,BN69),
IF($D69="Pénétro.",
IF($E69=4,BO69,BN69))))</f>
        <v>#N/A</v>
      </c>
      <c r="BQ69" s="31" t="e">
        <f>(IF(OR(Hypothèses!$B$4=17,Hypothèses!$B$4=18,Hypothèses!$B$4=19,Hypothèses!$B$4=20),
IF($D69="Pressio.",
IF(OR($E69=3,$E69=1,$E69=4),(PI()*BQ$12^2)/4*(BM69*$W69*1000)/($H69*$B$5),(PI()*BQ$12^2)/4*(BM69*$W69*1000)/($G69*$B$5)),
IF($D69="Pénétro.",
IF(OR($E69=4,$E69=1,$E69=5),(PI()*BQ$12^2)/4*(BM69*$W69*1000)/($H69*$B$5),(PI()*BQ$12^2)/4*(BM69*$W69*1000)/($G69*$B$5)))),
IF($D69="Pressio.",
IF($E69=3,(PI()*BQ$12^2)/4*(BM69*$W69*1000)/($H69*$B$5),(PI()*BQ$12^2)/4*(BM69*$W69*1000)/($G69*$B$5)),
IF($D69="Pénétro.",
IF($E69=4,(PI()*BQ$12^2)/4*(BM69*$W69*1000)/($H69*$B$5),(PI()*BQ$12^2)/4*(BM69*$W69*1000)/($G69*$B$5))))))/10</f>
        <v>#N/A</v>
      </c>
      <c r="BR69" s="102" t="e">
        <f>(VLOOKUP($B$3,'Coeff EC7'!$T$39:$X$59,2,0)*BP69+VLOOKUP($B$3,'Coeff EC7'!$T$65:$X$85,2,0)*Model0.1C!BQ69)/1.1</f>
        <v>#N/A</v>
      </c>
      <c r="BS69" s="102" t="e">
        <f>(VLOOKUP($B$3,'Coeff EC7'!$T$39:$X$59,3,0)*BP69+VLOOKUP($B$3,'Coeff EC7'!$T$65:$X$85,3,0)*Model0.1C!BQ69)/0.9</f>
        <v>#N/A</v>
      </c>
      <c r="BT69" s="102" t="e">
        <f t="shared" si="78"/>
        <v>#N/A</v>
      </c>
      <c r="BU69" s="102" t="e">
        <f t="shared" si="79"/>
        <v>#N/A</v>
      </c>
      <c r="BV69" s="414" t="e">
        <f>IF(BV68=0,0,IF(AND(BR69&gt;charge_ELS_quasi,BS69&gt;Charge_ELS_freq,BT69&gt;charge_ELU,BU69&gt;charge_ELA,$B69&gt;NDC!$H$22-0.1+MIN(3*$BV$12,1.5)),0,1))</f>
        <v>#N/A</v>
      </c>
      <c r="BW69" s="86" t="b">
        <f t="shared" si="32"/>
        <v>0</v>
      </c>
      <c r="BX69" s="86">
        <f t="shared" si="33"/>
        <v>0.5</v>
      </c>
      <c r="BY69" s="86">
        <f t="shared" si="34"/>
        <v>0.5</v>
      </c>
      <c r="BZ69" s="30" t="e">
        <f t="shared" ca="1" si="80"/>
        <v>#DIV/0!</v>
      </c>
      <c r="CA69" s="85" t="e">
        <f ca="1">IF(BG69&lt;=Hypothèses!$V$7,Hypothèses!$W$7,IF(BG69&lt;=Hypothèses!$V$8,Hypothèses!$W$8,IF(BG69&lt;=Hypothèses!$V$9,Hypothèses!$W$9,IF(BG69&lt;=Hypothèses!$V$10,Hypothèses!$W$10,IF(BG69&lt;=Hypothèses!$V$11,Hypothèses!$W$11,IF(BG69&lt;=Hypothèses!$V$12,Hypothèses!$W$12,IF(BG69&lt;=Hypothèses!$V$13,Hypothèses!$W$13,IF(BG69&lt;=Hypothèses!$V$14,Hypothèses!$W$14,IF(BG69&lt;=Hypothèses!$V$15,Hypothèses!$W$15,IF(BG69&lt;=Hypothèses!$V$16,Hypothèses!$W$16,IF(BG69&lt;=Hypothèses!$V$17,Hypothèses!$W$17,IF(BG69&lt;=Hypothèses!$V$18,Hypothèses!$W$18,""))))))))))))</f>
        <v>#DIV/0!</v>
      </c>
      <c r="CB69" s="87" t="e">
        <f t="shared" ca="1" si="119"/>
        <v>#DIV/0!</v>
      </c>
      <c r="CC69" s="88" t="e">
        <f ca="1">IF(BG69&lt;=Hypothèses!$V$7,Hypothèses!$X$7,IF(BG69&lt;=Hypothèses!$V$8,Hypothèses!$X$8,IF(BG69&lt;=Hypothèses!$V$9,Hypothèses!$X$9,IF(BG69&lt;=Hypothèses!$V$10,Hypothèses!$X$10,IF(BG69&lt;=Hypothèses!$V$11,Hypothèses!$X$11,IF(BG69&lt;=Hypothèses!$V$12,Hypothèses!$X$12,IF(BG69&lt;=Hypothèses!$V$13,Hypothèses!$X$13,IF(BG69&lt;=Hypothèses!$V$14,Hypothèses!$X$14,IF(BG69&lt;=Hypothèses!$V$15,Hypothèses!$X$15,IF(BG69&lt;=Hypothèses!$V$16,Hypothèses!$X$16,IF(BG69&lt;=Hypothèses!$U$17,Hypothèses!$W$17,IF(BG69&lt;=Hypothèses!$U$18,Hypothèses!$W$18,""))))))))))))</f>
        <v>#DIV/0!</v>
      </c>
      <c r="CD69" s="95" t="e">
        <f t="shared" ca="1" si="81"/>
        <v>#DIV/0!</v>
      </c>
      <c r="CE69" s="101" t="e">
        <f t="shared" si="126"/>
        <v>#N/A</v>
      </c>
      <c r="CF69" s="91" t="e">
        <f t="shared" si="36"/>
        <v>#N/A</v>
      </c>
      <c r="CG69" s="30" t="e">
        <f t="shared" si="106"/>
        <v>#N/A</v>
      </c>
      <c r="CH69" s="30" t="e">
        <f t="shared" si="107"/>
        <v>#N/A</v>
      </c>
      <c r="CI69" s="31" t="e">
        <f>IF(OR(Hypothèses!$B$4=17,Hypothèses!$B$4=18,Hypothèses!$B$4=19,Hypothèses!$B$4=20),
IF($D69="Pressio.",
IF(OR($E69=3,$E69=1,$E69=4),CH69,CG69),
IF($D69="Pénétro.",
IF(OR($E69=3,$E69=1,$E69=4),CH69,CG69))),IF($D69="Pressio.",
IF($E69=3,CH69,CG69),
IF($D69="Pénétro.",
IF($E69=4,CH69,CG69))))</f>
        <v>#N/A</v>
      </c>
      <c r="CJ69" s="31" t="e">
        <f>(IF(OR(Hypothèses!$B$4=17,Hypothèses!$B$4=18,Hypothèses!$B$4=19,Hypothèses!$B$4=20),
IF($D69="Pressio.",
IF(OR($E69=3,$E69=1,$E69=4),(PI()*CJ$12^2)/4*(CF69*$W69*1000)/($H69*$B$5),(PI()*CJ$12^2)/4*(CF69*$W69*1000)/($G69*$B$5)),
IF($D69="Pénétro.",
IF(OR($E69=4,$E69=1,$E69=5),(PI()*CJ$12^2)/4*(CF69*$W69*1000)/($H69*$B$5),(PI()*CJ$12^2)/4*(CF69*$W69*1000)/($G69*$B$5)))),
IF($D69="Pressio.",
IF($E69=3,(PI()*CJ$12^2)/4*(CF69*$W69*1000)/($H69*$B$5),(PI()*CJ$12^2)/4*(CF69*$W69*1000)/($G69*$B$5)),
IF($D69="Pénétro.",
IF($E69=4,(PI()*CJ$12^2)/4*(CF69*$W69*1000)/($H69*$B$5),(PI()*CJ$12^2)/4*(CF69*$W69*1000)/($G69*$B$5))))))/10</f>
        <v>#N/A</v>
      </c>
      <c r="CK69" s="102" t="e">
        <f>(VLOOKUP($B$3,'Coeff EC7'!$T$39:$X$59,2,0)*CI69+VLOOKUP($B$3,'Coeff EC7'!$T$65:$X$85,2,0)*Model0.1C!CJ69)/1.1</f>
        <v>#N/A</v>
      </c>
      <c r="CL69" s="102" t="e">
        <f>(VLOOKUP($B$3,'Coeff EC7'!$T$39:$X$59,3,0)*CI69+VLOOKUP($B$3,'Coeff EC7'!$T$65:$X$85,3,0)*Model0.1C!CJ69)/0.9</f>
        <v>#N/A</v>
      </c>
      <c r="CM69" s="102" t="e">
        <f t="shared" si="82"/>
        <v>#N/A</v>
      </c>
      <c r="CN69" s="102" t="e">
        <f t="shared" si="83"/>
        <v>#N/A</v>
      </c>
      <c r="CO69" s="414" t="e">
        <f>IF(CO68=0,0,IF(AND(CK69&gt;charge_ELS_quasi,CL69&gt;Charge_ELS_freq,CM69&gt;charge_ELU,CN69&gt;charge_ELA,$B69&gt;NDC!$H$22-0.1+MIN(3*$CO$12,1.5)),0,1))</f>
        <v>#N/A</v>
      </c>
      <c r="CP69" s="86" t="b">
        <f t="shared" si="39"/>
        <v>0</v>
      </c>
      <c r="CQ69" s="86">
        <f t="shared" si="40"/>
        <v>0.5</v>
      </c>
      <c r="CR69" s="86">
        <f t="shared" si="41"/>
        <v>0.5</v>
      </c>
      <c r="CS69" s="30" t="e">
        <f t="shared" ca="1" si="84"/>
        <v>#DIV/0!</v>
      </c>
      <c r="CT69" s="85" t="e">
        <f ca="1">IF(BZ69&lt;=Hypothèses!$V$7,Hypothèses!$W$7,IF(BZ69&lt;=Hypothèses!$V$8,Hypothèses!$W$8,IF(BZ69&lt;=Hypothèses!$V$9,Hypothèses!$W$9,IF(BZ69&lt;=Hypothèses!$V$10,Hypothèses!$W$10,IF(BZ69&lt;=Hypothèses!$V$11,Hypothèses!$W$11,IF(BZ69&lt;=Hypothèses!$V$12,Hypothèses!$W$12,IF(BZ69&lt;=Hypothèses!$V$13,Hypothèses!$W$13,IF(BZ69&lt;=Hypothèses!$V$14,Hypothèses!$W$14,IF(BZ69&lt;=Hypothèses!$V$15,Hypothèses!$W$15,IF(BZ69&lt;=Hypothèses!$V$16,Hypothèses!$W$16,IF(BZ69&lt;=Hypothèses!$V$17,Hypothèses!$W$17,IF(BZ69&lt;=Hypothèses!$V$18,Hypothèses!$W$18,""))))))))))))</f>
        <v>#DIV/0!</v>
      </c>
      <c r="CU69" s="87" t="e">
        <f t="shared" ca="1" si="120"/>
        <v>#DIV/0!</v>
      </c>
      <c r="CV69" s="88" t="e">
        <f ca="1">IF(BZ69&lt;=Hypothèses!$V$7,Hypothèses!$X$7,IF(BZ69&lt;=Hypothèses!$V$8,Hypothèses!$X$8,IF(BZ69&lt;=Hypothèses!$V$9,Hypothèses!$X$9,IF(BZ69&lt;=Hypothèses!$V$10,Hypothèses!$X$10,IF(BZ69&lt;=Hypothèses!$V$11,Hypothèses!$X$11,IF(BZ69&lt;=Hypothèses!$V$12,Hypothèses!$X$12,IF(BZ69&lt;=Hypothèses!$V$13,Hypothèses!$X$13,IF(BZ69&lt;=Hypothèses!$V$14,Hypothèses!$X$14,IF(BZ69&lt;=Hypothèses!$V$15,Hypothèses!$X$15,IF(BZ69&lt;=Hypothèses!$V$16,Hypothèses!$X$16,IF(BZ69&lt;=Hypothèses!$U$17,Hypothèses!$W$17,IF(BZ69&lt;=Hypothèses!$U$18,Hypothèses!$W$18,""))))))))))))</f>
        <v>#DIV/0!</v>
      </c>
      <c r="CW69" s="95" t="e">
        <f t="shared" ca="1" si="85"/>
        <v>#DIV/0!</v>
      </c>
      <c r="CX69" s="101" t="e">
        <f t="shared" si="127"/>
        <v>#N/A</v>
      </c>
      <c r="CY69" s="91" t="e">
        <f t="shared" si="43"/>
        <v>#N/A</v>
      </c>
      <c r="CZ69" s="30" t="e">
        <f t="shared" si="108"/>
        <v>#N/A</v>
      </c>
      <c r="DA69" s="30" t="e">
        <f t="shared" si="109"/>
        <v>#N/A</v>
      </c>
      <c r="DB69" s="31" t="e">
        <f>IF(OR(Hypothèses!$B$4=17,Hypothèses!$B$4=18,Hypothèses!$B$4=19,Hypothèses!$B$4=20),
IF($D69="Pressio.",
IF(OR($E69=3,$E69=1,$E69=4),DA69,CZ69),
IF($D69="Pénétro.",
IF(OR($E69=3,$E69=1,$E69=4),DA69,CZ69))),IF($D69="Pressio.",
IF($E69=3,DA69,CZ69),
IF($D69="Pénétro.",
IF($E69=4,DA69,CZ69))))</f>
        <v>#N/A</v>
      </c>
      <c r="DC69" s="31" t="e">
        <f>(IF(OR(Hypothèses!$B$4=17,Hypothèses!$B$4=18,Hypothèses!$B$4=19,Hypothèses!$B$4=20),
IF($D69="Pressio.",
IF(OR($E69=3,$E69=1,$E69=4),(PI()*DC$12^2)/4*(CY69*$W69*1000)/($H69*$B$5),(PI()*DC$12^2)/4*(CY69*$W69*1000)/($G69*$B$5)),
IF($D69="Pénétro.",
IF(OR($E69=4,$E69=1,$E69=5),(PI()*DC$12^2)/4*(CY69*$W69*1000)/($H69*$B$5),(PI()*DC$12^2)/4*(CY69*$W69*1000)/($G69*$B$5)))),
IF($D69="Pressio.",
IF($E69=3,(PI()*DC$12^2)/4*(CY69*$W69*1000)/($H69*$B$5),(PI()*DC$12^2)/4*(CY69*$W69*1000)/($G69*$B$5)),
IF($D69="Pénétro.",
IF($E69=4,(PI()*DC$12^2)/4*(CY69*$W69*1000)/($H69*$B$5),(PI()*DC$12^2)/4*(CY69*$W69*1000)/($G69*$B$5))))))/10</f>
        <v>#N/A</v>
      </c>
      <c r="DD69" s="102" t="e">
        <f>(VLOOKUP($B$3,'Coeff EC7'!$T$39:$X$59,2,0)*DB69+VLOOKUP($B$3,'Coeff EC7'!$T$65:$X$85,2,0)*Model0.1C!DC69)/1.1</f>
        <v>#N/A</v>
      </c>
      <c r="DE69" s="102" t="e">
        <f>(VLOOKUP($B$3,'Coeff EC7'!$T$39:$X$59,3,0)*DB69+VLOOKUP($B$3,'Coeff EC7'!$T$65:$X$85,3,0)*Model0.1C!DC69)/0.9</f>
        <v>#N/A</v>
      </c>
      <c r="DF69" s="102" t="e">
        <f t="shared" si="86"/>
        <v>#N/A</v>
      </c>
      <c r="DG69" s="102" t="e">
        <f t="shared" si="87"/>
        <v>#N/A</v>
      </c>
      <c r="DH69" s="414" t="e">
        <f>IF(DH68=0,0,IF(AND(DD69&gt;charge_ELS_quasi,DE69&gt;Charge_ELS_freq,DF69&gt;charge_ELU,DG69&gt;charge_ELA,$B69&gt;NDC!$H$22-0.1+MIN(3*$DH$12,1.5)),0,1))</f>
        <v>#N/A</v>
      </c>
      <c r="DI69" s="86" t="b">
        <f t="shared" si="46"/>
        <v>0</v>
      </c>
      <c r="DJ69" s="86">
        <f t="shared" si="47"/>
        <v>0.5</v>
      </c>
      <c r="DK69" s="86">
        <f t="shared" si="48"/>
        <v>0.5</v>
      </c>
      <c r="DL69" s="30" t="e">
        <f t="shared" ca="1" si="88"/>
        <v>#DIV/0!</v>
      </c>
      <c r="DM69" s="85" t="e">
        <f ca="1">IF(CS69&lt;=Hypothèses!$V$7,Hypothèses!$W$7,IF(CS69&lt;=Hypothèses!$V$8,Hypothèses!$W$8,IF(CS69&lt;=Hypothèses!$V$9,Hypothèses!$W$9,IF(CS69&lt;=Hypothèses!$V$10,Hypothèses!$W$10,IF(CS69&lt;=Hypothèses!$V$11,Hypothèses!$W$11,IF(CS69&lt;=Hypothèses!$V$12,Hypothèses!$W$12,IF(CS69&lt;=Hypothèses!$V$13,Hypothèses!$W$13,IF(CS69&lt;=Hypothèses!$V$14,Hypothèses!$W$14,IF(CS69&lt;=Hypothèses!$V$15,Hypothèses!$W$15,IF(CS69&lt;=Hypothèses!$V$16,Hypothèses!$W$16,IF(CS69&lt;=Hypothèses!$V$17,Hypothèses!$W$17,IF(CS69&lt;=Hypothèses!$V$18,Hypothèses!$W$18,""))))))))))))</f>
        <v>#DIV/0!</v>
      </c>
      <c r="DN69" s="87" t="e">
        <f t="shared" ca="1" si="121"/>
        <v>#DIV/0!</v>
      </c>
      <c r="DO69" s="88" t="e">
        <f ca="1">IF(CS69&lt;=Hypothèses!$V$7,Hypothèses!$X$7,IF(CS69&lt;=Hypothèses!$V$8,Hypothèses!$X$8,IF(CS69&lt;=Hypothèses!$V$9,Hypothèses!$X$9,IF(CS69&lt;=Hypothèses!$V$10,Hypothèses!$X$10,IF(CS69&lt;=Hypothèses!$V$11,Hypothèses!$X$11,IF(CS69&lt;=Hypothèses!$V$12,Hypothèses!$X$12,IF(CS69&lt;=Hypothèses!$V$13,Hypothèses!$X$13,IF(CS69&lt;=Hypothèses!$V$14,Hypothèses!$X$14,IF(CS69&lt;=Hypothèses!$V$15,Hypothèses!$X$15,IF(CS69&lt;=Hypothèses!$V$16,Hypothèses!$X$16,IF(CS69&lt;=Hypothèses!$U$17,Hypothèses!$W$17,IF(CS69&lt;=Hypothèses!$U$18,Hypothèses!$W$18,""))))))))))))</f>
        <v>#DIV/0!</v>
      </c>
      <c r="DP69" s="95" t="e">
        <f t="shared" ca="1" si="89"/>
        <v>#DIV/0!</v>
      </c>
      <c r="DQ69" s="101" t="e">
        <f t="shared" si="128"/>
        <v>#N/A</v>
      </c>
      <c r="DR69" s="91" t="e">
        <f t="shared" si="50"/>
        <v>#N/A</v>
      </c>
      <c r="DS69" s="30" t="e">
        <f t="shared" si="110"/>
        <v>#N/A</v>
      </c>
      <c r="DT69" s="30" t="e">
        <f t="shared" si="111"/>
        <v>#N/A</v>
      </c>
      <c r="DU69" s="31" t="e">
        <f>IF(OR(Hypothèses!$B$4=17,Hypothèses!$B$4=18,Hypothèses!$B$4=19,Hypothèses!$B$4=20),
IF($D69="Pressio.",
IF(OR($E69=3,$E69=1,$E69=4),DT69,DS69),
IF($D69="Pénétro.",
IF(OR($E69=3,$E69=1,$E69=4),DT69,DS69))),IF($D69="Pressio.",
IF($E69=3,DT69,DS69),
IF($D69="Pénétro.",
IF($E69=4,DT69,DS69))))</f>
        <v>#N/A</v>
      </c>
      <c r="DV69" s="31" t="e">
        <f>(IF(OR(Hypothèses!$B$4=17,Hypothèses!$B$4=18,Hypothèses!$B$4=19,Hypothèses!$B$4=20),
IF($D69="Pressio.",
IF(OR($E69=3,$E69=1,$E69=4),(PI()*DV$12^2)/4*(DR69*$W69*1000)/($H69*$B$5),(PI()*DV$12^2)/4*(DR69*$W69*1000)/($G69*$B$5)),
IF($D69="Pénétro.",
IF(OR($E69=4,$E69=1,$E69=5),(PI()*DV$12^2)/4*(DR69*$W69*1000)/($H69*$B$5),(PI()*DV$12^2)/4*(DR69*$W69*1000)/($G69*$B$5)))),
IF($D69="Pressio.",
IF($E69=3,(PI()*DV$12^2)/4*(DR69*$W69*1000)/($H69*$B$5),(PI()*DV$12^2)/4*(DR69*$W69*1000)/($G69*$B$5)),
IF($D69="Pénétro.",
IF($E69=4,(PI()*DV$12^2)/4*(DR69*$W69*1000)/($H69*$B$5),(PI()*DV$12^2)/4*(DR69*$W69*1000)/($G69*$B$5))))))/10</f>
        <v>#N/A</v>
      </c>
      <c r="DW69" s="102" t="e">
        <f>(VLOOKUP($B$3,'Coeff EC7'!$T$39:$X$59,2,0)*DU69+VLOOKUP($B$3,'Coeff EC7'!$T$65:$X$85,2,0)*Model0.1C!DV69)/1.1</f>
        <v>#N/A</v>
      </c>
      <c r="DX69" s="102" t="e">
        <f>(VLOOKUP($B$3,'Coeff EC7'!$T$39:$X$59,3,0)*DU69+VLOOKUP($B$3,'Coeff EC7'!$T$65:$X$85,3,0)*Model0.1C!DV69)/0.9</f>
        <v>#N/A</v>
      </c>
      <c r="DY69" s="102" t="e">
        <f t="shared" si="90"/>
        <v>#N/A</v>
      </c>
      <c r="DZ69" s="102" t="e">
        <f t="shared" si="91"/>
        <v>#N/A</v>
      </c>
      <c r="EA69" s="414" t="e">
        <f>IF(EA68=0,0,IF(AND(DW69&gt;charge_ELS_quasi,DX69&gt;Charge_ELS_freq,DY69&gt;charge_ELU,DZ69&gt;charge_ELA,$B69&gt;NDC!$H$22-0.1+MIN(3*$EA$12,1.5)),0,1))</f>
        <v>#N/A</v>
      </c>
      <c r="EB69" s="86" t="b">
        <f t="shared" si="53"/>
        <v>0</v>
      </c>
      <c r="EC69" s="418">
        <f t="shared" si="54"/>
        <v>0.51</v>
      </c>
      <c r="ED69" s="86">
        <f t="shared" si="55"/>
        <v>0.51</v>
      </c>
      <c r="EE69" s="30" t="e">
        <f t="shared" ca="1" si="92"/>
        <v>#DIV/0!</v>
      </c>
      <c r="EF69" s="85" t="e">
        <f ca="1">IF(DL69&lt;=Hypothèses!$V$7,Hypothèses!$W$7,IF(DL69&lt;=Hypothèses!$V$8,Hypothèses!$W$8,IF(DL69&lt;=Hypothèses!$V$9,Hypothèses!$W$9,IF(DL69&lt;=Hypothèses!$V$10,Hypothèses!$W$10,IF(DL69&lt;=Hypothèses!$V$11,Hypothèses!$W$11,IF(DL69&lt;=Hypothèses!$V$12,Hypothèses!$W$12,IF(DL69&lt;=Hypothèses!$V$13,Hypothèses!$W$13,IF(DL69&lt;=Hypothèses!$V$14,Hypothèses!$W$14,IF(DL69&lt;=Hypothèses!$V$15,Hypothèses!$W$15,IF(DL69&lt;=Hypothèses!$V$16,Hypothèses!$W$16,IF(DL69&lt;=Hypothèses!$V$17,Hypothèses!$W$17,IF(DL69&lt;=Hypothèses!$V$18,Hypothèses!$W$18,""))))))))))))</f>
        <v>#DIV/0!</v>
      </c>
      <c r="EG69" s="87" t="e">
        <f t="shared" ca="1" si="122"/>
        <v>#DIV/0!</v>
      </c>
      <c r="EH69" s="88" t="e">
        <f ca="1">IF(DL69&lt;=Hypothèses!$V$7,Hypothèses!$X$7,IF(DL69&lt;=Hypothèses!$V$8,Hypothèses!$X$8,IF(DL69&lt;=Hypothèses!$V$9,Hypothèses!$X$9,IF(DL69&lt;=Hypothèses!$V$10,Hypothèses!$X$10,IF(DL69&lt;=Hypothèses!$V$11,Hypothèses!$X$11,IF(DL69&lt;=Hypothèses!$V$12,Hypothèses!$X$12,IF(DL69&lt;=Hypothèses!$V$13,Hypothèses!$X$13,IF(DL69&lt;=Hypothèses!$V$14,Hypothèses!$X$14,IF(DL69&lt;=Hypothèses!$V$15,Hypothèses!$X$15,IF(DL69&lt;=Hypothèses!$V$16,Hypothèses!$X$16,IF(DL69&lt;=Hypothèses!$U$17,Hypothèses!$W$17,IF(DL69&lt;=Hypothèses!$U$18,Hypothèses!$W$18,""))))))))))))</f>
        <v>#DIV/0!</v>
      </c>
      <c r="EI69" s="95" t="e">
        <f t="shared" ca="1" si="93"/>
        <v>#DIV/0!</v>
      </c>
      <c r="EJ69" s="101" t="e">
        <f t="shared" si="129"/>
        <v>#N/A</v>
      </c>
      <c r="EK69" s="91" t="e">
        <f t="shared" si="57"/>
        <v>#N/A</v>
      </c>
      <c r="EL69" s="30" t="e">
        <f t="shared" si="112"/>
        <v>#N/A</v>
      </c>
      <c r="EM69" s="30" t="e">
        <f t="shared" si="113"/>
        <v>#N/A</v>
      </c>
      <c r="EN69" s="31" t="e">
        <f>IF(OR(Hypothèses!$B$4=17,Hypothèses!$B$4=18,Hypothèses!$B$4=19,Hypothèses!$B$4=20),
IF($D69="Pressio.",
IF(OR($E69=3,$E69=1,$E69=4),EM69,EL69),
IF($D69="Pénétro.",
IF(OR($E69=3,$E69=1,$E69=4),EM69,EL69))),IF($D69="Pressio.",
IF($E69=3,EM69,EL69),
IF($D69="Pénétro.",
IF($E69=4,EM69,EL69))))</f>
        <v>#N/A</v>
      </c>
      <c r="EO69" s="31" t="e">
        <f>(IF(OR(Hypothèses!$B$4=17,Hypothèses!$B$4=18,Hypothèses!$B$4=19,Hypothèses!$B$4=20),
IF($D69="Pressio.",
IF(OR($E69=3,$E69=1,$E69=4),(PI()*EO$12^2)/4*(EK69*$W69*1000)/($H69*$B$5),(PI()*EO$12^2)/4*(EK69*$W69*1000)/($G69*$B$5)),
IF($D69="Pénétro.",
IF(OR($E69=4,$E69=1,$E69=5),(PI()*EO$12^2)/4*(EK69*$W69*1000)/($H69*$B$5),(PI()*EO$12^2)/4*(EK69*$W69*1000)/($G69*$B$5)))),
IF($D69="Pressio.",
IF($E69=3,(PI()*EO$12^2)/4*(EK69*$W69*1000)/($H69*$B$5),(PI()*EO$12^2)/4*(EK69*$W69*1000)/($G69*$B$5)),
IF($D69="Pénétro.",
IF($E69=4,(PI()*EO$12^2)/4*(EK69*$W69*1000)/($H69*$B$5),(PI()*EO$12^2)/4*(EK69*$W69*1000)/($G69*$B$5))))))/10</f>
        <v>#N/A</v>
      </c>
      <c r="EP69" s="102" t="e">
        <f>(VLOOKUP($B$3,'Coeff EC7'!$T$39:$X$59,2,0)*EN69+VLOOKUP($B$3,'Coeff EC7'!$T$65:$X$85,2,0)*Model0.1C!EO69)/1.1</f>
        <v>#N/A</v>
      </c>
      <c r="EQ69" s="102" t="e">
        <f>(VLOOKUP($B$3,'Coeff EC7'!$T$39:$X$59,3,0)*EN69+VLOOKUP($B$3,'Coeff EC7'!$T$65:$X$85,3,0)*Model0.1C!EO69)/0.9</f>
        <v>#N/A</v>
      </c>
      <c r="ER69" s="102" t="e">
        <f t="shared" si="94"/>
        <v>#N/A</v>
      </c>
      <c r="ES69" s="102" t="e">
        <f t="shared" si="95"/>
        <v>#N/A</v>
      </c>
      <c r="ET69" s="414" t="e">
        <f>IF(ET68=0,0,IF(AND(EP69&gt;charge_ELS_quasi,EQ69&gt;Charge_ELS_freq,ER69&gt;charge_ELU,ES69&gt;charge_ELA,$B69&gt;NDC!$H$22-0.1+MIN(3*$ET$12,1.5)),0,1))</f>
        <v>#N/A</v>
      </c>
      <c r="EU69" s="86" t="b">
        <f t="shared" si="60"/>
        <v>0</v>
      </c>
      <c r="EV69" s="86">
        <f t="shared" si="61"/>
        <v>0.61</v>
      </c>
      <c r="EW69" s="86">
        <f t="shared" si="62"/>
        <v>0.61</v>
      </c>
      <c r="EX69" s="30" t="e">
        <f t="shared" ca="1" si="96"/>
        <v>#DIV/0!</v>
      </c>
      <c r="EY69" s="85" t="e">
        <f ca="1">IF(EE69&lt;=Hypothèses!$V$7,Hypothèses!$W$7,IF(EE69&lt;=Hypothèses!$V$8,Hypothèses!$W$8,IF(EE69&lt;=Hypothèses!$V$9,Hypothèses!$W$9,IF(EE69&lt;=Hypothèses!$V$10,Hypothèses!$W$10,IF(EE69&lt;=Hypothèses!$V$11,Hypothèses!$W$11,IF(EE69&lt;=Hypothèses!$V$12,Hypothèses!$W$12,IF(EE69&lt;=Hypothèses!$V$13,Hypothèses!$W$13,IF(EE69&lt;=Hypothèses!$V$14,Hypothèses!$W$14,IF(EE69&lt;=Hypothèses!$V$15,Hypothèses!$W$15,IF(EE69&lt;=Hypothèses!$V$16,Hypothèses!$W$16,IF(EE69&lt;=Hypothèses!$V$17,Hypothèses!$W$17,IF(EE69&lt;=Hypothèses!$V$18,Hypothèses!$W$18,""))))))))))))</f>
        <v>#DIV/0!</v>
      </c>
      <c r="EZ69" s="87" t="e">
        <f t="shared" ca="1" si="123"/>
        <v>#DIV/0!</v>
      </c>
      <c r="FA69" s="88" t="e">
        <f ca="1">IF(EE69&lt;=Hypothèses!$V$7,Hypothèses!$X$7,IF(EE69&lt;=Hypothèses!$V$8,Hypothèses!$X$8,IF(EE69&lt;=Hypothèses!$V$9,Hypothèses!$X$9,IF(EE69&lt;=Hypothèses!$V$10,Hypothèses!$X$10,IF(EE69&lt;=Hypothèses!$V$11,Hypothèses!$X$11,IF(EE69&lt;=Hypothèses!$V$12,Hypothèses!$X$12,IF(EE69&lt;=Hypothèses!$V$13,Hypothèses!$X$13,IF(EE69&lt;=Hypothèses!$V$14,Hypothèses!$X$14,IF(EE69&lt;=Hypothèses!$V$15,Hypothèses!$X$15,IF(EE69&lt;=Hypothèses!$V$16,Hypothèses!$X$16,IF(EE69&lt;=Hypothèses!$U$17,Hypothèses!$W$17,IF(EE69&lt;=Hypothèses!$U$18,Hypothèses!$W$18,""))))))))))))</f>
        <v>#DIV/0!</v>
      </c>
      <c r="FB69" s="95" t="e">
        <f t="shared" ca="1" si="97"/>
        <v>#DIV/0!</v>
      </c>
      <c r="FC69" s="101" t="e">
        <f t="shared" si="130"/>
        <v>#N/A</v>
      </c>
      <c r="FD69" s="91" t="e">
        <f t="shared" si="64"/>
        <v>#N/A</v>
      </c>
      <c r="FE69" s="30" t="e">
        <f t="shared" si="114"/>
        <v>#N/A</v>
      </c>
      <c r="FF69" s="30" t="e">
        <f t="shared" si="115"/>
        <v>#N/A</v>
      </c>
      <c r="FG69" s="31" t="e">
        <f>IF(OR(Hypothèses!$B$4=17,Hypothèses!$B$4=18,Hypothèses!$B$4=19,Hypothèses!$B$4=20),
IF($D69="Pressio.",
IF(OR($E69=3,$E69=1,$E69=4),FF69,FE69),
IF($D69="Pénétro.",
IF(OR($E69=3,$E69=1,$E69=4),FF69,FE69))),IF($D69="Pressio.",
IF($E69=3,FF69,FE69),
IF($D69="Pénétro.",
IF($E69=4,FF69,FE69))))</f>
        <v>#N/A</v>
      </c>
      <c r="FH69" s="31" t="e">
        <f>(IF(OR(Hypothèses!$B$4=17,Hypothèses!$B$4=18,Hypothèses!$B$4=19,Hypothèses!$B$4=20),
IF($D69="Pressio.",
IF(OR($E69=3,$E69=1,$E69=4),(PI()*FH$12^2)/4*(FD69*$W69*1000)/($H69*$B$5),(PI()*FH$12^2)/4*(FD69*$W69*1000)/($G69*$B$5)),
IF($D69="Pénétro.",
IF(OR($E69=4,$E69=1,$E69=5),(PI()*FH$12^2)/4*(FD69*$W69*1000)/($H69*$B$5),(PI()*FH$12^2)/4*(FD69*$W69*1000)/($G69*$B$5)))),
IF($D69="Pressio.",
IF($E69=3,(PI()*FH$12^2)/4*(FD69*$W69*1000)/($H69*$B$5),(PI()*FH$12^2)/4*(FD69*$W69*1000)/($G69*$B$5)),
IF($D69="Pénétro.",
IF($E69=4,(PI()*FH$12^2)/4*(FD69*$W69*1000)/($H69*$B$5),(PI()*FH$12^2)/4*(FD69*$W69*1000)/($G69*$B$5))))))/10</f>
        <v>#N/A</v>
      </c>
      <c r="FI69" s="102" t="e">
        <f>(VLOOKUP($B$3,'Coeff EC7'!$T$39:$X$59,2,0)*FG69+VLOOKUP($B$3,'Coeff EC7'!$T$65:$X$85,2,0)*Model0.1C!FH69)/1.1</f>
        <v>#N/A</v>
      </c>
      <c r="FJ69" s="102" t="e">
        <f>(VLOOKUP($B$3,'Coeff EC7'!$T$39:$X$59,3,0)*FG69+VLOOKUP($B$3,'Coeff EC7'!$T$65:$X$85,3,0)*Model0.1C!FH69)/0.9</f>
        <v>#N/A</v>
      </c>
      <c r="FK69" s="102" t="e">
        <f t="shared" si="98"/>
        <v>#N/A</v>
      </c>
      <c r="FL69" s="102" t="e">
        <f t="shared" si="99"/>
        <v>#N/A</v>
      </c>
      <c r="FM69" s="414" t="e">
        <f>IF(FM68=0,0,IF(AND(FI69&gt;charge_ELS_quasi,FJ69&gt;Charge_ELS_freq,FK69&gt;charge_ELU,FL69&gt;charge_ELA,$B69&gt;NDC!$H$22-0.1+MIN(3*$FM$12,1.5)),0,1))</f>
        <v>#N/A</v>
      </c>
    </row>
    <row r="70" spans="1:169">
      <c r="A70" s="96">
        <f t="shared" si="67"/>
        <v>94.300000000000324</v>
      </c>
      <c r="B70" s="97">
        <v>5.7</v>
      </c>
      <c r="C70" s="81">
        <f>IF(B70&lt;=Hypothèses!$C$7,Hypothèses!$A$7,IF(B70&lt;=Hypothèses!$C$8,Hypothèses!$A$8,IF(B70&lt;=Hypothèses!$C$9,Hypothèses!$A$9,IF(B70&lt;=Hypothèses!$C$10,Hypothèses!$A$10,IF(B70&lt;=Hypothèses!$C$11,Hypothèses!$A$11,IF(B70&lt;=Hypothèses!$C$12,Hypothèses!$A$12,IF(B70&lt;=Hypothèses!$C$13,Hypothèses!$A$13,IF(B70&lt;=Hypothèses!$C$14,Hypothèses!$A$14,IF(B70&lt;=Hypothèses!$C$15,Hypothèses!$A$15,IF(B70&lt;=Hypothèses!$C$16,Hypothèses!$A$16,IF(B70&lt;=Hypothèses!$C$17,Hypothèses!$A$17,IF(B70&lt;=Hypothèses!$C$18,Hypothèses!$A$18,C69))))))))))))</f>
        <v>11</v>
      </c>
      <c r="D70" s="82" t="str">
        <f>IF(B70&lt;=Hypothèses!$C$7,Hypothèses!$R$7,IF(B70&lt;=Hypothèses!$C$8,Hypothèses!$R$8,IF(B70&lt;=Hypothèses!$C$9,Hypothèses!$R$9,IF(B70&lt;=Hypothèses!$C$10,Hypothèses!$R$10,IF(B70&lt;=Hypothèses!$C$11,Hypothèses!$R$11,IF(B70&lt;=Hypothèses!$C$12,Hypothèses!$R$12,IF(B70&lt;=Hypothèses!$C$13,Hypothèses!$R$13,IF(B70&lt;=Hypothèses!$C$14,Hypothèses!$R$14,IF(B70&lt;=Hypothèses!$C$15,Hypothèses!$R$15,IF(B70&lt;=Hypothèses!$C$16,Hypothèses!$R$16,IF(B70&lt;=Hypothèses!$C$17,Hypothèses!$R$17,IF(B70&lt;=Hypothèses!$C$18,Hypothèses!$R$18,D69))))))))))))</f>
        <v>Pressio.</v>
      </c>
      <c r="E70" s="82" t="e">
        <f>IF(B70&lt;=Hypothèses!$C$7,Hypothèses!$G$7,IF(B70&lt;=Hypothèses!$C$8,Hypothèses!$G$8,IF(B70&lt;=Hypothèses!$C$9,Hypothèses!$G$9,IF(B70&lt;=Hypothèses!$C$10,Hypothèses!$G$10,IF(B70&lt;=Hypothèses!$C$11,Hypothèses!$G$11,IF(B70&lt;=Hypothèses!$C$12,Hypothèses!$G$12,IF(B70&lt;=Hypothèses!$C$13,Hypothèses!$G$13,IF(B70&lt;=Hypothèses!$C$14,Hypothèses!$G$14,IF(B70&lt;=Hypothèses!$C$15,Hypothèses!$G$15,IF(B70&lt;=Hypothèses!$C$16,Hypothèses!$G$16,IF(B70&lt;=Hypothèses!$C$17,Hypothèses!$G$17,IF(B70&lt;=Hypothèses!$C$18,Hypothèses!$G$18,E69))))))))))))</f>
        <v>#N/A</v>
      </c>
      <c r="F70" s="82" t="str">
        <f>IF(B70&lt;=Hypothèses!$C$7,Hypothèses!$F$7,IF(B70&lt;=Hypothèses!$C$8,Hypothèses!$F$8,IF(B70&lt;=Hypothèses!$C$9,Hypothèses!$F$9,IF(B70&lt;=Hypothèses!$C$10,Hypothèses!$F$10,IF(B70&lt;=Hypothèses!$C$11,Hypothèses!$F$11,IF(B70&lt;=Hypothèses!$C$12,Hypothèses!$F$12,IF(B70&lt;=Hypothèses!$C$13,Hypothèses!$F$13,IF(B70&lt;=Hypothèses!$C$14,Hypothèses!$F$14,IF(B70&lt;=Hypothèses!$C$15,Hypothèses!$F$15,IF(B70&lt;=Hypothèses!$C$16,Hypothèses!$F$16,IF(B70&lt;=Hypothèses!$C$17,Hypothèses!$F$17,IF(B70&lt;=Hypothèses!$C$18,Hypothèses!$F$18,F69))))))))))))</f>
        <v/>
      </c>
      <c r="G70" s="91">
        <f t="array" ref="G70">INDEX('Coeff EC7'!$U$7:$X$27,
MATCH(Model0.1C!$B$3,'Coeff EC7'!$T$7:$T$27,0),
MATCH(Model0.1C!$D70&amp;Model0.1C!$B$4,
'Coeff EC7'!$U$6:$X$6&amp;
'Coeff EC7'!$U$5:$X$5,0))</f>
        <v>1.1499999999999999</v>
      </c>
      <c r="H70" s="91">
        <f t="array" ref="H70">INDEX('Coeff EC7'!$Y$7:$AB$27,
MATCH(Model0.1C!$B$3,'Coeff EC7'!$T$7:$T$27,0),
MATCH(Model0.1C!$D70&amp;Model0.1C!$B$4,
'Coeff EC7'!$Y$6:$AB$6&amp;
'Coeff EC7'!$Y$5:$AB$5,0))</f>
        <v>1.4</v>
      </c>
      <c r="I70" s="83" t="e">
        <f>IF(B70&lt;=Hypothèses!$C$7,Hypothèses!$P$7,IF(B70&lt;=Hypothèses!$C$8,Hypothèses!$P$8,IF(B70&lt;=Hypothèses!$C$9,Hypothèses!$P$9,IF(B70&lt;=Hypothèses!$C$10,Hypothèses!$P$10,IF(B70&lt;=Hypothèses!$C$11,Hypothèses!$P$11,IF(B70&lt;=Hypothèses!$C$12,Hypothèses!$P$12,IF(B70&lt;=Hypothèses!$C$13,Hypothèses!$P$13,IF(B70&lt;=Hypothèses!$C$14,Hypothèses!$P$14,IF(B70&lt;=Hypothèses!$C$15,Hypothèses!$P$15,IF(B70&lt;=Hypothèses!$C$16,Hypothèses!$P$16,IF(B70&lt;=Hypothèses!$C$17,Hypothèses!$P$17,IF(B70&lt;=Hypothèses!$C$18,Hypothèses!$P$18,I69))))))))))))</f>
        <v>#N/A</v>
      </c>
      <c r="J70" s="91" t="e">
        <f t="array" ref="J70">INDEX('Coeff EC7'!$D$33:$Q$33,1,MATCH(D70&amp;E70,'Coeff EC7'!$D$31:$Q$31&amp;'Coeff EC7'!$D$32:$Q$32,0))</f>
        <v>#N/A</v>
      </c>
      <c r="K70" s="91" t="e">
        <f t="array" ref="K70">INDEX('Coeff EC7'!$D$34:$Q$34,1,MATCH(D70&amp;E70,'Coeff EC7'!$D$31:$Q$31&amp;'Coeff EC7'!$D$32:$Q$32,0))</f>
        <v>#N/A</v>
      </c>
      <c r="L70" s="91" t="e">
        <f t="array" ref="L70">INDEX('Coeff EC7'!$D$35:$Q$35,1,MATCH(D70&amp;E70,'Coeff EC7'!$D$31:$Q$31&amp;'Coeff EC7'!$D$32:$Q$32,0))</f>
        <v>#N/A</v>
      </c>
      <c r="M70" s="98" t="e">
        <f t="shared" si="8"/>
        <v>#N/A</v>
      </c>
      <c r="N70" s="99" t="e">
        <f t="array" ref="N70">INDEX('Coeff EC7'!$D$7:$Q$27,MATCH($B$3,'Coeff EC7'!$C$7:$C$27,0),MATCH(D70&amp;E70,'Coeff EC7'!$D$5:$Q$5&amp;'Coeff EC7'!$D$6:$Q$6,0))</f>
        <v>#N/A</v>
      </c>
      <c r="O70" s="99" t="e">
        <f t="array" ref="O70">INDEX('Coeff EC7'!$D$41:$Q$61,MATCH($B$3,'Coeff EC7'!$C$41:$C$61,0),MATCH(D70&amp;E70,'Coeff EC7'!$D$39:$Q$39&amp;'Coeff EC7'!$D$40:$Q$40,0))</f>
        <v>#N/A</v>
      </c>
      <c r="P70" s="30" t="e">
        <f t="shared" si="68"/>
        <v>#N/A</v>
      </c>
      <c r="Q70" s="100" t="e">
        <f t="shared" si="10"/>
        <v>#N/A</v>
      </c>
      <c r="R70" s="86" t="b">
        <f t="shared" si="11"/>
        <v>0</v>
      </c>
      <c r="S70" s="86">
        <f t="shared" si="9"/>
        <v>0.5</v>
      </c>
      <c r="T70" s="86">
        <f t="shared" si="12"/>
        <v>0.5</v>
      </c>
      <c r="U70" s="30" t="e">
        <f t="shared" ca="1" si="69"/>
        <v>#DIV/0!</v>
      </c>
      <c r="V70" s="85" t="str">
        <f>IF(B70&lt;=Hypothèses!$V$7,Hypothèses!$W$7,IF(B70&lt;=Hypothèses!$V$8,Hypothèses!$W$8,IF(B70&lt;=Hypothèses!$V$9,Hypothèses!$W$9,IF(B70&lt;=Hypothèses!$V$10,Hypothèses!$W$10,IF(B70&lt;=Hypothèses!$V$11,Hypothèses!$W$11,IF(B70&lt;=Hypothèses!$V$12,Hypothèses!$W$12,IF(B70&lt;=Hypothèses!$V$13,Hypothèses!$W$13,IF(B70&lt;=Hypothèses!$V$14,Hypothèses!$W$14,IF(B70&lt;=Hypothèses!$V$15,Hypothèses!$W$15,IF(B70&lt;=Hypothèses!$V$16,Hypothèses!$W$16,IF(B70&lt;=Hypothèses!$V$17,Hypothèses!$W$17,IF(B70&lt;=Hypothèses!$V$18,Hypothèses!$W$18,""))))))))))))</f>
        <v/>
      </c>
      <c r="W70" s="87" t="e">
        <f t="shared" ca="1" si="116"/>
        <v>#DIV/0!</v>
      </c>
      <c r="X70" s="88" t="str">
        <f>IF(B70&lt;=Hypothèses!$V$7,Hypothèses!$X$7,IF(B70&lt;=Hypothèses!$V$8,Hypothèses!$X$8,IF(B70&lt;=Hypothèses!$V$9,Hypothèses!$X$9,IF(B70&lt;=Hypothèses!$V$10,Hypothèses!$X$10,IF(B70&lt;=Hypothèses!$V$11,Hypothèses!$X$11,IF(B70&lt;=Hypothèses!$V$12,Hypothèses!$X$12,IF(B70&lt;=Hypothèses!$V$13,Hypothèses!$X$13,IF(B70&lt;=Hypothèses!$V$14,Hypothèses!$X$14,IF(B70&lt;=Hypothèses!$V$15,Hypothèses!$X$15,IF(B70&lt;=Hypothèses!$V$16,Hypothèses!$X$16,IF(B70&lt;=Hypothèses!$U$17,Hypothèses!$W$17,IF(B70&lt;=Hypothèses!$U$18,Hypothèses!$W$18,""))))))))))))</f>
        <v/>
      </c>
      <c r="Y70" s="95" t="e">
        <f t="shared" ca="1" si="13"/>
        <v>#DIV/0!</v>
      </c>
      <c r="Z70" s="101" t="e">
        <f t="shared" si="14"/>
        <v>#N/A</v>
      </c>
      <c r="AA70" s="91" t="e">
        <f t="shared" si="15"/>
        <v>#N/A</v>
      </c>
      <c r="AB70" s="30" t="e">
        <f t="shared" si="100"/>
        <v>#N/A</v>
      </c>
      <c r="AC70" s="30" t="e">
        <f t="shared" si="101"/>
        <v>#N/A</v>
      </c>
      <c r="AD70" s="31" t="e">
        <f>IF(OR(Hypothèses!$B$4=17,Hypothèses!$B$4=18,Hypothèses!$B$4=19,Hypothèses!$B$4=20),
IF($D70="Pressio.",
IF(OR($E70=3,$E70=1,$E70=4),AC70,AB70),
IF($D70="Pénétro.",
IF(OR($E70=3,$E70=1,$E70=4),AC70,AB70))),IF($D70="Pressio.",
IF($E70=3,AC70,AB70),
IF($D70="Pénétro.",
IF($E70=4,AC70,AB70))))</f>
        <v>#N/A</v>
      </c>
      <c r="AE70" s="31" t="e">
        <f>(IF(OR(Hypothèses!$B$4=17,Hypothèses!$B$4=18,Hypothèses!$B$4=19,Hypothèses!$B$4=20),
IF($D70="Pressio.",
IF(OR($E70=3,$E70=1,$E70=4),(PI()*AE$12^2)/4*(AA70*$W70*1000)/($H70*$B$5),(PI()*AE$12^2)/4*(AA70*$W70*1000)/($G70*$B$5)),
IF($D70="Pénétro.",
IF(OR($E70=4,$E70=1,$E70=5),(PI()*AE$12^2)/4*(AA70*$W70*1000)/($H70*$B$5),(PI()*AE$12^2)/4*(AA70*$W70*1000)/($G70*$B$5)))),
IF($D70="Pressio.",
IF($E70=3,(PI()*AE$12^2)/4*(AA70*$W70*1000)/($H70*$B$5),(PI()*AE$12^2)/4*(AA70*$W70*1000)/($G70*$B$5)),
IF($D70="Pénétro.",
IF($E70=4,(PI()*AE$12^2)/4*(AA70*$W70*1000)/($H70*$B$5),(PI()*AE$12^2)/4*(AA70*$W70*1000)/($G70*$B$5))))))/10</f>
        <v>#N/A</v>
      </c>
      <c r="AF70" s="102" t="e">
        <f>(VLOOKUP($B$3,'Coeff EC7'!$T$39:$X$59,2,0)*AD70+VLOOKUP($B$3,'Coeff EC7'!$T$65:$X$85,2,0)*Model0.1C!AE70)/1.1</f>
        <v>#N/A</v>
      </c>
      <c r="AG70" s="102" t="e">
        <f>(VLOOKUP($B$3,'Coeff EC7'!$T$39:$X$59,3,0)*AD70+VLOOKUP($B$3,'Coeff EC7'!$T$65:$X$85,3,0)*Model0.1C!AE70)/0.9</f>
        <v>#N/A</v>
      </c>
      <c r="AH70" s="102" t="e">
        <f t="shared" si="18"/>
        <v>#N/A</v>
      </c>
      <c r="AI70" s="102" t="e">
        <f t="shared" si="19"/>
        <v>#N/A</v>
      </c>
      <c r="AJ70" s="414" t="e">
        <f>IF(AJ69=0,0,IF(AND(AF70&gt;charge_ELS_quasi,AG70&gt;Charge_ELS_freq,AH70&gt;charge_ELU,AI70&gt;charge_ELA,$B70&gt;NDC!$H$22-0.1+MIN(3*$AJ$12,1.5)),0,1))</f>
        <v>#N/A</v>
      </c>
      <c r="AK70" s="86" t="b">
        <f t="shared" si="20"/>
        <v>0</v>
      </c>
      <c r="AL70" s="86">
        <f t="shared" si="70"/>
        <v>0.5</v>
      </c>
      <c r="AM70" s="86">
        <f t="shared" si="21"/>
        <v>0.5</v>
      </c>
      <c r="AN70" s="30" t="e">
        <f t="shared" ca="1" si="71"/>
        <v>#DIV/0!</v>
      </c>
      <c r="AO70" s="85" t="e">
        <f ca="1">IF(U70&lt;=Hypothèses!$V$7,Hypothèses!$W$7,IF(U70&lt;=Hypothèses!$V$8,Hypothèses!$W$8,IF(U70&lt;=Hypothèses!$V$9,Hypothèses!$W$9,IF(U70&lt;=Hypothèses!$V$10,Hypothèses!$W$10,IF(U70&lt;=Hypothèses!$V$11,Hypothèses!$W$11,IF(U70&lt;=Hypothèses!$V$12,Hypothèses!$W$12,IF(U70&lt;=Hypothèses!$V$13,Hypothèses!$W$13,IF(U70&lt;=Hypothèses!$V$14,Hypothèses!$W$14,IF(U70&lt;=Hypothèses!$V$15,Hypothèses!$W$15,IF(U70&lt;=Hypothèses!$V$16,Hypothèses!$W$16,IF(U70&lt;=Hypothèses!$V$17,Hypothèses!$W$17,IF(U70&lt;=Hypothèses!$V$18,Hypothèses!$W$18,""))))))))))))</f>
        <v>#DIV/0!</v>
      </c>
      <c r="AP70" s="87" t="e">
        <f t="shared" ca="1" si="117"/>
        <v>#DIV/0!</v>
      </c>
      <c r="AQ70" s="88" t="e">
        <f ca="1">IF(U70&lt;=Hypothèses!$V$7,Hypothèses!$X$7,IF(U70&lt;=Hypothèses!$V$8,Hypothèses!$X$8,IF(U70&lt;=Hypothèses!$V$9,Hypothèses!$X$9,IF(U70&lt;=Hypothèses!$V$10,Hypothèses!$X$10,IF(U70&lt;=Hypothèses!$V$11,Hypothèses!$X$11,IF(U70&lt;=Hypothèses!$V$12,Hypothèses!$X$12,IF(U70&lt;=Hypothèses!$V$13,Hypothèses!$X$13,IF(U70&lt;=Hypothèses!$V$14,Hypothèses!$X$14,IF(U70&lt;=Hypothèses!$V$15,Hypothèses!$X$15,IF(U70&lt;=Hypothèses!$V$16,Hypothèses!$X$16,IF(U70&lt;=Hypothèses!$U$17,Hypothèses!$W$17,IF(U70&lt;=Hypothèses!$U$18,Hypothèses!$W$18,""))))))))))))</f>
        <v>#DIV/0!</v>
      </c>
      <c r="AR70" s="95" t="e">
        <f t="shared" ca="1" si="72"/>
        <v>#DIV/0!</v>
      </c>
      <c r="AS70" s="101" t="e">
        <f t="shared" si="124"/>
        <v>#N/A</v>
      </c>
      <c r="AT70" s="91" t="e">
        <f t="shared" si="23"/>
        <v>#N/A</v>
      </c>
      <c r="AU70" s="30" t="e">
        <f t="shared" si="102"/>
        <v>#N/A</v>
      </c>
      <c r="AV70" s="30" t="e">
        <f t="shared" si="103"/>
        <v>#N/A</v>
      </c>
      <c r="AW70" s="31" t="e">
        <f>IF(OR(Hypothèses!$B$4=17,Hypothèses!$B$4=18,Hypothèses!$B$4=19,Hypothèses!$B$4=20),
IF($D70="Pressio.",
IF(OR($E70=3,$E70=1,$E70=4),AV70,AU70),
IF($D70="Pénétro.",
IF(OR($E70=3,$E70=1,$E70=4),AV70,AU70))),IF($D70="Pressio.",
IF($E70=3,AV70,AU70),
IF($D70="Pénétro.",
IF($E70=4,AV70,AU70))))</f>
        <v>#N/A</v>
      </c>
      <c r="AX70" s="31" t="e">
        <f>(IF(OR(Hypothèses!$B$4=17,Hypothèses!$B$4=18,Hypothèses!$B$4=19,Hypothèses!$B$4=20),
IF($D70="Pressio.",
IF(OR($E70=3,$E70=1,$E70=4),(PI()*AX$12^2)/4*(AT70*$W70*1000)/($H70*$B$5),(PI()*AX$12^2)/4*(AT70*$W70*1000)/($G70*$B$5)),
IF($D70="Pénétro.",
IF(OR($E70=4,$E70=1,$E70=5),(PI()*AX$12^2)/4*(AT70*$W70*1000)/($H70*$B$5),(PI()*AX$12^2)/4*(AT70*$W70*1000)/($G70*$B$5)))),
IF($D70="Pressio.",
IF($E70=3,(PI()*AX$12^2)/4*(AT70*$W70*1000)/($H70*$B$5),(PI()*AX$12^2)/4*(AT70*$W70*1000)/($G70*$B$5)),
IF($D70="Pénétro.",
IF($E70=4,(PI()*AX$12^2)/4*(AT70*$W70*1000)/($H70*$B$5),(PI()*AX$12^2)/4*(AT70*$W70*1000)/($G70*$B$5))))))/10</f>
        <v>#N/A</v>
      </c>
      <c r="AY70" s="102" t="e">
        <f>(VLOOKUP($B$3,'Coeff EC7'!$T$39:$X$59,2,0)*AW70+VLOOKUP($B$3,'Coeff EC7'!$T$65:$X$85,2,0)*Model0.1C!AX70)/1.1</f>
        <v>#N/A</v>
      </c>
      <c r="AZ70" s="102" t="e">
        <f>(VLOOKUP($B$3,'Coeff EC7'!$T$39:$X$59,3,0)*AW70+VLOOKUP($B$3,'Coeff EC7'!$T$65:$X$85,3,0)*Model0.1C!AX70)/0.9</f>
        <v>#N/A</v>
      </c>
      <c r="BA70" s="102" t="e">
        <f t="shared" si="73"/>
        <v>#N/A</v>
      </c>
      <c r="BB70" s="102" t="e">
        <f t="shared" si="74"/>
        <v>#N/A</v>
      </c>
      <c r="BC70" s="414" t="e">
        <f>IF(BC69=0,0,IF(AND(AY70&gt;charge_ELS_quasi,AZ70&gt;Charge_ELS_freq,BA70&gt;charge_ELU,BB70&gt;charge_ELA,$B70&gt;NDC!$H$22-0.1+MIN(3*$BC$12,1.5)),0,1))</f>
        <v>#N/A</v>
      </c>
      <c r="BD70" s="86" t="b">
        <f t="shared" si="26"/>
        <v>0</v>
      </c>
      <c r="BE70" s="86">
        <f t="shared" si="75"/>
        <v>0.5</v>
      </c>
      <c r="BF70" s="86">
        <f t="shared" si="27"/>
        <v>0.5</v>
      </c>
      <c r="BG70" s="30" t="e">
        <f t="shared" ca="1" si="76"/>
        <v>#DIV/0!</v>
      </c>
      <c r="BH70" s="85" t="e">
        <f ca="1">IF(AN70&lt;=Hypothèses!$V$7,Hypothèses!$W$7,IF(AN70&lt;=Hypothèses!$V$8,Hypothèses!$W$8,IF(AN70&lt;=Hypothèses!$V$9,Hypothèses!$W$9,IF(AN70&lt;=Hypothèses!$V$10,Hypothèses!$W$10,IF(AN70&lt;=Hypothèses!$V$11,Hypothèses!$W$11,IF(AN70&lt;=Hypothèses!$V$12,Hypothèses!$W$12,IF(AN70&lt;=Hypothèses!$V$13,Hypothèses!$W$13,IF(AN70&lt;=Hypothèses!$V$14,Hypothèses!$W$14,IF(AN70&lt;=Hypothèses!$V$15,Hypothèses!$W$15,IF(AN70&lt;=Hypothèses!$V$16,Hypothèses!$W$16,IF(AN70&lt;=Hypothèses!$V$17,Hypothèses!$W$17,IF(AN70&lt;=Hypothèses!$V$18,Hypothèses!$W$18,""))))))))))))</f>
        <v>#DIV/0!</v>
      </c>
      <c r="BI70" s="87" t="e">
        <f t="shared" ca="1" si="118"/>
        <v>#DIV/0!</v>
      </c>
      <c r="BJ70" s="88" t="e">
        <f ca="1">IF(AN70&lt;=Hypothèses!$V$7,Hypothèses!$X$7,IF(AN70&lt;=Hypothèses!$V$8,Hypothèses!$X$8,IF(AN70&lt;=Hypothèses!$V$9,Hypothèses!$X$9,IF(AN70&lt;=Hypothèses!$V$10,Hypothèses!$X$10,IF(AN70&lt;=Hypothèses!$V$11,Hypothèses!$X$11,IF(AN70&lt;=Hypothèses!$V$12,Hypothèses!$X$12,IF(AN70&lt;=Hypothèses!$V$13,Hypothèses!$X$13,IF(AN70&lt;=Hypothèses!$V$14,Hypothèses!$X$14,IF(AN70&lt;=Hypothèses!$V$15,Hypothèses!$X$15,IF(AN70&lt;=Hypothèses!$V$16,Hypothèses!$X$16,IF(AN70&lt;=Hypothèses!$U$17,Hypothèses!$W$17,IF(AN70&lt;=Hypothèses!$U$18,Hypothèses!$W$18,""))))))))))))</f>
        <v>#DIV/0!</v>
      </c>
      <c r="BK70" s="95" t="e">
        <f t="shared" ca="1" si="77"/>
        <v>#DIV/0!</v>
      </c>
      <c r="BL70" s="101" t="e">
        <f t="shared" si="125"/>
        <v>#N/A</v>
      </c>
      <c r="BM70" s="91" t="e">
        <f t="shared" si="29"/>
        <v>#N/A</v>
      </c>
      <c r="BN70" s="30" t="e">
        <f t="shared" si="104"/>
        <v>#N/A</v>
      </c>
      <c r="BO70" s="30" t="e">
        <f t="shared" si="105"/>
        <v>#N/A</v>
      </c>
      <c r="BP70" s="31" t="e">
        <f>IF(OR(Hypothèses!$B$4=17,Hypothèses!$B$4=18,Hypothèses!$B$4=19,Hypothèses!$B$4=20),
IF($D70="Pressio.",
IF(OR($E70=3,$E70=1,$E70=4),BO70,BN70),
IF($D70="Pénétro.",
IF(OR($E70=3,$E70=1,$E70=4),BO70,BN70))),IF($D70="Pressio.",
IF($E70=3,BO70,BN70),
IF($D70="Pénétro.",
IF($E70=4,BO70,BN70))))</f>
        <v>#N/A</v>
      </c>
      <c r="BQ70" s="31" t="e">
        <f>(IF(OR(Hypothèses!$B$4=17,Hypothèses!$B$4=18,Hypothèses!$B$4=19,Hypothèses!$B$4=20),
IF($D70="Pressio.",
IF(OR($E70=3,$E70=1,$E70=4),(PI()*BQ$12^2)/4*(BM70*$W70*1000)/($H70*$B$5),(PI()*BQ$12^2)/4*(BM70*$W70*1000)/($G70*$B$5)),
IF($D70="Pénétro.",
IF(OR($E70=4,$E70=1,$E70=5),(PI()*BQ$12^2)/4*(BM70*$W70*1000)/($H70*$B$5),(PI()*BQ$12^2)/4*(BM70*$W70*1000)/($G70*$B$5)))),
IF($D70="Pressio.",
IF($E70=3,(PI()*BQ$12^2)/4*(BM70*$W70*1000)/($H70*$B$5),(PI()*BQ$12^2)/4*(BM70*$W70*1000)/($G70*$B$5)),
IF($D70="Pénétro.",
IF($E70=4,(PI()*BQ$12^2)/4*(BM70*$W70*1000)/($H70*$B$5),(PI()*BQ$12^2)/4*(BM70*$W70*1000)/($G70*$B$5))))))/10</f>
        <v>#N/A</v>
      </c>
      <c r="BR70" s="102" t="e">
        <f>(VLOOKUP($B$3,'Coeff EC7'!$T$39:$X$59,2,0)*BP70+VLOOKUP($B$3,'Coeff EC7'!$T$65:$X$85,2,0)*Model0.1C!BQ70)/1.1</f>
        <v>#N/A</v>
      </c>
      <c r="BS70" s="102" t="e">
        <f>(VLOOKUP($B$3,'Coeff EC7'!$T$39:$X$59,3,0)*BP70+VLOOKUP($B$3,'Coeff EC7'!$T$65:$X$85,3,0)*Model0.1C!BQ70)/0.9</f>
        <v>#N/A</v>
      </c>
      <c r="BT70" s="102" t="e">
        <f t="shared" si="78"/>
        <v>#N/A</v>
      </c>
      <c r="BU70" s="102" t="e">
        <f t="shared" si="79"/>
        <v>#N/A</v>
      </c>
      <c r="BV70" s="414" t="e">
        <f>IF(BV69=0,0,IF(AND(BR70&gt;charge_ELS_quasi,BS70&gt;Charge_ELS_freq,BT70&gt;charge_ELU,BU70&gt;charge_ELA,$B70&gt;NDC!$H$22-0.1+MIN(3*$BV$12,1.5)),0,1))</f>
        <v>#N/A</v>
      </c>
      <c r="BW70" s="86" t="b">
        <f t="shared" si="32"/>
        <v>0</v>
      </c>
      <c r="BX70" s="86">
        <f t="shared" si="33"/>
        <v>0.5</v>
      </c>
      <c r="BY70" s="86">
        <f t="shared" si="34"/>
        <v>0.5</v>
      </c>
      <c r="BZ70" s="30" t="e">
        <f t="shared" ca="1" si="80"/>
        <v>#DIV/0!</v>
      </c>
      <c r="CA70" s="85" t="e">
        <f ca="1">IF(BG70&lt;=Hypothèses!$V$7,Hypothèses!$W$7,IF(BG70&lt;=Hypothèses!$V$8,Hypothèses!$W$8,IF(BG70&lt;=Hypothèses!$V$9,Hypothèses!$W$9,IF(BG70&lt;=Hypothèses!$V$10,Hypothèses!$W$10,IF(BG70&lt;=Hypothèses!$V$11,Hypothèses!$W$11,IF(BG70&lt;=Hypothèses!$V$12,Hypothèses!$W$12,IF(BG70&lt;=Hypothèses!$V$13,Hypothèses!$W$13,IF(BG70&lt;=Hypothèses!$V$14,Hypothèses!$W$14,IF(BG70&lt;=Hypothèses!$V$15,Hypothèses!$W$15,IF(BG70&lt;=Hypothèses!$V$16,Hypothèses!$W$16,IF(BG70&lt;=Hypothèses!$V$17,Hypothèses!$W$17,IF(BG70&lt;=Hypothèses!$V$18,Hypothèses!$W$18,""))))))))))))</f>
        <v>#DIV/0!</v>
      </c>
      <c r="CB70" s="87" t="e">
        <f t="shared" ca="1" si="119"/>
        <v>#DIV/0!</v>
      </c>
      <c r="CC70" s="88" t="e">
        <f ca="1">IF(BG70&lt;=Hypothèses!$V$7,Hypothèses!$X$7,IF(BG70&lt;=Hypothèses!$V$8,Hypothèses!$X$8,IF(BG70&lt;=Hypothèses!$V$9,Hypothèses!$X$9,IF(BG70&lt;=Hypothèses!$V$10,Hypothèses!$X$10,IF(BG70&lt;=Hypothèses!$V$11,Hypothèses!$X$11,IF(BG70&lt;=Hypothèses!$V$12,Hypothèses!$X$12,IF(BG70&lt;=Hypothèses!$V$13,Hypothèses!$X$13,IF(BG70&lt;=Hypothèses!$V$14,Hypothèses!$X$14,IF(BG70&lt;=Hypothèses!$V$15,Hypothèses!$X$15,IF(BG70&lt;=Hypothèses!$V$16,Hypothèses!$X$16,IF(BG70&lt;=Hypothèses!$U$17,Hypothèses!$W$17,IF(BG70&lt;=Hypothèses!$U$18,Hypothèses!$W$18,""))))))))))))</f>
        <v>#DIV/0!</v>
      </c>
      <c r="CD70" s="95" t="e">
        <f t="shared" ca="1" si="81"/>
        <v>#DIV/0!</v>
      </c>
      <c r="CE70" s="101" t="e">
        <f t="shared" si="126"/>
        <v>#N/A</v>
      </c>
      <c r="CF70" s="91" t="e">
        <f t="shared" si="36"/>
        <v>#N/A</v>
      </c>
      <c r="CG70" s="30" t="e">
        <f t="shared" si="106"/>
        <v>#N/A</v>
      </c>
      <c r="CH70" s="30" t="e">
        <f t="shared" si="107"/>
        <v>#N/A</v>
      </c>
      <c r="CI70" s="31" t="e">
        <f>IF(OR(Hypothèses!$B$4=17,Hypothèses!$B$4=18,Hypothèses!$B$4=19,Hypothèses!$B$4=20),
IF($D70="Pressio.",
IF(OR($E70=3,$E70=1,$E70=4),CH70,CG70),
IF($D70="Pénétro.",
IF(OR($E70=3,$E70=1,$E70=4),CH70,CG70))),IF($D70="Pressio.",
IF($E70=3,CH70,CG70),
IF($D70="Pénétro.",
IF($E70=4,CH70,CG70))))</f>
        <v>#N/A</v>
      </c>
      <c r="CJ70" s="31" t="e">
        <f>(IF(OR(Hypothèses!$B$4=17,Hypothèses!$B$4=18,Hypothèses!$B$4=19,Hypothèses!$B$4=20),
IF($D70="Pressio.",
IF(OR($E70=3,$E70=1,$E70=4),(PI()*CJ$12^2)/4*(CF70*$W70*1000)/($H70*$B$5),(PI()*CJ$12^2)/4*(CF70*$W70*1000)/($G70*$B$5)),
IF($D70="Pénétro.",
IF(OR($E70=4,$E70=1,$E70=5),(PI()*CJ$12^2)/4*(CF70*$W70*1000)/($H70*$B$5),(PI()*CJ$12^2)/4*(CF70*$W70*1000)/($G70*$B$5)))),
IF($D70="Pressio.",
IF($E70=3,(PI()*CJ$12^2)/4*(CF70*$W70*1000)/($H70*$B$5),(PI()*CJ$12^2)/4*(CF70*$W70*1000)/($G70*$B$5)),
IF($D70="Pénétro.",
IF($E70=4,(PI()*CJ$12^2)/4*(CF70*$W70*1000)/($H70*$B$5),(PI()*CJ$12^2)/4*(CF70*$W70*1000)/($G70*$B$5))))))/10</f>
        <v>#N/A</v>
      </c>
      <c r="CK70" s="102" t="e">
        <f>(VLOOKUP($B$3,'Coeff EC7'!$T$39:$X$59,2,0)*CI70+VLOOKUP($B$3,'Coeff EC7'!$T$65:$X$85,2,0)*Model0.1C!CJ70)/1.1</f>
        <v>#N/A</v>
      </c>
      <c r="CL70" s="102" t="e">
        <f>(VLOOKUP($B$3,'Coeff EC7'!$T$39:$X$59,3,0)*CI70+VLOOKUP($B$3,'Coeff EC7'!$T$65:$X$85,3,0)*Model0.1C!CJ70)/0.9</f>
        <v>#N/A</v>
      </c>
      <c r="CM70" s="102" t="e">
        <f t="shared" si="82"/>
        <v>#N/A</v>
      </c>
      <c r="CN70" s="102" t="e">
        <f t="shared" si="83"/>
        <v>#N/A</v>
      </c>
      <c r="CO70" s="414" t="e">
        <f>IF(CO69=0,0,IF(AND(CK70&gt;charge_ELS_quasi,CL70&gt;Charge_ELS_freq,CM70&gt;charge_ELU,CN70&gt;charge_ELA,$B70&gt;NDC!$H$22-0.1+MIN(3*$CO$12,1.5)),0,1))</f>
        <v>#N/A</v>
      </c>
      <c r="CP70" s="86" t="b">
        <f t="shared" si="39"/>
        <v>0</v>
      </c>
      <c r="CQ70" s="86">
        <f t="shared" si="40"/>
        <v>0.5</v>
      </c>
      <c r="CR70" s="86">
        <f t="shared" si="41"/>
        <v>0.5</v>
      </c>
      <c r="CS70" s="30" t="e">
        <f t="shared" ca="1" si="84"/>
        <v>#DIV/0!</v>
      </c>
      <c r="CT70" s="85" t="e">
        <f ca="1">IF(BZ70&lt;=Hypothèses!$V$7,Hypothèses!$W$7,IF(BZ70&lt;=Hypothèses!$V$8,Hypothèses!$W$8,IF(BZ70&lt;=Hypothèses!$V$9,Hypothèses!$W$9,IF(BZ70&lt;=Hypothèses!$V$10,Hypothèses!$W$10,IF(BZ70&lt;=Hypothèses!$V$11,Hypothèses!$W$11,IF(BZ70&lt;=Hypothèses!$V$12,Hypothèses!$W$12,IF(BZ70&lt;=Hypothèses!$V$13,Hypothèses!$W$13,IF(BZ70&lt;=Hypothèses!$V$14,Hypothèses!$W$14,IF(BZ70&lt;=Hypothèses!$V$15,Hypothèses!$W$15,IF(BZ70&lt;=Hypothèses!$V$16,Hypothèses!$W$16,IF(BZ70&lt;=Hypothèses!$V$17,Hypothèses!$W$17,IF(BZ70&lt;=Hypothèses!$V$18,Hypothèses!$W$18,""))))))))))))</f>
        <v>#DIV/0!</v>
      </c>
      <c r="CU70" s="87" t="e">
        <f t="shared" ca="1" si="120"/>
        <v>#DIV/0!</v>
      </c>
      <c r="CV70" s="88" t="e">
        <f ca="1">IF(BZ70&lt;=Hypothèses!$V$7,Hypothèses!$X$7,IF(BZ70&lt;=Hypothèses!$V$8,Hypothèses!$X$8,IF(BZ70&lt;=Hypothèses!$V$9,Hypothèses!$X$9,IF(BZ70&lt;=Hypothèses!$V$10,Hypothèses!$X$10,IF(BZ70&lt;=Hypothèses!$V$11,Hypothèses!$X$11,IF(BZ70&lt;=Hypothèses!$V$12,Hypothèses!$X$12,IF(BZ70&lt;=Hypothèses!$V$13,Hypothèses!$X$13,IF(BZ70&lt;=Hypothèses!$V$14,Hypothèses!$X$14,IF(BZ70&lt;=Hypothèses!$V$15,Hypothèses!$X$15,IF(BZ70&lt;=Hypothèses!$V$16,Hypothèses!$X$16,IF(BZ70&lt;=Hypothèses!$U$17,Hypothèses!$W$17,IF(BZ70&lt;=Hypothèses!$U$18,Hypothèses!$W$18,""))))))))))))</f>
        <v>#DIV/0!</v>
      </c>
      <c r="CW70" s="95" t="e">
        <f t="shared" ca="1" si="85"/>
        <v>#DIV/0!</v>
      </c>
      <c r="CX70" s="101" t="e">
        <f t="shared" si="127"/>
        <v>#N/A</v>
      </c>
      <c r="CY70" s="91" t="e">
        <f t="shared" si="43"/>
        <v>#N/A</v>
      </c>
      <c r="CZ70" s="30" t="e">
        <f t="shared" si="108"/>
        <v>#N/A</v>
      </c>
      <c r="DA70" s="30" t="e">
        <f t="shared" si="109"/>
        <v>#N/A</v>
      </c>
      <c r="DB70" s="31" t="e">
        <f>IF(OR(Hypothèses!$B$4=17,Hypothèses!$B$4=18,Hypothèses!$B$4=19,Hypothèses!$B$4=20),
IF($D70="Pressio.",
IF(OR($E70=3,$E70=1,$E70=4),DA70,CZ70),
IF($D70="Pénétro.",
IF(OR($E70=3,$E70=1,$E70=4),DA70,CZ70))),IF($D70="Pressio.",
IF($E70=3,DA70,CZ70),
IF($D70="Pénétro.",
IF($E70=4,DA70,CZ70))))</f>
        <v>#N/A</v>
      </c>
      <c r="DC70" s="31" t="e">
        <f>(IF(OR(Hypothèses!$B$4=17,Hypothèses!$B$4=18,Hypothèses!$B$4=19,Hypothèses!$B$4=20),
IF($D70="Pressio.",
IF(OR($E70=3,$E70=1,$E70=4),(PI()*DC$12^2)/4*(CY70*$W70*1000)/($H70*$B$5),(PI()*DC$12^2)/4*(CY70*$W70*1000)/($G70*$B$5)),
IF($D70="Pénétro.",
IF(OR($E70=4,$E70=1,$E70=5),(PI()*DC$12^2)/4*(CY70*$W70*1000)/($H70*$B$5),(PI()*DC$12^2)/4*(CY70*$W70*1000)/($G70*$B$5)))),
IF($D70="Pressio.",
IF($E70=3,(PI()*DC$12^2)/4*(CY70*$W70*1000)/($H70*$B$5),(PI()*DC$12^2)/4*(CY70*$W70*1000)/($G70*$B$5)),
IF($D70="Pénétro.",
IF($E70=4,(PI()*DC$12^2)/4*(CY70*$W70*1000)/($H70*$B$5),(PI()*DC$12^2)/4*(CY70*$W70*1000)/($G70*$B$5))))))/10</f>
        <v>#N/A</v>
      </c>
      <c r="DD70" s="102" t="e">
        <f>(VLOOKUP($B$3,'Coeff EC7'!$T$39:$X$59,2,0)*DB70+VLOOKUP($B$3,'Coeff EC7'!$T$65:$X$85,2,0)*Model0.1C!DC70)/1.1</f>
        <v>#N/A</v>
      </c>
      <c r="DE70" s="102" t="e">
        <f>(VLOOKUP($B$3,'Coeff EC7'!$T$39:$X$59,3,0)*DB70+VLOOKUP($B$3,'Coeff EC7'!$T$65:$X$85,3,0)*Model0.1C!DC70)/0.9</f>
        <v>#N/A</v>
      </c>
      <c r="DF70" s="102" t="e">
        <f t="shared" si="86"/>
        <v>#N/A</v>
      </c>
      <c r="DG70" s="102" t="e">
        <f t="shared" si="87"/>
        <v>#N/A</v>
      </c>
      <c r="DH70" s="414" t="e">
        <f>IF(DH69=0,0,IF(AND(DD70&gt;charge_ELS_quasi,DE70&gt;Charge_ELS_freq,DF70&gt;charge_ELU,DG70&gt;charge_ELA,$B70&gt;NDC!$H$22-0.1+MIN(3*$DH$12,1.5)),0,1))</f>
        <v>#N/A</v>
      </c>
      <c r="DI70" s="86" t="b">
        <f t="shared" si="46"/>
        <v>0</v>
      </c>
      <c r="DJ70" s="86">
        <f t="shared" si="47"/>
        <v>0.5</v>
      </c>
      <c r="DK70" s="86">
        <f t="shared" si="48"/>
        <v>0.5</v>
      </c>
      <c r="DL70" s="30" t="e">
        <f t="shared" ca="1" si="88"/>
        <v>#DIV/0!</v>
      </c>
      <c r="DM70" s="85" t="e">
        <f ca="1">IF(CS70&lt;=Hypothèses!$V$7,Hypothèses!$W$7,IF(CS70&lt;=Hypothèses!$V$8,Hypothèses!$W$8,IF(CS70&lt;=Hypothèses!$V$9,Hypothèses!$W$9,IF(CS70&lt;=Hypothèses!$V$10,Hypothèses!$W$10,IF(CS70&lt;=Hypothèses!$V$11,Hypothèses!$W$11,IF(CS70&lt;=Hypothèses!$V$12,Hypothèses!$W$12,IF(CS70&lt;=Hypothèses!$V$13,Hypothèses!$W$13,IF(CS70&lt;=Hypothèses!$V$14,Hypothèses!$W$14,IF(CS70&lt;=Hypothèses!$V$15,Hypothèses!$W$15,IF(CS70&lt;=Hypothèses!$V$16,Hypothèses!$W$16,IF(CS70&lt;=Hypothèses!$V$17,Hypothèses!$W$17,IF(CS70&lt;=Hypothèses!$V$18,Hypothèses!$W$18,""))))))))))))</f>
        <v>#DIV/0!</v>
      </c>
      <c r="DN70" s="87" t="e">
        <f t="shared" ca="1" si="121"/>
        <v>#DIV/0!</v>
      </c>
      <c r="DO70" s="88" t="e">
        <f ca="1">IF(CS70&lt;=Hypothèses!$V$7,Hypothèses!$X$7,IF(CS70&lt;=Hypothèses!$V$8,Hypothèses!$X$8,IF(CS70&lt;=Hypothèses!$V$9,Hypothèses!$X$9,IF(CS70&lt;=Hypothèses!$V$10,Hypothèses!$X$10,IF(CS70&lt;=Hypothèses!$V$11,Hypothèses!$X$11,IF(CS70&lt;=Hypothèses!$V$12,Hypothèses!$X$12,IF(CS70&lt;=Hypothèses!$V$13,Hypothèses!$X$13,IF(CS70&lt;=Hypothèses!$V$14,Hypothèses!$X$14,IF(CS70&lt;=Hypothèses!$V$15,Hypothèses!$X$15,IF(CS70&lt;=Hypothèses!$V$16,Hypothèses!$X$16,IF(CS70&lt;=Hypothèses!$U$17,Hypothèses!$W$17,IF(CS70&lt;=Hypothèses!$U$18,Hypothèses!$W$18,""))))))))))))</f>
        <v>#DIV/0!</v>
      </c>
      <c r="DP70" s="95" t="e">
        <f t="shared" ca="1" si="89"/>
        <v>#DIV/0!</v>
      </c>
      <c r="DQ70" s="101" t="e">
        <f t="shared" si="128"/>
        <v>#N/A</v>
      </c>
      <c r="DR70" s="91" t="e">
        <f t="shared" si="50"/>
        <v>#N/A</v>
      </c>
      <c r="DS70" s="30" t="e">
        <f t="shared" si="110"/>
        <v>#N/A</v>
      </c>
      <c r="DT70" s="30" t="e">
        <f t="shared" si="111"/>
        <v>#N/A</v>
      </c>
      <c r="DU70" s="31" t="e">
        <f>IF(OR(Hypothèses!$B$4=17,Hypothèses!$B$4=18,Hypothèses!$B$4=19,Hypothèses!$B$4=20),
IF($D70="Pressio.",
IF(OR($E70=3,$E70=1,$E70=4),DT70,DS70),
IF($D70="Pénétro.",
IF(OR($E70=3,$E70=1,$E70=4),DT70,DS70))),IF($D70="Pressio.",
IF($E70=3,DT70,DS70),
IF($D70="Pénétro.",
IF($E70=4,DT70,DS70))))</f>
        <v>#N/A</v>
      </c>
      <c r="DV70" s="31" t="e">
        <f>(IF(OR(Hypothèses!$B$4=17,Hypothèses!$B$4=18,Hypothèses!$B$4=19,Hypothèses!$B$4=20),
IF($D70="Pressio.",
IF(OR($E70=3,$E70=1,$E70=4),(PI()*DV$12^2)/4*(DR70*$W70*1000)/($H70*$B$5),(PI()*DV$12^2)/4*(DR70*$W70*1000)/($G70*$B$5)),
IF($D70="Pénétro.",
IF(OR($E70=4,$E70=1,$E70=5),(PI()*DV$12^2)/4*(DR70*$W70*1000)/($H70*$B$5),(PI()*DV$12^2)/4*(DR70*$W70*1000)/($G70*$B$5)))),
IF($D70="Pressio.",
IF($E70=3,(PI()*DV$12^2)/4*(DR70*$W70*1000)/($H70*$B$5),(PI()*DV$12^2)/4*(DR70*$W70*1000)/($G70*$B$5)),
IF($D70="Pénétro.",
IF($E70=4,(PI()*DV$12^2)/4*(DR70*$W70*1000)/($H70*$B$5),(PI()*DV$12^2)/4*(DR70*$W70*1000)/($G70*$B$5))))))/10</f>
        <v>#N/A</v>
      </c>
      <c r="DW70" s="102" t="e">
        <f>(VLOOKUP($B$3,'Coeff EC7'!$T$39:$X$59,2,0)*DU70+VLOOKUP($B$3,'Coeff EC7'!$T$65:$X$85,2,0)*Model0.1C!DV70)/1.1</f>
        <v>#N/A</v>
      </c>
      <c r="DX70" s="102" t="e">
        <f>(VLOOKUP($B$3,'Coeff EC7'!$T$39:$X$59,3,0)*DU70+VLOOKUP($B$3,'Coeff EC7'!$T$65:$X$85,3,0)*Model0.1C!DV70)/0.9</f>
        <v>#N/A</v>
      </c>
      <c r="DY70" s="102" t="e">
        <f t="shared" si="90"/>
        <v>#N/A</v>
      </c>
      <c r="DZ70" s="102" t="e">
        <f t="shared" si="91"/>
        <v>#N/A</v>
      </c>
      <c r="EA70" s="414" t="e">
        <f>IF(EA69=0,0,IF(AND(DW70&gt;charge_ELS_quasi,DX70&gt;Charge_ELS_freq,DY70&gt;charge_ELU,DZ70&gt;charge_ELA,$B70&gt;NDC!$H$22-0.1+MIN(3*$EA$12,1.5)),0,1))</f>
        <v>#N/A</v>
      </c>
      <c r="EB70" s="86" t="b">
        <f t="shared" si="53"/>
        <v>0</v>
      </c>
      <c r="EC70" s="418">
        <f t="shared" si="54"/>
        <v>0.51</v>
      </c>
      <c r="ED70" s="86">
        <f t="shared" si="55"/>
        <v>0.51</v>
      </c>
      <c r="EE70" s="30" t="e">
        <f t="shared" ca="1" si="92"/>
        <v>#DIV/0!</v>
      </c>
      <c r="EF70" s="85" t="e">
        <f ca="1">IF(DL70&lt;=Hypothèses!$V$7,Hypothèses!$W$7,IF(DL70&lt;=Hypothèses!$V$8,Hypothèses!$W$8,IF(DL70&lt;=Hypothèses!$V$9,Hypothèses!$W$9,IF(DL70&lt;=Hypothèses!$V$10,Hypothèses!$W$10,IF(DL70&lt;=Hypothèses!$V$11,Hypothèses!$W$11,IF(DL70&lt;=Hypothèses!$V$12,Hypothèses!$W$12,IF(DL70&lt;=Hypothèses!$V$13,Hypothèses!$W$13,IF(DL70&lt;=Hypothèses!$V$14,Hypothèses!$W$14,IF(DL70&lt;=Hypothèses!$V$15,Hypothèses!$W$15,IF(DL70&lt;=Hypothèses!$V$16,Hypothèses!$W$16,IF(DL70&lt;=Hypothèses!$V$17,Hypothèses!$W$17,IF(DL70&lt;=Hypothèses!$V$18,Hypothèses!$W$18,""))))))))))))</f>
        <v>#DIV/0!</v>
      </c>
      <c r="EG70" s="87" t="e">
        <f t="shared" ca="1" si="122"/>
        <v>#DIV/0!</v>
      </c>
      <c r="EH70" s="88" t="e">
        <f ca="1">IF(DL70&lt;=Hypothèses!$V$7,Hypothèses!$X$7,IF(DL70&lt;=Hypothèses!$V$8,Hypothèses!$X$8,IF(DL70&lt;=Hypothèses!$V$9,Hypothèses!$X$9,IF(DL70&lt;=Hypothèses!$V$10,Hypothèses!$X$10,IF(DL70&lt;=Hypothèses!$V$11,Hypothèses!$X$11,IF(DL70&lt;=Hypothèses!$V$12,Hypothèses!$X$12,IF(DL70&lt;=Hypothèses!$V$13,Hypothèses!$X$13,IF(DL70&lt;=Hypothèses!$V$14,Hypothèses!$X$14,IF(DL70&lt;=Hypothèses!$V$15,Hypothèses!$X$15,IF(DL70&lt;=Hypothèses!$V$16,Hypothèses!$X$16,IF(DL70&lt;=Hypothèses!$U$17,Hypothèses!$W$17,IF(DL70&lt;=Hypothèses!$U$18,Hypothèses!$W$18,""))))))))))))</f>
        <v>#DIV/0!</v>
      </c>
      <c r="EI70" s="95" t="e">
        <f t="shared" ca="1" si="93"/>
        <v>#DIV/0!</v>
      </c>
      <c r="EJ70" s="101" t="e">
        <f t="shared" si="129"/>
        <v>#N/A</v>
      </c>
      <c r="EK70" s="91" t="e">
        <f t="shared" si="57"/>
        <v>#N/A</v>
      </c>
      <c r="EL70" s="30" t="e">
        <f t="shared" si="112"/>
        <v>#N/A</v>
      </c>
      <c r="EM70" s="30" t="e">
        <f t="shared" si="113"/>
        <v>#N/A</v>
      </c>
      <c r="EN70" s="31" t="e">
        <f>IF(OR(Hypothèses!$B$4=17,Hypothèses!$B$4=18,Hypothèses!$B$4=19,Hypothèses!$B$4=20),
IF($D70="Pressio.",
IF(OR($E70=3,$E70=1,$E70=4),EM70,EL70),
IF($D70="Pénétro.",
IF(OR($E70=3,$E70=1,$E70=4),EM70,EL70))),IF($D70="Pressio.",
IF($E70=3,EM70,EL70),
IF($D70="Pénétro.",
IF($E70=4,EM70,EL70))))</f>
        <v>#N/A</v>
      </c>
      <c r="EO70" s="31" t="e">
        <f>(IF(OR(Hypothèses!$B$4=17,Hypothèses!$B$4=18,Hypothèses!$B$4=19,Hypothèses!$B$4=20),
IF($D70="Pressio.",
IF(OR($E70=3,$E70=1,$E70=4),(PI()*EO$12^2)/4*(EK70*$W70*1000)/($H70*$B$5),(PI()*EO$12^2)/4*(EK70*$W70*1000)/($G70*$B$5)),
IF($D70="Pénétro.",
IF(OR($E70=4,$E70=1,$E70=5),(PI()*EO$12^2)/4*(EK70*$W70*1000)/($H70*$B$5),(PI()*EO$12^2)/4*(EK70*$W70*1000)/($G70*$B$5)))),
IF($D70="Pressio.",
IF($E70=3,(PI()*EO$12^2)/4*(EK70*$W70*1000)/($H70*$B$5),(PI()*EO$12^2)/4*(EK70*$W70*1000)/($G70*$B$5)),
IF($D70="Pénétro.",
IF($E70=4,(PI()*EO$12^2)/4*(EK70*$W70*1000)/($H70*$B$5),(PI()*EO$12^2)/4*(EK70*$W70*1000)/($G70*$B$5))))))/10</f>
        <v>#N/A</v>
      </c>
      <c r="EP70" s="102" t="e">
        <f>(VLOOKUP($B$3,'Coeff EC7'!$T$39:$X$59,2,0)*EN70+VLOOKUP($B$3,'Coeff EC7'!$T$65:$X$85,2,0)*Model0.1C!EO70)/1.1</f>
        <v>#N/A</v>
      </c>
      <c r="EQ70" s="102" t="e">
        <f>(VLOOKUP($B$3,'Coeff EC7'!$T$39:$X$59,3,0)*EN70+VLOOKUP($B$3,'Coeff EC7'!$T$65:$X$85,3,0)*Model0.1C!EO70)/0.9</f>
        <v>#N/A</v>
      </c>
      <c r="ER70" s="102" t="e">
        <f t="shared" si="94"/>
        <v>#N/A</v>
      </c>
      <c r="ES70" s="102" t="e">
        <f t="shared" si="95"/>
        <v>#N/A</v>
      </c>
      <c r="ET70" s="414" t="e">
        <f>IF(ET69=0,0,IF(AND(EP70&gt;charge_ELS_quasi,EQ70&gt;Charge_ELS_freq,ER70&gt;charge_ELU,ES70&gt;charge_ELA,$B70&gt;NDC!$H$22-0.1+MIN(3*$ET$12,1.5)),0,1))</f>
        <v>#N/A</v>
      </c>
      <c r="EU70" s="86" t="b">
        <f t="shared" si="60"/>
        <v>0</v>
      </c>
      <c r="EV70" s="86">
        <f t="shared" si="61"/>
        <v>0.61</v>
      </c>
      <c r="EW70" s="86">
        <f t="shared" si="62"/>
        <v>0.61</v>
      </c>
      <c r="EX70" s="30" t="e">
        <f t="shared" ca="1" si="96"/>
        <v>#DIV/0!</v>
      </c>
      <c r="EY70" s="85" t="e">
        <f ca="1">IF(EE70&lt;=Hypothèses!$V$7,Hypothèses!$W$7,IF(EE70&lt;=Hypothèses!$V$8,Hypothèses!$W$8,IF(EE70&lt;=Hypothèses!$V$9,Hypothèses!$W$9,IF(EE70&lt;=Hypothèses!$V$10,Hypothèses!$W$10,IF(EE70&lt;=Hypothèses!$V$11,Hypothèses!$W$11,IF(EE70&lt;=Hypothèses!$V$12,Hypothèses!$W$12,IF(EE70&lt;=Hypothèses!$V$13,Hypothèses!$W$13,IF(EE70&lt;=Hypothèses!$V$14,Hypothèses!$W$14,IF(EE70&lt;=Hypothèses!$V$15,Hypothèses!$W$15,IF(EE70&lt;=Hypothèses!$V$16,Hypothèses!$W$16,IF(EE70&lt;=Hypothèses!$V$17,Hypothèses!$W$17,IF(EE70&lt;=Hypothèses!$V$18,Hypothèses!$W$18,""))))))))))))</f>
        <v>#DIV/0!</v>
      </c>
      <c r="EZ70" s="87" t="e">
        <f t="shared" ca="1" si="123"/>
        <v>#DIV/0!</v>
      </c>
      <c r="FA70" s="88" t="e">
        <f ca="1">IF(EE70&lt;=Hypothèses!$V$7,Hypothèses!$X$7,IF(EE70&lt;=Hypothèses!$V$8,Hypothèses!$X$8,IF(EE70&lt;=Hypothèses!$V$9,Hypothèses!$X$9,IF(EE70&lt;=Hypothèses!$V$10,Hypothèses!$X$10,IF(EE70&lt;=Hypothèses!$V$11,Hypothèses!$X$11,IF(EE70&lt;=Hypothèses!$V$12,Hypothèses!$X$12,IF(EE70&lt;=Hypothèses!$V$13,Hypothèses!$X$13,IF(EE70&lt;=Hypothèses!$V$14,Hypothèses!$X$14,IF(EE70&lt;=Hypothèses!$V$15,Hypothèses!$X$15,IF(EE70&lt;=Hypothèses!$V$16,Hypothèses!$X$16,IF(EE70&lt;=Hypothèses!$U$17,Hypothèses!$W$17,IF(EE70&lt;=Hypothèses!$U$18,Hypothèses!$W$18,""))))))))))))</f>
        <v>#DIV/0!</v>
      </c>
      <c r="FB70" s="95" t="e">
        <f t="shared" ca="1" si="97"/>
        <v>#DIV/0!</v>
      </c>
      <c r="FC70" s="101" t="e">
        <f t="shared" si="130"/>
        <v>#N/A</v>
      </c>
      <c r="FD70" s="91" t="e">
        <f t="shared" si="64"/>
        <v>#N/A</v>
      </c>
      <c r="FE70" s="30" t="e">
        <f t="shared" si="114"/>
        <v>#N/A</v>
      </c>
      <c r="FF70" s="30" t="e">
        <f t="shared" si="115"/>
        <v>#N/A</v>
      </c>
      <c r="FG70" s="31" t="e">
        <f>IF(OR(Hypothèses!$B$4=17,Hypothèses!$B$4=18,Hypothèses!$B$4=19,Hypothèses!$B$4=20),
IF($D70="Pressio.",
IF(OR($E70=3,$E70=1,$E70=4),FF70,FE70),
IF($D70="Pénétro.",
IF(OR($E70=3,$E70=1,$E70=4),FF70,FE70))),IF($D70="Pressio.",
IF($E70=3,FF70,FE70),
IF($D70="Pénétro.",
IF($E70=4,FF70,FE70))))</f>
        <v>#N/A</v>
      </c>
      <c r="FH70" s="31" t="e">
        <f>(IF(OR(Hypothèses!$B$4=17,Hypothèses!$B$4=18,Hypothèses!$B$4=19,Hypothèses!$B$4=20),
IF($D70="Pressio.",
IF(OR($E70=3,$E70=1,$E70=4),(PI()*FH$12^2)/4*(FD70*$W70*1000)/($H70*$B$5),(PI()*FH$12^2)/4*(FD70*$W70*1000)/($G70*$B$5)),
IF($D70="Pénétro.",
IF(OR($E70=4,$E70=1,$E70=5),(PI()*FH$12^2)/4*(FD70*$W70*1000)/($H70*$B$5),(PI()*FH$12^2)/4*(FD70*$W70*1000)/($G70*$B$5)))),
IF($D70="Pressio.",
IF($E70=3,(PI()*FH$12^2)/4*(FD70*$W70*1000)/($H70*$B$5),(PI()*FH$12^2)/4*(FD70*$W70*1000)/($G70*$B$5)),
IF($D70="Pénétro.",
IF($E70=4,(PI()*FH$12^2)/4*(FD70*$W70*1000)/($H70*$B$5),(PI()*FH$12^2)/4*(FD70*$W70*1000)/($G70*$B$5))))))/10</f>
        <v>#N/A</v>
      </c>
      <c r="FI70" s="102" t="e">
        <f>(VLOOKUP($B$3,'Coeff EC7'!$T$39:$X$59,2,0)*FG70+VLOOKUP($B$3,'Coeff EC7'!$T$65:$X$85,2,0)*Model0.1C!FH70)/1.1</f>
        <v>#N/A</v>
      </c>
      <c r="FJ70" s="102" t="e">
        <f>(VLOOKUP($B$3,'Coeff EC7'!$T$39:$X$59,3,0)*FG70+VLOOKUP($B$3,'Coeff EC7'!$T$65:$X$85,3,0)*Model0.1C!FH70)/0.9</f>
        <v>#N/A</v>
      </c>
      <c r="FK70" s="102" t="e">
        <f t="shared" si="98"/>
        <v>#N/A</v>
      </c>
      <c r="FL70" s="102" t="e">
        <f t="shared" si="99"/>
        <v>#N/A</v>
      </c>
      <c r="FM70" s="414" t="e">
        <f>IF(FM69=0,0,IF(AND(FI70&gt;charge_ELS_quasi,FJ70&gt;Charge_ELS_freq,FK70&gt;charge_ELU,FL70&gt;charge_ELA,$B70&gt;NDC!$H$22-0.1+MIN(3*$FM$12,1.5)),0,1))</f>
        <v>#N/A</v>
      </c>
    </row>
    <row r="71" spans="1:169">
      <c r="A71" s="96">
        <f t="shared" si="67"/>
        <v>94.20000000000033</v>
      </c>
      <c r="B71" s="97">
        <v>5.8</v>
      </c>
      <c r="C71" s="81">
        <f>IF(B71&lt;=Hypothèses!$C$7,Hypothèses!$A$7,IF(B71&lt;=Hypothèses!$C$8,Hypothèses!$A$8,IF(B71&lt;=Hypothèses!$C$9,Hypothèses!$A$9,IF(B71&lt;=Hypothèses!$C$10,Hypothèses!$A$10,IF(B71&lt;=Hypothèses!$C$11,Hypothèses!$A$11,IF(B71&lt;=Hypothèses!$C$12,Hypothèses!$A$12,IF(B71&lt;=Hypothèses!$C$13,Hypothèses!$A$13,IF(B71&lt;=Hypothèses!$C$14,Hypothèses!$A$14,IF(B71&lt;=Hypothèses!$C$15,Hypothèses!$A$15,IF(B71&lt;=Hypothèses!$C$16,Hypothèses!$A$16,IF(B71&lt;=Hypothèses!$C$17,Hypothèses!$A$17,IF(B71&lt;=Hypothèses!$C$18,Hypothèses!$A$18,C70))))))))))))</f>
        <v>11</v>
      </c>
      <c r="D71" s="82" t="str">
        <f>IF(B71&lt;=Hypothèses!$C$7,Hypothèses!$R$7,IF(B71&lt;=Hypothèses!$C$8,Hypothèses!$R$8,IF(B71&lt;=Hypothèses!$C$9,Hypothèses!$R$9,IF(B71&lt;=Hypothèses!$C$10,Hypothèses!$R$10,IF(B71&lt;=Hypothèses!$C$11,Hypothèses!$R$11,IF(B71&lt;=Hypothèses!$C$12,Hypothèses!$R$12,IF(B71&lt;=Hypothèses!$C$13,Hypothèses!$R$13,IF(B71&lt;=Hypothèses!$C$14,Hypothèses!$R$14,IF(B71&lt;=Hypothèses!$C$15,Hypothèses!$R$15,IF(B71&lt;=Hypothèses!$C$16,Hypothèses!$R$16,IF(B71&lt;=Hypothèses!$C$17,Hypothèses!$R$17,IF(B71&lt;=Hypothèses!$C$18,Hypothèses!$R$18,D70))))))))))))</f>
        <v>Pressio.</v>
      </c>
      <c r="E71" s="82" t="e">
        <f>IF(B71&lt;=Hypothèses!$C$7,Hypothèses!$G$7,IF(B71&lt;=Hypothèses!$C$8,Hypothèses!$G$8,IF(B71&lt;=Hypothèses!$C$9,Hypothèses!$G$9,IF(B71&lt;=Hypothèses!$C$10,Hypothèses!$G$10,IF(B71&lt;=Hypothèses!$C$11,Hypothèses!$G$11,IF(B71&lt;=Hypothèses!$C$12,Hypothèses!$G$12,IF(B71&lt;=Hypothèses!$C$13,Hypothèses!$G$13,IF(B71&lt;=Hypothèses!$C$14,Hypothèses!$G$14,IF(B71&lt;=Hypothèses!$C$15,Hypothèses!$G$15,IF(B71&lt;=Hypothèses!$C$16,Hypothèses!$G$16,IF(B71&lt;=Hypothèses!$C$17,Hypothèses!$G$17,IF(B71&lt;=Hypothèses!$C$18,Hypothèses!$G$18,E70))))))))))))</f>
        <v>#N/A</v>
      </c>
      <c r="F71" s="82" t="str">
        <f>IF(B71&lt;=Hypothèses!$C$7,Hypothèses!$F$7,IF(B71&lt;=Hypothèses!$C$8,Hypothèses!$F$8,IF(B71&lt;=Hypothèses!$C$9,Hypothèses!$F$9,IF(B71&lt;=Hypothèses!$C$10,Hypothèses!$F$10,IF(B71&lt;=Hypothèses!$C$11,Hypothèses!$F$11,IF(B71&lt;=Hypothèses!$C$12,Hypothèses!$F$12,IF(B71&lt;=Hypothèses!$C$13,Hypothèses!$F$13,IF(B71&lt;=Hypothèses!$C$14,Hypothèses!$F$14,IF(B71&lt;=Hypothèses!$C$15,Hypothèses!$F$15,IF(B71&lt;=Hypothèses!$C$16,Hypothèses!$F$16,IF(B71&lt;=Hypothèses!$C$17,Hypothèses!$F$17,IF(B71&lt;=Hypothèses!$C$18,Hypothèses!$F$18,F70))))))))))))</f>
        <v/>
      </c>
      <c r="G71" s="91">
        <f t="array" ref="G71">INDEX('Coeff EC7'!$U$7:$X$27,
MATCH(Model0.1C!$B$3,'Coeff EC7'!$T$7:$T$27,0),
MATCH(Model0.1C!$D71&amp;Model0.1C!$B$4,
'Coeff EC7'!$U$6:$X$6&amp;
'Coeff EC7'!$U$5:$X$5,0))</f>
        <v>1.1499999999999999</v>
      </c>
      <c r="H71" s="91">
        <f t="array" ref="H71">INDEX('Coeff EC7'!$Y$7:$AB$27,
MATCH(Model0.1C!$B$3,'Coeff EC7'!$T$7:$T$27,0),
MATCH(Model0.1C!$D71&amp;Model0.1C!$B$4,
'Coeff EC7'!$Y$6:$AB$6&amp;
'Coeff EC7'!$Y$5:$AB$5,0))</f>
        <v>1.4</v>
      </c>
      <c r="I71" s="83" t="e">
        <f>IF(B71&lt;=Hypothèses!$C$7,Hypothèses!$P$7,IF(B71&lt;=Hypothèses!$C$8,Hypothèses!$P$8,IF(B71&lt;=Hypothèses!$C$9,Hypothèses!$P$9,IF(B71&lt;=Hypothèses!$C$10,Hypothèses!$P$10,IF(B71&lt;=Hypothèses!$C$11,Hypothèses!$P$11,IF(B71&lt;=Hypothèses!$C$12,Hypothèses!$P$12,IF(B71&lt;=Hypothèses!$C$13,Hypothèses!$P$13,IF(B71&lt;=Hypothèses!$C$14,Hypothèses!$P$14,IF(B71&lt;=Hypothèses!$C$15,Hypothèses!$P$15,IF(B71&lt;=Hypothèses!$C$16,Hypothèses!$P$16,IF(B71&lt;=Hypothèses!$C$17,Hypothèses!$P$17,IF(B71&lt;=Hypothèses!$C$18,Hypothèses!$P$18,I70))))))))))))</f>
        <v>#N/A</v>
      </c>
      <c r="J71" s="91" t="e">
        <f t="array" ref="J71">INDEX('Coeff EC7'!$D$33:$Q$33,1,MATCH(D71&amp;E71,'Coeff EC7'!$D$31:$Q$31&amp;'Coeff EC7'!$D$32:$Q$32,0))</f>
        <v>#N/A</v>
      </c>
      <c r="K71" s="91" t="e">
        <f t="array" ref="K71">INDEX('Coeff EC7'!$D$34:$Q$34,1,MATCH(D71&amp;E71,'Coeff EC7'!$D$31:$Q$31&amp;'Coeff EC7'!$D$32:$Q$32,0))</f>
        <v>#N/A</v>
      </c>
      <c r="L71" s="91" t="e">
        <f t="array" ref="L71">INDEX('Coeff EC7'!$D$35:$Q$35,1,MATCH(D71&amp;E71,'Coeff EC7'!$D$31:$Q$31&amp;'Coeff EC7'!$D$32:$Q$32,0))</f>
        <v>#N/A</v>
      </c>
      <c r="M71" s="98" t="e">
        <f t="shared" si="8"/>
        <v>#N/A</v>
      </c>
      <c r="N71" s="99" t="e">
        <f t="array" ref="N71">INDEX('Coeff EC7'!$D$7:$Q$27,MATCH($B$3,'Coeff EC7'!$C$7:$C$27,0),MATCH(D71&amp;E71,'Coeff EC7'!$D$5:$Q$5&amp;'Coeff EC7'!$D$6:$Q$6,0))</f>
        <v>#N/A</v>
      </c>
      <c r="O71" s="99" t="e">
        <f t="array" ref="O71">INDEX('Coeff EC7'!$D$41:$Q$61,MATCH($B$3,'Coeff EC7'!$C$41:$C$61,0),MATCH(D71&amp;E71,'Coeff EC7'!$D$39:$Q$39&amp;'Coeff EC7'!$D$40:$Q$40,0))</f>
        <v>#N/A</v>
      </c>
      <c r="P71" s="30" t="e">
        <f t="shared" si="68"/>
        <v>#N/A</v>
      </c>
      <c r="Q71" s="100" t="e">
        <f t="shared" si="10"/>
        <v>#N/A</v>
      </c>
      <c r="R71" s="86" t="b">
        <f t="shared" si="11"/>
        <v>0</v>
      </c>
      <c r="S71" s="86">
        <f t="shared" si="9"/>
        <v>0.5</v>
      </c>
      <c r="T71" s="86">
        <f t="shared" si="12"/>
        <v>0.5</v>
      </c>
      <c r="U71" s="30" t="e">
        <f t="shared" ca="1" si="69"/>
        <v>#DIV/0!</v>
      </c>
      <c r="V71" s="85" t="str">
        <f>IF(B71&lt;=Hypothèses!$V$7,Hypothèses!$W$7,IF(B71&lt;=Hypothèses!$V$8,Hypothèses!$W$8,IF(B71&lt;=Hypothèses!$V$9,Hypothèses!$W$9,IF(B71&lt;=Hypothèses!$V$10,Hypothèses!$W$10,IF(B71&lt;=Hypothèses!$V$11,Hypothèses!$W$11,IF(B71&lt;=Hypothèses!$V$12,Hypothèses!$W$12,IF(B71&lt;=Hypothèses!$V$13,Hypothèses!$W$13,IF(B71&lt;=Hypothèses!$V$14,Hypothèses!$W$14,IF(B71&lt;=Hypothèses!$V$15,Hypothèses!$W$15,IF(B71&lt;=Hypothèses!$V$16,Hypothèses!$W$16,IF(B71&lt;=Hypothèses!$V$17,Hypothèses!$W$17,IF(B71&lt;=Hypothèses!$V$18,Hypothèses!$W$18,""))))))))))))</f>
        <v/>
      </c>
      <c r="W71" s="87" t="e">
        <f t="shared" ca="1" si="116"/>
        <v>#DIV/0!</v>
      </c>
      <c r="X71" s="88" t="str">
        <f>IF(B71&lt;=Hypothèses!$V$7,Hypothèses!$X$7,IF(B71&lt;=Hypothèses!$V$8,Hypothèses!$X$8,IF(B71&lt;=Hypothèses!$V$9,Hypothèses!$X$9,IF(B71&lt;=Hypothèses!$V$10,Hypothèses!$X$10,IF(B71&lt;=Hypothèses!$V$11,Hypothèses!$X$11,IF(B71&lt;=Hypothèses!$V$12,Hypothèses!$X$12,IF(B71&lt;=Hypothèses!$V$13,Hypothèses!$X$13,IF(B71&lt;=Hypothèses!$V$14,Hypothèses!$X$14,IF(B71&lt;=Hypothèses!$V$15,Hypothèses!$X$15,IF(B71&lt;=Hypothèses!$V$16,Hypothèses!$X$16,IF(B71&lt;=Hypothèses!$U$17,Hypothèses!$W$17,IF(B71&lt;=Hypothèses!$U$18,Hypothèses!$W$18,""))))))))))))</f>
        <v/>
      </c>
      <c r="Y71" s="95" t="e">
        <f t="shared" ca="1" si="13"/>
        <v>#DIV/0!</v>
      </c>
      <c r="Z71" s="101" t="e">
        <f t="shared" si="14"/>
        <v>#N/A</v>
      </c>
      <c r="AA71" s="91" t="e">
        <f t="shared" si="15"/>
        <v>#N/A</v>
      </c>
      <c r="AB71" s="30" t="e">
        <f t="shared" si="100"/>
        <v>#N/A</v>
      </c>
      <c r="AC71" s="30" t="e">
        <f t="shared" si="101"/>
        <v>#N/A</v>
      </c>
      <c r="AD71" s="31" t="e">
        <f>IF(OR(Hypothèses!$B$4=17,Hypothèses!$B$4=18,Hypothèses!$B$4=19,Hypothèses!$B$4=20),
IF($D71="Pressio.",
IF(OR($E71=3,$E71=1,$E71=4),AC71,AB71),
IF($D71="Pénétro.",
IF(OR($E71=3,$E71=1,$E71=4),AC71,AB71))),IF($D71="Pressio.",
IF($E71=3,AC71,AB71),
IF($D71="Pénétro.",
IF($E71=4,AC71,AB71))))</f>
        <v>#N/A</v>
      </c>
      <c r="AE71" s="31" t="e">
        <f>(IF(OR(Hypothèses!$B$4=17,Hypothèses!$B$4=18,Hypothèses!$B$4=19,Hypothèses!$B$4=20),
IF($D71="Pressio.",
IF(OR($E71=3,$E71=1,$E71=4),(PI()*AE$12^2)/4*(AA71*$W71*1000)/($H71*$B$5),(PI()*AE$12^2)/4*(AA71*$W71*1000)/($G71*$B$5)),
IF($D71="Pénétro.",
IF(OR($E71=4,$E71=1,$E71=5),(PI()*AE$12^2)/4*(AA71*$W71*1000)/($H71*$B$5),(PI()*AE$12^2)/4*(AA71*$W71*1000)/($G71*$B$5)))),
IF($D71="Pressio.",
IF($E71=3,(PI()*AE$12^2)/4*(AA71*$W71*1000)/($H71*$B$5),(PI()*AE$12^2)/4*(AA71*$W71*1000)/($G71*$B$5)),
IF($D71="Pénétro.",
IF($E71=4,(PI()*AE$12^2)/4*(AA71*$W71*1000)/($H71*$B$5),(PI()*AE$12^2)/4*(AA71*$W71*1000)/($G71*$B$5))))))/10</f>
        <v>#N/A</v>
      </c>
      <c r="AF71" s="102" t="e">
        <f>(VLOOKUP($B$3,'Coeff EC7'!$T$39:$X$59,2,0)*AD71+VLOOKUP($B$3,'Coeff EC7'!$T$65:$X$85,2,0)*Model0.1C!AE71)/1.1</f>
        <v>#N/A</v>
      </c>
      <c r="AG71" s="102" t="e">
        <f>(VLOOKUP($B$3,'Coeff EC7'!$T$39:$X$59,3,0)*AD71+VLOOKUP($B$3,'Coeff EC7'!$T$65:$X$85,3,0)*Model0.1C!AE71)/0.9</f>
        <v>#N/A</v>
      </c>
      <c r="AH71" s="102" t="e">
        <f t="shared" si="18"/>
        <v>#N/A</v>
      </c>
      <c r="AI71" s="102" t="e">
        <f t="shared" si="19"/>
        <v>#N/A</v>
      </c>
      <c r="AJ71" s="414" t="e">
        <f>IF(AJ70=0,0,IF(AND(AF71&gt;charge_ELS_quasi,AG71&gt;Charge_ELS_freq,AH71&gt;charge_ELU,AI71&gt;charge_ELA,$B71&gt;NDC!$H$22-0.1+MIN(3*$AJ$12,1.5)),0,1))</f>
        <v>#N/A</v>
      </c>
      <c r="AK71" s="86" t="b">
        <f t="shared" si="20"/>
        <v>0</v>
      </c>
      <c r="AL71" s="86">
        <f t="shared" si="70"/>
        <v>0.5</v>
      </c>
      <c r="AM71" s="86">
        <f t="shared" si="21"/>
        <v>0.5</v>
      </c>
      <c r="AN71" s="30" t="e">
        <f t="shared" ca="1" si="71"/>
        <v>#DIV/0!</v>
      </c>
      <c r="AO71" s="85" t="e">
        <f ca="1">IF(U71&lt;=Hypothèses!$V$7,Hypothèses!$W$7,IF(U71&lt;=Hypothèses!$V$8,Hypothèses!$W$8,IF(U71&lt;=Hypothèses!$V$9,Hypothèses!$W$9,IF(U71&lt;=Hypothèses!$V$10,Hypothèses!$W$10,IF(U71&lt;=Hypothèses!$V$11,Hypothèses!$W$11,IF(U71&lt;=Hypothèses!$V$12,Hypothèses!$W$12,IF(U71&lt;=Hypothèses!$V$13,Hypothèses!$W$13,IF(U71&lt;=Hypothèses!$V$14,Hypothèses!$W$14,IF(U71&lt;=Hypothèses!$V$15,Hypothèses!$W$15,IF(U71&lt;=Hypothèses!$V$16,Hypothèses!$W$16,IF(U71&lt;=Hypothèses!$V$17,Hypothèses!$W$17,IF(U71&lt;=Hypothèses!$V$18,Hypothèses!$W$18,""))))))))))))</f>
        <v>#DIV/0!</v>
      </c>
      <c r="AP71" s="87" t="e">
        <f t="shared" ca="1" si="117"/>
        <v>#DIV/0!</v>
      </c>
      <c r="AQ71" s="88" t="e">
        <f ca="1">IF(U71&lt;=Hypothèses!$V$7,Hypothèses!$X$7,IF(U71&lt;=Hypothèses!$V$8,Hypothèses!$X$8,IF(U71&lt;=Hypothèses!$V$9,Hypothèses!$X$9,IF(U71&lt;=Hypothèses!$V$10,Hypothèses!$X$10,IF(U71&lt;=Hypothèses!$V$11,Hypothèses!$X$11,IF(U71&lt;=Hypothèses!$V$12,Hypothèses!$X$12,IF(U71&lt;=Hypothèses!$V$13,Hypothèses!$X$13,IF(U71&lt;=Hypothèses!$V$14,Hypothèses!$X$14,IF(U71&lt;=Hypothèses!$V$15,Hypothèses!$X$15,IF(U71&lt;=Hypothèses!$V$16,Hypothèses!$X$16,IF(U71&lt;=Hypothèses!$U$17,Hypothèses!$W$17,IF(U71&lt;=Hypothèses!$U$18,Hypothèses!$W$18,""))))))))))))</f>
        <v>#DIV/0!</v>
      </c>
      <c r="AR71" s="95" t="e">
        <f t="shared" ca="1" si="72"/>
        <v>#DIV/0!</v>
      </c>
      <c r="AS71" s="101" t="e">
        <f t="shared" si="124"/>
        <v>#N/A</v>
      </c>
      <c r="AT71" s="91" t="e">
        <f t="shared" si="23"/>
        <v>#N/A</v>
      </c>
      <c r="AU71" s="30" t="e">
        <f t="shared" si="102"/>
        <v>#N/A</v>
      </c>
      <c r="AV71" s="30" t="e">
        <f t="shared" si="103"/>
        <v>#N/A</v>
      </c>
      <c r="AW71" s="31" t="e">
        <f>IF(OR(Hypothèses!$B$4=17,Hypothèses!$B$4=18,Hypothèses!$B$4=19,Hypothèses!$B$4=20),
IF($D71="Pressio.",
IF(OR($E71=3,$E71=1,$E71=4),AV71,AU71),
IF($D71="Pénétro.",
IF(OR($E71=3,$E71=1,$E71=4),AV71,AU71))),IF($D71="Pressio.",
IF($E71=3,AV71,AU71),
IF($D71="Pénétro.",
IF($E71=4,AV71,AU71))))</f>
        <v>#N/A</v>
      </c>
      <c r="AX71" s="31" t="e">
        <f>(IF(OR(Hypothèses!$B$4=17,Hypothèses!$B$4=18,Hypothèses!$B$4=19,Hypothèses!$B$4=20),
IF($D71="Pressio.",
IF(OR($E71=3,$E71=1,$E71=4),(PI()*AX$12^2)/4*(AT71*$W71*1000)/($H71*$B$5),(PI()*AX$12^2)/4*(AT71*$W71*1000)/($G71*$B$5)),
IF($D71="Pénétro.",
IF(OR($E71=4,$E71=1,$E71=5),(PI()*AX$12^2)/4*(AT71*$W71*1000)/($H71*$B$5),(PI()*AX$12^2)/4*(AT71*$W71*1000)/($G71*$B$5)))),
IF($D71="Pressio.",
IF($E71=3,(PI()*AX$12^2)/4*(AT71*$W71*1000)/($H71*$B$5),(PI()*AX$12^2)/4*(AT71*$W71*1000)/($G71*$B$5)),
IF($D71="Pénétro.",
IF($E71=4,(PI()*AX$12^2)/4*(AT71*$W71*1000)/($H71*$B$5),(PI()*AX$12^2)/4*(AT71*$W71*1000)/($G71*$B$5))))))/10</f>
        <v>#N/A</v>
      </c>
      <c r="AY71" s="102" t="e">
        <f>(VLOOKUP($B$3,'Coeff EC7'!$T$39:$X$59,2,0)*AW71+VLOOKUP($B$3,'Coeff EC7'!$T$65:$X$85,2,0)*Model0.1C!AX71)/1.1</f>
        <v>#N/A</v>
      </c>
      <c r="AZ71" s="102" t="e">
        <f>(VLOOKUP($B$3,'Coeff EC7'!$T$39:$X$59,3,0)*AW71+VLOOKUP($B$3,'Coeff EC7'!$T$65:$X$85,3,0)*Model0.1C!AX71)/0.9</f>
        <v>#N/A</v>
      </c>
      <c r="BA71" s="102" t="e">
        <f t="shared" si="73"/>
        <v>#N/A</v>
      </c>
      <c r="BB71" s="102" t="e">
        <f t="shared" si="74"/>
        <v>#N/A</v>
      </c>
      <c r="BC71" s="414" t="e">
        <f>IF(BC70=0,0,IF(AND(AY71&gt;charge_ELS_quasi,AZ71&gt;Charge_ELS_freq,BA71&gt;charge_ELU,BB71&gt;charge_ELA,$B71&gt;NDC!$H$22-0.1+MIN(3*$BC$12,1.5)),0,1))</f>
        <v>#N/A</v>
      </c>
      <c r="BD71" s="86" t="b">
        <f t="shared" si="26"/>
        <v>0</v>
      </c>
      <c r="BE71" s="86">
        <f t="shared" si="75"/>
        <v>0.5</v>
      </c>
      <c r="BF71" s="86">
        <f t="shared" si="27"/>
        <v>0.5</v>
      </c>
      <c r="BG71" s="30" t="e">
        <f t="shared" ca="1" si="76"/>
        <v>#DIV/0!</v>
      </c>
      <c r="BH71" s="85" t="e">
        <f ca="1">IF(AN71&lt;=Hypothèses!$V$7,Hypothèses!$W$7,IF(AN71&lt;=Hypothèses!$V$8,Hypothèses!$W$8,IF(AN71&lt;=Hypothèses!$V$9,Hypothèses!$W$9,IF(AN71&lt;=Hypothèses!$V$10,Hypothèses!$W$10,IF(AN71&lt;=Hypothèses!$V$11,Hypothèses!$W$11,IF(AN71&lt;=Hypothèses!$V$12,Hypothèses!$W$12,IF(AN71&lt;=Hypothèses!$V$13,Hypothèses!$W$13,IF(AN71&lt;=Hypothèses!$V$14,Hypothèses!$W$14,IF(AN71&lt;=Hypothèses!$V$15,Hypothèses!$W$15,IF(AN71&lt;=Hypothèses!$V$16,Hypothèses!$W$16,IF(AN71&lt;=Hypothèses!$V$17,Hypothèses!$W$17,IF(AN71&lt;=Hypothèses!$V$18,Hypothèses!$W$18,""))))))))))))</f>
        <v>#DIV/0!</v>
      </c>
      <c r="BI71" s="87" t="e">
        <f t="shared" ca="1" si="118"/>
        <v>#DIV/0!</v>
      </c>
      <c r="BJ71" s="88" t="e">
        <f ca="1">IF(AN71&lt;=Hypothèses!$V$7,Hypothèses!$X$7,IF(AN71&lt;=Hypothèses!$V$8,Hypothèses!$X$8,IF(AN71&lt;=Hypothèses!$V$9,Hypothèses!$X$9,IF(AN71&lt;=Hypothèses!$V$10,Hypothèses!$X$10,IF(AN71&lt;=Hypothèses!$V$11,Hypothèses!$X$11,IF(AN71&lt;=Hypothèses!$V$12,Hypothèses!$X$12,IF(AN71&lt;=Hypothèses!$V$13,Hypothèses!$X$13,IF(AN71&lt;=Hypothèses!$V$14,Hypothèses!$X$14,IF(AN71&lt;=Hypothèses!$V$15,Hypothèses!$X$15,IF(AN71&lt;=Hypothèses!$V$16,Hypothèses!$X$16,IF(AN71&lt;=Hypothèses!$U$17,Hypothèses!$W$17,IF(AN71&lt;=Hypothèses!$U$18,Hypothèses!$W$18,""))))))))))))</f>
        <v>#DIV/0!</v>
      </c>
      <c r="BK71" s="95" t="e">
        <f t="shared" ca="1" si="77"/>
        <v>#DIV/0!</v>
      </c>
      <c r="BL71" s="101" t="e">
        <f t="shared" si="125"/>
        <v>#N/A</v>
      </c>
      <c r="BM71" s="91" t="e">
        <f t="shared" si="29"/>
        <v>#N/A</v>
      </c>
      <c r="BN71" s="30" t="e">
        <f t="shared" si="104"/>
        <v>#N/A</v>
      </c>
      <c r="BO71" s="30" t="e">
        <f t="shared" si="105"/>
        <v>#N/A</v>
      </c>
      <c r="BP71" s="31" t="e">
        <f>IF(OR(Hypothèses!$B$4=17,Hypothèses!$B$4=18,Hypothèses!$B$4=19,Hypothèses!$B$4=20),
IF($D71="Pressio.",
IF(OR($E71=3,$E71=1,$E71=4),BO71,BN71),
IF($D71="Pénétro.",
IF(OR($E71=3,$E71=1,$E71=4),BO71,BN71))),IF($D71="Pressio.",
IF($E71=3,BO71,BN71),
IF($D71="Pénétro.",
IF($E71=4,BO71,BN71))))</f>
        <v>#N/A</v>
      </c>
      <c r="BQ71" s="31" t="e">
        <f>(IF(OR(Hypothèses!$B$4=17,Hypothèses!$B$4=18,Hypothèses!$B$4=19,Hypothèses!$B$4=20),
IF($D71="Pressio.",
IF(OR($E71=3,$E71=1,$E71=4),(PI()*BQ$12^2)/4*(BM71*$W71*1000)/($H71*$B$5),(PI()*BQ$12^2)/4*(BM71*$W71*1000)/($G71*$B$5)),
IF($D71="Pénétro.",
IF(OR($E71=4,$E71=1,$E71=5),(PI()*BQ$12^2)/4*(BM71*$W71*1000)/($H71*$B$5),(PI()*BQ$12^2)/4*(BM71*$W71*1000)/($G71*$B$5)))),
IF($D71="Pressio.",
IF($E71=3,(PI()*BQ$12^2)/4*(BM71*$W71*1000)/($H71*$B$5),(PI()*BQ$12^2)/4*(BM71*$W71*1000)/($G71*$B$5)),
IF($D71="Pénétro.",
IF($E71=4,(PI()*BQ$12^2)/4*(BM71*$W71*1000)/($H71*$B$5),(PI()*BQ$12^2)/4*(BM71*$W71*1000)/($G71*$B$5))))))/10</f>
        <v>#N/A</v>
      </c>
      <c r="BR71" s="102" t="e">
        <f>(VLOOKUP($B$3,'Coeff EC7'!$T$39:$X$59,2,0)*BP71+VLOOKUP($B$3,'Coeff EC7'!$T$65:$X$85,2,0)*Model0.1C!BQ71)/1.1</f>
        <v>#N/A</v>
      </c>
      <c r="BS71" s="102" t="e">
        <f>(VLOOKUP($B$3,'Coeff EC7'!$T$39:$X$59,3,0)*BP71+VLOOKUP($B$3,'Coeff EC7'!$T$65:$X$85,3,0)*Model0.1C!BQ71)/0.9</f>
        <v>#N/A</v>
      </c>
      <c r="BT71" s="102" t="e">
        <f t="shared" si="78"/>
        <v>#N/A</v>
      </c>
      <c r="BU71" s="102" t="e">
        <f t="shared" si="79"/>
        <v>#N/A</v>
      </c>
      <c r="BV71" s="414" t="e">
        <f>IF(BV70=0,0,IF(AND(BR71&gt;charge_ELS_quasi,BS71&gt;Charge_ELS_freq,BT71&gt;charge_ELU,BU71&gt;charge_ELA,$B71&gt;NDC!$H$22-0.1+MIN(3*$BV$12,1.5)),0,1))</f>
        <v>#N/A</v>
      </c>
      <c r="BW71" s="86" t="b">
        <f t="shared" si="32"/>
        <v>0</v>
      </c>
      <c r="BX71" s="86">
        <f t="shared" si="33"/>
        <v>0.5</v>
      </c>
      <c r="BY71" s="86">
        <f t="shared" si="34"/>
        <v>0.5</v>
      </c>
      <c r="BZ71" s="30" t="e">
        <f t="shared" ca="1" si="80"/>
        <v>#DIV/0!</v>
      </c>
      <c r="CA71" s="85" t="e">
        <f ca="1">IF(BG71&lt;=Hypothèses!$V$7,Hypothèses!$W$7,IF(BG71&lt;=Hypothèses!$V$8,Hypothèses!$W$8,IF(BG71&lt;=Hypothèses!$V$9,Hypothèses!$W$9,IF(BG71&lt;=Hypothèses!$V$10,Hypothèses!$W$10,IF(BG71&lt;=Hypothèses!$V$11,Hypothèses!$W$11,IF(BG71&lt;=Hypothèses!$V$12,Hypothèses!$W$12,IF(BG71&lt;=Hypothèses!$V$13,Hypothèses!$W$13,IF(BG71&lt;=Hypothèses!$V$14,Hypothèses!$W$14,IF(BG71&lt;=Hypothèses!$V$15,Hypothèses!$W$15,IF(BG71&lt;=Hypothèses!$V$16,Hypothèses!$W$16,IF(BG71&lt;=Hypothèses!$V$17,Hypothèses!$W$17,IF(BG71&lt;=Hypothèses!$V$18,Hypothèses!$W$18,""))))))))))))</f>
        <v>#DIV/0!</v>
      </c>
      <c r="CB71" s="87" t="e">
        <f t="shared" ca="1" si="119"/>
        <v>#DIV/0!</v>
      </c>
      <c r="CC71" s="88" t="e">
        <f ca="1">IF(BG71&lt;=Hypothèses!$V$7,Hypothèses!$X$7,IF(BG71&lt;=Hypothèses!$V$8,Hypothèses!$X$8,IF(BG71&lt;=Hypothèses!$V$9,Hypothèses!$X$9,IF(BG71&lt;=Hypothèses!$V$10,Hypothèses!$X$10,IF(BG71&lt;=Hypothèses!$V$11,Hypothèses!$X$11,IF(BG71&lt;=Hypothèses!$V$12,Hypothèses!$X$12,IF(BG71&lt;=Hypothèses!$V$13,Hypothèses!$X$13,IF(BG71&lt;=Hypothèses!$V$14,Hypothèses!$X$14,IF(BG71&lt;=Hypothèses!$V$15,Hypothèses!$X$15,IF(BG71&lt;=Hypothèses!$V$16,Hypothèses!$X$16,IF(BG71&lt;=Hypothèses!$U$17,Hypothèses!$W$17,IF(BG71&lt;=Hypothèses!$U$18,Hypothèses!$W$18,""))))))))))))</f>
        <v>#DIV/0!</v>
      </c>
      <c r="CD71" s="95" t="e">
        <f t="shared" ca="1" si="81"/>
        <v>#DIV/0!</v>
      </c>
      <c r="CE71" s="101" t="e">
        <f t="shared" si="126"/>
        <v>#N/A</v>
      </c>
      <c r="CF71" s="91" t="e">
        <f t="shared" si="36"/>
        <v>#N/A</v>
      </c>
      <c r="CG71" s="30" t="e">
        <f t="shared" si="106"/>
        <v>#N/A</v>
      </c>
      <c r="CH71" s="30" t="e">
        <f t="shared" si="107"/>
        <v>#N/A</v>
      </c>
      <c r="CI71" s="31" t="e">
        <f>IF(OR(Hypothèses!$B$4=17,Hypothèses!$B$4=18,Hypothèses!$B$4=19,Hypothèses!$B$4=20),
IF($D71="Pressio.",
IF(OR($E71=3,$E71=1,$E71=4),CH71,CG71),
IF($D71="Pénétro.",
IF(OR($E71=3,$E71=1,$E71=4),CH71,CG71))),IF($D71="Pressio.",
IF($E71=3,CH71,CG71),
IF($D71="Pénétro.",
IF($E71=4,CH71,CG71))))</f>
        <v>#N/A</v>
      </c>
      <c r="CJ71" s="31" t="e">
        <f>(IF(OR(Hypothèses!$B$4=17,Hypothèses!$B$4=18,Hypothèses!$B$4=19,Hypothèses!$B$4=20),
IF($D71="Pressio.",
IF(OR($E71=3,$E71=1,$E71=4),(PI()*CJ$12^2)/4*(CF71*$W71*1000)/($H71*$B$5),(PI()*CJ$12^2)/4*(CF71*$W71*1000)/($G71*$B$5)),
IF($D71="Pénétro.",
IF(OR($E71=4,$E71=1,$E71=5),(PI()*CJ$12^2)/4*(CF71*$W71*1000)/($H71*$B$5),(PI()*CJ$12^2)/4*(CF71*$W71*1000)/($G71*$B$5)))),
IF($D71="Pressio.",
IF($E71=3,(PI()*CJ$12^2)/4*(CF71*$W71*1000)/($H71*$B$5),(PI()*CJ$12^2)/4*(CF71*$W71*1000)/($G71*$B$5)),
IF($D71="Pénétro.",
IF($E71=4,(PI()*CJ$12^2)/4*(CF71*$W71*1000)/($H71*$B$5),(PI()*CJ$12^2)/4*(CF71*$W71*1000)/($G71*$B$5))))))/10</f>
        <v>#N/A</v>
      </c>
      <c r="CK71" s="102" t="e">
        <f>(VLOOKUP($B$3,'Coeff EC7'!$T$39:$X$59,2,0)*CI71+VLOOKUP($B$3,'Coeff EC7'!$T$65:$X$85,2,0)*Model0.1C!CJ71)/1.1</f>
        <v>#N/A</v>
      </c>
      <c r="CL71" s="102" t="e">
        <f>(VLOOKUP($B$3,'Coeff EC7'!$T$39:$X$59,3,0)*CI71+VLOOKUP($B$3,'Coeff EC7'!$T$65:$X$85,3,0)*Model0.1C!CJ71)/0.9</f>
        <v>#N/A</v>
      </c>
      <c r="CM71" s="102" t="e">
        <f t="shared" si="82"/>
        <v>#N/A</v>
      </c>
      <c r="CN71" s="102" t="e">
        <f t="shared" si="83"/>
        <v>#N/A</v>
      </c>
      <c r="CO71" s="414" t="e">
        <f>IF(CO70=0,0,IF(AND(CK71&gt;charge_ELS_quasi,CL71&gt;Charge_ELS_freq,CM71&gt;charge_ELU,CN71&gt;charge_ELA,$B71&gt;NDC!$H$22-0.1+MIN(3*$CO$12,1.5)),0,1))</f>
        <v>#N/A</v>
      </c>
      <c r="CP71" s="86" t="b">
        <f t="shared" si="39"/>
        <v>0</v>
      </c>
      <c r="CQ71" s="86">
        <f t="shared" si="40"/>
        <v>0.5</v>
      </c>
      <c r="CR71" s="86">
        <f t="shared" si="41"/>
        <v>0.5</v>
      </c>
      <c r="CS71" s="30" t="e">
        <f t="shared" ca="1" si="84"/>
        <v>#DIV/0!</v>
      </c>
      <c r="CT71" s="85" t="e">
        <f ca="1">IF(BZ71&lt;=Hypothèses!$V$7,Hypothèses!$W$7,IF(BZ71&lt;=Hypothèses!$V$8,Hypothèses!$W$8,IF(BZ71&lt;=Hypothèses!$V$9,Hypothèses!$W$9,IF(BZ71&lt;=Hypothèses!$V$10,Hypothèses!$W$10,IF(BZ71&lt;=Hypothèses!$V$11,Hypothèses!$W$11,IF(BZ71&lt;=Hypothèses!$V$12,Hypothèses!$W$12,IF(BZ71&lt;=Hypothèses!$V$13,Hypothèses!$W$13,IF(BZ71&lt;=Hypothèses!$V$14,Hypothèses!$W$14,IF(BZ71&lt;=Hypothèses!$V$15,Hypothèses!$W$15,IF(BZ71&lt;=Hypothèses!$V$16,Hypothèses!$W$16,IF(BZ71&lt;=Hypothèses!$V$17,Hypothèses!$W$17,IF(BZ71&lt;=Hypothèses!$V$18,Hypothèses!$W$18,""))))))))))))</f>
        <v>#DIV/0!</v>
      </c>
      <c r="CU71" s="87" t="e">
        <f t="shared" ca="1" si="120"/>
        <v>#DIV/0!</v>
      </c>
      <c r="CV71" s="88" t="e">
        <f ca="1">IF(BZ71&lt;=Hypothèses!$V$7,Hypothèses!$X$7,IF(BZ71&lt;=Hypothèses!$V$8,Hypothèses!$X$8,IF(BZ71&lt;=Hypothèses!$V$9,Hypothèses!$X$9,IF(BZ71&lt;=Hypothèses!$V$10,Hypothèses!$X$10,IF(BZ71&lt;=Hypothèses!$V$11,Hypothèses!$X$11,IF(BZ71&lt;=Hypothèses!$V$12,Hypothèses!$X$12,IF(BZ71&lt;=Hypothèses!$V$13,Hypothèses!$X$13,IF(BZ71&lt;=Hypothèses!$V$14,Hypothèses!$X$14,IF(BZ71&lt;=Hypothèses!$V$15,Hypothèses!$X$15,IF(BZ71&lt;=Hypothèses!$V$16,Hypothèses!$X$16,IF(BZ71&lt;=Hypothèses!$U$17,Hypothèses!$W$17,IF(BZ71&lt;=Hypothèses!$U$18,Hypothèses!$W$18,""))))))))))))</f>
        <v>#DIV/0!</v>
      </c>
      <c r="CW71" s="95" t="e">
        <f t="shared" ca="1" si="85"/>
        <v>#DIV/0!</v>
      </c>
      <c r="CX71" s="101" t="e">
        <f t="shared" si="127"/>
        <v>#N/A</v>
      </c>
      <c r="CY71" s="91" t="e">
        <f t="shared" si="43"/>
        <v>#N/A</v>
      </c>
      <c r="CZ71" s="30" t="e">
        <f t="shared" si="108"/>
        <v>#N/A</v>
      </c>
      <c r="DA71" s="30" t="e">
        <f t="shared" si="109"/>
        <v>#N/A</v>
      </c>
      <c r="DB71" s="31" t="e">
        <f>IF(OR(Hypothèses!$B$4=17,Hypothèses!$B$4=18,Hypothèses!$B$4=19,Hypothèses!$B$4=20),
IF($D71="Pressio.",
IF(OR($E71=3,$E71=1,$E71=4),DA71,CZ71),
IF($D71="Pénétro.",
IF(OR($E71=3,$E71=1,$E71=4),DA71,CZ71))),IF($D71="Pressio.",
IF($E71=3,DA71,CZ71),
IF($D71="Pénétro.",
IF($E71=4,DA71,CZ71))))</f>
        <v>#N/A</v>
      </c>
      <c r="DC71" s="31" t="e">
        <f>(IF(OR(Hypothèses!$B$4=17,Hypothèses!$B$4=18,Hypothèses!$B$4=19,Hypothèses!$B$4=20),
IF($D71="Pressio.",
IF(OR($E71=3,$E71=1,$E71=4),(PI()*DC$12^2)/4*(CY71*$W71*1000)/($H71*$B$5),(PI()*DC$12^2)/4*(CY71*$W71*1000)/($G71*$B$5)),
IF($D71="Pénétro.",
IF(OR($E71=4,$E71=1,$E71=5),(PI()*DC$12^2)/4*(CY71*$W71*1000)/($H71*$B$5),(PI()*DC$12^2)/4*(CY71*$W71*1000)/($G71*$B$5)))),
IF($D71="Pressio.",
IF($E71=3,(PI()*DC$12^2)/4*(CY71*$W71*1000)/($H71*$B$5),(PI()*DC$12^2)/4*(CY71*$W71*1000)/($G71*$B$5)),
IF($D71="Pénétro.",
IF($E71=4,(PI()*DC$12^2)/4*(CY71*$W71*1000)/($H71*$B$5),(PI()*DC$12^2)/4*(CY71*$W71*1000)/($G71*$B$5))))))/10</f>
        <v>#N/A</v>
      </c>
      <c r="DD71" s="102" t="e">
        <f>(VLOOKUP($B$3,'Coeff EC7'!$T$39:$X$59,2,0)*DB71+VLOOKUP($B$3,'Coeff EC7'!$T$65:$X$85,2,0)*Model0.1C!DC71)/1.1</f>
        <v>#N/A</v>
      </c>
      <c r="DE71" s="102" t="e">
        <f>(VLOOKUP($B$3,'Coeff EC7'!$T$39:$X$59,3,0)*DB71+VLOOKUP($B$3,'Coeff EC7'!$T$65:$X$85,3,0)*Model0.1C!DC71)/0.9</f>
        <v>#N/A</v>
      </c>
      <c r="DF71" s="102" t="e">
        <f t="shared" si="86"/>
        <v>#N/A</v>
      </c>
      <c r="DG71" s="102" t="e">
        <f t="shared" si="87"/>
        <v>#N/A</v>
      </c>
      <c r="DH71" s="414" t="e">
        <f>IF(DH70=0,0,IF(AND(DD71&gt;charge_ELS_quasi,DE71&gt;Charge_ELS_freq,DF71&gt;charge_ELU,DG71&gt;charge_ELA,$B71&gt;NDC!$H$22-0.1+MIN(3*$DH$12,1.5)),0,1))</f>
        <v>#N/A</v>
      </c>
      <c r="DI71" s="86" t="b">
        <f t="shared" si="46"/>
        <v>0</v>
      </c>
      <c r="DJ71" s="86">
        <f t="shared" si="47"/>
        <v>0.5</v>
      </c>
      <c r="DK71" s="86">
        <f t="shared" si="48"/>
        <v>0.5</v>
      </c>
      <c r="DL71" s="30" t="e">
        <f t="shared" ca="1" si="88"/>
        <v>#DIV/0!</v>
      </c>
      <c r="DM71" s="85" t="e">
        <f ca="1">IF(CS71&lt;=Hypothèses!$V$7,Hypothèses!$W$7,IF(CS71&lt;=Hypothèses!$V$8,Hypothèses!$W$8,IF(CS71&lt;=Hypothèses!$V$9,Hypothèses!$W$9,IF(CS71&lt;=Hypothèses!$V$10,Hypothèses!$W$10,IF(CS71&lt;=Hypothèses!$V$11,Hypothèses!$W$11,IF(CS71&lt;=Hypothèses!$V$12,Hypothèses!$W$12,IF(CS71&lt;=Hypothèses!$V$13,Hypothèses!$W$13,IF(CS71&lt;=Hypothèses!$V$14,Hypothèses!$W$14,IF(CS71&lt;=Hypothèses!$V$15,Hypothèses!$W$15,IF(CS71&lt;=Hypothèses!$V$16,Hypothèses!$W$16,IF(CS71&lt;=Hypothèses!$V$17,Hypothèses!$W$17,IF(CS71&lt;=Hypothèses!$V$18,Hypothèses!$W$18,""))))))))))))</f>
        <v>#DIV/0!</v>
      </c>
      <c r="DN71" s="87" t="e">
        <f t="shared" ca="1" si="121"/>
        <v>#DIV/0!</v>
      </c>
      <c r="DO71" s="88" t="e">
        <f ca="1">IF(CS71&lt;=Hypothèses!$V$7,Hypothèses!$X$7,IF(CS71&lt;=Hypothèses!$V$8,Hypothèses!$X$8,IF(CS71&lt;=Hypothèses!$V$9,Hypothèses!$X$9,IF(CS71&lt;=Hypothèses!$V$10,Hypothèses!$X$10,IF(CS71&lt;=Hypothèses!$V$11,Hypothèses!$X$11,IF(CS71&lt;=Hypothèses!$V$12,Hypothèses!$X$12,IF(CS71&lt;=Hypothèses!$V$13,Hypothèses!$X$13,IF(CS71&lt;=Hypothèses!$V$14,Hypothèses!$X$14,IF(CS71&lt;=Hypothèses!$V$15,Hypothèses!$X$15,IF(CS71&lt;=Hypothèses!$V$16,Hypothèses!$X$16,IF(CS71&lt;=Hypothèses!$U$17,Hypothèses!$W$17,IF(CS71&lt;=Hypothèses!$U$18,Hypothèses!$W$18,""))))))))))))</f>
        <v>#DIV/0!</v>
      </c>
      <c r="DP71" s="95" t="e">
        <f t="shared" ca="1" si="89"/>
        <v>#DIV/0!</v>
      </c>
      <c r="DQ71" s="101" t="e">
        <f t="shared" si="128"/>
        <v>#N/A</v>
      </c>
      <c r="DR71" s="91" t="e">
        <f t="shared" si="50"/>
        <v>#N/A</v>
      </c>
      <c r="DS71" s="30" t="e">
        <f t="shared" si="110"/>
        <v>#N/A</v>
      </c>
      <c r="DT71" s="30" t="e">
        <f t="shared" si="111"/>
        <v>#N/A</v>
      </c>
      <c r="DU71" s="31" t="e">
        <f>IF(OR(Hypothèses!$B$4=17,Hypothèses!$B$4=18,Hypothèses!$B$4=19,Hypothèses!$B$4=20),
IF($D71="Pressio.",
IF(OR($E71=3,$E71=1,$E71=4),DT71,DS71),
IF($D71="Pénétro.",
IF(OR($E71=3,$E71=1,$E71=4),DT71,DS71))),IF($D71="Pressio.",
IF($E71=3,DT71,DS71),
IF($D71="Pénétro.",
IF($E71=4,DT71,DS71))))</f>
        <v>#N/A</v>
      </c>
      <c r="DV71" s="31" t="e">
        <f>(IF(OR(Hypothèses!$B$4=17,Hypothèses!$B$4=18,Hypothèses!$B$4=19,Hypothèses!$B$4=20),
IF($D71="Pressio.",
IF(OR($E71=3,$E71=1,$E71=4),(PI()*DV$12^2)/4*(DR71*$W71*1000)/($H71*$B$5),(PI()*DV$12^2)/4*(DR71*$W71*1000)/($G71*$B$5)),
IF($D71="Pénétro.",
IF(OR($E71=4,$E71=1,$E71=5),(PI()*DV$12^2)/4*(DR71*$W71*1000)/($H71*$B$5),(PI()*DV$12^2)/4*(DR71*$W71*1000)/($G71*$B$5)))),
IF($D71="Pressio.",
IF($E71=3,(PI()*DV$12^2)/4*(DR71*$W71*1000)/($H71*$B$5),(PI()*DV$12^2)/4*(DR71*$W71*1000)/($G71*$B$5)),
IF($D71="Pénétro.",
IF($E71=4,(PI()*DV$12^2)/4*(DR71*$W71*1000)/($H71*$B$5),(PI()*DV$12^2)/4*(DR71*$W71*1000)/($G71*$B$5))))))/10</f>
        <v>#N/A</v>
      </c>
      <c r="DW71" s="102" t="e">
        <f>(VLOOKUP($B$3,'Coeff EC7'!$T$39:$X$59,2,0)*DU71+VLOOKUP($B$3,'Coeff EC7'!$T$65:$X$85,2,0)*Model0.1C!DV71)/1.1</f>
        <v>#N/A</v>
      </c>
      <c r="DX71" s="102" t="e">
        <f>(VLOOKUP($B$3,'Coeff EC7'!$T$39:$X$59,3,0)*DU71+VLOOKUP($B$3,'Coeff EC7'!$T$65:$X$85,3,0)*Model0.1C!DV71)/0.9</f>
        <v>#N/A</v>
      </c>
      <c r="DY71" s="102" t="e">
        <f t="shared" si="90"/>
        <v>#N/A</v>
      </c>
      <c r="DZ71" s="102" t="e">
        <f t="shared" si="91"/>
        <v>#N/A</v>
      </c>
      <c r="EA71" s="414" t="e">
        <f>IF(EA70=0,0,IF(AND(DW71&gt;charge_ELS_quasi,DX71&gt;Charge_ELS_freq,DY71&gt;charge_ELU,DZ71&gt;charge_ELA,$B71&gt;NDC!$H$22-0.1+MIN(3*$EA$12,1.5)),0,1))</f>
        <v>#N/A</v>
      </c>
      <c r="EB71" s="86" t="b">
        <f t="shared" si="53"/>
        <v>0</v>
      </c>
      <c r="EC71" s="418">
        <f t="shared" si="54"/>
        <v>0.51</v>
      </c>
      <c r="ED71" s="86">
        <f t="shared" si="55"/>
        <v>0.51</v>
      </c>
      <c r="EE71" s="30" t="e">
        <f t="shared" ca="1" si="92"/>
        <v>#DIV/0!</v>
      </c>
      <c r="EF71" s="85" t="e">
        <f ca="1">IF(DL71&lt;=Hypothèses!$V$7,Hypothèses!$W$7,IF(DL71&lt;=Hypothèses!$V$8,Hypothèses!$W$8,IF(DL71&lt;=Hypothèses!$V$9,Hypothèses!$W$9,IF(DL71&lt;=Hypothèses!$V$10,Hypothèses!$W$10,IF(DL71&lt;=Hypothèses!$V$11,Hypothèses!$W$11,IF(DL71&lt;=Hypothèses!$V$12,Hypothèses!$W$12,IF(DL71&lt;=Hypothèses!$V$13,Hypothèses!$W$13,IF(DL71&lt;=Hypothèses!$V$14,Hypothèses!$W$14,IF(DL71&lt;=Hypothèses!$V$15,Hypothèses!$W$15,IF(DL71&lt;=Hypothèses!$V$16,Hypothèses!$W$16,IF(DL71&lt;=Hypothèses!$V$17,Hypothèses!$W$17,IF(DL71&lt;=Hypothèses!$V$18,Hypothèses!$W$18,""))))))))))))</f>
        <v>#DIV/0!</v>
      </c>
      <c r="EG71" s="87" t="e">
        <f t="shared" ca="1" si="122"/>
        <v>#DIV/0!</v>
      </c>
      <c r="EH71" s="88" t="e">
        <f ca="1">IF(DL71&lt;=Hypothèses!$V$7,Hypothèses!$X$7,IF(DL71&lt;=Hypothèses!$V$8,Hypothèses!$X$8,IF(DL71&lt;=Hypothèses!$V$9,Hypothèses!$X$9,IF(DL71&lt;=Hypothèses!$V$10,Hypothèses!$X$10,IF(DL71&lt;=Hypothèses!$V$11,Hypothèses!$X$11,IF(DL71&lt;=Hypothèses!$V$12,Hypothèses!$X$12,IF(DL71&lt;=Hypothèses!$V$13,Hypothèses!$X$13,IF(DL71&lt;=Hypothèses!$V$14,Hypothèses!$X$14,IF(DL71&lt;=Hypothèses!$V$15,Hypothèses!$X$15,IF(DL71&lt;=Hypothèses!$V$16,Hypothèses!$X$16,IF(DL71&lt;=Hypothèses!$U$17,Hypothèses!$W$17,IF(DL71&lt;=Hypothèses!$U$18,Hypothèses!$W$18,""))))))))))))</f>
        <v>#DIV/0!</v>
      </c>
      <c r="EI71" s="95" t="e">
        <f t="shared" ca="1" si="93"/>
        <v>#DIV/0!</v>
      </c>
      <c r="EJ71" s="101" t="e">
        <f t="shared" si="129"/>
        <v>#N/A</v>
      </c>
      <c r="EK71" s="91" t="e">
        <f t="shared" si="57"/>
        <v>#N/A</v>
      </c>
      <c r="EL71" s="30" t="e">
        <f t="shared" si="112"/>
        <v>#N/A</v>
      </c>
      <c r="EM71" s="30" t="e">
        <f t="shared" si="113"/>
        <v>#N/A</v>
      </c>
      <c r="EN71" s="31" t="e">
        <f>IF(OR(Hypothèses!$B$4=17,Hypothèses!$B$4=18,Hypothèses!$B$4=19,Hypothèses!$B$4=20),
IF($D71="Pressio.",
IF(OR($E71=3,$E71=1,$E71=4),EM71,EL71),
IF($D71="Pénétro.",
IF(OR($E71=3,$E71=1,$E71=4),EM71,EL71))),IF($D71="Pressio.",
IF($E71=3,EM71,EL71),
IF($D71="Pénétro.",
IF($E71=4,EM71,EL71))))</f>
        <v>#N/A</v>
      </c>
      <c r="EO71" s="31" t="e">
        <f>(IF(OR(Hypothèses!$B$4=17,Hypothèses!$B$4=18,Hypothèses!$B$4=19,Hypothèses!$B$4=20),
IF($D71="Pressio.",
IF(OR($E71=3,$E71=1,$E71=4),(PI()*EO$12^2)/4*(EK71*$W71*1000)/($H71*$B$5),(PI()*EO$12^2)/4*(EK71*$W71*1000)/($G71*$B$5)),
IF($D71="Pénétro.",
IF(OR($E71=4,$E71=1,$E71=5),(PI()*EO$12^2)/4*(EK71*$W71*1000)/($H71*$B$5),(PI()*EO$12^2)/4*(EK71*$W71*1000)/($G71*$B$5)))),
IF($D71="Pressio.",
IF($E71=3,(PI()*EO$12^2)/4*(EK71*$W71*1000)/($H71*$B$5),(PI()*EO$12^2)/4*(EK71*$W71*1000)/($G71*$B$5)),
IF($D71="Pénétro.",
IF($E71=4,(PI()*EO$12^2)/4*(EK71*$W71*1000)/($H71*$B$5),(PI()*EO$12^2)/4*(EK71*$W71*1000)/($G71*$B$5))))))/10</f>
        <v>#N/A</v>
      </c>
      <c r="EP71" s="102" t="e">
        <f>(VLOOKUP($B$3,'Coeff EC7'!$T$39:$X$59,2,0)*EN71+VLOOKUP($B$3,'Coeff EC7'!$T$65:$X$85,2,0)*Model0.1C!EO71)/1.1</f>
        <v>#N/A</v>
      </c>
      <c r="EQ71" s="102" t="e">
        <f>(VLOOKUP($B$3,'Coeff EC7'!$T$39:$X$59,3,0)*EN71+VLOOKUP($B$3,'Coeff EC7'!$T$65:$X$85,3,0)*Model0.1C!EO71)/0.9</f>
        <v>#N/A</v>
      </c>
      <c r="ER71" s="102" t="e">
        <f t="shared" si="94"/>
        <v>#N/A</v>
      </c>
      <c r="ES71" s="102" t="e">
        <f t="shared" si="95"/>
        <v>#N/A</v>
      </c>
      <c r="ET71" s="414" t="e">
        <f>IF(ET70=0,0,IF(AND(EP71&gt;charge_ELS_quasi,EQ71&gt;Charge_ELS_freq,ER71&gt;charge_ELU,ES71&gt;charge_ELA,$B71&gt;NDC!$H$22-0.1+MIN(3*$ET$12,1.5)),0,1))</f>
        <v>#N/A</v>
      </c>
      <c r="EU71" s="86" t="b">
        <f t="shared" si="60"/>
        <v>0</v>
      </c>
      <c r="EV71" s="86">
        <f t="shared" si="61"/>
        <v>0.61</v>
      </c>
      <c r="EW71" s="86">
        <f t="shared" si="62"/>
        <v>0.61</v>
      </c>
      <c r="EX71" s="30" t="e">
        <f t="shared" ca="1" si="96"/>
        <v>#DIV/0!</v>
      </c>
      <c r="EY71" s="85" t="e">
        <f ca="1">IF(EE71&lt;=Hypothèses!$V$7,Hypothèses!$W$7,IF(EE71&lt;=Hypothèses!$V$8,Hypothèses!$W$8,IF(EE71&lt;=Hypothèses!$V$9,Hypothèses!$W$9,IF(EE71&lt;=Hypothèses!$V$10,Hypothèses!$W$10,IF(EE71&lt;=Hypothèses!$V$11,Hypothèses!$W$11,IF(EE71&lt;=Hypothèses!$V$12,Hypothèses!$W$12,IF(EE71&lt;=Hypothèses!$V$13,Hypothèses!$W$13,IF(EE71&lt;=Hypothèses!$V$14,Hypothèses!$W$14,IF(EE71&lt;=Hypothèses!$V$15,Hypothèses!$W$15,IF(EE71&lt;=Hypothèses!$V$16,Hypothèses!$W$16,IF(EE71&lt;=Hypothèses!$V$17,Hypothèses!$W$17,IF(EE71&lt;=Hypothèses!$V$18,Hypothèses!$W$18,""))))))))))))</f>
        <v>#DIV/0!</v>
      </c>
      <c r="EZ71" s="87" t="e">
        <f t="shared" ca="1" si="123"/>
        <v>#DIV/0!</v>
      </c>
      <c r="FA71" s="88" t="e">
        <f ca="1">IF(EE71&lt;=Hypothèses!$V$7,Hypothèses!$X$7,IF(EE71&lt;=Hypothèses!$V$8,Hypothèses!$X$8,IF(EE71&lt;=Hypothèses!$V$9,Hypothèses!$X$9,IF(EE71&lt;=Hypothèses!$V$10,Hypothèses!$X$10,IF(EE71&lt;=Hypothèses!$V$11,Hypothèses!$X$11,IF(EE71&lt;=Hypothèses!$V$12,Hypothèses!$X$12,IF(EE71&lt;=Hypothèses!$V$13,Hypothèses!$X$13,IF(EE71&lt;=Hypothèses!$V$14,Hypothèses!$X$14,IF(EE71&lt;=Hypothèses!$V$15,Hypothèses!$X$15,IF(EE71&lt;=Hypothèses!$V$16,Hypothèses!$X$16,IF(EE71&lt;=Hypothèses!$U$17,Hypothèses!$W$17,IF(EE71&lt;=Hypothèses!$U$18,Hypothèses!$W$18,""))))))))))))</f>
        <v>#DIV/0!</v>
      </c>
      <c r="FB71" s="95" t="e">
        <f t="shared" ca="1" si="97"/>
        <v>#DIV/0!</v>
      </c>
      <c r="FC71" s="101" t="e">
        <f t="shared" si="130"/>
        <v>#N/A</v>
      </c>
      <c r="FD71" s="91" t="e">
        <f t="shared" si="64"/>
        <v>#N/A</v>
      </c>
      <c r="FE71" s="30" t="e">
        <f t="shared" si="114"/>
        <v>#N/A</v>
      </c>
      <c r="FF71" s="30" t="e">
        <f t="shared" si="115"/>
        <v>#N/A</v>
      </c>
      <c r="FG71" s="31" t="e">
        <f>IF(OR(Hypothèses!$B$4=17,Hypothèses!$B$4=18,Hypothèses!$B$4=19,Hypothèses!$B$4=20),
IF($D71="Pressio.",
IF(OR($E71=3,$E71=1,$E71=4),FF71,FE71),
IF($D71="Pénétro.",
IF(OR($E71=3,$E71=1,$E71=4),FF71,FE71))),IF($D71="Pressio.",
IF($E71=3,FF71,FE71),
IF($D71="Pénétro.",
IF($E71=4,FF71,FE71))))</f>
        <v>#N/A</v>
      </c>
      <c r="FH71" s="31" t="e">
        <f>(IF(OR(Hypothèses!$B$4=17,Hypothèses!$B$4=18,Hypothèses!$B$4=19,Hypothèses!$B$4=20),
IF($D71="Pressio.",
IF(OR($E71=3,$E71=1,$E71=4),(PI()*FH$12^2)/4*(FD71*$W71*1000)/($H71*$B$5),(PI()*FH$12^2)/4*(FD71*$W71*1000)/($G71*$B$5)),
IF($D71="Pénétro.",
IF(OR($E71=4,$E71=1,$E71=5),(PI()*FH$12^2)/4*(FD71*$W71*1000)/($H71*$B$5),(PI()*FH$12^2)/4*(FD71*$W71*1000)/($G71*$B$5)))),
IF($D71="Pressio.",
IF($E71=3,(PI()*FH$12^2)/4*(FD71*$W71*1000)/($H71*$B$5),(PI()*FH$12^2)/4*(FD71*$W71*1000)/($G71*$B$5)),
IF($D71="Pénétro.",
IF($E71=4,(PI()*FH$12^2)/4*(FD71*$W71*1000)/($H71*$B$5),(PI()*FH$12^2)/4*(FD71*$W71*1000)/($G71*$B$5))))))/10</f>
        <v>#N/A</v>
      </c>
      <c r="FI71" s="102" t="e">
        <f>(VLOOKUP($B$3,'Coeff EC7'!$T$39:$X$59,2,0)*FG71+VLOOKUP($B$3,'Coeff EC7'!$T$65:$X$85,2,0)*Model0.1C!FH71)/1.1</f>
        <v>#N/A</v>
      </c>
      <c r="FJ71" s="102" t="e">
        <f>(VLOOKUP($B$3,'Coeff EC7'!$T$39:$X$59,3,0)*FG71+VLOOKUP($B$3,'Coeff EC7'!$T$65:$X$85,3,0)*Model0.1C!FH71)/0.9</f>
        <v>#N/A</v>
      </c>
      <c r="FK71" s="102" t="e">
        <f t="shared" si="98"/>
        <v>#N/A</v>
      </c>
      <c r="FL71" s="102" t="e">
        <f t="shared" si="99"/>
        <v>#N/A</v>
      </c>
      <c r="FM71" s="414" t="e">
        <f>IF(FM70=0,0,IF(AND(FI71&gt;charge_ELS_quasi,FJ71&gt;Charge_ELS_freq,FK71&gt;charge_ELU,FL71&gt;charge_ELA,$B71&gt;NDC!$H$22-0.1+MIN(3*$FM$12,1.5)),0,1))</f>
        <v>#N/A</v>
      </c>
    </row>
    <row r="72" spans="1:169">
      <c r="A72" s="96">
        <f t="shared" si="67"/>
        <v>94.100000000000335</v>
      </c>
      <c r="B72" s="97">
        <v>5.9</v>
      </c>
      <c r="C72" s="81">
        <f>IF(B72&lt;=Hypothèses!$C$7,Hypothèses!$A$7,IF(B72&lt;=Hypothèses!$C$8,Hypothèses!$A$8,IF(B72&lt;=Hypothèses!$C$9,Hypothèses!$A$9,IF(B72&lt;=Hypothèses!$C$10,Hypothèses!$A$10,IF(B72&lt;=Hypothèses!$C$11,Hypothèses!$A$11,IF(B72&lt;=Hypothèses!$C$12,Hypothèses!$A$12,IF(B72&lt;=Hypothèses!$C$13,Hypothèses!$A$13,IF(B72&lt;=Hypothèses!$C$14,Hypothèses!$A$14,IF(B72&lt;=Hypothèses!$C$15,Hypothèses!$A$15,IF(B72&lt;=Hypothèses!$C$16,Hypothèses!$A$16,IF(B72&lt;=Hypothèses!$C$17,Hypothèses!$A$17,IF(B72&lt;=Hypothèses!$C$18,Hypothèses!$A$18,C71))))))))))))</f>
        <v>11</v>
      </c>
      <c r="D72" s="82" t="str">
        <f>IF(B72&lt;=Hypothèses!$C$7,Hypothèses!$R$7,IF(B72&lt;=Hypothèses!$C$8,Hypothèses!$R$8,IF(B72&lt;=Hypothèses!$C$9,Hypothèses!$R$9,IF(B72&lt;=Hypothèses!$C$10,Hypothèses!$R$10,IF(B72&lt;=Hypothèses!$C$11,Hypothèses!$R$11,IF(B72&lt;=Hypothèses!$C$12,Hypothèses!$R$12,IF(B72&lt;=Hypothèses!$C$13,Hypothèses!$R$13,IF(B72&lt;=Hypothèses!$C$14,Hypothèses!$R$14,IF(B72&lt;=Hypothèses!$C$15,Hypothèses!$R$15,IF(B72&lt;=Hypothèses!$C$16,Hypothèses!$R$16,IF(B72&lt;=Hypothèses!$C$17,Hypothèses!$R$17,IF(B72&lt;=Hypothèses!$C$18,Hypothèses!$R$18,D71))))))))))))</f>
        <v>Pressio.</v>
      </c>
      <c r="E72" s="82" t="e">
        <f>IF(B72&lt;=Hypothèses!$C$7,Hypothèses!$G$7,IF(B72&lt;=Hypothèses!$C$8,Hypothèses!$G$8,IF(B72&lt;=Hypothèses!$C$9,Hypothèses!$G$9,IF(B72&lt;=Hypothèses!$C$10,Hypothèses!$G$10,IF(B72&lt;=Hypothèses!$C$11,Hypothèses!$G$11,IF(B72&lt;=Hypothèses!$C$12,Hypothèses!$G$12,IF(B72&lt;=Hypothèses!$C$13,Hypothèses!$G$13,IF(B72&lt;=Hypothèses!$C$14,Hypothèses!$G$14,IF(B72&lt;=Hypothèses!$C$15,Hypothèses!$G$15,IF(B72&lt;=Hypothèses!$C$16,Hypothèses!$G$16,IF(B72&lt;=Hypothèses!$C$17,Hypothèses!$G$17,IF(B72&lt;=Hypothèses!$C$18,Hypothèses!$G$18,E71))))))))))))</f>
        <v>#N/A</v>
      </c>
      <c r="F72" s="82" t="str">
        <f>IF(B72&lt;=Hypothèses!$C$7,Hypothèses!$F$7,IF(B72&lt;=Hypothèses!$C$8,Hypothèses!$F$8,IF(B72&lt;=Hypothèses!$C$9,Hypothèses!$F$9,IF(B72&lt;=Hypothèses!$C$10,Hypothèses!$F$10,IF(B72&lt;=Hypothèses!$C$11,Hypothèses!$F$11,IF(B72&lt;=Hypothèses!$C$12,Hypothèses!$F$12,IF(B72&lt;=Hypothèses!$C$13,Hypothèses!$F$13,IF(B72&lt;=Hypothèses!$C$14,Hypothèses!$F$14,IF(B72&lt;=Hypothèses!$C$15,Hypothèses!$F$15,IF(B72&lt;=Hypothèses!$C$16,Hypothèses!$F$16,IF(B72&lt;=Hypothèses!$C$17,Hypothèses!$F$17,IF(B72&lt;=Hypothèses!$C$18,Hypothèses!$F$18,F71))))))))))))</f>
        <v/>
      </c>
      <c r="G72" s="91">
        <f t="array" ref="G72">INDEX('Coeff EC7'!$U$7:$X$27,
MATCH(Model0.1C!$B$3,'Coeff EC7'!$T$7:$T$27,0),
MATCH(Model0.1C!$D72&amp;Model0.1C!$B$4,
'Coeff EC7'!$U$6:$X$6&amp;
'Coeff EC7'!$U$5:$X$5,0))</f>
        <v>1.1499999999999999</v>
      </c>
      <c r="H72" s="91">
        <f t="array" ref="H72">INDEX('Coeff EC7'!$Y$7:$AB$27,
MATCH(Model0.1C!$B$3,'Coeff EC7'!$T$7:$T$27,0),
MATCH(Model0.1C!$D72&amp;Model0.1C!$B$4,
'Coeff EC7'!$Y$6:$AB$6&amp;
'Coeff EC7'!$Y$5:$AB$5,0))</f>
        <v>1.4</v>
      </c>
      <c r="I72" s="83" t="e">
        <f>IF(B72&lt;=Hypothèses!$C$7,Hypothèses!$P$7,IF(B72&lt;=Hypothèses!$C$8,Hypothèses!$P$8,IF(B72&lt;=Hypothèses!$C$9,Hypothèses!$P$9,IF(B72&lt;=Hypothèses!$C$10,Hypothèses!$P$10,IF(B72&lt;=Hypothèses!$C$11,Hypothèses!$P$11,IF(B72&lt;=Hypothèses!$C$12,Hypothèses!$P$12,IF(B72&lt;=Hypothèses!$C$13,Hypothèses!$P$13,IF(B72&lt;=Hypothèses!$C$14,Hypothèses!$P$14,IF(B72&lt;=Hypothèses!$C$15,Hypothèses!$P$15,IF(B72&lt;=Hypothèses!$C$16,Hypothèses!$P$16,IF(B72&lt;=Hypothèses!$C$17,Hypothèses!$P$17,IF(B72&lt;=Hypothèses!$C$18,Hypothèses!$P$18,I71))))))))))))</f>
        <v>#N/A</v>
      </c>
      <c r="J72" s="91" t="e">
        <f t="array" ref="J72">INDEX('Coeff EC7'!$D$33:$Q$33,1,MATCH(D72&amp;E72,'Coeff EC7'!$D$31:$Q$31&amp;'Coeff EC7'!$D$32:$Q$32,0))</f>
        <v>#N/A</v>
      </c>
      <c r="K72" s="91" t="e">
        <f t="array" ref="K72">INDEX('Coeff EC7'!$D$34:$Q$34,1,MATCH(D72&amp;E72,'Coeff EC7'!$D$31:$Q$31&amp;'Coeff EC7'!$D$32:$Q$32,0))</f>
        <v>#N/A</v>
      </c>
      <c r="L72" s="91" t="e">
        <f t="array" ref="L72">INDEX('Coeff EC7'!$D$35:$Q$35,1,MATCH(D72&amp;E72,'Coeff EC7'!$D$31:$Q$31&amp;'Coeff EC7'!$D$32:$Q$32,0))</f>
        <v>#N/A</v>
      </c>
      <c r="M72" s="98" t="e">
        <f t="shared" si="8"/>
        <v>#N/A</v>
      </c>
      <c r="N72" s="99" t="e">
        <f t="array" ref="N72">INDEX('Coeff EC7'!$D$7:$Q$27,MATCH($B$3,'Coeff EC7'!$C$7:$C$27,0),MATCH(D72&amp;E72,'Coeff EC7'!$D$5:$Q$5&amp;'Coeff EC7'!$D$6:$Q$6,0))</f>
        <v>#N/A</v>
      </c>
      <c r="O72" s="99" t="e">
        <f t="array" ref="O72">INDEX('Coeff EC7'!$D$41:$Q$61,MATCH($B$3,'Coeff EC7'!$C$41:$C$61,0),MATCH(D72&amp;E72,'Coeff EC7'!$D$39:$Q$39&amp;'Coeff EC7'!$D$40:$Q$40,0))</f>
        <v>#N/A</v>
      </c>
      <c r="P72" s="30" t="e">
        <f t="shared" si="68"/>
        <v>#N/A</v>
      </c>
      <c r="Q72" s="100" t="e">
        <f t="shared" si="10"/>
        <v>#N/A</v>
      </c>
      <c r="R72" s="86" t="b">
        <f t="shared" si="11"/>
        <v>0</v>
      </c>
      <c r="S72" s="86">
        <f t="shared" si="9"/>
        <v>0.5</v>
      </c>
      <c r="T72" s="86">
        <f t="shared" si="12"/>
        <v>0.5</v>
      </c>
      <c r="U72" s="30" t="e">
        <f t="shared" ca="1" si="69"/>
        <v>#DIV/0!</v>
      </c>
      <c r="V72" s="85" t="str">
        <f>IF(B72&lt;=Hypothèses!$V$7,Hypothèses!$W$7,IF(B72&lt;=Hypothèses!$V$8,Hypothèses!$W$8,IF(B72&lt;=Hypothèses!$V$9,Hypothèses!$W$9,IF(B72&lt;=Hypothèses!$V$10,Hypothèses!$W$10,IF(B72&lt;=Hypothèses!$V$11,Hypothèses!$W$11,IF(B72&lt;=Hypothèses!$V$12,Hypothèses!$W$12,IF(B72&lt;=Hypothèses!$V$13,Hypothèses!$W$13,IF(B72&lt;=Hypothèses!$V$14,Hypothèses!$W$14,IF(B72&lt;=Hypothèses!$V$15,Hypothèses!$W$15,IF(B72&lt;=Hypothèses!$V$16,Hypothèses!$W$16,IF(B72&lt;=Hypothèses!$V$17,Hypothèses!$W$17,IF(B72&lt;=Hypothèses!$V$18,Hypothèses!$W$18,""))))))))))))</f>
        <v/>
      </c>
      <c r="W72" s="87" t="e">
        <f t="shared" ca="1" si="116"/>
        <v>#DIV/0!</v>
      </c>
      <c r="X72" s="88" t="str">
        <f>IF(B72&lt;=Hypothèses!$V$7,Hypothèses!$X$7,IF(B72&lt;=Hypothèses!$V$8,Hypothèses!$X$8,IF(B72&lt;=Hypothèses!$V$9,Hypothèses!$X$9,IF(B72&lt;=Hypothèses!$V$10,Hypothèses!$X$10,IF(B72&lt;=Hypothèses!$V$11,Hypothèses!$X$11,IF(B72&lt;=Hypothèses!$V$12,Hypothèses!$X$12,IF(B72&lt;=Hypothèses!$V$13,Hypothèses!$X$13,IF(B72&lt;=Hypothèses!$V$14,Hypothèses!$X$14,IF(B72&lt;=Hypothèses!$V$15,Hypothèses!$X$15,IF(B72&lt;=Hypothèses!$V$16,Hypothèses!$X$16,IF(B72&lt;=Hypothèses!$U$17,Hypothèses!$W$17,IF(B72&lt;=Hypothèses!$U$18,Hypothèses!$W$18,""))))))))))))</f>
        <v/>
      </c>
      <c r="Y72" s="95" t="e">
        <f t="shared" ca="1" si="13"/>
        <v>#DIV/0!</v>
      </c>
      <c r="Z72" s="101" t="e">
        <f t="shared" si="14"/>
        <v>#N/A</v>
      </c>
      <c r="AA72" s="91" t="e">
        <f t="shared" si="15"/>
        <v>#N/A</v>
      </c>
      <c r="AB72" s="30" t="e">
        <f t="shared" si="100"/>
        <v>#N/A</v>
      </c>
      <c r="AC72" s="30" t="e">
        <f t="shared" si="101"/>
        <v>#N/A</v>
      </c>
      <c r="AD72" s="31" t="e">
        <f>IF(OR(Hypothèses!$B$4=17,Hypothèses!$B$4=18,Hypothèses!$B$4=19,Hypothèses!$B$4=20),
IF($D72="Pressio.",
IF(OR($E72=3,$E72=1,$E72=4),AC72,AB72),
IF($D72="Pénétro.",
IF(OR($E72=3,$E72=1,$E72=4),AC72,AB72))),IF($D72="Pressio.",
IF($E72=3,AC72,AB72),
IF($D72="Pénétro.",
IF($E72=4,AC72,AB72))))</f>
        <v>#N/A</v>
      </c>
      <c r="AE72" s="31" t="e">
        <f>(IF(OR(Hypothèses!$B$4=17,Hypothèses!$B$4=18,Hypothèses!$B$4=19,Hypothèses!$B$4=20),
IF($D72="Pressio.",
IF(OR($E72=3,$E72=1,$E72=4),(PI()*AE$12^2)/4*(AA72*$W72*1000)/($H72*$B$5),(PI()*AE$12^2)/4*(AA72*$W72*1000)/($G72*$B$5)),
IF($D72="Pénétro.",
IF(OR($E72=4,$E72=1,$E72=5),(PI()*AE$12^2)/4*(AA72*$W72*1000)/($H72*$B$5),(PI()*AE$12^2)/4*(AA72*$W72*1000)/($G72*$B$5)))),
IF($D72="Pressio.",
IF($E72=3,(PI()*AE$12^2)/4*(AA72*$W72*1000)/($H72*$B$5),(PI()*AE$12^2)/4*(AA72*$W72*1000)/($G72*$B$5)),
IF($D72="Pénétro.",
IF($E72=4,(PI()*AE$12^2)/4*(AA72*$W72*1000)/($H72*$B$5),(PI()*AE$12^2)/4*(AA72*$W72*1000)/($G72*$B$5))))))/10</f>
        <v>#N/A</v>
      </c>
      <c r="AF72" s="102" t="e">
        <f>(VLOOKUP($B$3,'Coeff EC7'!$T$39:$X$59,2,0)*AD72+VLOOKUP($B$3,'Coeff EC7'!$T$65:$X$85,2,0)*Model0.1C!AE72)/1.1</f>
        <v>#N/A</v>
      </c>
      <c r="AG72" s="102" t="e">
        <f>(VLOOKUP($B$3,'Coeff EC7'!$T$39:$X$59,3,0)*AD72+VLOOKUP($B$3,'Coeff EC7'!$T$65:$X$85,3,0)*Model0.1C!AE72)/0.9</f>
        <v>#N/A</v>
      </c>
      <c r="AH72" s="102" t="e">
        <f t="shared" si="18"/>
        <v>#N/A</v>
      </c>
      <c r="AI72" s="102" t="e">
        <f t="shared" si="19"/>
        <v>#N/A</v>
      </c>
      <c r="AJ72" s="414" t="e">
        <f>IF(AJ71=0,0,IF(AND(AF72&gt;charge_ELS_quasi,AG72&gt;Charge_ELS_freq,AH72&gt;charge_ELU,AI72&gt;charge_ELA,$B72&gt;NDC!$H$22-0.1+MIN(3*$AJ$12,1.5)),0,1))</f>
        <v>#N/A</v>
      </c>
      <c r="AK72" s="86" t="b">
        <f t="shared" si="20"/>
        <v>0</v>
      </c>
      <c r="AL72" s="86">
        <f t="shared" si="70"/>
        <v>0.5</v>
      </c>
      <c r="AM72" s="86">
        <f t="shared" si="21"/>
        <v>0.5</v>
      </c>
      <c r="AN72" s="30" t="e">
        <f t="shared" ca="1" si="71"/>
        <v>#DIV/0!</v>
      </c>
      <c r="AO72" s="85" t="e">
        <f ca="1">IF(U72&lt;=Hypothèses!$V$7,Hypothèses!$W$7,IF(U72&lt;=Hypothèses!$V$8,Hypothèses!$W$8,IF(U72&lt;=Hypothèses!$V$9,Hypothèses!$W$9,IF(U72&lt;=Hypothèses!$V$10,Hypothèses!$W$10,IF(U72&lt;=Hypothèses!$V$11,Hypothèses!$W$11,IF(U72&lt;=Hypothèses!$V$12,Hypothèses!$W$12,IF(U72&lt;=Hypothèses!$V$13,Hypothèses!$W$13,IF(U72&lt;=Hypothèses!$V$14,Hypothèses!$W$14,IF(U72&lt;=Hypothèses!$V$15,Hypothèses!$W$15,IF(U72&lt;=Hypothèses!$V$16,Hypothèses!$W$16,IF(U72&lt;=Hypothèses!$V$17,Hypothèses!$W$17,IF(U72&lt;=Hypothèses!$V$18,Hypothèses!$W$18,""))))))))))))</f>
        <v>#DIV/0!</v>
      </c>
      <c r="AP72" s="87" t="e">
        <f t="shared" ca="1" si="117"/>
        <v>#DIV/0!</v>
      </c>
      <c r="AQ72" s="88" t="e">
        <f ca="1">IF(U72&lt;=Hypothèses!$V$7,Hypothèses!$X$7,IF(U72&lt;=Hypothèses!$V$8,Hypothèses!$X$8,IF(U72&lt;=Hypothèses!$V$9,Hypothèses!$X$9,IF(U72&lt;=Hypothèses!$V$10,Hypothèses!$X$10,IF(U72&lt;=Hypothèses!$V$11,Hypothèses!$X$11,IF(U72&lt;=Hypothèses!$V$12,Hypothèses!$X$12,IF(U72&lt;=Hypothèses!$V$13,Hypothèses!$X$13,IF(U72&lt;=Hypothèses!$V$14,Hypothèses!$X$14,IF(U72&lt;=Hypothèses!$V$15,Hypothèses!$X$15,IF(U72&lt;=Hypothèses!$V$16,Hypothèses!$X$16,IF(U72&lt;=Hypothèses!$U$17,Hypothèses!$W$17,IF(U72&lt;=Hypothèses!$U$18,Hypothèses!$W$18,""))))))))))))</f>
        <v>#DIV/0!</v>
      </c>
      <c r="AR72" s="95" t="e">
        <f t="shared" ca="1" si="72"/>
        <v>#DIV/0!</v>
      </c>
      <c r="AS72" s="101" t="e">
        <f t="shared" si="124"/>
        <v>#N/A</v>
      </c>
      <c r="AT72" s="91" t="e">
        <f t="shared" si="23"/>
        <v>#N/A</v>
      </c>
      <c r="AU72" s="30" t="e">
        <f t="shared" si="102"/>
        <v>#N/A</v>
      </c>
      <c r="AV72" s="30" t="e">
        <f t="shared" si="103"/>
        <v>#N/A</v>
      </c>
      <c r="AW72" s="31" t="e">
        <f>IF(OR(Hypothèses!$B$4=17,Hypothèses!$B$4=18,Hypothèses!$B$4=19,Hypothèses!$B$4=20),
IF($D72="Pressio.",
IF(OR($E72=3,$E72=1,$E72=4),AV72,AU72),
IF($D72="Pénétro.",
IF(OR($E72=3,$E72=1,$E72=4),AV72,AU72))),IF($D72="Pressio.",
IF($E72=3,AV72,AU72),
IF($D72="Pénétro.",
IF($E72=4,AV72,AU72))))</f>
        <v>#N/A</v>
      </c>
      <c r="AX72" s="31" t="e">
        <f>(IF(OR(Hypothèses!$B$4=17,Hypothèses!$B$4=18,Hypothèses!$B$4=19,Hypothèses!$B$4=20),
IF($D72="Pressio.",
IF(OR($E72=3,$E72=1,$E72=4),(PI()*AX$12^2)/4*(AT72*$W72*1000)/($H72*$B$5),(PI()*AX$12^2)/4*(AT72*$W72*1000)/($G72*$B$5)),
IF($D72="Pénétro.",
IF(OR($E72=4,$E72=1,$E72=5),(PI()*AX$12^2)/4*(AT72*$W72*1000)/($H72*$B$5),(PI()*AX$12^2)/4*(AT72*$W72*1000)/($G72*$B$5)))),
IF($D72="Pressio.",
IF($E72=3,(PI()*AX$12^2)/4*(AT72*$W72*1000)/($H72*$B$5),(PI()*AX$12^2)/4*(AT72*$W72*1000)/($G72*$B$5)),
IF($D72="Pénétro.",
IF($E72=4,(PI()*AX$12^2)/4*(AT72*$W72*1000)/($H72*$B$5),(PI()*AX$12^2)/4*(AT72*$W72*1000)/($G72*$B$5))))))/10</f>
        <v>#N/A</v>
      </c>
      <c r="AY72" s="102" t="e">
        <f>(VLOOKUP($B$3,'Coeff EC7'!$T$39:$X$59,2,0)*AW72+VLOOKUP($B$3,'Coeff EC7'!$T$65:$X$85,2,0)*Model0.1C!AX72)/1.1</f>
        <v>#N/A</v>
      </c>
      <c r="AZ72" s="102" t="e">
        <f>(VLOOKUP($B$3,'Coeff EC7'!$T$39:$X$59,3,0)*AW72+VLOOKUP($B$3,'Coeff EC7'!$T$65:$X$85,3,0)*Model0.1C!AX72)/0.9</f>
        <v>#N/A</v>
      </c>
      <c r="BA72" s="102" t="e">
        <f t="shared" si="73"/>
        <v>#N/A</v>
      </c>
      <c r="BB72" s="102" t="e">
        <f t="shared" si="74"/>
        <v>#N/A</v>
      </c>
      <c r="BC72" s="414" t="e">
        <f>IF(BC71=0,0,IF(AND(AY72&gt;charge_ELS_quasi,AZ72&gt;Charge_ELS_freq,BA72&gt;charge_ELU,BB72&gt;charge_ELA,$B72&gt;NDC!$H$22-0.1+MIN(3*$BC$12,1.5)),0,1))</f>
        <v>#N/A</v>
      </c>
      <c r="BD72" s="86" t="b">
        <f t="shared" si="26"/>
        <v>0</v>
      </c>
      <c r="BE72" s="86">
        <f t="shared" si="75"/>
        <v>0.5</v>
      </c>
      <c r="BF72" s="86">
        <f t="shared" si="27"/>
        <v>0.5</v>
      </c>
      <c r="BG72" s="30" t="e">
        <f t="shared" ca="1" si="76"/>
        <v>#DIV/0!</v>
      </c>
      <c r="BH72" s="85" t="e">
        <f ca="1">IF(AN72&lt;=Hypothèses!$V$7,Hypothèses!$W$7,IF(AN72&lt;=Hypothèses!$V$8,Hypothèses!$W$8,IF(AN72&lt;=Hypothèses!$V$9,Hypothèses!$W$9,IF(AN72&lt;=Hypothèses!$V$10,Hypothèses!$W$10,IF(AN72&lt;=Hypothèses!$V$11,Hypothèses!$W$11,IF(AN72&lt;=Hypothèses!$V$12,Hypothèses!$W$12,IF(AN72&lt;=Hypothèses!$V$13,Hypothèses!$W$13,IF(AN72&lt;=Hypothèses!$V$14,Hypothèses!$W$14,IF(AN72&lt;=Hypothèses!$V$15,Hypothèses!$W$15,IF(AN72&lt;=Hypothèses!$V$16,Hypothèses!$W$16,IF(AN72&lt;=Hypothèses!$V$17,Hypothèses!$W$17,IF(AN72&lt;=Hypothèses!$V$18,Hypothèses!$W$18,""))))))))))))</f>
        <v>#DIV/0!</v>
      </c>
      <c r="BI72" s="87" t="e">
        <f t="shared" ca="1" si="118"/>
        <v>#DIV/0!</v>
      </c>
      <c r="BJ72" s="88" t="e">
        <f ca="1">IF(AN72&lt;=Hypothèses!$V$7,Hypothèses!$X$7,IF(AN72&lt;=Hypothèses!$V$8,Hypothèses!$X$8,IF(AN72&lt;=Hypothèses!$V$9,Hypothèses!$X$9,IF(AN72&lt;=Hypothèses!$V$10,Hypothèses!$X$10,IF(AN72&lt;=Hypothèses!$V$11,Hypothèses!$X$11,IF(AN72&lt;=Hypothèses!$V$12,Hypothèses!$X$12,IF(AN72&lt;=Hypothèses!$V$13,Hypothèses!$X$13,IF(AN72&lt;=Hypothèses!$V$14,Hypothèses!$X$14,IF(AN72&lt;=Hypothèses!$V$15,Hypothèses!$X$15,IF(AN72&lt;=Hypothèses!$V$16,Hypothèses!$X$16,IF(AN72&lt;=Hypothèses!$U$17,Hypothèses!$W$17,IF(AN72&lt;=Hypothèses!$U$18,Hypothèses!$W$18,""))))))))))))</f>
        <v>#DIV/0!</v>
      </c>
      <c r="BK72" s="95" t="e">
        <f t="shared" ca="1" si="77"/>
        <v>#DIV/0!</v>
      </c>
      <c r="BL72" s="101" t="e">
        <f t="shared" si="125"/>
        <v>#N/A</v>
      </c>
      <c r="BM72" s="91" t="e">
        <f t="shared" si="29"/>
        <v>#N/A</v>
      </c>
      <c r="BN72" s="30" t="e">
        <f t="shared" si="104"/>
        <v>#N/A</v>
      </c>
      <c r="BO72" s="30" t="e">
        <f t="shared" si="105"/>
        <v>#N/A</v>
      </c>
      <c r="BP72" s="31" t="e">
        <f>IF(OR(Hypothèses!$B$4=17,Hypothèses!$B$4=18,Hypothèses!$B$4=19,Hypothèses!$B$4=20),
IF($D72="Pressio.",
IF(OR($E72=3,$E72=1,$E72=4),BO72,BN72),
IF($D72="Pénétro.",
IF(OR($E72=3,$E72=1,$E72=4),BO72,BN72))),IF($D72="Pressio.",
IF($E72=3,BO72,BN72),
IF($D72="Pénétro.",
IF($E72=4,BO72,BN72))))</f>
        <v>#N/A</v>
      </c>
      <c r="BQ72" s="31" t="e">
        <f>(IF(OR(Hypothèses!$B$4=17,Hypothèses!$B$4=18,Hypothèses!$B$4=19,Hypothèses!$B$4=20),
IF($D72="Pressio.",
IF(OR($E72=3,$E72=1,$E72=4),(PI()*BQ$12^2)/4*(BM72*$W72*1000)/($H72*$B$5),(PI()*BQ$12^2)/4*(BM72*$W72*1000)/($G72*$B$5)),
IF($D72="Pénétro.",
IF(OR($E72=4,$E72=1,$E72=5),(PI()*BQ$12^2)/4*(BM72*$W72*1000)/($H72*$B$5),(PI()*BQ$12^2)/4*(BM72*$W72*1000)/($G72*$B$5)))),
IF($D72="Pressio.",
IF($E72=3,(PI()*BQ$12^2)/4*(BM72*$W72*1000)/($H72*$B$5),(PI()*BQ$12^2)/4*(BM72*$W72*1000)/($G72*$B$5)),
IF($D72="Pénétro.",
IF($E72=4,(PI()*BQ$12^2)/4*(BM72*$W72*1000)/($H72*$B$5),(PI()*BQ$12^2)/4*(BM72*$W72*1000)/($G72*$B$5))))))/10</f>
        <v>#N/A</v>
      </c>
      <c r="BR72" s="102" t="e">
        <f>(VLOOKUP($B$3,'Coeff EC7'!$T$39:$X$59,2,0)*BP72+VLOOKUP($B$3,'Coeff EC7'!$T$65:$X$85,2,0)*Model0.1C!BQ72)/1.1</f>
        <v>#N/A</v>
      </c>
      <c r="BS72" s="102" t="e">
        <f>(VLOOKUP($B$3,'Coeff EC7'!$T$39:$X$59,3,0)*BP72+VLOOKUP($B$3,'Coeff EC7'!$T$65:$X$85,3,0)*Model0.1C!BQ72)/0.9</f>
        <v>#N/A</v>
      </c>
      <c r="BT72" s="102" t="e">
        <f t="shared" si="78"/>
        <v>#N/A</v>
      </c>
      <c r="BU72" s="102" t="e">
        <f t="shared" si="79"/>
        <v>#N/A</v>
      </c>
      <c r="BV72" s="414" t="e">
        <f>IF(BV71=0,0,IF(AND(BR72&gt;charge_ELS_quasi,BS72&gt;Charge_ELS_freq,BT72&gt;charge_ELU,BU72&gt;charge_ELA,$B72&gt;NDC!$H$22-0.1+MIN(3*$BV$12,1.5)),0,1))</f>
        <v>#N/A</v>
      </c>
      <c r="BW72" s="86" t="b">
        <f t="shared" si="32"/>
        <v>0</v>
      </c>
      <c r="BX72" s="86">
        <f t="shared" si="33"/>
        <v>0.5</v>
      </c>
      <c r="BY72" s="86">
        <f t="shared" si="34"/>
        <v>0.5</v>
      </c>
      <c r="BZ72" s="30" t="e">
        <f t="shared" ca="1" si="80"/>
        <v>#DIV/0!</v>
      </c>
      <c r="CA72" s="85" t="e">
        <f ca="1">IF(BG72&lt;=Hypothèses!$V$7,Hypothèses!$W$7,IF(BG72&lt;=Hypothèses!$V$8,Hypothèses!$W$8,IF(BG72&lt;=Hypothèses!$V$9,Hypothèses!$W$9,IF(BG72&lt;=Hypothèses!$V$10,Hypothèses!$W$10,IF(BG72&lt;=Hypothèses!$V$11,Hypothèses!$W$11,IF(BG72&lt;=Hypothèses!$V$12,Hypothèses!$W$12,IF(BG72&lt;=Hypothèses!$V$13,Hypothèses!$W$13,IF(BG72&lt;=Hypothèses!$V$14,Hypothèses!$W$14,IF(BG72&lt;=Hypothèses!$V$15,Hypothèses!$W$15,IF(BG72&lt;=Hypothèses!$V$16,Hypothèses!$W$16,IF(BG72&lt;=Hypothèses!$V$17,Hypothèses!$W$17,IF(BG72&lt;=Hypothèses!$V$18,Hypothèses!$W$18,""))))))))))))</f>
        <v>#DIV/0!</v>
      </c>
      <c r="CB72" s="87" t="e">
        <f t="shared" ca="1" si="119"/>
        <v>#DIV/0!</v>
      </c>
      <c r="CC72" s="88" t="e">
        <f ca="1">IF(BG72&lt;=Hypothèses!$V$7,Hypothèses!$X$7,IF(BG72&lt;=Hypothèses!$V$8,Hypothèses!$X$8,IF(BG72&lt;=Hypothèses!$V$9,Hypothèses!$X$9,IF(BG72&lt;=Hypothèses!$V$10,Hypothèses!$X$10,IF(BG72&lt;=Hypothèses!$V$11,Hypothèses!$X$11,IF(BG72&lt;=Hypothèses!$V$12,Hypothèses!$X$12,IF(BG72&lt;=Hypothèses!$V$13,Hypothèses!$X$13,IF(BG72&lt;=Hypothèses!$V$14,Hypothèses!$X$14,IF(BG72&lt;=Hypothèses!$V$15,Hypothèses!$X$15,IF(BG72&lt;=Hypothèses!$V$16,Hypothèses!$X$16,IF(BG72&lt;=Hypothèses!$U$17,Hypothèses!$W$17,IF(BG72&lt;=Hypothèses!$U$18,Hypothèses!$W$18,""))))))))))))</f>
        <v>#DIV/0!</v>
      </c>
      <c r="CD72" s="95" t="e">
        <f t="shared" ca="1" si="81"/>
        <v>#DIV/0!</v>
      </c>
      <c r="CE72" s="101" t="e">
        <f t="shared" si="126"/>
        <v>#N/A</v>
      </c>
      <c r="CF72" s="91" t="e">
        <f t="shared" si="36"/>
        <v>#N/A</v>
      </c>
      <c r="CG72" s="30" t="e">
        <f t="shared" si="106"/>
        <v>#N/A</v>
      </c>
      <c r="CH72" s="30" t="e">
        <f t="shared" si="107"/>
        <v>#N/A</v>
      </c>
      <c r="CI72" s="31" t="e">
        <f>IF(OR(Hypothèses!$B$4=17,Hypothèses!$B$4=18,Hypothèses!$B$4=19,Hypothèses!$B$4=20),
IF($D72="Pressio.",
IF(OR($E72=3,$E72=1,$E72=4),CH72,CG72),
IF($D72="Pénétro.",
IF(OR($E72=3,$E72=1,$E72=4),CH72,CG72))),IF($D72="Pressio.",
IF($E72=3,CH72,CG72),
IF($D72="Pénétro.",
IF($E72=4,CH72,CG72))))</f>
        <v>#N/A</v>
      </c>
      <c r="CJ72" s="31" t="e">
        <f>(IF(OR(Hypothèses!$B$4=17,Hypothèses!$B$4=18,Hypothèses!$B$4=19,Hypothèses!$B$4=20),
IF($D72="Pressio.",
IF(OR($E72=3,$E72=1,$E72=4),(PI()*CJ$12^2)/4*(CF72*$W72*1000)/($H72*$B$5),(PI()*CJ$12^2)/4*(CF72*$W72*1000)/($G72*$B$5)),
IF($D72="Pénétro.",
IF(OR($E72=4,$E72=1,$E72=5),(PI()*CJ$12^2)/4*(CF72*$W72*1000)/($H72*$B$5),(PI()*CJ$12^2)/4*(CF72*$W72*1000)/($G72*$B$5)))),
IF($D72="Pressio.",
IF($E72=3,(PI()*CJ$12^2)/4*(CF72*$W72*1000)/($H72*$B$5),(PI()*CJ$12^2)/4*(CF72*$W72*1000)/($G72*$B$5)),
IF($D72="Pénétro.",
IF($E72=4,(PI()*CJ$12^2)/4*(CF72*$W72*1000)/($H72*$B$5),(PI()*CJ$12^2)/4*(CF72*$W72*1000)/($G72*$B$5))))))/10</f>
        <v>#N/A</v>
      </c>
      <c r="CK72" s="102" t="e">
        <f>(VLOOKUP($B$3,'Coeff EC7'!$T$39:$X$59,2,0)*CI72+VLOOKUP($B$3,'Coeff EC7'!$T$65:$X$85,2,0)*Model0.1C!CJ72)/1.1</f>
        <v>#N/A</v>
      </c>
      <c r="CL72" s="102" t="e">
        <f>(VLOOKUP($B$3,'Coeff EC7'!$T$39:$X$59,3,0)*CI72+VLOOKUP($B$3,'Coeff EC7'!$T$65:$X$85,3,0)*Model0.1C!CJ72)/0.9</f>
        <v>#N/A</v>
      </c>
      <c r="CM72" s="102" t="e">
        <f t="shared" si="82"/>
        <v>#N/A</v>
      </c>
      <c r="CN72" s="102" t="e">
        <f t="shared" si="83"/>
        <v>#N/A</v>
      </c>
      <c r="CO72" s="414" t="e">
        <f>IF(CO71=0,0,IF(AND(CK72&gt;charge_ELS_quasi,CL72&gt;Charge_ELS_freq,CM72&gt;charge_ELU,CN72&gt;charge_ELA,$B72&gt;NDC!$H$22-0.1+MIN(3*$CO$12,1.5)),0,1))</f>
        <v>#N/A</v>
      </c>
      <c r="CP72" s="86" t="b">
        <f t="shared" si="39"/>
        <v>0</v>
      </c>
      <c r="CQ72" s="86">
        <f t="shared" si="40"/>
        <v>0.5</v>
      </c>
      <c r="CR72" s="86">
        <f t="shared" si="41"/>
        <v>0.5</v>
      </c>
      <c r="CS72" s="30" t="e">
        <f t="shared" ca="1" si="84"/>
        <v>#DIV/0!</v>
      </c>
      <c r="CT72" s="85" t="e">
        <f ca="1">IF(BZ72&lt;=Hypothèses!$V$7,Hypothèses!$W$7,IF(BZ72&lt;=Hypothèses!$V$8,Hypothèses!$W$8,IF(BZ72&lt;=Hypothèses!$V$9,Hypothèses!$W$9,IF(BZ72&lt;=Hypothèses!$V$10,Hypothèses!$W$10,IF(BZ72&lt;=Hypothèses!$V$11,Hypothèses!$W$11,IF(BZ72&lt;=Hypothèses!$V$12,Hypothèses!$W$12,IF(BZ72&lt;=Hypothèses!$V$13,Hypothèses!$W$13,IF(BZ72&lt;=Hypothèses!$V$14,Hypothèses!$W$14,IF(BZ72&lt;=Hypothèses!$V$15,Hypothèses!$W$15,IF(BZ72&lt;=Hypothèses!$V$16,Hypothèses!$W$16,IF(BZ72&lt;=Hypothèses!$V$17,Hypothèses!$W$17,IF(BZ72&lt;=Hypothèses!$V$18,Hypothèses!$W$18,""))))))))))))</f>
        <v>#DIV/0!</v>
      </c>
      <c r="CU72" s="87" t="e">
        <f t="shared" ca="1" si="120"/>
        <v>#DIV/0!</v>
      </c>
      <c r="CV72" s="88" t="e">
        <f ca="1">IF(BZ72&lt;=Hypothèses!$V$7,Hypothèses!$X$7,IF(BZ72&lt;=Hypothèses!$V$8,Hypothèses!$X$8,IF(BZ72&lt;=Hypothèses!$V$9,Hypothèses!$X$9,IF(BZ72&lt;=Hypothèses!$V$10,Hypothèses!$X$10,IF(BZ72&lt;=Hypothèses!$V$11,Hypothèses!$X$11,IF(BZ72&lt;=Hypothèses!$V$12,Hypothèses!$X$12,IF(BZ72&lt;=Hypothèses!$V$13,Hypothèses!$X$13,IF(BZ72&lt;=Hypothèses!$V$14,Hypothèses!$X$14,IF(BZ72&lt;=Hypothèses!$V$15,Hypothèses!$X$15,IF(BZ72&lt;=Hypothèses!$V$16,Hypothèses!$X$16,IF(BZ72&lt;=Hypothèses!$U$17,Hypothèses!$W$17,IF(BZ72&lt;=Hypothèses!$U$18,Hypothèses!$W$18,""))))))))))))</f>
        <v>#DIV/0!</v>
      </c>
      <c r="CW72" s="95" t="e">
        <f t="shared" ca="1" si="85"/>
        <v>#DIV/0!</v>
      </c>
      <c r="CX72" s="101" t="e">
        <f t="shared" si="127"/>
        <v>#N/A</v>
      </c>
      <c r="CY72" s="91" t="e">
        <f t="shared" si="43"/>
        <v>#N/A</v>
      </c>
      <c r="CZ72" s="30" t="e">
        <f t="shared" si="108"/>
        <v>#N/A</v>
      </c>
      <c r="DA72" s="30" t="e">
        <f t="shared" si="109"/>
        <v>#N/A</v>
      </c>
      <c r="DB72" s="31" t="e">
        <f>IF(OR(Hypothèses!$B$4=17,Hypothèses!$B$4=18,Hypothèses!$B$4=19,Hypothèses!$B$4=20),
IF($D72="Pressio.",
IF(OR($E72=3,$E72=1,$E72=4),DA72,CZ72),
IF($D72="Pénétro.",
IF(OR($E72=3,$E72=1,$E72=4),DA72,CZ72))),IF($D72="Pressio.",
IF($E72=3,DA72,CZ72),
IF($D72="Pénétro.",
IF($E72=4,DA72,CZ72))))</f>
        <v>#N/A</v>
      </c>
      <c r="DC72" s="31" t="e">
        <f>(IF(OR(Hypothèses!$B$4=17,Hypothèses!$B$4=18,Hypothèses!$B$4=19,Hypothèses!$B$4=20),
IF($D72="Pressio.",
IF(OR($E72=3,$E72=1,$E72=4),(PI()*DC$12^2)/4*(CY72*$W72*1000)/($H72*$B$5),(PI()*DC$12^2)/4*(CY72*$W72*1000)/($G72*$B$5)),
IF($D72="Pénétro.",
IF(OR($E72=4,$E72=1,$E72=5),(PI()*DC$12^2)/4*(CY72*$W72*1000)/($H72*$B$5),(PI()*DC$12^2)/4*(CY72*$W72*1000)/($G72*$B$5)))),
IF($D72="Pressio.",
IF($E72=3,(PI()*DC$12^2)/4*(CY72*$W72*1000)/($H72*$B$5),(PI()*DC$12^2)/4*(CY72*$W72*1000)/($G72*$B$5)),
IF($D72="Pénétro.",
IF($E72=4,(PI()*DC$12^2)/4*(CY72*$W72*1000)/($H72*$B$5),(PI()*DC$12^2)/4*(CY72*$W72*1000)/($G72*$B$5))))))/10</f>
        <v>#N/A</v>
      </c>
      <c r="DD72" s="102" t="e">
        <f>(VLOOKUP($B$3,'Coeff EC7'!$T$39:$X$59,2,0)*DB72+VLOOKUP($B$3,'Coeff EC7'!$T$65:$X$85,2,0)*Model0.1C!DC72)/1.1</f>
        <v>#N/A</v>
      </c>
      <c r="DE72" s="102" t="e">
        <f>(VLOOKUP($B$3,'Coeff EC7'!$T$39:$X$59,3,0)*DB72+VLOOKUP($B$3,'Coeff EC7'!$T$65:$X$85,3,0)*Model0.1C!DC72)/0.9</f>
        <v>#N/A</v>
      </c>
      <c r="DF72" s="102" t="e">
        <f t="shared" si="86"/>
        <v>#N/A</v>
      </c>
      <c r="DG72" s="102" t="e">
        <f t="shared" si="87"/>
        <v>#N/A</v>
      </c>
      <c r="DH72" s="414" t="e">
        <f>IF(DH71=0,0,IF(AND(DD72&gt;charge_ELS_quasi,DE72&gt;Charge_ELS_freq,DF72&gt;charge_ELU,DG72&gt;charge_ELA,$B72&gt;NDC!$H$22-0.1+MIN(3*$DH$12,1.5)),0,1))</f>
        <v>#N/A</v>
      </c>
      <c r="DI72" s="86" t="b">
        <f t="shared" si="46"/>
        <v>0</v>
      </c>
      <c r="DJ72" s="86">
        <f t="shared" si="47"/>
        <v>0.5</v>
      </c>
      <c r="DK72" s="86">
        <f t="shared" si="48"/>
        <v>0.5</v>
      </c>
      <c r="DL72" s="30" t="e">
        <f t="shared" ca="1" si="88"/>
        <v>#DIV/0!</v>
      </c>
      <c r="DM72" s="85" t="e">
        <f ca="1">IF(CS72&lt;=Hypothèses!$V$7,Hypothèses!$W$7,IF(CS72&lt;=Hypothèses!$V$8,Hypothèses!$W$8,IF(CS72&lt;=Hypothèses!$V$9,Hypothèses!$W$9,IF(CS72&lt;=Hypothèses!$V$10,Hypothèses!$W$10,IF(CS72&lt;=Hypothèses!$V$11,Hypothèses!$W$11,IF(CS72&lt;=Hypothèses!$V$12,Hypothèses!$W$12,IF(CS72&lt;=Hypothèses!$V$13,Hypothèses!$W$13,IF(CS72&lt;=Hypothèses!$V$14,Hypothèses!$W$14,IF(CS72&lt;=Hypothèses!$V$15,Hypothèses!$W$15,IF(CS72&lt;=Hypothèses!$V$16,Hypothèses!$W$16,IF(CS72&lt;=Hypothèses!$V$17,Hypothèses!$W$17,IF(CS72&lt;=Hypothèses!$V$18,Hypothèses!$W$18,""))))))))))))</f>
        <v>#DIV/0!</v>
      </c>
      <c r="DN72" s="87" t="e">
        <f t="shared" ca="1" si="121"/>
        <v>#DIV/0!</v>
      </c>
      <c r="DO72" s="88" t="e">
        <f ca="1">IF(CS72&lt;=Hypothèses!$V$7,Hypothèses!$X$7,IF(CS72&lt;=Hypothèses!$V$8,Hypothèses!$X$8,IF(CS72&lt;=Hypothèses!$V$9,Hypothèses!$X$9,IF(CS72&lt;=Hypothèses!$V$10,Hypothèses!$X$10,IF(CS72&lt;=Hypothèses!$V$11,Hypothèses!$X$11,IF(CS72&lt;=Hypothèses!$V$12,Hypothèses!$X$12,IF(CS72&lt;=Hypothèses!$V$13,Hypothèses!$X$13,IF(CS72&lt;=Hypothèses!$V$14,Hypothèses!$X$14,IF(CS72&lt;=Hypothèses!$V$15,Hypothèses!$X$15,IF(CS72&lt;=Hypothèses!$V$16,Hypothèses!$X$16,IF(CS72&lt;=Hypothèses!$U$17,Hypothèses!$W$17,IF(CS72&lt;=Hypothèses!$U$18,Hypothèses!$W$18,""))))))))))))</f>
        <v>#DIV/0!</v>
      </c>
      <c r="DP72" s="95" t="e">
        <f t="shared" ca="1" si="89"/>
        <v>#DIV/0!</v>
      </c>
      <c r="DQ72" s="101" t="e">
        <f t="shared" si="128"/>
        <v>#N/A</v>
      </c>
      <c r="DR72" s="91" t="e">
        <f t="shared" si="50"/>
        <v>#N/A</v>
      </c>
      <c r="DS72" s="30" t="e">
        <f t="shared" si="110"/>
        <v>#N/A</v>
      </c>
      <c r="DT72" s="30" t="e">
        <f t="shared" si="111"/>
        <v>#N/A</v>
      </c>
      <c r="DU72" s="31" t="e">
        <f>IF(OR(Hypothèses!$B$4=17,Hypothèses!$B$4=18,Hypothèses!$B$4=19,Hypothèses!$B$4=20),
IF($D72="Pressio.",
IF(OR($E72=3,$E72=1,$E72=4),DT72,DS72),
IF($D72="Pénétro.",
IF(OR($E72=3,$E72=1,$E72=4),DT72,DS72))),IF($D72="Pressio.",
IF($E72=3,DT72,DS72),
IF($D72="Pénétro.",
IF($E72=4,DT72,DS72))))</f>
        <v>#N/A</v>
      </c>
      <c r="DV72" s="31" t="e">
        <f>(IF(OR(Hypothèses!$B$4=17,Hypothèses!$B$4=18,Hypothèses!$B$4=19,Hypothèses!$B$4=20),
IF($D72="Pressio.",
IF(OR($E72=3,$E72=1,$E72=4),(PI()*DV$12^2)/4*(DR72*$W72*1000)/($H72*$B$5),(PI()*DV$12^2)/4*(DR72*$W72*1000)/($G72*$B$5)),
IF($D72="Pénétro.",
IF(OR($E72=4,$E72=1,$E72=5),(PI()*DV$12^2)/4*(DR72*$W72*1000)/($H72*$B$5),(PI()*DV$12^2)/4*(DR72*$W72*1000)/($G72*$B$5)))),
IF($D72="Pressio.",
IF($E72=3,(PI()*DV$12^2)/4*(DR72*$W72*1000)/($H72*$B$5),(PI()*DV$12^2)/4*(DR72*$W72*1000)/($G72*$B$5)),
IF($D72="Pénétro.",
IF($E72=4,(PI()*DV$12^2)/4*(DR72*$W72*1000)/($H72*$B$5),(PI()*DV$12^2)/4*(DR72*$W72*1000)/($G72*$B$5))))))/10</f>
        <v>#N/A</v>
      </c>
      <c r="DW72" s="102" t="e">
        <f>(VLOOKUP($B$3,'Coeff EC7'!$T$39:$X$59,2,0)*DU72+VLOOKUP($B$3,'Coeff EC7'!$T$65:$X$85,2,0)*Model0.1C!DV72)/1.1</f>
        <v>#N/A</v>
      </c>
      <c r="DX72" s="102" t="e">
        <f>(VLOOKUP($B$3,'Coeff EC7'!$T$39:$X$59,3,0)*DU72+VLOOKUP($B$3,'Coeff EC7'!$T$65:$X$85,3,0)*Model0.1C!DV72)/0.9</f>
        <v>#N/A</v>
      </c>
      <c r="DY72" s="102" t="e">
        <f t="shared" si="90"/>
        <v>#N/A</v>
      </c>
      <c r="DZ72" s="102" t="e">
        <f t="shared" si="91"/>
        <v>#N/A</v>
      </c>
      <c r="EA72" s="414" t="e">
        <f>IF(EA71=0,0,IF(AND(DW72&gt;charge_ELS_quasi,DX72&gt;Charge_ELS_freq,DY72&gt;charge_ELU,DZ72&gt;charge_ELA,$B72&gt;NDC!$H$22-0.1+MIN(3*$EA$12,1.5)),0,1))</f>
        <v>#N/A</v>
      </c>
      <c r="EB72" s="86" t="b">
        <f t="shared" si="53"/>
        <v>0</v>
      </c>
      <c r="EC72" s="418">
        <f t="shared" si="54"/>
        <v>0.51</v>
      </c>
      <c r="ED72" s="86">
        <f t="shared" si="55"/>
        <v>0.51</v>
      </c>
      <c r="EE72" s="30" t="e">
        <f t="shared" ca="1" si="92"/>
        <v>#DIV/0!</v>
      </c>
      <c r="EF72" s="85" t="e">
        <f ca="1">IF(DL72&lt;=Hypothèses!$V$7,Hypothèses!$W$7,IF(DL72&lt;=Hypothèses!$V$8,Hypothèses!$W$8,IF(DL72&lt;=Hypothèses!$V$9,Hypothèses!$W$9,IF(DL72&lt;=Hypothèses!$V$10,Hypothèses!$W$10,IF(DL72&lt;=Hypothèses!$V$11,Hypothèses!$W$11,IF(DL72&lt;=Hypothèses!$V$12,Hypothèses!$W$12,IF(DL72&lt;=Hypothèses!$V$13,Hypothèses!$W$13,IF(DL72&lt;=Hypothèses!$V$14,Hypothèses!$W$14,IF(DL72&lt;=Hypothèses!$V$15,Hypothèses!$W$15,IF(DL72&lt;=Hypothèses!$V$16,Hypothèses!$W$16,IF(DL72&lt;=Hypothèses!$V$17,Hypothèses!$W$17,IF(DL72&lt;=Hypothèses!$V$18,Hypothèses!$W$18,""))))))))))))</f>
        <v>#DIV/0!</v>
      </c>
      <c r="EG72" s="87" t="e">
        <f t="shared" ca="1" si="122"/>
        <v>#DIV/0!</v>
      </c>
      <c r="EH72" s="88" t="e">
        <f ca="1">IF(DL72&lt;=Hypothèses!$V$7,Hypothèses!$X$7,IF(DL72&lt;=Hypothèses!$V$8,Hypothèses!$X$8,IF(DL72&lt;=Hypothèses!$V$9,Hypothèses!$X$9,IF(DL72&lt;=Hypothèses!$V$10,Hypothèses!$X$10,IF(DL72&lt;=Hypothèses!$V$11,Hypothèses!$X$11,IF(DL72&lt;=Hypothèses!$V$12,Hypothèses!$X$12,IF(DL72&lt;=Hypothèses!$V$13,Hypothèses!$X$13,IF(DL72&lt;=Hypothèses!$V$14,Hypothèses!$X$14,IF(DL72&lt;=Hypothèses!$V$15,Hypothèses!$X$15,IF(DL72&lt;=Hypothèses!$V$16,Hypothèses!$X$16,IF(DL72&lt;=Hypothèses!$U$17,Hypothèses!$W$17,IF(DL72&lt;=Hypothèses!$U$18,Hypothèses!$W$18,""))))))))))))</f>
        <v>#DIV/0!</v>
      </c>
      <c r="EI72" s="95" t="e">
        <f t="shared" ca="1" si="93"/>
        <v>#DIV/0!</v>
      </c>
      <c r="EJ72" s="101" t="e">
        <f t="shared" si="129"/>
        <v>#N/A</v>
      </c>
      <c r="EK72" s="91" t="e">
        <f t="shared" si="57"/>
        <v>#N/A</v>
      </c>
      <c r="EL72" s="30" t="e">
        <f t="shared" si="112"/>
        <v>#N/A</v>
      </c>
      <c r="EM72" s="30" t="e">
        <f t="shared" si="113"/>
        <v>#N/A</v>
      </c>
      <c r="EN72" s="31" t="e">
        <f>IF(OR(Hypothèses!$B$4=17,Hypothèses!$B$4=18,Hypothèses!$B$4=19,Hypothèses!$B$4=20),
IF($D72="Pressio.",
IF(OR($E72=3,$E72=1,$E72=4),EM72,EL72),
IF($D72="Pénétro.",
IF(OR($E72=3,$E72=1,$E72=4),EM72,EL72))),IF($D72="Pressio.",
IF($E72=3,EM72,EL72),
IF($D72="Pénétro.",
IF($E72=4,EM72,EL72))))</f>
        <v>#N/A</v>
      </c>
      <c r="EO72" s="31" t="e">
        <f>(IF(OR(Hypothèses!$B$4=17,Hypothèses!$B$4=18,Hypothèses!$B$4=19,Hypothèses!$B$4=20),
IF($D72="Pressio.",
IF(OR($E72=3,$E72=1,$E72=4),(PI()*EO$12^2)/4*(EK72*$W72*1000)/($H72*$B$5),(PI()*EO$12^2)/4*(EK72*$W72*1000)/($G72*$B$5)),
IF($D72="Pénétro.",
IF(OR($E72=4,$E72=1,$E72=5),(PI()*EO$12^2)/4*(EK72*$W72*1000)/($H72*$B$5),(PI()*EO$12^2)/4*(EK72*$W72*1000)/($G72*$B$5)))),
IF($D72="Pressio.",
IF($E72=3,(PI()*EO$12^2)/4*(EK72*$W72*1000)/($H72*$B$5),(PI()*EO$12^2)/4*(EK72*$W72*1000)/($G72*$B$5)),
IF($D72="Pénétro.",
IF($E72=4,(PI()*EO$12^2)/4*(EK72*$W72*1000)/($H72*$B$5),(PI()*EO$12^2)/4*(EK72*$W72*1000)/($G72*$B$5))))))/10</f>
        <v>#N/A</v>
      </c>
      <c r="EP72" s="102" t="e">
        <f>(VLOOKUP($B$3,'Coeff EC7'!$T$39:$X$59,2,0)*EN72+VLOOKUP($B$3,'Coeff EC7'!$T$65:$X$85,2,0)*Model0.1C!EO72)/1.1</f>
        <v>#N/A</v>
      </c>
      <c r="EQ72" s="102" t="e">
        <f>(VLOOKUP($B$3,'Coeff EC7'!$T$39:$X$59,3,0)*EN72+VLOOKUP($B$3,'Coeff EC7'!$T$65:$X$85,3,0)*Model0.1C!EO72)/0.9</f>
        <v>#N/A</v>
      </c>
      <c r="ER72" s="102" t="e">
        <f t="shared" si="94"/>
        <v>#N/A</v>
      </c>
      <c r="ES72" s="102" t="e">
        <f t="shared" si="95"/>
        <v>#N/A</v>
      </c>
      <c r="ET72" s="414" t="e">
        <f>IF(ET71=0,0,IF(AND(EP72&gt;charge_ELS_quasi,EQ72&gt;Charge_ELS_freq,ER72&gt;charge_ELU,ES72&gt;charge_ELA,$B72&gt;NDC!$H$22-0.1+MIN(3*$ET$12,1.5)),0,1))</f>
        <v>#N/A</v>
      </c>
      <c r="EU72" s="86" t="b">
        <f t="shared" si="60"/>
        <v>0</v>
      </c>
      <c r="EV72" s="86">
        <f t="shared" si="61"/>
        <v>0.61</v>
      </c>
      <c r="EW72" s="86">
        <f t="shared" si="62"/>
        <v>0.61</v>
      </c>
      <c r="EX72" s="30" t="e">
        <f t="shared" ca="1" si="96"/>
        <v>#DIV/0!</v>
      </c>
      <c r="EY72" s="85" t="e">
        <f ca="1">IF(EE72&lt;=Hypothèses!$V$7,Hypothèses!$W$7,IF(EE72&lt;=Hypothèses!$V$8,Hypothèses!$W$8,IF(EE72&lt;=Hypothèses!$V$9,Hypothèses!$W$9,IF(EE72&lt;=Hypothèses!$V$10,Hypothèses!$W$10,IF(EE72&lt;=Hypothèses!$V$11,Hypothèses!$W$11,IF(EE72&lt;=Hypothèses!$V$12,Hypothèses!$W$12,IF(EE72&lt;=Hypothèses!$V$13,Hypothèses!$W$13,IF(EE72&lt;=Hypothèses!$V$14,Hypothèses!$W$14,IF(EE72&lt;=Hypothèses!$V$15,Hypothèses!$W$15,IF(EE72&lt;=Hypothèses!$V$16,Hypothèses!$W$16,IF(EE72&lt;=Hypothèses!$V$17,Hypothèses!$W$17,IF(EE72&lt;=Hypothèses!$V$18,Hypothèses!$W$18,""))))))))))))</f>
        <v>#DIV/0!</v>
      </c>
      <c r="EZ72" s="87" t="e">
        <f t="shared" ca="1" si="123"/>
        <v>#DIV/0!</v>
      </c>
      <c r="FA72" s="88" t="e">
        <f ca="1">IF(EE72&lt;=Hypothèses!$V$7,Hypothèses!$X$7,IF(EE72&lt;=Hypothèses!$V$8,Hypothèses!$X$8,IF(EE72&lt;=Hypothèses!$V$9,Hypothèses!$X$9,IF(EE72&lt;=Hypothèses!$V$10,Hypothèses!$X$10,IF(EE72&lt;=Hypothèses!$V$11,Hypothèses!$X$11,IF(EE72&lt;=Hypothèses!$V$12,Hypothèses!$X$12,IF(EE72&lt;=Hypothèses!$V$13,Hypothèses!$X$13,IF(EE72&lt;=Hypothèses!$V$14,Hypothèses!$X$14,IF(EE72&lt;=Hypothèses!$V$15,Hypothèses!$X$15,IF(EE72&lt;=Hypothèses!$V$16,Hypothèses!$X$16,IF(EE72&lt;=Hypothèses!$U$17,Hypothèses!$W$17,IF(EE72&lt;=Hypothèses!$U$18,Hypothèses!$W$18,""))))))))))))</f>
        <v>#DIV/0!</v>
      </c>
      <c r="FB72" s="95" t="e">
        <f t="shared" ca="1" si="97"/>
        <v>#DIV/0!</v>
      </c>
      <c r="FC72" s="101" t="e">
        <f t="shared" si="130"/>
        <v>#N/A</v>
      </c>
      <c r="FD72" s="91" t="e">
        <f t="shared" si="64"/>
        <v>#N/A</v>
      </c>
      <c r="FE72" s="30" t="e">
        <f t="shared" si="114"/>
        <v>#N/A</v>
      </c>
      <c r="FF72" s="30" t="e">
        <f t="shared" si="115"/>
        <v>#N/A</v>
      </c>
      <c r="FG72" s="31" t="e">
        <f>IF(OR(Hypothèses!$B$4=17,Hypothèses!$B$4=18,Hypothèses!$B$4=19,Hypothèses!$B$4=20),
IF($D72="Pressio.",
IF(OR($E72=3,$E72=1,$E72=4),FF72,FE72),
IF($D72="Pénétro.",
IF(OR($E72=3,$E72=1,$E72=4),FF72,FE72))),IF($D72="Pressio.",
IF($E72=3,FF72,FE72),
IF($D72="Pénétro.",
IF($E72=4,FF72,FE72))))</f>
        <v>#N/A</v>
      </c>
      <c r="FH72" s="31" t="e">
        <f>(IF(OR(Hypothèses!$B$4=17,Hypothèses!$B$4=18,Hypothèses!$B$4=19,Hypothèses!$B$4=20),
IF($D72="Pressio.",
IF(OR($E72=3,$E72=1,$E72=4),(PI()*FH$12^2)/4*(FD72*$W72*1000)/($H72*$B$5),(PI()*FH$12^2)/4*(FD72*$W72*1000)/($G72*$B$5)),
IF($D72="Pénétro.",
IF(OR($E72=4,$E72=1,$E72=5),(PI()*FH$12^2)/4*(FD72*$W72*1000)/($H72*$B$5),(PI()*FH$12^2)/4*(FD72*$W72*1000)/($G72*$B$5)))),
IF($D72="Pressio.",
IF($E72=3,(PI()*FH$12^2)/4*(FD72*$W72*1000)/($H72*$B$5),(PI()*FH$12^2)/4*(FD72*$W72*1000)/($G72*$B$5)),
IF($D72="Pénétro.",
IF($E72=4,(PI()*FH$12^2)/4*(FD72*$W72*1000)/($H72*$B$5),(PI()*FH$12^2)/4*(FD72*$W72*1000)/($G72*$B$5))))))/10</f>
        <v>#N/A</v>
      </c>
      <c r="FI72" s="102" t="e">
        <f>(VLOOKUP($B$3,'Coeff EC7'!$T$39:$X$59,2,0)*FG72+VLOOKUP($B$3,'Coeff EC7'!$T$65:$X$85,2,0)*Model0.1C!FH72)/1.1</f>
        <v>#N/A</v>
      </c>
      <c r="FJ72" s="102" t="e">
        <f>(VLOOKUP($B$3,'Coeff EC7'!$T$39:$X$59,3,0)*FG72+VLOOKUP($B$3,'Coeff EC7'!$T$65:$X$85,3,0)*Model0.1C!FH72)/0.9</f>
        <v>#N/A</v>
      </c>
      <c r="FK72" s="102" t="e">
        <f t="shared" si="98"/>
        <v>#N/A</v>
      </c>
      <c r="FL72" s="102" t="e">
        <f t="shared" si="99"/>
        <v>#N/A</v>
      </c>
      <c r="FM72" s="414" t="e">
        <f>IF(FM71=0,0,IF(AND(FI72&gt;charge_ELS_quasi,FJ72&gt;Charge_ELS_freq,FK72&gt;charge_ELU,FL72&gt;charge_ELA,$B72&gt;NDC!$H$22-0.1+MIN(3*$FM$12,1.5)),0,1))</f>
        <v>#N/A</v>
      </c>
    </row>
    <row r="73" spans="1:169">
      <c r="A73" s="96">
        <f t="shared" si="67"/>
        <v>94.000000000000341</v>
      </c>
      <c r="B73" s="97">
        <v>6</v>
      </c>
      <c r="C73" s="81">
        <f>IF(B73&lt;=Hypothèses!$C$7,Hypothèses!$A$7,IF(B73&lt;=Hypothèses!$C$8,Hypothèses!$A$8,IF(B73&lt;=Hypothèses!$C$9,Hypothèses!$A$9,IF(B73&lt;=Hypothèses!$C$10,Hypothèses!$A$10,IF(B73&lt;=Hypothèses!$C$11,Hypothèses!$A$11,IF(B73&lt;=Hypothèses!$C$12,Hypothèses!$A$12,IF(B73&lt;=Hypothèses!$C$13,Hypothèses!$A$13,IF(B73&lt;=Hypothèses!$C$14,Hypothèses!$A$14,IF(B73&lt;=Hypothèses!$C$15,Hypothèses!$A$15,IF(B73&lt;=Hypothèses!$C$16,Hypothèses!$A$16,IF(B73&lt;=Hypothèses!$C$17,Hypothèses!$A$17,IF(B73&lt;=Hypothèses!$C$18,Hypothèses!$A$18,C72))))))))))))</f>
        <v>11</v>
      </c>
      <c r="D73" s="82" t="str">
        <f>IF(B73&lt;=Hypothèses!$C$7,Hypothèses!$R$7,IF(B73&lt;=Hypothèses!$C$8,Hypothèses!$R$8,IF(B73&lt;=Hypothèses!$C$9,Hypothèses!$R$9,IF(B73&lt;=Hypothèses!$C$10,Hypothèses!$R$10,IF(B73&lt;=Hypothèses!$C$11,Hypothèses!$R$11,IF(B73&lt;=Hypothèses!$C$12,Hypothèses!$R$12,IF(B73&lt;=Hypothèses!$C$13,Hypothèses!$R$13,IF(B73&lt;=Hypothèses!$C$14,Hypothèses!$R$14,IF(B73&lt;=Hypothèses!$C$15,Hypothèses!$R$15,IF(B73&lt;=Hypothèses!$C$16,Hypothèses!$R$16,IF(B73&lt;=Hypothèses!$C$17,Hypothèses!$R$17,IF(B73&lt;=Hypothèses!$C$18,Hypothèses!$R$18,D72))))))))))))</f>
        <v>Pressio.</v>
      </c>
      <c r="E73" s="82" t="e">
        <f>IF(B73&lt;=Hypothèses!$C$7,Hypothèses!$G$7,IF(B73&lt;=Hypothèses!$C$8,Hypothèses!$G$8,IF(B73&lt;=Hypothèses!$C$9,Hypothèses!$G$9,IF(B73&lt;=Hypothèses!$C$10,Hypothèses!$G$10,IF(B73&lt;=Hypothèses!$C$11,Hypothèses!$G$11,IF(B73&lt;=Hypothèses!$C$12,Hypothèses!$G$12,IF(B73&lt;=Hypothèses!$C$13,Hypothèses!$G$13,IF(B73&lt;=Hypothèses!$C$14,Hypothèses!$G$14,IF(B73&lt;=Hypothèses!$C$15,Hypothèses!$G$15,IF(B73&lt;=Hypothèses!$C$16,Hypothèses!$G$16,IF(B73&lt;=Hypothèses!$C$17,Hypothèses!$G$17,IF(B73&lt;=Hypothèses!$C$18,Hypothèses!$G$18,E72))))))))))))</f>
        <v>#N/A</v>
      </c>
      <c r="F73" s="82" t="str">
        <f>IF(B73&lt;=Hypothèses!$C$7,Hypothèses!$F$7,IF(B73&lt;=Hypothèses!$C$8,Hypothèses!$F$8,IF(B73&lt;=Hypothèses!$C$9,Hypothèses!$F$9,IF(B73&lt;=Hypothèses!$C$10,Hypothèses!$F$10,IF(B73&lt;=Hypothèses!$C$11,Hypothèses!$F$11,IF(B73&lt;=Hypothèses!$C$12,Hypothèses!$F$12,IF(B73&lt;=Hypothèses!$C$13,Hypothèses!$F$13,IF(B73&lt;=Hypothèses!$C$14,Hypothèses!$F$14,IF(B73&lt;=Hypothèses!$C$15,Hypothèses!$F$15,IF(B73&lt;=Hypothèses!$C$16,Hypothèses!$F$16,IF(B73&lt;=Hypothèses!$C$17,Hypothèses!$F$17,IF(B73&lt;=Hypothèses!$C$18,Hypothèses!$F$18,F72))))))))))))</f>
        <v/>
      </c>
      <c r="G73" s="91">
        <f t="array" ref="G73">INDEX('Coeff EC7'!$U$7:$X$27,
MATCH(Model0.1C!$B$3,'Coeff EC7'!$T$7:$T$27,0),
MATCH(Model0.1C!$D73&amp;Model0.1C!$B$4,
'Coeff EC7'!$U$6:$X$6&amp;
'Coeff EC7'!$U$5:$X$5,0))</f>
        <v>1.1499999999999999</v>
      </c>
      <c r="H73" s="91">
        <f t="array" ref="H73">INDEX('Coeff EC7'!$Y$7:$AB$27,
MATCH(Model0.1C!$B$3,'Coeff EC7'!$T$7:$T$27,0),
MATCH(Model0.1C!$D73&amp;Model0.1C!$B$4,
'Coeff EC7'!$Y$6:$AB$6&amp;
'Coeff EC7'!$Y$5:$AB$5,0))</f>
        <v>1.4</v>
      </c>
      <c r="I73" s="83" t="e">
        <f>IF(B73&lt;=Hypothèses!$C$7,Hypothèses!$P$7,IF(B73&lt;=Hypothèses!$C$8,Hypothèses!$P$8,IF(B73&lt;=Hypothèses!$C$9,Hypothèses!$P$9,IF(B73&lt;=Hypothèses!$C$10,Hypothèses!$P$10,IF(B73&lt;=Hypothèses!$C$11,Hypothèses!$P$11,IF(B73&lt;=Hypothèses!$C$12,Hypothèses!$P$12,IF(B73&lt;=Hypothèses!$C$13,Hypothèses!$P$13,IF(B73&lt;=Hypothèses!$C$14,Hypothèses!$P$14,IF(B73&lt;=Hypothèses!$C$15,Hypothèses!$P$15,IF(B73&lt;=Hypothèses!$C$16,Hypothèses!$P$16,IF(B73&lt;=Hypothèses!$C$17,Hypothèses!$P$17,IF(B73&lt;=Hypothèses!$C$18,Hypothèses!$P$18,I72))))))))))))</f>
        <v>#N/A</v>
      </c>
      <c r="J73" s="91" t="e">
        <f t="array" ref="J73">INDEX('Coeff EC7'!$D$33:$Q$33,1,MATCH(D73&amp;E73,'Coeff EC7'!$D$31:$Q$31&amp;'Coeff EC7'!$D$32:$Q$32,0))</f>
        <v>#N/A</v>
      </c>
      <c r="K73" s="91" t="e">
        <f t="array" ref="K73">INDEX('Coeff EC7'!$D$34:$Q$34,1,MATCH(D73&amp;E73,'Coeff EC7'!$D$31:$Q$31&amp;'Coeff EC7'!$D$32:$Q$32,0))</f>
        <v>#N/A</v>
      </c>
      <c r="L73" s="91" t="e">
        <f t="array" ref="L73">INDEX('Coeff EC7'!$D$35:$Q$35,1,MATCH(D73&amp;E73,'Coeff EC7'!$D$31:$Q$31&amp;'Coeff EC7'!$D$32:$Q$32,0))</f>
        <v>#N/A</v>
      </c>
      <c r="M73" s="98" t="e">
        <f t="shared" si="8"/>
        <v>#N/A</v>
      </c>
      <c r="N73" s="99" t="e">
        <f t="array" ref="N73">INDEX('Coeff EC7'!$D$7:$Q$27,MATCH($B$3,'Coeff EC7'!$C$7:$C$27,0),MATCH(D73&amp;E73,'Coeff EC7'!$D$5:$Q$5&amp;'Coeff EC7'!$D$6:$Q$6,0))</f>
        <v>#N/A</v>
      </c>
      <c r="O73" s="99" t="e">
        <f t="array" ref="O73">INDEX('Coeff EC7'!$D$41:$Q$61,MATCH($B$3,'Coeff EC7'!$C$41:$C$61,0),MATCH(D73&amp;E73,'Coeff EC7'!$D$39:$Q$39&amp;'Coeff EC7'!$D$40:$Q$40,0))</f>
        <v>#N/A</v>
      </c>
      <c r="P73" s="30" t="e">
        <f t="shared" si="68"/>
        <v>#N/A</v>
      </c>
      <c r="Q73" s="100" t="e">
        <f t="shared" si="10"/>
        <v>#N/A</v>
      </c>
      <c r="R73" s="86" t="b">
        <f t="shared" si="11"/>
        <v>0</v>
      </c>
      <c r="S73" s="86">
        <f t="shared" si="9"/>
        <v>0.5</v>
      </c>
      <c r="T73" s="86">
        <f t="shared" si="12"/>
        <v>0.5</v>
      </c>
      <c r="U73" s="30" t="e">
        <f t="shared" ca="1" si="69"/>
        <v>#DIV/0!</v>
      </c>
      <c r="V73" s="85" t="str">
        <f>IF(B73&lt;=Hypothèses!$V$7,Hypothèses!$W$7,IF(B73&lt;=Hypothèses!$V$8,Hypothèses!$W$8,IF(B73&lt;=Hypothèses!$V$9,Hypothèses!$W$9,IF(B73&lt;=Hypothèses!$V$10,Hypothèses!$W$10,IF(B73&lt;=Hypothèses!$V$11,Hypothèses!$W$11,IF(B73&lt;=Hypothèses!$V$12,Hypothèses!$W$12,IF(B73&lt;=Hypothèses!$V$13,Hypothèses!$W$13,IF(B73&lt;=Hypothèses!$V$14,Hypothèses!$W$14,IF(B73&lt;=Hypothèses!$V$15,Hypothèses!$W$15,IF(B73&lt;=Hypothèses!$V$16,Hypothèses!$W$16,IF(B73&lt;=Hypothèses!$V$17,Hypothèses!$W$17,IF(B73&lt;=Hypothèses!$V$18,Hypothèses!$W$18,""))))))))))))</f>
        <v/>
      </c>
      <c r="W73" s="87" t="e">
        <f t="shared" ca="1" si="116"/>
        <v>#DIV/0!</v>
      </c>
      <c r="X73" s="88" t="str">
        <f>IF(B73&lt;=Hypothèses!$V$7,Hypothèses!$X$7,IF(B73&lt;=Hypothèses!$V$8,Hypothèses!$X$8,IF(B73&lt;=Hypothèses!$V$9,Hypothèses!$X$9,IF(B73&lt;=Hypothèses!$V$10,Hypothèses!$X$10,IF(B73&lt;=Hypothèses!$V$11,Hypothèses!$X$11,IF(B73&lt;=Hypothèses!$V$12,Hypothèses!$X$12,IF(B73&lt;=Hypothèses!$V$13,Hypothèses!$X$13,IF(B73&lt;=Hypothèses!$V$14,Hypothèses!$X$14,IF(B73&lt;=Hypothèses!$V$15,Hypothèses!$X$15,IF(B73&lt;=Hypothèses!$V$16,Hypothèses!$X$16,IF(B73&lt;=Hypothèses!$U$17,Hypothèses!$W$17,IF(B73&lt;=Hypothèses!$U$18,Hypothèses!$W$18,""))))))))))))</f>
        <v/>
      </c>
      <c r="Y73" s="95" t="e">
        <f t="shared" ca="1" si="13"/>
        <v>#DIV/0!</v>
      </c>
      <c r="Z73" s="101" t="e">
        <f t="shared" si="14"/>
        <v>#N/A</v>
      </c>
      <c r="AA73" s="91" t="e">
        <f t="shared" si="15"/>
        <v>#N/A</v>
      </c>
      <c r="AB73" s="30" t="e">
        <f t="shared" si="100"/>
        <v>#N/A</v>
      </c>
      <c r="AC73" s="30" t="e">
        <f t="shared" si="101"/>
        <v>#N/A</v>
      </c>
      <c r="AD73" s="31" t="e">
        <f>IF(OR(Hypothèses!$B$4=17,Hypothèses!$B$4=18,Hypothèses!$B$4=19,Hypothèses!$B$4=20),
IF($D73="Pressio.",
IF(OR($E73=3,$E73=1,$E73=4),AC73,AB73),
IF($D73="Pénétro.",
IF(OR($E73=3,$E73=1,$E73=4),AC73,AB73))),IF($D73="Pressio.",
IF($E73=3,AC73,AB73),
IF($D73="Pénétro.",
IF($E73=4,AC73,AB73))))</f>
        <v>#N/A</v>
      </c>
      <c r="AE73" s="31" t="e">
        <f>(IF(OR(Hypothèses!$B$4=17,Hypothèses!$B$4=18,Hypothèses!$B$4=19,Hypothèses!$B$4=20),
IF($D73="Pressio.",
IF(OR($E73=3,$E73=1,$E73=4),(PI()*AE$12^2)/4*(AA73*$W73*1000)/($H73*$B$5),(PI()*AE$12^2)/4*(AA73*$W73*1000)/($G73*$B$5)),
IF($D73="Pénétro.",
IF(OR($E73=4,$E73=1,$E73=5),(PI()*AE$12^2)/4*(AA73*$W73*1000)/($H73*$B$5),(PI()*AE$12^2)/4*(AA73*$W73*1000)/($G73*$B$5)))),
IF($D73="Pressio.",
IF($E73=3,(PI()*AE$12^2)/4*(AA73*$W73*1000)/($H73*$B$5),(PI()*AE$12^2)/4*(AA73*$W73*1000)/($G73*$B$5)),
IF($D73="Pénétro.",
IF($E73=4,(PI()*AE$12^2)/4*(AA73*$W73*1000)/($H73*$B$5),(PI()*AE$12^2)/4*(AA73*$W73*1000)/($G73*$B$5))))))/10</f>
        <v>#N/A</v>
      </c>
      <c r="AF73" s="102" t="e">
        <f>(VLOOKUP($B$3,'Coeff EC7'!$T$39:$X$59,2,0)*AD73+VLOOKUP($B$3,'Coeff EC7'!$T$65:$X$85,2,0)*Model0.1C!AE73)/1.1</f>
        <v>#N/A</v>
      </c>
      <c r="AG73" s="102" t="e">
        <f>(VLOOKUP($B$3,'Coeff EC7'!$T$39:$X$59,3,0)*AD73+VLOOKUP($B$3,'Coeff EC7'!$T$65:$X$85,3,0)*Model0.1C!AE73)/0.9</f>
        <v>#N/A</v>
      </c>
      <c r="AH73" s="102" t="e">
        <f t="shared" si="18"/>
        <v>#N/A</v>
      </c>
      <c r="AI73" s="102" t="e">
        <f t="shared" si="19"/>
        <v>#N/A</v>
      </c>
      <c r="AJ73" s="414" t="e">
        <f>IF(AJ72=0,0,IF(AND(AF73&gt;charge_ELS_quasi,AG73&gt;Charge_ELS_freq,AH73&gt;charge_ELU,AI73&gt;charge_ELA,$B73&gt;NDC!$H$22-0.1+MIN(3*$AJ$12,1.5)),0,1))</f>
        <v>#N/A</v>
      </c>
      <c r="AK73" s="86" t="b">
        <f t="shared" si="20"/>
        <v>0</v>
      </c>
      <c r="AL73" s="86">
        <f t="shared" si="70"/>
        <v>0.5</v>
      </c>
      <c r="AM73" s="86">
        <f t="shared" si="21"/>
        <v>0.5</v>
      </c>
      <c r="AN73" s="30" t="e">
        <f t="shared" ca="1" si="71"/>
        <v>#DIV/0!</v>
      </c>
      <c r="AO73" s="85" t="e">
        <f ca="1">IF(U73&lt;=Hypothèses!$V$7,Hypothèses!$W$7,IF(U73&lt;=Hypothèses!$V$8,Hypothèses!$W$8,IF(U73&lt;=Hypothèses!$V$9,Hypothèses!$W$9,IF(U73&lt;=Hypothèses!$V$10,Hypothèses!$W$10,IF(U73&lt;=Hypothèses!$V$11,Hypothèses!$W$11,IF(U73&lt;=Hypothèses!$V$12,Hypothèses!$W$12,IF(U73&lt;=Hypothèses!$V$13,Hypothèses!$W$13,IF(U73&lt;=Hypothèses!$V$14,Hypothèses!$W$14,IF(U73&lt;=Hypothèses!$V$15,Hypothèses!$W$15,IF(U73&lt;=Hypothèses!$V$16,Hypothèses!$W$16,IF(U73&lt;=Hypothèses!$V$17,Hypothèses!$W$17,IF(U73&lt;=Hypothèses!$V$18,Hypothèses!$W$18,""))))))))))))</f>
        <v>#DIV/0!</v>
      </c>
      <c r="AP73" s="87" t="e">
        <f t="shared" ca="1" si="117"/>
        <v>#DIV/0!</v>
      </c>
      <c r="AQ73" s="88" t="e">
        <f ca="1">IF(U73&lt;=Hypothèses!$V$7,Hypothèses!$X$7,IF(U73&lt;=Hypothèses!$V$8,Hypothèses!$X$8,IF(U73&lt;=Hypothèses!$V$9,Hypothèses!$X$9,IF(U73&lt;=Hypothèses!$V$10,Hypothèses!$X$10,IF(U73&lt;=Hypothèses!$V$11,Hypothèses!$X$11,IF(U73&lt;=Hypothèses!$V$12,Hypothèses!$X$12,IF(U73&lt;=Hypothèses!$V$13,Hypothèses!$X$13,IF(U73&lt;=Hypothèses!$V$14,Hypothèses!$X$14,IF(U73&lt;=Hypothèses!$V$15,Hypothèses!$X$15,IF(U73&lt;=Hypothèses!$V$16,Hypothèses!$X$16,IF(U73&lt;=Hypothèses!$U$17,Hypothèses!$W$17,IF(U73&lt;=Hypothèses!$U$18,Hypothèses!$W$18,""))))))))))))</f>
        <v>#DIV/0!</v>
      </c>
      <c r="AR73" s="95" t="e">
        <f t="shared" ca="1" si="72"/>
        <v>#DIV/0!</v>
      </c>
      <c r="AS73" s="101" t="e">
        <f t="shared" si="124"/>
        <v>#N/A</v>
      </c>
      <c r="AT73" s="91" t="e">
        <f t="shared" si="23"/>
        <v>#N/A</v>
      </c>
      <c r="AU73" s="30" t="e">
        <f t="shared" si="102"/>
        <v>#N/A</v>
      </c>
      <c r="AV73" s="30" t="e">
        <f t="shared" si="103"/>
        <v>#N/A</v>
      </c>
      <c r="AW73" s="31" t="e">
        <f>IF(OR(Hypothèses!$B$4=17,Hypothèses!$B$4=18,Hypothèses!$B$4=19,Hypothèses!$B$4=20),
IF($D73="Pressio.",
IF(OR($E73=3,$E73=1,$E73=4),AV73,AU73),
IF($D73="Pénétro.",
IF(OR($E73=3,$E73=1,$E73=4),AV73,AU73))),IF($D73="Pressio.",
IF($E73=3,AV73,AU73),
IF($D73="Pénétro.",
IF($E73=4,AV73,AU73))))</f>
        <v>#N/A</v>
      </c>
      <c r="AX73" s="31" t="e">
        <f>(IF(OR(Hypothèses!$B$4=17,Hypothèses!$B$4=18,Hypothèses!$B$4=19,Hypothèses!$B$4=20),
IF($D73="Pressio.",
IF(OR($E73=3,$E73=1,$E73=4),(PI()*AX$12^2)/4*(AT73*$W73*1000)/($H73*$B$5),(PI()*AX$12^2)/4*(AT73*$W73*1000)/($G73*$B$5)),
IF($D73="Pénétro.",
IF(OR($E73=4,$E73=1,$E73=5),(PI()*AX$12^2)/4*(AT73*$W73*1000)/($H73*$B$5),(PI()*AX$12^2)/4*(AT73*$W73*1000)/($G73*$B$5)))),
IF($D73="Pressio.",
IF($E73=3,(PI()*AX$12^2)/4*(AT73*$W73*1000)/($H73*$B$5),(PI()*AX$12^2)/4*(AT73*$W73*1000)/($G73*$B$5)),
IF($D73="Pénétro.",
IF($E73=4,(PI()*AX$12^2)/4*(AT73*$W73*1000)/($H73*$B$5),(PI()*AX$12^2)/4*(AT73*$W73*1000)/($G73*$B$5))))))/10</f>
        <v>#N/A</v>
      </c>
      <c r="AY73" s="102" t="e">
        <f>(VLOOKUP($B$3,'Coeff EC7'!$T$39:$X$59,2,0)*AW73+VLOOKUP($B$3,'Coeff EC7'!$T$65:$X$85,2,0)*Model0.1C!AX73)/1.1</f>
        <v>#N/A</v>
      </c>
      <c r="AZ73" s="102" t="e">
        <f>(VLOOKUP($B$3,'Coeff EC7'!$T$39:$X$59,3,0)*AW73+VLOOKUP($B$3,'Coeff EC7'!$T$65:$X$85,3,0)*Model0.1C!AX73)/0.9</f>
        <v>#N/A</v>
      </c>
      <c r="BA73" s="102" t="e">
        <f t="shared" si="73"/>
        <v>#N/A</v>
      </c>
      <c r="BB73" s="102" t="e">
        <f t="shared" si="74"/>
        <v>#N/A</v>
      </c>
      <c r="BC73" s="414" t="e">
        <f>IF(BC72=0,0,IF(AND(AY73&gt;charge_ELS_quasi,AZ73&gt;Charge_ELS_freq,BA73&gt;charge_ELU,BB73&gt;charge_ELA,$B73&gt;NDC!$H$22-0.1+MIN(3*$BC$12,1.5)),0,1))</f>
        <v>#N/A</v>
      </c>
      <c r="BD73" s="86" t="b">
        <f t="shared" si="26"/>
        <v>0</v>
      </c>
      <c r="BE73" s="86">
        <f t="shared" si="75"/>
        <v>0.5</v>
      </c>
      <c r="BF73" s="86">
        <f t="shared" si="27"/>
        <v>0.5</v>
      </c>
      <c r="BG73" s="30" t="e">
        <f t="shared" ca="1" si="76"/>
        <v>#DIV/0!</v>
      </c>
      <c r="BH73" s="85" t="e">
        <f ca="1">IF(AN73&lt;=Hypothèses!$V$7,Hypothèses!$W$7,IF(AN73&lt;=Hypothèses!$V$8,Hypothèses!$W$8,IF(AN73&lt;=Hypothèses!$V$9,Hypothèses!$W$9,IF(AN73&lt;=Hypothèses!$V$10,Hypothèses!$W$10,IF(AN73&lt;=Hypothèses!$V$11,Hypothèses!$W$11,IF(AN73&lt;=Hypothèses!$V$12,Hypothèses!$W$12,IF(AN73&lt;=Hypothèses!$V$13,Hypothèses!$W$13,IF(AN73&lt;=Hypothèses!$V$14,Hypothèses!$W$14,IF(AN73&lt;=Hypothèses!$V$15,Hypothèses!$W$15,IF(AN73&lt;=Hypothèses!$V$16,Hypothèses!$W$16,IF(AN73&lt;=Hypothèses!$V$17,Hypothèses!$W$17,IF(AN73&lt;=Hypothèses!$V$18,Hypothèses!$W$18,""))))))))))))</f>
        <v>#DIV/0!</v>
      </c>
      <c r="BI73" s="87" t="e">
        <f t="shared" ca="1" si="118"/>
        <v>#DIV/0!</v>
      </c>
      <c r="BJ73" s="88" t="e">
        <f ca="1">IF(AN73&lt;=Hypothèses!$V$7,Hypothèses!$X$7,IF(AN73&lt;=Hypothèses!$V$8,Hypothèses!$X$8,IF(AN73&lt;=Hypothèses!$V$9,Hypothèses!$X$9,IF(AN73&lt;=Hypothèses!$V$10,Hypothèses!$X$10,IF(AN73&lt;=Hypothèses!$V$11,Hypothèses!$X$11,IF(AN73&lt;=Hypothèses!$V$12,Hypothèses!$X$12,IF(AN73&lt;=Hypothèses!$V$13,Hypothèses!$X$13,IF(AN73&lt;=Hypothèses!$V$14,Hypothèses!$X$14,IF(AN73&lt;=Hypothèses!$V$15,Hypothèses!$X$15,IF(AN73&lt;=Hypothèses!$V$16,Hypothèses!$X$16,IF(AN73&lt;=Hypothèses!$U$17,Hypothèses!$W$17,IF(AN73&lt;=Hypothèses!$U$18,Hypothèses!$W$18,""))))))))))))</f>
        <v>#DIV/0!</v>
      </c>
      <c r="BK73" s="95" t="e">
        <f t="shared" ca="1" si="77"/>
        <v>#DIV/0!</v>
      </c>
      <c r="BL73" s="101" t="e">
        <f t="shared" si="125"/>
        <v>#N/A</v>
      </c>
      <c r="BM73" s="91" t="e">
        <f t="shared" si="29"/>
        <v>#N/A</v>
      </c>
      <c r="BN73" s="30" t="e">
        <f t="shared" si="104"/>
        <v>#N/A</v>
      </c>
      <c r="BO73" s="30" t="e">
        <f t="shared" si="105"/>
        <v>#N/A</v>
      </c>
      <c r="BP73" s="31" t="e">
        <f>IF(OR(Hypothèses!$B$4=17,Hypothèses!$B$4=18,Hypothèses!$B$4=19,Hypothèses!$B$4=20),
IF($D73="Pressio.",
IF(OR($E73=3,$E73=1,$E73=4),BO73,BN73),
IF($D73="Pénétro.",
IF(OR($E73=3,$E73=1,$E73=4),BO73,BN73))),IF($D73="Pressio.",
IF($E73=3,BO73,BN73),
IF($D73="Pénétro.",
IF($E73=4,BO73,BN73))))</f>
        <v>#N/A</v>
      </c>
      <c r="BQ73" s="31" t="e">
        <f>(IF(OR(Hypothèses!$B$4=17,Hypothèses!$B$4=18,Hypothèses!$B$4=19,Hypothèses!$B$4=20),
IF($D73="Pressio.",
IF(OR($E73=3,$E73=1,$E73=4),(PI()*BQ$12^2)/4*(BM73*$W73*1000)/($H73*$B$5),(PI()*BQ$12^2)/4*(BM73*$W73*1000)/($G73*$B$5)),
IF($D73="Pénétro.",
IF(OR($E73=4,$E73=1,$E73=5),(PI()*BQ$12^2)/4*(BM73*$W73*1000)/($H73*$B$5),(PI()*BQ$12^2)/4*(BM73*$W73*1000)/($G73*$B$5)))),
IF($D73="Pressio.",
IF($E73=3,(PI()*BQ$12^2)/4*(BM73*$W73*1000)/($H73*$B$5),(PI()*BQ$12^2)/4*(BM73*$W73*1000)/($G73*$B$5)),
IF($D73="Pénétro.",
IF($E73=4,(PI()*BQ$12^2)/4*(BM73*$W73*1000)/($H73*$B$5),(PI()*BQ$12^2)/4*(BM73*$W73*1000)/($G73*$B$5))))))/10</f>
        <v>#N/A</v>
      </c>
      <c r="BR73" s="102" t="e">
        <f>(VLOOKUP($B$3,'Coeff EC7'!$T$39:$X$59,2,0)*BP73+VLOOKUP($B$3,'Coeff EC7'!$T$65:$X$85,2,0)*Model0.1C!BQ73)/1.1</f>
        <v>#N/A</v>
      </c>
      <c r="BS73" s="102" t="e">
        <f>(VLOOKUP($B$3,'Coeff EC7'!$T$39:$X$59,3,0)*BP73+VLOOKUP($B$3,'Coeff EC7'!$T$65:$X$85,3,0)*Model0.1C!BQ73)/0.9</f>
        <v>#N/A</v>
      </c>
      <c r="BT73" s="102" t="e">
        <f t="shared" si="78"/>
        <v>#N/A</v>
      </c>
      <c r="BU73" s="102" t="e">
        <f t="shared" si="79"/>
        <v>#N/A</v>
      </c>
      <c r="BV73" s="414" t="e">
        <f>IF(BV72=0,0,IF(AND(BR73&gt;charge_ELS_quasi,BS73&gt;Charge_ELS_freq,BT73&gt;charge_ELU,BU73&gt;charge_ELA,$B73&gt;NDC!$H$22-0.1+MIN(3*$BV$12,1.5)),0,1))</f>
        <v>#N/A</v>
      </c>
      <c r="BW73" s="86" t="b">
        <f t="shared" si="32"/>
        <v>0</v>
      </c>
      <c r="BX73" s="86">
        <f t="shared" si="33"/>
        <v>0.5</v>
      </c>
      <c r="BY73" s="86">
        <f t="shared" si="34"/>
        <v>0.5</v>
      </c>
      <c r="BZ73" s="30" t="e">
        <f t="shared" ca="1" si="80"/>
        <v>#DIV/0!</v>
      </c>
      <c r="CA73" s="85" t="e">
        <f ca="1">IF(BG73&lt;=Hypothèses!$V$7,Hypothèses!$W$7,IF(BG73&lt;=Hypothèses!$V$8,Hypothèses!$W$8,IF(BG73&lt;=Hypothèses!$V$9,Hypothèses!$W$9,IF(BG73&lt;=Hypothèses!$V$10,Hypothèses!$W$10,IF(BG73&lt;=Hypothèses!$V$11,Hypothèses!$W$11,IF(BG73&lt;=Hypothèses!$V$12,Hypothèses!$W$12,IF(BG73&lt;=Hypothèses!$V$13,Hypothèses!$W$13,IF(BG73&lt;=Hypothèses!$V$14,Hypothèses!$W$14,IF(BG73&lt;=Hypothèses!$V$15,Hypothèses!$W$15,IF(BG73&lt;=Hypothèses!$V$16,Hypothèses!$W$16,IF(BG73&lt;=Hypothèses!$V$17,Hypothèses!$W$17,IF(BG73&lt;=Hypothèses!$V$18,Hypothèses!$W$18,""))))))))))))</f>
        <v>#DIV/0!</v>
      </c>
      <c r="CB73" s="87" t="e">
        <f t="shared" ca="1" si="119"/>
        <v>#DIV/0!</v>
      </c>
      <c r="CC73" s="88" t="e">
        <f ca="1">IF(BG73&lt;=Hypothèses!$V$7,Hypothèses!$X$7,IF(BG73&lt;=Hypothèses!$V$8,Hypothèses!$X$8,IF(BG73&lt;=Hypothèses!$V$9,Hypothèses!$X$9,IF(BG73&lt;=Hypothèses!$V$10,Hypothèses!$X$10,IF(BG73&lt;=Hypothèses!$V$11,Hypothèses!$X$11,IF(BG73&lt;=Hypothèses!$V$12,Hypothèses!$X$12,IF(BG73&lt;=Hypothèses!$V$13,Hypothèses!$X$13,IF(BG73&lt;=Hypothèses!$V$14,Hypothèses!$X$14,IF(BG73&lt;=Hypothèses!$V$15,Hypothèses!$X$15,IF(BG73&lt;=Hypothèses!$V$16,Hypothèses!$X$16,IF(BG73&lt;=Hypothèses!$U$17,Hypothèses!$W$17,IF(BG73&lt;=Hypothèses!$U$18,Hypothèses!$W$18,""))))))))))))</f>
        <v>#DIV/0!</v>
      </c>
      <c r="CD73" s="95" t="e">
        <f t="shared" ca="1" si="81"/>
        <v>#DIV/0!</v>
      </c>
      <c r="CE73" s="101" t="e">
        <f t="shared" si="126"/>
        <v>#N/A</v>
      </c>
      <c r="CF73" s="91" t="e">
        <f t="shared" si="36"/>
        <v>#N/A</v>
      </c>
      <c r="CG73" s="30" t="e">
        <f t="shared" si="106"/>
        <v>#N/A</v>
      </c>
      <c r="CH73" s="30" t="e">
        <f t="shared" si="107"/>
        <v>#N/A</v>
      </c>
      <c r="CI73" s="31" t="e">
        <f>IF(OR(Hypothèses!$B$4=17,Hypothèses!$B$4=18,Hypothèses!$B$4=19,Hypothèses!$B$4=20),
IF($D73="Pressio.",
IF(OR($E73=3,$E73=1,$E73=4),CH73,CG73),
IF($D73="Pénétro.",
IF(OR($E73=3,$E73=1,$E73=4),CH73,CG73))),IF($D73="Pressio.",
IF($E73=3,CH73,CG73),
IF($D73="Pénétro.",
IF($E73=4,CH73,CG73))))</f>
        <v>#N/A</v>
      </c>
      <c r="CJ73" s="31" t="e">
        <f>(IF(OR(Hypothèses!$B$4=17,Hypothèses!$B$4=18,Hypothèses!$B$4=19,Hypothèses!$B$4=20),
IF($D73="Pressio.",
IF(OR($E73=3,$E73=1,$E73=4),(PI()*CJ$12^2)/4*(CF73*$W73*1000)/($H73*$B$5),(PI()*CJ$12^2)/4*(CF73*$W73*1000)/($G73*$B$5)),
IF($D73="Pénétro.",
IF(OR($E73=4,$E73=1,$E73=5),(PI()*CJ$12^2)/4*(CF73*$W73*1000)/($H73*$B$5),(PI()*CJ$12^2)/4*(CF73*$W73*1000)/($G73*$B$5)))),
IF($D73="Pressio.",
IF($E73=3,(PI()*CJ$12^2)/4*(CF73*$W73*1000)/($H73*$B$5),(PI()*CJ$12^2)/4*(CF73*$W73*1000)/($G73*$B$5)),
IF($D73="Pénétro.",
IF($E73=4,(PI()*CJ$12^2)/4*(CF73*$W73*1000)/($H73*$B$5),(PI()*CJ$12^2)/4*(CF73*$W73*1000)/($G73*$B$5))))))/10</f>
        <v>#N/A</v>
      </c>
      <c r="CK73" s="102" t="e">
        <f>(VLOOKUP($B$3,'Coeff EC7'!$T$39:$X$59,2,0)*CI73+VLOOKUP($B$3,'Coeff EC7'!$T$65:$X$85,2,0)*Model0.1C!CJ73)/1.1</f>
        <v>#N/A</v>
      </c>
      <c r="CL73" s="102" t="e">
        <f>(VLOOKUP($B$3,'Coeff EC7'!$T$39:$X$59,3,0)*CI73+VLOOKUP($B$3,'Coeff EC7'!$T$65:$X$85,3,0)*Model0.1C!CJ73)/0.9</f>
        <v>#N/A</v>
      </c>
      <c r="CM73" s="102" t="e">
        <f t="shared" si="82"/>
        <v>#N/A</v>
      </c>
      <c r="CN73" s="102" t="e">
        <f t="shared" si="83"/>
        <v>#N/A</v>
      </c>
      <c r="CO73" s="414" t="e">
        <f>IF(CO72=0,0,IF(AND(CK73&gt;charge_ELS_quasi,CL73&gt;Charge_ELS_freq,CM73&gt;charge_ELU,CN73&gt;charge_ELA,$B73&gt;NDC!$H$22-0.1+MIN(3*$CO$12,1.5)),0,1))</f>
        <v>#N/A</v>
      </c>
      <c r="CP73" s="86" t="b">
        <f t="shared" si="39"/>
        <v>0</v>
      </c>
      <c r="CQ73" s="86">
        <f t="shared" si="40"/>
        <v>0.5</v>
      </c>
      <c r="CR73" s="86">
        <f t="shared" si="41"/>
        <v>0.5</v>
      </c>
      <c r="CS73" s="30" t="e">
        <f t="shared" ca="1" si="84"/>
        <v>#DIV/0!</v>
      </c>
      <c r="CT73" s="85" t="e">
        <f ca="1">IF(BZ73&lt;=Hypothèses!$V$7,Hypothèses!$W$7,IF(BZ73&lt;=Hypothèses!$V$8,Hypothèses!$W$8,IF(BZ73&lt;=Hypothèses!$V$9,Hypothèses!$W$9,IF(BZ73&lt;=Hypothèses!$V$10,Hypothèses!$W$10,IF(BZ73&lt;=Hypothèses!$V$11,Hypothèses!$W$11,IF(BZ73&lt;=Hypothèses!$V$12,Hypothèses!$W$12,IF(BZ73&lt;=Hypothèses!$V$13,Hypothèses!$W$13,IF(BZ73&lt;=Hypothèses!$V$14,Hypothèses!$W$14,IF(BZ73&lt;=Hypothèses!$V$15,Hypothèses!$W$15,IF(BZ73&lt;=Hypothèses!$V$16,Hypothèses!$W$16,IF(BZ73&lt;=Hypothèses!$V$17,Hypothèses!$W$17,IF(BZ73&lt;=Hypothèses!$V$18,Hypothèses!$W$18,""))))))))))))</f>
        <v>#DIV/0!</v>
      </c>
      <c r="CU73" s="87" t="e">
        <f t="shared" ca="1" si="120"/>
        <v>#DIV/0!</v>
      </c>
      <c r="CV73" s="88" t="e">
        <f ca="1">IF(BZ73&lt;=Hypothèses!$V$7,Hypothèses!$X$7,IF(BZ73&lt;=Hypothèses!$V$8,Hypothèses!$X$8,IF(BZ73&lt;=Hypothèses!$V$9,Hypothèses!$X$9,IF(BZ73&lt;=Hypothèses!$V$10,Hypothèses!$X$10,IF(BZ73&lt;=Hypothèses!$V$11,Hypothèses!$X$11,IF(BZ73&lt;=Hypothèses!$V$12,Hypothèses!$X$12,IF(BZ73&lt;=Hypothèses!$V$13,Hypothèses!$X$13,IF(BZ73&lt;=Hypothèses!$V$14,Hypothèses!$X$14,IF(BZ73&lt;=Hypothèses!$V$15,Hypothèses!$X$15,IF(BZ73&lt;=Hypothèses!$V$16,Hypothèses!$X$16,IF(BZ73&lt;=Hypothèses!$U$17,Hypothèses!$W$17,IF(BZ73&lt;=Hypothèses!$U$18,Hypothèses!$W$18,""))))))))))))</f>
        <v>#DIV/0!</v>
      </c>
      <c r="CW73" s="95" t="e">
        <f t="shared" ca="1" si="85"/>
        <v>#DIV/0!</v>
      </c>
      <c r="CX73" s="101" t="e">
        <f t="shared" si="127"/>
        <v>#N/A</v>
      </c>
      <c r="CY73" s="91" t="e">
        <f t="shared" si="43"/>
        <v>#N/A</v>
      </c>
      <c r="CZ73" s="30" t="e">
        <f t="shared" si="108"/>
        <v>#N/A</v>
      </c>
      <c r="DA73" s="30" t="e">
        <f t="shared" si="109"/>
        <v>#N/A</v>
      </c>
      <c r="DB73" s="31" t="e">
        <f>IF(OR(Hypothèses!$B$4=17,Hypothèses!$B$4=18,Hypothèses!$B$4=19,Hypothèses!$B$4=20),
IF($D73="Pressio.",
IF(OR($E73=3,$E73=1,$E73=4),DA73,CZ73),
IF($D73="Pénétro.",
IF(OR($E73=3,$E73=1,$E73=4),DA73,CZ73))),IF($D73="Pressio.",
IF($E73=3,DA73,CZ73),
IF($D73="Pénétro.",
IF($E73=4,DA73,CZ73))))</f>
        <v>#N/A</v>
      </c>
      <c r="DC73" s="31" t="e">
        <f>(IF(OR(Hypothèses!$B$4=17,Hypothèses!$B$4=18,Hypothèses!$B$4=19,Hypothèses!$B$4=20),
IF($D73="Pressio.",
IF(OR($E73=3,$E73=1,$E73=4),(PI()*DC$12^2)/4*(CY73*$W73*1000)/($H73*$B$5),(PI()*DC$12^2)/4*(CY73*$W73*1000)/($G73*$B$5)),
IF($D73="Pénétro.",
IF(OR($E73=4,$E73=1,$E73=5),(PI()*DC$12^2)/4*(CY73*$W73*1000)/($H73*$B$5),(PI()*DC$12^2)/4*(CY73*$W73*1000)/($G73*$B$5)))),
IF($D73="Pressio.",
IF($E73=3,(PI()*DC$12^2)/4*(CY73*$W73*1000)/($H73*$B$5),(PI()*DC$12^2)/4*(CY73*$W73*1000)/($G73*$B$5)),
IF($D73="Pénétro.",
IF($E73=4,(PI()*DC$12^2)/4*(CY73*$W73*1000)/($H73*$B$5),(PI()*DC$12^2)/4*(CY73*$W73*1000)/($G73*$B$5))))))/10</f>
        <v>#N/A</v>
      </c>
      <c r="DD73" s="102" t="e">
        <f>(VLOOKUP($B$3,'Coeff EC7'!$T$39:$X$59,2,0)*DB73+VLOOKUP($B$3,'Coeff EC7'!$T$65:$X$85,2,0)*Model0.1C!DC73)/1.1</f>
        <v>#N/A</v>
      </c>
      <c r="DE73" s="102" t="e">
        <f>(VLOOKUP($B$3,'Coeff EC7'!$T$39:$X$59,3,0)*DB73+VLOOKUP($B$3,'Coeff EC7'!$T$65:$X$85,3,0)*Model0.1C!DC73)/0.9</f>
        <v>#N/A</v>
      </c>
      <c r="DF73" s="102" t="e">
        <f t="shared" si="86"/>
        <v>#N/A</v>
      </c>
      <c r="DG73" s="102" t="e">
        <f t="shared" si="87"/>
        <v>#N/A</v>
      </c>
      <c r="DH73" s="414" t="e">
        <f>IF(DH72=0,0,IF(AND(DD73&gt;charge_ELS_quasi,DE73&gt;Charge_ELS_freq,DF73&gt;charge_ELU,DG73&gt;charge_ELA,$B73&gt;NDC!$H$22-0.1+MIN(3*$DH$12,1.5)),0,1))</f>
        <v>#N/A</v>
      </c>
      <c r="DI73" s="86" t="b">
        <f t="shared" si="46"/>
        <v>0</v>
      </c>
      <c r="DJ73" s="86">
        <f t="shared" si="47"/>
        <v>0.5</v>
      </c>
      <c r="DK73" s="86">
        <f t="shared" si="48"/>
        <v>0.5</v>
      </c>
      <c r="DL73" s="30" t="e">
        <f t="shared" ca="1" si="88"/>
        <v>#DIV/0!</v>
      </c>
      <c r="DM73" s="85" t="e">
        <f ca="1">IF(CS73&lt;=Hypothèses!$V$7,Hypothèses!$W$7,IF(CS73&lt;=Hypothèses!$V$8,Hypothèses!$W$8,IF(CS73&lt;=Hypothèses!$V$9,Hypothèses!$W$9,IF(CS73&lt;=Hypothèses!$V$10,Hypothèses!$W$10,IF(CS73&lt;=Hypothèses!$V$11,Hypothèses!$W$11,IF(CS73&lt;=Hypothèses!$V$12,Hypothèses!$W$12,IF(CS73&lt;=Hypothèses!$V$13,Hypothèses!$W$13,IF(CS73&lt;=Hypothèses!$V$14,Hypothèses!$W$14,IF(CS73&lt;=Hypothèses!$V$15,Hypothèses!$W$15,IF(CS73&lt;=Hypothèses!$V$16,Hypothèses!$W$16,IF(CS73&lt;=Hypothèses!$V$17,Hypothèses!$W$17,IF(CS73&lt;=Hypothèses!$V$18,Hypothèses!$W$18,""))))))))))))</f>
        <v>#DIV/0!</v>
      </c>
      <c r="DN73" s="87" t="e">
        <f t="shared" ca="1" si="121"/>
        <v>#DIV/0!</v>
      </c>
      <c r="DO73" s="88" t="e">
        <f ca="1">IF(CS73&lt;=Hypothèses!$V$7,Hypothèses!$X$7,IF(CS73&lt;=Hypothèses!$V$8,Hypothèses!$X$8,IF(CS73&lt;=Hypothèses!$V$9,Hypothèses!$X$9,IF(CS73&lt;=Hypothèses!$V$10,Hypothèses!$X$10,IF(CS73&lt;=Hypothèses!$V$11,Hypothèses!$X$11,IF(CS73&lt;=Hypothèses!$V$12,Hypothèses!$X$12,IF(CS73&lt;=Hypothèses!$V$13,Hypothèses!$X$13,IF(CS73&lt;=Hypothèses!$V$14,Hypothèses!$X$14,IF(CS73&lt;=Hypothèses!$V$15,Hypothèses!$X$15,IF(CS73&lt;=Hypothèses!$V$16,Hypothèses!$X$16,IF(CS73&lt;=Hypothèses!$U$17,Hypothèses!$W$17,IF(CS73&lt;=Hypothèses!$U$18,Hypothèses!$W$18,""))))))))))))</f>
        <v>#DIV/0!</v>
      </c>
      <c r="DP73" s="95" t="e">
        <f t="shared" ca="1" si="89"/>
        <v>#DIV/0!</v>
      </c>
      <c r="DQ73" s="101" t="e">
        <f t="shared" si="128"/>
        <v>#N/A</v>
      </c>
      <c r="DR73" s="91" t="e">
        <f t="shared" si="50"/>
        <v>#N/A</v>
      </c>
      <c r="DS73" s="30" t="e">
        <f t="shared" si="110"/>
        <v>#N/A</v>
      </c>
      <c r="DT73" s="30" t="e">
        <f t="shared" si="111"/>
        <v>#N/A</v>
      </c>
      <c r="DU73" s="31" t="e">
        <f>IF(OR(Hypothèses!$B$4=17,Hypothèses!$B$4=18,Hypothèses!$B$4=19,Hypothèses!$B$4=20),
IF($D73="Pressio.",
IF(OR($E73=3,$E73=1,$E73=4),DT73,DS73),
IF($D73="Pénétro.",
IF(OR($E73=3,$E73=1,$E73=4),DT73,DS73))),IF($D73="Pressio.",
IF($E73=3,DT73,DS73),
IF($D73="Pénétro.",
IF($E73=4,DT73,DS73))))</f>
        <v>#N/A</v>
      </c>
      <c r="DV73" s="31" t="e">
        <f>(IF(OR(Hypothèses!$B$4=17,Hypothèses!$B$4=18,Hypothèses!$B$4=19,Hypothèses!$B$4=20),
IF($D73="Pressio.",
IF(OR($E73=3,$E73=1,$E73=4),(PI()*DV$12^2)/4*(DR73*$W73*1000)/($H73*$B$5),(PI()*DV$12^2)/4*(DR73*$W73*1000)/($G73*$B$5)),
IF($D73="Pénétro.",
IF(OR($E73=4,$E73=1,$E73=5),(PI()*DV$12^2)/4*(DR73*$W73*1000)/($H73*$B$5),(PI()*DV$12^2)/4*(DR73*$W73*1000)/($G73*$B$5)))),
IF($D73="Pressio.",
IF($E73=3,(PI()*DV$12^2)/4*(DR73*$W73*1000)/($H73*$B$5),(PI()*DV$12^2)/4*(DR73*$W73*1000)/($G73*$B$5)),
IF($D73="Pénétro.",
IF($E73=4,(PI()*DV$12^2)/4*(DR73*$W73*1000)/($H73*$B$5),(PI()*DV$12^2)/4*(DR73*$W73*1000)/($G73*$B$5))))))/10</f>
        <v>#N/A</v>
      </c>
      <c r="DW73" s="102" t="e">
        <f>(VLOOKUP($B$3,'Coeff EC7'!$T$39:$X$59,2,0)*DU73+VLOOKUP($B$3,'Coeff EC7'!$T$65:$X$85,2,0)*Model0.1C!DV73)/1.1</f>
        <v>#N/A</v>
      </c>
      <c r="DX73" s="102" t="e">
        <f>(VLOOKUP($B$3,'Coeff EC7'!$T$39:$X$59,3,0)*DU73+VLOOKUP($B$3,'Coeff EC7'!$T$65:$X$85,3,0)*Model0.1C!DV73)/0.9</f>
        <v>#N/A</v>
      </c>
      <c r="DY73" s="102" t="e">
        <f t="shared" si="90"/>
        <v>#N/A</v>
      </c>
      <c r="DZ73" s="102" t="e">
        <f t="shared" si="91"/>
        <v>#N/A</v>
      </c>
      <c r="EA73" s="414" t="e">
        <f>IF(EA72=0,0,IF(AND(DW73&gt;charge_ELS_quasi,DX73&gt;Charge_ELS_freq,DY73&gt;charge_ELU,DZ73&gt;charge_ELA,$B73&gt;NDC!$H$22-0.1+MIN(3*$EA$12,1.5)),0,1))</f>
        <v>#N/A</v>
      </c>
      <c r="EB73" s="86" t="b">
        <f t="shared" si="53"/>
        <v>0</v>
      </c>
      <c r="EC73" s="418">
        <f t="shared" si="54"/>
        <v>0.51</v>
      </c>
      <c r="ED73" s="86">
        <f t="shared" si="55"/>
        <v>0.51</v>
      </c>
      <c r="EE73" s="30" t="e">
        <f t="shared" ca="1" si="92"/>
        <v>#DIV/0!</v>
      </c>
      <c r="EF73" s="85" t="e">
        <f ca="1">IF(DL73&lt;=Hypothèses!$V$7,Hypothèses!$W$7,IF(DL73&lt;=Hypothèses!$V$8,Hypothèses!$W$8,IF(DL73&lt;=Hypothèses!$V$9,Hypothèses!$W$9,IF(DL73&lt;=Hypothèses!$V$10,Hypothèses!$W$10,IF(DL73&lt;=Hypothèses!$V$11,Hypothèses!$W$11,IF(DL73&lt;=Hypothèses!$V$12,Hypothèses!$W$12,IF(DL73&lt;=Hypothèses!$V$13,Hypothèses!$W$13,IF(DL73&lt;=Hypothèses!$V$14,Hypothèses!$W$14,IF(DL73&lt;=Hypothèses!$V$15,Hypothèses!$W$15,IF(DL73&lt;=Hypothèses!$V$16,Hypothèses!$W$16,IF(DL73&lt;=Hypothèses!$V$17,Hypothèses!$W$17,IF(DL73&lt;=Hypothèses!$V$18,Hypothèses!$W$18,""))))))))))))</f>
        <v>#DIV/0!</v>
      </c>
      <c r="EG73" s="87" t="e">
        <f t="shared" ca="1" si="122"/>
        <v>#DIV/0!</v>
      </c>
      <c r="EH73" s="88" t="e">
        <f ca="1">IF(DL73&lt;=Hypothèses!$V$7,Hypothèses!$X$7,IF(DL73&lt;=Hypothèses!$V$8,Hypothèses!$X$8,IF(DL73&lt;=Hypothèses!$V$9,Hypothèses!$X$9,IF(DL73&lt;=Hypothèses!$V$10,Hypothèses!$X$10,IF(DL73&lt;=Hypothèses!$V$11,Hypothèses!$X$11,IF(DL73&lt;=Hypothèses!$V$12,Hypothèses!$X$12,IF(DL73&lt;=Hypothèses!$V$13,Hypothèses!$X$13,IF(DL73&lt;=Hypothèses!$V$14,Hypothèses!$X$14,IF(DL73&lt;=Hypothèses!$V$15,Hypothèses!$X$15,IF(DL73&lt;=Hypothèses!$V$16,Hypothèses!$X$16,IF(DL73&lt;=Hypothèses!$U$17,Hypothèses!$W$17,IF(DL73&lt;=Hypothèses!$U$18,Hypothèses!$W$18,""))))))))))))</f>
        <v>#DIV/0!</v>
      </c>
      <c r="EI73" s="95" t="e">
        <f t="shared" ca="1" si="93"/>
        <v>#DIV/0!</v>
      </c>
      <c r="EJ73" s="101" t="e">
        <f t="shared" si="129"/>
        <v>#N/A</v>
      </c>
      <c r="EK73" s="91" t="e">
        <f t="shared" si="57"/>
        <v>#N/A</v>
      </c>
      <c r="EL73" s="30" t="e">
        <f t="shared" si="112"/>
        <v>#N/A</v>
      </c>
      <c r="EM73" s="30" t="e">
        <f t="shared" si="113"/>
        <v>#N/A</v>
      </c>
      <c r="EN73" s="31" t="e">
        <f>IF(OR(Hypothèses!$B$4=17,Hypothèses!$B$4=18,Hypothèses!$B$4=19,Hypothèses!$B$4=20),
IF($D73="Pressio.",
IF(OR($E73=3,$E73=1,$E73=4),EM73,EL73),
IF($D73="Pénétro.",
IF(OR($E73=3,$E73=1,$E73=4),EM73,EL73))),IF($D73="Pressio.",
IF($E73=3,EM73,EL73),
IF($D73="Pénétro.",
IF($E73=4,EM73,EL73))))</f>
        <v>#N/A</v>
      </c>
      <c r="EO73" s="31" t="e">
        <f>(IF(OR(Hypothèses!$B$4=17,Hypothèses!$B$4=18,Hypothèses!$B$4=19,Hypothèses!$B$4=20),
IF($D73="Pressio.",
IF(OR($E73=3,$E73=1,$E73=4),(PI()*EO$12^2)/4*(EK73*$W73*1000)/($H73*$B$5),(PI()*EO$12^2)/4*(EK73*$W73*1000)/($G73*$B$5)),
IF($D73="Pénétro.",
IF(OR($E73=4,$E73=1,$E73=5),(PI()*EO$12^2)/4*(EK73*$W73*1000)/($H73*$B$5),(PI()*EO$12^2)/4*(EK73*$W73*1000)/($G73*$B$5)))),
IF($D73="Pressio.",
IF($E73=3,(PI()*EO$12^2)/4*(EK73*$W73*1000)/($H73*$B$5),(PI()*EO$12^2)/4*(EK73*$W73*1000)/($G73*$B$5)),
IF($D73="Pénétro.",
IF($E73=4,(PI()*EO$12^2)/4*(EK73*$W73*1000)/($H73*$B$5),(PI()*EO$12^2)/4*(EK73*$W73*1000)/($G73*$B$5))))))/10</f>
        <v>#N/A</v>
      </c>
      <c r="EP73" s="102" t="e">
        <f>(VLOOKUP($B$3,'Coeff EC7'!$T$39:$X$59,2,0)*EN73+VLOOKUP($B$3,'Coeff EC7'!$T$65:$X$85,2,0)*Model0.1C!EO73)/1.1</f>
        <v>#N/A</v>
      </c>
      <c r="EQ73" s="102" t="e">
        <f>(VLOOKUP($B$3,'Coeff EC7'!$T$39:$X$59,3,0)*EN73+VLOOKUP($B$3,'Coeff EC7'!$T$65:$X$85,3,0)*Model0.1C!EO73)/0.9</f>
        <v>#N/A</v>
      </c>
      <c r="ER73" s="102" t="e">
        <f t="shared" si="94"/>
        <v>#N/A</v>
      </c>
      <c r="ES73" s="102" t="e">
        <f t="shared" si="95"/>
        <v>#N/A</v>
      </c>
      <c r="ET73" s="414" t="e">
        <f>IF(ET72=0,0,IF(AND(EP73&gt;charge_ELS_quasi,EQ73&gt;Charge_ELS_freq,ER73&gt;charge_ELU,ES73&gt;charge_ELA,$B73&gt;NDC!$H$22-0.1+MIN(3*$ET$12,1.5)),0,1))</f>
        <v>#N/A</v>
      </c>
      <c r="EU73" s="86" t="b">
        <f t="shared" si="60"/>
        <v>0</v>
      </c>
      <c r="EV73" s="86">
        <f t="shared" si="61"/>
        <v>0.61</v>
      </c>
      <c r="EW73" s="86">
        <f t="shared" si="62"/>
        <v>0.61</v>
      </c>
      <c r="EX73" s="30" t="e">
        <f t="shared" ca="1" si="96"/>
        <v>#DIV/0!</v>
      </c>
      <c r="EY73" s="85" t="e">
        <f ca="1">IF(EE73&lt;=Hypothèses!$V$7,Hypothèses!$W$7,IF(EE73&lt;=Hypothèses!$V$8,Hypothèses!$W$8,IF(EE73&lt;=Hypothèses!$V$9,Hypothèses!$W$9,IF(EE73&lt;=Hypothèses!$V$10,Hypothèses!$W$10,IF(EE73&lt;=Hypothèses!$V$11,Hypothèses!$W$11,IF(EE73&lt;=Hypothèses!$V$12,Hypothèses!$W$12,IF(EE73&lt;=Hypothèses!$V$13,Hypothèses!$W$13,IF(EE73&lt;=Hypothèses!$V$14,Hypothèses!$W$14,IF(EE73&lt;=Hypothèses!$V$15,Hypothèses!$W$15,IF(EE73&lt;=Hypothèses!$V$16,Hypothèses!$W$16,IF(EE73&lt;=Hypothèses!$V$17,Hypothèses!$W$17,IF(EE73&lt;=Hypothèses!$V$18,Hypothèses!$W$18,""))))))))))))</f>
        <v>#DIV/0!</v>
      </c>
      <c r="EZ73" s="87" t="e">
        <f t="shared" ca="1" si="123"/>
        <v>#DIV/0!</v>
      </c>
      <c r="FA73" s="88" t="e">
        <f ca="1">IF(EE73&lt;=Hypothèses!$V$7,Hypothèses!$X$7,IF(EE73&lt;=Hypothèses!$V$8,Hypothèses!$X$8,IF(EE73&lt;=Hypothèses!$V$9,Hypothèses!$X$9,IF(EE73&lt;=Hypothèses!$V$10,Hypothèses!$X$10,IF(EE73&lt;=Hypothèses!$V$11,Hypothèses!$X$11,IF(EE73&lt;=Hypothèses!$V$12,Hypothèses!$X$12,IF(EE73&lt;=Hypothèses!$V$13,Hypothèses!$X$13,IF(EE73&lt;=Hypothèses!$V$14,Hypothèses!$X$14,IF(EE73&lt;=Hypothèses!$V$15,Hypothèses!$X$15,IF(EE73&lt;=Hypothèses!$V$16,Hypothèses!$X$16,IF(EE73&lt;=Hypothèses!$U$17,Hypothèses!$W$17,IF(EE73&lt;=Hypothèses!$U$18,Hypothèses!$W$18,""))))))))))))</f>
        <v>#DIV/0!</v>
      </c>
      <c r="FB73" s="95" t="e">
        <f t="shared" ca="1" si="97"/>
        <v>#DIV/0!</v>
      </c>
      <c r="FC73" s="101" t="e">
        <f t="shared" si="130"/>
        <v>#N/A</v>
      </c>
      <c r="FD73" s="91" t="e">
        <f t="shared" si="64"/>
        <v>#N/A</v>
      </c>
      <c r="FE73" s="30" t="e">
        <f t="shared" si="114"/>
        <v>#N/A</v>
      </c>
      <c r="FF73" s="30" t="e">
        <f t="shared" si="115"/>
        <v>#N/A</v>
      </c>
      <c r="FG73" s="31" t="e">
        <f>IF(OR(Hypothèses!$B$4=17,Hypothèses!$B$4=18,Hypothèses!$B$4=19,Hypothèses!$B$4=20),
IF($D73="Pressio.",
IF(OR($E73=3,$E73=1,$E73=4),FF73,FE73),
IF($D73="Pénétro.",
IF(OR($E73=3,$E73=1,$E73=4),FF73,FE73))),IF($D73="Pressio.",
IF($E73=3,FF73,FE73),
IF($D73="Pénétro.",
IF($E73=4,FF73,FE73))))</f>
        <v>#N/A</v>
      </c>
      <c r="FH73" s="31" t="e">
        <f>(IF(OR(Hypothèses!$B$4=17,Hypothèses!$B$4=18,Hypothèses!$B$4=19,Hypothèses!$B$4=20),
IF($D73="Pressio.",
IF(OR($E73=3,$E73=1,$E73=4),(PI()*FH$12^2)/4*(FD73*$W73*1000)/($H73*$B$5),(PI()*FH$12^2)/4*(FD73*$W73*1000)/($G73*$B$5)),
IF($D73="Pénétro.",
IF(OR($E73=4,$E73=1,$E73=5),(PI()*FH$12^2)/4*(FD73*$W73*1000)/($H73*$B$5),(PI()*FH$12^2)/4*(FD73*$W73*1000)/($G73*$B$5)))),
IF($D73="Pressio.",
IF($E73=3,(PI()*FH$12^2)/4*(FD73*$W73*1000)/($H73*$B$5),(PI()*FH$12^2)/4*(FD73*$W73*1000)/($G73*$B$5)),
IF($D73="Pénétro.",
IF($E73=4,(PI()*FH$12^2)/4*(FD73*$W73*1000)/($H73*$B$5),(PI()*FH$12^2)/4*(FD73*$W73*1000)/($G73*$B$5))))))/10</f>
        <v>#N/A</v>
      </c>
      <c r="FI73" s="102" t="e">
        <f>(VLOOKUP($B$3,'Coeff EC7'!$T$39:$X$59,2,0)*FG73+VLOOKUP($B$3,'Coeff EC7'!$T$65:$X$85,2,0)*Model0.1C!FH73)/1.1</f>
        <v>#N/A</v>
      </c>
      <c r="FJ73" s="102" t="e">
        <f>(VLOOKUP($B$3,'Coeff EC7'!$T$39:$X$59,3,0)*FG73+VLOOKUP($B$3,'Coeff EC7'!$T$65:$X$85,3,0)*Model0.1C!FH73)/0.9</f>
        <v>#N/A</v>
      </c>
      <c r="FK73" s="102" t="e">
        <f t="shared" si="98"/>
        <v>#N/A</v>
      </c>
      <c r="FL73" s="102" t="e">
        <f t="shared" si="99"/>
        <v>#N/A</v>
      </c>
      <c r="FM73" s="414" t="e">
        <f>IF(FM72=0,0,IF(AND(FI73&gt;charge_ELS_quasi,FJ73&gt;Charge_ELS_freq,FK73&gt;charge_ELU,FL73&gt;charge_ELA,$B73&gt;NDC!$H$22-0.1+MIN(3*$FM$12,1.5)),0,1))</f>
        <v>#N/A</v>
      </c>
    </row>
    <row r="74" spans="1:169">
      <c r="A74" s="96">
        <f t="shared" si="67"/>
        <v>93.900000000000347</v>
      </c>
      <c r="B74" s="97">
        <v>6.1</v>
      </c>
      <c r="C74" s="81">
        <f>IF(B74&lt;=Hypothèses!$C$7,Hypothèses!$A$7,IF(B74&lt;=Hypothèses!$C$8,Hypothèses!$A$8,IF(B74&lt;=Hypothèses!$C$9,Hypothèses!$A$9,IF(B74&lt;=Hypothèses!$C$10,Hypothèses!$A$10,IF(B74&lt;=Hypothèses!$C$11,Hypothèses!$A$11,IF(B74&lt;=Hypothèses!$C$12,Hypothèses!$A$12,IF(B74&lt;=Hypothèses!$C$13,Hypothèses!$A$13,IF(B74&lt;=Hypothèses!$C$14,Hypothèses!$A$14,IF(B74&lt;=Hypothèses!$C$15,Hypothèses!$A$15,IF(B74&lt;=Hypothèses!$C$16,Hypothèses!$A$16,IF(B74&lt;=Hypothèses!$C$17,Hypothèses!$A$17,IF(B74&lt;=Hypothèses!$C$18,Hypothèses!$A$18,C73))))))))))))</f>
        <v>11</v>
      </c>
      <c r="D74" s="82" t="str">
        <f>IF(B74&lt;=Hypothèses!$C$7,Hypothèses!$R$7,IF(B74&lt;=Hypothèses!$C$8,Hypothèses!$R$8,IF(B74&lt;=Hypothèses!$C$9,Hypothèses!$R$9,IF(B74&lt;=Hypothèses!$C$10,Hypothèses!$R$10,IF(B74&lt;=Hypothèses!$C$11,Hypothèses!$R$11,IF(B74&lt;=Hypothèses!$C$12,Hypothèses!$R$12,IF(B74&lt;=Hypothèses!$C$13,Hypothèses!$R$13,IF(B74&lt;=Hypothèses!$C$14,Hypothèses!$R$14,IF(B74&lt;=Hypothèses!$C$15,Hypothèses!$R$15,IF(B74&lt;=Hypothèses!$C$16,Hypothèses!$R$16,IF(B74&lt;=Hypothèses!$C$17,Hypothèses!$R$17,IF(B74&lt;=Hypothèses!$C$18,Hypothèses!$R$18,D73))))))))))))</f>
        <v>Pressio.</v>
      </c>
      <c r="E74" s="82" t="e">
        <f>IF(B74&lt;=Hypothèses!$C$7,Hypothèses!$G$7,IF(B74&lt;=Hypothèses!$C$8,Hypothèses!$G$8,IF(B74&lt;=Hypothèses!$C$9,Hypothèses!$G$9,IF(B74&lt;=Hypothèses!$C$10,Hypothèses!$G$10,IF(B74&lt;=Hypothèses!$C$11,Hypothèses!$G$11,IF(B74&lt;=Hypothèses!$C$12,Hypothèses!$G$12,IF(B74&lt;=Hypothèses!$C$13,Hypothèses!$G$13,IF(B74&lt;=Hypothèses!$C$14,Hypothèses!$G$14,IF(B74&lt;=Hypothèses!$C$15,Hypothèses!$G$15,IF(B74&lt;=Hypothèses!$C$16,Hypothèses!$G$16,IF(B74&lt;=Hypothèses!$C$17,Hypothèses!$G$17,IF(B74&lt;=Hypothèses!$C$18,Hypothèses!$G$18,E73))))))))))))</f>
        <v>#N/A</v>
      </c>
      <c r="F74" s="82" t="str">
        <f>IF(B74&lt;=Hypothèses!$C$7,Hypothèses!$F$7,IF(B74&lt;=Hypothèses!$C$8,Hypothèses!$F$8,IF(B74&lt;=Hypothèses!$C$9,Hypothèses!$F$9,IF(B74&lt;=Hypothèses!$C$10,Hypothèses!$F$10,IF(B74&lt;=Hypothèses!$C$11,Hypothèses!$F$11,IF(B74&lt;=Hypothèses!$C$12,Hypothèses!$F$12,IF(B74&lt;=Hypothèses!$C$13,Hypothèses!$F$13,IF(B74&lt;=Hypothèses!$C$14,Hypothèses!$F$14,IF(B74&lt;=Hypothèses!$C$15,Hypothèses!$F$15,IF(B74&lt;=Hypothèses!$C$16,Hypothèses!$F$16,IF(B74&lt;=Hypothèses!$C$17,Hypothèses!$F$17,IF(B74&lt;=Hypothèses!$C$18,Hypothèses!$F$18,F73))))))))))))</f>
        <v/>
      </c>
      <c r="G74" s="91">
        <f t="array" ref="G74">INDEX('Coeff EC7'!$U$7:$X$27,
MATCH(Model0.1C!$B$3,'Coeff EC7'!$T$7:$T$27,0),
MATCH(Model0.1C!$D74&amp;Model0.1C!$B$4,
'Coeff EC7'!$U$6:$X$6&amp;
'Coeff EC7'!$U$5:$X$5,0))</f>
        <v>1.1499999999999999</v>
      </c>
      <c r="H74" s="91">
        <f t="array" ref="H74">INDEX('Coeff EC7'!$Y$7:$AB$27,
MATCH(Model0.1C!$B$3,'Coeff EC7'!$T$7:$T$27,0),
MATCH(Model0.1C!$D74&amp;Model0.1C!$B$4,
'Coeff EC7'!$Y$6:$AB$6&amp;
'Coeff EC7'!$Y$5:$AB$5,0))</f>
        <v>1.4</v>
      </c>
      <c r="I74" s="83" t="e">
        <f>IF(B74&lt;=Hypothèses!$C$7,Hypothèses!$P$7,IF(B74&lt;=Hypothèses!$C$8,Hypothèses!$P$8,IF(B74&lt;=Hypothèses!$C$9,Hypothèses!$P$9,IF(B74&lt;=Hypothèses!$C$10,Hypothèses!$P$10,IF(B74&lt;=Hypothèses!$C$11,Hypothèses!$P$11,IF(B74&lt;=Hypothèses!$C$12,Hypothèses!$P$12,IF(B74&lt;=Hypothèses!$C$13,Hypothèses!$P$13,IF(B74&lt;=Hypothèses!$C$14,Hypothèses!$P$14,IF(B74&lt;=Hypothèses!$C$15,Hypothèses!$P$15,IF(B74&lt;=Hypothèses!$C$16,Hypothèses!$P$16,IF(B74&lt;=Hypothèses!$C$17,Hypothèses!$P$17,IF(B74&lt;=Hypothèses!$C$18,Hypothèses!$P$18,I73))))))))))))</f>
        <v>#N/A</v>
      </c>
      <c r="J74" s="91" t="e">
        <f t="array" ref="J74">INDEX('Coeff EC7'!$D$33:$Q$33,1,MATCH(D74&amp;E74,'Coeff EC7'!$D$31:$Q$31&amp;'Coeff EC7'!$D$32:$Q$32,0))</f>
        <v>#N/A</v>
      </c>
      <c r="K74" s="91" t="e">
        <f t="array" ref="K74">INDEX('Coeff EC7'!$D$34:$Q$34,1,MATCH(D74&amp;E74,'Coeff EC7'!$D$31:$Q$31&amp;'Coeff EC7'!$D$32:$Q$32,0))</f>
        <v>#N/A</v>
      </c>
      <c r="L74" s="91" t="e">
        <f t="array" ref="L74">INDEX('Coeff EC7'!$D$35:$Q$35,1,MATCH(D74&amp;E74,'Coeff EC7'!$D$31:$Q$31&amp;'Coeff EC7'!$D$32:$Q$32,0))</f>
        <v>#N/A</v>
      </c>
      <c r="M74" s="98" t="e">
        <f t="shared" si="8"/>
        <v>#N/A</v>
      </c>
      <c r="N74" s="99" t="e">
        <f t="array" ref="N74">INDEX('Coeff EC7'!$D$7:$Q$27,MATCH($B$3,'Coeff EC7'!$C$7:$C$27,0),MATCH(D74&amp;E74,'Coeff EC7'!$D$5:$Q$5&amp;'Coeff EC7'!$D$6:$Q$6,0))</f>
        <v>#N/A</v>
      </c>
      <c r="O74" s="99" t="e">
        <f t="array" ref="O74">INDEX('Coeff EC7'!$D$41:$Q$61,MATCH($B$3,'Coeff EC7'!$C$41:$C$61,0),MATCH(D74&amp;E74,'Coeff EC7'!$D$39:$Q$39&amp;'Coeff EC7'!$D$40:$Q$40,0))</f>
        <v>#N/A</v>
      </c>
      <c r="P74" s="30" t="e">
        <f t="shared" si="68"/>
        <v>#N/A</v>
      </c>
      <c r="Q74" s="100" t="e">
        <f t="shared" si="10"/>
        <v>#N/A</v>
      </c>
      <c r="R74" s="86" t="b">
        <f t="shared" si="11"/>
        <v>0</v>
      </c>
      <c r="S74" s="86">
        <f t="shared" si="9"/>
        <v>0.5</v>
      </c>
      <c r="T74" s="86">
        <f t="shared" si="12"/>
        <v>0.5</v>
      </c>
      <c r="U74" s="30" t="e">
        <f t="shared" ca="1" si="69"/>
        <v>#DIV/0!</v>
      </c>
      <c r="V74" s="85" t="str">
        <f>IF(B74&lt;=Hypothèses!$V$7,Hypothèses!$W$7,IF(B74&lt;=Hypothèses!$V$8,Hypothèses!$W$8,IF(B74&lt;=Hypothèses!$V$9,Hypothèses!$W$9,IF(B74&lt;=Hypothèses!$V$10,Hypothèses!$W$10,IF(B74&lt;=Hypothèses!$V$11,Hypothèses!$W$11,IF(B74&lt;=Hypothèses!$V$12,Hypothèses!$W$12,IF(B74&lt;=Hypothèses!$V$13,Hypothèses!$W$13,IF(B74&lt;=Hypothèses!$V$14,Hypothèses!$W$14,IF(B74&lt;=Hypothèses!$V$15,Hypothèses!$W$15,IF(B74&lt;=Hypothèses!$V$16,Hypothèses!$W$16,IF(B74&lt;=Hypothèses!$V$17,Hypothèses!$W$17,IF(B74&lt;=Hypothèses!$V$18,Hypothèses!$W$18,""))))))))))))</f>
        <v/>
      </c>
      <c r="W74" s="87" t="e">
        <f t="shared" ca="1" si="116"/>
        <v>#DIV/0!</v>
      </c>
      <c r="X74" s="88" t="str">
        <f>IF(B74&lt;=Hypothèses!$V$7,Hypothèses!$X$7,IF(B74&lt;=Hypothèses!$V$8,Hypothèses!$X$8,IF(B74&lt;=Hypothèses!$V$9,Hypothèses!$X$9,IF(B74&lt;=Hypothèses!$V$10,Hypothèses!$X$10,IF(B74&lt;=Hypothèses!$V$11,Hypothèses!$X$11,IF(B74&lt;=Hypothèses!$V$12,Hypothèses!$X$12,IF(B74&lt;=Hypothèses!$V$13,Hypothèses!$X$13,IF(B74&lt;=Hypothèses!$V$14,Hypothèses!$X$14,IF(B74&lt;=Hypothèses!$V$15,Hypothèses!$X$15,IF(B74&lt;=Hypothèses!$V$16,Hypothèses!$X$16,IF(B74&lt;=Hypothèses!$U$17,Hypothèses!$W$17,IF(B74&lt;=Hypothèses!$U$18,Hypothèses!$W$18,""))))))))))))</f>
        <v/>
      </c>
      <c r="Y74" s="95" t="e">
        <f t="shared" ca="1" si="13"/>
        <v>#DIV/0!</v>
      </c>
      <c r="Z74" s="101" t="e">
        <f t="shared" si="14"/>
        <v>#N/A</v>
      </c>
      <c r="AA74" s="91" t="e">
        <f t="shared" si="15"/>
        <v>#N/A</v>
      </c>
      <c r="AB74" s="30" t="e">
        <f t="shared" si="100"/>
        <v>#N/A</v>
      </c>
      <c r="AC74" s="30" t="e">
        <f t="shared" si="101"/>
        <v>#N/A</v>
      </c>
      <c r="AD74" s="31" t="e">
        <f>IF(OR(Hypothèses!$B$4=17,Hypothèses!$B$4=18,Hypothèses!$B$4=19,Hypothèses!$B$4=20),
IF($D74="Pressio.",
IF(OR($E74=3,$E74=1,$E74=4),AC74,AB74),
IF($D74="Pénétro.",
IF(OR($E74=3,$E74=1,$E74=4),AC74,AB74))),IF($D74="Pressio.",
IF($E74=3,AC74,AB74),
IF($D74="Pénétro.",
IF($E74=4,AC74,AB74))))</f>
        <v>#N/A</v>
      </c>
      <c r="AE74" s="31" t="e">
        <f>(IF(OR(Hypothèses!$B$4=17,Hypothèses!$B$4=18,Hypothèses!$B$4=19,Hypothèses!$B$4=20),
IF($D74="Pressio.",
IF(OR($E74=3,$E74=1,$E74=4),(PI()*AE$12^2)/4*(AA74*$W74*1000)/($H74*$B$5),(PI()*AE$12^2)/4*(AA74*$W74*1000)/($G74*$B$5)),
IF($D74="Pénétro.",
IF(OR($E74=4,$E74=1,$E74=5),(PI()*AE$12^2)/4*(AA74*$W74*1000)/($H74*$B$5),(PI()*AE$12^2)/4*(AA74*$W74*1000)/($G74*$B$5)))),
IF($D74="Pressio.",
IF($E74=3,(PI()*AE$12^2)/4*(AA74*$W74*1000)/($H74*$B$5),(PI()*AE$12^2)/4*(AA74*$W74*1000)/($G74*$B$5)),
IF($D74="Pénétro.",
IF($E74=4,(PI()*AE$12^2)/4*(AA74*$W74*1000)/($H74*$B$5),(PI()*AE$12^2)/4*(AA74*$W74*1000)/($G74*$B$5))))))/10</f>
        <v>#N/A</v>
      </c>
      <c r="AF74" s="102" t="e">
        <f>(VLOOKUP($B$3,'Coeff EC7'!$T$39:$X$59,2,0)*AD74+VLOOKUP($B$3,'Coeff EC7'!$T$65:$X$85,2,0)*Model0.1C!AE74)/1.1</f>
        <v>#N/A</v>
      </c>
      <c r="AG74" s="102" t="e">
        <f>(VLOOKUP($B$3,'Coeff EC7'!$T$39:$X$59,3,0)*AD74+VLOOKUP($B$3,'Coeff EC7'!$T$65:$X$85,3,0)*Model0.1C!AE74)/0.9</f>
        <v>#N/A</v>
      </c>
      <c r="AH74" s="102" t="e">
        <f t="shared" si="18"/>
        <v>#N/A</v>
      </c>
      <c r="AI74" s="102" t="e">
        <f t="shared" si="19"/>
        <v>#N/A</v>
      </c>
      <c r="AJ74" s="414" t="e">
        <f>IF(AJ73=0,0,IF(AND(AF74&gt;charge_ELS_quasi,AG74&gt;Charge_ELS_freq,AH74&gt;charge_ELU,AI74&gt;charge_ELA,$B74&gt;NDC!$H$22-0.1+MIN(3*$AJ$12,1.5)),0,1))</f>
        <v>#N/A</v>
      </c>
      <c r="AK74" s="86" t="b">
        <f t="shared" si="20"/>
        <v>0</v>
      </c>
      <c r="AL74" s="86">
        <f t="shared" si="70"/>
        <v>0.5</v>
      </c>
      <c r="AM74" s="86">
        <f t="shared" si="21"/>
        <v>0.5</v>
      </c>
      <c r="AN74" s="30" t="e">
        <f t="shared" ca="1" si="71"/>
        <v>#DIV/0!</v>
      </c>
      <c r="AO74" s="85" t="e">
        <f ca="1">IF(U74&lt;=Hypothèses!$V$7,Hypothèses!$W$7,IF(U74&lt;=Hypothèses!$V$8,Hypothèses!$W$8,IF(U74&lt;=Hypothèses!$V$9,Hypothèses!$W$9,IF(U74&lt;=Hypothèses!$V$10,Hypothèses!$W$10,IF(U74&lt;=Hypothèses!$V$11,Hypothèses!$W$11,IF(U74&lt;=Hypothèses!$V$12,Hypothèses!$W$12,IF(U74&lt;=Hypothèses!$V$13,Hypothèses!$W$13,IF(U74&lt;=Hypothèses!$V$14,Hypothèses!$W$14,IF(U74&lt;=Hypothèses!$V$15,Hypothèses!$W$15,IF(U74&lt;=Hypothèses!$V$16,Hypothèses!$W$16,IF(U74&lt;=Hypothèses!$V$17,Hypothèses!$W$17,IF(U74&lt;=Hypothèses!$V$18,Hypothèses!$W$18,""))))))))))))</f>
        <v>#DIV/0!</v>
      </c>
      <c r="AP74" s="87" t="e">
        <f t="shared" ca="1" si="117"/>
        <v>#DIV/0!</v>
      </c>
      <c r="AQ74" s="88" t="e">
        <f ca="1">IF(U74&lt;=Hypothèses!$V$7,Hypothèses!$X$7,IF(U74&lt;=Hypothèses!$V$8,Hypothèses!$X$8,IF(U74&lt;=Hypothèses!$V$9,Hypothèses!$X$9,IF(U74&lt;=Hypothèses!$V$10,Hypothèses!$X$10,IF(U74&lt;=Hypothèses!$V$11,Hypothèses!$X$11,IF(U74&lt;=Hypothèses!$V$12,Hypothèses!$X$12,IF(U74&lt;=Hypothèses!$V$13,Hypothèses!$X$13,IF(U74&lt;=Hypothèses!$V$14,Hypothèses!$X$14,IF(U74&lt;=Hypothèses!$V$15,Hypothèses!$X$15,IF(U74&lt;=Hypothèses!$V$16,Hypothèses!$X$16,IF(U74&lt;=Hypothèses!$U$17,Hypothèses!$W$17,IF(U74&lt;=Hypothèses!$U$18,Hypothèses!$W$18,""))))))))))))</f>
        <v>#DIV/0!</v>
      </c>
      <c r="AR74" s="95" t="e">
        <f t="shared" ca="1" si="72"/>
        <v>#DIV/0!</v>
      </c>
      <c r="AS74" s="101" t="e">
        <f t="shared" si="124"/>
        <v>#N/A</v>
      </c>
      <c r="AT74" s="91" t="e">
        <f t="shared" si="23"/>
        <v>#N/A</v>
      </c>
      <c r="AU74" s="30" t="e">
        <f t="shared" si="102"/>
        <v>#N/A</v>
      </c>
      <c r="AV74" s="30" t="e">
        <f t="shared" si="103"/>
        <v>#N/A</v>
      </c>
      <c r="AW74" s="31" t="e">
        <f>IF(OR(Hypothèses!$B$4=17,Hypothèses!$B$4=18,Hypothèses!$B$4=19,Hypothèses!$B$4=20),
IF($D74="Pressio.",
IF(OR($E74=3,$E74=1,$E74=4),AV74,AU74),
IF($D74="Pénétro.",
IF(OR($E74=3,$E74=1,$E74=4),AV74,AU74))),IF($D74="Pressio.",
IF($E74=3,AV74,AU74),
IF($D74="Pénétro.",
IF($E74=4,AV74,AU74))))</f>
        <v>#N/A</v>
      </c>
      <c r="AX74" s="31" t="e">
        <f>(IF(OR(Hypothèses!$B$4=17,Hypothèses!$B$4=18,Hypothèses!$B$4=19,Hypothèses!$B$4=20),
IF($D74="Pressio.",
IF(OR($E74=3,$E74=1,$E74=4),(PI()*AX$12^2)/4*(AT74*$W74*1000)/($H74*$B$5),(PI()*AX$12^2)/4*(AT74*$W74*1000)/($G74*$B$5)),
IF($D74="Pénétro.",
IF(OR($E74=4,$E74=1,$E74=5),(PI()*AX$12^2)/4*(AT74*$W74*1000)/($H74*$B$5),(PI()*AX$12^2)/4*(AT74*$W74*1000)/($G74*$B$5)))),
IF($D74="Pressio.",
IF($E74=3,(PI()*AX$12^2)/4*(AT74*$W74*1000)/($H74*$B$5),(PI()*AX$12^2)/4*(AT74*$W74*1000)/($G74*$B$5)),
IF($D74="Pénétro.",
IF($E74=4,(PI()*AX$12^2)/4*(AT74*$W74*1000)/($H74*$B$5),(PI()*AX$12^2)/4*(AT74*$W74*1000)/($G74*$B$5))))))/10</f>
        <v>#N/A</v>
      </c>
      <c r="AY74" s="102" t="e">
        <f>(VLOOKUP($B$3,'Coeff EC7'!$T$39:$X$59,2,0)*AW74+VLOOKUP($B$3,'Coeff EC7'!$T$65:$X$85,2,0)*Model0.1C!AX74)/1.1</f>
        <v>#N/A</v>
      </c>
      <c r="AZ74" s="102" t="e">
        <f>(VLOOKUP($B$3,'Coeff EC7'!$T$39:$X$59,3,0)*AW74+VLOOKUP($B$3,'Coeff EC7'!$T$65:$X$85,3,0)*Model0.1C!AX74)/0.9</f>
        <v>#N/A</v>
      </c>
      <c r="BA74" s="102" t="e">
        <f t="shared" si="73"/>
        <v>#N/A</v>
      </c>
      <c r="BB74" s="102" t="e">
        <f t="shared" si="74"/>
        <v>#N/A</v>
      </c>
      <c r="BC74" s="414" t="e">
        <f>IF(BC73=0,0,IF(AND(AY74&gt;charge_ELS_quasi,AZ74&gt;Charge_ELS_freq,BA74&gt;charge_ELU,BB74&gt;charge_ELA,$B74&gt;NDC!$H$22-0.1+MIN(3*$BC$12,1.5)),0,1))</f>
        <v>#N/A</v>
      </c>
      <c r="BD74" s="86" t="b">
        <f t="shared" si="26"/>
        <v>0</v>
      </c>
      <c r="BE74" s="86">
        <f t="shared" si="75"/>
        <v>0.5</v>
      </c>
      <c r="BF74" s="86">
        <f t="shared" si="27"/>
        <v>0.5</v>
      </c>
      <c r="BG74" s="30" t="e">
        <f t="shared" ca="1" si="76"/>
        <v>#DIV/0!</v>
      </c>
      <c r="BH74" s="85" t="e">
        <f ca="1">IF(AN74&lt;=Hypothèses!$V$7,Hypothèses!$W$7,IF(AN74&lt;=Hypothèses!$V$8,Hypothèses!$W$8,IF(AN74&lt;=Hypothèses!$V$9,Hypothèses!$W$9,IF(AN74&lt;=Hypothèses!$V$10,Hypothèses!$W$10,IF(AN74&lt;=Hypothèses!$V$11,Hypothèses!$W$11,IF(AN74&lt;=Hypothèses!$V$12,Hypothèses!$W$12,IF(AN74&lt;=Hypothèses!$V$13,Hypothèses!$W$13,IF(AN74&lt;=Hypothèses!$V$14,Hypothèses!$W$14,IF(AN74&lt;=Hypothèses!$V$15,Hypothèses!$W$15,IF(AN74&lt;=Hypothèses!$V$16,Hypothèses!$W$16,IF(AN74&lt;=Hypothèses!$V$17,Hypothèses!$W$17,IF(AN74&lt;=Hypothèses!$V$18,Hypothèses!$W$18,""))))))))))))</f>
        <v>#DIV/0!</v>
      </c>
      <c r="BI74" s="87" t="e">
        <f t="shared" ca="1" si="118"/>
        <v>#DIV/0!</v>
      </c>
      <c r="BJ74" s="88" t="e">
        <f ca="1">IF(AN74&lt;=Hypothèses!$V$7,Hypothèses!$X$7,IF(AN74&lt;=Hypothèses!$V$8,Hypothèses!$X$8,IF(AN74&lt;=Hypothèses!$V$9,Hypothèses!$X$9,IF(AN74&lt;=Hypothèses!$V$10,Hypothèses!$X$10,IF(AN74&lt;=Hypothèses!$V$11,Hypothèses!$X$11,IF(AN74&lt;=Hypothèses!$V$12,Hypothèses!$X$12,IF(AN74&lt;=Hypothèses!$V$13,Hypothèses!$X$13,IF(AN74&lt;=Hypothèses!$V$14,Hypothèses!$X$14,IF(AN74&lt;=Hypothèses!$V$15,Hypothèses!$X$15,IF(AN74&lt;=Hypothèses!$V$16,Hypothèses!$X$16,IF(AN74&lt;=Hypothèses!$U$17,Hypothèses!$W$17,IF(AN74&lt;=Hypothèses!$U$18,Hypothèses!$W$18,""))))))))))))</f>
        <v>#DIV/0!</v>
      </c>
      <c r="BK74" s="95" t="e">
        <f t="shared" ca="1" si="77"/>
        <v>#DIV/0!</v>
      </c>
      <c r="BL74" s="101" t="e">
        <f t="shared" si="125"/>
        <v>#N/A</v>
      </c>
      <c r="BM74" s="91" t="e">
        <f t="shared" si="29"/>
        <v>#N/A</v>
      </c>
      <c r="BN74" s="30" t="e">
        <f t="shared" si="104"/>
        <v>#N/A</v>
      </c>
      <c r="BO74" s="30" t="e">
        <f t="shared" si="105"/>
        <v>#N/A</v>
      </c>
      <c r="BP74" s="31" t="e">
        <f>IF(OR(Hypothèses!$B$4=17,Hypothèses!$B$4=18,Hypothèses!$B$4=19,Hypothèses!$B$4=20),
IF($D74="Pressio.",
IF(OR($E74=3,$E74=1,$E74=4),BO74,BN74),
IF($D74="Pénétro.",
IF(OR($E74=3,$E74=1,$E74=4),BO74,BN74))),IF($D74="Pressio.",
IF($E74=3,BO74,BN74),
IF($D74="Pénétro.",
IF($E74=4,BO74,BN74))))</f>
        <v>#N/A</v>
      </c>
      <c r="BQ74" s="31" t="e">
        <f>(IF(OR(Hypothèses!$B$4=17,Hypothèses!$B$4=18,Hypothèses!$B$4=19,Hypothèses!$B$4=20),
IF($D74="Pressio.",
IF(OR($E74=3,$E74=1,$E74=4),(PI()*BQ$12^2)/4*(BM74*$W74*1000)/($H74*$B$5),(PI()*BQ$12^2)/4*(BM74*$W74*1000)/($G74*$B$5)),
IF($D74="Pénétro.",
IF(OR($E74=4,$E74=1,$E74=5),(PI()*BQ$12^2)/4*(BM74*$W74*1000)/($H74*$B$5),(PI()*BQ$12^2)/4*(BM74*$W74*1000)/($G74*$B$5)))),
IF($D74="Pressio.",
IF($E74=3,(PI()*BQ$12^2)/4*(BM74*$W74*1000)/($H74*$B$5),(PI()*BQ$12^2)/4*(BM74*$W74*1000)/($G74*$B$5)),
IF($D74="Pénétro.",
IF($E74=4,(PI()*BQ$12^2)/4*(BM74*$W74*1000)/($H74*$B$5),(PI()*BQ$12^2)/4*(BM74*$W74*1000)/($G74*$B$5))))))/10</f>
        <v>#N/A</v>
      </c>
      <c r="BR74" s="102" t="e">
        <f>(VLOOKUP($B$3,'Coeff EC7'!$T$39:$X$59,2,0)*BP74+VLOOKUP($B$3,'Coeff EC7'!$T$65:$X$85,2,0)*Model0.1C!BQ74)/1.1</f>
        <v>#N/A</v>
      </c>
      <c r="BS74" s="102" t="e">
        <f>(VLOOKUP($B$3,'Coeff EC7'!$T$39:$X$59,3,0)*BP74+VLOOKUP($B$3,'Coeff EC7'!$T$65:$X$85,3,0)*Model0.1C!BQ74)/0.9</f>
        <v>#N/A</v>
      </c>
      <c r="BT74" s="102" t="e">
        <f t="shared" si="78"/>
        <v>#N/A</v>
      </c>
      <c r="BU74" s="102" t="e">
        <f t="shared" si="79"/>
        <v>#N/A</v>
      </c>
      <c r="BV74" s="414" t="e">
        <f>IF(BV73=0,0,IF(AND(BR74&gt;charge_ELS_quasi,BS74&gt;Charge_ELS_freq,BT74&gt;charge_ELU,BU74&gt;charge_ELA,$B74&gt;NDC!$H$22-0.1+MIN(3*$BV$12,1.5)),0,1))</f>
        <v>#N/A</v>
      </c>
      <c r="BW74" s="86" t="b">
        <f t="shared" si="32"/>
        <v>0</v>
      </c>
      <c r="BX74" s="86">
        <f t="shared" si="33"/>
        <v>0.5</v>
      </c>
      <c r="BY74" s="86">
        <f t="shared" si="34"/>
        <v>0.5</v>
      </c>
      <c r="BZ74" s="30" t="e">
        <f t="shared" ca="1" si="80"/>
        <v>#DIV/0!</v>
      </c>
      <c r="CA74" s="85" t="e">
        <f ca="1">IF(BG74&lt;=Hypothèses!$V$7,Hypothèses!$W$7,IF(BG74&lt;=Hypothèses!$V$8,Hypothèses!$W$8,IF(BG74&lt;=Hypothèses!$V$9,Hypothèses!$W$9,IF(BG74&lt;=Hypothèses!$V$10,Hypothèses!$W$10,IF(BG74&lt;=Hypothèses!$V$11,Hypothèses!$W$11,IF(BG74&lt;=Hypothèses!$V$12,Hypothèses!$W$12,IF(BG74&lt;=Hypothèses!$V$13,Hypothèses!$W$13,IF(BG74&lt;=Hypothèses!$V$14,Hypothèses!$W$14,IF(BG74&lt;=Hypothèses!$V$15,Hypothèses!$W$15,IF(BG74&lt;=Hypothèses!$V$16,Hypothèses!$W$16,IF(BG74&lt;=Hypothèses!$V$17,Hypothèses!$W$17,IF(BG74&lt;=Hypothèses!$V$18,Hypothèses!$W$18,""))))))))))))</f>
        <v>#DIV/0!</v>
      </c>
      <c r="CB74" s="87" t="e">
        <f t="shared" ca="1" si="119"/>
        <v>#DIV/0!</v>
      </c>
      <c r="CC74" s="88" t="e">
        <f ca="1">IF(BG74&lt;=Hypothèses!$V$7,Hypothèses!$X$7,IF(BG74&lt;=Hypothèses!$V$8,Hypothèses!$X$8,IF(BG74&lt;=Hypothèses!$V$9,Hypothèses!$X$9,IF(BG74&lt;=Hypothèses!$V$10,Hypothèses!$X$10,IF(BG74&lt;=Hypothèses!$V$11,Hypothèses!$X$11,IF(BG74&lt;=Hypothèses!$V$12,Hypothèses!$X$12,IF(BG74&lt;=Hypothèses!$V$13,Hypothèses!$X$13,IF(BG74&lt;=Hypothèses!$V$14,Hypothèses!$X$14,IF(BG74&lt;=Hypothèses!$V$15,Hypothèses!$X$15,IF(BG74&lt;=Hypothèses!$V$16,Hypothèses!$X$16,IF(BG74&lt;=Hypothèses!$U$17,Hypothèses!$W$17,IF(BG74&lt;=Hypothèses!$U$18,Hypothèses!$W$18,""))))))))))))</f>
        <v>#DIV/0!</v>
      </c>
      <c r="CD74" s="95" t="e">
        <f t="shared" ca="1" si="81"/>
        <v>#DIV/0!</v>
      </c>
      <c r="CE74" s="101" t="e">
        <f t="shared" si="126"/>
        <v>#N/A</v>
      </c>
      <c r="CF74" s="91" t="e">
        <f t="shared" si="36"/>
        <v>#N/A</v>
      </c>
      <c r="CG74" s="30" t="e">
        <f t="shared" si="106"/>
        <v>#N/A</v>
      </c>
      <c r="CH74" s="30" t="e">
        <f t="shared" si="107"/>
        <v>#N/A</v>
      </c>
      <c r="CI74" s="31" t="e">
        <f>IF(OR(Hypothèses!$B$4=17,Hypothèses!$B$4=18,Hypothèses!$B$4=19,Hypothèses!$B$4=20),
IF($D74="Pressio.",
IF(OR($E74=3,$E74=1,$E74=4),CH74,CG74),
IF($D74="Pénétro.",
IF(OR($E74=3,$E74=1,$E74=4),CH74,CG74))),IF($D74="Pressio.",
IF($E74=3,CH74,CG74),
IF($D74="Pénétro.",
IF($E74=4,CH74,CG74))))</f>
        <v>#N/A</v>
      </c>
      <c r="CJ74" s="31" t="e">
        <f>(IF(OR(Hypothèses!$B$4=17,Hypothèses!$B$4=18,Hypothèses!$B$4=19,Hypothèses!$B$4=20),
IF($D74="Pressio.",
IF(OR($E74=3,$E74=1,$E74=4),(PI()*CJ$12^2)/4*(CF74*$W74*1000)/($H74*$B$5),(PI()*CJ$12^2)/4*(CF74*$W74*1000)/($G74*$B$5)),
IF($D74="Pénétro.",
IF(OR($E74=4,$E74=1,$E74=5),(PI()*CJ$12^2)/4*(CF74*$W74*1000)/($H74*$B$5),(PI()*CJ$12^2)/4*(CF74*$W74*1000)/($G74*$B$5)))),
IF($D74="Pressio.",
IF($E74=3,(PI()*CJ$12^2)/4*(CF74*$W74*1000)/($H74*$B$5),(PI()*CJ$12^2)/4*(CF74*$W74*1000)/($G74*$B$5)),
IF($D74="Pénétro.",
IF($E74=4,(PI()*CJ$12^2)/4*(CF74*$W74*1000)/($H74*$B$5),(PI()*CJ$12^2)/4*(CF74*$W74*1000)/($G74*$B$5))))))/10</f>
        <v>#N/A</v>
      </c>
      <c r="CK74" s="102" t="e">
        <f>(VLOOKUP($B$3,'Coeff EC7'!$T$39:$X$59,2,0)*CI74+VLOOKUP($B$3,'Coeff EC7'!$T$65:$X$85,2,0)*Model0.1C!CJ74)/1.1</f>
        <v>#N/A</v>
      </c>
      <c r="CL74" s="102" t="e">
        <f>(VLOOKUP($B$3,'Coeff EC7'!$T$39:$X$59,3,0)*CI74+VLOOKUP($B$3,'Coeff EC7'!$T$65:$X$85,3,0)*Model0.1C!CJ74)/0.9</f>
        <v>#N/A</v>
      </c>
      <c r="CM74" s="102" t="e">
        <f t="shared" si="82"/>
        <v>#N/A</v>
      </c>
      <c r="CN74" s="102" t="e">
        <f t="shared" si="83"/>
        <v>#N/A</v>
      </c>
      <c r="CO74" s="414" t="e">
        <f>IF(CO73=0,0,IF(AND(CK74&gt;charge_ELS_quasi,CL74&gt;Charge_ELS_freq,CM74&gt;charge_ELU,CN74&gt;charge_ELA,$B74&gt;NDC!$H$22-0.1+MIN(3*$CO$12,1.5)),0,1))</f>
        <v>#N/A</v>
      </c>
      <c r="CP74" s="86" t="b">
        <f t="shared" si="39"/>
        <v>0</v>
      </c>
      <c r="CQ74" s="86">
        <f t="shared" si="40"/>
        <v>0.5</v>
      </c>
      <c r="CR74" s="86">
        <f t="shared" si="41"/>
        <v>0.5</v>
      </c>
      <c r="CS74" s="30" t="e">
        <f t="shared" ca="1" si="84"/>
        <v>#DIV/0!</v>
      </c>
      <c r="CT74" s="85" t="e">
        <f ca="1">IF(BZ74&lt;=Hypothèses!$V$7,Hypothèses!$W$7,IF(BZ74&lt;=Hypothèses!$V$8,Hypothèses!$W$8,IF(BZ74&lt;=Hypothèses!$V$9,Hypothèses!$W$9,IF(BZ74&lt;=Hypothèses!$V$10,Hypothèses!$W$10,IF(BZ74&lt;=Hypothèses!$V$11,Hypothèses!$W$11,IF(BZ74&lt;=Hypothèses!$V$12,Hypothèses!$W$12,IF(BZ74&lt;=Hypothèses!$V$13,Hypothèses!$W$13,IF(BZ74&lt;=Hypothèses!$V$14,Hypothèses!$W$14,IF(BZ74&lt;=Hypothèses!$V$15,Hypothèses!$W$15,IF(BZ74&lt;=Hypothèses!$V$16,Hypothèses!$W$16,IF(BZ74&lt;=Hypothèses!$V$17,Hypothèses!$W$17,IF(BZ74&lt;=Hypothèses!$V$18,Hypothèses!$W$18,""))))))))))))</f>
        <v>#DIV/0!</v>
      </c>
      <c r="CU74" s="87" t="e">
        <f t="shared" ca="1" si="120"/>
        <v>#DIV/0!</v>
      </c>
      <c r="CV74" s="88" t="e">
        <f ca="1">IF(BZ74&lt;=Hypothèses!$V$7,Hypothèses!$X$7,IF(BZ74&lt;=Hypothèses!$V$8,Hypothèses!$X$8,IF(BZ74&lt;=Hypothèses!$V$9,Hypothèses!$X$9,IF(BZ74&lt;=Hypothèses!$V$10,Hypothèses!$X$10,IF(BZ74&lt;=Hypothèses!$V$11,Hypothèses!$X$11,IF(BZ74&lt;=Hypothèses!$V$12,Hypothèses!$X$12,IF(BZ74&lt;=Hypothèses!$V$13,Hypothèses!$X$13,IF(BZ74&lt;=Hypothèses!$V$14,Hypothèses!$X$14,IF(BZ74&lt;=Hypothèses!$V$15,Hypothèses!$X$15,IF(BZ74&lt;=Hypothèses!$V$16,Hypothèses!$X$16,IF(BZ74&lt;=Hypothèses!$U$17,Hypothèses!$W$17,IF(BZ74&lt;=Hypothèses!$U$18,Hypothèses!$W$18,""))))))))))))</f>
        <v>#DIV/0!</v>
      </c>
      <c r="CW74" s="95" t="e">
        <f t="shared" ca="1" si="85"/>
        <v>#DIV/0!</v>
      </c>
      <c r="CX74" s="101" t="e">
        <f t="shared" si="127"/>
        <v>#N/A</v>
      </c>
      <c r="CY74" s="91" t="e">
        <f t="shared" si="43"/>
        <v>#N/A</v>
      </c>
      <c r="CZ74" s="30" t="e">
        <f t="shared" si="108"/>
        <v>#N/A</v>
      </c>
      <c r="DA74" s="30" t="e">
        <f t="shared" si="109"/>
        <v>#N/A</v>
      </c>
      <c r="DB74" s="31" t="e">
        <f>IF(OR(Hypothèses!$B$4=17,Hypothèses!$B$4=18,Hypothèses!$B$4=19,Hypothèses!$B$4=20),
IF($D74="Pressio.",
IF(OR($E74=3,$E74=1,$E74=4),DA74,CZ74),
IF($D74="Pénétro.",
IF(OR($E74=3,$E74=1,$E74=4),DA74,CZ74))),IF($D74="Pressio.",
IF($E74=3,DA74,CZ74),
IF($D74="Pénétro.",
IF($E74=4,DA74,CZ74))))</f>
        <v>#N/A</v>
      </c>
      <c r="DC74" s="31" t="e">
        <f>(IF(OR(Hypothèses!$B$4=17,Hypothèses!$B$4=18,Hypothèses!$B$4=19,Hypothèses!$B$4=20),
IF($D74="Pressio.",
IF(OR($E74=3,$E74=1,$E74=4),(PI()*DC$12^2)/4*(CY74*$W74*1000)/($H74*$B$5),(PI()*DC$12^2)/4*(CY74*$W74*1000)/($G74*$B$5)),
IF($D74="Pénétro.",
IF(OR($E74=4,$E74=1,$E74=5),(PI()*DC$12^2)/4*(CY74*$W74*1000)/($H74*$B$5),(PI()*DC$12^2)/4*(CY74*$W74*1000)/($G74*$B$5)))),
IF($D74="Pressio.",
IF($E74=3,(PI()*DC$12^2)/4*(CY74*$W74*1000)/($H74*$B$5),(PI()*DC$12^2)/4*(CY74*$W74*1000)/($G74*$B$5)),
IF($D74="Pénétro.",
IF($E74=4,(PI()*DC$12^2)/4*(CY74*$W74*1000)/($H74*$B$5),(PI()*DC$12^2)/4*(CY74*$W74*1000)/($G74*$B$5))))))/10</f>
        <v>#N/A</v>
      </c>
      <c r="DD74" s="102" t="e">
        <f>(VLOOKUP($B$3,'Coeff EC7'!$T$39:$X$59,2,0)*DB74+VLOOKUP($B$3,'Coeff EC7'!$T$65:$X$85,2,0)*Model0.1C!DC74)/1.1</f>
        <v>#N/A</v>
      </c>
      <c r="DE74" s="102" t="e">
        <f>(VLOOKUP($B$3,'Coeff EC7'!$T$39:$X$59,3,0)*DB74+VLOOKUP($B$3,'Coeff EC7'!$T$65:$X$85,3,0)*Model0.1C!DC74)/0.9</f>
        <v>#N/A</v>
      </c>
      <c r="DF74" s="102" t="e">
        <f t="shared" si="86"/>
        <v>#N/A</v>
      </c>
      <c r="DG74" s="102" t="e">
        <f t="shared" si="87"/>
        <v>#N/A</v>
      </c>
      <c r="DH74" s="414" t="e">
        <f>IF(DH73=0,0,IF(AND(DD74&gt;charge_ELS_quasi,DE74&gt;Charge_ELS_freq,DF74&gt;charge_ELU,DG74&gt;charge_ELA,$B74&gt;NDC!$H$22-0.1+MIN(3*$DH$12,1.5)),0,1))</f>
        <v>#N/A</v>
      </c>
      <c r="DI74" s="86" t="b">
        <f t="shared" si="46"/>
        <v>0</v>
      </c>
      <c r="DJ74" s="86">
        <f t="shared" si="47"/>
        <v>0.5</v>
      </c>
      <c r="DK74" s="86">
        <f t="shared" si="48"/>
        <v>0.5</v>
      </c>
      <c r="DL74" s="30" t="e">
        <f t="shared" ca="1" si="88"/>
        <v>#DIV/0!</v>
      </c>
      <c r="DM74" s="85" t="e">
        <f ca="1">IF(CS74&lt;=Hypothèses!$V$7,Hypothèses!$W$7,IF(CS74&lt;=Hypothèses!$V$8,Hypothèses!$W$8,IF(CS74&lt;=Hypothèses!$V$9,Hypothèses!$W$9,IF(CS74&lt;=Hypothèses!$V$10,Hypothèses!$W$10,IF(CS74&lt;=Hypothèses!$V$11,Hypothèses!$W$11,IF(CS74&lt;=Hypothèses!$V$12,Hypothèses!$W$12,IF(CS74&lt;=Hypothèses!$V$13,Hypothèses!$W$13,IF(CS74&lt;=Hypothèses!$V$14,Hypothèses!$W$14,IF(CS74&lt;=Hypothèses!$V$15,Hypothèses!$W$15,IF(CS74&lt;=Hypothèses!$V$16,Hypothèses!$W$16,IF(CS74&lt;=Hypothèses!$V$17,Hypothèses!$W$17,IF(CS74&lt;=Hypothèses!$V$18,Hypothèses!$W$18,""))))))))))))</f>
        <v>#DIV/0!</v>
      </c>
      <c r="DN74" s="87" t="e">
        <f t="shared" ca="1" si="121"/>
        <v>#DIV/0!</v>
      </c>
      <c r="DO74" s="88" t="e">
        <f ca="1">IF(CS74&lt;=Hypothèses!$V$7,Hypothèses!$X$7,IF(CS74&lt;=Hypothèses!$V$8,Hypothèses!$X$8,IF(CS74&lt;=Hypothèses!$V$9,Hypothèses!$X$9,IF(CS74&lt;=Hypothèses!$V$10,Hypothèses!$X$10,IF(CS74&lt;=Hypothèses!$V$11,Hypothèses!$X$11,IF(CS74&lt;=Hypothèses!$V$12,Hypothèses!$X$12,IF(CS74&lt;=Hypothèses!$V$13,Hypothèses!$X$13,IF(CS74&lt;=Hypothèses!$V$14,Hypothèses!$X$14,IF(CS74&lt;=Hypothèses!$V$15,Hypothèses!$X$15,IF(CS74&lt;=Hypothèses!$V$16,Hypothèses!$X$16,IF(CS74&lt;=Hypothèses!$U$17,Hypothèses!$W$17,IF(CS74&lt;=Hypothèses!$U$18,Hypothèses!$W$18,""))))))))))))</f>
        <v>#DIV/0!</v>
      </c>
      <c r="DP74" s="95" t="e">
        <f t="shared" ca="1" si="89"/>
        <v>#DIV/0!</v>
      </c>
      <c r="DQ74" s="101" t="e">
        <f t="shared" si="128"/>
        <v>#N/A</v>
      </c>
      <c r="DR74" s="91" t="e">
        <f t="shared" si="50"/>
        <v>#N/A</v>
      </c>
      <c r="DS74" s="30" t="e">
        <f t="shared" si="110"/>
        <v>#N/A</v>
      </c>
      <c r="DT74" s="30" t="e">
        <f t="shared" si="111"/>
        <v>#N/A</v>
      </c>
      <c r="DU74" s="31" t="e">
        <f>IF(OR(Hypothèses!$B$4=17,Hypothèses!$B$4=18,Hypothèses!$B$4=19,Hypothèses!$B$4=20),
IF($D74="Pressio.",
IF(OR($E74=3,$E74=1,$E74=4),DT74,DS74),
IF($D74="Pénétro.",
IF(OR($E74=3,$E74=1,$E74=4),DT74,DS74))),IF($D74="Pressio.",
IF($E74=3,DT74,DS74),
IF($D74="Pénétro.",
IF($E74=4,DT74,DS74))))</f>
        <v>#N/A</v>
      </c>
      <c r="DV74" s="31" t="e">
        <f>(IF(OR(Hypothèses!$B$4=17,Hypothèses!$B$4=18,Hypothèses!$B$4=19,Hypothèses!$B$4=20),
IF($D74="Pressio.",
IF(OR($E74=3,$E74=1,$E74=4),(PI()*DV$12^2)/4*(DR74*$W74*1000)/($H74*$B$5),(PI()*DV$12^2)/4*(DR74*$W74*1000)/($G74*$B$5)),
IF($D74="Pénétro.",
IF(OR($E74=4,$E74=1,$E74=5),(PI()*DV$12^2)/4*(DR74*$W74*1000)/($H74*$B$5),(PI()*DV$12^2)/4*(DR74*$W74*1000)/($G74*$B$5)))),
IF($D74="Pressio.",
IF($E74=3,(PI()*DV$12^2)/4*(DR74*$W74*1000)/($H74*$B$5),(PI()*DV$12^2)/4*(DR74*$W74*1000)/($G74*$B$5)),
IF($D74="Pénétro.",
IF($E74=4,(PI()*DV$12^2)/4*(DR74*$W74*1000)/($H74*$B$5),(PI()*DV$12^2)/4*(DR74*$W74*1000)/($G74*$B$5))))))/10</f>
        <v>#N/A</v>
      </c>
      <c r="DW74" s="102" t="e">
        <f>(VLOOKUP($B$3,'Coeff EC7'!$T$39:$X$59,2,0)*DU74+VLOOKUP($B$3,'Coeff EC7'!$T$65:$X$85,2,0)*Model0.1C!DV74)/1.1</f>
        <v>#N/A</v>
      </c>
      <c r="DX74" s="102" t="e">
        <f>(VLOOKUP($B$3,'Coeff EC7'!$T$39:$X$59,3,0)*DU74+VLOOKUP($B$3,'Coeff EC7'!$T$65:$X$85,3,0)*Model0.1C!DV74)/0.9</f>
        <v>#N/A</v>
      </c>
      <c r="DY74" s="102" t="e">
        <f t="shared" si="90"/>
        <v>#N/A</v>
      </c>
      <c r="DZ74" s="102" t="e">
        <f t="shared" si="91"/>
        <v>#N/A</v>
      </c>
      <c r="EA74" s="414" t="e">
        <f>IF(EA73=0,0,IF(AND(DW74&gt;charge_ELS_quasi,DX74&gt;Charge_ELS_freq,DY74&gt;charge_ELU,DZ74&gt;charge_ELA,$B74&gt;NDC!$H$22-0.1+MIN(3*$EA$12,1.5)),0,1))</f>
        <v>#N/A</v>
      </c>
      <c r="EB74" s="86" t="b">
        <f t="shared" si="53"/>
        <v>0</v>
      </c>
      <c r="EC74" s="418">
        <f t="shared" si="54"/>
        <v>0.51</v>
      </c>
      <c r="ED74" s="86">
        <f t="shared" si="55"/>
        <v>0.51</v>
      </c>
      <c r="EE74" s="30" t="e">
        <f t="shared" ca="1" si="92"/>
        <v>#DIV/0!</v>
      </c>
      <c r="EF74" s="85" t="e">
        <f ca="1">IF(DL74&lt;=Hypothèses!$V$7,Hypothèses!$W$7,IF(DL74&lt;=Hypothèses!$V$8,Hypothèses!$W$8,IF(DL74&lt;=Hypothèses!$V$9,Hypothèses!$W$9,IF(DL74&lt;=Hypothèses!$V$10,Hypothèses!$W$10,IF(DL74&lt;=Hypothèses!$V$11,Hypothèses!$W$11,IF(DL74&lt;=Hypothèses!$V$12,Hypothèses!$W$12,IF(DL74&lt;=Hypothèses!$V$13,Hypothèses!$W$13,IF(DL74&lt;=Hypothèses!$V$14,Hypothèses!$W$14,IF(DL74&lt;=Hypothèses!$V$15,Hypothèses!$W$15,IF(DL74&lt;=Hypothèses!$V$16,Hypothèses!$W$16,IF(DL74&lt;=Hypothèses!$V$17,Hypothèses!$W$17,IF(DL74&lt;=Hypothèses!$V$18,Hypothèses!$W$18,""))))))))))))</f>
        <v>#DIV/0!</v>
      </c>
      <c r="EG74" s="87" t="e">
        <f t="shared" ca="1" si="122"/>
        <v>#DIV/0!</v>
      </c>
      <c r="EH74" s="88" t="e">
        <f ca="1">IF(DL74&lt;=Hypothèses!$V$7,Hypothèses!$X$7,IF(DL74&lt;=Hypothèses!$V$8,Hypothèses!$X$8,IF(DL74&lt;=Hypothèses!$V$9,Hypothèses!$X$9,IF(DL74&lt;=Hypothèses!$V$10,Hypothèses!$X$10,IF(DL74&lt;=Hypothèses!$V$11,Hypothèses!$X$11,IF(DL74&lt;=Hypothèses!$V$12,Hypothèses!$X$12,IF(DL74&lt;=Hypothèses!$V$13,Hypothèses!$X$13,IF(DL74&lt;=Hypothèses!$V$14,Hypothèses!$X$14,IF(DL74&lt;=Hypothèses!$V$15,Hypothèses!$X$15,IF(DL74&lt;=Hypothèses!$V$16,Hypothèses!$X$16,IF(DL74&lt;=Hypothèses!$U$17,Hypothèses!$W$17,IF(DL74&lt;=Hypothèses!$U$18,Hypothèses!$W$18,""))))))))))))</f>
        <v>#DIV/0!</v>
      </c>
      <c r="EI74" s="95" t="e">
        <f t="shared" ca="1" si="93"/>
        <v>#DIV/0!</v>
      </c>
      <c r="EJ74" s="101" t="e">
        <f t="shared" si="129"/>
        <v>#N/A</v>
      </c>
      <c r="EK74" s="91" t="e">
        <f t="shared" si="57"/>
        <v>#N/A</v>
      </c>
      <c r="EL74" s="30" t="e">
        <f t="shared" si="112"/>
        <v>#N/A</v>
      </c>
      <c r="EM74" s="30" t="e">
        <f t="shared" si="113"/>
        <v>#N/A</v>
      </c>
      <c r="EN74" s="31" t="e">
        <f>IF(OR(Hypothèses!$B$4=17,Hypothèses!$B$4=18,Hypothèses!$B$4=19,Hypothèses!$B$4=20),
IF($D74="Pressio.",
IF(OR($E74=3,$E74=1,$E74=4),EM74,EL74),
IF($D74="Pénétro.",
IF(OR($E74=3,$E74=1,$E74=4),EM74,EL74))),IF($D74="Pressio.",
IF($E74=3,EM74,EL74),
IF($D74="Pénétro.",
IF($E74=4,EM74,EL74))))</f>
        <v>#N/A</v>
      </c>
      <c r="EO74" s="31" t="e">
        <f>(IF(OR(Hypothèses!$B$4=17,Hypothèses!$B$4=18,Hypothèses!$B$4=19,Hypothèses!$B$4=20),
IF($D74="Pressio.",
IF(OR($E74=3,$E74=1,$E74=4),(PI()*EO$12^2)/4*(EK74*$W74*1000)/($H74*$B$5),(PI()*EO$12^2)/4*(EK74*$W74*1000)/($G74*$B$5)),
IF($D74="Pénétro.",
IF(OR($E74=4,$E74=1,$E74=5),(PI()*EO$12^2)/4*(EK74*$W74*1000)/($H74*$B$5),(PI()*EO$12^2)/4*(EK74*$W74*1000)/($G74*$B$5)))),
IF($D74="Pressio.",
IF($E74=3,(PI()*EO$12^2)/4*(EK74*$W74*1000)/($H74*$B$5),(PI()*EO$12^2)/4*(EK74*$W74*1000)/($G74*$B$5)),
IF($D74="Pénétro.",
IF($E74=4,(PI()*EO$12^2)/4*(EK74*$W74*1000)/($H74*$B$5),(PI()*EO$12^2)/4*(EK74*$W74*1000)/($G74*$B$5))))))/10</f>
        <v>#N/A</v>
      </c>
      <c r="EP74" s="102" t="e">
        <f>(VLOOKUP($B$3,'Coeff EC7'!$T$39:$X$59,2,0)*EN74+VLOOKUP($B$3,'Coeff EC7'!$T$65:$X$85,2,0)*Model0.1C!EO74)/1.1</f>
        <v>#N/A</v>
      </c>
      <c r="EQ74" s="102" t="e">
        <f>(VLOOKUP($B$3,'Coeff EC7'!$T$39:$X$59,3,0)*EN74+VLOOKUP($B$3,'Coeff EC7'!$T$65:$X$85,3,0)*Model0.1C!EO74)/0.9</f>
        <v>#N/A</v>
      </c>
      <c r="ER74" s="102" t="e">
        <f t="shared" si="94"/>
        <v>#N/A</v>
      </c>
      <c r="ES74" s="102" t="e">
        <f t="shared" si="95"/>
        <v>#N/A</v>
      </c>
      <c r="ET74" s="414" t="e">
        <f>IF(ET73=0,0,IF(AND(EP74&gt;charge_ELS_quasi,EQ74&gt;Charge_ELS_freq,ER74&gt;charge_ELU,ES74&gt;charge_ELA,$B74&gt;NDC!$H$22-0.1+MIN(3*$ET$12,1.5)),0,1))</f>
        <v>#N/A</v>
      </c>
      <c r="EU74" s="86" t="b">
        <f t="shared" si="60"/>
        <v>0</v>
      </c>
      <c r="EV74" s="86">
        <f t="shared" si="61"/>
        <v>0.61</v>
      </c>
      <c r="EW74" s="86">
        <f t="shared" si="62"/>
        <v>0.61</v>
      </c>
      <c r="EX74" s="30" t="e">
        <f t="shared" ca="1" si="96"/>
        <v>#DIV/0!</v>
      </c>
      <c r="EY74" s="85" t="e">
        <f ca="1">IF(EE74&lt;=Hypothèses!$V$7,Hypothèses!$W$7,IF(EE74&lt;=Hypothèses!$V$8,Hypothèses!$W$8,IF(EE74&lt;=Hypothèses!$V$9,Hypothèses!$W$9,IF(EE74&lt;=Hypothèses!$V$10,Hypothèses!$W$10,IF(EE74&lt;=Hypothèses!$V$11,Hypothèses!$W$11,IF(EE74&lt;=Hypothèses!$V$12,Hypothèses!$W$12,IF(EE74&lt;=Hypothèses!$V$13,Hypothèses!$W$13,IF(EE74&lt;=Hypothèses!$V$14,Hypothèses!$W$14,IF(EE74&lt;=Hypothèses!$V$15,Hypothèses!$W$15,IF(EE74&lt;=Hypothèses!$V$16,Hypothèses!$W$16,IF(EE74&lt;=Hypothèses!$V$17,Hypothèses!$W$17,IF(EE74&lt;=Hypothèses!$V$18,Hypothèses!$W$18,""))))))))))))</f>
        <v>#DIV/0!</v>
      </c>
      <c r="EZ74" s="87" t="e">
        <f t="shared" ca="1" si="123"/>
        <v>#DIV/0!</v>
      </c>
      <c r="FA74" s="88" t="e">
        <f ca="1">IF(EE74&lt;=Hypothèses!$V$7,Hypothèses!$X$7,IF(EE74&lt;=Hypothèses!$V$8,Hypothèses!$X$8,IF(EE74&lt;=Hypothèses!$V$9,Hypothèses!$X$9,IF(EE74&lt;=Hypothèses!$V$10,Hypothèses!$X$10,IF(EE74&lt;=Hypothèses!$V$11,Hypothèses!$X$11,IF(EE74&lt;=Hypothèses!$V$12,Hypothèses!$X$12,IF(EE74&lt;=Hypothèses!$V$13,Hypothèses!$X$13,IF(EE74&lt;=Hypothèses!$V$14,Hypothèses!$X$14,IF(EE74&lt;=Hypothèses!$V$15,Hypothèses!$X$15,IF(EE74&lt;=Hypothèses!$V$16,Hypothèses!$X$16,IF(EE74&lt;=Hypothèses!$U$17,Hypothèses!$W$17,IF(EE74&lt;=Hypothèses!$U$18,Hypothèses!$W$18,""))))))))))))</f>
        <v>#DIV/0!</v>
      </c>
      <c r="FB74" s="95" t="e">
        <f t="shared" ca="1" si="97"/>
        <v>#DIV/0!</v>
      </c>
      <c r="FC74" s="101" t="e">
        <f t="shared" si="130"/>
        <v>#N/A</v>
      </c>
      <c r="FD74" s="91" t="e">
        <f t="shared" si="64"/>
        <v>#N/A</v>
      </c>
      <c r="FE74" s="30" t="e">
        <f t="shared" si="114"/>
        <v>#N/A</v>
      </c>
      <c r="FF74" s="30" t="e">
        <f t="shared" si="115"/>
        <v>#N/A</v>
      </c>
      <c r="FG74" s="31" t="e">
        <f>IF(OR(Hypothèses!$B$4=17,Hypothèses!$B$4=18,Hypothèses!$B$4=19,Hypothèses!$B$4=20),
IF($D74="Pressio.",
IF(OR($E74=3,$E74=1,$E74=4),FF74,FE74),
IF($D74="Pénétro.",
IF(OR($E74=3,$E74=1,$E74=4),FF74,FE74))),IF($D74="Pressio.",
IF($E74=3,FF74,FE74),
IF($D74="Pénétro.",
IF($E74=4,FF74,FE74))))</f>
        <v>#N/A</v>
      </c>
      <c r="FH74" s="31" t="e">
        <f>(IF(OR(Hypothèses!$B$4=17,Hypothèses!$B$4=18,Hypothèses!$B$4=19,Hypothèses!$B$4=20),
IF($D74="Pressio.",
IF(OR($E74=3,$E74=1,$E74=4),(PI()*FH$12^2)/4*(FD74*$W74*1000)/($H74*$B$5),(PI()*FH$12^2)/4*(FD74*$W74*1000)/($G74*$B$5)),
IF($D74="Pénétro.",
IF(OR($E74=4,$E74=1,$E74=5),(PI()*FH$12^2)/4*(FD74*$W74*1000)/($H74*$B$5),(PI()*FH$12^2)/4*(FD74*$W74*1000)/($G74*$B$5)))),
IF($D74="Pressio.",
IF($E74=3,(PI()*FH$12^2)/4*(FD74*$W74*1000)/($H74*$B$5),(PI()*FH$12^2)/4*(FD74*$W74*1000)/($G74*$B$5)),
IF($D74="Pénétro.",
IF($E74=4,(PI()*FH$12^2)/4*(FD74*$W74*1000)/($H74*$B$5),(PI()*FH$12^2)/4*(FD74*$W74*1000)/($G74*$B$5))))))/10</f>
        <v>#N/A</v>
      </c>
      <c r="FI74" s="102" t="e">
        <f>(VLOOKUP($B$3,'Coeff EC7'!$T$39:$X$59,2,0)*FG74+VLOOKUP($B$3,'Coeff EC7'!$T$65:$X$85,2,0)*Model0.1C!FH74)/1.1</f>
        <v>#N/A</v>
      </c>
      <c r="FJ74" s="102" t="e">
        <f>(VLOOKUP($B$3,'Coeff EC7'!$T$39:$X$59,3,0)*FG74+VLOOKUP($B$3,'Coeff EC7'!$T$65:$X$85,3,0)*Model0.1C!FH74)/0.9</f>
        <v>#N/A</v>
      </c>
      <c r="FK74" s="102" t="e">
        <f t="shared" si="98"/>
        <v>#N/A</v>
      </c>
      <c r="FL74" s="102" t="e">
        <f t="shared" si="99"/>
        <v>#N/A</v>
      </c>
      <c r="FM74" s="414" t="e">
        <f>IF(FM73=0,0,IF(AND(FI74&gt;charge_ELS_quasi,FJ74&gt;Charge_ELS_freq,FK74&gt;charge_ELU,FL74&gt;charge_ELA,$B74&gt;NDC!$H$22-0.1+MIN(3*$FM$12,1.5)),0,1))</f>
        <v>#N/A</v>
      </c>
    </row>
    <row r="75" spans="1:169">
      <c r="A75" s="96">
        <f t="shared" si="67"/>
        <v>93.800000000000352</v>
      </c>
      <c r="B75" s="97">
        <v>6.2</v>
      </c>
      <c r="C75" s="81">
        <f>IF(B75&lt;=Hypothèses!$C$7,Hypothèses!$A$7,IF(B75&lt;=Hypothèses!$C$8,Hypothèses!$A$8,IF(B75&lt;=Hypothèses!$C$9,Hypothèses!$A$9,IF(B75&lt;=Hypothèses!$C$10,Hypothèses!$A$10,IF(B75&lt;=Hypothèses!$C$11,Hypothèses!$A$11,IF(B75&lt;=Hypothèses!$C$12,Hypothèses!$A$12,IF(B75&lt;=Hypothèses!$C$13,Hypothèses!$A$13,IF(B75&lt;=Hypothèses!$C$14,Hypothèses!$A$14,IF(B75&lt;=Hypothèses!$C$15,Hypothèses!$A$15,IF(B75&lt;=Hypothèses!$C$16,Hypothèses!$A$16,IF(B75&lt;=Hypothèses!$C$17,Hypothèses!$A$17,IF(B75&lt;=Hypothèses!$C$18,Hypothèses!$A$18,C74))))))))))))</f>
        <v>11</v>
      </c>
      <c r="D75" s="82" t="str">
        <f>IF(B75&lt;=Hypothèses!$C$7,Hypothèses!$R$7,IF(B75&lt;=Hypothèses!$C$8,Hypothèses!$R$8,IF(B75&lt;=Hypothèses!$C$9,Hypothèses!$R$9,IF(B75&lt;=Hypothèses!$C$10,Hypothèses!$R$10,IF(B75&lt;=Hypothèses!$C$11,Hypothèses!$R$11,IF(B75&lt;=Hypothèses!$C$12,Hypothèses!$R$12,IF(B75&lt;=Hypothèses!$C$13,Hypothèses!$R$13,IF(B75&lt;=Hypothèses!$C$14,Hypothèses!$R$14,IF(B75&lt;=Hypothèses!$C$15,Hypothèses!$R$15,IF(B75&lt;=Hypothèses!$C$16,Hypothèses!$R$16,IF(B75&lt;=Hypothèses!$C$17,Hypothèses!$R$17,IF(B75&lt;=Hypothèses!$C$18,Hypothèses!$R$18,D74))))))))))))</f>
        <v>Pressio.</v>
      </c>
      <c r="E75" s="82" t="e">
        <f>IF(B75&lt;=Hypothèses!$C$7,Hypothèses!$G$7,IF(B75&lt;=Hypothèses!$C$8,Hypothèses!$G$8,IF(B75&lt;=Hypothèses!$C$9,Hypothèses!$G$9,IF(B75&lt;=Hypothèses!$C$10,Hypothèses!$G$10,IF(B75&lt;=Hypothèses!$C$11,Hypothèses!$G$11,IF(B75&lt;=Hypothèses!$C$12,Hypothèses!$G$12,IF(B75&lt;=Hypothèses!$C$13,Hypothèses!$G$13,IF(B75&lt;=Hypothèses!$C$14,Hypothèses!$G$14,IF(B75&lt;=Hypothèses!$C$15,Hypothèses!$G$15,IF(B75&lt;=Hypothèses!$C$16,Hypothèses!$G$16,IF(B75&lt;=Hypothèses!$C$17,Hypothèses!$G$17,IF(B75&lt;=Hypothèses!$C$18,Hypothèses!$G$18,E74))))))))))))</f>
        <v>#N/A</v>
      </c>
      <c r="F75" s="82" t="str">
        <f>IF(B75&lt;=Hypothèses!$C$7,Hypothèses!$F$7,IF(B75&lt;=Hypothèses!$C$8,Hypothèses!$F$8,IF(B75&lt;=Hypothèses!$C$9,Hypothèses!$F$9,IF(B75&lt;=Hypothèses!$C$10,Hypothèses!$F$10,IF(B75&lt;=Hypothèses!$C$11,Hypothèses!$F$11,IF(B75&lt;=Hypothèses!$C$12,Hypothèses!$F$12,IF(B75&lt;=Hypothèses!$C$13,Hypothèses!$F$13,IF(B75&lt;=Hypothèses!$C$14,Hypothèses!$F$14,IF(B75&lt;=Hypothèses!$C$15,Hypothèses!$F$15,IF(B75&lt;=Hypothèses!$C$16,Hypothèses!$F$16,IF(B75&lt;=Hypothèses!$C$17,Hypothèses!$F$17,IF(B75&lt;=Hypothèses!$C$18,Hypothèses!$F$18,F74))))))))))))</f>
        <v/>
      </c>
      <c r="G75" s="91">
        <f t="array" ref="G75">INDEX('Coeff EC7'!$U$7:$X$27,
MATCH(Model0.1C!$B$3,'Coeff EC7'!$T$7:$T$27,0),
MATCH(Model0.1C!$D75&amp;Model0.1C!$B$4,
'Coeff EC7'!$U$6:$X$6&amp;
'Coeff EC7'!$U$5:$X$5,0))</f>
        <v>1.1499999999999999</v>
      </c>
      <c r="H75" s="91">
        <f t="array" ref="H75">INDEX('Coeff EC7'!$Y$7:$AB$27,
MATCH(Model0.1C!$B$3,'Coeff EC7'!$T$7:$T$27,0),
MATCH(Model0.1C!$D75&amp;Model0.1C!$B$4,
'Coeff EC7'!$Y$6:$AB$6&amp;
'Coeff EC7'!$Y$5:$AB$5,0))</f>
        <v>1.4</v>
      </c>
      <c r="I75" s="83" t="e">
        <f>IF(B75&lt;=Hypothèses!$C$7,Hypothèses!$P$7,IF(B75&lt;=Hypothèses!$C$8,Hypothèses!$P$8,IF(B75&lt;=Hypothèses!$C$9,Hypothèses!$P$9,IF(B75&lt;=Hypothèses!$C$10,Hypothèses!$P$10,IF(B75&lt;=Hypothèses!$C$11,Hypothèses!$P$11,IF(B75&lt;=Hypothèses!$C$12,Hypothèses!$P$12,IF(B75&lt;=Hypothèses!$C$13,Hypothèses!$P$13,IF(B75&lt;=Hypothèses!$C$14,Hypothèses!$P$14,IF(B75&lt;=Hypothèses!$C$15,Hypothèses!$P$15,IF(B75&lt;=Hypothèses!$C$16,Hypothèses!$P$16,IF(B75&lt;=Hypothèses!$C$17,Hypothèses!$P$17,IF(B75&lt;=Hypothèses!$C$18,Hypothèses!$P$18,I74))))))))))))</f>
        <v>#N/A</v>
      </c>
      <c r="J75" s="91" t="e">
        <f t="array" ref="J75">INDEX('Coeff EC7'!$D$33:$Q$33,1,MATCH(D75&amp;E75,'Coeff EC7'!$D$31:$Q$31&amp;'Coeff EC7'!$D$32:$Q$32,0))</f>
        <v>#N/A</v>
      </c>
      <c r="K75" s="91" t="e">
        <f t="array" ref="K75">INDEX('Coeff EC7'!$D$34:$Q$34,1,MATCH(D75&amp;E75,'Coeff EC7'!$D$31:$Q$31&amp;'Coeff EC7'!$D$32:$Q$32,0))</f>
        <v>#N/A</v>
      </c>
      <c r="L75" s="91" t="e">
        <f t="array" ref="L75">INDEX('Coeff EC7'!$D$35:$Q$35,1,MATCH(D75&amp;E75,'Coeff EC7'!$D$31:$Q$31&amp;'Coeff EC7'!$D$32:$Q$32,0))</f>
        <v>#N/A</v>
      </c>
      <c r="M75" s="98" t="e">
        <f t="shared" si="8"/>
        <v>#N/A</v>
      </c>
      <c r="N75" s="99" t="e">
        <f t="array" ref="N75">INDEX('Coeff EC7'!$D$7:$Q$27,MATCH($B$3,'Coeff EC7'!$C$7:$C$27,0),MATCH(D75&amp;E75,'Coeff EC7'!$D$5:$Q$5&amp;'Coeff EC7'!$D$6:$Q$6,0))</f>
        <v>#N/A</v>
      </c>
      <c r="O75" s="99" t="e">
        <f t="array" ref="O75">INDEX('Coeff EC7'!$D$41:$Q$61,MATCH($B$3,'Coeff EC7'!$C$41:$C$61,0),MATCH(D75&amp;E75,'Coeff EC7'!$D$39:$Q$39&amp;'Coeff EC7'!$D$40:$Q$40,0))</f>
        <v>#N/A</v>
      </c>
      <c r="P75" s="30" t="e">
        <f t="shared" si="68"/>
        <v>#N/A</v>
      </c>
      <c r="Q75" s="100" t="e">
        <f t="shared" si="10"/>
        <v>#N/A</v>
      </c>
      <c r="R75" s="86" t="b">
        <f t="shared" si="11"/>
        <v>0</v>
      </c>
      <c r="S75" s="86">
        <f t="shared" si="9"/>
        <v>0.5</v>
      </c>
      <c r="T75" s="86">
        <f t="shared" si="12"/>
        <v>0.5</v>
      </c>
      <c r="U75" s="30" t="e">
        <f t="shared" ca="1" si="69"/>
        <v>#DIV/0!</v>
      </c>
      <c r="V75" s="85" t="str">
        <f>IF(B75&lt;=Hypothèses!$V$7,Hypothèses!$W$7,IF(B75&lt;=Hypothèses!$V$8,Hypothèses!$W$8,IF(B75&lt;=Hypothèses!$V$9,Hypothèses!$W$9,IF(B75&lt;=Hypothèses!$V$10,Hypothèses!$W$10,IF(B75&lt;=Hypothèses!$V$11,Hypothèses!$W$11,IF(B75&lt;=Hypothèses!$V$12,Hypothèses!$W$12,IF(B75&lt;=Hypothèses!$V$13,Hypothèses!$W$13,IF(B75&lt;=Hypothèses!$V$14,Hypothèses!$W$14,IF(B75&lt;=Hypothèses!$V$15,Hypothèses!$W$15,IF(B75&lt;=Hypothèses!$V$16,Hypothèses!$W$16,IF(B75&lt;=Hypothèses!$V$17,Hypothèses!$W$17,IF(B75&lt;=Hypothèses!$V$18,Hypothèses!$W$18,""))))))))))))</f>
        <v/>
      </c>
      <c r="W75" s="87" t="e">
        <f t="shared" ca="1" si="116"/>
        <v>#DIV/0!</v>
      </c>
      <c r="X75" s="88" t="str">
        <f>IF(B75&lt;=Hypothèses!$V$7,Hypothèses!$X$7,IF(B75&lt;=Hypothèses!$V$8,Hypothèses!$X$8,IF(B75&lt;=Hypothèses!$V$9,Hypothèses!$X$9,IF(B75&lt;=Hypothèses!$V$10,Hypothèses!$X$10,IF(B75&lt;=Hypothèses!$V$11,Hypothèses!$X$11,IF(B75&lt;=Hypothèses!$V$12,Hypothèses!$X$12,IF(B75&lt;=Hypothèses!$V$13,Hypothèses!$X$13,IF(B75&lt;=Hypothèses!$V$14,Hypothèses!$X$14,IF(B75&lt;=Hypothèses!$V$15,Hypothèses!$X$15,IF(B75&lt;=Hypothèses!$V$16,Hypothèses!$X$16,IF(B75&lt;=Hypothèses!$U$17,Hypothèses!$W$17,IF(B75&lt;=Hypothèses!$U$18,Hypothèses!$W$18,""))))))))))))</f>
        <v/>
      </c>
      <c r="Y75" s="95" t="e">
        <f t="shared" ca="1" si="13"/>
        <v>#DIV/0!</v>
      </c>
      <c r="Z75" s="101" t="e">
        <f t="shared" si="14"/>
        <v>#N/A</v>
      </c>
      <c r="AA75" s="91" t="e">
        <f t="shared" si="15"/>
        <v>#N/A</v>
      </c>
      <c r="AB75" s="30" t="e">
        <f t="shared" si="100"/>
        <v>#N/A</v>
      </c>
      <c r="AC75" s="30" t="e">
        <f t="shared" si="101"/>
        <v>#N/A</v>
      </c>
      <c r="AD75" s="31" t="e">
        <f>IF(OR(Hypothèses!$B$4=17,Hypothèses!$B$4=18,Hypothèses!$B$4=19,Hypothèses!$B$4=20),
IF($D75="Pressio.",
IF(OR($E75=3,$E75=1,$E75=4),AC75,AB75),
IF($D75="Pénétro.",
IF(OR($E75=3,$E75=1,$E75=4),AC75,AB75))),IF($D75="Pressio.",
IF($E75=3,AC75,AB75),
IF($D75="Pénétro.",
IF($E75=4,AC75,AB75))))</f>
        <v>#N/A</v>
      </c>
      <c r="AE75" s="31" t="e">
        <f>(IF(OR(Hypothèses!$B$4=17,Hypothèses!$B$4=18,Hypothèses!$B$4=19,Hypothèses!$B$4=20),
IF($D75="Pressio.",
IF(OR($E75=3,$E75=1,$E75=4),(PI()*AE$12^2)/4*(AA75*$W75*1000)/($H75*$B$5),(PI()*AE$12^2)/4*(AA75*$W75*1000)/($G75*$B$5)),
IF($D75="Pénétro.",
IF(OR($E75=4,$E75=1,$E75=5),(PI()*AE$12^2)/4*(AA75*$W75*1000)/($H75*$B$5),(PI()*AE$12^2)/4*(AA75*$W75*1000)/($G75*$B$5)))),
IF($D75="Pressio.",
IF($E75=3,(PI()*AE$12^2)/4*(AA75*$W75*1000)/($H75*$B$5),(PI()*AE$12^2)/4*(AA75*$W75*1000)/($G75*$B$5)),
IF($D75="Pénétro.",
IF($E75=4,(PI()*AE$12^2)/4*(AA75*$W75*1000)/($H75*$B$5),(PI()*AE$12^2)/4*(AA75*$W75*1000)/($G75*$B$5))))))/10</f>
        <v>#N/A</v>
      </c>
      <c r="AF75" s="102" t="e">
        <f>(VLOOKUP($B$3,'Coeff EC7'!$T$39:$X$59,2,0)*AD75+VLOOKUP($B$3,'Coeff EC7'!$T$65:$X$85,2,0)*Model0.1C!AE75)/1.1</f>
        <v>#N/A</v>
      </c>
      <c r="AG75" s="102" t="e">
        <f>(VLOOKUP($B$3,'Coeff EC7'!$T$39:$X$59,3,0)*AD75+VLOOKUP($B$3,'Coeff EC7'!$T$65:$X$85,3,0)*Model0.1C!AE75)/0.9</f>
        <v>#N/A</v>
      </c>
      <c r="AH75" s="102" t="e">
        <f t="shared" si="18"/>
        <v>#N/A</v>
      </c>
      <c r="AI75" s="102" t="e">
        <f t="shared" si="19"/>
        <v>#N/A</v>
      </c>
      <c r="AJ75" s="414" t="e">
        <f>IF(AJ74=0,0,IF(AND(AF75&gt;charge_ELS_quasi,AG75&gt;Charge_ELS_freq,AH75&gt;charge_ELU,AI75&gt;charge_ELA,$B75&gt;NDC!$H$22-0.1+MIN(3*$AJ$12,1.5)),0,1))</f>
        <v>#N/A</v>
      </c>
      <c r="AK75" s="86" t="b">
        <f t="shared" si="20"/>
        <v>0</v>
      </c>
      <c r="AL75" s="86">
        <f t="shared" si="70"/>
        <v>0.5</v>
      </c>
      <c r="AM75" s="86">
        <f t="shared" si="21"/>
        <v>0.5</v>
      </c>
      <c r="AN75" s="30" t="e">
        <f t="shared" ca="1" si="71"/>
        <v>#DIV/0!</v>
      </c>
      <c r="AO75" s="85" t="e">
        <f ca="1">IF(U75&lt;=Hypothèses!$V$7,Hypothèses!$W$7,IF(U75&lt;=Hypothèses!$V$8,Hypothèses!$W$8,IF(U75&lt;=Hypothèses!$V$9,Hypothèses!$W$9,IF(U75&lt;=Hypothèses!$V$10,Hypothèses!$W$10,IF(U75&lt;=Hypothèses!$V$11,Hypothèses!$W$11,IF(U75&lt;=Hypothèses!$V$12,Hypothèses!$W$12,IF(U75&lt;=Hypothèses!$V$13,Hypothèses!$W$13,IF(U75&lt;=Hypothèses!$V$14,Hypothèses!$W$14,IF(U75&lt;=Hypothèses!$V$15,Hypothèses!$W$15,IF(U75&lt;=Hypothèses!$V$16,Hypothèses!$W$16,IF(U75&lt;=Hypothèses!$V$17,Hypothèses!$W$17,IF(U75&lt;=Hypothèses!$V$18,Hypothèses!$W$18,""))))))))))))</f>
        <v>#DIV/0!</v>
      </c>
      <c r="AP75" s="87" t="e">
        <f t="shared" ca="1" si="117"/>
        <v>#DIV/0!</v>
      </c>
      <c r="AQ75" s="88" t="e">
        <f ca="1">IF(U75&lt;=Hypothèses!$V$7,Hypothèses!$X$7,IF(U75&lt;=Hypothèses!$V$8,Hypothèses!$X$8,IF(U75&lt;=Hypothèses!$V$9,Hypothèses!$X$9,IF(U75&lt;=Hypothèses!$V$10,Hypothèses!$X$10,IF(U75&lt;=Hypothèses!$V$11,Hypothèses!$X$11,IF(U75&lt;=Hypothèses!$V$12,Hypothèses!$X$12,IF(U75&lt;=Hypothèses!$V$13,Hypothèses!$X$13,IF(U75&lt;=Hypothèses!$V$14,Hypothèses!$X$14,IF(U75&lt;=Hypothèses!$V$15,Hypothèses!$X$15,IF(U75&lt;=Hypothèses!$V$16,Hypothèses!$X$16,IF(U75&lt;=Hypothèses!$U$17,Hypothèses!$W$17,IF(U75&lt;=Hypothèses!$U$18,Hypothèses!$W$18,""))))))))))))</f>
        <v>#DIV/0!</v>
      </c>
      <c r="AR75" s="95" t="e">
        <f t="shared" ca="1" si="72"/>
        <v>#DIV/0!</v>
      </c>
      <c r="AS75" s="101" t="e">
        <f t="shared" si="124"/>
        <v>#N/A</v>
      </c>
      <c r="AT75" s="91" t="e">
        <f t="shared" si="23"/>
        <v>#N/A</v>
      </c>
      <c r="AU75" s="30" t="e">
        <f t="shared" si="102"/>
        <v>#N/A</v>
      </c>
      <c r="AV75" s="30" t="e">
        <f t="shared" si="103"/>
        <v>#N/A</v>
      </c>
      <c r="AW75" s="31" t="e">
        <f>IF(OR(Hypothèses!$B$4=17,Hypothèses!$B$4=18,Hypothèses!$B$4=19,Hypothèses!$B$4=20),
IF($D75="Pressio.",
IF(OR($E75=3,$E75=1,$E75=4),AV75,AU75),
IF($D75="Pénétro.",
IF(OR($E75=3,$E75=1,$E75=4),AV75,AU75))),IF($D75="Pressio.",
IF($E75=3,AV75,AU75),
IF($D75="Pénétro.",
IF($E75=4,AV75,AU75))))</f>
        <v>#N/A</v>
      </c>
      <c r="AX75" s="31" t="e">
        <f>(IF(OR(Hypothèses!$B$4=17,Hypothèses!$B$4=18,Hypothèses!$B$4=19,Hypothèses!$B$4=20),
IF($D75="Pressio.",
IF(OR($E75=3,$E75=1,$E75=4),(PI()*AX$12^2)/4*(AT75*$W75*1000)/($H75*$B$5),(PI()*AX$12^2)/4*(AT75*$W75*1000)/($G75*$B$5)),
IF($D75="Pénétro.",
IF(OR($E75=4,$E75=1,$E75=5),(PI()*AX$12^2)/4*(AT75*$W75*1000)/($H75*$B$5),(PI()*AX$12^2)/4*(AT75*$W75*1000)/($G75*$B$5)))),
IF($D75="Pressio.",
IF($E75=3,(PI()*AX$12^2)/4*(AT75*$W75*1000)/($H75*$B$5),(PI()*AX$12^2)/4*(AT75*$W75*1000)/($G75*$B$5)),
IF($D75="Pénétro.",
IF($E75=4,(PI()*AX$12^2)/4*(AT75*$W75*1000)/($H75*$B$5),(PI()*AX$12^2)/4*(AT75*$W75*1000)/($G75*$B$5))))))/10</f>
        <v>#N/A</v>
      </c>
      <c r="AY75" s="102" t="e">
        <f>(VLOOKUP($B$3,'Coeff EC7'!$T$39:$X$59,2,0)*AW75+VLOOKUP($B$3,'Coeff EC7'!$T$65:$X$85,2,0)*Model0.1C!AX75)/1.1</f>
        <v>#N/A</v>
      </c>
      <c r="AZ75" s="102" t="e">
        <f>(VLOOKUP($B$3,'Coeff EC7'!$T$39:$X$59,3,0)*AW75+VLOOKUP($B$3,'Coeff EC7'!$T$65:$X$85,3,0)*Model0.1C!AX75)/0.9</f>
        <v>#N/A</v>
      </c>
      <c r="BA75" s="102" t="e">
        <f t="shared" si="73"/>
        <v>#N/A</v>
      </c>
      <c r="BB75" s="102" t="e">
        <f t="shared" si="74"/>
        <v>#N/A</v>
      </c>
      <c r="BC75" s="414" t="e">
        <f>IF(BC74=0,0,IF(AND(AY75&gt;charge_ELS_quasi,AZ75&gt;Charge_ELS_freq,BA75&gt;charge_ELU,BB75&gt;charge_ELA,$B75&gt;NDC!$H$22-0.1+MIN(3*$BC$12,1.5)),0,1))</f>
        <v>#N/A</v>
      </c>
      <c r="BD75" s="86" t="b">
        <f t="shared" si="26"/>
        <v>0</v>
      </c>
      <c r="BE75" s="86">
        <f t="shared" si="75"/>
        <v>0.5</v>
      </c>
      <c r="BF75" s="86">
        <f t="shared" si="27"/>
        <v>0.5</v>
      </c>
      <c r="BG75" s="30" t="e">
        <f t="shared" ca="1" si="76"/>
        <v>#DIV/0!</v>
      </c>
      <c r="BH75" s="85" t="e">
        <f ca="1">IF(AN75&lt;=Hypothèses!$V$7,Hypothèses!$W$7,IF(AN75&lt;=Hypothèses!$V$8,Hypothèses!$W$8,IF(AN75&lt;=Hypothèses!$V$9,Hypothèses!$W$9,IF(AN75&lt;=Hypothèses!$V$10,Hypothèses!$W$10,IF(AN75&lt;=Hypothèses!$V$11,Hypothèses!$W$11,IF(AN75&lt;=Hypothèses!$V$12,Hypothèses!$W$12,IF(AN75&lt;=Hypothèses!$V$13,Hypothèses!$W$13,IF(AN75&lt;=Hypothèses!$V$14,Hypothèses!$W$14,IF(AN75&lt;=Hypothèses!$V$15,Hypothèses!$W$15,IF(AN75&lt;=Hypothèses!$V$16,Hypothèses!$W$16,IF(AN75&lt;=Hypothèses!$V$17,Hypothèses!$W$17,IF(AN75&lt;=Hypothèses!$V$18,Hypothèses!$W$18,""))))))))))))</f>
        <v>#DIV/0!</v>
      </c>
      <c r="BI75" s="87" t="e">
        <f t="shared" ca="1" si="118"/>
        <v>#DIV/0!</v>
      </c>
      <c r="BJ75" s="88" t="e">
        <f ca="1">IF(AN75&lt;=Hypothèses!$V$7,Hypothèses!$X$7,IF(AN75&lt;=Hypothèses!$V$8,Hypothèses!$X$8,IF(AN75&lt;=Hypothèses!$V$9,Hypothèses!$X$9,IF(AN75&lt;=Hypothèses!$V$10,Hypothèses!$X$10,IF(AN75&lt;=Hypothèses!$V$11,Hypothèses!$X$11,IF(AN75&lt;=Hypothèses!$V$12,Hypothèses!$X$12,IF(AN75&lt;=Hypothèses!$V$13,Hypothèses!$X$13,IF(AN75&lt;=Hypothèses!$V$14,Hypothèses!$X$14,IF(AN75&lt;=Hypothèses!$V$15,Hypothèses!$X$15,IF(AN75&lt;=Hypothèses!$V$16,Hypothèses!$X$16,IF(AN75&lt;=Hypothèses!$U$17,Hypothèses!$W$17,IF(AN75&lt;=Hypothèses!$U$18,Hypothèses!$W$18,""))))))))))))</f>
        <v>#DIV/0!</v>
      </c>
      <c r="BK75" s="95" t="e">
        <f t="shared" ca="1" si="77"/>
        <v>#DIV/0!</v>
      </c>
      <c r="BL75" s="101" t="e">
        <f t="shared" si="125"/>
        <v>#N/A</v>
      </c>
      <c r="BM75" s="91" t="e">
        <f t="shared" si="29"/>
        <v>#N/A</v>
      </c>
      <c r="BN75" s="30" t="e">
        <f t="shared" si="104"/>
        <v>#N/A</v>
      </c>
      <c r="BO75" s="30" t="e">
        <f t="shared" si="105"/>
        <v>#N/A</v>
      </c>
      <c r="BP75" s="31" t="e">
        <f>IF(OR(Hypothèses!$B$4=17,Hypothèses!$B$4=18,Hypothèses!$B$4=19,Hypothèses!$B$4=20),
IF($D75="Pressio.",
IF(OR($E75=3,$E75=1,$E75=4),BO75,BN75),
IF($D75="Pénétro.",
IF(OR($E75=3,$E75=1,$E75=4),BO75,BN75))),IF($D75="Pressio.",
IF($E75=3,BO75,BN75),
IF($D75="Pénétro.",
IF($E75=4,BO75,BN75))))</f>
        <v>#N/A</v>
      </c>
      <c r="BQ75" s="31" t="e">
        <f>(IF(OR(Hypothèses!$B$4=17,Hypothèses!$B$4=18,Hypothèses!$B$4=19,Hypothèses!$B$4=20),
IF($D75="Pressio.",
IF(OR($E75=3,$E75=1,$E75=4),(PI()*BQ$12^2)/4*(BM75*$W75*1000)/($H75*$B$5),(PI()*BQ$12^2)/4*(BM75*$W75*1000)/($G75*$B$5)),
IF($D75="Pénétro.",
IF(OR($E75=4,$E75=1,$E75=5),(PI()*BQ$12^2)/4*(BM75*$W75*1000)/($H75*$B$5),(PI()*BQ$12^2)/4*(BM75*$W75*1000)/($G75*$B$5)))),
IF($D75="Pressio.",
IF($E75=3,(PI()*BQ$12^2)/4*(BM75*$W75*1000)/($H75*$B$5),(PI()*BQ$12^2)/4*(BM75*$W75*1000)/($G75*$B$5)),
IF($D75="Pénétro.",
IF($E75=4,(PI()*BQ$12^2)/4*(BM75*$W75*1000)/($H75*$B$5),(PI()*BQ$12^2)/4*(BM75*$W75*1000)/($G75*$B$5))))))/10</f>
        <v>#N/A</v>
      </c>
      <c r="BR75" s="102" t="e">
        <f>(VLOOKUP($B$3,'Coeff EC7'!$T$39:$X$59,2,0)*BP75+VLOOKUP($B$3,'Coeff EC7'!$T$65:$X$85,2,0)*Model0.1C!BQ75)/1.1</f>
        <v>#N/A</v>
      </c>
      <c r="BS75" s="102" t="e">
        <f>(VLOOKUP($B$3,'Coeff EC7'!$T$39:$X$59,3,0)*BP75+VLOOKUP($B$3,'Coeff EC7'!$T$65:$X$85,3,0)*Model0.1C!BQ75)/0.9</f>
        <v>#N/A</v>
      </c>
      <c r="BT75" s="102" t="e">
        <f t="shared" si="78"/>
        <v>#N/A</v>
      </c>
      <c r="BU75" s="102" t="e">
        <f t="shared" si="79"/>
        <v>#N/A</v>
      </c>
      <c r="BV75" s="414" t="e">
        <f>IF(BV74=0,0,IF(AND(BR75&gt;charge_ELS_quasi,BS75&gt;Charge_ELS_freq,BT75&gt;charge_ELU,BU75&gt;charge_ELA,$B75&gt;NDC!$H$22-0.1+MIN(3*$BV$12,1.5)),0,1))</f>
        <v>#N/A</v>
      </c>
      <c r="BW75" s="86" t="b">
        <f t="shared" si="32"/>
        <v>0</v>
      </c>
      <c r="BX75" s="86">
        <f t="shared" si="33"/>
        <v>0.5</v>
      </c>
      <c r="BY75" s="86">
        <f t="shared" si="34"/>
        <v>0.5</v>
      </c>
      <c r="BZ75" s="30" t="e">
        <f t="shared" ca="1" si="80"/>
        <v>#DIV/0!</v>
      </c>
      <c r="CA75" s="85" t="e">
        <f ca="1">IF(BG75&lt;=Hypothèses!$V$7,Hypothèses!$W$7,IF(BG75&lt;=Hypothèses!$V$8,Hypothèses!$W$8,IF(BG75&lt;=Hypothèses!$V$9,Hypothèses!$W$9,IF(BG75&lt;=Hypothèses!$V$10,Hypothèses!$W$10,IF(BG75&lt;=Hypothèses!$V$11,Hypothèses!$W$11,IF(BG75&lt;=Hypothèses!$V$12,Hypothèses!$W$12,IF(BG75&lt;=Hypothèses!$V$13,Hypothèses!$W$13,IF(BG75&lt;=Hypothèses!$V$14,Hypothèses!$W$14,IF(BG75&lt;=Hypothèses!$V$15,Hypothèses!$W$15,IF(BG75&lt;=Hypothèses!$V$16,Hypothèses!$W$16,IF(BG75&lt;=Hypothèses!$V$17,Hypothèses!$W$17,IF(BG75&lt;=Hypothèses!$V$18,Hypothèses!$W$18,""))))))))))))</f>
        <v>#DIV/0!</v>
      </c>
      <c r="CB75" s="87" t="e">
        <f t="shared" ca="1" si="119"/>
        <v>#DIV/0!</v>
      </c>
      <c r="CC75" s="88" t="e">
        <f ca="1">IF(BG75&lt;=Hypothèses!$V$7,Hypothèses!$X$7,IF(BG75&lt;=Hypothèses!$V$8,Hypothèses!$X$8,IF(BG75&lt;=Hypothèses!$V$9,Hypothèses!$X$9,IF(BG75&lt;=Hypothèses!$V$10,Hypothèses!$X$10,IF(BG75&lt;=Hypothèses!$V$11,Hypothèses!$X$11,IF(BG75&lt;=Hypothèses!$V$12,Hypothèses!$X$12,IF(BG75&lt;=Hypothèses!$V$13,Hypothèses!$X$13,IF(BG75&lt;=Hypothèses!$V$14,Hypothèses!$X$14,IF(BG75&lt;=Hypothèses!$V$15,Hypothèses!$X$15,IF(BG75&lt;=Hypothèses!$V$16,Hypothèses!$X$16,IF(BG75&lt;=Hypothèses!$U$17,Hypothèses!$W$17,IF(BG75&lt;=Hypothèses!$U$18,Hypothèses!$W$18,""))))))))))))</f>
        <v>#DIV/0!</v>
      </c>
      <c r="CD75" s="95" t="e">
        <f t="shared" ca="1" si="81"/>
        <v>#DIV/0!</v>
      </c>
      <c r="CE75" s="101" t="e">
        <f t="shared" si="126"/>
        <v>#N/A</v>
      </c>
      <c r="CF75" s="91" t="e">
        <f t="shared" si="36"/>
        <v>#N/A</v>
      </c>
      <c r="CG75" s="30" t="e">
        <f t="shared" si="106"/>
        <v>#N/A</v>
      </c>
      <c r="CH75" s="30" t="e">
        <f t="shared" si="107"/>
        <v>#N/A</v>
      </c>
      <c r="CI75" s="31" t="e">
        <f>IF(OR(Hypothèses!$B$4=17,Hypothèses!$B$4=18,Hypothèses!$B$4=19,Hypothèses!$B$4=20),
IF($D75="Pressio.",
IF(OR($E75=3,$E75=1,$E75=4),CH75,CG75),
IF($D75="Pénétro.",
IF(OR($E75=3,$E75=1,$E75=4),CH75,CG75))),IF($D75="Pressio.",
IF($E75=3,CH75,CG75),
IF($D75="Pénétro.",
IF($E75=4,CH75,CG75))))</f>
        <v>#N/A</v>
      </c>
      <c r="CJ75" s="31" t="e">
        <f>(IF(OR(Hypothèses!$B$4=17,Hypothèses!$B$4=18,Hypothèses!$B$4=19,Hypothèses!$B$4=20),
IF($D75="Pressio.",
IF(OR($E75=3,$E75=1,$E75=4),(PI()*CJ$12^2)/4*(CF75*$W75*1000)/($H75*$B$5),(PI()*CJ$12^2)/4*(CF75*$W75*1000)/($G75*$B$5)),
IF($D75="Pénétro.",
IF(OR($E75=4,$E75=1,$E75=5),(PI()*CJ$12^2)/4*(CF75*$W75*1000)/($H75*$B$5),(PI()*CJ$12^2)/4*(CF75*$W75*1000)/($G75*$B$5)))),
IF($D75="Pressio.",
IF($E75=3,(PI()*CJ$12^2)/4*(CF75*$W75*1000)/($H75*$B$5),(PI()*CJ$12^2)/4*(CF75*$W75*1000)/($G75*$B$5)),
IF($D75="Pénétro.",
IF($E75=4,(PI()*CJ$12^2)/4*(CF75*$W75*1000)/($H75*$B$5),(PI()*CJ$12^2)/4*(CF75*$W75*1000)/($G75*$B$5))))))/10</f>
        <v>#N/A</v>
      </c>
      <c r="CK75" s="102" t="e">
        <f>(VLOOKUP($B$3,'Coeff EC7'!$T$39:$X$59,2,0)*CI75+VLOOKUP($B$3,'Coeff EC7'!$T$65:$X$85,2,0)*Model0.1C!CJ75)/1.1</f>
        <v>#N/A</v>
      </c>
      <c r="CL75" s="102" t="e">
        <f>(VLOOKUP($B$3,'Coeff EC7'!$T$39:$X$59,3,0)*CI75+VLOOKUP($B$3,'Coeff EC7'!$T$65:$X$85,3,0)*Model0.1C!CJ75)/0.9</f>
        <v>#N/A</v>
      </c>
      <c r="CM75" s="102" t="e">
        <f t="shared" si="82"/>
        <v>#N/A</v>
      </c>
      <c r="CN75" s="102" t="e">
        <f t="shared" si="83"/>
        <v>#N/A</v>
      </c>
      <c r="CO75" s="414" t="e">
        <f>IF(CO74=0,0,IF(AND(CK75&gt;charge_ELS_quasi,CL75&gt;Charge_ELS_freq,CM75&gt;charge_ELU,CN75&gt;charge_ELA,$B75&gt;NDC!$H$22-0.1+MIN(3*$CO$12,1.5)),0,1))</f>
        <v>#N/A</v>
      </c>
      <c r="CP75" s="86" t="b">
        <f t="shared" si="39"/>
        <v>0</v>
      </c>
      <c r="CQ75" s="86">
        <f t="shared" si="40"/>
        <v>0.5</v>
      </c>
      <c r="CR75" s="86">
        <f t="shared" si="41"/>
        <v>0.5</v>
      </c>
      <c r="CS75" s="30" t="e">
        <f t="shared" ca="1" si="84"/>
        <v>#DIV/0!</v>
      </c>
      <c r="CT75" s="85" t="e">
        <f ca="1">IF(BZ75&lt;=Hypothèses!$V$7,Hypothèses!$W$7,IF(BZ75&lt;=Hypothèses!$V$8,Hypothèses!$W$8,IF(BZ75&lt;=Hypothèses!$V$9,Hypothèses!$W$9,IF(BZ75&lt;=Hypothèses!$V$10,Hypothèses!$W$10,IF(BZ75&lt;=Hypothèses!$V$11,Hypothèses!$W$11,IF(BZ75&lt;=Hypothèses!$V$12,Hypothèses!$W$12,IF(BZ75&lt;=Hypothèses!$V$13,Hypothèses!$W$13,IF(BZ75&lt;=Hypothèses!$V$14,Hypothèses!$W$14,IF(BZ75&lt;=Hypothèses!$V$15,Hypothèses!$W$15,IF(BZ75&lt;=Hypothèses!$V$16,Hypothèses!$W$16,IF(BZ75&lt;=Hypothèses!$V$17,Hypothèses!$W$17,IF(BZ75&lt;=Hypothèses!$V$18,Hypothèses!$W$18,""))))))))))))</f>
        <v>#DIV/0!</v>
      </c>
      <c r="CU75" s="87" t="e">
        <f t="shared" ca="1" si="120"/>
        <v>#DIV/0!</v>
      </c>
      <c r="CV75" s="88" t="e">
        <f ca="1">IF(BZ75&lt;=Hypothèses!$V$7,Hypothèses!$X$7,IF(BZ75&lt;=Hypothèses!$V$8,Hypothèses!$X$8,IF(BZ75&lt;=Hypothèses!$V$9,Hypothèses!$X$9,IF(BZ75&lt;=Hypothèses!$V$10,Hypothèses!$X$10,IF(BZ75&lt;=Hypothèses!$V$11,Hypothèses!$X$11,IF(BZ75&lt;=Hypothèses!$V$12,Hypothèses!$X$12,IF(BZ75&lt;=Hypothèses!$V$13,Hypothèses!$X$13,IF(BZ75&lt;=Hypothèses!$V$14,Hypothèses!$X$14,IF(BZ75&lt;=Hypothèses!$V$15,Hypothèses!$X$15,IF(BZ75&lt;=Hypothèses!$V$16,Hypothèses!$X$16,IF(BZ75&lt;=Hypothèses!$U$17,Hypothèses!$W$17,IF(BZ75&lt;=Hypothèses!$U$18,Hypothèses!$W$18,""))))))))))))</f>
        <v>#DIV/0!</v>
      </c>
      <c r="CW75" s="95" t="e">
        <f t="shared" ca="1" si="85"/>
        <v>#DIV/0!</v>
      </c>
      <c r="CX75" s="101" t="e">
        <f t="shared" si="127"/>
        <v>#N/A</v>
      </c>
      <c r="CY75" s="91" t="e">
        <f t="shared" si="43"/>
        <v>#N/A</v>
      </c>
      <c r="CZ75" s="30" t="e">
        <f t="shared" si="108"/>
        <v>#N/A</v>
      </c>
      <c r="DA75" s="30" t="e">
        <f t="shared" si="109"/>
        <v>#N/A</v>
      </c>
      <c r="DB75" s="31" t="e">
        <f>IF(OR(Hypothèses!$B$4=17,Hypothèses!$B$4=18,Hypothèses!$B$4=19,Hypothèses!$B$4=20),
IF($D75="Pressio.",
IF(OR($E75=3,$E75=1,$E75=4),DA75,CZ75),
IF($D75="Pénétro.",
IF(OR($E75=3,$E75=1,$E75=4),DA75,CZ75))),IF($D75="Pressio.",
IF($E75=3,DA75,CZ75),
IF($D75="Pénétro.",
IF($E75=4,DA75,CZ75))))</f>
        <v>#N/A</v>
      </c>
      <c r="DC75" s="31" t="e">
        <f>(IF(OR(Hypothèses!$B$4=17,Hypothèses!$B$4=18,Hypothèses!$B$4=19,Hypothèses!$B$4=20),
IF($D75="Pressio.",
IF(OR($E75=3,$E75=1,$E75=4),(PI()*DC$12^2)/4*(CY75*$W75*1000)/($H75*$B$5),(PI()*DC$12^2)/4*(CY75*$W75*1000)/($G75*$B$5)),
IF($D75="Pénétro.",
IF(OR($E75=4,$E75=1,$E75=5),(PI()*DC$12^2)/4*(CY75*$W75*1000)/($H75*$B$5),(PI()*DC$12^2)/4*(CY75*$W75*1000)/($G75*$B$5)))),
IF($D75="Pressio.",
IF($E75=3,(PI()*DC$12^2)/4*(CY75*$W75*1000)/($H75*$B$5),(PI()*DC$12^2)/4*(CY75*$W75*1000)/($G75*$B$5)),
IF($D75="Pénétro.",
IF($E75=4,(PI()*DC$12^2)/4*(CY75*$W75*1000)/($H75*$B$5),(PI()*DC$12^2)/4*(CY75*$W75*1000)/($G75*$B$5))))))/10</f>
        <v>#N/A</v>
      </c>
      <c r="DD75" s="102" t="e">
        <f>(VLOOKUP($B$3,'Coeff EC7'!$T$39:$X$59,2,0)*DB75+VLOOKUP($B$3,'Coeff EC7'!$T$65:$X$85,2,0)*Model0.1C!DC75)/1.1</f>
        <v>#N/A</v>
      </c>
      <c r="DE75" s="102" t="e">
        <f>(VLOOKUP($B$3,'Coeff EC7'!$T$39:$X$59,3,0)*DB75+VLOOKUP($B$3,'Coeff EC7'!$T$65:$X$85,3,0)*Model0.1C!DC75)/0.9</f>
        <v>#N/A</v>
      </c>
      <c r="DF75" s="102" t="e">
        <f t="shared" si="86"/>
        <v>#N/A</v>
      </c>
      <c r="DG75" s="102" t="e">
        <f t="shared" si="87"/>
        <v>#N/A</v>
      </c>
      <c r="DH75" s="414" t="e">
        <f>IF(DH74=0,0,IF(AND(DD75&gt;charge_ELS_quasi,DE75&gt;Charge_ELS_freq,DF75&gt;charge_ELU,DG75&gt;charge_ELA,$B75&gt;NDC!$H$22-0.1+MIN(3*$DH$12,1.5)),0,1))</f>
        <v>#N/A</v>
      </c>
      <c r="DI75" s="86" t="b">
        <f t="shared" si="46"/>
        <v>0</v>
      </c>
      <c r="DJ75" s="86">
        <f t="shared" si="47"/>
        <v>0.5</v>
      </c>
      <c r="DK75" s="86">
        <f t="shared" si="48"/>
        <v>0.5</v>
      </c>
      <c r="DL75" s="30" t="e">
        <f t="shared" ca="1" si="88"/>
        <v>#DIV/0!</v>
      </c>
      <c r="DM75" s="85" t="e">
        <f ca="1">IF(CS75&lt;=Hypothèses!$V$7,Hypothèses!$W$7,IF(CS75&lt;=Hypothèses!$V$8,Hypothèses!$W$8,IF(CS75&lt;=Hypothèses!$V$9,Hypothèses!$W$9,IF(CS75&lt;=Hypothèses!$V$10,Hypothèses!$W$10,IF(CS75&lt;=Hypothèses!$V$11,Hypothèses!$W$11,IF(CS75&lt;=Hypothèses!$V$12,Hypothèses!$W$12,IF(CS75&lt;=Hypothèses!$V$13,Hypothèses!$W$13,IF(CS75&lt;=Hypothèses!$V$14,Hypothèses!$W$14,IF(CS75&lt;=Hypothèses!$V$15,Hypothèses!$W$15,IF(CS75&lt;=Hypothèses!$V$16,Hypothèses!$W$16,IF(CS75&lt;=Hypothèses!$V$17,Hypothèses!$W$17,IF(CS75&lt;=Hypothèses!$V$18,Hypothèses!$W$18,""))))))))))))</f>
        <v>#DIV/0!</v>
      </c>
      <c r="DN75" s="87" t="e">
        <f t="shared" ca="1" si="121"/>
        <v>#DIV/0!</v>
      </c>
      <c r="DO75" s="88" t="e">
        <f ca="1">IF(CS75&lt;=Hypothèses!$V$7,Hypothèses!$X$7,IF(CS75&lt;=Hypothèses!$V$8,Hypothèses!$X$8,IF(CS75&lt;=Hypothèses!$V$9,Hypothèses!$X$9,IF(CS75&lt;=Hypothèses!$V$10,Hypothèses!$X$10,IF(CS75&lt;=Hypothèses!$V$11,Hypothèses!$X$11,IF(CS75&lt;=Hypothèses!$V$12,Hypothèses!$X$12,IF(CS75&lt;=Hypothèses!$V$13,Hypothèses!$X$13,IF(CS75&lt;=Hypothèses!$V$14,Hypothèses!$X$14,IF(CS75&lt;=Hypothèses!$V$15,Hypothèses!$X$15,IF(CS75&lt;=Hypothèses!$V$16,Hypothèses!$X$16,IF(CS75&lt;=Hypothèses!$U$17,Hypothèses!$W$17,IF(CS75&lt;=Hypothèses!$U$18,Hypothèses!$W$18,""))))))))))))</f>
        <v>#DIV/0!</v>
      </c>
      <c r="DP75" s="95" t="e">
        <f t="shared" ca="1" si="89"/>
        <v>#DIV/0!</v>
      </c>
      <c r="DQ75" s="101" t="e">
        <f t="shared" si="128"/>
        <v>#N/A</v>
      </c>
      <c r="DR75" s="91" t="e">
        <f t="shared" si="50"/>
        <v>#N/A</v>
      </c>
      <c r="DS75" s="30" t="e">
        <f t="shared" si="110"/>
        <v>#N/A</v>
      </c>
      <c r="DT75" s="30" t="e">
        <f t="shared" si="111"/>
        <v>#N/A</v>
      </c>
      <c r="DU75" s="31" t="e">
        <f>IF(OR(Hypothèses!$B$4=17,Hypothèses!$B$4=18,Hypothèses!$B$4=19,Hypothèses!$B$4=20),
IF($D75="Pressio.",
IF(OR($E75=3,$E75=1,$E75=4),DT75,DS75),
IF($D75="Pénétro.",
IF(OR($E75=3,$E75=1,$E75=4),DT75,DS75))),IF($D75="Pressio.",
IF($E75=3,DT75,DS75),
IF($D75="Pénétro.",
IF($E75=4,DT75,DS75))))</f>
        <v>#N/A</v>
      </c>
      <c r="DV75" s="31" t="e">
        <f>(IF(OR(Hypothèses!$B$4=17,Hypothèses!$B$4=18,Hypothèses!$B$4=19,Hypothèses!$B$4=20),
IF($D75="Pressio.",
IF(OR($E75=3,$E75=1,$E75=4),(PI()*DV$12^2)/4*(DR75*$W75*1000)/($H75*$B$5),(PI()*DV$12^2)/4*(DR75*$W75*1000)/($G75*$B$5)),
IF($D75="Pénétro.",
IF(OR($E75=4,$E75=1,$E75=5),(PI()*DV$12^2)/4*(DR75*$W75*1000)/($H75*$B$5),(PI()*DV$12^2)/4*(DR75*$W75*1000)/($G75*$B$5)))),
IF($D75="Pressio.",
IF($E75=3,(PI()*DV$12^2)/4*(DR75*$W75*1000)/($H75*$B$5),(PI()*DV$12^2)/4*(DR75*$W75*1000)/($G75*$B$5)),
IF($D75="Pénétro.",
IF($E75=4,(PI()*DV$12^2)/4*(DR75*$W75*1000)/($H75*$B$5),(PI()*DV$12^2)/4*(DR75*$W75*1000)/($G75*$B$5))))))/10</f>
        <v>#N/A</v>
      </c>
      <c r="DW75" s="102" t="e">
        <f>(VLOOKUP($B$3,'Coeff EC7'!$T$39:$X$59,2,0)*DU75+VLOOKUP($B$3,'Coeff EC7'!$T$65:$X$85,2,0)*Model0.1C!DV75)/1.1</f>
        <v>#N/A</v>
      </c>
      <c r="DX75" s="102" t="e">
        <f>(VLOOKUP($B$3,'Coeff EC7'!$T$39:$X$59,3,0)*DU75+VLOOKUP($B$3,'Coeff EC7'!$T$65:$X$85,3,0)*Model0.1C!DV75)/0.9</f>
        <v>#N/A</v>
      </c>
      <c r="DY75" s="102" t="e">
        <f t="shared" si="90"/>
        <v>#N/A</v>
      </c>
      <c r="DZ75" s="102" t="e">
        <f t="shared" si="91"/>
        <v>#N/A</v>
      </c>
      <c r="EA75" s="414" t="e">
        <f>IF(EA74=0,0,IF(AND(DW75&gt;charge_ELS_quasi,DX75&gt;Charge_ELS_freq,DY75&gt;charge_ELU,DZ75&gt;charge_ELA,$B75&gt;NDC!$H$22-0.1+MIN(3*$EA$12,1.5)),0,1))</f>
        <v>#N/A</v>
      </c>
      <c r="EB75" s="86" t="b">
        <f t="shared" si="53"/>
        <v>0</v>
      </c>
      <c r="EC75" s="418">
        <f t="shared" si="54"/>
        <v>0.51</v>
      </c>
      <c r="ED75" s="86">
        <f t="shared" si="55"/>
        <v>0.51</v>
      </c>
      <c r="EE75" s="30" t="e">
        <f t="shared" ca="1" si="92"/>
        <v>#DIV/0!</v>
      </c>
      <c r="EF75" s="85" t="e">
        <f ca="1">IF(DL75&lt;=Hypothèses!$V$7,Hypothèses!$W$7,IF(DL75&lt;=Hypothèses!$V$8,Hypothèses!$W$8,IF(DL75&lt;=Hypothèses!$V$9,Hypothèses!$W$9,IF(DL75&lt;=Hypothèses!$V$10,Hypothèses!$W$10,IF(DL75&lt;=Hypothèses!$V$11,Hypothèses!$W$11,IF(DL75&lt;=Hypothèses!$V$12,Hypothèses!$W$12,IF(DL75&lt;=Hypothèses!$V$13,Hypothèses!$W$13,IF(DL75&lt;=Hypothèses!$V$14,Hypothèses!$W$14,IF(DL75&lt;=Hypothèses!$V$15,Hypothèses!$W$15,IF(DL75&lt;=Hypothèses!$V$16,Hypothèses!$W$16,IF(DL75&lt;=Hypothèses!$V$17,Hypothèses!$W$17,IF(DL75&lt;=Hypothèses!$V$18,Hypothèses!$W$18,""))))))))))))</f>
        <v>#DIV/0!</v>
      </c>
      <c r="EG75" s="87" t="e">
        <f t="shared" ca="1" si="122"/>
        <v>#DIV/0!</v>
      </c>
      <c r="EH75" s="88" t="e">
        <f ca="1">IF(DL75&lt;=Hypothèses!$V$7,Hypothèses!$X$7,IF(DL75&lt;=Hypothèses!$V$8,Hypothèses!$X$8,IF(DL75&lt;=Hypothèses!$V$9,Hypothèses!$X$9,IF(DL75&lt;=Hypothèses!$V$10,Hypothèses!$X$10,IF(DL75&lt;=Hypothèses!$V$11,Hypothèses!$X$11,IF(DL75&lt;=Hypothèses!$V$12,Hypothèses!$X$12,IF(DL75&lt;=Hypothèses!$V$13,Hypothèses!$X$13,IF(DL75&lt;=Hypothèses!$V$14,Hypothèses!$X$14,IF(DL75&lt;=Hypothèses!$V$15,Hypothèses!$X$15,IF(DL75&lt;=Hypothèses!$V$16,Hypothèses!$X$16,IF(DL75&lt;=Hypothèses!$U$17,Hypothèses!$W$17,IF(DL75&lt;=Hypothèses!$U$18,Hypothèses!$W$18,""))))))))))))</f>
        <v>#DIV/0!</v>
      </c>
      <c r="EI75" s="95" t="e">
        <f t="shared" ca="1" si="93"/>
        <v>#DIV/0!</v>
      </c>
      <c r="EJ75" s="101" t="e">
        <f t="shared" si="129"/>
        <v>#N/A</v>
      </c>
      <c r="EK75" s="91" t="e">
        <f t="shared" si="57"/>
        <v>#N/A</v>
      </c>
      <c r="EL75" s="30" t="e">
        <f t="shared" si="112"/>
        <v>#N/A</v>
      </c>
      <c r="EM75" s="30" t="e">
        <f t="shared" si="113"/>
        <v>#N/A</v>
      </c>
      <c r="EN75" s="31" t="e">
        <f>IF(OR(Hypothèses!$B$4=17,Hypothèses!$B$4=18,Hypothèses!$B$4=19,Hypothèses!$B$4=20),
IF($D75="Pressio.",
IF(OR($E75=3,$E75=1,$E75=4),EM75,EL75),
IF($D75="Pénétro.",
IF(OR($E75=3,$E75=1,$E75=4),EM75,EL75))),IF($D75="Pressio.",
IF($E75=3,EM75,EL75),
IF($D75="Pénétro.",
IF($E75=4,EM75,EL75))))</f>
        <v>#N/A</v>
      </c>
      <c r="EO75" s="31" t="e">
        <f>(IF(OR(Hypothèses!$B$4=17,Hypothèses!$B$4=18,Hypothèses!$B$4=19,Hypothèses!$B$4=20),
IF($D75="Pressio.",
IF(OR($E75=3,$E75=1,$E75=4),(PI()*EO$12^2)/4*(EK75*$W75*1000)/($H75*$B$5),(PI()*EO$12^2)/4*(EK75*$W75*1000)/($G75*$B$5)),
IF($D75="Pénétro.",
IF(OR($E75=4,$E75=1,$E75=5),(PI()*EO$12^2)/4*(EK75*$W75*1000)/($H75*$B$5),(PI()*EO$12^2)/4*(EK75*$W75*1000)/($G75*$B$5)))),
IF($D75="Pressio.",
IF($E75=3,(PI()*EO$12^2)/4*(EK75*$W75*1000)/($H75*$B$5),(PI()*EO$12^2)/4*(EK75*$W75*1000)/($G75*$B$5)),
IF($D75="Pénétro.",
IF($E75=4,(PI()*EO$12^2)/4*(EK75*$W75*1000)/($H75*$B$5),(PI()*EO$12^2)/4*(EK75*$W75*1000)/($G75*$B$5))))))/10</f>
        <v>#N/A</v>
      </c>
      <c r="EP75" s="102" t="e">
        <f>(VLOOKUP($B$3,'Coeff EC7'!$T$39:$X$59,2,0)*EN75+VLOOKUP($B$3,'Coeff EC7'!$T$65:$X$85,2,0)*Model0.1C!EO75)/1.1</f>
        <v>#N/A</v>
      </c>
      <c r="EQ75" s="102" t="e">
        <f>(VLOOKUP($B$3,'Coeff EC7'!$T$39:$X$59,3,0)*EN75+VLOOKUP($B$3,'Coeff EC7'!$T$65:$X$85,3,0)*Model0.1C!EO75)/0.9</f>
        <v>#N/A</v>
      </c>
      <c r="ER75" s="102" t="e">
        <f t="shared" si="94"/>
        <v>#N/A</v>
      </c>
      <c r="ES75" s="102" t="e">
        <f t="shared" si="95"/>
        <v>#N/A</v>
      </c>
      <c r="ET75" s="414" t="e">
        <f>IF(ET74=0,0,IF(AND(EP75&gt;charge_ELS_quasi,EQ75&gt;Charge_ELS_freq,ER75&gt;charge_ELU,ES75&gt;charge_ELA,$B75&gt;NDC!$H$22-0.1+MIN(3*$ET$12,1.5)),0,1))</f>
        <v>#N/A</v>
      </c>
      <c r="EU75" s="86" t="b">
        <f t="shared" si="60"/>
        <v>0</v>
      </c>
      <c r="EV75" s="86">
        <f t="shared" si="61"/>
        <v>0.61</v>
      </c>
      <c r="EW75" s="86">
        <f t="shared" si="62"/>
        <v>0.61</v>
      </c>
      <c r="EX75" s="30" t="e">
        <f t="shared" ca="1" si="96"/>
        <v>#DIV/0!</v>
      </c>
      <c r="EY75" s="85" t="e">
        <f ca="1">IF(EE75&lt;=Hypothèses!$V$7,Hypothèses!$W$7,IF(EE75&lt;=Hypothèses!$V$8,Hypothèses!$W$8,IF(EE75&lt;=Hypothèses!$V$9,Hypothèses!$W$9,IF(EE75&lt;=Hypothèses!$V$10,Hypothèses!$W$10,IF(EE75&lt;=Hypothèses!$V$11,Hypothèses!$W$11,IF(EE75&lt;=Hypothèses!$V$12,Hypothèses!$W$12,IF(EE75&lt;=Hypothèses!$V$13,Hypothèses!$W$13,IF(EE75&lt;=Hypothèses!$V$14,Hypothèses!$W$14,IF(EE75&lt;=Hypothèses!$V$15,Hypothèses!$W$15,IF(EE75&lt;=Hypothèses!$V$16,Hypothèses!$W$16,IF(EE75&lt;=Hypothèses!$V$17,Hypothèses!$W$17,IF(EE75&lt;=Hypothèses!$V$18,Hypothèses!$W$18,""))))))))))))</f>
        <v>#DIV/0!</v>
      </c>
      <c r="EZ75" s="87" t="e">
        <f t="shared" ca="1" si="123"/>
        <v>#DIV/0!</v>
      </c>
      <c r="FA75" s="88" t="e">
        <f ca="1">IF(EE75&lt;=Hypothèses!$V$7,Hypothèses!$X$7,IF(EE75&lt;=Hypothèses!$V$8,Hypothèses!$X$8,IF(EE75&lt;=Hypothèses!$V$9,Hypothèses!$X$9,IF(EE75&lt;=Hypothèses!$V$10,Hypothèses!$X$10,IF(EE75&lt;=Hypothèses!$V$11,Hypothèses!$X$11,IF(EE75&lt;=Hypothèses!$V$12,Hypothèses!$X$12,IF(EE75&lt;=Hypothèses!$V$13,Hypothèses!$X$13,IF(EE75&lt;=Hypothèses!$V$14,Hypothèses!$X$14,IF(EE75&lt;=Hypothèses!$V$15,Hypothèses!$X$15,IF(EE75&lt;=Hypothèses!$V$16,Hypothèses!$X$16,IF(EE75&lt;=Hypothèses!$U$17,Hypothèses!$W$17,IF(EE75&lt;=Hypothèses!$U$18,Hypothèses!$W$18,""))))))))))))</f>
        <v>#DIV/0!</v>
      </c>
      <c r="FB75" s="95" t="e">
        <f t="shared" ca="1" si="97"/>
        <v>#DIV/0!</v>
      </c>
      <c r="FC75" s="101" t="e">
        <f t="shared" si="130"/>
        <v>#N/A</v>
      </c>
      <c r="FD75" s="91" t="e">
        <f t="shared" si="64"/>
        <v>#N/A</v>
      </c>
      <c r="FE75" s="30" t="e">
        <f t="shared" si="114"/>
        <v>#N/A</v>
      </c>
      <c r="FF75" s="30" t="e">
        <f t="shared" si="115"/>
        <v>#N/A</v>
      </c>
      <c r="FG75" s="31" t="e">
        <f>IF(OR(Hypothèses!$B$4=17,Hypothèses!$B$4=18,Hypothèses!$B$4=19,Hypothèses!$B$4=20),
IF($D75="Pressio.",
IF(OR($E75=3,$E75=1,$E75=4),FF75,FE75),
IF($D75="Pénétro.",
IF(OR($E75=3,$E75=1,$E75=4),FF75,FE75))),IF($D75="Pressio.",
IF($E75=3,FF75,FE75),
IF($D75="Pénétro.",
IF($E75=4,FF75,FE75))))</f>
        <v>#N/A</v>
      </c>
      <c r="FH75" s="31" t="e">
        <f>(IF(OR(Hypothèses!$B$4=17,Hypothèses!$B$4=18,Hypothèses!$B$4=19,Hypothèses!$B$4=20),
IF($D75="Pressio.",
IF(OR($E75=3,$E75=1,$E75=4),(PI()*FH$12^2)/4*(FD75*$W75*1000)/($H75*$B$5),(PI()*FH$12^2)/4*(FD75*$W75*1000)/($G75*$B$5)),
IF($D75="Pénétro.",
IF(OR($E75=4,$E75=1,$E75=5),(PI()*FH$12^2)/4*(FD75*$W75*1000)/($H75*$B$5),(PI()*FH$12^2)/4*(FD75*$W75*1000)/($G75*$B$5)))),
IF($D75="Pressio.",
IF($E75=3,(PI()*FH$12^2)/4*(FD75*$W75*1000)/($H75*$B$5),(PI()*FH$12^2)/4*(FD75*$W75*1000)/($G75*$B$5)),
IF($D75="Pénétro.",
IF($E75=4,(PI()*FH$12^2)/4*(FD75*$W75*1000)/($H75*$B$5),(PI()*FH$12^2)/4*(FD75*$W75*1000)/($G75*$B$5))))))/10</f>
        <v>#N/A</v>
      </c>
      <c r="FI75" s="102" t="e">
        <f>(VLOOKUP($B$3,'Coeff EC7'!$T$39:$X$59,2,0)*FG75+VLOOKUP($B$3,'Coeff EC7'!$T$65:$X$85,2,0)*Model0.1C!FH75)/1.1</f>
        <v>#N/A</v>
      </c>
      <c r="FJ75" s="102" t="e">
        <f>(VLOOKUP($B$3,'Coeff EC7'!$T$39:$X$59,3,0)*FG75+VLOOKUP($B$3,'Coeff EC7'!$T$65:$X$85,3,0)*Model0.1C!FH75)/0.9</f>
        <v>#N/A</v>
      </c>
      <c r="FK75" s="102" t="e">
        <f t="shared" si="98"/>
        <v>#N/A</v>
      </c>
      <c r="FL75" s="102" t="e">
        <f t="shared" si="99"/>
        <v>#N/A</v>
      </c>
      <c r="FM75" s="414" t="e">
        <f>IF(FM74=0,0,IF(AND(FI75&gt;charge_ELS_quasi,FJ75&gt;Charge_ELS_freq,FK75&gt;charge_ELU,FL75&gt;charge_ELA,$B75&gt;NDC!$H$22-0.1+MIN(3*$FM$12,1.5)),0,1))</f>
        <v>#N/A</v>
      </c>
    </row>
    <row r="76" spans="1:169">
      <c r="A76" s="96">
        <f t="shared" si="67"/>
        <v>93.700000000000358</v>
      </c>
      <c r="B76" s="97">
        <v>6.3</v>
      </c>
      <c r="C76" s="81">
        <f>IF(B76&lt;=Hypothèses!$C$7,Hypothèses!$A$7,IF(B76&lt;=Hypothèses!$C$8,Hypothèses!$A$8,IF(B76&lt;=Hypothèses!$C$9,Hypothèses!$A$9,IF(B76&lt;=Hypothèses!$C$10,Hypothèses!$A$10,IF(B76&lt;=Hypothèses!$C$11,Hypothèses!$A$11,IF(B76&lt;=Hypothèses!$C$12,Hypothèses!$A$12,IF(B76&lt;=Hypothèses!$C$13,Hypothèses!$A$13,IF(B76&lt;=Hypothèses!$C$14,Hypothèses!$A$14,IF(B76&lt;=Hypothèses!$C$15,Hypothèses!$A$15,IF(B76&lt;=Hypothèses!$C$16,Hypothèses!$A$16,IF(B76&lt;=Hypothèses!$C$17,Hypothèses!$A$17,IF(B76&lt;=Hypothèses!$C$18,Hypothèses!$A$18,C75))))))))))))</f>
        <v>11</v>
      </c>
      <c r="D76" s="82" t="str">
        <f>IF(B76&lt;=Hypothèses!$C$7,Hypothèses!$R$7,IF(B76&lt;=Hypothèses!$C$8,Hypothèses!$R$8,IF(B76&lt;=Hypothèses!$C$9,Hypothèses!$R$9,IF(B76&lt;=Hypothèses!$C$10,Hypothèses!$R$10,IF(B76&lt;=Hypothèses!$C$11,Hypothèses!$R$11,IF(B76&lt;=Hypothèses!$C$12,Hypothèses!$R$12,IF(B76&lt;=Hypothèses!$C$13,Hypothèses!$R$13,IF(B76&lt;=Hypothèses!$C$14,Hypothèses!$R$14,IF(B76&lt;=Hypothèses!$C$15,Hypothèses!$R$15,IF(B76&lt;=Hypothèses!$C$16,Hypothèses!$R$16,IF(B76&lt;=Hypothèses!$C$17,Hypothèses!$R$17,IF(B76&lt;=Hypothèses!$C$18,Hypothèses!$R$18,D75))))))))))))</f>
        <v>Pressio.</v>
      </c>
      <c r="E76" s="82" t="e">
        <f>IF(B76&lt;=Hypothèses!$C$7,Hypothèses!$G$7,IF(B76&lt;=Hypothèses!$C$8,Hypothèses!$G$8,IF(B76&lt;=Hypothèses!$C$9,Hypothèses!$G$9,IF(B76&lt;=Hypothèses!$C$10,Hypothèses!$G$10,IF(B76&lt;=Hypothèses!$C$11,Hypothèses!$G$11,IF(B76&lt;=Hypothèses!$C$12,Hypothèses!$G$12,IF(B76&lt;=Hypothèses!$C$13,Hypothèses!$G$13,IF(B76&lt;=Hypothèses!$C$14,Hypothèses!$G$14,IF(B76&lt;=Hypothèses!$C$15,Hypothèses!$G$15,IF(B76&lt;=Hypothèses!$C$16,Hypothèses!$G$16,IF(B76&lt;=Hypothèses!$C$17,Hypothèses!$G$17,IF(B76&lt;=Hypothèses!$C$18,Hypothèses!$G$18,E75))))))))))))</f>
        <v>#N/A</v>
      </c>
      <c r="F76" s="82" t="str">
        <f>IF(B76&lt;=Hypothèses!$C$7,Hypothèses!$F$7,IF(B76&lt;=Hypothèses!$C$8,Hypothèses!$F$8,IF(B76&lt;=Hypothèses!$C$9,Hypothèses!$F$9,IF(B76&lt;=Hypothèses!$C$10,Hypothèses!$F$10,IF(B76&lt;=Hypothèses!$C$11,Hypothèses!$F$11,IF(B76&lt;=Hypothèses!$C$12,Hypothèses!$F$12,IF(B76&lt;=Hypothèses!$C$13,Hypothèses!$F$13,IF(B76&lt;=Hypothèses!$C$14,Hypothèses!$F$14,IF(B76&lt;=Hypothèses!$C$15,Hypothèses!$F$15,IF(B76&lt;=Hypothèses!$C$16,Hypothèses!$F$16,IF(B76&lt;=Hypothèses!$C$17,Hypothèses!$F$17,IF(B76&lt;=Hypothèses!$C$18,Hypothèses!$F$18,F75))))))))))))</f>
        <v/>
      </c>
      <c r="G76" s="91">
        <f t="array" ref="G76">INDEX('Coeff EC7'!$U$7:$X$27,
MATCH(Model0.1C!$B$3,'Coeff EC7'!$T$7:$T$27,0),
MATCH(Model0.1C!$D76&amp;Model0.1C!$B$4,
'Coeff EC7'!$U$6:$X$6&amp;
'Coeff EC7'!$U$5:$X$5,0))</f>
        <v>1.1499999999999999</v>
      </c>
      <c r="H76" s="91">
        <f t="array" ref="H76">INDEX('Coeff EC7'!$Y$7:$AB$27,
MATCH(Model0.1C!$B$3,'Coeff EC7'!$T$7:$T$27,0),
MATCH(Model0.1C!$D76&amp;Model0.1C!$B$4,
'Coeff EC7'!$Y$6:$AB$6&amp;
'Coeff EC7'!$Y$5:$AB$5,0))</f>
        <v>1.4</v>
      </c>
      <c r="I76" s="83" t="e">
        <f>IF(B76&lt;=Hypothèses!$C$7,Hypothèses!$P$7,IF(B76&lt;=Hypothèses!$C$8,Hypothèses!$P$8,IF(B76&lt;=Hypothèses!$C$9,Hypothèses!$P$9,IF(B76&lt;=Hypothèses!$C$10,Hypothèses!$P$10,IF(B76&lt;=Hypothèses!$C$11,Hypothèses!$P$11,IF(B76&lt;=Hypothèses!$C$12,Hypothèses!$P$12,IF(B76&lt;=Hypothèses!$C$13,Hypothèses!$P$13,IF(B76&lt;=Hypothèses!$C$14,Hypothèses!$P$14,IF(B76&lt;=Hypothèses!$C$15,Hypothèses!$P$15,IF(B76&lt;=Hypothèses!$C$16,Hypothèses!$P$16,IF(B76&lt;=Hypothèses!$C$17,Hypothèses!$P$17,IF(B76&lt;=Hypothèses!$C$18,Hypothèses!$P$18,I75))))))))))))</f>
        <v>#N/A</v>
      </c>
      <c r="J76" s="91" t="e">
        <f t="array" ref="J76">INDEX('Coeff EC7'!$D$33:$Q$33,1,MATCH(D76&amp;E76,'Coeff EC7'!$D$31:$Q$31&amp;'Coeff EC7'!$D$32:$Q$32,0))</f>
        <v>#N/A</v>
      </c>
      <c r="K76" s="91" t="e">
        <f t="array" ref="K76">INDEX('Coeff EC7'!$D$34:$Q$34,1,MATCH(D76&amp;E76,'Coeff EC7'!$D$31:$Q$31&amp;'Coeff EC7'!$D$32:$Q$32,0))</f>
        <v>#N/A</v>
      </c>
      <c r="L76" s="91" t="e">
        <f t="array" ref="L76">INDEX('Coeff EC7'!$D$35:$Q$35,1,MATCH(D76&amp;E76,'Coeff EC7'!$D$31:$Q$31&amp;'Coeff EC7'!$D$32:$Q$32,0))</f>
        <v>#N/A</v>
      </c>
      <c r="M76" s="98" t="e">
        <f t="shared" si="8"/>
        <v>#N/A</v>
      </c>
      <c r="N76" s="99" t="e">
        <f t="array" ref="N76">INDEX('Coeff EC7'!$D$7:$Q$27,MATCH($B$3,'Coeff EC7'!$C$7:$C$27,0),MATCH(D76&amp;E76,'Coeff EC7'!$D$5:$Q$5&amp;'Coeff EC7'!$D$6:$Q$6,0))</f>
        <v>#N/A</v>
      </c>
      <c r="O76" s="99" t="e">
        <f t="array" ref="O76">INDEX('Coeff EC7'!$D$41:$Q$61,MATCH($B$3,'Coeff EC7'!$C$41:$C$61,0),MATCH(D76&amp;E76,'Coeff EC7'!$D$39:$Q$39&amp;'Coeff EC7'!$D$40:$Q$40,0))</f>
        <v>#N/A</v>
      </c>
      <c r="P76" s="30" t="e">
        <f t="shared" si="68"/>
        <v>#N/A</v>
      </c>
      <c r="Q76" s="100" t="e">
        <f t="shared" si="10"/>
        <v>#N/A</v>
      </c>
      <c r="R76" s="86" t="b">
        <f t="shared" si="11"/>
        <v>0</v>
      </c>
      <c r="S76" s="86">
        <f t="shared" si="9"/>
        <v>0.5</v>
      </c>
      <c r="T76" s="86">
        <f t="shared" si="12"/>
        <v>0.5</v>
      </c>
      <c r="U76" s="30" t="e">
        <f t="shared" ca="1" si="69"/>
        <v>#DIV/0!</v>
      </c>
      <c r="V76" s="85" t="str">
        <f>IF(B76&lt;=Hypothèses!$V$7,Hypothèses!$W$7,IF(B76&lt;=Hypothèses!$V$8,Hypothèses!$W$8,IF(B76&lt;=Hypothèses!$V$9,Hypothèses!$W$9,IF(B76&lt;=Hypothèses!$V$10,Hypothèses!$W$10,IF(B76&lt;=Hypothèses!$V$11,Hypothèses!$W$11,IF(B76&lt;=Hypothèses!$V$12,Hypothèses!$W$12,IF(B76&lt;=Hypothèses!$V$13,Hypothèses!$W$13,IF(B76&lt;=Hypothèses!$V$14,Hypothèses!$W$14,IF(B76&lt;=Hypothèses!$V$15,Hypothèses!$W$15,IF(B76&lt;=Hypothèses!$V$16,Hypothèses!$W$16,IF(B76&lt;=Hypothèses!$V$17,Hypothèses!$W$17,IF(B76&lt;=Hypothèses!$V$18,Hypothèses!$W$18,""))))))))))))</f>
        <v/>
      </c>
      <c r="W76" s="87" t="e">
        <f t="shared" ca="1" si="116"/>
        <v>#DIV/0!</v>
      </c>
      <c r="X76" s="88" t="str">
        <f>IF(B76&lt;=Hypothèses!$V$7,Hypothèses!$X$7,IF(B76&lt;=Hypothèses!$V$8,Hypothèses!$X$8,IF(B76&lt;=Hypothèses!$V$9,Hypothèses!$X$9,IF(B76&lt;=Hypothèses!$V$10,Hypothèses!$X$10,IF(B76&lt;=Hypothèses!$V$11,Hypothèses!$X$11,IF(B76&lt;=Hypothèses!$V$12,Hypothèses!$X$12,IF(B76&lt;=Hypothèses!$V$13,Hypothèses!$X$13,IF(B76&lt;=Hypothèses!$V$14,Hypothèses!$X$14,IF(B76&lt;=Hypothèses!$V$15,Hypothèses!$X$15,IF(B76&lt;=Hypothèses!$V$16,Hypothèses!$X$16,IF(B76&lt;=Hypothèses!$U$17,Hypothèses!$W$17,IF(B76&lt;=Hypothèses!$U$18,Hypothèses!$W$18,""))))))))))))</f>
        <v/>
      </c>
      <c r="Y76" s="95" t="e">
        <f t="shared" ca="1" si="13"/>
        <v>#DIV/0!</v>
      </c>
      <c r="Z76" s="101" t="e">
        <f t="shared" si="14"/>
        <v>#N/A</v>
      </c>
      <c r="AA76" s="91" t="e">
        <f t="shared" si="15"/>
        <v>#N/A</v>
      </c>
      <c r="AB76" s="30" t="e">
        <f t="shared" si="100"/>
        <v>#N/A</v>
      </c>
      <c r="AC76" s="30" t="e">
        <f t="shared" si="101"/>
        <v>#N/A</v>
      </c>
      <c r="AD76" s="31" t="e">
        <f>IF(OR(Hypothèses!$B$4=17,Hypothèses!$B$4=18,Hypothèses!$B$4=19,Hypothèses!$B$4=20),
IF($D76="Pressio.",
IF(OR($E76=3,$E76=1,$E76=4),AC76,AB76),
IF($D76="Pénétro.",
IF(OR($E76=3,$E76=1,$E76=4),AC76,AB76))),IF($D76="Pressio.",
IF($E76=3,AC76,AB76),
IF($D76="Pénétro.",
IF($E76=4,AC76,AB76))))</f>
        <v>#N/A</v>
      </c>
      <c r="AE76" s="31" t="e">
        <f>(IF(OR(Hypothèses!$B$4=17,Hypothèses!$B$4=18,Hypothèses!$B$4=19,Hypothèses!$B$4=20),
IF($D76="Pressio.",
IF(OR($E76=3,$E76=1,$E76=4),(PI()*AE$12^2)/4*(AA76*$W76*1000)/($H76*$B$5),(PI()*AE$12^2)/4*(AA76*$W76*1000)/($G76*$B$5)),
IF($D76="Pénétro.",
IF(OR($E76=4,$E76=1,$E76=5),(PI()*AE$12^2)/4*(AA76*$W76*1000)/($H76*$B$5),(PI()*AE$12^2)/4*(AA76*$W76*1000)/($G76*$B$5)))),
IF($D76="Pressio.",
IF($E76=3,(PI()*AE$12^2)/4*(AA76*$W76*1000)/($H76*$B$5),(PI()*AE$12^2)/4*(AA76*$W76*1000)/($G76*$B$5)),
IF($D76="Pénétro.",
IF($E76=4,(PI()*AE$12^2)/4*(AA76*$W76*1000)/($H76*$B$5),(PI()*AE$12^2)/4*(AA76*$W76*1000)/($G76*$B$5))))))/10</f>
        <v>#N/A</v>
      </c>
      <c r="AF76" s="102" t="e">
        <f>(VLOOKUP($B$3,'Coeff EC7'!$T$39:$X$59,2,0)*AD76+VLOOKUP($B$3,'Coeff EC7'!$T$65:$X$85,2,0)*Model0.1C!AE76)/1.1</f>
        <v>#N/A</v>
      </c>
      <c r="AG76" s="102" t="e">
        <f>(VLOOKUP($B$3,'Coeff EC7'!$T$39:$X$59,3,0)*AD76+VLOOKUP($B$3,'Coeff EC7'!$T$65:$X$85,3,0)*Model0.1C!AE76)/0.9</f>
        <v>#N/A</v>
      </c>
      <c r="AH76" s="102" t="e">
        <f t="shared" si="18"/>
        <v>#N/A</v>
      </c>
      <c r="AI76" s="102" t="e">
        <f t="shared" si="19"/>
        <v>#N/A</v>
      </c>
      <c r="AJ76" s="414" t="e">
        <f>IF(AJ75=0,0,IF(AND(AF76&gt;charge_ELS_quasi,AG76&gt;Charge_ELS_freq,AH76&gt;charge_ELU,AI76&gt;charge_ELA,$B76&gt;NDC!$H$22-0.1+MIN(3*$AJ$12,1.5)),0,1))</f>
        <v>#N/A</v>
      </c>
      <c r="AK76" s="86" t="b">
        <f t="shared" si="20"/>
        <v>0</v>
      </c>
      <c r="AL76" s="86">
        <f t="shared" si="70"/>
        <v>0.5</v>
      </c>
      <c r="AM76" s="86">
        <f t="shared" si="21"/>
        <v>0.5</v>
      </c>
      <c r="AN76" s="30" t="e">
        <f t="shared" ca="1" si="71"/>
        <v>#DIV/0!</v>
      </c>
      <c r="AO76" s="85" t="e">
        <f ca="1">IF(U76&lt;=Hypothèses!$V$7,Hypothèses!$W$7,IF(U76&lt;=Hypothèses!$V$8,Hypothèses!$W$8,IF(U76&lt;=Hypothèses!$V$9,Hypothèses!$W$9,IF(U76&lt;=Hypothèses!$V$10,Hypothèses!$W$10,IF(U76&lt;=Hypothèses!$V$11,Hypothèses!$W$11,IF(U76&lt;=Hypothèses!$V$12,Hypothèses!$W$12,IF(U76&lt;=Hypothèses!$V$13,Hypothèses!$W$13,IF(U76&lt;=Hypothèses!$V$14,Hypothèses!$W$14,IF(U76&lt;=Hypothèses!$V$15,Hypothèses!$W$15,IF(U76&lt;=Hypothèses!$V$16,Hypothèses!$W$16,IF(U76&lt;=Hypothèses!$V$17,Hypothèses!$W$17,IF(U76&lt;=Hypothèses!$V$18,Hypothèses!$W$18,""))))))))))))</f>
        <v>#DIV/0!</v>
      </c>
      <c r="AP76" s="87" t="e">
        <f t="shared" ca="1" si="117"/>
        <v>#DIV/0!</v>
      </c>
      <c r="AQ76" s="88" t="e">
        <f ca="1">IF(U76&lt;=Hypothèses!$V$7,Hypothèses!$X$7,IF(U76&lt;=Hypothèses!$V$8,Hypothèses!$X$8,IF(U76&lt;=Hypothèses!$V$9,Hypothèses!$X$9,IF(U76&lt;=Hypothèses!$V$10,Hypothèses!$X$10,IF(U76&lt;=Hypothèses!$V$11,Hypothèses!$X$11,IF(U76&lt;=Hypothèses!$V$12,Hypothèses!$X$12,IF(U76&lt;=Hypothèses!$V$13,Hypothèses!$X$13,IF(U76&lt;=Hypothèses!$V$14,Hypothèses!$X$14,IF(U76&lt;=Hypothèses!$V$15,Hypothèses!$X$15,IF(U76&lt;=Hypothèses!$V$16,Hypothèses!$X$16,IF(U76&lt;=Hypothèses!$U$17,Hypothèses!$W$17,IF(U76&lt;=Hypothèses!$U$18,Hypothèses!$W$18,""))))))))))))</f>
        <v>#DIV/0!</v>
      </c>
      <c r="AR76" s="95" t="e">
        <f t="shared" ca="1" si="72"/>
        <v>#DIV/0!</v>
      </c>
      <c r="AS76" s="101" t="e">
        <f t="shared" si="124"/>
        <v>#N/A</v>
      </c>
      <c r="AT76" s="91" t="e">
        <f t="shared" si="23"/>
        <v>#N/A</v>
      </c>
      <c r="AU76" s="30" t="e">
        <f t="shared" si="102"/>
        <v>#N/A</v>
      </c>
      <c r="AV76" s="30" t="e">
        <f t="shared" si="103"/>
        <v>#N/A</v>
      </c>
      <c r="AW76" s="31" t="e">
        <f>IF(OR(Hypothèses!$B$4=17,Hypothèses!$B$4=18,Hypothèses!$B$4=19,Hypothèses!$B$4=20),
IF($D76="Pressio.",
IF(OR($E76=3,$E76=1,$E76=4),AV76,AU76),
IF($D76="Pénétro.",
IF(OR($E76=3,$E76=1,$E76=4),AV76,AU76))),IF($D76="Pressio.",
IF($E76=3,AV76,AU76),
IF($D76="Pénétro.",
IF($E76=4,AV76,AU76))))</f>
        <v>#N/A</v>
      </c>
      <c r="AX76" s="31" t="e">
        <f>(IF(OR(Hypothèses!$B$4=17,Hypothèses!$B$4=18,Hypothèses!$B$4=19,Hypothèses!$B$4=20),
IF($D76="Pressio.",
IF(OR($E76=3,$E76=1,$E76=4),(PI()*AX$12^2)/4*(AT76*$W76*1000)/($H76*$B$5),(PI()*AX$12^2)/4*(AT76*$W76*1000)/($G76*$B$5)),
IF($D76="Pénétro.",
IF(OR($E76=4,$E76=1,$E76=5),(PI()*AX$12^2)/4*(AT76*$W76*1000)/($H76*$B$5),(PI()*AX$12^2)/4*(AT76*$W76*1000)/($G76*$B$5)))),
IF($D76="Pressio.",
IF($E76=3,(PI()*AX$12^2)/4*(AT76*$W76*1000)/($H76*$B$5),(PI()*AX$12^2)/4*(AT76*$W76*1000)/($G76*$B$5)),
IF($D76="Pénétro.",
IF($E76=4,(PI()*AX$12^2)/4*(AT76*$W76*1000)/($H76*$B$5),(PI()*AX$12^2)/4*(AT76*$W76*1000)/($G76*$B$5))))))/10</f>
        <v>#N/A</v>
      </c>
      <c r="AY76" s="102" t="e">
        <f>(VLOOKUP($B$3,'Coeff EC7'!$T$39:$X$59,2,0)*AW76+VLOOKUP($B$3,'Coeff EC7'!$T$65:$X$85,2,0)*Model0.1C!AX76)/1.1</f>
        <v>#N/A</v>
      </c>
      <c r="AZ76" s="102" t="e">
        <f>(VLOOKUP($B$3,'Coeff EC7'!$T$39:$X$59,3,0)*AW76+VLOOKUP($B$3,'Coeff EC7'!$T$65:$X$85,3,0)*Model0.1C!AX76)/0.9</f>
        <v>#N/A</v>
      </c>
      <c r="BA76" s="102" t="e">
        <f t="shared" si="73"/>
        <v>#N/A</v>
      </c>
      <c r="BB76" s="102" t="e">
        <f t="shared" si="74"/>
        <v>#N/A</v>
      </c>
      <c r="BC76" s="414" t="e">
        <f>IF(BC75=0,0,IF(AND(AY76&gt;charge_ELS_quasi,AZ76&gt;Charge_ELS_freq,BA76&gt;charge_ELU,BB76&gt;charge_ELA,$B76&gt;NDC!$H$22-0.1+MIN(3*$BC$12,1.5)),0,1))</f>
        <v>#N/A</v>
      </c>
      <c r="BD76" s="86" t="b">
        <f t="shared" si="26"/>
        <v>0</v>
      </c>
      <c r="BE76" s="86">
        <f t="shared" si="75"/>
        <v>0.5</v>
      </c>
      <c r="BF76" s="86">
        <f t="shared" si="27"/>
        <v>0.5</v>
      </c>
      <c r="BG76" s="30" t="e">
        <f t="shared" ca="1" si="76"/>
        <v>#DIV/0!</v>
      </c>
      <c r="BH76" s="85" t="e">
        <f ca="1">IF(AN76&lt;=Hypothèses!$V$7,Hypothèses!$W$7,IF(AN76&lt;=Hypothèses!$V$8,Hypothèses!$W$8,IF(AN76&lt;=Hypothèses!$V$9,Hypothèses!$W$9,IF(AN76&lt;=Hypothèses!$V$10,Hypothèses!$W$10,IF(AN76&lt;=Hypothèses!$V$11,Hypothèses!$W$11,IF(AN76&lt;=Hypothèses!$V$12,Hypothèses!$W$12,IF(AN76&lt;=Hypothèses!$V$13,Hypothèses!$W$13,IF(AN76&lt;=Hypothèses!$V$14,Hypothèses!$W$14,IF(AN76&lt;=Hypothèses!$V$15,Hypothèses!$W$15,IF(AN76&lt;=Hypothèses!$V$16,Hypothèses!$W$16,IF(AN76&lt;=Hypothèses!$V$17,Hypothèses!$W$17,IF(AN76&lt;=Hypothèses!$V$18,Hypothèses!$W$18,""))))))))))))</f>
        <v>#DIV/0!</v>
      </c>
      <c r="BI76" s="87" t="e">
        <f t="shared" ca="1" si="118"/>
        <v>#DIV/0!</v>
      </c>
      <c r="BJ76" s="88" t="e">
        <f ca="1">IF(AN76&lt;=Hypothèses!$V$7,Hypothèses!$X$7,IF(AN76&lt;=Hypothèses!$V$8,Hypothèses!$X$8,IF(AN76&lt;=Hypothèses!$V$9,Hypothèses!$X$9,IF(AN76&lt;=Hypothèses!$V$10,Hypothèses!$X$10,IF(AN76&lt;=Hypothèses!$V$11,Hypothèses!$X$11,IF(AN76&lt;=Hypothèses!$V$12,Hypothèses!$X$12,IF(AN76&lt;=Hypothèses!$V$13,Hypothèses!$X$13,IF(AN76&lt;=Hypothèses!$V$14,Hypothèses!$X$14,IF(AN76&lt;=Hypothèses!$V$15,Hypothèses!$X$15,IF(AN76&lt;=Hypothèses!$V$16,Hypothèses!$X$16,IF(AN76&lt;=Hypothèses!$U$17,Hypothèses!$W$17,IF(AN76&lt;=Hypothèses!$U$18,Hypothèses!$W$18,""))))))))))))</f>
        <v>#DIV/0!</v>
      </c>
      <c r="BK76" s="95" t="e">
        <f t="shared" ca="1" si="77"/>
        <v>#DIV/0!</v>
      </c>
      <c r="BL76" s="101" t="e">
        <f t="shared" si="125"/>
        <v>#N/A</v>
      </c>
      <c r="BM76" s="91" t="e">
        <f t="shared" si="29"/>
        <v>#N/A</v>
      </c>
      <c r="BN76" s="30" t="e">
        <f t="shared" si="104"/>
        <v>#N/A</v>
      </c>
      <c r="BO76" s="30" t="e">
        <f t="shared" si="105"/>
        <v>#N/A</v>
      </c>
      <c r="BP76" s="31" t="e">
        <f>IF(OR(Hypothèses!$B$4=17,Hypothèses!$B$4=18,Hypothèses!$B$4=19,Hypothèses!$B$4=20),
IF($D76="Pressio.",
IF(OR($E76=3,$E76=1,$E76=4),BO76,BN76),
IF($D76="Pénétro.",
IF(OR($E76=3,$E76=1,$E76=4),BO76,BN76))),IF($D76="Pressio.",
IF($E76=3,BO76,BN76),
IF($D76="Pénétro.",
IF($E76=4,BO76,BN76))))</f>
        <v>#N/A</v>
      </c>
      <c r="BQ76" s="31" t="e">
        <f>(IF(OR(Hypothèses!$B$4=17,Hypothèses!$B$4=18,Hypothèses!$B$4=19,Hypothèses!$B$4=20),
IF($D76="Pressio.",
IF(OR($E76=3,$E76=1,$E76=4),(PI()*BQ$12^2)/4*(BM76*$W76*1000)/($H76*$B$5),(PI()*BQ$12^2)/4*(BM76*$W76*1000)/($G76*$B$5)),
IF($D76="Pénétro.",
IF(OR($E76=4,$E76=1,$E76=5),(PI()*BQ$12^2)/4*(BM76*$W76*1000)/($H76*$B$5),(PI()*BQ$12^2)/4*(BM76*$W76*1000)/($G76*$B$5)))),
IF($D76="Pressio.",
IF($E76=3,(PI()*BQ$12^2)/4*(BM76*$W76*1000)/($H76*$B$5),(PI()*BQ$12^2)/4*(BM76*$W76*1000)/($G76*$B$5)),
IF($D76="Pénétro.",
IF($E76=4,(PI()*BQ$12^2)/4*(BM76*$W76*1000)/($H76*$B$5),(PI()*BQ$12^2)/4*(BM76*$W76*1000)/($G76*$B$5))))))/10</f>
        <v>#N/A</v>
      </c>
      <c r="BR76" s="102" t="e">
        <f>(VLOOKUP($B$3,'Coeff EC7'!$T$39:$X$59,2,0)*BP76+VLOOKUP($B$3,'Coeff EC7'!$T$65:$X$85,2,0)*Model0.1C!BQ76)/1.1</f>
        <v>#N/A</v>
      </c>
      <c r="BS76" s="102" t="e">
        <f>(VLOOKUP($B$3,'Coeff EC7'!$T$39:$X$59,3,0)*BP76+VLOOKUP($B$3,'Coeff EC7'!$T$65:$X$85,3,0)*Model0.1C!BQ76)/0.9</f>
        <v>#N/A</v>
      </c>
      <c r="BT76" s="102" t="e">
        <f t="shared" si="78"/>
        <v>#N/A</v>
      </c>
      <c r="BU76" s="102" t="e">
        <f t="shared" si="79"/>
        <v>#N/A</v>
      </c>
      <c r="BV76" s="414" t="e">
        <f>IF(BV75=0,0,IF(AND(BR76&gt;charge_ELS_quasi,BS76&gt;Charge_ELS_freq,BT76&gt;charge_ELU,BU76&gt;charge_ELA,$B76&gt;NDC!$H$22-0.1+MIN(3*$BV$12,1.5)),0,1))</f>
        <v>#N/A</v>
      </c>
      <c r="BW76" s="86" t="b">
        <f t="shared" si="32"/>
        <v>0</v>
      </c>
      <c r="BX76" s="86">
        <f t="shared" si="33"/>
        <v>0.5</v>
      </c>
      <c r="BY76" s="86">
        <f t="shared" si="34"/>
        <v>0.5</v>
      </c>
      <c r="BZ76" s="30" t="e">
        <f t="shared" ca="1" si="80"/>
        <v>#DIV/0!</v>
      </c>
      <c r="CA76" s="85" t="e">
        <f ca="1">IF(BG76&lt;=Hypothèses!$V$7,Hypothèses!$W$7,IF(BG76&lt;=Hypothèses!$V$8,Hypothèses!$W$8,IF(BG76&lt;=Hypothèses!$V$9,Hypothèses!$W$9,IF(BG76&lt;=Hypothèses!$V$10,Hypothèses!$W$10,IF(BG76&lt;=Hypothèses!$V$11,Hypothèses!$W$11,IF(BG76&lt;=Hypothèses!$V$12,Hypothèses!$W$12,IF(BG76&lt;=Hypothèses!$V$13,Hypothèses!$W$13,IF(BG76&lt;=Hypothèses!$V$14,Hypothèses!$W$14,IF(BG76&lt;=Hypothèses!$V$15,Hypothèses!$W$15,IF(BG76&lt;=Hypothèses!$V$16,Hypothèses!$W$16,IF(BG76&lt;=Hypothèses!$V$17,Hypothèses!$W$17,IF(BG76&lt;=Hypothèses!$V$18,Hypothèses!$W$18,""))))))))))))</f>
        <v>#DIV/0!</v>
      </c>
      <c r="CB76" s="87" t="e">
        <f t="shared" ca="1" si="119"/>
        <v>#DIV/0!</v>
      </c>
      <c r="CC76" s="88" t="e">
        <f ca="1">IF(BG76&lt;=Hypothèses!$V$7,Hypothèses!$X$7,IF(BG76&lt;=Hypothèses!$V$8,Hypothèses!$X$8,IF(BG76&lt;=Hypothèses!$V$9,Hypothèses!$X$9,IF(BG76&lt;=Hypothèses!$V$10,Hypothèses!$X$10,IF(BG76&lt;=Hypothèses!$V$11,Hypothèses!$X$11,IF(BG76&lt;=Hypothèses!$V$12,Hypothèses!$X$12,IF(BG76&lt;=Hypothèses!$V$13,Hypothèses!$X$13,IF(BG76&lt;=Hypothèses!$V$14,Hypothèses!$X$14,IF(BG76&lt;=Hypothèses!$V$15,Hypothèses!$X$15,IF(BG76&lt;=Hypothèses!$V$16,Hypothèses!$X$16,IF(BG76&lt;=Hypothèses!$U$17,Hypothèses!$W$17,IF(BG76&lt;=Hypothèses!$U$18,Hypothèses!$W$18,""))))))))))))</f>
        <v>#DIV/0!</v>
      </c>
      <c r="CD76" s="95" t="e">
        <f t="shared" ca="1" si="81"/>
        <v>#DIV/0!</v>
      </c>
      <c r="CE76" s="101" t="e">
        <f t="shared" si="126"/>
        <v>#N/A</v>
      </c>
      <c r="CF76" s="91" t="e">
        <f t="shared" si="36"/>
        <v>#N/A</v>
      </c>
      <c r="CG76" s="30" t="e">
        <f t="shared" si="106"/>
        <v>#N/A</v>
      </c>
      <c r="CH76" s="30" t="e">
        <f t="shared" si="107"/>
        <v>#N/A</v>
      </c>
      <c r="CI76" s="31" t="e">
        <f>IF(OR(Hypothèses!$B$4=17,Hypothèses!$B$4=18,Hypothèses!$B$4=19,Hypothèses!$B$4=20),
IF($D76="Pressio.",
IF(OR($E76=3,$E76=1,$E76=4),CH76,CG76),
IF($D76="Pénétro.",
IF(OR($E76=3,$E76=1,$E76=4),CH76,CG76))),IF($D76="Pressio.",
IF($E76=3,CH76,CG76),
IF($D76="Pénétro.",
IF($E76=4,CH76,CG76))))</f>
        <v>#N/A</v>
      </c>
      <c r="CJ76" s="31" t="e">
        <f>(IF(OR(Hypothèses!$B$4=17,Hypothèses!$B$4=18,Hypothèses!$B$4=19,Hypothèses!$B$4=20),
IF($D76="Pressio.",
IF(OR($E76=3,$E76=1,$E76=4),(PI()*CJ$12^2)/4*(CF76*$W76*1000)/($H76*$B$5),(PI()*CJ$12^2)/4*(CF76*$W76*1000)/($G76*$B$5)),
IF($D76="Pénétro.",
IF(OR($E76=4,$E76=1,$E76=5),(PI()*CJ$12^2)/4*(CF76*$W76*1000)/($H76*$B$5),(PI()*CJ$12^2)/4*(CF76*$W76*1000)/($G76*$B$5)))),
IF($D76="Pressio.",
IF($E76=3,(PI()*CJ$12^2)/4*(CF76*$W76*1000)/($H76*$B$5),(PI()*CJ$12^2)/4*(CF76*$W76*1000)/($G76*$B$5)),
IF($D76="Pénétro.",
IF($E76=4,(PI()*CJ$12^2)/4*(CF76*$W76*1000)/($H76*$B$5),(PI()*CJ$12^2)/4*(CF76*$W76*1000)/($G76*$B$5))))))/10</f>
        <v>#N/A</v>
      </c>
      <c r="CK76" s="102" t="e">
        <f>(VLOOKUP($B$3,'Coeff EC7'!$T$39:$X$59,2,0)*CI76+VLOOKUP($B$3,'Coeff EC7'!$T$65:$X$85,2,0)*Model0.1C!CJ76)/1.1</f>
        <v>#N/A</v>
      </c>
      <c r="CL76" s="102" t="e">
        <f>(VLOOKUP($B$3,'Coeff EC7'!$T$39:$X$59,3,0)*CI76+VLOOKUP($B$3,'Coeff EC7'!$T$65:$X$85,3,0)*Model0.1C!CJ76)/0.9</f>
        <v>#N/A</v>
      </c>
      <c r="CM76" s="102" t="e">
        <f t="shared" si="82"/>
        <v>#N/A</v>
      </c>
      <c r="CN76" s="102" t="e">
        <f t="shared" si="83"/>
        <v>#N/A</v>
      </c>
      <c r="CO76" s="414" t="e">
        <f>IF(CO75=0,0,IF(AND(CK76&gt;charge_ELS_quasi,CL76&gt;Charge_ELS_freq,CM76&gt;charge_ELU,CN76&gt;charge_ELA,$B76&gt;NDC!$H$22-0.1+MIN(3*$CO$12,1.5)),0,1))</f>
        <v>#N/A</v>
      </c>
      <c r="CP76" s="86" t="b">
        <f t="shared" si="39"/>
        <v>0</v>
      </c>
      <c r="CQ76" s="86">
        <f t="shared" si="40"/>
        <v>0.5</v>
      </c>
      <c r="CR76" s="86">
        <f t="shared" si="41"/>
        <v>0.5</v>
      </c>
      <c r="CS76" s="30" t="e">
        <f t="shared" ca="1" si="84"/>
        <v>#DIV/0!</v>
      </c>
      <c r="CT76" s="85" t="e">
        <f ca="1">IF(BZ76&lt;=Hypothèses!$V$7,Hypothèses!$W$7,IF(BZ76&lt;=Hypothèses!$V$8,Hypothèses!$W$8,IF(BZ76&lt;=Hypothèses!$V$9,Hypothèses!$W$9,IF(BZ76&lt;=Hypothèses!$V$10,Hypothèses!$W$10,IF(BZ76&lt;=Hypothèses!$V$11,Hypothèses!$W$11,IF(BZ76&lt;=Hypothèses!$V$12,Hypothèses!$W$12,IF(BZ76&lt;=Hypothèses!$V$13,Hypothèses!$W$13,IF(BZ76&lt;=Hypothèses!$V$14,Hypothèses!$W$14,IF(BZ76&lt;=Hypothèses!$V$15,Hypothèses!$W$15,IF(BZ76&lt;=Hypothèses!$V$16,Hypothèses!$W$16,IF(BZ76&lt;=Hypothèses!$V$17,Hypothèses!$W$17,IF(BZ76&lt;=Hypothèses!$V$18,Hypothèses!$W$18,""))))))))))))</f>
        <v>#DIV/0!</v>
      </c>
      <c r="CU76" s="87" t="e">
        <f t="shared" ca="1" si="120"/>
        <v>#DIV/0!</v>
      </c>
      <c r="CV76" s="88" t="e">
        <f ca="1">IF(BZ76&lt;=Hypothèses!$V$7,Hypothèses!$X$7,IF(BZ76&lt;=Hypothèses!$V$8,Hypothèses!$X$8,IF(BZ76&lt;=Hypothèses!$V$9,Hypothèses!$X$9,IF(BZ76&lt;=Hypothèses!$V$10,Hypothèses!$X$10,IF(BZ76&lt;=Hypothèses!$V$11,Hypothèses!$X$11,IF(BZ76&lt;=Hypothèses!$V$12,Hypothèses!$X$12,IF(BZ76&lt;=Hypothèses!$V$13,Hypothèses!$X$13,IF(BZ76&lt;=Hypothèses!$V$14,Hypothèses!$X$14,IF(BZ76&lt;=Hypothèses!$V$15,Hypothèses!$X$15,IF(BZ76&lt;=Hypothèses!$V$16,Hypothèses!$X$16,IF(BZ76&lt;=Hypothèses!$U$17,Hypothèses!$W$17,IF(BZ76&lt;=Hypothèses!$U$18,Hypothèses!$W$18,""))))))))))))</f>
        <v>#DIV/0!</v>
      </c>
      <c r="CW76" s="95" t="e">
        <f t="shared" ca="1" si="85"/>
        <v>#DIV/0!</v>
      </c>
      <c r="CX76" s="101" t="e">
        <f t="shared" si="127"/>
        <v>#N/A</v>
      </c>
      <c r="CY76" s="91" t="e">
        <f t="shared" si="43"/>
        <v>#N/A</v>
      </c>
      <c r="CZ76" s="30" t="e">
        <f t="shared" si="108"/>
        <v>#N/A</v>
      </c>
      <c r="DA76" s="30" t="e">
        <f t="shared" si="109"/>
        <v>#N/A</v>
      </c>
      <c r="DB76" s="31" t="e">
        <f>IF(OR(Hypothèses!$B$4=17,Hypothèses!$B$4=18,Hypothèses!$B$4=19,Hypothèses!$B$4=20),
IF($D76="Pressio.",
IF(OR($E76=3,$E76=1,$E76=4),DA76,CZ76),
IF($D76="Pénétro.",
IF(OR($E76=3,$E76=1,$E76=4),DA76,CZ76))),IF($D76="Pressio.",
IF($E76=3,DA76,CZ76),
IF($D76="Pénétro.",
IF($E76=4,DA76,CZ76))))</f>
        <v>#N/A</v>
      </c>
      <c r="DC76" s="31" t="e">
        <f>(IF(OR(Hypothèses!$B$4=17,Hypothèses!$B$4=18,Hypothèses!$B$4=19,Hypothèses!$B$4=20),
IF($D76="Pressio.",
IF(OR($E76=3,$E76=1,$E76=4),(PI()*DC$12^2)/4*(CY76*$W76*1000)/($H76*$B$5),(PI()*DC$12^2)/4*(CY76*$W76*1000)/($G76*$B$5)),
IF($D76="Pénétro.",
IF(OR($E76=4,$E76=1,$E76=5),(PI()*DC$12^2)/4*(CY76*$W76*1000)/($H76*$B$5),(PI()*DC$12^2)/4*(CY76*$W76*1000)/($G76*$B$5)))),
IF($D76="Pressio.",
IF($E76=3,(PI()*DC$12^2)/4*(CY76*$W76*1000)/($H76*$B$5),(PI()*DC$12^2)/4*(CY76*$W76*1000)/($G76*$B$5)),
IF($D76="Pénétro.",
IF($E76=4,(PI()*DC$12^2)/4*(CY76*$W76*1000)/($H76*$B$5),(PI()*DC$12^2)/4*(CY76*$W76*1000)/($G76*$B$5))))))/10</f>
        <v>#N/A</v>
      </c>
      <c r="DD76" s="102" t="e">
        <f>(VLOOKUP($B$3,'Coeff EC7'!$T$39:$X$59,2,0)*DB76+VLOOKUP($B$3,'Coeff EC7'!$T$65:$X$85,2,0)*Model0.1C!DC76)/1.1</f>
        <v>#N/A</v>
      </c>
      <c r="DE76" s="102" t="e">
        <f>(VLOOKUP($B$3,'Coeff EC7'!$T$39:$X$59,3,0)*DB76+VLOOKUP($B$3,'Coeff EC7'!$T$65:$X$85,3,0)*Model0.1C!DC76)/0.9</f>
        <v>#N/A</v>
      </c>
      <c r="DF76" s="102" t="e">
        <f t="shared" si="86"/>
        <v>#N/A</v>
      </c>
      <c r="DG76" s="102" t="e">
        <f t="shared" si="87"/>
        <v>#N/A</v>
      </c>
      <c r="DH76" s="414" t="e">
        <f>IF(DH75=0,0,IF(AND(DD76&gt;charge_ELS_quasi,DE76&gt;Charge_ELS_freq,DF76&gt;charge_ELU,DG76&gt;charge_ELA,$B76&gt;NDC!$H$22-0.1+MIN(3*$DH$12,1.5)),0,1))</f>
        <v>#N/A</v>
      </c>
      <c r="DI76" s="86" t="b">
        <f t="shared" si="46"/>
        <v>0</v>
      </c>
      <c r="DJ76" s="86">
        <f t="shared" si="47"/>
        <v>0.5</v>
      </c>
      <c r="DK76" s="86">
        <f t="shared" si="48"/>
        <v>0.5</v>
      </c>
      <c r="DL76" s="30" t="e">
        <f t="shared" ca="1" si="88"/>
        <v>#DIV/0!</v>
      </c>
      <c r="DM76" s="85" t="e">
        <f ca="1">IF(CS76&lt;=Hypothèses!$V$7,Hypothèses!$W$7,IF(CS76&lt;=Hypothèses!$V$8,Hypothèses!$W$8,IF(CS76&lt;=Hypothèses!$V$9,Hypothèses!$W$9,IF(CS76&lt;=Hypothèses!$V$10,Hypothèses!$W$10,IF(CS76&lt;=Hypothèses!$V$11,Hypothèses!$W$11,IF(CS76&lt;=Hypothèses!$V$12,Hypothèses!$W$12,IF(CS76&lt;=Hypothèses!$V$13,Hypothèses!$W$13,IF(CS76&lt;=Hypothèses!$V$14,Hypothèses!$W$14,IF(CS76&lt;=Hypothèses!$V$15,Hypothèses!$W$15,IF(CS76&lt;=Hypothèses!$V$16,Hypothèses!$W$16,IF(CS76&lt;=Hypothèses!$V$17,Hypothèses!$W$17,IF(CS76&lt;=Hypothèses!$V$18,Hypothèses!$W$18,""))))))))))))</f>
        <v>#DIV/0!</v>
      </c>
      <c r="DN76" s="87" t="e">
        <f t="shared" ca="1" si="121"/>
        <v>#DIV/0!</v>
      </c>
      <c r="DO76" s="88" t="e">
        <f ca="1">IF(CS76&lt;=Hypothèses!$V$7,Hypothèses!$X$7,IF(CS76&lt;=Hypothèses!$V$8,Hypothèses!$X$8,IF(CS76&lt;=Hypothèses!$V$9,Hypothèses!$X$9,IF(CS76&lt;=Hypothèses!$V$10,Hypothèses!$X$10,IF(CS76&lt;=Hypothèses!$V$11,Hypothèses!$X$11,IF(CS76&lt;=Hypothèses!$V$12,Hypothèses!$X$12,IF(CS76&lt;=Hypothèses!$V$13,Hypothèses!$X$13,IF(CS76&lt;=Hypothèses!$V$14,Hypothèses!$X$14,IF(CS76&lt;=Hypothèses!$V$15,Hypothèses!$X$15,IF(CS76&lt;=Hypothèses!$V$16,Hypothèses!$X$16,IF(CS76&lt;=Hypothèses!$U$17,Hypothèses!$W$17,IF(CS76&lt;=Hypothèses!$U$18,Hypothèses!$W$18,""))))))))))))</f>
        <v>#DIV/0!</v>
      </c>
      <c r="DP76" s="95" t="e">
        <f t="shared" ca="1" si="89"/>
        <v>#DIV/0!</v>
      </c>
      <c r="DQ76" s="101" t="e">
        <f t="shared" si="128"/>
        <v>#N/A</v>
      </c>
      <c r="DR76" s="91" t="e">
        <f t="shared" si="50"/>
        <v>#N/A</v>
      </c>
      <c r="DS76" s="30" t="e">
        <f t="shared" si="110"/>
        <v>#N/A</v>
      </c>
      <c r="DT76" s="30" t="e">
        <f t="shared" si="111"/>
        <v>#N/A</v>
      </c>
      <c r="DU76" s="31" t="e">
        <f>IF(OR(Hypothèses!$B$4=17,Hypothèses!$B$4=18,Hypothèses!$B$4=19,Hypothèses!$B$4=20),
IF($D76="Pressio.",
IF(OR($E76=3,$E76=1,$E76=4),DT76,DS76),
IF($D76="Pénétro.",
IF(OR($E76=3,$E76=1,$E76=4),DT76,DS76))),IF($D76="Pressio.",
IF($E76=3,DT76,DS76),
IF($D76="Pénétro.",
IF($E76=4,DT76,DS76))))</f>
        <v>#N/A</v>
      </c>
      <c r="DV76" s="31" t="e">
        <f>(IF(OR(Hypothèses!$B$4=17,Hypothèses!$B$4=18,Hypothèses!$B$4=19,Hypothèses!$B$4=20),
IF($D76="Pressio.",
IF(OR($E76=3,$E76=1,$E76=4),(PI()*DV$12^2)/4*(DR76*$W76*1000)/($H76*$B$5),(PI()*DV$12^2)/4*(DR76*$W76*1000)/($G76*$B$5)),
IF($D76="Pénétro.",
IF(OR($E76=4,$E76=1,$E76=5),(PI()*DV$12^2)/4*(DR76*$W76*1000)/($H76*$B$5),(PI()*DV$12^2)/4*(DR76*$W76*1000)/($G76*$B$5)))),
IF($D76="Pressio.",
IF($E76=3,(PI()*DV$12^2)/4*(DR76*$W76*1000)/($H76*$B$5),(PI()*DV$12^2)/4*(DR76*$W76*1000)/($G76*$B$5)),
IF($D76="Pénétro.",
IF($E76=4,(PI()*DV$12^2)/4*(DR76*$W76*1000)/($H76*$B$5),(PI()*DV$12^2)/4*(DR76*$W76*1000)/($G76*$B$5))))))/10</f>
        <v>#N/A</v>
      </c>
      <c r="DW76" s="102" t="e">
        <f>(VLOOKUP($B$3,'Coeff EC7'!$T$39:$X$59,2,0)*DU76+VLOOKUP($B$3,'Coeff EC7'!$T$65:$X$85,2,0)*Model0.1C!DV76)/1.1</f>
        <v>#N/A</v>
      </c>
      <c r="DX76" s="102" t="e">
        <f>(VLOOKUP($B$3,'Coeff EC7'!$T$39:$X$59,3,0)*DU76+VLOOKUP($B$3,'Coeff EC7'!$T$65:$X$85,3,0)*Model0.1C!DV76)/0.9</f>
        <v>#N/A</v>
      </c>
      <c r="DY76" s="102" t="e">
        <f t="shared" si="90"/>
        <v>#N/A</v>
      </c>
      <c r="DZ76" s="102" t="e">
        <f t="shared" si="91"/>
        <v>#N/A</v>
      </c>
      <c r="EA76" s="414" t="e">
        <f>IF(EA75=0,0,IF(AND(DW76&gt;charge_ELS_quasi,DX76&gt;Charge_ELS_freq,DY76&gt;charge_ELU,DZ76&gt;charge_ELA,$B76&gt;NDC!$H$22-0.1+MIN(3*$EA$12,1.5)),0,1))</f>
        <v>#N/A</v>
      </c>
      <c r="EB76" s="86" t="b">
        <f t="shared" si="53"/>
        <v>0</v>
      </c>
      <c r="EC76" s="418">
        <f t="shared" si="54"/>
        <v>0.51</v>
      </c>
      <c r="ED76" s="86">
        <f t="shared" si="55"/>
        <v>0.51</v>
      </c>
      <c r="EE76" s="30" t="e">
        <f t="shared" ca="1" si="92"/>
        <v>#DIV/0!</v>
      </c>
      <c r="EF76" s="85" t="e">
        <f ca="1">IF(DL76&lt;=Hypothèses!$V$7,Hypothèses!$W$7,IF(DL76&lt;=Hypothèses!$V$8,Hypothèses!$W$8,IF(DL76&lt;=Hypothèses!$V$9,Hypothèses!$W$9,IF(DL76&lt;=Hypothèses!$V$10,Hypothèses!$W$10,IF(DL76&lt;=Hypothèses!$V$11,Hypothèses!$W$11,IF(DL76&lt;=Hypothèses!$V$12,Hypothèses!$W$12,IF(DL76&lt;=Hypothèses!$V$13,Hypothèses!$W$13,IF(DL76&lt;=Hypothèses!$V$14,Hypothèses!$W$14,IF(DL76&lt;=Hypothèses!$V$15,Hypothèses!$W$15,IF(DL76&lt;=Hypothèses!$V$16,Hypothèses!$W$16,IF(DL76&lt;=Hypothèses!$V$17,Hypothèses!$W$17,IF(DL76&lt;=Hypothèses!$V$18,Hypothèses!$W$18,""))))))))))))</f>
        <v>#DIV/0!</v>
      </c>
      <c r="EG76" s="87" t="e">
        <f t="shared" ca="1" si="122"/>
        <v>#DIV/0!</v>
      </c>
      <c r="EH76" s="88" t="e">
        <f ca="1">IF(DL76&lt;=Hypothèses!$V$7,Hypothèses!$X$7,IF(DL76&lt;=Hypothèses!$V$8,Hypothèses!$X$8,IF(DL76&lt;=Hypothèses!$V$9,Hypothèses!$X$9,IF(DL76&lt;=Hypothèses!$V$10,Hypothèses!$X$10,IF(DL76&lt;=Hypothèses!$V$11,Hypothèses!$X$11,IF(DL76&lt;=Hypothèses!$V$12,Hypothèses!$X$12,IF(DL76&lt;=Hypothèses!$V$13,Hypothèses!$X$13,IF(DL76&lt;=Hypothèses!$V$14,Hypothèses!$X$14,IF(DL76&lt;=Hypothèses!$V$15,Hypothèses!$X$15,IF(DL76&lt;=Hypothèses!$V$16,Hypothèses!$X$16,IF(DL76&lt;=Hypothèses!$U$17,Hypothèses!$W$17,IF(DL76&lt;=Hypothèses!$U$18,Hypothèses!$W$18,""))))))))))))</f>
        <v>#DIV/0!</v>
      </c>
      <c r="EI76" s="95" t="e">
        <f t="shared" ca="1" si="93"/>
        <v>#DIV/0!</v>
      </c>
      <c r="EJ76" s="101" t="e">
        <f t="shared" si="129"/>
        <v>#N/A</v>
      </c>
      <c r="EK76" s="91" t="e">
        <f t="shared" si="57"/>
        <v>#N/A</v>
      </c>
      <c r="EL76" s="30" t="e">
        <f t="shared" si="112"/>
        <v>#N/A</v>
      </c>
      <c r="EM76" s="30" t="e">
        <f t="shared" si="113"/>
        <v>#N/A</v>
      </c>
      <c r="EN76" s="31" t="e">
        <f>IF(OR(Hypothèses!$B$4=17,Hypothèses!$B$4=18,Hypothèses!$B$4=19,Hypothèses!$B$4=20),
IF($D76="Pressio.",
IF(OR($E76=3,$E76=1,$E76=4),EM76,EL76),
IF($D76="Pénétro.",
IF(OR($E76=3,$E76=1,$E76=4),EM76,EL76))),IF($D76="Pressio.",
IF($E76=3,EM76,EL76),
IF($D76="Pénétro.",
IF($E76=4,EM76,EL76))))</f>
        <v>#N/A</v>
      </c>
      <c r="EO76" s="31" t="e">
        <f>(IF(OR(Hypothèses!$B$4=17,Hypothèses!$B$4=18,Hypothèses!$B$4=19,Hypothèses!$B$4=20),
IF($D76="Pressio.",
IF(OR($E76=3,$E76=1,$E76=4),(PI()*EO$12^2)/4*(EK76*$W76*1000)/($H76*$B$5),(PI()*EO$12^2)/4*(EK76*$W76*1000)/($G76*$B$5)),
IF($D76="Pénétro.",
IF(OR($E76=4,$E76=1,$E76=5),(PI()*EO$12^2)/4*(EK76*$W76*1000)/($H76*$B$5),(PI()*EO$12^2)/4*(EK76*$W76*1000)/($G76*$B$5)))),
IF($D76="Pressio.",
IF($E76=3,(PI()*EO$12^2)/4*(EK76*$W76*1000)/($H76*$B$5),(PI()*EO$12^2)/4*(EK76*$W76*1000)/($G76*$B$5)),
IF($D76="Pénétro.",
IF($E76=4,(PI()*EO$12^2)/4*(EK76*$W76*1000)/($H76*$B$5),(PI()*EO$12^2)/4*(EK76*$W76*1000)/($G76*$B$5))))))/10</f>
        <v>#N/A</v>
      </c>
      <c r="EP76" s="102" t="e">
        <f>(VLOOKUP($B$3,'Coeff EC7'!$T$39:$X$59,2,0)*EN76+VLOOKUP($B$3,'Coeff EC7'!$T$65:$X$85,2,0)*Model0.1C!EO76)/1.1</f>
        <v>#N/A</v>
      </c>
      <c r="EQ76" s="102" t="e">
        <f>(VLOOKUP($B$3,'Coeff EC7'!$T$39:$X$59,3,0)*EN76+VLOOKUP($B$3,'Coeff EC7'!$T$65:$X$85,3,0)*Model0.1C!EO76)/0.9</f>
        <v>#N/A</v>
      </c>
      <c r="ER76" s="102" t="e">
        <f t="shared" si="94"/>
        <v>#N/A</v>
      </c>
      <c r="ES76" s="102" t="e">
        <f t="shared" si="95"/>
        <v>#N/A</v>
      </c>
      <c r="ET76" s="414" t="e">
        <f>IF(ET75=0,0,IF(AND(EP76&gt;charge_ELS_quasi,EQ76&gt;Charge_ELS_freq,ER76&gt;charge_ELU,ES76&gt;charge_ELA,$B76&gt;NDC!$H$22-0.1+MIN(3*$ET$12,1.5)),0,1))</f>
        <v>#N/A</v>
      </c>
      <c r="EU76" s="86" t="b">
        <f t="shared" si="60"/>
        <v>0</v>
      </c>
      <c r="EV76" s="86">
        <f t="shared" si="61"/>
        <v>0.61</v>
      </c>
      <c r="EW76" s="86">
        <f t="shared" si="62"/>
        <v>0.61</v>
      </c>
      <c r="EX76" s="30" t="e">
        <f t="shared" ca="1" si="96"/>
        <v>#DIV/0!</v>
      </c>
      <c r="EY76" s="85" t="e">
        <f ca="1">IF(EE76&lt;=Hypothèses!$V$7,Hypothèses!$W$7,IF(EE76&lt;=Hypothèses!$V$8,Hypothèses!$W$8,IF(EE76&lt;=Hypothèses!$V$9,Hypothèses!$W$9,IF(EE76&lt;=Hypothèses!$V$10,Hypothèses!$W$10,IF(EE76&lt;=Hypothèses!$V$11,Hypothèses!$W$11,IF(EE76&lt;=Hypothèses!$V$12,Hypothèses!$W$12,IF(EE76&lt;=Hypothèses!$V$13,Hypothèses!$W$13,IF(EE76&lt;=Hypothèses!$V$14,Hypothèses!$W$14,IF(EE76&lt;=Hypothèses!$V$15,Hypothèses!$W$15,IF(EE76&lt;=Hypothèses!$V$16,Hypothèses!$W$16,IF(EE76&lt;=Hypothèses!$V$17,Hypothèses!$W$17,IF(EE76&lt;=Hypothèses!$V$18,Hypothèses!$W$18,""))))))))))))</f>
        <v>#DIV/0!</v>
      </c>
      <c r="EZ76" s="87" t="e">
        <f t="shared" ca="1" si="123"/>
        <v>#DIV/0!</v>
      </c>
      <c r="FA76" s="88" t="e">
        <f ca="1">IF(EE76&lt;=Hypothèses!$V$7,Hypothèses!$X$7,IF(EE76&lt;=Hypothèses!$V$8,Hypothèses!$X$8,IF(EE76&lt;=Hypothèses!$V$9,Hypothèses!$X$9,IF(EE76&lt;=Hypothèses!$V$10,Hypothèses!$X$10,IF(EE76&lt;=Hypothèses!$V$11,Hypothèses!$X$11,IF(EE76&lt;=Hypothèses!$V$12,Hypothèses!$X$12,IF(EE76&lt;=Hypothèses!$V$13,Hypothèses!$X$13,IF(EE76&lt;=Hypothèses!$V$14,Hypothèses!$X$14,IF(EE76&lt;=Hypothèses!$V$15,Hypothèses!$X$15,IF(EE76&lt;=Hypothèses!$V$16,Hypothèses!$X$16,IF(EE76&lt;=Hypothèses!$U$17,Hypothèses!$W$17,IF(EE76&lt;=Hypothèses!$U$18,Hypothèses!$W$18,""))))))))))))</f>
        <v>#DIV/0!</v>
      </c>
      <c r="FB76" s="95" t="e">
        <f t="shared" ca="1" si="97"/>
        <v>#DIV/0!</v>
      </c>
      <c r="FC76" s="101" t="e">
        <f t="shared" si="130"/>
        <v>#N/A</v>
      </c>
      <c r="FD76" s="91" t="e">
        <f t="shared" si="64"/>
        <v>#N/A</v>
      </c>
      <c r="FE76" s="30" t="e">
        <f t="shared" si="114"/>
        <v>#N/A</v>
      </c>
      <c r="FF76" s="30" t="e">
        <f t="shared" si="115"/>
        <v>#N/A</v>
      </c>
      <c r="FG76" s="31" t="e">
        <f>IF(OR(Hypothèses!$B$4=17,Hypothèses!$B$4=18,Hypothèses!$B$4=19,Hypothèses!$B$4=20),
IF($D76="Pressio.",
IF(OR($E76=3,$E76=1,$E76=4),FF76,FE76),
IF($D76="Pénétro.",
IF(OR($E76=3,$E76=1,$E76=4),FF76,FE76))),IF($D76="Pressio.",
IF($E76=3,FF76,FE76),
IF($D76="Pénétro.",
IF($E76=4,FF76,FE76))))</f>
        <v>#N/A</v>
      </c>
      <c r="FH76" s="31" t="e">
        <f>(IF(OR(Hypothèses!$B$4=17,Hypothèses!$B$4=18,Hypothèses!$B$4=19,Hypothèses!$B$4=20),
IF($D76="Pressio.",
IF(OR($E76=3,$E76=1,$E76=4),(PI()*FH$12^2)/4*(FD76*$W76*1000)/($H76*$B$5),(PI()*FH$12^2)/4*(FD76*$W76*1000)/($G76*$B$5)),
IF($D76="Pénétro.",
IF(OR($E76=4,$E76=1,$E76=5),(PI()*FH$12^2)/4*(FD76*$W76*1000)/($H76*$B$5),(PI()*FH$12^2)/4*(FD76*$W76*1000)/($G76*$B$5)))),
IF($D76="Pressio.",
IF($E76=3,(PI()*FH$12^2)/4*(FD76*$W76*1000)/($H76*$B$5),(PI()*FH$12^2)/4*(FD76*$W76*1000)/($G76*$B$5)),
IF($D76="Pénétro.",
IF($E76=4,(PI()*FH$12^2)/4*(FD76*$W76*1000)/($H76*$B$5),(PI()*FH$12^2)/4*(FD76*$W76*1000)/($G76*$B$5))))))/10</f>
        <v>#N/A</v>
      </c>
      <c r="FI76" s="102" t="e">
        <f>(VLOOKUP($B$3,'Coeff EC7'!$T$39:$X$59,2,0)*FG76+VLOOKUP($B$3,'Coeff EC7'!$T$65:$X$85,2,0)*Model0.1C!FH76)/1.1</f>
        <v>#N/A</v>
      </c>
      <c r="FJ76" s="102" t="e">
        <f>(VLOOKUP($B$3,'Coeff EC7'!$T$39:$X$59,3,0)*FG76+VLOOKUP($B$3,'Coeff EC7'!$T$65:$X$85,3,0)*Model0.1C!FH76)/0.9</f>
        <v>#N/A</v>
      </c>
      <c r="FK76" s="102" t="e">
        <f t="shared" si="98"/>
        <v>#N/A</v>
      </c>
      <c r="FL76" s="102" t="e">
        <f t="shared" si="99"/>
        <v>#N/A</v>
      </c>
      <c r="FM76" s="414" t="e">
        <f>IF(FM75=0,0,IF(AND(FI76&gt;charge_ELS_quasi,FJ76&gt;Charge_ELS_freq,FK76&gt;charge_ELU,FL76&gt;charge_ELA,$B76&gt;NDC!$H$22-0.1+MIN(3*$FM$12,1.5)),0,1))</f>
        <v>#N/A</v>
      </c>
    </row>
    <row r="77" spans="1:169">
      <c r="A77" s="96">
        <f t="shared" si="67"/>
        <v>93.600000000000364</v>
      </c>
      <c r="B77" s="97">
        <v>6.4</v>
      </c>
      <c r="C77" s="81">
        <f>IF(B77&lt;=Hypothèses!$C$7,Hypothèses!$A$7,IF(B77&lt;=Hypothèses!$C$8,Hypothèses!$A$8,IF(B77&lt;=Hypothèses!$C$9,Hypothèses!$A$9,IF(B77&lt;=Hypothèses!$C$10,Hypothèses!$A$10,IF(B77&lt;=Hypothèses!$C$11,Hypothèses!$A$11,IF(B77&lt;=Hypothèses!$C$12,Hypothèses!$A$12,IF(B77&lt;=Hypothèses!$C$13,Hypothèses!$A$13,IF(B77&lt;=Hypothèses!$C$14,Hypothèses!$A$14,IF(B77&lt;=Hypothèses!$C$15,Hypothèses!$A$15,IF(B77&lt;=Hypothèses!$C$16,Hypothèses!$A$16,IF(B77&lt;=Hypothèses!$C$17,Hypothèses!$A$17,IF(B77&lt;=Hypothèses!$C$18,Hypothèses!$A$18,C76))))))))))))</f>
        <v>11</v>
      </c>
      <c r="D77" s="82" t="str">
        <f>IF(B77&lt;=Hypothèses!$C$7,Hypothèses!$R$7,IF(B77&lt;=Hypothèses!$C$8,Hypothèses!$R$8,IF(B77&lt;=Hypothèses!$C$9,Hypothèses!$R$9,IF(B77&lt;=Hypothèses!$C$10,Hypothèses!$R$10,IF(B77&lt;=Hypothèses!$C$11,Hypothèses!$R$11,IF(B77&lt;=Hypothèses!$C$12,Hypothèses!$R$12,IF(B77&lt;=Hypothèses!$C$13,Hypothèses!$R$13,IF(B77&lt;=Hypothèses!$C$14,Hypothèses!$R$14,IF(B77&lt;=Hypothèses!$C$15,Hypothèses!$R$15,IF(B77&lt;=Hypothèses!$C$16,Hypothèses!$R$16,IF(B77&lt;=Hypothèses!$C$17,Hypothèses!$R$17,IF(B77&lt;=Hypothèses!$C$18,Hypothèses!$R$18,D76))))))))))))</f>
        <v>Pressio.</v>
      </c>
      <c r="E77" s="82" t="e">
        <f>IF(B77&lt;=Hypothèses!$C$7,Hypothèses!$G$7,IF(B77&lt;=Hypothèses!$C$8,Hypothèses!$G$8,IF(B77&lt;=Hypothèses!$C$9,Hypothèses!$G$9,IF(B77&lt;=Hypothèses!$C$10,Hypothèses!$G$10,IF(B77&lt;=Hypothèses!$C$11,Hypothèses!$G$11,IF(B77&lt;=Hypothèses!$C$12,Hypothèses!$G$12,IF(B77&lt;=Hypothèses!$C$13,Hypothèses!$G$13,IF(B77&lt;=Hypothèses!$C$14,Hypothèses!$G$14,IF(B77&lt;=Hypothèses!$C$15,Hypothèses!$G$15,IF(B77&lt;=Hypothèses!$C$16,Hypothèses!$G$16,IF(B77&lt;=Hypothèses!$C$17,Hypothèses!$G$17,IF(B77&lt;=Hypothèses!$C$18,Hypothèses!$G$18,E76))))))))))))</f>
        <v>#N/A</v>
      </c>
      <c r="F77" s="82" t="str">
        <f>IF(B77&lt;=Hypothèses!$C$7,Hypothèses!$F$7,IF(B77&lt;=Hypothèses!$C$8,Hypothèses!$F$8,IF(B77&lt;=Hypothèses!$C$9,Hypothèses!$F$9,IF(B77&lt;=Hypothèses!$C$10,Hypothèses!$F$10,IF(B77&lt;=Hypothèses!$C$11,Hypothèses!$F$11,IF(B77&lt;=Hypothèses!$C$12,Hypothèses!$F$12,IF(B77&lt;=Hypothèses!$C$13,Hypothèses!$F$13,IF(B77&lt;=Hypothèses!$C$14,Hypothèses!$F$14,IF(B77&lt;=Hypothèses!$C$15,Hypothèses!$F$15,IF(B77&lt;=Hypothèses!$C$16,Hypothèses!$F$16,IF(B77&lt;=Hypothèses!$C$17,Hypothèses!$F$17,IF(B77&lt;=Hypothèses!$C$18,Hypothèses!$F$18,F76))))))))))))</f>
        <v/>
      </c>
      <c r="G77" s="91">
        <f t="array" ref="G77">INDEX('Coeff EC7'!$U$7:$X$27,
MATCH(Model0.1C!$B$3,'Coeff EC7'!$T$7:$T$27,0),
MATCH(Model0.1C!$D77&amp;Model0.1C!$B$4,
'Coeff EC7'!$U$6:$X$6&amp;
'Coeff EC7'!$U$5:$X$5,0))</f>
        <v>1.1499999999999999</v>
      </c>
      <c r="H77" s="91">
        <f t="array" ref="H77">INDEX('Coeff EC7'!$Y$7:$AB$27,
MATCH(Model0.1C!$B$3,'Coeff EC7'!$T$7:$T$27,0),
MATCH(Model0.1C!$D77&amp;Model0.1C!$B$4,
'Coeff EC7'!$Y$6:$AB$6&amp;
'Coeff EC7'!$Y$5:$AB$5,0))</f>
        <v>1.4</v>
      </c>
      <c r="I77" s="83" t="e">
        <f>IF(B77&lt;=Hypothèses!$C$7,Hypothèses!$P$7,IF(B77&lt;=Hypothèses!$C$8,Hypothèses!$P$8,IF(B77&lt;=Hypothèses!$C$9,Hypothèses!$P$9,IF(B77&lt;=Hypothèses!$C$10,Hypothèses!$P$10,IF(B77&lt;=Hypothèses!$C$11,Hypothèses!$P$11,IF(B77&lt;=Hypothèses!$C$12,Hypothèses!$P$12,IF(B77&lt;=Hypothèses!$C$13,Hypothèses!$P$13,IF(B77&lt;=Hypothèses!$C$14,Hypothèses!$P$14,IF(B77&lt;=Hypothèses!$C$15,Hypothèses!$P$15,IF(B77&lt;=Hypothèses!$C$16,Hypothèses!$P$16,IF(B77&lt;=Hypothèses!$C$17,Hypothèses!$P$17,IF(B77&lt;=Hypothèses!$C$18,Hypothèses!$P$18,I76))))))))))))</f>
        <v>#N/A</v>
      </c>
      <c r="J77" s="91" t="e">
        <f t="array" ref="J77">INDEX('Coeff EC7'!$D$33:$Q$33,1,MATCH(D77&amp;E77,'Coeff EC7'!$D$31:$Q$31&amp;'Coeff EC7'!$D$32:$Q$32,0))</f>
        <v>#N/A</v>
      </c>
      <c r="K77" s="91" t="e">
        <f t="array" ref="K77">INDEX('Coeff EC7'!$D$34:$Q$34,1,MATCH(D77&amp;E77,'Coeff EC7'!$D$31:$Q$31&amp;'Coeff EC7'!$D$32:$Q$32,0))</f>
        <v>#N/A</v>
      </c>
      <c r="L77" s="91" t="e">
        <f t="array" ref="L77">INDEX('Coeff EC7'!$D$35:$Q$35,1,MATCH(D77&amp;E77,'Coeff EC7'!$D$31:$Q$31&amp;'Coeff EC7'!$D$32:$Q$32,0))</f>
        <v>#N/A</v>
      </c>
      <c r="M77" s="98" t="e">
        <f t="shared" ref="M77:M140" si="131">((J77*F77+K77)*(1-(EXP(-L77*F77))))</f>
        <v>#N/A</v>
      </c>
      <c r="N77" s="99" t="e">
        <f t="array" ref="N77">INDEX('Coeff EC7'!$D$7:$Q$27,MATCH($B$3,'Coeff EC7'!$C$7:$C$27,0),MATCH(D77&amp;E77,'Coeff EC7'!$D$5:$Q$5&amp;'Coeff EC7'!$D$6:$Q$6,0))</f>
        <v>#N/A</v>
      </c>
      <c r="O77" s="99" t="e">
        <f t="array" ref="O77">INDEX('Coeff EC7'!$D$41:$Q$61,MATCH($B$3,'Coeff EC7'!$C$41:$C$61,0),MATCH(D77&amp;E77,'Coeff EC7'!$D$39:$Q$39&amp;'Coeff EC7'!$D$40:$Q$40,0))</f>
        <v>#N/A</v>
      </c>
      <c r="P77" s="30" t="e">
        <f t="shared" si="68"/>
        <v>#N/A</v>
      </c>
      <c r="Q77" s="100" t="e">
        <f t="shared" si="10"/>
        <v>#N/A</v>
      </c>
      <c r="R77" s="86" t="b">
        <f t="shared" si="11"/>
        <v>0</v>
      </c>
      <c r="S77" s="86">
        <f t="shared" ref="S77:S140" si="132">MAX($AF$12/2,0.5)</f>
        <v>0.5</v>
      </c>
      <c r="T77" s="86">
        <f t="shared" si="12"/>
        <v>0.5</v>
      </c>
      <c r="U77" s="30" t="e">
        <f t="shared" ca="1" si="69"/>
        <v>#DIV/0!</v>
      </c>
      <c r="V77" s="85" t="str">
        <f>IF(B77&lt;=Hypothèses!$V$7,Hypothèses!$W$7,IF(B77&lt;=Hypothèses!$V$8,Hypothèses!$W$8,IF(B77&lt;=Hypothèses!$V$9,Hypothèses!$W$9,IF(B77&lt;=Hypothèses!$V$10,Hypothèses!$W$10,IF(B77&lt;=Hypothèses!$V$11,Hypothèses!$W$11,IF(B77&lt;=Hypothèses!$V$12,Hypothèses!$W$12,IF(B77&lt;=Hypothèses!$V$13,Hypothèses!$W$13,IF(B77&lt;=Hypothèses!$V$14,Hypothèses!$W$14,IF(B77&lt;=Hypothèses!$V$15,Hypothèses!$W$15,IF(B77&lt;=Hypothèses!$V$16,Hypothèses!$W$16,IF(B77&lt;=Hypothèses!$V$17,Hypothèses!$W$17,IF(B77&lt;=Hypothèses!$V$18,Hypothèses!$W$18,""))))))))))))</f>
        <v/>
      </c>
      <c r="W77" s="87" t="e">
        <f t="shared" ca="1" si="116"/>
        <v>#DIV/0!</v>
      </c>
      <c r="X77" s="88" t="str">
        <f>IF(B77&lt;=Hypothèses!$V$7,Hypothèses!$X$7,IF(B77&lt;=Hypothèses!$V$8,Hypothèses!$X$8,IF(B77&lt;=Hypothèses!$V$9,Hypothèses!$X$9,IF(B77&lt;=Hypothèses!$V$10,Hypothèses!$X$10,IF(B77&lt;=Hypothèses!$V$11,Hypothèses!$X$11,IF(B77&lt;=Hypothèses!$V$12,Hypothèses!$X$12,IF(B77&lt;=Hypothèses!$V$13,Hypothèses!$X$13,IF(B77&lt;=Hypothèses!$V$14,Hypothèses!$X$14,IF(B77&lt;=Hypothèses!$V$15,Hypothèses!$X$15,IF(B77&lt;=Hypothèses!$V$16,Hypothèses!$X$16,IF(B77&lt;=Hypothèses!$U$17,Hypothèses!$W$17,IF(B77&lt;=Hypothèses!$U$18,Hypothèses!$W$18,""))))))))))))</f>
        <v/>
      </c>
      <c r="Y77" s="95" t="e">
        <f t="shared" ca="1" si="13"/>
        <v>#DIV/0!</v>
      </c>
      <c r="Z77" s="101" t="e">
        <f t="shared" si="14"/>
        <v>#N/A</v>
      </c>
      <c r="AA77" s="91" t="e">
        <f t="shared" si="15"/>
        <v>#N/A</v>
      </c>
      <c r="AB77" s="30" t="e">
        <f t="shared" si="100"/>
        <v>#N/A</v>
      </c>
      <c r="AC77" s="30" t="e">
        <f t="shared" si="101"/>
        <v>#N/A</v>
      </c>
      <c r="AD77" s="31" t="e">
        <f>IF(OR(Hypothèses!$B$4=17,Hypothèses!$B$4=18,Hypothèses!$B$4=19,Hypothèses!$B$4=20),
IF($D77="Pressio.",
IF(OR($E77=3,$E77=1,$E77=4),AC77,AB77),
IF($D77="Pénétro.",
IF(OR($E77=3,$E77=1,$E77=4),AC77,AB77))),IF($D77="Pressio.",
IF($E77=3,AC77,AB77),
IF($D77="Pénétro.",
IF($E77=4,AC77,AB77))))</f>
        <v>#N/A</v>
      </c>
      <c r="AE77" s="31" t="e">
        <f>(IF(OR(Hypothèses!$B$4=17,Hypothèses!$B$4=18,Hypothèses!$B$4=19,Hypothèses!$B$4=20),
IF($D77="Pressio.",
IF(OR($E77=3,$E77=1,$E77=4),(PI()*AE$12^2)/4*(AA77*$W77*1000)/($H77*$B$5),(PI()*AE$12^2)/4*(AA77*$W77*1000)/($G77*$B$5)),
IF($D77="Pénétro.",
IF(OR($E77=4,$E77=1,$E77=5),(PI()*AE$12^2)/4*(AA77*$W77*1000)/($H77*$B$5),(PI()*AE$12^2)/4*(AA77*$W77*1000)/($G77*$B$5)))),
IF($D77="Pressio.",
IF($E77=3,(PI()*AE$12^2)/4*(AA77*$W77*1000)/($H77*$B$5),(PI()*AE$12^2)/4*(AA77*$W77*1000)/($G77*$B$5)),
IF($D77="Pénétro.",
IF($E77=4,(PI()*AE$12^2)/4*(AA77*$W77*1000)/($H77*$B$5),(PI()*AE$12^2)/4*(AA77*$W77*1000)/($G77*$B$5))))))/10</f>
        <v>#N/A</v>
      </c>
      <c r="AF77" s="102" t="e">
        <f>(VLOOKUP($B$3,'Coeff EC7'!$T$39:$X$59,2,0)*AD77+VLOOKUP($B$3,'Coeff EC7'!$T$65:$X$85,2,0)*Model0.1C!AE77)/1.1</f>
        <v>#N/A</v>
      </c>
      <c r="AG77" s="102" t="e">
        <f>(VLOOKUP($B$3,'Coeff EC7'!$T$39:$X$59,3,0)*AD77+VLOOKUP($B$3,'Coeff EC7'!$T$65:$X$85,3,0)*Model0.1C!AE77)/0.9</f>
        <v>#N/A</v>
      </c>
      <c r="AH77" s="102" t="e">
        <f t="shared" si="18"/>
        <v>#N/A</v>
      </c>
      <c r="AI77" s="102" t="e">
        <f t="shared" si="19"/>
        <v>#N/A</v>
      </c>
      <c r="AJ77" s="414" t="e">
        <f>IF(AJ76=0,0,IF(AND(AF77&gt;charge_ELS_quasi,AG77&gt;Charge_ELS_freq,AH77&gt;charge_ELU,AI77&gt;charge_ELA,$B77&gt;NDC!$H$22-0.1+MIN(3*$AJ$12,1.5)),0,1))</f>
        <v>#N/A</v>
      </c>
      <c r="AK77" s="86" t="b">
        <f t="shared" si="20"/>
        <v>0</v>
      </c>
      <c r="AL77" s="86">
        <f t="shared" si="70"/>
        <v>0.5</v>
      </c>
      <c r="AM77" s="86">
        <f t="shared" si="21"/>
        <v>0.5</v>
      </c>
      <c r="AN77" s="30" t="e">
        <f t="shared" ca="1" si="71"/>
        <v>#DIV/0!</v>
      </c>
      <c r="AO77" s="85" t="e">
        <f ca="1">IF(U77&lt;=Hypothèses!$V$7,Hypothèses!$W$7,IF(U77&lt;=Hypothèses!$V$8,Hypothèses!$W$8,IF(U77&lt;=Hypothèses!$V$9,Hypothèses!$W$9,IF(U77&lt;=Hypothèses!$V$10,Hypothèses!$W$10,IF(U77&lt;=Hypothèses!$V$11,Hypothèses!$W$11,IF(U77&lt;=Hypothèses!$V$12,Hypothèses!$W$12,IF(U77&lt;=Hypothèses!$V$13,Hypothèses!$W$13,IF(U77&lt;=Hypothèses!$V$14,Hypothèses!$W$14,IF(U77&lt;=Hypothèses!$V$15,Hypothèses!$W$15,IF(U77&lt;=Hypothèses!$V$16,Hypothèses!$W$16,IF(U77&lt;=Hypothèses!$V$17,Hypothèses!$W$17,IF(U77&lt;=Hypothèses!$V$18,Hypothèses!$W$18,""))))))))))))</f>
        <v>#DIV/0!</v>
      </c>
      <c r="AP77" s="87" t="e">
        <f t="shared" ca="1" si="117"/>
        <v>#DIV/0!</v>
      </c>
      <c r="AQ77" s="88" t="e">
        <f ca="1">IF(U77&lt;=Hypothèses!$V$7,Hypothèses!$X$7,IF(U77&lt;=Hypothèses!$V$8,Hypothèses!$X$8,IF(U77&lt;=Hypothèses!$V$9,Hypothèses!$X$9,IF(U77&lt;=Hypothèses!$V$10,Hypothèses!$X$10,IF(U77&lt;=Hypothèses!$V$11,Hypothèses!$X$11,IF(U77&lt;=Hypothèses!$V$12,Hypothèses!$X$12,IF(U77&lt;=Hypothèses!$V$13,Hypothèses!$X$13,IF(U77&lt;=Hypothèses!$V$14,Hypothèses!$X$14,IF(U77&lt;=Hypothèses!$V$15,Hypothèses!$X$15,IF(U77&lt;=Hypothèses!$V$16,Hypothèses!$X$16,IF(U77&lt;=Hypothèses!$U$17,Hypothèses!$W$17,IF(U77&lt;=Hypothèses!$U$18,Hypothèses!$W$18,""))))))))))))</f>
        <v>#DIV/0!</v>
      </c>
      <c r="AR77" s="95" t="e">
        <f t="shared" ca="1" si="72"/>
        <v>#DIV/0!</v>
      </c>
      <c r="AS77" s="101" t="e">
        <f t="shared" si="124"/>
        <v>#N/A</v>
      </c>
      <c r="AT77" s="91" t="e">
        <f t="shared" si="23"/>
        <v>#N/A</v>
      </c>
      <c r="AU77" s="30" t="e">
        <f t="shared" si="102"/>
        <v>#N/A</v>
      </c>
      <c r="AV77" s="30" t="e">
        <f t="shared" si="103"/>
        <v>#N/A</v>
      </c>
      <c r="AW77" s="31" t="e">
        <f>IF(OR(Hypothèses!$B$4=17,Hypothèses!$B$4=18,Hypothèses!$B$4=19,Hypothèses!$B$4=20),
IF($D77="Pressio.",
IF(OR($E77=3,$E77=1,$E77=4),AV77,AU77),
IF($D77="Pénétro.",
IF(OR($E77=3,$E77=1,$E77=4),AV77,AU77))),IF($D77="Pressio.",
IF($E77=3,AV77,AU77),
IF($D77="Pénétro.",
IF($E77=4,AV77,AU77))))</f>
        <v>#N/A</v>
      </c>
      <c r="AX77" s="31" t="e">
        <f>(IF(OR(Hypothèses!$B$4=17,Hypothèses!$B$4=18,Hypothèses!$B$4=19,Hypothèses!$B$4=20),
IF($D77="Pressio.",
IF(OR($E77=3,$E77=1,$E77=4),(PI()*AX$12^2)/4*(AT77*$W77*1000)/($H77*$B$5),(PI()*AX$12^2)/4*(AT77*$W77*1000)/($G77*$B$5)),
IF($D77="Pénétro.",
IF(OR($E77=4,$E77=1,$E77=5),(PI()*AX$12^2)/4*(AT77*$W77*1000)/($H77*$B$5),(PI()*AX$12^2)/4*(AT77*$W77*1000)/($G77*$B$5)))),
IF($D77="Pressio.",
IF($E77=3,(PI()*AX$12^2)/4*(AT77*$W77*1000)/($H77*$B$5),(PI()*AX$12^2)/4*(AT77*$W77*1000)/($G77*$B$5)),
IF($D77="Pénétro.",
IF($E77=4,(PI()*AX$12^2)/4*(AT77*$W77*1000)/($H77*$B$5),(PI()*AX$12^2)/4*(AT77*$W77*1000)/($G77*$B$5))))))/10</f>
        <v>#N/A</v>
      </c>
      <c r="AY77" s="102" t="e">
        <f>(VLOOKUP($B$3,'Coeff EC7'!$T$39:$X$59,2,0)*AW77+VLOOKUP($B$3,'Coeff EC7'!$T$65:$X$85,2,0)*Model0.1C!AX77)/1.1</f>
        <v>#N/A</v>
      </c>
      <c r="AZ77" s="102" t="e">
        <f>(VLOOKUP($B$3,'Coeff EC7'!$T$39:$X$59,3,0)*AW77+VLOOKUP($B$3,'Coeff EC7'!$T$65:$X$85,3,0)*Model0.1C!AX77)/0.9</f>
        <v>#N/A</v>
      </c>
      <c r="BA77" s="102" t="e">
        <f t="shared" si="73"/>
        <v>#N/A</v>
      </c>
      <c r="BB77" s="102" t="e">
        <f t="shared" si="74"/>
        <v>#N/A</v>
      </c>
      <c r="BC77" s="414" t="e">
        <f>IF(BC76=0,0,IF(AND(AY77&gt;charge_ELS_quasi,AZ77&gt;Charge_ELS_freq,BA77&gt;charge_ELU,BB77&gt;charge_ELA,$B77&gt;NDC!$H$22-0.1+MIN(3*$BC$12,1.5)),0,1))</f>
        <v>#N/A</v>
      </c>
      <c r="BD77" s="86" t="b">
        <f t="shared" si="26"/>
        <v>0</v>
      </c>
      <c r="BE77" s="86">
        <f t="shared" si="75"/>
        <v>0.5</v>
      </c>
      <c r="BF77" s="86">
        <f t="shared" si="27"/>
        <v>0.5</v>
      </c>
      <c r="BG77" s="30" t="e">
        <f t="shared" ca="1" si="76"/>
        <v>#DIV/0!</v>
      </c>
      <c r="BH77" s="85" t="e">
        <f ca="1">IF(AN77&lt;=Hypothèses!$V$7,Hypothèses!$W$7,IF(AN77&lt;=Hypothèses!$V$8,Hypothèses!$W$8,IF(AN77&lt;=Hypothèses!$V$9,Hypothèses!$W$9,IF(AN77&lt;=Hypothèses!$V$10,Hypothèses!$W$10,IF(AN77&lt;=Hypothèses!$V$11,Hypothèses!$W$11,IF(AN77&lt;=Hypothèses!$V$12,Hypothèses!$W$12,IF(AN77&lt;=Hypothèses!$V$13,Hypothèses!$W$13,IF(AN77&lt;=Hypothèses!$V$14,Hypothèses!$W$14,IF(AN77&lt;=Hypothèses!$V$15,Hypothèses!$W$15,IF(AN77&lt;=Hypothèses!$V$16,Hypothèses!$W$16,IF(AN77&lt;=Hypothèses!$V$17,Hypothèses!$W$17,IF(AN77&lt;=Hypothèses!$V$18,Hypothèses!$W$18,""))))))))))))</f>
        <v>#DIV/0!</v>
      </c>
      <c r="BI77" s="87" t="e">
        <f t="shared" ca="1" si="118"/>
        <v>#DIV/0!</v>
      </c>
      <c r="BJ77" s="88" t="e">
        <f ca="1">IF(AN77&lt;=Hypothèses!$V$7,Hypothèses!$X$7,IF(AN77&lt;=Hypothèses!$V$8,Hypothèses!$X$8,IF(AN77&lt;=Hypothèses!$V$9,Hypothèses!$X$9,IF(AN77&lt;=Hypothèses!$V$10,Hypothèses!$X$10,IF(AN77&lt;=Hypothèses!$V$11,Hypothèses!$X$11,IF(AN77&lt;=Hypothèses!$V$12,Hypothèses!$X$12,IF(AN77&lt;=Hypothèses!$V$13,Hypothèses!$X$13,IF(AN77&lt;=Hypothèses!$V$14,Hypothèses!$X$14,IF(AN77&lt;=Hypothèses!$V$15,Hypothèses!$X$15,IF(AN77&lt;=Hypothèses!$V$16,Hypothèses!$X$16,IF(AN77&lt;=Hypothèses!$U$17,Hypothèses!$W$17,IF(AN77&lt;=Hypothèses!$U$18,Hypothèses!$W$18,""))))))))))))</f>
        <v>#DIV/0!</v>
      </c>
      <c r="BK77" s="95" t="e">
        <f t="shared" ca="1" si="77"/>
        <v>#DIV/0!</v>
      </c>
      <c r="BL77" s="101" t="e">
        <f t="shared" si="125"/>
        <v>#N/A</v>
      </c>
      <c r="BM77" s="91" t="e">
        <f t="shared" si="29"/>
        <v>#N/A</v>
      </c>
      <c r="BN77" s="30" t="e">
        <f t="shared" si="104"/>
        <v>#N/A</v>
      </c>
      <c r="BO77" s="30" t="e">
        <f t="shared" si="105"/>
        <v>#N/A</v>
      </c>
      <c r="BP77" s="31" t="e">
        <f>IF(OR(Hypothèses!$B$4=17,Hypothèses!$B$4=18,Hypothèses!$B$4=19,Hypothèses!$B$4=20),
IF($D77="Pressio.",
IF(OR($E77=3,$E77=1,$E77=4),BO77,BN77),
IF($D77="Pénétro.",
IF(OR($E77=3,$E77=1,$E77=4),BO77,BN77))),IF($D77="Pressio.",
IF($E77=3,BO77,BN77),
IF($D77="Pénétro.",
IF($E77=4,BO77,BN77))))</f>
        <v>#N/A</v>
      </c>
      <c r="BQ77" s="31" t="e">
        <f>(IF(OR(Hypothèses!$B$4=17,Hypothèses!$B$4=18,Hypothèses!$B$4=19,Hypothèses!$B$4=20),
IF($D77="Pressio.",
IF(OR($E77=3,$E77=1,$E77=4),(PI()*BQ$12^2)/4*(BM77*$W77*1000)/($H77*$B$5),(PI()*BQ$12^2)/4*(BM77*$W77*1000)/($G77*$B$5)),
IF($D77="Pénétro.",
IF(OR($E77=4,$E77=1,$E77=5),(PI()*BQ$12^2)/4*(BM77*$W77*1000)/($H77*$B$5),(PI()*BQ$12^2)/4*(BM77*$W77*1000)/($G77*$B$5)))),
IF($D77="Pressio.",
IF($E77=3,(PI()*BQ$12^2)/4*(BM77*$W77*1000)/($H77*$B$5),(PI()*BQ$12^2)/4*(BM77*$W77*1000)/($G77*$B$5)),
IF($D77="Pénétro.",
IF($E77=4,(PI()*BQ$12^2)/4*(BM77*$W77*1000)/($H77*$B$5),(PI()*BQ$12^2)/4*(BM77*$W77*1000)/($G77*$B$5))))))/10</f>
        <v>#N/A</v>
      </c>
      <c r="BR77" s="102" t="e">
        <f>(VLOOKUP($B$3,'Coeff EC7'!$T$39:$X$59,2,0)*BP77+VLOOKUP($B$3,'Coeff EC7'!$T$65:$X$85,2,0)*Model0.1C!BQ77)/1.1</f>
        <v>#N/A</v>
      </c>
      <c r="BS77" s="102" t="e">
        <f>(VLOOKUP($B$3,'Coeff EC7'!$T$39:$X$59,3,0)*BP77+VLOOKUP($B$3,'Coeff EC7'!$T$65:$X$85,3,0)*Model0.1C!BQ77)/0.9</f>
        <v>#N/A</v>
      </c>
      <c r="BT77" s="102" t="e">
        <f t="shared" si="78"/>
        <v>#N/A</v>
      </c>
      <c r="BU77" s="102" t="e">
        <f t="shared" si="79"/>
        <v>#N/A</v>
      </c>
      <c r="BV77" s="414" t="e">
        <f>IF(BV76=0,0,IF(AND(BR77&gt;charge_ELS_quasi,BS77&gt;Charge_ELS_freq,BT77&gt;charge_ELU,BU77&gt;charge_ELA,$B77&gt;NDC!$H$22-0.1+MIN(3*$BV$12,1.5)),0,1))</f>
        <v>#N/A</v>
      </c>
      <c r="BW77" s="86" t="b">
        <f t="shared" si="32"/>
        <v>0</v>
      </c>
      <c r="BX77" s="86">
        <f t="shared" si="33"/>
        <v>0.5</v>
      </c>
      <c r="BY77" s="86">
        <f t="shared" si="34"/>
        <v>0.5</v>
      </c>
      <c r="BZ77" s="30" t="e">
        <f t="shared" ca="1" si="80"/>
        <v>#DIV/0!</v>
      </c>
      <c r="CA77" s="85" t="e">
        <f ca="1">IF(BG77&lt;=Hypothèses!$V$7,Hypothèses!$W$7,IF(BG77&lt;=Hypothèses!$V$8,Hypothèses!$W$8,IF(BG77&lt;=Hypothèses!$V$9,Hypothèses!$W$9,IF(BG77&lt;=Hypothèses!$V$10,Hypothèses!$W$10,IF(BG77&lt;=Hypothèses!$V$11,Hypothèses!$W$11,IF(BG77&lt;=Hypothèses!$V$12,Hypothèses!$W$12,IF(BG77&lt;=Hypothèses!$V$13,Hypothèses!$W$13,IF(BG77&lt;=Hypothèses!$V$14,Hypothèses!$W$14,IF(BG77&lt;=Hypothèses!$V$15,Hypothèses!$W$15,IF(BG77&lt;=Hypothèses!$V$16,Hypothèses!$W$16,IF(BG77&lt;=Hypothèses!$V$17,Hypothèses!$W$17,IF(BG77&lt;=Hypothèses!$V$18,Hypothèses!$W$18,""))))))))))))</f>
        <v>#DIV/0!</v>
      </c>
      <c r="CB77" s="87" t="e">
        <f t="shared" ca="1" si="119"/>
        <v>#DIV/0!</v>
      </c>
      <c r="CC77" s="88" t="e">
        <f ca="1">IF(BG77&lt;=Hypothèses!$V$7,Hypothèses!$X$7,IF(BG77&lt;=Hypothèses!$V$8,Hypothèses!$X$8,IF(BG77&lt;=Hypothèses!$V$9,Hypothèses!$X$9,IF(BG77&lt;=Hypothèses!$V$10,Hypothèses!$X$10,IF(BG77&lt;=Hypothèses!$V$11,Hypothèses!$X$11,IF(BG77&lt;=Hypothèses!$V$12,Hypothèses!$X$12,IF(BG77&lt;=Hypothèses!$V$13,Hypothèses!$X$13,IF(BG77&lt;=Hypothèses!$V$14,Hypothèses!$X$14,IF(BG77&lt;=Hypothèses!$V$15,Hypothèses!$X$15,IF(BG77&lt;=Hypothèses!$V$16,Hypothèses!$X$16,IF(BG77&lt;=Hypothèses!$U$17,Hypothèses!$W$17,IF(BG77&lt;=Hypothèses!$U$18,Hypothèses!$W$18,""))))))))))))</f>
        <v>#DIV/0!</v>
      </c>
      <c r="CD77" s="95" t="e">
        <f t="shared" ca="1" si="81"/>
        <v>#DIV/0!</v>
      </c>
      <c r="CE77" s="101" t="e">
        <f t="shared" si="126"/>
        <v>#N/A</v>
      </c>
      <c r="CF77" s="91" t="e">
        <f t="shared" si="36"/>
        <v>#N/A</v>
      </c>
      <c r="CG77" s="30" t="e">
        <f t="shared" si="106"/>
        <v>#N/A</v>
      </c>
      <c r="CH77" s="30" t="e">
        <f t="shared" si="107"/>
        <v>#N/A</v>
      </c>
      <c r="CI77" s="31" t="e">
        <f>IF(OR(Hypothèses!$B$4=17,Hypothèses!$B$4=18,Hypothèses!$B$4=19,Hypothèses!$B$4=20),
IF($D77="Pressio.",
IF(OR($E77=3,$E77=1,$E77=4),CH77,CG77),
IF($D77="Pénétro.",
IF(OR($E77=3,$E77=1,$E77=4),CH77,CG77))),IF($D77="Pressio.",
IF($E77=3,CH77,CG77),
IF($D77="Pénétro.",
IF($E77=4,CH77,CG77))))</f>
        <v>#N/A</v>
      </c>
      <c r="CJ77" s="31" t="e">
        <f>(IF(OR(Hypothèses!$B$4=17,Hypothèses!$B$4=18,Hypothèses!$B$4=19,Hypothèses!$B$4=20),
IF($D77="Pressio.",
IF(OR($E77=3,$E77=1,$E77=4),(PI()*CJ$12^2)/4*(CF77*$W77*1000)/($H77*$B$5),(PI()*CJ$12^2)/4*(CF77*$W77*1000)/($G77*$B$5)),
IF($D77="Pénétro.",
IF(OR($E77=4,$E77=1,$E77=5),(PI()*CJ$12^2)/4*(CF77*$W77*1000)/($H77*$B$5),(PI()*CJ$12^2)/4*(CF77*$W77*1000)/($G77*$B$5)))),
IF($D77="Pressio.",
IF($E77=3,(PI()*CJ$12^2)/4*(CF77*$W77*1000)/($H77*$B$5),(PI()*CJ$12^2)/4*(CF77*$W77*1000)/($G77*$B$5)),
IF($D77="Pénétro.",
IF($E77=4,(PI()*CJ$12^2)/4*(CF77*$W77*1000)/($H77*$B$5),(PI()*CJ$12^2)/4*(CF77*$W77*1000)/($G77*$B$5))))))/10</f>
        <v>#N/A</v>
      </c>
      <c r="CK77" s="102" t="e">
        <f>(VLOOKUP($B$3,'Coeff EC7'!$T$39:$X$59,2,0)*CI77+VLOOKUP($B$3,'Coeff EC7'!$T$65:$X$85,2,0)*Model0.1C!CJ77)/1.1</f>
        <v>#N/A</v>
      </c>
      <c r="CL77" s="102" t="e">
        <f>(VLOOKUP($B$3,'Coeff EC7'!$T$39:$X$59,3,0)*CI77+VLOOKUP($B$3,'Coeff EC7'!$T$65:$X$85,3,0)*Model0.1C!CJ77)/0.9</f>
        <v>#N/A</v>
      </c>
      <c r="CM77" s="102" t="e">
        <f t="shared" si="82"/>
        <v>#N/A</v>
      </c>
      <c r="CN77" s="102" t="e">
        <f t="shared" si="83"/>
        <v>#N/A</v>
      </c>
      <c r="CO77" s="414" t="e">
        <f>IF(CO76=0,0,IF(AND(CK77&gt;charge_ELS_quasi,CL77&gt;Charge_ELS_freq,CM77&gt;charge_ELU,CN77&gt;charge_ELA,$B77&gt;NDC!$H$22-0.1+MIN(3*$CO$12,1.5)),0,1))</f>
        <v>#N/A</v>
      </c>
      <c r="CP77" s="86" t="b">
        <f t="shared" si="39"/>
        <v>0</v>
      </c>
      <c r="CQ77" s="86">
        <f t="shared" si="40"/>
        <v>0.5</v>
      </c>
      <c r="CR77" s="86">
        <f t="shared" si="41"/>
        <v>0.5</v>
      </c>
      <c r="CS77" s="30" t="e">
        <f t="shared" ca="1" si="84"/>
        <v>#DIV/0!</v>
      </c>
      <c r="CT77" s="85" t="e">
        <f ca="1">IF(BZ77&lt;=Hypothèses!$V$7,Hypothèses!$W$7,IF(BZ77&lt;=Hypothèses!$V$8,Hypothèses!$W$8,IF(BZ77&lt;=Hypothèses!$V$9,Hypothèses!$W$9,IF(BZ77&lt;=Hypothèses!$V$10,Hypothèses!$W$10,IF(BZ77&lt;=Hypothèses!$V$11,Hypothèses!$W$11,IF(BZ77&lt;=Hypothèses!$V$12,Hypothèses!$W$12,IF(BZ77&lt;=Hypothèses!$V$13,Hypothèses!$W$13,IF(BZ77&lt;=Hypothèses!$V$14,Hypothèses!$W$14,IF(BZ77&lt;=Hypothèses!$V$15,Hypothèses!$W$15,IF(BZ77&lt;=Hypothèses!$V$16,Hypothèses!$W$16,IF(BZ77&lt;=Hypothèses!$V$17,Hypothèses!$W$17,IF(BZ77&lt;=Hypothèses!$V$18,Hypothèses!$W$18,""))))))))))))</f>
        <v>#DIV/0!</v>
      </c>
      <c r="CU77" s="87" t="e">
        <f t="shared" ca="1" si="120"/>
        <v>#DIV/0!</v>
      </c>
      <c r="CV77" s="88" t="e">
        <f ca="1">IF(BZ77&lt;=Hypothèses!$V$7,Hypothèses!$X$7,IF(BZ77&lt;=Hypothèses!$V$8,Hypothèses!$X$8,IF(BZ77&lt;=Hypothèses!$V$9,Hypothèses!$X$9,IF(BZ77&lt;=Hypothèses!$V$10,Hypothèses!$X$10,IF(BZ77&lt;=Hypothèses!$V$11,Hypothèses!$X$11,IF(BZ77&lt;=Hypothèses!$V$12,Hypothèses!$X$12,IF(BZ77&lt;=Hypothèses!$V$13,Hypothèses!$X$13,IF(BZ77&lt;=Hypothèses!$V$14,Hypothèses!$X$14,IF(BZ77&lt;=Hypothèses!$V$15,Hypothèses!$X$15,IF(BZ77&lt;=Hypothèses!$V$16,Hypothèses!$X$16,IF(BZ77&lt;=Hypothèses!$U$17,Hypothèses!$W$17,IF(BZ77&lt;=Hypothèses!$U$18,Hypothèses!$W$18,""))))))))))))</f>
        <v>#DIV/0!</v>
      </c>
      <c r="CW77" s="95" t="e">
        <f t="shared" ca="1" si="85"/>
        <v>#DIV/0!</v>
      </c>
      <c r="CX77" s="101" t="e">
        <f t="shared" si="127"/>
        <v>#N/A</v>
      </c>
      <c r="CY77" s="91" t="e">
        <f t="shared" si="43"/>
        <v>#N/A</v>
      </c>
      <c r="CZ77" s="30" t="e">
        <f t="shared" si="108"/>
        <v>#N/A</v>
      </c>
      <c r="DA77" s="30" t="e">
        <f t="shared" si="109"/>
        <v>#N/A</v>
      </c>
      <c r="DB77" s="31" t="e">
        <f>IF(OR(Hypothèses!$B$4=17,Hypothèses!$B$4=18,Hypothèses!$B$4=19,Hypothèses!$B$4=20),
IF($D77="Pressio.",
IF(OR($E77=3,$E77=1,$E77=4),DA77,CZ77),
IF($D77="Pénétro.",
IF(OR($E77=3,$E77=1,$E77=4),DA77,CZ77))),IF($D77="Pressio.",
IF($E77=3,DA77,CZ77),
IF($D77="Pénétro.",
IF($E77=4,DA77,CZ77))))</f>
        <v>#N/A</v>
      </c>
      <c r="DC77" s="31" t="e">
        <f>(IF(OR(Hypothèses!$B$4=17,Hypothèses!$B$4=18,Hypothèses!$B$4=19,Hypothèses!$B$4=20),
IF($D77="Pressio.",
IF(OR($E77=3,$E77=1,$E77=4),(PI()*DC$12^2)/4*(CY77*$W77*1000)/($H77*$B$5),(PI()*DC$12^2)/4*(CY77*$W77*1000)/($G77*$B$5)),
IF($D77="Pénétro.",
IF(OR($E77=4,$E77=1,$E77=5),(PI()*DC$12^2)/4*(CY77*$W77*1000)/($H77*$B$5),(PI()*DC$12^2)/4*(CY77*$W77*1000)/($G77*$B$5)))),
IF($D77="Pressio.",
IF($E77=3,(PI()*DC$12^2)/4*(CY77*$W77*1000)/($H77*$B$5),(PI()*DC$12^2)/4*(CY77*$W77*1000)/($G77*$B$5)),
IF($D77="Pénétro.",
IF($E77=4,(PI()*DC$12^2)/4*(CY77*$W77*1000)/($H77*$B$5),(PI()*DC$12^2)/4*(CY77*$W77*1000)/($G77*$B$5))))))/10</f>
        <v>#N/A</v>
      </c>
      <c r="DD77" s="102" t="e">
        <f>(VLOOKUP($B$3,'Coeff EC7'!$T$39:$X$59,2,0)*DB77+VLOOKUP($B$3,'Coeff EC7'!$T$65:$X$85,2,0)*Model0.1C!DC77)/1.1</f>
        <v>#N/A</v>
      </c>
      <c r="DE77" s="102" t="e">
        <f>(VLOOKUP($B$3,'Coeff EC7'!$T$39:$X$59,3,0)*DB77+VLOOKUP($B$3,'Coeff EC7'!$T$65:$X$85,3,0)*Model0.1C!DC77)/0.9</f>
        <v>#N/A</v>
      </c>
      <c r="DF77" s="102" t="e">
        <f t="shared" si="86"/>
        <v>#N/A</v>
      </c>
      <c r="DG77" s="102" t="e">
        <f t="shared" si="87"/>
        <v>#N/A</v>
      </c>
      <c r="DH77" s="414" t="e">
        <f>IF(DH76=0,0,IF(AND(DD77&gt;charge_ELS_quasi,DE77&gt;Charge_ELS_freq,DF77&gt;charge_ELU,DG77&gt;charge_ELA,$B77&gt;NDC!$H$22-0.1+MIN(3*$DH$12,1.5)),0,1))</f>
        <v>#N/A</v>
      </c>
      <c r="DI77" s="86" t="b">
        <f t="shared" si="46"/>
        <v>0</v>
      </c>
      <c r="DJ77" s="86">
        <f t="shared" si="47"/>
        <v>0.5</v>
      </c>
      <c r="DK77" s="86">
        <f t="shared" si="48"/>
        <v>0.5</v>
      </c>
      <c r="DL77" s="30" t="e">
        <f t="shared" ca="1" si="88"/>
        <v>#DIV/0!</v>
      </c>
      <c r="DM77" s="85" t="e">
        <f ca="1">IF(CS77&lt;=Hypothèses!$V$7,Hypothèses!$W$7,IF(CS77&lt;=Hypothèses!$V$8,Hypothèses!$W$8,IF(CS77&lt;=Hypothèses!$V$9,Hypothèses!$W$9,IF(CS77&lt;=Hypothèses!$V$10,Hypothèses!$W$10,IF(CS77&lt;=Hypothèses!$V$11,Hypothèses!$W$11,IF(CS77&lt;=Hypothèses!$V$12,Hypothèses!$W$12,IF(CS77&lt;=Hypothèses!$V$13,Hypothèses!$W$13,IF(CS77&lt;=Hypothèses!$V$14,Hypothèses!$W$14,IF(CS77&lt;=Hypothèses!$V$15,Hypothèses!$W$15,IF(CS77&lt;=Hypothèses!$V$16,Hypothèses!$W$16,IF(CS77&lt;=Hypothèses!$V$17,Hypothèses!$W$17,IF(CS77&lt;=Hypothèses!$V$18,Hypothèses!$W$18,""))))))))))))</f>
        <v>#DIV/0!</v>
      </c>
      <c r="DN77" s="87" t="e">
        <f t="shared" ca="1" si="121"/>
        <v>#DIV/0!</v>
      </c>
      <c r="DO77" s="88" t="e">
        <f ca="1">IF(CS77&lt;=Hypothèses!$V$7,Hypothèses!$X$7,IF(CS77&lt;=Hypothèses!$V$8,Hypothèses!$X$8,IF(CS77&lt;=Hypothèses!$V$9,Hypothèses!$X$9,IF(CS77&lt;=Hypothèses!$V$10,Hypothèses!$X$10,IF(CS77&lt;=Hypothèses!$V$11,Hypothèses!$X$11,IF(CS77&lt;=Hypothèses!$V$12,Hypothèses!$X$12,IF(CS77&lt;=Hypothèses!$V$13,Hypothèses!$X$13,IF(CS77&lt;=Hypothèses!$V$14,Hypothèses!$X$14,IF(CS77&lt;=Hypothèses!$V$15,Hypothèses!$X$15,IF(CS77&lt;=Hypothèses!$V$16,Hypothèses!$X$16,IF(CS77&lt;=Hypothèses!$U$17,Hypothèses!$W$17,IF(CS77&lt;=Hypothèses!$U$18,Hypothèses!$W$18,""))))))))))))</f>
        <v>#DIV/0!</v>
      </c>
      <c r="DP77" s="95" t="e">
        <f t="shared" ca="1" si="89"/>
        <v>#DIV/0!</v>
      </c>
      <c r="DQ77" s="101" t="e">
        <f t="shared" si="128"/>
        <v>#N/A</v>
      </c>
      <c r="DR77" s="91" t="e">
        <f t="shared" si="50"/>
        <v>#N/A</v>
      </c>
      <c r="DS77" s="30" t="e">
        <f t="shared" si="110"/>
        <v>#N/A</v>
      </c>
      <c r="DT77" s="30" t="e">
        <f t="shared" si="111"/>
        <v>#N/A</v>
      </c>
      <c r="DU77" s="31" t="e">
        <f>IF(OR(Hypothèses!$B$4=17,Hypothèses!$B$4=18,Hypothèses!$B$4=19,Hypothèses!$B$4=20),
IF($D77="Pressio.",
IF(OR($E77=3,$E77=1,$E77=4),DT77,DS77),
IF($D77="Pénétro.",
IF(OR($E77=3,$E77=1,$E77=4),DT77,DS77))),IF($D77="Pressio.",
IF($E77=3,DT77,DS77),
IF($D77="Pénétro.",
IF($E77=4,DT77,DS77))))</f>
        <v>#N/A</v>
      </c>
      <c r="DV77" s="31" t="e">
        <f>(IF(OR(Hypothèses!$B$4=17,Hypothèses!$B$4=18,Hypothèses!$B$4=19,Hypothèses!$B$4=20),
IF($D77="Pressio.",
IF(OR($E77=3,$E77=1,$E77=4),(PI()*DV$12^2)/4*(DR77*$W77*1000)/($H77*$B$5),(PI()*DV$12^2)/4*(DR77*$W77*1000)/($G77*$B$5)),
IF($D77="Pénétro.",
IF(OR($E77=4,$E77=1,$E77=5),(PI()*DV$12^2)/4*(DR77*$W77*1000)/($H77*$B$5),(PI()*DV$12^2)/4*(DR77*$W77*1000)/($G77*$B$5)))),
IF($D77="Pressio.",
IF($E77=3,(PI()*DV$12^2)/4*(DR77*$W77*1000)/($H77*$B$5),(PI()*DV$12^2)/4*(DR77*$W77*1000)/($G77*$B$5)),
IF($D77="Pénétro.",
IF($E77=4,(PI()*DV$12^2)/4*(DR77*$W77*1000)/($H77*$B$5),(PI()*DV$12^2)/4*(DR77*$W77*1000)/($G77*$B$5))))))/10</f>
        <v>#N/A</v>
      </c>
      <c r="DW77" s="102" t="e">
        <f>(VLOOKUP($B$3,'Coeff EC7'!$T$39:$X$59,2,0)*DU77+VLOOKUP($B$3,'Coeff EC7'!$T$65:$X$85,2,0)*Model0.1C!DV77)/1.1</f>
        <v>#N/A</v>
      </c>
      <c r="DX77" s="102" t="e">
        <f>(VLOOKUP($B$3,'Coeff EC7'!$T$39:$X$59,3,0)*DU77+VLOOKUP($B$3,'Coeff EC7'!$T$65:$X$85,3,0)*Model0.1C!DV77)/0.9</f>
        <v>#N/A</v>
      </c>
      <c r="DY77" s="102" t="e">
        <f t="shared" si="90"/>
        <v>#N/A</v>
      </c>
      <c r="DZ77" s="102" t="e">
        <f t="shared" si="91"/>
        <v>#N/A</v>
      </c>
      <c r="EA77" s="414" t="e">
        <f>IF(EA76=0,0,IF(AND(DW77&gt;charge_ELS_quasi,DX77&gt;Charge_ELS_freq,DY77&gt;charge_ELU,DZ77&gt;charge_ELA,$B77&gt;NDC!$H$22-0.1+MIN(3*$EA$12,1.5)),0,1))</f>
        <v>#N/A</v>
      </c>
      <c r="EB77" s="86" t="b">
        <f t="shared" si="53"/>
        <v>0</v>
      </c>
      <c r="EC77" s="418">
        <f t="shared" si="54"/>
        <v>0.51</v>
      </c>
      <c r="ED77" s="86">
        <f t="shared" si="55"/>
        <v>0.51</v>
      </c>
      <c r="EE77" s="30" t="e">
        <f t="shared" ca="1" si="92"/>
        <v>#DIV/0!</v>
      </c>
      <c r="EF77" s="85" t="e">
        <f ca="1">IF(DL77&lt;=Hypothèses!$V$7,Hypothèses!$W$7,IF(DL77&lt;=Hypothèses!$V$8,Hypothèses!$W$8,IF(DL77&lt;=Hypothèses!$V$9,Hypothèses!$W$9,IF(DL77&lt;=Hypothèses!$V$10,Hypothèses!$W$10,IF(DL77&lt;=Hypothèses!$V$11,Hypothèses!$W$11,IF(DL77&lt;=Hypothèses!$V$12,Hypothèses!$W$12,IF(DL77&lt;=Hypothèses!$V$13,Hypothèses!$W$13,IF(DL77&lt;=Hypothèses!$V$14,Hypothèses!$W$14,IF(DL77&lt;=Hypothèses!$V$15,Hypothèses!$W$15,IF(DL77&lt;=Hypothèses!$V$16,Hypothèses!$W$16,IF(DL77&lt;=Hypothèses!$V$17,Hypothèses!$W$17,IF(DL77&lt;=Hypothèses!$V$18,Hypothèses!$W$18,""))))))))))))</f>
        <v>#DIV/0!</v>
      </c>
      <c r="EG77" s="87" t="e">
        <f t="shared" ca="1" si="122"/>
        <v>#DIV/0!</v>
      </c>
      <c r="EH77" s="88" t="e">
        <f ca="1">IF(DL77&lt;=Hypothèses!$V$7,Hypothèses!$X$7,IF(DL77&lt;=Hypothèses!$V$8,Hypothèses!$X$8,IF(DL77&lt;=Hypothèses!$V$9,Hypothèses!$X$9,IF(DL77&lt;=Hypothèses!$V$10,Hypothèses!$X$10,IF(DL77&lt;=Hypothèses!$V$11,Hypothèses!$X$11,IF(DL77&lt;=Hypothèses!$V$12,Hypothèses!$X$12,IF(DL77&lt;=Hypothèses!$V$13,Hypothèses!$X$13,IF(DL77&lt;=Hypothèses!$V$14,Hypothèses!$X$14,IF(DL77&lt;=Hypothèses!$V$15,Hypothèses!$X$15,IF(DL77&lt;=Hypothèses!$V$16,Hypothèses!$X$16,IF(DL77&lt;=Hypothèses!$U$17,Hypothèses!$W$17,IF(DL77&lt;=Hypothèses!$U$18,Hypothèses!$W$18,""))))))))))))</f>
        <v>#DIV/0!</v>
      </c>
      <c r="EI77" s="95" t="e">
        <f t="shared" ca="1" si="93"/>
        <v>#DIV/0!</v>
      </c>
      <c r="EJ77" s="101" t="e">
        <f t="shared" si="129"/>
        <v>#N/A</v>
      </c>
      <c r="EK77" s="91" t="e">
        <f t="shared" si="57"/>
        <v>#N/A</v>
      </c>
      <c r="EL77" s="30" t="e">
        <f t="shared" si="112"/>
        <v>#N/A</v>
      </c>
      <c r="EM77" s="30" t="e">
        <f t="shared" si="113"/>
        <v>#N/A</v>
      </c>
      <c r="EN77" s="31" t="e">
        <f>IF(OR(Hypothèses!$B$4=17,Hypothèses!$B$4=18,Hypothèses!$B$4=19,Hypothèses!$B$4=20),
IF($D77="Pressio.",
IF(OR($E77=3,$E77=1,$E77=4),EM77,EL77),
IF($D77="Pénétro.",
IF(OR($E77=3,$E77=1,$E77=4),EM77,EL77))),IF($D77="Pressio.",
IF($E77=3,EM77,EL77),
IF($D77="Pénétro.",
IF($E77=4,EM77,EL77))))</f>
        <v>#N/A</v>
      </c>
      <c r="EO77" s="31" t="e">
        <f>(IF(OR(Hypothèses!$B$4=17,Hypothèses!$B$4=18,Hypothèses!$B$4=19,Hypothèses!$B$4=20),
IF($D77="Pressio.",
IF(OR($E77=3,$E77=1,$E77=4),(PI()*EO$12^2)/4*(EK77*$W77*1000)/($H77*$B$5),(PI()*EO$12^2)/4*(EK77*$W77*1000)/($G77*$B$5)),
IF($D77="Pénétro.",
IF(OR($E77=4,$E77=1,$E77=5),(PI()*EO$12^2)/4*(EK77*$W77*1000)/($H77*$B$5),(PI()*EO$12^2)/4*(EK77*$W77*1000)/($G77*$B$5)))),
IF($D77="Pressio.",
IF($E77=3,(PI()*EO$12^2)/4*(EK77*$W77*1000)/($H77*$B$5),(PI()*EO$12^2)/4*(EK77*$W77*1000)/($G77*$B$5)),
IF($D77="Pénétro.",
IF($E77=4,(PI()*EO$12^2)/4*(EK77*$W77*1000)/($H77*$B$5),(PI()*EO$12^2)/4*(EK77*$W77*1000)/($G77*$B$5))))))/10</f>
        <v>#N/A</v>
      </c>
      <c r="EP77" s="102" t="e">
        <f>(VLOOKUP($B$3,'Coeff EC7'!$T$39:$X$59,2,0)*EN77+VLOOKUP($B$3,'Coeff EC7'!$T$65:$X$85,2,0)*Model0.1C!EO77)/1.1</f>
        <v>#N/A</v>
      </c>
      <c r="EQ77" s="102" t="e">
        <f>(VLOOKUP($B$3,'Coeff EC7'!$T$39:$X$59,3,0)*EN77+VLOOKUP($B$3,'Coeff EC7'!$T$65:$X$85,3,0)*Model0.1C!EO77)/0.9</f>
        <v>#N/A</v>
      </c>
      <c r="ER77" s="102" t="e">
        <f t="shared" si="94"/>
        <v>#N/A</v>
      </c>
      <c r="ES77" s="102" t="e">
        <f t="shared" si="95"/>
        <v>#N/A</v>
      </c>
      <c r="ET77" s="414" t="e">
        <f>IF(ET76=0,0,IF(AND(EP77&gt;charge_ELS_quasi,EQ77&gt;Charge_ELS_freq,ER77&gt;charge_ELU,ES77&gt;charge_ELA,$B77&gt;NDC!$H$22-0.1+MIN(3*$ET$12,1.5)),0,1))</f>
        <v>#N/A</v>
      </c>
      <c r="EU77" s="86" t="b">
        <f t="shared" si="60"/>
        <v>0</v>
      </c>
      <c r="EV77" s="86">
        <f t="shared" si="61"/>
        <v>0.61</v>
      </c>
      <c r="EW77" s="86">
        <f t="shared" si="62"/>
        <v>0.61</v>
      </c>
      <c r="EX77" s="30" t="e">
        <f t="shared" ca="1" si="96"/>
        <v>#DIV/0!</v>
      </c>
      <c r="EY77" s="85" t="e">
        <f ca="1">IF(EE77&lt;=Hypothèses!$V$7,Hypothèses!$W$7,IF(EE77&lt;=Hypothèses!$V$8,Hypothèses!$W$8,IF(EE77&lt;=Hypothèses!$V$9,Hypothèses!$W$9,IF(EE77&lt;=Hypothèses!$V$10,Hypothèses!$W$10,IF(EE77&lt;=Hypothèses!$V$11,Hypothèses!$W$11,IF(EE77&lt;=Hypothèses!$V$12,Hypothèses!$W$12,IF(EE77&lt;=Hypothèses!$V$13,Hypothèses!$W$13,IF(EE77&lt;=Hypothèses!$V$14,Hypothèses!$W$14,IF(EE77&lt;=Hypothèses!$V$15,Hypothèses!$W$15,IF(EE77&lt;=Hypothèses!$V$16,Hypothèses!$W$16,IF(EE77&lt;=Hypothèses!$V$17,Hypothèses!$W$17,IF(EE77&lt;=Hypothèses!$V$18,Hypothèses!$W$18,""))))))))))))</f>
        <v>#DIV/0!</v>
      </c>
      <c r="EZ77" s="87" t="e">
        <f t="shared" ca="1" si="123"/>
        <v>#DIV/0!</v>
      </c>
      <c r="FA77" s="88" t="e">
        <f ca="1">IF(EE77&lt;=Hypothèses!$V$7,Hypothèses!$X$7,IF(EE77&lt;=Hypothèses!$V$8,Hypothèses!$X$8,IF(EE77&lt;=Hypothèses!$V$9,Hypothèses!$X$9,IF(EE77&lt;=Hypothèses!$V$10,Hypothèses!$X$10,IF(EE77&lt;=Hypothèses!$V$11,Hypothèses!$X$11,IF(EE77&lt;=Hypothèses!$V$12,Hypothèses!$X$12,IF(EE77&lt;=Hypothèses!$V$13,Hypothèses!$X$13,IF(EE77&lt;=Hypothèses!$V$14,Hypothèses!$X$14,IF(EE77&lt;=Hypothèses!$V$15,Hypothèses!$X$15,IF(EE77&lt;=Hypothèses!$V$16,Hypothèses!$X$16,IF(EE77&lt;=Hypothèses!$U$17,Hypothèses!$W$17,IF(EE77&lt;=Hypothèses!$U$18,Hypothèses!$W$18,""))))))))))))</f>
        <v>#DIV/0!</v>
      </c>
      <c r="FB77" s="95" t="e">
        <f t="shared" ca="1" si="97"/>
        <v>#DIV/0!</v>
      </c>
      <c r="FC77" s="101" t="e">
        <f t="shared" si="130"/>
        <v>#N/A</v>
      </c>
      <c r="FD77" s="91" t="e">
        <f t="shared" si="64"/>
        <v>#N/A</v>
      </c>
      <c r="FE77" s="30" t="e">
        <f t="shared" si="114"/>
        <v>#N/A</v>
      </c>
      <c r="FF77" s="30" t="e">
        <f t="shared" si="115"/>
        <v>#N/A</v>
      </c>
      <c r="FG77" s="31" t="e">
        <f>IF(OR(Hypothèses!$B$4=17,Hypothèses!$B$4=18,Hypothèses!$B$4=19,Hypothèses!$B$4=20),
IF($D77="Pressio.",
IF(OR($E77=3,$E77=1,$E77=4),FF77,FE77),
IF($D77="Pénétro.",
IF(OR($E77=3,$E77=1,$E77=4),FF77,FE77))),IF($D77="Pressio.",
IF($E77=3,FF77,FE77),
IF($D77="Pénétro.",
IF($E77=4,FF77,FE77))))</f>
        <v>#N/A</v>
      </c>
      <c r="FH77" s="31" t="e">
        <f>(IF(OR(Hypothèses!$B$4=17,Hypothèses!$B$4=18,Hypothèses!$B$4=19,Hypothèses!$B$4=20),
IF($D77="Pressio.",
IF(OR($E77=3,$E77=1,$E77=4),(PI()*FH$12^2)/4*(FD77*$W77*1000)/($H77*$B$5),(PI()*FH$12^2)/4*(FD77*$W77*1000)/($G77*$B$5)),
IF($D77="Pénétro.",
IF(OR($E77=4,$E77=1,$E77=5),(PI()*FH$12^2)/4*(FD77*$W77*1000)/($H77*$B$5),(PI()*FH$12^2)/4*(FD77*$W77*1000)/($G77*$B$5)))),
IF($D77="Pressio.",
IF($E77=3,(PI()*FH$12^2)/4*(FD77*$W77*1000)/($H77*$B$5),(PI()*FH$12^2)/4*(FD77*$W77*1000)/($G77*$B$5)),
IF($D77="Pénétro.",
IF($E77=4,(PI()*FH$12^2)/4*(FD77*$W77*1000)/($H77*$B$5),(PI()*FH$12^2)/4*(FD77*$W77*1000)/($G77*$B$5))))))/10</f>
        <v>#N/A</v>
      </c>
      <c r="FI77" s="102" t="e">
        <f>(VLOOKUP($B$3,'Coeff EC7'!$T$39:$X$59,2,0)*FG77+VLOOKUP($B$3,'Coeff EC7'!$T$65:$X$85,2,0)*Model0.1C!FH77)/1.1</f>
        <v>#N/A</v>
      </c>
      <c r="FJ77" s="102" t="e">
        <f>(VLOOKUP($B$3,'Coeff EC7'!$T$39:$X$59,3,0)*FG77+VLOOKUP($B$3,'Coeff EC7'!$T$65:$X$85,3,0)*Model0.1C!FH77)/0.9</f>
        <v>#N/A</v>
      </c>
      <c r="FK77" s="102" t="e">
        <f t="shared" si="98"/>
        <v>#N/A</v>
      </c>
      <c r="FL77" s="102" t="e">
        <f t="shared" si="99"/>
        <v>#N/A</v>
      </c>
      <c r="FM77" s="414" t="e">
        <f>IF(FM76=0,0,IF(AND(FI77&gt;charge_ELS_quasi,FJ77&gt;Charge_ELS_freq,FK77&gt;charge_ELU,FL77&gt;charge_ELA,$B77&gt;NDC!$H$22-0.1+MIN(3*$FM$12,1.5)),0,1))</f>
        <v>#N/A</v>
      </c>
    </row>
    <row r="78" spans="1:169">
      <c r="A78" s="96">
        <f t="shared" si="67"/>
        <v>93.500000000000369</v>
      </c>
      <c r="B78" s="97">
        <v>6.5</v>
      </c>
      <c r="C78" s="81">
        <f>IF(B78&lt;=Hypothèses!$C$7,Hypothèses!$A$7,IF(B78&lt;=Hypothèses!$C$8,Hypothèses!$A$8,IF(B78&lt;=Hypothèses!$C$9,Hypothèses!$A$9,IF(B78&lt;=Hypothèses!$C$10,Hypothèses!$A$10,IF(B78&lt;=Hypothèses!$C$11,Hypothèses!$A$11,IF(B78&lt;=Hypothèses!$C$12,Hypothèses!$A$12,IF(B78&lt;=Hypothèses!$C$13,Hypothèses!$A$13,IF(B78&lt;=Hypothèses!$C$14,Hypothèses!$A$14,IF(B78&lt;=Hypothèses!$C$15,Hypothèses!$A$15,IF(B78&lt;=Hypothèses!$C$16,Hypothèses!$A$16,IF(B78&lt;=Hypothèses!$C$17,Hypothèses!$A$17,IF(B78&lt;=Hypothèses!$C$18,Hypothèses!$A$18,C77))))))))))))</f>
        <v>11</v>
      </c>
      <c r="D78" s="82" t="str">
        <f>IF(B78&lt;=Hypothèses!$C$7,Hypothèses!$R$7,IF(B78&lt;=Hypothèses!$C$8,Hypothèses!$R$8,IF(B78&lt;=Hypothèses!$C$9,Hypothèses!$R$9,IF(B78&lt;=Hypothèses!$C$10,Hypothèses!$R$10,IF(B78&lt;=Hypothèses!$C$11,Hypothèses!$R$11,IF(B78&lt;=Hypothèses!$C$12,Hypothèses!$R$12,IF(B78&lt;=Hypothèses!$C$13,Hypothèses!$R$13,IF(B78&lt;=Hypothèses!$C$14,Hypothèses!$R$14,IF(B78&lt;=Hypothèses!$C$15,Hypothèses!$R$15,IF(B78&lt;=Hypothèses!$C$16,Hypothèses!$R$16,IF(B78&lt;=Hypothèses!$C$17,Hypothèses!$R$17,IF(B78&lt;=Hypothèses!$C$18,Hypothèses!$R$18,D77))))))))))))</f>
        <v>Pressio.</v>
      </c>
      <c r="E78" s="82" t="e">
        <f>IF(B78&lt;=Hypothèses!$C$7,Hypothèses!$G$7,IF(B78&lt;=Hypothèses!$C$8,Hypothèses!$G$8,IF(B78&lt;=Hypothèses!$C$9,Hypothèses!$G$9,IF(B78&lt;=Hypothèses!$C$10,Hypothèses!$G$10,IF(B78&lt;=Hypothèses!$C$11,Hypothèses!$G$11,IF(B78&lt;=Hypothèses!$C$12,Hypothèses!$G$12,IF(B78&lt;=Hypothèses!$C$13,Hypothèses!$G$13,IF(B78&lt;=Hypothèses!$C$14,Hypothèses!$G$14,IF(B78&lt;=Hypothèses!$C$15,Hypothèses!$G$15,IF(B78&lt;=Hypothèses!$C$16,Hypothèses!$G$16,IF(B78&lt;=Hypothèses!$C$17,Hypothèses!$G$17,IF(B78&lt;=Hypothèses!$C$18,Hypothèses!$G$18,E77))))))))))))</f>
        <v>#N/A</v>
      </c>
      <c r="F78" s="82" t="str">
        <f>IF(B78&lt;=Hypothèses!$C$7,Hypothèses!$F$7,IF(B78&lt;=Hypothèses!$C$8,Hypothèses!$F$8,IF(B78&lt;=Hypothèses!$C$9,Hypothèses!$F$9,IF(B78&lt;=Hypothèses!$C$10,Hypothèses!$F$10,IF(B78&lt;=Hypothèses!$C$11,Hypothèses!$F$11,IF(B78&lt;=Hypothèses!$C$12,Hypothèses!$F$12,IF(B78&lt;=Hypothèses!$C$13,Hypothèses!$F$13,IF(B78&lt;=Hypothèses!$C$14,Hypothèses!$F$14,IF(B78&lt;=Hypothèses!$C$15,Hypothèses!$F$15,IF(B78&lt;=Hypothèses!$C$16,Hypothèses!$F$16,IF(B78&lt;=Hypothèses!$C$17,Hypothèses!$F$17,IF(B78&lt;=Hypothèses!$C$18,Hypothèses!$F$18,F77))))))))))))</f>
        <v/>
      </c>
      <c r="G78" s="91">
        <f t="array" ref="G78">INDEX('Coeff EC7'!$U$7:$X$27,
MATCH(Model0.1C!$B$3,'Coeff EC7'!$T$7:$T$27,0),
MATCH(Model0.1C!$D78&amp;Model0.1C!$B$4,
'Coeff EC7'!$U$6:$X$6&amp;
'Coeff EC7'!$U$5:$X$5,0))</f>
        <v>1.1499999999999999</v>
      </c>
      <c r="H78" s="91">
        <f t="array" ref="H78">INDEX('Coeff EC7'!$Y$7:$AB$27,
MATCH(Model0.1C!$B$3,'Coeff EC7'!$T$7:$T$27,0),
MATCH(Model0.1C!$D78&amp;Model0.1C!$B$4,
'Coeff EC7'!$Y$6:$AB$6&amp;
'Coeff EC7'!$Y$5:$AB$5,0))</f>
        <v>1.4</v>
      </c>
      <c r="I78" s="83" t="e">
        <f>IF(B78&lt;=Hypothèses!$C$7,Hypothèses!$P$7,IF(B78&lt;=Hypothèses!$C$8,Hypothèses!$P$8,IF(B78&lt;=Hypothèses!$C$9,Hypothèses!$P$9,IF(B78&lt;=Hypothèses!$C$10,Hypothèses!$P$10,IF(B78&lt;=Hypothèses!$C$11,Hypothèses!$P$11,IF(B78&lt;=Hypothèses!$C$12,Hypothèses!$P$12,IF(B78&lt;=Hypothèses!$C$13,Hypothèses!$P$13,IF(B78&lt;=Hypothèses!$C$14,Hypothèses!$P$14,IF(B78&lt;=Hypothèses!$C$15,Hypothèses!$P$15,IF(B78&lt;=Hypothèses!$C$16,Hypothèses!$P$16,IF(B78&lt;=Hypothèses!$C$17,Hypothèses!$P$17,IF(B78&lt;=Hypothèses!$C$18,Hypothèses!$P$18,I77))))))))))))</f>
        <v>#N/A</v>
      </c>
      <c r="J78" s="91" t="e">
        <f t="array" ref="J78">INDEX('Coeff EC7'!$D$33:$Q$33,1,MATCH(D78&amp;E78,'Coeff EC7'!$D$31:$Q$31&amp;'Coeff EC7'!$D$32:$Q$32,0))</f>
        <v>#N/A</v>
      </c>
      <c r="K78" s="91" t="e">
        <f t="array" ref="K78">INDEX('Coeff EC7'!$D$34:$Q$34,1,MATCH(D78&amp;E78,'Coeff EC7'!$D$31:$Q$31&amp;'Coeff EC7'!$D$32:$Q$32,0))</f>
        <v>#N/A</v>
      </c>
      <c r="L78" s="91" t="e">
        <f t="array" ref="L78">INDEX('Coeff EC7'!$D$35:$Q$35,1,MATCH(D78&amp;E78,'Coeff EC7'!$D$31:$Q$31&amp;'Coeff EC7'!$D$32:$Q$32,0))</f>
        <v>#N/A</v>
      </c>
      <c r="M78" s="98" t="e">
        <f t="shared" si="131"/>
        <v>#N/A</v>
      </c>
      <c r="N78" s="99" t="e">
        <f t="array" ref="N78">INDEX('Coeff EC7'!$D$7:$Q$27,MATCH($B$3,'Coeff EC7'!$C$7:$C$27,0),MATCH(D78&amp;E78,'Coeff EC7'!$D$5:$Q$5&amp;'Coeff EC7'!$D$6:$Q$6,0))</f>
        <v>#N/A</v>
      </c>
      <c r="O78" s="99" t="e">
        <f t="array" ref="O78">INDEX('Coeff EC7'!$D$41:$Q$61,MATCH($B$3,'Coeff EC7'!$C$41:$C$61,0),MATCH(D78&amp;E78,'Coeff EC7'!$D$39:$Q$39&amp;'Coeff EC7'!$D$40:$Q$40,0))</f>
        <v>#N/A</v>
      </c>
      <c r="P78" s="30" t="e">
        <f t="shared" si="68"/>
        <v>#N/A</v>
      </c>
      <c r="Q78" s="100" t="e">
        <f t="shared" ref="Q78:Q141" si="133">MIN(O78,P78)*$B$10</f>
        <v>#N/A</v>
      </c>
      <c r="R78" s="86" t="b">
        <f t="shared" ref="R78:R141" si="134">IF($B78&lt;=$P$4, $B78, IF($B78&lt;=$P$5, $B78-$P$4, IF($B78&lt;=$P$6, $B78-$P$5, IF($B78&lt;=$P$7,$B78-$P$6, IF($B78&lt;=$P$8, $B78-$P$7, IF($B78&lt;=$P$9, $B78-$P$8, IF($B78&lt;=$P$10,$B78-$P$9)))))))</f>
        <v>0</v>
      </c>
      <c r="S78" s="86">
        <f t="shared" si="132"/>
        <v>0.5</v>
      </c>
      <c r="T78" s="86">
        <f t="shared" ref="T78:T141" si="135">MIN(S78,R78)</f>
        <v>0.5</v>
      </c>
      <c r="U78" s="30" t="e">
        <f t="shared" ca="1" si="69"/>
        <v>#DIV/0!</v>
      </c>
      <c r="V78" s="85" t="str">
        <f>IF(B78&lt;=Hypothèses!$V$7,Hypothèses!$W$7,IF(B78&lt;=Hypothèses!$V$8,Hypothèses!$W$8,IF(B78&lt;=Hypothèses!$V$9,Hypothèses!$W$9,IF(B78&lt;=Hypothèses!$V$10,Hypothèses!$W$10,IF(B78&lt;=Hypothèses!$V$11,Hypothèses!$W$11,IF(B78&lt;=Hypothèses!$V$12,Hypothèses!$W$12,IF(B78&lt;=Hypothèses!$V$13,Hypothèses!$W$13,IF(B78&lt;=Hypothèses!$V$14,Hypothèses!$W$14,IF(B78&lt;=Hypothèses!$V$15,Hypothèses!$W$15,IF(B78&lt;=Hypothèses!$V$16,Hypothèses!$W$16,IF(B78&lt;=Hypothèses!$V$17,Hypothèses!$W$17,IF(B78&lt;=Hypothèses!$V$18,Hypothèses!$W$18,""))))))))))))</f>
        <v/>
      </c>
      <c r="W78" s="87" t="e">
        <f t="shared" ca="1" si="116"/>
        <v>#DIV/0!</v>
      </c>
      <c r="X78" s="88" t="str">
        <f>IF(B78&lt;=Hypothèses!$V$7,Hypothèses!$X$7,IF(B78&lt;=Hypothèses!$V$8,Hypothèses!$X$8,IF(B78&lt;=Hypothèses!$V$9,Hypothèses!$X$9,IF(B78&lt;=Hypothèses!$V$10,Hypothèses!$X$10,IF(B78&lt;=Hypothèses!$V$11,Hypothèses!$X$11,IF(B78&lt;=Hypothèses!$V$12,Hypothèses!$X$12,IF(B78&lt;=Hypothèses!$V$13,Hypothèses!$X$13,IF(B78&lt;=Hypothèses!$V$14,Hypothèses!$X$14,IF(B78&lt;=Hypothèses!$V$15,Hypothèses!$X$15,IF(B78&lt;=Hypothèses!$V$16,Hypothèses!$X$16,IF(B78&lt;=Hypothèses!$U$17,Hypothèses!$W$17,IF(B78&lt;=Hypothèses!$U$18,Hypothèses!$W$18,""))))))))))))</f>
        <v/>
      </c>
      <c r="Y78" s="95" t="e">
        <f t="shared" ref="Y78:Y141" ca="1" si="136">IF($B78&lt;10*$AI$12,0.1/W78*SUM(OFFSET(F78,-10*$B78+1,0,10*$B78,1)),0.1/W78*SUM(OFFSET(F78,-100*$AI$12+1,0,100*$AI$12,1)))</f>
        <v>#DIV/0!</v>
      </c>
      <c r="Z78" s="101" t="e">
        <f t="shared" ref="Z78:Z141" si="137">IF($I78=0,0,
IF(Y78&gt;5*AD$12,$I78,
IF($D78="Pressio.",1+($I78-1)*(Y78/AD$12)/5,
IF($D78="Pénétro.",IF($E78=1,0.3+($I78-0.3)*(Y78/AD$12)/5,
IF($E78=2,0.2+($I78-0.2)*(Y78/AD$12)/5,
IF($E78=3,0.1+($I78-0.1)*(Y78/AD$12)/5,
0.15+($I78-0.15)*(Y78/AD$12)/5)))))))</f>
        <v>#N/A</v>
      </c>
      <c r="AA78" s="91" t="e">
        <f t="shared" ref="AA78:AA141" si="138">IF($X78&lt;&gt;"",$X78,Z78)</f>
        <v>#N/A</v>
      </c>
      <c r="AB78" s="30" t="e">
        <f t="shared" si="100"/>
        <v>#N/A</v>
      </c>
      <c r="AC78" s="30" t="e">
        <f t="shared" si="101"/>
        <v>#N/A</v>
      </c>
      <c r="AD78" s="31" t="e">
        <f>IF(OR(Hypothèses!$B$4=17,Hypothèses!$B$4=18,Hypothèses!$B$4=19,Hypothèses!$B$4=20),
IF($D78="Pressio.",
IF(OR($E78=3,$E78=1,$E78=4),AC78,AB78),
IF($D78="Pénétro.",
IF(OR($E78=3,$E78=1,$E78=4),AC78,AB78))),IF($D78="Pressio.",
IF($E78=3,AC78,AB78),
IF($D78="Pénétro.",
IF($E78=4,AC78,AB78))))</f>
        <v>#N/A</v>
      </c>
      <c r="AE78" s="31" t="e">
        <f>(IF(OR(Hypothèses!$B$4=17,Hypothèses!$B$4=18,Hypothèses!$B$4=19,Hypothèses!$B$4=20),
IF($D78="Pressio.",
IF(OR($E78=3,$E78=1,$E78=4),(PI()*AE$12^2)/4*(AA78*$W78*1000)/($H78*$B$5),(PI()*AE$12^2)/4*(AA78*$W78*1000)/($G78*$B$5)),
IF($D78="Pénétro.",
IF(OR($E78=4,$E78=1,$E78=5),(PI()*AE$12^2)/4*(AA78*$W78*1000)/($H78*$B$5),(PI()*AE$12^2)/4*(AA78*$W78*1000)/($G78*$B$5)))),
IF($D78="Pressio.",
IF($E78=3,(PI()*AE$12^2)/4*(AA78*$W78*1000)/($H78*$B$5),(PI()*AE$12^2)/4*(AA78*$W78*1000)/($G78*$B$5)),
IF($D78="Pénétro.",
IF($E78=4,(PI()*AE$12^2)/4*(AA78*$W78*1000)/($H78*$B$5),(PI()*AE$12^2)/4*(AA78*$W78*1000)/($G78*$B$5))))))/10</f>
        <v>#N/A</v>
      </c>
      <c r="AF78" s="102" t="e">
        <f>(VLOOKUP($B$3,'Coeff EC7'!$T$39:$X$59,2,0)*AD78+VLOOKUP($B$3,'Coeff EC7'!$T$65:$X$85,2,0)*Model0.1C!AE78)/1.1</f>
        <v>#N/A</v>
      </c>
      <c r="AG78" s="102" t="e">
        <f>(VLOOKUP($B$3,'Coeff EC7'!$T$39:$X$59,3,0)*AD78+VLOOKUP($B$3,'Coeff EC7'!$T$65:$X$85,3,0)*Model0.1C!AE78)/0.9</f>
        <v>#N/A</v>
      </c>
      <c r="AH78" s="102" t="e">
        <f t="shared" ref="AH78:AH141" si="139">AD78/1.1+AE78/1.1</f>
        <v>#N/A</v>
      </c>
      <c r="AI78" s="102" t="e">
        <f t="shared" ref="AI78:AI141" si="140">AD78+AE78</f>
        <v>#N/A</v>
      </c>
      <c r="AJ78" s="414" t="e">
        <f>IF(AJ77=0,0,IF(AND(AF78&gt;charge_ELS_quasi,AG78&gt;Charge_ELS_freq,AH78&gt;charge_ELU,AI78&gt;charge_ELA,$B78&gt;NDC!$H$22-0.1+MIN(3*$AJ$12,1.5)),0,1))</f>
        <v>#N/A</v>
      </c>
      <c r="AK78" s="86" t="b">
        <f t="shared" ref="AK78:AK141" si="141">IF($B78&lt;=$P$4, $B78, IF($B78&lt;=$P$5, $B78-$P$4, IF($B78&lt;=$P$6, $B78-$P$5, IF($B78&lt;=$P$7,$B78-$P$6, IF($B78&lt;=$P$8, $B78-$P$7, IF($B78&lt;=$P$9, $B78-$P$8, IF($B78&lt;=$P$10,$B78-$P$9)))))))</f>
        <v>0</v>
      </c>
      <c r="AL78" s="86">
        <f t="shared" si="70"/>
        <v>0.5</v>
      </c>
      <c r="AM78" s="86">
        <f t="shared" ref="AM78:AM141" si="142">MIN(AL78,AK78)</f>
        <v>0.5</v>
      </c>
      <c r="AN78" s="30" t="e">
        <f t="shared" ca="1" si="71"/>
        <v>#DIV/0!</v>
      </c>
      <c r="AO78" s="85" t="e">
        <f ca="1">IF(U78&lt;=Hypothèses!$V$7,Hypothèses!$W$7,IF(U78&lt;=Hypothèses!$V$8,Hypothèses!$W$8,IF(U78&lt;=Hypothèses!$V$9,Hypothèses!$W$9,IF(U78&lt;=Hypothèses!$V$10,Hypothèses!$W$10,IF(U78&lt;=Hypothèses!$V$11,Hypothèses!$W$11,IF(U78&lt;=Hypothèses!$V$12,Hypothèses!$W$12,IF(U78&lt;=Hypothèses!$V$13,Hypothèses!$W$13,IF(U78&lt;=Hypothèses!$V$14,Hypothèses!$W$14,IF(U78&lt;=Hypothèses!$V$15,Hypothèses!$W$15,IF(U78&lt;=Hypothèses!$V$16,Hypothèses!$W$16,IF(U78&lt;=Hypothèses!$V$17,Hypothèses!$W$17,IF(U78&lt;=Hypothèses!$V$18,Hypothèses!$W$18,""))))))))))))</f>
        <v>#DIV/0!</v>
      </c>
      <c r="AP78" s="87" t="e">
        <f t="shared" ca="1" si="117"/>
        <v>#DIV/0!</v>
      </c>
      <c r="AQ78" s="88" t="e">
        <f ca="1">IF(U78&lt;=Hypothèses!$V$7,Hypothèses!$X$7,IF(U78&lt;=Hypothèses!$V$8,Hypothèses!$X$8,IF(U78&lt;=Hypothèses!$V$9,Hypothèses!$X$9,IF(U78&lt;=Hypothèses!$V$10,Hypothèses!$X$10,IF(U78&lt;=Hypothèses!$V$11,Hypothèses!$X$11,IF(U78&lt;=Hypothèses!$V$12,Hypothèses!$X$12,IF(U78&lt;=Hypothèses!$V$13,Hypothèses!$X$13,IF(U78&lt;=Hypothèses!$V$14,Hypothèses!$X$14,IF(U78&lt;=Hypothèses!$V$15,Hypothèses!$X$15,IF(U78&lt;=Hypothèses!$V$16,Hypothèses!$X$16,IF(U78&lt;=Hypothèses!$U$17,Hypothèses!$W$17,IF(U78&lt;=Hypothèses!$U$18,Hypothèses!$W$18,""))))))))))))</f>
        <v>#DIV/0!</v>
      </c>
      <c r="AR78" s="95" t="e">
        <f t="shared" ca="1" si="72"/>
        <v>#DIV/0!</v>
      </c>
      <c r="AS78" s="101" t="e">
        <f t="shared" si="124"/>
        <v>#N/A</v>
      </c>
      <c r="AT78" s="91" t="e">
        <f t="shared" ref="AT78:AT141" si="143">IF($X78&lt;&gt;"",$X78,AS78)</f>
        <v>#N/A</v>
      </c>
      <c r="AU78" s="30" t="e">
        <f t="shared" si="102"/>
        <v>#N/A</v>
      </c>
      <c r="AV78" s="30" t="e">
        <f t="shared" si="103"/>
        <v>#N/A</v>
      </c>
      <c r="AW78" s="31" t="e">
        <f>IF(OR(Hypothèses!$B$4=17,Hypothèses!$B$4=18,Hypothèses!$B$4=19,Hypothèses!$B$4=20),
IF($D78="Pressio.",
IF(OR($E78=3,$E78=1,$E78=4),AV78,AU78),
IF($D78="Pénétro.",
IF(OR($E78=3,$E78=1,$E78=4),AV78,AU78))),IF($D78="Pressio.",
IF($E78=3,AV78,AU78),
IF($D78="Pénétro.",
IF($E78=4,AV78,AU78))))</f>
        <v>#N/A</v>
      </c>
      <c r="AX78" s="31" t="e">
        <f>(IF(OR(Hypothèses!$B$4=17,Hypothèses!$B$4=18,Hypothèses!$B$4=19,Hypothèses!$B$4=20),
IF($D78="Pressio.",
IF(OR($E78=3,$E78=1,$E78=4),(PI()*AX$12^2)/4*(AT78*$W78*1000)/($H78*$B$5),(PI()*AX$12^2)/4*(AT78*$W78*1000)/($G78*$B$5)),
IF($D78="Pénétro.",
IF(OR($E78=4,$E78=1,$E78=5),(PI()*AX$12^2)/4*(AT78*$W78*1000)/($H78*$B$5),(PI()*AX$12^2)/4*(AT78*$W78*1000)/($G78*$B$5)))),
IF($D78="Pressio.",
IF($E78=3,(PI()*AX$12^2)/4*(AT78*$W78*1000)/($H78*$B$5),(PI()*AX$12^2)/4*(AT78*$W78*1000)/($G78*$B$5)),
IF($D78="Pénétro.",
IF($E78=4,(PI()*AX$12^2)/4*(AT78*$W78*1000)/($H78*$B$5),(PI()*AX$12^2)/4*(AT78*$W78*1000)/($G78*$B$5))))))/10</f>
        <v>#N/A</v>
      </c>
      <c r="AY78" s="102" t="e">
        <f>(VLOOKUP($B$3,'Coeff EC7'!$T$39:$X$59,2,0)*AW78+VLOOKUP($B$3,'Coeff EC7'!$T$65:$X$85,2,0)*Model0.1C!AX78)/1.1</f>
        <v>#N/A</v>
      </c>
      <c r="AZ78" s="102" t="e">
        <f>(VLOOKUP($B$3,'Coeff EC7'!$T$39:$X$59,3,0)*AW78+VLOOKUP($B$3,'Coeff EC7'!$T$65:$X$85,3,0)*Model0.1C!AX78)/0.9</f>
        <v>#N/A</v>
      </c>
      <c r="BA78" s="102" t="e">
        <f t="shared" si="73"/>
        <v>#N/A</v>
      </c>
      <c r="BB78" s="102" t="e">
        <f t="shared" si="74"/>
        <v>#N/A</v>
      </c>
      <c r="BC78" s="414" t="e">
        <f>IF(BC77=0,0,IF(AND(AY78&gt;charge_ELS_quasi,AZ78&gt;Charge_ELS_freq,BA78&gt;charge_ELU,BB78&gt;charge_ELA,$B78&gt;NDC!$H$22-0.1+MIN(3*$BC$12,1.5)),0,1))</f>
        <v>#N/A</v>
      </c>
      <c r="BD78" s="86" t="b">
        <f t="shared" ref="BD78:BD141" si="144">IF($B78&lt;=$P$4, $B78, IF($B78&lt;=$P$5, $B78-$P$4, IF($B78&lt;=$P$6, $B78-$P$5, IF($B78&lt;=$P$7,$B78-$P$6, IF($B78&lt;=$P$8, $B78-$P$7, IF($B78&lt;=$P$9, $B78-$P$8, IF($B78&lt;=$P$10,$B78-$P$9)))))))</f>
        <v>0</v>
      </c>
      <c r="BE78" s="86">
        <f t="shared" si="75"/>
        <v>0.5</v>
      </c>
      <c r="BF78" s="86">
        <f t="shared" ref="BF78:BF141" si="145">MIN(BE78,BD78)</f>
        <v>0.5</v>
      </c>
      <c r="BG78" s="30" t="e">
        <f t="shared" ca="1" si="76"/>
        <v>#DIV/0!</v>
      </c>
      <c r="BH78" s="85" t="e">
        <f ca="1">IF(AN78&lt;=Hypothèses!$V$7,Hypothèses!$W$7,IF(AN78&lt;=Hypothèses!$V$8,Hypothèses!$W$8,IF(AN78&lt;=Hypothèses!$V$9,Hypothèses!$W$9,IF(AN78&lt;=Hypothèses!$V$10,Hypothèses!$W$10,IF(AN78&lt;=Hypothèses!$V$11,Hypothèses!$W$11,IF(AN78&lt;=Hypothèses!$V$12,Hypothèses!$W$12,IF(AN78&lt;=Hypothèses!$V$13,Hypothèses!$W$13,IF(AN78&lt;=Hypothèses!$V$14,Hypothèses!$W$14,IF(AN78&lt;=Hypothèses!$V$15,Hypothèses!$W$15,IF(AN78&lt;=Hypothèses!$V$16,Hypothèses!$W$16,IF(AN78&lt;=Hypothèses!$V$17,Hypothèses!$W$17,IF(AN78&lt;=Hypothèses!$V$18,Hypothèses!$W$18,""))))))))))))</f>
        <v>#DIV/0!</v>
      </c>
      <c r="BI78" s="87" t="e">
        <f t="shared" ca="1" si="118"/>
        <v>#DIV/0!</v>
      </c>
      <c r="BJ78" s="88" t="e">
        <f ca="1">IF(AN78&lt;=Hypothèses!$V$7,Hypothèses!$X$7,IF(AN78&lt;=Hypothèses!$V$8,Hypothèses!$X$8,IF(AN78&lt;=Hypothèses!$V$9,Hypothèses!$X$9,IF(AN78&lt;=Hypothèses!$V$10,Hypothèses!$X$10,IF(AN78&lt;=Hypothèses!$V$11,Hypothèses!$X$11,IF(AN78&lt;=Hypothèses!$V$12,Hypothèses!$X$12,IF(AN78&lt;=Hypothèses!$V$13,Hypothèses!$X$13,IF(AN78&lt;=Hypothèses!$V$14,Hypothèses!$X$14,IF(AN78&lt;=Hypothèses!$V$15,Hypothèses!$X$15,IF(AN78&lt;=Hypothèses!$V$16,Hypothèses!$X$16,IF(AN78&lt;=Hypothèses!$U$17,Hypothèses!$W$17,IF(AN78&lt;=Hypothèses!$U$18,Hypothèses!$W$18,""))))))))))))</f>
        <v>#DIV/0!</v>
      </c>
      <c r="BK78" s="95" t="e">
        <f t="shared" ca="1" si="77"/>
        <v>#DIV/0!</v>
      </c>
      <c r="BL78" s="101" t="e">
        <f t="shared" si="125"/>
        <v>#N/A</v>
      </c>
      <c r="BM78" s="91" t="e">
        <f t="shared" ref="BM78:BM141" si="146">IF($X78&lt;&gt;"",$X78,BL78)</f>
        <v>#N/A</v>
      </c>
      <c r="BN78" s="30" t="e">
        <f t="shared" si="104"/>
        <v>#N/A</v>
      </c>
      <c r="BO78" s="30" t="e">
        <f t="shared" si="105"/>
        <v>#N/A</v>
      </c>
      <c r="BP78" s="31" t="e">
        <f>IF(OR(Hypothèses!$B$4=17,Hypothèses!$B$4=18,Hypothèses!$B$4=19,Hypothèses!$B$4=20),
IF($D78="Pressio.",
IF(OR($E78=3,$E78=1,$E78=4),BO78,BN78),
IF($D78="Pénétro.",
IF(OR($E78=3,$E78=1,$E78=4),BO78,BN78))),IF($D78="Pressio.",
IF($E78=3,BO78,BN78),
IF($D78="Pénétro.",
IF($E78=4,BO78,BN78))))</f>
        <v>#N/A</v>
      </c>
      <c r="BQ78" s="31" t="e">
        <f>(IF(OR(Hypothèses!$B$4=17,Hypothèses!$B$4=18,Hypothèses!$B$4=19,Hypothèses!$B$4=20),
IF($D78="Pressio.",
IF(OR($E78=3,$E78=1,$E78=4),(PI()*BQ$12^2)/4*(BM78*$W78*1000)/($H78*$B$5),(PI()*BQ$12^2)/4*(BM78*$W78*1000)/($G78*$B$5)),
IF($D78="Pénétro.",
IF(OR($E78=4,$E78=1,$E78=5),(PI()*BQ$12^2)/4*(BM78*$W78*1000)/($H78*$B$5),(PI()*BQ$12^2)/4*(BM78*$W78*1000)/($G78*$B$5)))),
IF($D78="Pressio.",
IF($E78=3,(PI()*BQ$12^2)/4*(BM78*$W78*1000)/($H78*$B$5),(PI()*BQ$12^2)/4*(BM78*$W78*1000)/($G78*$B$5)),
IF($D78="Pénétro.",
IF($E78=4,(PI()*BQ$12^2)/4*(BM78*$W78*1000)/($H78*$B$5),(PI()*BQ$12^2)/4*(BM78*$W78*1000)/($G78*$B$5))))))/10</f>
        <v>#N/A</v>
      </c>
      <c r="BR78" s="102" t="e">
        <f>(VLOOKUP($B$3,'Coeff EC7'!$T$39:$X$59,2,0)*BP78+VLOOKUP($B$3,'Coeff EC7'!$T$65:$X$85,2,0)*Model0.1C!BQ78)/1.1</f>
        <v>#N/A</v>
      </c>
      <c r="BS78" s="102" t="e">
        <f>(VLOOKUP($B$3,'Coeff EC7'!$T$39:$X$59,3,0)*BP78+VLOOKUP($B$3,'Coeff EC7'!$T$65:$X$85,3,0)*Model0.1C!BQ78)/0.9</f>
        <v>#N/A</v>
      </c>
      <c r="BT78" s="102" t="e">
        <f t="shared" si="78"/>
        <v>#N/A</v>
      </c>
      <c r="BU78" s="102" t="e">
        <f t="shared" si="79"/>
        <v>#N/A</v>
      </c>
      <c r="BV78" s="414" t="e">
        <f>IF(BV77=0,0,IF(AND(BR78&gt;charge_ELS_quasi,BS78&gt;Charge_ELS_freq,BT78&gt;charge_ELU,BU78&gt;charge_ELA,$B78&gt;NDC!$H$22-0.1+MIN(3*$BV$12,1.5)),0,1))</f>
        <v>#N/A</v>
      </c>
      <c r="BW78" s="86" t="b">
        <f t="shared" ref="BW78:BW141" si="147">IF($B78&lt;=$P$4, $B78, IF($B78&lt;=$P$5, $B78-$P$4, IF($B78&lt;=$P$6, $B78-$P$5, IF($B78&lt;=$P$7,$B78-$P$6, IF($B78&lt;=$P$8, $B78-$P$7, IF($B78&lt;=$P$9, $B78-$P$8, IF($B78&lt;=$P$10,$B78-$P$9)))))))</f>
        <v>0</v>
      </c>
      <c r="BX78" s="86">
        <f t="shared" ref="BX78:BX141" si="148">MAX($CK$12/2,0.5)</f>
        <v>0.5</v>
      </c>
      <c r="BY78" s="86">
        <f t="shared" ref="BY78:BY141" si="149">MIN(BX78,BW78)</f>
        <v>0.5</v>
      </c>
      <c r="BZ78" s="30" t="e">
        <f t="shared" ca="1" si="80"/>
        <v>#DIV/0!</v>
      </c>
      <c r="CA78" s="85" t="e">
        <f ca="1">IF(BG78&lt;=Hypothèses!$V$7,Hypothèses!$W$7,IF(BG78&lt;=Hypothèses!$V$8,Hypothèses!$W$8,IF(BG78&lt;=Hypothèses!$V$9,Hypothèses!$W$9,IF(BG78&lt;=Hypothèses!$V$10,Hypothèses!$W$10,IF(BG78&lt;=Hypothèses!$V$11,Hypothèses!$W$11,IF(BG78&lt;=Hypothèses!$V$12,Hypothèses!$W$12,IF(BG78&lt;=Hypothèses!$V$13,Hypothèses!$W$13,IF(BG78&lt;=Hypothèses!$V$14,Hypothèses!$W$14,IF(BG78&lt;=Hypothèses!$V$15,Hypothèses!$W$15,IF(BG78&lt;=Hypothèses!$V$16,Hypothèses!$W$16,IF(BG78&lt;=Hypothèses!$V$17,Hypothèses!$W$17,IF(BG78&lt;=Hypothèses!$V$18,Hypothèses!$W$18,""))))))))))))</f>
        <v>#DIV/0!</v>
      </c>
      <c r="CB78" s="87" t="e">
        <f t="shared" ca="1" si="119"/>
        <v>#DIV/0!</v>
      </c>
      <c r="CC78" s="88" t="e">
        <f ca="1">IF(BG78&lt;=Hypothèses!$V$7,Hypothèses!$X$7,IF(BG78&lt;=Hypothèses!$V$8,Hypothèses!$X$8,IF(BG78&lt;=Hypothèses!$V$9,Hypothèses!$X$9,IF(BG78&lt;=Hypothèses!$V$10,Hypothèses!$X$10,IF(BG78&lt;=Hypothèses!$V$11,Hypothèses!$X$11,IF(BG78&lt;=Hypothèses!$V$12,Hypothèses!$X$12,IF(BG78&lt;=Hypothèses!$V$13,Hypothèses!$X$13,IF(BG78&lt;=Hypothèses!$V$14,Hypothèses!$X$14,IF(BG78&lt;=Hypothèses!$V$15,Hypothèses!$X$15,IF(BG78&lt;=Hypothèses!$V$16,Hypothèses!$X$16,IF(BG78&lt;=Hypothèses!$U$17,Hypothèses!$W$17,IF(BG78&lt;=Hypothèses!$U$18,Hypothèses!$W$18,""))))))))))))</f>
        <v>#DIV/0!</v>
      </c>
      <c r="CD78" s="95" t="e">
        <f t="shared" ca="1" si="81"/>
        <v>#DIV/0!</v>
      </c>
      <c r="CE78" s="101" t="e">
        <f t="shared" si="126"/>
        <v>#N/A</v>
      </c>
      <c r="CF78" s="91" t="e">
        <f t="shared" ref="CF78:CF141" si="150">IF($X78&lt;&gt;"",$X78,CE78)</f>
        <v>#N/A</v>
      </c>
      <c r="CG78" s="30" t="e">
        <f t="shared" si="106"/>
        <v>#N/A</v>
      </c>
      <c r="CH78" s="30" t="e">
        <f t="shared" si="107"/>
        <v>#N/A</v>
      </c>
      <c r="CI78" s="31" t="e">
        <f>IF(OR(Hypothèses!$B$4=17,Hypothèses!$B$4=18,Hypothèses!$B$4=19,Hypothèses!$B$4=20),
IF($D78="Pressio.",
IF(OR($E78=3,$E78=1,$E78=4),CH78,CG78),
IF($D78="Pénétro.",
IF(OR($E78=3,$E78=1,$E78=4),CH78,CG78))),IF($D78="Pressio.",
IF($E78=3,CH78,CG78),
IF($D78="Pénétro.",
IF($E78=4,CH78,CG78))))</f>
        <v>#N/A</v>
      </c>
      <c r="CJ78" s="31" t="e">
        <f>(IF(OR(Hypothèses!$B$4=17,Hypothèses!$B$4=18,Hypothèses!$B$4=19,Hypothèses!$B$4=20),
IF($D78="Pressio.",
IF(OR($E78=3,$E78=1,$E78=4),(PI()*CJ$12^2)/4*(CF78*$W78*1000)/($H78*$B$5),(PI()*CJ$12^2)/4*(CF78*$W78*1000)/($G78*$B$5)),
IF($D78="Pénétro.",
IF(OR($E78=4,$E78=1,$E78=5),(PI()*CJ$12^2)/4*(CF78*$W78*1000)/($H78*$B$5),(PI()*CJ$12^2)/4*(CF78*$W78*1000)/($G78*$B$5)))),
IF($D78="Pressio.",
IF($E78=3,(PI()*CJ$12^2)/4*(CF78*$W78*1000)/($H78*$B$5),(PI()*CJ$12^2)/4*(CF78*$W78*1000)/($G78*$B$5)),
IF($D78="Pénétro.",
IF($E78=4,(PI()*CJ$12^2)/4*(CF78*$W78*1000)/($H78*$B$5),(PI()*CJ$12^2)/4*(CF78*$W78*1000)/($G78*$B$5))))))/10</f>
        <v>#N/A</v>
      </c>
      <c r="CK78" s="102" t="e">
        <f>(VLOOKUP($B$3,'Coeff EC7'!$T$39:$X$59,2,0)*CI78+VLOOKUP($B$3,'Coeff EC7'!$T$65:$X$85,2,0)*Model0.1C!CJ78)/1.1</f>
        <v>#N/A</v>
      </c>
      <c r="CL78" s="102" t="e">
        <f>(VLOOKUP($B$3,'Coeff EC7'!$T$39:$X$59,3,0)*CI78+VLOOKUP($B$3,'Coeff EC7'!$T$65:$X$85,3,0)*Model0.1C!CJ78)/0.9</f>
        <v>#N/A</v>
      </c>
      <c r="CM78" s="102" t="e">
        <f t="shared" si="82"/>
        <v>#N/A</v>
      </c>
      <c r="CN78" s="102" t="e">
        <f t="shared" si="83"/>
        <v>#N/A</v>
      </c>
      <c r="CO78" s="414" t="e">
        <f>IF(CO77=0,0,IF(AND(CK78&gt;charge_ELS_quasi,CL78&gt;Charge_ELS_freq,CM78&gt;charge_ELU,CN78&gt;charge_ELA,$B78&gt;NDC!$H$22-0.1+MIN(3*$CO$12,1.5)),0,1))</f>
        <v>#N/A</v>
      </c>
      <c r="CP78" s="86" t="b">
        <f t="shared" ref="CP78:CP141" si="151">IF($B78&lt;=$P$4, $B78, IF($B78&lt;=$P$5, $B78-$P$4, IF($B78&lt;=$P$6, $B78-$P$5, IF($B78&lt;=$P$7,$B78-$P$6, IF($B78&lt;=$P$8, $B78-$P$7, IF($B78&lt;=$P$9, $B78-$P$8, IF($B78&lt;=$P$10,$B78-$P$9)))))))</f>
        <v>0</v>
      </c>
      <c r="CQ78" s="86">
        <f t="shared" ref="CQ78:CQ141" si="152">MAX($DD$12/2,0.5)</f>
        <v>0.5</v>
      </c>
      <c r="CR78" s="86">
        <f t="shared" ref="CR78:CR141" si="153">MIN(CQ78,CP78)</f>
        <v>0.5</v>
      </c>
      <c r="CS78" s="30" t="e">
        <f t="shared" ca="1" si="84"/>
        <v>#DIV/0!</v>
      </c>
      <c r="CT78" s="85" t="e">
        <f ca="1">IF(BZ78&lt;=Hypothèses!$V$7,Hypothèses!$W$7,IF(BZ78&lt;=Hypothèses!$V$8,Hypothèses!$W$8,IF(BZ78&lt;=Hypothèses!$V$9,Hypothèses!$W$9,IF(BZ78&lt;=Hypothèses!$V$10,Hypothèses!$W$10,IF(BZ78&lt;=Hypothèses!$V$11,Hypothèses!$W$11,IF(BZ78&lt;=Hypothèses!$V$12,Hypothèses!$W$12,IF(BZ78&lt;=Hypothèses!$V$13,Hypothèses!$W$13,IF(BZ78&lt;=Hypothèses!$V$14,Hypothèses!$W$14,IF(BZ78&lt;=Hypothèses!$V$15,Hypothèses!$W$15,IF(BZ78&lt;=Hypothèses!$V$16,Hypothèses!$W$16,IF(BZ78&lt;=Hypothèses!$V$17,Hypothèses!$W$17,IF(BZ78&lt;=Hypothèses!$V$18,Hypothèses!$W$18,""))))))))))))</f>
        <v>#DIV/0!</v>
      </c>
      <c r="CU78" s="87" t="e">
        <f t="shared" ca="1" si="120"/>
        <v>#DIV/0!</v>
      </c>
      <c r="CV78" s="88" t="e">
        <f ca="1">IF(BZ78&lt;=Hypothèses!$V$7,Hypothèses!$X$7,IF(BZ78&lt;=Hypothèses!$V$8,Hypothèses!$X$8,IF(BZ78&lt;=Hypothèses!$V$9,Hypothèses!$X$9,IF(BZ78&lt;=Hypothèses!$V$10,Hypothèses!$X$10,IF(BZ78&lt;=Hypothèses!$V$11,Hypothèses!$X$11,IF(BZ78&lt;=Hypothèses!$V$12,Hypothèses!$X$12,IF(BZ78&lt;=Hypothèses!$V$13,Hypothèses!$X$13,IF(BZ78&lt;=Hypothèses!$V$14,Hypothèses!$X$14,IF(BZ78&lt;=Hypothèses!$V$15,Hypothèses!$X$15,IF(BZ78&lt;=Hypothèses!$V$16,Hypothèses!$X$16,IF(BZ78&lt;=Hypothèses!$U$17,Hypothèses!$W$17,IF(BZ78&lt;=Hypothèses!$U$18,Hypothèses!$W$18,""))))))))))))</f>
        <v>#DIV/0!</v>
      </c>
      <c r="CW78" s="95" t="e">
        <f t="shared" ca="1" si="85"/>
        <v>#DIV/0!</v>
      </c>
      <c r="CX78" s="101" t="e">
        <f t="shared" si="127"/>
        <v>#N/A</v>
      </c>
      <c r="CY78" s="91" t="e">
        <f t="shared" ref="CY78:CY141" si="154">IF($X78&lt;&gt;"",$X78,CX78)</f>
        <v>#N/A</v>
      </c>
      <c r="CZ78" s="30" t="e">
        <f t="shared" si="108"/>
        <v>#N/A</v>
      </c>
      <c r="DA78" s="30" t="e">
        <f t="shared" si="109"/>
        <v>#N/A</v>
      </c>
      <c r="DB78" s="31" t="e">
        <f>IF(OR(Hypothèses!$B$4=17,Hypothèses!$B$4=18,Hypothèses!$B$4=19,Hypothèses!$B$4=20),
IF($D78="Pressio.",
IF(OR($E78=3,$E78=1,$E78=4),DA78,CZ78),
IF($D78="Pénétro.",
IF(OR($E78=3,$E78=1,$E78=4),DA78,CZ78))),IF($D78="Pressio.",
IF($E78=3,DA78,CZ78),
IF($D78="Pénétro.",
IF($E78=4,DA78,CZ78))))</f>
        <v>#N/A</v>
      </c>
      <c r="DC78" s="31" t="e">
        <f>(IF(OR(Hypothèses!$B$4=17,Hypothèses!$B$4=18,Hypothèses!$B$4=19,Hypothèses!$B$4=20),
IF($D78="Pressio.",
IF(OR($E78=3,$E78=1,$E78=4),(PI()*DC$12^2)/4*(CY78*$W78*1000)/($H78*$B$5),(PI()*DC$12^2)/4*(CY78*$W78*1000)/($G78*$B$5)),
IF($D78="Pénétro.",
IF(OR($E78=4,$E78=1,$E78=5),(PI()*DC$12^2)/4*(CY78*$W78*1000)/($H78*$B$5),(PI()*DC$12^2)/4*(CY78*$W78*1000)/($G78*$B$5)))),
IF($D78="Pressio.",
IF($E78=3,(PI()*DC$12^2)/4*(CY78*$W78*1000)/($H78*$B$5),(PI()*DC$12^2)/4*(CY78*$W78*1000)/($G78*$B$5)),
IF($D78="Pénétro.",
IF($E78=4,(PI()*DC$12^2)/4*(CY78*$W78*1000)/($H78*$B$5),(PI()*DC$12^2)/4*(CY78*$W78*1000)/($G78*$B$5))))))/10</f>
        <v>#N/A</v>
      </c>
      <c r="DD78" s="102" t="e">
        <f>(VLOOKUP($B$3,'Coeff EC7'!$T$39:$X$59,2,0)*DB78+VLOOKUP($B$3,'Coeff EC7'!$T$65:$X$85,2,0)*Model0.1C!DC78)/1.1</f>
        <v>#N/A</v>
      </c>
      <c r="DE78" s="102" t="e">
        <f>(VLOOKUP($B$3,'Coeff EC7'!$T$39:$X$59,3,0)*DB78+VLOOKUP($B$3,'Coeff EC7'!$T$65:$X$85,3,0)*Model0.1C!DC78)/0.9</f>
        <v>#N/A</v>
      </c>
      <c r="DF78" s="102" t="e">
        <f t="shared" si="86"/>
        <v>#N/A</v>
      </c>
      <c r="DG78" s="102" t="e">
        <f t="shared" si="87"/>
        <v>#N/A</v>
      </c>
      <c r="DH78" s="414" t="e">
        <f>IF(DH77=0,0,IF(AND(DD78&gt;charge_ELS_quasi,DE78&gt;Charge_ELS_freq,DF78&gt;charge_ELU,DG78&gt;charge_ELA,$B78&gt;NDC!$H$22-0.1+MIN(3*$DH$12,1.5)),0,1))</f>
        <v>#N/A</v>
      </c>
      <c r="DI78" s="86" t="b">
        <f t="shared" ref="DI78:DI141" si="155">IF($B78&lt;=$P$4, $B78, IF($B78&lt;=$P$5, $B78-$P$4, IF($B78&lt;=$P$6, $B78-$P$5, IF($B78&lt;=$P$7,$B78-$P$6, IF($B78&lt;=$P$8, $B78-$P$7, IF($B78&lt;=$P$9, $B78-$P$8, IF($B78&lt;=$P$10,$B78-$P$9)))))))</f>
        <v>0</v>
      </c>
      <c r="DJ78" s="86">
        <f t="shared" ref="DJ78:DJ141" si="156">MAX($DW$12/2,0.5)</f>
        <v>0.5</v>
      </c>
      <c r="DK78" s="86">
        <f t="shared" ref="DK78:DK141" si="157">MIN(DJ78,DI78)</f>
        <v>0.5</v>
      </c>
      <c r="DL78" s="30" t="e">
        <f t="shared" ca="1" si="88"/>
        <v>#DIV/0!</v>
      </c>
      <c r="DM78" s="85" t="e">
        <f ca="1">IF(CS78&lt;=Hypothèses!$V$7,Hypothèses!$W$7,IF(CS78&lt;=Hypothèses!$V$8,Hypothèses!$W$8,IF(CS78&lt;=Hypothèses!$V$9,Hypothèses!$W$9,IF(CS78&lt;=Hypothèses!$V$10,Hypothèses!$W$10,IF(CS78&lt;=Hypothèses!$V$11,Hypothèses!$W$11,IF(CS78&lt;=Hypothèses!$V$12,Hypothèses!$W$12,IF(CS78&lt;=Hypothèses!$V$13,Hypothèses!$W$13,IF(CS78&lt;=Hypothèses!$V$14,Hypothèses!$W$14,IF(CS78&lt;=Hypothèses!$V$15,Hypothèses!$W$15,IF(CS78&lt;=Hypothèses!$V$16,Hypothèses!$W$16,IF(CS78&lt;=Hypothèses!$V$17,Hypothèses!$W$17,IF(CS78&lt;=Hypothèses!$V$18,Hypothèses!$W$18,""))))))))))))</f>
        <v>#DIV/0!</v>
      </c>
      <c r="DN78" s="87" t="e">
        <f t="shared" ca="1" si="121"/>
        <v>#DIV/0!</v>
      </c>
      <c r="DO78" s="88" t="e">
        <f ca="1">IF(CS78&lt;=Hypothèses!$V$7,Hypothèses!$X$7,IF(CS78&lt;=Hypothèses!$V$8,Hypothèses!$X$8,IF(CS78&lt;=Hypothèses!$V$9,Hypothèses!$X$9,IF(CS78&lt;=Hypothèses!$V$10,Hypothèses!$X$10,IF(CS78&lt;=Hypothèses!$V$11,Hypothèses!$X$11,IF(CS78&lt;=Hypothèses!$V$12,Hypothèses!$X$12,IF(CS78&lt;=Hypothèses!$V$13,Hypothèses!$X$13,IF(CS78&lt;=Hypothèses!$V$14,Hypothèses!$X$14,IF(CS78&lt;=Hypothèses!$V$15,Hypothèses!$X$15,IF(CS78&lt;=Hypothèses!$V$16,Hypothèses!$X$16,IF(CS78&lt;=Hypothèses!$U$17,Hypothèses!$W$17,IF(CS78&lt;=Hypothèses!$U$18,Hypothèses!$W$18,""))))))))))))</f>
        <v>#DIV/0!</v>
      </c>
      <c r="DP78" s="95" t="e">
        <f t="shared" ca="1" si="89"/>
        <v>#DIV/0!</v>
      </c>
      <c r="DQ78" s="101" t="e">
        <f t="shared" si="128"/>
        <v>#N/A</v>
      </c>
      <c r="DR78" s="91" t="e">
        <f t="shared" ref="DR78:DR141" si="158">IF($X78&lt;&gt;"",$X78,DQ78)</f>
        <v>#N/A</v>
      </c>
      <c r="DS78" s="30" t="e">
        <f t="shared" si="110"/>
        <v>#N/A</v>
      </c>
      <c r="DT78" s="30" t="e">
        <f t="shared" si="111"/>
        <v>#N/A</v>
      </c>
      <c r="DU78" s="31" t="e">
        <f>IF(OR(Hypothèses!$B$4=17,Hypothèses!$B$4=18,Hypothèses!$B$4=19,Hypothèses!$B$4=20),
IF($D78="Pressio.",
IF(OR($E78=3,$E78=1,$E78=4),DT78,DS78),
IF($D78="Pénétro.",
IF(OR($E78=3,$E78=1,$E78=4),DT78,DS78))),IF($D78="Pressio.",
IF($E78=3,DT78,DS78),
IF($D78="Pénétro.",
IF($E78=4,DT78,DS78))))</f>
        <v>#N/A</v>
      </c>
      <c r="DV78" s="31" t="e">
        <f>(IF(OR(Hypothèses!$B$4=17,Hypothèses!$B$4=18,Hypothèses!$B$4=19,Hypothèses!$B$4=20),
IF($D78="Pressio.",
IF(OR($E78=3,$E78=1,$E78=4),(PI()*DV$12^2)/4*(DR78*$W78*1000)/($H78*$B$5),(PI()*DV$12^2)/4*(DR78*$W78*1000)/($G78*$B$5)),
IF($D78="Pénétro.",
IF(OR($E78=4,$E78=1,$E78=5),(PI()*DV$12^2)/4*(DR78*$W78*1000)/($H78*$B$5),(PI()*DV$12^2)/4*(DR78*$W78*1000)/($G78*$B$5)))),
IF($D78="Pressio.",
IF($E78=3,(PI()*DV$12^2)/4*(DR78*$W78*1000)/($H78*$B$5),(PI()*DV$12^2)/4*(DR78*$W78*1000)/($G78*$B$5)),
IF($D78="Pénétro.",
IF($E78=4,(PI()*DV$12^2)/4*(DR78*$W78*1000)/($H78*$B$5),(PI()*DV$12^2)/4*(DR78*$W78*1000)/($G78*$B$5))))))/10</f>
        <v>#N/A</v>
      </c>
      <c r="DW78" s="102" t="e">
        <f>(VLOOKUP($B$3,'Coeff EC7'!$T$39:$X$59,2,0)*DU78+VLOOKUP($B$3,'Coeff EC7'!$T$65:$X$85,2,0)*Model0.1C!DV78)/1.1</f>
        <v>#N/A</v>
      </c>
      <c r="DX78" s="102" t="e">
        <f>(VLOOKUP($B$3,'Coeff EC7'!$T$39:$X$59,3,0)*DU78+VLOOKUP($B$3,'Coeff EC7'!$T$65:$X$85,3,0)*Model0.1C!DV78)/0.9</f>
        <v>#N/A</v>
      </c>
      <c r="DY78" s="102" t="e">
        <f t="shared" si="90"/>
        <v>#N/A</v>
      </c>
      <c r="DZ78" s="102" t="e">
        <f t="shared" si="91"/>
        <v>#N/A</v>
      </c>
      <c r="EA78" s="414" t="e">
        <f>IF(EA77=0,0,IF(AND(DW78&gt;charge_ELS_quasi,DX78&gt;Charge_ELS_freq,DY78&gt;charge_ELU,DZ78&gt;charge_ELA,$B78&gt;NDC!$H$22-0.1+MIN(3*$EA$12,1.5)),0,1))</f>
        <v>#N/A</v>
      </c>
      <c r="EB78" s="86" t="b">
        <f t="shared" ref="EB78:EB141" si="159">IF($B78&lt;=$P$4, $B78, IF($B78&lt;=$P$5, $B78-$P$4, IF($B78&lt;=$P$6, $B78-$P$5, IF($B78&lt;=$P$7,$B78-$P$6, IF($B78&lt;=$P$8, $B78-$P$7, IF($B78&lt;=$P$9, $B78-$P$8, IF($B78&lt;=$P$10,$B78-$P$9)))))))</f>
        <v>0</v>
      </c>
      <c r="EC78" s="418">
        <f t="shared" ref="EC78:EC141" si="160">MAX($EP$12/2,0.5)</f>
        <v>0.51</v>
      </c>
      <c r="ED78" s="86">
        <f t="shared" ref="ED78:ED141" si="161">MIN(EC78,EB78)</f>
        <v>0.51</v>
      </c>
      <c r="EE78" s="30" t="e">
        <f t="shared" ca="1" si="92"/>
        <v>#DIV/0!</v>
      </c>
      <c r="EF78" s="85" t="e">
        <f ca="1">IF(DL78&lt;=Hypothèses!$V$7,Hypothèses!$W$7,IF(DL78&lt;=Hypothèses!$V$8,Hypothèses!$W$8,IF(DL78&lt;=Hypothèses!$V$9,Hypothèses!$W$9,IF(DL78&lt;=Hypothèses!$V$10,Hypothèses!$W$10,IF(DL78&lt;=Hypothèses!$V$11,Hypothèses!$W$11,IF(DL78&lt;=Hypothèses!$V$12,Hypothèses!$W$12,IF(DL78&lt;=Hypothèses!$V$13,Hypothèses!$W$13,IF(DL78&lt;=Hypothèses!$V$14,Hypothèses!$W$14,IF(DL78&lt;=Hypothèses!$V$15,Hypothèses!$W$15,IF(DL78&lt;=Hypothèses!$V$16,Hypothèses!$W$16,IF(DL78&lt;=Hypothèses!$V$17,Hypothèses!$W$17,IF(DL78&lt;=Hypothèses!$V$18,Hypothèses!$W$18,""))))))))))))</f>
        <v>#DIV/0!</v>
      </c>
      <c r="EG78" s="87" t="e">
        <f t="shared" ca="1" si="122"/>
        <v>#DIV/0!</v>
      </c>
      <c r="EH78" s="88" t="e">
        <f ca="1">IF(DL78&lt;=Hypothèses!$V$7,Hypothèses!$X$7,IF(DL78&lt;=Hypothèses!$V$8,Hypothèses!$X$8,IF(DL78&lt;=Hypothèses!$V$9,Hypothèses!$X$9,IF(DL78&lt;=Hypothèses!$V$10,Hypothèses!$X$10,IF(DL78&lt;=Hypothèses!$V$11,Hypothèses!$X$11,IF(DL78&lt;=Hypothèses!$V$12,Hypothèses!$X$12,IF(DL78&lt;=Hypothèses!$V$13,Hypothèses!$X$13,IF(DL78&lt;=Hypothèses!$V$14,Hypothèses!$X$14,IF(DL78&lt;=Hypothèses!$V$15,Hypothèses!$X$15,IF(DL78&lt;=Hypothèses!$V$16,Hypothèses!$X$16,IF(DL78&lt;=Hypothèses!$U$17,Hypothèses!$W$17,IF(DL78&lt;=Hypothèses!$U$18,Hypothèses!$W$18,""))))))))))))</f>
        <v>#DIV/0!</v>
      </c>
      <c r="EI78" s="95" t="e">
        <f t="shared" ca="1" si="93"/>
        <v>#DIV/0!</v>
      </c>
      <c r="EJ78" s="101" t="e">
        <f t="shared" si="129"/>
        <v>#N/A</v>
      </c>
      <c r="EK78" s="91" t="e">
        <f t="shared" ref="EK78:EK141" si="162">IF($X78&lt;&gt;"",$X78,EJ78)</f>
        <v>#N/A</v>
      </c>
      <c r="EL78" s="30" t="e">
        <f t="shared" si="112"/>
        <v>#N/A</v>
      </c>
      <c r="EM78" s="30" t="e">
        <f t="shared" si="113"/>
        <v>#N/A</v>
      </c>
      <c r="EN78" s="31" t="e">
        <f>IF(OR(Hypothèses!$B$4=17,Hypothèses!$B$4=18,Hypothèses!$B$4=19,Hypothèses!$B$4=20),
IF($D78="Pressio.",
IF(OR($E78=3,$E78=1,$E78=4),EM78,EL78),
IF($D78="Pénétro.",
IF(OR($E78=3,$E78=1,$E78=4),EM78,EL78))),IF($D78="Pressio.",
IF($E78=3,EM78,EL78),
IF($D78="Pénétro.",
IF($E78=4,EM78,EL78))))</f>
        <v>#N/A</v>
      </c>
      <c r="EO78" s="31" t="e">
        <f>(IF(OR(Hypothèses!$B$4=17,Hypothèses!$B$4=18,Hypothèses!$B$4=19,Hypothèses!$B$4=20),
IF($D78="Pressio.",
IF(OR($E78=3,$E78=1,$E78=4),(PI()*EO$12^2)/4*(EK78*$W78*1000)/($H78*$B$5),(PI()*EO$12^2)/4*(EK78*$W78*1000)/($G78*$B$5)),
IF($D78="Pénétro.",
IF(OR($E78=4,$E78=1,$E78=5),(PI()*EO$12^2)/4*(EK78*$W78*1000)/($H78*$B$5),(PI()*EO$12^2)/4*(EK78*$W78*1000)/($G78*$B$5)))),
IF($D78="Pressio.",
IF($E78=3,(PI()*EO$12^2)/4*(EK78*$W78*1000)/($H78*$B$5),(PI()*EO$12^2)/4*(EK78*$W78*1000)/($G78*$B$5)),
IF($D78="Pénétro.",
IF($E78=4,(PI()*EO$12^2)/4*(EK78*$W78*1000)/($H78*$B$5),(PI()*EO$12^2)/4*(EK78*$W78*1000)/($G78*$B$5))))))/10</f>
        <v>#N/A</v>
      </c>
      <c r="EP78" s="102" t="e">
        <f>(VLOOKUP($B$3,'Coeff EC7'!$T$39:$X$59,2,0)*EN78+VLOOKUP($B$3,'Coeff EC7'!$T$65:$X$85,2,0)*Model0.1C!EO78)/1.1</f>
        <v>#N/A</v>
      </c>
      <c r="EQ78" s="102" t="e">
        <f>(VLOOKUP($B$3,'Coeff EC7'!$T$39:$X$59,3,0)*EN78+VLOOKUP($B$3,'Coeff EC7'!$T$65:$X$85,3,0)*Model0.1C!EO78)/0.9</f>
        <v>#N/A</v>
      </c>
      <c r="ER78" s="102" t="e">
        <f t="shared" si="94"/>
        <v>#N/A</v>
      </c>
      <c r="ES78" s="102" t="e">
        <f t="shared" si="95"/>
        <v>#N/A</v>
      </c>
      <c r="ET78" s="414" t="e">
        <f>IF(ET77=0,0,IF(AND(EP78&gt;charge_ELS_quasi,EQ78&gt;Charge_ELS_freq,ER78&gt;charge_ELU,ES78&gt;charge_ELA,$B78&gt;NDC!$H$22-0.1+MIN(3*$ET$12,1.5)),0,1))</f>
        <v>#N/A</v>
      </c>
      <c r="EU78" s="86" t="b">
        <f t="shared" ref="EU78:EU141" si="163">IF($B78&lt;=$P$4, $B78, IF($B78&lt;=$P$5, $B78-$P$4, IF($B78&lt;=$P$6, $B78-$P$5, IF($B78&lt;=$P$7,$B78-$P$6, IF($B78&lt;=$P$8, $B78-$P$7, IF($B78&lt;=$P$9, $B78-$P$8, IF($B78&lt;=$P$10,$B78-$P$9)))))))</f>
        <v>0</v>
      </c>
      <c r="EV78" s="86">
        <f t="shared" ref="EV78:EV141" si="164">MAX($FI$12/2,0.5)</f>
        <v>0.61</v>
      </c>
      <c r="EW78" s="86">
        <f t="shared" ref="EW78:EW141" si="165">MIN(EV78,EU78)</f>
        <v>0.61</v>
      </c>
      <c r="EX78" s="30" t="e">
        <f t="shared" ca="1" si="96"/>
        <v>#DIV/0!</v>
      </c>
      <c r="EY78" s="85" t="e">
        <f ca="1">IF(EE78&lt;=Hypothèses!$V$7,Hypothèses!$W$7,IF(EE78&lt;=Hypothèses!$V$8,Hypothèses!$W$8,IF(EE78&lt;=Hypothèses!$V$9,Hypothèses!$W$9,IF(EE78&lt;=Hypothèses!$V$10,Hypothèses!$W$10,IF(EE78&lt;=Hypothèses!$V$11,Hypothèses!$W$11,IF(EE78&lt;=Hypothèses!$V$12,Hypothèses!$W$12,IF(EE78&lt;=Hypothèses!$V$13,Hypothèses!$W$13,IF(EE78&lt;=Hypothèses!$V$14,Hypothèses!$W$14,IF(EE78&lt;=Hypothèses!$V$15,Hypothèses!$W$15,IF(EE78&lt;=Hypothèses!$V$16,Hypothèses!$W$16,IF(EE78&lt;=Hypothèses!$V$17,Hypothèses!$W$17,IF(EE78&lt;=Hypothèses!$V$18,Hypothèses!$W$18,""))))))))))))</f>
        <v>#DIV/0!</v>
      </c>
      <c r="EZ78" s="87" t="e">
        <f t="shared" ca="1" si="123"/>
        <v>#DIV/0!</v>
      </c>
      <c r="FA78" s="88" t="e">
        <f ca="1">IF(EE78&lt;=Hypothèses!$V$7,Hypothèses!$X$7,IF(EE78&lt;=Hypothèses!$V$8,Hypothèses!$X$8,IF(EE78&lt;=Hypothèses!$V$9,Hypothèses!$X$9,IF(EE78&lt;=Hypothèses!$V$10,Hypothèses!$X$10,IF(EE78&lt;=Hypothèses!$V$11,Hypothèses!$X$11,IF(EE78&lt;=Hypothèses!$V$12,Hypothèses!$X$12,IF(EE78&lt;=Hypothèses!$V$13,Hypothèses!$X$13,IF(EE78&lt;=Hypothèses!$V$14,Hypothèses!$X$14,IF(EE78&lt;=Hypothèses!$V$15,Hypothèses!$X$15,IF(EE78&lt;=Hypothèses!$V$16,Hypothèses!$X$16,IF(EE78&lt;=Hypothèses!$U$17,Hypothèses!$W$17,IF(EE78&lt;=Hypothèses!$U$18,Hypothèses!$W$18,""))))))))))))</f>
        <v>#DIV/0!</v>
      </c>
      <c r="FB78" s="95" t="e">
        <f t="shared" ca="1" si="97"/>
        <v>#DIV/0!</v>
      </c>
      <c r="FC78" s="101" t="e">
        <f t="shared" si="130"/>
        <v>#N/A</v>
      </c>
      <c r="FD78" s="91" t="e">
        <f t="shared" ref="FD78:FD141" si="166">IF($X78&lt;&gt;"",$X78,FC78)</f>
        <v>#N/A</v>
      </c>
      <c r="FE78" s="30" t="e">
        <f t="shared" si="114"/>
        <v>#N/A</v>
      </c>
      <c r="FF78" s="30" t="e">
        <f t="shared" si="115"/>
        <v>#N/A</v>
      </c>
      <c r="FG78" s="31" t="e">
        <f>IF(OR(Hypothèses!$B$4=17,Hypothèses!$B$4=18,Hypothèses!$B$4=19,Hypothèses!$B$4=20),
IF($D78="Pressio.",
IF(OR($E78=3,$E78=1,$E78=4),FF78,FE78),
IF($D78="Pénétro.",
IF(OR($E78=3,$E78=1,$E78=4),FF78,FE78))),IF($D78="Pressio.",
IF($E78=3,FF78,FE78),
IF($D78="Pénétro.",
IF($E78=4,FF78,FE78))))</f>
        <v>#N/A</v>
      </c>
      <c r="FH78" s="31" t="e">
        <f>(IF(OR(Hypothèses!$B$4=17,Hypothèses!$B$4=18,Hypothèses!$B$4=19,Hypothèses!$B$4=20),
IF($D78="Pressio.",
IF(OR($E78=3,$E78=1,$E78=4),(PI()*FH$12^2)/4*(FD78*$W78*1000)/($H78*$B$5),(PI()*FH$12^2)/4*(FD78*$W78*1000)/($G78*$B$5)),
IF($D78="Pénétro.",
IF(OR($E78=4,$E78=1,$E78=5),(PI()*FH$12^2)/4*(FD78*$W78*1000)/($H78*$B$5),(PI()*FH$12^2)/4*(FD78*$W78*1000)/($G78*$B$5)))),
IF($D78="Pressio.",
IF($E78=3,(PI()*FH$12^2)/4*(FD78*$W78*1000)/($H78*$B$5),(PI()*FH$12^2)/4*(FD78*$W78*1000)/($G78*$B$5)),
IF($D78="Pénétro.",
IF($E78=4,(PI()*FH$12^2)/4*(FD78*$W78*1000)/($H78*$B$5),(PI()*FH$12^2)/4*(FD78*$W78*1000)/($G78*$B$5))))))/10</f>
        <v>#N/A</v>
      </c>
      <c r="FI78" s="102" t="e">
        <f>(VLOOKUP($B$3,'Coeff EC7'!$T$39:$X$59,2,0)*FG78+VLOOKUP($B$3,'Coeff EC7'!$T$65:$X$85,2,0)*Model0.1C!FH78)/1.1</f>
        <v>#N/A</v>
      </c>
      <c r="FJ78" s="102" t="e">
        <f>(VLOOKUP($B$3,'Coeff EC7'!$T$39:$X$59,3,0)*FG78+VLOOKUP($B$3,'Coeff EC7'!$T$65:$X$85,3,0)*Model0.1C!FH78)/0.9</f>
        <v>#N/A</v>
      </c>
      <c r="FK78" s="102" t="e">
        <f t="shared" si="98"/>
        <v>#N/A</v>
      </c>
      <c r="FL78" s="102" t="e">
        <f t="shared" si="99"/>
        <v>#N/A</v>
      </c>
      <c r="FM78" s="414" t="e">
        <f>IF(FM77=0,0,IF(AND(FI78&gt;charge_ELS_quasi,FJ78&gt;Charge_ELS_freq,FK78&gt;charge_ELU,FL78&gt;charge_ELA,$B78&gt;NDC!$H$22-0.1+MIN(3*$FM$12,1.5)),0,1))</f>
        <v>#N/A</v>
      </c>
    </row>
    <row r="79" spans="1:169">
      <c r="A79" s="96">
        <f t="shared" ref="A79:A142" si="167">A78-0.1</f>
        <v>93.400000000000375</v>
      </c>
      <c r="B79" s="97">
        <v>6.6</v>
      </c>
      <c r="C79" s="81">
        <f>IF(B79&lt;=Hypothèses!$C$7,Hypothèses!$A$7,IF(B79&lt;=Hypothèses!$C$8,Hypothèses!$A$8,IF(B79&lt;=Hypothèses!$C$9,Hypothèses!$A$9,IF(B79&lt;=Hypothèses!$C$10,Hypothèses!$A$10,IF(B79&lt;=Hypothèses!$C$11,Hypothèses!$A$11,IF(B79&lt;=Hypothèses!$C$12,Hypothèses!$A$12,IF(B79&lt;=Hypothèses!$C$13,Hypothèses!$A$13,IF(B79&lt;=Hypothèses!$C$14,Hypothèses!$A$14,IF(B79&lt;=Hypothèses!$C$15,Hypothèses!$A$15,IF(B79&lt;=Hypothèses!$C$16,Hypothèses!$A$16,IF(B79&lt;=Hypothèses!$C$17,Hypothèses!$A$17,IF(B79&lt;=Hypothèses!$C$18,Hypothèses!$A$18,C78))))))))))))</f>
        <v>11</v>
      </c>
      <c r="D79" s="82" t="str">
        <f>IF(B79&lt;=Hypothèses!$C$7,Hypothèses!$R$7,IF(B79&lt;=Hypothèses!$C$8,Hypothèses!$R$8,IF(B79&lt;=Hypothèses!$C$9,Hypothèses!$R$9,IF(B79&lt;=Hypothèses!$C$10,Hypothèses!$R$10,IF(B79&lt;=Hypothèses!$C$11,Hypothèses!$R$11,IF(B79&lt;=Hypothèses!$C$12,Hypothèses!$R$12,IF(B79&lt;=Hypothèses!$C$13,Hypothèses!$R$13,IF(B79&lt;=Hypothèses!$C$14,Hypothèses!$R$14,IF(B79&lt;=Hypothèses!$C$15,Hypothèses!$R$15,IF(B79&lt;=Hypothèses!$C$16,Hypothèses!$R$16,IF(B79&lt;=Hypothèses!$C$17,Hypothèses!$R$17,IF(B79&lt;=Hypothèses!$C$18,Hypothèses!$R$18,D78))))))))))))</f>
        <v>Pressio.</v>
      </c>
      <c r="E79" s="82" t="e">
        <f>IF(B79&lt;=Hypothèses!$C$7,Hypothèses!$G$7,IF(B79&lt;=Hypothèses!$C$8,Hypothèses!$G$8,IF(B79&lt;=Hypothèses!$C$9,Hypothèses!$G$9,IF(B79&lt;=Hypothèses!$C$10,Hypothèses!$G$10,IF(B79&lt;=Hypothèses!$C$11,Hypothèses!$G$11,IF(B79&lt;=Hypothèses!$C$12,Hypothèses!$G$12,IF(B79&lt;=Hypothèses!$C$13,Hypothèses!$G$13,IF(B79&lt;=Hypothèses!$C$14,Hypothèses!$G$14,IF(B79&lt;=Hypothèses!$C$15,Hypothèses!$G$15,IF(B79&lt;=Hypothèses!$C$16,Hypothèses!$G$16,IF(B79&lt;=Hypothèses!$C$17,Hypothèses!$G$17,IF(B79&lt;=Hypothèses!$C$18,Hypothèses!$G$18,E78))))))))))))</f>
        <v>#N/A</v>
      </c>
      <c r="F79" s="82" t="str">
        <f>IF(B79&lt;=Hypothèses!$C$7,Hypothèses!$F$7,IF(B79&lt;=Hypothèses!$C$8,Hypothèses!$F$8,IF(B79&lt;=Hypothèses!$C$9,Hypothèses!$F$9,IF(B79&lt;=Hypothèses!$C$10,Hypothèses!$F$10,IF(B79&lt;=Hypothèses!$C$11,Hypothèses!$F$11,IF(B79&lt;=Hypothèses!$C$12,Hypothèses!$F$12,IF(B79&lt;=Hypothèses!$C$13,Hypothèses!$F$13,IF(B79&lt;=Hypothèses!$C$14,Hypothèses!$F$14,IF(B79&lt;=Hypothèses!$C$15,Hypothèses!$F$15,IF(B79&lt;=Hypothèses!$C$16,Hypothèses!$F$16,IF(B79&lt;=Hypothèses!$C$17,Hypothèses!$F$17,IF(B79&lt;=Hypothèses!$C$18,Hypothèses!$F$18,F78))))))))))))</f>
        <v/>
      </c>
      <c r="G79" s="91">
        <f t="array" ref="G79">INDEX('Coeff EC7'!$U$7:$X$27,
MATCH(Model0.1C!$B$3,'Coeff EC7'!$T$7:$T$27,0),
MATCH(Model0.1C!$D79&amp;Model0.1C!$B$4,
'Coeff EC7'!$U$6:$X$6&amp;
'Coeff EC7'!$U$5:$X$5,0))</f>
        <v>1.1499999999999999</v>
      </c>
      <c r="H79" s="91">
        <f t="array" ref="H79">INDEX('Coeff EC7'!$Y$7:$AB$27,
MATCH(Model0.1C!$B$3,'Coeff EC7'!$T$7:$T$27,0),
MATCH(Model0.1C!$D79&amp;Model0.1C!$B$4,
'Coeff EC7'!$Y$6:$AB$6&amp;
'Coeff EC7'!$Y$5:$AB$5,0))</f>
        <v>1.4</v>
      </c>
      <c r="I79" s="83" t="e">
        <f>IF(B79&lt;=Hypothèses!$C$7,Hypothèses!$P$7,IF(B79&lt;=Hypothèses!$C$8,Hypothèses!$P$8,IF(B79&lt;=Hypothèses!$C$9,Hypothèses!$P$9,IF(B79&lt;=Hypothèses!$C$10,Hypothèses!$P$10,IF(B79&lt;=Hypothèses!$C$11,Hypothèses!$P$11,IF(B79&lt;=Hypothèses!$C$12,Hypothèses!$P$12,IF(B79&lt;=Hypothèses!$C$13,Hypothèses!$P$13,IF(B79&lt;=Hypothèses!$C$14,Hypothèses!$P$14,IF(B79&lt;=Hypothèses!$C$15,Hypothèses!$P$15,IF(B79&lt;=Hypothèses!$C$16,Hypothèses!$P$16,IF(B79&lt;=Hypothèses!$C$17,Hypothèses!$P$17,IF(B79&lt;=Hypothèses!$C$18,Hypothèses!$P$18,I78))))))))))))</f>
        <v>#N/A</v>
      </c>
      <c r="J79" s="91" t="e">
        <f t="array" ref="J79">INDEX('Coeff EC7'!$D$33:$Q$33,1,MATCH(D79&amp;E79,'Coeff EC7'!$D$31:$Q$31&amp;'Coeff EC7'!$D$32:$Q$32,0))</f>
        <v>#N/A</v>
      </c>
      <c r="K79" s="91" t="e">
        <f t="array" ref="K79">INDEX('Coeff EC7'!$D$34:$Q$34,1,MATCH(D79&amp;E79,'Coeff EC7'!$D$31:$Q$31&amp;'Coeff EC7'!$D$32:$Q$32,0))</f>
        <v>#N/A</v>
      </c>
      <c r="L79" s="91" t="e">
        <f t="array" ref="L79">INDEX('Coeff EC7'!$D$35:$Q$35,1,MATCH(D79&amp;E79,'Coeff EC7'!$D$31:$Q$31&amp;'Coeff EC7'!$D$32:$Q$32,0))</f>
        <v>#N/A</v>
      </c>
      <c r="M79" s="98" t="e">
        <f t="shared" si="131"/>
        <v>#N/A</v>
      </c>
      <c r="N79" s="99" t="e">
        <f t="array" ref="N79">INDEX('Coeff EC7'!$D$7:$Q$27,MATCH($B$3,'Coeff EC7'!$C$7:$C$27,0),MATCH(D79&amp;E79,'Coeff EC7'!$D$5:$Q$5&amp;'Coeff EC7'!$D$6:$Q$6,0))</f>
        <v>#N/A</v>
      </c>
      <c r="O79" s="99" t="e">
        <f t="array" ref="O79">INDEX('Coeff EC7'!$D$41:$Q$61,MATCH($B$3,'Coeff EC7'!$C$41:$C$61,0),MATCH(D79&amp;E79,'Coeff EC7'!$D$39:$Q$39&amp;'Coeff EC7'!$D$40:$Q$40,0))</f>
        <v>#N/A</v>
      </c>
      <c r="P79" s="30" t="e">
        <f t="shared" ref="P79:P142" si="168">N79*M79*1000</f>
        <v>#N/A</v>
      </c>
      <c r="Q79" s="100" t="e">
        <f t="shared" si="133"/>
        <v>#N/A</v>
      </c>
      <c r="R79" s="86" t="b">
        <f t="shared" si="134"/>
        <v>0</v>
      </c>
      <c r="S79" s="86">
        <f t="shared" si="132"/>
        <v>0.5</v>
      </c>
      <c r="T79" s="86">
        <f t="shared" si="135"/>
        <v>0.5</v>
      </c>
      <c r="U79" s="30" t="e">
        <f t="shared" ref="U79:U142" ca="1" si="169">AVERAGE(OFFSET($F79, -10*T79, 0,10*T79, 1), OFFSET($F79, 1, 0, 30*S79, 1))</f>
        <v>#DIV/0!</v>
      </c>
      <c r="V79" s="85" t="str">
        <f>IF(B79&lt;=Hypothèses!$V$7,Hypothèses!$W$7,IF(B79&lt;=Hypothèses!$V$8,Hypothèses!$W$8,IF(B79&lt;=Hypothèses!$V$9,Hypothèses!$W$9,IF(B79&lt;=Hypothèses!$V$10,Hypothèses!$W$10,IF(B79&lt;=Hypothèses!$V$11,Hypothèses!$W$11,IF(B79&lt;=Hypothèses!$V$12,Hypothèses!$W$12,IF(B79&lt;=Hypothèses!$V$13,Hypothèses!$W$13,IF(B79&lt;=Hypothèses!$V$14,Hypothèses!$W$14,IF(B79&lt;=Hypothèses!$V$15,Hypothèses!$W$15,IF(B79&lt;=Hypothèses!$V$16,Hypothèses!$W$16,IF(B79&lt;=Hypothèses!$V$17,Hypothèses!$W$17,IF(B79&lt;=Hypothèses!$V$18,Hypothèses!$W$18,""))))))))))))</f>
        <v/>
      </c>
      <c r="W79" s="87" t="e">
        <f t="shared" ca="1" si="116"/>
        <v>#DIV/0!</v>
      </c>
      <c r="X79" s="88" t="str">
        <f>IF(B79&lt;=Hypothèses!$V$7,Hypothèses!$X$7,IF(B79&lt;=Hypothèses!$V$8,Hypothèses!$X$8,IF(B79&lt;=Hypothèses!$V$9,Hypothèses!$X$9,IF(B79&lt;=Hypothèses!$V$10,Hypothèses!$X$10,IF(B79&lt;=Hypothèses!$V$11,Hypothèses!$X$11,IF(B79&lt;=Hypothèses!$V$12,Hypothèses!$X$12,IF(B79&lt;=Hypothèses!$V$13,Hypothèses!$X$13,IF(B79&lt;=Hypothèses!$V$14,Hypothèses!$X$14,IF(B79&lt;=Hypothèses!$V$15,Hypothèses!$X$15,IF(B79&lt;=Hypothèses!$V$16,Hypothèses!$X$16,IF(B79&lt;=Hypothèses!$U$17,Hypothèses!$W$17,IF(B79&lt;=Hypothèses!$U$18,Hypothèses!$W$18,""))))))))))))</f>
        <v/>
      </c>
      <c r="Y79" s="95" t="e">
        <f t="shared" ca="1" si="136"/>
        <v>#DIV/0!</v>
      </c>
      <c r="Z79" s="101" t="e">
        <f t="shared" si="137"/>
        <v>#N/A</v>
      </c>
      <c r="AA79" s="91" t="e">
        <f t="shared" si="138"/>
        <v>#N/A</v>
      </c>
      <c r="AB79" s="30" t="e">
        <f t="shared" si="100"/>
        <v>#N/A</v>
      </c>
      <c r="AC79" s="30" t="e">
        <f t="shared" si="101"/>
        <v>#N/A</v>
      </c>
      <c r="AD79" s="31" t="e">
        <f>IF(OR(Hypothèses!$B$4=17,Hypothèses!$B$4=18,Hypothèses!$B$4=19,Hypothèses!$B$4=20),
IF($D79="Pressio.",
IF(OR($E79=3,$E79=1,$E79=4),AC79,AB79),
IF($D79="Pénétro.",
IF(OR($E79=3,$E79=1,$E79=4),AC79,AB79))),IF($D79="Pressio.",
IF($E79=3,AC79,AB79),
IF($D79="Pénétro.",
IF($E79=4,AC79,AB79))))</f>
        <v>#N/A</v>
      </c>
      <c r="AE79" s="31" t="e">
        <f>(IF(OR(Hypothèses!$B$4=17,Hypothèses!$B$4=18,Hypothèses!$B$4=19,Hypothèses!$B$4=20),
IF($D79="Pressio.",
IF(OR($E79=3,$E79=1,$E79=4),(PI()*AE$12^2)/4*(AA79*$W79*1000)/($H79*$B$5),(PI()*AE$12^2)/4*(AA79*$W79*1000)/($G79*$B$5)),
IF($D79="Pénétro.",
IF(OR($E79=4,$E79=1,$E79=5),(PI()*AE$12^2)/4*(AA79*$W79*1000)/($H79*$B$5),(PI()*AE$12^2)/4*(AA79*$W79*1000)/($G79*$B$5)))),
IF($D79="Pressio.",
IF($E79=3,(PI()*AE$12^2)/4*(AA79*$W79*1000)/($H79*$B$5),(PI()*AE$12^2)/4*(AA79*$W79*1000)/($G79*$B$5)),
IF($D79="Pénétro.",
IF($E79=4,(PI()*AE$12^2)/4*(AA79*$W79*1000)/($H79*$B$5),(PI()*AE$12^2)/4*(AA79*$W79*1000)/($G79*$B$5))))))/10</f>
        <v>#N/A</v>
      </c>
      <c r="AF79" s="102" t="e">
        <f>(VLOOKUP($B$3,'Coeff EC7'!$T$39:$X$59,2,0)*AD79+VLOOKUP($B$3,'Coeff EC7'!$T$65:$X$85,2,0)*Model0.1C!AE79)/1.1</f>
        <v>#N/A</v>
      </c>
      <c r="AG79" s="102" t="e">
        <f>(VLOOKUP($B$3,'Coeff EC7'!$T$39:$X$59,3,0)*AD79+VLOOKUP($B$3,'Coeff EC7'!$T$65:$X$85,3,0)*Model0.1C!AE79)/0.9</f>
        <v>#N/A</v>
      </c>
      <c r="AH79" s="102" t="e">
        <f t="shared" si="139"/>
        <v>#N/A</v>
      </c>
      <c r="AI79" s="102" t="e">
        <f t="shared" si="140"/>
        <v>#N/A</v>
      </c>
      <c r="AJ79" s="414" t="e">
        <f>IF(AJ78=0,0,IF(AND(AF79&gt;charge_ELS_quasi,AG79&gt;Charge_ELS_freq,AH79&gt;charge_ELU,AI79&gt;charge_ELA,$B79&gt;NDC!$H$22-0.1+MIN(3*$AJ$12,1.5)),0,1))</f>
        <v>#N/A</v>
      </c>
      <c r="AK79" s="86" t="b">
        <f t="shared" si="141"/>
        <v>0</v>
      </c>
      <c r="AL79" s="86">
        <f t="shared" ref="AL79:AL142" si="170">MAX($AY$12/2,0.5)</f>
        <v>0.5</v>
      </c>
      <c r="AM79" s="86">
        <f t="shared" si="142"/>
        <v>0.5</v>
      </c>
      <c r="AN79" s="30" t="e">
        <f t="shared" ref="AN79:AN142" ca="1" si="171">AVERAGE(OFFSET($F79, -10*AM79, 0,10*AM79, 1), OFFSET($F79, 1, 0, 30*AL79, 1))</f>
        <v>#DIV/0!</v>
      </c>
      <c r="AO79" s="85" t="e">
        <f ca="1">IF(U79&lt;=Hypothèses!$V$7,Hypothèses!$W$7,IF(U79&lt;=Hypothèses!$V$8,Hypothèses!$W$8,IF(U79&lt;=Hypothèses!$V$9,Hypothèses!$W$9,IF(U79&lt;=Hypothèses!$V$10,Hypothèses!$W$10,IF(U79&lt;=Hypothèses!$V$11,Hypothèses!$W$11,IF(U79&lt;=Hypothèses!$V$12,Hypothèses!$W$12,IF(U79&lt;=Hypothèses!$V$13,Hypothèses!$W$13,IF(U79&lt;=Hypothèses!$V$14,Hypothèses!$W$14,IF(U79&lt;=Hypothèses!$V$15,Hypothèses!$W$15,IF(U79&lt;=Hypothèses!$V$16,Hypothèses!$W$16,IF(U79&lt;=Hypothèses!$V$17,Hypothèses!$W$17,IF(U79&lt;=Hypothèses!$V$18,Hypothèses!$W$18,""))))))))))))</f>
        <v>#DIV/0!</v>
      </c>
      <c r="AP79" s="87" t="e">
        <f t="shared" ca="1" si="117"/>
        <v>#DIV/0!</v>
      </c>
      <c r="AQ79" s="88" t="e">
        <f ca="1">IF(U79&lt;=Hypothèses!$V$7,Hypothèses!$X$7,IF(U79&lt;=Hypothèses!$V$8,Hypothèses!$X$8,IF(U79&lt;=Hypothèses!$V$9,Hypothèses!$X$9,IF(U79&lt;=Hypothèses!$V$10,Hypothèses!$X$10,IF(U79&lt;=Hypothèses!$V$11,Hypothèses!$X$11,IF(U79&lt;=Hypothèses!$V$12,Hypothèses!$X$12,IF(U79&lt;=Hypothèses!$V$13,Hypothèses!$X$13,IF(U79&lt;=Hypothèses!$V$14,Hypothèses!$X$14,IF(U79&lt;=Hypothèses!$V$15,Hypothèses!$X$15,IF(U79&lt;=Hypothèses!$V$16,Hypothèses!$X$16,IF(U79&lt;=Hypothèses!$U$17,Hypothèses!$W$17,IF(U79&lt;=Hypothèses!$U$18,Hypothèses!$W$18,""))))))))))))</f>
        <v>#DIV/0!</v>
      </c>
      <c r="AR79" s="95" t="e">
        <f t="shared" ref="AR79:AR142" ca="1" si="172">IF($B79&lt;10*$BB$12,0.1/AP79*SUM(OFFSET(F79,-10*$B79+1,0,10*$B79,1)),0.1/AP79*SUM(OFFSET(F79,-100*$BB$12+1,0,100*$BB$12,1)))</f>
        <v>#DIV/0!</v>
      </c>
      <c r="AS79" s="101" t="e">
        <f t="shared" si="124"/>
        <v>#N/A</v>
      </c>
      <c r="AT79" s="91" t="e">
        <f t="shared" si="143"/>
        <v>#N/A</v>
      </c>
      <c r="AU79" s="30" t="e">
        <f t="shared" si="102"/>
        <v>#N/A</v>
      </c>
      <c r="AV79" s="30" t="e">
        <f t="shared" si="103"/>
        <v>#N/A</v>
      </c>
      <c r="AW79" s="31" t="e">
        <f>IF(OR(Hypothèses!$B$4=17,Hypothèses!$B$4=18,Hypothèses!$B$4=19,Hypothèses!$B$4=20),
IF($D79="Pressio.",
IF(OR($E79=3,$E79=1,$E79=4),AV79,AU79),
IF($D79="Pénétro.",
IF(OR($E79=3,$E79=1,$E79=4),AV79,AU79))),IF($D79="Pressio.",
IF($E79=3,AV79,AU79),
IF($D79="Pénétro.",
IF($E79=4,AV79,AU79))))</f>
        <v>#N/A</v>
      </c>
      <c r="AX79" s="31" t="e">
        <f>(IF(OR(Hypothèses!$B$4=17,Hypothèses!$B$4=18,Hypothèses!$B$4=19,Hypothèses!$B$4=20),
IF($D79="Pressio.",
IF(OR($E79=3,$E79=1,$E79=4),(PI()*AX$12^2)/4*(AT79*$W79*1000)/($H79*$B$5),(PI()*AX$12^2)/4*(AT79*$W79*1000)/($G79*$B$5)),
IF($D79="Pénétro.",
IF(OR($E79=4,$E79=1,$E79=5),(PI()*AX$12^2)/4*(AT79*$W79*1000)/($H79*$B$5),(PI()*AX$12^2)/4*(AT79*$W79*1000)/($G79*$B$5)))),
IF($D79="Pressio.",
IF($E79=3,(PI()*AX$12^2)/4*(AT79*$W79*1000)/($H79*$B$5),(PI()*AX$12^2)/4*(AT79*$W79*1000)/($G79*$B$5)),
IF($D79="Pénétro.",
IF($E79=4,(PI()*AX$12^2)/4*(AT79*$W79*1000)/($H79*$B$5),(PI()*AX$12^2)/4*(AT79*$W79*1000)/($G79*$B$5))))))/10</f>
        <v>#N/A</v>
      </c>
      <c r="AY79" s="102" t="e">
        <f>(VLOOKUP($B$3,'Coeff EC7'!$T$39:$X$59,2,0)*AW79+VLOOKUP($B$3,'Coeff EC7'!$T$65:$X$85,2,0)*Model0.1C!AX79)/1.1</f>
        <v>#N/A</v>
      </c>
      <c r="AZ79" s="102" t="e">
        <f>(VLOOKUP($B$3,'Coeff EC7'!$T$39:$X$59,3,0)*AW79+VLOOKUP($B$3,'Coeff EC7'!$T$65:$X$85,3,0)*Model0.1C!AX79)/0.9</f>
        <v>#N/A</v>
      </c>
      <c r="BA79" s="102" t="e">
        <f t="shared" ref="BA79:BA142" si="173">AW79/1.1+AX79/1.1</f>
        <v>#N/A</v>
      </c>
      <c r="BB79" s="102" t="e">
        <f t="shared" ref="BB79:BB142" si="174">AW79+AX79</f>
        <v>#N/A</v>
      </c>
      <c r="BC79" s="414" t="e">
        <f>IF(BC78=0,0,IF(AND(AY79&gt;charge_ELS_quasi,AZ79&gt;Charge_ELS_freq,BA79&gt;charge_ELU,BB79&gt;charge_ELA,$B79&gt;NDC!$H$22-0.1+MIN(3*$BC$12,1.5)),0,1))</f>
        <v>#N/A</v>
      </c>
      <c r="BD79" s="86" t="b">
        <f t="shared" si="144"/>
        <v>0</v>
      </c>
      <c r="BE79" s="86">
        <f t="shared" ref="BE79:BE142" si="175">MAX($BR$12/2,0.5)</f>
        <v>0.5</v>
      </c>
      <c r="BF79" s="86">
        <f t="shared" si="145"/>
        <v>0.5</v>
      </c>
      <c r="BG79" s="30" t="e">
        <f t="shared" ref="BG79:BG142" ca="1" si="176">AVERAGE(OFFSET($F79, -10*BF79, 0,10*BF79, 1), OFFSET($F79, 1, 0, 30*BE79, 1))</f>
        <v>#DIV/0!</v>
      </c>
      <c r="BH79" s="85" t="e">
        <f ca="1">IF(AN79&lt;=Hypothèses!$V$7,Hypothèses!$W$7,IF(AN79&lt;=Hypothèses!$V$8,Hypothèses!$W$8,IF(AN79&lt;=Hypothèses!$V$9,Hypothèses!$W$9,IF(AN79&lt;=Hypothèses!$V$10,Hypothèses!$W$10,IF(AN79&lt;=Hypothèses!$V$11,Hypothèses!$W$11,IF(AN79&lt;=Hypothèses!$V$12,Hypothèses!$W$12,IF(AN79&lt;=Hypothèses!$V$13,Hypothèses!$W$13,IF(AN79&lt;=Hypothèses!$V$14,Hypothèses!$W$14,IF(AN79&lt;=Hypothèses!$V$15,Hypothèses!$W$15,IF(AN79&lt;=Hypothèses!$V$16,Hypothèses!$W$16,IF(AN79&lt;=Hypothèses!$V$17,Hypothèses!$W$17,IF(AN79&lt;=Hypothèses!$V$18,Hypothèses!$W$18,""))))))))))))</f>
        <v>#DIV/0!</v>
      </c>
      <c r="BI79" s="87" t="e">
        <f t="shared" ca="1" si="118"/>
        <v>#DIV/0!</v>
      </c>
      <c r="BJ79" s="88" t="e">
        <f ca="1">IF(AN79&lt;=Hypothèses!$V$7,Hypothèses!$X$7,IF(AN79&lt;=Hypothèses!$V$8,Hypothèses!$X$8,IF(AN79&lt;=Hypothèses!$V$9,Hypothèses!$X$9,IF(AN79&lt;=Hypothèses!$V$10,Hypothèses!$X$10,IF(AN79&lt;=Hypothèses!$V$11,Hypothèses!$X$11,IF(AN79&lt;=Hypothèses!$V$12,Hypothèses!$X$12,IF(AN79&lt;=Hypothèses!$V$13,Hypothèses!$X$13,IF(AN79&lt;=Hypothèses!$V$14,Hypothèses!$X$14,IF(AN79&lt;=Hypothèses!$V$15,Hypothèses!$X$15,IF(AN79&lt;=Hypothèses!$V$16,Hypothèses!$X$16,IF(AN79&lt;=Hypothèses!$U$17,Hypothèses!$W$17,IF(AN79&lt;=Hypothèses!$U$18,Hypothèses!$W$18,""))))))))))))</f>
        <v>#DIV/0!</v>
      </c>
      <c r="BK79" s="95" t="e">
        <f t="shared" ref="BK79:BK142" ca="1" si="177">IF($B79&lt;10*$BU$12,0.1/BI79*SUM(OFFSET(F79,-10*$B79+1,0,10*$B79,1)),0.1/BI79*SUM(OFFSET(F79,-100*$BU$12+1,0,100*$BU$12,1)))</f>
        <v>#DIV/0!</v>
      </c>
      <c r="BL79" s="101" t="e">
        <f t="shared" si="125"/>
        <v>#N/A</v>
      </c>
      <c r="BM79" s="91" t="e">
        <f t="shared" si="146"/>
        <v>#N/A</v>
      </c>
      <c r="BN79" s="30" t="e">
        <f t="shared" si="104"/>
        <v>#N/A</v>
      </c>
      <c r="BO79" s="30" t="e">
        <f t="shared" si="105"/>
        <v>#N/A</v>
      </c>
      <c r="BP79" s="31" t="e">
        <f>IF(OR(Hypothèses!$B$4=17,Hypothèses!$B$4=18,Hypothèses!$B$4=19,Hypothèses!$B$4=20),
IF($D79="Pressio.",
IF(OR($E79=3,$E79=1,$E79=4),BO79,BN79),
IF($D79="Pénétro.",
IF(OR($E79=3,$E79=1,$E79=4),BO79,BN79))),IF($D79="Pressio.",
IF($E79=3,BO79,BN79),
IF($D79="Pénétro.",
IF($E79=4,BO79,BN79))))</f>
        <v>#N/A</v>
      </c>
      <c r="BQ79" s="31" t="e">
        <f>(IF(OR(Hypothèses!$B$4=17,Hypothèses!$B$4=18,Hypothèses!$B$4=19,Hypothèses!$B$4=20),
IF($D79="Pressio.",
IF(OR($E79=3,$E79=1,$E79=4),(PI()*BQ$12^2)/4*(BM79*$W79*1000)/($H79*$B$5),(PI()*BQ$12^2)/4*(BM79*$W79*1000)/($G79*$B$5)),
IF($D79="Pénétro.",
IF(OR($E79=4,$E79=1,$E79=5),(PI()*BQ$12^2)/4*(BM79*$W79*1000)/($H79*$B$5),(PI()*BQ$12^2)/4*(BM79*$W79*1000)/($G79*$B$5)))),
IF($D79="Pressio.",
IF($E79=3,(PI()*BQ$12^2)/4*(BM79*$W79*1000)/($H79*$B$5),(PI()*BQ$12^2)/4*(BM79*$W79*1000)/($G79*$B$5)),
IF($D79="Pénétro.",
IF($E79=4,(PI()*BQ$12^2)/4*(BM79*$W79*1000)/($H79*$B$5),(PI()*BQ$12^2)/4*(BM79*$W79*1000)/($G79*$B$5))))))/10</f>
        <v>#N/A</v>
      </c>
      <c r="BR79" s="102" t="e">
        <f>(VLOOKUP($B$3,'Coeff EC7'!$T$39:$X$59,2,0)*BP79+VLOOKUP($B$3,'Coeff EC7'!$T$65:$X$85,2,0)*Model0.1C!BQ79)/1.1</f>
        <v>#N/A</v>
      </c>
      <c r="BS79" s="102" t="e">
        <f>(VLOOKUP($B$3,'Coeff EC7'!$T$39:$X$59,3,0)*BP79+VLOOKUP($B$3,'Coeff EC7'!$T$65:$X$85,3,0)*Model0.1C!BQ79)/0.9</f>
        <v>#N/A</v>
      </c>
      <c r="BT79" s="102" t="e">
        <f t="shared" ref="BT79:BT142" si="178">BP79/1.1+BQ79/1.1</f>
        <v>#N/A</v>
      </c>
      <c r="BU79" s="102" t="e">
        <f t="shared" ref="BU79:BU142" si="179">BP79+BQ79</f>
        <v>#N/A</v>
      </c>
      <c r="BV79" s="414" t="e">
        <f>IF(BV78=0,0,IF(AND(BR79&gt;charge_ELS_quasi,BS79&gt;Charge_ELS_freq,BT79&gt;charge_ELU,BU79&gt;charge_ELA,$B79&gt;NDC!$H$22-0.1+MIN(3*$BV$12,1.5)),0,1))</f>
        <v>#N/A</v>
      </c>
      <c r="BW79" s="86" t="b">
        <f t="shared" si="147"/>
        <v>0</v>
      </c>
      <c r="BX79" s="86">
        <f t="shared" si="148"/>
        <v>0.5</v>
      </c>
      <c r="BY79" s="86">
        <f t="shared" si="149"/>
        <v>0.5</v>
      </c>
      <c r="BZ79" s="30" t="e">
        <f t="shared" ref="BZ79:BZ142" ca="1" si="180">AVERAGE(OFFSET($F79, -10*BY79, 0,10*BY79, 1), OFFSET($F79, 1, 0, 30*BX79, 1))</f>
        <v>#DIV/0!</v>
      </c>
      <c r="CA79" s="85" t="e">
        <f ca="1">IF(BG79&lt;=Hypothèses!$V$7,Hypothèses!$W$7,IF(BG79&lt;=Hypothèses!$V$8,Hypothèses!$W$8,IF(BG79&lt;=Hypothèses!$V$9,Hypothèses!$W$9,IF(BG79&lt;=Hypothèses!$V$10,Hypothèses!$W$10,IF(BG79&lt;=Hypothèses!$V$11,Hypothèses!$W$11,IF(BG79&lt;=Hypothèses!$V$12,Hypothèses!$W$12,IF(BG79&lt;=Hypothèses!$V$13,Hypothèses!$W$13,IF(BG79&lt;=Hypothèses!$V$14,Hypothèses!$W$14,IF(BG79&lt;=Hypothèses!$V$15,Hypothèses!$W$15,IF(BG79&lt;=Hypothèses!$V$16,Hypothèses!$W$16,IF(BG79&lt;=Hypothèses!$V$17,Hypothèses!$W$17,IF(BG79&lt;=Hypothèses!$V$18,Hypothèses!$W$18,""))))))))))))</f>
        <v>#DIV/0!</v>
      </c>
      <c r="CB79" s="87" t="e">
        <f t="shared" ca="1" si="119"/>
        <v>#DIV/0!</v>
      </c>
      <c r="CC79" s="88" t="e">
        <f ca="1">IF(BG79&lt;=Hypothèses!$V$7,Hypothèses!$X$7,IF(BG79&lt;=Hypothèses!$V$8,Hypothèses!$X$8,IF(BG79&lt;=Hypothèses!$V$9,Hypothèses!$X$9,IF(BG79&lt;=Hypothèses!$V$10,Hypothèses!$X$10,IF(BG79&lt;=Hypothèses!$V$11,Hypothèses!$X$11,IF(BG79&lt;=Hypothèses!$V$12,Hypothèses!$X$12,IF(BG79&lt;=Hypothèses!$V$13,Hypothèses!$X$13,IF(BG79&lt;=Hypothèses!$V$14,Hypothèses!$X$14,IF(BG79&lt;=Hypothèses!$V$15,Hypothèses!$X$15,IF(BG79&lt;=Hypothèses!$V$16,Hypothèses!$X$16,IF(BG79&lt;=Hypothèses!$U$17,Hypothèses!$W$17,IF(BG79&lt;=Hypothèses!$U$18,Hypothèses!$W$18,""))))))))))))</f>
        <v>#DIV/0!</v>
      </c>
      <c r="CD79" s="95" t="e">
        <f t="shared" ref="CD79:CD142" ca="1" si="181">IF($B79&lt;10*$CN$12,0.1/CB79*SUM(OFFSET(F79,-10*$B79+1,0,10*$B79,1)),0.1/CB79*SUM(OFFSET(F79,-100*$CN$12+1,0,100*$CN$12,1)))</f>
        <v>#DIV/0!</v>
      </c>
      <c r="CE79" s="101" t="e">
        <f t="shared" si="126"/>
        <v>#N/A</v>
      </c>
      <c r="CF79" s="91" t="e">
        <f t="shared" si="150"/>
        <v>#N/A</v>
      </c>
      <c r="CG79" s="30" t="e">
        <f t="shared" si="106"/>
        <v>#N/A</v>
      </c>
      <c r="CH79" s="30" t="e">
        <f t="shared" si="107"/>
        <v>#N/A</v>
      </c>
      <c r="CI79" s="31" t="e">
        <f>IF(OR(Hypothèses!$B$4=17,Hypothèses!$B$4=18,Hypothèses!$B$4=19,Hypothèses!$B$4=20),
IF($D79="Pressio.",
IF(OR($E79=3,$E79=1,$E79=4),CH79,CG79),
IF($D79="Pénétro.",
IF(OR($E79=3,$E79=1,$E79=4),CH79,CG79))),IF($D79="Pressio.",
IF($E79=3,CH79,CG79),
IF($D79="Pénétro.",
IF($E79=4,CH79,CG79))))</f>
        <v>#N/A</v>
      </c>
      <c r="CJ79" s="31" t="e">
        <f>(IF(OR(Hypothèses!$B$4=17,Hypothèses!$B$4=18,Hypothèses!$B$4=19,Hypothèses!$B$4=20),
IF($D79="Pressio.",
IF(OR($E79=3,$E79=1,$E79=4),(PI()*CJ$12^2)/4*(CF79*$W79*1000)/($H79*$B$5),(PI()*CJ$12^2)/4*(CF79*$W79*1000)/($G79*$B$5)),
IF($D79="Pénétro.",
IF(OR($E79=4,$E79=1,$E79=5),(PI()*CJ$12^2)/4*(CF79*$W79*1000)/($H79*$B$5),(PI()*CJ$12^2)/4*(CF79*$W79*1000)/($G79*$B$5)))),
IF($D79="Pressio.",
IF($E79=3,(PI()*CJ$12^2)/4*(CF79*$W79*1000)/($H79*$B$5),(PI()*CJ$12^2)/4*(CF79*$W79*1000)/($G79*$B$5)),
IF($D79="Pénétro.",
IF($E79=4,(PI()*CJ$12^2)/4*(CF79*$W79*1000)/($H79*$B$5),(PI()*CJ$12^2)/4*(CF79*$W79*1000)/($G79*$B$5))))))/10</f>
        <v>#N/A</v>
      </c>
      <c r="CK79" s="102" t="e">
        <f>(VLOOKUP($B$3,'Coeff EC7'!$T$39:$X$59,2,0)*CI79+VLOOKUP($B$3,'Coeff EC7'!$T$65:$X$85,2,0)*Model0.1C!CJ79)/1.1</f>
        <v>#N/A</v>
      </c>
      <c r="CL79" s="102" t="e">
        <f>(VLOOKUP($B$3,'Coeff EC7'!$T$39:$X$59,3,0)*CI79+VLOOKUP($B$3,'Coeff EC7'!$T$65:$X$85,3,0)*Model0.1C!CJ79)/0.9</f>
        <v>#N/A</v>
      </c>
      <c r="CM79" s="102" t="e">
        <f t="shared" ref="CM79:CM142" si="182">CI79/1.1+CJ79/1.1</f>
        <v>#N/A</v>
      </c>
      <c r="CN79" s="102" t="e">
        <f t="shared" ref="CN79:CN142" si="183">CI79+CJ79</f>
        <v>#N/A</v>
      </c>
      <c r="CO79" s="414" t="e">
        <f>IF(CO78=0,0,IF(AND(CK79&gt;charge_ELS_quasi,CL79&gt;Charge_ELS_freq,CM79&gt;charge_ELU,CN79&gt;charge_ELA,$B79&gt;NDC!$H$22-0.1+MIN(3*$CO$12,1.5)),0,1))</f>
        <v>#N/A</v>
      </c>
      <c r="CP79" s="86" t="b">
        <f t="shared" si="151"/>
        <v>0</v>
      </c>
      <c r="CQ79" s="86">
        <f t="shared" si="152"/>
        <v>0.5</v>
      </c>
      <c r="CR79" s="86">
        <f t="shared" si="153"/>
        <v>0.5</v>
      </c>
      <c r="CS79" s="30" t="e">
        <f t="shared" ref="CS79:CS142" ca="1" si="184">AVERAGE(OFFSET($F79, -10*CR79, 0,10*CR79, 1), OFFSET($F79, 1, 0, 30*CQ79, 1))</f>
        <v>#DIV/0!</v>
      </c>
      <c r="CT79" s="85" t="e">
        <f ca="1">IF(BZ79&lt;=Hypothèses!$V$7,Hypothèses!$W$7,IF(BZ79&lt;=Hypothèses!$V$8,Hypothèses!$W$8,IF(BZ79&lt;=Hypothèses!$V$9,Hypothèses!$W$9,IF(BZ79&lt;=Hypothèses!$V$10,Hypothèses!$W$10,IF(BZ79&lt;=Hypothèses!$V$11,Hypothèses!$W$11,IF(BZ79&lt;=Hypothèses!$V$12,Hypothèses!$W$12,IF(BZ79&lt;=Hypothèses!$V$13,Hypothèses!$W$13,IF(BZ79&lt;=Hypothèses!$V$14,Hypothèses!$W$14,IF(BZ79&lt;=Hypothèses!$V$15,Hypothèses!$W$15,IF(BZ79&lt;=Hypothèses!$V$16,Hypothèses!$W$16,IF(BZ79&lt;=Hypothèses!$V$17,Hypothèses!$W$17,IF(BZ79&lt;=Hypothèses!$V$18,Hypothèses!$W$18,""))))))))))))</f>
        <v>#DIV/0!</v>
      </c>
      <c r="CU79" s="87" t="e">
        <f t="shared" ca="1" si="120"/>
        <v>#DIV/0!</v>
      </c>
      <c r="CV79" s="88" t="e">
        <f ca="1">IF(BZ79&lt;=Hypothèses!$V$7,Hypothèses!$X$7,IF(BZ79&lt;=Hypothèses!$V$8,Hypothèses!$X$8,IF(BZ79&lt;=Hypothèses!$V$9,Hypothèses!$X$9,IF(BZ79&lt;=Hypothèses!$V$10,Hypothèses!$X$10,IF(BZ79&lt;=Hypothèses!$V$11,Hypothèses!$X$11,IF(BZ79&lt;=Hypothèses!$V$12,Hypothèses!$X$12,IF(BZ79&lt;=Hypothèses!$V$13,Hypothèses!$X$13,IF(BZ79&lt;=Hypothèses!$V$14,Hypothèses!$X$14,IF(BZ79&lt;=Hypothèses!$V$15,Hypothèses!$X$15,IF(BZ79&lt;=Hypothèses!$V$16,Hypothèses!$X$16,IF(BZ79&lt;=Hypothèses!$U$17,Hypothèses!$W$17,IF(BZ79&lt;=Hypothèses!$U$18,Hypothèses!$W$18,""))))))))))))</f>
        <v>#DIV/0!</v>
      </c>
      <c r="CW79" s="95" t="e">
        <f t="shared" ref="CW79:CW142" ca="1" si="185">IF($B79&lt;10*$DG$12,0.1/CU79*SUM(OFFSET(F79,-10*$B79+1,0,10*$B79,1)),0.1/CU79*SUM(OFFSET(F79,-100*$DG$12+1,0,100*$DG$12,1)))</f>
        <v>#DIV/0!</v>
      </c>
      <c r="CX79" s="101" t="e">
        <f t="shared" si="127"/>
        <v>#N/A</v>
      </c>
      <c r="CY79" s="91" t="e">
        <f t="shared" si="154"/>
        <v>#N/A</v>
      </c>
      <c r="CZ79" s="30" t="e">
        <f t="shared" si="108"/>
        <v>#N/A</v>
      </c>
      <c r="DA79" s="30" t="e">
        <f t="shared" si="109"/>
        <v>#N/A</v>
      </c>
      <c r="DB79" s="31" t="e">
        <f>IF(OR(Hypothèses!$B$4=17,Hypothèses!$B$4=18,Hypothèses!$B$4=19,Hypothèses!$B$4=20),
IF($D79="Pressio.",
IF(OR($E79=3,$E79=1,$E79=4),DA79,CZ79),
IF($D79="Pénétro.",
IF(OR($E79=3,$E79=1,$E79=4),DA79,CZ79))),IF($D79="Pressio.",
IF($E79=3,DA79,CZ79),
IF($D79="Pénétro.",
IF($E79=4,DA79,CZ79))))</f>
        <v>#N/A</v>
      </c>
      <c r="DC79" s="31" t="e">
        <f>(IF(OR(Hypothèses!$B$4=17,Hypothèses!$B$4=18,Hypothèses!$B$4=19,Hypothèses!$B$4=20),
IF($D79="Pressio.",
IF(OR($E79=3,$E79=1,$E79=4),(PI()*DC$12^2)/4*(CY79*$W79*1000)/($H79*$B$5),(PI()*DC$12^2)/4*(CY79*$W79*1000)/($G79*$B$5)),
IF($D79="Pénétro.",
IF(OR($E79=4,$E79=1,$E79=5),(PI()*DC$12^2)/4*(CY79*$W79*1000)/($H79*$B$5),(PI()*DC$12^2)/4*(CY79*$W79*1000)/($G79*$B$5)))),
IF($D79="Pressio.",
IF($E79=3,(PI()*DC$12^2)/4*(CY79*$W79*1000)/($H79*$B$5),(PI()*DC$12^2)/4*(CY79*$W79*1000)/($G79*$B$5)),
IF($D79="Pénétro.",
IF($E79=4,(PI()*DC$12^2)/4*(CY79*$W79*1000)/($H79*$B$5),(PI()*DC$12^2)/4*(CY79*$W79*1000)/($G79*$B$5))))))/10</f>
        <v>#N/A</v>
      </c>
      <c r="DD79" s="102" t="e">
        <f>(VLOOKUP($B$3,'Coeff EC7'!$T$39:$X$59,2,0)*DB79+VLOOKUP($B$3,'Coeff EC7'!$T$65:$X$85,2,0)*Model0.1C!DC79)/1.1</f>
        <v>#N/A</v>
      </c>
      <c r="DE79" s="102" t="e">
        <f>(VLOOKUP($B$3,'Coeff EC7'!$T$39:$X$59,3,0)*DB79+VLOOKUP($B$3,'Coeff EC7'!$T$65:$X$85,3,0)*Model0.1C!DC79)/0.9</f>
        <v>#N/A</v>
      </c>
      <c r="DF79" s="102" t="e">
        <f t="shared" ref="DF79:DF142" si="186">DB79/1.1+DC79/1.1</f>
        <v>#N/A</v>
      </c>
      <c r="DG79" s="102" t="e">
        <f t="shared" ref="DG79:DG142" si="187">DB79+DC79</f>
        <v>#N/A</v>
      </c>
      <c r="DH79" s="414" t="e">
        <f>IF(DH78=0,0,IF(AND(DD79&gt;charge_ELS_quasi,DE79&gt;Charge_ELS_freq,DF79&gt;charge_ELU,DG79&gt;charge_ELA,$B79&gt;NDC!$H$22-0.1+MIN(3*$DH$12,1.5)),0,1))</f>
        <v>#N/A</v>
      </c>
      <c r="DI79" s="86" t="b">
        <f t="shared" si="155"/>
        <v>0</v>
      </c>
      <c r="DJ79" s="86">
        <f t="shared" si="156"/>
        <v>0.5</v>
      </c>
      <c r="DK79" s="86">
        <f t="shared" si="157"/>
        <v>0.5</v>
      </c>
      <c r="DL79" s="30" t="e">
        <f t="shared" ref="DL79:DL142" ca="1" si="188">AVERAGE(OFFSET($F79, -10*DK79, 0,10*DK79, 1), OFFSET($F79, 1, 0, 30*DJ79, 1))</f>
        <v>#DIV/0!</v>
      </c>
      <c r="DM79" s="85" t="e">
        <f ca="1">IF(CS79&lt;=Hypothèses!$V$7,Hypothèses!$W$7,IF(CS79&lt;=Hypothèses!$V$8,Hypothèses!$W$8,IF(CS79&lt;=Hypothèses!$V$9,Hypothèses!$W$9,IF(CS79&lt;=Hypothèses!$V$10,Hypothèses!$W$10,IF(CS79&lt;=Hypothèses!$V$11,Hypothèses!$W$11,IF(CS79&lt;=Hypothèses!$V$12,Hypothèses!$W$12,IF(CS79&lt;=Hypothèses!$V$13,Hypothèses!$W$13,IF(CS79&lt;=Hypothèses!$V$14,Hypothèses!$W$14,IF(CS79&lt;=Hypothèses!$V$15,Hypothèses!$W$15,IF(CS79&lt;=Hypothèses!$V$16,Hypothèses!$W$16,IF(CS79&lt;=Hypothèses!$V$17,Hypothèses!$W$17,IF(CS79&lt;=Hypothèses!$V$18,Hypothèses!$W$18,""))))))))))))</f>
        <v>#DIV/0!</v>
      </c>
      <c r="DN79" s="87" t="e">
        <f t="shared" ca="1" si="121"/>
        <v>#DIV/0!</v>
      </c>
      <c r="DO79" s="88" t="e">
        <f ca="1">IF(CS79&lt;=Hypothèses!$V$7,Hypothèses!$X$7,IF(CS79&lt;=Hypothèses!$V$8,Hypothèses!$X$8,IF(CS79&lt;=Hypothèses!$V$9,Hypothèses!$X$9,IF(CS79&lt;=Hypothèses!$V$10,Hypothèses!$X$10,IF(CS79&lt;=Hypothèses!$V$11,Hypothèses!$X$11,IF(CS79&lt;=Hypothèses!$V$12,Hypothèses!$X$12,IF(CS79&lt;=Hypothèses!$V$13,Hypothèses!$X$13,IF(CS79&lt;=Hypothèses!$V$14,Hypothèses!$X$14,IF(CS79&lt;=Hypothèses!$V$15,Hypothèses!$X$15,IF(CS79&lt;=Hypothèses!$V$16,Hypothèses!$X$16,IF(CS79&lt;=Hypothèses!$U$17,Hypothèses!$W$17,IF(CS79&lt;=Hypothèses!$U$18,Hypothèses!$W$18,""))))))))))))</f>
        <v>#DIV/0!</v>
      </c>
      <c r="DP79" s="95" t="e">
        <f t="shared" ref="DP79:DP142" ca="1" si="189">IF($B79&lt;10*$DZ$12,0.1/DN79*SUM(OFFSET(F79,-10*$B79+1,0,10*$B79,1)),0.1/DN79*SUM(OFFSET(F79,-100*$DZ$12+1,0,100*$DZ$12,1)))</f>
        <v>#DIV/0!</v>
      </c>
      <c r="DQ79" s="101" t="e">
        <f t="shared" si="128"/>
        <v>#N/A</v>
      </c>
      <c r="DR79" s="91" t="e">
        <f t="shared" si="158"/>
        <v>#N/A</v>
      </c>
      <c r="DS79" s="30" t="e">
        <f t="shared" si="110"/>
        <v>#N/A</v>
      </c>
      <c r="DT79" s="30" t="e">
        <f t="shared" si="111"/>
        <v>#N/A</v>
      </c>
      <c r="DU79" s="31" t="e">
        <f>IF(OR(Hypothèses!$B$4=17,Hypothèses!$B$4=18,Hypothèses!$B$4=19,Hypothèses!$B$4=20),
IF($D79="Pressio.",
IF(OR($E79=3,$E79=1,$E79=4),DT79,DS79),
IF($D79="Pénétro.",
IF(OR($E79=3,$E79=1,$E79=4),DT79,DS79))),IF($D79="Pressio.",
IF($E79=3,DT79,DS79),
IF($D79="Pénétro.",
IF($E79=4,DT79,DS79))))</f>
        <v>#N/A</v>
      </c>
      <c r="DV79" s="31" t="e">
        <f>(IF(OR(Hypothèses!$B$4=17,Hypothèses!$B$4=18,Hypothèses!$B$4=19,Hypothèses!$B$4=20),
IF($D79="Pressio.",
IF(OR($E79=3,$E79=1,$E79=4),(PI()*DV$12^2)/4*(DR79*$W79*1000)/($H79*$B$5),(PI()*DV$12^2)/4*(DR79*$W79*1000)/($G79*$B$5)),
IF($D79="Pénétro.",
IF(OR($E79=4,$E79=1,$E79=5),(PI()*DV$12^2)/4*(DR79*$W79*1000)/($H79*$B$5),(PI()*DV$12^2)/4*(DR79*$W79*1000)/($G79*$B$5)))),
IF($D79="Pressio.",
IF($E79=3,(PI()*DV$12^2)/4*(DR79*$W79*1000)/($H79*$B$5),(PI()*DV$12^2)/4*(DR79*$W79*1000)/($G79*$B$5)),
IF($D79="Pénétro.",
IF($E79=4,(PI()*DV$12^2)/4*(DR79*$W79*1000)/($H79*$B$5),(PI()*DV$12^2)/4*(DR79*$W79*1000)/($G79*$B$5))))))/10</f>
        <v>#N/A</v>
      </c>
      <c r="DW79" s="102" t="e">
        <f>(VLOOKUP($B$3,'Coeff EC7'!$T$39:$X$59,2,0)*DU79+VLOOKUP($B$3,'Coeff EC7'!$T$65:$X$85,2,0)*Model0.1C!DV79)/1.1</f>
        <v>#N/A</v>
      </c>
      <c r="DX79" s="102" t="e">
        <f>(VLOOKUP($B$3,'Coeff EC7'!$T$39:$X$59,3,0)*DU79+VLOOKUP($B$3,'Coeff EC7'!$T$65:$X$85,3,0)*Model0.1C!DV79)/0.9</f>
        <v>#N/A</v>
      </c>
      <c r="DY79" s="102" t="e">
        <f t="shared" ref="DY79:DY142" si="190">DU79/1.1+DV79/1.1</f>
        <v>#N/A</v>
      </c>
      <c r="DZ79" s="102" t="e">
        <f t="shared" ref="DZ79:DZ142" si="191">DU79+DV79</f>
        <v>#N/A</v>
      </c>
      <c r="EA79" s="414" t="e">
        <f>IF(EA78=0,0,IF(AND(DW79&gt;charge_ELS_quasi,DX79&gt;Charge_ELS_freq,DY79&gt;charge_ELU,DZ79&gt;charge_ELA,$B79&gt;NDC!$H$22-0.1+MIN(3*$EA$12,1.5)),0,1))</f>
        <v>#N/A</v>
      </c>
      <c r="EB79" s="86" t="b">
        <f t="shared" si="159"/>
        <v>0</v>
      </c>
      <c r="EC79" s="418">
        <f t="shared" si="160"/>
        <v>0.51</v>
      </c>
      <c r="ED79" s="86">
        <f t="shared" si="161"/>
        <v>0.51</v>
      </c>
      <c r="EE79" s="30" t="e">
        <f t="shared" ref="EE79:EE142" ca="1" si="192">AVERAGE(OFFSET($F79, -10*ED79, 0,10*ED79, 1), OFFSET($F79, 1, 0, 30*EC79, 1))</f>
        <v>#DIV/0!</v>
      </c>
      <c r="EF79" s="85" t="e">
        <f ca="1">IF(DL79&lt;=Hypothèses!$V$7,Hypothèses!$W$7,IF(DL79&lt;=Hypothèses!$V$8,Hypothèses!$W$8,IF(DL79&lt;=Hypothèses!$V$9,Hypothèses!$W$9,IF(DL79&lt;=Hypothèses!$V$10,Hypothèses!$W$10,IF(DL79&lt;=Hypothèses!$V$11,Hypothèses!$W$11,IF(DL79&lt;=Hypothèses!$V$12,Hypothèses!$W$12,IF(DL79&lt;=Hypothèses!$V$13,Hypothèses!$W$13,IF(DL79&lt;=Hypothèses!$V$14,Hypothèses!$W$14,IF(DL79&lt;=Hypothèses!$V$15,Hypothèses!$W$15,IF(DL79&lt;=Hypothèses!$V$16,Hypothèses!$W$16,IF(DL79&lt;=Hypothèses!$V$17,Hypothèses!$W$17,IF(DL79&lt;=Hypothèses!$V$18,Hypothèses!$W$18,""))))))))))))</f>
        <v>#DIV/0!</v>
      </c>
      <c r="EG79" s="87" t="e">
        <f t="shared" ca="1" si="122"/>
        <v>#DIV/0!</v>
      </c>
      <c r="EH79" s="88" t="e">
        <f ca="1">IF(DL79&lt;=Hypothèses!$V$7,Hypothèses!$X$7,IF(DL79&lt;=Hypothèses!$V$8,Hypothèses!$X$8,IF(DL79&lt;=Hypothèses!$V$9,Hypothèses!$X$9,IF(DL79&lt;=Hypothèses!$V$10,Hypothèses!$X$10,IF(DL79&lt;=Hypothèses!$V$11,Hypothèses!$X$11,IF(DL79&lt;=Hypothèses!$V$12,Hypothèses!$X$12,IF(DL79&lt;=Hypothèses!$V$13,Hypothèses!$X$13,IF(DL79&lt;=Hypothèses!$V$14,Hypothèses!$X$14,IF(DL79&lt;=Hypothèses!$V$15,Hypothèses!$X$15,IF(DL79&lt;=Hypothèses!$V$16,Hypothèses!$X$16,IF(DL79&lt;=Hypothèses!$U$17,Hypothèses!$W$17,IF(DL79&lt;=Hypothèses!$U$18,Hypothèses!$W$18,""))))))))))))</f>
        <v>#DIV/0!</v>
      </c>
      <c r="EI79" s="95" t="e">
        <f t="shared" ref="EI79:EI142" ca="1" si="193">IF($B79&lt;10*$ES$12,0.1/EG79*SUM(OFFSET(F79,-10*$B79+1,0,10*$B79,1)),0.1/EG79*SUM(OFFSET(F79,-100*$ES$12+1,0,100*$ES$12,1)))</f>
        <v>#DIV/0!</v>
      </c>
      <c r="EJ79" s="101" t="e">
        <f t="shared" si="129"/>
        <v>#N/A</v>
      </c>
      <c r="EK79" s="91" t="e">
        <f t="shared" si="162"/>
        <v>#N/A</v>
      </c>
      <c r="EL79" s="30" t="e">
        <f t="shared" si="112"/>
        <v>#N/A</v>
      </c>
      <c r="EM79" s="30" t="e">
        <f t="shared" si="113"/>
        <v>#N/A</v>
      </c>
      <c r="EN79" s="31" t="e">
        <f>IF(OR(Hypothèses!$B$4=17,Hypothèses!$B$4=18,Hypothèses!$B$4=19,Hypothèses!$B$4=20),
IF($D79="Pressio.",
IF(OR($E79=3,$E79=1,$E79=4),EM79,EL79),
IF($D79="Pénétro.",
IF(OR($E79=3,$E79=1,$E79=4),EM79,EL79))),IF($D79="Pressio.",
IF($E79=3,EM79,EL79),
IF($D79="Pénétro.",
IF($E79=4,EM79,EL79))))</f>
        <v>#N/A</v>
      </c>
      <c r="EO79" s="31" t="e">
        <f>(IF(OR(Hypothèses!$B$4=17,Hypothèses!$B$4=18,Hypothèses!$B$4=19,Hypothèses!$B$4=20),
IF($D79="Pressio.",
IF(OR($E79=3,$E79=1,$E79=4),(PI()*EO$12^2)/4*(EK79*$W79*1000)/($H79*$B$5),(PI()*EO$12^2)/4*(EK79*$W79*1000)/($G79*$B$5)),
IF($D79="Pénétro.",
IF(OR($E79=4,$E79=1,$E79=5),(PI()*EO$12^2)/4*(EK79*$W79*1000)/($H79*$B$5),(PI()*EO$12^2)/4*(EK79*$W79*1000)/($G79*$B$5)))),
IF($D79="Pressio.",
IF($E79=3,(PI()*EO$12^2)/4*(EK79*$W79*1000)/($H79*$B$5),(PI()*EO$12^2)/4*(EK79*$W79*1000)/($G79*$B$5)),
IF($D79="Pénétro.",
IF($E79=4,(PI()*EO$12^2)/4*(EK79*$W79*1000)/($H79*$B$5),(PI()*EO$12^2)/4*(EK79*$W79*1000)/($G79*$B$5))))))/10</f>
        <v>#N/A</v>
      </c>
      <c r="EP79" s="102" t="e">
        <f>(VLOOKUP($B$3,'Coeff EC7'!$T$39:$X$59,2,0)*EN79+VLOOKUP($B$3,'Coeff EC7'!$T$65:$X$85,2,0)*Model0.1C!EO79)/1.1</f>
        <v>#N/A</v>
      </c>
      <c r="EQ79" s="102" t="e">
        <f>(VLOOKUP($B$3,'Coeff EC7'!$T$39:$X$59,3,0)*EN79+VLOOKUP($B$3,'Coeff EC7'!$T$65:$X$85,3,0)*Model0.1C!EO79)/0.9</f>
        <v>#N/A</v>
      </c>
      <c r="ER79" s="102" t="e">
        <f t="shared" ref="ER79:ER142" si="194">EN79/1.1+EO79/1.1</f>
        <v>#N/A</v>
      </c>
      <c r="ES79" s="102" t="e">
        <f t="shared" ref="ES79:ES142" si="195">EN79+EO79</f>
        <v>#N/A</v>
      </c>
      <c r="ET79" s="414" t="e">
        <f>IF(ET78=0,0,IF(AND(EP79&gt;charge_ELS_quasi,EQ79&gt;Charge_ELS_freq,ER79&gt;charge_ELU,ES79&gt;charge_ELA,$B79&gt;NDC!$H$22-0.1+MIN(3*$ET$12,1.5)),0,1))</f>
        <v>#N/A</v>
      </c>
      <c r="EU79" s="86" t="b">
        <f t="shared" si="163"/>
        <v>0</v>
      </c>
      <c r="EV79" s="86">
        <f t="shared" si="164"/>
        <v>0.61</v>
      </c>
      <c r="EW79" s="86">
        <f t="shared" si="165"/>
        <v>0.61</v>
      </c>
      <c r="EX79" s="30" t="e">
        <f t="shared" ref="EX79:EX142" ca="1" si="196">AVERAGE(OFFSET($F79, -10*EW79, 0,10*EW79, 1), OFFSET($F79, 1, 0, 30*EV79, 1))</f>
        <v>#DIV/0!</v>
      </c>
      <c r="EY79" s="85" t="e">
        <f ca="1">IF(EE79&lt;=Hypothèses!$V$7,Hypothèses!$W$7,IF(EE79&lt;=Hypothèses!$V$8,Hypothèses!$W$8,IF(EE79&lt;=Hypothèses!$V$9,Hypothèses!$W$9,IF(EE79&lt;=Hypothèses!$V$10,Hypothèses!$W$10,IF(EE79&lt;=Hypothèses!$V$11,Hypothèses!$W$11,IF(EE79&lt;=Hypothèses!$V$12,Hypothèses!$W$12,IF(EE79&lt;=Hypothèses!$V$13,Hypothèses!$W$13,IF(EE79&lt;=Hypothèses!$V$14,Hypothèses!$W$14,IF(EE79&lt;=Hypothèses!$V$15,Hypothèses!$W$15,IF(EE79&lt;=Hypothèses!$V$16,Hypothèses!$W$16,IF(EE79&lt;=Hypothèses!$V$17,Hypothèses!$W$17,IF(EE79&lt;=Hypothèses!$V$18,Hypothèses!$W$18,""))))))))))))</f>
        <v>#DIV/0!</v>
      </c>
      <c r="EZ79" s="87" t="e">
        <f t="shared" ca="1" si="123"/>
        <v>#DIV/0!</v>
      </c>
      <c r="FA79" s="88" t="e">
        <f ca="1">IF(EE79&lt;=Hypothèses!$V$7,Hypothèses!$X$7,IF(EE79&lt;=Hypothèses!$V$8,Hypothèses!$X$8,IF(EE79&lt;=Hypothèses!$V$9,Hypothèses!$X$9,IF(EE79&lt;=Hypothèses!$V$10,Hypothèses!$X$10,IF(EE79&lt;=Hypothèses!$V$11,Hypothèses!$X$11,IF(EE79&lt;=Hypothèses!$V$12,Hypothèses!$X$12,IF(EE79&lt;=Hypothèses!$V$13,Hypothèses!$X$13,IF(EE79&lt;=Hypothèses!$V$14,Hypothèses!$X$14,IF(EE79&lt;=Hypothèses!$V$15,Hypothèses!$X$15,IF(EE79&lt;=Hypothèses!$V$16,Hypothèses!$X$16,IF(EE79&lt;=Hypothèses!$U$17,Hypothèses!$W$17,IF(EE79&lt;=Hypothèses!$U$18,Hypothèses!$W$18,""))))))))))))</f>
        <v>#DIV/0!</v>
      </c>
      <c r="FB79" s="95" t="e">
        <f t="shared" ref="FB79:FB142" ca="1" si="197">IF($B79&lt;10*$FL$12,0.1/EZ79*SUM(OFFSET(F79,-10*$B79+1,0,10*$B79,1)),0.1/EZ79*SUM(OFFSET(F79,-100*$FL$12+1,0,100*$FL$12,1)))</f>
        <v>#DIV/0!</v>
      </c>
      <c r="FC79" s="101" t="e">
        <f t="shared" si="130"/>
        <v>#N/A</v>
      </c>
      <c r="FD79" s="91" t="e">
        <f t="shared" si="166"/>
        <v>#N/A</v>
      </c>
      <c r="FE79" s="30" t="e">
        <f t="shared" si="114"/>
        <v>#N/A</v>
      </c>
      <c r="FF79" s="30" t="e">
        <f t="shared" si="115"/>
        <v>#N/A</v>
      </c>
      <c r="FG79" s="31" t="e">
        <f>IF(OR(Hypothèses!$B$4=17,Hypothèses!$B$4=18,Hypothèses!$B$4=19,Hypothèses!$B$4=20),
IF($D79="Pressio.",
IF(OR($E79=3,$E79=1,$E79=4),FF79,FE79),
IF($D79="Pénétro.",
IF(OR($E79=3,$E79=1,$E79=4),FF79,FE79))),IF($D79="Pressio.",
IF($E79=3,FF79,FE79),
IF($D79="Pénétro.",
IF($E79=4,FF79,FE79))))</f>
        <v>#N/A</v>
      </c>
      <c r="FH79" s="31" t="e">
        <f>(IF(OR(Hypothèses!$B$4=17,Hypothèses!$B$4=18,Hypothèses!$B$4=19,Hypothèses!$B$4=20),
IF($D79="Pressio.",
IF(OR($E79=3,$E79=1,$E79=4),(PI()*FH$12^2)/4*(FD79*$W79*1000)/($H79*$B$5),(PI()*FH$12^2)/4*(FD79*$W79*1000)/($G79*$B$5)),
IF($D79="Pénétro.",
IF(OR($E79=4,$E79=1,$E79=5),(PI()*FH$12^2)/4*(FD79*$W79*1000)/($H79*$B$5),(PI()*FH$12^2)/4*(FD79*$W79*1000)/($G79*$B$5)))),
IF($D79="Pressio.",
IF($E79=3,(PI()*FH$12^2)/4*(FD79*$W79*1000)/($H79*$B$5),(PI()*FH$12^2)/4*(FD79*$W79*1000)/($G79*$B$5)),
IF($D79="Pénétro.",
IF($E79=4,(PI()*FH$12^2)/4*(FD79*$W79*1000)/($H79*$B$5),(PI()*FH$12^2)/4*(FD79*$W79*1000)/($G79*$B$5))))))/10</f>
        <v>#N/A</v>
      </c>
      <c r="FI79" s="102" t="e">
        <f>(VLOOKUP($B$3,'Coeff EC7'!$T$39:$X$59,2,0)*FG79+VLOOKUP($B$3,'Coeff EC7'!$T$65:$X$85,2,0)*Model0.1C!FH79)/1.1</f>
        <v>#N/A</v>
      </c>
      <c r="FJ79" s="102" t="e">
        <f>(VLOOKUP($B$3,'Coeff EC7'!$T$39:$X$59,3,0)*FG79+VLOOKUP($B$3,'Coeff EC7'!$T$65:$X$85,3,0)*Model0.1C!FH79)/0.9</f>
        <v>#N/A</v>
      </c>
      <c r="FK79" s="102" t="e">
        <f t="shared" ref="FK79:FK142" si="198">FG79/1.1+FH79/1.1</f>
        <v>#N/A</v>
      </c>
      <c r="FL79" s="102" t="e">
        <f t="shared" ref="FL79:FL142" si="199">FG79+FH79</f>
        <v>#N/A</v>
      </c>
      <c r="FM79" s="414" t="e">
        <f>IF(FM78=0,0,IF(AND(FI79&gt;charge_ELS_quasi,FJ79&gt;Charge_ELS_freq,FK79&gt;charge_ELU,FL79&gt;charge_ELA,$B79&gt;NDC!$H$22-0.1+MIN(3*$FM$12,1.5)),0,1))</f>
        <v>#N/A</v>
      </c>
    </row>
    <row r="80" spans="1:169">
      <c r="A80" s="96">
        <f t="shared" si="167"/>
        <v>93.300000000000381</v>
      </c>
      <c r="B80" s="97">
        <v>6.7</v>
      </c>
      <c r="C80" s="81">
        <f>IF(B80&lt;=Hypothèses!$C$7,Hypothèses!$A$7,IF(B80&lt;=Hypothèses!$C$8,Hypothèses!$A$8,IF(B80&lt;=Hypothèses!$C$9,Hypothèses!$A$9,IF(B80&lt;=Hypothèses!$C$10,Hypothèses!$A$10,IF(B80&lt;=Hypothèses!$C$11,Hypothèses!$A$11,IF(B80&lt;=Hypothèses!$C$12,Hypothèses!$A$12,IF(B80&lt;=Hypothèses!$C$13,Hypothèses!$A$13,IF(B80&lt;=Hypothèses!$C$14,Hypothèses!$A$14,IF(B80&lt;=Hypothèses!$C$15,Hypothèses!$A$15,IF(B80&lt;=Hypothèses!$C$16,Hypothèses!$A$16,IF(B80&lt;=Hypothèses!$C$17,Hypothèses!$A$17,IF(B80&lt;=Hypothèses!$C$18,Hypothèses!$A$18,C79))))))))))))</f>
        <v>11</v>
      </c>
      <c r="D80" s="82" t="str">
        <f>IF(B80&lt;=Hypothèses!$C$7,Hypothèses!$R$7,IF(B80&lt;=Hypothèses!$C$8,Hypothèses!$R$8,IF(B80&lt;=Hypothèses!$C$9,Hypothèses!$R$9,IF(B80&lt;=Hypothèses!$C$10,Hypothèses!$R$10,IF(B80&lt;=Hypothèses!$C$11,Hypothèses!$R$11,IF(B80&lt;=Hypothèses!$C$12,Hypothèses!$R$12,IF(B80&lt;=Hypothèses!$C$13,Hypothèses!$R$13,IF(B80&lt;=Hypothèses!$C$14,Hypothèses!$R$14,IF(B80&lt;=Hypothèses!$C$15,Hypothèses!$R$15,IF(B80&lt;=Hypothèses!$C$16,Hypothèses!$R$16,IF(B80&lt;=Hypothèses!$C$17,Hypothèses!$R$17,IF(B80&lt;=Hypothèses!$C$18,Hypothèses!$R$18,D79))))))))))))</f>
        <v>Pressio.</v>
      </c>
      <c r="E80" s="82" t="e">
        <f>IF(B80&lt;=Hypothèses!$C$7,Hypothèses!$G$7,IF(B80&lt;=Hypothèses!$C$8,Hypothèses!$G$8,IF(B80&lt;=Hypothèses!$C$9,Hypothèses!$G$9,IF(B80&lt;=Hypothèses!$C$10,Hypothèses!$G$10,IF(B80&lt;=Hypothèses!$C$11,Hypothèses!$G$11,IF(B80&lt;=Hypothèses!$C$12,Hypothèses!$G$12,IF(B80&lt;=Hypothèses!$C$13,Hypothèses!$G$13,IF(B80&lt;=Hypothèses!$C$14,Hypothèses!$G$14,IF(B80&lt;=Hypothèses!$C$15,Hypothèses!$G$15,IF(B80&lt;=Hypothèses!$C$16,Hypothèses!$G$16,IF(B80&lt;=Hypothèses!$C$17,Hypothèses!$G$17,IF(B80&lt;=Hypothèses!$C$18,Hypothèses!$G$18,E79))))))))))))</f>
        <v>#N/A</v>
      </c>
      <c r="F80" s="82" t="str">
        <f>IF(B80&lt;=Hypothèses!$C$7,Hypothèses!$F$7,IF(B80&lt;=Hypothèses!$C$8,Hypothèses!$F$8,IF(B80&lt;=Hypothèses!$C$9,Hypothèses!$F$9,IF(B80&lt;=Hypothèses!$C$10,Hypothèses!$F$10,IF(B80&lt;=Hypothèses!$C$11,Hypothèses!$F$11,IF(B80&lt;=Hypothèses!$C$12,Hypothèses!$F$12,IF(B80&lt;=Hypothèses!$C$13,Hypothèses!$F$13,IF(B80&lt;=Hypothèses!$C$14,Hypothèses!$F$14,IF(B80&lt;=Hypothèses!$C$15,Hypothèses!$F$15,IF(B80&lt;=Hypothèses!$C$16,Hypothèses!$F$16,IF(B80&lt;=Hypothèses!$C$17,Hypothèses!$F$17,IF(B80&lt;=Hypothèses!$C$18,Hypothèses!$F$18,F79))))))))))))</f>
        <v/>
      </c>
      <c r="G80" s="91">
        <f t="array" ref="G80">INDEX('Coeff EC7'!$U$7:$X$27,
MATCH(Model0.1C!$B$3,'Coeff EC7'!$T$7:$T$27,0),
MATCH(Model0.1C!$D80&amp;Model0.1C!$B$4,
'Coeff EC7'!$U$6:$X$6&amp;
'Coeff EC7'!$U$5:$X$5,0))</f>
        <v>1.1499999999999999</v>
      </c>
      <c r="H80" s="91">
        <f t="array" ref="H80">INDEX('Coeff EC7'!$Y$7:$AB$27,
MATCH(Model0.1C!$B$3,'Coeff EC7'!$T$7:$T$27,0),
MATCH(Model0.1C!$D80&amp;Model0.1C!$B$4,
'Coeff EC7'!$Y$6:$AB$6&amp;
'Coeff EC7'!$Y$5:$AB$5,0))</f>
        <v>1.4</v>
      </c>
      <c r="I80" s="83" t="e">
        <f>IF(B80&lt;=Hypothèses!$C$7,Hypothèses!$P$7,IF(B80&lt;=Hypothèses!$C$8,Hypothèses!$P$8,IF(B80&lt;=Hypothèses!$C$9,Hypothèses!$P$9,IF(B80&lt;=Hypothèses!$C$10,Hypothèses!$P$10,IF(B80&lt;=Hypothèses!$C$11,Hypothèses!$P$11,IF(B80&lt;=Hypothèses!$C$12,Hypothèses!$P$12,IF(B80&lt;=Hypothèses!$C$13,Hypothèses!$P$13,IF(B80&lt;=Hypothèses!$C$14,Hypothèses!$P$14,IF(B80&lt;=Hypothèses!$C$15,Hypothèses!$P$15,IF(B80&lt;=Hypothèses!$C$16,Hypothèses!$P$16,IF(B80&lt;=Hypothèses!$C$17,Hypothèses!$P$17,IF(B80&lt;=Hypothèses!$C$18,Hypothèses!$P$18,I79))))))))))))</f>
        <v>#N/A</v>
      </c>
      <c r="J80" s="91" t="e">
        <f t="array" ref="J80">INDEX('Coeff EC7'!$D$33:$Q$33,1,MATCH(D80&amp;E80,'Coeff EC7'!$D$31:$Q$31&amp;'Coeff EC7'!$D$32:$Q$32,0))</f>
        <v>#N/A</v>
      </c>
      <c r="K80" s="91" t="e">
        <f t="array" ref="K80">INDEX('Coeff EC7'!$D$34:$Q$34,1,MATCH(D80&amp;E80,'Coeff EC7'!$D$31:$Q$31&amp;'Coeff EC7'!$D$32:$Q$32,0))</f>
        <v>#N/A</v>
      </c>
      <c r="L80" s="91" t="e">
        <f t="array" ref="L80">INDEX('Coeff EC7'!$D$35:$Q$35,1,MATCH(D80&amp;E80,'Coeff EC7'!$D$31:$Q$31&amp;'Coeff EC7'!$D$32:$Q$32,0))</f>
        <v>#N/A</v>
      </c>
      <c r="M80" s="98" t="e">
        <f t="shared" si="131"/>
        <v>#N/A</v>
      </c>
      <c r="N80" s="99" t="e">
        <f t="array" ref="N80">INDEX('Coeff EC7'!$D$7:$Q$27,MATCH($B$3,'Coeff EC7'!$C$7:$C$27,0),MATCH(D80&amp;E80,'Coeff EC7'!$D$5:$Q$5&amp;'Coeff EC7'!$D$6:$Q$6,0))</f>
        <v>#N/A</v>
      </c>
      <c r="O80" s="99" t="e">
        <f t="array" ref="O80">INDEX('Coeff EC7'!$D$41:$Q$61,MATCH($B$3,'Coeff EC7'!$C$41:$C$61,0),MATCH(D80&amp;E80,'Coeff EC7'!$D$39:$Q$39&amp;'Coeff EC7'!$D$40:$Q$40,0))</f>
        <v>#N/A</v>
      </c>
      <c r="P80" s="30" t="e">
        <f t="shared" si="168"/>
        <v>#N/A</v>
      </c>
      <c r="Q80" s="100" t="e">
        <f t="shared" si="133"/>
        <v>#N/A</v>
      </c>
      <c r="R80" s="86" t="b">
        <f t="shared" si="134"/>
        <v>0</v>
      </c>
      <c r="S80" s="86">
        <f t="shared" si="132"/>
        <v>0.5</v>
      </c>
      <c r="T80" s="86">
        <f t="shared" si="135"/>
        <v>0.5</v>
      </c>
      <c r="U80" s="30" t="e">
        <f t="shared" ca="1" si="169"/>
        <v>#DIV/0!</v>
      </c>
      <c r="V80" s="85" t="str">
        <f>IF(B80&lt;=Hypothèses!$V$7,Hypothèses!$W$7,IF(B80&lt;=Hypothèses!$V$8,Hypothèses!$W$8,IF(B80&lt;=Hypothèses!$V$9,Hypothèses!$W$9,IF(B80&lt;=Hypothèses!$V$10,Hypothèses!$W$10,IF(B80&lt;=Hypothèses!$V$11,Hypothèses!$W$11,IF(B80&lt;=Hypothèses!$V$12,Hypothèses!$W$12,IF(B80&lt;=Hypothèses!$V$13,Hypothèses!$W$13,IF(B80&lt;=Hypothèses!$V$14,Hypothèses!$W$14,IF(B80&lt;=Hypothèses!$V$15,Hypothèses!$W$15,IF(B80&lt;=Hypothèses!$V$16,Hypothèses!$W$16,IF(B80&lt;=Hypothèses!$V$17,Hypothèses!$W$17,IF(B80&lt;=Hypothèses!$V$18,Hypothèses!$W$18,""))))))))))))</f>
        <v/>
      </c>
      <c r="W80" s="87" t="e">
        <f t="shared" ca="1" si="116"/>
        <v>#DIV/0!</v>
      </c>
      <c r="X80" s="88" t="str">
        <f>IF(B80&lt;=Hypothèses!$V$7,Hypothèses!$X$7,IF(B80&lt;=Hypothèses!$V$8,Hypothèses!$X$8,IF(B80&lt;=Hypothèses!$V$9,Hypothèses!$X$9,IF(B80&lt;=Hypothèses!$V$10,Hypothèses!$X$10,IF(B80&lt;=Hypothèses!$V$11,Hypothèses!$X$11,IF(B80&lt;=Hypothèses!$V$12,Hypothèses!$X$12,IF(B80&lt;=Hypothèses!$V$13,Hypothèses!$X$13,IF(B80&lt;=Hypothèses!$V$14,Hypothèses!$X$14,IF(B80&lt;=Hypothèses!$V$15,Hypothèses!$X$15,IF(B80&lt;=Hypothèses!$V$16,Hypothèses!$X$16,IF(B80&lt;=Hypothèses!$U$17,Hypothèses!$W$17,IF(B80&lt;=Hypothèses!$U$18,Hypothèses!$W$18,""))))))))))))</f>
        <v/>
      </c>
      <c r="Y80" s="95" t="e">
        <f t="shared" ca="1" si="136"/>
        <v>#DIV/0!</v>
      </c>
      <c r="Z80" s="101" t="e">
        <f t="shared" si="137"/>
        <v>#N/A</v>
      </c>
      <c r="AA80" s="91" t="e">
        <f t="shared" si="138"/>
        <v>#N/A</v>
      </c>
      <c r="AB80" s="30" t="e">
        <f t="shared" ref="AB80:AB143" si="200">PI()*AB$12*$Q80*($B80-$B79)/($G80*$B$5)/10+AD79</f>
        <v>#N/A</v>
      </c>
      <c r="AC80" s="30" t="e">
        <f t="shared" ref="AC80:AC143" si="201">(PI()*AC$12*$Q80*($B80-$B79))/($H80*$B$5)/10+AD79</f>
        <v>#N/A</v>
      </c>
      <c r="AD80" s="31" t="e">
        <f>IF(OR(Hypothèses!$B$4=17,Hypothèses!$B$4=18,Hypothèses!$B$4=19,Hypothèses!$B$4=20),
IF($D80="Pressio.",
IF(OR($E80=3,$E80=1,$E80=4),AC80,AB80),
IF($D80="Pénétro.",
IF(OR($E80=3,$E80=1,$E80=4),AC80,AB80))),IF($D80="Pressio.",
IF($E80=3,AC80,AB80),
IF($D80="Pénétro.",
IF($E80=4,AC80,AB80))))</f>
        <v>#N/A</v>
      </c>
      <c r="AE80" s="31" t="e">
        <f>(IF(OR(Hypothèses!$B$4=17,Hypothèses!$B$4=18,Hypothèses!$B$4=19,Hypothèses!$B$4=20),
IF($D80="Pressio.",
IF(OR($E80=3,$E80=1,$E80=4),(PI()*AE$12^2)/4*(AA80*$W80*1000)/($H80*$B$5),(PI()*AE$12^2)/4*(AA80*$W80*1000)/($G80*$B$5)),
IF($D80="Pénétro.",
IF(OR($E80=4,$E80=1,$E80=5),(PI()*AE$12^2)/4*(AA80*$W80*1000)/($H80*$B$5),(PI()*AE$12^2)/4*(AA80*$W80*1000)/($G80*$B$5)))),
IF($D80="Pressio.",
IF($E80=3,(PI()*AE$12^2)/4*(AA80*$W80*1000)/($H80*$B$5),(PI()*AE$12^2)/4*(AA80*$W80*1000)/($G80*$B$5)),
IF($D80="Pénétro.",
IF($E80=4,(PI()*AE$12^2)/4*(AA80*$W80*1000)/($H80*$B$5),(PI()*AE$12^2)/4*(AA80*$W80*1000)/($G80*$B$5))))))/10</f>
        <v>#N/A</v>
      </c>
      <c r="AF80" s="102" t="e">
        <f>(VLOOKUP($B$3,'Coeff EC7'!$T$39:$X$59,2,0)*AD80+VLOOKUP($B$3,'Coeff EC7'!$T$65:$X$85,2,0)*Model0.1C!AE80)/1.1</f>
        <v>#N/A</v>
      </c>
      <c r="AG80" s="102" t="e">
        <f>(VLOOKUP($B$3,'Coeff EC7'!$T$39:$X$59,3,0)*AD80+VLOOKUP($B$3,'Coeff EC7'!$T$65:$X$85,3,0)*Model0.1C!AE80)/0.9</f>
        <v>#N/A</v>
      </c>
      <c r="AH80" s="102" t="e">
        <f t="shared" si="139"/>
        <v>#N/A</v>
      </c>
      <c r="AI80" s="102" t="e">
        <f t="shared" si="140"/>
        <v>#N/A</v>
      </c>
      <c r="AJ80" s="414" t="e">
        <f>IF(AJ79=0,0,IF(AND(AF80&gt;charge_ELS_quasi,AG80&gt;Charge_ELS_freq,AH80&gt;charge_ELU,AI80&gt;charge_ELA,$B80&gt;NDC!$H$22-0.1+MIN(3*$AJ$12,1.5)),0,1))</f>
        <v>#N/A</v>
      </c>
      <c r="AK80" s="86" t="b">
        <f t="shared" si="141"/>
        <v>0</v>
      </c>
      <c r="AL80" s="86">
        <f t="shared" si="170"/>
        <v>0.5</v>
      </c>
      <c r="AM80" s="86">
        <f t="shared" si="142"/>
        <v>0.5</v>
      </c>
      <c r="AN80" s="30" t="e">
        <f t="shared" ca="1" si="171"/>
        <v>#DIV/0!</v>
      </c>
      <c r="AO80" s="85" t="e">
        <f ca="1">IF(U80&lt;=Hypothèses!$V$7,Hypothèses!$W$7,IF(U80&lt;=Hypothèses!$V$8,Hypothèses!$W$8,IF(U80&lt;=Hypothèses!$V$9,Hypothèses!$W$9,IF(U80&lt;=Hypothèses!$V$10,Hypothèses!$W$10,IF(U80&lt;=Hypothèses!$V$11,Hypothèses!$W$11,IF(U80&lt;=Hypothèses!$V$12,Hypothèses!$W$12,IF(U80&lt;=Hypothèses!$V$13,Hypothèses!$W$13,IF(U80&lt;=Hypothèses!$V$14,Hypothèses!$W$14,IF(U80&lt;=Hypothèses!$V$15,Hypothèses!$W$15,IF(U80&lt;=Hypothèses!$V$16,Hypothèses!$W$16,IF(U80&lt;=Hypothèses!$V$17,Hypothèses!$W$17,IF(U80&lt;=Hypothèses!$V$18,Hypothèses!$W$18,""))))))))))))</f>
        <v>#DIV/0!</v>
      </c>
      <c r="AP80" s="87" t="e">
        <f t="shared" ca="1" si="117"/>
        <v>#DIV/0!</v>
      </c>
      <c r="AQ80" s="88" t="e">
        <f ca="1">IF(U80&lt;=Hypothèses!$V$7,Hypothèses!$X$7,IF(U80&lt;=Hypothèses!$V$8,Hypothèses!$X$8,IF(U80&lt;=Hypothèses!$V$9,Hypothèses!$X$9,IF(U80&lt;=Hypothèses!$V$10,Hypothèses!$X$10,IF(U80&lt;=Hypothèses!$V$11,Hypothèses!$X$11,IF(U80&lt;=Hypothèses!$V$12,Hypothèses!$X$12,IF(U80&lt;=Hypothèses!$V$13,Hypothèses!$X$13,IF(U80&lt;=Hypothèses!$V$14,Hypothèses!$X$14,IF(U80&lt;=Hypothèses!$V$15,Hypothèses!$X$15,IF(U80&lt;=Hypothèses!$V$16,Hypothèses!$X$16,IF(U80&lt;=Hypothèses!$U$17,Hypothèses!$W$17,IF(U80&lt;=Hypothèses!$U$18,Hypothèses!$W$18,""))))))))))))</f>
        <v>#DIV/0!</v>
      </c>
      <c r="AR80" s="95" t="e">
        <f t="shared" ca="1" si="172"/>
        <v>#DIV/0!</v>
      </c>
      <c r="AS80" s="101" t="e">
        <f t="shared" si="124"/>
        <v>#N/A</v>
      </c>
      <c r="AT80" s="91" t="e">
        <f t="shared" si="143"/>
        <v>#N/A</v>
      </c>
      <c r="AU80" s="30" t="e">
        <f t="shared" ref="AU80:AU143" si="202">PI()*AU$12*$Q80*($B80-$B79)/($G80*$B$5)/10+AW79</f>
        <v>#N/A</v>
      </c>
      <c r="AV80" s="30" t="e">
        <f t="shared" ref="AV80:AV143" si="203">(PI()*AV$12*$Q80*($B80-$B79))/($H80*$B$5)/10+AW79</f>
        <v>#N/A</v>
      </c>
      <c r="AW80" s="31" t="e">
        <f>IF(OR(Hypothèses!$B$4=17,Hypothèses!$B$4=18,Hypothèses!$B$4=19,Hypothèses!$B$4=20),
IF($D80="Pressio.",
IF(OR($E80=3,$E80=1,$E80=4),AV80,AU80),
IF($D80="Pénétro.",
IF(OR($E80=3,$E80=1,$E80=4),AV80,AU80))),IF($D80="Pressio.",
IF($E80=3,AV80,AU80),
IF($D80="Pénétro.",
IF($E80=4,AV80,AU80))))</f>
        <v>#N/A</v>
      </c>
      <c r="AX80" s="31" t="e">
        <f>(IF(OR(Hypothèses!$B$4=17,Hypothèses!$B$4=18,Hypothèses!$B$4=19,Hypothèses!$B$4=20),
IF($D80="Pressio.",
IF(OR($E80=3,$E80=1,$E80=4),(PI()*AX$12^2)/4*(AT80*$W80*1000)/($H80*$B$5),(PI()*AX$12^2)/4*(AT80*$W80*1000)/($G80*$B$5)),
IF($D80="Pénétro.",
IF(OR($E80=4,$E80=1,$E80=5),(PI()*AX$12^2)/4*(AT80*$W80*1000)/($H80*$B$5),(PI()*AX$12^2)/4*(AT80*$W80*1000)/($G80*$B$5)))),
IF($D80="Pressio.",
IF($E80=3,(PI()*AX$12^2)/4*(AT80*$W80*1000)/($H80*$B$5),(PI()*AX$12^2)/4*(AT80*$W80*1000)/($G80*$B$5)),
IF($D80="Pénétro.",
IF($E80=4,(PI()*AX$12^2)/4*(AT80*$W80*1000)/($H80*$B$5),(PI()*AX$12^2)/4*(AT80*$W80*1000)/($G80*$B$5))))))/10</f>
        <v>#N/A</v>
      </c>
      <c r="AY80" s="102" t="e">
        <f>(VLOOKUP($B$3,'Coeff EC7'!$T$39:$X$59,2,0)*AW80+VLOOKUP($B$3,'Coeff EC7'!$T$65:$X$85,2,0)*Model0.1C!AX80)/1.1</f>
        <v>#N/A</v>
      </c>
      <c r="AZ80" s="102" t="e">
        <f>(VLOOKUP($B$3,'Coeff EC7'!$T$39:$X$59,3,0)*AW80+VLOOKUP($B$3,'Coeff EC7'!$T$65:$X$85,3,0)*Model0.1C!AX80)/0.9</f>
        <v>#N/A</v>
      </c>
      <c r="BA80" s="102" t="e">
        <f t="shared" si="173"/>
        <v>#N/A</v>
      </c>
      <c r="BB80" s="102" t="e">
        <f t="shared" si="174"/>
        <v>#N/A</v>
      </c>
      <c r="BC80" s="414" t="e">
        <f>IF(BC79=0,0,IF(AND(AY80&gt;charge_ELS_quasi,AZ80&gt;Charge_ELS_freq,BA80&gt;charge_ELU,BB80&gt;charge_ELA,$B80&gt;NDC!$H$22-0.1+MIN(3*$BC$12,1.5)),0,1))</f>
        <v>#N/A</v>
      </c>
      <c r="BD80" s="86" t="b">
        <f t="shared" si="144"/>
        <v>0</v>
      </c>
      <c r="BE80" s="86">
        <f t="shared" si="175"/>
        <v>0.5</v>
      </c>
      <c r="BF80" s="86">
        <f t="shared" si="145"/>
        <v>0.5</v>
      </c>
      <c r="BG80" s="30" t="e">
        <f t="shared" ca="1" si="176"/>
        <v>#DIV/0!</v>
      </c>
      <c r="BH80" s="85" t="e">
        <f ca="1">IF(AN80&lt;=Hypothèses!$V$7,Hypothèses!$W$7,IF(AN80&lt;=Hypothèses!$V$8,Hypothèses!$W$8,IF(AN80&lt;=Hypothèses!$V$9,Hypothèses!$W$9,IF(AN80&lt;=Hypothèses!$V$10,Hypothèses!$W$10,IF(AN80&lt;=Hypothèses!$V$11,Hypothèses!$W$11,IF(AN80&lt;=Hypothèses!$V$12,Hypothèses!$W$12,IF(AN80&lt;=Hypothèses!$V$13,Hypothèses!$W$13,IF(AN80&lt;=Hypothèses!$V$14,Hypothèses!$W$14,IF(AN80&lt;=Hypothèses!$V$15,Hypothèses!$W$15,IF(AN80&lt;=Hypothèses!$V$16,Hypothèses!$W$16,IF(AN80&lt;=Hypothèses!$V$17,Hypothèses!$W$17,IF(AN80&lt;=Hypothèses!$V$18,Hypothèses!$W$18,""))))))))))))</f>
        <v>#DIV/0!</v>
      </c>
      <c r="BI80" s="87" t="e">
        <f t="shared" ca="1" si="118"/>
        <v>#DIV/0!</v>
      </c>
      <c r="BJ80" s="88" t="e">
        <f ca="1">IF(AN80&lt;=Hypothèses!$V$7,Hypothèses!$X$7,IF(AN80&lt;=Hypothèses!$V$8,Hypothèses!$X$8,IF(AN80&lt;=Hypothèses!$V$9,Hypothèses!$X$9,IF(AN80&lt;=Hypothèses!$V$10,Hypothèses!$X$10,IF(AN80&lt;=Hypothèses!$V$11,Hypothèses!$X$11,IF(AN80&lt;=Hypothèses!$V$12,Hypothèses!$X$12,IF(AN80&lt;=Hypothèses!$V$13,Hypothèses!$X$13,IF(AN80&lt;=Hypothèses!$V$14,Hypothèses!$X$14,IF(AN80&lt;=Hypothèses!$V$15,Hypothèses!$X$15,IF(AN80&lt;=Hypothèses!$V$16,Hypothèses!$X$16,IF(AN80&lt;=Hypothèses!$U$17,Hypothèses!$W$17,IF(AN80&lt;=Hypothèses!$U$18,Hypothèses!$W$18,""))))))))))))</f>
        <v>#DIV/0!</v>
      </c>
      <c r="BK80" s="95" t="e">
        <f t="shared" ca="1" si="177"/>
        <v>#DIV/0!</v>
      </c>
      <c r="BL80" s="101" t="e">
        <f t="shared" si="125"/>
        <v>#N/A</v>
      </c>
      <c r="BM80" s="91" t="e">
        <f t="shared" si="146"/>
        <v>#N/A</v>
      </c>
      <c r="BN80" s="30" t="e">
        <f t="shared" ref="BN80:BN143" si="204">PI()*BN$12*$Q80*($B80-$B79)/($G80*$B$5)/10+BP79</f>
        <v>#N/A</v>
      </c>
      <c r="BO80" s="30" t="e">
        <f t="shared" ref="BO80:BO143" si="205">(PI()*BO$12*$Q80*($B80-$B79))/($H80*$B$5)/10+BP79</f>
        <v>#N/A</v>
      </c>
      <c r="BP80" s="31" t="e">
        <f>IF(OR(Hypothèses!$B$4=17,Hypothèses!$B$4=18,Hypothèses!$B$4=19,Hypothèses!$B$4=20),
IF($D80="Pressio.",
IF(OR($E80=3,$E80=1,$E80=4),BO80,BN80),
IF($D80="Pénétro.",
IF(OR($E80=3,$E80=1,$E80=4),BO80,BN80))),IF($D80="Pressio.",
IF($E80=3,BO80,BN80),
IF($D80="Pénétro.",
IF($E80=4,BO80,BN80))))</f>
        <v>#N/A</v>
      </c>
      <c r="BQ80" s="31" t="e">
        <f>(IF(OR(Hypothèses!$B$4=17,Hypothèses!$B$4=18,Hypothèses!$B$4=19,Hypothèses!$B$4=20),
IF($D80="Pressio.",
IF(OR($E80=3,$E80=1,$E80=4),(PI()*BQ$12^2)/4*(BM80*$W80*1000)/($H80*$B$5),(PI()*BQ$12^2)/4*(BM80*$W80*1000)/($G80*$B$5)),
IF($D80="Pénétro.",
IF(OR($E80=4,$E80=1,$E80=5),(PI()*BQ$12^2)/4*(BM80*$W80*1000)/($H80*$B$5),(PI()*BQ$12^2)/4*(BM80*$W80*1000)/($G80*$B$5)))),
IF($D80="Pressio.",
IF($E80=3,(PI()*BQ$12^2)/4*(BM80*$W80*1000)/($H80*$B$5),(PI()*BQ$12^2)/4*(BM80*$W80*1000)/($G80*$B$5)),
IF($D80="Pénétro.",
IF($E80=4,(PI()*BQ$12^2)/4*(BM80*$W80*1000)/($H80*$B$5),(PI()*BQ$12^2)/4*(BM80*$W80*1000)/($G80*$B$5))))))/10</f>
        <v>#N/A</v>
      </c>
      <c r="BR80" s="102" t="e">
        <f>(VLOOKUP($B$3,'Coeff EC7'!$T$39:$X$59,2,0)*BP80+VLOOKUP($B$3,'Coeff EC7'!$T$65:$X$85,2,0)*Model0.1C!BQ80)/1.1</f>
        <v>#N/A</v>
      </c>
      <c r="BS80" s="102" t="e">
        <f>(VLOOKUP($B$3,'Coeff EC7'!$T$39:$X$59,3,0)*BP80+VLOOKUP($B$3,'Coeff EC7'!$T$65:$X$85,3,0)*Model0.1C!BQ80)/0.9</f>
        <v>#N/A</v>
      </c>
      <c r="BT80" s="102" t="e">
        <f t="shared" si="178"/>
        <v>#N/A</v>
      </c>
      <c r="BU80" s="102" t="e">
        <f t="shared" si="179"/>
        <v>#N/A</v>
      </c>
      <c r="BV80" s="414" t="e">
        <f>IF(BV79=0,0,IF(AND(BR80&gt;charge_ELS_quasi,BS80&gt;Charge_ELS_freq,BT80&gt;charge_ELU,BU80&gt;charge_ELA,$B80&gt;NDC!$H$22-0.1+MIN(3*$BV$12,1.5)),0,1))</f>
        <v>#N/A</v>
      </c>
      <c r="BW80" s="86" t="b">
        <f t="shared" si="147"/>
        <v>0</v>
      </c>
      <c r="BX80" s="86">
        <f t="shared" si="148"/>
        <v>0.5</v>
      </c>
      <c r="BY80" s="86">
        <f t="shared" si="149"/>
        <v>0.5</v>
      </c>
      <c r="BZ80" s="30" t="e">
        <f t="shared" ca="1" si="180"/>
        <v>#DIV/0!</v>
      </c>
      <c r="CA80" s="85" t="e">
        <f ca="1">IF(BG80&lt;=Hypothèses!$V$7,Hypothèses!$W$7,IF(BG80&lt;=Hypothèses!$V$8,Hypothèses!$W$8,IF(BG80&lt;=Hypothèses!$V$9,Hypothèses!$W$9,IF(BG80&lt;=Hypothèses!$V$10,Hypothèses!$W$10,IF(BG80&lt;=Hypothèses!$V$11,Hypothèses!$W$11,IF(BG80&lt;=Hypothèses!$V$12,Hypothèses!$W$12,IF(BG80&lt;=Hypothèses!$V$13,Hypothèses!$W$13,IF(BG80&lt;=Hypothèses!$V$14,Hypothèses!$W$14,IF(BG80&lt;=Hypothèses!$V$15,Hypothèses!$W$15,IF(BG80&lt;=Hypothèses!$V$16,Hypothèses!$W$16,IF(BG80&lt;=Hypothèses!$V$17,Hypothèses!$W$17,IF(BG80&lt;=Hypothèses!$V$18,Hypothèses!$W$18,""))))))))))))</f>
        <v>#DIV/0!</v>
      </c>
      <c r="CB80" s="87" t="e">
        <f t="shared" ca="1" si="119"/>
        <v>#DIV/0!</v>
      </c>
      <c r="CC80" s="88" t="e">
        <f ca="1">IF(BG80&lt;=Hypothèses!$V$7,Hypothèses!$X$7,IF(BG80&lt;=Hypothèses!$V$8,Hypothèses!$X$8,IF(BG80&lt;=Hypothèses!$V$9,Hypothèses!$X$9,IF(BG80&lt;=Hypothèses!$V$10,Hypothèses!$X$10,IF(BG80&lt;=Hypothèses!$V$11,Hypothèses!$X$11,IF(BG80&lt;=Hypothèses!$V$12,Hypothèses!$X$12,IF(BG80&lt;=Hypothèses!$V$13,Hypothèses!$X$13,IF(BG80&lt;=Hypothèses!$V$14,Hypothèses!$X$14,IF(BG80&lt;=Hypothèses!$V$15,Hypothèses!$X$15,IF(BG80&lt;=Hypothèses!$V$16,Hypothèses!$X$16,IF(BG80&lt;=Hypothèses!$U$17,Hypothèses!$W$17,IF(BG80&lt;=Hypothèses!$U$18,Hypothèses!$W$18,""))))))))))))</f>
        <v>#DIV/0!</v>
      </c>
      <c r="CD80" s="95" t="e">
        <f t="shared" ca="1" si="181"/>
        <v>#DIV/0!</v>
      </c>
      <c r="CE80" s="101" t="e">
        <f t="shared" si="126"/>
        <v>#N/A</v>
      </c>
      <c r="CF80" s="91" t="e">
        <f t="shared" si="150"/>
        <v>#N/A</v>
      </c>
      <c r="CG80" s="30" t="e">
        <f t="shared" ref="CG80:CG143" si="206">PI()*CG$12*$Q80*($B80-$B79)/($G80*$B$5)/10+CI79</f>
        <v>#N/A</v>
      </c>
      <c r="CH80" s="30" t="e">
        <f t="shared" ref="CH80:CH143" si="207">(PI()*CH$12*$Q80*($B80-$B79))/($H80*$B$5)/10+CI79</f>
        <v>#N/A</v>
      </c>
      <c r="CI80" s="31" t="e">
        <f>IF(OR(Hypothèses!$B$4=17,Hypothèses!$B$4=18,Hypothèses!$B$4=19,Hypothèses!$B$4=20),
IF($D80="Pressio.",
IF(OR($E80=3,$E80=1,$E80=4),CH80,CG80),
IF($D80="Pénétro.",
IF(OR($E80=3,$E80=1,$E80=4),CH80,CG80))),IF($D80="Pressio.",
IF($E80=3,CH80,CG80),
IF($D80="Pénétro.",
IF($E80=4,CH80,CG80))))</f>
        <v>#N/A</v>
      </c>
      <c r="CJ80" s="31" t="e">
        <f>(IF(OR(Hypothèses!$B$4=17,Hypothèses!$B$4=18,Hypothèses!$B$4=19,Hypothèses!$B$4=20),
IF($D80="Pressio.",
IF(OR($E80=3,$E80=1,$E80=4),(PI()*CJ$12^2)/4*(CF80*$W80*1000)/($H80*$B$5),(PI()*CJ$12^2)/4*(CF80*$W80*1000)/($G80*$B$5)),
IF($D80="Pénétro.",
IF(OR($E80=4,$E80=1,$E80=5),(PI()*CJ$12^2)/4*(CF80*$W80*1000)/($H80*$B$5),(PI()*CJ$12^2)/4*(CF80*$W80*1000)/($G80*$B$5)))),
IF($D80="Pressio.",
IF($E80=3,(PI()*CJ$12^2)/4*(CF80*$W80*1000)/($H80*$B$5),(PI()*CJ$12^2)/4*(CF80*$W80*1000)/($G80*$B$5)),
IF($D80="Pénétro.",
IF($E80=4,(PI()*CJ$12^2)/4*(CF80*$W80*1000)/($H80*$B$5),(PI()*CJ$12^2)/4*(CF80*$W80*1000)/($G80*$B$5))))))/10</f>
        <v>#N/A</v>
      </c>
      <c r="CK80" s="102" t="e">
        <f>(VLOOKUP($B$3,'Coeff EC7'!$T$39:$X$59,2,0)*CI80+VLOOKUP($B$3,'Coeff EC7'!$T$65:$X$85,2,0)*Model0.1C!CJ80)/1.1</f>
        <v>#N/A</v>
      </c>
      <c r="CL80" s="102" t="e">
        <f>(VLOOKUP($B$3,'Coeff EC7'!$T$39:$X$59,3,0)*CI80+VLOOKUP($B$3,'Coeff EC7'!$T$65:$X$85,3,0)*Model0.1C!CJ80)/0.9</f>
        <v>#N/A</v>
      </c>
      <c r="CM80" s="102" t="e">
        <f t="shared" si="182"/>
        <v>#N/A</v>
      </c>
      <c r="CN80" s="102" t="e">
        <f t="shared" si="183"/>
        <v>#N/A</v>
      </c>
      <c r="CO80" s="414" t="e">
        <f>IF(CO79=0,0,IF(AND(CK80&gt;charge_ELS_quasi,CL80&gt;Charge_ELS_freq,CM80&gt;charge_ELU,CN80&gt;charge_ELA,$B80&gt;NDC!$H$22-0.1+MIN(3*$CO$12,1.5)),0,1))</f>
        <v>#N/A</v>
      </c>
      <c r="CP80" s="86" t="b">
        <f t="shared" si="151"/>
        <v>0</v>
      </c>
      <c r="CQ80" s="86">
        <f t="shared" si="152"/>
        <v>0.5</v>
      </c>
      <c r="CR80" s="86">
        <f t="shared" si="153"/>
        <v>0.5</v>
      </c>
      <c r="CS80" s="30" t="e">
        <f t="shared" ca="1" si="184"/>
        <v>#DIV/0!</v>
      </c>
      <c r="CT80" s="85" t="e">
        <f ca="1">IF(BZ80&lt;=Hypothèses!$V$7,Hypothèses!$W$7,IF(BZ80&lt;=Hypothèses!$V$8,Hypothèses!$W$8,IF(BZ80&lt;=Hypothèses!$V$9,Hypothèses!$W$9,IF(BZ80&lt;=Hypothèses!$V$10,Hypothèses!$W$10,IF(BZ80&lt;=Hypothèses!$V$11,Hypothèses!$W$11,IF(BZ80&lt;=Hypothèses!$V$12,Hypothèses!$W$12,IF(BZ80&lt;=Hypothèses!$V$13,Hypothèses!$W$13,IF(BZ80&lt;=Hypothèses!$V$14,Hypothèses!$W$14,IF(BZ80&lt;=Hypothèses!$V$15,Hypothèses!$W$15,IF(BZ80&lt;=Hypothèses!$V$16,Hypothèses!$W$16,IF(BZ80&lt;=Hypothèses!$V$17,Hypothèses!$W$17,IF(BZ80&lt;=Hypothèses!$V$18,Hypothèses!$W$18,""))))))))))))</f>
        <v>#DIV/0!</v>
      </c>
      <c r="CU80" s="87" t="e">
        <f t="shared" ca="1" si="120"/>
        <v>#DIV/0!</v>
      </c>
      <c r="CV80" s="88" t="e">
        <f ca="1">IF(BZ80&lt;=Hypothèses!$V$7,Hypothèses!$X$7,IF(BZ80&lt;=Hypothèses!$V$8,Hypothèses!$X$8,IF(BZ80&lt;=Hypothèses!$V$9,Hypothèses!$X$9,IF(BZ80&lt;=Hypothèses!$V$10,Hypothèses!$X$10,IF(BZ80&lt;=Hypothèses!$V$11,Hypothèses!$X$11,IF(BZ80&lt;=Hypothèses!$V$12,Hypothèses!$X$12,IF(BZ80&lt;=Hypothèses!$V$13,Hypothèses!$X$13,IF(BZ80&lt;=Hypothèses!$V$14,Hypothèses!$X$14,IF(BZ80&lt;=Hypothèses!$V$15,Hypothèses!$X$15,IF(BZ80&lt;=Hypothèses!$V$16,Hypothèses!$X$16,IF(BZ80&lt;=Hypothèses!$U$17,Hypothèses!$W$17,IF(BZ80&lt;=Hypothèses!$U$18,Hypothèses!$W$18,""))))))))))))</f>
        <v>#DIV/0!</v>
      </c>
      <c r="CW80" s="95" t="e">
        <f t="shared" ca="1" si="185"/>
        <v>#DIV/0!</v>
      </c>
      <c r="CX80" s="101" t="e">
        <f t="shared" si="127"/>
        <v>#N/A</v>
      </c>
      <c r="CY80" s="91" t="e">
        <f t="shared" si="154"/>
        <v>#N/A</v>
      </c>
      <c r="CZ80" s="30" t="e">
        <f t="shared" ref="CZ80:CZ143" si="208">PI()*CZ$12*$Q80*($B80-$B79)/($G80*$B$5)/10+DB79</f>
        <v>#N/A</v>
      </c>
      <c r="DA80" s="30" t="e">
        <f t="shared" ref="DA80:DA143" si="209">(PI()*DA$12*$Q80*($B80-$B79))/($H80*$B$5)/10+DB79</f>
        <v>#N/A</v>
      </c>
      <c r="DB80" s="31" t="e">
        <f>IF(OR(Hypothèses!$B$4=17,Hypothèses!$B$4=18,Hypothèses!$B$4=19,Hypothèses!$B$4=20),
IF($D80="Pressio.",
IF(OR($E80=3,$E80=1,$E80=4),DA80,CZ80),
IF($D80="Pénétro.",
IF(OR($E80=3,$E80=1,$E80=4),DA80,CZ80))),IF($D80="Pressio.",
IF($E80=3,DA80,CZ80),
IF($D80="Pénétro.",
IF($E80=4,DA80,CZ80))))</f>
        <v>#N/A</v>
      </c>
      <c r="DC80" s="31" t="e">
        <f>(IF(OR(Hypothèses!$B$4=17,Hypothèses!$B$4=18,Hypothèses!$B$4=19,Hypothèses!$B$4=20),
IF($D80="Pressio.",
IF(OR($E80=3,$E80=1,$E80=4),(PI()*DC$12^2)/4*(CY80*$W80*1000)/($H80*$B$5),(PI()*DC$12^2)/4*(CY80*$W80*1000)/($G80*$B$5)),
IF($D80="Pénétro.",
IF(OR($E80=4,$E80=1,$E80=5),(PI()*DC$12^2)/4*(CY80*$W80*1000)/($H80*$B$5),(PI()*DC$12^2)/4*(CY80*$W80*1000)/($G80*$B$5)))),
IF($D80="Pressio.",
IF($E80=3,(PI()*DC$12^2)/4*(CY80*$W80*1000)/($H80*$B$5),(PI()*DC$12^2)/4*(CY80*$W80*1000)/($G80*$B$5)),
IF($D80="Pénétro.",
IF($E80=4,(PI()*DC$12^2)/4*(CY80*$W80*1000)/($H80*$B$5),(PI()*DC$12^2)/4*(CY80*$W80*1000)/($G80*$B$5))))))/10</f>
        <v>#N/A</v>
      </c>
      <c r="DD80" s="102" t="e">
        <f>(VLOOKUP($B$3,'Coeff EC7'!$T$39:$X$59,2,0)*DB80+VLOOKUP($B$3,'Coeff EC7'!$T$65:$X$85,2,0)*Model0.1C!DC80)/1.1</f>
        <v>#N/A</v>
      </c>
      <c r="DE80" s="102" t="e">
        <f>(VLOOKUP($B$3,'Coeff EC7'!$T$39:$X$59,3,0)*DB80+VLOOKUP($B$3,'Coeff EC7'!$T$65:$X$85,3,0)*Model0.1C!DC80)/0.9</f>
        <v>#N/A</v>
      </c>
      <c r="DF80" s="102" t="e">
        <f t="shared" si="186"/>
        <v>#N/A</v>
      </c>
      <c r="DG80" s="102" t="e">
        <f t="shared" si="187"/>
        <v>#N/A</v>
      </c>
      <c r="DH80" s="414" t="e">
        <f>IF(DH79=0,0,IF(AND(DD80&gt;charge_ELS_quasi,DE80&gt;Charge_ELS_freq,DF80&gt;charge_ELU,DG80&gt;charge_ELA,$B80&gt;NDC!$H$22-0.1+MIN(3*$DH$12,1.5)),0,1))</f>
        <v>#N/A</v>
      </c>
      <c r="DI80" s="86" t="b">
        <f t="shared" si="155"/>
        <v>0</v>
      </c>
      <c r="DJ80" s="86">
        <f t="shared" si="156"/>
        <v>0.5</v>
      </c>
      <c r="DK80" s="86">
        <f t="shared" si="157"/>
        <v>0.5</v>
      </c>
      <c r="DL80" s="30" t="e">
        <f t="shared" ca="1" si="188"/>
        <v>#DIV/0!</v>
      </c>
      <c r="DM80" s="85" t="e">
        <f ca="1">IF(CS80&lt;=Hypothèses!$V$7,Hypothèses!$W$7,IF(CS80&lt;=Hypothèses!$V$8,Hypothèses!$W$8,IF(CS80&lt;=Hypothèses!$V$9,Hypothèses!$W$9,IF(CS80&lt;=Hypothèses!$V$10,Hypothèses!$W$10,IF(CS80&lt;=Hypothèses!$V$11,Hypothèses!$W$11,IF(CS80&lt;=Hypothèses!$V$12,Hypothèses!$W$12,IF(CS80&lt;=Hypothèses!$V$13,Hypothèses!$W$13,IF(CS80&lt;=Hypothèses!$V$14,Hypothèses!$W$14,IF(CS80&lt;=Hypothèses!$V$15,Hypothèses!$W$15,IF(CS80&lt;=Hypothèses!$V$16,Hypothèses!$W$16,IF(CS80&lt;=Hypothèses!$V$17,Hypothèses!$W$17,IF(CS80&lt;=Hypothèses!$V$18,Hypothèses!$W$18,""))))))))))))</f>
        <v>#DIV/0!</v>
      </c>
      <c r="DN80" s="87" t="e">
        <f t="shared" ca="1" si="121"/>
        <v>#DIV/0!</v>
      </c>
      <c r="DO80" s="88" t="e">
        <f ca="1">IF(CS80&lt;=Hypothèses!$V$7,Hypothèses!$X$7,IF(CS80&lt;=Hypothèses!$V$8,Hypothèses!$X$8,IF(CS80&lt;=Hypothèses!$V$9,Hypothèses!$X$9,IF(CS80&lt;=Hypothèses!$V$10,Hypothèses!$X$10,IF(CS80&lt;=Hypothèses!$V$11,Hypothèses!$X$11,IF(CS80&lt;=Hypothèses!$V$12,Hypothèses!$X$12,IF(CS80&lt;=Hypothèses!$V$13,Hypothèses!$X$13,IF(CS80&lt;=Hypothèses!$V$14,Hypothèses!$X$14,IF(CS80&lt;=Hypothèses!$V$15,Hypothèses!$X$15,IF(CS80&lt;=Hypothèses!$V$16,Hypothèses!$X$16,IF(CS80&lt;=Hypothèses!$U$17,Hypothèses!$W$17,IF(CS80&lt;=Hypothèses!$U$18,Hypothèses!$W$18,""))))))))))))</f>
        <v>#DIV/0!</v>
      </c>
      <c r="DP80" s="95" t="e">
        <f t="shared" ca="1" si="189"/>
        <v>#DIV/0!</v>
      </c>
      <c r="DQ80" s="101" t="e">
        <f t="shared" si="128"/>
        <v>#N/A</v>
      </c>
      <c r="DR80" s="91" t="e">
        <f t="shared" si="158"/>
        <v>#N/A</v>
      </c>
      <c r="DS80" s="30" t="e">
        <f t="shared" ref="DS80:DS143" si="210">PI()*DS$12*$Q80*($B80-$B79)/($G80*$B$5)/10+DU79</f>
        <v>#N/A</v>
      </c>
      <c r="DT80" s="30" t="e">
        <f t="shared" ref="DT80:DT143" si="211">(PI()*DT$12*$Q80*($B80-$B79))/($H80*$B$5)/10+DU79</f>
        <v>#N/A</v>
      </c>
      <c r="DU80" s="31" t="e">
        <f>IF(OR(Hypothèses!$B$4=17,Hypothèses!$B$4=18,Hypothèses!$B$4=19,Hypothèses!$B$4=20),
IF($D80="Pressio.",
IF(OR($E80=3,$E80=1,$E80=4),DT80,DS80),
IF($D80="Pénétro.",
IF(OR($E80=3,$E80=1,$E80=4),DT80,DS80))),IF($D80="Pressio.",
IF($E80=3,DT80,DS80),
IF($D80="Pénétro.",
IF($E80=4,DT80,DS80))))</f>
        <v>#N/A</v>
      </c>
      <c r="DV80" s="31" t="e">
        <f>(IF(OR(Hypothèses!$B$4=17,Hypothèses!$B$4=18,Hypothèses!$B$4=19,Hypothèses!$B$4=20),
IF($D80="Pressio.",
IF(OR($E80=3,$E80=1,$E80=4),(PI()*DV$12^2)/4*(DR80*$W80*1000)/($H80*$B$5),(PI()*DV$12^2)/4*(DR80*$W80*1000)/($G80*$B$5)),
IF($D80="Pénétro.",
IF(OR($E80=4,$E80=1,$E80=5),(PI()*DV$12^2)/4*(DR80*$W80*1000)/($H80*$B$5),(PI()*DV$12^2)/4*(DR80*$W80*1000)/($G80*$B$5)))),
IF($D80="Pressio.",
IF($E80=3,(PI()*DV$12^2)/4*(DR80*$W80*1000)/($H80*$B$5),(PI()*DV$12^2)/4*(DR80*$W80*1000)/($G80*$B$5)),
IF($D80="Pénétro.",
IF($E80=4,(PI()*DV$12^2)/4*(DR80*$W80*1000)/($H80*$B$5),(PI()*DV$12^2)/4*(DR80*$W80*1000)/($G80*$B$5))))))/10</f>
        <v>#N/A</v>
      </c>
      <c r="DW80" s="102" t="e">
        <f>(VLOOKUP($B$3,'Coeff EC7'!$T$39:$X$59,2,0)*DU80+VLOOKUP($B$3,'Coeff EC7'!$T$65:$X$85,2,0)*Model0.1C!DV80)/1.1</f>
        <v>#N/A</v>
      </c>
      <c r="DX80" s="102" t="e">
        <f>(VLOOKUP($B$3,'Coeff EC7'!$T$39:$X$59,3,0)*DU80+VLOOKUP($B$3,'Coeff EC7'!$T$65:$X$85,3,0)*Model0.1C!DV80)/0.9</f>
        <v>#N/A</v>
      </c>
      <c r="DY80" s="102" t="e">
        <f t="shared" si="190"/>
        <v>#N/A</v>
      </c>
      <c r="DZ80" s="102" t="e">
        <f t="shared" si="191"/>
        <v>#N/A</v>
      </c>
      <c r="EA80" s="414" t="e">
        <f>IF(EA79=0,0,IF(AND(DW80&gt;charge_ELS_quasi,DX80&gt;Charge_ELS_freq,DY80&gt;charge_ELU,DZ80&gt;charge_ELA,$B80&gt;NDC!$H$22-0.1+MIN(3*$EA$12,1.5)),0,1))</f>
        <v>#N/A</v>
      </c>
      <c r="EB80" s="86" t="b">
        <f t="shared" si="159"/>
        <v>0</v>
      </c>
      <c r="EC80" s="418">
        <f t="shared" si="160"/>
        <v>0.51</v>
      </c>
      <c r="ED80" s="86">
        <f t="shared" si="161"/>
        <v>0.51</v>
      </c>
      <c r="EE80" s="30" t="e">
        <f t="shared" ca="1" si="192"/>
        <v>#DIV/0!</v>
      </c>
      <c r="EF80" s="85" t="e">
        <f ca="1">IF(DL80&lt;=Hypothèses!$V$7,Hypothèses!$W$7,IF(DL80&lt;=Hypothèses!$V$8,Hypothèses!$W$8,IF(DL80&lt;=Hypothèses!$V$9,Hypothèses!$W$9,IF(DL80&lt;=Hypothèses!$V$10,Hypothèses!$W$10,IF(DL80&lt;=Hypothèses!$V$11,Hypothèses!$W$11,IF(DL80&lt;=Hypothèses!$V$12,Hypothèses!$W$12,IF(DL80&lt;=Hypothèses!$V$13,Hypothèses!$W$13,IF(DL80&lt;=Hypothèses!$V$14,Hypothèses!$W$14,IF(DL80&lt;=Hypothèses!$V$15,Hypothèses!$W$15,IF(DL80&lt;=Hypothèses!$V$16,Hypothèses!$W$16,IF(DL80&lt;=Hypothèses!$V$17,Hypothèses!$W$17,IF(DL80&lt;=Hypothèses!$V$18,Hypothèses!$W$18,""))))))))))))</f>
        <v>#DIV/0!</v>
      </c>
      <c r="EG80" s="87" t="e">
        <f t="shared" ca="1" si="122"/>
        <v>#DIV/0!</v>
      </c>
      <c r="EH80" s="88" t="e">
        <f ca="1">IF(DL80&lt;=Hypothèses!$V$7,Hypothèses!$X$7,IF(DL80&lt;=Hypothèses!$V$8,Hypothèses!$X$8,IF(DL80&lt;=Hypothèses!$V$9,Hypothèses!$X$9,IF(DL80&lt;=Hypothèses!$V$10,Hypothèses!$X$10,IF(DL80&lt;=Hypothèses!$V$11,Hypothèses!$X$11,IF(DL80&lt;=Hypothèses!$V$12,Hypothèses!$X$12,IF(DL80&lt;=Hypothèses!$V$13,Hypothèses!$X$13,IF(DL80&lt;=Hypothèses!$V$14,Hypothèses!$X$14,IF(DL80&lt;=Hypothèses!$V$15,Hypothèses!$X$15,IF(DL80&lt;=Hypothèses!$V$16,Hypothèses!$X$16,IF(DL80&lt;=Hypothèses!$U$17,Hypothèses!$W$17,IF(DL80&lt;=Hypothèses!$U$18,Hypothèses!$W$18,""))))))))))))</f>
        <v>#DIV/0!</v>
      </c>
      <c r="EI80" s="95" t="e">
        <f t="shared" ca="1" si="193"/>
        <v>#DIV/0!</v>
      </c>
      <c r="EJ80" s="101" t="e">
        <f t="shared" si="129"/>
        <v>#N/A</v>
      </c>
      <c r="EK80" s="91" t="e">
        <f t="shared" si="162"/>
        <v>#N/A</v>
      </c>
      <c r="EL80" s="30" t="e">
        <f t="shared" ref="EL80:EL143" si="212">PI()*EL$12*$Q80*($B80-$B79)/($G80*$B$5)/10+EN79</f>
        <v>#N/A</v>
      </c>
      <c r="EM80" s="30" t="e">
        <f t="shared" ref="EM80:EM143" si="213">(PI()*EM$12*$Q80*($B80-$B79))/($H80*$B$5)/10+EN79</f>
        <v>#N/A</v>
      </c>
      <c r="EN80" s="31" t="e">
        <f>IF(OR(Hypothèses!$B$4=17,Hypothèses!$B$4=18,Hypothèses!$B$4=19,Hypothèses!$B$4=20),
IF($D80="Pressio.",
IF(OR($E80=3,$E80=1,$E80=4),EM80,EL80),
IF($D80="Pénétro.",
IF(OR($E80=3,$E80=1,$E80=4),EM80,EL80))),IF($D80="Pressio.",
IF($E80=3,EM80,EL80),
IF($D80="Pénétro.",
IF($E80=4,EM80,EL80))))</f>
        <v>#N/A</v>
      </c>
      <c r="EO80" s="31" t="e">
        <f>(IF(OR(Hypothèses!$B$4=17,Hypothèses!$B$4=18,Hypothèses!$B$4=19,Hypothèses!$B$4=20),
IF($D80="Pressio.",
IF(OR($E80=3,$E80=1,$E80=4),(PI()*EO$12^2)/4*(EK80*$W80*1000)/($H80*$B$5),(PI()*EO$12^2)/4*(EK80*$W80*1000)/($G80*$B$5)),
IF($D80="Pénétro.",
IF(OR($E80=4,$E80=1,$E80=5),(PI()*EO$12^2)/4*(EK80*$W80*1000)/($H80*$B$5),(PI()*EO$12^2)/4*(EK80*$W80*1000)/($G80*$B$5)))),
IF($D80="Pressio.",
IF($E80=3,(PI()*EO$12^2)/4*(EK80*$W80*1000)/($H80*$B$5),(PI()*EO$12^2)/4*(EK80*$W80*1000)/($G80*$B$5)),
IF($D80="Pénétro.",
IF($E80=4,(PI()*EO$12^2)/4*(EK80*$W80*1000)/($H80*$B$5),(PI()*EO$12^2)/4*(EK80*$W80*1000)/($G80*$B$5))))))/10</f>
        <v>#N/A</v>
      </c>
      <c r="EP80" s="102" t="e">
        <f>(VLOOKUP($B$3,'Coeff EC7'!$T$39:$X$59,2,0)*EN80+VLOOKUP($B$3,'Coeff EC7'!$T$65:$X$85,2,0)*Model0.1C!EO80)/1.1</f>
        <v>#N/A</v>
      </c>
      <c r="EQ80" s="102" t="e">
        <f>(VLOOKUP($B$3,'Coeff EC7'!$T$39:$X$59,3,0)*EN80+VLOOKUP($B$3,'Coeff EC7'!$T$65:$X$85,3,0)*Model0.1C!EO80)/0.9</f>
        <v>#N/A</v>
      </c>
      <c r="ER80" s="102" t="e">
        <f t="shared" si="194"/>
        <v>#N/A</v>
      </c>
      <c r="ES80" s="102" t="e">
        <f t="shared" si="195"/>
        <v>#N/A</v>
      </c>
      <c r="ET80" s="414" t="e">
        <f>IF(ET79=0,0,IF(AND(EP80&gt;charge_ELS_quasi,EQ80&gt;Charge_ELS_freq,ER80&gt;charge_ELU,ES80&gt;charge_ELA,$B80&gt;NDC!$H$22-0.1+MIN(3*$ET$12,1.5)),0,1))</f>
        <v>#N/A</v>
      </c>
      <c r="EU80" s="86" t="b">
        <f t="shared" si="163"/>
        <v>0</v>
      </c>
      <c r="EV80" s="86">
        <f t="shared" si="164"/>
        <v>0.61</v>
      </c>
      <c r="EW80" s="86">
        <f t="shared" si="165"/>
        <v>0.61</v>
      </c>
      <c r="EX80" s="30" t="e">
        <f t="shared" ca="1" si="196"/>
        <v>#DIV/0!</v>
      </c>
      <c r="EY80" s="85" t="e">
        <f ca="1">IF(EE80&lt;=Hypothèses!$V$7,Hypothèses!$W$7,IF(EE80&lt;=Hypothèses!$V$8,Hypothèses!$W$8,IF(EE80&lt;=Hypothèses!$V$9,Hypothèses!$W$9,IF(EE80&lt;=Hypothèses!$V$10,Hypothèses!$W$10,IF(EE80&lt;=Hypothèses!$V$11,Hypothèses!$W$11,IF(EE80&lt;=Hypothèses!$V$12,Hypothèses!$W$12,IF(EE80&lt;=Hypothèses!$V$13,Hypothèses!$W$13,IF(EE80&lt;=Hypothèses!$V$14,Hypothèses!$W$14,IF(EE80&lt;=Hypothèses!$V$15,Hypothèses!$W$15,IF(EE80&lt;=Hypothèses!$V$16,Hypothèses!$W$16,IF(EE80&lt;=Hypothèses!$V$17,Hypothèses!$W$17,IF(EE80&lt;=Hypothèses!$V$18,Hypothèses!$W$18,""))))))))))))</f>
        <v>#DIV/0!</v>
      </c>
      <c r="EZ80" s="87" t="e">
        <f t="shared" ca="1" si="123"/>
        <v>#DIV/0!</v>
      </c>
      <c r="FA80" s="88" t="e">
        <f ca="1">IF(EE80&lt;=Hypothèses!$V$7,Hypothèses!$X$7,IF(EE80&lt;=Hypothèses!$V$8,Hypothèses!$X$8,IF(EE80&lt;=Hypothèses!$V$9,Hypothèses!$X$9,IF(EE80&lt;=Hypothèses!$V$10,Hypothèses!$X$10,IF(EE80&lt;=Hypothèses!$V$11,Hypothèses!$X$11,IF(EE80&lt;=Hypothèses!$V$12,Hypothèses!$X$12,IF(EE80&lt;=Hypothèses!$V$13,Hypothèses!$X$13,IF(EE80&lt;=Hypothèses!$V$14,Hypothèses!$X$14,IF(EE80&lt;=Hypothèses!$V$15,Hypothèses!$X$15,IF(EE80&lt;=Hypothèses!$V$16,Hypothèses!$X$16,IF(EE80&lt;=Hypothèses!$U$17,Hypothèses!$W$17,IF(EE80&lt;=Hypothèses!$U$18,Hypothèses!$W$18,""))))))))))))</f>
        <v>#DIV/0!</v>
      </c>
      <c r="FB80" s="95" t="e">
        <f t="shared" ca="1" si="197"/>
        <v>#DIV/0!</v>
      </c>
      <c r="FC80" s="101" t="e">
        <f t="shared" si="130"/>
        <v>#N/A</v>
      </c>
      <c r="FD80" s="91" t="e">
        <f t="shared" si="166"/>
        <v>#N/A</v>
      </c>
      <c r="FE80" s="30" t="e">
        <f t="shared" ref="FE80:FE143" si="214">PI()*FE$12*$Q80*($B80-$B79)/($G80*$B$5)/10+FG79</f>
        <v>#N/A</v>
      </c>
      <c r="FF80" s="30" t="e">
        <f t="shared" ref="FF80:FF143" si="215">(PI()*FF$12*$Q80*($B80-$B79))/($H80*$B$5)/10+FG79</f>
        <v>#N/A</v>
      </c>
      <c r="FG80" s="31" t="e">
        <f>IF(OR(Hypothèses!$B$4=17,Hypothèses!$B$4=18,Hypothèses!$B$4=19,Hypothèses!$B$4=20),
IF($D80="Pressio.",
IF(OR($E80=3,$E80=1,$E80=4),FF80,FE80),
IF($D80="Pénétro.",
IF(OR($E80=3,$E80=1,$E80=4),FF80,FE80))),IF($D80="Pressio.",
IF($E80=3,FF80,FE80),
IF($D80="Pénétro.",
IF($E80=4,FF80,FE80))))</f>
        <v>#N/A</v>
      </c>
      <c r="FH80" s="31" t="e">
        <f>(IF(OR(Hypothèses!$B$4=17,Hypothèses!$B$4=18,Hypothèses!$B$4=19,Hypothèses!$B$4=20),
IF($D80="Pressio.",
IF(OR($E80=3,$E80=1,$E80=4),(PI()*FH$12^2)/4*(FD80*$W80*1000)/($H80*$B$5),(PI()*FH$12^2)/4*(FD80*$W80*1000)/($G80*$B$5)),
IF($D80="Pénétro.",
IF(OR($E80=4,$E80=1,$E80=5),(PI()*FH$12^2)/4*(FD80*$W80*1000)/($H80*$B$5),(PI()*FH$12^2)/4*(FD80*$W80*1000)/($G80*$B$5)))),
IF($D80="Pressio.",
IF($E80=3,(PI()*FH$12^2)/4*(FD80*$W80*1000)/($H80*$B$5),(PI()*FH$12^2)/4*(FD80*$W80*1000)/($G80*$B$5)),
IF($D80="Pénétro.",
IF($E80=4,(PI()*FH$12^2)/4*(FD80*$W80*1000)/($H80*$B$5),(PI()*FH$12^2)/4*(FD80*$W80*1000)/($G80*$B$5))))))/10</f>
        <v>#N/A</v>
      </c>
      <c r="FI80" s="102" t="e">
        <f>(VLOOKUP($B$3,'Coeff EC7'!$T$39:$X$59,2,0)*FG80+VLOOKUP($B$3,'Coeff EC7'!$T$65:$X$85,2,0)*Model0.1C!FH80)/1.1</f>
        <v>#N/A</v>
      </c>
      <c r="FJ80" s="102" t="e">
        <f>(VLOOKUP($B$3,'Coeff EC7'!$T$39:$X$59,3,0)*FG80+VLOOKUP($B$3,'Coeff EC7'!$T$65:$X$85,3,0)*Model0.1C!FH80)/0.9</f>
        <v>#N/A</v>
      </c>
      <c r="FK80" s="102" t="e">
        <f t="shared" si="198"/>
        <v>#N/A</v>
      </c>
      <c r="FL80" s="102" t="e">
        <f t="shared" si="199"/>
        <v>#N/A</v>
      </c>
      <c r="FM80" s="414" t="e">
        <f>IF(FM79=0,0,IF(AND(FI80&gt;charge_ELS_quasi,FJ80&gt;Charge_ELS_freq,FK80&gt;charge_ELU,FL80&gt;charge_ELA,$B80&gt;NDC!$H$22-0.1+MIN(3*$FM$12,1.5)),0,1))</f>
        <v>#N/A</v>
      </c>
    </row>
    <row r="81" spans="1:169">
      <c r="A81" s="96">
        <f t="shared" si="167"/>
        <v>93.200000000000387</v>
      </c>
      <c r="B81" s="97">
        <v>6.8</v>
      </c>
      <c r="C81" s="81">
        <f>IF(B81&lt;=Hypothèses!$C$7,Hypothèses!$A$7,IF(B81&lt;=Hypothèses!$C$8,Hypothèses!$A$8,IF(B81&lt;=Hypothèses!$C$9,Hypothèses!$A$9,IF(B81&lt;=Hypothèses!$C$10,Hypothèses!$A$10,IF(B81&lt;=Hypothèses!$C$11,Hypothèses!$A$11,IF(B81&lt;=Hypothèses!$C$12,Hypothèses!$A$12,IF(B81&lt;=Hypothèses!$C$13,Hypothèses!$A$13,IF(B81&lt;=Hypothèses!$C$14,Hypothèses!$A$14,IF(B81&lt;=Hypothèses!$C$15,Hypothèses!$A$15,IF(B81&lt;=Hypothèses!$C$16,Hypothèses!$A$16,IF(B81&lt;=Hypothèses!$C$17,Hypothèses!$A$17,IF(B81&lt;=Hypothèses!$C$18,Hypothèses!$A$18,C80))))))))))))</f>
        <v>11</v>
      </c>
      <c r="D81" s="82" t="str">
        <f>IF(B81&lt;=Hypothèses!$C$7,Hypothèses!$R$7,IF(B81&lt;=Hypothèses!$C$8,Hypothèses!$R$8,IF(B81&lt;=Hypothèses!$C$9,Hypothèses!$R$9,IF(B81&lt;=Hypothèses!$C$10,Hypothèses!$R$10,IF(B81&lt;=Hypothèses!$C$11,Hypothèses!$R$11,IF(B81&lt;=Hypothèses!$C$12,Hypothèses!$R$12,IF(B81&lt;=Hypothèses!$C$13,Hypothèses!$R$13,IF(B81&lt;=Hypothèses!$C$14,Hypothèses!$R$14,IF(B81&lt;=Hypothèses!$C$15,Hypothèses!$R$15,IF(B81&lt;=Hypothèses!$C$16,Hypothèses!$R$16,IF(B81&lt;=Hypothèses!$C$17,Hypothèses!$R$17,IF(B81&lt;=Hypothèses!$C$18,Hypothèses!$R$18,D80))))))))))))</f>
        <v>Pressio.</v>
      </c>
      <c r="E81" s="82" t="e">
        <f>IF(B81&lt;=Hypothèses!$C$7,Hypothèses!$G$7,IF(B81&lt;=Hypothèses!$C$8,Hypothèses!$G$8,IF(B81&lt;=Hypothèses!$C$9,Hypothèses!$G$9,IF(B81&lt;=Hypothèses!$C$10,Hypothèses!$G$10,IF(B81&lt;=Hypothèses!$C$11,Hypothèses!$G$11,IF(B81&lt;=Hypothèses!$C$12,Hypothèses!$G$12,IF(B81&lt;=Hypothèses!$C$13,Hypothèses!$G$13,IF(B81&lt;=Hypothèses!$C$14,Hypothèses!$G$14,IF(B81&lt;=Hypothèses!$C$15,Hypothèses!$G$15,IF(B81&lt;=Hypothèses!$C$16,Hypothèses!$G$16,IF(B81&lt;=Hypothèses!$C$17,Hypothèses!$G$17,IF(B81&lt;=Hypothèses!$C$18,Hypothèses!$G$18,E80))))))))))))</f>
        <v>#N/A</v>
      </c>
      <c r="F81" s="82" t="str">
        <f>IF(B81&lt;=Hypothèses!$C$7,Hypothèses!$F$7,IF(B81&lt;=Hypothèses!$C$8,Hypothèses!$F$8,IF(B81&lt;=Hypothèses!$C$9,Hypothèses!$F$9,IF(B81&lt;=Hypothèses!$C$10,Hypothèses!$F$10,IF(B81&lt;=Hypothèses!$C$11,Hypothèses!$F$11,IF(B81&lt;=Hypothèses!$C$12,Hypothèses!$F$12,IF(B81&lt;=Hypothèses!$C$13,Hypothèses!$F$13,IF(B81&lt;=Hypothèses!$C$14,Hypothèses!$F$14,IF(B81&lt;=Hypothèses!$C$15,Hypothèses!$F$15,IF(B81&lt;=Hypothèses!$C$16,Hypothèses!$F$16,IF(B81&lt;=Hypothèses!$C$17,Hypothèses!$F$17,IF(B81&lt;=Hypothèses!$C$18,Hypothèses!$F$18,F80))))))))))))</f>
        <v/>
      </c>
      <c r="G81" s="91">
        <f t="array" ref="G81">INDEX('Coeff EC7'!$U$7:$X$27,
MATCH(Model0.1C!$B$3,'Coeff EC7'!$T$7:$T$27,0),
MATCH(Model0.1C!$D81&amp;Model0.1C!$B$4,
'Coeff EC7'!$U$6:$X$6&amp;
'Coeff EC7'!$U$5:$X$5,0))</f>
        <v>1.1499999999999999</v>
      </c>
      <c r="H81" s="91">
        <f t="array" ref="H81">INDEX('Coeff EC7'!$Y$7:$AB$27,
MATCH(Model0.1C!$B$3,'Coeff EC7'!$T$7:$T$27,0),
MATCH(Model0.1C!$D81&amp;Model0.1C!$B$4,
'Coeff EC7'!$Y$6:$AB$6&amp;
'Coeff EC7'!$Y$5:$AB$5,0))</f>
        <v>1.4</v>
      </c>
      <c r="I81" s="83" t="e">
        <f>IF(B81&lt;=Hypothèses!$C$7,Hypothèses!$P$7,IF(B81&lt;=Hypothèses!$C$8,Hypothèses!$P$8,IF(B81&lt;=Hypothèses!$C$9,Hypothèses!$P$9,IF(B81&lt;=Hypothèses!$C$10,Hypothèses!$P$10,IF(B81&lt;=Hypothèses!$C$11,Hypothèses!$P$11,IF(B81&lt;=Hypothèses!$C$12,Hypothèses!$P$12,IF(B81&lt;=Hypothèses!$C$13,Hypothèses!$P$13,IF(B81&lt;=Hypothèses!$C$14,Hypothèses!$P$14,IF(B81&lt;=Hypothèses!$C$15,Hypothèses!$P$15,IF(B81&lt;=Hypothèses!$C$16,Hypothèses!$P$16,IF(B81&lt;=Hypothèses!$C$17,Hypothèses!$P$17,IF(B81&lt;=Hypothèses!$C$18,Hypothèses!$P$18,I80))))))))))))</f>
        <v>#N/A</v>
      </c>
      <c r="J81" s="91" t="e">
        <f t="array" ref="J81">INDEX('Coeff EC7'!$D$33:$Q$33,1,MATCH(D81&amp;E81,'Coeff EC7'!$D$31:$Q$31&amp;'Coeff EC7'!$D$32:$Q$32,0))</f>
        <v>#N/A</v>
      </c>
      <c r="K81" s="91" t="e">
        <f t="array" ref="K81">INDEX('Coeff EC7'!$D$34:$Q$34,1,MATCH(D81&amp;E81,'Coeff EC7'!$D$31:$Q$31&amp;'Coeff EC7'!$D$32:$Q$32,0))</f>
        <v>#N/A</v>
      </c>
      <c r="L81" s="91" t="e">
        <f t="array" ref="L81">INDEX('Coeff EC7'!$D$35:$Q$35,1,MATCH(D81&amp;E81,'Coeff EC7'!$D$31:$Q$31&amp;'Coeff EC7'!$D$32:$Q$32,0))</f>
        <v>#N/A</v>
      </c>
      <c r="M81" s="98" t="e">
        <f t="shared" si="131"/>
        <v>#N/A</v>
      </c>
      <c r="N81" s="99" t="e">
        <f t="array" ref="N81">INDEX('Coeff EC7'!$D$7:$Q$27,MATCH($B$3,'Coeff EC7'!$C$7:$C$27,0),MATCH(D81&amp;E81,'Coeff EC7'!$D$5:$Q$5&amp;'Coeff EC7'!$D$6:$Q$6,0))</f>
        <v>#N/A</v>
      </c>
      <c r="O81" s="99" t="e">
        <f t="array" ref="O81">INDEX('Coeff EC7'!$D$41:$Q$61,MATCH($B$3,'Coeff EC7'!$C$41:$C$61,0),MATCH(D81&amp;E81,'Coeff EC7'!$D$39:$Q$39&amp;'Coeff EC7'!$D$40:$Q$40,0))</f>
        <v>#N/A</v>
      </c>
      <c r="P81" s="30" t="e">
        <f t="shared" si="168"/>
        <v>#N/A</v>
      </c>
      <c r="Q81" s="100" t="e">
        <f t="shared" si="133"/>
        <v>#N/A</v>
      </c>
      <c r="R81" s="86" t="b">
        <f t="shared" si="134"/>
        <v>0</v>
      </c>
      <c r="S81" s="86">
        <f t="shared" si="132"/>
        <v>0.5</v>
      </c>
      <c r="T81" s="86">
        <f t="shared" si="135"/>
        <v>0.5</v>
      </c>
      <c r="U81" s="30" t="e">
        <f t="shared" ca="1" si="169"/>
        <v>#DIV/0!</v>
      </c>
      <c r="V81" s="85" t="str">
        <f>IF(B81&lt;=Hypothèses!$V$7,Hypothèses!$W$7,IF(B81&lt;=Hypothèses!$V$8,Hypothèses!$W$8,IF(B81&lt;=Hypothèses!$V$9,Hypothèses!$W$9,IF(B81&lt;=Hypothèses!$V$10,Hypothèses!$W$10,IF(B81&lt;=Hypothèses!$V$11,Hypothèses!$W$11,IF(B81&lt;=Hypothèses!$V$12,Hypothèses!$W$12,IF(B81&lt;=Hypothèses!$V$13,Hypothèses!$W$13,IF(B81&lt;=Hypothèses!$V$14,Hypothèses!$W$14,IF(B81&lt;=Hypothèses!$V$15,Hypothèses!$W$15,IF(B81&lt;=Hypothèses!$V$16,Hypothèses!$W$16,IF(B81&lt;=Hypothèses!$V$17,Hypothèses!$W$17,IF(B81&lt;=Hypothèses!$V$18,Hypothèses!$W$18,""))))))))))))</f>
        <v/>
      </c>
      <c r="W81" s="87" t="e">
        <f t="shared" ref="W81:W144" ca="1" si="216">IF(V81&lt;&gt;"",V81,U81)</f>
        <v>#DIV/0!</v>
      </c>
      <c r="X81" s="88" t="str">
        <f>IF(B81&lt;=Hypothèses!$V$7,Hypothèses!$X$7,IF(B81&lt;=Hypothèses!$V$8,Hypothèses!$X$8,IF(B81&lt;=Hypothèses!$V$9,Hypothèses!$X$9,IF(B81&lt;=Hypothèses!$V$10,Hypothèses!$X$10,IF(B81&lt;=Hypothèses!$V$11,Hypothèses!$X$11,IF(B81&lt;=Hypothèses!$V$12,Hypothèses!$X$12,IF(B81&lt;=Hypothèses!$V$13,Hypothèses!$X$13,IF(B81&lt;=Hypothèses!$V$14,Hypothèses!$X$14,IF(B81&lt;=Hypothèses!$V$15,Hypothèses!$X$15,IF(B81&lt;=Hypothèses!$V$16,Hypothèses!$X$16,IF(B81&lt;=Hypothèses!$U$17,Hypothèses!$W$17,IF(B81&lt;=Hypothèses!$U$18,Hypothèses!$W$18,""))))))))))))</f>
        <v/>
      </c>
      <c r="Y81" s="95" t="e">
        <f t="shared" ca="1" si="136"/>
        <v>#DIV/0!</v>
      </c>
      <c r="Z81" s="101" t="e">
        <f t="shared" si="137"/>
        <v>#N/A</v>
      </c>
      <c r="AA81" s="91" t="e">
        <f t="shared" si="138"/>
        <v>#N/A</v>
      </c>
      <c r="AB81" s="30" t="e">
        <f t="shared" si="200"/>
        <v>#N/A</v>
      </c>
      <c r="AC81" s="30" t="e">
        <f t="shared" si="201"/>
        <v>#N/A</v>
      </c>
      <c r="AD81" s="31" t="e">
        <f>IF(OR(Hypothèses!$B$4=17,Hypothèses!$B$4=18,Hypothèses!$B$4=19,Hypothèses!$B$4=20),
IF($D81="Pressio.",
IF(OR($E81=3,$E81=1,$E81=4),AC81,AB81),
IF($D81="Pénétro.",
IF(OR($E81=3,$E81=1,$E81=4),AC81,AB81))),IF($D81="Pressio.",
IF($E81=3,AC81,AB81),
IF($D81="Pénétro.",
IF($E81=4,AC81,AB81))))</f>
        <v>#N/A</v>
      </c>
      <c r="AE81" s="31" t="e">
        <f>(IF(OR(Hypothèses!$B$4=17,Hypothèses!$B$4=18,Hypothèses!$B$4=19,Hypothèses!$B$4=20),
IF($D81="Pressio.",
IF(OR($E81=3,$E81=1,$E81=4),(PI()*AE$12^2)/4*(AA81*$W81*1000)/($H81*$B$5),(PI()*AE$12^2)/4*(AA81*$W81*1000)/($G81*$B$5)),
IF($D81="Pénétro.",
IF(OR($E81=4,$E81=1,$E81=5),(PI()*AE$12^2)/4*(AA81*$W81*1000)/($H81*$B$5),(PI()*AE$12^2)/4*(AA81*$W81*1000)/($G81*$B$5)))),
IF($D81="Pressio.",
IF($E81=3,(PI()*AE$12^2)/4*(AA81*$W81*1000)/($H81*$B$5),(PI()*AE$12^2)/4*(AA81*$W81*1000)/($G81*$B$5)),
IF($D81="Pénétro.",
IF($E81=4,(PI()*AE$12^2)/4*(AA81*$W81*1000)/($H81*$B$5),(PI()*AE$12^2)/4*(AA81*$W81*1000)/($G81*$B$5))))))/10</f>
        <v>#N/A</v>
      </c>
      <c r="AF81" s="102" t="e">
        <f>(VLOOKUP($B$3,'Coeff EC7'!$T$39:$X$59,2,0)*AD81+VLOOKUP($B$3,'Coeff EC7'!$T$65:$X$85,2,0)*Model0.1C!AE81)/1.1</f>
        <v>#N/A</v>
      </c>
      <c r="AG81" s="102" t="e">
        <f>(VLOOKUP($B$3,'Coeff EC7'!$T$39:$X$59,3,0)*AD81+VLOOKUP($B$3,'Coeff EC7'!$T$65:$X$85,3,0)*Model0.1C!AE81)/0.9</f>
        <v>#N/A</v>
      </c>
      <c r="AH81" s="102" t="e">
        <f t="shared" si="139"/>
        <v>#N/A</v>
      </c>
      <c r="AI81" s="102" t="e">
        <f t="shared" si="140"/>
        <v>#N/A</v>
      </c>
      <c r="AJ81" s="414" t="e">
        <f>IF(AJ80=0,0,IF(AND(AF81&gt;charge_ELS_quasi,AG81&gt;Charge_ELS_freq,AH81&gt;charge_ELU,AI81&gt;charge_ELA,$B81&gt;NDC!$H$22-0.1+MIN(3*$AJ$12,1.5)),0,1))</f>
        <v>#N/A</v>
      </c>
      <c r="AK81" s="86" t="b">
        <f t="shared" si="141"/>
        <v>0</v>
      </c>
      <c r="AL81" s="86">
        <f t="shared" si="170"/>
        <v>0.5</v>
      </c>
      <c r="AM81" s="86">
        <f t="shared" si="142"/>
        <v>0.5</v>
      </c>
      <c r="AN81" s="30" t="e">
        <f t="shared" ca="1" si="171"/>
        <v>#DIV/0!</v>
      </c>
      <c r="AO81" s="85" t="e">
        <f ca="1">IF(U81&lt;=Hypothèses!$V$7,Hypothèses!$W$7,IF(U81&lt;=Hypothèses!$V$8,Hypothèses!$W$8,IF(U81&lt;=Hypothèses!$V$9,Hypothèses!$W$9,IF(U81&lt;=Hypothèses!$V$10,Hypothèses!$W$10,IF(U81&lt;=Hypothèses!$V$11,Hypothèses!$W$11,IF(U81&lt;=Hypothèses!$V$12,Hypothèses!$W$12,IF(U81&lt;=Hypothèses!$V$13,Hypothèses!$W$13,IF(U81&lt;=Hypothèses!$V$14,Hypothèses!$W$14,IF(U81&lt;=Hypothèses!$V$15,Hypothèses!$W$15,IF(U81&lt;=Hypothèses!$V$16,Hypothèses!$W$16,IF(U81&lt;=Hypothèses!$V$17,Hypothèses!$W$17,IF(U81&lt;=Hypothèses!$V$18,Hypothèses!$W$18,""))))))))))))</f>
        <v>#DIV/0!</v>
      </c>
      <c r="AP81" s="87" t="e">
        <f t="shared" ref="AP81:AP144" ca="1" si="217">IF(AO81&lt;&gt;"",AO81,AN81)</f>
        <v>#DIV/0!</v>
      </c>
      <c r="AQ81" s="88" t="e">
        <f ca="1">IF(U81&lt;=Hypothèses!$V$7,Hypothèses!$X$7,IF(U81&lt;=Hypothèses!$V$8,Hypothèses!$X$8,IF(U81&lt;=Hypothèses!$V$9,Hypothèses!$X$9,IF(U81&lt;=Hypothèses!$V$10,Hypothèses!$X$10,IF(U81&lt;=Hypothèses!$V$11,Hypothèses!$X$11,IF(U81&lt;=Hypothèses!$V$12,Hypothèses!$X$12,IF(U81&lt;=Hypothèses!$V$13,Hypothèses!$X$13,IF(U81&lt;=Hypothèses!$V$14,Hypothèses!$X$14,IF(U81&lt;=Hypothèses!$V$15,Hypothèses!$X$15,IF(U81&lt;=Hypothèses!$V$16,Hypothèses!$X$16,IF(U81&lt;=Hypothèses!$U$17,Hypothèses!$W$17,IF(U81&lt;=Hypothèses!$U$18,Hypothèses!$W$18,""))))))))))))</f>
        <v>#DIV/0!</v>
      </c>
      <c r="AR81" s="95" t="e">
        <f t="shared" ca="1" si="172"/>
        <v>#DIV/0!</v>
      </c>
      <c r="AS81" s="101" t="e">
        <f t="shared" si="124"/>
        <v>#N/A</v>
      </c>
      <c r="AT81" s="91" t="e">
        <f t="shared" si="143"/>
        <v>#N/A</v>
      </c>
      <c r="AU81" s="30" t="e">
        <f t="shared" si="202"/>
        <v>#N/A</v>
      </c>
      <c r="AV81" s="30" t="e">
        <f t="shared" si="203"/>
        <v>#N/A</v>
      </c>
      <c r="AW81" s="31" t="e">
        <f>IF(OR(Hypothèses!$B$4=17,Hypothèses!$B$4=18,Hypothèses!$B$4=19,Hypothèses!$B$4=20),
IF($D81="Pressio.",
IF(OR($E81=3,$E81=1,$E81=4),AV81,AU81),
IF($D81="Pénétro.",
IF(OR($E81=3,$E81=1,$E81=4),AV81,AU81))),IF($D81="Pressio.",
IF($E81=3,AV81,AU81),
IF($D81="Pénétro.",
IF($E81=4,AV81,AU81))))</f>
        <v>#N/A</v>
      </c>
      <c r="AX81" s="31" t="e">
        <f>(IF(OR(Hypothèses!$B$4=17,Hypothèses!$B$4=18,Hypothèses!$B$4=19,Hypothèses!$B$4=20),
IF($D81="Pressio.",
IF(OR($E81=3,$E81=1,$E81=4),(PI()*AX$12^2)/4*(AT81*$W81*1000)/($H81*$B$5),(PI()*AX$12^2)/4*(AT81*$W81*1000)/($G81*$B$5)),
IF($D81="Pénétro.",
IF(OR($E81=4,$E81=1,$E81=5),(PI()*AX$12^2)/4*(AT81*$W81*1000)/($H81*$B$5),(PI()*AX$12^2)/4*(AT81*$W81*1000)/($G81*$B$5)))),
IF($D81="Pressio.",
IF($E81=3,(PI()*AX$12^2)/4*(AT81*$W81*1000)/($H81*$B$5),(PI()*AX$12^2)/4*(AT81*$W81*1000)/($G81*$B$5)),
IF($D81="Pénétro.",
IF($E81=4,(PI()*AX$12^2)/4*(AT81*$W81*1000)/($H81*$B$5),(PI()*AX$12^2)/4*(AT81*$W81*1000)/($G81*$B$5))))))/10</f>
        <v>#N/A</v>
      </c>
      <c r="AY81" s="102" t="e">
        <f>(VLOOKUP($B$3,'Coeff EC7'!$T$39:$X$59,2,0)*AW81+VLOOKUP($B$3,'Coeff EC7'!$T$65:$X$85,2,0)*Model0.1C!AX81)/1.1</f>
        <v>#N/A</v>
      </c>
      <c r="AZ81" s="102" t="e">
        <f>(VLOOKUP($B$3,'Coeff EC7'!$T$39:$X$59,3,0)*AW81+VLOOKUP($B$3,'Coeff EC7'!$T$65:$X$85,3,0)*Model0.1C!AX81)/0.9</f>
        <v>#N/A</v>
      </c>
      <c r="BA81" s="102" t="e">
        <f t="shared" si="173"/>
        <v>#N/A</v>
      </c>
      <c r="BB81" s="102" t="e">
        <f t="shared" si="174"/>
        <v>#N/A</v>
      </c>
      <c r="BC81" s="414" t="e">
        <f>IF(BC80=0,0,IF(AND(AY81&gt;charge_ELS_quasi,AZ81&gt;Charge_ELS_freq,BA81&gt;charge_ELU,BB81&gt;charge_ELA,$B81&gt;NDC!$H$22-0.1+MIN(3*$BC$12,1.5)),0,1))</f>
        <v>#N/A</v>
      </c>
      <c r="BD81" s="86" t="b">
        <f t="shared" si="144"/>
        <v>0</v>
      </c>
      <c r="BE81" s="86">
        <f t="shared" si="175"/>
        <v>0.5</v>
      </c>
      <c r="BF81" s="86">
        <f t="shared" si="145"/>
        <v>0.5</v>
      </c>
      <c r="BG81" s="30" t="e">
        <f t="shared" ca="1" si="176"/>
        <v>#DIV/0!</v>
      </c>
      <c r="BH81" s="85" t="e">
        <f ca="1">IF(AN81&lt;=Hypothèses!$V$7,Hypothèses!$W$7,IF(AN81&lt;=Hypothèses!$V$8,Hypothèses!$W$8,IF(AN81&lt;=Hypothèses!$V$9,Hypothèses!$W$9,IF(AN81&lt;=Hypothèses!$V$10,Hypothèses!$W$10,IF(AN81&lt;=Hypothèses!$V$11,Hypothèses!$W$11,IF(AN81&lt;=Hypothèses!$V$12,Hypothèses!$W$12,IF(AN81&lt;=Hypothèses!$V$13,Hypothèses!$W$13,IF(AN81&lt;=Hypothèses!$V$14,Hypothèses!$W$14,IF(AN81&lt;=Hypothèses!$V$15,Hypothèses!$W$15,IF(AN81&lt;=Hypothèses!$V$16,Hypothèses!$W$16,IF(AN81&lt;=Hypothèses!$V$17,Hypothèses!$W$17,IF(AN81&lt;=Hypothèses!$V$18,Hypothèses!$W$18,""))))))))))))</f>
        <v>#DIV/0!</v>
      </c>
      <c r="BI81" s="87" t="e">
        <f t="shared" ref="BI81:BI144" ca="1" si="218">IF(BH81&lt;&gt;"",BH81,BG81)</f>
        <v>#DIV/0!</v>
      </c>
      <c r="BJ81" s="88" t="e">
        <f ca="1">IF(AN81&lt;=Hypothèses!$V$7,Hypothèses!$X$7,IF(AN81&lt;=Hypothèses!$V$8,Hypothèses!$X$8,IF(AN81&lt;=Hypothèses!$V$9,Hypothèses!$X$9,IF(AN81&lt;=Hypothèses!$V$10,Hypothèses!$X$10,IF(AN81&lt;=Hypothèses!$V$11,Hypothèses!$X$11,IF(AN81&lt;=Hypothèses!$V$12,Hypothèses!$X$12,IF(AN81&lt;=Hypothèses!$V$13,Hypothèses!$X$13,IF(AN81&lt;=Hypothèses!$V$14,Hypothèses!$X$14,IF(AN81&lt;=Hypothèses!$V$15,Hypothèses!$X$15,IF(AN81&lt;=Hypothèses!$V$16,Hypothèses!$X$16,IF(AN81&lt;=Hypothèses!$U$17,Hypothèses!$W$17,IF(AN81&lt;=Hypothèses!$U$18,Hypothèses!$W$18,""))))))))))))</f>
        <v>#DIV/0!</v>
      </c>
      <c r="BK81" s="95" t="e">
        <f t="shared" ca="1" si="177"/>
        <v>#DIV/0!</v>
      </c>
      <c r="BL81" s="101" t="e">
        <f t="shared" si="125"/>
        <v>#N/A</v>
      </c>
      <c r="BM81" s="91" t="e">
        <f t="shared" si="146"/>
        <v>#N/A</v>
      </c>
      <c r="BN81" s="30" t="e">
        <f t="shared" si="204"/>
        <v>#N/A</v>
      </c>
      <c r="BO81" s="30" t="e">
        <f t="shared" si="205"/>
        <v>#N/A</v>
      </c>
      <c r="BP81" s="31" t="e">
        <f>IF(OR(Hypothèses!$B$4=17,Hypothèses!$B$4=18,Hypothèses!$B$4=19,Hypothèses!$B$4=20),
IF($D81="Pressio.",
IF(OR($E81=3,$E81=1,$E81=4),BO81,BN81),
IF($D81="Pénétro.",
IF(OR($E81=3,$E81=1,$E81=4),BO81,BN81))),IF($D81="Pressio.",
IF($E81=3,BO81,BN81),
IF($D81="Pénétro.",
IF($E81=4,BO81,BN81))))</f>
        <v>#N/A</v>
      </c>
      <c r="BQ81" s="31" t="e">
        <f>(IF(OR(Hypothèses!$B$4=17,Hypothèses!$B$4=18,Hypothèses!$B$4=19,Hypothèses!$B$4=20),
IF($D81="Pressio.",
IF(OR($E81=3,$E81=1,$E81=4),(PI()*BQ$12^2)/4*(BM81*$W81*1000)/($H81*$B$5),(PI()*BQ$12^2)/4*(BM81*$W81*1000)/($G81*$B$5)),
IF($D81="Pénétro.",
IF(OR($E81=4,$E81=1,$E81=5),(PI()*BQ$12^2)/4*(BM81*$W81*1000)/($H81*$B$5),(PI()*BQ$12^2)/4*(BM81*$W81*1000)/($G81*$B$5)))),
IF($D81="Pressio.",
IF($E81=3,(PI()*BQ$12^2)/4*(BM81*$W81*1000)/($H81*$B$5),(PI()*BQ$12^2)/4*(BM81*$W81*1000)/($G81*$B$5)),
IF($D81="Pénétro.",
IF($E81=4,(PI()*BQ$12^2)/4*(BM81*$W81*1000)/($H81*$B$5),(PI()*BQ$12^2)/4*(BM81*$W81*1000)/($G81*$B$5))))))/10</f>
        <v>#N/A</v>
      </c>
      <c r="BR81" s="102" t="e">
        <f>(VLOOKUP($B$3,'Coeff EC7'!$T$39:$X$59,2,0)*BP81+VLOOKUP($B$3,'Coeff EC7'!$T$65:$X$85,2,0)*Model0.1C!BQ81)/1.1</f>
        <v>#N/A</v>
      </c>
      <c r="BS81" s="102" t="e">
        <f>(VLOOKUP($B$3,'Coeff EC7'!$T$39:$X$59,3,0)*BP81+VLOOKUP($B$3,'Coeff EC7'!$T$65:$X$85,3,0)*Model0.1C!BQ81)/0.9</f>
        <v>#N/A</v>
      </c>
      <c r="BT81" s="102" t="e">
        <f t="shared" si="178"/>
        <v>#N/A</v>
      </c>
      <c r="BU81" s="102" t="e">
        <f t="shared" si="179"/>
        <v>#N/A</v>
      </c>
      <c r="BV81" s="414" t="e">
        <f>IF(BV80=0,0,IF(AND(BR81&gt;charge_ELS_quasi,BS81&gt;Charge_ELS_freq,BT81&gt;charge_ELU,BU81&gt;charge_ELA,$B81&gt;NDC!$H$22-0.1+MIN(3*$BV$12,1.5)),0,1))</f>
        <v>#N/A</v>
      </c>
      <c r="BW81" s="86" t="b">
        <f t="shared" si="147"/>
        <v>0</v>
      </c>
      <c r="BX81" s="86">
        <f t="shared" si="148"/>
        <v>0.5</v>
      </c>
      <c r="BY81" s="86">
        <f t="shared" si="149"/>
        <v>0.5</v>
      </c>
      <c r="BZ81" s="30" t="e">
        <f t="shared" ca="1" si="180"/>
        <v>#DIV/0!</v>
      </c>
      <c r="CA81" s="85" t="e">
        <f ca="1">IF(BG81&lt;=Hypothèses!$V$7,Hypothèses!$W$7,IF(BG81&lt;=Hypothèses!$V$8,Hypothèses!$W$8,IF(BG81&lt;=Hypothèses!$V$9,Hypothèses!$W$9,IF(BG81&lt;=Hypothèses!$V$10,Hypothèses!$W$10,IF(BG81&lt;=Hypothèses!$V$11,Hypothèses!$W$11,IF(BG81&lt;=Hypothèses!$V$12,Hypothèses!$W$12,IF(BG81&lt;=Hypothèses!$V$13,Hypothèses!$W$13,IF(BG81&lt;=Hypothèses!$V$14,Hypothèses!$W$14,IF(BG81&lt;=Hypothèses!$V$15,Hypothèses!$W$15,IF(BG81&lt;=Hypothèses!$V$16,Hypothèses!$W$16,IF(BG81&lt;=Hypothèses!$V$17,Hypothèses!$W$17,IF(BG81&lt;=Hypothèses!$V$18,Hypothèses!$W$18,""))))))))))))</f>
        <v>#DIV/0!</v>
      </c>
      <c r="CB81" s="87" t="e">
        <f t="shared" ref="CB81:CB144" ca="1" si="219">IF(CA81&lt;&gt;"",CA81,BZ81)</f>
        <v>#DIV/0!</v>
      </c>
      <c r="CC81" s="88" t="e">
        <f ca="1">IF(BG81&lt;=Hypothèses!$V$7,Hypothèses!$X$7,IF(BG81&lt;=Hypothèses!$V$8,Hypothèses!$X$8,IF(BG81&lt;=Hypothèses!$V$9,Hypothèses!$X$9,IF(BG81&lt;=Hypothèses!$V$10,Hypothèses!$X$10,IF(BG81&lt;=Hypothèses!$V$11,Hypothèses!$X$11,IF(BG81&lt;=Hypothèses!$V$12,Hypothèses!$X$12,IF(BG81&lt;=Hypothèses!$V$13,Hypothèses!$X$13,IF(BG81&lt;=Hypothèses!$V$14,Hypothèses!$X$14,IF(BG81&lt;=Hypothèses!$V$15,Hypothèses!$X$15,IF(BG81&lt;=Hypothèses!$V$16,Hypothèses!$X$16,IF(BG81&lt;=Hypothèses!$U$17,Hypothèses!$W$17,IF(BG81&lt;=Hypothèses!$U$18,Hypothèses!$W$18,""))))))))))))</f>
        <v>#DIV/0!</v>
      </c>
      <c r="CD81" s="95" t="e">
        <f t="shared" ca="1" si="181"/>
        <v>#DIV/0!</v>
      </c>
      <c r="CE81" s="101" t="e">
        <f t="shared" si="126"/>
        <v>#N/A</v>
      </c>
      <c r="CF81" s="91" t="e">
        <f t="shared" si="150"/>
        <v>#N/A</v>
      </c>
      <c r="CG81" s="30" t="e">
        <f t="shared" si="206"/>
        <v>#N/A</v>
      </c>
      <c r="CH81" s="30" t="e">
        <f t="shared" si="207"/>
        <v>#N/A</v>
      </c>
      <c r="CI81" s="31" t="e">
        <f>IF(OR(Hypothèses!$B$4=17,Hypothèses!$B$4=18,Hypothèses!$B$4=19,Hypothèses!$B$4=20),
IF($D81="Pressio.",
IF(OR($E81=3,$E81=1,$E81=4),CH81,CG81),
IF($D81="Pénétro.",
IF(OR($E81=3,$E81=1,$E81=4),CH81,CG81))),IF($D81="Pressio.",
IF($E81=3,CH81,CG81),
IF($D81="Pénétro.",
IF($E81=4,CH81,CG81))))</f>
        <v>#N/A</v>
      </c>
      <c r="CJ81" s="31" t="e">
        <f>(IF(OR(Hypothèses!$B$4=17,Hypothèses!$B$4=18,Hypothèses!$B$4=19,Hypothèses!$B$4=20),
IF($D81="Pressio.",
IF(OR($E81=3,$E81=1,$E81=4),(PI()*CJ$12^2)/4*(CF81*$W81*1000)/($H81*$B$5),(PI()*CJ$12^2)/4*(CF81*$W81*1000)/($G81*$B$5)),
IF($D81="Pénétro.",
IF(OR($E81=4,$E81=1,$E81=5),(PI()*CJ$12^2)/4*(CF81*$W81*1000)/($H81*$B$5),(PI()*CJ$12^2)/4*(CF81*$W81*1000)/($G81*$B$5)))),
IF($D81="Pressio.",
IF($E81=3,(PI()*CJ$12^2)/4*(CF81*$W81*1000)/($H81*$B$5),(PI()*CJ$12^2)/4*(CF81*$W81*1000)/($G81*$B$5)),
IF($D81="Pénétro.",
IF($E81=4,(PI()*CJ$12^2)/4*(CF81*$W81*1000)/($H81*$B$5),(PI()*CJ$12^2)/4*(CF81*$W81*1000)/($G81*$B$5))))))/10</f>
        <v>#N/A</v>
      </c>
      <c r="CK81" s="102" t="e">
        <f>(VLOOKUP($B$3,'Coeff EC7'!$T$39:$X$59,2,0)*CI81+VLOOKUP($B$3,'Coeff EC7'!$T$65:$X$85,2,0)*Model0.1C!CJ81)/1.1</f>
        <v>#N/A</v>
      </c>
      <c r="CL81" s="102" t="e">
        <f>(VLOOKUP($B$3,'Coeff EC7'!$T$39:$X$59,3,0)*CI81+VLOOKUP($B$3,'Coeff EC7'!$T$65:$X$85,3,0)*Model0.1C!CJ81)/0.9</f>
        <v>#N/A</v>
      </c>
      <c r="CM81" s="102" t="e">
        <f t="shared" si="182"/>
        <v>#N/A</v>
      </c>
      <c r="CN81" s="102" t="e">
        <f t="shared" si="183"/>
        <v>#N/A</v>
      </c>
      <c r="CO81" s="414" t="e">
        <f>IF(CO80=0,0,IF(AND(CK81&gt;charge_ELS_quasi,CL81&gt;Charge_ELS_freq,CM81&gt;charge_ELU,CN81&gt;charge_ELA,$B81&gt;NDC!$H$22-0.1+MIN(3*$CO$12,1.5)),0,1))</f>
        <v>#N/A</v>
      </c>
      <c r="CP81" s="86" t="b">
        <f t="shared" si="151"/>
        <v>0</v>
      </c>
      <c r="CQ81" s="86">
        <f t="shared" si="152"/>
        <v>0.5</v>
      </c>
      <c r="CR81" s="86">
        <f t="shared" si="153"/>
        <v>0.5</v>
      </c>
      <c r="CS81" s="30" t="e">
        <f t="shared" ca="1" si="184"/>
        <v>#DIV/0!</v>
      </c>
      <c r="CT81" s="85" t="e">
        <f ca="1">IF(BZ81&lt;=Hypothèses!$V$7,Hypothèses!$W$7,IF(BZ81&lt;=Hypothèses!$V$8,Hypothèses!$W$8,IF(BZ81&lt;=Hypothèses!$V$9,Hypothèses!$W$9,IF(BZ81&lt;=Hypothèses!$V$10,Hypothèses!$W$10,IF(BZ81&lt;=Hypothèses!$V$11,Hypothèses!$W$11,IF(BZ81&lt;=Hypothèses!$V$12,Hypothèses!$W$12,IF(BZ81&lt;=Hypothèses!$V$13,Hypothèses!$W$13,IF(BZ81&lt;=Hypothèses!$V$14,Hypothèses!$W$14,IF(BZ81&lt;=Hypothèses!$V$15,Hypothèses!$W$15,IF(BZ81&lt;=Hypothèses!$V$16,Hypothèses!$W$16,IF(BZ81&lt;=Hypothèses!$V$17,Hypothèses!$W$17,IF(BZ81&lt;=Hypothèses!$V$18,Hypothèses!$W$18,""))))))))))))</f>
        <v>#DIV/0!</v>
      </c>
      <c r="CU81" s="87" t="e">
        <f t="shared" ref="CU81:CU144" ca="1" si="220">IF(CT81&lt;&gt;"",CT81,CS81)</f>
        <v>#DIV/0!</v>
      </c>
      <c r="CV81" s="88" t="e">
        <f ca="1">IF(BZ81&lt;=Hypothèses!$V$7,Hypothèses!$X$7,IF(BZ81&lt;=Hypothèses!$V$8,Hypothèses!$X$8,IF(BZ81&lt;=Hypothèses!$V$9,Hypothèses!$X$9,IF(BZ81&lt;=Hypothèses!$V$10,Hypothèses!$X$10,IF(BZ81&lt;=Hypothèses!$V$11,Hypothèses!$X$11,IF(BZ81&lt;=Hypothèses!$V$12,Hypothèses!$X$12,IF(BZ81&lt;=Hypothèses!$V$13,Hypothèses!$X$13,IF(BZ81&lt;=Hypothèses!$V$14,Hypothèses!$X$14,IF(BZ81&lt;=Hypothèses!$V$15,Hypothèses!$X$15,IF(BZ81&lt;=Hypothèses!$V$16,Hypothèses!$X$16,IF(BZ81&lt;=Hypothèses!$U$17,Hypothèses!$W$17,IF(BZ81&lt;=Hypothèses!$U$18,Hypothèses!$W$18,""))))))))))))</f>
        <v>#DIV/0!</v>
      </c>
      <c r="CW81" s="95" t="e">
        <f t="shared" ca="1" si="185"/>
        <v>#DIV/0!</v>
      </c>
      <c r="CX81" s="101" t="e">
        <f t="shared" si="127"/>
        <v>#N/A</v>
      </c>
      <c r="CY81" s="91" t="e">
        <f t="shared" si="154"/>
        <v>#N/A</v>
      </c>
      <c r="CZ81" s="30" t="e">
        <f t="shared" si="208"/>
        <v>#N/A</v>
      </c>
      <c r="DA81" s="30" t="e">
        <f t="shared" si="209"/>
        <v>#N/A</v>
      </c>
      <c r="DB81" s="31" t="e">
        <f>IF(OR(Hypothèses!$B$4=17,Hypothèses!$B$4=18,Hypothèses!$B$4=19,Hypothèses!$B$4=20),
IF($D81="Pressio.",
IF(OR($E81=3,$E81=1,$E81=4),DA81,CZ81),
IF($D81="Pénétro.",
IF(OR($E81=3,$E81=1,$E81=4),DA81,CZ81))),IF($D81="Pressio.",
IF($E81=3,DA81,CZ81),
IF($D81="Pénétro.",
IF($E81=4,DA81,CZ81))))</f>
        <v>#N/A</v>
      </c>
      <c r="DC81" s="31" t="e">
        <f>(IF(OR(Hypothèses!$B$4=17,Hypothèses!$B$4=18,Hypothèses!$B$4=19,Hypothèses!$B$4=20),
IF($D81="Pressio.",
IF(OR($E81=3,$E81=1,$E81=4),(PI()*DC$12^2)/4*(CY81*$W81*1000)/($H81*$B$5),(PI()*DC$12^2)/4*(CY81*$W81*1000)/($G81*$B$5)),
IF($D81="Pénétro.",
IF(OR($E81=4,$E81=1,$E81=5),(PI()*DC$12^2)/4*(CY81*$W81*1000)/($H81*$B$5),(PI()*DC$12^2)/4*(CY81*$W81*1000)/($G81*$B$5)))),
IF($D81="Pressio.",
IF($E81=3,(PI()*DC$12^2)/4*(CY81*$W81*1000)/($H81*$B$5),(PI()*DC$12^2)/4*(CY81*$W81*1000)/($G81*$B$5)),
IF($D81="Pénétro.",
IF($E81=4,(PI()*DC$12^2)/4*(CY81*$W81*1000)/($H81*$B$5),(PI()*DC$12^2)/4*(CY81*$W81*1000)/($G81*$B$5))))))/10</f>
        <v>#N/A</v>
      </c>
      <c r="DD81" s="102" t="e">
        <f>(VLOOKUP($B$3,'Coeff EC7'!$T$39:$X$59,2,0)*DB81+VLOOKUP($B$3,'Coeff EC7'!$T$65:$X$85,2,0)*Model0.1C!DC81)/1.1</f>
        <v>#N/A</v>
      </c>
      <c r="DE81" s="102" t="e">
        <f>(VLOOKUP($B$3,'Coeff EC7'!$T$39:$X$59,3,0)*DB81+VLOOKUP($B$3,'Coeff EC7'!$T$65:$X$85,3,0)*Model0.1C!DC81)/0.9</f>
        <v>#N/A</v>
      </c>
      <c r="DF81" s="102" t="e">
        <f t="shared" si="186"/>
        <v>#N/A</v>
      </c>
      <c r="DG81" s="102" t="e">
        <f t="shared" si="187"/>
        <v>#N/A</v>
      </c>
      <c r="DH81" s="414" t="e">
        <f>IF(DH80=0,0,IF(AND(DD81&gt;charge_ELS_quasi,DE81&gt;Charge_ELS_freq,DF81&gt;charge_ELU,DG81&gt;charge_ELA,$B81&gt;NDC!$H$22-0.1+MIN(3*$DH$12,1.5)),0,1))</f>
        <v>#N/A</v>
      </c>
      <c r="DI81" s="86" t="b">
        <f t="shared" si="155"/>
        <v>0</v>
      </c>
      <c r="DJ81" s="86">
        <f t="shared" si="156"/>
        <v>0.5</v>
      </c>
      <c r="DK81" s="86">
        <f t="shared" si="157"/>
        <v>0.5</v>
      </c>
      <c r="DL81" s="30" t="e">
        <f t="shared" ca="1" si="188"/>
        <v>#DIV/0!</v>
      </c>
      <c r="DM81" s="85" t="e">
        <f ca="1">IF(CS81&lt;=Hypothèses!$V$7,Hypothèses!$W$7,IF(CS81&lt;=Hypothèses!$V$8,Hypothèses!$W$8,IF(CS81&lt;=Hypothèses!$V$9,Hypothèses!$W$9,IF(CS81&lt;=Hypothèses!$V$10,Hypothèses!$W$10,IF(CS81&lt;=Hypothèses!$V$11,Hypothèses!$W$11,IF(CS81&lt;=Hypothèses!$V$12,Hypothèses!$W$12,IF(CS81&lt;=Hypothèses!$V$13,Hypothèses!$W$13,IF(CS81&lt;=Hypothèses!$V$14,Hypothèses!$W$14,IF(CS81&lt;=Hypothèses!$V$15,Hypothèses!$W$15,IF(CS81&lt;=Hypothèses!$V$16,Hypothèses!$W$16,IF(CS81&lt;=Hypothèses!$V$17,Hypothèses!$W$17,IF(CS81&lt;=Hypothèses!$V$18,Hypothèses!$W$18,""))))))))))))</f>
        <v>#DIV/0!</v>
      </c>
      <c r="DN81" s="87" t="e">
        <f t="shared" ref="DN81:DN144" ca="1" si="221">IF(DM81&lt;&gt;"",DM81,DL81)</f>
        <v>#DIV/0!</v>
      </c>
      <c r="DO81" s="88" t="e">
        <f ca="1">IF(CS81&lt;=Hypothèses!$V$7,Hypothèses!$X$7,IF(CS81&lt;=Hypothèses!$V$8,Hypothèses!$X$8,IF(CS81&lt;=Hypothèses!$V$9,Hypothèses!$X$9,IF(CS81&lt;=Hypothèses!$V$10,Hypothèses!$X$10,IF(CS81&lt;=Hypothèses!$V$11,Hypothèses!$X$11,IF(CS81&lt;=Hypothèses!$V$12,Hypothèses!$X$12,IF(CS81&lt;=Hypothèses!$V$13,Hypothèses!$X$13,IF(CS81&lt;=Hypothèses!$V$14,Hypothèses!$X$14,IF(CS81&lt;=Hypothèses!$V$15,Hypothèses!$X$15,IF(CS81&lt;=Hypothèses!$V$16,Hypothèses!$X$16,IF(CS81&lt;=Hypothèses!$U$17,Hypothèses!$W$17,IF(CS81&lt;=Hypothèses!$U$18,Hypothèses!$W$18,""))))))))))))</f>
        <v>#DIV/0!</v>
      </c>
      <c r="DP81" s="95" t="e">
        <f t="shared" ca="1" si="189"/>
        <v>#DIV/0!</v>
      </c>
      <c r="DQ81" s="101" t="e">
        <f t="shared" si="128"/>
        <v>#N/A</v>
      </c>
      <c r="DR81" s="91" t="e">
        <f t="shared" si="158"/>
        <v>#N/A</v>
      </c>
      <c r="DS81" s="30" t="e">
        <f t="shared" si="210"/>
        <v>#N/A</v>
      </c>
      <c r="DT81" s="30" t="e">
        <f t="shared" si="211"/>
        <v>#N/A</v>
      </c>
      <c r="DU81" s="31" t="e">
        <f>IF(OR(Hypothèses!$B$4=17,Hypothèses!$B$4=18,Hypothèses!$B$4=19,Hypothèses!$B$4=20),
IF($D81="Pressio.",
IF(OR($E81=3,$E81=1,$E81=4),DT81,DS81),
IF($D81="Pénétro.",
IF(OR($E81=3,$E81=1,$E81=4),DT81,DS81))),IF($D81="Pressio.",
IF($E81=3,DT81,DS81),
IF($D81="Pénétro.",
IF($E81=4,DT81,DS81))))</f>
        <v>#N/A</v>
      </c>
      <c r="DV81" s="31" t="e">
        <f>(IF(OR(Hypothèses!$B$4=17,Hypothèses!$B$4=18,Hypothèses!$B$4=19,Hypothèses!$B$4=20),
IF($D81="Pressio.",
IF(OR($E81=3,$E81=1,$E81=4),(PI()*DV$12^2)/4*(DR81*$W81*1000)/($H81*$B$5),(PI()*DV$12^2)/4*(DR81*$W81*1000)/($G81*$B$5)),
IF($D81="Pénétro.",
IF(OR($E81=4,$E81=1,$E81=5),(PI()*DV$12^2)/4*(DR81*$W81*1000)/($H81*$B$5),(PI()*DV$12^2)/4*(DR81*$W81*1000)/($G81*$B$5)))),
IF($D81="Pressio.",
IF($E81=3,(PI()*DV$12^2)/4*(DR81*$W81*1000)/($H81*$B$5),(PI()*DV$12^2)/4*(DR81*$W81*1000)/($G81*$B$5)),
IF($D81="Pénétro.",
IF($E81=4,(PI()*DV$12^2)/4*(DR81*$W81*1000)/($H81*$B$5),(PI()*DV$12^2)/4*(DR81*$W81*1000)/($G81*$B$5))))))/10</f>
        <v>#N/A</v>
      </c>
      <c r="DW81" s="102" t="e">
        <f>(VLOOKUP($B$3,'Coeff EC7'!$T$39:$X$59,2,0)*DU81+VLOOKUP($B$3,'Coeff EC7'!$T$65:$X$85,2,0)*Model0.1C!DV81)/1.1</f>
        <v>#N/A</v>
      </c>
      <c r="DX81" s="102" t="e">
        <f>(VLOOKUP($B$3,'Coeff EC7'!$T$39:$X$59,3,0)*DU81+VLOOKUP($B$3,'Coeff EC7'!$T$65:$X$85,3,0)*Model0.1C!DV81)/0.9</f>
        <v>#N/A</v>
      </c>
      <c r="DY81" s="102" t="e">
        <f t="shared" si="190"/>
        <v>#N/A</v>
      </c>
      <c r="DZ81" s="102" t="e">
        <f t="shared" si="191"/>
        <v>#N/A</v>
      </c>
      <c r="EA81" s="414" t="e">
        <f>IF(EA80=0,0,IF(AND(DW81&gt;charge_ELS_quasi,DX81&gt;Charge_ELS_freq,DY81&gt;charge_ELU,DZ81&gt;charge_ELA,$B81&gt;NDC!$H$22-0.1+MIN(3*$EA$12,1.5)),0,1))</f>
        <v>#N/A</v>
      </c>
      <c r="EB81" s="86" t="b">
        <f t="shared" si="159"/>
        <v>0</v>
      </c>
      <c r="EC81" s="418">
        <f t="shared" si="160"/>
        <v>0.51</v>
      </c>
      <c r="ED81" s="86">
        <f t="shared" si="161"/>
        <v>0.51</v>
      </c>
      <c r="EE81" s="30" t="e">
        <f t="shared" ca="1" si="192"/>
        <v>#DIV/0!</v>
      </c>
      <c r="EF81" s="85" t="e">
        <f ca="1">IF(DL81&lt;=Hypothèses!$V$7,Hypothèses!$W$7,IF(DL81&lt;=Hypothèses!$V$8,Hypothèses!$W$8,IF(DL81&lt;=Hypothèses!$V$9,Hypothèses!$W$9,IF(DL81&lt;=Hypothèses!$V$10,Hypothèses!$W$10,IF(DL81&lt;=Hypothèses!$V$11,Hypothèses!$W$11,IF(DL81&lt;=Hypothèses!$V$12,Hypothèses!$W$12,IF(DL81&lt;=Hypothèses!$V$13,Hypothèses!$W$13,IF(DL81&lt;=Hypothèses!$V$14,Hypothèses!$W$14,IF(DL81&lt;=Hypothèses!$V$15,Hypothèses!$W$15,IF(DL81&lt;=Hypothèses!$V$16,Hypothèses!$W$16,IF(DL81&lt;=Hypothèses!$V$17,Hypothèses!$W$17,IF(DL81&lt;=Hypothèses!$V$18,Hypothèses!$W$18,""))))))))))))</f>
        <v>#DIV/0!</v>
      </c>
      <c r="EG81" s="87" t="e">
        <f t="shared" ref="EG81:EG144" ca="1" si="222">IF(EF81&lt;&gt;"",EF81,EE81)</f>
        <v>#DIV/0!</v>
      </c>
      <c r="EH81" s="88" t="e">
        <f ca="1">IF(DL81&lt;=Hypothèses!$V$7,Hypothèses!$X$7,IF(DL81&lt;=Hypothèses!$V$8,Hypothèses!$X$8,IF(DL81&lt;=Hypothèses!$V$9,Hypothèses!$X$9,IF(DL81&lt;=Hypothèses!$V$10,Hypothèses!$X$10,IF(DL81&lt;=Hypothèses!$V$11,Hypothèses!$X$11,IF(DL81&lt;=Hypothèses!$V$12,Hypothèses!$X$12,IF(DL81&lt;=Hypothèses!$V$13,Hypothèses!$X$13,IF(DL81&lt;=Hypothèses!$V$14,Hypothèses!$X$14,IF(DL81&lt;=Hypothèses!$V$15,Hypothèses!$X$15,IF(DL81&lt;=Hypothèses!$V$16,Hypothèses!$X$16,IF(DL81&lt;=Hypothèses!$U$17,Hypothèses!$W$17,IF(DL81&lt;=Hypothèses!$U$18,Hypothèses!$W$18,""))))))))))))</f>
        <v>#DIV/0!</v>
      </c>
      <c r="EI81" s="95" t="e">
        <f t="shared" ca="1" si="193"/>
        <v>#DIV/0!</v>
      </c>
      <c r="EJ81" s="101" t="e">
        <f t="shared" si="129"/>
        <v>#N/A</v>
      </c>
      <c r="EK81" s="91" t="e">
        <f t="shared" si="162"/>
        <v>#N/A</v>
      </c>
      <c r="EL81" s="30" t="e">
        <f t="shared" si="212"/>
        <v>#N/A</v>
      </c>
      <c r="EM81" s="30" t="e">
        <f t="shared" si="213"/>
        <v>#N/A</v>
      </c>
      <c r="EN81" s="31" t="e">
        <f>IF(OR(Hypothèses!$B$4=17,Hypothèses!$B$4=18,Hypothèses!$B$4=19,Hypothèses!$B$4=20),
IF($D81="Pressio.",
IF(OR($E81=3,$E81=1,$E81=4),EM81,EL81),
IF($D81="Pénétro.",
IF(OR($E81=3,$E81=1,$E81=4),EM81,EL81))),IF($D81="Pressio.",
IF($E81=3,EM81,EL81),
IF($D81="Pénétro.",
IF($E81=4,EM81,EL81))))</f>
        <v>#N/A</v>
      </c>
      <c r="EO81" s="31" t="e">
        <f>(IF(OR(Hypothèses!$B$4=17,Hypothèses!$B$4=18,Hypothèses!$B$4=19,Hypothèses!$B$4=20),
IF($D81="Pressio.",
IF(OR($E81=3,$E81=1,$E81=4),(PI()*EO$12^2)/4*(EK81*$W81*1000)/($H81*$B$5),(PI()*EO$12^2)/4*(EK81*$W81*1000)/($G81*$B$5)),
IF($D81="Pénétro.",
IF(OR($E81=4,$E81=1,$E81=5),(PI()*EO$12^2)/4*(EK81*$W81*1000)/($H81*$B$5),(PI()*EO$12^2)/4*(EK81*$W81*1000)/($G81*$B$5)))),
IF($D81="Pressio.",
IF($E81=3,(PI()*EO$12^2)/4*(EK81*$W81*1000)/($H81*$B$5),(PI()*EO$12^2)/4*(EK81*$W81*1000)/($G81*$B$5)),
IF($D81="Pénétro.",
IF($E81=4,(PI()*EO$12^2)/4*(EK81*$W81*1000)/($H81*$B$5),(PI()*EO$12^2)/4*(EK81*$W81*1000)/($G81*$B$5))))))/10</f>
        <v>#N/A</v>
      </c>
      <c r="EP81" s="102" t="e">
        <f>(VLOOKUP($B$3,'Coeff EC7'!$T$39:$X$59,2,0)*EN81+VLOOKUP($B$3,'Coeff EC7'!$T$65:$X$85,2,0)*Model0.1C!EO81)/1.1</f>
        <v>#N/A</v>
      </c>
      <c r="EQ81" s="102" t="e">
        <f>(VLOOKUP($B$3,'Coeff EC7'!$T$39:$X$59,3,0)*EN81+VLOOKUP($B$3,'Coeff EC7'!$T$65:$X$85,3,0)*Model0.1C!EO81)/0.9</f>
        <v>#N/A</v>
      </c>
      <c r="ER81" s="102" t="e">
        <f t="shared" si="194"/>
        <v>#N/A</v>
      </c>
      <c r="ES81" s="102" t="e">
        <f t="shared" si="195"/>
        <v>#N/A</v>
      </c>
      <c r="ET81" s="414" t="e">
        <f>IF(ET80=0,0,IF(AND(EP81&gt;charge_ELS_quasi,EQ81&gt;Charge_ELS_freq,ER81&gt;charge_ELU,ES81&gt;charge_ELA,$B81&gt;NDC!$H$22-0.1+MIN(3*$ET$12,1.5)),0,1))</f>
        <v>#N/A</v>
      </c>
      <c r="EU81" s="86" t="b">
        <f t="shared" si="163"/>
        <v>0</v>
      </c>
      <c r="EV81" s="86">
        <f t="shared" si="164"/>
        <v>0.61</v>
      </c>
      <c r="EW81" s="86">
        <f t="shared" si="165"/>
        <v>0.61</v>
      </c>
      <c r="EX81" s="30" t="e">
        <f t="shared" ca="1" si="196"/>
        <v>#DIV/0!</v>
      </c>
      <c r="EY81" s="85" t="e">
        <f ca="1">IF(EE81&lt;=Hypothèses!$V$7,Hypothèses!$W$7,IF(EE81&lt;=Hypothèses!$V$8,Hypothèses!$W$8,IF(EE81&lt;=Hypothèses!$V$9,Hypothèses!$W$9,IF(EE81&lt;=Hypothèses!$V$10,Hypothèses!$W$10,IF(EE81&lt;=Hypothèses!$V$11,Hypothèses!$W$11,IF(EE81&lt;=Hypothèses!$V$12,Hypothèses!$W$12,IF(EE81&lt;=Hypothèses!$V$13,Hypothèses!$W$13,IF(EE81&lt;=Hypothèses!$V$14,Hypothèses!$W$14,IF(EE81&lt;=Hypothèses!$V$15,Hypothèses!$W$15,IF(EE81&lt;=Hypothèses!$V$16,Hypothèses!$W$16,IF(EE81&lt;=Hypothèses!$V$17,Hypothèses!$W$17,IF(EE81&lt;=Hypothèses!$V$18,Hypothèses!$W$18,""))))))))))))</f>
        <v>#DIV/0!</v>
      </c>
      <c r="EZ81" s="87" t="e">
        <f t="shared" ref="EZ81:EZ144" ca="1" si="223">IF(EY81&lt;&gt;"",EY81,EX81)</f>
        <v>#DIV/0!</v>
      </c>
      <c r="FA81" s="88" t="e">
        <f ca="1">IF(EE81&lt;=Hypothèses!$V$7,Hypothèses!$X$7,IF(EE81&lt;=Hypothèses!$V$8,Hypothèses!$X$8,IF(EE81&lt;=Hypothèses!$V$9,Hypothèses!$X$9,IF(EE81&lt;=Hypothèses!$V$10,Hypothèses!$X$10,IF(EE81&lt;=Hypothèses!$V$11,Hypothèses!$X$11,IF(EE81&lt;=Hypothèses!$V$12,Hypothèses!$X$12,IF(EE81&lt;=Hypothèses!$V$13,Hypothèses!$X$13,IF(EE81&lt;=Hypothèses!$V$14,Hypothèses!$X$14,IF(EE81&lt;=Hypothèses!$V$15,Hypothèses!$X$15,IF(EE81&lt;=Hypothèses!$V$16,Hypothèses!$X$16,IF(EE81&lt;=Hypothèses!$U$17,Hypothèses!$W$17,IF(EE81&lt;=Hypothèses!$U$18,Hypothèses!$W$18,""))))))))))))</f>
        <v>#DIV/0!</v>
      </c>
      <c r="FB81" s="95" t="e">
        <f t="shared" ca="1" si="197"/>
        <v>#DIV/0!</v>
      </c>
      <c r="FC81" s="101" t="e">
        <f t="shared" si="130"/>
        <v>#N/A</v>
      </c>
      <c r="FD81" s="91" t="e">
        <f t="shared" si="166"/>
        <v>#N/A</v>
      </c>
      <c r="FE81" s="30" t="e">
        <f t="shared" si="214"/>
        <v>#N/A</v>
      </c>
      <c r="FF81" s="30" t="e">
        <f t="shared" si="215"/>
        <v>#N/A</v>
      </c>
      <c r="FG81" s="31" t="e">
        <f>IF(OR(Hypothèses!$B$4=17,Hypothèses!$B$4=18,Hypothèses!$B$4=19,Hypothèses!$B$4=20),
IF($D81="Pressio.",
IF(OR($E81=3,$E81=1,$E81=4),FF81,FE81),
IF($D81="Pénétro.",
IF(OR($E81=3,$E81=1,$E81=4),FF81,FE81))),IF($D81="Pressio.",
IF($E81=3,FF81,FE81),
IF($D81="Pénétro.",
IF($E81=4,FF81,FE81))))</f>
        <v>#N/A</v>
      </c>
      <c r="FH81" s="31" t="e">
        <f>(IF(OR(Hypothèses!$B$4=17,Hypothèses!$B$4=18,Hypothèses!$B$4=19,Hypothèses!$B$4=20),
IF($D81="Pressio.",
IF(OR($E81=3,$E81=1,$E81=4),(PI()*FH$12^2)/4*(FD81*$W81*1000)/($H81*$B$5),(PI()*FH$12^2)/4*(FD81*$W81*1000)/($G81*$B$5)),
IF($D81="Pénétro.",
IF(OR($E81=4,$E81=1,$E81=5),(PI()*FH$12^2)/4*(FD81*$W81*1000)/($H81*$B$5),(PI()*FH$12^2)/4*(FD81*$W81*1000)/($G81*$B$5)))),
IF($D81="Pressio.",
IF($E81=3,(PI()*FH$12^2)/4*(FD81*$W81*1000)/($H81*$B$5),(PI()*FH$12^2)/4*(FD81*$W81*1000)/($G81*$B$5)),
IF($D81="Pénétro.",
IF($E81=4,(PI()*FH$12^2)/4*(FD81*$W81*1000)/($H81*$B$5),(PI()*FH$12^2)/4*(FD81*$W81*1000)/($G81*$B$5))))))/10</f>
        <v>#N/A</v>
      </c>
      <c r="FI81" s="102" t="e">
        <f>(VLOOKUP($B$3,'Coeff EC7'!$T$39:$X$59,2,0)*FG81+VLOOKUP($B$3,'Coeff EC7'!$T$65:$X$85,2,0)*Model0.1C!FH81)/1.1</f>
        <v>#N/A</v>
      </c>
      <c r="FJ81" s="102" t="e">
        <f>(VLOOKUP($B$3,'Coeff EC7'!$T$39:$X$59,3,0)*FG81+VLOOKUP($B$3,'Coeff EC7'!$T$65:$X$85,3,0)*Model0.1C!FH81)/0.9</f>
        <v>#N/A</v>
      </c>
      <c r="FK81" s="102" t="e">
        <f t="shared" si="198"/>
        <v>#N/A</v>
      </c>
      <c r="FL81" s="102" t="e">
        <f t="shared" si="199"/>
        <v>#N/A</v>
      </c>
      <c r="FM81" s="414" t="e">
        <f>IF(FM80=0,0,IF(AND(FI81&gt;charge_ELS_quasi,FJ81&gt;Charge_ELS_freq,FK81&gt;charge_ELU,FL81&gt;charge_ELA,$B81&gt;NDC!$H$22-0.1+MIN(3*$FM$12,1.5)),0,1))</f>
        <v>#N/A</v>
      </c>
    </row>
    <row r="82" spans="1:169">
      <c r="A82" s="96">
        <f t="shared" si="167"/>
        <v>93.100000000000392</v>
      </c>
      <c r="B82" s="97">
        <v>6.9</v>
      </c>
      <c r="C82" s="81">
        <f>IF(B82&lt;=Hypothèses!$C$7,Hypothèses!$A$7,IF(B82&lt;=Hypothèses!$C$8,Hypothèses!$A$8,IF(B82&lt;=Hypothèses!$C$9,Hypothèses!$A$9,IF(B82&lt;=Hypothèses!$C$10,Hypothèses!$A$10,IF(B82&lt;=Hypothèses!$C$11,Hypothèses!$A$11,IF(B82&lt;=Hypothèses!$C$12,Hypothèses!$A$12,IF(B82&lt;=Hypothèses!$C$13,Hypothèses!$A$13,IF(B82&lt;=Hypothèses!$C$14,Hypothèses!$A$14,IF(B82&lt;=Hypothèses!$C$15,Hypothèses!$A$15,IF(B82&lt;=Hypothèses!$C$16,Hypothèses!$A$16,IF(B82&lt;=Hypothèses!$C$17,Hypothèses!$A$17,IF(B82&lt;=Hypothèses!$C$18,Hypothèses!$A$18,C81))))))))))))</f>
        <v>11</v>
      </c>
      <c r="D82" s="82" t="str">
        <f>IF(B82&lt;=Hypothèses!$C$7,Hypothèses!$R$7,IF(B82&lt;=Hypothèses!$C$8,Hypothèses!$R$8,IF(B82&lt;=Hypothèses!$C$9,Hypothèses!$R$9,IF(B82&lt;=Hypothèses!$C$10,Hypothèses!$R$10,IF(B82&lt;=Hypothèses!$C$11,Hypothèses!$R$11,IF(B82&lt;=Hypothèses!$C$12,Hypothèses!$R$12,IF(B82&lt;=Hypothèses!$C$13,Hypothèses!$R$13,IF(B82&lt;=Hypothèses!$C$14,Hypothèses!$R$14,IF(B82&lt;=Hypothèses!$C$15,Hypothèses!$R$15,IF(B82&lt;=Hypothèses!$C$16,Hypothèses!$R$16,IF(B82&lt;=Hypothèses!$C$17,Hypothèses!$R$17,IF(B82&lt;=Hypothèses!$C$18,Hypothèses!$R$18,D81))))))))))))</f>
        <v>Pressio.</v>
      </c>
      <c r="E82" s="82" t="e">
        <f>IF(B82&lt;=Hypothèses!$C$7,Hypothèses!$G$7,IF(B82&lt;=Hypothèses!$C$8,Hypothèses!$G$8,IF(B82&lt;=Hypothèses!$C$9,Hypothèses!$G$9,IF(B82&lt;=Hypothèses!$C$10,Hypothèses!$G$10,IF(B82&lt;=Hypothèses!$C$11,Hypothèses!$G$11,IF(B82&lt;=Hypothèses!$C$12,Hypothèses!$G$12,IF(B82&lt;=Hypothèses!$C$13,Hypothèses!$G$13,IF(B82&lt;=Hypothèses!$C$14,Hypothèses!$G$14,IF(B82&lt;=Hypothèses!$C$15,Hypothèses!$G$15,IF(B82&lt;=Hypothèses!$C$16,Hypothèses!$G$16,IF(B82&lt;=Hypothèses!$C$17,Hypothèses!$G$17,IF(B82&lt;=Hypothèses!$C$18,Hypothèses!$G$18,E81))))))))))))</f>
        <v>#N/A</v>
      </c>
      <c r="F82" s="82" t="str">
        <f>IF(B82&lt;=Hypothèses!$C$7,Hypothèses!$F$7,IF(B82&lt;=Hypothèses!$C$8,Hypothèses!$F$8,IF(B82&lt;=Hypothèses!$C$9,Hypothèses!$F$9,IF(B82&lt;=Hypothèses!$C$10,Hypothèses!$F$10,IF(B82&lt;=Hypothèses!$C$11,Hypothèses!$F$11,IF(B82&lt;=Hypothèses!$C$12,Hypothèses!$F$12,IF(B82&lt;=Hypothèses!$C$13,Hypothèses!$F$13,IF(B82&lt;=Hypothèses!$C$14,Hypothèses!$F$14,IF(B82&lt;=Hypothèses!$C$15,Hypothèses!$F$15,IF(B82&lt;=Hypothèses!$C$16,Hypothèses!$F$16,IF(B82&lt;=Hypothèses!$C$17,Hypothèses!$F$17,IF(B82&lt;=Hypothèses!$C$18,Hypothèses!$F$18,F81))))))))))))</f>
        <v/>
      </c>
      <c r="G82" s="91">
        <f t="array" ref="G82">INDEX('Coeff EC7'!$U$7:$X$27,
MATCH(Model0.1C!$B$3,'Coeff EC7'!$T$7:$T$27,0),
MATCH(Model0.1C!$D82&amp;Model0.1C!$B$4,
'Coeff EC7'!$U$6:$X$6&amp;
'Coeff EC7'!$U$5:$X$5,0))</f>
        <v>1.1499999999999999</v>
      </c>
      <c r="H82" s="91">
        <f t="array" ref="H82">INDEX('Coeff EC7'!$Y$7:$AB$27,
MATCH(Model0.1C!$B$3,'Coeff EC7'!$T$7:$T$27,0),
MATCH(Model0.1C!$D82&amp;Model0.1C!$B$4,
'Coeff EC7'!$Y$6:$AB$6&amp;
'Coeff EC7'!$Y$5:$AB$5,0))</f>
        <v>1.4</v>
      </c>
      <c r="I82" s="83" t="e">
        <f>IF(B82&lt;=Hypothèses!$C$7,Hypothèses!$P$7,IF(B82&lt;=Hypothèses!$C$8,Hypothèses!$P$8,IF(B82&lt;=Hypothèses!$C$9,Hypothèses!$P$9,IF(B82&lt;=Hypothèses!$C$10,Hypothèses!$P$10,IF(B82&lt;=Hypothèses!$C$11,Hypothèses!$P$11,IF(B82&lt;=Hypothèses!$C$12,Hypothèses!$P$12,IF(B82&lt;=Hypothèses!$C$13,Hypothèses!$P$13,IF(B82&lt;=Hypothèses!$C$14,Hypothèses!$P$14,IF(B82&lt;=Hypothèses!$C$15,Hypothèses!$P$15,IF(B82&lt;=Hypothèses!$C$16,Hypothèses!$P$16,IF(B82&lt;=Hypothèses!$C$17,Hypothèses!$P$17,IF(B82&lt;=Hypothèses!$C$18,Hypothèses!$P$18,I81))))))))))))</f>
        <v>#N/A</v>
      </c>
      <c r="J82" s="91" t="e">
        <f t="array" ref="J82">INDEX('Coeff EC7'!$D$33:$Q$33,1,MATCH(D82&amp;E82,'Coeff EC7'!$D$31:$Q$31&amp;'Coeff EC7'!$D$32:$Q$32,0))</f>
        <v>#N/A</v>
      </c>
      <c r="K82" s="91" t="e">
        <f t="array" ref="K82">INDEX('Coeff EC7'!$D$34:$Q$34,1,MATCH(D82&amp;E82,'Coeff EC7'!$D$31:$Q$31&amp;'Coeff EC7'!$D$32:$Q$32,0))</f>
        <v>#N/A</v>
      </c>
      <c r="L82" s="91" t="e">
        <f t="array" ref="L82">INDEX('Coeff EC7'!$D$35:$Q$35,1,MATCH(D82&amp;E82,'Coeff EC7'!$D$31:$Q$31&amp;'Coeff EC7'!$D$32:$Q$32,0))</f>
        <v>#N/A</v>
      </c>
      <c r="M82" s="98" t="e">
        <f t="shared" si="131"/>
        <v>#N/A</v>
      </c>
      <c r="N82" s="99" t="e">
        <f t="array" ref="N82">INDEX('Coeff EC7'!$D$7:$Q$27,MATCH($B$3,'Coeff EC7'!$C$7:$C$27,0),MATCH(D82&amp;E82,'Coeff EC7'!$D$5:$Q$5&amp;'Coeff EC7'!$D$6:$Q$6,0))</f>
        <v>#N/A</v>
      </c>
      <c r="O82" s="99" t="e">
        <f t="array" ref="O82">INDEX('Coeff EC7'!$D$41:$Q$61,MATCH($B$3,'Coeff EC7'!$C$41:$C$61,0),MATCH(D82&amp;E82,'Coeff EC7'!$D$39:$Q$39&amp;'Coeff EC7'!$D$40:$Q$40,0))</f>
        <v>#N/A</v>
      </c>
      <c r="P82" s="30" t="e">
        <f t="shared" si="168"/>
        <v>#N/A</v>
      </c>
      <c r="Q82" s="100" t="e">
        <f t="shared" si="133"/>
        <v>#N/A</v>
      </c>
      <c r="R82" s="86" t="b">
        <f t="shared" si="134"/>
        <v>0</v>
      </c>
      <c r="S82" s="86">
        <f t="shared" si="132"/>
        <v>0.5</v>
      </c>
      <c r="T82" s="86">
        <f t="shared" si="135"/>
        <v>0.5</v>
      </c>
      <c r="U82" s="30" t="e">
        <f t="shared" ca="1" si="169"/>
        <v>#DIV/0!</v>
      </c>
      <c r="V82" s="85" t="str">
        <f>IF(B82&lt;=Hypothèses!$V$7,Hypothèses!$W$7,IF(B82&lt;=Hypothèses!$V$8,Hypothèses!$W$8,IF(B82&lt;=Hypothèses!$V$9,Hypothèses!$W$9,IF(B82&lt;=Hypothèses!$V$10,Hypothèses!$W$10,IF(B82&lt;=Hypothèses!$V$11,Hypothèses!$W$11,IF(B82&lt;=Hypothèses!$V$12,Hypothèses!$W$12,IF(B82&lt;=Hypothèses!$V$13,Hypothèses!$W$13,IF(B82&lt;=Hypothèses!$V$14,Hypothèses!$W$14,IF(B82&lt;=Hypothèses!$V$15,Hypothèses!$W$15,IF(B82&lt;=Hypothèses!$V$16,Hypothèses!$W$16,IF(B82&lt;=Hypothèses!$V$17,Hypothèses!$W$17,IF(B82&lt;=Hypothèses!$V$18,Hypothèses!$W$18,""))))))))))))</f>
        <v/>
      </c>
      <c r="W82" s="87" t="e">
        <f t="shared" ca="1" si="216"/>
        <v>#DIV/0!</v>
      </c>
      <c r="X82" s="88" t="str">
        <f>IF(B82&lt;=Hypothèses!$V$7,Hypothèses!$X$7,IF(B82&lt;=Hypothèses!$V$8,Hypothèses!$X$8,IF(B82&lt;=Hypothèses!$V$9,Hypothèses!$X$9,IF(B82&lt;=Hypothèses!$V$10,Hypothèses!$X$10,IF(B82&lt;=Hypothèses!$V$11,Hypothèses!$X$11,IF(B82&lt;=Hypothèses!$V$12,Hypothèses!$X$12,IF(B82&lt;=Hypothèses!$V$13,Hypothèses!$X$13,IF(B82&lt;=Hypothèses!$V$14,Hypothèses!$X$14,IF(B82&lt;=Hypothèses!$V$15,Hypothèses!$X$15,IF(B82&lt;=Hypothèses!$V$16,Hypothèses!$X$16,IF(B82&lt;=Hypothèses!$U$17,Hypothèses!$W$17,IF(B82&lt;=Hypothèses!$U$18,Hypothèses!$W$18,""))))))))))))</f>
        <v/>
      </c>
      <c r="Y82" s="95" t="e">
        <f t="shared" ca="1" si="136"/>
        <v>#DIV/0!</v>
      </c>
      <c r="Z82" s="101" t="e">
        <f t="shared" si="137"/>
        <v>#N/A</v>
      </c>
      <c r="AA82" s="91" t="e">
        <f t="shared" si="138"/>
        <v>#N/A</v>
      </c>
      <c r="AB82" s="30" t="e">
        <f t="shared" si="200"/>
        <v>#N/A</v>
      </c>
      <c r="AC82" s="30" t="e">
        <f t="shared" si="201"/>
        <v>#N/A</v>
      </c>
      <c r="AD82" s="31" t="e">
        <f>IF(OR(Hypothèses!$B$4=17,Hypothèses!$B$4=18,Hypothèses!$B$4=19,Hypothèses!$B$4=20),
IF($D82="Pressio.",
IF(OR($E82=3,$E82=1,$E82=4),AC82,AB82),
IF($D82="Pénétro.",
IF(OR($E82=3,$E82=1,$E82=4),AC82,AB82))),IF($D82="Pressio.",
IF($E82=3,AC82,AB82),
IF($D82="Pénétro.",
IF($E82=4,AC82,AB82))))</f>
        <v>#N/A</v>
      </c>
      <c r="AE82" s="31" t="e">
        <f>(IF(OR(Hypothèses!$B$4=17,Hypothèses!$B$4=18,Hypothèses!$B$4=19,Hypothèses!$B$4=20),
IF($D82="Pressio.",
IF(OR($E82=3,$E82=1,$E82=4),(PI()*AE$12^2)/4*(AA82*$W82*1000)/($H82*$B$5),(PI()*AE$12^2)/4*(AA82*$W82*1000)/($G82*$B$5)),
IF($D82="Pénétro.",
IF(OR($E82=4,$E82=1,$E82=5),(PI()*AE$12^2)/4*(AA82*$W82*1000)/($H82*$B$5),(PI()*AE$12^2)/4*(AA82*$W82*1000)/($G82*$B$5)))),
IF($D82="Pressio.",
IF($E82=3,(PI()*AE$12^2)/4*(AA82*$W82*1000)/($H82*$B$5),(PI()*AE$12^2)/4*(AA82*$W82*1000)/($G82*$B$5)),
IF($D82="Pénétro.",
IF($E82=4,(PI()*AE$12^2)/4*(AA82*$W82*1000)/($H82*$B$5),(PI()*AE$12^2)/4*(AA82*$W82*1000)/($G82*$B$5))))))/10</f>
        <v>#N/A</v>
      </c>
      <c r="AF82" s="102" t="e">
        <f>(VLOOKUP($B$3,'Coeff EC7'!$T$39:$X$59,2,0)*AD82+VLOOKUP($B$3,'Coeff EC7'!$T$65:$X$85,2,0)*Model0.1C!AE82)/1.1</f>
        <v>#N/A</v>
      </c>
      <c r="AG82" s="102" t="e">
        <f>(VLOOKUP($B$3,'Coeff EC7'!$T$39:$X$59,3,0)*AD82+VLOOKUP($B$3,'Coeff EC7'!$T$65:$X$85,3,0)*Model0.1C!AE82)/0.9</f>
        <v>#N/A</v>
      </c>
      <c r="AH82" s="102" t="e">
        <f t="shared" si="139"/>
        <v>#N/A</v>
      </c>
      <c r="AI82" s="102" t="e">
        <f t="shared" si="140"/>
        <v>#N/A</v>
      </c>
      <c r="AJ82" s="414" t="e">
        <f>IF(AJ81=0,0,IF(AND(AF82&gt;charge_ELS_quasi,AG82&gt;Charge_ELS_freq,AH82&gt;charge_ELU,AI82&gt;charge_ELA,$B82&gt;NDC!$H$22-0.1+MIN(3*$AJ$12,1.5)),0,1))</f>
        <v>#N/A</v>
      </c>
      <c r="AK82" s="86" t="b">
        <f t="shared" si="141"/>
        <v>0</v>
      </c>
      <c r="AL82" s="86">
        <f t="shared" si="170"/>
        <v>0.5</v>
      </c>
      <c r="AM82" s="86">
        <f t="shared" si="142"/>
        <v>0.5</v>
      </c>
      <c r="AN82" s="30" t="e">
        <f t="shared" ca="1" si="171"/>
        <v>#DIV/0!</v>
      </c>
      <c r="AO82" s="85" t="e">
        <f ca="1">IF(U82&lt;=Hypothèses!$V$7,Hypothèses!$W$7,IF(U82&lt;=Hypothèses!$V$8,Hypothèses!$W$8,IF(U82&lt;=Hypothèses!$V$9,Hypothèses!$W$9,IF(U82&lt;=Hypothèses!$V$10,Hypothèses!$W$10,IF(U82&lt;=Hypothèses!$V$11,Hypothèses!$W$11,IF(U82&lt;=Hypothèses!$V$12,Hypothèses!$W$12,IF(U82&lt;=Hypothèses!$V$13,Hypothèses!$W$13,IF(U82&lt;=Hypothèses!$V$14,Hypothèses!$W$14,IF(U82&lt;=Hypothèses!$V$15,Hypothèses!$W$15,IF(U82&lt;=Hypothèses!$V$16,Hypothèses!$W$16,IF(U82&lt;=Hypothèses!$V$17,Hypothèses!$W$17,IF(U82&lt;=Hypothèses!$V$18,Hypothèses!$W$18,""))))))))))))</f>
        <v>#DIV/0!</v>
      </c>
      <c r="AP82" s="87" t="e">
        <f t="shared" ca="1" si="217"/>
        <v>#DIV/0!</v>
      </c>
      <c r="AQ82" s="88" t="e">
        <f ca="1">IF(U82&lt;=Hypothèses!$V$7,Hypothèses!$X$7,IF(U82&lt;=Hypothèses!$V$8,Hypothèses!$X$8,IF(U82&lt;=Hypothèses!$V$9,Hypothèses!$X$9,IF(U82&lt;=Hypothèses!$V$10,Hypothèses!$X$10,IF(U82&lt;=Hypothèses!$V$11,Hypothèses!$X$11,IF(U82&lt;=Hypothèses!$V$12,Hypothèses!$X$12,IF(U82&lt;=Hypothèses!$V$13,Hypothèses!$X$13,IF(U82&lt;=Hypothèses!$V$14,Hypothèses!$X$14,IF(U82&lt;=Hypothèses!$V$15,Hypothèses!$X$15,IF(U82&lt;=Hypothèses!$V$16,Hypothèses!$X$16,IF(U82&lt;=Hypothèses!$U$17,Hypothèses!$W$17,IF(U82&lt;=Hypothèses!$U$18,Hypothèses!$W$18,""))))))))))))</f>
        <v>#DIV/0!</v>
      </c>
      <c r="AR82" s="95" t="e">
        <f t="shared" ca="1" si="172"/>
        <v>#DIV/0!</v>
      </c>
      <c r="AS82" s="101" t="e">
        <f t="shared" ref="AS82:AS145" si="224">IF($I82=0,0,
IF(AR82&gt;5*AW$12,$I82,
IF($D82="Pressio.",1+($I82-1)*(AR82/AW$12)/5,
IF($D82="Pénétro.",IF($E82=1,0.3+($I82-0.3)*(AR82/AW$12)/5,
IF($E82=2,0.2+($I82-0.2)*(AR82/AW$12)/5,
IF($E82=3,0.1+($I82-0.1)*(AR82/AW$12)/5,
0.15+($I82-0.15)*(AR82/AW$12)/5)))))))</f>
        <v>#N/A</v>
      </c>
      <c r="AT82" s="91" t="e">
        <f t="shared" si="143"/>
        <v>#N/A</v>
      </c>
      <c r="AU82" s="30" t="e">
        <f t="shared" si="202"/>
        <v>#N/A</v>
      </c>
      <c r="AV82" s="30" t="e">
        <f t="shared" si="203"/>
        <v>#N/A</v>
      </c>
      <c r="AW82" s="31" t="e">
        <f>IF(OR(Hypothèses!$B$4=17,Hypothèses!$B$4=18,Hypothèses!$B$4=19,Hypothèses!$B$4=20),
IF($D82="Pressio.",
IF(OR($E82=3,$E82=1,$E82=4),AV82,AU82),
IF($D82="Pénétro.",
IF(OR($E82=3,$E82=1,$E82=4),AV82,AU82))),IF($D82="Pressio.",
IF($E82=3,AV82,AU82),
IF($D82="Pénétro.",
IF($E82=4,AV82,AU82))))</f>
        <v>#N/A</v>
      </c>
      <c r="AX82" s="31" t="e">
        <f>(IF(OR(Hypothèses!$B$4=17,Hypothèses!$B$4=18,Hypothèses!$B$4=19,Hypothèses!$B$4=20),
IF($D82="Pressio.",
IF(OR($E82=3,$E82=1,$E82=4),(PI()*AX$12^2)/4*(AT82*$W82*1000)/($H82*$B$5),(PI()*AX$12^2)/4*(AT82*$W82*1000)/($G82*$B$5)),
IF($D82="Pénétro.",
IF(OR($E82=4,$E82=1,$E82=5),(PI()*AX$12^2)/4*(AT82*$W82*1000)/($H82*$B$5),(PI()*AX$12^2)/4*(AT82*$W82*1000)/($G82*$B$5)))),
IF($D82="Pressio.",
IF($E82=3,(PI()*AX$12^2)/4*(AT82*$W82*1000)/($H82*$B$5),(PI()*AX$12^2)/4*(AT82*$W82*1000)/($G82*$B$5)),
IF($D82="Pénétro.",
IF($E82=4,(PI()*AX$12^2)/4*(AT82*$W82*1000)/($H82*$B$5),(PI()*AX$12^2)/4*(AT82*$W82*1000)/($G82*$B$5))))))/10</f>
        <v>#N/A</v>
      </c>
      <c r="AY82" s="102" t="e">
        <f>(VLOOKUP($B$3,'Coeff EC7'!$T$39:$X$59,2,0)*AW82+VLOOKUP($B$3,'Coeff EC7'!$T$65:$X$85,2,0)*Model0.1C!AX82)/1.1</f>
        <v>#N/A</v>
      </c>
      <c r="AZ82" s="102" t="e">
        <f>(VLOOKUP($B$3,'Coeff EC7'!$T$39:$X$59,3,0)*AW82+VLOOKUP($B$3,'Coeff EC7'!$T$65:$X$85,3,0)*Model0.1C!AX82)/0.9</f>
        <v>#N/A</v>
      </c>
      <c r="BA82" s="102" t="e">
        <f t="shared" si="173"/>
        <v>#N/A</v>
      </c>
      <c r="BB82" s="102" t="e">
        <f t="shared" si="174"/>
        <v>#N/A</v>
      </c>
      <c r="BC82" s="414" t="e">
        <f>IF(BC81=0,0,IF(AND(AY82&gt;charge_ELS_quasi,AZ82&gt;Charge_ELS_freq,BA82&gt;charge_ELU,BB82&gt;charge_ELA,$B82&gt;NDC!$H$22-0.1+MIN(3*$BC$12,1.5)),0,1))</f>
        <v>#N/A</v>
      </c>
      <c r="BD82" s="86" t="b">
        <f t="shared" si="144"/>
        <v>0</v>
      </c>
      <c r="BE82" s="86">
        <f t="shared" si="175"/>
        <v>0.5</v>
      </c>
      <c r="BF82" s="86">
        <f t="shared" si="145"/>
        <v>0.5</v>
      </c>
      <c r="BG82" s="30" t="e">
        <f t="shared" ca="1" si="176"/>
        <v>#DIV/0!</v>
      </c>
      <c r="BH82" s="85" t="e">
        <f ca="1">IF(AN82&lt;=Hypothèses!$V$7,Hypothèses!$W$7,IF(AN82&lt;=Hypothèses!$V$8,Hypothèses!$W$8,IF(AN82&lt;=Hypothèses!$V$9,Hypothèses!$W$9,IF(AN82&lt;=Hypothèses!$V$10,Hypothèses!$W$10,IF(AN82&lt;=Hypothèses!$V$11,Hypothèses!$W$11,IF(AN82&lt;=Hypothèses!$V$12,Hypothèses!$W$12,IF(AN82&lt;=Hypothèses!$V$13,Hypothèses!$W$13,IF(AN82&lt;=Hypothèses!$V$14,Hypothèses!$W$14,IF(AN82&lt;=Hypothèses!$V$15,Hypothèses!$W$15,IF(AN82&lt;=Hypothèses!$V$16,Hypothèses!$W$16,IF(AN82&lt;=Hypothèses!$V$17,Hypothèses!$W$17,IF(AN82&lt;=Hypothèses!$V$18,Hypothèses!$W$18,""))))))))))))</f>
        <v>#DIV/0!</v>
      </c>
      <c r="BI82" s="87" t="e">
        <f t="shared" ca="1" si="218"/>
        <v>#DIV/0!</v>
      </c>
      <c r="BJ82" s="88" t="e">
        <f ca="1">IF(AN82&lt;=Hypothèses!$V$7,Hypothèses!$X$7,IF(AN82&lt;=Hypothèses!$V$8,Hypothèses!$X$8,IF(AN82&lt;=Hypothèses!$V$9,Hypothèses!$X$9,IF(AN82&lt;=Hypothèses!$V$10,Hypothèses!$X$10,IF(AN82&lt;=Hypothèses!$V$11,Hypothèses!$X$11,IF(AN82&lt;=Hypothèses!$V$12,Hypothèses!$X$12,IF(AN82&lt;=Hypothèses!$V$13,Hypothèses!$X$13,IF(AN82&lt;=Hypothèses!$V$14,Hypothèses!$X$14,IF(AN82&lt;=Hypothèses!$V$15,Hypothèses!$X$15,IF(AN82&lt;=Hypothèses!$V$16,Hypothèses!$X$16,IF(AN82&lt;=Hypothèses!$U$17,Hypothèses!$W$17,IF(AN82&lt;=Hypothèses!$U$18,Hypothèses!$W$18,""))))))))))))</f>
        <v>#DIV/0!</v>
      </c>
      <c r="BK82" s="95" t="e">
        <f t="shared" ca="1" si="177"/>
        <v>#DIV/0!</v>
      </c>
      <c r="BL82" s="101" t="e">
        <f t="shared" ref="BL82:BL145" si="225">IF($I82=0,0,
IF(BK82&gt;5*BP$12,$I82,
IF($D82="Pressio.",1+($I82-1)*(BK82/BP$12)/5,
IF($D82="Pénétro.",IF($E82=1,0.3+($I82-0.3)*(BK82/BP$12)/5,
IF($E82=2,0.2+($I82-0.2)*(BK82/BP$12)/5,
IF($E82=3,0.1+($I82-0.1)*(BK82/BP$12)/5,
0.15+($I82-0.15)*(BK82/BP$12)/5)))))))</f>
        <v>#N/A</v>
      </c>
      <c r="BM82" s="91" t="e">
        <f t="shared" si="146"/>
        <v>#N/A</v>
      </c>
      <c r="BN82" s="30" t="e">
        <f t="shared" si="204"/>
        <v>#N/A</v>
      </c>
      <c r="BO82" s="30" t="e">
        <f t="shared" si="205"/>
        <v>#N/A</v>
      </c>
      <c r="BP82" s="31" t="e">
        <f>IF(OR(Hypothèses!$B$4=17,Hypothèses!$B$4=18,Hypothèses!$B$4=19,Hypothèses!$B$4=20),
IF($D82="Pressio.",
IF(OR($E82=3,$E82=1,$E82=4),BO82,BN82),
IF($D82="Pénétro.",
IF(OR($E82=3,$E82=1,$E82=4),BO82,BN82))),IF($D82="Pressio.",
IF($E82=3,BO82,BN82),
IF($D82="Pénétro.",
IF($E82=4,BO82,BN82))))</f>
        <v>#N/A</v>
      </c>
      <c r="BQ82" s="31" t="e">
        <f>(IF(OR(Hypothèses!$B$4=17,Hypothèses!$B$4=18,Hypothèses!$B$4=19,Hypothèses!$B$4=20),
IF($D82="Pressio.",
IF(OR($E82=3,$E82=1,$E82=4),(PI()*BQ$12^2)/4*(BM82*$W82*1000)/($H82*$B$5),(PI()*BQ$12^2)/4*(BM82*$W82*1000)/($G82*$B$5)),
IF($D82="Pénétro.",
IF(OR($E82=4,$E82=1,$E82=5),(PI()*BQ$12^2)/4*(BM82*$W82*1000)/($H82*$B$5),(PI()*BQ$12^2)/4*(BM82*$W82*1000)/($G82*$B$5)))),
IF($D82="Pressio.",
IF($E82=3,(PI()*BQ$12^2)/4*(BM82*$W82*1000)/($H82*$B$5),(PI()*BQ$12^2)/4*(BM82*$W82*1000)/($G82*$B$5)),
IF($D82="Pénétro.",
IF($E82=4,(PI()*BQ$12^2)/4*(BM82*$W82*1000)/($H82*$B$5),(PI()*BQ$12^2)/4*(BM82*$W82*1000)/($G82*$B$5))))))/10</f>
        <v>#N/A</v>
      </c>
      <c r="BR82" s="102" t="e">
        <f>(VLOOKUP($B$3,'Coeff EC7'!$T$39:$X$59,2,0)*BP82+VLOOKUP($B$3,'Coeff EC7'!$T$65:$X$85,2,0)*Model0.1C!BQ82)/1.1</f>
        <v>#N/A</v>
      </c>
      <c r="BS82" s="102" t="e">
        <f>(VLOOKUP($B$3,'Coeff EC7'!$T$39:$X$59,3,0)*BP82+VLOOKUP($B$3,'Coeff EC7'!$T$65:$X$85,3,0)*Model0.1C!BQ82)/0.9</f>
        <v>#N/A</v>
      </c>
      <c r="BT82" s="102" t="e">
        <f t="shared" si="178"/>
        <v>#N/A</v>
      </c>
      <c r="BU82" s="102" t="e">
        <f t="shared" si="179"/>
        <v>#N/A</v>
      </c>
      <c r="BV82" s="414" t="e">
        <f>IF(BV81=0,0,IF(AND(BR82&gt;charge_ELS_quasi,BS82&gt;Charge_ELS_freq,BT82&gt;charge_ELU,BU82&gt;charge_ELA,$B82&gt;NDC!$H$22-0.1+MIN(3*$BV$12,1.5)),0,1))</f>
        <v>#N/A</v>
      </c>
      <c r="BW82" s="86" t="b">
        <f t="shared" si="147"/>
        <v>0</v>
      </c>
      <c r="BX82" s="86">
        <f t="shared" si="148"/>
        <v>0.5</v>
      </c>
      <c r="BY82" s="86">
        <f t="shared" si="149"/>
        <v>0.5</v>
      </c>
      <c r="BZ82" s="30" t="e">
        <f t="shared" ca="1" si="180"/>
        <v>#DIV/0!</v>
      </c>
      <c r="CA82" s="85" t="e">
        <f ca="1">IF(BG82&lt;=Hypothèses!$V$7,Hypothèses!$W$7,IF(BG82&lt;=Hypothèses!$V$8,Hypothèses!$W$8,IF(BG82&lt;=Hypothèses!$V$9,Hypothèses!$W$9,IF(BG82&lt;=Hypothèses!$V$10,Hypothèses!$W$10,IF(BG82&lt;=Hypothèses!$V$11,Hypothèses!$W$11,IF(BG82&lt;=Hypothèses!$V$12,Hypothèses!$W$12,IF(BG82&lt;=Hypothèses!$V$13,Hypothèses!$W$13,IF(BG82&lt;=Hypothèses!$V$14,Hypothèses!$W$14,IF(BG82&lt;=Hypothèses!$V$15,Hypothèses!$W$15,IF(BG82&lt;=Hypothèses!$V$16,Hypothèses!$W$16,IF(BG82&lt;=Hypothèses!$V$17,Hypothèses!$W$17,IF(BG82&lt;=Hypothèses!$V$18,Hypothèses!$W$18,""))))))))))))</f>
        <v>#DIV/0!</v>
      </c>
      <c r="CB82" s="87" t="e">
        <f t="shared" ca="1" si="219"/>
        <v>#DIV/0!</v>
      </c>
      <c r="CC82" s="88" t="e">
        <f ca="1">IF(BG82&lt;=Hypothèses!$V$7,Hypothèses!$X$7,IF(BG82&lt;=Hypothèses!$V$8,Hypothèses!$X$8,IF(BG82&lt;=Hypothèses!$V$9,Hypothèses!$X$9,IF(BG82&lt;=Hypothèses!$V$10,Hypothèses!$X$10,IF(BG82&lt;=Hypothèses!$V$11,Hypothèses!$X$11,IF(BG82&lt;=Hypothèses!$V$12,Hypothèses!$X$12,IF(BG82&lt;=Hypothèses!$V$13,Hypothèses!$X$13,IF(BG82&lt;=Hypothèses!$V$14,Hypothèses!$X$14,IF(BG82&lt;=Hypothèses!$V$15,Hypothèses!$X$15,IF(BG82&lt;=Hypothèses!$V$16,Hypothèses!$X$16,IF(BG82&lt;=Hypothèses!$U$17,Hypothèses!$W$17,IF(BG82&lt;=Hypothèses!$U$18,Hypothèses!$W$18,""))))))))))))</f>
        <v>#DIV/0!</v>
      </c>
      <c r="CD82" s="95" t="e">
        <f t="shared" ca="1" si="181"/>
        <v>#DIV/0!</v>
      </c>
      <c r="CE82" s="101" t="e">
        <f t="shared" ref="CE82:CE145" si="226">IF($I82=0,0,
IF(CD82&gt;5*CI$12,$I82,
IF($D82="Pressio.",1+($I82-1)*(CD82/CI$12)/5,
IF($D82="Pénétro.",IF($E82=1,0.3+($I82-0.3)*(CD82/CI$12)/5,
IF($E82=2,0.2+($I82-0.2)*(CD82/CI$12)/5,
IF($E82=3,0.1+($I82-0.1)*(CD82/CI$12)/5,
0.15+($I82-0.15)*(CD82/CI$12)/5)))))))</f>
        <v>#N/A</v>
      </c>
      <c r="CF82" s="91" t="e">
        <f t="shared" si="150"/>
        <v>#N/A</v>
      </c>
      <c r="CG82" s="30" t="e">
        <f t="shared" si="206"/>
        <v>#N/A</v>
      </c>
      <c r="CH82" s="30" t="e">
        <f t="shared" si="207"/>
        <v>#N/A</v>
      </c>
      <c r="CI82" s="31" t="e">
        <f>IF(OR(Hypothèses!$B$4=17,Hypothèses!$B$4=18,Hypothèses!$B$4=19,Hypothèses!$B$4=20),
IF($D82="Pressio.",
IF(OR($E82=3,$E82=1,$E82=4),CH82,CG82),
IF($D82="Pénétro.",
IF(OR($E82=3,$E82=1,$E82=4),CH82,CG82))),IF($D82="Pressio.",
IF($E82=3,CH82,CG82),
IF($D82="Pénétro.",
IF($E82=4,CH82,CG82))))</f>
        <v>#N/A</v>
      </c>
      <c r="CJ82" s="31" t="e">
        <f>(IF(OR(Hypothèses!$B$4=17,Hypothèses!$B$4=18,Hypothèses!$B$4=19,Hypothèses!$B$4=20),
IF($D82="Pressio.",
IF(OR($E82=3,$E82=1,$E82=4),(PI()*CJ$12^2)/4*(CF82*$W82*1000)/($H82*$B$5),(PI()*CJ$12^2)/4*(CF82*$W82*1000)/($G82*$B$5)),
IF($D82="Pénétro.",
IF(OR($E82=4,$E82=1,$E82=5),(PI()*CJ$12^2)/4*(CF82*$W82*1000)/($H82*$B$5),(PI()*CJ$12^2)/4*(CF82*$W82*1000)/($G82*$B$5)))),
IF($D82="Pressio.",
IF($E82=3,(PI()*CJ$12^2)/4*(CF82*$W82*1000)/($H82*$B$5),(PI()*CJ$12^2)/4*(CF82*$W82*1000)/($G82*$B$5)),
IF($D82="Pénétro.",
IF($E82=4,(PI()*CJ$12^2)/4*(CF82*$W82*1000)/($H82*$B$5),(PI()*CJ$12^2)/4*(CF82*$W82*1000)/($G82*$B$5))))))/10</f>
        <v>#N/A</v>
      </c>
      <c r="CK82" s="102" t="e">
        <f>(VLOOKUP($B$3,'Coeff EC7'!$T$39:$X$59,2,0)*CI82+VLOOKUP($B$3,'Coeff EC7'!$T$65:$X$85,2,0)*Model0.1C!CJ82)/1.1</f>
        <v>#N/A</v>
      </c>
      <c r="CL82" s="102" t="e">
        <f>(VLOOKUP($B$3,'Coeff EC7'!$T$39:$X$59,3,0)*CI82+VLOOKUP($B$3,'Coeff EC7'!$T$65:$X$85,3,0)*Model0.1C!CJ82)/0.9</f>
        <v>#N/A</v>
      </c>
      <c r="CM82" s="102" t="e">
        <f t="shared" si="182"/>
        <v>#N/A</v>
      </c>
      <c r="CN82" s="102" t="e">
        <f t="shared" si="183"/>
        <v>#N/A</v>
      </c>
      <c r="CO82" s="414" t="e">
        <f>IF(CO81=0,0,IF(AND(CK82&gt;charge_ELS_quasi,CL82&gt;Charge_ELS_freq,CM82&gt;charge_ELU,CN82&gt;charge_ELA,$B82&gt;NDC!$H$22-0.1+MIN(3*$CO$12,1.5)),0,1))</f>
        <v>#N/A</v>
      </c>
      <c r="CP82" s="86" t="b">
        <f t="shared" si="151"/>
        <v>0</v>
      </c>
      <c r="CQ82" s="86">
        <f t="shared" si="152"/>
        <v>0.5</v>
      </c>
      <c r="CR82" s="86">
        <f t="shared" si="153"/>
        <v>0.5</v>
      </c>
      <c r="CS82" s="30" t="e">
        <f t="shared" ca="1" si="184"/>
        <v>#DIV/0!</v>
      </c>
      <c r="CT82" s="85" t="e">
        <f ca="1">IF(BZ82&lt;=Hypothèses!$V$7,Hypothèses!$W$7,IF(BZ82&lt;=Hypothèses!$V$8,Hypothèses!$W$8,IF(BZ82&lt;=Hypothèses!$V$9,Hypothèses!$W$9,IF(BZ82&lt;=Hypothèses!$V$10,Hypothèses!$W$10,IF(BZ82&lt;=Hypothèses!$V$11,Hypothèses!$W$11,IF(BZ82&lt;=Hypothèses!$V$12,Hypothèses!$W$12,IF(BZ82&lt;=Hypothèses!$V$13,Hypothèses!$W$13,IF(BZ82&lt;=Hypothèses!$V$14,Hypothèses!$W$14,IF(BZ82&lt;=Hypothèses!$V$15,Hypothèses!$W$15,IF(BZ82&lt;=Hypothèses!$V$16,Hypothèses!$W$16,IF(BZ82&lt;=Hypothèses!$V$17,Hypothèses!$W$17,IF(BZ82&lt;=Hypothèses!$V$18,Hypothèses!$W$18,""))))))))))))</f>
        <v>#DIV/0!</v>
      </c>
      <c r="CU82" s="87" t="e">
        <f t="shared" ca="1" si="220"/>
        <v>#DIV/0!</v>
      </c>
      <c r="CV82" s="88" t="e">
        <f ca="1">IF(BZ82&lt;=Hypothèses!$V$7,Hypothèses!$X$7,IF(BZ82&lt;=Hypothèses!$V$8,Hypothèses!$X$8,IF(BZ82&lt;=Hypothèses!$V$9,Hypothèses!$X$9,IF(BZ82&lt;=Hypothèses!$V$10,Hypothèses!$X$10,IF(BZ82&lt;=Hypothèses!$V$11,Hypothèses!$X$11,IF(BZ82&lt;=Hypothèses!$V$12,Hypothèses!$X$12,IF(BZ82&lt;=Hypothèses!$V$13,Hypothèses!$X$13,IF(BZ82&lt;=Hypothèses!$V$14,Hypothèses!$X$14,IF(BZ82&lt;=Hypothèses!$V$15,Hypothèses!$X$15,IF(BZ82&lt;=Hypothèses!$V$16,Hypothèses!$X$16,IF(BZ82&lt;=Hypothèses!$U$17,Hypothèses!$W$17,IF(BZ82&lt;=Hypothèses!$U$18,Hypothèses!$W$18,""))))))))))))</f>
        <v>#DIV/0!</v>
      </c>
      <c r="CW82" s="95" t="e">
        <f t="shared" ca="1" si="185"/>
        <v>#DIV/0!</v>
      </c>
      <c r="CX82" s="101" t="e">
        <f t="shared" ref="CX82:CX145" si="227">IF($I82=0,0,
IF(CW82&gt;5*DB$12,$I82,
IF($D82="Pressio.",1+($I82-1)*(CW82/DB$12)/5,
IF($D82="Pénétro.",IF($E82=1,0.3+($I82-0.3)*(CW82/DB$12)/5,
IF($E82=2,0.2+($I82-0.2)*(CW82/DB$12)/5,
IF($E82=3,0.1+($I82-0.1)*(CW82/DB$12)/5,
0.15+($I82-0.15)*(CW82/DB$12)/5)))))))</f>
        <v>#N/A</v>
      </c>
      <c r="CY82" s="91" t="e">
        <f t="shared" si="154"/>
        <v>#N/A</v>
      </c>
      <c r="CZ82" s="30" t="e">
        <f t="shared" si="208"/>
        <v>#N/A</v>
      </c>
      <c r="DA82" s="30" t="e">
        <f t="shared" si="209"/>
        <v>#N/A</v>
      </c>
      <c r="DB82" s="31" t="e">
        <f>IF(OR(Hypothèses!$B$4=17,Hypothèses!$B$4=18,Hypothèses!$B$4=19,Hypothèses!$B$4=20),
IF($D82="Pressio.",
IF(OR($E82=3,$E82=1,$E82=4),DA82,CZ82),
IF($D82="Pénétro.",
IF(OR($E82=3,$E82=1,$E82=4),DA82,CZ82))),IF($D82="Pressio.",
IF($E82=3,DA82,CZ82),
IF($D82="Pénétro.",
IF($E82=4,DA82,CZ82))))</f>
        <v>#N/A</v>
      </c>
      <c r="DC82" s="31" t="e">
        <f>(IF(OR(Hypothèses!$B$4=17,Hypothèses!$B$4=18,Hypothèses!$B$4=19,Hypothèses!$B$4=20),
IF($D82="Pressio.",
IF(OR($E82=3,$E82=1,$E82=4),(PI()*DC$12^2)/4*(CY82*$W82*1000)/($H82*$B$5),(PI()*DC$12^2)/4*(CY82*$W82*1000)/($G82*$B$5)),
IF($D82="Pénétro.",
IF(OR($E82=4,$E82=1,$E82=5),(PI()*DC$12^2)/4*(CY82*$W82*1000)/($H82*$B$5),(PI()*DC$12^2)/4*(CY82*$W82*1000)/($G82*$B$5)))),
IF($D82="Pressio.",
IF($E82=3,(PI()*DC$12^2)/4*(CY82*$W82*1000)/($H82*$B$5),(PI()*DC$12^2)/4*(CY82*$W82*1000)/($G82*$B$5)),
IF($D82="Pénétro.",
IF($E82=4,(PI()*DC$12^2)/4*(CY82*$W82*1000)/($H82*$B$5),(PI()*DC$12^2)/4*(CY82*$W82*1000)/($G82*$B$5))))))/10</f>
        <v>#N/A</v>
      </c>
      <c r="DD82" s="102" t="e">
        <f>(VLOOKUP($B$3,'Coeff EC7'!$T$39:$X$59,2,0)*DB82+VLOOKUP($B$3,'Coeff EC7'!$T$65:$X$85,2,0)*Model0.1C!DC82)/1.1</f>
        <v>#N/A</v>
      </c>
      <c r="DE82" s="102" t="e">
        <f>(VLOOKUP($B$3,'Coeff EC7'!$T$39:$X$59,3,0)*DB82+VLOOKUP($B$3,'Coeff EC7'!$T$65:$X$85,3,0)*Model0.1C!DC82)/0.9</f>
        <v>#N/A</v>
      </c>
      <c r="DF82" s="102" t="e">
        <f t="shared" si="186"/>
        <v>#N/A</v>
      </c>
      <c r="DG82" s="102" t="e">
        <f t="shared" si="187"/>
        <v>#N/A</v>
      </c>
      <c r="DH82" s="414" t="e">
        <f>IF(DH81=0,0,IF(AND(DD82&gt;charge_ELS_quasi,DE82&gt;Charge_ELS_freq,DF82&gt;charge_ELU,DG82&gt;charge_ELA,$B82&gt;NDC!$H$22-0.1+MIN(3*$DH$12,1.5)),0,1))</f>
        <v>#N/A</v>
      </c>
      <c r="DI82" s="86" t="b">
        <f t="shared" si="155"/>
        <v>0</v>
      </c>
      <c r="DJ82" s="86">
        <f t="shared" si="156"/>
        <v>0.5</v>
      </c>
      <c r="DK82" s="86">
        <f t="shared" si="157"/>
        <v>0.5</v>
      </c>
      <c r="DL82" s="30" t="e">
        <f t="shared" ca="1" si="188"/>
        <v>#DIV/0!</v>
      </c>
      <c r="DM82" s="85" t="e">
        <f ca="1">IF(CS82&lt;=Hypothèses!$V$7,Hypothèses!$W$7,IF(CS82&lt;=Hypothèses!$V$8,Hypothèses!$W$8,IF(CS82&lt;=Hypothèses!$V$9,Hypothèses!$W$9,IF(CS82&lt;=Hypothèses!$V$10,Hypothèses!$W$10,IF(CS82&lt;=Hypothèses!$V$11,Hypothèses!$W$11,IF(CS82&lt;=Hypothèses!$V$12,Hypothèses!$W$12,IF(CS82&lt;=Hypothèses!$V$13,Hypothèses!$W$13,IF(CS82&lt;=Hypothèses!$V$14,Hypothèses!$W$14,IF(CS82&lt;=Hypothèses!$V$15,Hypothèses!$W$15,IF(CS82&lt;=Hypothèses!$V$16,Hypothèses!$W$16,IF(CS82&lt;=Hypothèses!$V$17,Hypothèses!$W$17,IF(CS82&lt;=Hypothèses!$V$18,Hypothèses!$W$18,""))))))))))))</f>
        <v>#DIV/0!</v>
      </c>
      <c r="DN82" s="87" t="e">
        <f t="shared" ca="1" si="221"/>
        <v>#DIV/0!</v>
      </c>
      <c r="DO82" s="88" t="e">
        <f ca="1">IF(CS82&lt;=Hypothèses!$V$7,Hypothèses!$X$7,IF(CS82&lt;=Hypothèses!$V$8,Hypothèses!$X$8,IF(CS82&lt;=Hypothèses!$V$9,Hypothèses!$X$9,IF(CS82&lt;=Hypothèses!$V$10,Hypothèses!$X$10,IF(CS82&lt;=Hypothèses!$V$11,Hypothèses!$X$11,IF(CS82&lt;=Hypothèses!$V$12,Hypothèses!$X$12,IF(CS82&lt;=Hypothèses!$V$13,Hypothèses!$X$13,IF(CS82&lt;=Hypothèses!$V$14,Hypothèses!$X$14,IF(CS82&lt;=Hypothèses!$V$15,Hypothèses!$X$15,IF(CS82&lt;=Hypothèses!$V$16,Hypothèses!$X$16,IF(CS82&lt;=Hypothèses!$U$17,Hypothèses!$W$17,IF(CS82&lt;=Hypothèses!$U$18,Hypothèses!$W$18,""))))))))))))</f>
        <v>#DIV/0!</v>
      </c>
      <c r="DP82" s="95" t="e">
        <f t="shared" ca="1" si="189"/>
        <v>#DIV/0!</v>
      </c>
      <c r="DQ82" s="101" t="e">
        <f t="shared" ref="DQ82:DQ145" si="228">IF($I82=0,0,
IF(DP82&gt;5*DU$12,$I82,
IF($D82="Pressio.",1+($I82-1)*(DP82/DU$12)/5,
IF($D82="Pénétro.",IF($E82=1,0.3+($I82-0.3)*(DP82/DU$12)/5,
IF($E82=2,0.2+($I82-0.2)*(DP82/DU$12)/5,
IF($E82=3,0.1+($I82-0.1)*(DP82/DU$12)/5,
0.15+($I82-0.15)*(DP82/DU$12)/5)))))))</f>
        <v>#N/A</v>
      </c>
      <c r="DR82" s="91" t="e">
        <f t="shared" si="158"/>
        <v>#N/A</v>
      </c>
      <c r="DS82" s="30" t="e">
        <f t="shared" si="210"/>
        <v>#N/A</v>
      </c>
      <c r="DT82" s="30" t="e">
        <f t="shared" si="211"/>
        <v>#N/A</v>
      </c>
      <c r="DU82" s="31" t="e">
        <f>IF(OR(Hypothèses!$B$4=17,Hypothèses!$B$4=18,Hypothèses!$B$4=19,Hypothèses!$B$4=20),
IF($D82="Pressio.",
IF(OR($E82=3,$E82=1,$E82=4),DT82,DS82),
IF($D82="Pénétro.",
IF(OR($E82=3,$E82=1,$E82=4),DT82,DS82))),IF($D82="Pressio.",
IF($E82=3,DT82,DS82),
IF($D82="Pénétro.",
IF($E82=4,DT82,DS82))))</f>
        <v>#N/A</v>
      </c>
      <c r="DV82" s="31" t="e">
        <f>(IF(OR(Hypothèses!$B$4=17,Hypothèses!$B$4=18,Hypothèses!$B$4=19,Hypothèses!$B$4=20),
IF($D82="Pressio.",
IF(OR($E82=3,$E82=1,$E82=4),(PI()*DV$12^2)/4*(DR82*$W82*1000)/($H82*$B$5),(PI()*DV$12^2)/4*(DR82*$W82*1000)/($G82*$B$5)),
IF($D82="Pénétro.",
IF(OR($E82=4,$E82=1,$E82=5),(PI()*DV$12^2)/4*(DR82*$W82*1000)/($H82*$B$5),(PI()*DV$12^2)/4*(DR82*$W82*1000)/($G82*$B$5)))),
IF($D82="Pressio.",
IF($E82=3,(PI()*DV$12^2)/4*(DR82*$W82*1000)/($H82*$B$5),(PI()*DV$12^2)/4*(DR82*$W82*1000)/($G82*$B$5)),
IF($D82="Pénétro.",
IF($E82=4,(PI()*DV$12^2)/4*(DR82*$W82*1000)/($H82*$B$5),(PI()*DV$12^2)/4*(DR82*$W82*1000)/($G82*$B$5))))))/10</f>
        <v>#N/A</v>
      </c>
      <c r="DW82" s="102" t="e">
        <f>(VLOOKUP($B$3,'Coeff EC7'!$T$39:$X$59,2,0)*DU82+VLOOKUP($B$3,'Coeff EC7'!$T$65:$X$85,2,0)*Model0.1C!DV82)/1.1</f>
        <v>#N/A</v>
      </c>
      <c r="DX82" s="102" t="e">
        <f>(VLOOKUP($B$3,'Coeff EC7'!$T$39:$X$59,3,0)*DU82+VLOOKUP($B$3,'Coeff EC7'!$T$65:$X$85,3,0)*Model0.1C!DV82)/0.9</f>
        <v>#N/A</v>
      </c>
      <c r="DY82" s="102" t="e">
        <f t="shared" si="190"/>
        <v>#N/A</v>
      </c>
      <c r="DZ82" s="102" t="e">
        <f t="shared" si="191"/>
        <v>#N/A</v>
      </c>
      <c r="EA82" s="414" t="e">
        <f>IF(EA81=0,0,IF(AND(DW82&gt;charge_ELS_quasi,DX82&gt;Charge_ELS_freq,DY82&gt;charge_ELU,DZ82&gt;charge_ELA,$B82&gt;NDC!$H$22-0.1+MIN(3*$EA$12,1.5)),0,1))</f>
        <v>#N/A</v>
      </c>
      <c r="EB82" s="86" t="b">
        <f t="shared" si="159"/>
        <v>0</v>
      </c>
      <c r="EC82" s="418">
        <f t="shared" si="160"/>
        <v>0.51</v>
      </c>
      <c r="ED82" s="86">
        <f t="shared" si="161"/>
        <v>0.51</v>
      </c>
      <c r="EE82" s="30" t="e">
        <f t="shared" ca="1" si="192"/>
        <v>#DIV/0!</v>
      </c>
      <c r="EF82" s="85" t="e">
        <f ca="1">IF(DL82&lt;=Hypothèses!$V$7,Hypothèses!$W$7,IF(DL82&lt;=Hypothèses!$V$8,Hypothèses!$W$8,IF(DL82&lt;=Hypothèses!$V$9,Hypothèses!$W$9,IF(DL82&lt;=Hypothèses!$V$10,Hypothèses!$W$10,IF(DL82&lt;=Hypothèses!$V$11,Hypothèses!$W$11,IF(DL82&lt;=Hypothèses!$V$12,Hypothèses!$W$12,IF(DL82&lt;=Hypothèses!$V$13,Hypothèses!$W$13,IF(DL82&lt;=Hypothèses!$V$14,Hypothèses!$W$14,IF(DL82&lt;=Hypothèses!$V$15,Hypothèses!$W$15,IF(DL82&lt;=Hypothèses!$V$16,Hypothèses!$W$16,IF(DL82&lt;=Hypothèses!$V$17,Hypothèses!$W$17,IF(DL82&lt;=Hypothèses!$V$18,Hypothèses!$W$18,""))))))))))))</f>
        <v>#DIV/0!</v>
      </c>
      <c r="EG82" s="87" t="e">
        <f t="shared" ca="1" si="222"/>
        <v>#DIV/0!</v>
      </c>
      <c r="EH82" s="88" t="e">
        <f ca="1">IF(DL82&lt;=Hypothèses!$V$7,Hypothèses!$X$7,IF(DL82&lt;=Hypothèses!$V$8,Hypothèses!$X$8,IF(DL82&lt;=Hypothèses!$V$9,Hypothèses!$X$9,IF(DL82&lt;=Hypothèses!$V$10,Hypothèses!$X$10,IF(DL82&lt;=Hypothèses!$V$11,Hypothèses!$X$11,IF(DL82&lt;=Hypothèses!$V$12,Hypothèses!$X$12,IF(DL82&lt;=Hypothèses!$V$13,Hypothèses!$X$13,IF(DL82&lt;=Hypothèses!$V$14,Hypothèses!$X$14,IF(DL82&lt;=Hypothèses!$V$15,Hypothèses!$X$15,IF(DL82&lt;=Hypothèses!$V$16,Hypothèses!$X$16,IF(DL82&lt;=Hypothèses!$U$17,Hypothèses!$W$17,IF(DL82&lt;=Hypothèses!$U$18,Hypothèses!$W$18,""))))))))))))</f>
        <v>#DIV/0!</v>
      </c>
      <c r="EI82" s="95" t="e">
        <f t="shared" ca="1" si="193"/>
        <v>#DIV/0!</v>
      </c>
      <c r="EJ82" s="101" t="e">
        <f t="shared" ref="EJ82:EJ145" si="229">IF($I82=0,0,
IF(EI82&gt;5*EN$12,$I82,
IF($D82="Pressio.",1+($I82-1)*(EI82/EN$12)/5,
IF($D82="Pénétro.",IF($E82=1,0.3+($I82-0.3)*(EI82/EN$12)/5,
IF($E82=2,0.2+($I82-0.2)*(EI82/EN$12)/5,
IF($E82=3,0.1+($I82-0.1)*(EI82/EN$12)/5,
0.15+($I82-0.15)*(EI82/EN$12)/5)))))))</f>
        <v>#N/A</v>
      </c>
      <c r="EK82" s="91" t="e">
        <f t="shared" si="162"/>
        <v>#N/A</v>
      </c>
      <c r="EL82" s="30" t="e">
        <f t="shared" si="212"/>
        <v>#N/A</v>
      </c>
      <c r="EM82" s="30" t="e">
        <f t="shared" si="213"/>
        <v>#N/A</v>
      </c>
      <c r="EN82" s="31" t="e">
        <f>IF(OR(Hypothèses!$B$4=17,Hypothèses!$B$4=18,Hypothèses!$B$4=19,Hypothèses!$B$4=20),
IF($D82="Pressio.",
IF(OR($E82=3,$E82=1,$E82=4),EM82,EL82),
IF($D82="Pénétro.",
IF(OR($E82=3,$E82=1,$E82=4),EM82,EL82))),IF($D82="Pressio.",
IF($E82=3,EM82,EL82),
IF($D82="Pénétro.",
IF($E82=4,EM82,EL82))))</f>
        <v>#N/A</v>
      </c>
      <c r="EO82" s="31" t="e">
        <f>(IF(OR(Hypothèses!$B$4=17,Hypothèses!$B$4=18,Hypothèses!$B$4=19,Hypothèses!$B$4=20),
IF($D82="Pressio.",
IF(OR($E82=3,$E82=1,$E82=4),(PI()*EO$12^2)/4*(EK82*$W82*1000)/($H82*$B$5),(PI()*EO$12^2)/4*(EK82*$W82*1000)/($G82*$B$5)),
IF($D82="Pénétro.",
IF(OR($E82=4,$E82=1,$E82=5),(PI()*EO$12^2)/4*(EK82*$W82*1000)/($H82*$B$5),(PI()*EO$12^2)/4*(EK82*$W82*1000)/($G82*$B$5)))),
IF($D82="Pressio.",
IF($E82=3,(PI()*EO$12^2)/4*(EK82*$W82*1000)/($H82*$B$5),(PI()*EO$12^2)/4*(EK82*$W82*1000)/($G82*$B$5)),
IF($D82="Pénétro.",
IF($E82=4,(PI()*EO$12^2)/4*(EK82*$W82*1000)/($H82*$B$5),(PI()*EO$12^2)/4*(EK82*$W82*1000)/($G82*$B$5))))))/10</f>
        <v>#N/A</v>
      </c>
      <c r="EP82" s="102" t="e">
        <f>(VLOOKUP($B$3,'Coeff EC7'!$T$39:$X$59,2,0)*EN82+VLOOKUP($B$3,'Coeff EC7'!$T$65:$X$85,2,0)*Model0.1C!EO82)/1.1</f>
        <v>#N/A</v>
      </c>
      <c r="EQ82" s="102" t="e">
        <f>(VLOOKUP($B$3,'Coeff EC7'!$T$39:$X$59,3,0)*EN82+VLOOKUP($B$3,'Coeff EC7'!$T$65:$X$85,3,0)*Model0.1C!EO82)/0.9</f>
        <v>#N/A</v>
      </c>
      <c r="ER82" s="102" t="e">
        <f t="shared" si="194"/>
        <v>#N/A</v>
      </c>
      <c r="ES82" s="102" t="e">
        <f t="shared" si="195"/>
        <v>#N/A</v>
      </c>
      <c r="ET82" s="414" t="e">
        <f>IF(ET81=0,0,IF(AND(EP82&gt;charge_ELS_quasi,EQ82&gt;Charge_ELS_freq,ER82&gt;charge_ELU,ES82&gt;charge_ELA,$B82&gt;NDC!$H$22-0.1+MIN(3*$ET$12,1.5)),0,1))</f>
        <v>#N/A</v>
      </c>
      <c r="EU82" s="86" t="b">
        <f t="shared" si="163"/>
        <v>0</v>
      </c>
      <c r="EV82" s="86">
        <f t="shared" si="164"/>
        <v>0.61</v>
      </c>
      <c r="EW82" s="86">
        <f t="shared" si="165"/>
        <v>0.61</v>
      </c>
      <c r="EX82" s="30" t="e">
        <f t="shared" ca="1" si="196"/>
        <v>#DIV/0!</v>
      </c>
      <c r="EY82" s="85" t="e">
        <f ca="1">IF(EE82&lt;=Hypothèses!$V$7,Hypothèses!$W$7,IF(EE82&lt;=Hypothèses!$V$8,Hypothèses!$W$8,IF(EE82&lt;=Hypothèses!$V$9,Hypothèses!$W$9,IF(EE82&lt;=Hypothèses!$V$10,Hypothèses!$W$10,IF(EE82&lt;=Hypothèses!$V$11,Hypothèses!$W$11,IF(EE82&lt;=Hypothèses!$V$12,Hypothèses!$W$12,IF(EE82&lt;=Hypothèses!$V$13,Hypothèses!$W$13,IF(EE82&lt;=Hypothèses!$V$14,Hypothèses!$W$14,IF(EE82&lt;=Hypothèses!$V$15,Hypothèses!$W$15,IF(EE82&lt;=Hypothèses!$V$16,Hypothèses!$W$16,IF(EE82&lt;=Hypothèses!$V$17,Hypothèses!$W$17,IF(EE82&lt;=Hypothèses!$V$18,Hypothèses!$W$18,""))))))))))))</f>
        <v>#DIV/0!</v>
      </c>
      <c r="EZ82" s="87" t="e">
        <f t="shared" ca="1" si="223"/>
        <v>#DIV/0!</v>
      </c>
      <c r="FA82" s="88" t="e">
        <f ca="1">IF(EE82&lt;=Hypothèses!$V$7,Hypothèses!$X$7,IF(EE82&lt;=Hypothèses!$V$8,Hypothèses!$X$8,IF(EE82&lt;=Hypothèses!$V$9,Hypothèses!$X$9,IF(EE82&lt;=Hypothèses!$V$10,Hypothèses!$X$10,IF(EE82&lt;=Hypothèses!$V$11,Hypothèses!$X$11,IF(EE82&lt;=Hypothèses!$V$12,Hypothèses!$X$12,IF(EE82&lt;=Hypothèses!$V$13,Hypothèses!$X$13,IF(EE82&lt;=Hypothèses!$V$14,Hypothèses!$X$14,IF(EE82&lt;=Hypothèses!$V$15,Hypothèses!$X$15,IF(EE82&lt;=Hypothèses!$V$16,Hypothèses!$X$16,IF(EE82&lt;=Hypothèses!$U$17,Hypothèses!$W$17,IF(EE82&lt;=Hypothèses!$U$18,Hypothèses!$W$18,""))))))))))))</f>
        <v>#DIV/0!</v>
      </c>
      <c r="FB82" s="95" t="e">
        <f t="shared" ca="1" si="197"/>
        <v>#DIV/0!</v>
      </c>
      <c r="FC82" s="101" t="e">
        <f t="shared" ref="FC82:FC145" si="230">IF($I82=0,0,
IF(FB82&gt;5*FG$12,$I82,
IF($D82="Pressio.",1+($I82-1)*(FB82/FG$12)/5,
IF($D82="Pénétro.",IF($E82=1,0.3+($I82-0.3)*(FB82/FG$12)/5,
IF($E82=2,0.2+($I82-0.2)*(FB82/FG$12)/5,
IF($E82=3,0.1+($I82-0.1)*(FB82/FG$12)/5,
0.15+($I82-0.15)*(FB82/FG$12)/5)))))))</f>
        <v>#N/A</v>
      </c>
      <c r="FD82" s="91" t="e">
        <f t="shared" si="166"/>
        <v>#N/A</v>
      </c>
      <c r="FE82" s="30" t="e">
        <f t="shared" si="214"/>
        <v>#N/A</v>
      </c>
      <c r="FF82" s="30" t="e">
        <f t="shared" si="215"/>
        <v>#N/A</v>
      </c>
      <c r="FG82" s="31" t="e">
        <f>IF(OR(Hypothèses!$B$4=17,Hypothèses!$B$4=18,Hypothèses!$B$4=19,Hypothèses!$B$4=20),
IF($D82="Pressio.",
IF(OR($E82=3,$E82=1,$E82=4),FF82,FE82),
IF($D82="Pénétro.",
IF(OR($E82=3,$E82=1,$E82=4),FF82,FE82))),IF($D82="Pressio.",
IF($E82=3,FF82,FE82),
IF($D82="Pénétro.",
IF($E82=4,FF82,FE82))))</f>
        <v>#N/A</v>
      </c>
      <c r="FH82" s="31" t="e">
        <f>(IF(OR(Hypothèses!$B$4=17,Hypothèses!$B$4=18,Hypothèses!$B$4=19,Hypothèses!$B$4=20),
IF($D82="Pressio.",
IF(OR($E82=3,$E82=1,$E82=4),(PI()*FH$12^2)/4*(FD82*$W82*1000)/($H82*$B$5),(PI()*FH$12^2)/4*(FD82*$W82*1000)/($G82*$B$5)),
IF($D82="Pénétro.",
IF(OR($E82=4,$E82=1,$E82=5),(PI()*FH$12^2)/4*(FD82*$W82*1000)/($H82*$B$5),(PI()*FH$12^2)/4*(FD82*$W82*1000)/($G82*$B$5)))),
IF($D82="Pressio.",
IF($E82=3,(PI()*FH$12^2)/4*(FD82*$W82*1000)/($H82*$B$5),(PI()*FH$12^2)/4*(FD82*$W82*1000)/($G82*$B$5)),
IF($D82="Pénétro.",
IF($E82=4,(PI()*FH$12^2)/4*(FD82*$W82*1000)/($H82*$B$5),(PI()*FH$12^2)/4*(FD82*$W82*1000)/($G82*$B$5))))))/10</f>
        <v>#N/A</v>
      </c>
      <c r="FI82" s="102" t="e">
        <f>(VLOOKUP($B$3,'Coeff EC7'!$T$39:$X$59,2,0)*FG82+VLOOKUP($B$3,'Coeff EC7'!$T$65:$X$85,2,0)*Model0.1C!FH82)/1.1</f>
        <v>#N/A</v>
      </c>
      <c r="FJ82" s="102" t="e">
        <f>(VLOOKUP($B$3,'Coeff EC7'!$T$39:$X$59,3,0)*FG82+VLOOKUP($B$3,'Coeff EC7'!$T$65:$X$85,3,0)*Model0.1C!FH82)/0.9</f>
        <v>#N/A</v>
      </c>
      <c r="FK82" s="102" t="e">
        <f t="shared" si="198"/>
        <v>#N/A</v>
      </c>
      <c r="FL82" s="102" t="e">
        <f t="shared" si="199"/>
        <v>#N/A</v>
      </c>
      <c r="FM82" s="414" t="e">
        <f>IF(FM81=0,0,IF(AND(FI82&gt;charge_ELS_quasi,FJ82&gt;Charge_ELS_freq,FK82&gt;charge_ELU,FL82&gt;charge_ELA,$B82&gt;NDC!$H$22-0.1+MIN(3*$FM$12,1.5)),0,1))</f>
        <v>#N/A</v>
      </c>
    </row>
    <row r="83" spans="1:169">
      <c r="A83" s="96">
        <f t="shared" si="167"/>
        <v>93.000000000000398</v>
      </c>
      <c r="B83" s="97">
        <v>7</v>
      </c>
      <c r="C83" s="81">
        <f>IF(B83&lt;=Hypothèses!$C$7,Hypothèses!$A$7,IF(B83&lt;=Hypothèses!$C$8,Hypothèses!$A$8,IF(B83&lt;=Hypothèses!$C$9,Hypothèses!$A$9,IF(B83&lt;=Hypothèses!$C$10,Hypothèses!$A$10,IF(B83&lt;=Hypothèses!$C$11,Hypothèses!$A$11,IF(B83&lt;=Hypothèses!$C$12,Hypothèses!$A$12,IF(B83&lt;=Hypothèses!$C$13,Hypothèses!$A$13,IF(B83&lt;=Hypothèses!$C$14,Hypothèses!$A$14,IF(B83&lt;=Hypothèses!$C$15,Hypothèses!$A$15,IF(B83&lt;=Hypothèses!$C$16,Hypothèses!$A$16,IF(B83&lt;=Hypothèses!$C$17,Hypothèses!$A$17,IF(B83&lt;=Hypothèses!$C$18,Hypothèses!$A$18,C82))))))))))))</f>
        <v>11</v>
      </c>
      <c r="D83" s="82" t="str">
        <f>IF(B83&lt;=Hypothèses!$C$7,Hypothèses!$R$7,IF(B83&lt;=Hypothèses!$C$8,Hypothèses!$R$8,IF(B83&lt;=Hypothèses!$C$9,Hypothèses!$R$9,IF(B83&lt;=Hypothèses!$C$10,Hypothèses!$R$10,IF(B83&lt;=Hypothèses!$C$11,Hypothèses!$R$11,IF(B83&lt;=Hypothèses!$C$12,Hypothèses!$R$12,IF(B83&lt;=Hypothèses!$C$13,Hypothèses!$R$13,IF(B83&lt;=Hypothèses!$C$14,Hypothèses!$R$14,IF(B83&lt;=Hypothèses!$C$15,Hypothèses!$R$15,IF(B83&lt;=Hypothèses!$C$16,Hypothèses!$R$16,IF(B83&lt;=Hypothèses!$C$17,Hypothèses!$R$17,IF(B83&lt;=Hypothèses!$C$18,Hypothèses!$R$18,D82))))))))))))</f>
        <v>Pressio.</v>
      </c>
      <c r="E83" s="82" t="e">
        <f>IF(B83&lt;=Hypothèses!$C$7,Hypothèses!$G$7,IF(B83&lt;=Hypothèses!$C$8,Hypothèses!$G$8,IF(B83&lt;=Hypothèses!$C$9,Hypothèses!$G$9,IF(B83&lt;=Hypothèses!$C$10,Hypothèses!$G$10,IF(B83&lt;=Hypothèses!$C$11,Hypothèses!$G$11,IF(B83&lt;=Hypothèses!$C$12,Hypothèses!$G$12,IF(B83&lt;=Hypothèses!$C$13,Hypothèses!$G$13,IF(B83&lt;=Hypothèses!$C$14,Hypothèses!$G$14,IF(B83&lt;=Hypothèses!$C$15,Hypothèses!$G$15,IF(B83&lt;=Hypothèses!$C$16,Hypothèses!$G$16,IF(B83&lt;=Hypothèses!$C$17,Hypothèses!$G$17,IF(B83&lt;=Hypothèses!$C$18,Hypothèses!$G$18,E82))))))))))))</f>
        <v>#N/A</v>
      </c>
      <c r="F83" s="82" t="str">
        <f>IF(B83&lt;=Hypothèses!$C$7,Hypothèses!$F$7,IF(B83&lt;=Hypothèses!$C$8,Hypothèses!$F$8,IF(B83&lt;=Hypothèses!$C$9,Hypothèses!$F$9,IF(B83&lt;=Hypothèses!$C$10,Hypothèses!$F$10,IF(B83&lt;=Hypothèses!$C$11,Hypothèses!$F$11,IF(B83&lt;=Hypothèses!$C$12,Hypothèses!$F$12,IF(B83&lt;=Hypothèses!$C$13,Hypothèses!$F$13,IF(B83&lt;=Hypothèses!$C$14,Hypothèses!$F$14,IF(B83&lt;=Hypothèses!$C$15,Hypothèses!$F$15,IF(B83&lt;=Hypothèses!$C$16,Hypothèses!$F$16,IF(B83&lt;=Hypothèses!$C$17,Hypothèses!$F$17,IF(B83&lt;=Hypothèses!$C$18,Hypothèses!$F$18,F82))))))))))))</f>
        <v/>
      </c>
      <c r="G83" s="91">
        <f t="array" ref="G83">INDEX('Coeff EC7'!$U$7:$X$27,
MATCH(Model0.1C!$B$3,'Coeff EC7'!$T$7:$T$27,0),
MATCH(Model0.1C!$D83&amp;Model0.1C!$B$4,
'Coeff EC7'!$U$6:$X$6&amp;
'Coeff EC7'!$U$5:$X$5,0))</f>
        <v>1.1499999999999999</v>
      </c>
      <c r="H83" s="91">
        <f t="array" ref="H83">INDEX('Coeff EC7'!$Y$7:$AB$27,
MATCH(Model0.1C!$B$3,'Coeff EC7'!$T$7:$T$27,0),
MATCH(Model0.1C!$D83&amp;Model0.1C!$B$4,
'Coeff EC7'!$Y$6:$AB$6&amp;
'Coeff EC7'!$Y$5:$AB$5,0))</f>
        <v>1.4</v>
      </c>
      <c r="I83" s="83" t="e">
        <f>IF(B83&lt;=Hypothèses!$C$7,Hypothèses!$P$7,IF(B83&lt;=Hypothèses!$C$8,Hypothèses!$P$8,IF(B83&lt;=Hypothèses!$C$9,Hypothèses!$P$9,IF(B83&lt;=Hypothèses!$C$10,Hypothèses!$P$10,IF(B83&lt;=Hypothèses!$C$11,Hypothèses!$P$11,IF(B83&lt;=Hypothèses!$C$12,Hypothèses!$P$12,IF(B83&lt;=Hypothèses!$C$13,Hypothèses!$P$13,IF(B83&lt;=Hypothèses!$C$14,Hypothèses!$P$14,IF(B83&lt;=Hypothèses!$C$15,Hypothèses!$P$15,IF(B83&lt;=Hypothèses!$C$16,Hypothèses!$P$16,IF(B83&lt;=Hypothèses!$C$17,Hypothèses!$P$17,IF(B83&lt;=Hypothèses!$C$18,Hypothèses!$P$18,I82))))))))))))</f>
        <v>#N/A</v>
      </c>
      <c r="J83" s="91" t="e">
        <f t="array" ref="J83">INDEX('Coeff EC7'!$D$33:$Q$33,1,MATCH(D83&amp;E83,'Coeff EC7'!$D$31:$Q$31&amp;'Coeff EC7'!$D$32:$Q$32,0))</f>
        <v>#N/A</v>
      </c>
      <c r="K83" s="91" t="e">
        <f t="array" ref="K83">INDEX('Coeff EC7'!$D$34:$Q$34,1,MATCH(D83&amp;E83,'Coeff EC7'!$D$31:$Q$31&amp;'Coeff EC7'!$D$32:$Q$32,0))</f>
        <v>#N/A</v>
      </c>
      <c r="L83" s="91" t="e">
        <f t="array" ref="L83">INDEX('Coeff EC7'!$D$35:$Q$35,1,MATCH(D83&amp;E83,'Coeff EC7'!$D$31:$Q$31&amp;'Coeff EC7'!$D$32:$Q$32,0))</f>
        <v>#N/A</v>
      </c>
      <c r="M83" s="98" t="e">
        <f t="shared" si="131"/>
        <v>#N/A</v>
      </c>
      <c r="N83" s="99" t="e">
        <f t="array" ref="N83">INDEX('Coeff EC7'!$D$7:$Q$27,MATCH($B$3,'Coeff EC7'!$C$7:$C$27,0),MATCH(D83&amp;E83,'Coeff EC7'!$D$5:$Q$5&amp;'Coeff EC7'!$D$6:$Q$6,0))</f>
        <v>#N/A</v>
      </c>
      <c r="O83" s="99" t="e">
        <f t="array" ref="O83">INDEX('Coeff EC7'!$D$41:$Q$61,MATCH($B$3,'Coeff EC7'!$C$41:$C$61,0),MATCH(D83&amp;E83,'Coeff EC7'!$D$39:$Q$39&amp;'Coeff EC7'!$D$40:$Q$40,0))</f>
        <v>#N/A</v>
      </c>
      <c r="P83" s="30" t="e">
        <f t="shared" si="168"/>
        <v>#N/A</v>
      </c>
      <c r="Q83" s="100" t="e">
        <f t="shared" si="133"/>
        <v>#N/A</v>
      </c>
      <c r="R83" s="86" t="b">
        <f t="shared" si="134"/>
        <v>0</v>
      </c>
      <c r="S83" s="86">
        <f t="shared" si="132"/>
        <v>0.5</v>
      </c>
      <c r="T83" s="86">
        <f t="shared" si="135"/>
        <v>0.5</v>
      </c>
      <c r="U83" s="30" t="e">
        <f t="shared" ca="1" si="169"/>
        <v>#DIV/0!</v>
      </c>
      <c r="V83" s="85" t="str">
        <f>IF(B83&lt;=Hypothèses!$V$7,Hypothèses!$W$7,IF(B83&lt;=Hypothèses!$V$8,Hypothèses!$W$8,IF(B83&lt;=Hypothèses!$V$9,Hypothèses!$W$9,IF(B83&lt;=Hypothèses!$V$10,Hypothèses!$W$10,IF(B83&lt;=Hypothèses!$V$11,Hypothèses!$W$11,IF(B83&lt;=Hypothèses!$V$12,Hypothèses!$W$12,IF(B83&lt;=Hypothèses!$V$13,Hypothèses!$W$13,IF(B83&lt;=Hypothèses!$V$14,Hypothèses!$W$14,IF(B83&lt;=Hypothèses!$V$15,Hypothèses!$W$15,IF(B83&lt;=Hypothèses!$V$16,Hypothèses!$W$16,IF(B83&lt;=Hypothèses!$V$17,Hypothèses!$W$17,IF(B83&lt;=Hypothèses!$V$18,Hypothèses!$W$18,""))))))))))))</f>
        <v/>
      </c>
      <c r="W83" s="87" t="e">
        <f t="shared" ca="1" si="216"/>
        <v>#DIV/0!</v>
      </c>
      <c r="X83" s="88" t="str">
        <f>IF(B83&lt;=Hypothèses!$V$7,Hypothèses!$X$7,IF(B83&lt;=Hypothèses!$V$8,Hypothèses!$X$8,IF(B83&lt;=Hypothèses!$V$9,Hypothèses!$X$9,IF(B83&lt;=Hypothèses!$V$10,Hypothèses!$X$10,IF(B83&lt;=Hypothèses!$V$11,Hypothèses!$X$11,IF(B83&lt;=Hypothèses!$V$12,Hypothèses!$X$12,IF(B83&lt;=Hypothèses!$V$13,Hypothèses!$X$13,IF(B83&lt;=Hypothèses!$V$14,Hypothèses!$X$14,IF(B83&lt;=Hypothèses!$V$15,Hypothèses!$X$15,IF(B83&lt;=Hypothèses!$V$16,Hypothèses!$X$16,IF(B83&lt;=Hypothèses!$U$17,Hypothèses!$W$17,IF(B83&lt;=Hypothèses!$U$18,Hypothèses!$W$18,""))))))))))))</f>
        <v/>
      </c>
      <c r="Y83" s="95" t="e">
        <f t="shared" ca="1" si="136"/>
        <v>#DIV/0!</v>
      </c>
      <c r="Z83" s="101" t="e">
        <f t="shared" si="137"/>
        <v>#N/A</v>
      </c>
      <c r="AA83" s="91" t="e">
        <f t="shared" si="138"/>
        <v>#N/A</v>
      </c>
      <c r="AB83" s="30" t="e">
        <f t="shared" si="200"/>
        <v>#N/A</v>
      </c>
      <c r="AC83" s="30" t="e">
        <f t="shared" si="201"/>
        <v>#N/A</v>
      </c>
      <c r="AD83" s="31" t="e">
        <f>IF(OR(Hypothèses!$B$4=17,Hypothèses!$B$4=18,Hypothèses!$B$4=19,Hypothèses!$B$4=20),
IF($D83="Pressio.",
IF(OR($E83=3,$E83=1,$E83=4),AC83,AB83),
IF($D83="Pénétro.",
IF(OR($E83=3,$E83=1,$E83=4),AC83,AB83))),IF($D83="Pressio.",
IF($E83=3,AC83,AB83),
IF($D83="Pénétro.",
IF($E83=4,AC83,AB83))))</f>
        <v>#N/A</v>
      </c>
      <c r="AE83" s="31" t="e">
        <f>(IF(OR(Hypothèses!$B$4=17,Hypothèses!$B$4=18,Hypothèses!$B$4=19,Hypothèses!$B$4=20),
IF($D83="Pressio.",
IF(OR($E83=3,$E83=1,$E83=4),(PI()*AE$12^2)/4*(AA83*$W83*1000)/($H83*$B$5),(PI()*AE$12^2)/4*(AA83*$W83*1000)/($G83*$B$5)),
IF($D83="Pénétro.",
IF(OR($E83=4,$E83=1,$E83=5),(PI()*AE$12^2)/4*(AA83*$W83*1000)/($H83*$B$5),(PI()*AE$12^2)/4*(AA83*$W83*1000)/($G83*$B$5)))),
IF($D83="Pressio.",
IF($E83=3,(PI()*AE$12^2)/4*(AA83*$W83*1000)/($H83*$B$5),(PI()*AE$12^2)/4*(AA83*$W83*1000)/($G83*$B$5)),
IF($D83="Pénétro.",
IF($E83=4,(PI()*AE$12^2)/4*(AA83*$W83*1000)/($H83*$B$5),(PI()*AE$12^2)/4*(AA83*$W83*1000)/($G83*$B$5))))))/10</f>
        <v>#N/A</v>
      </c>
      <c r="AF83" s="102" t="e">
        <f>(VLOOKUP($B$3,'Coeff EC7'!$T$39:$X$59,2,0)*AD83+VLOOKUP($B$3,'Coeff EC7'!$T$65:$X$85,2,0)*Model0.1C!AE83)/1.1</f>
        <v>#N/A</v>
      </c>
      <c r="AG83" s="102" t="e">
        <f>(VLOOKUP($B$3,'Coeff EC7'!$T$39:$X$59,3,0)*AD83+VLOOKUP($B$3,'Coeff EC7'!$T$65:$X$85,3,0)*Model0.1C!AE83)/0.9</f>
        <v>#N/A</v>
      </c>
      <c r="AH83" s="102" t="e">
        <f t="shared" si="139"/>
        <v>#N/A</v>
      </c>
      <c r="AI83" s="102" t="e">
        <f t="shared" si="140"/>
        <v>#N/A</v>
      </c>
      <c r="AJ83" s="414" t="e">
        <f>IF(AJ82=0,0,IF(AND(AF83&gt;charge_ELS_quasi,AG83&gt;Charge_ELS_freq,AH83&gt;charge_ELU,AI83&gt;charge_ELA,$B83&gt;NDC!$H$22-0.1+MIN(3*$AJ$12,1.5)),0,1))</f>
        <v>#N/A</v>
      </c>
      <c r="AK83" s="86" t="b">
        <f t="shared" si="141"/>
        <v>0</v>
      </c>
      <c r="AL83" s="86">
        <f t="shared" si="170"/>
        <v>0.5</v>
      </c>
      <c r="AM83" s="86">
        <f t="shared" si="142"/>
        <v>0.5</v>
      </c>
      <c r="AN83" s="30" t="e">
        <f t="shared" ca="1" si="171"/>
        <v>#DIV/0!</v>
      </c>
      <c r="AO83" s="85" t="e">
        <f ca="1">IF(U83&lt;=Hypothèses!$V$7,Hypothèses!$W$7,IF(U83&lt;=Hypothèses!$V$8,Hypothèses!$W$8,IF(U83&lt;=Hypothèses!$V$9,Hypothèses!$W$9,IF(U83&lt;=Hypothèses!$V$10,Hypothèses!$W$10,IF(U83&lt;=Hypothèses!$V$11,Hypothèses!$W$11,IF(U83&lt;=Hypothèses!$V$12,Hypothèses!$W$12,IF(U83&lt;=Hypothèses!$V$13,Hypothèses!$W$13,IF(U83&lt;=Hypothèses!$V$14,Hypothèses!$W$14,IF(U83&lt;=Hypothèses!$V$15,Hypothèses!$W$15,IF(U83&lt;=Hypothèses!$V$16,Hypothèses!$W$16,IF(U83&lt;=Hypothèses!$V$17,Hypothèses!$W$17,IF(U83&lt;=Hypothèses!$V$18,Hypothèses!$W$18,""))))))))))))</f>
        <v>#DIV/0!</v>
      </c>
      <c r="AP83" s="87" t="e">
        <f t="shared" ca="1" si="217"/>
        <v>#DIV/0!</v>
      </c>
      <c r="AQ83" s="88" t="e">
        <f ca="1">IF(U83&lt;=Hypothèses!$V$7,Hypothèses!$X$7,IF(U83&lt;=Hypothèses!$V$8,Hypothèses!$X$8,IF(U83&lt;=Hypothèses!$V$9,Hypothèses!$X$9,IF(U83&lt;=Hypothèses!$V$10,Hypothèses!$X$10,IF(U83&lt;=Hypothèses!$V$11,Hypothèses!$X$11,IF(U83&lt;=Hypothèses!$V$12,Hypothèses!$X$12,IF(U83&lt;=Hypothèses!$V$13,Hypothèses!$X$13,IF(U83&lt;=Hypothèses!$V$14,Hypothèses!$X$14,IF(U83&lt;=Hypothèses!$V$15,Hypothèses!$X$15,IF(U83&lt;=Hypothèses!$V$16,Hypothèses!$X$16,IF(U83&lt;=Hypothèses!$U$17,Hypothèses!$W$17,IF(U83&lt;=Hypothèses!$U$18,Hypothèses!$W$18,""))))))))))))</f>
        <v>#DIV/0!</v>
      </c>
      <c r="AR83" s="95" t="e">
        <f t="shared" ca="1" si="172"/>
        <v>#DIV/0!</v>
      </c>
      <c r="AS83" s="101" t="e">
        <f t="shared" si="224"/>
        <v>#N/A</v>
      </c>
      <c r="AT83" s="91" t="e">
        <f t="shared" si="143"/>
        <v>#N/A</v>
      </c>
      <c r="AU83" s="30" t="e">
        <f t="shared" si="202"/>
        <v>#N/A</v>
      </c>
      <c r="AV83" s="30" t="e">
        <f t="shared" si="203"/>
        <v>#N/A</v>
      </c>
      <c r="AW83" s="31" t="e">
        <f>IF(OR(Hypothèses!$B$4=17,Hypothèses!$B$4=18,Hypothèses!$B$4=19,Hypothèses!$B$4=20),
IF($D83="Pressio.",
IF(OR($E83=3,$E83=1,$E83=4),AV83,AU83),
IF($D83="Pénétro.",
IF(OR($E83=3,$E83=1,$E83=4),AV83,AU83))),IF($D83="Pressio.",
IF($E83=3,AV83,AU83),
IF($D83="Pénétro.",
IF($E83=4,AV83,AU83))))</f>
        <v>#N/A</v>
      </c>
      <c r="AX83" s="31" t="e">
        <f>(IF(OR(Hypothèses!$B$4=17,Hypothèses!$B$4=18,Hypothèses!$B$4=19,Hypothèses!$B$4=20),
IF($D83="Pressio.",
IF(OR($E83=3,$E83=1,$E83=4),(PI()*AX$12^2)/4*(AT83*$W83*1000)/($H83*$B$5),(PI()*AX$12^2)/4*(AT83*$W83*1000)/($G83*$B$5)),
IF($D83="Pénétro.",
IF(OR($E83=4,$E83=1,$E83=5),(PI()*AX$12^2)/4*(AT83*$W83*1000)/($H83*$B$5),(PI()*AX$12^2)/4*(AT83*$W83*1000)/($G83*$B$5)))),
IF($D83="Pressio.",
IF($E83=3,(PI()*AX$12^2)/4*(AT83*$W83*1000)/($H83*$B$5),(PI()*AX$12^2)/4*(AT83*$W83*1000)/($G83*$B$5)),
IF($D83="Pénétro.",
IF($E83=4,(PI()*AX$12^2)/4*(AT83*$W83*1000)/($H83*$B$5),(PI()*AX$12^2)/4*(AT83*$W83*1000)/($G83*$B$5))))))/10</f>
        <v>#N/A</v>
      </c>
      <c r="AY83" s="102" t="e">
        <f>(VLOOKUP($B$3,'Coeff EC7'!$T$39:$X$59,2,0)*AW83+VLOOKUP($B$3,'Coeff EC7'!$T$65:$X$85,2,0)*Model0.1C!AX83)/1.1</f>
        <v>#N/A</v>
      </c>
      <c r="AZ83" s="102" t="e">
        <f>(VLOOKUP($B$3,'Coeff EC7'!$T$39:$X$59,3,0)*AW83+VLOOKUP($B$3,'Coeff EC7'!$T$65:$X$85,3,0)*Model0.1C!AX83)/0.9</f>
        <v>#N/A</v>
      </c>
      <c r="BA83" s="102" t="e">
        <f t="shared" si="173"/>
        <v>#N/A</v>
      </c>
      <c r="BB83" s="102" t="e">
        <f t="shared" si="174"/>
        <v>#N/A</v>
      </c>
      <c r="BC83" s="414" t="e">
        <f>IF(BC82=0,0,IF(AND(AY83&gt;charge_ELS_quasi,AZ83&gt;Charge_ELS_freq,BA83&gt;charge_ELU,BB83&gt;charge_ELA,$B83&gt;NDC!$H$22-0.1+MIN(3*$BC$12,1.5)),0,1))</f>
        <v>#N/A</v>
      </c>
      <c r="BD83" s="86" t="b">
        <f t="shared" si="144"/>
        <v>0</v>
      </c>
      <c r="BE83" s="86">
        <f t="shared" si="175"/>
        <v>0.5</v>
      </c>
      <c r="BF83" s="86">
        <f t="shared" si="145"/>
        <v>0.5</v>
      </c>
      <c r="BG83" s="30" t="e">
        <f t="shared" ca="1" si="176"/>
        <v>#DIV/0!</v>
      </c>
      <c r="BH83" s="85" t="e">
        <f ca="1">IF(AN83&lt;=Hypothèses!$V$7,Hypothèses!$W$7,IF(AN83&lt;=Hypothèses!$V$8,Hypothèses!$W$8,IF(AN83&lt;=Hypothèses!$V$9,Hypothèses!$W$9,IF(AN83&lt;=Hypothèses!$V$10,Hypothèses!$W$10,IF(AN83&lt;=Hypothèses!$V$11,Hypothèses!$W$11,IF(AN83&lt;=Hypothèses!$V$12,Hypothèses!$W$12,IF(AN83&lt;=Hypothèses!$V$13,Hypothèses!$W$13,IF(AN83&lt;=Hypothèses!$V$14,Hypothèses!$W$14,IF(AN83&lt;=Hypothèses!$V$15,Hypothèses!$W$15,IF(AN83&lt;=Hypothèses!$V$16,Hypothèses!$W$16,IF(AN83&lt;=Hypothèses!$V$17,Hypothèses!$W$17,IF(AN83&lt;=Hypothèses!$V$18,Hypothèses!$W$18,""))))))))))))</f>
        <v>#DIV/0!</v>
      </c>
      <c r="BI83" s="87" t="e">
        <f t="shared" ca="1" si="218"/>
        <v>#DIV/0!</v>
      </c>
      <c r="BJ83" s="88" t="e">
        <f ca="1">IF(AN83&lt;=Hypothèses!$V$7,Hypothèses!$X$7,IF(AN83&lt;=Hypothèses!$V$8,Hypothèses!$X$8,IF(AN83&lt;=Hypothèses!$V$9,Hypothèses!$X$9,IF(AN83&lt;=Hypothèses!$V$10,Hypothèses!$X$10,IF(AN83&lt;=Hypothèses!$V$11,Hypothèses!$X$11,IF(AN83&lt;=Hypothèses!$V$12,Hypothèses!$X$12,IF(AN83&lt;=Hypothèses!$V$13,Hypothèses!$X$13,IF(AN83&lt;=Hypothèses!$V$14,Hypothèses!$X$14,IF(AN83&lt;=Hypothèses!$V$15,Hypothèses!$X$15,IF(AN83&lt;=Hypothèses!$V$16,Hypothèses!$X$16,IF(AN83&lt;=Hypothèses!$U$17,Hypothèses!$W$17,IF(AN83&lt;=Hypothèses!$U$18,Hypothèses!$W$18,""))))))))))))</f>
        <v>#DIV/0!</v>
      </c>
      <c r="BK83" s="95" t="e">
        <f t="shared" ca="1" si="177"/>
        <v>#DIV/0!</v>
      </c>
      <c r="BL83" s="101" t="e">
        <f t="shared" si="225"/>
        <v>#N/A</v>
      </c>
      <c r="BM83" s="91" t="e">
        <f t="shared" si="146"/>
        <v>#N/A</v>
      </c>
      <c r="BN83" s="30" t="e">
        <f t="shared" si="204"/>
        <v>#N/A</v>
      </c>
      <c r="BO83" s="30" t="e">
        <f t="shared" si="205"/>
        <v>#N/A</v>
      </c>
      <c r="BP83" s="31" t="e">
        <f>IF(OR(Hypothèses!$B$4=17,Hypothèses!$B$4=18,Hypothèses!$B$4=19,Hypothèses!$B$4=20),
IF($D83="Pressio.",
IF(OR($E83=3,$E83=1,$E83=4),BO83,BN83),
IF($D83="Pénétro.",
IF(OR($E83=3,$E83=1,$E83=4),BO83,BN83))),IF($D83="Pressio.",
IF($E83=3,BO83,BN83),
IF($D83="Pénétro.",
IF($E83=4,BO83,BN83))))</f>
        <v>#N/A</v>
      </c>
      <c r="BQ83" s="31" t="e">
        <f>(IF(OR(Hypothèses!$B$4=17,Hypothèses!$B$4=18,Hypothèses!$B$4=19,Hypothèses!$B$4=20),
IF($D83="Pressio.",
IF(OR($E83=3,$E83=1,$E83=4),(PI()*BQ$12^2)/4*(BM83*$W83*1000)/($H83*$B$5),(PI()*BQ$12^2)/4*(BM83*$W83*1000)/($G83*$B$5)),
IF($D83="Pénétro.",
IF(OR($E83=4,$E83=1,$E83=5),(PI()*BQ$12^2)/4*(BM83*$W83*1000)/($H83*$B$5),(PI()*BQ$12^2)/4*(BM83*$W83*1000)/($G83*$B$5)))),
IF($D83="Pressio.",
IF($E83=3,(PI()*BQ$12^2)/4*(BM83*$W83*1000)/($H83*$B$5),(PI()*BQ$12^2)/4*(BM83*$W83*1000)/($G83*$B$5)),
IF($D83="Pénétro.",
IF($E83=4,(PI()*BQ$12^2)/4*(BM83*$W83*1000)/($H83*$B$5),(PI()*BQ$12^2)/4*(BM83*$W83*1000)/($G83*$B$5))))))/10</f>
        <v>#N/A</v>
      </c>
      <c r="BR83" s="102" t="e">
        <f>(VLOOKUP($B$3,'Coeff EC7'!$T$39:$X$59,2,0)*BP83+VLOOKUP($B$3,'Coeff EC7'!$T$65:$X$85,2,0)*Model0.1C!BQ83)/1.1</f>
        <v>#N/A</v>
      </c>
      <c r="BS83" s="102" t="e">
        <f>(VLOOKUP($B$3,'Coeff EC7'!$T$39:$X$59,3,0)*BP83+VLOOKUP($B$3,'Coeff EC7'!$T$65:$X$85,3,0)*Model0.1C!BQ83)/0.9</f>
        <v>#N/A</v>
      </c>
      <c r="BT83" s="102" t="e">
        <f t="shared" si="178"/>
        <v>#N/A</v>
      </c>
      <c r="BU83" s="102" t="e">
        <f t="shared" si="179"/>
        <v>#N/A</v>
      </c>
      <c r="BV83" s="414" t="e">
        <f>IF(BV82=0,0,IF(AND(BR83&gt;charge_ELS_quasi,BS83&gt;Charge_ELS_freq,BT83&gt;charge_ELU,BU83&gt;charge_ELA,$B83&gt;NDC!$H$22-0.1+MIN(3*$BV$12,1.5)),0,1))</f>
        <v>#N/A</v>
      </c>
      <c r="BW83" s="86" t="b">
        <f t="shared" si="147"/>
        <v>0</v>
      </c>
      <c r="BX83" s="86">
        <f t="shared" si="148"/>
        <v>0.5</v>
      </c>
      <c r="BY83" s="86">
        <f t="shared" si="149"/>
        <v>0.5</v>
      </c>
      <c r="BZ83" s="30" t="e">
        <f t="shared" ca="1" si="180"/>
        <v>#DIV/0!</v>
      </c>
      <c r="CA83" s="85" t="e">
        <f ca="1">IF(BG83&lt;=Hypothèses!$V$7,Hypothèses!$W$7,IF(BG83&lt;=Hypothèses!$V$8,Hypothèses!$W$8,IF(BG83&lt;=Hypothèses!$V$9,Hypothèses!$W$9,IF(BG83&lt;=Hypothèses!$V$10,Hypothèses!$W$10,IF(BG83&lt;=Hypothèses!$V$11,Hypothèses!$W$11,IF(BG83&lt;=Hypothèses!$V$12,Hypothèses!$W$12,IF(BG83&lt;=Hypothèses!$V$13,Hypothèses!$W$13,IF(BG83&lt;=Hypothèses!$V$14,Hypothèses!$W$14,IF(BG83&lt;=Hypothèses!$V$15,Hypothèses!$W$15,IF(BG83&lt;=Hypothèses!$V$16,Hypothèses!$W$16,IF(BG83&lt;=Hypothèses!$V$17,Hypothèses!$W$17,IF(BG83&lt;=Hypothèses!$V$18,Hypothèses!$W$18,""))))))))))))</f>
        <v>#DIV/0!</v>
      </c>
      <c r="CB83" s="87" t="e">
        <f t="shared" ca="1" si="219"/>
        <v>#DIV/0!</v>
      </c>
      <c r="CC83" s="88" t="e">
        <f ca="1">IF(BG83&lt;=Hypothèses!$V$7,Hypothèses!$X$7,IF(BG83&lt;=Hypothèses!$V$8,Hypothèses!$X$8,IF(BG83&lt;=Hypothèses!$V$9,Hypothèses!$X$9,IF(BG83&lt;=Hypothèses!$V$10,Hypothèses!$X$10,IF(BG83&lt;=Hypothèses!$V$11,Hypothèses!$X$11,IF(BG83&lt;=Hypothèses!$V$12,Hypothèses!$X$12,IF(BG83&lt;=Hypothèses!$V$13,Hypothèses!$X$13,IF(BG83&lt;=Hypothèses!$V$14,Hypothèses!$X$14,IF(BG83&lt;=Hypothèses!$V$15,Hypothèses!$X$15,IF(BG83&lt;=Hypothèses!$V$16,Hypothèses!$X$16,IF(BG83&lt;=Hypothèses!$U$17,Hypothèses!$W$17,IF(BG83&lt;=Hypothèses!$U$18,Hypothèses!$W$18,""))))))))))))</f>
        <v>#DIV/0!</v>
      </c>
      <c r="CD83" s="95" t="e">
        <f t="shared" ca="1" si="181"/>
        <v>#DIV/0!</v>
      </c>
      <c r="CE83" s="101" t="e">
        <f t="shared" si="226"/>
        <v>#N/A</v>
      </c>
      <c r="CF83" s="91" t="e">
        <f t="shared" si="150"/>
        <v>#N/A</v>
      </c>
      <c r="CG83" s="30" t="e">
        <f t="shared" si="206"/>
        <v>#N/A</v>
      </c>
      <c r="CH83" s="30" t="e">
        <f t="shared" si="207"/>
        <v>#N/A</v>
      </c>
      <c r="CI83" s="31" t="e">
        <f>IF(OR(Hypothèses!$B$4=17,Hypothèses!$B$4=18,Hypothèses!$B$4=19,Hypothèses!$B$4=20),
IF($D83="Pressio.",
IF(OR($E83=3,$E83=1,$E83=4),CH83,CG83),
IF($D83="Pénétro.",
IF(OR($E83=3,$E83=1,$E83=4),CH83,CG83))),IF($D83="Pressio.",
IF($E83=3,CH83,CG83),
IF($D83="Pénétro.",
IF($E83=4,CH83,CG83))))</f>
        <v>#N/A</v>
      </c>
      <c r="CJ83" s="31" t="e">
        <f>(IF(OR(Hypothèses!$B$4=17,Hypothèses!$B$4=18,Hypothèses!$B$4=19,Hypothèses!$B$4=20),
IF($D83="Pressio.",
IF(OR($E83=3,$E83=1,$E83=4),(PI()*CJ$12^2)/4*(CF83*$W83*1000)/($H83*$B$5),(PI()*CJ$12^2)/4*(CF83*$W83*1000)/($G83*$B$5)),
IF($D83="Pénétro.",
IF(OR($E83=4,$E83=1,$E83=5),(PI()*CJ$12^2)/4*(CF83*$W83*1000)/($H83*$B$5),(PI()*CJ$12^2)/4*(CF83*$W83*1000)/($G83*$B$5)))),
IF($D83="Pressio.",
IF($E83=3,(PI()*CJ$12^2)/4*(CF83*$W83*1000)/($H83*$B$5),(PI()*CJ$12^2)/4*(CF83*$W83*1000)/($G83*$B$5)),
IF($D83="Pénétro.",
IF($E83=4,(PI()*CJ$12^2)/4*(CF83*$W83*1000)/($H83*$B$5),(PI()*CJ$12^2)/4*(CF83*$W83*1000)/($G83*$B$5))))))/10</f>
        <v>#N/A</v>
      </c>
      <c r="CK83" s="102" t="e">
        <f>(VLOOKUP($B$3,'Coeff EC7'!$T$39:$X$59,2,0)*CI83+VLOOKUP($B$3,'Coeff EC7'!$T$65:$X$85,2,0)*Model0.1C!CJ83)/1.1</f>
        <v>#N/A</v>
      </c>
      <c r="CL83" s="102" t="e">
        <f>(VLOOKUP($B$3,'Coeff EC7'!$T$39:$X$59,3,0)*CI83+VLOOKUP($B$3,'Coeff EC7'!$T$65:$X$85,3,0)*Model0.1C!CJ83)/0.9</f>
        <v>#N/A</v>
      </c>
      <c r="CM83" s="102" t="e">
        <f t="shared" si="182"/>
        <v>#N/A</v>
      </c>
      <c r="CN83" s="102" t="e">
        <f t="shared" si="183"/>
        <v>#N/A</v>
      </c>
      <c r="CO83" s="414" t="e">
        <f>IF(CO82=0,0,IF(AND(CK83&gt;charge_ELS_quasi,CL83&gt;Charge_ELS_freq,CM83&gt;charge_ELU,CN83&gt;charge_ELA,$B83&gt;NDC!$H$22-0.1+MIN(3*$CO$12,1.5)),0,1))</f>
        <v>#N/A</v>
      </c>
      <c r="CP83" s="86" t="b">
        <f t="shared" si="151"/>
        <v>0</v>
      </c>
      <c r="CQ83" s="86">
        <f t="shared" si="152"/>
        <v>0.5</v>
      </c>
      <c r="CR83" s="86">
        <f t="shared" si="153"/>
        <v>0.5</v>
      </c>
      <c r="CS83" s="30" t="e">
        <f t="shared" ca="1" si="184"/>
        <v>#DIV/0!</v>
      </c>
      <c r="CT83" s="85" t="e">
        <f ca="1">IF(BZ83&lt;=Hypothèses!$V$7,Hypothèses!$W$7,IF(BZ83&lt;=Hypothèses!$V$8,Hypothèses!$W$8,IF(BZ83&lt;=Hypothèses!$V$9,Hypothèses!$W$9,IF(BZ83&lt;=Hypothèses!$V$10,Hypothèses!$W$10,IF(BZ83&lt;=Hypothèses!$V$11,Hypothèses!$W$11,IF(BZ83&lt;=Hypothèses!$V$12,Hypothèses!$W$12,IF(BZ83&lt;=Hypothèses!$V$13,Hypothèses!$W$13,IF(BZ83&lt;=Hypothèses!$V$14,Hypothèses!$W$14,IF(BZ83&lt;=Hypothèses!$V$15,Hypothèses!$W$15,IF(BZ83&lt;=Hypothèses!$V$16,Hypothèses!$W$16,IF(BZ83&lt;=Hypothèses!$V$17,Hypothèses!$W$17,IF(BZ83&lt;=Hypothèses!$V$18,Hypothèses!$W$18,""))))))))))))</f>
        <v>#DIV/0!</v>
      </c>
      <c r="CU83" s="87" t="e">
        <f t="shared" ca="1" si="220"/>
        <v>#DIV/0!</v>
      </c>
      <c r="CV83" s="88" t="e">
        <f ca="1">IF(BZ83&lt;=Hypothèses!$V$7,Hypothèses!$X$7,IF(BZ83&lt;=Hypothèses!$V$8,Hypothèses!$X$8,IF(BZ83&lt;=Hypothèses!$V$9,Hypothèses!$X$9,IF(BZ83&lt;=Hypothèses!$V$10,Hypothèses!$X$10,IF(BZ83&lt;=Hypothèses!$V$11,Hypothèses!$X$11,IF(BZ83&lt;=Hypothèses!$V$12,Hypothèses!$X$12,IF(BZ83&lt;=Hypothèses!$V$13,Hypothèses!$X$13,IF(BZ83&lt;=Hypothèses!$V$14,Hypothèses!$X$14,IF(BZ83&lt;=Hypothèses!$V$15,Hypothèses!$X$15,IF(BZ83&lt;=Hypothèses!$V$16,Hypothèses!$X$16,IF(BZ83&lt;=Hypothèses!$U$17,Hypothèses!$W$17,IF(BZ83&lt;=Hypothèses!$U$18,Hypothèses!$W$18,""))))))))))))</f>
        <v>#DIV/0!</v>
      </c>
      <c r="CW83" s="95" t="e">
        <f t="shared" ca="1" si="185"/>
        <v>#DIV/0!</v>
      </c>
      <c r="CX83" s="101" t="e">
        <f t="shared" si="227"/>
        <v>#N/A</v>
      </c>
      <c r="CY83" s="91" t="e">
        <f t="shared" si="154"/>
        <v>#N/A</v>
      </c>
      <c r="CZ83" s="30" t="e">
        <f t="shared" si="208"/>
        <v>#N/A</v>
      </c>
      <c r="DA83" s="30" t="e">
        <f t="shared" si="209"/>
        <v>#N/A</v>
      </c>
      <c r="DB83" s="31" t="e">
        <f>IF(OR(Hypothèses!$B$4=17,Hypothèses!$B$4=18,Hypothèses!$B$4=19,Hypothèses!$B$4=20),
IF($D83="Pressio.",
IF(OR($E83=3,$E83=1,$E83=4),DA83,CZ83),
IF($D83="Pénétro.",
IF(OR($E83=3,$E83=1,$E83=4),DA83,CZ83))),IF($D83="Pressio.",
IF($E83=3,DA83,CZ83),
IF($D83="Pénétro.",
IF($E83=4,DA83,CZ83))))</f>
        <v>#N/A</v>
      </c>
      <c r="DC83" s="31" t="e">
        <f>(IF(OR(Hypothèses!$B$4=17,Hypothèses!$B$4=18,Hypothèses!$B$4=19,Hypothèses!$B$4=20),
IF($D83="Pressio.",
IF(OR($E83=3,$E83=1,$E83=4),(PI()*DC$12^2)/4*(CY83*$W83*1000)/($H83*$B$5),(PI()*DC$12^2)/4*(CY83*$W83*1000)/($G83*$B$5)),
IF($D83="Pénétro.",
IF(OR($E83=4,$E83=1,$E83=5),(PI()*DC$12^2)/4*(CY83*$W83*1000)/($H83*$B$5),(PI()*DC$12^2)/4*(CY83*$W83*1000)/($G83*$B$5)))),
IF($D83="Pressio.",
IF($E83=3,(PI()*DC$12^2)/4*(CY83*$W83*1000)/($H83*$B$5),(PI()*DC$12^2)/4*(CY83*$W83*1000)/($G83*$B$5)),
IF($D83="Pénétro.",
IF($E83=4,(PI()*DC$12^2)/4*(CY83*$W83*1000)/($H83*$B$5),(PI()*DC$12^2)/4*(CY83*$W83*1000)/($G83*$B$5))))))/10</f>
        <v>#N/A</v>
      </c>
      <c r="DD83" s="102" t="e">
        <f>(VLOOKUP($B$3,'Coeff EC7'!$T$39:$X$59,2,0)*DB83+VLOOKUP($B$3,'Coeff EC7'!$T$65:$X$85,2,0)*Model0.1C!DC83)/1.1</f>
        <v>#N/A</v>
      </c>
      <c r="DE83" s="102" t="e">
        <f>(VLOOKUP($B$3,'Coeff EC7'!$T$39:$X$59,3,0)*DB83+VLOOKUP($B$3,'Coeff EC7'!$T$65:$X$85,3,0)*Model0.1C!DC83)/0.9</f>
        <v>#N/A</v>
      </c>
      <c r="DF83" s="102" t="e">
        <f t="shared" si="186"/>
        <v>#N/A</v>
      </c>
      <c r="DG83" s="102" t="e">
        <f t="shared" si="187"/>
        <v>#N/A</v>
      </c>
      <c r="DH83" s="414" t="e">
        <f>IF(DH82=0,0,IF(AND(DD83&gt;charge_ELS_quasi,DE83&gt;Charge_ELS_freq,DF83&gt;charge_ELU,DG83&gt;charge_ELA,$B83&gt;NDC!$H$22-0.1+MIN(3*$DH$12,1.5)),0,1))</f>
        <v>#N/A</v>
      </c>
      <c r="DI83" s="86" t="b">
        <f t="shared" si="155"/>
        <v>0</v>
      </c>
      <c r="DJ83" s="86">
        <f t="shared" si="156"/>
        <v>0.5</v>
      </c>
      <c r="DK83" s="86">
        <f t="shared" si="157"/>
        <v>0.5</v>
      </c>
      <c r="DL83" s="30" t="e">
        <f t="shared" ca="1" si="188"/>
        <v>#DIV/0!</v>
      </c>
      <c r="DM83" s="85" t="e">
        <f ca="1">IF(CS83&lt;=Hypothèses!$V$7,Hypothèses!$W$7,IF(CS83&lt;=Hypothèses!$V$8,Hypothèses!$W$8,IF(CS83&lt;=Hypothèses!$V$9,Hypothèses!$W$9,IF(CS83&lt;=Hypothèses!$V$10,Hypothèses!$W$10,IF(CS83&lt;=Hypothèses!$V$11,Hypothèses!$W$11,IF(CS83&lt;=Hypothèses!$V$12,Hypothèses!$W$12,IF(CS83&lt;=Hypothèses!$V$13,Hypothèses!$W$13,IF(CS83&lt;=Hypothèses!$V$14,Hypothèses!$W$14,IF(CS83&lt;=Hypothèses!$V$15,Hypothèses!$W$15,IF(CS83&lt;=Hypothèses!$V$16,Hypothèses!$W$16,IF(CS83&lt;=Hypothèses!$V$17,Hypothèses!$W$17,IF(CS83&lt;=Hypothèses!$V$18,Hypothèses!$W$18,""))))))))))))</f>
        <v>#DIV/0!</v>
      </c>
      <c r="DN83" s="87" t="e">
        <f t="shared" ca="1" si="221"/>
        <v>#DIV/0!</v>
      </c>
      <c r="DO83" s="88" t="e">
        <f ca="1">IF(CS83&lt;=Hypothèses!$V$7,Hypothèses!$X$7,IF(CS83&lt;=Hypothèses!$V$8,Hypothèses!$X$8,IF(CS83&lt;=Hypothèses!$V$9,Hypothèses!$X$9,IF(CS83&lt;=Hypothèses!$V$10,Hypothèses!$X$10,IF(CS83&lt;=Hypothèses!$V$11,Hypothèses!$X$11,IF(CS83&lt;=Hypothèses!$V$12,Hypothèses!$X$12,IF(CS83&lt;=Hypothèses!$V$13,Hypothèses!$X$13,IF(CS83&lt;=Hypothèses!$V$14,Hypothèses!$X$14,IF(CS83&lt;=Hypothèses!$V$15,Hypothèses!$X$15,IF(CS83&lt;=Hypothèses!$V$16,Hypothèses!$X$16,IF(CS83&lt;=Hypothèses!$U$17,Hypothèses!$W$17,IF(CS83&lt;=Hypothèses!$U$18,Hypothèses!$W$18,""))))))))))))</f>
        <v>#DIV/0!</v>
      </c>
      <c r="DP83" s="95" t="e">
        <f t="shared" ca="1" si="189"/>
        <v>#DIV/0!</v>
      </c>
      <c r="DQ83" s="101" t="e">
        <f t="shared" si="228"/>
        <v>#N/A</v>
      </c>
      <c r="DR83" s="91" t="e">
        <f t="shared" si="158"/>
        <v>#N/A</v>
      </c>
      <c r="DS83" s="30" t="e">
        <f t="shared" si="210"/>
        <v>#N/A</v>
      </c>
      <c r="DT83" s="30" t="e">
        <f t="shared" si="211"/>
        <v>#N/A</v>
      </c>
      <c r="DU83" s="31" t="e">
        <f>IF(OR(Hypothèses!$B$4=17,Hypothèses!$B$4=18,Hypothèses!$B$4=19,Hypothèses!$B$4=20),
IF($D83="Pressio.",
IF(OR($E83=3,$E83=1,$E83=4),DT83,DS83),
IF($D83="Pénétro.",
IF(OR($E83=3,$E83=1,$E83=4),DT83,DS83))),IF($D83="Pressio.",
IF($E83=3,DT83,DS83),
IF($D83="Pénétro.",
IF($E83=4,DT83,DS83))))</f>
        <v>#N/A</v>
      </c>
      <c r="DV83" s="31" t="e">
        <f>(IF(OR(Hypothèses!$B$4=17,Hypothèses!$B$4=18,Hypothèses!$B$4=19,Hypothèses!$B$4=20),
IF($D83="Pressio.",
IF(OR($E83=3,$E83=1,$E83=4),(PI()*DV$12^2)/4*(DR83*$W83*1000)/($H83*$B$5),(PI()*DV$12^2)/4*(DR83*$W83*1000)/($G83*$B$5)),
IF($D83="Pénétro.",
IF(OR($E83=4,$E83=1,$E83=5),(PI()*DV$12^2)/4*(DR83*$W83*1000)/($H83*$B$5),(PI()*DV$12^2)/4*(DR83*$W83*1000)/($G83*$B$5)))),
IF($D83="Pressio.",
IF($E83=3,(PI()*DV$12^2)/4*(DR83*$W83*1000)/($H83*$B$5),(PI()*DV$12^2)/4*(DR83*$W83*1000)/($G83*$B$5)),
IF($D83="Pénétro.",
IF($E83=4,(PI()*DV$12^2)/4*(DR83*$W83*1000)/($H83*$B$5),(PI()*DV$12^2)/4*(DR83*$W83*1000)/($G83*$B$5))))))/10</f>
        <v>#N/A</v>
      </c>
      <c r="DW83" s="102" t="e">
        <f>(VLOOKUP($B$3,'Coeff EC7'!$T$39:$X$59,2,0)*DU83+VLOOKUP($B$3,'Coeff EC7'!$T$65:$X$85,2,0)*Model0.1C!DV83)/1.1</f>
        <v>#N/A</v>
      </c>
      <c r="DX83" s="102" t="e">
        <f>(VLOOKUP($B$3,'Coeff EC7'!$T$39:$X$59,3,0)*DU83+VLOOKUP($B$3,'Coeff EC7'!$T$65:$X$85,3,0)*Model0.1C!DV83)/0.9</f>
        <v>#N/A</v>
      </c>
      <c r="DY83" s="102" t="e">
        <f t="shared" si="190"/>
        <v>#N/A</v>
      </c>
      <c r="DZ83" s="102" t="e">
        <f t="shared" si="191"/>
        <v>#N/A</v>
      </c>
      <c r="EA83" s="414" t="e">
        <f>IF(EA82=0,0,IF(AND(DW83&gt;charge_ELS_quasi,DX83&gt;Charge_ELS_freq,DY83&gt;charge_ELU,DZ83&gt;charge_ELA,$B83&gt;NDC!$H$22-0.1+MIN(3*$EA$12,1.5)),0,1))</f>
        <v>#N/A</v>
      </c>
      <c r="EB83" s="86" t="b">
        <f t="shared" si="159"/>
        <v>0</v>
      </c>
      <c r="EC83" s="418">
        <f t="shared" si="160"/>
        <v>0.51</v>
      </c>
      <c r="ED83" s="86">
        <f t="shared" si="161"/>
        <v>0.51</v>
      </c>
      <c r="EE83" s="30" t="e">
        <f t="shared" ca="1" si="192"/>
        <v>#DIV/0!</v>
      </c>
      <c r="EF83" s="85" t="e">
        <f ca="1">IF(DL83&lt;=Hypothèses!$V$7,Hypothèses!$W$7,IF(DL83&lt;=Hypothèses!$V$8,Hypothèses!$W$8,IF(DL83&lt;=Hypothèses!$V$9,Hypothèses!$W$9,IF(DL83&lt;=Hypothèses!$V$10,Hypothèses!$W$10,IF(DL83&lt;=Hypothèses!$V$11,Hypothèses!$W$11,IF(DL83&lt;=Hypothèses!$V$12,Hypothèses!$W$12,IF(DL83&lt;=Hypothèses!$V$13,Hypothèses!$W$13,IF(DL83&lt;=Hypothèses!$V$14,Hypothèses!$W$14,IF(DL83&lt;=Hypothèses!$V$15,Hypothèses!$W$15,IF(DL83&lt;=Hypothèses!$V$16,Hypothèses!$W$16,IF(DL83&lt;=Hypothèses!$V$17,Hypothèses!$W$17,IF(DL83&lt;=Hypothèses!$V$18,Hypothèses!$W$18,""))))))))))))</f>
        <v>#DIV/0!</v>
      </c>
      <c r="EG83" s="87" t="e">
        <f t="shared" ca="1" si="222"/>
        <v>#DIV/0!</v>
      </c>
      <c r="EH83" s="88" t="e">
        <f ca="1">IF(DL83&lt;=Hypothèses!$V$7,Hypothèses!$X$7,IF(DL83&lt;=Hypothèses!$V$8,Hypothèses!$X$8,IF(DL83&lt;=Hypothèses!$V$9,Hypothèses!$X$9,IF(DL83&lt;=Hypothèses!$V$10,Hypothèses!$X$10,IF(DL83&lt;=Hypothèses!$V$11,Hypothèses!$X$11,IF(DL83&lt;=Hypothèses!$V$12,Hypothèses!$X$12,IF(DL83&lt;=Hypothèses!$V$13,Hypothèses!$X$13,IF(DL83&lt;=Hypothèses!$V$14,Hypothèses!$X$14,IF(DL83&lt;=Hypothèses!$V$15,Hypothèses!$X$15,IF(DL83&lt;=Hypothèses!$V$16,Hypothèses!$X$16,IF(DL83&lt;=Hypothèses!$U$17,Hypothèses!$W$17,IF(DL83&lt;=Hypothèses!$U$18,Hypothèses!$W$18,""))))))))))))</f>
        <v>#DIV/0!</v>
      </c>
      <c r="EI83" s="95" t="e">
        <f t="shared" ca="1" si="193"/>
        <v>#DIV/0!</v>
      </c>
      <c r="EJ83" s="101" t="e">
        <f t="shared" si="229"/>
        <v>#N/A</v>
      </c>
      <c r="EK83" s="91" t="e">
        <f t="shared" si="162"/>
        <v>#N/A</v>
      </c>
      <c r="EL83" s="30" t="e">
        <f t="shared" si="212"/>
        <v>#N/A</v>
      </c>
      <c r="EM83" s="30" t="e">
        <f t="shared" si="213"/>
        <v>#N/A</v>
      </c>
      <c r="EN83" s="31" t="e">
        <f>IF(OR(Hypothèses!$B$4=17,Hypothèses!$B$4=18,Hypothèses!$B$4=19,Hypothèses!$B$4=20),
IF($D83="Pressio.",
IF(OR($E83=3,$E83=1,$E83=4),EM83,EL83),
IF($D83="Pénétro.",
IF(OR($E83=3,$E83=1,$E83=4),EM83,EL83))),IF($D83="Pressio.",
IF($E83=3,EM83,EL83),
IF($D83="Pénétro.",
IF($E83=4,EM83,EL83))))</f>
        <v>#N/A</v>
      </c>
      <c r="EO83" s="31" t="e">
        <f>(IF(OR(Hypothèses!$B$4=17,Hypothèses!$B$4=18,Hypothèses!$B$4=19,Hypothèses!$B$4=20),
IF($D83="Pressio.",
IF(OR($E83=3,$E83=1,$E83=4),(PI()*EO$12^2)/4*(EK83*$W83*1000)/($H83*$B$5),(PI()*EO$12^2)/4*(EK83*$W83*1000)/($G83*$B$5)),
IF($D83="Pénétro.",
IF(OR($E83=4,$E83=1,$E83=5),(PI()*EO$12^2)/4*(EK83*$W83*1000)/($H83*$B$5),(PI()*EO$12^2)/4*(EK83*$W83*1000)/($G83*$B$5)))),
IF($D83="Pressio.",
IF($E83=3,(PI()*EO$12^2)/4*(EK83*$W83*1000)/($H83*$B$5),(PI()*EO$12^2)/4*(EK83*$W83*1000)/($G83*$B$5)),
IF($D83="Pénétro.",
IF($E83=4,(PI()*EO$12^2)/4*(EK83*$W83*1000)/($H83*$B$5),(PI()*EO$12^2)/4*(EK83*$W83*1000)/($G83*$B$5))))))/10</f>
        <v>#N/A</v>
      </c>
      <c r="EP83" s="102" t="e">
        <f>(VLOOKUP($B$3,'Coeff EC7'!$T$39:$X$59,2,0)*EN83+VLOOKUP($B$3,'Coeff EC7'!$T$65:$X$85,2,0)*Model0.1C!EO83)/1.1</f>
        <v>#N/A</v>
      </c>
      <c r="EQ83" s="102" t="e">
        <f>(VLOOKUP($B$3,'Coeff EC7'!$T$39:$X$59,3,0)*EN83+VLOOKUP($B$3,'Coeff EC7'!$T$65:$X$85,3,0)*Model0.1C!EO83)/0.9</f>
        <v>#N/A</v>
      </c>
      <c r="ER83" s="102" t="e">
        <f t="shared" si="194"/>
        <v>#N/A</v>
      </c>
      <c r="ES83" s="102" t="e">
        <f t="shared" si="195"/>
        <v>#N/A</v>
      </c>
      <c r="ET83" s="414" t="e">
        <f>IF(ET82=0,0,IF(AND(EP83&gt;charge_ELS_quasi,EQ83&gt;Charge_ELS_freq,ER83&gt;charge_ELU,ES83&gt;charge_ELA,$B83&gt;NDC!$H$22-0.1+MIN(3*$ET$12,1.5)),0,1))</f>
        <v>#N/A</v>
      </c>
      <c r="EU83" s="86" t="b">
        <f t="shared" si="163"/>
        <v>0</v>
      </c>
      <c r="EV83" s="86">
        <f t="shared" si="164"/>
        <v>0.61</v>
      </c>
      <c r="EW83" s="86">
        <f t="shared" si="165"/>
        <v>0.61</v>
      </c>
      <c r="EX83" s="30" t="e">
        <f t="shared" ca="1" si="196"/>
        <v>#DIV/0!</v>
      </c>
      <c r="EY83" s="85" t="e">
        <f ca="1">IF(EE83&lt;=Hypothèses!$V$7,Hypothèses!$W$7,IF(EE83&lt;=Hypothèses!$V$8,Hypothèses!$W$8,IF(EE83&lt;=Hypothèses!$V$9,Hypothèses!$W$9,IF(EE83&lt;=Hypothèses!$V$10,Hypothèses!$W$10,IF(EE83&lt;=Hypothèses!$V$11,Hypothèses!$W$11,IF(EE83&lt;=Hypothèses!$V$12,Hypothèses!$W$12,IF(EE83&lt;=Hypothèses!$V$13,Hypothèses!$W$13,IF(EE83&lt;=Hypothèses!$V$14,Hypothèses!$W$14,IF(EE83&lt;=Hypothèses!$V$15,Hypothèses!$W$15,IF(EE83&lt;=Hypothèses!$V$16,Hypothèses!$W$16,IF(EE83&lt;=Hypothèses!$V$17,Hypothèses!$W$17,IF(EE83&lt;=Hypothèses!$V$18,Hypothèses!$W$18,""))))))))))))</f>
        <v>#DIV/0!</v>
      </c>
      <c r="EZ83" s="87" t="e">
        <f t="shared" ca="1" si="223"/>
        <v>#DIV/0!</v>
      </c>
      <c r="FA83" s="88" t="e">
        <f ca="1">IF(EE83&lt;=Hypothèses!$V$7,Hypothèses!$X$7,IF(EE83&lt;=Hypothèses!$V$8,Hypothèses!$X$8,IF(EE83&lt;=Hypothèses!$V$9,Hypothèses!$X$9,IF(EE83&lt;=Hypothèses!$V$10,Hypothèses!$X$10,IF(EE83&lt;=Hypothèses!$V$11,Hypothèses!$X$11,IF(EE83&lt;=Hypothèses!$V$12,Hypothèses!$X$12,IF(EE83&lt;=Hypothèses!$V$13,Hypothèses!$X$13,IF(EE83&lt;=Hypothèses!$V$14,Hypothèses!$X$14,IF(EE83&lt;=Hypothèses!$V$15,Hypothèses!$X$15,IF(EE83&lt;=Hypothèses!$V$16,Hypothèses!$X$16,IF(EE83&lt;=Hypothèses!$U$17,Hypothèses!$W$17,IF(EE83&lt;=Hypothèses!$U$18,Hypothèses!$W$18,""))))))))))))</f>
        <v>#DIV/0!</v>
      </c>
      <c r="FB83" s="95" t="e">
        <f t="shared" ca="1" si="197"/>
        <v>#DIV/0!</v>
      </c>
      <c r="FC83" s="101" t="e">
        <f t="shared" si="230"/>
        <v>#N/A</v>
      </c>
      <c r="FD83" s="91" t="e">
        <f t="shared" si="166"/>
        <v>#N/A</v>
      </c>
      <c r="FE83" s="30" t="e">
        <f t="shared" si="214"/>
        <v>#N/A</v>
      </c>
      <c r="FF83" s="30" t="e">
        <f t="shared" si="215"/>
        <v>#N/A</v>
      </c>
      <c r="FG83" s="31" t="e">
        <f>IF(OR(Hypothèses!$B$4=17,Hypothèses!$B$4=18,Hypothèses!$B$4=19,Hypothèses!$B$4=20),
IF($D83="Pressio.",
IF(OR($E83=3,$E83=1,$E83=4),FF83,FE83),
IF($D83="Pénétro.",
IF(OR($E83=3,$E83=1,$E83=4),FF83,FE83))),IF($D83="Pressio.",
IF($E83=3,FF83,FE83),
IF($D83="Pénétro.",
IF($E83=4,FF83,FE83))))</f>
        <v>#N/A</v>
      </c>
      <c r="FH83" s="31" t="e">
        <f>(IF(OR(Hypothèses!$B$4=17,Hypothèses!$B$4=18,Hypothèses!$B$4=19,Hypothèses!$B$4=20),
IF($D83="Pressio.",
IF(OR($E83=3,$E83=1,$E83=4),(PI()*FH$12^2)/4*(FD83*$W83*1000)/($H83*$B$5),(PI()*FH$12^2)/4*(FD83*$W83*1000)/($G83*$B$5)),
IF($D83="Pénétro.",
IF(OR($E83=4,$E83=1,$E83=5),(PI()*FH$12^2)/4*(FD83*$W83*1000)/($H83*$B$5),(PI()*FH$12^2)/4*(FD83*$W83*1000)/($G83*$B$5)))),
IF($D83="Pressio.",
IF($E83=3,(PI()*FH$12^2)/4*(FD83*$W83*1000)/($H83*$B$5),(PI()*FH$12^2)/4*(FD83*$W83*1000)/($G83*$B$5)),
IF($D83="Pénétro.",
IF($E83=4,(PI()*FH$12^2)/4*(FD83*$W83*1000)/($H83*$B$5),(PI()*FH$12^2)/4*(FD83*$W83*1000)/($G83*$B$5))))))/10</f>
        <v>#N/A</v>
      </c>
      <c r="FI83" s="102" t="e">
        <f>(VLOOKUP($B$3,'Coeff EC7'!$T$39:$X$59,2,0)*FG83+VLOOKUP($B$3,'Coeff EC7'!$T$65:$X$85,2,0)*Model0.1C!FH83)/1.1</f>
        <v>#N/A</v>
      </c>
      <c r="FJ83" s="102" t="e">
        <f>(VLOOKUP($B$3,'Coeff EC7'!$T$39:$X$59,3,0)*FG83+VLOOKUP($B$3,'Coeff EC7'!$T$65:$X$85,3,0)*Model0.1C!FH83)/0.9</f>
        <v>#N/A</v>
      </c>
      <c r="FK83" s="102" t="e">
        <f t="shared" si="198"/>
        <v>#N/A</v>
      </c>
      <c r="FL83" s="102" t="e">
        <f t="shared" si="199"/>
        <v>#N/A</v>
      </c>
      <c r="FM83" s="414" t="e">
        <f>IF(FM82=0,0,IF(AND(FI83&gt;charge_ELS_quasi,FJ83&gt;Charge_ELS_freq,FK83&gt;charge_ELU,FL83&gt;charge_ELA,$B83&gt;NDC!$H$22-0.1+MIN(3*$FM$12,1.5)),0,1))</f>
        <v>#N/A</v>
      </c>
    </row>
    <row r="84" spans="1:169">
      <c r="A84" s="96">
        <f t="shared" si="167"/>
        <v>92.900000000000404</v>
      </c>
      <c r="B84" s="97">
        <v>7.1</v>
      </c>
      <c r="C84" s="81">
        <f>IF(B84&lt;=Hypothèses!$C$7,Hypothèses!$A$7,IF(B84&lt;=Hypothèses!$C$8,Hypothèses!$A$8,IF(B84&lt;=Hypothèses!$C$9,Hypothèses!$A$9,IF(B84&lt;=Hypothèses!$C$10,Hypothèses!$A$10,IF(B84&lt;=Hypothèses!$C$11,Hypothèses!$A$11,IF(B84&lt;=Hypothèses!$C$12,Hypothèses!$A$12,IF(B84&lt;=Hypothèses!$C$13,Hypothèses!$A$13,IF(B84&lt;=Hypothèses!$C$14,Hypothèses!$A$14,IF(B84&lt;=Hypothèses!$C$15,Hypothèses!$A$15,IF(B84&lt;=Hypothèses!$C$16,Hypothèses!$A$16,IF(B84&lt;=Hypothèses!$C$17,Hypothèses!$A$17,IF(B84&lt;=Hypothèses!$C$18,Hypothèses!$A$18,C83))))))))))))</f>
        <v>11</v>
      </c>
      <c r="D84" s="82" t="str">
        <f>IF(B84&lt;=Hypothèses!$C$7,Hypothèses!$R$7,IF(B84&lt;=Hypothèses!$C$8,Hypothèses!$R$8,IF(B84&lt;=Hypothèses!$C$9,Hypothèses!$R$9,IF(B84&lt;=Hypothèses!$C$10,Hypothèses!$R$10,IF(B84&lt;=Hypothèses!$C$11,Hypothèses!$R$11,IF(B84&lt;=Hypothèses!$C$12,Hypothèses!$R$12,IF(B84&lt;=Hypothèses!$C$13,Hypothèses!$R$13,IF(B84&lt;=Hypothèses!$C$14,Hypothèses!$R$14,IF(B84&lt;=Hypothèses!$C$15,Hypothèses!$R$15,IF(B84&lt;=Hypothèses!$C$16,Hypothèses!$R$16,IF(B84&lt;=Hypothèses!$C$17,Hypothèses!$R$17,IF(B84&lt;=Hypothèses!$C$18,Hypothèses!$R$18,D83))))))))))))</f>
        <v>Pressio.</v>
      </c>
      <c r="E84" s="82" t="e">
        <f>IF(B84&lt;=Hypothèses!$C$7,Hypothèses!$G$7,IF(B84&lt;=Hypothèses!$C$8,Hypothèses!$G$8,IF(B84&lt;=Hypothèses!$C$9,Hypothèses!$G$9,IF(B84&lt;=Hypothèses!$C$10,Hypothèses!$G$10,IF(B84&lt;=Hypothèses!$C$11,Hypothèses!$G$11,IF(B84&lt;=Hypothèses!$C$12,Hypothèses!$G$12,IF(B84&lt;=Hypothèses!$C$13,Hypothèses!$G$13,IF(B84&lt;=Hypothèses!$C$14,Hypothèses!$G$14,IF(B84&lt;=Hypothèses!$C$15,Hypothèses!$G$15,IF(B84&lt;=Hypothèses!$C$16,Hypothèses!$G$16,IF(B84&lt;=Hypothèses!$C$17,Hypothèses!$G$17,IF(B84&lt;=Hypothèses!$C$18,Hypothèses!$G$18,E83))))))))))))</f>
        <v>#N/A</v>
      </c>
      <c r="F84" s="82" t="str">
        <f>IF(B84&lt;=Hypothèses!$C$7,Hypothèses!$F$7,IF(B84&lt;=Hypothèses!$C$8,Hypothèses!$F$8,IF(B84&lt;=Hypothèses!$C$9,Hypothèses!$F$9,IF(B84&lt;=Hypothèses!$C$10,Hypothèses!$F$10,IF(B84&lt;=Hypothèses!$C$11,Hypothèses!$F$11,IF(B84&lt;=Hypothèses!$C$12,Hypothèses!$F$12,IF(B84&lt;=Hypothèses!$C$13,Hypothèses!$F$13,IF(B84&lt;=Hypothèses!$C$14,Hypothèses!$F$14,IF(B84&lt;=Hypothèses!$C$15,Hypothèses!$F$15,IF(B84&lt;=Hypothèses!$C$16,Hypothèses!$F$16,IF(B84&lt;=Hypothèses!$C$17,Hypothèses!$F$17,IF(B84&lt;=Hypothèses!$C$18,Hypothèses!$F$18,F83))))))))))))</f>
        <v/>
      </c>
      <c r="G84" s="91">
        <f t="array" ref="G84">INDEX('Coeff EC7'!$U$7:$X$27,
MATCH(Model0.1C!$B$3,'Coeff EC7'!$T$7:$T$27,0),
MATCH(Model0.1C!$D84&amp;Model0.1C!$B$4,
'Coeff EC7'!$U$6:$X$6&amp;
'Coeff EC7'!$U$5:$X$5,0))</f>
        <v>1.1499999999999999</v>
      </c>
      <c r="H84" s="91">
        <f t="array" ref="H84">INDEX('Coeff EC7'!$Y$7:$AB$27,
MATCH(Model0.1C!$B$3,'Coeff EC7'!$T$7:$T$27,0),
MATCH(Model0.1C!$D84&amp;Model0.1C!$B$4,
'Coeff EC7'!$Y$6:$AB$6&amp;
'Coeff EC7'!$Y$5:$AB$5,0))</f>
        <v>1.4</v>
      </c>
      <c r="I84" s="83" t="e">
        <f>IF(B84&lt;=Hypothèses!$C$7,Hypothèses!$P$7,IF(B84&lt;=Hypothèses!$C$8,Hypothèses!$P$8,IF(B84&lt;=Hypothèses!$C$9,Hypothèses!$P$9,IF(B84&lt;=Hypothèses!$C$10,Hypothèses!$P$10,IF(B84&lt;=Hypothèses!$C$11,Hypothèses!$P$11,IF(B84&lt;=Hypothèses!$C$12,Hypothèses!$P$12,IF(B84&lt;=Hypothèses!$C$13,Hypothèses!$P$13,IF(B84&lt;=Hypothèses!$C$14,Hypothèses!$P$14,IF(B84&lt;=Hypothèses!$C$15,Hypothèses!$P$15,IF(B84&lt;=Hypothèses!$C$16,Hypothèses!$P$16,IF(B84&lt;=Hypothèses!$C$17,Hypothèses!$P$17,IF(B84&lt;=Hypothèses!$C$18,Hypothèses!$P$18,I83))))))))))))</f>
        <v>#N/A</v>
      </c>
      <c r="J84" s="91" t="e">
        <f t="array" ref="J84">INDEX('Coeff EC7'!$D$33:$Q$33,1,MATCH(D84&amp;E84,'Coeff EC7'!$D$31:$Q$31&amp;'Coeff EC7'!$D$32:$Q$32,0))</f>
        <v>#N/A</v>
      </c>
      <c r="K84" s="91" t="e">
        <f t="array" ref="K84">INDEX('Coeff EC7'!$D$34:$Q$34,1,MATCH(D84&amp;E84,'Coeff EC7'!$D$31:$Q$31&amp;'Coeff EC7'!$D$32:$Q$32,0))</f>
        <v>#N/A</v>
      </c>
      <c r="L84" s="91" t="e">
        <f t="array" ref="L84">INDEX('Coeff EC7'!$D$35:$Q$35,1,MATCH(D84&amp;E84,'Coeff EC7'!$D$31:$Q$31&amp;'Coeff EC7'!$D$32:$Q$32,0))</f>
        <v>#N/A</v>
      </c>
      <c r="M84" s="98" t="e">
        <f t="shared" si="131"/>
        <v>#N/A</v>
      </c>
      <c r="N84" s="99" t="e">
        <f t="array" ref="N84">INDEX('Coeff EC7'!$D$7:$Q$27,MATCH($B$3,'Coeff EC7'!$C$7:$C$27,0),MATCH(D84&amp;E84,'Coeff EC7'!$D$5:$Q$5&amp;'Coeff EC7'!$D$6:$Q$6,0))</f>
        <v>#N/A</v>
      </c>
      <c r="O84" s="99" t="e">
        <f t="array" ref="O84">INDEX('Coeff EC7'!$D$41:$Q$61,MATCH($B$3,'Coeff EC7'!$C$41:$C$61,0),MATCH(D84&amp;E84,'Coeff EC7'!$D$39:$Q$39&amp;'Coeff EC7'!$D$40:$Q$40,0))</f>
        <v>#N/A</v>
      </c>
      <c r="P84" s="30" t="e">
        <f t="shared" si="168"/>
        <v>#N/A</v>
      </c>
      <c r="Q84" s="100" t="e">
        <f t="shared" si="133"/>
        <v>#N/A</v>
      </c>
      <c r="R84" s="86" t="b">
        <f t="shared" si="134"/>
        <v>0</v>
      </c>
      <c r="S84" s="86">
        <f t="shared" si="132"/>
        <v>0.5</v>
      </c>
      <c r="T84" s="86">
        <f t="shared" si="135"/>
        <v>0.5</v>
      </c>
      <c r="U84" s="30" t="e">
        <f t="shared" ca="1" si="169"/>
        <v>#DIV/0!</v>
      </c>
      <c r="V84" s="85" t="str">
        <f>IF(B84&lt;=Hypothèses!$V$7,Hypothèses!$W$7,IF(B84&lt;=Hypothèses!$V$8,Hypothèses!$W$8,IF(B84&lt;=Hypothèses!$V$9,Hypothèses!$W$9,IF(B84&lt;=Hypothèses!$V$10,Hypothèses!$W$10,IF(B84&lt;=Hypothèses!$V$11,Hypothèses!$W$11,IF(B84&lt;=Hypothèses!$V$12,Hypothèses!$W$12,IF(B84&lt;=Hypothèses!$V$13,Hypothèses!$W$13,IF(B84&lt;=Hypothèses!$V$14,Hypothèses!$W$14,IF(B84&lt;=Hypothèses!$V$15,Hypothèses!$W$15,IF(B84&lt;=Hypothèses!$V$16,Hypothèses!$W$16,IF(B84&lt;=Hypothèses!$V$17,Hypothèses!$W$17,IF(B84&lt;=Hypothèses!$V$18,Hypothèses!$W$18,""))))))))))))</f>
        <v/>
      </c>
      <c r="W84" s="87" t="e">
        <f t="shared" ca="1" si="216"/>
        <v>#DIV/0!</v>
      </c>
      <c r="X84" s="88" t="str">
        <f>IF(B84&lt;=Hypothèses!$V$7,Hypothèses!$X$7,IF(B84&lt;=Hypothèses!$V$8,Hypothèses!$X$8,IF(B84&lt;=Hypothèses!$V$9,Hypothèses!$X$9,IF(B84&lt;=Hypothèses!$V$10,Hypothèses!$X$10,IF(B84&lt;=Hypothèses!$V$11,Hypothèses!$X$11,IF(B84&lt;=Hypothèses!$V$12,Hypothèses!$X$12,IF(B84&lt;=Hypothèses!$V$13,Hypothèses!$X$13,IF(B84&lt;=Hypothèses!$V$14,Hypothèses!$X$14,IF(B84&lt;=Hypothèses!$V$15,Hypothèses!$X$15,IF(B84&lt;=Hypothèses!$V$16,Hypothèses!$X$16,IF(B84&lt;=Hypothèses!$U$17,Hypothèses!$W$17,IF(B84&lt;=Hypothèses!$U$18,Hypothèses!$W$18,""))))))))))))</f>
        <v/>
      </c>
      <c r="Y84" s="95" t="e">
        <f t="shared" ca="1" si="136"/>
        <v>#DIV/0!</v>
      </c>
      <c r="Z84" s="101" t="e">
        <f t="shared" si="137"/>
        <v>#N/A</v>
      </c>
      <c r="AA84" s="91" t="e">
        <f t="shared" si="138"/>
        <v>#N/A</v>
      </c>
      <c r="AB84" s="30" t="e">
        <f t="shared" si="200"/>
        <v>#N/A</v>
      </c>
      <c r="AC84" s="30" t="e">
        <f t="shared" si="201"/>
        <v>#N/A</v>
      </c>
      <c r="AD84" s="31" t="e">
        <f>IF(OR(Hypothèses!$B$4=17,Hypothèses!$B$4=18,Hypothèses!$B$4=19,Hypothèses!$B$4=20),
IF($D84="Pressio.",
IF(OR($E84=3,$E84=1,$E84=4),AC84,AB84),
IF($D84="Pénétro.",
IF(OR($E84=3,$E84=1,$E84=4),AC84,AB84))),IF($D84="Pressio.",
IF($E84=3,AC84,AB84),
IF($D84="Pénétro.",
IF($E84=4,AC84,AB84))))</f>
        <v>#N/A</v>
      </c>
      <c r="AE84" s="31" t="e">
        <f>(IF(OR(Hypothèses!$B$4=17,Hypothèses!$B$4=18,Hypothèses!$B$4=19,Hypothèses!$B$4=20),
IF($D84="Pressio.",
IF(OR($E84=3,$E84=1,$E84=4),(PI()*AE$12^2)/4*(AA84*$W84*1000)/($H84*$B$5),(PI()*AE$12^2)/4*(AA84*$W84*1000)/($G84*$B$5)),
IF($D84="Pénétro.",
IF(OR($E84=4,$E84=1,$E84=5),(PI()*AE$12^2)/4*(AA84*$W84*1000)/($H84*$B$5),(PI()*AE$12^2)/4*(AA84*$W84*1000)/($G84*$B$5)))),
IF($D84="Pressio.",
IF($E84=3,(PI()*AE$12^2)/4*(AA84*$W84*1000)/($H84*$B$5),(PI()*AE$12^2)/4*(AA84*$W84*1000)/($G84*$B$5)),
IF($D84="Pénétro.",
IF($E84=4,(PI()*AE$12^2)/4*(AA84*$W84*1000)/($H84*$B$5),(PI()*AE$12^2)/4*(AA84*$W84*1000)/($G84*$B$5))))))/10</f>
        <v>#N/A</v>
      </c>
      <c r="AF84" s="102" t="e">
        <f>(VLOOKUP($B$3,'Coeff EC7'!$T$39:$X$59,2,0)*AD84+VLOOKUP($B$3,'Coeff EC7'!$T$65:$X$85,2,0)*Model0.1C!AE84)/1.1</f>
        <v>#N/A</v>
      </c>
      <c r="AG84" s="102" t="e">
        <f>(VLOOKUP($B$3,'Coeff EC7'!$T$39:$X$59,3,0)*AD84+VLOOKUP($B$3,'Coeff EC7'!$T$65:$X$85,3,0)*Model0.1C!AE84)/0.9</f>
        <v>#N/A</v>
      </c>
      <c r="AH84" s="102" t="e">
        <f t="shared" si="139"/>
        <v>#N/A</v>
      </c>
      <c r="AI84" s="102" t="e">
        <f t="shared" si="140"/>
        <v>#N/A</v>
      </c>
      <c r="AJ84" s="414" t="e">
        <f>IF(AJ83=0,0,IF(AND(AF84&gt;charge_ELS_quasi,AG84&gt;Charge_ELS_freq,AH84&gt;charge_ELU,AI84&gt;charge_ELA,$B84&gt;NDC!$H$22-0.1+MIN(3*$AJ$12,1.5)),0,1))</f>
        <v>#N/A</v>
      </c>
      <c r="AK84" s="86" t="b">
        <f t="shared" si="141"/>
        <v>0</v>
      </c>
      <c r="AL84" s="86">
        <f t="shared" si="170"/>
        <v>0.5</v>
      </c>
      <c r="AM84" s="86">
        <f t="shared" si="142"/>
        <v>0.5</v>
      </c>
      <c r="AN84" s="30" t="e">
        <f t="shared" ca="1" si="171"/>
        <v>#DIV/0!</v>
      </c>
      <c r="AO84" s="85" t="e">
        <f ca="1">IF(U84&lt;=Hypothèses!$V$7,Hypothèses!$W$7,IF(U84&lt;=Hypothèses!$V$8,Hypothèses!$W$8,IF(U84&lt;=Hypothèses!$V$9,Hypothèses!$W$9,IF(U84&lt;=Hypothèses!$V$10,Hypothèses!$W$10,IF(U84&lt;=Hypothèses!$V$11,Hypothèses!$W$11,IF(U84&lt;=Hypothèses!$V$12,Hypothèses!$W$12,IF(U84&lt;=Hypothèses!$V$13,Hypothèses!$W$13,IF(U84&lt;=Hypothèses!$V$14,Hypothèses!$W$14,IF(U84&lt;=Hypothèses!$V$15,Hypothèses!$W$15,IF(U84&lt;=Hypothèses!$V$16,Hypothèses!$W$16,IF(U84&lt;=Hypothèses!$V$17,Hypothèses!$W$17,IF(U84&lt;=Hypothèses!$V$18,Hypothèses!$W$18,""))))))))))))</f>
        <v>#DIV/0!</v>
      </c>
      <c r="AP84" s="87" t="e">
        <f t="shared" ca="1" si="217"/>
        <v>#DIV/0!</v>
      </c>
      <c r="AQ84" s="88" t="e">
        <f ca="1">IF(U84&lt;=Hypothèses!$V$7,Hypothèses!$X$7,IF(U84&lt;=Hypothèses!$V$8,Hypothèses!$X$8,IF(U84&lt;=Hypothèses!$V$9,Hypothèses!$X$9,IF(U84&lt;=Hypothèses!$V$10,Hypothèses!$X$10,IF(U84&lt;=Hypothèses!$V$11,Hypothèses!$X$11,IF(U84&lt;=Hypothèses!$V$12,Hypothèses!$X$12,IF(U84&lt;=Hypothèses!$V$13,Hypothèses!$X$13,IF(U84&lt;=Hypothèses!$V$14,Hypothèses!$X$14,IF(U84&lt;=Hypothèses!$V$15,Hypothèses!$X$15,IF(U84&lt;=Hypothèses!$V$16,Hypothèses!$X$16,IF(U84&lt;=Hypothèses!$U$17,Hypothèses!$W$17,IF(U84&lt;=Hypothèses!$U$18,Hypothèses!$W$18,""))))))))))))</f>
        <v>#DIV/0!</v>
      </c>
      <c r="AR84" s="95" t="e">
        <f t="shared" ca="1" si="172"/>
        <v>#DIV/0!</v>
      </c>
      <c r="AS84" s="101" t="e">
        <f t="shared" si="224"/>
        <v>#N/A</v>
      </c>
      <c r="AT84" s="91" t="e">
        <f t="shared" si="143"/>
        <v>#N/A</v>
      </c>
      <c r="AU84" s="30" t="e">
        <f t="shared" si="202"/>
        <v>#N/A</v>
      </c>
      <c r="AV84" s="30" t="e">
        <f t="shared" si="203"/>
        <v>#N/A</v>
      </c>
      <c r="AW84" s="31" t="e">
        <f>IF(OR(Hypothèses!$B$4=17,Hypothèses!$B$4=18,Hypothèses!$B$4=19,Hypothèses!$B$4=20),
IF($D84="Pressio.",
IF(OR($E84=3,$E84=1,$E84=4),AV84,AU84),
IF($D84="Pénétro.",
IF(OR($E84=3,$E84=1,$E84=4),AV84,AU84))),IF($D84="Pressio.",
IF($E84=3,AV84,AU84),
IF($D84="Pénétro.",
IF($E84=4,AV84,AU84))))</f>
        <v>#N/A</v>
      </c>
      <c r="AX84" s="31" t="e">
        <f>(IF(OR(Hypothèses!$B$4=17,Hypothèses!$B$4=18,Hypothèses!$B$4=19,Hypothèses!$B$4=20),
IF($D84="Pressio.",
IF(OR($E84=3,$E84=1,$E84=4),(PI()*AX$12^2)/4*(AT84*$W84*1000)/($H84*$B$5),(PI()*AX$12^2)/4*(AT84*$W84*1000)/($G84*$B$5)),
IF($D84="Pénétro.",
IF(OR($E84=4,$E84=1,$E84=5),(PI()*AX$12^2)/4*(AT84*$W84*1000)/($H84*$B$5),(PI()*AX$12^2)/4*(AT84*$W84*1000)/($G84*$B$5)))),
IF($D84="Pressio.",
IF($E84=3,(PI()*AX$12^2)/4*(AT84*$W84*1000)/($H84*$B$5),(PI()*AX$12^2)/4*(AT84*$W84*1000)/($G84*$B$5)),
IF($D84="Pénétro.",
IF($E84=4,(PI()*AX$12^2)/4*(AT84*$W84*1000)/($H84*$B$5),(PI()*AX$12^2)/4*(AT84*$W84*1000)/($G84*$B$5))))))/10</f>
        <v>#N/A</v>
      </c>
      <c r="AY84" s="102" t="e">
        <f>(VLOOKUP($B$3,'Coeff EC7'!$T$39:$X$59,2,0)*AW84+VLOOKUP($B$3,'Coeff EC7'!$T$65:$X$85,2,0)*Model0.1C!AX84)/1.1</f>
        <v>#N/A</v>
      </c>
      <c r="AZ84" s="102" t="e">
        <f>(VLOOKUP($B$3,'Coeff EC7'!$T$39:$X$59,3,0)*AW84+VLOOKUP($B$3,'Coeff EC7'!$T$65:$X$85,3,0)*Model0.1C!AX84)/0.9</f>
        <v>#N/A</v>
      </c>
      <c r="BA84" s="102" t="e">
        <f t="shared" si="173"/>
        <v>#N/A</v>
      </c>
      <c r="BB84" s="102" t="e">
        <f t="shared" si="174"/>
        <v>#N/A</v>
      </c>
      <c r="BC84" s="414" t="e">
        <f>IF(BC83=0,0,IF(AND(AY84&gt;charge_ELS_quasi,AZ84&gt;Charge_ELS_freq,BA84&gt;charge_ELU,BB84&gt;charge_ELA,$B84&gt;NDC!$H$22-0.1+MIN(3*$BC$12,1.5)),0,1))</f>
        <v>#N/A</v>
      </c>
      <c r="BD84" s="86" t="b">
        <f t="shared" si="144"/>
        <v>0</v>
      </c>
      <c r="BE84" s="86">
        <f t="shared" si="175"/>
        <v>0.5</v>
      </c>
      <c r="BF84" s="86">
        <f t="shared" si="145"/>
        <v>0.5</v>
      </c>
      <c r="BG84" s="30" t="e">
        <f t="shared" ca="1" si="176"/>
        <v>#DIV/0!</v>
      </c>
      <c r="BH84" s="85" t="e">
        <f ca="1">IF(AN84&lt;=Hypothèses!$V$7,Hypothèses!$W$7,IF(AN84&lt;=Hypothèses!$V$8,Hypothèses!$W$8,IF(AN84&lt;=Hypothèses!$V$9,Hypothèses!$W$9,IF(AN84&lt;=Hypothèses!$V$10,Hypothèses!$W$10,IF(AN84&lt;=Hypothèses!$V$11,Hypothèses!$W$11,IF(AN84&lt;=Hypothèses!$V$12,Hypothèses!$W$12,IF(AN84&lt;=Hypothèses!$V$13,Hypothèses!$W$13,IF(AN84&lt;=Hypothèses!$V$14,Hypothèses!$W$14,IF(AN84&lt;=Hypothèses!$V$15,Hypothèses!$W$15,IF(AN84&lt;=Hypothèses!$V$16,Hypothèses!$W$16,IF(AN84&lt;=Hypothèses!$V$17,Hypothèses!$W$17,IF(AN84&lt;=Hypothèses!$V$18,Hypothèses!$W$18,""))))))))))))</f>
        <v>#DIV/0!</v>
      </c>
      <c r="BI84" s="87" t="e">
        <f t="shared" ca="1" si="218"/>
        <v>#DIV/0!</v>
      </c>
      <c r="BJ84" s="88" t="e">
        <f ca="1">IF(AN84&lt;=Hypothèses!$V$7,Hypothèses!$X$7,IF(AN84&lt;=Hypothèses!$V$8,Hypothèses!$X$8,IF(AN84&lt;=Hypothèses!$V$9,Hypothèses!$X$9,IF(AN84&lt;=Hypothèses!$V$10,Hypothèses!$X$10,IF(AN84&lt;=Hypothèses!$V$11,Hypothèses!$X$11,IF(AN84&lt;=Hypothèses!$V$12,Hypothèses!$X$12,IF(AN84&lt;=Hypothèses!$V$13,Hypothèses!$X$13,IF(AN84&lt;=Hypothèses!$V$14,Hypothèses!$X$14,IF(AN84&lt;=Hypothèses!$V$15,Hypothèses!$X$15,IF(AN84&lt;=Hypothèses!$V$16,Hypothèses!$X$16,IF(AN84&lt;=Hypothèses!$U$17,Hypothèses!$W$17,IF(AN84&lt;=Hypothèses!$U$18,Hypothèses!$W$18,""))))))))))))</f>
        <v>#DIV/0!</v>
      </c>
      <c r="BK84" s="95" t="e">
        <f t="shared" ca="1" si="177"/>
        <v>#DIV/0!</v>
      </c>
      <c r="BL84" s="101" t="e">
        <f t="shared" si="225"/>
        <v>#N/A</v>
      </c>
      <c r="BM84" s="91" t="e">
        <f t="shared" si="146"/>
        <v>#N/A</v>
      </c>
      <c r="BN84" s="30" t="e">
        <f t="shared" si="204"/>
        <v>#N/A</v>
      </c>
      <c r="BO84" s="30" t="e">
        <f t="shared" si="205"/>
        <v>#N/A</v>
      </c>
      <c r="BP84" s="31" t="e">
        <f>IF(OR(Hypothèses!$B$4=17,Hypothèses!$B$4=18,Hypothèses!$B$4=19,Hypothèses!$B$4=20),
IF($D84="Pressio.",
IF(OR($E84=3,$E84=1,$E84=4),BO84,BN84),
IF($D84="Pénétro.",
IF(OR($E84=3,$E84=1,$E84=4),BO84,BN84))),IF($D84="Pressio.",
IF($E84=3,BO84,BN84),
IF($D84="Pénétro.",
IF($E84=4,BO84,BN84))))</f>
        <v>#N/A</v>
      </c>
      <c r="BQ84" s="31" t="e">
        <f>(IF(OR(Hypothèses!$B$4=17,Hypothèses!$B$4=18,Hypothèses!$B$4=19,Hypothèses!$B$4=20),
IF($D84="Pressio.",
IF(OR($E84=3,$E84=1,$E84=4),(PI()*BQ$12^2)/4*(BM84*$W84*1000)/($H84*$B$5),(PI()*BQ$12^2)/4*(BM84*$W84*1000)/($G84*$B$5)),
IF($D84="Pénétro.",
IF(OR($E84=4,$E84=1,$E84=5),(PI()*BQ$12^2)/4*(BM84*$W84*1000)/($H84*$B$5),(PI()*BQ$12^2)/4*(BM84*$W84*1000)/($G84*$B$5)))),
IF($D84="Pressio.",
IF($E84=3,(PI()*BQ$12^2)/4*(BM84*$W84*1000)/($H84*$B$5),(PI()*BQ$12^2)/4*(BM84*$W84*1000)/($G84*$B$5)),
IF($D84="Pénétro.",
IF($E84=4,(PI()*BQ$12^2)/4*(BM84*$W84*1000)/($H84*$B$5),(PI()*BQ$12^2)/4*(BM84*$W84*1000)/($G84*$B$5))))))/10</f>
        <v>#N/A</v>
      </c>
      <c r="BR84" s="102" t="e">
        <f>(VLOOKUP($B$3,'Coeff EC7'!$T$39:$X$59,2,0)*BP84+VLOOKUP($B$3,'Coeff EC7'!$T$65:$X$85,2,0)*Model0.1C!BQ84)/1.1</f>
        <v>#N/A</v>
      </c>
      <c r="BS84" s="102" t="e">
        <f>(VLOOKUP($B$3,'Coeff EC7'!$T$39:$X$59,3,0)*BP84+VLOOKUP($B$3,'Coeff EC7'!$T$65:$X$85,3,0)*Model0.1C!BQ84)/0.9</f>
        <v>#N/A</v>
      </c>
      <c r="BT84" s="102" t="e">
        <f t="shared" si="178"/>
        <v>#N/A</v>
      </c>
      <c r="BU84" s="102" t="e">
        <f t="shared" si="179"/>
        <v>#N/A</v>
      </c>
      <c r="BV84" s="414" t="e">
        <f>IF(BV83=0,0,IF(AND(BR84&gt;charge_ELS_quasi,BS84&gt;Charge_ELS_freq,BT84&gt;charge_ELU,BU84&gt;charge_ELA,$B84&gt;NDC!$H$22-0.1+MIN(3*$BV$12,1.5)),0,1))</f>
        <v>#N/A</v>
      </c>
      <c r="BW84" s="86" t="b">
        <f t="shared" si="147"/>
        <v>0</v>
      </c>
      <c r="BX84" s="86">
        <f t="shared" si="148"/>
        <v>0.5</v>
      </c>
      <c r="BY84" s="86">
        <f t="shared" si="149"/>
        <v>0.5</v>
      </c>
      <c r="BZ84" s="30" t="e">
        <f t="shared" ca="1" si="180"/>
        <v>#DIV/0!</v>
      </c>
      <c r="CA84" s="85" t="e">
        <f ca="1">IF(BG84&lt;=Hypothèses!$V$7,Hypothèses!$W$7,IF(BG84&lt;=Hypothèses!$V$8,Hypothèses!$W$8,IF(BG84&lt;=Hypothèses!$V$9,Hypothèses!$W$9,IF(BG84&lt;=Hypothèses!$V$10,Hypothèses!$W$10,IF(BG84&lt;=Hypothèses!$V$11,Hypothèses!$W$11,IF(BG84&lt;=Hypothèses!$V$12,Hypothèses!$W$12,IF(BG84&lt;=Hypothèses!$V$13,Hypothèses!$W$13,IF(BG84&lt;=Hypothèses!$V$14,Hypothèses!$W$14,IF(BG84&lt;=Hypothèses!$V$15,Hypothèses!$W$15,IF(BG84&lt;=Hypothèses!$V$16,Hypothèses!$W$16,IF(BG84&lt;=Hypothèses!$V$17,Hypothèses!$W$17,IF(BG84&lt;=Hypothèses!$V$18,Hypothèses!$W$18,""))))))))))))</f>
        <v>#DIV/0!</v>
      </c>
      <c r="CB84" s="87" t="e">
        <f t="shared" ca="1" si="219"/>
        <v>#DIV/0!</v>
      </c>
      <c r="CC84" s="88" t="e">
        <f ca="1">IF(BG84&lt;=Hypothèses!$V$7,Hypothèses!$X$7,IF(BG84&lt;=Hypothèses!$V$8,Hypothèses!$X$8,IF(BG84&lt;=Hypothèses!$V$9,Hypothèses!$X$9,IF(BG84&lt;=Hypothèses!$V$10,Hypothèses!$X$10,IF(BG84&lt;=Hypothèses!$V$11,Hypothèses!$X$11,IF(BG84&lt;=Hypothèses!$V$12,Hypothèses!$X$12,IF(BG84&lt;=Hypothèses!$V$13,Hypothèses!$X$13,IF(BG84&lt;=Hypothèses!$V$14,Hypothèses!$X$14,IF(BG84&lt;=Hypothèses!$V$15,Hypothèses!$X$15,IF(BG84&lt;=Hypothèses!$V$16,Hypothèses!$X$16,IF(BG84&lt;=Hypothèses!$U$17,Hypothèses!$W$17,IF(BG84&lt;=Hypothèses!$U$18,Hypothèses!$W$18,""))))))))))))</f>
        <v>#DIV/0!</v>
      </c>
      <c r="CD84" s="95" t="e">
        <f t="shared" ca="1" si="181"/>
        <v>#DIV/0!</v>
      </c>
      <c r="CE84" s="101" t="e">
        <f t="shared" si="226"/>
        <v>#N/A</v>
      </c>
      <c r="CF84" s="91" t="e">
        <f t="shared" si="150"/>
        <v>#N/A</v>
      </c>
      <c r="CG84" s="30" t="e">
        <f t="shared" si="206"/>
        <v>#N/A</v>
      </c>
      <c r="CH84" s="30" t="e">
        <f t="shared" si="207"/>
        <v>#N/A</v>
      </c>
      <c r="CI84" s="31" t="e">
        <f>IF(OR(Hypothèses!$B$4=17,Hypothèses!$B$4=18,Hypothèses!$B$4=19,Hypothèses!$B$4=20),
IF($D84="Pressio.",
IF(OR($E84=3,$E84=1,$E84=4),CH84,CG84),
IF($D84="Pénétro.",
IF(OR($E84=3,$E84=1,$E84=4),CH84,CG84))),IF($D84="Pressio.",
IF($E84=3,CH84,CG84),
IF($D84="Pénétro.",
IF($E84=4,CH84,CG84))))</f>
        <v>#N/A</v>
      </c>
      <c r="CJ84" s="31" t="e">
        <f>(IF(OR(Hypothèses!$B$4=17,Hypothèses!$B$4=18,Hypothèses!$B$4=19,Hypothèses!$B$4=20),
IF($D84="Pressio.",
IF(OR($E84=3,$E84=1,$E84=4),(PI()*CJ$12^2)/4*(CF84*$W84*1000)/($H84*$B$5),(PI()*CJ$12^2)/4*(CF84*$W84*1000)/($G84*$B$5)),
IF($D84="Pénétro.",
IF(OR($E84=4,$E84=1,$E84=5),(PI()*CJ$12^2)/4*(CF84*$W84*1000)/($H84*$B$5),(PI()*CJ$12^2)/4*(CF84*$W84*1000)/($G84*$B$5)))),
IF($D84="Pressio.",
IF($E84=3,(PI()*CJ$12^2)/4*(CF84*$W84*1000)/($H84*$B$5),(PI()*CJ$12^2)/4*(CF84*$W84*1000)/($G84*$B$5)),
IF($D84="Pénétro.",
IF($E84=4,(PI()*CJ$12^2)/4*(CF84*$W84*1000)/($H84*$B$5),(PI()*CJ$12^2)/4*(CF84*$W84*1000)/($G84*$B$5))))))/10</f>
        <v>#N/A</v>
      </c>
      <c r="CK84" s="102" t="e">
        <f>(VLOOKUP($B$3,'Coeff EC7'!$T$39:$X$59,2,0)*CI84+VLOOKUP($B$3,'Coeff EC7'!$T$65:$X$85,2,0)*Model0.1C!CJ84)/1.1</f>
        <v>#N/A</v>
      </c>
      <c r="CL84" s="102" t="e">
        <f>(VLOOKUP($B$3,'Coeff EC7'!$T$39:$X$59,3,0)*CI84+VLOOKUP($B$3,'Coeff EC7'!$T$65:$X$85,3,0)*Model0.1C!CJ84)/0.9</f>
        <v>#N/A</v>
      </c>
      <c r="CM84" s="102" t="e">
        <f t="shared" si="182"/>
        <v>#N/A</v>
      </c>
      <c r="CN84" s="102" t="e">
        <f t="shared" si="183"/>
        <v>#N/A</v>
      </c>
      <c r="CO84" s="414" t="e">
        <f>IF(CO83=0,0,IF(AND(CK84&gt;charge_ELS_quasi,CL84&gt;Charge_ELS_freq,CM84&gt;charge_ELU,CN84&gt;charge_ELA,$B84&gt;NDC!$H$22-0.1+MIN(3*$CO$12,1.5)),0,1))</f>
        <v>#N/A</v>
      </c>
      <c r="CP84" s="86" t="b">
        <f t="shared" si="151"/>
        <v>0</v>
      </c>
      <c r="CQ84" s="86">
        <f t="shared" si="152"/>
        <v>0.5</v>
      </c>
      <c r="CR84" s="86">
        <f t="shared" si="153"/>
        <v>0.5</v>
      </c>
      <c r="CS84" s="30" t="e">
        <f t="shared" ca="1" si="184"/>
        <v>#DIV/0!</v>
      </c>
      <c r="CT84" s="85" t="e">
        <f ca="1">IF(BZ84&lt;=Hypothèses!$V$7,Hypothèses!$W$7,IF(BZ84&lt;=Hypothèses!$V$8,Hypothèses!$W$8,IF(BZ84&lt;=Hypothèses!$V$9,Hypothèses!$W$9,IF(BZ84&lt;=Hypothèses!$V$10,Hypothèses!$W$10,IF(BZ84&lt;=Hypothèses!$V$11,Hypothèses!$W$11,IF(BZ84&lt;=Hypothèses!$V$12,Hypothèses!$W$12,IF(BZ84&lt;=Hypothèses!$V$13,Hypothèses!$W$13,IF(BZ84&lt;=Hypothèses!$V$14,Hypothèses!$W$14,IF(BZ84&lt;=Hypothèses!$V$15,Hypothèses!$W$15,IF(BZ84&lt;=Hypothèses!$V$16,Hypothèses!$W$16,IF(BZ84&lt;=Hypothèses!$V$17,Hypothèses!$W$17,IF(BZ84&lt;=Hypothèses!$V$18,Hypothèses!$W$18,""))))))))))))</f>
        <v>#DIV/0!</v>
      </c>
      <c r="CU84" s="87" t="e">
        <f t="shared" ca="1" si="220"/>
        <v>#DIV/0!</v>
      </c>
      <c r="CV84" s="88" t="e">
        <f ca="1">IF(BZ84&lt;=Hypothèses!$V$7,Hypothèses!$X$7,IF(BZ84&lt;=Hypothèses!$V$8,Hypothèses!$X$8,IF(BZ84&lt;=Hypothèses!$V$9,Hypothèses!$X$9,IF(BZ84&lt;=Hypothèses!$V$10,Hypothèses!$X$10,IF(BZ84&lt;=Hypothèses!$V$11,Hypothèses!$X$11,IF(BZ84&lt;=Hypothèses!$V$12,Hypothèses!$X$12,IF(BZ84&lt;=Hypothèses!$V$13,Hypothèses!$X$13,IF(BZ84&lt;=Hypothèses!$V$14,Hypothèses!$X$14,IF(BZ84&lt;=Hypothèses!$V$15,Hypothèses!$X$15,IF(BZ84&lt;=Hypothèses!$V$16,Hypothèses!$X$16,IF(BZ84&lt;=Hypothèses!$U$17,Hypothèses!$W$17,IF(BZ84&lt;=Hypothèses!$U$18,Hypothèses!$W$18,""))))))))))))</f>
        <v>#DIV/0!</v>
      </c>
      <c r="CW84" s="95" t="e">
        <f t="shared" ca="1" si="185"/>
        <v>#DIV/0!</v>
      </c>
      <c r="CX84" s="101" t="e">
        <f t="shared" si="227"/>
        <v>#N/A</v>
      </c>
      <c r="CY84" s="91" t="e">
        <f t="shared" si="154"/>
        <v>#N/A</v>
      </c>
      <c r="CZ84" s="30" t="e">
        <f t="shared" si="208"/>
        <v>#N/A</v>
      </c>
      <c r="DA84" s="30" t="e">
        <f t="shared" si="209"/>
        <v>#N/A</v>
      </c>
      <c r="DB84" s="31" t="e">
        <f>IF(OR(Hypothèses!$B$4=17,Hypothèses!$B$4=18,Hypothèses!$B$4=19,Hypothèses!$B$4=20),
IF($D84="Pressio.",
IF(OR($E84=3,$E84=1,$E84=4),DA84,CZ84),
IF($D84="Pénétro.",
IF(OR($E84=3,$E84=1,$E84=4),DA84,CZ84))),IF($D84="Pressio.",
IF($E84=3,DA84,CZ84),
IF($D84="Pénétro.",
IF($E84=4,DA84,CZ84))))</f>
        <v>#N/A</v>
      </c>
      <c r="DC84" s="31" t="e">
        <f>(IF(OR(Hypothèses!$B$4=17,Hypothèses!$B$4=18,Hypothèses!$B$4=19,Hypothèses!$B$4=20),
IF($D84="Pressio.",
IF(OR($E84=3,$E84=1,$E84=4),(PI()*DC$12^2)/4*(CY84*$W84*1000)/($H84*$B$5),(PI()*DC$12^2)/4*(CY84*$W84*1000)/($G84*$B$5)),
IF($D84="Pénétro.",
IF(OR($E84=4,$E84=1,$E84=5),(PI()*DC$12^2)/4*(CY84*$W84*1000)/($H84*$B$5),(PI()*DC$12^2)/4*(CY84*$W84*1000)/($G84*$B$5)))),
IF($D84="Pressio.",
IF($E84=3,(PI()*DC$12^2)/4*(CY84*$W84*1000)/($H84*$B$5),(PI()*DC$12^2)/4*(CY84*$W84*1000)/($G84*$B$5)),
IF($D84="Pénétro.",
IF($E84=4,(PI()*DC$12^2)/4*(CY84*$W84*1000)/($H84*$B$5),(PI()*DC$12^2)/4*(CY84*$W84*1000)/($G84*$B$5))))))/10</f>
        <v>#N/A</v>
      </c>
      <c r="DD84" s="102" t="e">
        <f>(VLOOKUP($B$3,'Coeff EC7'!$T$39:$X$59,2,0)*DB84+VLOOKUP($B$3,'Coeff EC7'!$T$65:$X$85,2,0)*Model0.1C!DC84)/1.1</f>
        <v>#N/A</v>
      </c>
      <c r="DE84" s="102" t="e">
        <f>(VLOOKUP($B$3,'Coeff EC7'!$T$39:$X$59,3,0)*DB84+VLOOKUP($B$3,'Coeff EC7'!$T$65:$X$85,3,0)*Model0.1C!DC84)/0.9</f>
        <v>#N/A</v>
      </c>
      <c r="DF84" s="102" t="e">
        <f t="shared" si="186"/>
        <v>#N/A</v>
      </c>
      <c r="DG84" s="102" t="e">
        <f t="shared" si="187"/>
        <v>#N/A</v>
      </c>
      <c r="DH84" s="414" t="e">
        <f>IF(DH83=0,0,IF(AND(DD84&gt;charge_ELS_quasi,DE84&gt;Charge_ELS_freq,DF84&gt;charge_ELU,DG84&gt;charge_ELA,$B84&gt;NDC!$H$22-0.1+MIN(3*$DH$12,1.5)),0,1))</f>
        <v>#N/A</v>
      </c>
      <c r="DI84" s="86" t="b">
        <f t="shared" si="155"/>
        <v>0</v>
      </c>
      <c r="DJ84" s="86">
        <f t="shared" si="156"/>
        <v>0.5</v>
      </c>
      <c r="DK84" s="86">
        <f t="shared" si="157"/>
        <v>0.5</v>
      </c>
      <c r="DL84" s="30" t="e">
        <f t="shared" ca="1" si="188"/>
        <v>#DIV/0!</v>
      </c>
      <c r="DM84" s="85" t="e">
        <f ca="1">IF(CS84&lt;=Hypothèses!$V$7,Hypothèses!$W$7,IF(CS84&lt;=Hypothèses!$V$8,Hypothèses!$W$8,IF(CS84&lt;=Hypothèses!$V$9,Hypothèses!$W$9,IF(CS84&lt;=Hypothèses!$V$10,Hypothèses!$W$10,IF(CS84&lt;=Hypothèses!$V$11,Hypothèses!$W$11,IF(CS84&lt;=Hypothèses!$V$12,Hypothèses!$W$12,IF(CS84&lt;=Hypothèses!$V$13,Hypothèses!$W$13,IF(CS84&lt;=Hypothèses!$V$14,Hypothèses!$W$14,IF(CS84&lt;=Hypothèses!$V$15,Hypothèses!$W$15,IF(CS84&lt;=Hypothèses!$V$16,Hypothèses!$W$16,IF(CS84&lt;=Hypothèses!$V$17,Hypothèses!$W$17,IF(CS84&lt;=Hypothèses!$V$18,Hypothèses!$W$18,""))))))))))))</f>
        <v>#DIV/0!</v>
      </c>
      <c r="DN84" s="87" t="e">
        <f t="shared" ca="1" si="221"/>
        <v>#DIV/0!</v>
      </c>
      <c r="DO84" s="88" t="e">
        <f ca="1">IF(CS84&lt;=Hypothèses!$V$7,Hypothèses!$X$7,IF(CS84&lt;=Hypothèses!$V$8,Hypothèses!$X$8,IF(CS84&lt;=Hypothèses!$V$9,Hypothèses!$X$9,IF(CS84&lt;=Hypothèses!$V$10,Hypothèses!$X$10,IF(CS84&lt;=Hypothèses!$V$11,Hypothèses!$X$11,IF(CS84&lt;=Hypothèses!$V$12,Hypothèses!$X$12,IF(CS84&lt;=Hypothèses!$V$13,Hypothèses!$X$13,IF(CS84&lt;=Hypothèses!$V$14,Hypothèses!$X$14,IF(CS84&lt;=Hypothèses!$V$15,Hypothèses!$X$15,IF(CS84&lt;=Hypothèses!$V$16,Hypothèses!$X$16,IF(CS84&lt;=Hypothèses!$U$17,Hypothèses!$W$17,IF(CS84&lt;=Hypothèses!$U$18,Hypothèses!$W$18,""))))))))))))</f>
        <v>#DIV/0!</v>
      </c>
      <c r="DP84" s="95" t="e">
        <f t="shared" ca="1" si="189"/>
        <v>#DIV/0!</v>
      </c>
      <c r="DQ84" s="101" t="e">
        <f t="shared" si="228"/>
        <v>#N/A</v>
      </c>
      <c r="DR84" s="91" t="e">
        <f t="shared" si="158"/>
        <v>#N/A</v>
      </c>
      <c r="DS84" s="30" t="e">
        <f t="shared" si="210"/>
        <v>#N/A</v>
      </c>
      <c r="DT84" s="30" t="e">
        <f t="shared" si="211"/>
        <v>#N/A</v>
      </c>
      <c r="DU84" s="31" t="e">
        <f>IF(OR(Hypothèses!$B$4=17,Hypothèses!$B$4=18,Hypothèses!$B$4=19,Hypothèses!$B$4=20),
IF($D84="Pressio.",
IF(OR($E84=3,$E84=1,$E84=4),DT84,DS84),
IF($D84="Pénétro.",
IF(OR($E84=3,$E84=1,$E84=4),DT84,DS84))),IF($D84="Pressio.",
IF($E84=3,DT84,DS84),
IF($D84="Pénétro.",
IF($E84=4,DT84,DS84))))</f>
        <v>#N/A</v>
      </c>
      <c r="DV84" s="31" t="e">
        <f>(IF(OR(Hypothèses!$B$4=17,Hypothèses!$B$4=18,Hypothèses!$B$4=19,Hypothèses!$B$4=20),
IF($D84="Pressio.",
IF(OR($E84=3,$E84=1,$E84=4),(PI()*DV$12^2)/4*(DR84*$W84*1000)/($H84*$B$5),(PI()*DV$12^2)/4*(DR84*$W84*1000)/($G84*$B$5)),
IF($D84="Pénétro.",
IF(OR($E84=4,$E84=1,$E84=5),(PI()*DV$12^2)/4*(DR84*$W84*1000)/($H84*$B$5),(PI()*DV$12^2)/4*(DR84*$W84*1000)/($G84*$B$5)))),
IF($D84="Pressio.",
IF($E84=3,(PI()*DV$12^2)/4*(DR84*$W84*1000)/($H84*$B$5),(PI()*DV$12^2)/4*(DR84*$W84*1000)/($G84*$B$5)),
IF($D84="Pénétro.",
IF($E84=4,(PI()*DV$12^2)/4*(DR84*$W84*1000)/($H84*$B$5),(PI()*DV$12^2)/4*(DR84*$W84*1000)/($G84*$B$5))))))/10</f>
        <v>#N/A</v>
      </c>
      <c r="DW84" s="102" t="e">
        <f>(VLOOKUP($B$3,'Coeff EC7'!$T$39:$X$59,2,0)*DU84+VLOOKUP($B$3,'Coeff EC7'!$T$65:$X$85,2,0)*Model0.1C!DV84)/1.1</f>
        <v>#N/A</v>
      </c>
      <c r="DX84" s="102" t="e">
        <f>(VLOOKUP($B$3,'Coeff EC7'!$T$39:$X$59,3,0)*DU84+VLOOKUP($B$3,'Coeff EC7'!$T$65:$X$85,3,0)*Model0.1C!DV84)/0.9</f>
        <v>#N/A</v>
      </c>
      <c r="DY84" s="102" t="e">
        <f t="shared" si="190"/>
        <v>#N/A</v>
      </c>
      <c r="DZ84" s="102" t="e">
        <f t="shared" si="191"/>
        <v>#N/A</v>
      </c>
      <c r="EA84" s="414" t="e">
        <f>IF(EA83=0,0,IF(AND(DW84&gt;charge_ELS_quasi,DX84&gt;Charge_ELS_freq,DY84&gt;charge_ELU,DZ84&gt;charge_ELA,$B84&gt;NDC!$H$22-0.1+MIN(3*$EA$12,1.5)),0,1))</f>
        <v>#N/A</v>
      </c>
      <c r="EB84" s="86" t="b">
        <f t="shared" si="159"/>
        <v>0</v>
      </c>
      <c r="EC84" s="418">
        <f t="shared" si="160"/>
        <v>0.51</v>
      </c>
      <c r="ED84" s="86">
        <f t="shared" si="161"/>
        <v>0.51</v>
      </c>
      <c r="EE84" s="30" t="e">
        <f t="shared" ca="1" si="192"/>
        <v>#DIV/0!</v>
      </c>
      <c r="EF84" s="85" t="e">
        <f ca="1">IF(DL84&lt;=Hypothèses!$V$7,Hypothèses!$W$7,IF(DL84&lt;=Hypothèses!$V$8,Hypothèses!$W$8,IF(DL84&lt;=Hypothèses!$V$9,Hypothèses!$W$9,IF(DL84&lt;=Hypothèses!$V$10,Hypothèses!$W$10,IF(DL84&lt;=Hypothèses!$V$11,Hypothèses!$W$11,IF(DL84&lt;=Hypothèses!$V$12,Hypothèses!$W$12,IF(DL84&lt;=Hypothèses!$V$13,Hypothèses!$W$13,IF(DL84&lt;=Hypothèses!$V$14,Hypothèses!$W$14,IF(DL84&lt;=Hypothèses!$V$15,Hypothèses!$W$15,IF(DL84&lt;=Hypothèses!$V$16,Hypothèses!$W$16,IF(DL84&lt;=Hypothèses!$V$17,Hypothèses!$W$17,IF(DL84&lt;=Hypothèses!$V$18,Hypothèses!$W$18,""))))))))))))</f>
        <v>#DIV/0!</v>
      </c>
      <c r="EG84" s="87" t="e">
        <f t="shared" ca="1" si="222"/>
        <v>#DIV/0!</v>
      </c>
      <c r="EH84" s="88" t="e">
        <f ca="1">IF(DL84&lt;=Hypothèses!$V$7,Hypothèses!$X$7,IF(DL84&lt;=Hypothèses!$V$8,Hypothèses!$X$8,IF(DL84&lt;=Hypothèses!$V$9,Hypothèses!$X$9,IF(DL84&lt;=Hypothèses!$V$10,Hypothèses!$X$10,IF(DL84&lt;=Hypothèses!$V$11,Hypothèses!$X$11,IF(DL84&lt;=Hypothèses!$V$12,Hypothèses!$X$12,IF(DL84&lt;=Hypothèses!$V$13,Hypothèses!$X$13,IF(DL84&lt;=Hypothèses!$V$14,Hypothèses!$X$14,IF(DL84&lt;=Hypothèses!$V$15,Hypothèses!$X$15,IF(DL84&lt;=Hypothèses!$V$16,Hypothèses!$X$16,IF(DL84&lt;=Hypothèses!$U$17,Hypothèses!$W$17,IF(DL84&lt;=Hypothèses!$U$18,Hypothèses!$W$18,""))))))))))))</f>
        <v>#DIV/0!</v>
      </c>
      <c r="EI84" s="95" t="e">
        <f t="shared" ca="1" si="193"/>
        <v>#DIV/0!</v>
      </c>
      <c r="EJ84" s="101" t="e">
        <f t="shared" si="229"/>
        <v>#N/A</v>
      </c>
      <c r="EK84" s="91" t="e">
        <f t="shared" si="162"/>
        <v>#N/A</v>
      </c>
      <c r="EL84" s="30" t="e">
        <f t="shared" si="212"/>
        <v>#N/A</v>
      </c>
      <c r="EM84" s="30" t="e">
        <f t="shared" si="213"/>
        <v>#N/A</v>
      </c>
      <c r="EN84" s="31" t="e">
        <f>IF(OR(Hypothèses!$B$4=17,Hypothèses!$B$4=18,Hypothèses!$B$4=19,Hypothèses!$B$4=20),
IF($D84="Pressio.",
IF(OR($E84=3,$E84=1,$E84=4),EM84,EL84),
IF($D84="Pénétro.",
IF(OR($E84=3,$E84=1,$E84=4),EM84,EL84))),IF($D84="Pressio.",
IF($E84=3,EM84,EL84),
IF($D84="Pénétro.",
IF($E84=4,EM84,EL84))))</f>
        <v>#N/A</v>
      </c>
      <c r="EO84" s="31" t="e">
        <f>(IF(OR(Hypothèses!$B$4=17,Hypothèses!$B$4=18,Hypothèses!$B$4=19,Hypothèses!$B$4=20),
IF($D84="Pressio.",
IF(OR($E84=3,$E84=1,$E84=4),(PI()*EO$12^2)/4*(EK84*$W84*1000)/($H84*$B$5),(PI()*EO$12^2)/4*(EK84*$W84*1000)/($G84*$B$5)),
IF($D84="Pénétro.",
IF(OR($E84=4,$E84=1,$E84=5),(PI()*EO$12^2)/4*(EK84*$W84*1000)/($H84*$B$5),(PI()*EO$12^2)/4*(EK84*$W84*1000)/($G84*$B$5)))),
IF($D84="Pressio.",
IF($E84=3,(PI()*EO$12^2)/4*(EK84*$W84*1000)/($H84*$B$5),(PI()*EO$12^2)/4*(EK84*$W84*1000)/($G84*$B$5)),
IF($D84="Pénétro.",
IF($E84=4,(PI()*EO$12^2)/4*(EK84*$W84*1000)/($H84*$B$5),(PI()*EO$12^2)/4*(EK84*$W84*1000)/($G84*$B$5))))))/10</f>
        <v>#N/A</v>
      </c>
      <c r="EP84" s="102" t="e">
        <f>(VLOOKUP($B$3,'Coeff EC7'!$T$39:$X$59,2,0)*EN84+VLOOKUP($B$3,'Coeff EC7'!$T$65:$X$85,2,0)*Model0.1C!EO84)/1.1</f>
        <v>#N/A</v>
      </c>
      <c r="EQ84" s="102" t="e">
        <f>(VLOOKUP($B$3,'Coeff EC7'!$T$39:$X$59,3,0)*EN84+VLOOKUP($B$3,'Coeff EC7'!$T$65:$X$85,3,0)*Model0.1C!EO84)/0.9</f>
        <v>#N/A</v>
      </c>
      <c r="ER84" s="102" t="e">
        <f t="shared" si="194"/>
        <v>#N/A</v>
      </c>
      <c r="ES84" s="102" t="e">
        <f t="shared" si="195"/>
        <v>#N/A</v>
      </c>
      <c r="ET84" s="414" t="e">
        <f>IF(ET83=0,0,IF(AND(EP84&gt;charge_ELS_quasi,EQ84&gt;Charge_ELS_freq,ER84&gt;charge_ELU,ES84&gt;charge_ELA,$B84&gt;NDC!$H$22-0.1+MIN(3*$ET$12,1.5)),0,1))</f>
        <v>#N/A</v>
      </c>
      <c r="EU84" s="86" t="b">
        <f t="shared" si="163"/>
        <v>0</v>
      </c>
      <c r="EV84" s="86">
        <f t="shared" si="164"/>
        <v>0.61</v>
      </c>
      <c r="EW84" s="86">
        <f t="shared" si="165"/>
        <v>0.61</v>
      </c>
      <c r="EX84" s="30" t="e">
        <f t="shared" ca="1" si="196"/>
        <v>#DIV/0!</v>
      </c>
      <c r="EY84" s="85" t="e">
        <f ca="1">IF(EE84&lt;=Hypothèses!$V$7,Hypothèses!$W$7,IF(EE84&lt;=Hypothèses!$V$8,Hypothèses!$W$8,IF(EE84&lt;=Hypothèses!$V$9,Hypothèses!$W$9,IF(EE84&lt;=Hypothèses!$V$10,Hypothèses!$W$10,IF(EE84&lt;=Hypothèses!$V$11,Hypothèses!$W$11,IF(EE84&lt;=Hypothèses!$V$12,Hypothèses!$W$12,IF(EE84&lt;=Hypothèses!$V$13,Hypothèses!$W$13,IF(EE84&lt;=Hypothèses!$V$14,Hypothèses!$W$14,IF(EE84&lt;=Hypothèses!$V$15,Hypothèses!$W$15,IF(EE84&lt;=Hypothèses!$V$16,Hypothèses!$W$16,IF(EE84&lt;=Hypothèses!$V$17,Hypothèses!$W$17,IF(EE84&lt;=Hypothèses!$V$18,Hypothèses!$W$18,""))))))))))))</f>
        <v>#DIV/0!</v>
      </c>
      <c r="EZ84" s="87" t="e">
        <f t="shared" ca="1" si="223"/>
        <v>#DIV/0!</v>
      </c>
      <c r="FA84" s="88" t="e">
        <f ca="1">IF(EE84&lt;=Hypothèses!$V$7,Hypothèses!$X$7,IF(EE84&lt;=Hypothèses!$V$8,Hypothèses!$X$8,IF(EE84&lt;=Hypothèses!$V$9,Hypothèses!$X$9,IF(EE84&lt;=Hypothèses!$V$10,Hypothèses!$X$10,IF(EE84&lt;=Hypothèses!$V$11,Hypothèses!$X$11,IF(EE84&lt;=Hypothèses!$V$12,Hypothèses!$X$12,IF(EE84&lt;=Hypothèses!$V$13,Hypothèses!$X$13,IF(EE84&lt;=Hypothèses!$V$14,Hypothèses!$X$14,IF(EE84&lt;=Hypothèses!$V$15,Hypothèses!$X$15,IF(EE84&lt;=Hypothèses!$V$16,Hypothèses!$X$16,IF(EE84&lt;=Hypothèses!$U$17,Hypothèses!$W$17,IF(EE84&lt;=Hypothèses!$U$18,Hypothèses!$W$18,""))))))))))))</f>
        <v>#DIV/0!</v>
      </c>
      <c r="FB84" s="95" t="e">
        <f t="shared" ca="1" si="197"/>
        <v>#DIV/0!</v>
      </c>
      <c r="FC84" s="101" t="e">
        <f t="shared" si="230"/>
        <v>#N/A</v>
      </c>
      <c r="FD84" s="91" t="e">
        <f t="shared" si="166"/>
        <v>#N/A</v>
      </c>
      <c r="FE84" s="30" t="e">
        <f t="shared" si="214"/>
        <v>#N/A</v>
      </c>
      <c r="FF84" s="30" t="e">
        <f t="shared" si="215"/>
        <v>#N/A</v>
      </c>
      <c r="FG84" s="31" t="e">
        <f>IF(OR(Hypothèses!$B$4=17,Hypothèses!$B$4=18,Hypothèses!$B$4=19,Hypothèses!$B$4=20),
IF($D84="Pressio.",
IF(OR($E84=3,$E84=1,$E84=4),FF84,FE84),
IF($D84="Pénétro.",
IF(OR($E84=3,$E84=1,$E84=4),FF84,FE84))),IF($D84="Pressio.",
IF($E84=3,FF84,FE84),
IF($D84="Pénétro.",
IF($E84=4,FF84,FE84))))</f>
        <v>#N/A</v>
      </c>
      <c r="FH84" s="31" t="e">
        <f>(IF(OR(Hypothèses!$B$4=17,Hypothèses!$B$4=18,Hypothèses!$B$4=19,Hypothèses!$B$4=20),
IF($D84="Pressio.",
IF(OR($E84=3,$E84=1,$E84=4),(PI()*FH$12^2)/4*(FD84*$W84*1000)/($H84*$B$5),(PI()*FH$12^2)/4*(FD84*$W84*1000)/($G84*$B$5)),
IF($D84="Pénétro.",
IF(OR($E84=4,$E84=1,$E84=5),(PI()*FH$12^2)/4*(FD84*$W84*1000)/($H84*$B$5),(PI()*FH$12^2)/4*(FD84*$W84*1000)/($G84*$B$5)))),
IF($D84="Pressio.",
IF($E84=3,(PI()*FH$12^2)/4*(FD84*$W84*1000)/($H84*$B$5),(PI()*FH$12^2)/4*(FD84*$W84*1000)/($G84*$B$5)),
IF($D84="Pénétro.",
IF($E84=4,(PI()*FH$12^2)/4*(FD84*$W84*1000)/($H84*$B$5),(PI()*FH$12^2)/4*(FD84*$W84*1000)/($G84*$B$5))))))/10</f>
        <v>#N/A</v>
      </c>
      <c r="FI84" s="102" t="e">
        <f>(VLOOKUP($B$3,'Coeff EC7'!$T$39:$X$59,2,0)*FG84+VLOOKUP($B$3,'Coeff EC7'!$T$65:$X$85,2,0)*Model0.1C!FH84)/1.1</f>
        <v>#N/A</v>
      </c>
      <c r="FJ84" s="102" t="e">
        <f>(VLOOKUP($B$3,'Coeff EC7'!$T$39:$X$59,3,0)*FG84+VLOOKUP($B$3,'Coeff EC7'!$T$65:$X$85,3,0)*Model0.1C!FH84)/0.9</f>
        <v>#N/A</v>
      </c>
      <c r="FK84" s="102" t="e">
        <f t="shared" si="198"/>
        <v>#N/A</v>
      </c>
      <c r="FL84" s="102" t="e">
        <f t="shared" si="199"/>
        <v>#N/A</v>
      </c>
      <c r="FM84" s="414" t="e">
        <f>IF(FM83=0,0,IF(AND(FI84&gt;charge_ELS_quasi,FJ84&gt;Charge_ELS_freq,FK84&gt;charge_ELU,FL84&gt;charge_ELA,$B84&gt;NDC!$H$22-0.1+MIN(3*$FM$12,1.5)),0,1))</f>
        <v>#N/A</v>
      </c>
    </row>
    <row r="85" spans="1:169">
      <c r="A85" s="96">
        <f t="shared" si="167"/>
        <v>92.800000000000409</v>
      </c>
      <c r="B85" s="97">
        <v>7.2</v>
      </c>
      <c r="C85" s="81">
        <f>IF(B85&lt;=Hypothèses!$C$7,Hypothèses!$A$7,IF(B85&lt;=Hypothèses!$C$8,Hypothèses!$A$8,IF(B85&lt;=Hypothèses!$C$9,Hypothèses!$A$9,IF(B85&lt;=Hypothèses!$C$10,Hypothèses!$A$10,IF(B85&lt;=Hypothèses!$C$11,Hypothèses!$A$11,IF(B85&lt;=Hypothèses!$C$12,Hypothèses!$A$12,IF(B85&lt;=Hypothèses!$C$13,Hypothèses!$A$13,IF(B85&lt;=Hypothèses!$C$14,Hypothèses!$A$14,IF(B85&lt;=Hypothèses!$C$15,Hypothèses!$A$15,IF(B85&lt;=Hypothèses!$C$16,Hypothèses!$A$16,IF(B85&lt;=Hypothèses!$C$17,Hypothèses!$A$17,IF(B85&lt;=Hypothèses!$C$18,Hypothèses!$A$18,C84))))))))))))</f>
        <v>11</v>
      </c>
      <c r="D85" s="82" t="str">
        <f>IF(B85&lt;=Hypothèses!$C$7,Hypothèses!$R$7,IF(B85&lt;=Hypothèses!$C$8,Hypothèses!$R$8,IF(B85&lt;=Hypothèses!$C$9,Hypothèses!$R$9,IF(B85&lt;=Hypothèses!$C$10,Hypothèses!$R$10,IF(B85&lt;=Hypothèses!$C$11,Hypothèses!$R$11,IF(B85&lt;=Hypothèses!$C$12,Hypothèses!$R$12,IF(B85&lt;=Hypothèses!$C$13,Hypothèses!$R$13,IF(B85&lt;=Hypothèses!$C$14,Hypothèses!$R$14,IF(B85&lt;=Hypothèses!$C$15,Hypothèses!$R$15,IF(B85&lt;=Hypothèses!$C$16,Hypothèses!$R$16,IF(B85&lt;=Hypothèses!$C$17,Hypothèses!$R$17,IF(B85&lt;=Hypothèses!$C$18,Hypothèses!$R$18,D84))))))))))))</f>
        <v>Pressio.</v>
      </c>
      <c r="E85" s="82" t="e">
        <f>IF(B85&lt;=Hypothèses!$C$7,Hypothèses!$G$7,IF(B85&lt;=Hypothèses!$C$8,Hypothèses!$G$8,IF(B85&lt;=Hypothèses!$C$9,Hypothèses!$G$9,IF(B85&lt;=Hypothèses!$C$10,Hypothèses!$G$10,IF(B85&lt;=Hypothèses!$C$11,Hypothèses!$G$11,IF(B85&lt;=Hypothèses!$C$12,Hypothèses!$G$12,IF(B85&lt;=Hypothèses!$C$13,Hypothèses!$G$13,IF(B85&lt;=Hypothèses!$C$14,Hypothèses!$G$14,IF(B85&lt;=Hypothèses!$C$15,Hypothèses!$G$15,IF(B85&lt;=Hypothèses!$C$16,Hypothèses!$G$16,IF(B85&lt;=Hypothèses!$C$17,Hypothèses!$G$17,IF(B85&lt;=Hypothèses!$C$18,Hypothèses!$G$18,E84))))))))))))</f>
        <v>#N/A</v>
      </c>
      <c r="F85" s="82" t="str">
        <f>IF(B85&lt;=Hypothèses!$C$7,Hypothèses!$F$7,IF(B85&lt;=Hypothèses!$C$8,Hypothèses!$F$8,IF(B85&lt;=Hypothèses!$C$9,Hypothèses!$F$9,IF(B85&lt;=Hypothèses!$C$10,Hypothèses!$F$10,IF(B85&lt;=Hypothèses!$C$11,Hypothèses!$F$11,IF(B85&lt;=Hypothèses!$C$12,Hypothèses!$F$12,IF(B85&lt;=Hypothèses!$C$13,Hypothèses!$F$13,IF(B85&lt;=Hypothèses!$C$14,Hypothèses!$F$14,IF(B85&lt;=Hypothèses!$C$15,Hypothèses!$F$15,IF(B85&lt;=Hypothèses!$C$16,Hypothèses!$F$16,IF(B85&lt;=Hypothèses!$C$17,Hypothèses!$F$17,IF(B85&lt;=Hypothèses!$C$18,Hypothèses!$F$18,F84))))))))))))</f>
        <v/>
      </c>
      <c r="G85" s="91">
        <f t="array" ref="G85">INDEX('Coeff EC7'!$U$7:$X$27,
MATCH(Model0.1C!$B$3,'Coeff EC7'!$T$7:$T$27,0),
MATCH(Model0.1C!$D85&amp;Model0.1C!$B$4,
'Coeff EC7'!$U$6:$X$6&amp;
'Coeff EC7'!$U$5:$X$5,0))</f>
        <v>1.1499999999999999</v>
      </c>
      <c r="H85" s="91">
        <f t="array" ref="H85">INDEX('Coeff EC7'!$Y$7:$AB$27,
MATCH(Model0.1C!$B$3,'Coeff EC7'!$T$7:$T$27,0),
MATCH(Model0.1C!$D85&amp;Model0.1C!$B$4,
'Coeff EC7'!$Y$6:$AB$6&amp;
'Coeff EC7'!$Y$5:$AB$5,0))</f>
        <v>1.4</v>
      </c>
      <c r="I85" s="83" t="e">
        <f>IF(B85&lt;=Hypothèses!$C$7,Hypothèses!$P$7,IF(B85&lt;=Hypothèses!$C$8,Hypothèses!$P$8,IF(B85&lt;=Hypothèses!$C$9,Hypothèses!$P$9,IF(B85&lt;=Hypothèses!$C$10,Hypothèses!$P$10,IF(B85&lt;=Hypothèses!$C$11,Hypothèses!$P$11,IF(B85&lt;=Hypothèses!$C$12,Hypothèses!$P$12,IF(B85&lt;=Hypothèses!$C$13,Hypothèses!$P$13,IF(B85&lt;=Hypothèses!$C$14,Hypothèses!$P$14,IF(B85&lt;=Hypothèses!$C$15,Hypothèses!$P$15,IF(B85&lt;=Hypothèses!$C$16,Hypothèses!$P$16,IF(B85&lt;=Hypothèses!$C$17,Hypothèses!$P$17,IF(B85&lt;=Hypothèses!$C$18,Hypothèses!$P$18,I84))))))))))))</f>
        <v>#N/A</v>
      </c>
      <c r="J85" s="91" t="e">
        <f t="array" ref="J85">INDEX('Coeff EC7'!$D$33:$Q$33,1,MATCH(D85&amp;E85,'Coeff EC7'!$D$31:$Q$31&amp;'Coeff EC7'!$D$32:$Q$32,0))</f>
        <v>#N/A</v>
      </c>
      <c r="K85" s="91" t="e">
        <f t="array" ref="K85">INDEX('Coeff EC7'!$D$34:$Q$34,1,MATCH(D85&amp;E85,'Coeff EC7'!$D$31:$Q$31&amp;'Coeff EC7'!$D$32:$Q$32,0))</f>
        <v>#N/A</v>
      </c>
      <c r="L85" s="91" t="e">
        <f t="array" ref="L85">INDEX('Coeff EC7'!$D$35:$Q$35,1,MATCH(D85&amp;E85,'Coeff EC7'!$D$31:$Q$31&amp;'Coeff EC7'!$D$32:$Q$32,0))</f>
        <v>#N/A</v>
      </c>
      <c r="M85" s="98" t="e">
        <f t="shared" si="131"/>
        <v>#N/A</v>
      </c>
      <c r="N85" s="99" t="e">
        <f t="array" ref="N85">INDEX('Coeff EC7'!$D$7:$Q$27,MATCH($B$3,'Coeff EC7'!$C$7:$C$27,0),MATCH(D85&amp;E85,'Coeff EC7'!$D$5:$Q$5&amp;'Coeff EC7'!$D$6:$Q$6,0))</f>
        <v>#N/A</v>
      </c>
      <c r="O85" s="99" t="e">
        <f t="array" ref="O85">INDEX('Coeff EC7'!$D$41:$Q$61,MATCH($B$3,'Coeff EC7'!$C$41:$C$61,0),MATCH(D85&amp;E85,'Coeff EC7'!$D$39:$Q$39&amp;'Coeff EC7'!$D$40:$Q$40,0))</f>
        <v>#N/A</v>
      </c>
      <c r="P85" s="30" t="e">
        <f t="shared" si="168"/>
        <v>#N/A</v>
      </c>
      <c r="Q85" s="100" t="e">
        <f t="shared" si="133"/>
        <v>#N/A</v>
      </c>
      <c r="R85" s="86" t="b">
        <f t="shared" si="134"/>
        <v>0</v>
      </c>
      <c r="S85" s="86">
        <f t="shared" si="132"/>
        <v>0.5</v>
      </c>
      <c r="T85" s="86">
        <f t="shared" si="135"/>
        <v>0.5</v>
      </c>
      <c r="U85" s="30" t="e">
        <f t="shared" ca="1" si="169"/>
        <v>#DIV/0!</v>
      </c>
      <c r="V85" s="85" t="str">
        <f>IF(B85&lt;=Hypothèses!$V$7,Hypothèses!$W$7,IF(B85&lt;=Hypothèses!$V$8,Hypothèses!$W$8,IF(B85&lt;=Hypothèses!$V$9,Hypothèses!$W$9,IF(B85&lt;=Hypothèses!$V$10,Hypothèses!$W$10,IF(B85&lt;=Hypothèses!$V$11,Hypothèses!$W$11,IF(B85&lt;=Hypothèses!$V$12,Hypothèses!$W$12,IF(B85&lt;=Hypothèses!$V$13,Hypothèses!$W$13,IF(B85&lt;=Hypothèses!$V$14,Hypothèses!$W$14,IF(B85&lt;=Hypothèses!$V$15,Hypothèses!$W$15,IF(B85&lt;=Hypothèses!$V$16,Hypothèses!$W$16,IF(B85&lt;=Hypothèses!$V$17,Hypothèses!$W$17,IF(B85&lt;=Hypothèses!$V$18,Hypothèses!$W$18,""))))))))))))</f>
        <v/>
      </c>
      <c r="W85" s="87" t="e">
        <f t="shared" ca="1" si="216"/>
        <v>#DIV/0!</v>
      </c>
      <c r="X85" s="88" t="str">
        <f>IF(B85&lt;=Hypothèses!$V$7,Hypothèses!$X$7,IF(B85&lt;=Hypothèses!$V$8,Hypothèses!$X$8,IF(B85&lt;=Hypothèses!$V$9,Hypothèses!$X$9,IF(B85&lt;=Hypothèses!$V$10,Hypothèses!$X$10,IF(B85&lt;=Hypothèses!$V$11,Hypothèses!$X$11,IF(B85&lt;=Hypothèses!$V$12,Hypothèses!$X$12,IF(B85&lt;=Hypothèses!$V$13,Hypothèses!$X$13,IF(B85&lt;=Hypothèses!$V$14,Hypothèses!$X$14,IF(B85&lt;=Hypothèses!$V$15,Hypothèses!$X$15,IF(B85&lt;=Hypothèses!$V$16,Hypothèses!$X$16,IF(B85&lt;=Hypothèses!$U$17,Hypothèses!$W$17,IF(B85&lt;=Hypothèses!$U$18,Hypothèses!$W$18,""))))))))))))</f>
        <v/>
      </c>
      <c r="Y85" s="95" t="e">
        <f t="shared" ca="1" si="136"/>
        <v>#DIV/0!</v>
      </c>
      <c r="Z85" s="101" t="e">
        <f t="shared" si="137"/>
        <v>#N/A</v>
      </c>
      <c r="AA85" s="91" t="e">
        <f t="shared" si="138"/>
        <v>#N/A</v>
      </c>
      <c r="AB85" s="30" t="e">
        <f t="shared" si="200"/>
        <v>#N/A</v>
      </c>
      <c r="AC85" s="30" t="e">
        <f t="shared" si="201"/>
        <v>#N/A</v>
      </c>
      <c r="AD85" s="31" t="e">
        <f>IF(OR(Hypothèses!$B$4=17,Hypothèses!$B$4=18,Hypothèses!$B$4=19,Hypothèses!$B$4=20),
IF($D85="Pressio.",
IF(OR($E85=3,$E85=1,$E85=4),AC85,AB85),
IF($D85="Pénétro.",
IF(OR($E85=3,$E85=1,$E85=4),AC85,AB85))),IF($D85="Pressio.",
IF($E85=3,AC85,AB85),
IF($D85="Pénétro.",
IF($E85=4,AC85,AB85))))</f>
        <v>#N/A</v>
      </c>
      <c r="AE85" s="31" t="e">
        <f>(IF(OR(Hypothèses!$B$4=17,Hypothèses!$B$4=18,Hypothèses!$B$4=19,Hypothèses!$B$4=20),
IF($D85="Pressio.",
IF(OR($E85=3,$E85=1,$E85=4),(PI()*AE$12^2)/4*(AA85*$W85*1000)/($H85*$B$5),(PI()*AE$12^2)/4*(AA85*$W85*1000)/($G85*$B$5)),
IF($D85="Pénétro.",
IF(OR($E85=4,$E85=1,$E85=5),(PI()*AE$12^2)/4*(AA85*$W85*1000)/($H85*$B$5),(PI()*AE$12^2)/4*(AA85*$W85*1000)/($G85*$B$5)))),
IF($D85="Pressio.",
IF($E85=3,(PI()*AE$12^2)/4*(AA85*$W85*1000)/($H85*$B$5),(PI()*AE$12^2)/4*(AA85*$W85*1000)/($G85*$B$5)),
IF($D85="Pénétro.",
IF($E85=4,(PI()*AE$12^2)/4*(AA85*$W85*1000)/($H85*$B$5),(PI()*AE$12^2)/4*(AA85*$W85*1000)/($G85*$B$5))))))/10</f>
        <v>#N/A</v>
      </c>
      <c r="AF85" s="102" t="e">
        <f>(VLOOKUP($B$3,'Coeff EC7'!$T$39:$X$59,2,0)*AD85+VLOOKUP($B$3,'Coeff EC7'!$T$65:$X$85,2,0)*Model0.1C!AE85)/1.1</f>
        <v>#N/A</v>
      </c>
      <c r="AG85" s="102" t="e">
        <f>(VLOOKUP($B$3,'Coeff EC7'!$T$39:$X$59,3,0)*AD85+VLOOKUP($B$3,'Coeff EC7'!$T$65:$X$85,3,0)*Model0.1C!AE85)/0.9</f>
        <v>#N/A</v>
      </c>
      <c r="AH85" s="102" t="e">
        <f t="shared" si="139"/>
        <v>#N/A</v>
      </c>
      <c r="AI85" s="102" t="e">
        <f t="shared" si="140"/>
        <v>#N/A</v>
      </c>
      <c r="AJ85" s="414" t="e">
        <f>IF(AJ84=0,0,IF(AND(AF85&gt;charge_ELS_quasi,AG85&gt;Charge_ELS_freq,AH85&gt;charge_ELU,AI85&gt;charge_ELA,$B85&gt;NDC!$H$22-0.1+MIN(3*$AJ$12,1.5)),0,1))</f>
        <v>#N/A</v>
      </c>
      <c r="AK85" s="86" t="b">
        <f t="shared" si="141"/>
        <v>0</v>
      </c>
      <c r="AL85" s="86">
        <f t="shared" si="170"/>
        <v>0.5</v>
      </c>
      <c r="AM85" s="86">
        <f t="shared" si="142"/>
        <v>0.5</v>
      </c>
      <c r="AN85" s="30" t="e">
        <f t="shared" ca="1" si="171"/>
        <v>#DIV/0!</v>
      </c>
      <c r="AO85" s="85" t="e">
        <f ca="1">IF(U85&lt;=Hypothèses!$V$7,Hypothèses!$W$7,IF(U85&lt;=Hypothèses!$V$8,Hypothèses!$W$8,IF(U85&lt;=Hypothèses!$V$9,Hypothèses!$W$9,IF(U85&lt;=Hypothèses!$V$10,Hypothèses!$W$10,IF(U85&lt;=Hypothèses!$V$11,Hypothèses!$W$11,IF(U85&lt;=Hypothèses!$V$12,Hypothèses!$W$12,IF(U85&lt;=Hypothèses!$V$13,Hypothèses!$W$13,IF(U85&lt;=Hypothèses!$V$14,Hypothèses!$W$14,IF(U85&lt;=Hypothèses!$V$15,Hypothèses!$W$15,IF(U85&lt;=Hypothèses!$V$16,Hypothèses!$W$16,IF(U85&lt;=Hypothèses!$V$17,Hypothèses!$W$17,IF(U85&lt;=Hypothèses!$V$18,Hypothèses!$W$18,""))))))))))))</f>
        <v>#DIV/0!</v>
      </c>
      <c r="AP85" s="87" t="e">
        <f t="shared" ca="1" si="217"/>
        <v>#DIV/0!</v>
      </c>
      <c r="AQ85" s="88" t="e">
        <f ca="1">IF(U85&lt;=Hypothèses!$V$7,Hypothèses!$X$7,IF(U85&lt;=Hypothèses!$V$8,Hypothèses!$X$8,IF(U85&lt;=Hypothèses!$V$9,Hypothèses!$X$9,IF(U85&lt;=Hypothèses!$V$10,Hypothèses!$X$10,IF(U85&lt;=Hypothèses!$V$11,Hypothèses!$X$11,IF(U85&lt;=Hypothèses!$V$12,Hypothèses!$X$12,IF(U85&lt;=Hypothèses!$V$13,Hypothèses!$X$13,IF(U85&lt;=Hypothèses!$V$14,Hypothèses!$X$14,IF(U85&lt;=Hypothèses!$V$15,Hypothèses!$X$15,IF(U85&lt;=Hypothèses!$V$16,Hypothèses!$X$16,IF(U85&lt;=Hypothèses!$U$17,Hypothèses!$W$17,IF(U85&lt;=Hypothèses!$U$18,Hypothèses!$W$18,""))))))))))))</f>
        <v>#DIV/0!</v>
      </c>
      <c r="AR85" s="95" t="e">
        <f t="shared" ca="1" si="172"/>
        <v>#DIV/0!</v>
      </c>
      <c r="AS85" s="101" t="e">
        <f t="shared" si="224"/>
        <v>#N/A</v>
      </c>
      <c r="AT85" s="91" t="e">
        <f t="shared" si="143"/>
        <v>#N/A</v>
      </c>
      <c r="AU85" s="30" t="e">
        <f t="shared" si="202"/>
        <v>#N/A</v>
      </c>
      <c r="AV85" s="30" t="e">
        <f t="shared" si="203"/>
        <v>#N/A</v>
      </c>
      <c r="AW85" s="31" t="e">
        <f>IF(OR(Hypothèses!$B$4=17,Hypothèses!$B$4=18,Hypothèses!$B$4=19,Hypothèses!$B$4=20),
IF($D85="Pressio.",
IF(OR($E85=3,$E85=1,$E85=4),AV85,AU85),
IF($D85="Pénétro.",
IF(OR($E85=3,$E85=1,$E85=4),AV85,AU85))),IF($D85="Pressio.",
IF($E85=3,AV85,AU85),
IF($D85="Pénétro.",
IF($E85=4,AV85,AU85))))</f>
        <v>#N/A</v>
      </c>
      <c r="AX85" s="31" t="e">
        <f>(IF(OR(Hypothèses!$B$4=17,Hypothèses!$B$4=18,Hypothèses!$B$4=19,Hypothèses!$B$4=20),
IF($D85="Pressio.",
IF(OR($E85=3,$E85=1,$E85=4),(PI()*AX$12^2)/4*(AT85*$W85*1000)/($H85*$B$5),(PI()*AX$12^2)/4*(AT85*$W85*1000)/($G85*$B$5)),
IF($D85="Pénétro.",
IF(OR($E85=4,$E85=1,$E85=5),(PI()*AX$12^2)/4*(AT85*$W85*1000)/($H85*$B$5),(PI()*AX$12^2)/4*(AT85*$W85*1000)/($G85*$B$5)))),
IF($D85="Pressio.",
IF($E85=3,(PI()*AX$12^2)/4*(AT85*$W85*1000)/($H85*$B$5),(PI()*AX$12^2)/4*(AT85*$W85*1000)/($G85*$B$5)),
IF($D85="Pénétro.",
IF($E85=4,(PI()*AX$12^2)/4*(AT85*$W85*1000)/($H85*$B$5),(PI()*AX$12^2)/4*(AT85*$W85*1000)/($G85*$B$5))))))/10</f>
        <v>#N/A</v>
      </c>
      <c r="AY85" s="102" t="e">
        <f>(VLOOKUP($B$3,'Coeff EC7'!$T$39:$X$59,2,0)*AW85+VLOOKUP($B$3,'Coeff EC7'!$T$65:$X$85,2,0)*Model0.1C!AX85)/1.1</f>
        <v>#N/A</v>
      </c>
      <c r="AZ85" s="102" t="e">
        <f>(VLOOKUP($B$3,'Coeff EC7'!$T$39:$X$59,3,0)*AW85+VLOOKUP($B$3,'Coeff EC7'!$T$65:$X$85,3,0)*Model0.1C!AX85)/0.9</f>
        <v>#N/A</v>
      </c>
      <c r="BA85" s="102" t="e">
        <f t="shared" si="173"/>
        <v>#N/A</v>
      </c>
      <c r="BB85" s="102" t="e">
        <f t="shared" si="174"/>
        <v>#N/A</v>
      </c>
      <c r="BC85" s="414" t="e">
        <f>IF(BC84=0,0,IF(AND(AY85&gt;charge_ELS_quasi,AZ85&gt;Charge_ELS_freq,BA85&gt;charge_ELU,BB85&gt;charge_ELA,$B85&gt;NDC!$H$22-0.1+MIN(3*$BC$12,1.5)),0,1))</f>
        <v>#N/A</v>
      </c>
      <c r="BD85" s="86" t="b">
        <f t="shared" si="144"/>
        <v>0</v>
      </c>
      <c r="BE85" s="86">
        <f t="shared" si="175"/>
        <v>0.5</v>
      </c>
      <c r="BF85" s="86">
        <f t="shared" si="145"/>
        <v>0.5</v>
      </c>
      <c r="BG85" s="30" t="e">
        <f t="shared" ca="1" si="176"/>
        <v>#DIV/0!</v>
      </c>
      <c r="BH85" s="85" t="e">
        <f ca="1">IF(AN85&lt;=Hypothèses!$V$7,Hypothèses!$W$7,IF(AN85&lt;=Hypothèses!$V$8,Hypothèses!$W$8,IF(AN85&lt;=Hypothèses!$V$9,Hypothèses!$W$9,IF(AN85&lt;=Hypothèses!$V$10,Hypothèses!$W$10,IF(AN85&lt;=Hypothèses!$V$11,Hypothèses!$W$11,IF(AN85&lt;=Hypothèses!$V$12,Hypothèses!$W$12,IF(AN85&lt;=Hypothèses!$V$13,Hypothèses!$W$13,IF(AN85&lt;=Hypothèses!$V$14,Hypothèses!$W$14,IF(AN85&lt;=Hypothèses!$V$15,Hypothèses!$W$15,IF(AN85&lt;=Hypothèses!$V$16,Hypothèses!$W$16,IF(AN85&lt;=Hypothèses!$V$17,Hypothèses!$W$17,IF(AN85&lt;=Hypothèses!$V$18,Hypothèses!$W$18,""))))))))))))</f>
        <v>#DIV/0!</v>
      </c>
      <c r="BI85" s="87" t="e">
        <f t="shared" ca="1" si="218"/>
        <v>#DIV/0!</v>
      </c>
      <c r="BJ85" s="88" t="e">
        <f ca="1">IF(AN85&lt;=Hypothèses!$V$7,Hypothèses!$X$7,IF(AN85&lt;=Hypothèses!$V$8,Hypothèses!$X$8,IF(AN85&lt;=Hypothèses!$V$9,Hypothèses!$X$9,IF(AN85&lt;=Hypothèses!$V$10,Hypothèses!$X$10,IF(AN85&lt;=Hypothèses!$V$11,Hypothèses!$X$11,IF(AN85&lt;=Hypothèses!$V$12,Hypothèses!$X$12,IF(AN85&lt;=Hypothèses!$V$13,Hypothèses!$X$13,IF(AN85&lt;=Hypothèses!$V$14,Hypothèses!$X$14,IF(AN85&lt;=Hypothèses!$V$15,Hypothèses!$X$15,IF(AN85&lt;=Hypothèses!$V$16,Hypothèses!$X$16,IF(AN85&lt;=Hypothèses!$U$17,Hypothèses!$W$17,IF(AN85&lt;=Hypothèses!$U$18,Hypothèses!$W$18,""))))))))))))</f>
        <v>#DIV/0!</v>
      </c>
      <c r="BK85" s="95" t="e">
        <f t="shared" ca="1" si="177"/>
        <v>#DIV/0!</v>
      </c>
      <c r="BL85" s="101" t="e">
        <f t="shared" si="225"/>
        <v>#N/A</v>
      </c>
      <c r="BM85" s="91" t="e">
        <f t="shared" si="146"/>
        <v>#N/A</v>
      </c>
      <c r="BN85" s="30" t="e">
        <f t="shared" si="204"/>
        <v>#N/A</v>
      </c>
      <c r="BO85" s="30" t="e">
        <f t="shared" si="205"/>
        <v>#N/A</v>
      </c>
      <c r="BP85" s="31" t="e">
        <f>IF(OR(Hypothèses!$B$4=17,Hypothèses!$B$4=18,Hypothèses!$B$4=19,Hypothèses!$B$4=20),
IF($D85="Pressio.",
IF(OR($E85=3,$E85=1,$E85=4),BO85,BN85),
IF($D85="Pénétro.",
IF(OR($E85=3,$E85=1,$E85=4),BO85,BN85))),IF($D85="Pressio.",
IF($E85=3,BO85,BN85),
IF($D85="Pénétro.",
IF($E85=4,BO85,BN85))))</f>
        <v>#N/A</v>
      </c>
      <c r="BQ85" s="31" t="e">
        <f>(IF(OR(Hypothèses!$B$4=17,Hypothèses!$B$4=18,Hypothèses!$B$4=19,Hypothèses!$B$4=20),
IF($D85="Pressio.",
IF(OR($E85=3,$E85=1,$E85=4),(PI()*BQ$12^2)/4*(BM85*$W85*1000)/($H85*$B$5),(PI()*BQ$12^2)/4*(BM85*$W85*1000)/($G85*$B$5)),
IF($D85="Pénétro.",
IF(OR($E85=4,$E85=1,$E85=5),(PI()*BQ$12^2)/4*(BM85*$W85*1000)/($H85*$B$5),(PI()*BQ$12^2)/4*(BM85*$W85*1000)/($G85*$B$5)))),
IF($D85="Pressio.",
IF($E85=3,(PI()*BQ$12^2)/4*(BM85*$W85*1000)/($H85*$B$5),(PI()*BQ$12^2)/4*(BM85*$W85*1000)/($G85*$B$5)),
IF($D85="Pénétro.",
IF($E85=4,(PI()*BQ$12^2)/4*(BM85*$W85*1000)/($H85*$B$5),(PI()*BQ$12^2)/4*(BM85*$W85*1000)/($G85*$B$5))))))/10</f>
        <v>#N/A</v>
      </c>
      <c r="BR85" s="102" t="e">
        <f>(VLOOKUP($B$3,'Coeff EC7'!$T$39:$X$59,2,0)*BP85+VLOOKUP($B$3,'Coeff EC7'!$T$65:$X$85,2,0)*Model0.1C!BQ85)/1.1</f>
        <v>#N/A</v>
      </c>
      <c r="BS85" s="102" t="e">
        <f>(VLOOKUP($B$3,'Coeff EC7'!$T$39:$X$59,3,0)*BP85+VLOOKUP($B$3,'Coeff EC7'!$T$65:$X$85,3,0)*Model0.1C!BQ85)/0.9</f>
        <v>#N/A</v>
      </c>
      <c r="BT85" s="102" t="e">
        <f t="shared" si="178"/>
        <v>#N/A</v>
      </c>
      <c r="BU85" s="102" t="e">
        <f t="shared" si="179"/>
        <v>#N/A</v>
      </c>
      <c r="BV85" s="414" t="e">
        <f>IF(BV84=0,0,IF(AND(BR85&gt;charge_ELS_quasi,BS85&gt;Charge_ELS_freq,BT85&gt;charge_ELU,BU85&gt;charge_ELA,$B85&gt;NDC!$H$22-0.1+MIN(3*$BV$12,1.5)),0,1))</f>
        <v>#N/A</v>
      </c>
      <c r="BW85" s="86" t="b">
        <f t="shared" si="147"/>
        <v>0</v>
      </c>
      <c r="BX85" s="86">
        <f t="shared" si="148"/>
        <v>0.5</v>
      </c>
      <c r="BY85" s="86">
        <f t="shared" si="149"/>
        <v>0.5</v>
      </c>
      <c r="BZ85" s="30" t="e">
        <f t="shared" ca="1" si="180"/>
        <v>#DIV/0!</v>
      </c>
      <c r="CA85" s="85" t="e">
        <f ca="1">IF(BG85&lt;=Hypothèses!$V$7,Hypothèses!$W$7,IF(BG85&lt;=Hypothèses!$V$8,Hypothèses!$W$8,IF(BG85&lt;=Hypothèses!$V$9,Hypothèses!$W$9,IF(BG85&lt;=Hypothèses!$V$10,Hypothèses!$W$10,IF(BG85&lt;=Hypothèses!$V$11,Hypothèses!$W$11,IF(BG85&lt;=Hypothèses!$V$12,Hypothèses!$W$12,IF(BG85&lt;=Hypothèses!$V$13,Hypothèses!$W$13,IF(BG85&lt;=Hypothèses!$V$14,Hypothèses!$W$14,IF(BG85&lt;=Hypothèses!$V$15,Hypothèses!$W$15,IF(BG85&lt;=Hypothèses!$V$16,Hypothèses!$W$16,IF(BG85&lt;=Hypothèses!$V$17,Hypothèses!$W$17,IF(BG85&lt;=Hypothèses!$V$18,Hypothèses!$W$18,""))))))))))))</f>
        <v>#DIV/0!</v>
      </c>
      <c r="CB85" s="87" t="e">
        <f t="shared" ca="1" si="219"/>
        <v>#DIV/0!</v>
      </c>
      <c r="CC85" s="88" t="e">
        <f ca="1">IF(BG85&lt;=Hypothèses!$V$7,Hypothèses!$X$7,IF(BG85&lt;=Hypothèses!$V$8,Hypothèses!$X$8,IF(BG85&lt;=Hypothèses!$V$9,Hypothèses!$X$9,IF(BG85&lt;=Hypothèses!$V$10,Hypothèses!$X$10,IF(BG85&lt;=Hypothèses!$V$11,Hypothèses!$X$11,IF(BG85&lt;=Hypothèses!$V$12,Hypothèses!$X$12,IF(BG85&lt;=Hypothèses!$V$13,Hypothèses!$X$13,IF(BG85&lt;=Hypothèses!$V$14,Hypothèses!$X$14,IF(BG85&lt;=Hypothèses!$V$15,Hypothèses!$X$15,IF(BG85&lt;=Hypothèses!$V$16,Hypothèses!$X$16,IF(BG85&lt;=Hypothèses!$U$17,Hypothèses!$W$17,IF(BG85&lt;=Hypothèses!$U$18,Hypothèses!$W$18,""))))))))))))</f>
        <v>#DIV/0!</v>
      </c>
      <c r="CD85" s="95" t="e">
        <f t="shared" ca="1" si="181"/>
        <v>#DIV/0!</v>
      </c>
      <c r="CE85" s="101" t="e">
        <f t="shared" si="226"/>
        <v>#N/A</v>
      </c>
      <c r="CF85" s="91" t="e">
        <f t="shared" si="150"/>
        <v>#N/A</v>
      </c>
      <c r="CG85" s="30" t="e">
        <f t="shared" si="206"/>
        <v>#N/A</v>
      </c>
      <c r="CH85" s="30" t="e">
        <f t="shared" si="207"/>
        <v>#N/A</v>
      </c>
      <c r="CI85" s="31" t="e">
        <f>IF(OR(Hypothèses!$B$4=17,Hypothèses!$B$4=18,Hypothèses!$B$4=19,Hypothèses!$B$4=20),
IF($D85="Pressio.",
IF(OR($E85=3,$E85=1,$E85=4),CH85,CG85),
IF($D85="Pénétro.",
IF(OR($E85=3,$E85=1,$E85=4),CH85,CG85))),IF($D85="Pressio.",
IF($E85=3,CH85,CG85),
IF($D85="Pénétro.",
IF($E85=4,CH85,CG85))))</f>
        <v>#N/A</v>
      </c>
      <c r="CJ85" s="31" t="e">
        <f>(IF(OR(Hypothèses!$B$4=17,Hypothèses!$B$4=18,Hypothèses!$B$4=19,Hypothèses!$B$4=20),
IF($D85="Pressio.",
IF(OR($E85=3,$E85=1,$E85=4),(PI()*CJ$12^2)/4*(CF85*$W85*1000)/($H85*$B$5),(PI()*CJ$12^2)/4*(CF85*$W85*1000)/($G85*$B$5)),
IF($D85="Pénétro.",
IF(OR($E85=4,$E85=1,$E85=5),(PI()*CJ$12^2)/4*(CF85*$W85*1000)/($H85*$B$5),(PI()*CJ$12^2)/4*(CF85*$W85*1000)/($G85*$B$5)))),
IF($D85="Pressio.",
IF($E85=3,(PI()*CJ$12^2)/4*(CF85*$W85*1000)/($H85*$B$5),(PI()*CJ$12^2)/4*(CF85*$W85*1000)/($G85*$B$5)),
IF($D85="Pénétro.",
IF($E85=4,(PI()*CJ$12^2)/4*(CF85*$W85*1000)/($H85*$B$5),(PI()*CJ$12^2)/4*(CF85*$W85*1000)/($G85*$B$5))))))/10</f>
        <v>#N/A</v>
      </c>
      <c r="CK85" s="102" t="e">
        <f>(VLOOKUP($B$3,'Coeff EC7'!$T$39:$X$59,2,0)*CI85+VLOOKUP($B$3,'Coeff EC7'!$T$65:$X$85,2,0)*Model0.1C!CJ85)/1.1</f>
        <v>#N/A</v>
      </c>
      <c r="CL85" s="102" t="e">
        <f>(VLOOKUP($B$3,'Coeff EC7'!$T$39:$X$59,3,0)*CI85+VLOOKUP($B$3,'Coeff EC7'!$T$65:$X$85,3,0)*Model0.1C!CJ85)/0.9</f>
        <v>#N/A</v>
      </c>
      <c r="CM85" s="102" t="e">
        <f t="shared" si="182"/>
        <v>#N/A</v>
      </c>
      <c r="CN85" s="102" t="e">
        <f t="shared" si="183"/>
        <v>#N/A</v>
      </c>
      <c r="CO85" s="414" t="e">
        <f>IF(CO84=0,0,IF(AND(CK85&gt;charge_ELS_quasi,CL85&gt;Charge_ELS_freq,CM85&gt;charge_ELU,CN85&gt;charge_ELA,$B85&gt;NDC!$H$22-0.1+MIN(3*$CO$12,1.5)),0,1))</f>
        <v>#N/A</v>
      </c>
      <c r="CP85" s="86" t="b">
        <f t="shared" si="151"/>
        <v>0</v>
      </c>
      <c r="CQ85" s="86">
        <f t="shared" si="152"/>
        <v>0.5</v>
      </c>
      <c r="CR85" s="86">
        <f t="shared" si="153"/>
        <v>0.5</v>
      </c>
      <c r="CS85" s="30" t="e">
        <f t="shared" ca="1" si="184"/>
        <v>#DIV/0!</v>
      </c>
      <c r="CT85" s="85" t="e">
        <f ca="1">IF(BZ85&lt;=Hypothèses!$V$7,Hypothèses!$W$7,IF(BZ85&lt;=Hypothèses!$V$8,Hypothèses!$W$8,IF(BZ85&lt;=Hypothèses!$V$9,Hypothèses!$W$9,IF(BZ85&lt;=Hypothèses!$V$10,Hypothèses!$W$10,IF(BZ85&lt;=Hypothèses!$V$11,Hypothèses!$W$11,IF(BZ85&lt;=Hypothèses!$V$12,Hypothèses!$W$12,IF(BZ85&lt;=Hypothèses!$V$13,Hypothèses!$W$13,IF(BZ85&lt;=Hypothèses!$V$14,Hypothèses!$W$14,IF(BZ85&lt;=Hypothèses!$V$15,Hypothèses!$W$15,IF(BZ85&lt;=Hypothèses!$V$16,Hypothèses!$W$16,IF(BZ85&lt;=Hypothèses!$V$17,Hypothèses!$W$17,IF(BZ85&lt;=Hypothèses!$V$18,Hypothèses!$W$18,""))))))))))))</f>
        <v>#DIV/0!</v>
      </c>
      <c r="CU85" s="87" t="e">
        <f t="shared" ca="1" si="220"/>
        <v>#DIV/0!</v>
      </c>
      <c r="CV85" s="88" t="e">
        <f ca="1">IF(BZ85&lt;=Hypothèses!$V$7,Hypothèses!$X$7,IF(BZ85&lt;=Hypothèses!$V$8,Hypothèses!$X$8,IF(BZ85&lt;=Hypothèses!$V$9,Hypothèses!$X$9,IF(BZ85&lt;=Hypothèses!$V$10,Hypothèses!$X$10,IF(BZ85&lt;=Hypothèses!$V$11,Hypothèses!$X$11,IF(BZ85&lt;=Hypothèses!$V$12,Hypothèses!$X$12,IF(BZ85&lt;=Hypothèses!$V$13,Hypothèses!$X$13,IF(BZ85&lt;=Hypothèses!$V$14,Hypothèses!$X$14,IF(BZ85&lt;=Hypothèses!$V$15,Hypothèses!$X$15,IF(BZ85&lt;=Hypothèses!$V$16,Hypothèses!$X$16,IF(BZ85&lt;=Hypothèses!$U$17,Hypothèses!$W$17,IF(BZ85&lt;=Hypothèses!$U$18,Hypothèses!$W$18,""))))))))))))</f>
        <v>#DIV/0!</v>
      </c>
      <c r="CW85" s="95" t="e">
        <f t="shared" ca="1" si="185"/>
        <v>#DIV/0!</v>
      </c>
      <c r="CX85" s="101" t="e">
        <f t="shared" si="227"/>
        <v>#N/A</v>
      </c>
      <c r="CY85" s="91" t="e">
        <f t="shared" si="154"/>
        <v>#N/A</v>
      </c>
      <c r="CZ85" s="30" t="e">
        <f t="shared" si="208"/>
        <v>#N/A</v>
      </c>
      <c r="DA85" s="30" t="e">
        <f t="shared" si="209"/>
        <v>#N/A</v>
      </c>
      <c r="DB85" s="31" t="e">
        <f>IF(OR(Hypothèses!$B$4=17,Hypothèses!$B$4=18,Hypothèses!$B$4=19,Hypothèses!$B$4=20),
IF($D85="Pressio.",
IF(OR($E85=3,$E85=1,$E85=4),DA85,CZ85),
IF($D85="Pénétro.",
IF(OR($E85=3,$E85=1,$E85=4),DA85,CZ85))),IF($D85="Pressio.",
IF($E85=3,DA85,CZ85),
IF($D85="Pénétro.",
IF($E85=4,DA85,CZ85))))</f>
        <v>#N/A</v>
      </c>
      <c r="DC85" s="31" t="e">
        <f>(IF(OR(Hypothèses!$B$4=17,Hypothèses!$B$4=18,Hypothèses!$B$4=19,Hypothèses!$B$4=20),
IF($D85="Pressio.",
IF(OR($E85=3,$E85=1,$E85=4),(PI()*DC$12^2)/4*(CY85*$W85*1000)/($H85*$B$5),(PI()*DC$12^2)/4*(CY85*$W85*1000)/($G85*$B$5)),
IF($D85="Pénétro.",
IF(OR($E85=4,$E85=1,$E85=5),(PI()*DC$12^2)/4*(CY85*$W85*1000)/($H85*$B$5),(PI()*DC$12^2)/4*(CY85*$W85*1000)/($G85*$B$5)))),
IF($D85="Pressio.",
IF($E85=3,(PI()*DC$12^2)/4*(CY85*$W85*1000)/($H85*$B$5),(PI()*DC$12^2)/4*(CY85*$W85*1000)/($G85*$B$5)),
IF($D85="Pénétro.",
IF($E85=4,(PI()*DC$12^2)/4*(CY85*$W85*1000)/($H85*$B$5),(PI()*DC$12^2)/4*(CY85*$W85*1000)/($G85*$B$5))))))/10</f>
        <v>#N/A</v>
      </c>
      <c r="DD85" s="102" t="e">
        <f>(VLOOKUP($B$3,'Coeff EC7'!$T$39:$X$59,2,0)*DB85+VLOOKUP($B$3,'Coeff EC7'!$T$65:$X$85,2,0)*Model0.1C!DC85)/1.1</f>
        <v>#N/A</v>
      </c>
      <c r="DE85" s="102" t="e">
        <f>(VLOOKUP($B$3,'Coeff EC7'!$T$39:$X$59,3,0)*DB85+VLOOKUP($B$3,'Coeff EC7'!$T$65:$X$85,3,0)*Model0.1C!DC85)/0.9</f>
        <v>#N/A</v>
      </c>
      <c r="DF85" s="102" t="e">
        <f t="shared" si="186"/>
        <v>#N/A</v>
      </c>
      <c r="DG85" s="102" t="e">
        <f t="shared" si="187"/>
        <v>#N/A</v>
      </c>
      <c r="DH85" s="414" t="e">
        <f>IF(DH84=0,0,IF(AND(DD85&gt;charge_ELS_quasi,DE85&gt;Charge_ELS_freq,DF85&gt;charge_ELU,DG85&gt;charge_ELA,$B85&gt;NDC!$H$22-0.1+MIN(3*$DH$12,1.5)),0,1))</f>
        <v>#N/A</v>
      </c>
      <c r="DI85" s="86" t="b">
        <f t="shared" si="155"/>
        <v>0</v>
      </c>
      <c r="DJ85" s="86">
        <f t="shared" si="156"/>
        <v>0.5</v>
      </c>
      <c r="DK85" s="86">
        <f t="shared" si="157"/>
        <v>0.5</v>
      </c>
      <c r="DL85" s="30" t="e">
        <f t="shared" ca="1" si="188"/>
        <v>#DIV/0!</v>
      </c>
      <c r="DM85" s="85" t="e">
        <f ca="1">IF(CS85&lt;=Hypothèses!$V$7,Hypothèses!$W$7,IF(CS85&lt;=Hypothèses!$V$8,Hypothèses!$W$8,IF(CS85&lt;=Hypothèses!$V$9,Hypothèses!$W$9,IF(CS85&lt;=Hypothèses!$V$10,Hypothèses!$W$10,IF(CS85&lt;=Hypothèses!$V$11,Hypothèses!$W$11,IF(CS85&lt;=Hypothèses!$V$12,Hypothèses!$W$12,IF(CS85&lt;=Hypothèses!$V$13,Hypothèses!$W$13,IF(CS85&lt;=Hypothèses!$V$14,Hypothèses!$W$14,IF(CS85&lt;=Hypothèses!$V$15,Hypothèses!$W$15,IF(CS85&lt;=Hypothèses!$V$16,Hypothèses!$W$16,IF(CS85&lt;=Hypothèses!$V$17,Hypothèses!$W$17,IF(CS85&lt;=Hypothèses!$V$18,Hypothèses!$W$18,""))))))))))))</f>
        <v>#DIV/0!</v>
      </c>
      <c r="DN85" s="87" t="e">
        <f t="shared" ca="1" si="221"/>
        <v>#DIV/0!</v>
      </c>
      <c r="DO85" s="88" t="e">
        <f ca="1">IF(CS85&lt;=Hypothèses!$V$7,Hypothèses!$X$7,IF(CS85&lt;=Hypothèses!$V$8,Hypothèses!$X$8,IF(CS85&lt;=Hypothèses!$V$9,Hypothèses!$X$9,IF(CS85&lt;=Hypothèses!$V$10,Hypothèses!$X$10,IF(CS85&lt;=Hypothèses!$V$11,Hypothèses!$X$11,IF(CS85&lt;=Hypothèses!$V$12,Hypothèses!$X$12,IF(CS85&lt;=Hypothèses!$V$13,Hypothèses!$X$13,IF(CS85&lt;=Hypothèses!$V$14,Hypothèses!$X$14,IF(CS85&lt;=Hypothèses!$V$15,Hypothèses!$X$15,IF(CS85&lt;=Hypothèses!$V$16,Hypothèses!$X$16,IF(CS85&lt;=Hypothèses!$U$17,Hypothèses!$W$17,IF(CS85&lt;=Hypothèses!$U$18,Hypothèses!$W$18,""))))))))))))</f>
        <v>#DIV/0!</v>
      </c>
      <c r="DP85" s="95" t="e">
        <f t="shared" ca="1" si="189"/>
        <v>#DIV/0!</v>
      </c>
      <c r="DQ85" s="101" t="e">
        <f t="shared" si="228"/>
        <v>#N/A</v>
      </c>
      <c r="DR85" s="91" t="e">
        <f t="shared" si="158"/>
        <v>#N/A</v>
      </c>
      <c r="DS85" s="30" t="e">
        <f t="shared" si="210"/>
        <v>#N/A</v>
      </c>
      <c r="DT85" s="30" t="e">
        <f t="shared" si="211"/>
        <v>#N/A</v>
      </c>
      <c r="DU85" s="31" t="e">
        <f>IF(OR(Hypothèses!$B$4=17,Hypothèses!$B$4=18,Hypothèses!$B$4=19,Hypothèses!$B$4=20),
IF($D85="Pressio.",
IF(OR($E85=3,$E85=1,$E85=4),DT85,DS85),
IF($D85="Pénétro.",
IF(OR($E85=3,$E85=1,$E85=4),DT85,DS85))),IF($D85="Pressio.",
IF($E85=3,DT85,DS85),
IF($D85="Pénétro.",
IF($E85=4,DT85,DS85))))</f>
        <v>#N/A</v>
      </c>
      <c r="DV85" s="31" t="e">
        <f>(IF(OR(Hypothèses!$B$4=17,Hypothèses!$B$4=18,Hypothèses!$B$4=19,Hypothèses!$B$4=20),
IF($D85="Pressio.",
IF(OR($E85=3,$E85=1,$E85=4),(PI()*DV$12^2)/4*(DR85*$W85*1000)/($H85*$B$5),(PI()*DV$12^2)/4*(DR85*$W85*1000)/($G85*$B$5)),
IF($D85="Pénétro.",
IF(OR($E85=4,$E85=1,$E85=5),(PI()*DV$12^2)/4*(DR85*$W85*1000)/($H85*$B$5),(PI()*DV$12^2)/4*(DR85*$W85*1000)/($G85*$B$5)))),
IF($D85="Pressio.",
IF($E85=3,(PI()*DV$12^2)/4*(DR85*$W85*1000)/($H85*$B$5),(PI()*DV$12^2)/4*(DR85*$W85*1000)/($G85*$B$5)),
IF($D85="Pénétro.",
IF($E85=4,(PI()*DV$12^2)/4*(DR85*$W85*1000)/($H85*$B$5),(PI()*DV$12^2)/4*(DR85*$W85*1000)/($G85*$B$5))))))/10</f>
        <v>#N/A</v>
      </c>
      <c r="DW85" s="102" t="e">
        <f>(VLOOKUP($B$3,'Coeff EC7'!$T$39:$X$59,2,0)*DU85+VLOOKUP($B$3,'Coeff EC7'!$T$65:$X$85,2,0)*Model0.1C!DV85)/1.1</f>
        <v>#N/A</v>
      </c>
      <c r="DX85" s="102" t="e">
        <f>(VLOOKUP($B$3,'Coeff EC7'!$T$39:$X$59,3,0)*DU85+VLOOKUP($B$3,'Coeff EC7'!$T$65:$X$85,3,0)*Model0.1C!DV85)/0.9</f>
        <v>#N/A</v>
      </c>
      <c r="DY85" s="102" t="e">
        <f t="shared" si="190"/>
        <v>#N/A</v>
      </c>
      <c r="DZ85" s="102" t="e">
        <f t="shared" si="191"/>
        <v>#N/A</v>
      </c>
      <c r="EA85" s="414" t="e">
        <f>IF(EA84=0,0,IF(AND(DW85&gt;charge_ELS_quasi,DX85&gt;Charge_ELS_freq,DY85&gt;charge_ELU,DZ85&gt;charge_ELA,$B85&gt;NDC!$H$22-0.1+MIN(3*$EA$12,1.5)),0,1))</f>
        <v>#N/A</v>
      </c>
      <c r="EB85" s="86" t="b">
        <f t="shared" si="159"/>
        <v>0</v>
      </c>
      <c r="EC85" s="418">
        <f t="shared" si="160"/>
        <v>0.51</v>
      </c>
      <c r="ED85" s="86">
        <f t="shared" si="161"/>
        <v>0.51</v>
      </c>
      <c r="EE85" s="30" t="e">
        <f t="shared" ca="1" si="192"/>
        <v>#DIV/0!</v>
      </c>
      <c r="EF85" s="85" t="e">
        <f ca="1">IF(DL85&lt;=Hypothèses!$V$7,Hypothèses!$W$7,IF(DL85&lt;=Hypothèses!$V$8,Hypothèses!$W$8,IF(DL85&lt;=Hypothèses!$V$9,Hypothèses!$W$9,IF(DL85&lt;=Hypothèses!$V$10,Hypothèses!$W$10,IF(DL85&lt;=Hypothèses!$V$11,Hypothèses!$W$11,IF(DL85&lt;=Hypothèses!$V$12,Hypothèses!$W$12,IF(DL85&lt;=Hypothèses!$V$13,Hypothèses!$W$13,IF(DL85&lt;=Hypothèses!$V$14,Hypothèses!$W$14,IF(DL85&lt;=Hypothèses!$V$15,Hypothèses!$W$15,IF(DL85&lt;=Hypothèses!$V$16,Hypothèses!$W$16,IF(DL85&lt;=Hypothèses!$V$17,Hypothèses!$W$17,IF(DL85&lt;=Hypothèses!$V$18,Hypothèses!$W$18,""))))))))))))</f>
        <v>#DIV/0!</v>
      </c>
      <c r="EG85" s="87" t="e">
        <f t="shared" ca="1" si="222"/>
        <v>#DIV/0!</v>
      </c>
      <c r="EH85" s="88" t="e">
        <f ca="1">IF(DL85&lt;=Hypothèses!$V$7,Hypothèses!$X$7,IF(DL85&lt;=Hypothèses!$V$8,Hypothèses!$X$8,IF(DL85&lt;=Hypothèses!$V$9,Hypothèses!$X$9,IF(DL85&lt;=Hypothèses!$V$10,Hypothèses!$X$10,IF(DL85&lt;=Hypothèses!$V$11,Hypothèses!$X$11,IF(DL85&lt;=Hypothèses!$V$12,Hypothèses!$X$12,IF(DL85&lt;=Hypothèses!$V$13,Hypothèses!$X$13,IF(DL85&lt;=Hypothèses!$V$14,Hypothèses!$X$14,IF(DL85&lt;=Hypothèses!$V$15,Hypothèses!$X$15,IF(DL85&lt;=Hypothèses!$V$16,Hypothèses!$X$16,IF(DL85&lt;=Hypothèses!$U$17,Hypothèses!$W$17,IF(DL85&lt;=Hypothèses!$U$18,Hypothèses!$W$18,""))))))))))))</f>
        <v>#DIV/0!</v>
      </c>
      <c r="EI85" s="95" t="e">
        <f t="shared" ca="1" si="193"/>
        <v>#DIV/0!</v>
      </c>
      <c r="EJ85" s="101" t="e">
        <f t="shared" si="229"/>
        <v>#N/A</v>
      </c>
      <c r="EK85" s="91" t="e">
        <f t="shared" si="162"/>
        <v>#N/A</v>
      </c>
      <c r="EL85" s="30" t="e">
        <f t="shared" si="212"/>
        <v>#N/A</v>
      </c>
      <c r="EM85" s="30" t="e">
        <f t="shared" si="213"/>
        <v>#N/A</v>
      </c>
      <c r="EN85" s="31" t="e">
        <f>IF(OR(Hypothèses!$B$4=17,Hypothèses!$B$4=18,Hypothèses!$B$4=19,Hypothèses!$B$4=20),
IF($D85="Pressio.",
IF(OR($E85=3,$E85=1,$E85=4),EM85,EL85),
IF($D85="Pénétro.",
IF(OR($E85=3,$E85=1,$E85=4),EM85,EL85))),IF($D85="Pressio.",
IF($E85=3,EM85,EL85),
IF($D85="Pénétro.",
IF($E85=4,EM85,EL85))))</f>
        <v>#N/A</v>
      </c>
      <c r="EO85" s="31" t="e">
        <f>(IF(OR(Hypothèses!$B$4=17,Hypothèses!$B$4=18,Hypothèses!$B$4=19,Hypothèses!$B$4=20),
IF($D85="Pressio.",
IF(OR($E85=3,$E85=1,$E85=4),(PI()*EO$12^2)/4*(EK85*$W85*1000)/($H85*$B$5),(PI()*EO$12^2)/4*(EK85*$W85*1000)/($G85*$B$5)),
IF($D85="Pénétro.",
IF(OR($E85=4,$E85=1,$E85=5),(PI()*EO$12^2)/4*(EK85*$W85*1000)/($H85*$B$5),(PI()*EO$12^2)/4*(EK85*$W85*1000)/($G85*$B$5)))),
IF($D85="Pressio.",
IF($E85=3,(PI()*EO$12^2)/4*(EK85*$W85*1000)/($H85*$B$5),(PI()*EO$12^2)/4*(EK85*$W85*1000)/($G85*$B$5)),
IF($D85="Pénétro.",
IF($E85=4,(PI()*EO$12^2)/4*(EK85*$W85*1000)/($H85*$B$5),(PI()*EO$12^2)/4*(EK85*$W85*1000)/($G85*$B$5))))))/10</f>
        <v>#N/A</v>
      </c>
      <c r="EP85" s="102" t="e">
        <f>(VLOOKUP($B$3,'Coeff EC7'!$T$39:$X$59,2,0)*EN85+VLOOKUP($B$3,'Coeff EC7'!$T$65:$X$85,2,0)*Model0.1C!EO85)/1.1</f>
        <v>#N/A</v>
      </c>
      <c r="EQ85" s="102" t="e">
        <f>(VLOOKUP($B$3,'Coeff EC7'!$T$39:$X$59,3,0)*EN85+VLOOKUP($B$3,'Coeff EC7'!$T$65:$X$85,3,0)*Model0.1C!EO85)/0.9</f>
        <v>#N/A</v>
      </c>
      <c r="ER85" s="102" t="e">
        <f t="shared" si="194"/>
        <v>#N/A</v>
      </c>
      <c r="ES85" s="102" t="e">
        <f t="shared" si="195"/>
        <v>#N/A</v>
      </c>
      <c r="ET85" s="414" t="e">
        <f>IF(ET84=0,0,IF(AND(EP85&gt;charge_ELS_quasi,EQ85&gt;Charge_ELS_freq,ER85&gt;charge_ELU,ES85&gt;charge_ELA,$B85&gt;NDC!$H$22-0.1+MIN(3*$ET$12,1.5)),0,1))</f>
        <v>#N/A</v>
      </c>
      <c r="EU85" s="86" t="b">
        <f t="shared" si="163"/>
        <v>0</v>
      </c>
      <c r="EV85" s="86">
        <f t="shared" si="164"/>
        <v>0.61</v>
      </c>
      <c r="EW85" s="86">
        <f t="shared" si="165"/>
        <v>0.61</v>
      </c>
      <c r="EX85" s="30" t="e">
        <f t="shared" ca="1" si="196"/>
        <v>#DIV/0!</v>
      </c>
      <c r="EY85" s="85" t="e">
        <f ca="1">IF(EE85&lt;=Hypothèses!$V$7,Hypothèses!$W$7,IF(EE85&lt;=Hypothèses!$V$8,Hypothèses!$W$8,IF(EE85&lt;=Hypothèses!$V$9,Hypothèses!$W$9,IF(EE85&lt;=Hypothèses!$V$10,Hypothèses!$W$10,IF(EE85&lt;=Hypothèses!$V$11,Hypothèses!$W$11,IF(EE85&lt;=Hypothèses!$V$12,Hypothèses!$W$12,IF(EE85&lt;=Hypothèses!$V$13,Hypothèses!$W$13,IF(EE85&lt;=Hypothèses!$V$14,Hypothèses!$W$14,IF(EE85&lt;=Hypothèses!$V$15,Hypothèses!$W$15,IF(EE85&lt;=Hypothèses!$V$16,Hypothèses!$W$16,IF(EE85&lt;=Hypothèses!$V$17,Hypothèses!$W$17,IF(EE85&lt;=Hypothèses!$V$18,Hypothèses!$W$18,""))))))))))))</f>
        <v>#DIV/0!</v>
      </c>
      <c r="EZ85" s="87" t="e">
        <f t="shared" ca="1" si="223"/>
        <v>#DIV/0!</v>
      </c>
      <c r="FA85" s="88" t="e">
        <f ca="1">IF(EE85&lt;=Hypothèses!$V$7,Hypothèses!$X$7,IF(EE85&lt;=Hypothèses!$V$8,Hypothèses!$X$8,IF(EE85&lt;=Hypothèses!$V$9,Hypothèses!$X$9,IF(EE85&lt;=Hypothèses!$V$10,Hypothèses!$X$10,IF(EE85&lt;=Hypothèses!$V$11,Hypothèses!$X$11,IF(EE85&lt;=Hypothèses!$V$12,Hypothèses!$X$12,IF(EE85&lt;=Hypothèses!$V$13,Hypothèses!$X$13,IF(EE85&lt;=Hypothèses!$V$14,Hypothèses!$X$14,IF(EE85&lt;=Hypothèses!$V$15,Hypothèses!$X$15,IF(EE85&lt;=Hypothèses!$V$16,Hypothèses!$X$16,IF(EE85&lt;=Hypothèses!$U$17,Hypothèses!$W$17,IF(EE85&lt;=Hypothèses!$U$18,Hypothèses!$W$18,""))))))))))))</f>
        <v>#DIV/0!</v>
      </c>
      <c r="FB85" s="95" t="e">
        <f t="shared" ca="1" si="197"/>
        <v>#DIV/0!</v>
      </c>
      <c r="FC85" s="101" t="e">
        <f t="shared" si="230"/>
        <v>#N/A</v>
      </c>
      <c r="FD85" s="91" t="e">
        <f t="shared" si="166"/>
        <v>#N/A</v>
      </c>
      <c r="FE85" s="30" t="e">
        <f t="shared" si="214"/>
        <v>#N/A</v>
      </c>
      <c r="FF85" s="30" t="e">
        <f t="shared" si="215"/>
        <v>#N/A</v>
      </c>
      <c r="FG85" s="31" t="e">
        <f>IF(OR(Hypothèses!$B$4=17,Hypothèses!$B$4=18,Hypothèses!$B$4=19,Hypothèses!$B$4=20),
IF($D85="Pressio.",
IF(OR($E85=3,$E85=1,$E85=4),FF85,FE85),
IF($D85="Pénétro.",
IF(OR($E85=3,$E85=1,$E85=4),FF85,FE85))),IF($D85="Pressio.",
IF($E85=3,FF85,FE85),
IF($D85="Pénétro.",
IF($E85=4,FF85,FE85))))</f>
        <v>#N/A</v>
      </c>
      <c r="FH85" s="31" t="e">
        <f>(IF(OR(Hypothèses!$B$4=17,Hypothèses!$B$4=18,Hypothèses!$B$4=19,Hypothèses!$B$4=20),
IF($D85="Pressio.",
IF(OR($E85=3,$E85=1,$E85=4),(PI()*FH$12^2)/4*(FD85*$W85*1000)/($H85*$B$5),(PI()*FH$12^2)/4*(FD85*$W85*1000)/($G85*$B$5)),
IF($D85="Pénétro.",
IF(OR($E85=4,$E85=1,$E85=5),(PI()*FH$12^2)/4*(FD85*$W85*1000)/($H85*$B$5),(PI()*FH$12^2)/4*(FD85*$W85*1000)/($G85*$B$5)))),
IF($D85="Pressio.",
IF($E85=3,(PI()*FH$12^2)/4*(FD85*$W85*1000)/($H85*$B$5),(PI()*FH$12^2)/4*(FD85*$W85*1000)/($G85*$B$5)),
IF($D85="Pénétro.",
IF($E85=4,(PI()*FH$12^2)/4*(FD85*$W85*1000)/($H85*$B$5),(PI()*FH$12^2)/4*(FD85*$W85*1000)/($G85*$B$5))))))/10</f>
        <v>#N/A</v>
      </c>
      <c r="FI85" s="102" t="e">
        <f>(VLOOKUP($B$3,'Coeff EC7'!$T$39:$X$59,2,0)*FG85+VLOOKUP($B$3,'Coeff EC7'!$T$65:$X$85,2,0)*Model0.1C!FH85)/1.1</f>
        <v>#N/A</v>
      </c>
      <c r="FJ85" s="102" t="e">
        <f>(VLOOKUP($B$3,'Coeff EC7'!$T$39:$X$59,3,0)*FG85+VLOOKUP($B$3,'Coeff EC7'!$T$65:$X$85,3,0)*Model0.1C!FH85)/0.9</f>
        <v>#N/A</v>
      </c>
      <c r="FK85" s="102" t="e">
        <f t="shared" si="198"/>
        <v>#N/A</v>
      </c>
      <c r="FL85" s="102" t="e">
        <f t="shared" si="199"/>
        <v>#N/A</v>
      </c>
      <c r="FM85" s="414" t="e">
        <f>IF(FM84=0,0,IF(AND(FI85&gt;charge_ELS_quasi,FJ85&gt;Charge_ELS_freq,FK85&gt;charge_ELU,FL85&gt;charge_ELA,$B85&gt;NDC!$H$22-0.1+MIN(3*$FM$12,1.5)),0,1))</f>
        <v>#N/A</v>
      </c>
    </row>
    <row r="86" spans="1:169">
      <c r="A86" s="96">
        <f t="shared" si="167"/>
        <v>92.700000000000415</v>
      </c>
      <c r="B86" s="97">
        <v>7.3</v>
      </c>
      <c r="C86" s="81">
        <f>IF(B86&lt;=Hypothèses!$C$7,Hypothèses!$A$7,IF(B86&lt;=Hypothèses!$C$8,Hypothèses!$A$8,IF(B86&lt;=Hypothèses!$C$9,Hypothèses!$A$9,IF(B86&lt;=Hypothèses!$C$10,Hypothèses!$A$10,IF(B86&lt;=Hypothèses!$C$11,Hypothèses!$A$11,IF(B86&lt;=Hypothèses!$C$12,Hypothèses!$A$12,IF(B86&lt;=Hypothèses!$C$13,Hypothèses!$A$13,IF(B86&lt;=Hypothèses!$C$14,Hypothèses!$A$14,IF(B86&lt;=Hypothèses!$C$15,Hypothèses!$A$15,IF(B86&lt;=Hypothèses!$C$16,Hypothèses!$A$16,IF(B86&lt;=Hypothèses!$C$17,Hypothèses!$A$17,IF(B86&lt;=Hypothèses!$C$18,Hypothèses!$A$18,C85))))))))))))</f>
        <v>11</v>
      </c>
      <c r="D86" s="82" t="str">
        <f>IF(B86&lt;=Hypothèses!$C$7,Hypothèses!$R$7,IF(B86&lt;=Hypothèses!$C$8,Hypothèses!$R$8,IF(B86&lt;=Hypothèses!$C$9,Hypothèses!$R$9,IF(B86&lt;=Hypothèses!$C$10,Hypothèses!$R$10,IF(B86&lt;=Hypothèses!$C$11,Hypothèses!$R$11,IF(B86&lt;=Hypothèses!$C$12,Hypothèses!$R$12,IF(B86&lt;=Hypothèses!$C$13,Hypothèses!$R$13,IF(B86&lt;=Hypothèses!$C$14,Hypothèses!$R$14,IF(B86&lt;=Hypothèses!$C$15,Hypothèses!$R$15,IF(B86&lt;=Hypothèses!$C$16,Hypothèses!$R$16,IF(B86&lt;=Hypothèses!$C$17,Hypothèses!$R$17,IF(B86&lt;=Hypothèses!$C$18,Hypothèses!$R$18,D85))))))))))))</f>
        <v>Pressio.</v>
      </c>
      <c r="E86" s="82" t="e">
        <f>IF(B86&lt;=Hypothèses!$C$7,Hypothèses!$G$7,IF(B86&lt;=Hypothèses!$C$8,Hypothèses!$G$8,IF(B86&lt;=Hypothèses!$C$9,Hypothèses!$G$9,IF(B86&lt;=Hypothèses!$C$10,Hypothèses!$G$10,IF(B86&lt;=Hypothèses!$C$11,Hypothèses!$G$11,IF(B86&lt;=Hypothèses!$C$12,Hypothèses!$G$12,IF(B86&lt;=Hypothèses!$C$13,Hypothèses!$G$13,IF(B86&lt;=Hypothèses!$C$14,Hypothèses!$G$14,IF(B86&lt;=Hypothèses!$C$15,Hypothèses!$G$15,IF(B86&lt;=Hypothèses!$C$16,Hypothèses!$G$16,IF(B86&lt;=Hypothèses!$C$17,Hypothèses!$G$17,IF(B86&lt;=Hypothèses!$C$18,Hypothèses!$G$18,E85))))))))))))</f>
        <v>#N/A</v>
      </c>
      <c r="F86" s="82" t="str">
        <f>IF(B86&lt;=Hypothèses!$C$7,Hypothèses!$F$7,IF(B86&lt;=Hypothèses!$C$8,Hypothèses!$F$8,IF(B86&lt;=Hypothèses!$C$9,Hypothèses!$F$9,IF(B86&lt;=Hypothèses!$C$10,Hypothèses!$F$10,IF(B86&lt;=Hypothèses!$C$11,Hypothèses!$F$11,IF(B86&lt;=Hypothèses!$C$12,Hypothèses!$F$12,IF(B86&lt;=Hypothèses!$C$13,Hypothèses!$F$13,IF(B86&lt;=Hypothèses!$C$14,Hypothèses!$F$14,IF(B86&lt;=Hypothèses!$C$15,Hypothèses!$F$15,IF(B86&lt;=Hypothèses!$C$16,Hypothèses!$F$16,IF(B86&lt;=Hypothèses!$C$17,Hypothèses!$F$17,IF(B86&lt;=Hypothèses!$C$18,Hypothèses!$F$18,F85))))))))))))</f>
        <v/>
      </c>
      <c r="G86" s="91">
        <f t="array" ref="G86">INDEX('Coeff EC7'!$U$7:$X$27,
MATCH(Model0.1C!$B$3,'Coeff EC7'!$T$7:$T$27,0),
MATCH(Model0.1C!$D86&amp;Model0.1C!$B$4,
'Coeff EC7'!$U$6:$X$6&amp;
'Coeff EC7'!$U$5:$X$5,0))</f>
        <v>1.1499999999999999</v>
      </c>
      <c r="H86" s="91">
        <f t="array" ref="H86">INDEX('Coeff EC7'!$Y$7:$AB$27,
MATCH(Model0.1C!$B$3,'Coeff EC7'!$T$7:$T$27,0),
MATCH(Model0.1C!$D86&amp;Model0.1C!$B$4,
'Coeff EC7'!$Y$6:$AB$6&amp;
'Coeff EC7'!$Y$5:$AB$5,0))</f>
        <v>1.4</v>
      </c>
      <c r="I86" s="83" t="e">
        <f>IF(B86&lt;=Hypothèses!$C$7,Hypothèses!$P$7,IF(B86&lt;=Hypothèses!$C$8,Hypothèses!$P$8,IF(B86&lt;=Hypothèses!$C$9,Hypothèses!$P$9,IF(B86&lt;=Hypothèses!$C$10,Hypothèses!$P$10,IF(B86&lt;=Hypothèses!$C$11,Hypothèses!$P$11,IF(B86&lt;=Hypothèses!$C$12,Hypothèses!$P$12,IF(B86&lt;=Hypothèses!$C$13,Hypothèses!$P$13,IF(B86&lt;=Hypothèses!$C$14,Hypothèses!$P$14,IF(B86&lt;=Hypothèses!$C$15,Hypothèses!$P$15,IF(B86&lt;=Hypothèses!$C$16,Hypothèses!$P$16,IF(B86&lt;=Hypothèses!$C$17,Hypothèses!$P$17,IF(B86&lt;=Hypothèses!$C$18,Hypothèses!$P$18,I85))))))))))))</f>
        <v>#N/A</v>
      </c>
      <c r="J86" s="91" t="e">
        <f t="array" ref="J86">INDEX('Coeff EC7'!$D$33:$Q$33,1,MATCH(D86&amp;E86,'Coeff EC7'!$D$31:$Q$31&amp;'Coeff EC7'!$D$32:$Q$32,0))</f>
        <v>#N/A</v>
      </c>
      <c r="K86" s="91" t="e">
        <f t="array" ref="K86">INDEX('Coeff EC7'!$D$34:$Q$34,1,MATCH(D86&amp;E86,'Coeff EC7'!$D$31:$Q$31&amp;'Coeff EC7'!$D$32:$Q$32,0))</f>
        <v>#N/A</v>
      </c>
      <c r="L86" s="91" t="e">
        <f t="array" ref="L86">INDEX('Coeff EC7'!$D$35:$Q$35,1,MATCH(D86&amp;E86,'Coeff EC7'!$D$31:$Q$31&amp;'Coeff EC7'!$D$32:$Q$32,0))</f>
        <v>#N/A</v>
      </c>
      <c r="M86" s="98" t="e">
        <f t="shared" si="131"/>
        <v>#N/A</v>
      </c>
      <c r="N86" s="99" t="e">
        <f t="array" ref="N86">INDEX('Coeff EC7'!$D$7:$Q$27,MATCH($B$3,'Coeff EC7'!$C$7:$C$27,0),MATCH(D86&amp;E86,'Coeff EC7'!$D$5:$Q$5&amp;'Coeff EC7'!$D$6:$Q$6,0))</f>
        <v>#N/A</v>
      </c>
      <c r="O86" s="99" t="e">
        <f t="array" ref="O86">INDEX('Coeff EC7'!$D$41:$Q$61,MATCH($B$3,'Coeff EC7'!$C$41:$C$61,0),MATCH(D86&amp;E86,'Coeff EC7'!$D$39:$Q$39&amp;'Coeff EC7'!$D$40:$Q$40,0))</f>
        <v>#N/A</v>
      </c>
      <c r="P86" s="30" t="e">
        <f t="shared" si="168"/>
        <v>#N/A</v>
      </c>
      <c r="Q86" s="100" t="e">
        <f t="shared" si="133"/>
        <v>#N/A</v>
      </c>
      <c r="R86" s="86" t="b">
        <f t="shared" si="134"/>
        <v>0</v>
      </c>
      <c r="S86" s="86">
        <f t="shared" si="132"/>
        <v>0.5</v>
      </c>
      <c r="T86" s="86">
        <f t="shared" si="135"/>
        <v>0.5</v>
      </c>
      <c r="U86" s="30" t="e">
        <f t="shared" ca="1" si="169"/>
        <v>#DIV/0!</v>
      </c>
      <c r="V86" s="85" t="str">
        <f>IF(B86&lt;=Hypothèses!$V$7,Hypothèses!$W$7,IF(B86&lt;=Hypothèses!$V$8,Hypothèses!$W$8,IF(B86&lt;=Hypothèses!$V$9,Hypothèses!$W$9,IF(B86&lt;=Hypothèses!$V$10,Hypothèses!$W$10,IF(B86&lt;=Hypothèses!$V$11,Hypothèses!$W$11,IF(B86&lt;=Hypothèses!$V$12,Hypothèses!$W$12,IF(B86&lt;=Hypothèses!$V$13,Hypothèses!$W$13,IF(B86&lt;=Hypothèses!$V$14,Hypothèses!$W$14,IF(B86&lt;=Hypothèses!$V$15,Hypothèses!$W$15,IF(B86&lt;=Hypothèses!$V$16,Hypothèses!$W$16,IF(B86&lt;=Hypothèses!$V$17,Hypothèses!$W$17,IF(B86&lt;=Hypothèses!$V$18,Hypothèses!$W$18,""))))))))))))</f>
        <v/>
      </c>
      <c r="W86" s="87" t="e">
        <f t="shared" ca="1" si="216"/>
        <v>#DIV/0!</v>
      </c>
      <c r="X86" s="88" t="str">
        <f>IF(B86&lt;=Hypothèses!$V$7,Hypothèses!$X$7,IF(B86&lt;=Hypothèses!$V$8,Hypothèses!$X$8,IF(B86&lt;=Hypothèses!$V$9,Hypothèses!$X$9,IF(B86&lt;=Hypothèses!$V$10,Hypothèses!$X$10,IF(B86&lt;=Hypothèses!$V$11,Hypothèses!$X$11,IF(B86&lt;=Hypothèses!$V$12,Hypothèses!$X$12,IF(B86&lt;=Hypothèses!$V$13,Hypothèses!$X$13,IF(B86&lt;=Hypothèses!$V$14,Hypothèses!$X$14,IF(B86&lt;=Hypothèses!$V$15,Hypothèses!$X$15,IF(B86&lt;=Hypothèses!$V$16,Hypothèses!$X$16,IF(B86&lt;=Hypothèses!$U$17,Hypothèses!$W$17,IF(B86&lt;=Hypothèses!$U$18,Hypothèses!$W$18,""))))))))))))</f>
        <v/>
      </c>
      <c r="Y86" s="95" t="e">
        <f t="shared" ca="1" si="136"/>
        <v>#DIV/0!</v>
      </c>
      <c r="Z86" s="101" t="e">
        <f t="shared" si="137"/>
        <v>#N/A</v>
      </c>
      <c r="AA86" s="91" t="e">
        <f t="shared" si="138"/>
        <v>#N/A</v>
      </c>
      <c r="AB86" s="30" t="e">
        <f t="shared" si="200"/>
        <v>#N/A</v>
      </c>
      <c r="AC86" s="30" t="e">
        <f t="shared" si="201"/>
        <v>#N/A</v>
      </c>
      <c r="AD86" s="31" t="e">
        <f>IF(OR(Hypothèses!$B$4=17,Hypothèses!$B$4=18,Hypothèses!$B$4=19,Hypothèses!$B$4=20),
IF($D86="Pressio.",
IF(OR($E86=3,$E86=1,$E86=4),AC86,AB86),
IF($D86="Pénétro.",
IF(OR($E86=3,$E86=1,$E86=4),AC86,AB86))),IF($D86="Pressio.",
IF($E86=3,AC86,AB86),
IF($D86="Pénétro.",
IF($E86=4,AC86,AB86))))</f>
        <v>#N/A</v>
      </c>
      <c r="AE86" s="31" t="e">
        <f>(IF(OR(Hypothèses!$B$4=17,Hypothèses!$B$4=18,Hypothèses!$B$4=19,Hypothèses!$B$4=20),
IF($D86="Pressio.",
IF(OR($E86=3,$E86=1,$E86=4),(PI()*AE$12^2)/4*(AA86*$W86*1000)/($H86*$B$5),(PI()*AE$12^2)/4*(AA86*$W86*1000)/($G86*$B$5)),
IF($D86="Pénétro.",
IF(OR($E86=4,$E86=1,$E86=5),(PI()*AE$12^2)/4*(AA86*$W86*1000)/($H86*$B$5),(PI()*AE$12^2)/4*(AA86*$W86*1000)/($G86*$B$5)))),
IF($D86="Pressio.",
IF($E86=3,(PI()*AE$12^2)/4*(AA86*$W86*1000)/($H86*$B$5),(PI()*AE$12^2)/4*(AA86*$W86*1000)/($G86*$B$5)),
IF($D86="Pénétro.",
IF($E86=4,(PI()*AE$12^2)/4*(AA86*$W86*1000)/($H86*$B$5),(PI()*AE$12^2)/4*(AA86*$W86*1000)/($G86*$B$5))))))/10</f>
        <v>#N/A</v>
      </c>
      <c r="AF86" s="102" t="e">
        <f>(VLOOKUP($B$3,'Coeff EC7'!$T$39:$X$59,2,0)*AD86+VLOOKUP($B$3,'Coeff EC7'!$T$65:$X$85,2,0)*Model0.1C!AE86)/1.1</f>
        <v>#N/A</v>
      </c>
      <c r="AG86" s="102" t="e">
        <f>(VLOOKUP($B$3,'Coeff EC7'!$T$39:$X$59,3,0)*AD86+VLOOKUP($B$3,'Coeff EC7'!$T$65:$X$85,3,0)*Model0.1C!AE86)/0.9</f>
        <v>#N/A</v>
      </c>
      <c r="AH86" s="102" t="e">
        <f t="shared" si="139"/>
        <v>#N/A</v>
      </c>
      <c r="AI86" s="102" t="e">
        <f t="shared" si="140"/>
        <v>#N/A</v>
      </c>
      <c r="AJ86" s="414" t="e">
        <f>IF(AJ85=0,0,IF(AND(AF86&gt;charge_ELS_quasi,AG86&gt;Charge_ELS_freq,AH86&gt;charge_ELU,AI86&gt;charge_ELA,$B86&gt;NDC!$H$22-0.1+MIN(3*$AJ$12,1.5)),0,1))</f>
        <v>#N/A</v>
      </c>
      <c r="AK86" s="86" t="b">
        <f t="shared" si="141"/>
        <v>0</v>
      </c>
      <c r="AL86" s="86">
        <f t="shared" si="170"/>
        <v>0.5</v>
      </c>
      <c r="AM86" s="86">
        <f t="shared" si="142"/>
        <v>0.5</v>
      </c>
      <c r="AN86" s="30" t="e">
        <f t="shared" ca="1" si="171"/>
        <v>#DIV/0!</v>
      </c>
      <c r="AO86" s="85" t="e">
        <f ca="1">IF(U86&lt;=Hypothèses!$V$7,Hypothèses!$W$7,IF(U86&lt;=Hypothèses!$V$8,Hypothèses!$W$8,IF(U86&lt;=Hypothèses!$V$9,Hypothèses!$W$9,IF(U86&lt;=Hypothèses!$V$10,Hypothèses!$W$10,IF(U86&lt;=Hypothèses!$V$11,Hypothèses!$W$11,IF(U86&lt;=Hypothèses!$V$12,Hypothèses!$W$12,IF(U86&lt;=Hypothèses!$V$13,Hypothèses!$W$13,IF(U86&lt;=Hypothèses!$V$14,Hypothèses!$W$14,IF(U86&lt;=Hypothèses!$V$15,Hypothèses!$W$15,IF(U86&lt;=Hypothèses!$V$16,Hypothèses!$W$16,IF(U86&lt;=Hypothèses!$V$17,Hypothèses!$W$17,IF(U86&lt;=Hypothèses!$V$18,Hypothèses!$W$18,""))))))))))))</f>
        <v>#DIV/0!</v>
      </c>
      <c r="AP86" s="87" t="e">
        <f t="shared" ca="1" si="217"/>
        <v>#DIV/0!</v>
      </c>
      <c r="AQ86" s="88" t="e">
        <f ca="1">IF(U86&lt;=Hypothèses!$V$7,Hypothèses!$X$7,IF(U86&lt;=Hypothèses!$V$8,Hypothèses!$X$8,IF(U86&lt;=Hypothèses!$V$9,Hypothèses!$X$9,IF(U86&lt;=Hypothèses!$V$10,Hypothèses!$X$10,IF(U86&lt;=Hypothèses!$V$11,Hypothèses!$X$11,IF(U86&lt;=Hypothèses!$V$12,Hypothèses!$X$12,IF(U86&lt;=Hypothèses!$V$13,Hypothèses!$X$13,IF(U86&lt;=Hypothèses!$V$14,Hypothèses!$X$14,IF(U86&lt;=Hypothèses!$V$15,Hypothèses!$X$15,IF(U86&lt;=Hypothèses!$V$16,Hypothèses!$X$16,IF(U86&lt;=Hypothèses!$U$17,Hypothèses!$W$17,IF(U86&lt;=Hypothèses!$U$18,Hypothèses!$W$18,""))))))))))))</f>
        <v>#DIV/0!</v>
      </c>
      <c r="AR86" s="95" t="e">
        <f t="shared" ca="1" si="172"/>
        <v>#DIV/0!</v>
      </c>
      <c r="AS86" s="101" t="e">
        <f t="shared" si="224"/>
        <v>#N/A</v>
      </c>
      <c r="AT86" s="91" t="e">
        <f t="shared" si="143"/>
        <v>#N/A</v>
      </c>
      <c r="AU86" s="30" t="e">
        <f t="shared" si="202"/>
        <v>#N/A</v>
      </c>
      <c r="AV86" s="30" t="e">
        <f t="shared" si="203"/>
        <v>#N/A</v>
      </c>
      <c r="AW86" s="31" t="e">
        <f>IF(OR(Hypothèses!$B$4=17,Hypothèses!$B$4=18,Hypothèses!$B$4=19,Hypothèses!$B$4=20),
IF($D86="Pressio.",
IF(OR($E86=3,$E86=1,$E86=4),AV86,AU86),
IF($D86="Pénétro.",
IF(OR($E86=3,$E86=1,$E86=4),AV86,AU86))),IF($D86="Pressio.",
IF($E86=3,AV86,AU86),
IF($D86="Pénétro.",
IF($E86=4,AV86,AU86))))</f>
        <v>#N/A</v>
      </c>
      <c r="AX86" s="31" t="e">
        <f>(IF(OR(Hypothèses!$B$4=17,Hypothèses!$B$4=18,Hypothèses!$B$4=19,Hypothèses!$B$4=20),
IF($D86="Pressio.",
IF(OR($E86=3,$E86=1,$E86=4),(PI()*AX$12^2)/4*(AT86*$W86*1000)/($H86*$B$5),(PI()*AX$12^2)/4*(AT86*$W86*1000)/($G86*$B$5)),
IF($D86="Pénétro.",
IF(OR($E86=4,$E86=1,$E86=5),(PI()*AX$12^2)/4*(AT86*$W86*1000)/($H86*$B$5),(PI()*AX$12^2)/4*(AT86*$W86*1000)/($G86*$B$5)))),
IF($D86="Pressio.",
IF($E86=3,(PI()*AX$12^2)/4*(AT86*$W86*1000)/($H86*$B$5),(PI()*AX$12^2)/4*(AT86*$W86*1000)/($G86*$B$5)),
IF($D86="Pénétro.",
IF($E86=4,(PI()*AX$12^2)/4*(AT86*$W86*1000)/($H86*$B$5),(PI()*AX$12^2)/4*(AT86*$W86*1000)/($G86*$B$5))))))/10</f>
        <v>#N/A</v>
      </c>
      <c r="AY86" s="102" t="e">
        <f>(VLOOKUP($B$3,'Coeff EC7'!$T$39:$X$59,2,0)*AW86+VLOOKUP($B$3,'Coeff EC7'!$T$65:$X$85,2,0)*Model0.1C!AX86)/1.1</f>
        <v>#N/A</v>
      </c>
      <c r="AZ86" s="102" t="e">
        <f>(VLOOKUP($B$3,'Coeff EC7'!$T$39:$X$59,3,0)*AW86+VLOOKUP($B$3,'Coeff EC7'!$T$65:$X$85,3,0)*Model0.1C!AX86)/0.9</f>
        <v>#N/A</v>
      </c>
      <c r="BA86" s="102" t="e">
        <f t="shared" si="173"/>
        <v>#N/A</v>
      </c>
      <c r="BB86" s="102" t="e">
        <f t="shared" si="174"/>
        <v>#N/A</v>
      </c>
      <c r="BC86" s="414" t="e">
        <f>IF(BC85=0,0,IF(AND(AY86&gt;charge_ELS_quasi,AZ86&gt;Charge_ELS_freq,BA86&gt;charge_ELU,BB86&gt;charge_ELA,$B86&gt;NDC!$H$22-0.1+MIN(3*$BC$12,1.5)),0,1))</f>
        <v>#N/A</v>
      </c>
      <c r="BD86" s="86" t="b">
        <f t="shared" si="144"/>
        <v>0</v>
      </c>
      <c r="BE86" s="86">
        <f t="shared" si="175"/>
        <v>0.5</v>
      </c>
      <c r="BF86" s="86">
        <f t="shared" si="145"/>
        <v>0.5</v>
      </c>
      <c r="BG86" s="30" t="e">
        <f t="shared" ca="1" si="176"/>
        <v>#DIV/0!</v>
      </c>
      <c r="BH86" s="85" t="e">
        <f ca="1">IF(AN86&lt;=Hypothèses!$V$7,Hypothèses!$W$7,IF(AN86&lt;=Hypothèses!$V$8,Hypothèses!$W$8,IF(AN86&lt;=Hypothèses!$V$9,Hypothèses!$W$9,IF(AN86&lt;=Hypothèses!$V$10,Hypothèses!$W$10,IF(AN86&lt;=Hypothèses!$V$11,Hypothèses!$W$11,IF(AN86&lt;=Hypothèses!$V$12,Hypothèses!$W$12,IF(AN86&lt;=Hypothèses!$V$13,Hypothèses!$W$13,IF(AN86&lt;=Hypothèses!$V$14,Hypothèses!$W$14,IF(AN86&lt;=Hypothèses!$V$15,Hypothèses!$W$15,IF(AN86&lt;=Hypothèses!$V$16,Hypothèses!$W$16,IF(AN86&lt;=Hypothèses!$V$17,Hypothèses!$W$17,IF(AN86&lt;=Hypothèses!$V$18,Hypothèses!$W$18,""))))))))))))</f>
        <v>#DIV/0!</v>
      </c>
      <c r="BI86" s="87" t="e">
        <f t="shared" ca="1" si="218"/>
        <v>#DIV/0!</v>
      </c>
      <c r="BJ86" s="88" t="e">
        <f ca="1">IF(AN86&lt;=Hypothèses!$V$7,Hypothèses!$X$7,IF(AN86&lt;=Hypothèses!$V$8,Hypothèses!$X$8,IF(AN86&lt;=Hypothèses!$V$9,Hypothèses!$X$9,IF(AN86&lt;=Hypothèses!$V$10,Hypothèses!$X$10,IF(AN86&lt;=Hypothèses!$V$11,Hypothèses!$X$11,IF(AN86&lt;=Hypothèses!$V$12,Hypothèses!$X$12,IF(AN86&lt;=Hypothèses!$V$13,Hypothèses!$X$13,IF(AN86&lt;=Hypothèses!$V$14,Hypothèses!$X$14,IF(AN86&lt;=Hypothèses!$V$15,Hypothèses!$X$15,IF(AN86&lt;=Hypothèses!$V$16,Hypothèses!$X$16,IF(AN86&lt;=Hypothèses!$U$17,Hypothèses!$W$17,IF(AN86&lt;=Hypothèses!$U$18,Hypothèses!$W$18,""))))))))))))</f>
        <v>#DIV/0!</v>
      </c>
      <c r="BK86" s="95" t="e">
        <f t="shared" ca="1" si="177"/>
        <v>#DIV/0!</v>
      </c>
      <c r="BL86" s="101" t="e">
        <f t="shared" si="225"/>
        <v>#N/A</v>
      </c>
      <c r="BM86" s="91" t="e">
        <f t="shared" si="146"/>
        <v>#N/A</v>
      </c>
      <c r="BN86" s="30" t="e">
        <f t="shared" si="204"/>
        <v>#N/A</v>
      </c>
      <c r="BO86" s="30" t="e">
        <f t="shared" si="205"/>
        <v>#N/A</v>
      </c>
      <c r="BP86" s="31" t="e">
        <f>IF(OR(Hypothèses!$B$4=17,Hypothèses!$B$4=18,Hypothèses!$B$4=19,Hypothèses!$B$4=20),
IF($D86="Pressio.",
IF(OR($E86=3,$E86=1,$E86=4),BO86,BN86),
IF($D86="Pénétro.",
IF(OR($E86=3,$E86=1,$E86=4),BO86,BN86))),IF($D86="Pressio.",
IF($E86=3,BO86,BN86),
IF($D86="Pénétro.",
IF($E86=4,BO86,BN86))))</f>
        <v>#N/A</v>
      </c>
      <c r="BQ86" s="31" t="e">
        <f>(IF(OR(Hypothèses!$B$4=17,Hypothèses!$B$4=18,Hypothèses!$B$4=19,Hypothèses!$B$4=20),
IF($D86="Pressio.",
IF(OR($E86=3,$E86=1,$E86=4),(PI()*BQ$12^2)/4*(BM86*$W86*1000)/($H86*$B$5),(PI()*BQ$12^2)/4*(BM86*$W86*1000)/($G86*$B$5)),
IF($D86="Pénétro.",
IF(OR($E86=4,$E86=1,$E86=5),(PI()*BQ$12^2)/4*(BM86*$W86*1000)/($H86*$B$5),(PI()*BQ$12^2)/4*(BM86*$W86*1000)/($G86*$B$5)))),
IF($D86="Pressio.",
IF($E86=3,(PI()*BQ$12^2)/4*(BM86*$W86*1000)/($H86*$B$5),(PI()*BQ$12^2)/4*(BM86*$W86*1000)/($G86*$B$5)),
IF($D86="Pénétro.",
IF($E86=4,(PI()*BQ$12^2)/4*(BM86*$W86*1000)/($H86*$B$5),(PI()*BQ$12^2)/4*(BM86*$W86*1000)/($G86*$B$5))))))/10</f>
        <v>#N/A</v>
      </c>
      <c r="BR86" s="102" t="e">
        <f>(VLOOKUP($B$3,'Coeff EC7'!$T$39:$X$59,2,0)*BP86+VLOOKUP($B$3,'Coeff EC7'!$T$65:$X$85,2,0)*Model0.1C!BQ86)/1.1</f>
        <v>#N/A</v>
      </c>
      <c r="BS86" s="102" t="e">
        <f>(VLOOKUP($B$3,'Coeff EC7'!$T$39:$X$59,3,0)*BP86+VLOOKUP($B$3,'Coeff EC7'!$T$65:$X$85,3,0)*Model0.1C!BQ86)/0.9</f>
        <v>#N/A</v>
      </c>
      <c r="BT86" s="102" t="e">
        <f t="shared" si="178"/>
        <v>#N/A</v>
      </c>
      <c r="BU86" s="102" t="e">
        <f t="shared" si="179"/>
        <v>#N/A</v>
      </c>
      <c r="BV86" s="414" t="e">
        <f>IF(BV85=0,0,IF(AND(BR86&gt;charge_ELS_quasi,BS86&gt;Charge_ELS_freq,BT86&gt;charge_ELU,BU86&gt;charge_ELA,$B86&gt;NDC!$H$22-0.1+MIN(3*$BV$12,1.5)),0,1))</f>
        <v>#N/A</v>
      </c>
      <c r="BW86" s="86" t="b">
        <f t="shared" si="147"/>
        <v>0</v>
      </c>
      <c r="BX86" s="86">
        <f t="shared" si="148"/>
        <v>0.5</v>
      </c>
      <c r="BY86" s="86">
        <f t="shared" si="149"/>
        <v>0.5</v>
      </c>
      <c r="BZ86" s="30" t="e">
        <f t="shared" ca="1" si="180"/>
        <v>#DIV/0!</v>
      </c>
      <c r="CA86" s="85" t="e">
        <f ca="1">IF(BG86&lt;=Hypothèses!$V$7,Hypothèses!$W$7,IF(BG86&lt;=Hypothèses!$V$8,Hypothèses!$W$8,IF(BG86&lt;=Hypothèses!$V$9,Hypothèses!$W$9,IF(BG86&lt;=Hypothèses!$V$10,Hypothèses!$W$10,IF(BG86&lt;=Hypothèses!$V$11,Hypothèses!$W$11,IF(BG86&lt;=Hypothèses!$V$12,Hypothèses!$W$12,IF(BG86&lt;=Hypothèses!$V$13,Hypothèses!$W$13,IF(BG86&lt;=Hypothèses!$V$14,Hypothèses!$W$14,IF(BG86&lt;=Hypothèses!$V$15,Hypothèses!$W$15,IF(BG86&lt;=Hypothèses!$V$16,Hypothèses!$W$16,IF(BG86&lt;=Hypothèses!$V$17,Hypothèses!$W$17,IF(BG86&lt;=Hypothèses!$V$18,Hypothèses!$W$18,""))))))))))))</f>
        <v>#DIV/0!</v>
      </c>
      <c r="CB86" s="87" t="e">
        <f t="shared" ca="1" si="219"/>
        <v>#DIV/0!</v>
      </c>
      <c r="CC86" s="88" t="e">
        <f ca="1">IF(BG86&lt;=Hypothèses!$V$7,Hypothèses!$X$7,IF(BG86&lt;=Hypothèses!$V$8,Hypothèses!$X$8,IF(BG86&lt;=Hypothèses!$V$9,Hypothèses!$X$9,IF(BG86&lt;=Hypothèses!$V$10,Hypothèses!$X$10,IF(BG86&lt;=Hypothèses!$V$11,Hypothèses!$X$11,IF(BG86&lt;=Hypothèses!$V$12,Hypothèses!$X$12,IF(BG86&lt;=Hypothèses!$V$13,Hypothèses!$X$13,IF(BG86&lt;=Hypothèses!$V$14,Hypothèses!$X$14,IF(BG86&lt;=Hypothèses!$V$15,Hypothèses!$X$15,IF(BG86&lt;=Hypothèses!$V$16,Hypothèses!$X$16,IF(BG86&lt;=Hypothèses!$U$17,Hypothèses!$W$17,IF(BG86&lt;=Hypothèses!$U$18,Hypothèses!$W$18,""))))))))))))</f>
        <v>#DIV/0!</v>
      </c>
      <c r="CD86" s="95" t="e">
        <f t="shared" ca="1" si="181"/>
        <v>#DIV/0!</v>
      </c>
      <c r="CE86" s="101" t="e">
        <f t="shared" si="226"/>
        <v>#N/A</v>
      </c>
      <c r="CF86" s="91" t="e">
        <f t="shared" si="150"/>
        <v>#N/A</v>
      </c>
      <c r="CG86" s="30" t="e">
        <f t="shared" si="206"/>
        <v>#N/A</v>
      </c>
      <c r="CH86" s="30" t="e">
        <f t="shared" si="207"/>
        <v>#N/A</v>
      </c>
      <c r="CI86" s="31" t="e">
        <f>IF(OR(Hypothèses!$B$4=17,Hypothèses!$B$4=18,Hypothèses!$B$4=19,Hypothèses!$B$4=20),
IF($D86="Pressio.",
IF(OR($E86=3,$E86=1,$E86=4),CH86,CG86),
IF($D86="Pénétro.",
IF(OR($E86=3,$E86=1,$E86=4),CH86,CG86))),IF($D86="Pressio.",
IF($E86=3,CH86,CG86),
IF($D86="Pénétro.",
IF($E86=4,CH86,CG86))))</f>
        <v>#N/A</v>
      </c>
      <c r="CJ86" s="31" t="e">
        <f>(IF(OR(Hypothèses!$B$4=17,Hypothèses!$B$4=18,Hypothèses!$B$4=19,Hypothèses!$B$4=20),
IF($D86="Pressio.",
IF(OR($E86=3,$E86=1,$E86=4),(PI()*CJ$12^2)/4*(CF86*$W86*1000)/($H86*$B$5),(PI()*CJ$12^2)/4*(CF86*$W86*1000)/($G86*$B$5)),
IF($D86="Pénétro.",
IF(OR($E86=4,$E86=1,$E86=5),(PI()*CJ$12^2)/4*(CF86*$W86*1000)/($H86*$B$5),(PI()*CJ$12^2)/4*(CF86*$W86*1000)/($G86*$B$5)))),
IF($D86="Pressio.",
IF($E86=3,(PI()*CJ$12^2)/4*(CF86*$W86*1000)/($H86*$B$5),(PI()*CJ$12^2)/4*(CF86*$W86*1000)/($G86*$B$5)),
IF($D86="Pénétro.",
IF($E86=4,(PI()*CJ$12^2)/4*(CF86*$W86*1000)/($H86*$B$5),(PI()*CJ$12^2)/4*(CF86*$W86*1000)/($G86*$B$5))))))/10</f>
        <v>#N/A</v>
      </c>
      <c r="CK86" s="102" t="e">
        <f>(VLOOKUP($B$3,'Coeff EC7'!$T$39:$X$59,2,0)*CI86+VLOOKUP($B$3,'Coeff EC7'!$T$65:$X$85,2,0)*Model0.1C!CJ86)/1.1</f>
        <v>#N/A</v>
      </c>
      <c r="CL86" s="102" t="e">
        <f>(VLOOKUP($B$3,'Coeff EC7'!$T$39:$X$59,3,0)*CI86+VLOOKUP($B$3,'Coeff EC7'!$T$65:$X$85,3,0)*Model0.1C!CJ86)/0.9</f>
        <v>#N/A</v>
      </c>
      <c r="CM86" s="102" t="e">
        <f t="shared" si="182"/>
        <v>#N/A</v>
      </c>
      <c r="CN86" s="102" t="e">
        <f t="shared" si="183"/>
        <v>#N/A</v>
      </c>
      <c r="CO86" s="414" t="e">
        <f>IF(CO85=0,0,IF(AND(CK86&gt;charge_ELS_quasi,CL86&gt;Charge_ELS_freq,CM86&gt;charge_ELU,CN86&gt;charge_ELA,$B86&gt;NDC!$H$22-0.1+MIN(3*$CO$12,1.5)),0,1))</f>
        <v>#N/A</v>
      </c>
      <c r="CP86" s="86" t="b">
        <f t="shared" si="151"/>
        <v>0</v>
      </c>
      <c r="CQ86" s="86">
        <f t="shared" si="152"/>
        <v>0.5</v>
      </c>
      <c r="CR86" s="86">
        <f t="shared" si="153"/>
        <v>0.5</v>
      </c>
      <c r="CS86" s="30" t="e">
        <f t="shared" ca="1" si="184"/>
        <v>#DIV/0!</v>
      </c>
      <c r="CT86" s="85" t="e">
        <f ca="1">IF(BZ86&lt;=Hypothèses!$V$7,Hypothèses!$W$7,IF(BZ86&lt;=Hypothèses!$V$8,Hypothèses!$W$8,IF(BZ86&lt;=Hypothèses!$V$9,Hypothèses!$W$9,IF(BZ86&lt;=Hypothèses!$V$10,Hypothèses!$W$10,IF(BZ86&lt;=Hypothèses!$V$11,Hypothèses!$W$11,IF(BZ86&lt;=Hypothèses!$V$12,Hypothèses!$W$12,IF(BZ86&lt;=Hypothèses!$V$13,Hypothèses!$W$13,IF(BZ86&lt;=Hypothèses!$V$14,Hypothèses!$W$14,IF(BZ86&lt;=Hypothèses!$V$15,Hypothèses!$W$15,IF(BZ86&lt;=Hypothèses!$V$16,Hypothèses!$W$16,IF(BZ86&lt;=Hypothèses!$V$17,Hypothèses!$W$17,IF(BZ86&lt;=Hypothèses!$V$18,Hypothèses!$W$18,""))))))))))))</f>
        <v>#DIV/0!</v>
      </c>
      <c r="CU86" s="87" t="e">
        <f t="shared" ca="1" si="220"/>
        <v>#DIV/0!</v>
      </c>
      <c r="CV86" s="88" t="e">
        <f ca="1">IF(BZ86&lt;=Hypothèses!$V$7,Hypothèses!$X$7,IF(BZ86&lt;=Hypothèses!$V$8,Hypothèses!$X$8,IF(BZ86&lt;=Hypothèses!$V$9,Hypothèses!$X$9,IF(BZ86&lt;=Hypothèses!$V$10,Hypothèses!$X$10,IF(BZ86&lt;=Hypothèses!$V$11,Hypothèses!$X$11,IF(BZ86&lt;=Hypothèses!$V$12,Hypothèses!$X$12,IF(BZ86&lt;=Hypothèses!$V$13,Hypothèses!$X$13,IF(BZ86&lt;=Hypothèses!$V$14,Hypothèses!$X$14,IF(BZ86&lt;=Hypothèses!$V$15,Hypothèses!$X$15,IF(BZ86&lt;=Hypothèses!$V$16,Hypothèses!$X$16,IF(BZ86&lt;=Hypothèses!$U$17,Hypothèses!$W$17,IF(BZ86&lt;=Hypothèses!$U$18,Hypothèses!$W$18,""))))))))))))</f>
        <v>#DIV/0!</v>
      </c>
      <c r="CW86" s="95" t="e">
        <f t="shared" ca="1" si="185"/>
        <v>#DIV/0!</v>
      </c>
      <c r="CX86" s="101" t="e">
        <f t="shared" si="227"/>
        <v>#N/A</v>
      </c>
      <c r="CY86" s="91" t="e">
        <f t="shared" si="154"/>
        <v>#N/A</v>
      </c>
      <c r="CZ86" s="30" t="e">
        <f t="shared" si="208"/>
        <v>#N/A</v>
      </c>
      <c r="DA86" s="30" t="e">
        <f t="shared" si="209"/>
        <v>#N/A</v>
      </c>
      <c r="DB86" s="31" t="e">
        <f>IF(OR(Hypothèses!$B$4=17,Hypothèses!$B$4=18,Hypothèses!$B$4=19,Hypothèses!$B$4=20),
IF($D86="Pressio.",
IF(OR($E86=3,$E86=1,$E86=4),DA86,CZ86),
IF($D86="Pénétro.",
IF(OR($E86=3,$E86=1,$E86=4),DA86,CZ86))),IF($D86="Pressio.",
IF($E86=3,DA86,CZ86),
IF($D86="Pénétro.",
IF($E86=4,DA86,CZ86))))</f>
        <v>#N/A</v>
      </c>
      <c r="DC86" s="31" t="e">
        <f>(IF(OR(Hypothèses!$B$4=17,Hypothèses!$B$4=18,Hypothèses!$B$4=19,Hypothèses!$B$4=20),
IF($D86="Pressio.",
IF(OR($E86=3,$E86=1,$E86=4),(PI()*DC$12^2)/4*(CY86*$W86*1000)/($H86*$B$5),(PI()*DC$12^2)/4*(CY86*$W86*1000)/($G86*$B$5)),
IF($D86="Pénétro.",
IF(OR($E86=4,$E86=1,$E86=5),(PI()*DC$12^2)/4*(CY86*$W86*1000)/($H86*$B$5),(PI()*DC$12^2)/4*(CY86*$W86*1000)/($G86*$B$5)))),
IF($D86="Pressio.",
IF($E86=3,(PI()*DC$12^2)/4*(CY86*$W86*1000)/($H86*$B$5),(PI()*DC$12^2)/4*(CY86*$W86*1000)/($G86*$B$5)),
IF($D86="Pénétro.",
IF($E86=4,(PI()*DC$12^2)/4*(CY86*$W86*1000)/($H86*$B$5),(PI()*DC$12^2)/4*(CY86*$W86*1000)/($G86*$B$5))))))/10</f>
        <v>#N/A</v>
      </c>
      <c r="DD86" s="102" t="e">
        <f>(VLOOKUP($B$3,'Coeff EC7'!$T$39:$X$59,2,0)*DB86+VLOOKUP($B$3,'Coeff EC7'!$T$65:$X$85,2,0)*Model0.1C!DC86)/1.1</f>
        <v>#N/A</v>
      </c>
      <c r="DE86" s="102" t="e">
        <f>(VLOOKUP($B$3,'Coeff EC7'!$T$39:$X$59,3,0)*DB86+VLOOKUP($B$3,'Coeff EC7'!$T$65:$X$85,3,0)*Model0.1C!DC86)/0.9</f>
        <v>#N/A</v>
      </c>
      <c r="DF86" s="102" t="e">
        <f t="shared" si="186"/>
        <v>#N/A</v>
      </c>
      <c r="DG86" s="102" t="e">
        <f t="shared" si="187"/>
        <v>#N/A</v>
      </c>
      <c r="DH86" s="414" t="e">
        <f>IF(DH85=0,0,IF(AND(DD86&gt;charge_ELS_quasi,DE86&gt;Charge_ELS_freq,DF86&gt;charge_ELU,DG86&gt;charge_ELA,$B86&gt;NDC!$H$22-0.1+MIN(3*$DH$12,1.5)),0,1))</f>
        <v>#N/A</v>
      </c>
      <c r="DI86" s="86" t="b">
        <f t="shared" si="155"/>
        <v>0</v>
      </c>
      <c r="DJ86" s="86">
        <f t="shared" si="156"/>
        <v>0.5</v>
      </c>
      <c r="DK86" s="86">
        <f t="shared" si="157"/>
        <v>0.5</v>
      </c>
      <c r="DL86" s="30" t="e">
        <f t="shared" ca="1" si="188"/>
        <v>#DIV/0!</v>
      </c>
      <c r="DM86" s="85" t="e">
        <f ca="1">IF(CS86&lt;=Hypothèses!$V$7,Hypothèses!$W$7,IF(CS86&lt;=Hypothèses!$V$8,Hypothèses!$W$8,IF(CS86&lt;=Hypothèses!$V$9,Hypothèses!$W$9,IF(CS86&lt;=Hypothèses!$V$10,Hypothèses!$W$10,IF(CS86&lt;=Hypothèses!$V$11,Hypothèses!$W$11,IF(CS86&lt;=Hypothèses!$V$12,Hypothèses!$W$12,IF(CS86&lt;=Hypothèses!$V$13,Hypothèses!$W$13,IF(CS86&lt;=Hypothèses!$V$14,Hypothèses!$W$14,IF(CS86&lt;=Hypothèses!$V$15,Hypothèses!$W$15,IF(CS86&lt;=Hypothèses!$V$16,Hypothèses!$W$16,IF(CS86&lt;=Hypothèses!$V$17,Hypothèses!$W$17,IF(CS86&lt;=Hypothèses!$V$18,Hypothèses!$W$18,""))))))))))))</f>
        <v>#DIV/0!</v>
      </c>
      <c r="DN86" s="87" t="e">
        <f t="shared" ca="1" si="221"/>
        <v>#DIV/0!</v>
      </c>
      <c r="DO86" s="88" t="e">
        <f ca="1">IF(CS86&lt;=Hypothèses!$V$7,Hypothèses!$X$7,IF(CS86&lt;=Hypothèses!$V$8,Hypothèses!$X$8,IF(CS86&lt;=Hypothèses!$V$9,Hypothèses!$X$9,IF(CS86&lt;=Hypothèses!$V$10,Hypothèses!$X$10,IF(CS86&lt;=Hypothèses!$V$11,Hypothèses!$X$11,IF(CS86&lt;=Hypothèses!$V$12,Hypothèses!$X$12,IF(CS86&lt;=Hypothèses!$V$13,Hypothèses!$X$13,IF(CS86&lt;=Hypothèses!$V$14,Hypothèses!$X$14,IF(CS86&lt;=Hypothèses!$V$15,Hypothèses!$X$15,IF(CS86&lt;=Hypothèses!$V$16,Hypothèses!$X$16,IF(CS86&lt;=Hypothèses!$U$17,Hypothèses!$W$17,IF(CS86&lt;=Hypothèses!$U$18,Hypothèses!$W$18,""))))))))))))</f>
        <v>#DIV/0!</v>
      </c>
      <c r="DP86" s="95" t="e">
        <f t="shared" ca="1" si="189"/>
        <v>#DIV/0!</v>
      </c>
      <c r="DQ86" s="101" t="e">
        <f t="shared" si="228"/>
        <v>#N/A</v>
      </c>
      <c r="DR86" s="91" t="e">
        <f t="shared" si="158"/>
        <v>#N/A</v>
      </c>
      <c r="DS86" s="30" t="e">
        <f t="shared" si="210"/>
        <v>#N/A</v>
      </c>
      <c r="DT86" s="30" t="e">
        <f t="shared" si="211"/>
        <v>#N/A</v>
      </c>
      <c r="DU86" s="31" t="e">
        <f>IF(OR(Hypothèses!$B$4=17,Hypothèses!$B$4=18,Hypothèses!$B$4=19,Hypothèses!$B$4=20),
IF($D86="Pressio.",
IF(OR($E86=3,$E86=1,$E86=4),DT86,DS86),
IF($D86="Pénétro.",
IF(OR($E86=3,$E86=1,$E86=4),DT86,DS86))),IF($D86="Pressio.",
IF($E86=3,DT86,DS86),
IF($D86="Pénétro.",
IF($E86=4,DT86,DS86))))</f>
        <v>#N/A</v>
      </c>
      <c r="DV86" s="31" t="e">
        <f>(IF(OR(Hypothèses!$B$4=17,Hypothèses!$B$4=18,Hypothèses!$B$4=19,Hypothèses!$B$4=20),
IF($D86="Pressio.",
IF(OR($E86=3,$E86=1,$E86=4),(PI()*DV$12^2)/4*(DR86*$W86*1000)/($H86*$B$5),(PI()*DV$12^2)/4*(DR86*$W86*1000)/($G86*$B$5)),
IF($D86="Pénétro.",
IF(OR($E86=4,$E86=1,$E86=5),(PI()*DV$12^2)/4*(DR86*$W86*1000)/($H86*$B$5),(PI()*DV$12^2)/4*(DR86*$W86*1000)/($G86*$B$5)))),
IF($D86="Pressio.",
IF($E86=3,(PI()*DV$12^2)/4*(DR86*$W86*1000)/($H86*$B$5),(PI()*DV$12^2)/4*(DR86*$W86*1000)/($G86*$B$5)),
IF($D86="Pénétro.",
IF($E86=4,(PI()*DV$12^2)/4*(DR86*$W86*1000)/($H86*$B$5),(PI()*DV$12^2)/4*(DR86*$W86*1000)/($G86*$B$5))))))/10</f>
        <v>#N/A</v>
      </c>
      <c r="DW86" s="102" t="e">
        <f>(VLOOKUP($B$3,'Coeff EC7'!$T$39:$X$59,2,0)*DU86+VLOOKUP($B$3,'Coeff EC7'!$T$65:$X$85,2,0)*Model0.1C!DV86)/1.1</f>
        <v>#N/A</v>
      </c>
      <c r="DX86" s="102" t="e">
        <f>(VLOOKUP($B$3,'Coeff EC7'!$T$39:$X$59,3,0)*DU86+VLOOKUP($B$3,'Coeff EC7'!$T$65:$X$85,3,0)*Model0.1C!DV86)/0.9</f>
        <v>#N/A</v>
      </c>
      <c r="DY86" s="102" t="e">
        <f t="shared" si="190"/>
        <v>#N/A</v>
      </c>
      <c r="DZ86" s="102" t="e">
        <f t="shared" si="191"/>
        <v>#N/A</v>
      </c>
      <c r="EA86" s="414" t="e">
        <f>IF(EA85=0,0,IF(AND(DW86&gt;charge_ELS_quasi,DX86&gt;Charge_ELS_freq,DY86&gt;charge_ELU,DZ86&gt;charge_ELA,$B86&gt;NDC!$H$22-0.1+MIN(3*$EA$12,1.5)),0,1))</f>
        <v>#N/A</v>
      </c>
      <c r="EB86" s="86" t="b">
        <f t="shared" si="159"/>
        <v>0</v>
      </c>
      <c r="EC86" s="418">
        <f t="shared" si="160"/>
        <v>0.51</v>
      </c>
      <c r="ED86" s="86">
        <f t="shared" si="161"/>
        <v>0.51</v>
      </c>
      <c r="EE86" s="30" t="e">
        <f t="shared" ca="1" si="192"/>
        <v>#DIV/0!</v>
      </c>
      <c r="EF86" s="85" t="e">
        <f ca="1">IF(DL86&lt;=Hypothèses!$V$7,Hypothèses!$W$7,IF(DL86&lt;=Hypothèses!$V$8,Hypothèses!$W$8,IF(DL86&lt;=Hypothèses!$V$9,Hypothèses!$W$9,IF(DL86&lt;=Hypothèses!$V$10,Hypothèses!$W$10,IF(DL86&lt;=Hypothèses!$V$11,Hypothèses!$W$11,IF(DL86&lt;=Hypothèses!$V$12,Hypothèses!$W$12,IF(DL86&lt;=Hypothèses!$V$13,Hypothèses!$W$13,IF(DL86&lt;=Hypothèses!$V$14,Hypothèses!$W$14,IF(DL86&lt;=Hypothèses!$V$15,Hypothèses!$W$15,IF(DL86&lt;=Hypothèses!$V$16,Hypothèses!$W$16,IF(DL86&lt;=Hypothèses!$V$17,Hypothèses!$W$17,IF(DL86&lt;=Hypothèses!$V$18,Hypothèses!$W$18,""))))))))))))</f>
        <v>#DIV/0!</v>
      </c>
      <c r="EG86" s="87" t="e">
        <f t="shared" ca="1" si="222"/>
        <v>#DIV/0!</v>
      </c>
      <c r="EH86" s="88" t="e">
        <f ca="1">IF(DL86&lt;=Hypothèses!$V$7,Hypothèses!$X$7,IF(DL86&lt;=Hypothèses!$V$8,Hypothèses!$X$8,IF(DL86&lt;=Hypothèses!$V$9,Hypothèses!$X$9,IF(DL86&lt;=Hypothèses!$V$10,Hypothèses!$X$10,IF(DL86&lt;=Hypothèses!$V$11,Hypothèses!$X$11,IF(DL86&lt;=Hypothèses!$V$12,Hypothèses!$X$12,IF(DL86&lt;=Hypothèses!$V$13,Hypothèses!$X$13,IF(DL86&lt;=Hypothèses!$V$14,Hypothèses!$X$14,IF(DL86&lt;=Hypothèses!$V$15,Hypothèses!$X$15,IF(DL86&lt;=Hypothèses!$V$16,Hypothèses!$X$16,IF(DL86&lt;=Hypothèses!$U$17,Hypothèses!$W$17,IF(DL86&lt;=Hypothèses!$U$18,Hypothèses!$W$18,""))))))))))))</f>
        <v>#DIV/0!</v>
      </c>
      <c r="EI86" s="95" t="e">
        <f t="shared" ca="1" si="193"/>
        <v>#DIV/0!</v>
      </c>
      <c r="EJ86" s="101" t="e">
        <f t="shared" si="229"/>
        <v>#N/A</v>
      </c>
      <c r="EK86" s="91" t="e">
        <f t="shared" si="162"/>
        <v>#N/A</v>
      </c>
      <c r="EL86" s="30" t="e">
        <f t="shared" si="212"/>
        <v>#N/A</v>
      </c>
      <c r="EM86" s="30" t="e">
        <f t="shared" si="213"/>
        <v>#N/A</v>
      </c>
      <c r="EN86" s="31" t="e">
        <f>IF(OR(Hypothèses!$B$4=17,Hypothèses!$B$4=18,Hypothèses!$B$4=19,Hypothèses!$B$4=20),
IF($D86="Pressio.",
IF(OR($E86=3,$E86=1,$E86=4),EM86,EL86),
IF($D86="Pénétro.",
IF(OR($E86=3,$E86=1,$E86=4),EM86,EL86))),IF($D86="Pressio.",
IF($E86=3,EM86,EL86),
IF($D86="Pénétro.",
IF($E86=4,EM86,EL86))))</f>
        <v>#N/A</v>
      </c>
      <c r="EO86" s="31" t="e">
        <f>(IF(OR(Hypothèses!$B$4=17,Hypothèses!$B$4=18,Hypothèses!$B$4=19,Hypothèses!$B$4=20),
IF($D86="Pressio.",
IF(OR($E86=3,$E86=1,$E86=4),(PI()*EO$12^2)/4*(EK86*$W86*1000)/($H86*$B$5),(PI()*EO$12^2)/4*(EK86*$W86*1000)/($G86*$B$5)),
IF($D86="Pénétro.",
IF(OR($E86=4,$E86=1,$E86=5),(PI()*EO$12^2)/4*(EK86*$W86*1000)/($H86*$B$5),(PI()*EO$12^2)/4*(EK86*$W86*1000)/($G86*$B$5)))),
IF($D86="Pressio.",
IF($E86=3,(PI()*EO$12^2)/4*(EK86*$W86*1000)/($H86*$B$5),(PI()*EO$12^2)/4*(EK86*$W86*1000)/($G86*$B$5)),
IF($D86="Pénétro.",
IF($E86=4,(PI()*EO$12^2)/4*(EK86*$W86*1000)/($H86*$B$5),(PI()*EO$12^2)/4*(EK86*$W86*1000)/($G86*$B$5))))))/10</f>
        <v>#N/A</v>
      </c>
      <c r="EP86" s="102" t="e">
        <f>(VLOOKUP($B$3,'Coeff EC7'!$T$39:$X$59,2,0)*EN86+VLOOKUP($B$3,'Coeff EC7'!$T$65:$X$85,2,0)*Model0.1C!EO86)/1.1</f>
        <v>#N/A</v>
      </c>
      <c r="EQ86" s="102" t="e">
        <f>(VLOOKUP($B$3,'Coeff EC7'!$T$39:$X$59,3,0)*EN86+VLOOKUP($B$3,'Coeff EC7'!$T$65:$X$85,3,0)*Model0.1C!EO86)/0.9</f>
        <v>#N/A</v>
      </c>
      <c r="ER86" s="102" t="e">
        <f t="shared" si="194"/>
        <v>#N/A</v>
      </c>
      <c r="ES86" s="102" t="e">
        <f t="shared" si="195"/>
        <v>#N/A</v>
      </c>
      <c r="ET86" s="414" t="e">
        <f>IF(ET85=0,0,IF(AND(EP86&gt;charge_ELS_quasi,EQ86&gt;Charge_ELS_freq,ER86&gt;charge_ELU,ES86&gt;charge_ELA,$B86&gt;NDC!$H$22-0.1+MIN(3*$ET$12,1.5)),0,1))</f>
        <v>#N/A</v>
      </c>
      <c r="EU86" s="86" t="b">
        <f t="shared" si="163"/>
        <v>0</v>
      </c>
      <c r="EV86" s="86">
        <f t="shared" si="164"/>
        <v>0.61</v>
      </c>
      <c r="EW86" s="86">
        <f t="shared" si="165"/>
        <v>0.61</v>
      </c>
      <c r="EX86" s="30" t="e">
        <f t="shared" ca="1" si="196"/>
        <v>#DIV/0!</v>
      </c>
      <c r="EY86" s="85" t="e">
        <f ca="1">IF(EE86&lt;=Hypothèses!$V$7,Hypothèses!$W$7,IF(EE86&lt;=Hypothèses!$V$8,Hypothèses!$W$8,IF(EE86&lt;=Hypothèses!$V$9,Hypothèses!$W$9,IF(EE86&lt;=Hypothèses!$V$10,Hypothèses!$W$10,IF(EE86&lt;=Hypothèses!$V$11,Hypothèses!$W$11,IF(EE86&lt;=Hypothèses!$V$12,Hypothèses!$W$12,IF(EE86&lt;=Hypothèses!$V$13,Hypothèses!$W$13,IF(EE86&lt;=Hypothèses!$V$14,Hypothèses!$W$14,IF(EE86&lt;=Hypothèses!$V$15,Hypothèses!$W$15,IF(EE86&lt;=Hypothèses!$V$16,Hypothèses!$W$16,IF(EE86&lt;=Hypothèses!$V$17,Hypothèses!$W$17,IF(EE86&lt;=Hypothèses!$V$18,Hypothèses!$W$18,""))))))))))))</f>
        <v>#DIV/0!</v>
      </c>
      <c r="EZ86" s="87" t="e">
        <f t="shared" ca="1" si="223"/>
        <v>#DIV/0!</v>
      </c>
      <c r="FA86" s="88" t="e">
        <f ca="1">IF(EE86&lt;=Hypothèses!$V$7,Hypothèses!$X$7,IF(EE86&lt;=Hypothèses!$V$8,Hypothèses!$X$8,IF(EE86&lt;=Hypothèses!$V$9,Hypothèses!$X$9,IF(EE86&lt;=Hypothèses!$V$10,Hypothèses!$X$10,IF(EE86&lt;=Hypothèses!$V$11,Hypothèses!$X$11,IF(EE86&lt;=Hypothèses!$V$12,Hypothèses!$X$12,IF(EE86&lt;=Hypothèses!$V$13,Hypothèses!$X$13,IF(EE86&lt;=Hypothèses!$V$14,Hypothèses!$X$14,IF(EE86&lt;=Hypothèses!$V$15,Hypothèses!$X$15,IF(EE86&lt;=Hypothèses!$V$16,Hypothèses!$X$16,IF(EE86&lt;=Hypothèses!$U$17,Hypothèses!$W$17,IF(EE86&lt;=Hypothèses!$U$18,Hypothèses!$W$18,""))))))))))))</f>
        <v>#DIV/0!</v>
      </c>
      <c r="FB86" s="95" t="e">
        <f t="shared" ca="1" si="197"/>
        <v>#DIV/0!</v>
      </c>
      <c r="FC86" s="101" t="e">
        <f t="shared" si="230"/>
        <v>#N/A</v>
      </c>
      <c r="FD86" s="91" t="e">
        <f t="shared" si="166"/>
        <v>#N/A</v>
      </c>
      <c r="FE86" s="30" t="e">
        <f t="shared" si="214"/>
        <v>#N/A</v>
      </c>
      <c r="FF86" s="30" t="e">
        <f t="shared" si="215"/>
        <v>#N/A</v>
      </c>
      <c r="FG86" s="31" t="e">
        <f>IF(OR(Hypothèses!$B$4=17,Hypothèses!$B$4=18,Hypothèses!$B$4=19,Hypothèses!$B$4=20),
IF($D86="Pressio.",
IF(OR($E86=3,$E86=1,$E86=4),FF86,FE86),
IF($D86="Pénétro.",
IF(OR($E86=3,$E86=1,$E86=4),FF86,FE86))),IF($D86="Pressio.",
IF($E86=3,FF86,FE86),
IF($D86="Pénétro.",
IF($E86=4,FF86,FE86))))</f>
        <v>#N/A</v>
      </c>
      <c r="FH86" s="31" t="e">
        <f>(IF(OR(Hypothèses!$B$4=17,Hypothèses!$B$4=18,Hypothèses!$B$4=19,Hypothèses!$B$4=20),
IF($D86="Pressio.",
IF(OR($E86=3,$E86=1,$E86=4),(PI()*FH$12^2)/4*(FD86*$W86*1000)/($H86*$B$5),(PI()*FH$12^2)/4*(FD86*$W86*1000)/($G86*$B$5)),
IF($D86="Pénétro.",
IF(OR($E86=4,$E86=1,$E86=5),(PI()*FH$12^2)/4*(FD86*$W86*1000)/($H86*$B$5),(PI()*FH$12^2)/4*(FD86*$W86*1000)/($G86*$B$5)))),
IF($D86="Pressio.",
IF($E86=3,(PI()*FH$12^2)/4*(FD86*$W86*1000)/($H86*$B$5),(PI()*FH$12^2)/4*(FD86*$W86*1000)/($G86*$B$5)),
IF($D86="Pénétro.",
IF($E86=4,(PI()*FH$12^2)/4*(FD86*$W86*1000)/($H86*$B$5),(PI()*FH$12^2)/4*(FD86*$W86*1000)/($G86*$B$5))))))/10</f>
        <v>#N/A</v>
      </c>
      <c r="FI86" s="102" t="e">
        <f>(VLOOKUP($B$3,'Coeff EC7'!$T$39:$X$59,2,0)*FG86+VLOOKUP($B$3,'Coeff EC7'!$T$65:$X$85,2,0)*Model0.1C!FH86)/1.1</f>
        <v>#N/A</v>
      </c>
      <c r="FJ86" s="102" t="e">
        <f>(VLOOKUP($B$3,'Coeff EC7'!$T$39:$X$59,3,0)*FG86+VLOOKUP($B$3,'Coeff EC7'!$T$65:$X$85,3,0)*Model0.1C!FH86)/0.9</f>
        <v>#N/A</v>
      </c>
      <c r="FK86" s="102" t="e">
        <f t="shared" si="198"/>
        <v>#N/A</v>
      </c>
      <c r="FL86" s="102" t="e">
        <f t="shared" si="199"/>
        <v>#N/A</v>
      </c>
      <c r="FM86" s="414" t="e">
        <f>IF(FM85=0,0,IF(AND(FI86&gt;charge_ELS_quasi,FJ86&gt;Charge_ELS_freq,FK86&gt;charge_ELU,FL86&gt;charge_ELA,$B86&gt;NDC!$H$22-0.1+MIN(3*$FM$12,1.5)),0,1))</f>
        <v>#N/A</v>
      </c>
    </row>
    <row r="87" spans="1:169">
      <c r="A87" s="96">
        <f t="shared" si="167"/>
        <v>92.600000000000421</v>
      </c>
      <c r="B87" s="97">
        <v>7.4</v>
      </c>
      <c r="C87" s="81">
        <f>IF(B87&lt;=Hypothèses!$C$7,Hypothèses!$A$7,IF(B87&lt;=Hypothèses!$C$8,Hypothèses!$A$8,IF(B87&lt;=Hypothèses!$C$9,Hypothèses!$A$9,IF(B87&lt;=Hypothèses!$C$10,Hypothèses!$A$10,IF(B87&lt;=Hypothèses!$C$11,Hypothèses!$A$11,IF(B87&lt;=Hypothèses!$C$12,Hypothèses!$A$12,IF(B87&lt;=Hypothèses!$C$13,Hypothèses!$A$13,IF(B87&lt;=Hypothèses!$C$14,Hypothèses!$A$14,IF(B87&lt;=Hypothèses!$C$15,Hypothèses!$A$15,IF(B87&lt;=Hypothèses!$C$16,Hypothèses!$A$16,IF(B87&lt;=Hypothèses!$C$17,Hypothèses!$A$17,IF(B87&lt;=Hypothèses!$C$18,Hypothèses!$A$18,C86))))))))))))</f>
        <v>11</v>
      </c>
      <c r="D87" s="82" t="str">
        <f>IF(B87&lt;=Hypothèses!$C$7,Hypothèses!$R$7,IF(B87&lt;=Hypothèses!$C$8,Hypothèses!$R$8,IF(B87&lt;=Hypothèses!$C$9,Hypothèses!$R$9,IF(B87&lt;=Hypothèses!$C$10,Hypothèses!$R$10,IF(B87&lt;=Hypothèses!$C$11,Hypothèses!$R$11,IF(B87&lt;=Hypothèses!$C$12,Hypothèses!$R$12,IF(B87&lt;=Hypothèses!$C$13,Hypothèses!$R$13,IF(B87&lt;=Hypothèses!$C$14,Hypothèses!$R$14,IF(B87&lt;=Hypothèses!$C$15,Hypothèses!$R$15,IF(B87&lt;=Hypothèses!$C$16,Hypothèses!$R$16,IF(B87&lt;=Hypothèses!$C$17,Hypothèses!$R$17,IF(B87&lt;=Hypothèses!$C$18,Hypothèses!$R$18,D86))))))))))))</f>
        <v>Pressio.</v>
      </c>
      <c r="E87" s="82" t="e">
        <f>IF(B87&lt;=Hypothèses!$C$7,Hypothèses!$G$7,IF(B87&lt;=Hypothèses!$C$8,Hypothèses!$G$8,IF(B87&lt;=Hypothèses!$C$9,Hypothèses!$G$9,IF(B87&lt;=Hypothèses!$C$10,Hypothèses!$G$10,IF(B87&lt;=Hypothèses!$C$11,Hypothèses!$G$11,IF(B87&lt;=Hypothèses!$C$12,Hypothèses!$G$12,IF(B87&lt;=Hypothèses!$C$13,Hypothèses!$G$13,IF(B87&lt;=Hypothèses!$C$14,Hypothèses!$G$14,IF(B87&lt;=Hypothèses!$C$15,Hypothèses!$G$15,IF(B87&lt;=Hypothèses!$C$16,Hypothèses!$G$16,IF(B87&lt;=Hypothèses!$C$17,Hypothèses!$G$17,IF(B87&lt;=Hypothèses!$C$18,Hypothèses!$G$18,E86))))))))))))</f>
        <v>#N/A</v>
      </c>
      <c r="F87" s="82" t="str">
        <f>IF(B87&lt;=Hypothèses!$C$7,Hypothèses!$F$7,IF(B87&lt;=Hypothèses!$C$8,Hypothèses!$F$8,IF(B87&lt;=Hypothèses!$C$9,Hypothèses!$F$9,IF(B87&lt;=Hypothèses!$C$10,Hypothèses!$F$10,IF(B87&lt;=Hypothèses!$C$11,Hypothèses!$F$11,IF(B87&lt;=Hypothèses!$C$12,Hypothèses!$F$12,IF(B87&lt;=Hypothèses!$C$13,Hypothèses!$F$13,IF(B87&lt;=Hypothèses!$C$14,Hypothèses!$F$14,IF(B87&lt;=Hypothèses!$C$15,Hypothèses!$F$15,IF(B87&lt;=Hypothèses!$C$16,Hypothèses!$F$16,IF(B87&lt;=Hypothèses!$C$17,Hypothèses!$F$17,IF(B87&lt;=Hypothèses!$C$18,Hypothèses!$F$18,F86))))))))))))</f>
        <v/>
      </c>
      <c r="G87" s="91">
        <f t="array" ref="G87">INDEX('Coeff EC7'!$U$7:$X$27,
MATCH(Model0.1C!$B$3,'Coeff EC7'!$T$7:$T$27,0),
MATCH(Model0.1C!$D87&amp;Model0.1C!$B$4,
'Coeff EC7'!$U$6:$X$6&amp;
'Coeff EC7'!$U$5:$X$5,0))</f>
        <v>1.1499999999999999</v>
      </c>
      <c r="H87" s="91">
        <f t="array" ref="H87">INDEX('Coeff EC7'!$Y$7:$AB$27,
MATCH(Model0.1C!$B$3,'Coeff EC7'!$T$7:$T$27,0),
MATCH(Model0.1C!$D87&amp;Model0.1C!$B$4,
'Coeff EC7'!$Y$6:$AB$6&amp;
'Coeff EC7'!$Y$5:$AB$5,0))</f>
        <v>1.4</v>
      </c>
      <c r="I87" s="83" t="e">
        <f>IF(B87&lt;=Hypothèses!$C$7,Hypothèses!$P$7,IF(B87&lt;=Hypothèses!$C$8,Hypothèses!$P$8,IF(B87&lt;=Hypothèses!$C$9,Hypothèses!$P$9,IF(B87&lt;=Hypothèses!$C$10,Hypothèses!$P$10,IF(B87&lt;=Hypothèses!$C$11,Hypothèses!$P$11,IF(B87&lt;=Hypothèses!$C$12,Hypothèses!$P$12,IF(B87&lt;=Hypothèses!$C$13,Hypothèses!$P$13,IF(B87&lt;=Hypothèses!$C$14,Hypothèses!$P$14,IF(B87&lt;=Hypothèses!$C$15,Hypothèses!$P$15,IF(B87&lt;=Hypothèses!$C$16,Hypothèses!$P$16,IF(B87&lt;=Hypothèses!$C$17,Hypothèses!$P$17,IF(B87&lt;=Hypothèses!$C$18,Hypothèses!$P$18,I86))))))))))))</f>
        <v>#N/A</v>
      </c>
      <c r="J87" s="91" t="e">
        <f t="array" ref="J87">INDEX('Coeff EC7'!$D$33:$Q$33,1,MATCH(D87&amp;E87,'Coeff EC7'!$D$31:$Q$31&amp;'Coeff EC7'!$D$32:$Q$32,0))</f>
        <v>#N/A</v>
      </c>
      <c r="K87" s="91" t="e">
        <f t="array" ref="K87">INDEX('Coeff EC7'!$D$34:$Q$34,1,MATCH(D87&amp;E87,'Coeff EC7'!$D$31:$Q$31&amp;'Coeff EC7'!$D$32:$Q$32,0))</f>
        <v>#N/A</v>
      </c>
      <c r="L87" s="91" t="e">
        <f t="array" ref="L87">INDEX('Coeff EC7'!$D$35:$Q$35,1,MATCH(D87&amp;E87,'Coeff EC7'!$D$31:$Q$31&amp;'Coeff EC7'!$D$32:$Q$32,0))</f>
        <v>#N/A</v>
      </c>
      <c r="M87" s="98" t="e">
        <f t="shared" si="131"/>
        <v>#N/A</v>
      </c>
      <c r="N87" s="99" t="e">
        <f t="array" ref="N87">INDEX('Coeff EC7'!$D$7:$Q$27,MATCH($B$3,'Coeff EC7'!$C$7:$C$27,0),MATCH(D87&amp;E87,'Coeff EC7'!$D$5:$Q$5&amp;'Coeff EC7'!$D$6:$Q$6,0))</f>
        <v>#N/A</v>
      </c>
      <c r="O87" s="99" t="e">
        <f t="array" ref="O87">INDEX('Coeff EC7'!$D$41:$Q$61,MATCH($B$3,'Coeff EC7'!$C$41:$C$61,0),MATCH(D87&amp;E87,'Coeff EC7'!$D$39:$Q$39&amp;'Coeff EC7'!$D$40:$Q$40,0))</f>
        <v>#N/A</v>
      </c>
      <c r="P87" s="30" t="e">
        <f t="shared" si="168"/>
        <v>#N/A</v>
      </c>
      <c r="Q87" s="100" t="e">
        <f t="shared" si="133"/>
        <v>#N/A</v>
      </c>
      <c r="R87" s="86" t="b">
        <f t="shared" si="134"/>
        <v>0</v>
      </c>
      <c r="S87" s="86">
        <f t="shared" si="132"/>
        <v>0.5</v>
      </c>
      <c r="T87" s="86">
        <f t="shared" si="135"/>
        <v>0.5</v>
      </c>
      <c r="U87" s="30" t="e">
        <f t="shared" ca="1" si="169"/>
        <v>#DIV/0!</v>
      </c>
      <c r="V87" s="85" t="str">
        <f>IF(B87&lt;=Hypothèses!$V$7,Hypothèses!$W$7,IF(B87&lt;=Hypothèses!$V$8,Hypothèses!$W$8,IF(B87&lt;=Hypothèses!$V$9,Hypothèses!$W$9,IF(B87&lt;=Hypothèses!$V$10,Hypothèses!$W$10,IF(B87&lt;=Hypothèses!$V$11,Hypothèses!$W$11,IF(B87&lt;=Hypothèses!$V$12,Hypothèses!$W$12,IF(B87&lt;=Hypothèses!$V$13,Hypothèses!$W$13,IF(B87&lt;=Hypothèses!$V$14,Hypothèses!$W$14,IF(B87&lt;=Hypothèses!$V$15,Hypothèses!$W$15,IF(B87&lt;=Hypothèses!$V$16,Hypothèses!$W$16,IF(B87&lt;=Hypothèses!$V$17,Hypothèses!$W$17,IF(B87&lt;=Hypothèses!$V$18,Hypothèses!$W$18,""))))))))))))</f>
        <v/>
      </c>
      <c r="W87" s="87" t="e">
        <f t="shared" ca="1" si="216"/>
        <v>#DIV/0!</v>
      </c>
      <c r="X87" s="88" t="str">
        <f>IF(B87&lt;=Hypothèses!$V$7,Hypothèses!$X$7,IF(B87&lt;=Hypothèses!$V$8,Hypothèses!$X$8,IF(B87&lt;=Hypothèses!$V$9,Hypothèses!$X$9,IF(B87&lt;=Hypothèses!$V$10,Hypothèses!$X$10,IF(B87&lt;=Hypothèses!$V$11,Hypothèses!$X$11,IF(B87&lt;=Hypothèses!$V$12,Hypothèses!$X$12,IF(B87&lt;=Hypothèses!$V$13,Hypothèses!$X$13,IF(B87&lt;=Hypothèses!$V$14,Hypothèses!$X$14,IF(B87&lt;=Hypothèses!$V$15,Hypothèses!$X$15,IF(B87&lt;=Hypothèses!$V$16,Hypothèses!$X$16,IF(B87&lt;=Hypothèses!$U$17,Hypothèses!$W$17,IF(B87&lt;=Hypothèses!$U$18,Hypothèses!$W$18,""))))))))))))</f>
        <v/>
      </c>
      <c r="Y87" s="95" t="e">
        <f t="shared" ca="1" si="136"/>
        <v>#DIV/0!</v>
      </c>
      <c r="Z87" s="101" t="e">
        <f t="shared" si="137"/>
        <v>#N/A</v>
      </c>
      <c r="AA87" s="91" t="e">
        <f t="shared" si="138"/>
        <v>#N/A</v>
      </c>
      <c r="AB87" s="30" t="e">
        <f t="shared" si="200"/>
        <v>#N/A</v>
      </c>
      <c r="AC87" s="30" t="e">
        <f t="shared" si="201"/>
        <v>#N/A</v>
      </c>
      <c r="AD87" s="31" t="e">
        <f>IF(OR(Hypothèses!$B$4=17,Hypothèses!$B$4=18,Hypothèses!$B$4=19,Hypothèses!$B$4=20),
IF($D87="Pressio.",
IF(OR($E87=3,$E87=1,$E87=4),AC87,AB87),
IF($D87="Pénétro.",
IF(OR($E87=3,$E87=1,$E87=4),AC87,AB87))),IF($D87="Pressio.",
IF($E87=3,AC87,AB87),
IF($D87="Pénétro.",
IF($E87=4,AC87,AB87))))</f>
        <v>#N/A</v>
      </c>
      <c r="AE87" s="31" t="e">
        <f>(IF(OR(Hypothèses!$B$4=17,Hypothèses!$B$4=18,Hypothèses!$B$4=19,Hypothèses!$B$4=20),
IF($D87="Pressio.",
IF(OR($E87=3,$E87=1,$E87=4),(PI()*AE$12^2)/4*(AA87*$W87*1000)/($H87*$B$5),(PI()*AE$12^2)/4*(AA87*$W87*1000)/($G87*$B$5)),
IF($D87="Pénétro.",
IF(OR($E87=4,$E87=1,$E87=5),(PI()*AE$12^2)/4*(AA87*$W87*1000)/($H87*$B$5),(PI()*AE$12^2)/4*(AA87*$W87*1000)/($G87*$B$5)))),
IF($D87="Pressio.",
IF($E87=3,(PI()*AE$12^2)/4*(AA87*$W87*1000)/($H87*$B$5),(PI()*AE$12^2)/4*(AA87*$W87*1000)/($G87*$B$5)),
IF($D87="Pénétro.",
IF($E87=4,(PI()*AE$12^2)/4*(AA87*$W87*1000)/($H87*$B$5),(PI()*AE$12^2)/4*(AA87*$W87*1000)/($G87*$B$5))))))/10</f>
        <v>#N/A</v>
      </c>
      <c r="AF87" s="102" t="e">
        <f>(VLOOKUP($B$3,'Coeff EC7'!$T$39:$X$59,2,0)*AD87+VLOOKUP($B$3,'Coeff EC7'!$T$65:$X$85,2,0)*Model0.1C!AE87)/1.1</f>
        <v>#N/A</v>
      </c>
      <c r="AG87" s="102" t="e">
        <f>(VLOOKUP($B$3,'Coeff EC7'!$T$39:$X$59,3,0)*AD87+VLOOKUP($B$3,'Coeff EC7'!$T$65:$X$85,3,0)*Model0.1C!AE87)/0.9</f>
        <v>#N/A</v>
      </c>
      <c r="AH87" s="102" t="e">
        <f t="shared" si="139"/>
        <v>#N/A</v>
      </c>
      <c r="AI87" s="102" t="e">
        <f t="shared" si="140"/>
        <v>#N/A</v>
      </c>
      <c r="AJ87" s="414" t="e">
        <f>IF(AJ86=0,0,IF(AND(AF87&gt;charge_ELS_quasi,AG87&gt;Charge_ELS_freq,AH87&gt;charge_ELU,AI87&gt;charge_ELA,$B87&gt;NDC!$H$22-0.1+MIN(3*$AJ$12,1.5)),0,1))</f>
        <v>#N/A</v>
      </c>
      <c r="AK87" s="86" t="b">
        <f t="shared" si="141"/>
        <v>0</v>
      </c>
      <c r="AL87" s="86">
        <f t="shared" si="170"/>
        <v>0.5</v>
      </c>
      <c r="AM87" s="86">
        <f t="shared" si="142"/>
        <v>0.5</v>
      </c>
      <c r="AN87" s="30" t="e">
        <f t="shared" ca="1" si="171"/>
        <v>#DIV/0!</v>
      </c>
      <c r="AO87" s="85" t="e">
        <f ca="1">IF(U87&lt;=Hypothèses!$V$7,Hypothèses!$W$7,IF(U87&lt;=Hypothèses!$V$8,Hypothèses!$W$8,IF(U87&lt;=Hypothèses!$V$9,Hypothèses!$W$9,IF(U87&lt;=Hypothèses!$V$10,Hypothèses!$W$10,IF(U87&lt;=Hypothèses!$V$11,Hypothèses!$W$11,IF(U87&lt;=Hypothèses!$V$12,Hypothèses!$W$12,IF(U87&lt;=Hypothèses!$V$13,Hypothèses!$W$13,IF(U87&lt;=Hypothèses!$V$14,Hypothèses!$W$14,IF(U87&lt;=Hypothèses!$V$15,Hypothèses!$W$15,IF(U87&lt;=Hypothèses!$V$16,Hypothèses!$W$16,IF(U87&lt;=Hypothèses!$V$17,Hypothèses!$W$17,IF(U87&lt;=Hypothèses!$V$18,Hypothèses!$W$18,""))))))))))))</f>
        <v>#DIV/0!</v>
      </c>
      <c r="AP87" s="87" t="e">
        <f t="shared" ca="1" si="217"/>
        <v>#DIV/0!</v>
      </c>
      <c r="AQ87" s="88" t="e">
        <f ca="1">IF(U87&lt;=Hypothèses!$V$7,Hypothèses!$X$7,IF(U87&lt;=Hypothèses!$V$8,Hypothèses!$X$8,IF(U87&lt;=Hypothèses!$V$9,Hypothèses!$X$9,IF(U87&lt;=Hypothèses!$V$10,Hypothèses!$X$10,IF(U87&lt;=Hypothèses!$V$11,Hypothèses!$X$11,IF(U87&lt;=Hypothèses!$V$12,Hypothèses!$X$12,IF(U87&lt;=Hypothèses!$V$13,Hypothèses!$X$13,IF(U87&lt;=Hypothèses!$V$14,Hypothèses!$X$14,IF(U87&lt;=Hypothèses!$V$15,Hypothèses!$X$15,IF(U87&lt;=Hypothèses!$V$16,Hypothèses!$X$16,IF(U87&lt;=Hypothèses!$U$17,Hypothèses!$W$17,IF(U87&lt;=Hypothèses!$U$18,Hypothèses!$W$18,""))))))))))))</f>
        <v>#DIV/0!</v>
      </c>
      <c r="AR87" s="95" t="e">
        <f t="shared" ca="1" si="172"/>
        <v>#DIV/0!</v>
      </c>
      <c r="AS87" s="101" t="e">
        <f t="shared" si="224"/>
        <v>#N/A</v>
      </c>
      <c r="AT87" s="91" t="e">
        <f t="shared" si="143"/>
        <v>#N/A</v>
      </c>
      <c r="AU87" s="30" t="e">
        <f t="shared" si="202"/>
        <v>#N/A</v>
      </c>
      <c r="AV87" s="30" t="e">
        <f t="shared" si="203"/>
        <v>#N/A</v>
      </c>
      <c r="AW87" s="31" t="e">
        <f>IF(OR(Hypothèses!$B$4=17,Hypothèses!$B$4=18,Hypothèses!$B$4=19,Hypothèses!$B$4=20),
IF($D87="Pressio.",
IF(OR($E87=3,$E87=1,$E87=4),AV87,AU87),
IF($D87="Pénétro.",
IF(OR($E87=3,$E87=1,$E87=4),AV87,AU87))),IF($D87="Pressio.",
IF($E87=3,AV87,AU87),
IF($D87="Pénétro.",
IF($E87=4,AV87,AU87))))</f>
        <v>#N/A</v>
      </c>
      <c r="AX87" s="31" t="e">
        <f>(IF(OR(Hypothèses!$B$4=17,Hypothèses!$B$4=18,Hypothèses!$B$4=19,Hypothèses!$B$4=20),
IF($D87="Pressio.",
IF(OR($E87=3,$E87=1,$E87=4),(PI()*AX$12^2)/4*(AT87*$W87*1000)/($H87*$B$5),(PI()*AX$12^2)/4*(AT87*$W87*1000)/($G87*$B$5)),
IF($D87="Pénétro.",
IF(OR($E87=4,$E87=1,$E87=5),(PI()*AX$12^2)/4*(AT87*$W87*1000)/($H87*$B$5),(PI()*AX$12^2)/4*(AT87*$W87*1000)/($G87*$B$5)))),
IF($D87="Pressio.",
IF($E87=3,(PI()*AX$12^2)/4*(AT87*$W87*1000)/($H87*$B$5),(PI()*AX$12^2)/4*(AT87*$W87*1000)/($G87*$B$5)),
IF($D87="Pénétro.",
IF($E87=4,(PI()*AX$12^2)/4*(AT87*$W87*1000)/($H87*$B$5),(PI()*AX$12^2)/4*(AT87*$W87*1000)/($G87*$B$5))))))/10</f>
        <v>#N/A</v>
      </c>
      <c r="AY87" s="102" t="e">
        <f>(VLOOKUP($B$3,'Coeff EC7'!$T$39:$X$59,2,0)*AW87+VLOOKUP($B$3,'Coeff EC7'!$T$65:$X$85,2,0)*Model0.1C!AX87)/1.1</f>
        <v>#N/A</v>
      </c>
      <c r="AZ87" s="102" t="e">
        <f>(VLOOKUP($B$3,'Coeff EC7'!$T$39:$X$59,3,0)*AW87+VLOOKUP($B$3,'Coeff EC7'!$T$65:$X$85,3,0)*Model0.1C!AX87)/0.9</f>
        <v>#N/A</v>
      </c>
      <c r="BA87" s="102" t="e">
        <f t="shared" si="173"/>
        <v>#N/A</v>
      </c>
      <c r="BB87" s="102" t="e">
        <f t="shared" si="174"/>
        <v>#N/A</v>
      </c>
      <c r="BC87" s="414" t="e">
        <f>IF(BC86=0,0,IF(AND(AY87&gt;charge_ELS_quasi,AZ87&gt;Charge_ELS_freq,BA87&gt;charge_ELU,BB87&gt;charge_ELA,$B87&gt;NDC!$H$22-0.1+MIN(3*$BC$12,1.5)),0,1))</f>
        <v>#N/A</v>
      </c>
      <c r="BD87" s="86" t="b">
        <f t="shared" si="144"/>
        <v>0</v>
      </c>
      <c r="BE87" s="86">
        <f t="shared" si="175"/>
        <v>0.5</v>
      </c>
      <c r="BF87" s="86">
        <f t="shared" si="145"/>
        <v>0.5</v>
      </c>
      <c r="BG87" s="30" t="e">
        <f t="shared" ca="1" si="176"/>
        <v>#DIV/0!</v>
      </c>
      <c r="BH87" s="85" t="e">
        <f ca="1">IF(AN87&lt;=Hypothèses!$V$7,Hypothèses!$W$7,IF(AN87&lt;=Hypothèses!$V$8,Hypothèses!$W$8,IF(AN87&lt;=Hypothèses!$V$9,Hypothèses!$W$9,IF(AN87&lt;=Hypothèses!$V$10,Hypothèses!$W$10,IF(AN87&lt;=Hypothèses!$V$11,Hypothèses!$W$11,IF(AN87&lt;=Hypothèses!$V$12,Hypothèses!$W$12,IF(AN87&lt;=Hypothèses!$V$13,Hypothèses!$W$13,IF(AN87&lt;=Hypothèses!$V$14,Hypothèses!$W$14,IF(AN87&lt;=Hypothèses!$V$15,Hypothèses!$W$15,IF(AN87&lt;=Hypothèses!$V$16,Hypothèses!$W$16,IF(AN87&lt;=Hypothèses!$V$17,Hypothèses!$W$17,IF(AN87&lt;=Hypothèses!$V$18,Hypothèses!$W$18,""))))))))))))</f>
        <v>#DIV/0!</v>
      </c>
      <c r="BI87" s="87" t="e">
        <f t="shared" ca="1" si="218"/>
        <v>#DIV/0!</v>
      </c>
      <c r="BJ87" s="88" t="e">
        <f ca="1">IF(AN87&lt;=Hypothèses!$V$7,Hypothèses!$X$7,IF(AN87&lt;=Hypothèses!$V$8,Hypothèses!$X$8,IF(AN87&lt;=Hypothèses!$V$9,Hypothèses!$X$9,IF(AN87&lt;=Hypothèses!$V$10,Hypothèses!$X$10,IF(AN87&lt;=Hypothèses!$V$11,Hypothèses!$X$11,IF(AN87&lt;=Hypothèses!$V$12,Hypothèses!$X$12,IF(AN87&lt;=Hypothèses!$V$13,Hypothèses!$X$13,IF(AN87&lt;=Hypothèses!$V$14,Hypothèses!$X$14,IF(AN87&lt;=Hypothèses!$V$15,Hypothèses!$X$15,IF(AN87&lt;=Hypothèses!$V$16,Hypothèses!$X$16,IF(AN87&lt;=Hypothèses!$U$17,Hypothèses!$W$17,IF(AN87&lt;=Hypothèses!$U$18,Hypothèses!$W$18,""))))))))))))</f>
        <v>#DIV/0!</v>
      </c>
      <c r="BK87" s="95" t="e">
        <f t="shared" ca="1" si="177"/>
        <v>#DIV/0!</v>
      </c>
      <c r="BL87" s="101" t="e">
        <f t="shared" si="225"/>
        <v>#N/A</v>
      </c>
      <c r="BM87" s="91" t="e">
        <f t="shared" si="146"/>
        <v>#N/A</v>
      </c>
      <c r="BN87" s="30" t="e">
        <f t="shared" si="204"/>
        <v>#N/A</v>
      </c>
      <c r="BO87" s="30" t="e">
        <f t="shared" si="205"/>
        <v>#N/A</v>
      </c>
      <c r="BP87" s="31" t="e">
        <f>IF(OR(Hypothèses!$B$4=17,Hypothèses!$B$4=18,Hypothèses!$B$4=19,Hypothèses!$B$4=20),
IF($D87="Pressio.",
IF(OR($E87=3,$E87=1,$E87=4),BO87,BN87),
IF($D87="Pénétro.",
IF(OR($E87=3,$E87=1,$E87=4),BO87,BN87))),IF($D87="Pressio.",
IF($E87=3,BO87,BN87),
IF($D87="Pénétro.",
IF($E87=4,BO87,BN87))))</f>
        <v>#N/A</v>
      </c>
      <c r="BQ87" s="31" t="e">
        <f>(IF(OR(Hypothèses!$B$4=17,Hypothèses!$B$4=18,Hypothèses!$B$4=19,Hypothèses!$B$4=20),
IF($D87="Pressio.",
IF(OR($E87=3,$E87=1,$E87=4),(PI()*BQ$12^2)/4*(BM87*$W87*1000)/($H87*$B$5),(PI()*BQ$12^2)/4*(BM87*$W87*1000)/($G87*$B$5)),
IF($D87="Pénétro.",
IF(OR($E87=4,$E87=1,$E87=5),(PI()*BQ$12^2)/4*(BM87*$W87*1000)/($H87*$B$5),(PI()*BQ$12^2)/4*(BM87*$W87*1000)/($G87*$B$5)))),
IF($D87="Pressio.",
IF($E87=3,(PI()*BQ$12^2)/4*(BM87*$W87*1000)/($H87*$B$5),(PI()*BQ$12^2)/4*(BM87*$W87*1000)/($G87*$B$5)),
IF($D87="Pénétro.",
IF($E87=4,(PI()*BQ$12^2)/4*(BM87*$W87*1000)/($H87*$B$5),(PI()*BQ$12^2)/4*(BM87*$W87*1000)/($G87*$B$5))))))/10</f>
        <v>#N/A</v>
      </c>
      <c r="BR87" s="102" t="e">
        <f>(VLOOKUP($B$3,'Coeff EC7'!$T$39:$X$59,2,0)*BP87+VLOOKUP($B$3,'Coeff EC7'!$T$65:$X$85,2,0)*Model0.1C!BQ87)/1.1</f>
        <v>#N/A</v>
      </c>
      <c r="BS87" s="102" t="e">
        <f>(VLOOKUP($B$3,'Coeff EC7'!$T$39:$X$59,3,0)*BP87+VLOOKUP($B$3,'Coeff EC7'!$T$65:$X$85,3,0)*Model0.1C!BQ87)/0.9</f>
        <v>#N/A</v>
      </c>
      <c r="BT87" s="102" t="e">
        <f t="shared" si="178"/>
        <v>#N/A</v>
      </c>
      <c r="BU87" s="102" t="e">
        <f t="shared" si="179"/>
        <v>#N/A</v>
      </c>
      <c r="BV87" s="414" t="e">
        <f>IF(BV86=0,0,IF(AND(BR87&gt;charge_ELS_quasi,BS87&gt;Charge_ELS_freq,BT87&gt;charge_ELU,BU87&gt;charge_ELA,$B87&gt;NDC!$H$22-0.1+MIN(3*$BV$12,1.5)),0,1))</f>
        <v>#N/A</v>
      </c>
      <c r="BW87" s="86" t="b">
        <f t="shared" si="147"/>
        <v>0</v>
      </c>
      <c r="BX87" s="86">
        <f t="shared" si="148"/>
        <v>0.5</v>
      </c>
      <c r="BY87" s="86">
        <f t="shared" si="149"/>
        <v>0.5</v>
      </c>
      <c r="BZ87" s="30" t="e">
        <f t="shared" ca="1" si="180"/>
        <v>#DIV/0!</v>
      </c>
      <c r="CA87" s="85" t="e">
        <f ca="1">IF(BG87&lt;=Hypothèses!$V$7,Hypothèses!$W$7,IF(BG87&lt;=Hypothèses!$V$8,Hypothèses!$W$8,IF(BG87&lt;=Hypothèses!$V$9,Hypothèses!$W$9,IF(BG87&lt;=Hypothèses!$V$10,Hypothèses!$W$10,IF(BG87&lt;=Hypothèses!$V$11,Hypothèses!$W$11,IF(BG87&lt;=Hypothèses!$V$12,Hypothèses!$W$12,IF(BG87&lt;=Hypothèses!$V$13,Hypothèses!$W$13,IF(BG87&lt;=Hypothèses!$V$14,Hypothèses!$W$14,IF(BG87&lt;=Hypothèses!$V$15,Hypothèses!$W$15,IF(BG87&lt;=Hypothèses!$V$16,Hypothèses!$W$16,IF(BG87&lt;=Hypothèses!$V$17,Hypothèses!$W$17,IF(BG87&lt;=Hypothèses!$V$18,Hypothèses!$W$18,""))))))))))))</f>
        <v>#DIV/0!</v>
      </c>
      <c r="CB87" s="87" t="e">
        <f t="shared" ca="1" si="219"/>
        <v>#DIV/0!</v>
      </c>
      <c r="CC87" s="88" t="e">
        <f ca="1">IF(BG87&lt;=Hypothèses!$V$7,Hypothèses!$X$7,IF(BG87&lt;=Hypothèses!$V$8,Hypothèses!$X$8,IF(BG87&lt;=Hypothèses!$V$9,Hypothèses!$X$9,IF(BG87&lt;=Hypothèses!$V$10,Hypothèses!$X$10,IF(BG87&lt;=Hypothèses!$V$11,Hypothèses!$X$11,IF(BG87&lt;=Hypothèses!$V$12,Hypothèses!$X$12,IF(BG87&lt;=Hypothèses!$V$13,Hypothèses!$X$13,IF(BG87&lt;=Hypothèses!$V$14,Hypothèses!$X$14,IF(BG87&lt;=Hypothèses!$V$15,Hypothèses!$X$15,IF(BG87&lt;=Hypothèses!$V$16,Hypothèses!$X$16,IF(BG87&lt;=Hypothèses!$U$17,Hypothèses!$W$17,IF(BG87&lt;=Hypothèses!$U$18,Hypothèses!$W$18,""))))))))))))</f>
        <v>#DIV/0!</v>
      </c>
      <c r="CD87" s="95" t="e">
        <f t="shared" ca="1" si="181"/>
        <v>#DIV/0!</v>
      </c>
      <c r="CE87" s="101" t="e">
        <f t="shared" si="226"/>
        <v>#N/A</v>
      </c>
      <c r="CF87" s="91" t="e">
        <f t="shared" si="150"/>
        <v>#N/A</v>
      </c>
      <c r="CG87" s="30" t="e">
        <f t="shared" si="206"/>
        <v>#N/A</v>
      </c>
      <c r="CH87" s="30" t="e">
        <f t="shared" si="207"/>
        <v>#N/A</v>
      </c>
      <c r="CI87" s="31" t="e">
        <f>IF(OR(Hypothèses!$B$4=17,Hypothèses!$B$4=18,Hypothèses!$B$4=19,Hypothèses!$B$4=20),
IF($D87="Pressio.",
IF(OR($E87=3,$E87=1,$E87=4),CH87,CG87),
IF($D87="Pénétro.",
IF(OR($E87=3,$E87=1,$E87=4),CH87,CG87))),IF($D87="Pressio.",
IF($E87=3,CH87,CG87),
IF($D87="Pénétro.",
IF($E87=4,CH87,CG87))))</f>
        <v>#N/A</v>
      </c>
      <c r="CJ87" s="31" t="e">
        <f>(IF(OR(Hypothèses!$B$4=17,Hypothèses!$B$4=18,Hypothèses!$B$4=19,Hypothèses!$B$4=20),
IF($D87="Pressio.",
IF(OR($E87=3,$E87=1,$E87=4),(PI()*CJ$12^2)/4*(CF87*$W87*1000)/($H87*$B$5),(PI()*CJ$12^2)/4*(CF87*$W87*1000)/($G87*$B$5)),
IF($D87="Pénétro.",
IF(OR($E87=4,$E87=1,$E87=5),(PI()*CJ$12^2)/4*(CF87*$W87*1000)/($H87*$B$5),(PI()*CJ$12^2)/4*(CF87*$W87*1000)/($G87*$B$5)))),
IF($D87="Pressio.",
IF($E87=3,(PI()*CJ$12^2)/4*(CF87*$W87*1000)/($H87*$B$5),(PI()*CJ$12^2)/4*(CF87*$W87*1000)/($G87*$B$5)),
IF($D87="Pénétro.",
IF($E87=4,(PI()*CJ$12^2)/4*(CF87*$W87*1000)/($H87*$B$5),(PI()*CJ$12^2)/4*(CF87*$W87*1000)/($G87*$B$5))))))/10</f>
        <v>#N/A</v>
      </c>
      <c r="CK87" s="102" t="e">
        <f>(VLOOKUP($B$3,'Coeff EC7'!$T$39:$X$59,2,0)*CI87+VLOOKUP($B$3,'Coeff EC7'!$T$65:$X$85,2,0)*Model0.1C!CJ87)/1.1</f>
        <v>#N/A</v>
      </c>
      <c r="CL87" s="102" t="e">
        <f>(VLOOKUP($B$3,'Coeff EC7'!$T$39:$X$59,3,0)*CI87+VLOOKUP($B$3,'Coeff EC7'!$T$65:$X$85,3,0)*Model0.1C!CJ87)/0.9</f>
        <v>#N/A</v>
      </c>
      <c r="CM87" s="102" t="e">
        <f t="shared" si="182"/>
        <v>#N/A</v>
      </c>
      <c r="CN87" s="102" t="e">
        <f t="shared" si="183"/>
        <v>#N/A</v>
      </c>
      <c r="CO87" s="414" t="e">
        <f>IF(CO86=0,0,IF(AND(CK87&gt;charge_ELS_quasi,CL87&gt;Charge_ELS_freq,CM87&gt;charge_ELU,CN87&gt;charge_ELA,$B87&gt;NDC!$H$22-0.1+MIN(3*$CO$12,1.5)),0,1))</f>
        <v>#N/A</v>
      </c>
      <c r="CP87" s="86" t="b">
        <f t="shared" si="151"/>
        <v>0</v>
      </c>
      <c r="CQ87" s="86">
        <f t="shared" si="152"/>
        <v>0.5</v>
      </c>
      <c r="CR87" s="86">
        <f t="shared" si="153"/>
        <v>0.5</v>
      </c>
      <c r="CS87" s="30" t="e">
        <f t="shared" ca="1" si="184"/>
        <v>#DIV/0!</v>
      </c>
      <c r="CT87" s="85" t="e">
        <f ca="1">IF(BZ87&lt;=Hypothèses!$V$7,Hypothèses!$W$7,IF(BZ87&lt;=Hypothèses!$V$8,Hypothèses!$W$8,IF(BZ87&lt;=Hypothèses!$V$9,Hypothèses!$W$9,IF(BZ87&lt;=Hypothèses!$V$10,Hypothèses!$W$10,IF(BZ87&lt;=Hypothèses!$V$11,Hypothèses!$W$11,IF(BZ87&lt;=Hypothèses!$V$12,Hypothèses!$W$12,IF(BZ87&lt;=Hypothèses!$V$13,Hypothèses!$W$13,IF(BZ87&lt;=Hypothèses!$V$14,Hypothèses!$W$14,IF(BZ87&lt;=Hypothèses!$V$15,Hypothèses!$W$15,IF(BZ87&lt;=Hypothèses!$V$16,Hypothèses!$W$16,IF(BZ87&lt;=Hypothèses!$V$17,Hypothèses!$W$17,IF(BZ87&lt;=Hypothèses!$V$18,Hypothèses!$W$18,""))))))))))))</f>
        <v>#DIV/0!</v>
      </c>
      <c r="CU87" s="87" t="e">
        <f t="shared" ca="1" si="220"/>
        <v>#DIV/0!</v>
      </c>
      <c r="CV87" s="88" t="e">
        <f ca="1">IF(BZ87&lt;=Hypothèses!$V$7,Hypothèses!$X$7,IF(BZ87&lt;=Hypothèses!$V$8,Hypothèses!$X$8,IF(BZ87&lt;=Hypothèses!$V$9,Hypothèses!$X$9,IF(BZ87&lt;=Hypothèses!$V$10,Hypothèses!$X$10,IF(BZ87&lt;=Hypothèses!$V$11,Hypothèses!$X$11,IF(BZ87&lt;=Hypothèses!$V$12,Hypothèses!$X$12,IF(BZ87&lt;=Hypothèses!$V$13,Hypothèses!$X$13,IF(BZ87&lt;=Hypothèses!$V$14,Hypothèses!$X$14,IF(BZ87&lt;=Hypothèses!$V$15,Hypothèses!$X$15,IF(BZ87&lt;=Hypothèses!$V$16,Hypothèses!$X$16,IF(BZ87&lt;=Hypothèses!$U$17,Hypothèses!$W$17,IF(BZ87&lt;=Hypothèses!$U$18,Hypothèses!$W$18,""))))))))))))</f>
        <v>#DIV/0!</v>
      </c>
      <c r="CW87" s="95" t="e">
        <f t="shared" ca="1" si="185"/>
        <v>#DIV/0!</v>
      </c>
      <c r="CX87" s="101" t="e">
        <f t="shared" si="227"/>
        <v>#N/A</v>
      </c>
      <c r="CY87" s="91" t="e">
        <f t="shared" si="154"/>
        <v>#N/A</v>
      </c>
      <c r="CZ87" s="30" t="e">
        <f t="shared" si="208"/>
        <v>#N/A</v>
      </c>
      <c r="DA87" s="30" t="e">
        <f t="shared" si="209"/>
        <v>#N/A</v>
      </c>
      <c r="DB87" s="31" t="e">
        <f>IF(OR(Hypothèses!$B$4=17,Hypothèses!$B$4=18,Hypothèses!$B$4=19,Hypothèses!$B$4=20),
IF($D87="Pressio.",
IF(OR($E87=3,$E87=1,$E87=4),DA87,CZ87),
IF($D87="Pénétro.",
IF(OR($E87=3,$E87=1,$E87=4),DA87,CZ87))),IF($D87="Pressio.",
IF($E87=3,DA87,CZ87),
IF($D87="Pénétro.",
IF($E87=4,DA87,CZ87))))</f>
        <v>#N/A</v>
      </c>
      <c r="DC87" s="31" t="e">
        <f>(IF(OR(Hypothèses!$B$4=17,Hypothèses!$B$4=18,Hypothèses!$B$4=19,Hypothèses!$B$4=20),
IF($D87="Pressio.",
IF(OR($E87=3,$E87=1,$E87=4),(PI()*DC$12^2)/4*(CY87*$W87*1000)/($H87*$B$5),(PI()*DC$12^2)/4*(CY87*$W87*1000)/($G87*$B$5)),
IF($D87="Pénétro.",
IF(OR($E87=4,$E87=1,$E87=5),(PI()*DC$12^2)/4*(CY87*$W87*1000)/($H87*$B$5),(PI()*DC$12^2)/4*(CY87*$W87*1000)/($G87*$B$5)))),
IF($D87="Pressio.",
IF($E87=3,(PI()*DC$12^2)/4*(CY87*$W87*1000)/($H87*$B$5),(PI()*DC$12^2)/4*(CY87*$W87*1000)/($G87*$B$5)),
IF($D87="Pénétro.",
IF($E87=4,(PI()*DC$12^2)/4*(CY87*$W87*1000)/($H87*$B$5),(PI()*DC$12^2)/4*(CY87*$W87*1000)/($G87*$B$5))))))/10</f>
        <v>#N/A</v>
      </c>
      <c r="DD87" s="102" t="e">
        <f>(VLOOKUP($B$3,'Coeff EC7'!$T$39:$X$59,2,0)*DB87+VLOOKUP($B$3,'Coeff EC7'!$T$65:$X$85,2,0)*Model0.1C!DC87)/1.1</f>
        <v>#N/A</v>
      </c>
      <c r="DE87" s="102" t="e">
        <f>(VLOOKUP($B$3,'Coeff EC7'!$T$39:$X$59,3,0)*DB87+VLOOKUP($B$3,'Coeff EC7'!$T$65:$X$85,3,0)*Model0.1C!DC87)/0.9</f>
        <v>#N/A</v>
      </c>
      <c r="DF87" s="102" t="e">
        <f t="shared" si="186"/>
        <v>#N/A</v>
      </c>
      <c r="DG87" s="102" t="e">
        <f t="shared" si="187"/>
        <v>#N/A</v>
      </c>
      <c r="DH87" s="414" t="e">
        <f>IF(DH86=0,0,IF(AND(DD87&gt;charge_ELS_quasi,DE87&gt;Charge_ELS_freq,DF87&gt;charge_ELU,DG87&gt;charge_ELA,$B87&gt;NDC!$H$22-0.1+MIN(3*$DH$12,1.5)),0,1))</f>
        <v>#N/A</v>
      </c>
      <c r="DI87" s="86" t="b">
        <f t="shared" si="155"/>
        <v>0</v>
      </c>
      <c r="DJ87" s="86">
        <f t="shared" si="156"/>
        <v>0.5</v>
      </c>
      <c r="DK87" s="86">
        <f t="shared" si="157"/>
        <v>0.5</v>
      </c>
      <c r="DL87" s="30" t="e">
        <f t="shared" ca="1" si="188"/>
        <v>#DIV/0!</v>
      </c>
      <c r="DM87" s="85" t="e">
        <f ca="1">IF(CS87&lt;=Hypothèses!$V$7,Hypothèses!$W$7,IF(CS87&lt;=Hypothèses!$V$8,Hypothèses!$W$8,IF(CS87&lt;=Hypothèses!$V$9,Hypothèses!$W$9,IF(CS87&lt;=Hypothèses!$V$10,Hypothèses!$W$10,IF(CS87&lt;=Hypothèses!$V$11,Hypothèses!$W$11,IF(CS87&lt;=Hypothèses!$V$12,Hypothèses!$W$12,IF(CS87&lt;=Hypothèses!$V$13,Hypothèses!$W$13,IF(CS87&lt;=Hypothèses!$V$14,Hypothèses!$W$14,IF(CS87&lt;=Hypothèses!$V$15,Hypothèses!$W$15,IF(CS87&lt;=Hypothèses!$V$16,Hypothèses!$W$16,IF(CS87&lt;=Hypothèses!$V$17,Hypothèses!$W$17,IF(CS87&lt;=Hypothèses!$V$18,Hypothèses!$W$18,""))))))))))))</f>
        <v>#DIV/0!</v>
      </c>
      <c r="DN87" s="87" t="e">
        <f t="shared" ca="1" si="221"/>
        <v>#DIV/0!</v>
      </c>
      <c r="DO87" s="88" t="e">
        <f ca="1">IF(CS87&lt;=Hypothèses!$V$7,Hypothèses!$X$7,IF(CS87&lt;=Hypothèses!$V$8,Hypothèses!$X$8,IF(CS87&lt;=Hypothèses!$V$9,Hypothèses!$X$9,IF(CS87&lt;=Hypothèses!$V$10,Hypothèses!$X$10,IF(CS87&lt;=Hypothèses!$V$11,Hypothèses!$X$11,IF(CS87&lt;=Hypothèses!$V$12,Hypothèses!$X$12,IF(CS87&lt;=Hypothèses!$V$13,Hypothèses!$X$13,IF(CS87&lt;=Hypothèses!$V$14,Hypothèses!$X$14,IF(CS87&lt;=Hypothèses!$V$15,Hypothèses!$X$15,IF(CS87&lt;=Hypothèses!$V$16,Hypothèses!$X$16,IF(CS87&lt;=Hypothèses!$U$17,Hypothèses!$W$17,IF(CS87&lt;=Hypothèses!$U$18,Hypothèses!$W$18,""))))))))))))</f>
        <v>#DIV/0!</v>
      </c>
      <c r="DP87" s="95" t="e">
        <f t="shared" ca="1" si="189"/>
        <v>#DIV/0!</v>
      </c>
      <c r="DQ87" s="101" t="e">
        <f t="shared" si="228"/>
        <v>#N/A</v>
      </c>
      <c r="DR87" s="91" t="e">
        <f t="shared" si="158"/>
        <v>#N/A</v>
      </c>
      <c r="DS87" s="30" t="e">
        <f t="shared" si="210"/>
        <v>#N/A</v>
      </c>
      <c r="DT87" s="30" t="e">
        <f t="shared" si="211"/>
        <v>#N/A</v>
      </c>
      <c r="DU87" s="31" t="e">
        <f>IF(OR(Hypothèses!$B$4=17,Hypothèses!$B$4=18,Hypothèses!$B$4=19,Hypothèses!$B$4=20),
IF($D87="Pressio.",
IF(OR($E87=3,$E87=1,$E87=4),DT87,DS87),
IF($D87="Pénétro.",
IF(OR($E87=3,$E87=1,$E87=4),DT87,DS87))),IF($D87="Pressio.",
IF($E87=3,DT87,DS87),
IF($D87="Pénétro.",
IF($E87=4,DT87,DS87))))</f>
        <v>#N/A</v>
      </c>
      <c r="DV87" s="31" t="e">
        <f>(IF(OR(Hypothèses!$B$4=17,Hypothèses!$B$4=18,Hypothèses!$B$4=19,Hypothèses!$B$4=20),
IF($D87="Pressio.",
IF(OR($E87=3,$E87=1,$E87=4),(PI()*DV$12^2)/4*(DR87*$W87*1000)/($H87*$B$5),(PI()*DV$12^2)/4*(DR87*$W87*1000)/($G87*$B$5)),
IF($D87="Pénétro.",
IF(OR($E87=4,$E87=1,$E87=5),(PI()*DV$12^2)/4*(DR87*$W87*1000)/($H87*$B$5),(PI()*DV$12^2)/4*(DR87*$W87*1000)/($G87*$B$5)))),
IF($D87="Pressio.",
IF($E87=3,(PI()*DV$12^2)/4*(DR87*$W87*1000)/($H87*$B$5),(PI()*DV$12^2)/4*(DR87*$W87*1000)/($G87*$B$5)),
IF($D87="Pénétro.",
IF($E87=4,(PI()*DV$12^2)/4*(DR87*$W87*1000)/($H87*$B$5),(PI()*DV$12^2)/4*(DR87*$W87*1000)/($G87*$B$5))))))/10</f>
        <v>#N/A</v>
      </c>
      <c r="DW87" s="102" t="e">
        <f>(VLOOKUP($B$3,'Coeff EC7'!$T$39:$X$59,2,0)*DU87+VLOOKUP($B$3,'Coeff EC7'!$T$65:$X$85,2,0)*Model0.1C!DV87)/1.1</f>
        <v>#N/A</v>
      </c>
      <c r="DX87" s="102" t="e">
        <f>(VLOOKUP($B$3,'Coeff EC7'!$T$39:$X$59,3,0)*DU87+VLOOKUP($B$3,'Coeff EC7'!$T$65:$X$85,3,0)*Model0.1C!DV87)/0.9</f>
        <v>#N/A</v>
      </c>
      <c r="DY87" s="102" t="e">
        <f t="shared" si="190"/>
        <v>#N/A</v>
      </c>
      <c r="DZ87" s="102" t="e">
        <f t="shared" si="191"/>
        <v>#N/A</v>
      </c>
      <c r="EA87" s="414" t="e">
        <f>IF(EA86=0,0,IF(AND(DW87&gt;charge_ELS_quasi,DX87&gt;Charge_ELS_freq,DY87&gt;charge_ELU,DZ87&gt;charge_ELA,$B87&gt;NDC!$H$22-0.1+MIN(3*$EA$12,1.5)),0,1))</f>
        <v>#N/A</v>
      </c>
      <c r="EB87" s="86" t="b">
        <f t="shared" si="159"/>
        <v>0</v>
      </c>
      <c r="EC87" s="418">
        <f t="shared" si="160"/>
        <v>0.51</v>
      </c>
      <c r="ED87" s="86">
        <f t="shared" si="161"/>
        <v>0.51</v>
      </c>
      <c r="EE87" s="30" t="e">
        <f t="shared" ca="1" si="192"/>
        <v>#DIV/0!</v>
      </c>
      <c r="EF87" s="85" t="e">
        <f ca="1">IF(DL87&lt;=Hypothèses!$V$7,Hypothèses!$W$7,IF(DL87&lt;=Hypothèses!$V$8,Hypothèses!$W$8,IF(DL87&lt;=Hypothèses!$V$9,Hypothèses!$W$9,IF(DL87&lt;=Hypothèses!$V$10,Hypothèses!$W$10,IF(DL87&lt;=Hypothèses!$V$11,Hypothèses!$W$11,IF(DL87&lt;=Hypothèses!$V$12,Hypothèses!$W$12,IF(DL87&lt;=Hypothèses!$V$13,Hypothèses!$W$13,IF(DL87&lt;=Hypothèses!$V$14,Hypothèses!$W$14,IF(DL87&lt;=Hypothèses!$V$15,Hypothèses!$W$15,IF(DL87&lt;=Hypothèses!$V$16,Hypothèses!$W$16,IF(DL87&lt;=Hypothèses!$V$17,Hypothèses!$W$17,IF(DL87&lt;=Hypothèses!$V$18,Hypothèses!$W$18,""))))))))))))</f>
        <v>#DIV/0!</v>
      </c>
      <c r="EG87" s="87" t="e">
        <f t="shared" ca="1" si="222"/>
        <v>#DIV/0!</v>
      </c>
      <c r="EH87" s="88" t="e">
        <f ca="1">IF(DL87&lt;=Hypothèses!$V$7,Hypothèses!$X$7,IF(DL87&lt;=Hypothèses!$V$8,Hypothèses!$X$8,IF(DL87&lt;=Hypothèses!$V$9,Hypothèses!$X$9,IF(DL87&lt;=Hypothèses!$V$10,Hypothèses!$X$10,IF(DL87&lt;=Hypothèses!$V$11,Hypothèses!$X$11,IF(DL87&lt;=Hypothèses!$V$12,Hypothèses!$X$12,IF(DL87&lt;=Hypothèses!$V$13,Hypothèses!$X$13,IF(DL87&lt;=Hypothèses!$V$14,Hypothèses!$X$14,IF(DL87&lt;=Hypothèses!$V$15,Hypothèses!$X$15,IF(DL87&lt;=Hypothèses!$V$16,Hypothèses!$X$16,IF(DL87&lt;=Hypothèses!$U$17,Hypothèses!$W$17,IF(DL87&lt;=Hypothèses!$U$18,Hypothèses!$W$18,""))))))))))))</f>
        <v>#DIV/0!</v>
      </c>
      <c r="EI87" s="95" t="e">
        <f t="shared" ca="1" si="193"/>
        <v>#DIV/0!</v>
      </c>
      <c r="EJ87" s="101" t="e">
        <f t="shared" si="229"/>
        <v>#N/A</v>
      </c>
      <c r="EK87" s="91" t="e">
        <f t="shared" si="162"/>
        <v>#N/A</v>
      </c>
      <c r="EL87" s="30" t="e">
        <f t="shared" si="212"/>
        <v>#N/A</v>
      </c>
      <c r="EM87" s="30" t="e">
        <f t="shared" si="213"/>
        <v>#N/A</v>
      </c>
      <c r="EN87" s="31" t="e">
        <f>IF(OR(Hypothèses!$B$4=17,Hypothèses!$B$4=18,Hypothèses!$B$4=19,Hypothèses!$B$4=20),
IF($D87="Pressio.",
IF(OR($E87=3,$E87=1,$E87=4),EM87,EL87),
IF($D87="Pénétro.",
IF(OR($E87=3,$E87=1,$E87=4),EM87,EL87))),IF($D87="Pressio.",
IF($E87=3,EM87,EL87),
IF($D87="Pénétro.",
IF($E87=4,EM87,EL87))))</f>
        <v>#N/A</v>
      </c>
      <c r="EO87" s="31" t="e">
        <f>(IF(OR(Hypothèses!$B$4=17,Hypothèses!$B$4=18,Hypothèses!$B$4=19,Hypothèses!$B$4=20),
IF($D87="Pressio.",
IF(OR($E87=3,$E87=1,$E87=4),(PI()*EO$12^2)/4*(EK87*$W87*1000)/($H87*$B$5),(PI()*EO$12^2)/4*(EK87*$W87*1000)/($G87*$B$5)),
IF($D87="Pénétro.",
IF(OR($E87=4,$E87=1,$E87=5),(PI()*EO$12^2)/4*(EK87*$W87*1000)/($H87*$B$5),(PI()*EO$12^2)/4*(EK87*$W87*1000)/($G87*$B$5)))),
IF($D87="Pressio.",
IF($E87=3,(PI()*EO$12^2)/4*(EK87*$W87*1000)/($H87*$B$5),(PI()*EO$12^2)/4*(EK87*$W87*1000)/($G87*$B$5)),
IF($D87="Pénétro.",
IF($E87=4,(PI()*EO$12^2)/4*(EK87*$W87*1000)/($H87*$B$5),(PI()*EO$12^2)/4*(EK87*$W87*1000)/($G87*$B$5))))))/10</f>
        <v>#N/A</v>
      </c>
      <c r="EP87" s="102" t="e">
        <f>(VLOOKUP($B$3,'Coeff EC7'!$T$39:$X$59,2,0)*EN87+VLOOKUP($B$3,'Coeff EC7'!$T$65:$X$85,2,0)*Model0.1C!EO87)/1.1</f>
        <v>#N/A</v>
      </c>
      <c r="EQ87" s="102" t="e">
        <f>(VLOOKUP($B$3,'Coeff EC7'!$T$39:$X$59,3,0)*EN87+VLOOKUP($B$3,'Coeff EC7'!$T$65:$X$85,3,0)*Model0.1C!EO87)/0.9</f>
        <v>#N/A</v>
      </c>
      <c r="ER87" s="102" t="e">
        <f t="shared" si="194"/>
        <v>#N/A</v>
      </c>
      <c r="ES87" s="102" t="e">
        <f t="shared" si="195"/>
        <v>#N/A</v>
      </c>
      <c r="ET87" s="414" t="e">
        <f>IF(ET86=0,0,IF(AND(EP87&gt;charge_ELS_quasi,EQ87&gt;Charge_ELS_freq,ER87&gt;charge_ELU,ES87&gt;charge_ELA,$B87&gt;NDC!$H$22-0.1+MIN(3*$ET$12,1.5)),0,1))</f>
        <v>#N/A</v>
      </c>
      <c r="EU87" s="86" t="b">
        <f t="shared" si="163"/>
        <v>0</v>
      </c>
      <c r="EV87" s="86">
        <f t="shared" si="164"/>
        <v>0.61</v>
      </c>
      <c r="EW87" s="86">
        <f t="shared" si="165"/>
        <v>0.61</v>
      </c>
      <c r="EX87" s="30" t="e">
        <f t="shared" ca="1" si="196"/>
        <v>#DIV/0!</v>
      </c>
      <c r="EY87" s="85" t="e">
        <f ca="1">IF(EE87&lt;=Hypothèses!$V$7,Hypothèses!$W$7,IF(EE87&lt;=Hypothèses!$V$8,Hypothèses!$W$8,IF(EE87&lt;=Hypothèses!$V$9,Hypothèses!$W$9,IF(EE87&lt;=Hypothèses!$V$10,Hypothèses!$W$10,IF(EE87&lt;=Hypothèses!$V$11,Hypothèses!$W$11,IF(EE87&lt;=Hypothèses!$V$12,Hypothèses!$W$12,IF(EE87&lt;=Hypothèses!$V$13,Hypothèses!$W$13,IF(EE87&lt;=Hypothèses!$V$14,Hypothèses!$W$14,IF(EE87&lt;=Hypothèses!$V$15,Hypothèses!$W$15,IF(EE87&lt;=Hypothèses!$V$16,Hypothèses!$W$16,IF(EE87&lt;=Hypothèses!$V$17,Hypothèses!$W$17,IF(EE87&lt;=Hypothèses!$V$18,Hypothèses!$W$18,""))))))))))))</f>
        <v>#DIV/0!</v>
      </c>
      <c r="EZ87" s="87" t="e">
        <f t="shared" ca="1" si="223"/>
        <v>#DIV/0!</v>
      </c>
      <c r="FA87" s="88" t="e">
        <f ca="1">IF(EE87&lt;=Hypothèses!$V$7,Hypothèses!$X$7,IF(EE87&lt;=Hypothèses!$V$8,Hypothèses!$X$8,IF(EE87&lt;=Hypothèses!$V$9,Hypothèses!$X$9,IF(EE87&lt;=Hypothèses!$V$10,Hypothèses!$X$10,IF(EE87&lt;=Hypothèses!$V$11,Hypothèses!$X$11,IF(EE87&lt;=Hypothèses!$V$12,Hypothèses!$X$12,IF(EE87&lt;=Hypothèses!$V$13,Hypothèses!$X$13,IF(EE87&lt;=Hypothèses!$V$14,Hypothèses!$X$14,IF(EE87&lt;=Hypothèses!$V$15,Hypothèses!$X$15,IF(EE87&lt;=Hypothèses!$V$16,Hypothèses!$X$16,IF(EE87&lt;=Hypothèses!$U$17,Hypothèses!$W$17,IF(EE87&lt;=Hypothèses!$U$18,Hypothèses!$W$18,""))))))))))))</f>
        <v>#DIV/0!</v>
      </c>
      <c r="FB87" s="95" t="e">
        <f t="shared" ca="1" si="197"/>
        <v>#DIV/0!</v>
      </c>
      <c r="FC87" s="101" t="e">
        <f t="shared" si="230"/>
        <v>#N/A</v>
      </c>
      <c r="FD87" s="91" t="e">
        <f t="shared" si="166"/>
        <v>#N/A</v>
      </c>
      <c r="FE87" s="30" t="e">
        <f t="shared" si="214"/>
        <v>#N/A</v>
      </c>
      <c r="FF87" s="30" t="e">
        <f t="shared" si="215"/>
        <v>#N/A</v>
      </c>
      <c r="FG87" s="31" t="e">
        <f>IF(OR(Hypothèses!$B$4=17,Hypothèses!$B$4=18,Hypothèses!$B$4=19,Hypothèses!$B$4=20),
IF($D87="Pressio.",
IF(OR($E87=3,$E87=1,$E87=4),FF87,FE87),
IF($D87="Pénétro.",
IF(OR($E87=3,$E87=1,$E87=4),FF87,FE87))),IF($D87="Pressio.",
IF($E87=3,FF87,FE87),
IF($D87="Pénétro.",
IF($E87=4,FF87,FE87))))</f>
        <v>#N/A</v>
      </c>
      <c r="FH87" s="31" t="e">
        <f>(IF(OR(Hypothèses!$B$4=17,Hypothèses!$B$4=18,Hypothèses!$B$4=19,Hypothèses!$B$4=20),
IF($D87="Pressio.",
IF(OR($E87=3,$E87=1,$E87=4),(PI()*FH$12^2)/4*(FD87*$W87*1000)/($H87*$B$5),(PI()*FH$12^2)/4*(FD87*$W87*1000)/($G87*$B$5)),
IF($D87="Pénétro.",
IF(OR($E87=4,$E87=1,$E87=5),(PI()*FH$12^2)/4*(FD87*$W87*1000)/($H87*$B$5),(PI()*FH$12^2)/4*(FD87*$W87*1000)/($G87*$B$5)))),
IF($D87="Pressio.",
IF($E87=3,(PI()*FH$12^2)/4*(FD87*$W87*1000)/($H87*$B$5),(PI()*FH$12^2)/4*(FD87*$W87*1000)/($G87*$B$5)),
IF($D87="Pénétro.",
IF($E87=4,(PI()*FH$12^2)/4*(FD87*$W87*1000)/($H87*$B$5),(PI()*FH$12^2)/4*(FD87*$W87*1000)/($G87*$B$5))))))/10</f>
        <v>#N/A</v>
      </c>
      <c r="FI87" s="102" t="e">
        <f>(VLOOKUP($B$3,'Coeff EC7'!$T$39:$X$59,2,0)*FG87+VLOOKUP($B$3,'Coeff EC7'!$T$65:$X$85,2,0)*Model0.1C!FH87)/1.1</f>
        <v>#N/A</v>
      </c>
      <c r="FJ87" s="102" t="e">
        <f>(VLOOKUP($B$3,'Coeff EC7'!$T$39:$X$59,3,0)*FG87+VLOOKUP($B$3,'Coeff EC7'!$T$65:$X$85,3,0)*Model0.1C!FH87)/0.9</f>
        <v>#N/A</v>
      </c>
      <c r="FK87" s="102" t="e">
        <f t="shared" si="198"/>
        <v>#N/A</v>
      </c>
      <c r="FL87" s="102" t="e">
        <f t="shared" si="199"/>
        <v>#N/A</v>
      </c>
      <c r="FM87" s="414" t="e">
        <f>IF(FM86=0,0,IF(AND(FI87&gt;charge_ELS_quasi,FJ87&gt;Charge_ELS_freq,FK87&gt;charge_ELU,FL87&gt;charge_ELA,$B87&gt;NDC!$H$22-0.1+MIN(3*$FM$12,1.5)),0,1))</f>
        <v>#N/A</v>
      </c>
    </row>
    <row r="88" spans="1:169">
      <c r="A88" s="96">
        <f t="shared" si="167"/>
        <v>92.500000000000426</v>
      </c>
      <c r="B88" s="97">
        <v>7.5</v>
      </c>
      <c r="C88" s="81">
        <f>IF(B88&lt;=Hypothèses!$C$7,Hypothèses!$A$7,IF(B88&lt;=Hypothèses!$C$8,Hypothèses!$A$8,IF(B88&lt;=Hypothèses!$C$9,Hypothèses!$A$9,IF(B88&lt;=Hypothèses!$C$10,Hypothèses!$A$10,IF(B88&lt;=Hypothèses!$C$11,Hypothèses!$A$11,IF(B88&lt;=Hypothèses!$C$12,Hypothèses!$A$12,IF(B88&lt;=Hypothèses!$C$13,Hypothèses!$A$13,IF(B88&lt;=Hypothèses!$C$14,Hypothèses!$A$14,IF(B88&lt;=Hypothèses!$C$15,Hypothèses!$A$15,IF(B88&lt;=Hypothèses!$C$16,Hypothèses!$A$16,IF(B88&lt;=Hypothèses!$C$17,Hypothèses!$A$17,IF(B88&lt;=Hypothèses!$C$18,Hypothèses!$A$18,C87))))))))))))</f>
        <v>11</v>
      </c>
      <c r="D88" s="82" t="str">
        <f>IF(B88&lt;=Hypothèses!$C$7,Hypothèses!$R$7,IF(B88&lt;=Hypothèses!$C$8,Hypothèses!$R$8,IF(B88&lt;=Hypothèses!$C$9,Hypothèses!$R$9,IF(B88&lt;=Hypothèses!$C$10,Hypothèses!$R$10,IF(B88&lt;=Hypothèses!$C$11,Hypothèses!$R$11,IF(B88&lt;=Hypothèses!$C$12,Hypothèses!$R$12,IF(B88&lt;=Hypothèses!$C$13,Hypothèses!$R$13,IF(B88&lt;=Hypothèses!$C$14,Hypothèses!$R$14,IF(B88&lt;=Hypothèses!$C$15,Hypothèses!$R$15,IF(B88&lt;=Hypothèses!$C$16,Hypothèses!$R$16,IF(B88&lt;=Hypothèses!$C$17,Hypothèses!$R$17,IF(B88&lt;=Hypothèses!$C$18,Hypothèses!$R$18,D87))))))))))))</f>
        <v>Pressio.</v>
      </c>
      <c r="E88" s="82" t="e">
        <f>IF(B88&lt;=Hypothèses!$C$7,Hypothèses!$G$7,IF(B88&lt;=Hypothèses!$C$8,Hypothèses!$G$8,IF(B88&lt;=Hypothèses!$C$9,Hypothèses!$G$9,IF(B88&lt;=Hypothèses!$C$10,Hypothèses!$G$10,IF(B88&lt;=Hypothèses!$C$11,Hypothèses!$G$11,IF(B88&lt;=Hypothèses!$C$12,Hypothèses!$G$12,IF(B88&lt;=Hypothèses!$C$13,Hypothèses!$G$13,IF(B88&lt;=Hypothèses!$C$14,Hypothèses!$G$14,IF(B88&lt;=Hypothèses!$C$15,Hypothèses!$G$15,IF(B88&lt;=Hypothèses!$C$16,Hypothèses!$G$16,IF(B88&lt;=Hypothèses!$C$17,Hypothèses!$G$17,IF(B88&lt;=Hypothèses!$C$18,Hypothèses!$G$18,E87))))))))))))</f>
        <v>#N/A</v>
      </c>
      <c r="F88" s="82" t="str">
        <f>IF(B88&lt;=Hypothèses!$C$7,Hypothèses!$F$7,IF(B88&lt;=Hypothèses!$C$8,Hypothèses!$F$8,IF(B88&lt;=Hypothèses!$C$9,Hypothèses!$F$9,IF(B88&lt;=Hypothèses!$C$10,Hypothèses!$F$10,IF(B88&lt;=Hypothèses!$C$11,Hypothèses!$F$11,IF(B88&lt;=Hypothèses!$C$12,Hypothèses!$F$12,IF(B88&lt;=Hypothèses!$C$13,Hypothèses!$F$13,IF(B88&lt;=Hypothèses!$C$14,Hypothèses!$F$14,IF(B88&lt;=Hypothèses!$C$15,Hypothèses!$F$15,IF(B88&lt;=Hypothèses!$C$16,Hypothèses!$F$16,IF(B88&lt;=Hypothèses!$C$17,Hypothèses!$F$17,IF(B88&lt;=Hypothèses!$C$18,Hypothèses!$F$18,F87))))))))))))</f>
        <v/>
      </c>
      <c r="G88" s="91">
        <f t="array" ref="G88">INDEX('Coeff EC7'!$U$7:$X$27,
MATCH(Model0.1C!$B$3,'Coeff EC7'!$T$7:$T$27,0),
MATCH(Model0.1C!$D88&amp;Model0.1C!$B$4,
'Coeff EC7'!$U$6:$X$6&amp;
'Coeff EC7'!$U$5:$X$5,0))</f>
        <v>1.1499999999999999</v>
      </c>
      <c r="H88" s="91">
        <f t="array" ref="H88">INDEX('Coeff EC7'!$Y$7:$AB$27,
MATCH(Model0.1C!$B$3,'Coeff EC7'!$T$7:$T$27,0),
MATCH(Model0.1C!$D88&amp;Model0.1C!$B$4,
'Coeff EC7'!$Y$6:$AB$6&amp;
'Coeff EC7'!$Y$5:$AB$5,0))</f>
        <v>1.4</v>
      </c>
      <c r="I88" s="83" t="e">
        <f>IF(B88&lt;=Hypothèses!$C$7,Hypothèses!$P$7,IF(B88&lt;=Hypothèses!$C$8,Hypothèses!$P$8,IF(B88&lt;=Hypothèses!$C$9,Hypothèses!$P$9,IF(B88&lt;=Hypothèses!$C$10,Hypothèses!$P$10,IF(B88&lt;=Hypothèses!$C$11,Hypothèses!$P$11,IF(B88&lt;=Hypothèses!$C$12,Hypothèses!$P$12,IF(B88&lt;=Hypothèses!$C$13,Hypothèses!$P$13,IF(B88&lt;=Hypothèses!$C$14,Hypothèses!$P$14,IF(B88&lt;=Hypothèses!$C$15,Hypothèses!$P$15,IF(B88&lt;=Hypothèses!$C$16,Hypothèses!$P$16,IF(B88&lt;=Hypothèses!$C$17,Hypothèses!$P$17,IF(B88&lt;=Hypothèses!$C$18,Hypothèses!$P$18,I87))))))))))))</f>
        <v>#N/A</v>
      </c>
      <c r="J88" s="91" t="e">
        <f t="array" ref="J88">INDEX('Coeff EC7'!$D$33:$Q$33,1,MATCH(D88&amp;E88,'Coeff EC7'!$D$31:$Q$31&amp;'Coeff EC7'!$D$32:$Q$32,0))</f>
        <v>#N/A</v>
      </c>
      <c r="K88" s="91" t="e">
        <f t="array" ref="K88">INDEX('Coeff EC7'!$D$34:$Q$34,1,MATCH(D88&amp;E88,'Coeff EC7'!$D$31:$Q$31&amp;'Coeff EC7'!$D$32:$Q$32,0))</f>
        <v>#N/A</v>
      </c>
      <c r="L88" s="91" t="e">
        <f t="array" ref="L88">INDEX('Coeff EC7'!$D$35:$Q$35,1,MATCH(D88&amp;E88,'Coeff EC7'!$D$31:$Q$31&amp;'Coeff EC7'!$D$32:$Q$32,0))</f>
        <v>#N/A</v>
      </c>
      <c r="M88" s="98" t="e">
        <f t="shared" si="131"/>
        <v>#N/A</v>
      </c>
      <c r="N88" s="99" t="e">
        <f t="array" ref="N88">INDEX('Coeff EC7'!$D$7:$Q$27,MATCH($B$3,'Coeff EC7'!$C$7:$C$27,0),MATCH(D88&amp;E88,'Coeff EC7'!$D$5:$Q$5&amp;'Coeff EC7'!$D$6:$Q$6,0))</f>
        <v>#N/A</v>
      </c>
      <c r="O88" s="99" t="e">
        <f t="array" ref="O88">INDEX('Coeff EC7'!$D$41:$Q$61,MATCH($B$3,'Coeff EC7'!$C$41:$C$61,0),MATCH(D88&amp;E88,'Coeff EC7'!$D$39:$Q$39&amp;'Coeff EC7'!$D$40:$Q$40,0))</f>
        <v>#N/A</v>
      </c>
      <c r="P88" s="30" t="e">
        <f t="shared" si="168"/>
        <v>#N/A</v>
      </c>
      <c r="Q88" s="100" t="e">
        <f t="shared" si="133"/>
        <v>#N/A</v>
      </c>
      <c r="R88" s="86" t="b">
        <f t="shared" si="134"/>
        <v>0</v>
      </c>
      <c r="S88" s="86">
        <f t="shared" si="132"/>
        <v>0.5</v>
      </c>
      <c r="T88" s="86">
        <f t="shared" si="135"/>
        <v>0.5</v>
      </c>
      <c r="U88" s="30" t="e">
        <f t="shared" ca="1" si="169"/>
        <v>#DIV/0!</v>
      </c>
      <c r="V88" s="85" t="str">
        <f>IF(B88&lt;=Hypothèses!$V$7,Hypothèses!$W$7,IF(B88&lt;=Hypothèses!$V$8,Hypothèses!$W$8,IF(B88&lt;=Hypothèses!$V$9,Hypothèses!$W$9,IF(B88&lt;=Hypothèses!$V$10,Hypothèses!$W$10,IF(B88&lt;=Hypothèses!$V$11,Hypothèses!$W$11,IF(B88&lt;=Hypothèses!$V$12,Hypothèses!$W$12,IF(B88&lt;=Hypothèses!$V$13,Hypothèses!$W$13,IF(B88&lt;=Hypothèses!$V$14,Hypothèses!$W$14,IF(B88&lt;=Hypothèses!$V$15,Hypothèses!$W$15,IF(B88&lt;=Hypothèses!$V$16,Hypothèses!$W$16,IF(B88&lt;=Hypothèses!$V$17,Hypothèses!$W$17,IF(B88&lt;=Hypothèses!$V$18,Hypothèses!$W$18,""))))))))))))</f>
        <v/>
      </c>
      <c r="W88" s="87" t="e">
        <f t="shared" ca="1" si="216"/>
        <v>#DIV/0!</v>
      </c>
      <c r="X88" s="88" t="str">
        <f>IF(B88&lt;=Hypothèses!$V$7,Hypothèses!$X$7,IF(B88&lt;=Hypothèses!$V$8,Hypothèses!$X$8,IF(B88&lt;=Hypothèses!$V$9,Hypothèses!$X$9,IF(B88&lt;=Hypothèses!$V$10,Hypothèses!$X$10,IF(B88&lt;=Hypothèses!$V$11,Hypothèses!$X$11,IF(B88&lt;=Hypothèses!$V$12,Hypothèses!$X$12,IF(B88&lt;=Hypothèses!$V$13,Hypothèses!$X$13,IF(B88&lt;=Hypothèses!$V$14,Hypothèses!$X$14,IF(B88&lt;=Hypothèses!$V$15,Hypothèses!$X$15,IF(B88&lt;=Hypothèses!$V$16,Hypothèses!$X$16,IF(B88&lt;=Hypothèses!$U$17,Hypothèses!$W$17,IF(B88&lt;=Hypothèses!$U$18,Hypothèses!$W$18,""))))))))))))</f>
        <v/>
      </c>
      <c r="Y88" s="95" t="e">
        <f t="shared" ca="1" si="136"/>
        <v>#DIV/0!</v>
      </c>
      <c r="Z88" s="101" t="e">
        <f t="shared" si="137"/>
        <v>#N/A</v>
      </c>
      <c r="AA88" s="91" t="e">
        <f t="shared" si="138"/>
        <v>#N/A</v>
      </c>
      <c r="AB88" s="30" t="e">
        <f t="shared" si="200"/>
        <v>#N/A</v>
      </c>
      <c r="AC88" s="30" t="e">
        <f t="shared" si="201"/>
        <v>#N/A</v>
      </c>
      <c r="AD88" s="31" t="e">
        <f>IF(OR(Hypothèses!$B$4=17,Hypothèses!$B$4=18,Hypothèses!$B$4=19,Hypothèses!$B$4=20),
IF($D88="Pressio.",
IF(OR($E88=3,$E88=1,$E88=4),AC88,AB88),
IF($D88="Pénétro.",
IF(OR($E88=3,$E88=1,$E88=4),AC88,AB88))),IF($D88="Pressio.",
IF($E88=3,AC88,AB88),
IF($D88="Pénétro.",
IF($E88=4,AC88,AB88))))</f>
        <v>#N/A</v>
      </c>
      <c r="AE88" s="31" t="e">
        <f>(IF(OR(Hypothèses!$B$4=17,Hypothèses!$B$4=18,Hypothèses!$B$4=19,Hypothèses!$B$4=20),
IF($D88="Pressio.",
IF(OR($E88=3,$E88=1,$E88=4),(PI()*AE$12^2)/4*(AA88*$W88*1000)/($H88*$B$5),(PI()*AE$12^2)/4*(AA88*$W88*1000)/($G88*$B$5)),
IF($D88="Pénétro.",
IF(OR($E88=4,$E88=1,$E88=5),(PI()*AE$12^2)/4*(AA88*$W88*1000)/($H88*$B$5),(PI()*AE$12^2)/4*(AA88*$W88*1000)/($G88*$B$5)))),
IF($D88="Pressio.",
IF($E88=3,(PI()*AE$12^2)/4*(AA88*$W88*1000)/($H88*$B$5),(PI()*AE$12^2)/4*(AA88*$W88*1000)/($G88*$B$5)),
IF($D88="Pénétro.",
IF($E88=4,(PI()*AE$12^2)/4*(AA88*$W88*1000)/($H88*$B$5),(PI()*AE$12^2)/4*(AA88*$W88*1000)/($G88*$B$5))))))/10</f>
        <v>#N/A</v>
      </c>
      <c r="AF88" s="102" t="e">
        <f>(VLOOKUP($B$3,'Coeff EC7'!$T$39:$X$59,2,0)*AD88+VLOOKUP($B$3,'Coeff EC7'!$T$65:$X$85,2,0)*Model0.1C!AE88)/1.1</f>
        <v>#N/A</v>
      </c>
      <c r="AG88" s="102" t="e">
        <f>(VLOOKUP($B$3,'Coeff EC7'!$T$39:$X$59,3,0)*AD88+VLOOKUP($B$3,'Coeff EC7'!$T$65:$X$85,3,0)*Model0.1C!AE88)/0.9</f>
        <v>#N/A</v>
      </c>
      <c r="AH88" s="102" t="e">
        <f t="shared" si="139"/>
        <v>#N/A</v>
      </c>
      <c r="AI88" s="102" t="e">
        <f t="shared" si="140"/>
        <v>#N/A</v>
      </c>
      <c r="AJ88" s="414" t="e">
        <f>IF(AJ87=0,0,IF(AND(AF88&gt;charge_ELS_quasi,AG88&gt;Charge_ELS_freq,AH88&gt;charge_ELU,AI88&gt;charge_ELA,$B88&gt;NDC!$H$22-0.1+MIN(3*$AJ$12,1.5)),0,1))</f>
        <v>#N/A</v>
      </c>
      <c r="AK88" s="86" t="b">
        <f t="shared" si="141"/>
        <v>0</v>
      </c>
      <c r="AL88" s="86">
        <f t="shared" si="170"/>
        <v>0.5</v>
      </c>
      <c r="AM88" s="86">
        <f t="shared" si="142"/>
        <v>0.5</v>
      </c>
      <c r="AN88" s="30" t="e">
        <f t="shared" ca="1" si="171"/>
        <v>#DIV/0!</v>
      </c>
      <c r="AO88" s="85" t="e">
        <f ca="1">IF(U88&lt;=Hypothèses!$V$7,Hypothèses!$W$7,IF(U88&lt;=Hypothèses!$V$8,Hypothèses!$W$8,IF(U88&lt;=Hypothèses!$V$9,Hypothèses!$W$9,IF(U88&lt;=Hypothèses!$V$10,Hypothèses!$W$10,IF(U88&lt;=Hypothèses!$V$11,Hypothèses!$W$11,IF(U88&lt;=Hypothèses!$V$12,Hypothèses!$W$12,IF(U88&lt;=Hypothèses!$V$13,Hypothèses!$W$13,IF(U88&lt;=Hypothèses!$V$14,Hypothèses!$W$14,IF(U88&lt;=Hypothèses!$V$15,Hypothèses!$W$15,IF(U88&lt;=Hypothèses!$V$16,Hypothèses!$W$16,IF(U88&lt;=Hypothèses!$V$17,Hypothèses!$W$17,IF(U88&lt;=Hypothèses!$V$18,Hypothèses!$W$18,""))))))))))))</f>
        <v>#DIV/0!</v>
      </c>
      <c r="AP88" s="87" t="e">
        <f t="shared" ca="1" si="217"/>
        <v>#DIV/0!</v>
      </c>
      <c r="AQ88" s="88" t="e">
        <f ca="1">IF(U88&lt;=Hypothèses!$V$7,Hypothèses!$X$7,IF(U88&lt;=Hypothèses!$V$8,Hypothèses!$X$8,IF(U88&lt;=Hypothèses!$V$9,Hypothèses!$X$9,IF(U88&lt;=Hypothèses!$V$10,Hypothèses!$X$10,IF(U88&lt;=Hypothèses!$V$11,Hypothèses!$X$11,IF(U88&lt;=Hypothèses!$V$12,Hypothèses!$X$12,IF(U88&lt;=Hypothèses!$V$13,Hypothèses!$X$13,IF(U88&lt;=Hypothèses!$V$14,Hypothèses!$X$14,IF(U88&lt;=Hypothèses!$V$15,Hypothèses!$X$15,IF(U88&lt;=Hypothèses!$V$16,Hypothèses!$X$16,IF(U88&lt;=Hypothèses!$U$17,Hypothèses!$W$17,IF(U88&lt;=Hypothèses!$U$18,Hypothèses!$W$18,""))))))))))))</f>
        <v>#DIV/0!</v>
      </c>
      <c r="AR88" s="95" t="e">
        <f t="shared" ca="1" si="172"/>
        <v>#DIV/0!</v>
      </c>
      <c r="AS88" s="101" t="e">
        <f t="shared" si="224"/>
        <v>#N/A</v>
      </c>
      <c r="AT88" s="91" t="e">
        <f t="shared" si="143"/>
        <v>#N/A</v>
      </c>
      <c r="AU88" s="30" t="e">
        <f t="shared" si="202"/>
        <v>#N/A</v>
      </c>
      <c r="AV88" s="30" t="e">
        <f t="shared" si="203"/>
        <v>#N/A</v>
      </c>
      <c r="AW88" s="31" t="e">
        <f>IF(OR(Hypothèses!$B$4=17,Hypothèses!$B$4=18,Hypothèses!$B$4=19,Hypothèses!$B$4=20),
IF($D88="Pressio.",
IF(OR($E88=3,$E88=1,$E88=4),AV88,AU88),
IF($D88="Pénétro.",
IF(OR($E88=3,$E88=1,$E88=4),AV88,AU88))),IF($D88="Pressio.",
IF($E88=3,AV88,AU88),
IF($D88="Pénétro.",
IF($E88=4,AV88,AU88))))</f>
        <v>#N/A</v>
      </c>
      <c r="AX88" s="31" t="e">
        <f>(IF(OR(Hypothèses!$B$4=17,Hypothèses!$B$4=18,Hypothèses!$B$4=19,Hypothèses!$B$4=20),
IF($D88="Pressio.",
IF(OR($E88=3,$E88=1,$E88=4),(PI()*AX$12^2)/4*(AT88*$W88*1000)/($H88*$B$5),(PI()*AX$12^2)/4*(AT88*$W88*1000)/($G88*$B$5)),
IF($D88="Pénétro.",
IF(OR($E88=4,$E88=1,$E88=5),(PI()*AX$12^2)/4*(AT88*$W88*1000)/($H88*$B$5),(PI()*AX$12^2)/4*(AT88*$W88*1000)/($G88*$B$5)))),
IF($D88="Pressio.",
IF($E88=3,(PI()*AX$12^2)/4*(AT88*$W88*1000)/($H88*$B$5),(PI()*AX$12^2)/4*(AT88*$W88*1000)/($G88*$B$5)),
IF($D88="Pénétro.",
IF($E88=4,(PI()*AX$12^2)/4*(AT88*$W88*1000)/($H88*$B$5),(PI()*AX$12^2)/4*(AT88*$W88*1000)/($G88*$B$5))))))/10</f>
        <v>#N/A</v>
      </c>
      <c r="AY88" s="102" t="e">
        <f>(VLOOKUP($B$3,'Coeff EC7'!$T$39:$X$59,2,0)*AW88+VLOOKUP($B$3,'Coeff EC7'!$T$65:$X$85,2,0)*Model0.1C!AX88)/1.1</f>
        <v>#N/A</v>
      </c>
      <c r="AZ88" s="102" t="e">
        <f>(VLOOKUP($B$3,'Coeff EC7'!$T$39:$X$59,3,0)*AW88+VLOOKUP($B$3,'Coeff EC7'!$T$65:$X$85,3,0)*Model0.1C!AX88)/0.9</f>
        <v>#N/A</v>
      </c>
      <c r="BA88" s="102" t="e">
        <f t="shared" si="173"/>
        <v>#N/A</v>
      </c>
      <c r="BB88" s="102" t="e">
        <f t="shared" si="174"/>
        <v>#N/A</v>
      </c>
      <c r="BC88" s="414" t="e">
        <f>IF(BC87=0,0,IF(AND(AY88&gt;charge_ELS_quasi,AZ88&gt;Charge_ELS_freq,BA88&gt;charge_ELU,BB88&gt;charge_ELA,$B88&gt;NDC!$H$22-0.1+MIN(3*$BC$12,1.5)),0,1))</f>
        <v>#N/A</v>
      </c>
      <c r="BD88" s="86" t="b">
        <f t="shared" si="144"/>
        <v>0</v>
      </c>
      <c r="BE88" s="86">
        <f t="shared" si="175"/>
        <v>0.5</v>
      </c>
      <c r="BF88" s="86">
        <f t="shared" si="145"/>
        <v>0.5</v>
      </c>
      <c r="BG88" s="30" t="e">
        <f t="shared" ca="1" si="176"/>
        <v>#DIV/0!</v>
      </c>
      <c r="BH88" s="85" t="e">
        <f ca="1">IF(AN88&lt;=Hypothèses!$V$7,Hypothèses!$W$7,IF(AN88&lt;=Hypothèses!$V$8,Hypothèses!$W$8,IF(AN88&lt;=Hypothèses!$V$9,Hypothèses!$W$9,IF(AN88&lt;=Hypothèses!$V$10,Hypothèses!$W$10,IF(AN88&lt;=Hypothèses!$V$11,Hypothèses!$W$11,IF(AN88&lt;=Hypothèses!$V$12,Hypothèses!$W$12,IF(AN88&lt;=Hypothèses!$V$13,Hypothèses!$W$13,IF(AN88&lt;=Hypothèses!$V$14,Hypothèses!$W$14,IF(AN88&lt;=Hypothèses!$V$15,Hypothèses!$W$15,IF(AN88&lt;=Hypothèses!$V$16,Hypothèses!$W$16,IF(AN88&lt;=Hypothèses!$V$17,Hypothèses!$W$17,IF(AN88&lt;=Hypothèses!$V$18,Hypothèses!$W$18,""))))))))))))</f>
        <v>#DIV/0!</v>
      </c>
      <c r="BI88" s="87" t="e">
        <f t="shared" ca="1" si="218"/>
        <v>#DIV/0!</v>
      </c>
      <c r="BJ88" s="88" t="e">
        <f ca="1">IF(AN88&lt;=Hypothèses!$V$7,Hypothèses!$X$7,IF(AN88&lt;=Hypothèses!$V$8,Hypothèses!$X$8,IF(AN88&lt;=Hypothèses!$V$9,Hypothèses!$X$9,IF(AN88&lt;=Hypothèses!$V$10,Hypothèses!$X$10,IF(AN88&lt;=Hypothèses!$V$11,Hypothèses!$X$11,IF(AN88&lt;=Hypothèses!$V$12,Hypothèses!$X$12,IF(AN88&lt;=Hypothèses!$V$13,Hypothèses!$X$13,IF(AN88&lt;=Hypothèses!$V$14,Hypothèses!$X$14,IF(AN88&lt;=Hypothèses!$V$15,Hypothèses!$X$15,IF(AN88&lt;=Hypothèses!$V$16,Hypothèses!$X$16,IF(AN88&lt;=Hypothèses!$U$17,Hypothèses!$W$17,IF(AN88&lt;=Hypothèses!$U$18,Hypothèses!$W$18,""))))))))))))</f>
        <v>#DIV/0!</v>
      </c>
      <c r="BK88" s="95" t="e">
        <f t="shared" ca="1" si="177"/>
        <v>#DIV/0!</v>
      </c>
      <c r="BL88" s="101" t="e">
        <f t="shared" si="225"/>
        <v>#N/A</v>
      </c>
      <c r="BM88" s="91" t="e">
        <f t="shared" si="146"/>
        <v>#N/A</v>
      </c>
      <c r="BN88" s="30" t="e">
        <f t="shared" si="204"/>
        <v>#N/A</v>
      </c>
      <c r="BO88" s="30" t="e">
        <f t="shared" si="205"/>
        <v>#N/A</v>
      </c>
      <c r="BP88" s="31" t="e">
        <f>IF(OR(Hypothèses!$B$4=17,Hypothèses!$B$4=18,Hypothèses!$B$4=19,Hypothèses!$B$4=20),
IF($D88="Pressio.",
IF(OR($E88=3,$E88=1,$E88=4),BO88,BN88),
IF($D88="Pénétro.",
IF(OR($E88=3,$E88=1,$E88=4),BO88,BN88))),IF($D88="Pressio.",
IF($E88=3,BO88,BN88),
IF($D88="Pénétro.",
IF($E88=4,BO88,BN88))))</f>
        <v>#N/A</v>
      </c>
      <c r="BQ88" s="31" t="e">
        <f>(IF(OR(Hypothèses!$B$4=17,Hypothèses!$B$4=18,Hypothèses!$B$4=19,Hypothèses!$B$4=20),
IF($D88="Pressio.",
IF(OR($E88=3,$E88=1,$E88=4),(PI()*BQ$12^2)/4*(BM88*$W88*1000)/($H88*$B$5),(PI()*BQ$12^2)/4*(BM88*$W88*1000)/($G88*$B$5)),
IF($D88="Pénétro.",
IF(OR($E88=4,$E88=1,$E88=5),(PI()*BQ$12^2)/4*(BM88*$W88*1000)/($H88*$B$5),(PI()*BQ$12^2)/4*(BM88*$W88*1000)/($G88*$B$5)))),
IF($D88="Pressio.",
IF($E88=3,(PI()*BQ$12^2)/4*(BM88*$W88*1000)/($H88*$B$5),(PI()*BQ$12^2)/4*(BM88*$W88*1000)/($G88*$B$5)),
IF($D88="Pénétro.",
IF($E88=4,(PI()*BQ$12^2)/4*(BM88*$W88*1000)/($H88*$B$5),(PI()*BQ$12^2)/4*(BM88*$W88*1000)/($G88*$B$5))))))/10</f>
        <v>#N/A</v>
      </c>
      <c r="BR88" s="102" t="e">
        <f>(VLOOKUP($B$3,'Coeff EC7'!$T$39:$X$59,2,0)*BP88+VLOOKUP($B$3,'Coeff EC7'!$T$65:$X$85,2,0)*Model0.1C!BQ88)/1.1</f>
        <v>#N/A</v>
      </c>
      <c r="BS88" s="102" t="e">
        <f>(VLOOKUP($B$3,'Coeff EC7'!$T$39:$X$59,3,0)*BP88+VLOOKUP($B$3,'Coeff EC7'!$T$65:$X$85,3,0)*Model0.1C!BQ88)/0.9</f>
        <v>#N/A</v>
      </c>
      <c r="BT88" s="102" t="e">
        <f t="shared" si="178"/>
        <v>#N/A</v>
      </c>
      <c r="BU88" s="102" t="e">
        <f t="shared" si="179"/>
        <v>#N/A</v>
      </c>
      <c r="BV88" s="414" t="e">
        <f>IF(BV87=0,0,IF(AND(BR88&gt;charge_ELS_quasi,BS88&gt;Charge_ELS_freq,BT88&gt;charge_ELU,BU88&gt;charge_ELA,$B88&gt;NDC!$H$22-0.1+MIN(3*$BV$12,1.5)),0,1))</f>
        <v>#N/A</v>
      </c>
      <c r="BW88" s="86" t="b">
        <f t="shared" si="147"/>
        <v>0</v>
      </c>
      <c r="BX88" s="86">
        <f t="shared" si="148"/>
        <v>0.5</v>
      </c>
      <c r="BY88" s="86">
        <f t="shared" si="149"/>
        <v>0.5</v>
      </c>
      <c r="BZ88" s="30" t="e">
        <f t="shared" ca="1" si="180"/>
        <v>#DIV/0!</v>
      </c>
      <c r="CA88" s="85" t="e">
        <f ca="1">IF(BG88&lt;=Hypothèses!$V$7,Hypothèses!$W$7,IF(BG88&lt;=Hypothèses!$V$8,Hypothèses!$W$8,IF(BG88&lt;=Hypothèses!$V$9,Hypothèses!$W$9,IF(BG88&lt;=Hypothèses!$V$10,Hypothèses!$W$10,IF(BG88&lt;=Hypothèses!$V$11,Hypothèses!$W$11,IF(BG88&lt;=Hypothèses!$V$12,Hypothèses!$W$12,IF(BG88&lt;=Hypothèses!$V$13,Hypothèses!$W$13,IF(BG88&lt;=Hypothèses!$V$14,Hypothèses!$W$14,IF(BG88&lt;=Hypothèses!$V$15,Hypothèses!$W$15,IF(BG88&lt;=Hypothèses!$V$16,Hypothèses!$W$16,IF(BG88&lt;=Hypothèses!$V$17,Hypothèses!$W$17,IF(BG88&lt;=Hypothèses!$V$18,Hypothèses!$W$18,""))))))))))))</f>
        <v>#DIV/0!</v>
      </c>
      <c r="CB88" s="87" t="e">
        <f t="shared" ca="1" si="219"/>
        <v>#DIV/0!</v>
      </c>
      <c r="CC88" s="88" t="e">
        <f ca="1">IF(BG88&lt;=Hypothèses!$V$7,Hypothèses!$X$7,IF(BG88&lt;=Hypothèses!$V$8,Hypothèses!$X$8,IF(BG88&lt;=Hypothèses!$V$9,Hypothèses!$X$9,IF(BG88&lt;=Hypothèses!$V$10,Hypothèses!$X$10,IF(BG88&lt;=Hypothèses!$V$11,Hypothèses!$X$11,IF(BG88&lt;=Hypothèses!$V$12,Hypothèses!$X$12,IF(BG88&lt;=Hypothèses!$V$13,Hypothèses!$X$13,IF(BG88&lt;=Hypothèses!$V$14,Hypothèses!$X$14,IF(BG88&lt;=Hypothèses!$V$15,Hypothèses!$X$15,IF(BG88&lt;=Hypothèses!$V$16,Hypothèses!$X$16,IF(BG88&lt;=Hypothèses!$U$17,Hypothèses!$W$17,IF(BG88&lt;=Hypothèses!$U$18,Hypothèses!$W$18,""))))))))))))</f>
        <v>#DIV/0!</v>
      </c>
      <c r="CD88" s="95" t="e">
        <f t="shared" ca="1" si="181"/>
        <v>#DIV/0!</v>
      </c>
      <c r="CE88" s="101" t="e">
        <f t="shared" si="226"/>
        <v>#N/A</v>
      </c>
      <c r="CF88" s="91" t="e">
        <f t="shared" si="150"/>
        <v>#N/A</v>
      </c>
      <c r="CG88" s="30" t="e">
        <f t="shared" si="206"/>
        <v>#N/A</v>
      </c>
      <c r="CH88" s="30" t="e">
        <f t="shared" si="207"/>
        <v>#N/A</v>
      </c>
      <c r="CI88" s="31" t="e">
        <f>IF(OR(Hypothèses!$B$4=17,Hypothèses!$B$4=18,Hypothèses!$B$4=19,Hypothèses!$B$4=20),
IF($D88="Pressio.",
IF(OR($E88=3,$E88=1,$E88=4),CH88,CG88),
IF($D88="Pénétro.",
IF(OR($E88=3,$E88=1,$E88=4),CH88,CG88))),IF($D88="Pressio.",
IF($E88=3,CH88,CG88),
IF($D88="Pénétro.",
IF($E88=4,CH88,CG88))))</f>
        <v>#N/A</v>
      </c>
      <c r="CJ88" s="31" t="e">
        <f>(IF(OR(Hypothèses!$B$4=17,Hypothèses!$B$4=18,Hypothèses!$B$4=19,Hypothèses!$B$4=20),
IF($D88="Pressio.",
IF(OR($E88=3,$E88=1,$E88=4),(PI()*CJ$12^2)/4*(CF88*$W88*1000)/($H88*$B$5),(PI()*CJ$12^2)/4*(CF88*$W88*1000)/($G88*$B$5)),
IF($D88="Pénétro.",
IF(OR($E88=4,$E88=1,$E88=5),(PI()*CJ$12^2)/4*(CF88*$W88*1000)/($H88*$B$5),(PI()*CJ$12^2)/4*(CF88*$W88*1000)/($G88*$B$5)))),
IF($D88="Pressio.",
IF($E88=3,(PI()*CJ$12^2)/4*(CF88*$W88*1000)/($H88*$B$5),(PI()*CJ$12^2)/4*(CF88*$W88*1000)/($G88*$B$5)),
IF($D88="Pénétro.",
IF($E88=4,(PI()*CJ$12^2)/4*(CF88*$W88*1000)/($H88*$B$5),(PI()*CJ$12^2)/4*(CF88*$W88*1000)/($G88*$B$5))))))/10</f>
        <v>#N/A</v>
      </c>
      <c r="CK88" s="102" t="e">
        <f>(VLOOKUP($B$3,'Coeff EC7'!$T$39:$X$59,2,0)*CI88+VLOOKUP($B$3,'Coeff EC7'!$T$65:$X$85,2,0)*Model0.1C!CJ88)/1.1</f>
        <v>#N/A</v>
      </c>
      <c r="CL88" s="102" t="e">
        <f>(VLOOKUP($B$3,'Coeff EC7'!$T$39:$X$59,3,0)*CI88+VLOOKUP($B$3,'Coeff EC7'!$T$65:$X$85,3,0)*Model0.1C!CJ88)/0.9</f>
        <v>#N/A</v>
      </c>
      <c r="CM88" s="102" t="e">
        <f t="shared" si="182"/>
        <v>#N/A</v>
      </c>
      <c r="CN88" s="102" t="e">
        <f t="shared" si="183"/>
        <v>#N/A</v>
      </c>
      <c r="CO88" s="414" t="e">
        <f>IF(CO87=0,0,IF(AND(CK88&gt;charge_ELS_quasi,CL88&gt;Charge_ELS_freq,CM88&gt;charge_ELU,CN88&gt;charge_ELA,$B88&gt;NDC!$H$22-0.1+MIN(3*$CO$12,1.5)),0,1))</f>
        <v>#N/A</v>
      </c>
      <c r="CP88" s="86" t="b">
        <f t="shared" si="151"/>
        <v>0</v>
      </c>
      <c r="CQ88" s="86">
        <f t="shared" si="152"/>
        <v>0.5</v>
      </c>
      <c r="CR88" s="86">
        <f t="shared" si="153"/>
        <v>0.5</v>
      </c>
      <c r="CS88" s="30" t="e">
        <f t="shared" ca="1" si="184"/>
        <v>#DIV/0!</v>
      </c>
      <c r="CT88" s="85" t="e">
        <f ca="1">IF(BZ88&lt;=Hypothèses!$V$7,Hypothèses!$W$7,IF(BZ88&lt;=Hypothèses!$V$8,Hypothèses!$W$8,IF(BZ88&lt;=Hypothèses!$V$9,Hypothèses!$W$9,IF(BZ88&lt;=Hypothèses!$V$10,Hypothèses!$W$10,IF(BZ88&lt;=Hypothèses!$V$11,Hypothèses!$W$11,IF(BZ88&lt;=Hypothèses!$V$12,Hypothèses!$W$12,IF(BZ88&lt;=Hypothèses!$V$13,Hypothèses!$W$13,IF(BZ88&lt;=Hypothèses!$V$14,Hypothèses!$W$14,IF(BZ88&lt;=Hypothèses!$V$15,Hypothèses!$W$15,IF(BZ88&lt;=Hypothèses!$V$16,Hypothèses!$W$16,IF(BZ88&lt;=Hypothèses!$V$17,Hypothèses!$W$17,IF(BZ88&lt;=Hypothèses!$V$18,Hypothèses!$W$18,""))))))))))))</f>
        <v>#DIV/0!</v>
      </c>
      <c r="CU88" s="87" t="e">
        <f t="shared" ca="1" si="220"/>
        <v>#DIV/0!</v>
      </c>
      <c r="CV88" s="88" t="e">
        <f ca="1">IF(BZ88&lt;=Hypothèses!$V$7,Hypothèses!$X$7,IF(BZ88&lt;=Hypothèses!$V$8,Hypothèses!$X$8,IF(BZ88&lt;=Hypothèses!$V$9,Hypothèses!$X$9,IF(BZ88&lt;=Hypothèses!$V$10,Hypothèses!$X$10,IF(BZ88&lt;=Hypothèses!$V$11,Hypothèses!$X$11,IF(BZ88&lt;=Hypothèses!$V$12,Hypothèses!$X$12,IF(BZ88&lt;=Hypothèses!$V$13,Hypothèses!$X$13,IF(BZ88&lt;=Hypothèses!$V$14,Hypothèses!$X$14,IF(BZ88&lt;=Hypothèses!$V$15,Hypothèses!$X$15,IF(BZ88&lt;=Hypothèses!$V$16,Hypothèses!$X$16,IF(BZ88&lt;=Hypothèses!$U$17,Hypothèses!$W$17,IF(BZ88&lt;=Hypothèses!$U$18,Hypothèses!$W$18,""))))))))))))</f>
        <v>#DIV/0!</v>
      </c>
      <c r="CW88" s="95" t="e">
        <f t="shared" ca="1" si="185"/>
        <v>#DIV/0!</v>
      </c>
      <c r="CX88" s="101" t="e">
        <f t="shared" si="227"/>
        <v>#N/A</v>
      </c>
      <c r="CY88" s="91" t="e">
        <f t="shared" si="154"/>
        <v>#N/A</v>
      </c>
      <c r="CZ88" s="30" t="e">
        <f t="shared" si="208"/>
        <v>#N/A</v>
      </c>
      <c r="DA88" s="30" t="e">
        <f t="shared" si="209"/>
        <v>#N/A</v>
      </c>
      <c r="DB88" s="31" t="e">
        <f>IF(OR(Hypothèses!$B$4=17,Hypothèses!$B$4=18,Hypothèses!$B$4=19,Hypothèses!$B$4=20),
IF($D88="Pressio.",
IF(OR($E88=3,$E88=1,$E88=4),DA88,CZ88),
IF($D88="Pénétro.",
IF(OR($E88=3,$E88=1,$E88=4),DA88,CZ88))),IF($D88="Pressio.",
IF($E88=3,DA88,CZ88),
IF($D88="Pénétro.",
IF($E88=4,DA88,CZ88))))</f>
        <v>#N/A</v>
      </c>
      <c r="DC88" s="31" t="e">
        <f>(IF(OR(Hypothèses!$B$4=17,Hypothèses!$B$4=18,Hypothèses!$B$4=19,Hypothèses!$B$4=20),
IF($D88="Pressio.",
IF(OR($E88=3,$E88=1,$E88=4),(PI()*DC$12^2)/4*(CY88*$W88*1000)/($H88*$B$5),(PI()*DC$12^2)/4*(CY88*$W88*1000)/($G88*$B$5)),
IF($D88="Pénétro.",
IF(OR($E88=4,$E88=1,$E88=5),(PI()*DC$12^2)/4*(CY88*$W88*1000)/($H88*$B$5),(PI()*DC$12^2)/4*(CY88*$W88*1000)/($G88*$B$5)))),
IF($D88="Pressio.",
IF($E88=3,(PI()*DC$12^2)/4*(CY88*$W88*1000)/($H88*$B$5),(PI()*DC$12^2)/4*(CY88*$W88*1000)/($G88*$B$5)),
IF($D88="Pénétro.",
IF($E88=4,(PI()*DC$12^2)/4*(CY88*$W88*1000)/($H88*$B$5),(PI()*DC$12^2)/4*(CY88*$W88*1000)/($G88*$B$5))))))/10</f>
        <v>#N/A</v>
      </c>
      <c r="DD88" s="102" t="e">
        <f>(VLOOKUP($B$3,'Coeff EC7'!$T$39:$X$59,2,0)*DB88+VLOOKUP($B$3,'Coeff EC7'!$T$65:$X$85,2,0)*Model0.1C!DC88)/1.1</f>
        <v>#N/A</v>
      </c>
      <c r="DE88" s="102" t="e">
        <f>(VLOOKUP($B$3,'Coeff EC7'!$T$39:$X$59,3,0)*DB88+VLOOKUP($B$3,'Coeff EC7'!$T$65:$X$85,3,0)*Model0.1C!DC88)/0.9</f>
        <v>#N/A</v>
      </c>
      <c r="DF88" s="102" t="e">
        <f t="shared" si="186"/>
        <v>#N/A</v>
      </c>
      <c r="DG88" s="102" t="e">
        <f t="shared" si="187"/>
        <v>#N/A</v>
      </c>
      <c r="DH88" s="414" t="e">
        <f>IF(DH87=0,0,IF(AND(DD88&gt;charge_ELS_quasi,DE88&gt;Charge_ELS_freq,DF88&gt;charge_ELU,DG88&gt;charge_ELA,$B88&gt;NDC!$H$22-0.1+MIN(3*$DH$12,1.5)),0,1))</f>
        <v>#N/A</v>
      </c>
      <c r="DI88" s="86" t="b">
        <f t="shared" si="155"/>
        <v>0</v>
      </c>
      <c r="DJ88" s="86">
        <f t="shared" si="156"/>
        <v>0.5</v>
      </c>
      <c r="DK88" s="86">
        <f t="shared" si="157"/>
        <v>0.5</v>
      </c>
      <c r="DL88" s="30" t="e">
        <f t="shared" ca="1" si="188"/>
        <v>#DIV/0!</v>
      </c>
      <c r="DM88" s="85" t="e">
        <f ca="1">IF(CS88&lt;=Hypothèses!$V$7,Hypothèses!$W$7,IF(CS88&lt;=Hypothèses!$V$8,Hypothèses!$W$8,IF(CS88&lt;=Hypothèses!$V$9,Hypothèses!$W$9,IF(CS88&lt;=Hypothèses!$V$10,Hypothèses!$W$10,IF(CS88&lt;=Hypothèses!$V$11,Hypothèses!$W$11,IF(CS88&lt;=Hypothèses!$V$12,Hypothèses!$W$12,IF(CS88&lt;=Hypothèses!$V$13,Hypothèses!$W$13,IF(CS88&lt;=Hypothèses!$V$14,Hypothèses!$W$14,IF(CS88&lt;=Hypothèses!$V$15,Hypothèses!$W$15,IF(CS88&lt;=Hypothèses!$V$16,Hypothèses!$W$16,IF(CS88&lt;=Hypothèses!$V$17,Hypothèses!$W$17,IF(CS88&lt;=Hypothèses!$V$18,Hypothèses!$W$18,""))))))))))))</f>
        <v>#DIV/0!</v>
      </c>
      <c r="DN88" s="87" t="e">
        <f t="shared" ca="1" si="221"/>
        <v>#DIV/0!</v>
      </c>
      <c r="DO88" s="88" t="e">
        <f ca="1">IF(CS88&lt;=Hypothèses!$V$7,Hypothèses!$X$7,IF(CS88&lt;=Hypothèses!$V$8,Hypothèses!$X$8,IF(CS88&lt;=Hypothèses!$V$9,Hypothèses!$X$9,IF(CS88&lt;=Hypothèses!$V$10,Hypothèses!$X$10,IF(CS88&lt;=Hypothèses!$V$11,Hypothèses!$X$11,IF(CS88&lt;=Hypothèses!$V$12,Hypothèses!$X$12,IF(CS88&lt;=Hypothèses!$V$13,Hypothèses!$X$13,IF(CS88&lt;=Hypothèses!$V$14,Hypothèses!$X$14,IF(CS88&lt;=Hypothèses!$V$15,Hypothèses!$X$15,IF(CS88&lt;=Hypothèses!$V$16,Hypothèses!$X$16,IF(CS88&lt;=Hypothèses!$U$17,Hypothèses!$W$17,IF(CS88&lt;=Hypothèses!$U$18,Hypothèses!$W$18,""))))))))))))</f>
        <v>#DIV/0!</v>
      </c>
      <c r="DP88" s="95" t="e">
        <f t="shared" ca="1" si="189"/>
        <v>#DIV/0!</v>
      </c>
      <c r="DQ88" s="101" t="e">
        <f t="shared" si="228"/>
        <v>#N/A</v>
      </c>
      <c r="DR88" s="91" t="e">
        <f t="shared" si="158"/>
        <v>#N/A</v>
      </c>
      <c r="DS88" s="30" t="e">
        <f t="shared" si="210"/>
        <v>#N/A</v>
      </c>
      <c r="DT88" s="30" t="e">
        <f t="shared" si="211"/>
        <v>#N/A</v>
      </c>
      <c r="DU88" s="31" t="e">
        <f>IF(OR(Hypothèses!$B$4=17,Hypothèses!$B$4=18,Hypothèses!$B$4=19,Hypothèses!$B$4=20),
IF($D88="Pressio.",
IF(OR($E88=3,$E88=1,$E88=4),DT88,DS88),
IF($D88="Pénétro.",
IF(OR($E88=3,$E88=1,$E88=4),DT88,DS88))),IF($D88="Pressio.",
IF($E88=3,DT88,DS88),
IF($D88="Pénétro.",
IF($E88=4,DT88,DS88))))</f>
        <v>#N/A</v>
      </c>
      <c r="DV88" s="31" t="e">
        <f>(IF(OR(Hypothèses!$B$4=17,Hypothèses!$B$4=18,Hypothèses!$B$4=19,Hypothèses!$B$4=20),
IF($D88="Pressio.",
IF(OR($E88=3,$E88=1,$E88=4),(PI()*DV$12^2)/4*(DR88*$W88*1000)/($H88*$B$5),(PI()*DV$12^2)/4*(DR88*$W88*1000)/($G88*$B$5)),
IF($D88="Pénétro.",
IF(OR($E88=4,$E88=1,$E88=5),(PI()*DV$12^2)/4*(DR88*$W88*1000)/($H88*$B$5),(PI()*DV$12^2)/4*(DR88*$W88*1000)/($G88*$B$5)))),
IF($D88="Pressio.",
IF($E88=3,(PI()*DV$12^2)/4*(DR88*$W88*1000)/($H88*$B$5),(PI()*DV$12^2)/4*(DR88*$W88*1000)/($G88*$B$5)),
IF($D88="Pénétro.",
IF($E88=4,(PI()*DV$12^2)/4*(DR88*$W88*1000)/($H88*$B$5),(PI()*DV$12^2)/4*(DR88*$W88*1000)/($G88*$B$5))))))/10</f>
        <v>#N/A</v>
      </c>
      <c r="DW88" s="102" t="e">
        <f>(VLOOKUP($B$3,'Coeff EC7'!$T$39:$X$59,2,0)*DU88+VLOOKUP($B$3,'Coeff EC7'!$T$65:$X$85,2,0)*Model0.1C!DV88)/1.1</f>
        <v>#N/A</v>
      </c>
      <c r="DX88" s="102" t="e">
        <f>(VLOOKUP($B$3,'Coeff EC7'!$T$39:$X$59,3,0)*DU88+VLOOKUP($B$3,'Coeff EC7'!$T$65:$X$85,3,0)*Model0.1C!DV88)/0.9</f>
        <v>#N/A</v>
      </c>
      <c r="DY88" s="102" t="e">
        <f t="shared" si="190"/>
        <v>#N/A</v>
      </c>
      <c r="DZ88" s="102" t="e">
        <f t="shared" si="191"/>
        <v>#N/A</v>
      </c>
      <c r="EA88" s="414" t="e">
        <f>IF(EA87=0,0,IF(AND(DW88&gt;charge_ELS_quasi,DX88&gt;Charge_ELS_freq,DY88&gt;charge_ELU,DZ88&gt;charge_ELA,$B88&gt;NDC!$H$22-0.1+MIN(3*$EA$12,1.5)),0,1))</f>
        <v>#N/A</v>
      </c>
      <c r="EB88" s="86" t="b">
        <f t="shared" si="159"/>
        <v>0</v>
      </c>
      <c r="EC88" s="418">
        <f t="shared" si="160"/>
        <v>0.51</v>
      </c>
      <c r="ED88" s="86">
        <f t="shared" si="161"/>
        <v>0.51</v>
      </c>
      <c r="EE88" s="30" t="e">
        <f t="shared" ca="1" si="192"/>
        <v>#DIV/0!</v>
      </c>
      <c r="EF88" s="85" t="e">
        <f ca="1">IF(DL88&lt;=Hypothèses!$V$7,Hypothèses!$W$7,IF(DL88&lt;=Hypothèses!$V$8,Hypothèses!$W$8,IF(DL88&lt;=Hypothèses!$V$9,Hypothèses!$W$9,IF(DL88&lt;=Hypothèses!$V$10,Hypothèses!$W$10,IF(DL88&lt;=Hypothèses!$V$11,Hypothèses!$W$11,IF(DL88&lt;=Hypothèses!$V$12,Hypothèses!$W$12,IF(DL88&lt;=Hypothèses!$V$13,Hypothèses!$W$13,IF(DL88&lt;=Hypothèses!$V$14,Hypothèses!$W$14,IF(DL88&lt;=Hypothèses!$V$15,Hypothèses!$W$15,IF(DL88&lt;=Hypothèses!$V$16,Hypothèses!$W$16,IF(DL88&lt;=Hypothèses!$V$17,Hypothèses!$W$17,IF(DL88&lt;=Hypothèses!$V$18,Hypothèses!$W$18,""))))))))))))</f>
        <v>#DIV/0!</v>
      </c>
      <c r="EG88" s="87" t="e">
        <f t="shared" ca="1" si="222"/>
        <v>#DIV/0!</v>
      </c>
      <c r="EH88" s="88" t="e">
        <f ca="1">IF(DL88&lt;=Hypothèses!$V$7,Hypothèses!$X$7,IF(DL88&lt;=Hypothèses!$V$8,Hypothèses!$X$8,IF(DL88&lt;=Hypothèses!$V$9,Hypothèses!$X$9,IF(DL88&lt;=Hypothèses!$V$10,Hypothèses!$X$10,IF(DL88&lt;=Hypothèses!$V$11,Hypothèses!$X$11,IF(DL88&lt;=Hypothèses!$V$12,Hypothèses!$X$12,IF(DL88&lt;=Hypothèses!$V$13,Hypothèses!$X$13,IF(DL88&lt;=Hypothèses!$V$14,Hypothèses!$X$14,IF(DL88&lt;=Hypothèses!$V$15,Hypothèses!$X$15,IF(DL88&lt;=Hypothèses!$V$16,Hypothèses!$X$16,IF(DL88&lt;=Hypothèses!$U$17,Hypothèses!$W$17,IF(DL88&lt;=Hypothèses!$U$18,Hypothèses!$W$18,""))))))))))))</f>
        <v>#DIV/0!</v>
      </c>
      <c r="EI88" s="95" t="e">
        <f t="shared" ca="1" si="193"/>
        <v>#DIV/0!</v>
      </c>
      <c r="EJ88" s="101" t="e">
        <f t="shared" si="229"/>
        <v>#N/A</v>
      </c>
      <c r="EK88" s="91" t="e">
        <f t="shared" si="162"/>
        <v>#N/A</v>
      </c>
      <c r="EL88" s="30" t="e">
        <f t="shared" si="212"/>
        <v>#N/A</v>
      </c>
      <c r="EM88" s="30" t="e">
        <f t="shared" si="213"/>
        <v>#N/A</v>
      </c>
      <c r="EN88" s="31" t="e">
        <f>IF(OR(Hypothèses!$B$4=17,Hypothèses!$B$4=18,Hypothèses!$B$4=19,Hypothèses!$B$4=20),
IF($D88="Pressio.",
IF(OR($E88=3,$E88=1,$E88=4),EM88,EL88),
IF($D88="Pénétro.",
IF(OR($E88=3,$E88=1,$E88=4),EM88,EL88))),IF($D88="Pressio.",
IF($E88=3,EM88,EL88),
IF($D88="Pénétro.",
IF($E88=4,EM88,EL88))))</f>
        <v>#N/A</v>
      </c>
      <c r="EO88" s="31" t="e">
        <f>(IF(OR(Hypothèses!$B$4=17,Hypothèses!$B$4=18,Hypothèses!$B$4=19,Hypothèses!$B$4=20),
IF($D88="Pressio.",
IF(OR($E88=3,$E88=1,$E88=4),(PI()*EO$12^2)/4*(EK88*$W88*1000)/($H88*$B$5),(PI()*EO$12^2)/4*(EK88*$W88*1000)/($G88*$B$5)),
IF($D88="Pénétro.",
IF(OR($E88=4,$E88=1,$E88=5),(PI()*EO$12^2)/4*(EK88*$W88*1000)/($H88*$B$5),(PI()*EO$12^2)/4*(EK88*$W88*1000)/($G88*$B$5)))),
IF($D88="Pressio.",
IF($E88=3,(PI()*EO$12^2)/4*(EK88*$W88*1000)/($H88*$B$5),(PI()*EO$12^2)/4*(EK88*$W88*1000)/($G88*$B$5)),
IF($D88="Pénétro.",
IF($E88=4,(PI()*EO$12^2)/4*(EK88*$W88*1000)/($H88*$B$5),(PI()*EO$12^2)/4*(EK88*$W88*1000)/($G88*$B$5))))))/10</f>
        <v>#N/A</v>
      </c>
      <c r="EP88" s="102" t="e">
        <f>(VLOOKUP($B$3,'Coeff EC7'!$T$39:$X$59,2,0)*EN88+VLOOKUP($B$3,'Coeff EC7'!$T$65:$X$85,2,0)*Model0.1C!EO88)/1.1</f>
        <v>#N/A</v>
      </c>
      <c r="EQ88" s="102" t="e">
        <f>(VLOOKUP($B$3,'Coeff EC7'!$T$39:$X$59,3,0)*EN88+VLOOKUP($B$3,'Coeff EC7'!$T$65:$X$85,3,0)*Model0.1C!EO88)/0.9</f>
        <v>#N/A</v>
      </c>
      <c r="ER88" s="102" t="e">
        <f t="shared" si="194"/>
        <v>#N/A</v>
      </c>
      <c r="ES88" s="102" t="e">
        <f t="shared" si="195"/>
        <v>#N/A</v>
      </c>
      <c r="ET88" s="414" t="e">
        <f>IF(ET87=0,0,IF(AND(EP88&gt;charge_ELS_quasi,EQ88&gt;Charge_ELS_freq,ER88&gt;charge_ELU,ES88&gt;charge_ELA,$B88&gt;NDC!$H$22-0.1+MIN(3*$ET$12,1.5)),0,1))</f>
        <v>#N/A</v>
      </c>
      <c r="EU88" s="86" t="b">
        <f t="shared" si="163"/>
        <v>0</v>
      </c>
      <c r="EV88" s="86">
        <f t="shared" si="164"/>
        <v>0.61</v>
      </c>
      <c r="EW88" s="86">
        <f t="shared" si="165"/>
        <v>0.61</v>
      </c>
      <c r="EX88" s="30" t="e">
        <f t="shared" ca="1" si="196"/>
        <v>#DIV/0!</v>
      </c>
      <c r="EY88" s="85" t="e">
        <f ca="1">IF(EE88&lt;=Hypothèses!$V$7,Hypothèses!$W$7,IF(EE88&lt;=Hypothèses!$V$8,Hypothèses!$W$8,IF(EE88&lt;=Hypothèses!$V$9,Hypothèses!$W$9,IF(EE88&lt;=Hypothèses!$V$10,Hypothèses!$W$10,IF(EE88&lt;=Hypothèses!$V$11,Hypothèses!$W$11,IF(EE88&lt;=Hypothèses!$V$12,Hypothèses!$W$12,IF(EE88&lt;=Hypothèses!$V$13,Hypothèses!$W$13,IF(EE88&lt;=Hypothèses!$V$14,Hypothèses!$W$14,IF(EE88&lt;=Hypothèses!$V$15,Hypothèses!$W$15,IF(EE88&lt;=Hypothèses!$V$16,Hypothèses!$W$16,IF(EE88&lt;=Hypothèses!$V$17,Hypothèses!$W$17,IF(EE88&lt;=Hypothèses!$V$18,Hypothèses!$W$18,""))))))))))))</f>
        <v>#DIV/0!</v>
      </c>
      <c r="EZ88" s="87" t="e">
        <f t="shared" ca="1" si="223"/>
        <v>#DIV/0!</v>
      </c>
      <c r="FA88" s="88" t="e">
        <f ca="1">IF(EE88&lt;=Hypothèses!$V$7,Hypothèses!$X$7,IF(EE88&lt;=Hypothèses!$V$8,Hypothèses!$X$8,IF(EE88&lt;=Hypothèses!$V$9,Hypothèses!$X$9,IF(EE88&lt;=Hypothèses!$V$10,Hypothèses!$X$10,IF(EE88&lt;=Hypothèses!$V$11,Hypothèses!$X$11,IF(EE88&lt;=Hypothèses!$V$12,Hypothèses!$X$12,IF(EE88&lt;=Hypothèses!$V$13,Hypothèses!$X$13,IF(EE88&lt;=Hypothèses!$V$14,Hypothèses!$X$14,IF(EE88&lt;=Hypothèses!$V$15,Hypothèses!$X$15,IF(EE88&lt;=Hypothèses!$V$16,Hypothèses!$X$16,IF(EE88&lt;=Hypothèses!$U$17,Hypothèses!$W$17,IF(EE88&lt;=Hypothèses!$U$18,Hypothèses!$W$18,""))))))))))))</f>
        <v>#DIV/0!</v>
      </c>
      <c r="FB88" s="95" t="e">
        <f t="shared" ca="1" si="197"/>
        <v>#DIV/0!</v>
      </c>
      <c r="FC88" s="101" t="e">
        <f t="shared" si="230"/>
        <v>#N/A</v>
      </c>
      <c r="FD88" s="91" t="e">
        <f t="shared" si="166"/>
        <v>#N/A</v>
      </c>
      <c r="FE88" s="30" t="e">
        <f t="shared" si="214"/>
        <v>#N/A</v>
      </c>
      <c r="FF88" s="30" t="e">
        <f t="shared" si="215"/>
        <v>#N/A</v>
      </c>
      <c r="FG88" s="31" t="e">
        <f>IF(OR(Hypothèses!$B$4=17,Hypothèses!$B$4=18,Hypothèses!$B$4=19,Hypothèses!$B$4=20),
IF($D88="Pressio.",
IF(OR($E88=3,$E88=1,$E88=4),FF88,FE88),
IF($D88="Pénétro.",
IF(OR($E88=3,$E88=1,$E88=4),FF88,FE88))),IF($D88="Pressio.",
IF($E88=3,FF88,FE88),
IF($D88="Pénétro.",
IF($E88=4,FF88,FE88))))</f>
        <v>#N/A</v>
      </c>
      <c r="FH88" s="31" t="e">
        <f>(IF(OR(Hypothèses!$B$4=17,Hypothèses!$B$4=18,Hypothèses!$B$4=19,Hypothèses!$B$4=20),
IF($D88="Pressio.",
IF(OR($E88=3,$E88=1,$E88=4),(PI()*FH$12^2)/4*(FD88*$W88*1000)/($H88*$B$5),(PI()*FH$12^2)/4*(FD88*$W88*1000)/($G88*$B$5)),
IF($D88="Pénétro.",
IF(OR($E88=4,$E88=1,$E88=5),(PI()*FH$12^2)/4*(FD88*$W88*1000)/($H88*$B$5),(PI()*FH$12^2)/4*(FD88*$W88*1000)/($G88*$B$5)))),
IF($D88="Pressio.",
IF($E88=3,(PI()*FH$12^2)/4*(FD88*$W88*1000)/($H88*$B$5),(PI()*FH$12^2)/4*(FD88*$W88*1000)/($G88*$B$5)),
IF($D88="Pénétro.",
IF($E88=4,(PI()*FH$12^2)/4*(FD88*$W88*1000)/($H88*$B$5),(PI()*FH$12^2)/4*(FD88*$W88*1000)/($G88*$B$5))))))/10</f>
        <v>#N/A</v>
      </c>
      <c r="FI88" s="102" t="e">
        <f>(VLOOKUP($B$3,'Coeff EC7'!$T$39:$X$59,2,0)*FG88+VLOOKUP($B$3,'Coeff EC7'!$T$65:$X$85,2,0)*Model0.1C!FH88)/1.1</f>
        <v>#N/A</v>
      </c>
      <c r="FJ88" s="102" t="e">
        <f>(VLOOKUP($B$3,'Coeff EC7'!$T$39:$X$59,3,0)*FG88+VLOOKUP($B$3,'Coeff EC7'!$T$65:$X$85,3,0)*Model0.1C!FH88)/0.9</f>
        <v>#N/A</v>
      </c>
      <c r="FK88" s="102" t="e">
        <f t="shared" si="198"/>
        <v>#N/A</v>
      </c>
      <c r="FL88" s="102" t="e">
        <f t="shared" si="199"/>
        <v>#N/A</v>
      </c>
      <c r="FM88" s="414" t="e">
        <f>IF(FM87=0,0,IF(AND(FI88&gt;charge_ELS_quasi,FJ88&gt;Charge_ELS_freq,FK88&gt;charge_ELU,FL88&gt;charge_ELA,$B88&gt;NDC!$H$22-0.1+MIN(3*$FM$12,1.5)),0,1))</f>
        <v>#N/A</v>
      </c>
    </row>
    <row r="89" spans="1:169">
      <c r="A89" s="96">
        <f t="shared" si="167"/>
        <v>92.400000000000432</v>
      </c>
      <c r="B89" s="97">
        <v>7.6</v>
      </c>
      <c r="C89" s="81">
        <f>IF(B89&lt;=Hypothèses!$C$7,Hypothèses!$A$7,IF(B89&lt;=Hypothèses!$C$8,Hypothèses!$A$8,IF(B89&lt;=Hypothèses!$C$9,Hypothèses!$A$9,IF(B89&lt;=Hypothèses!$C$10,Hypothèses!$A$10,IF(B89&lt;=Hypothèses!$C$11,Hypothèses!$A$11,IF(B89&lt;=Hypothèses!$C$12,Hypothèses!$A$12,IF(B89&lt;=Hypothèses!$C$13,Hypothèses!$A$13,IF(B89&lt;=Hypothèses!$C$14,Hypothèses!$A$14,IF(B89&lt;=Hypothèses!$C$15,Hypothèses!$A$15,IF(B89&lt;=Hypothèses!$C$16,Hypothèses!$A$16,IF(B89&lt;=Hypothèses!$C$17,Hypothèses!$A$17,IF(B89&lt;=Hypothèses!$C$18,Hypothèses!$A$18,C88))))))))))))</f>
        <v>11</v>
      </c>
      <c r="D89" s="82" t="str">
        <f>IF(B89&lt;=Hypothèses!$C$7,Hypothèses!$R$7,IF(B89&lt;=Hypothèses!$C$8,Hypothèses!$R$8,IF(B89&lt;=Hypothèses!$C$9,Hypothèses!$R$9,IF(B89&lt;=Hypothèses!$C$10,Hypothèses!$R$10,IF(B89&lt;=Hypothèses!$C$11,Hypothèses!$R$11,IF(B89&lt;=Hypothèses!$C$12,Hypothèses!$R$12,IF(B89&lt;=Hypothèses!$C$13,Hypothèses!$R$13,IF(B89&lt;=Hypothèses!$C$14,Hypothèses!$R$14,IF(B89&lt;=Hypothèses!$C$15,Hypothèses!$R$15,IF(B89&lt;=Hypothèses!$C$16,Hypothèses!$R$16,IF(B89&lt;=Hypothèses!$C$17,Hypothèses!$R$17,IF(B89&lt;=Hypothèses!$C$18,Hypothèses!$R$18,D88))))))))))))</f>
        <v>Pressio.</v>
      </c>
      <c r="E89" s="82" t="e">
        <f>IF(B89&lt;=Hypothèses!$C$7,Hypothèses!$G$7,IF(B89&lt;=Hypothèses!$C$8,Hypothèses!$G$8,IF(B89&lt;=Hypothèses!$C$9,Hypothèses!$G$9,IF(B89&lt;=Hypothèses!$C$10,Hypothèses!$G$10,IF(B89&lt;=Hypothèses!$C$11,Hypothèses!$G$11,IF(B89&lt;=Hypothèses!$C$12,Hypothèses!$G$12,IF(B89&lt;=Hypothèses!$C$13,Hypothèses!$G$13,IF(B89&lt;=Hypothèses!$C$14,Hypothèses!$G$14,IF(B89&lt;=Hypothèses!$C$15,Hypothèses!$G$15,IF(B89&lt;=Hypothèses!$C$16,Hypothèses!$G$16,IF(B89&lt;=Hypothèses!$C$17,Hypothèses!$G$17,IF(B89&lt;=Hypothèses!$C$18,Hypothèses!$G$18,E88))))))))))))</f>
        <v>#N/A</v>
      </c>
      <c r="F89" s="82" t="str">
        <f>IF(B89&lt;=Hypothèses!$C$7,Hypothèses!$F$7,IF(B89&lt;=Hypothèses!$C$8,Hypothèses!$F$8,IF(B89&lt;=Hypothèses!$C$9,Hypothèses!$F$9,IF(B89&lt;=Hypothèses!$C$10,Hypothèses!$F$10,IF(B89&lt;=Hypothèses!$C$11,Hypothèses!$F$11,IF(B89&lt;=Hypothèses!$C$12,Hypothèses!$F$12,IF(B89&lt;=Hypothèses!$C$13,Hypothèses!$F$13,IF(B89&lt;=Hypothèses!$C$14,Hypothèses!$F$14,IF(B89&lt;=Hypothèses!$C$15,Hypothèses!$F$15,IF(B89&lt;=Hypothèses!$C$16,Hypothèses!$F$16,IF(B89&lt;=Hypothèses!$C$17,Hypothèses!$F$17,IF(B89&lt;=Hypothèses!$C$18,Hypothèses!$F$18,F88))))))))))))</f>
        <v/>
      </c>
      <c r="G89" s="91">
        <f t="array" ref="G89">INDEX('Coeff EC7'!$U$7:$X$27,
MATCH(Model0.1C!$B$3,'Coeff EC7'!$T$7:$T$27,0),
MATCH(Model0.1C!$D89&amp;Model0.1C!$B$4,
'Coeff EC7'!$U$6:$X$6&amp;
'Coeff EC7'!$U$5:$X$5,0))</f>
        <v>1.1499999999999999</v>
      </c>
      <c r="H89" s="91">
        <f t="array" ref="H89">INDEX('Coeff EC7'!$Y$7:$AB$27,
MATCH(Model0.1C!$B$3,'Coeff EC7'!$T$7:$T$27,0),
MATCH(Model0.1C!$D89&amp;Model0.1C!$B$4,
'Coeff EC7'!$Y$6:$AB$6&amp;
'Coeff EC7'!$Y$5:$AB$5,0))</f>
        <v>1.4</v>
      </c>
      <c r="I89" s="83" t="e">
        <f>IF(B89&lt;=Hypothèses!$C$7,Hypothèses!$P$7,IF(B89&lt;=Hypothèses!$C$8,Hypothèses!$P$8,IF(B89&lt;=Hypothèses!$C$9,Hypothèses!$P$9,IF(B89&lt;=Hypothèses!$C$10,Hypothèses!$P$10,IF(B89&lt;=Hypothèses!$C$11,Hypothèses!$P$11,IF(B89&lt;=Hypothèses!$C$12,Hypothèses!$P$12,IF(B89&lt;=Hypothèses!$C$13,Hypothèses!$P$13,IF(B89&lt;=Hypothèses!$C$14,Hypothèses!$P$14,IF(B89&lt;=Hypothèses!$C$15,Hypothèses!$P$15,IF(B89&lt;=Hypothèses!$C$16,Hypothèses!$P$16,IF(B89&lt;=Hypothèses!$C$17,Hypothèses!$P$17,IF(B89&lt;=Hypothèses!$C$18,Hypothèses!$P$18,I88))))))))))))</f>
        <v>#N/A</v>
      </c>
      <c r="J89" s="91" t="e">
        <f t="array" ref="J89">INDEX('Coeff EC7'!$D$33:$Q$33,1,MATCH(D89&amp;E89,'Coeff EC7'!$D$31:$Q$31&amp;'Coeff EC7'!$D$32:$Q$32,0))</f>
        <v>#N/A</v>
      </c>
      <c r="K89" s="91" t="e">
        <f t="array" ref="K89">INDEX('Coeff EC7'!$D$34:$Q$34,1,MATCH(D89&amp;E89,'Coeff EC7'!$D$31:$Q$31&amp;'Coeff EC7'!$D$32:$Q$32,0))</f>
        <v>#N/A</v>
      </c>
      <c r="L89" s="91" t="e">
        <f t="array" ref="L89">INDEX('Coeff EC7'!$D$35:$Q$35,1,MATCH(D89&amp;E89,'Coeff EC7'!$D$31:$Q$31&amp;'Coeff EC7'!$D$32:$Q$32,0))</f>
        <v>#N/A</v>
      </c>
      <c r="M89" s="98" t="e">
        <f t="shared" si="131"/>
        <v>#N/A</v>
      </c>
      <c r="N89" s="99" t="e">
        <f t="array" ref="N89">INDEX('Coeff EC7'!$D$7:$Q$27,MATCH($B$3,'Coeff EC7'!$C$7:$C$27,0),MATCH(D89&amp;E89,'Coeff EC7'!$D$5:$Q$5&amp;'Coeff EC7'!$D$6:$Q$6,0))</f>
        <v>#N/A</v>
      </c>
      <c r="O89" s="99" t="e">
        <f t="array" ref="O89">INDEX('Coeff EC7'!$D$41:$Q$61,MATCH($B$3,'Coeff EC7'!$C$41:$C$61,0),MATCH(D89&amp;E89,'Coeff EC7'!$D$39:$Q$39&amp;'Coeff EC7'!$D$40:$Q$40,0))</f>
        <v>#N/A</v>
      </c>
      <c r="P89" s="30" t="e">
        <f t="shared" si="168"/>
        <v>#N/A</v>
      </c>
      <c r="Q89" s="100" t="e">
        <f t="shared" si="133"/>
        <v>#N/A</v>
      </c>
      <c r="R89" s="86" t="b">
        <f t="shared" si="134"/>
        <v>0</v>
      </c>
      <c r="S89" s="86">
        <f t="shared" si="132"/>
        <v>0.5</v>
      </c>
      <c r="T89" s="86">
        <f t="shared" si="135"/>
        <v>0.5</v>
      </c>
      <c r="U89" s="30" t="e">
        <f t="shared" ca="1" si="169"/>
        <v>#DIV/0!</v>
      </c>
      <c r="V89" s="85" t="str">
        <f>IF(B89&lt;=Hypothèses!$V$7,Hypothèses!$W$7,IF(B89&lt;=Hypothèses!$V$8,Hypothèses!$W$8,IF(B89&lt;=Hypothèses!$V$9,Hypothèses!$W$9,IF(B89&lt;=Hypothèses!$V$10,Hypothèses!$W$10,IF(B89&lt;=Hypothèses!$V$11,Hypothèses!$W$11,IF(B89&lt;=Hypothèses!$V$12,Hypothèses!$W$12,IF(B89&lt;=Hypothèses!$V$13,Hypothèses!$W$13,IF(B89&lt;=Hypothèses!$V$14,Hypothèses!$W$14,IF(B89&lt;=Hypothèses!$V$15,Hypothèses!$W$15,IF(B89&lt;=Hypothèses!$V$16,Hypothèses!$W$16,IF(B89&lt;=Hypothèses!$V$17,Hypothèses!$W$17,IF(B89&lt;=Hypothèses!$V$18,Hypothèses!$W$18,""))))))))))))</f>
        <v/>
      </c>
      <c r="W89" s="87" t="e">
        <f t="shared" ca="1" si="216"/>
        <v>#DIV/0!</v>
      </c>
      <c r="X89" s="88" t="str">
        <f>IF(B89&lt;=Hypothèses!$V$7,Hypothèses!$X$7,IF(B89&lt;=Hypothèses!$V$8,Hypothèses!$X$8,IF(B89&lt;=Hypothèses!$V$9,Hypothèses!$X$9,IF(B89&lt;=Hypothèses!$V$10,Hypothèses!$X$10,IF(B89&lt;=Hypothèses!$V$11,Hypothèses!$X$11,IF(B89&lt;=Hypothèses!$V$12,Hypothèses!$X$12,IF(B89&lt;=Hypothèses!$V$13,Hypothèses!$X$13,IF(B89&lt;=Hypothèses!$V$14,Hypothèses!$X$14,IF(B89&lt;=Hypothèses!$V$15,Hypothèses!$X$15,IF(B89&lt;=Hypothèses!$V$16,Hypothèses!$X$16,IF(B89&lt;=Hypothèses!$U$17,Hypothèses!$W$17,IF(B89&lt;=Hypothèses!$U$18,Hypothèses!$W$18,""))))))))))))</f>
        <v/>
      </c>
      <c r="Y89" s="95" t="e">
        <f t="shared" ca="1" si="136"/>
        <v>#DIV/0!</v>
      </c>
      <c r="Z89" s="101" t="e">
        <f t="shared" si="137"/>
        <v>#N/A</v>
      </c>
      <c r="AA89" s="91" t="e">
        <f t="shared" si="138"/>
        <v>#N/A</v>
      </c>
      <c r="AB89" s="30" t="e">
        <f t="shared" si="200"/>
        <v>#N/A</v>
      </c>
      <c r="AC89" s="30" t="e">
        <f t="shared" si="201"/>
        <v>#N/A</v>
      </c>
      <c r="AD89" s="31" t="e">
        <f>IF(OR(Hypothèses!$B$4=17,Hypothèses!$B$4=18,Hypothèses!$B$4=19,Hypothèses!$B$4=20),
IF($D89="Pressio.",
IF(OR($E89=3,$E89=1,$E89=4),AC89,AB89),
IF($D89="Pénétro.",
IF(OR($E89=3,$E89=1,$E89=4),AC89,AB89))),IF($D89="Pressio.",
IF($E89=3,AC89,AB89),
IF($D89="Pénétro.",
IF($E89=4,AC89,AB89))))</f>
        <v>#N/A</v>
      </c>
      <c r="AE89" s="31" t="e">
        <f>(IF(OR(Hypothèses!$B$4=17,Hypothèses!$B$4=18,Hypothèses!$B$4=19,Hypothèses!$B$4=20),
IF($D89="Pressio.",
IF(OR($E89=3,$E89=1,$E89=4),(PI()*AE$12^2)/4*(AA89*$W89*1000)/($H89*$B$5),(PI()*AE$12^2)/4*(AA89*$W89*1000)/($G89*$B$5)),
IF($D89="Pénétro.",
IF(OR($E89=4,$E89=1,$E89=5),(PI()*AE$12^2)/4*(AA89*$W89*1000)/($H89*$B$5),(PI()*AE$12^2)/4*(AA89*$W89*1000)/($G89*$B$5)))),
IF($D89="Pressio.",
IF($E89=3,(PI()*AE$12^2)/4*(AA89*$W89*1000)/($H89*$B$5),(PI()*AE$12^2)/4*(AA89*$W89*1000)/($G89*$B$5)),
IF($D89="Pénétro.",
IF($E89=4,(PI()*AE$12^2)/4*(AA89*$W89*1000)/($H89*$B$5),(PI()*AE$12^2)/4*(AA89*$W89*1000)/($G89*$B$5))))))/10</f>
        <v>#N/A</v>
      </c>
      <c r="AF89" s="102" t="e">
        <f>(VLOOKUP($B$3,'Coeff EC7'!$T$39:$X$59,2,0)*AD89+VLOOKUP($B$3,'Coeff EC7'!$T$65:$X$85,2,0)*Model0.1C!AE89)/1.1</f>
        <v>#N/A</v>
      </c>
      <c r="AG89" s="102" t="e">
        <f>(VLOOKUP($B$3,'Coeff EC7'!$T$39:$X$59,3,0)*AD89+VLOOKUP($B$3,'Coeff EC7'!$T$65:$X$85,3,0)*Model0.1C!AE89)/0.9</f>
        <v>#N/A</v>
      </c>
      <c r="AH89" s="102" t="e">
        <f t="shared" si="139"/>
        <v>#N/A</v>
      </c>
      <c r="AI89" s="102" t="e">
        <f t="shared" si="140"/>
        <v>#N/A</v>
      </c>
      <c r="AJ89" s="414" t="e">
        <f>IF(AJ88=0,0,IF(AND(AF89&gt;charge_ELS_quasi,AG89&gt;Charge_ELS_freq,AH89&gt;charge_ELU,AI89&gt;charge_ELA,$B89&gt;NDC!$H$22-0.1+MIN(3*$AJ$12,1.5)),0,1))</f>
        <v>#N/A</v>
      </c>
      <c r="AK89" s="86" t="b">
        <f t="shared" si="141"/>
        <v>0</v>
      </c>
      <c r="AL89" s="86">
        <f t="shared" si="170"/>
        <v>0.5</v>
      </c>
      <c r="AM89" s="86">
        <f t="shared" si="142"/>
        <v>0.5</v>
      </c>
      <c r="AN89" s="30" t="e">
        <f t="shared" ca="1" si="171"/>
        <v>#DIV/0!</v>
      </c>
      <c r="AO89" s="85" t="e">
        <f ca="1">IF(U89&lt;=Hypothèses!$V$7,Hypothèses!$W$7,IF(U89&lt;=Hypothèses!$V$8,Hypothèses!$W$8,IF(U89&lt;=Hypothèses!$V$9,Hypothèses!$W$9,IF(U89&lt;=Hypothèses!$V$10,Hypothèses!$W$10,IF(U89&lt;=Hypothèses!$V$11,Hypothèses!$W$11,IF(U89&lt;=Hypothèses!$V$12,Hypothèses!$W$12,IF(U89&lt;=Hypothèses!$V$13,Hypothèses!$W$13,IF(U89&lt;=Hypothèses!$V$14,Hypothèses!$W$14,IF(U89&lt;=Hypothèses!$V$15,Hypothèses!$W$15,IF(U89&lt;=Hypothèses!$V$16,Hypothèses!$W$16,IF(U89&lt;=Hypothèses!$V$17,Hypothèses!$W$17,IF(U89&lt;=Hypothèses!$V$18,Hypothèses!$W$18,""))))))))))))</f>
        <v>#DIV/0!</v>
      </c>
      <c r="AP89" s="87" t="e">
        <f t="shared" ca="1" si="217"/>
        <v>#DIV/0!</v>
      </c>
      <c r="AQ89" s="88" t="e">
        <f ca="1">IF(U89&lt;=Hypothèses!$V$7,Hypothèses!$X$7,IF(U89&lt;=Hypothèses!$V$8,Hypothèses!$X$8,IF(U89&lt;=Hypothèses!$V$9,Hypothèses!$X$9,IF(U89&lt;=Hypothèses!$V$10,Hypothèses!$X$10,IF(U89&lt;=Hypothèses!$V$11,Hypothèses!$X$11,IF(U89&lt;=Hypothèses!$V$12,Hypothèses!$X$12,IF(U89&lt;=Hypothèses!$V$13,Hypothèses!$X$13,IF(U89&lt;=Hypothèses!$V$14,Hypothèses!$X$14,IF(U89&lt;=Hypothèses!$V$15,Hypothèses!$X$15,IF(U89&lt;=Hypothèses!$V$16,Hypothèses!$X$16,IF(U89&lt;=Hypothèses!$U$17,Hypothèses!$W$17,IF(U89&lt;=Hypothèses!$U$18,Hypothèses!$W$18,""))))))))))))</f>
        <v>#DIV/0!</v>
      </c>
      <c r="AR89" s="95" t="e">
        <f t="shared" ca="1" si="172"/>
        <v>#DIV/0!</v>
      </c>
      <c r="AS89" s="101" t="e">
        <f t="shared" si="224"/>
        <v>#N/A</v>
      </c>
      <c r="AT89" s="91" t="e">
        <f t="shared" si="143"/>
        <v>#N/A</v>
      </c>
      <c r="AU89" s="30" t="e">
        <f t="shared" si="202"/>
        <v>#N/A</v>
      </c>
      <c r="AV89" s="30" t="e">
        <f t="shared" si="203"/>
        <v>#N/A</v>
      </c>
      <c r="AW89" s="31" t="e">
        <f>IF(OR(Hypothèses!$B$4=17,Hypothèses!$B$4=18,Hypothèses!$B$4=19,Hypothèses!$B$4=20),
IF($D89="Pressio.",
IF(OR($E89=3,$E89=1,$E89=4),AV89,AU89),
IF($D89="Pénétro.",
IF(OR($E89=3,$E89=1,$E89=4),AV89,AU89))),IF($D89="Pressio.",
IF($E89=3,AV89,AU89),
IF($D89="Pénétro.",
IF($E89=4,AV89,AU89))))</f>
        <v>#N/A</v>
      </c>
      <c r="AX89" s="31" t="e">
        <f>(IF(OR(Hypothèses!$B$4=17,Hypothèses!$B$4=18,Hypothèses!$B$4=19,Hypothèses!$B$4=20),
IF($D89="Pressio.",
IF(OR($E89=3,$E89=1,$E89=4),(PI()*AX$12^2)/4*(AT89*$W89*1000)/($H89*$B$5),(PI()*AX$12^2)/4*(AT89*$W89*1000)/($G89*$B$5)),
IF($D89="Pénétro.",
IF(OR($E89=4,$E89=1,$E89=5),(PI()*AX$12^2)/4*(AT89*$W89*1000)/($H89*$B$5),(PI()*AX$12^2)/4*(AT89*$W89*1000)/($G89*$B$5)))),
IF($D89="Pressio.",
IF($E89=3,(PI()*AX$12^2)/4*(AT89*$W89*1000)/($H89*$B$5),(PI()*AX$12^2)/4*(AT89*$W89*1000)/($G89*$B$5)),
IF($D89="Pénétro.",
IF($E89=4,(PI()*AX$12^2)/4*(AT89*$W89*1000)/($H89*$B$5),(PI()*AX$12^2)/4*(AT89*$W89*1000)/($G89*$B$5))))))/10</f>
        <v>#N/A</v>
      </c>
      <c r="AY89" s="102" t="e">
        <f>(VLOOKUP($B$3,'Coeff EC7'!$T$39:$X$59,2,0)*AW89+VLOOKUP($B$3,'Coeff EC7'!$T$65:$X$85,2,0)*Model0.1C!AX89)/1.1</f>
        <v>#N/A</v>
      </c>
      <c r="AZ89" s="102" t="e">
        <f>(VLOOKUP($B$3,'Coeff EC7'!$T$39:$X$59,3,0)*AW89+VLOOKUP($B$3,'Coeff EC7'!$T$65:$X$85,3,0)*Model0.1C!AX89)/0.9</f>
        <v>#N/A</v>
      </c>
      <c r="BA89" s="102" t="e">
        <f t="shared" si="173"/>
        <v>#N/A</v>
      </c>
      <c r="BB89" s="102" t="e">
        <f t="shared" si="174"/>
        <v>#N/A</v>
      </c>
      <c r="BC89" s="414" t="e">
        <f>IF(BC88=0,0,IF(AND(AY89&gt;charge_ELS_quasi,AZ89&gt;Charge_ELS_freq,BA89&gt;charge_ELU,BB89&gt;charge_ELA,$B89&gt;NDC!$H$22-0.1+MIN(3*$BC$12,1.5)),0,1))</f>
        <v>#N/A</v>
      </c>
      <c r="BD89" s="86" t="b">
        <f t="shared" si="144"/>
        <v>0</v>
      </c>
      <c r="BE89" s="86">
        <f t="shared" si="175"/>
        <v>0.5</v>
      </c>
      <c r="BF89" s="86">
        <f t="shared" si="145"/>
        <v>0.5</v>
      </c>
      <c r="BG89" s="30" t="e">
        <f t="shared" ca="1" si="176"/>
        <v>#DIV/0!</v>
      </c>
      <c r="BH89" s="85" t="e">
        <f ca="1">IF(AN89&lt;=Hypothèses!$V$7,Hypothèses!$W$7,IF(AN89&lt;=Hypothèses!$V$8,Hypothèses!$W$8,IF(AN89&lt;=Hypothèses!$V$9,Hypothèses!$W$9,IF(AN89&lt;=Hypothèses!$V$10,Hypothèses!$W$10,IF(AN89&lt;=Hypothèses!$V$11,Hypothèses!$W$11,IF(AN89&lt;=Hypothèses!$V$12,Hypothèses!$W$12,IF(AN89&lt;=Hypothèses!$V$13,Hypothèses!$W$13,IF(AN89&lt;=Hypothèses!$V$14,Hypothèses!$W$14,IF(AN89&lt;=Hypothèses!$V$15,Hypothèses!$W$15,IF(AN89&lt;=Hypothèses!$V$16,Hypothèses!$W$16,IF(AN89&lt;=Hypothèses!$V$17,Hypothèses!$W$17,IF(AN89&lt;=Hypothèses!$V$18,Hypothèses!$W$18,""))))))))))))</f>
        <v>#DIV/0!</v>
      </c>
      <c r="BI89" s="87" t="e">
        <f t="shared" ca="1" si="218"/>
        <v>#DIV/0!</v>
      </c>
      <c r="BJ89" s="88" t="e">
        <f ca="1">IF(AN89&lt;=Hypothèses!$V$7,Hypothèses!$X$7,IF(AN89&lt;=Hypothèses!$V$8,Hypothèses!$X$8,IF(AN89&lt;=Hypothèses!$V$9,Hypothèses!$X$9,IF(AN89&lt;=Hypothèses!$V$10,Hypothèses!$X$10,IF(AN89&lt;=Hypothèses!$V$11,Hypothèses!$X$11,IF(AN89&lt;=Hypothèses!$V$12,Hypothèses!$X$12,IF(AN89&lt;=Hypothèses!$V$13,Hypothèses!$X$13,IF(AN89&lt;=Hypothèses!$V$14,Hypothèses!$X$14,IF(AN89&lt;=Hypothèses!$V$15,Hypothèses!$X$15,IF(AN89&lt;=Hypothèses!$V$16,Hypothèses!$X$16,IF(AN89&lt;=Hypothèses!$U$17,Hypothèses!$W$17,IF(AN89&lt;=Hypothèses!$U$18,Hypothèses!$W$18,""))))))))))))</f>
        <v>#DIV/0!</v>
      </c>
      <c r="BK89" s="95" t="e">
        <f t="shared" ca="1" si="177"/>
        <v>#DIV/0!</v>
      </c>
      <c r="BL89" s="101" t="e">
        <f t="shared" si="225"/>
        <v>#N/A</v>
      </c>
      <c r="BM89" s="91" t="e">
        <f t="shared" si="146"/>
        <v>#N/A</v>
      </c>
      <c r="BN89" s="30" t="e">
        <f t="shared" si="204"/>
        <v>#N/A</v>
      </c>
      <c r="BO89" s="30" t="e">
        <f t="shared" si="205"/>
        <v>#N/A</v>
      </c>
      <c r="BP89" s="31" t="e">
        <f>IF(OR(Hypothèses!$B$4=17,Hypothèses!$B$4=18,Hypothèses!$B$4=19,Hypothèses!$B$4=20),
IF($D89="Pressio.",
IF(OR($E89=3,$E89=1,$E89=4),BO89,BN89),
IF($D89="Pénétro.",
IF(OR($E89=3,$E89=1,$E89=4),BO89,BN89))),IF($D89="Pressio.",
IF($E89=3,BO89,BN89),
IF($D89="Pénétro.",
IF($E89=4,BO89,BN89))))</f>
        <v>#N/A</v>
      </c>
      <c r="BQ89" s="31" t="e">
        <f>(IF(OR(Hypothèses!$B$4=17,Hypothèses!$B$4=18,Hypothèses!$B$4=19,Hypothèses!$B$4=20),
IF($D89="Pressio.",
IF(OR($E89=3,$E89=1,$E89=4),(PI()*BQ$12^2)/4*(BM89*$W89*1000)/($H89*$B$5),(PI()*BQ$12^2)/4*(BM89*$W89*1000)/($G89*$B$5)),
IF($D89="Pénétro.",
IF(OR($E89=4,$E89=1,$E89=5),(PI()*BQ$12^2)/4*(BM89*$W89*1000)/($H89*$B$5),(PI()*BQ$12^2)/4*(BM89*$W89*1000)/($G89*$B$5)))),
IF($D89="Pressio.",
IF($E89=3,(PI()*BQ$12^2)/4*(BM89*$W89*1000)/($H89*$B$5),(PI()*BQ$12^2)/4*(BM89*$W89*1000)/($G89*$B$5)),
IF($D89="Pénétro.",
IF($E89=4,(PI()*BQ$12^2)/4*(BM89*$W89*1000)/($H89*$B$5),(PI()*BQ$12^2)/4*(BM89*$W89*1000)/($G89*$B$5))))))/10</f>
        <v>#N/A</v>
      </c>
      <c r="BR89" s="102" t="e">
        <f>(VLOOKUP($B$3,'Coeff EC7'!$T$39:$X$59,2,0)*BP89+VLOOKUP($B$3,'Coeff EC7'!$T$65:$X$85,2,0)*Model0.1C!BQ89)/1.1</f>
        <v>#N/A</v>
      </c>
      <c r="BS89" s="102" t="e">
        <f>(VLOOKUP($B$3,'Coeff EC7'!$T$39:$X$59,3,0)*BP89+VLOOKUP($B$3,'Coeff EC7'!$T$65:$X$85,3,0)*Model0.1C!BQ89)/0.9</f>
        <v>#N/A</v>
      </c>
      <c r="BT89" s="102" t="e">
        <f t="shared" si="178"/>
        <v>#N/A</v>
      </c>
      <c r="BU89" s="102" t="e">
        <f t="shared" si="179"/>
        <v>#N/A</v>
      </c>
      <c r="BV89" s="414" t="e">
        <f>IF(BV88=0,0,IF(AND(BR89&gt;charge_ELS_quasi,BS89&gt;Charge_ELS_freq,BT89&gt;charge_ELU,BU89&gt;charge_ELA,$B89&gt;NDC!$H$22-0.1+MIN(3*$BV$12,1.5)),0,1))</f>
        <v>#N/A</v>
      </c>
      <c r="BW89" s="86" t="b">
        <f t="shared" si="147"/>
        <v>0</v>
      </c>
      <c r="BX89" s="86">
        <f t="shared" si="148"/>
        <v>0.5</v>
      </c>
      <c r="BY89" s="86">
        <f t="shared" si="149"/>
        <v>0.5</v>
      </c>
      <c r="BZ89" s="30" t="e">
        <f t="shared" ca="1" si="180"/>
        <v>#DIV/0!</v>
      </c>
      <c r="CA89" s="85" t="e">
        <f ca="1">IF(BG89&lt;=Hypothèses!$V$7,Hypothèses!$W$7,IF(BG89&lt;=Hypothèses!$V$8,Hypothèses!$W$8,IF(BG89&lt;=Hypothèses!$V$9,Hypothèses!$W$9,IF(BG89&lt;=Hypothèses!$V$10,Hypothèses!$W$10,IF(BG89&lt;=Hypothèses!$V$11,Hypothèses!$W$11,IF(BG89&lt;=Hypothèses!$V$12,Hypothèses!$W$12,IF(BG89&lt;=Hypothèses!$V$13,Hypothèses!$W$13,IF(BG89&lt;=Hypothèses!$V$14,Hypothèses!$W$14,IF(BG89&lt;=Hypothèses!$V$15,Hypothèses!$W$15,IF(BG89&lt;=Hypothèses!$V$16,Hypothèses!$W$16,IF(BG89&lt;=Hypothèses!$V$17,Hypothèses!$W$17,IF(BG89&lt;=Hypothèses!$V$18,Hypothèses!$W$18,""))))))))))))</f>
        <v>#DIV/0!</v>
      </c>
      <c r="CB89" s="87" t="e">
        <f t="shared" ca="1" si="219"/>
        <v>#DIV/0!</v>
      </c>
      <c r="CC89" s="88" t="e">
        <f ca="1">IF(BG89&lt;=Hypothèses!$V$7,Hypothèses!$X$7,IF(BG89&lt;=Hypothèses!$V$8,Hypothèses!$X$8,IF(BG89&lt;=Hypothèses!$V$9,Hypothèses!$X$9,IF(BG89&lt;=Hypothèses!$V$10,Hypothèses!$X$10,IF(BG89&lt;=Hypothèses!$V$11,Hypothèses!$X$11,IF(BG89&lt;=Hypothèses!$V$12,Hypothèses!$X$12,IF(BG89&lt;=Hypothèses!$V$13,Hypothèses!$X$13,IF(BG89&lt;=Hypothèses!$V$14,Hypothèses!$X$14,IF(BG89&lt;=Hypothèses!$V$15,Hypothèses!$X$15,IF(BG89&lt;=Hypothèses!$V$16,Hypothèses!$X$16,IF(BG89&lt;=Hypothèses!$U$17,Hypothèses!$W$17,IF(BG89&lt;=Hypothèses!$U$18,Hypothèses!$W$18,""))))))))))))</f>
        <v>#DIV/0!</v>
      </c>
      <c r="CD89" s="95" t="e">
        <f t="shared" ca="1" si="181"/>
        <v>#DIV/0!</v>
      </c>
      <c r="CE89" s="101" t="e">
        <f t="shared" si="226"/>
        <v>#N/A</v>
      </c>
      <c r="CF89" s="91" t="e">
        <f t="shared" si="150"/>
        <v>#N/A</v>
      </c>
      <c r="CG89" s="30" t="e">
        <f t="shared" si="206"/>
        <v>#N/A</v>
      </c>
      <c r="CH89" s="30" t="e">
        <f t="shared" si="207"/>
        <v>#N/A</v>
      </c>
      <c r="CI89" s="31" t="e">
        <f>IF(OR(Hypothèses!$B$4=17,Hypothèses!$B$4=18,Hypothèses!$B$4=19,Hypothèses!$B$4=20),
IF($D89="Pressio.",
IF(OR($E89=3,$E89=1,$E89=4),CH89,CG89),
IF($D89="Pénétro.",
IF(OR($E89=3,$E89=1,$E89=4),CH89,CG89))),IF($D89="Pressio.",
IF($E89=3,CH89,CG89),
IF($D89="Pénétro.",
IF($E89=4,CH89,CG89))))</f>
        <v>#N/A</v>
      </c>
      <c r="CJ89" s="31" t="e">
        <f>(IF(OR(Hypothèses!$B$4=17,Hypothèses!$B$4=18,Hypothèses!$B$4=19,Hypothèses!$B$4=20),
IF($D89="Pressio.",
IF(OR($E89=3,$E89=1,$E89=4),(PI()*CJ$12^2)/4*(CF89*$W89*1000)/($H89*$B$5),(PI()*CJ$12^2)/4*(CF89*$W89*1000)/($G89*$B$5)),
IF($D89="Pénétro.",
IF(OR($E89=4,$E89=1,$E89=5),(PI()*CJ$12^2)/4*(CF89*$W89*1000)/($H89*$B$5),(PI()*CJ$12^2)/4*(CF89*$W89*1000)/($G89*$B$5)))),
IF($D89="Pressio.",
IF($E89=3,(PI()*CJ$12^2)/4*(CF89*$W89*1000)/($H89*$B$5),(PI()*CJ$12^2)/4*(CF89*$W89*1000)/($G89*$B$5)),
IF($D89="Pénétro.",
IF($E89=4,(PI()*CJ$12^2)/4*(CF89*$W89*1000)/($H89*$B$5),(PI()*CJ$12^2)/4*(CF89*$W89*1000)/($G89*$B$5))))))/10</f>
        <v>#N/A</v>
      </c>
      <c r="CK89" s="102" t="e">
        <f>(VLOOKUP($B$3,'Coeff EC7'!$T$39:$X$59,2,0)*CI89+VLOOKUP($B$3,'Coeff EC7'!$T$65:$X$85,2,0)*Model0.1C!CJ89)/1.1</f>
        <v>#N/A</v>
      </c>
      <c r="CL89" s="102" t="e">
        <f>(VLOOKUP($B$3,'Coeff EC7'!$T$39:$X$59,3,0)*CI89+VLOOKUP($B$3,'Coeff EC7'!$T$65:$X$85,3,0)*Model0.1C!CJ89)/0.9</f>
        <v>#N/A</v>
      </c>
      <c r="CM89" s="102" t="e">
        <f t="shared" si="182"/>
        <v>#N/A</v>
      </c>
      <c r="CN89" s="102" t="e">
        <f t="shared" si="183"/>
        <v>#N/A</v>
      </c>
      <c r="CO89" s="414" t="e">
        <f>IF(CO88=0,0,IF(AND(CK89&gt;charge_ELS_quasi,CL89&gt;Charge_ELS_freq,CM89&gt;charge_ELU,CN89&gt;charge_ELA,$B89&gt;NDC!$H$22-0.1+MIN(3*$CO$12,1.5)),0,1))</f>
        <v>#N/A</v>
      </c>
      <c r="CP89" s="86" t="b">
        <f t="shared" si="151"/>
        <v>0</v>
      </c>
      <c r="CQ89" s="86">
        <f t="shared" si="152"/>
        <v>0.5</v>
      </c>
      <c r="CR89" s="86">
        <f t="shared" si="153"/>
        <v>0.5</v>
      </c>
      <c r="CS89" s="30" t="e">
        <f t="shared" ca="1" si="184"/>
        <v>#DIV/0!</v>
      </c>
      <c r="CT89" s="85" t="e">
        <f ca="1">IF(BZ89&lt;=Hypothèses!$V$7,Hypothèses!$W$7,IF(BZ89&lt;=Hypothèses!$V$8,Hypothèses!$W$8,IF(BZ89&lt;=Hypothèses!$V$9,Hypothèses!$W$9,IF(BZ89&lt;=Hypothèses!$V$10,Hypothèses!$W$10,IF(BZ89&lt;=Hypothèses!$V$11,Hypothèses!$W$11,IF(BZ89&lt;=Hypothèses!$V$12,Hypothèses!$W$12,IF(BZ89&lt;=Hypothèses!$V$13,Hypothèses!$W$13,IF(BZ89&lt;=Hypothèses!$V$14,Hypothèses!$W$14,IF(BZ89&lt;=Hypothèses!$V$15,Hypothèses!$W$15,IF(BZ89&lt;=Hypothèses!$V$16,Hypothèses!$W$16,IF(BZ89&lt;=Hypothèses!$V$17,Hypothèses!$W$17,IF(BZ89&lt;=Hypothèses!$V$18,Hypothèses!$W$18,""))))))))))))</f>
        <v>#DIV/0!</v>
      </c>
      <c r="CU89" s="87" t="e">
        <f t="shared" ca="1" si="220"/>
        <v>#DIV/0!</v>
      </c>
      <c r="CV89" s="88" t="e">
        <f ca="1">IF(BZ89&lt;=Hypothèses!$V$7,Hypothèses!$X$7,IF(BZ89&lt;=Hypothèses!$V$8,Hypothèses!$X$8,IF(BZ89&lt;=Hypothèses!$V$9,Hypothèses!$X$9,IF(BZ89&lt;=Hypothèses!$V$10,Hypothèses!$X$10,IF(BZ89&lt;=Hypothèses!$V$11,Hypothèses!$X$11,IF(BZ89&lt;=Hypothèses!$V$12,Hypothèses!$X$12,IF(BZ89&lt;=Hypothèses!$V$13,Hypothèses!$X$13,IF(BZ89&lt;=Hypothèses!$V$14,Hypothèses!$X$14,IF(BZ89&lt;=Hypothèses!$V$15,Hypothèses!$X$15,IF(BZ89&lt;=Hypothèses!$V$16,Hypothèses!$X$16,IF(BZ89&lt;=Hypothèses!$U$17,Hypothèses!$W$17,IF(BZ89&lt;=Hypothèses!$U$18,Hypothèses!$W$18,""))))))))))))</f>
        <v>#DIV/0!</v>
      </c>
      <c r="CW89" s="95" t="e">
        <f t="shared" ca="1" si="185"/>
        <v>#DIV/0!</v>
      </c>
      <c r="CX89" s="101" t="e">
        <f t="shared" si="227"/>
        <v>#N/A</v>
      </c>
      <c r="CY89" s="91" t="e">
        <f t="shared" si="154"/>
        <v>#N/A</v>
      </c>
      <c r="CZ89" s="30" t="e">
        <f t="shared" si="208"/>
        <v>#N/A</v>
      </c>
      <c r="DA89" s="30" t="e">
        <f t="shared" si="209"/>
        <v>#N/A</v>
      </c>
      <c r="DB89" s="31" t="e">
        <f>IF(OR(Hypothèses!$B$4=17,Hypothèses!$B$4=18,Hypothèses!$B$4=19,Hypothèses!$B$4=20),
IF($D89="Pressio.",
IF(OR($E89=3,$E89=1,$E89=4),DA89,CZ89),
IF($D89="Pénétro.",
IF(OR($E89=3,$E89=1,$E89=4),DA89,CZ89))),IF($D89="Pressio.",
IF($E89=3,DA89,CZ89),
IF($D89="Pénétro.",
IF($E89=4,DA89,CZ89))))</f>
        <v>#N/A</v>
      </c>
      <c r="DC89" s="31" t="e">
        <f>(IF(OR(Hypothèses!$B$4=17,Hypothèses!$B$4=18,Hypothèses!$B$4=19,Hypothèses!$B$4=20),
IF($D89="Pressio.",
IF(OR($E89=3,$E89=1,$E89=4),(PI()*DC$12^2)/4*(CY89*$W89*1000)/($H89*$B$5),(PI()*DC$12^2)/4*(CY89*$W89*1000)/($G89*$B$5)),
IF($D89="Pénétro.",
IF(OR($E89=4,$E89=1,$E89=5),(PI()*DC$12^2)/4*(CY89*$W89*1000)/($H89*$B$5),(PI()*DC$12^2)/4*(CY89*$W89*1000)/($G89*$B$5)))),
IF($D89="Pressio.",
IF($E89=3,(PI()*DC$12^2)/4*(CY89*$W89*1000)/($H89*$B$5),(PI()*DC$12^2)/4*(CY89*$W89*1000)/($G89*$B$5)),
IF($D89="Pénétro.",
IF($E89=4,(PI()*DC$12^2)/4*(CY89*$W89*1000)/($H89*$B$5),(PI()*DC$12^2)/4*(CY89*$W89*1000)/($G89*$B$5))))))/10</f>
        <v>#N/A</v>
      </c>
      <c r="DD89" s="102" t="e">
        <f>(VLOOKUP($B$3,'Coeff EC7'!$T$39:$X$59,2,0)*DB89+VLOOKUP($B$3,'Coeff EC7'!$T$65:$X$85,2,0)*Model0.1C!DC89)/1.1</f>
        <v>#N/A</v>
      </c>
      <c r="DE89" s="102" t="e">
        <f>(VLOOKUP($B$3,'Coeff EC7'!$T$39:$X$59,3,0)*DB89+VLOOKUP($B$3,'Coeff EC7'!$T$65:$X$85,3,0)*Model0.1C!DC89)/0.9</f>
        <v>#N/A</v>
      </c>
      <c r="DF89" s="102" t="e">
        <f t="shared" si="186"/>
        <v>#N/A</v>
      </c>
      <c r="DG89" s="102" t="e">
        <f t="shared" si="187"/>
        <v>#N/A</v>
      </c>
      <c r="DH89" s="414" t="e">
        <f>IF(DH88=0,0,IF(AND(DD89&gt;charge_ELS_quasi,DE89&gt;Charge_ELS_freq,DF89&gt;charge_ELU,DG89&gt;charge_ELA,$B89&gt;NDC!$H$22-0.1+MIN(3*$DH$12,1.5)),0,1))</f>
        <v>#N/A</v>
      </c>
      <c r="DI89" s="86" t="b">
        <f t="shared" si="155"/>
        <v>0</v>
      </c>
      <c r="DJ89" s="86">
        <f t="shared" si="156"/>
        <v>0.5</v>
      </c>
      <c r="DK89" s="86">
        <f t="shared" si="157"/>
        <v>0.5</v>
      </c>
      <c r="DL89" s="30" t="e">
        <f t="shared" ca="1" si="188"/>
        <v>#DIV/0!</v>
      </c>
      <c r="DM89" s="85" t="e">
        <f ca="1">IF(CS89&lt;=Hypothèses!$V$7,Hypothèses!$W$7,IF(CS89&lt;=Hypothèses!$V$8,Hypothèses!$W$8,IF(CS89&lt;=Hypothèses!$V$9,Hypothèses!$W$9,IF(CS89&lt;=Hypothèses!$V$10,Hypothèses!$W$10,IF(CS89&lt;=Hypothèses!$V$11,Hypothèses!$W$11,IF(CS89&lt;=Hypothèses!$V$12,Hypothèses!$W$12,IF(CS89&lt;=Hypothèses!$V$13,Hypothèses!$W$13,IF(CS89&lt;=Hypothèses!$V$14,Hypothèses!$W$14,IF(CS89&lt;=Hypothèses!$V$15,Hypothèses!$W$15,IF(CS89&lt;=Hypothèses!$V$16,Hypothèses!$W$16,IF(CS89&lt;=Hypothèses!$V$17,Hypothèses!$W$17,IF(CS89&lt;=Hypothèses!$V$18,Hypothèses!$W$18,""))))))))))))</f>
        <v>#DIV/0!</v>
      </c>
      <c r="DN89" s="87" t="e">
        <f t="shared" ca="1" si="221"/>
        <v>#DIV/0!</v>
      </c>
      <c r="DO89" s="88" t="e">
        <f ca="1">IF(CS89&lt;=Hypothèses!$V$7,Hypothèses!$X$7,IF(CS89&lt;=Hypothèses!$V$8,Hypothèses!$X$8,IF(CS89&lt;=Hypothèses!$V$9,Hypothèses!$X$9,IF(CS89&lt;=Hypothèses!$V$10,Hypothèses!$X$10,IF(CS89&lt;=Hypothèses!$V$11,Hypothèses!$X$11,IF(CS89&lt;=Hypothèses!$V$12,Hypothèses!$X$12,IF(CS89&lt;=Hypothèses!$V$13,Hypothèses!$X$13,IF(CS89&lt;=Hypothèses!$V$14,Hypothèses!$X$14,IF(CS89&lt;=Hypothèses!$V$15,Hypothèses!$X$15,IF(CS89&lt;=Hypothèses!$V$16,Hypothèses!$X$16,IF(CS89&lt;=Hypothèses!$U$17,Hypothèses!$W$17,IF(CS89&lt;=Hypothèses!$U$18,Hypothèses!$W$18,""))))))))))))</f>
        <v>#DIV/0!</v>
      </c>
      <c r="DP89" s="95" t="e">
        <f t="shared" ca="1" si="189"/>
        <v>#DIV/0!</v>
      </c>
      <c r="DQ89" s="101" t="e">
        <f t="shared" si="228"/>
        <v>#N/A</v>
      </c>
      <c r="DR89" s="91" t="e">
        <f t="shared" si="158"/>
        <v>#N/A</v>
      </c>
      <c r="DS89" s="30" t="e">
        <f t="shared" si="210"/>
        <v>#N/A</v>
      </c>
      <c r="DT89" s="30" t="e">
        <f t="shared" si="211"/>
        <v>#N/A</v>
      </c>
      <c r="DU89" s="31" t="e">
        <f>IF(OR(Hypothèses!$B$4=17,Hypothèses!$B$4=18,Hypothèses!$B$4=19,Hypothèses!$B$4=20),
IF($D89="Pressio.",
IF(OR($E89=3,$E89=1,$E89=4),DT89,DS89),
IF($D89="Pénétro.",
IF(OR($E89=3,$E89=1,$E89=4),DT89,DS89))),IF($D89="Pressio.",
IF($E89=3,DT89,DS89),
IF($D89="Pénétro.",
IF($E89=4,DT89,DS89))))</f>
        <v>#N/A</v>
      </c>
      <c r="DV89" s="31" t="e">
        <f>(IF(OR(Hypothèses!$B$4=17,Hypothèses!$B$4=18,Hypothèses!$B$4=19,Hypothèses!$B$4=20),
IF($D89="Pressio.",
IF(OR($E89=3,$E89=1,$E89=4),(PI()*DV$12^2)/4*(DR89*$W89*1000)/($H89*$B$5),(PI()*DV$12^2)/4*(DR89*$W89*1000)/($G89*$B$5)),
IF($D89="Pénétro.",
IF(OR($E89=4,$E89=1,$E89=5),(PI()*DV$12^2)/4*(DR89*$W89*1000)/($H89*$B$5),(PI()*DV$12^2)/4*(DR89*$W89*1000)/($G89*$B$5)))),
IF($D89="Pressio.",
IF($E89=3,(PI()*DV$12^2)/4*(DR89*$W89*1000)/($H89*$B$5),(PI()*DV$12^2)/4*(DR89*$W89*1000)/($G89*$B$5)),
IF($D89="Pénétro.",
IF($E89=4,(PI()*DV$12^2)/4*(DR89*$W89*1000)/($H89*$B$5),(PI()*DV$12^2)/4*(DR89*$W89*1000)/($G89*$B$5))))))/10</f>
        <v>#N/A</v>
      </c>
      <c r="DW89" s="102" t="e">
        <f>(VLOOKUP($B$3,'Coeff EC7'!$T$39:$X$59,2,0)*DU89+VLOOKUP($B$3,'Coeff EC7'!$T$65:$X$85,2,0)*Model0.1C!DV89)/1.1</f>
        <v>#N/A</v>
      </c>
      <c r="DX89" s="102" t="e">
        <f>(VLOOKUP($B$3,'Coeff EC7'!$T$39:$X$59,3,0)*DU89+VLOOKUP($B$3,'Coeff EC7'!$T$65:$X$85,3,0)*Model0.1C!DV89)/0.9</f>
        <v>#N/A</v>
      </c>
      <c r="DY89" s="102" t="e">
        <f t="shared" si="190"/>
        <v>#N/A</v>
      </c>
      <c r="DZ89" s="102" t="e">
        <f t="shared" si="191"/>
        <v>#N/A</v>
      </c>
      <c r="EA89" s="414" t="e">
        <f>IF(EA88=0,0,IF(AND(DW89&gt;charge_ELS_quasi,DX89&gt;Charge_ELS_freq,DY89&gt;charge_ELU,DZ89&gt;charge_ELA,$B89&gt;NDC!$H$22-0.1+MIN(3*$EA$12,1.5)),0,1))</f>
        <v>#N/A</v>
      </c>
      <c r="EB89" s="86" t="b">
        <f t="shared" si="159"/>
        <v>0</v>
      </c>
      <c r="EC89" s="418">
        <f t="shared" si="160"/>
        <v>0.51</v>
      </c>
      <c r="ED89" s="86">
        <f t="shared" si="161"/>
        <v>0.51</v>
      </c>
      <c r="EE89" s="30" t="e">
        <f t="shared" ca="1" si="192"/>
        <v>#DIV/0!</v>
      </c>
      <c r="EF89" s="85" t="e">
        <f ca="1">IF(DL89&lt;=Hypothèses!$V$7,Hypothèses!$W$7,IF(DL89&lt;=Hypothèses!$V$8,Hypothèses!$W$8,IF(DL89&lt;=Hypothèses!$V$9,Hypothèses!$W$9,IF(DL89&lt;=Hypothèses!$V$10,Hypothèses!$W$10,IF(DL89&lt;=Hypothèses!$V$11,Hypothèses!$W$11,IF(DL89&lt;=Hypothèses!$V$12,Hypothèses!$W$12,IF(DL89&lt;=Hypothèses!$V$13,Hypothèses!$W$13,IF(DL89&lt;=Hypothèses!$V$14,Hypothèses!$W$14,IF(DL89&lt;=Hypothèses!$V$15,Hypothèses!$W$15,IF(DL89&lt;=Hypothèses!$V$16,Hypothèses!$W$16,IF(DL89&lt;=Hypothèses!$V$17,Hypothèses!$W$17,IF(DL89&lt;=Hypothèses!$V$18,Hypothèses!$W$18,""))))))))))))</f>
        <v>#DIV/0!</v>
      </c>
      <c r="EG89" s="87" t="e">
        <f t="shared" ca="1" si="222"/>
        <v>#DIV/0!</v>
      </c>
      <c r="EH89" s="88" t="e">
        <f ca="1">IF(DL89&lt;=Hypothèses!$V$7,Hypothèses!$X$7,IF(DL89&lt;=Hypothèses!$V$8,Hypothèses!$X$8,IF(DL89&lt;=Hypothèses!$V$9,Hypothèses!$X$9,IF(DL89&lt;=Hypothèses!$V$10,Hypothèses!$X$10,IF(DL89&lt;=Hypothèses!$V$11,Hypothèses!$X$11,IF(DL89&lt;=Hypothèses!$V$12,Hypothèses!$X$12,IF(DL89&lt;=Hypothèses!$V$13,Hypothèses!$X$13,IF(DL89&lt;=Hypothèses!$V$14,Hypothèses!$X$14,IF(DL89&lt;=Hypothèses!$V$15,Hypothèses!$X$15,IF(DL89&lt;=Hypothèses!$V$16,Hypothèses!$X$16,IF(DL89&lt;=Hypothèses!$U$17,Hypothèses!$W$17,IF(DL89&lt;=Hypothèses!$U$18,Hypothèses!$W$18,""))))))))))))</f>
        <v>#DIV/0!</v>
      </c>
      <c r="EI89" s="95" t="e">
        <f t="shared" ca="1" si="193"/>
        <v>#DIV/0!</v>
      </c>
      <c r="EJ89" s="101" t="e">
        <f t="shared" si="229"/>
        <v>#N/A</v>
      </c>
      <c r="EK89" s="91" t="e">
        <f t="shared" si="162"/>
        <v>#N/A</v>
      </c>
      <c r="EL89" s="30" t="e">
        <f t="shared" si="212"/>
        <v>#N/A</v>
      </c>
      <c r="EM89" s="30" t="e">
        <f t="shared" si="213"/>
        <v>#N/A</v>
      </c>
      <c r="EN89" s="31" t="e">
        <f>IF(OR(Hypothèses!$B$4=17,Hypothèses!$B$4=18,Hypothèses!$B$4=19,Hypothèses!$B$4=20),
IF($D89="Pressio.",
IF(OR($E89=3,$E89=1,$E89=4),EM89,EL89),
IF($D89="Pénétro.",
IF(OR($E89=3,$E89=1,$E89=4),EM89,EL89))),IF($D89="Pressio.",
IF($E89=3,EM89,EL89),
IF($D89="Pénétro.",
IF($E89=4,EM89,EL89))))</f>
        <v>#N/A</v>
      </c>
      <c r="EO89" s="31" t="e">
        <f>(IF(OR(Hypothèses!$B$4=17,Hypothèses!$B$4=18,Hypothèses!$B$4=19,Hypothèses!$B$4=20),
IF($D89="Pressio.",
IF(OR($E89=3,$E89=1,$E89=4),(PI()*EO$12^2)/4*(EK89*$W89*1000)/($H89*$B$5),(PI()*EO$12^2)/4*(EK89*$W89*1000)/($G89*$B$5)),
IF($D89="Pénétro.",
IF(OR($E89=4,$E89=1,$E89=5),(PI()*EO$12^2)/4*(EK89*$W89*1000)/($H89*$B$5),(PI()*EO$12^2)/4*(EK89*$W89*1000)/($G89*$B$5)))),
IF($D89="Pressio.",
IF($E89=3,(PI()*EO$12^2)/4*(EK89*$W89*1000)/($H89*$B$5),(PI()*EO$12^2)/4*(EK89*$W89*1000)/($G89*$B$5)),
IF($D89="Pénétro.",
IF($E89=4,(PI()*EO$12^2)/4*(EK89*$W89*1000)/($H89*$B$5),(PI()*EO$12^2)/4*(EK89*$W89*1000)/($G89*$B$5))))))/10</f>
        <v>#N/A</v>
      </c>
      <c r="EP89" s="102" t="e">
        <f>(VLOOKUP($B$3,'Coeff EC7'!$T$39:$X$59,2,0)*EN89+VLOOKUP($B$3,'Coeff EC7'!$T$65:$X$85,2,0)*Model0.1C!EO89)/1.1</f>
        <v>#N/A</v>
      </c>
      <c r="EQ89" s="102" t="e">
        <f>(VLOOKUP($B$3,'Coeff EC7'!$T$39:$X$59,3,0)*EN89+VLOOKUP($B$3,'Coeff EC7'!$T$65:$X$85,3,0)*Model0.1C!EO89)/0.9</f>
        <v>#N/A</v>
      </c>
      <c r="ER89" s="102" t="e">
        <f t="shared" si="194"/>
        <v>#N/A</v>
      </c>
      <c r="ES89" s="102" t="e">
        <f t="shared" si="195"/>
        <v>#N/A</v>
      </c>
      <c r="ET89" s="414" t="e">
        <f>IF(ET88=0,0,IF(AND(EP89&gt;charge_ELS_quasi,EQ89&gt;Charge_ELS_freq,ER89&gt;charge_ELU,ES89&gt;charge_ELA,$B89&gt;NDC!$H$22-0.1+MIN(3*$ET$12,1.5)),0,1))</f>
        <v>#N/A</v>
      </c>
      <c r="EU89" s="86" t="b">
        <f t="shared" si="163"/>
        <v>0</v>
      </c>
      <c r="EV89" s="86">
        <f t="shared" si="164"/>
        <v>0.61</v>
      </c>
      <c r="EW89" s="86">
        <f t="shared" si="165"/>
        <v>0.61</v>
      </c>
      <c r="EX89" s="30" t="e">
        <f t="shared" ca="1" si="196"/>
        <v>#DIV/0!</v>
      </c>
      <c r="EY89" s="85" t="e">
        <f ca="1">IF(EE89&lt;=Hypothèses!$V$7,Hypothèses!$W$7,IF(EE89&lt;=Hypothèses!$V$8,Hypothèses!$W$8,IF(EE89&lt;=Hypothèses!$V$9,Hypothèses!$W$9,IF(EE89&lt;=Hypothèses!$V$10,Hypothèses!$W$10,IF(EE89&lt;=Hypothèses!$V$11,Hypothèses!$W$11,IF(EE89&lt;=Hypothèses!$V$12,Hypothèses!$W$12,IF(EE89&lt;=Hypothèses!$V$13,Hypothèses!$W$13,IF(EE89&lt;=Hypothèses!$V$14,Hypothèses!$W$14,IF(EE89&lt;=Hypothèses!$V$15,Hypothèses!$W$15,IF(EE89&lt;=Hypothèses!$V$16,Hypothèses!$W$16,IF(EE89&lt;=Hypothèses!$V$17,Hypothèses!$W$17,IF(EE89&lt;=Hypothèses!$V$18,Hypothèses!$W$18,""))))))))))))</f>
        <v>#DIV/0!</v>
      </c>
      <c r="EZ89" s="87" t="e">
        <f t="shared" ca="1" si="223"/>
        <v>#DIV/0!</v>
      </c>
      <c r="FA89" s="88" t="e">
        <f ca="1">IF(EE89&lt;=Hypothèses!$V$7,Hypothèses!$X$7,IF(EE89&lt;=Hypothèses!$V$8,Hypothèses!$X$8,IF(EE89&lt;=Hypothèses!$V$9,Hypothèses!$X$9,IF(EE89&lt;=Hypothèses!$V$10,Hypothèses!$X$10,IF(EE89&lt;=Hypothèses!$V$11,Hypothèses!$X$11,IF(EE89&lt;=Hypothèses!$V$12,Hypothèses!$X$12,IF(EE89&lt;=Hypothèses!$V$13,Hypothèses!$X$13,IF(EE89&lt;=Hypothèses!$V$14,Hypothèses!$X$14,IF(EE89&lt;=Hypothèses!$V$15,Hypothèses!$X$15,IF(EE89&lt;=Hypothèses!$V$16,Hypothèses!$X$16,IF(EE89&lt;=Hypothèses!$U$17,Hypothèses!$W$17,IF(EE89&lt;=Hypothèses!$U$18,Hypothèses!$W$18,""))))))))))))</f>
        <v>#DIV/0!</v>
      </c>
      <c r="FB89" s="95" t="e">
        <f t="shared" ca="1" si="197"/>
        <v>#DIV/0!</v>
      </c>
      <c r="FC89" s="101" t="e">
        <f t="shared" si="230"/>
        <v>#N/A</v>
      </c>
      <c r="FD89" s="91" t="e">
        <f t="shared" si="166"/>
        <v>#N/A</v>
      </c>
      <c r="FE89" s="30" t="e">
        <f t="shared" si="214"/>
        <v>#N/A</v>
      </c>
      <c r="FF89" s="30" t="e">
        <f t="shared" si="215"/>
        <v>#N/A</v>
      </c>
      <c r="FG89" s="31" t="e">
        <f>IF(OR(Hypothèses!$B$4=17,Hypothèses!$B$4=18,Hypothèses!$B$4=19,Hypothèses!$B$4=20),
IF($D89="Pressio.",
IF(OR($E89=3,$E89=1,$E89=4),FF89,FE89),
IF($D89="Pénétro.",
IF(OR($E89=3,$E89=1,$E89=4),FF89,FE89))),IF($D89="Pressio.",
IF($E89=3,FF89,FE89),
IF($D89="Pénétro.",
IF($E89=4,FF89,FE89))))</f>
        <v>#N/A</v>
      </c>
      <c r="FH89" s="31" t="e">
        <f>(IF(OR(Hypothèses!$B$4=17,Hypothèses!$B$4=18,Hypothèses!$B$4=19,Hypothèses!$B$4=20),
IF($D89="Pressio.",
IF(OR($E89=3,$E89=1,$E89=4),(PI()*FH$12^2)/4*(FD89*$W89*1000)/($H89*$B$5),(PI()*FH$12^2)/4*(FD89*$W89*1000)/($G89*$B$5)),
IF($D89="Pénétro.",
IF(OR($E89=4,$E89=1,$E89=5),(PI()*FH$12^2)/4*(FD89*$W89*1000)/($H89*$B$5),(PI()*FH$12^2)/4*(FD89*$W89*1000)/($G89*$B$5)))),
IF($D89="Pressio.",
IF($E89=3,(PI()*FH$12^2)/4*(FD89*$W89*1000)/($H89*$B$5),(PI()*FH$12^2)/4*(FD89*$W89*1000)/($G89*$B$5)),
IF($D89="Pénétro.",
IF($E89=4,(PI()*FH$12^2)/4*(FD89*$W89*1000)/($H89*$B$5),(PI()*FH$12^2)/4*(FD89*$W89*1000)/($G89*$B$5))))))/10</f>
        <v>#N/A</v>
      </c>
      <c r="FI89" s="102" t="e">
        <f>(VLOOKUP($B$3,'Coeff EC7'!$T$39:$X$59,2,0)*FG89+VLOOKUP($B$3,'Coeff EC7'!$T$65:$X$85,2,0)*Model0.1C!FH89)/1.1</f>
        <v>#N/A</v>
      </c>
      <c r="FJ89" s="102" t="e">
        <f>(VLOOKUP($B$3,'Coeff EC7'!$T$39:$X$59,3,0)*FG89+VLOOKUP($B$3,'Coeff EC7'!$T$65:$X$85,3,0)*Model0.1C!FH89)/0.9</f>
        <v>#N/A</v>
      </c>
      <c r="FK89" s="102" t="e">
        <f t="shared" si="198"/>
        <v>#N/A</v>
      </c>
      <c r="FL89" s="102" t="e">
        <f t="shared" si="199"/>
        <v>#N/A</v>
      </c>
      <c r="FM89" s="414" t="e">
        <f>IF(FM88=0,0,IF(AND(FI89&gt;charge_ELS_quasi,FJ89&gt;Charge_ELS_freq,FK89&gt;charge_ELU,FL89&gt;charge_ELA,$B89&gt;NDC!$H$22-0.1+MIN(3*$FM$12,1.5)),0,1))</f>
        <v>#N/A</v>
      </c>
    </row>
    <row r="90" spans="1:169">
      <c r="A90" s="96">
        <f t="shared" si="167"/>
        <v>92.300000000000438</v>
      </c>
      <c r="B90" s="97">
        <v>7.7</v>
      </c>
      <c r="C90" s="81">
        <f>IF(B90&lt;=Hypothèses!$C$7,Hypothèses!$A$7,IF(B90&lt;=Hypothèses!$C$8,Hypothèses!$A$8,IF(B90&lt;=Hypothèses!$C$9,Hypothèses!$A$9,IF(B90&lt;=Hypothèses!$C$10,Hypothèses!$A$10,IF(B90&lt;=Hypothèses!$C$11,Hypothèses!$A$11,IF(B90&lt;=Hypothèses!$C$12,Hypothèses!$A$12,IF(B90&lt;=Hypothèses!$C$13,Hypothèses!$A$13,IF(B90&lt;=Hypothèses!$C$14,Hypothèses!$A$14,IF(B90&lt;=Hypothèses!$C$15,Hypothèses!$A$15,IF(B90&lt;=Hypothèses!$C$16,Hypothèses!$A$16,IF(B90&lt;=Hypothèses!$C$17,Hypothèses!$A$17,IF(B90&lt;=Hypothèses!$C$18,Hypothèses!$A$18,C89))))))))))))</f>
        <v>11</v>
      </c>
      <c r="D90" s="82" t="str">
        <f>IF(B90&lt;=Hypothèses!$C$7,Hypothèses!$R$7,IF(B90&lt;=Hypothèses!$C$8,Hypothèses!$R$8,IF(B90&lt;=Hypothèses!$C$9,Hypothèses!$R$9,IF(B90&lt;=Hypothèses!$C$10,Hypothèses!$R$10,IF(B90&lt;=Hypothèses!$C$11,Hypothèses!$R$11,IF(B90&lt;=Hypothèses!$C$12,Hypothèses!$R$12,IF(B90&lt;=Hypothèses!$C$13,Hypothèses!$R$13,IF(B90&lt;=Hypothèses!$C$14,Hypothèses!$R$14,IF(B90&lt;=Hypothèses!$C$15,Hypothèses!$R$15,IF(B90&lt;=Hypothèses!$C$16,Hypothèses!$R$16,IF(B90&lt;=Hypothèses!$C$17,Hypothèses!$R$17,IF(B90&lt;=Hypothèses!$C$18,Hypothèses!$R$18,D89))))))))))))</f>
        <v>Pressio.</v>
      </c>
      <c r="E90" s="82" t="e">
        <f>IF(B90&lt;=Hypothèses!$C$7,Hypothèses!$G$7,IF(B90&lt;=Hypothèses!$C$8,Hypothèses!$G$8,IF(B90&lt;=Hypothèses!$C$9,Hypothèses!$G$9,IF(B90&lt;=Hypothèses!$C$10,Hypothèses!$G$10,IF(B90&lt;=Hypothèses!$C$11,Hypothèses!$G$11,IF(B90&lt;=Hypothèses!$C$12,Hypothèses!$G$12,IF(B90&lt;=Hypothèses!$C$13,Hypothèses!$G$13,IF(B90&lt;=Hypothèses!$C$14,Hypothèses!$G$14,IF(B90&lt;=Hypothèses!$C$15,Hypothèses!$G$15,IF(B90&lt;=Hypothèses!$C$16,Hypothèses!$G$16,IF(B90&lt;=Hypothèses!$C$17,Hypothèses!$G$17,IF(B90&lt;=Hypothèses!$C$18,Hypothèses!$G$18,E89))))))))))))</f>
        <v>#N/A</v>
      </c>
      <c r="F90" s="82" t="str">
        <f>IF(B90&lt;=Hypothèses!$C$7,Hypothèses!$F$7,IF(B90&lt;=Hypothèses!$C$8,Hypothèses!$F$8,IF(B90&lt;=Hypothèses!$C$9,Hypothèses!$F$9,IF(B90&lt;=Hypothèses!$C$10,Hypothèses!$F$10,IF(B90&lt;=Hypothèses!$C$11,Hypothèses!$F$11,IF(B90&lt;=Hypothèses!$C$12,Hypothèses!$F$12,IF(B90&lt;=Hypothèses!$C$13,Hypothèses!$F$13,IF(B90&lt;=Hypothèses!$C$14,Hypothèses!$F$14,IF(B90&lt;=Hypothèses!$C$15,Hypothèses!$F$15,IF(B90&lt;=Hypothèses!$C$16,Hypothèses!$F$16,IF(B90&lt;=Hypothèses!$C$17,Hypothèses!$F$17,IF(B90&lt;=Hypothèses!$C$18,Hypothèses!$F$18,F89))))))))))))</f>
        <v/>
      </c>
      <c r="G90" s="91">
        <f t="array" ref="G90">INDEX('Coeff EC7'!$U$7:$X$27,
MATCH(Model0.1C!$B$3,'Coeff EC7'!$T$7:$T$27,0),
MATCH(Model0.1C!$D90&amp;Model0.1C!$B$4,
'Coeff EC7'!$U$6:$X$6&amp;
'Coeff EC7'!$U$5:$X$5,0))</f>
        <v>1.1499999999999999</v>
      </c>
      <c r="H90" s="91">
        <f t="array" ref="H90">INDEX('Coeff EC7'!$Y$7:$AB$27,
MATCH(Model0.1C!$B$3,'Coeff EC7'!$T$7:$T$27,0),
MATCH(Model0.1C!$D90&amp;Model0.1C!$B$4,
'Coeff EC7'!$Y$6:$AB$6&amp;
'Coeff EC7'!$Y$5:$AB$5,0))</f>
        <v>1.4</v>
      </c>
      <c r="I90" s="83" t="e">
        <f>IF(B90&lt;=Hypothèses!$C$7,Hypothèses!$P$7,IF(B90&lt;=Hypothèses!$C$8,Hypothèses!$P$8,IF(B90&lt;=Hypothèses!$C$9,Hypothèses!$P$9,IF(B90&lt;=Hypothèses!$C$10,Hypothèses!$P$10,IF(B90&lt;=Hypothèses!$C$11,Hypothèses!$P$11,IF(B90&lt;=Hypothèses!$C$12,Hypothèses!$P$12,IF(B90&lt;=Hypothèses!$C$13,Hypothèses!$P$13,IF(B90&lt;=Hypothèses!$C$14,Hypothèses!$P$14,IF(B90&lt;=Hypothèses!$C$15,Hypothèses!$P$15,IF(B90&lt;=Hypothèses!$C$16,Hypothèses!$P$16,IF(B90&lt;=Hypothèses!$C$17,Hypothèses!$P$17,IF(B90&lt;=Hypothèses!$C$18,Hypothèses!$P$18,I89))))))))))))</f>
        <v>#N/A</v>
      </c>
      <c r="J90" s="91" t="e">
        <f t="array" ref="J90">INDEX('Coeff EC7'!$D$33:$Q$33,1,MATCH(D90&amp;E90,'Coeff EC7'!$D$31:$Q$31&amp;'Coeff EC7'!$D$32:$Q$32,0))</f>
        <v>#N/A</v>
      </c>
      <c r="K90" s="91" t="e">
        <f t="array" ref="K90">INDEX('Coeff EC7'!$D$34:$Q$34,1,MATCH(D90&amp;E90,'Coeff EC7'!$D$31:$Q$31&amp;'Coeff EC7'!$D$32:$Q$32,0))</f>
        <v>#N/A</v>
      </c>
      <c r="L90" s="91" t="e">
        <f t="array" ref="L90">INDEX('Coeff EC7'!$D$35:$Q$35,1,MATCH(D90&amp;E90,'Coeff EC7'!$D$31:$Q$31&amp;'Coeff EC7'!$D$32:$Q$32,0))</f>
        <v>#N/A</v>
      </c>
      <c r="M90" s="98" t="e">
        <f t="shared" si="131"/>
        <v>#N/A</v>
      </c>
      <c r="N90" s="99" t="e">
        <f t="array" ref="N90">INDEX('Coeff EC7'!$D$7:$Q$27,MATCH($B$3,'Coeff EC7'!$C$7:$C$27,0),MATCH(D90&amp;E90,'Coeff EC7'!$D$5:$Q$5&amp;'Coeff EC7'!$D$6:$Q$6,0))</f>
        <v>#N/A</v>
      </c>
      <c r="O90" s="99" t="e">
        <f t="array" ref="O90">INDEX('Coeff EC7'!$D$41:$Q$61,MATCH($B$3,'Coeff EC7'!$C$41:$C$61,0),MATCH(D90&amp;E90,'Coeff EC7'!$D$39:$Q$39&amp;'Coeff EC7'!$D$40:$Q$40,0))</f>
        <v>#N/A</v>
      </c>
      <c r="P90" s="30" t="e">
        <f t="shared" si="168"/>
        <v>#N/A</v>
      </c>
      <c r="Q90" s="100" t="e">
        <f t="shared" si="133"/>
        <v>#N/A</v>
      </c>
      <c r="R90" s="86" t="b">
        <f t="shared" si="134"/>
        <v>0</v>
      </c>
      <c r="S90" s="86">
        <f t="shared" si="132"/>
        <v>0.5</v>
      </c>
      <c r="T90" s="86">
        <f t="shared" si="135"/>
        <v>0.5</v>
      </c>
      <c r="U90" s="30" t="e">
        <f t="shared" ca="1" si="169"/>
        <v>#DIV/0!</v>
      </c>
      <c r="V90" s="85" t="str">
        <f>IF(B90&lt;=Hypothèses!$V$7,Hypothèses!$W$7,IF(B90&lt;=Hypothèses!$V$8,Hypothèses!$W$8,IF(B90&lt;=Hypothèses!$V$9,Hypothèses!$W$9,IF(B90&lt;=Hypothèses!$V$10,Hypothèses!$W$10,IF(B90&lt;=Hypothèses!$V$11,Hypothèses!$W$11,IF(B90&lt;=Hypothèses!$V$12,Hypothèses!$W$12,IF(B90&lt;=Hypothèses!$V$13,Hypothèses!$W$13,IF(B90&lt;=Hypothèses!$V$14,Hypothèses!$W$14,IF(B90&lt;=Hypothèses!$V$15,Hypothèses!$W$15,IF(B90&lt;=Hypothèses!$V$16,Hypothèses!$W$16,IF(B90&lt;=Hypothèses!$V$17,Hypothèses!$W$17,IF(B90&lt;=Hypothèses!$V$18,Hypothèses!$W$18,""))))))))))))</f>
        <v/>
      </c>
      <c r="W90" s="87" t="e">
        <f t="shared" ca="1" si="216"/>
        <v>#DIV/0!</v>
      </c>
      <c r="X90" s="88" t="str">
        <f>IF(B90&lt;=Hypothèses!$V$7,Hypothèses!$X$7,IF(B90&lt;=Hypothèses!$V$8,Hypothèses!$X$8,IF(B90&lt;=Hypothèses!$V$9,Hypothèses!$X$9,IF(B90&lt;=Hypothèses!$V$10,Hypothèses!$X$10,IF(B90&lt;=Hypothèses!$V$11,Hypothèses!$X$11,IF(B90&lt;=Hypothèses!$V$12,Hypothèses!$X$12,IF(B90&lt;=Hypothèses!$V$13,Hypothèses!$X$13,IF(B90&lt;=Hypothèses!$V$14,Hypothèses!$X$14,IF(B90&lt;=Hypothèses!$V$15,Hypothèses!$X$15,IF(B90&lt;=Hypothèses!$V$16,Hypothèses!$X$16,IF(B90&lt;=Hypothèses!$U$17,Hypothèses!$W$17,IF(B90&lt;=Hypothèses!$U$18,Hypothèses!$W$18,""))))))))))))</f>
        <v/>
      </c>
      <c r="Y90" s="95" t="e">
        <f t="shared" ca="1" si="136"/>
        <v>#DIV/0!</v>
      </c>
      <c r="Z90" s="101" t="e">
        <f t="shared" si="137"/>
        <v>#N/A</v>
      </c>
      <c r="AA90" s="91" t="e">
        <f t="shared" si="138"/>
        <v>#N/A</v>
      </c>
      <c r="AB90" s="30" t="e">
        <f t="shared" si="200"/>
        <v>#N/A</v>
      </c>
      <c r="AC90" s="30" t="e">
        <f t="shared" si="201"/>
        <v>#N/A</v>
      </c>
      <c r="AD90" s="31" t="e">
        <f>IF(OR(Hypothèses!$B$4=17,Hypothèses!$B$4=18,Hypothèses!$B$4=19,Hypothèses!$B$4=20),
IF($D90="Pressio.",
IF(OR($E90=3,$E90=1,$E90=4),AC90,AB90),
IF($D90="Pénétro.",
IF(OR($E90=3,$E90=1,$E90=4),AC90,AB90))),IF($D90="Pressio.",
IF($E90=3,AC90,AB90),
IF($D90="Pénétro.",
IF($E90=4,AC90,AB90))))</f>
        <v>#N/A</v>
      </c>
      <c r="AE90" s="31" t="e">
        <f>(IF(OR(Hypothèses!$B$4=17,Hypothèses!$B$4=18,Hypothèses!$B$4=19,Hypothèses!$B$4=20),
IF($D90="Pressio.",
IF(OR($E90=3,$E90=1,$E90=4),(PI()*AE$12^2)/4*(AA90*$W90*1000)/($H90*$B$5),(PI()*AE$12^2)/4*(AA90*$W90*1000)/($G90*$B$5)),
IF($D90="Pénétro.",
IF(OR($E90=4,$E90=1,$E90=5),(PI()*AE$12^2)/4*(AA90*$W90*1000)/($H90*$B$5),(PI()*AE$12^2)/4*(AA90*$W90*1000)/($G90*$B$5)))),
IF($D90="Pressio.",
IF($E90=3,(PI()*AE$12^2)/4*(AA90*$W90*1000)/($H90*$B$5),(PI()*AE$12^2)/4*(AA90*$W90*1000)/($G90*$B$5)),
IF($D90="Pénétro.",
IF($E90=4,(PI()*AE$12^2)/4*(AA90*$W90*1000)/($H90*$B$5),(PI()*AE$12^2)/4*(AA90*$W90*1000)/($G90*$B$5))))))/10</f>
        <v>#N/A</v>
      </c>
      <c r="AF90" s="102" t="e">
        <f>(VLOOKUP($B$3,'Coeff EC7'!$T$39:$X$59,2,0)*AD90+VLOOKUP($B$3,'Coeff EC7'!$T$65:$X$85,2,0)*Model0.1C!AE90)/1.1</f>
        <v>#N/A</v>
      </c>
      <c r="AG90" s="102" t="e">
        <f>(VLOOKUP($B$3,'Coeff EC7'!$T$39:$X$59,3,0)*AD90+VLOOKUP($B$3,'Coeff EC7'!$T$65:$X$85,3,0)*Model0.1C!AE90)/0.9</f>
        <v>#N/A</v>
      </c>
      <c r="AH90" s="102" t="e">
        <f t="shared" si="139"/>
        <v>#N/A</v>
      </c>
      <c r="AI90" s="102" t="e">
        <f t="shared" si="140"/>
        <v>#N/A</v>
      </c>
      <c r="AJ90" s="414" t="e">
        <f>IF(AJ89=0,0,IF(AND(AF90&gt;charge_ELS_quasi,AG90&gt;Charge_ELS_freq,AH90&gt;charge_ELU,AI90&gt;charge_ELA,$B90&gt;NDC!$H$22-0.1+MIN(3*$AJ$12,1.5)),0,1))</f>
        <v>#N/A</v>
      </c>
      <c r="AK90" s="86" t="b">
        <f t="shared" si="141"/>
        <v>0</v>
      </c>
      <c r="AL90" s="86">
        <f t="shared" si="170"/>
        <v>0.5</v>
      </c>
      <c r="AM90" s="86">
        <f t="shared" si="142"/>
        <v>0.5</v>
      </c>
      <c r="AN90" s="30" t="e">
        <f t="shared" ca="1" si="171"/>
        <v>#DIV/0!</v>
      </c>
      <c r="AO90" s="85" t="e">
        <f ca="1">IF(U90&lt;=Hypothèses!$V$7,Hypothèses!$W$7,IF(U90&lt;=Hypothèses!$V$8,Hypothèses!$W$8,IF(U90&lt;=Hypothèses!$V$9,Hypothèses!$W$9,IF(U90&lt;=Hypothèses!$V$10,Hypothèses!$W$10,IF(U90&lt;=Hypothèses!$V$11,Hypothèses!$W$11,IF(U90&lt;=Hypothèses!$V$12,Hypothèses!$W$12,IF(U90&lt;=Hypothèses!$V$13,Hypothèses!$W$13,IF(U90&lt;=Hypothèses!$V$14,Hypothèses!$W$14,IF(U90&lt;=Hypothèses!$V$15,Hypothèses!$W$15,IF(U90&lt;=Hypothèses!$V$16,Hypothèses!$W$16,IF(U90&lt;=Hypothèses!$V$17,Hypothèses!$W$17,IF(U90&lt;=Hypothèses!$V$18,Hypothèses!$W$18,""))))))))))))</f>
        <v>#DIV/0!</v>
      </c>
      <c r="AP90" s="87" t="e">
        <f t="shared" ca="1" si="217"/>
        <v>#DIV/0!</v>
      </c>
      <c r="AQ90" s="88" t="e">
        <f ca="1">IF(U90&lt;=Hypothèses!$V$7,Hypothèses!$X$7,IF(U90&lt;=Hypothèses!$V$8,Hypothèses!$X$8,IF(U90&lt;=Hypothèses!$V$9,Hypothèses!$X$9,IF(U90&lt;=Hypothèses!$V$10,Hypothèses!$X$10,IF(U90&lt;=Hypothèses!$V$11,Hypothèses!$X$11,IF(U90&lt;=Hypothèses!$V$12,Hypothèses!$X$12,IF(U90&lt;=Hypothèses!$V$13,Hypothèses!$X$13,IF(U90&lt;=Hypothèses!$V$14,Hypothèses!$X$14,IF(U90&lt;=Hypothèses!$V$15,Hypothèses!$X$15,IF(U90&lt;=Hypothèses!$V$16,Hypothèses!$X$16,IF(U90&lt;=Hypothèses!$U$17,Hypothèses!$W$17,IF(U90&lt;=Hypothèses!$U$18,Hypothèses!$W$18,""))))))))))))</f>
        <v>#DIV/0!</v>
      </c>
      <c r="AR90" s="95" t="e">
        <f t="shared" ca="1" si="172"/>
        <v>#DIV/0!</v>
      </c>
      <c r="AS90" s="101" t="e">
        <f t="shared" si="224"/>
        <v>#N/A</v>
      </c>
      <c r="AT90" s="91" t="e">
        <f t="shared" si="143"/>
        <v>#N/A</v>
      </c>
      <c r="AU90" s="30" t="e">
        <f t="shared" si="202"/>
        <v>#N/A</v>
      </c>
      <c r="AV90" s="30" t="e">
        <f t="shared" si="203"/>
        <v>#N/A</v>
      </c>
      <c r="AW90" s="31" t="e">
        <f>IF(OR(Hypothèses!$B$4=17,Hypothèses!$B$4=18,Hypothèses!$B$4=19,Hypothèses!$B$4=20),
IF($D90="Pressio.",
IF(OR($E90=3,$E90=1,$E90=4),AV90,AU90),
IF($D90="Pénétro.",
IF(OR($E90=3,$E90=1,$E90=4),AV90,AU90))),IF($D90="Pressio.",
IF($E90=3,AV90,AU90),
IF($D90="Pénétro.",
IF($E90=4,AV90,AU90))))</f>
        <v>#N/A</v>
      </c>
      <c r="AX90" s="31" t="e">
        <f>(IF(OR(Hypothèses!$B$4=17,Hypothèses!$B$4=18,Hypothèses!$B$4=19,Hypothèses!$B$4=20),
IF($D90="Pressio.",
IF(OR($E90=3,$E90=1,$E90=4),(PI()*AX$12^2)/4*(AT90*$W90*1000)/($H90*$B$5),(PI()*AX$12^2)/4*(AT90*$W90*1000)/($G90*$B$5)),
IF($D90="Pénétro.",
IF(OR($E90=4,$E90=1,$E90=5),(PI()*AX$12^2)/4*(AT90*$W90*1000)/($H90*$B$5),(PI()*AX$12^2)/4*(AT90*$W90*1000)/($G90*$B$5)))),
IF($D90="Pressio.",
IF($E90=3,(PI()*AX$12^2)/4*(AT90*$W90*1000)/($H90*$B$5),(PI()*AX$12^2)/4*(AT90*$W90*1000)/($G90*$B$5)),
IF($D90="Pénétro.",
IF($E90=4,(PI()*AX$12^2)/4*(AT90*$W90*1000)/($H90*$B$5),(PI()*AX$12^2)/4*(AT90*$W90*1000)/($G90*$B$5))))))/10</f>
        <v>#N/A</v>
      </c>
      <c r="AY90" s="102" t="e">
        <f>(VLOOKUP($B$3,'Coeff EC7'!$T$39:$X$59,2,0)*AW90+VLOOKUP($B$3,'Coeff EC7'!$T$65:$X$85,2,0)*Model0.1C!AX90)/1.1</f>
        <v>#N/A</v>
      </c>
      <c r="AZ90" s="102" t="e">
        <f>(VLOOKUP($B$3,'Coeff EC7'!$T$39:$X$59,3,0)*AW90+VLOOKUP($B$3,'Coeff EC7'!$T$65:$X$85,3,0)*Model0.1C!AX90)/0.9</f>
        <v>#N/A</v>
      </c>
      <c r="BA90" s="102" t="e">
        <f t="shared" si="173"/>
        <v>#N/A</v>
      </c>
      <c r="BB90" s="102" t="e">
        <f t="shared" si="174"/>
        <v>#N/A</v>
      </c>
      <c r="BC90" s="414" t="e">
        <f>IF(BC89=0,0,IF(AND(AY90&gt;charge_ELS_quasi,AZ90&gt;Charge_ELS_freq,BA90&gt;charge_ELU,BB90&gt;charge_ELA,$B90&gt;NDC!$H$22-0.1+MIN(3*$BC$12,1.5)),0,1))</f>
        <v>#N/A</v>
      </c>
      <c r="BD90" s="86" t="b">
        <f t="shared" si="144"/>
        <v>0</v>
      </c>
      <c r="BE90" s="86">
        <f t="shared" si="175"/>
        <v>0.5</v>
      </c>
      <c r="BF90" s="86">
        <f t="shared" si="145"/>
        <v>0.5</v>
      </c>
      <c r="BG90" s="30" t="e">
        <f t="shared" ca="1" si="176"/>
        <v>#DIV/0!</v>
      </c>
      <c r="BH90" s="85" t="e">
        <f ca="1">IF(AN90&lt;=Hypothèses!$V$7,Hypothèses!$W$7,IF(AN90&lt;=Hypothèses!$V$8,Hypothèses!$W$8,IF(AN90&lt;=Hypothèses!$V$9,Hypothèses!$W$9,IF(AN90&lt;=Hypothèses!$V$10,Hypothèses!$W$10,IF(AN90&lt;=Hypothèses!$V$11,Hypothèses!$W$11,IF(AN90&lt;=Hypothèses!$V$12,Hypothèses!$W$12,IF(AN90&lt;=Hypothèses!$V$13,Hypothèses!$W$13,IF(AN90&lt;=Hypothèses!$V$14,Hypothèses!$W$14,IF(AN90&lt;=Hypothèses!$V$15,Hypothèses!$W$15,IF(AN90&lt;=Hypothèses!$V$16,Hypothèses!$W$16,IF(AN90&lt;=Hypothèses!$V$17,Hypothèses!$W$17,IF(AN90&lt;=Hypothèses!$V$18,Hypothèses!$W$18,""))))))))))))</f>
        <v>#DIV/0!</v>
      </c>
      <c r="BI90" s="87" t="e">
        <f t="shared" ca="1" si="218"/>
        <v>#DIV/0!</v>
      </c>
      <c r="BJ90" s="88" t="e">
        <f ca="1">IF(AN90&lt;=Hypothèses!$V$7,Hypothèses!$X$7,IF(AN90&lt;=Hypothèses!$V$8,Hypothèses!$X$8,IF(AN90&lt;=Hypothèses!$V$9,Hypothèses!$X$9,IF(AN90&lt;=Hypothèses!$V$10,Hypothèses!$X$10,IF(AN90&lt;=Hypothèses!$V$11,Hypothèses!$X$11,IF(AN90&lt;=Hypothèses!$V$12,Hypothèses!$X$12,IF(AN90&lt;=Hypothèses!$V$13,Hypothèses!$X$13,IF(AN90&lt;=Hypothèses!$V$14,Hypothèses!$X$14,IF(AN90&lt;=Hypothèses!$V$15,Hypothèses!$X$15,IF(AN90&lt;=Hypothèses!$V$16,Hypothèses!$X$16,IF(AN90&lt;=Hypothèses!$U$17,Hypothèses!$W$17,IF(AN90&lt;=Hypothèses!$U$18,Hypothèses!$W$18,""))))))))))))</f>
        <v>#DIV/0!</v>
      </c>
      <c r="BK90" s="95" t="e">
        <f t="shared" ca="1" si="177"/>
        <v>#DIV/0!</v>
      </c>
      <c r="BL90" s="101" t="e">
        <f t="shared" si="225"/>
        <v>#N/A</v>
      </c>
      <c r="BM90" s="91" t="e">
        <f t="shared" si="146"/>
        <v>#N/A</v>
      </c>
      <c r="BN90" s="30" t="e">
        <f t="shared" si="204"/>
        <v>#N/A</v>
      </c>
      <c r="BO90" s="30" t="e">
        <f t="shared" si="205"/>
        <v>#N/A</v>
      </c>
      <c r="BP90" s="31" t="e">
        <f>IF(OR(Hypothèses!$B$4=17,Hypothèses!$B$4=18,Hypothèses!$B$4=19,Hypothèses!$B$4=20),
IF($D90="Pressio.",
IF(OR($E90=3,$E90=1,$E90=4),BO90,BN90),
IF($D90="Pénétro.",
IF(OR($E90=3,$E90=1,$E90=4),BO90,BN90))),IF($D90="Pressio.",
IF($E90=3,BO90,BN90),
IF($D90="Pénétro.",
IF($E90=4,BO90,BN90))))</f>
        <v>#N/A</v>
      </c>
      <c r="BQ90" s="31" t="e">
        <f>(IF(OR(Hypothèses!$B$4=17,Hypothèses!$B$4=18,Hypothèses!$B$4=19,Hypothèses!$B$4=20),
IF($D90="Pressio.",
IF(OR($E90=3,$E90=1,$E90=4),(PI()*BQ$12^2)/4*(BM90*$W90*1000)/($H90*$B$5),(PI()*BQ$12^2)/4*(BM90*$W90*1000)/($G90*$B$5)),
IF($D90="Pénétro.",
IF(OR($E90=4,$E90=1,$E90=5),(PI()*BQ$12^2)/4*(BM90*$W90*1000)/($H90*$B$5),(PI()*BQ$12^2)/4*(BM90*$W90*1000)/($G90*$B$5)))),
IF($D90="Pressio.",
IF($E90=3,(PI()*BQ$12^2)/4*(BM90*$W90*1000)/($H90*$B$5),(PI()*BQ$12^2)/4*(BM90*$W90*1000)/($G90*$B$5)),
IF($D90="Pénétro.",
IF($E90=4,(PI()*BQ$12^2)/4*(BM90*$W90*1000)/($H90*$B$5),(PI()*BQ$12^2)/4*(BM90*$W90*1000)/($G90*$B$5))))))/10</f>
        <v>#N/A</v>
      </c>
      <c r="BR90" s="102" t="e">
        <f>(VLOOKUP($B$3,'Coeff EC7'!$T$39:$X$59,2,0)*BP90+VLOOKUP($B$3,'Coeff EC7'!$T$65:$X$85,2,0)*Model0.1C!BQ90)/1.1</f>
        <v>#N/A</v>
      </c>
      <c r="BS90" s="102" t="e">
        <f>(VLOOKUP($B$3,'Coeff EC7'!$T$39:$X$59,3,0)*BP90+VLOOKUP($B$3,'Coeff EC7'!$T$65:$X$85,3,0)*Model0.1C!BQ90)/0.9</f>
        <v>#N/A</v>
      </c>
      <c r="BT90" s="102" t="e">
        <f t="shared" si="178"/>
        <v>#N/A</v>
      </c>
      <c r="BU90" s="102" t="e">
        <f t="shared" si="179"/>
        <v>#N/A</v>
      </c>
      <c r="BV90" s="414" t="e">
        <f>IF(BV89=0,0,IF(AND(BR90&gt;charge_ELS_quasi,BS90&gt;Charge_ELS_freq,BT90&gt;charge_ELU,BU90&gt;charge_ELA,$B90&gt;NDC!$H$22-0.1+MIN(3*$BV$12,1.5)),0,1))</f>
        <v>#N/A</v>
      </c>
      <c r="BW90" s="86" t="b">
        <f t="shared" si="147"/>
        <v>0</v>
      </c>
      <c r="BX90" s="86">
        <f t="shared" si="148"/>
        <v>0.5</v>
      </c>
      <c r="BY90" s="86">
        <f t="shared" si="149"/>
        <v>0.5</v>
      </c>
      <c r="BZ90" s="30" t="e">
        <f t="shared" ca="1" si="180"/>
        <v>#DIV/0!</v>
      </c>
      <c r="CA90" s="85" t="e">
        <f ca="1">IF(BG90&lt;=Hypothèses!$V$7,Hypothèses!$W$7,IF(BG90&lt;=Hypothèses!$V$8,Hypothèses!$W$8,IF(BG90&lt;=Hypothèses!$V$9,Hypothèses!$W$9,IF(BG90&lt;=Hypothèses!$V$10,Hypothèses!$W$10,IF(BG90&lt;=Hypothèses!$V$11,Hypothèses!$W$11,IF(BG90&lt;=Hypothèses!$V$12,Hypothèses!$W$12,IF(BG90&lt;=Hypothèses!$V$13,Hypothèses!$W$13,IF(BG90&lt;=Hypothèses!$V$14,Hypothèses!$W$14,IF(BG90&lt;=Hypothèses!$V$15,Hypothèses!$W$15,IF(BG90&lt;=Hypothèses!$V$16,Hypothèses!$W$16,IF(BG90&lt;=Hypothèses!$V$17,Hypothèses!$W$17,IF(BG90&lt;=Hypothèses!$V$18,Hypothèses!$W$18,""))))))))))))</f>
        <v>#DIV/0!</v>
      </c>
      <c r="CB90" s="87" t="e">
        <f t="shared" ca="1" si="219"/>
        <v>#DIV/0!</v>
      </c>
      <c r="CC90" s="88" t="e">
        <f ca="1">IF(BG90&lt;=Hypothèses!$V$7,Hypothèses!$X$7,IF(BG90&lt;=Hypothèses!$V$8,Hypothèses!$X$8,IF(BG90&lt;=Hypothèses!$V$9,Hypothèses!$X$9,IF(BG90&lt;=Hypothèses!$V$10,Hypothèses!$X$10,IF(BG90&lt;=Hypothèses!$V$11,Hypothèses!$X$11,IF(BG90&lt;=Hypothèses!$V$12,Hypothèses!$X$12,IF(BG90&lt;=Hypothèses!$V$13,Hypothèses!$X$13,IF(BG90&lt;=Hypothèses!$V$14,Hypothèses!$X$14,IF(BG90&lt;=Hypothèses!$V$15,Hypothèses!$X$15,IF(BG90&lt;=Hypothèses!$V$16,Hypothèses!$X$16,IF(BG90&lt;=Hypothèses!$U$17,Hypothèses!$W$17,IF(BG90&lt;=Hypothèses!$U$18,Hypothèses!$W$18,""))))))))))))</f>
        <v>#DIV/0!</v>
      </c>
      <c r="CD90" s="95" t="e">
        <f t="shared" ca="1" si="181"/>
        <v>#DIV/0!</v>
      </c>
      <c r="CE90" s="101" t="e">
        <f t="shared" si="226"/>
        <v>#N/A</v>
      </c>
      <c r="CF90" s="91" t="e">
        <f t="shared" si="150"/>
        <v>#N/A</v>
      </c>
      <c r="CG90" s="30" t="e">
        <f t="shared" si="206"/>
        <v>#N/A</v>
      </c>
      <c r="CH90" s="30" t="e">
        <f t="shared" si="207"/>
        <v>#N/A</v>
      </c>
      <c r="CI90" s="31" t="e">
        <f>IF(OR(Hypothèses!$B$4=17,Hypothèses!$B$4=18,Hypothèses!$B$4=19,Hypothèses!$B$4=20),
IF($D90="Pressio.",
IF(OR($E90=3,$E90=1,$E90=4),CH90,CG90),
IF($D90="Pénétro.",
IF(OR($E90=3,$E90=1,$E90=4),CH90,CG90))),IF($D90="Pressio.",
IF($E90=3,CH90,CG90),
IF($D90="Pénétro.",
IF($E90=4,CH90,CG90))))</f>
        <v>#N/A</v>
      </c>
      <c r="CJ90" s="31" t="e">
        <f>(IF(OR(Hypothèses!$B$4=17,Hypothèses!$B$4=18,Hypothèses!$B$4=19,Hypothèses!$B$4=20),
IF($D90="Pressio.",
IF(OR($E90=3,$E90=1,$E90=4),(PI()*CJ$12^2)/4*(CF90*$W90*1000)/($H90*$B$5),(PI()*CJ$12^2)/4*(CF90*$W90*1000)/($G90*$B$5)),
IF($D90="Pénétro.",
IF(OR($E90=4,$E90=1,$E90=5),(PI()*CJ$12^2)/4*(CF90*$W90*1000)/($H90*$B$5),(PI()*CJ$12^2)/4*(CF90*$W90*1000)/($G90*$B$5)))),
IF($D90="Pressio.",
IF($E90=3,(PI()*CJ$12^2)/4*(CF90*$W90*1000)/($H90*$B$5),(PI()*CJ$12^2)/4*(CF90*$W90*1000)/($G90*$B$5)),
IF($D90="Pénétro.",
IF($E90=4,(PI()*CJ$12^2)/4*(CF90*$W90*1000)/($H90*$B$5),(PI()*CJ$12^2)/4*(CF90*$W90*1000)/($G90*$B$5))))))/10</f>
        <v>#N/A</v>
      </c>
      <c r="CK90" s="102" t="e">
        <f>(VLOOKUP($B$3,'Coeff EC7'!$T$39:$X$59,2,0)*CI90+VLOOKUP($B$3,'Coeff EC7'!$T$65:$X$85,2,0)*Model0.1C!CJ90)/1.1</f>
        <v>#N/A</v>
      </c>
      <c r="CL90" s="102" t="e">
        <f>(VLOOKUP($B$3,'Coeff EC7'!$T$39:$X$59,3,0)*CI90+VLOOKUP($B$3,'Coeff EC7'!$T$65:$X$85,3,0)*Model0.1C!CJ90)/0.9</f>
        <v>#N/A</v>
      </c>
      <c r="CM90" s="102" t="e">
        <f t="shared" si="182"/>
        <v>#N/A</v>
      </c>
      <c r="CN90" s="102" t="e">
        <f t="shared" si="183"/>
        <v>#N/A</v>
      </c>
      <c r="CO90" s="414" t="e">
        <f>IF(CO89=0,0,IF(AND(CK90&gt;charge_ELS_quasi,CL90&gt;Charge_ELS_freq,CM90&gt;charge_ELU,CN90&gt;charge_ELA,$B90&gt;NDC!$H$22-0.1+MIN(3*$CO$12,1.5)),0,1))</f>
        <v>#N/A</v>
      </c>
      <c r="CP90" s="86" t="b">
        <f t="shared" si="151"/>
        <v>0</v>
      </c>
      <c r="CQ90" s="86">
        <f t="shared" si="152"/>
        <v>0.5</v>
      </c>
      <c r="CR90" s="86">
        <f t="shared" si="153"/>
        <v>0.5</v>
      </c>
      <c r="CS90" s="30" t="e">
        <f t="shared" ca="1" si="184"/>
        <v>#DIV/0!</v>
      </c>
      <c r="CT90" s="85" t="e">
        <f ca="1">IF(BZ90&lt;=Hypothèses!$V$7,Hypothèses!$W$7,IF(BZ90&lt;=Hypothèses!$V$8,Hypothèses!$W$8,IF(BZ90&lt;=Hypothèses!$V$9,Hypothèses!$W$9,IF(BZ90&lt;=Hypothèses!$V$10,Hypothèses!$W$10,IF(BZ90&lt;=Hypothèses!$V$11,Hypothèses!$W$11,IF(BZ90&lt;=Hypothèses!$V$12,Hypothèses!$W$12,IF(BZ90&lt;=Hypothèses!$V$13,Hypothèses!$W$13,IF(BZ90&lt;=Hypothèses!$V$14,Hypothèses!$W$14,IF(BZ90&lt;=Hypothèses!$V$15,Hypothèses!$W$15,IF(BZ90&lt;=Hypothèses!$V$16,Hypothèses!$W$16,IF(BZ90&lt;=Hypothèses!$V$17,Hypothèses!$W$17,IF(BZ90&lt;=Hypothèses!$V$18,Hypothèses!$W$18,""))))))))))))</f>
        <v>#DIV/0!</v>
      </c>
      <c r="CU90" s="87" t="e">
        <f t="shared" ca="1" si="220"/>
        <v>#DIV/0!</v>
      </c>
      <c r="CV90" s="88" t="e">
        <f ca="1">IF(BZ90&lt;=Hypothèses!$V$7,Hypothèses!$X$7,IF(BZ90&lt;=Hypothèses!$V$8,Hypothèses!$X$8,IF(BZ90&lt;=Hypothèses!$V$9,Hypothèses!$X$9,IF(BZ90&lt;=Hypothèses!$V$10,Hypothèses!$X$10,IF(BZ90&lt;=Hypothèses!$V$11,Hypothèses!$X$11,IF(BZ90&lt;=Hypothèses!$V$12,Hypothèses!$X$12,IF(BZ90&lt;=Hypothèses!$V$13,Hypothèses!$X$13,IF(BZ90&lt;=Hypothèses!$V$14,Hypothèses!$X$14,IF(BZ90&lt;=Hypothèses!$V$15,Hypothèses!$X$15,IF(BZ90&lt;=Hypothèses!$V$16,Hypothèses!$X$16,IF(BZ90&lt;=Hypothèses!$U$17,Hypothèses!$W$17,IF(BZ90&lt;=Hypothèses!$U$18,Hypothèses!$W$18,""))))))))))))</f>
        <v>#DIV/0!</v>
      </c>
      <c r="CW90" s="95" t="e">
        <f t="shared" ca="1" si="185"/>
        <v>#DIV/0!</v>
      </c>
      <c r="CX90" s="101" t="e">
        <f t="shared" si="227"/>
        <v>#N/A</v>
      </c>
      <c r="CY90" s="91" t="e">
        <f t="shared" si="154"/>
        <v>#N/A</v>
      </c>
      <c r="CZ90" s="30" t="e">
        <f t="shared" si="208"/>
        <v>#N/A</v>
      </c>
      <c r="DA90" s="30" t="e">
        <f t="shared" si="209"/>
        <v>#N/A</v>
      </c>
      <c r="DB90" s="31" t="e">
        <f>IF(OR(Hypothèses!$B$4=17,Hypothèses!$B$4=18,Hypothèses!$B$4=19,Hypothèses!$B$4=20),
IF($D90="Pressio.",
IF(OR($E90=3,$E90=1,$E90=4),DA90,CZ90),
IF($D90="Pénétro.",
IF(OR($E90=3,$E90=1,$E90=4),DA90,CZ90))),IF($D90="Pressio.",
IF($E90=3,DA90,CZ90),
IF($D90="Pénétro.",
IF($E90=4,DA90,CZ90))))</f>
        <v>#N/A</v>
      </c>
      <c r="DC90" s="31" t="e">
        <f>(IF(OR(Hypothèses!$B$4=17,Hypothèses!$B$4=18,Hypothèses!$B$4=19,Hypothèses!$B$4=20),
IF($D90="Pressio.",
IF(OR($E90=3,$E90=1,$E90=4),(PI()*DC$12^2)/4*(CY90*$W90*1000)/($H90*$B$5),(PI()*DC$12^2)/4*(CY90*$W90*1000)/($G90*$B$5)),
IF($D90="Pénétro.",
IF(OR($E90=4,$E90=1,$E90=5),(PI()*DC$12^2)/4*(CY90*$W90*1000)/($H90*$B$5),(PI()*DC$12^2)/4*(CY90*$W90*1000)/($G90*$B$5)))),
IF($D90="Pressio.",
IF($E90=3,(PI()*DC$12^2)/4*(CY90*$W90*1000)/($H90*$B$5),(PI()*DC$12^2)/4*(CY90*$W90*1000)/($G90*$B$5)),
IF($D90="Pénétro.",
IF($E90=4,(PI()*DC$12^2)/4*(CY90*$W90*1000)/($H90*$B$5),(PI()*DC$12^2)/4*(CY90*$W90*1000)/($G90*$B$5))))))/10</f>
        <v>#N/A</v>
      </c>
      <c r="DD90" s="102" t="e">
        <f>(VLOOKUP($B$3,'Coeff EC7'!$T$39:$X$59,2,0)*DB90+VLOOKUP($B$3,'Coeff EC7'!$T$65:$X$85,2,0)*Model0.1C!DC90)/1.1</f>
        <v>#N/A</v>
      </c>
      <c r="DE90" s="102" t="e">
        <f>(VLOOKUP($B$3,'Coeff EC7'!$T$39:$X$59,3,0)*DB90+VLOOKUP($B$3,'Coeff EC7'!$T$65:$X$85,3,0)*Model0.1C!DC90)/0.9</f>
        <v>#N/A</v>
      </c>
      <c r="DF90" s="102" t="e">
        <f t="shared" si="186"/>
        <v>#N/A</v>
      </c>
      <c r="DG90" s="102" t="e">
        <f t="shared" si="187"/>
        <v>#N/A</v>
      </c>
      <c r="DH90" s="414" t="e">
        <f>IF(DH89=0,0,IF(AND(DD90&gt;charge_ELS_quasi,DE90&gt;Charge_ELS_freq,DF90&gt;charge_ELU,DG90&gt;charge_ELA,$B90&gt;NDC!$H$22-0.1+MIN(3*$DH$12,1.5)),0,1))</f>
        <v>#N/A</v>
      </c>
      <c r="DI90" s="86" t="b">
        <f t="shared" si="155"/>
        <v>0</v>
      </c>
      <c r="DJ90" s="86">
        <f t="shared" si="156"/>
        <v>0.5</v>
      </c>
      <c r="DK90" s="86">
        <f t="shared" si="157"/>
        <v>0.5</v>
      </c>
      <c r="DL90" s="30" t="e">
        <f t="shared" ca="1" si="188"/>
        <v>#DIV/0!</v>
      </c>
      <c r="DM90" s="85" t="e">
        <f ca="1">IF(CS90&lt;=Hypothèses!$V$7,Hypothèses!$W$7,IF(CS90&lt;=Hypothèses!$V$8,Hypothèses!$W$8,IF(CS90&lt;=Hypothèses!$V$9,Hypothèses!$W$9,IF(CS90&lt;=Hypothèses!$V$10,Hypothèses!$W$10,IF(CS90&lt;=Hypothèses!$V$11,Hypothèses!$W$11,IF(CS90&lt;=Hypothèses!$V$12,Hypothèses!$W$12,IF(CS90&lt;=Hypothèses!$V$13,Hypothèses!$W$13,IF(CS90&lt;=Hypothèses!$V$14,Hypothèses!$W$14,IF(CS90&lt;=Hypothèses!$V$15,Hypothèses!$W$15,IF(CS90&lt;=Hypothèses!$V$16,Hypothèses!$W$16,IF(CS90&lt;=Hypothèses!$V$17,Hypothèses!$W$17,IF(CS90&lt;=Hypothèses!$V$18,Hypothèses!$W$18,""))))))))))))</f>
        <v>#DIV/0!</v>
      </c>
      <c r="DN90" s="87" t="e">
        <f t="shared" ca="1" si="221"/>
        <v>#DIV/0!</v>
      </c>
      <c r="DO90" s="88" t="e">
        <f ca="1">IF(CS90&lt;=Hypothèses!$V$7,Hypothèses!$X$7,IF(CS90&lt;=Hypothèses!$V$8,Hypothèses!$X$8,IF(CS90&lt;=Hypothèses!$V$9,Hypothèses!$X$9,IF(CS90&lt;=Hypothèses!$V$10,Hypothèses!$X$10,IF(CS90&lt;=Hypothèses!$V$11,Hypothèses!$X$11,IF(CS90&lt;=Hypothèses!$V$12,Hypothèses!$X$12,IF(CS90&lt;=Hypothèses!$V$13,Hypothèses!$X$13,IF(CS90&lt;=Hypothèses!$V$14,Hypothèses!$X$14,IF(CS90&lt;=Hypothèses!$V$15,Hypothèses!$X$15,IF(CS90&lt;=Hypothèses!$V$16,Hypothèses!$X$16,IF(CS90&lt;=Hypothèses!$U$17,Hypothèses!$W$17,IF(CS90&lt;=Hypothèses!$U$18,Hypothèses!$W$18,""))))))))))))</f>
        <v>#DIV/0!</v>
      </c>
      <c r="DP90" s="95" t="e">
        <f t="shared" ca="1" si="189"/>
        <v>#DIV/0!</v>
      </c>
      <c r="DQ90" s="101" t="e">
        <f t="shared" si="228"/>
        <v>#N/A</v>
      </c>
      <c r="DR90" s="91" t="e">
        <f t="shared" si="158"/>
        <v>#N/A</v>
      </c>
      <c r="DS90" s="30" t="e">
        <f t="shared" si="210"/>
        <v>#N/A</v>
      </c>
      <c r="DT90" s="30" t="e">
        <f t="shared" si="211"/>
        <v>#N/A</v>
      </c>
      <c r="DU90" s="31" t="e">
        <f>IF(OR(Hypothèses!$B$4=17,Hypothèses!$B$4=18,Hypothèses!$B$4=19,Hypothèses!$B$4=20),
IF($D90="Pressio.",
IF(OR($E90=3,$E90=1,$E90=4),DT90,DS90),
IF($D90="Pénétro.",
IF(OR($E90=3,$E90=1,$E90=4),DT90,DS90))),IF($D90="Pressio.",
IF($E90=3,DT90,DS90),
IF($D90="Pénétro.",
IF($E90=4,DT90,DS90))))</f>
        <v>#N/A</v>
      </c>
      <c r="DV90" s="31" t="e">
        <f>(IF(OR(Hypothèses!$B$4=17,Hypothèses!$B$4=18,Hypothèses!$B$4=19,Hypothèses!$B$4=20),
IF($D90="Pressio.",
IF(OR($E90=3,$E90=1,$E90=4),(PI()*DV$12^2)/4*(DR90*$W90*1000)/($H90*$B$5),(PI()*DV$12^2)/4*(DR90*$W90*1000)/($G90*$B$5)),
IF($D90="Pénétro.",
IF(OR($E90=4,$E90=1,$E90=5),(PI()*DV$12^2)/4*(DR90*$W90*1000)/($H90*$B$5),(PI()*DV$12^2)/4*(DR90*$W90*1000)/($G90*$B$5)))),
IF($D90="Pressio.",
IF($E90=3,(PI()*DV$12^2)/4*(DR90*$W90*1000)/($H90*$B$5),(PI()*DV$12^2)/4*(DR90*$W90*1000)/($G90*$B$5)),
IF($D90="Pénétro.",
IF($E90=4,(PI()*DV$12^2)/4*(DR90*$W90*1000)/($H90*$B$5),(PI()*DV$12^2)/4*(DR90*$W90*1000)/($G90*$B$5))))))/10</f>
        <v>#N/A</v>
      </c>
      <c r="DW90" s="102" t="e">
        <f>(VLOOKUP($B$3,'Coeff EC7'!$T$39:$X$59,2,0)*DU90+VLOOKUP($B$3,'Coeff EC7'!$T$65:$X$85,2,0)*Model0.1C!DV90)/1.1</f>
        <v>#N/A</v>
      </c>
      <c r="DX90" s="102" t="e">
        <f>(VLOOKUP($B$3,'Coeff EC7'!$T$39:$X$59,3,0)*DU90+VLOOKUP($B$3,'Coeff EC7'!$T$65:$X$85,3,0)*Model0.1C!DV90)/0.9</f>
        <v>#N/A</v>
      </c>
      <c r="DY90" s="102" t="e">
        <f t="shared" si="190"/>
        <v>#N/A</v>
      </c>
      <c r="DZ90" s="102" t="e">
        <f t="shared" si="191"/>
        <v>#N/A</v>
      </c>
      <c r="EA90" s="414" t="e">
        <f>IF(EA89=0,0,IF(AND(DW90&gt;charge_ELS_quasi,DX90&gt;Charge_ELS_freq,DY90&gt;charge_ELU,DZ90&gt;charge_ELA,$B90&gt;NDC!$H$22-0.1+MIN(3*$EA$12,1.5)),0,1))</f>
        <v>#N/A</v>
      </c>
      <c r="EB90" s="86" t="b">
        <f t="shared" si="159"/>
        <v>0</v>
      </c>
      <c r="EC90" s="418">
        <f t="shared" si="160"/>
        <v>0.51</v>
      </c>
      <c r="ED90" s="86">
        <f t="shared" si="161"/>
        <v>0.51</v>
      </c>
      <c r="EE90" s="30" t="e">
        <f t="shared" ca="1" si="192"/>
        <v>#DIV/0!</v>
      </c>
      <c r="EF90" s="85" t="e">
        <f ca="1">IF(DL90&lt;=Hypothèses!$V$7,Hypothèses!$W$7,IF(DL90&lt;=Hypothèses!$V$8,Hypothèses!$W$8,IF(DL90&lt;=Hypothèses!$V$9,Hypothèses!$W$9,IF(DL90&lt;=Hypothèses!$V$10,Hypothèses!$W$10,IF(DL90&lt;=Hypothèses!$V$11,Hypothèses!$W$11,IF(DL90&lt;=Hypothèses!$V$12,Hypothèses!$W$12,IF(DL90&lt;=Hypothèses!$V$13,Hypothèses!$W$13,IF(DL90&lt;=Hypothèses!$V$14,Hypothèses!$W$14,IF(DL90&lt;=Hypothèses!$V$15,Hypothèses!$W$15,IF(DL90&lt;=Hypothèses!$V$16,Hypothèses!$W$16,IF(DL90&lt;=Hypothèses!$V$17,Hypothèses!$W$17,IF(DL90&lt;=Hypothèses!$V$18,Hypothèses!$W$18,""))))))))))))</f>
        <v>#DIV/0!</v>
      </c>
      <c r="EG90" s="87" t="e">
        <f t="shared" ca="1" si="222"/>
        <v>#DIV/0!</v>
      </c>
      <c r="EH90" s="88" t="e">
        <f ca="1">IF(DL90&lt;=Hypothèses!$V$7,Hypothèses!$X$7,IF(DL90&lt;=Hypothèses!$V$8,Hypothèses!$X$8,IF(DL90&lt;=Hypothèses!$V$9,Hypothèses!$X$9,IF(DL90&lt;=Hypothèses!$V$10,Hypothèses!$X$10,IF(DL90&lt;=Hypothèses!$V$11,Hypothèses!$X$11,IF(DL90&lt;=Hypothèses!$V$12,Hypothèses!$X$12,IF(DL90&lt;=Hypothèses!$V$13,Hypothèses!$X$13,IF(DL90&lt;=Hypothèses!$V$14,Hypothèses!$X$14,IF(DL90&lt;=Hypothèses!$V$15,Hypothèses!$X$15,IF(DL90&lt;=Hypothèses!$V$16,Hypothèses!$X$16,IF(DL90&lt;=Hypothèses!$U$17,Hypothèses!$W$17,IF(DL90&lt;=Hypothèses!$U$18,Hypothèses!$W$18,""))))))))))))</f>
        <v>#DIV/0!</v>
      </c>
      <c r="EI90" s="95" t="e">
        <f t="shared" ca="1" si="193"/>
        <v>#DIV/0!</v>
      </c>
      <c r="EJ90" s="101" t="e">
        <f t="shared" si="229"/>
        <v>#N/A</v>
      </c>
      <c r="EK90" s="91" t="e">
        <f t="shared" si="162"/>
        <v>#N/A</v>
      </c>
      <c r="EL90" s="30" t="e">
        <f t="shared" si="212"/>
        <v>#N/A</v>
      </c>
      <c r="EM90" s="30" t="e">
        <f t="shared" si="213"/>
        <v>#N/A</v>
      </c>
      <c r="EN90" s="31" t="e">
        <f>IF(OR(Hypothèses!$B$4=17,Hypothèses!$B$4=18,Hypothèses!$B$4=19,Hypothèses!$B$4=20),
IF($D90="Pressio.",
IF(OR($E90=3,$E90=1,$E90=4),EM90,EL90),
IF($D90="Pénétro.",
IF(OR($E90=3,$E90=1,$E90=4),EM90,EL90))),IF($D90="Pressio.",
IF($E90=3,EM90,EL90),
IF($D90="Pénétro.",
IF($E90=4,EM90,EL90))))</f>
        <v>#N/A</v>
      </c>
      <c r="EO90" s="31" t="e">
        <f>(IF(OR(Hypothèses!$B$4=17,Hypothèses!$B$4=18,Hypothèses!$B$4=19,Hypothèses!$B$4=20),
IF($D90="Pressio.",
IF(OR($E90=3,$E90=1,$E90=4),(PI()*EO$12^2)/4*(EK90*$W90*1000)/($H90*$B$5),(PI()*EO$12^2)/4*(EK90*$W90*1000)/($G90*$B$5)),
IF($D90="Pénétro.",
IF(OR($E90=4,$E90=1,$E90=5),(PI()*EO$12^2)/4*(EK90*$W90*1000)/($H90*$B$5),(PI()*EO$12^2)/4*(EK90*$W90*1000)/($G90*$B$5)))),
IF($D90="Pressio.",
IF($E90=3,(PI()*EO$12^2)/4*(EK90*$W90*1000)/($H90*$B$5),(PI()*EO$12^2)/4*(EK90*$W90*1000)/($G90*$B$5)),
IF($D90="Pénétro.",
IF($E90=4,(PI()*EO$12^2)/4*(EK90*$W90*1000)/($H90*$B$5),(PI()*EO$12^2)/4*(EK90*$W90*1000)/($G90*$B$5))))))/10</f>
        <v>#N/A</v>
      </c>
      <c r="EP90" s="102" t="e">
        <f>(VLOOKUP($B$3,'Coeff EC7'!$T$39:$X$59,2,0)*EN90+VLOOKUP($B$3,'Coeff EC7'!$T$65:$X$85,2,0)*Model0.1C!EO90)/1.1</f>
        <v>#N/A</v>
      </c>
      <c r="EQ90" s="102" t="e">
        <f>(VLOOKUP($B$3,'Coeff EC7'!$T$39:$X$59,3,0)*EN90+VLOOKUP($B$3,'Coeff EC7'!$T$65:$X$85,3,0)*Model0.1C!EO90)/0.9</f>
        <v>#N/A</v>
      </c>
      <c r="ER90" s="102" t="e">
        <f t="shared" si="194"/>
        <v>#N/A</v>
      </c>
      <c r="ES90" s="102" t="e">
        <f t="shared" si="195"/>
        <v>#N/A</v>
      </c>
      <c r="ET90" s="414" t="e">
        <f>IF(ET89=0,0,IF(AND(EP90&gt;charge_ELS_quasi,EQ90&gt;Charge_ELS_freq,ER90&gt;charge_ELU,ES90&gt;charge_ELA,$B90&gt;NDC!$H$22-0.1+MIN(3*$ET$12,1.5)),0,1))</f>
        <v>#N/A</v>
      </c>
      <c r="EU90" s="86" t="b">
        <f t="shared" si="163"/>
        <v>0</v>
      </c>
      <c r="EV90" s="86">
        <f t="shared" si="164"/>
        <v>0.61</v>
      </c>
      <c r="EW90" s="86">
        <f t="shared" si="165"/>
        <v>0.61</v>
      </c>
      <c r="EX90" s="30" t="e">
        <f t="shared" ca="1" si="196"/>
        <v>#DIV/0!</v>
      </c>
      <c r="EY90" s="85" t="e">
        <f ca="1">IF(EE90&lt;=Hypothèses!$V$7,Hypothèses!$W$7,IF(EE90&lt;=Hypothèses!$V$8,Hypothèses!$W$8,IF(EE90&lt;=Hypothèses!$V$9,Hypothèses!$W$9,IF(EE90&lt;=Hypothèses!$V$10,Hypothèses!$W$10,IF(EE90&lt;=Hypothèses!$V$11,Hypothèses!$W$11,IF(EE90&lt;=Hypothèses!$V$12,Hypothèses!$W$12,IF(EE90&lt;=Hypothèses!$V$13,Hypothèses!$W$13,IF(EE90&lt;=Hypothèses!$V$14,Hypothèses!$W$14,IF(EE90&lt;=Hypothèses!$V$15,Hypothèses!$W$15,IF(EE90&lt;=Hypothèses!$V$16,Hypothèses!$W$16,IF(EE90&lt;=Hypothèses!$V$17,Hypothèses!$W$17,IF(EE90&lt;=Hypothèses!$V$18,Hypothèses!$W$18,""))))))))))))</f>
        <v>#DIV/0!</v>
      </c>
      <c r="EZ90" s="87" t="e">
        <f t="shared" ca="1" si="223"/>
        <v>#DIV/0!</v>
      </c>
      <c r="FA90" s="88" t="e">
        <f ca="1">IF(EE90&lt;=Hypothèses!$V$7,Hypothèses!$X$7,IF(EE90&lt;=Hypothèses!$V$8,Hypothèses!$X$8,IF(EE90&lt;=Hypothèses!$V$9,Hypothèses!$X$9,IF(EE90&lt;=Hypothèses!$V$10,Hypothèses!$X$10,IF(EE90&lt;=Hypothèses!$V$11,Hypothèses!$X$11,IF(EE90&lt;=Hypothèses!$V$12,Hypothèses!$X$12,IF(EE90&lt;=Hypothèses!$V$13,Hypothèses!$X$13,IF(EE90&lt;=Hypothèses!$V$14,Hypothèses!$X$14,IF(EE90&lt;=Hypothèses!$V$15,Hypothèses!$X$15,IF(EE90&lt;=Hypothèses!$V$16,Hypothèses!$X$16,IF(EE90&lt;=Hypothèses!$U$17,Hypothèses!$W$17,IF(EE90&lt;=Hypothèses!$U$18,Hypothèses!$W$18,""))))))))))))</f>
        <v>#DIV/0!</v>
      </c>
      <c r="FB90" s="95" t="e">
        <f t="shared" ca="1" si="197"/>
        <v>#DIV/0!</v>
      </c>
      <c r="FC90" s="101" t="e">
        <f t="shared" si="230"/>
        <v>#N/A</v>
      </c>
      <c r="FD90" s="91" t="e">
        <f t="shared" si="166"/>
        <v>#N/A</v>
      </c>
      <c r="FE90" s="30" t="e">
        <f t="shared" si="214"/>
        <v>#N/A</v>
      </c>
      <c r="FF90" s="30" t="e">
        <f t="shared" si="215"/>
        <v>#N/A</v>
      </c>
      <c r="FG90" s="31" t="e">
        <f>IF(OR(Hypothèses!$B$4=17,Hypothèses!$B$4=18,Hypothèses!$B$4=19,Hypothèses!$B$4=20),
IF($D90="Pressio.",
IF(OR($E90=3,$E90=1,$E90=4),FF90,FE90),
IF($D90="Pénétro.",
IF(OR($E90=3,$E90=1,$E90=4),FF90,FE90))),IF($D90="Pressio.",
IF($E90=3,FF90,FE90),
IF($D90="Pénétro.",
IF($E90=4,FF90,FE90))))</f>
        <v>#N/A</v>
      </c>
      <c r="FH90" s="31" t="e">
        <f>(IF(OR(Hypothèses!$B$4=17,Hypothèses!$B$4=18,Hypothèses!$B$4=19,Hypothèses!$B$4=20),
IF($D90="Pressio.",
IF(OR($E90=3,$E90=1,$E90=4),(PI()*FH$12^2)/4*(FD90*$W90*1000)/($H90*$B$5),(PI()*FH$12^2)/4*(FD90*$W90*1000)/($G90*$B$5)),
IF($D90="Pénétro.",
IF(OR($E90=4,$E90=1,$E90=5),(PI()*FH$12^2)/4*(FD90*$W90*1000)/($H90*$B$5),(PI()*FH$12^2)/4*(FD90*$W90*1000)/($G90*$B$5)))),
IF($D90="Pressio.",
IF($E90=3,(PI()*FH$12^2)/4*(FD90*$W90*1000)/($H90*$B$5),(PI()*FH$12^2)/4*(FD90*$W90*1000)/($G90*$B$5)),
IF($D90="Pénétro.",
IF($E90=4,(PI()*FH$12^2)/4*(FD90*$W90*1000)/($H90*$B$5),(PI()*FH$12^2)/4*(FD90*$W90*1000)/($G90*$B$5))))))/10</f>
        <v>#N/A</v>
      </c>
      <c r="FI90" s="102" t="e">
        <f>(VLOOKUP($B$3,'Coeff EC7'!$T$39:$X$59,2,0)*FG90+VLOOKUP($B$3,'Coeff EC7'!$T$65:$X$85,2,0)*Model0.1C!FH90)/1.1</f>
        <v>#N/A</v>
      </c>
      <c r="FJ90" s="102" t="e">
        <f>(VLOOKUP($B$3,'Coeff EC7'!$T$39:$X$59,3,0)*FG90+VLOOKUP($B$3,'Coeff EC7'!$T$65:$X$85,3,0)*Model0.1C!FH90)/0.9</f>
        <v>#N/A</v>
      </c>
      <c r="FK90" s="102" t="e">
        <f t="shared" si="198"/>
        <v>#N/A</v>
      </c>
      <c r="FL90" s="102" t="e">
        <f t="shared" si="199"/>
        <v>#N/A</v>
      </c>
      <c r="FM90" s="414" t="e">
        <f>IF(FM89=0,0,IF(AND(FI90&gt;charge_ELS_quasi,FJ90&gt;Charge_ELS_freq,FK90&gt;charge_ELU,FL90&gt;charge_ELA,$B90&gt;NDC!$H$22-0.1+MIN(3*$FM$12,1.5)),0,1))</f>
        <v>#N/A</v>
      </c>
    </row>
    <row r="91" spans="1:169">
      <c r="A91" s="96">
        <f t="shared" si="167"/>
        <v>92.200000000000443</v>
      </c>
      <c r="B91" s="97">
        <v>7.8</v>
      </c>
      <c r="C91" s="81">
        <f>IF(B91&lt;=Hypothèses!$C$7,Hypothèses!$A$7,IF(B91&lt;=Hypothèses!$C$8,Hypothèses!$A$8,IF(B91&lt;=Hypothèses!$C$9,Hypothèses!$A$9,IF(B91&lt;=Hypothèses!$C$10,Hypothèses!$A$10,IF(B91&lt;=Hypothèses!$C$11,Hypothèses!$A$11,IF(B91&lt;=Hypothèses!$C$12,Hypothèses!$A$12,IF(B91&lt;=Hypothèses!$C$13,Hypothèses!$A$13,IF(B91&lt;=Hypothèses!$C$14,Hypothèses!$A$14,IF(B91&lt;=Hypothèses!$C$15,Hypothèses!$A$15,IF(B91&lt;=Hypothèses!$C$16,Hypothèses!$A$16,IF(B91&lt;=Hypothèses!$C$17,Hypothèses!$A$17,IF(B91&lt;=Hypothèses!$C$18,Hypothèses!$A$18,C90))))))))))))</f>
        <v>11</v>
      </c>
      <c r="D91" s="82" t="str">
        <f>IF(B91&lt;=Hypothèses!$C$7,Hypothèses!$R$7,IF(B91&lt;=Hypothèses!$C$8,Hypothèses!$R$8,IF(B91&lt;=Hypothèses!$C$9,Hypothèses!$R$9,IF(B91&lt;=Hypothèses!$C$10,Hypothèses!$R$10,IF(B91&lt;=Hypothèses!$C$11,Hypothèses!$R$11,IF(B91&lt;=Hypothèses!$C$12,Hypothèses!$R$12,IF(B91&lt;=Hypothèses!$C$13,Hypothèses!$R$13,IF(B91&lt;=Hypothèses!$C$14,Hypothèses!$R$14,IF(B91&lt;=Hypothèses!$C$15,Hypothèses!$R$15,IF(B91&lt;=Hypothèses!$C$16,Hypothèses!$R$16,IF(B91&lt;=Hypothèses!$C$17,Hypothèses!$R$17,IF(B91&lt;=Hypothèses!$C$18,Hypothèses!$R$18,D90))))))))))))</f>
        <v>Pressio.</v>
      </c>
      <c r="E91" s="82" t="e">
        <f>IF(B91&lt;=Hypothèses!$C$7,Hypothèses!$G$7,IF(B91&lt;=Hypothèses!$C$8,Hypothèses!$G$8,IF(B91&lt;=Hypothèses!$C$9,Hypothèses!$G$9,IF(B91&lt;=Hypothèses!$C$10,Hypothèses!$G$10,IF(B91&lt;=Hypothèses!$C$11,Hypothèses!$G$11,IF(B91&lt;=Hypothèses!$C$12,Hypothèses!$G$12,IF(B91&lt;=Hypothèses!$C$13,Hypothèses!$G$13,IF(B91&lt;=Hypothèses!$C$14,Hypothèses!$G$14,IF(B91&lt;=Hypothèses!$C$15,Hypothèses!$G$15,IF(B91&lt;=Hypothèses!$C$16,Hypothèses!$G$16,IF(B91&lt;=Hypothèses!$C$17,Hypothèses!$G$17,IF(B91&lt;=Hypothèses!$C$18,Hypothèses!$G$18,E90))))))))))))</f>
        <v>#N/A</v>
      </c>
      <c r="F91" s="82" t="str">
        <f>IF(B91&lt;=Hypothèses!$C$7,Hypothèses!$F$7,IF(B91&lt;=Hypothèses!$C$8,Hypothèses!$F$8,IF(B91&lt;=Hypothèses!$C$9,Hypothèses!$F$9,IF(B91&lt;=Hypothèses!$C$10,Hypothèses!$F$10,IF(B91&lt;=Hypothèses!$C$11,Hypothèses!$F$11,IF(B91&lt;=Hypothèses!$C$12,Hypothèses!$F$12,IF(B91&lt;=Hypothèses!$C$13,Hypothèses!$F$13,IF(B91&lt;=Hypothèses!$C$14,Hypothèses!$F$14,IF(B91&lt;=Hypothèses!$C$15,Hypothèses!$F$15,IF(B91&lt;=Hypothèses!$C$16,Hypothèses!$F$16,IF(B91&lt;=Hypothèses!$C$17,Hypothèses!$F$17,IF(B91&lt;=Hypothèses!$C$18,Hypothèses!$F$18,F90))))))))))))</f>
        <v/>
      </c>
      <c r="G91" s="91">
        <f t="array" ref="G91">INDEX('Coeff EC7'!$U$7:$X$27,
MATCH(Model0.1C!$B$3,'Coeff EC7'!$T$7:$T$27,0),
MATCH(Model0.1C!$D91&amp;Model0.1C!$B$4,
'Coeff EC7'!$U$6:$X$6&amp;
'Coeff EC7'!$U$5:$X$5,0))</f>
        <v>1.1499999999999999</v>
      </c>
      <c r="H91" s="91">
        <f t="array" ref="H91">INDEX('Coeff EC7'!$Y$7:$AB$27,
MATCH(Model0.1C!$B$3,'Coeff EC7'!$T$7:$T$27,0),
MATCH(Model0.1C!$D91&amp;Model0.1C!$B$4,
'Coeff EC7'!$Y$6:$AB$6&amp;
'Coeff EC7'!$Y$5:$AB$5,0))</f>
        <v>1.4</v>
      </c>
      <c r="I91" s="83" t="e">
        <f>IF(B91&lt;=Hypothèses!$C$7,Hypothèses!$P$7,IF(B91&lt;=Hypothèses!$C$8,Hypothèses!$P$8,IF(B91&lt;=Hypothèses!$C$9,Hypothèses!$P$9,IF(B91&lt;=Hypothèses!$C$10,Hypothèses!$P$10,IF(B91&lt;=Hypothèses!$C$11,Hypothèses!$P$11,IF(B91&lt;=Hypothèses!$C$12,Hypothèses!$P$12,IF(B91&lt;=Hypothèses!$C$13,Hypothèses!$P$13,IF(B91&lt;=Hypothèses!$C$14,Hypothèses!$P$14,IF(B91&lt;=Hypothèses!$C$15,Hypothèses!$P$15,IF(B91&lt;=Hypothèses!$C$16,Hypothèses!$P$16,IF(B91&lt;=Hypothèses!$C$17,Hypothèses!$P$17,IF(B91&lt;=Hypothèses!$C$18,Hypothèses!$P$18,I90))))))))))))</f>
        <v>#N/A</v>
      </c>
      <c r="J91" s="91" t="e">
        <f t="array" ref="J91">INDEX('Coeff EC7'!$D$33:$Q$33,1,MATCH(D91&amp;E91,'Coeff EC7'!$D$31:$Q$31&amp;'Coeff EC7'!$D$32:$Q$32,0))</f>
        <v>#N/A</v>
      </c>
      <c r="K91" s="91" t="e">
        <f t="array" ref="K91">INDEX('Coeff EC7'!$D$34:$Q$34,1,MATCH(D91&amp;E91,'Coeff EC7'!$D$31:$Q$31&amp;'Coeff EC7'!$D$32:$Q$32,0))</f>
        <v>#N/A</v>
      </c>
      <c r="L91" s="91" t="e">
        <f t="array" ref="L91">INDEX('Coeff EC7'!$D$35:$Q$35,1,MATCH(D91&amp;E91,'Coeff EC7'!$D$31:$Q$31&amp;'Coeff EC7'!$D$32:$Q$32,0))</f>
        <v>#N/A</v>
      </c>
      <c r="M91" s="98" t="e">
        <f t="shared" si="131"/>
        <v>#N/A</v>
      </c>
      <c r="N91" s="99" t="e">
        <f t="array" ref="N91">INDEX('Coeff EC7'!$D$7:$Q$27,MATCH($B$3,'Coeff EC7'!$C$7:$C$27,0),MATCH(D91&amp;E91,'Coeff EC7'!$D$5:$Q$5&amp;'Coeff EC7'!$D$6:$Q$6,0))</f>
        <v>#N/A</v>
      </c>
      <c r="O91" s="99" t="e">
        <f t="array" ref="O91">INDEX('Coeff EC7'!$D$41:$Q$61,MATCH($B$3,'Coeff EC7'!$C$41:$C$61,0),MATCH(D91&amp;E91,'Coeff EC7'!$D$39:$Q$39&amp;'Coeff EC7'!$D$40:$Q$40,0))</f>
        <v>#N/A</v>
      </c>
      <c r="P91" s="30" t="e">
        <f t="shared" si="168"/>
        <v>#N/A</v>
      </c>
      <c r="Q91" s="100" t="e">
        <f t="shared" si="133"/>
        <v>#N/A</v>
      </c>
      <c r="R91" s="86" t="b">
        <f t="shared" si="134"/>
        <v>0</v>
      </c>
      <c r="S91" s="86">
        <f t="shared" si="132"/>
        <v>0.5</v>
      </c>
      <c r="T91" s="86">
        <f t="shared" si="135"/>
        <v>0.5</v>
      </c>
      <c r="U91" s="30" t="e">
        <f t="shared" ca="1" si="169"/>
        <v>#DIV/0!</v>
      </c>
      <c r="V91" s="85" t="str">
        <f>IF(B91&lt;=Hypothèses!$V$7,Hypothèses!$W$7,IF(B91&lt;=Hypothèses!$V$8,Hypothèses!$W$8,IF(B91&lt;=Hypothèses!$V$9,Hypothèses!$W$9,IF(B91&lt;=Hypothèses!$V$10,Hypothèses!$W$10,IF(B91&lt;=Hypothèses!$V$11,Hypothèses!$W$11,IF(B91&lt;=Hypothèses!$V$12,Hypothèses!$W$12,IF(B91&lt;=Hypothèses!$V$13,Hypothèses!$W$13,IF(B91&lt;=Hypothèses!$V$14,Hypothèses!$W$14,IF(B91&lt;=Hypothèses!$V$15,Hypothèses!$W$15,IF(B91&lt;=Hypothèses!$V$16,Hypothèses!$W$16,IF(B91&lt;=Hypothèses!$V$17,Hypothèses!$W$17,IF(B91&lt;=Hypothèses!$V$18,Hypothèses!$W$18,""))))))))))))</f>
        <v/>
      </c>
      <c r="W91" s="87" t="e">
        <f t="shared" ca="1" si="216"/>
        <v>#DIV/0!</v>
      </c>
      <c r="X91" s="88" t="str">
        <f>IF(B91&lt;=Hypothèses!$V$7,Hypothèses!$X$7,IF(B91&lt;=Hypothèses!$V$8,Hypothèses!$X$8,IF(B91&lt;=Hypothèses!$V$9,Hypothèses!$X$9,IF(B91&lt;=Hypothèses!$V$10,Hypothèses!$X$10,IF(B91&lt;=Hypothèses!$V$11,Hypothèses!$X$11,IF(B91&lt;=Hypothèses!$V$12,Hypothèses!$X$12,IF(B91&lt;=Hypothèses!$V$13,Hypothèses!$X$13,IF(B91&lt;=Hypothèses!$V$14,Hypothèses!$X$14,IF(B91&lt;=Hypothèses!$V$15,Hypothèses!$X$15,IF(B91&lt;=Hypothèses!$V$16,Hypothèses!$X$16,IF(B91&lt;=Hypothèses!$U$17,Hypothèses!$W$17,IF(B91&lt;=Hypothèses!$U$18,Hypothèses!$W$18,""))))))))))))</f>
        <v/>
      </c>
      <c r="Y91" s="95" t="e">
        <f t="shared" ca="1" si="136"/>
        <v>#DIV/0!</v>
      </c>
      <c r="Z91" s="101" t="e">
        <f t="shared" si="137"/>
        <v>#N/A</v>
      </c>
      <c r="AA91" s="91" t="e">
        <f t="shared" si="138"/>
        <v>#N/A</v>
      </c>
      <c r="AB91" s="30" t="e">
        <f t="shared" si="200"/>
        <v>#N/A</v>
      </c>
      <c r="AC91" s="30" t="e">
        <f t="shared" si="201"/>
        <v>#N/A</v>
      </c>
      <c r="AD91" s="31" t="e">
        <f>IF(OR(Hypothèses!$B$4=17,Hypothèses!$B$4=18,Hypothèses!$B$4=19,Hypothèses!$B$4=20),
IF($D91="Pressio.",
IF(OR($E91=3,$E91=1,$E91=4),AC91,AB91),
IF($D91="Pénétro.",
IF(OR($E91=3,$E91=1,$E91=4),AC91,AB91))),IF($D91="Pressio.",
IF($E91=3,AC91,AB91),
IF($D91="Pénétro.",
IF($E91=4,AC91,AB91))))</f>
        <v>#N/A</v>
      </c>
      <c r="AE91" s="31" t="e">
        <f>(IF(OR(Hypothèses!$B$4=17,Hypothèses!$B$4=18,Hypothèses!$B$4=19,Hypothèses!$B$4=20),
IF($D91="Pressio.",
IF(OR($E91=3,$E91=1,$E91=4),(PI()*AE$12^2)/4*(AA91*$W91*1000)/($H91*$B$5),(PI()*AE$12^2)/4*(AA91*$W91*1000)/($G91*$B$5)),
IF($D91="Pénétro.",
IF(OR($E91=4,$E91=1,$E91=5),(PI()*AE$12^2)/4*(AA91*$W91*1000)/($H91*$B$5),(PI()*AE$12^2)/4*(AA91*$W91*1000)/($G91*$B$5)))),
IF($D91="Pressio.",
IF($E91=3,(PI()*AE$12^2)/4*(AA91*$W91*1000)/($H91*$B$5),(PI()*AE$12^2)/4*(AA91*$W91*1000)/($G91*$B$5)),
IF($D91="Pénétro.",
IF($E91=4,(PI()*AE$12^2)/4*(AA91*$W91*1000)/($H91*$B$5),(PI()*AE$12^2)/4*(AA91*$W91*1000)/($G91*$B$5))))))/10</f>
        <v>#N/A</v>
      </c>
      <c r="AF91" s="102" t="e">
        <f>(VLOOKUP($B$3,'Coeff EC7'!$T$39:$X$59,2,0)*AD91+VLOOKUP($B$3,'Coeff EC7'!$T$65:$X$85,2,0)*Model0.1C!AE91)/1.1</f>
        <v>#N/A</v>
      </c>
      <c r="AG91" s="102" t="e">
        <f>(VLOOKUP($B$3,'Coeff EC7'!$T$39:$X$59,3,0)*AD91+VLOOKUP($B$3,'Coeff EC7'!$T$65:$X$85,3,0)*Model0.1C!AE91)/0.9</f>
        <v>#N/A</v>
      </c>
      <c r="AH91" s="102" t="e">
        <f t="shared" si="139"/>
        <v>#N/A</v>
      </c>
      <c r="AI91" s="102" t="e">
        <f t="shared" si="140"/>
        <v>#N/A</v>
      </c>
      <c r="AJ91" s="414" t="e">
        <f>IF(AJ90=0,0,IF(AND(AF91&gt;charge_ELS_quasi,AG91&gt;Charge_ELS_freq,AH91&gt;charge_ELU,AI91&gt;charge_ELA,$B91&gt;NDC!$H$22-0.1+MIN(3*$AJ$12,1.5)),0,1))</f>
        <v>#N/A</v>
      </c>
      <c r="AK91" s="86" t="b">
        <f t="shared" si="141"/>
        <v>0</v>
      </c>
      <c r="AL91" s="86">
        <f t="shared" si="170"/>
        <v>0.5</v>
      </c>
      <c r="AM91" s="86">
        <f t="shared" si="142"/>
        <v>0.5</v>
      </c>
      <c r="AN91" s="30" t="e">
        <f t="shared" ca="1" si="171"/>
        <v>#DIV/0!</v>
      </c>
      <c r="AO91" s="85" t="e">
        <f ca="1">IF(U91&lt;=Hypothèses!$V$7,Hypothèses!$W$7,IF(U91&lt;=Hypothèses!$V$8,Hypothèses!$W$8,IF(U91&lt;=Hypothèses!$V$9,Hypothèses!$W$9,IF(U91&lt;=Hypothèses!$V$10,Hypothèses!$W$10,IF(U91&lt;=Hypothèses!$V$11,Hypothèses!$W$11,IF(U91&lt;=Hypothèses!$V$12,Hypothèses!$W$12,IF(U91&lt;=Hypothèses!$V$13,Hypothèses!$W$13,IF(U91&lt;=Hypothèses!$V$14,Hypothèses!$W$14,IF(U91&lt;=Hypothèses!$V$15,Hypothèses!$W$15,IF(U91&lt;=Hypothèses!$V$16,Hypothèses!$W$16,IF(U91&lt;=Hypothèses!$V$17,Hypothèses!$W$17,IF(U91&lt;=Hypothèses!$V$18,Hypothèses!$W$18,""))))))))))))</f>
        <v>#DIV/0!</v>
      </c>
      <c r="AP91" s="87" t="e">
        <f t="shared" ca="1" si="217"/>
        <v>#DIV/0!</v>
      </c>
      <c r="AQ91" s="88" t="e">
        <f ca="1">IF(U91&lt;=Hypothèses!$V$7,Hypothèses!$X$7,IF(U91&lt;=Hypothèses!$V$8,Hypothèses!$X$8,IF(U91&lt;=Hypothèses!$V$9,Hypothèses!$X$9,IF(U91&lt;=Hypothèses!$V$10,Hypothèses!$X$10,IF(U91&lt;=Hypothèses!$V$11,Hypothèses!$X$11,IF(U91&lt;=Hypothèses!$V$12,Hypothèses!$X$12,IF(U91&lt;=Hypothèses!$V$13,Hypothèses!$X$13,IF(U91&lt;=Hypothèses!$V$14,Hypothèses!$X$14,IF(U91&lt;=Hypothèses!$V$15,Hypothèses!$X$15,IF(U91&lt;=Hypothèses!$V$16,Hypothèses!$X$16,IF(U91&lt;=Hypothèses!$U$17,Hypothèses!$W$17,IF(U91&lt;=Hypothèses!$U$18,Hypothèses!$W$18,""))))))))))))</f>
        <v>#DIV/0!</v>
      </c>
      <c r="AR91" s="95" t="e">
        <f t="shared" ca="1" si="172"/>
        <v>#DIV/0!</v>
      </c>
      <c r="AS91" s="101" t="e">
        <f t="shared" si="224"/>
        <v>#N/A</v>
      </c>
      <c r="AT91" s="91" t="e">
        <f t="shared" si="143"/>
        <v>#N/A</v>
      </c>
      <c r="AU91" s="30" t="e">
        <f t="shared" si="202"/>
        <v>#N/A</v>
      </c>
      <c r="AV91" s="30" t="e">
        <f t="shared" si="203"/>
        <v>#N/A</v>
      </c>
      <c r="AW91" s="31" t="e">
        <f>IF(OR(Hypothèses!$B$4=17,Hypothèses!$B$4=18,Hypothèses!$B$4=19,Hypothèses!$B$4=20),
IF($D91="Pressio.",
IF(OR($E91=3,$E91=1,$E91=4),AV91,AU91),
IF($D91="Pénétro.",
IF(OR($E91=3,$E91=1,$E91=4),AV91,AU91))),IF($D91="Pressio.",
IF($E91=3,AV91,AU91),
IF($D91="Pénétro.",
IF($E91=4,AV91,AU91))))</f>
        <v>#N/A</v>
      </c>
      <c r="AX91" s="31" t="e">
        <f>(IF(OR(Hypothèses!$B$4=17,Hypothèses!$B$4=18,Hypothèses!$B$4=19,Hypothèses!$B$4=20),
IF($D91="Pressio.",
IF(OR($E91=3,$E91=1,$E91=4),(PI()*AX$12^2)/4*(AT91*$W91*1000)/($H91*$B$5),(PI()*AX$12^2)/4*(AT91*$W91*1000)/($G91*$B$5)),
IF($D91="Pénétro.",
IF(OR($E91=4,$E91=1,$E91=5),(PI()*AX$12^2)/4*(AT91*$W91*1000)/($H91*$B$5),(PI()*AX$12^2)/4*(AT91*$W91*1000)/($G91*$B$5)))),
IF($D91="Pressio.",
IF($E91=3,(PI()*AX$12^2)/4*(AT91*$W91*1000)/($H91*$B$5),(PI()*AX$12^2)/4*(AT91*$W91*1000)/($G91*$B$5)),
IF($D91="Pénétro.",
IF($E91=4,(PI()*AX$12^2)/4*(AT91*$W91*1000)/($H91*$B$5),(PI()*AX$12^2)/4*(AT91*$W91*1000)/($G91*$B$5))))))/10</f>
        <v>#N/A</v>
      </c>
      <c r="AY91" s="102" t="e">
        <f>(VLOOKUP($B$3,'Coeff EC7'!$T$39:$X$59,2,0)*AW91+VLOOKUP($B$3,'Coeff EC7'!$T$65:$X$85,2,0)*Model0.1C!AX91)/1.1</f>
        <v>#N/A</v>
      </c>
      <c r="AZ91" s="102" t="e">
        <f>(VLOOKUP($B$3,'Coeff EC7'!$T$39:$X$59,3,0)*AW91+VLOOKUP($B$3,'Coeff EC7'!$T$65:$X$85,3,0)*Model0.1C!AX91)/0.9</f>
        <v>#N/A</v>
      </c>
      <c r="BA91" s="102" t="e">
        <f t="shared" si="173"/>
        <v>#N/A</v>
      </c>
      <c r="BB91" s="102" t="e">
        <f t="shared" si="174"/>
        <v>#N/A</v>
      </c>
      <c r="BC91" s="414" t="e">
        <f>IF(BC90=0,0,IF(AND(AY91&gt;charge_ELS_quasi,AZ91&gt;Charge_ELS_freq,BA91&gt;charge_ELU,BB91&gt;charge_ELA,$B91&gt;NDC!$H$22-0.1+MIN(3*$BC$12,1.5)),0,1))</f>
        <v>#N/A</v>
      </c>
      <c r="BD91" s="86" t="b">
        <f t="shared" si="144"/>
        <v>0</v>
      </c>
      <c r="BE91" s="86">
        <f t="shared" si="175"/>
        <v>0.5</v>
      </c>
      <c r="BF91" s="86">
        <f t="shared" si="145"/>
        <v>0.5</v>
      </c>
      <c r="BG91" s="30" t="e">
        <f t="shared" ca="1" si="176"/>
        <v>#DIV/0!</v>
      </c>
      <c r="BH91" s="85" t="e">
        <f ca="1">IF(AN91&lt;=Hypothèses!$V$7,Hypothèses!$W$7,IF(AN91&lt;=Hypothèses!$V$8,Hypothèses!$W$8,IF(AN91&lt;=Hypothèses!$V$9,Hypothèses!$W$9,IF(AN91&lt;=Hypothèses!$V$10,Hypothèses!$W$10,IF(AN91&lt;=Hypothèses!$V$11,Hypothèses!$W$11,IF(AN91&lt;=Hypothèses!$V$12,Hypothèses!$W$12,IF(AN91&lt;=Hypothèses!$V$13,Hypothèses!$W$13,IF(AN91&lt;=Hypothèses!$V$14,Hypothèses!$W$14,IF(AN91&lt;=Hypothèses!$V$15,Hypothèses!$W$15,IF(AN91&lt;=Hypothèses!$V$16,Hypothèses!$W$16,IF(AN91&lt;=Hypothèses!$V$17,Hypothèses!$W$17,IF(AN91&lt;=Hypothèses!$V$18,Hypothèses!$W$18,""))))))))))))</f>
        <v>#DIV/0!</v>
      </c>
      <c r="BI91" s="87" t="e">
        <f t="shared" ca="1" si="218"/>
        <v>#DIV/0!</v>
      </c>
      <c r="BJ91" s="88" t="e">
        <f ca="1">IF(AN91&lt;=Hypothèses!$V$7,Hypothèses!$X$7,IF(AN91&lt;=Hypothèses!$V$8,Hypothèses!$X$8,IF(AN91&lt;=Hypothèses!$V$9,Hypothèses!$X$9,IF(AN91&lt;=Hypothèses!$V$10,Hypothèses!$X$10,IF(AN91&lt;=Hypothèses!$V$11,Hypothèses!$X$11,IF(AN91&lt;=Hypothèses!$V$12,Hypothèses!$X$12,IF(AN91&lt;=Hypothèses!$V$13,Hypothèses!$X$13,IF(AN91&lt;=Hypothèses!$V$14,Hypothèses!$X$14,IF(AN91&lt;=Hypothèses!$V$15,Hypothèses!$X$15,IF(AN91&lt;=Hypothèses!$V$16,Hypothèses!$X$16,IF(AN91&lt;=Hypothèses!$U$17,Hypothèses!$W$17,IF(AN91&lt;=Hypothèses!$U$18,Hypothèses!$W$18,""))))))))))))</f>
        <v>#DIV/0!</v>
      </c>
      <c r="BK91" s="95" t="e">
        <f t="shared" ca="1" si="177"/>
        <v>#DIV/0!</v>
      </c>
      <c r="BL91" s="101" t="e">
        <f t="shared" si="225"/>
        <v>#N/A</v>
      </c>
      <c r="BM91" s="91" t="e">
        <f t="shared" si="146"/>
        <v>#N/A</v>
      </c>
      <c r="BN91" s="30" t="e">
        <f t="shared" si="204"/>
        <v>#N/A</v>
      </c>
      <c r="BO91" s="30" t="e">
        <f t="shared" si="205"/>
        <v>#N/A</v>
      </c>
      <c r="BP91" s="31" t="e">
        <f>IF(OR(Hypothèses!$B$4=17,Hypothèses!$B$4=18,Hypothèses!$B$4=19,Hypothèses!$B$4=20),
IF($D91="Pressio.",
IF(OR($E91=3,$E91=1,$E91=4),BO91,BN91),
IF($D91="Pénétro.",
IF(OR($E91=3,$E91=1,$E91=4),BO91,BN91))),IF($D91="Pressio.",
IF($E91=3,BO91,BN91),
IF($D91="Pénétro.",
IF($E91=4,BO91,BN91))))</f>
        <v>#N/A</v>
      </c>
      <c r="BQ91" s="31" t="e">
        <f>(IF(OR(Hypothèses!$B$4=17,Hypothèses!$B$4=18,Hypothèses!$B$4=19,Hypothèses!$B$4=20),
IF($D91="Pressio.",
IF(OR($E91=3,$E91=1,$E91=4),(PI()*BQ$12^2)/4*(BM91*$W91*1000)/($H91*$B$5),(PI()*BQ$12^2)/4*(BM91*$W91*1000)/($G91*$B$5)),
IF($D91="Pénétro.",
IF(OR($E91=4,$E91=1,$E91=5),(PI()*BQ$12^2)/4*(BM91*$W91*1000)/($H91*$B$5),(PI()*BQ$12^2)/4*(BM91*$W91*1000)/($G91*$B$5)))),
IF($D91="Pressio.",
IF($E91=3,(PI()*BQ$12^2)/4*(BM91*$W91*1000)/($H91*$B$5),(PI()*BQ$12^2)/4*(BM91*$W91*1000)/($G91*$B$5)),
IF($D91="Pénétro.",
IF($E91=4,(PI()*BQ$12^2)/4*(BM91*$W91*1000)/($H91*$B$5),(PI()*BQ$12^2)/4*(BM91*$W91*1000)/($G91*$B$5))))))/10</f>
        <v>#N/A</v>
      </c>
      <c r="BR91" s="102" t="e">
        <f>(VLOOKUP($B$3,'Coeff EC7'!$T$39:$X$59,2,0)*BP91+VLOOKUP($B$3,'Coeff EC7'!$T$65:$X$85,2,0)*Model0.1C!BQ91)/1.1</f>
        <v>#N/A</v>
      </c>
      <c r="BS91" s="102" t="e">
        <f>(VLOOKUP($B$3,'Coeff EC7'!$T$39:$X$59,3,0)*BP91+VLOOKUP($B$3,'Coeff EC7'!$T$65:$X$85,3,0)*Model0.1C!BQ91)/0.9</f>
        <v>#N/A</v>
      </c>
      <c r="BT91" s="102" t="e">
        <f t="shared" si="178"/>
        <v>#N/A</v>
      </c>
      <c r="BU91" s="102" t="e">
        <f t="shared" si="179"/>
        <v>#N/A</v>
      </c>
      <c r="BV91" s="414" t="e">
        <f>IF(BV90=0,0,IF(AND(BR91&gt;charge_ELS_quasi,BS91&gt;Charge_ELS_freq,BT91&gt;charge_ELU,BU91&gt;charge_ELA,$B91&gt;NDC!$H$22-0.1+MIN(3*$BV$12,1.5)),0,1))</f>
        <v>#N/A</v>
      </c>
      <c r="BW91" s="86" t="b">
        <f t="shared" si="147"/>
        <v>0</v>
      </c>
      <c r="BX91" s="86">
        <f t="shared" si="148"/>
        <v>0.5</v>
      </c>
      <c r="BY91" s="86">
        <f t="shared" si="149"/>
        <v>0.5</v>
      </c>
      <c r="BZ91" s="30" t="e">
        <f t="shared" ca="1" si="180"/>
        <v>#DIV/0!</v>
      </c>
      <c r="CA91" s="85" t="e">
        <f ca="1">IF(BG91&lt;=Hypothèses!$V$7,Hypothèses!$W$7,IF(BG91&lt;=Hypothèses!$V$8,Hypothèses!$W$8,IF(BG91&lt;=Hypothèses!$V$9,Hypothèses!$W$9,IF(BG91&lt;=Hypothèses!$V$10,Hypothèses!$W$10,IF(BG91&lt;=Hypothèses!$V$11,Hypothèses!$W$11,IF(BG91&lt;=Hypothèses!$V$12,Hypothèses!$W$12,IF(BG91&lt;=Hypothèses!$V$13,Hypothèses!$W$13,IF(BG91&lt;=Hypothèses!$V$14,Hypothèses!$W$14,IF(BG91&lt;=Hypothèses!$V$15,Hypothèses!$W$15,IF(BG91&lt;=Hypothèses!$V$16,Hypothèses!$W$16,IF(BG91&lt;=Hypothèses!$V$17,Hypothèses!$W$17,IF(BG91&lt;=Hypothèses!$V$18,Hypothèses!$W$18,""))))))))))))</f>
        <v>#DIV/0!</v>
      </c>
      <c r="CB91" s="87" t="e">
        <f t="shared" ca="1" si="219"/>
        <v>#DIV/0!</v>
      </c>
      <c r="CC91" s="88" t="e">
        <f ca="1">IF(BG91&lt;=Hypothèses!$V$7,Hypothèses!$X$7,IF(BG91&lt;=Hypothèses!$V$8,Hypothèses!$X$8,IF(BG91&lt;=Hypothèses!$V$9,Hypothèses!$X$9,IF(BG91&lt;=Hypothèses!$V$10,Hypothèses!$X$10,IF(BG91&lt;=Hypothèses!$V$11,Hypothèses!$X$11,IF(BG91&lt;=Hypothèses!$V$12,Hypothèses!$X$12,IF(BG91&lt;=Hypothèses!$V$13,Hypothèses!$X$13,IF(BG91&lt;=Hypothèses!$V$14,Hypothèses!$X$14,IF(BG91&lt;=Hypothèses!$V$15,Hypothèses!$X$15,IF(BG91&lt;=Hypothèses!$V$16,Hypothèses!$X$16,IF(BG91&lt;=Hypothèses!$U$17,Hypothèses!$W$17,IF(BG91&lt;=Hypothèses!$U$18,Hypothèses!$W$18,""))))))))))))</f>
        <v>#DIV/0!</v>
      </c>
      <c r="CD91" s="95" t="e">
        <f t="shared" ca="1" si="181"/>
        <v>#DIV/0!</v>
      </c>
      <c r="CE91" s="101" t="e">
        <f t="shared" si="226"/>
        <v>#N/A</v>
      </c>
      <c r="CF91" s="91" t="e">
        <f t="shared" si="150"/>
        <v>#N/A</v>
      </c>
      <c r="CG91" s="30" t="e">
        <f t="shared" si="206"/>
        <v>#N/A</v>
      </c>
      <c r="CH91" s="30" t="e">
        <f t="shared" si="207"/>
        <v>#N/A</v>
      </c>
      <c r="CI91" s="31" t="e">
        <f>IF(OR(Hypothèses!$B$4=17,Hypothèses!$B$4=18,Hypothèses!$B$4=19,Hypothèses!$B$4=20),
IF($D91="Pressio.",
IF(OR($E91=3,$E91=1,$E91=4),CH91,CG91),
IF($D91="Pénétro.",
IF(OR($E91=3,$E91=1,$E91=4),CH91,CG91))),IF($D91="Pressio.",
IF($E91=3,CH91,CG91),
IF($D91="Pénétro.",
IF($E91=4,CH91,CG91))))</f>
        <v>#N/A</v>
      </c>
      <c r="CJ91" s="31" t="e">
        <f>(IF(OR(Hypothèses!$B$4=17,Hypothèses!$B$4=18,Hypothèses!$B$4=19,Hypothèses!$B$4=20),
IF($D91="Pressio.",
IF(OR($E91=3,$E91=1,$E91=4),(PI()*CJ$12^2)/4*(CF91*$W91*1000)/($H91*$B$5),(PI()*CJ$12^2)/4*(CF91*$W91*1000)/($G91*$B$5)),
IF($D91="Pénétro.",
IF(OR($E91=4,$E91=1,$E91=5),(PI()*CJ$12^2)/4*(CF91*$W91*1000)/($H91*$B$5),(PI()*CJ$12^2)/4*(CF91*$W91*1000)/($G91*$B$5)))),
IF($D91="Pressio.",
IF($E91=3,(PI()*CJ$12^2)/4*(CF91*$W91*1000)/($H91*$B$5),(PI()*CJ$12^2)/4*(CF91*$W91*1000)/($G91*$B$5)),
IF($D91="Pénétro.",
IF($E91=4,(PI()*CJ$12^2)/4*(CF91*$W91*1000)/($H91*$B$5),(PI()*CJ$12^2)/4*(CF91*$W91*1000)/($G91*$B$5))))))/10</f>
        <v>#N/A</v>
      </c>
      <c r="CK91" s="102" t="e">
        <f>(VLOOKUP($B$3,'Coeff EC7'!$T$39:$X$59,2,0)*CI91+VLOOKUP($B$3,'Coeff EC7'!$T$65:$X$85,2,0)*Model0.1C!CJ91)/1.1</f>
        <v>#N/A</v>
      </c>
      <c r="CL91" s="102" t="e">
        <f>(VLOOKUP($B$3,'Coeff EC7'!$T$39:$X$59,3,0)*CI91+VLOOKUP($B$3,'Coeff EC7'!$T$65:$X$85,3,0)*Model0.1C!CJ91)/0.9</f>
        <v>#N/A</v>
      </c>
      <c r="CM91" s="102" t="e">
        <f t="shared" si="182"/>
        <v>#N/A</v>
      </c>
      <c r="CN91" s="102" t="e">
        <f t="shared" si="183"/>
        <v>#N/A</v>
      </c>
      <c r="CO91" s="414" t="e">
        <f>IF(CO90=0,0,IF(AND(CK91&gt;charge_ELS_quasi,CL91&gt;Charge_ELS_freq,CM91&gt;charge_ELU,CN91&gt;charge_ELA,$B91&gt;NDC!$H$22-0.1+MIN(3*$CO$12,1.5)),0,1))</f>
        <v>#N/A</v>
      </c>
      <c r="CP91" s="86" t="b">
        <f t="shared" si="151"/>
        <v>0</v>
      </c>
      <c r="CQ91" s="86">
        <f t="shared" si="152"/>
        <v>0.5</v>
      </c>
      <c r="CR91" s="86">
        <f t="shared" si="153"/>
        <v>0.5</v>
      </c>
      <c r="CS91" s="30" t="e">
        <f t="shared" ca="1" si="184"/>
        <v>#DIV/0!</v>
      </c>
      <c r="CT91" s="85" t="e">
        <f ca="1">IF(BZ91&lt;=Hypothèses!$V$7,Hypothèses!$W$7,IF(BZ91&lt;=Hypothèses!$V$8,Hypothèses!$W$8,IF(BZ91&lt;=Hypothèses!$V$9,Hypothèses!$W$9,IF(BZ91&lt;=Hypothèses!$V$10,Hypothèses!$W$10,IF(BZ91&lt;=Hypothèses!$V$11,Hypothèses!$W$11,IF(BZ91&lt;=Hypothèses!$V$12,Hypothèses!$W$12,IF(BZ91&lt;=Hypothèses!$V$13,Hypothèses!$W$13,IF(BZ91&lt;=Hypothèses!$V$14,Hypothèses!$W$14,IF(BZ91&lt;=Hypothèses!$V$15,Hypothèses!$W$15,IF(BZ91&lt;=Hypothèses!$V$16,Hypothèses!$W$16,IF(BZ91&lt;=Hypothèses!$V$17,Hypothèses!$W$17,IF(BZ91&lt;=Hypothèses!$V$18,Hypothèses!$W$18,""))))))))))))</f>
        <v>#DIV/0!</v>
      </c>
      <c r="CU91" s="87" t="e">
        <f t="shared" ca="1" si="220"/>
        <v>#DIV/0!</v>
      </c>
      <c r="CV91" s="88" t="e">
        <f ca="1">IF(BZ91&lt;=Hypothèses!$V$7,Hypothèses!$X$7,IF(BZ91&lt;=Hypothèses!$V$8,Hypothèses!$X$8,IF(BZ91&lt;=Hypothèses!$V$9,Hypothèses!$X$9,IF(BZ91&lt;=Hypothèses!$V$10,Hypothèses!$X$10,IF(BZ91&lt;=Hypothèses!$V$11,Hypothèses!$X$11,IF(BZ91&lt;=Hypothèses!$V$12,Hypothèses!$X$12,IF(BZ91&lt;=Hypothèses!$V$13,Hypothèses!$X$13,IF(BZ91&lt;=Hypothèses!$V$14,Hypothèses!$X$14,IF(BZ91&lt;=Hypothèses!$V$15,Hypothèses!$X$15,IF(BZ91&lt;=Hypothèses!$V$16,Hypothèses!$X$16,IF(BZ91&lt;=Hypothèses!$U$17,Hypothèses!$W$17,IF(BZ91&lt;=Hypothèses!$U$18,Hypothèses!$W$18,""))))))))))))</f>
        <v>#DIV/0!</v>
      </c>
      <c r="CW91" s="95" t="e">
        <f t="shared" ca="1" si="185"/>
        <v>#DIV/0!</v>
      </c>
      <c r="CX91" s="101" t="e">
        <f t="shared" si="227"/>
        <v>#N/A</v>
      </c>
      <c r="CY91" s="91" t="e">
        <f t="shared" si="154"/>
        <v>#N/A</v>
      </c>
      <c r="CZ91" s="30" t="e">
        <f t="shared" si="208"/>
        <v>#N/A</v>
      </c>
      <c r="DA91" s="30" t="e">
        <f t="shared" si="209"/>
        <v>#N/A</v>
      </c>
      <c r="DB91" s="31" t="e">
        <f>IF(OR(Hypothèses!$B$4=17,Hypothèses!$B$4=18,Hypothèses!$B$4=19,Hypothèses!$B$4=20),
IF($D91="Pressio.",
IF(OR($E91=3,$E91=1,$E91=4),DA91,CZ91),
IF($D91="Pénétro.",
IF(OR($E91=3,$E91=1,$E91=4),DA91,CZ91))),IF($D91="Pressio.",
IF($E91=3,DA91,CZ91),
IF($D91="Pénétro.",
IF($E91=4,DA91,CZ91))))</f>
        <v>#N/A</v>
      </c>
      <c r="DC91" s="31" t="e">
        <f>(IF(OR(Hypothèses!$B$4=17,Hypothèses!$B$4=18,Hypothèses!$B$4=19,Hypothèses!$B$4=20),
IF($D91="Pressio.",
IF(OR($E91=3,$E91=1,$E91=4),(PI()*DC$12^2)/4*(CY91*$W91*1000)/($H91*$B$5),(PI()*DC$12^2)/4*(CY91*$W91*1000)/($G91*$B$5)),
IF($D91="Pénétro.",
IF(OR($E91=4,$E91=1,$E91=5),(PI()*DC$12^2)/4*(CY91*$W91*1000)/($H91*$B$5),(PI()*DC$12^2)/4*(CY91*$W91*1000)/($G91*$B$5)))),
IF($D91="Pressio.",
IF($E91=3,(PI()*DC$12^2)/4*(CY91*$W91*1000)/($H91*$B$5),(PI()*DC$12^2)/4*(CY91*$W91*1000)/($G91*$B$5)),
IF($D91="Pénétro.",
IF($E91=4,(PI()*DC$12^2)/4*(CY91*$W91*1000)/($H91*$B$5),(PI()*DC$12^2)/4*(CY91*$W91*1000)/($G91*$B$5))))))/10</f>
        <v>#N/A</v>
      </c>
      <c r="DD91" s="102" t="e">
        <f>(VLOOKUP($B$3,'Coeff EC7'!$T$39:$X$59,2,0)*DB91+VLOOKUP($B$3,'Coeff EC7'!$T$65:$X$85,2,0)*Model0.1C!DC91)/1.1</f>
        <v>#N/A</v>
      </c>
      <c r="DE91" s="102" t="e">
        <f>(VLOOKUP($B$3,'Coeff EC7'!$T$39:$X$59,3,0)*DB91+VLOOKUP($B$3,'Coeff EC7'!$T$65:$X$85,3,0)*Model0.1C!DC91)/0.9</f>
        <v>#N/A</v>
      </c>
      <c r="DF91" s="102" t="e">
        <f t="shared" si="186"/>
        <v>#N/A</v>
      </c>
      <c r="DG91" s="102" t="e">
        <f t="shared" si="187"/>
        <v>#N/A</v>
      </c>
      <c r="DH91" s="414" t="e">
        <f>IF(DH90=0,0,IF(AND(DD91&gt;charge_ELS_quasi,DE91&gt;Charge_ELS_freq,DF91&gt;charge_ELU,DG91&gt;charge_ELA,$B91&gt;NDC!$H$22-0.1+MIN(3*$DH$12,1.5)),0,1))</f>
        <v>#N/A</v>
      </c>
      <c r="DI91" s="86" t="b">
        <f t="shared" si="155"/>
        <v>0</v>
      </c>
      <c r="DJ91" s="86">
        <f t="shared" si="156"/>
        <v>0.5</v>
      </c>
      <c r="DK91" s="86">
        <f t="shared" si="157"/>
        <v>0.5</v>
      </c>
      <c r="DL91" s="30" t="e">
        <f t="shared" ca="1" si="188"/>
        <v>#DIV/0!</v>
      </c>
      <c r="DM91" s="85" t="e">
        <f ca="1">IF(CS91&lt;=Hypothèses!$V$7,Hypothèses!$W$7,IF(CS91&lt;=Hypothèses!$V$8,Hypothèses!$W$8,IF(CS91&lt;=Hypothèses!$V$9,Hypothèses!$W$9,IF(CS91&lt;=Hypothèses!$V$10,Hypothèses!$W$10,IF(CS91&lt;=Hypothèses!$V$11,Hypothèses!$W$11,IF(CS91&lt;=Hypothèses!$V$12,Hypothèses!$W$12,IF(CS91&lt;=Hypothèses!$V$13,Hypothèses!$W$13,IF(CS91&lt;=Hypothèses!$V$14,Hypothèses!$W$14,IF(CS91&lt;=Hypothèses!$V$15,Hypothèses!$W$15,IF(CS91&lt;=Hypothèses!$V$16,Hypothèses!$W$16,IF(CS91&lt;=Hypothèses!$V$17,Hypothèses!$W$17,IF(CS91&lt;=Hypothèses!$V$18,Hypothèses!$W$18,""))))))))))))</f>
        <v>#DIV/0!</v>
      </c>
      <c r="DN91" s="87" t="e">
        <f t="shared" ca="1" si="221"/>
        <v>#DIV/0!</v>
      </c>
      <c r="DO91" s="88" t="e">
        <f ca="1">IF(CS91&lt;=Hypothèses!$V$7,Hypothèses!$X$7,IF(CS91&lt;=Hypothèses!$V$8,Hypothèses!$X$8,IF(CS91&lt;=Hypothèses!$V$9,Hypothèses!$X$9,IF(CS91&lt;=Hypothèses!$V$10,Hypothèses!$X$10,IF(CS91&lt;=Hypothèses!$V$11,Hypothèses!$X$11,IF(CS91&lt;=Hypothèses!$V$12,Hypothèses!$X$12,IF(CS91&lt;=Hypothèses!$V$13,Hypothèses!$X$13,IF(CS91&lt;=Hypothèses!$V$14,Hypothèses!$X$14,IF(CS91&lt;=Hypothèses!$V$15,Hypothèses!$X$15,IF(CS91&lt;=Hypothèses!$V$16,Hypothèses!$X$16,IF(CS91&lt;=Hypothèses!$U$17,Hypothèses!$W$17,IF(CS91&lt;=Hypothèses!$U$18,Hypothèses!$W$18,""))))))))))))</f>
        <v>#DIV/0!</v>
      </c>
      <c r="DP91" s="95" t="e">
        <f t="shared" ca="1" si="189"/>
        <v>#DIV/0!</v>
      </c>
      <c r="DQ91" s="101" t="e">
        <f t="shared" si="228"/>
        <v>#N/A</v>
      </c>
      <c r="DR91" s="91" t="e">
        <f t="shared" si="158"/>
        <v>#N/A</v>
      </c>
      <c r="DS91" s="30" t="e">
        <f t="shared" si="210"/>
        <v>#N/A</v>
      </c>
      <c r="DT91" s="30" t="e">
        <f t="shared" si="211"/>
        <v>#N/A</v>
      </c>
      <c r="DU91" s="31" t="e">
        <f>IF(OR(Hypothèses!$B$4=17,Hypothèses!$B$4=18,Hypothèses!$B$4=19,Hypothèses!$B$4=20),
IF($D91="Pressio.",
IF(OR($E91=3,$E91=1,$E91=4),DT91,DS91),
IF($D91="Pénétro.",
IF(OR($E91=3,$E91=1,$E91=4),DT91,DS91))),IF($D91="Pressio.",
IF($E91=3,DT91,DS91),
IF($D91="Pénétro.",
IF($E91=4,DT91,DS91))))</f>
        <v>#N/A</v>
      </c>
      <c r="DV91" s="31" t="e">
        <f>(IF(OR(Hypothèses!$B$4=17,Hypothèses!$B$4=18,Hypothèses!$B$4=19,Hypothèses!$B$4=20),
IF($D91="Pressio.",
IF(OR($E91=3,$E91=1,$E91=4),(PI()*DV$12^2)/4*(DR91*$W91*1000)/($H91*$B$5),(PI()*DV$12^2)/4*(DR91*$W91*1000)/($G91*$B$5)),
IF($D91="Pénétro.",
IF(OR($E91=4,$E91=1,$E91=5),(PI()*DV$12^2)/4*(DR91*$W91*1000)/($H91*$B$5),(PI()*DV$12^2)/4*(DR91*$W91*1000)/($G91*$B$5)))),
IF($D91="Pressio.",
IF($E91=3,(PI()*DV$12^2)/4*(DR91*$W91*1000)/($H91*$B$5),(PI()*DV$12^2)/4*(DR91*$W91*1000)/($G91*$B$5)),
IF($D91="Pénétro.",
IF($E91=4,(PI()*DV$12^2)/4*(DR91*$W91*1000)/($H91*$B$5),(PI()*DV$12^2)/4*(DR91*$W91*1000)/($G91*$B$5))))))/10</f>
        <v>#N/A</v>
      </c>
      <c r="DW91" s="102" t="e">
        <f>(VLOOKUP($B$3,'Coeff EC7'!$T$39:$X$59,2,0)*DU91+VLOOKUP($B$3,'Coeff EC7'!$T$65:$X$85,2,0)*Model0.1C!DV91)/1.1</f>
        <v>#N/A</v>
      </c>
      <c r="DX91" s="102" t="e">
        <f>(VLOOKUP($B$3,'Coeff EC7'!$T$39:$X$59,3,0)*DU91+VLOOKUP($B$3,'Coeff EC7'!$T$65:$X$85,3,0)*Model0.1C!DV91)/0.9</f>
        <v>#N/A</v>
      </c>
      <c r="DY91" s="102" t="e">
        <f t="shared" si="190"/>
        <v>#N/A</v>
      </c>
      <c r="DZ91" s="102" t="e">
        <f t="shared" si="191"/>
        <v>#N/A</v>
      </c>
      <c r="EA91" s="414" t="e">
        <f>IF(EA90=0,0,IF(AND(DW91&gt;charge_ELS_quasi,DX91&gt;Charge_ELS_freq,DY91&gt;charge_ELU,DZ91&gt;charge_ELA,$B91&gt;NDC!$H$22-0.1+MIN(3*$EA$12,1.5)),0,1))</f>
        <v>#N/A</v>
      </c>
      <c r="EB91" s="86" t="b">
        <f t="shared" si="159"/>
        <v>0</v>
      </c>
      <c r="EC91" s="418">
        <f t="shared" si="160"/>
        <v>0.51</v>
      </c>
      <c r="ED91" s="86">
        <f t="shared" si="161"/>
        <v>0.51</v>
      </c>
      <c r="EE91" s="30" t="e">
        <f t="shared" ca="1" si="192"/>
        <v>#DIV/0!</v>
      </c>
      <c r="EF91" s="85" t="e">
        <f ca="1">IF(DL91&lt;=Hypothèses!$V$7,Hypothèses!$W$7,IF(DL91&lt;=Hypothèses!$V$8,Hypothèses!$W$8,IF(DL91&lt;=Hypothèses!$V$9,Hypothèses!$W$9,IF(DL91&lt;=Hypothèses!$V$10,Hypothèses!$W$10,IF(DL91&lt;=Hypothèses!$V$11,Hypothèses!$W$11,IF(DL91&lt;=Hypothèses!$V$12,Hypothèses!$W$12,IF(DL91&lt;=Hypothèses!$V$13,Hypothèses!$W$13,IF(DL91&lt;=Hypothèses!$V$14,Hypothèses!$W$14,IF(DL91&lt;=Hypothèses!$V$15,Hypothèses!$W$15,IF(DL91&lt;=Hypothèses!$V$16,Hypothèses!$W$16,IF(DL91&lt;=Hypothèses!$V$17,Hypothèses!$W$17,IF(DL91&lt;=Hypothèses!$V$18,Hypothèses!$W$18,""))))))))))))</f>
        <v>#DIV/0!</v>
      </c>
      <c r="EG91" s="87" t="e">
        <f t="shared" ca="1" si="222"/>
        <v>#DIV/0!</v>
      </c>
      <c r="EH91" s="88" t="e">
        <f ca="1">IF(DL91&lt;=Hypothèses!$V$7,Hypothèses!$X$7,IF(DL91&lt;=Hypothèses!$V$8,Hypothèses!$X$8,IF(DL91&lt;=Hypothèses!$V$9,Hypothèses!$X$9,IF(DL91&lt;=Hypothèses!$V$10,Hypothèses!$X$10,IF(DL91&lt;=Hypothèses!$V$11,Hypothèses!$X$11,IF(DL91&lt;=Hypothèses!$V$12,Hypothèses!$X$12,IF(DL91&lt;=Hypothèses!$V$13,Hypothèses!$X$13,IF(DL91&lt;=Hypothèses!$V$14,Hypothèses!$X$14,IF(DL91&lt;=Hypothèses!$V$15,Hypothèses!$X$15,IF(DL91&lt;=Hypothèses!$V$16,Hypothèses!$X$16,IF(DL91&lt;=Hypothèses!$U$17,Hypothèses!$W$17,IF(DL91&lt;=Hypothèses!$U$18,Hypothèses!$W$18,""))))))))))))</f>
        <v>#DIV/0!</v>
      </c>
      <c r="EI91" s="95" t="e">
        <f t="shared" ca="1" si="193"/>
        <v>#DIV/0!</v>
      </c>
      <c r="EJ91" s="101" t="e">
        <f t="shared" si="229"/>
        <v>#N/A</v>
      </c>
      <c r="EK91" s="91" t="e">
        <f t="shared" si="162"/>
        <v>#N/A</v>
      </c>
      <c r="EL91" s="30" t="e">
        <f t="shared" si="212"/>
        <v>#N/A</v>
      </c>
      <c r="EM91" s="30" t="e">
        <f t="shared" si="213"/>
        <v>#N/A</v>
      </c>
      <c r="EN91" s="31" t="e">
        <f>IF(OR(Hypothèses!$B$4=17,Hypothèses!$B$4=18,Hypothèses!$B$4=19,Hypothèses!$B$4=20),
IF($D91="Pressio.",
IF(OR($E91=3,$E91=1,$E91=4),EM91,EL91),
IF($D91="Pénétro.",
IF(OR($E91=3,$E91=1,$E91=4),EM91,EL91))),IF($D91="Pressio.",
IF($E91=3,EM91,EL91),
IF($D91="Pénétro.",
IF($E91=4,EM91,EL91))))</f>
        <v>#N/A</v>
      </c>
      <c r="EO91" s="31" t="e">
        <f>(IF(OR(Hypothèses!$B$4=17,Hypothèses!$B$4=18,Hypothèses!$B$4=19,Hypothèses!$B$4=20),
IF($D91="Pressio.",
IF(OR($E91=3,$E91=1,$E91=4),(PI()*EO$12^2)/4*(EK91*$W91*1000)/($H91*$B$5),(PI()*EO$12^2)/4*(EK91*$W91*1000)/($G91*$B$5)),
IF($D91="Pénétro.",
IF(OR($E91=4,$E91=1,$E91=5),(PI()*EO$12^2)/4*(EK91*$W91*1000)/($H91*$B$5),(PI()*EO$12^2)/4*(EK91*$W91*1000)/($G91*$B$5)))),
IF($D91="Pressio.",
IF($E91=3,(PI()*EO$12^2)/4*(EK91*$W91*1000)/($H91*$B$5),(PI()*EO$12^2)/4*(EK91*$W91*1000)/($G91*$B$5)),
IF($D91="Pénétro.",
IF($E91=4,(PI()*EO$12^2)/4*(EK91*$W91*1000)/($H91*$B$5),(PI()*EO$12^2)/4*(EK91*$W91*1000)/($G91*$B$5))))))/10</f>
        <v>#N/A</v>
      </c>
      <c r="EP91" s="102" t="e">
        <f>(VLOOKUP($B$3,'Coeff EC7'!$T$39:$X$59,2,0)*EN91+VLOOKUP($B$3,'Coeff EC7'!$T$65:$X$85,2,0)*Model0.1C!EO91)/1.1</f>
        <v>#N/A</v>
      </c>
      <c r="EQ91" s="102" t="e">
        <f>(VLOOKUP($B$3,'Coeff EC7'!$T$39:$X$59,3,0)*EN91+VLOOKUP($B$3,'Coeff EC7'!$T$65:$X$85,3,0)*Model0.1C!EO91)/0.9</f>
        <v>#N/A</v>
      </c>
      <c r="ER91" s="102" t="e">
        <f t="shared" si="194"/>
        <v>#N/A</v>
      </c>
      <c r="ES91" s="102" t="e">
        <f t="shared" si="195"/>
        <v>#N/A</v>
      </c>
      <c r="ET91" s="414" t="e">
        <f>IF(ET90=0,0,IF(AND(EP91&gt;charge_ELS_quasi,EQ91&gt;Charge_ELS_freq,ER91&gt;charge_ELU,ES91&gt;charge_ELA,$B91&gt;NDC!$H$22-0.1+MIN(3*$ET$12,1.5)),0,1))</f>
        <v>#N/A</v>
      </c>
      <c r="EU91" s="86" t="b">
        <f t="shared" si="163"/>
        <v>0</v>
      </c>
      <c r="EV91" s="86">
        <f t="shared" si="164"/>
        <v>0.61</v>
      </c>
      <c r="EW91" s="86">
        <f t="shared" si="165"/>
        <v>0.61</v>
      </c>
      <c r="EX91" s="30" t="e">
        <f t="shared" ca="1" si="196"/>
        <v>#DIV/0!</v>
      </c>
      <c r="EY91" s="85" t="e">
        <f ca="1">IF(EE91&lt;=Hypothèses!$V$7,Hypothèses!$W$7,IF(EE91&lt;=Hypothèses!$V$8,Hypothèses!$W$8,IF(EE91&lt;=Hypothèses!$V$9,Hypothèses!$W$9,IF(EE91&lt;=Hypothèses!$V$10,Hypothèses!$W$10,IF(EE91&lt;=Hypothèses!$V$11,Hypothèses!$W$11,IF(EE91&lt;=Hypothèses!$V$12,Hypothèses!$W$12,IF(EE91&lt;=Hypothèses!$V$13,Hypothèses!$W$13,IF(EE91&lt;=Hypothèses!$V$14,Hypothèses!$W$14,IF(EE91&lt;=Hypothèses!$V$15,Hypothèses!$W$15,IF(EE91&lt;=Hypothèses!$V$16,Hypothèses!$W$16,IF(EE91&lt;=Hypothèses!$V$17,Hypothèses!$W$17,IF(EE91&lt;=Hypothèses!$V$18,Hypothèses!$W$18,""))))))))))))</f>
        <v>#DIV/0!</v>
      </c>
      <c r="EZ91" s="87" t="e">
        <f t="shared" ca="1" si="223"/>
        <v>#DIV/0!</v>
      </c>
      <c r="FA91" s="88" t="e">
        <f ca="1">IF(EE91&lt;=Hypothèses!$V$7,Hypothèses!$X$7,IF(EE91&lt;=Hypothèses!$V$8,Hypothèses!$X$8,IF(EE91&lt;=Hypothèses!$V$9,Hypothèses!$X$9,IF(EE91&lt;=Hypothèses!$V$10,Hypothèses!$X$10,IF(EE91&lt;=Hypothèses!$V$11,Hypothèses!$X$11,IF(EE91&lt;=Hypothèses!$V$12,Hypothèses!$X$12,IF(EE91&lt;=Hypothèses!$V$13,Hypothèses!$X$13,IF(EE91&lt;=Hypothèses!$V$14,Hypothèses!$X$14,IF(EE91&lt;=Hypothèses!$V$15,Hypothèses!$X$15,IF(EE91&lt;=Hypothèses!$V$16,Hypothèses!$X$16,IF(EE91&lt;=Hypothèses!$U$17,Hypothèses!$W$17,IF(EE91&lt;=Hypothèses!$U$18,Hypothèses!$W$18,""))))))))))))</f>
        <v>#DIV/0!</v>
      </c>
      <c r="FB91" s="95" t="e">
        <f t="shared" ca="1" si="197"/>
        <v>#DIV/0!</v>
      </c>
      <c r="FC91" s="101" t="e">
        <f t="shared" si="230"/>
        <v>#N/A</v>
      </c>
      <c r="FD91" s="91" t="e">
        <f t="shared" si="166"/>
        <v>#N/A</v>
      </c>
      <c r="FE91" s="30" t="e">
        <f t="shared" si="214"/>
        <v>#N/A</v>
      </c>
      <c r="FF91" s="30" t="e">
        <f t="shared" si="215"/>
        <v>#N/A</v>
      </c>
      <c r="FG91" s="31" t="e">
        <f>IF(OR(Hypothèses!$B$4=17,Hypothèses!$B$4=18,Hypothèses!$B$4=19,Hypothèses!$B$4=20),
IF($D91="Pressio.",
IF(OR($E91=3,$E91=1,$E91=4),FF91,FE91),
IF($D91="Pénétro.",
IF(OR($E91=3,$E91=1,$E91=4),FF91,FE91))),IF($D91="Pressio.",
IF($E91=3,FF91,FE91),
IF($D91="Pénétro.",
IF($E91=4,FF91,FE91))))</f>
        <v>#N/A</v>
      </c>
      <c r="FH91" s="31" t="e">
        <f>(IF(OR(Hypothèses!$B$4=17,Hypothèses!$B$4=18,Hypothèses!$B$4=19,Hypothèses!$B$4=20),
IF($D91="Pressio.",
IF(OR($E91=3,$E91=1,$E91=4),(PI()*FH$12^2)/4*(FD91*$W91*1000)/($H91*$B$5),(PI()*FH$12^2)/4*(FD91*$W91*1000)/($G91*$B$5)),
IF($D91="Pénétro.",
IF(OR($E91=4,$E91=1,$E91=5),(PI()*FH$12^2)/4*(FD91*$W91*1000)/($H91*$B$5),(PI()*FH$12^2)/4*(FD91*$W91*1000)/($G91*$B$5)))),
IF($D91="Pressio.",
IF($E91=3,(PI()*FH$12^2)/4*(FD91*$W91*1000)/($H91*$B$5),(PI()*FH$12^2)/4*(FD91*$W91*1000)/($G91*$B$5)),
IF($D91="Pénétro.",
IF($E91=4,(PI()*FH$12^2)/4*(FD91*$W91*1000)/($H91*$B$5),(PI()*FH$12^2)/4*(FD91*$W91*1000)/($G91*$B$5))))))/10</f>
        <v>#N/A</v>
      </c>
      <c r="FI91" s="102" t="e">
        <f>(VLOOKUP($B$3,'Coeff EC7'!$T$39:$X$59,2,0)*FG91+VLOOKUP($B$3,'Coeff EC7'!$T$65:$X$85,2,0)*Model0.1C!FH91)/1.1</f>
        <v>#N/A</v>
      </c>
      <c r="FJ91" s="102" t="e">
        <f>(VLOOKUP($B$3,'Coeff EC7'!$T$39:$X$59,3,0)*FG91+VLOOKUP($B$3,'Coeff EC7'!$T$65:$X$85,3,0)*Model0.1C!FH91)/0.9</f>
        <v>#N/A</v>
      </c>
      <c r="FK91" s="102" t="e">
        <f t="shared" si="198"/>
        <v>#N/A</v>
      </c>
      <c r="FL91" s="102" t="e">
        <f t="shared" si="199"/>
        <v>#N/A</v>
      </c>
      <c r="FM91" s="414" t="e">
        <f>IF(FM90=0,0,IF(AND(FI91&gt;charge_ELS_quasi,FJ91&gt;Charge_ELS_freq,FK91&gt;charge_ELU,FL91&gt;charge_ELA,$B91&gt;NDC!$H$22-0.1+MIN(3*$FM$12,1.5)),0,1))</f>
        <v>#N/A</v>
      </c>
    </row>
    <row r="92" spans="1:169">
      <c r="A92" s="96">
        <f t="shared" si="167"/>
        <v>92.100000000000449</v>
      </c>
      <c r="B92" s="97">
        <v>7.9</v>
      </c>
      <c r="C92" s="81">
        <f>IF(B92&lt;=Hypothèses!$C$7,Hypothèses!$A$7,IF(B92&lt;=Hypothèses!$C$8,Hypothèses!$A$8,IF(B92&lt;=Hypothèses!$C$9,Hypothèses!$A$9,IF(B92&lt;=Hypothèses!$C$10,Hypothèses!$A$10,IF(B92&lt;=Hypothèses!$C$11,Hypothèses!$A$11,IF(B92&lt;=Hypothèses!$C$12,Hypothèses!$A$12,IF(B92&lt;=Hypothèses!$C$13,Hypothèses!$A$13,IF(B92&lt;=Hypothèses!$C$14,Hypothèses!$A$14,IF(B92&lt;=Hypothèses!$C$15,Hypothèses!$A$15,IF(B92&lt;=Hypothèses!$C$16,Hypothèses!$A$16,IF(B92&lt;=Hypothèses!$C$17,Hypothèses!$A$17,IF(B92&lt;=Hypothèses!$C$18,Hypothèses!$A$18,C91))))))))))))</f>
        <v>11</v>
      </c>
      <c r="D92" s="82" t="str">
        <f>IF(B92&lt;=Hypothèses!$C$7,Hypothèses!$R$7,IF(B92&lt;=Hypothèses!$C$8,Hypothèses!$R$8,IF(B92&lt;=Hypothèses!$C$9,Hypothèses!$R$9,IF(B92&lt;=Hypothèses!$C$10,Hypothèses!$R$10,IF(B92&lt;=Hypothèses!$C$11,Hypothèses!$R$11,IF(B92&lt;=Hypothèses!$C$12,Hypothèses!$R$12,IF(B92&lt;=Hypothèses!$C$13,Hypothèses!$R$13,IF(B92&lt;=Hypothèses!$C$14,Hypothèses!$R$14,IF(B92&lt;=Hypothèses!$C$15,Hypothèses!$R$15,IF(B92&lt;=Hypothèses!$C$16,Hypothèses!$R$16,IF(B92&lt;=Hypothèses!$C$17,Hypothèses!$R$17,IF(B92&lt;=Hypothèses!$C$18,Hypothèses!$R$18,D91))))))))))))</f>
        <v>Pressio.</v>
      </c>
      <c r="E92" s="82" t="e">
        <f>IF(B92&lt;=Hypothèses!$C$7,Hypothèses!$G$7,IF(B92&lt;=Hypothèses!$C$8,Hypothèses!$G$8,IF(B92&lt;=Hypothèses!$C$9,Hypothèses!$G$9,IF(B92&lt;=Hypothèses!$C$10,Hypothèses!$G$10,IF(B92&lt;=Hypothèses!$C$11,Hypothèses!$G$11,IF(B92&lt;=Hypothèses!$C$12,Hypothèses!$G$12,IF(B92&lt;=Hypothèses!$C$13,Hypothèses!$G$13,IF(B92&lt;=Hypothèses!$C$14,Hypothèses!$G$14,IF(B92&lt;=Hypothèses!$C$15,Hypothèses!$G$15,IF(B92&lt;=Hypothèses!$C$16,Hypothèses!$G$16,IF(B92&lt;=Hypothèses!$C$17,Hypothèses!$G$17,IF(B92&lt;=Hypothèses!$C$18,Hypothèses!$G$18,E91))))))))))))</f>
        <v>#N/A</v>
      </c>
      <c r="F92" s="82" t="str">
        <f>IF(B92&lt;=Hypothèses!$C$7,Hypothèses!$F$7,IF(B92&lt;=Hypothèses!$C$8,Hypothèses!$F$8,IF(B92&lt;=Hypothèses!$C$9,Hypothèses!$F$9,IF(B92&lt;=Hypothèses!$C$10,Hypothèses!$F$10,IF(B92&lt;=Hypothèses!$C$11,Hypothèses!$F$11,IF(B92&lt;=Hypothèses!$C$12,Hypothèses!$F$12,IF(B92&lt;=Hypothèses!$C$13,Hypothèses!$F$13,IF(B92&lt;=Hypothèses!$C$14,Hypothèses!$F$14,IF(B92&lt;=Hypothèses!$C$15,Hypothèses!$F$15,IF(B92&lt;=Hypothèses!$C$16,Hypothèses!$F$16,IF(B92&lt;=Hypothèses!$C$17,Hypothèses!$F$17,IF(B92&lt;=Hypothèses!$C$18,Hypothèses!$F$18,F91))))))))))))</f>
        <v/>
      </c>
      <c r="G92" s="91">
        <f t="array" ref="G92">INDEX('Coeff EC7'!$U$7:$X$27,
MATCH(Model0.1C!$B$3,'Coeff EC7'!$T$7:$T$27,0),
MATCH(Model0.1C!$D92&amp;Model0.1C!$B$4,
'Coeff EC7'!$U$6:$X$6&amp;
'Coeff EC7'!$U$5:$X$5,0))</f>
        <v>1.1499999999999999</v>
      </c>
      <c r="H92" s="91">
        <f t="array" ref="H92">INDEX('Coeff EC7'!$Y$7:$AB$27,
MATCH(Model0.1C!$B$3,'Coeff EC7'!$T$7:$T$27,0),
MATCH(Model0.1C!$D92&amp;Model0.1C!$B$4,
'Coeff EC7'!$Y$6:$AB$6&amp;
'Coeff EC7'!$Y$5:$AB$5,0))</f>
        <v>1.4</v>
      </c>
      <c r="I92" s="83" t="e">
        <f>IF(B92&lt;=Hypothèses!$C$7,Hypothèses!$P$7,IF(B92&lt;=Hypothèses!$C$8,Hypothèses!$P$8,IF(B92&lt;=Hypothèses!$C$9,Hypothèses!$P$9,IF(B92&lt;=Hypothèses!$C$10,Hypothèses!$P$10,IF(B92&lt;=Hypothèses!$C$11,Hypothèses!$P$11,IF(B92&lt;=Hypothèses!$C$12,Hypothèses!$P$12,IF(B92&lt;=Hypothèses!$C$13,Hypothèses!$P$13,IF(B92&lt;=Hypothèses!$C$14,Hypothèses!$P$14,IF(B92&lt;=Hypothèses!$C$15,Hypothèses!$P$15,IF(B92&lt;=Hypothèses!$C$16,Hypothèses!$P$16,IF(B92&lt;=Hypothèses!$C$17,Hypothèses!$P$17,IF(B92&lt;=Hypothèses!$C$18,Hypothèses!$P$18,I91))))))))))))</f>
        <v>#N/A</v>
      </c>
      <c r="J92" s="91" t="e">
        <f t="array" ref="J92">INDEX('Coeff EC7'!$D$33:$Q$33,1,MATCH(D92&amp;E92,'Coeff EC7'!$D$31:$Q$31&amp;'Coeff EC7'!$D$32:$Q$32,0))</f>
        <v>#N/A</v>
      </c>
      <c r="K92" s="91" t="e">
        <f t="array" ref="K92">INDEX('Coeff EC7'!$D$34:$Q$34,1,MATCH(D92&amp;E92,'Coeff EC7'!$D$31:$Q$31&amp;'Coeff EC7'!$D$32:$Q$32,0))</f>
        <v>#N/A</v>
      </c>
      <c r="L92" s="91" t="e">
        <f t="array" ref="L92">INDEX('Coeff EC7'!$D$35:$Q$35,1,MATCH(D92&amp;E92,'Coeff EC7'!$D$31:$Q$31&amp;'Coeff EC7'!$D$32:$Q$32,0))</f>
        <v>#N/A</v>
      </c>
      <c r="M92" s="98" t="e">
        <f t="shared" si="131"/>
        <v>#N/A</v>
      </c>
      <c r="N92" s="99" t="e">
        <f t="array" ref="N92">INDEX('Coeff EC7'!$D$7:$Q$27,MATCH($B$3,'Coeff EC7'!$C$7:$C$27,0),MATCH(D92&amp;E92,'Coeff EC7'!$D$5:$Q$5&amp;'Coeff EC7'!$D$6:$Q$6,0))</f>
        <v>#N/A</v>
      </c>
      <c r="O92" s="99" t="e">
        <f t="array" ref="O92">INDEX('Coeff EC7'!$D$41:$Q$61,MATCH($B$3,'Coeff EC7'!$C$41:$C$61,0),MATCH(D92&amp;E92,'Coeff EC7'!$D$39:$Q$39&amp;'Coeff EC7'!$D$40:$Q$40,0))</f>
        <v>#N/A</v>
      </c>
      <c r="P92" s="30" t="e">
        <f t="shared" si="168"/>
        <v>#N/A</v>
      </c>
      <c r="Q92" s="100" t="e">
        <f t="shared" si="133"/>
        <v>#N/A</v>
      </c>
      <c r="R92" s="86" t="b">
        <f t="shared" si="134"/>
        <v>0</v>
      </c>
      <c r="S92" s="86">
        <f t="shared" si="132"/>
        <v>0.5</v>
      </c>
      <c r="T92" s="86">
        <f t="shared" si="135"/>
        <v>0.5</v>
      </c>
      <c r="U92" s="30" t="e">
        <f t="shared" ca="1" si="169"/>
        <v>#DIV/0!</v>
      </c>
      <c r="V92" s="85" t="str">
        <f>IF(B92&lt;=Hypothèses!$V$7,Hypothèses!$W$7,IF(B92&lt;=Hypothèses!$V$8,Hypothèses!$W$8,IF(B92&lt;=Hypothèses!$V$9,Hypothèses!$W$9,IF(B92&lt;=Hypothèses!$V$10,Hypothèses!$W$10,IF(B92&lt;=Hypothèses!$V$11,Hypothèses!$W$11,IF(B92&lt;=Hypothèses!$V$12,Hypothèses!$W$12,IF(B92&lt;=Hypothèses!$V$13,Hypothèses!$W$13,IF(B92&lt;=Hypothèses!$V$14,Hypothèses!$W$14,IF(B92&lt;=Hypothèses!$V$15,Hypothèses!$W$15,IF(B92&lt;=Hypothèses!$V$16,Hypothèses!$W$16,IF(B92&lt;=Hypothèses!$V$17,Hypothèses!$W$17,IF(B92&lt;=Hypothèses!$V$18,Hypothèses!$W$18,""))))))))))))</f>
        <v/>
      </c>
      <c r="W92" s="87" t="e">
        <f t="shared" ca="1" si="216"/>
        <v>#DIV/0!</v>
      </c>
      <c r="X92" s="88" t="str">
        <f>IF(B92&lt;=Hypothèses!$V$7,Hypothèses!$X$7,IF(B92&lt;=Hypothèses!$V$8,Hypothèses!$X$8,IF(B92&lt;=Hypothèses!$V$9,Hypothèses!$X$9,IF(B92&lt;=Hypothèses!$V$10,Hypothèses!$X$10,IF(B92&lt;=Hypothèses!$V$11,Hypothèses!$X$11,IF(B92&lt;=Hypothèses!$V$12,Hypothèses!$X$12,IF(B92&lt;=Hypothèses!$V$13,Hypothèses!$X$13,IF(B92&lt;=Hypothèses!$V$14,Hypothèses!$X$14,IF(B92&lt;=Hypothèses!$V$15,Hypothèses!$X$15,IF(B92&lt;=Hypothèses!$V$16,Hypothèses!$X$16,IF(B92&lt;=Hypothèses!$U$17,Hypothèses!$W$17,IF(B92&lt;=Hypothèses!$U$18,Hypothèses!$W$18,""))))))))))))</f>
        <v/>
      </c>
      <c r="Y92" s="95" t="e">
        <f t="shared" ca="1" si="136"/>
        <v>#DIV/0!</v>
      </c>
      <c r="Z92" s="101" t="e">
        <f t="shared" si="137"/>
        <v>#N/A</v>
      </c>
      <c r="AA92" s="91" t="e">
        <f t="shared" si="138"/>
        <v>#N/A</v>
      </c>
      <c r="AB92" s="30" t="e">
        <f t="shared" si="200"/>
        <v>#N/A</v>
      </c>
      <c r="AC92" s="30" t="e">
        <f t="shared" si="201"/>
        <v>#N/A</v>
      </c>
      <c r="AD92" s="31" t="e">
        <f>IF(OR(Hypothèses!$B$4=17,Hypothèses!$B$4=18,Hypothèses!$B$4=19,Hypothèses!$B$4=20),
IF($D92="Pressio.",
IF(OR($E92=3,$E92=1,$E92=4),AC92,AB92),
IF($D92="Pénétro.",
IF(OR($E92=3,$E92=1,$E92=4),AC92,AB92))),IF($D92="Pressio.",
IF($E92=3,AC92,AB92),
IF($D92="Pénétro.",
IF($E92=4,AC92,AB92))))</f>
        <v>#N/A</v>
      </c>
      <c r="AE92" s="31" t="e">
        <f>(IF(OR(Hypothèses!$B$4=17,Hypothèses!$B$4=18,Hypothèses!$B$4=19,Hypothèses!$B$4=20),
IF($D92="Pressio.",
IF(OR($E92=3,$E92=1,$E92=4),(PI()*AE$12^2)/4*(AA92*$W92*1000)/($H92*$B$5),(PI()*AE$12^2)/4*(AA92*$W92*1000)/($G92*$B$5)),
IF($D92="Pénétro.",
IF(OR($E92=4,$E92=1,$E92=5),(PI()*AE$12^2)/4*(AA92*$W92*1000)/($H92*$B$5),(PI()*AE$12^2)/4*(AA92*$W92*1000)/($G92*$B$5)))),
IF($D92="Pressio.",
IF($E92=3,(PI()*AE$12^2)/4*(AA92*$W92*1000)/($H92*$B$5),(PI()*AE$12^2)/4*(AA92*$W92*1000)/($G92*$B$5)),
IF($D92="Pénétro.",
IF($E92=4,(PI()*AE$12^2)/4*(AA92*$W92*1000)/($H92*$B$5),(PI()*AE$12^2)/4*(AA92*$W92*1000)/($G92*$B$5))))))/10</f>
        <v>#N/A</v>
      </c>
      <c r="AF92" s="102" t="e">
        <f>(VLOOKUP($B$3,'Coeff EC7'!$T$39:$X$59,2,0)*AD92+VLOOKUP($B$3,'Coeff EC7'!$T$65:$X$85,2,0)*Model0.1C!AE92)/1.1</f>
        <v>#N/A</v>
      </c>
      <c r="AG92" s="102" t="e">
        <f>(VLOOKUP($B$3,'Coeff EC7'!$T$39:$X$59,3,0)*AD92+VLOOKUP($B$3,'Coeff EC7'!$T$65:$X$85,3,0)*Model0.1C!AE92)/0.9</f>
        <v>#N/A</v>
      </c>
      <c r="AH92" s="102" t="e">
        <f t="shared" si="139"/>
        <v>#N/A</v>
      </c>
      <c r="AI92" s="102" t="e">
        <f t="shared" si="140"/>
        <v>#N/A</v>
      </c>
      <c r="AJ92" s="414" t="e">
        <f>IF(AJ91=0,0,IF(AND(AF92&gt;charge_ELS_quasi,AG92&gt;Charge_ELS_freq,AH92&gt;charge_ELU,AI92&gt;charge_ELA,$B92&gt;NDC!$H$22-0.1+MIN(3*$AJ$12,1.5)),0,1))</f>
        <v>#N/A</v>
      </c>
      <c r="AK92" s="86" t="b">
        <f t="shared" si="141"/>
        <v>0</v>
      </c>
      <c r="AL92" s="86">
        <f t="shared" si="170"/>
        <v>0.5</v>
      </c>
      <c r="AM92" s="86">
        <f t="shared" si="142"/>
        <v>0.5</v>
      </c>
      <c r="AN92" s="30" t="e">
        <f t="shared" ca="1" si="171"/>
        <v>#DIV/0!</v>
      </c>
      <c r="AO92" s="85" t="e">
        <f ca="1">IF(U92&lt;=Hypothèses!$V$7,Hypothèses!$W$7,IF(U92&lt;=Hypothèses!$V$8,Hypothèses!$W$8,IF(U92&lt;=Hypothèses!$V$9,Hypothèses!$W$9,IF(U92&lt;=Hypothèses!$V$10,Hypothèses!$W$10,IF(U92&lt;=Hypothèses!$V$11,Hypothèses!$W$11,IF(U92&lt;=Hypothèses!$V$12,Hypothèses!$W$12,IF(U92&lt;=Hypothèses!$V$13,Hypothèses!$W$13,IF(U92&lt;=Hypothèses!$V$14,Hypothèses!$W$14,IF(U92&lt;=Hypothèses!$V$15,Hypothèses!$W$15,IF(U92&lt;=Hypothèses!$V$16,Hypothèses!$W$16,IF(U92&lt;=Hypothèses!$V$17,Hypothèses!$W$17,IF(U92&lt;=Hypothèses!$V$18,Hypothèses!$W$18,""))))))))))))</f>
        <v>#DIV/0!</v>
      </c>
      <c r="AP92" s="87" t="e">
        <f t="shared" ca="1" si="217"/>
        <v>#DIV/0!</v>
      </c>
      <c r="AQ92" s="88" t="e">
        <f ca="1">IF(U92&lt;=Hypothèses!$V$7,Hypothèses!$X$7,IF(U92&lt;=Hypothèses!$V$8,Hypothèses!$X$8,IF(U92&lt;=Hypothèses!$V$9,Hypothèses!$X$9,IF(U92&lt;=Hypothèses!$V$10,Hypothèses!$X$10,IF(U92&lt;=Hypothèses!$V$11,Hypothèses!$X$11,IF(U92&lt;=Hypothèses!$V$12,Hypothèses!$X$12,IF(U92&lt;=Hypothèses!$V$13,Hypothèses!$X$13,IF(U92&lt;=Hypothèses!$V$14,Hypothèses!$X$14,IF(U92&lt;=Hypothèses!$V$15,Hypothèses!$X$15,IF(U92&lt;=Hypothèses!$V$16,Hypothèses!$X$16,IF(U92&lt;=Hypothèses!$U$17,Hypothèses!$W$17,IF(U92&lt;=Hypothèses!$U$18,Hypothèses!$W$18,""))))))))))))</f>
        <v>#DIV/0!</v>
      </c>
      <c r="AR92" s="95" t="e">
        <f t="shared" ca="1" si="172"/>
        <v>#DIV/0!</v>
      </c>
      <c r="AS92" s="101" t="e">
        <f t="shared" si="224"/>
        <v>#N/A</v>
      </c>
      <c r="AT92" s="91" t="e">
        <f t="shared" si="143"/>
        <v>#N/A</v>
      </c>
      <c r="AU92" s="30" t="e">
        <f t="shared" si="202"/>
        <v>#N/A</v>
      </c>
      <c r="AV92" s="30" t="e">
        <f t="shared" si="203"/>
        <v>#N/A</v>
      </c>
      <c r="AW92" s="31" t="e">
        <f>IF(OR(Hypothèses!$B$4=17,Hypothèses!$B$4=18,Hypothèses!$B$4=19,Hypothèses!$B$4=20),
IF($D92="Pressio.",
IF(OR($E92=3,$E92=1,$E92=4),AV92,AU92),
IF($D92="Pénétro.",
IF(OR($E92=3,$E92=1,$E92=4),AV92,AU92))),IF($D92="Pressio.",
IF($E92=3,AV92,AU92),
IF($D92="Pénétro.",
IF($E92=4,AV92,AU92))))</f>
        <v>#N/A</v>
      </c>
      <c r="AX92" s="31" t="e">
        <f>(IF(OR(Hypothèses!$B$4=17,Hypothèses!$B$4=18,Hypothèses!$B$4=19,Hypothèses!$B$4=20),
IF($D92="Pressio.",
IF(OR($E92=3,$E92=1,$E92=4),(PI()*AX$12^2)/4*(AT92*$W92*1000)/($H92*$B$5),(PI()*AX$12^2)/4*(AT92*$W92*1000)/($G92*$B$5)),
IF($D92="Pénétro.",
IF(OR($E92=4,$E92=1,$E92=5),(PI()*AX$12^2)/4*(AT92*$W92*1000)/($H92*$B$5),(PI()*AX$12^2)/4*(AT92*$W92*1000)/($G92*$B$5)))),
IF($D92="Pressio.",
IF($E92=3,(PI()*AX$12^2)/4*(AT92*$W92*1000)/($H92*$B$5),(PI()*AX$12^2)/4*(AT92*$W92*1000)/($G92*$B$5)),
IF($D92="Pénétro.",
IF($E92=4,(PI()*AX$12^2)/4*(AT92*$W92*1000)/($H92*$B$5),(PI()*AX$12^2)/4*(AT92*$W92*1000)/($G92*$B$5))))))/10</f>
        <v>#N/A</v>
      </c>
      <c r="AY92" s="102" t="e">
        <f>(VLOOKUP($B$3,'Coeff EC7'!$T$39:$X$59,2,0)*AW92+VLOOKUP($B$3,'Coeff EC7'!$T$65:$X$85,2,0)*Model0.1C!AX92)/1.1</f>
        <v>#N/A</v>
      </c>
      <c r="AZ92" s="102" t="e">
        <f>(VLOOKUP($B$3,'Coeff EC7'!$T$39:$X$59,3,0)*AW92+VLOOKUP($B$3,'Coeff EC7'!$T$65:$X$85,3,0)*Model0.1C!AX92)/0.9</f>
        <v>#N/A</v>
      </c>
      <c r="BA92" s="102" t="e">
        <f t="shared" si="173"/>
        <v>#N/A</v>
      </c>
      <c r="BB92" s="102" t="e">
        <f t="shared" si="174"/>
        <v>#N/A</v>
      </c>
      <c r="BC92" s="414" t="e">
        <f>IF(BC91=0,0,IF(AND(AY92&gt;charge_ELS_quasi,AZ92&gt;Charge_ELS_freq,BA92&gt;charge_ELU,BB92&gt;charge_ELA,$B92&gt;NDC!$H$22-0.1+MIN(3*$BC$12,1.5)),0,1))</f>
        <v>#N/A</v>
      </c>
      <c r="BD92" s="86" t="b">
        <f t="shared" si="144"/>
        <v>0</v>
      </c>
      <c r="BE92" s="86">
        <f t="shared" si="175"/>
        <v>0.5</v>
      </c>
      <c r="BF92" s="86">
        <f t="shared" si="145"/>
        <v>0.5</v>
      </c>
      <c r="BG92" s="30" t="e">
        <f t="shared" ca="1" si="176"/>
        <v>#DIV/0!</v>
      </c>
      <c r="BH92" s="85" t="e">
        <f ca="1">IF(AN92&lt;=Hypothèses!$V$7,Hypothèses!$W$7,IF(AN92&lt;=Hypothèses!$V$8,Hypothèses!$W$8,IF(AN92&lt;=Hypothèses!$V$9,Hypothèses!$W$9,IF(AN92&lt;=Hypothèses!$V$10,Hypothèses!$W$10,IF(AN92&lt;=Hypothèses!$V$11,Hypothèses!$W$11,IF(AN92&lt;=Hypothèses!$V$12,Hypothèses!$W$12,IF(AN92&lt;=Hypothèses!$V$13,Hypothèses!$W$13,IF(AN92&lt;=Hypothèses!$V$14,Hypothèses!$W$14,IF(AN92&lt;=Hypothèses!$V$15,Hypothèses!$W$15,IF(AN92&lt;=Hypothèses!$V$16,Hypothèses!$W$16,IF(AN92&lt;=Hypothèses!$V$17,Hypothèses!$W$17,IF(AN92&lt;=Hypothèses!$V$18,Hypothèses!$W$18,""))))))))))))</f>
        <v>#DIV/0!</v>
      </c>
      <c r="BI92" s="87" t="e">
        <f t="shared" ca="1" si="218"/>
        <v>#DIV/0!</v>
      </c>
      <c r="BJ92" s="88" t="e">
        <f ca="1">IF(AN92&lt;=Hypothèses!$V$7,Hypothèses!$X$7,IF(AN92&lt;=Hypothèses!$V$8,Hypothèses!$X$8,IF(AN92&lt;=Hypothèses!$V$9,Hypothèses!$X$9,IF(AN92&lt;=Hypothèses!$V$10,Hypothèses!$X$10,IF(AN92&lt;=Hypothèses!$V$11,Hypothèses!$X$11,IF(AN92&lt;=Hypothèses!$V$12,Hypothèses!$X$12,IF(AN92&lt;=Hypothèses!$V$13,Hypothèses!$X$13,IF(AN92&lt;=Hypothèses!$V$14,Hypothèses!$X$14,IF(AN92&lt;=Hypothèses!$V$15,Hypothèses!$X$15,IF(AN92&lt;=Hypothèses!$V$16,Hypothèses!$X$16,IF(AN92&lt;=Hypothèses!$U$17,Hypothèses!$W$17,IF(AN92&lt;=Hypothèses!$U$18,Hypothèses!$W$18,""))))))))))))</f>
        <v>#DIV/0!</v>
      </c>
      <c r="BK92" s="95" t="e">
        <f t="shared" ca="1" si="177"/>
        <v>#DIV/0!</v>
      </c>
      <c r="BL92" s="101" t="e">
        <f t="shared" si="225"/>
        <v>#N/A</v>
      </c>
      <c r="BM92" s="91" t="e">
        <f t="shared" si="146"/>
        <v>#N/A</v>
      </c>
      <c r="BN92" s="30" t="e">
        <f t="shared" si="204"/>
        <v>#N/A</v>
      </c>
      <c r="BO92" s="30" t="e">
        <f t="shared" si="205"/>
        <v>#N/A</v>
      </c>
      <c r="BP92" s="31" t="e">
        <f>IF(OR(Hypothèses!$B$4=17,Hypothèses!$B$4=18,Hypothèses!$B$4=19,Hypothèses!$B$4=20),
IF($D92="Pressio.",
IF(OR($E92=3,$E92=1,$E92=4),BO92,BN92),
IF($D92="Pénétro.",
IF(OR($E92=3,$E92=1,$E92=4),BO92,BN92))),IF($D92="Pressio.",
IF($E92=3,BO92,BN92),
IF($D92="Pénétro.",
IF($E92=4,BO92,BN92))))</f>
        <v>#N/A</v>
      </c>
      <c r="BQ92" s="31" t="e">
        <f>(IF(OR(Hypothèses!$B$4=17,Hypothèses!$B$4=18,Hypothèses!$B$4=19,Hypothèses!$B$4=20),
IF($D92="Pressio.",
IF(OR($E92=3,$E92=1,$E92=4),(PI()*BQ$12^2)/4*(BM92*$W92*1000)/($H92*$B$5),(PI()*BQ$12^2)/4*(BM92*$W92*1000)/($G92*$B$5)),
IF($D92="Pénétro.",
IF(OR($E92=4,$E92=1,$E92=5),(PI()*BQ$12^2)/4*(BM92*$W92*1000)/($H92*$B$5),(PI()*BQ$12^2)/4*(BM92*$W92*1000)/($G92*$B$5)))),
IF($D92="Pressio.",
IF($E92=3,(PI()*BQ$12^2)/4*(BM92*$W92*1000)/($H92*$B$5),(PI()*BQ$12^2)/4*(BM92*$W92*1000)/($G92*$B$5)),
IF($D92="Pénétro.",
IF($E92=4,(PI()*BQ$12^2)/4*(BM92*$W92*1000)/($H92*$B$5),(PI()*BQ$12^2)/4*(BM92*$W92*1000)/($G92*$B$5))))))/10</f>
        <v>#N/A</v>
      </c>
      <c r="BR92" s="102" t="e">
        <f>(VLOOKUP($B$3,'Coeff EC7'!$T$39:$X$59,2,0)*BP92+VLOOKUP($B$3,'Coeff EC7'!$T$65:$X$85,2,0)*Model0.1C!BQ92)/1.1</f>
        <v>#N/A</v>
      </c>
      <c r="BS92" s="102" t="e">
        <f>(VLOOKUP($B$3,'Coeff EC7'!$T$39:$X$59,3,0)*BP92+VLOOKUP($B$3,'Coeff EC7'!$T$65:$X$85,3,0)*Model0.1C!BQ92)/0.9</f>
        <v>#N/A</v>
      </c>
      <c r="BT92" s="102" t="e">
        <f t="shared" si="178"/>
        <v>#N/A</v>
      </c>
      <c r="BU92" s="102" t="e">
        <f t="shared" si="179"/>
        <v>#N/A</v>
      </c>
      <c r="BV92" s="414" t="e">
        <f>IF(BV91=0,0,IF(AND(BR92&gt;charge_ELS_quasi,BS92&gt;Charge_ELS_freq,BT92&gt;charge_ELU,BU92&gt;charge_ELA,$B92&gt;NDC!$H$22-0.1+MIN(3*$BV$12,1.5)),0,1))</f>
        <v>#N/A</v>
      </c>
      <c r="BW92" s="86" t="b">
        <f t="shared" si="147"/>
        <v>0</v>
      </c>
      <c r="BX92" s="86">
        <f t="shared" si="148"/>
        <v>0.5</v>
      </c>
      <c r="BY92" s="86">
        <f t="shared" si="149"/>
        <v>0.5</v>
      </c>
      <c r="BZ92" s="30" t="e">
        <f t="shared" ca="1" si="180"/>
        <v>#DIV/0!</v>
      </c>
      <c r="CA92" s="85" t="e">
        <f ca="1">IF(BG92&lt;=Hypothèses!$V$7,Hypothèses!$W$7,IF(BG92&lt;=Hypothèses!$V$8,Hypothèses!$W$8,IF(BG92&lt;=Hypothèses!$V$9,Hypothèses!$W$9,IF(BG92&lt;=Hypothèses!$V$10,Hypothèses!$W$10,IF(BG92&lt;=Hypothèses!$V$11,Hypothèses!$W$11,IF(BG92&lt;=Hypothèses!$V$12,Hypothèses!$W$12,IF(BG92&lt;=Hypothèses!$V$13,Hypothèses!$W$13,IF(BG92&lt;=Hypothèses!$V$14,Hypothèses!$W$14,IF(BG92&lt;=Hypothèses!$V$15,Hypothèses!$W$15,IF(BG92&lt;=Hypothèses!$V$16,Hypothèses!$W$16,IF(BG92&lt;=Hypothèses!$V$17,Hypothèses!$W$17,IF(BG92&lt;=Hypothèses!$V$18,Hypothèses!$W$18,""))))))))))))</f>
        <v>#DIV/0!</v>
      </c>
      <c r="CB92" s="87" t="e">
        <f t="shared" ca="1" si="219"/>
        <v>#DIV/0!</v>
      </c>
      <c r="CC92" s="88" t="e">
        <f ca="1">IF(BG92&lt;=Hypothèses!$V$7,Hypothèses!$X$7,IF(BG92&lt;=Hypothèses!$V$8,Hypothèses!$X$8,IF(BG92&lt;=Hypothèses!$V$9,Hypothèses!$X$9,IF(BG92&lt;=Hypothèses!$V$10,Hypothèses!$X$10,IF(BG92&lt;=Hypothèses!$V$11,Hypothèses!$X$11,IF(BG92&lt;=Hypothèses!$V$12,Hypothèses!$X$12,IF(BG92&lt;=Hypothèses!$V$13,Hypothèses!$X$13,IF(BG92&lt;=Hypothèses!$V$14,Hypothèses!$X$14,IF(BG92&lt;=Hypothèses!$V$15,Hypothèses!$X$15,IF(BG92&lt;=Hypothèses!$V$16,Hypothèses!$X$16,IF(BG92&lt;=Hypothèses!$U$17,Hypothèses!$W$17,IF(BG92&lt;=Hypothèses!$U$18,Hypothèses!$W$18,""))))))))))))</f>
        <v>#DIV/0!</v>
      </c>
      <c r="CD92" s="95" t="e">
        <f t="shared" ca="1" si="181"/>
        <v>#DIV/0!</v>
      </c>
      <c r="CE92" s="101" t="e">
        <f t="shared" si="226"/>
        <v>#N/A</v>
      </c>
      <c r="CF92" s="91" t="e">
        <f t="shared" si="150"/>
        <v>#N/A</v>
      </c>
      <c r="CG92" s="30" t="e">
        <f t="shared" si="206"/>
        <v>#N/A</v>
      </c>
      <c r="CH92" s="30" t="e">
        <f t="shared" si="207"/>
        <v>#N/A</v>
      </c>
      <c r="CI92" s="31" t="e">
        <f>IF(OR(Hypothèses!$B$4=17,Hypothèses!$B$4=18,Hypothèses!$B$4=19,Hypothèses!$B$4=20),
IF($D92="Pressio.",
IF(OR($E92=3,$E92=1,$E92=4),CH92,CG92),
IF($D92="Pénétro.",
IF(OR($E92=3,$E92=1,$E92=4),CH92,CG92))),IF($D92="Pressio.",
IF($E92=3,CH92,CG92),
IF($D92="Pénétro.",
IF($E92=4,CH92,CG92))))</f>
        <v>#N/A</v>
      </c>
      <c r="CJ92" s="31" t="e">
        <f>(IF(OR(Hypothèses!$B$4=17,Hypothèses!$B$4=18,Hypothèses!$B$4=19,Hypothèses!$B$4=20),
IF($D92="Pressio.",
IF(OR($E92=3,$E92=1,$E92=4),(PI()*CJ$12^2)/4*(CF92*$W92*1000)/($H92*$B$5),(PI()*CJ$12^2)/4*(CF92*$W92*1000)/($G92*$B$5)),
IF($D92="Pénétro.",
IF(OR($E92=4,$E92=1,$E92=5),(PI()*CJ$12^2)/4*(CF92*$W92*1000)/($H92*$B$5),(PI()*CJ$12^2)/4*(CF92*$W92*1000)/($G92*$B$5)))),
IF($D92="Pressio.",
IF($E92=3,(PI()*CJ$12^2)/4*(CF92*$W92*1000)/($H92*$B$5),(PI()*CJ$12^2)/4*(CF92*$W92*1000)/($G92*$B$5)),
IF($D92="Pénétro.",
IF($E92=4,(PI()*CJ$12^2)/4*(CF92*$W92*1000)/($H92*$B$5),(PI()*CJ$12^2)/4*(CF92*$W92*1000)/($G92*$B$5))))))/10</f>
        <v>#N/A</v>
      </c>
      <c r="CK92" s="102" t="e">
        <f>(VLOOKUP($B$3,'Coeff EC7'!$T$39:$X$59,2,0)*CI92+VLOOKUP($B$3,'Coeff EC7'!$T$65:$X$85,2,0)*Model0.1C!CJ92)/1.1</f>
        <v>#N/A</v>
      </c>
      <c r="CL92" s="102" t="e">
        <f>(VLOOKUP($B$3,'Coeff EC7'!$T$39:$X$59,3,0)*CI92+VLOOKUP($B$3,'Coeff EC7'!$T$65:$X$85,3,0)*Model0.1C!CJ92)/0.9</f>
        <v>#N/A</v>
      </c>
      <c r="CM92" s="102" t="e">
        <f t="shared" si="182"/>
        <v>#N/A</v>
      </c>
      <c r="CN92" s="102" t="e">
        <f t="shared" si="183"/>
        <v>#N/A</v>
      </c>
      <c r="CO92" s="414" t="e">
        <f>IF(CO91=0,0,IF(AND(CK92&gt;charge_ELS_quasi,CL92&gt;Charge_ELS_freq,CM92&gt;charge_ELU,CN92&gt;charge_ELA,$B92&gt;NDC!$H$22-0.1+MIN(3*$CO$12,1.5)),0,1))</f>
        <v>#N/A</v>
      </c>
      <c r="CP92" s="86" t="b">
        <f t="shared" si="151"/>
        <v>0</v>
      </c>
      <c r="CQ92" s="86">
        <f t="shared" si="152"/>
        <v>0.5</v>
      </c>
      <c r="CR92" s="86">
        <f t="shared" si="153"/>
        <v>0.5</v>
      </c>
      <c r="CS92" s="30" t="e">
        <f t="shared" ca="1" si="184"/>
        <v>#DIV/0!</v>
      </c>
      <c r="CT92" s="85" t="e">
        <f ca="1">IF(BZ92&lt;=Hypothèses!$V$7,Hypothèses!$W$7,IF(BZ92&lt;=Hypothèses!$V$8,Hypothèses!$W$8,IF(BZ92&lt;=Hypothèses!$V$9,Hypothèses!$W$9,IF(BZ92&lt;=Hypothèses!$V$10,Hypothèses!$W$10,IF(BZ92&lt;=Hypothèses!$V$11,Hypothèses!$W$11,IF(BZ92&lt;=Hypothèses!$V$12,Hypothèses!$W$12,IF(BZ92&lt;=Hypothèses!$V$13,Hypothèses!$W$13,IF(BZ92&lt;=Hypothèses!$V$14,Hypothèses!$W$14,IF(BZ92&lt;=Hypothèses!$V$15,Hypothèses!$W$15,IF(BZ92&lt;=Hypothèses!$V$16,Hypothèses!$W$16,IF(BZ92&lt;=Hypothèses!$V$17,Hypothèses!$W$17,IF(BZ92&lt;=Hypothèses!$V$18,Hypothèses!$W$18,""))))))))))))</f>
        <v>#DIV/0!</v>
      </c>
      <c r="CU92" s="87" t="e">
        <f t="shared" ca="1" si="220"/>
        <v>#DIV/0!</v>
      </c>
      <c r="CV92" s="88" t="e">
        <f ca="1">IF(BZ92&lt;=Hypothèses!$V$7,Hypothèses!$X$7,IF(BZ92&lt;=Hypothèses!$V$8,Hypothèses!$X$8,IF(BZ92&lt;=Hypothèses!$V$9,Hypothèses!$X$9,IF(BZ92&lt;=Hypothèses!$V$10,Hypothèses!$X$10,IF(BZ92&lt;=Hypothèses!$V$11,Hypothèses!$X$11,IF(BZ92&lt;=Hypothèses!$V$12,Hypothèses!$X$12,IF(BZ92&lt;=Hypothèses!$V$13,Hypothèses!$X$13,IF(BZ92&lt;=Hypothèses!$V$14,Hypothèses!$X$14,IF(BZ92&lt;=Hypothèses!$V$15,Hypothèses!$X$15,IF(BZ92&lt;=Hypothèses!$V$16,Hypothèses!$X$16,IF(BZ92&lt;=Hypothèses!$U$17,Hypothèses!$W$17,IF(BZ92&lt;=Hypothèses!$U$18,Hypothèses!$W$18,""))))))))))))</f>
        <v>#DIV/0!</v>
      </c>
      <c r="CW92" s="95" t="e">
        <f t="shared" ca="1" si="185"/>
        <v>#DIV/0!</v>
      </c>
      <c r="CX92" s="101" t="e">
        <f t="shared" si="227"/>
        <v>#N/A</v>
      </c>
      <c r="CY92" s="91" t="e">
        <f t="shared" si="154"/>
        <v>#N/A</v>
      </c>
      <c r="CZ92" s="30" t="e">
        <f t="shared" si="208"/>
        <v>#N/A</v>
      </c>
      <c r="DA92" s="30" t="e">
        <f t="shared" si="209"/>
        <v>#N/A</v>
      </c>
      <c r="DB92" s="31" t="e">
        <f>IF(OR(Hypothèses!$B$4=17,Hypothèses!$B$4=18,Hypothèses!$B$4=19,Hypothèses!$B$4=20),
IF($D92="Pressio.",
IF(OR($E92=3,$E92=1,$E92=4),DA92,CZ92),
IF($D92="Pénétro.",
IF(OR($E92=3,$E92=1,$E92=4),DA92,CZ92))),IF($D92="Pressio.",
IF($E92=3,DA92,CZ92),
IF($D92="Pénétro.",
IF($E92=4,DA92,CZ92))))</f>
        <v>#N/A</v>
      </c>
      <c r="DC92" s="31" t="e">
        <f>(IF(OR(Hypothèses!$B$4=17,Hypothèses!$B$4=18,Hypothèses!$B$4=19,Hypothèses!$B$4=20),
IF($D92="Pressio.",
IF(OR($E92=3,$E92=1,$E92=4),(PI()*DC$12^2)/4*(CY92*$W92*1000)/($H92*$B$5),(PI()*DC$12^2)/4*(CY92*$W92*1000)/($G92*$B$5)),
IF($D92="Pénétro.",
IF(OR($E92=4,$E92=1,$E92=5),(PI()*DC$12^2)/4*(CY92*$W92*1000)/($H92*$B$5),(PI()*DC$12^2)/4*(CY92*$W92*1000)/($G92*$B$5)))),
IF($D92="Pressio.",
IF($E92=3,(PI()*DC$12^2)/4*(CY92*$W92*1000)/($H92*$B$5),(PI()*DC$12^2)/4*(CY92*$W92*1000)/($G92*$B$5)),
IF($D92="Pénétro.",
IF($E92=4,(PI()*DC$12^2)/4*(CY92*$W92*1000)/($H92*$B$5),(PI()*DC$12^2)/4*(CY92*$W92*1000)/($G92*$B$5))))))/10</f>
        <v>#N/A</v>
      </c>
      <c r="DD92" s="102" t="e">
        <f>(VLOOKUP($B$3,'Coeff EC7'!$T$39:$X$59,2,0)*DB92+VLOOKUP($B$3,'Coeff EC7'!$T$65:$X$85,2,0)*Model0.1C!DC92)/1.1</f>
        <v>#N/A</v>
      </c>
      <c r="DE92" s="102" t="e">
        <f>(VLOOKUP($B$3,'Coeff EC7'!$T$39:$X$59,3,0)*DB92+VLOOKUP($B$3,'Coeff EC7'!$T$65:$X$85,3,0)*Model0.1C!DC92)/0.9</f>
        <v>#N/A</v>
      </c>
      <c r="DF92" s="102" t="e">
        <f t="shared" si="186"/>
        <v>#N/A</v>
      </c>
      <c r="DG92" s="102" t="e">
        <f t="shared" si="187"/>
        <v>#N/A</v>
      </c>
      <c r="DH92" s="414" t="e">
        <f>IF(DH91=0,0,IF(AND(DD92&gt;charge_ELS_quasi,DE92&gt;Charge_ELS_freq,DF92&gt;charge_ELU,DG92&gt;charge_ELA,$B92&gt;NDC!$H$22-0.1+MIN(3*$DH$12,1.5)),0,1))</f>
        <v>#N/A</v>
      </c>
      <c r="DI92" s="86" t="b">
        <f t="shared" si="155"/>
        <v>0</v>
      </c>
      <c r="DJ92" s="86">
        <f t="shared" si="156"/>
        <v>0.5</v>
      </c>
      <c r="DK92" s="86">
        <f t="shared" si="157"/>
        <v>0.5</v>
      </c>
      <c r="DL92" s="30" t="e">
        <f t="shared" ca="1" si="188"/>
        <v>#DIV/0!</v>
      </c>
      <c r="DM92" s="85" t="e">
        <f ca="1">IF(CS92&lt;=Hypothèses!$V$7,Hypothèses!$W$7,IF(CS92&lt;=Hypothèses!$V$8,Hypothèses!$W$8,IF(CS92&lt;=Hypothèses!$V$9,Hypothèses!$W$9,IF(CS92&lt;=Hypothèses!$V$10,Hypothèses!$W$10,IF(CS92&lt;=Hypothèses!$V$11,Hypothèses!$W$11,IF(CS92&lt;=Hypothèses!$V$12,Hypothèses!$W$12,IF(CS92&lt;=Hypothèses!$V$13,Hypothèses!$W$13,IF(CS92&lt;=Hypothèses!$V$14,Hypothèses!$W$14,IF(CS92&lt;=Hypothèses!$V$15,Hypothèses!$W$15,IF(CS92&lt;=Hypothèses!$V$16,Hypothèses!$W$16,IF(CS92&lt;=Hypothèses!$V$17,Hypothèses!$W$17,IF(CS92&lt;=Hypothèses!$V$18,Hypothèses!$W$18,""))))))))))))</f>
        <v>#DIV/0!</v>
      </c>
      <c r="DN92" s="87" t="e">
        <f t="shared" ca="1" si="221"/>
        <v>#DIV/0!</v>
      </c>
      <c r="DO92" s="88" t="e">
        <f ca="1">IF(CS92&lt;=Hypothèses!$V$7,Hypothèses!$X$7,IF(CS92&lt;=Hypothèses!$V$8,Hypothèses!$X$8,IF(CS92&lt;=Hypothèses!$V$9,Hypothèses!$X$9,IF(CS92&lt;=Hypothèses!$V$10,Hypothèses!$X$10,IF(CS92&lt;=Hypothèses!$V$11,Hypothèses!$X$11,IF(CS92&lt;=Hypothèses!$V$12,Hypothèses!$X$12,IF(CS92&lt;=Hypothèses!$V$13,Hypothèses!$X$13,IF(CS92&lt;=Hypothèses!$V$14,Hypothèses!$X$14,IF(CS92&lt;=Hypothèses!$V$15,Hypothèses!$X$15,IF(CS92&lt;=Hypothèses!$V$16,Hypothèses!$X$16,IF(CS92&lt;=Hypothèses!$U$17,Hypothèses!$W$17,IF(CS92&lt;=Hypothèses!$U$18,Hypothèses!$W$18,""))))))))))))</f>
        <v>#DIV/0!</v>
      </c>
      <c r="DP92" s="95" t="e">
        <f t="shared" ca="1" si="189"/>
        <v>#DIV/0!</v>
      </c>
      <c r="DQ92" s="101" t="e">
        <f t="shared" si="228"/>
        <v>#N/A</v>
      </c>
      <c r="DR92" s="91" t="e">
        <f t="shared" si="158"/>
        <v>#N/A</v>
      </c>
      <c r="DS92" s="30" t="e">
        <f t="shared" si="210"/>
        <v>#N/A</v>
      </c>
      <c r="DT92" s="30" t="e">
        <f t="shared" si="211"/>
        <v>#N/A</v>
      </c>
      <c r="DU92" s="31" t="e">
        <f>IF(OR(Hypothèses!$B$4=17,Hypothèses!$B$4=18,Hypothèses!$B$4=19,Hypothèses!$B$4=20),
IF($D92="Pressio.",
IF(OR($E92=3,$E92=1,$E92=4),DT92,DS92),
IF($D92="Pénétro.",
IF(OR($E92=3,$E92=1,$E92=4),DT92,DS92))),IF($D92="Pressio.",
IF($E92=3,DT92,DS92),
IF($D92="Pénétro.",
IF($E92=4,DT92,DS92))))</f>
        <v>#N/A</v>
      </c>
      <c r="DV92" s="31" t="e">
        <f>(IF(OR(Hypothèses!$B$4=17,Hypothèses!$B$4=18,Hypothèses!$B$4=19,Hypothèses!$B$4=20),
IF($D92="Pressio.",
IF(OR($E92=3,$E92=1,$E92=4),(PI()*DV$12^2)/4*(DR92*$W92*1000)/($H92*$B$5),(PI()*DV$12^2)/4*(DR92*$W92*1000)/($G92*$B$5)),
IF($D92="Pénétro.",
IF(OR($E92=4,$E92=1,$E92=5),(PI()*DV$12^2)/4*(DR92*$W92*1000)/($H92*$B$5),(PI()*DV$12^2)/4*(DR92*$W92*1000)/($G92*$B$5)))),
IF($D92="Pressio.",
IF($E92=3,(PI()*DV$12^2)/4*(DR92*$W92*1000)/($H92*$B$5),(PI()*DV$12^2)/4*(DR92*$W92*1000)/($G92*$B$5)),
IF($D92="Pénétro.",
IF($E92=4,(PI()*DV$12^2)/4*(DR92*$W92*1000)/($H92*$B$5),(PI()*DV$12^2)/4*(DR92*$W92*1000)/($G92*$B$5))))))/10</f>
        <v>#N/A</v>
      </c>
      <c r="DW92" s="102" t="e">
        <f>(VLOOKUP($B$3,'Coeff EC7'!$T$39:$X$59,2,0)*DU92+VLOOKUP($B$3,'Coeff EC7'!$T$65:$X$85,2,0)*Model0.1C!DV92)/1.1</f>
        <v>#N/A</v>
      </c>
      <c r="DX92" s="102" t="e">
        <f>(VLOOKUP($B$3,'Coeff EC7'!$T$39:$X$59,3,0)*DU92+VLOOKUP($B$3,'Coeff EC7'!$T$65:$X$85,3,0)*Model0.1C!DV92)/0.9</f>
        <v>#N/A</v>
      </c>
      <c r="DY92" s="102" t="e">
        <f t="shared" si="190"/>
        <v>#N/A</v>
      </c>
      <c r="DZ92" s="102" t="e">
        <f t="shared" si="191"/>
        <v>#N/A</v>
      </c>
      <c r="EA92" s="414" t="e">
        <f>IF(EA91=0,0,IF(AND(DW92&gt;charge_ELS_quasi,DX92&gt;Charge_ELS_freq,DY92&gt;charge_ELU,DZ92&gt;charge_ELA,$B92&gt;NDC!$H$22-0.1+MIN(3*$EA$12,1.5)),0,1))</f>
        <v>#N/A</v>
      </c>
      <c r="EB92" s="86" t="b">
        <f t="shared" si="159"/>
        <v>0</v>
      </c>
      <c r="EC92" s="418">
        <f t="shared" si="160"/>
        <v>0.51</v>
      </c>
      <c r="ED92" s="86">
        <f t="shared" si="161"/>
        <v>0.51</v>
      </c>
      <c r="EE92" s="30" t="e">
        <f t="shared" ca="1" si="192"/>
        <v>#DIV/0!</v>
      </c>
      <c r="EF92" s="85" t="e">
        <f ca="1">IF(DL92&lt;=Hypothèses!$V$7,Hypothèses!$W$7,IF(DL92&lt;=Hypothèses!$V$8,Hypothèses!$W$8,IF(DL92&lt;=Hypothèses!$V$9,Hypothèses!$W$9,IF(DL92&lt;=Hypothèses!$V$10,Hypothèses!$W$10,IF(DL92&lt;=Hypothèses!$V$11,Hypothèses!$W$11,IF(DL92&lt;=Hypothèses!$V$12,Hypothèses!$W$12,IF(DL92&lt;=Hypothèses!$V$13,Hypothèses!$W$13,IF(DL92&lt;=Hypothèses!$V$14,Hypothèses!$W$14,IF(DL92&lt;=Hypothèses!$V$15,Hypothèses!$W$15,IF(DL92&lt;=Hypothèses!$V$16,Hypothèses!$W$16,IF(DL92&lt;=Hypothèses!$V$17,Hypothèses!$W$17,IF(DL92&lt;=Hypothèses!$V$18,Hypothèses!$W$18,""))))))))))))</f>
        <v>#DIV/0!</v>
      </c>
      <c r="EG92" s="87" t="e">
        <f t="shared" ca="1" si="222"/>
        <v>#DIV/0!</v>
      </c>
      <c r="EH92" s="88" t="e">
        <f ca="1">IF(DL92&lt;=Hypothèses!$V$7,Hypothèses!$X$7,IF(DL92&lt;=Hypothèses!$V$8,Hypothèses!$X$8,IF(DL92&lt;=Hypothèses!$V$9,Hypothèses!$X$9,IF(DL92&lt;=Hypothèses!$V$10,Hypothèses!$X$10,IF(DL92&lt;=Hypothèses!$V$11,Hypothèses!$X$11,IF(DL92&lt;=Hypothèses!$V$12,Hypothèses!$X$12,IF(DL92&lt;=Hypothèses!$V$13,Hypothèses!$X$13,IF(DL92&lt;=Hypothèses!$V$14,Hypothèses!$X$14,IF(DL92&lt;=Hypothèses!$V$15,Hypothèses!$X$15,IF(DL92&lt;=Hypothèses!$V$16,Hypothèses!$X$16,IF(DL92&lt;=Hypothèses!$U$17,Hypothèses!$W$17,IF(DL92&lt;=Hypothèses!$U$18,Hypothèses!$W$18,""))))))))))))</f>
        <v>#DIV/0!</v>
      </c>
      <c r="EI92" s="95" t="e">
        <f t="shared" ca="1" si="193"/>
        <v>#DIV/0!</v>
      </c>
      <c r="EJ92" s="101" t="e">
        <f t="shared" si="229"/>
        <v>#N/A</v>
      </c>
      <c r="EK92" s="91" t="e">
        <f t="shared" si="162"/>
        <v>#N/A</v>
      </c>
      <c r="EL92" s="30" t="e">
        <f t="shared" si="212"/>
        <v>#N/A</v>
      </c>
      <c r="EM92" s="30" t="e">
        <f t="shared" si="213"/>
        <v>#N/A</v>
      </c>
      <c r="EN92" s="31" t="e">
        <f>IF(OR(Hypothèses!$B$4=17,Hypothèses!$B$4=18,Hypothèses!$B$4=19,Hypothèses!$B$4=20),
IF($D92="Pressio.",
IF(OR($E92=3,$E92=1,$E92=4),EM92,EL92),
IF($D92="Pénétro.",
IF(OR($E92=3,$E92=1,$E92=4),EM92,EL92))),IF($D92="Pressio.",
IF($E92=3,EM92,EL92),
IF($D92="Pénétro.",
IF($E92=4,EM92,EL92))))</f>
        <v>#N/A</v>
      </c>
      <c r="EO92" s="31" t="e">
        <f>(IF(OR(Hypothèses!$B$4=17,Hypothèses!$B$4=18,Hypothèses!$B$4=19,Hypothèses!$B$4=20),
IF($D92="Pressio.",
IF(OR($E92=3,$E92=1,$E92=4),(PI()*EO$12^2)/4*(EK92*$W92*1000)/($H92*$B$5),(PI()*EO$12^2)/4*(EK92*$W92*1000)/($G92*$B$5)),
IF($D92="Pénétro.",
IF(OR($E92=4,$E92=1,$E92=5),(PI()*EO$12^2)/4*(EK92*$W92*1000)/($H92*$B$5),(PI()*EO$12^2)/4*(EK92*$W92*1000)/($G92*$B$5)))),
IF($D92="Pressio.",
IF($E92=3,(PI()*EO$12^2)/4*(EK92*$W92*1000)/($H92*$B$5),(PI()*EO$12^2)/4*(EK92*$W92*1000)/($G92*$B$5)),
IF($D92="Pénétro.",
IF($E92=4,(PI()*EO$12^2)/4*(EK92*$W92*1000)/($H92*$B$5),(PI()*EO$12^2)/4*(EK92*$W92*1000)/($G92*$B$5))))))/10</f>
        <v>#N/A</v>
      </c>
      <c r="EP92" s="102" t="e">
        <f>(VLOOKUP($B$3,'Coeff EC7'!$T$39:$X$59,2,0)*EN92+VLOOKUP($B$3,'Coeff EC7'!$T$65:$X$85,2,0)*Model0.1C!EO92)/1.1</f>
        <v>#N/A</v>
      </c>
      <c r="EQ92" s="102" t="e">
        <f>(VLOOKUP($B$3,'Coeff EC7'!$T$39:$X$59,3,0)*EN92+VLOOKUP($B$3,'Coeff EC7'!$T$65:$X$85,3,0)*Model0.1C!EO92)/0.9</f>
        <v>#N/A</v>
      </c>
      <c r="ER92" s="102" t="e">
        <f t="shared" si="194"/>
        <v>#N/A</v>
      </c>
      <c r="ES92" s="102" t="e">
        <f t="shared" si="195"/>
        <v>#N/A</v>
      </c>
      <c r="ET92" s="414" t="e">
        <f>IF(ET91=0,0,IF(AND(EP92&gt;charge_ELS_quasi,EQ92&gt;Charge_ELS_freq,ER92&gt;charge_ELU,ES92&gt;charge_ELA,$B92&gt;NDC!$H$22-0.1+MIN(3*$ET$12,1.5)),0,1))</f>
        <v>#N/A</v>
      </c>
      <c r="EU92" s="86" t="b">
        <f t="shared" si="163"/>
        <v>0</v>
      </c>
      <c r="EV92" s="86">
        <f t="shared" si="164"/>
        <v>0.61</v>
      </c>
      <c r="EW92" s="86">
        <f t="shared" si="165"/>
        <v>0.61</v>
      </c>
      <c r="EX92" s="30" t="e">
        <f t="shared" ca="1" si="196"/>
        <v>#DIV/0!</v>
      </c>
      <c r="EY92" s="85" t="e">
        <f ca="1">IF(EE92&lt;=Hypothèses!$V$7,Hypothèses!$W$7,IF(EE92&lt;=Hypothèses!$V$8,Hypothèses!$W$8,IF(EE92&lt;=Hypothèses!$V$9,Hypothèses!$W$9,IF(EE92&lt;=Hypothèses!$V$10,Hypothèses!$W$10,IF(EE92&lt;=Hypothèses!$V$11,Hypothèses!$W$11,IF(EE92&lt;=Hypothèses!$V$12,Hypothèses!$W$12,IF(EE92&lt;=Hypothèses!$V$13,Hypothèses!$W$13,IF(EE92&lt;=Hypothèses!$V$14,Hypothèses!$W$14,IF(EE92&lt;=Hypothèses!$V$15,Hypothèses!$W$15,IF(EE92&lt;=Hypothèses!$V$16,Hypothèses!$W$16,IF(EE92&lt;=Hypothèses!$V$17,Hypothèses!$W$17,IF(EE92&lt;=Hypothèses!$V$18,Hypothèses!$W$18,""))))))))))))</f>
        <v>#DIV/0!</v>
      </c>
      <c r="EZ92" s="87" t="e">
        <f t="shared" ca="1" si="223"/>
        <v>#DIV/0!</v>
      </c>
      <c r="FA92" s="88" t="e">
        <f ca="1">IF(EE92&lt;=Hypothèses!$V$7,Hypothèses!$X$7,IF(EE92&lt;=Hypothèses!$V$8,Hypothèses!$X$8,IF(EE92&lt;=Hypothèses!$V$9,Hypothèses!$X$9,IF(EE92&lt;=Hypothèses!$V$10,Hypothèses!$X$10,IF(EE92&lt;=Hypothèses!$V$11,Hypothèses!$X$11,IF(EE92&lt;=Hypothèses!$V$12,Hypothèses!$X$12,IF(EE92&lt;=Hypothèses!$V$13,Hypothèses!$X$13,IF(EE92&lt;=Hypothèses!$V$14,Hypothèses!$X$14,IF(EE92&lt;=Hypothèses!$V$15,Hypothèses!$X$15,IF(EE92&lt;=Hypothèses!$V$16,Hypothèses!$X$16,IF(EE92&lt;=Hypothèses!$U$17,Hypothèses!$W$17,IF(EE92&lt;=Hypothèses!$U$18,Hypothèses!$W$18,""))))))))))))</f>
        <v>#DIV/0!</v>
      </c>
      <c r="FB92" s="95" t="e">
        <f t="shared" ca="1" si="197"/>
        <v>#DIV/0!</v>
      </c>
      <c r="FC92" s="101" t="e">
        <f t="shared" si="230"/>
        <v>#N/A</v>
      </c>
      <c r="FD92" s="91" t="e">
        <f t="shared" si="166"/>
        <v>#N/A</v>
      </c>
      <c r="FE92" s="30" t="e">
        <f t="shared" si="214"/>
        <v>#N/A</v>
      </c>
      <c r="FF92" s="30" t="e">
        <f t="shared" si="215"/>
        <v>#N/A</v>
      </c>
      <c r="FG92" s="31" t="e">
        <f>IF(OR(Hypothèses!$B$4=17,Hypothèses!$B$4=18,Hypothèses!$B$4=19,Hypothèses!$B$4=20),
IF($D92="Pressio.",
IF(OR($E92=3,$E92=1,$E92=4),FF92,FE92),
IF($D92="Pénétro.",
IF(OR($E92=3,$E92=1,$E92=4),FF92,FE92))),IF($D92="Pressio.",
IF($E92=3,FF92,FE92),
IF($D92="Pénétro.",
IF($E92=4,FF92,FE92))))</f>
        <v>#N/A</v>
      </c>
      <c r="FH92" s="31" t="e">
        <f>(IF(OR(Hypothèses!$B$4=17,Hypothèses!$B$4=18,Hypothèses!$B$4=19,Hypothèses!$B$4=20),
IF($D92="Pressio.",
IF(OR($E92=3,$E92=1,$E92=4),(PI()*FH$12^2)/4*(FD92*$W92*1000)/($H92*$B$5),(PI()*FH$12^2)/4*(FD92*$W92*1000)/($G92*$B$5)),
IF($D92="Pénétro.",
IF(OR($E92=4,$E92=1,$E92=5),(PI()*FH$12^2)/4*(FD92*$W92*1000)/($H92*$B$5),(PI()*FH$12^2)/4*(FD92*$W92*1000)/($G92*$B$5)))),
IF($D92="Pressio.",
IF($E92=3,(PI()*FH$12^2)/4*(FD92*$W92*1000)/($H92*$B$5),(PI()*FH$12^2)/4*(FD92*$W92*1000)/($G92*$B$5)),
IF($D92="Pénétro.",
IF($E92=4,(PI()*FH$12^2)/4*(FD92*$W92*1000)/($H92*$B$5),(PI()*FH$12^2)/4*(FD92*$W92*1000)/($G92*$B$5))))))/10</f>
        <v>#N/A</v>
      </c>
      <c r="FI92" s="102" t="e">
        <f>(VLOOKUP($B$3,'Coeff EC7'!$T$39:$X$59,2,0)*FG92+VLOOKUP($B$3,'Coeff EC7'!$T$65:$X$85,2,0)*Model0.1C!FH92)/1.1</f>
        <v>#N/A</v>
      </c>
      <c r="FJ92" s="102" t="e">
        <f>(VLOOKUP($B$3,'Coeff EC7'!$T$39:$X$59,3,0)*FG92+VLOOKUP($B$3,'Coeff EC7'!$T$65:$X$85,3,0)*Model0.1C!FH92)/0.9</f>
        <v>#N/A</v>
      </c>
      <c r="FK92" s="102" t="e">
        <f t="shared" si="198"/>
        <v>#N/A</v>
      </c>
      <c r="FL92" s="102" t="e">
        <f t="shared" si="199"/>
        <v>#N/A</v>
      </c>
      <c r="FM92" s="414" t="e">
        <f>IF(FM91=0,0,IF(AND(FI92&gt;charge_ELS_quasi,FJ92&gt;Charge_ELS_freq,FK92&gt;charge_ELU,FL92&gt;charge_ELA,$B92&gt;NDC!$H$22-0.1+MIN(3*$FM$12,1.5)),0,1))</f>
        <v>#N/A</v>
      </c>
    </row>
    <row r="93" spans="1:169">
      <c r="A93" s="96">
        <f t="shared" si="167"/>
        <v>92.000000000000455</v>
      </c>
      <c r="B93" s="97">
        <v>8</v>
      </c>
      <c r="C93" s="81">
        <f>IF(B93&lt;=Hypothèses!$C$7,Hypothèses!$A$7,IF(B93&lt;=Hypothèses!$C$8,Hypothèses!$A$8,IF(B93&lt;=Hypothèses!$C$9,Hypothèses!$A$9,IF(B93&lt;=Hypothèses!$C$10,Hypothèses!$A$10,IF(B93&lt;=Hypothèses!$C$11,Hypothèses!$A$11,IF(B93&lt;=Hypothèses!$C$12,Hypothèses!$A$12,IF(B93&lt;=Hypothèses!$C$13,Hypothèses!$A$13,IF(B93&lt;=Hypothèses!$C$14,Hypothèses!$A$14,IF(B93&lt;=Hypothèses!$C$15,Hypothèses!$A$15,IF(B93&lt;=Hypothèses!$C$16,Hypothèses!$A$16,IF(B93&lt;=Hypothèses!$C$17,Hypothèses!$A$17,IF(B93&lt;=Hypothèses!$C$18,Hypothèses!$A$18,C92))))))))))))</f>
        <v>11</v>
      </c>
      <c r="D93" s="82" t="str">
        <f>IF(B93&lt;=Hypothèses!$C$7,Hypothèses!$R$7,IF(B93&lt;=Hypothèses!$C$8,Hypothèses!$R$8,IF(B93&lt;=Hypothèses!$C$9,Hypothèses!$R$9,IF(B93&lt;=Hypothèses!$C$10,Hypothèses!$R$10,IF(B93&lt;=Hypothèses!$C$11,Hypothèses!$R$11,IF(B93&lt;=Hypothèses!$C$12,Hypothèses!$R$12,IF(B93&lt;=Hypothèses!$C$13,Hypothèses!$R$13,IF(B93&lt;=Hypothèses!$C$14,Hypothèses!$R$14,IF(B93&lt;=Hypothèses!$C$15,Hypothèses!$R$15,IF(B93&lt;=Hypothèses!$C$16,Hypothèses!$R$16,IF(B93&lt;=Hypothèses!$C$17,Hypothèses!$R$17,IF(B93&lt;=Hypothèses!$C$18,Hypothèses!$R$18,D92))))))))))))</f>
        <v>Pressio.</v>
      </c>
      <c r="E93" s="82" t="e">
        <f>IF(B93&lt;=Hypothèses!$C$7,Hypothèses!$G$7,IF(B93&lt;=Hypothèses!$C$8,Hypothèses!$G$8,IF(B93&lt;=Hypothèses!$C$9,Hypothèses!$G$9,IF(B93&lt;=Hypothèses!$C$10,Hypothèses!$G$10,IF(B93&lt;=Hypothèses!$C$11,Hypothèses!$G$11,IF(B93&lt;=Hypothèses!$C$12,Hypothèses!$G$12,IF(B93&lt;=Hypothèses!$C$13,Hypothèses!$G$13,IF(B93&lt;=Hypothèses!$C$14,Hypothèses!$G$14,IF(B93&lt;=Hypothèses!$C$15,Hypothèses!$G$15,IF(B93&lt;=Hypothèses!$C$16,Hypothèses!$G$16,IF(B93&lt;=Hypothèses!$C$17,Hypothèses!$G$17,IF(B93&lt;=Hypothèses!$C$18,Hypothèses!$G$18,E92))))))))))))</f>
        <v>#N/A</v>
      </c>
      <c r="F93" s="82" t="str">
        <f>IF(B93&lt;=Hypothèses!$C$7,Hypothèses!$F$7,IF(B93&lt;=Hypothèses!$C$8,Hypothèses!$F$8,IF(B93&lt;=Hypothèses!$C$9,Hypothèses!$F$9,IF(B93&lt;=Hypothèses!$C$10,Hypothèses!$F$10,IF(B93&lt;=Hypothèses!$C$11,Hypothèses!$F$11,IF(B93&lt;=Hypothèses!$C$12,Hypothèses!$F$12,IF(B93&lt;=Hypothèses!$C$13,Hypothèses!$F$13,IF(B93&lt;=Hypothèses!$C$14,Hypothèses!$F$14,IF(B93&lt;=Hypothèses!$C$15,Hypothèses!$F$15,IF(B93&lt;=Hypothèses!$C$16,Hypothèses!$F$16,IF(B93&lt;=Hypothèses!$C$17,Hypothèses!$F$17,IF(B93&lt;=Hypothèses!$C$18,Hypothèses!$F$18,F92))))))))))))</f>
        <v/>
      </c>
      <c r="G93" s="91">
        <f t="array" ref="G93">INDEX('Coeff EC7'!$U$7:$X$27,
MATCH(Model0.1C!$B$3,'Coeff EC7'!$T$7:$T$27,0),
MATCH(Model0.1C!$D93&amp;Model0.1C!$B$4,
'Coeff EC7'!$U$6:$X$6&amp;
'Coeff EC7'!$U$5:$X$5,0))</f>
        <v>1.1499999999999999</v>
      </c>
      <c r="H93" s="91">
        <f t="array" ref="H93">INDEX('Coeff EC7'!$Y$7:$AB$27,
MATCH(Model0.1C!$B$3,'Coeff EC7'!$T$7:$T$27,0),
MATCH(Model0.1C!$D93&amp;Model0.1C!$B$4,
'Coeff EC7'!$Y$6:$AB$6&amp;
'Coeff EC7'!$Y$5:$AB$5,0))</f>
        <v>1.4</v>
      </c>
      <c r="I93" s="83" t="e">
        <f>IF(B93&lt;=Hypothèses!$C$7,Hypothèses!$P$7,IF(B93&lt;=Hypothèses!$C$8,Hypothèses!$P$8,IF(B93&lt;=Hypothèses!$C$9,Hypothèses!$P$9,IF(B93&lt;=Hypothèses!$C$10,Hypothèses!$P$10,IF(B93&lt;=Hypothèses!$C$11,Hypothèses!$P$11,IF(B93&lt;=Hypothèses!$C$12,Hypothèses!$P$12,IF(B93&lt;=Hypothèses!$C$13,Hypothèses!$P$13,IF(B93&lt;=Hypothèses!$C$14,Hypothèses!$P$14,IF(B93&lt;=Hypothèses!$C$15,Hypothèses!$P$15,IF(B93&lt;=Hypothèses!$C$16,Hypothèses!$P$16,IF(B93&lt;=Hypothèses!$C$17,Hypothèses!$P$17,IF(B93&lt;=Hypothèses!$C$18,Hypothèses!$P$18,I92))))))))))))</f>
        <v>#N/A</v>
      </c>
      <c r="J93" s="91" t="e">
        <f t="array" ref="J93">INDEX('Coeff EC7'!$D$33:$Q$33,1,MATCH(D93&amp;E93,'Coeff EC7'!$D$31:$Q$31&amp;'Coeff EC7'!$D$32:$Q$32,0))</f>
        <v>#N/A</v>
      </c>
      <c r="K93" s="91" t="e">
        <f t="array" ref="K93">INDEX('Coeff EC7'!$D$34:$Q$34,1,MATCH(D93&amp;E93,'Coeff EC7'!$D$31:$Q$31&amp;'Coeff EC7'!$D$32:$Q$32,0))</f>
        <v>#N/A</v>
      </c>
      <c r="L93" s="91" t="e">
        <f t="array" ref="L93">INDEX('Coeff EC7'!$D$35:$Q$35,1,MATCH(D93&amp;E93,'Coeff EC7'!$D$31:$Q$31&amp;'Coeff EC7'!$D$32:$Q$32,0))</f>
        <v>#N/A</v>
      </c>
      <c r="M93" s="98" t="e">
        <f t="shared" si="131"/>
        <v>#N/A</v>
      </c>
      <c r="N93" s="99" t="e">
        <f t="array" ref="N93">INDEX('Coeff EC7'!$D$7:$Q$27,MATCH($B$3,'Coeff EC7'!$C$7:$C$27,0),MATCH(D93&amp;E93,'Coeff EC7'!$D$5:$Q$5&amp;'Coeff EC7'!$D$6:$Q$6,0))</f>
        <v>#N/A</v>
      </c>
      <c r="O93" s="99" t="e">
        <f t="array" ref="O93">INDEX('Coeff EC7'!$D$41:$Q$61,MATCH($B$3,'Coeff EC7'!$C$41:$C$61,0),MATCH(D93&amp;E93,'Coeff EC7'!$D$39:$Q$39&amp;'Coeff EC7'!$D$40:$Q$40,0))</f>
        <v>#N/A</v>
      </c>
      <c r="P93" s="30" t="e">
        <f t="shared" si="168"/>
        <v>#N/A</v>
      </c>
      <c r="Q93" s="100" t="e">
        <f t="shared" si="133"/>
        <v>#N/A</v>
      </c>
      <c r="R93" s="86" t="b">
        <f t="shared" si="134"/>
        <v>0</v>
      </c>
      <c r="S93" s="86">
        <f t="shared" si="132"/>
        <v>0.5</v>
      </c>
      <c r="T93" s="86">
        <f t="shared" si="135"/>
        <v>0.5</v>
      </c>
      <c r="U93" s="30" t="e">
        <f t="shared" ca="1" si="169"/>
        <v>#DIV/0!</v>
      </c>
      <c r="V93" s="85" t="str">
        <f>IF(B93&lt;=Hypothèses!$V$7,Hypothèses!$W$7,IF(B93&lt;=Hypothèses!$V$8,Hypothèses!$W$8,IF(B93&lt;=Hypothèses!$V$9,Hypothèses!$W$9,IF(B93&lt;=Hypothèses!$V$10,Hypothèses!$W$10,IF(B93&lt;=Hypothèses!$V$11,Hypothèses!$W$11,IF(B93&lt;=Hypothèses!$V$12,Hypothèses!$W$12,IF(B93&lt;=Hypothèses!$V$13,Hypothèses!$W$13,IF(B93&lt;=Hypothèses!$V$14,Hypothèses!$W$14,IF(B93&lt;=Hypothèses!$V$15,Hypothèses!$W$15,IF(B93&lt;=Hypothèses!$V$16,Hypothèses!$W$16,IF(B93&lt;=Hypothèses!$V$17,Hypothèses!$W$17,IF(B93&lt;=Hypothèses!$V$18,Hypothèses!$W$18,""))))))))))))</f>
        <v/>
      </c>
      <c r="W93" s="87" t="e">
        <f t="shared" ca="1" si="216"/>
        <v>#DIV/0!</v>
      </c>
      <c r="X93" s="88" t="str">
        <f>IF(B93&lt;=Hypothèses!$V$7,Hypothèses!$X$7,IF(B93&lt;=Hypothèses!$V$8,Hypothèses!$X$8,IF(B93&lt;=Hypothèses!$V$9,Hypothèses!$X$9,IF(B93&lt;=Hypothèses!$V$10,Hypothèses!$X$10,IF(B93&lt;=Hypothèses!$V$11,Hypothèses!$X$11,IF(B93&lt;=Hypothèses!$V$12,Hypothèses!$X$12,IF(B93&lt;=Hypothèses!$V$13,Hypothèses!$X$13,IF(B93&lt;=Hypothèses!$V$14,Hypothèses!$X$14,IF(B93&lt;=Hypothèses!$V$15,Hypothèses!$X$15,IF(B93&lt;=Hypothèses!$V$16,Hypothèses!$X$16,IF(B93&lt;=Hypothèses!$U$17,Hypothèses!$W$17,IF(B93&lt;=Hypothèses!$U$18,Hypothèses!$W$18,""))))))))))))</f>
        <v/>
      </c>
      <c r="Y93" s="95" t="e">
        <f t="shared" ca="1" si="136"/>
        <v>#DIV/0!</v>
      </c>
      <c r="Z93" s="101" t="e">
        <f t="shared" si="137"/>
        <v>#N/A</v>
      </c>
      <c r="AA93" s="91" t="e">
        <f t="shared" si="138"/>
        <v>#N/A</v>
      </c>
      <c r="AB93" s="30" t="e">
        <f t="shared" si="200"/>
        <v>#N/A</v>
      </c>
      <c r="AC93" s="30" t="e">
        <f t="shared" si="201"/>
        <v>#N/A</v>
      </c>
      <c r="AD93" s="31" t="e">
        <f>IF(OR(Hypothèses!$B$4=17,Hypothèses!$B$4=18,Hypothèses!$B$4=19,Hypothèses!$B$4=20),
IF($D93="Pressio.",
IF(OR($E93=3,$E93=1,$E93=4),AC93,AB93),
IF($D93="Pénétro.",
IF(OR($E93=3,$E93=1,$E93=4),AC93,AB93))),IF($D93="Pressio.",
IF($E93=3,AC93,AB93),
IF($D93="Pénétro.",
IF($E93=4,AC93,AB93))))</f>
        <v>#N/A</v>
      </c>
      <c r="AE93" s="31" t="e">
        <f>(IF(OR(Hypothèses!$B$4=17,Hypothèses!$B$4=18,Hypothèses!$B$4=19,Hypothèses!$B$4=20),
IF($D93="Pressio.",
IF(OR($E93=3,$E93=1,$E93=4),(PI()*AE$12^2)/4*(AA93*$W93*1000)/($H93*$B$5),(PI()*AE$12^2)/4*(AA93*$W93*1000)/($G93*$B$5)),
IF($D93="Pénétro.",
IF(OR($E93=4,$E93=1,$E93=5),(PI()*AE$12^2)/4*(AA93*$W93*1000)/($H93*$B$5),(PI()*AE$12^2)/4*(AA93*$W93*1000)/($G93*$B$5)))),
IF($D93="Pressio.",
IF($E93=3,(PI()*AE$12^2)/4*(AA93*$W93*1000)/($H93*$B$5),(PI()*AE$12^2)/4*(AA93*$W93*1000)/($G93*$B$5)),
IF($D93="Pénétro.",
IF($E93=4,(PI()*AE$12^2)/4*(AA93*$W93*1000)/($H93*$B$5),(PI()*AE$12^2)/4*(AA93*$W93*1000)/($G93*$B$5))))))/10</f>
        <v>#N/A</v>
      </c>
      <c r="AF93" s="102" t="e">
        <f>(VLOOKUP($B$3,'Coeff EC7'!$T$39:$X$59,2,0)*AD93+VLOOKUP($B$3,'Coeff EC7'!$T$65:$X$85,2,0)*Model0.1C!AE93)/1.1</f>
        <v>#N/A</v>
      </c>
      <c r="AG93" s="102" t="e">
        <f>(VLOOKUP($B$3,'Coeff EC7'!$T$39:$X$59,3,0)*AD93+VLOOKUP($B$3,'Coeff EC7'!$T$65:$X$85,3,0)*Model0.1C!AE93)/0.9</f>
        <v>#N/A</v>
      </c>
      <c r="AH93" s="102" t="e">
        <f t="shared" si="139"/>
        <v>#N/A</v>
      </c>
      <c r="AI93" s="102" t="e">
        <f t="shared" si="140"/>
        <v>#N/A</v>
      </c>
      <c r="AJ93" s="414" t="e">
        <f>IF(AJ92=0,0,IF(AND(AF93&gt;charge_ELS_quasi,AG93&gt;Charge_ELS_freq,AH93&gt;charge_ELU,AI93&gt;charge_ELA,$B93&gt;NDC!$H$22-0.1+MIN(3*$AJ$12,1.5)),0,1))</f>
        <v>#N/A</v>
      </c>
      <c r="AK93" s="86" t="b">
        <f t="shared" si="141"/>
        <v>0</v>
      </c>
      <c r="AL93" s="86">
        <f t="shared" si="170"/>
        <v>0.5</v>
      </c>
      <c r="AM93" s="86">
        <f t="shared" si="142"/>
        <v>0.5</v>
      </c>
      <c r="AN93" s="30" t="e">
        <f t="shared" ca="1" si="171"/>
        <v>#DIV/0!</v>
      </c>
      <c r="AO93" s="85" t="e">
        <f ca="1">IF(U93&lt;=Hypothèses!$V$7,Hypothèses!$W$7,IF(U93&lt;=Hypothèses!$V$8,Hypothèses!$W$8,IF(U93&lt;=Hypothèses!$V$9,Hypothèses!$W$9,IF(U93&lt;=Hypothèses!$V$10,Hypothèses!$W$10,IF(U93&lt;=Hypothèses!$V$11,Hypothèses!$W$11,IF(U93&lt;=Hypothèses!$V$12,Hypothèses!$W$12,IF(U93&lt;=Hypothèses!$V$13,Hypothèses!$W$13,IF(U93&lt;=Hypothèses!$V$14,Hypothèses!$W$14,IF(U93&lt;=Hypothèses!$V$15,Hypothèses!$W$15,IF(U93&lt;=Hypothèses!$V$16,Hypothèses!$W$16,IF(U93&lt;=Hypothèses!$V$17,Hypothèses!$W$17,IF(U93&lt;=Hypothèses!$V$18,Hypothèses!$W$18,""))))))))))))</f>
        <v>#DIV/0!</v>
      </c>
      <c r="AP93" s="87" t="e">
        <f t="shared" ca="1" si="217"/>
        <v>#DIV/0!</v>
      </c>
      <c r="AQ93" s="88" t="e">
        <f ca="1">IF(U93&lt;=Hypothèses!$V$7,Hypothèses!$X$7,IF(U93&lt;=Hypothèses!$V$8,Hypothèses!$X$8,IF(U93&lt;=Hypothèses!$V$9,Hypothèses!$X$9,IF(U93&lt;=Hypothèses!$V$10,Hypothèses!$X$10,IF(U93&lt;=Hypothèses!$V$11,Hypothèses!$X$11,IF(U93&lt;=Hypothèses!$V$12,Hypothèses!$X$12,IF(U93&lt;=Hypothèses!$V$13,Hypothèses!$X$13,IF(U93&lt;=Hypothèses!$V$14,Hypothèses!$X$14,IF(U93&lt;=Hypothèses!$V$15,Hypothèses!$X$15,IF(U93&lt;=Hypothèses!$V$16,Hypothèses!$X$16,IF(U93&lt;=Hypothèses!$U$17,Hypothèses!$W$17,IF(U93&lt;=Hypothèses!$U$18,Hypothèses!$W$18,""))))))))))))</f>
        <v>#DIV/0!</v>
      </c>
      <c r="AR93" s="95" t="e">
        <f t="shared" ca="1" si="172"/>
        <v>#DIV/0!</v>
      </c>
      <c r="AS93" s="101" t="e">
        <f t="shared" si="224"/>
        <v>#N/A</v>
      </c>
      <c r="AT93" s="91" t="e">
        <f t="shared" si="143"/>
        <v>#N/A</v>
      </c>
      <c r="AU93" s="30" t="e">
        <f t="shared" si="202"/>
        <v>#N/A</v>
      </c>
      <c r="AV93" s="30" t="e">
        <f t="shared" si="203"/>
        <v>#N/A</v>
      </c>
      <c r="AW93" s="31" t="e">
        <f>IF(OR(Hypothèses!$B$4=17,Hypothèses!$B$4=18,Hypothèses!$B$4=19,Hypothèses!$B$4=20),
IF($D93="Pressio.",
IF(OR($E93=3,$E93=1,$E93=4),AV93,AU93),
IF($D93="Pénétro.",
IF(OR($E93=3,$E93=1,$E93=4),AV93,AU93))),IF($D93="Pressio.",
IF($E93=3,AV93,AU93),
IF($D93="Pénétro.",
IF($E93=4,AV93,AU93))))</f>
        <v>#N/A</v>
      </c>
      <c r="AX93" s="31" t="e">
        <f>(IF(OR(Hypothèses!$B$4=17,Hypothèses!$B$4=18,Hypothèses!$B$4=19,Hypothèses!$B$4=20),
IF($D93="Pressio.",
IF(OR($E93=3,$E93=1,$E93=4),(PI()*AX$12^2)/4*(AT93*$W93*1000)/($H93*$B$5),(PI()*AX$12^2)/4*(AT93*$W93*1000)/($G93*$B$5)),
IF($D93="Pénétro.",
IF(OR($E93=4,$E93=1,$E93=5),(PI()*AX$12^2)/4*(AT93*$W93*1000)/($H93*$B$5),(PI()*AX$12^2)/4*(AT93*$W93*1000)/($G93*$B$5)))),
IF($D93="Pressio.",
IF($E93=3,(PI()*AX$12^2)/4*(AT93*$W93*1000)/($H93*$B$5),(PI()*AX$12^2)/4*(AT93*$W93*1000)/($G93*$B$5)),
IF($D93="Pénétro.",
IF($E93=4,(PI()*AX$12^2)/4*(AT93*$W93*1000)/($H93*$B$5),(PI()*AX$12^2)/4*(AT93*$W93*1000)/($G93*$B$5))))))/10</f>
        <v>#N/A</v>
      </c>
      <c r="AY93" s="102" t="e">
        <f>(VLOOKUP($B$3,'Coeff EC7'!$T$39:$X$59,2,0)*AW93+VLOOKUP($B$3,'Coeff EC7'!$T$65:$X$85,2,0)*Model0.1C!AX93)/1.1</f>
        <v>#N/A</v>
      </c>
      <c r="AZ93" s="102" t="e">
        <f>(VLOOKUP($B$3,'Coeff EC7'!$T$39:$X$59,3,0)*AW93+VLOOKUP($B$3,'Coeff EC7'!$T$65:$X$85,3,0)*Model0.1C!AX93)/0.9</f>
        <v>#N/A</v>
      </c>
      <c r="BA93" s="102" t="e">
        <f t="shared" si="173"/>
        <v>#N/A</v>
      </c>
      <c r="BB93" s="102" t="e">
        <f t="shared" si="174"/>
        <v>#N/A</v>
      </c>
      <c r="BC93" s="414" t="e">
        <f>IF(BC92=0,0,IF(AND(AY93&gt;charge_ELS_quasi,AZ93&gt;Charge_ELS_freq,BA93&gt;charge_ELU,BB93&gt;charge_ELA,$B93&gt;NDC!$H$22-0.1+MIN(3*$BC$12,1.5)),0,1))</f>
        <v>#N/A</v>
      </c>
      <c r="BD93" s="86" t="b">
        <f t="shared" si="144"/>
        <v>0</v>
      </c>
      <c r="BE93" s="86">
        <f t="shared" si="175"/>
        <v>0.5</v>
      </c>
      <c r="BF93" s="86">
        <f t="shared" si="145"/>
        <v>0.5</v>
      </c>
      <c r="BG93" s="30" t="e">
        <f t="shared" ca="1" si="176"/>
        <v>#DIV/0!</v>
      </c>
      <c r="BH93" s="85" t="e">
        <f ca="1">IF(AN93&lt;=Hypothèses!$V$7,Hypothèses!$W$7,IF(AN93&lt;=Hypothèses!$V$8,Hypothèses!$W$8,IF(AN93&lt;=Hypothèses!$V$9,Hypothèses!$W$9,IF(AN93&lt;=Hypothèses!$V$10,Hypothèses!$W$10,IF(AN93&lt;=Hypothèses!$V$11,Hypothèses!$W$11,IF(AN93&lt;=Hypothèses!$V$12,Hypothèses!$W$12,IF(AN93&lt;=Hypothèses!$V$13,Hypothèses!$W$13,IF(AN93&lt;=Hypothèses!$V$14,Hypothèses!$W$14,IF(AN93&lt;=Hypothèses!$V$15,Hypothèses!$W$15,IF(AN93&lt;=Hypothèses!$V$16,Hypothèses!$W$16,IF(AN93&lt;=Hypothèses!$V$17,Hypothèses!$W$17,IF(AN93&lt;=Hypothèses!$V$18,Hypothèses!$W$18,""))))))))))))</f>
        <v>#DIV/0!</v>
      </c>
      <c r="BI93" s="87" t="e">
        <f t="shared" ca="1" si="218"/>
        <v>#DIV/0!</v>
      </c>
      <c r="BJ93" s="88" t="e">
        <f ca="1">IF(AN93&lt;=Hypothèses!$V$7,Hypothèses!$X$7,IF(AN93&lt;=Hypothèses!$V$8,Hypothèses!$X$8,IF(AN93&lt;=Hypothèses!$V$9,Hypothèses!$X$9,IF(AN93&lt;=Hypothèses!$V$10,Hypothèses!$X$10,IF(AN93&lt;=Hypothèses!$V$11,Hypothèses!$X$11,IF(AN93&lt;=Hypothèses!$V$12,Hypothèses!$X$12,IF(AN93&lt;=Hypothèses!$V$13,Hypothèses!$X$13,IF(AN93&lt;=Hypothèses!$V$14,Hypothèses!$X$14,IF(AN93&lt;=Hypothèses!$V$15,Hypothèses!$X$15,IF(AN93&lt;=Hypothèses!$V$16,Hypothèses!$X$16,IF(AN93&lt;=Hypothèses!$U$17,Hypothèses!$W$17,IF(AN93&lt;=Hypothèses!$U$18,Hypothèses!$W$18,""))))))))))))</f>
        <v>#DIV/0!</v>
      </c>
      <c r="BK93" s="95" t="e">
        <f t="shared" ca="1" si="177"/>
        <v>#DIV/0!</v>
      </c>
      <c r="BL93" s="101" t="e">
        <f t="shared" si="225"/>
        <v>#N/A</v>
      </c>
      <c r="BM93" s="91" t="e">
        <f t="shared" si="146"/>
        <v>#N/A</v>
      </c>
      <c r="BN93" s="30" t="e">
        <f t="shared" si="204"/>
        <v>#N/A</v>
      </c>
      <c r="BO93" s="30" t="e">
        <f t="shared" si="205"/>
        <v>#N/A</v>
      </c>
      <c r="BP93" s="31" t="e">
        <f>IF(OR(Hypothèses!$B$4=17,Hypothèses!$B$4=18,Hypothèses!$B$4=19,Hypothèses!$B$4=20),
IF($D93="Pressio.",
IF(OR($E93=3,$E93=1,$E93=4),BO93,BN93),
IF($D93="Pénétro.",
IF(OR($E93=3,$E93=1,$E93=4),BO93,BN93))),IF($D93="Pressio.",
IF($E93=3,BO93,BN93),
IF($D93="Pénétro.",
IF($E93=4,BO93,BN93))))</f>
        <v>#N/A</v>
      </c>
      <c r="BQ93" s="31" t="e">
        <f>(IF(OR(Hypothèses!$B$4=17,Hypothèses!$B$4=18,Hypothèses!$B$4=19,Hypothèses!$B$4=20),
IF($D93="Pressio.",
IF(OR($E93=3,$E93=1,$E93=4),(PI()*BQ$12^2)/4*(BM93*$W93*1000)/($H93*$B$5),(PI()*BQ$12^2)/4*(BM93*$W93*1000)/($G93*$B$5)),
IF($D93="Pénétro.",
IF(OR($E93=4,$E93=1,$E93=5),(PI()*BQ$12^2)/4*(BM93*$W93*1000)/($H93*$B$5),(PI()*BQ$12^2)/4*(BM93*$W93*1000)/($G93*$B$5)))),
IF($D93="Pressio.",
IF($E93=3,(PI()*BQ$12^2)/4*(BM93*$W93*1000)/($H93*$B$5),(PI()*BQ$12^2)/4*(BM93*$W93*1000)/($G93*$B$5)),
IF($D93="Pénétro.",
IF($E93=4,(PI()*BQ$12^2)/4*(BM93*$W93*1000)/($H93*$B$5),(PI()*BQ$12^2)/4*(BM93*$W93*1000)/($G93*$B$5))))))/10</f>
        <v>#N/A</v>
      </c>
      <c r="BR93" s="102" t="e">
        <f>(VLOOKUP($B$3,'Coeff EC7'!$T$39:$X$59,2,0)*BP93+VLOOKUP($B$3,'Coeff EC7'!$T$65:$X$85,2,0)*Model0.1C!BQ93)/1.1</f>
        <v>#N/A</v>
      </c>
      <c r="BS93" s="102" t="e">
        <f>(VLOOKUP($B$3,'Coeff EC7'!$T$39:$X$59,3,0)*BP93+VLOOKUP($B$3,'Coeff EC7'!$T$65:$X$85,3,0)*Model0.1C!BQ93)/0.9</f>
        <v>#N/A</v>
      </c>
      <c r="BT93" s="102" t="e">
        <f t="shared" si="178"/>
        <v>#N/A</v>
      </c>
      <c r="BU93" s="102" t="e">
        <f t="shared" si="179"/>
        <v>#N/A</v>
      </c>
      <c r="BV93" s="414" t="e">
        <f>IF(BV92=0,0,IF(AND(BR93&gt;charge_ELS_quasi,BS93&gt;Charge_ELS_freq,BT93&gt;charge_ELU,BU93&gt;charge_ELA,$B93&gt;NDC!$H$22-0.1+MIN(3*$BV$12,1.5)),0,1))</f>
        <v>#N/A</v>
      </c>
      <c r="BW93" s="86" t="b">
        <f t="shared" si="147"/>
        <v>0</v>
      </c>
      <c r="BX93" s="86">
        <f t="shared" si="148"/>
        <v>0.5</v>
      </c>
      <c r="BY93" s="86">
        <f t="shared" si="149"/>
        <v>0.5</v>
      </c>
      <c r="BZ93" s="30" t="e">
        <f t="shared" ca="1" si="180"/>
        <v>#DIV/0!</v>
      </c>
      <c r="CA93" s="85" t="e">
        <f ca="1">IF(BG93&lt;=Hypothèses!$V$7,Hypothèses!$W$7,IF(BG93&lt;=Hypothèses!$V$8,Hypothèses!$W$8,IF(BG93&lt;=Hypothèses!$V$9,Hypothèses!$W$9,IF(BG93&lt;=Hypothèses!$V$10,Hypothèses!$W$10,IF(BG93&lt;=Hypothèses!$V$11,Hypothèses!$W$11,IF(BG93&lt;=Hypothèses!$V$12,Hypothèses!$W$12,IF(BG93&lt;=Hypothèses!$V$13,Hypothèses!$W$13,IF(BG93&lt;=Hypothèses!$V$14,Hypothèses!$W$14,IF(BG93&lt;=Hypothèses!$V$15,Hypothèses!$W$15,IF(BG93&lt;=Hypothèses!$V$16,Hypothèses!$W$16,IF(BG93&lt;=Hypothèses!$V$17,Hypothèses!$W$17,IF(BG93&lt;=Hypothèses!$V$18,Hypothèses!$W$18,""))))))))))))</f>
        <v>#DIV/0!</v>
      </c>
      <c r="CB93" s="87" t="e">
        <f t="shared" ca="1" si="219"/>
        <v>#DIV/0!</v>
      </c>
      <c r="CC93" s="88" t="e">
        <f ca="1">IF(BG93&lt;=Hypothèses!$V$7,Hypothèses!$X$7,IF(BG93&lt;=Hypothèses!$V$8,Hypothèses!$X$8,IF(BG93&lt;=Hypothèses!$V$9,Hypothèses!$X$9,IF(BG93&lt;=Hypothèses!$V$10,Hypothèses!$X$10,IF(BG93&lt;=Hypothèses!$V$11,Hypothèses!$X$11,IF(BG93&lt;=Hypothèses!$V$12,Hypothèses!$X$12,IF(BG93&lt;=Hypothèses!$V$13,Hypothèses!$X$13,IF(BG93&lt;=Hypothèses!$V$14,Hypothèses!$X$14,IF(BG93&lt;=Hypothèses!$V$15,Hypothèses!$X$15,IF(BG93&lt;=Hypothèses!$V$16,Hypothèses!$X$16,IF(BG93&lt;=Hypothèses!$U$17,Hypothèses!$W$17,IF(BG93&lt;=Hypothèses!$U$18,Hypothèses!$W$18,""))))))))))))</f>
        <v>#DIV/0!</v>
      </c>
      <c r="CD93" s="95" t="e">
        <f t="shared" ca="1" si="181"/>
        <v>#DIV/0!</v>
      </c>
      <c r="CE93" s="101" t="e">
        <f t="shared" si="226"/>
        <v>#N/A</v>
      </c>
      <c r="CF93" s="91" t="e">
        <f t="shared" si="150"/>
        <v>#N/A</v>
      </c>
      <c r="CG93" s="30" t="e">
        <f t="shared" si="206"/>
        <v>#N/A</v>
      </c>
      <c r="CH93" s="30" t="e">
        <f t="shared" si="207"/>
        <v>#N/A</v>
      </c>
      <c r="CI93" s="31" t="e">
        <f>IF(OR(Hypothèses!$B$4=17,Hypothèses!$B$4=18,Hypothèses!$B$4=19,Hypothèses!$B$4=20),
IF($D93="Pressio.",
IF(OR($E93=3,$E93=1,$E93=4),CH93,CG93),
IF($D93="Pénétro.",
IF(OR($E93=3,$E93=1,$E93=4),CH93,CG93))),IF($D93="Pressio.",
IF($E93=3,CH93,CG93),
IF($D93="Pénétro.",
IF($E93=4,CH93,CG93))))</f>
        <v>#N/A</v>
      </c>
      <c r="CJ93" s="31" t="e">
        <f>(IF(OR(Hypothèses!$B$4=17,Hypothèses!$B$4=18,Hypothèses!$B$4=19,Hypothèses!$B$4=20),
IF($D93="Pressio.",
IF(OR($E93=3,$E93=1,$E93=4),(PI()*CJ$12^2)/4*(CF93*$W93*1000)/($H93*$B$5),(PI()*CJ$12^2)/4*(CF93*$W93*1000)/($G93*$B$5)),
IF($D93="Pénétro.",
IF(OR($E93=4,$E93=1,$E93=5),(PI()*CJ$12^2)/4*(CF93*$W93*1000)/($H93*$B$5),(PI()*CJ$12^2)/4*(CF93*$W93*1000)/($G93*$B$5)))),
IF($D93="Pressio.",
IF($E93=3,(PI()*CJ$12^2)/4*(CF93*$W93*1000)/($H93*$B$5),(PI()*CJ$12^2)/4*(CF93*$W93*1000)/($G93*$B$5)),
IF($D93="Pénétro.",
IF($E93=4,(PI()*CJ$12^2)/4*(CF93*$W93*1000)/($H93*$B$5),(PI()*CJ$12^2)/4*(CF93*$W93*1000)/($G93*$B$5))))))/10</f>
        <v>#N/A</v>
      </c>
      <c r="CK93" s="102" t="e">
        <f>(VLOOKUP($B$3,'Coeff EC7'!$T$39:$X$59,2,0)*CI93+VLOOKUP($B$3,'Coeff EC7'!$T$65:$X$85,2,0)*Model0.1C!CJ93)/1.1</f>
        <v>#N/A</v>
      </c>
      <c r="CL93" s="102" t="e">
        <f>(VLOOKUP($B$3,'Coeff EC7'!$T$39:$X$59,3,0)*CI93+VLOOKUP($B$3,'Coeff EC7'!$T$65:$X$85,3,0)*Model0.1C!CJ93)/0.9</f>
        <v>#N/A</v>
      </c>
      <c r="CM93" s="102" t="e">
        <f t="shared" si="182"/>
        <v>#N/A</v>
      </c>
      <c r="CN93" s="102" t="e">
        <f t="shared" si="183"/>
        <v>#N/A</v>
      </c>
      <c r="CO93" s="414" t="e">
        <f>IF(CO92=0,0,IF(AND(CK93&gt;charge_ELS_quasi,CL93&gt;Charge_ELS_freq,CM93&gt;charge_ELU,CN93&gt;charge_ELA,$B93&gt;NDC!$H$22-0.1+MIN(3*$CO$12,1.5)),0,1))</f>
        <v>#N/A</v>
      </c>
      <c r="CP93" s="86" t="b">
        <f t="shared" si="151"/>
        <v>0</v>
      </c>
      <c r="CQ93" s="86">
        <f t="shared" si="152"/>
        <v>0.5</v>
      </c>
      <c r="CR93" s="86">
        <f t="shared" si="153"/>
        <v>0.5</v>
      </c>
      <c r="CS93" s="30" t="e">
        <f t="shared" ca="1" si="184"/>
        <v>#DIV/0!</v>
      </c>
      <c r="CT93" s="85" t="e">
        <f ca="1">IF(BZ93&lt;=Hypothèses!$V$7,Hypothèses!$W$7,IF(BZ93&lt;=Hypothèses!$V$8,Hypothèses!$W$8,IF(BZ93&lt;=Hypothèses!$V$9,Hypothèses!$W$9,IF(BZ93&lt;=Hypothèses!$V$10,Hypothèses!$W$10,IF(BZ93&lt;=Hypothèses!$V$11,Hypothèses!$W$11,IF(BZ93&lt;=Hypothèses!$V$12,Hypothèses!$W$12,IF(BZ93&lt;=Hypothèses!$V$13,Hypothèses!$W$13,IF(BZ93&lt;=Hypothèses!$V$14,Hypothèses!$W$14,IF(BZ93&lt;=Hypothèses!$V$15,Hypothèses!$W$15,IF(BZ93&lt;=Hypothèses!$V$16,Hypothèses!$W$16,IF(BZ93&lt;=Hypothèses!$V$17,Hypothèses!$W$17,IF(BZ93&lt;=Hypothèses!$V$18,Hypothèses!$W$18,""))))))))))))</f>
        <v>#DIV/0!</v>
      </c>
      <c r="CU93" s="87" t="e">
        <f t="shared" ca="1" si="220"/>
        <v>#DIV/0!</v>
      </c>
      <c r="CV93" s="88" t="e">
        <f ca="1">IF(BZ93&lt;=Hypothèses!$V$7,Hypothèses!$X$7,IF(BZ93&lt;=Hypothèses!$V$8,Hypothèses!$X$8,IF(BZ93&lt;=Hypothèses!$V$9,Hypothèses!$X$9,IF(BZ93&lt;=Hypothèses!$V$10,Hypothèses!$X$10,IF(BZ93&lt;=Hypothèses!$V$11,Hypothèses!$X$11,IF(BZ93&lt;=Hypothèses!$V$12,Hypothèses!$X$12,IF(BZ93&lt;=Hypothèses!$V$13,Hypothèses!$X$13,IF(BZ93&lt;=Hypothèses!$V$14,Hypothèses!$X$14,IF(BZ93&lt;=Hypothèses!$V$15,Hypothèses!$X$15,IF(BZ93&lt;=Hypothèses!$V$16,Hypothèses!$X$16,IF(BZ93&lt;=Hypothèses!$U$17,Hypothèses!$W$17,IF(BZ93&lt;=Hypothèses!$U$18,Hypothèses!$W$18,""))))))))))))</f>
        <v>#DIV/0!</v>
      </c>
      <c r="CW93" s="95" t="e">
        <f t="shared" ca="1" si="185"/>
        <v>#DIV/0!</v>
      </c>
      <c r="CX93" s="101" t="e">
        <f t="shared" si="227"/>
        <v>#N/A</v>
      </c>
      <c r="CY93" s="91" t="e">
        <f t="shared" si="154"/>
        <v>#N/A</v>
      </c>
      <c r="CZ93" s="30" t="e">
        <f t="shared" si="208"/>
        <v>#N/A</v>
      </c>
      <c r="DA93" s="30" t="e">
        <f t="shared" si="209"/>
        <v>#N/A</v>
      </c>
      <c r="DB93" s="31" t="e">
        <f>IF(OR(Hypothèses!$B$4=17,Hypothèses!$B$4=18,Hypothèses!$B$4=19,Hypothèses!$B$4=20),
IF($D93="Pressio.",
IF(OR($E93=3,$E93=1,$E93=4),DA93,CZ93),
IF($D93="Pénétro.",
IF(OR($E93=3,$E93=1,$E93=4),DA93,CZ93))),IF($D93="Pressio.",
IF($E93=3,DA93,CZ93),
IF($D93="Pénétro.",
IF($E93=4,DA93,CZ93))))</f>
        <v>#N/A</v>
      </c>
      <c r="DC93" s="31" t="e">
        <f>(IF(OR(Hypothèses!$B$4=17,Hypothèses!$B$4=18,Hypothèses!$B$4=19,Hypothèses!$B$4=20),
IF($D93="Pressio.",
IF(OR($E93=3,$E93=1,$E93=4),(PI()*DC$12^2)/4*(CY93*$W93*1000)/($H93*$B$5),(PI()*DC$12^2)/4*(CY93*$W93*1000)/($G93*$B$5)),
IF($D93="Pénétro.",
IF(OR($E93=4,$E93=1,$E93=5),(PI()*DC$12^2)/4*(CY93*$W93*1000)/($H93*$B$5),(PI()*DC$12^2)/4*(CY93*$W93*1000)/($G93*$B$5)))),
IF($D93="Pressio.",
IF($E93=3,(PI()*DC$12^2)/4*(CY93*$W93*1000)/($H93*$B$5),(PI()*DC$12^2)/4*(CY93*$W93*1000)/($G93*$B$5)),
IF($D93="Pénétro.",
IF($E93=4,(PI()*DC$12^2)/4*(CY93*$W93*1000)/($H93*$B$5),(PI()*DC$12^2)/4*(CY93*$W93*1000)/($G93*$B$5))))))/10</f>
        <v>#N/A</v>
      </c>
      <c r="DD93" s="102" t="e">
        <f>(VLOOKUP($B$3,'Coeff EC7'!$T$39:$X$59,2,0)*DB93+VLOOKUP($B$3,'Coeff EC7'!$T$65:$X$85,2,0)*Model0.1C!DC93)/1.1</f>
        <v>#N/A</v>
      </c>
      <c r="DE93" s="102" t="e">
        <f>(VLOOKUP($B$3,'Coeff EC7'!$T$39:$X$59,3,0)*DB93+VLOOKUP($B$3,'Coeff EC7'!$T$65:$X$85,3,0)*Model0.1C!DC93)/0.9</f>
        <v>#N/A</v>
      </c>
      <c r="DF93" s="102" t="e">
        <f t="shared" si="186"/>
        <v>#N/A</v>
      </c>
      <c r="DG93" s="102" t="e">
        <f t="shared" si="187"/>
        <v>#N/A</v>
      </c>
      <c r="DH93" s="414" t="e">
        <f>IF(DH92=0,0,IF(AND(DD93&gt;charge_ELS_quasi,DE93&gt;Charge_ELS_freq,DF93&gt;charge_ELU,DG93&gt;charge_ELA,$B93&gt;NDC!$H$22-0.1+MIN(3*$DH$12,1.5)),0,1))</f>
        <v>#N/A</v>
      </c>
      <c r="DI93" s="86" t="b">
        <f t="shared" si="155"/>
        <v>0</v>
      </c>
      <c r="DJ93" s="86">
        <f t="shared" si="156"/>
        <v>0.5</v>
      </c>
      <c r="DK93" s="86">
        <f t="shared" si="157"/>
        <v>0.5</v>
      </c>
      <c r="DL93" s="30" t="e">
        <f t="shared" ca="1" si="188"/>
        <v>#DIV/0!</v>
      </c>
      <c r="DM93" s="85" t="e">
        <f ca="1">IF(CS93&lt;=Hypothèses!$V$7,Hypothèses!$W$7,IF(CS93&lt;=Hypothèses!$V$8,Hypothèses!$W$8,IF(CS93&lt;=Hypothèses!$V$9,Hypothèses!$W$9,IF(CS93&lt;=Hypothèses!$V$10,Hypothèses!$W$10,IF(CS93&lt;=Hypothèses!$V$11,Hypothèses!$W$11,IF(CS93&lt;=Hypothèses!$V$12,Hypothèses!$W$12,IF(CS93&lt;=Hypothèses!$V$13,Hypothèses!$W$13,IF(CS93&lt;=Hypothèses!$V$14,Hypothèses!$W$14,IF(CS93&lt;=Hypothèses!$V$15,Hypothèses!$W$15,IF(CS93&lt;=Hypothèses!$V$16,Hypothèses!$W$16,IF(CS93&lt;=Hypothèses!$V$17,Hypothèses!$W$17,IF(CS93&lt;=Hypothèses!$V$18,Hypothèses!$W$18,""))))))))))))</f>
        <v>#DIV/0!</v>
      </c>
      <c r="DN93" s="87" t="e">
        <f t="shared" ca="1" si="221"/>
        <v>#DIV/0!</v>
      </c>
      <c r="DO93" s="88" t="e">
        <f ca="1">IF(CS93&lt;=Hypothèses!$V$7,Hypothèses!$X$7,IF(CS93&lt;=Hypothèses!$V$8,Hypothèses!$X$8,IF(CS93&lt;=Hypothèses!$V$9,Hypothèses!$X$9,IF(CS93&lt;=Hypothèses!$V$10,Hypothèses!$X$10,IF(CS93&lt;=Hypothèses!$V$11,Hypothèses!$X$11,IF(CS93&lt;=Hypothèses!$V$12,Hypothèses!$X$12,IF(CS93&lt;=Hypothèses!$V$13,Hypothèses!$X$13,IF(CS93&lt;=Hypothèses!$V$14,Hypothèses!$X$14,IF(CS93&lt;=Hypothèses!$V$15,Hypothèses!$X$15,IF(CS93&lt;=Hypothèses!$V$16,Hypothèses!$X$16,IF(CS93&lt;=Hypothèses!$U$17,Hypothèses!$W$17,IF(CS93&lt;=Hypothèses!$U$18,Hypothèses!$W$18,""))))))))))))</f>
        <v>#DIV/0!</v>
      </c>
      <c r="DP93" s="95" t="e">
        <f t="shared" ca="1" si="189"/>
        <v>#DIV/0!</v>
      </c>
      <c r="DQ93" s="101" t="e">
        <f t="shared" si="228"/>
        <v>#N/A</v>
      </c>
      <c r="DR93" s="91" t="e">
        <f t="shared" si="158"/>
        <v>#N/A</v>
      </c>
      <c r="DS93" s="30" t="e">
        <f t="shared" si="210"/>
        <v>#N/A</v>
      </c>
      <c r="DT93" s="30" t="e">
        <f t="shared" si="211"/>
        <v>#N/A</v>
      </c>
      <c r="DU93" s="31" t="e">
        <f>IF(OR(Hypothèses!$B$4=17,Hypothèses!$B$4=18,Hypothèses!$B$4=19,Hypothèses!$B$4=20),
IF($D93="Pressio.",
IF(OR($E93=3,$E93=1,$E93=4),DT93,DS93),
IF($D93="Pénétro.",
IF(OR($E93=3,$E93=1,$E93=4),DT93,DS93))),IF($D93="Pressio.",
IF($E93=3,DT93,DS93),
IF($D93="Pénétro.",
IF($E93=4,DT93,DS93))))</f>
        <v>#N/A</v>
      </c>
      <c r="DV93" s="31" t="e">
        <f>(IF(OR(Hypothèses!$B$4=17,Hypothèses!$B$4=18,Hypothèses!$B$4=19,Hypothèses!$B$4=20),
IF($D93="Pressio.",
IF(OR($E93=3,$E93=1,$E93=4),(PI()*DV$12^2)/4*(DR93*$W93*1000)/($H93*$B$5),(PI()*DV$12^2)/4*(DR93*$W93*1000)/($G93*$B$5)),
IF($D93="Pénétro.",
IF(OR($E93=4,$E93=1,$E93=5),(PI()*DV$12^2)/4*(DR93*$W93*1000)/($H93*$B$5),(PI()*DV$12^2)/4*(DR93*$W93*1000)/($G93*$B$5)))),
IF($D93="Pressio.",
IF($E93=3,(PI()*DV$12^2)/4*(DR93*$W93*1000)/($H93*$B$5),(PI()*DV$12^2)/4*(DR93*$W93*1000)/($G93*$B$5)),
IF($D93="Pénétro.",
IF($E93=4,(PI()*DV$12^2)/4*(DR93*$W93*1000)/($H93*$B$5),(PI()*DV$12^2)/4*(DR93*$W93*1000)/($G93*$B$5))))))/10</f>
        <v>#N/A</v>
      </c>
      <c r="DW93" s="102" t="e">
        <f>(VLOOKUP($B$3,'Coeff EC7'!$T$39:$X$59,2,0)*DU93+VLOOKUP($B$3,'Coeff EC7'!$T$65:$X$85,2,0)*Model0.1C!DV93)/1.1</f>
        <v>#N/A</v>
      </c>
      <c r="DX93" s="102" t="e">
        <f>(VLOOKUP($B$3,'Coeff EC7'!$T$39:$X$59,3,0)*DU93+VLOOKUP($B$3,'Coeff EC7'!$T$65:$X$85,3,0)*Model0.1C!DV93)/0.9</f>
        <v>#N/A</v>
      </c>
      <c r="DY93" s="102" t="e">
        <f t="shared" si="190"/>
        <v>#N/A</v>
      </c>
      <c r="DZ93" s="102" t="e">
        <f t="shared" si="191"/>
        <v>#N/A</v>
      </c>
      <c r="EA93" s="414" t="e">
        <f>IF(EA92=0,0,IF(AND(DW93&gt;charge_ELS_quasi,DX93&gt;Charge_ELS_freq,DY93&gt;charge_ELU,DZ93&gt;charge_ELA,$B93&gt;NDC!$H$22-0.1+MIN(3*$EA$12,1.5)),0,1))</f>
        <v>#N/A</v>
      </c>
      <c r="EB93" s="86" t="b">
        <f t="shared" si="159"/>
        <v>0</v>
      </c>
      <c r="EC93" s="418">
        <f t="shared" si="160"/>
        <v>0.51</v>
      </c>
      <c r="ED93" s="86">
        <f t="shared" si="161"/>
        <v>0.51</v>
      </c>
      <c r="EE93" s="30" t="e">
        <f t="shared" ca="1" si="192"/>
        <v>#DIV/0!</v>
      </c>
      <c r="EF93" s="85" t="e">
        <f ca="1">IF(DL93&lt;=Hypothèses!$V$7,Hypothèses!$W$7,IF(DL93&lt;=Hypothèses!$V$8,Hypothèses!$W$8,IF(DL93&lt;=Hypothèses!$V$9,Hypothèses!$W$9,IF(DL93&lt;=Hypothèses!$V$10,Hypothèses!$W$10,IF(DL93&lt;=Hypothèses!$V$11,Hypothèses!$W$11,IF(DL93&lt;=Hypothèses!$V$12,Hypothèses!$W$12,IF(DL93&lt;=Hypothèses!$V$13,Hypothèses!$W$13,IF(DL93&lt;=Hypothèses!$V$14,Hypothèses!$W$14,IF(DL93&lt;=Hypothèses!$V$15,Hypothèses!$W$15,IF(DL93&lt;=Hypothèses!$V$16,Hypothèses!$W$16,IF(DL93&lt;=Hypothèses!$V$17,Hypothèses!$W$17,IF(DL93&lt;=Hypothèses!$V$18,Hypothèses!$W$18,""))))))))))))</f>
        <v>#DIV/0!</v>
      </c>
      <c r="EG93" s="87" t="e">
        <f t="shared" ca="1" si="222"/>
        <v>#DIV/0!</v>
      </c>
      <c r="EH93" s="88" t="e">
        <f ca="1">IF(DL93&lt;=Hypothèses!$V$7,Hypothèses!$X$7,IF(DL93&lt;=Hypothèses!$V$8,Hypothèses!$X$8,IF(DL93&lt;=Hypothèses!$V$9,Hypothèses!$X$9,IF(DL93&lt;=Hypothèses!$V$10,Hypothèses!$X$10,IF(DL93&lt;=Hypothèses!$V$11,Hypothèses!$X$11,IF(DL93&lt;=Hypothèses!$V$12,Hypothèses!$X$12,IF(DL93&lt;=Hypothèses!$V$13,Hypothèses!$X$13,IF(DL93&lt;=Hypothèses!$V$14,Hypothèses!$X$14,IF(DL93&lt;=Hypothèses!$V$15,Hypothèses!$X$15,IF(DL93&lt;=Hypothèses!$V$16,Hypothèses!$X$16,IF(DL93&lt;=Hypothèses!$U$17,Hypothèses!$W$17,IF(DL93&lt;=Hypothèses!$U$18,Hypothèses!$W$18,""))))))))))))</f>
        <v>#DIV/0!</v>
      </c>
      <c r="EI93" s="95" t="e">
        <f t="shared" ca="1" si="193"/>
        <v>#DIV/0!</v>
      </c>
      <c r="EJ93" s="101" t="e">
        <f t="shared" si="229"/>
        <v>#N/A</v>
      </c>
      <c r="EK93" s="91" t="e">
        <f t="shared" si="162"/>
        <v>#N/A</v>
      </c>
      <c r="EL93" s="30" t="e">
        <f t="shared" si="212"/>
        <v>#N/A</v>
      </c>
      <c r="EM93" s="30" t="e">
        <f t="shared" si="213"/>
        <v>#N/A</v>
      </c>
      <c r="EN93" s="31" t="e">
        <f>IF(OR(Hypothèses!$B$4=17,Hypothèses!$B$4=18,Hypothèses!$B$4=19,Hypothèses!$B$4=20),
IF($D93="Pressio.",
IF(OR($E93=3,$E93=1,$E93=4),EM93,EL93),
IF($D93="Pénétro.",
IF(OR($E93=3,$E93=1,$E93=4),EM93,EL93))),IF($D93="Pressio.",
IF($E93=3,EM93,EL93),
IF($D93="Pénétro.",
IF($E93=4,EM93,EL93))))</f>
        <v>#N/A</v>
      </c>
      <c r="EO93" s="31" t="e">
        <f>(IF(OR(Hypothèses!$B$4=17,Hypothèses!$B$4=18,Hypothèses!$B$4=19,Hypothèses!$B$4=20),
IF($D93="Pressio.",
IF(OR($E93=3,$E93=1,$E93=4),(PI()*EO$12^2)/4*(EK93*$W93*1000)/($H93*$B$5),(PI()*EO$12^2)/4*(EK93*$W93*1000)/($G93*$B$5)),
IF($D93="Pénétro.",
IF(OR($E93=4,$E93=1,$E93=5),(PI()*EO$12^2)/4*(EK93*$W93*1000)/($H93*$B$5),(PI()*EO$12^2)/4*(EK93*$W93*1000)/($G93*$B$5)))),
IF($D93="Pressio.",
IF($E93=3,(PI()*EO$12^2)/4*(EK93*$W93*1000)/($H93*$B$5),(PI()*EO$12^2)/4*(EK93*$W93*1000)/($G93*$B$5)),
IF($D93="Pénétro.",
IF($E93=4,(PI()*EO$12^2)/4*(EK93*$W93*1000)/($H93*$B$5),(PI()*EO$12^2)/4*(EK93*$W93*1000)/($G93*$B$5))))))/10</f>
        <v>#N/A</v>
      </c>
      <c r="EP93" s="102" t="e">
        <f>(VLOOKUP($B$3,'Coeff EC7'!$T$39:$X$59,2,0)*EN93+VLOOKUP($B$3,'Coeff EC7'!$T$65:$X$85,2,0)*Model0.1C!EO93)/1.1</f>
        <v>#N/A</v>
      </c>
      <c r="EQ93" s="102" t="e">
        <f>(VLOOKUP($B$3,'Coeff EC7'!$T$39:$X$59,3,0)*EN93+VLOOKUP($B$3,'Coeff EC7'!$T$65:$X$85,3,0)*Model0.1C!EO93)/0.9</f>
        <v>#N/A</v>
      </c>
      <c r="ER93" s="102" t="e">
        <f t="shared" si="194"/>
        <v>#N/A</v>
      </c>
      <c r="ES93" s="102" t="e">
        <f t="shared" si="195"/>
        <v>#N/A</v>
      </c>
      <c r="ET93" s="414" t="e">
        <f>IF(ET92=0,0,IF(AND(EP93&gt;charge_ELS_quasi,EQ93&gt;Charge_ELS_freq,ER93&gt;charge_ELU,ES93&gt;charge_ELA,$B93&gt;NDC!$H$22-0.1+MIN(3*$ET$12,1.5)),0,1))</f>
        <v>#N/A</v>
      </c>
      <c r="EU93" s="86" t="b">
        <f t="shared" si="163"/>
        <v>0</v>
      </c>
      <c r="EV93" s="86">
        <f t="shared" si="164"/>
        <v>0.61</v>
      </c>
      <c r="EW93" s="86">
        <f t="shared" si="165"/>
        <v>0.61</v>
      </c>
      <c r="EX93" s="30" t="e">
        <f t="shared" ca="1" si="196"/>
        <v>#DIV/0!</v>
      </c>
      <c r="EY93" s="85" t="e">
        <f ca="1">IF(EE93&lt;=Hypothèses!$V$7,Hypothèses!$W$7,IF(EE93&lt;=Hypothèses!$V$8,Hypothèses!$W$8,IF(EE93&lt;=Hypothèses!$V$9,Hypothèses!$W$9,IF(EE93&lt;=Hypothèses!$V$10,Hypothèses!$W$10,IF(EE93&lt;=Hypothèses!$V$11,Hypothèses!$W$11,IF(EE93&lt;=Hypothèses!$V$12,Hypothèses!$W$12,IF(EE93&lt;=Hypothèses!$V$13,Hypothèses!$W$13,IF(EE93&lt;=Hypothèses!$V$14,Hypothèses!$W$14,IF(EE93&lt;=Hypothèses!$V$15,Hypothèses!$W$15,IF(EE93&lt;=Hypothèses!$V$16,Hypothèses!$W$16,IF(EE93&lt;=Hypothèses!$V$17,Hypothèses!$W$17,IF(EE93&lt;=Hypothèses!$V$18,Hypothèses!$W$18,""))))))))))))</f>
        <v>#DIV/0!</v>
      </c>
      <c r="EZ93" s="87" t="e">
        <f t="shared" ca="1" si="223"/>
        <v>#DIV/0!</v>
      </c>
      <c r="FA93" s="88" t="e">
        <f ca="1">IF(EE93&lt;=Hypothèses!$V$7,Hypothèses!$X$7,IF(EE93&lt;=Hypothèses!$V$8,Hypothèses!$X$8,IF(EE93&lt;=Hypothèses!$V$9,Hypothèses!$X$9,IF(EE93&lt;=Hypothèses!$V$10,Hypothèses!$X$10,IF(EE93&lt;=Hypothèses!$V$11,Hypothèses!$X$11,IF(EE93&lt;=Hypothèses!$V$12,Hypothèses!$X$12,IF(EE93&lt;=Hypothèses!$V$13,Hypothèses!$X$13,IF(EE93&lt;=Hypothèses!$V$14,Hypothèses!$X$14,IF(EE93&lt;=Hypothèses!$V$15,Hypothèses!$X$15,IF(EE93&lt;=Hypothèses!$V$16,Hypothèses!$X$16,IF(EE93&lt;=Hypothèses!$U$17,Hypothèses!$W$17,IF(EE93&lt;=Hypothèses!$U$18,Hypothèses!$W$18,""))))))))))))</f>
        <v>#DIV/0!</v>
      </c>
      <c r="FB93" s="95" t="e">
        <f t="shared" ca="1" si="197"/>
        <v>#DIV/0!</v>
      </c>
      <c r="FC93" s="101" t="e">
        <f t="shared" si="230"/>
        <v>#N/A</v>
      </c>
      <c r="FD93" s="91" t="e">
        <f t="shared" si="166"/>
        <v>#N/A</v>
      </c>
      <c r="FE93" s="30" t="e">
        <f t="shared" si="214"/>
        <v>#N/A</v>
      </c>
      <c r="FF93" s="30" t="e">
        <f t="shared" si="215"/>
        <v>#N/A</v>
      </c>
      <c r="FG93" s="31" t="e">
        <f>IF(OR(Hypothèses!$B$4=17,Hypothèses!$B$4=18,Hypothèses!$B$4=19,Hypothèses!$B$4=20),
IF($D93="Pressio.",
IF(OR($E93=3,$E93=1,$E93=4),FF93,FE93),
IF($D93="Pénétro.",
IF(OR($E93=3,$E93=1,$E93=4),FF93,FE93))),IF($D93="Pressio.",
IF($E93=3,FF93,FE93),
IF($D93="Pénétro.",
IF($E93=4,FF93,FE93))))</f>
        <v>#N/A</v>
      </c>
      <c r="FH93" s="31" t="e">
        <f>(IF(OR(Hypothèses!$B$4=17,Hypothèses!$B$4=18,Hypothèses!$B$4=19,Hypothèses!$B$4=20),
IF($D93="Pressio.",
IF(OR($E93=3,$E93=1,$E93=4),(PI()*FH$12^2)/4*(FD93*$W93*1000)/($H93*$B$5),(PI()*FH$12^2)/4*(FD93*$W93*1000)/($G93*$B$5)),
IF($D93="Pénétro.",
IF(OR($E93=4,$E93=1,$E93=5),(PI()*FH$12^2)/4*(FD93*$W93*1000)/($H93*$B$5),(PI()*FH$12^2)/4*(FD93*$W93*1000)/($G93*$B$5)))),
IF($D93="Pressio.",
IF($E93=3,(PI()*FH$12^2)/4*(FD93*$W93*1000)/($H93*$B$5),(PI()*FH$12^2)/4*(FD93*$W93*1000)/($G93*$B$5)),
IF($D93="Pénétro.",
IF($E93=4,(PI()*FH$12^2)/4*(FD93*$W93*1000)/($H93*$B$5),(PI()*FH$12^2)/4*(FD93*$W93*1000)/($G93*$B$5))))))/10</f>
        <v>#N/A</v>
      </c>
      <c r="FI93" s="102" t="e">
        <f>(VLOOKUP($B$3,'Coeff EC7'!$T$39:$X$59,2,0)*FG93+VLOOKUP($B$3,'Coeff EC7'!$T$65:$X$85,2,0)*Model0.1C!FH93)/1.1</f>
        <v>#N/A</v>
      </c>
      <c r="FJ93" s="102" t="e">
        <f>(VLOOKUP($B$3,'Coeff EC7'!$T$39:$X$59,3,0)*FG93+VLOOKUP($B$3,'Coeff EC7'!$T$65:$X$85,3,0)*Model0.1C!FH93)/0.9</f>
        <v>#N/A</v>
      </c>
      <c r="FK93" s="102" t="e">
        <f t="shared" si="198"/>
        <v>#N/A</v>
      </c>
      <c r="FL93" s="102" t="e">
        <f t="shared" si="199"/>
        <v>#N/A</v>
      </c>
      <c r="FM93" s="414" t="e">
        <f>IF(FM92=0,0,IF(AND(FI93&gt;charge_ELS_quasi,FJ93&gt;Charge_ELS_freq,FK93&gt;charge_ELU,FL93&gt;charge_ELA,$B93&gt;NDC!$H$22-0.1+MIN(3*$FM$12,1.5)),0,1))</f>
        <v>#N/A</v>
      </c>
    </row>
    <row r="94" spans="1:169">
      <c r="A94" s="96">
        <f t="shared" si="167"/>
        <v>91.90000000000046</v>
      </c>
      <c r="B94" s="97">
        <v>8.1</v>
      </c>
      <c r="C94" s="81">
        <f>IF(B94&lt;=Hypothèses!$C$7,Hypothèses!$A$7,IF(B94&lt;=Hypothèses!$C$8,Hypothèses!$A$8,IF(B94&lt;=Hypothèses!$C$9,Hypothèses!$A$9,IF(B94&lt;=Hypothèses!$C$10,Hypothèses!$A$10,IF(B94&lt;=Hypothèses!$C$11,Hypothèses!$A$11,IF(B94&lt;=Hypothèses!$C$12,Hypothèses!$A$12,IF(B94&lt;=Hypothèses!$C$13,Hypothèses!$A$13,IF(B94&lt;=Hypothèses!$C$14,Hypothèses!$A$14,IF(B94&lt;=Hypothèses!$C$15,Hypothèses!$A$15,IF(B94&lt;=Hypothèses!$C$16,Hypothèses!$A$16,IF(B94&lt;=Hypothèses!$C$17,Hypothèses!$A$17,IF(B94&lt;=Hypothèses!$C$18,Hypothèses!$A$18,C93))))))))))))</f>
        <v>11</v>
      </c>
      <c r="D94" s="82" t="str">
        <f>IF(B94&lt;=Hypothèses!$C$7,Hypothèses!$R$7,IF(B94&lt;=Hypothèses!$C$8,Hypothèses!$R$8,IF(B94&lt;=Hypothèses!$C$9,Hypothèses!$R$9,IF(B94&lt;=Hypothèses!$C$10,Hypothèses!$R$10,IF(B94&lt;=Hypothèses!$C$11,Hypothèses!$R$11,IF(B94&lt;=Hypothèses!$C$12,Hypothèses!$R$12,IF(B94&lt;=Hypothèses!$C$13,Hypothèses!$R$13,IF(B94&lt;=Hypothèses!$C$14,Hypothèses!$R$14,IF(B94&lt;=Hypothèses!$C$15,Hypothèses!$R$15,IF(B94&lt;=Hypothèses!$C$16,Hypothèses!$R$16,IF(B94&lt;=Hypothèses!$C$17,Hypothèses!$R$17,IF(B94&lt;=Hypothèses!$C$18,Hypothèses!$R$18,D93))))))))))))</f>
        <v>Pressio.</v>
      </c>
      <c r="E94" s="82" t="e">
        <f>IF(B94&lt;=Hypothèses!$C$7,Hypothèses!$G$7,IF(B94&lt;=Hypothèses!$C$8,Hypothèses!$G$8,IF(B94&lt;=Hypothèses!$C$9,Hypothèses!$G$9,IF(B94&lt;=Hypothèses!$C$10,Hypothèses!$G$10,IF(B94&lt;=Hypothèses!$C$11,Hypothèses!$G$11,IF(B94&lt;=Hypothèses!$C$12,Hypothèses!$G$12,IF(B94&lt;=Hypothèses!$C$13,Hypothèses!$G$13,IF(B94&lt;=Hypothèses!$C$14,Hypothèses!$G$14,IF(B94&lt;=Hypothèses!$C$15,Hypothèses!$G$15,IF(B94&lt;=Hypothèses!$C$16,Hypothèses!$G$16,IF(B94&lt;=Hypothèses!$C$17,Hypothèses!$G$17,IF(B94&lt;=Hypothèses!$C$18,Hypothèses!$G$18,E93))))))))))))</f>
        <v>#N/A</v>
      </c>
      <c r="F94" s="82" t="str">
        <f>IF(B94&lt;=Hypothèses!$C$7,Hypothèses!$F$7,IF(B94&lt;=Hypothèses!$C$8,Hypothèses!$F$8,IF(B94&lt;=Hypothèses!$C$9,Hypothèses!$F$9,IF(B94&lt;=Hypothèses!$C$10,Hypothèses!$F$10,IF(B94&lt;=Hypothèses!$C$11,Hypothèses!$F$11,IF(B94&lt;=Hypothèses!$C$12,Hypothèses!$F$12,IF(B94&lt;=Hypothèses!$C$13,Hypothèses!$F$13,IF(B94&lt;=Hypothèses!$C$14,Hypothèses!$F$14,IF(B94&lt;=Hypothèses!$C$15,Hypothèses!$F$15,IF(B94&lt;=Hypothèses!$C$16,Hypothèses!$F$16,IF(B94&lt;=Hypothèses!$C$17,Hypothèses!$F$17,IF(B94&lt;=Hypothèses!$C$18,Hypothèses!$F$18,F93))))))))))))</f>
        <v/>
      </c>
      <c r="G94" s="91">
        <f t="array" ref="G94">INDEX('Coeff EC7'!$U$7:$X$27,
MATCH(Model0.1C!$B$3,'Coeff EC7'!$T$7:$T$27,0),
MATCH(Model0.1C!$D94&amp;Model0.1C!$B$4,
'Coeff EC7'!$U$6:$X$6&amp;
'Coeff EC7'!$U$5:$X$5,0))</f>
        <v>1.1499999999999999</v>
      </c>
      <c r="H94" s="91">
        <f t="array" ref="H94">INDEX('Coeff EC7'!$Y$7:$AB$27,
MATCH(Model0.1C!$B$3,'Coeff EC7'!$T$7:$T$27,0),
MATCH(Model0.1C!$D94&amp;Model0.1C!$B$4,
'Coeff EC7'!$Y$6:$AB$6&amp;
'Coeff EC7'!$Y$5:$AB$5,0))</f>
        <v>1.4</v>
      </c>
      <c r="I94" s="83" t="e">
        <f>IF(B94&lt;=Hypothèses!$C$7,Hypothèses!$P$7,IF(B94&lt;=Hypothèses!$C$8,Hypothèses!$P$8,IF(B94&lt;=Hypothèses!$C$9,Hypothèses!$P$9,IF(B94&lt;=Hypothèses!$C$10,Hypothèses!$P$10,IF(B94&lt;=Hypothèses!$C$11,Hypothèses!$P$11,IF(B94&lt;=Hypothèses!$C$12,Hypothèses!$P$12,IF(B94&lt;=Hypothèses!$C$13,Hypothèses!$P$13,IF(B94&lt;=Hypothèses!$C$14,Hypothèses!$P$14,IF(B94&lt;=Hypothèses!$C$15,Hypothèses!$P$15,IF(B94&lt;=Hypothèses!$C$16,Hypothèses!$P$16,IF(B94&lt;=Hypothèses!$C$17,Hypothèses!$P$17,IF(B94&lt;=Hypothèses!$C$18,Hypothèses!$P$18,I93))))))))))))</f>
        <v>#N/A</v>
      </c>
      <c r="J94" s="91" t="e">
        <f t="array" ref="J94">INDEX('Coeff EC7'!$D$33:$Q$33,1,MATCH(D94&amp;E94,'Coeff EC7'!$D$31:$Q$31&amp;'Coeff EC7'!$D$32:$Q$32,0))</f>
        <v>#N/A</v>
      </c>
      <c r="K94" s="91" t="e">
        <f t="array" ref="K94">INDEX('Coeff EC7'!$D$34:$Q$34,1,MATCH(D94&amp;E94,'Coeff EC7'!$D$31:$Q$31&amp;'Coeff EC7'!$D$32:$Q$32,0))</f>
        <v>#N/A</v>
      </c>
      <c r="L94" s="91" t="e">
        <f t="array" ref="L94">INDEX('Coeff EC7'!$D$35:$Q$35,1,MATCH(D94&amp;E94,'Coeff EC7'!$D$31:$Q$31&amp;'Coeff EC7'!$D$32:$Q$32,0))</f>
        <v>#N/A</v>
      </c>
      <c r="M94" s="98" t="e">
        <f t="shared" si="131"/>
        <v>#N/A</v>
      </c>
      <c r="N94" s="99" t="e">
        <f t="array" ref="N94">INDEX('Coeff EC7'!$D$7:$Q$27,MATCH($B$3,'Coeff EC7'!$C$7:$C$27,0),MATCH(D94&amp;E94,'Coeff EC7'!$D$5:$Q$5&amp;'Coeff EC7'!$D$6:$Q$6,0))</f>
        <v>#N/A</v>
      </c>
      <c r="O94" s="99" t="e">
        <f t="array" ref="O94">INDEX('Coeff EC7'!$D$41:$Q$61,MATCH($B$3,'Coeff EC7'!$C$41:$C$61,0),MATCH(D94&amp;E94,'Coeff EC7'!$D$39:$Q$39&amp;'Coeff EC7'!$D$40:$Q$40,0))</f>
        <v>#N/A</v>
      </c>
      <c r="P94" s="30" t="e">
        <f t="shared" si="168"/>
        <v>#N/A</v>
      </c>
      <c r="Q94" s="100" t="e">
        <f t="shared" si="133"/>
        <v>#N/A</v>
      </c>
      <c r="R94" s="86" t="b">
        <f t="shared" si="134"/>
        <v>0</v>
      </c>
      <c r="S94" s="86">
        <f t="shared" si="132"/>
        <v>0.5</v>
      </c>
      <c r="T94" s="86">
        <f t="shared" si="135"/>
        <v>0.5</v>
      </c>
      <c r="U94" s="30" t="e">
        <f t="shared" ca="1" si="169"/>
        <v>#DIV/0!</v>
      </c>
      <c r="V94" s="85" t="str">
        <f>IF(B94&lt;=Hypothèses!$V$7,Hypothèses!$W$7,IF(B94&lt;=Hypothèses!$V$8,Hypothèses!$W$8,IF(B94&lt;=Hypothèses!$V$9,Hypothèses!$W$9,IF(B94&lt;=Hypothèses!$V$10,Hypothèses!$W$10,IF(B94&lt;=Hypothèses!$V$11,Hypothèses!$W$11,IF(B94&lt;=Hypothèses!$V$12,Hypothèses!$W$12,IF(B94&lt;=Hypothèses!$V$13,Hypothèses!$W$13,IF(B94&lt;=Hypothèses!$V$14,Hypothèses!$W$14,IF(B94&lt;=Hypothèses!$V$15,Hypothèses!$W$15,IF(B94&lt;=Hypothèses!$V$16,Hypothèses!$W$16,IF(B94&lt;=Hypothèses!$V$17,Hypothèses!$W$17,IF(B94&lt;=Hypothèses!$V$18,Hypothèses!$W$18,""))))))))))))</f>
        <v/>
      </c>
      <c r="W94" s="87" t="e">
        <f t="shared" ca="1" si="216"/>
        <v>#DIV/0!</v>
      </c>
      <c r="X94" s="88" t="str">
        <f>IF(B94&lt;=Hypothèses!$V$7,Hypothèses!$X$7,IF(B94&lt;=Hypothèses!$V$8,Hypothèses!$X$8,IF(B94&lt;=Hypothèses!$V$9,Hypothèses!$X$9,IF(B94&lt;=Hypothèses!$V$10,Hypothèses!$X$10,IF(B94&lt;=Hypothèses!$V$11,Hypothèses!$X$11,IF(B94&lt;=Hypothèses!$V$12,Hypothèses!$X$12,IF(B94&lt;=Hypothèses!$V$13,Hypothèses!$X$13,IF(B94&lt;=Hypothèses!$V$14,Hypothèses!$X$14,IF(B94&lt;=Hypothèses!$V$15,Hypothèses!$X$15,IF(B94&lt;=Hypothèses!$V$16,Hypothèses!$X$16,IF(B94&lt;=Hypothèses!$U$17,Hypothèses!$W$17,IF(B94&lt;=Hypothèses!$U$18,Hypothèses!$W$18,""))))))))))))</f>
        <v/>
      </c>
      <c r="Y94" s="95" t="e">
        <f t="shared" ca="1" si="136"/>
        <v>#DIV/0!</v>
      </c>
      <c r="Z94" s="101" t="e">
        <f t="shared" si="137"/>
        <v>#N/A</v>
      </c>
      <c r="AA94" s="91" t="e">
        <f t="shared" si="138"/>
        <v>#N/A</v>
      </c>
      <c r="AB94" s="30" t="e">
        <f t="shared" si="200"/>
        <v>#N/A</v>
      </c>
      <c r="AC94" s="30" t="e">
        <f t="shared" si="201"/>
        <v>#N/A</v>
      </c>
      <c r="AD94" s="31" t="e">
        <f>IF(OR(Hypothèses!$B$4=17,Hypothèses!$B$4=18,Hypothèses!$B$4=19,Hypothèses!$B$4=20),
IF($D94="Pressio.",
IF(OR($E94=3,$E94=1,$E94=4),AC94,AB94),
IF($D94="Pénétro.",
IF(OR($E94=3,$E94=1,$E94=4),AC94,AB94))),IF($D94="Pressio.",
IF($E94=3,AC94,AB94),
IF($D94="Pénétro.",
IF($E94=4,AC94,AB94))))</f>
        <v>#N/A</v>
      </c>
      <c r="AE94" s="31" t="e">
        <f>(IF(OR(Hypothèses!$B$4=17,Hypothèses!$B$4=18,Hypothèses!$B$4=19,Hypothèses!$B$4=20),
IF($D94="Pressio.",
IF(OR($E94=3,$E94=1,$E94=4),(PI()*AE$12^2)/4*(AA94*$W94*1000)/($H94*$B$5),(PI()*AE$12^2)/4*(AA94*$W94*1000)/($G94*$B$5)),
IF($D94="Pénétro.",
IF(OR($E94=4,$E94=1,$E94=5),(PI()*AE$12^2)/4*(AA94*$W94*1000)/($H94*$B$5),(PI()*AE$12^2)/4*(AA94*$W94*1000)/($G94*$B$5)))),
IF($D94="Pressio.",
IF($E94=3,(PI()*AE$12^2)/4*(AA94*$W94*1000)/($H94*$B$5),(PI()*AE$12^2)/4*(AA94*$W94*1000)/($G94*$B$5)),
IF($D94="Pénétro.",
IF($E94=4,(PI()*AE$12^2)/4*(AA94*$W94*1000)/($H94*$B$5),(PI()*AE$12^2)/4*(AA94*$W94*1000)/($G94*$B$5))))))/10</f>
        <v>#N/A</v>
      </c>
      <c r="AF94" s="102" t="e">
        <f>(VLOOKUP($B$3,'Coeff EC7'!$T$39:$X$59,2,0)*AD94+VLOOKUP($B$3,'Coeff EC7'!$T$65:$X$85,2,0)*Model0.1C!AE94)/1.1</f>
        <v>#N/A</v>
      </c>
      <c r="AG94" s="102" t="e">
        <f>(VLOOKUP($B$3,'Coeff EC7'!$T$39:$X$59,3,0)*AD94+VLOOKUP($B$3,'Coeff EC7'!$T$65:$X$85,3,0)*Model0.1C!AE94)/0.9</f>
        <v>#N/A</v>
      </c>
      <c r="AH94" s="102" t="e">
        <f t="shared" si="139"/>
        <v>#N/A</v>
      </c>
      <c r="AI94" s="102" t="e">
        <f t="shared" si="140"/>
        <v>#N/A</v>
      </c>
      <c r="AJ94" s="414" t="e">
        <f>IF(AJ93=0,0,IF(AND(AF94&gt;charge_ELS_quasi,AG94&gt;Charge_ELS_freq,AH94&gt;charge_ELU,AI94&gt;charge_ELA,$B94&gt;NDC!$H$22-0.1+MIN(3*$AJ$12,1.5)),0,1))</f>
        <v>#N/A</v>
      </c>
      <c r="AK94" s="86" t="b">
        <f t="shared" si="141"/>
        <v>0</v>
      </c>
      <c r="AL94" s="86">
        <f t="shared" si="170"/>
        <v>0.5</v>
      </c>
      <c r="AM94" s="86">
        <f t="shared" si="142"/>
        <v>0.5</v>
      </c>
      <c r="AN94" s="30" t="e">
        <f t="shared" ca="1" si="171"/>
        <v>#DIV/0!</v>
      </c>
      <c r="AO94" s="85" t="e">
        <f ca="1">IF(U94&lt;=Hypothèses!$V$7,Hypothèses!$W$7,IF(U94&lt;=Hypothèses!$V$8,Hypothèses!$W$8,IF(U94&lt;=Hypothèses!$V$9,Hypothèses!$W$9,IF(U94&lt;=Hypothèses!$V$10,Hypothèses!$W$10,IF(U94&lt;=Hypothèses!$V$11,Hypothèses!$W$11,IF(U94&lt;=Hypothèses!$V$12,Hypothèses!$W$12,IF(U94&lt;=Hypothèses!$V$13,Hypothèses!$W$13,IF(U94&lt;=Hypothèses!$V$14,Hypothèses!$W$14,IF(U94&lt;=Hypothèses!$V$15,Hypothèses!$W$15,IF(U94&lt;=Hypothèses!$V$16,Hypothèses!$W$16,IF(U94&lt;=Hypothèses!$V$17,Hypothèses!$W$17,IF(U94&lt;=Hypothèses!$V$18,Hypothèses!$W$18,""))))))))))))</f>
        <v>#DIV/0!</v>
      </c>
      <c r="AP94" s="87" t="e">
        <f t="shared" ca="1" si="217"/>
        <v>#DIV/0!</v>
      </c>
      <c r="AQ94" s="88" t="e">
        <f ca="1">IF(U94&lt;=Hypothèses!$V$7,Hypothèses!$X$7,IF(U94&lt;=Hypothèses!$V$8,Hypothèses!$X$8,IF(U94&lt;=Hypothèses!$V$9,Hypothèses!$X$9,IF(U94&lt;=Hypothèses!$V$10,Hypothèses!$X$10,IF(U94&lt;=Hypothèses!$V$11,Hypothèses!$X$11,IF(U94&lt;=Hypothèses!$V$12,Hypothèses!$X$12,IF(U94&lt;=Hypothèses!$V$13,Hypothèses!$X$13,IF(U94&lt;=Hypothèses!$V$14,Hypothèses!$X$14,IF(U94&lt;=Hypothèses!$V$15,Hypothèses!$X$15,IF(U94&lt;=Hypothèses!$V$16,Hypothèses!$X$16,IF(U94&lt;=Hypothèses!$U$17,Hypothèses!$W$17,IF(U94&lt;=Hypothèses!$U$18,Hypothèses!$W$18,""))))))))))))</f>
        <v>#DIV/0!</v>
      </c>
      <c r="AR94" s="95" t="e">
        <f t="shared" ca="1" si="172"/>
        <v>#DIV/0!</v>
      </c>
      <c r="AS94" s="101" t="e">
        <f t="shared" si="224"/>
        <v>#N/A</v>
      </c>
      <c r="AT94" s="91" t="e">
        <f t="shared" si="143"/>
        <v>#N/A</v>
      </c>
      <c r="AU94" s="30" t="e">
        <f t="shared" si="202"/>
        <v>#N/A</v>
      </c>
      <c r="AV94" s="30" t="e">
        <f t="shared" si="203"/>
        <v>#N/A</v>
      </c>
      <c r="AW94" s="31" t="e">
        <f>IF(OR(Hypothèses!$B$4=17,Hypothèses!$B$4=18,Hypothèses!$B$4=19,Hypothèses!$B$4=20),
IF($D94="Pressio.",
IF(OR($E94=3,$E94=1,$E94=4),AV94,AU94),
IF($D94="Pénétro.",
IF(OR($E94=3,$E94=1,$E94=4),AV94,AU94))),IF($D94="Pressio.",
IF($E94=3,AV94,AU94),
IF($D94="Pénétro.",
IF($E94=4,AV94,AU94))))</f>
        <v>#N/A</v>
      </c>
      <c r="AX94" s="31" t="e">
        <f>(IF(OR(Hypothèses!$B$4=17,Hypothèses!$B$4=18,Hypothèses!$B$4=19,Hypothèses!$B$4=20),
IF($D94="Pressio.",
IF(OR($E94=3,$E94=1,$E94=4),(PI()*AX$12^2)/4*(AT94*$W94*1000)/($H94*$B$5),(PI()*AX$12^2)/4*(AT94*$W94*1000)/($G94*$B$5)),
IF($D94="Pénétro.",
IF(OR($E94=4,$E94=1,$E94=5),(PI()*AX$12^2)/4*(AT94*$W94*1000)/($H94*$B$5),(PI()*AX$12^2)/4*(AT94*$W94*1000)/($G94*$B$5)))),
IF($D94="Pressio.",
IF($E94=3,(PI()*AX$12^2)/4*(AT94*$W94*1000)/($H94*$B$5),(PI()*AX$12^2)/4*(AT94*$W94*1000)/($G94*$B$5)),
IF($D94="Pénétro.",
IF($E94=4,(PI()*AX$12^2)/4*(AT94*$W94*1000)/($H94*$B$5),(PI()*AX$12^2)/4*(AT94*$W94*1000)/($G94*$B$5))))))/10</f>
        <v>#N/A</v>
      </c>
      <c r="AY94" s="102" t="e">
        <f>(VLOOKUP($B$3,'Coeff EC7'!$T$39:$X$59,2,0)*AW94+VLOOKUP($B$3,'Coeff EC7'!$T$65:$X$85,2,0)*Model0.1C!AX94)/1.1</f>
        <v>#N/A</v>
      </c>
      <c r="AZ94" s="102" t="e">
        <f>(VLOOKUP($B$3,'Coeff EC7'!$T$39:$X$59,3,0)*AW94+VLOOKUP($B$3,'Coeff EC7'!$T$65:$X$85,3,0)*Model0.1C!AX94)/0.9</f>
        <v>#N/A</v>
      </c>
      <c r="BA94" s="102" t="e">
        <f t="shared" si="173"/>
        <v>#N/A</v>
      </c>
      <c r="BB94" s="102" t="e">
        <f t="shared" si="174"/>
        <v>#N/A</v>
      </c>
      <c r="BC94" s="414" t="e">
        <f>IF(BC93=0,0,IF(AND(AY94&gt;charge_ELS_quasi,AZ94&gt;Charge_ELS_freq,BA94&gt;charge_ELU,BB94&gt;charge_ELA,$B94&gt;NDC!$H$22-0.1+MIN(3*$BC$12,1.5)),0,1))</f>
        <v>#N/A</v>
      </c>
      <c r="BD94" s="86" t="b">
        <f t="shared" si="144"/>
        <v>0</v>
      </c>
      <c r="BE94" s="86">
        <f t="shared" si="175"/>
        <v>0.5</v>
      </c>
      <c r="BF94" s="86">
        <f t="shared" si="145"/>
        <v>0.5</v>
      </c>
      <c r="BG94" s="30" t="e">
        <f t="shared" ca="1" si="176"/>
        <v>#DIV/0!</v>
      </c>
      <c r="BH94" s="85" t="e">
        <f ca="1">IF(AN94&lt;=Hypothèses!$V$7,Hypothèses!$W$7,IF(AN94&lt;=Hypothèses!$V$8,Hypothèses!$W$8,IF(AN94&lt;=Hypothèses!$V$9,Hypothèses!$W$9,IF(AN94&lt;=Hypothèses!$V$10,Hypothèses!$W$10,IF(AN94&lt;=Hypothèses!$V$11,Hypothèses!$W$11,IF(AN94&lt;=Hypothèses!$V$12,Hypothèses!$W$12,IF(AN94&lt;=Hypothèses!$V$13,Hypothèses!$W$13,IF(AN94&lt;=Hypothèses!$V$14,Hypothèses!$W$14,IF(AN94&lt;=Hypothèses!$V$15,Hypothèses!$W$15,IF(AN94&lt;=Hypothèses!$V$16,Hypothèses!$W$16,IF(AN94&lt;=Hypothèses!$V$17,Hypothèses!$W$17,IF(AN94&lt;=Hypothèses!$V$18,Hypothèses!$W$18,""))))))))))))</f>
        <v>#DIV/0!</v>
      </c>
      <c r="BI94" s="87" t="e">
        <f t="shared" ca="1" si="218"/>
        <v>#DIV/0!</v>
      </c>
      <c r="BJ94" s="88" t="e">
        <f ca="1">IF(AN94&lt;=Hypothèses!$V$7,Hypothèses!$X$7,IF(AN94&lt;=Hypothèses!$V$8,Hypothèses!$X$8,IF(AN94&lt;=Hypothèses!$V$9,Hypothèses!$X$9,IF(AN94&lt;=Hypothèses!$V$10,Hypothèses!$X$10,IF(AN94&lt;=Hypothèses!$V$11,Hypothèses!$X$11,IF(AN94&lt;=Hypothèses!$V$12,Hypothèses!$X$12,IF(AN94&lt;=Hypothèses!$V$13,Hypothèses!$X$13,IF(AN94&lt;=Hypothèses!$V$14,Hypothèses!$X$14,IF(AN94&lt;=Hypothèses!$V$15,Hypothèses!$X$15,IF(AN94&lt;=Hypothèses!$V$16,Hypothèses!$X$16,IF(AN94&lt;=Hypothèses!$U$17,Hypothèses!$W$17,IF(AN94&lt;=Hypothèses!$U$18,Hypothèses!$W$18,""))))))))))))</f>
        <v>#DIV/0!</v>
      </c>
      <c r="BK94" s="95" t="e">
        <f t="shared" ca="1" si="177"/>
        <v>#DIV/0!</v>
      </c>
      <c r="BL94" s="101" t="e">
        <f t="shared" si="225"/>
        <v>#N/A</v>
      </c>
      <c r="BM94" s="91" t="e">
        <f t="shared" si="146"/>
        <v>#N/A</v>
      </c>
      <c r="BN94" s="30" t="e">
        <f t="shared" si="204"/>
        <v>#N/A</v>
      </c>
      <c r="BO94" s="30" t="e">
        <f t="shared" si="205"/>
        <v>#N/A</v>
      </c>
      <c r="BP94" s="31" t="e">
        <f>IF(OR(Hypothèses!$B$4=17,Hypothèses!$B$4=18,Hypothèses!$B$4=19,Hypothèses!$B$4=20),
IF($D94="Pressio.",
IF(OR($E94=3,$E94=1,$E94=4),BO94,BN94),
IF($D94="Pénétro.",
IF(OR($E94=3,$E94=1,$E94=4),BO94,BN94))),IF($D94="Pressio.",
IF($E94=3,BO94,BN94),
IF($D94="Pénétro.",
IF($E94=4,BO94,BN94))))</f>
        <v>#N/A</v>
      </c>
      <c r="BQ94" s="31" t="e">
        <f>(IF(OR(Hypothèses!$B$4=17,Hypothèses!$B$4=18,Hypothèses!$B$4=19,Hypothèses!$B$4=20),
IF($D94="Pressio.",
IF(OR($E94=3,$E94=1,$E94=4),(PI()*BQ$12^2)/4*(BM94*$W94*1000)/($H94*$B$5),(PI()*BQ$12^2)/4*(BM94*$W94*1000)/($G94*$B$5)),
IF($D94="Pénétro.",
IF(OR($E94=4,$E94=1,$E94=5),(PI()*BQ$12^2)/4*(BM94*$W94*1000)/($H94*$B$5),(PI()*BQ$12^2)/4*(BM94*$W94*1000)/($G94*$B$5)))),
IF($D94="Pressio.",
IF($E94=3,(PI()*BQ$12^2)/4*(BM94*$W94*1000)/($H94*$B$5),(PI()*BQ$12^2)/4*(BM94*$W94*1000)/($G94*$B$5)),
IF($D94="Pénétro.",
IF($E94=4,(PI()*BQ$12^2)/4*(BM94*$W94*1000)/($H94*$B$5),(PI()*BQ$12^2)/4*(BM94*$W94*1000)/($G94*$B$5))))))/10</f>
        <v>#N/A</v>
      </c>
      <c r="BR94" s="102" t="e">
        <f>(VLOOKUP($B$3,'Coeff EC7'!$T$39:$X$59,2,0)*BP94+VLOOKUP($B$3,'Coeff EC7'!$T$65:$X$85,2,0)*Model0.1C!BQ94)/1.1</f>
        <v>#N/A</v>
      </c>
      <c r="BS94" s="102" t="e">
        <f>(VLOOKUP($B$3,'Coeff EC7'!$T$39:$X$59,3,0)*BP94+VLOOKUP($B$3,'Coeff EC7'!$T$65:$X$85,3,0)*Model0.1C!BQ94)/0.9</f>
        <v>#N/A</v>
      </c>
      <c r="BT94" s="102" t="e">
        <f t="shared" si="178"/>
        <v>#N/A</v>
      </c>
      <c r="BU94" s="102" t="e">
        <f t="shared" si="179"/>
        <v>#N/A</v>
      </c>
      <c r="BV94" s="414" t="e">
        <f>IF(BV93=0,0,IF(AND(BR94&gt;charge_ELS_quasi,BS94&gt;Charge_ELS_freq,BT94&gt;charge_ELU,BU94&gt;charge_ELA,$B94&gt;NDC!$H$22-0.1+MIN(3*$BV$12,1.5)),0,1))</f>
        <v>#N/A</v>
      </c>
      <c r="BW94" s="86" t="b">
        <f t="shared" si="147"/>
        <v>0</v>
      </c>
      <c r="BX94" s="86">
        <f t="shared" si="148"/>
        <v>0.5</v>
      </c>
      <c r="BY94" s="86">
        <f t="shared" si="149"/>
        <v>0.5</v>
      </c>
      <c r="BZ94" s="30" t="e">
        <f t="shared" ca="1" si="180"/>
        <v>#DIV/0!</v>
      </c>
      <c r="CA94" s="85" t="e">
        <f ca="1">IF(BG94&lt;=Hypothèses!$V$7,Hypothèses!$W$7,IF(BG94&lt;=Hypothèses!$V$8,Hypothèses!$W$8,IF(BG94&lt;=Hypothèses!$V$9,Hypothèses!$W$9,IF(BG94&lt;=Hypothèses!$V$10,Hypothèses!$W$10,IF(BG94&lt;=Hypothèses!$V$11,Hypothèses!$W$11,IF(BG94&lt;=Hypothèses!$V$12,Hypothèses!$W$12,IF(BG94&lt;=Hypothèses!$V$13,Hypothèses!$W$13,IF(BG94&lt;=Hypothèses!$V$14,Hypothèses!$W$14,IF(BG94&lt;=Hypothèses!$V$15,Hypothèses!$W$15,IF(BG94&lt;=Hypothèses!$V$16,Hypothèses!$W$16,IF(BG94&lt;=Hypothèses!$V$17,Hypothèses!$W$17,IF(BG94&lt;=Hypothèses!$V$18,Hypothèses!$W$18,""))))))))))))</f>
        <v>#DIV/0!</v>
      </c>
      <c r="CB94" s="87" t="e">
        <f t="shared" ca="1" si="219"/>
        <v>#DIV/0!</v>
      </c>
      <c r="CC94" s="88" t="e">
        <f ca="1">IF(BG94&lt;=Hypothèses!$V$7,Hypothèses!$X$7,IF(BG94&lt;=Hypothèses!$V$8,Hypothèses!$X$8,IF(BG94&lt;=Hypothèses!$V$9,Hypothèses!$X$9,IF(BG94&lt;=Hypothèses!$V$10,Hypothèses!$X$10,IF(BG94&lt;=Hypothèses!$V$11,Hypothèses!$X$11,IF(BG94&lt;=Hypothèses!$V$12,Hypothèses!$X$12,IF(BG94&lt;=Hypothèses!$V$13,Hypothèses!$X$13,IF(BG94&lt;=Hypothèses!$V$14,Hypothèses!$X$14,IF(BG94&lt;=Hypothèses!$V$15,Hypothèses!$X$15,IF(BG94&lt;=Hypothèses!$V$16,Hypothèses!$X$16,IF(BG94&lt;=Hypothèses!$U$17,Hypothèses!$W$17,IF(BG94&lt;=Hypothèses!$U$18,Hypothèses!$W$18,""))))))))))))</f>
        <v>#DIV/0!</v>
      </c>
      <c r="CD94" s="95" t="e">
        <f t="shared" ca="1" si="181"/>
        <v>#DIV/0!</v>
      </c>
      <c r="CE94" s="101" t="e">
        <f t="shared" si="226"/>
        <v>#N/A</v>
      </c>
      <c r="CF94" s="91" t="e">
        <f t="shared" si="150"/>
        <v>#N/A</v>
      </c>
      <c r="CG94" s="30" t="e">
        <f t="shared" si="206"/>
        <v>#N/A</v>
      </c>
      <c r="CH94" s="30" t="e">
        <f t="shared" si="207"/>
        <v>#N/A</v>
      </c>
      <c r="CI94" s="31" t="e">
        <f>IF(OR(Hypothèses!$B$4=17,Hypothèses!$B$4=18,Hypothèses!$B$4=19,Hypothèses!$B$4=20),
IF($D94="Pressio.",
IF(OR($E94=3,$E94=1,$E94=4),CH94,CG94),
IF($D94="Pénétro.",
IF(OR($E94=3,$E94=1,$E94=4),CH94,CG94))),IF($D94="Pressio.",
IF($E94=3,CH94,CG94),
IF($D94="Pénétro.",
IF($E94=4,CH94,CG94))))</f>
        <v>#N/A</v>
      </c>
      <c r="CJ94" s="31" t="e">
        <f>(IF(OR(Hypothèses!$B$4=17,Hypothèses!$B$4=18,Hypothèses!$B$4=19,Hypothèses!$B$4=20),
IF($D94="Pressio.",
IF(OR($E94=3,$E94=1,$E94=4),(PI()*CJ$12^2)/4*(CF94*$W94*1000)/($H94*$B$5),(PI()*CJ$12^2)/4*(CF94*$W94*1000)/($G94*$B$5)),
IF($D94="Pénétro.",
IF(OR($E94=4,$E94=1,$E94=5),(PI()*CJ$12^2)/4*(CF94*$W94*1000)/($H94*$B$5),(PI()*CJ$12^2)/4*(CF94*$W94*1000)/($G94*$B$5)))),
IF($D94="Pressio.",
IF($E94=3,(PI()*CJ$12^2)/4*(CF94*$W94*1000)/($H94*$B$5),(PI()*CJ$12^2)/4*(CF94*$W94*1000)/($G94*$B$5)),
IF($D94="Pénétro.",
IF($E94=4,(PI()*CJ$12^2)/4*(CF94*$W94*1000)/($H94*$B$5),(PI()*CJ$12^2)/4*(CF94*$W94*1000)/($G94*$B$5))))))/10</f>
        <v>#N/A</v>
      </c>
      <c r="CK94" s="102" t="e">
        <f>(VLOOKUP($B$3,'Coeff EC7'!$T$39:$X$59,2,0)*CI94+VLOOKUP($B$3,'Coeff EC7'!$T$65:$X$85,2,0)*Model0.1C!CJ94)/1.1</f>
        <v>#N/A</v>
      </c>
      <c r="CL94" s="102" t="e">
        <f>(VLOOKUP($B$3,'Coeff EC7'!$T$39:$X$59,3,0)*CI94+VLOOKUP($B$3,'Coeff EC7'!$T$65:$X$85,3,0)*Model0.1C!CJ94)/0.9</f>
        <v>#N/A</v>
      </c>
      <c r="CM94" s="102" t="e">
        <f t="shared" si="182"/>
        <v>#N/A</v>
      </c>
      <c r="CN94" s="102" t="e">
        <f t="shared" si="183"/>
        <v>#N/A</v>
      </c>
      <c r="CO94" s="414" t="e">
        <f>IF(CO93=0,0,IF(AND(CK94&gt;charge_ELS_quasi,CL94&gt;Charge_ELS_freq,CM94&gt;charge_ELU,CN94&gt;charge_ELA,$B94&gt;NDC!$H$22-0.1+MIN(3*$CO$12,1.5)),0,1))</f>
        <v>#N/A</v>
      </c>
      <c r="CP94" s="86" t="b">
        <f t="shared" si="151"/>
        <v>0</v>
      </c>
      <c r="CQ94" s="86">
        <f t="shared" si="152"/>
        <v>0.5</v>
      </c>
      <c r="CR94" s="86">
        <f t="shared" si="153"/>
        <v>0.5</v>
      </c>
      <c r="CS94" s="30" t="e">
        <f t="shared" ca="1" si="184"/>
        <v>#DIV/0!</v>
      </c>
      <c r="CT94" s="85" t="e">
        <f ca="1">IF(BZ94&lt;=Hypothèses!$V$7,Hypothèses!$W$7,IF(BZ94&lt;=Hypothèses!$V$8,Hypothèses!$W$8,IF(BZ94&lt;=Hypothèses!$V$9,Hypothèses!$W$9,IF(BZ94&lt;=Hypothèses!$V$10,Hypothèses!$W$10,IF(BZ94&lt;=Hypothèses!$V$11,Hypothèses!$W$11,IF(BZ94&lt;=Hypothèses!$V$12,Hypothèses!$W$12,IF(BZ94&lt;=Hypothèses!$V$13,Hypothèses!$W$13,IF(BZ94&lt;=Hypothèses!$V$14,Hypothèses!$W$14,IF(BZ94&lt;=Hypothèses!$V$15,Hypothèses!$W$15,IF(BZ94&lt;=Hypothèses!$V$16,Hypothèses!$W$16,IF(BZ94&lt;=Hypothèses!$V$17,Hypothèses!$W$17,IF(BZ94&lt;=Hypothèses!$V$18,Hypothèses!$W$18,""))))))))))))</f>
        <v>#DIV/0!</v>
      </c>
      <c r="CU94" s="87" t="e">
        <f t="shared" ca="1" si="220"/>
        <v>#DIV/0!</v>
      </c>
      <c r="CV94" s="88" t="e">
        <f ca="1">IF(BZ94&lt;=Hypothèses!$V$7,Hypothèses!$X$7,IF(BZ94&lt;=Hypothèses!$V$8,Hypothèses!$X$8,IF(BZ94&lt;=Hypothèses!$V$9,Hypothèses!$X$9,IF(BZ94&lt;=Hypothèses!$V$10,Hypothèses!$X$10,IF(BZ94&lt;=Hypothèses!$V$11,Hypothèses!$X$11,IF(BZ94&lt;=Hypothèses!$V$12,Hypothèses!$X$12,IF(BZ94&lt;=Hypothèses!$V$13,Hypothèses!$X$13,IF(BZ94&lt;=Hypothèses!$V$14,Hypothèses!$X$14,IF(BZ94&lt;=Hypothèses!$V$15,Hypothèses!$X$15,IF(BZ94&lt;=Hypothèses!$V$16,Hypothèses!$X$16,IF(BZ94&lt;=Hypothèses!$U$17,Hypothèses!$W$17,IF(BZ94&lt;=Hypothèses!$U$18,Hypothèses!$W$18,""))))))))))))</f>
        <v>#DIV/0!</v>
      </c>
      <c r="CW94" s="95" t="e">
        <f t="shared" ca="1" si="185"/>
        <v>#DIV/0!</v>
      </c>
      <c r="CX94" s="101" t="e">
        <f t="shared" si="227"/>
        <v>#N/A</v>
      </c>
      <c r="CY94" s="91" t="e">
        <f t="shared" si="154"/>
        <v>#N/A</v>
      </c>
      <c r="CZ94" s="30" t="e">
        <f t="shared" si="208"/>
        <v>#N/A</v>
      </c>
      <c r="DA94" s="30" t="e">
        <f t="shared" si="209"/>
        <v>#N/A</v>
      </c>
      <c r="DB94" s="31" t="e">
        <f>IF(OR(Hypothèses!$B$4=17,Hypothèses!$B$4=18,Hypothèses!$B$4=19,Hypothèses!$B$4=20),
IF($D94="Pressio.",
IF(OR($E94=3,$E94=1,$E94=4),DA94,CZ94),
IF($D94="Pénétro.",
IF(OR($E94=3,$E94=1,$E94=4),DA94,CZ94))),IF($D94="Pressio.",
IF($E94=3,DA94,CZ94),
IF($D94="Pénétro.",
IF($E94=4,DA94,CZ94))))</f>
        <v>#N/A</v>
      </c>
      <c r="DC94" s="31" t="e">
        <f>(IF(OR(Hypothèses!$B$4=17,Hypothèses!$B$4=18,Hypothèses!$B$4=19,Hypothèses!$B$4=20),
IF($D94="Pressio.",
IF(OR($E94=3,$E94=1,$E94=4),(PI()*DC$12^2)/4*(CY94*$W94*1000)/($H94*$B$5),(PI()*DC$12^2)/4*(CY94*$W94*1000)/($G94*$B$5)),
IF($D94="Pénétro.",
IF(OR($E94=4,$E94=1,$E94=5),(PI()*DC$12^2)/4*(CY94*$W94*1000)/($H94*$B$5),(PI()*DC$12^2)/4*(CY94*$W94*1000)/($G94*$B$5)))),
IF($D94="Pressio.",
IF($E94=3,(PI()*DC$12^2)/4*(CY94*$W94*1000)/($H94*$B$5),(PI()*DC$12^2)/4*(CY94*$W94*1000)/($G94*$B$5)),
IF($D94="Pénétro.",
IF($E94=4,(PI()*DC$12^2)/4*(CY94*$W94*1000)/($H94*$B$5),(PI()*DC$12^2)/4*(CY94*$W94*1000)/($G94*$B$5))))))/10</f>
        <v>#N/A</v>
      </c>
      <c r="DD94" s="102" t="e">
        <f>(VLOOKUP($B$3,'Coeff EC7'!$T$39:$X$59,2,0)*DB94+VLOOKUP($B$3,'Coeff EC7'!$T$65:$X$85,2,0)*Model0.1C!DC94)/1.1</f>
        <v>#N/A</v>
      </c>
      <c r="DE94" s="102" t="e">
        <f>(VLOOKUP($B$3,'Coeff EC7'!$T$39:$X$59,3,0)*DB94+VLOOKUP($B$3,'Coeff EC7'!$T$65:$X$85,3,0)*Model0.1C!DC94)/0.9</f>
        <v>#N/A</v>
      </c>
      <c r="DF94" s="102" t="e">
        <f t="shared" si="186"/>
        <v>#N/A</v>
      </c>
      <c r="DG94" s="102" t="e">
        <f t="shared" si="187"/>
        <v>#N/A</v>
      </c>
      <c r="DH94" s="414" t="e">
        <f>IF(DH93=0,0,IF(AND(DD94&gt;charge_ELS_quasi,DE94&gt;Charge_ELS_freq,DF94&gt;charge_ELU,DG94&gt;charge_ELA,$B94&gt;NDC!$H$22-0.1+MIN(3*$DH$12,1.5)),0,1))</f>
        <v>#N/A</v>
      </c>
      <c r="DI94" s="86" t="b">
        <f t="shared" si="155"/>
        <v>0</v>
      </c>
      <c r="DJ94" s="86">
        <f t="shared" si="156"/>
        <v>0.5</v>
      </c>
      <c r="DK94" s="86">
        <f t="shared" si="157"/>
        <v>0.5</v>
      </c>
      <c r="DL94" s="30" t="e">
        <f t="shared" ca="1" si="188"/>
        <v>#DIV/0!</v>
      </c>
      <c r="DM94" s="85" t="e">
        <f ca="1">IF(CS94&lt;=Hypothèses!$V$7,Hypothèses!$W$7,IF(CS94&lt;=Hypothèses!$V$8,Hypothèses!$W$8,IF(CS94&lt;=Hypothèses!$V$9,Hypothèses!$W$9,IF(CS94&lt;=Hypothèses!$V$10,Hypothèses!$W$10,IF(CS94&lt;=Hypothèses!$V$11,Hypothèses!$W$11,IF(CS94&lt;=Hypothèses!$V$12,Hypothèses!$W$12,IF(CS94&lt;=Hypothèses!$V$13,Hypothèses!$W$13,IF(CS94&lt;=Hypothèses!$V$14,Hypothèses!$W$14,IF(CS94&lt;=Hypothèses!$V$15,Hypothèses!$W$15,IF(CS94&lt;=Hypothèses!$V$16,Hypothèses!$W$16,IF(CS94&lt;=Hypothèses!$V$17,Hypothèses!$W$17,IF(CS94&lt;=Hypothèses!$V$18,Hypothèses!$W$18,""))))))))))))</f>
        <v>#DIV/0!</v>
      </c>
      <c r="DN94" s="87" t="e">
        <f t="shared" ca="1" si="221"/>
        <v>#DIV/0!</v>
      </c>
      <c r="DO94" s="88" t="e">
        <f ca="1">IF(CS94&lt;=Hypothèses!$V$7,Hypothèses!$X$7,IF(CS94&lt;=Hypothèses!$V$8,Hypothèses!$X$8,IF(CS94&lt;=Hypothèses!$V$9,Hypothèses!$X$9,IF(CS94&lt;=Hypothèses!$V$10,Hypothèses!$X$10,IF(CS94&lt;=Hypothèses!$V$11,Hypothèses!$X$11,IF(CS94&lt;=Hypothèses!$V$12,Hypothèses!$X$12,IF(CS94&lt;=Hypothèses!$V$13,Hypothèses!$X$13,IF(CS94&lt;=Hypothèses!$V$14,Hypothèses!$X$14,IF(CS94&lt;=Hypothèses!$V$15,Hypothèses!$X$15,IF(CS94&lt;=Hypothèses!$V$16,Hypothèses!$X$16,IF(CS94&lt;=Hypothèses!$U$17,Hypothèses!$W$17,IF(CS94&lt;=Hypothèses!$U$18,Hypothèses!$W$18,""))))))))))))</f>
        <v>#DIV/0!</v>
      </c>
      <c r="DP94" s="95" t="e">
        <f t="shared" ca="1" si="189"/>
        <v>#DIV/0!</v>
      </c>
      <c r="DQ94" s="101" t="e">
        <f t="shared" si="228"/>
        <v>#N/A</v>
      </c>
      <c r="DR94" s="91" t="e">
        <f t="shared" si="158"/>
        <v>#N/A</v>
      </c>
      <c r="DS94" s="30" t="e">
        <f t="shared" si="210"/>
        <v>#N/A</v>
      </c>
      <c r="DT94" s="30" t="e">
        <f t="shared" si="211"/>
        <v>#N/A</v>
      </c>
      <c r="DU94" s="31" t="e">
        <f>IF(OR(Hypothèses!$B$4=17,Hypothèses!$B$4=18,Hypothèses!$B$4=19,Hypothèses!$B$4=20),
IF($D94="Pressio.",
IF(OR($E94=3,$E94=1,$E94=4),DT94,DS94),
IF($D94="Pénétro.",
IF(OR($E94=3,$E94=1,$E94=4),DT94,DS94))),IF($D94="Pressio.",
IF($E94=3,DT94,DS94),
IF($D94="Pénétro.",
IF($E94=4,DT94,DS94))))</f>
        <v>#N/A</v>
      </c>
      <c r="DV94" s="31" t="e">
        <f>(IF(OR(Hypothèses!$B$4=17,Hypothèses!$B$4=18,Hypothèses!$B$4=19,Hypothèses!$B$4=20),
IF($D94="Pressio.",
IF(OR($E94=3,$E94=1,$E94=4),(PI()*DV$12^2)/4*(DR94*$W94*1000)/($H94*$B$5),(PI()*DV$12^2)/4*(DR94*$W94*1000)/($G94*$B$5)),
IF($D94="Pénétro.",
IF(OR($E94=4,$E94=1,$E94=5),(PI()*DV$12^2)/4*(DR94*$W94*1000)/($H94*$B$5),(PI()*DV$12^2)/4*(DR94*$W94*1000)/($G94*$B$5)))),
IF($D94="Pressio.",
IF($E94=3,(PI()*DV$12^2)/4*(DR94*$W94*1000)/($H94*$B$5),(PI()*DV$12^2)/4*(DR94*$W94*1000)/($G94*$B$5)),
IF($D94="Pénétro.",
IF($E94=4,(PI()*DV$12^2)/4*(DR94*$W94*1000)/($H94*$B$5),(PI()*DV$12^2)/4*(DR94*$W94*1000)/($G94*$B$5))))))/10</f>
        <v>#N/A</v>
      </c>
      <c r="DW94" s="102" t="e">
        <f>(VLOOKUP($B$3,'Coeff EC7'!$T$39:$X$59,2,0)*DU94+VLOOKUP($B$3,'Coeff EC7'!$T$65:$X$85,2,0)*Model0.1C!DV94)/1.1</f>
        <v>#N/A</v>
      </c>
      <c r="DX94" s="102" t="e">
        <f>(VLOOKUP($B$3,'Coeff EC7'!$T$39:$X$59,3,0)*DU94+VLOOKUP($B$3,'Coeff EC7'!$T$65:$X$85,3,0)*Model0.1C!DV94)/0.9</f>
        <v>#N/A</v>
      </c>
      <c r="DY94" s="102" t="e">
        <f t="shared" si="190"/>
        <v>#N/A</v>
      </c>
      <c r="DZ94" s="102" t="e">
        <f t="shared" si="191"/>
        <v>#N/A</v>
      </c>
      <c r="EA94" s="414" t="e">
        <f>IF(EA93=0,0,IF(AND(DW94&gt;charge_ELS_quasi,DX94&gt;Charge_ELS_freq,DY94&gt;charge_ELU,DZ94&gt;charge_ELA,$B94&gt;NDC!$H$22-0.1+MIN(3*$EA$12,1.5)),0,1))</f>
        <v>#N/A</v>
      </c>
      <c r="EB94" s="86" t="b">
        <f t="shared" si="159"/>
        <v>0</v>
      </c>
      <c r="EC94" s="418">
        <f t="shared" si="160"/>
        <v>0.51</v>
      </c>
      <c r="ED94" s="86">
        <f t="shared" si="161"/>
        <v>0.51</v>
      </c>
      <c r="EE94" s="30" t="e">
        <f t="shared" ca="1" si="192"/>
        <v>#DIV/0!</v>
      </c>
      <c r="EF94" s="85" t="e">
        <f ca="1">IF(DL94&lt;=Hypothèses!$V$7,Hypothèses!$W$7,IF(DL94&lt;=Hypothèses!$V$8,Hypothèses!$W$8,IF(DL94&lt;=Hypothèses!$V$9,Hypothèses!$W$9,IF(DL94&lt;=Hypothèses!$V$10,Hypothèses!$W$10,IF(DL94&lt;=Hypothèses!$V$11,Hypothèses!$W$11,IF(DL94&lt;=Hypothèses!$V$12,Hypothèses!$W$12,IF(DL94&lt;=Hypothèses!$V$13,Hypothèses!$W$13,IF(DL94&lt;=Hypothèses!$V$14,Hypothèses!$W$14,IF(DL94&lt;=Hypothèses!$V$15,Hypothèses!$W$15,IF(DL94&lt;=Hypothèses!$V$16,Hypothèses!$W$16,IF(DL94&lt;=Hypothèses!$V$17,Hypothèses!$W$17,IF(DL94&lt;=Hypothèses!$V$18,Hypothèses!$W$18,""))))))))))))</f>
        <v>#DIV/0!</v>
      </c>
      <c r="EG94" s="87" t="e">
        <f t="shared" ca="1" si="222"/>
        <v>#DIV/0!</v>
      </c>
      <c r="EH94" s="88" t="e">
        <f ca="1">IF(DL94&lt;=Hypothèses!$V$7,Hypothèses!$X$7,IF(DL94&lt;=Hypothèses!$V$8,Hypothèses!$X$8,IF(DL94&lt;=Hypothèses!$V$9,Hypothèses!$X$9,IF(DL94&lt;=Hypothèses!$V$10,Hypothèses!$X$10,IF(DL94&lt;=Hypothèses!$V$11,Hypothèses!$X$11,IF(DL94&lt;=Hypothèses!$V$12,Hypothèses!$X$12,IF(DL94&lt;=Hypothèses!$V$13,Hypothèses!$X$13,IF(DL94&lt;=Hypothèses!$V$14,Hypothèses!$X$14,IF(DL94&lt;=Hypothèses!$V$15,Hypothèses!$X$15,IF(DL94&lt;=Hypothèses!$V$16,Hypothèses!$X$16,IF(DL94&lt;=Hypothèses!$U$17,Hypothèses!$W$17,IF(DL94&lt;=Hypothèses!$U$18,Hypothèses!$W$18,""))))))))))))</f>
        <v>#DIV/0!</v>
      </c>
      <c r="EI94" s="95" t="e">
        <f t="shared" ca="1" si="193"/>
        <v>#DIV/0!</v>
      </c>
      <c r="EJ94" s="101" t="e">
        <f t="shared" si="229"/>
        <v>#N/A</v>
      </c>
      <c r="EK94" s="91" t="e">
        <f t="shared" si="162"/>
        <v>#N/A</v>
      </c>
      <c r="EL94" s="30" t="e">
        <f t="shared" si="212"/>
        <v>#N/A</v>
      </c>
      <c r="EM94" s="30" t="e">
        <f t="shared" si="213"/>
        <v>#N/A</v>
      </c>
      <c r="EN94" s="31" t="e">
        <f>IF(OR(Hypothèses!$B$4=17,Hypothèses!$B$4=18,Hypothèses!$B$4=19,Hypothèses!$B$4=20),
IF($D94="Pressio.",
IF(OR($E94=3,$E94=1,$E94=4),EM94,EL94),
IF($D94="Pénétro.",
IF(OR($E94=3,$E94=1,$E94=4),EM94,EL94))),IF($D94="Pressio.",
IF($E94=3,EM94,EL94),
IF($D94="Pénétro.",
IF($E94=4,EM94,EL94))))</f>
        <v>#N/A</v>
      </c>
      <c r="EO94" s="31" t="e">
        <f>(IF(OR(Hypothèses!$B$4=17,Hypothèses!$B$4=18,Hypothèses!$B$4=19,Hypothèses!$B$4=20),
IF($D94="Pressio.",
IF(OR($E94=3,$E94=1,$E94=4),(PI()*EO$12^2)/4*(EK94*$W94*1000)/($H94*$B$5),(PI()*EO$12^2)/4*(EK94*$W94*1000)/($G94*$B$5)),
IF($D94="Pénétro.",
IF(OR($E94=4,$E94=1,$E94=5),(PI()*EO$12^2)/4*(EK94*$W94*1000)/($H94*$B$5),(PI()*EO$12^2)/4*(EK94*$W94*1000)/($G94*$B$5)))),
IF($D94="Pressio.",
IF($E94=3,(PI()*EO$12^2)/4*(EK94*$W94*1000)/($H94*$B$5),(PI()*EO$12^2)/4*(EK94*$W94*1000)/($G94*$B$5)),
IF($D94="Pénétro.",
IF($E94=4,(PI()*EO$12^2)/4*(EK94*$W94*1000)/($H94*$B$5),(PI()*EO$12^2)/4*(EK94*$W94*1000)/($G94*$B$5))))))/10</f>
        <v>#N/A</v>
      </c>
      <c r="EP94" s="102" t="e">
        <f>(VLOOKUP($B$3,'Coeff EC7'!$T$39:$X$59,2,0)*EN94+VLOOKUP($B$3,'Coeff EC7'!$T$65:$X$85,2,0)*Model0.1C!EO94)/1.1</f>
        <v>#N/A</v>
      </c>
      <c r="EQ94" s="102" t="e">
        <f>(VLOOKUP($B$3,'Coeff EC7'!$T$39:$X$59,3,0)*EN94+VLOOKUP($B$3,'Coeff EC7'!$T$65:$X$85,3,0)*Model0.1C!EO94)/0.9</f>
        <v>#N/A</v>
      </c>
      <c r="ER94" s="102" t="e">
        <f t="shared" si="194"/>
        <v>#N/A</v>
      </c>
      <c r="ES94" s="102" t="e">
        <f t="shared" si="195"/>
        <v>#N/A</v>
      </c>
      <c r="ET94" s="414" t="e">
        <f>IF(ET93=0,0,IF(AND(EP94&gt;charge_ELS_quasi,EQ94&gt;Charge_ELS_freq,ER94&gt;charge_ELU,ES94&gt;charge_ELA,$B94&gt;NDC!$H$22-0.1+MIN(3*$ET$12,1.5)),0,1))</f>
        <v>#N/A</v>
      </c>
      <c r="EU94" s="86" t="b">
        <f t="shared" si="163"/>
        <v>0</v>
      </c>
      <c r="EV94" s="86">
        <f t="shared" si="164"/>
        <v>0.61</v>
      </c>
      <c r="EW94" s="86">
        <f t="shared" si="165"/>
        <v>0.61</v>
      </c>
      <c r="EX94" s="30" t="e">
        <f t="shared" ca="1" si="196"/>
        <v>#DIV/0!</v>
      </c>
      <c r="EY94" s="85" t="e">
        <f ca="1">IF(EE94&lt;=Hypothèses!$V$7,Hypothèses!$W$7,IF(EE94&lt;=Hypothèses!$V$8,Hypothèses!$W$8,IF(EE94&lt;=Hypothèses!$V$9,Hypothèses!$W$9,IF(EE94&lt;=Hypothèses!$V$10,Hypothèses!$W$10,IF(EE94&lt;=Hypothèses!$V$11,Hypothèses!$W$11,IF(EE94&lt;=Hypothèses!$V$12,Hypothèses!$W$12,IF(EE94&lt;=Hypothèses!$V$13,Hypothèses!$W$13,IF(EE94&lt;=Hypothèses!$V$14,Hypothèses!$W$14,IF(EE94&lt;=Hypothèses!$V$15,Hypothèses!$W$15,IF(EE94&lt;=Hypothèses!$V$16,Hypothèses!$W$16,IF(EE94&lt;=Hypothèses!$V$17,Hypothèses!$W$17,IF(EE94&lt;=Hypothèses!$V$18,Hypothèses!$W$18,""))))))))))))</f>
        <v>#DIV/0!</v>
      </c>
      <c r="EZ94" s="87" t="e">
        <f t="shared" ca="1" si="223"/>
        <v>#DIV/0!</v>
      </c>
      <c r="FA94" s="88" t="e">
        <f ca="1">IF(EE94&lt;=Hypothèses!$V$7,Hypothèses!$X$7,IF(EE94&lt;=Hypothèses!$V$8,Hypothèses!$X$8,IF(EE94&lt;=Hypothèses!$V$9,Hypothèses!$X$9,IF(EE94&lt;=Hypothèses!$V$10,Hypothèses!$X$10,IF(EE94&lt;=Hypothèses!$V$11,Hypothèses!$X$11,IF(EE94&lt;=Hypothèses!$V$12,Hypothèses!$X$12,IF(EE94&lt;=Hypothèses!$V$13,Hypothèses!$X$13,IF(EE94&lt;=Hypothèses!$V$14,Hypothèses!$X$14,IF(EE94&lt;=Hypothèses!$V$15,Hypothèses!$X$15,IF(EE94&lt;=Hypothèses!$V$16,Hypothèses!$X$16,IF(EE94&lt;=Hypothèses!$U$17,Hypothèses!$W$17,IF(EE94&lt;=Hypothèses!$U$18,Hypothèses!$W$18,""))))))))))))</f>
        <v>#DIV/0!</v>
      </c>
      <c r="FB94" s="95" t="e">
        <f t="shared" ca="1" si="197"/>
        <v>#DIV/0!</v>
      </c>
      <c r="FC94" s="101" t="e">
        <f t="shared" si="230"/>
        <v>#N/A</v>
      </c>
      <c r="FD94" s="91" t="e">
        <f t="shared" si="166"/>
        <v>#N/A</v>
      </c>
      <c r="FE94" s="30" t="e">
        <f t="shared" si="214"/>
        <v>#N/A</v>
      </c>
      <c r="FF94" s="30" t="e">
        <f t="shared" si="215"/>
        <v>#N/A</v>
      </c>
      <c r="FG94" s="31" t="e">
        <f>IF(OR(Hypothèses!$B$4=17,Hypothèses!$B$4=18,Hypothèses!$B$4=19,Hypothèses!$B$4=20),
IF($D94="Pressio.",
IF(OR($E94=3,$E94=1,$E94=4),FF94,FE94),
IF($D94="Pénétro.",
IF(OR($E94=3,$E94=1,$E94=4),FF94,FE94))),IF($D94="Pressio.",
IF($E94=3,FF94,FE94),
IF($D94="Pénétro.",
IF($E94=4,FF94,FE94))))</f>
        <v>#N/A</v>
      </c>
      <c r="FH94" s="31" t="e">
        <f>(IF(OR(Hypothèses!$B$4=17,Hypothèses!$B$4=18,Hypothèses!$B$4=19,Hypothèses!$B$4=20),
IF($D94="Pressio.",
IF(OR($E94=3,$E94=1,$E94=4),(PI()*FH$12^2)/4*(FD94*$W94*1000)/($H94*$B$5),(PI()*FH$12^2)/4*(FD94*$W94*1000)/($G94*$B$5)),
IF($D94="Pénétro.",
IF(OR($E94=4,$E94=1,$E94=5),(PI()*FH$12^2)/4*(FD94*$W94*1000)/($H94*$B$5),(PI()*FH$12^2)/4*(FD94*$W94*1000)/($G94*$B$5)))),
IF($D94="Pressio.",
IF($E94=3,(PI()*FH$12^2)/4*(FD94*$W94*1000)/($H94*$B$5),(PI()*FH$12^2)/4*(FD94*$W94*1000)/($G94*$B$5)),
IF($D94="Pénétro.",
IF($E94=4,(PI()*FH$12^2)/4*(FD94*$W94*1000)/($H94*$B$5),(PI()*FH$12^2)/4*(FD94*$W94*1000)/($G94*$B$5))))))/10</f>
        <v>#N/A</v>
      </c>
      <c r="FI94" s="102" t="e">
        <f>(VLOOKUP($B$3,'Coeff EC7'!$T$39:$X$59,2,0)*FG94+VLOOKUP($B$3,'Coeff EC7'!$T$65:$X$85,2,0)*Model0.1C!FH94)/1.1</f>
        <v>#N/A</v>
      </c>
      <c r="FJ94" s="102" t="e">
        <f>(VLOOKUP($B$3,'Coeff EC7'!$T$39:$X$59,3,0)*FG94+VLOOKUP($B$3,'Coeff EC7'!$T$65:$X$85,3,0)*Model0.1C!FH94)/0.9</f>
        <v>#N/A</v>
      </c>
      <c r="FK94" s="102" t="e">
        <f t="shared" si="198"/>
        <v>#N/A</v>
      </c>
      <c r="FL94" s="102" t="e">
        <f t="shared" si="199"/>
        <v>#N/A</v>
      </c>
      <c r="FM94" s="414" t="e">
        <f>IF(FM93=0,0,IF(AND(FI94&gt;charge_ELS_quasi,FJ94&gt;Charge_ELS_freq,FK94&gt;charge_ELU,FL94&gt;charge_ELA,$B94&gt;NDC!$H$22-0.1+MIN(3*$FM$12,1.5)),0,1))</f>
        <v>#N/A</v>
      </c>
    </row>
    <row r="95" spans="1:169">
      <c r="A95" s="96">
        <f t="shared" si="167"/>
        <v>91.800000000000466</v>
      </c>
      <c r="B95" s="97">
        <v>8.1999999999999993</v>
      </c>
      <c r="C95" s="81">
        <f>IF(B95&lt;=Hypothèses!$C$7,Hypothèses!$A$7,IF(B95&lt;=Hypothèses!$C$8,Hypothèses!$A$8,IF(B95&lt;=Hypothèses!$C$9,Hypothèses!$A$9,IF(B95&lt;=Hypothèses!$C$10,Hypothèses!$A$10,IF(B95&lt;=Hypothèses!$C$11,Hypothèses!$A$11,IF(B95&lt;=Hypothèses!$C$12,Hypothèses!$A$12,IF(B95&lt;=Hypothèses!$C$13,Hypothèses!$A$13,IF(B95&lt;=Hypothèses!$C$14,Hypothèses!$A$14,IF(B95&lt;=Hypothèses!$C$15,Hypothèses!$A$15,IF(B95&lt;=Hypothèses!$C$16,Hypothèses!$A$16,IF(B95&lt;=Hypothèses!$C$17,Hypothèses!$A$17,IF(B95&lt;=Hypothèses!$C$18,Hypothèses!$A$18,C94))))))))))))</f>
        <v>11</v>
      </c>
      <c r="D95" s="82" t="str">
        <f>IF(B95&lt;=Hypothèses!$C$7,Hypothèses!$R$7,IF(B95&lt;=Hypothèses!$C$8,Hypothèses!$R$8,IF(B95&lt;=Hypothèses!$C$9,Hypothèses!$R$9,IF(B95&lt;=Hypothèses!$C$10,Hypothèses!$R$10,IF(B95&lt;=Hypothèses!$C$11,Hypothèses!$R$11,IF(B95&lt;=Hypothèses!$C$12,Hypothèses!$R$12,IF(B95&lt;=Hypothèses!$C$13,Hypothèses!$R$13,IF(B95&lt;=Hypothèses!$C$14,Hypothèses!$R$14,IF(B95&lt;=Hypothèses!$C$15,Hypothèses!$R$15,IF(B95&lt;=Hypothèses!$C$16,Hypothèses!$R$16,IF(B95&lt;=Hypothèses!$C$17,Hypothèses!$R$17,IF(B95&lt;=Hypothèses!$C$18,Hypothèses!$R$18,D94))))))))))))</f>
        <v>Pressio.</v>
      </c>
      <c r="E95" s="82" t="e">
        <f>IF(B95&lt;=Hypothèses!$C$7,Hypothèses!$G$7,IF(B95&lt;=Hypothèses!$C$8,Hypothèses!$G$8,IF(B95&lt;=Hypothèses!$C$9,Hypothèses!$G$9,IF(B95&lt;=Hypothèses!$C$10,Hypothèses!$G$10,IF(B95&lt;=Hypothèses!$C$11,Hypothèses!$G$11,IF(B95&lt;=Hypothèses!$C$12,Hypothèses!$G$12,IF(B95&lt;=Hypothèses!$C$13,Hypothèses!$G$13,IF(B95&lt;=Hypothèses!$C$14,Hypothèses!$G$14,IF(B95&lt;=Hypothèses!$C$15,Hypothèses!$G$15,IF(B95&lt;=Hypothèses!$C$16,Hypothèses!$G$16,IF(B95&lt;=Hypothèses!$C$17,Hypothèses!$G$17,IF(B95&lt;=Hypothèses!$C$18,Hypothèses!$G$18,E94))))))))))))</f>
        <v>#N/A</v>
      </c>
      <c r="F95" s="82" t="str">
        <f>IF(B95&lt;=Hypothèses!$C$7,Hypothèses!$F$7,IF(B95&lt;=Hypothèses!$C$8,Hypothèses!$F$8,IF(B95&lt;=Hypothèses!$C$9,Hypothèses!$F$9,IF(B95&lt;=Hypothèses!$C$10,Hypothèses!$F$10,IF(B95&lt;=Hypothèses!$C$11,Hypothèses!$F$11,IF(B95&lt;=Hypothèses!$C$12,Hypothèses!$F$12,IF(B95&lt;=Hypothèses!$C$13,Hypothèses!$F$13,IF(B95&lt;=Hypothèses!$C$14,Hypothèses!$F$14,IF(B95&lt;=Hypothèses!$C$15,Hypothèses!$F$15,IF(B95&lt;=Hypothèses!$C$16,Hypothèses!$F$16,IF(B95&lt;=Hypothèses!$C$17,Hypothèses!$F$17,IF(B95&lt;=Hypothèses!$C$18,Hypothèses!$F$18,F94))))))))))))</f>
        <v/>
      </c>
      <c r="G95" s="91">
        <f t="array" ref="G95">INDEX('Coeff EC7'!$U$7:$X$27,
MATCH(Model0.1C!$B$3,'Coeff EC7'!$T$7:$T$27,0),
MATCH(Model0.1C!$D95&amp;Model0.1C!$B$4,
'Coeff EC7'!$U$6:$X$6&amp;
'Coeff EC7'!$U$5:$X$5,0))</f>
        <v>1.1499999999999999</v>
      </c>
      <c r="H95" s="91">
        <f t="array" ref="H95">INDEX('Coeff EC7'!$Y$7:$AB$27,
MATCH(Model0.1C!$B$3,'Coeff EC7'!$T$7:$T$27,0),
MATCH(Model0.1C!$D95&amp;Model0.1C!$B$4,
'Coeff EC7'!$Y$6:$AB$6&amp;
'Coeff EC7'!$Y$5:$AB$5,0))</f>
        <v>1.4</v>
      </c>
      <c r="I95" s="83" t="e">
        <f>IF(B95&lt;=Hypothèses!$C$7,Hypothèses!$P$7,IF(B95&lt;=Hypothèses!$C$8,Hypothèses!$P$8,IF(B95&lt;=Hypothèses!$C$9,Hypothèses!$P$9,IF(B95&lt;=Hypothèses!$C$10,Hypothèses!$P$10,IF(B95&lt;=Hypothèses!$C$11,Hypothèses!$P$11,IF(B95&lt;=Hypothèses!$C$12,Hypothèses!$P$12,IF(B95&lt;=Hypothèses!$C$13,Hypothèses!$P$13,IF(B95&lt;=Hypothèses!$C$14,Hypothèses!$P$14,IF(B95&lt;=Hypothèses!$C$15,Hypothèses!$P$15,IF(B95&lt;=Hypothèses!$C$16,Hypothèses!$P$16,IF(B95&lt;=Hypothèses!$C$17,Hypothèses!$P$17,IF(B95&lt;=Hypothèses!$C$18,Hypothèses!$P$18,I94))))))))))))</f>
        <v>#N/A</v>
      </c>
      <c r="J95" s="91" t="e">
        <f t="array" ref="J95">INDEX('Coeff EC7'!$D$33:$Q$33,1,MATCH(D95&amp;E95,'Coeff EC7'!$D$31:$Q$31&amp;'Coeff EC7'!$D$32:$Q$32,0))</f>
        <v>#N/A</v>
      </c>
      <c r="K95" s="91" t="e">
        <f t="array" ref="K95">INDEX('Coeff EC7'!$D$34:$Q$34,1,MATCH(D95&amp;E95,'Coeff EC7'!$D$31:$Q$31&amp;'Coeff EC7'!$D$32:$Q$32,0))</f>
        <v>#N/A</v>
      </c>
      <c r="L95" s="91" t="e">
        <f t="array" ref="L95">INDEX('Coeff EC7'!$D$35:$Q$35,1,MATCH(D95&amp;E95,'Coeff EC7'!$D$31:$Q$31&amp;'Coeff EC7'!$D$32:$Q$32,0))</f>
        <v>#N/A</v>
      </c>
      <c r="M95" s="98" t="e">
        <f t="shared" si="131"/>
        <v>#N/A</v>
      </c>
      <c r="N95" s="99" t="e">
        <f t="array" ref="N95">INDEX('Coeff EC7'!$D$7:$Q$27,MATCH($B$3,'Coeff EC7'!$C$7:$C$27,0),MATCH(D95&amp;E95,'Coeff EC7'!$D$5:$Q$5&amp;'Coeff EC7'!$D$6:$Q$6,0))</f>
        <v>#N/A</v>
      </c>
      <c r="O95" s="99" t="e">
        <f t="array" ref="O95">INDEX('Coeff EC7'!$D$41:$Q$61,MATCH($B$3,'Coeff EC7'!$C$41:$C$61,0),MATCH(D95&amp;E95,'Coeff EC7'!$D$39:$Q$39&amp;'Coeff EC7'!$D$40:$Q$40,0))</f>
        <v>#N/A</v>
      </c>
      <c r="P95" s="30" t="e">
        <f t="shared" si="168"/>
        <v>#N/A</v>
      </c>
      <c r="Q95" s="100" t="e">
        <f t="shared" si="133"/>
        <v>#N/A</v>
      </c>
      <c r="R95" s="86" t="b">
        <f t="shared" si="134"/>
        <v>0</v>
      </c>
      <c r="S95" s="86">
        <f t="shared" si="132"/>
        <v>0.5</v>
      </c>
      <c r="T95" s="86">
        <f t="shared" si="135"/>
        <v>0.5</v>
      </c>
      <c r="U95" s="30" t="e">
        <f t="shared" ca="1" si="169"/>
        <v>#DIV/0!</v>
      </c>
      <c r="V95" s="85" t="str">
        <f>IF(B95&lt;=Hypothèses!$V$7,Hypothèses!$W$7,IF(B95&lt;=Hypothèses!$V$8,Hypothèses!$W$8,IF(B95&lt;=Hypothèses!$V$9,Hypothèses!$W$9,IF(B95&lt;=Hypothèses!$V$10,Hypothèses!$W$10,IF(B95&lt;=Hypothèses!$V$11,Hypothèses!$W$11,IF(B95&lt;=Hypothèses!$V$12,Hypothèses!$W$12,IF(B95&lt;=Hypothèses!$V$13,Hypothèses!$W$13,IF(B95&lt;=Hypothèses!$V$14,Hypothèses!$W$14,IF(B95&lt;=Hypothèses!$V$15,Hypothèses!$W$15,IF(B95&lt;=Hypothèses!$V$16,Hypothèses!$W$16,IF(B95&lt;=Hypothèses!$V$17,Hypothèses!$W$17,IF(B95&lt;=Hypothèses!$V$18,Hypothèses!$W$18,""))))))))))))</f>
        <v/>
      </c>
      <c r="W95" s="87" t="e">
        <f t="shared" ca="1" si="216"/>
        <v>#DIV/0!</v>
      </c>
      <c r="X95" s="88" t="str">
        <f>IF(B95&lt;=Hypothèses!$V$7,Hypothèses!$X$7,IF(B95&lt;=Hypothèses!$V$8,Hypothèses!$X$8,IF(B95&lt;=Hypothèses!$V$9,Hypothèses!$X$9,IF(B95&lt;=Hypothèses!$V$10,Hypothèses!$X$10,IF(B95&lt;=Hypothèses!$V$11,Hypothèses!$X$11,IF(B95&lt;=Hypothèses!$V$12,Hypothèses!$X$12,IF(B95&lt;=Hypothèses!$V$13,Hypothèses!$X$13,IF(B95&lt;=Hypothèses!$V$14,Hypothèses!$X$14,IF(B95&lt;=Hypothèses!$V$15,Hypothèses!$X$15,IF(B95&lt;=Hypothèses!$V$16,Hypothèses!$X$16,IF(B95&lt;=Hypothèses!$U$17,Hypothèses!$W$17,IF(B95&lt;=Hypothèses!$U$18,Hypothèses!$W$18,""))))))))))))</f>
        <v/>
      </c>
      <c r="Y95" s="95" t="e">
        <f t="shared" ca="1" si="136"/>
        <v>#DIV/0!</v>
      </c>
      <c r="Z95" s="101" t="e">
        <f t="shared" si="137"/>
        <v>#N/A</v>
      </c>
      <c r="AA95" s="91" t="e">
        <f t="shared" si="138"/>
        <v>#N/A</v>
      </c>
      <c r="AB95" s="30" t="e">
        <f t="shared" si="200"/>
        <v>#N/A</v>
      </c>
      <c r="AC95" s="30" t="e">
        <f t="shared" si="201"/>
        <v>#N/A</v>
      </c>
      <c r="AD95" s="31" t="e">
        <f>IF(OR(Hypothèses!$B$4=17,Hypothèses!$B$4=18,Hypothèses!$B$4=19,Hypothèses!$B$4=20),
IF($D95="Pressio.",
IF(OR($E95=3,$E95=1,$E95=4),AC95,AB95),
IF($D95="Pénétro.",
IF(OR($E95=3,$E95=1,$E95=4),AC95,AB95))),IF($D95="Pressio.",
IF($E95=3,AC95,AB95),
IF($D95="Pénétro.",
IF($E95=4,AC95,AB95))))</f>
        <v>#N/A</v>
      </c>
      <c r="AE95" s="31" t="e">
        <f>(IF(OR(Hypothèses!$B$4=17,Hypothèses!$B$4=18,Hypothèses!$B$4=19,Hypothèses!$B$4=20),
IF($D95="Pressio.",
IF(OR($E95=3,$E95=1,$E95=4),(PI()*AE$12^2)/4*(AA95*$W95*1000)/($H95*$B$5),(PI()*AE$12^2)/4*(AA95*$W95*1000)/($G95*$B$5)),
IF($D95="Pénétro.",
IF(OR($E95=4,$E95=1,$E95=5),(PI()*AE$12^2)/4*(AA95*$W95*1000)/($H95*$B$5),(PI()*AE$12^2)/4*(AA95*$W95*1000)/($G95*$B$5)))),
IF($D95="Pressio.",
IF($E95=3,(PI()*AE$12^2)/4*(AA95*$W95*1000)/($H95*$B$5),(PI()*AE$12^2)/4*(AA95*$W95*1000)/($G95*$B$5)),
IF($D95="Pénétro.",
IF($E95=4,(PI()*AE$12^2)/4*(AA95*$W95*1000)/($H95*$B$5),(PI()*AE$12^2)/4*(AA95*$W95*1000)/($G95*$B$5))))))/10</f>
        <v>#N/A</v>
      </c>
      <c r="AF95" s="102" t="e">
        <f>(VLOOKUP($B$3,'Coeff EC7'!$T$39:$X$59,2,0)*AD95+VLOOKUP($B$3,'Coeff EC7'!$T$65:$X$85,2,0)*Model0.1C!AE95)/1.1</f>
        <v>#N/A</v>
      </c>
      <c r="AG95" s="102" t="e">
        <f>(VLOOKUP($B$3,'Coeff EC7'!$T$39:$X$59,3,0)*AD95+VLOOKUP($B$3,'Coeff EC7'!$T$65:$X$85,3,0)*Model0.1C!AE95)/0.9</f>
        <v>#N/A</v>
      </c>
      <c r="AH95" s="102" t="e">
        <f t="shared" si="139"/>
        <v>#N/A</v>
      </c>
      <c r="AI95" s="102" t="e">
        <f t="shared" si="140"/>
        <v>#N/A</v>
      </c>
      <c r="AJ95" s="414" t="e">
        <f>IF(AJ94=0,0,IF(AND(AF95&gt;charge_ELS_quasi,AG95&gt;Charge_ELS_freq,AH95&gt;charge_ELU,AI95&gt;charge_ELA,$B95&gt;NDC!$H$22-0.1+MIN(3*$AJ$12,1.5)),0,1))</f>
        <v>#N/A</v>
      </c>
      <c r="AK95" s="86" t="b">
        <f t="shared" si="141"/>
        <v>0</v>
      </c>
      <c r="AL95" s="86">
        <f t="shared" si="170"/>
        <v>0.5</v>
      </c>
      <c r="AM95" s="86">
        <f t="shared" si="142"/>
        <v>0.5</v>
      </c>
      <c r="AN95" s="30" t="e">
        <f t="shared" ca="1" si="171"/>
        <v>#DIV/0!</v>
      </c>
      <c r="AO95" s="85" t="e">
        <f ca="1">IF(U95&lt;=Hypothèses!$V$7,Hypothèses!$W$7,IF(U95&lt;=Hypothèses!$V$8,Hypothèses!$W$8,IF(U95&lt;=Hypothèses!$V$9,Hypothèses!$W$9,IF(U95&lt;=Hypothèses!$V$10,Hypothèses!$W$10,IF(U95&lt;=Hypothèses!$V$11,Hypothèses!$W$11,IF(U95&lt;=Hypothèses!$V$12,Hypothèses!$W$12,IF(U95&lt;=Hypothèses!$V$13,Hypothèses!$W$13,IF(U95&lt;=Hypothèses!$V$14,Hypothèses!$W$14,IF(U95&lt;=Hypothèses!$V$15,Hypothèses!$W$15,IF(U95&lt;=Hypothèses!$V$16,Hypothèses!$W$16,IF(U95&lt;=Hypothèses!$V$17,Hypothèses!$W$17,IF(U95&lt;=Hypothèses!$V$18,Hypothèses!$W$18,""))))))))))))</f>
        <v>#DIV/0!</v>
      </c>
      <c r="AP95" s="87" t="e">
        <f t="shared" ca="1" si="217"/>
        <v>#DIV/0!</v>
      </c>
      <c r="AQ95" s="88" t="e">
        <f ca="1">IF(U95&lt;=Hypothèses!$V$7,Hypothèses!$X$7,IF(U95&lt;=Hypothèses!$V$8,Hypothèses!$X$8,IF(U95&lt;=Hypothèses!$V$9,Hypothèses!$X$9,IF(U95&lt;=Hypothèses!$V$10,Hypothèses!$X$10,IF(U95&lt;=Hypothèses!$V$11,Hypothèses!$X$11,IF(U95&lt;=Hypothèses!$V$12,Hypothèses!$X$12,IF(U95&lt;=Hypothèses!$V$13,Hypothèses!$X$13,IF(U95&lt;=Hypothèses!$V$14,Hypothèses!$X$14,IF(U95&lt;=Hypothèses!$V$15,Hypothèses!$X$15,IF(U95&lt;=Hypothèses!$V$16,Hypothèses!$X$16,IF(U95&lt;=Hypothèses!$U$17,Hypothèses!$W$17,IF(U95&lt;=Hypothèses!$U$18,Hypothèses!$W$18,""))))))))))))</f>
        <v>#DIV/0!</v>
      </c>
      <c r="AR95" s="95" t="e">
        <f t="shared" ca="1" si="172"/>
        <v>#DIV/0!</v>
      </c>
      <c r="AS95" s="101" t="e">
        <f t="shared" si="224"/>
        <v>#N/A</v>
      </c>
      <c r="AT95" s="91" t="e">
        <f t="shared" si="143"/>
        <v>#N/A</v>
      </c>
      <c r="AU95" s="30" t="e">
        <f t="shared" si="202"/>
        <v>#N/A</v>
      </c>
      <c r="AV95" s="30" t="e">
        <f t="shared" si="203"/>
        <v>#N/A</v>
      </c>
      <c r="AW95" s="31" t="e">
        <f>IF(OR(Hypothèses!$B$4=17,Hypothèses!$B$4=18,Hypothèses!$B$4=19,Hypothèses!$B$4=20),
IF($D95="Pressio.",
IF(OR($E95=3,$E95=1,$E95=4),AV95,AU95),
IF($D95="Pénétro.",
IF(OR($E95=3,$E95=1,$E95=4),AV95,AU95))),IF($D95="Pressio.",
IF($E95=3,AV95,AU95),
IF($D95="Pénétro.",
IF($E95=4,AV95,AU95))))</f>
        <v>#N/A</v>
      </c>
      <c r="AX95" s="31" t="e">
        <f>(IF(OR(Hypothèses!$B$4=17,Hypothèses!$B$4=18,Hypothèses!$B$4=19,Hypothèses!$B$4=20),
IF($D95="Pressio.",
IF(OR($E95=3,$E95=1,$E95=4),(PI()*AX$12^2)/4*(AT95*$W95*1000)/($H95*$B$5),(PI()*AX$12^2)/4*(AT95*$W95*1000)/($G95*$B$5)),
IF($D95="Pénétro.",
IF(OR($E95=4,$E95=1,$E95=5),(PI()*AX$12^2)/4*(AT95*$W95*1000)/($H95*$B$5),(PI()*AX$12^2)/4*(AT95*$W95*1000)/($G95*$B$5)))),
IF($D95="Pressio.",
IF($E95=3,(PI()*AX$12^2)/4*(AT95*$W95*1000)/($H95*$B$5),(PI()*AX$12^2)/4*(AT95*$W95*1000)/($G95*$B$5)),
IF($D95="Pénétro.",
IF($E95=4,(PI()*AX$12^2)/4*(AT95*$W95*1000)/($H95*$B$5),(PI()*AX$12^2)/4*(AT95*$W95*1000)/($G95*$B$5))))))/10</f>
        <v>#N/A</v>
      </c>
      <c r="AY95" s="102" t="e">
        <f>(VLOOKUP($B$3,'Coeff EC7'!$T$39:$X$59,2,0)*AW95+VLOOKUP($B$3,'Coeff EC7'!$T$65:$X$85,2,0)*Model0.1C!AX95)/1.1</f>
        <v>#N/A</v>
      </c>
      <c r="AZ95" s="102" t="e">
        <f>(VLOOKUP($B$3,'Coeff EC7'!$T$39:$X$59,3,0)*AW95+VLOOKUP($B$3,'Coeff EC7'!$T$65:$X$85,3,0)*Model0.1C!AX95)/0.9</f>
        <v>#N/A</v>
      </c>
      <c r="BA95" s="102" t="e">
        <f t="shared" si="173"/>
        <v>#N/A</v>
      </c>
      <c r="BB95" s="102" t="e">
        <f t="shared" si="174"/>
        <v>#N/A</v>
      </c>
      <c r="BC95" s="414" t="e">
        <f>IF(BC94=0,0,IF(AND(AY95&gt;charge_ELS_quasi,AZ95&gt;Charge_ELS_freq,BA95&gt;charge_ELU,BB95&gt;charge_ELA,$B95&gt;NDC!$H$22-0.1+MIN(3*$BC$12,1.5)),0,1))</f>
        <v>#N/A</v>
      </c>
      <c r="BD95" s="86" t="b">
        <f t="shared" si="144"/>
        <v>0</v>
      </c>
      <c r="BE95" s="86">
        <f t="shared" si="175"/>
        <v>0.5</v>
      </c>
      <c r="BF95" s="86">
        <f t="shared" si="145"/>
        <v>0.5</v>
      </c>
      <c r="BG95" s="30" t="e">
        <f t="shared" ca="1" si="176"/>
        <v>#DIV/0!</v>
      </c>
      <c r="BH95" s="85" t="e">
        <f ca="1">IF(AN95&lt;=Hypothèses!$V$7,Hypothèses!$W$7,IF(AN95&lt;=Hypothèses!$V$8,Hypothèses!$W$8,IF(AN95&lt;=Hypothèses!$V$9,Hypothèses!$W$9,IF(AN95&lt;=Hypothèses!$V$10,Hypothèses!$W$10,IF(AN95&lt;=Hypothèses!$V$11,Hypothèses!$W$11,IF(AN95&lt;=Hypothèses!$V$12,Hypothèses!$W$12,IF(AN95&lt;=Hypothèses!$V$13,Hypothèses!$W$13,IF(AN95&lt;=Hypothèses!$V$14,Hypothèses!$W$14,IF(AN95&lt;=Hypothèses!$V$15,Hypothèses!$W$15,IF(AN95&lt;=Hypothèses!$V$16,Hypothèses!$W$16,IF(AN95&lt;=Hypothèses!$V$17,Hypothèses!$W$17,IF(AN95&lt;=Hypothèses!$V$18,Hypothèses!$W$18,""))))))))))))</f>
        <v>#DIV/0!</v>
      </c>
      <c r="BI95" s="87" t="e">
        <f t="shared" ca="1" si="218"/>
        <v>#DIV/0!</v>
      </c>
      <c r="BJ95" s="88" t="e">
        <f ca="1">IF(AN95&lt;=Hypothèses!$V$7,Hypothèses!$X$7,IF(AN95&lt;=Hypothèses!$V$8,Hypothèses!$X$8,IF(AN95&lt;=Hypothèses!$V$9,Hypothèses!$X$9,IF(AN95&lt;=Hypothèses!$V$10,Hypothèses!$X$10,IF(AN95&lt;=Hypothèses!$V$11,Hypothèses!$X$11,IF(AN95&lt;=Hypothèses!$V$12,Hypothèses!$X$12,IF(AN95&lt;=Hypothèses!$V$13,Hypothèses!$X$13,IF(AN95&lt;=Hypothèses!$V$14,Hypothèses!$X$14,IF(AN95&lt;=Hypothèses!$V$15,Hypothèses!$X$15,IF(AN95&lt;=Hypothèses!$V$16,Hypothèses!$X$16,IF(AN95&lt;=Hypothèses!$U$17,Hypothèses!$W$17,IF(AN95&lt;=Hypothèses!$U$18,Hypothèses!$W$18,""))))))))))))</f>
        <v>#DIV/0!</v>
      </c>
      <c r="BK95" s="95" t="e">
        <f t="shared" ca="1" si="177"/>
        <v>#DIV/0!</v>
      </c>
      <c r="BL95" s="101" t="e">
        <f t="shared" si="225"/>
        <v>#N/A</v>
      </c>
      <c r="BM95" s="91" t="e">
        <f t="shared" si="146"/>
        <v>#N/A</v>
      </c>
      <c r="BN95" s="30" t="e">
        <f t="shared" si="204"/>
        <v>#N/A</v>
      </c>
      <c r="BO95" s="30" t="e">
        <f t="shared" si="205"/>
        <v>#N/A</v>
      </c>
      <c r="BP95" s="31" t="e">
        <f>IF(OR(Hypothèses!$B$4=17,Hypothèses!$B$4=18,Hypothèses!$B$4=19,Hypothèses!$B$4=20),
IF($D95="Pressio.",
IF(OR($E95=3,$E95=1,$E95=4),BO95,BN95),
IF($D95="Pénétro.",
IF(OR($E95=3,$E95=1,$E95=4),BO95,BN95))),IF($D95="Pressio.",
IF($E95=3,BO95,BN95),
IF($D95="Pénétro.",
IF($E95=4,BO95,BN95))))</f>
        <v>#N/A</v>
      </c>
      <c r="BQ95" s="31" t="e">
        <f>(IF(OR(Hypothèses!$B$4=17,Hypothèses!$B$4=18,Hypothèses!$B$4=19,Hypothèses!$B$4=20),
IF($D95="Pressio.",
IF(OR($E95=3,$E95=1,$E95=4),(PI()*BQ$12^2)/4*(BM95*$W95*1000)/($H95*$B$5),(PI()*BQ$12^2)/4*(BM95*$W95*1000)/($G95*$B$5)),
IF($D95="Pénétro.",
IF(OR($E95=4,$E95=1,$E95=5),(PI()*BQ$12^2)/4*(BM95*$W95*1000)/($H95*$B$5),(PI()*BQ$12^2)/4*(BM95*$W95*1000)/($G95*$B$5)))),
IF($D95="Pressio.",
IF($E95=3,(PI()*BQ$12^2)/4*(BM95*$W95*1000)/($H95*$B$5),(PI()*BQ$12^2)/4*(BM95*$W95*1000)/($G95*$B$5)),
IF($D95="Pénétro.",
IF($E95=4,(PI()*BQ$12^2)/4*(BM95*$W95*1000)/($H95*$B$5),(PI()*BQ$12^2)/4*(BM95*$W95*1000)/($G95*$B$5))))))/10</f>
        <v>#N/A</v>
      </c>
      <c r="BR95" s="102" t="e">
        <f>(VLOOKUP($B$3,'Coeff EC7'!$T$39:$X$59,2,0)*BP95+VLOOKUP($B$3,'Coeff EC7'!$T$65:$X$85,2,0)*Model0.1C!BQ95)/1.1</f>
        <v>#N/A</v>
      </c>
      <c r="BS95" s="102" t="e">
        <f>(VLOOKUP($B$3,'Coeff EC7'!$T$39:$X$59,3,0)*BP95+VLOOKUP($B$3,'Coeff EC7'!$T$65:$X$85,3,0)*Model0.1C!BQ95)/0.9</f>
        <v>#N/A</v>
      </c>
      <c r="BT95" s="102" t="e">
        <f t="shared" si="178"/>
        <v>#N/A</v>
      </c>
      <c r="BU95" s="102" t="e">
        <f t="shared" si="179"/>
        <v>#N/A</v>
      </c>
      <c r="BV95" s="414" t="e">
        <f>IF(BV94=0,0,IF(AND(BR95&gt;charge_ELS_quasi,BS95&gt;Charge_ELS_freq,BT95&gt;charge_ELU,BU95&gt;charge_ELA,$B95&gt;NDC!$H$22-0.1+MIN(3*$BV$12,1.5)),0,1))</f>
        <v>#N/A</v>
      </c>
      <c r="BW95" s="86" t="b">
        <f t="shared" si="147"/>
        <v>0</v>
      </c>
      <c r="BX95" s="86">
        <f t="shared" si="148"/>
        <v>0.5</v>
      </c>
      <c r="BY95" s="86">
        <f t="shared" si="149"/>
        <v>0.5</v>
      </c>
      <c r="BZ95" s="30" t="e">
        <f t="shared" ca="1" si="180"/>
        <v>#DIV/0!</v>
      </c>
      <c r="CA95" s="85" t="e">
        <f ca="1">IF(BG95&lt;=Hypothèses!$V$7,Hypothèses!$W$7,IF(BG95&lt;=Hypothèses!$V$8,Hypothèses!$W$8,IF(BG95&lt;=Hypothèses!$V$9,Hypothèses!$W$9,IF(BG95&lt;=Hypothèses!$V$10,Hypothèses!$W$10,IF(BG95&lt;=Hypothèses!$V$11,Hypothèses!$W$11,IF(BG95&lt;=Hypothèses!$V$12,Hypothèses!$W$12,IF(BG95&lt;=Hypothèses!$V$13,Hypothèses!$W$13,IF(BG95&lt;=Hypothèses!$V$14,Hypothèses!$W$14,IF(BG95&lt;=Hypothèses!$V$15,Hypothèses!$W$15,IF(BG95&lt;=Hypothèses!$V$16,Hypothèses!$W$16,IF(BG95&lt;=Hypothèses!$V$17,Hypothèses!$W$17,IF(BG95&lt;=Hypothèses!$V$18,Hypothèses!$W$18,""))))))))))))</f>
        <v>#DIV/0!</v>
      </c>
      <c r="CB95" s="87" t="e">
        <f t="shared" ca="1" si="219"/>
        <v>#DIV/0!</v>
      </c>
      <c r="CC95" s="88" t="e">
        <f ca="1">IF(BG95&lt;=Hypothèses!$V$7,Hypothèses!$X$7,IF(BG95&lt;=Hypothèses!$V$8,Hypothèses!$X$8,IF(BG95&lt;=Hypothèses!$V$9,Hypothèses!$X$9,IF(BG95&lt;=Hypothèses!$V$10,Hypothèses!$X$10,IF(BG95&lt;=Hypothèses!$V$11,Hypothèses!$X$11,IF(BG95&lt;=Hypothèses!$V$12,Hypothèses!$X$12,IF(BG95&lt;=Hypothèses!$V$13,Hypothèses!$X$13,IF(BG95&lt;=Hypothèses!$V$14,Hypothèses!$X$14,IF(BG95&lt;=Hypothèses!$V$15,Hypothèses!$X$15,IF(BG95&lt;=Hypothèses!$V$16,Hypothèses!$X$16,IF(BG95&lt;=Hypothèses!$U$17,Hypothèses!$W$17,IF(BG95&lt;=Hypothèses!$U$18,Hypothèses!$W$18,""))))))))))))</f>
        <v>#DIV/0!</v>
      </c>
      <c r="CD95" s="95" t="e">
        <f t="shared" ca="1" si="181"/>
        <v>#DIV/0!</v>
      </c>
      <c r="CE95" s="101" t="e">
        <f t="shared" si="226"/>
        <v>#N/A</v>
      </c>
      <c r="CF95" s="91" t="e">
        <f t="shared" si="150"/>
        <v>#N/A</v>
      </c>
      <c r="CG95" s="30" t="e">
        <f t="shared" si="206"/>
        <v>#N/A</v>
      </c>
      <c r="CH95" s="30" t="e">
        <f t="shared" si="207"/>
        <v>#N/A</v>
      </c>
      <c r="CI95" s="31" t="e">
        <f>IF(OR(Hypothèses!$B$4=17,Hypothèses!$B$4=18,Hypothèses!$B$4=19,Hypothèses!$B$4=20),
IF($D95="Pressio.",
IF(OR($E95=3,$E95=1,$E95=4),CH95,CG95),
IF($D95="Pénétro.",
IF(OR($E95=3,$E95=1,$E95=4),CH95,CG95))),IF($D95="Pressio.",
IF($E95=3,CH95,CG95),
IF($D95="Pénétro.",
IF($E95=4,CH95,CG95))))</f>
        <v>#N/A</v>
      </c>
      <c r="CJ95" s="31" t="e">
        <f>(IF(OR(Hypothèses!$B$4=17,Hypothèses!$B$4=18,Hypothèses!$B$4=19,Hypothèses!$B$4=20),
IF($D95="Pressio.",
IF(OR($E95=3,$E95=1,$E95=4),(PI()*CJ$12^2)/4*(CF95*$W95*1000)/($H95*$B$5),(PI()*CJ$12^2)/4*(CF95*$W95*1000)/($G95*$B$5)),
IF($D95="Pénétro.",
IF(OR($E95=4,$E95=1,$E95=5),(PI()*CJ$12^2)/4*(CF95*$W95*1000)/($H95*$B$5),(PI()*CJ$12^2)/4*(CF95*$W95*1000)/($G95*$B$5)))),
IF($D95="Pressio.",
IF($E95=3,(PI()*CJ$12^2)/4*(CF95*$W95*1000)/($H95*$B$5),(PI()*CJ$12^2)/4*(CF95*$W95*1000)/($G95*$B$5)),
IF($D95="Pénétro.",
IF($E95=4,(PI()*CJ$12^2)/4*(CF95*$W95*1000)/($H95*$B$5),(PI()*CJ$12^2)/4*(CF95*$W95*1000)/($G95*$B$5))))))/10</f>
        <v>#N/A</v>
      </c>
      <c r="CK95" s="102" t="e">
        <f>(VLOOKUP($B$3,'Coeff EC7'!$T$39:$X$59,2,0)*CI95+VLOOKUP($B$3,'Coeff EC7'!$T$65:$X$85,2,0)*Model0.1C!CJ95)/1.1</f>
        <v>#N/A</v>
      </c>
      <c r="CL95" s="102" t="e">
        <f>(VLOOKUP($B$3,'Coeff EC7'!$T$39:$X$59,3,0)*CI95+VLOOKUP($B$3,'Coeff EC7'!$T$65:$X$85,3,0)*Model0.1C!CJ95)/0.9</f>
        <v>#N/A</v>
      </c>
      <c r="CM95" s="102" t="e">
        <f t="shared" si="182"/>
        <v>#N/A</v>
      </c>
      <c r="CN95" s="102" t="e">
        <f t="shared" si="183"/>
        <v>#N/A</v>
      </c>
      <c r="CO95" s="414" t="e">
        <f>IF(CO94=0,0,IF(AND(CK95&gt;charge_ELS_quasi,CL95&gt;Charge_ELS_freq,CM95&gt;charge_ELU,CN95&gt;charge_ELA,$B95&gt;NDC!$H$22-0.1+MIN(3*$CO$12,1.5)),0,1))</f>
        <v>#N/A</v>
      </c>
      <c r="CP95" s="86" t="b">
        <f t="shared" si="151"/>
        <v>0</v>
      </c>
      <c r="CQ95" s="86">
        <f t="shared" si="152"/>
        <v>0.5</v>
      </c>
      <c r="CR95" s="86">
        <f t="shared" si="153"/>
        <v>0.5</v>
      </c>
      <c r="CS95" s="30" t="e">
        <f t="shared" ca="1" si="184"/>
        <v>#DIV/0!</v>
      </c>
      <c r="CT95" s="85" t="e">
        <f ca="1">IF(BZ95&lt;=Hypothèses!$V$7,Hypothèses!$W$7,IF(BZ95&lt;=Hypothèses!$V$8,Hypothèses!$W$8,IF(BZ95&lt;=Hypothèses!$V$9,Hypothèses!$W$9,IF(BZ95&lt;=Hypothèses!$V$10,Hypothèses!$W$10,IF(BZ95&lt;=Hypothèses!$V$11,Hypothèses!$W$11,IF(BZ95&lt;=Hypothèses!$V$12,Hypothèses!$W$12,IF(BZ95&lt;=Hypothèses!$V$13,Hypothèses!$W$13,IF(BZ95&lt;=Hypothèses!$V$14,Hypothèses!$W$14,IF(BZ95&lt;=Hypothèses!$V$15,Hypothèses!$W$15,IF(BZ95&lt;=Hypothèses!$V$16,Hypothèses!$W$16,IF(BZ95&lt;=Hypothèses!$V$17,Hypothèses!$W$17,IF(BZ95&lt;=Hypothèses!$V$18,Hypothèses!$W$18,""))))))))))))</f>
        <v>#DIV/0!</v>
      </c>
      <c r="CU95" s="87" t="e">
        <f t="shared" ca="1" si="220"/>
        <v>#DIV/0!</v>
      </c>
      <c r="CV95" s="88" t="e">
        <f ca="1">IF(BZ95&lt;=Hypothèses!$V$7,Hypothèses!$X$7,IF(BZ95&lt;=Hypothèses!$V$8,Hypothèses!$X$8,IF(BZ95&lt;=Hypothèses!$V$9,Hypothèses!$X$9,IF(BZ95&lt;=Hypothèses!$V$10,Hypothèses!$X$10,IF(BZ95&lt;=Hypothèses!$V$11,Hypothèses!$X$11,IF(BZ95&lt;=Hypothèses!$V$12,Hypothèses!$X$12,IF(BZ95&lt;=Hypothèses!$V$13,Hypothèses!$X$13,IF(BZ95&lt;=Hypothèses!$V$14,Hypothèses!$X$14,IF(BZ95&lt;=Hypothèses!$V$15,Hypothèses!$X$15,IF(BZ95&lt;=Hypothèses!$V$16,Hypothèses!$X$16,IF(BZ95&lt;=Hypothèses!$U$17,Hypothèses!$W$17,IF(BZ95&lt;=Hypothèses!$U$18,Hypothèses!$W$18,""))))))))))))</f>
        <v>#DIV/0!</v>
      </c>
      <c r="CW95" s="95" t="e">
        <f t="shared" ca="1" si="185"/>
        <v>#DIV/0!</v>
      </c>
      <c r="CX95" s="101" t="e">
        <f t="shared" si="227"/>
        <v>#N/A</v>
      </c>
      <c r="CY95" s="91" t="e">
        <f t="shared" si="154"/>
        <v>#N/A</v>
      </c>
      <c r="CZ95" s="30" t="e">
        <f t="shared" si="208"/>
        <v>#N/A</v>
      </c>
      <c r="DA95" s="30" t="e">
        <f t="shared" si="209"/>
        <v>#N/A</v>
      </c>
      <c r="DB95" s="31" t="e">
        <f>IF(OR(Hypothèses!$B$4=17,Hypothèses!$B$4=18,Hypothèses!$B$4=19,Hypothèses!$B$4=20),
IF($D95="Pressio.",
IF(OR($E95=3,$E95=1,$E95=4),DA95,CZ95),
IF($D95="Pénétro.",
IF(OR($E95=3,$E95=1,$E95=4),DA95,CZ95))),IF($D95="Pressio.",
IF($E95=3,DA95,CZ95),
IF($D95="Pénétro.",
IF($E95=4,DA95,CZ95))))</f>
        <v>#N/A</v>
      </c>
      <c r="DC95" s="31" t="e">
        <f>(IF(OR(Hypothèses!$B$4=17,Hypothèses!$B$4=18,Hypothèses!$B$4=19,Hypothèses!$B$4=20),
IF($D95="Pressio.",
IF(OR($E95=3,$E95=1,$E95=4),(PI()*DC$12^2)/4*(CY95*$W95*1000)/($H95*$B$5),(PI()*DC$12^2)/4*(CY95*$W95*1000)/($G95*$B$5)),
IF($D95="Pénétro.",
IF(OR($E95=4,$E95=1,$E95=5),(PI()*DC$12^2)/4*(CY95*$W95*1000)/($H95*$B$5),(PI()*DC$12^2)/4*(CY95*$W95*1000)/($G95*$B$5)))),
IF($D95="Pressio.",
IF($E95=3,(PI()*DC$12^2)/4*(CY95*$W95*1000)/($H95*$B$5),(PI()*DC$12^2)/4*(CY95*$W95*1000)/($G95*$B$5)),
IF($D95="Pénétro.",
IF($E95=4,(PI()*DC$12^2)/4*(CY95*$W95*1000)/($H95*$B$5),(PI()*DC$12^2)/4*(CY95*$W95*1000)/($G95*$B$5))))))/10</f>
        <v>#N/A</v>
      </c>
      <c r="DD95" s="102" t="e">
        <f>(VLOOKUP($B$3,'Coeff EC7'!$T$39:$X$59,2,0)*DB95+VLOOKUP($B$3,'Coeff EC7'!$T$65:$X$85,2,0)*Model0.1C!DC95)/1.1</f>
        <v>#N/A</v>
      </c>
      <c r="DE95" s="102" t="e">
        <f>(VLOOKUP($B$3,'Coeff EC7'!$T$39:$X$59,3,0)*DB95+VLOOKUP($B$3,'Coeff EC7'!$T$65:$X$85,3,0)*Model0.1C!DC95)/0.9</f>
        <v>#N/A</v>
      </c>
      <c r="DF95" s="102" t="e">
        <f t="shared" si="186"/>
        <v>#N/A</v>
      </c>
      <c r="DG95" s="102" t="e">
        <f t="shared" si="187"/>
        <v>#N/A</v>
      </c>
      <c r="DH95" s="414" t="e">
        <f>IF(DH94=0,0,IF(AND(DD95&gt;charge_ELS_quasi,DE95&gt;Charge_ELS_freq,DF95&gt;charge_ELU,DG95&gt;charge_ELA,$B95&gt;NDC!$H$22-0.1+MIN(3*$DH$12,1.5)),0,1))</f>
        <v>#N/A</v>
      </c>
      <c r="DI95" s="86" t="b">
        <f t="shared" si="155"/>
        <v>0</v>
      </c>
      <c r="DJ95" s="86">
        <f t="shared" si="156"/>
        <v>0.5</v>
      </c>
      <c r="DK95" s="86">
        <f t="shared" si="157"/>
        <v>0.5</v>
      </c>
      <c r="DL95" s="30" t="e">
        <f t="shared" ca="1" si="188"/>
        <v>#DIV/0!</v>
      </c>
      <c r="DM95" s="85" t="e">
        <f ca="1">IF(CS95&lt;=Hypothèses!$V$7,Hypothèses!$W$7,IF(CS95&lt;=Hypothèses!$V$8,Hypothèses!$W$8,IF(CS95&lt;=Hypothèses!$V$9,Hypothèses!$W$9,IF(CS95&lt;=Hypothèses!$V$10,Hypothèses!$W$10,IF(CS95&lt;=Hypothèses!$V$11,Hypothèses!$W$11,IF(CS95&lt;=Hypothèses!$V$12,Hypothèses!$W$12,IF(CS95&lt;=Hypothèses!$V$13,Hypothèses!$W$13,IF(CS95&lt;=Hypothèses!$V$14,Hypothèses!$W$14,IF(CS95&lt;=Hypothèses!$V$15,Hypothèses!$W$15,IF(CS95&lt;=Hypothèses!$V$16,Hypothèses!$W$16,IF(CS95&lt;=Hypothèses!$V$17,Hypothèses!$W$17,IF(CS95&lt;=Hypothèses!$V$18,Hypothèses!$W$18,""))))))))))))</f>
        <v>#DIV/0!</v>
      </c>
      <c r="DN95" s="87" t="e">
        <f t="shared" ca="1" si="221"/>
        <v>#DIV/0!</v>
      </c>
      <c r="DO95" s="88" t="e">
        <f ca="1">IF(CS95&lt;=Hypothèses!$V$7,Hypothèses!$X$7,IF(CS95&lt;=Hypothèses!$V$8,Hypothèses!$X$8,IF(CS95&lt;=Hypothèses!$V$9,Hypothèses!$X$9,IF(CS95&lt;=Hypothèses!$V$10,Hypothèses!$X$10,IF(CS95&lt;=Hypothèses!$V$11,Hypothèses!$X$11,IF(CS95&lt;=Hypothèses!$V$12,Hypothèses!$X$12,IF(CS95&lt;=Hypothèses!$V$13,Hypothèses!$X$13,IF(CS95&lt;=Hypothèses!$V$14,Hypothèses!$X$14,IF(CS95&lt;=Hypothèses!$V$15,Hypothèses!$X$15,IF(CS95&lt;=Hypothèses!$V$16,Hypothèses!$X$16,IF(CS95&lt;=Hypothèses!$U$17,Hypothèses!$W$17,IF(CS95&lt;=Hypothèses!$U$18,Hypothèses!$W$18,""))))))))))))</f>
        <v>#DIV/0!</v>
      </c>
      <c r="DP95" s="95" t="e">
        <f t="shared" ca="1" si="189"/>
        <v>#DIV/0!</v>
      </c>
      <c r="DQ95" s="101" t="e">
        <f t="shared" si="228"/>
        <v>#N/A</v>
      </c>
      <c r="DR95" s="91" t="e">
        <f t="shared" si="158"/>
        <v>#N/A</v>
      </c>
      <c r="DS95" s="30" t="e">
        <f t="shared" si="210"/>
        <v>#N/A</v>
      </c>
      <c r="DT95" s="30" t="e">
        <f t="shared" si="211"/>
        <v>#N/A</v>
      </c>
      <c r="DU95" s="31" t="e">
        <f>IF(OR(Hypothèses!$B$4=17,Hypothèses!$B$4=18,Hypothèses!$B$4=19,Hypothèses!$B$4=20),
IF($D95="Pressio.",
IF(OR($E95=3,$E95=1,$E95=4),DT95,DS95),
IF($D95="Pénétro.",
IF(OR($E95=3,$E95=1,$E95=4),DT95,DS95))),IF($D95="Pressio.",
IF($E95=3,DT95,DS95),
IF($D95="Pénétro.",
IF($E95=4,DT95,DS95))))</f>
        <v>#N/A</v>
      </c>
      <c r="DV95" s="31" t="e">
        <f>(IF(OR(Hypothèses!$B$4=17,Hypothèses!$B$4=18,Hypothèses!$B$4=19,Hypothèses!$B$4=20),
IF($D95="Pressio.",
IF(OR($E95=3,$E95=1,$E95=4),(PI()*DV$12^2)/4*(DR95*$W95*1000)/($H95*$B$5),(PI()*DV$12^2)/4*(DR95*$W95*1000)/($G95*$B$5)),
IF($D95="Pénétro.",
IF(OR($E95=4,$E95=1,$E95=5),(PI()*DV$12^2)/4*(DR95*$W95*1000)/($H95*$B$5),(PI()*DV$12^2)/4*(DR95*$W95*1000)/($G95*$B$5)))),
IF($D95="Pressio.",
IF($E95=3,(PI()*DV$12^2)/4*(DR95*$W95*1000)/($H95*$B$5),(PI()*DV$12^2)/4*(DR95*$W95*1000)/($G95*$B$5)),
IF($D95="Pénétro.",
IF($E95=4,(PI()*DV$12^2)/4*(DR95*$W95*1000)/($H95*$B$5),(PI()*DV$12^2)/4*(DR95*$W95*1000)/($G95*$B$5))))))/10</f>
        <v>#N/A</v>
      </c>
      <c r="DW95" s="102" t="e">
        <f>(VLOOKUP($B$3,'Coeff EC7'!$T$39:$X$59,2,0)*DU95+VLOOKUP($B$3,'Coeff EC7'!$T$65:$X$85,2,0)*Model0.1C!DV95)/1.1</f>
        <v>#N/A</v>
      </c>
      <c r="DX95" s="102" t="e">
        <f>(VLOOKUP($B$3,'Coeff EC7'!$T$39:$X$59,3,0)*DU95+VLOOKUP($B$3,'Coeff EC7'!$T$65:$X$85,3,0)*Model0.1C!DV95)/0.9</f>
        <v>#N/A</v>
      </c>
      <c r="DY95" s="102" t="e">
        <f t="shared" si="190"/>
        <v>#N/A</v>
      </c>
      <c r="DZ95" s="102" t="e">
        <f t="shared" si="191"/>
        <v>#N/A</v>
      </c>
      <c r="EA95" s="414" t="e">
        <f>IF(EA94=0,0,IF(AND(DW95&gt;charge_ELS_quasi,DX95&gt;Charge_ELS_freq,DY95&gt;charge_ELU,DZ95&gt;charge_ELA,$B95&gt;NDC!$H$22-0.1+MIN(3*$EA$12,1.5)),0,1))</f>
        <v>#N/A</v>
      </c>
      <c r="EB95" s="86" t="b">
        <f t="shared" si="159"/>
        <v>0</v>
      </c>
      <c r="EC95" s="418">
        <f t="shared" si="160"/>
        <v>0.51</v>
      </c>
      <c r="ED95" s="86">
        <f t="shared" si="161"/>
        <v>0.51</v>
      </c>
      <c r="EE95" s="30" t="e">
        <f t="shared" ca="1" si="192"/>
        <v>#DIV/0!</v>
      </c>
      <c r="EF95" s="85" t="e">
        <f ca="1">IF(DL95&lt;=Hypothèses!$V$7,Hypothèses!$W$7,IF(DL95&lt;=Hypothèses!$V$8,Hypothèses!$W$8,IF(DL95&lt;=Hypothèses!$V$9,Hypothèses!$W$9,IF(DL95&lt;=Hypothèses!$V$10,Hypothèses!$W$10,IF(DL95&lt;=Hypothèses!$V$11,Hypothèses!$W$11,IF(DL95&lt;=Hypothèses!$V$12,Hypothèses!$W$12,IF(DL95&lt;=Hypothèses!$V$13,Hypothèses!$W$13,IF(DL95&lt;=Hypothèses!$V$14,Hypothèses!$W$14,IF(DL95&lt;=Hypothèses!$V$15,Hypothèses!$W$15,IF(DL95&lt;=Hypothèses!$V$16,Hypothèses!$W$16,IF(DL95&lt;=Hypothèses!$V$17,Hypothèses!$W$17,IF(DL95&lt;=Hypothèses!$V$18,Hypothèses!$W$18,""))))))))))))</f>
        <v>#DIV/0!</v>
      </c>
      <c r="EG95" s="87" t="e">
        <f t="shared" ca="1" si="222"/>
        <v>#DIV/0!</v>
      </c>
      <c r="EH95" s="88" t="e">
        <f ca="1">IF(DL95&lt;=Hypothèses!$V$7,Hypothèses!$X$7,IF(DL95&lt;=Hypothèses!$V$8,Hypothèses!$X$8,IF(DL95&lt;=Hypothèses!$V$9,Hypothèses!$X$9,IF(DL95&lt;=Hypothèses!$V$10,Hypothèses!$X$10,IF(DL95&lt;=Hypothèses!$V$11,Hypothèses!$X$11,IF(DL95&lt;=Hypothèses!$V$12,Hypothèses!$X$12,IF(DL95&lt;=Hypothèses!$V$13,Hypothèses!$X$13,IF(DL95&lt;=Hypothèses!$V$14,Hypothèses!$X$14,IF(DL95&lt;=Hypothèses!$V$15,Hypothèses!$X$15,IF(DL95&lt;=Hypothèses!$V$16,Hypothèses!$X$16,IF(DL95&lt;=Hypothèses!$U$17,Hypothèses!$W$17,IF(DL95&lt;=Hypothèses!$U$18,Hypothèses!$W$18,""))))))))))))</f>
        <v>#DIV/0!</v>
      </c>
      <c r="EI95" s="95" t="e">
        <f t="shared" ca="1" si="193"/>
        <v>#DIV/0!</v>
      </c>
      <c r="EJ95" s="101" t="e">
        <f t="shared" si="229"/>
        <v>#N/A</v>
      </c>
      <c r="EK95" s="91" t="e">
        <f t="shared" si="162"/>
        <v>#N/A</v>
      </c>
      <c r="EL95" s="30" t="e">
        <f t="shared" si="212"/>
        <v>#N/A</v>
      </c>
      <c r="EM95" s="30" t="e">
        <f t="shared" si="213"/>
        <v>#N/A</v>
      </c>
      <c r="EN95" s="31" t="e">
        <f>IF(OR(Hypothèses!$B$4=17,Hypothèses!$B$4=18,Hypothèses!$B$4=19,Hypothèses!$B$4=20),
IF($D95="Pressio.",
IF(OR($E95=3,$E95=1,$E95=4),EM95,EL95),
IF($D95="Pénétro.",
IF(OR($E95=3,$E95=1,$E95=4),EM95,EL95))),IF($D95="Pressio.",
IF($E95=3,EM95,EL95),
IF($D95="Pénétro.",
IF($E95=4,EM95,EL95))))</f>
        <v>#N/A</v>
      </c>
      <c r="EO95" s="31" t="e">
        <f>(IF(OR(Hypothèses!$B$4=17,Hypothèses!$B$4=18,Hypothèses!$B$4=19,Hypothèses!$B$4=20),
IF($D95="Pressio.",
IF(OR($E95=3,$E95=1,$E95=4),(PI()*EO$12^2)/4*(EK95*$W95*1000)/($H95*$B$5),(PI()*EO$12^2)/4*(EK95*$W95*1000)/($G95*$B$5)),
IF($D95="Pénétro.",
IF(OR($E95=4,$E95=1,$E95=5),(PI()*EO$12^2)/4*(EK95*$W95*1000)/($H95*$B$5),(PI()*EO$12^2)/4*(EK95*$W95*1000)/($G95*$B$5)))),
IF($D95="Pressio.",
IF($E95=3,(PI()*EO$12^2)/4*(EK95*$W95*1000)/($H95*$B$5),(PI()*EO$12^2)/4*(EK95*$W95*1000)/($G95*$B$5)),
IF($D95="Pénétro.",
IF($E95=4,(PI()*EO$12^2)/4*(EK95*$W95*1000)/($H95*$B$5),(PI()*EO$12^2)/4*(EK95*$W95*1000)/($G95*$B$5))))))/10</f>
        <v>#N/A</v>
      </c>
      <c r="EP95" s="102" t="e">
        <f>(VLOOKUP($B$3,'Coeff EC7'!$T$39:$X$59,2,0)*EN95+VLOOKUP($B$3,'Coeff EC7'!$T$65:$X$85,2,0)*Model0.1C!EO95)/1.1</f>
        <v>#N/A</v>
      </c>
      <c r="EQ95" s="102" t="e">
        <f>(VLOOKUP($B$3,'Coeff EC7'!$T$39:$X$59,3,0)*EN95+VLOOKUP($B$3,'Coeff EC7'!$T$65:$X$85,3,0)*Model0.1C!EO95)/0.9</f>
        <v>#N/A</v>
      </c>
      <c r="ER95" s="102" t="e">
        <f t="shared" si="194"/>
        <v>#N/A</v>
      </c>
      <c r="ES95" s="102" t="e">
        <f t="shared" si="195"/>
        <v>#N/A</v>
      </c>
      <c r="ET95" s="414" t="e">
        <f>IF(ET94=0,0,IF(AND(EP95&gt;charge_ELS_quasi,EQ95&gt;Charge_ELS_freq,ER95&gt;charge_ELU,ES95&gt;charge_ELA,$B95&gt;NDC!$H$22-0.1+MIN(3*$ET$12,1.5)),0,1))</f>
        <v>#N/A</v>
      </c>
      <c r="EU95" s="86" t="b">
        <f t="shared" si="163"/>
        <v>0</v>
      </c>
      <c r="EV95" s="86">
        <f t="shared" si="164"/>
        <v>0.61</v>
      </c>
      <c r="EW95" s="86">
        <f t="shared" si="165"/>
        <v>0.61</v>
      </c>
      <c r="EX95" s="30" t="e">
        <f t="shared" ca="1" si="196"/>
        <v>#DIV/0!</v>
      </c>
      <c r="EY95" s="85" t="e">
        <f ca="1">IF(EE95&lt;=Hypothèses!$V$7,Hypothèses!$W$7,IF(EE95&lt;=Hypothèses!$V$8,Hypothèses!$W$8,IF(EE95&lt;=Hypothèses!$V$9,Hypothèses!$W$9,IF(EE95&lt;=Hypothèses!$V$10,Hypothèses!$W$10,IF(EE95&lt;=Hypothèses!$V$11,Hypothèses!$W$11,IF(EE95&lt;=Hypothèses!$V$12,Hypothèses!$W$12,IF(EE95&lt;=Hypothèses!$V$13,Hypothèses!$W$13,IF(EE95&lt;=Hypothèses!$V$14,Hypothèses!$W$14,IF(EE95&lt;=Hypothèses!$V$15,Hypothèses!$W$15,IF(EE95&lt;=Hypothèses!$V$16,Hypothèses!$W$16,IF(EE95&lt;=Hypothèses!$V$17,Hypothèses!$W$17,IF(EE95&lt;=Hypothèses!$V$18,Hypothèses!$W$18,""))))))))))))</f>
        <v>#DIV/0!</v>
      </c>
      <c r="EZ95" s="87" t="e">
        <f t="shared" ca="1" si="223"/>
        <v>#DIV/0!</v>
      </c>
      <c r="FA95" s="88" t="e">
        <f ca="1">IF(EE95&lt;=Hypothèses!$V$7,Hypothèses!$X$7,IF(EE95&lt;=Hypothèses!$V$8,Hypothèses!$X$8,IF(EE95&lt;=Hypothèses!$V$9,Hypothèses!$X$9,IF(EE95&lt;=Hypothèses!$V$10,Hypothèses!$X$10,IF(EE95&lt;=Hypothèses!$V$11,Hypothèses!$X$11,IF(EE95&lt;=Hypothèses!$V$12,Hypothèses!$X$12,IF(EE95&lt;=Hypothèses!$V$13,Hypothèses!$X$13,IF(EE95&lt;=Hypothèses!$V$14,Hypothèses!$X$14,IF(EE95&lt;=Hypothèses!$V$15,Hypothèses!$X$15,IF(EE95&lt;=Hypothèses!$V$16,Hypothèses!$X$16,IF(EE95&lt;=Hypothèses!$U$17,Hypothèses!$W$17,IF(EE95&lt;=Hypothèses!$U$18,Hypothèses!$W$18,""))))))))))))</f>
        <v>#DIV/0!</v>
      </c>
      <c r="FB95" s="95" t="e">
        <f t="shared" ca="1" si="197"/>
        <v>#DIV/0!</v>
      </c>
      <c r="FC95" s="101" t="e">
        <f t="shared" si="230"/>
        <v>#N/A</v>
      </c>
      <c r="FD95" s="91" t="e">
        <f t="shared" si="166"/>
        <v>#N/A</v>
      </c>
      <c r="FE95" s="30" t="e">
        <f t="shared" si="214"/>
        <v>#N/A</v>
      </c>
      <c r="FF95" s="30" t="e">
        <f t="shared" si="215"/>
        <v>#N/A</v>
      </c>
      <c r="FG95" s="31" t="e">
        <f>IF(OR(Hypothèses!$B$4=17,Hypothèses!$B$4=18,Hypothèses!$B$4=19,Hypothèses!$B$4=20),
IF($D95="Pressio.",
IF(OR($E95=3,$E95=1,$E95=4),FF95,FE95),
IF($D95="Pénétro.",
IF(OR($E95=3,$E95=1,$E95=4),FF95,FE95))),IF($D95="Pressio.",
IF($E95=3,FF95,FE95),
IF($D95="Pénétro.",
IF($E95=4,FF95,FE95))))</f>
        <v>#N/A</v>
      </c>
      <c r="FH95" s="31" t="e">
        <f>(IF(OR(Hypothèses!$B$4=17,Hypothèses!$B$4=18,Hypothèses!$B$4=19,Hypothèses!$B$4=20),
IF($D95="Pressio.",
IF(OR($E95=3,$E95=1,$E95=4),(PI()*FH$12^2)/4*(FD95*$W95*1000)/($H95*$B$5),(PI()*FH$12^2)/4*(FD95*$W95*1000)/($G95*$B$5)),
IF($D95="Pénétro.",
IF(OR($E95=4,$E95=1,$E95=5),(PI()*FH$12^2)/4*(FD95*$W95*1000)/($H95*$B$5),(PI()*FH$12^2)/4*(FD95*$W95*1000)/($G95*$B$5)))),
IF($D95="Pressio.",
IF($E95=3,(PI()*FH$12^2)/4*(FD95*$W95*1000)/($H95*$B$5),(PI()*FH$12^2)/4*(FD95*$W95*1000)/($G95*$B$5)),
IF($D95="Pénétro.",
IF($E95=4,(PI()*FH$12^2)/4*(FD95*$W95*1000)/($H95*$B$5),(PI()*FH$12^2)/4*(FD95*$W95*1000)/($G95*$B$5))))))/10</f>
        <v>#N/A</v>
      </c>
      <c r="FI95" s="102" t="e">
        <f>(VLOOKUP($B$3,'Coeff EC7'!$T$39:$X$59,2,0)*FG95+VLOOKUP($B$3,'Coeff EC7'!$T$65:$X$85,2,0)*Model0.1C!FH95)/1.1</f>
        <v>#N/A</v>
      </c>
      <c r="FJ95" s="102" t="e">
        <f>(VLOOKUP($B$3,'Coeff EC7'!$T$39:$X$59,3,0)*FG95+VLOOKUP($B$3,'Coeff EC7'!$T$65:$X$85,3,0)*Model0.1C!FH95)/0.9</f>
        <v>#N/A</v>
      </c>
      <c r="FK95" s="102" t="e">
        <f t="shared" si="198"/>
        <v>#N/A</v>
      </c>
      <c r="FL95" s="102" t="e">
        <f t="shared" si="199"/>
        <v>#N/A</v>
      </c>
      <c r="FM95" s="414" t="e">
        <f>IF(FM94=0,0,IF(AND(FI95&gt;charge_ELS_quasi,FJ95&gt;Charge_ELS_freq,FK95&gt;charge_ELU,FL95&gt;charge_ELA,$B95&gt;NDC!$H$22-0.1+MIN(3*$FM$12,1.5)),0,1))</f>
        <v>#N/A</v>
      </c>
    </row>
    <row r="96" spans="1:169">
      <c r="A96" s="96">
        <f t="shared" si="167"/>
        <v>91.700000000000472</v>
      </c>
      <c r="B96" s="97">
        <v>8.3000000000000007</v>
      </c>
      <c r="C96" s="81">
        <f>IF(B96&lt;=Hypothèses!$C$7,Hypothèses!$A$7,IF(B96&lt;=Hypothèses!$C$8,Hypothèses!$A$8,IF(B96&lt;=Hypothèses!$C$9,Hypothèses!$A$9,IF(B96&lt;=Hypothèses!$C$10,Hypothèses!$A$10,IF(B96&lt;=Hypothèses!$C$11,Hypothèses!$A$11,IF(B96&lt;=Hypothèses!$C$12,Hypothèses!$A$12,IF(B96&lt;=Hypothèses!$C$13,Hypothèses!$A$13,IF(B96&lt;=Hypothèses!$C$14,Hypothèses!$A$14,IF(B96&lt;=Hypothèses!$C$15,Hypothèses!$A$15,IF(B96&lt;=Hypothèses!$C$16,Hypothèses!$A$16,IF(B96&lt;=Hypothèses!$C$17,Hypothèses!$A$17,IF(B96&lt;=Hypothèses!$C$18,Hypothèses!$A$18,C95))))))))))))</f>
        <v>11</v>
      </c>
      <c r="D96" s="82" t="str">
        <f>IF(B96&lt;=Hypothèses!$C$7,Hypothèses!$R$7,IF(B96&lt;=Hypothèses!$C$8,Hypothèses!$R$8,IF(B96&lt;=Hypothèses!$C$9,Hypothèses!$R$9,IF(B96&lt;=Hypothèses!$C$10,Hypothèses!$R$10,IF(B96&lt;=Hypothèses!$C$11,Hypothèses!$R$11,IF(B96&lt;=Hypothèses!$C$12,Hypothèses!$R$12,IF(B96&lt;=Hypothèses!$C$13,Hypothèses!$R$13,IF(B96&lt;=Hypothèses!$C$14,Hypothèses!$R$14,IF(B96&lt;=Hypothèses!$C$15,Hypothèses!$R$15,IF(B96&lt;=Hypothèses!$C$16,Hypothèses!$R$16,IF(B96&lt;=Hypothèses!$C$17,Hypothèses!$R$17,IF(B96&lt;=Hypothèses!$C$18,Hypothèses!$R$18,D95))))))))))))</f>
        <v>Pressio.</v>
      </c>
      <c r="E96" s="82" t="e">
        <f>IF(B96&lt;=Hypothèses!$C$7,Hypothèses!$G$7,IF(B96&lt;=Hypothèses!$C$8,Hypothèses!$G$8,IF(B96&lt;=Hypothèses!$C$9,Hypothèses!$G$9,IF(B96&lt;=Hypothèses!$C$10,Hypothèses!$G$10,IF(B96&lt;=Hypothèses!$C$11,Hypothèses!$G$11,IF(B96&lt;=Hypothèses!$C$12,Hypothèses!$G$12,IF(B96&lt;=Hypothèses!$C$13,Hypothèses!$G$13,IF(B96&lt;=Hypothèses!$C$14,Hypothèses!$G$14,IF(B96&lt;=Hypothèses!$C$15,Hypothèses!$G$15,IF(B96&lt;=Hypothèses!$C$16,Hypothèses!$G$16,IF(B96&lt;=Hypothèses!$C$17,Hypothèses!$G$17,IF(B96&lt;=Hypothèses!$C$18,Hypothèses!$G$18,E95))))))))))))</f>
        <v>#N/A</v>
      </c>
      <c r="F96" s="82" t="str">
        <f>IF(B96&lt;=Hypothèses!$C$7,Hypothèses!$F$7,IF(B96&lt;=Hypothèses!$C$8,Hypothèses!$F$8,IF(B96&lt;=Hypothèses!$C$9,Hypothèses!$F$9,IF(B96&lt;=Hypothèses!$C$10,Hypothèses!$F$10,IF(B96&lt;=Hypothèses!$C$11,Hypothèses!$F$11,IF(B96&lt;=Hypothèses!$C$12,Hypothèses!$F$12,IF(B96&lt;=Hypothèses!$C$13,Hypothèses!$F$13,IF(B96&lt;=Hypothèses!$C$14,Hypothèses!$F$14,IF(B96&lt;=Hypothèses!$C$15,Hypothèses!$F$15,IF(B96&lt;=Hypothèses!$C$16,Hypothèses!$F$16,IF(B96&lt;=Hypothèses!$C$17,Hypothèses!$F$17,IF(B96&lt;=Hypothèses!$C$18,Hypothèses!$F$18,F95))))))))))))</f>
        <v/>
      </c>
      <c r="G96" s="91">
        <f t="array" ref="G96">INDEX('Coeff EC7'!$U$7:$X$27,
MATCH(Model0.1C!$B$3,'Coeff EC7'!$T$7:$T$27,0),
MATCH(Model0.1C!$D96&amp;Model0.1C!$B$4,
'Coeff EC7'!$U$6:$X$6&amp;
'Coeff EC7'!$U$5:$X$5,0))</f>
        <v>1.1499999999999999</v>
      </c>
      <c r="H96" s="91">
        <f t="array" ref="H96">INDEX('Coeff EC7'!$Y$7:$AB$27,
MATCH(Model0.1C!$B$3,'Coeff EC7'!$T$7:$T$27,0),
MATCH(Model0.1C!$D96&amp;Model0.1C!$B$4,
'Coeff EC7'!$Y$6:$AB$6&amp;
'Coeff EC7'!$Y$5:$AB$5,0))</f>
        <v>1.4</v>
      </c>
      <c r="I96" s="83" t="e">
        <f>IF(B96&lt;=Hypothèses!$C$7,Hypothèses!$P$7,IF(B96&lt;=Hypothèses!$C$8,Hypothèses!$P$8,IF(B96&lt;=Hypothèses!$C$9,Hypothèses!$P$9,IF(B96&lt;=Hypothèses!$C$10,Hypothèses!$P$10,IF(B96&lt;=Hypothèses!$C$11,Hypothèses!$P$11,IF(B96&lt;=Hypothèses!$C$12,Hypothèses!$P$12,IF(B96&lt;=Hypothèses!$C$13,Hypothèses!$P$13,IF(B96&lt;=Hypothèses!$C$14,Hypothèses!$P$14,IF(B96&lt;=Hypothèses!$C$15,Hypothèses!$P$15,IF(B96&lt;=Hypothèses!$C$16,Hypothèses!$P$16,IF(B96&lt;=Hypothèses!$C$17,Hypothèses!$P$17,IF(B96&lt;=Hypothèses!$C$18,Hypothèses!$P$18,I95))))))))))))</f>
        <v>#N/A</v>
      </c>
      <c r="J96" s="91" t="e">
        <f t="array" ref="J96">INDEX('Coeff EC7'!$D$33:$Q$33,1,MATCH(D96&amp;E96,'Coeff EC7'!$D$31:$Q$31&amp;'Coeff EC7'!$D$32:$Q$32,0))</f>
        <v>#N/A</v>
      </c>
      <c r="K96" s="91" t="e">
        <f t="array" ref="K96">INDEX('Coeff EC7'!$D$34:$Q$34,1,MATCH(D96&amp;E96,'Coeff EC7'!$D$31:$Q$31&amp;'Coeff EC7'!$D$32:$Q$32,0))</f>
        <v>#N/A</v>
      </c>
      <c r="L96" s="91" t="e">
        <f t="array" ref="L96">INDEX('Coeff EC7'!$D$35:$Q$35,1,MATCH(D96&amp;E96,'Coeff EC7'!$D$31:$Q$31&amp;'Coeff EC7'!$D$32:$Q$32,0))</f>
        <v>#N/A</v>
      </c>
      <c r="M96" s="98" t="e">
        <f t="shared" si="131"/>
        <v>#N/A</v>
      </c>
      <c r="N96" s="99" t="e">
        <f t="array" ref="N96">INDEX('Coeff EC7'!$D$7:$Q$27,MATCH($B$3,'Coeff EC7'!$C$7:$C$27,0),MATCH(D96&amp;E96,'Coeff EC7'!$D$5:$Q$5&amp;'Coeff EC7'!$D$6:$Q$6,0))</f>
        <v>#N/A</v>
      </c>
      <c r="O96" s="99" t="e">
        <f t="array" ref="O96">INDEX('Coeff EC7'!$D$41:$Q$61,MATCH($B$3,'Coeff EC7'!$C$41:$C$61,0),MATCH(D96&amp;E96,'Coeff EC7'!$D$39:$Q$39&amp;'Coeff EC7'!$D$40:$Q$40,0))</f>
        <v>#N/A</v>
      </c>
      <c r="P96" s="30" t="e">
        <f t="shared" si="168"/>
        <v>#N/A</v>
      </c>
      <c r="Q96" s="100" t="e">
        <f t="shared" si="133"/>
        <v>#N/A</v>
      </c>
      <c r="R96" s="86" t="b">
        <f t="shared" si="134"/>
        <v>0</v>
      </c>
      <c r="S96" s="86">
        <f t="shared" si="132"/>
        <v>0.5</v>
      </c>
      <c r="T96" s="86">
        <f t="shared" si="135"/>
        <v>0.5</v>
      </c>
      <c r="U96" s="30" t="e">
        <f t="shared" ca="1" si="169"/>
        <v>#DIV/0!</v>
      </c>
      <c r="V96" s="85" t="str">
        <f>IF(B96&lt;=Hypothèses!$V$7,Hypothèses!$W$7,IF(B96&lt;=Hypothèses!$V$8,Hypothèses!$W$8,IF(B96&lt;=Hypothèses!$V$9,Hypothèses!$W$9,IF(B96&lt;=Hypothèses!$V$10,Hypothèses!$W$10,IF(B96&lt;=Hypothèses!$V$11,Hypothèses!$W$11,IF(B96&lt;=Hypothèses!$V$12,Hypothèses!$W$12,IF(B96&lt;=Hypothèses!$V$13,Hypothèses!$W$13,IF(B96&lt;=Hypothèses!$V$14,Hypothèses!$W$14,IF(B96&lt;=Hypothèses!$V$15,Hypothèses!$W$15,IF(B96&lt;=Hypothèses!$V$16,Hypothèses!$W$16,IF(B96&lt;=Hypothèses!$V$17,Hypothèses!$W$17,IF(B96&lt;=Hypothèses!$V$18,Hypothèses!$W$18,""))))))))))))</f>
        <v/>
      </c>
      <c r="W96" s="87" t="e">
        <f t="shared" ca="1" si="216"/>
        <v>#DIV/0!</v>
      </c>
      <c r="X96" s="88" t="str">
        <f>IF(B96&lt;=Hypothèses!$V$7,Hypothèses!$X$7,IF(B96&lt;=Hypothèses!$V$8,Hypothèses!$X$8,IF(B96&lt;=Hypothèses!$V$9,Hypothèses!$X$9,IF(B96&lt;=Hypothèses!$V$10,Hypothèses!$X$10,IF(B96&lt;=Hypothèses!$V$11,Hypothèses!$X$11,IF(B96&lt;=Hypothèses!$V$12,Hypothèses!$X$12,IF(B96&lt;=Hypothèses!$V$13,Hypothèses!$X$13,IF(B96&lt;=Hypothèses!$V$14,Hypothèses!$X$14,IF(B96&lt;=Hypothèses!$V$15,Hypothèses!$X$15,IF(B96&lt;=Hypothèses!$V$16,Hypothèses!$X$16,IF(B96&lt;=Hypothèses!$U$17,Hypothèses!$W$17,IF(B96&lt;=Hypothèses!$U$18,Hypothèses!$W$18,""))))))))))))</f>
        <v/>
      </c>
      <c r="Y96" s="95" t="e">
        <f t="shared" ca="1" si="136"/>
        <v>#DIV/0!</v>
      </c>
      <c r="Z96" s="101" t="e">
        <f t="shared" si="137"/>
        <v>#N/A</v>
      </c>
      <c r="AA96" s="91" t="e">
        <f t="shared" si="138"/>
        <v>#N/A</v>
      </c>
      <c r="AB96" s="30" t="e">
        <f t="shared" si="200"/>
        <v>#N/A</v>
      </c>
      <c r="AC96" s="30" t="e">
        <f t="shared" si="201"/>
        <v>#N/A</v>
      </c>
      <c r="AD96" s="31" t="e">
        <f>IF(OR(Hypothèses!$B$4=17,Hypothèses!$B$4=18,Hypothèses!$B$4=19,Hypothèses!$B$4=20),
IF($D96="Pressio.",
IF(OR($E96=3,$E96=1,$E96=4),AC96,AB96),
IF($D96="Pénétro.",
IF(OR($E96=3,$E96=1,$E96=4),AC96,AB96))),IF($D96="Pressio.",
IF($E96=3,AC96,AB96),
IF($D96="Pénétro.",
IF($E96=4,AC96,AB96))))</f>
        <v>#N/A</v>
      </c>
      <c r="AE96" s="31" t="e">
        <f>(IF(OR(Hypothèses!$B$4=17,Hypothèses!$B$4=18,Hypothèses!$B$4=19,Hypothèses!$B$4=20),
IF($D96="Pressio.",
IF(OR($E96=3,$E96=1,$E96=4),(PI()*AE$12^2)/4*(AA96*$W96*1000)/($H96*$B$5),(PI()*AE$12^2)/4*(AA96*$W96*1000)/($G96*$B$5)),
IF($D96="Pénétro.",
IF(OR($E96=4,$E96=1,$E96=5),(PI()*AE$12^2)/4*(AA96*$W96*1000)/($H96*$B$5),(PI()*AE$12^2)/4*(AA96*$W96*1000)/($G96*$B$5)))),
IF($D96="Pressio.",
IF($E96=3,(PI()*AE$12^2)/4*(AA96*$W96*1000)/($H96*$B$5),(PI()*AE$12^2)/4*(AA96*$W96*1000)/($G96*$B$5)),
IF($D96="Pénétro.",
IF($E96=4,(PI()*AE$12^2)/4*(AA96*$W96*1000)/($H96*$B$5),(PI()*AE$12^2)/4*(AA96*$W96*1000)/($G96*$B$5))))))/10</f>
        <v>#N/A</v>
      </c>
      <c r="AF96" s="102" t="e">
        <f>(VLOOKUP($B$3,'Coeff EC7'!$T$39:$X$59,2,0)*AD96+VLOOKUP($B$3,'Coeff EC7'!$T$65:$X$85,2,0)*Model0.1C!AE96)/1.1</f>
        <v>#N/A</v>
      </c>
      <c r="AG96" s="102" t="e">
        <f>(VLOOKUP($B$3,'Coeff EC7'!$T$39:$X$59,3,0)*AD96+VLOOKUP($B$3,'Coeff EC7'!$T$65:$X$85,3,0)*Model0.1C!AE96)/0.9</f>
        <v>#N/A</v>
      </c>
      <c r="AH96" s="102" t="e">
        <f t="shared" si="139"/>
        <v>#N/A</v>
      </c>
      <c r="AI96" s="102" t="e">
        <f t="shared" si="140"/>
        <v>#N/A</v>
      </c>
      <c r="AJ96" s="414" t="e">
        <f>IF(AJ95=0,0,IF(AND(AF96&gt;charge_ELS_quasi,AG96&gt;Charge_ELS_freq,AH96&gt;charge_ELU,AI96&gt;charge_ELA,$B96&gt;NDC!$H$22-0.1+MIN(3*$AJ$12,1.5)),0,1))</f>
        <v>#N/A</v>
      </c>
      <c r="AK96" s="86" t="b">
        <f t="shared" si="141"/>
        <v>0</v>
      </c>
      <c r="AL96" s="86">
        <f t="shared" si="170"/>
        <v>0.5</v>
      </c>
      <c r="AM96" s="86">
        <f t="shared" si="142"/>
        <v>0.5</v>
      </c>
      <c r="AN96" s="30" t="e">
        <f t="shared" ca="1" si="171"/>
        <v>#DIV/0!</v>
      </c>
      <c r="AO96" s="85" t="e">
        <f ca="1">IF(U96&lt;=Hypothèses!$V$7,Hypothèses!$W$7,IF(U96&lt;=Hypothèses!$V$8,Hypothèses!$W$8,IF(U96&lt;=Hypothèses!$V$9,Hypothèses!$W$9,IF(U96&lt;=Hypothèses!$V$10,Hypothèses!$W$10,IF(U96&lt;=Hypothèses!$V$11,Hypothèses!$W$11,IF(U96&lt;=Hypothèses!$V$12,Hypothèses!$W$12,IF(U96&lt;=Hypothèses!$V$13,Hypothèses!$W$13,IF(U96&lt;=Hypothèses!$V$14,Hypothèses!$W$14,IF(U96&lt;=Hypothèses!$V$15,Hypothèses!$W$15,IF(U96&lt;=Hypothèses!$V$16,Hypothèses!$W$16,IF(U96&lt;=Hypothèses!$V$17,Hypothèses!$W$17,IF(U96&lt;=Hypothèses!$V$18,Hypothèses!$W$18,""))))))))))))</f>
        <v>#DIV/0!</v>
      </c>
      <c r="AP96" s="87" t="e">
        <f t="shared" ca="1" si="217"/>
        <v>#DIV/0!</v>
      </c>
      <c r="AQ96" s="88" t="e">
        <f ca="1">IF(U96&lt;=Hypothèses!$V$7,Hypothèses!$X$7,IF(U96&lt;=Hypothèses!$V$8,Hypothèses!$X$8,IF(U96&lt;=Hypothèses!$V$9,Hypothèses!$X$9,IF(U96&lt;=Hypothèses!$V$10,Hypothèses!$X$10,IF(U96&lt;=Hypothèses!$V$11,Hypothèses!$X$11,IF(U96&lt;=Hypothèses!$V$12,Hypothèses!$X$12,IF(U96&lt;=Hypothèses!$V$13,Hypothèses!$X$13,IF(U96&lt;=Hypothèses!$V$14,Hypothèses!$X$14,IF(U96&lt;=Hypothèses!$V$15,Hypothèses!$X$15,IF(U96&lt;=Hypothèses!$V$16,Hypothèses!$X$16,IF(U96&lt;=Hypothèses!$U$17,Hypothèses!$W$17,IF(U96&lt;=Hypothèses!$U$18,Hypothèses!$W$18,""))))))))))))</f>
        <v>#DIV/0!</v>
      </c>
      <c r="AR96" s="95" t="e">
        <f t="shared" ca="1" si="172"/>
        <v>#DIV/0!</v>
      </c>
      <c r="AS96" s="101" t="e">
        <f t="shared" si="224"/>
        <v>#N/A</v>
      </c>
      <c r="AT96" s="91" t="e">
        <f t="shared" si="143"/>
        <v>#N/A</v>
      </c>
      <c r="AU96" s="30" t="e">
        <f t="shared" si="202"/>
        <v>#N/A</v>
      </c>
      <c r="AV96" s="30" t="e">
        <f t="shared" si="203"/>
        <v>#N/A</v>
      </c>
      <c r="AW96" s="31" t="e">
        <f>IF(OR(Hypothèses!$B$4=17,Hypothèses!$B$4=18,Hypothèses!$B$4=19,Hypothèses!$B$4=20),
IF($D96="Pressio.",
IF(OR($E96=3,$E96=1,$E96=4),AV96,AU96),
IF($D96="Pénétro.",
IF(OR($E96=3,$E96=1,$E96=4),AV96,AU96))),IF($D96="Pressio.",
IF($E96=3,AV96,AU96),
IF($D96="Pénétro.",
IF($E96=4,AV96,AU96))))</f>
        <v>#N/A</v>
      </c>
      <c r="AX96" s="31" t="e">
        <f>(IF(OR(Hypothèses!$B$4=17,Hypothèses!$B$4=18,Hypothèses!$B$4=19,Hypothèses!$B$4=20),
IF($D96="Pressio.",
IF(OR($E96=3,$E96=1,$E96=4),(PI()*AX$12^2)/4*(AT96*$W96*1000)/($H96*$B$5),(PI()*AX$12^2)/4*(AT96*$W96*1000)/($G96*$B$5)),
IF($D96="Pénétro.",
IF(OR($E96=4,$E96=1,$E96=5),(PI()*AX$12^2)/4*(AT96*$W96*1000)/($H96*$B$5),(PI()*AX$12^2)/4*(AT96*$W96*1000)/($G96*$B$5)))),
IF($D96="Pressio.",
IF($E96=3,(PI()*AX$12^2)/4*(AT96*$W96*1000)/($H96*$B$5),(PI()*AX$12^2)/4*(AT96*$W96*1000)/($G96*$B$5)),
IF($D96="Pénétro.",
IF($E96=4,(PI()*AX$12^2)/4*(AT96*$W96*1000)/($H96*$B$5),(PI()*AX$12^2)/4*(AT96*$W96*1000)/($G96*$B$5))))))/10</f>
        <v>#N/A</v>
      </c>
      <c r="AY96" s="102" t="e">
        <f>(VLOOKUP($B$3,'Coeff EC7'!$T$39:$X$59,2,0)*AW96+VLOOKUP($B$3,'Coeff EC7'!$T$65:$X$85,2,0)*Model0.1C!AX96)/1.1</f>
        <v>#N/A</v>
      </c>
      <c r="AZ96" s="102" t="e">
        <f>(VLOOKUP($B$3,'Coeff EC7'!$T$39:$X$59,3,0)*AW96+VLOOKUP($B$3,'Coeff EC7'!$T$65:$X$85,3,0)*Model0.1C!AX96)/0.9</f>
        <v>#N/A</v>
      </c>
      <c r="BA96" s="102" t="e">
        <f t="shared" si="173"/>
        <v>#N/A</v>
      </c>
      <c r="BB96" s="102" t="e">
        <f t="shared" si="174"/>
        <v>#N/A</v>
      </c>
      <c r="BC96" s="414" t="e">
        <f>IF(BC95=0,0,IF(AND(AY96&gt;charge_ELS_quasi,AZ96&gt;Charge_ELS_freq,BA96&gt;charge_ELU,BB96&gt;charge_ELA,$B96&gt;NDC!$H$22-0.1+MIN(3*$BC$12,1.5)),0,1))</f>
        <v>#N/A</v>
      </c>
      <c r="BD96" s="86" t="b">
        <f t="shared" si="144"/>
        <v>0</v>
      </c>
      <c r="BE96" s="86">
        <f t="shared" si="175"/>
        <v>0.5</v>
      </c>
      <c r="BF96" s="86">
        <f t="shared" si="145"/>
        <v>0.5</v>
      </c>
      <c r="BG96" s="30" t="e">
        <f t="shared" ca="1" si="176"/>
        <v>#DIV/0!</v>
      </c>
      <c r="BH96" s="85" t="e">
        <f ca="1">IF(AN96&lt;=Hypothèses!$V$7,Hypothèses!$W$7,IF(AN96&lt;=Hypothèses!$V$8,Hypothèses!$W$8,IF(AN96&lt;=Hypothèses!$V$9,Hypothèses!$W$9,IF(AN96&lt;=Hypothèses!$V$10,Hypothèses!$W$10,IF(AN96&lt;=Hypothèses!$V$11,Hypothèses!$W$11,IF(AN96&lt;=Hypothèses!$V$12,Hypothèses!$W$12,IF(AN96&lt;=Hypothèses!$V$13,Hypothèses!$W$13,IF(AN96&lt;=Hypothèses!$V$14,Hypothèses!$W$14,IF(AN96&lt;=Hypothèses!$V$15,Hypothèses!$W$15,IF(AN96&lt;=Hypothèses!$V$16,Hypothèses!$W$16,IF(AN96&lt;=Hypothèses!$V$17,Hypothèses!$W$17,IF(AN96&lt;=Hypothèses!$V$18,Hypothèses!$W$18,""))))))))))))</f>
        <v>#DIV/0!</v>
      </c>
      <c r="BI96" s="87" t="e">
        <f t="shared" ca="1" si="218"/>
        <v>#DIV/0!</v>
      </c>
      <c r="BJ96" s="88" t="e">
        <f ca="1">IF(AN96&lt;=Hypothèses!$V$7,Hypothèses!$X$7,IF(AN96&lt;=Hypothèses!$V$8,Hypothèses!$X$8,IF(AN96&lt;=Hypothèses!$V$9,Hypothèses!$X$9,IF(AN96&lt;=Hypothèses!$V$10,Hypothèses!$X$10,IF(AN96&lt;=Hypothèses!$V$11,Hypothèses!$X$11,IF(AN96&lt;=Hypothèses!$V$12,Hypothèses!$X$12,IF(AN96&lt;=Hypothèses!$V$13,Hypothèses!$X$13,IF(AN96&lt;=Hypothèses!$V$14,Hypothèses!$X$14,IF(AN96&lt;=Hypothèses!$V$15,Hypothèses!$X$15,IF(AN96&lt;=Hypothèses!$V$16,Hypothèses!$X$16,IF(AN96&lt;=Hypothèses!$U$17,Hypothèses!$W$17,IF(AN96&lt;=Hypothèses!$U$18,Hypothèses!$W$18,""))))))))))))</f>
        <v>#DIV/0!</v>
      </c>
      <c r="BK96" s="95" t="e">
        <f t="shared" ca="1" si="177"/>
        <v>#DIV/0!</v>
      </c>
      <c r="BL96" s="101" t="e">
        <f t="shared" si="225"/>
        <v>#N/A</v>
      </c>
      <c r="BM96" s="91" t="e">
        <f t="shared" si="146"/>
        <v>#N/A</v>
      </c>
      <c r="BN96" s="30" t="e">
        <f t="shared" si="204"/>
        <v>#N/A</v>
      </c>
      <c r="BO96" s="30" t="e">
        <f t="shared" si="205"/>
        <v>#N/A</v>
      </c>
      <c r="BP96" s="31" t="e">
        <f>IF(OR(Hypothèses!$B$4=17,Hypothèses!$B$4=18,Hypothèses!$B$4=19,Hypothèses!$B$4=20),
IF($D96="Pressio.",
IF(OR($E96=3,$E96=1,$E96=4),BO96,BN96),
IF($D96="Pénétro.",
IF(OR($E96=3,$E96=1,$E96=4),BO96,BN96))),IF($D96="Pressio.",
IF($E96=3,BO96,BN96),
IF($D96="Pénétro.",
IF($E96=4,BO96,BN96))))</f>
        <v>#N/A</v>
      </c>
      <c r="BQ96" s="31" t="e">
        <f>(IF(OR(Hypothèses!$B$4=17,Hypothèses!$B$4=18,Hypothèses!$B$4=19,Hypothèses!$B$4=20),
IF($D96="Pressio.",
IF(OR($E96=3,$E96=1,$E96=4),(PI()*BQ$12^2)/4*(BM96*$W96*1000)/($H96*$B$5),(PI()*BQ$12^2)/4*(BM96*$W96*1000)/($G96*$B$5)),
IF($D96="Pénétro.",
IF(OR($E96=4,$E96=1,$E96=5),(PI()*BQ$12^2)/4*(BM96*$W96*1000)/($H96*$B$5),(PI()*BQ$12^2)/4*(BM96*$W96*1000)/($G96*$B$5)))),
IF($D96="Pressio.",
IF($E96=3,(PI()*BQ$12^2)/4*(BM96*$W96*1000)/($H96*$B$5),(PI()*BQ$12^2)/4*(BM96*$W96*1000)/($G96*$B$5)),
IF($D96="Pénétro.",
IF($E96=4,(PI()*BQ$12^2)/4*(BM96*$W96*1000)/($H96*$B$5),(PI()*BQ$12^2)/4*(BM96*$W96*1000)/($G96*$B$5))))))/10</f>
        <v>#N/A</v>
      </c>
      <c r="BR96" s="102" t="e">
        <f>(VLOOKUP($B$3,'Coeff EC7'!$T$39:$X$59,2,0)*BP96+VLOOKUP($B$3,'Coeff EC7'!$T$65:$X$85,2,0)*Model0.1C!BQ96)/1.1</f>
        <v>#N/A</v>
      </c>
      <c r="BS96" s="102" t="e">
        <f>(VLOOKUP($B$3,'Coeff EC7'!$T$39:$X$59,3,0)*BP96+VLOOKUP($B$3,'Coeff EC7'!$T$65:$X$85,3,0)*Model0.1C!BQ96)/0.9</f>
        <v>#N/A</v>
      </c>
      <c r="BT96" s="102" t="e">
        <f t="shared" si="178"/>
        <v>#N/A</v>
      </c>
      <c r="BU96" s="102" t="e">
        <f t="shared" si="179"/>
        <v>#N/A</v>
      </c>
      <c r="BV96" s="414" t="e">
        <f>IF(BV95=0,0,IF(AND(BR96&gt;charge_ELS_quasi,BS96&gt;Charge_ELS_freq,BT96&gt;charge_ELU,BU96&gt;charge_ELA,$B96&gt;NDC!$H$22-0.1+MIN(3*$BV$12,1.5)),0,1))</f>
        <v>#N/A</v>
      </c>
      <c r="BW96" s="86" t="b">
        <f t="shared" si="147"/>
        <v>0</v>
      </c>
      <c r="BX96" s="86">
        <f t="shared" si="148"/>
        <v>0.5</v>
      </c>
      <c r="BY96" s="86">
        <f t="shared" si="149"/>
        <v>0.5</v>
      </c>
      <c r="BZ96" s="30" t="e">
        <f t="shared" ca="1" si="180"/>
        <v>#DIV/0!</v>
      </c>
      <c r="CA96" s="85" t="e">
        <f ca="1">IF(BG96&lt;=Hypothèses!$V$7,Hypothèses!$W$7,IF(BG96&lt;=Hypothèses!$V$8,Hypothèses!$W$8,IF(BG96&lt;=Hypothèses!$V$9,Hypothèses!$W$9,IF(BG96&lt;=Hypothèses!$V$10,Hypothèses!$W$10,IF(BG96&lt;=Hypothèses!$V$11,Hypothèses!$W$11,IF(BG96&lt;=Hypothèses!$V$12,Hypothèses!$W$12,IF(BG96&lt;=Hypothèses!$V$13,Hypothèses!$W$13,IF(BG96&lt;=Hypothèses!$V$14,Hypothèses!$W$14,IF(BG96&lt;=Hypothèses!$V$15,Hypothèses!$W$15,IF(BG96&lt;=Hypothèses!$V$16,Hypothèses!$W$16,IF(BG96&lt;=Hypothèses!$V$17,Hypothèses!$W$17,IF(BG96&lt;=Hypothèses!$V$18,Hypothèses!$W$18,""))))))))))))</f>
        <v>#DIV/0!</v>
      </c>
      <c r="CB96" s="87" t="e">
        <f t="shared" ca="1" si="219"/>
        <v>#DIV/0!</v>
      </c>
      <c r="CC96" s="88" t="e">
        <f ca="1">IF(BG96&lt;=Hypothèses!$V$7,Hypothèses!$X$7,IF(BG96&lt;=Hypothèses!$V$8,Hypothèses!$X$8,IF(BG96&lt;=Hypothèses!$V$9,Hypothèses!$X$9,IF(BG96&lt;=Hypothèses!$V$10,Hypothèses!$X$10,IF(BG96&lt;=Hypothèses!$V$11,Hypothèses!$X$11,IF(BG96&lt;=Hypothèses!$V$12,Hypothèses!$X$12,IF(BG96&lt;=Hypothèses!$V$13,Hypothèses!$X$13,IF(BG96&lt;=Hypothèses!$V$14,Hypothèses!$X$14,IF(BG96&lt;=Hypothèses!$V$15,Hypothèses!$X$15,IF(BG96&lt;=Hypothèses!$V$16,Hypothèses!$X$16,IF(BG96&lt;=Hypothèses!$U$17,Hypothèses!$W$17,IF(BG96&lt;=Hypothèses!$U$18,Hypothèses!$W$18,""))))))))))))</f>
        <v>#DIV/0!</v>
      </c>
      <c r="CD96" s="95" t="e">
        <f t="shared" ca="1" si="181"/>
        <v>#DIV/0!</v>
      </c>
      <c r="CE96" s="101" t="e">
        <f t="shared" si="226"/>
        <v>#N/A</v>
      </c>
      <c r="CF96" s="91" t="e">
        <f t="shared" si="150"/>
        <v>#N/A</v>
      </c>
      <c r="CG96" s="30" t="e">
        <f t="shared" si="206"/>
        <v>#N/A</v>
      </c>
      <c r="CH96" s="30" t="e">
        <f t="shared" si="207"/>
        <v>#N/A</v>
      </c>
      <c r="CI96" s="31" t="e">
        <f>IF(OR(Hypothèses!$B$4=17,Hypothèses!$B$4=18,Hypothèses!$B$4=19,Hypothèses!$B$4=20),
IF($D96="Pressio.",
IF(OR($E96=3,$E96=1,$E96=4),CH96,CG96),
IF($D96="Pénétro.",
IF(OR($E96=3,$E96=1,$E96=4),CH96,CG96))),IF($D96="Pressio.",
IF($E96=3,CH96,CG96),
IF($D96="Pénétro.",
IF($E96=4,CH96,CG96))))</f>
        <v>#N/A</v>
      </c>
      <c r="CJ96" s="31" t="e">
        <f>(IF(OR(Hypothèses!$B$4=17,Hypothèses!$B$4=18,Hypothèses!$B$4=19,Hypothèses!$B$4=20),
IF($D96="Pressio.",
IF(OR($E96=3,$E96=1,$E96=4),(PI()*CJ$12^2)/4*(CF96*$W96*1000)/($H96*$B$5),(PI()*CJ$12^2)/4*(CF96*$W96*1000)/($G96*$B$5)),
IF($D96="Pénétro.",
IF(OR($E96=4,$E96=1,$E96=5),(PI()*CJ$12^2)/4*(CF96*$W96*1000)/($H96*$B$5),(PI()*CJ$12^2)/4*(CF96*$W96*1000)/($G96*$B$5)))),
IF($D96="Pressio.",
IF($E96=3,(PI()*CJ$12^2)/4*(CF96*$W96*1000)/($H96*$B$5),(PI()*CJ$12^2)/4*(CF96*$W96*1000)/($G96*$B$5)),
IF($D96="Pénétro.",
IF($E96=4,(PI()*CJ$12^2)/4*(CF96*$W96*1000)/($H96*$B$5),(PI()*CJ$12^2)/4*(CF96*$W96*1000)/($G96*$B$5))))))/10</f>
        <v>#N/A</v>
      </c>
      <c r="CK96" s="102" t="e">
        <f>(VLOOKUP($B$3,'Coeff EC7'!$T$39:$X$59,2,0)*CI96+VLOOKUP($B$3,'Coeff EC7'!$T$65:$X$85,2,0)*Model0.1C!CJ96)/1.1</f>
        <v>#N/A</v>
      </c>
      <c r="CL96" s="102" t="e">
        <f>(VLOOKUP($B$3,'Coeff EC7'!$T$39:$X$59,3,0)*CI96+VLOOKUP($B$3,'Coeff EC7'!$T$65:$X$85,3,0)*Model0.1C!CJ96)/0.9</f>
        <v>#N/A</v>
      </c>
      <c r="CM96" s="102" t="e">
        <f t="shared" si="182"/>
        <v>#N/A</v>
      </c>
      <c r="CN96" s="102" t="e">
        <f t="shared" si="183"/>
        <v>#N/A</v>
      </c>
      <c r="CO96" s="414" t="e">
        <f>IF(CO95=0,0,IF(AND(CK96&gt;charge_ELS_quasi,CL96&gt;Charge_ELS_freq,CM96&gt;charge_ELU,CN96&gt;charge_ELA,$B96&gt;NDC!$H$22-0.1+MIN(3*$CO$12,1.5)),0,1))</f>
        <v>#N/A</v>
      </c>
      <c r="CP96" s="86" t="b">
        <f t="shared" si="151"/>
        <v>0</v>
      </c>
      <c r="CQ96" s="86">
        <f t="shared" si="152"/>
        <v>0.5</v>
      </c>
      <c r="CR96" s="86">
        <f t="shared" si="153"/>
        <v>0.5</v>
      </c>
      <c r="CS96" s="30" t="e">
        <f t="shared" ca="1" si="184"/>
        <v>#DIV/0!</v>
      </c>
      <c r="CT96" s="85" t="e">
        <f ca="1">IF(BZ96&lt;=Hypothèses!$V$7,Hypothèses!$W$7,IF(BZ96&lt;=Hypothèses!$V$8,Hypothèses!$W$8,IF(BZ96&lt;=Hypothèses!$V$9,Hypothèses!$W$9,IF(BZ96&lt;=Hypothèses!$V$10,Hypothèses!$W$10,IF(BZ96&lt;=Hypothèses!$V$11,Hypothèses!$W$11,IF(BZ96&lt;=Hypothèses!$V$12,Hypothèses!$W$12,IF(BZ96&lt;=Hypothèses!$V$13,Hypothèses!$W$13,IF(BZ96&lt;=Hypothèses!$V$14,Hypothèses!$W$14,IF(BZ96&lt;=Hypothèses!$V$15,Hypothèses!$W$15,IF(BZ96&lt;=Hypothèses!$V$16,Hypothèses!$W$16,IF(BZ96&lt;=Hypothèses!$V$17,Hypothèses!$W$17,IF(BZ96&lt;=Hypothèses!$V$18,Hypothèses!$W$18,""))))))))))))</f>
        <v>#DIV/0!</v>
      </c>
      <c r="CU96" s="87" t="e">
        <f t="shared" ca="1" si="220"/>
        <v>#DIV/0!</v>
      </c>
      <c r="CV96" s="88" t="e">
        <f ca="1">IF(BZ96&lt;=Hypothèses!$V$7,Hypothèses!$X$7,IF(BZ96&lt;=Hypothèses!$V$8,Hypothèses!$X$8,IF(BZ96&lt;=Hypothèses!$V$9,Hypothèses!$X$9,IF(BZ96&lt;=Hypothèses!$V$10,Hypothèses!$X$10,IF(BZ96&lt;=Hypothèses!$V$11,Hypothèses!$X$11,IF(BZ96&lt;=Hypothèses!$V$12,Hypothèses!$X$12,IF(BZ96&lt;=Hypothèses!$V$13,Hypothèses!$X$13,IF(BZ96&lt;=Hypothèses!$V$14,Hypothèses!$X$14,IF(BZ96&lt;=Hypothèses!$V$15,Hypothèses!$X$15,IF(BZ96&lt;=Hypothèses!$V$16,Hypothèses!$X$16,IF(BZ96&lt;=Hypothèses!$U$17,Hypothèses!$W$17,IF(BZ96&lt;=Hypothèses!$U$18,Hypothèses!$W$18,""))))))))))))</f>
        <v>#DIV/0!</v>
      </c>
      <c r="CW96" s="95" t="e">
        <f t="shared" ca="1" si="185"/>
        <v>#DIV/0!</v>
      </c>
      <c r="CX96" s="101" t="e">
        <f t="shared" si="227"/>
        <v>#N/A</v>
      </c>
      <c r="CY96" s="91" t="e">
        <f t="shared" si="154"/>
        <v>#N/A</v>
      </c>
      <c r="CZ96" s="30" t="e">
        <f t="shared" si="208"/>
        <v>#N/A</v>
      </c>
      <c r="DA96" s="30" t="e">
        <f t="shared" si="209"/>
        <v>#N/A</v>
      </c>
      <c r="DB96" s="31" t="e">
        <f>IF(OR(Hypothèses!$B$4=17,Hypothèses!$B$4=18,Hypothèses!$B$4=19,Hypothèses!$B$4=20),
IF($D96="Pressio.",
IF(OR($E96=3,$E96=1,$E96=4),DA96,CZ96),
IF($D96="Pénétro.",
IF(OR($E96=3,$E96=1,$E96=4),DA96,CZ96))),IF($D96="Pressio.",
IF($E96=3,DA96,CZ96),
IF($D96="Pénétro.",
IF($E96=4,DA96,CZ96))))</f>
        <v>#N/A</v>
      </c>
      <c r="DC96" s="31" t="e">
        <f>(IF(OR(Hypothèses!$B$4=17,Hypothèses!$B$4=18,Hypothèses!$B$4=19,Hypothèses!$B$4=20),
IF($D96="Pressio.",
IF(OR($E96=3,$E96=1,$E96=4),(PI()*DC$12^2)/4*(CY96*$W96*1000)/($H96*$B$5),(PI()*DC$12^2)/4*(CY96*$W96*1000)/($G96*$B$5)),
IF($D96="Pénétro.",
IF(OR($E96=4,$E96=1,$E96=5),(PI()*DC$12^2)/4*(CY96*$W96*1000)/($H96*$B$5),(PI()*DC$12^2)/4*(CY96*$W96*1000)/($G96*$B$5)))),
IF($D96="Pressio.",
IF($E96=3,(PI()*DC$12^2)/4*(CY96*$W96*1000)/($H96*$B$5),(PI()*DC$12^2)/4*(CY96*$W96*1000)/($G96*$B$5)),
IF($D96="Pénétro.",
IF($E96=4,(PI()*DC$12^2)/4*(CY96*$W96*1000)/($H96*$B$5),(PI()*DC$12^2)/4*(CY96*$W96*1000)/($G96*$B$5))))))/10</f>
        <v>#N/A</v>
      </c>
      <c r="DD96" s="102" t="e">
        <f>(VLOOKUP($B$3,'Coeff EC7'!$T$39:$X$59,2,0)*DB96+VLOOKUP($B$3,'Coeff EC7'!$T$65:$X$85,2,0)*Model0.1C!DC96)/1.1</f>
        <v>#N/A</v>
      </c>
      <c r="DE96" s="102" t="e">
        <f>(VLOOKUP($B$3,'Coeff EC7'!$T$39:$X$59,3,0)*DB96+VLOOKUP($B$3,'Coeff EC7'!$T$65:$X$85,3,0)*Model0.1C!DC96)/0.9</f>
        <v>#N/A</v>
      </c>
      <c r="DF96" s="102" t="e">
        <f t="shared" si="186"/>
        <v>#N/A</v>
      </c>
      <c r="DG96" s="102" t="e">
        <f t="shared" si="187"/>
        <v>#N/A</v>
      </c>
      <c r="DH96" s="414" t="e">
        <f>IF(DH95=0,0,IF(AND(DD96&gt;charge_ELS_quasi,DE96&gt;Charge_ELS_freq,DF96&gt;charge_ELU,DG96&gt;charge_ELA,$B96&gt;NDC!$H$22-0.1+MIN(3*$DH$12,1.5)),0,1))</f>
        <v>#N/A</v>
      </c>
      <c r="DI96" s="86" t="b">
        <f t="shared" si="155"/>
        <v>0</v>
      </c>
      <c r="DJ96" s="86">
        <f t="shared" si="156"/>
        <v>0.5</v>
      </c>
      <c r="DK96" s="86">
        <f t="shared" si="157"/>
        <v>0.5</v>
      </c>
      <c r="DL96" s="30" t="e">
        <f t="shared" ca="1" si="188"/>
        <v>#DIV/0!</v>
      </c>
      <c r="DM96" s="85" t="e">
        <f ca="1">IF(CS96&lt;=Hypothèses!$V$7,Hypothèses!$W$7,IF(CS96&lt;=Hypothèses!$V$8,Hypothèses!$W$8,IF(CS96&lt;=Hypothèses!$V$9,Hypothèses!$W$9,IF(CS96&lt;=Hypothèses!$V$10,Hypothèses!$W$10,IF(CS96&lt;=Hypothèses!$V$11,Hypothèses!$W$11,IF(CS96&lt;=Hypothèses!$V$12,Hypothèses!$W$12,IF(CS96&lt;=Hypothèses!$V$13,Hypothèses!$W$13,IF(CS96&lt;=Hypothèses!$V$14,Hypothèses!$W$14,IF(CS96&lt;=Hypothèses!$V$15,Hypothèses!$W$15,IF(CS96&lt;=Hypothèses!$V$16,Hypothèses!$W$16,IF(CS96&lt;=Hypothèses!$V$17,Hypothèses!$W$17,IF(CS96&lt;=Hypothèses!$V$18,Hypothèses!$W$18,""))))))))))))</f>
        <v>#DIV/0!</v>
      </c>
      <c r="DN96" s="87" t="e">
        <f t="shared" ca="1" si="221"/>
        <v>#DIV/0!</v>
      </c>
      <c r="DO96" s="88" t="e">
        <f ca="1">IF(CS96&lt;=Hypothèses!$V$7,Hypothèses!$X$7,IF(CS96&lt;=Hypothèses!$V$8,Hypothèses!$X$8,IF(CS96&lt;=Hypothèses!$V$9,Hypothèses!$X$9,IF(CS96&lt;=Hypothèses!$V$10,Hypothèses!$X$10,IF(CS96&lt;=Hypothèses!$V$11,Hypothèses!$X$11,IF(CS96&lt;=Hypothèses!$V$12,Hypothèses!$X$12,IF(CS96&lt;=Hypothèses!$V$13,Hypothèses!$X$13,IF(CS96&lt;=Hypothèses!$V$14,Hypothèses!$X$14,IF(CS96&lt;=Hypothèses!$V$15,Hypothèses!$X$15,IF(CS96&lt;=Hypothèses!$V$16,Hypothèses!$X$16,IF(CS96&lt;=Hypothèses!$U$17,Hypothèses!$W$17,IF(CS96&lt;=Hypothèses!$U$18,Hypothèses!$W$18,""))))))))))))</f>
        <v>#DIV/0!</v>
      </c>
      <c r="DP96" s="95" t="e">
        <f t="shared" ca="1" si="189"/>
        <v>#DIV/0!</v>
      </c>
      <c r="DQ96" s="101" t="e">
        <f t="shared" si="228"/>
        <v>#N/A</v>
      </c>
      <c r="DR96" s="91" t="e">
        <f t="shared" si="158"/>
        <v>#N/A</v>
      </c>
      <c r="DS96" s="30" t="e">
        <f t="shared" si="210"/>
        <v>#N/A</v>
      </c>
      <c r="DT96" s="30" t="e">
        <f t="shared" si="211"/>
        <v>#N/A</v>
      </c>
      <c r="DU96" s="31" t="e">
        <f>IF(OR(Hypothèses!$B$4=17,Hypothèses!$B$4=18,Hypothèses!$B$4=19,Hypothèses!$B$4=20),
IF($D96="Pressio.",
IF(OR($E96=3,$E96=1,$E96=4),DT96,DS96),
IF($D96="Pénétro.",
IF(OR($E96=3,$E96=1,$E96=4),DT96,DS96))),IF($D96="Pressio.",
IF($E96=3,DT96,DS96),
IF($D96="Pénétro.",
IF($E96=4,DT96,DS96))))</f>
        <v>#N/A</v>
      </c>
      <c r="DV96" s="31" t="e">
        <f>(IF(OR(Hypothèses!$B$4=17,Hypothèses!$B$4=18,Hypothèses!$B$4=19,Hypothèses!$B$4=20),
IF($D96="Pressio.",
IF(OR($E96=3,$E96=1,$E96=4),(PI()*DV$12^2)/4*(DR96*$W96*1000)/($H96*$B$5),(PI()*DV$12^2)/4*(DR96*$W96*1000)/($G96*$B$5)),
IF($D96="Pénétro.",
IF(OR($E96=4,$E96=1,$E96=5),(PI()*DV$12^2)/4*(DR96*$W96*1000)/($H96*$B$5),(PI()*DV$12^2)/4*(DR96*$W96*1000)/($G96*$B$5)))),
IF($D96="Pressio.",
IF($E96=3,(PI()*DV$12^2)/4*(DR96*$W96*1000)/($H96*$B$5),(PI()*DV$12^2)/4*(DR96*$W96*1000)/($G96*$B$5)),
IF($D96="Pénétro.",
IF($E96=4,(PI()*DV$12^2)/4*(DR96*$W96*1000)/($H96*$B$5),(PI()*DV$12^2)/4*(DR96*$W96*1000)/($G96*$B$5))))))/10</f>
        <v>#N/A</v>
      </c>
      <c r="DW96" s="102" t="e">
        <f>(VLOOKUP($B$3,'Coeff EC7'!$T$39:$X$59,2,0)*DU96+VLOOKUP($B$3,'Coeff EC7'!$T$65:$X$85,2,0)*Model0.1C!DV96)/1.1</f>
        <v>#N/A</v>
      </c>
      <c r="DX96" s="102" t="e">
        <f>(VLOOKUP($B$3,'Coeff EC7'!$T$39:$X$59,3,0)*DU96+VLOOKUP($B$3,'Coeff EC7'!$T$65:$X$85,3,0)*Model0.1C!DV96)/0.9</f>
        <v>#N/A</v>
      </c>
      <c r="DY96" s="102" t="e">
        <f t="shared" si="190"/>
        <v>#N/A</v>
      </c>
      <c r="DZ96" s="102" t="e">
        <f t="shared" si="191"/>
        <v>#N/A</v>
      </c>
      <c r="EA96" s="414" t="e">
        <f>IF(EA95=0,0,IF(AND(DW96&gt;charge_ELS_quasi,DX96&gt;Charge_ELS_freq,DY96&gt;charge_ELU,DZ96&gt;charge_ELA,$B96&gt;NDC!$H$22-0.1+MIN(3*$EA$12,1.5)),0,1))</f>
        <v>#N/A</v>
      </c>
      <c r="EB96" s="86" t="b">
        <f t="shared" si="159"/>
        <v>0</v>
      </c>
      <c r="EC96" s="418">
        <f t="shared" si="160"/>
        <v>0.51</v>
      </c>
      <c r="ED96" s="86">
        <f t="shared" si="161"/>
        <v>0.51</v>
      </c>
      <c r="EE96" s="30" t="e">
        <f t="shared" ca="1" si="192"/>
        <v>#DIV/0!</v>
      </c>
      <c r="EF96" s="85" t="e">
        <f ca="1">IF(DL96&lt;=Hypothèses!$V$7,Hypothèses!$W$7,IF(DL96&lt;=Hypothèses!$V$8,Hypothèses!$W$8,IF(DL96&lt;=Hypothèses!$V$9,Hypothèses!$W$9,IF(DL96&lt;=Hypothèses!$V$10,Hypothèses!$W$10,IF(DL96&lt;=Hypothèses!$V$11,Hypothèses!$W$11,IF(DL96&lt;=Hypothèses!$V$12,Hypothèses!$W$12,IF(DL96&lt;=Hypothèses!$V$13,Hypothèses!$W$13,IF(DL96&lt;=Hypothèses!$V$14,Hypothèses!$W$14,IF(DL96&lt;=Hypothèses!$V$15,Hypothèses!$W$15,IF(DL96&lt;=Hypothèses!$V$16,Hypothèses!$W$16,IF(DL96&lt;=Hypothèses!$V$17,Hypothèses!$W$17,IF(DL96&lt;=Hypothèses!$V$18,Hypothèses!$W$18,""))))))))))))</f>
        <v>#DIV/0!</v>
      </c>
      <c r="EG96" s="87" t="e">
        <f t="shared" ca="1" si="222"/>
        <v>#DIV/0!</v>
      </c>
      <c r="EH96" s="88" t="e">
        <f ca="1">IF(DL96&lt;=Hypothèses!$V$7,Hypothèses!$X$7,IF(DL96&lt;=Hypothèses!$V$8,Hypothèses!$X$8,IF(DL96&lt;=Hypothèses!$V$9,Hypothèses!$X$9,IF(DL96&lt;=Hypothèses!$V$10,Hypothèses!$X$10,IF(DL96&lt;=Hypothèses!$V$11,Hypothèses!$X$11,IF(DL96&lt;=Hypothèses!$V$12,Hypothèses!$X$12,IF(DL96&lt;=Hypothèses!$V$13,Hypothèses!$X$13,IF(DL96&lt;=Hypothèses!$V$14,Hypothèses!$X$14,IF(DL96&lt;=Hypothèses!$V$15,Hypothèses!$X$15,IF(DL96&lt;=Hypothèses!$V$16,Hypothèses!$X$16,IF(DL96&lt;=Hypothèses!$U$17,Hypothèses!$W$17,IF(DL96&lt;=Hypothèses!$U$18,Hypothèses!$W$18,""))))))))))))</f>
        <v>#DIV/0!</v>
      </c>
      <c r="EI96" s="95" t="e">
        <f t="shared" ca="1" si="193"/>
        <v>#DIV/0!</v>
      </c>
      <c r="EJ96" s="101" t="e">
        <f t="shared" si="229"/>
        <v>#N/A</v>
      </c>
      <c r="EK96" s="91" t="e">
        <f t="shared" si="162"/>
        <v>#N/A</v>
      </c>
      <c r="EL96" s="30" t="e">
        <f t="shared" si="212"/>
        <v>#N/A</v>
      </c>
      <c r="EM96" s="30" t="e">
        <f t="shared" si="213"/>
        <v>#N/A</v>
      </c>
      <c r="EN96" s="31" t="e">
        <f>IF(OR(Hypothèses!$B$4=17,Hypothèses!$B$4=18,Hypothèses!$B$4=19,Hypothèses!$B$4=20),
IF($D96="Pressio.",
IF(OR($E96=3,$E96=1,$E96=4),EM96,EL96),
IF($D96="Pénétro.",
IF(OR($E96=3,$E96=1,$E96=4),EM96,EL96))),IF($D96="Pressio.",
IF($E96=3,EM96,EL96),
IF($D96="Pénétro.",
IF($E96=4,EM96,EL96))))</f>
        <v>#N/A</v>
      </c>
      <c r="EO96" s="31" t="e">
        <f>(IF(OR(Hypothèses!$B$4=17,Hypothèses!$B$4=18,Hypothèses!$B$4=19,Hypothèses!$B$4=20),
IF($D96="Pressio.",
IF(OR($E96=3,$E96=1,$E96=4),(PI()*EO$12^2)/4*(EK96*$W96*1000)/($H96*$B$5),(PI()*EO$12^2)/4*(EK96*$W96*1000)/($G96*$B$5)),
IF($D96="Pénétro.",
IF(OR($E96=4,$E96=1,$E96=5),(PI()*EO$12^2)/4*(EK96*$W96*1000)/($H96*$B$5),(PI()*EO$12^2)/4*(EK96*$W96*1000)/($G96*$B$5)))),
IF($D96="Pressio.",
IF($E96=3,(PI()*EO$12^2)/4*(EK96*$W96*1000)/($H96*$B$5),(PI()*EO$12^2)/4*(EK96*$W96*1000)/($G96*$B$5)),
IF($D96="Pénétro.",
IF($E96=4,(PI()*EO$12^2)/4*(EK96*$W96*1000)/($H96*$B$5),(PI()*EO$12^2)/4*(EK96*$W96*1000)/($G96*$B$5))))))/10</f>
        <v>#N/A</v>
      </c>
      <c r="EP96" s="102" t="e">
        <f>(VLOOKUP($B$3,'Coeff EC7'!$T$39:$X$59,2,0)*EN96+VLOOKUP($B$3,'Coeff EC7'!$T$65:$X$85,2,0)*Model0.1C!EO96)/1.1</f>
        <v>#N/A</v>
      </c>
      <c r="EQ96" s="102" t="e">
        <f>(VLOOKUP($B$3,'Coeff EC7'!$T$39:$X$59,3,0)*EN96+VLOOKUP($B$3,'Coeff EC7'!$T$65:$X$85,3,0)*Model0.1C!EO96)/0.9</f>
        <v>#N/A</v>
      </c>
      <c r="ER96" s="102" t="e">
        <f t="shared" si="194"/>
        <v>#N/A</v>
      </c>
      <c r="ES96" s="102" t="e">
        <f t="shared" si="195"/>
        <v>#N/A</v>
      </c>
      <c r="ET96" s="414" t="e">
        <f>IF(ET95=0,0,IF(AND(EP96&gt;charge_ELS_quasi,EQ96&gt;Charge_ELS_freq,ER96&gt;charge_ELU,ES96&gt;charge_ELA,$B96&gt;NDC!$H$22-0.1+MIN(3*$ET$12,1.5)),0,1))</f>
        <v>#N/A</v>
      </c>
      <c r="EU96" s="86" t="b">
        <f t="shared" si="163"/>
        <v>0</v>
      </c>
      <c r="EV96" s="86">
        <f t="shared" si="164"/>
        <v>0.61</v>
      </c>
      <c r="EW96" s="86">
        <f t="shared" si="165"/>
        <v>0.61</v>
      </c>
      <c r="EX96" s="30" t="e">
        <f t="shared" ca="1" si="196"/>
        <v>#DIV/0!</v>
      </c>
      <c r="EY96" s="85" t="e">
        <f ca="1">IF(EE96&lt;=Hypothèses!$V$7,Hypothèses!$W$7,IF(EE96&lt;=Hypothèses!$V$8,Hypothèses!$W$8,IF(EE96&lt;=Hypothèses!$V$9,Hypothèses!$W$9,IF(EE96&lt;=Hypothèses!$V$10,Hypothèses!$W$10,IF(EE96&lt;=Hypothèses!$V$11,Hypothèses!$W$11,IF(EE96&lt;=Hypothèses!$V$12,Hypothèses!$W$12,IF(EE96&lt;=Hypothèses!$V$13,Hypothèses!$W$13,IF(EE96&lt;=Hypothèses!$V$14,Hypothèses!$W$14,IF(EE96&lt;=Hypothèses!$V$15,Hypothèses!$W$15,IF(EE96&lt;=Hypothèses!$V$16,Hypothèses!$W$16,IF(EE96&lt;=Hypothèses!$V$17,Hypothèses!$W$17,IF(EE96&lt;=Hypothèses!$V$18,Hypothèses!$W$18,""))))))))))))</f>
        <v>#DIV/0!</v>
      </c>
      <c r="EZ96" s="87" t="e">
        <f t="shared" ca="1" si="223"/>
        <v>#DIV/0!</v>
      </c>
      <c r="FA96" s="88" t="e">
        <f ca="1">IF(EE96&lt;=Hypothèses!$V$7,Hypothèses!$X$7,IF(EE96&lt;=Hypothèses!$V$8,Hypothèses!$X$8,IF(EE96&lt;=Hypothèses!$V$9,Hypothèses!$X$9,IF(EE96&lt;=Hypothèses!$V$10,Hypothèses!$X$10,IF(EE96&lt;=Hypothèses!$V$11,Hypothèses!$X$11,IF(EE96&lt;=Hypothèses!$V$12,Hypothèses!$X$12,IF(EE96&lt;=Hypothèses!$V$13,Hypothèses!$X$13,IF(EE96&lt;=Hypothèses!$V$14,Hypothèses!$X$14,IF(EE96&lt;=Hypothèses!$V$15,Hypothèses!$X$15,IF(EE96&lt;=Hypothèses!$V$16,Hypothèses!$X$16,IF(EE96&lt;=Hypothèses!$U$17,Hypothèses!$W$17,IF(EE96&lt;=Hypothèses!$U$18,Hypothèses!$W$18,""))))))))))))</f>
        <v>#DIV/0!</v>
      </c>
      <c r="FB96" s="95" t="e">
        <f t="shared" ca="1" si="197"/>
        <v>#DIV/0!</v>
      </c>
      <c r="FC96" s="101" t="e">
        <f t="shared" si="230"/>
        <v>#N/A</v>
      </c>
      <c r="FD96" s="91" t="e">
        <f t="shared" si="166"/>
        <v>#N/A</v>
      </c>
      <c r="FE96" s="30" t="e">
        <f t="shared" si="214"/>
        <v>#N/A</v>
      </c>
      <c r="FF96" s="30" t="e">
        <f t="shared" si="215"/>
        <v>#N/A</v>
      </c>
      <c r="FG96" s="31" t="e">
        <f>IF(OR(Hypothèses!$B$4=17,Hypothèses!$B$4=18,Hypothèses!$B$4=19,Hypothèses!$B$4=20),
IF($D96="Pressio.",
IF(OR($E96=3,$E96=1,$E96=4),FF96,FE96),
IF($D96="Pénétro.",
IF(OR($E96=3,$E96=1,$E96=4),FF96,FE96))),IF($D96="Pressio.",
IF($E96=3,FF96,FE96),
IF($D96="Pénétro.",
IF($E96=4,FF96,FE96))))</f>
        <v>#N/A</v>
      </c>
      <c r="FH96" s="31" t="e">
        <f>(IF(OR(Hypothèses!$B$4=17,Hypothèses!$B$4=18,Hypothèses!$B$4=19,Hypothèses!$B$4=20),
IF($D96="Pressio.",
IF(OR($E96=3,$E96=1,$E96=4),(PI()*FH$12^2)/4*(FD96*$W96*1000)/($H96*$B$5),(PI()*FH$12^2)/4*(FD96*$W96*1000)/($G96*$B$5)),
IF($D96="Pénétro.",
IF(OR($E96=4,$E96=1,$E96=5),(PI()*FH$12^2)/4*(FD96*$W96*1000)/($H96*$B$5),(PI()*FH$12^2)/4*(FD96*$W96*1000)/($G96*$B$5)))),
IF($D96="Pressio.",
IF($E96=3,(PI()*FH$12^2)/4*(FD96*$W96*1000)/($H96*$B$5),(PI()*FH$12^2)/4*(FD96*$W96*1000)/($G96*$B$5)),
IF($D96="Pénétro.",
IF($E96=4,(PI()*FH$12^2)/4*(FD96*$W96*1000)/($H96*$B$5),(PI()*FH$12^2)/4*(FD96*$W96*1000)/($G96*$B$5))))))/10</f>
        <v>#N/A</v>
      </c>
      <c r="FI96" s="102" t="e">
        <f>(VLOOKUP($B$3,'Coeff EC7'!$T$39:$X$59,2,0)*FG96+VLOOKUP($B$3,'Coeff EC7'!$T$65:$X$85,2,0)*Model0.1C!FH96)/1.1</f>
        <v>#N/A</v>
      </c>
      <c r="FJ96" s="102" t="e">
        <f>(VLOOKUP($B$3,'Coeff EC7'!$T$39:$X$59,3,0)*FG96+VLOOKUP($B$3,'Coeff EC7'!$T$65:$X$85,3,0)*Model0.1C!FH96)/0.9</f>
        <v>#N/A</v>
      </c>
      <c r="FK96" s="102" t="e">
        <f t="shared" si="198"/>
        <v>#N/A</v>
      </c>
      <c r="FL96" s="102" t="e">
        <f t="shared" si="199"/>
        <v>#N/A</v>
      </c>
      <c r="FM96" s="414" t="e">
        <f>IF(FM95=0,0,IF(AND(FI96&gt;charge_ELS_quasi,FJ96&gt;Charge_ELS_freq,FK96&gt;charge_ELU,FL96&gt;charge_ELA,$B96&gt;NDC!$H$22-0.1+MIN(3*$FM$12,1.5)),0,1))</f>
        <v>#N/A</v>
      </c>
    </row>
    <row r="97" spans="1:169">
      <c r="A97" s="96">
        <f t="shared" si="167"/>
        <v>91.600000000000477</v>
      </c>
      <c r="B97" s="97">
        <v>8.4</v>
      </c>
      <c r="C97" s="81">
        <f>IF(B97&lt;=Hypothèses!$C$7,Hypothèses!$A$7,IF(B97&lt;=Hypothèses!$C$8,Hypothèses!$A$8,IF(B97&lt;=Hypothèses!$C$9,Hypothèses!$A$9,IF(B97&lt;=Hypothèses!$C$10,Hypothèses!$A$10,IF(B97&lt;=Hypothèses!$C$11,Hypothèses!$A$11,IF(B97&lt;=Hypothèses!$C$12,Hypothèses!$A$12,IF(B97&lt;=Hypothèses!$C$13,Hypothèses!$A$13,IF(B97&lt;=Hypothèses!$C$14,Hypothèses!$A$14,IF(B97&lt;=Hypothèses!$C$15,Hypothèses!$A$15,IF(B97&lt;=Hypothèses!$C$16,Hypothèses!$A$16,IF(B97&lt;=Hypothèses!$C$17,Hypothèses!$A$17,IF(B97&lt;=Hypothèses!$C$18,Hypothèses!$A$18,C96))))))))))))</f>
        <v>11</v>
      </c>
      <c r="D97" s="82" t="str">
        <f>IF(B97&lt;=Hypothèses!$C$7,Hypothèses!$R$7,IF(B97&lt;=Hypothèses!$C$8,Hypothèses!$R$8,IF(B97&lt;=Hypothèses!$C$9,Hypothèses!$R$9,IF(B97&lt;=Hypothèses!$C$10,Hypothèses!$R$10,IF(B97&lt;=Hypothèses!$C$11,Hypothèses!$R$11,IF(B97&lt;=Hypothèses!$C$12,Hypothèses!$R$12,IF(B97&lt;=Hypothèses!$C$13,Hypothèses!$R$13,IF(B97&lt;=Hypothèses!$C$14,Hypothèses!$R$14,IF(B97&lt;=Hypothèses!$C$15,Hypothèses!$R$15,IF(B97&lt;=Hypothèses!$C$16,Hypothèses!$R$16,IF(B97&lt;=Hypothèses!$C$17,Hypothèses!$R$17,IF(B97&lt;=Hypothèses!$C$18,Hypothèses!$R$18,D96))))))))))))</f>
        <v>Pressio.</v>
      </c>
      <c r="E97" s="82" t="e">
        <f>IF(B97&lt;=Hypothèses!$C$7,Hypothèses!$G$7,IF(B97&lt;=Hypothèses!$C$8,Hypothèses!$G$8,IF(B97&lt;=Hypothèses!$C$9,Hypothèses!$G$9,IF(B97&lt;=Hypothèses!$C$10,Hypothèses!$G$10,IF(B97&lt;=Hypothèses!$C$11,Hypothèses!$G$11,IF(B97&lt;=Hypothèses!$C$12,Hypothèses!$G$12,IF(B97&lt;=Hypothèses!$C$13,Hypothèses!$G$13,IF(B97&lt;=Hypothèses!$C$14,Hypothèses!$G$14,IF(B97&lt;=Hypothèses!$C$15,Hypothèses!$G$15,IF(B97&lt;=Hypothèses!$C$16,Hypothèses!$G$16,IF(B97&lt;=Hypothèses!$C$17,Hypothèses!$G$17,IF(B97&lt;=Hypothèses!$C$18,Hypothèses!$G$18,E96))))))))))))</f>
        <v>#N/A</v>
      </c>
      <c r="F97" s="82" t="str">
        <f>IF(B97&lt;=Hypothèses!$C$7,Hypothèses!$F$7,IF(B97&lt;=Hypothèses!$C$8,Hypothèses!$F$8,IF(B97&lt;=Hypothèses!$C$9,Hypothèses!$F$9,IF(B97&lt;=Hypothèses!$C$10,Hypothèses!$F$10,IF(B97&lt;=Hypothèses!$C$11,Hypothèses!$F$11,IF(B97&lt;=Hypothèses!$C$12,Hypothèses!$F$12,IF(B97&lt;=Hypothèses!$C$13,Hypothèses!$F$13,IF(B97&lt;=Hypothèses!$C$14,Hypothèses!$F$14,IF(B97&lt;=Hypothèses!$C$15,Hypothèses!$F$15,IF(B97&lt;=Hypothèses!$C$16,Hypothèses!$F$16,IF(B97&lt;=Hypothèses!$C$17,Hypothèses!$F$17,IF(B97&lt;=Hypothèses!$C$18,Hypothèses!$F$18,F96))))))))))))</f>
        <v/>
      </c>
      <c r="G97" s="91">
        <f t="array" ref="G97">INDEX('Coeff EC7'!$U$7:$X$27,
MATCH(Model0.1C!$B$3,'Coeff EC7'!$T$7:$T$27,0),
MATCH(Model0.1C!$D97&amp;Model0.1C!$B$4,
'Coeff EC7'!$U$6:$X$6&amp;
'Coeff EC7'!$U$5:$X$5,0))</f>
        <v>1.1499999999999999</v>
      </c>
      <c r="H97" s="91">
        <f t="array" ref="H97">INDEX('Coeff EC7'!$Y$7:$AB$27,
MATCH(Model0.1C!$B$3,'Coeff EC7'!$T$7:$T$27,0),
MATCH(Model0.1C!$D97&amp;Model0.1C!$B$4,
'Coeff EC7'!$Y$6:$AB$6&amp;
'Coeff EC7'!$Y$5:$AB$5,0))</f>
        <v>1.4</v>
      </c>
      <c r="I97" s="83" t="e">
        <f>IF(B97&lt;=Hypothèses!$C$7,Hypothèses!$P$7,IF(B97&lt;=Hypothèses!$C$8,Hypothèses!$P$8,IF(B97&lt;=Hypothèses!$C$9,Hypothèses!$P$9,IF(B97&lt;=Hypothèses!$C$10,Hypothèses!$P$10,IF(B97&lt;=Hypothèses!$C$11,Hypothèses!$P$11,IF(B97&lt;=Hypothèses!$C$12,Hypothèses!$P$12,IF(B97&lt;=Hypothèses!$C$13,Hypothèses!$P$13,IF(B97&lt;=Hypothèses!$C$14,Hypothèses!$P$14,IF(B97&lt;=Hypothèses!$C$15,Hypothèses!$P$15,IF(B97&lt;=Hypothèses!$C$16,Hypothèses!$P$16,IF(B97&lt;=Hypothèses!$C$17,Hypothèses!$P$17,IF(B97&lt;=Hypothèses!$C$18,Hypothèses!$P$18,I96))))))))))))</f>
        <v>#N/A</v>
      </c>
      <c r="J97" s="91" t="e">
        <f t="array" ref="J97">INDEX('Coeff EC7'!$D$33:$Q$33,1,MATCH(D97&amp;E97,'Coeff EC7'!$D$31:$Q$31&amp;'Coeff EC7'!$D$32:$Q$32,0))</f>
        <v>#N/A</v>
      </c>
      <c r="K97" s="91" t="e">
        <f t="array" ref="K97">INDEX('Coeff EC7'!$D$34:$Q$34,1,MATCH(D97&amp;E97,'Coeff EC7'!$D$31:$Q$31&amp;'Coeff EC7'!$D$32:$Q$32,0))</f>
        <v>#N/A</v>
      </c>
      <c r="L97" s="91" t="e">
        <f t="array" ref="L97">INDEX('Coeff EC7'!$D$35:$Q$35,1,MATCH(D97&amp;E97,'Coeff EC7'!$D$31:$Q$31&amp;'Coeff EC7'!$D$32:$Q$32,0))</f>
        <v>#N/A</v>
      </c>
      <c r="M97" s="98" t="e">
        <f t="shared" si="131"/>
        <v>#N/A</v>
      </c>
      <c r="N97" s="99" t="e">
        <f t="array" ref="N97">INDEX('Coeff EC7'!$D$7:$Q$27,MATCH($B$3,'Coeff EC7'!$C$7:$C$27,0),MATCH(D97&amp;E97,'Coeff EC7'!$D$5:$Q$5&amp;'Coeff EC7'!$D$6:$Q$6,0))</f>
        <v>#N/A</v>
      </c>
      <c r="O97" s="99" t="e">
        <f t="array" ref="O97">INDEX('Coeff EC7'!$D$41:$Q$61,MATCH($B$3,'Coeff EC7'!$C$41:$C$61,0),MATCH(D97&amp;E97,'Coeff EC7'!$D$39:$Q$39&amp;'Coeff EC7'!$D$40:$Q$40,0))</f>
        <v>#N/A</v>
      </c>
      <c r="P97" s="30" t="e">
        <f t="shared" si="168"/>
        <v>#N/A</v>
      </c>
      <c r="Q97" s="100" t="e">
        <f t="shared" si="133"/>
        <v>#N/A</v>
      </c>
      <c r="R97" s="86" t="b">
        <f t="shared" si="134"/>
        <v>0</v>
      </c>
      <c r="S97" s="86">
        <f t="shared" si="132"/>
        <v>0.5</v>
      </c>
      <c r="T97" s="86">
        <f t="shared" si="135"/>
        <v>0.5</v>
      </c>
      <c r="U97" s="30" t="e">
        <f t="shared" ca="1" si="169"/>
        <v>#DIV/0!</v>
      </c>
      <c r="V97" s="85" t="str">
        <f>IF(B97&lt;=Hypothèses!$V$7,Hypothèses!$W$7,IF(B97&lt;=Hypothèses!$V$8,Hypothèses!$W$8,IF(B97&lt;=Hypothèses!$V$9,Hypothèses!$W$9,IF(B97&lt;=Hypothèses!$V$10,Hypothèses!$W$10,IF(B97&lt;=Hypothèses!$V$11,Hypothèses!$W$11,IF(B97&lt;=Hypothèses!$V$12,Hypothèses!$W$12,IF(B97&lt;=Hypothèses!$V$13,Hypothèses!$W$13,IF(B97&lt;=Hypothèses!$V$14,Hypothèses!$W$14,IF(B97&lt;=Hypothèses!$V$15,Hypothèses!$W$15,IF(B97&lt;=Hypothèses!$V$16,Hypothèses!$W$16,IF(B97&lt;=Hypothèses!$V$17,Hypothèses!$W$17,IF(B97&lt;=Hypothèses!$V$18,Hypothèses!$W$18,""))))))))))))</f>
        <v/>
      </c>
      <c r="W97" s="87" t="e">
        <f t="shared" ca="1" si="216"/>
        <v>#DIV/0!</v>
      </c>
      <c r="X97" s="88" t="str">
        <f>IF(B97&lt;=Hypothèses!$V$7,Hypothèses!$X$7,IF(B97&lt;=Hypothèses!$V$8,Hypothèses!$X$8,IF(B97&lt;=Hypothèses!$V$9,Hypothèses!$X$9,IF(B97&lt;=Hypothèses!$V$10,Hypothèses!$X$10,IF(B97&lt;=Hypothèses!$V$11,Hypothèses!$X$11,IF(B97&lt;=Hypothèses!$V$12,Hypothèses!$X$12,IF(B97&lt;=Hypothèses!$V$13,Hypothèses!$X$13,IF(B97&lt;=Hypothèses!$V$14,Hypothèses!$X$14,IF(B97&lt;=Hypothèses!$V$15,Hypothèses!$X$15,IF(B97&lt;=Hypothèses!$V$16,Hypothèses!$X$16,IF(B97&lt;=Hypothèses!$U$17,Hypothèses!$W$17,IF(B97&lt;=Hypothèses!$U$18,Hypothèses!$W$18,""))))))))))))</f>
        <v/>
      </c>
      <c r="Y97" s="95" t="e">
        <f t="shared" ca="1" si="136"/>
        <v>#DIV/0!</v>
      </c>
      <c r="Z97" s="101" t="e">
        <f t="shared" si="137"/>
        <v>#N/A</v>
      </c>
      <c r="AA97" s="91" t="e">
        <f t="shared" si="138"/>
        <v>#N/A</v>
      </c>
      <c r="AB97" s="30" t="e">
        <f t="shared" si="200"/>
        <v>#N/A</v>
      </c>
      <c r="AC97" s="30" t="e">
        <f t="shared" si="201"/>
        <v>#N/A</v>
      </c>
      <c r="AD97" s="31" t="e">
        <f>IF(OR(Hypothèses!$B$4=17,Hypothèses!$B$4=18,Hypothèses!$B$4=19,Hypothèses!$B$4=20),
IF($D97="Pressio.",
IF(OR($E97=3,$E97=1,$E97=4),AC97,AB97),
IF($D97="Pénétro.",
IF(OR($E97=3,$E97=1,$E97=4),AC97,AB97))),IF($D97="Pressio.",
IF($E97=3,AC97,AB97),
IF($D97="Pénétro.",
IF($E97=4,AC97,AB97))))</f>
        <v>#N/A</v>
      </c>
      <c r="AE97" s="31" t="e">
        <f>(IF(OR(Hypothèses!$B$4=17,Hypothèses!$B$4=18,Hypothèses!$B$4=19,Hypothèses!$B$4=20),
IF($D97="Pressio.",
IF(OR($E97=3,$E97=1,$E97=4),(PI()*AE$12^2)/4*(AA97*$W97*1000)/($H97*$B$5),(PI()*AE$12^2)/4*(AA97*$W97*1000)/($G97*$B$5)),
IF($D97="Pénétro.",
IF(OR($E97=4,$E97=1,$E97=5),(PI()*AE$12^2)/4*(AA97*$W97*1000)/($H97*$B$5),(PI()*AE$12^2)/4*(AA97*$W97*1000)/($G97*$B$5)))),
IF($D97="Pressio.",
IF($E97=3,(PI()*AE$12^2)/4*(AA97*$W97*1000)/($H97*$B$5),(PI()*AE$12^2)/4*(AA97*$W97*1000)/($G97*$B$5)),
IF($D97="Pénétro.",
IF($E97=4,(PI()*AE$12^2)/4*(AA97*$W97*1000)/($H97*$B$5),(PI()*AE$12^2)/4*(AA97*$W97*1000)/($G97*$B$5))))))/10</f>
        <v>#N/A</v>
      </c>
      <c r="AF97" s="102" t="e">
        <f>(VLOOKUP($B$3,'Coeff EC7'!$T$39:$X$59,2,0)*AD97+VLOOKUP($B$3,'Coeff EC7'!$T$65:$X$85,2,0)*Model0.1C!AE97)/1.1</f>
        <v>#N/A</v>
      </c>
      <c r="AG97" s="102" t="e">
        <f>(VLOOKUP($B$3,'Coeff EC7'!$T$39:$X$59,3,0)*AD97+VLOOKUP($B$3,'Coeff EC7'!$T$65:$X$85,3,0)*Model0.1C!AE97)/0.9</f>
        <v>#N/A</v>
      </c>
      <c r="AH97" s="102" t="e">
        <f t="shared" si="139"/>
        <v>#N/A</v>
      </c>
      <c r="AI97" s="102" t="e">
        <f t="shared" si="140"/>
        <v>#N/A</v>
      </c>
      <c r="AJ97" s="414" t="e">
        <f>IF(AJ96=0,0,IF(AND(AF97&gt;charge_ELS_quasi,AG97&gt;Charge_ELS_freq,AH97&gt;charge_ELU,AI97&gt;charge_ELA,$B97&gt;NDC!$H$22-0.1+MIN(3*$AJ$12,1.5)),0,1))</f>
        <v>#N/A</v>
      </c>
      <c r="AK97" s="86" t="b">
        <f t="shared" si="141"/>
        <v>0</v>
      </c>
      <c r="AL97" s="86">
        <f t="shared" si="170"/>
        <v>0.5</v>
      </c>
      <c r="AM97" s="86">
        <f t="shared" si="142"/>
        <v>0.5</v>
      </c>
      <c r="AN97" s="30" t="e">
        <f t="shared" ca="1" si="171"/>
        <v>#DIV/0!</v>
      </c>
      <c r="AO97" s="85" t="e">
        <f ca="1">IF(U97&lt;=Hypothèses!$V$7,Hypothèses!$W$7,IF(U97&lt;=Hypothèses!$V$8,Hypothèses!$W$8,IF(U97&lt;=Hypothèses!$V$9,Hypothèses!$W$9,IF(U97&lt;=Hypothèses!$V$10,Hypothèses!$W$10,IF(U97&lt;=Hypothèses!$V$11,Hypothèses!$W$11,IF(U97&lt;=Hypothèses!$V$12,Hypothèses!$W$12,IF(U97&lt;=Hypothèses!$V$13,Hypothèses!$W$13,IF(U97&lt;=Hypothèses!$V$14,Hypothèses!$W$14,IF(U97&lt;=Hypothèses!$V$15,Hypothèses!$W$15,IF(U97&lt;=Hypothèses!$V$16,Hypothèses!$W$16,IF(U97&lt;=Hypothèses!$V$17,Hypothèses!$W$17,IF(U97&lt;=Hypothèses!$V$18,Hypothèses!$W$18,""))))))))))))</f>
        <v>#DIV/0!</v>
      </c>
      <c r="AP97" s="87" t="e">
        <f t="shared" ca="1" si="217"/>
        <v>#DIV/0!</v>
      </c>
      <c r="AQ97" s="88" t="e">
        <f ca="1">IF(U97&lt;=Hypothèses!$V$7,Hypothèses!$X$7,IF(U97&lt;=Hypothèses!$V$8,Hypothèses!$X$8,IF(U97&lt;=Hypothèses!$V$9,Hypothèses!$X$9,IF(U97&lt;=Hypothèses!$V$10,Hypothèses!$X$10,IF(U97&lt;=Hypothèses!$V$11,Hypothèses!$X$11,IF(U97&lt;=Hypothèses!$V$12,Hypothèses!$X$12,IF(U97&lt;=Hypothèses!$V$13,Hypothèses!$X$13,IF(U97&lt;=Hypothèses!$V$14,Hypothèses!$X$14,IF(U97&lt;=Hypothèses!$V$15,Hypothèses!$X$15,IF(U97&lt;=Hypothèses!$V$16,Hypothèses!$X$16,IF(U97&lt;=Hypothèses!$U$17,Hypothèses!$W$17,IF(U97&lt;=Hypothèses!$U$18,Hypothèses!$W$18,""))))))))))))</f>
        <v>#DIV/0!</v>
      </c>
      <c r="AR97" s="95" t="e">
        <f t="shared" ca="1" si="172"/>
        <v>#DIV/0!</v>
      </c>
      <c r="AS97" s="101" t="e">
        <f t="shared" si="224"/>
        <v>#N/A</v>
      </c>
      <c r="AT97" s="91" t="e">
        <f t="shared" si="143"/>
        <v>#N/A</v>
      </c>
      <c r="AU97" s="30" t="e">
        <f t="shared" si="202"/>
        <v>#N/A</v>
      </c>
      <c r="AV97" s="30" t="e">
        <f t="shared" si="203"/>
        <v>#N/A</v>
      </c>
      <c r="AW97" s="31" t="e">
        <f>IF(OR(Hypothèses!$B$4=17,Hypothèses!$B$4=18,Hypothèses!$B$4=19,Hypothèses!$B$4=20),
IF($D97="Pressio.",
IF(OR($E97=3,$E97=1,$E97=4),AV97,AU97),
IF($D97="Pénétro.",
IF(OR($E97=3,$E97=1,$E97=4),AV97,AU97))),IF($D97="Pressio.",
IF($E97=3,AV97,AU97),
IF($D97="Pénétro.",
IF($E97=4,AV97,AU97))))</f>
        <v>#N/A</v>
      </c>
      <c r="AX97" s="31" t="e">
        <f>(IF(OR(Hypothèses!$B$4=17,Hypothèses!$B$4=18,Hypothèses!$B$4=19,Hypothèses!$B$4=20),
IF($D97="Pressio.",
IF(OR($E97=3,$E97=1,$E97=4),(PI()*AX$12^2)/4*(AT97*$W97*1000)/($H97*$B$5),(PI()*AX$12^2)/4*(AT97*$W97*1000)/($G97*$B$5)),
IF($D97="Pénétro.",
IF(OR($E97=4,$E97=1,$E97=5),(PI()*AX$12^2)/4*(AT97*$W97*1000)/($H97*$B$5),(PI()*AX$12^2)/4*(AT97*$W97*1000)/($G97*$B$5)))),
IF($D97="Pressio.",
IF($E97=3,(PI()*AX$12^2)/4*(AT97*$W97*1000)/($H97*$B$5),(PI()*AX$12^2)/4*(AT97*$W97*1000)/($G97*$B$5)),
IF($D97="Pénétro.",
IF($E97=4,(PI()*AX$12^2)/4*(AT97*$W97*1000)/($H97*$B$5),(PI()*AX$12^2)/4*(AT97*$W97*1000)/($G97*$B$5))))))/10</f>
        <v>#N/A</v>
      </c>
      <c r="AY97" s="102" t="e">
        <f>(VLOOKUP($B$3,'Coeff EC7'!$T$39:$X$59,2,0)*AW97+VLOOKUP($B$3,'Coeff EC7'!$T$65:$X$85,2,0)*Model0.1C!AX97)/1.1</f>
        <v>#N/A</v>
      </c>
      <c r="AZ97" s="102" t="e">
        <f>(VLOOKUP($B$3,'Coeff EC7'!$T$39:$X$59,3,0)*AW97+VLOOKUP($B$3,'Coeff EC7'!$T$65:$X$85,3,0)*Model0.1C!AX97)/0.9</f>
        <v>#N/A</v>
      </c>
      <c r="BA97" s="102" t="e">
        <f t="shared" si="173"/>
        <v>#N/A</v>
      </c>
      <c r="BB97" s="102" t="e">
        <f t="shared" si="174"/>
        <v>#N/A</v>
      </c>
      <c r="BC97" s="414" t="e">
        <f>IF(BC96=0,0,IF(AND(AY97&gt;charge_ELS_quasi,AZ97&gt;Charge_ELS_freq,BA97&gt;charge_ELU,BB97&gt;charge_ELA,$B97&gt;NDC!$H$22-0.1+MIN(3*$BC$12,1.5)),0,1))</f>
        <v>#N/A</v>
      </c>
      <c r="BD97" s="86" t="b">
        <f t="shared" si="144"/>
        <v>0</v>
      </c>
      <c r="BE97" s="86">
        <f t="shared" si="175"/>
        <v>0.5</v>
      </c>
      <c r="BF97" s="86">
        <f t="shared" si="145"/>
        <v>0.5</v>
      </c>
      <c r="BG97" s="30" t="e">
        <f t="shared" ca="1" si="176"/>
        <v>#DIV/0!</v>
      </c>
      <c r="BH97" s="85" t="e">
        <f ca="1">IF(AN97&lt;=Hypothèses!$V$7,Hypothèses!$W$7,IF(AN97&lt;=Hypothèses!$V$8,Hypothèses!$W$8,IF(AN97&lt;=Hypothèses!$V$9,Hypothèses!$W$9,IF(AN97&lt;=Hypothèses!$V$10,Hypothèses!$W$10,IF(AN97&lt;=Hypothèses!$V$11,Hypothèses!$W$11,IF(AN97&lt;=Hypothèses!$V$12,Hypothèses!$W$12,IF(AN97&lt;=Hypothèses!$V$13,Hypothèses!$W$13,IF(AN97&lt;=Hypothèses!$V$14,Hypothèses!$W$14,IF(AN97&lt;=Hypothèses!$V$15,Hypothèses!$W$15,IF(AN97&lt;=Hypothèses!$V$16,Hypothèses!$W$16,IF(AN97&lt;=Hypothèses!$V$17,Hypothèses!$W$17,IF(AN97&lt;=Hypothèses!$V$18,Hypothèses!$W$18,""))))))))))))</f>
        <v>#DIV/0!</v>
      </c>
      <c r="BI97" s="87" t="e">
        <f t="shared" ca="1" si="218"/>
        <v>#DIV/0!</v>
      </c>
      <c r="BJ97" s="88" t="e">
        <f ca="1">IF(AN97&lt;=Hypothèses!$V$7,Hypothèses!$X$7,IF(AN97&lt;=Hypothèses!$V$8,Hypothèses!$X$8,IF(AN97&lt;=Hypothèses!$V$9,Hypothèses!$X$9,IF(AN97&lt;=Hypothèses!$V$10,Hypothèses!$X$10,IF(AN97&lt;=Hypothèses!$V$11,Hypothèses!$X$11,IF(AN97&lt;=Hypothèses!$V$12,Hypothèses!$X$12,IF(AN97&lt;=Hypothèses!$V$13,Hypothèses!$X$13,IF(AN97&lt;=Hypothèses!$V$14,Hypothèses!$X$14,IF(AN97&lt;=Hypothèses!$V$15,Hypothèses!$X$15,IF(AN97&lt;=Hypothèses!$V$16,Hypothèses!$X$16,IF(AN97&lt;=Hypothèses!$U$17,Hypothèses!$W$17,IF(AN97&lt;=Hypothèses!$U$18,Hypothèses!$W$18,""))))))))))))</f>
        <v>#DIV/0!</v>
      </c>
      <c r="BK97" s="95" t="e">
        <f t="shared" ca="1" si="177"/>
        <v>#DIV/0!</v>
      </c>
      <c r="BL97" s="101" t="e">
        <f t="shared" si="225"/>
        <v>#N/A</v>
      </c>
      <c r="BM97" s="91" t="e">
        <f t="shared" si="146"/>
        <v>#N/A</v>
      </c>
      <c r="BN97" s="30" t="e">
        <f t="shared" si="204"/>
        <v>#N/A</v>
      </c>
      <c r="BO97" s="30" t="e">
        <f t="shared" si="205"/>
        <v>#N/A</v>
      </c>
      <c r="BP97" s="31" t="e">
        <f>IF(OR(Hypothèses!$B$4=17,Hypothèses!$B$4=18,Hypothèses!$B$4=19,Hypothèses!$B$4=20),
IF($D97="Pressio.",
IF(OR($E97=3,$E97=1,$E97=4),BO97,BN97),
IF($D97="Pénétro.",
IF(OR($E97=3,$E97=1,$E97=4),BO97,BN97))),IF($D97="Pressio.",
IF($E97=3,BO97,BN97),
IF($D97="Pénétro.",
IF($E97=4,BO97,BN97))))</f>
        <v>#N/A</v>
      </c>
      <c r="BQ97" s="31" t="e">
        <f>(IF(OR(Hypothèses!$B$4=17,Hypothèses!$B$4=18,Hypothèses!$B$4=19,Hypothèses!$B$4=20),
IF($D97="Pressio.",
IF(OR($E97=3,$E97=1,$E97=4),(PI()*BQ$12^2)/4*(BM97*$W97*1000)/($H97*$B$5),(PI()*BQ$12^2)/4*(BM97*$W97*1000)/($G97*$B$5)),
IF($D97="Pénétro.",
IF(OR($E97=4,$E97=1,$E97=5),(PI()*BQ$12^2)/4*(BM97*$W97*1000)/($H97*$B$5),(PI()*BQ$12^2)/4*(BM97*$W97*1000)/($G97*$B$5)))),
IF($D97="Pressio.",
IF($E97=3,(PI()*BQ$12^2)/4*(BM97*$W97*1000)/($H97*$B$5),(PI()*BQ$12^2)/4*(BM97*$W97*1000)/($G97*$B$5)),
IF($D97="Pénétro.",
IF($E97=4,(PI()*BQ$12^2)/4*(BM97*$W97*1000)/($H97*$B$5),(PI()*BQ$12^2)/4*(BM97*$W97*1000)/($G97*$B$5))))))/10</f>
        <v>#N/A</v>
      </c>
      <c r="BR97" s="102" t="e">
        <f>(VLOOKUP($B$3,'Coeff EC7'!$T$39:$X$59,2,0)*BP97+VLOOKUP($B$3,'Coeff EC7'!$T$65:$X$85,2,0)*Model0.1C!BQ97)/1.1</f>
        <v>#N/A</v>
      </c>
      <c r="BS97" s="102" t="e">
        <f>(VLOOKUP($B$3,'Coeff EC7'!$T$39:$X$59,3,0)*BP97+VLOOKUP($B$3,'Coeff EC7'!$T$65:$X$85,3,0)*Model0.1C!BQ97)/0.9</f>
        <v>#N/A</v>
      </c>
      <c r="BT97" s="102" t="e">
        <f t="shared" si="178"/>
        <v>#N/A</v>
      </c>
      <c r="BU97" s="102" t="e">
        <f t="shared" si="179"/>
        <v>#N/A</v>
      </c>
      <c r="BV97" s="414" t="e">
        <f>IF(BV96=0,0,IF(AND(BR97&gt;charge_ELS_quasi,BS97&gt;Charge_ELS_freq,BT97&gt;charge_ELU,BU97&gt;charge_ELA,$B97&gt;NDC!$H$22-0.1+MIN(3*$BV$12,1.5)),0,1))</f>
        <v>#N/A</v>
      </c>
      <c r="BW97" s="86" t="b">
        <f t="shared" si="147"/>
        <v>0</v>
      </c>
      <c r="BX97" s="86">
        <f t="shared" si="148"/>
        <v>0.5</v>
      </c>
      <c r="BY97" s="86">
        <f t="shared" si="149"/>
        <v>0.5</v>
      </c>
      <c r="BZ97" s="30" t="e">
        <f t="shared" ca="1" si="180"/>
        <v>#DIV/0!</v>
      </c>
      <c r="CA97" s="85" t="e">
        <f ca="1">IF(BG97&lt;=Hypothèses!$V$7,Hypothèses!$W$7,IF(BG97&lt;=Hypothèses!$V$8,Hypothèses!$W$8,IF(BG97&lt;=Hypothèses!$V$9,Hypothèses!$W$9,IF(BG97&lt;=Hypothèses!$V$10,Hypothèses!$W$10,IF(BG97&lt;=Hypothèses!$V$11,Hypothèses!$W$11,IF(BG97&lt;=Hypothèses!$V$12,Hypothèses!$W$12,IF(BG97&lt;=Hypothèses!$V$13,Hypothèses!$W$13,IF(BG97&lt;=Hypothèses!$V$14,Hypothèses!$W$14,IF(BG97&lt;=Hypothèses!$V$15,Hypothèses!$W$15,IF(BG97&lt;=Hypothèses!$V$16,Hypothèses!$W$16,IF(BG97&lt;=Hypothèses!$V$17,Hypothèses!$W$17,IF(BG97&lt;=Hypothèses!$V$18,Hypothèses!$W$18,""))))))))))))</f>
        <v>#DIV/0!</v>
      </c>
      <c r="CB97" s="87" t="e">
        <f t="shared" ca="1" si="219"/>
        <v>#DIV/0!</v>
      </c>
      <c r="CC97" s="88" t="e">
        <f ca="1">IF(BG97&lt;=Hypothèses!$V$7,Hypothèses!$X$7,IF(BG97&lt;=Hypothèses!$V$8,Hypothèses!$X$8,IF(BG97&lt;=Hypothèses!$V$9,Hypothèses!$X$9,IF(BG97&lt;=Hypothèses!$V$10,Hypothèses!$X$10,IF(BG97&lt;=Hypothèses!$V$11,Hypothèses!$X$11,IF(BG97&lt;=Hypothèses!$V$12,Hypothèses!$X$12,IF(BG97&lt;=Hypothèses!$V$13,Hypothèses!$X$13,IF(BG97&lt;=Hypothèses!$V$14,Hypothèses!$X$14,IF(BG97&lt;=Hypothèses!$V$15,Hypothèses!$X$15,IF(BG97&lt;=Hypothèses!$V$16,Hypothèses!$X$16,IF(BG97&lt;=Hypothèses!$U$17,Hypothèses!$W$17,IF(BG97&lt;=Hypothèses!$U$18,Hypothèses!$W$18,""))))))))))))</f>
        <v>#DIV/0!</v>
      </c>
      <c r="CD97" s="95" t="e">
        <f t="shared" ca="1" si="181"/>
        <v>#DIV/0!</v>
      </c>
      <c r="CE97" s="101" t="e">
        <f t="shared" si="226"/>
        <v>#N/A</v>
      </c>
      <c r="CF97" s="91" t="e">
        <f t="shared" si="150"/>
        <v>#N/A</v>
      </c>
      <c r="CG97" s="30" t="e">
        <f t="shared" si="206"/>
        <v>#N/A</v>
      </c>
      <c r="CH97" s="30" t="e">
        <f t="shared" si="207"/>
        <v>#N/A</v>
      </c>
      <c r="CI97" s="31" t="e">
        <f>IF(OR(Hypothèses!$B$4=17,Hypothèses!$B$4=18,Hypothèses!$B$4=19,Hypothèses!$B$4=20),
IF($D97="Pressio.",
IF(OR($E97=3,$E97=1,$E97=4),CH97,CG97),
IF($D97="Pénétro.",
IF(OR($E97=3,$E97=1,$E97=4),CH97,CG97))),IF($D97="Pressio.",
IF($E97=3,CH97,CG97),
IF($D97="Pénétro.",
IF($E97=4,CH97,CG97))))</f>
        <v>#N/A</v>
      </c>
      <c r="CJ97" s="31" t="e">
        <f>(IF(OR(Hypothèses!$B$4=17,Hypothèses!$B$4=18,Hypothèses!$B$4=19,Hypothèses!$B$4=20),
IF($D97="Pressio.",
IF(OR($E97=3,$E97=1,$E97=4),(PI()*CJ$12^2)/4*(CF97*$W97*1000)/($H97*$B$5),(PI()*CJ$12^2)/4*(CF97*$W97*1000)/($G97*$B$5)),
IF($D97="Pénétro.",
IF(OR($E97=4,$E97=1,$E97=5),(PI()*CJ$12^2)/4*(CF97*$W97*1000)/($H97*$B$5),(PI()*CJ$12^2)/4*(CF97*$W97*1000)/($G97*$B$5)))),
IF($D97="Pressio.",
IF($E97=3,(PI()*CJ$12^2)/4*(CF97*$W97*1000)/($H97*$B$5),(PI()*CJ$12^2)/4*(CF97*$W97*1000)/($G97*$B$5)),
IF($D97="Pénétro.",
IF($E97=4,(PI()*CJ$12^2)/4*(CF97*$W97*1000)/($H97*$B$5),(PI()*CJ$12^2)/4*(CF97*$W97*1000)/($G97*$B$5))))))/10</f>
        <v>#N/A</v>
      </c>
      <c r="CK97" s="102" t="e">
        <f>(VLOOKUP($B$3,'Coeff EC7'!$T$39:$X$59,2,0)*CI97+VLOOKUP($B$3,'Coeff EC7'!$T$65:$X$85,2,0)*Model0.1C!CJ97)/1.1</f>
        <v>#N/A</v>
      </c>
      <c r="CL97" s="102" t="e">
        <f>(VLOOKUP($B$3,'Coeff EC7'!$T$39:$X$59,3,0)*CI97+VLOOKUP($B$3,'Coeff EC7'!$T$65:$X$85,3,0)*Model0.1C!CJ97)/0.9</f>
        <v>#N/A</v>
      </c>
      <c r="CM97" s="102" t="e">
        <f t="shared" si="182"/>
        <v>#N/A</v>
      </c>
      <c r="CN97" s="102" t="e">
        <f t="shared" si="183"/>
        <v>#N/A</v>
      </c>
      <c r="CO97" s="414" t="e">
        <f>IF(CO96=0,0,IF(AND(CK97&gt;charge_ELS_quasi,CL97&gt;Charge_ELS_freq,CM97&gt;charge_ELU,CN97&gt;charge_ELA,$B97&gt;NDC!$H$22-0.1+MIN(3*$CO$12,1.5)),0,1))</f>
        <v>#N/A</v>
      </c>
      <c r="CP97" s="86" t="b">
        <f t="shared" si="151"/>
        <v>0</v>
      </c>
      <c r="CQ97" s="86">
        <f t="shared" si="152"/>
        <v>0.5</v>
      </c>
      <c r="CR97" s="86">
        <f t="shared" si="153"/>
        <v>0.5</v>
      </c>
      <c r="CS97" s="30" t="e">
        <f t="shared" ca="1" si="184"/>
        <v>#DIV/0!</v>
      </c>
      <c r="CT97" s="85" t="e">
        <f ca="1">IF(BZ97&lt;=Hypothèses!$V$7,Hypothèses!$W$7,IF(BZ97&lt;=Hypothèses!$V$8,Hypothèses!$W$8,IF(BZ97&lt;=Hypothèses!$V$9,Hypothèses!$W$9,IF(BZ97&lt;=Hypothèses!$V$10,Hypothèses!$W$10,IF(BZ97&lt;=Hypothèses!$V$11,Hypothèses!$W$11,IF(BZ97&lt;=Hypothèses!$V$12,Hypothèses!$W$12,IF(BZ97&lt;=Hypothèses!$V$13,Hypothèses!$W$13,IF(BZ97&lt;=Hypothèses!$V$14,Hypothèses!$W$14,IF(BZ97&lt;=Hypothèses!$V$15,Hypothèses!$W$15,IF(BZ97&lt;=Hypothèses!$V$16,Hypothèses!$W$16,IF(BZ97&lt;=Hypothèses!$V$17,Hypothèses!$W$17,IF(BZ97&lt;=Hypothèses!$V$18,Hypothèses!$W$18,""))))))))))))</f>
        <v>#DIV/0!</v>
      </c>
      <c r="CU97" s="87" t="e">
        <f t="shared" ca="1" si="220"/>
        <v>#DIV/0!</v>
      </c>
      <c r="CV97" s="88" t="e">
        <f ca="1">IF(BZ97&lt;=Hypothèses!$V$7,Hypothèses!$X$7,IF(BZ97&lt;=Hypothèses!$V$8,Hypothèses!$X$8,IF(BZ97&lt;=Hypothèses!$V$9,Hypothèses!$X$9,IF(BZ97&lt;=Hypothèses!$V$10,Hypothèses!$X$10,IF(BZ97&lt;=Hypothèses!$V$11,Hypothèses!$X$11,IF(BZ97&lt;=Hypothèses!$V$12,Hypothèses!$X$12,IF(BZ97&lt;=Hypothèses!$V$13,Hypothèses!$X$13,IF(BZ97&lt;=Hypothèses!$V$14,Hypothèses!$X$14,IF(BZ97&lt;=Hypothèses!$V$15,Hypothèses!$X$15,IF(BZ97&lt;=Hypothèses!$V$16,Hypothèses!$X$16,IF(BZ97&lt;=Hypothèses!$U$17,Hypothèses!$W$17,IF(BZ97&lt;=Hypothèses!$U$18,Hypothèses!$W$18,""))))))))))))</f>
        <v>#DIV/0!</v>
      </c>
      <c r="CW97" s="95" t="e">
        <f t="shared" ca="1" si="185"/>
        <v>#DIV/0!</v>
      </c>
      <c r="CX97" s="101" t="e">
        <f t="shared" si="227"/>
        <v>#N/A</v>
      </c>
      <c r="CY97" s="91" t="e">
        <f t="shared" si="154"/>
        <v>#N/A</v>
      </c>
      <c r="CZ97" s="30" t="e">
        <f t="shared" si="208"/>
        <v>#N/A</v>
      </c>
      <c r="DA97" s="30" t="e">
        <f t="shared" si="209"/>
        <v>#N/A</v>
      </c>
      <c r="DB97" s="31" t="e">
        <f>IF(OR(Hypothèses!$B$4=17,Hypothèses!$B$4=18,Hypothèses!$B$4=19,Hypothèses!$B$4=20),
IF($D97="Pressio.",
IF(OR($E97=3,$E97=1,$E97=4),DA97,CZ97),
IF($D97="Pénétro.",
IF(OR($E97=3,$E97=1,$E97=4),DA97,CZ97))),IF($D97="Pressio.",
IF($E97=3,DA97,CZ97),
IF($D97="Pénétro.",
IF($E97=4,DA97,CZ97))))</f>
        <v>#N/A</v>
      </c>
      <c r="DC97" s="31" t="e">
        <f>(IF(OR(Hypothèses!$B$4=17,Hypothèses!$B$4=18,Hypothèses!$B$4=19,Hypothèses!$B$4=20),
IF($D97="Pressio.",
IF(OR($E97=3,$E97=1,$E97=4),(PI()*DC$12^2)/4*(CY97*$W97*1000)/($H97*$B$5),(PI()*DC$12^2)/4*(CY97*$W97*1000)/($G97*$B$5)),
IF($D97="Pénétro.",
IF(OR($E97=4,$E97=1,$E97=5),(PI()*DC$12^2)/4*(CY97*$W97*1000)/($H97*$B$5),(PI()*DC$12^2)/4*(CY97*$W97*1000)/($G97*$B$5)))),
IF($D97="Pressio.",
IF($E97=3,(PI()*DC$12^2)/4*(CY97*$W97*1000)/($H97*$B$5),(PI()*DC$12^2)/4*(CY97*$W97*1000)/($G97*$B$5)),
IF($D97="Pénétro.",
IF($E97=4,(PI()*DC$12^2)/4*(CY97*$W97*1000)/($H97*$B$5),(PI()*DC$12^2)/4*(CY97*$W97*1000)/($G97*$B$5))))))/10</f>
        <v>#N/A</v>
      </c>
      <c r="DD97" s="102" t="e">
        <f>(VLOOKUP($B$3,'Coeff EC7'!$T$39:$X$59,2,0)*DB97+VLOOKUP($B$3,'Coeff EC7'!$T$65:$X$85,2,0)*Model0.1C!DC97)/1.1</f>
        <v>#N/A</v>
      </c>
      <c r="DE97" s="102" t="e">
        <f>(VLOOKUP($B$3,'Coeff EC7'!$T$39:$X$59,3,0)*DB97+VLOOKUP($B$3,'Coeff EC7'!$T$65:$X$85,3,0)*Model0.1C!DC97)/0.9</f>
        <v>#N/A</v>
      </c>
      <c r="DF97" s="102" t="e">
        <f t="shared" si="186"/>
        <v>#N/A</v>
      </c>
      <c r="DG97" s="102" t="e">
        <f t="shared" si="187"/>
        <v>#N/A</v>
      </c>
      <c r="DH97" s="414" t="e">
        <f>IF(DH96=0,0,IF(AND(DD97&gt;charge_ELS_quasi,DE97&gt;Charge_ELS_freq,DF97&gt;charge_ELU,DG97&gt;charge_ELA,$B97&gt;NDC!$H$22-0.1+MIN(3*$DH$12,1.5)),0,1))</f>
        <v>#N/A</v>
      </c>
      <c r="DI97" s="86" t="b">
        <f t="shared" si="155"/>
        <v>0</v>
      </c>
      <c r="DJ97" s="86">
        <f t="shared" si="156"/>
        <v>0.5</v>
      </c>
      <c r="DK97" s="86">
        <f t="shared" si="157"/>
        <v>0.5</v>
      </c>
      <c r="DL97" s="30" t="e">
        <f t="shared" ca="1" si="188"/>
        <v>#DIV/0!</v>
      </c>
      <c r="DM97" s="85" t="e">
        <f ca="1">IF(CS97&lt;=Hypothèses!$V$7,Hypothèses!$W$7,IF(CS97&lt;=Hypothèses!$V$8,Hypothèses!$W$8,IF(CS97&lt;=Hypothèses!$V$9,Hypothèses!$W$9,IF(CS97&lt;=Hypothèses!$V$10,Hypothèses!$W$10,IF(CS97&lt;=Hypothèses!$V$11,Hypothèses!$W$11,IF(CS97&lt;=Hypothèses!$V$12,Hypothèses!$W$12,IF(CS97&lt;=Hypothèses!$V$13,Hypothèses!$W$13,IF(CS97&lt;=Hypothèses!$V$14,Hypothèses!$W$14,IF(CS97&lt;=Hypothèses!$V$15,Hypothèses!$W$15,IF(CS97&lt;=Hypothèses!$V$16,Hypothèses!$W$16,IF(CS97&lt;=Hypothèses!$V$17,Hypothèses!$W$17,IF(CS97&lt;=Hypothèses!$V$18,Hypothèses!$W$18,""))))))))))))</f>
        <v>#DIV/0!</v>
      </c>
      <c r="DN97" s="87" t="e">
        <f t="shared" ca="1" si="221"/>
        <v>#DIV/0!</v>
      </c>
      <c r="DO97" s="88" t="e">
        <f ca="1">IF(CS97&lt;=Hypothèses!$V$7,Hypothèses!$X$7,IF(CS97&lt;=Hypothèses!$V$8,Hypothèses!$X$8,IF(CS97&lt;=Hypothèses!$V$9,Hypothèses!$X$9,IF(CS97&lt;=Hypothèses!$V$10,Hypothèses!$X$10,IF(CS97&lt;=Hypothèses!$V$11,Hypothèses!$X$11,IF(CS97&lt;=Hypothèses!$V$12,Hypothèses!$X$12,IF(CS97&lt;=Hypothèses!$V$13,Hypothèses!$X$13,IF(CS97&lt;=Hypothèses!$V$14,Hypothèses!$X$14,IF(CS97&lt;=Hypothèses!$V$15,Hypothèses!$X$15,IF(CS97&lt;=Hypothèses!$V$16,Hypothèses!$X$16,IF(CS97&lt;=Hypothèses!$U$17,Hypothèses!$W$17,IF(CS97&lt;=Hypothèses!$U$18,Hypothèses!$W$18,""))))))))))))</f>
        <v>#DIV/0!</v>
      </c>
      <c r="DP97" s="95" t="e">
        <f t="shared" ca="1" si="189"/>
        <v>#DIV/0!</v>
      </c>
      <c r="DQ97" s="101" t="e">
        <f t="shared" si="228"/>
        <v>#N/A</v>
      </c>
      <c r="DR97" s="91" t="e">
        <f t="shared" si="158"/>
        <v>#N/A</v>
      </c>
      <c r="DS97" s="30" t="e">
        <f t="shared" si="210"/>
        <v>#N/A</v>
      </c>
      <c r="DT97" s="30" t="e">
        <f t="shared" si="211"/>
        <v>#N/A</v>
      </c>
      <c r="DU97" s="31" t="e">
        <f>IF(OR(Hypothèses!$B$4=17,Hypothèses!$B$4=18,Hypothèses!$B$4=19,Hypothèses!$B$4=20),
IF($D97="Pressio.",
IF(OR($E97=3,$E97=1,$E97=4),DT97,DS97),
IF($D97="Pénétro.",
IF(OR($E97=3,$E97=1,$E97=4),DT97,DS97))),IF($D97="Pressio.",
IF($E97=3,DT97,DS97),
IF($D97="Pénétro.",
IF($E97=4,DT97,DS97))))</f>
        <v>#N/A</v>
      </c>
      <c r="DV97" s="31" t="e">
        <f>(IF(OR(Hypothèses!$B$4=17,Hypothèses!$B$4=18,Hypothèses!$B$4=19,Hypothèses!$B$4=20),
IF($D97="Pressio.",
IF(OR($E97=3,$E97=1,$E97=4),(PI()*DV$12^2)/4*(DR97*$W97*1000)/($H97*$B$5),(PI()*DV$12^2)/4*(DR97*$W97*1000)/($G97*$B$5)),
IF($D97="Pénétro.",
IF(OR($E97=4,$E97=1,$E97=5),(PI()*DV$12^2)/4*(DR97*$W97*1000)/($H97*$B$5),(PI()*DV$12^2)/4*(DR97*$W97*1000)/($G97*$B$5)))),
IF($D97="Pressio.",
IF($E97=3,(PI()*DV$12^2)/4*(DR97*$W97*1000)/($H97*$B$5),(PI()*DV$12^2)/4*(DR97*$W97*1000)/($G97*$B$5)),
IF($D97="Pénétro.",
IF($E97=4,(PI()*DV$12^2)/4*(DR97*$W97*1000)/($H97*$B$5),(PI()*DV$12^2)/4*(DR97*$W97*1000)/($G97*$B$5))))))/10</f>
        <v>#N/A</v>
      </c>
      <c r="DW97" s="102" t="e">
        <f>(VLOOKUP($B$3,'Coeff EC7'!$T$39:$X$59,2,0)*DU97+VLOOKUP($B$3,'Coeff EC7'!$T$65:$X$85,2,0)*Model0.1C!DV97)/1.1</f>
        <v>#N/A</v>
      </c>
      <c r="DX97" s="102" t="e">
        <f>(VLOOKUP($B$3,'Coeff EC7'!$T$39:$X$59,3,0)*DU97+VLOOKUP($B$3,'Coeff EC7'!$T$65:$X$85,3,0)*Model0.1C!DV97)/0.9</f>
        <v>#N/A</v>
      </c>
      <c r="DY97" s="102" t="e">
        <f t="shared" si="190"/>
        <v>#N/A</v>
      </c>
      <c r="DZ97" s="102" t="e">
        <f t="shared" si="191"/>
        <v>#N/A</v>
      </c>
      <c r="EA97" s="414" t="e">
        <f>IF(EA96=0,0,IF(AND(DW97&gt;charge_ELS_quasi,DX97&gt;Charge_ELS_freq,DY97&gt;charge_ELU,DZ97&gt;charge_ELA,$B97&gt;NDC!$H$22-0.1+MIN(3*$EA$12,1.5)),0,1))</f>
        <v>#N/A</v>
      </c>
      <c r="EB97" s="86" t="b">
        <f t="shared" si="159"/>
        <v>0</v>
      </c>
      <c r="EC97" s="418">
        <f t="shared" si="160"/>
        <v>0.51</v>
      </c>
      <c r="ED97" s="86">
        <f t="shared" si="161"/>
        <v>0.51</v>
      </c>
      <c r="EE97" s="30" t="e">
        <f t="shared" ca="1" si="192"/>
        <v>#DIV/0!</v>
      </c>
      <c r="EF97" s="85" t="e">
        <f ca="1">IF(DL97&lt;=Hypothèses!$V$7,Hypothèses!$W$7,IF(DL97&lt;=Hypothèses!$V$8,Hypothèses!$W$8,IF(DL97&lt;=Hypothèses!$V$9,Hypothèses!$W$9,IF(DL97&lt;=Hypothèses!$V$10,Hypothèses!$W$10,IF(DL97&lt;=Hypothèses!$V$11,Hypothèses!$W$11,IF(DL97&lt;=Hypothèses!$V$12,Hypothèses!$W$12,IF(DL97&lt;=Hypothèses!$V$13,Hypothèses!$W$13,IF(DL97&lt;=Hypothèses!$V$14,Hypothèses!$W$14,IF(DL97&lt;=Hypothèses!$V$15,Hypothèses!$W$15,IF(DL97&lt;=Hypothèses!$V$16,Hypothèses!$W$16,IF(DL97&lt;=Hypothèses!$V$17,Hypothèses!$W$17,IF(DL97&lt;=Hypothèses!$V$18,Hypothèses!$W$18,""))))))))))))</f>
        <v>#DIV/0!</v>
      </c>
      <c r="EG97" s="87" t="e">
        <f t="shared" ca="1" si="222"/>
        <v>#DIV/0!</v>
      </c>
      <c r="EH97" s="88" t="e">
        <f ca="1">IF(DL97&lt;=Hypothèses!$V$7,Hypothèses!$X$7,IF(DL97&lt;=Hypothèses!$V$8,Hypothèses!$X$8,IF(DL97&lt;=Hypothèses!$V$9,Hypothèses!$X$9,IF(DL97&lt;=Hypothèses!$V$10,Hypothèses!$X$10,IF(DL97&lt;=Hypothèses!$V$11,Hypothèses!$X$11,IF(DL97&lt;=Hypothèses!$V$12,Hypothèses!$X$12,IF(DL97&lt;=Hypothèses!$V$13,Hypothèses!$X$13,IF(DL97&lt;=Hypothèses!$V$14,Hypothèses!$X$14,IF(DL97&lt;=Hypothèses!$V$15,Hypothèses!$X$15,IF(DL97&lt;=Hypothèses!$V$16,Hypothèses!$X$16,IF(DL97&lt;=Hypothèses!$U$17,Hypothèses!$W$17,IF(DL97&lt;=Hypothèses!$U$18,Hypothèses!$W$18,""))))))))))))</f>
        <v>#DIV/0!</v>
      </c>
      <c r="EI97" s="95" t="e">
        <f t="shared" ca="1" si="193"/>
        <v>#DIV/0!</v>
      </c>
      <c r="EJ97" s="101" t="e">
        <f t="shared" si="229"/>
        <v>#N/A</v>
      </c>
      <c r="EK97" s="91" t="e">
        <f t="shared" si="162"/>
        <v>#N/A</v>
      </c>
      <c r="EL97" s="30" t="e">
        <f t="shared" si="212"/>
        <v>#N/A</v>
      </c>
      <c r="EM97" s="30" t="e">
        <f t="shared" si="213"/>
        <v>#N/A</v>
      </c>
      <c r="EN97" s="31" t="e">
        <f>IF(OR(Hypothèses!$B$4=17,Hypothèses!$B$4=18,Hypothèses!$B$4=19,Hypothèses!$B$4=20),
IF($D97="Pressio.",
IF(OR($E97=3,$E97=1,$E97=4),EM97,EL97),
IF($D97="Pénétro.",
IF(OR($E97=3,$E97=1,$E97=4),EM97,EL97))),IF($D97="Pressio.",
IF($E97=3,EM97,EL97),
IF($D97="Pénétro.",
IF($E97=4,EM97,EL97))))</f>
        <v>#N/A</v>
      </c>
      <c r="EO97" s="31" t="e">
        <f>(IF(OR(Hypothèses!$B$4=17,Hypothèses!$B$4=18,Hypothèses!$B$4=19,Hypothèses!$B$4=20),
IF($D97="Pressio.",
IF(OR($E97=3,$E97=1,$E97=4),(PI()*EO$12^2)/4*(EK97*$W97*1000)/($H97*$B$5),(PI()*EO$12^2)/4*(EK97*$W97*1000)/($G97*$B$5)),
IF($D97="Pénétro.",
IF(OR($E97=4,$E97=1,$E97=5),(PI()*EO$12^2)/4*(EK97*$W97*1000)/($H97*$B$5),(PI()*EO$12^2)/4*(EK97*$W97*1000)/($G97*$B$5)))),
IF($D97="Pressio.",
IF($E97=3,(PI()*EO$12^2)/4*(EK97*$W97*1000)/($H97*$B$5),(PI()*EO$12^2)/4*(EK97*$W97*1000)/($G97*$B$5)),
IF($D97="Pénétro.",
IF($E97=4,(PI()*EO$12^2)/4*(EK97*$W97*1000)/($H97*$B$5),(PI()*EO$12^2)/4*(EK97*$W97*1000)/($G97*$B$5))))))/10</f>
        <v>#N/A</v>
      </c>
      <c r="EP97" s="102" t="e">
        <f>(VLOOKUP($B$3,'Coeff EC7'!$T$39:$X$59,2,0)*EN97+VLOOKUP($B$3,'Coeff EC7'!$T$65:$X$85,2,0)*Model0.1C!EO97)/1.1</f>
        <v>#N/A</v>
      </c>
      <c r="EQ97" s="102" t="e">
        <f>(VLOOKUP($B$3,'Coeff EC7'!$T$39:$X$59,3,0)*EN97+VLOOKUP($B$3,'Coeff EC7'!$T$65:$X$85,3,0)*Model0.1C!EO97)/0.9</f>
        <v>#N/A</v>
      </c>
      <c r="ER97" s="102" t="e">
        <f t="shared" si="194"/>
        <v>#N/A</v>
      </c>
      <c r="ES97" s="102" t="e">
        <f t="shared" si="195"/>
        <v>#N/A</v>
      </c>
      <c r="ET97" s="414" t="e">
        <f>IF(ET96=0,0,IF(AND(EP97&gt;charge_ELS_quasi,EQ97&gt;Charge_ELS_freq,ER97&gt;charge_ELU,ES97&gt;charge_ELA,$B97&gt;NDC!$H$22-0.1+MIN(3*$ET$12,1.5)),0,1))</f>
        <v>#N/A</v>
      </c>
      <c r="EU97" s="86" t="b">
        <f t="shared" si="163"/>
        <v>0</v>
      </c>
      <c r="EV97" s="86">
        <f t="shared" si="164"/>
        <v>0.61</v>
      </c>
      <c r="EW97" s="86">
        <f t="shared" si="165"/>
        <v>0.61</v>
      </c>
      <c r="EX97" s="30" t="e">
        <f t="shared" ca="1" si="196"/>
        <v>#DIV/0!</v>
      </c>
      <c r="EY97" s="85" t="e">
        <f ca="1">IF(EE97&lt;=Hypothèses!$V$7,Hypothèses!$W$7,IF(EE97&lt;=Hypothèses!$V$8,Hypothèses!$W$8,IF(EE97&lt;=Hypothèses!$V$9,Hypothèses!$W$9,IF(EE97&lt;=Hypothèses!$V$10,Hypothèses!$W$10,IF(EE97&lt;=Hypothèses!$V$11,Hypothèses!$W$11,IF(EE97&lt;=Hypothèses!$V$12,Hypothèses!$W$12,IF(EE97&lt;=Hypothèses!$V$13,Hypothèses!$W$13,IF(EE97&lt;=Hypothèses!$V$14,Hypothèses!$W$14,IF(EE97&lt;=Hypothèses!$V$15,Hypothèses!$W$15,IF(EE97&lt;=Hypothèses!$V$16,Hypothèses!$W$16,IF(EE97&lt;=Hypothèses!$V$17,Hypothèses!$W$17,IF(EE97&lt;=Hypothèses!$V$18,Hypothèses!$W$18,""))))))))))))</f>
        <v>#DIV/0!</v>
      </c>
      <c r="EZ97" s="87" t="e">
        <f t="shared" ca="1" si="223"/>
        <v>#DIV/0!</v>
      </c>
      <c r="FA97" s="88" t="e">
        <f ca="1">IF(EE97&lt;=Hypothèses!$V$7,Hypothèses!$X$7,IF(EE97&lt;=Hypothèses!$V$8,Hypothèses!$X$8,IF(EE97&lt;=Hypothèses!$V$9,Hypothèses!$X$9,IF(EE97&lt;=Hypothèses!$V$10,Hypothèses!$X$10,IF(EE97&lt;=Hypothèses!$V$11,Hypothèses!$X$11,IF(EE97&lt;=Hypothèses!$V$12,Hypothèses!$X$12,IF(EE97&lt;=Hypothèses!$V$13,Hypothèses!$X$13,IF(EE97&lt;=Hypothèses!$V$14,Hypothèses!$X$14,IF(EE97&lt;=Hypothèses!$V$15,Hypothèses!$X$15,IF(EE97&lt;=Hypothèses!$V$16,Hypothèses!$X$16,IF(EE97&lt;=Hypothèses!$U$17,Hypothèses!$W$17,IF(EE97&lt;=Hypothèses!$U$18,Hypothèses!$W$18,""))))))))))))</f>
        <v>#DIV/0!</v>
      </c>
      <c r="FB97" s="95" t="e">
        <f t="shared" ca="1" si="197"/>
        <v>#DIV/0!</v>
      </c>
      <c r="FC97" s="101" t="e">
        <f t="shared" si="230"/>
        <v>#N/A</v>
      </c>
      <c r="FD97" s="91" t="e">
        <f t="shared" si="166"/>
        <v>#N/A</v>
      </c>
      <c r="FE97" s="30" t="e">
        <f t="shared" si="214"/>
        <v>#N/A</v>
      </c>
      <c r="FF97" s="30" t="e">
        <f t="shared" si="215"/>
        <v>#N/A</v>
      </c>
      <c r="FG97" s="31" t="e">
        <f>IF(OR(Hypothèses!$B$4=17,Hypothèses!$B$4=18,Hypothèses!$B$4=19,Hypothèses!$B$4=20),
IF($D97="Pressio.",
IF(OR($E97=3,$E97=1,$E97=4),FF97,FE97),
IF($D97="Pénétro.",
IF(OR($E97=3,$E97=1,$E97=4),FF97,FE97))),IF($D97="Pressio.",
IF($E97=3,FF97,FE97),
IF($D97="Pénétro.",
IF($E97=4,FF97,FE97))))</f>
        <v>#N/A</v>
      </c>
      <c r="FH97" s="31" t="e">
        <f>(IF(OR(Hypothèses!$B$4=17,Hypothèses!$B$4=18,Hypothèses!$B$4=19,Hypothèses!$B$4=20),
IF($D97="Pressio.",
IF(OR($E97=3,$E97=1,$E97=4),(PI()*FH$12^2)/4*(FD97*$W97*1000)/($H97*$B$5),(PI()*FH$12^2)/4*(FD97*$W97*1000)/($G97*$B$5)),
IF($D97="Pénétro.",
IF(OR($E97=4,$E97=1,$E97=5),(PI()*FH$12^2)/4*(FD97*$W97*1000)/($H97*$B$5),(PI()*FH$12^2)/4*(FD97*$W97*1000)/($G97*$B$5)))),
IF($D97="Pressio.",
IF($E97=3,(PI()*FH$12^2)/4*(FD97*$W97*1000)/($H97*$B$5),(PI()*FH$12^2)/4*(FD97*$W97*1000)/($G97*$B$5)),
IF($D97="Pénétro.",
IF($E97=4,(PI()*FH$12^2)/4*(FD97*$W97*1000)/($H97*$B$5),(PI()*FH$12^2)/4*(FD97*$W97*1000)/($G97*$B$5))))))/10</f>
        <v>#N/A</v>
      </c>
      <c r="FI97" s="102" t="e">
        <f>(VLOOKUP($B$3,'Coeff EC7'!$T$39:$X$59,2,0)*FG97+VLOOKUP($B$3,'Coeff EC7'!$T$65:$X$85,2,0)*Model0.1C!FH97)/1.1</f>
        <v>#N/A</v>
      </c>
      <c r="FJ97" s="102" t="e">
        <f>(VLOOKUP($B$3,'Coeff EC7'!$T$39:$X$59,3,0)*FG97+VLOOKUP($B$3,'Coeff EC7'!$T$65:$X$85,3,0)*Model0.1C!FH97)/0.9</f>
        <v>#N/A</v>
      </c>
      <c r="FK97" s="102" t="e">
        <f t="shared" si="198"/>
        <v>#N/A</v>
      </c>
      <c r="FL97" s="102" t="e">
        <f t="shared" si="199"/>
        <v>#N/A</v>
      </c>
      <c r="FM97" s="414" t="e">
        <f>IF(FM96=0,0,IF(AND(FI97&gt;charge_ELS_quasi,FJ97&gt;Charge_ELS_freq,FK97&gt;charge_ELU,FL97&gt;charge_ELA,$B97&gt;NDC!$H$22-0.1+MIN(3*$FM$12,1.5)),0,1))</f>
        <v>#N/A</v>
      </c>
    </row>
    <row r="98" spans="1:169">
      <c r="A98" s="96">
        <f t="shared" si="167"/>
        <v>91.500000000000483</v>
      </c>
      <c r="B98" s="97">
        <v>8.5</v>
      </c>
      <c r="C98" s="81">
        <f>IF(B98&lt;=Hypothèses!$C$7,Hypothèses!$A$7,IF(B98&lt;=Hypothèses!$C$8,Hypothèses!$A$8,IF(B98&lt;=Hypothèses!$C$9,Hypothèses!$A$9,IF(B98&lt;=Hypothèses!$C$10,Hypothèses!$A$10,IF(B98&lt;=Hypothèses!$C$11,Hypothèses!$A$11,IF(B98&lt;=Hypothèses!$C$12,Hypothèses!$A$12,IF(B98&lt;=Hypothèses!$C$13,Hypothèses!$A$13,IF(B98&lt;=Hypothèses!$C$14,Hypothèses!$A$14,IF(B98&lt;=Hypothèses!$C$15,Hypothèses!$A$15,IF(B98&lt;=Hypothèses!$C$16,Hypothèses!$A$16,IF(B98&lt;=Hypothèses!$C$17,Hypothèses!$A$17,IF(B98&lt;=Hypothèses!$C$18,Hypothèses!$A$18,C97))))))))))))</f>
        <v>11</v>
      </c>
      <c r="D98" s="82" t="str">
        <f>IF(B98&lt;=Hypothèses!$C$7,Hypothèses!$R$7,IF(B98&lt;=Hypothèses!$C$8,Hypothèses!$R$8,IF(B98&lt;=Hypothèses!$C$9,Hypothèses!$R$9,IF(B98&lt;=Hypothèses!$C$10,Hypothèses!$R$10,IF(B98&lt;=Hypothèses!$C$11,Hypothèses!$R$11,IF(B98&lt;=Hypothèses!$C$12,Hypothèses!$R$12,IF(B98&lt;=Hypothèses!$C$13,Hypothèses!$R$13,IF(B98&lt;=Hypothèses!$C$14,Hypothèses!$R$14,IF(B98&lt;=Hypothèses!$C$15,Hypothèses!$R$15,IF(B98&lt;=Hypothèses!$C$16,Hypothèses!$R$16,IF(B98&lt;=Hypothèses!$C$17,Hypothèses!$R$17,IF(B98&lt;=Hypothèses!$C$18,Hypothèses!$R$18,D97))))))))))))</f>
        <v>Pressio.</v>
      </c>
      <c r="E98" s="82" t="e">
        <f>IF(B98&lt;=Hypothèses!$C$7,Hypothèses!$G$7,IF(B98&lt;=Hypothèses!$C$8,Hypothèses!$G$8,IF(B98&lt;=Hypothèses!$C$9,Hypothèses!$G$9,IF(B98&lt;=Hypothèses!$C$10,Hypothèses!$G$10,IF(B98&lt;=Hypothèses!$C$11,Hypothèses!$G$11,IF(B98&lt;=Hypothèses!$C$12,Hypothèses!$G$12,IF(B98&lt;=Hypothèses!$C$13,Hypothèses!$G$13,IF(B98&lt;=Hypothèses!$C$14,Hypothèses!$G$14,IF(B98&lt;=Hypothèses!$C$15,Hypothèses!$G$15,IF(B98&lt;=Hypothèses!$C$16,Hypothèses!$G$16,IF(B98&lt;=Hypothèses!$C$17,Hypothèses!$G$17,IF(B98&lt;=Hypothèses!$C$18,Hypothèses!$G$18,E97))))))))))))</f>
        <v>#N/A</v>
      </c>
      <c r="F98" s="82" t="str">
        <f>IF(B98&lt;=Hypothèses!$C$7,Hypothèses!$F$7,IF(B98&lt;=Hypothèses!$C$8,Hypothèses!$F$8,IF(B98&lt;=Hypothèses!$C$9,Hypothèses!$F$9,IF(B98&lt;=Hypothèses!$C$10,Hypothèses!$F$10,IF(B98&lt;=Hypothèses!$C$11,Hypothèses!$F$11,IF(B98&lt;=Hypothèses!$C$12,Hypothèses!$F$12,IF(B98&lt;=Hypothèses!$C$13,Hypothèses!$F$13,IF(B98&lt;=Hypothèses!$C$14,Hypothèses!$F$14,IF(B98&lt;=Hypothèses!$C$15,Hypothèses!$F$15,IF(B98&lt;=Hypothèses!$C$16,Hypothèses!$F$16,IF(B98&lt;=Hypothèses!$C$17,Hypothèses!$F$17,IF(B98&lt;=Hypothèses!$C$18,Hypothèses!$F$18,F97))))))))))))</f>
        <v/>
      </c>
      <c r="G98" s="91">
        <f t="array" ref="G98">INDEX('Coeff EC7'!$U$7:$X$27,
MATCH(Model0.1C!$B$3,'Coeff EC7'!$T$7:$T$27,0),
MATCH(Model0.1C!$D98&amp;Model0.1C!$B$4,
'Coeff EC7'!$U$6:$X$6&amp;
'Coeff EC7'!$U$5:$X$5,0))</f>
        <v>1.1499999999999999</v>
      </c>
      <c r="H98" s="91">
        <f t="array" ref="H98">INDEX('Coeff EC7'!$Y$7:$AB$27,
MATCH(Model0.1C!$B$3,'Coeff EC7'!$T$7:$T$27,0),
MATCH(Model0.1C!$D98&amp;Model0.1C!$B$4,
'Coeff EC7'!$Y$6:$AB$6&amp;
'Coeff EC7'!$Y$5:$AB$5,0))</f>
        <v>1.4</v>
      </c>
      <c r="I98" s="83" t="e">
        <f>IF(B98&lt;=Hypothèses!$C$7,Hypothèses!$P$7,IF(B98&lt;=Hypothèses!$C$8,Hypothèses!$P$8,IF(B98&lt;=Hypothèses!$C$9,Hypothèses!$P$9,IF(B98&lt;=Hypothèses!$C$10,Hypothèses!$P$10,IF(B98&lt;=Hypothèses!$C$11,Hypothèses!$P$11,IF(B98&lt;=Hypothèses!$C$12,Hypothèses!$P$12,IF(B98&lt;=Hypothèses!$C$13,Hypothèses!$P$13,IF(B98&lt;=Hypothèses!$C$14,Hypothèses!$P$14,IF(B98&lt;=Hypothèses!$C$15,Hypothèses!$P$15,IF(B98&lt;=Hypothèses!$C$16,Hypothèses!$P$16,IF(B98&lt;=Hypothèses!$C$17,Hypothèses!$P$17,IF(B98&lt;=Hypothèses!$C$18,Hypothèses!$P$18,I97))))))))))))</f>
        <v>#N/A</v>
      </c>
      <c r="J98" s="91" t="e">
        <f t="array" ref="J98">INDEX('Coeff EC7'!$D$33:$Q$33,1,MATCH(D98&amp;E98,'Coeff EC7'!$D$31:$Q$31&amp;'Coeff EC7'!$D$32:$Q$32,0))</f>
        <v>#N/A</v>
      </c>
      <c r="K98" s="91" t="e">
        <f t="array" ref="K98">INDEX('Coeff EC7'!$D$34:$Q$34,1,MATCH(D98&amp;E98,'Coeff EC7'!$D$31:$Q$31&amp;'Coeff EC7'!$D$32:$Q$32,0))</f>
        <v>#N/A</v>
      </c>
      <c r="L98" s="91" t="e">
        <f t="array" ref="L98">INDEX('Coeff EC7'!$D$35:$Q$35,1,MATCH(D98&amp;E98,'Coeff EC7'!$D$31:$Q$31&amp;'Coeff EC7'!$D$32:$Q$32,0))</f>
        <v>#N/A</v>
      </c>
      <c r="M98" s="98" t="e">
        <f t="shared" si="131"/>
        <v>#N/A</v>
      </c>
      <c r="N98" s="99" t="e">
        <f t="array" ref="N98">INDEX('Coeff EC7'!$D$7:$Q$27,MATCH($B$3,'Coeff EC7'!$C$7:$C$27,0),MATCH(D98&amp;E98,'Coeff EC7'!$D$5:$Q$5&amp;'Coeff EC7'!$D$6:$Q$6,0))</f>
        <v>#N/A</v>
      </c>
      <c r="O98" s="99" t="e">
        <f t="array" ref="O98">INDEX('Coeff EC7'!$D$41:$Q$61,MATCH($B$3,'Coeff EC7'!$C$41:$C$61,0),MATCH(D98&amp;E98,'Coeff EC7'!$D$39:$Q$39&amp;'Coeff EC7'!$D$40:$Q$40,0))</f>
        <v>#N/A</v>
      </c>
      <c r="P98" s="30" t="e">
        <f t="shared" si="168"/>
        <v>#N/A</v>
      </c>
      <c r="Q98" s="100" t="e">
        <f t="shared" si="133"/>
        <v>#N/A</v>
      </c>
      <c r="R98" s="86" t="b">
        <f t="shared" si="134"/>
        <v>0</v>
      </c>
      <c r="S98" s="86">
        <f t="shared" si="132"/>
        <v>0.5</v>
      </c>
      <c r="T98" s="86">
        <f t="shared" si="135"/>
        <v>0.5</v>
      </c>
      <c r="U98" s="30" t="e">
        <f t="shared" ca="1" si="169"/>
        <v>#DIV/0!</v>
      </c>
      <c r="V98" s="85" t="str">
        <f>IF(B98&lt;=Hypothèses!$V$7,Hypothèses!$W$7,IF(B98&lt;=Hypothèses!$V$8,Hypothèses!$W$8,IF(B98&lt;=Hypothèses!$V$9,Hypothèses!$W$9,IF(B98&lt;=Hypothèses!$V$10,Hypothèses!$W$10,IF(B98&lt;=Hypothèses!$V$11,Hypothèses!$W$11,IF(B98&lt;=Hypothèses!$V$12,Hypothèses!$W$12,IF(B98&lt;=Hypothèses!$V$13,Hypothèses!$W$13,IF(B98&lt;=Hypothèses!$V$14,Hypothèses!$W$14,IF(B98&lt;=Hypothèses!$V$15,Hypothèses!$W$15,IF(B98&lt;=Hypothèses!$V$16,Hypothèses!$W$16,IF(B98&lt;=Hypothèses!$V$17,Hypothèses!$W$17,IF(B98&lt;=Hypothèses!$V$18,Hypothèses!$W$18,""))))))))))))</f>
        <v/>
      </c>
      <c r="W98" s="87" t="e">
        <f t="shared" ca="1" si="216"/>
        <v>#DIV/0!</v>
      </c>
      <c r="X98" s="88" t="str">
        <f>IF(B98&lt;=Hypothèses!$V$7,Hypothèses!$X$7,IF(B98&lt;=Hypothèses!$V$8,Hypothèses!$X$8,IF(B98&lt;=Hypothèses!$V$9,Hypothèses!$X$9,IF(B98&lt;=Hypothèses!$V$10,Hypothèses!$X$10,IF(B98&lt;=Hypothèses!$V$11,Hypothèses!$X$11,IF(B98&lt;=Hypothèses!$V$12,Hypothèses!$X$12,IF(B98&lt;=Hypothèses!$V$13,Hypothèses!$X$13,IF(B98&lt;=Hypothèses!$V$14,Hypothèses!$X$14,IF(B98&lt;=Hypothèses!$V$15,Hypothèses!$X$15,IF(B98&lt;=Hypothèses!$V$16,Hypothèses!$X$16,IF(B98&lt;=Hypothèses!$U$17,Hypothèses!$W$17,IF(B98&lt;=Hypothèses!$U$18,Hypothèses!$W$18,""))))))))))))</f>
        <v/>
      </c>
      <c r="Y98" s="95" t="e">
        <f t="shared" ca="1" si="136"/>
        <v>#DIV/0!</v>
      </c>
      <c r="Z98" s="101" t="e">
        <f t="shared" si="137"/>
        <v>#N/A</v>
      </c>
      <c r="AA98" s="91" t="e">
        <f t="shared" si="138"/>
        <v>#N/A</v>
      </c>
      <c r="AB98" s="30" t="e">
        <f t="shared" si="200"/>
        <v>#N/A</v>
      </c>
      <c r="AC98" s="30" t="e">
        <f t="shared" si="201"/>
        <v>#N/A</v>
      </c>
      <c r="AD98" s="31" t="e">
        <f>IF(OR(Hypothèses!$B$4=17,Hypothèses!$B$4=18,Hypothèses!$B$4=19,Hypothèses!$B$4=20),
IF($D98="Pressio.",
IF(OR($E98=3,$E98=1,$E98=4),AC98,AB98),
IF($D98="Pénétro.",
IF(OR($E98=3,$E98=1,$E98=4),AC98,AB98))),IF($D98="Pressio.",
IF($E98=3,AC98,AB98),
IF($D98="Pénétro.",
IF($E98=4,AC98,AB98))))</f>
        <v>#N/A</v>
      </c>
      <c r="AE98" s="31" t="e">
        <f>(IF(OR(Hypothèses!$B$4=17,Hypothèses!$B$4=18,Hypothèses!$B$4=19,Hypothèses!$B$4=20),
IF($D98="Pressio.",
IF(OR($E98=3,$E98=1,$E98=4),(PI()*AE$12^2)/4*(AA98*$W98*1000)/($H98*$B$5),(PI()*AE$12^2)/4*(AA98*$W98*1000)/($G98*$B$5)),
IF($D98="Pénétro.",
IF(OR($E98=4,$E98=1,$E98=5),(PI()*AE$12^2)/4*(AA98*$W98*1000)/($H98*$B$5),(PI()*AE$12^2)/4*(AA98*$W98*1000)/($G98*$B$5)))),
IF($D98="Pressio.",
IF($E98=3,(PI()*AE$12^2)/4*(AA98*$W98*1000)/($H98*$B$5),(PI()*AE$12^2)/4*(AA98*$W98*1000)/($G98*$B$5)),
IF($D98="Pénétro.",
IF($E98=4,(PI()*AE$12^2)/4*(AA98*$W98*1000)/($H98*$B$5),(PI()*AE$12^2)/4*(AA98*$W98*1000)/($G98*$B$5))))))/10</f>
        <v>#N/A</v>
      </c>
      <c r="AF98" s="102" t="e">
        <f>(VLOOKUP($B$3,'Coeff EC7'!$T$39:$X$59,2,0)*AD98+VLOOKUP($B$3,'Coeff EC7'!$T$65:$X$85,2,0)*Model0.1C!AE98)/1.1</f>
        <v>#N/A</v>
      </c>
      <c r="AG98" s="102" t="e">
        <f>(VLOOKUP($B$3,'Coeff EC7'!$T$39:$X$59,3,0)*AD98+VLOOKUP($B$3,'Coeff EC7'!$T$65:$X$85,3,0)*Model0.1C!AE98)/0.9</f>
        <v>#N/A</v>
      </c>
      <c r="AH98" s="102" t="e">
        <f t="shared" si="139"/>
        <v>#N/A</v>
      </c>
      <c r="AI98" s="102" t="e">
        <f t="shared" si="140"/>
        <v>#N/A</v>
      </c>
      <c r="AJ98" s="414" t="e">
        <f>IF(AJ97=0,0,IF(AND(AF98&gt;charge_ELS_quasi,AG98&gt;Charge_ELS_freq,AH98&gt;charge_ELU,AI98&gt;charge_ELA,$B98&gt;NDC!$H$22-0.1+MIN(3*$AJ$12,1.5)),0,1))</f>
        <v>#N/A</v>
      </c>
      <c r="AK98" s="86" t="b">
        <f t="shared" si="141"/>
        <v>0</v>
      </c>
      <c r="AL98" s="86">
        <f t="shared" si="170"/>
        <v>0.5</v>
      </c>
      <c r="AM98" s="86">
        <f t="shared" si="142"/>
        <v>0.5</v>
      </c>
      <c r="AN98" s="30" t="e">
        <f t="shared" ca="1" si="171"/>
        <v>#DIV/0!</v>
      </c>
      <c r="AO98" s="85" t="e">
        <f ca="1">IF(U98&lt;=Hypothèses!$V$7,Hypothèses!$W$7,IF(U98&lt;=Hypothèses!$V$8,Hypothèses!$W$8,IF(U98&lt;=Hypothèses!$V$9,Hypothèses!$W$9,IF(U98&lt;=Hypothèses!$V$10,Hypothèses!$W$10,IF(U98&lt;=Hypothèses!$V$11,Hypothèses!$W$11,IF(U98&lt;=Hypothèses!$V$12,Hypothèses!$W$12,IF(U98&lt;=Hypothèses!$V$13,Hypothèses!$W$13,IF(U98&lt;=Hypothèses!$V$14,Hypothèses!$W$14,IF(U98&lt;=Hypothèses!$V$15,Hypothèses!$W$15,IF(U98&lt;=Hypothèses!$V$16,Hypothèses!$W$16,IF(U98&lt;=Hypothèses!$V$17,Hypothèses!$W$17,IF(U98&lt;=Hypothèses!$V$18,Hypothèses!$W$18,""))))))))))))</f>
        <v>#DIV/0!</v>
      </c>
      <c r="AP98" s="87" t="e">
        <f t="shared" ca="1" si="217"/>
        <v>#DIV/0!</v>
      </c>
      <c r="AQ98" s="88" t="e">
        <f ca="1">IF(U98&lt;=Hypothèses!$V$7,Hypothèses!$X$7,IF(U98&lt;=Hypothèses!$V$8,Hypothèses!$X$8,IF(U98&lt;=Hypothèses!$V$9,Hypothèses!$X$9,IF(U98&lt;=Hypothèses!$V$10,Hypothèses!$X$10,IF(U98&lt;=Hypothèses!$V$11,Hypothèses!$X$11,IF(U98&lt;=Hypothèses!$V$12,Hypothèses!$X$12,IF(U98&lt;=Hypothèses!$V$13,Hypothèses!$X$13,IF(U98&lt;=Hypothèses!$V$14,Hypothèses!$X$14,IF(U98&lt;=Hypothèses!$V$15,Hypothèses!$X$15,IF(U98&lt;=Hypothèses!$V$16,Hypothèses!$X$16,IF(U98&lt;=Hypothèses!$U$17,Hypothèses!$W$17,IF(U98&lt;=Hypothèses!$U$18,Hypothèses!$W$18,""))))))))))))</f>
        <v>#DIV/0!</v>
      </c>
      <c r="AR98" s="95" t="e">
        <f t="shared" ca="1" si="172"/>
        <v>#DIV/0!</v>
      </c>
      <c r="AS98" s="101" t="e">
        <f t="shared" si="224"/>
        <v>#N/A</v>
      </c>
      <c r="AT98" s="91" t="e">
        <f t="shared" si="143"/>
        <v>#N/A</v>
      </c>
      <c r="AU98" s="30" t="e">
        <f t="shared" si="202"/>
        <v>#N/A</v>
      </c>
      <c r="AV98" s="30" t="e">
        <f t="shared" si="203"/>
        <v>#N/A</v>
      </c>
      <c r="AW98" s="31" t="e">
        <f>IF(OR(Hypothèses!$B$4=17,Hypothèses!$B$4=18,Hypothèses!$B$4=19,Hypothèses!$B$4=20),
IF($D98="Pressio.",
IF(OR($E98=3,$E98=1,$E98=4),AV98,AU98),
IF($D98="Pénétro.",
IF(OR($E98=3,$E98=1,$E98=4),AV98,AU98))),IF($D98="Pressio.",
IF($E98=3,AV98,AU98),
IF($D98="Pénétro.",
IF($E98=4,AV98,AU98))))</f>
        <v>#N/A</v>
      </c>
      <c r="AX98" s="31" t="e">
        <f>(IF(OR(Hypothèses!$B$4=17,Hypothèses!$B$4=18,Hypothèses!$B$4=19,Hypothèses!$B$4=20),
IF($D98="Pressio.",
IF(OR($E98=3,$E98=1,$E98=4),(PI()*AX$12^2)/4*(AT98*$W98*1000)/($H98*$B$5),(PI()*AX$12^2)/4*(AT98*$W98*1000)/($G98*$B$5)),
IF($D98="Pénétro.",
IF(OR($E98=4,$E98=1,$E98=5),(PI()*AX$12^2)/4*(AT98*$W98*1000)/($H98*$B$5),(PI()*AX$12^2)/4*(AT98*$W98*1000)/($G98*$B$5)))),
IF($D98="Pressio.",
IF($E98=3,(PI()*AX$12^2)/4*(AT98*$W98*1000)/($H98*$B$5),(PI()*AX$12^2)/4*(AT98*$W98*1000)/($G98*$B$5)),
IF($D98="Pénétro.",
IF($E98=4,(PI()*AX$12^2)/4*(AT98*$W98*1000)/($H98*$B$5),(PI()*AX$12^2)/4*(AT98*$W98*1000)/($G98*$B$5))))))/10</f>
        <v>#N/A</v>
      </c>
      <c r="AY98" s="102" t="e">
        <f>(VLOOKUP($B$3,'Coeff EC7'!$T$39:$X$59,2,0)*AW98+VLOOKUP($B$3,'Coeff EC7'!$T$65:$X$85,2,0)*Model0.1C!AX98)/1.1</f>
        <v>#N/A</v>
      </c>
      <c r="AZ98" s="102" t="e">
        <f>(VLOOKUP($B$3,'Coeff EC7'!$T$39:$X$59,3,0)*AW98+VLOOKUP($B$3,'Coeff EC7'!$T$65:$X$85,3,0)*Model0.1C!AX98)/0.9</f>
        <v>#N/A</v>
      </c>
      <c r="BA98" s="102" t="e">
        <f t="shared" si="173"/>
        <v>#N/A</v>
      </c>
      <c r="BB98" s="102" t="e">
        <f t="shared" si="174"/>
        <v>#N/A</v>
      </c>
      <c r="BC98" s="414" t="e">
        <f>IF(BC97=0,0,IF(AND(AY98&gt;charge_ELS_quasi,AZ98&gt;Charge_ELS_freq,BA98&gt;charge_ELU,BB98&gt;charge_ELA,$B98&gt;NDC!$H$22-0.1+MIN(3*$BC$12,1.5)),0,1))</f>
        <v>#N/A</v>
      </c>
      <c r="BD98" s="86" t="b">
        <f t="shared" si="144"/>
        <v>0</v>
      </c>
      <c r="BE98" s="86">
        <f t="shared" si="175"/>
        <v>0.5</v>
      </c>
      <c r="BF98" s="86">
        <f t="shared" si="145"/>
        <v>0.5</v>
      </c>
      <c r="BG98" s="30" t="e">
        <f t="shared" ca="1" si="176"/>
        <v>#DIV/0!</v>
      </c>
      <c r="BH98" s="85" t="e">
        <f ca="1">IF(AN98&lt;=Hypothèses!$V$7,Hypothèses!$W$7,IF(AN98&lt;=Hypothèses!$V$8,Hypothèses!$W$8,IF(AN98&lt;=Hypothèses!$V$9,Hypothèses!$W$9,IF(AN98&lt;=Hypothèses!$V$10,Hypothèses!$W$10,IF(AN98&lt;=Hypothèses!$V$11,Hypothèses!$W$11,IF(AN98&lt;=Hypothèses!$V$12,Hypothèses!$W$12,IF(AN98&lt;=Hypothèses!$V$13,Hypothèses!$W$13,IF(AN98&lt;=Hypothèses!$V$14,Hypothèses!$W$14,IF(AN98&lt;=Hypothèses!$V$15,Hypothèses!$W$15,IF(AN98&lt;=Hypothèses!$V$16,Hypothèses!$W$16,IF(AN98&lt;=Hypothèses!$V$17,Hypothèses!$W$17,IF(AN98&lt;=Hypothèses!$V$18,Hypothèses!$W$18,""))))))))))))</f>
        <v>#DIV/0!</v>
      </c>
      <c r="BI98" s="87" t="e">
        <f t="shared" ca="1" si="218"/>
        <v>#DIV/0!</v>
      </c>
      <c r="BJ98" s="88" t="e">
        <f ca="1">IF(AN98&lt;=Hypothèses!$V$7,Hypothèses!$X$7,IF(AN98&lt;=Hypothèses!$V$8,Hypothèses!$X$8,IF(AN98&lt;=Hypothèses!$V$9,Hypothèses!$X$9,IF(AN98&lt;=Hypothèses!$V$10,Hypothèses!$X$10,IF(AN98&lt;=Hypothèses!$V$11,Hypothèses!$X$11,IF(AN98&lt;=Hypothèses!$V$12,Hypothèses!$X$12,IF(AN98&lt;=Hypothèses!$V$13,Hypothèses!$X$13,IF(AN98&lt;=Hypothèses!$V$14,Hypothèses!$X$14,IF(AN98&lt;=Hypothèses!$V$15,Hypothèses!$X$15,IF(AN98&lt;=Hypothèses!$V$16,Hypothèses!$X$16,IF(AN98&lt;=Hypothèses!$U$17,Hypothèses!$W$17,IF(AN98&lt;=Hypothèses!$U$18,Hypothèses!$W$18,""))))))))))))</f>
        <v>#DIV/0!</v>
      </c>
      <c r="BK98" s="95" t="e">
        <f t="shared" ca="1" si="177"/>
        <v>#DIV/0!</v>
      </c>
      <c r="BL98" s="101" t="e">
        <f t="shared" si="225"/>
        <v>#N/A</v>
      </c>
      <c r="BM98" s="91" t="e">
        <f t="shared" si="146"/>
        <v>#N/A</v>
      </c>
      <c r="BN98" s="30" t="e">
        <f t="shared" si="204"/>
        <v>#N/A</v>
      </c>
      <c r="BO98" s="30" t="e">
        <f t="shared" si="205"/>
        <v>#N/A</v>
      </c>
      <c r="BP98" s="31" t="e">
        <f>IF(OR(Hypothèses!$B$4=17,Hypothèses!$B$4=18,Hypothèses!$B$4=19,Hypothèses!$B$4=20),
IF($D98="Pressio.",
IF(OR($E98=3,$E98=1,$E98=4),BO98,BN98),
IF($D98="Pénétro.",
IF(OR($E98=3,$E98=1,$E98=4),BO98,BN98))),IF($D98="Pressio.",
IF($E98=3,BO98,BN98),
IF($D98="Pénétro.",
IF($E98=4,BO98,BN98))))</f>
        <v>#N/A</v>
      </c>
      <c r="BQ98" s="31" t="e">
        <f>(IF(OR(Hypothèses!$B$4=17,Hypothèses!$B$4=18,Hypothèses!$B$4=19,Hypothèses!$B$4=20),
IF($D98="Pressio.",
IF(OR($E98=3,$E98=1,$E98=4),(PI()*BQ$12^2)/4*(BM98*$W98*1000)/($H98*$B$5),(PI()*BQ$12^2)/4*(BM98*$W98*1000)/($G98*$B$5)),
IF($D98="Pénétro.",
IF(OR($E98=4,$E98=1,$E98=5),(PI()*BQ$12^2)/4*(BM98*$W98*1000)/($H98*$B$5),(PI()*BQ$12^2)/4*(BM98*$W98*1000)/($G98*$B$5)))),
IF($D98="Pressio.",
IF($E98=3,(PI()*BQ$12^2)/4*(BM98*$W98*1000)/($H98*$B$5),(PI()*BQ$12^2)/4*(BM98*$W98*1000)/($G98*$B$5)),
IF($D98="Pénétro.",
IF($E98=4,(PI()*BQ$12^2)/4*(BM98*$W98*1000)/($H98*$B$5),(PI()*BQ$12^2)/4*(BM98*$W98*1000)/($G98*$B$5))))))/10</f>
        <v>#N/A</v>
      </c>
      <c r="BR98" s="102" t="e">
        <f>(VLOOKUP($B$3,'Coeff EC7'!$T$39:$X$59,2,0)*BP98+VLOOKUP($B$3,'Coeff EC7'!$T$65:$X$85,2,0)*Model0.1C!BQ98)/1.1</f>
        <v>#N/A</v>
      </c>
      <c r="BS98" s="102" t="e">
        <f>(VLOOKUP($B$3,'Coeff EC7'!$T$39:$X$59,3,0)*BP98+VLOOKUP($B$3,'Coeff EC7'!$T$65:$X$85,3,0)*Model0.1C!BQ98)/0.9</f>
        <v>#N/A</v>
      </c>
      <c r="BT98" s="102" t="e">
        <f t="shared" si="178"/>
        <v>#N/A</v>
      </c>
      <c r="BU98" s="102" t="e">
        <f t="shared" si="179"/>
        <v>#N/A</v>
      </c>
      <c r="BV98" s="414" t="e">
        <f>IF(BV97=0,0,IF(AND(BR98&gt;charge_ELS_quasi,BS98&gt;Charge_ELS_freq,BT98&gt;charge_ELU,BU98&gt;charge_ELA,$B98&gt;NDC!$H$22-0.1+MIN(3*$BV$12,1.5)),0,1))</f>
        <v>#N/A</v>
      </c>
      <c r="BW98" s="86" t="b">
        <f t="shared" si="147"/>
        <v>0</v>
      </c>
      <c r="BX98" s="86">
        <f t="shared" si="148"/>
        <v>0.5</v>
      </c>
      <c r="BY98" s="86">
        <f t="shared" si="149"/>
        <v>0.5</v>
      </c>
      <c r="BZ98" s="30" t="e">
        <f t="shared" ca="1" si="180"/>
        <v>#DIV/0!</v>
      </c>
      <c r="CA98" s="85" t="e">
        <f ca="1">IF(BG98&lt;=Hypothèses!$V$7,Hypothèses!$W$7,IF(BG98&lt;=Hypothèses!$V$8,Hypothèses!$W$8,IF(BG98&lt;=Hypothèses!$V$9,Hypothèses!$W$9,IF(BG98&lt;=Hypothèses!$V$10,Hypothèses!$W$10,IF(BG98&lt;=Hypothèses!$V$11,Hypothèses!$W$11,IF(BG98&lt;=Hypothèses!$V$12,Hypothèses!$W$12,IF(BG98&lt;=Hypothèses!$V$13,Hypothèses!$W$13,IF(BG98&lt;=Hypothèses!$V$14,Hypothèses!$W$14,IF(BG98&lt;=Hypothèses!$V$15,Hypothèses!$W$15,IF(BG98&lt;=Hypothèses!$V$16,Hypothèses!$W$16,IF(BG98&lt;=Hypothèses!$V$17,Hypothèses!$W$17,IF(BG98&lt;=Hypothèses!$V$18,Hypothèses!$W$18,""))))))))))))</f>
        <v>#DIV/0!</v>
      </c>
      <c r="CB98" s="87" t="e">
        <f t="shared" ca="1" si="219"/>
        <v>#DIV/0!</v>
      </c>
      <c r="CC98" s="88" t="e">
        <f ca="1">IF(BG98&lt;=Hypothèses!$V$7,Hypothèses!$X$7,IF(BG98&lt;=Hypothèses!$V$8,Hypothèses!$X$8,IF(BG98&lt;=Hypothèses!$V$9,Hypothèses!$X$9,IF(BG98&lt;=Hypothèses!$V$10,Hypothèses!$X$10,IF(BG98&lt;=Hypothèses!$V$11,Hypothèses!$X$11,IF(BG98&lt;=Hypothèses!$V$12,Hypothèses!$X$12,IF(BG98&lt;=Hypothèses!$V$13,Hypothèses!$X$13,IF(BG98&lt;=Hypothèses!$V$14,Hypothèses!$X$14,IF(BG98&lt;=Hypothèses!$V$15,Hypothèses!$X$15,IF(BG98&lt;=Hypothèses!$V$16,Hypothèses!$X$16,IF(BG98&lt;=Hypothèses!$U$17,Hypothèses!$W$17,IF(BG98&lt;=Hypothèses!$U$18,Hypothèses!$W$18,""))))))))))))</f>
        <v>#DIV/0!</v>
      </c>
      <c r="CD98" s="95" t="e">
        <f t="shared" ca="1" si="181"/>
        <v>#DIV/0!</v>
      </c>
      <c r="CE98" s="101" t="e">
        <f t="shared" si="226"/>
        <v>#N/A</v>
      </c>
      <c r="CF98" s="91" t="e">
        <f t="shared" si="150"/>
        <v>#N/A</v>
      </c>
      <c r="CG98" s="30" t="e">
        <f t="shared" si="206"/>
        <v>#N/A</v>
      </c>
      <c r="CH98" s="30" t="e">
        <f t="shared" si="207"/>
        <v>#N/A</v>
      </c>
      <c r="CI98" s="31" t="e">
        <f>IF(OR(Hypothèses!$B$4=17,Hypothèses!$B$4=18,Hypothèses!$B$4=19,Hypothèses!$B$4=20),
IF($D98="Pressio.",
IF(OR($E98=3,$E98=1,$E98=4),CH98,CG98),
IF($D98="Pénétro.",
IF(OR($E98=3,$E98=1,$E98=4),CH98,CG98))),IF($D98="Pressio.",
IF($E98=3,CH98,CG98),
IF($D98="Pénétro.",
IF($E98=4,CH98,CG98))))</f>
        <v>#N/A</v>
      </c>
      <c r="CJ98" s="31" t="e">
        <f>(IF(OR(Hypothèses!$B$4=17,Hypothèses!$B$4=18,Hypothèses!$B$4=19,Hypothèses!$B$4=20),
IF($D98="Pressio.",
IF(OR($E98=3,$E98=1,$E98=4),(PI()*CJ$12^2)/4*(CF98*$W98*1000)/($H98*$B$5),(PI()*CJ$12^2)/4*(CF98*$W98*1000)/($G98*$B$5)),
IF($D98="Pénétro.",
IF(OR($E98=4,$E98=1,$E98=5),(PI()*CJ$12^2)/4*(CF98*$W98*1000)/($H98*$B$5),(PI()*CJ$12^2)/4*(CF98*$W98*1000)/($G98*$B$5)))),
IF($D98="Pressio.",
IF($E98=3,(PI()*CJ$12^2)/4*(CF98*$W98*1000)/($H98*$B$5),(PI()*CJ$12^2)/4*(CF98*$W98*1000)/($G98*$B$5)),
IF($D98="Pénétro.",
IF($E98=4,(PI()*CJ$12^2)/4*(CF98*$W98*1000)/($H98*$B$5),(PI()*CJ$12^2)/4*(CF98*$W98*1000)/($G98*$B$5))))))/10</f>
        <v>#N/A</v>
      </c>
      <c r="CK98" s="102" t="e">
        <f>(VLOOKUP($B$3,'Coeff EC7'!$T$39:$X$59,2,0)*CI98+VLOOKUP($B$3,'Coeff EC7'!$T$65:$X$85,2,0)*Model0.1C!CJ98)/1.1</f>
        <v>#N/A</v>
      </c>
      <c r="CL98" s="102" t="e">
        <f>(VLOOKUP($B$3,'Coeff EC7'!$T$39:$X$59,3,0)*CI98+VLOOKUP($B$3,'Coeff EC7'!$T$65:$X$85,3,0)*Model0.1C!CJ98)/0.9</f>
        <v>#N/A</v>
      </c>
      <c r="CM98" s="102" t="e">
        <f t="shared" si="182"/>
        <v>#N/A</v>
      </c>
      <c r="CN98" s="102" t="e">
        <f t="shared" si="183"/>
        <v>#N/A</v>
      </c>
      <c r="CO98" s="414" t="e">
        <f>IF(CO97=0,0,IF(AND(CK98&gt;charge_ELS_quasi,CL98&gt;Charge_ELS_freq,CM98&gt;charge_ELU,CN98&gt;charge_ELA,$B98&gt;NDC!$H$22-0.1+MIN(3*$CO$12,1.5)),0,1))</f>
        <v>#N/A</v>
      </c>
      <c r="CP98" s="86" t="b">
        <f t="shared" si="151"/>
        <v>0</v>
      </c>
      <c r="CQ98" s="86">
        <f t="shared" si="152"/>
        <v>0.5</v>
      </c>
      <c r="CR98" s="86">
        <f t="shared" si="153"/>
        <v>0.5</v>
      </c>
      <c r="CS98" s="30" t="e">
        <f t="shared" ca="1" si="184"/>
        <v>#DIV/0!</v>
      </c>
      <c r="CT98" s="85" t="e">
        <f ca="1">IF(BZ98&lt;=Hypothèses!$V$7,Hypothèses!$W$7,IF(BZ98&lt;=Hypothèses!$V$8,Hypothèses!$W$8,IF(BZ98&lt;=Hypothèses!$V$9,Hypothèses!$W$9,IF(BZ98&lt;=Hypothèses!$V$10,Hypothèses!$W$10,IF(BZ98&lt;=Hypothèses!$V$11,Hypothèses!$W$11,IF(BZ98&lt;=Hypothèses!$V$12,Hypothèses!$W$12,IF(BZ98&lt;=Hypothèses!$V$13,Hypothèses!$W$13,IF(BZ98&lt;=Hypothèses!$V$14,Hypothèses!$W$14,IF(BZ98&lt;=Hypothèses!$V$15,Hypothèses!$W$15,IF(BZ98&lt;=Hypothèses!$V$16,Hypothèses!$W$16,IF(BZ98&lt;=Hypothèses!$V$17,Hypothèses!$W$17,IF(BZ98&lt;=Hypothèses!$V$18,Hypothèses!$W$18,""))))))))))))</f>
        <v>#DIV/0!</v>
      </c>
      <c r="CU98" s="87" t="e">
        <f t="shared" ca="1" si="220"/>
        <v>#DIV/0!</v>
      </c>
      <c r="CV98" s="88" t="e">
        <f ca="1">IF(BZ98&lt;=Hypothèses!$V$7,Hypothèses!$X$7,IF(BZ98&lt;=Hypothèses!$V$8,Hypothèses!$X$8,IF(BZ98&lt;=Hypothèses!$V$9,Hypothèses!$X$9,IF(BZ98&lt;=Hypothèses!$V$10,Hypothèses!$X$10,IF(BZ98&lt;=Hypothèses!$V$11,Hypothèses!$X$11,IF(BZ98&lt;=Hypothèses!$V$12,Hypothèses!$X$12,IF(BZ98&lt;=Hypothèses!$V$13,Hypothèses!$X$13,IF(BZ98&lt;=Hypothèses!$V$14,Hypothèses!$X$14,IF(BZ98&lt;=Hypothèses!$V$15,Hypothèses!$X$15,IF(BZ98&lt;=Hypothèses!$V$16,Hypothèses!$X$16,IF(BZ98&lt;=Hypothèses!$U$17,Hypothèses!$W$17,IF(BZ98&lt;=Hypothèses!$U$18,Hypothèses!$W$18,""))))))))))))</f>
        <v>#DIV/0!</v>
      </c>
      <c r="CW98" s="95" t="e">
        <f t="shared" ca="1" si="185"/>
        <v>#DIV/0!</v>
      </c>
      <c r="CX98" s="101" t="e">
        <f t="shared" si="227"/>
        <v>#N/A</v>
      </c>
      <c r="CY98" s="91" t="e">
        <f t="shared" si="154"/>
        <v>#N/A</v>
      </c>
      <c r="CZ98" s="30" t="e">
        <f t="shared" si="208"/>
        <v>#N/A</v>
      </c>
      <c r="DA98" s="30" t="e">
        <f t="shared" si="209"/>
        <v>#N/A</v>
      </c>
      <c r="DB98" s="31" t="e">
        <f>IF(OR(Hypothèses!$B$4=17,Hypothèses!$B$4=18,Hypothèses!$B$4=19,Hypothèses!$B$4=20),
IF($D98="Pressio.",
IF(OR($E98=3,$E98=1,$E98=4),DA98,CZ98),
IF($D98="Pénétro.",
IF(OR($E98=3,$E98=1,$E98=4),DA98,CZ98))),IF($D98="Pressio.",
IF($E98=3,DA98,CZ98),
IF($D98="Pénétro.",
IF($E98=4,DA98,CZ98))))</f>
        <v>#N/A</v>
      </c>
      <c r="DC98" s="31" t="e">
        <f>(IF(OR(Hypothèses!$B$4=17,Hypothèses!$B$4=18,Hypothèses!$B$4=19,Hypothèses!$B$4=20),
IF($D98="Pressio.",
IF(OR($E98=3,$E98=1,$E98=4),(PI()*DC$12^2)/4*(CY98*$W98*1000)/($H98*$B$5),(PI()*DC$12^2)/4*(CY98*$W98*1000)/($G98*$B$5)),
IF($D98="Pénétro.",
IF(OR($E98=4,$E98=1,$E98=5),(PI()*DC$12^2)/4*(CY98*$W98*1000)/($H98*$B$5),(PI()*DC$12^2)/4*(CY98*$W98*1000)/($G98*$B$5)))),
IF($D98="Pressio.",
IF($E98=3,(PI()*DC$12^2)/4*(CY98*$W98*1000)/($H98*$B$5),(PI()*DC$12^2)/4*(CY98*$W98*1000)/($G98*$B$5)),
IF($D98="Pénétro.",
IF($E98=4,(PI()*DC$12^2)/4*(CY98*$W98*1000)/($H98*$B$5),(PI()*DC$12^2)/4*(CY98*$W98*1000)/($G98*$B$5))))))/10</f>
        <v>#N/A</v>
      </c>
      <c r="DD98" s="102" t="e">
        <f>(VLOOKUP($B$3,'Coeff EC7'!$T$39:$X$59,2,0)*DB98+VLOOKUP($B$3,'Coeff EC7'!$T$65:$X$85,2,0)*Model0.1C!DC98)/1.1</f>
        <v>#N/A</v>
      </c>
      <c r="DE98" s="102" t="e">
        <f>(VLOOKUP($B$3,'Coeff EC7'!$T$39:$X$59,3,0)*DB98+VLOOKUP($B$3,'Coeff EC7'!$T$65:$X$85,3,0)*Model0.1C!DC98)/0.9</f>
        <v>#N/A</v>
      </c>
      <c r="DF98" s="102" t="e">
        <f t="shared" si="186"/>
        <v>#N/A</v>
      </c>
      <c r="DG98" s="102" t="e">
        <f t="shared" si="187"/>
        <v>#N/A</v>
      </c>
      <c r="DH98" s="414" t="e">
        <f>IF(DH97=0,0,IF(AND(DD98&gt;charge_ELS_quasi,DE98&gt;Charge_ELS_freq,DF98&gt;charge_ELU,DG98&gt;charge_ELA,$B98&gt;NDC!$H$22-0.1+MIN(3*$DH$12,1.5)),0,1))</f>
        <v>#N/A</v>
      </c>
      <c r="DI98" s="86" t="b">
        <f t="shared" si="155"/>
        <v>0</v>
      </c>
      <c r="DJ98" s="86">
        <f t="shared" si="156"/>
        <v>0.5</v>
      </c>
      <c r="DK98" s="86">
        <f t="shared" si="157"/>
        <v>0.5</v>
      </c>
      <c r="DL98" s="30" t="e">
        <f t="shared" ca="1" si="188"/>
        <v>#DIV/0!</v>
      </c>
      <c r="DM98" s="85" t="e">
        <f ca="1">IF(CS98&lt;=Hypothèses!$V$7,Hypothèses!$W$7,IF(CS98&lt;=Hypothèses!$V$8,Hypothèses!$W$8,IF(CS98&lt;=Hypothèses!$V$9,Hypothèses!$W$9,IF(CS98&lt;=Hypothèses!$V$10,Hypothèses!$W$10,IF(CS98&lt;=Hypothèses!$V$11,Hypothèses!$W$11,IF(CS98&lt;=Hypothèses!$V$12,Hypothèses!$W$12,IF(CS98&lt;=Hypothèses!$V$13,Hypothèses!$W$13,IF(CS98&lt;=Hypothèses!$V$14,Hypothèses!$W$14,IF(CS98&lt;=Hypothèses!$V$15,Hypothèses!$W$15,IF(CS98&lt;=Hypothèses!$V$16,Hypothèses!$W$16,IF(CS98&lt;=Hypothèses!$V$17,Hypothèses!$W$17,IF(CS98&lt;=Hypothèses!$V$18,Hypothèses!$W$18,""))))))))))))</f>
        <v>#DIV/0!</v>
      </c>
      <c r="DN98" s="87" t="e">
        <f t="shared" ca="1" si="221"/>
        <v>#DIV/0!</v>
      </c>
      <c r="DO98" s="88" t="e">
        <f ca="1">IF(CS98&lt;=Hypothèses!$V$7,Hypothèses!$X$7,IF(CS98&lt;=Hypothèses!$V$8,Hypothèses!$X$8,IF(CS98&lt;=Hypothèses!$V$9,Hypothèses!$X$9,IF(CS98&lt;=Hypothèses!$V$10,Hypothèses!$X$10,IF(CS98&lt;=Hypothèses!$V$11,Hypothèses!$X$11,IF(CS98&lt;=Hypothèses!$V$12,Hypothèses!$X$12,IF(CS98&lt;=Hypothèses!$V$13,Hypothèses!$X$13,IF(CS98&lt;=Hypothèses!$V$14,Hypothèses!$X$14,IF(CS98&lt;=Hypothèses!$V$15,Hypothèses!$X$15,IF(CS98&lt;=Hypothèses!$V$16,Hypothèses!$X$16,IF(CS98&lt;=Hypothèses!$U$17,Hypothèses!$W$17,IF(CS98&lt;=Hypothèses!$U$18,Hypothèses!$W$18,""))))))))))))</f>
        <v>#DIV/0!</v>
      </c>
      <c r="DP98" s="95" t="e">
        <f t="shared" ca="1" si="189"/>
        <v>#DIV/0!</v>
      </c>
      <c r="DQ98" s="101" t="e">
        <f t="shared" si="228"/>
        <v>#N/A</v>
      </c>
      <c r="DR98" s="91" t="e">
        <f t="shared" si="158"/>
        <v>#N/A</v>
      </c>
      <c r="DS98" s="30" t="e">
        <f t="shared" si="210"/>
        <v>#N/A</v>
      </c>
      <c r="DT98" s="30" t="e">
        <f t="shared" si="211"/>
        <v>#N/A</v>
      </c>
      <c r="DU98" s="31" t="e">
        <f>IF(OR(Hypothèses!$B$4=17,Hypothèses!$B$4=18,Hypothèses!$B$4=19,Hypothèses!$B$4=20),
IF($D98="Pressio.",
IF(OR($E98=3,$E98=1,$E98=4),DT98,DS98),
IF($D98="Pénétro.",
IF(OR($E98=3,$E98=1,$E98=4),DT98,DS98))),IF($D98="Pressio.",
IF($E98=3,DT98,DS98),
IF($D98="Pénétro.",
IF($E98=4,DT98,DS98))))</f>
        <v>#N/A</v>
      </c>
      <c r="DV98" s="31" t="e">
        <f>(IF(OR(Hypothèses!$B$4=17,Hypothèses!$B$4=18,Hypothèses!$B$4=19,Hypothèses!$B$4=20),
IF($D98="Pressio.",
IF(OR($E98=3,$E98=1,$E98=4),(PI()*DV$12^2)/4*(DR98*$W98*1000)/($H98*$B$5),(PI()*DV$12^2)/4*(DR98*$W98*1000)/($G98*$B$5)),
IF($D98="Pénétro.",
IF(OR($E98=4,$E98=1,$E98=5),(PI()*DV$12^2)/4*(DR98*$W98*1000)/($H98*$B$5),(PI()*DV$12^2)/4*(DR98*$W98*1000)/($G98*$B$5)))),
IF($D98="Pressio.",
IF($E98=3,(PI()*DV$12^2)/4*(DR98*$W98*1000)/($H98*$B$5),(PI()*DV$12^2)/4*(DR98*$W98*1000)/($G98*$B$5)),
IF($D98="Pénétro.",
IF($E98=4,(PI()*DV$12^2)/4*(DR98*$W98*1000)/($H98*$B$5),(PI()*DV$12^2)/4*(DR98*$W98*1000)/($G98*$B$5))))))/10</f>
        <v>#N/A</v>
      </c>
      <c r="DW98" s="102" t="e">
        <f>(VLOOKUP($B$3,'Coeff EC7'!$T$39:$X$59,2,0)*DU98+VLOOKUP($B$3,'Coeff EC7'!$T$65:$X$85,2,0)*Model0.1C!DV98)/1.1</f>
        <v>#N/A</v>
      </c>
      <c r="DX98" s="102" t="e">
        <f>(VLOOKUP($B$3,'Coeff EC7'!$T$39:$X$59,3,0)*DU98+VLOOKUP($B$3,'Coeff EC7'!$T$65:$X$85,3,0)*Model0.1C!DV98)/0.9</f>
        <v>#N/A</v>
      </c>
      <c r="DY98" s="102" t="e">
        <f t="shared" si="190"/>
        <v>#N/A</v>
      </c>
      <c r="DZ98" s="102" t="e">
        <f t="shared" si="191"/>
        <v>#N/A</v>
      </c>
      <c r="EA98" s="414" t="e">
        <f>IF(EA97=0,0,IF(AND(DW98&gt;charge_ELS_quasi,DX98&gt;Charge_ELS_freq,DY98&gt;charge_ELU,DZ98&gt;charge_ELA,$B98&gt;NDC!$H$22-0.1+MIN(3*$EA$12,1.5)),0,1))</f>
        <v>#N/A</v>
      </c>
      <c r="EB98" s="86" t="b">
        <f t="shared" si="159"/>
        <v>0</v>
      </c>
      <c r="EC98" s="418">
        <f t="shared" si="160"/>
        <v>0.51</v>
      </c>
      <c r="ED98" s="86">
        <f t="shared" si="161"/>
        <v>0.51</v>
      </c>
      <c r="EE98" s="30" t="e">
        <f t="shared" ca="1" si="192"/>
        <v>#DIV/0!</v>
      </c>
      <c r="EF98" s="85" t="e">
        <f ca="1">IF(DL98&lt;=Hypothèses!$V$7,Hypothèses!$W$7,IF(DL98&lt;=Hypothèses!$V$8,Hypothèses!$W$8,IF(DL98&lt;=Hypothèses!$V$9,Hypothèses!$W$9,IF(DL98&lt;=Hypothèses!$V$10,Hypothèses!$W$10,IF(DL98&lt;=Hypothèses!$V$11,Hypothèses!$W$11,IF(DL98&lt;=Hypothèses!$V$12,Hypothèses!$W$12,IF(DL98&lt;=Hypothèses!$V$13,Hypothèses!$W$13,IF(DL98&lt;=Hypothèses!$V$14,Hypothèses!$W$14,IF(DL98&lt;=Hypothèses!$V$15,Hypothèses!$W$15,IF(DL98&lt;=Hypothèses!$V$16,Hypothèses!$W$16,IF(DL98&lt;=Hypothèses!$V$17,Hypothèses!$W$17,IF(DL98&lt;=Hypothèses!$V$18,Hypothèses!$W$18,""))))))))))))</f>
        <v>#DIV/0!</v>
      </c>
      <c r="EG98" s="87" t="e">
        <f t="shared" ca="1" si="222"/>
        <v>#DIV/0!</v>
      </c>
      <c r="EH98" s="88" t="e">
        <f ca="1">IF(DL98&lt;=Hypothèses!$V$7,Hypothèses!$X$7,IF(DL98&lt;=Hypothèses!$V$8,Hypothèses!$X$8,IF(DL98&lt;=Hypothèses!$V$9,Hypothèses!$X$9,IF(DL98&lt;=Hypothèses!$V$10,Hypothèses!$X$10,IF(DL98&lt;=Hypothèses!$V$11,Hypothèses!$X$11,IF(DL98&lt;=Hypothèses!$V$12,Hypothèses!$X$12,IF(DL98&lt;=Hypothèses!$V$13,Hypothèses!$X$13,IF(DL98&lt;=Hypothèses!$V$14,Hypothèses!$X$14,IF(DL98&lt;=Hypothèses!$V$15,Hypothèses!$X$15,IF(DL98&lt;=Hypothèses!$V$16,Hypothèses!$X$16,IF(DL98&lt;=Hypothèses!$U$17,Hypothèses!$W$17,IF(DL98&lt;=Hypothèses!$U$18,Hypothèses!$W$18,""))))))))))))</f>
        <v>#DIV/0!</v>
      </c>
      <c r="EI98" s="95" t="e">
        <f t="shared" ca="1" si="193"/>
        <v>#DIV/0!</v>
      </c>
      <c r="EJ98" s="101" t="e">
        <f t="shared" si="229"/>
        <v>#N/A</v>
      </c>
      <c r="EK98" s="91" t="e">
        <f t="shared" si="162"/>
        <v>#N/A</v>
      </c>
      <c r="EL98" s="30" t="e">
        <f t="shared" si="212"/>
        <v>#N/A</v>
      </c>
      <c r="EM98" s="30" t="e">
        <f t="shared" si="213"/>
        <v>#N/A</v>
      </c>
      <c r="EN98" s="31" t="e">
        <f>IF(OR(Hypothèses!$B$4=17,Hypothèses!$B$4=18,Hypothèses!$B$4=19,Hypothèses!$B$4=20),
IF($D98="Pressio.",
IF(OR($E98=3,$E98=1,$E98=4),EM98,EL98),
IF($D98="Pénétro.",
IF(OR($E98=3,$E98=1,$E98=4),EM98,EL98))),IF($D98="Pressio.",
IF($E98=3,EM98,EL98),
IF($D98="Pénétro.",
IF($E98=4,EM98,EL98))))</f>
        <v>#N/A</v>
      </c>
      <c r="EO98" s="31" t="e">
        <f>(IF(OR(Hypothèses!$B$4=17,Hypothèses!$B$4=18,Hypothèses!$B$4=19,Hypothèses!$B$4=20),
IF($D98="Pressio.",
IF(OR($E98=3,$E98=1,$E98=4),(PI()*EO$12^2)/4*(EK98*$W98*1000)/($H98*$B$5),(PI()*EO$12^2)/4*(EK98*$W98*1000)/($G98*$B$5)),
IF($D98="Pénétro.",
IF(OR($E98=4,$E98=1,$E98=5),(PI()*EO$12^2)/4*(EK98*$W98*1000)/($H98*$B$5),(PI()*EO$12^2)/4*(EK98*$W98*1000)/($G98*$B$5)))),
IF($D98="Pressio.",
IF($E98=3,(PI()*EO$12^2)/4*(EK98*$W98*1000)/($H98*$B$5),(PI()*EO$12^2)/4*(EK98*$W98*1000)/($G98*$B$5)),
IF($D98="Pénétro.",
IF($E98=4,(PI()*EO$12^2)/4*(EK98*$W98*1000)/($H98*$B$5),(PI()*EO$12^2)/4*(EK98*$W98*1000)/($G98*$B$5))))))/10</f>
        <v>#N/A</v>
      </c>
      <c r="EP98" s="102" t="e">
        <f>(VLOOKUP($B$3,'Coeff EC7'!$T$39:$X$59,2,0)*EN98+VLOOKUP($B$3,'Coeff EC7'!$T$65:$X$85,2,0)*Model0.1C!EO98)/1.1</f>
        <v>#N/A</v>
      </c>
      <c r="EQ98" s="102" t="e">
        <f>(VLOOKUP($B$3,'Coeff EC7'!$T$39:$X$59,3,0)*EN98+VLOOKUP($B$3,'Coeff EC7'!$T$65:$X$85,3,0)*Model0.1C!EO98)/0.9</f>
        <v>#N/A</v>
      </c>
      <c r="ER98" s="102" t="e">
        <f t="shared" si="194"/>
        <v>#N/A</v>
      </c>
      <c r="ES98" s="102" t="e">
        <f t="shared" si="195"/>
        <v>#N/A</v>
      </c>
      <c r="ET98" s="414" t="e">
        <f>IF(ET97=0,0,IF(AND(EP98&gt;charge_ELS_quasi,EQ98&gt;Charge_ELS_freq,ER98&gt;charge_ELU,ES98&gt;charge_ELA,$B98&gt;NDC!$H$22-0.1+MIN(3*$ET$12,1.5)),0,1))</f>
        <v>#N/A</v>
      </c>
      <c r="EU98" s="86" t="b">
        <f t="shared" si="163"/>
        <v>0</v>
      </c>
      <c r="EV98" s="86">
        <f t="shared" si="164"/>
        <v>0.61</v>
      </c>
      <c r="EW98" s="86">
        <f t="shared" si="165"/>
        <v>0.61</v>
      </c>
      <c r="EX98" s="30" t="e">
        <f t="shared" ca="1" si="196"/>
        <v>#DIV/0!</v>
      </c>
      <c r="EY98" s="85" t="e">
        <f ca="1">IF(EE98&lt;=Hypothèses!$V$7,Hypothèses!$W$7,IF(EE98&lt;=Hypothèses!$V$8,Hypothèses!$W$8,IF(EE98&lt;=Hypothèses!$V$9,Hypothèses!$W$9,IF(EE98&lt;=Hypothèses!$V$10,Hypothèses!$W$10,IF(EE98&lt;=Hypothèses!$V$11,Hypothèses!$W$11,IF(EE98&lt;=Hypothèses!$V$12,Hypothèses!$W$12,IF(EE98&lt;=Hypothèses!$V$13,Hypothèses!$W$13,IF(EE98&lt;=Hypothèses!$V$14,Hypothèses!$W$14,IF(EE98&lt;=Hypothèses!$V$15,Hypothèses!$W$15,IF(EE98&lt;=Hypothèses!$V$16,Hypothèses!$W$16,IF(EE98&lt;=Hypothèses!$V$17,Hypothèses!$W$17,IF(EE98&lt;=Hypothèses!$V$18,Hypothèses!$W$18,""))))))))))))</f>
        <v>#DIV/0!</v>
      </c>
      <c r="EZ98" s="87" t="e">
        <f t="shared" ca="1" si="223"/>
        <v>#DIV/0!</v>
      </c>
      <c r="FA98" s="88" t="e">
        <f ca="1">IF(EE98&lt;=Hypothèses!$V$7,Hypothèses!$X$7,IF(EE98&lt;=Hypothèses!$V$8,Hypothèses!$X$8,IF(EE98&lt;=Hypothèses!$V$9,Hypothèses!$X$9,IF(EE98&lt;=Hypothèses!$V$10,Hypothèses!$X$10,IF(EE98&lt;=Hypothèses!$V$11,Hypothèses!$X$11,IF(EE98&lt;=Hypothèses!$V$12,Hypothèses!$X$12,IF(EE98&lt;=Hypothèses!$V$13,Hypothèses!$X$13,IF(EE98&lt;=Hypothèses!$V$14,Hypothèses!$X$14,IF(EE98&lt;=Hypothèses!$V$15,Hypothèses!$X$15,IF(EE98&lt;=Hypothèses!$V$16,Hypothèses!$X$16,IF(EE98&lt;=Hypothèses!$U$17,Hypothèses!$W$17,IF(EE98&lt;=Hypothèses!$U$18,Hypothèses!$W$18,""))))))))))))</f>
        <v>#DIV/0!</v>
      </c>
      <c r="FB98" s="95" t="e">
        <f t="shared" ca="1" si="197"/>
        <v>#DIV/0!</v>
      </c>
      <c r="FC98" s="101" t="e">
        <f t="shared" si="230"/>
        <v>#N/A</v>
      </c>
      <c r="FD98" s="91" t="e">
        <f t="shared" si="166"/>
        <v>#N/A</v>
      </c>
      <c r="FE98" s="30" t="e">
        <f t="shared" si="214"/>
        <v>#N/A</v>
      </c>
      <c r="FF98" s="30" t="e">
        <f t="shared" si="215"/>
        <v>#N/A</v>
      </c>
      <c r="FG98" s="31" t="e">
        <f>IF(OR(Hypothèses!$B$4=17,Hypothèses!$B$4=18,Hypothèses!$B$4=19,Hypothèses!$B$4=20),
IF($D98="Pressio.",
IF(OR($E98=3,$E98=1,$E98=4),FF98,FE98),
IF($D98="Pénétro.",
IF(OR($E98=3,$E98=1,$E98=4),FF98,FE98))),IF($D98="Pressio.",
IF($E98=3,FF98,FE98),
IF($D98="Pénétro.",
IF($E98=4,FF98,FE98))))</f>
        <v>#N/A</v>
      </c>
      <c r="FH98" s="31" t="e">
        <f>(IF(OR(Hypothèses!$B$4=17,Hypothèses!$B$4=18,Hypothèses!$B$4=19,Hypothèses!$B$4=20),
IF($D98="Pressio.",
IF(OR($E98=3,$E98=1,$E98=4),(PI()*FH$12^2)/4*(FD98*$W98*1000)/($H98*$B$5),(PI()*FH$12^2)/4*(FD98*$W98*1000)/($G98*$B$5)),
IF($D98="Pénétro.",
IF(OR($E98=4,$E98=1,$E98=5),(PI()*FH$12^2)/4*(FD98*$W98*1000)/($H98*$B$5),(PI()*FH$12^2)/4*(FD98*$W98*1000)/($G98*$B$5)))),
IF($D98="Pressio.",
IF($E98=3,(PI()*FH$12^2)/4*(FD98*$W98*1000)/($H98*$B$5),(PI()*FH$12^2)/4*(FD98*$W98*1000)/($G98*$B$5)),
IF($D98="Pénétro.",
IF($E98=4,(PI()*FH$12^2)/4*(FD98*$W98*1000)/($H98*$B$5),(PI()*FH$12^2)/4*(FD98*$W98*1000)/($G98*$B$5))))))/10</f>
        <v>#N/A</v>
      </c>
      <c r="FI98" s="102" t="e">
        <f>(VLOOKUP($B$3,'Coeff EC7'!$T$39:$X$59,2,0)*FG98+VLOOKUP($B$3,'Coeff EC7'!$T$65:$X$85,2,0)*Model0.1C!FH98)/1.1</f>
        <v>#N/A</v>
      </c>
      <c r="FJ98" s="102" t="e">
        <f>(VLOOKUP($B$3,'Coeff EC7'!$T$39:$X$59,3,0)*FG98+VLOOKUP($B$3,'Coeff EC7'!$T$65:$X$85,3,0)*Model0.1C!FH98)/0.9</f>
        <v>#N/A</v>
      </c>
      <c r="FK98" s="102" t="e">
        <f t="shared" si="198"/>
        <v>#N/A</v>
      </c>
      <c r="FL98" s="102" t="e">
        <f t="shared" si="199"/>
        <v>#N/A</v>
      </c>
      <c r="FM98" s="414" t="e">
        <f>IF(FM97=0,0,IF(AND(FI98&gt;charge_ELS_quasi,FJ98&gt;Charge_ELS_freq,FK98&gt;charge_ELU,FL98&gt;charge_ELA,$B98&gt;NDC!$H$22-0.1+MIN(3*$FM$12,1.5)),0,1))</f>
        <v>#N/A</v>
      </c>
    </row>
    <row r="99" spans="1:169">
      <c r="A99" s="96">
        <f t="shared" si="167"/>
        <v>91.400000000000489</v>
      </c>
      <c r="B99" s="97">
        <v>8.6</v>
      </c>
      <c r="C99" s="81">
        <f>IF(B99&lt;=Hypothèses!$C$7,Hypothèses!$A$7,IF(B99&lt;=Hypothèses!$C$8,Hypothèses!$A$8,IF(B99&lt;=Hypothèses!$C$9,Hypothèses!$A$9,IF(B99&lt;=Hypothèses!$C$10,Hypothèses!$A$10,IF(B99&lt;=Hypothèses!$C$11,Hypothèses!$A$11,IF(B99&lt;=Hypothèses!$C$12,Hypothèses!$A$12,IF(B99&lt;=Hypothèses!$C$13,Hypothèses!$A$13,IF(B99&lt;=Hypothèses!$C$14,Hypothèses!$A$14,IF(B99&lt;=Hypothèses!$C$15,Hypothèses!$A$15,IF(B99&lt;=Hypothèses!$C$16,Hypothèses!$A$16,IF(B99&lt;=Hypothèses!$C$17,Hypothèses!$A$17,IF(B99&lt;=Hypothèses!$C$18,Hypothèses!$A$18,C98))))))))))))</f>
        <v>11</v>
      </c>
      <c r="D99" s="82" t="str">
        <f>IF(B99&lt;=Hypothèses!$C$7,Hypothèses!$R$7,IF(B99&lt;=Hypothèses!$C$8,Hypothèses!$R$8,IF(B99&lt;=Hypothèses!$C$9,Hypothèses!$R$9,IF(B99&lt;=Hypothèses!$C$10,Hypothèses!$R$10,IF(B99&lt;=Hypothèses!$C$11,Hypothèses!$R$11,IF(B99&lt;=Hypothèses!$C$12,Hypothèses!$R$12,IF(B99&lt;=Hypothèses!$C$13,Hypothèses!$R$13,IF(B99&lt;=Hypothèses!$C$14,Hypothèses!$R$14,IF(B99&lt;=Hypothèses!$C$15,Hypothèses!$R$15,IF(B99&lt;=Hypothèses!$C$16,Hypothèses!$R$16,IF(B99&lt;=Hypothèses!$C$17,Hypothèses!$R$17,IF(B99&lt;=Hypothèses!$C$18,Hypothèses!$R$18,D98))))))))))))</f>
        <v>Pressio.</v>
      </c>
      <c r="E99" s="82" t="e">
        <f>IF(B99&lt;=Hypothèses!$C$7,Hypothèses!$G$7,IF(B99&lt;=Hypothèses!$C$8,Hypothèses!$G$8,IF(B99&lt;=Hypothèses!$C$9,Hypothèses!$G$9,IF(B99&lt;=Hypothèses!$C$10,Hypothèses!$G$10,IF(B99&lt;=Hypothèses!$C$11,Hypothèses!$G$11,IF(B99&lt;=Hypothèses!$C$12,Hypothèses!$G$12,IF(B99&lt;=Hypothèses!$C$13,Hypothèses!$G$13,IF(B99&lt;=Hypothèses!$C$14,Hypothèses!$G$14,IF(B99&lt;=Hypothèses!$C$15,Hypothèses!$G$15,IF(B99&lt;=Hypothèses!$C$16,Hypothèses!$G$16,IF(B99&lt;=Hypothèses!$C$17,Hypothèses!$G$17,IF(B99&lt;=Hypothèses!$C$18,Hypothèses!$G$18,E98))))))))))))</f>
        <v>#N/A</v>
      </c>
      <c r="F99" s="82" t="str">
        <f>IF(B99&lt;=Hypothèses!$C$7,Hypothèses!$F$7,IF(B99&lt;=Hypothèses!$C$8,Hypothèses!$F$8,IF(B99&lt;=Hypothèses!$C$9,Hypothèses!$F$9,IF(B99&lt;=Hypothèses!$C$10,Hypothèses!$F$10,IF(B99&lt;=Hypothèses!$C$11,Hypothèses!$F$11,IF(B99&lt;=Hypothèses!$C$12,Hypothèses!$F$12,IF(B99&lt;=Hypothèses!$C$13,Hypothèses!$F$13,IF(B99&lt;=Hypothèses!$C$14,Hypothèses!$F$14,IF(B99&lt;=Hypothèses!$C$15,Hypothèses!$F$15,IF(B99&lt;=Hypothèses!$C$16,Hypothèses!$F$16,IF(B99&lt;=Hypothèses!$C$17,Hypothèses!$F$17,IF(B99&lt;=Hypothèses!$C$18,Hypothèses!$F$18,F98))))))))))))</f>
        <v/>
      </c>
      <c r="G99" s="91">
        <f t="array" ref="G99">INDEX('Coeff EC7'!$U$7:$X$27,
MATCH(Model0.1C!$B$3,'Coeff EC7'!$T$7:$T$27,0),
MATCH(Model0.1C!$D99&amp;Model0.1C!$B$4,
'Coeff EC7'!$U$6:$X$6&amp;
'Coeff EC7'!$U$5:$X$5,0))</f>
        <v>1.1499999999999999</v>
      </c>
      <c r="H99" s="91">
        <f t="array" ref="H99">INDEX('Coeff EC7'!$Y$7:$AB$27,
MATCH(Model0.1C!$B$3,'Coeff EC7'!$T$7:$T$27,0),
MATCH(Model0.1C!$D99&amp;Model0.1C!$B$4,
'Coeff EC7'!$Y$6:$AB$6&amp;
'Coeff EC7'!$Y$5:$AB$5,0))</f>
        <v>1.4</v>
      </c>
      <c r="I99" s="83" t="e">
        <f>IF(B99&lt;=Hypothèses!$C$7,Hypothèses!$P$7,IF(B99&lt;=Hypothèses!$C$8,Hypothèses!$P$8,IF(B99&lt;=Hypothèses!$C$9,Hypothèses!$P$9,IF(B99&lt;=Hypothèses!$C$10,Hypothèses!$P$10,IF(B99&lt;=Hypothèses!$C$11,Hypothèses!$P$11,IF(B99&lt;=Hypothèses!$C$12,Hypothèses!$P$12,IF(B99&lt;=Hypothèses!$C$13,Hypothèses!$P$13,IF(B99&lt;=Hypothèses!$C$14,Hypothèses!$P$14,IF(B99&lt;=Hypothèses!$C$15,Hypothèses!$P$15,IF(B99&lt;=Hypothèses!$C$16,Hypothèses!$P$16,IF(B99&lt;=Hypothèses!$C$17,Hypothèses!$P$17,IF(B99&lt;=Hypothèses!$C$18,Hypothèses!$P$18,I98))))))))))))</f>
        <v>#N/A</v>
      </c>
      <c r="J99" s="91" t="e">
        <f t="array" ref="J99">INDEX('Coeff EC7'!$D$33:$Q$33,1,MATCH(D99&amp;E99,'Coeff EC7'!$D$31:$Q$31&amp;'Coeff EC7'!$D$32:$Q$32,0))</f>
        <v>#N/A</v>
      </c>
      <c r="K99" s="91" t="e">
        <f t="array" ref="K99">INDEX('Coeff EC7'!$D$34:$Q$34,1,MATCH(D99&amp;E99,'Coeff EC7'!$D$31:$Q$31&amp;'Coeff EC7'!$D$32:$Q$32,0))</f>
        <v>#N/A</v>
      </c>
      <c r="L99" s="91" t="e">
        <f t="array" ref="L99">INDEX('Coeff EC7'!$D$35:$Q$35,1,MATCH(D99&amp;E99,'Coeff EC7'!$D$31:$Q$31&amp;'Coeff EC7'!$D$32:$Q$32,0))</f>
        <v>#N/A</v>
      </c>
      <c r="M99" s="98" t="e">
        <f t="shared" si="131"/>
        <v>#N/A</v>
      </c>
      <c r="N99" s="99" t="e">
        <f t="array" ref="N99">INDEX('Coeff EC7'!$D$7:$Q$27,MATCH($B$3,'Coeff EC7'!$C$7:$C$27,0),MATCH(D99&amp;E99,'Coeff EC7'!$D$5:$Q$5&amp;'Coeff EC7'!$D$6:$Q$6,0))</f>
        <v>#N/A</v>
      </c>
      <c r="O99" s="99" t="e">
        <f t="array" ref="O99">INDEX('Coeff EC7'!$D$41:$Q$61,MATCH($B$3,'Coeff EC7'!$C$41:$C$61,0),MATCH(D99&amp;E99,'Coeff EC7'!$D$39:$Q$39&amp;'Coeff EC7'!$D$40:$Q$40,0))</f>
        <v>#N/A</v>
      </c>
      <c r="P99" s="30" t="e">
        <f t="shared" si="168"/>
        <v>#N/A</v>
      </c>
      <c r="Q99" s="100" t="e">
        <f t="shared" si="133"/>
        <v>#N/A</v>
      </c>
      <c r="R99" s="86" t="b">
        <f t="shared" si="134"/>
        <v>0</v>
      </c>
      <c r="S99" s="86">
        <f t="shared" si="132"/>
        <v>0.5</v>
      </c>
      <c r="T99" s="86">
        <f t="shared" si="135"/>
        <v>0.5</v>
      </c>
      <c r="U99" s="30" t="e">
        <f t="shared" ca="1" si="169"/>
        <v>#DIV/0!</v>
      </c>
      <c r="V99" s="85" t="str">
        <f>IF(B99&lt;=Hypothèses!$V$7,Hypothèses!$W$7,IF(B99&lt;=Hypothèses!$V$8,Hypothèses!$W$8,IF(B99&lt;=Hypothèses!$V$9,Hypothèses!$W$9,IF(B99&lt;=Hypothèses!$V$10,Hypothèses!$W$10,IF(B99&lt;=Hypothèses!$V$11,Hypothèses!$W$11,IF(B99&lt;=Hypothèses!$V$12,Hypothèses!$W$12,IF(B99&lt;=Hypothèses!$V$13,Hypothèses!$W$13,IF(B99&lt;=Hypothèses!$V$14,Hypothèses!$W$14,IF(B99&lt;=Hypothèses!$V$15,Hypothèses!$W$15,IF(B99&lt;=Hypothèses!$V$16,Hypothèses!$W$16,IF(B99&lt;=Hypothèses!$V$17,Hypothèses!$W$17,IF(B99&lt;=Hypothèses!$V$18,Hypothèses!$W$18,""))))))))))))</f>
        <v/>
      </c>
      <c r="W99" s="87" t="e">
        <f t="shared" ca="1" si="216"/>
        <v>#DIV/0!</v>
      </c>
      <c r="X99" s="88" t="str">
        <f>IF(B99&lt;=Hypothèses!$V$7,Hypothèses!$X$7,IF(B99&lt;=Hypothèses!$V$8,Hypothèses!$X$8,IF(B99&lt;=Hypothèses!$V$9,Hypothèses!$X$9,IF(B99&lt;=Hypothèses!$V$10,Hypothèses!$X$10,IF(B99&lt;=Hypothèses!$V$11,Hypothèses!$X$11,IF(B99&lt;=Hypothèses!$V$12,Hypothèses!$X$12,IF(B99&lt;=Hypothèses!$V$13,Hypothèses!$X$13,IF(B99&lt;=Hypothèses!$V$14,Hypothèses!$X$14,IF(B99&lt;=Hypothèses!$V$15,Hypothèses!$X$15,IF(B99&lt;=Hypothèses!$V$16,Hypothèses!$X$16,IF(B99&lt;=Hypothèses!$U$17,Hypothèses!$W$17,IF(B99&lt;=Hypothèses!$U$18,Hypothèses!$W$18,""))))))))))))</f>
        <v/>
      </c>
      <c r="Y99" s="95" t="e">
        <f t="shared" ca="1" si="136"/>
        <v>#DIV/0!</v>
      </c>
      <c r="Z99" s="101" t="e">
        <f t="shared" si="137"/>
        <v>#N/A</v>
      </c>
      <c r="AA99" s="91" t="e">
        <f t="shared" si="138"/>
        <v>#N/A</v>
      </c>
      <c r="AB99" s="30" t="e">
        <f t="shared" si="200"/>
        <v>#N/A</v>
      </c>
      <c r="AC99" s="30" t="e">
        <f t="shared" si="201"/>
        <v>#N/A</v>
      </c>
      <c r="AD99" s="31" t="e">
        <f>IF(OR(Hypothèses!$B$4=17,Hypothèses!$B$4=18,Hypothèses!$B$4=19,Hypothèses!$B$4=20),
IF($D99="Pressio.",
IF(OR($E99=3,$E99=1,$E99=4),AC99,AB99),
IF($D99="Pénétro.",
IF(OR($E99=3,$E99=1,$E99=4),AC99,AB99))),IF($D99="Pressio.",
IF($E99=3,AC99,AB99),
IF($D99="Pénétro.",
IF($E99=4,AC99,AB99))))</f>
        <v>#N/A</v>
      </c>
      <c r="AE99" s="31" t="e">
        <f>(IF(OR(Hypothèses!$B$4=17,Hypothèses!$B$4=18,Hypothèses!$B$4=19,Hypothèses!$B$4=20),
IF($D99="Pressio.",
IF(OR($E99=3,$E99=1,$E99=4),(PI()*AE$12^2)/4*(AA99*$W99*1000)/($H99*$B$5),(PI()*AE$12^2)/4*(AA99*$W99*1000)/($G99*$B$5)),
IF($D99="Pénétro.",
IF(OR($E99=4,$E99=1,$E99=5),(PI()*AE$12^2)/4*(AA99*$W99*1000)/($H99*$B$5),(PI()*AE$12^2)/4*(AA99*$W99*1000)/($G99*$B$5)))),
IF($D99="Pressio.",
IF($E99=3,(PI()*AE$12^2)/4*(AA99*$W99*1000)/($H99*$B$5),(PI()*AE$12^2)/4*(AA99*$W99*1000)/($G99*$B$5)),
IF($D99="Pénétro.",
IF($E99=4,(PI()*AE$12^2)/4*(AA99*$W99*1000)/($H99*$B$5),(PI()*AE$12^2)/4*(AA99*$W99*1000)/($G99*$B$5))))))/10</f>
        <v>#N/A</v>
      </c>
      <c r="AF99" s="102" t="e">
        <f>(VLOOKUP($B$3,'Coeff EC7'!$T$39:$X$59,2,0)*AD99+VLOOKUP($B$3,'Coeff EC7'!$T$65:$X$85,2,0)*Model0.1C!AE99)/1.1</f>
        <v>#N/A</v>
      </c>
      <c r="AG99" s="102" t="e">
        <f>(VLOOKUP($B$3,'Coeff EC7'!$T$39:$X$59,3,0)*AD99+VLOOKUP($B$3,'Coeff EC7'!$T$65:$X$85,3,0)*Model0.1C!AE99)/0.9</f>
        <v>#N/A</v>
      </c>
      <c r="AH99" s="102" t="e">
        <f t="shared" si="139"/>
        <v>#N/A</v>
      </c>
      <c r="AI99" s="102" t="e">
        <f t="shared" si="140"/>
        <v>#N/A</v>
      </c>
      <c r="AJ99" s="414" t="e">
        <f>IF(AJ98=0,0,IF(AND(AF99&gt;charge_ELS_quasi,AG99&gt;Charge_ELS_freq,AH99&gt;charge_ELU,AI99&gt;charge_ELA,$B99&gt;NDC!$H$22-0.1+MIN(3*$AJ$12,1.5)),0,1))</f>
        <v>#N/A</v>
      </c>
      <c r="AK99" s="86" t="b">
        <f t="shared" si="141"/>
        <v>0</v>
      </c>
      <c r="AL99" s="86">
        <f t="shared" si="170"/>
        <v>0.5</v>
      </c>
      <c r="AM99" s="86">
        <f t="shared" si="142"/>
        <v>0.5</v>
      </c>
      <c r="AN99" s="30" t="e">
        <f t="shared" ca="1" si="171"/>
        <v>#DIV/0!</v>
      </c>
      <c r="AO99" s="85" t="e">
        <f ca="1">IF(U99&lt;=Hypothèses!$V$7,Hypothèses!$W$7,IF(U99&lt;=Hypothèses!$V$8,Hypothèses!$W$8,IF(U99&lt;=Hypothèses!$V$9,Hypothèses!$W$9,IF(U99&lt;=Hypothèses!$V$10,Hypothèses!$W$10,IF(U99&lt;=Hypothèses!$V$11,Hypothèses!$W$11,IF(U99&lt;=Hypothèses!$V$12,Hypothèses!$W$12,IF(U99&lt;=Hypothèses!$V$13,Hypothèses!$W$13,IF(U99&lt;=Hypothèses!$V$14,Hypothèses!$W$14,IF(U99&lt;=Hypothèses!$V$15,Hypothèses!$W$15,IF(U99&lt;=Hypothèses!$V$16,Hypothèses!$W$16,IF(U99&lt;=Hypothèses!$V$17,Hypothèses!$W$17,IF(U99&lt;=Hypothèses!$V$18,Hypothèses!$W$18,""))))))))))))</f>
        <v>#DIV/0!</v>
      </c>
      <c r="AP99" s="87" t="e">
        <f t="shared" ca="1" si="217"/>
        <v>#DIV/0!</v>
      </c>
      <c r="AQ99" s="88" t="e">
        <f ca="1">IF(U99&lt;=Hypothèses!$V$7,Hypothèses!$X$7,IF(U99&lt;=Hypothèses!$V$8,Hypothèses!$X$8,IF(U99&lt;=Hypothèses!$V$9,Hypothèses!$X$9,IF(U99&lt;=Hypothèses!$V$10,Hypothèses!$X$10,IF(U99&lt;=Hypothèses!$V$11,Hypothèses!$X$11,IF(U99&lt;=Hypothèses!$V$12,Hypothèses!$X$12,IF(U99&lt;=Hypothèses!$V$13,Hypothèses!$X$13,IF(U99&lt;=Hypothèses!$V$14,Hypothèses!$X$14,IF(U99&lt;=Hypothèses!$V$15,Hypothèses!$X$15,IF(U99&lt;=Hypothèses!$V$16,Hypothèses!$X$16,IF(U99&lt;=Hypothèses!$U$17,Hypothèses!$W$17,IF(U99&lt;=Hypothèses!$U$18,Hypothèses!$W$18,""))))))))))))</f>
        <v>#DIV/0!</v>
      </c>
      <c r="AR99" s="95" t="e">
        <f t="shared" ca="1" si="172"/>
        <v>#DIV/0!</v>
      </c>
      <c r="AS99" s="101" t="e">
        <f t="shared" si="224"/>
        <v>#N/A</v>
      </c>
      <c r="AT99" s="91" t="e">
        <f t="shared" si="143"/>
        <v>#N/A</v>
      </c>
      <c r="AU99" s="30" t="e">
        <f t="shared" si="202"/>
        <v>#N/A</v>
      </c>
      <c r="AV99" s="30" t="e">
        <f t="shared" si="203"/>
        <v>#N/A</v>
      </c>
      <c r="AW99" s="31" t="e">
        <f>IF(OR(Hypothèses!$B$4=17,Hypothèses!$B$4=18,Hypothèses!$B$4=19,Hypothèses!$B$4=20),
IF($D99="Pressio.",
IF(OR($E99=3,$E99=1,$E99=4),AV99,AU99),
IF($D99="Pénétro.",
IF(OR($E99=3,$E99=1,$E99=4),AV99,AU99))),IF($D99="Pressio.",
IF($E99=3,AV99,AU99),
IF($D99="Pénétro.",
IF($E99=4,AV99,AU99))))</f>
        <v>#N/A</v>
      </c>
      <c r="AX99" s="31" t="e">
        <f>(IF(OR(Hypothèses!$B$4=17,Hypothèses!$B$4=18,Hypothèses!$B$4=19,Hypothèses!$B$4=20),
IF($D99="Pressio.",
IF(OR($E99=3,$E99=1,$E99=4),(PI()*AX$12^2)/4*(AT99*$W99*1000)/($H99*$B$5),(PI()*AX$12^2)/4*(AT99*$W99*1000)/($G99*$B$5)),
IF($D99="Pénétro.",
IF(OR($E99=4,$E99=1,$E99=5),(PI()*AX$12^2)/4*(AT99*$W99*1000)/($H99*$B$5),(PI()*AX$12^2)/4*(AT99*$W99*1000)/($G99*$B$5)))),
IF($D99="Pressio.",
IF($E99=3,(PI()*AX$12^2)/4*(AT99*$W99*1000)/($H99*$B$5),(PI()*AX$12^2)/4*(AT99*$W99*1000)/($G99*$B$5)),
IF($D99="Pénétro.",
IF($E99=4,(PI()*AX$12^2)/4*(AT99*$W99*1000)/($H99*$B$5),(PI()*AX$12^2)/4*(AT99*$W99*1000)/($G99*$B$5))))))/10</f>
        <v>#N/A</v>
      </c>
      <c r="AY99" s="102" t="e">
        <f>(VLOOKUP($B$3,'Coeff EC7'!$T$39:$X$59,2,0)*AW99+VLOOKUP($B$3,'Coeff EC7'!$T$65:$X$85,2,0)*Model0.1C!AX99)/1.1</f>
        <v>#N/A</v>
      </c>
      <c r="AZ99" s="102" t="e">
        <f>(VLOOKUP($B$3,'Coeff EC7'!$T$39:$X$59,3,0)*AW99+VLOOKUP($B$3,'Coeff EC7'!$T$65:$X$85,3,0)*Model0.1C!AX99)/0.9</f>
        <v>#N/A</v>
      </c>
      <c r="BA99" s="102" t="e">
        <f t="shared" si="173"/>
        <v>#N/A</v>
      </c>
      <c r="BB99" s="102" t="e">
        <f t="shared" si="174"/>
        <v>#N/A</v>
      </c>
      <c r="BC99" s="414" t="e">
        <f>IF(BC98=0,0,IF(AND(AY99&gt;charge_ELS_quasi,AZ99&gt;Charge_ELS_freq,BA99&gt;charge_ELU,BB99&gt;charge_ELA,$B99&gt;NDC!$H$22-0.1+MIN(3*$BC$12,1.5)),0,1))</f>
        <v>#N/A</v>
      </c>
      <c r="BD99" s="86" t="b">
        <f t="shared" si="144"/>
        <v>0</v>
      </c>
      <c r="BE99" s="86">
        <f t="shared" si="175"/>
        <v>0.5</v>
      </c>
      <c r="BF99" s="86">
        <f t="shared" si="145"/>
        <v>0.5</v>
      </c>
      <c r="BG99" s="30" t="e">
        <f t="shared" ca="1" si="176"/>
        <v>#DIV/0!</v>
      </c>
      <c r="BH99" s="85" t="e">
        <f ca="1">IF(AN99&lt;=Hypothèses!$V$7,Hypothèses!$W$7,IF(AN99&lt;=Hypothèses!$V$8,Hypothèses!$W$8,IF(AN99&lt;=Hypothèses!$V$9,Hypothèses!$W$9,IF(AN99&lt;=Hypothèses!$V$10,Hypothèses!$W$10,IF(AN99&lt;=Hypothèses!$V$11,Hypothèses!$W$11,IF(AN99&lt;=Hypothèses!$V$12,Hypothèses!$W$12,IF(AN99&lt;=Hypothèses!$V$13,Hypothèses!$W$13,IF(AN99&lt;=Hypothèses!$V$14,Hypothèses!$W$14,IF(AN99&lt;=Hypothèses!$V$15,Hypothèses!$W$15,IF(AN99&lt;=Hypothèses!$V$16,Hypothèses!$W$16,IF(AN99&lt;=Hypothèses!$V$17,Hypothèses!$W$17,IF(AN99&lt;=Hypothèses!$V$18,Hypothèses!$W$18,""))))))))))))</f>
        <v>#DIV/0!</v>
      </c>
      <c r="BI99" s="87" t="e">
        <f t="shared" ca="1" si="218"/>
        <v>#DIV/0!</v>
      </c>
      <c r="BJ99" s="88" t="e">
        <f ca="1">IF(AN99&lt;=Hypothèses!$V$7,Hypothèses!$X$7,IF(AN99&lt;=Hypothèses!$V$8,Hypothèses!$X$8,IF(AN99&lt;=Hypothèses!$V$9,Hypothèses!$X$9,IF(AN99&lt;=Hypothèses!$V$10,Hypothèses!$X$10,IF(AN99&lt;=Hypothèses!$V$11,Hypothèses!$X$11,IF(AN99&lt;=Hypothèses!$V$12,Hypothèses!$X$12,IF(AN99&lt;=Hypothèses!$V$13,Hypothèses!$X$13,IF(AN99&lt;=Hypothèses!$V$14,Hypothèses!$X$14,IF(AN99&lt;=Hypothèses!$V$15,Hypothèses!$X$15,IF(AN99&lt;=Hypothèses!$V$16,Hypothèses!$X$16,IF(AN99&lt;=Hypothèses!$U$17,Hypothèses!$W$17,IF(AN99&lt;=Hypothèses!$U$18,Hypothèses!$W$18,""))))))))))))</f>
        <v>#DIV/0!</v>
      </c>
      <c r="BK99" s="95" t="e">
        <f t="shared" ca="1" si="177"/>
        <v>#DIV/0!</v>
      </c>
      <c r="BL99" s="101" t="e">
        <f t="shared" si="225"/>
        <v>#N/A</v>
      </c>
      <c r="BM99" s="91" t="e">
        <f t="shared" si="146"/>
        <v>#N/A</v>
      </c>
      <c r="BN99" s="30" t="e">
        <f t="shared" si="204"/>
        <v>#N/A</v>
      </c>
      <c r="BO99" s="30" t="e">
        <f t="shared" si="205"/>
        <v>#N/A</v>
      </c>
      <c r="BP99" s="31" t="e">
        <f>IF(OR(Hypothèses!$B$4=17,Hypothèses!$B$4=18,Hypothèses!$B$4=19,Hypothèses!$B$4=20),
IF($D99="Pressio.",
IF(OR($E99=3,$E99=1,$E99=4),BO99,BN99),
IF($D99="Pénétro.",
IF(OR($E99=3,$E99=1,$E99=4),BO99,BN99))),IF($D99="Pressio.",
IF($E99=3,BO99,BN99),
IF($D99="Pénétro.",
IF($E99=4,BO99,BN99))))</f>
        <v>#N/A</v>
      </c>
      <c r="BQ99" s="31" t="e">
        <f>(IF(OR(Hypothèses!$B$4=17,Hypothèses!$B$4=18,Hypothèses!$B$4=19,Hypothèses!$B$4=20),
IF($D99="Pressio.",
IF(OR($E99=3,$E99=1,$E99=4),(PI()*BQ$12^2)/4*(BM99*$W99*1000)/($H99*$B$5),(PI()*BQ$12^2)/4*(BM99*$W99*1000)/($G99*$B$5)),
IF($D99="Pénétro.",
IF(OR($E99=4,$E99=1,$E99=5),(PI()*BQ$12^2)/4*(BM99*$W99*1000)/($H99*$B$5),(PI()*BQ$12^2)/4*(BM99*$W99*1000)/($G99*$B$5)))),
IF($D99="Pressio.",
IF($E99=3,(PI()*BQ$12^2)/4*(BM99*$W99*1000)/($H99*$B$5),(PI()*BQ$12^2)/4*(BM99*$W99*1000)/($G99*$B$5)),
IF($D99="Pénétro.",
IF($E99=4,(PI()*BQ$12^2)/4*(BM99*$W99*1000)/($H99*$B$5),(PI()*BQ$12^2)/4*(BM99*$W99*1000)/($G99*$B$5))))))/10</f>
        <v>#N/A</v>
      </c>
      <c r="BR99" s="102" t="e">
        <f>(VLOOKUP($B$3,'Coeff EC7'!$T$39:$X$59,2,0)*BP99+VLOOKUP($B$3,'Coeff EC7'!$T$65:$X$85,2,0)*Model0.1C!BQ99)/1.1</f>
        <v>#N/A</v>
      </c>
      <c r="BS99" s="102" t="e">
        <f>(VLOOKUP($B$3,'Coeff EC7'!$T$39:$X$59,3,0)*BP99+VLOOKUP($B$3,'Coeff EC7'!$T$65:$X$85,3,0)*Model0.1C!BQ99)/0.9</f>
        <v>#N/A</v>
      </c>
      <c r="BT99" s="102" t="e">
        <f t="shared" si="178"/>
        <v>#N/A</v>
      </c>
      <c r="BU99" s="102" t="e">
        <f t="shared" si="179"/>
        <v>#N/A</v>
      </c>
      <c r="BV99" s="414" t="e">
        <f>IF(BV98=0,0,IF(AND(BR99&gt;charge_ELS_quasi,BS99&gt;Charge_ELS_freq,BT99&gt;charge_ELU,BU99&gt;charge_ELA,$B99&gt;NDC!$H$22-0.1+MIN(3*$BV$12,1.5)),0,1))</f>
        <v>#N/A</v>
      </c>
      <c r="BW99" s="86" t="b">
        <f t="shared" si="147"/>
        <v>0</v>
      </c>
      <c r="BX99" s="86">
        <f t="shared" si="148"/>
        <v>0.5</v>
      </c>
      <c r="BY99" s="86">
        <f t="shared" si="149"/>
        <v>0.5</v>
      </c>
      <c r="BZ99" s="30" t="e">
        <f t="shared" ca="1" si="180"/>
        <v>#DIV/0!</v>
      </c>
      <c r="CA99" s="85" t="e">
        <f ca="1">IF(BG99&lt;=Hypothèses!$V$7,Hypothèses!$W$7,IF(BG99&lt;=Hypothèses!$V$8,Hypothèses!$W$8,IF(BG99&lt;=Hypothèses!$V$9,Hypothèses!$W$9,IF(BG99&lt;=Hypothèses!$V$10,Hypothèses!$W$10,IF(BG99&lt;=Hypothèses!$V$11,Hypothèses!$W$11,IF(BG99&lt;=Hypothèses!$V$12,Hypothèses!$W$12,IF(BG99&lt;=Hypothèses!$V$13,Hypothèses!$W$13,IF(BG99&lt;=Hypothèses!$V$14,Hypothèses!$W$14,IF(BG99&lt;=Hypothèses!$V$15,Hypothèses!$W$15,IF(BG99&lt;=Hypothèses!$V$16,Hypothèses!$W$16,IF(BG99&lt;=Hypothèses!$V$17,Hypothèses!$W$17,IF(BG99&lt;=Hypothèses!$V$18,Hypothèses!$W$18,""))))))))))))</f>
        <v>#DIV/0!</v>
      </c>
      <c r="CB99" s="87" t="e">
        <f t="shared" ca="1" si="219"/>
        <v>#DIV/0!</v>
      </c>
      <c r="CC99" s="88" t="e">
        <f ca="1">IF(BG99&lt;=Hypothèses!$V$7,Hypothèses!$X$7,IF(BG99&lt;=Hypothèses!$V$8,Hypothèses!$X$8,IF(BG99&lt;=Hypothèses!$V$9,Hypothèses!$X$9,IF(BG99&lt;=Hypothèses!$V$10,Hypothèses!$X$10,IF(BG99&lt;=Hypothèses!$V$11,Hypothèses!$X$11,IF(BG99&lt;=Hypothèses!$V$12,Hypothèses!$X$12,IF(BG99&lt;=Hypothèses!$V$13,Hypothèses!$X$13,IF(BG99&lt;=Hypothèses!$V$14,Hypothèses!$X$14,IF(BG99&lt;=Hypothèses!$V$15,Hypothèses!$X$15,IF(BG99&lt;=Hypothèses!$V$16,Hypothèses!$X$16,IF(BG99&lt;=Hypothèses!$U$17,Hypothèses!$W$17,IF(BG99&lt;=Hypothèses!$U$18,Hypothèses!$W$18,""))))))))))))</f>
        <v>#DIV/0!</v>
      </c>
      <c r="CD99" s="95" t="e">
        <f t="shared" ca="1" si="181"/>
        <v>#DIV/0!</v>
      </c>
      <c r="CE99" s="101" t="e">
        <f t="shared" si="226"/>
        <v>#N/A</v>
      </c>
      <c r="CF99" s="91" t="e">
        <f t="shared" si="150"/>
        <v>#N/A</v>
      </c>
      <c r="CG99" s="30" t="e">
        <f t="shared" si="206"/>
        <v>#N/A</v>
      </c>
      <c r="CH99" s="30" t="e">
        <f t="shared" si="207"/>
        <v>#N/A</v>
      </c>
      <c r="CI99" s="31" t="e">
        <f>IF(OR(Hypothèses!$B$4=17,Hypothèses!$B$4=18,Hypothèses!$B$4=19,Hypothèses!$B$4=20),
IF($D99="Pressio.",
IF(OR($E99=3,$E99=1,$E99=4),CH99,CG99),
IF($D99="Pénétro.",
IF(OR($E99=3,$E99=1,$E99=4),CH99,CG99))),IF($D99="Pressio.",
IF($E99=3,CH99,CG99),
IF($D99="Pénétro.",
IF($E99=4,CH99,CG99))))</f>
        <v>#N/A</v>
      </c>
      <c r="CJ99" s="31" t="e">
        <f>(IF(OR(Hypothèses!$B$4=17,Hypothèses!$B$4=18,Hypothèses!$B$4=19,Hypothèses!$B$4=20),
IF($D99="Pressio.",
IF(OR($E99=3,$E99=1,$E99=4),(PI()*CJ$12^2)/4*(CF99*$W99*1000)/($H99*$B$5),(PI()*CJ$12^2)/4*(CF99*$W99*1000)/($G99*$B$5)),
IF($D99="Pénétro.",
IF(OR($E99=4,$E99=1,$E99=5),(PI()*CJ$12^2)/4*(CF99*$W99*1000)/($H99*$B$5),(PI()*CJ$12^2)/4*(CF99*$W99*1000)/($G99*$B$5)))),
IF($D99="Pressio.",
IF($E99=3,(PI()*CJ$12^2)/4*(CF99*$W99*1000)/($H99*$B$5),(PI()*CJ$12^2)/4*(CF99*$W99*1000)/($G99*$B$5)),
IF($D99="Pénétro.",
IF($E99=4,(PI()*CJ$12^2)/4*(CF99*$W99*1000)/($H99*$B$5),(PI()*CJ$12^2)/4*(CF99*$W99*1000)/($G99*$B$5))))))/10</f>
        <v>#N/A</v>
      </c>
      <c r="CK99" s="102" t="e">
        <f>(VLOOKUP($B$3,'Coeff EC7'!$T$39:$X$59,2,0)*CI99+VLOOKUP($B$3,'Coeff EC7'!$T$65:$X$85,2,0)*Model0.1C!CJ99)/1.1</f>
        <v>#N/A</v>
      </c>
      <c r="CL99" s="102" t="e">
        <f>(VLOOKUP($B$3,'Coeff EC7'!$T$39:$X$59,3,0)*CI99+VLOOKUP($B$3,'Coeff EC7'!$T$65:$X$85,3,0)*Model0.1C!CJ99)/0.9</f>
        <v>#N/A</v>
      </c>
      <c r="CM99" s="102" t="e">
        <f t="shared" si="182"/>
        <v>#N/A</v>
      </c>
      <c r="CN99" s="102" t="e">
        <f t="shared" si="183"/>
        <v>#N/A</v>
      </c>
      <c r="CO99" s="414" t="e">
        <f>IF(CO98=0,0,IF(AND(CK99&gt;charge_ELS_quasi,CL99&gt;Charge_ELS_freq,CM99&gt;charge_ELU,CN99&gt;charge_ELA,$B99&gt;NDC!$H$22-0.1+MIN(3*$CO$12,1.5)),0,1))</f>
        <v>#N/A</v>
      </c>
      <c r="CP99" s="86" t="b">
        <f t="shared" si="151"/>
        <v>0</v>
      </c>
      <c r="CQ99" s="86">
        <f t="shared" si="152"/>
        <v>0.5</v>
      </c>
      <c r="CR99" s="86">
        <f t="shared" si="153"/>
        <v>0.5</v>
      </c>
      <c r="CS99" s="30" t="e">
        <f t="shared" ca="1" si="184"/>
        <v>#DIV/0!</v>
      </c>
      <c r="CT99" s="85" t="e">
        <f ca="1">IF(BZ99&lt;=Hypothèses!$V$7,Hypothèses!$W$7,IF(BZ99&lt;=Hypothèses!$V$8,Hypothèses!$W$8,IF(BZ99&lt;=Hypothèses!$V$9,Hypothèses!$W$9,IF(BZ99&lt;=Hypothèses!$V$10,Hypothèses!$W$10,IF(BZ99&lt;=Hypothèses!$V$11,Hypothèses!$W$11,IF(BZ99&lt;=Hypothèses!$V$12,Hypothèses!$W$12,IF(BZ99&lt;=Hypothèses!$V$13,Hypothèses!$W$13,IF(BZ99&lt;=Hypothèses!$V$14,Hypothèses!$W$14,IF(BZ99&lt;=Hypothèses!$V$15,Hypothèses!$W$15,IF(BZ99&lt;=Hypothèses!$V$16,Hypothèses!$W$16,IF(BZ99&lt;=Hypothèses!$V$17,Hypothèses!$W$17,IF(BZ99&lt;=Hypothèses!$V$18,Hypothèses!$W$18,""))))))))))))</f>
        <v>#DIV/0!</v>
      </c>
      <c r="CU99" s="87" t="e">
        <f t="shared" ca="1" si="220"/>
        <v>#DIV/0!</v>
      </c>
      <c r="CV99" s="88" t="e">
        <f ca="1">IF(BZ99&lt;=Hypothèses!$V$7,Hypothèses!$X$7,IF(BZ99&lt;=Hypothèses!$V$8,Hypothèses!$X$8,IF(BZ99&lt;=Hypothèses!$V$9,Hypothèses!$X$9,IF(BZ99&lt;=Hypothèses!$V$10,Hypothèses!$X$10,IF(BZ99&lt;=Hypothèses!$V$11,Hypothèses!$X$11,IF(BZ99&lt;=Hypothèses!$V$12,Hypothèses!$X$12,IF(BZ99&lt;=Hypothèses!$V$13,Hypothèses!$X$13,IF(BZ99&lt;=Hypothèses!$V$14,Hypothèses!$X$14,IF(BZ99&lt;=Hypothèses!$V$15,Hypothèses!$X$15,IF(BZ99&lt;=Hypothèses!$V$16,Hypothèses!$X$16,IF(BZ99&lt;=Hypothèses!$U$17,Hypothèses!$W$17,IF(BZ99&lt;=Hypothèses!$U$18,Hypothèses!$W$18,""))))))))))))</f>
        <v>#DIV/0!</v>
      </c>
      <c r="CW99" s="95" t="e">
        <f t="shared" ca="1" si="185"/>
        <v>#DIV/0!</v>
      </c>
      <c r="CX99" s="101" t="e">
        <f t="shared" si="227"/>
        <v>#N/A</v>
      </c>
      <c r="CY99" s="91" t="e">
        <f t="shared" si="154"/>
        <v>#N/A</v>
      </c>
      <c r="CZ99" s="30" t="e">
        <f t="shared" si="208"/>
        <v>#N/A</v>
      </c>
      <c r="DA99" s="30" t="e">
        <f t="shared" si="209"/>
        <v>#N/A</v>
      </c>
      <c r="DB99" s="31" t="e">
        <f>IF(OR(Hypothèses!$B$4=17,Hypothèses!$B$4=18,Hypothèses!$B$4=19,Hypothèses!$B$4=20),
IF($D99="Pressio.",
IF(OR($E99=3,$E99=1,$E99=4),DA99,CZ99),
IF($D99="Pénétro.",
IF(OR($E99=3,$E99=1,$E99=4),DA99,CZ99))),IF($D99="Pressio.",
IF($E99=3,DA99,CZ99),
IF($D99="Pénétro.",
IF($E99=4,DA99,CZ99))))</f>
        <v>#N/A</v>
      </c>
      <c r="DC99" s="31" t="e">
        <f>(IF(OR(Hypothèses!$B$4=17,Hypothèses!$B$4=18,Hypothèses!$B$4=19,Hypothèses!$B$4=20),
IF($D99="Pressio.",
IF(OR($E99=3,$E99=1,$E99=4),(PI()*DC$12^2)/4*(CY99*$W99*1000)/($H99*$B$5),(PI()*DC$12^2)/4*(CY99*$W99*1000)/($G99*$B$5)),
IF($D99="Pénétro.",
IF(OR($E99=4,$E99=1,$E99=5),(PI()*DC$12^2)/4*(CY99*$W99*1000)/($H99*$B$5),(PI()*DC$12^2)/4*(CY99*$W99*1000)/($G99*$B$5)))),
IF($D99="Pressio.",
IF($E99=3,(PI()*DC$12^2)/4*(CY99*$W99*1000)/($H99*$B$5),(PI()*DC$12^2)/4*(CY99*$W99*1000)/($G99*$B$5)),
IF($D99="Pénétro.",
IF($E99=4,(PI()*DC$12^2)/4*(CY99*$W99*1000)/($H99*$B$5),(PI()*DC$12^2)/4*(CY99*$W99*1000)/($G99*$B$5))))))/10</f>
        <v>#N/A</v>
      </c>
      <c r="DD99" s="102" t="e">
        <f>(VLOOKUP($B$3,'Coeff EC7'!$T$39:$X$59,2,0)*DB99+VLOOKUP($B$3,'Coeff EC7'!$T$65:$X$85,2,0)*Model0.1C!DC99)/1.1</f>
        <v>#N/A</v>
      </c>
      <c r="DE99" s="102" t="e">
        <f>(VLOOKUP($B$3,'Coeff EC7'!$T$39:$X$59,3,0)*DB99+VLOOKUP($B$3,'Coeff EC7'!$T$65:$X$85,3,0)*Model0.1C!DC99)/0.9</f>
        <v>#N/A</v>
      </c>
      <c r="DF99" s="102" t="e">
        <f t="shared" si="186"/>
        <v>#N/A</v>
      </c>
      <c r="DG99" s="102" t="e">
        <f t="shared" si="187"/>
        <v>#N/A</v>
      </c>
      <c r="DH99" s="414" t="e">
        <f>IF(DH98=0,0,IF(AND(DD99&gt;charge_ELS_quasi,DE99&gt;Charge_ELS_freq,DF99&gt;charge_ELU,DG99&gt;charge_ELA,$B99&gt;NDC!$H$22-0.1+MIN(3*$DH$12,1.5)),0,1))</f>
        <v>#N/A</v>
      </c>
      <c r="DI99" s="86" t="b">
        <f t="shared" si="155"/>
        <v>0</v>
      </c>
      <c r="DJ99" s="86">
        <f t="shared" si="156"/>
        <v>0.5</v>
      </c>
      <c r="DK99" s="86">
        <f t="shared" si="157"/>
        <v>0.5</v>
      </c>
      <c r="DL99" s="30" t="e">
        <f t="shared" ca="1" si="188"/>
        <v>#DIV/0!</v>
      </c>
      <c r="DM99" s="85" t="e">
        <f ca="1">IF(CS99&lt;=Hypothèses!$V$7,Hypothèses!$W$7,IF(CS99&lt;=Hypothèses!$V$8,Hypothèses!$W$8,IF(CS99&lt;=Hypothèses!$V$9,Hypothèses!$W$9,IF(CS99&lt;=Hypothèses!$V$10,Hypothèses!$W$10,IF(CS99&lt;=Hypothèses!$V$11,Hypothèses!$W$11,IF(CS99&lt;=Hypothèses!$V$12,Hypothèses!$W$12,IF(CS99&lt;=Hypothèses!$V$13,Hypothèses!$W$13,IF(CS99&lt;=Hypothèses!$V$14,Hypothèses!$W$14,IF(CS99&lt;=Hypothèses!$V$15,Hypothèses!$W$15,IF(CS99&lt;=Hypothèses!$V$16,Hypothèses!$W$16,IF(CS99&lt;=Hypothèses!$V$17,Hypothèses!$W$17,IF(CS99&lt;=Hypothèses!$V$18,Hypothèses!$W$18,""))))))))))))</f>
        <v>#DIV/0!</v>
      </c>
      <c r="DN99" s="87" t="e">
        <f t="shared" ca="1" si="221"/>
        <v>#DIV/0!</v>
      </c>
      <c r="DO99" s="88" t="e">
        <f ca="1">IF(CS99&lt;=Hypothèses!$V$7,Hypothèses!$X$7,IF(CS99&lt;=Hypothèses!$V$8,Hypothèses!$X$8,IF(CS99&lt;=Hypothèses!$V$9,Hypothèses!$X$9,IF(CS99&lt;=Hypothèses!$V$10,Hypothèses!$X$10,IF(CS99&lt;=Hypothèses!$V$11,Hypothèses!$X$11,IF(CS99&lt;=Hypothèses!$V$12,Hypothèses!$X$12,IF(CS99&lt;=Hypothèses!$V$13,Hypothèses!$X$13,IF(CS99&lt;=Hypothèses!$V$14,Hypothèses!$X$14,IF(CS99&lt;=Hypothèses!$V$15,Hypothèses!$X$15,IF(CS99&lt;=Hypothèses!$V$16,Hypothèses!$X$16,IF(CS99&lt;=Hypothèses!$U$17,Hypothèses!$W$17,IF(CS99&lt;=Hypothèses!$U$18,Hypothèses!$W$18,""))))))))))))</f>
        <v>#DIV/0!</v>
      </c>
      <c r="DP99" s="95" t="e">
        <f t="shared" ca="1" si="189"/>
        <v>#DIV/0!</v>
      </c>
      <c r="DQ99" s="101" t="e">
        <f t="shared" si="228"/>
        <v>#N/A</v>
      </c>
      <c r="DR99" s="91" t="e">
        <f t="shared" si="158"/>
        <v>#N/A</v>
      </c>
      <c r="DS99" s="30" t="e">
        <f t="shared" si="210"/>
        <v>#N/A</v>
      </c>
      <c r="DT99" s="30" t="e">
        <f t="shared" si="211"/>
        <v>#N/A</v>
      </c>
      <c r="DU99" s="31" t="e">
        <f>IF(OR(Hypothèses!$B$4=17,Hypothèses!$B$4=18,Hypothèses!$B$4=19,Hypothèses!$B$4=20),
IF($D99="Pressio.",
IF(OR($E99=3,$E99=1,$E99=4),DT99,DS99),
IF($D99="Pénétro.",
IF(OR($E99=3,$E99=1,$E99=4),DT99,DS99))),IF($D99="Pressio.",
IF($E99=3,DT99,DS99),
IF($D99="Pénétro.",
IF($E99=4,DT99,DS99))))</f>
        <v>#N/A</v>
      </c>
      <c r="DV99" s="31" t="e">
        <f>(IF(OR(Hypothèses!$B$4=17,Hypothèses!$B$4=18,Hypothèses!$B$4=19,Hypothèses!$B$4=20),
IF($D99="Pressio.",
IF(OR($E99=3,$E99=1,$E99=4),(PI()*DV$12^2)/4*(DR99*$W99*1000)/($H99*$B$5),(PI()*DV$12^2)/4*(DR99*$W99*1000)/($G99*$B$5)),
IF($D99="Pénétro.",
IF(OR($E99=4,$E99=1,$E99=5),(PI()*DV$12^2)/4*(DR99*$W99*1000)/($H99*$B$5),(PI()*DV$12^2)/4*(DR99*$W99*1000)/($G99*$B$5)))),
IF($D99="Pressio.",
IF($E99=3,(PI()*DV$12^2)/4*(DR99*$W99*1000)/($H99*$B$5),(PI()*DV$12^2)/4*(DR99*$W99*1000)/($G99*$B$5)),
IF($D99="Pénétro.",
IF($E99=4,(PI()*DV$12^2)/4*(DR99*$W99*1000)/($H99*$B$5),(PI()*DV$12^2)/4*(DR99*$W99*1000)/($G99*$B$5))))))/10</f>
        <v>#N/A</v>
      </c>
      <c r="DW99" s="102" t="e">
        <f>(VLOOKUP($B$3,'Coeff EC7'!$T$39:$X$59,2,0)*DU99+VLOOKUP($B$3,'Coeff EC7'!$T$65:$X$85,2,0)*Model0.1C!DV99)/1.1</f>
        <v>#N/A</v>
      </c>
      <c r="DX99" s="102" t="e">
        <f>(VLOOKUP($B$3,'Coeff EC7'!$T$39:$X$59,3,0)*DU99+VLOOKUP($B$3,'Coeff EC7'!$T$65:$X$85,3,0)*Model0.1C!DV99)/0.9</f>
        <v>#N/A</v>
      </c>
      <c r="DY99" s="102" t="e">
        <f t="shared" si="190"/>
        <v>#N/A</v>
      </c>
      <c r="DZ99" s="102" t="e">
        <f t="shared" si="191"/>
        <v>#N/A</v>
      </c>
      <c r="EA99" s="414" t="e">
        <f>IF(EA98=0,0,IF(AND(DW99&gt;charge_ELS_quasi,DX99&gt;Charge_ELS_freq,DY99&gt;charge_ELU,DZ99&gt;charge_ELA,$B99&gt;NDC!$H$22-0.1+MIN(3*$EA$12,1.5)),0,1))</f>
        <v>#N/A</v>
      </c>
      <c r="EB99" s="86" t="b">
        <f t="shared" si="159"/>
        <v>0</v>
      </c>
      <c r="EC99" s="418">
        <f t="shared" si="160"/>
        <v>0.51</v>
      </c>
      <c r="ED99" s="86">
        <f t="shared" si="161"/>
        <v>0.51</v>
      </c>
      <c r="EE99" s="30" t="e">
        <f t="shared" ca="1" si="192"/>
        <v>#DIV/0!</v>
      </c>
      <c r="EF99" s="85" t="e">
        <f ca="1">IF(DL99&lt;=Hypothèses!$V$7,Hypothèses!$W$7,IF(DL99&lt;=Hypothèses!$V$8,Hypothèses!$W$8,IF(DL99&lt;=Hypothèses!$V$9,Hypothèses!$W$9,IF(DL99&lt;=Hypothèses!$V$10,Hypothèses!$W$10,IF(DL99&lt;=Hypothèses!$V$11,Hypothèses!$W$11,IF(DL99&lt;=Hypothèses!$V$12,Hypothèses!$W$12,IF(DL99&lt;=Hypothèses!$V$13,Hypothèses!$W$13,IF(DL99&lt;=Hypothèses!$V$14,Hypothèses!$W$14,IF(DL99&lt;=Hypothèses!$V$15,Hypothèses!$W$15,IF(DL99&lt;=Hypothèses!$V$16,Hypothèses!$W$16,IF(DL99&lt;=Hypothèses!$V$17,Hypothèses!$W$17,IF(DL99&lt;=Hypothèses!$V$18,Hypothèses!$W$18,""))))))))))))</f>
        <v>#DIV/0!</v>
      </c>
      <c r="EG99" s="87" t="e">
        <f t="shared" ca="1" si="222"/>
        <v>#DIV/0!</v>
      </c>
      <c r="EH99" s="88" t="e">
        <f ca="1">IF(DL99&lt;=Hypothèses!$V$7,Hypothèses!$X$7,IF(DL99&lt;=Hypothèses!$V$8,Hypothèses!$X$8,IF(DL99&lt;=Hypothèses!$V$9,Hypothèses!$X$9,IF(DL99&lt;=Hypothèses!$V$10,Hypothèses!$X$10,IF(DL99&lt;=Hypothèses!$V$11,Hypothèses!$X$11,IF(DL99&lt;=Hypothèses!$V$12,Hypothèses!$X$12,IF(DL99&lt;=Hypothèses!$V$13,Hypothèses!$X$13,IF(DL99&lt;=Hypothèses!$V$14,Hypothèses!$X$14,IF(DL99&lt;=Hypothèses!$V$15,Hypothèses!$X$15,IF(DL99&lt;=Hypothèses!$V$16,Hypothèses!$X$16,IF(DL99&lt;=Hypothèses!$U$17,Hypothèses!$W$17,IF(DL99&lt;=Hypothèses!$U$18,Hypothèses!$W$18,""))))))))))))</f>
        <v>#DIV/0!</v>
      </c>
      <c r="EI99" s="95" t="e">
        <f t="shared" ca="1" si="193"/>
        <v>#DIV/0!</v>
      </c>
      <c r="EJ99" s="101" t="e">
        <f t="shared" si="229"/>
        <v>#N/A</v>
      </c>
      <c r="EK99" s="91" t="e">
        <f t="shared" si="162"/>
        <v>#N/A</v>
      </c>
      <c r="EL99" s="30" t="e">
        <f t="shared" si="212"/>
        <v>#N/A</v>
      </c>
      <c r="EM99" s="30" t="e">
        <f t="shared" si="213"/>
        <v>#N/A</v>
      </c>
      <c r="EN99" s="31" t="e">
        <f>IF(OR(Hypothèses!$B$4=17,Hypothèses!$B$4=18,Hypothèses!$B$4=19,Hypothèses!$B$4=20),
IF($D99="Pressio.",
IF(OR($E99=3,$E99=1,$E99=4),EM99,EL99),
IF($D99="Pénétro.",
IF(OR($E99=3,$E99=1,$E99=4),EM99,EL99))),IF($D99="Pressio.",
IF($E99=3,EM99,EL99),
IF($D99="Pénétro.",
IF($E99=4,EM99,EL99))))</f>
        <v>#N/A</v>
      </c>
      <c r="EO99" s="31" t="e">
        <f>(IF(OR(Hypothèses!$B$4=17,Hypothèses!$B$4=18,Hypothèses!$B$4=19,Hypothèses!$B$4=20),
IF($D99="Pressio.",
IF(OR($E99=3,$E99=1,$E99=4),(PI()*EO$12^2)/4*(EK99*$W99*1000)/($H99*$B$5),(PI()*EO$12^2)/4*(EK99*$W99*1000)/($G99*$B$5)),
IF($D99="Pénétro.",
IF(OR($E99=4,$E99=1,$E99=5),(PI()*EO$12^2)/4*(EK99*$W99*1000)/($H99*$B$5),(PI()*EO$12^2)/4*(EK99*$W99*1000)/($G99*$B$5)))),
IF($D99="Pressio.",
IF($E99=3,(PI()*EO$12^2)/4*(EK99*$W99*1000)/($H99*$B$5),(PI()*EO$12^2)/4*(EK99*$W99*1000)/($G99*$B$5)),
IF($D99="Pénétro.",
IF($E99=4,(PI()*EO$12^2)/4*(EK99*$W99*1000)/($H99*$B$5),(PI()*EO$12^2)/4*(EK99*$W99*1000)/($G99*$B$5))))))/10</f>
        <v>#N/A</v>
      </c>
      <c r="EP99" s="102" t="e">
        <f>(VLOOKUP($B$3,'Coeff EC7'!$T$39:$X$59,2,0)*EN99+VLOOKUP($B$3,'Coeff EC7'!$T$65:$X$85,2,0)*Model0.1C!EO99)/1.1</f>
        <v>#N/A</v>
      </c>
      <c r="EQ99" s="102" t="e">
        <f>(VLOOKUP($B$3,'Coeff EC7'!$T$39:$X$59,3,0)*EN99+VLOOKUP($B$3,'Coeff EC7'!$T$65:$X$85,3,0)*Model0.1C!EO99)/0.9</f>
        <v>#N/A</v>
      </c>
      <c r="ER99" s="102" t="e">
        <f t="shared" si="194"/>
        <v>#N/A</v>
      </c>
      <c r="ES99" s="102" t="e">
        <f t="shared" si="195"/>
        <v>#N/A</v>
      </c>
      <c r="ET99" s="414" t="e">
        <f>IF(ET98=0,0,IF(AND(EP99&gt;charge_ELS_quasi,EQ99&gt;Charge_ELS_freq,ER99&gt;charge_ELU,ES99&gt;charge_ELA,$B99&gt;NDC!$H$22-0.1+MIN(3*$ET$12,1.5)),0,1))</f>
        <v>#N/A</v>
      </c>
      <c r="EU99" s="86" t="b">
        <f t="shared" si="163"/>
        <v>0</v>
      </c>
      <c r="EV99" s="86">
        <f t="shared" si="164"/>
        <v>0.61</v>
      </c>
      <c r="EW99" s="86">
        <f t="shared" si="165"/>
        <v>0.61</v>
      </c>
      <c r="EX99" s="30" t="e">
        <f t="shared" ca="1" si="196"/>
        <v>#DIV/0!</v>
      </c>
      <c r="EY99" s="85" t="e">
        <f ca="1">IF(EE99&lt;=Hypothèses!$V$7,Hypothèses!$W$7,IF(EE99&lt;=Hypothèses!$V$8,Hypothèses!$W$8,IF(EE99&lt;=Hypothèses!$V$9,Hypothèses!$W$9,IF(EE99&lt;=Hypothèses!$V$10,Hypothèses!$W$10,IF(EE99&lt;=Hypothèses!$V$11,Hypothèses!$W$11,IF(EE99&lt;=Hypothèses!$V$12,Hypothèses!$W$12,IF(EE99&lt;=Hypothèses!$V$13,Hypothèses!$W$13,IF(EE99&lt;=Hypothèses!$V$14,Hypothèses!$W$14,IF(EE99&lt;=Hypothèses!$V$15,Hypothèses!$W$15,IF(EE99&lt;=Hypothèses!$V$16,Hypothèses!$W$16,IF(EE99&lt;=Hypothèses!$V$17,Hypothèses!$W$17,IF(EE99&lt;=Hypothèses!$V$18,Hypothèses!$W$18,""))))))))))))</f>
        <v>#DIV/0!</v>
      </c>
      <c r="EZ99" s="87" t="e">
        <f t="shared" ca="1" si="223"/>
        <v>#DIV/0!</v>
      </c>
      <c r="FA99" s="88" t="e">
        <f ca="1">IF(EE99&lt;=Hypothèses!$V$7,Hypothèses!$X$7,IF(EE99&lt;=Hypothèses!$V$8,Hypothèses!$X$8,IF(EE99&lt;=Hypothèses!$V$9,Hypothèses!$X$9,IF(EE99&lt;=Hypothèses!$V$10,Hypothèses!$X$10,IF(EE99&lt;=Hypothèses!$V$11,Hypothèses!$X$11,IF(EE99&lt;=Hypothèses!$V$12,Hypothèses!$X$12,IF(EE99&lt;=Hypothèses!$V$13,Hypothèses!$X$13,IF(EE99&lt;=Hypothèses!$V$14,Hypothèses!$X$14,IF(EE99&lt;=Hypothèses!$V$15,Hypothèses!$X$15,IF(EE99&lt;=Hypothèses!$V$16,Hypothèses!$X$16,IF(EE99&lt;=Hypothèses!$U$17,Hypothèses!$W$17,IF(EE99&lt;=Hypothèses!$U$18,Hypothèses!$W$18,""))))))))))))</f>
        <v>#DIV/0!</v>
      </c>
      <c r="FB99" s="95" t="e">
        <f t="shared" ca="1" si="197"/>
        <v>#DIV/0!</v>
      </c>
      <c r="FC99" s="101" t="e">
        <f t="shared" si="230"/>
        <v>#N/A</v>
      </c>
      <c r="FD99" s="91" t="e">
        <f t="shared" si="166"/>
        <v>#N/A</v>
      </c>
      <c r="FE99" s="30" t="e">
        <f t="shared" si="214"/>
        <v>#N/A</v>
      </c>
      <c r="FF99" s="30" t="e">
        <f t="shared" si="215"/>
        <v>#N/A</v>
      </c>
      <c r="FG99" s="31" t="e">
        <f>IF(OR(Hypothèses!$B$4=17,Hypothèses!$B$4=18,Hypothèses!$B$4=19,Hypothèses!$B$4=20),
IF($D99="Pressio.",
IF(OR($E99=3,$E99=1,$E99=4),FF99,FE99),
IF($D99="Pénétro.",
IF(OR($E99=3,$E99=1,$E99=4),FF99,FE99))),IF($D99="Pressio.",
IF($E99=3,FF99,FE99),
IF($D99="Pénétro.",
IF($E99=4,FF99,FE99))))</f>
        <v>#N/A</v>
      </c>
      <c r="FH99" s="31" t="e">
        <f>(IF(OR(Hypothèses!$B$4=17,Hypothèses!$B$4=18,Hypothèses!$B$4=19,Hypothèses!$B$4=20),
IF($D99="Pressio.",
IF(OR($E99=3,$E99=1,$E99=4),(PI()*FH$12^2)/4*(FD99*$W99*1000)/($H99*$B$5),(PI()*FH$12^2)/4*(FD99*$W99*1000)/($G99*$B$5)),
IF($D99="Pénétro.",
IF(OR($E99=4,$E99=1,$E99=5),(PI()*FH$12^2)/4*(FD99*$W99*1000)/($H99*$B$5),(PI()*FH$12^2)/4*(FD99*$W99*1000)/($G99*$B$5)))),
IF($D99="Pressio.",
IF($E99=3,(PI()*FH$12^2)/4*(FD99*$W99*1000)/($H99*$B$5),(PI()*FH$12^2)/4*(FD99*$W99*1000)/($G99*$B$5)),
IF($D99="Pénétro.",
IF($E99=4,(PI()*FH$12^2)/4*(FD99*$W99*1000)/($H99*$B$5),(PI()*FH$12^2)/4*(FD99*$W99*1000)/($G99*$B$5))))))/10</f>
        <v>#N/A</v>
      </c>
      <c r="FI99" s="102" t="e">
        <f>(VLOOKUP($B$3,'Coeff EC7'!$T$39:$X$59,2,0)*FG99+VLOOKUP($B$3,'Coeff EC7'!$T$65:$X$85,2,0)*Model0.1C!FH99)/1.1</f>
        <v>#N/A</v>
      </c>
      <c r="FJ99" s="102" t="e">
        <f>(VLOOKUP($B$3,'Coeff EC7'!$T$39:$X$59,3,0)*FG99+VLOOKUP($B$3,'Coeff EC7'!$T$65:$X$85,3,0)*Model0.1C!FH99)/0.9</f>
        <v>#N/A</v>
      </c>
      <c r="FK99" s="102" t="e">
        <f t="shared" si="198"/>
        <v>#N/A</v>
      </c>
      <c r="FL99" s="102" t="e">
        <f t="shared" si="199"/>
        <v>#N/A</v>
      </c>
      <c r="FM99" s="414" t="e">
        <f>IF(FM98=0,0,IF(AND(FI99&gt;charge_ELS_quasi,FJ99&gt;Charge_ELS_freq,FK99&gt;charge_ELU,FL99&gt;charge_ELA,$B99&gt;NDC!$H$22-0.1+MIN(3*$FM$12,1.5)),0,1))</f>
        <v>#N/A</v>
      </c>
    </row>
    <row r="100" spans="1:169">
      <c r="A100" s="96">
        <f t="shared" si="167"/>
        <v>91.300000000000495</v>
      </c>
      <c r="B100" s="97">
        <v>8.6999999999999993</v>
      </c>
      <c r="C100" s="81">
        <f>IF(B100&lt;=Hypothèses!$C$7,Hypothèses!$A$7,IF(B100&lt;=Hypothèses!$C$8,Hypothèses!$A$8,IF(B100&lt;=Hypothèses!$C$9,Hypothèses!$A$9,IF(B100&lt;=Hypothèses!$C$10,Hypothèses!$A$10,IF(B100&lt;=Hypothèses!$C$11,Hypothèses!$A$11,IF(B100&lt;=Hypothèses!$C$12,Hypothèses!$A$12,IF(B100&lt;=Hypothèses!$C$13,Hypothèses!$A$13,IF(B100&lt;=Hypothèses!$C$14,Hypothèses!$A$14,IF(B100&lt;=Hypothèses!$C$15,Hypothèses!$A$15,IF(B100&lt;=Hypothèses!$C$16,Hypothèses!$A$16,IF(B100&lt;=Hypothèses!$C$17,Hypothèses!$A$17,IF(B100&lt;=Hypothèses!$C$18,Hypothèses!$A$18,C99))))))))))))</f>
        <v>11</v>
      </c>
      <c r="D100" s="82" t="str">
        <f>IF(B100&lt;=Hypothèses!$C$7,Hypothèses!$R$7,IF(B100&lt;=Hypothèses!$C$8,Hypothèses!$R$8,IF(B100&lt;=Hypothèses!$C$9,Hypothèses!$R$9,IF(B100&lt;=Hypothèses!$C$10,Hypothèses!$R$10,IF(B100&lt;=Hypothèses!$C$11,Hypothèses!$R$11,IF(B100&lt;=Hypothèses!$C$12,Hypothèses!$R$12,IF(B100&lt;=Hypothèses!$C$13,Hypothèses!$R$13,IF(B100&lt;=Hypothèses!$C$14,Hypothèses!$R$14,IF(B100&lt;=Hypothèses!$C$15,Hypothèses!$R$15,IF(B100&lt;=Hypothèses!$C$16,Hypothèses!$R$16,IF(B100&lt;=Hypothèses!$C$17,Hypothèses!$R$17,IF(B100&lt;=Hypothèses!$C$18,Hypothèses!$R$18,D99))))))))))))</f>
        <v>Pressio.</v>
      </c>
      <c r="E100" s="82" t="e">
        <f>IF(B100&lt;=Hypothèses!$C$7,Hypothèses!$G$7,IF(B100&lt;=Hypothèses!$C$8,Hypothèses!$G$8,IF(B100&lt;=Hypothèses!$C$9,Hypothèses!$G$9,IF(B100&lt;=Hypothèses!$C$10,Hypothèses!$G$10,IF(B100&lt;=Hypothèses!$C$11,Hypothèses!$G$11,IF(B100&lt;=Hypothèses!$C$12,Hypothèses!$G$12,IF(B100&lt;=Hypothèses!$C$13,Hypothèses!$G$13,IF(B100&lt;=Hypothèses!$C$14,Hypothèses!$G$14,IF(B100&lt;=Hypothèses!$C$15,Hypothèses!$G$15,IF(B100&lt;=Hypothèses!$C$16,Hypothèses!$G$16,IF(B100&lt;=Hypothèses!$C$17,Hypothèses!$G$17,IF(B100&lt;=Hypothèses!$C$18,Hypothèses!$G$18,E99))))))))))))</f>
        <v>#N/A</v>
      </c>
      <c r="F100" s="82" t="str">
        <f>IF(B100&lt;=Hypothèses!$C$7,Hypothèses!$F$7,IF(B100&lt;=Hypothèses!$C$8,Hypothèses!$F$8,IF(B100&lt;=Hypothèses!$C$9,Hypothèses!$F$9,IF(B100&lt;=Hypothèses!$C$10,Hypothèses!$F$10,IF(B100&lt;=Hypothèses!$C$11,Hypothèses!$F$11,IF(B100&lt;=Hypothèses!$C$12,Hypothèses!$F$12,IF(B100&lt;=Hypothèses!$C$13,Hypothèses!$F$13,IF(B100&lt;=Hypothèses!$C$14,Hypothèses!$F$14,IF(B100&lt;=Hypothèses!$C$15,Hypothèses!$F$15,IF(B100&lt;=Hypothèses!$C$16,Hypothèses!$F$16,IF(B100&lt;=Hypothèses!$C$17,Hypothèses!$F$17,IF(B100&lt;=Hypothèses!$C$18,Hypothèses!$F$18,F99))))))))))))</f>
        <v/>
      </c>
      <c r="G100" s="91">
        <f t="array" ref="G100">INDEX('Coeff EC7'!$U$7:$X$27,
MATCH(Model0.1C!$B$3,'Coeff EC7'!$T$7:$T$27,0),
MATCH(Model0.1C!$D100&amp;Model0.1C!$B$4,
'Coeff EC7'!$U$6:$X$6&amp;
'Coeff EC7'!$U$5:$X$5,0))</f>
        <v>1.1499999999999999</v>
      </c>
      <c r="H100" s="91">
        <f t="array" ref="H100">INDEX('Coeff EC7'!$Y$7:$AB$27,
MATCH(Model0.1C!$B$3,'Coeff EC7'!$T$7:$T$27,0),
MATCH(Model0.1C!$D100&amp;Model0.1C!$B$4,
'Coeff EC7'!$Y$6:$AB$6&amp;
'Coeff EC7'!$Y$5:$AB$5,0))</f>
        <v>1.4</v>
      </c>
      <c r="I100" s="83" t="e">
        <f>IF(B100&lt;=Hypothèses!$C$7,Hypothèses!$P$7,IF(B100&lt;=Hypothèses!$C$8,Hypothèses!$P$8,IF(B100&lt;=Hypothèses!$C$9,Hypothèses!$P$9,IF(B100&lt;=Hypothèses!$C$10,Hypothèses!$P$10,IF(B100&lt;=Hypothèses!$C$11,Hypothèses!$P$11,IF(B100&lt;=Hypothèses!$C$12,Hypothèses!$P$12,IF(B100&lt;=Hypothèses!$C$13,Hypothèses!$P$13,IF(B100&lt;=Hypothèses!$C$14,Hypothèses!$P$14,IF(B100&lt;=Hypothèses!$C$15,Hypothèses!$P$15,IF(B100&lt;=Hypothèses!$C$16,Hypothèses!$P$16,IF(B100&lt;=Hypothèses!$C$17,Hypothèses!$P$17,IF(B100&lt;=Hypothèses!$C$18,Hypothèses!$P$18,I99))))))))))))</f>
        <v>#N/A</v>
      </c>
      <c r="J100" s="91" t="e">
        <f t="array" ref="J100">INDEX('Coeff EC7'!$D$33:$Q$33,1,MATCH(D100&amp;E100,'Coeff EC7'!$D$31:$Q$31&amp;'Coeff EC7'!$D$32:$Q$32,0))</f>
        <v>#N/A</v>
      </c>
      <c r="K100" s="91" t="e">
        <f t="array" ref="K100">INDEX('Coeff EC7'!$D$34:$Q$34,1,MATCH(D100&amp;E100,'Coeff EC7'!$D$31:$Q$31&amp;'Coeff EC7'!$D$32:$Q$32,0))</f>
        <v>#N/A</v>
      </c>
      <c r="L100" s="91" t="e">
        <f t="array" ref="L100">INDEX('Coeff EC7'!$D$35:$Q$35,1,MATCH(D100&amp;E100,'Coeff EC7'!$D$31:$Q$31&amp;'Coeff EC7'!$D$32:$Q$32,0))</f>
        <v>#N/A</v>
      </c>
      <c r="M100" s="98" t="e">
        <f t="shared" si="131"/>
        <v>#N/A</v>
      </c>
      <c r="N100" s="99" t="e">
        <f t="array" ref="N100">INDEX('Coeff EC7'!$D$7:$Q$27,MATCH($B$3,'Coeff EC7'!$C$7:$C$27,0),MATCH(D100&amp;E100,'Coeff EC7'!$D$5:$Q$5&amp;'Coeff EC7'!$D$6:$Q$6,0))</f>
        <v>#N/A</v>
      </c>
      <c r="O100" s="99" t="e">
        <f t="array" ref="O100">INDEX('Coeff EC7'!$D$41:$Q$61,MATCH($B$3,'Coeff EC7'!$C$41:$C$61,0),MATCH(D100&amp;E100,'Coeff EC7'!$D$39:$Q$39&amp;'Coeff EC7'!$D$40:$Q$40,0))</f>
        <v>#N/A</v>
      </c>
      <c r="P100" s="30" t="e">
        <f t="shared" si="168"/>
        <v>#N/A</v>
      </c>
      <c r="Q100" s="100" t="e">
        <f t="shared" si="133"/>
        <v>#N/A</v>
      </c>
      <c r="R100" s="86" t="b">
        <f t="shared" si="134"/>
        <v>0</v>
      </c>
      <c r="S100" s="86">
        <f t="shared" si="132"/>
        <v>0.5</v>
      </c>
      <c r="T100" s="86">
        <f t="shared" si="135"/>
        <v>0.5</v>
      </c>
      <c r="U100" s="30" t="e">
        <f t="shared" ca="1" si="169"/>
        <v>#DIV/0!</v>
      </c>
      <c r="V100" s="85" t="str">
        <f>IF(B100&lt;=Hypothèses!$V$7,Hypothèses!$W$7,IF(B100&lt;=Hypothèses!$V$8,Hypothèses!$W$8,IF(B100&lt;=Hypothèses!$V$9,Hypothèses!$W$9,IF(B100&lt;=Hypothèses!$V$10,Hypothèses!$W$10,IF(B100&lt;=Hypothèses!$V$11,Hypothèses!$W$11,IF(B100&lt;=Hypothèses!$V$12,Hypothèses!$W$12,IF(B100&lt;=Hypothèses!$V$13,Hypothèses!$W$13,IF(B100&lt;=Hypothèses!$V$14,Hypothèses!$W$14,IF(B100&lt;=Hypothèses!$V$15,Hypothèses!$W$15,IF(B100&lt;=Hypothèses!$V$16,Hypothèses!$W$16,IF(B100&lt;=Hypothèses!$V$17,Hypothèses!$W$17,IF(B100&lt;=Hypothèses!$V$18,Hypothèses!$W$18,""))))))))))))</f>
        <v/>
      </c>
      <c r="W100" s="87" t="e">
        <f t="shared" ca="1" si="216"/>
        <v>#DIV/0!</v>
      </c>
      <c r="X100" s="88" t="str">
        <f>IF(B100&lt;=Hypothèses!$V$7,Hypothèses!$X$7,IF(B100&lt;=Hypothèses!$V$8,Hypothèses!$X$8,IF(B100&lt;=Hypothèses!$V$9,Hypothèses!$X$9,IF(B100&lt;=Hypothèses!$V$10,Hypothèses!$X$10,IF(B100&lt;=Hypothèses!$V$11,Hypothèses!$X$11,IF(B100&lt;=Hypothèses!$V$12,Hypothèses!$X$12,IF(B100&lt;=Hypothèses!$V$13,Hypothèses!$X$13,IF(B100&lt;=Hypothèses!$V$14,Hypothèses!$X$14,IF(B100&lt;=Hypothèses!$V$15,Hypothèses!$X$15,IF(B100&lt;=Hypothèses!$V$16,Hypothèses!$X$16,IF(B100&lt;=Hypothèses!$U$17,Hypothèses!$W$17,IF(B100&lt;=Hypothèses!$U$18,Hypothèses!$W$18,""))))))))))))</f>
        <v/>
      </c>
      <c r="Y100" s="95" t="e">
        <f t="shared" ca="1" si="136"/>
        <v>#DIV/0!</v>
      </c>
      <c r="Z100" s="101" t="e">
        <f t="shared" si="137"/>
        <v>#N/A</v>
      </c>
      <c r="AA100" s="91" t="e">
        <f t="shared" si="138"/>
        <v>#N/A</v>
      </c>
      <c r="AB100" s="30" t="e">
        <f t="shared" si="200"/>
        <v>#N/A</v>
      </c>
      <c r="AC100" s="30" t="e">
        <f t="shared" si="201"/>
        <v>#N/A</v>
      </c>
      <c r="AD100" s="31" t="e">
        <f>IF(OR(Hypothèses!$B$4=17,Hypothèses!$B$4=18,Hypothèses!$B$4=19,Hypothèses!$B$4=20),
IF($D100="Pressio.",
IF(OR($E100=3,$E100=1,$E100=4),AC100,AB100),
IF($D100="Pénétro.",
IF(OR($E100=3,$E100=1,$E100=4),AC100,AB100))),IF($D100="Pressio.",
IF($E100=3,AC100,AB100),
IF($D100="Pénétro.",
IF($E100=4,AC100,AB100))))</f>
        <v>#N/A</v>
      </c>
      <c r="AE100" s="31" t="e">
        <f>(IF(OR(Hypothèses!$B$4=17,Hypothèses!$B$4=18,Hypothèses!$B$4=19,Hypothèses!$B$4=20),
IF($D100="Pressio.",
IF(OR($E100=3,$E100=1,$E100=4),(PI()*AE$12^2)/4*(AA100*$W100*1000)/($H100*$B$5),(PI()*AE$12^2)/4*(AA100*$W100*1000)/($G100*$B$5)),
IF($D100="Pénétro.",
IF(OR($E100=4,$E100=1,$E100=5),(PI()*AE$12^2)/4*(AA100*$W100*1000)/($H100*$B$5),(PI()*AE$12^2)/4*(AA100*$W100*1000)/($G100*$B$5)))),
IF($D100="Pressio.",
IF($E100=3,(PI()*AE$12^2)/4*(AA100*$W100*1000)/($H100*$B$5),(PI()*AE$12^2)/4*(AA100*$W100*1000)/($G100*$B$5)),
IF($D100="Pénétro.",
IF($E100=4,(PI()*AE$12^2)/4*(AA100*$W100*1000)/($H100*$B$5),(PI()*AE$12^2)/4*(AA100*$W100*1000)/($G100*$B$5))))))/10</f>
        <v>#N/A</v>
      </c>
      <c r="AF100" s="102" t="e">
        <f>(VLOOKUP($B$3,'Coeff EC7'!$T$39:$X$59,2,0)*AD100+VLOOKUP($B$3,'Coeff EC7'!$T$65:$X$85,2,0)*Model0.1C!AE100)/1.1</f>
        <v>#N/A</v>
      </c>
      <c r="AG100" s="102" t="e">
        <f>(VLOOKUP($B$3,'Coeff EC7'!$T$39:$X$59,3,0)*AD100+VLOOKUP($B$3,'Coeff EC7'!$T$65:$X$85,3,0)*Model0.1C!AE100)/0.9</f>
        <v>#N/A</v>
      </c>
      <c r="AH100" s="102" t="e">
        <f t="shared" si="139"/>
        <v>#N/A</v>
      </c>
      <c r="AI100" s="102" t="e">
        <f t="shared" si="140"/>
        <v>#N/A</v>
      </c>
      <c r="AJ100" s="414" t="e">
        <f>IF(AJ99=0,0,IF(AND(AF100&gt;charge_ELS_quasi,AG100&gt;Charge_ELS_freq,AH100&gt;charge_ELU,AI100&gt;charge_ELA,$B100&gt;NDC!$H$22-0.1+MIN(3*$AJ$12,1.5)),0,1))</f>
        <v>#N/A</v>
      </c>
      <c r="AK100" s="86" t="b">
        <f t="shared" si="141"/>
        <v>0</v>
      </c>
      <c r="AL100" s="86">
        <f t="shared" si="170"/>
        <v>0.5</v>
      </c>
      <c r="AM100" s="86">
        <f t="shared" si="142"/>
        <v>0.5</v>
      </c>
      <c r="AN100" s="30" t="e">
        <f t="shared" ca="1" si="171"/>
        <v>#DIV/0!</v>
      </c>
      <c r="AO100" s="85" t="e">
        <f ca="1">IF(U100&lt;=Hypothèses!$V$7,Hypothèses!$W$7,IF(U100&lt;=Hypothèses!$V$8,Hypothèses!$W$8,IF(U100&lt;=Hypothèses!$V$9,Hypothèses!$W$9,IF(U100&lt;=Hypothèses!$V$10,Hypothèses!$W$10,IF(U100&lt;=Hypothèses!$V$11,Hypothèses!$W$11,IF(U100&lt;=Hypothèses!$V$12,Hypothèses!$W$12,IF(U100&lt;=Hypothèses!$V$13,Hypothèses!$W$13,IF(U100&lt;=Hypothèses!$V$14,Hypothèses!$W$14,IF(U100&lt;=Hypothèses!$V$15,Hypothèses!$W$15,IF(U100&lt;=Hypothèses!$V$16,Hypothèses!$W$16,IF(U100&lt;=Hypothèses!$V$17,Hypothèses!$W$17,IF(U100&lt;=Hypothèses!$V$18,Hypothèses!$W$18,""))))))))))))</f>
        <v>#DIV/0!</v>
      </c>
      <c r="AP100" s="87" t="e">
        <f t="shared" ca="1" si="217"/>
        <v>#DIV/0!</v>
      </c>
      <c r="AQ100" s="88" t="e">
        <f ca="1">IF(U100&lt;=Hypothèses!$V$7,Hypothèses!$X$7,IF(U100&lt;=Hypothèses!$V$8,Hypothèses!$X$8,IF(U100&lt;=Hypothèses!$V$9,Hypothèses!$X$9,IF(U100&lt;=Hypothèses!$V$10,Hypothèses!$X$10,IF(U100&lt;=Hypothèses!$V$11,Hypothèses!$X$11,IF(U100&lt;=Hypothèses!$V$12,Hypothèses!$X$12,IF(U100&lt;=Hypothèses!$V$13,Hypothèses!$X$13,IF(U100&lt;=Hypothèses!$V$14,Hypothèses!$X$14,IF(U100&lt;=Hypothèses!$V$15,Hypothèses!$X$15,IF(U100&lt;=Hypothèses!$V$16,Hypothèses!$X$16,IF(U100&lt;=Hypothèses!$U$17,Hypothèses!$W$17,IF(U100&lt;=Hypothèses!$U$18,Hypothèses!$W$18,""))))))))))))</f>
        <v>#DIV/0!</v>
      </c>
      <c r="AR100" s="95" t="e">
        <f t="shared" ca="1" si="172"/>
        <v>#DIV/0!</v>
      </c>
      <c r="AS100" s="101" t="e">
        <f t="shared" si="224"/>
        <v>#N/A</v>
      </c>
      <c r="AT100" s="91" t="e">
        <f t="shared" si="143"/>
        <v>#N/A</v>
      </c>
      <c r="AU100" s="30" t="e">
        <f t="shared" si="202"/>
        <v>#N/A</v>
      </c>
      <c r="AV100" s="30" t="e">
        <f t="shared" si="203"/>
        <v>#N/A</v>
      </c>
      <c r="AW100" s="31" t="e">
        <f>IF(OR(Hypothèses!$B$4=17,Hypothèses!$B$4=18,Hypothèses!$B$4=19,Hypothèses!$B$4=20),
IF($D100="Pressio.",
IF(OR($E100=3,$E100=1,$E100=4),AV100,AU100),
IF($D100="Pénétro.",
IF(OR($E100=3,$E100=1,$E100=4),AV100,AU100))),IF($D100="Pressio.",
IF($E100=3,AV100,AU100),
IF($D100="Pénétro.",
IF($E100=4,AV100,AU100))))</f>
        <v>#N/A</v>
      </c>
      <c r="AX100" s="31" t="e">
        <f>(IF(OR(Hypothèses!$B$4=17,Hypothèses!$B$4=18,Hypothèses!$B$4=19,Hypothèses!$B$4=20),
IF($D100="Pressio.",
IF(OR($E100=3,$E100=1,$E100=4),(PI()*AX$12^2)/4*(AT100*$W100*1000)/($H100*$B$5),(PI()*AX$12^2)/4*(AT100*$W100*1000)/($G100*$B$5)),
IF($D100="Pénétro.",
IF(OR($E100=4,$E100=1,$E100=5),(PI()*AX$12^2)/4*(AT100*$W100*1000)/($H100*$B$5),(PI()*AX$12^2)/4*(AT100*$W100*1000)/($G100*$B$5)))),
IF($D100="Pressio.",
IF($E100=3,(PI()*AX$12^2)/4*(AT100*$W100*1000)/($H100*$B$5),(PI()*AX$12^2)/4*(AT100*$W100*1000)/($G100*$B$5)),
IF($D100="Pénétro.",
IF($E100=4,(PI()*AX$12^2)/4*(AT100*$W100*1000)/($H100*$B$5),(PI()*AX$12^2)/4*(AT100*$W100*1000)/($G100*$B$5))))))/10</f>
        <v>#N/A</v>
      </c>
      <c r="AY100" s="102" t="e">
        <f>(VLOOKUP($B$3,'Coeff EC7'!$T$39:$X$59,2,0)*AW100+VLOOKUP($B$3,'Coeff EC7'!$T$65:$X$85,2,0)*Model0.1C!AX100)/1.1</f>
        <v>#N/A</v>
      </c>
      <c r="AZ100" s="102" t="e">
        <f>(VLOOKUP($B$3,'Coeff EC7'!$T$39:$X$59,3,0)*AW100+VLOOKUP($B$3,'Coeff EC7'!$T$65:$X$85,3,0)*Model0.1C!AX100)/0.9</f>
        <v>#N/A</v>
      </c>
      <c r="BA100" s="102" t="e">
        <f t="shared" si="173"/>
        <v>#N/A</v>
      </c>
      <c r="BB100" s="102" t="e">
        <f t="shared" si="174"/>
        <v>#N/A</v>
      </c>
      <c r="BC100" s="414" t="e">
        <f>IF(BC99=0,0,IF(AND(AY100&gt;charge_ELS_quasi,AZ100&gt;Charge_ELS_freq,BA100&gt;charge_ELU,BB100&gt;charge_ELA,$B100&gt;NDC!$H$22-0.1+MIN(3*$BC$12,1.5)),0,1))</f>
        <v>#N/A</v>
      </c>
      <c r="BD100" s="86" t="b">
        <f t="shared" si="144"/>
        <v>0</v>
      </c>
      <c r="BE100" s="86">
        <f t="shared" si="175"/>
        <v>0.5</v>
      </c>
      <c r="BF100" s="86">
        <f t="shared" si="145"/>
        <v>0.5</v>
      </c>
      <c r="BG100" s="30" t="e">
        <f t="shared" ca="1" si="176"/>
        <v>#DIV/0!</v>
      </c>
      <c r="BH100" s="85" t="e">
        <f ca="1">IF(AN100&lt;=Hypothèses!$V$7,Hypothèses!$W$7,IF(AN100&lt;=Hypothèses!$V$8,Hypothèses!$W$8,IF(AN100&lt;=Hypothèses!$V$9,Hypothèses!$W$9,IF(AN100&lt;=Hypothèses!$V$10,Hypothèses!$W$10,IF(AN100&lt;=Hypothèses!$V$11,Hypothèses!$W$11,IF(AN100&lt;=Hypothèses!$V$12,Hypothèses!$W$12,IF(AN100&lt;=Hypothèses!$V$13,Hypothèses!$W$13,IF(AN100&lt;=Hypothèses!$V$14,Hypothèses!$W$14,IF(AN100&lt;=Hypothèses!$V$15,Hypothèses!$W$15,IF(AN100&lt;=Hypothèses!$V$16,Hypothèses!$W$16,IF(AN100&lt;=Hypothèses!$V$17,Hypothèses!$W$17,IF(AN100&lt;=Hypothèses!$V$18,Hypothèses!$W$18,""))))))))))))</f>
        <v>#DIV/0!</v>
      </c>
      <c r="BI100" s="87" t="e">
        <f t="shared" ca="1" si="218"/>
        <v>#DIV/0!</v>
      </c>
      <c r="BJ100" s="88" t="e">
        <f ca="1">IF(AN100&lt;=Hypothèses!$V$7,Hypothèses!$X$7,IF(AN100&lt;=Hypothèses!$V$8,Hypothèses!$X$8,IF(AN100&lt;=Hypothèses!$V$9,Hypothèses!$X$9,IF(AN100&lt;=Hypothèses!$V$10,Hypothèses!$X$10,IF(AN100&lt;=Hypothèses!$V$11,Hypothèses!$X$11,IF(AN100&lt;=Hypothèses!$V$12,Hypothèses!$X$12,IF(AN100&lt;=Hypothèses!$V$13,Hypothèses!$X$13,IF(AN100&lt;=Hypothèses!$V$14,Hypothèses!$X$14,IF(AN100&lt;=Hypothèses!$V$15,Hypothèses!$X$15,IF(AN100&lt;=Hypothèses!$V$16,Hypothèses!$X$16,IF(AN100&lt;=Hypothèses!$U$17,Hypothèses!$W$17,IF(AN100&lt;=Hypothèses!$U$18,Hypothèses!$W$18,""))))))))))))</f>
        <v>#DIV/0!</v>
      </c>
      <c r="BK100" s="95" t="e">
        <f t="shared" ca="1" si="177"/>
        <v>#DIV/0!</v>
      </c>
      <c r="BL100" s="101" t="e">
        <f t="shared" si="225"/>
        <v>#N/A</v>
      </c>
      <c r="BM100" s="91" t="e">
        <f t="shared" si="146"/>
        <v>#N/A</v>
      </c>
      <c r="BN100" s="30" t="e">
        <f t="shared" si="204"/>
        <v>#N/A</v>
      </c>
      <c r="BO100" s="30" t="e">
        <f t="shared" si="205"/>
        <v>#N/A</v>
      </c>
      <c r="BP100" s="31" t="e">
        <f>IF(OR(Hypothèses!$B$4=17,Hypothèses!$B$4=18,Hypothèses!$B$4=19,Hypothèses!$B$4=20),
IF($D100="Pressio.",
IF(OR($E100=3,$E100=1,$E100=4),BO100,BN100),
IF($D100="Pénétro.",
IF(OR($E100=3,$E100=1,$E100=4),BO100,BN100))),IF($D100="Pressio.",
IF($E100=3,BO100,BN100),
IF($D100="Pénétro.",
IF($E100=4,BO100,BN100))))</f>
        <v>#N/A</v>
      </c>
      <c r="BQ100" s="31" t="e">
        <f>(IF(OR(Hypothèses!$B$4=17,Hypothèses!$B$4=18,Hypothèses!$B$4=19,Hypothèses!$B$4=20),
IF($D100="Pressio.",
IF(OR($E100=3,$E100=1,$E100=4),(PI()*BQ$12^2)/4*(BM100*$W100*1000)/($H100*$B$5),(PI()*BQ$12^2)/4*(BM100*$W100*1000)/($G100*$B$5)),
IF($D100="Pénétro.",
IF(OR($E100=4,$E100=1,$E100=5),(PI()*BQ$12^2)/4*(BM100*$W100*1000)/($H100*$B$5),(PI()*BQ$12^2)/4*(BM100*$W100*1000)/($G100*$B$5)))),
IF($D100="Pressio.",
IF($E100=3,(PI()*BQ$12^2)/4*(BM100*$W100*1000)/($H100*$B$5),(PI()*BQ$12^2)/4*(BM100*$W100*1000)/($G100*$B$5)),
IF($D100="Pénétro.",
IF($E100=4,(PI()*BQ$12^2)/4*(BM100*$W100*1000)/($H100*$B$5),(PI()*BQ$12^2)/4*(BM100*$W100*1000)/($G100*$B$5))))))/10</f>
        <v>#N/A</v>
      </c>
      <c r="BR100" s="102" t="e">
        <f>(VLOOKUP($B$3,'Coeff EC7'!$T$39:$X$59,2,0)*BP100+VLOOKUP($B$3,'Coeff EC7'!$T$65:$X$85,2,0)*Model0.1C!BQ100)/1.1</f>
        <v>#N/A</v>
      </c>
      <c r="BS100" s="102" t="e">
        <f>(VLOOKUP($B$3,'Coeff EC7'!$T$39:$X$59,3,0)*BP100+VLOOKUP($B$3,'Coeff EC7'!$T$65:$X$85,3,0)*Model0.1C!BQ100)/0.9</f>
        <v>#N/A</v>
      </c>
      <c r="BT100" s="102" t="e">
        <f t="shared" si="178"/>
        <v>#N/A</v>
      </c>
      <c r="BU100" s="102" t="e">
        <f t="shared" si="179"/>
        <v>#N/A</v>
      </c>
      <c r="BV100" s="414" t="e">
        <f>IF(BV99=0,0,IF(AND(BR100&gt;charge_ELS_quasi,BS100&gt;Charge_ELS_freq,BT100&gt;charge_ELU,BU100&gt;charge_ELA,$B100&gt;NDC!$H$22-0.1+MIN(3*$BV$12,1.5)),0,1))</f>
        <v>#N/A</v>
      </c>
      <c r="BW100" s="86" t="b">
        <f t="shared" si="147"/>
        <v>0</v>
      </c>
      <c r="BX100" s="86">
        <f t="shared" si="148"/>
        <v>0.5</v>
      </c>
      <c r="BY100" s="86">
        <f t="shared" si="149"/>
        <v>0.5</v>
      </c>
      <c r="BZ100" s="30" t="e">
        <f t="shared" ca="1" si="180"/>
        <v>#DIV/0!</v>
      </c>
      <c r="CA100" s="85" t="e">
        <f ca="1">IF(BG100&lt;=Hypothèses!$V$7,Hypothèses!$W$7,IF(BG100&lt;=Hypothèses!$V$8,Hypothèses!$W$8,IF(BG100&lt;=Hypothèses!$V$9,Hypothèses!$W$9,IF(BG100&lt;=Hypothèses!$V$10,Hypothèses!$W$10,IF(BG100&lt;=Hypothèses!$V$11,Hypothèses!$W$11,IF(BG100&lt;=Hypothèses!$V$12,Hypothèses!$W$12,IF(BG100&lt;=Hypothèses!$V$13,Hypothèses!$W$13,IF(BG100&lt;=Hypothèses!$V$14,Hypothèses!$W$14,IF(BG100&lt;=Hypothèses!$V$15,Hypothèses!$W$15,IF(BG100&lt;=Hypothèses!$V$16,Hypothèses!$W$16,IF(BG100&lt;=Hypothèses!$V$17,Hypothèses!$W$17,IF(BG100&lt;=Hypothèses!$V$18,Hypothèses!$W$18,""))))))))))))</f>
        <v>#DIV/0!</v>
      </c>
      <c r="CB100" s="87" t="e">
        <f t="shared" ca="1" si="219"/>
        <v>#DIV/0!</v>
      </c>
      <c r="CC100" s="88" t="e">
        <f ca="1">IF(BG100&lt;=Hypothèses!$V$7,Hypothèses!$X$7,IF(BG100&lt;=Hypothèses!$V$8,Hypothèses!$X$8,IF(BG100&lt;=Hypothèses!$V$9,Hypothèses!$X$9,IF(BG100&lt;=Hypothèses!$V$10,Hypothèses!$X$10,IF(BG100&lt;=Hypothèses!$V$11,Hypothèses!$X$11,IF(BG100&lt;=Hypothèses!$V$12,Hypothèses!$X$12,IF(BG100&lt;=Hypothèses!$V$13,Hypothèses!$X$13,IF(BG100&lt;=Hypothèses!$V$14,Hypothèses!$X$14,IF(BG100&lt;=Hypothèses!$V$15,Hypothèses!$X$15,IF(BG100&lt;=Hypothèses!$V$16,Hypothèses!$X$16,IF(BG100&lt;=Hypothèses!$U$17,Hypothèses!$W$17,IF(BG100&lt;=Hypothèses!$U$18,Hypothèses!$W$18,""))))))))))))</f>
        <v>#DIV/0!</v>
      </c>
      <c r="CD100" s="95" t="e">
        <f t="shared" ca="1" si="181"/>
        <v>#DIV/0!</v>
      </c>
      <c r="CE100" s="101" t="e">
        <f t="shared" si="226"/>
        <v>#N/A</v>
      </c>
      <c r="CF100" s="91" t="e">
        <f t="shared" si="150"/>
        <v>#N/A</v>
      </c>
      <c r="CG100" s="30" t="e">
        <f t="shared" si="206"/>
        <v>#N/A</v>
      </c>
      <c r="CH100" s="30" t="e">
        <f t="shared" si="207"/>
        <v>#N/A</v>
      </c>
      <c r="CI100" s="31" t="e">
        <f>IF(OR(Hypothèses!$B$4=17,Hypothèses!$B$4=18,Hypothèses!$B$4=19,Hypothèses!$B$4=20),
IF($D100="Pressio.",
IF(OR($E100=3,$E100=1,$E100=4),CH100,CG100),
IF($D100="Pénétro.",
IF(OR($E100=3,$E100=1,$E100=4),CH100,CG100))),IF($D100="Pressio.",
IF($E100=3,CH100,CG100),
IF($D100="Pénétro.",
IF($E100=4,CH100,CG100))))</f>
        <v>#N/A</v>
      </c>
      <c r="CJ100" s="31" t="e">
        <f>(IF(OR(Hypothèses!$B$4=17,Hypothèses!$B$4=18,Hypothèses!$B$4=19,Hypothèses!$B$4=20),
IF($D100="Pressio.",
IF(OR($E100=3,$E100=1,$E100=4),(PI()*CJ$12^2)/4*(CF100*$W100*1000)/($H100*$B$5),(PI()*CJ$12^2)/4*(CF100*$W100*1000)/($G100*$B$5)),
IF($D100="Pénétro.",
IF(OR($E100=4,$E100=1,$E100=5),(PI()*CJ$12^2)/4*(CF100*$W100*1000)/($H100*$B$5),(PI()*CJ$12^2)/4*(CF100*$W100*1000)/($G100*$B$5)))),
IF($D100="Pressio.",
IF($E100=3,(PI()*CJ$12^2)/4*(CF100*$W100*1000)/($H100*$B$5),(PI()*CJ$12^2)/4*(CF100*$W100*1000)/($G100*$B$5)),
IF($D100="Pénétro.",
IF($E100=4,(PI()*CJ$12^2)/4*(CF100*$W100*1000)/($H100*$B$5),(PI()*CJ$12^2)/4*(CF100*$W100*1000)/($G100*$B$5))))))/10</f>
        <v>#N/A</v>
      </c>
      <c r="CK100" s="102" t="e">
        <f>(VLOOKUP($B$3,'Coeff EC7'!$T$39:$X$59,2,0)*CI100+VLOOKUP($B$3,'Coeff EC7'!$T$65:$X$85,2,0)*Model0.1C!CJ100)/1.1</f>
        <v>#N/A</v>
      </c>
      <c r="CL100" s="102" t="e">
        <f>(VLOOKUP($B$3,'Coeff EC7'!$T$39:$X$59,3,0)*CI100+VLOOKUP($B$3,'Coeff EC7'!$T$65:$X$85,3,0)*Model0.1C!CJ100)/0.9</f>
        <v>#N/A</v>
      </c>
      <c r="CM100" s="102" t="e">
        <f t="shared" si="182"/>
        <v>#N/A</v>
      </c>
      <c r="CN100" s="102" t="e">
        <f t="shared" si="183"/>
        <v>#N/A</v>
      </c>
      <c r="CO100" s="414" t="e">
        <f>IF(CO99=0,0,IF(AND(CK100&gt;charge_ELS_quasi,CL100&gt;Charge_ELS_freq,CM100&gt;charge_ELU,CN100&gt;charge_ELA,$B100&gt;NDC!$H$22-0.1+MIN(3*$CO$12,1.5)),0,1))</f>
        <v>#N/A</v>
      </c>
      <c r="CP100" s="86" t="b">
        <f t="shared" si="151"/>
        <v>0</v>
      </c>
      <c r="CQ100" s="86">
        <f t="shared" si="152"/>
        <v>0.5</v>
      </c>
      <c r="CR100" s="86">
        <f t="shared" si="153"/>
        <v>0.5</v>
      </c>
      <c r="CS100" s="30" t="e">
        <f t="shared" ca="1" si="184"/>
        <v>#DIV/0!</v>
      </c>
      <c r="CT100" s="85" t="e">
        <f ca="1">IF(BZ100&lt;=Hypothèses!$V$7,Hypothèses!$W$7,IF(BZ100&lt;=Hypothèses!$V$8,Hypothèses!$W$8,IF(BZ100&lt;=Hypothèses!$V$9,Hypothèses!$W$9,IF(BZ100&lt;=Hypothèses!$V$10,Hypothèses!$W$10,IF(BZ100&lt;=Hypothèses!$V$11,Hypothèses!$W$11,IF(BZ100&lt;=Hypothèses!$V$12,Hypothèses!$W$12,IF(BZ100&lt;=Hypothèses!$V$13,Hypothèses!$W$13,IF(BZ100&lt;=Hypothèses!$V$14,Hypothèses!$W$14,IF(BZ100&lt;=Hypothèses!$V$15,Hypothèses!$W$15,IF(BZ100&lt;=Hypothèses!$V$16,Hypothèses!$W$16,IF(BZ100&lt;=Hypothèses!$V$17,Hypothèses!$W$17,IF(BZ100&lt;=Hypothèses!$V$18,Hypothèses!$W$18,""))))))))))))</f>
        <v>#DIV/0!</v>
      </c>
      <c r="CU100" s="87" t="e">
        <f t="shared" ca="1" si="220"/>
        <v>#DIV/0!</v>
      </c>
      <c r="CV100" s="88" t="e">
        <f ca="1">IF(BZ100&lt;=Hypothèses!$V$7,Hypothèses!$X$7,IF(BZ100&lt;=Hypothèses!$V$8,Hypothèses!$X$8,IF(BZ100&lt;=Hypothèses!$V$9,Hypothèses!$X$9,IF(BZ100&lt;=Hypothèses!$V$10,Hypothèses!$X$10,IF(BZ100&lt;=Hypothèses!$V$11,Hypothèses!$X$11,IF(BZ100&lt;=Hypothèses!$V$12,Hypothèses!$X$12,IF(BZ100&lt;=Hypothèses!$V$13,Hypothèses!$X$13,IF(BZ100&lt;=Hypothèses!$V$14,Hypothèses!$X$14,IF(BZ100&lt;=Hypothèses!$V$15,Hypothèses!$X$15,IF(BZ100&lt;=Hypothèses!$V$16,Hypothèses!$X$16,IF(BZ100&lt;=Hypothèses!$U$17,Hypothèses!$W$17,IF(BZ100&lt;=Hypothèses!$U$18,Hypothèses!$W$18,""))))))))))))</f>
        <v>#DIV/0!</v>
      </c>
      <c r="CW100" s="95" t="e">
        <f t="shared" ca="1" si="185"/>
        <v>#DIV/0!</v>
      </c>
      <c r="CX100" s="101" t="e">
        <f t="shared" si="227"/>
        <v>#N/A</v>
      </c>
      <c r="CY100" s="91" t="e">
        <f t="shared" si="154"/>
        <v>#N/A</v>
      </c>
      <c r="CZ100" s="30" t="e">
        <f t="shared" si="208"/>
        <v>#N/A</v>
      </c>
      <c r="DA100" s="30" t="e">
        <f t="shared" si="209"/>
        <v>#N/A</v>
      </c>
      <c r="DB100" s="31" t="e">
        <f>IF(OR(Hypothèses!$B$4=17,Hypothèses!$B$4=18,Hypothèses!$B$4=19,Hypothèses!$B$4=20),
IF($D100="Pressio.",
IF(OR($E100=3,$E100=1,$E100=4),DA100,CZ100),
IF($D100="Pénétro.",
IF(OR($E100=3,$E100=1,$E100=4),DA100,CZ100))),IF($D100="Pressio.",
IF($E100=3,DA100,CZ100),
IF($D100="Pénétro.",
IF($E100=4,DA100,CZ100))))</f>
        <v>#N/A</v>
      </c>
      <c r="DC100" s="31" t="e">
        <f>(IF(OR(Hypothèses!$B$4=17,Hypothèses!$B$4=18,Hypothèses!$B$4=19,Hypothèses!$B$4=20),
IF($D100="Pressio.",
IF(OR($E100=3,$E100=1,$E100=4),(PI()*DC$12^2)/4*(CY100*$W100*1000)/($H100*$B$5),(PI()*DC$12^2)/4*(CY100*$W100*1000)/($G100*$B$5)),
IF($D100="Pénétro.",
IF(OR($E100=4,$E100=1,$E100=5),(PI()*DC$12^2)/4*(CY100*$W100*1000)/($H100*$B$5),(PI()*DC$12^2)/4*(CY100*$W100*1000)/($G100*$B$5)))),
IF($D100="Pressio.",
IF($E100=3,(PI()*DC$12^2)/4*(CY100*$W100*1000)/($H100*$B$5),(PI()*DC$12^2)/4*(CY100*$W100*1000)/($G100*$B$5)),
IF($D100="Pénétro.",
IF($E100=4,(PI()*DC$12^2)/4*(CY100*$W100*1000)/($H100*$B$5),(PI()*DC$12^2)/4*(CY100*$W100*1000)/($G100*$B$5))))))/10</f>
        <v>#N/A</v>
      </c>
      <c r="DD100" s="102" t="e">
        <f>(VLOOKUP($B$3,'Coeff EC7'!$T$39:$X$59,2,0)*DB100+VLOOKUP($B$3,'Coeff EC7'!$T$65:$X$85,2,0)*Model0.1C!DC100)/1.1</f>
        <v>#N/A</v>
      </c>
      <c r="DE100" s="102" t="e">
        <f>(VLOOKUP($B$3,'Coeff EC7'!$T$39:$X$59,3,0)*DB100+VLOOKUP($B$3,'Coeff EC7'!$T$65:$X$85,3,0)*Model0.1C!DC100)/0.9</f>
        <v>#N/A</v>
      </c>
      <c r="DF100" s="102" t="e">
        <f t="shared" si="186"/>
        <v>#N/A</v>
      </c>
      <c r="DG100" s="102" t="e">
        <f t="shared" si="187"/>
        <v>#N/A</v>
      </c>
      <c r="DH100" s="414" t="e">
        <f>IF(DH99=0,0,IF(AND(DD100&gt;charge_ELS_quasi,DE100&gt;Charge_ELS_freq,DF100&gt;charge_ELU,DG100&gt;charge_ELA,$B100&gt;NDC!$H$22-0.1+MIN(3*$DH$12,1.5)),0,1))</f>
        <v>#N/A</v>
      </c>
      <c r="DI100" s="86" t="b">
        <f t="shared" si="155"/>
        <v>0</v>
      </c>
      <c r="DJ100" s="86">
        <f t="shared" si="156"/>
        <v>0.5</v>
      </c>
      <c r="DK100" s="86">
        <f t="shared" si="157"/>
        <v>0.5</v>
      </c>
      <c r="DL100" s="30" t="e">
        <f t="shared" ca="1" si="188"/>
        <v>#DIV/0!</v>
      </c>
      <c r="DM100" s="85" t="e">
        <f ca="1">IF(CS100&lt;=Hypothèses!$V$7,Hypothèses!$W$7,IF(CS100&lt;=Hypothèses!$V$8,Hypothèses!$W$8,IF(CS100&lt;=Hypothèses!$V$9,Hypothèses!$W$9,IF(CS100&lt;=Hypothèses!$V$10,Hypothèses!$W$10,IF(CS100&lt;=Hypothèses!$V$11,Hypothèses!$W$11,IF(CS100&lt;=Hypothèses!$V$12,Hypothèses!$W$12,IF(CS100&lt;=Hypothèses!$V$13,Hypothèses!$W$13,IF(CS100&lt;=Hypothèses!$V$14,Hypothèses!$W$14,IF(CS100&lt;=Hypothèses!$V$15,Hypothèses!$W$15,IF(CS100&lt;=Hypothèses!$V$16,Hypothèses!$W$16,IF(CS100&lt;=Hypothèses!$V$17,Hypothèses!$W$17,IF(CS100&lt;=Hypothèses!$V$18,Hypothèses!$W$18,""))))))))))))</f>
        <v>#DIV/0!</v>
      </c>
      <c r="DN100" s="87" t="e">
        <f t="shared" ca="1" si="221"/>
        <v>#DIV/0!</v>
      </c>
      <c r="DO100" s="88" t="e">
        <f ca="1">IF(CS100&lt;=Hypothèses!$V$7,Hypothèses!$X$7,IF(CS100&lt;=Hypothèses!$V$8,Hypothèses!$X$8,IF(CS100&lt;=Hypothèses!$V$9,Hypothèses!$X$9,IF(CS100&lt;=Hypothèses!$V$10,Hypothèses!$X$10,IF(CS100&lt;=Hypothèses!$V$11,Hypothèses!$X$11,IF(CS100&lt;=Hypothèses!$V$12,Hypothèses!$X$12,IF(CS100&lt;=Hypothèses!$V$13,Hypothèses!$X$13,IF(CS100&lt;=Hypothèses!$V$14,Hypothèses!$X$14,IF(CS100&lt;=Hypothèses!$V$15,Hypothèses!$X$15,IF(CS100&lt;=Hypothèses!$V$16,Hypothèses!$X$16,IF(CS100&lt;=Hypothèses!$U$17,Hypothèses!$W$17,IF(CS100&lt;=Hypothèses!$U$18,Hypothèses!$W$18,""))))))))))))</f>
        <v>#DIV/0!</v>
      </c>
      <c r="DP100" s="95" t="e">
        <f t="shared" ca="1" si="189"/>
        <v>#DIV/0!</v>
      </c>
      <c r="DQ100" s="101" t="e">
        <f t="shared" si="228"/>
        <v>#N/A</v>
      </c>
      <c r="DR100" s="91" t="e">
        <f t="shared" si="158"/>
        <v>#N/A</v>
      </c>
      <c r="DS100" s="30" t="e">
        <f t="shared" si="210"/>
        <v>#N/A</v>
      </c>
      <c r="DT100" s="30" t="e">
        <f t="shared" si="211"/>
        <v>#N/A</v>
      </c>
      <c r="DU100" s="31" t="e">
        <f>IF(OR(Hypothèses!$B$4=17,Hypothèses!$B$4=18,Hypothèses!$B$4=19,Hypothèses!$B$4=20),
IF($D100="Pressio.",
IF(OR($E100=3,$E100=1,$E100=4),DT100,DS100),
IF($D100="Pénétro.",
IF(OR($E100=3,$E100=1,$E100=4),DT100,DS100))),IF($D100="Pressio.",
IF($E100=3,DT100,DS100),
IF($D100="Pénétro.",
IF($E100=4,DT100,DS100))))</f>
        <v>#N/A</v>
      </c>
      <c r="DV100" s="31" t="e">
        <f>(IF(OR(Hypothèses!$B$4=17,Hypothèses!$B$4=18,Hypothèses!$B$4=19,Hypothèses!$B$4=20),
IF($D100="Pressio.",
IF(OR($E100=3,$E100=1,$E100=4),(PI()*DV$12^2)/4*(DR100*$W100*1000)/($H100*$B$5),(PI()*DV$12^2)/4*(DR100*$W100*1000)/($G100*$B$5)),
IF($D100="Pénétro.",
IF(OR($E100=4,$E100=1,$E100=5),(PI()*DV$12^2)/4*(DR100*$W100*1000)/($H100*$B$5),(PI()*DV$12^2)/4*(DR100*$W100*1000)/($G100*$B$5)))),
IF($D100="Pressio.",
IF($E100=3,(PI()*DV$12^2)/4*(DR100*$W100*1000)/($H100*$B$5),(PI()*DV$12^2)/4*(DR100*$W100*1000)/($G100*$B$5)),
IF($D100="Pénétro.",
IF($E100=4,(PI()*DV$12^2)/4*(DR100*$W100*1000)/($H100*$B$5),(PI()*DV$12^2)/4*(DR100*$W100*1000)/($G100*$B$5))))))/10</f>
        <v>#N/A</v>
      </c>
      <c r="DW100" s="102" t="e">
        <f>(VLOOKUP($B$3,'Coeff EC7'!$T$39:$X$59,2,0)*DU100+VLOOKUP($B$3,'Coeff EC7'!$T$65:$X$85,2,0)*Model0.1C!DV100)/1.1</f>
        <v>#N/A</v>
      </c>
      <c r="DX100" s="102" t="e">
        <f>(VLOOKUP($B$3,'Coeff EC7'!$T$39:$X$59,3,0)*DU100+VLOOKUP($B$3,'Coeff EC7'!$T$65:$X$85,3,0)*Model0.1C!DV100)/0.9</f>
        <v>#N/A</v>
      </c>
      <c r="DY100" s="102" t="e">
        <f t="shared" si="190"/>
        <v>#N/A</v>
      </c>
      <c r="DZ100" s="102" t="e">
        <f t="shared" si="191"/>
        <v>#N/A</v>
      </c>
      <c r="EA100" s="414" t="e">
        <f>IF(EA99=0,0,IF(AND(DW100&gt;charge_ELS_quasi,DX100&gt;Charge_ELS_freq,DY100&gt;charge_ELU,DZ100&gt;charge_ELA,$B100&gt;NDC!$H$22-0.1+MIN(3*$EA$12,1.5)),0,1))</f>
        <v>#N/A</v>
      </c>
      <c r="EB100" s="86" t="b">
        <f t="shared" si="159"/>
        <v>0</v>
      </c>
      <c r="EC100" s="418">
        <f t="shared" si="160"/>
        <v>0.51</v>
      </c>
      <c r="ED100" s="86">
        <f t="shared" si="161"/>
        <v>0.51</v>
      </c>
      <c r="EE100" s="30" t="e">
        <f t="shared" ca="1" si="192"/>
        <v>#DIV/0!</v>
      </c>
      <c r="EF100" s="85" t="e">
        <f ca="1">IF(DL100&lt;=Hypothèses!$V$7,Hypothèses!$W$7,IF(DL100&lt;=Hypothèses!$V$8,Hypothèses!$W$8,IF(DL100&lt;=Hypothèses!$V$9,Hypothèses!$W$9,IF(DL100&lt;=Hypothèses!$V$10,Hypothèses!$W$10,IF(DL100&lt;=Hypothèses!$V$11,Hypothèses!$W$11,IF(DL100&lt;=Hypothèses!$V$12,Hypothèses!$W$12,IF(DL100&lt;=Hypothèses!$V$13,Hypothèses!$W$13,IF(DL100&lt;=Hypothèses!$V$14,Hypothèses!$W$14,IF(DL100&lt;=Hypothèses!$V$15,Hypothèses!$W$15,IF(DL100&lt;=Hypothèses!$V$16,Hypothèses!$W$16,IF(DL100&lt;=Hypothèses!$V$17,Hypothèses!$W$17,IF(DL100&lt;=Hypothèses!$V$18,Hypothèses!$W$18,""))))))))))))</f>
        <v>#DIV/0!</v>
      </c>
      <c r="EG100" s="87" t="e">
        <f t="shared" ca="1" si="222"/>
        <v>#DIV/0!</v>
      </c>
      <c r="EH100" s="88" t="e">
        <f ca="1">IF(DL100&lt;=Hypothèses!$V$7,Hypothèses!$X$7,IF(DL100&lt;=Hypothèses!$V$8,Hypothèses!$X$8,IF(DL100&lt;=Hypothèses!$V$9,Hypothèses!$X$9,IF(DL100&lt;=Hypothèses!$V$10,Hypothèses!$X$10,IF(DL100&lt;=Hypothèses!$V$11,Hypothèses!$X$11,IF(DL100&lt;=Hypothèses!$V$12,Hypothèses!$X$12,IF(DL100&lt;=Hypothèses!$V$13,Hypothèses!$X$13,IF(DL100&lt;=Hypothèses!$V$14,Hypothèses!$X$14,IF(DL100&lt;=Hypothèses!$V$15,Hypothèses!$X$15,IF(DL100&lt;=Hypothèses!$V$16,Hypothèses!$X$16,IF(DL100&lt;=Hypothèses!$U$17,Hypothèses!$W$17,IF(DL100&lt;=Hypothèses!$U$18,Hypothèses!$W$18,""))))))))))))</f>
        <v>#DIV/0!</v>
      </c>
      <c r="EI100" s="95" t="e">
        <f t="shared" ca="1" si="193"/>
        <v>#DIV/0!</v>
      </c>
      <c r="EJ100" s="101" t="e">
        <f t="shared" si="229"/>
        <v>#N/A</v>
      </c>
      <c r="EK100" s="91" t="e">
        <f t="shared" si="162"/>
        <v>#N/A</v>
      </c>
      <c r="EL100" s="30" t="e">
        <f t="shared" si="212"/>
        <v>#N/A</v>
      </c>
      <c r="EM100" s="30" t="e">
        <f t="shared" si="213"/>
        <v>#N/A</v>
      </c>
      <c r="EN100" s="31" t="e">
        <f>IF(OR(Hypothèses!$B$4=17,Hypothèses!$B$4=18,Hypothèses!$B$4=19,Hypothèses!$B$4=20),
IF($D100="Pressio.",
IF(OR($E100=3,$E100=1,$E100=4),EM100,EL100),
IF($D100="Pénétro.",
IF(OR($E100=3,$E100=1,$E100=4),EM100,EL100))),IF($D100="Pressio.",
IF($E100=3,EM100,EL100),
IF($D100="Pénétro.",
IF($E100=4,EM100,EL100))))</f>
        <v>#N/A</v>
      </c>
      <c r="EO100" s="31" t="e">
        <f>(IF(OR(Hypothèses!$B$4=17,Hypothèses!$B$4=18,Hypothèses!$B$4=19,Hypothèses!$B$4=20),
IF($D100="Pressio.",
IF(OR($E100=3,$E100=1,$E100=4),(PI()*EO$12^2)/4*(EK100*$W100*1000)/($H100*$B$5),(PI()*EO$12^2)/4*(EK100*$W100*1000)/($G100*$B$5)),
IF($D100="Pénétro.",
IF(OR($E100=4,$E100=1,$E100=5),(PI()*EO$12^2)/4*(EK100*$W100*1000)/($H100*$B$5),(PI()*EO$12^2)/4*(EK100*$W100*1000)/($G100*$B$5)))),
IF($D100="Pressio.",
IF($E100=3,(PI()*EO$12^2)/4*(EK100*$W100*1000)/($H100*$B$5),(PI()*EO$12^2)/4*(EK100*$W100*1000)/($G100*$B$5)),
IF($D100="Pénétro.",
IF($E100=4,(PI()*EO$12^2)/4*(EK100*$W100*1000)/($H100*$B$5),(PI()*EO$12^2)/4*(EK100*$W100*1000)/($G100*$B$5))))))/10</f>
        <v>#N/A</v>
      </c>
      <c r="EP100" s="102" t="e">
        <f>(VLOOKUP($B$3,'Coeff EC7'!$T$39:$X$59,2,0)*EN100+VLOOKUP($B$3,'Coeff EC7'!$T$65:$X$85,2,0)*Model0.1C!EO100)/1.1</f>
        <v>#N/A</v>
      </c>
      <c r="EQ100" s="102" t="e">
        <f>(VLOOKUP($B$3,'Coeff EC7'!$T$39:$X$59,3,0)*EN100+VLOOKUP($B$3,'Coeff EC7'!$T$65:$X$85,3,0)*Model0.1C!EO100)/0.9</f>
        <v>#N/A</v>
      </c>
      <c r="ER100" s="102" t="e">
        <f t="shared" si="194"/>
        <v>#N/A</v>
      </c>
      <c r="ES100" s="102" t="e">
        <f t="shared" si="195"/>
        <v>#N/A</v>
      </c>
      <c r="ET100" s="414" t="e">
        <f>IF(ET99=0,0,IF(AND(EP100&gt;charge_ELS_quasi,EQ100&gt;Charge_ELS_freq,ER100&gt;charge_ELU,ES100&gt;charge_ELA,$B100&gt;NDC!$H$22-0.1+MIN(3*$ET$12,1.5)),0,1))</f>
        <v>#N/A</v>
      </c>
      <c r="EU100" s="86" t="b">
        <f t="shared" si="163"/>
        <v>0</v>
      </c>
      <c r="EV100" s="86">
        <f t="shared" si="164"/>
        <v>0.61</v>
      </c>
      <c r="EW100" s="86">
        <f t="shared" si="165"/>
        <v>0.61</v>
      </c>
      <c r="EX100" s="30" t="e">
        <f t="shared" ca="1" si="196"/>
        <v>#DIV/0!</v>
      </c>
      <c r="EY100" s="85" t="e">
        <f ca="1">IF(EE100&lt;=Hypothèses!$V$7,Hypothèses!$W$7,IF(EE100&lt;=Hypothèses!$V$8,Hypothèses!$W$8,IF(EE100&lt;=Hypothèses!$V$9,Hypothèses!$W$9,IF(EE100&lt;=Hypothèses!$V$10,Hypothèses!$W$10,IF(EE100&lt;=Hypothèses!$V$11,Hypothèses!$W$11,IF(EE100&lt;=Hypothèses!$V$12,Hypothèses!$W$12,IF(EE100&lt;=Hypothèses!$V$13,Hypothèses!$W$13,IF(EE100&lt;=Hypothèses!$V$14,Hypothèses!$W$14,IF(EE100&lt;=Hypothèses!$V$15,Hypothèses!$W$15,IF(EE100&lt;=Hypothèses!$V$16,Hypothèses!$W$16,IF(EE100&lt;=Hypothèses!$V$17,Hypothèses!$W$17,IF(EE100&lt;=Hypothèses!$V$18,Hypothèses!$W$18,""))))))))))))</f>
        <v>#DIV/0!</v>
      </c>
      <c r="EZ100" s="87" t="e">
        <f t="shared" ca="1" si="223"/>
        <v>#DIV/0!</v>
      </c>
      <c r="FA100" s="88" t="e">
        <f ca="1">IF(EE100&lt;=Hypothèses!$V$7,Hypothèses!$X$7,IF(EE100&lt;=Hypothèses!$V$8,Hypothèses!$X$8,IF(EE100&lt;=Hypothèses!$V$9,Hypothèses!$X$9,IF(EE100&lt;=Hypothèses!$V$10,Hypothèses!$X$10,IF(EE100&lt;=Hypothèses!$V$11,Hypothèses!$X$11,IF(EE100&lt;=Hypothèses!$V$12,Hypothèses!$X$12,IF(EE100&lt;=Hypothèses!$V$13,Hypothèses!$X$13,IF(EE100&lt;=Hypothèses!$V$14,Hypothèses!$X$14,IF(EE100&lt;=Hypothèses!$V$15,Hypothèses!$X$15,IF(EE100&lt;=Hypothèses!$V$16,Hypothèses!$X$16,IF(EE100&lt;=Hypothèses!$U$17,Hypothèses!$W$17,IF(EE100&lt;=Hypothèses!$U$18,Hypothèses!$W$18,""))))))))))))</f>
        <v>#DIV/0!</v>
      </c>
      <c r="FB100" s="95" t="e">
        <f t="shared" ca="1" si="197"/>
        <v>#DIV/0!</v>
      </c>
      <c r="FC100" s="101" t="e">
        <f t="shared" si="230"/>
        <v>#N/A</v>
      </c>
      <c r="FD100" s="91" t="e">
        <f t="shared" si="166"/>
        <v>#N/A</v>
      </c>
      <c r="FE100" s="30" t="e">
        <f t="shared" si="214"/>
        <v>#N/A</v>
      </c>
      <c r="FF100" s="30" t="e">
        <f t="shared" si="215"/>
        <v>#N/A</v>
      </c>
      <c r="FG100" s="31" t="e">
        <f>IF(OR(Hypothèses!$B$4=17,Hypothèses!$B$4=18,Hypothèses!$B$4=19,Hypothèses!$B$4=20),
IF($D100="Pressio.",
IF(OR($E100=3,$E100=1,$E100=4),FF100,FE100),
IF($D100="Pénétro.",
IF(OR($E100=3,$E100=1,$E100=4),FF100,FE100))),IF($D100="Pressio.",
IF($E100=3,FF100,FE100),
IF($D100="Pénétro.",
IF($E100=4,FF100,FE100))))</f>
        <v>#N/A</v>
      </c>
      <c r="FH100" s="31" t="e">
        <f>(IF(OR(Hypothèses!$B$4=17,Hypothèses!$B$4=18,Hypothèses!$B$4=19,Hypothèses!$B$4=20),
IF($D100="Pressio.",
IF(OR($E100=3,$E100=1,$E100=4),(PI()*FH$12^2)/4*(FD100*$W100*1000)/($H100*$B$5),(PI()*FH$12^2)/4*(FD100*$W100*1000)/($G100*$B$5)),
IF($D100="Pénétro.",
IF(OR($E100=4,$E100=1,$E100=5),(PI()*FH$12^2)/4*(FD100*$W100*1000)/($H100*$B$5),(PI()*FH$12^2)/4*(FD100*$W100*1000)/($G100*$B$5)))),
IF($D100="Pressio.",
IF($E100=3,(PI()*FH$12^2)/4*(FD100*$W100*1000)/($H100*$B$5),(PI()*FH$12^2)/4*(FD100*$W100*1000)/($G100*$B$5)),
IF($D100="Pénétro.",
IF($E100=4,(PI()*FH$12^2)/4*(FD100*$W100*1000)/($H100*$B$5),(PI()*FH$12^2)/4*(FD100*$W100*1000)/($G100*$B$5))))))/10</f>
        <v>#N/A</v>
      </c>
      <c r="FI100" s="102" t="e">
        <f>(VLOOKUP($B$3,'Coeff EC7'!$T$39:$X$59,2,0)*FG100+VLOOKUP($B$3,'Coeff EC7'!$T$65:$X$85,2,0)*Model0.1C!FH100)/1.1</f>
        <v>#N/A</v>
      </c>
      <c r="FJ100" s="102" t="e">
        <f>(VLOOKUP($B$3,'Coeff EC7'!$T$39:$X$59,3,0)*FG100+VLOOKUP($B$3,'Coeff EC7'!$T$65:$X$85,3,0)*Model0.1C!FH100)/0.9</f>
        <v>#N/A</v>
      </c>
      <c r="FK100" s="102" t="e">
        <f t="shared" si="198"/>
        <v>#N/A</v>
      </c>
      <c r="FL100" s="102" t="e">
        <f t="shared" si="199"/>
        <v>#N/A</v>
      </c>
      <c r="FM100" s="414" t="e">
        <f>IF(FM99=0,0,IF(AND(FI100&gt;charge_ELS_quasi,FJ100&gt;Charge_ELS_freq,FK100&gt;charge_ELU,FL100&gt;charge_ELA,$B100&gt;NDC!$H$22-0.1+MIN(3*$FM$12,1.5)),0,1))</f>
        <v>#N/A</v>
      </c>
    </row>
    <row r="101" spans="1:169">
      <c r="A101" s="96">
        <f t="shared" si="167"/>
        <v>91.2000000000005</v>
      </c>
      <c r="B101" s="97">
        <v>8.8000000000000007</v>
      </c>
      <c r="C101" s="81">
        <f>IF(B101&lt;=Hypothèses!$C$7,Hypothèses!$A$7,IF(B101&lt;=Hypothèses!$C$8,Hypothèses!$A$8,IF(B101&lt;=Hypothèses!$C$9,Hypothèses!$A$9,IF(B101&lt;=Hypothèses!$C$10,Hypothèses!$A$10,IF(B101&lt;=Hypothèses!$C$11,Hypothèses!$A$11,IF(B101&lt;=Hypothèses!$C$12,Hypothèses!$A$12,IF(B101&lt;=Hypothèses!$C$13,Hypothèses!$A$13,IF(B101&lt;=Hypothèses!$C$14,Hypothèses!$A$14,IF(B101&lt;=Hypothèses!$C$15,Hypothèses!$A$15,IF(B101&lt;=Hypothèses!$C$16,Hypothèses!$A$16,IF(B101&lt;=Hypothèses!$C$17,Hypothèses!$A$17,IF(B101&lt;=Hypothèses!$C$18,Hypothèses!$A$18,C100))))))))))))</f>
        <v>11</v>
      </c>
      <c r="D101" s="82" t="str">
        <f>IF(B101&lt;=Hypothèses!$C$7,Hypothèses!$R$7,IF(B101&lt;=Hypothèses!$C$8,Hypothèses!$R$8,IF(B101&lt;=Hypothèses!$C$9,Hypothèses!$R$9,IF(B101&lt;=Hypothèses!$C$10,Hypothèses!$R$10,IF(B101&lt;=Hypothèses!$C$11,Hypothèses!$R$11,IF(B101&lt;=Hypothèses!$C$12,Hypothèses!$R$12,IF(B101&lt;=Hypothèses!$C$13,Hypothèses!$R$13,IF(B101&lt;=Hypothèses!$C$14,Hypothèses!$R$14,IF(B101&lt;=Hypothèses!$C$15,Hypothèses!$R$15,IF(B101&lt;=Hypothèses!$C$16,Hypothèses!$R$16,IF(B101&lt;=Hypothèses!$C$17,Hypothèses!$R$17,IF(B101&lt;=Hypothèses!$C$18,Hypothèses!$R$18,D100))))))))))))</f>
        <v>Pressio.</v>
      </c>
      <c r="E101" s="82" t="e">
        <f>IF(B101&lt;=Hypothèses!$C$7,Hypothèses!$G$7,IF(B101&lt;=Hypothèses!$C$8,Hypothèses!$G$8,IF(B101&lt;=Hypothèses!$C$9,Hypothèses!$G$9,IF(B101&lt;=Hypothèses!$C$10,Hypothèses!$G$10,IF(B101&lt;=Hypothèses!$C$11,Hypothèses!$G$11,IF(B101&lt;=Hypothèses!$C$12,Hypothèses!$G$12,IF(B101&lt;=Hypothèses!$C$13,Hypothèses!$G$13,IF(B101&lt;=Hypothèses!$C$14,Hypothèses!$G$14,IF(B101&lt;=Hypothèses!$C$15,Hypothèses!$G$15,IF(B101&lt;=Hypothèses!$C$16,Hypothèses!$G$16,IF(B101&lt;=Hypothèses!$C$17,Hypothèses!$G$17,IF(B101&lt;=Hypothèses!$C$18,Hypothèses!$G$18,E100))))))))))))</f>
        <v>#N/A</v>
      </c>
      <c r="F101" s="82" t="str">
        <f>IF(B101&lt;=Hypothèses!$C$7,Hypothèses!$F$7,IF(B101&lt;=Hypothèses!$C$8,Hypothèses!$F$8,IF(B101&lt;=Hypothèses!$C$9,Hypothèses!$F$9,IF(B101&lt;=Hypothèses!$C$10,Hypothèses!$F$10,IF(B101&lt;=Hypothèses!$C$11,Hypothèses!$F$11,IF(B101&lt;=Hypothèses!$C$12,Hypothèses!$F$12,IF(B101&lt;=Hypothèses!$C$13,Hypothèses!$F$13,IF(B101&lt;=Hypothèses!$C$14,Hypothèses!$F$14,IF(B101&lt;=Hypothèses!$C$15,Hypothèses!$F$15,IF(B101&lt;=Hypothèses!$C$16,Hypothèses!$F$16,IF(B101&lt;=Hypothèses!$C$17,Hypothèses!$F$17,IF(B101&lt;=Hypothèses!$C$18,Hypothèses!$F$18,F100))))))))))))</f>
        <v/>
      </c>
      <c r="G101" s="91">
        <f t="array" ref="G101">INDEX('Coeff EC7'!$U$7:$X$27,
MATCH(Model0.1C!$B$3,'Coeff EC7'!$T$7:$T$27,0),
MATCH(Model0.1C!$D101&amp;Model0.1C!$B$4,
'Coeff EC7'!$U$6:$X$6&amp;
'Coeff EC7'!$U$5:$X$5,0))</f>
        <v>1.1499999999999999</v>
      </c>
      <c r="H101" s="91">
        <f t="array" ref="H101">INDEX('Coeff EC7'!$Y$7:$AB$27,
MATCH(Model0.1C!$B$3,'Coeff EC7'!$T$7:$T$27,0),
MATCH(Model0.1C!$D101&amp;Model0.1C!$B$4,
'Coeff EC7'!$Y$6:$AB$6&amp;
'Coeff EC7'!$Y$5:$AB$5,0))</f>
        <v>1.4</v>
      </c>
      <c r="I101" s="83" t="e">
        <f>IF(B101&lt;=Hypothèses!$C$7,Hypothèses!$P$7,IF(B101&lt;=Hypothèses!$C$8,Hypothèses!$P$8,IF(B101&lt;=Hypothèses!$C$9,Hypothèses!$P$9,IF(B101&lt;=Hypothèses!$C$10,Hypothèses!$P$10,IF(B101&lt;=Hypothèses!$C$11,Hypothèses!$P$11,IF(B101&lt;=Hypothèses!$C$12,Hypothèses!$P$12,IF(B101&lt;=Hypothèses!$C$13,Hypothèses!$P$13,IF(B101&lt;=Hypothèses!$C$14,Hypothèses!$P$14,IF(B101&lt;=Hypothèses!$C$15,Hypothèses!$P$15,IF(B101&lt;=Hypothèses!$C$16,Hypothèses!$P$16,IF(B101&lt;=Hypothèses!$C$17,Hypothèses!$P$17,IF(B101&lt;=Hypothèses!$C$18,Hypothèses!$P$18,I100))))))))))))</f>
        <v>#N/A</v>
      </c>
      <c r="J101" s="91" t="e">
        <f t="array" ref="J101">INDEX('Coeff EC7'!$D$33:$Q$33,1,MATCH(D101&amp;E101,'Coeff EC7'!$D$31:$Q$31&amp;'Coeff EC7'!$D$32:$Q$32,0))</f>
        <v>#N/A</v>
      </c>
      <c r="K101" s="91" t="e">
        <f t="array" ref="K101">INDEX('Coeff EC7'!$D$34:$Q$34,1,MATCH(D101&amp;E101,'Coeff EC7'!$D$31:$Q$31&amp;'Coeff EC7'!$D$32:$Q$32,0))</f>
        <v>#N/A</v>
      </c>
      <c r="L101" s="91" t="e">
        <f t="array" ref="L101">INDEX('Coeff EC7'!$D$35:$Q$35,1,MATCH(D101&amp;E101,'Coeff EC7'!$D$31:$Q$31&amp;'Coeff EC7'!$D$32:$Q$32,0))</f>
        <v>#N/A</v>
      </c>
      <c r="M101" s="98" t="e">
        <f t="shared" si="131"/>
        <v>#N/A</v>
      </c>
      <c r="N101" s="99" t="e">
        <f t="array" ref="N101">INDEX('Coeff EC7'!$D$7:$Q$27,MATCH($B$3,'Coeff EC7'!$C$7:$C$27,0),MATCH(D101&amp;E101,'Coeff EC7'!$D$5:$Q$5&amp;'Coeff EC7'!$D$6:$Q$6,0))</f>
        <v>#N/A</v>
      </c>
      <c r="O101" s="99" t="e">
        <f t="array" ref="O101">INDEX('Coeff EC7'!$D$41:$Q$61,MATCH($B$3,'Coeff EC7'!$C$41:$C$61,0),MATCH(D101&amp;E101,'Coeff EC7'!$D$39:$Q$39&amp;'Coeff EC7'!$D$40:$Q$40,0))</f>
        <v>#N/A</v>
      </c>
      <c r="P101" s="30" t="e">
        <f t="shared" si="168"/>
        <v>#N/A</v>
      </c>
      <c r="Q101" s="100" t="e">
        <f t="shared" si="133"/>
        <v>#N/A</v>
      </c>
      <c r="R101" s="86" t="b">
        <f t="shared" si="134"/>
        <v>0</v>
      </c>
      <c r="S101" s="86">
        <f t="shared" si="132"/>
        <v>0.5</v>
      </c>
      <c r="T101" s="86">
        <f t="shared" si="135"/>
        <v>0.5</v>
      </c>
      <c r="U101" s="30" t="e">
        <f t="shared" ca="1" si="169"/>
        <v>#DIV/0!</v>
      </c>
      <c r="V101" s="85" t="str">
        <f>IF(B101&lt;=Hypothèses!$V$7,Hypothèses!$W$7,IF(B101&lt;=Hypothèses!$V$8,Hypothèses!$W$8,IF(B101&lt;=Hypothèses!$V$9,Hypothèses!$W$9,IF(B101&lt;=Hypothèses!$V$10,Hypothèses!$W$10,IF(B101&lt;=Hypothèses!$V$11,Hypothèses!$W$11,IF(B101&lt;=Hypothèses!$V$12,Hypothèses!$W$12,IF(B101&lt;=Hypothèses!$V$13,Hypothèses!$W$13,IF(B101&lt;=Hypothèses!$V$14,Hypothèses!$W$14,IF(B101&lt;=Hypothèses!$V$15,Hypothèses!$W$15,IF(B101&lt;=Hypothèses!$V$16,Hypothèses!$W$16,IF(B101&lt;=Hypothèses!$V$17,Hypothèses!$W$17,IF(B101&lt;=Hypothèses!$V$18,Hypothèses!$W$18,""))))))))))))</f>
        <v/>
      </c>
      <c r="W101" s="87" t="e">
        <f t="shared" ca="1" si="216"/>
        <v>#DIV/0!</v>
      </c>
      <c r="X101" s="88" t="str">
        <f>IF(B101&lt;=Hypothèses!$V$7,Hypothèses!$X$7,IF(B101&lt;=Hypothèses!$V$8,Hypothèses!$X$8,IF(B101&lt;=Hypothèses!$V$9,Hypothèses!$X$9,IF(B101&lt;=Hypothèses!$V$10,Hypothèses!$X$10,IF(B101&lt;=Hypothèses!$V$11,Hypothèses!$X$11,IF(B101&lt;=Hypothèses!$V$12,Hypothèses!$X$12,IF(B101&lt;=Hypothèses!$V$13,Hypothèses!$X$13,IF(B101&lt;=Hypothèses!$V$14,Hypothèses!$X$14,IF(B101&lt;=Hypothèses!$V$15,Hypothèses!$X$15,IF(B101&lt;=Hypothèses!$V$16,Hypothèses!$X$16,IF(B101&lt;=Hypothèses!$U$17,Hypothèses!$W$17,IF(B101&lt;=Hypothèses!$U$18,Hypothèses!$W$18,""))))))))))))</f>
        <v/>
      </c>
      <c r="Y101" s="95" t="e">
        <f t="shared" ca="1" si="136"/>
        <v>#DIV/0!</v>
      </c>
      <c r="Z101" s="101" t="e">
        <f t="shared" si="137"/>
        <v>#N/A</v>
      </c>
      <c r="AA101" s="91" t="e">
        <f t="shared" si="138"/>
        <v>#N/A</v>
      </c>
      <c r="AB101" s="30" t="e">
        <f t="shared" si="200"/>
        <v>#N/A</v>
      </c>
      <c r="AC101" s="30" t="e">
        <f t="shared" si="201"/>
        <v>#N/A</v>
      </c>
      <c r="AD101" s="31" t="e">
        <f>IF(OR(Hypothèses!$B$4=17,Hypothèses!$B$4=18,Hypothèses!$B$4=19,Hypothèses!$B$4=20),
IF($D101="Pressio.",
IF(OR($E101=3,$E101=1,$E101=4),AC101,AB101),
IF($D101="Pénétro.",
IF(OR($E101=3,$E101=1,$E101=4),AC101,AB101))),IF($D101="Pressio.",
IF($E101=3,AC101,AB101),
IF($D101="Pénétro.",
IF($E101=4,AC101,AB101))))</f>
        <v>#N/A</v>
      </c>
      <c r="AE101" s="31" t="e">
        <f>(IF(OR(Hypothèses!$B$4=17,Hypothèses!$B$4=18,Hypothèses!$B$4=19,Hypothèses!$B$4=20),
IF($D101="Pressio.",
IF(OR($E101=3,$E101=1,$E101=4),(PI()*AE$12^2)/4*(AA101*$W101*1000)/($H101*$B$5),(PI()*AE$12^2)/4*(AA101*$W101*1000)/($G101*$B$5)),
IF($D101="Pénétro.",
IF(OR($E101=4,$E101=1,$E101=5),(PI()*AE$12^2)/4*(AA101*$W101*1000)/($H101*$B$5),(PI()*AE$12^2)/4*(AA101*$W101*1000)/($G101*$B$5)))),
IF($D101="Pressio.",
IF($E101=3,(PI()*AE$12^2)/4*(AA101*$W101*1000)/($H101*$B$5),(PI()*AE$12^2)/4*(AA101*$W101*1000)/($G101*$B$5)),
IF($D101="Pénétro.",
IF($E101=4,(PI()*AE$12^2)/4*(AA101*$W101*1000)/($H101*$B$5),(PI()*AE$12^2)/4*(AA101*$W101*1000)/($G101*$B$5))))))/10</f>
        <v>#N/A</v>
      </c>
      <c r="AF101" s="102" t="e">
        <f>(VLOOKUP($B$3,'Coeff EC7'!$T$39:$X$59,2,0)*AD101+VLOOKUP($B$3,'Coeff EC7'!$T$65:$X$85,2,0)*Model0.1C!AE101)/1.1</f>
        <v>#N/A</v>
      </c>
      <c r="AG101" s="102" t="e">
        <f>(VLOOKUP($B$3,'Coeff EC7'!$T$39:$X$59,3,0)*AD101+VLOOKUP($B$3,'Coeff EC7'!$T$65:$X$85,3,0)*Model0.1C!AE101)/0.9</f>
        <v>#N/A</v>
      </c>
      <c r="AH101" s="102" t="e">
        <f t="shared" si="139"/>
        <v>#N/A</v>
      </c>
      <c r="AI101" s="102" t="e">
        <f t="shared" si="140"/>
        <v>#N/A</v>
      </c>
      <c r="AJ101" s="414" t="e">
        <f>IF(AJ100=0,0,IF(AND(AF101&gt;charge_ELS_quasi,AG101&gt;Charge_ELS_freq,AH101&gt;charge_ELU,AI101&gt;charge_ELA,$B101&gt;NDC!$H$22-0.1+MIN(3*$AJ$12,1.5)),0,1))</f>
        <v>#N/A</v>
      </c>
      <c r="AK101" s="86" t="b">
        <f t="shared" si="141"/>
        <v>0</v>
      </c>
      <c r="AL101" s="86">
        <f t="shared" si="170"/>
        <v>0.5</v>
      </c>
      <c r="AM101" s="86">
        <f t="shared" si="142"/>
        <v>0.5</v>
      </c>
      <c r="AN101" s="30" t="e">
        <f t="shared" ca="1" si="171"/>
        <v>#DIV/0!</v>
      </c>
      <c r="AO101" s="85" t="e">
        <f ca="1">IF(U101&lt;=Hypothèses!$V$7,Hypothèses!$W$7,IF(U101&lt;=Hypothèses!$V$8,Hypothèses!$W$8,IF(U101&lt;=Hypothèses!$V$9,Hypothèses!$W$9,IF(U101&lt;=Hypothèses!$V$10,Hypothèses!$W$10,IF(U101&lt;=Hypothèses!$V$11,Hypothèses!$W$11,IF(U101&lt;=Hypothèses!$V$12,Hypothèses!$W$12,IF(U101&lt;=Hypothèses!$V$13,Hypothèses!$W$13,IF(U101&lt;=Hypothèses!$V$14,Hypothèses!$W$14,IF(U101&lt;=Hypothèses!$V$15,Hypothèses!$W$15,IF(U101&lt;=Hypothèses!$V$16,Hypothèses!$W$16,IF(U101&lt;=Hypothèses!$V$17,Hypothèses!$W$17,IF(U101&lt;=Hypothèses!$V$18,Hypothèses!$W$18,""))))))))))))</f>
        <v>#DIV/0!</v>
      </c>
      <c r="AP101" s="87" t="e">
        <f t="shared" ca="1" si="217"/>
        <v>#DIV/0!</v>
      </c>
      <c r="AQ101" s="88" t="e">
        <f ca="1">IF(U101&lt;=Hypothèses!$V$7,Hypothèses!$X$7,IF(U101&lt;=Hypothèses!$V$8,Hypothèses!$X$8,IF(U101&lt;=Hypothèses!$V$9,Hypothèses!$X$9,IF(U101&lt;=Hypothèses!$V$10,Hypothèses!$X$10,IF(U101&lt;=Hypothèses!$V$11,Hypothèses!$X$11,IF(U101&lt;=Hypothèses!$V$12,Hypothèses!$X$12,IF(U101&lt;=Hypothèses!$V$13,Hypothèses!$X$13,IF(U101&lt;=Hypothèses!$V$14,Hypothèses!$X$14,IF(U101&lt;=Hypothèses!$V$15,Hypothèses!$X$15,IF(U101&lt;=Hypothèses!$V$16,Hypothèses!$X$16,IF(U101&lt;=Hypothèses!$U$17,Hypothèses!$W$17,IF(U101&lt;=Hypothèses!$U$18,Hypothèses!$W$18,""))))))))))))</f>
        <v>#DIV/0!</v>
      </c>
      <c r="AR101" s="95" t="e">
        <f t="shared" ca="1" si="172"/>
        <v>#DIV/0!</v>
      </c>
      <c r="AS101" s="101" t="e">
        <f t="shared" si="224"/>
        <v>#N/A</v>
      </c>
      <c r="AT101" s="91" t="e">
        <f t="shared" si="143"/>
        <v>#N/A</v>
      </c>
      <c r="AU101" s="30" t="e">
        <f t="shared" si="202"/>
        <v>#N/A</v>
      </c>
      <c r="AV101" s="30" t="e">
        <f t="shared" si="203"/>
        <v>#N/A</v>
      </c>
      <c r="AW101" s="31" t="e">
        <f>IF(OR(Hypothèses!$B$4=17,Hypothèses!$B$4=18,Hypothèses!$B$4=19,Hypothèses!$B$4=20),
IF($D101="Pressio.",
IF(OR($E101=3,$E101=1,$E101=4),AV101,AU101),
IF($D101="Pénétro.",
IF(OR($E101=3,$E101=1,$E101=4),AV101,AU101))),IF($D101="Pressio.",
IF($E101=3,AV101,AU101),
IF($D101="Pénétro.",
IF($E101=4,AV101,AU101))))</f>
        <v>#N/A</v>
      </c>
      <c r="AX101" s="31" t="e">
        <f>(IF(OR(Hypothèses!$B$4=17,Hypothèses!$B$4=18,Hypothèses!$B$4=19,Hypothèses!$B$4=20),
IF($D101="Pressio.",
IF(OR($E101=3,$E101=1,$E101=4),(PI()*AX$12^2)/4*(AT101*$W101*1000)/($H101*$B$5),(PI()*AX$12^2)/4*(AT101*$W101*1000)/($G101*$B$5)),
IF($D101="Pénétro.",
IF(OR($E101=4,$E101=1,$E101=5),(PI()*AX$12^2)/4*(AT101*$W101*1000)/($H101*$B$5),(PI()*AX$12^2)/4*(AT101*$W101*1000)/($G101*$B$5)))),
IF($D101="Pressio.",
IF($E101=3,(PI()*AX$12^2)/4*(AT101*$W101*1000)/($H101*$B$5),(PI()*AX$12^2)/4*(AT101*$W101*1000)/($G101*$B$5)),
IF($D101="Pénétro.",
IF($E101=4,(PI()*AX$12^2)/4*(AT101*$W101*1000)/($H101*$B$5),(PI()*AX$12^2)/4*(AT101*$W101*1000)/($G101*$B$5))))))/10</f>
        <v>#N/A</v>
      </c>
      <c r="AY101" s="102" t="e">
        <f>(VLOOKUP($B$3,'Coeff EC7'!$T$39:$X$59,2,0)*AW101+VLOOKUP($B$3,'Coeff EC7'!$T$65:$X$85,2,0)*Model0.1C!AX101)/1.1</f>
        <v>#N/A</v>
      </c>
      <c r="AZ101" s="102" t="e">
        <f>(VLOOKUP($B$3,'Coeff EC7'!$T$39:$X$59,3,0)*AW101+VLOOKUP($B$3,'Coeff EC7'!$T$65:$X$85,3,0)*Model0.1C!AX101)/0.9</f>
        <v>#N/A</v>
      </c>
      <c r="BA101" s="102" t="e">
        <f t="shared" si="173"/>
        <v>#N/A</v>
      </c>
      <c r="BB101" s="102" t="e">
        <f t="shared" si="174"/>
        <v>#N/A</v>
      </c>
      <c r="BC101" s="414" t="e">
        <f>IF(BC100=0,0,IF(AND(AY101&gt;charge_ELS_quasi,AZ101&gt;Charge_ELS_freq,BA101&gt;charge_ELU,BB101&gt;charge_ELA,$B101&gt;NDC!$H$22-0.1+MIN(3*$BC$12,1.5)),0,1))</f>
        <v>#N/A</v>
      </c>
      <c r="BD101" s="86" t="b">
        <f t="shared" si="144"/>
        <v>0</v>
      </c>
      <c r="BE101" s="86">
        <f t="shared" si="175"/>
        <v>0.5</v>
      </c>
      <c r="BF101" s="86">
        <f t="shared" si="145"/>
        <v>0.5</v>
      </c>
      <c r="BG101" s="30" t="e">
        <f t="shared" ca="1" si="176"/>
        <v>#DIV/0!</v>
      </c>
      <c r="BH101" s="85" t="e">
        <f ca="1">IF(AN101&lt;=Hypothèses!$V$7,Hypothèses!$W$7,IF(AN101&lt;=Hypothèses!$V$8,Hypothèses!$W$8,IF(AN101&lt;=Hypothèses!$V$9,Hypothèses!$W$9,IF(AN101&lt;=Hypothèses!$V$10,Hypothèses!$W$10,IF(AN101&lt;=Hypothèses!$V$11,Hypothèses!$W$11,IF(AN101&lt;=Hypothèses!$V$12,Hypothèses!$W$12,IF(AN101&lt;=Hypothèses!$V$13,Hypothèses!$W$13,IF(AN101&lt;=Hypothèses!$V$14,Hypothèses!$W$14,IF(AN101&lt;=Hypothèses!$V$15,Hypothèses!$W$15,IF(AN101&lt;=Hypothèses!$V$16,Hypothèses!$W$16,IF(AN101&lt;=Hypothèses!$V$17,Hypothèses!$W$17,IF(AN101&lt;=Hypothèses!$V$18,Hypothèses!$W$18,""))))))))))))</f>
        <v>#DIV/0!</v>
      </c>
      <c r="BI101" s="87" t="e">
        <f t="shared" ca="1" si="218"/>
        <v>#DIV/0!</v>
      </c>
      <c r="BJ101" s="88" t="e">
        <f ca="1">IF(AN101&lt;=Hypothèses!$V$7,Hypothèses!$X$7,IF(AN101&lt;=Hypothèses!$V$8,Hypothèses!$X$8,IF(AN101&lt;=Hypothèses!$V$9,Hypothèses!$X$9,IF(AN101&lt;=Hypothèses!$V$10,Hypothèses!$X$10,IF(AN101&lt;=Hypothèses!$V$11,Hypothèses!$X$11,IF(AN101&lt;=Hypothèses!$V$12,Hypothèses!$X$12,IF(AN101&lt;=Hypothèses!$V$13,Hypothèses!$X$13,IF(AN101&lt;=Hypothèses!$V$14,Hypothèses!$X$14,IF(AN101&lt;=Hypothèses!$V$15,Hypothèses!$X$15,IF(AN101&lt;=Hypothèses!$V$16,Hypothèses!$X$16,IF(AN101&lt;=Hypothèses!$U$17,Hypothèses!$W$17,IF(AN101&lt;=Hypothèses!$U$18,Hypothèses!$W$18,""))))))))))))</f>
        <v>#DIV/0!</v>
      </c>
      <c r="BK101" s="95" t="e">
        <f t="shared" ca="1" si="177"/>
        <v>#DIV/0!</v>
      </c>
      <c r="BL101" s="101" t="e">
        <f t="shared" si="225"/>
        <v>#N/A</v>
      </c>
      <c r="BM101" s="91" t="e">
        <f t="shared" si="146"/>
        <v>#N/A</v>
      </c>
      <c r="BN101" s="30" t="e">
        <f t="shared" si="204"/>
        <v>#N/A</v>
      </c>
      <c r="BO101" s="30" t="e">
        <f t="shared" si="205"/>
        <v>#N/A</v>
      </c>
      <c r="BP101" s="31" t="e">
        <f>IF(OR(Hypothèses!$B$4=17,Hypothèses!$B$4=18,Hypothèses!$B$4=19,Hypothèses!$B$4=20),
IF($D101="Pressio.",
IF(OR($E101=3,$E101=1,$E101=4),BO101,BN101),
IF($D101="Pénétro.",
IF(OR($E101=3,$E101=1,$E101=4),BO101,BN101))),IF($D101="Pressio.",
IF($E101=3,BO101,BN101),
IF($D101="Pénétro.",
IF($E101=4,BO101,BN101))))</f>
        <v>#N/A</v>
      </c>
      <c r="BQ101" s="31" t="e">
        <f>(IF(OR(Hypothèses!$B$4=17,Hypothèses!$B$4=18,Hypothèses!$B$4=19,Hypothèses!$B$4=20),
IF($D101="Pressio.",
IF(OR($E101=3,$E101=1,$E101=4),(PI()*BQ$12^2)/4*(BM101*$W101*1000)/($H101*$B$5),(PI()*BQ$12^2)/4*(BM101*$W101*1000)/($G101*$B$5)),
IF($D101="Pénétro.",
IF(OR($E101=4,$E101=1,$E101=5),(PI()*BQ$12^2)/4*(BM101*$W101*1000)/($H101*$B$5),(PI()*BQ$12^2)/4*(BM101*$W101*1000)/($G101*$B$5)))),
IF($D101="Pressio.",
IF($E101=3,(PI()*BQ$12^2)/4*(BM101*$W101*1000)/($H101*$B$5),(PI()*BQ$12^2)/4*(BM101*$W101*1000)/($G101*$B$5)),
IF($D101="Pénétro.",
IF($E101=4,(PI()*BQ$12^2)/4*(BM101*$W101*1000)/($H101*$B$5),(PI()*BQ$12^2)/4*(BM101*$W101*1000)/($G101*$B$5))))))/10</f>
        <v>#N/A</v>
      </c>
      <c r="BR101" s="102" t="e">
        <f>(VLOOKUP($B$3,'Coeff EC7'!$T$39:$X$59,2,0)*BP101+VLOOKUP($B$3,'Coeff EC7'!$T$65:$X$85,2,0)*Model0.1C!BQ101)/1.1</f>
        <v>#N/A</v>
      </c>
      <c r="BS101" s="102" t="e">
        <f>(VLOOKUP($B$3,'Coeff EC7'!$T$39:$X$59,3,0)*BP101+VLOOKUP($B$3,'Coeff EC7'!$T$65:$X$85,3,0)*Model0.1C!BQ101)/0.9</f>
        <v>#N/A</v>
      </c>
      <c r="BT101" s="102" t="e">
        <f t="shared" si="178"/>
        <v>#N/A</v>
      </c>
      <c r="BU101" s="102" t="e">
        <f t="shared" si="179"/>
        <v>#N/A</v>
      </c>
      <c r="BV101" s="414" t="e">
        <f>IF(BV100=0,0,IF(AND(BR101&gt;charge_ELS_quasi,BS101&gt;Charge_ELS_freq,BT101&gt;charge_ELU,BU101&gt;charge_ELA,$B101&gt;NDC!$H$22-0.1+MIN(3*$BV$12,1.5)),0,1))</f>
        <v>#N/A</v>
      </c>
      <c r="BW101" s="86" t="b">
        <f t="shared" si="147"/>
        <v>0</v>
      </c>
      <c r="BX101" s="86">
        <f t="shared" si="148"/>
        <v>0.5</v>
      </c>
      <c r="BY101" s="86">
        <f t="shared" si="149"/>
        <v>0.5</v>
      </c>
      <c r="BZ101" s="30" t="e">
        <f t="shared" ca="1" si="180"/>
        <v>#DIV/0!</v>
      </c>
      <c r="CA101" s="85" t="e">
        <f ca="1">IF(BG101&lt;=Hypothèses!$V$7,Hypothèses!$W$7,IF(BG101&lt;=Hypothèses!$V$8,Hypothèses!$W$8,IF(BG101&lt;=Hypothèses!$V$9,Hypothèses!$W$9,IF(BG101&lt;=Hypothèses!$V$10,Hypothèses!$W$10,IF(BG101&lt;=Hypothèses!$V$11,Hypothèses!$W$11,IF(BG101&lt;=Hypothèses!$V$12,Hypothèses!$W$12,IF(BG101&lt;=Hypothèses!$V$13,Hypothèses!$W$13,IF(BG101&lt;=Hypothèses!$V$14,Hypothèses!$W$14,IF(BG101&lt;=Hypothèses!$V$15,Hypothèses!$W$15,IF(BG101&lt;=Hypothèses!$V$16,Hypothèses!$W$16,IF(BG101&lt;=Hypothèses!$V$17,Hypothèses!$W$17,IF(BG101&lt;=Hypothèses!$V$18,Hypothèses!$W$18,""))))))))))))</f>
        <v>#DIV/0!</v>
      </c>
      <c r="CB101" s="87" t="e">
        <f t="shared" ca="1" si="219"/>
        <v>#DIV/0!</v>
      </c>
      <c r="CC101" s="88" t="e">
        <f ca="1">IF(BG101&lt;=Hypothèses!$V$7,Hypothèses!$X$7,IF(BG101&lt;=Hypothèses!$V$8,Hypothèses!$X$8,IF(BG101&lt;=Hypothèses!$V$9,Hypothèses!$X$9,IF(BG101&lt;=Hypothèses!$V$10,Hypothèses!$X$10,IF(BG101&lt;=Hypothèses!$V$11,Hypothèses!$X$11,IF(BG101&lt;=Hypothèses!$V$12,Hypothèses!$X$12,IF(BG101&lt;=Hypothèses!$V$13,Hypothèses!$X$13,IF(BG101&lt;=Hypothèses!$V$14,Hypothèses!$X$14,IF(BG101&lt;=Hypothèses!$V$15,Hypothèses!$X$15,IF(BG101&lt;=Hypothèses!$V$16,Hypothèses!$X$16,IF(BG101&lt;=Hypothèses!$U$17,Hypothèses!$W$17,IF(BG101&lt;=Hypothèses!$U$18,Hypothèses!$W$18,""))))))))))))</f>
        <v>#DIV/0!</v>
      </c>
      <c r="CD101" s="95" t="e">
        <f t="shared" ca="1" si="181"/>
        <v>#DIV/0!</v>
      </c>
      <c r="CE101" s="101" t="e">
        <f t="shared" si="226"/>
        <v>#N/A</v>
      </c>
      <c r="CF101" s="91" t="e">
        <f t="shared" si="150"/>
        <v>#N/A</v>
      </c>
      <c r="CG101" s="30" t="e">
        <f t="shared" si="206"/>
        <v>#N/A</v>
      </c>
      <c r="CH101" s="30" t="e">
        <f t="shared" si="207"/>
        <v>#N/A</v>
      </c>
      <c r="CI101" s="31" t="e">
        <f>IF(OR(Hypothèses!$B$4=17,Hypothèses!$B$4=18,Hypothèses!$B$4=19,Hypothèses!$B$4=20),
IF($D101="Pressio.",
IF(OR($E101=3,$E101=1,$E101=4),CH101,CG101),
IF($D101="Pénétro.",
IF(OR($E101=3,$E101=1,$E101=4),CH101,CG101))),IF($D101="Pressio.",
IF($E101=3,CH101,CG101),
IF($D101="Pénétro.",
IF($E101=4,CH101,CG101))))</f>
        <v>#N/A</v>
      </c>
      <c r="CJ101" s="31" t="e">
        <f>(IF(OR(Hypothèses!$B$4=17,Hypothèses!$B$4=18,Hypothèses!$B$4=19,Hypothèses!$B$4=20),
IF($D101="Pressio.",
IF(OR($E101=3,$E101=1,$E101=4),(PI()*CJ$12^2)/4*(CF101*$W101*1000)/($H101*$B$5),(PI()*CJ$12^2)/4*(CF101*$W101*1000)/($G101*$B$5)),
IF($D101="Pénétro.",
IF(OR($E101=4,$E101=1,$E101=5),(PI()*CJ$12^2)/4*(CF101*$W101*1000)/($H101*$B$5),(PI()*CJ$12^2)/4*(CF101*$W101*1000)/($G101*$B$5)))),
IF($D101="Pressio.",
IF($E101=3,(PI()*CJ$12^2)/4*(CF101*$W101*1000)/($H101*$B$5),(PI()*CJ$12^2)/4*(CF101*$W101*1000)/($G101*$B$5)),
IF($D101="Pénétro.",
IF($E101=4,(PI()*CJ$12^2)/4*(CF101*$W101*1000)/($H101*$B$5),(PI()*CJ$12^2)/4*(CF101*$W101*1000)/($G101*$B$5))))))/10</f>
        <v>#N/A</v>
      </c>
      <c r="CK101" s="102" t="e">
        <f>(VLOOKUP($B$3,'Coeff EC7'!$T$39:$X$59,2,0)*CI101+VLOOKUP($B$3,'Coeff EC7'!$T$65:$X$85,2,0)*Model0.1C!CJ101)/1.1</f>
        <v>#N/A</v>
      </c>
      <c r="CL101" s="102" t="e">
        <f>(VLOOKUP($B$3,'Coeff EC7'!$T$39:$X$59,3,0)*CI101+VLOOKUP($B$3,'Coeff EC7'!$T$65:$X$85,3,0)*Model0.1C!CJ101)/0.9</f>
        <v>#N/A</v>
      </c>
      <c r="CM101" s="102" t="e">
        <f t="shared" si="182"/>
        <v>#N/A</v>
      </c>
      <c r="CN101" s="102" t="e">
        <f t="shared" si="183"/>
        <v>#N/A</v>
      </c>
      <c r="CO101" s="414" t="e">
        <f>IF(CO100=0,0,IF(AND(CK101&gt;charge_ELS_quasi,CL101&gt;Charge_ELS_freq,CM101&gt;charge_ELU,CN101&gt;charge_ELA,$B101&gt;NDC!$H$22-0.1+MIN(3*$CO$12,1.5)),0,1))</f>
        <v>#N/A</v>
      </c>
      <c r="CP101" s="86" t="b">
        <f t="shared" si="151"/>
        <v>0</v>
      </c>
      <c r="CQ101" s="86">
        <f t="shared" si="152"/>
        <v>0.5</v>
      </c>
      <c r="CR101" s="86">
        <f t="shared" si="153"/>
        <v>0.5</v>
      </c>
      <c r="CS101" s="30" t="e">
        <f t="shared" ca="1" si="184"/>
        <v>#DIV/0!</v>
      </c>
      <c r="CT101" s="85" t="e">
        <f ca="1">IF(BZ101&lt;=Hypothèses!$V$7,Hypothèses!$W$7,IF(BZ101&lt;=Hypothèses!$V$8,Hypothèses!$W$8,IF(BZ101&lt;=Hypothèses!$V$9,Hypothèses!$W$9,IF(BZ101&lt;=Hypothèses!$V$10,Hypothèses!$W$10,IF(BZ101&lt;=Hypothèses!$V$11,Hypothèses!$W$11,IF(BZ101&lt;=Hypothèses!$V$12,Hypothèses!$W$12,IF(BZ101&lt;=Hypothèses!$V$13,Hypothèses!$W$13,IF(BZ101&lt;=Hypothèses!$V$14,Hypothèses!$W$14,IF(BZ101&lt;=Hypothèses!$V$15,Hypothèses!$W$15,IF(BZ101&lt;=Hypothèses!$V$16,Hypothèses!$W$16,IF(BZ101&lt;=Hypothèses!$V$17,Hypothèses!$W$17,IF(BZ101&lt;=Hypothèses!$V$18,Hypothèses!$W$18,""))))))))))))</f>
        <v>#DIV/0!</v>
      </c>
      <c r="CU101" s="87" t="e">
        <f t="shared" ca="1" si="220"/>
        <v>#DIV/0!</v>
      </c>
      <c r="CV101" s="88" t="e">
        <f ca="1">IF(BZ101&lt;=Hypothèses!$V$7,Hypothèses!$X$7,IF(BZ101&lt;=Hypothèses!$V$8,Hypothèses!$X$8,IF(BZ101&lt;=Hypothèses!$V$9,Hypothèses!$X$9,IF(BZ101&lt;=Hypothèses!$V$10,Hypothèses!$X$10,IF(BZ101&lt;=Hypothèses!$V$11,Hypothèses!$X$11,IF(BZ101&lt;=Hypothèses!$V$12,Hypothèses!$X$12,IF(BZ101&lt;=Hypothèses!$V$13,Hypothèses!$X$13,IF(BZ101&lt;=Hypothèses!$V$14,Hypothèses!$X$14,IF(BZ101&lt;=Hypothèses!$V$15,Hypothèses!$X$15,IF(BZ101&lt;=Hypothèses!$V$16,Hypothèses!$X$16,IF(BZ101&lt;=Hypothèses!$U$17,Hypothèses!$W$17,IF(BZ101&lt;=Hypothèses!$U$18,Hypothèses!$W$18,""))))))))))))</f>
        <v>#DIV/0!</v>
      </c>
      <c r="CW101" s="95" t="e">
        <f t="shared" ca="1" si="185"/>
        <v>#DIV/0!</v>
      </c>
      <c r="CX101" s="101" t="e">
        <f t="shared" si="227"/>
        <v>#N/A</v>
      </c>
      <c r="CY101" s="91" t="e">
        <f t="shared" si="154"/>
        <v>#N/A</v>
      </c>
      <c r="CZ101" s="30" t="e">
        <f t="shared" si="208"/>
        <v>#N/A</v>
      </c>
      <c r="DA101" s="30" t="e">
        <f t="shared" si="209"/>
        <v>#N/A</v>
      </c>
      <c r="DB101" s="31" t="e">
        <f>IF(OR(Hypothèses!$B$4=17,Hypothèses!$B$4=18,Hypothèses!$B$4=19,Hypothèses!$B$4=20),
IF($D101="Pressio.",
IF(OR($E101=3,$E101=1,$E101=4),DA101,CZ101),
IF($D101="Pénétro.",
IF(OR($E101=3,$E101=1,$E101=4),DA101,CZ101))),IF($D101="Pressio.",
IF($E101=3,DA101,CZ101),
IF($D101="Pénétro.",
IF($E101=4,DA101,CZ101))))</f>
        <v>#N/A</v>
      </c>
      <c r="DC101" s="31" t="e">
        <f>(IF(OR(Hypothèses!$B$4=17,Hypothèses!$B$4=18,Hypothèses!$B$4=19,Hypothèses!$B$4=20),
IF($D101="Pressio.",
IF(OR($E101=3,$E101=1,$E101=4),(PI()*DC$12^2)/4*(CY101*$W101*1000)/($H101*$B$5),(PI()*DC$12^2)/4*(CY101*$W101*1000)/($G101*$B$5)),
IF($D101="Pénétro.",
IF(OR($E101=4,$E101=1,$E101=5),(PI()*DC$12^2)/4*(CY101*$W101*1000)/($H101*$B$5),(PI()*DC$12^2)/4*(CY101*$W101*1000)/($G101*$B$5)))),
IF($D101="Pressio.",
IF($E101=3,(PI()*DC$12^2)/4*(CY101*$W101*1000)/($H101*$B$5),(PI()*DC$12^2)/4*(CY101*$W101*1000)/($G101*$B$5)),
IF($D101="Pénétro.",
IF($E101=4,(PI()*DC$12^2)/4*(CY101*$W101*1000)/($H101*$B$5),(PI()*DC$12^2)/4*(CY101*$W101*1000)/($G101*$B$5))))))/10</f>
        <v>#N/A</v>
      </c>
      <c r="DD101" s="102" t="e">
        <f>(VLOOKUP($B$3,'Coeff EC7'!$T$39:$X$59,2,0)*DB101+VLOOKUP($B$3,'Coeff EC7'!$T$65:$X$85,2,0)*Model0.1C!DC101)/1.1</f>
        <v>#N/A</v>
      </c>
      <c r="DE101" s="102" t="e">
        <f>(VLOOKUP($B$3,'Coeff EC7'!$T$39:$X$59,3,0)*DB101+VLOOKUP($B$3,'Coeff EC7'!$T$65:$X$85,3,0)*Model0.1C!DC101)/0.9</f>
        <v>#N/A</v>
      </c>
      <c r="DF101" s="102" t="e">
        <f t="shared" si="186"/>
        <v>#N/A</v>
      </c>
      <c r="DG101" s="102" t="e">
        <f t="shared" si="187"/>
        <v>#N/A</v>
      </c>
      <c r="DH101" s="414" t="e">
        <f>IF(DH100=0,0,IF(AND(DD101&gt;charge_ELS_quasi,DE101&gt;Charge_ELS_freq,DF101&gt;charge_ELU,DG101&gt;charge_ELA,$B101&gt;NDC!$H$22-0.1+MIN(3*$DH$12,1.5)),0,1))</f>
        <v>#N/A</v>
      </c>
      <c r="DI101" s="86" t="b">
        <f t="shared" si="155"/>
        <v>0</v>
      </c>
      <c r="DJ101" s="86">
        <f t="shared" si="156"/>
        <v>0.5</v>
      </c>
      <c r="DK101" s="86">
        <f t="shared" si="157"/>
        <v>0.5</v>
      </c>
      <c r="DL101" s="30" t="e">
        <f t="shared" ca="1" si="188"/>
        <v>#DIV/0!</v>
      </c>
      <c r="DM101" s="85" t="e">
        <f ca="1">IF(CS101&lt;=Hypothèses!$V$7,Hypothèses!$W$7,IF(CS101&lt;=Hypothèses!$V$8,Hypothèses!$W$8,IF(CS101&lt;=Hypothèses!$V$9,Hypothèses!$W$9,IF(CS101&lt;=Hypothèses!$V$10,Hypothèses!$W$10,IF(CS101&lt;=Hypothèses!$V$11,Hypothèses!$W$11,IF(CS101&lt;=Hypothèses!$V$12,Hypothèses!$W$12,IF(CS101&lt;=Hypothèses!$V$13,Hypothèses!$W$13,IF(CS101&lt;=Hypothèses!$V$14,Hypothèses!$W$14,IF(CS101&lt;=Hypothèses!$V$15,Hypothèses!$W$15,IF(CS101&lt;=Hypothèses!$V$16,Hypothèses!$W$16,IF(CS101&lt;=Hypothèses!$V$17,Hypothèses!$W$17,IF(CS101&lt;=Hypothèses!$V$18,Hypothèses!$W$18,""))))))))))))</f>
        <v>#DIV/0!</v>
      </c>
      <c r="DN101" s="87" t="e">
        <f t="shared" ca="1" si="221"/>
        <v>#DIV/0!</v>
      </c>
      <c r="DO101" s="88" t="e">
        <f ca="1">IF(CS101&lt;=Hypothèses!$V$7,Hypothèses!$X$7,IF(CS101&lt;=Hypothèses!$V$8,Hypothèses!$X$8,IF(CS101&lt;=Hypothèses!$V$9,Hypothèses!$X$9,IF(CS101&lt;=Hypothèses!$V$10,Hypothèses!$X$10,IF(CS101&lt;=Hypothèses!$V$11,Hypothèses!$X$11,IF(CS101&lt;=Hypothèses!$V$12,Hypothèses!$X$12,IF(CS101&lt;=Hypothèses!$V$13,Hypothèses!$X$13,IF(CS101&lt;=Hypothèses!$V$14,Hypothèses!$X$14,IF(CS101&lt;=Hypothèses!$V$15,Hypothèses!$X$15,IF(CS101&lt;=Hypothèses!$V$16,Hypothèses!$X$16,IF(CS101&lt;=Hypothèses!$U$17,Hypothèses!$W$17,IF(CS101&lt;=Hypothèses!$U$18,Hypothèses!$W$18,""))))))))))))</f>
        <v>#DIV/0!</v>
      </c>
      <c r="DP101" s="95" t="e">
        <f t="shared" ca="1" si="189"/>
        <v>#DIV/0!</v>
      </c>
      <c r="DQ101" s="101" t="e">
        <f t="shared" si="228"/>
        <v>#N/A</v>
      </c>
      <c r="DR101" s="91" t="e">
        <f t="shared" si="158"/>
        <v>#N/A</v>
      </c>
      <c r="DS101" s="30" t="e">
        <f t="shared" si="210"/>
        <v>#N/A</v>
      </c>
      <c r="DT101" s="30" t="e">
        <f t="shared" si="211"/>
        <v>#N/A</v>
      </c>
      <c r="DU101" s="31" t="e">
        <f>IF(OR(Hypothèses!$B$4=17,Hypothèses!$B$4=18,Hypothèses!$B$4=19,Hypothèses!$B$4=20),
IF($D101="Pressio.",
IF(OR($E101=3,$E101=1,$E101=4),DT101,DS101),
IF($D101="Pénétro.",
IF(OR($E101=3,$E101=1,$E101=4),DT101,DS101))),IF($D101="Pressio.",
IF($E101=3,DT101,DS101),
IF($D101="Pénétro.",
IF($E101=4,DT101,DS101))))</f>
        <v>#N/A</v>
      </c>
      <c r="DV101" s="31" t="e">
        <f>(IF(OR(Hypothèses!$B$4=17,Hypothèses!$B$4=18,Hypothèses!$B$4=19,Hypothèses!$B$4=20),
IF($D101="Pressio.",
IF(OR($E101=3,$E101=1,$E101=4),(PI()*DV$12^2)/4*(DR101*$W101*1000)/($H101*$B$5),(PI()*DV$12^2)/4*(DR101*$W101*1000)/($G101*$B$5)),
IF($D101="Pénétro.",
IF(OR($E101=4,$E101=1,$E101=5),(PI()*DV$12^2)/4*(DR101*$W101*1000)/($H101*$B$5),(PI()*DV$12^2)/4*(DR101*$W101*1000)/($G101*$B$5)))),
IF($D101="Pressio.",
IF($E101=3,(PI()*DV$12^2)/4*(DR101*$W101*1000)/($H101*$B$5),(PI()*DV$12^2)/4*(DR101*$W101*1000)/($G101*$B$5)),
IF($D101="Pénétro.",
IF($E101=4,(PI()*DV$12^2)/4*(DR101*$W101*1000)/($H101*$B$5),(PI()*DV$12^2)/4*(DR101*$W101*1000)/($G101*$B$5))))))/10</f>
        <v>#N/A</v>
      </c>
      <c r="DW101" s="102" t="e">
        <f>(VLOOKUP($B$3,'Coeff EC7'!$T$39:$X$59,2,0)*DU101+VLOOKUP($B$3,'Coeff EC7'!$T$65:$X$85,2,0)*Model0.1C!DV101)/1.1</f>
        <v>#N/A</v>
      </c>
      <c r="DX101" s="102" t="e">
        <f>(VLOOKUP($B$3,'Coeff EC7'!$T$39:$X$59,3,0)*DU101+VLOOKUP($B$3,'Coeff EC7'!$T$65:$X$85,3,0)*Model0.1C!DV101)/0.9</f>
        <v>#N/A</v>
      </c>
      <c r="DY101" s="102" t="e">
        <f t="shared" si="190"/>
        <v>#N/A</v>
      </c>
      <c r="DZ101" s="102" t="e">
        <f t="shared" si="191"/>
        <v>#N/A</v>
      </c>
      <c r="EA101" s="414" t="e">
        <f>IF(EA100=0,0,IF(AND(DW101&gt;charge_ELS_quasi,DX101&gt;Charge_ELS_freq,DY101&gt;charge_ELU,DZ101&gt;charge_ELA,$B101&gt;NDC!$H$22-0.1+MIN(3*$EA$12,1.5)),0,1))</f>
        <v>#N/A</v>
      </c>
      <c r="EB101" s="86" t="b">
        <f t="shared" si="159"/>
        <v>0</v>
      </c>
      <c r="EC101" s="418">
        <f t="shared" si="160"/>
        <v>0.51</v>
      </c>
      <c r="ED101" s="86">
        <f t="shared" si="161"/>
        <v>0.51</v>
      </c>
      <c r="EE101" s="30" t="e">
        <f t="shared" ca="1" si="192"/>
        <v>#DIV/0!</v>
      </c>
      <c r="EF101" s="85" t="e">
        <f ca="1">IF(DL101&lt;=Hypothèses!$V$7,Hypothèses!$W$7,IF(DL101&lt;=Hypothèses!$V$8,Hypothèses!$W$8,IF(DL101&lt;=Hypothèses!$V$9,Hypothèses!$W$9,IF(DL101&lt;=Hypothèses!$V$10,Hypothèses!$W$10,IF(DL101&lt;=Hypothèses!$V$11,Hypothèses!$W$11,IF(DL101&lt;=Hypothèses!$V$12,Hypothèses!$W$12,IF(DL101&lt;=Hypothèses!$V$13,Hypothèses!$W$13,IF(DL101&lt;=Hypothèses!$V$14,Hypothèses!$W$14,IF(DL101&lt;=Hypothèses!$V$15,Hypothèses!$W$15,IF(DL101&lt;=Hypothèses!$V$16,Hypothèses!$W$16,IF(DL101&lt;=Hypothèses!$V$17,Hypothèses!$W$17,IF(DL101&lt;=Hypothèses!$V$18,Hypothèses!$W$18,""))))))))))))</f>
        <v>#DIV/0!</v>
      </c>
      <c r="EG101" s="87" t="e">
        <f t="shared" ca="1" si="222"/>
        <v>#DIV/0!</v>
      </c>
      <c r="EH101" s="88" t="e">
        <f ca="1">IF(DL101&lt;=Hypothèses!$V$7,Hypothèses!$X$7,IF(DL101&lt;=Hypothèses!$V$8,Hypothèses!$X$8,IF(DL101&lt;=Hypothèses!$V$9,Hypothèses!$X$9,IF(DL101&lt;=Hypothèses!$V$10,Hypothèses!$X$10,IF(DL101&lt;=Hypothèses!$V$11,Hypothèses!$X$11,IF(DL101&lt;=Hypothèses!$V$12,Hypothèses!$X$12,IF(DL101&lt;=Hypothèses!$V$13,Hypothèses!$X$13,IF(DL101&lt;=Hypothèses!$V$14,Hypothèses!$X$14,IF(DL101&lt;=Hypothèses!$V$15,Hypothèses!$X$15,IF(DL101&lt;=Hypothèses!$V$16,Hypothèses!$X$16,IF(DL101&lt;=Hypothèses!$U$17,Hypothèses!$W$17,IF(DL101&lt;=Hypothèses!$U$18,Hypothèses!$W$18,""))))))))))))</f>
        <v>#DIV/0!</v>
      </c>
      <c r="EI101" s="95" t="e">
        <f t="shared" ca="1" si="193"/>
        <v>#DIV/0!</v>
      </c>
      <c r="EJ101" s="101" t="e">
        <f t="shared" si="229"/>
        <v>#N/A</v>
      </c>
      <c r="EK101" s="91" t="e">
        <f t="shared" si="162"/>
        <v>#N/A</v>
      </c>
      <c r="EL101" s="30" t="e">
        <f t="shared" si="212"/>
        <v>#N/A</v>
      </c>
      <c r="EM101" s="30" t="e">
        <f t="shared" si="213"/>
        <v>#N/A</v>
      </c>
      <c r="EN101" s="31" t="e">
        <f>IF(OR(Hypothèses!$B$4=17,Hypothèses!$B$4=18,Hypothèses!$B$4=19,Hypothèses!$B$4=20),
IF($D101="Pressio.",
IF(OR($E101=3,$E101=1,$E101=4),EM101,EL101),
IF($D101="Pénétro.",
IF(OR($E101=3,$E101=1,$E101=4),EM101,EL101))),IF($D101="Pressio.",
IF($E101=3,EM101,EL101),
IF($D101="Pénétro.",
IF($E101=4,EM101,EL101))))</f>
        <v>#N/A</v>
      </c>
      <c r="EO101" s="31" t="e">
        <f>(IF(OR(Hypothèses!$B$4=17,Hypothèses!$B$4=18,Hypothèses!$B$4=19,Hypothèses!$B$4=20),
IF($D101="Pressio.",
IF(OR($E101=3,$E101=1,$E101=4),(PI()*EO$12^2)/4*(EK101*$W101*1000)/($H101*$B$5),(PI()*EO$12^2)/4*(EK101*$W101*1000)/($G101*$B$5)),
IF($D101="Pénétro.",
IF(OR($E101=4,$E101=1,$E101=5),(PI()*EO$12^2)/4*(EK101*$W101*1000)/($H101*$B$5),(PI()*EO$12^2)/4*(EK101*$W101*1000)/($G101*$B$5)))),
IF($D101="Pressio.",
IF($E101=3,(PI()*EO$12^2)/4*(EK101*$W101*1000)/($H101*$B$5),(PI()*EO$12^2)/4*(EK101*$W101*1000)/($G101*$B$5)),
IF($D101="Pénétro.",
IF($E101=4,(PI()*EO$12^2)/4*(EK101*$W101*1000)/($H101*$B$5),(PI()*EO$12^2)/4*(EK101*$W101*1000)/($G101*$B$5))))))/10</f>
        <v>#N/A</v>
      </c>
      <c r="EP101" s="102" t="e">
        <f>(VLOOKUP($B$3,'Coeff EC7'!$T$39:$X$59,2,0)*EN101+VLOOKUP($B$3,'Coeff EC7'!$T$65:$X$85,2,0)*Model0.1C!EO101)/1.1</f>
        <v>#N/A</v>
      </c>
      <c r="EQ101" s="102" t="e">
        <f>(VLOOKUP($B$3,'Coeff EC7'!$T$39:$X$59,3,0)*EN101+VLOOKUP($B$3,'Coeff EC7'!$T$65:$X$85,3,0)*Model0.1C!EO101)/0.9</f>
        <v>#N/A</v>
      </c>
      <c r="ER101" s="102" t="e">
        <f t="shared" si="194"/>
        <v>#N/A</v>
      </c>
      <c r="ES101" s="102" t="e">
        <f t="shared" si="195"/>
        <v>#N/A</v>
      </c>
      <c r="ET101" s="414" t="e">
        <f>IF(ET100=0,0,IF(AND(EP101&gt;charge_ELS_quasi,EQ101&gt;Charge_ELS_freq,ER101&gt;charge_ELU,ES101&gt;charge_ELA,$B101&gt;NDC!$H$22-0.1+MIN(3*$ET$12,1.5)),0,1))</f>
        <v>#N/A</v>
      </c>
      <c r="EU101" s="86" t="b">
        <f t="shared" si="163"/>
        <v>0</v>
      </c>
      <c r="EV101" s="86">
        <f t="shared" si="164"/>
        <v>0.61</v>
      </c>
      <c r="EW101" s="86">
        <f t="shared" si="165"/>
        <v>0.61</v>
      </c>
      <c r="EX101" s="30" t="e">
        <f t="shared" ca="1" si="196"/>
        <v>#DIV/0!</v>
      </c>
      <c r="EY101" s="85" t="e">
        <f ca="1">IF(EE101&lt;=Hypothèses!$V$7,Hypothèses!$W$7,IF(EE101&lt;=Hypothèses!$V$8,Hypothèses!$W$8,IF(EE101&lt;=Hypothèses!$V$9,Hypothèses!$W$9,IF(EE101&lt;=Hypothèses!$V$10,Hypothèses!$W$10,IF(EE101&lt;=Hypothèses!$V$11,Hypothèses!$W$11,IF(EE101&lt;=Hypothèses!$V$12,Hypothèses!$W$12,IF(EE101&lt;=Hypothèses!$V$13,Hypothèses!$W$13,IF(EE101&lt;=Hypothèses!$V$14,Hypothèses!$W$14,IF(EE101&lt;=Hypothèses!$V$15,Hypothèses!$W$15,IF(EE101&lt;=Hypothèses!$V$16,Hypothèses!$W$16,IF(EE101&lt;=Hypothèses!$V$17,Hypothèses!$W$17,IF(EE101&lt;=Hypothèses!$V$18,Hypothèses!$W$18,""))))))))))))</f>
        <v>#DIV/0!</v>
      </c>
      <c r="EZ101" s="87" t="e">
        <f t="shared" ca="1" si="223"/>
        <v>#DIV/0!</v>
      </c>
      <c r="FA101" s="88" t="e">
        <f ca="1">IF(EE101&lt;=Hypothèses!$V$7,Hypothèses!$X$7,IF(EE101&lt;=Hypothèses!$V$8,Hypothèses!$X$8,IF(EE101&lt;=Hypothèses!$V$9,Hypothèses!$X$9,IF(EE101&lt;=Hypothèses!$V$10,Hypothèses!$X$10,IF(EE101&lt;=Hypothèses!$V$11,Hypothèses!$X$11,IF(EE101&lt;=Hypothèses!$V$12,Hypothèses!$X$12,IF(EE101&lt;=Hypothèses!$V$13,Hypothèses!$X$13,IF(EE101&lt;=Hypothèses!$V$14,Hypothèses!$X$14,IF(EE101&lt;=Hypothèses!$V$15,Hypothèses!$X$15,IF(EE101&lt;=Hypothèses!$V$16,Hypothèses!$X$16,IF(EE101&lt;=Hypothèses!$U$17,Hypothèses!$W$17,IF(EE101&lt;=Hypothèses!$U$18,Hypothèses!$W$18,""))))))))))))</f>
        <v>#DIV/0!</v>
      </c>
      <c r="FB101" s="95" t="e">
        <f t="shared" ca="1" si="197"/>
        <v>#DIV/0!</v>
      </c>
      <c r="FC101" s="101" t="e">
        <f t="shared" si="230"/>
        <v>#N/A</v>
      </c>
      <c r="FD101" s="91" t="e">
        <f t="shared" si="166"/>
        <v>#N/A</v>
      </c>
      <c r="FE101" s="30" t="e">
        <f t="shared" si="214"/>
        <v>#N/A</v>
      </c>
      <c r="FF101" s="30" t="e">
        <f t="shared" si="215"/>
        <v>#N/A</v>
      </c>
      <c r="FG101" s="31" t="e">
        <f>IF(OR(Hypothèses!$B$4=17,Hypothèses!$B$4=18,Hypothèses!$B$4=19,Hypothèses!$B$4=20),
IF($D101="Pressio.",
IF(OR($E101=3,$E101=1,$E101=4),FF101,FE101),
IF($D101="Pénétro.",
IF(OR($E101=3,$E101=1,$E101=4),FF101,FE101))),IF($D101="Pressio.",
IF($E101=3,FF101,FE101),
IF($D101="Pénétro.",
IF($E101=4,FF101,FE101))))</f>
        <v>#N/A</v>
      </c>
      <c r="FH101" s="31" t="e">
        <f>(IF(OR(Hypothèses!$B$4=17,Hypothèses!$B$4=18,Hypothèses!$B$4=19,Hypothèses!$B$4=20),
IF($D101="Pressio.",
IF(OR($E101=3,$E101=1,$E101=4),(PI()*FH$12^2)/4*(FD101*$W101*1000)/($H101*$B$5),(PI()*FH$12^2)/4*(FD101*$W101*1000)/($G101*$B$5)),
IF($D101="Pénétro.",
IF(OR($E101=4,$E101=1,$E101=5),(PI()*FH$12^2)/4*(FD101*$W101*1000)/($H101*$B$5),(PI()*FH$12^2)/4*(FD101*$W101*1000)/($G101*$B$5)))),
IF($D101="Pressio.",
IF($E101=3,(PI()*FH$12^2)/4*(FD101*$W101*1000)/($H101*$B$5),(PI()*FH$12^2)/4*(FD101*$W101*1000)/($G101*$B$5)),
IF($D101="Pénétro.",
IF($E101=4,(PI()*FH$12^2)/4*(FD101*$W101*1000)/($H101*$B$5),(PI()*FH$12^2)/4*(FD101*$W101*1000)/($G101*$B$5))))))/10</f>
        <v>#N/A</v>
      </c>
      <c r="FI101" s="102" t="e">
        <f>(VLOOKUP($B$3,'Coeff EC7'!$T$39:$X$59,2,0)*FG101+VLOOKUP($B$3,'Coeff EC7'!$T$65:$X$85,2,0)*Model0.1C!FH101)/1.1</f>
        <v>#N/A</v>
      </c>
      <c r="FJ101" s="102" t="e">
        <f>(VLOOKUP($B$3,'Coeff EC7'!$T$39:$X$59,3,0)*FG101+VLOOKUP($B$3,'Coeff EC7'!$T$65:$X$85,3,0)*Model0.1C!FH101)/0.9</f>
        <v>#N/A</v>
      </c>
      <c r="FK101" s="102" t="e">
        <f t="shared" si="198"/>
        <v>#N/A</v>
      </c>
      <c r="FL101" s="102" t="e">
        <f t="shared" si="199"/>
        <v>#N/A</v>
      </c>
      <c r="FM101" s="414" t="e">
        <f>IF(FM100=0,0,IF(AND(FI101&gt;charge_ELS_quasi,FJ101&gt;Charge_ELS_freq,FK101&gt;charge_ELU,FL101&gt;charge_ELA,$B101&gt;NDC!$H$22-0.1+MIN(3*$FM$12,1.5)),0,1))</f>
        <v>#N/A</v>
      </c>
    </row>
    <row r="102" spans="1:169">
      <c r="A102" s="96">
        <f t="shared" si="167"/>
        <v>91.100000000000506</v>
      </c>
      <c r="B102" s="97">
        <v>8.9</v>
      </c>
      <c r="C102" s="81">
        <f>IF(B102&lt;=Hypothèses!$C$7,Hypothèses!$A$7,IF(B102&lt;=Hypothèses!$C$8,Hypothèses!$A$8,IF(B102&lt;=Hypothèses!$C$9,Hypothèses!$A$9,IF(B102&lt;=Hypothèses!$C$10,Hypothèses!$A$10,IF(B102&lt;=Hypothèses!$C$11,Hypothèses!$A$11,IF(B102&lt;=Hypothèses!$C$12,Hypothèses!$A$12,IF(B102&lt;=Hypothèses!$C$13,Hypothèses!$A$13,IF(B102&lt;=Hypothèses!$C$14,Hypothèses!$A$14,IF(B102&lt;=Hypothèses!$C$15,Hypothèses!$A$15,IF(B102&lt;=Hypothèses!$C$16,Hypothèses!$A$16,IF(B102&lt;=Hypothèses!$C$17,Hypothèses!$A$17,IF(B102&lt;=Hypothèses!$C$18,Hypothèses!$A$18,C101))))))))))))</f>
        <v>11</v>
      </c>
      <c r="D102" s="82" t="str">
        <f>IF(B102&lt;=Hypothèses!$C$7,Hypothèses!$R$7,IF(B102&lt;=Hypothèses!$C$8,Hypothèses!$R$8,IF(B102&lt;=Hypothèses!$C$9,Hypothèses!$R$9,IF(B102&lt;=Hypothèses!$C$10,Hypothèses!$R$10,IF(B102&lt;=Hypothèses!$C$11,Hypothèses!$R$11,IF(B102&lt;=Hypothèses!$C$12,Hypothèses!$R$12,IF(B102&lt;=Hypothèses!$C$13,Hypothèses!$R$13,IF(B102&lt;=Hypothèses!$C$14,Hypothèses!$R$14,IF(B102&lt;=Hypothèses!$C$15,Hypothèses!$R$15,IF(B102&lt;=Hypothèses!$C$16,Hypothèses!$R$16,IF(B102&lt;=Hypothèses!$C$17,Hypothèses!$R$17,IF(B102&lt;=Hypothèses!$C$18,Hypothèses!$R$18,D101))))))))))))</f>
        <v>Pressio.</v>
      </c>
      <c r="E102" s="82" t="e">
        <f>IF(B102&lt;=Hypothèses!$C$7,Hypothèses!$G$7,IF(B102&lt;=Hypothèses!$C$8,Hypothèses!$G$8,IF(B102&lt;=Hypothèses!$C$9,Hypothèses!$G$9,IF(B102&lt;=Hypothèses!$C$10,Hypothèses!$G$10,IF(B102&lt;=Hypothèses!$C$11,Hypothèses!$G$11,IF(B102&lt;=Hypothèses!$C$12,Hypothèses!$G$12,IF(B102&lt;=Hypothèses!$C$13,Hypothèses!$G$13,IF(B102&lt;=Hypothèses!$C$14,Hypothèses!$G$14,IF(B102&lt;=Hypothèses!$C$15,Hypothèses!$G$15,IF(B102&lt;=Hypothèses!$C$16,Hypothèses!$G$16,IF(B102&lt;=Hypothèses!$C$17,Hypothèses!$G$17,IF(B102&lt;=Hypothèses!$C$18,Hypothèses!$G$18,E101))))))))))))</f>
        <v>#N/A</v>
      </c>
      <c r="F102" s="82" t="str">
        <f>IF(B102&lt;=Hypothèses!$C$7,Hypothèses!$F$7,IF(B102&lt;=Hypothèses!$C$8,Hypothèses!$F$8,IF(B102&lt;=Hypothèses!$C$9,Hypothèses!$F$9,IF(B102&lt;=Hypothèses!$C$10,Hypothèses!$F$10,IF(B102&lt;=Hypothèses!$C$11,Hypothèses!$F$11,IF(B102&lt;=Hypothèses!$C$12,Hypothèses!$F$12,IF(B102&lt;=Hypothèses!$C$13,Hypothèses!$F$13,IF(B102&lt;=Hypothèses!$C$14,Hypothèses!$F$14,IF(B102&lt;=Hypothèses!$C$15,Hypothèses!$F$15,IF(B102&lt;=Hypothèses!$C$16,Hypothèses!$F$16,IF(B102&lt;=Hypothèses!$C$17,Hypothèses!$F$17,IF(B102&lt;=Hypothèses!$C$18,Hypothèses!$F$18,F101))))))))))))</f>
        <v/>
      </c>
      <c r="G102" s="91">
        <f t="array" ref="G102">INDEX('Coeff EC7'!$U$7:$X$27,
MATCH(Model0.1C!$B$3,'Coeff EC7'!$T$7:$T$27,0),
MATCH(Model0.1C!$D102&amp;Model0.1C!$B$4,
'Coeff EC7'!$U$6:$X$6&amp;
'Coeff EC7'!$U$5:$X$5,0))</f>
        <v>1.1499999999999999</v>
      </c>
      <c r="H102" s="91">
        <f t="array" ref="H102">INDEX('Coeff EC7'!$Y$7:$AB$27,
MATCH(Model0.1C!$B$3,'Coeff EC7'!$T$7:$T$27,0),
MATCH(Model0.1C!$D102&amp;Model0.1C!$B$4,
'Coeff EC7'!$Y$6:$AB$6&amp;
'Coeff EC7'!$Y$5:$AB$5,0))</f>
        <v>1.4</v>
      </c>
      <c r="I102" s="83" t="e">
        <f>IF(B102&lt;=Hypothèses!$C$7,Hypothèses!$P$7,IF(B102&lt;=Hypothèses!$C$8,Hypothèses!$P$8,IF(B102&lt;=Hypothèses!$C$9,Hypothèses!$P$9,IF(B102&lt;=Hypothèses!$C$10,Hypothèses!$P$10,IF(B102&lt;=Hypothèses!$C$11,Hypothèses!$P$11,IF(B102&lt;=Hypothèses!$C$12,Hypothèses!$P$12,IF(B102&lt;=Hypothèses!$C$13,Hypothèses!$P$13,IF(B102&lt;=Hypothèses!$C$14,Hypothèses!$P$14,IF(B102&lt;=Hypothèses!$C$15,Hypothèses!$P$15,IF(B102&lt;=Hypothèses!$C$16,Hypothèses!$P$16,IF(B102&lt;=Hypothèses!$C$17,Hypothèses!$P$17,IF(B102&lt;=Hypothèses!$C$18,Hypothèses!$P$18,I101))))))))))))</f>
        <v>#N/A</v>
      </c>
      <c r="J102" s="91" t="e">
        <f t="array" ref="J102">INDEX('Coeff EC7'!$D$33:$Q$33,1,MATCH(D102&amp;E102,'Coeff EC7'!$D$31:$Q$31&amp;'Coeff EC7'!$D$32:$Q$32,0))</f>
        <v>#N/A</v>
      </c>
      <c r="K102" s="91" t="e">
        <f t="array" ref="K102">INDEX('Coeff EC7'!$D$34:$Q$34,1,MATCH(D102&amp;E102,'Coeff EC7'!$D$31:$Q$31&amp;'Coeff EC7'!$D$32:$Q$32,0))</f>
        <v>#N/A</v>
      </c>
      <c r="L102" s="91" t="e">
        <f t="array" ref="L102">INDEX('Coeff EC7'!$D$35:$Q$35,1,MATCH(D102&amp;E102,'Coeff EC7'!$D$31:$Q$31&amp;'Coeff EC7'!$D$32:$Q$32,0))</f>
        <v>#N/A</v>
      </c>
      <c r="M102" s="98" t="e">
        <f t="shared" si="131"/>
        <v>#N/A</v>
      </c>
      <c r="N102" s="99" t="e">
        <f t="array" ref="N102">INDEX('Coeff EC7'!$D$7:$Q$27,MATCH($B$3,'Coeff EC7'!$C$7:$C$27,0),MATCH(D102&amp;E102,'Coeff EC7'!$D$5:$Q$5&amp;'Coeff EC7'!$D$6:$Q$6,0))</f>
        <v>#N/A</v>
      </c>
      <c r="O102" s="99" t="e">
        <f t="array" ref="O102">INDEX('Coeff EC7'!$D$41:$Q$61,MATCH($B$3,'Coeff EC7'!$C$41:$C$61,0),MATCH(D102&amp;E102,'Coeff EC7'!$D$39:$Q$39&amp;'Coeff EC7'!$D$40:$Q$40,0))</f>
        <v>#N/A</v>
      </c>
      <c r="P102" s="30" t="e">
        <f t="shared" si="168"/>
        <v>#N/A</v>
      </c>
      <c r="Q102" s="100" t="e">
        <f t="shared" si="133"/>
        <v>#N/A</v>
      </c>
      <c r="R102" s="86" t="b">
        <f t="shared" si="134"/>
        <v>0</v>
      </c>
      <c r="S102" s="86">
        <f t="shared" si="132"/>
        <v>0.5</v>
      </c>
      <c r="T102" s="86">
        <f t="shared" si="135"/>
        <v>0.5</v>
      </c>
      <c r="U102" s="30" t="e">
        <f t="shared" ca="1" si="169"/>
        <v>#DIV/0!</v>
      </c>
      <c r="V102" s="85" t="str">
        <f>IF(B102&lt;=Hypothèses!$V$7,Hypothèses!$W$7,IF(B102&lt;=Hypothèses!$V$8,Hypothèses!$W$8,IF(B102&lt;=Hypothèses!$V$9,Hypothèses!$W$9,IF(B102&lt;=Hypothèses!$V$10,Hypothèses!$W$10,IF(B102&lt;=Hypothèses!$V$11,Hypothèses!$W$11,IF(B102&lt;=Hypothèses!$V$12,Hypothèses!$W$12,IF(B102&lt;=Hypothèses!$V$13,Hypothèses!$W$13,IF(B102&lt;=Hypothèses!$V$14,Hypothèses!$W$14,IF(B102&lt;=Hypothèses!$V$15,Hypothèses!$W$15,IF(B102&lt;=Hypothèses!$V$16,Hypothèses!$W$16,IF(B102&lt;=Hypothèses!$V$17,Hypothèses!$W$17,IF(B102&lt;=Hypothèses!$V$18,Hypothèses!$W$18,""))))))))))))</f>
        <v/>
      </c>
      <c r="W102" s="87" t="e">
        <f t="shared" ca="1" si="216"/>
        <v>#DIV/0!</v>
      </c>
      <c r="X102" s="88" t="str">
        <f>IF(B102&lt;=Hypothèses!$V$7,Hypothèses!$X$7,IF(B102&lt;=Hypothèses!$V$8,Hypothèses!$X$8,IF(B102&lt;=Hypothèses!$V$9,Hypothèses!$X$9,IF(B102&lt;=Hypothèses!$V$10,Hypothèses!$X$10,IF(B102&lt;=Hypothèses!$V$11,Hypothèses!$X$11,IF(B102&lt;=Hypothèses!$V$12,Hypothèses!$X$12,IF(B102&lt;=Hypothèses!$V$13,Hypothèses!$X$13,IF(B102&lt;=Hypothèses!$V$14,Hypothèses!$X$14,IF(B102&lt;=Hypothèses!$V$15,Hypothèses!$X$15,IF(B102&lt;=Hypothèses!$V$16,Hypothèses!$X$16,IF(B102&lt;=Hypothèses!$U$17,Hypothèses!$W$17,IF(B102&lt;=Hypothèses!$U$18,Hypothèses!$W$18,""))))))))))))</f>
        <v/>
      </c>
      <c r="Y102" s="95" t="e">
        <f t="shared" ca="1" si="136"/>
        <v>#DIV/0!</v>
      </c>
      <c r="Z102" s="101" t="e">
        <f t="shared" si="137"/>
        <v>#N/A</v>
      </c>
      <c r="AA102" s="91" t="e">
        <f t="shared" si="138"/>
        <v>#N/A</v>
      </c>
      <c r="AB102" s="30" t="e">
        <f t="shared" si="200"/>
        <v>#N/A</v>
      </c>
      <c r="AC102" s="30" t="e">
        <f t="shared" si="201"/>
        <v>#N/A</v>
      </c>
      <c r="AD102" s="31" t="e">
        <f>IF(OR(Hypothèses!$B$4=17,Hypothèses!$B$4=18,Hypothèses!$B$4=19,Hypothèses!$B$4=20),
IF($D102="Pressio.",
IF(OR($E102=3,$E102=1,$E102=4),AC102,AB102),
IF($D102="Pénétro.",
IF(OR($E102=3,$E102=1,$E102=4),AC102,AB102))),IF($D102="Pressio.",
IF($E102=3,AC102,AB102),
IF($D102="Pénétro.",
IF($E102=4,AC102,AB102))))</f>
        <v>#N/A</v>
      </c>
      <c r="AE102" s="31" t="e">
        <f>(IF(OR(Hypothèses!$B$4=17,Hypothèses!$B$4=18,Hypothèses!$B$4=19,Hypothèses!$B$4=20),
IF($D102="Pressio.",
IF(OR($E102=3,$E102=1,$E102=4),(PI()*AE$12^2)/4*(AA102*$W102*1000)/($H102*$B$5),(PI()*AE$12^2)/4*(AA102*$W102*1000)/($G102*$B$5)),
IF($D102="Pénétro.",
IF(OR($E102=4,$E102=1,$E102=5),(PI()*AE$12^2)/4*(AA102*$W102*1000)/($H102*$B$5),(PI()*AE$12^2)/4*(AA102*$W102*1000)/($G102*$B$5)))),
IF($D102="Pressio.",
IF($E102=3,(PI()*AE$12^2)/4*(AA102*$W102*1000)/($H102*$B$5),(PI()*AE$12^2)/4*(AA102*$W102*1000)/($G102*$B$5)),
IF($D102="Pénétro.",
IF($E102=4,(PI()*AE$12^2)/4*(AA102*$W102*1000)/($H102*$B$5),(PI()*AE$12^2)/4*(AA102*$W102*1000)/($G102*$B$5))))))/10</f>
        <v>#N/A</v>
      </c>
      <c r="AF102" s="102" t="e">
        <f>(VLOOKUP($B$3,'Coeff EC7'!$T$39:$X$59,2,0)*AD102+VLOOKUP($B$3,'Coeff EC7'!$T$65:$X$85,2,0)*Model0.1C!AE102)/1.1</f>
        <v>#N/A</v>
      </c>
      <c r="AG102" s="102" t="e">
        <f>(VLOOKUP($B$3,'Coeff EC7'!$T$39:$X$59,3,0)*AD102+VLOOKUP($B$3,'Coeff EC7'!$T$65:$X$85,3,0)*Model0.1C!AE102)/0.9</f>
        <v>#N/A</v>
      </c>
      <c r="AH102" s="102" t="e">
        <f t="shared" si="139"/>
        <v>#N/A</v>
      </c>
      <c r="AI102" s="102" t="e">
        <f t="shared" si="140"/>
        <v>#N/A</v>
      </c>
      <c r="AJ102" s="414" t="e">
        <f>IF(AJ101=0,0,IF(AND(AF102&gt;charge_ELS_quasi,AG102&gt;Charge_ELS_freq,AH102&gt;charge_ELU,AI102&gt;charge_ELA,$B102&gt;NDC!$H$22-0.1+MIN(3*$AJ$12,1.5)),0,1))</f>
        <v>#N/A</v>
      </c>
      <c r="AK102" s="86" t="b">
        <f t="shared" si="141"/>
        <v>0</v>
      </c>
      <c r="AL102" s="86">
        <f t="shared" si="170"/>
        <v>0.5</v>
      </c>
      <c r="AM102" s="86">
        <f t="shared" si="142"/>
        <v>0.5</v>
      </c>
      <c r="AN102" s="30" t="e">
        <f t="shared" ca="1" si="171"/>
        <v>#DIV/0!</v>
      </c>
      <c r="AO102" s="85" t="e">
        <f ca="1">IF(U102&lt;=Hypothèses!$V$7,Hypothèses!$W$7,IF(U102&lt;=Hypothèses!$V$8,Hypothèses!$W$8,IF(U102&lt;=Hypothèses!$V$9,Hypothèses!$W$9,IF(U102&lt;=Hypothèses!$V$10,Hypothèses!$W$10,IF(U102&lt;=Hypothèses!$V$11,Hypothèses!$W$11,IF(U102&lt;=Hypothèses!$V$12,Hypothèses!$W$12,IF(U102&lt;=Hypothèses!$V$13,Hypothèses!$W$13,IF(U102&lt;=Hypothèses!$V$14,Hypothèses!$W$14,IF(U102&lt;=Hypothèses!$V$15,Hypothèses!$W$15,IF(U102&lt;=Hypothèses!$V$16,Hypothèses!$W$16,IF(U102&lt;=Hypothèses!$V$17,Hypothèses!$W$17,IF(U102&lt;=Hypothèses!$V$18,Hypothèses!$W$18,""))))))))))))</f>
        <v>#DIV/0!</v>
      </c>
      <c r="AP102" s="87" t="e">
        <f t="shared" ca="1" si="217"/>
        <v>#DIV/0!</v>
      </c>
      <c r="AQ102" s="88" t="e">
        <f ca="1">IF(U102&lt;=Hypothèses!$V$7,Hypothèses!$X$7,IF(U102&lt;=Hypothèses!$V$8,Hypothèses!$X$8,IF(U102&lt;=Hypothèses!$V$9,Hypothèses!$X$9,IF(U102&lt;=Hypothèses!$V$10,Hypothèses!$X$10,IF(U102&lt;=Hypothèses!$V$11,Hypothèses!$X$11,IF(U102&lt;=Hypothèses!$V$12,Hypothèses!$X$12,IF(U102&lt;=Hypothèses!$V$13,Hypothèses!$X$13,IF(U102&lt;=Hypothèses!$V$14,Hypothèses!$X$14,IF(U102&lt;=Hypothèses!$V$15,Hypothèses!$X$15,IF(U102&lt;=Hypothèses!$V$16,Hypothèses!$X$16,IF(U102&lt;=Hypothèses!$U$17,Hypothèses!$W$17,IF(U102&lt;=Hypothèses!$U$18,Hypothèses!$W$18,""))))))))))))</f>
        <v>#DIV/0!</v>
      </c>
      <c r="AR102" s="95" t="e">
        <f t="shared" ca="1" si="172"/>
        <v>#DIV/0!</v>
      </c>
      <c r="AS102" s="101" t="e">
        <f t="shared" si="224"/>
        <v>#N/A</v>
      </c>
      <c r="AT102" s="91" t="e">
        <f t="shared" si="143"/>
        <v>#N/A</v>
      </c>
      <c r="AU102" s="30" t="e">
        <f t="shared" si="202"/>
        <v>#N/A</v>
      </c>
      <c r="AV102" s="30" t="e">
        <f t="shared" si="203"/>
        <v>#N/A</v>
      </c>
      <c r="AW102" s="31" t="e">
        <f>IF(OR(Hypothèses!$B$4=17,Hypothèses!$B$4=18,Hypothèses!$B$4=19,Hypothèses!$B$4=20),
IF($D102="Pressio.",
IF(OR($E102=3,$E102=1,$E102=4),AV102,AU102),
IF($D102="Pénétro.",
IF(OR($E102=3,$E102=1,$E102=4),AV102,AU102))),IF($D102="Pressio.",
IF($E102=3,AV102,AU102),
IF($D102="Pénétro.",
IF($E102=4,AV102,AU102))))</f>
        <v>#N/A</v>
      </c>
      <c r="AX102" s="31" t="e">
        <f>(IF(OR(Hypothèses!$B$4=17,Hypothèses!$B$4=18,Hypothèses!$B$4=19,Hypothèses!$B$4=20),
IF($D102="Pressio.",
IF(OR($E102=3,$E102=1,$E102=4),(PI()*AX$12^2)/4*(AT102*$W102*1000)/($H102*$B$5),(PI()*AX$12^2)/4*(AT102*$W102*1000)/($G102*$B$5)),
IF($D102="Pénétro.",
IF(OR($E102=4,$E102=1,$E102=5),(PI()*AX$12^2)/4*(AT102*$W102*1000)/($H102*$B$5),(PI()*AX$12^2)/4*(AT102*$W102*1000)/($G102*$B$5)))),
IF($D102="Pressio.",
IF($E102=3,(PI()*AX$12^2)/4*(AT102*$W102*1000)/($H102*$B$5),(PI()*AX$12^2)/4*(AT102*$W102*1000)/($G102*$B$5)),
IF($D102="Pénétro.",
IF($E102=4,(PI()*AX$12^2)/4*(AT102*$W102*1000)/($H102*$B$5),(PI()*AX$12^2)/4*(AT102*$W102*1000)/($G102*$B$5))))))/10</f>
        <v>#N/A</v>
      </c>
      <c r="AY102" s="102" t="e">
        <f>(VLOOKUP($B$3,'Coeff EC7'!$T$39:$X$59,2,0)*AW102+VLOOKUP($B$3,'Coeff EC7'!$T$65:$X$85,2,0)*Model0.1C!AX102)/1.1</f>
        <v>#N/A</v>
      </c>
      <c r="AZ102" s="102" t="e">
        <f>(VLOOKUP($B$3,'Coeff EC7'!$T$39:$X$59,3,0)*AW102+VLOOKUP($B$3,'Coeff EC7'!$T$65:$X$85,3,0)*Model0.1C!AX102)/0.9</f>
        <v>#N/A</v>
      </c>
      <c r="BA102" s="102" t="e">
        <f t="shared" si="173"/>
        <v>#N/A</v>
      </c>
      <c r="BB102" s="102" t="e">
        <f t="shared" si="174"/>
        <v>#N/A</v>
      </c>
      <c r="BC102" s="414" t="e">
        <f>IF(BC101=0,0,IF(AND(AY102&gt;charge_ELS_quasi,AZ102&gt;Charge_ELS_freq,BA102&gt;charge_ELU,BB102&gt;charge_ELA,$B102&gt;NDC!$H$22-0.1+MIN(3*$BC$12,1.5)),0,1))</f>
        <v>#N/A</v>
      </c>
      <c r="BD102" s="86" t="b">
        <f t="shared" si="144"/>
        <v>0</v>
      </c>
      <c r="BE102" s="86">
        <f t="shared" si="175"/>
        <v>0.5</v>
      </c>
      <c r="BF102" s="86">
        <f t="shared" si="145"/>
        <v>0.5</v>
      </c>
      <c r="BG102" s="30" t="e">
        <f t="shared" ca="1" si="176"/>
        <v>#DIV/0!</v>
      </c>
      <c r="BH102" s="85" t="e">
        <f ca="1">IF(AN102&lt;=Hypothèses!$V$7,Hypothèses!$W$7,IF(AN102&lt;=Hypothèses!$V$8,Hypothèses!$W$8,IF(AN102&lt;=Hypothèses!$V$9,Hypothèses!$W$9,IF(AN102&lt;=Hypothèses!$V$10,Hypothèses!$W$10,IF(AN102&lt;=Hypothèses!$V$11,Hypothèses!$W$11,IF(AN102&lt;=Hypothèses!$V$12,Hypothèses!$W$12,IF(AN102&lt;=Hypothèses!$V$13,Hypothèses!$W$13,IF(AN102&lt;=Hypothèses!$V$14,Hypothèses!$W$14,IF(AN102&lt;=Hypothèses!$V$15,Hypothèses!$W$15,IF(AN102&lt;=Hypothèses!$V$16,Hypothèses!$W$16,IF(AN102&lt;=Hypothèses!$V$17,Hypothèses!$W$17,IF(AN102&lt;=Hypothèses!$V$18,Hypothèses!$W$18,""))))))))))))</f>
        <v>#DIV/0!</v>
      </c>
      <c r="BI102" s="87" t="e">
        <f t="shared" ca="1" si="218"/>
        <v>#DIV/0!</v>
      </c>
      <c r="BJ102" s="88" t="e">
        <f ca="1">IF(AN102&lt;=Hypothèses!$V$7,Hypothèses!$X$7,IF(AN102&lt;=Hypothèses!$V$8,Hypothèses!$X$8,IF(AN102&lt;=Hypothèses!$V$9,Hypothèses!$X$9,IF(AN102&lt;=Hypothèses!$V$10,Hypothèses!$X$10,IF(AN102&lt;=Hypothèses!$V$11,Hypothèses!$X$11,IF(AN102&lt;=Hypothèses!$V$12,Hypothèses!$X$12,IF(AN102&lt;=Hypothèses!$V$13,Hypothèses!$X$13,IF(AN102&lt;=Hypothèses!$V$14,Hypothèses!$X$14,IF(AN102&lt;=Hypothèses!$V$15,Hypothèses!$X$15,IF(AN102&lt;=Hypothèses!$V$16,Hypothèses!$X$16,IF(AN102&lt;=Hypothèses!$U$17,Hypothèses!$W$17,IF(AN102&lt;=Hypothèses!$U$18,Hypothèses!$W$18,""))))))))))))</f>
        <v>#DIV/0!</v>
      </c>
      <c r="BK102" s="95" t="e">
        <f t="shared" ca="1" si="177"/>
        <v>#DIV/0!</v>
      </c>
      <c r="BL102" s="101" t="e">
        <f t="shared" si="225"/>
        <v>#N/A</v>
      </c>
      <c r="BM102" s="91" t="e">
        <f t="shared" si="146"/>
        <v>#N/A</v>
      </c>
      <c r="BN102" s="30" t="e">
        <f t="shared" si="204"/>
        <v>#N/A</v>
      </c>
      <c r="BO102" s="30" t="e">
        <f t="shared" si="205"/>
        <v>#N/A</v>
      </c>
      <c r="BP102" s="31" t="e">
        <f>IF(OR(Hypothèses!$B$4=17,Hypothèses!$B$4=18,Hypothèses!$B$4=19,Hypothèses!$B$4=20),
IF($D102="Pressio.",
IF(OR($E102=3,$E102=1,$E102=4),BO102,BN102),
IF($D102="Pénétro.",
IF(OR($E102=3,$E102=1,$E102=4),BO102,BN102))),IF($D102="Pressio.",
IF($E102=3,BO102,BN102),
IF($D102="Pénétro.",
IF($E102=4,BO102,BN102))))</f>
        <v>#N/A</v>
      </c>
      <c r="BQ102" s="31" t="e">
        <f>(IF(OR(Hypothèses!$B$4=17,Hypothèses!$B$4=18,Hypothèses!$B$4=19,Hypothèses!$B$4=20),
IF($D102="Pressio.",
IF(OR($E102=3,$E102=1,$E102=4),(PI()*BQ$12^2)/4*(BM102*$W102*1000)/($H102*$B$5),(PI()*BQ$12^2)/4*(BM102*$W102*1000)/($G102*$B$5)),
IF($D102="Pénétro.",
IF(OR($E102=4,$E102=1,$E102=5),(PI()*BQ$12^2)/4*(BM102*$W102*1000)/($H102*$B$5),(PI()*BQ$12^2)/4*(BM102*$W102*1000)/($G102*$B$5)))),
IF($D102="Pressio.",
IF($E102=3,(PI()*BQ$12^2)/4*(BM102*$W102*1000)/($H102*$B$5),(PI()*BQ$12^2)/4*(BM102*$W102*1000)/($G102*$B$5)),
IF($D102="Pénétro.",
IF($E102=4,(PI()*BQ$12^2)/4*(BM102*$W102*1000)/($H102*$B$5),(PI()*BQ$12^2)/4*(BM102*$W102*1000)/($G102*$B$5))))))/10</f>
        <v>#N/A</v>
      </c>
      <c r="BR102" s="102" t="e">
        <f>(VLOOKUP($B$3,'Coeff EC7'!$T$39:$X$59,2,0)*BP102+VLOOKUP($B$3,'Coeff EC7'!$T$65:$X$85,2,0)*Model0.1C!BQ102)/1.1</f>
        <v>#N/A</v>
      </c>
      <c r="BS102" s="102" t="e">
        <f>(VLOOKUP($B$3,'Coeff EC7'!$T$39:$X$59,3,0)*BP102+VLOOKUP($B$3,'Coeff EC7'!$T$65:$X$85,3,0)*Model0.1C!BQ102)/0.9</f>
        <v>#N/A</v>
      </c>
      <c r="BT102" s="102" t="e">
        <f t="shared" si="178"/>
        <v>#N/A</v>
      </c>
      <c r="BU102" s="102" t="e">
        <f t="shared" si="179"/>
        <v>#N/A</v>
      </c>
      <c r="BV102" s="414" t="e">
        <f>IF(BV101=0,0,IF(AND(BR102&gt;charge_ELS_quasi,BS102&gt;Charge_ELS_freq,BT102&gt;charge_ELU,BU102&gt;charge_ELA,$B102&gt;NDC!$H$22-0.1+MIN(3*$BV$12,1.5)),0,1))</f>
        <v>#N/A</v>
      </c>
      <c r="BW102" s="86" t="b">
        <f t="shared" si="147"/>
        <v>0</v>
      </c>
      <c r="BX102" s="86">
        <f t="shared" si="148"/>
        <v>0.5</v>
      </c>
      <c r="BY102" s="86">
        <f t="shared" si="149"/>
        <v>0.5</v>
      </c>
      <c r="BZ102" s="30" t="e">
        <f t="shared" ca="1" si="180"/>
        <v>#DIV/0!</v>
      </c>
      <c r="CA102" s="85" t="e">
        <f ca="1">IF(BG102&lt;=Hypothèses!$V$7,Hypothèses!$W$7,IF(BG102&lt;=Hypothèses!$V$8,Hypothèses!$W$8,IF(BG102&lt;=Hypothèses!$V$9,Hypothèses!$W$9,IF(BG102&lt;=Hypothèses!$V$10,Hypothèses!$W$10,IF(BG102&lt;=Hypothèses!$V$11,Hypothèses!$W$11,IF(BG102&lt;=Hypothèses!$V$12,Hypothèses!$W$12,IF(BG102&lt;=Hypothèses!$V$13,Hypothèses!$W$13,IF(BG102&lt;=Hypothèses!$V$14,Hypothèses!$W$14,IF(BG102&lt;=Hypothèses!$V$15,Hypothèses!$W$15,IF(BG102&lt;=Hypothèses!$V$16,Hypothèses!$W$16,IF(BG102&lt;=Hypothèses!$V$17,Hypothèses!$W$17,IF(BG102&lt;=Hypothèses!$V$18,Hypothèses!$W$18,""))))))))))))</f>
        <v>#DIV/0!</v>
      </c>
      <c r="CB102" s="87" t="e">
        <f t="shared" ca="1" si="219"/>
        <v>#DIV/0!</v>
      </c>
      <c r="CC102" s="88" t="e">
        <f ca="1">IF(BG102&lt;=Hypothèses!$V$7,Hypothèses!$X$7,IF(BG102&lt;=Hypothèses!$V$8,Hypothèses!$X$8,IF(BG102&lt;=Hypothèses!$V$9,Hypothèses!$X$9,IF(BG102&lt;=Hypothèses!$V$10,Hypothèses!$X$10,IF(BG102&lt;=Hypothèses!$V$11,Hypothèses!$X$11,IF(BG102&lt;=Hypothèses!$V$12,Hypothèses!$X$12,IF(BG102&lt;=Hypothèses!$V$13,Hypothèses!$X$13,IF(BG102&lt;=Hypothèses!$V$14,Hypothèses!$X$14,IF(BG102&lt;=Hypothèses!$V$15,Hypothèses!$X$15,IF(BG102&lt;=Hypothèses!$V$16,Hypothèses!$X$16,IF(BG102&lt;=Hypothèses!$U$17,Hypothèses!$W$17,IF(BG102&lt;=Hypothèses!$U$18,Hypothèses!$W$18,""))))))))))))</f>
        <v>#DIV/0!</v>
      </c>
      <c r="CD102" s="95" t="e">
        <f t="shared" ca="1" si="181"/>
        <v>#DIV/0!</v>
      </c>
      <c r="CE102" s="101" t="e">
        <f t="shared" si="226"/>
        <v>#N/A</v>
      </c>
      <c r="CF102" s="91" t="e">
        <f t="shared" si="150"/>
        <v>#N/A</v>
      </c>
      <c r="CG102" s="30" t="e">
        <f t="shared" si="206"/>
        <v>#N/A</v>
      </c>
      <c r="CH102" s="30" t="e">
        <f t="shared" si="207"/>
        <v>#N/A</v>
      </c>
      <c r="CI102" s="31" t="e">
        <f>IF(OR(Hypothèses!$B$4=17,Hypothèses!$B$4=18,Hypothèses!$B$4=19,Hypothèses!$B$4=20),
IF($D102="Pressio.",
IF(OR($E102=3,$E102=1,$E102=4),CH102,CG102),
IF($D102="Pénétro.",
IF(OR($E102=3,$E102=1,$E102=4),CH102,CG102))),IF($D102="Pressio.",
IF($E102=3,CH102,CG102),
IF($D102="Pénétro.",
IF($E102=4,CH102,CG102))))</f>
        <v>#N/A</v>
      </c>
      <c r="CJ102" s="31" t="e">
        <f>(IF(OR(Hypothèses!$B$4=17,Hypothèses!$B$4=18,Hypothèses!$B$4=19,Hypothèses!$B$4=20),
IF($D102="Pressio.",
IF(OR($E102=3,$E102=1,$E102=4),(PI()*CJ$12^2)/4*(CF102*$W102*1000)/($H102*$B$5),(PI()*CJ$12^2)/4*(CF102*$W102*1000)/($G102*$B$5)),
IF($D102="Pénétro.",
IF(OR($E102=4,$E102=1,$E102=5),(PI()*CJ$12^2)/4*(CF102*$W102*1000)/($H102*$B$5),(PI()*CJ$12^2)/4*(CF102*$W102*1000)/($G102*$B$5)))),
IF($D102="Pressio.",
IF($E102=3,(PI()*CJ$12^2)/4*(CF102*$W102*1000)/($H102*$B$5),(PI()*CJ$12^2)/4*(CF102*$W102*1000)/($G102*$B$5)),
IF($D102="Pénétro.",
IF($E102=4,(PI()*CJ$12^2)/4*(CF102*$W102*1000)/($H102*$B$5),(PI()*CJ$12^2)/4*(CF102*$W102*1000)/($G102*$B$5))))))/10</f>
        <v>#N/A</v>
      </c>
      <c r="CK102" s="102" t="e">
        <f>(VLOOKUP($B$3,'Coeff EC7'!$T$39:$X$59,2,0)*CI102+VLOOKUP($B$3,'Coeff EC7'!$T$65:$X$85,2,0)*Model0.1C!CJ102)/1.1</f>
        <v>#N/A</v>
      </c>
      <c r="CL102" s="102" t="e">
        <f>(VLOOKUP($B$3,'Coeff EC7'!$T$39:$X$59,3,0)*CI102+VLOOKUP($B$3,'Coeff EC7'!$T$65:$X$85,3,0)*Model0.1C!CJ102)/0.9</f>
        <v>#N/A</v>
      </c>
      <c r="CM102" s="102" t="e">
        <f t="shared" si="182"/>
        <v>#N/A</v>
      </c>
      <c r="CN102" s="102" t="e">
        <f t="shared" si="183"/>
        <v>#N/A</v>
      </c>
      <c r="CO102" s="414" t="e">
        <f>IF(CO101=0,0,IF(AND(CK102&gt;charge_ELS_quasi,CL102&gt;Charge_ELS_freq,CM102&gt;charge_ELU,CN102&gt;charge_ELA,$B102&gt;NDC!$H$22-0.1+MIN(3*$CO$12,1.5)),0,1))</f>
        <v>#N/A</v>
      </c>
      <c r="CP102" s="86" t="b">
        <f t="shared" si="151"/>
        <v>0</v>
      </c>
      <c r="CQ102" s="86">
        <f t="shared" si="152"/>
        <v>0.5</v>
      </c>
      <c r="CR102" s="86">
        <f t="shared" si="153"/>
        <v>0.5</v>
      </c>
      <c r="CS102" s="30" t="e">
        <f t="shared" ca="1" si="184"/>
        <v>#DIV/0!</v>
      </c>
      <c r="CT102" s="85" t="e">
        <f ca="1">IF(BZ102&lt;=Hypothèses!$V$7,Hypothèses!$W$7,IF(BZ102&lt;=Hypothèses!$V$8,Hypothèses!$W$8,IF(BZ102&lt;=Hypothèses!$V$9,Hypothèses!$W$9,IF(BZ102&lt;=Hypothèses!$V$10,Hypothèses!$W$10,IF(BZ102&lt;=Hypothèses!$V$11,Hypothèses!$W$11,IF(BZ102&lt;=Hypothèses!$V$12,Hypothèses!$W$12,IF(BZ102&lt;=Hypothèses!$V$13,Hypothèses!$W$13,IF(BZ102&lt;=Hypothèses!$V$14,Hypothèses!$W$14,IF(BZ102&lt;=Hypothèses!$V$15,Hypothèses!$W$15,IF(BZ102&lt;=Hypothèses!$V$16,Hypothèses!$W$16,IF(BZ102&lt;=Hypothèses!$V$17,Hypothèses!$W$17,IF(BZ102&lt;=Hypothèses!$V$18,Hypothèses!$W$18,""))))))))))))</f>
        <v>#DIV/0!</v>
      </c>
      <c r="CU102" s="87" t="e">
        <f t="shared" ca="1" si="220"/>
        <v>#DIV/0!</v>
      </c>
      <c r="CV102" s="88" t="e">
        <f ca="1">IF(BZ102&lt;=Hypothèses!$V$7,Hypothèses!$X$7,IF(BZ102&lt;=Hypothèses!$V$8,Hypothèses!$X$8,IF(BZ102&lt;=Hypothèses!$V$9,Hypothèses!$X$9,IF(BZ102&lt;=Hypothèses!$V$10,Hypothèses!$X$10,IF(BZ102&lt;=Hypothèses!$V$11,Hypothèses!$X$11,IF(BZ102&lt;=Hypothèses!$V$12,Hypothèses!$X$12,IF(BZ102&lt;=Hypothèses!$V$13,Hypothèses!$X$13,IF(BZ102&lt;=Hypothèses!$V$14,Hypothèses!$X$14,IF(BZ102&lt;=Hypothèses!$V$15,Hypothèses!$X$15,IF(BZ102&lt;=Hypothèses!$V$16,Hypothèses!$X$16,IF(BZ102&lt;=Hypothèses!$U$17,Hypothèses!$W$17,IF(BZ102&lt;=Hypothèses!$U$18,Hypothèses!$W$18,""))))))))))))</f>
        <v>#DIV/0!</v>
      </c>
      <c r="CW102" s="95" t="e">
        <f t="shared" ca="1" si="185"/>
        <v>#DIV/0!</v>
      </c>
      <c r="CX102" s="101" t="e">
        <f t="shared" si="227"/>
        <v>#N/A</v>
      </c>
      <c r="CY102" s="91" t="e">
        <f t="shared" si="154"/>
        <v>#N/A</v>
      </c>
      <c r="CZ102" s="30" t="e">
        <f t="shared" si="208"/>
        <v>#N/A</v>
      </c>
      <c r="DA102" s="30" t="e">
        <f t="shared" si="209"/>
        <v>#N/A</v>
      </c>
      <c r="DB102" s="31" t="e">
        <f>IF(OR(Hypothèses!$B$4=17,Hypothèses!$B$4=18,Hypothèses!$B$4=19,Hypothèses!$B$4=20),
IF($D102="Pressio.",
IF(OR($E102=3,$E102=1,$E102=4),DA102,CZ102),
IF($D102="Pénétro.",
IF(OR($E102=3,$E102=1,$E102=4),DA102,CZ102))),IF($D102="Pressio.",
IF($E102=3,DA102,CZ102),
IF($D102="Pénétro.",
IF($E102=4,DA102,CZ102))))</f>
        <v>#N/A</v>
      </c>
      <c r="DC102" s="31" t="e">
        <f>(IF(OR(Hypothèses!$B$4=17,Hypothèses!$B$4=18,Hypothèses!$B$4=19,Hypothèses!$B$4=20),
IF($D102="Pressio.",
IF(OR($E102=3,$E102=1,$E102=4),(PI()*DC$12^2)/4*(CY102*$W102*1000)/($H102*$B$5),(PI()*DC$12^2)/4*(CY102*$W102*1000)/($G102*$B$5)),
IF($D102="Pénétro.",
IF(OR($E102=4,$E102=1,$E102=5),(PI()*DC$12^2)/4*(CY102*$W102*1000)/($H102*$B$5),(PI()*DC$12^2)/4*(CY102*$W102*1000)/($G102*$B$5)))),
IF($D102="Pressio.",
IF($E102=3,(PI()*DC$12^2)/4*(CY102*$W102*1000)/($H102*$B$5),(PI()*DC$12^2)/4*(CY102*$W102*1000)/($G102*$B$5)),
IF($D102="Pénétro.",
IF($E102=4,(PI()*DC$12^2)/4*(CY102*$W102*1000)/($H102*$B$5),(PI()*DC$12^2)/4*(CY102*$W102*1000)/($G102*$B$5))))))/10</f>
        <v>#N/A</v>
      </c>
      <c r="DD102" s="102" t="e">
        <f>(VLOOKUP($B$3,'Coeff EC7'!$T$39:$X$59,2,0)*DB102+VLOOKUP($B$3,'Coeff EC7'!$T$65:$X$85,2,0)*Model0.1C!DC102)/1.1</f>
        <v>#N/A</v>
      </c>
      <c r="DE102" s="102" t="e">
        <f>(VLOOKUP($B$3,'Coeff EC7'!$T$39:$X$59,3,0)*DB102+VLOOKUP($B$3,'Coeff EC7'!$T$65:$X$85,3,0)*Model0.1C!DC102)/0.9</f>
        <v>#N/A</v>
      </c>
      <c r="DF102" s="102" t="e">
        <f t="shared" si="186"/>
        <v>#N/A</v>
      </c>
      <c r="DG102" s="102" t="e">
        <f t="shared" si="187"/>
        <v>#N/A</v>
      </c>
      <c r="DH102" s="414" t="e">
        <f>IF(DH101=0,0,IF(AND(DD102&gt;charge_ELS_quasi,DE102&gt;Charge_ELS_freq,DF102&gt;charge_ELU,DG102&gt;charge_ELA,$B102&gt;NDC!$H$22-0.1+MIN(3*$DH$12,1.5)),0,1))</f>
        <v>#N/A</v>
      </c>
      <c r="DI102" s="86" t="b">
        <f t="shared" si="155"/>
        <v>0</v>
      </c>
      <c r="DJ102" s="86">
        <f t="shared" si="156"/>
        <v>0.5</v>
      </c>
      <c r="DK102" s="86">
        <f t="shared" si="157"/>
        <v>0.5</v>
      </c>
      <c r="DL102" s="30" t="e">
        <f t="shared" ca="1" si="188"/>
        <v>#DIV/0!</v>
      </c>
      <c r="DM102" s="85" t="e">
        <f ca="1">IF(CS102&lt;=Hypothèses!$V$7,Hypothèses!$W$7,IF(CS102&lt;=Hypothèses!$V$8,Hypothèses!$W$8,IF(CS102&lt;=Hypothèses!$V$9,Hypothèses!$W$9,IF(CS102&lt;=Hypothèses!$V$10,Hypothèses!$W$10,IF(CS102&lt;=Hypothèses!$V$11,Hypothèses!$W$11,IF(CS102&lt;=Hypothèses!$V$12,Hypothèses!$W$12,IF(CS102&lt;=Hypothèses!$V$13,Hypothèses!$W$13,IF(CS102&lt;=Hypothèses!$V$14,Hypothèses!$W$14,IF(CS102&lt;=Hypothèses!$V$15,Hypothèses!$W$15,IF(CS102&lt;=Hypothèses!$V$16,Hypothèses!$W$16,IF(CS102&lt;=Hypothèses!$V$17,Hypothèses!$W$17,IF(CS102&lt;=Hypothèses!$V$18,Hypothèses!$W$18,""))))))))))))</f>
        <v>#DIV/0!</v>
      </c>
      <c r="DN102" s="87" t="e">
        <f t="shared" ca="1" si="221"/>
        <v>#DIV/0!</v>
      </c>
      <c r="DO102" s="88" t="e">
        <f ca="1">IF(CS102&lt;=Hypothèses!$V$7,Hypothèses!$X$7,IF(CS102&lt;=Hypothèses!$V$8,Hypothèses!$X$8,IF(CS102&lt;=Hypothèses!$V$9,Hypothèses!$X$9,IF(CS102&lt;=Hypothèses!$V$10,Hypothèses!$X$10,IF(CS102&lt;=Hypothèses!$V$11,Hypothèses!$X$11,IF(CS102&lt;=Hypothèses!$V$12,Hypothèses!$X$12,IF(CS102&lt;=Hypothèses!$V$13,Hypothèses!$X$13,IF(CS102&lt;=Hypothèses!$V$14,Hypothèses!$X$14,IF(CS102&lt;=Hypothèses!$V$15,Hypothèses!$X$15,IF(CS102&lt;=Hypothèses!$V$16,Hypothèses!$X$16,IF(CS102&lt;=Hypothèses!$U$17,Hypothèses!$W$17,IF(CS102&lt;=Hypothèses!$U$18,Hypothèses!$W$18,""))))))))))))</f>
        <v>#DIV/0!</v>
      </c>
      <c r="DP102" s="95" t="e">
        <f t="shared" ca="1" si="189"/>
        <v>#DIV/0!</v>
      </c>
      <c r="DQ102" s="101" t="e">
        <f t="shared" si="228"/>
        <v>#N/A</v>
      </c>
      <c r="DR102" s="91" t="e">
        <f t="shared" si="158"/>
        <v>#N/A</v>
      </c>
      <c r="DS102" s="30" t="e">
        <f t="shared" si="210"/>
        <v>#N/A</v>
      </c>
      <c r="DT102" s="30" t="e">
        <f t="shared" si="211"/>
        <v>#N/A</v>
      </c>
      <c r="DU102" s="31" t="e">
        <f>IF(OR(Hypothèses!$B$4=17,Hypothèses!$B$4=18,Hypothèses!$B$4=19,Hypothèses!$B$4=20),
IF($D102="Pressio.",
IF(OR($E102=3,$E102=1,$E102=4),DT102,DS102),
IF($D102="Pénétro.",
IF(OR($E102=3,$E102=1,$E102=4),DT102,DS102))),IF($D102="Pressio.",
IF($E102=3,DT102,DS102),
IF($D102="Pénétro.",
IF($E102=4,DT102,DS102))))</f>
        <v>#N/A</v>
      </c>
      <c r="DV102" s="31" t="e">
        <f>(IF(OR(Hypothèses!$B$4=17,Hypothèses!$B$4=18,Hypothèses!$B$4=19,Hypothèses!$B$4=20),
IF($D102="Pressio.",
IF(OR($E102=3,$E102=1,$E102=4),(PI()*DV$12^2)/4*(DR102*$W102*1000)/($H102*$B$5),(PI()*DV$12^2)/4*(DR102*$W102*1000)/($G102*$B$5)),
IF($D102="Pénétro.",
IF(OR($E102=4,$E102=1,$E102=5),(PI()*DV$12^2)/4*(DR102*$W102*1000)/($H102*$B$5),(PI()*DV$12^2)/4*(DR102*$W102*1000)/($G102*$B$5)))),
IF($D102="Pressio.",
IF($E102=3,(PI()*DV$12^2)/4*(DR102*$W102*1000)/($H102*$B$5),(PI()*DV$12^2)/4*(DR102*$W102*1000)/($G102*$B$5)),
IF($D102="Pénétro.",
IF($E102=4,(PI()*DV$12^2)/4*(DR102*$W102*1000)/($H102*$B$5),(PI()*DV$12^2)/4*(DR102*$W102*1000)/($G102*$B$5))))))/10</f>
        <v>#N/A</v>
      </c>
      <c r="DW102" s="102" t="e">
        <f>(VLOOKUP($B$3,'Coeff EC7'!$T$39:$X$59,2,0)*DU102+VLOOKUP($B$3,'Coeff EC7'!$T$65:$X$85,2,0)*Model0.1C!DV102)/1.1</f>
        <v>#N/A</v>
      </c>
      <c r="DX102" s="102" t="e">
        <f>(VLOOKUP($B$3,'Coeff EC7'!$T$39:$X$59,3,0)*DU102+VLOOKUP($B$3,'Coeff EC7'!$T$65:$X$85,3,0)*Model0.1C!DV102)/0.9</f>
        <v>#N/A</v>
      </c>
      <c r="DY102" s="102" t="e">
        <f t="shared" si="190"/>
        <v>#N/A</v>
      </c>
      <c r="DZ102" s="102" t="e">
        <f t="shared" si="191"/>
        <v>#N/A</v>
      </c>
      <c r="EA102" s="414" t="e">
        <f>IF(EA101=0,0,IF(AND(DW102&gt;charge_ELS_quasi,DX102&gt;Charge_ELS_freq,DY102&gt;charge_ELU,DZ102&gt;charge_ELA,$B102&gt;NDC!$H$22-0.1+MIN(3*$EA$12,1.5)),0,1))</f>
        <v>#N/A</v>
      </c>
      <c r="EB102" s="86" t="b">
        <f t="shared" si="159"/>
        <v>0</v>
      </c>
      <c r="EC102" s="418">
        <f t="shared" si="160"/>
        <v>0.51</v>
      </c>
      <c r="ED102" s="86">
        <f t="shared" si="161"/>
        <v>0.51</v>
      </c>
      <c r="EE102" s="30" t="e">
        <f t="shared" ca="1" si="192"/>
        <v>#DIV/0!</v>
      </c>
      <c r="EF102" s="85" t="e">
        <f ca="1">IF(DL102&lt;=Hypothèses!$V$7,Hypothèses!$W$7,IF(DL102&lt;=Hypothèses!$V$8,Hypothèses!$W$8,IF(DL102&lt;=Hypothèses!$V$9,Hypothèses!$W$9,IF(DL102&lt;=Hypothèses!$V$10,Hypothèses!$W$10,IF(DL102&lt;=Hypothèses!$V$11,Hypothèses!$W$11,IF(DL102&lt;=Hypothèses!$V$12,Hypothèses!$W$12,IF(DL102&lt;=Hypothèses!$V$13,Hypothèses!$W$13,IF(DL102&lt;=Hypothèses!$V$14,Hypothèses!$W$14,IF(DL102&lt;=Hypothèses!$V$15,Hypothèses!$W$15,IF(DL102&lt;=Hypothèses!$V$16,Hypothèses!$W$16,IF(DL102&lt;=Hypothèses!$V$17,Hypothèses!$W$17,IF(DL102&lt;=Hypothèses!$V$18,Hypothèses!$W$18,""))))))))))))</f>
        <v>#DIV/0!</v>
      </c>
      <c r="EG102" s="87" t="e">
        <f t="shared" ca="1" si="222"/>
        <v>#DIV/0!</v>
      </c>
      <c r="EH102" s="88" t="e">
        <f ca="1">IF(DL102&lt;=Hypothèses!$V$7,Hypothèses!$X$7,IF(DL102&lt;=Hypothèses!$V$8,Hypothèses!$X$8,IF(DL102&lt;=Hypothèses!$V$9,Hypothèses!$X$9,IF(DL102&lt;=Hypothèses!$V$10,Hypothèses!$X$10,IF(DL102&lt;=Hypothèses!$V$11,Hypothèses!$X$11,IF(DL102&lt;=Hypothèses!$V$12,Hypothèses!$X$12,IF(DL102&lt;=Hypothèses!$V$13,Hypothèses!$X$13,IF(DL102&lt;=Hypothèses!$V$14,Hypothèses!$X$14,IF(DL102&lt;=Hypothèses!$V$15,Hypothèses!$X$15,IF(DL102&lt;=Hypothèses!$V$16,Hypothèses!$X$16,IF(DL102&lt;=Hypothèses!$U$17,Hypothèses!$W$17,IF(DL102&lt;=Hypothèses!$U$18,Hypothèses!$W$18,""))))))))))))</f>
        <v>#DIV/0!</v>
      </c>
      <c r="EI102" s="95" t="e">
        <f t="shared" ca="1" si="193"/>
        <v>#DIV/0!</v>
      </c>
      <c r="EJ102" s="101" t="e">
        <f t="shared" si="229"/>
        <v>#N/A</v>
      </c>
      <c r="EK102" s="91" t="e">
        <f t="shared" si="162"/>
        <v>#N/A</v>
      </c>
      <c r="EL102" s="30" t="e">
        <f t="shared" si="212"/>
        <v>#N/A</v>
      </c>
      <c r="EM102" s="30" t="e">
        <f t="shared" si="213"/>
        <v>#N/A</v>
      </c>
      <c r="EN102" s="31" t="e">
        <f>IF(OR(Hypothèses!$B$4=17,Hypothèses!$B$4=18,Hypothèses!$B$4=19,Hypothèses!$B$4=20),
IF($D102="Pressio.",
IF(OR($E102=3,$E102=1,$E102=4),EM102,EL102),
IF($D102="Pénétro.",
IF(OR($E102=3,$E102=1,$E102=4),EM102,EL102))),IF($D102="Pressio.",
IF($E102=3,EM102,EL102),
IF($D102="Pénétro.",
IF($E102=4,EM102,EL102))))</f>
        <v>#N/A</v>
      </c>
      <c r="EO102" s="31" t="e">
        <f>(IF(OR(Hypothèses!$B$4=17,Hypothèses!$B$4=18,Hypothèses!$B$4=19,Hypothèses!$B$4=20),
IF($D102="Pressio.",
IF(OR($E102=3,$E102=1,$E102=4),(PI()*EO$12^2)/4*(EK102*$W102*1000)/($H102*$B$5),(PI()*EO$12^2)/4*(EK102*$W102*1000)/($G102*$B$5)),
IF($D102="Pénétro.",
IF(OR($E102=4,$E102=1,$E102=5),(PI()*EO$12^2)/4*(EK102*$W102*1000)/($H102*$B$5),(PI()*EO$12^2)/4*(EK102*$W102*1000)/($G102*$B$5)))),
IF($D102="Pressio.",
IF($E102=3,(PI()*EO$12^2)/4*(EK102*$W102*1000)/($H102*$B$5),(PI()*EO$12^2)/4*(EK102*$W102*1000)/($G102*$B$5)),
IF($D102="Pénétro.",
IF($E102=4,(PI()*EO$12^2)/4*(EK102*$W102*1000)/($H102*$B$5),(PI()*EO$12^2)/4*(EK102*$W102*1000)/($G102*$B$5))))))/10</f>
        <v>#N/A</v>
      </c>
      <c r="EP102" s="102" t="e">
        <f>(VLOOKUP($B$3,'Coeff EC7'!$T$39:$X$59,2,0)*EN102+VLOOKUP($B$3,'Coeff EC7'!$T$65:$X$85,2,0)*Model0.1C!EO102)/1.1</f>
        <v>#N/A</v>
      </c>
      <c r="EQ102" s="102" t="e">
        <f>(VLOOKUP($B$3,'Coeff EC7'!$T$39:$X$59,3,0)*EN102+VLOOKUP($B$3,'Coeff EC7'!$T$65:$X$85,3,0)*Model0.1C!EO102)/0.9</f>
        <v>#N/A</v>
      </c>
      <c r="ER102" s="102" t="e">
        <f t="shared" si="194"/>
        <v>#N/A</v>
      </c>
      <c r="ES102" s="102" t="e">
        <f t="shared" si="195"/>
        <v>#N/A</v>
      </c>
      <c r="ET102" s="414" t="e">
        <f>IF(ET101=0,0,IF(AND(EP102&gt;charge_ELS_quasi,EQ102&gt;Charge_ELS_freq,ER102&gt;charge_ELU,ES102&gt;charge_ELA,$B102&gt;NDC!$H$22-0.1+MIN(3*$ET$12,1.5)),0,1))</f>
        <v>#N/A</v>
      </c>
      <c r="EU102" s="86" t="b">
        <f t="shared" si="163"/>
        <v>0</v>
      </c>
      <c r="EV102" s="86">
        <f t="shared" si="164"/>
        <v>0.61</v>
      </c>
      <c r="EW102" s="86">
        <f t="shared" si="165"/>
        <v>0.61</v>
      </c>
      <c r="EX102" s="30" t="e">
        <f t="shared" ca="1" si="196"/>
        <v>#DIV/0!</v>
      </c>
      <c r="EY102" s="85" t="e">
        <f ca="1">IF(EE102&lt;=Hypothèses!$V$7,Hypothèses!$W$7,IF(EE102&lt;=Hypothèses!$V$8,Hypothèses!$W$8,IF(EE102&lt;=Hypothèses!$V$9,Hypothèses!$W$9,IF(EE102&lt;=Hypothèses!$V$10,Hypothèses!$W$10,IF(EE102&lt;=Hypothèses!$V$11,Hypothèses!$W$11,IF(EE102&lt;=Hypothèses!$V$12,Hypothèses!$W$12,IF(EE102&lt;=Hypothèses!$V$13,Hypothèses!$W$13,IF(EE102&lt;=Hypothèses!$V$14,Hypothèses!$W$14,IF(EE102&lt;=Hypothèses!$V$15,Hypothèses!$W$15,IF(EE102&lt;=Hypothèses!$V$16,Hypothèses!$W$16,IF(EE102&lt;=Hypothèses!$V$17,Hypothèses!$W$17,IF(EE102&lt;=Hypothèses!$V$18,Hypothèses!$W$18,""))))))))))))</f>
        <v>#DIV/0!</v>
      </c>
      <c r="EZ102" s="87" t="e">
        <f t="shared" ca="1" si="223"/>
        <v>#DIV/0!</v>
      </c>
      <c r="FA102" s="88" t="e">
        <f ca="1">IF(EE102&lt;=Hypothèses!$V$7,Hypothèses!$X$7,IF(EE102&lt;=Hypothèses!$V$8,Hypothèses!$X$8,IF(EE102&lt;=Hypothèses!$V$9,Hypothèses!$X$9,IF(EE102&lt;=Hypothèses!$V$10,Hypothèses!$X$10,IF(EE102&lt;=Hypothèses!$V$11,Hypothèses!$X$11,IF(EE102&lt;=Hypothèses!$V$12,Hypothèses!$X$12,IF(EE102&lt;=Hypothèses!$V$13,Hypothèses!$X$13,IF(EE102&lt;=Hypothèses!$V$14,Hypothèses!$X$14,IF(EE102&lt;=Hypothèses!$V$15,Hypothèses!$X$15,IF(EE102&lt;=Hypothèses!$V$16,Hypothèses!$X$16,IF(EE102&lt;=Hypothèses!$U$17,Hypothèses!$W$17,IF(EE102&lt;=Hypothèses!$U$18,Hypothèses!$W$18,""))))))))))))</f>
        <v>#DIV/0!</v>
      </c>
      <c r="FB102" s="95" t="e">
        <f t="shared" ca="1" si="197"/>
        <v>#DIV/0!</v>
      </c>
      <c r="FC102" s="101" t="e">
        <f t="shared" si="230"/>
        <v>#N/A</v>
      </c>
      <c r="FD102" s="91" t="e">
        <f t="shared" si="166"/>
        <v>#N/A</v>
      </c>
      <c r="FE102" s="30" t="e">
        <f t="shared" si="214"/>
        <v>#N/A</v>
      </c>
      <c r="FF102" s="30" t="e">
        <f t="shared" si="215"/>
        <v>#N/A</v>
      </c>
      <c r="FG102" s="31" t="e">
        <f>IF(OR(Hypothèses!$B$4=17,Hypothèses!$B$4=18,Hypothèses!$B$4=19,Hypothèses!$B$4=20),
IF($D102="Pressio.",
IF(OR($E102=3,$E102=1,$E102=4),FF102,FE102),
IF($D102="Pénétro.",
IF(OR($E102=3,$E102=1,$E102=4),FF102,FE102))),IF($D102="Pressio.",
IF($E102=3,FF102,FE102),
IF($D102="Pénétro.",
IF($E102=4,FF102,FE102))))</f>
        <v>#N/A</v>
      </c>
      <c r="FH102" s="31" t="e">
        <f>(IF(OR(Hypothèses!$B$4=17,Hypothèses!$B$4=18,Hypothèses!$B$4=19,Hypothèses!$B$4=20),
IF($D102="Pressio.",
IF(OR($E102=3,$E102=1,$E102=4),(PI()*FH$12^2)/4*(FD102*$W102*1000)/($H102*$B$5),(PI()*FH$12^2)/4*(FD102*$W102*1000)/($G102*$B$5)),
IF($D102="Pénétro.",
IF(OR($E102=4,$E102=1,$E102=5),(PI()*FH$12^2)/4*(FD102*$W102*1000)/($H102*$B$5),(PI()*FH$12^2)/4*(FD102*$W102*1000)/($G102*$B$5)))),
IF($D102="Pressio.",
IF($E102=3,(PI()*FH$12^2)/4*(FD102*$W102*1000)/($H102*$B$5),(PI()*FH$12^2)/4*(FD102*$W102*1000)/($G102*$B$5)),
IF($D102="Pénétro.",
IF($E102=4,(PI()*FH$12^2)/4*(FD102*$W102*1000)/($H102*$B$5),(PI()*FH$12^2)/4*(FD102*$W102*1000)/($G102*$B$5))))))/10</f>
        <v>#N/A</v>
      </c>
      <c r="FI102" s="102" t="e">
        <f>(VLOOKUP($B$3,'Coeff EC7'!$T$39:$X$59,2,0)*FG102+VLOOKUP($B$3,'Coeff EC7'!$T$65:$X$85,2,0)*Model0.1C!FH102)/1.1</f>
        <v>#N/A</v>
      </c>
      <c r="FJ102" s="102" t="e">
        <f>(VLOOKUP($B$3,'Coeff EC7'!$T$39:$X$59,3,0)*FG102+VLOOKUP($B$3,'Coeff EC7'!$T$65:$X$85,3,0)*Model0.1C!FH102)/0.9</f>
        <v>#N/A</v>
      </c>
      <c r="FK102" s="102" t="e">
        <f t="shared" si="198"/>
        <v>#N/A</v>
      </c>
      <c r="FL102" s="102" t="e">
        <f t="shared" si="199"/>
        <v>#N/A</v>
      </c>
      <c r="FM102" s="414" t="e">
        <f>IF(FM101=0,0,IF(AND(FI102&gt;charge_ELS_quasi,FJ102&gt;Charge_ELS_freq,FK102&gt;charge_ELU,FL102&gt;charge_ELA,$B102&gt;NDC!$H$22-0.1+MIN(3*$FM$12,1.5)),0,1))</f>
        <v>#N/A</v>
      </c>
    </row>
    <row r="103" spans="1:169">
      <c r="A103" s="96">
        <f t="shared" si="167"/>
        <v>91.000000000000512</v>
      </c>
      <c r="B103" s="97">
        <v>9</v>
      </c>
      <c r="C103" s="81">
        <f>IF(B103&lt;=Hypothèses!$C$7,Hypothèses!$A$7,IF(B103&lt;=Hypothèses!$C$8,Hypothèses!$A$8,IF(B103&lt;=Hypothèses!$C$9,Hypothèses!$A$9,IF(B103&lt;=Hypothèses!$C$10,Hypothèses!$A$10,IF(B103&lt;=Hypothèses!$C$11,Hypothèses!$A$11,IF(B103&lt;=Hypothèses!$C$12,Hypothèses!$A$12,IF(B103&lt;=Hypothèses!$C$13,Hypothèses!$A$13,IF(B103&lt;=Hypothèses!$C$14,Hypothèses!$A$14,IF(B103&lt;=Hypothèses!$C$15,Hypothèses!$A$15,IF(B103&lt;=Hypothèses!$C$16,Hypothèses!$A$16,IF(B103&lt;=Hypothèses!$C$17,Hypothèses!$A$17,IF(B103&lt;=Hypothèses!$C$18,Hypothèses!$A$18,C102))))))))))))</f>
        <v>11</v>
      </c>
      <c r="D103" s="82" t="str">
        <f>IF(B103&lt;=Hypothèses!$C$7,Hypothèses!$R$7,IF(B103&lt;=Hypothèses!$C$8,Hypothèses!$R$8,IF(B103&lt;=Hypothèses!$C$9,Hypothèses!$R$9,IF(B103&lt;=Hypothèses!$C$10,Hypothèses!$R$10,IF(B103&lt;=Hypothèses!$C$11,Hypothèses!$R$11,IF(B103&lt;=Hypothèses!$C$12,Hypothèses!$R$12,IF(B103&lt;=Hypothèses!$C$13,Hypothèses!$R$13,IF(B103&lt;=Hypothèses!$C$14,Hypothèses!$R$14,IF(B103&lt;=Hypothèses!$C$15,Hypothèses!$R$15,IF(B103&lt;=Hypothèses!$C$16,Hypothèses!$R$16,IF(B103&lt;=Hypothèses!$C$17,Hypothèses!$R$17,IF(B103&lt;=Hypothèses!$C$18,Hypothèses!$R$18,D102))))))))))))</f>
        <v>Pressio.</v>
      </c>
      <c r="E103" s="82" t="e">
        <f>IF(B103&lt;=Hypothèses!$C$7,Hypothèses!$G$7,IF(B103&lt;=Hypothèses!$C$8,Hypothèses!$G$8,IF(B103&lt;=Hypothèses!$C$9,Hypothèses!$G$9,IF(B103&lt;=Hypothèses!$C$10,Hypothèses!$G$10,IF(B103&lt;=Hypothèses!$C$11,Hypothèses!$G$11,IF(B103&lt;=Hypothèses!$C$12,Hypothèses!$G$12,IF(B103&lt;=Hypothèses!$C$13,Hypothèses!$G$13,IF(B103&lt;=Hypothèses!$C$14,Hypothèses!$G$14,IF(B103&lt;=Hypothèses!$C$15,Hypothèses!$G$15,IF(B103&lt;=Hypothèses!$C$16,Hypothèses!$G$16,IF(B103&lt;=Hypothèses!$C$17,Hypothèses!$G$17,IF(B103&lt;=Hypothèses!$C$18,Hypothèses!$G$18,E102))))))))))))</f>
        <v>#N/A</v>
      </c>
      <c r="F103" s="82" t="str">
        <f>IF(B103&lt;=Hypothèses!$C$7,Hypothèses!$F$7,IF(B103&lt;=Hypothèses!$C$8,Hypothèses!$F$8,IF(B103&lt;=Hypothèses!$C$9,Hypothèses!$F$9,IF(B103&lt;=Hypothèses!$C$10,Hypothèses!$F$10,IF(B103&lt;=Hypothèses!$C$11,Hypothèses!$F$11,IF(B103&lt;=Hypothèses!$C$12,Hypothèses!$F$12,IF(B103&lt;=Hypothèses!$C$13,Hypothèses!$F$13,IF(B103&lt;=Hypothèses!$C$14,Hypothèses!$F$14,IF(B103&lt;=Hypothèses!$C$15,Hypothèses!$F$15,IF(B103&lt;=Hypothèses!$C$16,Hypothèses!$F$16,IF(B103&lt;=Hypothèses!$C$17,Hypothèses!$F$17,IF(B103&lt;=Hypothèses!$C$18,Hypothèses!$F$18,F102))))))))))))</f>
        <v/>
      </c>
      <c r="G103" s="91">
        <f t="array" ref="G103">INDEX('Coeff EC7'!$U$7:$X$27,
MATCH(Model0.1C!$B$3,'Coeff EC7'!$T$7:$T$27,0),
MATCH(Model0.1C!$D103&amp;Model0.1C!$B$4,
'Coeff EC7'!$U$6:$X$6&amp;
'Coeff EC7'!$U$5:$X$5,0))</f>
        <v>1.1499999999999999</v>
      </c>
      <c r="H103" s="91">
        <f t="array" ref="H103">INDEX('Coeff EC7'!$Y$7:$AB$27,
MATCH(Model0.1C!$B$3,'Coeff EC7'!$T$7:$T$27,0),
MATCH(Model0.1C!$D103&amp;Model0.1C!$B$4,
'Coeff EC7'!$Y$6:$AB$6&amp;
'Coeff EC7'!$Y$5:$AB$5,0))</f>
        <v>1.4</v>
      </c>
      <c r="I103" s="83" t="e">
        <f>IF(B103&lt;=Hypothèses!$C$7,Hypothèses!$P$7,IF(B103&lt;=Hypothèses!$C$8,Hypothèses!$P$8,IF(B103&lt;=Hypothèses!$C$9,Hypothèses!$P$9,IF(B103&lt;=Hypothèses!$C$10,Hypothèses!$P$10,IF(B103&lt;=Hypothèses!$C$11,Hypothèses!$P$11,IF(B103&lt;=Hypothèses!$C$12,Hypothèses!$P$12,IF(B103&lt;=Hypothèses!$C$13,Hypothèses!$P$13,IF(B103&lt;=Hypothèses!$C$14,Hypothèses!$P$14,IF(B103&lt;=Hypothèses!$C$15,Hypothèses!$P$15,IF(B103&lt;=Hypothèses!$C$16,Hypothèses!$P$16,IF(B103&lt;=Hypothèses!$C$17,Hypothèses!$P$17,IF(B103&lt;=Hypothèses!$C$18,Hypothèses!$P$18,I102))))))))))))</f>
        <v>#N/A</v>
      </c>
      <c r="J103" s="91" t="e">
        <f t="array" ref="J103">INDEX('Coeff EC7'!$D$33:$Q$33,1,MATCH(D103&amp;E103,'Coeff EC7'!$D$31:$Q$31&amp;'Coeff EC7'!$D$32:$Q$32,0))</f>
        <v>#N/A</v>
      </c>
      <c r="K103" s="91" t="e">
        <f t="array" ref="K103">INDEX('Coeff EC7'!$D$34:$Q$34,1,MATCH(D103&amp;E103,'Coeff EC7'!$D$31:$Q$31&amp;'Coeff EC7'!$D$32:$Q$32,0))</f>
        <v>#N/A</v>
      </c>
      <c r="L103" s="91" t="e">
        <f t="array" ref="L103">INDEX('Coeff EC7'!$D$35:$Q$35,1,MATCH(D103&amp;E103,'Coeff EC7'!$D$31:$Q$31&amp;'Coeff EC7'!$D$32:$Q$32,0))</f>
        <v>#N/A</v>
      </c>
      <c r="M103" s="98" t="e">
        <f t="shared" si="131"/>
        <v>#N/A</v>
      </c>
      <c r="N103" s="99" t="e">
        <f t="array" ref="N103">INDEX('Coeff EC7'!$D$7:$Q$27,MATCH($B$3,'Coeff EC7'!$C$7:$C$27,0),MATCH(D103&amp;E103,'Coeff EC7'!$D$5:$Q$5&amp;'Coeff EC7'!$D$6:$Q$6,0))</f>
        <v>#N/A</v>
      </c>
      <c r="O103" s="99" t="e">
        <f t="array" ref="O103">INDEX('Coeff EC7'!$D$41:$Q$61,MATCH($B$3,'Coeff EC7'!$C$41:$C$61,0),MATCH(D103&amp;E103,'Coeff EC7'!$D$39:$Q$39&amp;'Coeff EC7'!$D$40:$Q$40,0))</f>
        <v>#N/A</v>
      </c>
      <c r="P103" s="30" t="e">
        <f t="shared" si="168"/>
        <v>#N/A</v>
      </c>
      <c r="Q103" s="100" t="e">
        <f t="shared" si="133"/>
        <v>#N/A</v>
      </c>
      <c r="R103" s="86" t="b">
        <f t="shared" si="134"/>
        <v>0</v>
      </c>
      <c r="S103" s="86">
        <f t="shared" si="132"/>
        <v>0.5</v>
      </c>
      <c r="T103" s="86">
        <f t="shared" si="135"/>
        <v>0.5</v>
      </c>
      <c r="U103" s="30" t="e">
        <f t="shared" ca="1" si="169"/>
        <v>#DIV/0!</v>
      </c>
      <c r="V103" s="85" t="str">
        <f>IF(B103&lt;=Hypothèses!$V$7,Hypothèses!$W$7,IF(B103&lt;=Hypothèses!$V$8,Hypothèses!$W$8,IF(B103&lt;=Hypothèses!$V$9,Hypothèses!$W$9,IF(B103&lt;=Hypothèses!$V$10,Hypothèses!$W$10,IF(B103&lt;=Hypothèses!$V$11,Hypothèses!$W$11,IF(B103&lt;=Hypothèses!$V$12,Hypothèses!$W$12,IF(B103&lt;=Hypothèses!$V$13,Hypothèses!$W$13,IF(B103&lt;=Hypothèses!$V$14,Hypothèses!$W$14,IF(B103&lt;=Hypothèses!$V$15,Hypothèses!$W$15,IF(B103&lt;=Hypothèses!$V$16,Hypothèses!$W$16,IF(B103&lt;=Hypothèses!$V$17,Hypothèses!$W$17,IF(B103&lt;=Hypothèses!$V$18,Hypothèses!$W$18,""))))))))))))</f>
        <v/>
      </c>
      <c r="W103" s="87" t="e">
        <f t="shared" ca="1" si="216"/>
        <v>#DIV/0!</v>
      </c>
      <c r="X103" s="88" t="str">
        <f>IF(B103&lt;=Hypothèses!$V$7,Hypothèses!$X$7,IF(B103&lt;=Hypothèses!$V$8,Hypothèses!$X$8,IF(B103&lt;=Hypothèses!$V$9,Hypothèses!$X$9,IF(B103&lt;=Hypothèses!$V$10,Hypothèses!$X$10,IF(B103&lt;=Hypothèses!$V$11,Hypothèses!$X$11,IF(B103&lt;=Hypothèses!$V$12,Hypothèses!$X$12,IF(B103&lt;=Hypothèses!$V$13,Hypothèses!$X$13,IF(B103&lt;=Hypothèses!$V$14,Hypothèses!$X$14,IF(B103&lt;=Hypothèses!$V$15,Hypothèses!$X$15,IF(B103&lt;=Hypothèses!$V$16,Hypothèses!$X$16,IF(B103&lt;=Hypothèses!$U$17,Hypothèses!$W$17,IF(B103&lt;=Hypothèses!$U$18,Hypothèses!$W$18,""))))))))))))</f>
        <v/>
      </c>
      <c r="Y103" s="95" t="e">
        <f t="shared" ca="1" si="136"/>
        <v>#DIV/0!</v>
      </c>
      <c r="Z103" s="101" t="e">
        <f t="shared" si="137"/>
        <v>#N/A</v>
      </c>
      <c r="AA103" s="91" t="e">
        <f t="shared" si="138"/>
        <v>#N/A</v>
      </c>
      <c r="AB103" s="30" t="e">
        <f t="shared" si="200"/>
        <v>#N/A</v>
      </c>
      <c r="AC103" s="30" t="e">
        <f t="shared" si="201"/>
        <v>#N/A</v>
      </c>
      <c r="AD103" s="31" t="e">
        <f>IF(OR(Hypothèses!$B$4=17,Hypothèses!$B$4=18,Hypothèses!$B$4=19,Hypothèses!$B$4=20),
IF($D103="Pressio.",
IF(OR($E103=3,$E103=1,$E103=4),AC103,AB103),
IF($D103="Pénétro.",
IF(OR($E103=3,$E103=1,$E103=4),AC103,AB103))),IF($D103="Pressio.",
IF($E103=3,AC103,AB103),
IF($D103="Pénétro.",
IF($E103=4,AC103,AB103))))</f>
        <v>#N/A</v>
      </c>
      <c r="AE103" s="31" t="e">
        <f>(IF(OR(Hypothèses!$B$4=17,Hypothèses!$B$4=18,Hypothèses!$B$4=19,Hypothèses!$B$4=20),
IF($D103="Pressio.",
IF(OR($E103=3,$E103=1,$E103=4),(PI()*AE$12^2)/4*(AA103*$W103*1000)/($H103*$B$5),(PI()*AE$12^2)/4*(AA103*$W103*1000)/($G103*$B$5)),
IF($D103="Pénétro.",
IF(OR($E103=4,$E103=1,$E103=5),(PI()*AE$12^2)/4*(AA103*$W103*1000)/($H103*$B$5),(PI()*AE$12^2)/4*(AA103*$W103*1000)/($G103*$B$5)))),
IF($D103="Pressio.",
IF($E103=3,(PI()*AE$12^2)/4*(AA103*$W103*1000)/($H103*$B$5),(PI()*AE$12^2)/4*(AA103*$W103*1000)/($G103*$B$5)),
IF($D103="Pénétro.",
IF($E103=4,(PI()*AE$12^2)/4*(AA103*$W103*1000)/($H103*$B$5),(PI()*AE$12^2)/4*(AA103*$W103*1000)/($G103*$B$5))))))/10</f>
        <v>#N/A</v>
      </c>
      <c r="AF103" s="102" t="e">
        <f>(VLOOKUP($B$3,'Coeff EC7'!$T$39:$X$59,2,0)*AD103+VLOOKUP($B$3,'Coeff EC7'!$T$65:$X$85,2,0)*Model0.1C!AE103)/1.1</f>
        <v>#N/A</v>
      </c>
      <c r="AG103" s="102" t="e">
        <f>(VLOOKUP($B$3,'Coeff EC7'!$T$39:$X$59,3,0)*AD103+VLOOKUP($B$3,'Coeff EC7'!$T$65:$X$85,3,0)*Model0.1C!AE103)/0.9</f>
        <v>#N/A</v>
      </c>
      <c r="AH103" s="102" t="e">
        <f t="shared" si="139"/>
        <v>#N/A</v>
      </c>
      <c r="AI103" s="102" t="e">
        <f t="shared" si="140"/>
        <v>#N/A</v>
      </c>
      <c r="AJ103" s="414" t="e">
        <f>IF(AJ102=0,0,IF(AND(AF103&gt;charge_ELS_quasi,AG103&gt;Charge_ELS_freq,AH103&gt;charge_ELU,AI103&gt;charge_ELA,$B103&gt;NDC!$H$22-0.1+MIN(3*$AJ$12,1.5)),0,1))</f>
        <v>#N/A</v>
      </c>
      <c r="AK103" s="86" t="b">
        <f t="shared" si="141"/>
        <v>0</v>
      </c>
      <c r="AL103" s="86">
        <f t="shared" si="170"/>
        <v>0.5</v>
      </c>
      <c r="AM103" s="86">
        <f t="shared" si="142"/>
        <v>0.5</v>
      </c>
      <c r="AN103" s="30" t="e">
        <f t="shared" ca="1" si="171"/>
        <v>#DIV/0!</v>
      </c>
      <c r="AO103" s="85" t="e">
        <f ca="1">IF(U103&lt;=Hypothèses!$V$7,Hypothèses!$W$7,IF(U103&lt;=Hypothèses!$V$8,Hypothèses!$W$8,IF(U103&lt;=Hypothèses!$V$9,Hypothèses!$W$9,IF(U103&lt;=Hypothèses!$V$10,Hypothèses!$W$10,IF(U103&lt;=Hypothèses!$V$11,Hypothèses!$W$11,IF(U103&lt;=Hypothèses!$V$12,Hypothèses!$W$12,IF(U103&lt;=Hypothèses!$V$13,Hypothèses!$W$13,IF(U103&lt;=Hypothèses!$V$14,Hypothèses!$W$14,IF(U103&lt;=Hypothèses!$V$15,Hypothèses!$W$15,IF(U103&lt;=Hypothèses!$V$16,Hypothèses!$W$16,IF(U103&lt;=Hypothèses!$V$17,Hypothèses!$W$17,IF(U103&lt;=Hypothèses!$V$18,Hypothèses!$W$18,""))))))))))))</f>
        <v>#DIV/0!</v>
      </c>
      <c r="AP103" s="87" t="e">
        <f t="shared" ca="1" si="217"/>
        <v>#DIV/0!</v>
      </c>
      <c r="AQ103" s="88" t="e">
        <f ca="1">IF(U103&lt;=Hypothèses!$V$7,Hypothèses!$X$7,IF(U103&lt;=Hypothèses!$V$8,Hypothèses!$X$8,IF(U103&lt;=Hypothèses!$V$9,Hypothèses!$X$9,IF(U103&lt;=Hypothèses!$V$10,Hypothèses!$X$10,IF(U103&lt;=Hypothèses!$V$11,Hypothèses!$X$11,IF(U103&lt;=Hypothèses!$V$12,Hypothèses!$X$12,IF(U103&lt;=Hypothèses!$V$13,Hypothèses!$X$13,IF(U103&lt;=Hypothèses!$V$14,Hypothèses!$X$14,IF(U103&lt;=Hypothèses!$V$15,Hypothèses!$X$15,IF(U103&lt;=Hypothèses!$V$16,Hypothèses!$X$16,IF(U103&lt;=Hypothèses!$U$17,Hypothèses!$W$17,IF(U103&lt;=Hypothèses!$U$18,Hypothèses!$W$18,""))))))))))))</f>
        <v>#DIV/0!</v>
      </c>
      <c r="AR103" s="95" t="e">
        <f t="shared" ca="1" si="172"/>
        <v>#DIV/0!</v>
      </c>
      <c r="AS103" s="101" t="e">
        <f t="shared" si="224"/>
        <v>#N/A</v>
      </c>
      <c r="AT103" s="91" t="e">
        <f t="shared" si="143"/>
        <v>#N/A</v>
      </c>
      <c r="AU103" s="30" t="e">
        <f t="shared" si="202"/>
        <v>#N/A</v>
      </c>
      <c r="AV103" s="30" t="e">
        <f t="shared" si="203"/>
        <v>#N/A</v>
      </c>
      <c r="AW103" s="31" t="e">
        <f>IF(OR(Hypothèses!$B$4=17,Hypothèses!$B$4=18,Hypothèses!$B$4=19,Hypothèses!$B$4=20),
IF($D103="Pressio.",
IF(OR($E103=3,$E103=1,$E103=4),AV103,AU103),
IF($D103="Pénétro.",
IF(OR($E103=3,$E103=1,$E103=4),AV103,AU103))),IF($D103="Pressio.",
IF($E103=3,AV103,AU103),
IF($D103="Pénétro.",
IF($E103=4,AV103,AU103))))</f>
        <v>#N/A</v>
      </c>
      <c r="AX103" s="31" t="e">
        <f>(IF(OR(Hypothèses!$B$4=17,Hypothèses!$B$4=18,Hypothèses!$B$4=19,Hypothèses!$B$4=20),
IF($D103="Pressio.",
IF(OR($E103=3,$E103=1,$E103=4),(PI()*AX$12^2)/4*(AT103*$W103*1000)/($H103*$B$5),(PI()*AX$12^2)/4*(AT103*$W103*1000)/($G103*$B$5)),
IF($D103="Pénétro.",
IF(OR($E103=4,$E103=1,$E103=5),(PI()*AX$12^2)/4*(AT103*$W103*1000)/($H103*$B$5),(PI()*AX$12^2)/4*(AT103*$W103*1000)/($G103*$B$5)))),
IF($D103="Pressio.",
IF($E103=3,(PI()*AX$12^2)/4*(AT103*$W103*1000)/($H103*$B$5),(PI()*AX$12^2)/4*(AT103*$W103*1000)/($G103*$B$5)),
IF($D103="Pénétro.",
IF($E103=4,(PI()*AX$12^2)/4*(AT103*$W103*1000)/($H103*$B$5),(PI()*AX$12^2)/4*(AT103*$W103*1000)/($G103*$B$5))))))/10</f>
        <v>#N/A</v>
      </c>
      <c r="AY103" s="102" t="e">
        <f>(VLOOKUP($B$3,'Coeff EC7'!$T$39:$X$59,2,0)*AW103+VLOOKUP($B$3,'Coeff EC7'!$T$65:$X$85,2,0)*Model0.1C!AX103)/1.1</f>
        <v>#N/A</v>
      </c>
      <c r="AZ103" s="102" t="e">
        <f>(VLOOKUP($B$3,'Coeff EC7'!$T$39:$X$59,3,0)*AW103+VLOOKUP($B$3,'Coeff EC7'!$T$65:$X$85,3,0)*Model0.1C!AX103)/0.9</f>
        <v>#N/A</v>
      </c>
      <c r="BA103" s="102" t="e">
        <f t="shared" si="173"/>
        <v>#N/A</v>
      </c>
      <c r="BB103" s="102" t="e">
        <f t="shared" si="174"/>
        <v>#N/A</v>
      </c>
      <c r="BC103" s="414" t="e">
        <f>IF(BC102=0,0,IF(AND(AY103&gt;charge_ELS_quasi,AZ103&gt;Charge_ELS_freq,BA103&gt;charge_ELU,BB103&gt;charge_ELA,$B103&gt;NDC!$H$22-0.1+MIN(3*$BC$12,1.5)),0,1))</f>
        <v>#N/A</v>
      </c>
      <c r="BD103" s="86" t="b">
        <f t="shared" si="144"/>
        <v>0</v>
      </c>
      <c r="BE103" s="86">
        <f t="shared" si="175"/>
        <v>0.5</v>
      </c>
      <c r="BF103" s="86">
        <f t="shared" si="145"/>
        <v>0.5</v>
      </c>
      <c r="BG103" s="30" t="e">
        <f t="shared" ca="1" si="176"/>
        <v>#DIV/0!</v>
      </c>
      <c r="BH103" s="85" t="e">
        <f ca="1">IF(AN103&lt;=Hypothèses!$V$7,Hypothèses!$W$7,IF(AN103&lt;=Hypothèses!$V$8,Hypothèses!$W$8,IF(AN103&lt;=Hypothèses!$V$9,Hypothèses!$W$9,IF(AN103&lt;=Hypothèses!$V$10,Hypothèses!$W$10,IF(AN103&lt;=Hypothèses!$V$11,Hypothèses!$W$11,IF(AN103&lt;=Hypothèses!$V$12,Hypothèses!$W$12,IF(AN103&lt;=Hypothèses!$V$13,Hypothèses!$W$13,IF(AN103&lt;=Hypothèses!$V$14,Hypothèses!$W$14,IF(AN103&lt;=Hypothèses!$V$15,Hypothèses!$W$15,IF(AN103&lt;=Hypothèses!$V$16,Hypothèses!$W$16,IF(AN103&lt;=Hypothèses!$V$17,Hypothèses!$W$17,IF(AN103&lt;=Hypothèses!$V$18,Hypothèses!$W$18,""))))))))))))</f>
        <v>#DIV/0!</v>
      </c>
      <c r="BI103" s="87" t="e">
        <f t="shared" ca="1" si="218"/>
        <v>#DIV/0!</v>
      </c>
      <c r="BJ103" s="88" t="e">
        <f ca="1">IF(AN103&lt;=Hypothèses!$V$7,Hypothèses!$X$7,IF(AN103&lt;=Hypothèses!$V$8,Hypothèses!$X$8,IF(AN103&lt;=Hypothèses!$V$9,Hypothèses!$X$9,IF(AN103&lt;=Hypothèses!$V$10,Hypothèses!$X$10,IF(AN103&lt;=Hypothèses!$V$11,Hypothèses!$X$11,IF(AN103&lt;=Hypothèses!$V$12,Hypothèses!$X$12,IF(AN103&lt;=Hypothèses!$V$13,Hypothèses!$X$13,IF(AN103&lt;=Hypothèses!$V$14,Hypothèses!$X$14,IF(AN103&lt;=Hypothèses!$V$15,Hypothèses!$X$15,IF(AN103&lt;=Hypothèses!$V$16,Hypothèses!$X$16,IF(AN103&lt;=Hypothèses!$U$17,Hypothèses!$W$17,IF(AN103&lt;=Hypothèses!$U$18,Hypothèses!$W$18,""))))))))))))</f>
        <v>#DIV/0!</v>
      </c>
      <c r="BK103" s="95" t="e">
        <f t="shared" ca="1" si="177"/>
        <v>#DIV/0!</v>
      </c>
      <c r="BL103" s="101" t="e">
        <f t="shared" si="225"/>
        <v>#N/A</v>
      </c>
      <c r="BM103" s="91" t="e">
        <f t="shared" si="146"/>
        <v>#N/A</v>
      </c>
      <c r="BN103" s="30" t="e">
        <f t="shared" si="204"/>
        <v>#N/A</v>
      </c>
      <c r="BO103" s="30" t="e">
        <f t="shared" si="205"/>
        <v>#N/A</v>
      </c>
      <c r="BP103" s="31" t="e">
        <f>IF(OR(Hypothèses!$B$4=17,Hypothèses!$B$4=18,Hypothèses!$B$4=19,Hypothèses!$B$4=20),
IF($D103="Pressio.",
IF(OR($E103=3,$E103=1,$E103=4),BO103,BN103),
IF($D103="Pénétro.",
IF(OR($E103=3,$E103=1,$E103=4),BO103,BN103))),IF($D103="Pressio.",
IF($E103=3,BO103,BN103),
IF($D103="Pénétro.",
IF($E103=4,BO103,BN103))))</f>
        <v>#N/A</v>
      </c>
      <c r="BQ103" s="31" t="e">
        <f>(IF(OR(Hypothèses!$B$4=17,Hypothèses!$B$4=18,Hypothèses!$B$4=19,Hypothèses!$B$4=20),
IF($D103="Pressio.",
IF(OR($E103=3,$E103=1,$E103=4),(PI()*BQ$12^2)/4*(BM103*$W103*1000)/($H103*$B$5),(PI()*BQ$12^2)/4*(BM103*$W103*1000)/($G103*$B$5)),
IF($D103="Pénétro.",
IF(OR($E103=4,$E103=1,$E103=5),(PI()*BQ$12^2)/4*(BM103*$W103*1000)/($H103*$B$5),(PI()*BQ$12^2)/4*(BM103*$W103*1000)/($G103*$B$5)))),
IF($D103="Pressio.",
IF($E103=3,(PI()*BQ$12^2)/4*(BM103*$W103*1000)/($H103*$B$5),(PI()*BQ$12^2)/4*(BM103*$W103*1000)/($G103*$B$5)),
IF($D103="Pénétro.",
IF($E103=4,(PI()*BQ$12^2)/4*(BM103*$W103*1000)/($H103*$B$5),(PI()*BQ$12^2)/4*(BM103*$W103*1000)/($G103*$B$5))))))/10</f>
        <v>#N/A</v>
      </c>
      <c r="BR103" s="102" t="e">
        <f>(VLOOKUP($B$3,'Coeff EC7'!$T$39:$X$59,2,0)*BP103+VLOOKUP($B$3,'Coeff EC7'!$T$65:$X$85,2,0)*Model0.1C!BQ103)/1.1</f>
        <v>#N/A</v>
      </c>
      <c r="BS103" s="102" t="e">
        <f>(VLOOKUP($B$3,'Coeff EC7'!$T$39:$X$59,3,0)*BP103+VLOOKUP($B$3,'Coeff EC7'!$T$65:$X$85,3,0)*Model0.1C!BQ103)/0.9</f>
        <v>#N/A</v>
      </c>
      <c r="BT103" s="102" t="e">
        <f t="shared" si="178"/>
        <v>#N/A</v>
      </c>
      <c r="BU103" s="102" t="e">
        <f t="shared" si="179"/>
        <v>#N/A</v>
      </c>
      <c r="BV103" s="414" t="e">
        <f>IF(BV102=0,0,IF(AND(BR103&gt;charge_ELS_quasi,BS103&gt;Charge_ELS_freq,BT103&gt;charge_ELU,BU103&gt;charge_ELA,$B103&gt;NDC!$H$22-0.1+MIN(3*$BV$12,1.5)),0,1))</f>
        <v>#N/A</v>
      </c>
      <c r="BW103" s="86" t="b">
        <f t="shared" si="147"/>
        <v>0</v>
      </c>
      <c r="BX103" s="86">
        <f t="shared" si="148"/>
        <v>0.5</v>
      </c>
      <c r="BY103" s="86">
        <f t="shared" si="149"/>
        <v>0.5</v>
      </c>
      <c r="BZ103" s="30" t="e">
        <f t="shared" ca="1" si="180"/>
        <v>#DIV/0!</v>
      </c>
      <c r="CA103" s="85" t="e">
        <f ca="1">IF(BG103&lt;=Hypothèses!$V$7,Hypothèses!$W$7,IF(BG103&lt;=Hypothèses!$V$8,Hypothèses!$W$8,IF(BG103&lt;=Hypothèses!$V$9,Hypothèses!$W$9,IF(BG103&lt;=Hypothèses!$V$10,Hypothèses!$W$10,IF(BG103&lt;=Hypothèses!$V$11,Hypothèses!$W$11,IF(BG103&lt;=Hypothèses!$V$12,Hypothèses!$W$12,IF(BG103&lt;=Hypothèses!$V$13,Hypothèses!$W$13,IF(BG103&lt;=Hypothèses!$V$14,Hypothèses!$W$14,IF(BG103&lt;=Hypothèses!$V$15,Hypothèses!$W$15,IF(BG103&lt;=Hypothèses!$V$16,Hypothèses!$W$16,IF(BG103&lt;=Hypothèses!$V$17,Hypothèses!$W$17,IF(BG103&lt;=Hypothèses!$V$18,Hypothèses!$W$18,""))))))))))))</f>
        <v>#DIV/0!</v>
      </c>
      <c r="CB103" s="87" t="e">
        <f t="shared" ca="1" si="219"/>
        <v>#DIV/0!</v>
      </c>
      <c r="CC103" s="88" t="e">
        <f ca="1">IF(BG103&lt;=Hypothèses!$V$7,Hypothèses!$X$7,IF(BG103&lt;=Hypothèses!$V$8,Hypothèses!$X$8,IF(BG103&lt;=Hypothèses!$V$9,Hypothèses!$X$9,IF(BG103&lt;=Hypothèses!$V$10,Hypothèses!$X$10,IF(BG103&lt;=Hypothèses!$V$11,Hypothèses!$X$11,IF(BG103&lt;=Hypothèses!$V$12,Hypothèses!$X$12,IF(BG103&lt;=Hypothèses!$V$13,Hypothèses!$X$13,IF(BG103&lt;=Hypothèses!$V$14,Hypothèses!$X$14,IF(BG103&lt;=Hypothèses!$V$15,Hypothèses!$X$15,IF(BG103&lt;=Hypothèses!$V$16,Hypothèses!$X$16,IF(BG103&lt;=Hypothèses!$U$17,Hypothèses!$W$17,IF(BG103&lt;=Hypothèses!$U$18,Hypothèses!$W$18,""))))))))))))</f>
        <v>#DIV/0!</v>
      </c>
      <c r="CD103" s="95" t="e">
        <f t="shared" ca="1" si="181"/>
        <v>#DIV/0!</v>
      </c>
      <c r="CE103" s="101" t="e">
        <f t="shared" si="226"/>
        <v>#N/A</v>
      </c>
      <c r="CF103" s="91" t="e">
        <f t="shared" si="150"/>
        <v>#N/A</v>
      </c>
      <c r="CG103" s="30" t="e">
        <f t="shared" si="206"/>
        <v>#N/A</v>
      </c>
      <c r="CH103" s="30" t="e">
        <f t="shared" si="207"/>
        <v>#N/A</v>
      </c>
      <c r="CI103" s="31" t="e">
        <f>IF(OR(Hypothèses!$B$4=17,Hypothèses!$B$4=18,Hypothèses!$B$4=19,Hypothèses!$B$4=20),
IF($D103="Pressio.",
IF(OR($E103=3,$E103=1,$E103=4),CH103,CG103),
IF($D103="Pénétro.",
IF(OR($E103=3,$E103=1,$E103=4),CH103,CG103))),IF($D103="Pressio.",
IF($E103=3,CH103,CG103),
IF($D103="Pénétro.",
IF($E103=4,CH103,CG103))))</f>
        <v>#N/A</v>
      </c>
      <c r="CJ103" s="31" t="e">
        <f>(IF(OR(Hypothèses!$B$4=17,Hypothèses!$B$4=18,Hypothèses!$B$4=19,Hypothèses!$B$4=20),
IF($D103="Pressio.",
IF(OR($E103=3,$E103=1,$E103=4),(PI()*CJ$12^2)/4*(CF103*$W103*1000)/($H103*$B$5),(PI()*CJ$12^2)/4*(CF103*$W103*1000)/($G103*$B$5)),
IF($D103="Pénétro.",
IF(OR($E103=4,$E103=1,$E103=5),(PI()*CJ$12^2)/4*(CF103*$W103*1000)/($H103*$B$5),(PI()*CJ$12^2)/4*(CF103*$W103*1000)/($G103*$B$5)))),
IF($D103="Pressio.",
IF($E103=3,(PI()*CJ$12^2)/4*(CF103*$W103*1000)/($H103*$B$5),(PI()*CJ$12^2)/4*(CF103*$W103*1000)/($G103*$B$5)),
IF($D103="Pénétro.",
IF($E103=4,(PI()*CJ$12^2)/4*(CF103*$W103*1000)/($H103*$B$5),(PI()*CJ$12^2)/4*(CF103*$W103*1000)/($G103*$B$5))))))/10</f>
        <v>#N/A</v>
      </c>
      <c r="CK103" s="102" t="e">
        <f>(VLOOKUP($B$3,'Coeff EC7'!$T$39:$X$59,2,0)*CI103+VLOOKUP($B$3,'Coeff EC7'!$T$65:$X$85,2,0)*Model0.1C!CJ103)/1.1</f>
        <v>#N/A</v>
      </c>
      <c r="CL103" s="102" t="e">
        <f>(VLOOKUP($B$3,'Coeff EC7'!$T$39:$X$59,3,0)*CI103+VLOOKUP($B$3,'Coeff EC7'!$T$65:$X$85,3,0)*Model0.1C!CJ103)/0.9</f>
        <v>#N/A</v>
      </c>
      <c r="CM103" s="102" t="e">
        <f t="shared" si="182"/>
        <v>#N/A</v>
      </c>
      <c r="CN103" s="102" t="e">
        <f t="shared" si="183"/>
        <v>#N/A</v>
      </c>
      <c r="CO103" s="414" t="e">
        <f>IF(CO102=0,0,IF(AND(CK103&gt;charge_ELS_quasi,CL103&gt;Charge_ELS_freq,CM103&gt;charge_ELU,CN103&gt;charge_ELA,$B103&gt;NDC!$H$22-0.1+MIN(3*$CO$12,1.5)),0,1))</f>
        <v>#N/A</v>
      </c>
      <c r="CP103" s="86" t="b">
        <f t="shared" si="151"/>
        <v>0</v>
      </c>
      <c r="CQ103" s="86">
        <f t="shared" si="152"/>
        <v>0.5</v>
      </c>
      <c r="CR103" s="86">
        <f t="shared" si="153"/>
        <v>0.5</v>
      </c>
      <c r="CS103" s="30" t="e">
        <f t="shared" ca="1" si="184"/>
        <v>#DIV/0!</v>
      </c>
      <c r="CT103" s="85" t="e">
        <f ca="1">IF(BZ103&lt;=Hypothèses!$V$7,Hypothèses!$W$7,IF(BZ103&lt;=Hypothèses!$V$8,Hypothèses!$W$8,IF(BZ103&lt;=Hypothèses!$V$9,Hypothèses!$W$9,IF(BZ103&lt;=Hypothèses!$V$10,Hypothèses!$W$10,IF(BZ103&lt;=Hypothèses!$V$11,Hypothèses!$W$11,IF(BZ103&lt;=Hypothèses!$V$12,Hypothèses!$W$12,IF(BZ103&lt;=Hypothèses!$V$13,Hypothèses!$W$13,IF(BZ103&lt;=Hypothèses!$V$14,Hypothèses!$W$14,IF(BZ103&lt;=Hypothèses!$V$15,Hypothèses!$W$15,IF(BZ103&lt;=Hypothèses!$V$16,Hypothèses!$W$16,IF(BZ103&lt;=Hypothèses!$V$17,Hypothèses!$W$17,IF(BZ103&lt;=Hypothèses!$V$18,Hypothèses!$W$18,""))))))))))))</f>
        <v>#DIV/0!</v>
      </c>
      <c r="CU103" s="87" t="e">
        <f t="shared" ca="1" si="220"/>
        <v>#DIV/0!</v>
      </c>
      <c r="CV103" s="88" t="e">
        <f ca="1">IF(BZ103&lt;=Hypothèses!$V$7,Hypothèses!$X$7,IF(BZ103&lt;=Hypothèses!$V$8,Hypothèses!$X$8,IF(BZ103&lt;=Hypothèses!$V$9,Hypothèses!$X$9,IF(BZ103&lt;=Hypothèses!$V$10,Hypothèses!$X$10,IF(BZ103&lt;=Hypothèses!$V$11,Hypothèses!$X$11,IF(BZ103&lt;=Hypothèses!$V$12,Hypothèses!$X$12,IF(BZ103&lt;=Hypothèses!$V$13,Hypothèses!$X$13,IF(BZ103&lt;=Hypothèses!$V$14,Hypothèses!$X$14,IF(BZ103&lt;=Hypothèses!$V$15,Hypothèses!$X$15,IF(BZ103&lt;=Hypothèses!$V$16,Hypothèses!$X$16,IF(BZ103&lt;=Hypothèses!$U$17,Hypothèses!$W$17,IF(BZ103&lt;=Hypothèses!$U$18,Hypothèses!$W$18,""))))))))))))</f>
        <v>#DIV/0!</v>
      </c>
      <c r="CW103" s="95" t="e">
        <f t="shared" ca="1" si="185"/>
        <v>#DIV/0!</v>
      </c>
      <c r="CX103" s="101" t="e">
        <f t="shared" si="227"/>
        <v>#N/A</v>
      </c>
      <c r="CY103" s="91" t="e">
        <f t="shared" si="154"/>
        <v>#N/A</v>
      </c>
      <c r="CZ103" s="30" t="e">
        <f t="shared" si="208"/>
        <v>#N/A</v>
      </c>
      <c r="DA103" s="30" t="e">
        <f t="shared" si="209"/>
        <v>#N/A</v>
      </c>
      <c r="DB103" s="31" t="e">
        <f>IF(OR(Hypothèses!$B$4=17,Hypothèses!$B$4=18,Hypothèses!$B$4=19,Hypothèses!$B$4=20),
IF($D103="Pressio.",
IF(OR($E103=3,$E103=1,$E103=4),DA103,CZ103),
IF($D103="Pénétro.",
IF(OR($E103=3,$E103=1,$E103=4),DA103,CZ103))),IF($D103="Pressio.",
IF($E103=3,DA103,CZ103),
IF($D103="Pénétro.",
IF($E103=4,DA103,CZ103))))</f>
        <v>#N/A</v>
      </c>
      <c r="DC103" s="31" t="e">
        <f>(IF(OR(Hypothèses!$B$4=17,Hypothèses!$B$4=18,Hypothèses!$B$4=19,Hypothèses!$B$4=20),
IF($D103="Pressio.",
IF(OR($E103=3,$E103=1,$E103=4),(PI()*DC$12^2)/4*(CY103*$W103*1000)/($H103*$B$5),(PI()*DC$12^2)/4*(CY103*$W103*1000)/($G103*$B$5)),
IF($D103="Pénétro.",
IF(OR($E103=4,$E103=1,$E103=5),(PI()*DC$12^2)/4*(CY103*$W103*1000)/($H103*$B$5),(PI()*DC$12^2)/4*(CY103*$W103*1000)/($G103*$B$5)))),
IF($D103="Pressio.",
IF($E103=3,(PI()*DC$12^2)/4*(CY103*$W103*1000)/($H103*$B$5),(PI()*DC$12^2)/4*(CY103*$W103*1000)/($G103*$B$5)),
IF($D103="Pénétro.",
IF($E103=4,(PI()*DC$12^2)/4*(CY103*$W103*1000)/($H103*$B$5),(PI()*DC$12^2)/4*(CY103*$W103*1000)/($G103*$B$5))))))/10</f>
        <v>#N/A</v>
      </c>
      <c r="DD103" s="102" t="e">
        <f>(VLOOKUP($B$3,'Coeff EC7'!$T$39:$X$59,2,0)*DB103+VLOOKUP($B$3,'Coeff EC7'!$T$65:$X$85,2,0)*Model0.1C!DC103)/1.1</f>
        <v>#N/A</v>
      </c>
      <c r="DE103" s="102" t="e">
        <f>(VLOOKUP($B$3,'Coeff EC7'!$T$39:$X$59,3,0)*DB103+VLOOKUP($B$3,'Coeff EC7'!$T$65:$X$85,3,0)*Model0.1C!DC103)/0.9</f>
        <v>#N/A</v>
      </c>
      <c r="DF103" s="102" t="e">
        <f t="shared" si="186"/>
        <v>#N/A</v>
      </c>
      <c r="DG103" s="102" t="e">
        <f t="shared" si="187"/>
        <v>#N/A</v>
      </c>
      <c r="DH103" s="414" t="e">
        <f>IF(DH102=0,0,IF(AND(DD103&gt;charge_ELS_quasi,DE103&gt;Charge_ELS_freq,DF103&gt;charge_ELU,DG103&gt;charge_ELA,$B103&gt;NDC!$H$22-0.1+MIN(3*$DH$12,1.5)),0,1))</f>
        <v>#N/A</v>
      </c>
      <c r="DI103" s="86" t="b">
        <f t="shared" si="155"/>
        <v>0</v>
      </c>
      <c r="DJ103" s="86">
        <f t="shared" si="156"/>
        <v>0.5</v>
      </c>
      <c r="DK103" s="86">
        <f t="shared" si="157"/>
        <v>0.5</v>
      </c>
      <c r="DL103" s="30" t="e">
        <f t="shared" ca="1" si="188"/>
        <v>#DIV/0!</v>
      </c>
      <c r="DM103" s="85" t="e">
        <f ca="1">IF(CS103&lt;=Hypothèses!$V$7,Hypothèses!$W$7,IF(CS103&lt;=Hypothèses!$V$8,Hypothèses!$W$8,IF(CS103&lt;=Hypothèses!$V$9,Hypothèses!$W$9,IF(CS103&lt;=Hypothèses!$V$10,Hypothèses!$W$10,IF(CS103&lt;=Hypothèses!$V$11,Hypothèses!$W$11,IF(CS103&lt;=Hypothèses!$V$12,Hypothèses!$W$12,IF(CS103&lt;=Hypothèses!$V$13,Hypothèses!$W$13,IF(CS103&lt;=Hypothèses!$V$14,Hypothèses!$W$14,IF(CS103&lt;=Hypothèses!$V$15,Hypothèses!$W$15,IF(CS103&lt;=Hypothèses!$V$16,Hypothèses!$W$16,IF(CS103&lt;=Hypothèses!$V$17,Hypothèses!$W$17,IF(CS103&lt;=Hypothèses!$V$18,Hypothèses!$W$18,""))))))))))))</f>
        <v>#DIV/0!</v>
      </c>
      <c r="DN103" s="87" t="e">
        <f t="shared" ca="1" si="221"/>
        <v>#DIV/0!</v>
      </c>
      <c r="DO103" s="88" t="e">
        <f ca="1">IF(CS103&lt;=Hypothèses!$V$7,Hypothèses!$X$7,IF(CS103&lt;=Hypothèses!$V$8,Hypothèses!$X$8,IF(CS103&lt;=Hypothèses!$V$9,Hypothèses!$X$9,IF(CS103&lt;=Hypothèses!$V$10,Hypothèses!$X$10,IF(CS103&lt;=Hypothèses!$V$11,Hypothèses!$X$11,IF(CS103&lt;=Hypothèses!$V$12,Hypothèses!$X$12,IF(CS103&lt;=Hypothèses!$V$13,Hypothèses!$X$13,IF(CS103&lt;=Hypothèses!$V$14,Hypothèses!$X$14,IF(CS103&lt;=Hypothèses!$V$15,Hypothèses!$X$15,IF(CS103&lt;=Hypothèses!$V$16,Hypothèses!$X$16,IF(CS103&lt;=Hypothèses!$U$17,Hypothèses!$W$17,IF(CS103&lt;=Hypothèses!$U$18,Hypothèses!$W$18,""))))))))))))</f>
        <v>#DIV/0!</v>
      </c>
      <c r="DP103" s="95" t="e">
        <f t="shared" ca="1" si="189"/>
        <v>#DIV/0!</v>
      </c>
      <c r="DQ103" s="101" t="e">
        <f t="shared" si="228"/>
        <v>#N/A</v>
      </c>
      <c r="DR103" s="91" t="e">
        <f t="shared" si="158"/>
        <v>#N/A</v>
      </c>
      <c r="DS103" s="30" t="e">
        <f t="shared" si="210"/>
        <v>#N/A</v>
      </c>
      <c r="DT103" s="30" t="e">
        <f t="shared" si="211"/>
        <v>#N/A</v>
      </c>
      <c r="DU103" s="31" t="e">
        <f>IF(OR(Hypothèses!$B$4=17,Hypothèses!$B$4=18,Hypothèses!$B$4=19,Hypothèses!$B$4=20),
IF($D103="Pressio.",
IF(OR($E103=3,$E103=1,$E103=4),DT103,DS103),
IF($D103="Pénétro.",
IF(OR($E103=3,$E103=1,$E103=4),DT103,DS103))),IF($D103="Pressio.",
IF($E103=3,DT103,DS103),
IF($D103="Pénétro.",
IF($E103=4,DT103,DS103))))</f>
        <v>#N/A</v>
      </c>
      <c r="DV103" s="31" t="e">
        <f>(IF(OR(Hypothèses!$B$4=17,Hypothèses!$B$4=18,Hypothèses!$B$4=19,Hypothèses!$B$4=20),
IF($D103="Pressio.",
IF(OR($E103=3,$E103=1,$E103=4),(PI()*DV$12^2)/4*(DR103*$W103*1000)/($H103*$B$5),(PI()*DV$12^2)/4*(DR103*$W103*1000)/($G103*$B$5)),
IF($D103="Pénétro.",
IF(OR($E103=4,$E103=1,$E103=5),(PI()*DV$12^2)/4*(DR103*$W103*1000)/($H103*$B$5),(PI()*DV$12^2)/4*(DR103*$W103*1000)/($G103*$B$5)))),
IF($D103="Pressio.",
IF($E103=3,(PI()*DV$12^2)/4*(DR103*$W103*1000)/($H103*$B$5),(PI()*DV$12^2)/4*(DR103*$W103*1000)/($G103*$B$5)),
IF($D103="Pénétro.",
IF($E103=4,(PI()*DV$12^2)/4*(DR103*$W103*1000)/($H103*$B$5),(PI()*DV$12^2)/4*(DR103*$W103*1000)/($G103*$B$5))))))/10</f>
        <v>#N/A</v>
      </c>
      <c r="DW103" s="102" t="e">
        <f>(VLOOKUP($B$3,'Coeff EC7'!$T$39:$X$59,2,0)*DU103+VLOOKUP($B$3,'Coeff EC7'!$T$65:$X$85,2,0)*Model0.1C!DV103)/1.1</f>
        <v>#N/A</v>
      </c>
      <c r="DX103" s="102" t="e">
        <f>(VLOOKUP($B$3,'Coeff EC7'!$T$39:$X$59,3,0)*DU103+VLOOKUP($B$3,'Coeff EC7'!$T$65:$X$85,3,0)*Model0.1C!DV103)/0.9</f>
        <v>#N/A</v>
      </c>
      <c r="DY103" s="102" t="e">
        <f t="shared" si="190"/>
        <v>#N/A</v>
      </c>
      <c r="DZ103" s="102" t="e">
        <f t="shared" si="191"/>
        <v>#N/A</v>
      </c>
      <c r="EA103" s="414" t="e">
        <f>IF(EA102=0,0,IF(AND(DW103&gt;charge_ELS_quasi,DX103&gt;Charge_ELS_freq,DY103&gt;charge_ELU,DZ103&gt;charge_ELA,$B103&gt;NDC!$H$22-0.1+MIN(3*$EA$12,1.5)),0,1))</f>
        <v>#N/A</v>
      </c>
      <c r="EB103" s="86" t="b">
        <f t="shared" si="159"/>
        <v>0</v>
      </c>
      <c r="EC103" s="418">
        <f t="shared" si="160"/>
        <v>0.51</v>
      </c>
      <c r="ED103" s="86">
        <f t="shared" si="161"/>
        <v>0.51</v>
      </c>
      <c r="EE103" s="30" t="e">
        <f t="shared" ca="1" si="192"/>
        <v>#DIV/0!</v>
      </c>
      <c r="EF103" s="85" t="e">
        <f ca="1">IF(DL103&lt;=Hypothèses!$V$7,Hypothèses!$W$7,IF(DL103&lt;=Hypothèses!$V$8,Hypothèses!$W$8,IF(DL103&lt;=Hypothèses!$V$9,Hypothèses!$W$9,IF(DL103&lt;=Hypothèses!$V$10,Hypothèses!$W$10,IF(DL103&lt;=Hypothèses!$V$11,Hypothèses!$W$11,IF(DL103&lt;=Hypothèses!$V$12,Hypothèses!$W$12,IF(DL103&lt;=Hypothèses!$V$13,Hypothèses!$W$13,IF(DL103&lt;=Hypothèses!$V$14,Hypothèses!$W$14,IF(DL103&lt;=Hypothèses!$V$15,Hypothèses!$W$15,IF(DL103&lt;=Hypothèses!$V$16,Hypothèses!$W$16,IF(DL103&lt;=Hypothèses!$V$17,Hypothèses!$W$17,IF(DL103&lt;=Hypothèses!$V$18,Hypothèses!$W$18,""))))))))))))</f>
        <v>#DIV/0!</v>
      </c>
      <c r="EG103" s="87" t="e">
        <f t="shared" ca="1" si="222"/>
        <v>#DIV/0!</v>
      </c>
      <c r="EH103" s="88" t="e">
        <f ca="1">IF(DL103&lt;=Hypothèses!$V$7,Hypothèses!$X$7,IF(DL103&lt;=Hypothèses!$V$8,Hypothèses!$X$8,IF(DL103&lt;=Hypothèses!$V$9,Hypothèses!$X$9,IF(DL103&lt;=Hypothèses!$V$10,Hypothèses!$X$10,IF(DL103&lt;=Hypothèses!$V$11,Hypothèses!$X$11,IF(DL103&lt;=Hypothèses!$V$12,Hypothèses!$X$12,IF(DL103&lt;=Hypothèses!$V$13,Hypothèses!$X$13,IF(DL103&lt;=Hypothèses!$V$14,Hypothèses!$X$14,IF(DL103&lt;=Hypothèses!$V$15,Hypothèses!$X$15,IF(DL103&lt;=Hypothèses!$V$16,Hypothèses!$X$16,IF(DL103&lt;=Hypothèses!$U$17,Hypothèses!$W$17,IF(DL103&lt;=Hypothèses!$U$18,Hypothèses!$W$18,""))))))))))))</f>
        <v>#DIV/0!</v>
      </c>
      <c r="EI103" s="95" t="e">
        <f t="shared" ca="1" si="193"/>
        <v>#DIV/0!</v>
      </c>
      <c r="EJ103" s="101" t="e">
        <f t="shared" si="229"/>
        <v>#N/A</v>
      </c>
      <c r="EK103" s="91" t="e">
        <f t="shared" si="162"/>
        <v>#N/A</v>
      </c>
      <c r="EL103" s="30" t="e">
        <f t="shared" si="212"/>
        <v>#N/A</v>
      </c>
      <c r="EM103" s="30" t="e">
        <f t="shared" si="213"/>
        <v>#N/A</v>
      </c>
      <c r="EN103" s="31" t="e">
        <f>IF(OR(Hypothèses!$B$4=17,Hypothèses!$B$4=18,Hypothèses!$B$4=19,Hypothèses!$B$4=20),
IF($D103="Pressio.",
IF(OR($E103=3,$E103=1,$E103=4),EM103,EL103),
IF($D103="Pénétro.",
IF(OR($E103=3,$E103=1,$E103=4),EM103,EL103))),IF($D103="Pressio.",
IF($E103=3,EM103,EL103),
IF($D103="Pénétro.",
IF($E103=4,EM103,EL103))))</f>
        <v>#N/A</v>
      </c>
      <c r="EO103" s="31" t="e">
        <f>(IF(OR(Hypothèses!$B$4=17,Hypothèses!$B$4=18,Hypothèses!$B$4=19,Hypothèses!$B$4=20),
IF($D103="Pressio.",
IF(OR($E103=3,$E103=1,$E103=4),(PI()*EO$12^2)/4*(EK103*$W103*1000)/($H103*$B$5),(PI()*EO$12^2)/4*(EK103*$W103*1000)/($G103*$B$5)),
IF($D103="Pénétro.",
IF(OR($E103=4,$E103=1,$E103=5),(PI()*EO$12^2)/4*(EK103*$W103*1000)/($H103*$B$5),(PI()*EO$12^2)/4*(EK103*$W103*1000)/($G103*$B$5)))),
IF($D103="Pressio.",
IF($E103=3,(PI()*EO$12^2)/4*(EK103*$W103*1000)/($H103*$B$5),(PI()*EO$12^2)/4*(EK103*$W103*1000)/($G103*$B$5)),
IF($D103="Pénétro.",
IF($E103=4,(PI()*EO$12^2)/4*(EK103*$W103*1000)/($H103*$B$5),(PI()*EO$12^2)/4*(EK103*$W103*1000)/($G103*$B$5))))))/10</f>
        <v>#N/A</v>
      </c>
      <c r="EP103" s="102" t="e">
        <f>(VLOOKUP($B$3,'Coeff EC7'!$T$39:$X$59,2,0)*EN103+VLOOKUP($B$3,'Coeff EC7'!$T$65:$X$85,2,0)*Model0.1C!EO103)/1.1</f>
        <v>#N/A</v>
      </c>
      <c r="EQ103" s="102" t="e">
        <f>(VLOOKUP($B$3,'Coeff EC7'!$T$39:$X$59,3,0)*EN103+VLOOKUP($B$3,'Coeff EC7'!$T$65:$X$85,3,0)*Model0.1C!EO103)/0.9</f>
        <v>#N/A</v>
      </c>
      <c r="ER103" s="102" t="e">
        <f t="shared" si="194"/>
        <v>#N/A</v>
      </c>
      <c r="ES103" s="102" t="e">
        <f t="shared" si="195"/>
        <v>#N/A</v>
      </c>
      <c r="ET103" s="414" t="e">
        <f>IF(ET102=0,0,IF(AND(EP103&gt;charge_ELS_quasi,EQ103&gt;Charge_ELS_freq,ER103&gt;charge_ELU,ES103&gt;charge_ELA,$B103&gt;NDC!$H$22-0.1+MIN(3*$ET$12,1.5)),0,1))</f>
        <v>#N/A</v>
      </c>
      <c r="EU103" s="86" t="b">
        <f t="shared" si="163"/>
        <v>0</v>
      </c>
      <c r="EV103" s="86">
        <f t="shared" si="164"/>
        <v>0.61</v>
      </c>
      <c r="EW103" s="86">
        <f t="shared" si="165"/>
        <v>0.61</v>
      </c>
      <c r="EX103" s="30" t="e">
        <f t="shared" ca="1" si="196"/>
        <v>#DIV/0!</v>
      </c>
      <c r="EY103" s="85" t="e">
        <f ca="1">IF(EE103&lt;=Hypothèses!$V$7,Hypothèses!$W$7,IF(EE103&lt;=Hypothèses!$V$8,Hypothèses!$W$8,IF(EE103&lt;=Hypothèses!$V$9,Hypothèses!$W$9,IF(EE103&lt;=Hypothèses!$V$10,Hypothèses!$W$10,IF(EE103&lt;=Hypothèses!$V$11,Hypothèses!$W$11,IF(EE103&lt;=Hypothèses!$V$12,Hypothèses!$W$12,IF(EE103&lt;=Hypothèses!$V$13,Hypothèses!$W$13,IF(EE103&lt;=Hypothèses!$V$14,Hypothèses!$W$14,IF(EE103&lt;=Hypothèses!$V$15,Hypothèses!$W$15,IF(EE103&lt;=Hypothèses!$V$16,Hypothèses!$W$16,IF(EE103&lt;=Hypothèses!$V$17,Hypothèses!$W$17,IF(EE103&lt;=Hypothèses!$V$18,Hypothèses!$W$18,""))))))))))))</f>
        <v>#DIV/0!</v>
      </c>
      <c r="EZ103" s="87" t="e">
        <f t="shared" ca="1" si="223"/>
        <v>#DIV/0!</v>
      </c>
      <c r="FA103" s="88" t="e">
        <f ca="1">IF(EE103&lt;=Hypothèses!$V$7,Hypothèses!$X$7,IF(EE103&lt;=Hypothèses!$V$8,Hypothèses!$X$8,IF(EE103&lt;=Hypothèses!$V$9,Hypothèses!$X$9,IF(EE103&lt;=Hypothèses!$V$10,Hypothèses!$X$10,IF(EE103&lt;=Hypothèses!$V$11,Hypothèses!$X$11,IF(EE103&lt;=Hypothèses!$V$12,Hypothèses!$X$12,IF(EE103&lt;=Hypothèses!$V$13,Hypothèses!$X$13,IF(EE103&lt;=Hypothèses!$V$14,Hypothèses!$X$14,IF(EE103&lt;=Hypothèses!$V$15,Hypothèses!$X$15,IF(EE103&lt;=Hypothèses!$V$16,Hypothèses!$X$16,IF(EE103&lt;=Hypothèses!$U$17,Hypothèses!$W$17,IF(EE103&lt;=Hypothèses!$U$18,Hypothèses!$W$18,""))))))))))))</f>
        <v>#DIV/0!</v>
      </c>
      <c r="FB103" s="95" t="e">
        <f t="shared" ca="1" si="197"/>
        <v>#DIV/0!</v>
      </c>
      <c r="FC103" s="101" t="e">
        <f t="shared" si="230"/>
        <v>#N/A</v>
      </c>
      <c r="FD103" s="91" t="e">
        <f t="shared" si="166"/>
        <v>#N/A</v>
      </c>
      <c r="FE103" s="30" t="e">
        <f t="shared" si="214"/>
        <v>#N/A</v>
      </c>
      <c r="FF103" s="30" t="e">
        <f t="shared" si="215"/>
        <v>#N/A</v>
      </c>
      <c r="FG103" s="31" t="e">
        <f>IF(OR(Hypothèses!$B$4=17,Hypothèses!$B$4=18,Hypothèses!$B$4=19,Hypothèses!$B$4=20),
IF($D103="Pressio.",
IF(OR($E103=3,$E103=1,$E103=4),FF103,FE103),
IF($D103="Pénétro.",
IF(OR($E103=3,$E103=1,$E103=4),FF103,FE103))),IF($D103="Pressio.",
IF($E103=3,FF103,FE103),
IF($D103="Pénétro.",
IF($E103=4,FF103,FE103))))</f>
        <v>#N/A</v>
      </c>
      <c r="FH103" s="31" t="e">
        <f>(IF(OR(Hypothèses!$B$4=17,Hypothèses!$B$4=18,Hypothèses!$B$4=19,Hypothèses!$B$4=20),
IF($D103="Pressio.",
IF(OR($E103=3,$E103=1,$E103=4),(PI()*FH$12^2)/4*(FD103*$W103*1000)/($H103*$B$5),(PI()*FH$12^2)/4*(FD103*$W103*1000)/($G103*$B$5)),
IF($D103="Pénétro.",
IF(OR($E103=4,$E103=1,$E103=5),(PI()*FH$12^2)/4*(FD103*$W103*1000)/($H103*$B$5),(PI()*FH$12^2)/4*(FD103*$W103*1000)/($G103*$B$5)))),
IF($D103="Pressio.",
IF($E103=3,(PI()*FH$12^2)/4*(FD103*$W103*1000)/($H103*$B$5),(PI()*FH$12^2)/4*(FD103*$W103*1000)/($G103*$B$5)),
IF($D103="Pénétro.",
IF($E103=4,(PI()*FH$12^2)/4*(FD103*$W103*1000)/($H103*$B$5),(PI()*FH$12^2)/4*(FD103*$W103*1000)/($G103*$B$5))))))/10</f>
        <v>#N/A</v>
      </c>
      <c r="FI103" s="102" t="e">
        <f>(VLOOKUP($B$3,'Coeff EC7'!$T$39:$X$59,2,0)*FG103+VLOOKUP($B$3,'Coeff EC7'!$T$65:$X$85,2,0)*Model0.1C!FH103)/1.1</f>
        <v>#N/A</v>
      </c>
      <c r="FJ103" s="102" t="e">
        <f>(VLOOKUP($B$3,'Coeff EC7'!$T$39:$X$59,3,0)*FG103+VLOOKUP($B$3,'Coeff EC7'!$T$65:$X$85,3,0)*Model0.1C!FH103)/0.9</f>
        <v>#N/A</v>
      </c>
      <c r="FK103" s="102" t="e">
        <f t="shared" si="198"/>
        <v>#N/A</v>
      </c>
      <c r="FL103" s="102" t="e">
        <f t="shared" si="199"/>
        <v>#N/A</v>
      </c>
      <c r="FM103" s="414" t="e">
        <f>IF(FM102=0,0,IF(AND(FI103&gt;charge_ELS_quasi,FJ103&gt;Charge_ELS_freq,FK103&gt;charge_ELU,FL103&gt;charge_ELA,$B103&gt;NDC!$H$22-0.1+MIN(3*$FM$12,1.5)),0,1))</f>
        <v>#N/A</v>
      </c>
    </row>
    <row r="104" spans="1:169">
      <c r="A104" s="96">
        <f t="shared" si="167"/>
        <v>90.900000000000517</v>
      </c>
      <c r="B104" s="97">
        <v>9.1</v>
      </c>
      <c r="C104" s="81">
        <f>IF(B104&lt;=Hypothèses!$C$7,Hypothèses!$A$7,IF(B104&lt;=Hypothèses!$C$8,Hypothèses!$A$8,IF(B104&lt;=Hypothèses!$C$9,Hypothèses!$A$9,IF(B104&lt;=Hypothèses!$C$10,Hypothèses!$A$10,IF(B104&lt;=Hypothèses!$C$11,Hypothèses!$A$11,IF(B104&lt;=Hypothèses!$C$12,Hypothèses!$A$12,IF(B104&lt;=Hypothèses!$C$13,Hypothèses!$A$13,IF(B104&lt;=Hypothèses!$C$14,Hypothèses!$A$14,IF(B104&lt;=Hypothèses!$C$15,Hypothèses!$A$15,IF(B104&lt;=Hypothèses!$C$16,Hypothèses!$A$16,IF(B104&lt;=Hypothèses!$C$17,Hypothèses!$A$17,IF(B104&lt;=Hypothèses!$C$18,Hypothèses!$A$18,C103))))))))))))</f>
        <v>11</v>
      </c>
      <c r="D104" s="82" t="str">
        <f>IF(B104&lt;=Hypothèses!$C$7,Hypothèses!$R$7,IF(B104&lt;=Hypothèses!$C$8,Hypothèses!$R$8,IF(B104&lt;=Hypothèses!$C$9,Hypothèses!$R$9,IF(B104&lt;=Hypothèses!$C$10,Hypothèses!$R$10,IF(B104&lt;=Hypothèses!$C$11,Hypothèses!$R$11,IF(B104&lt;=Hypothèses!$C$12,Hypothèses!$R$12,IF(B104&lt;=Hypothèses!$C$13,Hypothèses!$R$13,IF(B104&lt;=Hypothèses!$C$14,Hypothèses!$R$14,IF(B104&lt;=Hypothèses!$C$15,Hypothèses!$R$15,IF(B104&lt;=Hypothèses!$C$16,Hypothèses!$R$16,IF(B104&lt;=Hypothèses!$C$17,Hypothèses!$R$17,IF(B104&lt;=Hypothèses!$C$18,Hypothèses!$R$18,D103))))))))))))</f>
        <v>Pressio.</v>
      </c>
      <c r="E104" s="82" t="e">
        <f>IF(B104&lt;=Hypothèses!$C$7,Hypothèses!$G$7,IF(B104&lt;=Hypothèses!$C$8,Hypothèses!$G$8,IF(B104&lt;=Hypothèses!$C$9,Hypothèses!$G$9,IF(B104&lt;=Hypothèses!$C$10,Hypothèses!$G$10,IF(B104&lt;=Hypothèses!$C$11,Hypothèses!$G$11,IF(B104&lt;=Hypothèses!$C$12,Hypothèses!$G$12,IF(B104&lt;=Hypothèses!$C$13,Hypothèses!$G$13,IF(B104&lt;=Hypothèses!$C$14,Hypothèses!$G$14,IF(B104&lt;=Hypothèses!$C$15,Hypothèses!$G$15,IF(B104&lt;=Hypothèses!$C$16,Hypothèses!$G$16,IF(B104&lt;=Hypothèses!$C$17,Hypothèses!$G$17,IF(B104&lt;=Hypothèses!$C$18,Hypothèses!$G$18,E103))))))))))))</f>
        <v>#N/A</v>
      </c>
      <c r="F104" s="82" t="str">
        <f>IF(B104&lt;=Hypothèses!$C$7,Hypothèses!$F$7,IF(B104&lt;=Hypothèses!$C$8,Hypothèses!$F$8,IF(B104&lt;=Hypothèses!$C$9,Hypothèses!$F$9,IF(B104&lt;=Hypothèses!$C$10,Hypothèses!$F$10,IF(B104&lt;=Hypothèses!$C$11,Hypothèses!$F$11,IF(B104&lt;=Hypothèses!$C$12,Hypothèses!$F$12,IF(B104&lt;=Hypothèses!$C$13,Hypothèses!$F$13,IF(B104&lt;=Hypothèses!$C$14,Hypothèses!$F$14,IF(B104&lt;=Hypothèses!$C$15,Hypothèses!$F$15,IF(B104&lt;=Hypothèses!$C$16,Hypothèses!$F$16,IF(B104&lt;=Hypothèses!$C$17,Hypothèses!$F$17,IF(B104&lt;=Hypothèses!$C$18,Hypothèses!$F$18,F103))))))))))))</f>
        <v/>
      </c>
      <c r="G104" s="91">
        <f t="array" ref="G104">INDEX('Coeff EC7'!$U$7:$X$27,
MATCH(Model0.1C!$B$3,'Coeff EC7'!$T$7:$T$27,0),
MATCH(Model0.1C!$D104&amp;Model0.1C!$B$4,
'Coeff EC7'!$U$6:$X$6&amp;
'Coeff EC7'!$U$5:$X$5,0))</f>
        <v>1.1499999999999999</v>
      </c>
      <c r="H104" s="91">
        <f t="array" ref="H104">INDEX('Coeff EC7'!$Y$7:$AB$27,
MATCH(Model0.1C!$B$3,'Coeff EC7'!$T$7:$T$27,0),
MATCH(Model0.1C!$D104&amp;Model0.1C!$B$4,
'Coeff EC7'!$Y$6:$AB$6&amp;
'Coeff EC7'!$Y$5:$AB$5,0))</f>
        <v>1.4</v>
      </c>
      <c r="I104" s="83" t="e">
        <f>IF(B104&lt;=Hypothèses!$C$7,Hypothèses!$P$7,IF(B104&lt;=Hypothèses!$C$8,Hypothèses!$P$8,IF(B104&lt;=Hypothèses!$C$9,Hypothèses!$P$9,IF(B104&lt;=Hypothèses!$C$10,Hypothèses!$P$10,IF(B104&lt;=Hypothèses!$C$11,Hypothèses!$P$11,IF(B104&lt;=Hypothèses!$C$12,Hypothèses!$P$12,IF(B104&lt;=Hypothèses!$C$13,Hypothèses!$P$13,IF(B104&lt;=Hypothèses!$C$14,Hypothèses!$P$14,IF(B104&lt;=Hypothèses!$C$15,Hypothèses!$P$15,IF(B104&lt;=Hypothèses!$C$16,Hypothèses!$P$16,IF(B104&lt;=Hypothèses!$C$17,Hypothèses!$P$17,IF(B104&lt;=Hypothèses!$C$18,Hypothèses!$P$18,I103))))))))))))</f>
        <v>#N/A</v>
      </c>
      <c r="J104" s="91" t="e">
        <f t="array" ref="J104">INDEX('Coeff EC7'!$D$33:$Q$33,1,MATCH(D104&amp;E104,'Coeff EC7'!$D$31:$Q$31&amp;'Coeff EC7'!$D$32:$Q$32,0))</f>
        <v>#N/A</v>
      </c>
      <c r="K104" s="91" t="e">
        <f t="array" ref="K104">INDEX('Coeff EC7'!$D$34:$Q$34,1,MATCH(D104&amp;E104,'Coeff EC7'!$D$31:$Q$31&amp;'Coeff EC7'!$D$32:$Q$32,0))</f>
        <v>#N/A</v>
      </c>
      <c r="L104" s="91" t="e">
        <f t="array" ref="L104">INDEX('Coeff EC7'!$D$35:$Q$35,1,MATCH(D104&amp;E104,'Coeff EC7'!$D$31:$Q$31&amp;'Coeff EC7'!$D$32:$Q$32,0))</f>
        <v>#N/A</v>
      </c>
      <c r="M104" s="98" t="e">
        <f t="shared" si="131"/>
        <v>#N/A</v>
      </c>
      <c r="N104" s="99" t="e">
        <f t="array" ref="N104">INDEX('Coeff EC7'!$D$7:$Q$27,MATCH($B$3,'Coeff EC7'!$C$7:$C$27,0),MATCH(D104&amp;E104,'Coeff EC7'!$D$5:$Q$5&amp;'Coeff EC7'!$D$6:$Q$6,0))</f>
        <v>#N/A</v>
      </c>
      <c r="O104" s="99" t="e">
        <f t="array" ref="O104">INDEX('Coeff EC7'!$D$41:$Q$61,MATCH($B$3,'Coeff EC7'!$C$41:$C$61,0),MATCH(D104&amp;E104,'Coeff EC7'!$D$39:$Q$39&amp;'Coeff EC7'!$D$40:$Q$40,0))</f>
        <v>#N/A</v>
      </c>
      <c r="P104" s="30" t="e">
        <f t="shared" si="168"/>
        <v>#N/A</v>
      </c>
      <c r="Q104" s="100" t="e">
        <f t="shared" si="133"/>
        <v>#N/A</v>
      </c>
      <c r="R104" s="86" t="b">
        <f t="shared" si="134"/>
        <v>0</v>
      </c>
      <c r="S104" s="86">
        <f t="shared" si="132"/>
        <v>0.5</v>
      </c>
      <c r="T104" s="86">
        <f t="shared" si="135"/>
        <v>0.5</v>
      </c>
      <c r="U104" s="30" t="e">
        <f t="shared" ca="1" si="169"/>
        <v>#DIV/0!</v>
      </c>
      <c r="V104" s="85" t="str">
        <f>IF(B104&lt;=Hypothèses!$V$7,Hypothèses!$W$7,IF(B104&lt;=Hypothèses!$V$8,Hypothèses!$W$8,IF(B104&lt;=Hypothèses!$V$9,Hypothèses!$W$9,IF(B104&lt;=Hypothèses!$V$10,Hypothèses!$W$10,IF(B104&lt;=Hypothèses!$V$11,Hypothèses!$W$11,IF(B104&lt;=Hypothèses!$V$12,Hypothèses!$W$12,IF(B104&lt;=Hypothèses!$V$13,Hypothèses!$W$13,IF(B104&lt;=Hypothèses!$V$14,Hypothèses!$W$14,IF(B104&lt;=Hypothèses!$V$15,Hypothèses!$W$15,IF(B104&lt;=Hypothèses!$V$16,Hypothèses!$W$16,IF(B104&lt;=Hypothèses!$V$17,Hypothèses!$W$17,IF(B104&lt;=Hypothèses!$V$18,Hypothèses!$W$18,""))))))))))))</f>
        <v/>
      </c>
      <c r="W104" s="87" t="e">
        <f t="shared" ca="1" si="216"/>
        <v>#DIV/0!</v>
      </c>
      <c r="X104" s="88" t="str">
        <f>IF(B104&lt;=Hypothèses!$V$7,Hypothèses!$X$7,IF(B104&lt;=Hypothèses!$V$8,Hypothèses!$X$8,IF(B104&lt;=Hypothèses!$V$9,Hypothèses!$X$9,IF(B104&lt;=Hypothèses!$V$10,Hypothèses!$X$10,IF(B104&lt;=Hypothèses!$V$11,Hypothèses!$X$11,IF(B104&lt;=Hypothèses!$V$12,Hypothèses!$X$12,IF(B104&lt;=Hypothèses!$V$13,Hypothèses!$X$13,IF(B104&lt;=Hypothèses!$V$14,Hypothèses!$X$14,IF(B104&lt;=Hypothèses!$V$15,Hypothèses!$X$15,IF(B104&lt;=Hypothèses!$V$16,Hypothèses!$X$16,IF(B104&lt;=Hypothèses!$U$17,Hypothèses!$W$17,IF(B104&lt;=Hypothèses!$U$18,Hypothèses!$W$18,""))))))))))))</f>
        <v/>
      </c>
      <c r="Y104" s="95" t="e">
        <f t="shared" ca="1" si="136"/>
        <v>#DIV/0!</v>
      </c>
      <c r="Z104" s="101" t="e">
        <f t="shared" si="137"/>
        <v>#N/A</v>
      </c>
      <c r="AA104" s="91" t="e">
        <f t="shared" si="138"/>
        <v>#N/A</v>
      </c>
      <c r="AB104" s="30" t="e">
        <f t="shared" si="200"/>
        <v>#N/A</v>
      </c>
      <c r="AC104" s="30" t="e">
        <f t="shared" si="201"/>
        <v>#N/A</v>
      </c>
      <c r="AD104" s="31" t="e">
        <f>IF(OR(Hypothèses!$B$4=17,Hypothèses!$B$4=18,Hypothèses!$B$4=19,Hypothèses!$B$4=20),
IF($D104="Pressio.",
IF(OR($E104=3,$E104=1,$E104=4),AC104,AB104),
IF($D104="Pénétro.",
IF(OR($E104=3,$E104=1,$E104=4),AC104,AB104))),IF($D104="Pressio.",
IF($E104=3,AC104,AB104),
IF($D104="Pénétro.",
IF($E104=4,AC104,AB104))))</f>
        <v>#N/A</v>
      </c>
      <c r="AE104" s="31" t="e">
        <f>(IF(OR(Hypothèses!$B$4=17,Hypothèses!$B$4=18,Hypothèses!$B$4=19,Hypothèses!$B$4=20),
IF($D104="Pressio.",
IF(OR($E104=3,$E104=1,$E104=4),(PI()*AE$12^2)/4*(AA104*$W104*1000)/($H104*$B$5),(PI()*AE$12^2)/4*(AA104*$W104*1000)/($G104*$B$5)),
IF($D104="Pénétro.",
IF(OR($E104=4,$E104=1,$E104=5),(PI()*AE$12^2)/4*(AA104*$W104*1000)/($H104*$B$5),(PI()*AE$12^2)/4*(AA104*$W104*1000)/($G104*$B$5)))),
IF($D104="Pressio.",
IF($E104=3,(PI()*AE$12^2)/4*(AA104*$W104*1000)/($H104*$B$5),(PI()*AE$12^2)/4*(AA104*$W104*1000)/($G104*$B$5)),
IF($D104="Pénétro.",
IF($E104=4,(PI()*AE$12^2)/4*(AA104*$W104*1000)/($H104*$B$5),(PI()*AE$12^2)/4*(AA104*$W104*1000)/($G104*$B$5))))))/10</f>
        <v>#N/A</v>
      </c>
      <c r="AF104" s="102" t="e">
        <f>(VLOOKUP($B$3,'Coeff EC7'!$T$39:$X$59,2,0)*AD104+VLOOKUP($B$3,'Coeff EC7'!$T$65:$X$85,2,0)*Model0.1C!AE104)/1.1</f>
        <v>#N/A</v>
      </c>
      <c r="AG104" s="102" t="e">
        <f>(VLOOKUP($B$3,'Coeff EC7'!$T$39:$X$59,3,0)*AD104+VLOOKUP($B$3,'Coeff EC7'!$T$65:$X$85,3,0)*Model0.1C!AE104)/0.9</f>
        <v>#N/A</v>
      </c>
      <c r="AH104" s="102" t="e">
        <f t="shared" si="139"/>
        <v>#N/A</v>
      </c>
      <c r="AI104" s="102" t="e">
        <f t="shared" si="140"/>
        <v>#N/A</v>
      </c>
      <c r="AJ104" s="414" t="e">
        <f>IF(AJ103=0,0,IF(AND(AF104&gt;charge_ELS_quasi,AG104&gt;Charge_ELS_freq,AH104&gt;charge_ELU,AI104&gt;charge_ELA,$B104&gt;NDC!$H$22-0.1+MIN(3*$AJ$12,1.5)),0,1))</f>
        <v>#N/A</v>
      </c>
      <c r="AK104" s="86" t="b">
        <f t="shared" si="141"/>
        <v>0</v>
      </c>
      <c r="AL104" s="86">
        <f t="shared" si="170"/>
        <v>0.5</v>
      </c>
      <c r="AM104" s="86">
        <f t="shared" si="142"/>
        <v>0.5</v>
      </c>
      <c r="AN104" s="30" t="e">
        <f t="shared" ca="1" si="171"/>
        <v>#DIV/0!</v>
      </c>
      <c r="AO104" s="85" t="e">
        <f ca="1">IF(U104&lt;=Hypothèses!$V$7,Hypothèses!$W$7,IF(U104&lt;=Hypothèses!$V$8,Hypothèses!$W$8,IF(U104&lt;=Hypothèses!$V$9,Hypothèses!$W$9,IF(U104&lt;=Hypothèses!$V$10,Hypothèses!$W$10,IF(U104&lt;=Hypothèses!$V$11,Hypothèses!$W$11,IF(U104&lt;=Hypothèses!$V$12,Hypothèses!$W$12,IF(U104&lt;=Hypothèses!$V$13,Hypothèses!$W$13,IF(U104&lt;=Hypothèses!$V$14,Hypothèses!$W$14,IF(U104&lt;=Hypothèses!$V$15,Hypothèses!$W$15,IF(U104&lt;=Hypothèses!$V$16,Hypothèses!$W$16,IF(U104&lt;=Hypothèses!$V$17,Hypothèses!$W$17,IF(U104&lt;=Hypothèses!$V$18,Hypothèses!$W$18,""))))))))))))</f>
        <v>#DIV/0!</v>
      </c>
      <c r="AP104" s="87" t="e">
        <f t="shared" ca="1" si="217"/>
        <v>#DIV/0!</v>
      </c>
      <c r="AQ104" s="88" t="e">
        <f ca="1">IF(U104&lt;=Hypothèses!$V$7,Hypothèses!$X$7,IF(U104&lt;=Hypothèses!$V$8,Hypothèses!$X$8,IF(U104&lt;=Hypothèses!$V$9,Hypothèses!$X$9,IF(U104&lt;=Hypothèses!$V$10,Hypothèses!$X$10,IF(U104&lt;=Hypothèses!$V$11,Hypothèses!$X$11,IF(U104&lt;=Hypothèses!$V$12,Hypothèses!$X$12,IF(U104&lt;=Hypothèses!$V$13,Hypothèses!$X$13,IF(U104&lt;=Hypothèses!$V$14,Hypothèses!$X$14,IF(U104&lt;=Hypothèses!$V$15,Hypothèses!$X$15,IF(U104&lt;=Hypothèses!$V$16,Hypothèses!$X$16,IF(U104&lt;=Hypothèses!$U$17,Hypothèses!$W$17,IF(U104&lt;=Hypothèses!$U$18,Hypothèses!$W$18,""))))))))))))</f>
        <v>#DIV/0!</v>
      </c>
      <c r="AR104" s="95" t="e">
        <f t="shared" ca="1" si="172"/>
        <v>#DIV/0!</v>
      </c>
      <c r="AS104" s="101" t="e">
        <f t="shared" si="224"/>
        <v>#N/A</v>
      </c>
      <c r="AT104" s="91" t="e">
        <f t="shared" si="143"/>
        <v>#N/A</v>
      </c>
      <c r="AU104" s="30" t="e">
        <f t="shared" si="202"/>
        <v>#N/A</v>
      </c>
      <c r="AV104" s="30" t="e">
        <f t="shared" si="203"/>
        <v>#N/A</v>
      </c>
      <c r="AW104" s="31" t="e">
        <f>IF(OR(Hypothèses!$B$4=17,Hypothèses!$B$4=18,Hypothèses!$B$4=19,Hypothèses!$B$4=20),
IF($D104="Pressio.",
IF(OR($E104=3,$E104=1,$E104=4),AV104,AU104),
IF($D104="Pénétro.",
IF(OR($E104=3,$E104=1,$E104=4),AV104,AU104))),IF($D104="Pressio.",
IF($E104=3,AV104,AU104),
IF($D104="Pénétro.",
IF($E104=4,AV104,AU104))))</f>
        <v>#N/A</v>
      </c>
      <c r="AX104" s="31" t="e">
        <f>(IF(OR(Hypothèses!$B$4=17,Hypothèses!$B$4=18,Hypothèses!$B$4=19,Hypothèses!$B$4=20),
IF($D104="Pressio.",
IF(OR($E104=3,$E104=1,$E104=4),(PI()*AX$12^2)/4*(AT104*$W104*1000)/($H104*$B$5),(PI()*AX$12^2)/4*(AT104*$W104*1000)/($G104*$B$5)),
IF($D104="Pénétro.",
IF(OR($E104=4,$E104=1,$E104=5),(PI()*AX$12^2)/4*(AT104*$W104*1000)/($H104*$B$5),(PI()*AX$12^2)/4*(AT104*$W104*1000)/($G104*$B$5)))),
IF($D104="Pressio.",
IF($E104=3,(PI()*AX$12^2)/4*(AT104*$W104*1000)/($H104*$B$5),(PI()*AX$12^2)/4*(AT104*$W104*1000)/($G104*$B$5)),
IF($D104="Pénétro.",
IF($E104=4,(PI()*AX$12^2)/4*(AT104*$W104*1000)/($H104*$B$5),(PI()*AX$12^2)/4*(AT104*$W104*1000)/($G104*$B$5))))))/10</f>
        <v>#N/A</v>
      </c>
      <c r="AY104" s="102" t="e">
        <f>(VLOOKUP($B$3,'Coeff EC7'!$T$39:$X$59,2,0)*AW104+VLOOKUP($B$3,'Coeff EC7'!$T$65:$X$85,2,0)*Model0.1C!AX104)/1.1</f>
        <v>#N/A</v>
      </c>
      <c r="AZ104" s="102" t="e">
        <f>(VLOOKUP($B$3,'Coeff EC7'!$T$39:$X$59,3,0)*AW104+VLOOKUP($B$3,'Coeff EC7'!$T$65:$X$85,3,0)*Model0.1C!AX104)/0.9</f>
        <v>#N/A</v>
      </c>
      <c r="BA104" s="102" t="e">
        <f t="shared" si="173"/>
        <v>#N/A</v>
      </c>
      <c r="BB104" s="102" t="e">
        <f t="shared" si="174"/>
        <v>#N/A</v>
      </c>
      <c r="BC104" s="414" t="e">
        <f>IF(BC103=0,0,IF(AND(AY104&gt;charge_ELS_quasi,AZ104&gt;Charge_ELS_freq,BA104&gt;charge_ELU,BB104&gt;charge_ELA,$B104&gt;NDC!$H$22-0.1+MIN(3*$BC$12,1.5)),0,1))</f>
        <v>#N/A</v>
      </c>
      <c r="BD104" s="86" t="b">
        <f t="shared" si="144"/>
        <v>0</v>
      </c>
      <c r="BE104" s="86">
        <f t="shared" si="175"/>
        <v>0.5</v>
      </c>
      <c r="BF104" s="86">
        <f t="shared" si="145"/>
        <v>0.5</v>
      </c>
      <c r="BG104" s="30" t="e">
        <f t="shared" ca="1" si="176"/>
        <v>#DIV/0!</v>
      </c>
      <c r="BH104" s="85" t="e">
        <f ca="1">IF(AN104&lt;=Hypothèses!$V$7,Hypothèses!$W$7,IF(AN104&lt;=Hypothèses!$V$8,Hypothèses!$W$8,IF(AN104&lt;=Hypothèses!$V$9,Hypothèses!$W$9,IF(AN104&lt;=Hypothèses!$V$10,Hypothèses!$W$10,IF(AN104&lt;=Hypothèses!$V$11,Hypothèses!$W$11,IF(AN104&lt;=Hypothèses!$V$12,Hypothèses!$W$12,IF(AN104&lt;=Hypothèses!$V$13,Hypothèses!$W$13,IF(AN104&lt;=Hypothèses!$V$14,Hypothèses!$W$14,IF(AN104&lt;=Hypothèses!$V$15,Hypothèses!$W$15,IF(AN104&lt;=Hypothèses!$V$16,Hypothèses!$W$16,IF(AN104&lt;=Hypothèses!$V$17,Hypothèses!$W$17,IF(AN104&lt;=Hypothèses!$V$18,Hypothèses!$W$18,""))))))))))))</f>
        <v>#DIV/0!</v>
      </c>
      <c r="BI104" s="87" t="e">
        <f t="shared" ca="1" si="218"/>
        <v>#DIV/0!</v>
      </c>
      <c r="BJ104" s="88" t="e">
        <f ca="1">IF(AN104&lt;=Hypothèses!$V$7,Hypothèses!$X$7,IF(AN104&lt;=Hypothèses!$V$8,Hypothèses!$X$8,IF(AN104&lt;=Hypothèses!$V$9,Hypothèses!$X$9,IF(AN104&lt;=Hypothèses!$V$10,Hypothèses!$X$10,IF(AN104&lt;=Hypothèses!$V$11,Hypothèses!$X$11,IF(AN104&lt;=Hypothèses!$V$12,Hypothèses!$X$12,IF(AN104&lt;=Hypothèses!$V$13,Hypothèses!$X$13,IF(AN104&lt;=Hypothèses!$V$14,Hypothèses!$X$14,IF(AN104&lt;=Hypothèses!$V$15,Hypothèses!$X$15,IF(AN104&lt;=Hypothèses!$V$16,Hypothèses!$X$16,IF(AN104&lt;=Hypothèses!$U$17,Hypothèses!$W$17,IF(AN104&lt;=Hypothèses!$U$18,Hypothèses!$W$18,""))))))))))))</f>
        <v>#DIV/0!</v>
      </c>
      <c r="BK104" s="95" t="e">
        <f t="shared" ca="1" si="177"/>
        <v>#DIV/0!</v>
      </c>
      <c r="BL104" s="101" t="e">
        <f t="shared" si="225"/>
        <v>#N/A</v>
      </c>
      <c r="BM104" s="91" t="e">
        <f t="shared" si="146"/>
        <v>#N/A</v>
      </c>
      <c r="BN104" s="30" t="e">
        <f t="shared" si="204"/>
        <v>#N/A</v>
      </c>
      <c r="BO104" s="30" t="e">
        <f t="shared" si="205"/>
        <v>#N/A</v>
      </c>
      <c r="BP104" s="31" t="e">
        <f>IF(OR(Hypothèses!$B$4=17,Hypothèses!$B$4=18,Hypothèses!$B$4=19,Hypothèses!$B$4=20),
IF($D104="Pressio.",
IF(OR($E104=3,$E104=1,$E104=4),BO104,BN104),
IF($D104="Pénétro.",
IF(OR($E104=3,$E104=1,$E104=4),BO104,BN104))),IF($D104="Pressio.",
IF($E104=3,BO104,BN104),
IF($D104="Pénétro.",
IF($E104=4,BO104,BN104))))</f>
        <v>#N/A</v>
      </c>
      <c r="BQ104" s="31" t="e">
        <f>(IF(OR(Hypothèses!$B$4=17,Hypothèses!$B$4=18,Hypothèses!$B$4=19,Hypothèses!$B$4=20),
IF($D104="Pressio.",
IF(OR($E104=3,$E104=1,$E104=4),(PI()*BQ$12^2)/4*(BM104*$W104*1000)/($H104*$B$5),(PI()*BQ$12^2)/4*(BM104*$W104*1000)/($G104*$B$5)),
IF($D104="Pénétro.",
IF(OR($E104=4,$E104=1,$E104=5),(PI()*BQ$12^2)/4*(BM104*$W104*1000)/($H104*$B$5),(PI()*BQ$12^2)/4*(BM104*$W104*1000)/($G104*$B$5)))),
IF($D104="Pressio.",
IF($E104=3,(PI()*BQ$12^2)/4*(BM104*$W104*1000)/($H104*$B$5),(PI()*BQ$12^2)/4*(BM104*$W104*1000)/($G104*$B$5)),
IF($D104="Pénétro.",
IF($E104=4,(PI()*BQ$12^2)/4*(BM104*$W104*1000)/($H104*$B$5),(PI()*BQ$12^2)/4*(BM104*$W104*1000)/($G104*$B$5))))))/10</f>
        <v>#N/A</v>
      </c>
      <c r="BR104" s="102" t="e">
        <f>(VLOOKUP($B$3,'Coeff EC7'!$T$39:$X$59,2,0)*BP104+VLOOKUP($B$3,'Coeff EC7'!$T$65:$X$85,2,0)*Model0.1C!BQ104)/1.1</f>
        <v>#N/A</v>
      </c>
      <c r="BS104" s="102" t="e">
        <f>(VLOOKUP($B$3,'Coeff EC7'!$T$39:$X$59,3,0)*BP104+VLOOKUP($B$3,'Coeff EC7'!$T$65:$X$85,3,0)*Model0.1C!BQ104)/0.9</f>
        <v>#N/A</v>
      </c>
      <c r="BT104" s="102" t="e">
        <f t="shared" si="178"/>
        <v>#N/A</v>
      </c>
      <c r="BU104" s="102" t="e">
        <f t="shared" si="179"/>
        <v>#N/A</v>
      </c>
      <c r="BV104" s="414" t="e">
        <f>IF(BV103=0,0,IF(AND(BR104&gt;charge_ELS_quasi,BS104&gt;Charge_ELS_freq,BT104&gt;charge_ELU,BU104&gt;charge_ELA,$B104&gt;NDC!$H$22-0.1+MIN(3*$BV$12,1.5)),0,1))</f>
        <v>#N/A</v>
      </c>
      <c r="BW104" s="86" t="b">
        <f t="shared" si="147"/>
        <v>0</v>
      </c>
      <c r="BX104" s="86">
        <f t="shared" si="148"/>
        <v>0.5</v>
      </c>
      <c r="BY104" s="86">
        <f t="shared" si="149"/>
        <v>0.5</v>
      </c>
      <c r="BZ104" s="30" t="e">
        <f t="shared" ca="1" si="180"/>
        <v>#DIV/0!</v>
      </c>
      <c r="CA104" s="85" t="e">
        <f ca="1">IF(BG104&lt;=Hypothèses!$V$7,Hypothèses!$W$7,IF(BG104&lt;=Hypothèses!$V$8,Hypothèses!$W$8,IF(BG104&lt;=Hypothèses!$V$9,Hypothèses!$W$9,IF(BG104&lt;=Hypothèses!$V$10,Hypothèses!$W$10,IF(BG104&lt;=Hypothèses!$V$11,Hypothèses!$W$11,IF(BG104&lt;=Hypothèses!$V$12,Hypothèses!$W$12,IF(BG104&lt;=Hypothèses!$V$13,Hypothèses!$W$13,IF(BG104&lt;=Hypothèses!$V$14,Hypothèses!$W$14,IF(BG104&lt;=Hypothèses!$V$15,Hypothèses!$W$15,IF(BG104&lt;=Hypothèses!$V$16,Hypothèses!$W$16,IF(BG104&lt;=Hypothèses!$V$17,Hypothèses!$W$17,IF(BG104&lt;=Hypothèses!$V$18,Hypothèses!$W$18,""))))))))))))</f>
        <v>#DIV/0!</v>
      </c>
      <c r="CB104" s="87" t="e">
        <f t="shared" ca="1" si="219"/>
        <v>#DIV/0!</v>
      </c>
      <c r="CC104" s="88" t="e">
        <f ca="1">IF(BG104&lt;=Hypothèses!$V$7,Hypothèses!$X$7,IF(BG104&lt;=Hypothèses!$V$8,Hypothèses!$X$8,IF(BG104&lt;=Hypothèses!$V$9,Hypothèses!$X$9,IF(BG104&lt;=Hypothèses!$V$10,Hypothèses!$X$10,IF(BG104&lt;=Hypothèses!$V$11,Hypothèses!$X$11,IF(BG104&lt;=Hypothèses!$V$12,Hypothèses!$X$12,IF(BG104&lt;=Hypothèses!$V$13,Hypothèses!$X$13,IF(BG104&lt;=Hypothèses!$V$14,Hypothèses!$X$14,IF(BG104&lt;=Hypothèses!$V$15,Hypothèses!$X$15,IF(BG104&lt;=Hypothèses!$V$16,Hypothèses!$X$16,IF(BG104&lt;=Hypothèses!$U$17,Hypothèses!$W$17,IF(BG104&lt;=Hypothèses!$U$18,Hypothèses!$W$18,""))))))))))))</f>
        <v>#DIV/0!</v>
      </c>
      <c r="CD104" s="95" t="e">
        <f t="shared" ca="1" si="181"/>
        <v>#DIV/0!</v>
      </c>
      <c r="CE104" s="101" t="e">
        <f t="shared" si="226"/>
        <v>#N/A</v>
      </c>
      <c r="CF104" s="91" t="e">
        <f t="shared" si="150"/>
        <v>#N/A</v>
      </c>
      <c r="CG104" s="30" t="e">
        <f t="shared" si="206"/>
        <v>#N/A</v>
      </c>
      <c r="CH104" s="30" t="e">
        <f t="shared" si="207"/>
        <v>#N/A</v>
      </c>
      <c r="CI104" s="31" t="e">
        <f>IF(OR(Hypothèses!$B$4=17,Hypothèses!$B$4=18,Hypothèses!$B$4=19,Hypothèses!$B$4=20),
IF($D104="Pressio.",
IF(OR($E104=3,$E104=1,$E104=4),CH104,CG104),
IF($D104="Pénétro.",
IF(OR($E104=3,$E104=1,$E104=4),CH104,CG104))),IF($D104="Pressio.",
IF($E104=3,CH104,CG104),
IF($D104="Pénétro.",
IF($E104=4,CH104,CG104))))</f>
        <v>#N/A</v>
      </c>
      <c r="CJ104" s="31" t="e">
        <f>(IF(OR(Hypothèses!$B$4=17,Hypothèses!$B$4=18,Hypothèses!$B$4=19,Hypothèses!$B$4=20),
IF($D104="Pressio.",
IF(OR($E104=3,$E104=1,$E104=4),(PI()*CJ$12^2)/4*(CF104*$W104*1000)/($H104*$B$5),(PI()*CJ$12^2)/4*(CF104*$W104*1000)/($G104*$B$5)),
IF($D104="Pénétro.",
IF(OR($E104=4,$E104=1,$E104=5),(PI()*CJ$12^2)/4*(CF104*$W104*1000)/($H104*$B$5),(PI()*CJ$12^2)/4*(CF104*$W104*1000)/($G104*$B$5)))),
IF($D104="Pressio.",
IF($E104=3,(PI()*CJ$12^2)/4*(CF104*$W104*1000)/($H104*$B$5),(PI()*CJ$12^2)/4*(CF104*$W104*1000)/($G104*$B$5)),
IF($D104="Pénétro.",
IF($E104=4,(PI()*CJ$12^2)/4*(CF104*$W104*1000)/($H104*$B$5),(PI()*CJ$12^2)/4*(CF104*$W104*1000)/($G104*$B$5))))))/10</f>
        <v>#N/A</v>
      </c>
      <c r="CK104" s="102" t="e">
        <f>(VLOOKUP($B$3,'Coeff EC7'!$T$39:$X$59,2,0)*CI104+VLOOKUP($B$3,'Coeff EC7'!$T$65:$X$85,2,0)*Model0.1C!CJ104)/1.1</f>
        <v>#N/A</v>
      </c>
      <c r="CL104" s="102" t="e">
        <f>(VLOOKUP($B$3,'Coeff EC7'!$T$39:$X$59,3,0)*CI104+VLOOKUP($B$3,'Coeff EC7'!$T$65:$X$85,3,0)*Model0.1C!CJ104)/0.9</f>
        <v>#N/A</v>
      </c>
      <c r="CM104" s="102" t="e">
        <f t="shared" si="182"/>
        <v>#N/A</v>
      </c>
      <c r="CN104" s="102" t="e">
        <f t="shared" si="183"/>
        <v>#N/A</v>
      </c>
      <c r="CO104" s="414" t="e">
        <f>IF(CO103=0,0,IF(AND(CK104&gt;charge_ELS_quasi,CL104&gt;Charge_ELS_freq,CM104&gt;charge_ELU,CN104&gt;charge_ELA,$B104&gt;NDC!$H$22-0.1+MIN(3*$CO$12,1.5)),0,1))</f>
        <v>#N/A</v>
      </c>
      <c r="CP104" s="86" t="b">
        <f t="shared" si="151"/>
        <v>0</v>
      </c>
      <c r="CQ104" s="86">
        <f t="shared" si="152"/>
        <v>0.5</v>
      </c>
      <c r="CR104" s="86">
        <f t="shared" si="153"/>
        <v>0.5</v>
      </c>
      <c r="CS104" s="30" t="e">
        <f t="shared" ca="1" si="184"/>
        <v>#DIV/0!</v>
      </c>
      <c r="CT104" s="85" t="e">
        <f ca="1">IF(BZ104&lt;=Hypothèses!$V$7,Hypothèses!$W$7,IF(BZ104&lt;=Hypothèses!$V$8,Hypothèses!$W$8,IF(BZ104&lt;=Hypothèses!$V$9,Hypothèses!$W$9,IF(BZ104&lt;=Hypothèses!$V$10,Hypothèses!$W$10,IF(BZ104&lt;=Hypothèses!$V$11,Hypothèses!$W$11,IF(BZ104&lt;=Hypothèses!$V$12,Hypothèses!$W$12,IF(BZ104&lt;=Hypothèses!$V$13,Hypothèses!$W$13,IF(BZ104&lt;=Hypothèses!$V$14,Hypothèses!$W$14,IF(BZ104&lt;=Hypothèses!$V$15,Hypothèses!$W$15,IF(BZ104&lt;=Hypothèses!$V$16,Hypothèses!$W$16,IF(BZ104&lt;=Hypothèses!$V$17,Hypothèses!$W$17,IF(BZ104&lt;=Hypothèses!$V$18,Hypothèses!$W$18,""))))))))))))</f>
        <v>#DIV/0!</v>
      </c>
      <c r="CU104" s="87" t="e">
        <f t="shared" ca="1" si="220"/>
        <v>#DIV/0!</v>
      </c>
      <c r="CV104" s="88" t="e">
        <f ca="1">IF(BZ104&lt;=Hypothèses!$V$7,Hypothèses!$X$7,IF(BZ104&lt;=Hypothèses!$V$8,Hypothèses!$X$8,IF(BZ104&lt;=Hypothèses!$V$9,Hypothèses!$X$9,IF(BZ104&lt;=Hypothèses!$V$10,Hypothèses!$X$10,IF(BZ104&lt;=Hypothèses!$V$11,Hypothèses!$X$11,IF(BZ104&lt;=Hypothèses!$V$12,Hypothèses!$X$12,IF(BZ104&lt;=Hypothèses!$V$13,Hypothèses!$X$13,IF(BZ104&lt;=Hypothèses!$V$14,Hypothèses!$X$14,IF(BZ104&lt;=Hypothèses!$V$15,Hypothèses!$X$15,IF(BZ104&lt;=Hypothèses!$V$16,Hypothèses!$X$16,IF(BZ104&lt;=Hypothèses!$U$17,Hypothèses!$W$17,IF(BZ104&lt;=Hypothèses!$U$18,Hypothèses!$W$18,""))))))))))))</f>
        <v>#DIV/0!</v>
      </c>
      <c r="CW104" s="95" t="e">
        <f t="shared" ca="1" si="185"/>
        <v>#DIV/0!</v>
      </c>
      <c r="CX104" s="101" t="e">
        <f t="shared" si="227"/>
        <v>#N/A</v>
      </c>
      <c r="CY104" s="91" t="e">
        <f t="shared" si="154"/>
        <v>#N/A</v>
      </c>
      <c r="CZ104" s="30" t="e">
        <f t="shared" si="208"/>
        <v>#N/A</v>
      </c>
      <c r="DA104" s="30" t="e">
        <f t="shared" si="209"/>
        <v>#N/A</v>
      </c>
      <c r="DB104" s="31" t="e">
        <f>IF(OR(Hypothèses!$B$4=17,Hypothèses!$B$4=18,Hypothèses!$B$4=19,Hypothèses!$B$4=20),
IF($D104="Pressio.",
IF(OR($E104=3,$E104=1,$E104=4),DA104,CZ104),
IF($D104="Pénétro.",
IF(OR($E104=3,$E104=1,$E104=4),DA104,CZ104))),IF($D104="Pressio.",
IF($E104=3,DA104,CZ104),
IF($D104="Pénétro.",
IF($E104=4,DA104,CZ104))))</f>
        <v>#N/A</v>
      </c>
      <c r="DC104" s="31" t="e">
        <f>(IF(OR(Hypothèses!$B$4=17,Hypothèses!$B$4=18,Hypothèses!$B$4=19,Hypothèses!$B$4=20),
IF($D104="Pressio.",
IF(OR($E104=3,$E104=1,$E104=4),(PI()*DC$12^2)/4*(CY104*$W104*1000)/($H104*$B$5),(PI()*DC$12^2)/4*(CY104*$W104*1000)/($G104*$B$5)),
IF($D104="Pénétro.",
IF(OR($E104=4,$E104=1,$E104=5),(PI()*DC$12^2)/4*(CY104*$W104*1000)/($H104*$B$5),(PI()*DC$12^2)/4*(CY104*$W104*1000)/($G104*$B$5)))),
IF($D104="Pressio.",
IF($E104=3,(PI()*DC$12^2)/4*(CY104*$W104*1000)/($H104*$B$5),(PI()*DC$12^2)/4*(CY104*$W104*1000)/($G104*$B$5)),
IF($D104="Pénétro.",
IF($E104=4,(PI()*DC$12^2)/4*(CY104*$W104*1000)/($H104*$B$5),(PI()*DC$12^2)/4*(CY104*$W104*1000)/($G104*$B$5))))))/10</f>
        <v>#N/A</v>
      </c>
      <c r="DD104" s="102" t="e">
        <f>(VLOOKUP($B$3,'Coeff EC7'!$T$39:$X$59,2,0)*DB104+VLOOKUP($B$3,'Coeff EC7'!$T$65:$X$85,2,0)*Model0.1C!DC104)/1.1</f>
        <v>#N/A</v>
      </c>
      <c r="DE104" s="102" t="e">
        <f>(VLOOKUP($B$3,'Coeff EC7'!$T$39:$X$59,3,0)*DB104+VLOOKUP($B$3,'Coeff EC7'!$T$65:$X$85,3,0)*Model0.1C!DC104)/0.9</f>
        <v>#N/A</v>
      </c>
      <c r="DF104" s="102" t="e">
        <f t="shared" si="186"/>
        <v>#N/A</v>
      </c>
      <c r="DG104" s="102" t="e">
        <f t="shared" si="187"/>
        <v>#N/A</v>
      </c>
      <c r="DH104" s="414" t="e">
        <f>IF(DH103=0,0,IF(AND(DD104&gt;charge_ELS_quasi,DE104&gt;Charge_ELS_freq,DF104&gt;charge_ELU,DG104&gt;charge_ELA,$B104&gt;NDC!$H$22-0.1+MIN(3*$DH$12,1.5)),0,1))</f>
        <v>#N/A</v>
      </c>
      <c r="DI104" s="86" t="b">
        <f t="shared" si="155"/>
        <v>0</v>
      </c>
      <c r="DJ104" s="86">
        <f t="shared" si="156"/>
        <v>0.5</v>
      </c>
      <c r="DK104" s="86">
        <f t="shared" si="157"/>
        <v>0.5</v>
      </c>
      <c r="DL104" s="30" t="e">
        <f t="shared" ca="1" si="188"/>
        <v>#DIV/0!</v>
      </c>
      <c r="DM104" s="85" t="e">
        <f ca="1">IF(CS104&lt;=Hypothèses!$V$7,Hypothèses!$W$7,IF(CS104&lt;=Hypothèses!$V$8,Hypothèses!$W$8,IF(CS104&lt;=Hypothèses!$V$9,Hypothèses!$W$9,IF(CS104&lt;=Hypothèses!$V$10,Hypothèses!$W$10,IF(CS104&lt;=Hypothèses!$V$11,Hypothèses!$W$11,IF(CS104&lt;=Hypothèses!$V$12,Hypothèses!$W$12,IF(CS104&lt;=Hypothèses!$V$13,Hypothèses!$W$13,IF(CS104&lt;=Hypothèses!$V$14,Hypothèses!$W$14,IF(CS104&lt;=Hypothèses!$V$15,Hypothèses!$W$15,IF(CS104&lt;=Hypothèses!$V$16,Hypothèses!$W$16,IF(CS104&lt;=Hypothèses!$V$17,Hypothèses!$W$17,IF(CS104&lt;=Hypothèses!$V$18,Hypothèses!$W$18,""))))))))))))</f>
        <v>#DIV/0!</v>
      </c>
      <c r="DN104" s="87" t="e">
        <f t="shared" ca="1" si="221"/>
        <v>#DIV/0!</v>
      </c>
      <c r="DO104" s="88" t="e">
        <f ca="1">IF(CS104&lt;=Hypothèses!$V$7,Hypothèses!$X$7,IF(CS104&lt;=Hypothèses!$V$8,Hypothèses!$X$8,IF(CS104&lt;=Hypothèses!$V$9,Hypothèses!$X$9,IF(CS104&lt;=Hypothèses!$V$10,Hypothèses!$X$10,IF(CS104&lt;=Hypothèses!$V$11,Hypothèses!$X$11,IF(CS104&lt;=Hypothèses!$V$12,Hypothèses!$X$12,IF(CS104&lt;=Hypothèses!$V$13,Hypothèses!$X$13,IF(CS104&lt;=Hypothèses!$V$14,Hypothèses!$X$14,IF(CS104&lt;=Hypothèses!$V$15,Hypothèses!$X$15,IF(CS104&lt;=Hypothèses!$V$16,Hypothèses!$X$16,IF(CS104&lt;=Hypothèses!$U$17,Hypothèses!$W$17,IF(CS104&lt;=Hypothèses!$U$18,Hypothèses!$W$18,""))))))))))))</f>
        <v>#DIV/0!</v>
      </c>
      <c r="DP104" s="95" t="e">
        <f t="shared" ca="1" si="189"/>
        <v>#DIV/0!</v>
      </c>
      <c r="DQ104" s="101" t="e">
        <f t="shared" si="228"/>
        <v>#N/A</v>
      </c>
      <c r="DR104" s="91" t="e">
        <f t="shared" si="158"/>
        <v>#N/A</v>
      </c>
      <c r="DS104" s="30" t="e">
        <f t="shared" si="210"/>
        <v>#N/A</v>
      </c>
      <c r="DT104" s="30" t="e">
        <f t="shared" si="211"/>
        <v>#N/A</v>
      </c>
      <c r="DU104" s="31" t="e">
        <f>IF(OR(Hypothèses!$B$4=17,Hypothèses!$B$4=18,Hypothèses!$B$4=19,Hypothèses!$B$4=20),
IF($D104="Pressio.",
IF(OR($E104=3,$E104=1,$E104=4),DT104,DS104),
IF($D104="Pénétro.",
IF(OR($E104=3,$E104=1,$E104=4),DT104,DS104))),IF($D104="Pressio.",
IF($E104=3,DT104,DS104),
IF($D104="Pénétro.",
IF($E104=4,DT104,DS104))))</f>
        <v>#N/A</v>
      </c>
      <c r="DV104" s="31" t="e">
        <f>(IF(OR(Hypothèses!$B$4=17,Hypothèses!$B$4=18,Hypothèses!$B$4=19,Hypothèses!$B$4=20),
IF($D104="Pressio.",
IF(OR($E104=3,$E104=1,$E104=4),(PI()*DV$12^2)/4*(DR104*$W104*1000)/($H104*$B$5),(PI()*DV$12^2)/4*(DR104*$W104*1000)/($G104*$B$5)),
IF($D104="Pénétro.",
IF(OR($E104=4,$E104=1,$E104=5),(PI()*DV$12^2)/4*(DR104*$W104*1000)/($H104*$B$5),(PI()*DV$12^2)/4*(DR104*$W104*1000)/($G104*$B$5)))),
IF($D104="Pressio.",
IF($E104=3,(PI()*DV$12^2)/4*(DR104*$W104*1000)/($H104*$B$5),(PI()*DV$12^2)/4*(DR104*$W104*1000)/($G104*$B$5)),
IF($D104="Pénétro.",
IF($E104=4,(PI()*DV$12^2)/4*(DR104*$W104*1000)/($H104*$B$5),(PI()*DV$12^2)/4*(DR104*$W104*1000)/($G104*$B$5))))))/10</f>
        <v>#N/A</v>
      </c>
      <c r="DW104" s="102" t="e">
        <f>(VLOOKUP($B$3,'Coeff EC7'!$T$39:$X$59,2,0)*DU104+VLOOKUP($B$3,'Coeff EC7'!$T$65:$X$85,2,0)*Model0.1C!DV104)/1.1</f>
        <v>#N/A</v>
      </c>
      <c r="DX104" s="102" t="e">
        <f>(VLOOKUP($B$3,'Coeff EC7'!$T$39:$X$59,3,0)*DU104+VLOOKUP($B$3,'Coeff EC7'!$T$65:$X$85,3,0)*Model0.1C!DV104)/0.9</f>
        <v>#N/A</v>
      </c>
      <c r="DY104" s="102" t="e">
        <f t="shared" si="190"/>
        <v>#N/A</v>
      </c>
      <c r="DZ104" s="102" t="e">
        <f t="shared" si="191"/>
        <v>#N/A</v>
      </c>
      <c r="EA104" s="414" t="e">
        <f>IF(EA103=0,0,IF(AND(DW104&gt;charge_ELS_quasi,DX104&gt;Charge_ELS_freq,DY104&gt;charge_ELU,DZ104&gt;charge_ELA,$B104&gt;NDC!$H$22-0.1+MIN(3*$EA$12,1.5)),0,1))</f>
        <v>#N/A</v>
      </c>
      <c r="EB104" s="86" t="b">
        <f t="shared" si="159"/>
        <v>0</v>
      </c>
      <c r="EC104" s="418">
        <f t="shared" si="160"/>
        <v>0.51</v>
      </c>
      <c r="ED104" s="86">
        <f t="shared" si="161"/>
        <v>0.51</v>
      </c>
      <c r="EE104" s="30" t="e">
        <f t="shared" ca="1" si="192"/>
        <v>#DIV/0!</v>
      </c>
      <c r="EF104" s="85" t="e">
        <f ca="1">IF(DL104&lt;=Hypothèses!$V$7,Hypothèses!$W$7,IF(DL104&lt;=Hypothèses!$V$8,Hypothèses!$W$8,IF(DL104&lt;=Hypothèses!$V$9,Hypothèses!$W$9,IF(DL104&lt;=Hypothèses!$V$10,Hypothèses!$W$10,IF(DL104&lt;=Hypothèses!$V$11,Hypothèses!$W$11,IF(DL104&lt;=Hypothèses!$V$12,Hypothèses!$W$12,IF(DL104&lt;=Hypothèses!$V$13,Hypothèses!$W$13,IF(DL104&lt;=Hypothèses!$V$14,Hypothèses!$W$14,IF(DL104&lt;=Hypothèses!$V$15,Hypothèses!$W$15,IF(DL104&lt;=Hypothèses!$V$16,Hypothèses!$W$16,IF(DL104&lt;=Hypothèses!$V$17,Hypothèses!$W$17,IF(DL104&lt;=Hypothèses!$V$18,Hypothèses!$W$18,""))))))))))))</f>
        <v>#DIV/0!</v>
      </c>
      <c r="EG104" s="87" t="e">
        <f t="shared" ca="1" si="222"/>
        <v>#DIV/0!</v>
      </c>
      <c r="EH104" s="88" t="e">
        <f ca="1">IF(DL104&lt;=Hypothèses!$V$7,Hypothèses!$X$7,IF(DL104&lt;=Hypothèses!$V$8,Hypothèses!$X$8,IF(DL104&lt;=Hypothèses!$V$9,Hypothèses!$X$9,IF(DL104&lt;=Hypothèses!$V$10,Hypothèses!$X$10,IF(DL104&lt;=Hypothèses!$V$11,Hypothèses!$X$11,IF(DL104&lt;=Hypothèses!$V$12,Hypothèses!$X$12,IF(DL104&lt;=Hypothèses!$V$13,Hypothèses!$X$13,IF(DL104&lt;=Hypothèses!$V$14,Hypothèses!$X$14,IF(DL104&lt;=Hypothèses!$V$15,Hypothèses!$X$15,IF(DL104&lt;=Hypothèses!$V$16,Hypothèses!$X$16,IF(DL104&lt;=Hypothèses!$U$17,Hypothèses!$W$17,IF(DL104&lt;=Hypothèses!$U$18,Hypothèses!$W$18,""))))))))))))</f>
        <v>#DIV/0!</v>
      </c>
      <c r="EI104" s="95" t="e">
        <f t="shared" ca="1" si="193"/>
        <v>#DIV/0!</v>
      </c>
      <c r="EJ104" s="101" t="e">
        <f t="shared" si="229"/>
        <v>#N/A</v>
      </c>
      <c r="EK104" s="91" t="e">
        <f t="shared" si="162"/>
        <v>#N/A</v>
      </c>
      <c r="EL104" s="30" t="e">
        <f t="shared" si="212"/>
        <v>#N/A</v>
      </c>
      <c r="EM104" s="30" t="e">
        <f t="shared" si="213"/>
        <v>#N/A</v>
      </c>
      <c r="EN104" s="31" t="e">
        <f>IF(OR(Hypothèses!$B$4=17,Hypothèses!$B$4=18,Hypothèses!$B$4=19,Hypothèses!$B$4=20),
IF($D104="Pressio.",
IF(OR($E104=3,$E104=1,$E104=4),EM104,EL104),
IF($D104="Pénétro.",
IF(OR($E104=3,$E104=1,$E104=4),EM104,EL104))),IF($D104="Pressio.",
IF($E104=3,EM104,EL104),
IF($D104="Pénétro.",
IF($E104=4,EM104,EL104))))</f>
        <v>#N/A</v>
      </c>
      <c r="EO104" s="31" t="e">
        <f>(IF(OR(Hypothèses!$B$4=17,Hypothèses!$B$4=18,Hypothèses!$B$4=19,Hypothèses!$B$4=20),
IF($D104="Pressio.",
IF(OR($E104=3,$E104=1,$E104=4),(PI()*EO$12^2)/4*(EK104*$W104*1000)/($H104*$B$5),(PI()*EO$12^2)/4*(EK104*$W104*1000)/($G104*$B$5)),
IF($D104="Pénétro.",
IF(OR($E104=4,$E104=1,$E104=5),(PI()*EO$12^2)/4*(EK104*$W104*1000)/($H104*$B$5),(PI()*EO$12^2)/4*(EK104*$W104*1000)/($G104*$B$5)))),
IF($D104="Pressio.",
IF($E104=3,(PI()*EO$12^2)/4*(EK104*$W104*1000)/($H104*$B$5),(PI()*EO$12^2)/4*(EK104*$W104*1000)/($G104*$B$5)),
IF($D104="Pénétro.",
IF($E104=4,(PI()*EO$12^2)/4*(EK104*$W104*1000)/($H104*$B$5),(PI()*EO$12^2)/4*(EK104*$W104*1000)/($G104*$B$5))))))/10</f>
        <v>#N/A</v>
      </c>
      <c r="EP104" s="102" t="e">
        <f>(VLOOKUP($B$3,'Coeff EC7'!$T$39:$X$59,2,0)*EN104+VLOOKUP($B$3,'Coeff EC7'!$T$65:$X$85,2,0)*Model0.1C!EO104)/1.1</f>
        <v>#N/A</v>
      </c>
      <c r="EQ104" s="102" t="e">
        <f>(VLOOKUP($B$3,'Coeff EC7'!$T$39:$X$59,3,0)*EN104+VLOOKUP($B$3,'Coeff EC7'!$T$65:$X$85,3,0)*Model0.1C!EO104)/0.9</f>
        <v>#N/A</v>
      </c>
      <c r="ER104" s="102" t="e">
        <f t="shared" si="194"/>
        <v>#N/A</v>
      </c>
      <c r="ES104" s="102" t="e">
        <f t="shared" si="195"/>
        <v>#N/A</v>
      </c>
      <c r="ET104" s="414" t="e">
        <f>IF(ET103=0,0,IF(AND(EP104&gt;charge_ELS_quasi,EQ104&gt;Charge_ELS_freq,ER104&gt;charge_ELU,ES104&gt;charge_ELA,$B104&gt;NDC!$H$22-0.1+MIN(3*$ET$12,1.5)),0,1))</f>
        <v>#N/A</v>
      </c>
      <c r="EU104" s="86" t="b">
        <f t="shared" si="163"/>
        <v>0</v>
      </c>
      <c r="EV104" s="86">
        <f t="shared" si="164"/>
        <v>0.61</v>
      </c>
      <c r="EW104" s="86">
        <f t="shared" si="165"/>
        <v>0.61</v>
      </c>
      <c r="EX104" s="30" t="e">
        <f t="shared" ca="1" si="196"/>
        <v>#DIV/0!</v>
      </c>
      <c r="EY104" s="85" t="e">
        <f ca="1">IF(EE104&lt;=Hypothèses!$V$7,Hypothèses!$W$7,IF(EE104&lt;=Hypothèses!$V$8,Hypothèses!$W$8,IF(EE104&lt;=Hypothèses!$V$9,Hypothèses!$W$9,IF(EE104&lt;=Hypothèses!$V$10,Hypothèses!$W$10,IF(EE104&lt;=Hypothèses!$V$11,Hypothèses!$W$11,IF(EE104&lt;=Hypothèses!$V$12,Hypothèses!$W$12,IF(EE104&lt;=Hypothèses!$V$13,Hypothèses!$W$13,IF(EE104&lt;=Hypothèses!$V$14,Hypothèses!$W$14,IF(EE104&lt;=Hypothèses!$V$15,Hypothèses!$W$15,IF(EE104&lt;=Hypothèses!$V$16,Hypothèses!$W$16,IF(EE104&lt;=Hypothèses!$V$17,Hypothèses!$W$17,IF(EE104&lt;=Hypothèses!$V$18,Hypothèses!$W$18,""))))))))))))</f>
        <v>#DIV/0!</v>
      </c>
      <c r="EZ104" s="87" t="e">
        <f t="shared" ca="1" si="223"/>
        <v>#DIV/0!</v>
      </c>
      <c r="FA104" s="88" t="e">
        <f ca="1">IF(EE104&lt;=Hypothèses!$V$7,Hypothèses!$X$7,IF(EE104&lt;=Hypothèses!$V$8,Hypothèses!$X$8,IF(EE104&lt;=Hypothèses!$V$9,Hypothèses!$X$9,IF(EE104&lt;=Hypothèses!$V$10,Hypothèses!$X$10,IF(EE104&lt;=Hypothèses!$V$11,Hypothèses!$X$11,IF(EE104&lt;=Hypothèses!$V$12,Hypothèses!$X$12,IF(EE104&lt;=Hypothèses!$V$13,Hypothèses!$X$13,IF(EE104&lt;=Hypothèses!$V$14,Hypothèses!$X$14,IF(EE104&lt;=Hypothèses!$V$15,Hypothèses!$X$15,IF(EE104&lt;=Hypothèses!$V$16,Hypothèses!$X$16,IF(EE104&lt;=Hypothèses!$U$17,Hypothèses!$W$17,IF(EE104&lt;=Hypothèses!$U$18,Hypothèses!$W$18,""))))))))))))</f>
        <v>#DIV/0!</v>
      </c>
      <c r="FB104" s="95" t="e">
        <f t="shared" ca="1" si="197"/>
        <v>#DIV/0!</v>
      </c>
      <c r="FC104" s="101" t="e">
        <f t="shared" si="230"/>
        <v>#N/A</v>
      </c>
      <c r="FD104" s="91" t="e">
        <f t="shared" si="166"/>
        <v>#N/A</v>
      </c>
      <c r="FE104" s="30" t="e">
        <f t="shared" si="214"/>
        <v>#N/A</v>
      </c>
      <c r="FF104" s="30" t="e">
        <f t="shared" si="215"/>
        <v>#N/A</v>
      </c>
      <c r="FG104" s="31" t="e">
        <f>IF(OR(Hypothèses!$B$4=17,Hypothèses!$B$4=18,Hypothèses!$B$4=19,Hypothèses!$B$4=20),
IF($D104="Pressio.",
IF(OR($E104=3,$E104=1,$E104=4),FF104,FE104),
IF($D104="Pénétro.",
IF(OR($E104=3,$E104=1,$E104=4),FF104,FE104))),IF($D104="Pressio.",
IF($E104=3,FF104,FE104),
IF($D104="Pénétro.",
IF($E104=4,FF104,FE104))))</f>
        <v>#N/A</v>
      </c>
      <c r="FH104" s="31" t="e">
        <f>(IF(OR(Hypothèses!$B$4=17,Hypothèses!$B$4=18,Hypothèses!$B$4=19,Hypothèses!$B$4=20),
IF($D104="Pressio.",
IF(OR($E104=3,$E104=1,$E104=4),(PI()*FH$12^2)/4*(FD104*$W104*1000)/($H104*$B$5),(PI()*FH$12^2)/4*(FD104*$W104*1000)/($G104*$B$5)),
IF($D104="Pénétro.",
IF(OR($E104=4,$E104=1,$E104=5),(PI()*FH$12^2)/4*(FD104*$W104*1000)/($H104*$B$5),(PI()*FH$12^2)/4*(FD104*$W104*1000)/($G104*$B$5)))),
IF($D104="Pressio.",
IF($E104=3,(PI()*FH$12^2)/4*(FD104*$W104*1000)/($H104*$B$5),(PI()*FH$12^2)/4*(FD104*$W104*1000)/($G104*$B$5)),
IF($D104="Pénétro.",
IF($E104=4,(PI()*FH$12^2)/4*(FD104*$W104*1000)/($H104*$B$5),(PI()*FH$12^2)/4*(FD104*$W104*1000)/($G104*$B$5))))))/10</f>
        <v>#N/A</v>
      </c>
      <c r="FI104" s="102" t="e">
        <f>(VLOOKUP($B$3,'Coeff EC7'!$T$39:$X$59,2,0)*FG104+VLOOKUP($B$3,'Coeff EC7'!$T$65:$X$85,2,0)*Model0.1C!FH104)/1.1</f>
        <v>#N/A</v>
      </c>
      <c r="FJ104" s="102" t="e">
        <f>(VLOOKUP($B$3,'Coeff EC7'!$T$39:$X$59,3,0)*FG104+VLOOKUP($B$3,'Coeff EC7'!$T$65:$X$85,3,0)*Model0.1C!FH104)/0.9</f>
        <v>#N/A</v>
      </c>
      <c r="FK104" s="102" t="e">
        <f t="shared" si="198"/>
        <v>#N/A</v>
      </c>
      <c r="FL104" s="102" t="e">
        <f t="shared" si="199"/>
        <v>#N/A</v>
      </c>
      <c r="FM104" s="414" t="e">
        <f>IF(FM103=0,0,IF(AND(FI104&gt;charge_ELS_quasi,FJ104&gt;Charge_ELS_freq,FK104&gt;charge_ELU,FL104&gt;charge_ELA,$B104&gt;NDC!$H$22-0.1+MIN(3*$FM$12,1.5)),0,1))</f>
        <v>#N/A</v>
      </c>
    </row>
    <row r="105" spans="1:169">
      <c r="A105" s="96">
        <f t="shared" si="167"/>
        <v>90.800000000000523</v>
      </c>
      <c r="B105" s="97">
        <v>9.1999999999999993</v>
      </c>
      <c r="C105" s="81">
        <f>IF(B105&lt;=Hypothèses!$C$7,Hypothèses!$A$7,IF(B105&lt;=Hypothèses!$C$8,Hypothèses!$A$8,IF(B105&lt;=Hypothèses!$C$9,Hypothèses!$A$9,IF(B105&lt;=Hypothèses!$C$10,Hypothèses!$A$10,IF(B105&lt;=Hypothèses!$C$11,Hypothèses!$A$11,IF(B105&lt;=Hypothèses!$C$12,Hypothèses!$A$12,IF(B105&lt;=Hypothèses!$C$13,Hypothèses!$A$13,IF(B105&lt;=Hypothèses!$C$14,Hypothèses!$A$14,IF(B105&lt;=Hypothèses!$C$15,Hypothèses!$A$15,IF(B105&lt;=Hypothèses!$C$16,Hypothèses!$A$16,IF(B105&lt;=Hypothèses!$C$17,Hypothèses!$A$17,IF(B105&lt;=Hypothèses!$C$18,Hypothèses!$A$18,C104))))))))))))</f>
        <v>11</v>
      </c>
      <c r="D105" s="82" t="str">
        <f>IF(B105&lt;=Hypothèses!$C$7,Hypothèses!$R$7,IF(B105&lt;=Hypothèses!$C$8,Hypothèses!$R$8,IF(B105&lt;=Hypothèses!$C$9,Hypothèses!$R$9,IF(B105&lt;=Hypothèses!$C$10,Hypothèses!$R$10,IF(B105&lt;=Hypothèses!$C$11,Hypothèses!$R$11,IF(B105&lt;=Hypothèses!$C$12,Hypothèses!$R$12,IF(B105&lt;=Hypothèses!$C$13,Hypothèses!$R$13,IF(B105&lt;=Hypothèses!$C$14,Hypothèses!$R$14,IF(B105&lt;=Hypothèses!$C$15,Hypothèses!$R$15,IF(B105&lt;=Hypothèses!$C$16,Hypothèses!$R$16,IF(B105&lt;=Hypothèses!$C$17,Hypothèses!$R$17,IF(B105&lt;=Hypothèses!$C$18,Hypothèses!$R$18,D104))))))))))))</f>
        <v>Pressio.</v>
      </c>
      <c r="E105" s="82" t="e">
        <f>IF(B105&lt;=Hypothèses!$C$7,Hypothèses!$G$7,IF(B105&lt;=Hypothèses!$C$8,Hypothèses!$G$8,IF(B105&lt;=Hypothèses!$C$9,Hypothèses!$G$9,IF(B105&lt;=Hypothèses!$C$10,Hypothèses!$G$10,IF(B105&lt;=Hypothèses!$C$11,Hypothèses!$G$11,IF(B105&lt;=Hypothèses!$C$12,Hypothèses!$G$12,IF(B105&lt;=Hypothèses!$C$13,Hypothèses!$G$13,IF(B105&lt;=Hypothèses!$C$14,Hypothèses!$G$14,IF(B105&lt;=Hypothèses!$C$15,Hypothèses!$G$15,IF(B105&lt;=Hypothèses!$C$16,Hypothèses!$G$16,IF(B105&lt;=Hypothèses!$C$17,Hypothèses!$G$17,IF(B105&lt;=Hypothèses!$C$18,Hypothèses!$G$18,E104))))))))))))</f>
        <v>#N/A</v>
      </c>
      <c r="F105" s="82" t="str">
        <f>IF(B105&lt;=Hypothèses!$C$7,Hypothèses!$F$7,IF(B105&lt;=Hypothèses!$C$8,Hypothèses!$F$8,IF(B105&lt;=Hypothèses!$C$9,Hypothèses!$F$9,IF(B105&lt;=Hypothèses!$C$10,Hypothèses!$F$10,IF(B105&lt;=Hypothèses!$C$11,Hypothèses!$F$11,IF(B105&lt;=Hypothèses!$C$12,Hypothèses!$F$12,IF(B105&lt;=Hypothèses!$C$13,Hypothèses!$F$13,IF(B105&lt;=Hypothèses!$C$14,Hypothèses!$F$14,IF(B105&lt;=Hypothèses!$C$15,Hypothèses!$F$15,IF(B105&lt;=Hypothèses!$C$16,Hypothèses!$F$16,IF(B105&lt;=Hypothèses!$C$17,Hypothèses!$F$17,IF(B105&lt;=Hypothèses!$C$18,Hypothèses!$F$18,F104))))))))))))</f>
        <v/>
      </c>
      <c r="G105" s="91">
        <f t="array" ref="G105">INDEX('Coeff EC7'!$U$7:$X$27,
MATCH(Model0.1C!$B$3,'Coeff EC7'!$T$7:$T$27,0),
MATCH(Model0.1C!$D105&amp;Model0.1C!$B$4,
'Coeff EC7'!$U$6:$X$6&amp;
'Coeff EC7'!$U$5:$X$5,0))</f>
        <v>1.1499999999999999</v>
      </c>
      <c r="H105" s="91">
        <f t="array" ref="H105">INDEX('Coeff EC7'!$Y$7:$AB$27,
MATCH(Model0.1C!$B$3,'Coeff EC7'!$T$7:$T$27,0),
MATCH(Model0.1C!$D105&amp;Model0.1C!$B$4,
'Coeff EC7'!$Y$6:$AB$6&amp;
'Coeff EC7'!$Y$5:$AB$5,0))</f>
        <v>1.4</v>
      </c>
      <c r="I105" s="83" t="e">
        <f>IF(B105&lt;=Hypothèses!$C$7,Hypothèses!$P$7,IF(B105&lt;=Hypothèses!$C$8,Hypothèses!$P$8,IF(B105&lt;=Hypothèses!$C$9,Hypothèses!$P$9,IF(B105&lt;=Hypothèses!$C$10,Hypothèses!$P$10,IF(B105&lt;=Hypothèses!$C$11,Hypothèses!$P$11,IF(B105&lt;=Hypothèses!$C$12,Hypothèses!$P$12,IF(B105&lt;=Hypothèses!$C$13,Hypothèses!$P$13,IF(B105&lt;=Hypothèses!$C$14,Hypothèses!$P$14,IF(B105&lt;=Hypothèses!$C$15,Hypothèses!$P$15,IF(B105&lt;=Hypothèses!$C$16,Hypothèses!$P$16,IF(B105&lt;=Hypothèses!$C$17,Hypothèses!$P$17,IF(B105&lt;=Hypothèses!$C$18,Hypothèses!$P$18,I104))))))))))))</f>
        <v>#N/A</v>
      </c>
      <c r="J105" s="91" t="e">
        <f t="array" ref="J105">INDEX('Coeff EC7'!$D$33:$Q$33,1,MATCH(D105&amp;E105,'Coeff EC7'!$D$31:$Q$31&amp;'Coeff EC7'!$D$32:$Q$32,0))</f>
        <v>#N/A</v>
      </c>
      <c r="K105" s="91" t="e">
        <f t="array" ref="K105">INDEX('Coeff EC7'!$D$34:$Q$34,1,MATCH(D105&amp;E105,'Coeff EC7'!$D$31:$Q$31&amp;'Coeff EC7'!$D$32:$Q$32,0))</f>
        <v>#N/A</v>
      </c>
      <c r="L105" s="91" t="e">
        <f t="array" ref="L105">INDEX('Coeff EC7'!$D$35:$Q$35,1,MATCH(D105&amp;E105,'Coeff EC7'!$D$31:$Q$31&amp;'Coeff EC7'!$D$32:$Q$32,0))</f>
        <v>#N/A</v>
      </c>
      <c r="M105" s="98" t="e">
        <f t="shared" si="131"/>
        <v>#N/A</v>
      </c>
      <c r="N105" s="99" t="e">
        <f t="array" ref="N105">INDEX('Coeff EC7'!$D$7:$Q$27,MATCH($B$3,'Coeff EC7'!$C$7:$C$27,0),MATCH(D105&amp;E105,'Coeff EC7'!$D$5:$Q$5&amp;'Coeff EC7'!$D$6:$Q$6,0))</f>
        <v>#N/A</v>
      </c>
      <c r="O105" s="99" t="e">
        <f t="array" ref="O105">INDEX('Coeff EC7'!$D$41:$Q$61,MATCH($B$3,'Coeff EC7'!$C$41:$C$61,0),MATCH(D105&amp;E105,'Coeff EC7'!$D$39:$Q$39&amp;'Coeff EC7'!$D$40:$Q$40,0))</f>
        <v>#N/A</v>
      </c>
      <c r="P105" s="30" t="e">
        <f t="shared" si="168"/>
        <v>#N/A</v>
      </c>
      <c r="Q105" s="100" t="e">
        <f t="shared" si="133"/>
        <v>#N/A</v>
      </c>
      <c r="R105" s="86" t="b">
        <f t="shared" si="134"/>
        <v>0</v>
      </c>
      <c r="S105" s="86">
        <f t="shared" si="132"/>
        <v>0.5</v>
      </c>
      <c r="T105" s="86">
        <f t="shared" si="135"/>
        <v>0.5</v>
      </c>
      <c r="U105" s="30" t="e">
        <f t="shared" ca="1" si="169"/>
        <v>#DIV/0!</v>
      </c>
      <c r="V105" s="85" t="str">
        <f>IF(B105&lt;=Hypothèses!$V$7,Hypothèses!$W$7,IF(B105&lt;=Hypothèses!$V$8,Hypothèses!$W$8,IF(B105&lt;=Hypothèses!$V$9,Hypothèses!$W$9,IF(B105&lt;=Hypothèses!$V$10,Hypothèses!$W$10,IF(B105&lt;=Hypothèses!$V$11,Hypothèses!$W$11,IF(B105&lt;=Hypothèses!$V$12,Hypothèses!$W$12,IF(B105&lt;=Hypothèses!$V$13,Hypothèses!$W$13,IF(B105&lt;=Hypothèses!$V$14,Hypothèses!$W$14,IF(B105&lt;=Hypothèses!$V$15,Hypothèses!$W$15,IF(B105&lt;=Hypothèses!$V$16,Hypothèses!$W$16,IF(B105&lt;=Hypothèses!$V$17,Hypothèses!$W$17,IF(B105&lt;=Hypothèses!$V$18,Hypothèses!$W$18,""))))))))))))</f>
        <v/>
      </c>
      <c r="W105" s="87" t="e">
        <f t="shared" ca="1" si="216"/>
        <v>#DIV/0!</v>
      </c>
      <c r="X105" s="88" t="str">
        <f>IF(B105&lt;=Hypothèses!$V$7,Hypothèses!$X$7,IF(B105&lt;=Hypothèses!$V$8,Hypothèses!$X$8,IF(B105&lt;=Hypothèses!$V$9,Hypothèses!$X$9,IF(B105&lt;=Hypothèses!$V$10,Hypothèses!$X$10,IF(B105&lt;=Hypothèses!$V$11,Hypothèses!$X$11,IF(B105&lt;=Hypothèses!$V$12,Hypothèses!$X$12,IF(B105&lt;=Hypothèses!$V$13,Hypothèses!$X$13,IF(B105&lt;=Hypothèses!$V$14,Hypothèses!$X$14,IF(B105&lt;=Hypothèses!$V$15,Hypothèses!$X$15,IF(B105&lt;=Hypothèses!$V$16,Hypothèses!$X$16,IF(B105&lt;=Hypothèses!$U$17,Hypothèses!$W$17,IF(B105&lt;=Hypothèses!$U$18,Hypothèses!$W$18,""))))))))))))</f>
        <v/>
      </c>
      <c r="Y105" s="95" t="e">
        <f t="shared" ca="1" si="136"/>
        <v>#DIV/0!</v>
      </c>
      <c r="Z105" s="101" t="e">
        <f t="shared" si="137"/>
        <v>#N/A</v>
      </c>
      <c r="AA105" s="91" t="e">
        <f t="shared" si="138"/>
        <v>#N/A</v>
      </c>
      <c r="AB105" s="30" t="e">
        <f t="shared" si="200"/>
        <v>#N/A</v>
      </c>
      <c r="AC105" s="30" t="e">
        <f t="shared" si="201"/>
        <v>#N/A</v>
      </c>
      <c r="AD105" s="31" t="e">
        <f>IF(OR(Hypothèses!$B$4=17,Hypothèses!$B$4=18,Hypothèses!$B$4=19,Hypothèses!$B$4=20),
IF($D105="Pressio.",
IF(OR($E105=3,$E105=1,$E105=4),AC105,AB105),
IF($D105="Pénétro.",
IF(OR($E105=3,$E105=1,$E105=4),AC105,AB105))),IF($D105="Pressio.",
IF($E105=3,AC105,AB105),
IF($D105="Pénétro.",
IF($E105=4,AC105,AB105))))</f>
        <v>#N/A</v>
      </c>
      <c r="AE105" s="31" t="e">
        <f>(IF(OR(Hypothèses!$B$4=17,Hypothèses!$B$4=18,Hypothèses!$B$4=19,Hypothèses!$B$4=20),
IF($D105="Pressio.",
IF(OR($E105=3,$E105=1,$E105=4),(PI()*AE$12^2)/4*(AA105*$W105*1000)/($H105*$B$5),(PI()*AE$12^2)/4*(AA105*$W105*1000)/($G105*$B$5)),
IF($D105="Pénétro.",
IF(OR($E105=4,$E105=1,$E105=5),(PI()*AE$12^2)/4*(AA105*$W105*1000)/($H105*$B$5),(PI()*AE$12^2)/4*(AA105*$W105*1000)/($G105*$B$5)))),
IF($D105="Pressio.",
IF($E105=3,(PI()*AE$12^2)/4*(AA105*$W105*1000)/($H105*$B$5),(PI()*AE$12^2)/4*(AA105*$W105*1000)/($G105*$B$5)),
IF($D105="Pénétro.",
IF($E105=4,(PI()*AE$12^2)/4*(AA105*$W105*1000)/($H105*$B$5),(PI()*AE$12^2)/4*(AA105*$W105*1000)/($G105*$B$5))))))/10</f>
        <v>#N/A</v>
      </c>
      <c r="AF105" s="102" t="e">
        <f>(VLOOKUP($B$3,'Coeff EC7'!$T$39:$X$59,2,0)*AD105+VLOOKUP($B$3,'Coeff EC7'!$T$65:$X$85,2,0)*Model0.1C!AE105)/1.1</f>
        <v>#N/A</v>
      </c>
      <c r="AG105" s="102" t="e">
        <f>(VLOOKUP($B$3,'Coeff EC7'!$T$39:$X$59,3,0)*AD105+VLOOKUP($B$3,'Coeff EC7'!$T$65:$X$85,3,0)*Model0.1C!AE105)/0.9</f>
        <v>#N/A</v>
      </c>
      <c r="AH105" s="102" t="e">
        <f t="shared" si="139"/>
        <v>#N/A</v>
      </c>
      <c r="AI105" s="102" t="e">
        <f t="shared" si="140"/>
        <v>#N/A</v>
      </c>
      <c r="AJ105" s="414" t="e">
        <f>IF(AJ104=0,0,IF(AND(AF105&gt;charge_ELS_quasi,AG105&gt;Charge_ELS_freq,AH105&gt;charge_ELU,AI105&gt;charge_ELA,$B105&gt;NDC!$H$22-0.1+MIN(3*$AJ$12,1.5)),0,1))</f>
        <v>#N/A</v>
      </c>
      <c r="AK105" s="86" t="b">
        <f t="shared" si="141"/>
        <v>0</v>
      </c>
      <c r="AL105" s="86">
        <f t="shared" si="170"/>
        <v>0.5</v>
      </c>
      <c r="AM105" s="86">
        <f t="shared" si="142"/>
        <v>0.5</v>
      </c>
      <c r="AN105" s="30" t="e">
        <f t="shared" ca="1" si="171"/>
        <v>#DIV/0!</v>
      </c>
      <c r="AO105" s="85" t="e">
        <f ca="1">IF(U105&lt;=Hypothèses!$V$7,Hypothèses!$W$7,IF(U105&lt;=Hypothèses!$V$8,Hypothèses!$W$8,IF(U105&lt;=Hypothèses!$V$9,Hypothèses!$W$9,IF(U105&lt;=Hypothèses!$V$10,Hypothèses!$W$10,IF(U105&lt;=Hypothèses!$V$11,Hypothèses!$W$11,IF(U105&lt;=Hypothèses!$V$12,Hypothèses!$W$12,IF(U105&lt;=Hypothèses!$V$13,Hypothèses!$W$13,IF(U105&lt;=Hypothèses!$V$14,Hypothèses!$W$14,IF(U105&lt;=Hypothèses!$V$15,Hypothèses!$W$15,IF(U105&lt;=Hypothèses!$V$16,Hypothèses!$W$16,IF(U105&lt;=Hypothèses!$V$17,Hypothèses!$W$17,IF(U105&lt;=Hypothèses!$V$18,Hypothèses!$W$18,""))))))))))))</f>
        <v>#DIV/0!</v>
      </c>
      <c r="AP105" s="87" t="e">
        <f t="shared" ca="1" si="217"/>
        <v>#DIV/0!</v>
      </c>
      <c r="AQ105" s="88" t="e">
        <f ca="1">IF(U105&lt;=Hypothèses!$V$7,Hypothèses!$X$7,IF(U105&lt;=Hypothèses!$V$8,Hypothèses!$X$8,IF(U105&lt;=Hypothèses!$V$9,Hypothèses!$X$9,IF(U105&lt;=Hypothèses!$V$10,Hypothèses!$X$10,IF(U105&lt;=Hypothèses!$V$11,Hypothèses!$X$11,IF(U105&lt;=Hypothèses!$V$12,Hypothèses!$X$12,IF(U105&lt;=Hypothèses!$V$13,Hypothèses!$X$13,IF(U105&lt;=Hypothèses!$V$14,Hypothèses!$X$14,IF(U105&lt;=Hypothèses!$V$15,Hypothèses!$X$15,IF(U105&lt;=Hypothèses!$V$16,Hypothèses!$X$16,IF(U105&lt;=Hypothèses!$U$17,Hypothèses!$W$17,IF(U105&lt;=Hypothèses!$U$18,Hypothèses!$W$18,""))))))))))))</f>
        <v>#DIV/0!</v>
      </c>
      <c r="AR105" s="95" t="e">
        <f t="shared" ca="1" si="172"/>
        <v>#DIV/0!</v>
      </c>
      <c r="AS105" s="101" t="e">
        <f t="shared" si="224"/>
        <v>#N/A</v>
      </c>
      <c r="AT105" s="91" t="e">
        <f t="shared" si="143"/>
        <v>#N/A</v>
      </c>
      <c r="AU105" s="30" t="e">
        <f t="shared" si="202"/>
        <v>#N/A</v>
      </c>
      <c r="AV105" s="30" t="e">
        <f t="shared" si="203"/>
        <v>#N/A</v>
      </c>
      <c r="AW105" s="31" t="e">
        <f>IF(OR(Hypothèses!$B$4=17,Hypothèses!$B$4=18,Hypothèses!$B$4=19,Hypothèses!$B$4=20),
IF($D105="Pressio.",
IF(OR($E105=3,$E105=1,$E105=4),AV105,AU105),
IF($D105="Pénétro.",
IF(OR($E105=3,$E105=1,$E105=4),AV105,AU105))),IF($D105="Pressio.",
IF($E105=3,AV105,AU105),
IF($D105="Pénétro.",
IF($E105=4,AV105,AU105))))</f>
        <v>#N/A</v>
      </c>
      <c r="AX105" s="31" t="e">
        <f>(IF(OR(Hypothèses!$B$4=17,Hypothèses!$B$4=18,Hypothèses!$B$4=19,Hypothèses!$B$4=20),
IF($D105="Pressio.",
IF(OR($E105=3,$E105=1,$E105=4),(PI()*AX$12^2)/4*(AT105*$W105*1000)/($H105*$B$5),(PI()*AX$12^2)/4*(AT105*$W105*1000)/($G105*$B$5)),
IF($D105="Pénétro.",
IF(OR($E105=4,$E105=1,$E105=5),(PI()*AX$12^2)/4*(AT105*$W105*1000)/($H105*$B$5),(PI()*AX$12^2)/4*(AT105*$W105*1000)/($G105*$B$5)))),
IF($D105="Pressio.",
IF($E105=3,(PI()*AX$12^2)/4*(AT105*$W105*1000)/($H105*$B$5),(PI()*AX$12^2)/4*(AT105*$W105*1000)/($G105*$B$5)),
IF($D105="Pénétro.",
IF($E105=4,(PI()*AX$12^2)/4*(AT105*$W105*1000)/($H105*$B$5),(PI()*AX$12^2)/4*(AT105*$W105*1000)/($G105*$B$5))))))/10</f>
        <v>#N/A</v>
      </c>
      <c r="AY105" s="102" t="e">
        <f>(VLOOKUP($B$3,'Coeff EC7'!$T$39:$X$59,2,0)*AW105+VLOOKUP($B$3,'Coeff EC7'!$T$65:$X$85,2,0)*Model0.1C!AX105)/1.1</f>
        <v>#N/A</v>
      </c>
      <c r="AZ105" s="102" t="e">
        <f>(VLOOKUP($B$3,'Coeff EC7'!$T$39:$X$59,3,0)*AW105+VLOOKUP($B$3,'Coeff EC7'!$T$65:$X$85,3,0)*Model0.1C!AX105)/0.9</f>
        <v>#N/A</v>
      </c>
      <c r="BA105" s="102" t="e">
        <f t="shared" si="173"/>
        <v>#N/A</v>
      </c>
      <c r="BB105" s="102" t="e">
        <f t="shared" si="174"/>
        <v>#N/A</v>
      </c>
      <c r="BC105" s="414" t="e">
        <f>IF(BC104=0,0,IF(AND(AY105&gt;charge_ELS_quasi,AZ105&gt;Charge_ELS_freq,BA105&gt;charge_ELU,BB105&gt;charge_ELA,$B105&gt;NDC!$H$22-0.1+MIN(3*$BC$12,1.5)),0,1))</f>
        <v>#N/A</v>
      </c>
      <c r="BD105" s="86" t="b">
        <f t="shared" si="144"/>
        <v>0</v>
      </c>
      <c r="BE105" s="86">
        <f t="shared" si="175"/>
        <v>0.5</v>
      </c>
      <c r="BF105" s="86">
        <f t="shared" si="145"/>
        <v>0.5</v>
      </c>
      <c r="BG105" s="30" t="e">
        <f t="shared" ca="1" si="176"/>
        <v>#DIV/0!</v>
      </c>
      <c r="BH105" s="85" t="e">
        <f ca="1">IF(AN105&lt;=Hypothèses!$V$7,Hypothèses!$W$7,IF(AN105&lt;=Hypothèses!$V$8,Hypothèses!$W$8,IF(AN105&lt;=Hypothèses!$V$9,Hypothèses!$W$9,IF(AN105&lt;=Hypothèses!$V$10,Hypothèses!$W$10,IF(AN105&lt;=Hypothèses!$V$11,Hypothèses!$W$11,IF(AN105&lt;=Hypothèses!$V$12,Hypothèses!$W$12,IF(AN105&lt;=Hypothèses!$V$13,Hypothèses!$W$13,IF(AN105&lt;=Hypothèses!$V$14,Hypothèses!$W$14,IF(AN105&lt;=Hypothèses!$V$15,Hypothèses!$W$15,IF(AN105&lt;=Hypothèses!$V$16,Hypothèses!$W$16,IF(AN105&lt;=Hypothèses!$V$17,Hypothèses!$W$17,IF(AN105&lt;=Hypothèses!$V$18,Hypothèses!$W$18,""))))))))))))</f>
        <v>#DIV/0!</v>
      </c>
      <c r="BI105" s="87" t="e">
        <f t="shared" ca="1" si="218"/>
        <v>#DIV/0!</v>
      </c>
      <c r="BJ105" s="88" t="e">
        <f ca="1">IF(AN105&lt;=Hypothèses!$V$7,Hypothèses!$X$7,IF(AN105&lt;=Hypothèses!$V$8,Hypothèses!$X$8,IF(AN105&lt;=Hypothèses!$V$9,Hypothèses!$X$9,IF(AN105&lt;=Hypothèses!$V$10,Hypothèses!$X$10,IF(AN105&lt;=Hypothèses!$V$11,Hypothèses!$X$11,IF(AN105&lt;=Hypothèses!$V$12,Hypothèses!$X$12,IF(AN105&lt;=Hypothèses!$V$13,Hypothèses!$X$13,IF(AN105&lt;=Hypothèses!$V$14,Hypothèses!$X$14,IF(AN105&lt;=Hypothèses!$V$15,Hypothèses!$X$15,IF(AN105&lt;=Hypothèses!$V$16,Hypothèses!$X$16,IF(AN105&lt;=Hypothèses!$U$17,Hypothèses!$W$17,IF(AN105&lt;=Hypothèses!$U$18,Hypothèses!$W$18,""))))))))))))</f>
        <v>#DIV/0!</v>
      </c>
      <c r="BK105" s="95" t="e">
        <f t="shared" ca="1" si="177"/>
        <v>#DIV/0!</v>
      </c>
      <c r="BL105" s="101" t="e">
        <f t="shared" si="225"/>
        <v>#N/A</v>
      </c>
      <c r="BM105" s="91" t="e">
        <f t="shared" si="146"/>
        <v>#N/A</v>
      </c>
      <c r="BN105" s="30" t="e">
        <f t="shared" si="204"/>
        <v>#N/A</v>
      </c>
      <c r="BO105" s="30" t="e">
        <f t="shared" si="205"/>
        <v>#N/A</v>
      </c>
      <c r="BP105" s="31" t="e">
        <f>IF(OR(Hypothèses!$B$4=17,Hypothèses!$B$4=18,Hypothèses!$B$4=19,Hypothèses!$B$4=20),
IF($D105="Pressio.",
IF(OR($E105=3,$E105=1,$E105=4),BO105,BN105),
IF($D105="Pénétro.",
IF(OR($E105=3,$E105=1,$E105=4),BO105,BN105))),IF($D105="Pressio.",
IF($E105=3,BO105,BN105),
IF($D105="Pénétro.",
IF($E105=4,BO105,BN105))))</f>
        <v>#N/A</v>
      </c>
      <c r="BQ105" s="31" t="e">
        <f>(IF(OR(Hypothèses!$B$4=17,Hypothèses!$B$4=18,Hypothèses!$B$4=19,Hypothèses!$B$4=20),
IF($D105="Pressio.",
IF(OR($E105=3,$E105=1,$E105=4),(PI()*BQ$12^2)/4*(BM105*$W105*1000)/($H105*$B$5),(PI()*BQ$12^2)/4*(BM105*$W105*1000)/($G105*$B$5)),
IF($D105="Pénétro.",
IF(OR($E105=4,$E105=1,$E105=5),(PI()*BQ$12^2)/4*(BM105*$W105*1000)/($H105*$B$5),(PI()*BQ$12^2)/4*(BM105*$W105*1000)/($G105*$B$5)))),
IF($D105="Pressio.",
IF($E105=3,(PI()*BQ$12^2)/4*(BM105*$W105*1000)/($H105*$B$5),(PI()*BQ$12^2)/4*(BM105*$W105*1000)/($G105*$B$5)),
IF($D105="Pénétro.",
IF($E105=4,(PI()*BQ$12^2)/4*(BM105*$W105*1000)/($H105*$B$5),(PI()*BQ$12^2)/4*(BM105*$W105*1000)/($G105*$B$5))))))/10</f>
        <v>#N/A</v>
      </c>
      <c r="BR105" s="102" t="e">
        <f>(VLOOKUP($B$3,'Coeff EC7'!$T$39:$X$59,2,0)*BP105+VLOOKUP($B$3,'Coeff EC7'!$T$65:$X$85,2,0)*Model0.1C!BQ105)/1.1</f>
        <v>#N/A</v>
      </c>
      <c r="BS105" s="102" t="e">
        <f>(VLOOKUP($B$3,'Coeff EC7'!$T$39:$X$59,3,0)*BP105+VLOOKUP($B$3,'Coeff EC7'!$T$65:$X$85,3,0)*Model0.1C!BQ105)/0.9</f>
        <v>#N/A</v>
      </c>
      <c r="BT105" s="102" t="e">
        <f t="shared" si="178"/>
        <v>#N/A</v>
      </c>
      <c r="BU105" s="102" t="e">
        <f t="shared" si="179"/>
        <v>#N/A</v>
      </c>
      <c r="BV105" s="414" t="e">
        <f>IF(BV104=0,0,IF(AND(BR105&gt;charge_ELS_quasi,BS105&gt;Charge_ELS_freq,BT105&gt;charge_ELU,BU105&gt;charge_ELA,$B105&gt;NDC!$H$22-0.1+MIN(3*$BV$12,1.5)),0,1))</f>
        <v>#N/A</v>
      </c>
      <c r="BW105" s="86" t="b">
        <f t="shared" si="147"/>
        <v>0</v>
      </c>
      <c r="BX105" s="86">
        <f t="shared" si="148"/>
        <v>0.5</v>
      </c>
      <c r="BY105" s="86">
        <f t="shared" si="149"/>
        <v>0.5</v>
      </c>
      <c r="BZ105" s="30" t="e">
        <f t="shared" ca="1" si="180"/>
        <v>#DIV/0!</v>
      </c>
      <c r="CA105" s="85" t="e">
        <f ca="1">IF(BG105&lt;=Hypothèses!$V$7,Hypothèses!$W$7,IF(BG105&lt;=Hypothèses!$V$8,Hypothèses!$W$8,IF(BG105&lt;=Hypothèses!$V$9,Hypothèses!$W$9,IF(BG105&lt;=Hypothèses!$V$10,Hypothèses!$W$10,IF(BG105&lt;=Hypothèses!$V$11,Hypothèses!$W$11,IF(BG105&lt;=Hypothèses!$V$12,Hypothèses!$W$12,IF(BG105&lt;=Hypothèses!$V$13,Hypothèses!$W$13,IF(BG105&lt;=Hypothèses!$V$14,Hypothèses!$W$14,IF(BG105&lt;=Hypothèses!$V$15,Hypothèses!$W$15,IF(BG105&lt;=Hypothèses!$V$16,Hypothèses!$W$16,IF(BG105&lt;=Hypothèses!$V$17,Hypothèses!$W$17,IF(BG105&lt;=Hypothèses!$V$18,Hypothèses!$W$18,""))))))))))))</f>
        <v>#DIV/0!</v>
      </c>
      <c r="CB105" s="87" t="e">
        <f t="shared" ca="1" si="219"/>
        <v>#DIV/0!</v>
      </c>
      <c r="CC105" s="88" t="e">
        <f ca="1">IF(BG105&lt;=Hypothèses!$V$7,Hypothèses!$X$7,IF(BG105&lt;=Hypothèses!$V$8,Hypothèses!$X$8,IF(BG105&lt;=Hypothèses!$V$9,Hypothèses!$X$9,IF(BG105&lt;=Hypothèses!$V$10,Hypothèses!$X$10,IF(BG105&lt;=Hypothèses!$V$11,Hypothèses!$X$11,IF(BG105&lt;=Hypothèses!$V$12,Hypothèses!$X$12,IF(BG105&lt;=Hypothèses!$V$13,Hypothèses!$X$13,IF(BG105&lt;=Hypothèses!$V$14,Hypothèses!$X$14,IF(BG105&lt;=Hypothèses!$V$15,Hypothèses!$X$15,IF(BG105&lt;=Hypothèses!$V$16,Hypothèses!$X$16,IF(BG105&lt;=Hypothèses!$U$17,Hypothèses!$W$17,IF(BG105&lt;=Hypothèses!$U$18,Hypothèses!$W$18,""))))))))))))</f>
        <v>#DIV/0!</v>
      </c>
      <c r="CD105" s="95" t="e">
        <f t="shared" ca="1" si="181"/>
        <v>#DIV/0!</v>
      </c>
      <c r="CE105" s="101" t="e">
        <f t="shared" si="226"/>
        <v>#N/A</v>
      </c>
      <c r="CF105" s="91" t="e">
        <f t="shared" si="150"/>
        <v>#N/A</v>
      </c>
      <c r="CG105" s="30" t="e">
        <f t="shared" si="206"/>
        <v>#N/A</v>
      </c>
      <c r="CH105" s="30" t="e">
        <f t="shared" si="207"/>
        <v>#N/A</v>
      </c>
      <c r="CI105" s="31" t="e">
        <f>IF(OR(Hypothèses!$B$4=17,Hypothèses!$B$4=18,Hypothèses!$B$4=19,Hypothèses!$B$4=20),
IF($D105="Pressio.",
IF(OR($E105=3,$E105=1,$E105=4),CH105,CG105),
IF($D105="Pénétro.",
IF(OR($E105=3,$E105=1,$E105=4),CH105,CG105))),IF($D105="Pressio.",
IF($E105=3,CH105,CG105),
IF($D105="Pénétro.",
IF($E105=4,CH105,CG105))))</f>
        <v>#N/A</v>
      </c>
      <c r="CJ105" s="31" t="e">
        <f>(IF(OR(Hypothèses!$B$4=17,Hypothèses!$B$4=18,Hypothèses!$B$4=19,Hypothèses!$B$4=20),
IF($D105="Pressio.",
IF(OR($E105=3,$E105=1,$E105=4),(PI()*CJ$12^2)/4*(CF105*$W105*1000)/($H105*$B$5),(PI()*CJ$12^2)/4*(CF105*$W105*1000)/($G105*$B$5)),
IF($D105="Pénétro.",
IF(OR($E105=4,$E105=1,$E105=5),(PI()*CJ$12^2)/4*(CF105*$W105*1000)/($H105*$B$5),(PI()*CJ$12^2)/4*(CF105*$W105*1000)/($G105*$B$5)))),
IF($D105="Pressio.",
IF($E105=3,(PI()*CJ$12^2)/4*(CF105*$W105*1000)/($H105*$B$5),(PI()*CJ$12^2)/4*(CF105*$W105*1000)/($G105*$B$5)),
IF($D105="Pénétro.",
IF($E105=4,(PI()*CJ$12^2)/4*(CF105*$W105*1000)/($H105*$B$5),(PI()*CJ$12^2)/4*(CF105*$W105*1000)/($G105*$B$5))))))/10</f>
        <v>#N/A</v>
      </c>
      <c r="CK105" s="102" t="e">
        <f>(VLOOKUP($B$3,'Coeff EC7'!$T$39:$X$59,2,0)*CI105+VLOOKUP($B$3,'Coeff EC7'!$T$65:$X$85,2,0)*Model0.1C!CJ105)/1.1</f>
        <v>#N/A</v>
      </c>
      <c r="CL105" s="102" t="e">
        <f>(VLOOKUP($B$3,'Coeff EC7'!$T$39:$X$59,3,0)*CI105+VLOOKUP($B$3,'Coeff EC7'!$T$65:$X$85,3,0)*Model0.1C!CJ105)/0.9</f>
        <v>#N/A</v>
      </c>
      <c r="CM105" s="102" t="e">
        <f t="shared" si="182"/>
        <v>#N/A</v>
      </c>
      <c r="CN105" s="102" t="e">
        <f t="shared" si="183"/>
        <v>#N/A</v>
      </c>
      <c r="CO105" s="414" t="e">
        <f>IF(CO104=0,0,IF(AND(CK105&gt;charge_ELS_quasi,CL105&gt;Charge_ELS_freq,CM105&gt;charge_ELU,CN105&gt;charge_ELA,$B105&gt;NDC!$H$22-0.1+MIN(3*$CO$12,1.5)),0,1))</f>
        <v>#N/A</v>
      </c>
      <c r="CP105" s="86" t="b">
        <f t="shared" si="151"/>
        <v>0</v>
      </c>
      <c r="CQ105" s="86">
        <f t="shared" si="152"/>
        <v>0.5</v>
      </c>
      <c r="CR105" s="86">
        <f t="shared" si="153"/>
        <v>0.5</v>
      </c>
      <c r="CS105" s="30" t="e">
        <f t="shared" ca="1" si="184"/>
        <v>#DIV/0!</v>
      </c>
      <c r="CT105" s="85" t="e">
        <f ca="1">IF(BZ105&lt;=Hypothèses!$V$7,Hypothèses!$W$7,IF(BZ105&lt;=Hypothèses!$V$8,Hypothèses!$W$8,IF(BZ105&lt;=Hypothèses!$V$9,Hypothèses!$W$9,IF(BZ105&lt;=Hypothèses!$V$10,Hypothèses!$W$10,IF(BZ105&lt;=Hypothèses!$V$11,Hypothèses!$W$11,IF(BZ105&lt;=Hypothèses!$V$12,Hypothèses!$W$12,IF(BZ105&lt;=Hypothèses!$V$13,Hypothèses!$W$13,IF(BZ105&lt;=Hypothèses!$V$14,Hypothèses!$W$14,IF(BZ105&lt;=Hypothèses!$V$15,Hypothèses!$W$15,IF(BZ105&lt;=Hypothèses!$V$16,Hypothèses!$W$16,IF(BZ105&lt;=Hypothèses!$V$17,Hypothèses!$W$17,IF(BZ105&lt;=Hypothèses!$V$18,Hypothèses!$W$18,""))))))))))))</f>
        <v>#DIV/0!</v>
      </c>
      <c r="CU105" s="87" t="e">
        <f t="shared" ca="1" si="220"/>
        <v>#DIV/0!</v>
      </c>
      <c r="CV105" s="88" t="e">
        <f ca="1">IF(BZ105&lt;=Hypothèses!$V$7,Hypothèses!$X$7,IF(BZ105&lt;=Hypothèses!$V$8,Hypothèses!$X$8,IF(BZ105&lt;=Hypothèses!$V$9,Hypothèses!$X$9,IF(BZ105&lt;=Hypothèses!$V$10,Hypothèses!$X$10,IF(BZ105&lt;=Hypothèses!$V$11,Hypothèses!$X$11,IF(BZ105&lt;=Hypothèses!$V$12,Hypothèses!$X$12,IF(BZ105&lt;=Hypothèses!$V$13,Hypothèses!$X$13,IF(BZ105&lt;=Hypothèses!$V$14,Hypothèses!$X$14,IF(BZ105&lt;=Hypothèses!$V$15,Hypothèses!$X$15,IF(BZ105&lt;=Hypothèses!$V$16,Hypothèses!$X$16,IF(BZ105&lt;=Hypothèses!$U$17,Hypothèses!$W$17,IF(BZ105&lt;=Hypothèses!$U$18,Hypothèses!$W$18,""))))))))))))</f>
        <v>#DIV/0!</v>
      </c>
      <c r="CW105" s="95" t="e">
        <f t="shared" ca="1" si="185"/>
        <v>#DIV/0!</v>
      </c>
      <c r="CX105" s="101" t="e">
        <f t="shared" si="227"/>
        <v>#N/A</v>
      </c>
      <c r="CY105" s="91" t="e">
        <f t="shared" si="154"/>
        <v>#N/A</v>
      </c>
      <c r="CZ105" s="30" t="e">
        <f t="shared" si="208"/>
        <v>#N/A</v>
      </c>
      <c r="DA105" s="30" t="e">
        <f t="shared" si="209"/>
        <v>#N/A</v>
      </c>
      <c r="DB105" s="31" t="e">
        <f>IF(OR(Hypothèses!$B$4=17,Hypothèses!$B$4=18,Hypothèses!$B$4=19,Hypothèses!$B$4=20),
IF($D105="Pressio.",
IF(OR($E105=3,$E105=1,$E105=4),DA105,CZ105),
IF($D105="Pénétro.",
IF(OR($E105=3,$E105=1,$E105=4),DA105,CZ105))),IF($D105="Pressio.",
IF($E105=3,DA105,CZ105),
IF($D105="Pénétro.",
IF($E105=4,DA105,CZ105))))</f>
        <v>#N/A</v>
      </c>
      <c r="DC105" s="31" t="e">
        <f>(IF(OR(Hypothèses!$B$4=17,Hypothèses!$B$4=18,Hypothèses!$B$4=19,Hypothèses!$B$4=20),
IF($D105="Pressio.",
IF(OR($E105=3,$E105=1,$E105=4),(PI()*DC$12^2)/4*(CY105*$W105*1000)/($H105*$B$5),(PI()*DC$12^2)/4*(CY105*$W105*1000)/($G105*$B$5)),
IF($D105="Pénétro.",
IF(OR($E105=4,$E105=1,$E105=5),(PI()*DC$12^2)/4*(CY105*$W105*1000)/($H105*$B$5),(PI()*DC$12^2)/4*(CY105*$W105*1000)/($G105*$B$5)))),
IF($D105="Pressio.",
IF($E105=3,(PI()*DC$12^2)/4*(CY105*$W105*1000)/($H105*$B$5),(PI()*DC$12^2)/4*(CY105*$W105*1000)/($G105*$B$5)),
IF($D105="Pénétro.",
IF($E105=4,(PI()*DC$12^2)/4*(CY105*$W105*1000)/($H105*$B$5),(PI()*DC$12^2)/4*(CY105*$W105*1000)/($G105*$B$5))))))/10</f>
        <v>#N/A</v>
      </c>
      <c r="DD105" s="102" t="e">
        <f>(VLOOKUP($B$3,'Coeff EC7'!$T$39:$X$59,2,0)*DB105+VLOOKUP($B$3,'Coeff EC7'!$T$65:$X$85,2,0)*Model0.1C!DC105)/1.1</f>
        <v>#N/A</v>
      </c>
      <c r="DE105" s="102" t="e">
        <f>(VLOOKUP($B$3,'Coeff EC7'!$T$39:$X$59,3,0)*DB105+VLOOKUP($B$3,'Coeff EC7'!$T$65:$X$85,3,0)*Model0.1C!DC105)/0.9</f>
        <v>#N/A</v>
      </c>
      <c r="DF105" s="102" t="e">
        <f t="shared" si="186"/>
        <v>#N/A</v>
      </c>
      <c r="DG105" s="102" t="e">
        <f t="shared" si="187"/>
        <v>#N/A</v>
      </c>
      <c r="DH105" s="414" t="e">
        <f>IF(DH104=0,0,IF(AND(DD105&gt;charge_ELS_quasi,DE105&gt;Charge_ELS_freq,DF105&gt;charge_ELU,DG105&gt;charge_ELA,$B105&gt;NDC!$H$22-0.1+MIN(3*$DH$12,1.5)),0,1))</f>
        <v>#N/A</v>
      </c>
      <c r="DI105" s="86" t="b">
        <f t="shared" si="155"/>
        <v>0</v>
      </c>
      <c r="DJ105" s="86">
        <f t="shared" si="156"/>
        <v>0.5</v>
      </c>
      <c r="DK105" s="86">
        <f t="shared" si="157"/>
        <v>0.5</v>
      </c>
      <c r="DL105" s="30" t="e">
        <f t="shared" ca="1" si="188"/>
        <v>#DIV/0!</v>
      </c>
      <c r="DM105" s="85" t="e">
        <f ca="1">IF(CS105&lt;=Hypothèses!$V$7,Hypothèses!$W$7,IF(CS105&lt;=Hypothèses!$V$8,Hypothèses!$W$8,IF(CS105&lt;=Hypothèses!$V$9,Hypothèses!$W$9,IF(CS105&lt;=Hypothèses!$V$10,Hypothèses!$W$10,IF(CS105&lt;=Hypothèses!$V$11,Hypothèses!$W$11,IF(CS105&lt;=Hypothèses!$V$12,Hypothèses!$W$12,IF(CS105&lt;=Hypothèses!$V$13,Hypothèses!$W$13,IF(CS105&lt;=Hypothèses!$V$14,Hypothèses!$W$14,IF(CS105&lt;=Hypothèses!$V$15,Hypothèses!$W$15,IF(CS105&lt;=Hypothèses!$V$16,Hypothèses!$W$16,IF(CS105&lt;=Hypothèses!$V$17,Hypothèses!$W$17,IF(CS105&lt;=Hypothèses!$V$18,Hypothèses!$W$18,""))))))))))))</f>
        <v>#DIV/0!</v>
      </c>
      <c r="DN105" s="87" t="e">
        <f t="shared" ca="1" si="221"/>
        <v>#DIV/0!</v>
      </c>
      <c r="DO105" s="88" t="e">
        <f ca="1">IF(CS105&lt;=Hypothèses!$V$7,Hypothèses!$X$7,IF(CS105&lt;=Hypothèses!$V$8,Hypothèses!$X$8,IF(CS105&lt;=Hypothèses!$V$9,Hypothèses!$X$9,IF(CS105&lt;=Hypothèses!$V$10,Hypothèses!$X$10,IF(CS105&lt;=Hypothèses!$V$11,Hypothèses!$X$11,IF(CS105&lt;=Hypothèses!$V$12,Hypothèses!$X$12,IF(CS105&lt;=Hypothèses!$V$13,Hypothèses!$X$13,IF(CS105&lt;=Hypothèses!$V$14,Hypothèses!$X$14,IF(CS105&lt;=Hypothèses!$V$15,Hypothèses!$X$15,IF(CS105&lt;=Hypothèses!$V$16,Hypothèses!$X$16,IF(CS105&lt;=Hypothèses!$U$17,Hypothèses!$W$17,IF(CS105&lt;=Hypothèses!$U$18,Hypothèses!$W$18,""))))))))))))</f>
        <v>#DIV/0!</v>
      </c>
      <c r="DP105" s="95" t="e">
        <f t="shared" ca="1" si="189"/>
        <v>#DIV/0!</v>
      </c>
      <c r="DQ105" s="101" t="e">
        <f t="shared" si="228"/>
        <v>#N/A</v>
      </c>
      <c r="DR105" s="91" t="e">
        <f t="shared" si="158"/>
        <v>#N/A</v>
      </c>
      <c r="DS105" s="30" t="e">
        <f t="shared" si="210"/>
        <v>#N/A</v>
      </c>
      <c r="DT105" s="30" t="e">
        <f t="shared" si="211"/>
        <v>#N/A</v>
      </c>
      <c r="DU105" s="31" t="e">
        <f>IF(OR(Hypothèses!$B$4=17,Hypothèses!$B$4=18,Hypothèses!$B$4=19,Hypothèses!$B$4=20),
IF($D105="Pressio.",
IF(OR($E105=3,$E105=1,$E105=4),DT105,DS105),
IF($D105="Pénétro.",
IF(OR($E105=3,$E105=1,$E105=4),DT105,DS105))),IF($D105="Pressio.",
IF($E105=3,DT105,DS105),
IF($D105="Pénétro.",
IF($E105=4,DT105,DS105))))</f>
        <v>#N/A</v>
      </c>
      <c r="DV105" s="31" t="e">
        <f>(IF(OR(Hypothèses!$B$4=17,Hypothèses!$B$4=18,Hypothèses!$B$4=19,Hypothèses!$B$4=20),
IF($D105="Pressio.",
IF(OR($E105=3,$E105=1,$E105=4),(PI()*DV$12^2)/4*(DR105*$W105*1000)/($H105*$B$5),(PI()*DV$12^2)/4*(DR105*$W105*1000)/($G105*$B$5)),
IF($D105="Pénétro.",
IF(OR($E105=4,$E105=1,$E105=5),(PI()*DV$12^2)/4*(DR105*$W105*1000)/($H105*$B$5),(PI()*DV$12^2)/4*(DR105*$W105*1000)/($G105*$B$5)))),
IF($D105="Pressio.",
IF($E105=3,(PI()*DV$12^2)/4*(DR105*$W105*1000)/($H105*$B$5),(PI()*DV$12^2)/4*(DR105*$W105*1000)/($G105*$B$5)),
IF($D105="Pénétro.",
IF($E105=4,(PI()*DV$12^2)/4*(DR105*$W105*1000)/($H105*$B$5),(PI()*DV$12^2)/4*(DR105*$W105*1000)/($G105*$B$5))))))/10</f>
        <v>#N/A</v>
      </c>
      <c r="DW105" s="102" t="e">
        <f>(VLOOKUP($B$3,'Coeff EC7'!$T$39:$X$59,2,0)*DU105+VLOOKUP($B$3,'Coeff EC7'!$T$65:$X$85,2,0)*Model0.1C!DV105)/1.1</f>
        <v>#N/A</v>
      </c>
      <c r="DX105" s="102" t="e">
        <f>(VLOOKUP($B$3,'Coeff EC7'!$T$39:$X$59,3,0)*DU105+VLOOKUP($B$3,'Coeff EC7'!$T$65:$X$85,3,0)*Model0.1C!DV105)/0.9</f>
        <v>#N/A</v>
      </c>
      <c r="DY105" s="102" t="e">
        <f t="shared" si="190"/>
        <v>#N/A</v>
      </c>
      <c r="DZ105" s="102" t="e">
        <f t="shared" si="191"/>
        <v>#N/A</v>
      </c>
      <c r="EA105" s="414" t="e">
        <f>IF(EA104=0,0,IF(AND(DW105&gt;charge_ELS_quasi,DX105&gt;Charge_ELS_freq,DY105&gt;charge_ELU,DZ105&gt;charge_ELA,$B105&gt;NDC!$H$22-0.1+MIN(3*$EA$12,1.5)),0,1))</f>
        <v>#N/A</v>
      </c>
      <c r="EB105" s="86" t="b">
        <f t="shared" si="159"/>
        <v>0</v>
      </c>
      <c r="EC105" s="418">
        <f t="shared" si="160"/>
        <v>0.51</v>
      </c>
      <c r="ED105" s="86">
        <f t="shared" si="161"/>
        <v>0.51</v>
      </c>
      <c r="EE105" s="30" t="e">
        <f t="shared" ca="1" si="192"/>
        <v>#DIV/0!</v>
      </c>
      <c r="EF105" s="85" t="e">
        <f ca="1">IF(DL105&lt;=Hypothèses!$V$7,Hypothèses!$W$7,IF(DL105&lt;=Hypothèses!$V$8,Hypothèses!$W$8,IF(DL105&lt;=Hypothèses!$V$9,Hypothèses!$W$9,IF(DL105&lt;=Hypothèses!$V$10,Hypothèses!$W$10,IF(DL105&lt;=Hypothèses!$V$11,Hypothèses!$W$11,IF(DL105&lt;=Hypothèses!$V$12,Hypothèses!$W$12,IF(DL105&lt;=Hypothèses!$V$13,Hypothèses!$W$13,IF(DL105&lt;=Hypothèses!$V$14,Hypothèses!$W$14,IF(DL105&lt;=Hypothèses!$V$15,Hypothèses!$W$15,IF(DL105&lt;=Hypothèses!$V$16,Hypothèses!$W$16,IF(DL105&lt;=Hypothèses!$V$17,Hypothèses!$W$17,IF(DL105&lt;=Hypothèses!$V$18,Hypothèses!$W$18,""))))))))))))</f>
        <v>#DIV/0!</v>
      </c>
      <c r="EG105" s="87" t="e">
        <f t="shared" ca="1" si="222"/>
        <v>#DIV/0!</v>
      </c>
      <c r="EH105" s="88" t="e">
        <f ca="1">IF(DL105&lt;=Hypothèses!$V$7,Hypothèses!$X$7,IF(DL105&lt;=Hypothèses!$V$8,Hypothèses!$X$8,IF(DL105&lt;=Hypothèses!$V$9,Hypothèses!$X$9,IF(DL105&lt;=Hypothèses!$V$10,Hypothèses!$X$10,IF(DL105&lt;=Hypothèses!$V$11,Hypothèses!$X$11,IF(DL105&lt;=Hypothèses!$V$12,Hypothèses!$X$12,IF(DL105&lt;=Hypothèses!$V$13,Hypothèses!$X$13,IF(DL105&lt;=Hypothèses!$V$14,Hypothèses!$X$14,IF(DL105&lt;=Hypothèses!$V$15,Hypothèses!$X$15,IF(DL105&lt;=Hypothèses!$V$16,Hypothèses!$X$16,IF(DL105&lt;=Hypothèses!$U$17,Hypothèses!$W$17,IF(DL105&lt;=Hypothèses!$U$18,Hypothèses!$W$18,""))))))))))))</f>
        <v>#DIV/0!</v>
      </c>
      <c r="EI105" s="95" t="e">
        <f t="shared" ca="1" si="193"/>
        <v>#DIV/0!</v>
      </c>
      <c r="EJ105" s="101" t="e">
        <f t="shared" si="229"/>
        <v>#N/A</v>
      </c>
      <c r="EK105" s="91" t="e">
        <f t="shared" si="162"/>
        <v>#N/A</v>
      </c>
      <c r="EL105" s="30" t="e">
        <f t="shared" si="212"/>
        <v>#N/A</v>
      </c>
      <c r="EM105" s="30" t="e">
        <f t="shared" si="213"/>
        <v>#N/A</v>
      </c>
      <c r="EN105" s="31" t="e">
        <f>IF(OR(Hypothèses!$B$4=17,Hypothèses!$B$4=18,Hypothèses!$B$4=19,Hypothèses!$B$4=20),
IF($D105="Pressio.",
IF(OR($E105=3,$E105=1,$E105=4),EM105,EL105),
IF($D105="Pénétro.",
IF(OR($E105=3,$E105=1,$E105=4),EM105,EL105))),IF($D105="Pressio.",
IF($E105=3,EM105,EL105),
IF($D105="Pénétro.",
IF($E105=4,EM105,EL105))))</f>
        <v>#N/A</v>
      </c>
      <c r="EO105" s="31" t="e">
        <f>(IF(OR(Hypothèses!$B$4=17,Hypothèses!$B$4=18,Hypothèses!$B$4=19,Hypothèses!$B$4=20),
IF($D105="Pressio.",
IF(OR($E105=3,$E105=1,$E105=4),(PI()*EO$12^2)/4*(EK105*$W105*1000)/($H105*$B$5),(PI()*EO$12^2)/4*(EK105*$W105*1000)/($G105*$B$5)),
IF($D105="Pénétro.",
IF(OR($E105=4,$E105=1,$E105=5),(PI()*EO$12^2)/4*(EK105*$W105*1000)/($H105*$B$5),(PI()*EO$12^2)/4*(EK105*$W105*1000)/($G105*$B$5)))),
IF($D105="Pressio.",
IF($E105=3,(PI()*EO$12^2)/4*(EK105*$W105*1000)/($H105*$B$5),(PI()*EO$12^2)/4*(EK105*$W105*1000)/($G105*$B$5)),
IF($D105="Pénétro.",
IF($E105=4,(PI()*EO$12^2)/4*(EK105*$W105*1000)/($H105*$B$5),(PI()*EO$12^2)/4*(EK105*$W105*1000)/($G105*$B$5))))))/10</f>
        <v>#N/A</v>
      </c>
      <c r="EP105" s="102" t="e">
        <f>(VLOOKUP($B$3,'Coeff EC7'!$T$39:$X$59,2,0)*EN105+VLOOKUP($B$3,'Coeff EC7'!$T$65:$X$85,2,0)*Model0.1C!EO105)/1.1</f>
        <v>#N/A</v>
      </c>
      <c r="EQ105" s="102" t="e">
        <f>(VLOOKUP($B$3,'Coeff EC7'!$T$39:$X$59,3,0)*EN105+VLOOKUP($B$3,'Coeff EC7'!$T$65:$X$85,3,0)*Model0.1C!EO105)/0.9</f>
        <v>#N/A</v>
      </c>
      <c r="ER105" s="102" t="e">
        <f t="shared" si="194"/>
        <v>#N/A</v>
      </c>
      <c r="ES105" s="102" t="e">
        <f t="shared" si="195"/>
        <v>#N/A</v>
      </c>
      <c r="ET105" s="414" t="e">
        <f>IF(ET104=0,0,IF(AND(EP105&gt;charge_ELS_quasi,EQ105&gt;Charge_ELS_freq,ER105&gt;charge_ELU,ES105&gt;charge_ELA,$B105&gt;NDC!$H$22-0.1+MIN(3*$ET$12,1.5)),0,1))</f>
        <v>#N/A</v>
      </c>
      <c r="EU105" s="86" t="b">
        <f t="shared" si="163"/>
        <v>0</v>
      </c>
      <c r="EV105" s="86">
        <f t="shared" si="164"/>
        <v>0.61</v>
      </c>
      <c r="EW105" s="86">
        <f t="shared" si="165"/>
        <v>0.61</v>
      </c>
      <c r="EX105" s="30" t="e">
        <f t="shared" ca="1" si="196"/>
        <v>#DIV/0!</v>
      </c>
      <c r="EY105" s="85" t="e">
        <f ca="1">IF(EE105&lt;=Hypothèses!$V$7,Hypothèses!$W$7,IF(EE105&lt;=Hypothèses!$V$8,Hypothèses!$W$8,IF(EE105&lt;=Hypothèses!$V$9,Hypothèses!$W$9,IF(EE105&lt;=Hypothèses!$V$10,Hypothèses!$W$10,IF(EE105&lt;=Hypothèses!$V$11,Hypothèses!$W$11,IF(EE105&lt;=Hypothèses!$V$12,Hypothèses!$W$12,IF(EE105&lt;=Hypothèses!$V$13,Hypothèses!$W$13,IF(EE105&lt;=Hypothèses!$V$14,Hypothèses!$W$14,IF(EE105&lt;=Hypothèses!$V$15,Hypothèses!$W$15,IF(EE105&lt;=Hypothèses!$V$16,Hypothèses!$W$16,IF(EE105&lt;=Hypothèses!$V$17,Hypothèses!$W$17,IF(EE105&lt;=Hypothèses!$V$18,Hypothèses!$W$18,""))))))))))))</f>
        <v>#DIV/0!</v>
      </c>
      <c r="EZ105" s="87" t="e">
        <f t="shared" ca="1" si="223"/>
        <v>#DIV/0!</v>
      </c>
      <c r="FA105" s="88" t="e">
        <f ca="1">IF(EE105&lt;=Hypothèses!$V$7,Hypothèses!$X$7,IF(EE105&lt;=Hypothèses!$V$8,Hypothèses!$X$8,IF(EE105&lt;=Hypothèses!$V$9,Hypothèses!$X$9,IF(EE105&lt;=Hypothèses!$V$10,Hypothèses!$X$10,IF(EE105&lt;=Hypothèses!$V$11,Hypothèses!$X$11,IF(EE105&lt;=Hypothèses!$V$12,Hypothèses!$X$12,IF(EE105&lt;=Hypothèses!$V$13,Hypothèses!$X$13,IF(EE105&lt;=Hypothèses!$V$14,Hypothèses!$X$14,IF(EE105&lt;=Hypothèses!$V$15,Hypothèses!$X$15,IF(EE105&lt;=Hypothèses!$V$16,Hypothèses!$X$16,IF(EE105&lt;=Hypothèses!$U$17,Hypothèses!$W$17,IF(EE105&lt;=Hypothèses!$U$18,Hypothèses!$W$18,""))))))))))))</f>
        <v>#DIV/0!</v>
      </c>
      <c r="FB105" s="95" t="e">
        <f t="shared" ca="1" si="197"/>
        <v>#DIV/0!</v>
      </c>
      <c r="FC105" s="101" t="e">
        <f t="shared" si="230"/>
        <v>#N/A</v>
      </c>
      <c r="FD105" s="91" t="e">
        <f t="shared" si="166"/>
        <v>#N/A</v>
      </c>
      <c r="FE105" s="30" t="e">
        <f t="shared" si="214"/>
        <v>#N/A</v>
      </c>
      <c r="FF105" s="30" t="e">
        <f t="shared" si="215"/>
        <v>#N/A</v>
      </c>
      <c r="FG105" s="31" t="e">
        <f>IF(OR(Hypothèses!$B$4=17,Hypothèses!$B$4=18,Hypothèses!$B$4=19,Hypothèses!$B$4=20),
IF($D105="Pressio.",
IF(OR($E105=3,$E105=1,$E105=4),FF105,FE105),
IF($D105="Pénétro.",
IF(OR($E105=3,$E105=1,$E105=4),FF105,FE105))),IF($D105="Pressio.",
IF($E105=3,FF105,FE105),
IF($D105="Pénétro.",
IF($E105=4,FF105,FE105))))</f>
        <v>#N/A</v>
      </c>
      <c r="FH105" s="31" t="e">
        <f>(IF(OR(Hypothèses!$B$4=17,Hypothèses!$B$4=18,Hypothèses!$B$4=19,Hypothèses!$B$4=20),
IF($D105="Pressio.",
IF(OR($E105=3,$E105=1,$E105=4),(PI()*FH$12^2)/4*(FD105*$W105*1000)/($H105*$B$5),(PI()*FH$12^2)/4*(FD105*$W105*1000)/($G105*$B$5)),
IF($D105="Pénétro.",
IF(OR($E105=4,$E105=1,$E105=5),(PI()*FH$12^2)/4*(FD105*$W105*1000)/($H105*$B$5),(PI()*FH$12^2)/4*(FD105*$W105*1000)/($G105*$B$5)))),
IF($D105="Pressio.",
IF($E105=3,(PI()*FH$12^2)/4*(FD105*$W105*1000)/($H105*$B$5),(PI()*FH$12^2)/4*(FD105*$W105*1000)/($G105*$B$5)),
IF($D105="Pénétro.",
IF($E105=4,(PI()*FH$12^2)/4*(FD105*$W105*1000)/($H105*$B$5),(PI()*FH$12^2)/4*(FD105*$W105*1000)/($G105*$B$5))))))/10</f>
        <v>#N/A</v>
      </c>
      <c r="FI105" s="102" t="e">
        <f>(VLOOKUP($B$3,'Coeff EC7'!$T$39:$X$59,2,0)*FG105+VLOOKUP($B$3,'Coeff EC7'!$T$65:$X$85,2,0)*Model0.1C!FH105)/1.1</f>
        <v>#N/A</v>
      </c>
      <c r="FJ105" s="102" t="e">
        <f>(VLOOKUP($B$3,'Coeff EC7'!$T$39:$X$59,3,0)*FG105+VLOOKUP($B$3,'Coeff EC7'!$T$65:$X$85,3,0)*Model0.1C!FH105)/0.9</f>
        <v>#N/A</v>
      </c>
      <c r="FK105" s="102" t="e">
        <f t="shared" si="198"/>
        <v>#N/A</v>
      </c>
      <c r="FL105" s="102" t="e">
        <f t="shared" si="199"/>
        <v>#N/A</v>
      </c>
      <c r="FM105" s="414" t="e">
        <f>IF(FM104=0,0,IF(AND(FI105&gt;charge_ELS_quasi,FJ105&gt;Charge_ELS_freq,FK105&gt;charge_ELU,FL105&gt;charge_ELA,$B105&gt;NDC!$H$22-0.1+MIN(3*$FM$12,1.5)),0,1))</f>
        <v>#N/A</v>
      </c>
    </row>
    <row r="106" spans="1:169">
      <c r="A106" s="96">
        <f t="shared" si="167"/>
        <v>90.700000000000529</v>
      </c>
      <c r="B106" s="97">
        <v>9.3000000000000007</v>
      </c>
      <c r="C106" s="81">
        <f>IF(B106&lt;=Hypothèses!$C$7,Hypothèses!$A$7,IF(B106&lt;=Hypothèses!$C$8,Hypothèses!$A$8,IF(B106&lt;=Hypothèses!$C$9,Hypothèses!$A$9,IF(B106&lt;=Hypothèses!$C$10,Hypothèses!$A$10,IF(B106&lt;=Hypothèses!$C$11,Hypothèses!$A$11,IF(B106&lt;=Hypothèses!$C$12,Hypothèses!$A$12,IF(B106&lt;=Hypothèses!$C$13,Hypothèses!$A$13,IF(B106&lt;=Hypothèses!$C$14,Hypothèses!$A$14,IF(B106&lt;=Hypothèses!$C$15,Hypothèses!$A$15,IF(B106&lt;=Hypothèses!$C$16,Hypothèses!$A$16,IF(B106&lt;=Hypothèses!$C$17,Hypothèses!$A$17,IF(B106&lt;=Hypothèses!$C$18,Hypothèses!$A$18,C105))))))))))))</f>
        <v>11</v>
      </c>
      <c r="D106" s="82" t="str">
        <f>IF(B106&lt;=Hypothèses!$C$7,Hypothèses!$R$7,IF(B106&lt;=Hypothèses!$C$8,Hypothèses!$R$8,IF(B106&lt;=Hypothèses!$C$9,Hypothèses!$R$9,IF(B106&lt;=Hypothèses!$C$10,Hypothèses!$R$10,IF(B106&lt;=Hypothèses!$C$11,Hypothèses!$R$11,IF(B106&lt;=Hypothèses!$C$12,Hypothèses!$R$12,IF(B106&lt;=Hypothèses!$C$13,Hypothèses!$R$13,IF(B106&lt;=Hypothèses!$C$14,Hypothèses!$R$14,IF(B106&lt;=Hypothèses!$C$15,Hypothèses!$R$15,IF(B106&lt;=Hypothèses!$C$16,Hypothèses!$R$16,IF(B106&lt;=Hypothèses!$C$17,Hypothèses!$R$17,IF(B106&lt;=Hypothèses!$C$18,Hypothèses!$R$18,D105))))))))))))</f>
        <v>Pressio.</v>
      </c>
      <c r="E106" s="82" t="e">
        <f>IF(B106&lt;=Hypothèses!$C$7,Hypothèses!$G$7,IF(B106&lt;=Hypothèses!$C$8,Hypothèses!$G$8,IF(B106&lt;=Hypothèses!$C$9,Hypothèses!$G$9,IF(B106&lt;=Hypothèses!$C$10,Hypothèses!$G$10,IF(B106&lt;=Hypothèses!$C$11,Hypothèses!$G$11,IF(B106&lt;=Hypothèses!$C$12,Hypothèses!$G$12,IF(B106&lt;=Hypothèses!$C$13,Hypothèses!$G$13,IF(B106&lt;=Hypothèses!$C$14,Hypothèses!$G$14,IF(B106&lt;=Hypothèses!$C$15,Hypothèses!$G$15,IF(B106&lt;=Hypothèses!$C$16,Hypothèses!$G$16,IF(B106&lt;=Hypothèses!$C$17,Hypothèses!$G$17,IF(B106&lt;=Hypothèses!$C$18,Hypothèses!$G$18,E105))))))))))))</f>
        <v>#N/A</v>
      </c>
      <c r="F106" s="82" t="str">
        <f>IF(B106&lt;=Hypothèses!$C$7,Hypothèses!$F$7,IF(B106&lt;=Hypothèses!$C$8,Hypothèses!$F$8,IF(B106&lt;=Hypothèses!$C$9,Hypothèses!$F$9,IF(B106&lt;=Hypothèses!$C$10,Hypothèses!$F$10,IF(B106&lt;=Hypothèses!$C$11,Hypothèses!$F$11,IF(B106&lt;=Hypothèses!$C$12,Hypothèses!$F$12,IF(B106&lt;=Hypothèses!$C$13,Hypothèses!$F$13,IF(B106&lt;=Hypothèses!$C$14,Hypothèses!$F$14,IF(B106&lt;=Hypothèses!$C$15,Hypothèses!$F$15,IF(B106&lt;=Hypothèses!$C$16,Hypothèses!$F$16,IF(B106&lt;=Hypothèses!$C$17,Hypothèses!$F$17,IF(B106&lt;=Hypothèses!$C$18,Hypothèses!$F$18,F105))))))))))))</f>
        <v/>
      </c>
      <c r="G106" s="91">
        <f t="array" ref="G106">INDEX('Coeff EC7'!$U$7:$X$27,
MATCH(Model0.1C!$B$3,'Coeff EC7'!$T$7:$T$27,0),
MATCH(Model0.1C!$D106&amp;Model0.1C!$B$4,
'Coeff EC7'!$U$6:$X$6&amp;
'Coeff EC7'!$U$5:$X$5,0))</f>
        <v>1.1499999999999999</v>
      </c>
      <c r="H106" s="91">
        <f t="array" ref="H106">INDEX('Coeff EC7'!$Y$7:$AB$27,
MATCH(Model0.1C!$B$3,'Coeff EC7'!$T$7:$T$27,0),
MATCH(Model0.1C!$D106&amp;Model0.1C!$B$4,
'Coeff EC7'!$Y$6:$AB$6&amp;
'Coeff EC7'!$Y$5:$AB$5,0))</f>
        <v>1.4</v>
      </c>
      <c r="I106" s="83" t="e">
        <f>IF(B106&lt;=Hypothèses!$C$7,Hypothèses!$P$7,IF(B106&lt;=Hypothèses!$C$8,Hypothèses!$P$8,IF(B106&lt;=Hypothèses!$C$9,Hypothèses!$P$9,IF(B106&lt;=Hypothèses!$C$10,Hypothèses!$P$10,IF(B106&lt;=Hypothèses!$C$11,Hypothèses!$P$11,IF(B106&lt;=Hypothèses!$C$12,Hypothèses!$P$12,IF(B106&lt;=Hypothèses!$C$13,Hypothèses!$P$13,IF(B106&lt;=Hypothèses!$C$14,Hypothèses!$P$14,IF(B106&lt;=Hypothèses!$C$15,Hypothèses!$P$15,IF(B106&lt;=Hypothèses!$C$16,Hypothèses!$P$16,IF(B106&lt;=Hypothèses!$C$17,Hypothèses!$P$17,IF(B106&lt;=Hypothèses!$C$18,Hypothèses!$P$18,I105))))))))))))</f>
        <v>#N/A</v>
      </c>
      <c r="J106" s="91" t="e">
        <f t="array" ref="J106">INDEX('Coeff EC7'!$D$33:$Q$33,1,MATCH(D106&amp;E106,'Coeff EC7'!$D$31:$Q$31&amp;'Coeff EC7'!$D$32:$Q$32,0))</f>
        <v>#N/A</v>
      </c>
      <c r="K106" s="91" t="e">
        <f t="array" ref="K106">INDEX('Coeff EC7'!$D$34:$Q$34,1,MATCH(D106&amp;E106,'Coeff EC7'!$D$31:$Q$31&amp;'Coeff EC7'!$D$32:$Q$32,0))</f>
        <v>#N/A</v>
      </c>
      <c r="L106" s="91" t="e">
        <f t="array" ref="L106">INDEX('Coeff EC7'!$D$35:$Q$35,1,MATCH(D106&amp;E106,'Coeff EC7'!$D$31:$Q$31&amp;'Coeff EC7'!$D$32:$Q$32,0))</f>
        <v>#N/A</v>
      </c>
      <c r="M106" s="98" t="e">
        <f t="shared" si="131"/>
        <v>#N/A</v>
      </c>
      <c r="N106" s="99" t="e">
        <f t="array" ref="N106">INDEX('Coeff EC7'!$D$7:$Q$27,MATCH($B$3,'Coeff EC7'!$C$7:$C$27,0),MATCH(D106&amp;E106,'Coeff EC7'!$D$5:$Q$5&amp;'Coeff EC7'!$D$6:$Q$6,0))</f>
        <v>#N/A</v>
      </c>
      <c r="O106" s="99" t="e">
        <f t="array" ref="O106">INDEX('Coeff EC7'!$D$41:$Q$61,MATCH($B$3,'Coeff EC7'!$C$41:$C$61,0),MATCH(D106&amp;E106,'Coeff EC7'!$D$39:$Q$39&amp;'Coeff EC7'!$D$40:$Q$40,0))</f>
        <v>#N/A</v>
      </c>
      <c r="P106" s="30" t="e">
        <f t="shared" si="168"/>
        <v>#N/A</v>
      </c>
      <c r="Q106" s="100" t="e">
        <f t="shared" si="133"/>
        <v>#N/A</v>
      </c>
      <c r="R106" s="86" t="b">
        <f t="shared" si="134"/>
        <v>0</v>
      </c>
      <c r="S106" s="86">
        <f t="shared" si="132"/>
        <v>0.5</v>
      </c>
      <c r="T106" s="86">
        <f t="shared" si="135"/>
        <v>0.5</v>
      </c>
      <c r="U106" s="30" t="e">
        <f t="shared" ca="1" si="169"/>
        <v>#DIV/0!</v>
      </c>
      <c r="V106" s="85" t="str">
        <f>IF(B106&lt;=Hypothèses!$V$7,Hypothèses!$W$7,IF(B106&lt;=Hypothèses!$V$8,Hypothèses!$W$8,IF(B106&lt;=Hypothèses!$V$9,Hypothèses!$W$9,IF(B106&lt;=Hypothèses!$V$10,Hypothèses!$W$10,IF(B106&lt;=Hypothèses!$V$11,Hypothèses!$W$11,IF(B106&lt;=Hypothèses!$V$12,Hypothèses!$W$12,IF(B106&lt;=Hypothèses!$V$13,Hypothèses!$W$13,IF(B106&lt;=Hypothèses!$V$14,Hypothèses!$W$14,IF(B106&lt;=Hypothèses!$V$15,Hypothèses!$W$15,IF(B106&lt;=Hypothèses!$V$16,Hypothèses!$W$16,IF(B106&lt;=Hypothèses!$V$17,Hypothèses!$W$17,IF(B106&lt;=Hypothèses!$V$18,Hypothèses!$W$18,""))))))))))))</f>
        <v/>
      </c>
      <c r="W106" s="87" t="e">
        <f t="shared" ca="1" si="216"/>
        <v>#DIV/0!</v>
      </c>
      <c r="X106" s="88" t="str">
        <f>IF(B106&lt;=Hypothèses!$V$7,Hypothèses!$X$7,IF(B106&lt;=Hypothèses!$V$8,Hypothèses!$X$8,IF(B106&lt;=Hypothèses!$V$9,Hypothèses!$X$9,IF(B106&lt;=Hypothèses!$V$10,Hypothèses!$X$10,IF(B106&lt;=Hypothèses!$V$11,Hypothèses!$X$11,IF(B106&lt;=Hypothèses!$V$12,Hypothèses!$X$12,IF(B106&lt;=Hypothèses!$V$13,Hypothèses!$X$13,IF(B106&lt;=Hypothèses!$V$14,Hypothèses!$X$14,IF(B106&lt;=Hypothèses!$V$15,Hypothèses!$X$15,IF(B106&lt;=Hypothèses!$V$16,Hypothèses!$X$16,IF(B106&lt;=Hypothèses!$U$17,Hypothèses!$W$17,IF(B106&lt;=Hypothèses!$U$18,Hypothèses!$W$18,""))))))))))))</f>
        <v/>
      </c>
      <c r="Y106" s="95" t="e">
        <f t="shared" ca="1" si="136"/>
        <v>#DIV/0!</v>
      </c>
      <c r="Z106" s="101" t="e">
        <f t="shared" si="137"/>
        <v>#N/A</v>
      </c>
      <c r="AA106" s="91" t="e">
        <f t="shared" si="138"/>
        <v>#N/A</v>
      </c>
      <c r="AB106" s="30" t="e">
        <f t="shared" si="200"/>
        <v>#N/A</v>
      </c>
      <c r="AC106" s="30" t="e">
        <f t="shared" si="201"/>
        <v>#N/A</v>
      </c>
      <c r="AD106" s="31" t="e">
        <f>IF(OR(Hypothèses!$B$4=17,Hypothèses!$B$4=18,Hypothèses!$B$4=19,Hypothèses!$B$4=20),
IF($D106="Pressio.",
IF(OR($E106=3,$E106=1,$E106=4),AC106,AB106),
IF($D106="Pénétro.",
IF(OR($E106=3,$E106=1,$E106=4),AC106,AB106))),IF($D106="Pressio.",
IF($E106=3,AC106,AB106),
IF($D106="Pénétro.",
IF($E106=4,AC106,AB106))))</f>
        <v>#N/A</v>
      </c>
      <c r="AE106" s="31" t="e">
        <f>(IF(OR(Hypothèses!$B$4=17,Hypothèses!$B$4=18,Hypothèses!$B$4=19,Hypothèses!$B$4=20),
IF($D106="Pressio.",
IF(OR($E106=3,$E106=1,$E106=4),(PI()*AE$12^2)/4*(AA106*$W106*1000)/($H106*$B$5),(PI()*AE$12^2)/4*(AA106*$W106*1000)/($G106*$B$5)),
IF($D106="Pénétro.",
IF(OR($E106=4,$E106=1,$E106=5),(PI()*AE$12^2)/4*(AA106*$W106*1000)/($H106*$B$5),(PI()*AE$12^2)/4*(AA106*$W106*1000)/($G106*$B$5)))),
IF($D106="Pressio.",
IF($E106=3,(PI()*AE$12^2)/4*(AA106*$W106*1000)/($H106*$B$5),(PI()*AE$12^2)/4*(AA106*$W106*1000)/($G106*$B$5)),
IF($D106="Pénétro.",
IF($E106=4,(PI()*AE$12^2)/4*(AA106*$W106*1000)/($H106*$B$5),(PI()*AE$12^2)/4*(AA106*$W106*1000)/($G106*$B$5))))))/10</f>
        <v>#N/A</v>
      </c>
      <c r="AF106" s="102" t="e">
        <f>(VLOOKUP($B$3,'Coeff EC7'!$T$39:$X$59,2,0)*AD106+VLOOKUP($B$3,'Coeff EC7'!$T$65:$X$85,2,0)*Model0.1C!AE106)/1.1</f>
        <v>#N/A</v>
      </c>
      <c r="AG106" s="102" t="e">
        <f>(VLOOKUP($B$3,'Coeff EC7'!$T$39:$X$59,3,0)*AD106+VLOOKUP($B$3,'Coeff EC7'!$T$65:$X$85,3,0)*Model0.1C!AE106)/0.9</f>
        <v>#N/A</v>
      </c>
      <c r="AH106" s="102" t="e">
        <f t="shared" si="139"/>
        <v>#N/A</v>
      </c>
      <c r="AI106" s="102" t="e">
        <f t="shared" si="140"/>
        <v>#N/A</v>
      </c>
      <c r="AJ106" s="414" t="e">
        <f>IF(AJ105=0,0,IF(AND(AF106&gt;charge_ELS_quasi,AG106&gt;Charge_ELS_freq,AH106&gt;charge_ELU,AI106&gt;charge_ELA,$B106&gt;NDC!$H$22-0.1+MIN(3*$AJ$12,1.5)),0,1))</f>
        <v>#N/A</v>
      </c>
      <c r="AK106" s="86" t="b">
        <f t="shared" si="141"/>
        <v>0</v>
      </c>
      <c r="AL106" s="86">
        <f t="shared" si="170"/>
        <v>0.5</v>
      </c>
      <c r="AM106" s="86">
        <f t="shared" si="142"/>
        <v>0.5</v>
      </c>
      <c r="AN106" s="30" t="e">
        <f t="shared" ca="1" si="171"/>
        <v>#DIV/0!</v>
      </c>
      <c r="AO106" s="85" t="e">
        <f ca="1">IF(U106&lt;=Hypothèses!$V$7,Hypothèses!$W$7,IF(U106&lt;=Hypothèses!$V$8,Hypothèses!$W$8,IF(U106&lt;=Hypothèses!$V$9,Hypothèses!$W$9,IF(U106&lt;=Hypothèses!$V$10,Hypothèses!$W$10,IF(U106&lt;=Hypothèses!$V$11,Hypothèses!$W$11,IF(U106&lt;=Hypothèses!$V$12,Hypothèses!$W$12,IF(U106&lt;=Hypothèses!$V$13,Hypothèses!$W$13,IF(U106&lt;=Hypothèses!$V$14,Hypothèses!$W$14,IF(U106&lt;=Hypothèses!$V$15,Hypothèses!$W$15,IF(U106&lt;=Hypothèses!$V$16,Hypothèses!$W$16,IF(U106&lt;=Hypothèses!$V$17,Hypothèses!$W$17,IF(U106&lt;=Hypothèses!$V$18,Hypothèses!$W$18,""))))))))))))</f>
        <v>#DIV/0!</v>
      </c>
      <c r="AP106" s="87" t="e">
        <f t="shared" ca="1" si="217"/>
        <v>#DIV/0!</v>
      </c>
      <c r="AQ106" s="88" t="e">
        <f ca="1">IF(U106&lt;=Hypothèses!$V$7,Hypothèses!$X$7,IF(U106&lt;=Hypothèses!$V$8,Hypothèses!$X$8,IF(U106&lt;=Hypothèses!$V$9,Hypothèses!$X$9,IF(U106&lt;=Hypothèses!$V$10,Hypothèses!$X$10,IF(U106&lt;=Hypothèses!$V$11,Hypothèses!$X$11,IF(U106&lt;=Hypothèses!$V$12,Hypothèses!$X$12,IF(U106&lt;=Hypothèses!$V$13,Hypothèses!$X$13,IF(U106&lt;=Hypothèses!$V$14,Hypothèses!$X$14,IF(U106&lt;=Hypothèses!$V$15,Hypothèses!$X$15,IF(U106&lt;=Hypothèses!$V$16,Hypothèses!$X$16,IF(U106&lt;=Hypothèses!$U$17,Hypothèses!$W$17,IF(U106&lt;=Hypothèses!$U$18,Hypothèses!$W$18,""))))))))))))</f>
        <v>#DIV/0!</v>
      </c>
      <c r="AR106" s="95" t="e">
        <f t="shared" ca="1" si="172"/>
        <v>#DIV/0!</v>
      </c>
      <c r="AS106" s="101" t="e">
        <f t="shared" si="224"/>
        <v>#N/A</v>
      </c>
      <c r="AT106" s="91" t="e">
        <f t="shared" si="143"/>
        <v>#N/A</v>
      </c>
      <c r="AU106" s="30" t="e">
        <f t="shared" si="202"/>
        <v>#N/A</v>
      </c>
      <c r="AV106" s="30" t="e">
        <f t="shared" si="203"/>
        <v>#N/A</v>
      </c>
      <c r="AW106" s="31" t="e">
        <f>IF(OR(Hypothèses!$B$4=17,Hypothèses!$B$4=18,Hypothèses!$B$4=19,Hypothèses!$B$4=20),
IF($D106="Pressio.",
IF(OR($E106=3,$E106=1,$E106=4),AV106,AU106),
IF($D106="Pénétro.",
IF(OR($E106=3,$E106=1,$E106=4),AV106,AU106))),IF($D106="Pressio.",
IF($E106=3,AV106,AU106),
IF($D106="Pénétro.",
IF($E106=4,AV106,AU106))))</f>
        <v>#N/A</v>
      </c>
      <c r="AX106" s="31" t="e">
        <f>(IF(OR(Hypothèses!$B$4=17,Hypothèses!$B$4=18,Hypothèses!$B$4=19,Hypothèses!$B$4=20),
IF($D106="Pressio.",
IF(OR($E106=3,$E106=1,$E106=4),(PI()*AX$12^2)/4*(AT106*$W106*1000)/($H106*$B$5),(PI()*AX$12^2)/4*(AT106*$W106*1000)/($G106*$B$5)),
IF($D106="Pénétro.",
IF(OR($E106=4,$E106=1,$E106=5),(PI()*AX$12^2)/4*(AT106*$W106*1000)/($H106*$B$5),(PI()*AX$12^2)/4*(AT106*$W106*1000)/($G106*$B$5)))),
IF($D106="Pressio.",
IF($E106=3,(PI()*AX$12^2)/4*(AT106*$W106*1000)/($H106*$B$5),(PI()*AX$12^2)/4*(AT106*$W106*1000)/($G106*$B$5)),
IF($D106="Pénétro.",
IF($E106=4,(PI()*AX$12^2)/4*(AT106*$W106*1000)/($H106*$B$5),(PI()*AX$12^2)/4*(AT106*$W106*1000)/($G106*$B$5))))))/10</f>
        <v>#N/A</v>
      </c>
      <c r="AY106" s="102" t="e">
        <f>(VLOOKUP($B$3,'Coeff EC7'!$T$39:$X$59,2,0)*AW106+VLOOKUP($B$3,'Coeff EC7'!$T$65:$X$85,2,0)*Model0.1C!AX106)/1.1</f>
        <v>#N/A</v>
      </c>
      <c r="AZ106" s="102" t="e">
        <f>(VLOOKUP($B$3,'Coeff EC7'!$T$39:$X$59,3,0)*AW106+VLOOKUP($B$3,'Coeff EC7'!$T$65:$X$85,3,0)*Model0.1C!AX106)/0.9</f>
        <v>#N/A</v>
      </c>
      <c r="BA106" s="102" t="e">
        <f t="shared" si="173"/>
        <v>#N/A</v>
      </c>
      <c r="BB106" s="102" t="e">
        <f t="shared" si="174"/>
        <v>#N/A</v>
      </c>
      <c r="BC106" s="414" t="e">
        <f>IF(BC105=0,0,IF(AND(AY106&gt;charge_ELS_quasi,AZ106&gt;Charge_ELS_freq,BA106&gt;charge_ELU,BB106&gt;charge_ELA,$B106&gt;NDC!$H$22-0.1+MIN(3*$BC$12,1.5)),0,1))</f>
        <v>#N/A</v>
      </c>
      <c r="BD106" s="86" t="b">
        <f t="shared" si="144"/>
        <v>0</v>
      </c>
      <c r="BE106" s="86">
        <f t="shared" si="175"/>
        <v>0.5</v>
      </c>
      <c r="BF106" s="86">
        <f t="shared" si="145"/>
        <v>0.5</v>
      </c>
      <c r="BG106" s="30" t="e">
        <f t="shared" ca="1" si="176"/>
        <v>#DIV/0!</v>
      </c>
      <c r="BH106" s="85" t="e">
        <f ca="1">IF(AN106&lt;=Hypothèses!$V$7,Hypothèses!$W$7,IF(AN106&lt;=Hypothèses!$V$8,Hypothèses!$W$8,IF(AN106&lt;=Hypothèses!$V$9,Hypothèses!$W$9,IF(AN106&lt;=Hypothèses!$V$10,Hypothèses!$W$10,IF(AN106&lt;=Hypothèses!$V$11,Hypothèses!$W$11,IF(AN106&lt;=Hypothèses!$V$12,Hypothèses!$W$12,IF(AN106&lt;=Hypothèses!$V$13,Hypothèses!$W$13,IF(AN106&lt;=Hypothèses!$V$14,Hypothèses!$W$14,IF(AN106&lt;=Hypothèses!$V$15,Hypothèses!$W$15,IF(AN106&lt;=Hypothèses!$V$16,Hypothèses!$W$16,IF(AN106&lt;=Hypothèses!$V$17,Hypothèses!$W$17,IF(AN106&lt;=Hypothèses!$V$18,Hypothèses!$W$18,""))))))))))))</f>
        <v>#DIV/0!</v>
      </c>
      <c r="BI106" s="87" t="e">
        <f t="shared" ca="1" si="218"/>
        <v>#DIV/0!</v>
      </c>
      <c r="BJ106" s="88" t="e">
        <f ca="1">IF(AN106&lt;=Hypothèses!$V$7,Hypothèses!$X$7,IF(AN106&lt;=Hypothèses!$V$8,Hypothèses!$X$8,IF(AN106&lt;=Hypothèses!$V$9,Hypothèses!$X$9,IF(AN106&lt;=Hypothèses!$V$10,Hypothèses!$X$10,IF(AN106&lt;=Hypothèses!$V$11,Hypothèses!$X$11,IF(AN106&lt;=Hypothèses!$V$12,Hypothèses!$X$12,IF(AN106&lt;=Hypothèses!$V$13,Hypothèses!$X$13,IF(AN106&lt;=Hypothèses!$V$14,Hypothèses!$X$14,IF(AN106&lt;=Hypothèses!$V$15,Hypothèses!$X$15,IF(AN106&lt;=Hypothèses!$V$16,Hypothèses!$X$16,IF(AN106&lt;=Hypothèses!$U$17,Hypothèses!$W$17,IF(AN106&lt;=Hypothèses!$U$18,Hypothèses!$W$18,""))))))))))))</f>
        <v>#DIV/0!</v>
      </c>
      <c r="BK106" s="95" t="e">
        <f t="shared" ca="1" si="177"/>
        <v>#DIV/0!</v>
      </c>
      <c r="BL106" s="101" t="e">
        <f t="shared" si="225"/>
        <v>#N/A</v>
      </c>
      <c r="BM106" s="91" t="e">
        <f t="shared" si="146"/>
        <v>#N/A</v>
      </c>
      <c r="BN106" s="30" t="e">
        <f t="shared" si="204"/>
        <v>#N/A</v>
      </c>
      <c r="BO106" s="30" t="e">
        <f t="shared" si="205"/>
        <v>#N/A</v>
      </c>
      <c r="BP106" s="31" t="e">
        <f>IF(OR(Hypothèses!$B$4=17,Hypothèses!$B$4=18,Hypothèses!$B$4=19,Hypothèses!$B$4=20),
IF($D106="Pressio.",
IF(OR($E106=3,$E106=1,$E106=4),BO106,BN106),
IF($D106="Pénétro.",
IF(OR($E106=3,$E106=1,$E106=4),BO106,BN106))),IF($D106="Pressio.",
IF($E106=3,BO106,BN106),
IF($D106="Pénétro.",
IF($E106=4,BO106,BN106))))</f>
        <v>#N/A</v>
      </c>
      <c r="BQ106" s="31" t="e">
        <f>(IF(OR(Hypothèses!$B$4=17,Hypothèses!$B$4=18,Hypothèses!$B$4=19,Hypothèses!$B$4=20),
IF($D106="Pressio.",
IF(OR($E106=3,$E106=1,$E106=4),(PI()*BQ$12^2)/4*(BM106*$W106*1000)/($H106*$B$5),(PI()*BQ$12^2)/4*(BM106*$W106*1000)/($G106*$B$5)),
IF($D106="Pénétro.",
IF(OR($E106=4,$E106=1,$E106=5),(PI()*BQ$12^2)/4*(BM106*$W106*1000)/($H106*$B$5),(PI()*BQ$12^2)/4*(BM106*$W106*1000)/($G106*$B$5)))),
IF($D106="Pressio.",
IF($E106=3,(PI()*BQ$12^2)/4*(BM106*$W106*1000)/($H106*$B$5),(PI()*BQ$12^2)/4*(BM106*$W106*1000)/($G106*$B$5)),
IF($D106="Pénétro.",
IF($E106=4,(PI()*BQ$12^2)/4*(BM106*$W106*1000)/($H106*$B$5),(PI()*BQ$12^2)/4*(BM106*$W106*1000)/($G106*$B$5))))))/10</f>
        <v>#N/A</v>
      </c>
      <c r="BR106" s="102" t="e">
        <f>(VLOOKUP($B$3,'Coeff EC7'!$T$39:$X$59,2,0)*BP106+VLOOKUP($B$3,'Coeff EC7'!$T$65:$X$85,2,0)*Model0.1C!BQ106)/1.1</f>
        <v>#N/A</v>
      </c>
      <c r="BS106" s="102" t="e">
        <f>(VLOOKUP($B$3,'Coeff EC7'!$T$39:$X$59,3,0)*BP106+VLOOKUP($B$3,'Coeff EC7'!$T$65:$X$85,3,0)*Model0.1C!BQ106)/0.9</f>
        <v>#N/A</v>
      </c>
      <c r="BT106" s="102" t="e">
        <f t="shared" si="178"/>
        <v>#N/A</v>
      </c>
      <c r="BU106" s="102" t="e">
        <f t="shared" si="179"/>
        <v>#N/A</v>
      </c>
      <c r="BV106" s="414" t="e">
        <f>IF(BV105=0,0,IF(AND(BR106&gt;charge_ELS_quasi,BS106&gt;Charge_ELS_freq,BT106&gt;charge_ELU,BU106&gt;charge_ELA,$B106&gt;NDC!$H$22-0.1+MIN(3*$BV$12,1.5)),0,1))</f>
        <v>#N/A</v>
      </c>
      <c r="BW106" s="86" t="b">
        <f t="shared" si="147"/>
        <v>0</v>
      </c>
      <c r="BX106" s="86">
        <f t="shared" si="148"/>
        <v>0.5</v>
      </c>
      <c r="BY106" s="86">
        <f t="shared" si="149"/>
        <v>0.5</v>
      </c>
      <c r="BZ106" s="30" t="e">
        <f t="shared" ca="1" si="180"/>
        <v>#DIV/0!</v>
      </c>
      <c r="CA106" s="85" t="e">
        <f ca="1">IF(BG106&lt;=Hypothèses!$V$7,Hypothèses!$W$7,IF(BG106&lt;=Hypothèses!$V$8,Hypothèses!$W$8,IF(BG106&lt;=Hypothèses!$V$9,Hypothèses!$W$9,IF(BG106&lt;=Hypothèses!$V$10,Hypothèses!$W$10,IF(BG106&lt;=Hypothèses!$V$11,Hypothèses!$W$11,IF(BG106&lt;=Hypothèses!$V$12,Hypothèses!$W$12,IF(BG106&lt;=Hypothèses!$V$13,Hypothèses!$W$13,IF(BG106&lt;=Hypothèses!$V$14,Hypothèses!$W$14,IF(BG106&lt;=Hypothèses!$V$15,Hypothèses!$W$15,IF(BG106&lt;=Hypothèses!$V$16,Hypothèses!$W$16,IF(BG106&lt;=Hypothèses!$V$17,Hypothèses!$W$17,IF(BG106&lt;=Hypothèses!$V$18,Hypothèses!$W$18,""))))))))))))</f>
        <v>#DIV/0!</v>
      </c>
      <c r="CB106" s="87" t="e">
        <f t="shared" ca="1" si="219"/>
        <v>#DIV/0!</v>
      </c>
      <c r="CC106" s="88" t="e">
        <f ca="1">IF(BG106&lt;=Hypothèses!$V$7,Hypothèses!$X$7,IF(BG106&lt;=Hypothèses!$V$8,Hypothèses!$X$8,IF(BG106&lt;=Hypothèses!$V$9,Hypothèses!$X$9,IF(BG106&lt;=Hypothèses!$V$10,Hypothèses!$X$10,IF(BG106&lt;=Hypothèses!$V$11,Hypothèses!$X$11,IF(BG106&lt;=Hypothèses!$V$12,Hypothèses!$X$12,IF(BG106&lt;=Hypothèses!$V$13,Hypothèses!$X$13,IF(BG106&lt;=Hypothèses!$V$14,Hypothèses!$X$14,IF(BG106&lt;=Hypothèses!$V$15,Hypothèses!$X$15,IF(BG106&lt;=Hypothèses!$V$16,Hypothèses!$X$16,IF(BG106&lt;=Hypothèses!$U$17,Hypothèses!$W$17,IF(BG106&lt;=Hypothèses!$U$18,Hypothèses!$W$18,""))))))))))))</f>
        <v>#DIV/0!</v>
      </c>
      <c r="CD106" s="95" t="e">
        <f t="shared" ca="1" si="181"/>
        <v>#DIV/0!</v>
      </c>
      <c r="CE106" s="101" t="e">
        <f t="shared" si="226"/>
        <v>#N/A</v>
      </c>
      <c r="CF106" s="91" t="e">
        <f t="shared" si="150"/>
        <v>#N/A</v>
      </c>
      <c r="CG106" s="30" t="e">
        <f t="shared" si="206"/>
        <v>#N/A</v>
      </c>
      <c r="CH106" s="30" t="e">
        <f t="shared" si="207"/>
        <v>#N/A</v>
      </c>
      <c r="CI106" s="31" t="e">
        <f>IF(OR(Hypothèses!$B$4=17,Hypothèses!$B$4=18,Hypothèses!$B$4=19,Hypothèses!$B$4=20),
IF($D106="Pressio.",
IF(OR($E106=3,$E106=1,$E106=4),CH106,CG106),
IF($D106="Pénétro.",
IF(OR($E106=3,$E106=1,$E106=4),CH106,CG106))),IF($D106="Pressio.",
IF($E106=3,CH106,CG106),
IF($D106="Pénétro.",
IF($E106=4,CH106,CG106))))</f>
        <v>#N/A</v>
      </c>
      <c r="CJ106" s="31" t="e">
        <f>(IF(OR(Hypothèses!$B$4=17,Hypothèses!$B$4=18,Hypothèses!$B$4=19,Hypothèses!$B$4=20),
IF($D106="Pressio.",
IF(OR($E106=3,$E106=1,$E106=4),(PI()*CJ$12^2)/4*(CF106*$W106*1000)/($H106*$B$5),(PI()*CJ$12^2)/4*(CF106*$W106*1000)/($G106*$B$5)),
IF($D106="Pénétro.",
IF(OR($E106=4,$E106=1,$E106=5),(PI()*CJ$12^2)/4*(CF106*$W106*1000)/($H106*$B$5),(PI()*CJ$12^2)/4*(CF106*$W106*1000)/($G106*$B$5)))),
IF($D106="Pressio.",
IF($E106=3,(PI()*CJ$12^2)/4*(CF106*$W106*1000)/($H106*$B$5),(PI()*CJ$12^2)/4*(CF106*$W106*1000)/($G106*$B$5)),
IF($D106="Pénétro.",
IF($E106=4,(PI()*CJ$12^2)/4*(CF106*$W106*1000)/($H106*$B$5),(PI()*CJ$12^2)/4*(CF106*$W106*1000)/($G106*$B$5))))))/10</f>
        <v>#N/A</v>
      </c>
      <c r="CK106" s="102" t="e">
        <f>(VLOOKUP($B$3,'Coeff EC7'!$T$39:$X$59,2,0)*CI106+VLOOKUP($B$3,'Coeff EC7'!$T$65:$X$85,2,0)*Model0.1C!CJ106)/1.1</f>
        <v>#N/A</v>
      </c>
      <c r="CL106" s="102" t="e">
        <f>(VLOOKUP($B$3,'Coeff EC7'!$T$39:$X$59,3,0)*CI106+VLOOKUP($B$3,'Coeff EC7'!$T$65:$X$85,3,0)*Model0.1C!CJ106)/0.9</f>
        <v>#N/A</v>
      </c>
      <c r="CM106" s="102" t="e">
        <f t="shared" si="182"/>
        <v>#N/A</v>
      </c>
      <c r="CN106" s="102" t="e">
        <f t="shared" si="183"/>
        <v>#N/A</v>
      </c>
      <c r="CO106" s="414" t="e">
        <f>IF(CO105=0,0,IF(AND(CK106&gt;charge_ELS_quasi,CL106&gt;Charge_ELS_freq,CM106&gt;charge_ELU,CN106&gt;charge_ELA,$B106&gt;NDC!$H$22-0.1+MIN(3*$CO$12,1.5)),0,1))</f>
        <v>#N/A</v>
      </c>
      <c r="CP106" s="86" t="b">
        <f t="shared" si="151"/>
        <v>0</v>
      </c>
      <c r="CQ106" s="86">
        <f t="shared" si="152"/>
        <v>0.5</v>
      </c>
      <c r="CR106" s="86">
        <f t="shared" si="153"/>
        <v>0.5</v>
      </c>
      <c r="CS106" s="30" t="e">
        <f t="shared" ca="1" si="184"/>
        <v>#DIV/0!</v>
      </c>
      <c r="CT106" s="85" t="e">
        <f ca="1">IF(BZ106&lt;=Hypothèses!$V$7,Hypothèses!$W$7,IF(BZ106&lt;=Hypothèses!$V$8,Hypothèses!$W$8,IF(BZ106&lt;=Hypothèses!$V$9,Hypothèses!$W$9,IF(BZ106&lt;=Hypothèses!$V$10,Hypothèses!$W$10,IF(BZ106&lt;=Hypothèses!$V$11,Hypothèses!$W$11,IF(BZ106&lt;=Hypothèses!$V$12,Hypothèses!$W$12,IF(BZ106&lt;=Hypothèses!$V$13,Hypothèses!$W$13,IF(BZ106&lt;=Hypothèses!$V$14,Hypothèses!$W$14,IF(BZ106&lt;=Hypothèses!$V$15,Hypothèses!$W$15,IF(BZ106&lt;=Hypothèses!$V$16,Hypothèses!$W$16,IF(BZ106&lt;=Hypothèses!$V$17,Hypothèses!$W$17,IF(BZ106&lt;=Hypothèses!$V$18,Hypothèses!$W$18,""))))))))))))</f>
        <v>#DIV/0!</v>
      </c>
      <c r="CU106" s="87" t="e">
        <f t="shared" ca="1" si="220"/>
        <v>#DIV/0!</v>
      </c>
      <c r="CV106" s="88" t="e">
        <f ca="1">IF(BZ106&lt;=Hypothèses!$V$7,Hypothèses!$X$7,IF(BZ106&lt;=Hypothèses!$V$8,Hypothèses!$X$8,IF(BZ106&lt;=Hypothèses!$V$9,Hypothèses!$X$9,IF(BZ106&lt;=Hypothèses!$V$10,Hypothèses!$X$10,IF(BZ106&lt;=Hypothèses!$V$11,Hypothèses!$X$11,IF(BZ106&lt;=Hypothèses!$V$12,Hypothèses!$X$12,IF(BZ106&lt;=Hypothèses!$V$13,Hypothèses!$X$13,IF(BZ106&lt;=Hypothèses!$V$14,Hypothèses!$X$14,IF(BZ106&lt;=Hypothèses!$V$15,Hypothèses!$X$15,IF(BZ106&lt;=Hypothèses!$V$16,Hypothèses!$X$16,IF(BZ106&lt;=Hypothèses!$U$17,Hypothèses!$W$17,IF(BZ106&lt;=Hypothèses!$U$18,Hypothèses!$W$18,""))))))))))))</f>
        <v>#DIV/0!</v>
      </c>
      <c r="CW106" s="95" t="e">
        <f t="shared" ca="1" si="185"/>
        <v>#DIV/0!</v>
      </c>
      <c r="CX106" s="101" t="e">
        <f t="shared" si="227"/>
        <v>#N/A</v>
      </c>
      <c r="CY106" s="91" t="e">
        <f t="shared" si="154"/>
        <v>#N/A</v>
      </c>
      <c r="CZ106" s="30" t="e">
        <f t="shared" si="208"/>
        <v>#N/A</v>
      </c>
      <c r="DA106" s="30" t="e">
        <f t="shared" si="209"/>
        <v>#N/A</v>
      </c>
      <c r="DB106" s="31" t="e">
        <f>IF(OR(Hypothèses!$B$4=17,Hypothèses!$B$4=18,Hypothèses!$B$4=19,Hypothèses!$B$4=20),
IF($D106="Pressio.",
IF(OR($E106=3,$E106=1,$E106=4),DA106,CZ106),
IF($D106="Pénétro.",
IF(OR($E106=3,$E106=1,$E106=4),DA106,CZ106))),IF($D106="Pressio.",
IF($E106=3,DA106,CZ106),
IF($D106="Pénétro.",
IF($E106=4,DA106,CZ106))))</f>
        <v>#N/A</v>
      </c>
      <c r="DC106" s="31" t="e">
        <f>(IF(OR(Hypothèses!$B$4=17,Hypothèses!$B$4=18,Hypothèses!$B$4=19,Hypothèses!$B$4=20),
IF($D106="Pressio.",
IF(OR($E106=3,$E106=1,$E106=4),(PI()*DC$12^2)/4*(CY106*$W106*1000)/($H106*$B$5),(PI()*DC$12^2)/4*(CY106*$W106*1000)/($G106*$B$5)),
IF($D106="Pénétro.",
IF(OR($E106=4,$E106=1,$E106=5),(PI()*DC$12^2)/4*(CY106*$W106*1000)/($H106*$B$5),(PI()*DC$12^2)/4*(CY106*$W106*1000)/($G106*$B$5)))),
IF($D106="Pressio.",
IF($E106=3,(PI()*DC$12^2)/4*(CY106*$W106*1000)/($H106*$B$5),(PI()*DC$12^2)/4*(CY106*$W106*1000)/($G106*$B$5)),
IF($D106="Pénétro.",
IF($E106=4,(PI()*DC$12^2)/4*(CY106*$W106*1000)/($H106*$B$5),(PI()*DC$12^2)/4*(CY106*$W106*1000)/($G106*$B$5))))))/10</f>
        <v>#N/A</v>
      </c>
      <c r="DD106" s="102" t="e">
        <f>(VLOOKUP($B$3,'Coeff EC7'!$T$39:$X$59,2,0)*DB106+VLOOKUP($B$3,'Coeff EC7'!$T$65:$X$85,2,0)*Model0.1C!DC106)/1.1</f>
        <v>#N/A</v>
      </c>
      <c r="DE106" s="102" t="e">
        <f>(VLOOKUP($B$3,'Coeff EC7'!$T$39:$X$59,3,0)*DB106+VLOOKUP($B$3,'Coeff EC7'!$T$65:$X$85,3,0)*Model0.1C!DC106)/0.9</f>
        <v>#N/A</v>
      </c>
      <c r="DF106" s="102" t="e">
        <f t="shared" si="186"/>
        <v>#N/A</v>
      </c>
      <c r="DG106" s="102" t="e">
        <f t="shared" si="187"/>
        <v>#N/A</v>
      </c>
      <c r="DH106" s="414" t="e">
        <f>IF(DH105=0,0,IF(AND(DD106&gt;charge_ELS_quasi,DE106&gt;Charge_ELS_freq,DF106&gt;charge_ELU,DG106&gt;charge_ELA,$B106&gt;NDC!$H$22-0.1+MIN(3*$DH$12,1.5)),0,1))</f>
        <v>#N/A</v>
      </c>
      <c r="DI106" s="86" t="b">
        <f t="shared" si="155"/>
        <v>0</v>
      </c>
      <c r="DJ106" s="86">
        <f t="shared" si="156"/>
        <v>0.5</v>
      </c>
      <c r="DK106" s="86">
        <f t="shared" si="157"/>
        <v>0.5</v>
      </c>
      <c r="DL106" s="30" t="e">
        <f t="shared" ca="1" si="188"/>
        <v>#DIV/0!</v>
      </c>
      <c r="DM106" s="85" t="e">
        <f ca="1">IF(CS106&lt;=Hypothèses!$V$7,Hypothèses!$W$7,IF(CS106&lt;=Hypothèses!$V$8,Hypothèses!$W$8,IF(CS106&lt;=Hypothèses!$V$9,Hypothèses!$W$9,IF(CS106&lt;=Hypothèses!$V$10,Hypothèses!$W$10,IF(CS106&lt;=Hypothèses!$V$11,Hypothèses!$W$11,IF(CS106&lt;=Hypothèses!$V$12,Hypothèses!$W$12,IF(CS106&lt;=Hypothèses!$V$13,Hypothèses!$W$13,IF(CS106&lt;=Hypothèses!$V$14,Hypothèses!$W$14,IF(CS106&lt;=Hypothèses!$V$15,Hypothèses!$W$15,IF(CS106&lt;=Hypothèses!$V$16,Hypothèses!$W$16,IF(CS106&lt;=Hypothèses!$V$17,Hypothèses!$W$17,IF(CS106&lt;=Hypothèses!$V$18,Hypothèses!$W$18,""))))))))))))</f>
        <v>#DIV/0!</v>
      </c>
      <c r="DN106" s="87" t="e">
        <f t="shared" ca="1" si="221"/>
        <v>#DIV/0!</v>
      </c>
      <c r="DO106" s="88" t="e">
        <f ca="1">IF(CS106&lt;=Hypothèses!$V$7,Hypothèses!$X$7,IF(CS106&lt;=Hypothèses!$V$8,Hypothèses!$X$8,IF(CS106&lt;=Hypothèses!$V$9,Hypothèses!$X$9,IF(CS106&lt;=Hypothèses!$V$10,Hypothèses!$X$10,IF(CS106&lt;=Hypothèses!$V$11,Hypothèses!$X$11,IF(CS106&lt;=Hypothèses!$V$12,Hypothèses!$X$12,IF(CS106&lt;=Hypothèses!$V$13,Hypothèses!$X$13,IF(CS106&lt;=Hypothèses!$V$14,Hypothèses!$X$14,IF(CS106&lt;=Hypothèses!$V$15,Hypothèses!$X$15,IF(CS106&lt;=Hypothèses!$V$16,Hypothèses!$X$16,IF(CS106&lt;=Hypothèses!$U$17,Hypothèses!$W$17,IF(CS106&lt;=Hypothèses!$U$18,Hypothèses!$W$18,""))))))))))))</f>
        <v>#DIV/0!</v>
      </c>
      <c r="DP106" s="95" t="e">
        <f t="shared" ca="1" si="189"/>
        <v>#DIV/0!</v>
      </c>
      <c r="DQ106" s="101" t="e">
        <f t="shared" si="228"/>
        <v>#N/A</v>
      </c>
      <c r="DR106" s="91" t="e">
        <f t="shared" si="158"/>
        <v>#N/A</v>
      </c>
      <c r="DS106" s="30" t="e">
        <f t="shared" si="210"/>
        <v>#N/A</v>
      </c>
      <c r="DT106" s="30" t="e">
        <f t="shared" si="211"/>
        <v>#N/A</v>
      </c>
      <c r="DU106" s="31" t="e">
        <f>IF(OR(Hypothèses!$B$4=17,Hypothèses!$B$4=18,Hypothèses!$B$4=19,Hypothèses!$B$4=20),
IF($D106="Pressio.",
IF(OR($E106=3,$E106=1,$E106=4),DT106,DS106),
IF($D106="Pénétro.",
IF(OR($E106=3,$E106=1,$E106=4),DT106,DS106))),IF($D106="Pressio.",
IF($E106=3,DT106,DS106),
IF($D106="Pénétro.",
IF($E106=4,DT106,DS106))))</f>
        <v>#N/A</v>
      </c>
      <c r="DV106" s="31" t="e">
        <f>(IF(OR(Hypothèses!$B$4=17,Hypothèses!$B$4=18,Hypothèses!$B$4=19,Hypothèses!$B$4=20),
IF($D106="Pressio.",
IF(OR($E106=3,$E106=1,$E106=4),(PI()*DV$12^2)/4*(DR106*$W106*1000)/($H106*$B$5),(PI()*DV$12^2)/4*(DR106*$W106*1000)/($G106*$B$5)),
IF($D106="Pénétro.",
IF(OR($E106=4,$E106=1,$E106=5),(PI()*DV$12^2)/4*(DR106*$W106*1000)/($H106*$B$5),(PI()*DV$12^2)/4*(DR106*$W106*1000)/($G106*$B$5)))),
IF($D106="Pressio.",
IF($E106=3,(PI()*DV$12^2)/4*(DR106*$W106*1000)/($H106*$B$5),(PI()*DV$12^2)/4*(DR106*$W106*1000)/($G106*$B$5)),
IF($D106="Pénétro.",
IF($E106=4,(PI()*DV$12^2)/4*(DR106*$W106*1000)/($H106*$B$5),(PI()*DV$12^2)/4*(DR106*$W106*1000)/($G106*$B$5))))))/10</f>
        <v>#N/A</v>
      </c>
      <c r="DW106" s="102" t="e">
        <f>(VLOOKUP($B$3,'Coeff EC7'!$T$39:$X$59,2,0)*DU106+VLOOKUP($B$3,'Coeff EC7'!$T$65:$X$85,2,0)*Model0.1C!DV106)/1.1</f>
        <v>#N/A</v>
      </c>
      <c r="DX106" s="102" t="e">
        <f>(VLOOKUP($B$3,'Coeff EC7'!$T$39:$X$59,3,0)*DU106+VLOOKUP($B$3,'Coeff EC7'!$T$65:$X$85,3,0)*Model0.1C!DV106)/0.9</f>
        <v>#N/A</v>
      </c>
      <c r="DY106" s="102" t="e">
        <f t="shared" si="190"/>
        <v>#N/A</v>
      </c>
      <c r="DZ106" s="102" t="e">
        <f t="shared" si="191"/>
        <v>#N/A</v>
      </c>
      <c r="EA106" s="414" t="e">
        <f>IF(EA105=0,0,IF(AND(DW106&gt;charge_ELS_quasi,DX106&gt;Charge_ELS_freq,DY106&gt;charge_ELU,DZ106&gt;charge_ELA,$B106&gt;NDC!$H$22-0.1+MIN(3*$EA$12,1.5)),0,1))</f>
        <v>#N/A</v>
      </c>
      <c r="EB106" s="86" t="b">
        <f t="shared" si="159"/>
        <v>0</v>
      </c>
      <c r="EC106" s="418">
        <f t="shared" si="160"/>
        <v>0.51</v>
      </c>
      <c r="ED106" s="86">
        <f t="shared" si="161"/>
        <v>0.51</v>
      </c>
      <c r="EE106" s="30" t="e">
        <f t="shared" ca="1" si="192"/>
        <v>#DIV/0!</v>
      </c>
      <c r="EF106" s="85" t="e">
        <f ca="1">IF(DL106&lt;=Hypothèses!$V$7,Hypothèses!$W$7,IF(DL106&lt;=Hypothèses!$V$8,Hypothèses!$W$8,IF(DL106&lt;=Hypothèses!$V$9,Hypothèses!$W$9,IF(DL106&lt;=Hypothèses!$V$10,Hypothèses!$W$10,IF(DL106&lt;=Hypothèses!$V$11,Hypothèses!$W$11,IF(DL106&lt;=Hypothèses!$V$12,Hypothèses!$W$12,IF(DL106&lt;=Hypothèses!$V$13,Hypothèses!$W$13,IF(DL106&lt;=Hypothèses!$V$14,Hypothèses!$W$14,IF(DL106&lt;=Hypothèses!$V$15,Hypothèses!$W$15,IF(DL106&lt;=Hypothèses!$V$16,Hypothèses!$W$16,IF(DL106&lt;=Hypothèses!$V$17,Hypothèses!$W$17,IF(DL106&lt;=Hypothèses!$V$18,Hypothèses!$W$18,""))))))))))))</f>
        <v>#DIV/0!</v>
      </c>
      <c r="EG106" s="87" t="e">
        <f t="shared" ca="1" si="222"/>
        <v>#DIV/0!</v>
      </c>
      <c r="EH106" s="88" t="e">
        <f ca="1">IF(DL106&lt;=Hypothèses!$V$7,Hypothèses!$X$7,IF(DL106&lt;=Hypothèses!$V$8,Hypothèses!$X$8,IF(DL106&lt;=Hypothèses!$V$9,Hypothèses!$X$9,IF(DL106&lt;=Hypothèses!$V$10,Hypothèses!$X$10,IF(DL106&lt;=Hypothèses!$V$11,Hypothèses!$X$11,IF(DL106&lt;=Hypothèses!$V$12,Hypothèses!$X$12,IF(DL106&lt;=Hypothèses!$V$13,Hypothèses!$X$13,IF(DL106&lt;=Hypothèses!$V$14,Hypothèses!$X$14,IF(DL106&lt;=Hypothèses!$V$15,Hypothèses!$X$15,IF(DL106&lt;=Hypothèses!$V$16,Hypothèses!$X$16,IF(DL106&lt;=Hypothèses!$U$17,Hypothèses!$W$17,IF(DL106&lt;=Hypothèses!$U$18,Hypothèses!$W$18,""))))))))))))</f>
        <v>#DIV/0!</v>
      </c>
      <c r="EI106" s="95" t="e">
        <f t="shared" ca="1" si="193"/>
        <v>#DIV/0!</v>
      </c>
      <c r="EJ106" s="101" t="e">
        <f t="shared" si="229"/>
        <v>#N/A</v>
      </c>
      <c r="EK106" s="91" t="e">
        <f t="shared" si="162"/>
        <v>#N/A</v>
      </c>
      <c r="EL106" s="30" t="e">
        <f t="shared" si="212"/>
        <v>#N/A</v>
      </c>
      <c r="EM106" s="30" t="e">
        <f t="shared" si="213"/>
        <v>#N/A</v>
      </c>
      <c r="EN106" s="31" t="e">
        <f>IF(OR(Hypothèses!$B$4=17,Hypothèses!$B$4=18,Hypothèses!$B$4=19,Hypothèses!$B$4=20),
IF($D106="Pressio.",
IF(OR($E106=3,$E106=1,$E106=4),EM106,EL106),
IF($D106="Pénétro.",
IF(OR($E106=3,$E106=1,$E106=4),EM106,EL106))),IF($D106="Pressio.",
IF($E106=3,EM106,EL106),
IF($D106="Pénétro.",
IF($E106=4,EM106,EL106))))</f>
        <v>#N/A</v>
      </c>
      <c r="EO106" s="31" t="e">
        <f>(IF(OR(Hypothèses!$B$4=17,Hypothèses!$B$4=18,Hypothèses!$B$4=19,Hypothèses!$B$4=20),
IF($D106="Pressio.",
IF(OR($E106=3,$E106=1,$E106=4),(PI()*EO$12^2)/4*(EK106*$W106*1000)/($H106*$B$5),(PI()*EO$12^2)/4*(EK106*$W106*1000)/($G106*$B$5)),
IF($D106="Pénétro.",
IF(OR($E106=4,$E106=1,$E106=5),(PI()*EO$12^2)/4*(EK106*$W106*1000)/($H106*$B$5),(PI()*EO$12^2)/4*(EK106*$W106*1000)/($G106*$B$5)))),
IF($D106="Pressio.",
IF($E106=3,(PI()*EO$12^2)/4*(EK106*$W106*1000)/($H106*$B$5),(PI()*EO$12^2)/4*(EK106*$W106*1000)/($G106*$B$5)),
IF($D106="Pénétro.",
IF($E106=4,(PI()*EO$12^2)/4*(EK106*$W106*1000)/($H106*$B$5),(PI()*EO$12^2)/4*(EK106*$W106*1000)/($G106*$B$5))))))/10</f>
        <v>#N/A</v>
      </c>
      <c r="EP106" s="102" t="e">
        <f>(VLOOKUP($B$3,'Coeff EC7'!$T$39:$X$59,2,0)*EN106+VLOOKUP($B$3,'Coeff EC7'!$T$65:$X$85,2,0)*Model0.1C!EO106)/1.1</f>
        <v>#N/A</v>
      </c>
      <c r="EQ106" s="102" t="e">
        <f>(VLOOKUP($B$3,'Coeff EC7'!$T$39:$X$59,3,0)*EN106+VLOOKUP($B$3,'Coeff EC7'!$T$65:$X$85,3,0)*Model0.1C!EO106)/0.9</f>
        <v>#N/A</v>
      </c>
      <c r="ER106" s="102" t="e">
        <f t="shared" si="194"/>
        <v>#N/A</v>
      </c>
      <c r="ES106" s="102" t="e">
        <f t="shared" si="195"/>
        <v>#N/A</v>
      </c>
      <c r="ET106" s="414" t="e">
        <f>IF(ET105=0,0,IF(AND(EP106&gt;charge_ELS_quasi,EQ106&gt;Charge_ELS_freq,ER106&gt;charge_ELU,ES106&gt;charge_ELA,$B106&gt;NDC!$H$22-0.1+MIN(3*$ET$12,1.5)),0,1))</f>
        <v>#N/A</v>
      </c>
      <c r="EU106" s="86" t="b">
        <f t="shared" si="163"/>
        <v>0</v>
      </c>
      <c r="EV106" s="86">
        <f t="shared" si="164"/>
        <v>0.61</v>
      </c>
      <c r="EW106" s="86">
        <f t="shared" si="165"/>
        <v>0.61</v>
      </c>
      <c r="EX106" s="30" t="e">
        <f t="shared" ca="1" si="196"/>
        <v>#DIV/0!</v>
      </c>
      <c r="EY106" s="85" t="e">
        <f ca="1">IF(EE106&lt;=Hypothèses!$V$7,Hypothèses!$W$7,IF(EE106&lt;=Hypothèses!$V$8,Hypothèses!$W$8,IF(EE106&lt;=Hypothèses!$V$9,Hypothèses!$W$9,IF(EE106&lt;=Hypothèses!$V$10,Hypothèses!$W$10,IF(EE106&lt;=Hypothèses!$V$11,Hypothèses!$W$11,IF(EE106&lt;=Hypothèses!$V$12,Hypothèses!$W$12,IF(EE106&lt;=Hypothèses!$V$13,Hypothèses!$W$13,IF(EE106&lt;=Hypothèses!$V$14,Hypothèses!$W$14,IF(EE106&lt;=Hypothèses!$V$15,Hypothèses!$W$15,IF(EE106&lt;=Hypothèses!$V$16,Hypothèses!$W$16,IF(EE106&lt;=Hypothèses!$V$17,Hypothèses!$W$17,IF(EE106&lt;=Hypothèses!$V$18,Hypothèses!$W$18,""))))))))))))</f>
        <v>#DIV/0!</v>
      </c>
      <c r="EZ106" s="87" t="e">
        <f t="shared" ca="1" si="223"/>
        <v>#DIV/0!</v>
      </c>
      <c r="FA106" s="88" t="e">
        <f ca="1">IF(EE106&lt;=Hypothèses!$V$7,Hypothèses!$X$7,IF(EE106&lt;=Hypothèses!$V$8,Hypothèses!$X$8,IF(EE106&lt;=Hypothèses!$V$9,Hypothèses!$X$9,IF(EE106&lt;=Hypothèses!$V$10,Hypothèses!$X$10,IF(EE106&lt;=Hypothèses!$V$11,Hypothèses!$X$11,IF(EE106&lt;=Hypothèses!$V$12,Hypothèses!$X$12,IF(EE106&lt;=Hypothèses!$V$13,Hypothèses!$X$13,IF(EE106&lt;=Hypothèses!$V$14,Hypothèses!$X$14,IF(EE106&lt;=Hypothèses!$V$15,Hypothèses!$X$15,IF(EE106&lt;=Hypothèses!$V$16,Hypothèses!$X$16,IF(EE106&lt;=Hypothèses!$U$17,Hypothèses!$W$17,IF(EE106&lt;=Hypothèses!$U$18,Hypothèses!$W$18,""))))))))))))</f>
        <v>#DIV/0!</v>
      </c>
      <c r="FB106" s="95" t="e">
        <f t="shared" ca="1" si="197"/>
        <v>#DIV/0!</v>
      </c>
      <c r="FC106" s="101" t="e">
        <f t="shared" si="230"/>
        <v>#N/A</v>
      </c>
      <c r="FD106" s="91" t="e">
        <f t="shared" si="166"/>
        <v>#N/A</v>
      </c>
      <c r="FE106" s="30" t="e">
        <f t="shared" si="214"/>
        <v>#N/A</v>
      </c>
      <c r="FF106" s="30" t="e">
        <f t="shared" si="215"/>
        <v>#N/A</v>
      </c>
      <c r="FG106" s="31" t="e">
        <f>IF(OR(Hypothèses!$B$4=17,Hypothèses!$B$4=18,Hypothèses!$B$4=19,Hypothèses!$B$4=20),
IF($D106="Pressio.",
IF(OR($E106=3,$E106=1,$E106=4),FF106,FE106),
IF($D106="Pénétro.",
IF(OR($E106=3,$E106=1,$E106=4),FF106,FE106))),IF($D106="Pressio.",
IF($E106=3,FF106,FE106),
IF($D106="Pénétro.",
IF($E106=4,FF106,FE106))))</f>
        <v>#N/A</v>
      </c>
      <c r="FH106" s="31" t="e">
        <f>(IF(OR(Hypothèses!$B$4=17,Hypothèses!$B$4=18,Hypothèses!$B$4=19,Hypothèses!$B$4=20),
IF($D106="Pressio.",
IF(OR($E106=3,$E106=1,$E106=4),(PI()*FH$12^2)/4*(FD106*$W106*1000)/($H106*$B$5),(PI()*FH$12^2)/4*(FD106*$W106*1000)/($G106*$B$5)),
IF($D106="Pénétro.",
IF(OR($E106=4,$E106=1,$E106=5),(PI()*FH$12^2)/4*(FD106*$W106*1000)/($H106*$B$5),(PI()*FH$12^2)/4*(FD106*$W106*1000)/($G106*$B$5)))),
IF($D106="Pressio.",
IF($E106=3,(PI()*FH$12^2)/4*(FD106*$W106*1000)/($H106*$B$5),(PI()*FH$12^2)/4*(FD106*$W106*1000)/($G106*$B$5)),
IF($D106="Pénétro.",
IF($E106=4,(PI()*FH$12^2)/4*(FD106*$W106*1000)/($H106*$B$5),(PI()*FH$12^2)/4*(FD106*$W106*1000)/($G106*$B$5))))))/10</f>
        <v>#N/A</v>
      </c>
      <c r="FI106" s="102" t="e">
        <f>(VLOOKUP($B$3,'Coeff EC7'!$T$39:$X$59,2,0)*FG106+VLOOKUP($B$3,'Coeff EC7'!$T$65:$X$85,2,0)*Model0.1C!FH106)/1.1</f>
        <v>#N/A</v>
      </c>
      <c r="FJ106" s="102" t="e">
        <f>(VLOOKUP($B$3,'Coeff EC7'!$T$39:$X$59,3,0)*FG106+VLOOKUP($B$3,'Coeff EC7'!$T$65:$X$85,3,0)*Model0.1C!FH106)/0.9</f>
        <v>#N/A</v>
      </c>
      <c r="FK106" s="102" t="e">
        <f t="shared" si="198"/>
        <v>#N/A</v>
      </c>
      <c r="FL106" s="102" t="e">
        <f t="shared" si="199"/>
        <v>#N/A</v>
      </c>
      <c r="FM106" s="414" t="e">
        <f>IF(FM105=0,0,IF(AND(FI106&gt;charge_ELS_quasi,FJ106&gt;Charge_ELS_freq,FK106&gt;charge_ELU,FL106&gt;charge_ELA,$B106&gt;NDC!$H$22-0.1+MIN(3*$FM$12,1.5)),0,1))</f>
        <v>#N/A</v>
      </c>
    </row>
    <row r="107" spans="1:169">
      <c r="A107" s="96">
        <f t="shared" si="167"/>
        <v>90.600000000000534</v>
      </c>
      <c r="B107" s="97">
        <v>9.4</v>
      </c>
      <c r="C107" s="81">
        <f>IF(B107&lt;=Hypothèses!$C$7,Hypothèses!$A$7,IF(B107&lt;=Hypothèses!$C$8,Hypothèses!$A$8,IF(B107&lt;=Hypothèses!$C$9,Hypothèses!$A$9,IF(B107&lt;=Hypothèses!$C$10,Hypothèses!$A$10,IF(B107&lt;=Hypothèses!$C$11,Hypothèses!$A$11,IF(B107&lt;=Hypothèses!$C$12,Hypothèses!$A$12,IF(B107&lt;=Hypothèses!$C$13,Hypothèses!$A$13,IF(B107&lt;=Hypothèses!$C$14,Hypothèses!$A$14,IF(B107&lt;=Hypothèses!$C$15,Hypothèses!$A$15,IF(B107&lt;=Hypothèses!$C$16,Hypothèses!$A$16,IF(B107&lt;=Hypothèses!$C$17,Hypothèses!$A$17,IF(B107&lt;=Hypothèses!$C$18,Hypothèses!$A$18,C106))))))))))))</f>
        <v>11</v>
      </c>
      <c r="D107" s="82" t="str">
        <f>IF(B107&lt;=Hypothèses!$C$7,Hypothèses!$R$7,IF(B107&lt;=Hypothèses!$C$8,Hypothèses!$R$8,IF(B107&lt;=Hypothèses!$C$9,Hypothèses!$R$9,IF(B107&lt;=Hypothèses!$C$10,Hypothèses!$R$10,IF(B107&lt;=Hypothèses!$C$11,Hypothèses!$R$11,IF(B107&lt;=Hypothèses!$C$12,Hypothèses!$R$12,IF(B107&lt;=Hypothèses!$C$13,Hypothèses!$R$13,IF(B107&lt;=Hypothèses!$C$14,Hypothèses!$R$14,IF(B107&lt;=Hypothèses!$C$15,Hypothèses!$R$15,IF(B107&lt;=Hypothèses!$C$16,Hypothèses!$R$16,IF(B107&lt;=Hypothèses!$C$17,Hypothèses!$R$17,IF(B107&lt;=Hypothèses!$C$18,Hypothèses!$R$18,D106))))))))))))</f>
        <v>Pressio.</v>
      </c>
      <c r="E107" s="82" t="e">
        <f>IF(B107&lt;=Hypothèses!$C$7,Hypothèses!$G$7,IF(B107&lt;=Hypothèses!$C$8,Hypothèses!$G$8,IF(B107&lt;=Hypothèses!$C$9,Hypothèses!$G$9,IF(B107&lt;=Hypothèses!$C$10,Hypothèses!$G$10,IF(B107&lt;=Hypothèses!$C$11,Hypothèses!$G$11,IF(B107&lt;=Hypothèses!$C$12,Hypothèses!$G$12,IF(B107&lt;=Hypothèses!$C$13,Hypothèses!$G$13,IF(B107&lt;=Hypothèses!$C$14,Hypothèses!$G$14,IF(B107&lt;=Hypothèses!$C$15,Hypothèses!$G$15,IF(B107&lt;=Hypothèses!$C$16,Hypothèses!$G$16,IF(B107&lt;=Hypothèses!$C$17,Hypothèses!$G$17,IF(B107&lt;=Hypothèses!$C$18,Hypothèses!$G$18,E106))))))))))))</f>
        <v>#N/A</v>
      </c>
      <c r="F107" s="82" t="str">
        <f>IF(B107&lt;=Hypothèses!$C$7,Hypothèses!$F$7,IF(B107&lt;=Hypothèses!$C$8,Hypothèses!$F$8,IF(B107&lt;=Hypothèses!$C$9,Hypothèses!$F$9,IF(B107&lt;=Hypothèses!$C$10,Hypothèses!$F$10,IF(B107&lt;=Hypothèses!$C$11,Hypothèses!$F$11,IF(B107&lt;=Hypothèses!$C$12,Hypothèses!$F$12,IF(B107&lt;=Hypothèses!$C$13,Hypothèses!$F$13,IF(B107&lt;=Hypothèses!$C$14,Hypothèses!$F$14,IF(B107&lt;=Hypothèses!$C$15,Hypothèses!$F$15,IF(B107&lt;=Hypothèses!$C$16,Hypothèses!$F$16,IF(B107&lt;=Hypothèses!$C$17,Hypothèses!$F$17,IF(B107&lt;=Hypothèses!$C$18,Hypothèses!$F$18,F106))))))))))))</f>
        <v/>
      </c>
      <c r="G107" s="91">
        <f t="array" ref="G107">INDEX('Coeff EC7'!$U$7:$X$27,
MATCH(Model0.1C!$B$3,'Coeff EC7'!$T$7:$T$27,0),
MATCH(Model0.1C!$D107&amp;Model0.1C!$B$4,
'Coeff EC7'!$U$6:$X$6&amp;
'Coeff EC7'!$U$5:$X$5,0))</f>
        <v>1.1499999999999999</v>
      </c>
      <c r="H107" s="91">
        <f t="array" ref="H107">INDEX('Coeff EC7'!$Y$7:$AB$27,
MATCH(Model0.1C!$B$3,'Coeff EC7'!$T$7:$T$27,0),
MATCH(Model0.1C!$D107&amp;Model0.1C!$B$4,
'Coeff EC7'!$Y$6:$AB$6&amp;
'Coeff EC7'!$Y$5:$AB$5,0))</f>
        <v>1.4</v>
      </c>
      <c r="I107" s="83" t="e">
        <f>IF(B107&lt;=Hypothèses!$C$7,Hypothèses!$P$7,IF(B107&lt;=Hypothèses!$C$8,Hypothèses!$P$8,IF(B107&lt;=Hypothèses!$C$9,Hypothèses!$P$9,IF(B107&lt;=Hypothèses!$C$10,Hypothèses!$P$10,IF(B107&lt;=Hypothèses!$C$11,Hypothèses!$P$11,IF(B107&lt;=Hypothèses!$C$12,Hypothèses!$P$12,IF(B107&lt;=Hypothèses!$C$13,Hypothèses!$P$13,IF(B107&lt;=Hypothèses!$C$14,Hypothèses!$P$14,IF(B107&lt;=Hypothèses!$C$15,Hypothèses!$P$15,IF(B107&lt;=Hypothèses!$C$16,Hypothèses!$P$16,IF(B107&lt;=Hypothèses!$C$17,Hypothèses!$P$17,IF(B107&lt;=Hypothèses!$C$18,Hypothèses!$P$18,I106))))))))))))</f>
        <v>#N/A</v>
      </c>
      <c r="J107" s="91" t="e">
        <f t="array" ref="J107">INDEX('Coeff EC7'!$D$33:$Q$33,1,MATCH(D107&amp;E107,'Coeff EC7'!$D$31:$Q$31&amp;'Coeff EC7'!$D$32:$Q$32,0))</f>
        <v>#N/A</v>
      </c>
      <c r="K107" s="91" t="e">
        <f t="array" ref="K107">INDEX('Coeff EC7'!$D$34:$Q$34,1,MATCH(D107&amp;E107,'Coeff EC7'!$D$31:$Q$31&amp;'Coeff EC7'!$D$32:$Q$32,0))</f>
        <v>#N/A</v>
      </c>
      <c r="L107" s="91" t="e">
        <f t="array" ref="L107">INDEX('Coeff EC7'!$D$35:$Q$35,1,MATCH(D107&amp;E107,'Coeff EC7'!$D$31:$Q$31&amp;'Coeff EC7'!$D$32:$Q$32,0))</f>
        <v>#N/A</v>
      </c>
      <c r="M107" s="98" t="e">
        <f t="shared" si="131"/>
        <v>#N/A</v>
      </c>
      <c r="N107" s="99" t="e">
        <f t="array" ref="N107">INDEX('Coeff EC7'!$D$7:$Q$27,MATCH($B$3,'Coeff EC7'!$C$7:$C$27,0),MATCH(D107&amp;E107,'Coeff EC7'!$D$5:$Q$5&amp;'Coeff EC7'!$D$6:$Q$6,0))</f>
        <v>#N/A</v>
      </c>
      <c r="O107" s="99" t="e">
        <f t="array" ref="O107">INDEX('Coeff EC7'!$D$41:$Q$61,MATCH($B$3,'Coeff EC7'!$C$41:$C$61,0),MATCH(D107&amp;E107,'Coeff EC7'!$D$39:$Q$39&amp;'Coeff EC7'!$D$40:$Q$40,0))</f>
        <v>#N/A</v>
      </c>
      <c r="P107" s="30" t="e">
        <f t="shared" si="168"/>
        <v>#N/A</v>
      </c>
      <c r="Q107" s="100" t="e">
        <f t="shared" si="133"/>
        <v>#N/A</v>
      </c>
      <c r="R107" s="86" t="b">
        <f t="shared" si="134"/>
        <v>0</v>
      </c>
      <c r="S107" s="86">
        <f t="shared" si="132"/>
        <v>0.5</v>
      </c>
      <c r="T107" s="86">
        <f t="shared" si="135"/>
        <v>0.5</v>
      </c>
      <c r="U107" s="30" t="e">
        <f t="shared" ca="1" si="169"/>
        <v>#DIV/0!</v>
      </c>
      <c r="V107" s="85" t="str">
        <f>IF(B107&lt;=Hypothèses!$V$7,Hypothèses!$W$7,IF(B107&lt;=Hypothèses!$V$8,Hypothèses!$W$8,IF(B107&lt;=Hypothèses!$V$9,Hypothèses!$W$9,IF(B107&lt;=Hypothèses!$V$10,Hypothèses!$W$10,IF(B107&lt;=Hypothèses!$V$11,Hypothèses!$W$11,IF(B107&lt;=Hypothèses!$V$12,Hypothèses!$W$12,IF(B107&lt;=Hypothèses!$V$13,Hypothèses!$W$13,IF(B107&lt;=Hypothèses!$V$14,Hypothèses!$W$14,IF(B107&lt;=Hypothèses!$V$15,Hypothèses!$W$15,IF(B107&lt;=Hypothèses!$V$16,Hypothèses!$W$16,IF(B107&lt;=Hypothèses!$V$17,Hypothèses!$W$17,IF(B107&lt;=Hypothèses!$V$18,Hypothèses!$W$18,""))))))))))))</f>
        <v/>
      </c>
      <c r="W107" s="87" t="e">
        <f t="shared" ca="1" si="216"/>
        <v>#DIV/0!</v>
      </c>
      <c r="X107" s="88" t="str">
        <f>IF(B107&lt;=Hypothèses!$V$7,Hypothèses!$X$7,IF(B107&lt;=Hypothèses!$V$8,Hypothèses!$X$8,IF(B107&lt;=Hypothèses!$V$9,Hypothèses!$X$9,IF(B107&lt;=Hypothèses!$V$10,Hypothèses!$X$10,IF(B107&lt;=Hypothèses!$V$11,Hypothèses!$X$11,IF(B107&lt;=Hypothèses!$V$12,Hypothèses!$X$12,IF(B107&lt;=Hypothèses!$V$13,Hypothèses!$X$13,IF(B107&lt;=Hypothèses!$V$14,Hypothèses!$X$14,IF(B107&lt;=Hypothèses!$V$15,Hypothèses!$X$15,IF(B107&lt;=Hypothèses!$V$16,Hypothèses!$X$16,IF(B107&lt;=Hypothèses!$U$17,Hypothèses!$W$17,IF(B107&lt;=Hypothèses!$U$18,Hypothèses!$W$18,""))))))))))))</f>
        <v/>
      </c>
      <c r="Y107" s="95" t="e">
        <f t="shared" ca="1" si="136"/>
        <v>#DIV/0!</v>
      </c>
      <c r="Z107" s="101" t="e">
        <f t="shared" si="137"/>
        <v>#N/A</v>
      </c>
      <c r="AA107" s="91" t="e">
        <f t="shared" si="138"/>
        <v>#N/A</v>
      </c>
      <c r="AB107" s="30" t="e">
        <f t="shared" si="200"/>
        <v>#N/A</v>
      </c>
      <c r="AC107" s="30" t="e">
        <f t="shared" si="201"/>
        <v>#N/A</v>
      </c>
      <c r="AD107" s="31" t="e">
        <f>IF(OR(Hypothèses!$B$4=17,Hypothèses!$B$4=18,Hypothèses!$B$4=19,Hypothèses!$B$4=20),
IF($D107="Pressio.",
IF(OR($E107=3,$E107=1,$E107=4),AC107,AB107),
IF($D107="Pénétro.",
IF(OR($E107=3,$E107=1,$E107=4),AC107,AB107))),IF($D107="Pressio.",
IF($E107=3,AC107,AB107),
IF($D107="Pénétro.",
IF($E107=4,AC107,AB107))))</f>
        <v>#N/A</v>
      </c>
      <c r="AE107" s="31" t="e">
        <f>(IF(OR(Hypothèses!$B$4=17,Hypothèses!$B$4=18,Hypothèses!$B$4=19,Hypothèses!$B$4=20),
IF($D107="Pressio.",
IF(OR($E107=3,$E107=1,$E107=4),(PI()*AE$12^2)/4*(AA107*$W107*1000)/($H107*$B$5),(PI()*AE$12^2)/4*(AA107*$W107*1000)/($G107*$B$5)),
IF($D107="Pénétro.",
IF(OR($E107=4,$E107=1,$E107=5),(PI()*AE$12^2)/4*(AA107*$W107*1000)/($H107*$B$5),(PI()*AE$12^2)/4*(AA107*$W107*1000)/($G107*$B$5)))),
IF($D107="Pressio.",
IF($E107=3,(PI()*AE$12^2)/4*(AA107*$W107*1000)/($H107*$B$5),(PI()*AE$12^2)/4*(AA107*$W107*1000)/($G107*$B$5)),
IF($D107="Pénétro.",
IF($E107=4,(PI()*AE$12^2)/4*(AA107*$W107*1000)/($H107*$B$5),(PI()*AE$12^2)/4*(AA107*$W107*1000)/($G107*$B$5))))))/10</f>
        <v>#N/A</v>
      </c>
      <c r="AF107" s="102" t="e">
        <f>(VLOOKUP($B$3,'Coeff EC7'!$T$39:$X$59,2,0)*AD107+VLOOKUP($B$3,'Coeff EC7'!$T$65:$X$85,2,0)*Model0.1C!AE107)/1.1</f>
        <v>#N/A</v>
      </c>
      <c r="AG107" s="102" t="e">
        <f>(VLOOKUP($B$3,'Coeff EC7'!$T$39:$X$59,3,0)*AD107+VLOOKUP($B$3,'Coeff EC7'!$T$65:$X$85,3,0)*Model0.1C!AE107)/0.9</f>
        <v>#N/A</v>
      </c>
      <c r="AH107" s="102" t="e">
        <f t="shared" si="139"/>
        <v>#N/A</v>
      </c>
      <c r="AI107" s="102" t="e">
        <f t="shared" si="140"/>
        <v>#N/A</v>
      </c>
      <c r="AJ107" s="414" t="e">
        <f>IF(AJ106=0,0,IF(AND(AF107&gt;charge_ELS_quasi,AG107&gt;Charge_ELS_freq,AH107&gt;charge_ELU,AI107&gt;charge_ELA,$B107&gt;NDC!$H$22-0.1+MIN(3*$AJ$12,1.5)),0,1))</f>
        <v>#N/A</v>
      </c>
      <c r="AK107" s="86" t="b">
        <f t="shared" si="141"/>
        <v>0</v>
      </c>
      <c r="AL107" s="86">
        <f t="shared" si="170"/>
        <v>0.5</v>
      </c>
      <c r="AM107" s="86">
        <f t="shared" si="142"/>
        <v>0.5</v>
      </c>
      <c r="AN107" s="30" t="e">
        <f t="shared" ca="1" si="171"/>
        <v>#DIV/0!</v>
      </c>
      <c r="AO107" s="85" t="e">
        <f ca="1">IF(U107&lt;=Hypothèses!$V$7,Hypothèses!$W$7,IF(U107&lt;=Hypothèses!$V$8,Hypothèses!$W$8,IF(U107&lt;=Hypothèses!$V$9,Hypothèses!$W$9,IF(U107&lt;=Hypothèses!$V$10,Hypothèses!$W$10,IF(U107&lt;=Hypothèses!$V$11,Hypothèses!$W$11,IF(U107&lt;=Hypothèses!$V$12,Hypothèses!$W$12,IF(U107&lt;=Hypothèses!$V$13,Hypothèses!$W$13,IF(U107&lt;=Hypothèses!$V$14,Hypothèses!$W$14,IF(U107&lt;=Hypothèses!$V$15,Hypothèses!$W$15,IF(U107&lt;=Hypothèses!$V$16,Hypothèses!$W$16,IF(U107&lt;=Hypothèses!$V$17,Hypothèses!$W$17,IF(U107&lt;=Hypothèses!$V$18,Hypothèses!$W$18,""))))))))))))</f>
        <v>#DIV/0!</v>
      </c>
      <c r="AP107" s="87" t="e">
        <f t="shared" ca="1" si="217"/>
        <v>#DIV/0!</v>
      </c>
      <c r="AQ107" s="88" t="e">
        <f ca="1">IF(U107&lt;=Hypothèses!$V$7,Hypothèses!$X$7,IF(U107&lt;=Hypothèses!$V$8,Hypothèses!$X$8,IF(U107&lt;=Hypothèses!$V$9,Hypothèses!$X$9,IF(U107&lt;=Hypothèses!$V$10,Hypothèses!$X$10,IF(U107&lt;=Hypothèses!$V$11,Hypothèses!$X$11,IF(U107&lt;=Hypothèses!$V$12,Hypothèses!$X$12,IF(U107&lt;=Hypothèses!$V$13,Hypothèses!$X$13,IF(U107&lt;=Hypothèses!$V$14,Hypothèses!$X$14,IF(U107&lt;=Hypothèses!$V$15,Hypothèses!$X$15,IF(U107&lt;=Hypothèses!$V$16,Hypothèses!$X$16,IF(U107&lt;=Hypothèses!$U$17,Hypothèses!$W$17,IF(U107&lt;=Hypothèses!$U$18,Hypothèses!$W$18,""))))))))))))</f>
        <v>#DIV/0!</v>
      </c>
      <c r="AR107" s="95" t="e">
        <f t="shared" ca="1" si="172"/>
        <v>#DIV/0!</v>
      </c>
      <c r="AS107" s="101" t="e">
        <f t="shared" si="224"/>
        <v>#N/A</v>
      </c>
      <c r="AT107" s="91" t="e">
        <f t="shared" si="143"/>
        <v>#N/A</v>
      </c>
      <c r="AU107" s="30" t="e">
        <f t="shared" si="202"/>
        <v>#N/A</v>
      </c>
      <c r="AV107" s="30" t="e">
        <f t="shared" si="203"/>
        <v>#N/A</v>
      </c>
      <c r="AW107" s="31" t="e">
        <f>IF(OR(Hypothèses!$B$4=17,Hypothèses!$B$4=18,Hypothèses!$B$4=19,Hypothèses!$B$4=20),
IF($D107="Pressio.",
IF(OR($E107=3,$E107=1,$E107=4),AV107,AU107),
IF($D107="Pénétro.",
IF(OR($E107=3,$E107=1,$E107=4),AV107,AU107))),IF($D107="Pressio.",
IF($E107=3,AV107,AU107),
IF($D107="Pénétro.",
IF($E107=4,AV107,AU107))))</f>
        <v>#N/A</v>
      </c>
      <c r="AX107" s="31" t="e">
        <f>(IF(OR(Hypothèses!$B$4=17,Hypothèses!$B$4=18,Hypothèses!$B$4=19,Hypothèses!$B$4=20),
IF($D107="Pressio.",
IF(OR($E107=3,$E107=1,$E107=4),(PI()*AX$12^2)/4*(AT107*$W107*1000)/($H107*$B$5),(PI()*AX$12^2)/4*(AT107*$W107*1000)/($G107*$B$5)),
IF($D107="Pénétro.",
IF(OR($E107=4,$E107=1,$E107=5),(PI()*AX$12^2)/4*(AT107*$W107*1000)/($H107*$B$5),(PI()*AX$12^2)/4*(AT107*$W107*1000)/($G107*$B$5)))),
IF($D107="Pressio.",
IF($E107=3,(PI()*AX$12^2)/4*(AT107*$W107*1000)/($H107*$B$5),(PI()*AX$12^2)/4*(AT107*$W107*1000)/($G107*$B$5)),
IF($D107="Pénétro.",
IF($E107=4,(PI()*AX$12^2)/4*(AT107*$W107*1000)/($H107*$B$5),(PI()*AX$12^2)/4*(AT107*$W107*1000)/($G107*$B$5))))))/10</f>
        <v>#N/A</v>
      </c>
      <c r="AY107" s="102" t="e">
        <f>(VLOOKUP($B$3,'Coeff EC7'!$T$39:$X$59,2,0)*AW107+VLOOKUP($B$3,'Coeff EC7'!$T$65:$X$85,2,0)*Model0.1C!AX107)/1.1</f>
        <v>#N/A</v>
      </c>
      <c r="AZ107" s="102" t="e">
        <f>(VLOOKUP($B$3,'Coeff EC7'!$T$39:$X$59,3,0)*AW107+VLOOKUP($B$3,'Coeff EC7'!$T$65:$X$85,3,0)*Model0.1C!AX107)/0.9</f>
        <v>#N/A</v>
      </c>
      <c r="BA107" s="102" t="e">
        <f t="shared" si="173"/>
        <v>#N/A</v>
      </c>
      <c r="BB107" s="102" t="e">
        <f t="shared" si="174"/>
        <v>#N/A</v>
      </c>
      <c r="BC107" s="414" t="e">
        <f>IF(BC106=0,0,IF(AND(AY107&gt;charge_ELS_quasi,AZ107&gt;Charge_ELS_freq,BA107&gt;charge_ELU,BB107&gt;charge_ELA,$B107&gt;NDC!$H$22-0.1+MIN(3*$BC$12,1.5)),0,1))</f>
        <v>#N/A</v>
      </c>
      <c r="BD107" s="86" t="b">
        <f t="shared" si="144"/>
        <v>0</v>
      </c>
      <c r="BE107" s="86">
        <f t="shared" si="175"/>
        <v>0.5</v>
      </c>
      <c r="BF107" s="86">
        <f t="shared" si="145"/>
        <v>0.5</v>
      </c>
      <c r="BG107" s="30" t="e">
        <f t="shared" ca="1" si="176"/>
        <v>#DIV/0!</v>
      </c>
      <c r="BH107" s="85" t="e">
        <f ca="1">IF(AN107&lt;=Hypothèses!$V$7,Hypothèses!$W$7,IF(AN107&lt;=Hypothèses!$V$8,Hypothèses!$W$8,IF(AN107&lt;=Hypothèses!$V$9,Hypothèses!$W$9,IF(AN107&lt;=Hypothèses!$V$10,Hypothèses!$W$10,IF(AN107&lt;=Hypothèses!$V$11,Hypothèses!$W$11,IF(AN107&lt;=Hypothèses!$V$12,Hypothèses!$W$12,IF(AN107&lt;=Hypothèses!$V$13,Hypothèses!$W$13,IF(AN107&lt;=Hypothèses!$V$14,Hypothèses!$W$14,IF(AN107&lt;=Hypothèses!$V$15,Hypothèses!$W$15,IF(AN107&lt;=Hypothèses!$V$16,Hypothèses!$W$16,IF(AN107&lt;=Hypothèses!$V$17,Hypothèses!$W$17,IF(AN107&lt;=Hypothèses!$V$18,Hypothèses!$W$18,""))))))))))))</f>
        <v>#DIV/0!</v>
      </c>
      <c r="BI107" s="87" t="e">
        <f t="shared" ca="1" si="218"/>
        <v>#DIV/0!</v>
      </c>
      <c r="BJ107" s="88" t="e">
        <f ca="1">IF(AN107&lt;=Hypothèses!$V$7,Hypothèses!$X$7,IF(AN107&lt;=Hypothèses!$V$8,Hypothèses!$X$8,IF(AN107&lt;=Hypothèses!$V$9,Hypothèses!$X$9,IF(AN107&lt;=Hypothèses!$V$10,Hypothèses!$X$10,IF(AN107&lt;=Hypothèses!$V$11,Hypothèses!$X$11,IF(AN107&lt;=Hypothèses!$V$12,Hypothèses!$X$12,IF(AN107&lt;=Hypothèses!$V$13,Hypothèses!$X$13,IF(AN107&lt;=Hypothèses!$V$14,Hypothèses!$X$14,IF(AN107&lt;=Hypothèses!$V$15,Hypothèses!$X$15,IF(AN107&lt;=Hypothèses!$V$16,Hypothèses!$X$16,IF(AN107&lt;=Hypothèses!$U$17,Hypothèses!$W$17,IF(AN107&lt;=Hypothèses!$U$18,Hypothèses!$W$18,""))))))))))))</f>
        <v>#DIV/0!</v>
      </c>
      <c r="BK107" s="95" t="e">
        <f t="shared" ca="1" si="177"/>
        <v>#DIV/0!</v>
      </c>
      <c r="BL107" s="101" t="e">
        <f t="shared" si="225"/>
        <v>#N/A</v>
      </c>
      <c r="BM107" s="91" t="e">
        <f t="shared" si="146"/>
        <v>#N/A</v>
      </c>
      <c r="BN107" s="30" t="e">
        <f t="shared" si="204"/>
        <v>#N/A</v>
      </c>
      <c r="BO107" s="30" t="e">
        <f t="shared" si="205"/>
        <v>#N/A</v>
      </c>
      <c r="BP107" s="31" t="e">
        <f>IF(OR(Hypothèses!$B$4=17,Hypothèses!$B$4=18,Hypothèses!$B$4=19,Hypothèses!$B$4=20),
IF($D107="Pressio.",
IF(OR($E107=3,$E107=1,$E107=4),BO107,BN107),
IF($D107="Pénétro.",
IF(OR($E107=3,$E107=1,$E107=4),BO107,BN107))),IF($D107="Pressio.",
IF($E107=3,BO107,BN107),
IF($D107="Pénétro.",
IF($E107=4,BO107,BN107))))</f>
        <v>#N/A</v>
      </c>
      <c r="BQ107" s="31" t="e">
        <f>(IF(OR(Hypothèses!$B$4=17,Hypothèses!$B$4=18,Hypothèses!$B$4=19,Hypothèses!$B$4=20),
IF($D107="Pressio.",
IF(OR($E107=3,$E107=1,$E107=4),(PI()*BQ$12^2)/4*(BM107*$W107*1000)/($H107*$B$5),(PI()*BQ$12^2)/4*(BM107*$W107*1000)/($G107*$B$5)),
IF($D107="Pénétro.",
IF(OR($E107=4,$E107=1,$E107=5),(PI()*BQ$12^2)/4*(BM107*$W107*1000)/($H107*$B$5),(PI()*BQ$12^2)/4*(BM107*$W107*1000)/($G107*$B$5)))),
IF($D107="Pressio.",
IF($E107=3,(PI()*BQ$12^2)/4*(BM107*$W107*1000)/($H107*$B$5),(PI()*BQ$12^2)/4*(BM107*$W107*1000)/($G107*$B$5)),
IF($D107="Pénétro.",
IF($E107=4,(PI()*BQ$12^2)/4*(BM107*$W107*1000)/($H107*$B$5),(PI()*BQ$12^2)/4*(BM107*$W107*1000)/($G107*$B$5))))))/10</f>
        <v>#N/A</v>
      </c>
      <c r="BR107" s="102" t="e">
        <f>(VLOOKUP($B$3,'Coeff EC7'!$T$39:$X$59,2,0)*BP107+VLOOKUP($B$3,'Coeff EC7'!$T$65:$X$85,2,0)*Model0.1C!BQ107)/1.1</f>
        <v>#N/A</v>
      </c>
      <c r="BS107" s="102" t="e">
        <f>(VLOOKUP($B$3,'Coeff EC7'!$T$39:$X$59,3,0)*BP107+VLOOKUP($B$3,'Coeff EC7'!$T$65:$X$85,3,0)*Model0.1C!BQ107)/0.9</f>
        <v>#N/A</v>
      </c>
      <c r="BT107" s="102" t="e">
        <f t="shared" si="178"/>
        <v>#N/A</v>
      </c>
      <c r="BU107" s="102" t="e">
        <f t="shared" si="179"/>
        <v>#N/A</v>
      </c>
      <c r="BV107" s="414" t="e">
        <f>IF(BV106=0,0,IF(AND(BR107&gt;charge_ELS_quasi,BS107&gt;Charge_ELS_freq,BT107&gt;charge_ELU,BU107&gt;charge_ELA,$B107&gt;NDC!$H$22-0.1+MIN(3*$BV$12,1.5)),0,1))</f>
        <v>#N/A</v>
      </c>
      <c r="BW107" s="86" t="b">
        <f t="shared" si="147"/>
        <v>0</v>
      </c>
      <c r="BX107" s="86">
        <f t="shared" si="148"/>
        <v>0.5</v>
      </c>
      <c r="BY107" s="86">
        <f t="shared" si="149"/>
        <v>0.5</v>
      </c>
      <c r="BZ107" s="30" t="e">
        <f t="shared" ca="1" si="180"/>
        <v>#DIV/0!</v>
      </c>
      <c r="CA107" s="85" t="e">
        <f ca="1">IF(BG107&lt;=Hypothèses!$V$7,Hypothèses!$W$7,IF(BG107&lt;=Hypothèses!$V$8,Hypothèses!$W$8,IF(BG107&lt;=Hypothèses!$V$9,Hypothèses!$W$9,IF(BG107&lt;=Hypothèses!$V$10,Hypothèses!$W$10,IF(BG107&lt;=Hypothèses!$V$11,Hypothèses!$W$11,IF(BG107&lt;=Hypothèses!$V$12,Hypothèses!$W$12,IF(BG107&lt;=Hypothèses!$V$13,Hypothèses!$W$13,IF(BG107&lt;=Hypothèses!$V$14,Hypothèses!$W$14,IF(BG107&lt;=Hypothèses!$V$15,Hypothèses!$W$15,IF(BG107&lt;=Hypothèses!$V$16,Hypothèses!$W$16,IF(BG107&lt;=Hypothèses!$V$17,Hypothèses!$W$17,IF(BG107&lt;=Hypothèses!$V$18,Hypothèses!$W$18,""))))))))))))</f>
        <v>#DIV/0!</v>
      </c>
      <c r="CB107" s="87" t="e">
        <f t="shared" ca="1" si="219"/>
        <v>#DIV/0!</v>
      </c>
      <c r="CC107" s="88" t="e">
        <f ca="1">IF(BG107&lt;=Hypothèses!$V$7,Hypothèses!$X$7,IF(BG107&lt;=Hypothèses!$V$8,Hypothèses!$X$8,IF(BG107&lt;=Hypothèses!$V$9,Hypothèses!$X$9,IF(BG107&lt;=Hypothèses!$V$10,Hypothèses!$X$10,IF(BG107&lt;=Hypothèses!$V$11,Hypothèses!$X$11,IF(BG107&lt;=Hypothèses!$V$12,Hypothèses!$X$12,IF(BG107&lt;=Hypothèses!$V$13,Hypothèses!$X$13,IF(BG107&lt;=Hypothèses!$V$14,Hypothèses!$X$14,IF(BG107&lt;=Hypothèses!$V$15,Hypothèses!$X$15,IF(BG107&lt;=Hypothèses!$V$16,Hypothèses!$X$16,IF(BG107&lt;=Hypothèses!$U$17,Hypothèses!$W$17,IF(BG107&lt;=Hypothèses!$U$18,Hypothèses!$W$18,""))))))))))))</f>
        <v>#DIV/0!</v>
      </c>
      <c r="CD107" s="95" t="e">
        <f t="shared" ca="1" si="181"/>
        <v>#DIV/0!</v>
      </c>
      <c r="CE107" s="101" t="e">
        <f t="shared" si="226"/>
        <v>#N/A</v>
      </c>
      <c r="CF107" s="91" t="e">
        <f t="shared" si="150"/>
        <v>#N/A</v>
      </c>
      <c r="CG107" s="30" t="e">
        <f t="shared" si="206"/>
        <v>#N/A</v>
      </c>
      <c r="CH107" s="30" t="e">
        <f t="shared" si="207"/>
        <v>#N/A</v>
      </c>
      <c r="CI107" s="31" t="e">
        <f>IF(OR(Hypothèses!$B$4=17,Hypothèses!$B$4=18,Hypothèses!$B$4=19,Hypothèses!$B$4=20),
IF($D107="Pressio.",
IF(OR($E107=3,$E107=1,$E107=4),CH107,CG107),
IF($D107="Pénétro.",
IF(OR($E107=3,$E107=1,$E107=4),CH107,CG107))),IF($D107="Pressio.",
IF($E107=3,CH107,CG107),
IF($D107="Pénétro.",
IF($E107=4,CH107,CG107))))</f>
        <v>#N/A</v>
      </c>
      <c r="CJ107" s="31" t="e">
        <f>(IF(OR(Hypothèses!$B$4=17,Hypothèses!$B$4=18,Hypothèses!$B$4=19,Hypothèses!$B$4=20),
IF($D107="Pressio.",
IF(OR($E107=3,$E107=1,$E107=4),(PI()*CJ$12^2)/4*(CF107*$W107*1000)/($H107*$B$5),(PI()*CJ$12^2)/4*(CF107*$W107*1000)/($G107*$B$5)),
IF($D107="Pénétro.",
IF(OR($E107=4,$E107=1,$E107=5),(PI()*CJ$12^2)/4*(CF107*$W107*1000)/($H107*$B$5),(PI()*CJ$12^2)/4*(CF107*$W107*1000)/($G107*$B$5)))),
IF($D107="Pressio.",
IF($E107=3,(PI()*CJ$12^2)/4*(CF107*$W107*1000)/($H107*$B$5),(PI()*CJ$12^2)/4*(CF107*$W107*1000)/($G107*$B$5)),
IF($D107="Pénétro.",
IF($E107=4,(PI()*CJ$12^2)/4*(CF107*$W107*1000)/($H107*$B$5),(PI()*CJ$12^2)/4*(CF107*$W107*1000)/($G107*$B$5))))))/10</f>
        <v>#N/A</v>
      </c>
      <c r="CK107" s="102" t="e">
        <f>(VLOOKUP($B$3,'Coeff EC7'!$T$39:$X$59,2,0)*CI107+VLOOKUP($B$3,'Coeff EC7'!$T$65:$X$85,2,0)*Model0.1C!CJ107)/1.1</f>
        <v>#N/A</v>
      </c>
      <c r="CL107" s="102" t="e">
        <f>(VLOOKUP($B$3,'Coeff EC7'!$T$39:$X$59,3,0)*CI107+VLOOKUP($B$3,'Coeff EC7'!$T$65:$X$85,3,0)*Model0.1C!CJ107)/0.9</f>
        <v>#N/A</v>
      </c>
      <c r="CM107" s="102" t="e">
        <f t="shared" si="182"/>
        <v>#N/A</v>
      </c>
      <c r="CN107" s="102" t="e">
        <f t="shared" si="183"/>
        <v>#N/A</v>
      </c>
      <c r="CO107" s="414" t="e">
        <f>IF(CO106=0,0,IF(AND(CK107&gt;charge_ELS_quasi,CL107&gt;Charge_ELS_freq,CM107&gt;charge_ELU,CN107&gt;charge_ELA,$B107&gt;NDC!$H$22-0.1+MIN(3*$CO$12,1.5)),0,1))</f>
        <v>#N/A</v>
      </c>
      <c r="CP107" s="86" t="b">
        <f t="shared" si="151"/>
        <v>0</v>
      </c>
      <c r="CQ107" s="86">
        <f t="shared" si="152"/>
        <v>0.5</v>
      </c>
      <c r="CR107" s="86">
        <f t="shared" si="153"/>
        <v>0.5</v>
      </c>
      <c r="CS107" s="30" t="e">
        <f t="shared" ca="1" si="184"/>
        <v>#DIV/0!</v>
      </c>
      <c r="CT107" s="85" t="e">
        <f ca="1">IF(BZ107&lt;=Hypothèses!$V$7,Hypothèses!$W$7,IF(BZ107&lt;=Hypothèses!$V$8,Hypothèses!$W$8,IF(BZ107&lt;=Hypothèses!$V$9,Hypothèses!$W$9,IF(BZ107&lt;=Hypothèses!$V$10,Hypothèses!$W$10,IF(BZ107&lt;=Hypothèses!$V$11,Hypothèses!$W$11,IF(BZ107&lt;=Hypothèses!$V$12,Hypothèses!$W$12,IF(BZ107&lt;=Hypothèses!$V$13,Hypothèses!$W$13,IF(BZ107&lt;=Hypothèses!$V$14,Hypothèses!$W$14,IF(BZ107&lt;=Hypothèses!$V$15,Hypothèses!$W$15,IF(BZ107&lt;=Hypothèses!$V$16,Hypothèses!$W$16,IF(BZ107&lt;=Hypothèses!$V$17,Hypothèses!$W$17,IF(BZ107&lt;=Hypothèses!$V$18,Hypothèses!$W$18,""))))))))))))</f>
        <v>#DIV/0!</v>
      </c>
      <c r="CU107" s="87" t="e">
        <f t="shared" ca="1" si="220"/>
        <v>#DIV/0!</v>
      </c>
      <c r="CV107" s="88" t="e">
        <f ca="1">IF(BZ107&lt;=Hypothèses!$V$7,Hypothèses!$X$7,IF(BZ107&lt;=Hypothèses!$V$8,Hypothèses!$X$8,IF(BZ107&lt;=Hypothèses!$V$9,Hypothèses!$X$9,IF(BZ107&lt;=Hypothèses!$V$10,Hypothèses!$X$10,IF(BZ107&lt;=Hypothèses!$V$11,Hypothèses!$X$11,IF(BZ107&lt;=Hypothèses!$V$12,Hypothèses!$X$12,IF(BZ107&lt;=Hypothèses!$V$13,Hypothèses!$X$13,IF(BZ107&lt;=Hypothèses!$V$14,Hypothèses!$X$14,IF(BZ107&lt;=Hypothèses!$V$15,Hypothèses!$X$15,IF(BZ107&lt;=Hypothèses!$V$16,Hypothèses!$X$16,IF(BZ107&lt;=Hypothèses!$U$17,Hypothèses!$W$17,IF(BZ107&lt;=Hypothèses!$U$18,Hypothèses!$W$18,""))))))))))))</f>
        <v>#DIV/0!</v>
      </c>
      <c r="CW107" s="95" t="e">
        <f t="shared" ca="1" si="185"/>
        <v>#DIV/0!</v>
      </c>
      <c r="CX107" s="101" t="e">
        <f t="shared" si="227"/>
        <v>#N/A</v>
      </c>
      <c r="CY107" s="91" t="e">
        <f t="shared" si="154"/>
        <v>#N/A</v>
      </c>
      <c r="CZ107" s="30" t="e">
        <f t="shared" si="208"/>
        <v>#N/A</v>
      </c>
      <c r="DA107" s="30" t="e">
        <f t="shared" si="209"/>
        <v>#N/A</v>
      </c>
      <c r="DB107" s="31" t="e">
        <f>IF(OR(Hypothèses!$B$4=17,Hypothèses!$B$4=18,Hypothèses!$B$4=19,Hypothèses!$B$4=20),
IF($D107="Pressio.",
IF(OR($E107=3,$E107=1,$E107=4),DA107,CZ107),
IF($D107="Pénétro.",
IF(OR($E107=3,$E107=1,$E107=4),DA107,CZ107))),IF($D107="Pressio.",
IF($E107=3,DA107,CZ107),
IF($D107="Pénétro.",
IF($E107=4,DA107,CZ107))))</f>
        <v>#N/A</v>
      </c>
      <c r="DC107" s="31" t="e">
        <f>(IF(OR(Hypothèses!$B$4=17,Hypothèses!$B$4=18,Hypothèses!$B$4=19,Hypothèses!$B$4=20),
IF($D107="Pressio.",
IF(OR($E107=3,$E107=1,$E107=4),(PI()*DC$12^2)/4*(CY107*$W107*1000)/($H107*$B$5),(PI()*DC$12^2)/4*(CY107*$W107*1000)/($G107*$B$5)),
IF($D107="Pénétro.",
IF(OR($E107=4,$E107=1,$E107=5),(PI()*DC$12^2)/4*(CY107*$W107*1000)/($H107*$B$5),(PI()*DC$12^2)/4*(CY107*$W107*1000)/($G107*$B$5)))),
IF($D107="Pressio.",
IF($E107=3,(PI()*DC$12^2)/4*(CY107*$W107*1000)/($H107*$B$5),(PI()*DC$12^2)/4*(CY107*$W107*1000)/($G107*$B$5)),
IF($D107="Pénétro.",
IF($E107=4,(PI()*DC$12^2)/4*(CY107*$W107*1000)/($H107*$B$5),(PI()*DC$12^2)/4*(CY107*$W107*1000)/($G107*$B$5))))))/10</f>
        <v>#N/A</v>
      </c>
      <c r="DD107" s="102" t="e">
        <f>(VLOOKUP($B$3,'Coeff EC7'!$T$39:$X$59,2,0)*DB107+VLOOKUP($B$3,'Coeff EC7'!$T$65:$X$85,2,0)*Model0.1C!DC107)/1.1</f>
        <v>#N/A</v>
      </c>
      <c r="DE107" s="102" t="e">
        <f>(VLOOKUP($B$3,'Coeff EC7'!$T$39:$X$59,3,0)*DB107+VLOOKUP($B$3,'Coeff EC7'!$T$65:$X$85,3,0)*Model0.1C!DC107)/0.9</f>
        <v>#N/A</v>
      </c>
      <c r="DF107" s="102" t="e">
        <f t="shared" si="186"/>
        <v>#N/A</v>
      </c>
      <c r="DG107" s="102" t="e">
        <f t="shared" si="187"/>
        <v>#N/A</v>
      </c>
      <c r="DH107" s="414" t="e">
        <f>IF(DH106=0,0,IF(AND(DD107&gt;charge_ELS_quasi,DE107&gt;Charge_ELS_freq,DF107&gt;charge_ELU,DG107&gt;charge_ELA,$B107&gt;NDC!$H$22-0.1+MIN(3*$DH$12,1.5)),0,1))</f>
        <v>#N/A</v>
      </c>
      <c r="DI107" s="86" t="b">
        <f t="shared" si="155"/>
        <v>0</v>
      </c>
      <c r="DJ107" s="86">
        <f t="shared" si="156"/>
        <v>0.5</v>
      </c>
      <c r="DK107" s="86">
        <f t="shared" si="157"/>
        <v>0.5</v>
      </c>
      <c r="DL107" s="30" t="e">
        <f t="shared" ca="1" si="188"/>
        <v>#DIV/0!</v>
      </c>
      <c r="DM107" s="85" t="e">
        <f ca="1">IF(CS107&lt;=Hypothèses!$V$7,Hypothèses!$W$7,IF(CS107&lt;=Hypothèses!$V$8,Hypothèses!$W$8,IF(CS107&lt;=Hypothèses!$V$9,Hypothèses!$W$9,IF(CS107&lt;=Hypothèses!$V$10,Hypothèses!$W$10,IF(CS107&lt;=Hypothèses!$V$11,Hypothèses!$W$11,IF(CS107&lt;=Hypothèses!$V$12,Hypothèses!$W$12,IF(CS107&lt;=Hypothèses!$V$13,Hypothèses!$W$13,IF(CS107&lt;=Hypothèses!$V$14,Hypothèses!$W$14,IF(CS107&lt;=Hypothèses!$V$15,Hypothèses!$W$15,IF(CS107&lt;=Hypothèses!$V$16,Hypothèses!$W$16,IF(CS107&lt;=Hypothèses!$V$17,Hypothèses!$W$17,IF(CS107&lt;=Hypothèses!$V$18,Hypothèses!$W$18,""))))))))))))</f>
        <v>#DIV/0!</v>
      </c>
      <c r="DN107" s="87" t="e">
        <f t="shared" ca="1" si="221"/>
        <v>#DIV/0!</v>
      </c>
      <c r="DO107" s="88" t="e">
        <f ca="1">IF(CS107&lt;=Hypothèses!$V$7,Hypothèses!$X$7,IF(CS107&lt;=Hypothèses!$V$8,Hypothèses!$X$8,IF(CS107&lt;=Hypothèses!$V$9,Hypothèses!$X$9,IF(CS107&lt;=Hypothèses!$V$10,Hypothèses!$X$10,IF(CS107&lt;=Hypothèses!$V$11,Hypothèses!$X$11,IF(CS107&lt;=Hypothèses!$V$12,Hypothèses!$X$12,IF(CS107&lt;=Hypothèses!$V$13,Hypothèses!$X$13,IF(CS107&lt;=Hypothèses!$V$14,Hypothèses!$X$14,IF(CS107&lt;=Hypothèses!$V$15,Hypothèses!$X$15,IF(CS107&lt;=Hypothèses!$V$16,Hypothèses!$X$16,IF(CS107&lt;=Hypothèses!$U$17,Hypothèses!$W$17,IF(CS107&lt;=Hypothèses!$U$18,Hypothèses!$W$18,""))))))))))))</f>
        <v>#DIV/0!</v>
      </c>
      <c r="DP107" s="95" t="e">
        <f t="shared" ca="1" si="189"/>
        <v>#DIV/0!</v>
      </c>
      <c r="DQ107" s="101" t="e">
        <f t="shared" si="228"/>
        <v>#N/A</v>
      </c>
      <c r="DR107" s="91" t="e">
        <f t="shared" si="158"/>
        <v>#N/A</v>
      </c>
      <c r="DS107" s="30" t="e">
        <f t="shared" si="210"/>
        <v>#N/A</v>
      </c>
      <c r="DT107" s="30" t="e">
        <f t="shared" si="211"/>
        <v>#N/A</v>
      </c>
      <c r="DU107" s="31" t="e">
        <f>IF(OR(Hypothèses!$B$4=17,Hypothèses!$B$4=18,Hypothèses!$B$4=19,Hypothèses!$B$4=20),
IF($D107="Pressio.",
IF(OR($E107=3,$E107=1,$E107=4),DT107,DS107),
IF($D107="Pénétro.",
IF(OR($E107=3,$E107=1,$E107=4),DT107,DS107))),IF($D107="Pressio.",
IF($E107=3,DT107,DS107),
IF($D107="Pénétro.",
IF($E107=4,DT107,DS107))))</f>
        <v>#N/A</v>
      </c>
      <c r="DV107" s="31" t="e">
        <f>(IF(OR(Hypothèses!$B$4=17,Hypothèses!$B$4=18,Hypothèses!$B$4=19,Hypothèses!$B$4=20),
IF($D107="Pressio.",
IF(OR($E107=3,$E107=1,$E107=4),(PI()*DV$12^2)/4*(DR107*$W107*1000)/($H107*$B$5),(PI()*DV$12^2)/4*(DR107*$W107*1000)/($G107*$B$5)),
IF($D107="Pénétro.",
IF(OR($E107=4,$E107=1,$E107=5),(PI()*DV$12^2)/4*(DR107*$W107*1000)/($H107*$B$5),(PI()*DV$12^2)/4*(DR107*$W107*1000)/($G107*$B$5)))),
IF($D107="Pressio.",
IF($E107=3,(PI()*DV$12^2)/4*(DR107*$W107*1000)/($H107*$B$5),(PI()*DV$12^2)/4*(DR107*$W107*1000)/($G107*$B$5)),
IF($D107="Pénétro.",
IF($E107=4,(PI()*DV$12^2)/4*(DR107*$W107*1000)/($H107*$B$5),(PI()*DV$12^2)/4*(DR107*$W107*1000)/($G107*$B$5))))))/10</f>
        <v>#N/A</v>
      </c>
      <c r="DW107" s="102" t="e">
        <f>(VLOOKUP($B$3,'Coeff EC7'!$T$39:$X$59,2,0)*DU107+VLOOKUP($B$3,'Coeff EC7'!$T$65:$X$85,2,0)*Model0.1C!DV107)/1.1</f>
        <v>#N/A</v>
      </c>
      <c r="DX107" s="102" t="e">
        <f>(VLOOKUP($B$3,'Coeff EC7'!$T$39:$X$59,3,0)*DU107+VLOOKUP($B$3,'Coeff EC7'!$T$65:$X$85,3,0)*Model0.1C!DV107)/0.9</f>
        <v>#N/A</v>
      </c>
      <c r="DY107" s="102" t="e">
        <f t="shared" si="190"/>
        <v>#N/A</v>
      </c>
      <c r="DZ107" s="102" t="e">
        <f t="shared" si="191"/>
        <v>#N/A</v>
      </c>
      <c r="EA107" s="414" t="e">
        <f>IF(EA106=0,0,IF(AND(DW107&gt;charge_ELS_quasi,DX107&gt;Charge_ELS_freq,DY107&gt;charge_ELU,DZ107&gt;charge_ELA,$B107&gt;NDC!$H$22-0.1+MIN(3*$EA$12,1.5)),0,1))</f>
        <v>#N/A</v>
      </c>
      <c r="EB107" s="86" t="b">
        <f t="shared" si="159"/>
        <v>0</v>
      </c>
      <c r="EC107" s="418">
        <f t="shared" si="160"/>
        <v>0.51</v>
      </c>
      <c r="ED107" s="86">
        <f t="shared" si="161"/>
        <v>0.51</v>
      </c>
      <c r="EE107" s="30" t="e">
        <f t="shared" ca="1" si="192"/>
        <v>#DIV/0!</v>
      </c>
      <c r="EF107" s="85" t="e">
        <f ca="1">IF(DL107&lt;=Hypothèses!$V$7,Hypothèses!$W$7,IF(DL107&lt;=Hypothèses!$V$8,Hypothèses!$W$8,IF(DL107&lt;=Hypothèses!$V$9,Hypothèses!$W$9,IF(DL107&lt;=Hypothèses!$V$10,Hypothèses!$W$10,IF(DL107&lt;=Hypothèses!$V$11,Hypothèses!$W$11,IF(DL107&lt;=Hypothèses!$V$12,Hypothèses!$W$12,IF(DL107&lt;=Hypothèses!$V$13,Hypothèses!$W$13,IF(DL107&lt;=Hypothèses!$V$14,Hypothèses!$W$14,IF(DL107&lt;=Hypothèses!$V$15,Hypothèses!$W$15,IF(DL107&lt;=Hypothèses!$V$16,Hypothèses!$W$16,IF(DL107&lt;=Hypothèses!$V$17,Hypothèses!$W$17,IF(DL107&lt;=Hypothèses!$V$18,Hypothèses!$W$18,""))))))))))))</f>
        <v>#DIV/0!</v>
      </c>
      <c r="EG107" s="87" t="e">
        <f t="shared" ca="1" si="222"/>
        <v>#DIV/0!</v>
      </c>
      <c r="EH107" s="88" t="e">
        <f ca="1">IF(DL107&lt;=Hypothèses!$V$7,Hypothèses!$X$7,IF(DL107&lt;=Hypothèses!$V$8,Hypothèses!$X$8,IF(DL107&lt;=Hypothèses!$V$9,Hypothèses!$X$9,IF(DL107&lt;=Hypothèses!$V$10,Hypothèses!$X$10,IF(DL107&lt;=Hypothèses!$V$11,Hypothèses!$X$11,IF(DL107&lt;=Hypothèses!$V$12,Hypothèses!$X$12,IF(DL107&lt;=Hypothèses!$V$13,Hypothèses!$X$13,IF(DL107&lt;=Hypothèses!$V$14,Hypothèses!$X$14,IF(DL107&lt;=Hypothèses!$V$15,Hypothèses!$X$15,IF(DL107&lt;=Hypothèses!$V$16,Hypothèses!$X$16,IF(DL107&lt;=Hypothèses!$U$17,Hypothèses!$W$17,IF(DL107&lt;=Hypothèses!$U$18,Hypothèses!$W$18,""))))))))))))</f>
        <v>#DIV/0!</v>
      </c>
      <c r="EI107" s="95" t="e">
        <f t="shared" ca="1" si="193"/>
        <v>#DIV/0!</v>
      </c>
      <c r="EJ107" s="101" t="e">
        <f t="shared" si="229"/>
        <v>#N/A</v>
      </c>
      <c r="EK107" s="91" t="e">
        <f t="shared" si="162"/>
        <v>#N/A</v>
      </c>
      <c r="EL107" s="30" t="e">
        <f t="shared" si="212"/>
        <v>#N/A</v>
      </c>
      <c r="EM107" s="30" t="e">
        <f t="shared" si="213"/>
        <v>#N/A</v>
      </c>
      <c r="EN107" s="31" t="e">
        <f>IF(OR(Hypothèses!$B$4=17,Hypothèses!$B$4=18,Hypothèses!$B$4=19,Hypothèses!$B$4=20),
IF($D107="Pressio.",
IF(OR($E107=3,$E107=1,$E107=4),EM107,EL107),
IF($D107="Pénétro.",
IF(OR($E107=3,$E107=1,$E107=4),EM107,EL107))),IF($D107="Pressio.",
IF($E107=3,EM107,EL107),
IF($D107="Pénétro.",
IF($E107=4,EM107,EL107))))</f>
        <v>#N/A</v>
      </c>
      <c r="EO107" s="31" t="e">
        <f>(IF(OR(Hypothèses!$B$4=17,Hypothèses!$B$4=18,Hypothèses!$B$4=19,Hypothèses!$B$4=20),
IF($D107="Pressio.",
IF(OR($E107=3,$E107=1,$E107=4),(PI()*EO$12^2)/4*(EK107*$W107*1000)/($H107*$B$5),(PI()*EO$12^2)/4*(EK107*$W107*1000)/($G107*$B$5)),
IF($D107="Pénétro.",
IF(OR($E107=4,$E107=1,$E107=5),(PI()*EO$12^2)/4*(EK107*$W107*1000)/($H107*$B$5),(PI()*EO$12^2)/4*(EK107*$W107*1000)/($G107*$B$5)))),
IF($D107="Pressio.",
IF($E107=3,(PI()*EO$12^2)/4*(EK107*$W107*1000)/($H107*$B$5),(PI()*EO$12^2)/4*(EK107*$W107*1000)/($G107*$B$5)),
IF($D107="Pénétro.",
IF($E107=4,(PI()*EO$12^2)/4*(EK107*$W107*1000)/($H107*$B$5),(PI()*EO$12^2)/4*(EK107*$W107*1000)/($G107*$B$5))))))/10</f>
        <v>#N/A</v>
      </c>
      <c r="EP107" s="102" t="e">
        <f>(VLOOKUP($B$3,'Coeff EC7'!$T$39:$X$59,2,0)*EN107+VLOOKUP($B$3,'Coeff EC7'!$T$65:$X$85,2,0)*Model0.1C!EO107)/1.1</f>
        <v>#N/A</v>
      </c>
      <c r="EQ107" s="102" t="e">
        <f>(VLOOKUP($B$3,'Coeff EC7'!$T$39:$X$59,3,0)*EN107+VLOOKUP($B$3,'Coeff EC7'!$T$65:$X$85,3,0)*Model0.1C!EO107)/0.9</f>
        <v>#N/A</v>
      </c>
      <c r="ER107" s="102" t="e">
        <f t="shared" si="194"/>
        <v>#N/A</v>
      </c>
      <c r="ES107" s="102" t="e">
        <f t="shared" si="195"/>
        <v>#N/A</v>
      </c>
      <c r="ET107" s="414" t="e">
        <f>IF(ET106=0,0,IF(AND(EP107&gt;charge_ELS_quasi,EQ107&gt;Charge_ELS_freq,ER107&gt;charge_ELU,ES107&gt;charge_ELA,$B107&gt;NDC!$H$22-0.1+MIN(3*$ET$12,1.5)),0,1))</f>
        <v>#N/A</v>
      </c>
      <c r="EU107" s="86" t="b">
        <f t="shared" si="163"/>
        <v>0</v>
      </c>
      <c r="EV107" s="86">
        <f t="shared" si="164"/>
        <v>0.61</v>
      </c>
      <c r="EW107" s="86">
        <f t="shared" si="165"/>
        <v>0.61</v>
      </c>
      <c r="EX107" s="30" t="e">
        <f t="shared" ca="1" si="196"/>
        <v>#DIV/0!</v>
      </c>
      <c r="EY107" s="85" t="e">
        <f ca="1">IF(EE107&lt;=Hypothèses!$V$7,Hypothèses!$W$7,IF(EE107&lt;=Hypothèses!$V$8,Hypothèses!$W$8,IF(EE107&lt;=Hypothèses!$V$9,Hypothèses!$W$9,IF(EE107&lt;=Hypothèses!$V$10,Hypothèses!$W$10,IF(EE107&lt;=Hypothèses!$V$11,Hypothèses!$W$11,IF(EE107&lt;=Hypothèses!$V$12,Hypothèses!$W$12,IF(EE107&lt;=Hypothèses!$V$13,Hypothèses!$W$13,IF(EE107&lt;=Hypothèses!$V$14,Hypothèses!$W$14,IF(EE107&lt;=Hypothèses!$V$15,Hypothèses!$W$15,IF(EE107&lt;=Hypothèses!$V$16,Hypothèses!$W$16,IF(EE107&lt;=Hypothèses!$V$17,Hypothèses!$W$17,IF(EE107&lt;=Hypothèses!$V$18,Hypothèses!$W$18,""))))))))))))</f>
        <v>#DIV/0!</v>
      </c>
      <c r="EZ107" s="87" t="e">
        <f t="shared" ca="1" si="223"/>
        <v>#DIV/0!</v>
      </c>
      <c r="FA107" s="88" t="e">
        <f ca="1">IF(EE107&lt;=Hypothèses!$V$7,Hypothèses!$X$7,IF(EE107&lt;=Hypothèses!$V$8,Hypothèses!$X$8,IF(EE107&lt;=Hypothèses!$V$9,Hypothèses!$X$9,IF(EE107&lt;=Hypothèses!$V$10,Hypothèses!$X$10,IF(EE107&lt;=Hypothèses!$V$11,Hypothèses!$X$11,IF(EE107&lt;=Hypothèses!$V$12,Hypothèses!$X$12,IF(EE107&lt;=Hypothèses!$V$13,Hypothèses!$X$13,IF(EE107&lt;=Hypothèses!$V$14,Hypothèses!$X$14,IF(EE107&lt;=Hypothèses!$V$15,Hypothèses!$X$15,IF(EE107&lt;=Hypothèses!$V$16,Hypothèses!$X$16,IF(EE107&lt;=Hypothèses!$U$17,Hypothèses!$W$17,IF(EE107&lt;=Hypothèses!$U$18,Hypothèses!$W$18,""))))))))))))</f>
        <v>#DIV/0!</v>
      </c>
      <c r="FB107" s="95" t="e">
        <f t="shared" ca="1" si="197"/>
        <v>#DIV/0!</v>
      </c>
      <c r="FC107" s="101" t="e">
        <f t="shared" si="230"/>
        <v>#N/A</v>
      </c>
      <c r="FD107" s="91" t="e">
        <f t="shared" si="166"/>
        <v>#N/A</v>
      </c>
      <c r="FE107" s="30" t="e">
        <f t="shared" si="214"/>
        <v>#N/A</v>
      </c>
      <c r="FF107" s="30" t="e">
        <f t="shared" si="215"/>
        <v>#N/A</v>
      </c>
      <c r="FG107" s="31" t="e">
        <f>IF(OR(Hypothèses!$B$4=17,Hypothèses!$B$4=18,Hypothèses!$B$4=19,Hypothèses!$B$4=20),
IF($D107="Pressio.",
IF(OR($E107=3,$E107=1,$E107=4),FF107,FE107),
IF($D107="Pénétro.",
IF(OR($E107=3,$E107=1,$E107=4),FF107,FE107))),IF($D107="Pressio.",
IF($E107=3,FF107,FE107),
IF($D107="Pénétro.",
IF($E107=4,FF107,FE107))))</f>
        <v>#N/A</v>
      </c>
      <c r="FH107" s="31" t="e">
        <f>(IF(OR(Hypothèses!$B$4=17,Hypothèses!$B$4=18,Hypothèses!$B$4=19,Hypothèses!$B$4=20),
IF($D107="Pressio.",
IF(OR($E107=3,$E107=1,$E107=4),(PI()*FH$12^2)/4*(FD107*$W107*1000)/($H107*$B$5),(PI()*FH$12^2)/4*(FD107*$W107*1000)/($G107*$B$5)),
IF($D107="Pénétro.",
IF(OR($E107=4,$E107=1,$E107=5),(PI()*FH$12^2)/4*(FD107*$W107*1000)/($H107*$B$5),(PI()*FH$12^2)/4*(FD107*$W107*1000)/($G107*$B$5)))),
IF($D107="Pressio.",
IF($E107=3,(PI()*FH$12^2)/4*(FD107*$W107*1000)/($H107*$B$5),(PI()*FH$12^2)/4*(FD107*$W107*1000)/($G107*$B$5)),
IF($D107="Pénétro.",
IF($E107=4,(PI()*FH$12^2)/4*(FD107*$W107*1000)/($H107*$B$5),(PI()*FH$12^2)/4*(FD107*$W107*1000)/($G107*$B$5))))))/10</f>
        <v>#N/A</v>
      </c>
      <c r="FI107" s="102" t="e">
        <f>(VLOOKUP($B$3,'Coeff EC7'!$T$39:$X$59,2,0)*FG107+VLOOKUP($B$3,'Coeff EC7'!$T$65:$X$85,2,0)*Model0.1C!FH107)/1.1</f>
        <v>#N/A</v>
      </c>
      <c r="FJ107" s="102" t="e">
        <f>(VLOOKUP($B$3,'Coeff EC7'!$T$39:$X$59,3,0)*FG107+VLOOKUP($B$3,'Coeff EC7'!$T$65:$X$85,3,0)*Model0.1C!FH107)/0.9</f>
        <v>#N/A</v>
      </c>
      <c r="FK107" s="102" t="e">
        <f t="shared" si="198"/>
        <v>#N/A</v>
      </c>
      <c r="FL107" s="102" t="e">
        <f t="shared" si="199"/>
        <v>#N/A</v>
      </c>
      <c r="FM107" s="414" t="e">
        <f>IF(FM106=0,0,IF(AND(FI107&gt;charge_ELS_quasi,FJ107&gt;Charge_ELS_freq,FK107&gt;charge_ELU,FL107&gt;charge_ELA,$B107&gt;NDC!$H$22-0.1+MIN(3*$FM$12,1.5)),0,1))</f>
        <v>#N/A</v>
      </c>
    </row>
    <row r="108" spans="1:169">
      <c r="A108" s="96">
        <f t="shared" si="167"/>
        <v>90.50000000000054</v>
      </c>
      <c r="B108" s="97">
        <v>9.5</v>
      </c>
      <c r="C108" s="81">
        <f>IF(B108&lt;=Hypothèses!$C$7,Hypothèses!$A$7,IF(B108&lt;=Hypothèses!$C$8,Hypothèses!$A$8,IF(B108&lt;=Hypothèses!$C$9,Hypothèses!$A$9,IF(B108&lt;=Hypothèses!$C$10,Hypothèses!$A$10,IF(B108&lt;=Hypothèses!$C$11,Hypothèses!$A$11,IF(B108&lt;=Hypothèses!$C$12,Hypothèses!$A$12,IF(B108&lt;=Hypothèses!$C$13,Hypothèses!$A$13,IF(B108&lt;=Hypothèses!$C$14,Hypothèses!$A$14,IF(B108&lt;=Hypothèses!$C$15,Hypothèses!$A$15,IF(B108&lt;=Hypothèses!$C$16,Hypothèses!$A$16,IF(B108&lt;=Hypothèses!$C$17,Hypothèses!$A$17,IF(B108&lt;=Hypothèses!$C$18,Hypothèses!$A$18,C107))))))))))))</f>
        <v>11</v>
      </c>
      <c r="D108" s="82" t="str">
        <f>IF(B108&lt;=Hypothèses!$C$7,Hypothèses!$R$7,IF(B108&lt;=Hypothèses!$C$8,Hypothèses!$R$8,IF(B108&lt;=Hypothèses!$C$9,Hypothèses!$R$9,IF(B108&lt;=Hypothèses!$C$10,Hypothèses!$R$10,IF(B108&lt;=Hypothèses!$C$11,Hypothèses!$R$11,IF(B108&lt;=Hypothèses!$C$12,Hypothèses!$R$12,IF(B108&lt;=Hypothèses!$C$13,Hypothèses!$R$13,IF(B108&lt;=Hypothèses!$C$14,Hypothèses!$R$14,IF(B108&lt;=Hypothèses!$C$15,Hypothèses!$R$15,IF(B108&lt;=Hypothèses!$C$16,Hypothèses!$R$16,IF(B108&lt;=Hypothèses!$C$17,Hypothèses!$R$17,IF(B108&lt;=Hypothèses!$C$18,Hypothèses!$R$18,D107))))))))))))</f>
        <v>Pressio.</v>
      </c>
      <c r="E108" s="82" t="e">
        <f>IF(B108&lt;=Hypothèses!$C$7,Hypothèses!$G$7,IF(B108&lt;=Hypothèses!$C$8,Hypothèses!$G$8,IF(B108&lt;=Hypothèses!$C$9,Hypothèses!$G$9,IF(B108&lt;=Hypothèses!$C$10,Hypothèses!$G$10,IF(B108&lt;=Hypothèses!$C$11,Hypothèses!$G$11,IF(B108&lt;=Hypothèses!$C$12,Hypothèses!$G$12,IF(B108&lt;=Hypothèses!$C$13,Hypothèses!$G$13,IF(B108&lt;=Hypothèses!$C$14,Hypothèses!$G$14,IF(B108&lt;=Hypothèses!$C$15,Hypothèses!$G$15,IF(B108&lt;=Hypothèses!$C$16,Hypothèses!$G$16,IF(B108&lt;=Hypothèses!$C$17,Hypothèses!$G$17,IF(B108&lt;=Hypothèses!$C$18,Hypothèses!$G$18,E107))))))))))))</f>
        <v>#N/A</v>
      </c>
      <c r="F108" s="82" t="str">
        <f>IF(B108&lt;=Hypothèses!$C$7,Hypothèses!$F$7,IF(B108&lt;=Hypothèses!$C$8,Hypothèses!$F$8,IF(B108&lt;=Hypothèses!$C$9,Hypothèses!$F$9,IF(B108&lt;=Hypothèses!$C$10,Hypothèses!$F$10,IF(B108&lt;=Hypothèses!$C$11,Hypothèses!$F$11,IF(B108&lt;=Hypothèses!$C$12,Hypothèses!$F$12,IF(B108&lt;=Hypothèses!$C$13,Hypothèses!$F$13,IF(B108&lt;=Hypothèses!$C$14,Hypothèses!$F$14,IF(B108&lt;=Hypothèses!$C$15,Hypothèses!$F$15,IF(B108&lt;=Hypothèses!$C$16,Hypothèses!$F$16,IF(B108&lt;=Hypothèses!$C$17,Hypothèses!$F$17,IF(B108&lt;=Hypothèses!$C$18,Hypothèses!$F$18,F107))))))))))))</f>
        <v/>
      </c>
      <c r="G108" s="91">
        <f t="array" ref="G108">INDEX('Coeff EC7'!$U$7:$X$27,
MATCH(Model0.1C!$B$3,'Coeff EC7'!$T$7:$T$27,0),
MATCH(Model0.1C!$D108&amp;Model0.1C!$B$4,
'Coeff EC7'!$U$6:$X$6&amp;
'Coeff EC7'!$U$5:$X$5,0))</f>
        <v>1.1499999999999999</v>
      </c>
      <c r="H108" s="91">
        <f t="array" ref="H108">INDEX('Coeff EC7'!$Y$7:$AB$27,
MATCH(Model0.1C!$B$3,'Coeff EC7'!$T$7:$T$27,0),
MATCH(Model0.1C!$D108&amp;Model0.1C!$B$4,
'Coeff EC7'!$Y$6:$AB$6&amp;
'Coeff EC7'!$Y$5:$AB$5,0))</f>
        <v>1.4</v>
      </c>
      <c r="I108" s="83" t="e">
        <f>IF(B108&lt;=Hypothèses!$C$7,Hypothèses!$P$7,IF(B108&lt;=Hypothèses!$C$8,Hypothèses!$P$8,IF(B108&lt;=Hypothèses!$C$9,Hypothèses!$P$9,IF(B108&lt;=Hypothèses!$C$10,Hypothèses!$P$10,IF(B108&lt;=Hypothèses!$C$11,Hypothèses!$P$11,IF(B108&lt;=Hypothèses!$C$12,Hypothèses!$P$12,IF(B108&lt;=Hypothèses!$C$13,Hypothèses!$P$13,IF(B108&lt;=Hypothèses!$C$14,Hypothèses!$P$14,IF(B108&lt;=Hypothèses!$C$15,Hypothèses!$P$15,IF(B108&lt;=Hypothèses!$C$16,Hypothèses!$P$16,IF(B108&lt;=Hypothèses!$C$17,Hypothèses!$P$17,IF(B108&lt;=Hypothèses!$C$18,Hypothèses!$P$18,I107))))))))))))</f>
        <v>#N/A</v>
      </c>
      <c r="J108" s="91" t="e">
        <f t="array" ref="J108">INDEX('Coeff EC7'!$D$33:$Q$33,1,MATCH(D108&amp;E108,'Coeff EC7'!$D$31:$Q$31&amp;'Coeff EC7'!$D$32:$Q$32,0))</f>
        <v>#N/A</v>
      </c>
      <c r="K108" s="91" t="e">
        <f t="array" ref="K108">INDEX('Coeff EC7'!$D$34:$Q$34,1,MATCH(D108&amp;E108,'Coeff EC7'!$D$31:$Q$31&amp;'Coeff EC7'!$D$32:$Q$32,0))</f>
        <v>#N/A</v>
      </c>
      <c r="L108" s="91" t="e">
        <f t="array" ref="L108">INDEX('Coeff EC7'!$D$35:$Q$35,1,MATCH(D108&amp;E108,'Coeff EC7'!$D$31:$Q$31&amp;'Coeff EC7'!$D$32:$Q$32,0))</f>
        <v>#N/A</v>
      </c>
      <c r="M108" s="98" t="e">
        <f t="shared" si="131"/>
        <v>#N/A</v>
      </c>
      <c r="N108" s="99" t="e">
        <f t="array" ref="N108">INDEX('Coeff EC7'!$D$7:$Q$27,MATCH($B$3,'Coeff EC7'!$C$7:$C$27,0),MATCH(D108&amp;E108,'Coeff EC7'!$D$5:$Q$5&amp;'Coeff EC7'!$D$6:$Q$6,0))</f>
        <v>#N/A</v>
      </c>
      <c r="O108" s="99" t="e">
        <f t="array" ref="O108">INDEX('Coeff EC7'!$D$41:$Q$61,MATCH($B$3,'Coeff EC7'!$C$41:$C$61,0),MATCH(D108&amp;E108,'Coeff EC7'!$D$39:$Q$39&amp;'Coeff EC7'!$D$40:$Q$40,0))</f>
        <v>#N/A</v>
      </c>
      <c r="P108" s="30" t="e">
        <f t="shared" si="168"/>
        <v>#N/A</v>
      </c>
      <c r="Q108" s="100" t="e">
        <f t="shared" si="133"/>
        <v>#N/A</v>
      </c>
      <c r="R108" s="86" t="b">
        <f t="shared" si="134"/>
        <v>0</v>
      </c>
      <c r="S108" s="86">
        <f t="shared" si="132"/>
        <v>0.5</v>
      </c>
      <c r="T108" s="86">
        <f t="shared" si="135"/>
        <v>0.5</v>
      </c>
      <c r="U108" s="30" t="e">
        <f t="shared" ca="1" si="169"/>
        <v>#DIV/0!</v>
      </c>
      <c r="V108" s="85" t="str">
        <f>IF(B108&lt;=Hypothèses!$V$7,Hypothèses!$W$7,IF(B108&lt;=Hypothèses!$V$8,Hypothèses!$W$8,IF(B108&lt;=Hypothèses!$V$9,Hypothèses!$W$9,IF(B108&lt;=Hypothèses!$V$10,Hypothèses!$W$10,IF(B108&lt;=Hypothèses!$V$11,Hypothèses!$W$11,IF(B108&lt;=Hypothèses!$V$12,Hypothèses!$W$12,IF(B108&lt;=Hypothèses!$V$13,Hypothèses!$W$13,IF(B108&lt;=Hypothèses!$V$14,Hypothèses!$W$14,IF(B108&lt;=Hypothèses!$V$15,Hypothèses!$W$15,IF(B108&lt;=Hypothèses!$V$16,Hypothèses!$W$16,IF(B108&lt;=Hypothèses!$V$17,Hypothèses!$W$17,IF(B108&lt;=Hypothèses!$V$18,Hypothèses!$W$18,""))))))))))))</f>
        <v/>
      </c>
      <c r="W108" s="87" t="e">
        <f t="shared" ca="1" si="216"/>
        <v>#DIV/0!</v>
      </c>
      <c r="X108" s="88" t="str">
        <f>IF(B108&lt;=Hypothèses!$V$7,Hypothèses!$X$7,IF(B108&lt;=Hypothèses!$V$8,Hypothèses!$X$8,IF(B108&lt;=Hypothèses!$V$9,Hypothèses!$X$9,IF(B108&lt;=Hypothèses!$V$10,Hypothèses!$X$10,IF(B108&lt;=Hypothèses!$V$11,Hypothèses!$X$11,IF(B108&lt;=Hypothèses!$V$12,Hypothèses!$X$12,IF(B108&lt;=Hypothèses!$V$13,Hypothèses!$X$13,IF(B108&lt;=Hypothèses!$V$14,Hypothèses!$X$14,IF(B108&lt;=Hypothèses!$V$15,Hypothèses!$X$15,IF(B108&lt;=Hypothèses!$V$16,Hypothèses!$X$16,IF(B108&lt;=Hypothèses!$U$17,Hypothèses!$W$17,IF(B108&lt;=Hypothèses!$U$18,Hypothèses!$W$18,""))))))))))))</f>
        <v/>
      </c>
      <c r="Y108" s="95" t="e">
        <f t="shared" ca="1" si="136"/>
        <v>#DIV/0!</v>
      </c>
      <c r="Z108" s="101" t="e">
        <f t="shared" si="137"/>
        <v>#N/A</v>
      </c>
      <c r="AA108" s="91" t="e">
        <f t="shared" si="138"/>
        <v>#N/A</v>
      </c>
      <c r="AB108" s="30" t="e">
        <f t="shared" si="200"/>
        <v>#N/A</v>
      </c>
      <c r="AC108" s="30" t="e">
        <f t="shared" si="201"/>
        <v>#N/A</v>
      </c>
      <c r="AD108" s="31" t="e">
        <f>IF(OR(Hypothèses!$B$4=17,Hypothèses!$B$4=18,Hypothèses!$B$4=19,Hypothèses!$B$4=20),
IF($D108="Pressio.",
IF(OR($E108=3,$E108=1,$E108=4),AC108,AB108),
IF($D108="Pénétro.",
IF(OR($E108=3,$E108=1,$E108=4),AC108,AB108))),IF($D108="Pressio.",
IF($E108=3,AC108,AB108),
IF($D108="Pénétro.",
IF($E108=4,AC108,AB108))))</f>
        <v>#N/A</v>
      </c>
      <c r="AE108" s="31" t="e">
        <f>(IF(OR(Hypothèses!$B$4=17,Hypothèses!$B$4=18,Hypothèses!$B$4=19,Hypothèses!$B$4=20),
IF($D108="Pressio.",
IF(OR($E108=3,$E108=1,$E108=4),(PI()*AE$12^2)/4*(AA108*$W108*1000)/($H108*$B$5),(PI()*AE$12^2)/4*(AA108*$W108*1000)/($G108*$B$5)),
IF($D108="Pénétro.",
IF(OR($E108=4,$E108=1,$E108=5),(PI()*AE$12^2)/4*(AA108*$W108*1000)/($H108*$B$5),(PI()*AE$12^2)/4*(AA108*$W108*1000)/($G108*$B$5)))),
IF($D108="Pressio.",
IF($E108=3,(PI()*AE$12^2)/4*(AA108*$W108*1000)/($H108*$B$5),(PI()*AE$12^2)/4*(AA108*$W108*1000)/($G108*$B$5)),
IF($D108="Pénétro.",
IF($E108=4,(PI()*AE$12^2)/4*(AA108*$W108*1000)/($H108*$B$5),(PI()*AE$12^2)/4*(AA108*$W108*1000)/($G108*$B$5))))))/10</f>
        <v>#N/A</v>
      </c>
      <c r="AF108" s="102" t="e">
        <f>(VLOOKUP($B$3,'Coeff EC7'!$T$39:$X$59,2,0)*AD108+VLOOKUP($B$3,'Coeff EC7'!$T$65:$X$85,2,0)*Model0.1C!AE108)/1.1</f>
        <v>#N/A</v>
      </c>
      <c r="AG108" s="102" t="e">
        <f>(VLOOKUP($B$3,'Coeff EC7'!$T$39:$X$59,3,0)*AD108+VLOOKUP($B$3,'Coeff EC7'!$T$65:$X$85,3,0)*Model0.1C!AE108)/0.9</f>
        <v>#N/A</v>
      </c>
      <c r="AH108" s="102" t="e">
        <f t="shared" si="139"/>
        <v>#N/A</v>
      </c>
      <c r="AI108" s="102" t="e">
        <f t="shared" si="140"/>
        <v>#N/A</v>
      </c>
      <c r="AJ108" s="414" t="e">
        <f>IF(AJ107=0,0,IF(AND(AF108&gt;charge_ELS_quasi,AG108&gt;Charge_ELS_freq,AH108&gt;charge_ELU,AI108&gt;charge_ELA,$B108&gt;NDC!$H$22-0.1+MIN(3*$AJ$12,1.5)),0,1))</f>
        <v>#N/A</v>
      </c>
      <c r="AK108" s="86" t="b">
        <f t="shared" si="141"/>
        <v>0</v>
      </c>
      <c r="AL108" s="86">
        <f t="shared" si="170"/>
        <v>0.5</v>
      </c>
      <c r="AM108" s="86">
        <f t="shared" si="142"/>
        <v>0.5</v>
      </c>
      <c r="AN108" s="30" t="e">
        <f t="shared" ca="1" si="171"/>
        <v>#DIV/0!</v>
      </c>
      <c r="AO108" s="85" t="e">
        <f ca="1">IF(U108&lt;=Hypothèses!$V$7,Hypothèses!$W$7,IF(U108&lt;=Hypothèses!$V$8,Hypothèses!$W$8,IF(U108&lt;=Hypothèses!$V$9,Hypothèses!$W$9,IF(U108&lt;=Hypothèses!$V$10,Hypothèses!$W$10,IF(U108&lt;=Hypothèses!$V$11,Hypothèses!$W$11,IF(U108&lt;=Hypothèses!$V$12,Hypothèses!$W$12,IF(U108&lt;=Hypothèses!$V$13,Hypothèses!$W$13,IF(U108&lt;=Hypothèses!$V$14,Hypothèses!$W$14,IF(U108&lt;=Hypothèses!$V$15,Hypothèses!$W$15,IF(U108&lt;=Hypothèses!$V$16,Hypothèses!$W$16,IF(U108&lt;=Hypothèses!$V$17,Hypothèses!$W$17,IF(U108&lt;=Hypothèses!$V$18,Hypothèses!$W$18,""))))))))))))</f>
        <v>#DIV/0!</v>
      </c>
      <c r="AP108" s="87" t="e">
        <f t="shared" ca="1" si="217"/>
        <v>#DIV/0!</v>
      </c>
      <c r="AQ108" s="88" t="e">
        <f ca="1">IF(U108&lt;=Hypothèses!$V$7,Hypothèses!$X$7,IF(U108&lt;=Hypothèses!$V$8,Hypothèses!$X$8,IF(U108&lt;=Hypothèses!$V$9,Hypothèses!$X$9,IF(U108&lt;=Hypothèses!$V$10,Hypothèses!$X$10,IF(U108&lt;=Hypothèses!$V$11,Hypothèses!$X$11,IF(U108&lt;=Hypothèses!$V$12,Hypothèses!$X$12,IF(U108&lt;=Hypothèses!$V$13,Hypothèses!$X$13,IF(U108&lt;=Hypothèses!$V$14,Hypothèses!$X$14,IF(U108&lt;=Hypothèses!$V$15,Hypothèses!$X$15,IF(U108&lt;=Hypothèses!$V$16,Hypothèses!$X$16,IF(U108&lt;=Hypothèses!$U$17,Hypothèses!$W$17,IF(U108&lt;=Hypothèses!$U$18,Hypothèses!$W$18,""))))))))))))</f>
        <v>#DIV/0!</v>
      </c>
      <c r="AR108" s="95" t="e">
        <f t="shared" ca="1" si="172"/>
        <v>#DIV/0!</v>
      </c>
      <c r="AS108" s="101" t="e">
        <f t="shared" si="224"/>
        <v>#N/A</v>
      </c>
      <c r="AT108" s="91" t="e">
        <f t="shared" si="143"/>
        <v>#N/A</v>
      </c>
      <c r="AU108" s="30" t="e">
        <f t="shared" si="202"/>
        <v>#N/A</v>
      </c>
      <c r="AV108" s="30" t="e">
        <f t="shared" si="203"/>
        <v>#N/A</v>
      </c>
      <c r="AW108" s="31" t="e">
        <f>IF(OR(Hypothèses!$B$4=17,Hypothèses!$B$4=18,Hypothèses!$B$4=19,Hypothèses!$B$4=20),
IF($D108="Pressio.",
IF(OR($E108=3,$E108=1,$E108=4),AV108,AU108),
IF($D108="Pénétro.",
IF(OR($E108=3,$E108=1,$E108=4),AV108,AU108))),IF($D108="Pressio.",
IF($E108=3,AV108,AU108),
IF($D108="Pénétro.",
IF($E108=4,AV108,AU108))))</f>
        <v>#N/A</v>
      </c>
      <c r="AX108" s="31" t="e">
        <f>(IF(OR(Hypothèses!$B$4=17,Hypothèses!$B$4=18,Hypothèses!$B$4=19,Hypothèses!$B$4=20),
IF($D108="Pressio.",
IF(OR($E108=3,$E108=1,$E108=4),(PI()*AX$12^2)/4*(AT108*$W108*1000)/($H108*$B$5),(PI()*AX$12^2)/4*(AT108*$W108*1000)/($G108*$B$5)),
IF($D108="Pénétro.",
IF(OR($E108=4,$E108=1,$E108=5),(PI()*AX$12^2)/4*(AT108*$W108*1000)/($H108*$B$5),(PI()*AX$12^2)/4*(AT108*$W108*1000)/($G108*$B$5)))),
IF($D108="Pressio.",
IF($E108=3,(PI()*AX$12^2)/4*(AT108*$W108*1000)/($H108*$B$5),(PI()*AX$12^2)/4*(AT108*$W108*1000)/($G108*$B$5)),
IF($D108="Pénétro.",
IF($E108=4,(PI()*AX$12^2)/4*(AT108*$W108*1000)/($H108*$B$5),(PI()*AX$12^2)/4*(AT108*$W108*1000)/($G108*$B$5))))))/10</f>
        <v>#N/A</v>
      </c>
      <c r="AY108" s="102" t="e">
        <f>(VLOOKUP($B$3,'Coeff EC7'!$T$39:$X$59,2,0)*AW108+VLOOKUP($B$3,'Coeff EC7'!$T$65:$X$85,2,0)*Model0.1C!AX108)/1.1</f>
        <v>#N/A</v>
      </c>
      <c r="AZ108" s="102" t="e">
        <f>(VLOOKUP($B$3,'Coeff EC7'!$T$39:$X$59,3,0)*AW108+VLOOKUP($B$3,'Coeff EC7'!$T$65:$X$85,3,0)*Model0.1C!AX108)/0.9</f>
        <v>#N/A</v>
      </c>
      <c r="BA108" s="102" t="e">
        <f t="shared" si="173"/>
        <v>#N/A</v>
      </c>
      <c r="BB108" s="102" t="e">
        <f t="shared" si="174"/>
        <v>#N/A</v>
      </c>
      <c r="BC108" s="414" t="e">
        <f>IF(BC107=0,0,IF(AND(AY108&gt;charge_ELS_quasi,AZ108&gt;Charge_ELS_freq,BA108&gt;charge_ELU,BB108&gt;charge_ELA,$B108&gt;NDC!$H$22-0.1+MIN(3*$BC$12,1.5)),0,1))</f>
        <v>#N/A</v>
      </c>
      <c r="BD108" s="86" t="b">
        <f t="shared" si="144"/>
        <v>0</v>
      </c>
      <c r="BE108" s="86">
        <f t="shared" si="175"/>
        <v>0.5</v>
      </c>
      <c r="BF108" s="86">
        <f t="shared" si="145"/>
        <v>0.5</v>
      </c>
      <c r="BG108" s="30" t="e">
        <f t="shared" ca="1" si="176"/>
        <v>#DIV/0!</v>
      </c>
      <c r="BH108" s="85" t="e">
        <f ca="1">IF(AN108&lt;=Hypothèses!$V$7,Hypothèses!$W$7,IF(AN108&lt;=Hypothèses!$V$8,Hypothèses!$W$8,IF(AN108&lt;=Hypothèses!$V$9,Hypothèses!$W$9,IF(AN108&lt;=Hypothèses!$V$10,Hypothèses!$W$10,IF(AN108&lt;=Hypothèses!$V$11,Hypothèses!$W$11,IF(AN108&lt;=Hypothèses!$V$12,Hypothèses!$W$12,IF(AN108&lt;=Hypothèses!$V$13,Hypothèses!$W$13,IF(AN108&lt;=Hypothèses!$V$14,Hypothèses!$W$14,IF(AN108&lt;=Hypothèses!$V$15,Hypothèses!$W$15,IF(AN108&lt;=Hypothèses!$V$16,Hypothèses!$W$16,IF(AN108&lt;=Hypothèses!$V$17,Hypothèses!$W$17,IF(AN108&lt;=Hypothèses!$V$18,Hypothèses!$W$18,""))))))))))))</f>
        <v>#DIV/0!</v>
      </c>
      <c r="BI108" s="87" t="e">
        <f t="shared" ca="1" si="218"/>
        <v>#DIV/0!</v>
      </c>
      <c r="BJ108" s="88" t="e">
        <f ca="1">IF(AN108&lt;=Hypothèses!$V$7,Hypothèses!$X$7,IF(AN108&lt;=Hypothèses!$V$8,Hypothèses!$X$8,IF(AN108&lt;=Hypothèses!$V$9,Hypothèses!$X$9,IF(AN108&lt;=Hypothèses!$V$10,Hypothèses!$X$10,IF(AN108&lt;=Hypothèses!$V$11,Hypothèses!$X$11,IF(AN108&lt;=Hypothèses!$V$12,Hypothèses!$X$12,IF(AN108&lt;=Hypothèses!$V$13,Hypothèses!$X$13,IF(AN108&lt;=Hypothèses!$V$14,Hypothèses!$X$14,IF(AN108&lt;=Hypothèses!$V$15,Hypothèses!$X$15,IF(AN108&lt;=Hypothèses!$V$16,Hypothèses!$X$16,IF(AN108&lt;=Hypothèses!$U$17,Hypothèses!$W$17,IF(AN108&lt;=Hypothèses!$U$18,Hypothèses!$W$18,""))))))))))))</f>
        <v>#DIV/0!</v>
      </c>
      <c r="BK108" s="95" t="e">
        <f t="shared" ca="1" si="177"/>
        <v>#DIV/0!</v>
      </c>
      <c r="BL108" s="101" t="e">
        <f t="shared" si="225"/>
        <v>#N/A</v>
      </c>
      <c r="BM108" s="91" t="e">
        <f t="shared" si="146"/>
        <v>#N/A</v>
      </c>
      <c r="BN108" s="30" t="e">
        <f t="shared" si="204"/>
        <v>#N/A</v>
      </c>
      <c r="BO108" s="30" t="e">
        <f t="shared" si="205"/>
        <v>#N/A</v>
      </c>
      <c r="BP108" s="31" t="e">
        <f>IF(OR(Hypothèses!$B$4=17,Hypothèses!$B$4=18,Hypothèses!$B$4=19,Hypothèses!$B$4=20),
IF($D108="Pressio.",
IF(OR($E108=3,$E108=1,$E108=4),BO108,BN108),
IF($D108="Pénétro.",
IF(OR($E108=3,$E108=1,$E108=4),BO108,BN108))),IF($D108="Pressio.",
IF($E108=3,BO108,BN108),
IF($D108="Pénétro.",
IF($E108=4,BO108,BN108))))</f>
        <v>#N/A</v>
      </c>
      <c r="BQ108" s="31" t="e">
        <f>(IF(OR(Hypothèses!$B$4=17,Hypothèses!$B$4=18,Hypothèses!$B$4=19,Hypothèses!$B$4=20),
IF($D108="Pressio.",
IF(OR($E108=3,$E108=1,$E108=4),(PI()*BQ$12^2)/4*(BM108*$W108*1000)/($H108*$B$5),(PI()*BQ$12^2)/4*(BM108*$W108*1000)/($G108*$B$5)),
IF($D108="Pénétro.",
IF(OR($E108=4,$E108=1,$E108=5),(PI()*BQ$12^2)/4*(BM108*$W108*1000)/($H108*$B$5),(PI()*BQ$12^2)/4*(BM108*$W108*1000)/($G108*$B$5)))),
IF($D108="Pressio.",
IF($E108=3,(PI()*BQ$12^2)/4*(BM108*$W108*1000)/($H108*$B$5),(PI()*BQ$12^2)/4*(BM108*$W108*1000)/($G108*$B$5)),
IF($D108="Pénétro.",
IF($E108=4,(PI()*BQ$12^2)/4*(BM108*$W108*1000)/($H108*$B$5),(PI()*BQ$12^2)/4*(BM108*$W108*1000)/($G108*$B$5))))))/10</f>
        <v>#N/A</v>
      </c>
      <c r="BR108" s="102" t="e">
        <f>(VLOOKUP($B$3,'Coeff EC7'!$T$39:$X$59,2,0)*BP108+VLOOKUP($B$3,'Coeff EC7'!$T$65:$X$85,2,0)*Model0.1C!BQ108)/1.1</f>
        <v>#N/A</v>
      </c>
      <c r="BS108" s="102" t="e">
        <f>(VLOOKUP($B$3,'Coeff EC7'!$T$39:$X$59,3,0)*BP108+VLOOKUP($B$3,'Coeff EC7'!$T$65:$X$85,3,0)*Model0.1C!BQ108)/0.9</f>
        <v>#N/A</v>
      </c>
      <c r="BT108" s="102" t="e">
        <f t="shared" si="178"/>
        <v>#N/A</v>
      </c>
      <c r="BU108" s="102" t="e">
        <f t="shared" si="179"/>
        <v>#N/A</v>
      </c>
      <c r="BV108" s="414" t="e">
        <f>IF(BV107=0,0,IF(AND(BR108&gt;charge_ELS_quasi,BS108&gt;Charge_ELS_freq,BT108&gt;charge_ELU,BU108&gt;charge_ELA,$B108&gt;NDC!$H$22-0.1+MIN(3*$BV$12,1.5)),0,1))</f>
        <v>#N/A</v>
      </c>
      <c r="BW108" s="86" t="b">
        <f t="shared" si="147"/>
        <v>0</v>
      </c>
      <c r="BX108" s="86">
        <f t="shared" si="148"/>
        <v>0.5</v>
      </c>
      <c r="BY108" s="86">
        <f t="shared" si="149"/>
        <v>0.5</v>
      </c>
      <c r="BZ108" s="30" t="e">
        <f t="shared" ca="1" si="180"/>
        <v>#DIV/0!</v>
      </c>
      <c r="CA108" s="85" t="e">
        <f ca="1">IF(BG108&lt;=Hypothèses!$V$7,Hypothèses!$W$7,IF(BG108&lt;=Hypothèses!$V$8,Hypothèses!$W$8,IF(BG108&lt;=Hypothèses!$V$9,Hypothèses!$W$9,IF(BG108&lt;=Hypothèses!$V$10,Hypothèses!$W$10,IF(BG108&lt;=Hypothèses!$V$11,Hypothèses!$W$11,IF(BG108&lt;=Hypothèses!$V$12,Hypothèses!$W$12,IF(BG108&lt;=Hypothèses!$V$13,Hypothèses!$W$13,IF(BG108&lt;=Hypothèses!$V$14,Hypothèses!$W$14,IF(BG108&lt;=Hypothèses!$V$15,Hypothèses!$W$15,IF(BG108&lt;=Hypothèses!$V$16,Hypothèses!$W$16,IF(BG108&lt;=Hypothèses!$V$17,Hypothèses!$W$17,IF(BG108&lt;=Hypothèses!$V$18,Hypothèses!$W$18,""))))))))))))</f>
        <v>#DIV/0!</v>
      </c>
      <c r="CB108" s="87" t="e">
        <f t="shared" ca="1" si="219"/>
        <v>#DIV/0!</v>
      </c>
      <c r="CC108" s="88" t="e">
        <f ca="1">IF(BG108&lt;=Hypothèses!$V$7,Hypothèses!$X$7,IF(BG108&lt;=Hypothèses!$V$8,Hypothèses!$X$8,IF(BG108&lt;=Hypothèses!$V$9,Hypothèses!$X$9,IF(BG108&lt;=Hypothèses!$V$10,Hypothèses!$X$10,IF(BG108&lt;=Hypothèses!$V$11,Hypothèses!$X$11,IF(BG108&lt;=Hypothèses!$V$12,Hypothèses!$X$12,IF(BG108&lt;=Hypothèses!$V$13,Hypothèses!$X$13,IF(BG108&lt;=Hypothèses!$V$14,Hypothèses!$X$14,IF(BG108&lt;=Hypothèses!$V$15,Hypothèses!$X$15,IF(BG108&lt;=Hypothèses!$V$16,Hypothèses!$X$16,IF(BG108&lt;=Hypothèses!$U$17,Hypothèses!$W$17,IF(BG108&lt;=Hypothèses!$U$18,Hypothèses!$W$18,""))))))))))))</f>
        <v>#DIV/0!</v>
      </c>
      <c r="CD108" s="95" t="e">
        <f t="shared" ca="1" si="181"/>
        <v>#DIV/0!</v>
      </c>
      <c r="CE108" s="101" t="e">
        <f t="shared" si="226"/>
        <v>#N/A</v>
      </c>
      <c r="CF108" s="91" t="e">
        <f t="shared" si="150"/>
        <v>#N/A</v>
      </c>
      <c r="CG108" s="30" t="e">
        <f t="shared" si="206"/>
        <v>#N/A</v>
      </c>
      <c r="CH108" s="30" t="e">
        <f t="shared" si="207"/>
        <v>#N/A</v>
      </c>
      <c r="CI108" s="31" t="e">
        <f>IF(OR(Hypothèses!$B$4=17,Hypothèses!$B$4=18,Hypothèses!$B$4=19,Hypothèses!$B$4=20),
IF($D108="Pressio.",
IF(OR($E108=3,$E108=1,$E108=4),CH108,CG108),
IF($D108="Pénétro.",
IF(OR($E108=3,$E108=1,$E108=4),CH108,CG108))),IF($D108="Pressio.",
IF($E108=3,CH108,CG108),
IF($D108="Pénétro.",
IF($E108=4,CH108,CG108))))</f>
        <v>#N/A</v>
      </c>
      <c r="CJ108" s="31" t="e">
        <f>(IF(OR(Hypothèses!$B$4=17,Hypothèses!$B$4=18,Hypothèses!$B$4=19,Hypothèses!$B$4=20),
IF($D108="Pressio.",
IF(OR($E108=3,$E108=1,$E108=4),(PI()*CJ$12^2)/4*(CF108*$W108*1000)/($H108*$B$5),(PI()*CJ$12^2)/4*(CF108*$W108*1000)/($G108*$B$5)),
IF($D108="Pénétro.",
IF(OR($E108=4,$E108=1,$E108=5),(PI()*CJ$12^2)/4*(CF108*$W108*1000)/($H108*$B$5),(PI()*CJ$12^2)/4*(CF108*$W108*1000)/($G108*$B$5)))),
IF($D108="Pressio.",
IF($E108=3,(PI()*CJ$12^2)/4*(CF108*$W108*1000)/($H108*$B$5),(PI()*CJ$12^2)/4*(CF108*$W108*1000)/($G108*$B$5)),
IF($D108="Pénétro.",
IF($E108=4,(PI()*CJ$12^2)/4*(CF108*$W108*1000)/($H108*$B$5),(PI()*CJ$12^2)/4*(CF108*$W108*1000)/($G108*$B$5))))))/10</f>
        <v>#N/A</v>
      </c>
      <c r="CK108" s="102" t="e">
        <f>(VLOOKUP($B$3,'Coeff EC7'!$T$39:$X$59,2,0)*CI108+VLOOKUP($B$3,'Coeff EC7'!$T$65:$X$85,2,0)*Model0.1C!CJ108)/1.1</f>
        <v>#N/A</v>
      </c>
      <c r="CL108" s="102" t="e">
        <f>(VLOOKUP($B$3,'Coeff EC7'!$T$39:$X$59,3,0)*CI108+VLOOKUP($B$3,'Coeff EC7'!$T$65:$X$85,3,0)*Model0.1C!CJ108)/0.9</f>
        <v>#N/A</v>
      </c>
      <c r="CM108" s="102" t="e">
        <f t="shared" si="182"/>
        <v>#N/A</v>
      </c>
      <c r="CN108" s="102" t="e">
        <f t="shared" si="183"/>
        <v>#N/A</v>
      </c>
      <c r="CO108" s="414" t="e">
        <f>IF(CO107=0,0,IF(AND(CK108&gt;charge_ELS_quasi,CL108&gt;Charge_ELS_freq,CM108&gt;charge_ELU,CN108&gt;charge_ELA,$B108&gt;NDC!$H$22-0.1+MIN(3*$CO$12,1.5)),0,1))</f>
        <v>#N/A</v>
      </c>
      <c r="CP108" s="86" t="b">
        <f t="shared" si="151"/>
        <v>0</v>
      </c>
      <c r="CQ108" s="86">
        <f t="shared" si="152"/>
        <v>0.5</v>
      </c>
      <c r="CR108" s="86">
        <f t="shared" si="153"/>
        <v>0.5</v>
      </c>
      <c r="CS108" s="30" t="e">
        <f t="shared" ca="1" si="184"/>
        <v>#DIV/0!</v>
      </c>
      <c r="CT108" s="85" t="e">
        <f ca="1">IF(BZ108&lt;=Hypothèses!$V$7,Hypothèses!$W$7,IF(BZ108&lt;=Hypothèses!$V$8,Hypothèses!$W$8,IF(BZ108&lt;=Hypothèses!$V$9,Hypothèses!$W$9,IF(BZ108&lt;=Hypothèses!$V$10,Hypothèses!$W$10,IF(BZ108&lt;=Hypothèses!$V$11,Hypothèses!$W$11,IF(BZ108&lt;=Hypothèses!$V$12,Hypothèses!$W$12,IF(BZ108&lt;=Hypothèses!$V$13,Hypothèses!$W$13,IF(BZ108&lt;=Hypothèses!$V$14,Hypothèses!$W$14,IF(BZ108&lt;=Hypothèses!$V$15,Hypothèses!$W$15,IF(BZ108&lt;=Hypothèses!$V$16,Hypothèses!$W$16,IF(BZ108&lt;=Hypothèses!$V$17,Hypothèses!$W$17,IF(BZ108&lt;=Hypothèses!$V$18,Hypothèses!$W$18,""))))))))))))</f>
        <v>#DIV/0!</v>
      </c>
      <c r="CU108" s="87" t="e">
        <f t="shared" ca="1" si="220"/>
        <v>#DIV/0!</v>
      </c>
      <c r="CV108" s="88" t="e">
        <f ca="1">IF(BZ108&lt;=Hypothèses!$V$7,Hypothèses!$X$7,IF(BZ108&lt;=Hypothèses!$V$8,Hypothèses!$X$8,IF(BZ108&lt;=Hypothèses!$V$9,Hypothèses!$X$9,IF(BZ108&lt;=Hypothèses!$V$10,Hypothèses!$X$10,IF(BZ108&lt;=Hypothèses!$V$11,Hypothèses!$X$11,IF(BZ108&lt;=Hypothèses!$V$12,Hypothèses!$X$12,IF(BZ108&lt;=Hypothèses!$V$13,Hypothèses!$X$13,IF(BZ108&lt;=Hypothèses!$V$14,Hypothèses!$X$14,IF(BZ108&lt;=Hypothèses!$V$15,Hypothèses!$X$15,IF(BZ108&lt;=Hypothèses!$V$16,Hypothèses!$X$16,IF(BZ108&lt;=Hypothèses!$U$17,Hypothèses!$W$17,IF(BZ108&lt;=Hypothèses!$U$18,Hypothèses!$W$18,""))))))))))))</f>
        <v>#DIV/0!</v>
      </c>
      <c r="CW108" s="95" t="e">
        <f t="shared" ca="1" si="185"/>
        <v>#DIV/0!</v>
      </c>
      <c r="CX108" s="101" t="e">
        <f t="shared" si="227"/>
        <v>#N/A</v>
      </c>
      <c r="CY108" s="91" t="e">
        <f t="shared" si="154"/>
        <v>#N/A</v>
      </c>
      <c r="CZ108" s="30" t="e">
        <f t="shared" si="208"/>
        <v>#N/A</v>
      </c>
      <c r="DA108" s="30" t="e">
        <f t="shared" si="209"/>
        <v>#N/A</v>
      </c>
      <c r="DB108" s="31" t="e">
        <f>IF(OR(Hypothèses!$B$4=17,Hypothèses!$B$4=18,Hypothèses!$B$4=19,Hypothèses!$B$4=20),
IF($D108="Pressio.",
IF(OR($E108=3,$E108=1,$E108=4),DA108,CZ108),
IF($D108="Pénétro.",
IF(OR($E108=3,$E108=1,$E108=4),DA108,CZ108))),IF($D108="Pressio.",
IF($E108=3,DA108,CZ108),
IF($D108="Pénétro.",
IF($E108=4,DA108,CZ108))))</f>
        <v>#N/A</v>
      </c>
      <c r="DC108" s="31" t="e">
        <f>(IF(OR(Hypothèses!$B$4=17,Hypothèses!$B$4=18,Hypothèses!$B$4=19,Hypothèses!$B$4=20),
IF($D108="Pressio.",
IF(OR($E108=3,$E108=1,$E108=4),(PI()*DC$12^2)/4*(CY108*$W108*1000)/($H108*$B$5),(PI()*DC$12^2)/4*(CY108*$W108*1000)/($G108*$B$5)),
IF($D108="Pénétro.",
IF(OR($E108=4,$E108=1,$E108=5),(PI()*DC$12^2)/4*(CY108*$W108*1000)/($H108*$B$5),(PI()*DC$12^2)/4*(CY108*$W108*1000)/($G108*$B$5)))),
IF($D108="Pressio.",
IF($E108=3,(PI()*DC$12^2)/4*(CY108*$W108*1000)/($H108*$B$5),(PI()*DC$12^2)/4*(CY108*$W108*1000)/($G108*$B$5)),
IF($D108="Pénétro.",
IF($E108=4,(PI()*DC$12^2)/4*(CY108*$W108*1000)/($H108*$B$5),(PI()*DC$12^2)/4*(CY108*$W108*1000)/($G108*$B$5))))))/10</f>
        <v>#N/A</v>
      </c>
      <c r="DD108" s="102" t="e">
        <f>(VLOOKUP($B$3,'Coeff EC7'!$T$39:$X$59,2,0)*DB108+VLOOKUP($B$3,'Coeff EC7'!$T$65:$X$85,2,0)*Model0.1C!DC108)/1.1</f>
        <v>#N/A</v>
      </c>
      <c r="DE108" s="102" t="e">
        <f>(VLOOKUP($B$3,'Coeff EC7'!$T$39:$X$59,3,0)*DB108+VLOOKUP($B$3,'Coeff EC7'!$T$65:$X$85,3,0)*Model0.1C!DC108)/0.9</f>
        <v>#N/A</v>
      </c>
      <c r="DF108" s="102" t="e">
        <f t="shared" si="186"/>
        <v>#N/A</v>
      </c>
      <c r="DG108" s="102" t="e">
        <f t="shared" si="187"/>
        <v>#N/A</v>
      </c>
      <c r="DH108" s="414" t="e">
        <f>IF(DH107=0,0,IF(AND(DD108&gt;charge_ELS_quasi,DE108&gt;Charge_ELS_freq,DF108&gt;charge_ELU,DG108&gt;charge_ELA,$B108&gt;NDC!$H$22-0.1+MIN(3*$DH$12,1.5)),0,1))</f>
        <v>#N/A</v>
      </c>
      <c r="DI108" s="86" t="b">
        <f t="shared" si="155"/>
        <v>0</v>
      </c>
      <c r="DJ108" s="86">
        <f t="shared" si="156"/>
        <v>0.5</v>
      </c>
      <c r="DK108" s="86">
        <f t="shared" si="157"/>
        <v>0.5</v>
      </c>
      <c r="DL108" s="30" t="e">
        <f t="shared" ca="1" si="188"/>
        <v>#DIV/0!</v>
      </c>
      <c r="DM108" s="85" t="e">
        <f ca="1">IF(CS108&lt;=Hypothèses!$V$7,Hypothèses!$W$7,IF(CS108&lt;=Hypothèses!$V$8,Hypothèses!$W$8,IF(CS108&lt;=Hypothèses!$V$9,Hypothèses!$W$9,IF(CS108&lt;=Hypothèses!$V$10,Hypothèses!$W$10,IF(CS108&lt;=Hypothèses!$V$11,Hypothèses!$W$11,IF(CS108&lt;=Hypothèses!$V$12,Hypothèses!$W$12,IF(CS108&lt;=Hypothèses!$V$13,Hypothèses!$W$13,IF(CS108&lt;=Hypothèses!$V$14,Hypothèses!$W$14,IF(CS108&lt;=Hypothèses!$V$15,Hypothèses!$W$15,IF(CS108&lt;=Hypothèses!$V$16,Hypothèses!$W$16,IF(CS108&lt;=Hypothèses!$V$17,Hypothèses!$W$17,IF(CS108&lt;=Hypothèses!$V$18,Hypothèses!$W$18,""))))))))))))</f>
        <v>#DIV/0!</v>
      </c>
      <c r="DN108" s="87" t="e">
        <f t="shared" ca="1" si="221"/>
        <v>#DIV/0!</v>
      </c>
      <c r="DO108" s="88" t="e">
        <f ca="1">IF(CS108&lt;=Hypothèses!$V$7,Hypothèses!$X$7,IF(CS108&lt;=Hypothèses!$V$8,Hypothèses!$X$8,IF(CS108&lt;=Hypothèses!$V$9,Hypothèses!$X$9,IF(CS108&lt;=Hypothèses!$V$10,Hypothèses!$X$10,IF(CS108&lt;=Hypothèses!$V$11,Hypothèses!$X$11,IF(CS108&lt;=Hypothèses!$V$12,Hypothèses!$X$12,IF(CS108&lt;=Hypothèses!$V$13,Hypothèses!$X$13,IF(CS108&lt;=Hypothèses!$V$14,Hypothèses!$X$14,IF(CS108&lt;=Hypothèses!$V$15,Hypothèses!$X$15,IF(CS108&lt;=Hypothèses!$V$16,Hypothèses!$X$16,IF(CS108&lt;=Hypothèses!$U$17,Hypothèses!$W$17,IF(CS108&lt;=Hypothèses!$U$18,Hypothèses!$W$18,""))))))))))))</f>
        <v>#DIV/0!</v>
      </c>
      <c r="DP108" s="95" t="e">
        <f t="shared" ca="1" si="189"/>
        <v>#DIV/0!</v>
      </c>
      <c r="DQ108" s="101" t="e">
        <f t="shared" si="228"/>
        <v>#N/A</v>
      </c>
      <c r="DR108" s="91" t="e">
        <f t="shared" si="158"/>
        <v>#N/A</v>
      </c>
      <c r="DS108" s="30" t="e">
        <f t="shared" si="210"/>
        <v>#N/A</v>
      </c>
      <c r="DT108" s="30" t="e">
        <f t="shared" si="211"/>
        <v>#N/A</v>
      </c>
      <c r="DU108" s="31" t="e">
        <f>IF(OR(Hypothèses!$B$4=17,Hypothèses!$B$4=18,Hypothèses!$B$4=19,Hypothèses!$B$4=20),
IF($D108="Pressio.",
IF(OR($E108=3,$E108=1,$E108=4),DT108,DS108),
IF($D108="Pénétro.",
IF(OR($E108=3,$E108=1,$E108=4),DT108,DS108))),IF($D108="Pressio.",
IF($E108=3,DT108,DS108),
IF($D108="Pénétro.",
IF($E108=4,DT108,DS108))))</f>
        <v>#N/A</v>
      </c>
      <c r="DV108" s="31" t="e">
        <f>(IF(OR(Hypothèses!$B$4=17,Hypothèses!$B$4=18,Hypothèses!$B$4=19,Hypothèses!$B$4=20),
IF($D108="Pressio.",
IF(OR($E108=3,$E108=1,$E108=4),(PI()*DV$12^2)/4*(DR108*$W108*1000)/($H108*$B$5),(PI()*DV$12^2)/4*(DR108*$W108*1000)/($G108*$B$5)),
IF($D108="Pénétro.",
IF(OR($E108=4,$E108=1,$E108=5),(PI()*DV$12^2)/4*(DR108*$W108*1000)/($H108*$B$5),(PI()*DV$12^2)/4*(DR108*$W108*1000)/($G108*$B$5)))),
IF($D108="Pressio.",
IF($E108=3,(PI()*DV$12^2)/4*(DR108*$W108*1000)/($H108*$B$5),(PI()*DV$12^2)/4*(DR108*$W108*1000)/($G108*$B$5)),
IF($D108="Pénétro.",
IF($E108=4,(PI()*DV$12^2)/4*(DR108*$W108*1000)/($H108*$B$5),(PI()*DV$12^2)/4*(DR108*$W108*1000)/($G108*$B$5))))))/10</f>
        <v>#N/A</v>
      </c>
      <c r="DW108" s="102" t="e">
        <f>(VLOOKUP($B$3,'Coeff EC7'!$T$39:$X$59,2,0)*DU108+VLOOKUP($B$3,'Coeff EC7'!$T$65:$X$85,2,0)*Model0.1C!DV108)/1.1</f>
        <v>#N/A</v>
      </c>
      <c r="DX108" s="102" t="e">
        <f>(VLOOKUP($B$3,'Coeff EC7'!$T$39:$X$59,3,0)*DU108+VLOOKUP($B$3,'Coeff EC7'!$T$65:$X$85,3,0)*Model0.1C!DV108)/0.9</f>
        <v>#N/A</v>
      </c>
      <c r="DY108" s="102" t="e">
        <f t="shared" si="190"/>
        <v>#N/A</v>
      </c>
      <c r="DZ108" s="102" t="e">
        <f t="shared" si="191"/>
        <v>#N/A</v>
      </c>
      <c r="EA108" s="414" t="e">
        <f>IF(EA107=0,0,IF(AND(DW108&gt;charge_ELS_quasi,DX108&gt;Charge_ELS_freq,DY108&gt;charge_ELU,DZ108&gt;charge_ELA,$B108&gt;NDC!$H$22-0.1+MIN(3*$EA$12,1.5)),0,1))</f>
        <v>#N/A</v>
      </c>
      <c r="EB108" s="86" t="b">
        <f t="shared" si="159"/>
        <v>0</v>
      </c>
      <c r="EC108" s="418">
        <f t="shared" si="160"/>
        <v>0.51</v>
      </c>
      <c r="ED108" s="86">
        <f t="shared" si="161"/>
        <v>0.51</v>
      </c>
      <c r="EE108" s="30" t="e">
        <f t="shared" ca="1" si="192"/>
        <v>#DIV/0!</v>
      </c>
      <c r="EF108" s="85" t="e">
        <f ca="1">IF(DL108&lt;=Hypothèses!$V$7,Hypothèses!$W$7,IF(DL108&lt;=Hypothèses!$V$8,Hypothèses!$W$8,IF(DL108&lt;=Hypothèses!$V$9,Hypothèses!$W$9,IF(DL108&lt;=Hypothèses!$V$10,Hypothèses!$W$10,IF(DL108&lt;=Hypothèses!$V$11,Hypothèses!$W$11,IF(DL108&lt;=Hypothèses!$V$12,Hypothèses!$W$12,IF(DL108&lt;=Hypothèses!$V$13,Hypothèses!$W$13,IF(DL108&lt;=Hypothèses!$V$14,Hypothèses!$W$14,IF(DL108&lt;=Hypothèses!$V$15,Hypothèses!$W$15,IF(DL108&lt;=Hypothèses!$V$16,Hypothèses!$W$16,IF(DL108&lt;=Hypothèses!$V$17,Hypothèses!$W$17,IF(DL108&lt;=Hypothèses!$V$18,Hypothèses!$W$18,""))))))))))))</f>
        <v>#DIV/0!</v>
      </c>
      <c r="EG108" s="87" t="e">
        <f t="shared" ca="1" si="222"/>
        <v>#DIV/0!</v>
      </c>
      <c r="EH108" s="88" t="e">
        <f ca="1">IF(DL108&lt;=Hypothèses!$V$7,Hypothèses!$X$7,IF(DL108&lt;=Hypothèses!$V$8,Hypothèses!$X$8,IF(DL108&lt;=Hypothèses!$V$9,Hypothèses!$X$9,IF(DL108&lt;=Hypothèses!$V$10,Hypothèses!$X$10,IF(DL108&lt;=Hypothèses!$V$11,Hypothèses!$X$11,IF(DL108&lt;=Hypothèses!$V$12,Hypothèses!$X$12,IF(DL108&lt;=Hypothèses!$V$13,Hypothèses!$X$13,IF(DL108&lt;=Hypothèses!$V$14,Hypothèses!$X$14,IF(DL108&lt;=Hypothèses!$V$15,Hypothèses!$X$15,IF(DL108&lt;=Hypothèses!$V$16,Hypothèses!$X$16,IF(DL108&lt;=Hypothèses!$U$17,Hypothèses!$W$17,IF(DL108&lt;=Hypothèses!$U$18,Hypothèses!$W$18,""))))))))))))</f>
        <v>#DIV/0!</v>
      </c>
      <c r="EI108" s="95" t="e">
        <f t="shared" ca="1" si="193"/>
        <v>#DIV/0!</v>
      </c>
      <c r="EJ108" s="101" t="e">
        <f t="shared" si="229"/>
        <v>#N/A</v>
      </c>
      <c r="EK108" s="91" t="e">
        <f t="shared" si="162"/>
        <v>#N/A</v>
      </c>
      <c r="EL108" s="30" t="e">
        <f t="shared" si="212"/>
        <v>#N/A</v>
      </c>
      <c r="EM108" s="30" t="e">
        <f t="shared" si="213"/>
        <v>#N/A</v>
      </c>
      <c r="EN108" s="31" t="e">
        <f>IF(OR(Hypothèses!$B$4=17,Hypothèses!$B$4=18,Hypothèses!$B$4=19,Hypothèses!$B$4=20),
IF($D108="Pressio.",
IF(OR($E108=3,$E108=1,$E108=4),EM108,EL108),
IF($D108="Pénétro.",
IF(OR($E108=3,$E108=1,$E108=4),EM108,EL108))),IF($D108="Pressio.",
IF($E108=3,EM108,EL108),
IF($D108="Pénétro.",
IF($E108=4,EM108,EL108))))</f>
        <v>#N/A</v>
      </c>
      <c r="EO108" s="31" t="e">
        <f>(IF(OR(Hypothèses!$B$4=17,Hypothèses!$B$4=18,Hypothèses!$B$4=19,Hypothèses!$B$4=20),
IF($D108="Pressio.",
IF(OR($E108=3,$E108=1,$E108=4),(PI()*EO$12^2)/4*(EK108*$W108*1000)/($H108*$B$5),(PI()*EO$12^2)/4*(EK108*$W108*1000)/($G108*$B$5)),
IF($D108="Pénétro.",
IF(OR($E108=4,$E108=1,$E108=5),(PI()*EO$12^2)/4*(EK108*$W108*1000)/($H108*$B$5),(PI()*EO$12^2)/4*(EK108*$W108*1000)/($G108*$B$5)))),
IF($D108="Pressio.",
IF($E108=3,(PI()*EO$12^2)/4*(EK108*$W108*1000)/($H108*$B$5),(PI()*EO$12^2)/4*(EK108*$W108*1000)/($G108*$B$5)),
IF($D108="Pénétro.",
IF($E108=4,(PI()*EO$12^2)/4*(EK108*$W108*1000)/($H108*$B$5),(PI()*EO$12^2)/4*(EK108*$W108*1000)/($G108*$B$5))))))/10</f>
        <v>#N/A</v>
      </c>
      <c r="EP108" s="102" t="e">
        <f>(VLOOKUP($B$3,'Coeff EC7'!$T$39:$X$59,2,0)*EN108+VLOOKUP($B$3,'Coeff EC7'!$T$65:$X$85,2,0)*Model0.1C!EO108)/1.1</f>
        <v>#N/A</v>
      </c>
      <c r="EQ108" s="102" t="e">
        <f>(VLOOKUP($B$3,'Coeff EC7'!$T$39:$X$59,3,0)*EN108+VLOOKUP($B$3,'Coeff EC7'!$T$65:$X$85,3,0)*Model0.1C!EO108)/0.9</f>
        <v>#N/A</v>
      </c>
      <c r="ER108" s="102" t="e">
        <f t="shared" si="194"/>
        <v>#N/A</v>
      </c>
      <c r="ES108" s="102" t="e">
        <f t="shared" si="195"/>
        <v>#N/A</v>
      </c>
      <c r="ET108" s="414" t="e">
        <f>IF(ET107=0,0,IF(AND(EP108&gt;charge_ELS_quasi,EQ108&gt;Charge_ELS_freq,ER108&gt;charge_ELU,ES108&gt;charge_ELA,$B108&gt;NDC!$H$22-0.1+MIN(3*$ET$12,1.5)),0,1))</f>
        <v>#N/A</v>
      </c>
      <c r="EU108" s="86" t="b">
        <f t="shared" si="163"/>
        <v>0</v>
      </c>
      <c r="EV108" s="86">
        <f t="shared" si="164"/>
        <v>0.61</v>
      </c>
      <c r="EW108" s="86">
        <f t="shared" si="165"/>
        <v>0.61</v>
      </c>
      <c r="EX108" s="30" t="e">
        <f t="shared" ca="1" si="196"/>
        <v>#DIV/0!</v>
      </c>
      <c r="EY108" s="85" t="e">
        <f ca="1">IF(EE108&lt;=Hypothèses!$V$7,Hypothèses!$W$7,IF(EE108&lt;=Hypothèses!$V$8,Hypothèses!$W$8,IF(EE108&lt;=Hypothèses!$V$9,Hypothèses!$W$9,IF(EE108&lt;=Hypothèses!$V$10,Hypothèses!$W$10,IF(EE108&lt;=Hypothèses!$V$11,Hypothèses!$W$11,IF(EE108&lt;=Hypothèses!$V$12,Hypothèses!$W$12,IF(EE108&lt;=Hypothèses!$V$13,Hypothèses!$W$13,IF(EE108&lt;=Hypothèses!$V$14,Hypothèses!$W$14,IF(EE108&lt;=Hypothèses!$V$15,Hypothèses!$W$15,IF(EE108&lt;=Hypothèses!$V$16,Hypothèses!$W$16,IF(EE108&lt;=Hypothèses!$V$17,Hypothèses!$W$17,IF(EE108&lt;=Hypothèses!$V$18,Hypothèses!$W$18,""))))))))))))</f>
        <v>#DIV/0!</v>
      </c>
      <c r="EZ108" s="87" t="e">
        <f t="shared" ca="1" si="223"/>
        <v>#DIV/0!</v>
      </c>
      <c r="FA108" s="88" t="e">
        <f ca="1">IF(EE108&lt;=Hypothèses!$V$7,Hypothèses!$X$7,IF(EE108&lt;=Hypothèses!$V$8,Hypothèses!$X$8,IF(EE108&lt;=Hypothèses!$V$9,Hypothèses!$X$9,IF(EE108&lt;=Hypothèses!$V$10,Hypothèses!$X$10,IF(EE108&lt;=Hypothèses!$V$11,Hypothèses!$X$11,IF(EE108&lt;=Hypothèses!$V$12,Hypothèses!$X$12,IF(EE108&lt;=Hypothèses!$V$13,Hypothèses!$X$13,IF(EE108&lt;=Hypothèses!$V$14,Hypothèses!$X$14,IF(EE108&lt;=Hypothèses!$V$15,Hypothèses!$X$15,IF(EE108&lt;=Hypothèses!$V$16,Hypothèses!$X$16,IF(EE108&lt;=Hypothèses!$U$17,Hypothèses!$W$17,IF(EE108&lt;=Hypothèses!$U$18,Hypothèses!$W$18,""))))))))))))</f>
        <v>#DIV/0!</v>
      </c>
      <c r="FB108" s="95" t="e">
        <f t="shared" ca="1" si="197"/>
        <v>#DIV/0!</v>
      </c>
      <c r="FC108" s="101" t="e">
        <f t="shared" si="230"/>
        <v>#N/A</v>
      </c>
      <c r="FD108" s="91" t="e">
        <f t="shared" si="166"/>
        <v>#N/A</v>
      </c>
      <c r="FE108" s="30" t="e">
        <f t="shared" si="214"/>
        <v>#N/A</v>
      </c>
      <c r="FF108" s="30" t="e">
        <f t="shared" si="215"/>
        <v>#N/A</v>
      </c>
      <c r="FG108" s="31" t="e">
        <f>IF(OR(Hypothèses!$B$4=17,Hypothèses!$B$4=18,Hypothèses!$B$4=19,Hypothèses!$B$4=20),
IF($D108="Pressio.",
IF(OR($E108=3,$E108=1,$E108=4),FF108,FE108),
IF($D108="Pénétro.",
IF(OR($E108=3,$E108=1,$E108=4),FF108,FE108))),IF($D108="Pressio.",
IF($E108=3,FF108,FE108),
IF($D108="Pénétro.",
IF($E108=4,FF108,FE108))))</f>
        <v>#N/A</v>
      </c>
      <c r="FH108" s="31" t="e">
        <f>(IF(OR(Hypothèses!$B$4=17,Hypothèses!$B$4=18,Hypothèses!$B$4=19,Hypothèses!$B$4=20),
IF($D108="Pressio.",
IF(OR($E108=3,$E108=1,$E108=4),(PI()*FH$12^2)/4*(FD108*$W108*1000)/($H108*$B$5),(PI()*FH$12^2)/4*(FD108*$W108*1000)/($G108*$B$5)),
IF($D108="Pénétro.",
IF(OR($E108=4,$E108=1,$E108=5),(PI()*FH$12^2)/4*(FD108*$W108*1000)/($H108*$B$5),(PI()*FH$12^2)/4*(FD108*$W108*1000)/($G108*$B$5)))),
IF($D108="Pressio.",
IF($E108=3,(PI()*FH$12^2)/4*(FD108*$W108*1000)/($H108*$B$5),(PI()*FH$12^2)/4*(FD108*$W108*1000)/($G108*$B$5)),
IF($D108="Pénétro.",
IF($E108=4,(PI()*FH$12^2)/4*(FD108*$W108*1000)/($H108*$B$5),(PI()*FH$12^2)/4*(FD108*$W108*1000)/($G108*$B$5))))))/10</f>
        <v>#N/A</v>
      </c>
      <c r="FI108" s="102" t="e">
        <f>(VLOOKUP($B$3,'Coeff EC7'!$T$39:$X$59,2,0)*FG108+VLOOKUP($B$3,'Coeff EC7'!$T$65:$X$85,2,0)*Model0.1C!FH108)/1.1</f>
        <v>#N/A</v>
      </c>
      <c r="FJ108" s="102" t="e">
        <f>(VLOOKUP($B$3,'Coeff EC7'!$T$39:$X$59,3,0)*FG108+VLOOKUP($B$3,'Coeff EC7'!$T$65:$X$85,3,0)*Model0.1C!FH108)/0.9</f>
        <v>#N/A</v>
      </c>
      <c r="FK108" s="102" t="e">
        <f t="shared" si="198"/>
        <v>#N/A</v>
      </c>
      <c r="FL108" s="102" t="e">
        <f t="shared" si="199"/>
        <v>#N/A</v>
      </c>
      <c r="FM108" s="414" t="e">
        <f>IF(FM107=0,0,IF(AND(FI108&gt;charge_ELS_quasi,FJ108&gt;Charge_ELS_freq,FK108&gt;charge_ELU,FL108&gt;charge_ELA,$B108&gt;NDC!$H$22-0.1+MIN(3*$FM$12,1.5)),0,1))</f>
        <v>#N/A</v>
      </c>
    </row>
    <row r="109" spans="1:169">
      <c r="A109" s="96">
        <f t="shared" si="167"/>
        <v>90.400000000000546</v>
      </c>
      <c r="B109" s="97">
        <v>9.6</v>
      </c>
      <c r="C109" s="81">
        <f>IF(B109&lt;=Hypothèses!$C$7,Hypothèses!$A$7,IF(B109&lt;=Hypothèses!$C$8,Hypothèses!$A$8,IF(B109&lt;=Hypothèses!$C$9,Hypothèses!$A$9,IF(B109&lt;=Hypothèses!$C$10,Hypothèses!$A$10,IF(B109&lt;=Hypothèses!$C$11,Hypothèses!$A$11,IF(B109&lt;=Hypothèses!$C$12,Hypothèses!$A$12,IF(B109&lt;=Hypothèses!$C$13,Hypothèses!$A$13,IF(B109&lt;=Hypothèses!$C$14,Hypothèses!$A$14,IF(B109&lt;=Hypothèses!$C$15,Hypothèses!$A$15,IF(B109&lt;=Hypothèses!$C$16,Hypothèses!$A$16,IF(B109&lt;=Hypothèses!$C$17,Hypothèses!$A$17,IF(B109&lt;=Hypothèses!$C$18,Hypothèses!$A$18,C108))))))))))))</f>
        <v>11</v>
      </c>
      <c r="D109" s="82" t="str">
        <f>IF(B109&lt;=Hypothèses!$C$7,Hypothèses!$R$7,IF(B109&lt;=Hypothèses!$C$8,Hypothèses!$R$8,IF(B109&lt;=Hypothèses!$C$9,Hypothèses!$R$9,IF(B109&lt;=Hypothèses!$C$10,Hypothèses!$R$10,IF(B109&lt;=Hypothèses!$C$11,Hypothèses!$R$11,IF(B109&lt;=Hypothèses!$C$12,Hypothèses!$R$12,IF(B109&lt;=Hypothèses!$C$13,Hypothèses!$R$13,IF(B109&lt;=Hypothèses!$C$14,Hypothèses!$R$14,IF(B109&lt;=Hypothèses!$C$15,Hypothèses!$R$15,IF(B109&lt;=Hypothèses!$C$16,Hypothèses!$R$16,IF(B109&lt;=Hypothèses!$C$17,Hypothèses!$R$17,IF(B109&lt;=Hypothèses!$C$18,Hypothèses!$R$18,D108))))))))))))</f>
        <v>Pressio.</v>
      </c>
      <c r="E109" s="82" t="e">
        <f>IF(B109&lt;=Hypothèses!$C$7,Hypothèses!$G$7,IF(B109&lt;=Hypothèses!$C$8,Hypothèses!$G$8,IF(B109&lt;=Hypothèses!$C$9,Hypothèses!$G$9,IF(B109&lt;=Hypothèses!$C$10,Hypothèses!$G$10,IF(B109&lt;=Hypothèses!$C$11,Hypothèses!$G$11,IF(B109&lt;=Hypothèses!$C$12,Hypothèses!$G$12,IF(B109&lt;=Hypothèses!$C$13,Hypothèses!$G$13,IF(B109&lt;=Hypothèses!$C$14,Hypothèses!$G$14,IF(B109&lt;=Hypothèses!$C$15,Hypothèses!$G$15,IF(B109&lt;=Hypothèses!$C$16,Hypothèses!$G$16,IF(B109&lt;=Hypothèses!$C$17,Hypothèses!$G$17,IF(B109&lt;=Hypothèses!$C$18,Hypothèses!$G$18,E108))))))))))))</f>
        <v>#N/A</v>
      </c>
      <c r="F109" s="82" t="str">
        <f>IF(B109&lt;=Hypothèses!$C$7,Hypothèses!$F$7,IF(B109&lt;=Hypothèses!$C$8,Hypothèses!$F$8,IF(B109&lt;=Hypothèses!$C$9,Hypothèses!$F$9,IF(B109&lt;=Hypothèses!$C$10,Hypothèses!$F$10,IF(B109&lt;=Hypothèses!$C$11,Hypothèses!$F$11,IF(B109&lt;=Hypothèses!$C$12,Hypothèses!$F$12,IF(B109&lt;=Hypothèses!$C$13,Hypothèses!$F$13,IF(B109&lt;=Hypothèses!$C$14,Hypothèses!$F$14,IF(B109&lt;=Hypothèses!$C$15,Hypothèses!$F$15,IF(B109&lt;=Hypothèses!$C$16,Hypothèses!$F$16,IF(B109&lt;=Hypothèses!$C$17,Hypothèses!$F$17,IF(B109&lt;=Hypothèses!$C$18,Hypothèses!$F$18,F108))))))))))))</f>
        <v/>
      </c>
      <c r="G109" s="91">
        <f t="array" ref="G109">INDEX('Coeff EC7'!$U$7:$X$27,
MATCH(Model0.1C!$B$3,'Coeff EC7'!$T$7:$T$27,0),
MATCH(Model0.1C!$D109&amp;Model0.1C!$B$4,
'Coeff EC7'!$U$6:$X$6&amp;
'Coeff EC7'!$U$5:$X$5,0))</f>
        <v>1.1499999999999999</v>
      </c>
      <c r="H109" s="91">
        <f t="array" ref="H109">INDEX('Coeff EC7'!$Y$7:$AB$27,
MATCH(Model0.1C!$B$3,'Coeff EC7'!$T$7:$T$27,0),
MATCH(Model0.1C!$D109&amp;Model0.1C!$B$4,
'Coeff EC7'!$Y$6:$AB$6&amp;
'Coeff EC7'!$Y$5:$AB$5,0))</f>
        <v>1.4</v>
      </c>
      <c r="I109" s="83" t="e">
        <f>IF(B109&lt;=Hypothèses!$C$7,Hypothèses!$P$7,IF(B109&lt;=Hypothèses!$C$8,Hypothèses!$P$8,IF(B109&lt;=Hypothèses!$C$9,Hypothèses!$P$9,IF(B109&lt;=Hypothèses!$C$10,Hypothèses!$P$10,IF(B109&lt;=Hypothèses!$C$11,Hypothèses!$P$11,IF(B109&lt;=Hypothèses!$C$12,Hypothèses!$P$12,IF(B109&lt;=Hypothèses!$C$13,Hypothèses!$P$13,IF(B109&lt;=Hypothèses!$C$14,Hypothèses!$P$14,IF(B109&lt;=Hypothèses!$C$15,Hypothèses!$P$15,IF(B109&lt;=Hypothèses!$C$16,Hypothèses!$P$16,IF(B109&lt;=Hypothèses!$C$17,Hypothèses!$P$17,IF(B109&lt;=Hypothèses!$C$18,Hypothèses!$P$18,I108))))))))))))</f>
        <v>#N/A</v>
      </c>
      <c r="J109" s="91" t="e">
        <f t="array" ref="J109">INDEX('Coeff EC7'!$D$33:$Q$33,1,MATCH(D109&amp;E109,'Coeff EC7'!$D$31:$Q$31&amp;'Coeff EC7'!$D$32:$Q$32,0))</f>
        <v>#N/A</v>
      </c>
      <c r="K109" s="91" t="e">
        <f t="array" ref="K109">INDEX('Coeff EC7'!$D$34:$Q$34,1,MATCH(D109&amp;E109,'Coeff EC7'!$D$31:$Q$31&amp;'Coeff EC7'!$D$32:$Q$32,0))</f>
        <v>#N/A</v>
      </c>
      <c r="L109" s="91" t="e">
        <f t="array" ref="L109">INDEX('Coeff EC7'!$D$35:$Q$35,1,MATCH(D109&amp;E109,'Coeff EC7'!$D$31:$Q$31&amp;'Coeff EC7'!$D$32:$Q$32,0))</f>
        <v>#N/A</v>
      </c>
      <c r="M109" s="98" t="e">
        <f t="shared" si="131"/>
        <v>#N/A</v>
      </c>
      <c r="N109" s="99" t="e">
        <f t="array" ref="N109">INDEX('Coeff EC7'!$D$7:$Q$27,MATCH($B$3,'Coeff EC7'!$C$7:$C$27,0),MATCH(D109&amp;E109,'Coeff EC7'!$D$5:$Q$5&amp;'Coeff EC7'!$D$6:$Q$6,0))</f>
        <v>#N/A</v>
      </c>
      <c r="O109" s="99" t="e">
        <f t="array" ref="O109">INDEX('Coeff EC7'!$D$41:$Q$61,MATCH($B$3,'Coeff EC7'!$C$41:$C$61,0),MATCH(D109&amp;E109,'Coeff EC7'!$D$39:$Q$39&amp;'Coeff EC7'!$D$40:$Q$40,0))</f>
        <v>#N/A</v>
      </c>
      <c r="P109" s="30" t="e">
        <f t="shared" si="168"/>
        <v>#N/A</v>
      </c>
      <c r="Q109" s="100" t="e">
        <f t="shared" si="133"/>
        <v>#N/A</v>
      </c>
      <c r="R109" s="86" t="b">
        <f t="shared" si="134"/>
        <v>0</v>
      </c>
      <c r="S109" s="86">
        <f t="shared" si="132"/>
        <v>0.5</v>
      </c>
      <c r="T109" s="86">
        <f t="shared" si="135"/>
        <v>0.5</v>
      </c>
      <c r="U109" s="30" t="e">
        <f t="shared" ca="1" si="169"/>
        <v>#DIV/0!</v>
      </c>
      <c r="V109" s="85" t="str">
        <f>IF(B109&lt;=Hypothèses!$V$7,Hypothèses!$W$7,IF(B109&lt;=Hypothèses!$V$8,Hypothèses!$W$8,IF(B109&lt;=Hypothèses!$V$9,Hypothèses!$W$9,IF(B109&lt;=Hypothèses!$V$10,Hypothèses!$W$10,IF(B109&lt;=Hypothèses!$V$11,Hypothèses!$W$11,IF(B109&lt;=Hypothèses!$V$12,Hypothèses!$W$12,IF(B109&lt;=Hypothèses!$V$13,Hypothèses!$W$13,IF(B109&lt;=Hypothèses!$V$14,Hypothèses!$W$14,IF(B109&lt;=Hypothèses!$V$15,Hypothèses!$W$15,IF(B109&lt;=Hypothèses!$V$16,Hypothèses!$W$16,IF(B109&lt;=Hypothèses!$V$17,Hypothèses!$W$17,IF(B109&lt;=Hypothèses!$V$18,Hypothèses!$W$18,""))))))))))))</f>
        <v/>
      </c>
      <c r="W109" s="87" t="e">
        <f t="shared" ca="1" si="216"/>
        <v>#DIV/0!</v>
      </c>
      <c r="X109" s="88" t="str">
        <f>IF(B109&lt;=Hypothèses!$V$7,Hypothèses!$X$7,IF(B109&lt;=Hypothèses!$V$8,Hypothèses!$X$8,IF(B109&lt;=Hypothèses!$V$9,Hypothèses!$X$9,IF(B109&lt;=Hypothèses!$V$10,Hypothèses!$X$10,IF(B109&lt;=Hypothèses!$V$11,Hypothèses!$X$11,IF(B109&lt;=Hypothèses!$V$12,Hypothèses!$X$12,IF(B109&lt;=Hypothèses!$V$13,Hypothèses!$X$13,IF(B109&lt;=Hypothèses!$V$14,Hypothèses!$X$14,IF(B109&lt;=Hypothèses!$V$15,Hypothèses!$X$15,IF(B109&lt;=Hypothèses!$V$16,Hypothèses!$X$16,IF(B109&lt;=Hypothèses!$U$17,Hypothèses!$W$17,IF(B109&lt;=Hypothèses!$U$18,Hypothèses!$W$18,""))))))))))))</f>
        <v/>
      </c>
      <c r="Y109" s="95" t="e">
        <f t="shared" ca="1" si="136"/>
        <v>#DIV/0!</v>
      </c>
      <c r="Z109" s="101" t="e">
        <f t="shared" si="137"/>
        <v>#N/A</v>
      </c>
      <c r="AA109" s="91" t="e">
        <f t="shared" si="138"/>
        <v>#N/A</v>
      </c>
      <c r="AB109" s="30" t="e">
        <f t="shared" si="200"/>
        <v>#N/A</v>
      </c>
      <c r="AC109" s="30" t="e">
        <f t="shared" si="201"/>
        <v>#N/A</v>
      </c>
      <c r="AD109" s="31" t="e">
        <f>IF(OR(Hypothèses!$B$4=17,Hypothèses!$B$4=18,Hypothèses!$B$4=19,Hypothèses!$B$4=20),
IF($D109="Pressio.",
IF(OR($E109=3,$E109=1,$E109=4),AC109,AB109),
IF($D109="Pénétro.",
IF(OR($E109=3,$E109=1,$E109=4),AC109,AB109))),IF($D109="Pressio.",
IF($E109=3,AC109,AB109),
IF($D109="Pénétro.",
IF($E109=4,AC109,AB109))))</f>
        <v>#N/A</v>
      </c>
      <c r="AE109" s="31" t="e">
        <f>(IF(OR(Hypothèses!$B$4=17,Hypothèses!$B$4=18,Hypothèses!$B$4=19,Hypothèses!$B$4=20),
IF($D109="Pressio.",
IF(OR($E109=3,$E109=1,$E109=4),(PI()*AE$12^2)/4*(AA109*$W109*1000)/($H109*$B$5),(PI()*AE$12^2)/4*(AA109*$W109*1000)/($G109*$B$5)),
IF($D109="Pénétro.",
IF(OR($E109=4,$E109=1,$E109=5),(PI()*AE$12^2)/4*(AA109*$W109*1000)/($H109*$B$5),(PI()*AE$12^2)/4*(AA109*$W109*1000)/($G109*$B$5)))),
IF($D109="Pressio.",
IF($E109=3,(PI()*AE$12^2)/4*(AA109*$W109*1000)/($H109*$B$5),(PI()*AE$12^2)/4*(AA109*$W109*1000)/($G109*$B$5)),
IF($D109="Pénétro.",
IF($E109=4,(PI()*AE$12^2)/4*(AA109*$W109*1000)/($H109*$B$5),(PI()*AE$12^2)/4*(AA109*$W109*1000)/($G109*$B$5))))))/10</f>
        <v>#N/A</v>
      </c>
      <c r="AF109" s="102" t="e">
        <f>(VLOOKUP($B$3,'Coeff EC7'!$T$39:$X$59,2,0)*AD109+VLOOKUP($B$3,'Coeff EC7'!$T$65:$X$85,2,0)*Model0.1C!AE109)/1.1</f>
        <v>#N/A</v>
      </c>
      <c r="AG109" s="102" t="e">
        <f>(VLOOKUP($B$3,'Coeff EC7'!$T$39:$X$59,3,0)*AD109+VLOOKUP($B$3,'Coeff EC7'!$T$65:$X$85,3,0)*Model0.1C!AE109)/0.9</f>
        <v>#N/A</v>
      </c>
      <c r="AH109" s="102" t="e">
        <f t="shared" si="139"/>
        <v>#N/A</v>
      </c>
      <c r="AI109" s="102" t="e">
        <f t="shared" si="140"/>
        <v>#N/A</v>
      </c>
      <c r="AJ109" s="414" t="e">
        <f>IF(AJ108=0,0,IF(AND(AF109&gt;charge_ELS_quasi,AG109&gt;Charge_ELS_freq,AH109&gt;charge_ELU,AI109&gt;charge_ELA,$B109&gt;NDC!$H$22-0.1+MIN(3*$AJ$12,1.5)),0,1))</f>
        <v>#N/A</v>
      </c>
      <c r="AK109" s="86" t="b">
        <f t="shared" si="141"/>
        <v>0</v>
      </c>
      <c r="AL109" s="86">
        <f t="shared" si="170"/>
        <v>0.5</v>
      </c>
      <c r="AM109" s="86">
        <f t="shared" si="142"/>
        <v>0.5</v>
      </c>
      <c r="AN109" s="30" t="e">
        <f t="shared" ca="1" si="171"/>
        <v>#DIV/0!</v>
      </c>
      <c r="AO109" s="85" t="e">
        <f ca="1">IF(U109&lt;=Hypothèses!$V$7,Hypothèses!$W$7,IF(U109&lt;=Hypothèses!$V$8,Hypothèses!$W$8,IF(U109&lt;=Hypothèses!$V$9,Hypothèses!$W$9,IF(U109&lt;=Hypothèses!$V$10,Hypothèses!$W$10,IF(U109&lt;=Hypothèses!$V$11,Hypothèses!$W$11,IF(U109&lt;=Hypothèses!$V$12,Hypothèses!$W$12,IF(U109&lt;=Hypothèses!$V$13,Hypothèses!$W$13,IF(U109&lt;=Hypothèses!$V$14,Hypothèses!$W$14,IF(U109&lt;=Hypothèses!$V$15,Hypothèses!$W$15,IF(U109&lt;=Hypothèses!$V$16,Hypothèses!$W$16,IF(U109&lt;=Hypothèses!$V$17,Hypothèses!$W$17,IF(U109&lt;=Hypothèses!$V$18,Hypothèses!$W$18,""))))))))))))</f>
        <v>#DIV/0!</v>
      </c>
      <c r="AP109" s="87" t="e">
        <f t="shared" ca="1" si="217"/>
        <v>#DIV/0!</v>
      </c>
      <c r="AQ109" s="88" t="e">
        <f ca="1">IF(U109&lt;=Hypothèses!$V$7,Hypothèses!$X$7,IF(U109&lt;=Hypothèses!$V$8,Hypothèses!$X$8,IF(U109&lt;=Hypothèses!$V$9,Hypothèses!$X$9,IF(U109&lt;=Hypothèses!$V$10,Hypothèses!$X$10,IF(U109&lt;=Hypothèses!$V$11,Hypothèses!$X$11,IF(U109&lt;=Hypothèses!$V$12,Hypothèses!$X$12,IF(U109&lt;=Hypothèses!$V$13,Hypothèses!$X$13,IF(U109&lt;=Hypothèses!$V$14,Hypothèses!$X$14,IF(U109&lt;=Hypothèses!$V$15,Hypothèses!$X$15,IF(U109&lt;=Hypothèses!$V$16,Hypothèses!$X$16,IF(U109&lt;=Hypothèses!$U$17,Hypothèses!$W$17,IF(U109&lt;=Hypothèses!$U$18,Hypothèses!$W$18,""))))))))))))</f>
        <v>#DIV/0!</v>
      </c>
      <c r="AR109" s="95" t="e">
        <f t="shared" ca="1" si="172"/>
        <v>#DIV/0!</v>
      </c>
      <c r="AS109" s="101" t="e">
        <f t="shared" si="224"/>
        <v>#N/A</v>
      </c>
      <c r="AT109" s="91" t="e">
        <f t="shared" si="143"/>
        <v>#N/A</v>
      </c>
      <c r="AU109" s="30" t="e">
        <f t="shared" si="202"/>
        <v>#N/A</v>
      </c>
      <c r="AV109" s="30" t="e">
        <f t="shared" si="203"/>
        <v>#N/A</v>
      </c>
      <c r="AW109" s="31" t="e">
        <f>IF(OR(Hypothèses!$B$4=17,Hypothèses!$B$4=18,Hypothèses!$B$4=19,Hypothèses!$B$4=20),
IF($D109="Pressio.",
IF(OR($E109=3,$E109=1,$E109=4),AV109,AU109),
IF($D109="Pénétro.",
IF(OR($E109=3,$E109=1,$E109=4),AV109,AU109))),IF($D109="Pressio.",
IF($E109=3,AV109,AU109),
IF($D109="Pénétro.",
IF($E109=4,AV109,AU109))))</f>
        <v>#N/A</v>
      </c>
      <c r="AX109" s="31" t="e">
        <f>(IF(OR(Hypothèses!$B$4=17,Hypothèses!$B$4=18,Hypothèses!$B$4=19,Hypothèses!$B$4=20),
IF($D109="Pressio.",
IF(OR($E109=3,$E109=1,$E109=4),(PI()*AX$12^2)/4*(AT109*$W109*1000)/($H109*$B$5),(PI()*AX$12^2)/4*(AT109*$W109*1000)/($G109*$B$5)),
IF($D109="Pénétro.",
IF(OR($E109=4,$E109=1,$E109=5),(PI()*AX$12^2)/4*(AT109*$W109*1000)/($H109*$B$5),(PI()*AX$12^2)/4*(AT109*$W109*1000)/($G109*$B$5)))),
IF($D109="Pressio.",
IF($E109=3,(PI()*AX$12^2)/4*(AT109*$W109*1000)/($H109*$B$5),(PI()*AX$12^2)/4*(AT109*$W109*1000)/($G109*$B$5)),
IF($D109="Pénétro.",
IF($E109=4,(PI()*AX$12^2)/4*(AT109*$W109*1000)/($H109*$B$5),(PI()*AX$12^2)/4*(AT109*$W109*1000)/($G109*$B$5))))))/10</f>
        <v>#N/A</v>
      </c>
      <c r="AY109" s="102" t="e">
        <f>(VLOOKUP($B$3,'Coeff EC7'!$T$39:$X$59,2,0)*AW109+VLOOKUP($B$3,'Coeff EC7'!$T$65:$X$85,2,0)*Model0.1C!AX109)/1.1</f>
        <v>#N/A</v>
      </c>
      <c r="AZ109" s="102" t="e">
        <f>(VLOOKUP($B$3,'Coeff EC7'!$T$39:$X$59,3,0)*AW109+VLOOKUP($B$3,'Coeff EC7'!$T$65:$X$85,3,0)*Model0.1C!AX109)/0.9</f>
        <v>#N/A</v>
      </c>
      <c r="BA109" s="102" t="e">
        <f t="shared" si="173"/>
        <v>#N/A</v>
      </c>
      <c r="BB109" s="102" t="e">
        <f t="shared" si="174"/>
        <v>#N/A</v>
      </c>
      <c r="BC109" s="414" t="e">
        <f>IF(BC108=0,0,IF(AND(AY109&gt;charge_ELS_quasi,AZ109&gt;Charge_ELS_freq,BA109&gt;charge_ELU,BB109&gt;charge_ELA,$B109&gt;NDC!$H$22-0.1+MIN(3*$BC$12,1.5)),0,1))</f>
        <v>#N/A</v>
      </c>
      <c r="BD109" s="86" t="b">
        <f t="shared" si="144"/>
        <v>0</v>
      </c>
      <c r="BE109" s="86">
        <f t="shared" si="175"/>
        <v>0.5</v>
      </c>
      <c r="BF109" s="86">
        <f t="shared" si="145"/>
        <v>0.5</v>
      </c>
      <c r="BG109" s="30" t="e">
        <f t="shared" ca="1" si="176"/>
        <v>#DIV/0!</v>
      </c>
      <c r="BH109" s="85" t="e">
        <f ca="1">IF(AN109&lt;=Hypothèses!$V$7,Hypothèses!$W$7,IF(AN109&lt;=Hypothèses!$V$8,Hypothèses!$W$8,IF(AN109&lt;=Hypothèses!$V$9,Hypothèses!$W$9,IF(AN109&lt;=Hypothèses!$V$10,Hypothèses!$W$10,IF(AN109&lt;=Hypothèses!$V$11,Hypothèses!$W$11,IF(AN109&lt;=Hypothèses!$V$12,Hypothèses!$W$12,IF(AN109&lt;=Hypothèses!$V$13,Hypothèses!$W$13,IF(AN109&lt;=Hypothèses!$V$14,Hypothèses!$W$14,IF(AN109&lt;=Hypothèses!$V$15,Hypothèses!$W$15,IF(AN109&lt;=Hypothèses!$V$16,Hypothèses!$W$16,IF(AN109&lt;=Hypothèses!$V$17,Hypothèses!$W$17,IF(AN109&lt;=Hypothèses!$V$18,Hypothèses!$W$18,""))))))))))))</f>
        <v>#DIV/0!</v>
      </c>
      <c r="BI109" s="87" t="e">
        <f t="shared" ca="1" si="218"/>
        <v>#DIV/0!</v>
      </c>
      <c r="BJ109" s="88" t="e">
        <f ca="1">IF(AN109&lt;=Hypothèses!$V$7,Hypothèses!$X$7,IF(AN109&lt;=Hypothèses!$V$8,Hypothèses!$X$8,IF(AN109&lt;=Hypothèses!$V$9,Hypothèses!$X$9,IF(AN109&lt;=Hypothèses!$V$10,Hypothèses!$X$10,IF(AN109&lt;=Hypothèses!$V$11,Hypothèses!$X$11,IF(AN109&lt;=Hypothèses!$V$12,Hypothèses!$X$12,IF(AN109&lt;=Hypothèses!$V$13,Hypothèses!$X$13,IF(AN109&lt;=Hypothèses!$V$14,Hypothèses!$X$14,IF(AN109&lt;=Hypothèses!$V$15,Hypothèses!$X$15,IF(AN109&lt;=Hypothèses!$V$16,Hypothèses!$X$16,IF(AN109&lt;=Hypothèses!$U$17,Hypothèses!$W$17,IF(AN109&lt;=Hypothèses!$U$18,Hypothèses!$W$18,""))))))))))))</f>
        <v>#DIV/0!</v>
      </c>
      <c r="BK109" s="95" t="e">
        <f t="shared" ca="1" si="177"/>
        <v>#DIV/0!</v>
      </c>
      <c r="BL109" s="101" t="e">
        <f t="shared" si="225"/>
        <v>#N/A</v>
      </c>
      <c r="BM109" s="91" t="e">
        <f t="shared" si="146"/>
        <v>#N/A</v>
      </c>
      <c r="BN109" s="30" t="e">
        <f t="shared" si="204"/>
        <v>#N/A</v>
      </c>
      <c r="BO109" s="30" t="e">
        <f t="shared" si="205"/>
        <v>#N/A</v>
      </c>
      <c r="BP109" s="31" t="e">
        <f>IF(OR(Hypothèses!$B$4=17,Hypothèses!$B$4=18,Hypothèses!$B$4=19,Hypothèses!$B$4=20),
IF($D109="Pressio.",
IF(OR($E109=3,$E109=1,$E109=4),BO109,BN109),
IF($D109="Pénétro.",
IF(OR($E109=3,$E109=1,$E109=4),BO109,BN109))),IF($D109="Pressio.",
IF($E109=3,BO109,BN109),
IF($D109="Pénétro.",
IF($E109=4,BO109,BN109))))</f>
        <v>#N/A</v>
      </c>
      <c r="BQ109" s="31" t="e">
        <f>(IF(OR(Hypothèses!$B$4=17,Hypothèses!$B$4=18,Hypothèses!$B$4=19,Hypothèses!$B$4=20),
IF($D109="Pressio.",
IF(OR($E109=3,$E109=1,$E109=4),(PI()*BQ$12^2)/4*(BM109*$W109*1000)/($H109*$B$5),(PI()*BQ$12^2)/4*(BM109*$W109*1000)/($G109*$B$5)),
IF($D109="Pénétro.",
IF(OR($E109=4,$E109=1,$E109=5),(PI()*BQ$12^2)/4*(BM109*$W109*1000)/($H109*$B$5),(PI()*BQ$12^2)/4*(BM109*$W109*1000)/($G109*$B$5)))),
IF($D109="Pressio.",
IF($E109=3,(PI()*BQ$12^2)/4*(BM109*$W109*1000)/($H109*$B$5),(PI()*BQ$12^2)/4*(BM109*$W109*1000)/($G109*$B$5)),
IF($D109="Pénétro.",
IF($E109=4,(PI()*BQ$12^2)/4*(BM109*$W109*1000)/($H109*$B$5),(PI()*BQ$12^2)/4*(BM109*$W109*1000)/($G109*$B$5))))))/10</f>
        <v>#N/A</v>
      </c>
      <c r="BR109" s="102" t="e">
        <f>(VLOOKUP($B$3,'Coeff EC7'!$T$39:$X$59,2,0)*BP109+VLOOKUP($B$3,'Coeff EC7'!$T$65:$X$85,2,0)*Model0.1C!BQ109)/1.1</f>
        <v>#N/A</v>
      </c>
      <c r="BS109" s="102" t="e">
        <f>(VLOOKUP($B$3,'Coeff EC7'!$T$39:$X$59,3,0)*BP109+VLOOKUP($B$3,'Coeff EC7'!$T$65:$X$85,3,0)*Model0.1C!BQ109)/0.9</f>
        <v>#N/A</v>
      </c>
      <c r="BT109" s="102" t="e">
        <f t="shared" si="178"/>
        <v>#N/A</v>
      </c>
      <c r="BU109" s="102" t="e">
        <f t="shared" si="179"/>
        <v>#N/A</v>
      </c>
      <c r="BV109" s="414" t="e">
        <f>IF(BV108=0,0,IF(AND(BR109&gt;charge_ELS_quasi,BS109&gt;Charge_ELS_freq,BT109&gt;charge_ELU,BU109&gt;charge_ELA,$B109&gt;NDC!$H$22-0.1+MIN(3*$BV$12,1.5)),0,1))</f>
        <v>#N/A</v>
      </c>
      <c r="BW109" s="86" t="b">
        <f t="shared" si="147"/>
        <v>0</v>
      </c>
      <c r="BX109" s="86">
        <f t="shared" si="148"/>
        <v>0.5</v>
      </c>
      <c r="BY109" s="86">
        <f t="shared" si="149"/>
        <v>0.5</v>
      </c>
      <c r="BZ109" s="30" t="e">
        <f t="shared" ca="1" si="180"/>
        <v>#DIV/0!</v>
      </c>
      <c r="CA109" s="85" t="e">
        <f ca="1">IF(BG109&lt;=Hypothèses!$V$7,Hypothèses!$W$7,IF(BG109&lt;=Hypothèses!$V$8,Hypothèses!$W$8,IF(BG109&lt;=Hypothèses!$V$9,Hypothèses!$W$9,IF(BG109&lt;=Hypothèses!$V$10,Hypothèses!$W$10,IF(BG109&lt;=Hypothèses!$V$11,Hypothèses!$W$11,IF(BG109&lt;=Hypothèses!$V$12,Hypothèses!$W$12,IF(BG109&lt;=Hypothèses!$V$13,Hypothèses!$W$13,IF(BG109&lt;=Hypothèses!$V$14,Hypothèses!$W$14,IF(BG109&lt;=Hypothèses!$V$15,Hypothèses!$W$15,IF(BG109&lt;=Hypothèses!$V$16,Hypothèses!$W$16,IF(BG109&lt;=Hypothèses!$V$17,Hypothèses!$W$17,IF(BG109&lt;=Hypothèses!$V$18,Hypothèses!$W$18,""))))))))))))</f>
        <v>#DIV/0!</v>
      </c>
      <c r="CB109" s="87" t="e">
        <f t="shared" ca="1" si="219"/>
        <v>#DIV/0!</v>
      </c>
      <c r="CC109" s="88" t="e">
        <f ca="1">IF(BG109&lt;=Hypothèses!$V$7,Hypothèses!$X$7,IF(BG109&lt;=Hypothèses!$V$8,Hypothèses!$X$8,IF(BG109&lt;=Hypothèses!$V$9,Hypothèses!$X$9,IF(BG109&lt;=Hypothèses!$V$10,Hypothèses!$X$10,IF(BG109&lt;=Hypothèses!$V$11,Hypothèses!$X$11,IF(BG109&lt;=Hypothèses!$V$12,Hypothèses!$X$12,IF(BG109&lt;=Hypothèses!$V$13,Hypothèses!$X$13,IF(BG109&lt;=Hypothèses!$V$14,Hypothèses!$X$14,IF(BG109&lt;=Hypothèses!$V$15,Hypothèses!$X$15,IF(BG109&lt;=Hypothèses!$V$16,Hypothèses!$X$16,IF(BG109&lt;=Hypothèses!$U$17,Hypothèses!$W$17,IF(BG109&lt;=Hypothèses!$U$18,Hypothèses!$W$18,""))))))))))))</f>
        <v>#DIV/0!</v>
      </c>
      <c r="CD109" s="95" t="e">
        <f t="shared" ca="1" si="181"/>
        <v>#DIV/0!</v>
      </c>
      <c r="CE109" s="101" t="e">
        <f t="shared" si="226"/>
        <v>#N/A</v>
      </c>
      <c r="CF109" s="91" t="e">
        <f t="shared" si="150"/>
        <v>#N/A</v>
      </c>
      <c r="CG109" s="30" t="e">
        <f t="shared" si="206"/>
        <v>#N/A</v>
      </c>
      <c r="CH109" s="30" t="e">
        <f t="shared" si="207"/>
        <v>#N/A</v>
      </c>
      <c r="CI109" s="31" t="e">
        <f>IF(OR(Hypothèses!$B$4=17,Hypothèses!$B$4=18,Hypothèses!$B$4=19,Hypothèses!$B$4=20),
IF($D109="Pressio.",
IF(OR($E109=3,$E109=1,$E109=4),CH109,CG109),
IF($D109="Pénétro.",
IF(OR($E109=3,$E109=1,$E109=4),CH109,CG109))),IF($D109="Pressio.",
IF($E109=3,CH109,CG109),
IF($D109="Pénétro.",
IF($E109=4,CH109,CG109))))</f>
        <v>#N/A</v>
      </c>
      <c r="CJ109" s="31" t="e">
        <f>(IF(OR(Hypothèses!$B$4=17,Hypothèses!$B$4=18,Hypothèses!$B$4=19,Hypothèses!$B$4=20),
IF($D109="Pressio.",
IF(OR($E109=3,$E109=1,$E109=4),(PI()*CJ$12^2)/4*(CF109*$W109*1000)/($H109*$B$5),(PI()*CJ$12^2)/4*(CF109*$W109*1000)/($G109*$B$5)),
IF($D109="Pénétro.",
IF(OR($E109=4,$E109=1,$E109=5),(PI()*CJ$12^2)/4*(CF109*$W109*1000)/($H109*$B$5),(PI()*CJ$12^2)/4*(CF109*$W109*1000)/($G109*$B$5)))),
IF($D109="Pressio.",
IF($E109=3,(PI()*CJ$12^2)/4*(CF109*$W109*1000)/($H109*$B$5),(PI()*CJ$12^2)/4*(CF109*$W109*1000)/($G109*$B$5)),
IF($D109="Pénétro.",
IF($E109=4,(PI()*CJ$12^2)/4*(CF109*$W109*1000)/($H109*$B$5),(PI()*CJ$12^2)/4*(CF109*$W109*1000)/($G109*$B$5))))))/10</f>
        <v>#N/A</v>
      </c>
      <c r="CK109" s="102" t="e">
        <f>(VLOOKUP($B$3,'Coeff EC7'!$T$39:$X$59,2,0)*CI109+VLOOKUP($B$3,'Coeff EC7'!$T$65:$X$85,2,0)*Model0.1C!CJ109)/1.1</f>
        <v>#N/A</v>
      </c>
      <c r="CL109" s="102" t="e">
        <f>(VLOOKUP($B$3,'Coeff EC7'!$T$39:$X$59,3,0)*CI109+VLOOKUP($B$3,'Coeff EC7'!$T$65:$X$85,3,0)*Model0.1C!CJ109)/0.9</f>
        <v>#N/A</v>
      </c>
      <c r="CM109" s="102" t="e">
        <f t="shared" si="182"/>
        <v>#N/A</v>
      </c>
      <c r="CN109" s="102" t="e">
        <f t="shared" si="183"/>
        <v>#N/A</v>
      </c>
      <c r="CO109" s="414" t="e">
        <f>IF(CO108=0,0,IF(AND(CK109&gt;charge_ELS_quasi,CL109&gt;Charge_ELS_freq,CM109&gt;charge_ELU,CN109&gt;charge_ELA,$B109&gt;NDC!$H$22-0.1+MIN(3*$CO$12,1.5)),0,1))</f>
        <v>#N/A</v>
      </c>
      <c r="CP109" s="86" t="b">
        <f t="shared" si="151"/>
        <v>0</v>
      </c>
      <c r="CQ109" s="86">
        <f t="shared" si="152"/>
        <v>0.5</v>
      </c>
      <c r="CR109" s="86">
        <f t="shared" si="153"/>
        <v>0.5</v>
      </c>
      <c r="CS109" s="30" t="e">
        <f t="shared" ca="1" si="184"/>
        <v>#DIV/0!</v>
      </c>
      <c r="CT109" s="85" t="e">
        <f ca="1">IF(BZ109&lt;=Hypothèses!$V$7,Hypothèses!$W$7,IF(BZ109&lt;=Hypothèses!$V$8,Hypothèses!$W$8,IF(BZ109&lt;=Hypothèses!$V$9,Hypothèses!$W$9,IF(BZ109&lt;=Hypothèses!$V$10,Hypothèses!$W$10,IF(BZ109&lt;=Hypothèses!$V$11,Hypothèses!$W$11,IF(BZ109&lt;=Hypothèses!$V$12,Hypothèses!$W$12,IF(BZ109&lt;=Hypothèses!$V$13,Hypothèses!$W$13,IF(BZ109&lt;=Hypothèses!$V$14,Hypothèses!$W$14,IF(BZ109&lt;=Hypothèses!$V$15,Hypothèses!$W$15,IF(BZ109&lt;=Hypothèses!$V$16,Hypothèses!$W$16,IF(BZ109&lt;=Hypothèses!$V$17,Hypothèses!$W$17,IF(BZ109&lt;=Hypothèses!$V$18,Hypothèses!$W$18,""))))))))))))</f>
        <v>#DIV/0!</v>
      </c>
      <c r="CU109" s="87" t="e">
        <f t="shared" ca="1" si="220"/>
        <v>#DIV/0!</v>
      </c>
      <c r="CV109" s="88" t="e">
        <f ca="1">IF(BZ109&lt;=Hypothèses!$V$7,Hypothèses!$X$7,IF(BZ109&lt;=Hypothèses!$V$8,Hypothèses!$X$8,IF(BZ109&lt;=Hypothèses!$V$9,Hypothèses!$X$9,IF(BZ109&lt;=Hypothèses!$V$10,Hypothèses!$X$10,IF(BZ109&lt;=Hypothèses!$V$11,Hypothèses!$X$11,IF(BZ109&lt;=Hypothèses!$V$12,Hypothèses!$X$12,IF(BZ109&lt;=Hypothèses!$V$13,Hypothèses!$X$13,IF(BZ109&lt;=Hypothèses!$V$14,Hypothèses!$X$14,IF(BZ109&lt;=Hypothèses!$V$15,Hypothèses!$X$15,IF(BZ109&lt;=Hypothèses!$V$16,Hypothèses!$X$16,IF(BZ109&lt;=Hypothèses!$U$17,Hypothèses!$W$17,IF(BZ109&lt;=Hypothèses!$U$18,Hypothèses!$W$18,""))))))))))))</f>
        <v>#DIV/0!</v>
      </c>
      <c r="CW109" s="95" t="e">
        <f t="shared" ca="1" si="185"/>
        <v>#DIV/0!</v>
      </c>
      <c r="CX109" s="101" t="e">
        <f t="shared" si="227"/>
        <v>#N/A</v>
      </c>
      <c r="CY109" s="91" t="e">
        <f t="shared" si="154"/>
        <v>#N/A</v>
      </c>
      <c r="CZ109" s="30" t="e">
        <f t="shared" si="208"/>
        <v>#N/A</v>
      </c>
      <c r="DA109" s="30" t="e">
        <f t="shared" si="209"/>
        <v>#N/A</v>
      </c>
      <c r="DB109" s="31" t="e">
        <f>IF(OR(Hypothèses!$B$4=17,Hypothèses!$B$4=18,Hypothèses!$B$4=19,Hypothèses!$B$4=20),
IF($D109="Pressio.",
IF(OR($E109=3,$E109=1,$E109=4),DA109,CZ109),
IF($D109="Pénétro.",
IF(OR($E109=3,$E109=1,$E109=4),DA109,CZ109))),IF($D109="Pressio.",
IF($E109=3,DA109,CZ109),
IF($D109="Pénétro.",
IF($E109=4,DA109,CZ109))))</f>
        <v>#N/A</v>
      </c>
      <c r="DC109" s="31" t="e">
        <f>(IF(OR(Hypothèses!$B$4=17,Hypothèses!$B$4=18,Hypothèses!$B$4=19,Hypothèses!$B$4=20),
IF($D109="Pressio.",
IF(OR($E109=3,$E109=1,$E109=4),(PI()*DC$12^2)/4*(CY109*$W109*1000)/($H109*$B$5),(PI()*DC$12^2)/4*(CY109*$W109*1000)/($G109*$B$5)),
IF($D109="Pénétro.",
IF(OR($E109=4,$E109=1,$E109=5),(PI()*DC$12^2)/4*(CY109*$W109*1000)/($H109*$B$5),(PI()*DC$12^2)/4*(CY109*$W109*1000)/($G109*$B$5)))),
IF($D109="Pressio.",
IF($E109=3,(PI()*DC$12^2)/4*(CY109*$W109*1000)/($H109*$B$5),(PI()*DC$12^2)/4*(CY109*$W109*1000)/($G109*$B$5)),
IF($D109="Pénétro.",
IF($E109=4,(PI()*DC$12^2)/4*(CY109*$W109*1000)/($H109*$B$5),(PI()*DC$12^2)/4*(CY109*$W109*1000)/($G109*$B$5))))))/10</f>
        <v>#N/A</v>
      </c>
      <c r="DD109" s="102" t="e">
        <f>(VLOOKUP($B$3,'Coeff EC7'!$T$39:$X$59,2,0)*DB109+VLOOKUP($B$3,'Coeff EC7'!$T$65:$X$85,2,0)*Model0.1C!DC109)/1.1</f>
        <v>#N/A</v>
      </c>
      <c r="DE109" s="102" t="e">
        <f>(VLOOKUP($B$3,'Coeff EC7'!$T$39:$X$59,3,0)*DB109+VLOOKUP($B$3,'Coeff EC7'!$T$65:$X$85,3,0)*Model0.1C!DC109)/0.9</f>
        <v>#N/A</v>
      </c>
      <c r="DF109" s="102" t="e">
        <f t="shared" si="186"/>
        <v>#N/A</v>
      </c>
      <c r="DG109" s="102" t="e">
        <f t="shared" si="187"/>
        <v>#N/A</v>
      </c>
      <c r="DH109" s="414" t="e">
        <f>IF(DH108=0,0,IF(AND(DD109&gt;charge_ELS_quasi,DE109&gt;Charge_ELS_freq,DF109&gt;charge_ELU,DG109&gt;charge_ELA,$B109&gt;NDC!$H$22-0.1+MIN(3*$DH$12,1.5)),0,1))</f>
        <v>#N/A</v>
      </c>
      <c r="DI109" s="86" t="b">
        <f t="shared" si="155"/>
        <v>0</v>
      </c>
      <c r="DJ109" s="86">
        <f t="shared" si="156"/>
        <v>0.5</v>
      </c>
      <c r="DK109" s="86">
        <f t="shared" si="157"/>
        <v>0.5</v>
      </c>
      <c r="DL109" s="30" t="e">
        <f t="shared" ca="1" si="188"/>
        <v>#DIV/0!</v>
      </c>
      <c r="DM109" s="85" t="e">
        <f ca="1">IF(CS109&lt;=Hypothèses!$V$7,Hypothèses!$W$7,IF(CS109&lt;=Hypothèses!$V$8,Hypothèses!$W$8,IF(CS109&lt;=Hypothèses!$V$9,Hypothèses!$W$9,IF(CS109&lt;=Hypothèses!$V$10,Hypothèses!$W$10,IF(CS109&lt;=Hypothèses!$V$11,Hypothèses!$W$11,IF(CS109&lt;=Hypothèses!$V$12,Hypothèses!$W$12,IF(CS109&lt;=Hypothèses!$V$13,Hypothèses!$W$13,IF(CS109&lt;=Hypothèses!$V$14,Hypothèses!$W$14,IF(CS109&lt;=Hypothèses!$V$15,Hypothèses!$W$15,IF(CS109&lt;=Hypothèses!$V$16,Hypothèses!$W$16,IF(CS109&lt;=Hypothèses!$V$17,Hypothèses!$W$17,IF(CS109&lt;=Hypothèses!$V$18,Hypothèses!$W$18,""))))))))))))</f>
        <v>#DIV/0!</v>
      </c>
      <c r="DN109" s="87" t="e">
        <f t="shared" ca="1" si="221"/>
        <v>#DIV/0!</v>
      </c>
      <c r="DO109" s="88" t="e">
        <f ca="1">IF(CS109&lt;=Hypothèses!$V$7,Hypothèses!$X$7,IF(CS109&lt;=Hypothèses!$V$8,Hypothèses!$X$8,IF(CS109&lt;=Hypothèses!$V$9,Hypothèses!$X$9,IF(CS109&lt;=Hypothèses!$V$10,Hypothèses!$X$10,IF(CS109&lt;=Hypothèses!$V$11,Hypothèses!$X$11,IF(CS109&lt;=Hypothèses!$V$12,Hypothèses!$X$12,IF(CS109&lt;=Hypothèses!$V$13,Hypothèses!$X$13,IF(CS109&lt;=Hypothèses!$V$14,Hypothèses!$X$14,IF(CS109&lt;=Hypothèses!$V$15,Hypothèses!$X$15,IF(CS109&lt;=Hypothèses!$V$16,Hypothèses!$X$16,IF(CS109&lt;=Hypothèses!$U$17,Hypothèses!$W$17,IF(CS109&lt;=Hypothèses!$U$18,Hypothèses!$W$18,""))))))))))))</f>
        <v>#DIV/0!</v>
      </c>
      <c r="DP109" s="95" t="e">
        <f t="shared" ca="1" si="189"/>
        <v>#DIV/0!</v>
      </c>
      <c r="DQ109" s="101" t="e">
        <f t="shared" si="228"/>
        <v>#N/A</v>
      </c>
      <c r="DR109" s="91" t="e">
        <f t="shared" si="158"/>
        <v>#N/A</v>
      </c>
      <c r="DS109" s="30" t="e">
        <f t="shared" si="210"/>
        <v>#N/A</v>
      </c>
      <c r="DT109" s="30" t="e">
        <f t="shared" si="211"/>
        <v>#N/A</v>
      </c>
      <c r="DU109" s="31" t="e">
        <f>IF(OR(Hypothèses!$B$4=17,Hypothèses!$B$4=18,Hypothèses!$B$4=19,Hypothèses!$B$4=20),
IF($D109="Pressio.",
IF(OR($E109=3,$E109=1,$E109=4),DT109,DS109),
IF($D109="Pénétro.",
IF(OR($E109=3,$E109=1,$E109=4),DT109,DS109))),IF($D109="Pressio.",
IF($E109=3,DT109,DS109),
IF($D109="Pénétro.",
IF($E109=4,DT109,DS109))))</f>
        <v>#N/A</v>
      </c>
      <c r="DV109" s="31" t="e">
        <f>(IF(OR(Hypothèses!$B$4=17,Hypothèses!$B$4=18,Hypothèses!$B$4=19,Hypothèses!$B$4=20),
IF($D109="Pressio.",
IF(OR($E109=3,$E109=1,$E109=4),(PI()*DV$12^2)/4*(DR109*$W109*1000)/($H109*$B$5),(PI()*DV$12^2)/4*(DR109*$W109*1000)/($G109*$B$5)),
IF($D109="Pénétro.",
IF(OR($E109=4,$E109=1,$E109=5),(PI()*DV$12^2)/4*(DR109*$W109*1000)/($H109*$B$5),(PI()*DV$12^2)/4*(DR109*$W109*1000)/($G109*$B$5)))),
IF($D109="Pressio.",
IF($E109=3,(PI()*DV$12^2)/4*(DR109*$W109*1000)/($H109*$B$5),(PI()*DV$12^2)/4*(DR109*$W109*1000)/($G109*$B$5)),
IF($D109="Pénétro.",
IF($E109=4,(PI()*DV$12^2)/4*(DR109*$W109*1000)/($H109*$B$5),(PI()*DV$12^2)/4*(DR109*$W109*1000)/($G109*$B$5))))))/10</f>
        <v>#N/A</v>
      </c>
      <c r="DW109" s="102" t="e">
        <f>(VLOOKUP($B$3,'Coeff EC7'!$T$39:$X$59,2,0)*DU109+VLOOKUP($B$3,'Coeff EC7'!$T$65:$X$85,2,0)*Model0.1C!DV109)/1.1</f>
        <v>#N/A</v>
      </c>
      <c r="DX109" s="102" t="e">
        <f>(VLOOKUP($B$3,'Coeff EC7'!$T$39:$X$59,3,0)*DU109+VLOOKUP($B$3,'Coeff EC7'!$T$65:$X$85,3,0)*Model0.1C!DV109)/0.9</f>
        <v>#N/A</v>
      </c>
      <c r="DY109" s="102" t="e">
        <f t="shared" si="190"/>
        <v>#N/A</v>
      </c>
      <c r="DZ109" s="102" t="e">
        <f t="shared" si="191"/>
        <v>#N/A</v>
      </c>
      <c r="EA109" s="414" t="e">
        <f>IF(EA108=0,0,IF(AND(DW109&gt;charge_ELS_quasi,DX109&gt;Charge_ELS_freq,DY109&gt;charge_ELU,DZ109&gt;charge_ELA,$B109&gt;NDC!$H$22-0.1+MIN(3*$EA$12,1.5)),0,1))</f>
        <v>#N/A</v>
      </c>
      <c r="EB109" s="86" t="b">
        <f t="shared" si="159"/>
        <v>0</v>
      </c>
      <c r="EC109" s="418">
        <f t="shared" si="160"/>
        <v>0.51</v>
      </c>
      <c r="ED109" s="86">
        <f t="shared" si="161"/>
        <v>0.51</v>
      </c>
      <c r="EE109" s="30" t="e">
        <f t="shared" ca="1" si="192"/>
        <v>#DIV/0!</v>
      </c>
      <c r="EF109" s="85" t="e">
        <f ca="1">IF(DL109&lt;=Hypothèses!$V$7,Hypothèses!$W$7,IF(DL109&lt;=Hypothèses!$V$8,Hypothèses!$W$8,IF(DL109&lt;=Hypothèses!$V$9,Hypothèses!$W$9,IF(DL109&lt;=Hypothèses!$V$10,Hypothèses!$W$10,IF(DL109&lt;=Hypothèses!$V$11,Hypothèses!$W$11,IF(DL109&lt;=Hypothèses!$V$12,Hypothèses!$W$12,IF(DL109&lt;=Hypothèses!$V$13,Hypothèses!$W$13,IF(DL109&lt;=Hypothèses!$V$14,Hypothèses!$W$14,IF(DL109&lt;=Hypothèses!$V$15,Hypothèses!$W$15,IF(DL109&lt;=Hypothèses!$V$16,Hypothèses!$W$16,IF(DL109&lt;=Hypothèses!$V$17,Hypothèses!$W$17,IF(DL109&lt;=Hypothèses!$V$18,Hypothèses!$W$18,""))))))))))))</f>
        <v>#DIV/0!</v>
      </c>
      <c r="EG109" s="87" t="e">
        <f t="shared" ca="1" si="222"/>
        <v>#DIV/0!</v>
      </c>
      <c r="EH109" s="88" t="e">
        <f ca="1">IF(DL109&lt;=Hypothèses!$V$7,Hypothèses!$X$7,IF(DL109&lt;=Hypothèses!$V$8,Hypothèses!$X$8,IF(DL109&lt;=Hypothèses!$V$9,Hypothèses!$X$9,IF(DL109&lt;=Hypothèses!$V$10,Hypothèses!$X$10,IF(DL109&lt;=Hypothèses!$V$11,Hypothèses!$X$11,IF(DL109&lt;=Hypothèses!$V$12,Hypothèses!$X$12,IF(DL109&lt;=Hypothèses!$V$13,Hypothèses!$X$13,IF(DL109&lt;=Hypothèses!$V$14,Hypothèses!$X$14,IF(DL109&lt;=Hypothèses!$V$15,Hypothèses!$X$15,IF(DL109&lt;=Hypothèses!$V$16,Hypothèses!$X$16,IF(DL109&lt;=Hypothèses!$U$17,Hypothèses!$W$17,IF(DL109&lt;=Hypothèses!$U$18,Hypothèses!$W$18,""))))))))))))</f>
        <v>#DIV/0!</v>
      </c>
      <c r="EI109" s="95" t="e">
        <f t="shared" ca="1" si="193"/>
        <v>#DIV/0!</v>
      </c>
      <c r="EJ109" s="101" t="e">
        <f t="shared" si="229"/>
        <v>#N/A</v>
      </c>
      <c r="EK109" s="91" t="e">
        <f t="shared" si="162"/>
        <v>#N/A</v>
      </c>
      <c r="EL109" s="30" t="e">
        <f t="shared" si="212"/>
        <v>#N/A</v>
      </c>
      <c r="EM109" s="30" t="e">
        <f t="shared" si="213"/>
        <v>#N/A</v>
      </c>
      <c r="EN109" s="31" t="e">
        <f>IF(OR(Hypothèses!$B$4=17,Hypothèses!$B$4=18,Hypothèses!$B$4=19,Hypothèses!$B$4=20),
IF($D109="Pressio.",
IF(OR($E109=3,$E109=1,$E109=4),EM109,EL109),
IF($D109="Pénétro.",
IF(OR($E109=3,$E109=1,$E109=4),EM109,EL109))),IF($D109="Pressio.",
IF($E109=3,EM109,EL109),
IF($D109="Pénétro.",
IF($E109=4,EM109,EL109))))</f>
        <v>#N/A</v>
      </c>
      <c r="EO109" s="31" t="e">
        <f>(IF(OR(Hypothèses!$B$4=17,Hypothèses!$B$4=18,Hypothèses!$B$4=19,Hypothèses!$B$4=20),
IF($D109="Pressio.",
IF(OR($E109=3,$E109=1,$E109=4),(PI()*EO$12^2)/4*(EK109*$W109*1000)/($H109*$B$5),(PI()*EO$12^2)/4*(EK109*$W109*1000)/($G109*$B$5)),
IF($D109="Pénétro.",
IF(OR($E109=4,$E109=1,$E109=5),(PI()*EO$12^2)/4*(EK109*$W109*1000)/($H109*$B$5),(PI()*EO$12^2)/4*(EK109*$W109*1000)/($G109*$B$5)))),
IF($D109="Pressio.",
IF($E109=3,(PI()*EO$12^2)/4*(EK109*$W109*1000)/($H109*$B$5),(PI()*EO$12^2)/4*(EK109*$W109*1000)/($G109*$B$5)),
IF($D109="Pénétro.",
IF($E109=4,(PI()*EO$12^2)/4*(EK109*$W109*1000)/($H109*$B$5),(PI()*EO$12^2)/4*(EK109*$W109*1000)/($G109*$B$5))))))/10</f>
        <v>#N/A</v>
      </c>
      <c r="EP109" s="102" t="e">
        <f>(VLOOKUP($B$3,'Coeff EC7'!$T$39:$X$59,2,0)*EN109+VLOOKUP($B$3,'Coeff EC7'!$T$65:$X$85,2,0)*Model0.1C!EO109)/1.1</f>
        <v>#N/A</v>
      </c>
      <c r="EQ109" s="102" t="e">
        <f>(VLOOKUP($B$3,'Coeff EC7'!$T$39:$X$59,3,0)*EN109+VLOOKUP($B$3,'Coeff EC7'!$T$65:$X$85,3,0)*Model0.1C!EO109)/0.9</f>
        <v>#N/A</v>
      </c>
      <c r="ER109" s="102" t="e">
        <f t="shared" si="194"/>
        <v>#N/A</v>
      </c>
      <c r="ES109" s="102" t="e">
        <f t="shared" si="195"/>
        <v>#N/A</v>
      </c>
      <c r="ET109" s="414" t="e">
        <f>IF(ET108=0,0,IF(AND(EP109&gt;charge_ELS_quasi,EQ109&gt;Charge_ELS_freq,ER109&gt;charge_ELU,ES109&gt;charge_ELA,$B109&gt;NDC!$H$22-0.1+MIN(3*$ET$12,1.5)),0,1))</f>
        <v>#N/A</v>
      </c>
      <c r="EU109" s="86" t="b">
        <f t="shared" si="163"/>
        <v>0</v>
      </c>
      <c r="EV109" s="86">
        <f t="shared" si="164"/>
        <v>0.61</v>
      </c>
      <c r="EW109" s="86">
        <f t="shared" si="165"/>
        <v>0.61</v>
      </c>
      <c r="EX109" s="30" t="e">
        <f t="shared" ca="1" si="196"/>
        <v>#DIV/0!</v>
      </c>
      <c r="EY109" s="85" t="e">
        <f ca="1">IF(EE109&lt;=Hypothèses!$V$7,Hypothèses!$W$7,IF(EE109&lt;=Hypothèses!$V$8,Hypothèses!$W$8,IF(EE109&lt;=Hypothèses!$V$9,Hypothèses!$W$9,IF(EE109&lt;=Hypothèses!$V$10,Hypothèses!$W$10,IF(EE109&lt;=Hypothèses!$V$11,Hypothèses!$W$11,IF(EE109&lt;=Hypothèses!$V$12,Hypothèses!$W$12,IF(EE109&lt;=Hypothèses!$V$13,Hypothèses!$W$13,IF(EE109&lt;=Hypothèses!$V$14,Hypothèses!$W$14,IF(EE109&lt;=Hypothèses!$V$15,Hypothèses!$W$15,IF(EE109&lt;=Hypothèses!$V$16,Hypothèses!$W$16,IF(EE109&lt;=Hypothèses!$V$17,Hypothèses!$W$17,IF(EE109&lt;=Hypothèses!$V$18,Hypothèses!$W$18,""))))))))))))</f>
        <v>#DIV/0!</v>
      </c>
      <c r="EZ109" s="87" t="e">
        <f t="shared" ca="1" si="223"/>
        <v>#DIV/0!</v>
      </c>
      <c r="FA109" s="88" t="e">
        <f ca="1">IF(EE109&lt;=Hypothèses!$V$7,Hypothèses!$X$7,IF(EE109&lt;=Hypothèses!$V$8,Hypothèses!$X$8,IF(EE109&lt;=Hypothèses!$V$9,Hypothèses!$X$9,IF(EE109&lt;=Hypothèses!$V$10,Hypothèses!$X$10,IF(EE109&lt;=Hypothèses!$V$11,Hypothèses!$X$11,IF(EE109&lt;=Hypothèses!$V$12,Hypothèses!$X$12,IF(EE109&lt;=Hypothèses!$V$13,Hypothèses!$X$13,IF(EE109&lt;=Hypothèses!$V$14,Hypothèses!$X$14,IF(EE109&lt;=Hypothèses!$V$15,Hypothèses!$X$15,IF(EE109&lt;=Hypothèses!$V$16,Hypothèses!$X$16,IF(EE109&lt;=Hypothèses!$U$17,Hypothèses!$W$17,IF(EE109&lt;=Hypothèses!$U$18,Hypothèses!$W$18,""))))))))))))</f>
        <v>#DIV/0!</v>
      </c>
      <c r="FB109" s="95" t="e">
        <f t="shared" ca="1" si="197"/>
        <v>#DIV/0!</v>
      </c>
      <c r="FC109" s="101" t="e">
        <f t="shared" si="230"/>
        <v>#N/A</v>
      </c>
      <c r="FD109" s="91" t="e">
        <f t="shared" si="166"/>
        <v>#N/A</v>
      </c>
      <c r="FE109" s="30" t="e">
        <f t="shared" si="214"/>
        <v>#N/A</v>
      </c>
      <c r="FF109" s="30" t="e">
        <f t="shared" si="215"/>
        <v>#N/A</v>
      </c>
      <c r="FG109" s="31" t="e">
        <f>IF(OR(Hypothèses!$B$4=17,Hypothèses!$B$4=18,Hypothèses!$B$4=19,Hypothèses!$B$4=20),
IF($D109="Pressio.",
IF(OR($E109=3,$E109=1,$E109=4),FF109,FE109),
IF($D109="Pénétro.",
IF(OR($E109=3,$E109=1,$E109=4),FF109,FE109))),IF($D109="Pressio.",
IF($E109=3,FF109,FE109),
IF($D109="Pénétro.",
IF($E109=4,FF109,FE109))))</f>
        <v>#N/A</v>
      </c>
      <c r="FH109" s="31" t="e">
        <f>(IF(OR(Hypothèses!$B$4=17,Hypothèses!$B$4=18,Hypothèses!$B$4=19,Hypothèses!$B$4=20),
IF($D109="Pressio.",
IF(OR($E109=3,$E109=1,$E109=4),(PI()*FH$12^2)/4*(FD109*$W109*1000)/($H109*$B$5),(PI()*FH$12^2)/4*(FD109*$W109*1000)/($G109*$B$5)),
IF($D109="Pénétro.",
IF(OR($E109=4,$E109=1,$E109=5),(PI()*FH$12^2)/4*(FD109*$W109*1000)/($H109*$B$5),(PI()*FH$12^2)/4*(FD109*$W109*1000)/($G109*$B$5)))),
IF($D109="Pressio.",
IF($E109=3,(PI()*FH$12^2)/4*(FD109*$W109*1000)/($H109*$B$5),(PI()*FH$12^2)/4*(FD109*$W109*1000)/($G109*$B$5)),
IF($D109="Pénétro.",
IF($E109=4,(PI()*FH$12^2)/4*(FD109*$W109*1000)/($H109*$B$5),(PI()*FH$12^2)/4*(FD109*$W109*1000)/($G109*$B$5))))))/10</f>
        <v>#N/A</v>
      </c>
      <c r="FI109" s="102" t="e">
        <f>(VLOOKUP($B$3,'Coeff EC7'!$T$39:$X$59,2,0)*FG109+VLOOKUP($B$3,'Coeff EC7'!$T$65:$X$85,2,0)*Model0.1C!FH109)/1.1</f>
        <v>#N/A</v>
      </c>
      <c r="FJ109" s="102" t="e">
        <f>(VLOOKUP($B$3,'Coeff EC7'!$T$39:$X$59,3,0)*FG109+VLOOKUP($B$3,'Coeff EC7'!$T$65:$X$85,3,0)*Model0.1C!FH109)/0.9</f>
        <v>#N/A</v>
      </c>
      <c r="FK109" s="102" t="e">
        <f t="shared" si="198"/>
        <v>#N/A</v>
      </c>
      <c r="FL109" s="102" t="e">
        <f t="shared" si="199"/>
        <v>#N/A</v>
      </c>
      <c r="FM109" s="414" t="e">
        <f>IF(FM108=0,0,IF(AND(FI109&gt;charge_ELS_quasi,FJ109&gt;Charge_ELS_freq,FK109&gt;charge_ELU,FL109&gt;charge_ELA,$B109&gt;NDC!$H$22-0.1+MIN(3*$FM$12,1.5)),0,1))</f>
        <v>#N/A</v>
      </c>
    </row>
    <row r="110" spans="1:169">
      <c r="A110" s="96">
        <f t="shared" si="167"/>
        <v>90.300000000000551</v>
      </c>
      <c r="B110" s="97">
        <v>9.6999999999999993</v>
      </c>
      <c r="C110" s="81">
        <f>IF(B110&lt;=Hypothèses!$C$7,Hypothèses!$A$7,IF(B110&lt;=Hypothèses!$C$8,Hypothèses!$A$8,IF(B110&lt;=Hypothèses!$C$9,Hypothèses!$A$9,IF(B110&lt;=Hypothèses!$C$10,Hypothèses!$A$10,IF(B110&lt;=Hypothèses!$C$11,Hypothèses!$A$11,IF(B110&lt;=Hypothèses!$C$12,Hypothèses!$A$12,IF(B110&lt;=Hypothèses!$C$13,Hypothèses!$A$13,IF(B110&lt;=Hypothèses!$C$14,Hypothèses!$A$14,IF(B110&lt;=Hypothèses!$C$15,Hypothèses!$A$15,IF(B110&lt;=Hypothèses!$C$16,Hypothèses!$A$16,IF(B110&lt;=Hypothèses!$C$17,Hypothèses!$A$17,IF(B110&lt;=Hypothèses!$C$18,Hypothèses!$A$18,C109))))))))))))</f>
        <v>11</v>
      </c>
      <c r="D110" s="82" t="str">
        <f>IF(B110&lt;=Hypothèses!$C$7,Hypothèses!$R$7,IF(B110&lt;=Hypothèses!$C$8,Hypothèses!$R$8,IF(B110&lt;=Hypothèses!$C$9,Hypothèses!$R$9,IF(B110&lt;=Hypothèses!$C$10,Hypothèses!$R$10,IF(B110&lt;=Hypothèses!$C$11,Hypothèses!$R$11,IF(B110&lt;=Hypothèses!$C$12,Hypothèses!$R$12,IF(B110&lt;=Hypothèses!$C$13,Hypothèses!$R$13,IF(B110&lt;=Hypothèses!$C$14,Hypothèses!$R$14,IF(B110&lt;=Hypothèses!$C$15,Hypothèses!$R$15,IF(B110&lt;=Hypothèses!$C$16,Hypothèses!$R$16,IF(B110&lt;=Hypothèses!$C$17,Hypothèses!$R$17,IF(B110&lt;=Hypothèses!$C$18,Hypothèses!$R$18,D109))))))))))))</f>
        <v>Pressio.</v>
      </c>
      <c r="E110" s="82" t="e">
        <f>IF(B110&lt;=Hypothèses!$C$7,Hypothèses!$G$7,IF(B110&lt;=Hypothèses!$C$8,Hypothèses!$G$8,IF(B110&lt;=Hypothèses!$C$9,Hypothèses!$G$9,IF(B110&lt;=Hypothèses!$C$10,Hypothèses!$G$10,IF(B110&lt;=Hypothèses!$C$11,Hypothèses!$G$11,IF(B110&lt;=Hypothèses!$C$12,Hypothèses!$G$12,IF(B110&lt;=Hypothèses!$C$13,Hypothèses!$G$13,IF(B110&lt;=Hypothèses!$C$14,Hypothèses!$G$14,IF(B110&lt;=Hypothèses!$C$15,Hypothèses!$G$15,IF(B110&lt;=Hypothèses!$C$16,Hypothèses!$G$16,IF(B110&lt;=Hypothèses!$C$17,Hypothèses!$G$17,IF(B110&lt;=Hypothèses!$C$18,Hypothèses!$G$18,E109))))))))))))</f>
        <v>#N/A</v>
      </c>
      <c r="F110" s="82" t="str">
        <f>IF(B110&lt;=Hypothèses!$C$7,Hypothèses!$F$7,IF(B110&lt;=Hypothèses!$C$8,Hypothèses!$F$8,IF(B110&lt;=Hypothèses!$C$9,Hypothèses!$F$9,IF(B110&lt;=Hypothèses!$C$10,Hypothèses!$F$10,IF(B110&lt;=Hypothèses!$C$11,Hypothèses!$F$11,IF(B110&lt;=Hypothèses!$C$12,Hypothèses!$F$12,IF(B110&lt;=Hypothèses!$C$13,Hypothèses!$F$13,IF(B110&lt;=Hypothèses!$C$14,Hypothèses!$F$14,IF(B110&lt;=Hypothèses!$C$15,Hypothèses!$F$15,IF(B110&lt;=Hypothèses!$C$16,Hypothèses!$F$16,IF(B110&lt;=Hypothèses!$C$17,Hypothèses!$F$17,IF(B110&lt;=Hypothèses!$C$18,Hypothèses!$F$18,F109))))))))))))</f>
        <v/>
      </c>
      <c r="G110" s="91">
        <f t="array" ref="G110">INDEX('Coeff EC7'!$U$7:$X$27,
MATCH(Model0.1C!$B$3,'Coeff EC7'!$T$7:$T$27,0),
MATCH(Model0.1C!$D110&amp;Model0.1C!$B$4,
'Coeff EC7'!$U$6:$X$6&amp;
'Coeff EC7'!$U$5:$X$5,0))</f>
        <v>1.1499999999999999</v>
      </c>
      <c r="H110" s="91">
        <f t="array" ref="H110">INDEX('Coeff EC7'!$Y$7:$AB$27,
MATCH(Model0.1C!$B$3,'Coeff EC7'!$T$7:$T$27,0),
MATCH(Model0.1C!$D110&amp;Model0.1C!$B$4,
'Coeff EC7'!$Y$6:$AB$6&amp;
'Coeff EC7'!$Y$5:$AB$5,0))</f>
        <v>1.4</v>
      </c>
      <c r="I110" s="83" t="e">
        <f>IF(B110&lt;=Hypothèses!$C$7,Hypothèses!$P$7,IF(B110&lt;=Hypothèses!$C$8,Hypothèses!$P$8,IF(B110&lt;=Hypothèses!$C$9,Hypothèses!$P$9,IF(B110&lt;=Hypothèses!$C$10,Hypothèses!$P$10,IF(B110&lt;=Hypothèses!$C$11,Hypothèses!$P$11,IF(B110&lt;=Hypothèses!$C$12,Hypothèses!$P$12,IF(B110&lt;=Hypothèses!$C$13,Hypothèses!$P$13,IF(B110&lt;=Hypothèses!$C$14,Hypothèses!$P$14,IF(B110&lt;=Hypothèses!$C$15,Hypothèses!$P$15,IF(B110&lt;=Hypothèses!$C$16,Hypothèses!$P$16,IF(B110&lt;=Hypothèses!$C$17,Hypothèses!$P$17,IF(B110&lt;=Hypothèses!$C$18,Hypothèses!$P$18,I109))))))))))))</f>
        <v>#N/A</v>
      </c>
      <c r="J110" s="91" t="e">
        <f t="array" ref="J110">INDEX('Coeff EC7'!$D$33:$Q$33,1,MATCH(D110&amp;E110,'Coeff EC7'!$D$31:$Q$31&amp;'Coeff EC7'!$D$32:$Q$32,0))</f>
        <v>#N/A</v>
      </c>
      <c r="K110" s="91" t="e">
        <f t="array" ref="K110">INDEX('Coeff EC7'!$D$34:$Q$34,1,MATCH(D110&amp;E110,'Coeff EC7'!$D$31:$Q$31&amp;'Coeff EC7'!$D$32:$Q$32,0))</f>
        <v>#N/A</v>
      </c>
      <c r="L110" s="91" t="e">
        <f t="array" ref="L110">INDEX('Coeff EC7'!$D$35:$Q$35,1,MATCH(D110&amp;E110,'Coeff EC7'!$D$31:$Q$31&amp;'Coeff EC7'!$D$32:$Q$32,0))</f>
        <v>#N/A</v>
      </c>
      <c r="M110" s="98" t="e">
        <f t="shared" si="131"/>
        <v>#N/A</v>
      </c>
      <c r="N110" s="99" t="e">
        <f t="array" ref="N110">INDEX('Coeff EC7'!$D$7:$Q$27,MATCH($B$3,'Coeff EC7'!$C$7:$C$27,0),MATCH(D110&amp;E110,'Coeff EC7'!$D$5:$Q$5&amp;'Coeff EC7'!$D$6:$Q$6,0))</f>
        <v>#N/A</v>
      </c>
      <c r="O110" s="99" t="e">
        <f t="array" ref="O110">INDEX('Coeff EC7'!$D$41:$Q$61,MATCH($B$3,'Coeff EC7'!$C$41:$C$61,0),MATCH(D110&amp;E110,'Coeff EC7'!$D$39:$Q$39&amp;'Coeff EC7'!$D$40:$Q$40,0))</f>
        <v>#N/A</v>
      </c>
      <c r="P110" s="30" t="e">
        <f t="shared" si="168"/>
        <v>#N/A</v>
      </c>
      <c r="Q110" s="100" t="e">
        <f t="shared" si="133"/>
        <v>#N/A</v>
      </c>
      <c r="R110" s="86" t="b">
        <f t="shared" si="134"/>
        <v>0</v>
      </c>
      <c r="S110" s="86">
        <f t="shared" si="132"/>
        <v>0.5</v>
      </c>
      <c r="T110" s="86">
        <f t="shared" si="135"/>
        <v>0.5</v>
      </c>
      <c r="U110" s="30" t="e">
        <f t="shared" ca="1" si="169"/>
        <v>#DIV/0!</v>
      </c>
      <c r="V110" s="85" t="str">
        <f>IF(B110&lt;=Hypothèses!$V$7,Hypothèses!$W$7,IF(B110&lt;=Hypothèses!$V$8,Hypothèses!$W$8,IF(B110&lt;=Hypothèses!$V$9,Hypothèses!$W$9,IF(B110&lt;=Hypothèses!$V$10,Hypothèses!$W$10,IF(B110&lt;=Hypothèses!$V$11,Hypothèses!$W$11,IF(B110&lt;=Hypothèses!$V$12,Hypothèses!$W$12,IF(B110&lt;=Hypothèses!$V$13,Hypothèses!$W$13,IF(B110&lt;=Hypothèses!$V$14,Hypothèses!$W$14,IF(B110&lt;=Hypothèses!$V$15,Hypothèses!$W$15,IF(B110&lt;=Hypothèses!$V$16,Hypothèses!$W$16,IF(B110&lt;=Hypothèses!$V$17,Hypothèses!$W$17,IF(B110&lt;=Hypothèses!$V$18,Hypothèses!$W$18,""))))))))))))</f>
        <v/>
      </c>
      <c r="W110" s="87" t="e">
        <f t="shared" ca="1" si="216"/>
        <v>#DIV/0!</v>
      </c>
      <c r="X110" s="88" t="str">
        <f>IF(B110&lt;=Hypothèses!$V$7,Hypothèses!$X$7,IF(B110&lt;=Hypothèses!$V$8,Hypothèses!$X$8,IF(B110&lt;=Hypothèses!$V$9,Hypothèses!$X$9,IF(B110&lt;=Hypothèses!$V$10,Hypothèses!$X$10,IF(B110&lt;=Hypothèses!$V$11,Hypothèses!$X$11,IF(B110&lt;=Hypothèses!$V$12,Hypothèses!$X$12,IF(B110&lt;=Hypothèses!$V$13,Hypothèses!$X$13,IF(B110&lt;=Hypothèses!$V$14,Hypothèses!$X$14,IF(B110&lt;=Hypothèses!$V$15,Hypothèses!$X$15,IF(B110&lt;=Hypothèses!$V$16,Hypothèses!$X$16,IF(B110&lt;=Hypothèses!$U$17,Hypothèses!$W$17,IF(B110&lt;=Hypothèses!$U$18,Hypothèses!$W$18,""))))))))))))</f>
        <v/>
      </c>
      <c r="Y110" s="95" t="e">
        <f t="shared" ca="1" si="136"/>
        <v>#DIV/0!</v>
      </c>
      <c r="Z110" s="101" t="e">
        <f t="shared" si="137"/>
        <v>#N/A</v>
      </c>
      <c r="AA110" s="91" t="e">
        <f t="shared" si="138"/>
        <v>#N/A</v>
      </c>
      <c r="AB110" s="30" t="e">
        <f t="shared" si="200"/>
        <v>#N/A</v>
      </c>
      <c r="AC110" s="30" t="e">
        <f t="shared" si="201"/>
        <v>#N/A</v>
      </c>
      <c r="AD110" s="31" t="e">
        <f>IF(OR(Hypothèses!$B$4=17,Hypothèses!$B$4=18,Hypothèses!$B$4=19,Hypothèses!$B$4=20),
IF($D110="Pressio.",
IF(OR($E110=3,$E110=1,$E110=4),AC110,AB110),
IF($D110="Pénétro.",
IF(OR($E110=3,$E110=1,$E110=4),AC110,AB110))),IF($D110="Pressio.",
IF($E110=3,AC110,AB110),
IF($D110="Pénétro.",
IF($E110=4,AC110,AB110))))</f>
        <v>#N/A</v>
      </c>
      <c r="AE110" s="31" t="e">
        <f>(IF(OR(Hypothèses!$B$4=17,Hypothèses!$B$4=18,Hypothèses!$B$4=19,Hypothèses!$B$4=20),
IF($D110="Pressio.",
IF(OR($E110=3,$E110=1,$E110=4),(PI()*AE$12^2)/4*(AA110*$W110*1000)/($H110*$B$5),(PI()*AE$12^2)/4*(AA110*$W110*1000)/($G110*$B$5)),
IF($D110="Pénétro.",
IF(OR($E110=4,$E110=1,$E110=5),(PI()*AE$12^2)/4*(AA110*$W110*1000)/($H110*$B$5),(PI()*AE$12^2)/4*(AA110*$W110*1000)/($G110*$B$5)))),
IF($D110="Pressio.",
IF($E110=3,(PI()*AE$12^2)/4*(AA110*$W110*1000)/($H110*$B$5),(PI()*AE$12^2)/4*(AA110*$W110*1000)/($G110*$B$5)),
IF($D110="Pénétro.",
IF($E110=4,(PI()*AE$12^2)/4*(AA110*$W110*1000)/($H110*$B$5),(PI()*AE$12^2)/4*(AA110*$W110*1000)/($G110*$B$5))))))/10</f>
        <v>#N/A</v>
      </c>
      <c r="AF110" s="102" t="e">
        <f>(VLOOKUP($B$3,'Coeff EC7'!$T$39:$X$59,2,0)*AD110+VLOOKUP($B$3,'Coeff EC7'!$T$65:$X$85,2,0)*Model0.1C!AE110)/1.1</f>
        <v>#N/A</v>
      </c>
      <c r="AG110" s="102" t="e">
        <f>(VLOOKUP($B$3,'Coeff EC7'!$T$39:$X$59,3,0)*AD110+VLOOKUP($B$3,'Coeff EC7'!$T$65:$X$85,3,0)*Model0.1C!AE110)/0.9</f>
        <v>#N/A</v>
      </c>
      <c r="AH110" s="102" t="e">
        <f t="shared" si="139"/>
        <v>#N/A</v>
      </c>
      <c r="AI110" s="102" t="e">
        <f t="shared" si="140"/>
        <v>#N/A</v>
      </c>
      <c r="AJ110" s="414" t="e">
        <f>IF(AJ109=0,0,IF(AND(AF110&gt;charge_ELS_quasi,AG110&gt;Charge_ELS_freq,AH110&gt;charge_ELU,AI110&gt;charge_ELA,$B110&gt;NDC!$H$22-0.1+MIN(3*$AJ$12,1.5)),0,1))</f>
        <v>#N/A</v>
      </c>
      <c r="AK110" s="86" t="b">
        <f t="shared" si="141"/>
        <v>0</v>
      </c>
      <c r="AL110" s="86">
        <f t="shared" si="170"/>
        <v>0.5</v>
      </c>
      <c r="AM110" s="86">
        <f t="shared" si="142"/>
        <v>0.5</v>
      </c>
      <c r="AN110" s="30" t="e">
        <f t="shared" ca="1" si="171"/>
        <v>#DIV/0!</v>
      </c>
      <c r="AO110" s="85" t="e">
        <f ca="1">IF(U110&lt;=Hypothèses!$V$7,Hypothèses!$W$7,IF(U110&lt;=Hypothèses!$V$8,Hypothèses!$W$8,IF(U110&lt;=Hypothèses!$V$9,Hypothèses!$W$9,IF(U110&lt;=Hypothèses!$V$10,Hypothèses!$W$10,IF(U110&lt;=Hypothèses!$V$11,Hypothèses!$W$11,IF(U110&lt;=Hypothèses!$V$12,Hypothèses!$W$12,IF(U110&lt;=Hypothèses!$V$13,Hypothèses!$W$13,IF(U110&lt;=Hypothèses!$V$14,Hypothèses!$W$14,IF(U110&lt;=Hypothèses!$V$15,Hypothèses!$W$15,IF(U110&lt;=Hypothèses!$V$16,Hypothèses!$W$16,IF(U110&lt;=Hypothèses!$V$17,Hypothèses!$W$17,IF(U110&lt;=Hypothèses!$V$18,Hypothèses!$W$18,""))))))))))))</f>
        <v>#DIV/0!</v>
      </c>
      <c r="AP110" s="87" t="e">
        <f t="shared" ca="1" si="217"/>
        <v>#DIV/0!</v>
      </c>
      <c r="AQ110" s="88" t="e">
        <f ca="1">IF(U110&lt;=Hypothèses!$V$7,Hypothèses!$X$7,IF(U110&lt;=Hypothèses!$V$8,Hypothèses!$X$8,IF(U110&lt;=Hypothèses!$V$9,Hypothèses!$X$9,IF(U110&lt;=Hypothèses!$V$10,Hypothèses!$X$10,IF(U110&lt;=Hypothèses!$V$11,Hypothèses!$X$11,IF(U110&lt;=Hypothèses!$V$12,Hypothèses!$X$12,IF(U110&lt;=Hypothèses!$V$13,Hypothèses!$X$13,IF(U110&lt;=Hypothèses!$V$14,Hypothèses!$X$14,IF(U110&lt;=Hypothèses!$V$15,Hypothèses!$X$15,IF(U110&lt;=Hypothèses!$V$16,Hypothèses!$X$16,IF(U110&lt;=Hypothèses!$U$17,Hypothèses!$W$17,IF(U110&lt;=Hypothèses!$U$18,Hypothèses!$W$18,""))))))))))))</f>
        <v>#DIV/0!</v>
      </c>
      <c r="AR110" s="95" t="e">
        <f t="shared" ca="1" si="172"/>
        <v>#DIV/0!</v>
      </c>
      <c r="AS110" s="101" t="e">
        <f t="shared" si="224"/>
        <v>#N/A</v>
      </c>
      <c r="AT110" s="91" t="e">
        <f t="shared" si="143"/>
        <v>#N/A</v>
      </c>
      <c r="AU110" s="30" t="e">
        <f t="shared" si="202"/>
        <v>#N/A</v>
      </c>
      <c r="AV110" s="30" t="e">
        <f t="shared" si="203"/>
        <v>#N/A</v>
      </c>
      <c r="AW110" s="31" t="e">
        <f>IF(OR(Hypothèses!$B$4=17,Hypothèses!$B$4=18,Hypothèses!$B$4=19,Hypothèses!$B$4=20),
IF($D110="Pressio.",
IF(OR($E110=3,$E110=1,$E110=4),AV110,AU110),
IF($D110="Pénétro.",
IF(OR($E110=3,$E110=1,$E110=4),AV110,AU110))),IF($D110="Pressio.",
IF($E110=3,AV110,AU110),
IF($D110="Pénétro.",
IF($E110=4,AV110,AU110))))</f>
        <v>#N/A</v>
      </c>
      <c r="AX110" s="31" t="e">
        <f>(IF(OR(Hypothèses!$B$4=17,Hypothèses!$B$4=18,Hypothèses!$B$4=19,Hypothèses!$B$4=20),
IF($D110="Pressio.",
IF(OR($E110=3,$E110=1,$E110=4),(PI()*AX$12^2)/4*(AT110*$W110*1000)/($H110*$B$5),(PI()*AX$12^2)/4*(AT110*$W110*1000)/($G110*$B$5)),
IF($D110="Pénétro.",
IF(OR($E110=4,$E110=1,$E110=5),(PI()*AX$12^2)/4*(AT110*$W110*1000)/($H110*$B$5),(PI()*AX$12^2)/4*(AT110*$W110*1000)/($G110*$B$5)))),
IF($D110="Pressio.",
IF($E110=3,(PI()*AX$12^2)/4*(AT110*$W110*1000)/($H110*$B$5),(PI()*AX$12^2)/4*(AT110*$W110*1000)/($G110*$B$5)),
IF($D110="Pénétro.",
IF($E110=4,(PI()*AX$12^2)/4*(AT110*$W110*1000)/($H110*$B$5),(PI()*AX$12^2)/4*(AT110*$W110*1000)/($G110*$B$5))))))/10</f>
        <v>#N/A</v>
      </c>
      <c r="AY110" s="102" t="e">
        <f>(VLOOKUP($B$3,'Coeff EC7'!$T$39:$X$59,2,0)*AW110+VLOOKUP($B$3,'Coeff EC7'!$T$65:$X$85,2,0)*Model0.1C!AX110)/1.1</f>
        <v>#N/A</v>
      </c>
      <c r="AZ110" s="102" t="e">
        <f>(VLOOKUP($B$3,'Coeff EC7'!$T$39:$X$59,3,0)*AW110+VLOOKUP($B$3,'Coeff EC7'!$T$65:$X$85,3,0)*Model0.1C!AX110)/0.9</f>
        <v>#N/A</v>
      </c>
      <c r="BA110" s="102" t="e">
        <f t="shared" si="173"/>
        <v>#N/A</v>
      </c>
      <c r="BB110" s="102" t="e">
        <f t="shared" si="174"/>
        <v>#N/A</v>
      </c>
      <c r="BC110" s="414" t="e">
        <f>IF(BC109=0,0,IF(AND(AY110&gt;charge_ELS_quasi,AZ110&gt;Charge_ELS_freq,BA110&gt;charge_ELU,BB110&gt;charge_ELA,$B110&gt;NDC!$H$22-0.1+MIN(3*$BC$12,1.5)),0,1))</f>
        <v>#N/A</v>
      </c>
      <c r="BD110" s="86" t="b">
        <f t="shared" si="144"/>
        <v>0</v>
      </c>
      <c r="BE110" s="86">
        <f t="shared" si="175"/>
        <v>0.5</v>
      </c>
      <c r="BF110" s="86">
        <f t="shared" si="145"/>
        <v>0.5</v>
      </c>
      <c r="BG110" s="30" t="e">
        <f t="shared" ca="1" si="176"/>
        <v>#DIV/0!</v>
      </c>
      <c r="BH110" s="85" t="e">
        <f ca="1">IF(AN110&lt;=Hypothèses!$V$7,Hypothèses!$W$7,IF(AN110&lt;=Hypothèses!$V$8,Hypothèses!$W$8,IF(AN110&lt;=Hypothèses!$V$9,Hypothèses!$W$9,IF(AN110&lt;=Hypothèses!$V$10,Hypothèses!$W$10,IF(AN110&lt;=Hypothèses!$V$11,Hypothèses!$W$11,IF(AN110&lt;=Hypothèses!$V$12,Hypothèses!$W$12,IF(AN110&lt;=Hypothèses!$V$13,Hypothèses!$W$13,IF(AN110&lt;=Hypothèses!$V$14,Hypothèses!$W$14,IF(AN110&lt;=Hypothèses!$V$15,Hypothèses!$W$15,IF(AN110&lt;=Hypothèses!$V$16,Hypothèses!$W$16,IF(AN110&lt;=Hypothèses!$V$17,Hypothèses!$W$17,IF(AN110&lt;=Hypothèses!$V$18,Hypothèses!$W$18,""))))))))))))</f>
        <v>#DIV/0!</v>
      </c>
      <c r="BI110" s="87" t="e">
        <f t="shared" ca="1" si="218"/>
        <v>#DIV/0!</v>
      </c>
      <c r="BJ110" s="88" t="e">
        <f ca="1">IF(AN110&lt;=Hypothèses!$V$7,Hypothèses!$X$7,IF(AN110&lt;=Hypothèses!$V$8,Hypothèses!$X$8,IF(AN110&lt;=Hypothèses!$V$9,Hypothèses!$X$9,IF(AN110&lt;=Hypothèses!$V$10,Hypothèses!$X$10,IF(AN110&lt;=Hypothèses!$V$11,Hypothèses!$X$11,IF(AN110&lt;=Hypothèses!$V$12,Hypothèses!$X$12,IF(AN110&lt;=Hypothèses!$V$13,Hypothèses!$X$13,IF(AN110&lt;=Hypothèses!$V$14,Hypothèses!$X$14,IF(AN110&lt;=Hypothèses!$V$15,Hypothèses!$X$15,IF(AN110&lt;=Hypothèses!$V$16,Hypothèses!$X$16,IF(AN110&lt;=Hypothèses!$U$17,Hypothèses!$W$17,IF(AN110&lt;=Hypothèses!$U$18,Hypothèses!$W$18,""))))))))))))</f>
        <v>#DIV/0!</v>
      </c>
      <c r="BK110" s="95" t="e">
        <f t="shared" ca="1" si="177"/>
        <v>#DIV/0!</v>
      </c>
      <c r="BL110" s="101" t="e">
        <f t="shared" si="225"/>
        <v>#N/A</v>
      </c>
      <c r="BM110" s="91" t="e">
        <f t="shared" si="146"/>
        <v>#N/A</v>
      </c>
      <c r="BN110" s="30" t="e">
        <f t="shared" si="204"/>
        <v>#N/A</v>
      </c>
      <c r="BO110" s="30" t="e">
        <f t="shared" si="205"/>
        <v>#N/A</v>
      </c>
      <c r="BP110" s="31" t="e">
        <f>IF(OR(Hypothèses!$B$4=17,Hypothèses!$B$4=18,Hypothèses!$B$4=19,Hypothèses!$B$4=20),
IF($D110="Pressio.",
IF(OR($E110=3,$E110=1,$E110=4),BO110,BN110),
IF($D110="Pénétro.",
IF(OR($E110=3,$E110=1,$E110=4),BO110,BN110))),IF($D110="Pressio.",
IF($E110=3,BO110,BN110),
IF($D110="Pénétro.",
IF($E110=4,BO110,BN110))))</f>
        <v>#N/A</v>
      </c>
      <c r="BQ110" s="31" t="e">
        <f>(IF(OR(Hypothèses!$B$4=17,Hypothèses!$B$4=18,Hypothèses!$B$4=19,Hypothèses!$B$4=20),
IF($D110="Pressio.",
IF(OR($E110=3,$E110=1,$E110=4),(PI()*BQ$12^2)/4*(BM110*$W110*1000)/($H110*$B$5),(PI()*BQ$12^2)/4*(BM110*$W110*1000)/($G110*$B$5)),
IF($D110="Pénétro.",
IF(OR($E110=4,$E110=1,$E110=5),(PI()*BQ$12^2)/4*(BM110*$W110*1000)/($H110*$B$5),(PI()*BQ$12^2)/4*(BM110*$W110*1000)/($G110*$B$5)))),
IF($D110="Pressio.",
IF($E110=3,(PI()*BQ$12^2)/4*(BM110*$W110*1000)/($H110*$B$5),(PI()*BQ$12^2)/4*(BM110*$W110*1000)/($G110*$B$5)),
IF($D110="Pénétro.",
IF($E110=4,(PI()*BQ$12^2)/4*(BM110*$W110*1000)/($H110*$B$5),(PI()*BQ$12^2)/4*(BM110*$W110*1000)/($G110*$B$5))))))/10</f>
        <v>#N/A</v>
      </c>
      <c r="BR110" s="102" t="e">
        <f>(VLOOKUP($B$3,'Coeff EC7'!$T$39:$X$59,2,0)*BP110+VLOOKUP($B$3,'Coeff EC7'!$T$65:$X$85,2,0)*Model0.1C!BQ110)/1.1</f>
        <v>#N/A</v>
      </c>
      <c r="BS110" s="102" t="e">
        <f>(VLOOKUP($B$3,'Coeff EC7'!$T$39:$X$59,3,0)*BP110+VLOOKUP($B$3,'Coeff EC7'!$T$65:$X$85,3,0)*Model0.1C!BQ110)/0.9</f>
        <v>#N/A</v>
      </c>
      <c r="BT110" s="102" t="e">
        <f t="shared" si="178"/>
        <v>#N/A</v>
      </c>
      <c r="BU110" s="102" t="e">
        <f t="shared" si="179"/>
        <v>#N/A</v>
      </c>
      <c r="BV110" s="414" t="e">
        <f>IF(BV109=0,0,IF(AND(BR110&gt;charge_ELS_quasi,BS110&gt;Charge_ELS_freq,BT110&gt;charge_ELU,BU110&gt;charge_ELA,$B110&gt;NDC!$H$22-0.1+MIN(3*$BV$12,1.5)),0,1))</f>
        <v>#N/A</v>
      </c>
      <c r="BW110" s="86" t="b">
        <f t="shared" si="147"/>
        <v>0</v>
      </c>
      <c r="BX110" s="86">
        <f t="shared" si="148"/>
        <v>0.5</v>
      </c>
      <c r="BY110" s="86">
        <f t="shared" si="149"/>
        <v>0.5</v>
      </c>
      <c r="BZ110" s="30" t="e">
        <f t="shared" ca="1" si="180"/>
        <v>#DIV/0!</v>
      </c>
      <c r="CA110" s="85" t="e">
        <f ca="1">IF(BG110&lt;=Hypothèses!$V$7,Hypothèses!$W$7,IF(BG110&lt;=Hypothèses!$V$8,Hypothèses!$W$8,IF(BG110&lt;=Hypothèses!$V$9,Hypothèses!$W$9,IF(BG110&lt;=Hypothèses!$V$10,Hypothèses!$W$10,IF(BG110&lt;=Hypothèses!$V$11,Hypothèses!$W$11,IF(BG110&lt;=Hypothèses!$V$12,Hypothèses!$W$12,IF(BG110&lt;=Hypothèses!$V$13,Hypothèses!$W$13,IF(BG110&lt;=Hypothèses!$V$14,Hypothèses!$W$14,IF(BG110&lt;=Hypothèses!$V$15,Hypothèses!$W$15,IF(BG110&lt;=Hypothèses!$V$16,Hypothèses!$W$16,IF(BG110&lt;=Hypothèses!$V$17,Hypothèses!$W$17,IF(BG110&lt;=Hypothèses!$V$18,Hypothèses!$W$18,""))))))))))))</f>
        <v>#DIV/0!</v>
      </c>
      <c r="CB110" s="87" t="e">
        <f t="shared" ca="1" si="219"/>
        <v>#DIV/0!</v>
      </c>
      <c r="CC110" s="88" t="e">
        <f ca="1">IF(BG110&lt;=Hypothèses!$V$7,Hypothèses!$X$7,IF(BG110&lt;=Hypothèses!$V$8,Hypothèses!$X$8,IF(BG110&lt;=Hypothèses!$V$9,Hypothèses!$X$9,IF(BG110&lt;=Hypothèses!$V$10,Hypothèses!$X$10,IF(BG110&lt;=Hypothèses!$V$11,Hypothèses!$X$11,IF(BG110&lt;=Hypothèses!$V$12,Hypothèses!$X$12,IF(BG110&lt;=Hypothèses!$V$13,Hypothèses!$X$13,IF(BG110&lt;=Hypothèses!$V$14,Hypothèses!$X$14,IF(BG110&lt;=Hypothèses!$V$15,Hypothèses!$X$15,IF(BG110&lt;=Hypothèses!$V$16,Hypothèses!$X$16,IF(BG110&lt;=Hypothèses!$U$17,Hypothèses!$W$17,IF(BG110&lt;=Hypothèses!$U$18,Hypothèses!$W$18,""))))))))))))</f>
        <v>#DIV/0!</v>
      </c>
      <c r="CD110" s="95" t="e">
        <f t="shared" ca="1" si="181"/>
        <v>#DIV/0!</v>
      </c>
      <c r="CE110" s="101" t="e">
        <f t="shared" si="226"/>
        <v>#N/A</v>
      </c>
      <c r="CF110" s="91" t="e">
        <f t="shared" si="150"/>
        <v>#N/A</v>
      </c>
      <c r="CG110" s="30" t="e">
        <f t="shared" si="206"/>
        <v>#N/A</v>
      </c>
      <c r="CH110" s="30" t="e">
        <f t="shared" si="207"/>
        <v>#N/A</v>
      </c>
      <c r="CI110" s="31" t="e">
        <f>IF(OR(Hypothèses!$B$4=17,Hypothèses!$B$4=18,Hypothèses!$B$4=19,Hypothèses!$B$4=20),
IF($D110="Pressio.",
IF(OR($E110=3,$E110=1,$E110=4),CH110,CG110),
IF($D110="Pénétro.",
IF(OR($E110=3,$E110=1,$E110=4),CH110,CG110))),IF($D110="Pressio.",
IF($E110=3,CH110,CG110),
IF($D110="Pénétro.",
IF($E110=4,CH110,CG110))))</f>
        <v>#N/A</v>
      </c>
      <c r="CJ110" s="31" t="e">
        <f>(IF(OR(Hypothèses!$B$4=17,Hypothèses!$B$4=18,Hypothèses!$B$4=19,Hypothèses!$B$4=20),
IF($D110="Pressio.",
IF(OR($E110=3,$E110=1,$E110=4),(PI()*CJ$12^2)/4*(CF110*$W110*1000)/($H110*$B$5),(PI()*CJ$12^2)/4*(CF110*$W110*1000)/($G110*$B$5)),
IF($D110="Pénétro.",
IF(OR($E110=4,$E110=1,$E110=5),(PI()*CJ$12^2)/4*(CF110*$W110*1000)/($H110*$B$5),(PI()*CJ$12^2)/4*(CF110*$W110*1000)/($G110*$B$5)))),
IF($D110="Pressio.",
IF($E110=3,(PI()*CJ$12^2)/4*(CF110*$W110*1000)/($H110*$B$5),(PI()*CJ$12^2)/4*(CF110*$W110*1000)/($G110*$B$5)),
IF($D110="Pénétro.",
IF($E110=4,(PI()*CJ$12^2)/4*(CF110*$W110*1000)/($H110*$B$5),(PI()*CJ$12^2)/4*(CF110*$W110*1000)/($G110*$B$5))))))/10</f>
        <v>#N/A</v>
      </c>
      <c r="CK110" s="102" t="e">
        <f>(VLOOKUP($B$3,'Coeff EC7'!$T$39:$X$59,2,0)*CI110+VLOOKUP($B$3,'Coeff EC7'!$T$65:$X$85,2,0)*Model0.1C!CJ110)/1.1</f>
        <v>#N/A</v>
      </c>
      <c r="CL110" s="102" t="e">
        <f>(VLOOKUP($B$3,'Coeff EC7'!$T$39:$X$59,3,0)*CI110+VLOOKUP($B$3,'Coeff EC7'!$T$65:$X$85,3,0)*Model0.1C!CJ110)/0.9</f>
        <v>#N/A</v>
      </c>
      <c r="CM110" s="102" t="e">
        <f t="shared" si="182"/>
        <v>#N/A</v>
      </c>
      <c r="CN110" s="102" t="e">
        <f t="shared" si="183"/>
        <v>#N/A</v>
      </c>
      <c r="CO110" s="414" t="e">
        <f>IF(CO109=0,0,IF(AND(CK110&gt;charge_ELS_quasi,CL110&gt;Charge_ELS_freq,CM110&gt;charge_ELU,CN110&gt;charge_ELA,$B110&gt;NDC!$H$22-0.1+MIN(3*$CO$12,1.5)),0,1))</f>
        <v>#N/A</v>
      </c>
      <c r="CP110" s="86" t="b">
        <f t="shared" si="151"/>
        <v>0</v>
      </c>
      <c r="CQ110" s="86">
        <f t="shared" si="152"/>
        <v>0.5</v>
      </c>
      <c r="CR110" s="86">
        <f t="shared" si="153"/>
        <v>0.5</v>
      </c>
      <c r="CS110" s="30" t="e">
        <f t="shared" ca="1" si="184"/>
        <v>#DIV/0!</v>
      </c>
      <c r="CT110" s="85" t="e">
        <f ca="1">IF(BZ110&lt;=Hypothèses!$V$7,Hypothèses!$W$7,IF(BZ110&lt;=Hypothèses!$V$8,Hypothèses!$W$8,IF(BZ110&lt;=Hypothèses!$V$9,Hypothèses!$W$9,IF(BZ110&lt;=Hypothèses!$V$10,Hypothèses!$W$10,IF(BZ110&lt;=Hypothèses!$V$11,Hypothèses!$W$11,IF(BZ110&lt;=Hypothèses!$V$12,Hypothèses!$W$12,IF(BZ110&lt;=Hypothèses!$V$13,Hypothèses!$W$13,IF(BZ110&lt;=Hypothèses!$V$14,Hypothèses!$W$14,IF(BZ110&lt;=Hypothèses!$V$15,Hypothèses!$W$15,IF(BZ110&lt;=Hypothèses!$V$16,Hypothèses!$W$16,IF(BZ110&lt;=Hypothèses!$V$17,Hypothèses!$W$17,IF(BZ110&lt;=Hypothèses!$V$18,Hypothèses!$W$18,""))))))))))))</f>
        <v>#DIV/0!</v>
      </c>
      <c r="CU110" s="87" t="e">
        <f t="shared" ca="1" si="220"/>
        <v>#DIV/0!</v>
      </c>
      <c r="CV110" s="88" t="e">
        <f ca="1">IF(BZ110&lt;=Hypothèses!$V$7,Hypothèses!$X$7,IF(BZ110&lt;=Hypothèses!$V$8,Hypothèses!$X$8,IF(BZ110&lt;=Hypothèses!$V$9,Hypothèses!$X$9,IF(BZ110&lt;=Hypothèses!$V$10,Hypothèses!$X$10,IF(BZ110&lt;=Hypothèses!$V$11,Hypothèses!$X$11,IF(BZ110&lt;=Hypothèses!$V$12,Hypothèses!$X$12,IF(BZ110&lt;=Hypothèses!$V$13,Hypothèses!$X$13,IF(BZ110&lt;=Hypothèses!$V$14,Hypothèses!$X$14,IF(BZ110&lt;=Hypothèses!$V$15,Hypothèses!$X$15,IF(BZ110&lt;=Hypothèses!$V$16,Hypothèses!$X$16,IF(BZ110&lt;=Hypothèses!$U$17,Hypothèses!$W$17,IF(BZ110&lt;=Hypothèses!$U$18,Hypothèses!$W$18,""))))))))))))</f>
        <v>#DIV/0!</v>
      </c>
      <c r="CW110" s="95" t="e">
        <f t="shared" ca="1" si="185"/>
        <v>#DIV/0!</v>
      </c>
      <c r="CX110" s="101" t="e">
        <f t="shared" si="227"/>
        <v>#N/A</v>
      </c>
      <c r="CY110" s="91" t="e">
        <f t="shared" si="154"/>
        <v>#N/A</v>
      </c>
      <c r="CZ110" s="30" t="e">
        <f t="shared" si="208"/>
        <v>#N/A</v>
      </c>
      <c r="DA110" s="30" t="e">
        <f t="shared" si="209"/>
        <v>#N/A</v>
      </c>
      <c r="DB110" s="31" t="e">
        <f>IF(OR(Hypothèses!$B$4=17,Hypothèses!$B$4=18,Hypothèses!$B$4=19,Hypothèses!$B$4=20),
IF($D110="Pressio.",
IF(OR($E110=3,$E110=1,$E110=4),DA110,CZ110),
IF($D110="Pénétro.",
IF(OR($E110=3,$E110=1,$E110=4),DA110,CZ110))),IF($D110="Pressio.",
IF($E110=3,DA110,CZ110),
IF($D110="Pénétro.",
IF($E110=4,DA110,CZ110))))</f>
        <v>#N/A</v>
      </c>
      <c r="DC110" s="31" t="e">
        <f>(IF(OR(Hypothèses!$B$4=17,Hypothèses!$B$4=18,Hypothèses!$B$4=19,Hypothèses!$B$4=20),
IF($D110="Pressio.",
IF(OR($E110=3,$E110=1,$E110=4),(PI()*DC$12^2)/4*(CY110*$W110*1000)/($H110*$B$5),(PI()*DC$12^2)/4*(CY110*$W110*1000)/($G110*$B$5)),
IF($D110="Pénétro.",
IF(OR($E110=4,$E110=1,$E110=5),(PI()*DC$12^2)/4*(CY110*$W110*1000)/($H110*$B$5),(PI()*DC$12^2)/4*(CY110*$W110*1000)/($G110*$B$5)))),
IF($D110="Pressio.",
IF($E110=3,(PI()*DC$12^2)/4*(CY110*$W110*1000)/($H110*$B$5),(PI()*DC$12^2)/4*(CY110*$W110*1000)/($G110*$B$5)),
IF($D110="Pénétro.",
IF($E110=4,(PI()*DC$12^2)/4*(CY110*$W110*1000)/($H110*$B$5),(PI()*DC$12^2)/4*(CY110*$W110*1000)/($G110*$B$5))))))/10</f>
        <v>#N/A</v>
      </c>
      <c r="DD110" s="102" t="e">
        <f>(VLOOKUP($B$3,'Coeff EC7'!$T$39:$X$59,2,0)*DB110+VLOOKUP($B$3,'Coeff EC7'!$T$65:$X$85,2,0)*Model0.1C!DC110)/1.1</f>
        <v>#N/A</v>
      </c>
      <c r="DE110" s="102" t="e">
        <f>(VLOOKUP($B$3,'Coeff EC7'!$T$39:$X$59,3,0)*DB110+VLOOKUP($B$3,'Coeff EC7'!$T$65:$X$85,3,0)*Model0.1C!DC110)/0.9</f>
        <v>#N/A</v>
      </c>
      <c r="DF110" s="102" t="e">
        <f t="shared" si="186"/>
        <v>#N/A</v>
      </c>
      <c r="DG110" s="102" t="e">
        <f t="shared" si="187"/>
        <v>#N/A</v>
      </c>
      <c r="DH110" s="414" t="e">
        <f>IF(DH109=0,0,IF(AND(DD110&gt;charge_ELS_quasi,DE110&gt;Charge_ELS_freq,DF110&gt;charge_ELU,DG110&gt;charge_ELA,$B110&gt;NDC!$H$22-0.1+MIN(3*$DH$12,1.5)),0,1))</f>
        <v>#N/A</v>
      </c>
      <c r="DI110" s="86" t="b">
        <f t="shared" si="155"/>
        <v>0</v>
      </c>
      <c r="DJ110" s="86">
        <f t="shared" si="156"/>
        <v>0.5</v>
      </c>
      <c r="DK110" s="86">
        <f t="shared" si="157"/>
        <v>0.5</v>
      </c>
      <c r="DL110" s="30" t="e">
        <f t="shared" ca="1" si="188"/>
        <v>#DIV/0!</v>
      </c>
      <c r="DM110" s="85" t="e">
        <f ca="1">IF(CS110&lt;=Hypothèses!$V$7,Hypothèses!$W$7,IF(CS110&lt;=Hypothèses!$V$8,Hypothèses!$W$8,IF(CS110&lt;=Hypothèses!$V$9,Hypothèses!$W$9,IF(CS110&lt;=Hypothèses!$V$10,Hypothèses!$W$10,IF(CS110&lt;=Hypothèses!$V$11,Hypothèses!$W$11,IF(CS110&lt;=Hypothèses!$V$12,Hypothèses!$W$12,IF(CS110&lt;=Hypothèses!$V$13,Hypothèses!$W$13,IF(CS110&lt;=Hypothèses!$V$14,Hypothèses!$W$14,IF(CS110&lt;=Hypothèses!$V$15,Hypothèses!$W$15,IF(CS110&lt;=Hypothèses!$V$16,Hypothèses!$W$16,IF(CS110&lt;=Hypothèses!$V$17,Hypothèses!$W$17,IF(CS110&lt;=Hypothèses!$V$18,Hypothèses!$W$18,""))))))))))))</f>
        <v>#DIV/0!</v>
      </c>
      <c r="DN110" s="87" t="e">
        <f t="shared" ca="1" si="221"/>
        <v>#DIV/0!</v>
      </c>
      <c r="DO110" s="88" t="e">
        <f ca="1">IF(CS110&lt;=Hypothèses!$V$7,Hypothèses!$X$7,IF(CS110&lt;=Hypothèses!$V$8,Hypothèses!$X$8,IF(CS110&lt;=Hypothèses!$V$9,Hypothèses!$X$9,IF(CS110&lt;=Hypothèses!$V$10,Hypothèses!$X$10,IF(CS110&lt;=Hypothèses!$V$11,Hypothèses!$X$11,IF(CS110&lt;=Hypothèses!$V$12,Hypothèses!$X$12,IF(CS110&lt;=Hypothèses!$V$13,Hypothèses!$X$13,IF(CS110&lt;=Hypothèses!$V$14,Hypothèses!$X$14,IF(CS110&lt;=Hypothèses!$V$15,Hypothèses!$X$15,IF(CS110&lt;=Hypothèses!$V$16,Hypothèses!$X$16,IF(CS110&lt;=Hypothèses!$U$17,Hypothèses!$W$17,IF(CS110&lt;=Hypothèses!$U$18,Hypothèses!$W$18,""))))))))))))</f>
        <v>#DIV/0!</v>
      </c>
      <c r="DP110" s="95" t="e">
        <f t="shared" ca="1" si="189"/>
        <v>#DIV/0!</v>
      </c>
      <c r="DQ110" s="101" t="e">
        <f t="shared" si="228"/>
        <v>#N/A</v>
      </c>
      <c r="DR110" s="91" t="e">
        <f t="shared" si="158"/>
        <v>#N/A</v>
      </c>
      <c r="DS110" s="30" t="e">
        <f t="shared" si="210"/>
        <v>#N/A</v>
      </c>
      <c r="DT110" s="30" t="e">
        <f t="shared" si="211"/>
        <v>#N/A</v>
      </c>
      <c r="DU110" s="31" t="e">
        <f>IF(OR(Hypothèses!$B$4=17,Hypothèses!$B$4=18,Hypothèses!$B$4=19,Hypothèses!$B$4=20),
IF($D110="Pressio.",
IF(OR($E110=3,$E110=1,$E110=4),DT110,DS110),
IF($D110="Pénétro.",
IF(OR($E110=3,$E110=1,$E110=4),DT110,DS110))),IF($D110="Pressio.",
IF($E110=3,DT110,DS110),
IF($D110="Pénétro.",
IF($E110=4,DT110,DS110))))</f>
        <v>#N/A</v>
      </c>
      <c r="DV110" s="31" t="e">
        <f>(IF(OR(Hypothèses!$B$4=17,Hypothèses!$B$4=18,Hypothèses!$B$4=19,Hypothèses!$B$4=20),
IF($D110="Pressio.",
IF(OR($E110=3,$E110=1,$E110=4),(PI()*DV$12^2)/4*(DR110*$W110*1000)/($H110*$B$5),(PI()*DV$12^2)/4*(DR110*$W110*1000)/($G110*$B$5)),
IF($D110="Pénétro.",
IF(OR($E110=4,$E110=1,$E110=5),(PI()*DV$12^2)/4*(DR110*$W110*1000)/($H110*$B$5),(PI()*DV$12^2)/4*(DR110*$W110*1000)/($G110*$B$5)))),
IF($D110="Pressio.",
IF($E110=3,(PI()*DV$12^2)/4*(DR110*$W110*1000)/($H110*$B$5),(PI()*DV$12^2)/4*(DR110*$W110*1000)/($G110*$B$5)),
IF($D110="Pénétro.",
IF($E110=4,(PI()*DV$12^2)/4*(DR110*$W110*1000)/($H110*$B$5),(PI()*DV$12^2)/4*(DR110*$W110*1000)/($G110*$B$5))))))/10</f>
        <v>#N/A</v>
      </c>
      <c r="DW110" s="102" t="e">
        <f>(VLOOKUP($B$3,'Coeff EC7'!$T$39:$X$59,2,0)*DU110+VLOOKUP($B$3,'Coeff EC7'!$T$65:$X$85,2,0)*Model0.1C!DV110)/1.1</f>
        <v>#N/A</v>
      </c>
      <c r="DX110" s="102" t="e">
        <f>(VLOOKUP($B$3,'Coeff EC7'!$T$39:$X$59,3,0)*DU110+VLOOKUP($B$3,'Coeff EC7'!$T$65:$X$85,3,0)*Model0.1C!DV110)/0.9</f>
        <v>#N/A</v>
      </c>
      <c r="DY110" s="102" t="e">
        <f t="shared" si="190"/>
        <v>#N/A</v>
      </c>
      <c r="DZ110" s="102" t="e">
        <f t="shared" si="191"/>
        <v>#N/A</v>
      </c>
      <c r="EA110" s="414" t="e">
        <f>IF(EA109=0,0,IF(AND(DW110&gt;charge_ELS_quasi,DX110&gt;Charge_ELS_freq,DY110&gt;charge_ELU,DZ110&gt;charge_ELA,$B110&gt;NDC!$H$22-0.1+MIN(3*$EA$12,1.5)),0,1))</f>
        <v>#N/A</v>
      </c>
      <c r="EB110" s="86" t="b">
        <f t="shared" si="159"/>
        <v>0</v>
      </c>
      <c r="EC110" s="418">
        <f t="shared" si="160"/>
        <v>0.51</v>
      </c>
      <c r="ED110" s="86">
        <f t="shared" si="161"/>
        <v>0.51</v>
      </c>
      <c r="EE110" s="30" t="e">
        <f t="shared" ca="1" si="192"/>
        <v>#DIV/0!</v>
      </c>
      <c r="EF110" s="85" t="e">
        <f ca="1">IF(DL110&lt;=Hypothèses!$V$7,Hypothèses!$W$7,IF(DL110&lt;=Hypothèses!$V$8,Hypothèses!$W$8,IF(DL110&lt;=Hypothèses!$V$9,Hypothèses!$W$9,IF(DL110&lt;=Hypothèses!$V$10,Hypothèses!$W$10,IF(DL110&lt;=Hypothèses!$V$11,Hypothèses!$W$11,IF(DL110&lt;=Hypothèses!$V$12,Hypothèses!$W$12,IF(DL110&lt;=Hypothèses!$V$13,Hypothèses!$W$13,IF(DL110&lt;=Hypothèses!$V$14,Hypothèses!$W$14,IF(DL110&lt;=Hypothèses!$V$15,Hypothèses!$W$15,IF(DL110&lt;=Hypothèses!$V$16,Hypothèses!$W$16,IF(DL110&lt;=Hypothèses!$V$17,Hypothèses!$W$17,IF(DL110&lt;=Hypothèses!$V$18,Hypothèses!$W$18,""))))))))))))</f>
        <v>#DIV/0!</v>
      </c>
      <c r="EG110" s="87" t="e">
        <f t="shared" ca="1" si="222"/>
        <v>#DIV/0!</v>
      </c>
      <c r="EH110" s="88" t="e">
        <f ca="1">IF(DL110&lt;=Hypothèses!$V$7,Hypothèses!$X$7,IF(DL110&lt;=Hypothèses!$V$8,Hypothèses!$X$8,IF(DL110&lt;=Hypothèses!$V$9,Hypothèses!$X$9,IF(DL110&lt;=Hypothèses!$V$10,Hypothèses!$X$10,IF(DL110&lt;=Hypothèses!$V$11,Hypothèses!$X$11,IF(DL110&lt;=Hypothèses!$V$12,Hypothèses!$X$12,IF(DL110&lt;=Hypothèses!$V$13,Hypothèses!$X$13,IF(DL110&lt;=Hypothèses!$V$14,Hypothèses!$X$14,IF(DL110&lt;=Hypothèses!$V$15,Hypothèses!$X$15,IF(DL110&lt;=Hypothèses!$V$16,Hypothèses!$X$16,IF(DL110&lt;=Hypothèses!$U$17,Hypothèses!$W$17,IF(DL110&lt;=Hypothèses!$U$18,Hypothèses!$W$18,""))))))))))))</f>
        <v>#DIV/0!</v>
      </c>
      <c r="EI110" s="95" t="e">
        <f t="shared" ca="1" si="193"/>
        <v>#DIV/0!</v>
      </c>
      <c r="EJ110" s="101" t="e">
        <f t="shared" si="229"/>
        <v>#N/A</v>
      </c>
      <c r="EK110" s="91" t="e">
        <f t="shared" si="162"/>
        <v>#N/A</v>
      </c>
      <c r="EL110" s="30" t="e">
        <f t="shared" si="212"/>
        <v>#N/A</v>
      </c>
      <c r="EM110" s="30" t="e">
        <f t="shared" si="213"/>
        <v>#N/A</v>
      </c>
      <c r="EN110" s="31" t="e">
        <f>IF(OR(Hypothèses!$B$4=17,Hypothèses!$B$4=18,Hypothèses!$B$4=19,Hypothèses!$B$4=20),
IF($D110="Pressio.",
IF(OR($E110=3,$E110=1,$E110=4),EM110,EL110),
IF($D110="Pénétro.",
IF(OR($E110=3,$E110=1,$E110=4),EM110,EL110))),IF($D110="Pressio.",
IF($E110=3,EM110,EL110),
IF($D110="Pénétro.",
IF($E110=4,EM110,EL110))))</f>
        <v>#N/A</v>
      </c>
      <c r="EO110" s="31" t="e">
        <f>(IF(OR(Hypothèses!$B$4=17,Hypothèses!$B$4=18,Hypothèses!$B$4=19,Hypothèses!$B$4=20),
IF($D110="Pressio.",
IF(OR($E110=3,$E110=1,$E110=4),(PI()*EO$12^2)/4*(EK110*$W110*1000)/($H110*$B$5),(PI()*EO$12^2)/4*(EK110*$W110*1000)/($G110*$B$5)),
IF($D110="Pénétro.",
IF(OR($E110=4,$E110=1,$E110=5),(PI()*EO$12^2)/4*(EK110*$W110*1000)/($H110*$B$5),(PI()*EO$12^2)/4*(EK110*$W110*1000)/($G110*$B$5)))),
IF($D110="Pressio.",
IF($E110=3,(PI()*EO$12^2)/4*(EK110*$W110*1000)/($H110*$B$5),(PI()*EO$12^2)/4*(EK110*$W110*1000)/($G110*$B$5)),
IF($D110="Pénétro.",
IF($E110=4,(PI()*EO$12^2)/4*(EK110*$W110*1000)/($H110*$B$5),(PI()*EO$12^2)/4*(EK110*$W110*1000)/($G110*$B$5))))))/10</f>
        <v>#N/A</v>
      </c>
      <c r="EP110" s="102" t="e">
        <f>(VLOOKUP($B$3,'Coeff EC7'!$T$39:$X$59,2,0)*EN110+VLOOKUP($B$3,'Coeff EC7'!$T$65:$X$85,2,0)*Model0.1C!EO110)/1.1</f>
        <v>#N/A</v>
      </c>
      <c r="EQ110" s="102" t="e">
        <f>(VLOOKUP($B$3,'Coeff EC7'!$T$39:$X$59,3,0)*EN110+VLOOKUP($B$3,'Coeff EC7'!$T$65:$X$85,3,0)*Model0.1C!EO110)/0.9</f>
        <v>#N/A</v>
      </c>
      <c r="ER110" s="102" t="e">
        <f t="shared" si="194"/>
        <v>#N/A</v>
      </c>
      <c r="ES110" s="102" t="e">
        <f t="shared" si="195"/>
        <v>#N/A</v>
      </c>
      <c r="ET110" s="414" t="e">
        <f>IF(ET109=0,0,IF(AND(EP110&gt;charge_ELS_quasi,EQ110&gt;Charge_ELS_freq,ER110&gt;charge_ELU,ES110&gt;charge_ELA,$B110&gt;NDC!$H$22-0.1+MIN(3*$ET$12,1.5)),0,1))</f>
        <v>#N/A</v>
      </c>
      <c r="EU110" s="86" t="b">
        <f t="shared" si="163"/>
        <v>0</v>
      </c>
      <c r="EV110" s="86">
        <f t="shared" si="164"/>
        <v>0.61</v>
      </c>
      <c r="EW110" s="86">
        <f t="shared" si="165"/>
        <v>0.61</v>
      </c>
      <c r="EX110" s="30" t="e">
        <f t="shared" ca="1" si="196"/>
        <v>#DIV/0!</v>
      </c>
      <c r="EY110" s="85" t="e">
        <f ca="1">IF(EE110&lt;=Hypothèses!$V$7,Hypothèses!$W$7,IF(EE110&lt;=Hypothèses!$V$8,Hypothèses!$W$8,IF(EE110&lt;=Hypothèses!$V$9,Hypothèses!$W$9,IF(EE110&lt;=Hypothèses!$V$10,Hypothèses!$W$10,IF(EE110&lt;=Hypothèses!$V$11,Hypothèses!$W$11,IF(EE110&lt;=Hypothèses!$V$12,Hypothèses!$W$12,IF(EE110&lt;=Hypothèses!$V$13,Hypothèses!$W$13,IF(EE110&lt;=Hypothèses!$V$14,Hypothèses!$W$14,IF(EE110&lt;=Hypothèses!$V$15,Hypothèses!$W$15,IF(EE110&lt;=Hypothèses!$V$16,Hypothèses!$W$16,IF(EE110&lt;=Hypothèses!$V$17,Hypothèses!$W$17,IF(EE110&lt;=Hypothèses!$V$18,Hypothèses!$W$18,""))))))))))))</f>
        <v>#DIV/0!</v>
      </c>
      <c r="EZ110" s="87" t="e">
        <f t="shared" ca="1" si="223"/>
        <v>#DIV/0!</v>
      </c>
      <c r="FA110" s="88" t="e">
        <f ca="1">IF(EE110&lt;=Hypothèses!$V$7,Hypothèses!$X$7,IF(EE110&lt;=Hypothèses!$V$8,Hypothèses!$X$8,IF(EE110&lt;=Hypothèses!$V$9,Hypothèses!$X$9,IF(EE110&lt;=Hypothèses!$V$10,Hypothèses!$X$10,IF(EE110&lt;=Hypothèses!$V$11,Hypothèses!$X$11,IF(EE110&lt;=Hypothèses!$V$12,Hypothèses!$X$12,IF(EE110&lt;=Hypothèses!$V$13,Hypothèses!$X$13,IF(EE110&lt;=Hypothèses!$V$14,Hypothèses!$X$14,IF(EE110&lt;=Hypothèses!$V$15,Hypothèses!$X$15,IF(EE110&lt;=Hypothèses!$V$16,Hypothèses!$X$16,IF(EE110&lt;=Hypothèses!$U$17,Hypothèses!$W$17,IF(EE110&lt;=Hypothèses!$U$18,Hypothèses!$W$18,""))))))))))))</f>
        <v>#DIV/0!</v>
      </c>
      <c r="FB110" s="95" t="e">
        <f t="shared" ca="1" si="197"/>
        <v>#DIV/0!</v>
      </c>
      <c r="FC110" s="101" t="e">
        <f t="shared" si="230"/>
        <v>#N/A</v>
      </c>
      <c r="FD110" s="91" t="e">
        <f t="shared" si="166"/>
        <v>#N/A</v>
      </c>
      <c r="FE110" s="30" t="e">
        <f t="shared" si="214"/>
        <v>#N/A</v>
      </c>
      <c r="FF110" s="30" t="e">
        <f t="shared" si="215"/>
        <v>#N/A</v>
      </c>
      <c r="FG110" s="31" t="e">
        <f>IF(OR(Hypothèses!$B$4=17,Hypothèses!$B$4=18,Hypothèses!$B$4=19,Hypothèses!$B$4=20),
IF($D110="Pressio.",
IF(OR($E110=3,$E110=1,$E110=4),FF110,FE110),
IF($D110="Pénétro.",
IF(OR($E110=3,$E110=1,$E110=4),FF110,FE110))),IF($D110="Pressio.",
IF($E110=3,FF110,FE110),
IF($D110="Pénétro.",
IF($E110=4,FF110,FE110))))</f>
        <v>#N/A</v>
      </c>
      <c r="FH110" s="31" t="e">
        <f>(IF(OR(Hypothèses!$B$4=17,Hypothèses!$B$4=18,Hypothèses!$B$4=19,Hypothèses!$B$4=20),
IF($D110="Pressio.",
IF(OR($E110=3,$E110=1,$E110=4),(PI()*FH$12^2)/4*(FD110*$W110*1000)/($H110*$B$5),(PI()*FH$12^2)/4*(FD110*$W110*1000)/($G110*$B$5)),
IF($D110="Pénétro.",
IF(OR($E110=4,$E110=1,$E110=5),(PI()*FH$12^2)/4*(FD110*$W110*1000)/($H110*$B$5),(PI()*FH$12^2)/4*(FD110*$W110*1000)/($G110*$B$5)))),
IF($D110="Pressio.",
IF($E110=3,(PI()*FH$12^2)/4*(FD110*$W110*1000)/($H110*$B$5),(PI()*FH$12^2)/4*(FD110*$W110*1000)/($G110*$B$5)),
IF($D110="Pénétro.",
IF($E110=4,(PI()*FH$12^2)/4*(FD110*$W110*1000)/($H110*$B$5),(PI()*FH$12^2)/4*(FD110*$W110*1000)/($G110*$B$5))))))/10</f>
        <v>#N/A</v>
      </c>
      <c r="FI110" s="102" t="e">
        <f>(VLOOKUP($B$3,'Coeff EC7'!$T$39:$X$59,2,0)*FG110+VLOOKUP($B$3,'Coeff EC7'!$T$65:$X$85,2,0)*Model0.1C!FH110)/1.1</f>
        <v>#N/A</v>
      </c>
      <c r="FJ110" s="102" t="e">
        <f>(VLOOKUP($B$3,'Coeff EC7'!$T$39:$X$59,3,0)*FG110+VLOOKUP($B$3,'Coeff EC7'!$T$65:$X$85,3,0)*Model0.1C!FH110)/0.9</f>
        <v>#N/A</v>
      </c>
      <c r="FK110" s="102" t="e">
        <f t="shared" si="198"/>
        <v>#N/A</v>
      </c>
      <c r="FL110" s="102" t="e">
        <f t="shared" si="199"/>
        <v>#N/A</v>
      </c>
      <c r="FM110" s="414" t="e">
        <f>IF(FM109=0,0,IF(AND(FI110&gt;charge_ELS_quasi,FJ110&gt;Charge_ELS_freq,FK110&gt;charge_ELU,FL110&gt;charge_ELA,$B110&gt;NDC!$H$22-0.1+MIN(3*$FM$12,1.5)),0,1))</f>
        <v>#N/A</v>
      </c>
    </row>
    <row r="111" spans="1:169">
      <c r="A111" s="96">
        <f t="shared" si="167"/>
        <v>90.200000000000557</v>
      </c>
      <c r="B111" s="97">
        <v>9.8000000000000007</v>
      </c>
      <c r="C111" s="81">
        <f>IF(B111&lt;=Hypothèses!$C$7,Hypothèses!$A$7,IF(B111&lt;=Hypothèses!$C$8,Hypothèses!$A$8,IF(B111&lt;=Hypothèses!$C$9,Hypothèses!$A$9,IF(B111&lt;=Hypothèses!$C$10,Hypothèses!$A$10,IF(B111&lt;=Hypothèses!$C$11,Hypothèses!$A$11,IF(B111&lt;=Hypothèses!$C$12,Hypothèses!$A$12,IF(B111&lt;=Hypothèses!$C$13,Hypothèses!$A$13,IF(B111&lt;=Hypothèses!$C$14,Hypothèses!$A$14,IF(B111&lt;=Hypothèses!$C$15,Hypothèses!$A$15,IF(B111&lt;=Hypothèses!$C$16,Hypothèses!$A$16,IF(B111&lt;=Hypothèses!$C$17,Hypothèses!$A$17,IF(B111&lt;=Hypothèses!$C$18,Hypothèses!$A$18,C110))))))))))))</f>
        <v>11</v>
      </c>
      <c r="D111" s="82" t="str">
        <f>IF(B111&lt;=Hypothèses!$C$7,Hypothèses!$R$7,IF(B111&lt;=Hypothèses!$C$8,Hypothèses!$R$8,IF(B111&lt;=Hypothèses!$C$9,Hypothèses!$R$9,IF(B111&lt;=Hypothèses!$C$10,Hypothèses!$R$10,IF(B111&lt;=Hypothèses!$C$11,Hypothèses!$R$11,IF(B111&lt;=Hypothèses!$C$12,Hypothèses!$R$12,IF(B111&lt;=Hypothèses!$C$13,Hypothèses!$R$13,IF(B111&lt;=Hypothèses!$C$14,Hypothèses!$R$14,IF(B111&lt;=Hypothèses!$C$15,Hypothèses!$R$15,IF(B111&lt;=Hypothèses!$C$16,Hypothèses!$R$16,IF(B111&lt;=Hypothèses!$C$17,Hypothèses!$R$17,IF(B111&lt;=Hypothèses!$C$18,Hypothèses!$R$18,D110))))))))))))</f>
        <v>Pressio.</v>
      </c>
      <c r="E111" s="82" t="e">
        <f>IF(B111&lt;=Hypothèses!$C$7,Hypothèses!$G$7,IF(B111&lt;=Hypothèses!$C$8,Hypothèses!$G$8,IF(B111&lt;=Hypothèses!$C$9,Hypothèses!$G$9,IF(B111&lt;=Hypothèses!$C$10,Hypothèses!$G$10,IF(B111&lt;=Hypothèses!$C$11,Hypothèses!$G$11,IF(B111&lt;=Hypothèses!$C$12,Hypothèses!$G$12,IF(B111&lt;=Hypothèses!$C$13,Hypothèses!$G$13,IF(B111&lt;=Hypothèses!$C$14,Hypothèses!$G$14,IF(B111&lt;=Hypothèses!$C$15,Hypothèses!$G$15,IF(B111&lt;=Hypothèses!$C$16,Hypothèses!$G$16,IF(B111&lt;=Hypothèses!$C$17,Hypothèses!$G$17,IF(B111&lt;=Hypothèses!$C$18,Hypothèses!$G$18,E110))))))))))))</f>
        <v>#N/A</v>
      </c>
      <c r="F111" s="82" t="str">
        <f>IF(B111&lt;=Hypothèses!$C$7,Hypothèses!$F$7,IF(B111&lt;=Hypothèses!$C$8,Hypothèses!$F$8,IF(B111&lt;=Hypothèses!$C$9,Hypothèses!$F$9,IF(B111&lt;=Hypothèses!$C$10,Hypothèses!$F$10,IF(B111&lt;=Hypothèses!$C$11,Hypothèses!$F$11,IF(B111&lt;=Hypothèses!$C$12,Hypothèses!$F$12,IF(B111&lt;=Hypothèses!$C$13,Hypothèses!$F$13,IF(B111&lt;=Hypothèses!$C$14,Hypothèses!$F$14,IF(B111&lt;=Hypothèses!$C$15,Hypothèses!$F$15,IF(B111&lt;=Hypothèses!$C$16,Hypothèses!$F$16,IF(B111&lt;=Hypothèses!$C$17,Hypothèses!$F$17,IF(B111&lt;=Hypothèses!$C$18,Hypothèses!$F$18,F110))))))))))))</f>
        <v/>
      </c>
      <c r="G111" s="91">
        <f t="array" ref="G111">INDEX('Coeff EC7'!$U$7:$X$27,
MATCH(Model0.1C!$B$3,'Coeff EC7'!$T$7:$T$27,0),
MATCH(Model0.1C!$D111&amp;Model0.1C!$B$4,
'Coeff EC7'!$U$6:$X$6&amp;
'Coeff EC7'!$U$5:$X$5,0))</f>
        <v>1.1499999999999999</v>
      </c>
      <c r="H111" s="91">
        <f t="array" ref="H111">INDEX('Coeff EC7'!$Y$7:$AB$27,
MATCH(Model0.1C!$B$3,'Coeff EC7'!$T$7:$T$27,0),
MATCH(Model0.1C!$D111&amp;Model0.1C!$B$4,
'Coeff EC7'!$Y$6:$AB$6&amp;
'Coeff EC7'!$Y$5:$AB$5,0))</f>
        <v>1.4</v>
      </c>
      <c r="I111" s="83" t="e">
        <f>IF(B111&lt;=Hypothèses!$C$7,Hypothèses!$P$7,IF(B111&lt;=Hypothèses!$C$8,Hypothèses!$P$8,IF(B111&lt;=Hypothèses!$C$9,Hypothèses!$P$9,IF(B111&lt;=Hypothèses!$C$10,Hypothèses!$P$10,IF(B111&lt;=Hypothèses!$C$11,Hypothèses!$P$11,IF(B111&lt;=Hypothèses!$C$12,Hypothèses!$P$12,IF(B111&lt;=Hypothèses!$C$13,Hypothèses!$P$13,IF(B111&lt;=Hypothèses!$C$14,Hypothèses!$P$14,IF(B111&lt;=Hypothèses!$C$15,Hypothèses!$P$15,IF(B111&lt;=Hypothèses!$C$16,Hypothèses!$P$16,IF(B111&lt;=Hypothèses!$C$17,Hypothèses!$P$17,IF(B111&lt;=Hypothèses!$C$18,Hypothèses!$P$18,I110))))))))))))</f>
        <v>#N/A</v>
      </c>
      <c r="J111" s="91" t="e">
        <f t="array" ref="J111">INDEX('Coeff EC7'!$D$33:$Q$33,1,MATCH(D111&amp;E111,'Coeff EC7'!$D$31:$Q$31&amp;'Coeff EC7'!$D$32:$Q$32,0))</f>
        <v>#N/A</v>
      </c>
      <c r="K111" s="91" t="e">
        <f t="array" ref="K111">INDEX('Coeff EC7'!$D$34:$Q$34,1,MATCH(D111&amp;E111,'Coeff EC7'!$D$31:$Q$31&amp;'Coeff EC7'!$D$32:$Q$32,0))</f>
        <v>#N/A</v>
      </c>
      <c r="L111" s="91" t="e">
        <f t="array" ref="L111">INDEX('Coeff EC7'!$D$35:$Q$35,1,MATCH(D111&amp;E111,'Coeff EC7'!$D$31:$Q$31&amp;'Coeff EC7'!$D$32:$Q$32,0))</f>
        <v>#N/A</v>
      </c>
      <c r="M111" s="98" t="e">
        <f t="shared" si="131"/>
        <v>#N/A</v>
      </c>
      <c r="N111" s="99" t="e">
        <f t="array" ref="N111">INDEX('Coeff EC7'!$D$7:$Q$27,MATCH($B$3,'Coeff EC7'!$C$7:$C$27,0),MATCH(D111&amp;E111,'Coeff EC7'!$D$5:$Q$5&amp;'Coeff EC7'!$D$6:$Q$6,0))</f>
        <v>#N/A</v>
      </c>
      <c r="O111" s="99" t="e">
        <f t="array" ref="O111">INDEX('Coeff EC7'!$D$41:$Q$61,MATCH($B$3,'Coeff EC7'!$C$41:$C$61,0),MATCH(D111&amp;E111,'Coeff EC7'!$D$39:$Q$39&amp;'Coeff EC7'!$D$40:$Q$40,0))</f>
        <v>#N/A</v>
      </c>
      <c r="P111" s="30" t="e">
        <f t="shared" si="168"/>
        <v>#N/A</v>
      </c>
      <c r="Q111" s="100" t="e">
        <f t="shared" si="133"/>
        <v>#N/A</v>
      </c>
      <c r="R111" s="86" t="b">
        <f t="shared" si="134"/>
        <v>0</v>
      </c>
      <c r="S111" s="86">
        <f t="shared" si="132"/>
        <v>0.5</v>
      </c>
      <c r="T111" s="86">
        <f t="shared" si="135"/>
        <v>0.5</v>
      </c>
      <c r="U111" s="30" t="e">
        <f t="shared" ca="1" si="169"/>
        <v>#DIV/0!</v>
      </c>
      <c r="V111" s="85" t="str">
        <f>IF(B111&lt;=Hypothèses!$V$7,Hypothèses!$W$7,IF(B111&lt;=Hypothèses!$V$8,Hypothèses!$W$8,IF(B111&lt;=Hypothèses!$V$9,Hypothèses!$W$9,IF(B111&lt;=Hypothèses!$V$10,Hypothèses!$W$10,IF(B111&lt;=Hypothèses!$V$11,Hypothèses!$W$11,IF(B111&lt;=Hypothèses!$V$12,Hypothèses!$W$12,IF(B111&lt;=Hypothèses!$V$13,Hypothèses!$W$13,IF(B111&lt;=Hypothèses!$V$14,Hypothèses!$W$14,IF(B111&lt;=Hypothèses!$V$15,Hypothèses!$W$15,IF(B111&lt;=Hypothèses!$V$16,Hypothèses!$W$16,IF(B111&lt;=Hypothèses!$V$17,Hypothèses!$W$17,IF(B111&lt;=Hypothèses!$V$18,Hypothèses!$W$18,""))))))))))))</f>
        <v/>
      </c>
      <c r="W111" s="87" t="e">
        <f t="shared" ca="1" si="216"/>
        <v>#DIV/0!</v>
      </c>
      <c r="X111" s="88" t="str">
        <f>IF(B111&lt;=Hypothèses!$V$7,Hypothèses!$X$7,IF(B111&lt;=Hypothèses!$V$8,Hypothèses!$X$8,IF(B111&lt;=Hypothèses!$V$9,Hypothèses!$X$9,IF(B111&lt;=Hypothèses!$V$10,Hypothèses!$X$10,IF(B111&lt;=Hypothèses!$V$11,Hypothèses!$X$11,IF(B111&lt;=Hypothèses!$V$12,Hypothèses!$X$12,IF(B111&lt;=Hypothèses!$V$13,Hypothèses!$X$13,IF(B111&lt;=Hypothèses!$V$14,Hypothèses!$X$14,IF(B111&lt;=Hypothèses!$V$15,Hypothèses!$X$15,IF(B111&lt;=Hypothèses!$V$16,Hypothèses!$X$16,IF(B111&lt;=Hypothèses!$U$17,Hypothèses!$W$17,IF(B111&lt;=Hypothèses!$U$18,Hypothèses!$W$18,""))))))))))))</f>
        <v/>
      </c>
      <c r="Y111" s="95" t="e">
        <f t="shared" ca="1" si="136"/>
        <v>#DIV/0!</v>
      </c>
      <c r="Z111" s="101" t="e">
        <f t="shared" si="137"/>
        <v>#N/A</v>
      </c>
      <c r="AA111" s="91" t="e">
        <f t="shared" si="138"/>
        <v>#N/A</v>
      </c>
      <c r="AB111" s="30" t="e">
        <f t="shared" si="200"/>
        <v>#N/A</v>
      </c>
      <c r="AC111" s="30" t="e">
        <f t="shared" si="201"/>
        <v>#N/A</v>
      </c>
      <c r="AD111" s="31" t="e">
        <f>IF(OR(Hypothèses!$B$4=17,Hypothèses!$B$4=18,Hypothèses!$B$4=19,Hypothèses!$B$4=20),
IF($D111="Pressio.",
IF(OR($E111=3,$E111=1,$E111=4),AC111,AB111),
IF($D111="Pénétro.",
IF(OR($E111=3,$E111=1,$E111=4),AC111,AB111))),IF($D111="Pressio.",
IF($E111=3,AC111,AB111),
IF($D111="Pénétro.",
IF($E111=4,AC111,AB111))))</f>
        <v>#N/A</v>
      </c>
      <c r="AE111" s="31" t="e">
        <f>(IF(OR(Hypothèses!$B$4=17,Hypothèses!$B$4=18,Hypothèses!$B$4=19,Hypothèses!$B$4=20),
IF($D111="Pressio.",
IF(OR($E111=3,$E111=1,$E111=4),(PI()*AE$12^2)/4*(AA111*$W111*1000)/($H111*$B$5),(PI()*AE$12^2)/4*(AA111*$W111*1000)/($G111*$B$5)),
IF($D111="Pénétro.",
IF(OR($E111=4,$E111=1,$E111=5),(PI()*AE$12^2)/4*(AA111*$W111*1000)/($H111*$B$5),(PI()*AE$12^2)/4*(AA111*$W111*1000)/($G111*$B$5)))),
IF($D111="Pressio.",
IF($E111=3,(PI()*AE$12^2)/4*(AA111*$W111*1000)/($H111*$B$5),(PI()*AE$12^2)/4*(AA111*$W111*1000)/($G111*$B$5)),
IF($D111="Pénétro.",
IF($E111=4,(PI()*AE$12^2)/4*(AA111*$W111*1000)/($H111*$B$5),(PI()*AE$12^2)/4*(AA111*$W111*1000)/($G111*$B$5))))))/10</f>
        <v>#N/A</v>
      </c>
      <c r="AF111" s="102" t="e">
        <f>(VLOOKUP($B$3,'Coeff EC7'!$T$39:$X$59,2,0)*AD111+VLOOKUP($B$3,'Coeff EC7'!$T$65:$X$85,2,0)*Model0.1C!AE111)/1.1</f>
        <v>#N/A</v>
      </c>
      <c r="AG111" s="102" t="e">
        <f>(VLOOKUP($B$3,'Coeff EC7'!$T$39:$X$59,3,0)*AD111+VLOOKUP($B$3,'Coeff EC7'!$T$65:$X$85,3,0)*Model0.1C!AE111)/0.9</f>
        <v>#N/A</v>
      </c>
      <c r="AH111" s="102" t="e">
        <f t="shared" si="139"/>
        <v>#N/A</v>
      </c>
      <c r="AI111" s="102" t="e">
        <f t="shared" si="140"/>
        <v>#N/A</v>
      </c>
      <c r="AJ111" s="414" t="e">
        <f>IF(AJ110=0,0,IF(AND(AF111&gt;charge_ELS_quasi,AG111&gt;Charge_ELS_freq,AH111&gt;charge_ELU,AI111&gt;charge_ELA,$B111&gt;NDC!$H$22-0.1+MIN(3*$AJ$12,1.5)),0,1))</f>
        <v>#N/A</v>
      </c>
      <c r="AK111" s="86" t="b">
        <f t="shared" si="141"/>
        <v>0</v>
      </c>
      <c r="AL111" s="86">
        <f t="shared" si="170"/>
        <v>0.5</v>
      </c>
      <c r="AM111" s="86">
        <f t="shared" si="142"/>
        <v>0.5</v>
      </c>
      <c r="AN111" s="30" t="e">
        <f t="shared" ca="1" si="171"/>
        <v>#DIV/0!</v>
      </c>
      <c r="AO111" s="85" t="e">
        <f ca="1">IF(U111&lt;=Hypothèses!$V$7,Hypothèses!$W$7,IF(U111&lt;=Hypothèses!$V$8,Hypothèses!$W$8,IF(U111&lt;=Hypothèses!$V$9,Hypothèses!$W$9,IF(U111&lt;=Hypothèses!$V$10,Hypothèses!$W$10,IF(U111&lt;=Hypothèses!$V$11,Hypothèses!$W$11,IF(U111&lt;=Hypothèses!$V$12,Hypothèses!$W$12,IF(U111&lt;=Hypothèses!$V$13,Hypothèses!$W$13,IF(U111&lt;=Hypothèses!$V$14,Hypothèses!$W$14,IF(U111&lt;=Hypothèses!$V$15,Hypothèses!$W$15,IF(U111&lt;=Hypothèses!$V$16,Hypothèses!$W$16,IF(U111&lt;=Hypothèses!$V$17,Hypothèses!$W$17,IF(U111&lt;=Hypothèses!$V$18,Hypothèses!$W$18,""))))))))))))</f>
        <v>#DIV/0!</v>
      </c>
      <c r="AP111" s="87" t="e">
        <f t="shared" ca="1" si="217"/>
        <v>#DIV/0!</v>
      </c>
      <c r="AQ111" s="88" t="e">
        <f ca="1">IF(U111&lt;=Hypothèses!$V$7,Hypothèses!$X$7,IF(U111&lt;=Hypothèses!$V$8,Hypothèses!$X$8,IF(U111&lt;=Hypothèses!$V$9,Hypothèses!$X$9,IF(U111&lt;=Hypothèses!$V$10,Hypothèses!$X$10,IF(U111&lt;=Hypothèses!$V$11,Hypothèses!$X$11,IF(U111&lt;=Hypothèses!$V$12,Hypothèses!$X$12,IF(U111&lt;=Hypothèses!$V$13,Hypothèses!$X$13,IF(U111&lt;=Hypothèses!$V$14,Hypothèses!$X$14,IF(U111&lt;=Hypothèses!$V$15,Hypothèses!$X$15,IF(U111&lt;=Hypothèses!$V$16,Hypothèses!$X$16,IF(U111&lt;=Hypothèses!$U$17,Hypothèses!$W$17,IF(U111&lt;=Hypothèses!$U$18,Hypothèses!$W$18,""))))))))))))</f>
        <v>#DIV/0!</v>
      </c>
      <c r="AR111" s="95" t="e">
        <f t="shared" ca="1" si="172"/>
        <v>#DIV/0!</v>
      </c>
      <c r="AS111" s="101" t="e">
        <f t="shared" si="224"/>
        <v>#N/A</v>
      </c>
      <c r="AT111" s="91" t="e">
        <f t="shared" si="143"/>
        <v>#N/A</v>
      </c>
      <c r="AU111" s="30" t="e">
        <f t="shared" si="202"/>
        <v>#N/A</v>
      </c>
      <c r="AV111" s="30" t="e">
        <f t="shared" si="203"/>
        <v>#N/A</v>
      </c>
      <c r="AW111" s="31" t="e">
        <f>IF(OR(Hypothèses!$B$4=17,Hypothèses!$B$4=18,Hypothèses!$B$4=19,Hypothèses!$B$4=20),
IF($D111="Pressio.",
IF(OR($E111=3,$E111=1,$E111=4),AV111,AU111),
IF($D111="Pénétro.",
IF(OR($E111=3,$E111=1,$E111=4),AV111,AU111))),IF($D111="Pressio.",
IF($E111=3,AV111,AU111),
IF($D111="Pénétro.",
IF($E111=4,AV111,AU111))))</f>
        <v>#N/A</v>
      </c>
      <c r="AX111" s="31" t="e">
        <f>(IF(OR(Hypothèses!$B$4=17,Hypothèses!$B$4=18,Hypothèses!$B$4=19,Hypothèses!$B$4=20),
IF($D111="Pressio.",
IF(OR($E111=3,$E111=1,$E111=4),(PI()*AX$12^2)/4*(AT111*$W111*1000)/($H111*$B$5),(PI()*AX$12^2)/4*(AT111*$W111*1000)/($G111*$B$5)),
IF($D111="Pénétro.",
IF(OR($E111=4,$E111=1,$E111=5),(PI()*AX$12^2)/4*(AT111*$W111*1000)/($H111*$B$5),(PI()*AX$12^2)/4*(AT111*$W111*1000)/($G111*$B$5)))),
IF($D111="Pressio.",
IF($E111=3,(PI()*AX$12^2)/4*(AT111*$W111*1000)/($H111*$B$5),(PI()*AX$12^2)/4*(AT111*$W111*1000)/($G111*$B$5)),
IF($D111="Pénétro.",
IF($E111=4,(PI()*AX$12^2)/4*(AT111*$W111*1000)/($H111*$B$5),(PI()*AX$12^2)/4*(AT111*$W111*1000)/($G111*$B$5))))))/10</f>
        <v>#N/A</v>
      </c>
      <c r="AY111" s="102" t="e">
        <f>(VLOOKUP($B$3,'Coeff EC7'!$T$39:$X$59,2,0)*AW111+VLOOKUP($B$3,'Coeff EC7'!$T$65:$X$85,2,0)*Model0.1C!AX111)/1.1</f>
        <v>#N/A</v>
      </c>
      <c r="AZ111" s="102" t="e">
        <f>(VLOOKUP($B$3,'Coeff EC7'!$T$39:$X$59,3,0)*AW111+VLOOKUP($B$3,'Coeff EC7'!$T$65:$X$85,3,0)*Model0.1C!AX111)/0.9</f>
        <v>#N/A</v>
      </c>
      <c r="BA111" s="102" t="e">
        <f t="shared" si="173"/>
        <v>#N/A</v>
      </c>
      <c r="BB111" s="102" t="e">
        <f t="shared" si="174"/>
        <v>#N/A</v>
      </c>
      <c r="BC111" s="414" t="e">
        <f>IF(BC110=0,0,IF(AND(AY111&gt;charge_ELS_quasi,AZ111&gt;Charge_ELS_freq,BA111&gt;charge_ELU,BB111&gt;charge_ELA,$B111&gt;NDC!$H$22-0.1+MIN(3*$BC$12,1.5)),0,1))</f>
        <v>#N/A</v>
      </c>
      <c r="BD111" s="86" t="b">
        <f t="shared" si="144"/>
        <v>0</v>
      </c>
      <c r="BE111" s="86">
        <f t="shared" si="175"/>
        <v>0.5</v>
      </c>
      <c r="BF111" s="86">
        <f t="shared" si="145"/>
        <v>0.5</v>
      </c>
      <c r="BG111" s="30" t="e">
        <f t="shared" ca="1" si="176"/>
        <v>#DIV/0!</v>
      </c>
      <c r="BH111" s="85" t="e">
        <f ca="1">IF(AN111&lt;=Hypothèses!$V$7,Hypothèses!$W$7,IF(AN111&lt;=Hypothèses!$V$8,Hypothèses!$W$8,IF(AN111&lt;=Hypothèses!$V$9,Hypothèses!$W$9,IF(AN111&lt;=Hypothèses!$V$10,Hypothèses!$W$10,IF(AN111&lt;=Hypothèses!$V$11,Hypothèses!$W$11,IF(AN111&lt;=Hypothèses!$V$12,Hypothèses!$W$12,IF(AN111&lt;=Hypothèses!$V$13,Hypothèses!$W$13,IF(AN111&lt;=Hypothèses!$V$14,Hypothèses!$W$14,IF(AN111&lt;=Hypothèses!$V$15,Hypothèses!$W$15,IF(AN111&lt;=Hypothèses!$V$16,Hypothèses!$W$16,IF(AN111&lt;=Hypothèses!$V$17,Hypothèses!$W$17,IF(AN111&lt;=Hypothèses!$V$18,Hypothèses!$W$18,""))))))))))))</f>
        <v>#DIV/0!</v>
      </c>
      <c r="BI111" s="87" t="e">
        <f t="shared" ca="1" si="218"/>
        <v>#DIV/0!</v>
      </c>
      <c r="BJ111" s="88" t="e">
        <f ca="1">IF(AN111&lt;=Hypothèses!$V$7,Hypothèses!$X$7,IF(AN111&lt;=Hypothèses!$V$8,Hypothèses!$X$8,IF(AN111&lt;=Hypothèses!$V$9,Hypothèses!$X$9,IF(AN111&lt;=Hypothèses!$V$10,Hypothèses!$X$10,IF(AN111&lt;=Hypothèses!$V$11,Hypothèses!$X$11,IF(AN111&lt;=Hypothèses!$V$12,Hypothèses!$X$12,IF(AN111&lt;=Hypothèses!$V$13,Hypothèses!$X$13,IF(AN111&lt;=Hypothèses!$V$14,Hypothèses!$X$14,IF(AN111&lt;=Hypothèses!$V$15,Hypothèses!$X$15,IF(AN111&lt;=Hypothèses!$V$16,Hypothèses!$X$16,IF(AN111&lt;=Hypothèses!$U$17,Hypothèses!$W$17,IF(AN111&lt;=Hypothèses!$U$18,Hypothèses!$W$18,""))))))))))))</f>
        <v>#DIV/0!</v>
      </c>
      <c r="BK111" s="95" t="e">
        <f t="shared" ca="1" si="177"/>
        <v>#DIV/0!</v>
      </c>
      <c r="BL111" s="101" t="e">
        <f t="shared" si="225"/>
        <v>#N/A</v>
      </c>
      <c r="BM111" s="91" t="e">
        <f t="shared" si="146"/>
        <v>#N/A</v>
      </c>
      <c r="BN111" s="30" t="e">
        <f t="shared" si="204"/>
        <v>#N/A</v>
      </c>
      <c r="BO111" s="30" t="e">
        <f t="shared" si="205"/>
        <v>#N/A</v>
      </c>
      <c r="BP111" s="31" t="e">
        <f>IF(OR(Hypothèses!$B$4=17,Hypothèses!$B$4=18,Hypothèses!$B$4=19,Hypothèses!$B$4=20),
IF($D111="Pressio.",
IF(OR($E111=3,$E111=1,$E111=4),BO111,BN111),
IF($D111="Pénétro.",
IF(OR($E111=3,$E111=1,$E111=4),BO111,BN111))),IF($D111="Pressio.",
IF($E111=3,BO111,BN111),
IF($D111="Pénétro.",
IF($E111=4,BO111,BN111))))</f>
        <v>#N/A</v>
      </c>
      <c r="BQ111" s="31" t="e">
        <f>(IF(OR(Hypothèses!$B$4=17,Hypothèses!$B$4=18,Hypothèses!$B$4=19,Hypothèses!$B$4=20),
IF($D111="Pressio.",
IF(OR($E111=3,$E111=1,$E111=4),(PI()*BQ$12^2)/4*(BM111*$W111*1000)/($H111*$B$5),(PI()*BQ$12^2)/4*(BM111*$W111*1000)/($G111*$B$5)),
IF($D111="Pénétro.",
IF(OR($E111=4,$E111=1,$E111=5),(PI()*BQ$12^2)/4*(BM111*$W111*1000)/($H111*$B$5),(PI()*BQ$12^2)/4*(BM111*$W111*1000)/($G111*$B$5)))),
IF($D111="Pressio.",
IF($E111=3,(PI()*BQ$12^2)/4*(BM111*$W111*1000)/($H111*$B$5),(PI()*BQ$12^2)/4*(BM111*$W111*1000)/($G111*$B$5)),
IF($D111="Pénétro.",
IF($E111=4,(PI()*BQ$12^2)/4*(BM111*$W111*1000)/($H111*$B$5),(PI()*BQ$12^2)/4*(BM111*$W111*1000)/($G111*$B$5))))))/10</f>
        <v>#N/A</v>
      </c>
      <c r="BR111" s="102" t="e">
        <f>(VLOOKUP($B$3,'Coeff EC7'!$T$39:$X$59,2,0)*BP111+VLOOKUP($B$3,'Coeff EC7'!$T$65:$X$85,2,0)*Model0.1C!BQ111)/1.1</f>
        <v>#N/A</v>
      </c>
      <c r="BS111" s="102" t="e">
        <f>(VLOOKUP($B$3,'Coeff EC7'!$T$39:$X$59,3,0)*BP111+VLOOKUP($B$3,'Coeff EC7'!$T$65:$X$85,3,0)*Model0.1C!BQ111)/0.9</f>
        <v>#N/A</v>
      </c>
      <c r="BT111" s="102" t="e">
        <f t="shared" si="178"/>
        <v>#N/A</v>
      </c>
      <c r="BU111" s="102" t="e">
        <f t="shared" si="179"/>
        <v>#N/A</v>
      </c>
      <c r="BV111" s="414" t="e">
        <f>IF(BV110=0,0,IF(AND(BR111&gt;charge_ELS_quasi,BS111&gt;Charge_ELS_freq,BT111&gt;charge_ELU,BU111&gt;charge_ELA,$B111&gt;NDC!$H$22-0.1+MIN(3*$BV$12,1.5)),0,1))</f>
        <v>#N/A</v>
      </c>
      <c r="BW111" s="86" t="b">
        <f t="shared" si="147"/>
        <v>0</v>
      </c>
      <c r="BX111" s="86">
        <f t="shared" si="148"/>
        <v>0.5</v>
      </c>
      <c r="BY111" s="86">
        <f t="shared" si="149"/>
        <v>0.5</v>
      </c>
      <c r="BZ111" s="30" t="e">
        <f t="shared" ca="1" si="180"/>
        <v>#DIV/0!</v>
      </c>
      <c r="CA111" s="85" t="e">
        <f ca="1">IF(BG111&lt;=Hypothèses!$V$7,Hypothèses!$W$7,IF(BG111&lt;=Hypothèses!$V$8,Hypothèses!$W$8,IF(BG111&lt;=Hypothèses!$V$9,Hypothèses!$W$9,IF(BG111&lt;=Hypothèses!$V$10,Hypothèses!$W$10,IF(BG111&lt;=Hypothèses!$V$11,Hypothèses!$W$11,IF(BG111&lt;=Hypothèses!$V$12,Hypothèses!$W$12,IF(BG111&lt;=Hypothèses!$V$13,Hypothèses!$W$13,IF(BG111&lt;=Hypothèses!$V$14,Hypothèses!$W$14,IF(BG111&lt;=Hypothèses!$V$15,Hypothèses!$W$15,IF(BG111&lt;=Hypothèses!$V$16,Hypothèses!$W$16,IF(BG111&lt;=Hypothèses!$V$17,Hypothèses!$W$17,IF(BG111&lt;=Hypothèses!$V$18,Hypothèses!$W$18,""))))))))))))</f>
        <v>#DIV/0!</v>
      </c>
      <c r="CB111" s="87" t="e">
        <f t="shared" ca="1" si="219"/>
        <v>#DIV/0!</v>
      </c>
      <c r="CC111" s="88" t="e">
        <f ca="1">IF(BG111&lt;=Hypothèses!$V$7,Hypothèses!$X$7,IF(BG111&lt;=Hypothèses!$V$8,Hypothèses!$X$8,IF(BG111&lt;=Hypothèses!$V$9,Hypothèses!$X$9,IF(BG111&lt;=Hypothèses!$V$10,Hypothèses!$X$10,IF(BG111&lt;=Hypothèses!$V$11,Hypothèses!$X$11,IF(BG111&lt;=Hypothèses!$V$12,Hypothèses!$X$12,IF(BG111&lt;=Hypothèses!$V$13,Hypothèses!$X$13,IF(BG111&lt;=Hypothèses!$V$14,Hypothèses!$X$14,IF(BG111&lt;=Hypothèses!$V$15,Hypothèses!$X$15,IF(BG111&lt;=Hypothèses!$V$16,Hypothèses!$X$16,IF(BG111&lt;=Hypothèses!$U$17,Hypothèses!$W$17,IF(BG111&lt;=Hypothèses!$U$18,Hypothèses!$W$18,""))))))))))))</f>
        <v>#DIV/0!</v>
      </c>
      <c r="CD111" s="95" t="e">
        <f t="shared" ca="1" si="181"/>
        <v>#DIV/0!</v>
      </c>
      <c r="CE111" s="101" t="e">
        <f t="shared" si="226"/>
        <v>#N/A</v>
      </c>
      <c r="CF111" s="91" t="e">
        <f t="shared" si="150"/>
        <v>#N/A</v>
      </c>
      <c r="CG111" s="30" t="e">
        <f t="shared" si="206"/>
        <v>#N/A</v>
      </c>
      <c r="CH111" s="30" t="e">
        <f t="shared" si="207"/>
        <v>#N/A</v>
      </c>
      <c r="CI111" s="31" t="e">
        <f>IF(OR(Hypothèses!$B$4=17,Hypothèses!$B$4=18,Hypothèses!$B$4=19,Hypothèses!$B$4=20),
IF($D111="Pressio.",
IF(OR($E111=3,$E111=1,$E111=4),CH111,CG111),
IF($D111="Pénétro.",
IF(OR($E111=3,$E111=1,$E111=4),CH111,CG111))),IF($D111="Pressio.",
IF($E111=3,CH111,CG111),
IF($D111="Pénétro.",
IF($E111=4,CH111,CG111))))</f>
        <v>#N/A</v>
      </c>
      <c r="CJ111" s="31" t="e">
        <f>(IF(OR(Hypothèses!$B$4=17,Hypothèses!$B$4=18,Hypothèses!$B$4=19,Hypothèses!$B$4=20),
IF($D111="Pressio.",
IF(OR($E111=3,$E111=1,$E111=4),(PI()*CJ$12^2)/4*(CF111*$W111*1000)/($H111*$B$5),(PI()*CJ$12^2)/4*(CF111*$W111*1000)/($G111*$B$5)),
IF($D111="Pénétro.",
IF(OR($E111=4,$E111=1,$E111=5),(PI()*CJ$12^2)/4*(CF111*$W111*1000)/($H111*$B$5),(PI()*CJ$12^2)/4*(CF111*$W111*1000)/($G111*$B$5)))),
IF($D111="Pressio.",
IF($E111=3,(PI()*CJ$12^2)/4*(CF111*$W111*1000)/($H111*$B$5),(PI()*CJ$12^2)/4*(CF111*$W111*1000)/($G111*$B$5)),
IF($D111="Pénétro.",
IF($E111=4,(PI()*CJ$12^2)/4*(CF111*$W111*1000)/($H111*$B$5),(PI()*CJ$12^2)/4*(CF111*$W111*1000)/($G111*$B$5))))))/10</f>
        <v>#N/A</v>
      </c>
      <c r="CK111" s="102" t="e">
        <f>(VLOOKUP($B$3,'Coeff EC7'!$T$39:$X$59,2,0)*CI111+VLOOKUP($B$3,'Coeff EC7'!$T$65:$X$85,2,0)*Model0.1C!CJ111)/1.1</f>
        <v>#N/A</v>
      </c>
      <c r="CL111" s="102" t="e">
        <f>(VLOOKUP($B$3,'Coeff EC7'!$T$39:$X$59,3,0)*CI111+VLOOKUP($B$3,'Coeff EC7'!$T$65:$X$85,3,0)*Model0.1C!CJ111)/0.9</f>
        <v>#N/A</v>
      </c>
      <c r="CM111" s="102" t="e">
        <f t="shared" si="182"/>
        <v>#N/A</v>
      </c>
      <c r="CN111" s="102" t="e">
        <f t="shared" si="183"/>
        <v>#N/A</v>
      </c>
      <c r="CO111" s="414" t="e">
        <f>IF(CO110=0,0,IF(AND(CK111&gt;charge_ELS_quasi,CL111&gt;Charge_ELS_freq,CM111&gt;charge_ELU,CN111&gt;charge_ELA,$B111&gt;NDC!$H$22-0.1+MIN(3*$CO$12,1.5)),0,1))</f>
        <v>#N/A</v>
      </c>
      <c r="CP111" s="86" t="b">
        <f t="shared" si="151"/>
        <v>0</v>
      </c>
      <c r="CQ111" s="86">
        <f t="shared" si="152"/>
        <v>0.5</v>
      </c>
      <c r="CR111" s="86">
        <f t="shared" si="153"/>
        <v>0.5</v>
      </c>
      <c r="CS111" s="30" t="e">
        <f t="shared" ca="1" si="184"/>
        <v>#DIV/0!</v>
      </c>
      <c r="CT111" s="85" t="e">
        <f ca="1">IF(BZ111&lt;=Hypothèses!$V$7,Hypothèses!$W$7,IF(BZ111&lt;=Hypothèses!$V$8,Hypothèses!$W$8,IF(BZ111&lt;=Hypothèses!$V$9,Hypothèses!$W$9,IF(BZ111&lt;=Hypothèses!$V$10,Hypothèses!$W$10,IF(BZ111&lt;=Hypothèses!$V$11,Hypothèses!$W$11,IF(BZ111&lt;=Hypothèses!$V$12,Hypothèses!$W$12,IF(BZ111&lt;=Hypothèses!$V$13,Hypothèses!$W$13,IF(BZ111&lt;=Hypothèses!$V$14,Hypothèses!$W$14,IF(BZ111&lt;=Hypothèses!$V$15,Hypothèses!$W$15,IF(BZ111&lt;=Hypothèses!$V$16,Hypothèses!$W$16,IF(BZ111&lt;=Hypothèses!$V$17,Hypothèses!$W$17,IF(BZ111&lt;=Hypothèses!$V$18,Hypothèses!$W$18,""))))))))))))</f>
        <v>#DIV/0!</v>
      </c>
      <c r="CU111" s="87" t="e">
        <f t="shared" ca="1" si="220"/>
        <v>#DIV/0!</v>
      </c>
      <c r="CV111" s="88" t="e">
        <f ca="1">IF(BZ111&lt;=Hypothèses!$V$7,Hypothèses!$X$7,IF(BZ111&lt;=Hypothèses!$V$8,Hypothèses!$X$8,IF(BZ111&lt;=Hypothèses!$V$9,Hypothèses!$X$9,IF(BZ111&lt;=Hypothèses!$V$10,Hypothèses!$X$10,IF(BZ111&lt;=Hypothèses!$V$11,Hypothèses!$X$11,IF(BZ111&lt;=Hypothèses!$V$12,Hypothèses!$X$12,IF(BZ111&lt;=Hypothèses!$V$13,Hypothèses!$X$13,IF(BZ111&lt;=Hypothèses!$V$14,Hypothèses!$X$14,IF(BZ111&lt;=Hypothèses!$V$15,Hypothèses!$X$15,IF(BZ111&lt;=Hypothèses!$V$16,Hypothèses!$X$16,IF(BZ111&lt;=Hypothèses!$U$17,Hypothèses!$W$17,IF(BZ111&lt;=Hypothèses!$U$18,Hypothèses!$W$18,""))))))))))))</f>
        <v>#DIV/0!</v>
      </c>
      <c r="CW111" s="95" t="e">
        <f t="shared" ca="1" si="185"/>
        <v>#DIV/0!</v>
      </c>
      <c r="CX111" s="101" t="e">
        <f t="shared" si="227"/>
        <v>#N/A</v>
      </c>
      <c r="CY111" s="91" t="e">
        <f t="shared" si="154"/>
        <v>#N/A</v>
      </c>
      <c r="CZ111" s="30" t="e">
        <f t="shared" si="208"/>
        <v>#N/A</v>
      </c>
      <c r="DA111" s="30" t="e">
        <f t="shared" si="209"/>
        <v>#N/A</v>
      </c>
      <c r="DB111" s="31" t="e">
        <f>IF(OR(Hypothèses!$B$4=17,Hypothèses!$B$4=18,Hypothèses!$B$4=19,Hypothèses!$B$4=20),
IF($D111="Pressio.",
IF(OR($E111=3,$E111=1,$E111=4),DA111,CZ111),
IF($D111="Pénétro.",
IF(OR($E111=3,$E111=1,$E111=4),DA111,CZ111))),IF($D111="Pressio.",
IF($E111=3,DA111,CZ111),
IF($D111="Pénétro.",
IF($E111=4,DA111,CZ111))))</f>
        <v>#N/A</v>
      </c>
      <c r="DC111" s="31" t="e">
        <f>(IF(OR(Hypothèses!$B$4=17,Hypothèses!$B$4=18,Hypothèses!$B$4=19,Hypothèses!$B$4=20),
IF($D111="Pressio.",
IF(OR($E111=3,$E111=1,$E111=4),(PI()*DC$12^2)/4*(CY111*$W111*1000)/($H111*$B$5),(PI()*DC$12^2)/4*(CY111*$W111*1000)/($G111*$B$5)),
IF($D111="Pénétro.",
IF(OR($E111=4,$E111=1,$E111=5),(PI()*DC$12^2)/4*(CY111*$W111*1000)/($H111*$B$5),(PI()*DC$12^2)/4*(CY111*$W111*1000)/($G111*$B$5)))),
IF($D111="Pressio.",
IF($E111=3,(PI()*DC$12^2)/4*(CY111*$W111*1000)/($H111*$B$5),(PI()*DC$12^2)/4*(CY111*$W111*1000)/($G111*$B$5)),
IF($D111="Pénétro.",
IF($E111=4,(PI()*DC$12^2)/4*(CY111*$W111*1000)/($H111*$B$5),(PI()*DC$12^2)/4*(CY111*$W111*1000)/($G111*$B$5))))))/10</f>
        <v>#N/A</v>
      </c>
      <c r="DD111" s="102" t="e">
        <f>(VLOOKUP($B$3,'Coeff EC7'!$T$39:$X$59,2,0)*DB111+VLOOKUP($B$3,'Coeff EC7'!$T$65:$X$85,2,0)*Model0.1C!DC111)/1.1</f>
        <v>#N/A</v>
      </c>
      <c r="DE111" s="102" t="e">
        <f>(VLOOKUP($B$3,'Coeff EC7'!$T$39:$X$59,3,0)*DB111+VLOOKUP($B$3,'Coeff EC7'!$T$65:$X$85,3,0)*Model0.1C!DC111)/0.9</f>
        <v>#N/A</v>
      </c>
      <c r="DF111" s="102" t="e">
        <f t="shared" si="186"/>
        <v>#N/A</v>
      </c>
      <c r="DG111" s="102" t="e">
        <f t="shared" si="187"/>
        <v>#N/A</v>
      </c>
      <c r="DH111" s="414" t="e">
        <f>IF(DH110=0,0,IF(AND(DD111&gt;charge_ELS_quasi,DE111&gt;Charge_ELS_freq,DF111&gt;charge_ELU,DG111&gt;charge_ELA,$B111&gt;NDC!$H$22-0.1+MIN(3*$DH$12,1.5)),0,1))</f>
        <v>#N/A</v>
      </c>
      <c r="DI111" s="86" t="b">
        <f t="shared" si="155"/>
        <v>0</v>
      </c>
      <c r="DJ111" s="86">
        <f t="shared" si="156"/>
        <v>0.5</v>
      </c>
      <c r="DK111" s="86">
        <f t="shared" si="157"/>
        <v>0.5</v>
      </c>
      <c r="DL111" s="30" t="e">
        <f t="shared" ca="1" si="188"/>
        <v>#DIV/0!</v>
      </c>
      <c r="DM111" s="85" t="e">
        <f ca="1">IF(CS111&lt;=Hypothèses!$V$7,Hypothèses!$W$7,IF(CS111&lt;=Hypothèses!$V$8,Hypothèses!$W$8,IF(CS111&lt;=Hypothèses!$V$9,Hypothèses!$W$9,IF(CS111&lt;=Hypothèses!$V$10,Hypothèses!$W$10,IF(CS111&lt;=Hypothèses!$V$11,Hypothèses!$W$11,IF(CS111&lt;=Hypothèses!$V$12,Hypothèses!$W$12,IF(CS111&lt;=Hypothèses!$V$13,Hypothèses!$W$13,IF(CS111&lt;=Hypothèses!$V$14,Hypothèses!$W$14,IF(CS111&lt;=Hypothèses!$V$15,Hypothèses!$W$15,IF(CS111&lt;=Hypothèses!$V$16,Hypothèses!$W$16,IF(CS111&lt;=Hypothèses!$V$17,Hypothèses!$W$17,IF(CS111&lt;=Hypothèses!$V$18,Hypothèses!$W$18,""))))))))))))</f>
        <v>#DIV/0!</v>
      </c>
      <c r="DN111" s="87" t="e">
        <f t="shared" ca="1" si="221"/>
        <v>#DIV/0!</v>
      </c>
      <c r="DO111" s="88" t="e">
        <f ca="1">IF(CS111&lt;=Hypothèses!$V$7,Hypothèses!$X$7,IF(CS111&lt;=Hypothèses!$V$8,Hypothèses!$X$8,IF(CS111&lt;=Hypothèses!$V$9,Hypothèses!$X$9,IF(CS111&lt;=Hypothèses!$V$10,Hypothèses!$X$10,IF(CS111&lt;=Hypothèses!$V$11,Hypothèses!$X$11,IF(CS111&lt;=Hypothèses!$V$12,Hypothèses!$X$12,IF(CS111&lt;=Hypothèses!$V$13,Hypothèses!$X$13,IF(CS111&lt;=Hypothèses!$V$14,Hypothèses!$X$14,IF(CS111&lt;=Hypothèses!$V$15,Hypothèses!$X$15,IF(CS111&lt;=Hypothèses!$V$16,Hypothèses!$X$16,IF(CS111&lt;=Hypothèses!$U$17,Hypothèses!$W$17,IF(CS111&lt;=Hypothèses!$U$18,Hypothèses!$W$18,""))))))))))))</f>
        <v>#DIV/0!</v>
      </c>
      <c r="DP111" s="95" t="e">
        <f t="shared" ca="1" si="189"/>
        <v>#DIV/0!</v>
      </c>
      <c r="DQ111" s="101" t="e">
        <f t="shared" si="228"/>
        <v>#N/A</v>
      </c>
      <c r="DR111" s="91" t="e">
        <f t="shared" si="158"/>
        <v>#N/A</v>
      </c>
      <c r="DS111" s="30" t="e">
        <f t="shared" si="210"/>
        <v>#N/A</v>
      </c>
      <c r="DT111" s="30" t="e">
        <f t="shared" si="211"/>
        <v>#N/A</v>
      </c>
      <c r="DU111" s="31" t="e">
        <f>IF(OR(Hypothèses!$B$4=17,Hypothèses!$B$4=18,Hypothèses!$B$4=19,Hypothèses!$B$4=20),
IF($D111="Pressio.",
IF(OR($E111=3,$E111=1,$E111=4),DT111,DS111),
IF($D111="Pénétro.",
IF(OR($E111=3,$E111=1,$E111=4),DT111,DS111))),IF($D111="Pressio.",
IF($E111=3,DT111,DS111),
IF($D111="Pénétro.",
IF($E111=4,DT111,DS111))))</f>
        <v>#N/A</v>
      </c>
      <c r="DV111" s="31" t="e">
        <f>(IF(OR(Hypothèses!$B$4=17,Hypothèses!$B$4=18,Hypothèses!$B$4=19,Hypothèses!$B$4=20),
IF($D111="Pressio.",
IF(OR($E111=3,$E111=1,$E111=4),(PI()*DV$12^2)/4*(DR111*$W111*1000)/($H111*$B$5),(PI()*DV$12^2)/4*(DR111*$W111*1000)/($G111*$B$5)),
IF($D111="Pénétro.",
IF(OR($E111=4,$E111=1,$E111=5),(PI()*DV$12^2)/4*(DR111*$W111*1000)/($H111*$B$5),(PI()*DV$12^2)/4*(DR111*$W111*1000)/($G111*$B$5)))),
IF($D111="Pressio.",
IF($E111=3,(PI()*DV$12^2)/4*(DR111*$W111*1000)/($H111*$B$5),(PI()*DV$12^2)/4*(DR111*$W111*1000)/($G111*$B$5)),
IF($D111="Pénétro.",
IF($E111=4,(PI()*DV$12^2)/4*(DR111*$W111*1000)/($H111*$B$5),(PI()*DV$12^2)/4*(DR111*$W111*1000)/($G111*$B$5))))))/10</f>
        <v>#N/A</v>
      </c>
      <c r="DW111" s="102" t="e">
        <f>(VLOOKUP($B$3,'Coeff EC7'!$T$39:$X$59,2,0)*DU111+VLOOKUP($B$3,'Coeff EC7'!$T$65:$X$85,2,0)*Model0.1C!DV111)/1.1</f>
        <v>#N/A</v>
      </c>
      <c r="DX111" s="102" t="e">
        <f>(VLOOKUP($B$3,'Coeff EC7'!$T$39:$X$59,3,0)*DU111+VLOOKUP($B$3,'Coeff EC7'!$T$65:$X$85,3,0)*Model0.1C!DV111)/0.9</f>
        <v>#N/A</v>
      </c>
      <c r="DY111" s="102" t="e">
        <f t="shared" si="190"/>
        <v>#N/A</v>
      </c>
      <c r="DZ111" s="102" t="e">
        <f t="shared" si="191"/>
        <v>#N/A</v>
      </c>
      <c r="EA111" s="414" t="e">
        <f>IF(EA110=0,0,IF(AND(DW111&gt;charge_ELS_quasi,DX111&gt;Charge_ELS_freq,DY111&gt;charge_ELU,DZ111&gt;charge_ELA,$B111&gt;NDC!$H$22-0.1+MIN(3*$EA$12,1.5)),0,1))</f>
        <v>#N/A</v>
      </c>
      <c r="EB111" s="86" t="b">
        <f t="shared" si="159"/>
        <v>0</v>
      </c>
      <c r="EC111" s="418">
        <f t="shared" si="160"/>
        <v>0.51</v>
      </c>
      <c r="ED111" s="86">
        <f t="shared" si="161"/>
        <v>0.51</v>
      </c>
      <c r="EE111" s="30" t="e">
        <f t="shared" ca="1" si="192"/>
        <v>#DIV/0!</v>
      </c>
      <c r="EF111" s="85" t="e">
        <f ca="1">IF(DL111&lt;=Hypothèses!$V$7,Hypothèses!$W$7,IF(DL111&lt;=Hypothèses!$V$8,Hypothèses!$W$8,IF(DL111&lt;=Hypothèses!$V$9,Hypothèses!$W$9,IF(DL111&lt;=Hypothèses!$V$10,Hypothèses!$W$10,IF(DL111&lt;=Hypothèses!$V$11,Hypothèses!$W$11,IF(DL111&lt;=Hypothèses!$V$12,Hypothèses!$W$12,IF(DL111&lt;=Hypothèses!$V$13,Hypothèses!$W$13,IF(DL111&lt;=Hypothèses!$V$14,Hypothèses!$W$14,IF(DL111&lt;=Hypothèses!$V$15,Hypothèses!$W$15,IF(DL111&lt;=Hypothèses!$V$16,Hypothèses!$W$16,IF(DL111&lt;=Hypothèses!$V$17,Hypothèses!$W$17,IF(DL111&lt;=Hypothèses!$V$18,Hypothèses!$W$18,""))))))))))))</f>
        <v>#DIV/0!</v>
      </c>
      <c r="EG111" s="87" t="e">
        <f t="shared" ca="1" si="222"/>
        <v>#DIV/0!</v>
      </c>
      <c r="EH111" s="88" t="e">
        <f ca="1">IF(DL111&lt;=Hypothèses!$V$7,Hypothèses!$X$7,IF(DL111&lt;=Hypothèses!$V$8,Hypothèses!$X$8,IF(DL111&lt;=Hypothèses!$V$9,Hypothèses!$X$9,IF(DL111&lt;=Hypothèses!$V$10,Hypothèses!$X$10,IF(DL111&lt;=Hypothèses!$V$11,Hypothèses!$X$11,IF(DL111&lt;=Hypothèses!$V$12,Hypothèses!$X$12,IF(DL111&lt;=Hypothèses!$V$13,Hypothèses!$X$13,IF(DL111&lt;=Hypothèses!$V$14,Hypothèses!$X$14,IF(DL111&lt;=Hypothèses!$V$15,Hypothèses!$X$15,IF(DL111&lt;=Hypothèses!$V$16,Hypothèses!$X$16,IF(DL111&lt;=Hypothèses!$U$17,Hypothèses!$W$17,IF(DL111&lt;=Hypothèses!$U$18,Hypothèses!$W$18,""))))))))))))</f>
        <v>#DIV/0!</v>
      </c>
      <c r="EI111" s="95" t="e">
        <f t="shared" ca="1" si="193"/>
        <v>#DIV/0!</v>
      </c>
      <c r="EJ111" s="101" t="e">
        <f t="shared" si="229"/>
        <v>#N/A</v>
      </c>
      <c r="EK111" s="91" t="e">
        <f t="shared" si="162"/>
        <v>#N/A</v>
      </c>
      <c r="EL111" s="30" t="e">
        <f t="shared" si="212"/>
        <v>#N/A</v>
      </c>
      <c r="EM111" s="30" t="e">
        <f t="shared" si="213"/>
        <v>#N/A</v>
      </c>
      <c r="EN111" s="31" t="e">
        <f>IF(OR(Hypothèses!$B$4=17,Hypothèses!$B$4=18,Hypothèses!$B$4=19,Hypothèses!$B$4=20),
IF($D111="Pressio.",
IF(OR($E111=3,$E111=1,$E111=4),EM111,EL111),
IF($D111="Pénétro.",
IF(OR($E111=3,$E111=1,$E111=4),EM111,EL111))),IF($D111="Pressio.",
IF($E111=3,EM111,EL111),
IF($D111="Pénétro.",
IF($E111=4,EM111,EL111))))</f>
        <v>#N/A</v>
      </c>
      <c r="EO111" s="31" t="e">
        <f>(IF(OR(Hypothèses!$B$4=17,Hypothèses!$B$4=18,Hypothèses!$B$4=19,Hypothèses!$B$4=20),
IF($D111="Pressio.",
IF(OR($E111=3,$E111=1,$E111=4),(PI()*EO$12^2)/4*(EK111*$W111*1000)/($H111*$B$5),(PI()*EO$12^2)/4*(EK111*$W111*1000)/($G111*$B$5)),
IF($D111="Pénétro.",
IF(OR($E111=4,$E111=1,$E111=5),(PI()*EO$12^2)/4*(EK111*$W111*1000)/($H111*$B$5),(PI()*EO$12^2)/4*(EK111*$W111*1000)/($G111*$B$5)))),
IF($D111="Pressio.",
IF($E111=3,(PI()*EO$12^2)/4*(EK111*$W111*1000)/($H111*$B$5),(PI()*EO$12^2)/4*(EK111*$W111*1000)/($G111*$B$5)),
IF($D111="Pénétro.",
IF($E111=4,(PI()*EO$12^2)/4*(EK111*$W111*1000)/($H111*$B$5),(PI()*EO$12^2)/4*(EK111*$W111*1000)/($G111*$B$5))))))/10</f>
        <v>#N/A</v>
      </c>
      <c r="EP111" s="102" t="e">
        <f>(VLOOKUP($B$3,'Coeff EC7'!$T$39:$X$59,2,0)*EN111+VLOOKUP($B$3,'Coeff EC7'!$T$65:$X$85,2,0)*Model0.1C!EO111)/1.1</f>
        <v>#N/A</v>
      </c>
      <c r="EQ111" s="102" t="e">
        <f>(VLOOKUP($B$3,'Coeff EC7'!$T$39:$X$59,3,0)*EN111+VLOOKUP($B$3,'Coeff EC7'!$T$65:$X$85,3,0)*Model0.1C!EO111)/0.9</f>
        <v>#N/A</v>
      </c>
      <c r="ER111" s="102" t="e">
        <f t="shared" si="194"/>
        <v>#N/A</v>
      </c>
      <c r="ES111" s="102" t="e">
        <f t="shared" si="195"/>
        <v>#N/A</v>
      </c>
      <c r="ET111" s="414" t="e">
        <f>IF(ET110=0,0,IF(AND(EP111&gt;charge_ELS_quasi,EQ111&gt;Charge_ELS_freq,ER111&gt;charge_ELU,ES111&gt;charge_ELA,$B111&gt;NDC!$H$22-0.1+MIN(3*$ET$12,1.5)),0,1))</f>
        <v>#N/A</v>
      </c>
      <c r="EU111" s="86" t="b">
        <f t="shared" si="163"/>
        <v>0</v>
      </c>
      <c r="EV111" s="86">
        <f t="shared" si="164"/>
        <v>0.61</v>
      </c>
      <c r="EW111" s="86">
        <f t="shared" si="165"/>
        <v>0.61</v>
      </c>
      <c r="EX111" s="30" t="e">
        <f t="shared" ca="1" si="196"/>
        <v>#DIV/0!</v>
      </c>
      <c r="EY111" s="85" t="e">
        <f ca="1">IF(EE111&lt;=Hypothèses!$V$7,Hypothèses!$W$7,IF(EE111&lt;=Hypothèses!$V$8,Hypothèses!$W$8,IF(EE111&lt;=Hypothèses!$V$9,Hypothèses!$W$9,IF(EE111&lt;=Hypothèses!$V$10,Hypothèses!$W$10,IF(EE111&lt;=Hypothèses!$V$11,Hypothèses!$W$11,IF(EE111&lt;=Hypothèses!$V$12,Hypothèses!$W$12,IF(EE111&lt;=Hypothèses!$V$13,Hypothèses!$W$13,IF(EE111&lt;=Hypothèses!$V$14,Hypothèses!$W$14,IF(EE111&lt;=Hypothèses!$V$15,Hypothèses!$W$15,IF(EE111&lt;=Hypothèses!$V$16,Hypothèses!$W$16,IF(EE111&lt;=Hypothèses!$V$17,Hypothèses!$W$17,IF(EE111&lt;=Hypothèses!$V$18,Hypothèses!$W$18,""))))))))))))</f>
        <v>#DIV/0!</v>
      </c>
      <c r="EZ111" s="87" t="e">
        <f t="shared" ca="1" si="223"/>
        <v>#DIV/0!</v>
      </c>
      <c r="FA111" s="88" t="e">
        <f ca="1">IF(EE111&lt;=Hypothèses!$V$7,Hypothèses!$X$7,IF(EE111&lt;=Hypothèses!$V$8,Hypothèses!$X$8,IF(EE111&lt;=Hypothèses!$V$9,Hypothèses!$X$9,IF(EE111&lt;=Hypothèses!$V$10,Hypothèses!$X$10,IF(EE111&lt;=Hypothèses!$V$11,Hypothèses!$X$11,IF(EE111&lt;=Hypothèses!$V$12,Hypothèses!$X$12,IF(EE111&lt;=Hypothèses!$V$13,Hypothèses!$X$13,IF(EE111&lt;=Hypothèses!$V$14,Hypothèses!$X$14,IF(EE111&lt;=Hypothèses!$V$15,Hypothèses!$X$15,IF(EE111&lt;=Hypothèses!$V$16,Hypothèses!$X$16,IF(EE111&lt;=Hypothèses!$U$17,Hypothèses!$W$17,IF(EE111&lt;=Hypothèses!$U$18,Hypothèses!$W$18,""))))))))))))</f>
        <v>#DIV/0!</v>
      </c>
      <c r="FB111" s="95" t="e">
        <f t="shared" ca="1" si="197"/>
        <v>#DIV/0!</v>
      </c>
      <c r="FC111" s="101" t="e">
        <f t="shared" si="230"/>
        <v>#N/A</v>
      </c>
      <c r="FD111" s="91" t="e">
        <f t="shared" si="166"/>
        <v>#N/A</v>
      </c>
      <c r="FE111" s="30" t="e">
        <f t="shared" si="214"/>
        <v>#N/A</v>
      </c>
      <c r="FF111" s="30" t="e">
        <f t="shared" si="215"/>
        <v>#N/A</v>
      </c>
      <c r="FG111" s="31" t="e">
        <f>IF(OR(Hypothèses!$B$4=17,Hypothèses!$B$4=18,Hypothèses!$B$4=19,Hypothèses!$B$4=20),
IF($D111="Pressio.",
IF(OR($E111=3,$E111=1,$E111=4),FF111,FE111),
IF($D111="Pénétro.",
IF(OR($E111=3,$E111=1,$E111=4),FF111,FE111))),IF($D111="Pressio.",
IF($E111=3,FF111,FE111),
IF($D111="Pénétro.",
IF($E111=4,FF111,FE111))))</f>
        <v>#N/A</v>
      </c>
      <c r="FH111" s="31" t="e">
        <f>(IF(OR(Hypothèses!$B$4=17,Hypothèses!$B$4=18,Hypothèses!$B$4=19,Hypothèses!$B$4=20),
IF($D111="Pressio.",
IF(OR($E111=3,$E111=1,$E111=4),(PI()*FH$12^2)/4*(FD111*$W111*1000)/($H111*$B$5),(PI()*FH$12^2)/4*(FD111*$W111*1000)/($G111*$B$5)),
IF($D111="Pénétro.",
IF(OR($E111=4,$E111=1,$E111=5),(PI()*FH$12^2)/4*(FD111*$W111*1000)/($H111*$B$5),(PI()*FH$12^2)/4*(FD111*$W111*1000)/($G111*$B$5)))),
IF($D111="Pressio.",
IF($E111=3,(PI()*FH$12^2)/4*(FD111*$W111*1000)/($H111*$B$5),(PI()*FH$12^2)/4*(FD111*$W111*1000)/($G111*$B$5)),
IF($D111="Pénétro.",
IF($E111=4,(PI()*FH$12^2)/4*(FD111*$W111*1000)/($H111*$B$5),(PI()*FH$12^2)/4*(FD111*$W111*1000)/($G111*$B$5))))))/10</f>
        <v>#N/A</v>
      </c>
      <c r="FI111" s="102" t="e">
        <f>(VLOOKUP($B$3,'Coeff EC7'!$T$39:$X$59,2,0)*FG111+VLOOKUP($B$3,'Coeff EC7'!$T$65:$X$85,2,0)*Model0.1C!FH111)/1.1</f>
        <v>#N/A</v>
      </c>
      <c r="FJ111" s="102" t="e">
        <f>(VLOOKUP($B$3,'Coeff EC7'!$T$39:$X$59,3,0)*FG111+VLOOKUP($B$3,'Coeff EC7'!$T$65:$X$85,3,0)*Model0.1C!FH111)/0.9</f>
        <v>#N/A</v>
      </c>
      <c r="FK111" s="102" t="e">
        <f t="shared" si="198"/>
        <v>#N/A</v>
      </c>
      <c r="FL111" s="102" t="e">
        <f t="shared" si="199"/>
        <v>#N/A</v>
      </c>
      <c r="FM111" s="414" t="e">
        <f>IF(FM110=0,0,IF(AND(FI111&gt;charge_ELS_quasi,FJ111&gt;Charge_ELS_freq,FK111&gt;charge_ELU,FL111&gt;charge_ELA,$B111&gt;NDC!$H$22-0.1+MIN(3*$FM$12,1.5)),0,1))</f>
        <v>#N/A</v>
      </c>
    </row>
    <row r="112" spans="1:169">
      <c r="A112" s="96">
        <f t="shared" si="167"/>
        <v>90.100000000000563</v>
      </c>
      <c r="B112" s="97">
        <v>9.9</v>
      </c>
      <c r="C112" s="81">
        <f>IF(B112&lt;=Hypothèses!$C$7,Hypothèses!$A$7,IF(B112&lt;=Hypothèses!$C$8,Hypothèses!$A$8,IF(B112&lt;=Hypothèses!$C$9,Hypothèses!$A$9,IF(B112&lt;=Hypothèses!$C$10,Hypothèses!$A$10,IF(B112&lt;=Hypothèses!$C$11,Hypothèses!$A$11,IF(B112&lt;=Hypothèses!$C$12,Hypothèses!$A$12,IF(B112&lt;=Hypothèses!$C$13,Hypothèses!$A$13,IF(B112&lt;=Hypothèses!$C$14,Hypothèses!$A$14,IF(B112&lt;=Hypothèses!$C$15,Hypothèses!$A$15,IF(B112&lt;=Hypothèses!$C$16,Hypothèses!$A$16,IF(B112&lt;=Hypothèses!$C$17,Hypothèses!$A$17,IF(B112&lt;=Hypothèses!$C$18,Hypothèses!$A$18,C111))))))))))))</f>
        <v>11</v>
      </c>
      <c r="D112" s="82" t="str">
        <f>IF(B112&lt;=Hypothèses!$C$7,Hypothèses!$R$7,IF(B112&lt;=Hypothèses!$C$8,Hypothèses!$R$8,IF(B112&lt;=Hypothèses!$C$9,Hypothèses!$R$9,IF(B112&lt;=Hypothèses!$C$10,Hypothèses!$R$10,IF(B112&lt;=Hypothèses!$C$11,Hypothèses!$R$11,IF(B112&lt;=Hypothèses!$C$12,Hypothèses!$R$12,IF(B112&lt;=Hypothèses!$C$13,Hypothèses!$R$13,IF(B112&lt;=Hypothèses!$C$14,Hypothèses!$R$14,IF(B112&lt;=Hypothèses!$C$15,Hypothèses!$R$15,IF(B112&lt;=Hypothèses!$C$16,Hypothèses!$R$16,IF(B112&lt;=Hypothèses!$C$17,Hypothèses!$R$17,IF(B112&lt;=Hypothèses!$C$18,Hypothèses!$R$18,D111))))))))))))</f>
        <v>Pressio.</v>
      </c>
      <c r="E112" s="82" t="e">
        <f>IF(B112&lt;=Hypothèses!$C$7,Hypothèses!$G$7,IF(B112&lt;=Hypothèses!$C$8,Hypothèses!$G$8,IF(B112&lt;=Hypothèses!$C$9,Hypothèses!$G$9,IF(B112&lt;=Hypothèses!$C$10,Hypothèses!$G$10,IF(B112&lt;=Hypothèses!$C$11,Hypothèses!$G$11,IF(B112&lt;=Hypothèses!$C$12,Hypothèses!$G$12,IF(B112&lt;=Hypothèses!$C$13,Hypothèses!$G$13,IF(B112&lt;=Hypothèses!$C$14,Hypothèses!$G$14,IF(B112&lt;=Hypothèses!$C$15,Hypothèses!$G$15,IF(B112&lt;=Hypothèses!$C$16,Hypothèses!$G$16,IF(B112&lt;=Hypothèses!$C$17,Hypothèses!$G$17,IF(B112&lt;=Hypothèses!$C$18,Hypothèses!$G$18,E111))))))))))))</f>
        <v>#N/A</v>
      </c>
      <c r="F112" s="82" t="str">
        <f>IF(B112&lt;=Hypothèses!$C$7,Hypothèses!$F$7,IF(B112&lt;=Hypothèses!$C$8,Hypothèses!$F$8,IF(B112&lt;=Hypothèses!$C$9,Hypothèses!$F$9,IF(B112&lt;=Hypothèses!$C$10,Hypothèses!$F$10,IF(B112&lt;=Hypothèses!$C$11,Hypothèses!$F$11,IF(B112&lt;=Hypothèses!$C$12,Hypothèses!$F$12,IF(B112&lt;=Hypothèses!$C$13,Hypothèses!$F$13,IF(B112&lt;=Hypothèses!$C$14,Hypothèses!$F$14,IF(B112&lt;=Hypothèses!$C$15,Hypothèses!$F$15,IF(B112&lt;=Hypothèses!$C$16,Hypothèses!$F$16,IF(B112&lt;=Hypothèses!$C$17,Hypothèses!$F$17,IF(B112&lt;=Hypothèses!$C$18,Hypothèses!$F$18,F111))))))))))))</f>
        <v/>
      </c>
      <c r="G112" s="91">
        <f t="array" ref="G112">INDEX('Coeff EC7'!$U$7:$X$27,
MATCH(Model0.1C!$B$3,'Coeff EC7'!$T$7:$T$27,0),
MATCH(Model0.1C!$D112&amp;Model0.1C!$B$4,
'Coeff EC7'!$U$6:$X$6&amp;
'Coeff EC7'!$U$5:$X$5,0))</f>
        <v>1.1499999999999999</v>
      </c>
      <c r="H112" s="91">
        <f t="array" ref="H112">INDEX('Coeff EC7'!$Y$7:$AB$27,
MATCH(Model0.1C!$B$3,'Coeff EC7'!$T$7:$T$27,0),
MATCH(Model0.1C!$D112&amp;Model0.1C!$B$4,
'Coeff EC7'!$Y$6:$AB$6&amp;
'Coeff EC7'!$Y$5:$AB$5,0))</f>
        <v>1.4</v>
      </c>
      <c r="I112" s="83" t="e">
        <f>IF(B112&lt;=Hypothèses!$C$7,Hypothèses!$P$7,IF(B112&lt;=Hypothèses!$C$8,Hypothèses!$P$8,IF(B112&lt;=Hypothèses!$C$9,Hypothèses!$P$9,IF(B112&lt;=Hypothèses!$C$10,Hypothèses!$P$10,IF(B112&lt;=Hypothèses!$C$11,Hypothèses!$P$11,IF(B112&lt;=Hypothèses!$C$12,Hypothèses!$P$12,IF(B112&lt;=Hypothèses!$C$13,Hypothèses!$P$13,IF(B112&lt;=Hypothèses!$C$14,Hypothèses!$P$14,IF(B112&lt;=Hypothèses!$C$15,Hypothèses!$P$15,IF(B112&lt;=Hypothèses!$C$16,Hypothèses!$P$16,IF(B112&lt;=Hypothèses!$C$17,Hypothèses!$P$17,IF(B112&lt;=Hypothèses!$C$18,Hypothèses!$P$18,I111))))))))))))</f>
        <v>#N/A</v>
      </c>
      <c r="J112" s="91" t="e">
        <f t="array" ref="J112">INDEX('Coeff EC7'!$D$33:$Q$33,1,MATCH(D112&amp;E112,'Coeff EC7'!$D$31:$Q$31&amp;'Coeff EC7'!$D$32:$Q$32,0))</f>
        <v>#N/A</v>
      </c>
      <c r="K112" s="91" t="e">
        <f t="array" ref="K112">INDEX('Coeff EC7'!$D$34:$Q$34,1,MATCH(D112&amp;E112,'Coeff EC7'!$D$31:$Q$31&amp;'Coeff EC7'!$D$32:$Q$32,0))</f>
        <v>#N/A</v>
      </c>
      <c r="L112" s="91" t="e">
        <f t="array" ref="L112">INDEX('Coeff EC7'!$D$35:$Q$35,1,MATCH(D112&amp;E112,'Coeff EC7'!$D$31:$Q$31&amp;'Coeff EC7'!$D$32:$Q$32,0))</f>
        <v>#N/A</v>
      </c>
      <c r="M112" s="98" t="e">
        <f t="shared" si="131"/>
        <v>#N/A</v>
      </c>
      <c r="N112" s="99" t="e">
        <f t="array" ref="N112">INDEX('Coeff EC7'!$D$7:$Q$27,MATCH($B$3,'Coeff EC7'!$C$7:$C$27,0),MATCH(D112&amp;E112,'Coeff EC7'!$D$5:$Q$5&amp;'Coeff EC7'!$D$6:$Q$6,0))</f>
        <v>#N/A</v>
      </c>
      <c r="O112" s="99" t="e">
        <f t="array" ref="O112">INDEX('Coeff EC7'!$D$41:$Q$61,MATCH($B$3,'Coeff EC7'!$C$41:$C$61,0),MATCH(D112&amp;E112,'Coeff EC7'!$D$39:$Q$39&amp;'Coeff EC7'!$D$40:$Q$40,0))</f>
        <v>#N/A</v>
      </c>
      <c r="P112" s="30" t="e">
        <f t="shared" si="168"/>
        <v>#N/A</v>
      </c>
      <c r="Q112" s="100" t="e">
        <f t="shared" si="133"/>
        <v>#N/A</v>
      </c>
      <c r="R112" s="86" t="b">
        <f t="shared" si="134"/>
        <v>0</v>
      </c>
      <c r="S112" s="86">
        <f t="shared" si="132"/>
        <v>0.5</v>
      </c>
      <c r="T112" s="86">
        <f t="shared" si="135"/>
        <v>0.5</v>
      </c>
      <c r="U112" s="30" t="e">
        <f t="shared" ca="1" si="169"/>
        <v>#DIV/0!</v>
      </c>
      <c r="V112" s="85" t="str">
        <f>IF(B112&lt;=Hypothèses!$V$7,Hypothèses!$W$7,IF(B112&lt;=Hypothèses!$V$8,Hypothèses!$W$8,IF(B112&lt;=Hypothèses!$V$9,Hypothèses!$W$9,IF(B112&lt;=Hypothèses!$V$10,Hypothèses!$W$10,IF(B112&lt;=Hypothèses!$V$11,Hypothèses!$W$11,IF(B112&lt;=Hypothèses!$V$12,Hypothèses!$W$12,IF(B112&lt;=Hypothèses!$V$13,Hypothèses!$W$13,IF(B112&lt;=Hypothèses!$V$14,Hypothèses!$W$14,IF(B112&lt;=Hypothèses!$V$15,Hypothèses!$W$15,IF(B112&lt;=Hypothèses!$V$16,Hypothèses!$W$16,IF(B112&lt;=Hypothèses!$V$17,Hypothèses!$W$17,IF(B112&lt;=Hypothèses!$V$18,Hypothèses!$W$18,""))))))))))))</f>
        <v/>
      </c>
      <c r="W112" s="87" t="e">
        <f t="shared" ca="1" si="216"/>
        <v>#DIV/0!</v>
      </c>
      <c r="X112" s="88" t="str">
        <f>IF(B112&lt;=Hypothèses!$V$7,Hypothèses!$X$7,IF(B112&lt;=Hypothèses!$V$8,Hypothèses!$X$8,IF(B112&lt;=Hypothèses!$V$9,Hypothèses!$X$9,IF(B112&lt;=Hypothèses!$V$10,Hypothèses!$X$10,IF(B112&lt;=Hypothèses!$V$11,Hypothèses!$X$11,IF(B112&lt;=Hypothèses!$V$12,Hypothèses!$X$12,IF(B112&lt;=Hypothèses!$V$13,Hypothèses!$X$13,IF(B112&lt;=Hypothèses!$V$14,Hypothèses!$X$14,IF(B112&lt;=Hypothèses!$V$15,Hypothèses!$X$15,IF(B112&lt;=Hypothèses!$V$16,Hypothèses!$X$16,IF(B112&lt;=Hypothèses!$U$17,Hypothèses!$W$17,IF(B112&lt;=Hypothèses!$U$18,Hypothèses!$W$18,""))))))))))))</f>
        <v/>
      </c>
      <c r="Y112" s="95" t="e">
        <f t="shared" ca="1" si="136"/>
        <v>#DIV/0!</v>
      </c>
      <c r="Z112" s="101" t="e">
        <f t="shared" si="137"/>
        <v>#N/A</v>
      </c>
      <c r="AA112" s="91" t="e">
        <f t="shared" si="138"/>
        <v>#N/A</v>
      </c>
      <c r="AB112" s="30" t="e">
        <f t="shared" si="200"/>
        <v>#N/A</v>
      </c>
      <c r="AC112" s="30" t="e">
        <f t="shared" si="201"/>
        <v>#N/A</v>
      </c>
      <c r="AD112" s="31" t="e">
        <f>IF(OR(Hypothèses!$B$4=17,Hypothèses!$B$4=18,Hypothèses!$B$4=19,Hypothèses!$B$4=20),
IF($D112="Pressio.",
IF(OR($E112=3,$E112=1,$E112=4),AC112,AB112),
IF($D112="Pénétro.",
IF(OR($E112=3,$E112=1,$E112=4),AC112,AB112))),IF($D112="Pressio.",
IF($E112=3,AC112,AB112),
IF($D112="Pénétro.",
IF($E112=4,AC112,AB112))))</f>
        <v>#N/A</v>
      </c>
      <c r="AE112" s="31" t="e">
        <f>(IF(OR(Hypothèses!$B$4=17,Hypothèses!$B$4=18,Hypothèses!$B$4=19,Hypothèses!$B$4=20),
IF($D112="Pressio.",
IF(OR($E112=3,$E112=1,$E112=4),(PI()*AE$12^2)/4*(AA112*$W112*1000)/($H112*$B$5),(PI()*AE$12^2)/4*(AA112*$W112*1000)/($G112*$B$5)),
IF($D112="Pénétro.",
IF(OR($E112=4,$E112=1,$E112=5),(PI()*AE$12^2)/4*(AA112*$W112*1000)/($H112*$B$5),(PI()*AE$12^2)/4*(AA112*$W112*1000)/($G112*$B$5)))),
IF($D112="Pressio.",
IF($E112=3,(PI()*AE$12^2)/4*(AA112*$W112*1000)/($H112*$B$5),(PI()*AE$12^2)/4*(AA112*$W112*1000)/($G112*$B$5)),
IF($D112="Pénétro.",
IF($E112=4,(PI()*AE$12^2)/4*(AA112*$W112*1000)/($H112*$B$5),(PI()*AE$12^2)/4*(AA112*$W112*1000)/($G112*$B$5))))))/10</f>
        <v>#N/A</v>
      </c>
      <c r="AF112" s="102" t="e">
        <f>(VLOOKUP($B$3,'Coeff EC7'!$T$39:$X$59,2,0)*AD112+VLOOKUP($B$3,'Coeff EC7'!$T$65:$X$85,2,0)*Model0.1C!AE112)/1.1</f>
        <v>#N/A</v>
      </c>
      <c r="AG112" s="102" t="e">
        <f>(VLOOKUP($B$3,'Coeff EC7'!$T$39:$X$59,3,0)*AD112+VLOOKUP($B$3,'Coeff EC7'!$T$65:$X$85,3,0)*Model0.1C!AE112)/0.9</f>
        <v>#N/A</v>
      </c>
      <c r="AH112" s="102" t="e">
        <f t="shared" si="139"/>
        <v>#N/A</v>
      </c>
      <c r="AI112" s="102" t="e">
        <f t="shared" si="140"/>
        <v>#N/A</v>
      </c>
      <c r="AJ112" s="414" t="e">
        <f>IF(AJ111=0,0,IF(AND(AF112&gt;charge_ELS_quasi,AG112&gt;Charge_ELS_freq,AH112&gt;charge_ELU,AI112&gt;charge_ELA,$B112&gt;NDC!$H$22-0.1+MIN(3*$AJ$12,1.5)),0,1))</f>
        <v>#N/A</v>
      </c>
      <c r="AK112" s="86" t="b">
        <f t="shared" si="141"/>
        <v>0</v>
      </c>
      <c r="AL112" s="86">
        <f t="shared" si="170"/>
        <v>0.5</v>
      </c>
      <c r="AM112" s="86">
        <f t="shared" si="142"/>
        <v>0.5</v>
      </c>
      <c r="AN112" s="30" t="e">
        <f t="shared" ca="1" si="171"/>
        <v>#DIV/0!</v>
      </c>
      <c r="AO112" s="85" t="e">
        <f ca="1">IF(U112&lt;=Hypothèses!$V$7,Hypothèses!$W$7,IF(U112&lt;=Hypothèses!$V$8,Hypothèses!$W$8,IF(U112&lt;=Hypothèses!$V$9,Hypothèses!$W$9,IF(U112&lt;=Hypothèses!$V$10,Hypothèses!$W$10,IF(U112&lt;=Hypothèses!$V$11,Hypothèses!$W$11,IF(U112&lt;=Hypothèses!$V$12,Hypothèses!$W$12,IF(U112&lt;=Hypothèses!$V$13,Hypothèses!$W$13,IF(U112&lt;=Hypothèses!$V$14,Hypothèses!$W$14,IF(U112&lt;=Hypothèses!$V$15,Hypothèses!$W$15,IF(U112&lt;=Hypothèses!$V$16,Hypothèses!$W$16,IF(U112&lt;=Hypothèses!$V$17,Hypothèses!$W$17,IF(U112&lt;=Hypothèses!$V$18,Hypothèses!$W$18,""))))))))))))</f>
        <v>#DIV/0!</v>
      </c>
      <c r="AP112" s="87" t="e">
        <f t="shared" ca="1" si="217"/>
        <v>#DIV/0!</v>
      </c>
      <c r="AQ112" s="88" t="e">
        <f ca="1">IF(U112&lt;=Hypothèses!$V$7,Hypothèses!$X$7,IF(U112&lt;=Hypothèses!$V$8,Hypothèses!$X$8,IF(U112&lt;=Hypothèses!$V$9,Hypothèses!$X$9,IF(U112&lt;=Hypothèses!$V$10,Hypothèses!$X$10,IF(U112&lt;=Hypothèses!$V$11,Hypothèses!$X$11,IF(U112&lt;=Hypothèses!$V$12,Hypothèses!$X$12,IF(U112&lt;=Hypothèses!$V$13,Hypothèses!$X$13,IF(U112&lt;=Hypothèses!$V$14,Hypothèses!$X$14,IF(U112&lt;=Hypothèses!$V$15,Hypothèses!$X$15,IF(U112&lt;=Hypothèses!$V$16,Hypothèses!$X$16,IF(U112&lt;=Hypothèses!$U$17,Hypothèses!$W$17,IF(U112&lt;=Hypothèses!$U$18,Hypothèses!$W$18,""))))))))))))</f>
        <v>#DIV/0!</v>
      </c>
      <c r="AR112" s="95" t="e">
        <f t="shared" ca="1" si="172"/>
        <v>#DIV/0!</v>
      </c>
      <c r="AS112" s="101" t="e">
        <f t="shared" si="224"/>
        <v>#N/A</v>
      </c>
      <c r="AT112" s="91" t="e">
        <f t="shared" si="143"/>
        <v>#N/A</v>
      </c>
      <c r="AU112" s="30" t="e">
        <f t="shared" si="202"/>
        <v>#N/A</v>
      </c>
      <c r="AV112" s="30" t="e">
        <f t="shared" si="203"/>
        <v>#N/A</v>
      </c>
      <c r="AW112" s="31" t="e">
        <f>IF(OR(Hypothèses!$B$4=17,Hypothèses!$B$4=18,Hypothèses!$B$4=19,Hypothèses!$B$4=20),
IF($D112="Pressio.",
IF(OR($E112=3,$E112=1,$E112=4),AV112,AU112),
IF($D112="Pénétro.",
IF(OR($E112=3,$E112=1,$E112=4),AV112,AU112))),IF($D112="Pressio.",
IF($E112=3,AV112,AU112),
IF($D112="Pénétro.",
IF($E112=4,AV112,AU112))))</f>
        <v>#N/A</v>
      </c>
      <c r="AX112" s="31" t="e">
        <f>(IF(OR(Hypothèses!$B$4=17,Hypothèses!$B$4=18,Hypothèses!$B$4=19,Hypothèses!$B$4=20),
IF($D112="Pressio.",
IF(OR($E112=3,$E112=1,$E112=4),(PI()*AX$12^2)/4*(AT112*$W112*1000)/($H112*$B$5),(PI()*AX$12^2)/4*(AT112*$W112*1000)/($G112*$B$5)),
IF($D112="Pénétro.",
IF(OR($E112=4,$E112=1,$E112=5),(PI()*AX$12^2)/4*(AT112*$W112*1000)/($H112*$B$5),(PI()*AX$12^2)/4*(AT112*$W112*1000)/($G112*$B$5)))),
IF($D112="Pressio.",
IF($E112=3,(PI()*AX$12^2)/4*(AT112*$W112*1000)/($H112*$B$5),(PI()*AX$12^2)/4*(AT112*$W112*1000)/($G112*$B$5)),
IF($D112="Pénétro.",
IF($E112=4,(PI()*AX$12^2)/4*(AT112*$W112*1000)/($H112*$B$5),(PI()*AX$12^2)/4*(AT112*$W112*1000)/($G112*$B$5))))))/10</f>
        <v>#N/A</v>
      </c>
      <c r="AY112" s="102" t="e">
        <f>(VLOOKUP($B$3,'Coeff EC7'!$T$39:$X$59,2,0)*AW112+VLOOKUP($B$3,'Coeff EC7'!$T$65:$X$85,2,0)*Model0.1C!AX112)/1.1</f>
        <v>#N/A</v>
      </c>
      <c r="AZ112" s="102" t="e">
        <f>(VLOOKUP($B$3,'Coeff EC7'!$T$39:$X$59,3,0)*AW112+VLOOKUP($B$3,'Coeff EC7'!$T$65:$X$85,3,0)*Model0.1C!AX112)/0.9</f>
        <v>#N/A</v>
      </c>
      <c r="BA112" s="102" t="e">
        <f t="shared" si="173"/>
        <v>#N/A</v>
      </c>
      <c r="BB112" s="102" t="e">
        <f t="shared" si="174"/>
        <v>#N/A</v>
      </c>
      <c r="BC112" s="414" t="e">
        <f>IF(BC111=0,0,IF(AND(AY112&gt;charge_ELS_quasi,AZ112&gt;Charge_ELS_freq,BA112&gt;charge_ELU,BB112&gt;charge_ELA,$B112&gt;NDC!$H$22-0.1+MIN(3*$BC$12,1.5)),0,1))</f>
        <v>#N/A</v>
      </c>
      <c r="BD112" s="86" t="b">
        <f t="shared" si="144"/>
        <v>0</v>
      </c>
      <c r="BE112" s="86">
        <f t="shared" si="175"/>
        <v>0.5</v>
      </c>
      <c r="BF112" s="86">
        <f t="shared" si="145"/>
        <v>0.5</v>
      </c>
      <c r="BG112" s="30" t="e">
        <f t="shared" ca="1" si="176"/>
        <v>#DIV/0!</v>
      </c>
      <c r="BH112" s="85" t="e">
        <f ca="1">IF(AN112&lt;=Hypothèses!$V$7,Hypothèses!$W$7,IF(AN112&lt;=Hypothèses!$V$8,Hypothèses!$W$8,IF(AN112&lt;=Hypothèses!$V$9,Hypothèses!$W$9,IF(AN112&lt;=Hypothèses!$V$10,Hypothèses!$W$10,IF(AN112&lt;=Hypothèses!$V$11,Hypothèses!$W$11,IF(AN112&lt;=Hypothèses!$V$12,Hypothèses!$W$12,IF(AN112&lt;=Hypothèses!$V$13,Hypothèses!$W$13,IF(AN112&lt;=Hypothèses!$V$14,Hypothèses!$W$14,IF(AN112&lt;=Hypothèses!$V$15,Hypothèses!$W$15,IF(AN112&lt;=Hypothèses!$V$16,Hypothèses!$W$16,IF(AN112&lt;=Hypothèses!$V$17,Hypothèses!$W$17,IF(AN112&lt;=Hypothèses!$V$18,Hypothèses!$W$18,""))))))))))))</f>
        <v>#DIV/0!</v>
      </c>
      <c r="BI112" s="87" t="e">
        <f t="shared" ca="1" si="218"/>
        <v>#DIV/0!</v>
      </c>
      <c r="BJ112" s="88" t="e">
        <f ca="1">IF(AN112&lt;=Hypothèses!$V$7,Hypothèses!$X$7,IF(AN112&lt;=Hypothèses!$V$8,Hypothèses!$X$8,IF(AN112&lt;=Hypothèses!$V$9,Hypothèses!$X$9,IF(AN112&lt;=Hypothèses!$V$10,Hypothèses!$X$10,IF(AN112&lt;=Hypothèses!$V$11,Hypothèses!$X$11,IF(AN112&lt;=Hypothèses!$V$12,Hypothèses!$X$12,IF(AN112&lt;=Hypothèses!$V$13,Hypothèses!$X$13,IF(AN112&lt;=Hypothèses!$V$14,Hypothèses!$X$14,IF(AN112&lt;=Hypothèses!$V$15,Hypothèses!$X$15,IF(AN112&lt;=Hypothèses!$V$16,Hypothèses!$X$16,IF(AN112&lt;=Hypothèses!$U$17,Hypothèses!$W$17,IF(AN112&lt;=Hypothèses!$U$18,Hypothèses!$W$18,""))))))))))))</f>
        <v>#DIV/0!</v>
      </c>
      <c r="BK112" s="95" t="e">
        <f t="shared" ca="1" si="177"/>
        <v>#DIV/0!</v>
      </c>
      <c r="BL112" s="101" t="e">
        <f t="shared" si="225"/>
        <v>#N/A</v>
      </c>
      <c r="BM112" s="91" t="e">
        <f t="shared" si="146"/>
        <v>#N/A</v>
      </c>
      <c r="BN112" s="30" t="e">
        <f t="shared" si="204"/>
        <v>#N/A</v>
      </c>
      <c r="BO112" s="30" t="e">
        <f t="shared" si="205"/>
        <v>#N/A</v>
      </c>
      <c r="BP112" s="31" t="e">
        <f>IF(OR(Hypothèses!$B$4=17,Hypothèses!$B$4=18,Hypothèses!$B$4=19,Hypothèses!$B$4=20),
IF($D112="Pressio.",
IF(OR($E112=3,$E112=1,$E112=4),BO112,BN112),
IF($D112="Pénétro.",
IF(OR($E112=3,$E112=1,$E112=4),BO112,BN112))),IF($D112="Pressio.",
IF($E112=3,BO112,BN112),
IF($D112="Pénétro.",
IF($E112=4,BO112,BN112))))</f>
        <v>#N/A</v>
      </c>
      <c r="BQ112" s="31" t="e">
        <f>(IF(OR(Hypothèses!$B$4=17,Hypothèses!$B$4=18,Hypothèses!$B$4=19,Hypothèses!$B$4=20),
IF($D112="Pressio.",
IF(OR($E112=3,$E112=1,$E112=4),(PI()*BQ$12^2)/4*(BM112*$W112*1000)/($H112*$B$5),(PI()*BQ$12^2)/4*(BM112*$W112*1000)/($G112*$B$5)),
IF($D112="Pénétro.",
IF(OR($E112=4,$E112=1,$E112=5),(PI()*BQ$12^2)/4*(BM112*$W112*1000)/($H112*$B$5),(PI()*BQ$12^2)/4*(BM112*$W112*1000)/($G112*$B$5)))),
IF($D112="Pressio.",
IF($E112=3,(PI()*BQ$12^2)/4*(BM112*$W112*1000)/($H112*$B$5),(PI()*BQ$12^2)/4*(BM112*$W112*1000)/($G112*$B$5)),
IF($D112="Pénétro.",
IF($E112=4,(PI()*BQ$12^2)/4*(BM112*$W112*1000)/($H112*$B$5),(PI()*BQ$12^2)/4*(BM112*$W112*1000)/($G112*$B$5))))))/10</f>
        <v>#N/A</v>
      </c>
      <c r="BR112" s="102" t="e">
        <f>(VLOOKUP($B$3,'Coeff EC7'!$T$39:$X$59,2,0)*BP112+VLOOKUP($B$3,'Coeff EC7'!$T$65:$X$85,2,0)*Model0.1C!BQ112)/1.1</f>
        <v>#N/A</v>
      </c>
      <c r="BS112" s="102" t="e">
        <f>(VLOOKUP($B$3,'Coeff EC7'!$T$39:$X$59,3,0)*BP112+VLOOKUP($B$3,'Coeff EC7'!$T$65:$X$85,3,0)*Model0.1C!BQ112)/0.9</f>
        <v>#N/A</v>
      </c>
      <c r="BT112" s="102" t="e">
        <f t="shared" si="178"/>
        <v>#N/A</v>
      </c>
      <c r="BU112" s="102" t="e">
        <f t="shared" si="179"/>
        <v>#N/A</v>
      </c>
      <c r="BV112" s="414" t="e">
        <f>IF(BV111=0,0,IF(AND(BR112&gt;charge_ELS_quasi,BS112&gt;Charge_ELS_freq,BT112&gt;charge_ELU,BU112&gt;charge_ELA,$B112&gt;NDC!$H$22-0.1+MIN(3*$BV$12,1.5)),0,1))</f>
        <v>#N/A</v>
      </c>
      <c r="BW112" s="86" t="b">
        <f t="shared" si="147"/>
        <v>0</v>
      </c>
      <c r="BX112" s="86">
        <f t="shared" si="148"/>
        <v>0.5</v>
      </c>
      <c r="BY112" s="86">
        <f t="shared" si="149"/>
        <v>0.5</v>
      </c>
      <c r="BZ112" s="30" t="e">
        <f t="shared" ca="1" si="180"/>
        <v>#DIV/0!</v>
      </c>
      <c r="CA112" s="85" t="e">
        <f ca="1">IF(BG112&lt;=Hypothèses!$V$7,Hypothèses!$W$7,IF(BG112&lt;=Hypothèses!$V$8,Hypothèses!$W$8,IF(BG112&lt;=Hypothèses!$V$9,Hypothèses!$W$9,IF(BG112&lt;=Hypothèses!$V$10,Hypothèses!$W$10,IF(BG112&lt;=Hypothèses!$V$11,Hypothèses!$W$11,IF(BG112&lt;=Hypothèses!$V$12,Hypothèses!$W$12,IF(BG112&lt;=Hypothèses!$V$13,Hypothèses!$W$13,IF(BG112&lt;=Hypothèses!$V$14,Hypothèses!$W$14,IF(BG112&lt;=Hypothèses!$V$15,Hypothèses!$W$15,IF(BG112&lt;=Hypothèses!$V$16,Hypothèses!$W$16,IF(BG112&lt;=Hypothèses!$V$17,Hypothèses!$W$17,IF(BG112&lt;=Hypothèses!$V$18,Hypothèses!$W$18,""))))))))))))</f>
        <v>#DIV/0!</v>
      </c>
      <c r="CB112" s="87" t="e">
        <f t="shared" ca="1" si="219"/>
        <v>#DIV/0!</v>
      </c>
      <c r="CC112" s="88" t="e">
        <f ca="1">IF(BG112&lt;=Hypothèses!$V$7,Hypothèses!$X$7,IF(BG112&lt;=Hypothèses!$V$8,Hypothèses!$X$8,IF(BG112&lt;=Hypothèses!$V$9,Hypothèses!$X$9,IF(BG112&lt;=Hypothèses!$V$10,Hypothèses!$X$10,IF(BG112&lt;=Hypothèses!$V$11,Hypothèses!$X$11,IF(BG112&lt;=Hypothèses!$V$12,Hypothèses!$X$12,IF(BG112&lt;=Hypothèses!$V$13,Hypothèses!$X$13,IF(BG112&lt;=Hypothèses!$V$14,Hypothèses!$X$14,IF(BG112&lt;=Hypothèses!$V$15,Hypothèses!$X$15,IF(BG112&lt;=Hypothèses!$V$16,Hypothèses!$X$16,IF(BG112&lt;=Hypothèses!$U$17,Hypothèses!$W$17,IF(BG112&lt;=Hypothèses!$U$18,Hypothèses!$W$18,""))))))))))))</f>
        <v>#DIV/0!</v>
      </c>
      <c r="CD112" s="95" t="e">
        <f t="shared" ca="1" si="181"/>
        <v>#DIV/0!</v>
      </c>
      <c r="CE112" s="101" t="e">
        <f t="shared" si="226"/>
        <v>#N/A</v>
      </c>
      <c r="CF112" s="91" t="e">
        <f t="shared" si="150"/>
        <v>#N/A</v>
      </c>
      <c r="CG112" s="30" t="e">
        <f t="shared" si="206"/>
        <v>#N/A</v>
      </c>
      <c r="CH112" s="30" t="e">
        <f t="shared" si="207"/>
        <v>#N/A</v>
      </c>
      <c r="CI112" s="31" t="e">
        <f>IF(OR(Hypothèses!$B$4=17,Hypothèses!$B$4=18,Hypothèses!$B$4=19,Hypothèses!$B$4=20),
IF($D112="Pressio.",
IF(OR($E112=3,$E112=1,$E112=4),CH112,CG112),
IF($D112="Pénétro.",
IF(OR($E112=3,$E112=1,$E112=4),CH112,CG112))),IF($D112="Pressio.",
IF($E112=3,CH112,CG112),
IF($D112="Pénétro.",
IF($E112=4,CH112,CG112))))</f>
        <v>#N/A</v>
      </c>
      <c r="CJ112" s="31" t="e">
        <f>(IF(OR(Hypothèses!$B$4=17,Hypothèses!$B$4=18,Hypothèses!$B$4=19,Hypothèses!$B$4=20),
IF($D112="Pressio.",
IF(OR($E112=3,$E112=1,$E112=4),(PI()*CJ$12^2)/4*(CF112*$W112*1000)/($H112*$B$5),(PI()*CJ$12^2)/4*(CF112*$W112*1000)/($G112*$B$5)),
IF($D112="Pénétro.",
IF(OR($E112=4,$E112=1,$E112=5),(PI()*CJ$12^2)/4*(CF112*$W112*1000)/($H112*$B$5),(PI()*CJ$12^2)/4*(CF112*$W112*1000)/($G112*$B$5)))),
IF($D112="Pressio.",
IF($E112=3,(PI()*CJ$12^2)/4*(CF112*$W112*1000)/($H112*$B$5),(PI()*CJ$12^2)/4*(CF112*$W112*1000)/($G112*$B$5)),
IF($D112="Pénétro.",
IF($E112=4,(PI()*CJ$12^2)/4*(CF112*$W112*1000)/($H112*$B$5),(PI()*CJ$12^2)/4*(CF112*$W112*1000)/($G112*$B$5))))))/10</f>
        <v>#N/A</v>
      </c>
      <c r="CK112" s="102" t="e">
        <f>(VLOOKUP($B$3,'Coeff EC7'!$T$39:$X$59,2,0)*CI112+VLOOKUP($B$3,'Coeff EC7'!$T$65:$X$85,2,0)*Model0.1C!CJ112)/1.1</f>
        <v>#N/A</v>
      </c>
      <c r="CL112" s="102" t="e">
        <f>(VLOOKUP($B$3,'Coeff EC7'!$T$39:$X$59,3,0)*CI112+VLOOKUP($B$3,'Coeff EC7'!$T$65:$X$85,3,0)*Model0.1C!CJ112)/0.9</f>
        <v>#N/A</v>
      </c>
      <c r="CM112" s="102" t="e">
        <f t="shared" si="182"/>
        <v>#N/A</v>
      </c>
      <c r="CN112" s="102" t="e">
        <f t="shared" si="183"/>
        <v>#N/A</v>
      </c>
      <c r="CO112" s="414" t="e">
        <f>IF(CO111=0,0,IF(AND(CK112&gt;charge_ELS_quasi,CL112&gt;Charge_ELS_freq,CM112&gt;charge_ELU,CN112&gt;charge_ELA,$B112&gt;NDC!$H$22-0.1+MIN(3*$CO$12,1.5)),0,1))</f>
        <v>#N/A</v>
      </c>
      <c r="CP112" s="86" t="b">
        <f t="shared" si="151"/>
        <v>0</v>
      </c>
      <c r="CQ112" s="86">
        <f t="shared" si="152"/>
        <v>0.5</v>
      </c>
      <c r="CR112" s="86">
        <f t="shared" si="153"/>
        <v>0.5</v>
      </c>
      <c r="CS112" s="30" t="e">
        <f t="shared" ca="1" si="184"/>
        <v>#DIV/0!</v>
      </c>
      <c r="CT112" s="85" t="e">
        <f ca="1">IF(BZ112&lt;=Hypothèses!$V$7,Hypothèses!$W$7,IF(BZ112&lt;=Hypothèses!$V$8,Hypothèses!$W$8,IF(BZ112&lt;=Hypothèses!$V$9,Hypothèses!$W$9,IF(BZ112&lt;=Hypothèses!$V$10,Hypothèses!$W$10,IF(BZ112&lt;=Hypothèses!$V$11,Hypothèses!$W$11,IF(BZ112&lt;=Hypothèses!$V$12,Hypothèses!$W$12,IF(BZ112&lt;=Hypothèses!$V$13,Hypothèses!$W$13,IF(BZ112&lt;=Hypothèses!$V$14,Hypothèses!$W$14,IF(BZ112&lt;=Hypothèses!$V$15,Hypothèses!$W$15,IF(BZ112&lt;=Hypothèses!$V$16,Hypothèses!$W$16,IF(BZ112&lt;=Hypothèses!$V$17,Hypothèses!$W$17,IF(BZ112&lt;=Hypothèses!$V$18,Hypothèses!$W$18,""))))))))))))</f>
        <v>#DIV/0!</v>
      </c>
      <c r="CU112" s="87" t="e">
        <f t="shared" ca="1" si="220"/>
        <v>#DIV/0!</v>
      </c>
      <c r="CV112" s="88" t="e">
        <f ca="1">IF(BZ112&lt;=Hypothèses!$V$7,Hypothèses!$X$7,IF(BZ112&lt;=Hypothèses!$V$8,Hypothèses!$X$8,IF(BZ112&lt;=Hypothèses!$V$9,Hypothèses!$X$9,IF(BZ112&lt;=Hypothèses!$V$10,Hypothèses!$X$10,IF(BZ112&lt;=Hypothèses!$V$11,Hypothèses!$X$11,IF(BZ112&lt;=Hypothèses!$V$12,Hypothèses!$X$12,IF(BZ112&lt;=Hypothèses!$V$13,Hypothèses!$X$13,IF(BZ112&lt;=Hypothèses!$V$14,Hypothèses!$X$14,IF(BZ112&lt;=Hypothèses!$V$15,Hypothèses!$X$15,IF(BZ112&lt;=Hypothèses!$V$16,Hypothèses!$X$16,IF(BZ112&lt;=Hypothèses!$U$17,Hypothèses!$W$17,IF(BZ112&lt;=Hypothèses!$U$18,Hypothèses!$W$18,""))))))))))))</f>
        <v>#DIV/0!</v>
      </c>
      <c r="CW112" s="95" t="e">
        <f t="shared" ca="1" si="185"/>
        <v>#DIV/0!</v>
      </c>
      <c r="CX112" s="101" t="e">
        <f t="shared" si="227"/>
        <v>#N/A</v>
      </c>
      <c r="CY112" s="91" t="e">
        <f t="shared" si="154"/>
        <v>#N/A</v>
      </c>
      <c r="CZ112" s="30" t="e">
        <f t="shared" si="208"/>
        <v>#N/A</v>
      </c>
      <c r="DA112" s="30" t="e">
        <f t="shared" si="209"/>
        <v>#N/A</v>
      </c>
      <c r="DB112" s="31" t="e">
        <f>IF(OR(Hypothèses!$B$4=17,Hypothèses!$B$4=18,Hypothèses!$B$4=19,Hypothèses!$B$4=20),
IF($D112="Pressio.",
IF(OR($E112=3,$E112=1,$E112=4),DA112,CZ112),
IF($D112="Pénétro.",
IF(OR($E112=3,$E112=1,$E112=4),DA112,CZ112))),IF($D112="Pressio.",
IF($E112=3,DA112,CZ112),
IF($D112="Pénétro.",
IF($E112=4,DA112,CZ112))))</f>
        <v>#N/A</v>
      </c>
      <c r="DC112" s="31" t="e">
        <f>(IF(OR(Hypothèses!$B$4=17,Hypothèses!$B$4=18,Hypothèses!$B$4=19,Hypothèses!$B$4=20),
IF($D112="Pressio.",
IF(OR($E112=3,$E112=1,$E112=4),(PI()*DC$12^2)/4*(CY112*$W112*1000)/($H112*$B$5),(PI()*DC$12^2)/4*(CY112*$W112*1000)/($G112*$B$5)),
IF($D112="Pénétro.",
IF(OR($E112=4,$E112=1,$E112=5),(PI()*DC$12^2)/4*(CY112*$W112*1000)/($H112*$B$5),(PI()*DC$12^2)/4*(CY112*$W112*1000)/($G112*$B$5)))),
IF($D112="Pressio.",
IF($E112=3,(PI()*DC$12^2)/4*(CY112*$W112*1000)/($H112*$B$5),(PI()*DC$12^2)/4*(CY112*$W112*1000)/($G112*$B$5)),
IF($D112="Pénétro.",
IF($E112=4,(PI()*DC$12^2)/4*(CY112*$W112*1000)/($H112*$B$5),(PI()*DC$12^2)/4*(CY112*$W112*1000)/($G112*$B$5))))))/10</f>
        <v>#N/A</v>
      </c>
      <c r="DD112" s="102" t="e">
        <f>(VLOOKUP($B$3,'Coeff EC7'!$T$39:$X$59,2,0)*DB112+VLOOKUP($B$3,'Coeff EC7'!$T$65:$X$85,2,0)*Model0.1C!DC112)/1.1</f>
        <v>#N/A</v>
      </c>
      <c r="DE112" s="102" t="e">
        <f>(VLOOKUP($B$3,'Coeff EC7'!$T$39:$X$59,3,0)*DB112+VLOOKUP($B$3,'Coeff EC7'!$T$65:$X$85,3,0)*Model0.1C!DC112)/0.9</f>
        <v>#N/A</v>
      </c>
      <c r="DF112" s="102" t="e">
        <f t="shared" si="186"/>
        <v>#N/A</v>
      </c>
      <c r="DG112" s="102" t="e">
        <f t="shared" si="187"/>
        <v>#N/A</v>
      </c>
      <c r="DH112" s="414" t="e">
        <f>IF(DH111=0,0,IF(AND(DD112&gt;charge_ELS_quasi,DE112&gt;Charge_ELS_freq,DF112&gt;charge_ELU,DG112&gt;charge_ELA,$B112&gt;NDC!$H$22-0.1+MIN(3*$DH$12,1.5)),0,1))</f>
        <v>#N/A</v>
      </c>
      <c r="DI112" s="86" t="b">
        <f t="shared" si="155"/>
        <v>0</v>
      </c>
      <c r="DJ112" s="86">
        <f t="shared" si="156"/>
        <v>0.5</v>
      </c>
      <c r="DK112" s="86">
        <f t="shared" si="157"/>
        <v>0.5</v>
      </c>
      <c r="DL112" s="30" t="e">
        <f t="shared" ca="1" si="188"/>
        <v>#DIV/0!</v>
      </c>
      <c r="DM112" s="85" t="e">
        <f ca="1">IF(CS112&lt;=Hypothèses!$V$7,Hypothèses!$W$7,IF(CS112&lt;=Hypothèses!$V$8,Hypothèses!$W$8,IF(CS112&lt;=Hypothèses!$V$9,Hypothèses!$W$9,IF(CS112&lt;=Hypothèses!$V$10,Hypothèses!$W$10,IF(CS112&lt;=Hypothèses!$V$11,Hypothèses!$W$11,IF(CS112&lt;=Hypothèses!$V$12,Hypothèses!$W$12,IF(CS112&lt;=Hypothèses!$V$13,Hypothèses!$W$13,IF(CS112&lt;=Hypothèses!$V$14,Hypothèses!$W$14,IF(CS112&lt;=Hypothèses!$V$15,Hypothèses!$W$15,IF(CS112&lt;=Hypothèses!$V$16,Hypothèses!$W$16,IF(CS112&lt;=Hypothèses!$V$17,Hypothèses!$W$17,IF(CS112&lt;=Hypothèses!$V$18,Hypothèses!$W$18,""))))))))))))</f>
        <v>#DIV/0!</v>
      </c>
      <c r="DN112" s="87" t="e">
        <f t="shared" ca="1" si="221"/>
        <v>#DIV/0!</v>
      </c>
      <c r="DO112" s="88" t="e">
        <f ca="1">IF(CS112&lt;=Hypothèses!$V$7,Hypothèses!$X$7,IF(CS112&lt;=Hypothèses!$V$8,Hypothèses!$X$8,IF(CS112&lt;=Hypothèses!$V$9,Hypothèses!$X$9,IF(CS112&lt;=Hypothèses!$V$10,Hypothèses!$X$10,IF(CS112&lt;=Hypothèses!$V$11,Hypothèses!$X$11,IF(CS112&lt;=Hypothèses!$V$12,Hypothèses!$X$12,IF(CS112&lt;=Hypothèses!$V$13,Hypothèses!$X$13,IF(CS112&lt;=Hypothèses!$V$14,Hypothèses!$X$14,IF(CS112&lt;=Hypothèses!$V$15,Hypothèses!$X$15,IF(CS112&lt;=Hypothèses!$V$16,Hypothèses!$X$16,IF(CS112&lt;=Hypothèses!$U$17,Hypothèses!$W$17,IF(CS112&lt;=Hypothèses!$U$18,Hypothèses!$W$18,""))))))))))))</f>
        <v>#DIV/0!</v>
      </c>
      <c r="DP112" s="95" t="e">
        <f t="shared" ca="1" si="189"/>
        <v>#DIV/0!</v>
      </c>
      <c r="DQ112" s="101" t="e">
        <f t="shared" si="228"/>
        <v>#N/A</v>
      </c>
      <c r="DR112" s="91" t="e">
        <f t="shared" si="158"/>
        <v>#N/A</v>
      </c>
      <c r="DS112" s="30" t="e">
        <f t="shared" si="210"/>
        <v>#N/A</v>
      </c>
      <c r="DT112" s="30" t="e">
        <f t="shared" si="211"/>
        <v>#N/A</v>
      </c>
      <c r="DU112" s="31" t="e">
        <f>IF(OR(Hypothèses!$B$4=17,Hypothèses!$B$4=18,Hypothèses!$B$4=19,Hypothèses!$B$4=20),
IF($D112="Pressio.",
IF(OR($E112=3,$E112=1,$E112=4),DT112,DS112),
IF($D112="Pénétro.",
IF(OR($E112=3,$E112=1,$E112=4),DT112,DS112))),IF($D112="Pressio.",
IF($E112=3,DT112,DS112),
IF($D112="Pénétro.",
IF($E112=4,DT112,DS112))))</f>
        <v>#N/A</v>
      </c>
      <c r="DV112" s="31" t="e">
        <f>(IF(OR(Hypothèses!$B$4=17,Hypothèses!$B$4=18,Hypothèses!$B$4=19,Hypothèses!$B$4=20),
IF($D112="Pressio.",
IF(OR($E112=3,$E112=1,$E112=4),(PI()*DV$12^2)/4*(DR112*$W112*1000)/($H112*$B$5),(PI()*DV$12^2)/4*(DR112*$W112*1000)/($G112*$B$5)),
IF($D112="Pénétro.",
IF(OR($E112=4,$E112=1,$E112=5),(PI()*DV$12^2)/4*(DR112*$W112*1000)/($H112*$B$5),(PI()*DV$12^2)/4*(DR112*$W112*1000)/($G112*$B$5)))),
IF($D112="Pressio.",
IF($E112=3,(PI()*DV$12^2)/4*(DR112*$W112*1000)/($H112*$B$5),(PI()*DV$12^2)/4*(DR112*$W112*1000)/($G112*$B$5)),
IF($D112="Pénétro.",
IF($E112=4,(PI()*DV$12^2)/4*(DR112*$W112*1000)/($H112*$B$5),(PI()*DV$12^2)/4*(DR112*$W112*1000)/($G112*$B$5))))))/10</f>
        <v>#N/A</v>
      </c>
      <c r="DW112" s="102" t="e">
        <f>(VLOOKUP($B$3,'Coeff EC7'!$T$39:$X$59,2,0)*DU112+VLOOKUP($B$3,'Coeff EC7'!$T$65:$X$85,2,0)*Model0.1C!DV112)/1.1</f>
        <v>#N/A</v>
      </c>
      <c r="DX112" s="102" t="e">
        <f>(VLOOKUP($B$3,'Coeff EC7'!$T$39:$X$59,3,0)*DU112+VLOOKUP($B$3,'Coeff EC7'!$T$65:$X$85,3,0)*Model0.1C!DV112)/0.9</f>
        <v>#N/A</v>
      </c>
      <c r="DY112" s="102" t="e">
        <f t="shared" si="190"/>
        <v>#N/A</v>
      </c>
      <c r="DZ112" s="102" t="e">
        <f t="shared" si="191"/>
        <v>#N/A</v>
      </c>
      <c r="EA112" s="414" t="e">
        <f>IF(EA111=0,0,IF(AND(DW112&gt;charge_ELS_quasi,DX112&gt;Charge_ELS_freq,DY112&gt;charge_ELU,DZ112&gt;charge_ELA,$B112&gt;NDC!$H$22-0.1+MIN(3*$EA$12,1.5)),0,1))</f>
        <v>#N/A</v>
      </c>
      <c r="EB112" s="86" t="b">
        <f t="shared" si="159"/>
        <v>0</v>
      </c>
      <c r="EC112" s="418">
        <f t="shared" si="160"/>
        <v>0.51</v>
      </c>
      <c r="ED112" s="86">
        <f t="shared" si="161"/>
        <v>0.51</v>
      </c>
      <c r="EE112" s="30" t="e">
        <f t="shared" ca="1" si="192"/>
        <v>#DIV/0!</v>
      </c>
      <c r="EF112" s="85" t="e">
        <f ca="1">IF(DL112&lt;=Hypothèses!$V$7,Hypothèses!$W$7,IF(DL112&lt;=Hypothèses!$V$8,Hypothèses!$W$8,IF(DL112&lt;=Hypothèses!$V$9,Hypothèses!$W$9,IF(DL112&lt;=Hypothèses!$V$10,Hypothèses!$W$10,IF(DL112&lt;=Hypothèses!$V$11,Hypothèses!$W$11,IF(DL112&lt;=Hypothèses!$V$12,Hypothèses!$W$12,IF(DL112&lt;=Hypothèses!$V$13,Hypothèses!$W$13,IF(DL112&lt;=Hypothèses!$V$14,Hypothèses!$W$14,IF(DL112&lt;=Hypothèses!$V$15,Hypothèses!$W$15,IF(DL112&lt;=Hypothèses!$V$16,Hypothèses!$W$16,IF(DL112&lt;=Hypothèses!$V$17,Hypothèses!$W$17,IF(DL112&lt;=Hypothèses!$V$18,Hypothèses!$W$18,""))))))))))))</f>
        <v>#DIV/0!</v>
      </c>
      <c r="EG112" s="87" t="e">
        <f t="shared" ca="1" si="222"/>
        <v>#DIV/0!</v>
      </c>
      <c r="EH112" s="88" t="e">
        <f ca="1">IF(DL112&lt;=Hypothèses!$V$7,Hypothèses!$X$7,IF(DL112&lt;=Hypothèses!$V$8,Hypothèses!$X$8,IF(DL112&lt;=Hypothèses!$V$9,Hypothèses!$X$9,IF(DL112&lt;=Hypothèses!$V$10,Hypothèses!$X$10,IF(DL112&lt;=Hypothèses!$V$11,Hypothèses!$X$11,IF(DL112&lt;=Hypothèses!$V$12,Hypothèses!$X$12,IF(DL112&lt;=Hypothèses!$V$13,Hypothèses!$X$13,IF(DL112&lt;=Hypothèses!$V$14,Hypothèses!$X$14,IF(DL112&lt;=Hypothèses!$V$15,Hypothèses!$X$15,IF(DL112&lt;=Hypothèses!$V$16,Hypothèses!$X$16,IF(DL112&lt;=Hypothèses!$U$17,Hypothèses!$W$17,IF(DL112&lt;=Hypothèses!$U$18,Hypothèses!$W$18,""))))))))))))</f>
        <v>#DIV/0!</v>
      </c>
      <c r="EI112" s="95" t="e">
        <f t="shared" ca="1" si="193"/>
        <v>#DIV/0!</v>
      </c>
      <c r="EJ112" s="101" t="e">
        <f t="shared" si="229"/>
        <v>#N/A</v>
      </c>
      <c r="EK112" s="91" t="e">
        <f t="shared" si="162"/>
        <v>#N/A</v>
      </c>
      <c r="EL112" s="30" t="e">
        <f t="shared" si="212"/>
        <v>#N/A</v>
      </c>
      <c r="EM112" s="30" t="e">
        <f t="shared" si="213"/>
        <v>#N/A</v>
      </c>
      <c r="EN112" s="31" t="e">
        <f>IF(OR(Hypothèses!$B$4=17,Hypothèses!$B$4=18,Hypothèses!$B$4=19,Hypothèses!$B$4=20),
IF($D112="Pressio.",
IF(OR($E112=3,$E112=1,$E112=4),EM112,EL112),
IF($D112="Pénétro.",
IF(OR($E112=3,$E112=1,$E112=4),EM112,EL112))),IF($D112="Pressio.",
IF($E112=3,EM112,EL112),
IF($D112="Pénétro.",
IF($E112=4,EM112,EL112))))</f>
        <v>#N/A</v>
      </c>
      <c r="EO112" s="31" t="e">
        <f>(IF(OR(Hypothèses!$B$4=17,Hypothèses!$B$4=18,Hypothèses!$B$4=19,Hypothèses!$B$4=20),
IF($D112="Pressio.",
IF(OR($E112=3,$E112=1,$E112=4),(PI()*EO$12^2)/4*(EK112*$W112*1000)/($H112*$B$5),(PI()*EO$12^2)/4*(EK112*$W112*1000)/($G112*$B$5)),
IF($D112="Pénétro.",
IF(OR($E112=4,$E112=1,$E112=5),(PI()*EO$12^2)/4*(EK112*$W112*1000)/($H112*$B$5),(PI()*EO$12^2)/4*(EK112*$W112*1000)/($G112*$B$5)))),
IF($D112="Pressio.",
IF($E112=3,(PI()*EO$12^2)/4*(EK112*$W112*1000)/($H112*$B$5),(PI()*EO$12^2)/4*(EK112*$W112*1000)/($G112*$B$5)),
IF($D112="Pénétro.",
IF($E112=4,(PI()*EO$12^2)/4*(EK112*$W112*1000)/($H112*$B$5),(PI()*EO$12^2)/4*(EK112*$W112*1000)/($G112*$B$5))))))/10</f>
        <v>#N/A</v>
      </c>
      <c r="EP112" s="102" t="e">
        <f>(VLOOKUP($B$3,'Coeff EC7'!$T$39:$X$59,2,0)*EN112+VLOOKUP($B$3,'Coeff EC7'!$T$65:$X$85,2,0)*Model0.1C!EO112)/1.1</f>
        <v>#N/A</v>
      </c>
      <c r="EQ112" s="102" t="e">
        <f>(VLOOKUP($B$3,'Coeff EC7'!$T$39:$X$59,3,0)*EN112+VLOOKUP($B$3,'Coeff EC7'!$T$65:$X$85,3,0)*Model0.1C!EO112)/0.9</f>
        <v>#N/A</v>
      </c>
      <c r="ER112" s="102" t="e">
        <f t="shared" si="194"/>
        <v>#N/A</v>
      </c>
      <c r="ES112" s="102" t="e">
        <f t="shared" si="195"/>
        <v>#N/A</v>
      </c>
      <c r="ET112" s="414" t="e">
        <f>IF(ET111=0,0,IF(AND(EP112&gt;charge_ELS_quasi,EQ112&gt;Charge_ELS_freq,ER112&gt;charge_ELU,ES112&gt;charge_ELA,$B112&gt;NDC!$H$22-0.1+MIN(3*$ET$12,1.5)),0,1))</f>
        <v>#N/A</v>
      </c>
      <c r="EU112" s="86" t="b">
        <f t="shared" si="163"/>
        <v>0</v>
      </c>
      <c r="EV112" s="86">
        <f t="shared" si="164"/>
        <v>0.61</v>
      </c>
      <c r="EW112" s="86">
        <f t="shared" si="165"/>
        <v>0.61</v>
      </c>
      <c r="EX112" s="30" t="e">
        <f t="shared" ca="1" si="196"/>
        <v>#DIV/0!</v>
      </c>
      <c r="EY112" s="85" t="e">
        <f ca="1">IF(EE112&lt;=Hypothèses!$V$7,Hypothèses!$W$7,IF(EE112&lt;=Hypothèses!$V$8,Hypothèses!$W$8,IF(EE112&lt;=Hypothèses!$V$9,Hypothèses!$W$9,IF(EE112&lt;=Hypothèses!$V$10,Hypothèses!$W$10,IF(EE112&lt;=Hypothèses!$V$11,Hypothèses!$W$11,IF(EE112&lt;=Hypothèses!$V$12,Hypothèses!$W$12,IF(EE112&lt;=Hypothèses!$V$13,Hypothèses!$W$13,IF(EE112&lt;=Hypothèses!$V$14,Hypothèses!$W$14,IF(EE112&lt;=Hypothèses!$V$15,Hypothèses!$W$15,IF(EE112&lt;=Hypothèses!$V$16,Hypothèses!$W$16,IF(EE112&lt;=Hypothèses!$V$17,Hypothèses!$W$17,IF(EE112&lt;=Hypothèses!$V$18,Hypothèses!$W$18,""))))))))))))</f>
        <v>#DIV/0!</v>
      </c>
      <c r="EZ112" s="87" t="e">
        <f t="shared" ca="1" si="223"/>
        <v>#DIV/0!</v>
      </c>
      <c r="FA112" s="88" t="e">
        <f ca="1">IF(EE112&lt;=Hypothèses!$V$7,Hypothèses!$X$7,IF(EE112&lt;=Hypothèses!$V$8,Hypothèses!$X$8,IF(EE112&lt;=Hypothèses!$V$9,Hypothèses!$X$9,IF(EE112&lt;=Hypothèses!$V$10,Hypothèses!$X$10,IF(EE112&lt;=Hypothèses!$V$11,Hypothèses!$X$11,IF(EE112&lt;=Hypothèses!$V$12,Hypothèses!$X$12,IF(EE112&lt;=Hypothèses!$V$13,Hypothèses!$X$13,IF(EE112&lt;=Hypothèses!$V$14,Hypothèses!$X$14,IF(EE112&lt;=Hypothèses!$V$15,Hypothèses!$X$15,IF(EE112&lt;=Hypothèses!$V$16,Hypothèses!$X$16,IF(EE112&lt;=Hypothèses!$U$17,Hypothèses!$W$17,IF(EE112&lt;=Hypothèses!$U$18,Hypothèses!$W$18,""))))))))))))</f>
        <v>#DIV/0!</v>
      </c>
      <c r="FB112" s="95" t="e">
        <f t="shared" ca="1" si="197"/>
        <v>#DIV/0!</v>
      </c>
      <c r="FC112" s="101" t="e">
        <f t="shared" si="230"/>
        <v>#N/A</v>
      </c>
      <c r="FD112" s="91" t="e">
        <f t="shared" si="166"/>
        <v>#N/A</v>
      </c>
      <c r="FE112" s="30" t="e">
        <f t="shared" si="214"/>
        <v>#N/A</v>
      </c>
      <c r="FF112" s="30" t="e">
        <f t="shared" si="215"/>
        <v>#N/A</v>
      </c>
      <c r="FG112" s="31" t="e">
        <f>IF(OR(Hypothèses!$B$4=17,Hypothèses!$B$4=18,Hypothèses!$B$4=19,Hypothèses!$B$4=20),
IF($D112="Pressio.",
IF(OR($E112=3,$E112=1,$E112=4),FF112,FE112),
IF($D112="Pénétro.",
IF(OR($E112=3,$E112=1,$E112=4),FF112,FE112))),IF($D112="Pressio.",
IF($E112=3,FF112,FE112),
IF($D112="Pénétro.",
IF($E112=4,FF112,FE112))))</f>
        <v>#N/A</v>
      </c>
      <c r="FH112" s="31" t="e">
        <f>(IF(OR(Hypothèses!$B$4=17,Hypothèses!$B$4=18,Hypothèses!$B$4=19,Hypothèses!$B$4=20),
IF($D112="Pressio.",
IF(OR($E112=3,$E112=1,$E112=4),(PI()*FH$12^2)/4*(FD112*$W112*1000)/($H112*$B$5),(PI()*FH$12^2)/4*(FD112*$W112*1000)/($G112*$B$5)),
IF($D112="Pénétro.",
IF(OR($E112=4,$E112=1,$E112=5),(PI()*FH$12^2)/4*(FD112*$W112*1000)/($H112*$B$5),(PI()*FH$12^2)/4*(FD112*$W112*1000)/($G112*$B$5)))),
IF($D112="Pressio.",
IF($E112=3,(PI()*FH$12^2)/4*(FD112*$W112*1000)/($H112*$B$5),(PI()*FH$12^2)/4*(FD112*$W112*1000)/($G112*$B$5)),
IF($D112="Pénétro.",
IF($E112=4,(PI()*FH$12^2)/4*(FD112*$W112*1000)/($H112*$B$5),(PI()*FH$12^2)/4*(FD112*$W112*1000)/($G112*$B$5))))))/10</f>
        <v>#N/A</v>
      </c>
      <c r="FI112" s="102" t="e">
        <f>(VLOOKUP($B$3,'Coeff EC7'!$T$39:$X$59,2,0)*FG112+VLOOKUP($B$3,'Coeff EC7'!$T$65:$X$85,2,0)*Model0.1C!FH112)/1.1</f>
        <v>#N/A</v>
      </c>
      <c r="FJ112" s="102" t="e">
        <f>(VLOOKUP($B$3,'Coeff EC7'!$T$39:$X$59,3,0)*FG112+VLOOKUP($B$3,'Coeff EC7'!$T$65:$X$85,3,0)*Model0.1C!FH112)/0.9</f>
        <v>#N/A</v>
      </c>
      <c r="FK112" s="102" t="e">
        <f t="shared" si="198"/>
        <v>#N/A</v>
      </c>
      <c r="FL112" s="102" t="e">
        <f t="shared" si="199"/>
        <v>#N/A</v>
      </c>
      <c r="FM112" s="414" t="e">
        <f>IF(FM111=0,0,IF(AND(FI112&gt;charge_ELS_quasi,FJ112&gt;Charge_ELS_freq,FK112&gt;charge_ELU,FL112&gt;charge_ELA,$B112&gt;NDC!$H$22-0.1+MIN(3*$FM$12,1.5)),0,1))</f>
        <v>#N/A</v>
      </c>
    </row>
    <row r="113" spans="1:169">
      <c r="A113" s="96">
        <f t="shared" si="167"/>
        <v>90.000000000000568</v>
      </c>
      <c r="B113" s="443">
        <v>10</v>
      </c>
      <c r="C113" s="81">
        <f>IF(B113&lt;=Hypothèses!$C$7,Hypothèses!$A$7,IF(B113&lt;=Hypothèses!$C$8,Hypothèses!$A$8,IF(B113&lt;=Hypothèses!$C$9,Hypothèses!$A$9,IF(B113&lt;=Hypothèses!$C$10,Hypothèses!$A$10,IF(B113&lt;=Hypothèses!$C$11,Hypothèses!$A$11,IF(B113&lt;=Hypothèses!$C$12,Hypothèses!$A$12,IF(B113&lt;=Hypothèses!$C$13,Hypothèses!$A$13,IF(B113&lt;=Hypothèses!$C$14,Hypothèses!$A$14,IF(B113&lt;=Hypothèses!$C$15,Hypothèses!$A$15,IF(B113&lt;=Hypothèses!$C$16,Hypothèses!$A$16,IF(B113&lt;=Hypothèses!$C$17,Hypothèses!$A$17,IF(B113&lt;=Hypothèses!$C$18,Hypothèses!$A$18,C112))))))))))))</f>
        <v>11</v>
      </c>
      <c r="D113" s="82" t="str">
        <f>IF(B113&lt;=Hypothèses!$C$7,Hypothèses!$R$7,IF(B113&lt;=Hypothèses!$C$8,Hypothèses!$R$8,IF(B113&lt;=Hypothèses!$C$9,Hypothèses!$R$9,IF(B113&lt;=Hypothèses!$C$10,Hypothèses!$R$10,IF(B113&lt;=Hypothèses!$C$11,Hypothèses!$R$11,IF(B113&lt;=Hypothèses!$C$12,Hypothèses!$R$12,IF(B113&lt;=Hypothèses!$C$13,Hypothèses!$R$13,IF(B113&lt;=Hypothèses!$C$14,Hypothèses!$R$14,IF(B113&lt;=Hypothèses!$C$15,Hypothèses!$R$15,IF(B113&lt;=Hypothèses!$C$16,Hypothèses!$R$16,IF(B113&lt;=Hypothèses!$C$17,Hypothèses!$R$17,IF(B113&lt;=Hypothèses!$C$18,Hypothèses!$R$18,D112))))))))))))</f>
        <v>Pressio.</v>
      </c>
      <c r="E113" s="82" t="e">
        <f>IF(B113&lt;=Hypothèses!$C$7,Hypothèses!$G$7,IF(B113&lt;=Hypothèses!$C$8,Hypothèses!$G$8,IF(B113&lt;=Hypothèses!$C$9,Hypothèses!$G$9,IF(B113&lt;=Hypothèses!$C$10,Hypothèses!$G$10,IF(B113&lt;=Hypothèses!$C$11,Hypothèses!$G$11,IF(B113&lt;=Hypothèses!$C$12,Hypothèses!$G$12,IF(B113&lt;=Hypothèses!$C$13,Hypothèses!$G$13,IF(B113&lt;=Hypothèses!$C$14,Hypothèses!$G$14,IF(B113&lt;=Hypothèses!$C$15,Hypothèses!$G$15,IF(B113&lt;=Hypothèses!$C$16,Hypothèses!$G$16,IF(B113&lt;=Hypothèses!$C$17,Hypothèses!$G$17,IF(B113&lt;=Hypothèses!$C$18,Hypothèses!$G$18,E112))))))))))))</f>
        <v>#N/A</v>
      </c>
      <c r="F113" s="82" t="str">
        <f>IF(B113&lt;=Hypothèses!$C$7,Hypothèses!$F$7,IF(B113&lt;=Hypothèses!$C$8,Hypothèses!$F$8,IF(B113&lt;=Hypothèses!$C$9,Hypothèses!$F$9,IF(B113&lt;=Hypothèses!$C$10,Hypothèses!$F$10,IF(B113&lt;=Hypothèses!$C$11,Hypothèses!$F$11,IF(B113&lt;=Hypothèses!$C$12,Hypothèses!$F$12,IF(B113&lt;=Hypothèses!$C$13,Hypothèses!$F$13,IF(B113&lt;=Hypothèses!$C$14,Hypothèses!$F$14,IF(B113&lt;=Hypothèses!$C$15,Hypothèses!$F$15,IF(B113&lt;=Hypothèses!$C$16,Hypothèses!$F$16,IF(B113&lt;=Hypothèses!$C$17,Hypothèses!$F$17,IF(B113&lt;=Hypothèses!$C$18,Hypothèses!$F$18,F112))))))))))))</f>
        <v/>
      </c>
      <c r="G113" s="91">
        <f t="array" ref="G113">INDEX('Coeff EC7'!$U$7:$X$27,
MATCH(Model0.1C!$B$3,'Coeff EC7'!$T$7:$T$27,0),
MATCH(Model0.1C!$D113&amp;Model0.1C!$B$4,
'Coeff EC7'!$U$6:$X$6&amp;
'Coeff EC7'!$U$5:$X$5,0))</f>
        <v>1.1499999999999999</v>
      </c>
      <c r="H113" s="91">
        <f t="array" ref="H113">INDEX('Coeff EC7'!$Y$7:$AB$27,
MATCH(Model0.1C!$B$3,'Coeff EC7'!$T$7:$T$27,0),
MATCH(Model0.1C!$D113&amp;Model0.1C!$B$4,
'Coeff EC7'!$Y$6:$AB$6&amp;
'Coeff EC7'!$Y$5:$AB$5,0))</f>
        <v>1.4</v>
      </c>
      <c r="I113" s="83" t="e">
        <f>IF(B113&lt;=Hypothèses!$C$7,Hypothèses!$P$7,IF(B113&lt;=Hypothèses!$C$8,Hypothèses!$P$8,IF(B113&lt;=Hypothèses!$C$9,Hypothèses!$P$9,IF(B113&lt;=Hypothèses!$C$10,Hypothèses!$P$10,IF(B113&lt;=Hypothèses!$C$11,Hypothèses!$P$11,IF(B113&lt;=Hypothèses!$C$12,Hypothèses!$P$12,IF(B113&lt;=Hypothèses!$C$13,Hypothèses!$P$13,IF(B113&lt;=Hypothèses!$C$14,Hypothèses!$P$14,IF(B113&lt;=Hypothèses!$C$15,Hypothèses!$P$15,IF(B113&lt;=Hypothèses!$C$16,Hypothèses!$P$16,IF(B113&lt;=Hypothèses!$C$17,Hypothèses!$P$17,IF(B113&lt;=Hypothèses!$C$18,Hypothèses!$P$18,I112))))))))))))</f>
        <v>#N/A</v>
      </c>
      <c r="J113" s="91" t="e">
        <f t="array" ref="J113">INDEX('Coeff EC7'!$D$33:$Q$33,1,MATCH(D113&amp;E113,'Coeff EC7'!$D$31:$Q$31&amp;'Coeff EC7'!$D$32:$Q$32,0))</f>
        <v>#N/A</v>
      </c>
      <c r="K113" s="91" t="e">
        <f t="array" ref="K113">INDEX('Coeff EC7'!$D$34:$Q$34,1,MATCH(D113&amp;E113,'Coeff EC7'!$D$31:$Q$31&amp;'Coeff EC7'!$D$32:$Q$32,0))</f>
        <v>#N/A</v>
      </c>
      <c r="L113" s="91" t="e">
        <f t="array" ref="L113">INDEX('Coeff EC7'!$D$35:$Q$35,1,MATCH(D113&amp;E113,'Coeff EC7'!$D$31:$Q$31&amp;'Coeff EC7'!$D$32:$Q$32,0))</f>
        <v>#N/A</v>
      </c>
      <c r="M113" s="98" t="e">
        <f t="shared" si="131"/>
        <v>#N/A</v>
      </c>
      <c r="N113" s="99" t="e">
        <f t="array" ref="N113">INDEX('Coeff EC7'!$D$7:$Q$27,MATCH($B$3,'Coeff EC7'!$C$7:$C$27,0),MATCH(D113&amp;E113,'Coeff EC7'!$D$5:$Q$5&amp;'Coeff EC7'!$D$6:$Q$6,0))</f>
        <v>#N/A</v>
      </c>
      <c r="O113" s="99" t="e">
        <f t="array" ref="O113">INDEX('Coeff EC7'!$D$41:$Q$61,MATCH($B$3,'Coeff EC7'!$C$41:$C$61,0),MATCH(D113&amp;E113,'Coeff EC7'!$D$39:$Q$39&amp;'Coeff EC7'!$D$40:$Q$40,0))</f>
        <v>#N/A</v>
      </c>
      <c r="P113" s="30" t="e">
        <f t="shared" si="168"/>
        <v>#N/A</v>
      </c>
      <c r="Q113" s="100" t="e">
        <f t="shared" si="133"/>
        <v>#N/A</v>
      </c>
      <c r="R113" s="86" t="b">
        <f t="shared" si="134"/>
        <v>0</v>
      </c>
      <c r="S113" s="86">
        <f t="shared" si="132"/>
        <v>0.5</v>
      </c>
      <c r="T113" s="86">
        <f t="shared" si="135"/>
        <v>0.5</v>
      </c>
      <c r="U113" s="30" t="e">
        <f t="shared" ca="1" si="169"/>
        <v>#DIV/0!</v>
      </c>
      <c r="V113" s="85" t="str">
        <f>IF(B113&lt;=Hypothèses!$V$7,Hypothèses!$W$7,IF(B113&lt;=Hypothèses!$V$8,Hypothèses!$W$8,IF(B113&lt;=Hypothèses!$V$9,Hypothèses!$W$9,IF(B113&lt;=Hypothèses!$V$10,Hypothèses!$W$10,IF(B113&lt;=Hypothèses!$V$11,Hypothèses!$W$11,IF(B113&lt;=Hypothèses!$V$12,Hypothèses!$W$12,IF(B113&lt;=Hypothèses!$V$13,Hypothèses!$W$13,IF(B113&lt;=Hypothèses!$V$14,Hypothèses!$W$14,IF(B113&lt;=Hypothèses!$V$15,Hypothèses!$W$15,IF(B113&lt;=Hypothèses!$V$16,Hypothèses!$W$16,IF(B113&lt;=Hypothèses!$V$17,Hypothèses!$W$17,IF(B113&lt;=Hypothèses!$V$18,Hypothèses!$W$18,""))))))))))))</f>
        <v/>
      </c>
      <c r="W113" s="87" t="e">
        <f t="shared" ca="1" si="216"/>
        <v>#DIV/0!</v>
      </c>
      <c r="X113" s="88" t="str">
        <f>IF(B113&lt;=Hypothèses!$V$7,Hypothèses!$X$7,IF(B113&lt;=Hypothèses!$V$8,Hypothèses!$X$8,IF(B113&lt;=Hypothèses!$V$9,Hypothèses!$X$9,IF(B113&lt;=Hypothèses!$V$10,Hypothèses!$X$10,IF(B113&lt;=Hypothèses!$V$11,Hypothèses!$X$11,IF(B113&lt;=Hypothèses!$V$12,Hypothèses!$X$12,IF(B113&lt;=Hypothèses!$V$13,Hypothèses!$X$13,IF(B113&lt;=Hypothèses!$V$14,Hypothèses!$X$14,IF(B113&lt;=Hypothèses!$V$15,Hypothèses!$X$15,IF(B113&lt;=Hypothèses!$V$16,Hypothèses!$X$16,IF(B113&lt;=Hypothèses!$U$17,Hypothèses!$W$17,IF(B113&lt;=Hypothèses!$U$18,Hypothèses!$W$18,""))))))))))))</f>
        <v/>
      </c>
      <c r="Y113" s="95" t="e">
        <f t="shared" ca="1" si="136"/>
        <v>#DIV/0!</v>
      </c>
      <c r="Z113" s="101" t="e">
        <f t="shared" si="137"/>
        <v>#N/A</v>
      </c>
      <c r="AA113" s="91" t="e">
        <f t="shared" si="138"/>
        <v>#N/A</v>
      </c>
      <c r="AB113" s="30" t="e">
        <f t="shared" si="200"/>
        <v>#N/A</v>
      </c>
      <c r="AC113" s="30" t="e">
        <f t="shared" si="201"/>
        <v>#N/A</v>
      </c>
      <c r="AD113" s="31" t="e">
        <f>IF(OR(Hypothèses!$B$4=17,Hypothèses!$B$4=18,Hypothèses!$B$4=19,Hypothèses!$B$4=20),
IF($D113="Pressio.",
IF(OR($E113=3,$E113=1,$E113=4),AC113,AB113),
IF($D113="Pénétro.",
IF(OR($E113=3,$E113=1,$E113=4),AC113,AB113))),IF($D113="Pressio.",
IF($E113=3,AC113,AB113),
IF($D113="Pénétro.",
IF($E113=4,AC113,AB113))))</f>
        <v>#N/A</v>
      </c>
      <c r="AE113" s="31" t="e">
        <f>(IF(OR(Hypothèses!$B$4=17,Hypothèses!$B$4=18,Hypothèses!$B$4=19,Hypothèses!$B$4=20),
IF($D113="Pressio.",
IF(OR($E113=3,$E113=1,$E113=4),(PI()*AE$12^2)/4*(AA113*$W113*1000)/($H113*$B$5),(PI()*AE$12^2)/4*(AA113*$W113*1000)/($G113*$B$5)),
IF($D113="Pénétro.",
IF(OR($E113=4,$E113=1,$E113=5),(PI()*AE$12^2)/4*(AA113*$W113*1000)/($H113*$B$5),(PI()*AE$12^2)/4*(AA113*$W113*1000)/($G113*$B$5)))),
IF($D113="Pressio.",
IF($E113=3,(PI()*AE$12^2)/4*(AA113*$W113*1000)/($H113*$B$5),(PI()*AE$12^2)/4*(AA113*$W113*1000)/($G113*$B$5)),
IF($D113="Pénétro.",
IF($E113=4,(PI()*AE$12^2)/4*(AA113*$W113*1000)/($H113*$B$5),(PI()*AE$12^2)/4*(AA113*$W113*1000)/($G113*$B$5))))))/10</f>
        <v>#N/A</v>
      </c>
      <c r="AF113" s="102" t="e">
        <f>(VLOOKUP($B$3,'Coeff EC7'!$T$39:$X$59,2,0)*AD113+VLOOKUP($B$3,'Coeff EC7'!$T$65:$X$85,2,0)*Model0.1C!AE113)/1.1</f>
        <v>#N/A</v>
      </c>
      <c r="AG113" s="102" t="e">
        <f>(VLOOKUP($B$3,'Coeff EC7'!$T$39:$X$59,3,0)*AD113+VLOOKUP($B$3,'Coeff EC7'!$T$65:$X$85,3,0)*Model0.1C!AE113)/0.9</f>
        <v>#N/A</v>
      </c>
      <c r="AH113" s="102" t="e">
        <f t="shared" si="139"/>
        <v>#N/A</v>
      </c>
      <c r="AI113" s="102" t="e">
        <f t="shared" si="140"/>
        <v>#N/A</v>
      </c>
      <c r="AJ113" s="414" t="e">
        <f>IF(AJ112=0,0,IF(AND(AF113&gt;charge_ELS_quasi,AG113&gt;Charge_ELS_freq,AH113&gt;charge_ELU,AI113&gt;charge_ELA,$B113&gt;NDC!$H$22-0.1+MIN(3*$AJ$12,1.5)),0,1))</f>
        <v>#N/A</v>
      </c>
      <c r="AK113" s="86" t="b">
        <f t="shared" si="141"/>
        <v>0</v>
      </c>
      <c r="AL113" s="86">
        <f t="shared" si="170"/>
        <v>0.5</v>
      </c>
      <c r="AM113" s="86">
        <f t="shared" si="142"/>
        <v>0.5</v>
      </c>
      <c r="AN113" s="30" t="e">
        <f t="shared" ca="1" si="171"/>
        <v>#DIV/0!</v>
      </c>
      <c r="AO113" s="85" t="e">
        <f ca="1">IF(U113&lt;=Hypothèses!$V$7,Hypothèses!$W$7,IF(U113&lt;=Hypothèses!$V$8,Hypothèses!$W$8,IF(U113&lt;=Hypothèses!$V$9,Hypothèses!$W$9,IF(U113&lt;=Hypothèses!$V$10,Hypothèses!$W$10,IF(U113&lt;=Hypothèses!$V$11,Hypothèses!$W$11,IF(U113&lt;=Hypothèses!$V$12,Hypothèses!$W$12,IF(U113&lt;=Hypothèses!$V$13,Hypothèses!$W$13,IF(U113&lt;=Hypothèses!$V$14,Hypothèses!$W$14,IF(U113&lt;=Hypothèses!$V$15,Hypothèses!$W$15,IF(U113&lt;=Hypothèses!$V$16,Hypothèses!$W$16,IF(U113&lt;=Hypothèses!$V$17,Hypothèses!$W$17,IF(U113&lt;=Hypothèses!$V$18,Hypothèses!$W$18,""))))))))))))</f>
        <v>#DIV/0!</v>
      </c>
      <c r="AP113" s="87" t="e">
        <f t="shared" ca="1" si="217"/>
        <v>#DIV/0!</v>
      </c>
      <c r="AQ113" s="88" t="e">
        <f ca="1">IF(U113&lt;=Hypothèses!$V$7,Hypothèses!$X$7,IF(U113&lt;=Hypothèses!$V$8,Hypothèses!$X$8,IF(U113&lt;=Hypothèses!$V$9,Hypothèses!$X$9,IF(U113&lt;=Hypothèses!$V$10,Hypothèses!$X$10,IF(U113&lt;=Hypothèses!$V$11,Hypothèses!$X$11,IF(U113&lt;=Hypothèses!$V$12,Hypothèses!$X$12,IF(U113&lt;=Hypothèses!$V$13,Hypothèses!$X$13,IF(U113&lt;=Hypothèses!$V$14,Hypothèses!$X$14,IF(U113&lt;=Hypothèses!$V$15,Hypothèses!$X$15,IF(U113&lt;=Hypothèses!$V$16,Hypothèses!$X$16,IF(U113&lt;=Hypothèses!$U$17,Hypothèses!$W$17,IF(U113&lt;=Hypothèses!$U$18,Hypothèses!$W$18,""))))))))))))</f>
        <v>#DIV/0!</v>
      </c>
      <c r="AR113" s="95" t="e">
        <f t="shared" ca="1" si="172"/>
        <v>#DIV/0!</v>
      </c>
      <c r="AS113" s="101" t="e">
        <f t="shared" si="224"/>
        <v>#N/A</v>
      </c>
      <c r="AT113" s="91" t="e">
        <f t="shared" si="143"/>
        <v>#N/A</v>
      </c>
      <c r="AU113" s="30" t="e">
        <f t="shared" si="202"/>
        <v>#N/A</v>
      </c>
      <c r="AV113" s="30" t="e">
        <f t="shared" si="203"/>
        <v>#N/A</v>
      </c>
      <c r="AW113" s="31" t="e">
        <f>IF(OR(Hypothèses!$B$4=17,Hypothèses!$B$4=18,Hypothèses!$B$4=19,Hypothèses!$B$4=20),
IF($D113="Pressio.",
IF(OR($E113=3,$E113=1,$E113=4),AV113,AU113),
IF($D113="Pénétro.",
IF(OR($E113=3,$E113=1,$E113=4),AV113,AU113))),IF($D113="Pressio.",
IF($E113=3,AV113,AU113),
IF($D113="Pénétro.",
IF($E113=4,AV113,AU113))))</f>
        <v>#N/A</v>
      </c>
      <c r="AX113" s="31" t="e">
        <f>(IF(OR(Hypothèses!$B$4=17,Hypothèses!$B$4=18,Hypothèses!$B$4=19,Hypothèses!$B$4=20),
IF($D113="Pressio.",
IF(OR($E113=3,$E113=1,$E113=4),(PI()*AX$12^2)/4*(AT113*$W113*1000)/($H113*$B$5),(PI()*AX$12^2)/4*(AT113*$W113*1000)/($G113*$B$5)),
IF($D113="Pénétro.",
IF(OR($E113=4,$E113=1,$E113=5),(PI()*AX$12^2)/4*(AT113*$W113*1000)/($H113*$B$5),(PI()*AX$12^2)/4*(AT113*$W113*1000)/($G113*$B$5)))),
IF($D113="Pressio.",
IF($E113=3,(PI()*AX$12^2)/4*(AT113*$W113*1000)/($H113*$B$5),(PI()*AX$12^2)/4*(AT113*$W113*1000)/($G113*$B$5)),
IF($D113="Pénétro.",
IF($E113=4,(PI()*AX$12^2)/4*(AT113*$W113*1000)/($H113*$B$5),(PI()*AX$12^2)/4*(AT113*$W113*1000)/($G113*$B$5))))))/10</f>
        <v>#N/A</v>
      </c>
      <c r="AY113" s="102" t="e">
        <f>(VLOOKUP($B$3,'Coeff EC7'!$T$39:$X$59,2,0)*AW113+VLOOKUP($B$3,'Coeff EC7'!$T$65:$X$85,2,0)*Model0.1C!AX113)/1.1</f>
        <v>#N/A</v>
      </c>
      <c r="AZ113" s="102" t="e">
        <f>(VLOOKUP($B$3,'Coeff EC7'!$T$39:$X$59,3,0)*AW113+VLOOKUP($B$3,'Coeff EC7'!$T$65:$X$85,3,0)*Model0.1C!AX113)/0.9</f>
        <v>#N/A</v>
      </c>
      <c r="BA113" s="102" t="e">
        <f t="shared" si="173"/>
        <v>#N/A</v>
      </c>
      <c r="BB113" s="102" t="e">
        <f t="shared" si="174"/>
        <v>#N/A</v>
      </c>
      <c r="BC113" s="414" t="e">
        <f>IF(BC112=0,0,IF(AND(AY113&gt;charge_ELS_quasi,AZ113&gt;Charge_ELS_freq,BA113&gt;charge_ELU,BB113&gt;charge_ELA,$B113&gt;NDC!$H$22-0.1+MIN(3*$BC$12,1.5)),0,1))</f>
        <v>#N/A</v>
      </c>
      <c r="BD113" s="86" t="b">
        <f t="shared" si="144"/>
        <v>0</v>
      </c>
      <c r="BE113" s="86">
        <f t="shared" si="175"/>
        <v>0.5</v>
      </c>
      <c r="BF113" s="86">
        <f t="shared" si="145"/>
        <v>0.5</v>
      </c>
      <c r="BG113" s="30" t="e">
        <f t="shared" ca="1" si="176"/>
        <v>#DIV/0!</v>
      </c>
      <c r="BH113" s="85" t="e">
        <f ca="1">IF(AN113&lt;=Hypothèses!$V$7,Hypothèses!$W$7,IF(AN113&lt;=Hypothèses!$V$8,Hypothèses!$W$8,IF(AN113&lt;=Hypothèses!$V$9,Hypothèses!$W$9,IF(AN113&lt;=Hypothèses!$V$10,Hypothèses!$W$10,IF(AN113&lt;=Hypothèses!$V$11,Hypothèses!$W$11,IF(AN113&lt;=Hypothèses!$V$12,Hypothèses!$W$12,IF(AN113&lt;=Hypothèses!$V$13,Hypothèses!$W$13,IF(AN113&lt;=Hypothèses!$V$14,Hypothèses!$W$14,IF(AN113&lt;=Hypothèses!$V$15,Hypothèses!$W$15,IF(AN113&lt;=Hypothèses!$V$16,Hypothèses!$W$16,IF(AN113&lt;=Hypothèses!$V$17,Hypothèses!$W$17,IF(AN113&lt;=Hypothèses!$V$18,Hypothèses!$W$18,""))))))))))))</f>
        <v>#DIV/0!</v>
      </c>
      <c r="BI113" s="87" t="e">
        <f t="shared" ca="1" si="218"/>
        <v>#DIV/0!</v>
      </c>
      <c r="BJ113" s="88" t="e">
        <f ca="1">IF(AN113&lt;=Hypothèses!$V$7,Hypothèses!$X$7,IF(AN113&lt;=Hypothèses!$V$8,Hypothèses!$X$8,IF(AN113&lt;=Hypothèses!$V$9,Hypothèses!$X$9,IF(AN113&lt;=Hypothèses!$V$10,Hypothèses!$X$10,IF(AN113&lt;=Hypothèses!$V$11,Hypothèses!$X$11,IF(AN113&lt;=Hypothèses!$V$12,Hypothèses!$X$12,IF(AN113&lt;=Hypothèses!$V$13,Hypothèses!$X$13,IF(AN113&lt;=Hypothèses!$V$14,Hypothèses!$X$14,IF(AN113&lt;=Hypothèses!$V$15,Hypothèses!$X$15,IF(AN113&lt;=Hypothèses!$V$16,Hypothèses!$X$16,IF(AN113&lt;=Hypothèses!$U$17,Hypothèses!$W$17,IF(AN113&lt;=Hypothèses!$U$18,Hypothèses!$W$18,""))))))))))))</f>
        <v>#DIV/0!</v>
      </c>
      <c r="BK113" s="95" t="e">
        <f t="shared" ca="1" si="177"/>
        <v>#DIV/0!</v>
      </c>
      <c r="BL113" s="101" t="e">
        <f t="shared" si="225"/>
        <v>#N/A</v>
      </c>
      <c r="BM113" s="91" t="e">
        <f t="shared" si="146"/>
        <v>#N/A</v>
      </c>
      <c r="BN113" s="30" t="e">
        <f t="shared" si="204"/>
        <v>#N/A</v>
      </c>
      <c r="BO113" s="30" t="e">
        <f t="shared" si="205"/>
        <v>#N/A</v>
      </c>
      <c r="BP113" s="31" t="e">
        <f>IF(OR(Hypothèses!$B$4=17,Hypothèses!$B$4=18,Hypothèses!$B$4=19,Hypothèses!$B$4=20),
IF($D113="Pressio.",
IF(OR($E113=3,$E113=1,$E113=4),BO113,BN113),
IF($D113="Pénétro.",
IF(OR($E113=3,$E113=1,$E113=4),BO113,BN113))),IF($D113="Pressio.",
IF($E113=3,BO113,BN113),
IF($D113="Pénétro.",
IF($E113=4,BO113,BN113))))</f>
        <v>#N/A</v>
      </c>
      <c r="BQ113" s="31" t="e">
        <f>(IF(OR(Hypothèses!$B$4=17,Hypothèses!$B$4=18,Hypothèses!$B$4=19,Hypothèses!$B$4=20),
IF($D113="Pressio.",
IF(OR($E113=3,$E113=1,$E113=4),(PI()*BQ$12^2)/4*(BM113*$W113*1000)/($H113*$B$5),(PI()*BQ$12^2)/4*(BM113*$W113*1000)/($G113*$B$5)),
IF($D113="Pénétro.",
IF(OR($E113=4,$E113=1,$E113=5),(PI()*BQ$12^2)/4*(BM113*$W113*1000)/($H113*$B$5),(PI()*BQ$12^2)/4*(BM113*$W113*1000)/($G113*$B$5)))),
IF($D113="Pressio.",
IF($E113=3,(PI()*BQ$12^2)/4*(BM113*$W113*1000)/($H113*$B$5),(PI()*BQ$12^2)/4*(BM113*$W113*1000)/($G113*$B$5)),
IF($D113="Pénétro.",
IF($E113=4,(PI()*BQ$12^2)/4*(BM113*$W113*1000)/($H113*$B$5),(PI()*BQ$12^2)/4*(BM113*$W113*1000)/($G113*$B$5))))))/10</f>
        <v>#N/A</v>
      </c>
      <c r="BR113" s="102" t="e">
        <f>(VLOOKUP($B$3,'Coeff EC7'!$T$39:$X$59,2,0)*BP113+VLOOKUP($B$3,'Coeff EC7'!$T$65:$X$85,2,0)*Model0.1C!BQ113)/1.1</f>
        <v>#N/A</v>
      </c>
      <c r="BS113" s="102" t="e">
        <f>(VLOOKUP($B$3,'Coeff EC7'!$T$39:$X$59,3,0)*BP113+VLOOKUP($B$3,'Coeff EC7'!$T$65:$X$85,3,0)*Model0.1C!BQ113)/0.9</f>
        <v>#N/A</v>
      </c>
      <c r="BT113" s="102" t="e">
        <f t="shared" si="178"/>
        <v>#N/A</v>
      </c>
      <c r="BU113" s="102" t="e">
        <f t="shared" si="179"/>
        <v>#N/A</v>
      </c>
      <c r="BV113" s="414" t="e">
        <f>IF(BV112=0,0,IF(AND(BR113&gt;charge_ELS_quasi,BS113&gt;Charge_ELS_freq,BT113&gt;charge_ELU,BU113&gt;charge_ELA,$B113&gt;NDC!$H$22-0.1+MIN(3*$BV$12,1.5)),0,1))</f>
        <v>#N/A</v>
      </c>
      <c r="BW113" s="86" t="b">
        <f t="shared" si="147"/>
        <v>0</v>
      </c>
      <c r="BX113" s="86">
        <f t="shared" si="148"/>
        <v>0.5</v>
      </c>
      <c r="BY113" s="86">
        <f t="shared" si="149"/>
        <v>0.5</v>
      </c>
      <c r="BZ113" s="30" t="e">
        <f t="shared" ca="1" si="180"/>
        <v>#DIV/0!</v>
      </c>
      <c r="CA113" s="85" t="e">
        <f ca="1">IF(BG113&lt;=Hypothèses!$V$7,Hypothèses!$W$7,IF(BG113&lt;=Hypothèses!$V$8,Hypothèses!$W$8,IF(BG113&lt;=Hypothèses!$V$9,Hypothèses!$W$9,IF(BG113&lt;=Hypothèses!$V$10,Hypothèses!$W$10,IF(BG113&lt;=Hypothèses!$V$11,Hypothèses!$W$11,IF(BG113&lt;=Hypothèses!$V$12,Hypothèses!$W$12,IF(BG113&lt;=Hypothèses!$V$13,Hypothèses!$W$13,IF(BG113&lt;=Hypothèses!$V$14,Hypothèses!$W$14,IF(BG113&lt;=Hypothèses!$V$15,Hypothèses!$W$15,IF(BG113&lt;=Hypothèses!$V$16,Hypothèses!$W$16,IF(BG113&lt;=Hypothèses!$V$17,Hypothèses!$W$17,IF(BG113&lt;=Hypothèses!$V$18,Hypothèses!$W$18,""))))))))))))</f>
        <v>#DIV/0!</v>
      </c>
      <c r="CB113" s="87" t="e">
        <f t="shared" ca="1" si="219"/>
        <v>#DIV/0!</v>
      </c>
      <c r="CC113" s="88" t="e">
        <f ca="1">IF(BG113&lt;=Hypothèses!$V$7,Hypothèses!$X$7,IF(BG113&lt;=Hypothèses!$V$8,Hypothèses!$X$8,IF(BG113&lt;=Hypothèses!$V$9,Hypothèses!$X$9,IF(BG113&lt;=Hypothèses!$V$10,Hypothèses!$X$10,IF(BG113&lt;=Hypothèses!$V$11,Hypothèses!$X$11,IF(BG113&lt;=Hypothèses!$V$12,Hypothèses!$X$12,IF(BG113&lt;=Hypothèses!$V$13,Hypothèses!$X$13,IF(BG113&lt;=Hypothèses!$V$14,Hypothèses!$X$14,IF(BG113&lt;=Hypothèses!$V$15,Hypothèses!$X$15,IF(BG113&lt;=Hypothèses!$V$16,Hypothèses!$X$16,IF(BG113&lt;=Hypothèses!$U$17,Hypothèses!$W$17,IF(BG113&lt;=Hypothèses!$U$18,Hypothèses!$W$18,""))))))))))))</f>
        <v>#DIV/0!</v>
      </c>
      <c r="CD113" s="95" t="e">
        <f t="shared" ca="1" si="181"/>
        <v>#DIV/0!</v>
      </c>
      <c r="CE113" s="101" t="e">
        <f t="shared" si="226"/>
        <v>#N/A</v>
      </c>
      <c r="CF113" s="91" t="e">
        <f t="shared" si="150"/>
        <v>#N/A</v>
      </c>
      <c r="CG113" s="30" t="e">
        <f t="shared" si="206"/>
        <v>#N/A</v>
      </c>
      <c r="CH113" s="30" t="e">
        <f t="shared" si="207"/>
        <v>#N/A</v>
      </c>
      <c r="CI113" s="31" t="e">
        <f>IF(OR(Hypothèses!$B$4=17,Hypothèses!$B$4=18,Hypothèses!$B$4=19,Hypothèses!$B$4=20),
IF($D113="Pressio.",
IF(OR($E113=3,$E113=1,$E113=4),CH113,CG113),
IF($D113="Pénétro.",
IF(OR($E113=3,$E113=1,$E113=4),CH113,CG113))),IF($D113="Pressio.",
IF($E113=3,CH113,CG113),
IF($D113="Pénétro.",
IF($E113=4,CH113,CG113))))</f>
        <v>#N/A</v>
      </c>
      <c r="CJ113" s="31" t="e">
        <f>(IF(OR(Hypothèses!$B$4=17,Hypothèses!$B$4=18,Hypothèses!$B$4=19,Hypothèses!$B$4=20),
IF($D113="Pressio.",
IF(OR($E113=3,$E113=1,$E113=4),(PI()*CJ$12^2)/4*(CF113*$W113*1000)/($H113*$B$5),(PI()*CJ$12^2)/4*(CF113*$W113*1000)/($G113*$B$5)),
IF($D113="Pénétro.",
IF(OR($E113=4,$E113=1,$E113=5),(PI()*CJ$12^2)/4*(CF113*$W113*1000)/($H113*$B$5),(PI()*CJ$12^2)/4*(CF113*$W113*1000)/($G113*$B$5)))),
IF($D113="Pressio.",
IF($E113=3,(PI()*CJ$12^2)/4*(CF113*$W113*1000)/($H113*$B$5),(PI()*CJ$12^2)/4*(CF113*$W113*1000)/($G113*$B$5)),
IF($D113="Pénétro.",
IF($E113=4,(PI()*CJ$12^2)/4*(CF113*$W113*1000)/($H113*$B$5),(PI()*CJ$12^2)/4*(CF113*$W113*1000)/($G113*$B$5))))))/10</f>
        <v>#N/A</v>
      </c>
      <c r="CK113" s="102" t="e">
        <f>(VLOOKUP($B$3,'Coeff EC7'!$T$39:$X$59,2,0)*CI113+VLOOKUP($B$3,'Coeff EC7'!$T$65:$X$85,2,0)*Model0.1C!CJ113)/1.1</f>
        <v>#N/A</v>
      </c>
      <c r="CL113" s="102" t="e">
        <f>(VLOOKUP($B$3,'Coeff EC7'!$T$39:$X$59,3,0)*CI113+VLOOKUP($B$3,'Coeff EC7'!$T$65:$X$85,3,0)*Model0.1C!CJ113)/0.9</f>
        <v>#N/A</v>
      </c>
      <c r="CM113" s="102" t="e">
        <f t="shared" si="182"/>
        <v>#N/A</v>
      </c>
      <c r="CN113" s="102" t="e">
        <f t="shared" si="183"/>
        <v>#N/A</v>
      </c>
      <c r="CO113" s="414" t="e">
        <f>IF(CO112=0,0,IF(AND(CK113&gt;charge_ELS_quasi,CL113&gt;Charge_ELS_freq,CM113&gt;charge_ELU,CN113&gt;charge_ELA,$B113&gt;NDC!$H$22-0.1+MIN(3*$CO$12,1.5)),0,1))</f>
        <v>#N/A</v>
      </c>
      <c r="CP113" s="86" t="b">
        <f t="shared" si="151"/>
        <v>0</v>
      </c>
      <c r="CQ113" s="86">
        <f t="shared" si="152"/>
        <v>0.5</v>
      </c>
      <c r="CR113" s="86">
        <f t="shared" si="153"/>
        <v>0.5</v>
      </c>
      <c r="CS113" s="30" t="e">
        <f t="shared" ca="1" si="184"/>
        <v>#DIV/0!</v>
      </c>
      <c r="CT113" s="85" t="e">
        <f ca="1">IF(BZ113&lt;=Hypothèses!$V$7,Hypothèses!$W$7,IF(BZ113&lt;=Hypothèses!$V$8,Hypothèses!$W$8,IF(BZ113&lt;=Hypothèses!$V$9,Hypothèses!$W$9,IF(BZ113&lt;=Hypothèses!$V$10,Hypothèses!$W$10,IF(BZ113&lt;=Hypothèses!$V$11,Hypothèses!$W$11,IF(BZ113&lt;=Hypothèses!$V$12,Hypothèses!$W$12,IF(BZ113&lt;=Hypothèses!$V$13,Hypothèses!$W$13,IF(BZ113&lt;=Hypothèses!$V$14,Hypothèses!$W$14,IF(BZ113&lt;=Hypothèses!$V$15,Hypothèses!$W$15,IF(BZ113&lt;=Hypothèses!$V$16,Hypothèses!$W$16,IF(BZ113&lt;=Hypothèses!$V$17,Hypothèses!$W$17,IF(BZ113&lt;=Hypothèses!$V$18,Hypothèses!$W$18,""))))))))))))</f>
        <v>#DIV/0!</v>
      </c>
      <c r="CU113" s="87" t="e">
        <f t="shared" ca="1" si="220"/>
        <v>#DIV/0!</v>
      </c>
      <c r="CV113" s="88" t="e">
        <f ca="1">IF(BZ113&lt;=Hypothèses!$V$7,Hypothèses!$X$7,IF(BZ113&lt;=Hypothèses!$V$8,Hypothèses!$X$8,IF(BZ113&lt;=Hypothèses!$V$9,Hypothèses!$X$9,IF(BZ113&lt;=Hypothèses!$V$10,Hypothèses!$X$10,IF(BZ113&lt;=Hypothèses!$V$11,Hypothèses!$X$11,IF(BZ113&lt;=Hypothèses!$V$12,Hypothèses!$X$12,IF(BZ113&lt;=Hypothèses!$V$13,Hypothèses!$X$13,IF(BZ113&lt;=Hypothèses!$V$14,Hypothèses!$X$14,IF(BZ113&lt;=Hypothèses!$V$15,Hypothèses!$X$15,IF(BZ113&lt;=Hypothèses!$V$16,Hypothèses!$X$16,IF(BZ113&lt;=Hypothèses!$U$17,Hypothèses!$W$17,IF(BZ113&lt;=Hypothèses!$U$18,Hypothèses!$W$18,""))))))))))))</f>
        <v>#DIV/0!</v>
      </c>
      <c r="CW113" s="95" t="e">
        <f t="shared" ca="1" si="185"/>
        <v>#DIV/0!</v>
      </c>
      <c r="CX113" s="101" t="e">
        <f t="shared" si="227"/>
        <v>#N/A</v>
      </c>
      <c r="CY113" s="91" t="e">
        <f t="shared" si="154"/>
        <v>#N/A</v>
      </c>
      <c r="CZ113" s="30" t="e">
        <f t="shared" si="208"/>
        <v>#N/A</v>
      </c>
      <c r="DA113" s="30" t="e">
        <f t="shared" si="209"/>
        <v>#N/A</v>
      </c>
      <c r="DB113" s="31" t="e">
        <f>IF(OR(Hypothèses!$B$4=17,Hypothèses!$B$4=18,Hypothèses!$B$4=19,Hypothèses!$B$4=20),
IF($D113="Pressio.",
IF(OR($E113=3,$E113=1,$E113=4),DA113,CZ113),
IF($D113="Pénétro.",
IF(OR($E113=3,$E113=1,$E113=4),DA113,CZ113))),IF($D113="Pressio.",
IF($E113=3,DA113,CZ113),
IF($D113="Pénétro.",
IF($E113=4,DA113,CZ113))))</f>
        <v>#N/A</v>
      </c>
      <c r="DC113" s="31" t="e">
        <f>(IF(OR(Hypothèses!$B$4=17,Hypothèses!$B$4=18,Hypothèses!$B$4=19,Hypothèses!$B$4=20),
IF($D113="Pressio.",
IF(OR($E113=3,$E113=1,$E113=4),(PI()*DC$12^2)/4*(CY113*$W113*1000)/($H113*$B$5),(PI()*DC$12^2)/4*(CY113*$W113*1000)/($G113*$B$5)),
IF($D113="Pénétro.",
IF(OR($E113=4,$E113=1,$E113=5),(PI()*DC$12^2)/4*(CY113*$W113*1000)/($H113*$B$5),(PI()*DC$12^2)/4*(CY113*$W113*1000)/($G113*$B$5)))),
IF($D113="Pressio.",
IF($E113=3,(PI()*DC$12^2)/4*(CY113*$W113*1000)/($H113*$B$5),(PI()*DC$12^2)/4*(CY113*$W113*1000)/($G113*$B$5)),
IF($D113="Pénétro.",
IF($E113=4,(PI()*DC$12^2)/4*(CY113*$W113*1000)/($H113*$B$5),(PI()*DC$12^2)/4*(CY113*$W113*1000)/($G113*$B$5))))))/10</f>
        <v>#N/A</v>
      </c>
      <c r="DD113" s="102" t="e">
        <f>(VLOOKUP($B$3,'Coeff EC7'!$T$39:$X$59,2,0)*DB113+VLOOKUP($B$3,'Coeff EC7'!$T$65:$X$85,2,0)*Model0.1C!DC113)/1.1</f>
        <v>#N/A</v>
      </c>
      <c r="DE113" s="102" t="e">
        <f>(VLOOKUP($B$3,'Coeff EC7'!$T$39:$X$59,3,0)*DB113+VLOOKUP($B$3,'Coeff EC7'!$T$65:$X$85,3,0)*Model0.1C!DC113)/0.9</f>
        <v>#N/A</v>
      </c>
      <c r="DF113" s="102" t="e">
        <f t="shared" si="186"/>
        <v>#N/A</v>
      </c>
      <c r="DG113" s="102" t="e">
        <f t="shared" si="187"/>
        <v>#N/A</v>
      </c>
      <c r="DH113" s="414" t="e">
        <f>IF(DH112=0,0,IF(AND(DD113&gt;charge_ELS_quasi,DE113&gt;Charge_ELS_freq,DF113&gt;charge_ELU,DG113&gt;charge_ELA,$B113&gt;NDC!$H$22-0.1+MIN(3*$DH$12,1.5)),0,1))</f>
        <v>#N/A</v>
      </c>
      <c r="DI113" s="86" t="b">
        <f t="shared" si="155"/>
        <v>0</v>
      </c>
      <c r="DJ113" s="86">
        <f t="shared" si="156"/>
        <v>0.5</v>
      </c>
      <c r="DK113" s="86">
        <f t="shared" si="157"/>
        <v>0.5</v>
      </c>
      <c r="DL113" s="30" t="e">
        <f t="shared" ca="1" si="188"/>
        <v>#DIV/0!</v>
      </c>
      <c r="DM113" s="85" t="e">
        <f ca="1">IF(CS113&lt;=Hypothèses!$V$7,Hypothèses!$W$7,IF(CS113&lt;=Hypothèses!$V$8,Hypothèses!$W$8,IF(CS113&lt;=Hypothèses!$V$9,Hypothèses!$W$9,IF(CS113&lt;=Hypothèses!$V$10,Hypothèses!$W$10,IF(CS113&lt;=Hypothèses!$V$11,Hypothèses!$W$11,IF(CS113&lt;=Hypothèses!$V$12,Hypothèses!$W$12,IF(CS113&lt;=Hypothèses!$V$13,Hypothèses!$W$13,IF(CS113&lt;=Hypothèses!$V$14,Hypothèses!$W$14,IF(CS113&lt;=Hypothèses!$V$15,Hypothèses!$W$15,IF(CS113&lt;=Hypothèses!$V$16,Hypothèses!$W$16,IF(CS113&lt;=Hypothèses!$V$17,Hypothèses!$W$17,IF(CS113&lt;=Hypothèses!$V$18,Hypothèses!$W$18,""))))))))))))</f>
        <v>#DIV/0!</v>
      </c>
      <c r="DN113" s="87" t="e">
        <f t="shared" ca="1" si="221"/>
        <v>#DIV/0!</v>
      </c>
      <c r="DO113" s="88" t="e">
        <f ca="1">IF(CS113&lt;=Hypothèses!$V$7,Hypothèses!$X$7,IF(CS113&lt;=Hypothèses!$V$8,Hypothèses!$X$8,IF(CS113&lt;=Hypothèses!$V$9,Hypothèses!$X$9,IF(CS113&lt;=Hypothèses!$V$10,Hypothèses!$X$10,IF(CS113&lt;=Hypothèses!$V$11,Hypothèses!$X$11,IF(CS113&lt;=Hypothèses!$V$12,Hypothèses!$X$12,IF(CS113&lt;=Hypothèses!$V$13,Hypothèses!$X$13,IF(CS113&lt;=Hypothèses!$V$14,Hypothèses!$X$14,IF(CS113&lt;=Hypothèses!$V$15,Hypothèses!$X$15,IF(CS113&lt;=Hypothèses!$V$16,Hypothèses!$X$16,IF(CS113&lt;=Hypothèses!$U$17,Hypothèses!$W$17,IF(CS113&lt;=Hypothèses!$U$18,Hypothèses!$W$18,""))))))))))))</f>
        <v>#DIV/0!</v>
      </c>
      <c r="DP113" s="95" t="e">
        <f t="shared" ca="1" si="189"/>
        <v>#DIV/0!</v>
      </c>
      <c r="DQ113" s="101" t="e">
        <f t="shared" si="228"/>
        <v>#N/A</v>
      </c>
      <c r="DR113" s="91" t="e">
        <f t="shared" si="158"/>
        <v>#N/A</v>
      </c>
      <c r="DS113" s="30" t="e">
        <f t="shared" si="210"/>
        <v>#N/A</v>
      </c>
      <c r="DT113" s="30" t="e">
        <f t="shared" si="211"/>
        <v>#N/A</v>
      </c>
      <c r="DU113" s="31" t="e">
        <f>IF(OR(Hypothèses!$B$4=17,Hypothèses!$B$4=18,Hypothèses!$B$4=19,Hypothèses!$B$4=20),
IF($D113="Pressio.",
IF(OR($E113=3,$E113=1,$E113=4),DT113,DS113),
IF($D113="Pénétro.",
IF(OR($E113=3,$E113=1,$E113=4),DT113,DS113))),IF($D113="Pressio.",
IF($E113=3,DT113,DS113),
IF($D113="Pénétro.",
IF($E113=4,DT113,DS113))))</f>
        <v>#N/A</v>
      </c>
      <c r="DV113" s="31" t="e">
        <f>(IF(OR(Hypothèses!$B$4=17,Hypothèses!$B$4=18,Hypothèses!$B$4=19,Hypothèses!$B$4=20),
IF($D113="Pressio.",
IF(OR($E113=3,$E113=1,$E113=4),(PI()*DV$12^2)/4*(DR113*$W113*1000)/($H113*$B$5),(PI()*DV$12^2)/4*(DR113*$W113*1000)/($G113*$B$5)),
IF($D113="Pénétro.",
IF(OR($E113=4,$E113=1,$E113=5),(PI()*DV$12^2)/4*(DR113*$W113*1000)/($H113*$B$5),(PI()*DV$12^2)/4*(DR113*$W113*1000)/($G113*$B$5)))),
IF($D113="Pressio.",
IF($E113=3,(PI()*DV$12^2)/4*(DR113*$W113*1000)/($H113*$B$5),(PI()*DV$12^2)/4*(DR113*$W113*1000)/($G113*$B$5)),
IF($D113="Pénétro.",
IF($E113=4,(PI()*DV$12^2)/4*(DR113*$W113*1000)/($H113*$B$5),(PI()*DV$12^2)/4*(DR113*$W113*1000)/($G113*$B$5))))))/10</f>
        <v>#N/A</v>
      </c>
      <c r="DW113" s="102" t="e">
        <f>(VLOOKUP($B$3,'Coeff EC7'!$T$39:$X$59,2,0)*DU113+VLOOKUP($B$3,'Coeff EC7'!$T$65:$X$85,2,0)*Model0.1C!DV113)/1.1</f>
        <v>#N/A</v>
      </c>
      <c r="DX113" s="102" t="e">
        <f>(VLOOKUP($B$3,'Coeff EC7'!$T$39:$X$59,3,0)*DU113+VLOOKUP($B$3,'Coeff EC7'!$T$65:$X$85,3,0)*Model0.1C!DV113)/0.9</f>
        <v>#N/A</v>
      </c>
      <c r="DY113" s="102" t="e">
        <f t="shared" si="190"/>
        <v>#N/A</v>
      </c>
      <c r="DZ113" s="102" t="e">
        <f t="shared" si="191"/>
        <v>#N/A</v>
      </c>
      <c r="EA113" s="414" t="e">
        <f>IF(EA112=0,0,IF(AND(DW113&gt;charge_ELS_quasi,DX113&gt;Charge_ELS_freq,DY113&gt;charge_ELU,DZ113&gt;charge_ELA,$B113&gt;NDC!$H$22-0.1+MIN(3*$EA$12,1.5)),0,1))</f>
        <v>#N/A</v>
      </c>
      <c r="EB113" s="86" t="b">
        <f t="shared" si="159"/>
        <v>0</v>
      </c>
      <c r="EC113" s="418">
        <f t="shared" si="160"/>
        <v>0.51</v>
      </c>
      <c r="ED113" s="86">
        <f t="shared" si="161"/>
        <v>0.51</v>
      </c>
      <c r="EE113" s="30" t="e">
        <f t="shared" ca="1" si="192"/>
        <v>#DIV/0!</v>
      </c>
      <c r="EF113" s="85" t="e">
        <f ca="1">IF(DL113&lt;=Hypothèses!$V$7,Hypothèses!$W$7,IF(DL113&lt;=Hypothèses!$V$8,Hypothèses!$W$8,IF(DL113&lt;=Hypothèses!$V$9,Hypothèses!$W$9,IF(DL113&lt;=Hypothèses!$V$10,Hypothèses!$W$10,IF(DL113&lt;=Hypothèses!$V$11,Hypothèses!$W$11,IF(DL113&lt;=Hypothèses!$V$12,Hypothèses!$W$12,IF(DL113&lt;=Hypothèses!$V$13,Hypothèses!$W$13,IF(DL113&lt;=Hypothèses!$V$14,Hypothèses!$W$14,IF(DL113&lt;=Hypothèses!$V$15,Hypothèses!$W$15,IF(DL113&lt;=Hypothèses!$V$16,Hypothèses!$W$16,IF(DL113&lt;=Hypothèses!$V$17,Hypothèses!$W$17,IF(DL113&lt;=Hypothèses!$V$18,Hypothèses!$W$18,""))))))))))))</f>
        <v>#DIV/0!</v>
      </c>
      <c r="EG113" s="87" t="e">
        <f t="shared" ca="1" si="222"/>
        <v>#DIV/0!</v>
      </c>
      <c r="EH113" s="88" t="e">
        <f ca="1">IF(DL113&lt;=Hypothèses!$V$7,Hypothèses!$X$7,IF(DL113&lt;=Hypothèses!$V$8,Hypothèses!$X$8,IF(DL113&lt;=Hypothèses!$V$9,Hypothèses!$X$9,IF(DL113&lt;=Hypothèses!$V$10,Hypothèses!$X$10,IF(DL113&lt;=Hypothèses!$V$11,Hypothèses!$X$11,IF(DL113&lt;=Hypothèses!$V$12,Hypothèses!$X$12,IF(DL113&lt;=Hypothèses!$V$13,Hypothèses!$X$13,IF(DL113&lt;=Hypothèses!$V$14,Hypothèses!$X$14,IF(DL113&lt;=Hypothèses!$V$15,Hypothèses!$X$15,IF(DL113&lt;=Hypothèses!$V$16,Hypothèses!$X$16,IF(DL113&lt;=Hypothèses!$U$17,Hypothèses!$W$17,IF(DL113&lt;=Hypothèses!$U$18,Hypothèses!$W$18,""))))))))))))</f>
        <v>#DIV/0!</v>
      </c>
      <c r="EI113" s="95" t="e">
        <f t="shared" ca="1" si="193"/>
        <v>#DIV/0!</v>
      </c>
      <c r="EJ113" s="101" t="e">
        <f t="shared" si="229"/>
        <v>#N/A</v>
      </c>
      <c r="EK113" s="91" t="e">
        <f t="shared" si="162"/>
        <v>#N/A</v>
      </c>
      <c r="EL113" s="30" t="e">
        <f t="shared" si="212"/>
        <v>#N/A</v>
      </c>
      <c r="EM113" s="30" t="e">
        <f t="shared" si="213"/>
        <v>#N/A</v>
      </c>
      <c r="EN113" s="31" t="e">
        <f>IF(OR(Hypothèses!$B$4=17,Hypothèses!$B$4=18,Hypothèses!$B$4=19,Hypothèses!$B$4=20),
IF($D113="Pressio.",
IF(OR($E113=3,$E113=1,$E113=4),EM113,EL113),
IF($D113="Pénétro.",
IF(OR($E113=3,$E113=1,$E113=4),EM113,EL113))),IF($D113="Pressio.",
IF($E113=3,EM113,EL113),
IF($D113="Pénétro.",
IF($E113=4,EM113,EL113))))</f>
        <v>#N/A</v>
      </c>
      <c r="EO113" s="31" t="e">
        <f>(IF(OR(Hypothèses!$B$4=17,Hypothèses!$B$4=18,Hypothèses!$B$4=19,Hypothèses!$B$4=20),
IF($D113="Pressio.",
IF(OR($E113=3,$E113=1,$E113=4),(PI()*EO$12^2)/4*(EK113*$W113*1000)/($H113*$B$5),(PI()*EO$12^2)/4*(EK113*$W113*1000)/($G113*$B$5)),
IF($D113="Pénétro.",
IF(OR($E113=4,$E113=1,$E113=5),(PI()*EO$12^2)/4*(EK113*$W113*1000)/($H113*$B$5),(PI()*EO$12^2)/4*(EK113*$W113*1000)/($G113*$B$5)))),
IF($D113="Pressio.",
IF($E113=3,(PI()*EO$12^2)/4*(EK113*$W113*1000)/($H113*$B$5),(PI()*EO$12^2)/4*(EK113*$W113*1000)/($G113*$B$5)),
IF($D113="Pénétro.",
IF($E113=4,(PI()*EO$12^2)/4*(EK113*$W113*1000)/($H113*$B$5),(PI()*EO$12^2)/4*(EK113*$W113*1000)/($G113*$B$5))))))/10</f>
        <v>#N/A</v>
      </c>
      <c r="EP113" s="102" t="e">
        <f>(VLOOKUP($B$3,'Coeff EC7'!$T$39:$X$59,2,0)*EN113+VLOOKUP($B$3,'Coeff EC7'!$T$65:$X$85,2,0)*Model0.1C!EO113)/1.1</f>
        <v>#N/A</v>
      </c>
      <c r="EQ113" s="102" t="e">
        <f>(VLOOKUP($B$3,'Coeff EC7'!$T$39:$X$59,3,0)*EN113+VLOOKUP($B$3,'Coeff EC7'!$T$65:$X$85,3,0)*Model0.1C!EO113)/0.9</f>
        <v>#N/A</v>
      </c>
      <c r="ER113" s="102" t="e">
        <f t="shared" si="194"/>
        <v>#N/A</v>
      </c>
      <c r="ES113" s="102" t="e">
        <f t="shared" si="195"/>
        <v>#N/A</v>
      </c>
      <c r="ET113" s="414" t="e">
        <f>IF(ET112=0,0,IF(AND(EP113&gt;charge_ELS_quasi,EQ113&gt;Charge_ELS_freq,ER113&gt;charge_ELU,ES113&gt;charge_ELA,$B113&gt;NDC!$H$22-0.1+MIN(3*$ET$12,1.5)),0,1))</f>
        <v>#N/A</v>
      </c>
      <c r="EU113" s="86" t="b">
        <f t="shared" si="163"/>
        <v>0</v>
      </c>
      <c r="EV113" s="86">
        <f t="shared" si="164"/>
        <v>0.61</v>
      </c>
      <c r="EW113" s="86">
        <f t="shared" si="165"/>
        <v>0.61</v>
      </c>
      <c r="EX113" s="30" t="e">
        <f t="shared" ca="1" si="196"/>
        <v>#DIV/0!</v>
      </c>
      <c r="EY113" s="85" t="e">
        <f ca="1">IF(EE113&lt;=Hypothèses!$V$7,Hypothèses!$W$7,IF(EE113&lt;=Hypothèses!$V$8,Hypothèses!$W$8,IF(EE113&lt;=Hypothèses!$V$9,Hypothèses!$W$9,IF(EE113&lt;=Hypothèses!$V$10,Hypothèses!$W$10,IF(EE113&lt;=Hypothèses!$V$11,Hypothèses!$W$11,IF(EE113&lt;=Hypothèses!$V$12,Hypothèses!$W$12,IF(EE113&lt;=Hypothèses!$V$13,Hypothèses!$W$13,IF(EE113&lt;=Hypothèses!$V$14,Hypothèses!$W$14,IF(EE113&lt;=Hypothèses!$V$15,Hypothèses!$W$15,IF(EE113&lt;=Hypothèses!$V$16,Hypothèses!$W$16,IF(EE113&lt;=Hypothèses!$V$17,Hypothèses!$W$17,IF(EE113&lt;=Hypothèses!$V$18,Hypothèses!$W$18,""))))))))))))</f>
        <v>#DIV/0!</v>
      </c>
      <c r="EZ113" s="87" t="e">
        <f t="shared" ca="1" si="223"/>
        <v>#DIV/0!</v>
      </c>
      <c r="FA113" s="88" t="e">
        <f ca="1">IF(EE113&lt;=Hypothèses!$V$7,Hypothèses!$X$7,IF(EE113&lt;=Hypothèses!$V$8,Hypothèses!$X$8,IF(EE113&lt;=Hypothèses!$V$9,Hypothèses!$X$9,IF(EE113&lt;=Hypothèses!$V$10,Hypothèses!$X$10,IF(EE113&lt;=Hypothèses!$V$11,Hypothèses!$X$11,IF(EE113&lt;=Hypothèses!$V$12,Hypothèses!$X$12,IF(EE113&lt;=Hypothèses!$V$13,Hypothèses!$X$13,IF(EE113&lt;=Hypothèses!$V$14,Hypothèses!$X$14,IF(EE113&lt;=Hypothèses!$V$15,Hypothèses!$X$15,IF(EE113&lt;=Hypothèses!$V$16,Hypothèses!$X$16,IF(EE113&lt;=Hypothèses!$U$17,Hypothèses!$W$17,IF(EE113&lt;=Hypothèses!$U$18,Hypothèses!$W$18,""))))))))))))</f>
        <v>#DIV/0!</v>
      </c>
      <c r="FB113" s="95" t="e">
        <f t="shared" ca="1" si="197"/>
        <v>#DIV/0!</v>
      </c>
      <c r="FC113" s="101" t="e">
        <f t="shared" si="230"/>
        <v>#N/A</v>
      </c>
      <c r="FD113" s="91" t="e">
        <f t="shared" si="166"/>
        <v>#N/A</v>
      </c>
      <c r="FE113" s="30" t="e">
        <f t="shared" si="214"/>
        <v>#N/A</v>
      </c>
      <c r="FF113" s="30" t="e">
        <f t="shared" si="215"/>
        <v>#N/A</v>
      </c>
      <c r="FG113" s="31" t="e">
        <f>IF(OR(Hypothèses!$B$4=17,Hypothèses!$B$4=18,Hypothèses!$B$4=19,Hypothèses!$B$4=20),
IF($D113="Pressio.",
IF(OR($E113=3,$E113=1,$E113=4),FF113,FE113),
IF($D113="Pénétro.",
IF(OR($E113=3,$E113=1,$E113=4),FF113,FE113))),IF($D113="Pressio.",
IF($E113=3,FF113,FE113),
IF($D113="Pénétro.",
IF($E113=4,FF113,FE113))))</f>
        <v>#N/A</v>
      </c>
      <c r="FH113" s="31" t="e">
        <f>(IF(OR(Hypothèses!$B$4=17,Hypothèses!$B$4=18,Hypothèses!$B$4=19,Hypothèses!$B$4=20),
IF($D113="Pressio.",
IF(OR($E113=3,$E113=1,$E113=4),(PI()*FH$12^2)/4*(FD113*$W113*1000)/($H113*$B$5),(PI()*FH$12^2)/4*(FD113*$W113*1000)/($G113*$B$5)),
IF($D113="Pénétro.",
IF(OR($E113=4,$E113=1,$E113=5),(PI()*FH$12^2)/4*(FD113*$W113*1000)/($H113*$B$5),(PI()*FH$12^2)/4*(FD113*$W113*1000)/($G113*$B$5)))),
IF($D113="Pressio.",
IF($E113=3,(PI()*FH$12^2)/4*(FD113*$W113*1000)/($H113*$B$5),(PI()*FH$12^2)/4*(FD113*$W113*1000)/($G113*$B$5)),
IF($D113="Pénétro.",
IF($E113=4,(PI()*FH$12^2)/4*(FD113*$W113*1000)/($H113*$B$5),(PI()*FH$12^2)/4*(FD113*$W113*1000)/($G113*$B$5))))))/10</f>
        <v>#N/A</v>
      </c>
      <c r="FI113" s="102" t="e">
        <f>(VLOOKUP($B$3,'Coeff EC7'!$T$39:$X$59,2,0)*FG113+VLOOKUP($B$3,'Coeff EC7'!$T$65:$X$85,2,0)*Model0.1C!FH113)/1.1</f>
        <v>#N/A</v>
      </c>
      <c r="FJ113" s="102" t="e">
        <f>(VLOOKUP($B$3,'Coeff EC7'!$T$39:$X$59,3,0)*FG113+VLOOKUP($B$3,'Coeff EC7'!$T$65:$X$85,3,0)*Model0.1C!FH113)/0.9</f>
        <v>#N/A</v>
      </c>
      <c r="FK113" s="102" t="e">
        <f t="shared" si="198"/>
        <v>#N/A</v>
      </c>
      <c r="FL113" s="102" t="e">
        <f t="shared" si="199"/>
        <v>#N/A</v>
      </c>
      <c r="FM113" s="414" t="e">
        <f>IF(FM112=0,0,IF(AND(FI113&gt;charge_ELS_quasi,FJ113&gt;Charge_ELS_freq,FK113&gt;charge_ELU,FL113&gt;charge_ELA,$B113&gt;NDC!$H$22-0.1+MIN(3*$FM$12,1.5)),0,1))</f>
        <v>#N/A</v>
      </c>
    </row>
    <row r="114" spans="1:169">
      <c r="A114" s="96">
        <f t="shared" si="167"/>
        <v>89.900000000000574</v>
      </c>
      <c r="B114" s="97">
        <v>10.1</v>
      </c>
      <c r="C114" s="81">
        <f>IF(B114&lt;=Hypothèses!$C$7,Hypothèses!$A$7,IF(B114&lt;=Hypothèses!$C$8,Hypothèses!$A$8,IF(B114&lt;=Hypothèses!$C$9,Hypothèses!$A$9,IF(B114&lt;=Hypothèses!$C$10,Hypothèses!$A$10,IF(B114&lt;=Hypothèses!$C$11,Hypothèses!$A$11,IF(B114&lt;=Hypothèses!$C$12,Hypothèses!$A$12,IF(B114&lt;=Hypothèses!$C$13,Hypothèses!$A$13,IF(B114&lt;=Hypothèses!$C$14,Hypothèses!$A$14,IF(B114&lt;=Hypothèses!$C$15,Hypothèses!$A$15,IF(B114&lt;=Hypothèses!$C$16,Hypothèses!$A$16,IF(B114&lt;=Hypothèses!$C$17,Hypothèses!$A$17,IF(B114&lt;=Hypothèses!$C$18,Hypothèses!$A$18,C113))))))))))))</f>
        <v>11</v>
      </c>
      <c r="D114" s="82" t="str">
        <f>IF(B114&lt;=Hypothèses!$C$7,Hypothèses!$R$7,IF(B114&lt;=Hypothèses!$C$8,Hypothèses!$R$8,IF(B114&lt;=Hypothèses!$C$9,Hypothèses!$R$9,IF(B114&lt;=Hypothèses!$C$10,Hypothèses!$R$10,IF(B114&lt;=Hypothèses!$C$11,Hypothèses!$R$11,IF(B114&lt;=Hypothèses!$C$12,Hypothèses!$R$12,IF(B114&lt;=Hypothèses!$C$13,Hypothèses!$R$13,IF(B114&lt;=Hypothèses!$C$14,Hypothèses!$R$14,IF(B114&lt;=Hypothèses!$C$15,Hypothèses!$R$15,IF(B114&lt;=Hypothèses!$C$16,Hypothèses!$R$16,IF(B114&lt;=Hypothèses!$C$17,Hypothèses!$R$17,IF(B114&lt;=Hypothèses!$C$18,Hypothèses!$R$18,D113))))))))))))</f>
        <v>Pressio.</v>
      </c>
      <c r="E114" s="82" t="e">
        <f>IF(B114&lt;=Hypothèses!$C$7,Hypothèses!$G$7,IF(B114&lt;=Hypothèses!$C$8,Hypothèses!$G$8,IF(B114&lt;=Hypothèses!$C$9,Hypothèses!$G$9,IF(B114&lt;=Hypothèses!$C$10,Hypothèses!$G$10,IF(B114&lt;=Hypothèses!$C$11,Hypothèses!$G$11,IF(B114&lt;=Hypothèses!$C$12,Hypothèses!$G$12,IF(B114&lt;=Hypothèses!$C$13,Hypothèses!$G$13,IF(B114&lt;=Hypothèses!$C$14,Hypothèses!$G$14,IF(B114&lt;=Hypothèses!$C$15,Hypothèses!$G$15,IF(B114&lt;=Hypothèses!$C$16,Hypothèses!$G$16,IF(B114&lt;=Hypothèses!$C$17,Hypothèses!$G$17,IF(B114&lt;=Hypothèses!$C$18,Hypothèses!$G$18,E113))))))))))))</f>
        <v>#N/A</v>
      </c>
      <c r="F114" s="82" t="str">
        <f>IF(B114&lt;=Hypothèses!$C$7,Hypothèses!$F$7,IF(B114&lt;=Hypothèses!$C$8,Hypothèses!$F$8,IF(B114&lt;=Hypothèses!$C$9,Hypothèses!$F$9,IF(B114&lt;=Hypothèses!$C$10,Hypothèses!$F$10,IF(B114&lt;=Hypothèses!$C$11,Hypothèses!$F$11,IF(B114&lt;=Hypothèses!$C$12,Hypothèses!$F$12,IF(B114&lt;=Hypothèses!$C$13,Hypothèses!$F$13,IF(B114&lt;=Hypothèses!$C$14,Hypothèses!$F$14,IF(B114&lt;=Hypothèses!$C$15,Hypothèses!$F$15,IF(B114&lt;=Hypothèses!$C$16,Hypothèses!$F$16,IF(B114&lt;=Hypothèses!$C$17,Hypothèses!$F$17,IF(B114&lt;=Hypothèses!$C$18,Hypothèses!$F$18,F113))))))))))))</f>
        <v/>
      </c>
      <c r="G114" s="91">
        <f t="array" ref="G114">INDEX('Coeff EC7'!$U$7:$X$27,
MATCH(Model0.1C!$B$3,'Coeff EC7'!$T$7:$T$27,0),
MATCH(Model0.1C!$D114&amp;Model0.1C!$B$4,
'Coeff EC7'!$U$6:$X$6&amp;
'Coeff EC7'!$U$5:$X$5,0))</f>
        <v>1.1499999999999999</v>
      </c>
      <c r="H114" s="91">
        <f t="array" ref="H114">INDEX('Coeff EC7'!$Y$7:$AB$27,
MATCH(Model0.1C!$B$3,'Coeff EC7'!$T$7:$T$27,0),
MATCH(Model0.1C!$D114&amp;Model0.1C!$B$4,
'Coeff EC7'!$Y$6:$AB$6&amp;
'Coeff EC7'!$Y$5:$AB$5,0))</f>
        <v>1.4</v>
      </c>
      <c r="I114" s="83" t="e">
        <f>IF(B114&lt;=Hypothèses!$C$7,Hypothèses!$P$7,IF(B114&lt;=Hypothèses!$C$8,Hypothèses!$P$8,IF(B114&lt;=Hypothèses!$C$9,Hypothèses!$P$9,IF(B114&lt;=Hypothèses!$C$10,Hypothèses!$P$10,IF(B114&lt;=Hypothèses!$C$11,Hypothèses!$P$11,IF(B114&lt;=Hypothèses!$C$12,Hypothèses!$P$12,IF(B114&lt;=Hypothèses!$C$13,Hypothèses!$P$13,IF(B114&lt;=Hypothèses!$C$14,Hypothèses!$P$14,IF(B114&lt;=Hypothèses!$C$15,Hypothèses!$P$15,IF(B114&lt;=Hypothèses!$C$16,Hypothèses!$P$16,IF(B114&lt;=Hypothèses!$C$17,Hypothèses!$P$17,IF(B114&lt;=Hypothèses!$C$18,Hypothèses!$P$18,I113))))))))))))</f>
        <v>#N/A</v>
      </c>
      <c r="J114" s="91" t="e">
        <f t="array" ref="J114">INDEX('Coeff EC7'!$D$33:$Q$33,1,MATCH(D114&amp;E114,'Coeff EC7'!$D$31:$Q$31&amp;'Coeff EC7'!$D$32:$Q$32,0))</f>
        <v>#N/A</v>
      </c>
      <c r="K114" s="91" t="e">
        <f t="array" ref="K114">INDEX('Coeff EC7'!$D$34:$Q$34,1,MATCH(D114&amp;E114,'Coeff EC7'!$D$31:$Q$31&amp;'Coeff EC7'!$D$32:$Q$32,0))</f>
        <v>#N/A</v>
      </c>
      <c r="L114" s="91" t="e">
        <f t="array" ref="L114">INDEX('Coeff EC7'!$D$35:$Q$35,1,MATCH(D114&amp;E114,'Coeff EC7'!$D$31:$Q$31&amp;'Coeff EC7'!$D$32:$Q$32,0))</f>
        <v>#N/A</v>
      </c>
      <c r="M114" s="98" t="e">
        <f t="shared" si="131"/>
        <v>#N/A</v>
      </c>
      <c r="N114" s="99" t="e">
        <f t="array" ref="N114">INDEX('Coeff EC7'!$D$7:$Q$27,MATCH($B$3,'Coeff EC7'!$C$7:$C$27,0),MATCH(D114&amp;E114,'Coeff EC7'!$D$5:$Q$5&amp;'Coeff EC7'!$D$6:$Q$6,0))</f>
        <v>#N/A</v>
      </c>
      <c r="O114" s="99" t="e">
        <f t="array" ref="O114">INDEX('Coeff EC7'!$D$41:$Q$61,MATCH($B$3,'Coeff EC7'!$C$41:$C$61,0),MATCH(D114&amp;E114,'Coeff EC7'!$D$39:$Q$39&amp;'Coeff EC7'!$D$40:$Q$40,0))</f>
        <v>#N/A</v>
      </c>
      <c r="P114" s="30" t="e">
        <f t="shared" si="168"/>
        <v>#N/A</v>
      </c>
      <c r="Q114" s="100" t="e">
        <f t="shared" si="133"/>
        <v>#N/A</v>
      </c>
      <c r="R114" s="86" t="b">
        <f t="shared" si="134"/>
        <v>0</v>
      </c>
      <c r="S114" s="86">
        <f t="shared" si="132"/>
        <v>0.5</v>
      </c>
      <c r="T114" s="86">
        <f t="shared" si="135"/>
        <v>0.5</v>
      </c>
      <c r="U114" s="30" t="e">
        <f t="shared" ca="1" si="169"/>
        <v>#DIV/0!</v>
      </c>
      <c r="V114" s="85" t="str">
        <f>IF(B114&lt;=Hypothèses!$V$7,Hypothèses!$W$7,IF(B114&lt;=Hypothèses!$V$8,Hypothèses!$W$8,IF(B114&lt;=Hypothèses!$V$9,Hypothèses!$W$9,IF(B114&lt;=Hypothèses!$V$10,Hypothèses!$W$10,IF(B114&lt;=Hypothèses!$V$11,Hypothèses!$W$11,IF(B114&lt;=Hypothèses!$V$12,Hypothèses!$W$12,IF(B114&lt;=Hypothèses!$V$13,Hypothèses!$W$13,IF(B114&lt;=Hypothèses!$V$14,Hypothèses!$W$14,IF(B114&lt;=Hypothèses!$V$15,Hypothèses!$W$15,IF(B114&lt;=Hypothèses!$V$16,Hypothèses!$W$16,IF(B114&lt;=Hypothèses!$V$17,Hypothèses!$W$17,IF(B114&lt;=Hypothèses!$V$18,Hypothèses!$W$18,""))))))))))))</f>
        <v/>
      </c>
      <c r="W114" s="87" t="e">
        <f t="shared" ca="1" si="216"/>
        <v>#DIV/0!</v>
      </c>
      <c r="X114" s="88" t="str">
        <f>IF(B114&lt;=Hypothèses!$V$7,Hypothèses!$X$7,IF(B114&lt;=Hypothèses!$V$8,Hypothèses!$X$8,IF(B114&lt;=Hypothèses!$V$9,Hypothèses!$X$9,IF(B114&lt;=Hypothèses!$V$10,Hypothèses!$X$10,IF(B114&lt;=Hypothèses!$V$11,Hypothèses!$X$11,IF(B114&lt;=Hypothèses!$V$12,Hypothèses!$X$12,IF(B114&lt;=Hypothèses!$V$13,Hypothèses!$X$13,IF(B114&lt;=Hypothèses!$V$14,Hypothèses!$X$14,IF(B114&lt;=Hypothèses!$V$15,Hypothèses!$X$15,IF(B114&lt;=Hypothèses!$V$16,Hypothèses!$X$16,IF(B114&lt;=Hypothèses!$U$17,Hypothèses!$W$17,IF(B114&lt;=Hypothèses!$U$18,Hypothèses!$W$18,""))))))))))))</f>
        <v/>
      </c>
      <c r="Y114" s="95" t="e">
        <f t="shared" ca="1" si="136"/>
        <v>#DIV/0!</v>
      </c>
      <c r="Z114" s="101" t="e">
        <f t="shared" si="137"/>
        <v>#N/A</v>
      </c>
      <c r="AA114" s="91" t="e">
        <f t="shared" si="138"/>
        <v>#N/A</v>
      </c>
      <c r="AB114" s="30" t="e">
        <f t="shared" si="200"/>
        <v>#N/A</v>
      </c>
      <c r="AC114" s="30" t="e">
        <f t="shared" si="201"/>
        <v>#N/A</v>
      </c>
      <c r="AD114" s="31" t="e">
        <f>IF(OR(Hypothèses!$B$4=17,Hypothèses!$B$4=18,Hypothèses!$B$4=19,Hypothèses!$B$4=20),
IF($D114="Pressio.",
IF(OR($E114=3,$E114=1,$E114=4),AC114,AB114),
IF($D114="Pénétro.",
IF(OR($E114=3,$E114=1,$E114=4),AC114,AB114))),IF($D114="Pressio.",
IF($E114=3,AC114,AB114),
IF($D114="Pénétro.",
IF($E114=4,AC114,AB114))))</f>
        <v>#N/A</v>
      </c>
      <c r="AE114" s="31" t="e">
        <f>(IF(OR(Hypothèses!$B$4=17,Hypothèses!$B$4=18,Hypothèses!$B$4=19,Hypothèses!$B$4=20),
IF($D114="Pressio.",
IF(OR($E114=3,$E114=1,$E114=4),(PI()*AE$12^2)/4*(AA114*$W114*1000)/($H114*$B$5),(PI()*AE$12^2)/4*(AA114*$W114*1000)/($G114*$B$5)),
IF($D114="Pénétro.",
IF(OR($E114=4,$E114=1,$E114=5),(PI()*AE$12^2)/4*(AA114*$W114*1000)/($H114*$B$5),(PI()*AE$12^2)/4*(AA114*$W114*1000)/($G114*$B$5)))),
IF($D114="Pressio.",
IF($E114=3,(PI()*AE$12^2)/4*(AA114*$W114*1000)/($H114*$B$5),(PI()*AE$12^2)/4*(AA114*$W114*1000)/($G114*$B$5)),
IF($D114="Pénétro.",
IF($E114=4,(PI()*AE$12^2)/4*(AA114*$W114*1000)/($H114*$B$5),(PI()*AE$12^2)/4*(AA114*$W114*1000)/($G114*$B$5))))))/10</f>
        <v>#N/A</v>
      </c>
      <c r="AF114" s="102" t="e">
        <f>(VLOOKUP($B$3,'Coeff EC7'!$T$39:$X$59,2,0)*AD114+VLOOKUP($B$3,'Coeff EC7'!$T$65:$X$85,2,0)*Model0.1C!AE114)/1.1</f>
        <v>#N/A</v>
      </c>
      <c r="AG114" s="102" t="e">
        <f>(VLOOKUP($B$3,'Coeff EC7'!$T$39:$X$59,3,0)*AD114+VLOOKUP($B$3,'Coeff EC7'!$T$65:$X$85,3,0)*Model0.1C!AE114)/0.9</f>
        <v>#N/A</v>
      </c>
      <c r="AH114" s="102" t="e">
        <f t="shared" si="139"/>
        <v>#N/A</v>
      </c>
      <c r="AI114" s="102" t="e">
        <f t="shared" si="140"/>
        <v>#N/A</v>
      </c>
      <c r="AJ114" s="414" t="e">
        <f>IF(AJ113=0,0,IF(AND(AF114&gt;charge_ELS_quasi,AG114&gt;Charge_ELS_freq,AH114&gt;charge_ELU,AI114&gt;charge_ELA,$B114&gt;NDC!$H$22-0.1+MIN(3*$AJ$12,1.5)),0,1))</f>
        <v>#N/A</v>
      </c>
      <c r="AK114" s="86" t="b">
        <f t="shared" si="141"/>
        <v>0</v>
      </c>
      <c r="AL114" s="86">
        <f t="shared" si="170"/>
        <v>0.5</v>
      </c>
      <c r="AM114" s="86">
        <f t="shared" si="142"/>
        <v>0.5</v>
      </c>
      <c r="AN114" s="30" t="e">
        <f t="shared" ca="1" si="171"/>
        <v>#DIV/0!</v>
      </c>
      <c r="AO114" s="85" t="e">
        <f ca="1">IF(U114&lt;=Hypothèses!$V$7,Hypothèses!$W$7,IF(U114&lt;=Hypothèses!$V$8,Hypothèses!$W$8,IF(U114&lt;=Hypothèses!$V$9,Hypothèses!$W$9,IF(U114&lt;=Hypothèses!$V$10,Hypothèses!$W$10,IF(U114&lt;=Hypothèses!$V$11,Hypothèses!$W$11,IF(U114&lt;=Hypothèses!$V$12,Hypothèses!$W$12,IF(U114&lt;=Hypothèses!$V$13,Hypothèses!$W$13,IF(U114&lt;=Hypothèses!$V$14,Hypothèses!$W$14,IF(U114&lt;=Hypothèses!$V$15,Hypothèses!$W$15,IF(U114&lt;=Hypothèses!$V$16,Hypothèses!$W$16,IF(U114&lt;=Hypothèses!$V$17,Hypothèses!$W$17,IF(U114&lt;=Hypothèses!$V$18,Hypothèses!$W$18,""))))))))))))</f>
        <v>#DIV/0!</v>
      </c>
      <c r="AP114" s="87" t="e">
        <f t="shared" ca="1" si="217"/>
        <v>#DIV/0!</v>
      </c>
      <c r="AQ114" s="88" t="e">
        <f ca="1">IF(U114&lt;=Hypothèses!$V$7,Hypothèses!$X$7,IF(U114&lt;=Hypothèses!$V$8,Hypothèses!$X$8,IF(U114&lt;=Hypothèses!$V$9,Hypothèses!$X$9,IF(U114&lt;=Hypothèses!$V$10,Hypothèses!$X$10,IF(U114&lt;=Hypothèses!$V$11,Hypothèses!$X$11,IF(U114&lt;=Hypothèses!$V$12,Hypothèses!$X$12,IF(U114&lt;=Hypothèses!$V$13,Hypothèses!$X$13,IF(U114&lt;=Hypothèses!$V$14,Hypothèses!$X$14,IF(U114&lt;=Hypothèses!$V$15,Hypothèses!$X$15,IF(U114&lt;=Hypothèses!$V$16,Hypothèses!$X$16,IF(U114&lt;=Hypothèses!$U$17,Hypothèses!$W$17,IF(U114&lt;=Hypothèses!$U$18,Hypothèses!$W$18,""))))))))))))</f>
        <v>#DIV/0!</v>
      </c>
      <c r="AR114" s="95" t="e">
        <f t="shared" ca="1" si="172"/>
        <v>#DIV/0!</v>
      </c>
      <c r="AS114" s="101" t="e">
        <f t="shared" si="224"/>
        <v>#N/A</v>
      </c>
      <c r="AT114" s="91" t="e">
        <f t="shared" si="143"/>
        <v>#N/A</v>
      </c>
      <c r="AU114" s="30" t="e">
        <f t="shared" si="202"/>
        <v>#N/A</v>
      </c>
      <c r="AV114" s="30" t="e">
        <f t="shared" si="203"/>
        <v>#N/A</v>
      </c>
      <c r="AW114" s="31" t="e">
        <f>IF(OR(Hypothèses!$B$4=17,Hypothèses!$B$4=18,Hypothèses!$B$4=19,Hypothèses!$B$4=20),
IF($D114="Pressio.",
IF(OR($E114=3,$E114=1,$E114=4),AV114,AU114),
IF($D114="Pénétro.",
IF(OR($E114=3,$E114=1,$E114=4),AV114,AU114))),IF($D114="Pressio.",
IF($E114=3,AV114,AU114),
IF($D114="Pénétro.",
IF($E114=4,AV114,AU114))))</f>
        <v>#N/A</v>
      </c>
      <c r="AX114" s="31" t="e">
        <f>(IF(OR(Hypothèses!$B$4=17,Hypothèses!$B$4=18,Hypothèses!$B$4=19,Hypothèses!$B$4=20),
IF($D114="Pressio.",
IF(OR($E114=3,$E114=1,$E114=4),(PI()*AX$12^2)/4*(AT114*$W114*1000)/($H114*$B$5),(PI()*AX$12^2)/4*(AT114*$W114*1000)/($G114*$B$5)),
IF($D114="Pénétro.",
IF(OR($E114=4,$E114=1,$E114=5),(PI()*AX$12^2)/4*(AT114*$W114*1000)/($H114*$B$5),(PI()*AX$12^2)/4*(AT114*$W114*1000)/($G114*$B$5)))),
IF($D114="Pressio.",
IF($E114=3,(PI()*AX$12^2)/4*(AT114*$W114*1000)/($H114*$B$5),(PI()*AX$12^2)/4*(AT114*$W114*1000)/($G114*$B$5)),
IF($D114="Pénétro.",
IF($E114=4,(PI()*AX$12^2)/4*(AT114*$W114*1000)/($H114*$B$5),(PI()*AX$12^2)/4*(AT114*$W114*1000)/($G114*$B$5))))))/10</f>
        <v>#N/A</v>
      </c>
      <c r="AY114" s="102" t="e">
        <f>(VLOOKUP($B$3,'Coeff EC7'!$T$39:$X$59,2,0)*AW114+VLOOKUP($B$3,'Coeff EC7'!$T$65:$X$85,2,0)*Model0.1C!AX114)/1.1</f>
        <v>#N/A</v>
      </c>
      <c r="AZ114" s="102" t="e">
        <f>(VLOOKUP($B$3,'Coeff EC7'!$T$39:$X$59,3,0)*AW114+VLOOKUP($B$3,'Coeff EC7'!$T$65:$X$85,3,0)*Model0.1C!AX114)/0.9</f>
        <v>#N/A</v>
      </c>
      <c r="BA114" s="102" t="e">
        <f t="shared" si="173"/>
        <v>#N/A</v>
      </c>
      <c r="BB114" s="102" t="e">
        <f t="shared" si="174"/>
        <v>#N/A</v>
      </c>
      <c r="BC114" s="414" t="e">
        <f>IF(BC113=0,0,IF(AND(AY114&gt;charge_ELS_quasi,AZ114&gt;Charge_ELS_freq,BA114&gt;charge_ELU,BB114&gt;charge_ELA,$B114&gt;NDC!$H$22-0.1+MIN(3*$BC$12,1.5)),0,1))</f>
        <v>#N/A</v>
      </c>
      <c r="BD114" s="86" t="b">
        <f t="shared" si="144"/>
        <v>0</v>
      </c>
      <c r="BE114" s="86">
        <f t="shared" si="175"/>
        <v>0.5</v>
      </c>
      <c r="BF114" s="86">
        <f t="shared" si="145"/>
        <v>0.5</v>
      </c>
      <c r="BG114" s="30" t="e">
        <f t="shared" ca="1" si="176"/>
        <v>#DIV/0!</v>
      </c>
      <c r="BH114" s="85" t="e">
        <f ca="1">IF(AN114&lt;=Hypothèses!$V$7,Hypothèses!$W$7,IF(AN114&lt;=Hypothèses!$V$8,Hypothèses!$W$8,IF(AN114&lt;=Hypothèses!$V$9,Hypothèses!$W$9,IF(AN114&lt;=Hypothèses!$V$10,Hypothèses!$W$10,IF(AN114&lt;=Hypothèses!$V$11,Hypothèses!$W$11,IF(AN114&lt;=Hypothèses!$V$12,Hypothèses!$W$12,IF(AN114&lt;=Hypothèses!$V$13,Hypothèses!$W$13,IF(AN114&lt;=Hypothèses!$V$14,Hypothèses!$W$14,IF(AN114&lt;=Hypothèses!$V$15,Hypothèses!$W$15,IF(AN114&lt;=Hypothèses!$V$16,Hypothèses!$W$16,IF(AN114&lt;=Hypothèses!$V$17,Hypothèses!$W$17,IF(AN114&lt;=Hypothèses!$V$18,Hypothèses!$W$18,""))))))))))))</f>
        <v>#DIV/0!</v>
      </c>
      <c r="BI114" s="87" t="e">
        <f t="shared" ca="1" si="218"/>
        <v>#DIV/0!</v>
      </c>
      <c r="BJ114" s="88" t="e">
        <f ca="1">IF(AN114&lt;=Hypothèses!$V$7,Hypothèses!$X$7,IF(AN114&lt;=Hypothèses!$V$8,Hypothèses!$X$8,IF(AN114&lt;=Hypothèses!$V$9,Hypothèses!$X$9,IF(AN114&lt;=Hypothèses!$V$10,Hypothèses!$X$10,IF(AN114&lt;=Hypothèses!$V$11,Hypothèses!$X$11,IF(AN114&lt;=Hypothèses!$V$12,Hypothèses!$X$12,IF(AN114&lt;=Hypothèses!$V$13,Hypothèses!$X$13,IF(AN114&lt;=Hypothèses!$V$14,Hypothèses!$X$14,IF(AN114&lt;=Hypothèses!$V$15,Hypothèses!$X$15,IF(AN114&lt;=Hypothèses!$V$16,Hypothèses!$X$16,IF(AN114&lt;=Hypothèses!$U$17,Hypothèses!$W$17,IF(AN114&lt;=Hypothèses!$U$18,Hypothèses!$W$18,""))))))))))))</f>
        <v>#DIV/0!</v>
      </c>
      <c r="BK114" s="95" t="e">
        <f t="shared" ca="1" si="177"/>
        <v>#DIV/0!</v>
      </c>
      <c r="BL114" s="101" t="e">
        <f t="shared" si="225"/>
        <v>#N/A</v>
      </c>
      <c r="BM114" s="91" t="e">
        <f t="shared" si="146"/>
        <v>#N/A</v>
      </c>
      <c r="BN114" s="30" t="e">
        <f t="shared" si="204"/>
        <v>#N/A</v>
      </c>
      <c r="BO114" s="30" t="e">
        <f t="shared" si="205"/>
        <v>#N/A</v>
      </c>
      <c r="BP114" s="31" t="e">
        <f>IF(OR(Hypothèses!$B$4=17,Hypothèses!$B$4=18,Hypothèses!$B$4=19,Hypothèses!$B$4=20),
IF($D114="Pressio.",
IF(OR($E114=3,$E114=1,$E114=4),BO114,BN114),
IF($D114="Pénétro.",
IF(OR($E114=3,$E114=1,$E114=4),BO114,BN114))),IF($D114="Pressio.",
IF($E114=3,BO114,BN114),
IF($D114="Pénétro.",
IF($E114=4,BO114,BN114))))</f>
        <v>#N/A</v>
      </c>
      <c r="BQ114" s="31" t="e">
        <f>(IF(OR(Hypothèses!$B$4=17,Hypothèses!$B$4=18,Hypothèses!$B$4=19,Hypothèses!$B$4=20),
IF($D114="Pressio.",
IF(OR($E114=3,$E114=1,$E114=4),(PI()*BQ$12^2)/4*(BM114*$W114*1000)/($H114*$B$5),(PI()*BQ$12^2)/4*(BM114*$W114*1000)/($G114*$B$5)),
IF($D114="Pénétro.",
IF(OR($E114=4,$E114=1,$E114=5),(PI()*BQ$12^2)/4*(BM114*$W114*1000)/($H114*$B$5),(PI()*BQ$12^2)/4*(BM114*$W114*1000)/($G114*$B$5)))),
IF($D114="Pressio.",
IF($E114=3,(PI()*BQ$12^2)/4*(BM114*$W114*1000)/($H114*$B$5),(PI()*BQ$12^2)/4*(BM114*$W114*1000)/($G114*$B$5)),
IF($D114="Pénétro.",
IF($E114=4,(PI()*BQ$12^2)/4*(BM114*$W114*1000)/($H114*$B$5),(PI()*BQ$12^2)/4*(BM114*$W114*1000)/($G114*$B$5))))))/10</f>
        <v>#N/A</v>
      </c>
      <c r="BR114" s="102" t="e">
        <f>(VLOOKUP($B$3,'Coeff EC7'!$T$39:$X$59,2,0)*BP114+VLOOKUP($B$3,'Coeff EC7'!$T$65:$X$85,2,0)*Model0.1C!BQ114)/1.1</f>
        <v>#N/A</v>
      </c>
      <c r="BS114" s="102" t="e">
        <f>(VLOOKUP($B$3,'Coeff EC7'!$T$39:$X$59,3,0)*BP114+VLOOKUP($B$3,'Coeff EC7'!$T$65:$X$85,3,0)*Model0.1C!BQ114)/0.9</f>
        <v>#N/A</v>
      </c>
      <c r="BT114" s="102" t="e">
        <f t="shared" si="178"/>
        <v>#N/A</v>
      </c>
      <c r="BU114" s="102" t="e">
        <f t="shared" si="179"/>
        <v>#N/A</v>
      </c>
      <c r="BV114" s="414" t="e">
        <f>IF(BV113=0,0,IF(AND(BR114&gt;charge_ELS_quasi,BS114&gt;Charge_ELS_freq,BT114&gt;charge_ELU,BU114&gt;charge_ELA,$B114&gt;NDC!$H$22-0.1+MIN(3*$BV$12,1.5)),0,1))</f>
        <v>#N/A</v>
      </c>
      <c r="BW114" s="86" t="b">
        <f t="shared" si="147"/>
        <v>0</v>
      </c>
      <c r="BX114" s="86">
        <f t="shared" si="148"/>
        <v>0.5</v>
      </c>
      <c r="BY114" s="86">
        <f t="shared" si="149"/>
        <v>0.5</v>
      </c>
      <c r="BZ114" s="30" t="e">
        <f t="shared" ca="1" si="180"/>
        <v>#DIV/0!</v>
      </c>
      <c r="CA114" s="85" t="e">
        <f ca="1">IF(BG114&lt;=Hypothèses!$V$7,Hypothèses!$W$7,IF(BG114&lt;=Hypothèses!$V$8,Hypothèses!$W$8,IF(BG114&lt;=Hypothèses!$V$9,Hypothèses!$W$9,IF(BG114&lt;=Hypothèses!$V$10,Hypothèses!$W$10,IF(BG114&lt;=Hypothèses!$V$11,Hypothèses!$W$11,IF(BG114&lt;=Hypothèses!$V$12,Hypothèses!$W$12,IF(BG114&lt;=Hypothèses!$V$13,Hypothèses!$W$13,IF(BG114&lt;=Hypothèses!$V$14,Hypothèses!$W$14,IF(BG114&lt;=Hypothèses!$V$15,Hypothèses!$W$15,IF(BG114&lt;=Hypothèses!$V$16,Hypothèses!$W$16,IF(BG114&lt;=Hypothèses!$V$17,Hypothèses!$W$17,IF(BG114&lt;=Hypothèses!$V$18,Hypothèses!$W$18,""))))))))))))</f>
        <v>#DIV/0!</v>
      </c>
      <c r="CB114" s="87" t="e">
        <f t="shared" ca="1" si="219"/>
        <v>#DIV/0!</v>
      </c>
      <c r="CC114" s="88" t="e">
        <f ca="1">IF(BG114&lt;=Hypothèses!$V$7,Hypothèses!$X$7,IF(BG114&lt;=Hypothèses!$V$8,Hypothèses!$X$8,IF(BG114&lt;=Hypothèses!$V$9,Hypothèses!$X$9,IF(BG114&lt;=Hypothèses!$V$10,Hypothèses!$X$10,IF(BG114&lt;=Hypothèses!$V$11,Hypothèses!$X$11,IF(BG114&lt;=Hypothèses!$V$12,Hypothèses!$X$12,IF(BG114&lt;=Hypothèses!$V$13,Hypothèses!$X$13,IF(BG114&lt;=Hypothèses!$V$14,Hypothèses!$X$14,IF(BG114&lt;=Hypothèses!$V$15,Hypothèses!$X$15,IF(BG114&lt;=Hypothèses!$V$16,Hypothèses!$X$16,IF(BG114&lt;=Hypothèses!$U$17,Hypothèses!$W$17,IF(BG114&lt;=Hypothèses!$U$18,Hypothèses!$W$18,""))))))))))))</f>
        <v>#DIV/0!</v>
      </c>
      <c r="CD114" s="95" t="e">
        <f t="shared" ca="1" si="181"/>
        <v>#DIV/0!</v>
      </c>
      <c r="CE114" s="101" t="e">
        <f t="shared" si="226"/>
        <v>#N/A</v>
      </c>
      <c r="CF114" s="91" t="e">
        <f t="shared" si="150"/>
        <v>#N/A</v>
      </c>
      <c r="CG114" s="30" t="e">
        <f t="shared" si="206"/>
        <v>#N/A</v>
      </c>
      <c r="CH114" s="30" t="e">
        <f t="shared" si="207"/>
        <v>#N/A</v>
      </c>
      <c r="CI114" s="31" t="e">
        <f>IF(OR(Hypothèses!$B$4=17,Hypothèses!$B$4=18,Hypothèses!$B$4=19,Hypothèses!$B$4=20),
IF($D114="Pressio.",
IF(OR($E114=3,$E114=1,$E114=4),CH114,CG114),
IF($D114="Pénétro.",
IF(OR($E114=3,$E114=1,$E114=4),CH114,CG114))),IF($D114="Pressio.",
IF($E114=3,CH114,CG114),
IF($D114="Pénétro.",
IF($E114=4,CH114,CG114))))</f>
        <v>#N/A</v>
      </c>
      <c r="CJ114" s="31" t="e">
        <f>(IF(OR(Hypothèses!$B$4=17,Hypothèses!$B$4=18,Hypothèses!$B$4=19,Hypothèses!$B$4=20),
IF($D114="Pressio.",
IF(OR($E114=3,$E114=1,$E114=4),(PI()*CJ$12^2)/4*(CF114*$W114*1000)/($H114*$B$5),(PI()*CJ$12^2)/4*(CF114*$W114*1000)/($G114*$B$5)),
IF($D114="Pénétro.",
IF(OR($E114=4,$E114=1,$E114=5),(PI()*CJ$12^2)/4*(CF114*$W114*1000)/($H114*$B$5),(PI()*CJ$12^2)/4*(CF114*$W114*1000)/($G114*$B$5)))),
IF($D114="Pressio.",
IF($E114=3,(PI()*CJ$12^2)/4*(CF114*$W114*1000)/($H114*$B$5),(PI()*CJ$12^2)/4*(CF114*$W114*1000)/($G114*$B$5)),
IF($D114="Pénétro.",
IF($E114=4,(PI()*CJ$12^2)/4*(CF114*$W114*1000)/($H114*$B$5),(PI()*CJ$12^2)/4*(CF114*$W114*1000)/($G114*$B$5))))))/10</f>
        <v>#N/A</v>
      </c>
      <c r="CK114" s="102" t="e">
        <f>(VLOOKUP($B$3,'Coeff EC7'!$T$39:$X$59,2,0)*CI114+VLOOKUP($B$3,'Coeff EC7'!$T$65:$X$85,2,0)*Model0.1C!CJ114)/1.1</f>
        <v>#N/A</v>
      </c>
      <c r="CL114" s="102" t="e">
        <f>(VLOOKUP($B$3,'Coeff EC7'!$T$39:$X$59,3,0)*CI114+VLOOKUP($B$3,'Coeff EC7'!$T$65:$X$85,3,0)*Model0.1C!CJ114)/0.9</f>
        <v>#N/A</v>
      </c>
      <c r="CM114" s="102" t="e">
        <f t="shared" si="182"/>
        <v>#N/A</v>
      </c>
      <c r="CN114" s="102" t="e">
        <f t="shared" si="183"/>
        <v>#N/A</v>
      </c>
      <c r="CO114" s="414" t="e">
        <f>IF(CO113=0,0,IF(AND(CK114&gt;charge_ELS_quasi,CL114&gt;Charge_ELS_freq,CM114&gt;charge_ELU,CN114&gt;charge_ELA,$B114&gt;NDC!$H$22-0.1+MIN(3*$CO$12,1.5)),0,1))</f>
        <v>#N/A</v>
      </c>
      <c r="CP114" s="86" t="b">
        <f t="shared" si="151"/>
        <v>0</v>
      </c>
      <c r="CQ114" s="86">
        <f t="shared" si="152"/>
        <v>0.5</v>
      </c>
      <c r="CR114" s="86">
        <f t="shared" si="153"/>
        <v>0.5</v>
      </c>
      <c r="CS114" s="30" t="e">
        <f t="shared" ca="1" si="184"/>
        <v>#DIV/0!</v>
      </c>
      <c r="CT114" s="85" t="e">
        <f ca="1">IF(BZ114&lt;=Hypothèses!$V$7,Hypothèses!$W$7,IF(BZ114&lt;=Hypothèses!$V$8,Hypothèses!$W$8,IF(BZ114&lt;=Hypothèses!$V$9,Hypothèses!$W$9,IF(BZ114&lt;=Hypothèses!$V$10,Hypothèses!$W$10,IF(BZ114&lt;=Hypothèses!$V$11,Hypothèses!$W$11,IF(BZ114&lt;=Hypothèses!$V$12,Hypothèses!$W$12,IF(BZ114&lt;=Hypothèses!$V$13,Hypothèses!$W$13,IF(BZ114&lt;=Hypothèses!$V$14,Hypothèses!$W$14,IF(BZ114&lt;=Hypothèses!$V$15,Hypothèses!$W$15,IF(BZ114&lt;=Hypothèses!$V$16,Hypothèses!$W$16,IF(BZ114&lt;=Hypothèses!$V$17,Hypothèses!$W$17,IF(BZ114&lt;=Hypothèses!$V$18,Hypothèses!$W$18,""))))))))))))</f>
        <v>#DIV/0!</v>
      </c>
      <c r="CU114" s="87" t="e">
        <f t="shared" ca="1" si="220"/>
        <v>#DIV/0!</v>
      </c>
      <c r="CV114" s="88" t="e">
        <f ca="1">IF(BZ114&lt;=Hypothèses!$V$7,Hypothèses!$X$7,IF(BZ114&lt;=Hypothèses!$V$8,Hypothèses!$X$8,IF(BZ114&lt;=Hypothèses!$V$9,Hypothèses!$X$9,IF(BZ114&lt;=Hypothèses!$V$10,Hypothèses!$X$10,IF(BZ114&lt;=Hypothèses!$V$11,Hypothèses!$X$11,IF(BZ114&lt;=Hypothèses!$V$12,Hypothèses!$X$12,IF(BZ114&lt;=Hypothèses!$V$13,Hypothèses!$X$13,IF(BZ114&lt;=Hypothèses!$V$14,Hypothèses!$X$14,IF(BZ114&lt;=Hypothèses!$V$15,Hypothèses!$X$15,IF(BZ114&lt;=Hypothèses!$V$16,Hypothèses!$X$16,IF(BZ114&lt;=Hypothèses!$U$17,Hypothèses!$W$17,IF(BZ114&lt;=Hypothèses!$U$18,Hypothèses!$W$18,""))))))))))))</f>
        <v>#DIV/0!</v>
      </c>
      <c r="CW114" s="95" t="e">
        <f t="shared" ca="1" si="185"/>
        <v>#DIV/0!</v>
      </c>
      <c r="CX114" s="101" t="e">
        <f t="shared" si="227"/>
        <v>#N/A</v>
      </c>
      <c r="CY114" s="91" t="e">
        <f t="shared" si="154"/>
        <v>#N/A</v>
      </c>
      <c r="CZ114" s="30" t="e">
        <f t="shared" si="208"/>
        <v>#N/A</v>
      </c>
      <c r="DA114" s="30" t="e">
        <f t="shared" si="209"/>
        <v>#N/A</v>
      </c>
      <c r="DB114" s="31" t="e">
        <f>IF(OR(Hypothèses!$B$4=17,Hypothèses!$B$4=18,Hypothèses!$B$4=19,Hypothèses!$B$4=20),
IF($D114="Pressio.",
IF(OR($E114=3,$E114=1,$E114=4),DA114,CZ114),
IF($D114="Pénétro.",
IF(OR($E114=3,$E114=1,$E114=4),DA114,CZ114))),IF($D114="Pressio.",
IF($E114=3,DA114,CZ114),
IF($D114="Pénétro.",
IF($E114=4,DA114,CZ114))))</f>
        <v>#N/A</v>
      </c>
      <c r="DC114" s="31" t="e">
        <f>(IF(OR(Hypothèses!$B$4=17,Hypothèses!$B$4=18,Hypothèses!$B$4=19,Hypothèses!$B$4=20),
IF($D114="Pressio.",
IF(OR($E114=3,$E114=1,$E114=4),(PI()*DC$12^2)/4*(CY114*$W114*1000)/($H114*$B$5),(PI()*DC$12^2)/4*(CY114*$W114*1000)/($G114*$B$5)),
IF($D114="Pénétro.",
IF(OR($E114=4,$E114=1,$E114=5),(PI()*DC$12^2)/4*(CY114*$W114*1000)/($H114*$B$5),(PI()*DC$12^2)/4*(CY114*$W114*1000)/($G114*$B$5)))),
IF($D114="Pressio.",
IF($E114=3,(PI()*DC$12^2)/4*(CY114*$W114*1000)/($H114*$B$5),(PI()*DC$12^2)/4*(CY114*$W114*1000)/($G114*$B$5)),
IF($D114="Pénétro.",
IF($E114=4,(PI()*DC$12^2)/4*(CY114*$W114*1000)/($H114*$B$5),(PI()*DC$12^2)/4*(CY114*$W114*1000)/($G114*$B$5))))))/10</f>
        <v>#N/A</v>
      </c>
      <c r="DD114" s="102" t="e">
        <f>(VLOOKUP($B$3,'Coeff EC7'!$T$39:$X$59,2,0)*DB114+VLOOKUP($B$3,'Coeff EC7'!$T$65:$X$85,2,0)*Model0.1C!DC114)/1.1</f>
        <v>#N/A</v>
      </c>
      <c r="DE114" s="102" t="e">
        <f>(VLOOKUP($B$3,'Coeff EC7'!$T$39:$X$59,3,0)*DB114+VLOOKUP($B$3,'Coeff EC7'!$T$65:$X$85,3,0)*Model0.1C!DC114)/0.9</f>
        <v>#N/A</v>
      </c>
      <c r="DF114" s="102" t="e">
        <f t="shared" si="186"/>
        <v>#N/A</v>
      </c>
      <c r="DG114" s="102" t="e">
        <f t="shared" si="187"/>
        <v>#N/A</v>
      </c>
      <c r="DH114" s="414" t="e">
        <f>IF(DH113=0,0,IF(AND(DD114&gt;charge_ELS_quasi,DE114&gt;Charge_ELS_freq,DF114&gt;charge_ELU,DG114&gt;charge_ELA,$B114&gt;NDC!$H$22-0.1+MIN(3*$DH$12,1.5)),0,1))</f>
        <v>#N/A</v>
      </c>
      <c r="DI114" s="86" t="b">
        <f t="shared" si="155"/>
        <v>0</v>
      </c>
      <c r="DJ114" s="86">
        <f t="shared" si="156"/>
        <v>0.5</v>
      </c>
      <c r="DK114" s="86">
        <f t="shared" si="157"/>
        <v>0.5</v>
      </c>
      <c r="DL114" s="30" t="e">
        <f t="shared" ca="1" si="188"/>
        <v>#DIV/0!</v>
      </c>
      <c r="DM114" s="85" t="e">
        <f ca="1">IF(CS114&lt;=Hypothèses!$V$7,Hypothèses!$W$7,IF(CS114&lt;=Hypothèses!$V$8,Hypothèses!$W$8,IF(CS114&lt;=Hypothèses!$V$9,Hypothèses!$W$9,IF(CS114&lt;=Hypothèses!$V$10,Hypothèses!$W$10,IF(CS114&lt;=Hypothèses!$V$11,Hypothèses!$W$11,IF(CS114&lt;=Hypothèses!$V$12,Hypothèses!$W$12,IF(CS114&lt;=Hypothèses!$V$13,Hypothèses!$W$13,IF(CS114&lt;=Hypothèses!$V$14,Hypothèses!$W$14,IF(CS114&lt;=Hypothèses!$V$15,Hypothèses!$W$15,IF(CS114&lt;=Hypothèses!$V$16,Hypothèses!$W$16,IF(CS114&lt;=Hypothèses!$V$17,Hypothèses!$W$17,IF(CS114&lt;=Hypothèses!$V$18,Hypothèses!$W$18,""))))))))))))</f>
        <v>#DIV/0!</v>
      </c>
      <c r="DN114" s="87" t="e">
        <f t="shared" ca="1" si="221"/>
        <v>#DIV/0!</v>
      </c>
      <c r="DO114" s="88" t="e">
        <f ca="1">IF(CS114&lt;=Hypothèses!$V$7,Hypothèses!$X$7,IF(CS114&lt;=Hypothèses!$V$8,Hypothèses!$X$8,IF(CS114&lt;=Hypothèses!$V$9,Hypothèses!$X$9,IF(CS114&lt;=Hypothèses!$V$10,Hypothèses!$X$10,IF(CS114&lt;=Hypothèses!$V$11,Hypothèses!$X$11,IF(CS114&lt;=Hypothèses!$V$12,Hypothèses!$X$12,IF(CS114&lt;=Hypothèses!$V$13,Hypothèses!$X$13,IF(CS114&lt;=Hypothèses!$V$14,Hypothèses!$X$14,IF(CS114&lt;=Hypothèses!$V$15,Hypothèses!$X$15,IF(CS114&lt;=Hypothèses!$V$16,Hypothèses!$X$16,IF(CS114&lt;=Hypothèses!$U$17,Hypothèses!$W$17,IF(CS114&lt;=Hypothèses!$U$18,Hypothèses!$W$18,""))))))))))))</f>
        <v>#DIV/0!</v>
      </c>
      <c r="DP114" s="95" t="e">
        <f t="shared" ca="1" si="189"/>
        <v>#DIV/0!</v>
      </c>
      <c r="DQ114" s="101" t="e">
        <f t="shared" si="228"/>
        <v>#N/A</v>
      </c>
      <c r="DR114" s="91" t="e">
        <f t="shared" si="158"/>
        <v>#N/A</v>
      </c>
      <c r="DS114" s="30" t="e">
        <f t="shared" si="210"/>
        <v>#N/A</v>
      </c>
      <c r="DT114" s="30" t="e">
        <f t="shared" si="211"/>
        <v>#N/A</v>
      </c>
      <c r="DU114" s="31" t="e">
        <f>IF(OR(Hypothèses!$B$4=17,Hypothèses!$B$4=18,Hypothèses!$B$4=19,Hypothèses!$B$4=20),
IF($D114="Pressio.",
IF(OR($E114=3,$E114=1,$E114=4),DT114,DS114),
IF($D114="Pénétro.",
IF(OR($E114=3,$E114=1,$E114=4),DT114,DS114))),IF($D114="Pressio.",
IF($E114=3,DT114,DS114),
IF($D114="Pénétro.",
IF($E114=4,DT114,DS114))))</f>
        <v>#N/A</v>
      </c>
      <c r="DV114" s="31" t="e">
        <f>(IF(OR(Hypothèses!$B$4=17,Hypothèses!$B$4=18,Hypothèses!$B$4=19,Hypothèses!$B$4=20),
IF($D114="Pressio.",
IF(OR($E114=3,$E114=1,$E114=4),(PI()*DV$12^2)/4*(DR114*$W114*1000)/($H114*$B$5),(PI()*DV$12^2)/4*(DR114*$W114*1000)/($G114*$B$5)),
IF($D114="Pénétro.",
IF(OR($E114=4,$E114=1,$E114=5),(PI()*DV$12^2)/4*(DR114*$W114*1000)/($H114*$B$5),(PI()*DV$12^2)/4*(DR114*$W114*1000)/($G114*$B$5)))),
IF($D114="Pressio.",
IF($E114=3,(PI()*DV$12^2)/4*(DR114*$W114*1000)/($H114*$B$5),(PI()*DV$12^2)/4*(DR114*$W114*1000)/($G114*$B$5)),
IF($D114="Pénétro.",
IF($E114=4,(PI()*DV$12^2)/4*(DR114*$W114*1000)/($H114*$B$5),(PI()*DV$12^2)/4*(DR114*$W114*1000)/($G114*$B$5))))))/10</f>
        <v>#N/A</v>
      </c>
      <c r="DW114" s="102" t="e">
        <f>(VLOOKUP($B$3,'Coeff EC7'!$T$39:$X$59,2,0)*DU114+VLOOKUP($B$3,'Coeff EC7'!$T$65:$X$85,2,0)*Model0.1C!DV114)/1.1</f>
        <v>#N/A</v>
      </c>
      <c r="DX114" s="102" t="e">
        <f>(VLOOKUP($B$3,'Coeff EC7'!$T$39:$X$59,3,0)*DU114+VLOOKUP($B$3,'Coeff EC7'!$T$65:$X$85,3,0)*Model0.1C!DV114)/0.9</f>
        <v>#N/A</v>
      </c>
      <c r="DY114" s="102" t="e">
        <f t="shared" si="190"/>
        <v>#N/A</v>
      </c>
      <c r="DZ114" s="102" t="e">
        <f t="shared" si="191"/>
        <v>#N/A</v>
      </c>
      <c r="EA114" s="414" t="e">
        <f>IF(EA113=0,0,IF(AND(DW114&gt;charge_ELS_quasi,DX114&gt;Charge_ELS_freq,DY114&gt;charge_ELU,DZ114&gt;charge_ELA,$B114&gt;NDC!$H$22-0.1+MIN(3*$EA$12,1.5)),0,1))</f>
        <v>#N/A</v>
      </c>
      <c r="EB114" s="86" t="b">
        <f t="shared" si="159"/>
        <v>0</v>
      </c>
      <c r="EC114" s="418">
        <f t="shared" si="160"/>
        <v>0.51</v>
      </c>
      <c r="ED114" s="86">
        <f t="shared" si="161"/>
        <v>0.51</v>
      </c>
      <c r="EE114" s="30" t="e">
        <f t="shared" ca="1" si="192"/>
        <v>#DIV/0!</v>
      </c>
      <c r="EF114" s="85" t="e">
        <f ca="1">IF(DL114&lt;=Hypothèses!$V$7,Hypothèses!$W$7,IF(DL114&lt;=Hypothèses!$V$8,Hypothèses!$W$8,IF(DL114&lt;=Hypothèses!$V$9,Hypothèses!$W$9,IF(DL114&lt;=Hypothèses!$V$10,Hypothèses!$W$10,IF(DL114&lt;=Hypothèses!$V$11,Hypothèses!$W$11,IF(DL114&lt;=Hypothèses!$V$12,Hypothèses!$W$12,IF(DL114&lt;=Hypothèses!$V$13,Hypothèses!$W$13,IF(DL114&lt;=Hypothèses!$V$14,Hypothèses!$W$14,IF(DL114&lt;=Hypothèses!$V$15,Hypothèses!$W$15,IF(DL114&lt;=Hypothèses!$V$16,Hypothèses!$W$16,IF(DL114&lt;=Hypothèses!$V$17,Hypothèses!$W$17,IF(DL114&lt;=Hypothèses!$V$18,Hypothèses!$W$18,""))))))))))))</f>
        <v>#DIV/0!</v>
      </c>
      <c r="EG114" s="87" t="e">
        <f t="shared" ca="1" si="222"/>
        <v>#DIV/0!</v>
      </c>
      <c r="EH114" s="88" t="e">
        <f ca="1">IF(DL114&lt;=Hypothèses!$V$7,Hypothèses!$X$7,IF(DL114&lt;=Hypothèses!$V$8,Hypothèses!$X$8,IF(DL114&lt;=Hypothèses!$V$9,Hypothèses!$X$9,IF(DL114&lt;=Hypothèses!$V$10,Hypothèses!$X$10,IF(DL114&lt;=Hypothèses!$V$11,Hypothèses!$X$11,IF(DL114&lt;=Hypothèses!$V$12,Hypothèses!$X$12,IF(DL114&lt;=Hypothèses!$V$13,Hypothèses!$X$13,IF(DL114&lt;=Hypothèses!$V$14,Hypothèses!$X$14,IF(DL114&lt;=Hypothèses!$V$15,Hypothèses!$X$15,IF(DL114&lt;=Hypothèses!$V$16,Hypothèses!$X$16,IF(DL114&lt;=Hypothèses!$U$17,Hypothèses!$W$17,IF(DL114&lt;=Hypothèses!$U$18,Hypothèses!$W$18,""))))))))))))</f>
        <v>#DIV/0!</v>
      </c>
      <c r="EI114" s="95" t="e">
        <f t="shared" ca="1" si="193"/>
        <v>#DIV/0!</v>
      </c>
      <c r="EJ114" s="101" t="e">
        <f t="shared" si="229"/>
        <v>#N/A</v>
      </c>
      <c r="EK114" s="91" t="e">
        <f t="shared" si="162"/>
        <v>#N/A</v>
      </c>
      <c r="EL114" s="30" t="e">
        <f t="shared" si="212"/>
        <v>#N/A</v>
      </c>
      <c r="EM114" s="30" t="e">
        <f t="shared" si="213"/>
        <v>#N/A</v>
      </c>
      <c r="EN114" s="31" t="e">
        <f>IF(OR(Hypothèses!$B$4=17,Hypothèses!$B$4=18,Hypothèses!$B$4=19,Hypothèses!$B$4=20),
IF($D114="Pressio.",
IF(OR($E114=3,$E114=1,$E114=4),EM114,EL114),
IF($D114="Pénétro.",
IF(OR($E114=3,$E114=1,$E114=4),EM114,EL114))),IF($D114="Pressio.",
IF($E114=3,EM114,EL114),
IF($D114="Pénétro.",
IF($E114=4,EM114,EL114))))</f>
        <v>#N/A</v>
      </c>
      <c r="EO114" s="31" t="e">
        <f>(IF(OR(Hypothèses!$B$4=17,Hypothèses!$B$4=18,Hypothèses!$B$4=19,Hypothèses!$B$4=20),
IF($D114="Pressio.",
IF(OR($E114=3,$E114=1,$E114=4),(PI()*EO$12^2)/4*(EK114*$W114*1000)/($H114*$B$5),(PI()*EO$12^2)/4*(EK114*$W114*1000)/($G114*$B$5)),
IF($D114="Pénétro.",
IF(OR($E114=4,$E114=1,$E114=5),(PI()*EO$12^2)/4*(EK114*$W114*1000)/($H114*$B$5),(PI()*EO$12^2)/4*(EK114*$W114*1000)/($G114*$B$5)))),
IF($D114="Pressio.",
IF($E114=3,(PI()*EO$12^2)/4*(EK114*$W114*1000)/($H114*$B$5),(PI()*EO$12^2)/4*(EK114*$W114*1000)/($G114*$B$5)),
IF($D114="Pénétro.",
IF($E114=4,(PI()*EO$12^2)/4*(EK114*$W114*1000)/($H114*$B$5),(PI()*EO$12^2)/4*(EK114*$W114*1000)/($G114*$B$5))))))/10</f>
        <v>#N/A</v>
      </c>
      <c r="EP114" s="102" t="e">
        <f>(VLOOKUP($B$3,'Coeff EC7'!$T$39:$X$59,2,0)*EN114+VLOOKUP($B$3,'Coeff EC7'!$T$65:$X$85,2,0)*Model0.1C!EO114)/1.1</f>
        <v>#N/A</v>
      </c>
      <c r="EQ114" s="102" t="e">
        <f>(VLOOKUP($B$3,'Coeff EC7'!$T$39:$X$59,3,0)*EN114+VLOOKUP($B$3,'Coeff EC7'!$T$65:$X$85,3,0)*Model0.1C!EO114)/0.9</f>
        <v>#N/A</v>
      </c>
      <c r="ER114" s="102" t="e">
        <f t="shared" si="194"/>
        <v>#N/A</v>
      </c>
      <c r="ES114" s="102" t="e">
        <f t="shared" si="195"/>
        <v>#N/A</v>
      </c>
      <c r="ET114" s="414" t="e">
        <f>IF(ET113=0,0,IF(AND(EP114&gt;charge_ELS_quasi,EQ114&gt;Charge_ELS_freq,ER114&gt;charge_ELU,ES114&gt;charge_ELA,$B114&gt;NDC!$H$22-0.1+MIN(3*$ET$12,1.5)),0,1))</f>
        <v>#N/A</v>
      </c>
      <c r="EU114" s="86" t="b">
        <f t="shared" si="163"/>
        <v>0</v>
      </c>
      <c r="EV114" s="86">
        <f t="shared" si="164"/>
        <v>0.61</v>
      </c>
      <c r="EW114" s="86">
        <f t="shared" si="165"/>
        <v>0.61</v>
      </c>
      <c r="EX114" s="30" t="e">
        <f t="shared" ca="1" si="196"/>
        <v>#DIV/0!</v>
      </c>
      <c r="EY114" s="85" t="e">
        <f ca="1">IF(EE114&lt;=Hypothèses!$V$7,Hypothèses!$W$7,IF(EE114&lt;=Hypothèses!$V$8,Hypothèses!$W$8,IF(EE114&lt;=Hypothèses!$V$9,Hypothèses!$W$9,IF(EE114&lt;=Hypothèses!$V$10,Hypothèses!$W$10,IF(EE114&lt;=Hypothèses!$V$11,Hypothèses!$W$11,IF(EE114&lt;=Hypothèses!$V$12,Hypothèses!$W$12,IF(EE114&lt;=Hypothèses!$V$13,Hypothèses!$W$13,IF(EE114&lt;=Hypothèses!$V$14,Hypothèses!$W$14,IF(EE114&lt;=Hypothèses!$V$15,Hypothèses!$W$15,IF(EE114&lt;=Hypothèses!$V$16,Hypothèses!$W$16,IF(EE114&lt;=Hypothèses!$V$17,Hypothèses!$W$17,IF(EE114&lt;=Hypothèses!$V$18,Hypothèses!$W$18,""))))))))))))</f>
        <v>#DIV/0!</v>
      </c>
      <c r="EZ114" s="87" t="e">
        <f t="shared" ca="1" si="223"/>
        <v>#DIV/0!</v>
      </c>
      <c r="FA114" s="88" t="e">
        <f ca="1">IF(EE114&lt;=Hypothèses!$V$7,Hypothèses!$X$7,IF(EE114&lt;=Hypothèses!$V$8,Hypothèses!$X$8,IF(EE114&lt;=Hypothèses!$V$9,Hypothèses!$X$9,IF(EE114&lt;=Hypothèses!$V$10,Hypothèses!$X$10,IF(EE114&lt;=Hypothèses!$V$11,Hypothèses!$X$11,IF(EE114&lt;=Hypothèses!$V$12,Hypothèses!$X$12,IF(EE114&lt;=Hypothèses!$V$13,Hypothèses!$X$13,IF(EE114&lt;=Hypothèses!$V$14,Hypothèses!$X$14,IF(EE114&lt;=Hypothèses!$V$15,Hypothèses!$X$15,IF(EE114&lt;=Hypothèses!$V$16,Hypothèses!$X$16,IF(EE114&lt;=Hypothèses!$U$17,Hypothèses!$W$17,IF(EE114&lt;=Hypothèses!$U$18,Hypothèses!$W$18,""))))))))))))</f>
        <v>#DIV/0!</v>
      </c>
      <c r="FB114" s="95" t="e">
        <f t="shared" ca="1" si="197"/>
        <v>#DIV/0!</v>
      </c>
      <c r="FC114" s="101" t="e">
        <f t="shared" si="230"/>
        <v>#N/A</v>
      </c>
      <c r="FD114" s="91" t="e">
        <f t="shared" si="166"/>
        <v>#N/A</v>
      </c>
      <c r="FE114" s="30" t="e">
        <f t="shared" si="214"/>
        <v>#N/A</v>
      </c>
      <c r="FF114" s="30" t="e">
        <f t="shared" si="215"/>
        <v>#N/A</v>
      </c>
      <c r="FG114" s="31" t="e">
        <f>IF(OR(Hypothèses!$B$4=17,Hypothèses!$B$4=18,Hypothèses!$B$4=19,Hypothèses!$B$4=20),
IF($D114="Pressio.",
IF(OR($E114=3,$E114=1,$E114=4),FF114,FE114),
IF($D114="Pénétro.",
IF(OR($E114=3,$E114=1,$E114=4),FF114,FE114))),IF($D114="Pressio.",
IF($E114=3,FF114,FE114),
IF($D114="Pénétro.",
IF($E114=4,FF114,FE114))))</f>
        <v>#N/A</v>
      </c>
      <c r="FH114" s="31" t="e">
        <f>(IF(OR(Hypothèses!$B$4=17,Hypothèses!$B$4=18,Hypothèses!$B$4=19,Hypothèses!$B$4=20),
IF($D114="Pressio.",
IF(OR($E114=3,$E114=1,$E114=4),(PI()*FH$12^2)/4*(FD114*$W114*1000)/($H114*$B$5),(PI()*FH$12^2)/4*(FD114*$W114*1000)/($G114*$B$5)),
IF($D114="Pénétro.",
IF(OR($E114=4,$E114=1,$E114=5),(PI()*FH$12^2)/4*(FD114*$W114*1000)/($H114*$B$5),(PI()*FH$12^2)/4*(FD114*$W114*1000)/($G114*$B$5)))),
IF($D114="Pressio.",
IF($E114=3,(PI()*FH$12^2)/4*(FD114*$W114*1000)/($H114*$B$5),(PI()*FH$12^2)/4*(FD114*$W114*1000)/($G114*$B$5)),
IF($D114="Pénétro.",
IF($E114=4,(PI()*FH$12^2)/4*(FD114*$W114*1000)/($H114*$B$5),(PI()*FH$12^2)/4*(FD114*$W114*1000)/($G114*$B$5))))))/10</f>
        <v>#N/A</v>
      </c>
      <c r="FI114" s="102" t="e">
        <f>(VLOOKUP($B$3,'Coeff EC7'!$T$39:$X$59,2,0)*FG114+VLOOKUP($B$3,'Coeff EC7'!$T$65:$X$85,2,0)*Model0.1C!FH114)/1.1</f>
        <v>#N/A</v>
      </c>
      <c r="FJ114" s="102" t="e">
        <f>(VLOOKUP($B$3,'Coeff EC7'!$T$39:$X$59,3,0)*FG114+VLOOKUP($B$3,'Coeff EC7'!$T$65:$X$85,3,0)*Model0.1C!FH114)/0.9</f>
        <v>#N/A</v>
      </c>
      <c r="FK114" s="102" t="e">
        <f t="shared" si="198"/>
        <v>#N/A</v>
      </c>
      <c r="FL114" s="102" t="e">
        <f t="shared" si="199"/>
        <v>#N/A</v>
      </c>
      <c r="FM114" s="414" t="e">
        <f>IF(FM113=0,0,IF(AND(FI114&gt;charge_ELS_quasi,FJ114&gt;Charge_ELS_freq,FK114&gt;charge_ELU,FL114&gt;charge_ELA,$B114&gt;NDC!$H$22-0.1+MIN(3*$FM$12,1.5)),0,1))</f>
        <v>#N/A</v>
      </c>
    </row>
    <row r="115" spans="1:169">
      <c r="A115" s="96">
        <f t="shared" si="167"/>
        <v>89.80000000000058</v>
      </c>
      <c r="B115" s="97">
        <v>10.199999999999999</v>
      </c>
      <c r="C115" s="81">
        <f>IF(B115&lt;=Hypothèses!$C$7,Hypothèses!$A$7,IF(B115&lt;=Hypothèses!$C$8,Hypothèses!$A$8,IF(B115&lt;=Hypothèses!$C$9,Hypothèses!$A$9,IF(B115&lt;=Hypothèses!$C$10,Hypothèses!$A$10,IF(B115&lt;=Hypothèses!$C$11,Hypothèses!$A$11,IF(B115&lt;=Hypothèses!$C$12,Hypothèses!$A$12,IF(B115&lt;=Hypothèses!$C$13,Hypothèses!$A$13,IF(B115&lt;=Hypothèses!$C$14,Hypothèses!$A$14,IF(B115&lt;=Hypothèses!$C$15,Hypothèses!$A$15,IF(B115&lt;=Hypothèses!$C$16,Hypothèses!$A$16,IF(B115&lt;=Hypothèses!$C$17,Hypothèses!$A$17,IF(B115&lt;=Hypothèses!$C$18,Hypothèses!$A$18,C114))))))))))))</f>
        <v>11</v>
      </c>
      <c r="D115" s="82" t="str">
        <f>IF(B115&lt;=Hypothèses!$C$7,Hypothèses!$R$7,IF(B115&lt;=Hypothèses!$C$8,Hypothèses!$R$8,IF(B115&lt;=Hypothèses!$C$9,Hypothèses!$R$9,IF(B115&lt;=Hypothèses!$C$10,Hypothèses!$R$10,IF(B115&lt;=Hypothèses!$C$11,Hypothèses!$R$11,IF(B115&lt;=Hypothèses!$C$12,Hypothèses!$R$12,IF(B115&lt;=Hypothèses!$C$13,Hypothèses!$R$13,IF(B115&lt;=Hypothèses!$C$14,Hypothèses!$R$14,IF(B115&lt;=Hypothèses!$C$15,Hypothèses!$R$15,IF(B115&lt;=Hypothèses!$C$16,Hypothèses!$R$16,IF(B115&lt;=Hypothèses!$C$17,Hypothèses!$R$17,IF(B115&lt;=Hypothèses!$C$18,Hypothèses!$R$18,D114))))))))))))</f>
        <v>Pressio.</v>
      </c>
      <c r="E115" s="82" t="e">
        <f>IF(B115&lt;=Hypothèses!$C$7,Hypothèses!$G$7,IF(B115&lt;=Hypothèses!$C$8,Hypothèses!$G$8,IF(B115&lt;=Hypothèses!$C$9,Hypothèses!$G$9,IF(B115&lt;=Hypothèses!$C$10,Hypothèses!$G$10,IF(B115&lt;=Hypothèses!$C$11,Hypothèses!$G$11,IF(B115&lt;=Hypothèses!$C$12,Hypothèses!$G$12,IF(B115&lt;=Hypothèses!$C$13,Hypothèses!$G$13,IF(B115&lt;=Hypothèses!$C$14,Hypothèses!$G$14,IF(B115&lt;=Hypothèses!$C$15,Hypothèses!$G$15,IF(B115&lt;=Hypothèses!$C$16,Hypothèses!$G$16,IF(B115&lt;=Hypothèses!$C$17,Hypothèses!$G$17,IF(B115&lt;=Hypothèses!$C$18,Hypothèses!$G$18,E114))))))))))))</f>
        <v>#N/A</v>
      </c>
      <c r="F115" s="82" t="str">
        <f>IF(B115&lt;=Hypothèses!$C$7,Hypothèses!$F$7,IF(B115&lt;=Hypothèses!$C$8,Hypothèses!$F$8,IF(B115&lt;=Hypothèses!$C$9,Hypothèses!$F$9,IF(B115&lt;=Hypothèses!$C$10,Hypothèses!$F$10,IF(B115&lt;=Hypothèses!$C$11,Hypothèses!$F$11,IF(B115&lt;=Hypothèses!$C$12,Hypothèses!$F$12,IF(B115&lt;=Hypothèses!$C$13,Hypothèses!$F$13,IF(B115&lt;=Hypothèses!$C$14,Hypothèses!$F$14,IF(B115&lt;=Hypothèses!$C$15,Hypothèses!$F$15,IF(B115&lt;=Hypothèses!$C$16,Hypothèses!$F$16,IF(B115&lt;=Hypothèses!$C$17,Hypothèses!$F$17,IF(B115&lt;=Hypothèses!$C$18,Hypothèses!$F$18,F114))))))))))))</f>
        <v/>
      </c>
      <c r="G115" s="91">
        <f t="array" ref="G115">INDEX('Coeff EC7'!$U$7:$X$27,
MATCH(Model0.1C!$B$3,'Coeff EC7'!$T$7:$T$27,0),
MATCH(Model0.1C!$D115&amp;Model0.1C!$B$4,
'Coeff EC7'!$U$6:$X$6&amp;
'Coeff EC7'!$U$5:$X$5,0))</f>
        <v>1.1499999999999999</v>
      </c>
      <c r="H115" s="91">
        <f t="array" ref="H115">INDEX('Coeff EC7'!$Y$7:$AB$27,
MATCH(Model0.1C!$B$3,'Coeff EC7'!$T$7:$T$27,0),
MATCH(Model0.1C!$D115&amp;Model0.1C!$B$4,
'Coeff EC7'!$Y$6:$AB$6&amp;
'Coeff EC7'!$Y$5:$AB$5,0))</f>
        <v>1.4</v>
      </c>
      <c r="I115" s="83" t="e">
        <f>IF(B115&lt;=Hypothèses!$C$7,Hypothèses!$P$7,IF(B115&lt;=Hypothèses!$C$8,Hypothèses!$P$8,IF(B115&lt;=Hypothèses!$C$9,Hypothèses!$P$9,IF(B115&lt;=Hypothèses!$C$10,Hypothèses!$P$10,IF(B115&lt;=Hypothèses!$C$11,Hypothèses!$P$11,IF(B115&lt;=Hypothèses!$C$12,Hypothèses!$P$12,IF(B115&lt;=Hypothèses!$C$13,Hypothèses!$P$13,IF(B115&lt;=Hypothèses!$C$14,Hypothèses!$P$14,IF(B115&lt;=Hypothèses!$C$15,Hypothèses!$P$15,IF(B115&lt;=Hypothèses!$C$16,Hypothèses!$P$16,IF(B115&lt;=Hypothèses!$C$17,Hypothèses!$P$17,IF(B115&lt;=Hypothèses!$C$18,Hypothèses!$P$18,I114))))))))))))</f>
        <v>#N/A</v>
      </c>
      <c r="J115" s="91" t="e">
        <f t="array" ref="J115">INDEX('Coeff EC7'!$D$33:$Q$33,1,MATCH(D115&amp;E115,'Coeff EC7'!$D$31:$Q$31&amp;'Coeff EC7'!$D$32:$Q$32,0))</f>
        <v>#N/A</v>
      </c>
      <c r="K115" s="91" t="e">
        <f t="array" ref="K115">INDEX('Coeff EC7'!$D$34:$Q$34,1,MATCH(D115&amp;E115,'Coeff EC7'!$D$31:$Q$31&amp;'Coeff EC7'!$D$32:$Q$32,0))</f>
        <v>#N/A</v>
      </c>
      <c r="L115" s="91" t="e">
        <f t="array" ref="L115">INDEX('Coeff EC7'!$D$35:$Q$35,1,MATCH(D115&amp;E115,'Coeff EC7'!$D$31:$Q$31&amp;'Coeff EC7'!$D$32:$Q$32,0))</f>
        <v>#N/A</v>
      </c>
      <c r="M115" s="98" t="e">
        <f t="shared" si="131"/>
        <v>#N/A</v>
      </c>
      <c r="N115" s="99" t="e">
        <f t="array" ref="N115">INDEX('Coeff EC7'!$D$7:$Q$27,MATCH($B$3,'Coeff EC7'!$C$7:$C$27,0),MATCH(D115&amp;E115,'Coeff EC7'!$D$5:$Q$5&amp;'Coeff EC7'!$D$6:$Q$6,0))</f>
        <v>#N/A</v>
      </c>
      <c r="O115" s="99" t="e">
        <f t="array" ref="O115">INDEX('Coeff EC7'!$D$41:$Q$61,MATCH($B$3,'Coeff EC7'!$C$41:$C$61,0),MATCH(D115&amp;E115,'Coeff EC7'!$D$39:$Q$39&amp;'Coeff EC7'!$D$40:$Q$40,0))</f>
        <v>#N/A</v>
      </c>
      <c r="P115" s="30" t="e">
        <f t="shared" si="168"/>
        <v>#N/A</v>
      </c>
      <c r="Q115" s="100" t="e">
        <f t="shared" si="133"/>
        <v>#N/A</v>
      </c>
      <c r="R115" s="86" t="b">
        <f t="shared" si="134"/>
        <v>0</v>
      </c>
      <c r="S115" s="86">
        <f t="shared" si="132"/>
        <v>0.5</v>
      </c>
      <c r="T115" s="86">
        <f t="shared" si="135"/>
        <v>0.5</v>
      </c>
      <c r="U115" s="30" t="e">
        <f t="shared" ca="1" si="169"/>
        <v>#DIV/0!</v>
      </c>
      <c r="V115" s="85" t="str">
        <f>IF(B115&lt;=Hypothèses!$V$7,Hypothèses!$W$7,IF(B115&lt;=Hypothèses!$V$8,Hypothèses!$W$8,IF(B115&lt;=Hypothèses!$V$9,Hypothèses!$W$9,IF(B115&lt;=Hypothèses!$V$10,Hypothèses!$W$10,IF(B115&lt;=Hypothèses!$V$11,Hypothèses!$W$11,IF(B115&lt;=Hypothèses!$V$12,Hypothèses!$W$12,IF(B115&lt;=Hypothèses!$V$13,Hypothèses!$W$13,IF(B115&lt;=Hypothèses!$V$14,Hypothèses!$W$14,IF(B115&lt;=Hypothèses!$V$15,Hypothèses!$W$15,IF(B115&lt;=Hypothèses!$V$16,Hypothèses!$W$16,IF(B115&lt;=Hypothèses!$V$17,Hypothèses!$W$17,IF(B115&lt;=Hypothèses!$V$18,Hypothèses!$W$18,""))))))))))))</f>
        <v/>
      </c>
      <c r="W115" s="87" t="e">
        <f t="shared" ca="1" si="216"/>
        <v>#DIV/0!</v>
      </c>
      <c r="X115" s="88" t="str">
        <f>IF(B115&lt;=Hypothèses!$V$7,Hypothèses!$X$7,IF(B115&lt;=Hypothèses!$V$8,Hypothèses!$X$8,IF(B115&lt;=Hypothèses!$V$9,Hypothèses!$X$9,IF(B115&lt;=Hypothèses!$V$10,Hypothèses!$X$10,IF(B115&lt;=Hypothèses!$V$11,Hypothèses!$X$11,IF(B115&lt;=Hypothèses!$V$12,Hypothèses!$X$12,IF(B115&lt;=Hypothèses!$V$13,Hypothèses!$X$13,IF(B115&lt;=Hypothèses!$V$14,Hypothèses!$X$14,IF(B115&lt;=Hypothèses!$V$15,Hypothèses!$X$15,IF(B115&lt;=Hypothèses!$V$16,Hypothèses!$X$16,IF(B115&lt;=Hypothèses!$U$17,Hypothèses!$W$17,IF(B115&lt;=Hypothèses!$U$18,Hypothèses!$W$18,""))))))))))))</f>
        <v/>
      </c>
      <c r="Y115" s="95" t="e">
        <f t="shared" ca="1" si="136"/>
        <v>#DIV/0!</v>
      </c>
      <c r="Z115" s="101" t="e">
        <f t="shared" si="137"/>
        <v>#N/A</v>
      </c>
      <c r="AA115" s="91" t="e">
        <f t="shared" si="138"/>
        <v>#N/A</v>
      </c>
      <c r="AB115" s="30" t="e">
        <f t="shared" si="200"/>
        <v>#N/A</v>
      </c>
      <c r="AC115" s="30" t="e">
        <f t="shared" si="201"/>
        <v>#N/A</v>
      </c>
      <c r="AD115" s="31" t="e">
        <f>IF(OR(Hypothèses!$B$4=17,Hypothèses!$B$4=18,Hypothèses!$B$4=19,Hypothèses!$B$4=20),
IF($D115="Pressio.",
IF(OR($E115=3,$E115=1,$E115=4),AC115,AB115),
IF($D115="Pénétro.",
IF(OR($E115=3,$E115=1,$E115=4),AC115,AB115))),IF($D115="Pressio.",
IF($E115=3,AC115,AB115),
IF($D115="Pénétro.",
IF($E115=4,AC115,AB115))))</f>
        <v>#N/A</v>
      </c>
      <c r="AE115" s="31" t="e">
        <f>(IF(OR(Hypothèses!$B$4=17,Hypothèses!$B$4=18,Hypothèses!$B$4=19,Hypothèses!$B$4=20),
IF($D115="Pressio.",
IF(OR($E115=3,$E115=1,$E115=4),(PI()*AE$12^2)/4*(AA115*$W115*1000)/($H115*$B$5),(PI()*AE$12^2)/4*(AA115*$W115*1000)/($G115*$B$5)),
IF($D115="Pénétro.",
IF(OR($E115=4,$E115=1,$E115=5),(PI()*AE$12^2)/4*(AA115*$W115*1000)/($H115*$B$5),(PI()*AE$12^2)/4*(AA115*$W115*1000)/($G115*$B$5)))),
IF($D115="Pressio.",
IF($E115=3,(PI()*AE$12^2)/4*(AA115*$W115*1000)/($H115*$B$5),(PI()*AE$12^2)/4*(AA115*$W115*1000)/($G115*$B$5)),
IF($D115="Pénétro.",
IF($E115=4,(PI()*AE$12^2)/4*(AA115*$W115*1000)/($H115*$B$5),(PI()*AE$12^2)/4*(AA115*$W115*1000)/($G115*$B$5))))))/10</f>
        <v>#N/A</v>
      </c>
      <c r="AF115" s="102" t="e">
        <f>(VLOOKUP($B$3,'Coeff EC7'!$T$39:$X$59,2,0)*AD115+VLOOKUP($B$3,'Coeff EC7'!$T$65:$X$85,2,0)*Model0.1C!AE115)/1.1</f>
        <v>#N/A</v>
      </c>
      <c r="AG115" s="102" t="e">
        <f>(VLOOKUP($B$3,'Coeff EC7'!$T$39:$X$59,3,0)*AD115+VLOOKUP($B$3,'Coeff EC7'!$T$65:$X$85,3,0)*Model0.1C!AE115)/0.9</f>
        <v>#N/A</v>
      </c>
      <c r="AH115" s="102" t="e">
        <f t="shared" si="139"/>
        <v>#N/A</v>
      </c>
      <c r="AI115" s="102" t="e">
        <f t="shared" si="140"/>
        <v>#N/A</v>
      </c>
      <c r="AJ115" s="414" t="e">
        <f>IF(AJ114=0,0,IF(AND(AF115&gt;charge_ELS_quasi,AG115&gt;Charge_ELS_freq,AH115&gt;charge_ELU,AI115&gt;charge_ELA,$B115&gt;NDC!$H$22-0.1+MIN(3*$AJ$12,1.5)),0,1))</f>
        <v>#N/A</v>
      </c>
      <c r="AK115" s="86" t="b">
        <f t="shared" si="141"/>
        <v>0</v>
      </c>
      <c r="AL115" s="86">
        <f t="shared" si="170"/>
        <v>0.5</v>
      </c>
      <c r="AM115" s="86">
        <f t="shared" si="142"/>
        <v>0.5</v>
      </c>
      <c r="AN115" s="30" t="e">
        <f t="shared" ca="1" si="171"/>
        <v>#DIV/0!</v>
      </c>
      <c r="AO115" s="85" t="e">
        <f ca="1">IF(U115&lt;=Hypothèses!$V$7,Hypothèses!$W$7,IF(U115&lt;=Hypothèses!$V$8,Hypothèses!$W$8,IF(U115&lt;=Hypothèses!$V$9,Hypothèses!$W$9,IF(U115&lt;=Hypothèses!$V$10,Hypothèses!$W$10,IF(U115&lt;=Hypothèses!$V$11,Hypothèses!$W$11,IF(U115&lt;=Hypothèses!$V$12,Hypothèses!$W$12,IF(U115&lt;=Hypothèses!$V$13,Hypothèses!$W$13,IF(U115&lt;=Hypothèses!$V$14,Hypothèses!$W$14,IF(U115&lt;=Hypothèses!$V$15,Hypothèses!$W$15,IF(U115&lt;=Hypothèses!$V$16,Hypothèses!$W$16,IF(U115&lt;=Hypothèses!$V$17,Hypothèses!$W$17,IF(U115&lt;=Hypothèses!$V$18,Hypothèses!$W$18,""))))))))))))</f>
        <v>#DIV/0!</v>
      </c>
      <c r="AP115" s="87" t="e">
        <f t="shared" ca="1" si="217"/>
        <v>#DIV/0!</v>
      </c>
      <c r="AQ115" s="88" t="e">
        <f ca="1">IF(U115&lt;=Hypothèses!$V$7,Hypothèses!$X$7,IF(U115&lt;=Hypothèses!$V$8,Hypothèses!$X$8,IF(U115&lt;=Hypothèses!$V$9,Hypothèses!$X$9,IF(U115&lt;=Hypothèses!$V$10,Hypothèses!$X$10,IF(U115&lt;=Hypothèses!$V$11,Hypothèses!$X$11,IF(U115&lt;=Hypothèses!$V$12,Hypothèses!$X$12,IF(U115&lt;=Hypothèses!$V$13,Hypothèses!$X$13,IF(U115&lt;=Hypothèses!$V$14,Hypothèses!$X$14,IF(U115&lt;=Hypothèses!$V$15,Hypothèses!$X$15,IF(U115&lt;=Hypothèses!$V$16,Hypothèses!$X$16,IF(U115&lt;=Hypothèses!$U$17,Hypothèses!$W$17,IF(U115&lt;=Hypothèses!$U$18,Hypothèses!$W$18,""))))))))))))</f>
        <v>#DIV/0!</v>
      </c>
      <c r="AR115" s="95" t="e">
        <f t="shared" ca="1" si="172"/>
        <v>#DIV/0!</v>
      </c>
      <c r="AS115" s="101" t="e">
        <f t="shared" si="224"/>
        <v>#N/A</v>
      </c>
      <c r="AT115" s="91" t="e">
        <f t="shared" si="143"/>
        <v>#N/A</v>
      </c>
      <c r="AU115" s="30" t="e">
        <f t="shared" si="202"/>
        <v>#N/A</v>
      </c>
      <c r="AV115" s="30" t="e">
        <f t="shared" si="203"/>
        <v>#N/A</v>
      </c>
      <c r="AW115" s="31" t="e">
        <f>IF(OR(Hypothèses!$B$4=17,Hypothèses!$B$4=18,Hypothèses!$B$4=19,Hypothèses!$B$4=20),
IF($D115="Pressio.",
IF(OR($E115=3,$E115=1,$E115=4),AV115,AU115),
IF($D115="Pénétro.",
IF(OR($E115=3,$E115=1,$E115=4),AV115,AU115))),IF($D115="Pressio.",
IF($E115=3,AV115,AU115),
IF($D115="Pénétro.",
IF($E115=4,AV115,AU115))))</f>
        <v>#N/A</v>
      </c>
      <c r="AX115" s="31" t="e">
        <f>(IF(OR(Hypothèses!$B$4=17,Hypothèses!$B$4=18,Hypothèses!$B$4=19,Hypothèses!$B$4=20),
IF($D115="Pressio.",
IF(OR($E115=3,$E115=1,$E115=4),(PI()*AX$12^2)/4*(AT115*$W115*1000)/($H115*$B$5),(PI()*AX$12^2)/4*(AT115*$W115*1000)/($G115*$B$5)),
IF($D115="Pénétro.",
IF(OR($E115=4,$E115=1,$E115=5),(PI()*AX$12^2)/4*(AT115*$W115*1000)/($H115*$B$5),(PI()*AX$12^2)/4*(AT115*$W115*1000)/($G115*$B$5)))),
IF($D115="Pressio.",
IF($E115=3,(PI()*AX$12^2)/4*(AT115*$W115*1000)/($H115*$B$5),(PI()*AX$12^2)/4*(AT115*$W115*1000)/($G115*$B$5)),
IF($D115="Pénétro.",
IF($E115=4,(PI()*AX$12^2)/4*(AT115*$W115*1000)/($H115*$B$5),(PI()*AX$12^2)/4*(AT115*$W115*1000)/($G115*$B$5))))))/10</f>
        <v>#N/A</v>
      </c>
      <c r="AY115" s="102" t="e">
        <f>(VLOOKUP($B$3,'Coeff EC7'!$T$39:$X$59,2,0)*AW115+VLOOKUP($B$3,'Coeff EC7'!$T$65:$X$85,2,0)*Model0.1C!AX115)/1.1</f>
        <v>#N/A</v>
      </c>
      <c r="AZ115" s="102" t="e">
        <f>(VLOOKUP($B$3,'Coeff EC7'!$T$39:$X$59,3,0)*AW115+VLOOKUP($B$3,'Coeff EC7'!$T$65:$X$85,3,0)*Model0.1C!AX115)/0.9</f>
        <v>#N/A</v>
      </c>
      <c r="BA115" s="102" t="e">
        <f t="shared" si="173"/>
        <v>#N/A</v>
      </c>
      <c r="BB115" s="102" t="e">
        <f t="shared" si="174"/>
        <v>#N/A</v>
      </c>
      <c r="BC115" s="414" t="e">
        <f>IF(BC114=0,0,IF(AND(AY115&gt;charge_ELS_quasi,AZ115&gt;Charge_ELS_freq,BA115&gt;charge_ELU,BB115&gt;charge_ELA,$B115&gt;NDC!$H$22-0.1+MIN(3*$BC$12,1.5)),0,1))</f>
        <v>#N/A</v>
      </c>
      <c r="BD115" s="86" t="b">
        <f t="shared" si="144"/>
        <v>0</v>
      </c>
      <c r="BE115" s="86">
        <f t="shared" si="175"/>
        <v>0.5</v>
      </c>
      <c r="BF115" s="86">
        <f t="shared" si="145"/>
        <v>0.5</v>
      </c>
      <c r="BG115" s="30" t="e">
        <f t="shared" ca="1" si="176"/>
        <v>#DIV/0!</v>
      </c>
      <c r="BH115" s="85" t="e">
        <f ca="1">IF(AN115&lt;=Hypothèses!$V$7,Hypothèses!$W$7,IF(AN115&lt;=Hypothèses!$V$8,Hypothèses!$W$8,IF(AN115&lt;=Hypothèses!$V$9,Hypothèses!$W$9,IF(AN115&lt;=Hypothèses!$V$10,Hypothèses!$W$10,IF(AN115&lt;=Hypothèses!$V$11,Hypothèses!$W$11,IF(AN115&lt;=Hypothèses!$V$12,Hypothèses!$W$12,IF(AN115&lt;=Hypothèses!$V$13,Hypothèses!$W$13,IF(AN115&lt;=Hypothèses!$V$14,Hypothèses!$W$14,IF(AN115&lt;=Hypothèses!$V$15,Hypothèses!$W$15,IF(AN115&lt;=Hypothèses!$V$16,Hypothèses!$W$16,IF(AN115&lt;=Hypothèses!$V$17,Hypothèses!$W$17,IF(AN115&lt;=Hypothèses!$V$18,Hypothèses!$W$18,""))))))))))))</f>
        <v>#DIV/0!</v>
      </c>
      <c r="BI115" s="87" t="e">
        <f t="shared" ca="1" si="218"/>
        <v>#DIV/0!</v>
      </c>
      <c r="BJ115" s="88" t="e">
        <f ca="1">IF(AN115&lt;=Hypothèses!$V$7,Hypothèses!$X$7,IF(AN115&lt;=Hypothèses!$V$8,Hypothèses!$X$8,IF(AN115&lt;=Hypothèses!$V$9,Hypothèses!$X$9,IF(AN115&lt;=Hypothèses!$V$10,Hypothèses!$X$10,IF(AN115&lt;=Hypothèses!$V$11,Hypothèses!$X$11,IF(AN115&lt;=Hypothèses!$V$12,Hypothèses!$X$12,IF(AN115&lt;=Hypothèses!$V$13,Hypothèses!$X$13,IF(AN115&lt;=Hypothèses!$V$14,Hypothèses!$X$14,IF(AN115&lt;=Hypothèses!$V$15,Hypothèses!$X$15,IF(AN115&lt;=Hypothèses!$V$16,Hypothèses!$X$16,IF(AN115&lt;=Hypothèses!$U$17,Hypothèses!$W$17,IF(AN115&lt;=Hypothèses!$U$18,Hypothèses!$W$18,""))))))))))))</f>
        <v>#DIV/0!</v>
      </c>
      <c r="BK115" s="95" t="e">
        <f t="shared" ca="1" si="177"/>
        <v>#DIV/0!</v>
      </c>
      <c r="BL115" s="101" t="e">
        <f t="shared" si="225"/>
        <v>#N/A</v>
      </c>
      <c r="BM115" s="91" t="e">
        <f t="shared" si="146"/>
        <v>#N/A</v>
      </c>
      <c r="BN115" s="30" t="e">
        <f t="shared" si="204"/>
        <v>#N/A</v>
      </c>
      <c r="BO115" s="30" t="e">
        <f t="shared" si="205"/>
        <v>#N/A</v>
      </c>
      <c r="BP115" s="31" t="e">
        <f>IF(OR(Hypothèses!$B$4=17,Hypothèses!$B$4=18,Hypothèses!$B$4=19,Hypothèses!$B$4=20),
IF($D115="Pressio.",
IF(OR($E115=3,$E115=1,$E115=4),BO115,BN115),
IF($D115="Pénétro.",
IF(OR($E115=3,$E115=1,$E115=4),BO115,BN115))),IF($D115="Pressio.",
IF($E115=3,BO115,BN115),
IF($D115="Pénétro.",
IF($E115=4,BO115,BN115))))</f>
        <v>#N/A</v>
      </c>
      <c r="BQ115" s="31" t="e">
        <f>(IF(OR(Hypothèses!$B$4=17,Hypothèses!$B$4=18,Hypothèses!$B$4=19,Hypothèses!$B$4=20),
IF($D115="Pressio.",
IF(OR($E115=3,$E115=1,$E115=4),(PI()*BQ$12^2)/4*(BM115*$W115*1000)/($H115*$B$5),(PI()*BQ$12^2)/4*(BM115*$W115*1000)/($G115*$B$5)),
IF($D115="Pénétro.",
IF(OR($E115=4,$E115=1,$E115=5),(PI()*BQ$12^2)/4*(BM115*$W115*1000)/($H115*$B$5),(PI()*BQ$12^2)/4*(BM115*$W115*1000)/($G115*$B$5)))),
IF($D115="Pressio.",
IF($E115=3,(PI()*BQ$12^2)/4*(BM115*$W115*1000)/($H115*$B$5),(PI()*BQ$12^2)/4*(BM115*$W115*1000)/($G115*$B$5)),
IF($D115="Pénétro.",
IF($E115=4,(PI()*BQ$12^2)/4*(BM115*$W115*1000)/($H115*$B$5),(PI()*BQ$12^2)/4*(BM115*$W115*1000)/($G115*$B$5))))))/10</f>
        <v>#N/A</v>
      </c>
      <c r="BR115" s="102" t="e">
        <f>(VLOOKUP($B$3,'Coeff EC7'!$T$39:$X$59,2,0)*BP115+VLOOKUP($B$3,'Coeff EC7'!$T$65:$X$85,2,0)*Model0.1C!BQ115)/1.1</f>
        <v>#N/A</v>
      </c>
      <c r="BS115" s="102" t="e">
        <f>(VLOOKUP($B$3,'Coeff EC7'!$T$39:$X$59,3,0)*BP115+VLOOKUP($B$3,'Coeff EC7'!$T$65:$X$85,3,0)*Model0.1C!BQ115)/0.9</f>
        <v>#N/A</v>
      </c>
      <c r="BT115" s="102" t="e">
        <f t="shared" si="178"/>
        <v>#N/A</v>
      </c>
      <c r="BU115" s="102" t="e">
        <f t="shared" si="179"/>
        <v>#N/A</v>
      </c>
      <c r="BV115" s="414" t="e">
        <f>IF(BV114=0,0,IF(AND(BR115&gt;charge_ELS_quasi,BS115&gt;Charge_ELS_freq,BT115&gt;charge_ELU,BU115&gt;charge_ELA,$B115&gt;NDC!$H$22-0.1+MIN(3*$BV$12,1.5)),0,1))</f>
        <v>#N/A</v>
      </c>
      <c r="BW115" s="86" t="b">
        <f t="shared" si="147"/>
        <v>0</v>
      </c>
      <c r="BX115" s="86">
        <f t="shared" si="148"/>
        <v>0.5</v>
      </c>
      <c r="BY115" s="86">
        <f t="shared" si="149"/>
        <v>0.5</v>
      </c>
      <c r="BZ115" s="30" t="e">
        <f t="shared" ca="1" si="180"/>
        <v>#DIV/0!</v>
      </c>
      <c r="CA115" s="85" t="e">
        <f ca="1">IF(BG115&lt;=Hypothèses!$V$7,Hypothèses!$W$7,IF(BG115&lt;=Hypothèses!$V$8,Hypothèses!$W$8,IF(BG115&lt;=Hypothèses!$V$9,Hypothèses!$W$9,IF(BG115&lt;=Hypothèses!$V$10,Hypothèses!$W$10,IF(BG115&lt;=Hypothèses!$V$11,Hypothèses!$W$11,IF(BG115&lt;=Hypothèses!$V$12,Hypothèses!$W$12,IF(BG115&lt;=Hypothèses!$V$13,Hypothèses!$W$13,IF(BG115&lt;=Hypothèses!$V$14,Hypothèses!$W$14,IF(BG115&lt;=Hypothèses!$V$15,Hypothèses!$W$15,IF(BG115&lt;=Hypothèses!$V$16,Hypothèses!$W$16,IF(BG115&lt;=Hypothèses!$V$17,Hypothèses!$W$17,IF(BG115&lt;=Hypothèses!$V$18,Hypothèses!$W$18,""))))))))))))</f>
        <v>#DIV/0!</v>
      </c>
      <c r="CB115" s="87" t="e">
        <f t="shared" ca="1" si="219"/>
        <v>#DIV/0!</v>
      </c>
      <c r="CC115" s="88" t="e">
        <f ca="1">IF(BG115&lt;=Hypothèses!$V$7,Hypothèses!$X$7,IF(BG115&lt;=Hypothèses!$V$8,Hypothèses!$X$8,IF(BG115&lt;=Hypothèses!$V$9,Hypothèses!$X$9,IF(BG115&lt;=Hypothèses!$V$10,Hypothèses!$X$10,IF(BG115&lt;=Hypothèses!$V$11,Hypothèses!$X$11,IF(BG115&lt;=Hypothèses!$V$12,Hypothèses!$X$12,IF(BG115&lt;=Hypothèses!$V$13,Hypothèses!$X$13,IF(BG115&lt;=Hypothèses!$V$14,Hypothèses!$X$14,IF(BG115&lt;=Hypothèses!$V$15,Hypothèses!$X$15,IF(BG115&lt;=Hypothèses!$V$16,Hypothèses!$X$16,IF(BG115&lt;=Hypothèses!$U$17,Hypothèses!$W$17,IF(BG115&lt;=Hypothèses!$U$18,Hypothèses!$W$18,""))))))))))))</f>
        <v>#DIV/0!</v>
      </c>
      <c r="CD115" s="95" t="e">
        <f t="shared" ca="1" si="181"/>
        <v>#DIV/0!</v>
      </c>
      <c r="CE115" s="101" t="e">
        <f t="shared" si="226"/>
        <v>#N/A</v>
      </c>
      <c r="CF115" s="91" t="e">
        <f t="shared" si="150"/>
        <v>#N/A</v>
      </c>
      <c r="CG115" s="30" t="e">
        <f t="shared" si="206"/>
        <v>#N/A</v>
      </c>
      <c r="CH115" s="30" t="e">
        <f t="shared" si="207"/>
        <v>#N/A</v>
      </c>
      <c r="CI115" s="31" t="e">
        <f>IF(OR(Hypothèses!$B$4=17,Hypothèses!$B$4=18,Hypothèses!$B$4=19,Hypothèses!$B$4=20),
IF($D115="Pressio.",
IF(OR($E115=3,$E115=1,$E115=4),CH115,CG115),
IF($D115="Pénétro.",
IF(OR($E115=3,$E115=1,$E115=4),CH115,CG115))),IF($D115="Pressio.",
IF($E115=3,CH115,CG115),
IF($D115="Pénétro.",
IF($E115=4,CH115,CG115))))</f>
        <v>#N/A</v>
      </c>
      <c r="CJ115" s="31" t="e">
        <f>(IF(OR(Hypothèses!$B$4=17,Hypothèses!$B$4=18,Hypothèses!$B$4=19,Hypothèses!$B$4=20),
IF($D115="Pressio.",
IF(OR($E115=3,$E115=1,$E115=4),(PI()*CJ$12^2)/4*(CF115*$W115*1000)/($H115*$B$5),(PI()*CJ$12^2)/4*(CF115*$W115*1000)/($G115*$B$5)),
IF($D115="Pénétro.",
IF(OR($E115=4,$E115=1,$E115=5),(PI()*CJ$12^2)/4*(CF115*$W115*1000)/($H115*$B$5),(PI()*CJ$12^2)/4*(CF115*$W115*1000)/($G115*$B$5)))),
IF($D115="Pressio.",
IF($E115=3,(PI()*CJ$12^2)/4*(CF115*$W115*1000)/($H115*$B$5),(PI()*CJ$12^2)/4*(CF115*$W115*1000)/($G115*$B$5)),
IF($D115="Pénétro.",
IF($E115=4,(PI()*CJ$12^2)/4*(CF115*$W115*1000)/($H115*$B$5),(PI()*CJ$12^2)/4*(CF115*$W115*1000)/($G115*$B$5))))))/10</f>
        <v>#N/A</v>
      </c>
      <c r="CK115" s="102" t="e">
        <f>(VLOOKUP($B$3,'Coeff EC7'!$T$39:$X$59,2,0)*CI115+VLOOKUP($B$3,'Coeff EC7'!$T$65:$X$85,2,0)*Model0.1C!CJ115)/1.1</f>
        <v>#N/A</v>
      </c>
      <c r="CL115" s="102" t="e">
        <f>(VLOOKUP($B$3,'Coeff EC7'!$T$39:$X$59,3,0)*CI115+VLOOKUP($B$3,'Coeff EC7'!$T$65:$X$85,3,0)*Model0.1C!CJ115)/0.9</f>
        <v>#N/A</v>
      </c>
      <c r="CM115" s="102" t="e">
        <f t="shared" si="182"/>
        <v>#N/A</v>
      </c>
      <c r="CN115" s="102" t="e">
        <f t="shared" si="183"/>
        <v>#N/A</v>
      </c>
      <c r="CO115" s="414" t="e">
        <f>IF(CO114=0,0,IF(AND(CK115&gt;charge_ELS_quasi,CL115&gt;Charge_ELS_freq,CM115&gt;charge_ELU,CN115&gt;charge_ELA,$B115&gt;NDC!$H$22-0.1+MIN(3*$CO$12,1.5)),0,1))</f>
        <v>#N/A</v>
      </c>
      <c r="CP115" s="86" t="b">
        <f t="shared" si="151"/>
        <v>0</v>
      </c>
      <c r="CQ115" s="86">
        <f t="shared" si="152"/>
        <v>0.5</v>
      </c>
      <c r="CR115" s="86">
        <f t="shared" si="153"/>
        <v>0.5</v>
      </c>
      <c r="CS115" s="30" t="e">
        <f t="shared" ca="1" si="184"/>
        <v>#DIV/0!</v>
      </c>
      <c r="CT115" s="85" t="e">
        <f ca="1">IF(BZ115&lt;=Hypothèses!$V$7,Hypothèses!$W$7,IF(BZ115&lt;=Hypothèses!$V$8,Hypothèses!$W$8,IF(BZ115&lt;=Hypothèses!$V$9,Hypothèses!$W$9,IF(BZ115&lt;=Hypothèses!$V$10,Hypothèses!$W$10,IF(BZ115&lt;=Hypothèses!$V$11,Hypothèses!$W$11,IF(BZ115&lt;=Hypothèses!$V$12,Hypothèses!$W$12,IF(BZ115&lt;=Hypothèses!$V$13,Hypothèses!$W$13,IF(BZ115&lt;=Hypothèses!$V$14,Hypothèses!$W$14,IF(BZ115&lt;=Hypothèses!$V$15,Hypothèses!$W$15,IF(BZ115&lt;=Hypothèses!$V$16,Hypothèses!$W$16,IF(BZ115&lt;=Hypothèses!$V$17,Hypothèses!$W$17,IF(BZ115&lt;=Hypothèses!$V$18,Hypothèses!$W$18,""))))))))))))</f>
        <v>#DIV/0!</v>
      </c>
      <c r="CU115" s="87" t="e">
        <f t="shared" ca="1" si="220"/>
        <v>#DIV/0!</v>
      </c>
      <c r="CV115" s="88" t="e">
        <f ca="1">IF(BZ115&lt;=Hypothèses!$V$7,Hypothèses!$X$7,IF(BZ115&lt;=Hypothèses!$V$8,Hypothèses!$X$8,IF(BZ115&lt;=Hypothèses!$V$9,Hypothèses!$X$9,IF(BZ115&lt;=Hypothèses!$V$10,Hypothèses!$X$10,IF(BZ115&lt;=Hypothèses!$V$11,Hypothèses!$X$11,IF(BZ115&lt;=Hypothèses!$V$12,Hypothèses!$X$12,IF(BZ115&lt;=Hypothèses!$V$13,Hypothèses!$X$13,IF(BZ115&lt;=Hypothèses!$V$14,Hypothèses!$X$14,IF(BZ115&lt;=Hypothèses!$V$15,Hypothèses!$X$15,IF(BZ115&lt;=Hypothèses!$V$16,Hypothèses!$X$16,IF(BZ115&lt;=Hypothèses!$U$17,Hypothèses!$W$17,IF(BZ115&lt;=Hypothèses!$U$18,Hypothèses!$W$18,""))))))))))))</f>
        <v>#DIV/0!</v>
      </c>
      <c r="CW115" s="95" t="e">
        <f t="shared" ca="1" si="185"/>
        <v>#DIV/0!</v>
      </c>
      <c r="CX115" s="101" t="e">
        <f t="shared" si="227"/>
        <v>#N/A</v>
      </c>
      <c r="CY115" s="91" t="e">
        <f t="shared" si="154"/>
        <v>#N/A</v>
      </c>
      <c r="CZ115" s="30" t="e">
        <f t="shared" si="208"/>
        <v>#N/A</v>
      </c>
      <c r="DA115" s="30" t="e">
        <f t="shared" si="209"/>
        <v>#N/A</v>
      </c>
      <c r="DB115" s="31" t="e">
        <f>IF(OR(Hypothèses!$B$4=17,Hypothèses!$B$4=18,Hypothèses!$B$4=19,Hypothèses!$B$4=20),
IF($D115="Pressio.",
IF(OR($E115=3,$E115=1,$E115=4),DA115,CZ115),
IF($D115="Pénétro.",
IF(OR($E115=3,$E115=1,$E115=4),DA115,CZ115))),IF($D115="Pressio.",
IF($E115=3,DA115,CZ115),
IF($D115="Pénétro.",
IF($E115=4,DA115,CZ115))))</f>
        <v>#N/A</v>
      </c>
      <c r="DC115" s="31" t="e">
        <f>(IF(OR(Hypothèses!$B$4=17,Hypothèses!$B$4=18,Hypothèses!$B$4=19,Hypothèses!$B$4=20),
IF($D115="Pressio.",
IF(OR($E115=3,$E115=1,$E115=4),(PI()*DC$12^2)/4*(CY115*$W115*1000)/($H115*$B$5),(PI()*DC$12^2)/4*(CY115*$W115*1000)/($G115*$B$5)),
IF($D115="Pénétro.",
IF(OR($E115=4,$E115=1,$E115=5),(PI()*DC$12^2)/4*(CY115*$W115*1000)/($H115*$B$5),(PI()*DC$12^2)/4*(CY115*$W115*1000)/($G115*$B$5)))),
IF($D115="Pressio.",
IF($E115=3,(PI()*DC$12^2)/4*(CY115*$W115*1000)/($H115*$B$5),(PI()*DC$12^2)/4*(CY115*$W115*1000)/($G115*$B$5)),
IF($D115="Pénétro.",
IF($E115=4,(PI()*DC$12^2)/4*(CY115*$W115*1000)/($H115*$B$5),(PI()*DC$12^2)/4*(CY115*$W115*1000)/($G115*$B$5))))))/10</f>
        <v>#N/A</v>
      </c>
      <c r="DD115" s="102" t="e">
        <f>(VLOOKUP($B$3,'Coeff EC7'!$T$39:$X$59,2,0)*DB115+VLOOKUP($B$3,'Coeff EC7'!$T$65:$X$85,2,0)*Model0.1C!DC115)/1.1</f>
        <v>#N/A</v>
      </c>
      <c r="DE115" s="102" t="e">
        <f>(VLOOKUP($B$3,'Coeff EC7'!$T$39:$X$59,3,0)*DB115+VLOOKUP($B$3,'Coeff EC7'!$T$65:$X$85,3,0)*Model0.1C!DC115)/0.9</f>
        <v>#N/A</v>
      </c>
      <c r="DF115" s="102" t="e">
        <f t="shared" si="186"/>
        <v>#N/A</v>
      </c>
      <c r="DG115" s="102" t="e">
        <f t="shared" si="187"/>
        <v>#N/A</v>
      </c>
      <c r="DH115" s="414" t="e">
        <f>IF(DH114=0,0,IF(AND(DD115&gt;charge_ELS_quasi,DE115&gt;Charge_ELS_freq,DF115&gt;charge_ELU,DG115&gt;charge_ELA,$B115&gt;NDC!$H$22-0.1+MIN(3*$DH$12,1.5)),0,1))</f>
        <v>#N/A</v>
      </c>
      <c r="DI115" s="86" t="b">
        <f t="shared" si="155"/>
        <v>0</v>
      </c>
      <c r="DJ115" s="86">
        <f t="shared" si="156"/>
        <v>0.5</v>
      </c>
      <c r="DK115" s="86">
        <f t="shared" si="157"/>
        <v>0.5</v>
      </c>
      <c r="DL115" s="30" t="e">
        <f t="shared" ca="1" si="188"/>
        <v>#DIV/0!</v>
      </c>
      <c r="DM115" s="85" t="e">
        <f ca="1">IF(CS115&lt;=Hypothèses!$V$7,Hypothèses!$W$7,IF(CS115&lt;=Hypothèses!$V$8,Hypothèses!$W$8,IF(CS115&lt;=Hypothèses!$V$9,Hypothèses!$W$9,IF(CS115&lt;=Hypothèses!$V$10,Hypothèses!$W$10,IF(CS115&lt;=Hypothèses!$V$11,Hypothèses!$W$11,IF(CS115&lt;=Hypothèses!$V$12,Hypothèses!$W$12,IF(CS115&lt;=Hypothèses!$V$13,Hypothèses!$W$13,IF(CS115&lt;=Hypothèses!$V$14,Hypothèses!$W$14,IF(CS115&lt;=Hypothèses!$V$15,Hypothèses!$W$15,IF(CS115&lt;=Hypothèses!$V$16,Hypothèses!$W$16,IF(CS115&lt;=Hypothèses!$V$17,Hypothèses!$W$17,IF(CS115&lt;=Hypothèses!$V$18,Hypothèses!$W$18,""))))))))))))</f>
        <v>#DIV/0!</v>
      </c>
      <c r="DN115" s="87" t="e">
        <f t="shared" ca="1" si="221"/>
        <v>#DIV/0!</v>
      </c>
      <c r="DO115" s="88" t="e">
        <f ca="1">IF(CS115&lt;=Hypothèses!$V$7,Hypothèses!$X$7,IF(CS115&lt;=Hypothèses!$V$8,Hypothèses!$X$8,IF(CS115&lt;=Hypothèses!$V$9,Hypothèses!$X$9,IF(CS115&lt;=Hypothèses!$V$10,Hypothèses!$X$10,IF(CS115&lt;=Hypothèses!$V$11,Hypothèses!$X$11,IF(CS115&lt;=Hypothèses!$V$12,Hypothèses!$X$12,IF(CS115&lt;=Hypothèses!$V$13,Hypothèses!$X$13,IF(CS115&lt;=Hypothèses!$V$14,Hypothèses!$X$14,IF(CS115&lt;=Hypothèses!$V$15,Hypothèses!$X$15,IF(CS115&lt;=Hypothèses!$V$16,Hypothèses!$X$16,IF(CS115&lt;=Hypothèses!$U$17,Hypothèses!$W$17,IF(CS115&lt;=Hypothèses!$U$18,Hypothèses!$W$18,""))))))))))))</f>
        <v>#DIV/0!</v>
      </c>
      <c r="DP115" s="95" t="e">
        <f t="shared" ca="1" si="189"/>
        <v>#DIV/0!</v>
      </c>
      <c r="DQ115" s="101" t="e">
        <f t="shared" si="228"/>
        <v>#N/A</v>
      </c>
      <c r="DR115" s="91" t="e">
        <f t="shared" si="158"/>
        <v>#N/A</v>
      </c>
      <c r="DS115" s="30" t="e">
        <f t="shared" si="210"/>
        <v>#N/A</v>
      </c>
      <c r="DT115" s="30" t="e">
        <f t="shared" si="211"/>
        <v>#N/A</v>
      </c>
      <c r="DU115" s="31" t="e">
        <f>IF(OR(Hypothèses!$B$4=17,Hypothèses!$B$4=18,Hypothèses!$B$4=19,Hypothèses!$B$4=20),
IF($D115="Pressio.",
IF(OR($E115=3,$E115=1,$E115=4),DT115,DS115),
IF($D115="Pénétro.",
IF(OR($E115=3,$E115=1,$E115=4),DT115,DS115))),IF($D115="Pressio.",
IF($E115=3,DT115,DS115),
IF($D115="Pénétro.",
IF($E115=4,DT115,DS115))))</f>
        <v>#N/A</v>
      </c>
      <c r="DV115" s="31" t="e">
        <f>(IF(OR(Hypothèses!$B$4=17,Hypothèses!$B$4=18,Hypothèses!$B$4=19,Hypothèses!$B$4=20),
IF($D115="Pressio.",
IF(OR($E115=3,$E115=1,$E115=4),(PI()*DV$12^2)/4*(DR115*$W115*1000)/($H115*$B$5),(PI()*DV$12^2)/4*(DR115*$W115*1000)/($G115*$B$5)),
IF($D115="Pénétro.",
IF(OR($E115=4,$E115=1,$E115=5),(PI()*DV$12^2)/4*(DR115*$W115*1000)/($H115*$B$5),(PI()*DV$12^2)/4*(DR115*$W115*1000)/($G115*$B$5)))),
IF($D115="Pressio.",
IF($E115=3,(PI()*DV$12^2)/4*(DR115*$W115*1000)/($H115*$B$5),(PI()*DV$12^2)/4*(DR115*$W115*1000)/($G115*$B$5)),
IF($D115="Pénétro.",
IF($E115=4,(PI()*DV$12^2)/4*(DR115*$W115*1000)/($H115*$B$5),(PI()*DV$12^2)/4*(DR115*$W115*1000)/($G115*$B$5))))))/10</f>
        <v>#N/A</v>
      </c>
      <c r="DW115" s="102" t="e">
        <f>(VLOOKUP($B$3,'Coeff EC7'!$T$39:$X$59,2,0)*DU115+VLOOKUP($B$3,'Coeff EC7'!$T$65:$X$85,2,0)*Model0.1C!DV115)/1.1</f>
        <v>#N/A</v>
      </c>
      <c r="DX115" s="102" t="e">
        <f>(VLOOKUP($B$3,'Coeff EC7'!$T$39:$X$59,3,0)*DU115+VLOOKUP($B$3,'Coeff EC7'!$T$65:$X$85,3,0)*Model0.1C!DV115)/0.9</f>
        <v>#N/A</v>
      </c>
      <c r="DY115" s="102" t="e">
        <f t="shared" si="190"/>
        <v>#N/A</v>
      </c>
      <c r="DZ115" s="102" t="e">
        <f t="shared" si="191"/>
        <v>#N/A</v>
      </c>
      <c r="EA115" s="414" t="e">
        <f>IF(EA114=0,0,IF(AND(DW115&gt;charge_ELS_quasi,DX115&gt;Charge_ELS_freq,DY115&gt;charge_ELU,DZ115&gt;charge_ELA,$B115&gt;NDC!$H$22-0.1+MIN(3*$EA$12,1.5)),0,1))</f>
        <v>#N/A</v>
      </c>
      <c r="EB115" s="86" t="b">
        <f t="shared" si="159"/>
        <v>0</v>
      </c>
      <c r="EC115" s="418">
        <f t="shared" si="160"/>
        <v>0.51</v>
      </c>
      <c r="ED115" s="86">
        <f t="shared" si="161"/>
        <v>0.51</v>
      </c>
      <c r="EE115" s="30" t="e">
        <f t="shared" ca="1" si="192"/>
        <v>#DIV/0!</v>
      </c>
      <c r="EF115" s="85" t="e">
        <f ca="1">IF(DL115&lt;=Hypothèses!$V$7,Hypothèses!$W$7,IF(DL115&lt;=Hypothèses!$V$8,Hypothèses!$W$8,IF(DL115&lt;=Hypothèses!$V$9,Hypothèses!$W$9,IF(DL115&lt;=Hypothèses!$V$10,Hypothèses!$W$10,IF(DL115&lt;=Hypothèses!$V$11,Hypothèses!$W$11,IF(DL115&lt;=Hypothèses!$V$12,Hypothèses!$W$12,IF(DL115&lt;=Hypothèses!$V$13,Hypothèses!$W$13,IF(DL115&lt;=Hypothèses!$V$14,Hypothèses!$W$14,IF(DL115&lt;=Hypothèses!$V$15,Hypothèses!$W$15,IF(DL115&lt;=Hypothèses!$V$16,Hypothèses!$W$16,IF(DL115&lt;=Hypothèses!$V$17,Hypothèses!$W$17,IF(DL115&lt;=Hypothèses!$V$18,Hypothèses!$W$18,""))))))))))))</f>
        <v>#DIV/0!</v>
      </c>
      <c r="EG115" s="87" t="e">
        <f t="shared" ca="1" si="222"/>
        <v>#DIV/0!</v>
      </c>
      <c r="EH115" s="88" t="e">
        <f ca="1">IF(DL115&lt;=Hypothèses!$V$7,Hypothèses!$X$7,IF(DL115&lt;=Hypothèses!$V$8,Hypothèses!$X$8,IF(DL115&lt;=Hypothèses!$V$9,Hypothèses!$X$9,IF(DL115&lt;=Hypothèses!$V$10,Hypothèses!$X$10,IF(DL115&lt;=Hypothèses!$V$11,Hypothèses!$X$11,IF(DL115&lt;=Hypothèses!$V$12,Hypothèses!$X$12,IF(DL115&lt;=Hypothèses!$V$13,Hypothèses!$X$13,IF(DL115&lt;=Hypothèses!$V$14,Hypothèses!$X$14,IF(DL115&lt;=Hypothèses!$V$15,Hypothèses!$X$15,IF(DL115&lt;=Hypothèses!$V$16,Hypothèses!$X$16,IF(DL115&lt;=Hypothèses!$U$17,Hypothèses!$W$17,IF(DL115&lt;=Hypothèses!$U$18,Hypothèses!$W$18,""))))))))))))</f>
        <v>#DIV/0!</v>
      </c>
      <c r="EI115" s="95" t="e">
        <f t="shared" ca="1" si="193"/>
        <v>#DIV/0!</v>
      </c>
      <c r="EJ115" s="101" t="e">
        <f t="shared" si="229"/>
        <v>#N/A</v>
      </c>
      <c r="EK115" s="91" t="e">
        <f t="shared" si="162"/>
        <v>#N/A</v>
      </c>
      <c r="EL115" s="30" t="e">
        <f t="shared" si="212"/>
        <v>#N/A</v>
      </c>
      <c r="EM115" s="30" t="e">
        <f t="shared" si="213"/>
        <v>#N/A</v>
      </c>
      <c r="EN115" s="31" t="e">
        <f>IF(OR(Hypothèses!$B$4=17,Hypothèses!$B$4=18,Hypothèses!$B$4=19,Hypothèses!$B$4=20),
IF($D115="Pressio.",
IF(OR($E115=3,$E115=1,$E115=4),EM115,EL115),
IF($D115="Pénétro.",
IF(OR($E115=3,$E115=1,$E115=4),EM115,EL115))),IF($D115="Pressio.",
IF($E115=3,EM115,EL115),
IF($D115="Pénétro.",
IF($E115=4,EM115,EL115))))</f>
        <v>#N/A</v>
      </c>
      <c r="EO115" s="31" t="e">
        <f>(IF(OR(Hypothèses!$B$4=17,Hypothèses!$B$4=18,Hypothèses!$B$4=19,Hypothèses!$B$4=20),
IF($D115="Pressio.",
IF(OR($E115=3,$E115=1,$E115=4),(PI()*EO$12^2)/4*(EK115*$W115*1000)/($H115*$B$5),(PI()*EO$12^2)/4*(EK115*$W115*1000)/($G115*$B$5)),
IF($D115="Pénétro.",
IF(OR($E115=4,$E115=1,$E115=5),(PI()*EO$12^2)/4*(EK115*$W115*1000)/($H115*$B$5),(PI()*EO$12^2)/4*(EK115*$W115*1000)/($G115*$B$5)))),
IF($D115="Pressio.",
IF($E115=3,(PI()*EO$12^2)/4*(EK115*$W115*1000)/($H115*$B$5),(PI()*EO$12^2)/4*(EK115*$W115*1000)/($G115*$B$5)),
IF($D115="Pénétro.",
IF($E115=4,(PI()*EO$12^2)/4*(EK115*$W115*1000)/($H115*$B$5),(PI()*EO$12^2)/4*(EK115*$W115*1000)/($G115*$B$5))))))/10</f>
        <v>#N/A</v>
      </c>
      <c r="EP115" s="102" t="e">
        <f>(VLOOKUP($B$3,'Coeff EC7'!$T$39:$X$59,2,0)*EN115+VLOOKUP($B$3,'Coeff EC7'!$T$65:$X$85,2,0)*Model0.1C!EO115)/1.1</f>
        <v>#N/A</v>
      </c>
      <c r="EQ115" s="102" t="e">
        <f>(VLOOKUP($B$3,'Coeff EC7'!$T$39:$X$59,3,0)*EN115+VLOOKUP($B$3,'Coeff EC7'!$T$65:$X$85,3,0)*Model0.1C!EO115)/0.9</f>
        <v>#N/A</v>
      </c>
      <c r="ER115" s="102" t="e">
        <f t="shared" si="194"/>
        <v>#N/A</v>
      </c>
      <c r="ES115" s="102" t="e">
        <f t="shared" si="195"/>
        <v>#N/A</v>
      </c>
      <c r="ET115" s="414" t="e">
        <f>IF(ET114=0,0,IF(AND(EP115&gt;charge_ELS_quasi,EQ115&gt;Charge_ELS_freq,ER115&gt;charge_ELU,ES115&gt;charge_ELA,$B115&gt;NDC!$H$22-0.1+MIN(3*$ET$12,1.5)),0,1))</f>
        <v>#N/A</v>
      </c>
      <c r="EU115" s="86" t="b">
        <f t="shared" si="163"/>
        <v>0</v>
      </c>
      <c r="EV115" s="86">
        <f t="shared" si="164"/>
        <v>0.61</v>
      </c>
      <c r="EW115" s="86">
        <f t="shared" si="165"/>
        <v>0.61</v>
      </c>
      <c r="EX115" s="30" t="e">
        <f t="shared" ca="1" si="196"/>
        <v>#DIV/0!</v>
      </c>
      <c r="EY115" s="85" t="e">
        <f ca="1">IF(EE115&lt;=Hypothèses!$V$7,Hypothèses!$W$7,IF(EE115&lt;=Hypothèses!$V$8,Hypothèses!$W$8,IF(EE115&lt;=Hypothèses!$V$9,Hypothèses!$W$9,IF(EE115&lt;=Hypothèses!$V$10,Hypothèses!$W$10,IF(EE115&lt;=Hypothèses!$V$11,Hypothèses!$W$11,IF(EE115&lt;=Hypothèses!$V$12,Hypothèses!$W$12,IF(EE115&lt;=Hypothèses!$V$13,Hypothèses!$W$13,IF(EE115&lt;=Hypothèses!$V$14,Hypothèses!$W$14,IF(EE115&lt;=Hypothèses!$V$15,Hypothèses!$W$15,IF(EE115&lt;=Hypothèses!$V$16,Hypothèses!$W$16,IF(EE115&lt;=Hypothèses!$V$17,Hypothèses!$W$17,IF(EE115&lt;=Hypothèses!$V$18,Hypothèses!$W$18,""))))))))))))</f>
        <v>#DIV/0!</v>
      </c>
      <c r="EZ115" s="87" t="e">
        <f t="shared" ca="1" si="223"/>
        <v>#DIV/0!</v>
      </c>
      <c r="FA115" s="88" t="e">
        <f ca="1">IF(EE115&lt;=Hypothèses!$V$7,Hypothèses!$X$7,IF(EE115&lt;=Hypothèses!$V$8,Hypothèses!$X$8,IF(EE115&lt;=Hypothèses!$V$9,Hypothèses!$X$9,IF(EE115&lt;=Hypothèses!$V$10,Hypothèses!$X$10,IF(EE115&lt;=Hypothèses!$V$11,Hypothèses!$X$11,IF(EE115&lt;=Hypothèses!$V$12,Hypothèses!$X$12,IF(EE115&lt;=Hypothèses!$V$13,Hypothèses!$X$13,IF(EE115&lt;=Hypothèses!$V$14,Hypothèses!$X$14,IF(EE115&lt;=Hypothèses!$V$15,Hypothèses!$X$15,IF(EE115&lt;=Hypothèses!$V$16,Hypothèses!$X$16,IF(EE115&lt;=Hypothèses!$U$17,Hypothèses!$W$17,IF(EE115&lt;=Hypothèses!$U$18,Hypothèses!$W$18,""))))))))))))</f>
        <v>#DIV/0!</v>
      </c>
      <c r="FB115" s="95" t="e">
        <f t="shared" ca="1" si="197"/>
        <v>#DIV/0!</v>
      </c>
      <c r="FC115" s="101" t="e">
        <f t="shared" si="230"/>
        <v>#N/A</v>
      </c>
      <c r="FD115" s="91" t="e">
        <f t="shared" si="166"/>
        <v>#N/A</v>
      </c>
      <c r="FE115" s="30" t="e">
        <f t="shared" si="214"/>
        <v>#N/A</v>
      </c>
      <c r="FF115" s="30" t="e">
        <f t="shared" si="215"/>
        <v>#N/A</v>
      </c>
      <c r="FG115" s="31" t="e">
        <f>IF(OR(Hypothèses!$B$4=17,Hypothèses!$B$4=18,Hypothèses!$B$4=19,Hypothèses!$B$4=20),
IF($D115="Pressio.",
IF(OR($E115=3,$E115=1,$E115=4),FF115,FE115),
IF($D115="Pénétro.",
IF(OR($E115=3,$E115=1,$E115=4),FF115,FE115))),IF($D115="Pressio.",
IF($E115=3,FF115,FE115),
IF($D115="Pénétro.",
IF($E115=4,FF115,FE115))))</f>
        <v>#N/A</v>
      </c>
      <c r="FH115" s="31" t="e">
        <f>(IF(OR(Hypothèses!$B$4=17,Hypothèses!$B$4=18,Hypothèses!$B$4=19,Hypothèses!$B$4=20),
IF($D115="Pressio.",
IF(OR($E115=3,$E115=1,$E115=4),(PI()*FH$12^2)/4*(FD115*$W115*1000)/($H115*$B$5),(PI()*FH$12^2)/4*(FD115*$W115*1000)/($G115*$B$5)),
IF($D115="Pénétro.",
IF(OR($E115=4,$E115=1,$E115=5),(PI()*FH$12^2)/4*(FD115*$W115*1000)/($H115*$B$5),(PI()*FH$12^2)/4*(FD115*$W115*1000)/($G115*$B$5)))),
IF($D115="Pressio.",
IF($E115=3,(PI()*FH$12^2)/4*(FD115*$W115*1000)/($H115*$B$5),(PI()*FH$12^2)/4*(FD115*$W115*1000)/($G115*$B$5)),
IF($D115="Pénétro.",
IF($E115=4,(PI()*FH$12^2)/4*(FD115*$W115*1000)/($H115*$B$5),(PI()*FH$12^2)/4*(FD115*$W115*1000)/($G115*$B$5))))))/10</f>
        <v>#N/A</v>
      </c>
      <c r="FI115" s="102" t="e">
        <f>(VLOOKUP($B$3,'Coeff EC7'!$T$39:$X$59,2,0)*FG115+VLOOKUP($B$3,'Coeff EC7'!$T$65:$X$85,2,0)*Model0.1C!FH115)/1.1</f>
        <v>#N/A</v>
      </c>
      <c r="FJ115" s="102" t="e">
        <f>(VLOOKUP($B$3,'Coeff EC7'!$T$39:$X$59,3,0)*FG115+VLOOKUP($B$3,'Coeff EC7'!$T$65:$X$85,3,0)*Model0.1C!FH115)/0.9</f>
        <v>#N/A</v>
      </c>
      <c r="FK115" s="102" t="e">
        <f t="shared" si="198"/>
        <v>#N/A</v>
      </c>
      <c r="FL115" s="102" t="e">
        <f t="shared" si="199"/>
        <v>#N/A</v>
      </c>
      <c r="FM115" s="414" t="e">
        <f>IF(FM114=0,0,IF(AND(FI115&gt;charge_ELS_quasi,FJ115&gt;Charge_ELS_freq,FK115&gt;charge_ELU,FL115&gt;charge_ELA,$B115&gt;NDC!$H$22-0.1+MIN(3*$FM$12,1.5)),0,1))</f>
        <v>#N/A</v>
      </c>
    </row>
    <row r="116" spans="1:169">
      <c r="A116" s="96">
        <f t="shared" si="167"/>
        <v>89.700000000000585</v>
      </c>
      <c r="B116" s="97">
        <v>10.3</v>
      </c>
      <c r="C116" s="81">
        <f>IF(B116&lt;=Hypothèses!$C$7,Hypothèses!$A$7,IF(B116&lt;=Hypothèses!$C$8,Hypothèses!$A$8,IF(B116&lt;=Hypothèses!$C$9,Hypothèses!$A$9,IF(B116&lt;=Hypothèses!$C$10,Hypothèses!$A$10,IF(B116&lt;=Hypothèses!$C$11,Hypothèses!$A$11,IF(B116&lt;=Hypothèses!$C$12,Hypothèses!$A$12,IF(B116&lt;=Hypothèses!$C$13,Hypothèses!$A$13,IF(B116&lt;=Hypothèses!$C$14,Hypothèses!$A$14,IF(B116&lt;=Hypothèses!$C$15,Hypothèses!$A$15,IF(B116&lt;=Hypothèses!$C$16,Hypothèses!$A$16,IF(B116&lt;=Hypothèses!$C$17,Hypothèses!$A$17,IF(B116&lt;=Hypothèses!$C$18,Hypothèses!$A$18,C115))))))))))))</f>
        <v>11</v>
      </c>
      <c r="D116" s="82" t="str">
        <f>IF(B116&lt;=Hypothèses!$C$7,Hypothèses!$R$7,IF(B116&lt;=Hypothèses!$C$8,Hypothèses!$R$8,IF(B116&lt;=Hypothèses!$C$9,Hypothèses!$R$9,IF(B116&lt;=Hypothèses!$C$10,Hypothèses!$R$10,IF(B116&lt;=Hypothèses!$C$11,Hypothèses!$R$11,IF(B116&lt;=Hypothèses!$C$12,Hypothèses!$R$12,IF(B116&lt;=Hypothèses!$C$13,Hypothèses!$R$13,IF(B116&lt;=Hypothèses!$C$14,Hypothèses!$R$14,IF(B116&lt;=Hypothèses!$C$15,Hypothèses!$R$15,IF(B116&lt;=Hypothèses!$C$16,Hypothèses!$R$16,IF(B116&lt;=Hypothèses!$C$17,Hypothèses!$R$17,IF(B116&lt;=Hypothèses!$C$18,Hypothèses!$R$18,D115))))))))))))</f>
        <v>Pressio.</v>
      </c>
      <c r="E116" s="82" t="e">
        <f>IF(B116&lt;=Hypothèses!$C$7,Hypothèses!$G$7,IF(B116&lt;=Hypothèses!$C$8,Hypothèses!$G$8,IF(B116&lt;=Hypothèses!$C$9,Hypothèses!$G$9,IF(B116&lt;=Hypothèses!$C$10,Hypothèses!$G$10,IF(B116&lt;=Hypothèses!$C$11,Hypothèses!$G$11,IF(B116&lt;=Hypothèses!$C$12,Hypothèses!$G$12,IF(B116&lt;=Hypothèses!$C$13,Hypothèses!$G$13,IF(B116&lt;=Hypothèses!$C$14,Hypothèses!$G$14,IF(B116&lt;=Hypothèses!$C$15,Hypothèses!$G$15,IF(B116&lt;=Hypothèses!$C$16,Hypothèses!$G$16,IF(B116&lt;=Hypothèses!$C$17,Hypothèses!$G$17,IF(B116&lt;=Hypothèses!$C$18,Hypothèses!$G$18,E115))))))))))))</f>
        <v>#N/A</v>
      </c>
      <c r="F116" s="82" t="str">
        <f>IF(B116&lt;=Hypothèses!$C$7,Hypothèses!$F$7,IF(B116&lt;=Hypothèses!$C$8,Hypothèses!$F$8,IF(B116&lt;=Hypothèses!$C$9,Hypothèses!$F$9,IF(B116&lt;=Hypothèses!$C$10,Hypothèses!$F$10,IF(B116&lt;=Hypothèses!$C$11,Hypothèses!$F$11,IF(B116&lt;=Hypothèses!$C$12,Hypothèses!$F$12,IF(B116&lt;=Hypothèses!$C$13,Hypothèses!$F$13,IF(B116&lt;=Hypothèses!$C$14,Hypothèses!$F$14,IF(B116&lt;=Hypothèses!$C$15,Hypothèses!$F$15,IF(B116&lt;=Hypothèses!$C$16,Hypothèses!$F$16,IF(B116&lt;=Hypothèses!$C$17,Hypothèses!$F$17,IF(B116&lt;=Hypothèses!$C$18,Hypothèses!$F$18,F115))))))))))))</f>
        <v/>
      </c>
      <c r="G116" s="91">
        <f t="array" ref="G116">INDEX('Coeff EC7'!$U$7:$X$27,
MATCH(Model0.1C!$B$3,'Coeff EC7'!$T$7:$T$27,0),
MATCH(Model0.1C!$D116&amp;Model0.1C!$B$4,
'Coeff EC7'!$U$6:$X$6&amp;
'Coeff EC7'!$U$5:$X$5,0))</f>
        <v>1.1499999999999999</v>
      </c>
      <c r="H116" s="91">
        <f t="array" ref="H116">INDEX('Coeff EC7'!$Y$7:$AB$27,
MATCH(Model0.1C!$B$3,'Coeff EC7'!$T$7:$T$27,0),
MATCH(Model0.1C!$D116&amp;Model0.1C!$B$4,
'Coeff EC7'!$Y$6:$AB$6&amp;
'Coeff EC7'!$Y$5:$AB$5,0))</f>
        <v>1.4</v>
      </c>
      <c r="I116" s="83" t="e">
        <f>IF(B116&lt;=Hypothèses!$C$7,Hypothèses!$P$7,IF(B116&lt;=Hypothèses!$C$8,Hypothèses!$P$8,IF(B116&lt;=Hypothèses!$C$9,Hypothèses!$P$9,IF(B116&lt;=Hypothèses!$C$10,Hypothèses!$P$10,IF(B116&lt;=Hypothèses!$C$11,Hypothèses!$P$11,IF(B116&lt;=Hypothèses!$C$12,Hypothèses!$P$12,IF(B116&lt;=Hypothèses!$C$13,Hypothèses!$P$13,IF(B116&lt;=Hypothèses!$C$14,Hypothèses!$P$14,IF(B116&lt;=Hypothèses!$C$15,Hypothèses!$P$15,IF(B116&lt;=Hypothèses!$C$16,Hypothèses!$P$16,IF(B116&lt;=Hypothèses!$C$17,Hypothèses!$P$17,IF(B116&lt;=Hypothèses!$C$18,Hypothèses!$P$18,I115))))))))))))</f>
        <v>#N/A</v>
      </c>
      <c r="J116" s="91" t="e">
        <f t="array" ref="J116">INDEX('Coeff EC7'!$D$33:$Q$33,1,MATCH(D116&amp;E116,'Coeff EC7'!$D$31:$Q$31&amp;'Coeff EC7'!$D$32:$Q$32,0))</f>
        <v>#N/A</v>
      </c>
      <c r="K116" s="91" t="e">
        <f t="array" ref="K116">INDEX('Coeff EC7'!$D$34:$Q$34,1,MATCH(D116&amp;E116,'Coeff EC7'!$D$31:$Q$31&amp;'Coeff EC7'!$D$32:$Q$32,0))</f>
        <v>#N/A</v>
      </c>
      <c r="L116" s="91" t="e">
        <f t="array" ref="L116">INDEX('Coeff EC7'!$D$35:$Q$35,1,MATCH(D116&amp;E116,'Coeff EC7'!$D$31:$Q$31&amp;'Coeff EC7'!$D$32:$Q$32,0))</f>
        <v>#N/A</v>
      </c>
      <c r="M116" s="98" t="e">
        <f t="shared" si="131"/>
        <v>#N/A</v>
      </c>
      <c r="N116" s="99" t="e">
        <f t="array" ref="N116">INDEX('Coeff EC7'!$D$7:$Q$27,MATCH($B$3,'Coeff EC7'!$C$7:$C$27,0),MATCH(D116&amp;E116,'Coeff EC7'!$D$5:$Q$5&amp;'Coeff EC7'!$D$6:$Q$6,0))</f>
        <v>#N/A</v>
      </c>
      <c r="O116" s="99" t="e">
        <f t="array" ref="O116">INDEX('Coeff EC7'!$D$41:$Q$61,MATCH($B$3,'Coeff EC7'!$C$41:$C$61,0),MATCH(D116&amp;E116,'Coeff EC7'!$D$39:$Q$39&amp;'Coeff EC7'!$D$40:$Q$40,0))</f>
        <v>#N/A</v>
      </c>
      <c r="P116" s="30" t="e">
        <f t="shared" si="168"/>
        <v>#N/A</v>
      </c>
      <c r="Q116" s="100" t="e">
        <f t="shared" si="133"/>
        <v>#N/A</v>
      </c>
      <c r="R116" s="86" t="b">
        <f t="shared" si="134"/>
        <v>0</v>
      </c>
      <c r="S116" s="86">
        <f t="shared" si="132"/>
        <v>0.5</v>
      </c>
      <c r="T116" s="86">
        <f t="shared" si="135"/>
        <v>0.5</v>
      </c>
      <c r="U116" s="30" t="e">
        <f t="shared" ca="1" si="169"/>
        <v>#DIV/0!</v>
      </c>
      <c r="V116" s="85" t="str">
        <f>IF(B116&lt;=Hypothèses!$V$7,Hypothèses!$W$7,IF(B116&lt;=Hypothèses!$V$8,Hypothèses!$W$8,IF(B116&lt;=Hypothèses!$V$9,Hypothèses!$W$9,IF(B116&lt;=Hypothèses!$V$10,Hypothèses!$W$10,IF(B116&lt;=Hypothèses!$V$11,Hypothèses!$W$11,IF(B116&lt;=Hypothèses!$V$12,Hypothèses!$W$12,IF(B116&lt;=Hypothèses!$V$13,Hypothèses!$W$13,IF(B116&lt;=Hypothèses!$V$14,Hypothèses!$W$14,IF(B116&lt;=Hypothèses!$V$15,Hypothèses!$W$15,IF(B116&lt;=Hypothèses!$V$16,Hypothèses!$W$16,IF(B116&lt;=Hypothèses!$V$17,Hypothèses!$W$17,IF(B116&lt;=Hypothèses!$V$18,Hypothèses!$W$18,""))))))))))))</f>
        <v/>
      </c>
      <c r="W116" s="87" t="e">
        <f t="shared" ca="1" si="216"/>
        <v>#DIV/0!</v>
      </c>
      <c r="X116" s="88" t="str">
        <f>IF(B116&lt;=Hypothèses!$V$7,Hypothèses!$X$7,IF(B116&lt;=Hypothèses!$V$8,Hypothèses!$X$8,IF(B116&lt;=Hypothèses!$V$9,Hypothèses!$X$9,IF(B116&lt;=Hypothèses!$V$10,Hypothèses!$X$10,IF(B116&lt;=Hypothèses!$V$11,Hypothèses!$X$11,IF(B116&lt;=Hypothèses!$V$12,Hypothèses!$X$12,IF(B116&lt;=Hypothèses!$V$13,Hypothèses!$X$13,IF(B116&lt;=Hypothèses!$V$14,Hypothèses!$X$14,IF(B116&lt;=Hypothèses!$V$15,Hypothèses!$X$15,IF(B116&lt;=Hypothèses!$V$16,Hypothèses!$X$16,IF(B116&lt;=Hypothèses!$U$17,Hypothèses!$W$17,IF(B116&lt;=Hypothèses!$U$18,Hypothèses!$W$18,""))))))))))))</f>
        <v/>
      </c>
      <c r="Y116" s="95" t="e">
        <f t="shared" ca="1" si="136"/>
        <v>#DIV/0!</v>
      </c>
      <c r="Z116" s="101" t="e">
        <f t="shared" si="137"/>
        <v>#N/A</v>
      </c>
      <c r="AA116" s="91" t="e">
        <f t="shared" si="138"/>
        <v>#N/A</v>
      </c>
      <c r="AB116" s="30" t="e">
        <f t="shared" si="200"/>
        <v>#N/A</v>
      </c>
      <c r="AC116" s="30" t="e">
        <f t="shared" si="201"/>
        <v>#N/A</v>
      </c>
      <c r="AD116" s="31" t="e">
        <f>IF(OR(Hypothèses!$B$4=17,Hypothèses!$B$4=18,Hypothèses!$B$4=19,Hypothèses!$B$4=20),
IF($D116="Pressio.",
IF(OR($E116=3,$E116=1,$E116=4),AC116,AB116),
IF($D116="Pénétro.",
IF(OR($E116=3,$E116=1,$E116=4),AC116,AB116))),IF($D116="Pressio.",
IF($E116=3,AC116,AB116),
IF($D116="Pénétro.",
IF($E116=4,AC116,AB116))))</f>
        <v>#N/A</v>
      </c>
      <c r="AE116" s="31" t="e">
        <f>(IF(OR(Hypothèses!$B$4=17,Hypothèses!$B$4=18,Hypothèses!$B$4=19,Hypothèses!$B$4=20),
IF($D116="Pressio.",
IF(OR($E116=3,$E116=1,$E116=4),(PI()*AE$12^2)/4*(AA116*$W116*1000)/($H116*$B$5),(PI()*AE$12^2)/4*(AA116*$W116*1000)/($G116*$B$5)),
IF($D116="Pénétro.",
IF(OR($E116=4,$E116=1,$E116=5),(PI()*AE$12^2)/4*(AA116*$W116*1000)/($H116*$B$5),(PI()*AE$12^2)/4*(AA116*$W116*1000)/($G116*$B$5)))),
IF($D116="Pressio.",
IF($E116=3,(PI()*AE$12^2)/4*(AA116*$W116*1000)/($H116*$B$5),(PI()*AE$12^2)/4*(AA116*$W116*1000)/($G116*$B$5)),
IF($D116="Pénétro.",
IF($E116=4,(PI()*AE$12^2)/4*(AA116*$W116*1000)/($H116*$B$5),(PI()*AE$12^2)/4*(AA116*$W116*1000)/($G116*$B$5))))))/10</f>
        <v>#N/A</v>
      </c>
      <c r="AF116" s="102" t="e">
        <f>(VLOOKUP($B$3,'Coeff EC7'!$T$39:$X$59,2,0)*AD116+VLOOKUP($B$3,'Coeff EC7'!$T$65:$X$85,2,0)*Model0.1C!AE116)/1.1</f>
        <v>#N/A</v>
      </c>
      <c r="AG116" s="102" t="e">
        <f>(VLOOKUP($B$3,'Coeff EC7'!$T$39:$X$59,3,0)*AD116+VLOOKUP($B$3,'Coeff EC7'!$T$65:$X$85,3,0)*Model0.1C!AE116)/0.9</f>
        <v>#N/A</v>
      </c>
      <c r="AH116" s="102" t="e">
        <f t="shared" si="139"/>
        <v>#N/A</v>
      </c>
      <c r="AI116" s="102" t="e">
        <f t="shared" si="140"/>
        <v>#N/A</v>
      </c>
      <c r="AJ116" s="414" t="e">
        <f>IF(AJ115=0,0,IF(AND(AF116&gt;charge_ELS_quasi,AG116&gt;Charge_ELS_freq,AH116&gt;charge_ELU,AI116&gt;charge_ELA,$B116&gt;NDC!$H$22-0.1+MIN(3*$AJ$12,1.5)),0,1))</f>
        <v>#N/A</v>
      </c>
      <c r="AK116" s="86" t="b">
        <f t="shared" si="141"/>
        <v>0</v>
      </c>
      <c r="AL116" s="86">
        <f t="shared" si="170"/>
        <v>0.5</v>
      </c>
      <c r="AM116" s="86">
        <f t="shared" si="142"/>
        <v>0.5</v>
      </c>
      <c r="AN116" s="30" t="e">
        <f t="shared" ca="1" si="171"/>
        <v>#DIV/0!</v>
      </c>
      <c r="AO116" s="85" t="e">
        <f ca="1">IF(U116&lt;=Hypothèses!$V$7,Hypothèses!$W$7,IF(U116&lt;=Hypothèses!$V$8,Hypothèses!$W$8,IF(U116&lt;=Hypothèses!$V$9,Hypothèses!$W$9,IF(U116&lt;=Hypothèses!$V$10,Hypothèses!$W$10,IF(U116&lt;=Hypothèses!$V$11,Hypothèses!$W$11,IF(U116&lt;=Hypothèses!$V$12,Hypothèses!$W$12,IF(U116&lt;=Hypothèses!$V$13,Hypothèses!$W$13,IF(U116&lt;=Hypothèses!$V$14,Hypothèses!$W$14,IF(U116&lt;=Hypothèses!$V$15,Hypothèses!$W$15,IF(U116&lt;=Hypothèses!$V$16,Hypothèses!$W$16,IF(U116&lt;=Hypothèses!$V$17,Hypothèses!$W$17,IF(U116&lt;=Hypothèses!$V$18,Hypothèses!$W$18,""))))))))))))</f>
        <v>#DIV/0!</v>
      </c>
      <c r="AP116" s="87" t="e">
        <f t="shared" ca="1" si="217"/>
        <v>#DIV/0!</v>
      </c>
      <c r="AQ116" s="88" t="e">
        <f ca="1">IF(U116&lt;=Hypothèses!$V$7,Hypothèses!$X$7,IF(U116&lt;=Hypothèses!$V$8,Hypothèses!$X$8,IF(U116&lt;=Hypothèses!$V$9,Hypothèses!$X$9,IF(U116&lt;=Hypothèses!$V$10,Hypothèses!$X$10,IF(U116&lt;=Hypothèses!$V$11,Hypothèses!$X$11,IF(U116&lt;=Hypothèses!$V$12,Hypothèses!$X$12,IF(U116&lt;=Hypothèses!$V$13,Hypothèses!$X$13,IF(U116&lt;=Hypothèses!$V$14,Hypothèses!$X$14,IF(U116&lt;=Hypothèses!$V$15,Hypothèses!$X$15,IF(U116&lt;=Hypothèses!$V$16,Hypothèses!$X$16,IF(U116&lt;=Hypothèses!$U$17,Hypothèses!$W$17,IF(U116&lt;=Hypothèses!$U$18,Hypothèses!$W$18,""))))))))))))</f>
        <v>#DIV/0!</v>
      </c>
      <c r="AR116" s="95" t="e">
        <f t="shared" ca="1" si="172"/>
        <v>#DIV/0!</v>
      </c>
      <c r="AS116" s="101" t="e">
        <f t="shared" si="224"/>
        <v>#N/A</v>
      </c>
      <c r="AT116" s="91" t="e">
        <f t="shared" si="143"/>
        <v>#N/A</v>
      </c>
      <c r="AU116" s="30" t="e">
        <f t="shared" si="202"/>
        <v>#N/A</v>
      </c>
      <c r="AV116" s="30" t="e">
        <f t="shared" si="203"/>
        <v>#N/A</v>
      </c>
      <c r="AW116" s="31" t="e">
        <f>IF(OR(Hypothèses!$B$4=17,Hypothèses!$B$4=18,Hypothèses!$B$4=19,Hypothèses!$B$4=20),
IF($D116="Pressio.",
IF(OR($E116=3,$E116=1,$E116=4),AV116,AU116),
IF($D116="Pénétro.",
IF(OR($E116=3,$E116=1,$E116=4),AV116,AU116))),IF($D116="Pressio.",
IF($E116=3,AV116,AU116),
IF($D116="Pénétro.",
IF($E116=4,AV116,AU116))))</f>
        <v>#N/A</v>
      </c>
      <c r="AX116" s="31" t="e">
        <f>(IF(OR(Hypothèses!$B$4=17,Hypothèses!$B$4=18,Hypothèses!$B$4=19,Hypothèses!$B$4=20),
IF($D116="Pressio.",
IF(OR($E116=3,$E116=1,$E116=4),(PI()*AX$12^2)/4*(AT116*$W116*1000)/($H116*$B$5),(PI()*AX$12^2)/4*(AT116*$W116*1000)/($G116*$B$5)),
IF($D116="Pénétro.",
IF(OR($E116=4,$E116=1,$E116=5),(PI()*AX$12^2)/4*(AT116*$W116*1000)/($H116*$B$5),(PI()*AX$12^2)/4*(AT116*$W116*1000)/($G116*$B$5)))),
IF($D116="Pressio.",
IF($E116=3,(PI()*AX$12^2)/4*(AT116*$W116*1000)/($H116*$B$5),(PI()*AX$12^2)/4*(AT116*$W116*1000)/($G116*$B$5)),
IF($D116="Pénétro.",
IF($E116=4,(PI()*AX$12^2)/4*(AT116*$W116*1000)/($H116*$B$5),(PI()*AX$12^2)/4*(AT116*$W116*1000)/($G116*$B$5))))))/10</f>
        <v>#N/A</v>
      </c>
      <c r="AY116" s="102" t="e">
        <f>(VLOOKUP($B$3,'Coeff EC7'!$T$39:$X$59,2,0)*AW116+VLOOKUP($B$3,'Coeff EC7'!$T$65:$X$85,2,0)*Model0.1C!AX116)/1.1</f>
        <v>#N/A</v>
      </c>
      <c r="AZ116" s="102" t="e">
        <f>(VLOOKUP($B$3,'Coeff EC7'!$T$39:$X$59,3,0)*AW116+VLOOKUP($B$3,'Coeff EC7'!$T$65:$X$85,3,0)*Model0.1C!AX116)/0.9</f>
        <v>#N/A</v>
      </c>
      <c r="BA116" s="102" t="e">
        <f t="shared" si="173"/>
        <v>#N/A</v>
      </c>
      <c r="BB116" s="102" t="e">
        <f t="shared" si="174"/>
        <v>#N/A</v>
      </c>
      <c r="BC116" s="414" t="e">
        <f>IF(BC115=0,0,IF(AND(AY116&gt;charge_ELS_quasi,AZ116&gt;Charge_ELS_freq,BA116&gt;charge_ELU,BB116&gt;charge_ELA,$B116&gt;NDC!$H$22-0.1+MIN(3*$BC$12,1.5)),0,1))</f>
        <v>#N/A</v>
      </c>
      <c r="BD116" s="86" t="b">
        <f t="shared" si="144"/>
        <v>0</v>
      </c>
      <c r="BE116" s="86">
        <f t="shared" si="175"/>
        <v>0.5</v>
      </c>
      <c r="BF116" s="86">
        <f t="shared" si="145"/>
        <v>0.5</v>
      </c>
      <c r="BG116" s="30" t="e">
        <f t="shared" ca="1" si="176"/>
        <v>#DIV/0!</v>
      </c>
      <c r="BH116" s="85" t="e">
        <f ca="1">IF(AN116&lt;=Hypothèses!$V$7,Hypothèses!$W$7,IF(AN116&lt;=Hypothèses!$V$8,Hypothèses!$W$8,IF(AN116&lt;=Hypothèses!$V$9,Hypothèses!$W$9,IF(AN116&lt;=Hypothèses!$V$10,Hypothèses!$W$10,IF(AN116&lt;=Hypothèses!$V$11,Hypothèses!$W$11,IF(AN116&lt;=Hypothèses!$V$12,Hypothèses!$W$12,IF(AN116&lt;=Hypothèses!$V$13,Hypothèses!$W$13,IF(AN116&lt;=Hypothèses!$V$14,Hypothèses!$W$14,IF(AN116&lt;=Hypothèses!$V$15,Hypothèses!$W$15,IF(AN116&lt;=Hypothèses!$V$16,Hypothèses!$W$16,IF(AN116&lt;=Hypothèses!$V$17,Hypothèses!$W$17,IF(AN116&lt;=Hypothèses!$V$18,Hypothèses!$W$18,""))))))))))))</f>
        <v>#DIV/0!</v>
      </c>
      <c r="BI116" s="87" t="e">
        <f t="shared" ca="1" si="218"/>
        <v>#DIV/0!</v>
      </c>
      <c r="BJ116" s="88" t="e">
        <f ca="1">IF(AN116&lt;=Hypothèses!$V$7,Hypothèses!$X$7,IF(AN116&lt;=Hypothèses!$V$8,Hypothèses!$X$8,IF(AN116&lt;=Hypothèses!$V$9,Hypothèses!$X$9,IF(AN116&lt;=Hypothèses!$V$10,Hypothèses!$X$10,IF(AN116&lt;=Hypothèses!$V$11,Hypothèses!$X$11,IF(AN116&lt;=Hypothèses!$V$12,Hypothèses!$X$12,IF(AN116&lt;=Hypothèses!$V$13,Hypothèses!$X$13,IF(AN116&lt;=Hypothèses!$V$14,Hypothèses!$X$14,IF(AN116&lt;=Hypothèses!$V$15,Hypothèses!$X$15,IF(AN116&lt;=Hypothèses!$V$16,Hypothèses!$X$16,IF(AN116&lt;=Hypothèses!$U$17,Hypothèses!$W$17,IF(AN116&lt;=Hypothèses!$U$18,Hypothèses!$W$18,""))))))))))))</f>
        <v>#DIV/0!</v>
      </c>
      <c r="BK116" s="95" t="e">
        <f t="shared" ca="1" si="177"/>
        <v>#DIV/0!</v>
      </c>
      <c r="BL116" s="101" t="e">
        <f t="shared" si="225"/>
        <v>#N/A</v>
      </c>
      <c r="BM116" s="91" t="e">
        <f t="shared" si="146"/>
        <v>#N/A</v>
      </c>
      <c r="BN116" s="30" t="e">
        <f t="shared" si="204"/>
        <v>#N/A</v>
      </c>
      <c r="BO116" s="30" t="e">
        <f t="shared" si="205"/>
        <v>#N/A</v>
      </c>
      <c r="BP116" s="31" t="e">
        <f>IF(OR(Hypothèses!$B$4=17,Hypothèses!$B$4=18,Hypothèses!$B$4=19,Hypothèses!$B$4=20),
IF($D116="Pressio.",
IF(OR($E116=3,$E116=1,$E116=4),BO116,BN116),
IF($D116="Pénétro.",
IF(OR($E116=3,$E116=1,$E116=4),BO116,BN116))),IF($D116="Pressio.",
IF($E116=3,BO116,BN116),
IF($D116="Pénétro.",
IF($E116=4,BO116,BN116))))</f>
        <v>#N/A</v>
      </c>
      <c r="BQ116" s="31" t="e">
        <f>(IF(OR(Hypothèses!$B$4=17,Hypothèses!$B$4=18,Hypothèses!$B$4=19,Hypothèses!$B$4=20),
IF($D116="Pressio.",
IF(OR($E116=3,$E116=1,$E116=4),(PI()*BQ$12^2)/4*(BM116*$W116*1000)/($H116*$B$5),(PI()*BQ$12^2)/4*(BM116*$W116*1000)/($G116*$B$5)),
IF($D116="Pénétro.",
IF(OR($E116=4,$E116=1,$E116=5),(PI()*BQ$12^2)/4*(BM116*$W116*1000)/($H116*$B$5),(PI()*BQ$12^2)/4*(BM116*$W116*1000)/($G116*$B$5)))),
IF($D116="Pressio.",
IF($E116=3,(PI()*BQ$12^2)/4*(BM116*$W116*1000)/($H116*$B$5),(PI()*BQ$12^2)/4*(BM116*$W116*1000)/($G116*$B$5)),
IF($D116="Pénétro.",
IF($E116=4,(PI()*BQ$12^2)/4*(BM116*$W116*1000)/($H116*$B$5),(PI()*BQ$12^2)/4*(BM116*$W116*1000)/($G116*$B$5))))))/10</f>
        <v>#N/A</v>
      </c>
      <c r="BR116" s="102" t="e">
        <f>(VLOOKUP($B$3,'Coeff EC7'!$T$39:$X$59,2,0)*BP116+VLOOKUP($B$3,'Coeff EC7'!$T$65:$X$85,2,0)*Model0.1C!BQ116)/1.1</f>
        <v>#N/A</v>
      </c>
      <c r="BS116" s="102" t="e">
        <f>(VLOOKUP($B$3,'Coeff EC7'!$T$39:$X$59,3,0)*BP116+VLOOKUP($B$3,'Coeff EC7'!$T$65:$X$85,3,0)*Model0.1C!BQ116)/0.9</f>
        <v>#N/A</v>
      </c>
      <c r="BT116" s="102" t="e">
        <f t="shared" si="178"/>
        <v>#N/A</v>
      </c>
      <c r="BU116" s="102" t="e">
        <f t="shared" si="179"/>
        <v>#N/A</v>
      </c>
      <c r="BV116" s="414" t="e">
        <f>IF(BV115=0,0,IF(AND(BR116&gt;charge_ELS_quasi,BS116&gt;Charge_ELS_freq,BT116&gt;charge_ELU,BU116&gt;charge_ELA,$B116&gt;NDC!$H$22-0.1+MIN(3*$BV$12,1.5)),0,1))</f>
        <v>#N/A</v>
      </c>
      <c r="BW116" s="86" t="b">
        <f t="shared" si="147"/>
        <v>0</v>
      </c>
      <c r="BX116" s="86">
        <f t="shared" si="148"/>
        <v>0.5</v>
      </c>
      <c r="BY116" s="86">
        <f t="shared" si="149"/>
        <v>0.5</v>
      </c>
      <c r="BZ116" s="30" t="e">
        <f t="shared" ca="1" si="180"/>
        <v>#DIV/0!</v>
      </c>
      <c r="CA116" s="85" t="e">
        <f ca="1">IF(BG116&lt;=Hypothèses!$V$7,Hypothèses!$W$7,IF(BG116&lt;=Hypothèses!$V$8,Hypothèses!$W$8,IF(BG116&lt;=Hypothèses!$V$9,Hypothèses!$W$9,IF(BG116&lt;=Hypothèses!$V$10,Hypothèses!$W$10,IF(BG116&lt;=Hypothèses!$V$11,Hypothèses!$W$11,IF(BG116&lt;=Hypothèses!$V$12,Hypothèses!$W$12,IF(BG116&lt;=Hypothèses!$V$13,Hypothèses!$W$13,IF(BG116&lt;=Hypothèses!$V$14,Hypothèses!$W$14,IF(BG116&lt;=Hypothèses!$V$15,Hypothèses!$W$15,IF(BG116&lt;=Hypothèses!$V$16,Hypothèses!$W$16,IF(BG116&lt;=Hypothèses!$V$17,Hypothèses!$W$17,IF(BG116&lt;=Hypothèses!$V$18,Hypothèses!$W$18,""))))))))))))</f>
        <v>#DIV/0!</v>
      </c>
      <c r="CB116" s="87" t="e">
        <f t="shared" ca="1" si="219"/>
        <v>#DIV/0!</v>
      </c>
      <c r="CC116" s="88" t="e">
        <f ca="1">IF(BG116&lt;=Hypothèses!$V$7,Hypothèses!$X$7,IF(BG116&lt;=Hypothèses!$V$8,Hypothèses!$X$8,IF(BG116&lt;=Hypothèses!$V$9,Hypothèses!$X$9,IF(BG116&lt;=Hypothèses!$V$10,Hypothèses!$X$10,IF(BG116&lt;=Hypothèses!$V$11,Hypothèses!$X$11,IF(BG116&lt;=Hypothèses!$V$12,Hypothèses!$X$12,IF(BG116&lt;=Hypothèses!$V$13,Hypothèses!$X$13,IF(BG116&lt;=Hypothèses!$V$14,Hypothèses!$X$14,IF(BG116&lt;=Hypothèses!$V$15,Hypothèses!$X$15,IF(BG116&lt;=Hypothèses!$V$16,Hypothèses!$X$16,IF(BG116&lt;=Hypothèses!$U$17,Hypothèses!$W$17,IF(BG116&lt;=Hypothèses!$U$18,Hypothèses!$W$18,""))))))))))))</f>
        <v>#DIV/0!</v>
      </c>
      <c r="CD116" s="95" t="e">
        <f t="shared" ca="1" si="181"/>
        <v>#DIV/0!</v>
      </c>
      <c r="CE116" s="101" t="e">
        <f t="shared" si="226"/>
        <v>#N/A</v>
      </c>
      <c r="CF116" s="91" t="e">
        <f t="shared" si="150"/>
        <v>#N/A</v>
      </c>
      <c r="CG116" s="30" t="e">
        <f t="shared" si="206"/>
        <v>#N/A</v>
      </c>
      <c r="CH116" s="30" t="e">
        <f t="shared" si="207"/>
        <v>#N/A</v>
      </c>
      <c r="CI116" s="31" t="e">
        <f>IF(OR(Hypothèses!$B$4=17,Hypothèses!$B$4=18,Hypothèses!$B$4=19,Hypothèses!$B$4=20),
IF($D116="Pressio.",
IF(OR($E116=3,$E116=1,$E116=4),CH116,CG116),
IF($D116="Pénétro.",
IF(OR($E116=3,$E116=1,$E116=4),CH116,CG116))),IF($D116="Pressio.",
IF($E116=3,CH116,CG116),
IF($D116="Pénétro.",
IF($E116=4,CH116,CG116))))</f>
        <v>#N/A</v>
      </c>
      <c r="CJ116" s="31" t="e">
        <f>(IF(OR(Hypothèses!$B$4=17,Hypothèses!$B$4=18,Hypothèses!$B$4=19,Hypothèses!$B$4=20),
IF($D116="Pressio.",
IF(OR($E116=3,$E116=1,$E116=4),(PI()*CJ$12^2)/4*(CF116*$W116*1000)/($H116*$B$5),(PI()*CJ$12^2)/4*(CF116*$W116*1000)/($G116*$B$5)),
IF($D116="Pénétro.",
IF(OR($E116=4,$E116=1,$E116=5),(PI()*CJ$12^2)/4*(CF116*$W116*1000)/($H116*$B$5),(PI()*CJ$12^2)/4*(CF116*$W116*1000)/($G116*$B$5)))),
IF($D116="Pressio.",
IF($E116=3,(PI()*CJ$12^2)/4*(CF116*$W116*1000)/($H116*$B$5),(PI()*CJ$12^2)/4*(CF116*$W116*1000)/($G116*$B$5)),
IF($D116="Pénétro.",
IF($E116=4,(PI()*CJ$12^2)/4*(CF116*$W116*1000)/($H116*$B$5),(PI()*CJ$12^2)/4*(CF116*$W116*1000)/($G116*$B$5))))))/10</f>
        <v>#N/A</v>
      </c>
      <c r="CK116" s="102" t="e">
        <f>(VLOOKUP($B$3,'Coeff EC7'!$T$39:$X$59,2,0)*CI116+VLOOKUP($B$3,'Coeff EC7'!$T$65:$X$85,2,0)*Model0.1C!CJ116)/1.1</f>
        <v>#N/A</v>
      </c>
      <c r="CL116" s="102" t="e">
        <f>(VLOOKUP($B$3,'Coeff EC7'!$T$39:$X$59,3,0)*CI116+VLOOKUP($B$3,'Coeff EC7'!$T$65:$X$85,3,0)*Model0.1C!CJ116)/0.9</f>
        <v>#N/A</v>
      </c>
      <c r="CM116" s="102" t="e">
        <f t="shared" si="182"/>
        <v>#N/A</v>
      </c>
      <c r="CN116" s="102" t="e">
        <f t="shared" si="183"/>
        <v>#N/A</v>
      </c>
      <c r="CO116" s="414" t="e">
        <f>IF(CO115=0,0,IF(AND(CK116&gt;charge_ELS_quasi,CL116&gt;Charge_ELS_freq,CM116&gt;charge_ELU,CN116&gt;charge_ELA,$B116&gt;NDC!$H$22-0.1+MIN(3*$CO$12,1.5)),0,1))</f>
        <v>#N/A</v>
      </c>
      <c r="CP116" s="86" t="b">
        <f t="shared" si="151"/>
        <v>0</v>
      </c>
      <c r="CQ116" s="86">
        <f t="shared" si="152"/>
        <v>0.5</v>
      </c>
      <c r="CR116" s="86">
        <f t="shared" si="153"/>
        <v>0.5</v>
      </c>
      <c r="CS116" s="30" t="e">
        <f t="shared" ca="1" si="184"/>
        <v>#DIV/0!</v>
      </c>
      <c r="CT116" s="85" t="e">
        <f ca="1">IF(BZ116&lt;=Hypothèses!$V$7,Hypothèses!$W$7,IF(BZ116&lt;=Hypothèses!$V$8,Hypothèses!$W$8,IF(BZ116&lt;=Hypothèses!$V$9,Hypothèses!$W$9,IF(BZ116&lt;=Hypothèses!$V$10,Hypothèses!$W$10,IF(BZ116&lt;=Hypothèses!$V$11,Hypothèses!$W$11,IF(BZ116&lt;=Hypothèses!$V$12,Hypothèses!$W$12,IF(BZ116&lt;=Hypothèses!$V$13,Hypothèses!$W$13,IF(BZ116&lt;=Hypothèses!$V$14,Hypothèses!$W$14,IF(BZ116&lt;=Hypothèses!$V$15,Hypothèses!$W$15,IF(BZ116&lt;=Hypothèses!$V$16,Hypothèses!$W$16,IF(BZ116&lt;=Hypothèses!$V$17,Hypothèses!$W$17,IF(BZ116&lt;=Hypothèses!$V$18,Hypothèses!$W$18,""))))))))))))</f>
        <v>#DIV/0!</v>
      </c>
      <c r="CU116" s="87" t="e">
        <f t="shared" ca="1" si="220"/>
        <v>#DIV/0!</v>
      </c>
      <c r="CV116" s="88" t="e">
        <f ca="1">IF(BZ116&lt;=Hypothèses!$V$7,Hypothèses!$X$7,IF(BZ116&lt;=Hypothèses!$V$8,Hypothèses!$X$8,IF(BZ116&lt;=Hypothèses!$V$9,Hypothèses!$X$9,IF(BZ116&lt;=Hypothèses!$V$10,Hypothèses!$X$10,IF(BZ116&lt;=Hypothèses!$V$11,Hypothèses!$X$11,IF(BZ116&lt;=Hypothèses!$V$12,Hypothèses!$X$12,IF(BZ116&lt;=Hypothèses!$V$13,Hypothèses!$X$13,IF(BZ116&lt;=Hypothèses!$V$14,Hypothèses!$X$14,IF(BZ116&lt;=Hypothèses!$V$15,Hypothèses!$X$15,IF(BZ116&lt;=Hypothèses!$V$16,Hypothèses!$X$16,IF(BZ116&lt;=Hypothèses!$U$17,Hypothèses!$W$17,IF(BZ116&lt;=Hypothèses!$U$18,Hypothèses!$W$18,""))))))))))))</f>
        <v>#DIV/0!</v>
      </c>
      <c r="CW116" s="95" t="e">
        <f t="shared" ca="1" si="185"/>
        <v>#DIV/0!</v>
      </c>
      <c r="CX116" s="101" t="e">
        <f t="shared" si="227"/>
        <v>#N/A</v>
      </c>
      <c r="CY116" s="91" t="e">
        <f t="shared" si="154"/>
        <v>#N/A</v>
      </c>
      <c r="CZ116" s="30" t="e">
        <f t="shared" si="208"/>
        <v>#N/A</v>
      </c>
      <c r="DA116" s="30" t="e">
        <f t="shared" si="209"/>
        <v>#N/A</v>
      </c>
      <c r="DB116" s="31" t="e">
        <f>IF(OR(Hypothèses!$B$4=17,Hypothèses!$B$4=18,Hypothèses!$B$4=19,Hypothèses!$B$4=20),
IF($D116="Pressio.",
IF(OR($E116=3,$E116=1,$E116=4),DA116,CZ116),
IF($D116="Pénétro.",
IF(OR($E116=3,$E116=1,$E116=4),DA116,CZ116))),IF($D116="Pressio.",
IF($E116=3,DA116,CZ116),
IF($D116="Pénétro.",
IF($E116=4,DA116,CZ116))))</f>
        <v>#N/A</v>
      </c>
      <c r="DC116" s="31" t="e">
        <f>(IF(OR(Hypothèses!$B$4=17,Hypothèses!$B$4=18,Hypothèses!$B$4=19,Hypothèses!$B$4=20),
IF($D116="Pressio.",
IF(OR($E116=3,$E116=1,$E116=4),(PI()*DC$12^2)/4*(CY116*$W116*1000)/($H116*$B$5),(PI()*DC$12^2)/4*(CY116*$W116*1000)/($G116*$B$5)),
IF($D116="Pénétro.",
IF(OR($E116=4,$E116=1,$E116=5),(PI()*DC$12^2)/4*(CY116*$W116*1000)/($H116*$B$5),(PI()*DC$12^2)/4*(CY116*$W116*1000)/($G116*$B$5)))),
IF($D116="Pressio.",
IF($E116=3,(PI()*DC$12^2)/4*(CY116*$W116*1000)/($H116*$B$5),(PI()*DC$12^2)/4*(CY116*$W116*1000)/($G116*$B$5)),
IF($D116="Pénétro.",
IF($E116=4,(PI()*DC$12^2)/4*(CY116*$W116*1000)/($H116*$B$5),(PI()*DC$12^2)/4*(CY116*$W116*1000)/($G116*$B$5))))))/10</f>
        <v>#N/A</v>
      </c>
      <c r="DD116" s="102" t="e">
        <f>(VLOOKUP($B$3,'Coeff EC7'!$T$39:$X$59,2,0)*DB116+VLOOKUP($B$3,'Coeff EC7'!$T$65:$X$85,2,0)*Model0.1C!DC116)/1.1</f>
        <v>#N/A</v>
      </c>
      <c r="DE116" s="102" t="e">
        <f>(VLOOKUP($B$3,'Coeff EC7'!$T$39:$X$59,3,0)*DB116+VLOOKUP($B$3,'Coeff EC7'!$T$65:$X$85,3,0)*Model0.1C!DC116)/0.9</f>
        <v>#N/A</v>
      </c>
      <c r="DF116" s="102" t="e">
        <f t="shared" si="186"/>
        <v>#N/A</v>
      </c>
      <c r="DG116" s="102" t="e">
        <f t="shared" si="187"/>
        <v>#N/A</v>
      </c>
      <c r="DH116" s="414" t="e">
        <f>IF(DH115=0,0,IF(AND(DD116&gt;charge_ELS_quasi,DE116&gt;Charge_ELS_freq,DF116&gt;charge_ELU,DG116&gt;charge_ELA,$B116&gt;NDC!$H$22-0.1+MIN(3*$DH$12,1.5)),0,1))</f>
        <v>#N/A</v>
      </c>
      <c r="DI116" s="86" t="b">
        <f t="shared" si="155"/>
        <v>0</v>
      </c>
      <c r="DJ116" s="86">
        <f t="shared" si="156"/>
        <v>0.5</v>
      </c>
      <c r="DK116" s="86">
        <f t="shared" si="157"/>
        <v>0.5</v>
      </c>
      <c r="DL116" s="30" t="e">
        <f t="shared" ca="1" si="188"/>
        <v>#DIV/0!</v>
      </c>
      <c r="DM116" s="85" t="e">
        <f ca="1">IF(CS116&lt;=Hypothèses!$V$7,Hypothèses!$W$7,IF(CS116&lt;=Hypothèses!$V$8,Hypothèses!$W$8,IF(CS116&lt;=Hypothèses!$V$9,Hypothèses!$W$9,IF(CS116&lt;=Hypothèses!$V$10,Hypothèses!$W$10,IF(CS116&lt;=Hypothèses!$V$11,Hypothèses!$W$11,IF(CS116&lt;=Hypothèses!$V$12,Hypothèses!$W$12,IF(CS116&lt;=Hypothèses!$V$13,Hypothèses!$W$13,IF(CS116&lt;=Hypothèses!$V$14,Hypothèses!$W$14,IF(CS116&lt;=Hypothèses!$V$15,Hypothèses!$W$15,IF(CS116&lt;=Hypothèses!$V$16,Hypothèses!$W$16,IF(CS116&lt;=Hypothèses!$V$17,Hypothèses!$W$17,IF(CS116&lt;=Hypothèses!$V$18,Hypothèses!$W$18,""))))))))))))</f>
        <v>#DIV/0!</v>
      </c>
      <c r="DN116" s="87" t="e">
        <f t="shared" ca="1" si="221"/>
        <v>#DIV/0!</v>
      </c>
      <c r="DO116" s="88" t="e">
        <f ca="1">IF(CS116&lt;=Hypothèses!$V$7,Hypothèses!$X$7,IF(CS116&lt;=Hypothèses!$V$8,Hypothèses!$X$8,IF(CS116&lt;=Hypothèses!$V$9,Hypothèses!$X$9,IF(CS116&lt;=Hypothèses!$V$10,Hypothèses!$X$10,IF(CS116&lt;=Hypothèses!$V$11,Hypothèses!$X$11,IF(CS116&lt;=Hypothèses!$V$12,Hypothèses!$X$12,IF(CS116&lt;=Hypothèses!$V$13,Hypothèses!$X$13,IF(CS116&lt;=Hypothèses!$V$14,Hypothèses!$X$14,IF(CS116&lt;=Hypothèses!$V$15,Hypothèses!$X$15,IF(CS116&lt;=Hypothèses!$V$16,Hypothèses!$X$16,IF(CS116&lt;=Hypothèses!$U$17,Hypothèses!$W$17,IF(CS116&lt;=Hypothèses!$U$18,Hypothèses!$W$18,""))))))))))))</f>
        <v>#DIV/0!</v>
      </c>
      <c r="DP116" s="95" t="e">
        <f t="shared" ca="1" si="189"/>
        <v>#DIV/0!</v>
      </c>
      <c r="DQ116" s="101" t="e">
        <f t="shared" si="228"/>
        <v>#N/A</v>
      </c>
      <c r="DR116" s="91" t="e">
        <f t="shared" si="158"/>
        <v>#N/A</v>
      </c>
      <c r="DS116" s="30" t="e">
        <f t="shared" si="210"/>
        <v>#N/A</v>
      </c>
      <c r="DT116" s="30" t="e">
        <f t="shared" si="211"/>
        <v>#N/A</v>
      </c>
      <c r="DU116" s="31" t="e">
        <f>IF(OR(Hypothèses!$B$4=17,Hypothèses!$B$4=18,Hypothèses!$B$4=19,Hypothèses!$B$4=20),
IF($D116="Pressio.",
IF(OR($E116=3,$E116=1,$E116=4),DT116,DS116),
IF($D116="Pénétro.",
IF(OR($E116=3,$E116=1,$E116=4),DT116,DS116))),IF($D116="Pressio.",
IF($E116=3,DT116,DS116),
IF($D116="Pénétro.",
IF($E116=4,DT116,DS116))))</f>
        <v>#N/A</v>
      </c>
      <c r="DV116" s="31" t="e">
        <f>(IF(OR(Hypothèses!$B$4=17,Hypothèses!$B$4=18,Hypothèses!$B$4=19,Hypothèses!$B$4=20),
IF($D116="Pressio.",
IF(OR($E116=3,$E116=1,$E116=4),(PI()*DV$12^2)/4*(DR116*$W116*1000)/($H116*$B$5),(PI()*DV$12^2)/4*(DR116*$W116*1000)/($G116*$B$5)),
IF($D116="Pénétro.",
IF(OR($E116=4,$E116=1,$E116=5),(PI()*DV$12^2)/4*(DR116*$W116*1000)/($H116*$B$5),(PI()*DV$12^2)/4*(DR116*$W116*1000)/($G116*$B$5)))),
IF($D116="Pressio.",
IF($E116=3,(PI()*DV$12^2)/4*(DR116*$W116*1000)/($H116*$B$5),(PI()*DV$12^2)/4*(DR116*$W116*1000)/($G116*$B$5)),
IF($D116="Pénétro.",
IF($E116=4,(PI()*DV$12^2)/4*(DR116*$W116*1000)/($H116*$B$5),(PI()*DV$12^2)/4*(DR116*$W116*1000)/($G116*$B$5))))))/10</f>
        <v>#N/A</v>
      </c>
      <c r="DW116" s="102" t="e">
        <f>(VLOOKUP($B$3,'Coeff EC7'!$T$39:$X$59,2,0)*DU116+VLOOKUP($B$3,'Coeff EC7'!$T$65:$X$85,2,0)*Model0.1C!DV116)/1.1</f>
        <v>#N/A</v>
      </c>
      <c r="DX116" s="102" t="e">
        <f>(VLOOKUP($B$3,'Coeff EC7'!$T$39:$X$59,3,0)*DU116+VLOOKUP($B$3,'Coeff EC7'!$T$65:$X$85,3,0)*Model0.1C!DV116)/0.9</f>
        <v>#N/A</v>
      </c>
      <c r="DY116" s="102" t="e">
        <f t="shared" si="190"/>
        <v>#N/A</v>
      </c>
      <c r="DZ116" s="102" t="e">
        <f t="shared" si="191"/>
        <v>#N/A</v>
      </c>
      <c r="EA116" s="414" t="e">
        <f>IF(EA115=0,0,IF(AND(DW116&gt;charge_ELS_quasi,DX116&gt;Charge_ELS_freq,DY116&gt;charge_ELU,DZ116&gt;charge_ELA,$B116&gt;NDC!$H$22-0.1+MIN(3*$EA$12,1.5)),0,1))</f>
        <v>#N/A</v>
      </c>
      <c r="EB116" s="86" t="b">
        <f t="shared" si="159"/>
        <v>0</v>
      </c>
      <c r="EC116" s="418">
        <f t="shared" si="160"/>
        <v>0.51</v>
      </c>
      <c r="ED116" s="86">
        <f t="shared" si="161"/>
        <v>0.51</v>
      </c>
      <c r="EE116" s="30" t="e">
        <f t="shared" ca="1" si="192"/>
        <v>#DIV/0!</v>
      </c>
      <c r="EF116" s="85" t="e">
        <f ca="1">IF(DL116&lt;=Hypothèses!$V$7,Hypothèses!$W$7,IF(DL116&lt;=Hypothèses!$V$8,Hypothèses!$W$8,IF(DL116&lt;=Hypothèses!$V$9,Hypothèses!$W$9,IF(DL116&lt;=Hypothèses!$V$10,Hypothèses!$W$10,IF(DL116&lt;=Hypothèses!$V$11,Hypothèses!$W$11,IF(DL116&lt;=Hypothèses!$V$12,Hypothèses!$W$12,IF(DL116&lt;=Hypothèses!$V$13,Hypothèses!$W$13,IF(DL116&lt;=Hypothèses!$V$14,Hypothèses!$W$14,IF(DL116&lt;=Hypothèses!$V$15,Hypothèses!$W$15,IF(DL116&lt;=Hypothèses!$V$16,Hypothèses!$W$16,IF(DL116&lt;=Hypothèses!$V$17,Hypothèses!$W$17,IF(DL116&lt;=Hypothèses!$V$18,Hypothèses!$W$18,""))))))))))))</f>
        <v>#DIV/0!</v>
      </c>
      <c r="EG116" s="87" t="e">
        <f t="shared" ca="1" si="222"/>
        <v>#DIV/0!</v>
      </c>
      <c r="EH116" s="88" t="e">
        <f ca="1">IF(DL116&lt;=Hypothèses!$V$7,Hypothèses!$X$7,IF(DL116&lt;=Hypothèses!$V$8,Hypothèses!$X$8,IF(DL116&lt;=Hypothèses!$V$9,Hypothèses!$X$9,IF(DL116&lt;=Hypothèses!$V$10,Hypothèses!$X$10,IF(DL116&lt;=Hypothèses!$V$11,Hypothèses!$X$11,IF(DL116&lt;=Hypothèses!$V$12,Hypothèses!$X$12,IF(DL116&lt;=Hypothèses!$V$13,Hypothèses!$X$13,IF(DL116&lt;=Hypothèses!$V$14,Hypothèses!$X$14,IF(DL116&lt;=Hypothèses!$V$15,Hypothèses!$X$15,IF(DL116&lt;=Hypothèses!$V$16,Hypothèses!$X$16,IF(DL116&lt;=Hypothèses!$U$17,Hypothèses!$W$17,IF(DL116&lt;=Hypothèses!$U$18,Hypothèses!$W$18,""))))))))))))</f>
        <v>#DIV/0!</v>
      </c>
      <c r="EI116" s="95" t="e">
        <f t="shared" ca="1" si="193"/>
        <v>#DIV/0!</v>
      </c>
      <c r="EJ116" s="101" t="e">
        <f t="shared" si="229"/>
        <v>#N/A</v>
      </c>
      <c r="EK116" s="91" t="e">
        <f t="shared" si="162"/>
        <v>#N/A</v>
      </c>
      <c r="EL116" s="30" t="e">
        <f t="shared" si="212"/>
        <v>#N/A</v>
      </c>
      <c r="EM116" s="30" t="e">
        <f t="shared" si="213"/>
        <v>#N/A</v>
      </c>
      <c r="EN116" s="31" t="e">
        <f>IF(OR(Hypothèses!$B$4=17,Hypothèses!$B$4=18,Hypothèses!$B$4=19,Hypothèses!$B$4=20),
IF($D116="Pressio.",
IF(OR($E116=3,$E116=1,$E116=4),EM116,EL116),
IF($D116="Pénétro.",
IF(OR($E116=3,$E116=1,$E116=4),EM116,EL116))),IF($D116="Pressio.",
IF($E116=3,EM116,EL116),
IF($D116="Pénétro.",
IF($E116=4,EM116,EL116))))</f>
        <v>#N/A</v>
      </c>
      <c r="EO116" s="31" t="e">
        <f>(IF(OR(Hypothèses!$B$4=17,Hypothèses!$B$4=18,Hypothèses!$B$4=19,Hypothèses!$B$4=20),
IF($D116="Pressio.",
IF(OR($E116=3,$E116=1,$E116=4),(PI()*EO$12^2)/4*(EK116*$W116*1000)/($H116*$B$5),(PI()*EO$12^2)/4*(EK116*$W116*1000)/($G116*$B$5)),
IF($D116="Pénétro.",
IF(OR($E116=4,$E116=1,$E116=5),(PI()*EO$12^2)/4*(EK116*$W116*1000)/($H116*$B$5),(PI()*EO$12^2)/4*(EK116*$W116*1000)/($G116*$B$5)))),
IF($D116="Pressio.",
IF($E116=3,(PI()*EO$12^2)/4*(EK116*$W116*1000)/($H116*$B$5),(PI()*EO$12^2)/4*(EK116*$W116*1000)/($G116*$B$5)),
IF($D116="Pénétro.",
IF($E116=4,(PI()*EO$12^2)/4*(EK116*$W116*1000)/($H116*$B$5),(PI()*EO$12^2)/4*(EK116*$W116*1000)/($G116*$B$5))))))/10</f>
        <v>#N/A</v>
      </c>
      <c r="EP116" s="102" t="e">
        <f>(VLOOKUP($B$3,'Coeff EC7'!$T$39:$X$59,2,0)*EN116+VLOOKUP($B$3,'Coeff EC7'!$T$65:$X$85,2,0)*Model0.1C!EO116)/1.1</f>
        <v>#N/A</v>
      </c>
      <c r="EQ116" s="102" t="e">
        <f>(VLOOKUP($B$3,'Coeff EC7'!$T$39:$X$59,3,0)*EN116+VLOOKUP($B$3,'Coeff EC7'!$T$65:$X$85,3,0)*Model0.1C!EO116)/0.9</f>
        <v>#N/A</v>
      </c>
      <c r="ER116" s="102" t="e">
        <f t="shared" si="194"/>
        <v>#N/A</v>
      </c>
      <c r="ES116" s="102" t="e">
        <f t="shared" si="195"/>
        <v>#N/A</v>
      </c>
      <c r="ET116" s="414" t="e">
        <f>IF(ET115=0,0,IF(AND(EP116&gt;charge_ELS_quasi,EQ116&gt;Charge_ELS_freq,ER116&gt;charge_ELU,ES116&gt;charge_ELA,$B116&gt;NDC!$H$22-0.1+MIN(3*$ET$12,1.5)),0,1))</f>
        <v>#N/A</v>
      </c>
      <c r="EU116" s="86" t="b">
        <f t="shared" si="163"/>
        <v>0</v>
      </c>
      <c r="EV116" s="86">
        <f t="shared" si="164"/>
        <v>0.61</v>
      </c>
      <c r="EW116" s="86">
        <f t="shared" si="165"/>
        <v>0.61</v>
      </c>
      <c r="EX116" s="30" t="e">
        <f t="shared" ca="1" si="196"/>
        <v>#DIV/0!</v>
      </c>
      <c r="EY116" s="85" t="e">
        <f ca="1">IF(EE116&lt;=Hypothèses!$V$7,Hypothèses!$W$7,IF(EE116&lt;=Hypothèses!$V$8,Hypothèses!$W$8,IF(EE116&lt;=Hypothèses!$V$9,Hypothèses!$W$9,IF(EE116&lt;=Hypothèses!$V$10,Hypothèses!$W$10,IF(EE116&lt;=Hypothèses!$V$11,Hypothèses!$W$11,IF(EE116&lt;=Hypothèses!$V$12,Hypothèses!$W$12,IF(EE116&lt;=Hypothèses!$V$13,Hypothèses!$W$13,IF(EE116&lt;=Hypothèses!$V$14,Hypothèses!$W$14,IF(EE116&lt;=Hypothèses!$V$15,Hypothèses!$W$15,IF(EE116&lt;=Hypothèses!$V$16,Hypothèses!$W$16,IF(EE116&lt;=Hypothèses!$V$17,Hypothèses!$W$17,IF(EE116&lt;=Hypothèses!$V$18,Hypothèses!$W$18,""))))))))))))</f>
        <v>#DIV/0!</v>
      </c>
      <c r="EZ116" s="87" t="e">
        <f t="shared" ca="1" si="223"/>
        <v>#DIV/0!</v>
      </c>
      <c r="FA116" s="88" t="e">
        <f ca="1">IF(EE116&lt;=Hypothèses!$V$7,Hypothèses!$X$7,IF(EE116&lt;=Hypothèses!$V$8,Hypothèses!$X$8,IF(EE116&lt;=Hypothèses!$V$9,Hypothèses!$X$9,IF(EE116&lt;=Hypothèses!$V$10,Hypothèses!$X$10,IF(EE116&lt;=Hypothèses!$V$11,Hypothèses!$X$11,IF(EE116&lt;=Hypothèses!$V$12,Hypothèses!$X$12,IF(EE116&lt;=Hypothèses!$V$13,Hypothèses!$X$13,IF(EE116&lt;=Hypothèses!$V$14,Hypothèses!$X$14,IF(EE116&lt;=Hypothèses!$V$15,Hypothèses!$X$15,IF(EE116&lt;=Hypothèses!$V$16,Hypothèses!$X$16,IF(EE116&lt;=Hypothèses!$U$17,Hypothèses!$W$17,IF(EE116&lt;=Hypothèses!$U$18,Hypothèses!$W$18,""))))))))))))</f>
        <v>#DIV/0!</v>
      </c>
      <c r="FB116" s="95" t="e">
        <f t="shared" ca="1" si="197"/>
        <v>#DIV/0!</v>
      </c>
      <c r="FC116" s="101" t="e">
        <f t="shared" si="230"/>
        <v>#N/A</v>
      </c>
      <c r="FD116" s="91" t="e">
        <f t="shared" si="166"/>
        <v>#N/A</v>
      </c>
      <c r="FE116" s="30" t="e">
        <f t="shared" si="214"/>
        <v>#N/A</v>
      </c>
      <c r="FF116" s="30" t="e">
        <f t="shared" si="215"/>
        <v>#N/A</v>
      </c>
      <c r="FG116" s="31" t="e">
        <f>IF(OR(Hypothèses!$B$4=17,Hypothèses!$B$4=18,Hypothèses!$B$4=19,Hypothèses!$B$4=20),
IF($D116="Pressio.",
IF(OR($E116=3,$E116=1,$E116=4),FF116,FE116),
IF($D116="Pénétro.",
IF(OR($E116=3,$E116=1,$E116=4),FF116,FE116))),IF($D116="Pressio.",
IF($E116=3,FF116,FE116),
IF($D116="Pénétro.",
IF($E116=4,FF116,FE116))))</f>
        <v>#N/A</v>
      </c>
      <c r="FH116" s="31" t="e">
        <f>(IF(OR(Hypothèses!$B$4=17,Hypothèses!$B$4=18,Hypothèses!$B$4=19,Hypothèses!$B$4=20),
IF($D116="Pressio.",
IF(OR($E116=3,$E116=1,$E116=4),(PI()*FH$12^2)/4*(FD116*$W116*1000)/($H116*$B$5),(PI()*FH$12^2)/4*(FD116*$W116*1000)/($G116*$B$5)),
IF($D116="Pénétro.",
IF(OR($E116=4,$E116=1,$E116=5),(PI()*FH$12^2)/4*(FD116*$W116*1000)/($H116*$B$5),(PI()*FH$12^2)/4*(FD116*$W116*1000)/($G116*$B$5)))),
IF($D116="Pressio.",
IF($E116=3,(PI()*FH$12^2)/4*(FD116*$W116*1000)/($H116*$B$5),(PI()*FH$12^2)/4*(FD116*$W116*1000)/($G116*$B$5)),
IF($D116="Pénétro.",
IF($E116=4,(PI()*FH$12^2)/4*(FD116*$W116*1000)/($H116*$B$5),(PI()*FH$12^2)/4*(FD116*$W116*1000)/($G116*$B$5))))))/10</f>
        <v>#N/A</v>
      </c>
      <c r="FI116" s="102" t="e">
        <f>(VLOOKUP($B$3,'Coeff EC7'!$T$39:$X$59,2,0)*FG116+VLOOKUP($B$3,'Coeff EC7'!$T$65:$X$85,2,0)*Model0.1C!FH116)/1.1</f>
        <v>#N/A</v>
      </c>
      <c r="FJ116" s="102" t="e">
        <f>(VLOOKUP($B$3,'Coeff EC7'!$T$39:$X$59,3,0)*FG116+VLOOKUP($B$3,'Coeff EC7'!$T$65:$X$85,3,0)*Model0.1C!FH116)/0.9</f>
        <v>#N/A</v>
      </c>
      <c r="FK116" s="102" t="e">
        <f t="shared" si="198"/>
        <v>#N/A</v>
      </c>
      <c r="FL116" s="102" t="e">
        <f t="shared" si="199"/>
        <v>#N/A</v>
      </c>
      <c r="FM116" s="414" t="e">
        <f>IF(FM115=0,0,IF(AND(FI116&gt;charge_ELS_quasi,FJ116&gt;Charge_ELS_freq,FK116&gt;charge_ELU,FL116&gt;charge_ELA,$B116&gt;NDC!$H$22-0.1+MIN(3*$FM$12,1.5)),0,1))</f>
        <v>#N/A</v>
      </c>
    </row>
    <row r="117" spans="1:169">
      <c r="A117" s="96">
        <f t="shared" si="167"/>
        <v>89.600000000000591</v>
      </c>
      <c r="B117" s="97">
        <v>10.4</v>
      </c>
      <c r="C117" s="81">
        <f>IF(B117&lt;=Hypothèses!$C$7,Hypothèses!$A$7,IF(B117&lt;=Hypothèses!$C$8,Hypothèses!$A$8,IF(B117&lt;=Hypothèses!$C$9,Hypothèses!$A$9,IF(B117&lt;=Hypothèses!$C$10,Hypothèses!$A$10,IF(B117&lt;=Hypothèses!$C$11,Hypothèses!$A$11,IF(B117&lt;=Hypothèses!$C$12,Hypothèses!$A$12,IF(B117&lt;=Hypothèses!$C$13,Hypothèses!$A$13,IF(B117&lt;=Hypothèses!$C$14,Hypothèses!$A$14,IF(B117&lt;=Hypothèses!$C$15,Hypothèses!$A$15,IF(B117&lt;=Hypothèses!$C$16,Hypothèses!$A$16,IF(B117&lt;=Hypothèses!$C$17,Hypothèses!$A$17,IF(B117&lt;=Hypothèses!$C$18,Hypothèses!$A$18,C116))))))))))))</f>
        <v>11</v>
      </c>
      <c r="D117" s="82" t="str">
        <f>IF(B117&lt;=Hypothèses!$C$7,Hypothèses!$R$7,IF(B117&lt;=Hypothèses!$C$8,Hypothèses!$R$8,IF(B117&lt;=Hypothèses!$C$9,Hypothèses!$R$9,IF(B117&lt;=Hypothèses!$C$10,Hypothèses!$R$10,IF(B117&lt;=Hypothèses!$C$11,Hypothèses!$R$11,IF(B117&lt;=Hypothèses!$C$12,Hypothèses!$R$12,IF(B117&lt;=Hypothèses!$C$13,Hypothèses!$R$13,IF(B117&lt;=Hypothèses!$C$14,Hypothèses!$R$14,IF(B117&lt;=Hypothèses!$C$15,Hypothèses!$R$15,IF(B117&lt;=Hypothèses!$C$16,Hypothèses!$R$16,IF(B117&lt;=Hypothèses!$C$17,Hypothèses!$R$17,IF(B117&lt;=Hypothèses!$C$18,Hypothèses!$R$18,D116))))))))))))</f>
        <v>Pressio.</v>
      </c>
      <c r="E117" s="82" t="e">
        <f>IF(B117&lt;=Hypothèses!$C$7,Hypothèses!$G$7,IF(B117&lt;=Hypothèses!$C$8,Hypothèses!$G$8,IF(B117&lt;=Hypothèses!$C$9,Hypothèses!$G$9,IF(B117&lt;=Hypothèses!$C$10,Hypothèses!$G$10,IF(B117&lt;=Hypothèses!$C$11,Hypothèses!$G$11,IF(B117&lt;=Hypothèses!$C$12,Hypothèses!$G$12,IF(B117&lt;=Hypothèses!$C$13,Hypothèses!$G$13,IF(B117&lt;=Hypothèses!$C$14,Hypothèses!$G$14,IF(B117&lt;=Hypothèses!$C$15,Hypothèses!$G$15,IF(B117&lt;=Hypothèses!$C$16,Hypothèses!$G$16,IF(B117&lt;=Hypothèses!$C$17,Hypothèses!$G$17,IF(B117&lt;=Hypothèses!$C$18,Hypothèses!$G$18,E116))))))))))))</f>
        <v>#N/A</v>
      </c>
      <c r="F117" s="82" t="str">
        <f>IF(B117&lt;=Hypothèses!$C$7,Hypothèses!$F$7,IF(B117&lt;=Hypothèses!$C$8,Hypothèses!$F$8,IF(B117&lt;=Hypothèses!$C$9,Hypothèses!$F$9,IF(B117&lt;=Hypothèses!$C$10,Hypothèses!$F$10,IF(B117&lt;=Hypothèses!$C$11,Hypothèses!$F$11,IF(B117&lt;=Hypothèses!$C$12,Hypothèses!$F$12,IF(B117&lt;=Hypothèses!$C$13,Hypothèses!$F$13,IF(B117&lt;=Hypothèses!$C$14,Hypothèses!$F$14,IF(B117&lt;=Hypothèses!$C$15,Hypothèses!$F$15,IF(B117&lt;=Hypothèses!$C$16,Hypothèses!$F$16,IF(B117&lt;=Hypothèses!$C$17,Hypothèses!$F$17,IF(B117&lt;=Hypothèses!$C$18,Hypothèses!$F$18,F116))))))))))))</f>
        <v/>
      </c>
      <c r="G117" s="91">
        <f t="array" ref="G117">INDEX('Coeff EC7'!$U$7:$X$27,
MATCH(Model0.1C!$B$3,'Coeff EC7'!$T$7:$T$27,0),
MATCH(Model0.1C!$D117&amp;Model0.1C!$B$4,
'Coeff EC7'!$U$6:$X$6&amp;
'Coeff EC7'!$U$5:$X$5,0))</f>
        <v>1.1499999999999999</v>
      </c>
      <c r="H117" s="91">
        <f t="array" ref="H117">INDEX('Coeff EC7'!$Y$7:$AB$27,
MATCH(Model0.1C!$B$3,'Coeff EC7'!$T$7:$T$27,0),
MATCH(Model0.1C!$D117&amp;Model0.1C!$B$4,
'Coeff EC7'!$Y$6:$AB$6&amp;
'Coeff EC7'!$Y$5:$AB$5,0))</f>
        <v>1.4</v>
      </c>
      <c r="I117" s="83" t="e">
        <f>IF(B117&lt;=Hypothèses!$C$7,Hypothèses!$P$7,IF(B117&lt;=Hypothèses!$C$8,Hypothèses!$P$8,IF(B117&lt;=Hypothèses!$C$9,Hypothèses!$P$9,IF(B117&lt;=Hypothèses!$C$10,Hypothèses!$P$10,IF(B117&lt;=Hypothèses!$C$11,Hypothèses!$P$11,IF(B117&lt;=Hypothèses!$C$12,Hypothèses!$P$12,IF(B117&lt;=Hypothèses!$C$13,Hypothèses!$P$13,IF(B117&lt;=Hypothèses!$C$14,Hypothèses!$P$14,IF(B117&lt;=Hypothèses!$C$15,Hypothèses!$P$15,IF(B117&lt;=Hypothèses!$C$16,Hypothèses!$P$16,IF(B117&lt;=Hypothèses!$C$17,Hypothèses!$P$17,IF(B117&lt;=Hypothèses!$C$18,Hypothèses!$P$18,I116))))))))))))</f>
        <v>#N/A</v>
      </c>
      <c r="J117" s="91" t="e">
        <f t="array" ref="J117">INDEX('Coeff EC7'!$D$33:$Q$33,1,MATCH(D117&amp;E117,'Coeff EC7'!$D$31:$Q$31&amp;'Coeff EC7'!$D$32:$Q$32,0))</f>
        <v>#N/A</v>
      </c>
      <c r="K117" s="91" t="e">
        <f t="array" ref="K117">INDEX('Coeff EC7'!$D$34:$Q$34,1,MATCH(D117&amp;E117,'Coeff EC7'!$D$31:$Q$31&amp;'Coeff EC7'!$D$32:$Q$32,0))</f>
        <v>#N/A</v>
      </c>
      <c r="L117" s="91" t="e">
        <f t="array" ref="L117">INDEX('Coeff EC7'!$D$35:$Q$35,1,MATCH(D117&amp;E117,'Coeff EC7'!$D$31:$Q$31&amp;'Coeff EC7'!$D$32:$Q$32,0))</f>
        <v>#N/A</v>
      </c>
      <c r="M117" s="98" t="e">
        <f t="shared" si="131"/>
        <v>#N/A</v>
      </c>
      <c r="N117" s="99" t="e">
        <f t="array" ref="N117">INDEX('Coeff EC7'!$D$7:$Q$27,MATCH($B$3,'Coeff EC7'!$C$7:$C$27,0),MATCH(D117&amp;E117,'Coeff EC7'!$D$5:$Q$5&amp;'Coeff EC7'!$D$6:$Q$6,0))</f>
        <v>#N/A</v>
      </c>
      <c r="O117" s="99" t="e">
        <f t="array" ref="O117">INDEX('Coeff EC7'!$D$41:$Q$61,MATCH($B$3,'Coeff EC7'!$C$41:$C$61,0),MATCH(D117&amp;E117,'Coeff EC7'!$D$39:$Q$39&amp;'Coeff EC7'!$D$40:$Q$40,0))</f>
        <v>#N/A</v>
      </c>
      <c r="P117" s="30" t="e">
        <f t="shared" si="168"/>
        <v>#N/A</v>
      </c>
      <c r="Q117" s="100" t="e">
        <f t="shared" si="133"/>
        <v>#N/A</v>
      </c>
      <c r="R117" s="86" t="b">
        <f t="shared" si="134"/>
        <v>0</v>
      </c>
      <c r="S117" s="86">
        <f t="shared" si="132"/>
        <v>0.5</v>
      </c>
      <c r="T117" s="86">
        <f t="shared" si="135"/>
        <v>0.5</v>
      </c>
      <c r="U117" s="30" t="e">
        <f t="shared" ca="1" si="169"/>
        <v>#DIV/0!</v>
      </c>
      <c r="V117" s="85" t="str">
        <f>IF(B117&lt;=Hypothèses!$V$7,Hypothèses!$W$7,IF(B117&lt;=Hypothèses!$V$8,Hypothèses!$W$8,IF(B117&lt;=Hypothèses!$V$9,Hypothèses!$W$9,IF(B117&lt;=Hypothèses!$V$10,Hypothèses!$W$10,IF(B117&lt;=Hypothèses!$V$11,Hypothèses!$W$11,IF(B117&lt;=Hypothèses!$V$12,Hypothèses!$W$12,IF(B117&lt;=Hypothèses!$V$13,Hypothèses!$W$13,IF(B117&lt;=Hypothèses!$V$14,Hypothèses!$W$14,IF(B117&lt;=Hypothèses!$V$15,Hypothèses!$W$15,IF(B117&lt;=Hypothèses!$V$16,Hypothèses!$W$16,IF(B117&lt;=Hypothèses!$V$17,Hypothèses!$W$17,IF(B117&lt;=Hypothèses!$V$18,Hypothèses!$W$18,""))))))))))))</f>
        <v/>
      </c>
      <c r="W117" s="87" t="e">
        <f t="shared" ca="1" si="216"/>
        <v>#DIV/0!</v>
      </c>
      <c r="X117" s="88" t="str">
        <f>IF(B117&lt;=Hypothèses!$V$7,Hypothèses!$X$7,IF(B117&lt;=Hypothèses!$V$8,Hypothèses!$X$8,IF(B117&lt;=Hypothèses!$V$9,Hypothèses!$X$9,IF(B117&lt;=Hypothèses!$V$10,Hypothèses!$X$10,IF(B117&lt;=Hypothèses!$V$11,Hypothèses!$X$11,IF(B117&lt;=Hypothèses!$V$12,Hypothèses!$X$12,IF(B117&lt;=Hypothèses!$V$13,Hypothèses!$X$13,IF(B117&lt;=Hypothèses!$V$14,Hypothèses!$X$14,IF(B117&lt;=Hypothèses!$V$15,Hypothèses!$X$15,IF(B117&lt;=Hypothèses!$V$16,Hypothèses!$X$16,IF(B117&lt;=Hypothèses!$U$17,Hypothèses!$W$17,IF(B117&lt;=Hypothèses!$U$18,Hypothèses!$W$18,""))))))))))))</f>
        <v/>
      </c>
      <c r="Y117" s="95" t="e">
        <f t="shared" ca="1" si="136"/>
        <v>#DIV/0!</v>
      </c>
      <c r="Z117" s="101" t="e">
        <f t="shared" si="137"/>
        <v>#N/A</v>
      </c>
      <c r="AA117" s="91" t="e">
        <f t="shared" si="138"/>
        <v>#N/A</v>
      </c>
      <c r="AB117" s="30" t="e">
        <f t="shared" si="200"/>
        <v>#N/A</v>
      </c>
      <c r="AC117" s="30" t="e">
        <f t="shared" si="201"/>
        <v>#N/A</v>
      </c>
      <c r="AD117" s="31" t="e">
        <f>IF(OR(Hypothèses!$B$4=17,Hypothèses!$B$4=18,Hypothèses!$B$4=19,Hypothèses!$B$4=20),
IF($D117="Pressio.",
IF(OR($E117=3,$E117=1,$E117=4),AC117,AB117),
IF($D117="Pénétro.",
IF(OR($E117=3,$E117=1,$E117=4),AC117,AB117))),IF($D117="Pressio.",
IF($E117=3,AC117,AB117),
IF($D117="Pénétro.",
IF($E117=4,AC117,AB117))))</f>
        <v>#N/A</v>
      </c>
      <c r="AE117" s="31" t="e">
        <f>(IF(OR(Hypothèses!$B$4=17,Hypothèses!$B$4=18,Hypothèses!$B$4=19,Hypothèses!$B$4=20),
IF($D117="Pressio.",
IF(OR($E117=3,$E117=1,$E117=4),(PI()*AE$12^2)/4*(AA117*$W117*1000)/($H117*$B$5),(PI()*AE$12^2)/4*(AA117*$W117*1000)/($G117*$B$5)),
IF($D117="Pénétro.",
IF(OR($E117=4,$E117=1,$E117=5),(PI()*AE$12^2)/4*(AA117*$W117*1000)/($H117*$B$5),(PI()*AE$12^2)/4*(AA117*$W117*1000)/($G117*$B$5)))),
IF($D117="Pressio.",
IF($E117=3,(PI()*AE$12^2)/4*(AA117*$W117*1000)/($H117*$B$5),(PI()*AE$12^2)/4*(AA117*$W117*1000)/($G117*$B$5)),
IF($D117="Pénétro.",
IF($E117=4,(PI()*AE$12^2)/4*(AA117*$W117*1000)/($H117*$B$5),(PI()*AE$12^2)/4*(AA117*$W117*1000)/($G117*$B$5))))))/10</f>
        <v>#N/A</v>
      </c>
      <c r="AF117" s="102" t="e">
        <f>(VLOOKUP($B$3,'Coeff EC7'!$T$39:$X$59,2,0)*AD117+VLOOKUP($B$3,'Coeff EC7'!$T$65:$X$85,2,0)*Model0.1C!AE117)/1.1</f>
        <v>#N/A</v>
      </c>
      <c r="AG117" s="102" t="e">
        <f>(VLOOKUP($B$3,'Coeff EC7'!$T$39:$X$59,3,0)*AD117+VLOOKUP($B$3,'Coeff EC7'!$T$65:$X$85,3,0)*Model0.1C!AE117)/0.9</f>
        <v>#N/A</v>
      </c>
      <c r="AH117" s="102" t="e">
        <f t="shared" si="139"/>
        <v>#N/A</v>
      </c>
      <c r="AI117" s="102" t="e">
        <f t="shared" si="140"/>
        <v>#N/A</v>
      </c>
      <c r="AJ117" s="414" t="e">
        <f>IF(AJ116=0,0,IF(AND(AF117&gt;charge_ELS_quasi,AG117&gt;Charge_ELS_freq,AH117&gt;charge_ELU,AI117&gt;charge_ELA,$B117&gt;NDC!$H$22-0.1+MIN(3*$AJ$12,1.5)),0,1))</f>
        <v>#N/A</v>
      </c>
      <c r="AK117" s="86" t="b">
        <f t="shared" si="141"/>
        <v>0</v>
      </c>
      <c r="AL117" s="86">
        <f t="shared" si="170"/>
        <v>0.5</v>
      </c>
      <c r="AM117" s="86">
        <f t="shared" si="142"/>
        <v>0.5</v>
      </c>
      <c r="AN117" s="30" t="e">
        <f t="shared" ca="1" si="171"/>
        <v>#DIV/0!</v>
      </c>
      <c r="AO117" s="85" t="e">
        <f ca="1">IF(U117&lt;=Hypothèses!$V$7,Hypothèses!$W$7,IF(U117&lt;=Hypothèses!$V$8,Hypothèses!$W$8,IF(U117&lt;=Hypothèses!$V$9,Hypothèses!$W$9,IF(U117&lt;=Hypothèses!$V$10,Hypothèses!$W$10,IF(U117&lt;=Hypothèses!$V$11,Hypothèses!$W$11,IF(U117&lt;=Hypothèses!$V$12,Hypothèses!$W$12,IF(U117&lt;=Hypothèses!$V$13,Hypothèses!$W$13,IF(U117&lt;=Hypothèses!$V$14,Hypothèses!$W$14,IF(U117&lt;=Hypothèses!$V$15,Hypothèses!$W$15,IF(U117&lt;=Hypothèses!$V$16,Hypothèses!$W$16,IF(U117&lt;=Hypothèses!$V$17,Hypothèses!$W$17,IF(U117&lt;=Hypothèses!$V$18,Hypothèses!$W$18,""))))))))))))</f>
        <v>#DIV/0!</v>
      </c>
      <c r="AP117" s="87" t="e">
        <f t="shared" ca="1" si="217"/>
        <v>#DIV/0!</v>
      </c>
      <c r="AQ117" s="88" t="e">
        <f ca="1">IF(U117&lt;=Hypothèses!$V$7,Hypothèses!$X$7,IF(U117&lt;=Hypothèses!$V$8,Hypothèses!$X$8,IF(U117&lt;=Hypothèses!$V$9,Hypothèses!$X$9,IF(U117&lt;=Hypothèses!$V$10,Hypothèses!$X$10,IF(U117&lt;=Hypothèses!$V$11,Hypothèses!$X$11,IF(U117&lt;=Hypothèses!$V$12,Hypothèses!$X$12,IF(U117&lt;=Hypothèses!$V$13,Hypothèses!$X$13,IF(U117&lt;=Hypothèses!$V$14,Hypothèses!$X$14,IF(U117&lt;=Hypothèses!$V$15,Hypothèses!$X$15,IF(U117&lt;=Hypothèses!$V$16,Hypothèses!$X$16,IF(U117&lt;=Hypothèses!$U$17,Hypothèses!$W$17,IF(U117&lt;=Hypothèses!$U$18,Hypothèses!$W$18,""))))))))))))</f>
        <v>#DIV/0!</v>
      </c>
      <c r="AR117" s="95" t="e">
        <f t="shared" ca="1" si="172"/>
        <v>#DIV/0!</v>
      </c>
      <c r="AS117" s="101" t="e">
        <f t="shared" si="224"/>
        <v>#N/A</v>
      </c>
      <c r="AT117" s="91" t="e">
        <f t="shared" si="143"/>
        <v>#N/A</v>
      </c>
      <c r="AU117" s="30" t="e">
        <f t="shared" si="202"/>
        <v>#N/A</v>
      </c>
      <c r="AV117" s="30" t="e">
        <f t="shared" si="203"/>
        <v>#N/A</v>
      </c>
      <c r="AW117" s="31" t="e">
        <f>IF(OR(Hypothèses!$B$4=17,Hypothèses!$B$4=18,Hypothèses!$B$4=19,Hypothèses!$B$4=20),
IF($D117="Pressio.",
IF(OR($E117=3,$E117=1,$E117=4),AV117,AU117),
IF($D117="Pénétro.",
IF(OR($E117=3,$E117=1,$E117=4),AV117,AU117))),IF($D117="Pressio.",
IF($E117=3,AV117,AU117),
IF($D117="Pénétro.",
IF($E117=4,AV117,AU117))))</f>
        <v>#N/A</v>
      </c>
      <c r="AX117" s="31" t="e">
        <f>(IF(OR(Hypothèses!$B$4=17,Hypothèses!$B$4=18,Hypothèses!$B$4=19,Hypothèses!$B$4=20),
IF($D117="Pressio.",
IF(OR($E117=3,$E117=1,$E117=4),(PI()*AX$12^2)/4*(AT117*$W117*1000)/($H117*$B$5),(PI()*AX$12^2)/4*(AT117*$W117*1000)/($G117*$B$5)),
IF($D117="Pénétro.",
IF(OR($E117=4,$E117=1,$E117=5),(PI()*AX$12^2)/4*(AT117*$W117*1000)/($H117*$B$5),(PI()*AX$12^2)/4*(AT117*$W117*1000)/($G117*$B$5)))),
IF($D117="Pressio.",
IF($E117=3,(PI()*AX$12^2)/4*(AT117*$W117*1000)/($H117*$B$5),(PI()*AX$12^2)/4*(AT117*$W117*1000)/($G117*$B$5)),
IF($D117="Pénétro.",
IF($E117=4,(PI()*AX$12^2)/4*(AT117*$W117*1000)/($H117*$B$5),(PI()*AX$12^2)/4*(AT117*$W117*1000)/($G117*$B$5))))))/10</f>
        <v>#N/A</v>
      </c>
      <c r="AY117" s="102" t="e">
        <f>(VLOOKUP($B$3,'Coeff EC7'!$T$39:$X$59,2,0)*AW117+VLOOKUP($B$3,'Coeff EC7'!$T$65:$X$85,2,0)*Model0.1C!AX117)/1.1</f>
        <v>#N/A</v>
      </c>
      <c r="AZ117" s="102" t="e">
        <f>(VLOOKUP($B$3,'Coeff EC7'!$T$39:$X$59,3,0)*AW117+VLOOKUP($B$3,'Coeff EC7'!$T$65:$X$85,3,0)*Model0.1C!AX117)/0.9</f>
        <v>#N/A</v>
      </c>
      <c r="BA117" s="102" t="e">
        <f t="shared" si="173"/>
        <v>#N/A</v>
      </c>
      <c r="BB117" s="102" t="e">
        <f t="shared" si="174"/>
        <v>#N/A</v>
      </c>
      <c r="BC117" s="414" t="e">
        <f>IF(BC116=0,0,IF(AND(AY117&gt;charge_ELS_quasi,AZ117&gt;Charge_ELS_freq,BA117&gt;charge_ELU,BB117&gt;charge_ELA,$B117&gt;NDC!$H$22-0.1+MIN(3*$BC$12,1.5)),0,1))</f>
        <v>#N/A</v>
      </c>
      <c r="BD117" s="86" t="b">
        <f t="shared" si="144"/>
        <v>0</v>
      </c>
      <c r="BE117" s="86">
        <f t="shared" si="175"/>
        <v>0.5</v>
      </c>
      <c r="BF117" s="86">
        <f t="shared" si="145"/>
        <v>0.5</v>
      </c>
      <c r="BG117" s="30" t="e">
        <f t="shared" ca="1" si="176"/>
        <v>#DIV/0!</v>
      </c>
      <c r="BH117" s="85" t="e">
        <f ca="1">IF(AN117&lt;=Hypothèses!$V$7,Hypothèses!$W$7,IF(AN117&lt;=Hypothèses!$V$8,Hypothèses!$W$8,IF(AN117&lt;=Hypothèses!$V$9,Hypothèses!$W$9,IF(AN117&lt;=Hypothèses!$V$10,Hypothèses!$W$10,IF(AN117&lt;=Hypothèses!$V$11,Hypothèses!$W$11,IF(AN117&lt;=Hypothèses!$V$12,Hypothèses!$W$12,IF(AN117&lt;=Hypothèses!$V$13,Hypothèses!$W$13,IF(AN117&lt;=Hypothèses!$V$14,Hypothèses!$W$14,IF(AN117&lt;=Hypothèses!$V$15,Hypothèses!$W$15,IF(AN117&lt;=Hypothèses!$V$16,Hypothèses!$W$16,IF(AN117&lt;=Hypothèses!$V$17,Hypothèses!$W$17,IF(AN117&lt;=Hypothèses!$V$18,Hypothèses!$W$18,""))))))))))))</f>
        <v>#DIV/0!</v>
      </c>
      <c r="BI117" s="87" t="e">
        <f t="shared" ca="1" si="218"/>
        <v>#DIV/0!</v>
      </c>
      <c r="BJ117" s="88" t="e">
        <f ca="1">IF(AN117&lt;=Hypothèses!$V$7,Hypothèses!$X$7,IF(AN117&lt;=Hypothèses!$V$8,Hypothèses!$X$8,IF(AN117&lt;=Hypothèses!$V$9,Hypothèses!$X$9,IF(AN117&lt;=Hypothèses!$V$10,Hypothèses!$X$10,IF(AN117&lt;=Hypothèses!$V$11,Hypothèses!$X$11,IF(AN117&lt;=Hypothèses!$V$12,Hypothèses!$X$12,IF(AN117&lt;=Hypothèses!$V$13,Hypothèses!$X$13,IF(AN117&lt;=Hypothèses!$V$14,Hypothèses!$X$14,IF(AN117&lt;=Hypothèses!$V$15,Hypothèses!$X$15,IF(AN117&lt;=Hypothèses!$V$16,Hypothèses!$X$16,IF(AN117&lt;=Hypothèses!$U$17,Hypothèses!$W$17,IF(AN117&lt;=Hypothèses!$U$18,Hypothèses!$W$18,""))))))))))))</f>
        <v>#DIV/0!</v>
      </c>
      <c r="BK117" s="95" t="e">
        <f t="shared" ca="1" si="177"/>
        <v>#DIV/0!</v>
      </c>
      <c r="BL117" s="101" t="e">
        <f t="shared" si="225"/>
        <v>#N/A</v>
      </c>
      <c r="BM117" s="91" t="e">
        <f t="shared" si="146"/>
        <v>#N/A</v>
      </c>
      <c r="BN117" s="30" t="e">
        <f t="shared" si="204"/>
        <v>#N/A</v>
      </c>
      <c r="BO117" s="30" t="e">
        <f t="shared" si="205"/>
        <v>#N/A</v>
      </c>
      <c r="BP117" s="31" t="e">
        <f>IF(OR(Hypothèses!$B$4=17,Hypothèses!$B$4=18,Hypothèses!$B$4=19,Hypothèses!$B$4=20),
IF($D117="Pressio.",
IF(OR($E117=3,$E117=1,$E117=4),BO117,BN117),
IF($D117="Pénétro.",
IF(OR($E117=3,$E117=1,$E117=4),BO117,BN117))),IF($D117="Pressio.",
IF($E117=3,BO117,BN117),
IF($D117="Pénétro.",
IF($E117=4,BO117,BN117))))</f>
        <v>#N/A</v>
      </c>
      <c r="BQ117" s="31" t="e">
        <f>(IF(OR(Hypothèses!$B$4=17,Hypothèses!$B$4=18,Hypothèses!$B$4=19,Hypothèses!$B$4=20),
IF($D117="Pressio.",
IF(OR($E117=3,$E117=1,$E117=4),(PI()*BQ$12^2)/4*(BM117*$W117*1000)/($H117*$B$5),(PI()*BQ$12^2)/4*(BM117*$W117*1000)/($G117*$B$5)),
IF($D117="Pénétro.",
IF(OR($E117=4,$E117=1,$E117=5),(PI()*BQ$12^2)/4*(BM117*$W117*1000)/($H117*$B$5),(PI()*BQ$12^2)/4*(BM117*$W117*1000)/($G117*$B$5)))),
IF($D117="Pressio.",
IF($E117=3,(PI()*BQ$12^2)/4*(BM117*$W117*1000)/($H117*$B$5),(PI()*BQ$12^2)/4*(BM117*$W117*1000)/($G117*$B$5)),
IF($D117="Pénétro.",
IF($E117=4,(PI()*BQ$12^2)/4*(BM117*$W117*1000)/($H117*$B$5),(PI()*BQ$12^2)/4*(BM117*$W117*1000)/($G117*$B$5))))))/10</f>
        <v>#N/A</v>
      </c>
      <c r="BR117" s="102" t="e">
        <f>(VLOOKUP($B$3,'Coeff EC7'!$T$39:$X$59,2,0)*BP117+VLOOKUP($B$3,'Coeff EC7'!$T$65:$X$85,2,0)*Model0.1C!BQ117)/1.1</f>
        <v>#N/A</v>
      </c>
      <c r="BS117" s="102" t="e">
        <f>(VLOOKUP($B$3,'Coeff EC7'!$T$39:$X$59,3,0)*BP117+VLOOKUP($B$3,'Coeff EC7'!$T$65:$X$85,3,0)*Model0.1C!BQ117)/0.9</f>
        <v>#N/A</v>
      </c>
      <c r="BT117" s="102" t="e">
        <f t="shared" si="178"/>
        <v>#N/A</v>
      </c>
      <c r="BU117" s="102" t="e">
        <f t="shared" si="179"/>
        <v>#N/A</v>
      </c>
      <c r="BV117" s="414" t="e">
        <f>IF(BV116=0,0,IF(AND(BR117&gt;charge_ELS_quasi,BS117&gt;Charge_ELS_freq,BT117&gt;charge_ELU,BU117&gt;charge_ELA,$B117&gt;NDC!$H$22-0.1+MIN(3*$BV$12,1.5)),0,1))</f>
        <v>#N/A</v>
      </c>
      <c r="BW117" s="86" t="b">
        <f t="shared" si="147"/>
        <v>0</v>
      </c>
      <c r="BX117" s="86">
        <f t="shared" si="148"/>
        <v>0.5</v>
      </c>
      <c r="BY117" s="86">
        <f t="shared" si="149"/>
        <v>0.5</v>
      </c>
      <c r="BZ117" s="30" t="e">
        <f t="shared" ca="1" si="180"/>
        <v>#DIV/0!</v>
      </c>
      <c r="CA117" s="85" t="e">
        <f ca="1">IF(BG117&lt;=Hypothèses!$V$7,Hypothèses!$W$7,IF(BG117&lt;=Hypothèses!$V$8,Hypothèses!$W$8,IF(BG117&lt;=Hypothèses!$V$9,Hypothèses!$W$9,IF(BG117&lt;=Hypothèses!$V$10,Hypothèses!$W$10,IF(BG117&lt;=Hypothèses!$V$11,Hypothèses!$W$11,IF(BG117&lt;=Hypothèses!$V$12,Hypothèses!$W$12,IF(BG117&lt;=Hypothèses!$V$13,Hypothèses!$W$13,IF(BG117&lt;=Hypothèses!$V$14,Hypothèses!$W$14,IF(BG117&lt;=Hypothèses!$V$15,Hypothèses!$W$15,IF(BG117&lt;=Hypothèses!$V$16,Hypothèses!$W$16,IF(BG117&lt;=Hypothèses!$V$17,Hypothèses!$W$17,IF(BG117&lt;=Hypothèses!$V$18,Hypothèses!$W$18,""))))))))))))</f>
        <v>#DIV/0!</v>
      </c>
      <c r="CB117" s="87" t="e">
        <f t="shared" ca="1" si="219"/>
        <v>#DIV/0!</v>
      </c>
      <c r="CC117" s="88" t="e">
        <f ca="1">IF(BG117&lt;=Hypothèses!$V$7,Hypothèses!$X$7,IF(BG117&lt;=Hypothèses!$V$8,Hypothèses!$X$8,IF(BG117&lt;=Hypothèses!$V$9,Hypothèses!$X$9,IF(BG117&lt;=Hypothèses!$V$10,Hypothèses!$X$10,IF(BG117&lt;=Hypothèses!$V$11,Hypothèses!$X$11,IF(BG117&lt;=Hypothèses!$V$12,Hypothèses!$X$12,IF(BG117&lt;=Hypothèses!$V$13,Hypothèses!$X$13,IF(BG117&lt;=Hypothèses!$V$14,Hypothèses!$X$14,IF(BG117&lt;=Hypothèses!$V$15,Hypothèses!$X$15,IF(BG117&lt;=Hypothèses!$V$16,Hypothèses!$X$16,IF(BG117&lt;=Hypothèses!$U$17,Hypothèses!$W$17,IF(BG117&lt;=Hypothèses!$U$18,Hypothèses!$W$18,""))))))))))))</f>
        <v>#DIV/0!</v>
      </c>
      <c r="CD117" s="95" t="e">
        <f t="shared" ca="1" si="181"/>
        <v>#DIV/0!</v>
      </c>
      <c r="CE117" s="101" t="e">
        <f t="shared" si="226"/>
        <v>#N/A</v>
      </c>
      <c r="CF117" s="91" t="e">
        <f t="shared" si="150"/>
        <v>#N/A</v>
      </c>
      <c r="CG117" s="30" t="e">
        <f t="shared" si="206"/>
        <v>#N/A</v>
      </c>
      <c r="CH117" s="30" t="e">
        <f t="shared" si="207"/>
        <v>#N/A</v>
      </c>
      <c r="CI117" s="31" t="e">
        <f>IF(OR(Hypothèses!$B$4=17,Hypothèses!$B$4=18,Hypothèses!$B$4=19,Hypothèses!$B$4=20),
IF($D117="Pressio.",
IF(OR($E117=3,$E117=1,$E117=4),CH117,CG117),
IF($D117="Pénétro.",
IF(OR($E117=3,$E117=1,$E117=4),CH117,CG117))),IF($D117="Pressio.",
IF($E117=3,CH117,CG117),
IF($D117="Pénétro.",
IF($E117=4,CH117,CG117))))</f>
        <v>#N/A</v>
      </c>
      <c r="CJ117" s="31" t="e">
        <f>(IF(OR(Hypothèses!$B$4=17,Hypothèses!$B$4=18,Hypothèses!$B$4=19,Hypothèses!$B$4=20),
IF($D117="Pressio.",
IF(OR($E117=3,$E117=1,$E117=4),(PI()*CJ$12^2)/4*(CF117*$W117*1000)/($H117*$B$5),(PI()*CJ$12^2)/4*(CF117*$W117*1000)/($G117*$B$5)),
IF($D117="Pénétro.",
IF(OR($E117=4,$E117=1,$E117=5),(PI()*CJ$12^2)/4*(CF117*$W117*1000)/($H117*$B$5),(PI()*CJ$12^2)/4*(CF117*$W117*1000)/($G117*$B$5)))),
IF($D117="Pressio.",
IF($E117=3,(PI()*CJ$12^2)/4*(CF117*$W117*1000)/($H117*$B$5),(PI()*CJ$12^2)/4*(CF117*$W117*1000)/($G117*$B$5)),
IF($D117="Pénétro.",
IF($E117=4,(PI()*CJ$12^2)/4*(CF117*$W117*1000)/($H117*$B$5),(PI()*CJ$12^2)/4*(CF117*$W117*1000)/($G117*$B$5))))))/10</f>
        <v>#N/A</v>
      </c>
      <c r="CK117" s="102" t="e">
        <f>(VLOOKUP($B$3,'Coeff EC7'!$T$39:$X$59,2,0)*CI117+VLOOKUP($B$3,'Coeff EC7'!$T$65:$X$85,2,0)*Model0.1C!CJ117)/1.1</f>
        <v>#N/A</v>
      </c>
      <c r="CL117" s="102" t="e">
        <f>(VLOOKUP($B$3,'Coeff EC7'!$T$39:$X$59,3,0)*CI117+VLOOKUP($B$3,'Coeff EC7'!$T$65:$X$85,3,0)*Model0.1C!CJ117)/0.9</f>
        <v>#N/A</v>
      </c>
      <c r="CM117" s="102" t="e">
        <f t="shared" si="182"/>
        <v>#N/A</v>
      </c>
      <c r="CN117" s="102" t="e">
        <f t="shared" si="183"/>
        <v>#N/A</v>
      </c>
      <c r="CO117" s="414" t="e">
        <f>IF(CO116=0,0,IF(AND(CK117&gt;charge_ELS_quasi,CL117&gt;Charge_ELS_freq,CM117&gt;charge_ELU,CN117&gt;charge_ELA,$B117&gt;NDC!$H$22-0.1+MIN(3*$CO$12,1.5)),0,1))</f>
        <v>#N/A</v>
      </c>
      <c r="CP117" s="86" t="b">
        <f t="shared" si="151"/>
        <v>0</v>
      </c>
      <c r="CQ117" s="86">
        <f t="shared" si="152"/>
        <v>0.5</v>
      </c>
      <c r="CR117" s="86">
        <f t="shared" si="153"/>
        <v>0.5</v>
      </c>
      <c r="CS117" s="30" t="e">
        <f t="shared" ca="1" si="184"/>
        <v>#DIV/0!</v>
      </c>
      <c r="CT117" s="85" t="e">
        <f ca="1">IF(BZ117&lt;=Hypothèses!$V$7,Hypothèses!$W$7,IF(BZ117&lt;=Hypothèses!$V$8,Hypothèses!$W$8,IF(BZ117&lt;=Hypothèses!$V$9,Hypothèses!$W$9,IF(BZ117&lt;=Hypothèses!$V$10,Hypothèses!$W$10,IF(BZ117&lt;=Hypothèses!$V$11,Hypothèses!$W$11,IF(BZ117&lt;=Hypothèses!$V$12,Hypothèses!$W$12,IF(BZ117&lt;=Hypothèses!$V$13,Hypothèses!$W$13,IF(BZ117&lt;=Hypothèses!$V$14,Hypothèses!$W$14,IF(BZ117&lt;=Hypothèses!$V$15,Hypothèses!$W$15,IF(BZ117&lt;=Hypothèses!$V$16,Hypothèses!$W$16,IF(BZ117&lt;=Hypothèses!$V$17,Hypothèses!$W$17,IF(BZ117&lt;=Hypothèses!$V$18,Hypothèses!$W$18,""))))))))))))</f>
        <v>#DIV/0!</v>
      </c>
      <c r="CU117" s="87" t="e">
        <f t="shared" ca="1" si="220"/>
        <v>#DIV/0!</v>
      </c>
      <c r="CV117" s="88" t="e">
        <f ca="1">IF(BZ117&lt;=Hypothèses!$V$7,Hypothèses!$X$7,IF(BZ117&lt;=Hypothèses!$V$8,Hypothèses!$X$8,IF(BZ117&lt;=Hypothèses!$V$9,Hypothèses!$X$9,IF(BZ117&lt;=Hypothèses!$V$10,Hypothèses!$X$10,IF(BZ117&lt;=Hypothèses!$V$11,Hypothèses!$X$11,IF(BZ117&lt;=Hypothèses!$V$12,Hypothèses!$X$12,IF(BZ117&lt;=Hypothèses!$V$13,Hypothèses!$X$13,IF(BZ117&lt;=Hypothèses!$V$14,Hypothèses!$X$14,IF(BZ117&lt;=Hypothèses!$V$15,Hypothèses!$X$15,IF(BZ117&lt;=Hypothèses!$V$16,Hypothèses!$X$16,IF(BZ117&lt;=Hypothèses!$U$17,Hypothèses!$W$17,IF(BZ117&lt;=Hypothèses!$U$18,Hypothèses!$W$18,""))))))))))))</f>
        <v>#DIV/0!</v>
      </c>
      <c r="CW117" s="95" t="e">
        <f t="shared" ca="1" si="185"/>
        <v>#DIV/0!</v>
      </c>
      <c r="CX117" s="101" t="e">
        <f t="shared" si="227"/>
        <v>#N/A</v>
      </c>
      <c r="CY117" s="91" t="e">
        <f t="shared" si="154"/>
        <v>#N/A</v>
      </c>
      <c r="CZ117" s="30" t="e">
        <f t="shared" si="208"/>
        <v>#N/A</v>
      </c>
      <c r="DA117" s="30" t="e">
        <f t="shared" si="209"/>
        <v>#N/A</v>
      </c>
      <c r="DB117" s="31" t="e">
        <f>IF(OR(Hypothèses!$B$4=17,Hypothèses!$B$4=18,Hypothèses!$B$4=19,Hypothèses!$B$4=20),
IF($D117="Pressio.",
IF(OR($E117=3,$E117=1,$E117=4),DA117,CZ117),
IF($D117="Pénétro.",
IF(OR($E117=3,$E117=1,$E117=4),DA117,CZ117))),IF($D117="Pressio.",
IF($E117=3,DA117,CZ117),
IF($D117="Pénétro.",
IF($E117=4,DA117,CZ117))))</f>
        <v>#N/A</v>
      </c>
      <c r="DC117" s="31" t="e">
        <f>(IF(OR(Hypothèses!$B$4=17,Hypothèses!$B$4=18,Hypothèses!$B$4=19,Hypothèses!$B$4=20),
IF($D117="Pressio.",
IF(OR($E117=3,$E117=1,$E117=4),(PI()*DC$12^2)/4*(CY117*$W117*1000)/($H117*$B$5),(PI()*DC$12^2)/4*(CY117*$W117*1000)/($G117*$B$5)),
IF($D117="Pénétro.",
IF(OR($E117=4,$E117=1,$E117=5),(PI()*DC$12^2)/4*(CY117*$W117*1000)/($H117*$B$5),(PI()*DC$12^2)/4*(CY117*$W117*1000)/($G117*$B$5)))),
IF($D117="Pressio.",
IF($E117=3,(PI()*DC$12^2)/4*(CY117*$W117*1000)/($H117*$B$5),(PI()*DC$12^2)/4*(CY117*$W117*1000)/($G117*$B$5)),
IF($D117="Pénétro.",
IF($E117=4,(PI()*DC$12^2)/4*(CY117*$W117*1000)/($H117*$B$5),(PI()*DC$12^2)/4*(CY117*$W117*1000)/($G117*$B$5))))))/10</f>
        <v>#N/A</v>
      </c>
      <c r="DD117" s="102" t="e">
        <f>(VLOOKUP($B$3,'Coeff EC7'!$T$39:$X$59,2,0)*DB117+VLOOKUP($B$3,'Coeff EC7'!$T$65:$X$85,2,0)*Model0.1C!DC117)/1.1</f>
        <v>#N/A</v>
      </c>
      <c r="DE117" s="102" t="e">
        <f>(VLOOKUP($B$3,'Coeff EC7'!$T$39:$X$59,3,0)*DB117+VLOOKUP($B$3,'Coeff EC7'!$T$65:$X$85,3,0)*Model0.1C!DC117)/0.9</f>
        <v>#N/A</v>
      </c>
      <c r="DF117" s="102" t="e">
        <f t="shared" si="186"/>
        <v>#N/A</v>
      </c>
      <c r="DG117" s="102" t="e">
        <f t="shared" si="187"/>
        <v>#N/A</v>
      </c>
      <c r="DH117" s="414" t="e">
        <f>IF(DH116=0,0,IF(AND(DD117&gt;charge_ELS_quasi,DE117&gt;Charge_ELS_freq,DF117&gt;charge_ELU,DG117&gt;charge_ELA,$B117&gt;NDC!$H$22-0.1+MIN(3*$DH$12,1.5)),0,1))</f>
        <v>#N/A</v>
      </c>
      <c r="DI117" s="86" t="b">
        <f t="shared" si="155"/>
        <v>0</v>
      </c>
      <c r="DJ117" s="86">
        <f t="shared" si="156"/>
        <v>0.5</v>
      </c>
      <c r="DK117" s="86">
        <f t="shared" si="157"/>
        <v>0.5</v>
      </c>
      <c r="DL117" s="30" t="e">
        <f t="shared" ca="1" si="188"/>
        <v>#DIV/0!</v>
      </c>
      <c r="DM117" s="85" t="e">
        <f ca="1">IF(CS117&lt;=Hypothèses!$V$7,Hypothèses!$W$7,IF(CS117&lt;=Hypothèses!$V$8,Hypothèses!$W$8,IF(CS117&lt;=Hypothèses!$V$9,Hypothèses!$W$9,IF(CS117&lt;=Hypothèses!$V$10,Hypothèses!$W$10,IF(CS117&lt;=Hypothèses!$V$11,Hypothèses!$W$11,IF(CS117&lt;=Hypothèses!$V$12,Hypothèses!$W$12,IF(CS117&lt;=Hypothèses!$V$13,Hypothèses!$W$13,IF(CS117&lt;=Hypothèses!$V$14,Hypothèses!$W$14,IF(CS117&lt;=Hypothèses!$V$15,Hypothèses!$W$15,IF(CS117&lt;=Hypothèses!$V$16,Hypothèses!$W$16,IF(CS117&lt;=Hypothèses!$V$17,Hypothèses!$W$17,IF(CS117&lt;=Hypothèses!$V$18,Hypothèses!$W$18,""))))))))))))</f>
        <v>#DIV/0!</v>
      </c>
      <c r="DN117" s="87" t="e">
        <f t="shared" ca="1" si="221"/>
        <v>#DIV/0!</v>
      </c>
      <c r="DO117" s="88" t="e">
        <f ca="1">IF(CS117&lt;=Hypothèses!$V$7,Hypothèses!$X$7,IF(CS117&lt;=Hypothèses!$V$8,Hypothèses!$X$8,IF(CS117&lt;=Hypothèses!$V$9,Hypothèses!$X$9,IF(CS117&lt;=Hypothèses!$V$10,Hypothèses!$X$10,IF(CS117&lt;=Hypothèses!$V$11,Hypothèses!$X$11,IF(CS117&lt;=Hypothèses!$V$12,Hypothèses!$X$12,IF(CS117&lt;=Hypothèses!$V$13,Hypothèses!$X$13,IF(CS117&lt;=Hypothèses!$V$14,Hypothèses!$X$14,IF(CS117&lt;=Hypothèses!$V$15,Hypothèses!$X$15,IF(CS117&lt;=Hypothèses!$V$16,Hypothèses!$X$16,IF(CS117&lt;=Hypothèses!$U$17,Hypothèses!$W$17,IF(CS117&lt;=Hypothèses!$U$18,Hypothèses!$W$18,""))))))))))))</f>
        <v>#DIV/0!</v>
      </c>
      <c r="DP117" s="95" t="e">
        <f t="shared" ca="1" si="189"/>
        <v>#DIV/0!</v>
      </c>
      <c r="DQ117" s="101" t="e">
        <f t="shared" si="228"/>
        <v>#N/A</v>
      </c>
      <c r="DR117" s="91" t="e">
        <f t="shared" si="158"/>
        <v>#N/A</v>
      </c>
      <c r="DS117" s="30" t="e">
        <f t="shared" si="210"/>
        <v>#N/A</v>
      </c>
      <c r="DT117" s="30" t="e">
        <f t="shared" si="211"/>
        <v>#N/A</v>
      </c>
      <c r="DU117" s="31" t="e">
        <f>IF(OR(Hypothèses!$B$4=17,Hypothèses!$B$4=18,Hypothèses!$B$4=19,Hypothèses!$B$4=20),
IF($D117="Pressio.",
IF(OR($E117=3,$E117=1,$E117=4),DT117,DS117),
IF($D117="Pénétro.",
IF(OR($E117=3,$E117=1,$E117=4),DT117,DS117))),IF($D117="Pressio.",
IF($E117=3,DT117,DS117),
IF($D117="Pénétro.",
IF($E117=4,DT117,DS117))))</f>
        <v>#N/A</v>
      </c>
      <c r="DV117" s="31" t="e">
        <f>(IF(OR(Hypothèses!$B$4=17,Hypothèses!$B$4=18,Hypothèses!$B$4=19,Hypothèses!$B$4=20),
IF($D117="Pressio.",
IF(OR($E117=3,$E117=1,$E117=4),(PI()*DV$12^2)/4*(DR117*$W117*1000)/($H117*$B$5),(PI()*DV$12^2)/4*(DR117*$W117*1000)/($G117*$B$5)),
IF($D117="Pénétro.",
IF(OR($E117=4,$E117=1,$E117=5),(PI()*DV$12^2)/4*(DR117*$W117*1000)/($H117*$B$5),(PI()*DV$12^2)/4*(DR117*$W117*1000)/($G117*$B$5)))),
IF($D117="Pressio.",
IF($E117=3,(PI()*DV$12^2)/4*(DR117*$W117*1000)/($H117*$B$5),(PI()*DV$12^2)/4*(DR117*$W117*1000)/($G117*$B$5)),
IF($D117="Pénétro.",
IF($E117=4,(PI()*DV$12^2)/4*(DR117*$W117*1000)/($H117*$B$5),(PI()*DV$12^2)/4*(DR117*$W117*1000)/($G117*$B$5))))))/10</f>
        <v>#N/A</v>
      </c>
      <c r="DW117" s="102" t="e">
        <f>(VLOOKUP($B$3,'Coeff EC7'!$T$39:$X$59,2,0)*DU117+VLOOKUP($B$3,'Coeff EC7'!$T$65:$X$85,2,0)*Model0.1C!DV117)/1.1</f>
        <v>#N/A</v>
      </c>
      <c r="DX117" s="102" t="e">
        <f>(VLOOKUP($B$3,'Coeff EC7'!$T$39:$X$59,3,0)*DU117+VLOOKUP($B$3,'Coeff EC7'!$T$65:$X$85,3,0)*Model0.1C!DV117)/0.9</f>
        <v>#N/A</v>
      </c>
      <c r="DY117" s="102" t="e">
        <f t="shared" si="190"/>
        <v>#N/A</v>
      </c>
      <c r="DZ117" s="102" t="e">
        <f t="shared" si="191"/>
        <v>#N/A</v>
      </c>
      <c r="EA117" s="414" t="e">
        <f>IF(EA116=0,0,IF(AND(DW117&gt;charge_ELS_quasi,DX117&gt;Charge_ELS_freq,DY117&gt;charge_ELU,DZ117&gt;charge_ELA,$B117&gt;NDC!$H$22-0.1+MIN(3*$EA$12,1.5)),0,1))</f>
        <v>#N/A</v>
      </c>
      <c r="EB117" s="86" t="b">
        <f t="shared" si="159"/>
        <v>0</v>
      </c>
      <c r="EC117" s="418">
        <f t="shared" si="160"/>
        <v>0.51</v>
      </c>
      <c r="ED117" s="86">
        <f t="shared" si="161"/>
        <v>0.51</v>
      </c>
      <c r="EE117" s="30" t="e">
        <f t="shared" ca="1" si="192"/>
        <v>#DIV/0!</v>
      </c>
      <c r="EF117" s="85" t="e">
        <f ca="1">IF(DL117&lt;=Hypothèses!$V$7,Hypothèses!$W$7,IF(DL117&lt;=Hypothèses!$V$8,Hypothèses!$W$8,IF(DL117&lt;=Hypothèses!$V$9,Hypothèses!$W$9,IF(DL117&lt;=Hypothèses!$V$10,Hypothèses!$W$10,IF(DL117&lt;=Hypothèses!$V$11,Hypothèses!$W$11,IF(DL117&lt;=Hypothèses!$V$12,Hypothèses!$W$12,IF(DL117&lt;=Hypothèses!$V$13,Hypothèses!$W$13,IF(DL117&lt;=Hypothèses!$V$14,Hypothèses!$W$14,IF(DL117&lt;=Hypothèses!$V$15,Hypothèses!$W$15,IF(DL117&lt;=Hypothèses!$V$16,Hypothèses!$W$16,IF(DL117&lt;=Hypothèses!$V$17,Hypothèses!$W$17,IF(DL117&lt;=Hypothèses!$V$18,Hypothèses!$W$18,""))))))))))))</f>
        <v>#DIV/0!</v>
      </c>
      <c r="EG117" s="87" t="e">
        <f t="shared" ca="1" si="222"/>
        <v>#DIV/0!</v>
      </c>
      <c r="EH117" s="88" t="e">
        <f ca="1">IF(DL117&lt;=Hypothèses!$V$7,Hypothèses!$X$7,IF(DL117&lt;=Hypothèses!$V$8,Hypothèses!$X$8,IF(DL117&lt;=Hypothèses!$V$9,Hypothèses!$X$9,IF(DL117&lt;=Hypothèses!$V$10,Hypothèses!$X$10,IF(DL117&lt;=Hypothèses!$V$11,Hypothèses!$X$11,IF(DL117&lt;=Hypothèses!$V$12,Hypothèses!$X$12,IF(DL117&lt;=Hypothèses!$V$13,Hypothèses!$X$13,IF(DL117&lt;=Hypothèses!$V$14,Hypothèses!$X$14,IF(DL117&lt;=Hypothèses!$V$15,Hypothèses!$X$15,IF(DL117&lt;=Hypothèses!$V$16,Hypothèses!$X$16,IF(DL117&lt;=Hypothèses!$U$17,Hypothèses!$W$17,IF(DL117&lt;=Hypothèses!$U$18,Hypothèses!$W$18,""))))))))))))</f>
        <v>#DIV/0!</v>
      </c>
      <c r="EI117" s="95" t="e">
        <f t="shared" ca="1" si="193"/>
        <v>#DIV/0!</v>
      </c>
      <c r="EJ117" s="101" t="e">
        <f t="shared" si="229"/>
        <v>#N/A</v>
      </c>
      <c r="EK117" s="91" t="e">
        <f t="shared" si="162"/>
        <v>#N/A</v>
      </c>
      <c r="EL117" s="30" t="e">
        <f t="shared" si="212"/>
        <v>#N/A</v>
      </c>
      <c r="EM117" s="30" t="e">
        <f t="shared" si="213"/>
        <v>#N/A</v>
      </c>
      <c r="EN117" s="31" t="e">
        <f>IF(OR(Hypothèses!$B$4=17,Hypothèses!$B$4=18,Hypothèses!$B$4=19,Hypothèses!$B$4=20),
IF($D117="Pressio.",
IF(OR($E117=3,$E117=1,$E117=4),EM117,EL117),
IF($D117="Pénétro.",
IF(OR($E117=3,$E117=1,$E117=4),EM117,EL117))),IF($D117="Pressio.",
IF($E117=3,EM117,EL117),
IF($D117="Pénétro.",
IF($E117=4,EM117,EL117))))</f>
        <v>#N/A</v>
      </c>
      <c r="EO117" s="31" t="e">
        <f>(IF(OR(Hypothèses!$B$4=17,Hypothèses!$B$4=18,Hypothèses!$B$4=19,Hypothèses!$B$4=20),
IF($D117="Pressio.",
IF(OR($E117=3,$E117=1,$E117=4),(PI()*EO$12^2)/4*(EK117*$W117*1000)/($H117*$B$5),(PI()*EO$12^2)/4*(EK117*$W117*1000)/($G117*$B$5)),
IF($D117="Pénétro.",
IF(OR($E117=4,$E117=1,$E117=5),(PI()*EO$12^2)/4*(EK117*$W117*1000)/($H117*$B$5),(PI()*EO$12^2)/4*(EK117*$W117*1000)/($G117*$B$5)))),
IF($D117="Pressio.",
IF($E117=3,(PI()*EO$12^2)/4*(EK117*$W117*1000)/($H117*$B$5),(PI()*EO$12^2)/4*(EK117*$W117*1000)/($G117*$B$5)),
IF($D117="Pénétro.",
IF($E117=4,(PI()*EO$12^2)/4*(EK117*$W117*1000)/($H117*$B$5),(PI()*EO$12^2)/4*(EK117*$W117*1000)/($G117*$B$5))))))/10</f>
        <v>#N/A</v>
      </c>
      <c r="EP117" s="102" t="e">
        <f>(VLOOKUP($B$3,'Coeff EC7'!$T$39:$X$59,2,0)*EN117+VLOOKUP($B$3,'Coeff EC7'!$T$65:$X$85,2,0)*Model0.1C!EO117)/1.1</f>
        <v>#N/A</v>
      </c>
      <c r="EQ117" s="102" t="e">
        <f>(VLOOKUP($B$3,'Coeff EC7'!$T$39:$X$59,3,0)*EN117+VLOOKUP($B$3,'Coeff EC7'!$T$65:$X$85,3,0)*Model0.1C!EO117)/0.9</f>
        <v>#N/A</v>
      </c>
      <c r="ER117" s="102" t="e">
        <f t="shared" si="194"/>
        <v>#N/A</v>
      </c>
      <c r="ES117" s="102" t="e">
        <f t="shared" si="195"/>
        <v>#N/A</v>
      </c>
      <c r="ET117" s="414" t="e">
        <f>IF(ET116=0,0,IF(AND(EP117&gt;charge_ELS_quasi,EQ117&gt;Charge_ELS_freq,ER117&gt;charge_ELU,ES117&gt;charge_ELA,$B117&gt;NDC!$H$22-0.1+MIN(3*$ET$12,1.5)),0,1))</f>
        <v>#N/A</v>
      </c>
      <c r="EU117" s="86" t="b">
        <f t="shared" si="163"/>
        <v>0</v>
      </c>
      <c r="EV117" s="86">
        <f t="shared" si="164"/>
        <v>0.61</v>
      </c>
      <c r="EW117" s="86">
        <f t="shared" si="165"/>
        <v>0.61</v>
      </c>
      <c r="EX117" s="30" t="e">
        <f t="shared" ca="1" si="196"/>
        <v>#DIV/0!</v>
      </c>
      <c r="EY117" s="85" t="e">
        <f ca="1">IF(EE117&lt;=Hypothèses!$V$7,Hypothèses!$W$7,IF(EE117&lt;=Hypothèses!$V$8,Hypothèses!$W$8,IF(EE117&lt;=Hypothèses!$V$9,Hypothèses!$W$9,IF(EE117&lt;=Hypothèses!$V$10,Hypothèses!$W$10,IF(EE117&lt;=Hypothèses!$V$11,Hypothèses!$W$11,IF(EE117&lt;=Hypothèses!$V$12,Hypothèses!$W$12,IF(EE117&lt;=Hypothèses!$V$13,Hypothèses!$W$13,IF(EE117&lt;=Hypothèses!$V$14,Hypothèses!$W$14,IF(EE117&lt;=Hypothèses!$V$15,Hypothèses!$W$15,IF(EE117&lt;=Hypothèses!$V$16,Hypothèses!$W$16,IF(EE117&lt;=Hypothèses!$V$17,Hypothèses!$W$17,IF(EE117&lt;=Hypothèses!$V$18,Hypothèses!$W$18,""))))))))))))</f>
        <v>#DIV/0!</v>
      </c>
      <c r="EZ117" s="87" t="e">
        <f t="shared" ca="1" si="223"/>
        <v>#DIV/0!</v>
      </c>
      <c r="FA117" s="88" t="e">
        <f ca="1">IF(EE117&lt;=Hypothèses!$V$7,Hypothèses!$X$7,IF(EE117&lt;=Hypothèses!$V$8,Hypothèses!$X$8,IF(EE117&lt;=Hypothèses!$V$9,Hypothèses!$X$9,IF(EE117&lt;=Hypothèses!$V$10,Hypothèses!$X$10,IF(EE117&lt;=Hypothèses!$V$11,Hypothèses!$X$11,IF(EE117&lt;=Hypothèses!$V$12,Hypothèses!$X$12,IF(EE117&lt;=Hypothèses!$V$13,Hypothèses!$X$13,IF(EE117&lt;=Hypothèses!$V$14,Hypothèses!$X$14,IF(EE117&lt;=Hypothèses!$V$15,Hypothèses!$X$15,IF(EE117&lt;=Hypothèses!$V$16,Hypothèses!$X$16,IF(EE117&lt;=Hypothèses!$U$17,Hypothèses!$W$17,IF(EE117&lt;=Hypothèses!$U$18,Hypothèses!$W$18,""))))))))))))</f>
        <v>#DIV/0!</v>
      </c>
      <c r="FB117" s="95" t="e">
        <f t="shared" ca="1" si="197"/>
        <v>#DIV/0!</v>
      </c>
      <c r="FC117" s="101" t="e">
        <f t="shared" si="230"/>
        <v>#N/A</v>
      </c>
      <c r="FD117" s="91" t="e">
        <f t="shared" si="166"/>
        <v>#N/A</v>
      </c>
      <c r="FE117" s="30" t="e">
        <f t="shared" si="214"/>
        <v>#N/A</v>
      </c>
      <c r="FF117" s="30" t="e">
        <f t="shared" si="215"/>
        <v>#N/A</v>
      </c>
      <c r="FG117" s="31" t="e">
        <f>IF(OR(Hypothèses!$B$4=17,Hypothèses!$B$4=18,Hypothèses!$B$4=19,Hypothèses!$B$4=20),
IF($D117="Pressio.",
IF(OR($E117=3,$E117=1,$E117=4),FF117,FE117),
IF($D117="Pénétro.",
IF(OR($E117=3,$E117=1,$E117=4),FF117,FE117))),IF($D117="Pressio.",
IF($E117=3,FF117,FE117),
IF($D117="Pénétro.",
IF($E117=4,FF117,FE117))))</f>
        <v>#N/A</v>
      </c>
      <c r="FH117" s="31" t="e">
        <f>(IF(OR(Hypothèses!$B$4=17,Hypothèses!$B$4=18,Hypothèses!$B$4=19,Hypothèses!$B$4=20),
IF($D117="Pressio.",
IF(OR($E117=3,$E117=1,$E117=4),(PI()*FH$12^2)/4*(FD117*$W117*1000)/($H117*$B$5),(PI()*FH$12^2)/4*(FD117*$W117*1000)/($G117*$B$5)),
IF($D117="Pénétro.",
IF(OR($E117=4,$E117=1,$E117=5),(PI()*FH$12^2)/4*(FD117*$W117*1000)/($H117*$B$5),(PI()*FH$12^2)/4*(FD117*$W117*1000)/($G117*$B$5)))),
IF($D117="Pressio.",
IF($E117=3,(PI()*FH$12^2)/4*(FD117*$W117*1000)/($H117*$B$5),(PI()*FH$12^2)/4*(FD117*$W117*1000)/($G117*$B$5)),
IF($D117="Pénétro.",
IF($E117=4,(PI()*FH$12^2)/4*(FD117*$W117*1000)/($H117*$B$5),(PI()*FH$12^2)/4*(FD117*$W117*1000)/($G117*$B$5))))))/10</f>
        <v>#N/A</v>
      </c>
      <c r="FI117" s="102" t="e">
        <f>(VLOOKUP($B$3,'Coeff EC7'!$T$39:$X$59,2,0)*FG117+VLOOKUP($B$3,'Coeff EC7'!$T$65:$X$85,2,0)*Model0.1C!FH117)/1.1</f>
        <v>#N/A</v>
      </c>
      <c r="FJ117" s="102" t="e">
        <f>(VLOOKUP($B$3,'Coeff EC7'!$T$39:$X$59,3,0)*FG117+VLOOKUP($B$3,'Coeff EC7'!$T$65:$X$85,3,0)*Model0.1C!FH117)/0.9</f>
        <v>#N/A</v>
      </c>
      <c r="FK117" s="102" t="e">
        <f t="shared" si="198"/>
        <v>#N/A</v>
      </c>
      <c r="FL117" s="102" t="e">
        <f t="shared" si="199"/>
        <v>#N/A</v>
      </c>
      <c r="FM117" s="414" t="e">
        <f>IF(FM116=0,0,IF(AND(FI117&gt;charge_ELS_quasi,FJ117&gt;Charge_ELS_freq,FK117&gt;charge_ELU,FL117&gt;charge_ELA,$B117&gt;NDC!$H$22-0.1+MIN(3*$FM$12,1.5)),0,1))</f>
        <v>#N/A</v>
      </c>
    </row>
    <row r="118" spans="1:169">
      <c r="A118" s="96">
        <f t="shared" si="167"/>
        <v>89.500000000000597</v>
      </c>
      <c r="B118" s="97">
        <v>10.5</v>
      </c>
      <c r="C118" s="81">
        <f>IF(B118&lt;=Hypothèses!$C$7,Hypothèses!$A$7,IF(B118&lt;=Hypothèses!$C$8,Hypothèses!$A$8,IF(B118&lt;=Hypothèses!$C$9,Hypothèses!$A$9,IF(B118&lt;=Hypothèses!$C$10,Hypothèses!$A$10,IF(B118&lt;=Hypothèses!$C$11,Hypothèses!$A$11,IF(B118&lt;=Hypothèses!$C$12,Hypothèses!$A$12,IF(B118&lt;=Hypothèses!$C$13,Hypothèses!$A$13,IF(B118&lt;=Hypothèses!$C$14,Hypothèses!$A$14,IF(B118&lt;=Hypothèses!$C$15,Hypothèses!$A$15,IF(B118&lt;=Hypothèses!$C$16,Hypothèses!$A$16,IF(B118&lt;=Hypothèses!$C$17,Hypothèses!$A$17,IF(B118&lt;=Hypothèses!$C$18,Hypothèses!$A$18,C117))))))))))))</f>
        <v>11</v>
      </c>
      <c r="D118" s="82" t="str">
        <f>IF(B118&lt;=Hypothèses!$C$7,Hypothèses!$R$7,IF(B118&lt;=Hypothèses!$C$8,Hypothèses!$R$8,IF(B118&lt;=Hypothèses!$C$9,Hypothèses!$R$9,IF(B118&lt;=Hypothèses!$C$10,Hypothèses!$R$10,IF(B118&lt;=Hypothèses!$C$11,Hypothèses!$R$11,IF(B118&lt;=Hypothèses!$C$12,Hypothèses!$R$12,IF(B118&lt;=Hypothèses!$C$13,Hypothèses!$R$13,IF(B118&lt;=Hypothèses!$C$14,Hypothèses!$R$14,IF(B118&lt;=Hypothèses!$C$15,Hypothèses!$R$15,IF(B118&lt;=Hypothèses!$C$16,Hypothèses!$R$16,IF(B118&lt;=Hypothèses!$C$17,Hypothèses!$R$17,IF(B118&lt;=Hypothèses!$C$18,Hypothèses!$R$18,D117))))))))))))</f>
        <v>Pressio.</v>
      </c>
      <c r="E118" s="82" t="e">
        <f>IF(B118&lt;=Hypothèses!$C$7,Hypothèses!$G$7,IF(B118&lt;=Hypothèses!$C$8,Hypothèses!$G$8,IF(B118&lt;=Hypothèses!$C$9,Hypothèses!$G$9,IF(B118&lt;=Hypothèses!$C$10,Hypothèses!$G$10,IF(B118&lt;=Hypothèses!$C$11,Hypothèses!$G$11,IF(B118&lt;=Hypothèses!$C$12,Hypothèses!$G$12,IF(B118&lt;=Hypothèses!$C$13,Hypothèses!$G$13,IF(B118&lt;=Hypothèses!$C$14,Hypothèses!$G$14,IF(B118&lt;=Hypothèses!$C$15,Hypothèses!$G$15,IF(B118&lt;=Hypothèses!$C$16,Hypothèses!$G$16,IF(B118&lt;=Hypothèses!$C$17,Hypothèses!$G$17,IF(B118&lt;=Hypothèses!$C$18,Hypothèses!$G$18,E117))))))))))))</f>
        <v>#N/A</v>
      </c>
      <c r="F118" s="82" t="str">
        <f>IF(B118&lt;=Hypothèses!$C$7,Hypothèses!$F$7,IF(B118&lt;=Hypothèses!$C$8,Hypothèses!$F$8,IF(B118&lt;=Hypothèses!$C$9,Hypothèses!$F$9,IF(B118&lt;=Hypothèses!$C$10,Hypothèses!$F$10,IF(B118&lt;=Hypothèses!$C$11,Hypothèses!$F$11,IF(B118&lt;=Hypothèses!$C$12,Hypothèses!$F$12,IF(B118&lt;=Hypothèses!$C$13,Hypothèses!$F$13,IF(B118&lt;=Hypothèses!$C$14,Hypothèses!$F$14,IF(B118&lt;=Hypothèses!$C$15,Hypothèses!$F$15,IF(B118&lt;=Hypothèses!$C$16,Hypothèses!$F$16,IF(B118&lt;=Hypothèses!$C$17,Hypothèses!$F$17,IF(B118&lt;=Hypothèses!$C$18,Hypothèses!$F$18,F117))))))))))))</f>
        <v/>
      </c>
      <c r="G118" s="91">
        <f t="array" ref="G118">INDEX('Coeff EC7'!$U$7:$X$27,
MATCH(Model0.1C!$B$3,'Coeff EC7'!$T$7:$T$27,0),
MATCH(Model0.1C!$D118&amp;Model0.1C!$B$4,
'Coeff EC7'!$U$6:$X$6&amp;
'Coeff EC7'!$U$5:$X$5,0))</f>
        <v>1.1499999999999999</v>
      </c>
      <c r="H118" s="91">
        <f t="array" ref="H118">INDEX('Coeff EC7'!$Y$7:$AB$27,
MATCH(Model0.1C!$B$3,'Coeff EC7'!$T$7:$T$27,0),
MATCH(Model0.1C!$D118&amp;Model0.1C!$B$4,
'Coeff EC7'!$Y$6:$AB$6&amp;
'Coeff EC7'!$Y$5:$AB$5,0))</f>
        <v>1.4</v>
      </c>
      <c r="I118" s="83" t="e">
        <f>IF(B118&lt;=Hypothèses!$C$7,Hypothèses!$P$7,IF(B118&lt;=Hypothèses!$C$8,Hypothèses!$P$8,IF(B118&lt;=Hypothèses!$C$9,Hypothèses!$P$9,IF(B118&lt;=Hypothèses!$C$10,Hypothèses!$P$10,IF(B118&lt;=Hypothèses!$C$11,Hypothèses!$P$11,IF(B118&lt;=Hypothèses!$C$12,Hypothèses!$P$12,IF(B118&lt;=Hypothèses!$C$13,Hypothèses!$P$13,IF(B118&lt;=Hypothèses!$C$14,Hypothèses!$P$14,IF(B118&lt;=Hypothèses!$C$15,Hypothèses!$P$15,IF(B118&lt;=Hypothèses!$C$16,Hypothèses!$P$16,IF(B118&lt;=Hypothèses!$C$17,Hypothèses!$P$17,IF(B118&lt;=Hypothèses!$C$18,Hypothèses!$P$18,I117))))))))))))</f>
        <v>#N/A</v>
      </c>
      <c r="J118" s="91" t="e">
        <f t="array" ref="J118">INDEX('Coeff EC7'!$D$33:$Q$33,1,MATCH(D118&amp;E118,'Coeff EC7'!$D$31:$Q$31&amp;'Coeff EC7'!$D$32:$Q$32,0))</f>
        <v>#N/A</v>
      </c>
      <c r="K118" s="91" t="e">
        <f t="array" ref="K118">INDEX('Coeff EC7'!$D$34:$Q$34,1,MATCH(D118&amp;E118,'Coeff EC7'!$D$31:$Q$31&amp;'Coeff EC7'!$D$32:$Q$32,0))</f>
        <v>#N/A</v>
      </c>
      <c r="L118" s="91" t="e">
        <f t="array" ref="L118">INDEX('Coeff EC7'!$D$35:$Q$35,1,MATCH(D118&amp;E118,'Coeff EC7'!$D$31:$Q$31&amp;'Coeff EC7'!$D$32:$Q$32,0))</f>
        <v>#N/A</v>
      </c>
      <c r="M118" s="98" t="e">
        <f t="shared" si="131"/>
        <v>#N/A</v>
      </c>
      <c r="N118" s="99" t="e">
        <f t="array" ref="N118">INDEX('Coeff EC7'!$D$7:$Q$27,MATCH($B$3,'Coeff EC7'!$C$7:$C$27,0),MATCH(D118&amp;E118,'Coeff EC7'!$D$5:$Q$5&amp;'Coeff EC7'!$D$6:$Q$6,0))</f>
        <v>#N/A</v>
      </c>
      <c r="O118" s="99" t="e">
        <f t="array" ref="O118">INDEX('Coeff EC7'!$D$41:$Q$61,MATCH($B$3,'Coeff EC7'!$C$41:$C$61,0),MATCH(D118&amp;E118,'Coeff EC7'!$D$39:$Q$39&amp;'Coeff EC7'!$D$40:$Q$40,0))</f>
        <v>#N/A</v>
      </c>
      <c r="P118" s="30" t="e">
        <f t="shared" si="168"/>
        <v>#N/A</v>
      </c>
      <c r="Q118" s="100" t="e">
        <f t="shared" si="133"/>
        <v>#N/A</v>
      </c>
      <c r="R118" s="86" t="b">
        <f t="shared" si="134"/>
        <v>0</v>
      </c>
      <c r="S118" s="86">
        <f t="shared" si="132"/>
        <v>0.5</v>
      </c>
      <c r="T118" s="86">
        <f t="shared" si="135"/>
        <v>0.5</v>
      </c>
      <c r="U118" s="30" t="e">
        <f t="shared" ca="1" si="169"/>
        <v>#DIV/0!</v>
      </c>
      <c r="V118" s="85" t="str">
        <f>IF(B118&lt;=Hypothèses!$V$7,Hypothèses!$W$7,IF(B118&lt;=Hypothèses!$V$8,Hypothèses!$W$8,IF(B118&lt;=Hypothèses!$V$9,Hypothèses!$W$9,IF(B118&lt;=Hypothèses!$V$10,Hypothèses!$W$10,IF(B118&lt;=Hypothèses!$V$11,Hypothèses!$W$11,IF(B118&lt;=Hypothèses!$V$12,Hypothèses!$W$12,IF(B118&lt;=Hypothèses!$V$13,Hypothèses!$W$13,IF(B118&lt;=Hypothèses!$V$14,Hypothèses!$W$14,IF(B118&lt;=Hypothèses!$V$15,Hypothèses!$W$15,IF(B118&lt;=Hypothèses!$V$16,Hypothèses!$W$16,IF(B118&lt;=Hypothèses!$V$17,Hypothèses!$W$17,IF(B118&lt;=Hypothèses!$V$18,Hypothèses!$W$18,""))))))))))))</f>
        <v/>
      </c>
      <c r="W118" s="87" t="e">
        <f t="shared" ca="1" si="216"/>
        <v>#DIV/0!</v>
      </c>
      <c r="X118" s="88" t="str">
        <f>IF(B118&lt;=Hypothèses!$V$7,Hypothèses!$X$7,IF(B118&lt;=Hypothèses!$V$8,Hypothèses!$X$8,IF(B118&lt;=Hypothèses!$V$9,Hypothèses!$X$9,IF(B118&lt;=Hypothèses!$V$10,Hypothèses!$X$10,IF(B118&lt;=Hypothèses!$V$11,Hypothèses!$X$11,IF(B118&lt;=Hypothèses!$V$12,Hypothèses!$X$12,IF(B118&lt;=Hypothèses!$V$13,Hypothèses!$X$13,IF(B118&lt;=Hypothèses!$V$14,Hypothèses!$X$14,IF(B118&lt;=Hypothèses!$V$15,Hypothèses!$X$15,IF(B118&lt;=Hypothèses!$V$16,Hypothèses!$X$16,IF(B118&lt;=Hypothèses!$U$17,Hypothèses!$W$17,IF(B118&lt;=Hypothèses!$U$18,Hypothèses!$W$18,""))))))))))))</f>
        <v/>
      </c>
      <c r="Y118" s="95" t="e">
        <f t="shared" ca="1" si="136"/>
        <v>#DIV/0!</v>
      </c>
      <c r="Z118" s="101" t="e">
        <f t="shared" si="137"/>
        <v>#N/A</v>
      </c>
      <c r="AA118" s="91" t="e">
        <f t="shared" si="138"/>
        <v>#N/A</v>
      </c>
      <c r="AB118" s="30" t="e">
        <f t="shared" si="200"/>
        <v>#N/A</v>
      </c>
      <c r="AC118" s="30" t="e">
        <f t="shared" si="201"/>
        <v>#N/A</v>
      </c>
      <c r="AD118" s="31" t="e">
        <f>IF(OR(Hypothèses!$B$4=17,Hypothèses!$B$4=18,Hypothèses!$B$4=19,Hypothèses!$B$4=20),
IF($D118="Pressio.",
IF(OR($E118=3,$E118=1,$E118=4),AC118,AB118),
IF($D118="Pénétro.",
IF(OR($E118=3,$E118=1,$E118=4),AC118,AB118))),IF($D118="Pressio.",
IF($E118=3,AC118,AB118),
IF($D118="Pénétro.",
IF($E118=4,AC118,AB118))))</f>
        <v>#N/A</v>
      </c>
      <c r="AE118" s="31" t="e">
        <f>(IF(OR(Hypothèses!$B$4=17,Hypothèses!$B$4=18,Hypothèses!$B$4=19,Hypothèses!$B$4=20),
IF($D118="Pressio.",
IF(OR($E118=3,$E118=1,$E118=4),(PI()*AE$12^2)/4*(AA118*$W118*1000)/($H118*$B$5),(PI()*AE$12^2)/4*(AA118*$W118*1000)/($G118*$B$5)),
IF($D118="Pénétro.",
IF(OR($E118=4,$E118=1,$E118=5),(PI()*AE$12^2)/4*(AA118*$W118*1000)/($H118*$B$5),(PI()*AE$12^2)/4*(AA118*$W118*1000)/($G118*$B$5)))),
IF($D118="Pressio.",
IF($E118=3,(PI()*AE$12^2)/4*(AA118*$W118*1000)/($H118*$B$5),(PI()*AE$12^2)/4*(AA118*$W118*1000)/($G118*$B$5)),
IF($D118="Pénétro.",
IF($E118=4,(PI()*AE$12^2)/4*(AA118*$W118*1000)/($H118*$B$5),(PI()*AE$12^2)/4*(AA118*$W118*1000)/($G118*$B$5))))))/10</f>
        <v>#N/A</v>
      </c>
      <c r="AF118" s="102" t="e">
        <f>(VLOOKUP($B$3,'Coeff EC7'!$T$39:$X$59,2,0)*AD118+VLOOKUP($B$3,'Coeff EC7'!$T$65:$X$85,2,0)*Model0.1C!AE118)/1.1</f>
        <v>#N/A</v>
      </c>
      <c r="AG118" s="102" t="e">
        <f>(VLOOKUP($B$3,'Coeff EC7'!$T$39:$X$59,3,0)*AD118+VLOOKUP($B$3,'Coeff EC7'!$T$65:$X$85,3,0)*Model0.1C!AE118)/0.9</f>
        <v>#N/A</v>
      </c>
      <c r="AH118" s="102" t="e">
        <f t="shared" si="139"/>
        <v>#N/A</v>
      </c>
      <c r="AI118" s="102" t="e">
        <f t="shared" si="140"/>
        <v>#N/A</v>
      </c>
      <c r="AJ118" s="414" t="e">
        <f>IF(AJ117=0,0,IF(AND(AF118&gt;charge_ELS_quasi,AG118&gt;Charge_ELS_freq,AH118&gt;charge_ELU,AI118&gt;charge_ELA,$B118&gt;NDC!$H$22-0.1+MIN(3*$AJ$12,1.5)),0,1))</f>
        <v>#N/A</v>
      </c>
      <c r="AK118" s="86" t="b">
        <f t="shared" si="141"/>
        <v>0</v>
      </c>
      <c r="AL118" s="86">
        <f t="shared" si="170"/>
        <v>0.5</v>
      </c>
      <c r="AM118" s="86">
        <f t="shared" si="142"/>
        <v>0.5</v>
      </c>
      <c r="AN118" s="30" t="e">
        <f t="shared" ca="1" si="171"/>
        <v>#DIV/0!</v>
      </c>
      <c r="AO118" s="85" t="e">
        <f ca="1">IF(U118&lt;=Hypothèses!$V$7,Hypothèses!$W$7,IF(U118&lt;=Hypothèses!$V$8,Hypothèses!$W$8,IF(U118&lt;=Hypothèses!$V$9,Hypothèses!$W$9,IF(U118&lt;=Hypothèses!$V$10,Hypothèses!$W$10,IF(U118&lt;=Hypothèses!$V$11,Hypothèses!$W$11,IF(U118&lt;=Hypothèses!$V$12,Hypothèses!$W$12,IF(U118&lt;=Hypothèses!$V$13,Hypothèses!$W$13,IF(U118&lt;=Hypothèses!$V$14,Hypothèses!$W$14,IF(U118&lt;=Hypothèses!$V$15,Hypothèses!$W$15,IF(U118&lt;=Hypothèses!$V$16,Hypothèses!$W$16,IF(U118&lt;=Hypothèses!$V$17,Hypothèses!$W$17,IF(U118&lt;=Hypothèses!$V$18,Hypothèses!$W$18,""))))))))))))</f>
        <v>#DIV/0!</v>
      </c>
      <c r="AP118" s="87" t="e">
        <f t="shared" ca="1" si="217"/>
        <v>#DIV/0!</v>
      </c>
      <c r="AQ118" s="88" t="e">
        <f ca="1">IF(U118&lt;=Hypothèses!$V$7,Hypothèses!$X$7,IF(U118&lt;=Hypothèses!$V$8,Hypothèses!$X$8,IF(U118&lt;=Hypothèses!$V$9,Hypothèses!$X$9,IF(U118&lt;=Hypothèses!$V$10,Hypothèses!$X$10,IF(U118&lt;=Hypothèses!$V$11,Hypothèses!$X$11,IF(U118&lt;=Hypothèses!$V$12,Hypothèses!$X$12,IF(U118&lt;=Hypothèses!$V$13,Hypothèses!$X$13,IF(U118&lt;=Hypothèses!$V$14,Hypothèses!$X$14,IF(U118&lt;=Hypothèses!$V$15,Hypothèses!$X$15,IF(U118&lt;=Hypothèses!$V$16,Hypothèses!$X$16,IF(U118&lt;=Hypothèses!$U$17,Hypothèses!$W$17,IF(U118&lt;=Hypothèses!$U$18,Hypothèses!$W$18,""))))))))))))</f>
        <v>#DIV/0!</v>
      </c>
      <c r="AR118" s="95" t="e">
        <f t="shared" ca="1" si="172"/>
        <v>#DIV/0!</v>
      </c>
      <c r="AS118" s="101" t="e">
        <f t="shared" si="224"/>
        <v>#N/A</v>
      </c>
      <c r="AT118" s="91" t="e">
        <f t="shared" si="143"/>
        <v>#N/A</v>
      </c>
      <c r="AU118" s="30" t="e">
        <f t="shared" si="202"/>
        <v>#N/A</v>
      </c>
      <c r="AV118" s="30" t="e">
        <f t="shared" si="203"/>
        <v>#N/A</v>
      </c>
      <c r="AW118" s="31" t="e">
        <f>IF(OR(Hypothèses!$B$4=17,Hypothèses!$B$4=18,Hypothèses!$B$4=19,Hypothèses!$B$4=20),
IF($D118="Pressio.",
IF(OR($E118=3,$E118=1,$E118=4),AV118,AU118),
IF($D118="Pénétro.",
IF(OR($E118=3,$E118=1,$E118=4),AV118,AU118))),IF($D118="Pressio.",
IF($E118=3,AV118,AU118),
IF($D118="Pénétro.",
IF($E118=4,AV118,AU118))))</f>
        <v>#N/A</v>
      </c>
      <c r="AX118" s="31" t="e">
        <f>(IF(OR(Hypothèses!$B$4=17,Hypothèses!$B$4=18,Hypothèses!$B$4=19,Hypothèses!$B$4=20),
IF($D118="Pressio.",
IF(OR($E118=3,$E118=1,$E118=4),(PI()*AX$12^2)/4*(AT118*$W118*1000)/($H118*$B$5),(PI()*AX$12^2)/4*(AT118*$W118*1000)/($G118*$B$5)),
IF($D118="Pénétro.",
IF(OR($E118=4,$E118=1,$E118=5),(PI()*AX$12^2)/4*(AT118*$W118*1000)/($H118*$B$5),(PI()*AX$12^2)/4*(AT118*$W118*1000)/($G118*$B$5)))),
IF($D118="Pressio.",
IF($E118=3,(PI()*AX$12^2)/4*(AT118*$W118*1000)/($H118*$B$5),(PI()*AX$12^2)/4*(AT118*$W118*1000)/($G118*$B$5)),
IF($D118="Pénétro.",
IF($E118=4,(PI()*AX$12^2)/4*(AT118*$W118*1000)/($H118*$B$5),(PI()*AX$12^2)/4*(AT118*$W118*1000)/($G118*$B$5))))))/10</f>
        <v>#N/A</v>
      </c>
      <c r="AY118" s="102" t="e">
        <f>(VLOOKUP($B$3,'Coeff EC7'!$T$39:$X$59,2,0)*AW118+VLOOKUP($B$3,'Coeff EC7'!$T$65:$X$85,2,0)*Model0.1C!AX118)/1.1</f>
        <v>#N/A</v>
      </c>
      <c r="AZ118" s="102" t="e">
        <f>(VLOOKUP($B$3,'Coeff EC7'!$T$39:$X$59,3,0)*AW118+VLOOKUP($B$3,'Coeff EC7'!$T$65:$X$85,3,0)*Model0.1C!AX118)/0.9</f>
        <v>#N/A</v>
      </c>
      <c r="BA118" s="102" t="e">
        <f t="shared" si="173"/>
        <v>#N/A</v>
      </c>
      <c r="BB118" s="102" t="e">
        <f t="shared" si="174"/>
        <v>#N/A</v>
      </c>
      <c r="BC118" s="414" t="e">
        <f>IF(BC117=0,0,IF(AND(AY118&gt;charge_ELS_quasi,AZ118&gt;Charge_ELS_freq,BA118&gt;charge_ELU,BB118&gt;charge_ELA,$B118&gt;NDC!$H$22-0.1+MIN(3*$BC$12,1.5)),0,1))</f>
        <v>#N/A</v>
      </c>
      <c r="BD118" s="86" t="b">
        <f t="shared" si="144"/>
        <v>0</v>
      </c>
      <c r="BE118" s="86">
        <f t="shared" si="175"/>
        <v>0.5</v>
      </c>
      <c r="BF118" s="86">
        <f t="shared" si="145"/>
        <v>0.5</v>
      </c>
      <c r="BG118" s="30" t="e">
        <f t="shared" ca="1" si="176"/>
        <v>#DIV/0!</v>
      </c>
      <c r="BH118" s="85" t="e">
        <f ca="1">IF(AN118&lt;=Hypothèses!$V$7,Hypothèses!$W$7,IF(AN118&lt;=Hypothèses!$V$8,Hypothèses!$W$8,IF(AN118&lt;=Hypothèses!$V$9,Hypothèses!$W$9,IF(AN118&lt;=Hypothèses!$V$10,Hypothèses!$W$10,IF(AN118&lt;=Hypothèses!$V$11,Hypothèses!$W$11,IF(AN118&lt;=Hypothèses!$V$12,Hypothèses!$W$12,IF(AN118&lt;=Hypothèses!$V$13,Hypothèses!$W$13,IF(AN118&lt;=Hypothèses!$V$14,Hypothèses!$W$14,IF(AN118&lt;=Hypothèses!$V$15,Hypothèses!$W$15,IF(AN118&lt;=Hypothèses!$V$16,Hypothèses!$W$16,IF(AN118&lt;=Hypothèses!$V$17,Hypothèses!$W$17,IF(AN118&lt;=Hypothèses!$V$18,Hypothèses!$W$18,""))))))))))))</f>
        <v>#DIV/0!</v>
      </c>
      <c r="BI118" s="87" t="e">
        <f t="shared" ca="1" si="218"/>
        <v>#DIV/0!</v>
      </c>
      <c r="BJ118" s="88" t="e">
        <f ca="1">IF(AN118&lt;=Hypothèses!$V$7,Hypothèses!$X$7,IF(AN118&lt;=Hypothèses!$V$8,Hypothèses!$X$8,IF(AN118&lt;=Hypothèses!$V$9,Hypothèses!$X$9,IF(AN118&lt;=Hypothèses!$V$10,Hypothèses!$X$10,IF(AN118&lt;=Hypothèses!$V$11,Hypothèses!$X$11,IF(AN118&lt;=Hypothèses!$V$12,Hypothèses!$X$12,IF(AN118&lt;=Hypothèses!$V$13,Hypothèses!$X$13,IF(AN118&lt;=Hypothèses!$V$14,Hypothèses!$X$14,IF(AN118&lt;=Hypothèses!$V$15,Hypothèses!$X$15,IF(AN118&lt;=Hypothèses!$V$16,Hypothèses!$X$16,IF(AN118&lt;=Hypothèses!$U$17,Hypothèses!$W$17,IF(AN118&lt;=Hypothèses!$U$18,Hypothèses!$W$18,""))))))))))))</f>
        <v>#DIV/0!</v>
      </c>
      <c r="BK118" s="95" t="e">
        <f t="shared" ca="1" si="177"/>
        <v>#DIV/0!</v>
      </c>
      <c r="BL118" s="101" t="e">
        <f t="shared" si="225"/>
        <v>#N/A</v>
      </c>
      <c r="BM118" s="91" t="e">
        <f t="shared" si="146"/>
        <v>#N/A</v>
      </c>
      <c r="BN118" s="30" t="e">
        <f t="shared" si="204"/>
        <v>#N/A</v>
      </c>
      <c r="BO118" s="30" t="e">
        <f t="shared" si="205"/>
        <v>#N/A</v>
      </c>
      <c r="BP118" s="31" t="e">
        <f>IF(OR(Hypothèses!$B$4=17,Hypothèses!$B$4=18,Hypothèses!$B$4=19,Hypothèses!$B$4=20),
IF($D118="Pressio.",
IF(OR($E118=3,$E118=1,$E118=4),BO118,BN118),
IF($D118="Pénétro.",
IF(OR($E118=3,$E118=1,$E118=4),BO118,BN118))),IF($D118="Pressio.",
IF($E118=3,BO118,BN118),
IF($D118="Pénétro.",
IF($E118=4,BO118,BN118))))</f>
        <v>#N/A</v>
      </c>
      <c r="BQ118" s="31" t="e">
        <f>(IF(OR(Hypothèses!$B$4=17,Hypothèses!$B$4=18,Hypothèses!$B$4=19,Hypothèses!$B$4=20),
IF($D118="Pressio.",
IF(OR($E118=3,$E118=1,$E118=4),(PI()*BQ$12^2)/4*(BM118*$W118*1000)/($H118*$B$5),(PI()*BQ$12^2)/4*(BM118*$W118*1000)/($G118*$B$5)),
IF($D118="Pénétro.",
IF(OR($E118=4,$E118=1,$E118=5),(PI()*BQ$12^2)/4*(BM118*$W118*1000)/($H118*$B$5),(PI()*BQ$12^2)/4*(BM118*$W118*1000)/($G118*$B$5)))),
IF($D118="Pressio.",
IF($E118=3,(PI()*BQ$12^2)/4*(BM118*$W118*1000)/($H118*$B$5),(PI()*BQ$12^2)/4*(BM118*$W118*1000)/($G118*$B$5)),
IF($D118="Pénétro.",
IF($E118=4,(PI()*BQ$12^2)/4*(BM118*$W118*1000)/($H118*$B$5),(PI()*BQ$12^2)/4*(BM118*$W118*1000)/($G118*$B$5))))))/10</f>
        <v>#N/A</v>
      </c>
      <c r="BR118" s="102" t="e">
        <f>(VLOOKUP($B$3,'Coeff EC7'!$T$39:$X$59,2,0)*BP118+VLOOKUP($B$3,'Coeff EC7'!$T$65:$X$85,2,0)*Model0.1C!BQ118)/1.1</f>
        <v>#N/A</v>
      </c>
      <c r="BS118" s="102" t="e">
        <f>(VLOOKUP($B$3,'Coeff EC7'!$T$39:$X$59,3,0)*BP118+VLOOKUP($B$3,'Coeff EC7'!$T$65:$X$85,3,0)*Model0.1C!BQ118)/0.9</f>
        <v>#N/A</v>
      </c>
      <c r="BT118" s="102" t="e">
        <f t="shared" si="178"/>
        <v>#N/A</v>
      </c>
      <c r="BU118" s="102" t="e">
        <f t="shared" si="179"/>
        <v>#N/A</v>
      </c>
      <c r="BV118" s="414" t="e">
        <f>IF(BV117=0,0,IF(AND(BR118&gt;charge_ELS_quasi,BS118&gt;Charge_ELS_freq,BT118&gt;charge_ELU,BU118&gt;charge_ELA,$B118&gt;NDC!$H$22-0.1+MIN(3*$BV$12,1.5)),0,1))</f>
        <v>#N/A</v>
      </c>
      <c r="BW118" s="86" t="b">
        <f t="shared" si="147"/>
        <v>0</v>
      </c>
      <c r="BX118" s="86">
        <f t="shared" si="148"/>
        <v>0.5</v>
      </c>
      <c r="BY118" s="86">
        <f t="shared" si="149"/>
        <v>0.5</v>
      </c>
      <c r="BZ118" s="30" t="e">
        <f t="shared" ca="1" si="180"/>
        <v>#DIV/0!</v>
      </c>
      <c r="CA118" s="85" t="e">
        <f ca="1">IF(BG118&lt;=Hypothèses!$V$7,Hypothèses!$W$7,IF(BG118&lt;=Hypothèses!$V$8,Hypothèses!$W$8,IF(BG118&lt;=Hypothèses!$V$9,Hypothèses!$W$9,IF(BG118&lt;=Hypothèses!$V$10,Hypothèses!$W$10,IF(BG118&lt;=Hypothèses!$V$11,Hypothèses!$W$11,IF(BG118&lt;=Hypothèses!$V$12,Hypothèses!$W$12,IF(BG118&lt;=Hypothèses!$V$13,Hypothèses!$W$13,IF(BG118&lt;=Hypothèses!$V$14,Hypothèses!$W$14,IF(BG118&lt;=Hypothèses!$V$15,Hypothèses!$W$15,IF(BG118&lt;=Hypothèses!$V$16,Hypothèses!$W$16,IF(BG118&lt;=Hypothèses!$V$17,Hypothèses!$W$17,IF(BG118&lt;=Hypothèses!$V$18,Hypothèses!$W$18,""))))))))))))</f>
        <v>#DIV/0!</v>
      </c>
      <c r="CB118" s="87" t="e">
        <f t="shared" ca="1" si="219"/>
        <v>#DIV/0!</v>
      </c>
      <c r="CC118" s="88" t="e">
        <f ca="1">IF(BG118&lt;=Hypothèses!$V$7,Hypothèses!$X$7,IF(BG118&lt;=Hypothèses!$V$8,Hypothèses!$X$8,IF(BG118&lt;=Hypothèses!$V$9,Hypothèses!$X$9,IF(BG118&lt;=Hypothèses!$V$10,Hypothèses!$X$10,IF(BG118&lt;=Hypothèses!$V$11,Hypothèses!$X$11,IF(BG118&lt;=Hypothèses!$V$12,Hypothèses!$X$12,IF(BG118&lt;=Hypothèses!$V$13,Hypothèses!$X$13,IF(BG118&lt;=Hypothèses!$V$14,Hypothèses!$X$14,IF(BG118&lt;=Hypothèses!$V$15,Hypothèses!$X$15,IF(BG118&lt;=Hypothèses!$V$16,Hypothèses!$X$16,IF(BG118&lt;=Hypothèses!$U$17,Hypothèses!$W$17,IF(BG118&lt;=Hypothèses!$U$18,Hypothèses!$W$18,""))))))))))))</f>
        <v>#DIV/0!</v>
      </c>
      <c r="CD118" s="95" t="e">
        <f t="shared" ca="1" si="181"/>
        <v>#DIV/0!</v>
      </c>
      <c r="CE118" s="101" t="e">
        <f t="shared" si="226"/>
        <v>#N/A</v>
      </c>
      <c r="CF118" s="91" t="e">
        <f t="shared" si="150"/>
        <v>#N/A</v>
      </c>
      <c r="CG118" s="30" t="e">
        <f t="shared" si="206"/>
        <v>#N/A</v>
      </c>
      <c r="CH118" s="30" t="e">
        <f t="shared" si="207"/>
        <v>#N/A</v>
      </c>
      <c r="CI118" s="31" t="e">
        <f>IF(OR(Hypothèses!$B$4=17,Hypothèses!$B$4=18,Hypothèses!$B$4=19,Hypothèses!$B$4=20),
IF($D118="Pressio.",
IF(OR($E118=3,$E118=1,$E118=4),CH118,CG118),
IF($D118="Pénétro.",
IF(OR($E118=3,$E118=1,$E118=4),CH118,CG118))),IF($D118="Pressio.",
IF($E118=3,CH118,CG118),
IF($D118="Pénétro.",
IF($E118=4,CH118,CG118))))</f>
        <v>#N/A</v>
      </c>
      <c r="CJ118" s="31" t="e">
        <f>(IF(OR(Hypothèses!$B$4=17,Hypothèses!$B$4=18,Hypothèses!$B$4=19,Hypothèses!$B$4=20),
IF($D118="Pressio.",
IF(OR($E118=3,$E118=1,$E118=4),(PI()*CJ$12^2)/4*(CF118*$W118*1000)/($H118*$B$5),(PI()*CJ$12^2)/4*(CF118*$W118*1000)/($G118*$B$5)),
IF($D118="Pénétro.",
IF(OR($E118=4,$E118=1,$E118=5),(PI()*CJ$12^2)/4*(CF118*$W118*1000)/($H118*$B$5),(PI()*CJ$12^2)/4*(CF118*$W118*1000)/($G118*$B$5)))),
IF($D118="Pressio.",
IF($E118=3,(PI()*CJ$12^2)/4*(CF118*$W118*1000)/($H118*$B$5),(PI()*CJ$12^2)/4*(CF118*$W118*1000)/($G118*$B$5)),
IF($D118="Pénétro.",
IF($E118=4,(PI()*CJ$12^2)/4*(CF118*$W118*1000)/($H118*$B$5),(PI()*CJ$12^2)/4*(CF118*$W118*1000)/($G118*$B$5))))))/10</f>
        <v>#N/A</v>
      </c>
      <c r="CK118" s="102" t="e">
        <f>(VLOOKUP($B$3,'Coeff EC7'!$T$39:$X$59,2,0)*CI118+VLOOKUP($B$3,'Coeff EC7'!$T$65:$X$85,2,0)*Model0.1C!CJ118)/1.1</f>
        <v>#N/A</v>
      </c>
      <c r="CL118" s="102" t="e">
        <f>(VLOOKUP($B$3,'Coeff EC7'!$T$39:$X$59,3,0)*CI118+VLOOKUP($B$3,'Coeff EC7'!$T$65:$X$85,3,0)*Model0.1C!CJ118)/0.9</f>
        <v>#N/A</v>
      </c>
      <c r="CM118" s="102" t="e">
        <f t="shared" si="182"/>
        <v>#N/A</v>
      </c>
      <c r="CN118" s="102" t="e">
        <f t="shared" si="183"/>
        <v>#N/A</v>
      </c>
      <c r="CO118" s="414" t="e">
        <f>IF(CO117=0,0,IF(AND(CK118&gt;charge_ELS_quasi,CL118&gt;Charge_ELS_freq,CM118&gt;charge_ELU,CN118&gt;charge_ELA,$B118&gt;NDC!$H$22-0.1+MIN(3*$CO$12,1.5)),0,1))</f>
        <v>#N/A</v>
      </c>
      <c r="CP118" s="86" t="b">
        <f t="shared" si="151"/>
        <v>0</v>
      </c>
      <c r="CQ118" s="86">
        <f t="shared" si="152"/>
        <v>0.5</v>
      </c>
      <c r="CR118" s="86">
        <f t="shared" si="153"/>
        <v>0.5</v>
      </c>
      <c r="CS118" s="30" t="e">
        <f t="shared" ca="1" si="184"/>
        <v>#DIV/0!</v>
      </c>
      <c r="CT118" s="85" t="e">
        <f ca="1">IF(BZ118&lt;=Hypothèses!$V$7,Hypothèses!$W$7,IF(BZ118&lt;=Hypothèses!$V$8,Hypothèses!$W$8,IF(BZ118&lt;=Hypothèses!$V$9,Hypothèses!$W$9,IF(BZ118&lt;=Hypothèses!$V$10,Hypothèses!$W$10,IF(BZ118&lt;=Hypothèses!$V$11,Hypothèses!$W$11,IF(BZ118&lt;=Hypothèses!$V$12,Hypothèses!$W$12,IF(BZ118&lt;=Hypothèses!$V$13,Hypothèses!$W$13,IF(BZ118&lt;=Hypothèses!$V$14,Hypothèses!$W$14,IF(BZ118&lt;=Hypothèses!$V$15,Hypothèses!$W$15,IF(BZ118&lt;=Hypothèses!$V$16,Hypothèses!$W$16,IF(BZ118&lt;=Hypothèses!$V$17,Hypothèses!$W$17,IF(BZ118&lt;=Hypothèses!$V$18,Hypothèses!$W$18,""))))))))))))</f>
        <v>#DIV/0!</v>
      </c>
      <c r="CU118" s="87" t="e">
        <f t="shared" ca="1" si="220"/>
        <v>#DIV/0!</v>
      </c>
      <c r="CV118" s="88" t="e">
        <f ca="1">IF(BZ118&lt;=Hypothèses!$V$7,Hypothèses!$X$7,IF(BZ118&lt;=Hypothèses!$V$8,Hypothèses!$X$8,IF(BZ118&lt;=Hypothèses!$V$9,Hypothèses!$X$9,IF(BZ118&lt;=Hypothèses!$V$10,Hypothèses!$X$10,IF(BZ118&lt;=Hypothèses!$V$11,Hypothèses!$X$11,IF(BZ118&lt;=Hypothèses!$V$12,Hypothèses!$X$12,IF(BZ118&lt;=Hypothèses!$V$13,Hypothèses!$X$13,IF(BZ118&lt;=Hypothèses!$V$14,Hypothèses!$X$14,IF(BZ118&lt;=Hypothèses!$V$15,Hypothèses!$X$15,IF(BZ118&lt;=Hypothèses!$V$16,Hypothèses!$X$16,IF(BZ118&lt;=Hypothèses!$U$17,Hypothèses!$W$17,IF(BZ118&lt;=Hypothèses!$U$18,Hypothèses!$W$18,""))))))))))))</f>
        <v>#DIV/0!</v>
      </c>
      <c r="CW118" s="95" t="e">
        <f t="shared" ca="1" si="185"/>
        <v>#DIV/0!</v>
      </c>
      <c r="CX118" s="101" t="e">
        <f t="shared" si="227"/>
        <v>#N/A</v>
      </c>
      <c r="CY118" s="91" t="e">
        <f t="shared" si="154"/>
        <v>#N/A</v>
      </c>
      <c r="CZ118" s="30" t="e">
        <f t="shared" si="208"/>
        <v>#N/A</v>
      </c>
      <c r="DA118" s="30" t="e">
        <f t="shared" si="209"/>
        <v>#N/A</v>
      </c>
      <c r="DB118" s="31" t="e">
        <f>IF(OR(Hypothèses!$B$4=17,Hypothèses!$B$4=18,Hypothèses!$B$4=19,Hypothèses!$B$4=20),
IF($D118="Pressio.",
IF(OR($E118=3,$E118=1,$E118=4),DA118,CZ118),
IF($D118="Pénétro.",
IF(OR($E118=3,$E118=1,$E118=4),DA118,CZ118))),IF($D118="Pressio.",
IF($E118=3,DA118,CZ118),
IF($D118="Pénétro.",
IF($E118=4,DA118,CZ118))))</f>
        <v>#N/A</v>
      </c>
      <c r="DC118" s="31" t="e">
        <f>(IF(OR(Hypothèses!$B$4=17,Hypothèses!$B$4=18,Hypothèses!$B$4=19,Hypothèses!$B$4=20),
IF($D118="Pressio.",
IF(OR($E118=3,$E118=1,$E118=4),(PI()*DC$12^2)/4*(CY118*$W118*1000)/($H118*$B$5),(PI()*DC$12^2)/4*(CY118*$W118*1000)/($G118*$B$5)),
IF($D118="Pénétro.",
IF(OR($E118=4,$E118=1,$E118=5),(PI()*DC$12^2)/4*(CY118*$W118*1000)/($H118*$B$5),(PI()*DC$12^2)/4*(CY118*$W118*1000)/($G118*$B$5)))),
IF($D118="Pressio.",
IF($E118=3,(PI()*DC$12^2)/4*(CY118*$W118*1000)/($H118*$B$5),(PI()*DC$12^2)/4*(CY118*$W118*1000)/($G118*$B$5)),
IF($D118="Pénétro.",
IF($E118=4,(PI()*DC$12^2)/4*(CY118*$W118*1000)/($H118*$B$5),(PI()*DC$12^2)/4*(CY118*$W118*1000)/($G118*$B$5))))))/10</f>
        <v>#N/A</v>
      </c>
      <c r="DD118" s="102" t="e">
        <f>(VLOOKUP($B$3,'Coeff EC7'!$T$39:$X$59,2,0)*DB118+VLOOKUP($B$3,'Coeff EC7'!$T$65:$X$85,2,0)*Model0.1C!DC118)/1.1</f>
        <v>#N/A</v>
      </c>
      <c r="DE118" s="102" t="e">
        <f>(VLOOKUP($B$3,'Coeff EC7'!$T$39:$X$59,3,0)*DB118+VLOOKUP($B$3,'Coeff EC7'!$T$65:$X$85,3,0)*Model0.1C!DC118)/0.9</f>
        <v>#N/A</v>
      </c>
      <c r="DF118" s="102" t="e">
        <f t="shared" si="186"/>
        <v>#N/A</v>
      </c>
      <c r="DG118" s="102" t="e">
        <f t="shared" si="187"/>
        <v>#N/A</v>
      </c>
      <c r="DH118" s="414" t="e">
        <f>IF(DH117=0,0,IF(AND(DD118&gt;charge_ELS_quasi,DE118&gt;Charge_ELS_freq,DF118&gt;charge_ELU,DG118&gt;charge_ELA,$B118&gt;NDC!$H$22-0.1+MIN(3*$DH$12,1.5)),0,1))</f>
        <v>#N/A</v>
      </c>
      <c r="DI118" s="86" t="b">
        <f t="shared" si="155"/>
        <v>0</v>
      </c>
      <c r="DJ118" s="86">
        <f t="shared" si="156"/>
        <v>0.5</v>
      </c>
      <c r="DK118" s="86">
        <f t="shared" si="157"/>
        <v>0.5</v>
      </c>
      <c r="DL118" s="30" t="e">
        <f t="shared" ca="1" si="188"/>
        <v>#DIV/0!</v>
      </c>
      <c r="DM118" s="85" t="e">
        <f ca="1">IF(CS118&lt;=Hypothèses!$V$7,Hypothèses!$W$7,IF(CS118&lt;=Hypothèses!$V$8,Hypothèses!$W$8,IF(CS118&lt;=Hypothèses!$V$9,Hypothèses!$W$9,IF(CS118&lt;=Hypothèses!$V$10,Hypothèses!$W$10,IF(CS118&lt;=Hypothèses!$V$11,Hypothèses!$W$11,IF(CS118&lt;=Hypothèses!$V$12,Hypothèses!$W$12,IF(CS118&lt;=Hypothèses!$V$13,Hypothèses!$W$13,IF(CS118&lt;=Hypothèses!$V$14,Hypothèses!$W$14,IF(CS118&lt;=Hypothèses!$V$15,Hypothèses!$W$15,IF(CS118&lt;=Hypothèses!$V$16,Hypothèses!$W$16,IF(CS118&lt;=Hypothèses!$V$17,Hypothèses!$W$17,IF(CS118&lt;=Hypothèses!$V$18,Hypothèses!$W$18,""))))))))))))</f>
        <v>#DIV/0!</v>
      </c>
      <c r="DN118" s="87" t="e">
        <f t="shared" ca="1" si="221"/>
        <v>#DIV/0!</v>
      </c>
      <c r="DO118" s="88" t="e">
        <f ca="1">IF(CS118&lt;=Hypothèses!$V$7,Hypothèses!$X$7,IF(CS118&lt;=Hypothèses!$V$8,Hypothèses!$X$8,IF(CS118&lt;=Hypothèses!$V$9,Hypothèses!$X$9,IF(CS118&lt;=Hypothèses!$V$10,Hypothèses!$X$10,IF(CS118&lt;=Hypothèses!$V$11,Hypothèses!$X$11,IF(CS118&lt;=Hypothèses!$V$12,Hypothèses!$X$12,IF(CS118&lt;=Hypothèses!$V$13,Hypothèses!$X$13,IF(CS118&lt;=Hypothèses!$V$14,Hypothèses!$X$14,IF(CS118&lt;=Hypothèses!$V$15,Hypothèses!$X$15,IF(CS118&lt;=Hypothèses!$V$16,Hypothèses!$X$16,IF(CS118&lt;=Hypothèses!$U$17,Hypothèses!$W$17,IF(CS118&lt;=Hypothèses!$U$18,Hypothèses!$W$18,""))))))))))))</f>
        <v>#DIV/0!</v>
      </c>
      <c r="DP118" s="95" t="e">
        <f t="shared" ca="1" si="189"/>
        <v>#DIV/0!</v>
      </c>
      <c r="DQ118" s="101" t="e">
        <f t="shared" si="228"/>
        <v>#N/A</v>
      </c>
      <c r="DR118" s="91" t="e">
        <f t="shared" si="158"/>
        <v>#N/A</v>
      </c>
      <c r="DS118" s="30" t="e">
        <f t="shared" si="210"/>
        <v>#N/A</v>
      </c>
      <c r="DT118" s="30" t="e">
        <f t="shared" si="211"/>
        <v>#N/A</v>
      </c>
      <c r="DU118" s="31" t="e">
        <f>IF(OR(Hypothèses!$B$4=17,Hypothèses!$B$4=18,Hypothèses!$B$4=19,Hypothèses!$B$4=20),
IF($D118="Pressio.",
IF(OR($E118=3,$E118=1,$E118=4),DT118,DS118),
IF($D118="Pénétro.",
IF(OR($E118=3,$E118=1,$E118=4),DT118,DS118))),IF($D118="Pressio.",
IF($E118=3,DT118,DS118),
IF($D118="Pénétro.",
IF($E118=4,DT118,DS118))))</f>
        <v>#N/A</v>
      </c>
      <c r="DV118" s="31" t="e">
        <f>(IF(OR(Hypothèses!$B$4=17,Hypothèses!$B$4=18,Hypothèses!$B$4=19,Hypothèses!$B$4=20),
IF($D118="Pressio.",
IF(OR($E118=3,$E118=1,$E118=4),(PI()*DV$12^2)/4*(DR118*$W118*1000)/($H118*$B$5),(PI()*DV$12^2)/4*(DR118*$W118*1000)/($G118*$B$5)),
IF($D118="Pénétro.",
IF(OR($E118=4,$E118=1,$E118=5),(PI()*DV$12^2)/4*(DR118*$W118*1000)/($H118*$B$5),(PI()*DV$12^2)/4*(DR118*$W118*1000)/($G118*$B$5)))),
IF($D118="Pressio.",
IF($E118=3,(PI()*DV$12^2)/4*(DR118*$W118*1000)/($H118*$B$5),(PI()*DV$12^2)/4*(DR118*$W118*1000)/($G118*$B$5)),
IF($D118="Pénétro.",
IF($E118=4,(PI()*DV$12^2)/4*(DR118*$W118*1000)/($H118*$B$5),(PI()*DV$12^2)/4*(DR118*$W118*1000)/($G118*$B$5))))))/10</f>
        <v>#N/A</v>
      </c>
      <c r="DW118" s="102" t="e">
        <f>(VLOOKUP($B$3,'Coeff EC7'!$T$39:$X$59,2,0)*DU118+VLOOKUP($B$3,'Coeff EC7'!$T$65:$X$85,2,0)*Model0.1C!DV118)/1.1</f>
        <v>#N/A</v>
      </c>
      <c r="DX118" s="102" t="e">
        <f>(VLOOKUP($B$3,'Coeff EC7'!$T$39:$X$59,3,0)*DU118+VLOOKUP($B$3,'Coeff EC7'!$T$65:$X$85,3,0)*Model0.1C!DV118)/0.9</f>
        <v>#N/A</v>
      </c>
      <c r="DY118" s="102" t="e">
        <f t="shared" si="190"/>
        <v>#N/A</v>
      </c>
      <c r="DZ118" s="102" t="e">
        <f t="shared" si="191"/>
        <v>#N/A</v>
      </c>
      <c r="EA118" s="414" t="e">
        <f>IF(EA117=0,0,IF(AND(DW118&gt;charge_ELS_quasi,DX118&gt;Charge_ELS_freq,DY118&gt;charge_ELU,DZ118&gt;charge_ELA,$B118&gt;NDC!$H$22-0.1+MIN(3*$EA$12,1.5)),0,1))</f>
        <v>#N/A</v>
      </c>
      <c r="EB118" s="86" t="b">
        <f t="shared" si="159"/>
        <v>0</v>
      </c>
      <c r="EC118" s="418">
        <f t="shared" si="160"/>
        <v>0.51</v>
      </c>
      <c r="ED118" s="86">
        <f t="shared" si="161"/>
        <v>0.51</v>
      </c>
      <c r="EE118" s="30" t="e">
        <f t="shared" ca="1" si="192"/>
        <v>#DIV/0!</v>
      </c>
      <c r="EF118" s="85" t="e">
        <f ca="1">IF(DL118&lt;=Hypothèses!$V$7,Hypothèses!$W$7,IF(DL118&lt;=Hypothèses!$V$8,Hypothèses!$W$8,IF(DL118&lt;=Hypothèses!$V$9,Hypothèses!$W$9,IF(DL118&lt;=Hypothèses!$V$10,Hypothèses!$W$10,IF(DL118&lt;=Hypothèses!$V$11,Hypothèses!$W$11,IF(DL118&lt;=Hypothèses!$V$12,Hypothèses!$W$12,IF(DL118&lt;=Hypothèses!$V$13,Hypothèses!$W$13,IF(DL118&lt;=Hypothèses!$V$14,Hypothèses!$W$14,IF(DL118&lt;=Hypothèses!$V$15,Hypothèses!$W$15,IF(DL118&lt;=Hypothèses!$V$16,Hypothèses!$W$16,IF(DL118&lt;=Hypothèses!$V$17,Hypothèses!$W$17,IF(DL118&lt;=Hypothèses!$V$18,Hypothèses!$W$18,""))))))))))))</f>
        <v>#DIV/0!</v>
      </c>
      <c r="EG118" s="87" t="e">
        <f t="shared" ca="1" si="222"/>
        <v>#DIV/0!</v>
      </c>
      <c r="EH118" s="88" t="e">
        <f ca="1">IF(DL118&lt;=Hypothèses!$V$7,Hypothèses!$X$7,IF(DL118&lt;=Hypothèses!$V$8,Hypothèses!$X$8,IF(DL118&lt;=Hypothèses!$V$9,Hypothèses!$X$9,IF(DL118&lt;=Hypothèses!$V$10,Hypothèses!$X$10,IF(DL118&lt;=Hypothèses!$V$11,Hypothèses!$X$11,IF(DL118&lt;=Hypothèses!$V$12,Hypothèses!$X$12,IF(DL118&lt;=Hypothèses!$V$13,Hypothèses!$X$13,IF(DL118&lt;=Hypothèses!$V$14,Hypothèses!$X$14,IF(DL118&lt;=Hypothèses!$V$15,Hypothèses!$X$15,IF(DL118&lt;=Hypothèses!$V$16,Hypothèses!$X$16,IF(DL118&lt;=Hypothèses!$U$17,Hypothèses!$W$17,IF(DL118&lt;=Hypothèses!$U$18,Hypothèses!$W$18,""))))))))))))</f>
        <v>#DIV/0!</v>
      </c>
      <c r="EI118" s="95" t="e">
        <f t="shared" ca="1" si="193"/>
        <v>#DIV/0!</v>
      </c>
      <c r="EJ118" s="101" t="e">
        <f t="shared" si="229"/>
        <v>#N/A</v>
      </c>
      <c r="EK118" s="91" t="e">
        <f t="shared" si="162"/>
        <v>#N/A</v>
      </c>
      <c r="EL118" s="30" t="e">
        <f t="shared" si="212"/>
        <v>#N/A</v>
      </c>
      <c r="EM118" s="30" t="e">
        <f t="shared" si="213"/>
        <v>#N/A</v>
      </c>
      <c r="EN118" s="31" t="e">
        <f>IF(OR(Hypothèses!$B$4=17,Hypothèses!$B$4=18,Hypothèses!$B$4=19,Hypothèses!$B$4=20),
IF($D118="Pressio.",
IF(OR($E118=3,$E118=1,$E118=4),EM118,EL118),
IF($D118="Pénétro.",
IF(OR($E118=3,$E118=1,$E118=4),EM118,EL118))),IF($D118="Pressio.",
IF($E118=3,EM118,EL118),
IF($D118="Pénétro.",
IF($E118=4,EM118,EL118))))</f>
        <v>#N/A</v>
      </c>
      <c r="EO118" s="31" t="e">
        <f>(IF(OR(Hypothèses!$B$4=17,Hypothèses!$B$4=18,Hypothèses!$B$4=19,Hypothèses!$B$4=20),
IF($D118="Pressio.",
IF(OR($E118=3,$E118=1,$E118=4),(PI()*EO$12^2)/4*(EK118*$W118*1000)/($H118*$B$5),(PI()*EO$12^2)/4*(EK118*$W118*1000)/($G118*$B$5)),
IF($D118="Pénétro.",
IF(OR($E118=4,$E118=1,$E118=5),(PI()*EO$12^2)/4*(EK118*$W118*1000)/($H118*$B$5),(PI()*EO$12^2)/4*(EK118*$W118*1000)/($G118*$B$5)))),
IF($D118="Pressio.",
IF($E118=3,(PI()*EO$12^2)/4*(EK118*$W118*1000)/($H118*$B$5),(PI()*EO$12^2)/4*(EK118*$W118*1000)/($G118*$B$5)),
IF($D118="Pénétro.",
IF($E118=4,(PI()*EO$12^2)/4*(EK118*$W118*1000)/($H118*$B$5),(PI()*EO$12^2)/4*(EK118*$W118*1000)/($G118*$B$5))))))/10</f>
        <v>#N/A</v>
      </c>
      <c r="EP118" s="102" t="e">
        <f>(VLOOKUP($B$3,'Coeff EC7'!$T$39:$X$59,2,0)*EN118+VLOOKUP($B$3,'Coeff EC7'!$T$65:$X$85,2,0)*Model0.1C!EO118)/1.1</f>
        <v>#N/A</v>
      </c>
      <c r="EQ118" s="102" t="e">
        <f>(VLOOKUP($B$3,'Coeff EC7'!$T$39:$X$59,3,0)*EN118+VLOOKUP($B$3,'Coeff EC7'!$T$65:$X$85,3,0)*Model0.1C!EO118)/0.9</f>
        <v>#N/A</v>
      </c>
      <c r="ER118" s="102" t="e">
        <f t="shared" si="194"/>
        <v>#N/A</v>
      </c>
      <c r="ES118" s="102" t="e">
        <f t="shared" si="195"/>
        <v>#N/A</v>
      </c>
      <c r="ET118" s="414" t="e">
        <f>IF(ET117=0,0,IF(AND(EP118&gt;charge_ELS_quasi,EQ118&gt;Charge_ELS_freq,ER118&gt;charge_ELU,ES118&gt;charge_ELA,$B118&gt;NDC!$H$22-0.1+MIN(3*$ET$12,1.5)),0,1))</f>
        <v>#N/A</v>
      </c>
      <c r="EU118" s="86" t="b">
        <f t="shared" si="163"/>
        <v>0</v>
      </c>
      <c r="EV118" s="86">
        <f t="shared" si="164"/>
        <v>0.61</v>
      </c>
      <c r="EW118" s="86">
        <f t="shared" si="165"/>
        <v>0.61</v>
      </c>
      <c r="EX118" s="30" t="e">
        <f t="shared" ca="1" si="196"/>
        <v>#DIV/0!</v>
      </c>
      <c r="EY118" s="85" t="e">
        <f ca="1">IF(EE118&lt;=Hypothèses!$V$7,Hypothèses!$W$7,IF(EE118&lt;=Hypothèses!$V$8,Hypothèses!$W$8,IF(EE118&lt;=Hypothèses!$V$9,Hypothèses!$W$9,IF(EE118&lt;=Hypothèses!$V$10,Hypothèses!$W$10,IF(EE118&lt;=Hypothèses!$V$11,Hypothèses!$W$11,IF(EE118&lt;=Hypothèses!$V$12,Hypothèses!$W$12,IF(EE118&lt;=Hypothèses!$V$13,Hypothèses!$W$13,IF(EE118&lt;=Hypothèses!$V$14,Hypothèses!$W$14,IF(EE118&lt;=Hypothèses!$V$15,Hypothèses!$W$15,IF(EE118&lt;=Hypothèses!$V$16,Hypothèses!$W$16,IF(EE118&lt;=Hypothèses!$V$17,Hypothèses!$W$17,IF(EE118&lt;=Hypothèses!$V$18,Hypothèses!$W$18,""))))))))))))</f>
        <v>#DIV/0!</v>
      </c>
      <c r="EZ118" s="87" t="e">
        <f t="shared" ca="1" si="223"/>
        <v>#DIV/0!</v>
      </c>
      <c r="FA118" s="88" t="e">
        <f ca="1">IF(EE118&lt;=Hypothèses!$V$7,Hypothèses!$X$7,IF(EE118&lt;=Hypothèses!$V$8,Hypothèses!$X$8,IF(EE118&lt;=Hypothèses!$V$9,Hypothèses!$X$9,IF(EE118&lt;=Hypothèses!$V$10,Hypothèses!$X$10,IF(EE118&lt;=Hypothèses!$V$11,Hypothèses!$X$11,IF(EE118&lt;=Hypothèses!$V$12,Hypothèses!$X$12,IF(EE118&lt;=Hypothèses!$V$13,Hypothèses!$X$13,IF(EE118&lt;=Hypothèses!$V$14,Hypothèses!$X$14,IF(EE118&lt;=Hypothèses!$V$15,Hypothèses!$X$15,IF(EE118&lt;=Hypothèses!$V$16,Hypothèses!$X$16,IF(EE118&lt;=Hypothèses!$U$17,Hypothèses!$W$17,IF(EE118&lt;=Hypothèses!$U$18,Hypothèses!$W$18,""))))))))))))</f>
        <v>#DIV/0!</v>
      </c>
      <c r="FB118" s="95" t="e">
        <f t="shared" ca="1" si="197"/>
        <v>#DIV/0!</v>
      </c>
      <c r="FC118" s="101" t="e">
        <f t="shared" si="230"/>
        <v>#N/A</v>
      </c>
      <c r="FD118" s="91" t="e">
        <f t="shared" si="166"/>
        <v>#N/A</v>
      </c>
      <c r="FE118" s="30" t="e">
        <f t="shared" si="214"/>
        <v>#N/A</v>
      </c>
      <c r="FF118" s="30" t="e">
        <f t="shared" si="215"/>
        <v>#N/A</v>
      </c>
      <c r="FG118" s="31" t="e">
        <f>IF(OR(Hypothèses!$B$4=17,Hypothèses!$B$4=18,Hypothèses!$B$4=19,Hypothèses!$B$4=20),
IF($D118="Pressio.",
IF(OR($E118=3,$E118=1,$E118=4),FF118,FE118),
IF($D118="Pénétro.",
IF(OR($E118=3,$E118=1,$E118=4),FF118,FE118))),IF($D118="Pressio.",
IF($E118=3,FF118,FE118),
IF($D118="Pénétro.",
IF($E118=4,FF118,FE118))))</f>
        <v>#N/A</v>
      </c>
      <c r="FH118" s="31" t="e">
        <f>(IF(OR(Hypothèses!$B$4=17,Hypothèses!$B$4=18,Hypothèses!$B$4=19,Hypothèses!$B$4=20),
IF($D118="Pressio.",
IF(OR($E118=3,$E118=1,$E118=4),(PI()*FH$12^2)/4*(FD118*$W118*1000)/($H118*$B$5),(PI()*FH$12^2)/4*(FD118*$W118*1000)/($G118*$B$5)),
IF($D118="Pénétro.",
IF(OR($E118=4,$E118=1,$E118=5),(PI()*FH$12^2)/4*(FD118*$W118*1000)/($H118*$B$5),(PI()*FH$12^2)/4*(FD118*$W118*1000)/($G118*$B$5)))),
IF($D118="Pressio.",
IF($E118=3,(PI()*FH$12^2)/4*(FD118*$W118*1000)/($H118*$B$5),(PI()*FH$12^2)/4*(FD118*$W118*1000)/($G118*$B$5)),
IF($D118="Pénétro.",
IF($E118=4,(PI()*FH$12^2)/4*(FD118*$W118*1000)/($H118*$B$5),(PI()*FH$12^2)/4*(FD118*$W118*1000)/($G118*$B$5))))))/10</f>
        <v>#N/A</v>
      </c>
      <c r="FI118" s="102" t="e">
        <f>(VLOOKUP($B$3,'Coeff EC7'!$T$39:$X$59,2,0)*FG118+VLOOKUP($B$3,'Coeff EC7'!$T$65:$X$85,2,0)*Model0.1C!FH118)/1.1</f>
        <v>#N/A</v>
      </c>
      <c r="FJ118" s="102" t="e">
        <f>(VLOOKUP($B$3,'Coeff EC7'!$T$39:$X$59,3,0)*FG118+VLOOKUP($B$3,'Coeff EC7'!$T$65:$X$85,3,0)*Model0.1C!FH118)/0.9</f>
        <v>#N/A</v>
      </c>
      <c r="FK118" s="102" t="e">
        <f t="shared" si="198"/>
        <v>#N/A</v>
      </c>
      <c r="FL118" s="102" t="e">
        <f t="shared" si="199"/>
        <v>#N/A</v>
      </c>
      <c r="FM118" s="414" t="e">
        <f>IF(FM117=0,0,IF(AND(FI118&gt;charge_ELS_quasi,FJ118&gt;Charge_ELS_freq,FK118&gt;charge_ELU,FL118&gt;charge_ELA,$B118&gt;NDC!$H$22-0.1+MIN(3*$FM$12,1.5)),0,1))</f>
        <v>#N/A</v>
      </c>
    </row>
    <row r="119" spans="1:169">
      <c r="A119" s="96">
        <f t="shared" si="167"/>
        <v>89.400000000000603</v>
      </c>
      <c r="B119" s="97">
        <v>10.6</v>
      </c>
      <c r="C119" s="81">
        <f>IF(B119&lt;=Hypothèses!$C$7,Hypothèses!$A$7,IF(B119&lt;=Hypothèses!$C$8,Hypothèses!$A$8,IF(B119&lt;=Hypothèses!$C$9,Hypothèses!$A$9,IF(B119&lt;=Hypothèses!$C$10,Hypothèses!$A$10,IF(B119&lt;=Hypothèses!$C$11,Hypothèses!$A$11,IF(B119&lt;=Hypothèses!$C$12,Hypothèses!$A$12,IF(B119&lt;=Hypothèses!$C$13,Hypothèses!$A$13,IF(B119&lt;=Hypothèses!$C$14,Hypothèses!$A$14,IF(B119&lt;=Hypothèses!$C$15,Hypothèses!$A$15,IF(B119&lt;=Hypothèses!$C$16,Hypothèses!$A$16,IF(B119&lt;=Hypothèses!$C$17,Hypothèses!$A$17,IF(B119&lt;=Hypothèses!$C$18,Hypothèses!$A$18,C118))))))))))))</f>
        <v>11</v>
      </c>
      <c r="D119" s="82" t="str">
        <f>IF(B119&lt;=Hypothèses!$C$7,Hypothèses!$R$7,IF(B119&lt;=Hypothèses!$C$8,Hypothèses!$R$8,IF(B119&lt;=Hypothèses!$C$9,Hypothèses!$R$9,IF(B119&lt;=Hypothèses!$C$10,Hypothèses!$R$10,IF(B119&lt;=Hypothèses!$C$11,Hypothèses!$R$11,IF(B119&lt;=Hypothèses!$C$12,Hypothèses!$R$12,IF(B119&lt;=Hypothèses!$C$13,Hypothèses!$R$13,IF(B119&lt;=Hypothèses!$C$14,Hypothèses!$R$14,IF(B119&lt;=Hypothèses!$C$15,Hypothèses!$R$15,IF(B119&lt;=Hypothèses!$C$16,Hypothèses!$R$16,IF(B119&lt;=Hypothèses!$C$17,Hypothèses!$R$17,IF(B119&lt;=Hypothèses!$C$18,Hypothèses!$R$18,D118))))))))))))</f>
        <v>Pressio.</v>
      </c>
      <c r="E119" s="82" t="e">
        <f>IF(B119&lt;=Hypothèses!$C$7,Hypothèses!$G$7,IF(B119&lt;=Hypothèses!$C$8,Hypothèses!$G$8,IF(B119&lt;=Hypothèses!$C$9,Hypothèses!$G$9,IF(B119&lt;=Hypothèses!$C$10,Hypothèses!$G$10,IF(B119&lt;=Hypothèses!$C$11,Hypothèses!$G$11,IF(B119&lt;=Hypothèses!$C$12,Hypothèses!$G$12,IF(B119&lt;=Hypothèses!$C$13,Hypothèses!$G$13,IF(B119&lt;=Hypothèses!$C$14,Hypothèses!$G$14,IF(B119&lt;=Hypothèses!$C$15,Hypothèses!$G$15,IF(B119&lt;=Hypothèses!$C$16,Hypothèses!$G$16,IF(B119&lt;=Hypothèses!$C$17,Hypothèses!$G$17,IF(B119&lt;=Hypothèses!$C$18,Hypothèses!$G$18,E118))))))))))))</f>
        <v>#N/A</v>
      </c>
      <c r="F119" s="82" t="str">
        <f>IF(B119&lt;=Hypothèses!$C$7,Hypothèses!$F$7,IF(B119&lt;=Hypothèses!$C$8,Hypothèses!$F$8,IF(B119&lt;=Hypothèses!$C$9,Hypothèses!$F$9,IF(B119&lt;=Hypothèses!$C$10,Hypothèses!$F$10,IF(B119&lt;=Hypothèses!$C$11,Hypothèses!$F$11,IF(B119&lt;=Hypothèses!$C$12,Hypothèses!$F$12,IF(B119&lt;=Hypothèses!$C$13,Hypothèses!$F$13,IF(B119&lt;=Hypothèses!$C$14,Hypothèses!$F$14,IF(B119&lt;=Hypothèses!$C$15,Hypothèses!$F$15,IF(B119&lt;=Hypothèses!$C$16,Hypothèses!$F$16,IF(B119&lt;=Hypothèses!$C$17,Hypothèses!$F$17,IF(B119&lt;=Hypothèses!$C$18,Hypothèses!$F$18,F118))))))))))))</f>
        <v/>
      </c>
      <c r="G119" s="91">
        <f t="array" ref="G119">INDEX('Coeff EC7'!$U$7:$X$27,
MATCH(Model0.1C!$B$3,'Coeff EC7'!$T$7:$T$27,0),
MATCH(Model0.1C!$D119&amp;Model0.1C!$B$4,
'Coeff EC7'!$U$6:$X$6&amp;
'Coeff EC7'!$U$5:$X$5,0))</f>
        <v>1.1499999999999999</v>
      </c>
      <c r="H119" s="91">
        <f t="array" ref="H119">INDEX('Coeff EC7'!$Y$7:$AB$27,
MATCH(Model0.1C!$B$3,'Coeff EC7'!$T$7:$T$27,0),
MATCH(Model0.1C!$D119&amp;Model0.1C!$B$4,
'Coeff EC7'!$Y$6:$AB$6&amp;
'Coeff EC7'!$Y$5:$AB$5,0))</f>
        <v>1.4</v>
      </c>
      <c r="I119" s="83" t="e">
        <f>IF(B119&lt;=Hypothèses!$C$7,Hypothèses!$P$7,IF(B119&lt;=Hypothèses!$C$8,Hypothèses!$P$8,IF(B119&lt;=Hypothèses!$C$9,Hypothèses!$P$9,IF(B119&lt;=Hypothèses!$C$10,Hypothèses!$P$10,IF(B119&lt;=Hypothèses!$C$11,Hypothèses!$P$11,IF(B119&lt;=Hypothèses!$C$12,Hypothèses!$P$12,IF(B119&lt;=Hypothèses!$C$13,Hypothèses!$P$13,IF(B119&lt;=Hypothèses!$C$14,Hypothèses!$P$14,IF(B119&lt;=Hypothèses!$C$15,Hypothèses!$P$15,IF(B119&lt;=Hypothèses!$C$16,Hypothèses!$P$16,IF(B119&lt;=Hypothèses!$C$17,Hypothèses!$P$17,IF(B119&lt;=Hypothèses!$C$18,Hypothèses!$P$18,I118))))))))))))</f>
        <v>#N/A</v>
      </c>
      <c r="J119" s="91" t="e">
        <f t="array" ref="J119">INDEX('Coeff EC7'!$D$33:$Q$33,1,MATCH(D119&amp;E119,'Coeff EC7'!$D$31:$Q$31&amp;'Coeff EC7'!$D$32:$Q$32,0))</f>
        <v>#N/A</v>
      </c>
      <c r="K119" s="91" t="e">
        <f t="array" ref="K119">INDEX('Coeff EC7'!$D$34:$Q$34,1,MATCH(D119&amp;E119,'Coeff EC7'!$D$31:$Q$31&amp;'Coeff EC7'!$D$32:$Q$32,0))</f>
        <v>#N/A</v>
      </c>
      <c r="L119" s="91" t="e">
        <f t="array" ref="L119">INDEX('Coeff EC7'!$D$35:$Q$35,1,MATCH(D119&amp;E119,'Coeff EC7'!$D$31:$Q$31&amp;'Coeff EC7'!$D$32:$Q$32,0))</f>
        <v>#N/A</v>
      </c>
      <c r="M119" s="98" t="e">
        <f t="shared" si="131"/>
        <v>#N/A</v>
      </c>
      <c r="N119" s="99" t="e">
        <f t="array" ref="N119">INDEX('Coeff EC7'!$D$7:$Q$27,MATCH($B$3,'Coeff EC7'!$C$7:$C$27,0),MATCH(D119&amp;E119,'Coeff EC7'!$D$5:$Q$5&amp;'Coeff EC7'!$D$6:$Q$6,0))</f>
        <v>#N/A</v>
      </c>
      <c r="O119" s="99" t="e">
        <f t="array" ref="O119">INDEX('Coeff EC7'!$D$41:$Q$61,MATCH($B$3,'Coeff EC7'!$C$41:$C$61,0),MATCH(D119&amp;E119,'Coeff EC7'!$D$39:$Q$39&amp;'Coeff EC7'!$D$40:$Q$40,0))</f>
        <v>#N/A</v>
      </c>
      <c r="P119" s="30" t="e">
        <f t="shared" si="168"/>
        <v>#N/A</v>
      </c>
      <c r="Q119" s="100" t="e">
        <f t="shared" si="133"/>
        <v>#N/A</v>
      </c>
      <c r="R119" s="86" t="b">
        <f t="shared" si="134"/>
        <v>0</v>
      </c>
      <c r="S119" s="86">
        <f t="shared" si="132"/>
        <v>0.5</v>
      </c>
      <c r="T119" s="86">
        <f t="shared" si="135"/>
        <v>0.5</v>
      </c>
      <c r="U119" s="30" t="e">
        <f t="shared" ca="1" si="169"/>
        <v>#DIV/0!</v>
      </c>
      <c r="V119" s="85" t="str">
        <f>IF(B119&lt;=Hypothèses!$V$7,Hypothèses!$W$7,IF(B119&lt;=Hypothèses!$V$8,Hypothèses!$W$8,IF(B119&lt;=Hypothèses!$V$9,Hypothèses!$W$9,IF(B119&lt;=Hypothèses!$V$10,Hypothèses!$W$10,IF(B119&lt;=Hypothèses!$V$11,Hypothèses!$W$11,IF(B119&lt;=Hypothèses!$V$12,Hypothèses!$W$12,IF(B119&lt;=Hypothèses!$V$13,Hypothèses!$W$13,IF(B119&lt;=Hypothèses!$V$14,Hypothèses!$W$14,IF(B119&lt;=Hypothèses!$V$15,Hypothèses!$W$15,IF(B119&lt;=Hypothèses!$V$16,Hypothèses!$W$16,IF(B119&lt;=Hypothèses!$V$17,Hypothèses!$W$17,IF(B119&lt;=Hypothèses!$V$18,Hypothèses!$W$18,""))))))))))))</f>
        <v/>
      </c>
      <c r="W119" s="87" t="e">
        <f t="shared" ca="1" si="216"/>
        <v>#DIV/0!</v>
      </c>
      <c r="X119" s="88" t="str">
        <f>IF(B119&lt;=Hypothèses!$V$7,Hypothèses!$X$7,IF(B119&lt;=Hypothèses!$V$8,Hypothèses!$X$8,IF(B119&lt;=Hypothèses!$V$9,Hypothèses!$X$9,IF(B119&lt;=Hypothèses!$V$10,Hypothèses!$X$10,IF(B119&lt;=Hypothèses!$V$11,Hypothèses!$X$11,IF(B119&lt;=Hypothèses!$V$12,Hypothèses!$X$12,IF(B119&lt;=Hypothèses!$V$13,Hypothèses!$X$13,IF(B119&lt;=Hypothèses!$V$14,Hypothèses!$X$14,IF(B119&lt;=Hypothèses!$V$15,Hypothèses!$X$15,IF(B119&lt;=Hypothèses!$V$16,Hypothèses!$X$16,IF(B119&lt;=Hypothèses!$U$17,Hypothèses!$W$17,IF(B119&lt;=Hypothèses!$U$18,Hypothèses!$W$18,""))))))))))))</f>
        <v/>
      </c>
      <c r="Y119" s="95" t="e">
        <f t="shared" ca="1" si="136"/>
        <v>#DIV/0!</v>
      </c>
      <c r="Z119" s="101" t="e">
        <f t="shared" si="137"/>
        <v>#N/A</v>
      </c>
      <c r="AA119" s="91" t="e">
        <f t="shared" si="138"/>
        <v>#N/A</v>
      </c>
      <c r="AB119" s="30" t="e">
        <f t="shared" si="200"/>
        <v>#N/A</v>
      </c>
      <c r="AC119" s="30" t="e">
        <f t="shared" si="201"/>
        <v>#N/A</v>
      </c>
      <c r="AD119" s="31" t="e">
        <f>IF(OR(Hypothèses!$B$4=17,Hypothèses!$B$4=18,Hypothèses!$B$4=19,Hypothèses!$B$4=20),
IF($D119="Pressio.",
IF(OR($E119=3,$E119=1,$E119=4),AC119,AB119),
IF($D119="Pénétro.",
IF(OR($E119=3,$E119=1,$E119=4),AC119,AB119))),IF($D119="Pressio.",
IF($E119=3,AC119,AB119),
IF($D119="Pénétro.",
IF($E119=4,AC119,AB119))))</f>
        <v>#N/A</v>
      </c>
      <c r="AE119" s="31" t="e">
        <f>(IF(OR(Hypothèses!$B$4=17,Hypothèses!$B$4=18,Hypothèses!$B$4=19,Hypothèses!$B$4=20),
IF($D119="Pressio.",
IF(OR($E119=3,$E119=1,$E119=4),(PI()*AE$12^2)/4*(AA119*$W119*1000)/($H119*$B$5),(PI()*AE$12^2)/4*(AA119*$W119*1000)/($G119*$B$5)),
IF($D119="Pénétro.",
IF(OR($E119=4,$E119=1,$E119=5),(PI()*AE$12^2)/4*(AA119*$W119*1000)/($H119*$B$5),(PI()*AE$12^2)/4*(AA119*$W119*1000)/($G119*$B$5)))),
IF($D119="Pressio.",
IF($E119=3,(PI()*AE$12^2)/4*(AA119*$W119*1000)/($H119*$B$5),(PI()*AE$12^2)/4*(AA119*$W119*1000)/($G119*$B$5)),
IF($D119="Pénétro.",
IF($E119=4,(PI()*AE$12^2)/4*(AA119*$W119*1000)/($H119*$B$5),(PI()*AE$12^2)/4*(AA119*$W119*1000)/($G119*$B$5))))))/10</f>
        <v>#N/A</v>
      </c>
      <c r="AF119" s="102" t="e">
        <f>(VLOOKUP($B$3,'Coeff EC7'!$T$39:$X$59,2,0)*AD119+VLOOKUP($B$3,'Coeff EC7'!$T$65:$X$85,2,0)*Model0.1C!AE119)/1.1</f>
        <v>#N/A</v>
      </c>
      <c r="AG119" s="102" t="e">
        <f>(VLOOKUP($B$3,'Coeff EC7'!$T$39:$X$59,3,0)*AD119+VLOOKUP($B$3,'Coeff EC7'!$T$65:$X$85,3,0)*Model0.1C!AE119)/0.9</f>
        <v>#N/A</v>
      </c>
      <c r="AH119" s="102" t="e">
        <f t="shared" si="139"/>
        <v>#N/A</v>
      </c>
      <c r="AI119" s="102" t="e">
        <f t="shared" si="140"/>
        <v>#N/A</v>
      </c>
      <c r="AJ119" s="414" t="e">
        <f>IF(AJ118=0,0,IF(AND(AF119&gt;charge_ELS_quasi,AG119&gt;Charge_ELS_freq,AH119&gt;charge_ELU,AI119&gt;charge_ELA,$B119&gt;NDC!$H$22-0.1+MIN(3*$AJ$12,1.5)),0,1))</f>
        <v>#N/A</v>
      </c>
      <c r="AK119" s="86" t="b">
        <f t="shared" si="141"/>
        <v>0</v>
      </c>
      <c r="AL119" s="86">
        <f t="shared" si="170"/>
        <v>0.5</v>
      </c>
      <c r="AM119" s="86">
        <f t="shared" si="142"/>
        <v>0.5</v>
      </c>
      <c r="AN119" s="30" t="e">
        <f t="shared" ca="1" si="171"/>
        <v>#DIV/0!</v>
      </c>
      <c r="AO119" s="85" t="e">
        <f ca="1">IF(U119&lt;=Hypothèses!$V$7,Hypothèses!$W$7,IF(U119&lt;=Hypothèses!$V$8,Hypothèses!$W$8,IF(U119&lt;=Hypothèses!$V$9,Hypothèses!$W$9,IF(U119&lt;=Hypothèses!$V$10,Hypothèses!$W$10,IF(U119&lt;=Hypothèses!$V$11,Hypothèses!$W$11,IF(U119&lt;=Hypothèses!$V$12,Hypothèses!$W$12,IF(U119&lt;=Hypothèses!$V$13,Hypothèses!$W$13,IF(U119&lt;=Hypothèses!$V$14,Hypothèses!$W$14,IF(U119&lt;=Hypothèses!$V$15,Hypothèses!$W$15,IF(U119&lt;=Hypothèses!$V$16,Hypothèses!$W$16,IF(U119&lt;=Hypothèses!$V$17,Hypothèses!$W$17,IF(U119&lt;=Hypothèses!$V$18,Hypothèses!$W$18,""))))))))))))</f>
        <v>#DIV/0!</v>
      </c>
      <c r="AP119" s="87" t="e">
        <f t="shared" ca="1" si="217"/>
        <v>#DIV/0!</v>
      </c>
      <c r="AQ119" s="88" t="e">
        <f ca="1">IF(U119&lt;=Hypothèses!$V$7,Hypothèses!$X$7,IF(U119&lt;=Hypothèses!$V$8,Hypothèses!$X$8,IF(U119&lt;=Hypothèses!$V$9,Hypothèses!$X$9,IF(U119&lt;=Hypothèses!$V$10,Hypothèses!$X$10,IF(U119&lt;=Hypothèses!$V$11,Hypothèses!$X$11,IF(U119&lt;=Hypothèses!$V$12,Hypothèses!$X$12,IF(U119&lt;=Hypothèses!$V$13,Hypothèses!$X$13,IF(U119&lt;=Hypothèses!$V$14,Hypothèses!$X$14,IF(U119&lt;=Hypothèses!$V$15,Hypothèses!$X$15,IF(U119&lt;=Hypothèses!$V$16,Hypothèses!$X$16,IF(U119&lt;=Hypothèses!$U$17,Hypothèses!$W$17,IF(U119&lt;=Hypothèses!$U$18,Hypothèses!$W$18,""))))))))))))</f>
        <v>#DIV/0!</v>
      </c>
      <c r="AR119" s="95" t="e">
        <f t="shared" ca="1" si="172"/>
        <v>#DIV/0!</v>
      </c>
      <c r="AS119" s="101" t="e">
        <f t="shared" si="224"/>
        <v>#N/A</v>
      </c>
      <c r="AT119" s="91" t="e">
        <f t="shared" si="143"/>
        <v>#N/A</v>
      </c>
      <c r="AU119" s="30" t="e">
        <f t="shared" si="202"/>
        <v>#N/A</v>
      </c>
      <c r="AV119" s="30" t="e">
        <f t="shared" si="203"/>
        <v>#N/A</v>
      </c>
      <c r="AW119" s="31" t="e">
        <f>IF(OR(Hypothèses!$B$4=17,Hypothèses!$B$4=18,Hypothèses!$B$4=19,Hypothèses!$B$4=20),
IF($D119="Pressio.",
IF(OR($E119=3,$E119=1,$E119=4),AV119,AU119),
IF($D119="Pénétro.",
IF(OR($E119=3,$E119=1,$E119=4),AV119,AU119))),IF($D119="Pressio.",
IF($E119=3,AV119,AU119),
IF($D119="Pénétro.",
IF($E119=4,AV119,AU119))))</f>
        <v>#N/A</v>
      </c>
      <c r="AX119" s="31" t="e">
        <f>(IF(OR(Hypothèses!$B$4=17,Hypothèses!$B$4=18,Hypothèses!$B$4=19,Hypothèses!$B$4=20),
IF($D119="Pressio.",
IF(OR($E119=3,$E119=1,$E119=4),(PI()*AX$12^2)/4*(AT119*$W119*1000)/($H119*$B$5),(PI()*AX$12^2)/4*(AT119*$W119*1000)/($G119*$B$5)),
IF($D119="Pénétro.",
IF(OR($E119=4,$E119=1,$E119=5),(PI()*AX$12^2)/4*(AT119*$W119*1000)/($H119*$B$5),(PI()*AX$12^2)/4*(AT119*$W119*1000)/($G119*$B$5)))),
IF($D119="Pressio.",
IF($E119=3,(PI()*AX$12^2)/4*(AT119*$W119*1000)/($H119*$B$5),(PI()*AX$12^2)/4*(AT119*$W119*1000)/($G119*$B$5)),
IF($D119="Pénétro.",
IF($E119=4,(PI()*AX$12^2)/4*(AT119*$W119*1000)/($H119*$B$5),(PI()*AX$12^2)/4*(AT119*$W119*1000)/($G119*$B$5))))))/10</f>
        <v>#N/A</v>
      </c>
      <c r="AY119" s="102" t="e">
        <f>(VLOOKUP($B$3,'Coeff EC7'!$T$39:$X$59,2,0)*AW119+VLOOKUP($B$3,'Coeff EC7'!$T$65:$X$85,2,0)*Model0.1C!AX119)/1.1</f>
        <v>#N/A</v>
      </c>
      <c r="AZ119" s="102" t="e">
        <f>(VLOOKUP($B$3,'Coeff EC7'!$T$39:$X$59,3,0)*AW119+VLOOKUP($B$3,'Coeff EC7'!$T$65:$X$85,3,0)*Model0.1C!AX119)/0.9</f>
        <v>#N/A</v>
      </c>
      <c r="BA119" s="102" t="e">
        <f t="shared" si="173"/>
        <v>#N/A</v>
      </c>
      <c r="BB119" s="102" t="e">
        <f t="shared" si="174"/>
        <v>#N/A</v>
      </c>
      <c r="BC119" s="414" t="e">
        <f>IF(BC118=0,0,IF(AND(AY119&gt;charge_ELS_quasi,AZ119&gt;Charge_ELS_freq,BA119&gt;charge_ELU,BB119&gt;charge_ELA,$B119&gt;NDC!$H$22-0.1+MIN(3*$BC$12,1.5)),0,1))</f>
        <v>#N/A</v>
      </c>
      <c r="BD119" s="86" t="b">
        <f t="shared" si="144"/>
        <v>0</v>
      </c>
      <c r="BE119" s="86">
        <f t="shared" si="175"/>
        <v>0.5</v>
      </c>
      <c r="BF119" s="86">
        <f t="shared" si="145"/>
        <v>0.5</v>
      </c>
      <c r="BG119" s="30" t="e">
        <f t="shared" ca="1" si="176"/>
        <v>#DIV/0!</v>
      </c>
      <c r="BH119" s="85" t="e">
        <f ca="1">IF(AN119&lt;=Hypothèses!$V$7,Hypothèses!$W$7,IF(AN119&lt;=Hypothèses!$V$8,Hypothèses!$W$8,IF(AN119&lt;=Hypothèses!$V$9,Hypothèses!$W$9,IF(AN119&lt;=Hypothèses!$V$10,Hypothèses!$W$10,IF(AN119&lt;=Hypothèses!$V$11,Hypothèses!$W$11,IF(AN119&lt;=Hypothèses!$V$12,Hypothèses!$W$12,IF(AN119&lt;=Hypothèses!$V$13,Hypothèses!$W$13,IF(AN119&lt;=Hypothèses!$V$14,Hypothèses!$W$14,IF(AN119&lt;=Hypothèses!$V$15,Hypothèses!$W$15,IF(AN119&lt;=Hypothèses!$V$16,Hypothèses!$W$16,IF(AN119&lt;=Hypothèses!$V$17,Hypothèses!$W$17,IF(AN119&lt;=Hypothèses!$V$18,Hypothèses!$W$18,""))))))))))))</f>
        <v>#DIV/0!</v>
      </c>
      <c r="BI119" s="87" t="e">
        <f t="shared" ca="1" si="218"/>
        <v>#DIV/0!</v>
      </c>
      <c r="BJ119" s="88" t="e">
        <f ca="1">IF(AN119&lt;=Hypothèses!$V$7,Hypothèses!$X$7,IF(AN119&lt;=Hypothèses!$V$8,Hypothèses!$X$8,IF(AN119&lt;=Hypothèses!$V$9,Hypothèses!$X$9,IF(AN119&lt;=Hypothèses!$V$10,Hypothèses!$X$10,IF(AN119&lt;=Hypothèses!$V$11,Hypothèses!$X$11,IF(AN119&lt;=Hypothèses!$V$12,Hypothèses!$X$12,IF(AN119&lt;=Hypothèses!$V$13,Hypothèses!$X$13,IF(AN119&lt;=Hypothèses!$V$14,Hypothèses!$X$14,IF(AN119&lt;=Hypothèses!$V$15,Hypothèses!$X$15,IF(AN119&lt;=Hypothèses!$V$16,Hypothèses!$X$16,IF(AN119&lt;=Hypothèses!$U$17,Hypothèses!$W$17,IF(AN119&lt;=Hypothèses!$U$18,Hypothèses!$W$18,""))))))))))))</f>
        <v>#DIV/0!</v>
      </c>
      <c r="BK119" s="95" t="e">
        <f t="shared" ca="1" si="177"/>
        <v>#DIV/0!</v>
      </c>
      <c r="BL119" s="101" t="e">
        <f t="shared" si="225"/>
        <v>#N/A</v>
      </c>
      <c r="BM119" s="91" t="e">
        <f t="shared" si="146"/>
        <v>#N/A</v>
      </c>
      <c r="BN119" s="30" t="e">
        <f t="shared" si="204"/>
        <v>#N/A</v>
      </c>
      <c r="BO119" s="30" t="e">
        <f t="shared" si="205"/>
        <v>#N/A</v>
      </c>
      <c r="BP119" s="31" t="e">
        <f>IF(OR(Hypothèses!$B$4=17,Hypothèses!$B$4=18,Hypothèses!$B$4=19,Hypothèses!$B$4=20),
IF($D119="Pressio.",
IF(OR($E119=3,$E119=1,$E119=4),BO119,BN119),
IF($D119="Pénétro.",
IF(OR($E119=3,$E119=1,$E119=4),BO119,BN119))),IF($D119="Pressio.",
IF($E119=3,BO119,BN119),
IF($D119="Pénétro.",
IF($E119=4,BO119,BN119))))</f>
        <v>#N/A</v>
      </c>
      <c r="BQ119" s="31" t="e">
        <f>(IF(OR(Hypothèses!$B$4=17,Hypothèses!$B$4=18,Hypothèses!$B$4=19,Hypothèses!$B$4=20),
IF($D119="Pressio.",
IF(OR($E119=3,$E119=1,$E119=4),(PI()*BQ$12^2)/4*(BM119*$W119*1000)/($H119*$B$5),(PI()*BQ$12^2)/4*(BM119*$W119*1000)/($G119*$B$5)),
IF($D119="Pénétro.",
IF(OR($E119=4,$E119=1,$E119=5),(PI()*BQ$12^2)/4*(BM119*$W119*1000)/($H119*$B$5),(PI()*BQ$12^2)/4*(BM119*$W119*1000)/($G119*$B$5)))),
IF($D119="Pressio.",
IF($E119=3,(PI()*BQ$12^2)/4*(BM119*$W119*1000)/($H119*$B$5),(PI()*BQ$12^2)/4*(BM119*$W119*1000)/($G119*$B$5)),
IF($D119="Pénétro.",
IF($E119=4,(PI()*BQ$12^2)/4*(BM119*$W119*1000)/($H119*$B$5),(PI()*BQ$12^2)/4*(BM119*$W119*1000)/($G119*$B$5))))))/10</f>
        <v>#N/A</v>
      </c>
      <c r="BR119" s="102" t="e">
        <f>(VLOOKUP($B$3,'Coeff EC7'!$T$39:$X$59,2,0)*BP119+VLOOKUP($B$3,'Coeff EC7'!$T$65:$X$85,2,0)*Model0.1C!BQ119)/1.1</f>
        <v>#N/A</v>
      </c>
      <c r="BS119" s="102" t="e">
        <f>(VLOOKUP($B$3,'Coeff EC7'!$T$39:$X$59,3,0)*BP119+VLOOKUP($B$3,'Coeff EC7'!$T$65:$X$85,3,0)*Model0.1C!BQ119)/0.9</f>
        <v>#N/A</v>
      </c>
      <c r="BT119" s="102" t="e">
        <f t="shared" si="178"/>
        <v>#N/A</v>
      </c>
      <c r="BU119" s="102" t="e">
        <f t="shared" si="179"/>
        <v>#N/A</v>
      </c>
      <c r="BV119" s="414" t="e">
        <f>IF(BV118=0,0,IF(AND(BR119&gt;charge_ELS_quasi,BS119&gt;Charge_ELS_freq,BT119&gt;charge_ELU,BU119&gt;charge_ELA,$B119&gt;NDC!$H$22-0.1+MIN(3*$BV$12,1.5)),0,1))</f>
        <v>#N/A</v>
      </c>
      <c r="BW119" s="86" t="b">
        <f t="shared" si="147"/>
        <v>0</v>
      </c>
      <c r="BX119" s="86">
        <f t="shared" si="148"/>
        <v>0.5</v>
      </c>
      <c r="BY119" s="86">
        <f t="shared" si="149"/>
        <v>0.5</v>
      </c>
      <c r="BZ119" s="30" t="e">
        <f t="shared" ca="1" si="180"/>
        <v>#DIV/0!</v>
      </c>
      <c r="CA119" s="85" t="e">
        <f ca="1">IF(BG119&lt;=Hypothèses!$V$7,Hypothèses!$W$7,IF(BG119&lt;=Hypothèses!$V$8,Hypothèses!$W$8,IF(BG119&lt;=Hypothèses!$V$9,Hypothèses!$W$9,IF(BG119&lt;=Hypothèses!$V$10,Hypothèses!$W$10,IF(BG119&lt;=Hypothèses!$V$11,Hypothèses!$W$11,IF(BG119&lt;=Hypothèses!$V$12,Hypothèses!$W$12,IF(BG119&lt;=Hypothèses!$V$13,Hypothèses!$W$13,IF(BG119&lt;=Hypothèses!$V$14,Hypothèses!$W$14,IF(BG119&lt;=Hypothèses!$V$15,Hypothèses!$W$15,IF(BG119&lt;=Hypothèses!$V$16,Hypothèses!$W$16,IF(BG119&lt;=Hypothèses!$V$17,Hypothèses!$W$17,IF(BG119&lt;=Hypothèses!$V$18,Hypothèses!$W$18,""))))))))))))</f>
        <v>#DIV/0!</v>
      </c>
      <c r="CB119" s="87" t="e">
        <f t="shared" ca="1" si="219"/>
        <v>#DIV/0!</v>
      </c>
      <c r="CC119" s="88" t="e">
        <f ca="1">IF(BG119&lt;=Hypothèses!$V$7,Hypothèses!$X$7,IF(BG119&lt;=Hypothèses!$V$8,Hypothèses!$X$8,IF(BG119&lt;=Hypothèses!$V$9,Hypothèses!$X$9,IF(BG119&lt;=Hypothèses!$V$10,Hypothèses!$X$10,IF(BG119&lt;=Hypothèses!$V$11,Hypothèses!$X$11,IF(BG119&lt;=Hypothèses!$V$12,Hypothèses!$X$12,IF(BG119&lt;=Hypothèses!$V$13,Hypothèses!$X$13,IF(BG119&lt;=Hypothèses!$V$14,Hypothèses!$X$14,IF(BG119&lt;=Hypothèses!$V$15,Hypothèses!$X$15,IF(BG119&lt;=Hypothèses!$V$16,Hypothèses!$X$16,IF(BG119&lt;=Hypothèses!$U$17,Hypothèses!$W$17,IF(BG119&lt;=Hypothèses!$U$18,Hypothèses!$W$18,""))))))))))))</f>
        <v>#DIV/0!</v>
      </c>
      <c r="CD119" s="95" t="e">
        <f t="shared" ca="1" si="181"/>
        <v>#DIV/0!</v>
      </c>
      <c r="CE119" s="101" t="e">
        <f t="shared" si="226"/>
        <v>#N/A</v>
      </c>
      <c r="CF119" s="91" t="e">
        <f t="shared" si="150"/>
        <v>#N/A</v>
      </c>
      <c r="CG119" s="30" t="e">
        <f t="shared" si="206"/>
        <v>#N/A</v>
      </c>
      <c r="CH119" s="30" t="e">
        <f t="shared" si="207"/>
        <v>#N/A</v>
      </c>
      <c r="CI119" s="31" t="e">
        <f>IF(OR(Hypothèses!$B$4=17,Hypothèses!$B$4=18,Hypothèses!$B$4=19,Hypothèses!$B$4=20),
IF($D119="Pressio.",
IF(OR($E119=3,$E119=1,$E119=4),CH119,CG119),
IF($D119="Pénétro.",
IF(OR($E119=3,$E119=1,$E119=4),CH119,CG119))),IF($D119="Pressio.",
IF($E119=3,CH119,CG119),
IF($D119="Pénétro.",
IF($E119=4,CH119,CG119))))</f>
        <v>#N/A</v>
      </c>
      <c r="CJ119" s="31" t="e">
        <f>(IF(OR(Hypothèses!$B$4=17,Hypothèses!$B$4=18,Hypothèses!$B$4=19,Hypothèses!$B$4=20),
IF($D119="Pressio.",
IF(OR($E119=3,$E119=1,$E119=4),(PI()*CJ$12^2)/4*(CF119*$W119*1000)/($H119*$B$5),(PI()*CJ$12^2)/4*(CF119*$W119*1000)/($G119*$B$5)),
IF($D119="Pénétro.",
IF(OR($E119=4,$E119=1,$E119=5),(PI()*CJ$12^2)/4*(CF119*$W119*1000)/($H119*$B$5),(PI()*CJ$12^2)/4*(CF119*$W119*1000)/($G119*$B$5)))),
IF($D119="Pressio.",
IF($E119=3,(PI()*CJ$12^2)/4*(CF119*$W119*1000)/($H119*$B$5),(PI()*CJ$12^2)/4*(CF119*$W119*1000)/($G119*$B$5)),
IF($D119="Pénétro.",
IF($E119=4,(PI()*CJ$12^2)/4*(CF119*$W119*1000)/($H119*$B$5),(PI()*CJ$12^2)/4*(CF119*$W119*1000)/($G119*$B$5))))))/10</f>
        <v>#N/A</v>
      </c>
      <c r="CK119" s="102" t="e">
        <f>(VLOOKUP($B$3,'Coeff EC7'!$T$39:$X$59,2,0)*CI119+VLOOKUP($B$3,'Coeff EC7'!$T$65:$X$85,2,0)*Model0.1C!CJ119)/1.1</f>
        <v>#N/A</v>
      </c>
      <c r="CL119" s="102" t="e">
        <f>(VLOOKUP($B$3,'Coeff EC7'!$T$39:$X$59,3,0)*CI119+VLOOKUP($B$3,'Coeff EC7'!$T$65:$X$85,3,0)*Model0.1C!CJ119)/0.9</f>
        <v>#N/A</v>
      </c>
      <c r="CM119" s="102" t="e">
        <f t="shared" si="182"/>
        <v>#N/A</v>
      </c>
      <c r="CN119" s="102" t="e">
        <f t="shared" si="183"/>
        <v>#N/A</v>
      </c>
      <c r="CO119" s="414" t="e">
        <f>IF(CO118=0,0,IF(AND(CK119&gt;charge_ELS_quasi,CL119&gt;Charge_ELS_freq,CM119&gt;charge_ELU,CN119&gt;charge_ELA,$B119&gt;NDC!$H$22-0.1+MIN(3*$CO$12,1.5)),0,1))</f>
        <v>#N/A</v>
      </c>
      <c r="CP119" s="86" t="b">
        <f t="shared" si="151"/>
        <v>0</v>
      </c>
      <c r="CQ119" s="86">
        <f t="shared" si="152"/>
        <v>0.5</v>
      </c>
      <c r="CR119" s="86">
        <f t="shared" si="153"/>
        <v>0.5</v>
      </c>
      <c r="CS119" s="30" t="e">
        <f t="shared" ca="1" si="184"/>
        <v>#DIV/0!</v>
      </c>
      <c r="CT119" s="85" t="e">
        <f ca="1">IF(BZ119&lt;=Hypothèses!$V$7,Hypothèses!$W$7,IF(BZ119&lt;=Hypothèses!$V$8,Hypothèses!$W$8,IF(BZ119&lt;=Hypothèses!$V$9,Hypothèses!$W$9,IF(BZ119&lt;=Hypothèses!$V$10,Hypothèses!$W$10,IF(BZ119&lt;=Hypothèses!$V$11,Hypothèses!$W$11,IF(BZ119&lt;=Hypothèses!$V$12,Hypothèses!$W$12,IF(BZ119&lt;=Hypothèses!$V$13,Hypothèses!$W$13,IF(BZ119&lt;=Hypothèses!$V$14,Hypothèses!$W$14,IF(BZ119&lt;=Hypothèses!$V$15,Hypothèses!$W$15,IF(BZ119&lt;=Hypothèses!$V$16,Hypothèses!$W$16,IF(BZ119&lt;=Hypothèses!$V$17,Hypothèses!$W$17,IF(BZ119&lt;=Hypothèses!$V$18,Hypothèses!$W$18,""))))))))))))</f>
        <v>#DIV/0!</v>
      </c>
      <c r="CU119" s="87" t="e">
        <f t="shared" ca="1" si="220"/>
        <v>#DIV/0!</v>
      </c>
      <c r="CV119" s="88" t="e">
        <f ca="1">IF(BZ119&lt;=Hypothèses!$V$7,Hypothèses!$X$7,IF(BZ119&lt;=Hypothèses!$V$8,Hypothèses!$X$8,IF(BZ119&lt;=Hypothèses!$V$9,Hypothèses!$X$9,IF(BZ119&lt;=Hypothèses!$V$10,Hypothèses!$X$10,IF(BZ119&lt;=Hypothèses!$V$11,Hypothèses!$X$11,IF(BZ119&lt;=Hypothèses!$V$12,Hypothèses!$X$12,IF(BZ119&lt;=Hypothèses!$V$13,Hypothèses!$X$13,IF(BZ119&lt;=Hypothèses!$V$14,Hypothèses!$X$14,IF(BZ119&lt;=Hypothèses!$V$15,Hypothèses!$X$15,IF(BZ119&lt;=Hypothèses!$V$16,Hypothèses!$X$16,IF(BZ119&lt;=Hypothèses!$U$17,Hypothèses!$W$17,IF(BZ119&lt;=Hypothèses!$U$18,Hypothèses!$W$18,""))))))))))))</f>
        <v>#DIV/0!</v>
      </c>
      <c r="CW119" s="95" t="e">
        <f t="shared" ca="1" si="185"/>
        <v>#DIV/0!</v>
      </c>
      <c r="CX119" s="101" t="e">
        <f t="shared" si="227"/>
        <v>#N/A</v>
      </c>
      <c r="CY119" s="91" t="e">
        <f t="shared" si="154"/>
        <v>#N/A</v>
      </c>
      <c r="CZ119" s="30" t="e">
        <f t="shared" si="208"/>
        <v>#N/A</v>
      </c>
      <c r="DA119" s="30" t="e">
        <f t="shared" si="209"/>
        <v>#N/A</v>
      </c>
      <c r="DB119" s="31" t="e">
        <f>IF(OR(Hypothèses!$B$4=17,Hypothèses!$B$4=18,Hypothèses!$B$4=19,Hypothèses!$B$4=20),
IF($D119="Pressio.",
IF(OR($E119=3,$E119=1,$E119=4),DA119,CZ119),
IF($D119="Pénétro.",
IF(OR($E119=3,$E119=1,$E119=4),DA119,CZ119))),IF($D119="Pressio.",
IF($E119=3,DA119,CZ119),
IF($D119="Pénétro.",
IF($E119=4,DA119,CZ119))))</f>
        <v>#N/A</v>
      </c>
      <c r="DC119" s="31" t="e">
        <f>(IF(OR(Hypothèses!$B$4=17,Hypothèses!$B$4=18,Hypothèses!$B$4=19,Hypothèses!$B$4=20),
IF($D119="Pressio.",
IF(OR($E119=3,$E119=1,$E119=4),(PI()*DC$12^2)/4*(CY119*$W119*1000)/($H119*$B$5),(PI()*DC$12^2)/4*(CY119*$W119*1000)/($G119*$B$5)),
IF($D119="Pénétro.",
IF(OR($E119=4,$E119=1,$E119=5),(PI()*DC$12^2)/4*(CY119*$W119*1000)/($H119*$B$5),(PI()*DC$12^2)/4*(CY119*$W119*1000)/($G119*$B$5)))),
IF($D119="Pressio.",
IF($E119=3,(PI()*DC$12^2)/4*(CY119*$W119*1000)/($H119*$B$5),(PI()*DC$12^2)/4*(CY119*$W119*1000)/($G119*$B$5)),
IF($D119="Pénétro.",
IF($E119=4,(PI()*DC$12^2)/4*(CY119*$W119*1000)/($H119*$B$5),(PI()*DC$12^2)/4*(CY119*$W119*1000)/($G119*$B$5))))))/10</f>
        <v>#N/A</v>
      </c>
      <c r="DD119" s="102" t="e">
        <f>(VLOOKUP($B$3,'Coeff EC7'!$T$39:$X$59,2,0)*DB119+VLOOKUP($B$3,'Coeff EC7'!$T$65:$X$85,2,0)*Model0.1C!DC119)/1.1</f>
        <v>#N/A</v>
      </c>
      <c r="DE119" s="102" t="e">
        <f>(VLOOKUP($B$3,'Coeff EC7'!$T$39:$X$59,3,0)*DB119+VLOOKUP($B$3,'Coeff EC7'!$T$65:$X$85,3,0)*Model0.1C!DC119)/0.9</f>
        <v>#N/A</v>
      </c>
      <c r="DF119" s="102" t="e">
        <f t="shared" si="186"/>
        <v>#N/A</v>
      </c>
      <c r="DG119" s="102" t="e">
        <f t="shared" si="187"/>
        <v>#N/A</v>
      </c>
      <c r="DH119" s="414" t="e">
        <f>IF(DH118=0,0,IF(AND(DD119&gt;charge_ELS_quasi,DE119&gt;Charge_ELS_freq,DF119&gt;charge_ELU,DG119&gt;charge_ELA,$B119&gt;NDC!$H$22-0.1+MIN(3*$DH$12,1.5)),0,1))</f>
        <v>#N/A</v>
      </c>
      <c r="DI119" s="86" t="b">
        <f t="shared" si="155"/>
        <v>0</v>
      </c>
      <c r="DJ119" s="86">
        <f t="shared" si="156"/>
        <v>0.5</v>
      </c>
      <c r="DK119" s="86">
        <f t="shared" si="157"/>
        <v>0.5</v>
      </c>
      <c r="DL119" s="30" t="e">
        <f t="shared" ca="1" si="188"/>
        <v>#DIV/0!</v>
      </c>
      <c r="DM119" s="85" t="e">
        <f ca="1">IF(CS119&lt;=Hypothèses!$V$7,Hypothèses!$W$7,IF(CS119&lt;=Hypothèses!$V$8,Hypothèses!$W$8,IF(CS119&lt;=Hypothèses!$V$9,Hypothèses!$W$9,IF(CS119&lt;=Hypothèses!$V$10,Hypothèses!$W$10,IF(CS119&lt;=Hypothèses!$V$11,Hypothèses!$W$11,IF(CS119&lt;=Hypothèses!$V$12,Hypothèses!$W$12,IF(CS119&lt;=Hypothèses!$V$13,Hypothèses!$W$13,IF(CS119&lt;=Hypothèses!$V$14,Hypothèses!$W$14,IF(CS119&lt;=Hypothèses!$V$15,Hypothèses!$W$15,IF(CS119&lt;=Hypothèses!$V$16,Hypothèses!$W$16,IF(CS119&lt;=Hypothèses!$V$17,Hypothèses!$W$17,IF(CS119&lt;=Hypothèses!$V$18,Hypothèses!$W$18,""))))))))))))</f>
        <v>#DIV/0!</v>
      </c>
      <c r="DN119" s="87" t="e">
        <f t="shared" ca="1" si="221"/>
        <v>#DIV/0!</v>
      </c>
      <c r="DO119" s="88" t="e">
        <f ca="1">IF(CS119&lt;=Hypothèses!$V$7,Hypothèses!$X$7,IF(CS119&lt;=Hypothèses!$V$8,Hypothèses!$X$8,IF(CS119&lt;=Hypothèses!$V$9,Hypothèses!$X$9,IF(CS119&lt;=Hypothèses!$V$10,Hypothèses!$X$10,IF(CS119&lt;=Hypothèses!$V$11,Hypothèses!$X$11,IF(CS119&lt;=Hypothèses!$V$12,Hypothèses!$X$12,IF(CS119&lt;=Hypothèses!$V$13,Hypothèses!$X$13,IF(CS119&lt;=Hypothèses!$V$14,Hypothèses!$X$14,IF(CS119&lt;=Hypothèses!$V$15,Hypothèses!$X$15,IF(CS119&lt;=Hypothèses!$V$16,Hypothèses!$X$16,IF(CS119&lt;=Hypothèses!$U$17,Hypothèses!$W$17,IF(CS119&lt;=Hypothèses!$U$18,Hypothèses!$W$18,""))))))))))))</f>
        <v>#DIV/0!</v>
      </c>
      <c r="DP119" s="95" t="e">
        <f t="shared" ca="1" si="189"/>
        <v>#DIV/0!</v>
      </c>
      <c r="DQ119" s="101" t="e">
        <f t="shared" si="228"/>
        <v>#N/A</v>
      </c>
      <c r="DR119" s="91" t="e">
        <f t="shared" si="158"/>
        <v>#N/A</v>
      </c>
      <c r="DS119" s="30" t="e">
        <f t="shared" si="210"/>
        <v>#N/A</v>
      </c>
      <c r="DT119" s="30" t="e">
        <f t="shared" si="211"/>
        <v>#N/A</v>
      </c>
      <c r="DU119" s="31" t="e">
        <f>IF(OR(Hypothèses!$B$4=17,Hypothèses!$B$4=18,Hypothèses!$B$4=19,Hypothèses!$B$4=20),
IF($D119="Pressio.",
IF(OR($E119=3,$E119=1,$E119=4),DT119,DS119),
IF($D119="Pénétro.",
IF(OR($E119=3,$E119=1,$E119=4),DT119,DS119))),IF($D119="Pressio.",
IF($E119=3,DT119,DS119),
IF($D119="Pénétro.",
IF($E119=4,DT119,DS119))))</f>
        <v>#N/A</v>
      </c>
      <c r="DV119" s="31" t="e">
        <f>(IF(OR(Hypothèses!$B$4=17,Hypothèses!$B$4=18,Hypothèses!$B$4=19,Hypothèses!$B$4=20),
IF($D119="Pressio.",
IF(OR($E119=3,$E119=1,$E119=4),(PI()*DV$12^2)/4*(DR119*$W119*1000)/($H119*$B$5),(PI()*DV$12^2)/4*(DR119*$W119*1000)/($G119*$B$5)),
IF($D119="Pénétro.",
IF(OR($E119=4,$E119=1,$E119=5),(PI()*DV$12^2)/4*(DR119*$W119*1000)/($H119*$B$5),(PI()*DV$12^2)/4*(DR119*$W119*1000)/($G119*$B$5)))),
IF($D119="Pressio.",
IF($E119=3,(PI()*DV$12^2)/4*(DR119*$W119*1000)/($H119*$B$5),(PI()*DV$12^2)/4*(DR119*$W119*1000)/($G119*$B$5)),
IF($D119="Pénétro.",
IF($E119=4,(PI()*DV$12^2)/4*(DR119*$W119*1000)/($H119*$B$5),(PI()*DV$12^2)/4*(DR119*$W119*1000)/($G119*$B$5))))))/10</f>
        <v>#N/A</v>
      </c>
      <c r="DW119" s="102" t="e">
        <f>(VLOOKUP($B$3,'Coeff EC7'!$T$39:$X$59,2,0)*DU119+VLOOKUP($B$3,'Coeff EC7'!$T$65:$X$85,2,0)*Model0.1C!DV119)/1.1</f>
        <v>#N/A</v>
      </c>
      <c r="DX119" s="102" t="e">
        <f>(VLOOKUP($B$3,'Coeff EC7'!$T$39:$X$59,3,0)*DU119+VLOOKUP($B$3,'Coeff EC7'!$T$65:$X$85,3,0)*Model0.1C!DV119)/0.9</f>
        <v>#N/A</v>
      </c>
      <c r="DY119" s="102" t="e">
        <f t="shared" si="190"/>
        <v>#N/A</v>
      </c>
      <c r="DZ119" s="102" t="e">
        <f t="shared" si="191"/>
        <v>#N/A</v>
      </c>
      <c r="EA119" s="414" t="e">
        <f>IF(EA118=0,0,IF(AND(DW119&gt;charge_ELS_quasi,DX119&gt;Charge_ELS_freq,DY119&gt;charge_ELU,DZ119&gt;charge_ELA,$B119&gt;NDC!$H$22-0.1+MIN(3*$EA$12,1.5)),0,1))</f>
        <v>#N/A</v>
      </c>
      <c r="EB119" s="86" t="b">
        <f t="shared" si="159"/>
        <v>0</v>
      </c>
      <c r="EC119" s="418">
        <f t="shared" si="160"/>
        <v>0.51</v>
      </c>
      <c r="ED119" s="86">
        <f t="shared" si="161"/>
        <v>0.51</v>
      </c>
      <c r="EE119" s="30" t="e">
        <f t="shared" ca="1" si="192"/>
        <v>#DIV/0!</v>
      </c>
      <c r="EF119" s="85" t="e">
        <f ca="1">IF(DL119&lt;=Hypothèses!$V$7,Hypothèses!$W$7,IF(DL119&lt;=Hypothèses!$V$8,Hypothèses!$W$8,IF(DL119&lt;=Hypothèses!$V$9,Hypothèses!$W$9,IF(DL119&lt;=Hypothèses!$V$10,Hypothèses!$W$10,IF(DL119&lt;=Hypothèses!$V$11,Hypothèses!$W$11,IF(DL119&lt;=Hypothèses!$V$12,Hypothèses!$W$12,IF(DL119&lt;=Hypothèses!$V$13,Hypothèses!$W$13,IF(DL119&lt;=Hypothèses!$V$14,Hypothèses!$W$14,IF(DL119&lt;=Hypothèses!$V$15,Hypothèses!$W$15,IF(DL119&lt;=Hypothèses!$V$16,Hypothèses!$W$16,IF(DL119&lt;=Hypothèses!$V$17,Hypothèses!$W$17,IF(DL119&lt;=Hypothèses!$V$18,Hypothèses!$W$18,""))))))))))))</f>
        <v>#DIV/0!</v>
      </c>
      <c r="EG119" s="87" t="e">
        <f t="shared" ca="1" si="222"/>
        <v>#DIV/0!</v>
      </c>
      <c r="EH119" s="88" t="e">
        <f ca="1">IF(DL119&lt;=Hypothèses!$V$7,Hypothèses!$X$7,IF(DL119&lt;=Hypothèses!$V$8,Hypothèses!$X$8,IF(DL119&lt;=Hypothèses!$V$9,Hypothèses!$X$9,IF(DL119&lt;=Hypothèses!$V$10,Hypothèses!$X$10,IF(DL119&lt;=Hypothèses!$V$11,Hypothèses!$X$11,IF(DL119&lt;=Hypothèses!$V$12,Hypothèses!$X$12,IF(DL119&lt;=Hypothèses!$V$13,Hypothèses!$X$13,IF(DL119&lt;=Hypothèses!$V$14,Hypothèses!$X$14,IF(DL119&lt;=Hypothèses!$V$15,Hypothèses!$X$15,IF(DL119&lt;=Hypothèses!$V$16,Hypothèses!$X$16,IF(DL119&lt;=Hypothèses!$U$17,Hypothèses!$W$17,IF(DL119&lt;=Hypothèses!$U$18,Hypothèses!$W$18,""))))))))))))</f>
        <v>#DIV/0!</v>
      </c>
      <c r="EI119" s="95" t="e">
        <f t="shared" ca="1" si="193"/>
        <v>#DIV/0!</v>
      </c>
      <c r="EJ119" s="101" t="e">
        <f t="shared" si="229"/>
        <v>#N/A</v>
      </c>
      <c r="EK119" s="91" t="e">
        <f t="shared" si="162"/>
        <v>#N/A</v>
      </c>
      <c r="EL119" s="30" t="e">
        <f t="shared" si="212"/>
        <v>#N/A</v>
      </c>
      <c r="EM119" s="30" t="e">
        <f t="shared" si="213"/>
        <v>#N/A</v>
      </c>
      <c r="EN119" s="31" t="e">
        <f>IF(OR(Hypothèses!$B$4=17,Hypothèses!$B$4=18,Hypothèses!$B$4=19,Hypothèses!$B$4=20),
IF($D119="Pressio.",
IF(OR($E119=3,$E119=1,$E119=4),EM119,EL119),
IF($D119="Pénétro.",
IF(OR($E119=3,$E119=1,$E119=4),EM119,EL119))),IF($D119="Pressio.",
IF($E119=3,EM119,EL119),
IF($D119="Pénétro.",
IF($E119=4,EM119,EL119))))</f>
        <v>#N/A</v>
      </c>
      <c r="EO119" s="31" t="e">
        <f>(IF(OR(Hypothèses!$B$4=17,Hypothèses!$B$4=18,Hypothèses!$B$4=19,Hypothèses!$B$4=20),
IF($D119="Pressio.",
IF(OR($E119=3,$E119=1,$E119=4),(PI()*EO$12^2)/4*(EK119*$W119*1000)/($H119*$B$5),(PI()*EO$12^2)/4*(EK119*$W119*1000)/($G119*$B$5)),
IF($D119="Pénétro.",
IF(OR($E119=4,$E119=1,$E119=5),(PI()*EO$12^2)/4*(EK119*$W119*1000)/($H119*$B$5),(PI()*EO$12^2)/4*(EK119*$W119*1000)/($G119*$B$5)))),
IF($D119="Pressio.",
IF($E119=3,(PI()*EO$12^2)/4*(EK119*$W119*1000)/($H119*$B$5),(PI()*EO$12^2)/4*(EK119*$W119*1000)/($G119*$B$5)),
IF($D119="Pénétro.",
IF($E119=4,(PI()*EO$12^2)/4*(EK119*$W119*1000)/($H119*$B$5),(PI()*EO$12^2)/4*(EK119*$W119*1000)/($G119*$B$5))))))/10</f>
        <v>#N/A</v>
      </c>
      <c r="EP119" s="102" t="e">
        <f>(VLOOKUP($B$3,'Coeff EC7'!$T$39:$X$59,2,0)*EN119+VLOOKUP($B$3,'Coeff EC7'!$T$65:$X$85,2,0)*Model0.1C!EO119)/1.1</f>
        <v>#N/A</v>
      </c>
      <c r="EQ119" s="102" t="e">
        <f>(VLOOKUP($B$3,'Coeff EC7'!$T$39:$X$59,3,0)*EN119+VLOOKUP($B$3,'Coeff EC7'!$T$65:$X$85,3,0)*Model0.1C!EO119)/0.9</f>
        <v>#N/A</v>
      </c>
      <c r="ER119" s="102" t="e">
        <f t="shared" si="194"/>
        <v>#N/A</v>
      </c>
      <c r="ES119" s="102" t="e">
        <f t="shared" si="195"/>
        <v>#N/A</v>
      </c>
      <c r="ET119" s="414" t="e">
        <f>IF(ET118=0,0,IF(AND(EP119&gt;charge_ELS_quasi,EQ119&gt;Charge_ELS_freq,ER119&gt;charge_ELU,ES119&gt;charge_ELA,$B119&gt;NDC!$H$22-0.1+MIN(3*$ET$12,1.5)),0,1))</f>
        <v>#N/A</v>
      </c>
      <c r="EU119" s="86" t="b">
        <f t="shared" si="163"/>
        <v>0</v>
      </c>
      <c r="EV119" s="86">
        <f t="shared" si="164"/>
        <v>0.61</v>
      </c>
      <c r="EW119" s="86">
        <f t="shared" si="165"/>
        <v>0.61</v>
      </c>
      <c r="EX119" s="30" t="e">
        <f t="shared" ca="1" si="196"/>
        <v>#DIV/0!</v>
      </c>
      <c r="EY119" s="85" t="e">
        <f ca="1">IF(EE119&lt;=Hypothèses!$V$7,Hypothèses!$W$7,IF(EE119&lt;=Hypothèses!$V$8,Hypothèses!$W$8,IF(EE119&lt;=Hypothèses!$V$9,Hypothèses!$W$9,IF(EE119&lt;=Hypothèses!$V$10,Hypothèses!$W$10,IF(EE119&lt;=Hypothèses!$V$11,Hypothèses!$W$11,IF(EE119&lt;=Hypothèses!$V$12,Hypothèses!$W$12,IF(EE119&lt;=Hypothèses!$V$13,Hypothèses!$W$13,IF(EE119&lt;=Hypothèses!$V$14,Hypothèses!$W$14,IF(EE119&lt;=Hypothèses!$V$15,Hypothèses!$W$15,IF(EE119&lt;=Hypothèses!$V$16,Hypothèses!$W$16,IF(EE119&lt;=Hypothèses!$V$17,Hypothèses!$W$17,IF(EE119&lt;=Hypothèses!$V$18,Hypothèses!$W$18,""))))))))))))</f>
        <v>#DIV/0!</v>
      </c>
      <c r="EZ119" s="87" t="e">
        <f t="shared" ca="1" si="223"/>
        <v>#DIV/0!</v>
      </c>
      <c r="FA119" s="88" t="e">
        <f ca="1">IF(EE119&lt;=Hypothèses!$V$7,Hypothèses!$X$7,IF(EE119&lt;=Hypothèses!$V$8,Hypothèses!$X$8,IF(EE119&lt;=Hypothèses!$V$9,Hypothèses!$X$9,IF(EE119&lt;=Hypothèses!$V$10,Hypothèses!$X$10,IF(EE119&lt;=Hypothèses!$V$11,Hypothèses!$X$11,IF(EE119&lt;=Hypothèses!$V$12,Hypothèses!$X$12,IF(EE119&lt;=Hypothèses!$V$13,Hypothèses!$X$13,IF(EE119&lt;=Hypothèses!$V$14,Hypothèses!$X$14,IF(EE119&lt;=Hypothèses!$V$15,Hypothèses!$X$15,IF(EE119&lt;=Hypothèses!$V$16,Hypothèses!$X$16,IF(EE119&lt;=Hypothèses!$U$17,Hypothèses!$W$17,IF(EE119&lt;=Hypothèses!$U$18,Hypothèses!$W$18,""))))))))))))</f>
        <v>#DIV/0!</v>
      </c>
      <c r="FB119" s="95" t="e">
        <f t="shared" ca="1" si="197"/>
        <v>#DIV/0!</v>
      </c>
      <c r="FC119" s="101" t="e">
        <f t="shared" si="230"/>
        <v>#N/A</v>
      </c>
      <c r="FD119" s="91" t="e">
        <f t="shared" si="166"/>
        <v>#N/A</v>
      </c>
      <c r="FE119" s="30" t="e">
        <f t="shared" si="214"/>
        <v>#N/A</v>
      </c>
      <c r="FF119" s="30" t="e">
        <f t="shared" si="215"/>
        <v>#N/A</v>
      </c>
      <c r="FG119" s="31" t="e">
        <f>IF(OR(Hypothèses!$B$4=17,Hypothèses!$B$4=18,Hypothèses!$B$4=19,Hypothèses!$B$4=20),
IF($D119="Pressio.",
IF(OR($E119=3,$E119=1,$E119=4),FF119,FE119),
IF($D119="Pénétro.",
IF(OR($E119=3,$E119=1,$E119=4),FF119,FE119))),IF($D119="Pressio.",
IF($E119=3,FF119,FE119),
IF($D119="Pénétro.",
IF($E119=4,FF119,FE119))))</f>
        <v>#N/A</v>
      </c>
      <c r="FH119" s="31" t="e">
        <f>(IF(OR(Hypothèses!$B$4=17,Hypothèses!$B$4=18,Hypothèses!$B$4=19,Hypothèses!$B$4=20),
IF($D119="Pressio.",
IF(OR($E119=3,$E119=1,$E119=4),(PI()*FH$12^2)/4*(FD119*$W119*1000)/($H119*$B$5),(PI()*FH$12^2)/4*(FD119*$W119*1000)/($G119*$B$5)),
IF($D119="Pénétro.",
IF(OR($E119=4,$E119=1,$E119=5),(PI()*FH$12^2)/4*(FD119*$W119*1000)/($H119*$B$5),(PI()*FH$12^2)/4*(FD119*$W119*1000)/($G119*$B$5)))),
IF($D119="Pressio.",
IF($E119=3,(PI()*FH$12^2)/4*(FD119*$W119*1000)/($H119*$B$5),(PI()*FH$12^2)/4*(FD119*$W119*1000)/($G119*$B$5)),
IF($D119="Pénétro.",
IF($E119=4,(PI()*FH$12^2)/4*(FD119*$W119*1000)/($H119*$B$5),(PI()*FH$12^2)/4*(FD119*$W119*1000)/($G119*$B$5))))))/10</f>
        <v>#N/A</v>
      </c>
      <c r="FI119" s="102" t="e">
        <f>(VLOOKUP($B$3,'Coeff EC7'!$T$39:$X$59,2,0)*FG119+VLOOKUP($B$3,'Coeff EC7'!$T$65:$X$85,2,0)*Model0.1C!FH119)/1.1</f>
        <v>#N/A</v>
      </c>
      <c r="FJ119" s="102" t="e">
        <f>(VLOOKUP($B$3,'Coeff EC7'!$T$39:$X$59,3,0)*FG119+VLOOKUP($B$3,'Coeff EC7'!$T$65:$X$85,3,0)*Model0.1C!FH119)/0.9</f>
        <v>#N/A</v>
      </c>
      <c r="FK119" s="102" t="e">
        <f t="shared" si="198"/>
        <v>#N/A</v>
      </c>
      <c r="FL119" s="102" t="e">
        <f t="shared" si="199"/>
        <v>#N/A</v>
      </c>
      <c r="FM119" s="414" t="e">
        <f>IF(FM118=0,0,IF(AND(FI119&gt;charge_ELS_quasi,FJ119&gt;Charge_ELS_freq,FK119&gt;charge_ELU,FL119&gt;charge_ELA,$B119&gt;NDC!$H$22-0.1+MIN(3*$FM$12,1.5)),0,1))</f>
        <v>#N/A</v>
      </c>
    </row>
    <row r="120" spans="1:169">
      <c r="A120" s="96">
        <f t="shared" si="167"/>
        <v>89.300000000000608</v>
      </c>
      <c r="B120" s="97">
        <v>10.7</v>
      </c>
      <c r="C120" s="81">
        <f>IF(B120&lt;=Hypothèses!$C$7,Hypothèses!$A$7,IF(B120&lt;=Hypothèses!$C$8,Hypothèses!$A$8,IF(B120&lt;=Hypothèses!$C$9,Hypothèses!$A$9,IF(B120&lt;=Hypothèses!$C$10,Hypothèses!$A$10,IF(B120&lt;=Hypothèses!$C$11,Hypothèses!$A$11,IF(B120&lt;=Hypothèses!$C$12,Hypothèses!$A$12,IF(B120&lt;=Hypothèses!$C$13,Hypothèses!$A$13,IF(B120&lt;=Hypothèses!$C$14,Hypothèses!$A$14,IF(B120&lt;=Hypothèses!$C$15,Hypothèses!$A$15,IF(B120&lt;=Hypothèses!$C$16,Hypothèses!$A$16,IF(B120&lt;=Hypothèses!$C$17,Hypothèses!$A$17,IF(B120&lt;=Hypothèses!$C$18,Hypothèses!$A$18,C119))))))))))))</f>
        <v>11</v>
      </c>
      <c r="D120" s="82" t="str">
        <f>IF(B120&lt;=Hypothèses!$C$7,Hypothèses!$R$7,IF(B120&lt;=Hypothèses!$C$8,Hypothèses!$R$8,IF(B120&lt;=Hypothèses!$C$9,Hypothèses!$R$9,IF(B120&lt;=Hypothèses!$C$10,Hypothèses!$R$10,IF(B120&lt;=Hypothèses!$C$11,Hypothèses!$R$11,IF(B120&lt;=Hypothèses!$C$12,Hypothèses!$R$12,IF(B120&lt;=Hypothèses!$C$13,Hypothèses!$R$13,IF(B120&lt;=Hypothèses!$C$14,Hypothèses!$R$14,IF(B120&lt;=Hypothèses!$C$15,Hypothèses!$R$15,IF(B120&lt;=Hypothèses!$C$16,Hypothèses!$R$16,IF(B120&lt;=Hypothèses!$C$17,Hypothèses!$R$17,IF(B120&lt;=Hypothèses!$C$18,Hypothèses!$R$18,D119))))))))))))</f>
        <v>Pressio.</v>
      </c>
      <c r="E120" s="82" t="e">
        <f>IF(B120&lt;=Hypothèses!$C$7,Hypothèses!$G$7,IF(B120&lt;=Hypothèses!$C$8,Hypothèses!$G$8,IF(B120&lt;=Hypothèses!$C$9,Hypothèses!$G$9,IF(B120&lt;=Hypothèses!$C$10,Hypothèses!$G$10,IF(B120&lt;=Hypothèses!$C$11,Hypothèses!$G$11,IF(B120&lt;=Hypothèses!$C$12,Hypothèses!$G$12,IF(B120&lt;=Hypothèses!$C$13,Hypothèses!$G$13,IF(B120&lt;=Hypothèses!$C$14,Hypothèses!$G$14,IF(B120&lt;=Hypothèses!$C$15,Hypothèses!$G$15,IF(B120&lt;=Hypothèses!$C$16,Hypothèses!$G$16,IF(B120&lt;=Hypothèses!$C$17,Hypothèses!$G$17,IF(B120&lt;=Hypothèses!$C$18,Hypothèses!$G$18,E119))))))))))))</f>
        <v>#N/A</v>
      </c>
      <c r="F120" s="82" t="str">
        <f>IF(B120&lt;=Hypothèses!$C$7,Hypothèses!$F$7,IF(B120&lt;=Hypothèses!$C$8,Hypothèses!$F$8,IF(B120&lt;=Hypothèses!$C$9,Hypothèses!$F$9,IF(B120&lt;=Hypothèses!$C$10,Hypothèses!$F$10,IF(B120&lt;=Hypothèses!$C$11,Hypothèses!$F$11,IF(B120&lt;=Hypothèses!$C$12,Hypothèses!$F$12,IF(B120&lt;=Hypothèses!$C$13,Hypothèses!$F$13,IF(B120&lt;=Hypothèses!$C$14,Hypothèses!$F$14,IF(B120&lt;=Hypothèses!$C$15,Hypothèses!$F$15,IF(B120&lt;=Hypothèses!$C$16,Hypothèses!$F$16,IF(B120&lt;=Hypothèses!$C$17,Hypothèses!$F$17,IF(B120&lt;=Hypothèses!$C$18,Hypothèses!$F$18,F119))))))))))))</f>
        <v/>
      </c>
      <c r="G120" s="91">
        <f t="array" ref="G120">INDEX('Coeff EC7'!$U$7:$X$27,
MATCH(Model0.1C!$B$3,'Coeff EC7'!$T$7:$T$27,0),
MATCH(Model0.1C!$D120&amp;Model0.1C!$B$4,
'Coeff EC7'!$U$6:$X$6&amp;
'Coeff EC7'!$U$5:$X$5,0))</f>
        <v>1.1499999999999999</v>
      </c>
      <c r="H120" s="91">
        <f t="array" ref="H120">INDEX('Coeff EC7'!$Y$7:$AB$27,
MATCH(Model0.1C!$B$3,'Coeff EC7'!$T$7:$T$27,0),
MATCH(Model0.1C!$D120&amp;Model0.1C!$B$4,
'Coeff EC7'!$Y$6:$AB$6&amp;
'Coeff EC7'!$Y$5:$AB$5,0))</f>
        <v>1.4</v>
      </c>
      <c r="I120" s="83" t="e">
        <f>IF(B120&lt;=Hypothèses!$C$7,Hypothèses!$P$7,IF(B120&lt;=Hypothèses!$C$8,Hypothèses!$P$8,IF(B120&lt;=Hypothèses!$C$9,Hypothèses!$P$9,IF(B120&lt;=Hypothèses!$C$10,Hypothèses!$P$10,IF(B120&lt;=Hypothèses!$C$11,Hypothèses!$P$11,IF(B120&lt;=Hypothèses!$C$12,Hypothèses!$P$12,IF(B120&lt;=Hypothèses!$C$13,Hypothèses!$P$13,IF(B120&lt;=Hypothèses!$C$14,Hypothèses!$P$14,IF(B120&lt;=Hypothèses!$C$15,Hypothèses!$P$15,IF(B120&lt;=Hypothèses!$C$16,Hypothèses!$P$16,IF(B120&lt;=Hypothèses!$C$17,Hypothèses!$P$17,IF(B120&lt;=Hypothèses!$C$18,Hypothèses!$P$18,I119))))))))))))</f>
        <v>#N/A</v>
      </c>
      <c r="J120" s="91" t="e">
        <f t="array" ref="J120">INDEX('Coeff EC7'!$D$33:$Q$33,1,MATCH(D120&amp;E120,'Coeff EC7'!$D$31:$Q$31&amp;'Coeff EC7'!$D$32:$Q$32,0))</f>
        <v>#N/A</v>
      </c>
      <c r="K120" s="91" t="e">
        <f t="array" ref="K120">INDEX('Coeff EC7'!$D$34:$Q$34,1,MATCH(D120&amp;E120,'Coeff EC7'!$D$31:$Q$31&amp;'Coeff EC7'!$D$32:$Q$32,0))</f>
        <v>#N/A</v>
      </c>
      <c r="L120" s="91" t="e">
        <f t="array" ref="L120">INDEX('Coeff EC7'!$D$35:$Q$35,1,MATCH(D120&amp;E120,'Coeff EC7'!$D$31:$Q$31&amp;'Coeff EC7'!$D$32:$Q$32,0))</f>
        <v>#N/A</v>
      </c>
      <c r="M120" s="98" t="e">
        <f t="shared" si="131"/>
        <v>#N/A</v>
      </c>
      <c r="N120" s="99" t="e">
        <f t="array" ref="N120">INDEX('Coeff EC7'!$D$7:$Q$27,MATCH($B$3,'Coeff EC7'!$C$7:$C$27,0),MATCH(D120&amp;E120,'Coeff EC7'!$D$5:$Q$5&amp;'Coeff EC7'!$D$6:$Q$6,0))</f>
        <v>#N/A</v>
      </c>
      <c r="O120" s="99" t="e">
        <f t="array" ref="O120">INDEX('Coeff EC7'!$D$41:$Q$61,MATCH($B$3,'Coeff EC7'!$C$41:$C$61,0),MATCH(D120&amp;E120,'Coeff EC7'!$D$39:$Q$39&amp;'Coeff EC7'!$D$40:$Q$40,0))</f>
        <v>#N/A</v>
      </c>
      <c r="P120" s="30" t="e">
        <f t="shared" si="168"/>
        <v>#N/A</v>
      </c>
      <c r="Q120" s="100" t="e">
        <f t="shared" si="133"/>
        <v>#N/A</v>
      </c>
      <c r="R120" s="86" t="b">
        <f t="shared" si="134"/>
        <v>0</v>
      </c>
      <c r="S120" s="86">
        <f t="shared" si="132"/>
        <v>0.5</v>
      </c>
      <c r="T120" s="86">
        <f t="shared" si="135"/>
        <v>0.5</v>
      </c>
      <c r="U120" s="30" t="e">
        <f t="shared" ca="1" si="169"/>
        <v>#DIV/0!</v>
      </c>
      <c r="V120" s="85" t="str">
        <f>IF(B120&lt;=Hypothèses!$V$7,Hypothèses!$W$7,IF(B120&lt;=Hypothèses!$V$8,Hypothèses!$W$8,IF(B120&lt;=Hypothèses!$V$9,Hypothèses!$W$9,IF(B120&lt;=Hypothèses!$V$10,Hypothèses!$W$10,IF(B120&lt;=Hypothèses!$V$11,Hypothèses!$W$11,IF(B120&lt;=Hypothèses!$V$12,Hypothèses!$W$12,IF(B120&lt;=Hypothèses!$V$13,Hypothèses!$W$13,IF(B120&lt;=Hypothèses!$V$14,Hypothèses!$W$14,IF(B120&lt;=Hypothèses!$V$15,Hypothèses!$W$15,IF(B120&lt;=Hypothèses!$V$16,Hypothèses!$W$16,IF(B120&lt;=Hypothèses!$V$17,Hypothèses!$W$17,IF(B120&lt;=Hypothèses!$V$18,Hypothèses!$W$18,""))))))))))))</f>
        <v/>
      </c>
      <c r="W120" s="87" t="e">
        <f t="shared" ca="1" si="216"/>
        <v>#DIV/0!</v>
      </c>
      <c r="X120" s="88" t="str">
        <f>IF(B120&lt;=Hypothèses!$V$7,Hypothèses!$X$7,IF(B120&lt;=Hypothèses!$V$8,Hypothèses!$X$8,IF(B120&lt;=Hypothèses!$V$9,Hypothèses!$X$9,IF(B120&lt;=Hypothèses!$V$10,Hypothèses!$X$10,IF(B120&lt;=Hypothèses!$V$11,Hypothèses!$X$11,IF(B120&lt;=Hypothèses!$V$12,Hypothèses!$X$12,IF(B120&lt;=Hypothèses!$V$13,Hypothèses!$X$13,IF(B120&lt;=Hypothèses!$V$14,Hypothèses!$X$14,IF(B120&lt;=Hypothèses!$V$15,Hypothèses!$X$15,IF(B120&lt;=Hypothèses!$V$16,Hypothèses!$X$16,IF(B120&lt;=Hypothèses!$U$17,Hypothèses!$W$17,IF(B120&lt;=Hypothèses!$U$18,Hypothèses!$W$18,""))))))))))))</f>
        <v/>
      </c>
      <c r="Y120" s="95" t="e">
        <f t="shared" ca="1" si="136"/>
        <v>#DIV/0!</v>
      </c>
      <c r="Z120" s="101" t="e">
        <f t="shared" si="137"/>
        <v>#N/A</v>
      </c>
      <c r="AA120" s="91" t="e">
        <f t="shared" si="138"/>
        <v>#N/A</v>
      </c>
      <c r="AB120" s="30" t="e">
        <f t="shared" si="200"/>
        <v>#N/A</v>
      </c>
      <c r="AC120" s="30" t="e">
        <f t="shared" si="201"/>
        <v>#N/A</v>
      </c>
      <c r="AD120" s="31" t="e">
        <f>IF(OR(Hypothèses!$B$4=17,Hypothèses!$B$4=18,Hypothèses!$B$4=19,Hypothèses!$B$4=20),
IF($D120="Pressio.",
IF(OR($E120=3,$E120=1,$E120=4),AC120,AB120),
IF($D120="Pénétro.",
IF(OR($E120=3,$E120=1,$E120=4),AC120,AB120))),IF($D120="Pressio.",
IF($E120=3,AC120,AB120),
IF($D120="Pénétro.",
IF($E120=4,AC120,AB120))))</f>
        <v>#N/A</v>
      </c>
      <c r="AE120" s="31" t="e">
        <f>(IF(OR(Hypothèses!$B$4=17,Hypothèses!$B$4=18,Hypothèses!$B$4=19,Hypothèses!$B$4=20),
IF($D120="Pressio.",
IF(OR($E120=3,$E120=1,$E120=4),(PI()*AE$12^2)/4*(AA120*$W120*1000)/($H120*$B$5),(PI()*AE$12^2)/4*(AA120*$W120*1000)/($G120*$B$5)),
IF($D120="Pénétro.",
IF(OR($E120=4,$E120=1,$E120=5),(PI()*AE$12^2)/4*(AA120*$W120*1000)/($H120*$B$5),(PI()*AE$12^2)/4*(AA120*$W120*1000)/($G120*$B$5)))),
IF($D120="Pressio.",
IF($E120=3,(PI()*AE$12^2)/4*(AA120*$W120*1000)/($H120*$B$5),(PI()*AE$12^2)/4*(AA120*$W120*1000)/($G120*$B$5)),
IF($D120="Pénétro.",
IF($E120=4,(PI()*AE$12^2)/4*(AA120*$W120*1000)/($H120*$B$5),(PI()*AE$12^2)/4*(AA120*$W120*1000)/($G120*$B$5))))))/10</f>
        <v>#N/A</v>
      </c>
      <c r="AF120" s="102" t="e">
        <f>(VLOOKUP($B$3,'Coeff EC7'!$T$39:$X$59,2,0)*AD120+VLOOKUP($B$3,'Coeff EC7'!$T$65:$X$85,2,0)*Model0.1C!AE120)/1.1</f>
        <v>#N/A</v>
      </c>
      <c r="AG120" s="102" t="e">
        <f>(VLOOKUP($B$3,'Coeff EC7'!$T$39:$X$59,3,0)*AD120+VLOOKUP($B$3,'Coeff EC7'!$T$65:$X$85,3,0)*Model0.1C!AE120)/0.9</f>
        <v>#N/A</v>
      </c>
      <c r="AH120" s="102" t="e">
        <f t="shared" si="139"/>
        <v>#N/A</v>
      </c>
      <c r="AI120" s="102" t="e">
        <f t="shared" si="140"/>
        <v>#N/A</v>
      </c>
      <c r="AJ120" s="414" t="e">
        <f>IF(AJ119=0,0,IF(AND(AF120&gt;charge_ELS_quasi,AG120&gt;Charge_ELS_freq,AH120&gt;charge_ELU,AI120&gt;charge_ELA,$B120&gt;NDC!$H$22-0.1+MIN(3*$AJ$12,1.5)),0,1))</f>
        <v>#N/A</v>
      </c>
      <c r="AK120" s="86" t="b">
        <f t="shared" si="141"/>
        <v>0</v>
      </c>
      <c r="AL120" s="86">
        <f t="shared" si="170"/>
        <v>0.5</v>
      </c>
      <c r="AM120" s="86">
        <f t="shared" si="142"/>
        <v>0.5</v>
      </c>
      <c r="AN120" s="30" t="e">
        <f t="shared" ca="1" si="171"/>
        <v>#DIV/0!</v>
      </c>
      <c r="AO120" s="85" t="e">
        <f ca="1">IF(U120&lt;=Hypothèses!$V$7,Hypothèses!$W$7,IF(U120&lt;=Hypothèses!$V$8,Hypothèses!$W$8,IF(U120&lt;=Hypothèses!$V$9,Hypothèses!$W$9,IF(U120&lt;=Hypothèses!$V$10,Hypothèses!$W$10,IF(U120&lt;=Hypothèses!$V$11,Hypothèses!$W$11,IF(U120&lt;=Hypothèses!$V$12,Hypothèses!$W$12,IF(U120&lt;=Hypothèses!$V$13,Hypothèses!$W$13,IF(U120&lt;=Hypothèses!$V$14,Hypothèses!$W$14,IF(U120&lt;=Hypothèses!$V$15,Hypothèses!$W$15,IF(U120&lt;=Hypothèses!$V$16,Hypothèses!$W$16,IF(U120&lt;=Hypothèses!$V$17,Hypothèses!$W$17,IF(U120&lt;=Hypothèses!$V$18,Hypothèses!$W$18,""))))))))))))</f>
        <v>#DIV/0!</v>
      </c>
      <c r="AP120" s="87" t="e">
        <f t="shared" ca="1" si="217"/>
        <v>#DIV/0!</v>
      </c>
      <c r="AQ120" s="88" t="e">
        <f ca="1">IF(U120&lt;=Hypothèses!$V$7,Hypothèses!$X$7,IF(U120&lt;=Hypothèses!$V$8,Hypothèses!$X$8,IF(U120&lt;=Hypothèses!$V$9,Hypothèses!$X$9,IF(U120&lt;=Hypothèses!$V$10,Hypothèses!$X$10,IF(U120&lt;=Hypothèses!$V$11,Hypothèses!$X$11,IF(U120&lt;=Hypothèses!$V$12,Hypothèses!$X$12,IF(U120&lt;=Hypothèses!$V$13,Hypothèses!$X$13,IF(U120&lt;=Hypothèses!$V$14,Hypothèses!$X$14,IF(U120&lt;=Hypothèses!$V$15,Hypothèses!$X$15,IF(U120&lt;=Hypothèses!$V$16,Hypothèses!$X$16,IF(U120&lt;=Hypothèses!$U$17,Hypothèses!$W$17,IF(U120&lt;=Hypothèses!$U$18,Hypothèses!$W$18,""))))))))))))</f>
        <v>#DIV/0!</v>
      </c>
      <c r="AR120" s="95" t="e">
        <f t="shared" ca="1" si="172"/>
        <v>#DIV/0!</v>
      </c>
      <c r="AS120" s="101" t="e">
        <f t="shared" si="224"/>
        <v>#N/A</v>
      </c>
      <c r="AT120" s="91" t="e">
        <f t="shared" si="143"/>
        <v>#N/A</v>
      </c>
      <c r="AU120" s="30" t="e">
        <f t="shared" si="202"/>
        <v>#N/A</v>
      </c>
      <c r="AV120" s="30" t="e">
        <f t="shared" si="203"/>
        <v>#N/A</v>
      </c>
      <c r="AW120" s="31" t="e">
        <f>IF(OR(Hypothèses!$B$4=17,Hypothèses!$B$4=18,Hypothèses!$B$4=19,Hypothèses!$B$4=20),
IF($D120="Pressio.",
IF(OR($E120=3,$E120=1,$E120=4),AV120,AU120),
IF($D120="Pénétro.",
IF(OR($E120=3,$E120=1,$E120=4),AV120,AU120))),IF($D120="Pressio.",
IF($E120=3,AV120,AU120),
IF($D120="Pénétro.",
IF($E120=4,AV120,AU120))))</f>
        <v>#N/A</v>
      </c>
      <c r="AX120" s="31" t="e">
        <f>(IF(OR(Hypothèses!$B$4=17,Hypothèses!$B$4=18,Hypothèses!$B$4=19,Hypothèses!$B$4=20),
IF($D120="Pressio.",
IF(OR($E120=3,$E120=1,$E120=4),(PI()*AX$12^2)/4*(AT120*$W120*1000)/($H120*$B$5),(PI()*AX$12^2)/4*(AT120*$W120*1000)/($G120*$B$5)),
IF($D120="Pénétro.",
IF(OR($E120=4,$E120=1,$E120=5),(PI()*AX$12^2)/4*(AT120*$W120*1000)/($H120*$B$5),(PI()*AX$12^2)/4*(AT120*$W120*1000)/($G120*$B$5)))),
IF($D120="Pressio.",
IF($E120=3,(PI()*AX$12^2)/4*(AT120*$W120*1000)/($H120*$B$5),(PI()*AX$12^2)/4*(AT120*$W120*1000)/($G120*$B$5)),
IF($D120="Pénétro.",
IF($E120=4,(PI()*AX$12^2)/4*(AT120*$W120*1000)/($H120*$B$5),(PI()*AX$12^2)/4*(AT120*$W120*1000)/($G120*$B$5))))))/10</f>
        <v>#N/A</v>
      </c>
      <c r="AY120" s="102" t="e">
        <f>(VLOOKUP($B$3,'Coeff EC7'!$T$39:$X$59,2,0)*AW120+VLOOKUP($B$3,'Coeff EC7'!$T$65:$X$85,2,0)*Model0.1C!AX120)/1.1</f>
        <v>#N/A</v>
      </c>
      <c r="AZ120" s="102" t="e">
        <f>(VLOOKUP($B$3,'Coeff EC7'!$T$39:$X$59,3,0)*AW120+VLOOKUP($B$3,'Coeff EC7'!$T$65:$X$85,3,0)*Model0.1C!AX120)/0.9</f>
        <v>#N/A</v>
      </c>
      <c r="BA120" s="102" t="e">
        <f t="shared" si="173"/>
        <v>#N/A</v>
      </c>
      <c r="BB120" s="102" t="e">
        <f t="shared" si="174"/>
        <v>#N/A</v>
      </c>
      <c r="BC120" s="414" t="e">
        <f>IF(BC119=0,0,IF(AND(AY120&gt;charge_ELS_quasi,AZ120&gt;Charge_ELS_freq,BA120&gt;charge_ELU,BB120&gt;charge_ELA,$B120&gt;NDC!$H$22-0.1+MIN(3*$BC$12,1.5)),0,1))</f>
        <v>#N/A</v>
      </c>
      <c r="BD120" s="86" t="b">
        <f t="shared" si="144"/>
        <v>0</v>
      </c>
      <c r="BE120" s="86">
        <f t="shared" si="175"/>
        <v>0.5</v>
      </c>
      <c r="BF120" s="86">
        <f t="shared" si="145"/>
        <v>0.5</v>
      </c>
      <c r="BG120" s="30" t="e">
        <f t="shared" ca="1" si="176"/>
        <v>#DIV/0!</v>
      </c>
      <c r="BH120" s="85" t="e">
        <f ca="1">IF(AN120&lt;=Hypothèses!$V$7,Hypothèses!$W$7,IF(AN120&lt;=Hypothèses!$V$8,Hypothèses!$W$8,IF(AN120&lt;=Hypothèses!$V$9,Hypothèses!$W$9,IF(AN120&lt;=Hypothèses!$V$10,Hypothèses!$W$10,IF(AN120&lt;=Hypothèses!$V$11,Hypothèses!$W$11,IF(AN120&lt;=Hypothèses!$V$12,Hypothèses!$W$12,IF(AN120&lt;=Hypothèses!$V$13,Hypothèses!$W$13,IF(AN120&lt;=Hypothèses!$V$14,Hypothèses!$W$14,IF(AN120&lt;=Hypothèses!$V$15,Hypothèses!$W$15,IF(AN120&lt;=Hypothèses!$V$16,Hypothèses!$W$16,IF(AN120&lt;=Hypothèses!$V$17,Hypothèses!$W$17,IF(AN120&lt;=Hypothèses!$V$18,Hypothèses!$W$18,""))))))))))))</f>
        <v>#DIV/0!</v>
      </c>
      <c r="BI120" s="87" t="e">
        <f t="shared" ca="1" si="218"/>
        <v>#DIV/0!</v>
      </c>
      <c r="BJ120" s="88" t="e">
        <f ca="1">IF(AN120&lt;=Hypothèses!$V$7,Hypothèses!$X$7,IF(AN120&lt;=Hypothèses!$V$8,Hypothèses!$X$8,IF(AN120&lt;=Hypothèses!$V$9,Hypothèses!$X$9,IF(AN120&lt;=Hypothèses!$V$10,Hypothèses!$X$10,IF(AN120&lt;=Hypothèses!$V$11,Hypothèses!$X$11,IF(AN120&lt;=Hypothèses!$V$12,Hypothèses!$X$12,IF(AN120&lt;=Hypothèses!$V$13,Hypothèses!$X$13,IF(AN120&lt;=Hypothèses!$V$14,Hypothèses!$X$14,IF(AN120&lt;=Hypothèses!$V$15,Hypothèses!$X$15,IF(AN120&lt;=Hypothèses!$V$16,Hypothèses!$X$16,IF(AN120&lt;=Hypothèses!$U$17,Hypothèses!$W$17,IF(AN120&lt;=Hypothèses!$U$18,Hypothèses!$W$18,""))))))))))))</f>
        <v>#DIV/0!</v>
      </c>
      <c r="BK120" s="95" t="e">
        <f t="shared" ca="1" si="177"/>
        <v>#DIV/0!</v>
      </c>
      <c r="BL120" s="101" t="e">
        <f t="shared" si="225"/>
        <v>#N/A</v>
      </c>
      <c r="BM120" s="91" t="e">
        <f t="shared" si="146"/>
        <v>#N/A</v>
      </c>
      <c r="BN120" s="30" t="e">
        <f t="shared" si="204"/>
        <v>#N/A</v>
      </c>
      <c r="BO120" s="30" t="e">
        <f t="shared" si="205"/>
        <v>#N/A</v>
      </c>
      <c r="BP120" s="31" t="e">
        <f>IF(OR(Hypothèses!$B$4=17,Hypothèses!$B$4=18,Hypothèses!$B$4=19,Hypothèses!$B$4=20),
IF($D120="Pressio.",
IF(OR($E120=3,$E120=1,$E120=4),BO120,BN120),
IF($D120="Pénétro.",
IF(OR($E120=3,$E120=1,$E120=4),BO120,BN120))),IF($D120="Pressio.",
IF($E120=3,BO120,BN120),
IF($D120="Pénétro.",
IF($E120=4,BO120,BN120))))</f>
        <v>#N/A</v>
      </c>
      <c r="BQ120" s="31" t="e">
        <f>(IF(OR(Hypothèses!$B$4=17,Hypothèses!$B$4=18,Hypothèses!$B$4=19,Hypothèses!$B$4=20),
IF($D120="Pressio.",
IF(OR($E120=3,$E120=1,$E120=4),(PI()*BQ$12^2)/4*(BM120*$W120*1000)/($H120*$B$5),(PI()*BQ$12^2)/4*(BM120*$W120*1000)/($G120*$B$5)),
IF($D120="Pénétro.",
IF(OR($E120=4,$E120=1,$E120=5),(PI()*BQ$12^2)/4*(BM120*$W120*1000)/($H120*$B$5),(PI()*BQ$12^2)/4*(BM120*$W120*1000)/($G120*$B$5)))),
IF($D120="Pressio.",
IF($E120=3,(PI()*BQ$12^2)/4*(BM120*$W120*1000)/($H120*$B$5),(PI()*BQ$12^2)/4*(BM120*$W120*1000)/($G120*$B$5)),
IF($D120="Pénétro.",
IF($E120=4,(PI()*BQ$12^2)/4*(BM120*$W120*1000)/($H120*$B$5),(PI()*BQ$12^2)/4*(BM120*$W120*1000)/($G120*$B$5))))))/10</f>
        <v>#N/A</v>
      </c>
      <c r="BR120" s="102" t="e">
        <f>(VLOOKUP($B$3,'Coeff EC7'!$T$39:$X$59,2,0)*BP120+VLOOKUP($B$3,'Coeff EC7'!$T$65:$X$85,2,0)*Model0.1C!BQ120)/1.1</f>
        <v>#N/A</v>
      </c>
      <c r="BS120" s="102" t="e">
        <f>(VLOOKUP($B$3,'Coeff EC7'!$T$39:$X$59,3,0)*BP120+VLOOKUP($B$3,'Coeff EC7'!$T$65:$X$85,3,0)*Model0.1C!BQ120)/0.9</f>
        <v>#N/A</v>
      </c>
      <c r="BT120" s="102" t="e">
        <f t="shared" si="178"/>
        <v>#N/A</v>
      </c>
      <c r="BU120" s="102" t="e">
        <f t="shared" si="179"/>
        <v>#N/A</v>
      </c>
      <c r="BV120" s="414" t="e">
        <f>IF(BV119=0,0,IF(AND(BR120&gt;charge_ELS_quasi,BS120&gt;Charge_ELS_freq,BT120&gt;charge_ELU,BU120&gt;charge_ELA,$B120&gt;NDC!$H$22-0.1+MIN(3*$BV$12,1.5)),0,1))</f>
        <v>#N/A</v>
      </c>
      <c r="BW120" s="86" t="b">
        <f t="shared" si="147"/>
        <v>0</v>
      </c>
      <c r="BX120" s="86">
        <f t="shared" si="148"/>
        <v>0.5</v>
      </c>
      <c r="BY120" s="86">
        <f t="shared" si="149"/>
        <v>0.5</v>
      </c>
      <c r="BZ120" s="30" t="e">
        <f t="shared" ca="1" si="180"/>
        <v>#DIV/0!</v>
      </c>
      <c r="CA120" s="85" t="e">
        <f ca="1">IF(BG120&lt;=Hypothèses!$V$7,Hypothèses!$W$7,IF(BG120&lt;=Hypothèses!$V$8,Hypothèses!$W$8,IF(BG120&lt;=Hypothèses!$V$9,Hypothèses!$W$9,IF(BG120&lt;=Hypothèses!$V$10,Hypothèses!$W$10,IF(BG120&lt;=Hypothèses!$V$11,Hypothèses!$W$11,IF(BG120&lt;=Hypothèses!$V$12,Hypothèses!$W$12,IF(BG120&lt;=Hypothèses!$V$13,Hypothèses!$W$13,IF(BG120&lt;=Hypothèses!$V$14,Hypothèses!$W$14,IF(BG120&lt;=Hypothèses!$V$15,Hypothèses!$W$15,IF(BG120&lt;=Hypothèses!$V$16,Hypothèses!$W$16,IF(BG120&lt;=Hypothèses!$V$17,Hypothèses!$W$17,IF(BG120&lt;=Hypothèses!$V$18,Hypothèses!$W$18,""))))))))))))</f>
        <v>#DIV/0!</v>
      </c>
      <c r="CB120" s="87" t="e">
        <f t="shared" ca="1" si="219"/>
        <v>#DIV/0!</v>
      </c>
      <c r="CC120" s="88" t="e">
        <f ca="1">IF(BG120&lt;=Hypothèses!$V$7,Hypothèses!$X$7,IF(BG120&lt;=Hypothèses!$V$8,Hypothèses!$X$8,IF(BG120&lt;=Hypothèses!$V$9,Hypothèses!$X$9,IF(BG120&lt;=Hypothèses!$V$10,Hypothèses!$X$10,IF(BG120&lt;=Hypothèses!$V$11,Hypothèses!$X$11,IF(BG120&lt;=Hypothèses!$V$12,Hypothèses!$X$12,IF(BG120&lt;=Hypothèses!$V$13,Hypothèses!$X$13,IF(BG120&lt;=Hypothèses!$V$14,Hypothèses!$X$14,IF(BG120&lt;=Hypothèses!$V$15,Hypothèses!$X$15,IF(BG120&lt;=Hypothèses!$V$16,Hypothèses!$X$16,IF(BG120&lt;=Hypothèses!$U$17,Hypothèses!$W$17,IF(BG120&lt;=Hypothèses!$U$18,Hypothèses!$W$18,""))))))))))))</f>
        <v>#DIV/0!</v>
      </c>
      <c r="CD120" s="95" t="e">
        <f t="shared" ca="1" si="181"/>
        <v>#DIV/0!</v>
      </c>
      <c r="CE120" s="101" t="e">
        <f t="shared" si="226"/>
        <v>#N/A</v>
      </c>
      <c r="CF120" s="91" t="e">
        <f t="shared" si="150"/>
        <v>#N/A</v>
      </c>
      <c r="CG120" s="30" t="e">
        <f t="shared" si="206"/>
        <v>#N/A</v>
      </c>
      <c r="CH120" s="30" t="e">
        <f t="shared" si="207"/>
        <v>#N/A</v>
      </c>
      <c r="CI120" s="31" t="e">
        <f>IF(OR(Hypothèses!$B$4=17,Hypothèses!$B$4=18,Hypothèses!$B$4=19,Hypothèses!$B$4=20),
IF($D120="Pressio.",
IF(OR($E120=3,$E120=1,$E120=4),CH120,CG120),
IF($D120="Pénétro.",
IF(OR($E120=3,$E120=1,$E120=4),CH120,CG120))),IF($D120="Pressio.",
IF($E120=3,CH120,CG120),
IF($D120="Pénétro.",
IF($E120=4,CH120,CG120))))</f>
        <v>#N/A</v>
      </c>
      <c r="CJ120" s="31" t="e">
        <f>(IF(OR(Hypothèses!$B$4=17,Hypothèses!$B$4=18,Hypothèses!$B$4=19,Hypothèses!$B$4=20),
IF($D120="Pressio.",
IF(OR($E120=3,$E120=1,$E120=4),(PI()*CJ$12^2)/4*(CF120*$W120*1000)/($H120*$B$5),(PI()*CJ$12^2)/4*(CF120*$W120*1000)/($G120*$B$5)),
IF($D120="Pénétro.",
IF(OR($E120=4,$E120=1,$E120=5),(PI()*CJ$12^2)/4*(CF120*$W120*1000)/($H120*$B$5),(PI()*CJ$12^2)/4*(CF120*$W120*1000)/($G120*$B$5)))),
IF($D120="Pressio.",
IF($E120=3,(PI()*CJ$12^2)/4*(CF120*$W120*1000)/($H120*$B$5),(PI()*CJ$12^2)/4*(CF120*$W120*1000)/($G120*$B$5)),
IF($D120="Pénétro.",
IF($E120=4,(PI()*CJ$12^2)/4*(CF120*$W120*1000)/($H120*$B$5),(PI()*CJ$12^2)/4*(CF120*$W120*1000)/($G120*$B$5))))))/10</f>
        <v>#N/A</v>
      </c>
      <c r="CK120" s="102" t="e">
        <f>(VLOOKUP($B$3,'Coeff EC7'!$T$39:$X$59,2,0)*CI120+VLOOKUP($B$3,'Coeff EC7'!$T$65:$X$85,2,0)*Model0.1C!CJ120)/1.1</f>
        <v>#N/A</v>
      </c>
      <c r="CL120" s="102" t="e">
        <f>(VLOOKUP($B$3,'Coeff EC7'!$T$39:$X$59,3,0)*CI120+VLOOKUP($B$3,'Coeff EC7'!$T$65:$X$85,3,0)*Model0.1C!CJ120)/0.9</f>
        <v>#N/A</v>
      </c>
      <c r="CM120" s="102" t="e">
        <f t="shared" si="182"/>
        <v>#N/A</v>
      </c>
      <c r="CN120" s="102" t="e">
        <f t="shared" si="183"/>
        <v>#N/A</v>
      </c>
      <c r="CO120" s="414" t="e">
        <f>IF(CO119=0,0,IF(AND(CK120&gt;charge_ELS_quasi,CL120&gt;Charge_ELS_freq,CM120&gt;charge_ELU,CN120&gt;charge_ELA,$B120&gt;NDC!$H$22-0.1+MIN(3*$CO$12,1.5)),0,1))</f>
        <v>#N/A</v>
      </c>
      <c r="CP120" s="86" t="b">
        <f t="shared" si="151"/>
        <v>0</v>
      </c>
      <c r="CQ120" s="86">
        <f t="shared" si="152"/>
        <v>0.5</v>
      </c>
      <c r="CR120" s="86">
        <f t="shared" si="153"/>
        <v>0.5</v>
      </c>
      <c r="CS120" s="30" t="e">
        <f t="shared" ca="1" si="184"/>
        <v>#DIV/0!</v>
      </c>
      <c r="CT120" s="85" t="e">
        <f ca="1">IF(BZ120&lt;=Hypothèses!$V$7,Hypothèses!$W$7,IF(BZ120&lt;=Hypothèses!$V$8,Hypothèses!$W$8,IF(BZ120&lt;=Hypothèses!$V$9,Hypothèses!$W$9,IF(BZ120&lt;=Hypothèses!$V$10,Hypothèses!$W$10,IF(BZ120&lt;=Hypothèses!$V$11,Hypothèses!$W$11,IF(BZ120&lt;=Hypothèses!$V$12,Hypothèses!$W$12,IF(BZ120&lt;=Hypothèses!$V$13,Hypothèses!$W$13,IF(BZ120&lt;=Hypothèses!$V$14,Hypothèses!$W$14,IF(BZ120&lt;=Hypothèses!$V$15,Hypothèses!$W$15,IF(BZ120&lt;=Hypothèses!$V$16,Hypothèses!$W$16,IF(BZ120&lt;=Hypothèses!$V$17,Hypothèses!$W$17,IF(BZ120&lt;=Hypothèses!$V$18,Hypothèses!$W$18,""))))))))))))</f>
        <v>#DIV/0!</v>
      </c>
      <c r="CU120" s="87" t="e">
        <f t="shared" ca="1" si="220"/>
        <v>#DIV/0!</v>
      </c>
      <c r="CV120" s="88" t="e">
        <f ca="1">IF(BZ120&lt;=Hypothèses!$V$7,Hypothèses!$X$7,IF(BZ120&lt;=Hypothèses!$V$8,Hypothèses!$X$8,IF(BZ120&lt;=Hypothèses!$V$9,Hypothèses!$X$9,IF(BZ120&lt;=Hypothèses!$V$10,Hypothèses!$X$10,IF(BZ120&lt;=Hypothèses!$V$11,Hypothèses!$X$11,IF(BZ120&lt;=Hypothèses!$V$12,Hypothèses!$X$12,IF(BZ120&lt;=Hypothèses!$V$13,Hypothèses!$X$13,IF(BZ120&lt;=Hypothèses!$V$14,Hypothèses!$X$14,IF(BZ120&lt;=Hypothèses!$V$15,Hypothèses!$X$15,IF(BZ120&lt;=Hypothèses!$V$16,Hypothèses!$X$16,IF(BZ120&lt;=Hypothèses!$U$17,Hypothèses!$W$17,IF(BZ120&lt;=Hypothèses!$U$18,Hypothèses!$W$18,""))))))))))))</f>
        <v>#DIV/0!</v>
      </c>
      <c r="CW120" s="95" t="e">
        <f t="shared" ca="1" si="185"/>
        <v>#DIV/0!</v>
      </c>
      <c r="CX120" s="101" t="e">
        <f t="shared" si="227"/>
        <v>#N/A</v>
      </c>
      <c r="CY120" s="91" t="e">
        <f t="shared" si="154"/>
        <v>#N/A</v>
      </c>
      <c r="CZ120" s="30" t="e">
        <f t="shared" si="208"/>
        <v>#N/A</v>
      </c>
      <c r="DA120" s="30" t="e">
        <f t="shared" si="209"/>
        <v>#N/A</v>
      </c>
      <c r="DB120" s="31" t="e">
        <f>IF(OR(Hypothèses!$B$4=17,Hypothèses!$B$4=18,Hypothèses!$B$4=19,Hypothèses!$B$4=20),
IF($D120="Pressio.",
IF(OR($E120=3,$E120=1,$E120=4),DA120,CZ120),
IF($D120="Pénétro.",
IF(OR($E120=3,$E120=1,$E120=4),DA120,CZ120))),IF($D120="Pressio.",
IF($E120=3,DA120,CZ120),
IF($D120="Pénétro.",
IF($E120=4,DA120,CZ120))))</f>
        <v>#N/A</v>
      </c>
      <c r="DC120" s="31" t="e">
        <f>(IF(OR(Hypothèses!$B$4=17,Hypothèses!$B$4=18,Hypothèses!$B$4=19,Hypothèses!$B$4=20),
IF($D120="Pressio.",
IF(OR($E120=3,$E120=1,$E120=4),(PI()*DC$12^2)/4*(CY120*$W120*1000)/($H120*$B$5),(PI()*DC$12^2)/4*(CY120*$W120*1000)/($G120*$B$5)),
IF($D120="Pénétro.",
IF(OR($E120=4,$E120=1,$E120=5),(PI()*DC$12^2)/4*(CY120*$W120*1000)/($H120*$B$5),(PI()*DC$12^2)/4*(CY120*$W120*1000)/($G120*$B$5)))),
IF($D120="Pressio.",
IF($E120=3,(PI()*DC$12^2)/4*(CY120*$W120*1000)/($H120*$B$5),(PI()*DC$12^2)/4*(CY120*$W120*1000)/($G120*$B$5)),
IF($D120="Pénétro.",
IF($E120=4,(PI()*DC$12^2)/4*(CY120*$W120*1000)/($H120*$B$5),(PI()*DC$12^2)/4*(CY120*$W120*1000)/($G120*$B$5))))))/10</f>
        <v>#N/A</v>
      </c>
      <c r="DD120" s="102" t="e">
        <f>(VLOOKUP($B$3,'Coeff EC7'!$T$39:$X$59,2,0)*DB120+VLOOKUP($B$3,'Coeff EC7'!$T$65:$X$85,2,0)*Model0.1C!DC120)/1.1</f>
        <v>#N/A</v>
      </c>
      <c r="DE120" s="102" t="e">
        <f>(VLOOKUP($B$3,'Coeff EC7'!$T$39:$X$59,3,0)*DB120+VLOOKUP($B$3,'Coeff EC7'!$T$65:$X$85,3,0)*Model0.1C!DC120)/0.9</f>
        <v>#N/A</v>
      </c>
      <c r="DF120" s="102" t="e">
        <f t="shared" si="186"/>
        <v>#N/A</v>
      </c>
      <c r="DG120" s="102" t="e">
        <f t="shared" si="187"/>
        <v>#N/A</v>
      </c>
      <c r="DH120" s="414" t="e">
        <f>IF(DH119=0,0,IF(AND(DD120&gt;charge_ELS_quasi,DE120&gt;Charge_ELS_freq,DF120&gt;charge_ELU,DG120&gt;charge_ELA,$B120&gt;NDC!$H$22-0.1+MIN(3*$DH$12,1.5)),0,1))</f>
        <v>#N/A</v>
      </c>
      <c r="DI120" s="86" t="b">
        <f t="shared" si="155"/>
        <v>0</v>
      </c>
      <c r="DJ120" s="86">
        <f t="shared" si="156"/>
        <v>0.5</v>
      </c>
      <c r="DK120" s="86">
        <f t="shared" si="157"/>
        <v>0.5</v>
      </c>
      <c r="DL120" s="30" t="e">
        <f t="shared" ca="1" si="188"/>
        <v>#DIV/0!</v>
      </c>
      <c r="DM120" s="85" t="e">
        <f ca="1">IF(CS120&lt;=Hypothèses!$V$7,Hypothèses!$W$7,IF(CS120&lt;=Hypothèses!$V$8,Hypothèses!$W$8,IF(CS120&lt;=Hypothèses!$V$9,Hypothèses!$W$9,IF(CS120&lt;=Hypothèses!$V$10,Hypothèses!$W$10,IF(CS120&lt;=Hypothèses!$V$11,Hypothèses!$W$11,IF(CS120&lt;=Hypothèses!$V$12,Hypothèses!$W$12,IF(CS120&lt;=Hypothèses!$V$13,Hypothèses!$W$13,IF(CS120&lt;=Hypothèses!$V$14,Hypothèses!$W$14,IF(CS120&lt;=Hypothèses!$V$15,Hypothèses!$W$15,IF(CS120&lt;=Hypothèses!$V$16,Hypothèses!$W$16,IF(CS120&lt;=Hypothèses!$V$17,Hypothèses!$W$17,IF(CS120&lt;=Hypothèses!$V$18,Hypothèses!$W$18,""))))))))))))</f>
        <v>#DIV/0!</v>
      </c>
      <c r="DN120" s="87" t="e">
        <f t="shared" ca="1" si="221"/>
        <v>#DIV/0!</v>
      </c>
      <c r="DO120" s="88" t="e">
        <f ca="1">IF(CS120&lt;=Hypothèses!$V$7,Hypothèses!$X$7,IF(CS120&lt;=Hypothèses!$V$8,Hypothèses!$X$8,IF(CS120&lt;=Hypothèses!$V$9,Hypothèses!$X$9,IF(CS120&lt;=Hypothèses!$V$10,Hypothèses!$X$10,IF(CS120&lt;=Hypothèses!$V$11,Hypothèses!$X$11,IF(CS120&lt;=Hypothèses!$V$12,Hypothèses!$X$12,IF(CS120&lt;=Hypothèses!$V$13,Hypothèses!$X$13,IF(CS120&lt;=Hypothèses!$V$14,Hypothèses!$X$14,IF(CS120&lt;=Hypothèses!$V$15,Hypothèses!$X$15,IF(CS120&lt;=Hypothèses!$V$16,Hypothèses!$X$16,IF(CS120&lt;=Hypothèses!$U$17,Hypothèses!$W$17,IF(CS120&lt;=Hypothèses!$U$18,Hypothèses!$W$18,""))))))))))))</f>
        <v>#DIV/0!</v>
      </c>
      <c r="DP120" s="95" t="e">
        <f t="shared" ca="1" si="189"/>
        <v>#DIV/0!</v>
      </c>
      <c r="DQ120" s="101" t="e">
        <f t="shared" si="228"/>
        <v>#N/A</v>
      </c>
      <c r="DR120" s="91" t="e">
        <f t="shared" si="158"/>
        <v>#N/A</v>
      </c>
      <c r="DS120" s="30" t="e">
        <f t="shared" si="210"/>
        <v>#N/A</v>
      </c>
      <c r="DT120" s="30" t="e">
        <f t="shared" si="211"/>
        <v>#N/A</v>
      </c>
      <c r="DU120" s="31" t="e">
        <f>IF(OR(Hypothèses!$B$4=17,Hypothèses!$B$4=18,Hypothèses!$B$4=19,Hypothèses!$B$4=20),
IF($D120="Pressio.",
IF(OR($E120=3,$E120=1,$E120=4),DT120,DS120),
IF($D120="Pénétro.",
IF(OR($E120=3,$E120=1,$E120=4),DT120,DS120))),IF($D120="Pressio.",
IF($E120=3,DT120,DS120),
IF($D120="Pénétro.",
IF($E120=4,DT120,DS120))))</f>
        <v>#N/A</v>
      </c>
      <c r="DV120" s="31" t="e">
        <f>(IF(OR(Hypothèses!$B$4=17,Hypothèses!$B$4=18,Hypothèses!$B$4=19,Hypothèses!$B$4=20),
IF($D120="Pressio.",
IF(OR($E120=3,$E120=1,$E120=4),(PI()*DV$12^2)/4*(DR120*$W120*1000)/($H120*$B$5),(PI()*DV$12^2)/4*(DR120*$W120*1000)/($G120*$B$5)),
IF($D120="Pénétro.",
IF(OR($E120=4,$E120=1,$E120=5),(PI()*DV$12^2)/4*(DR120*$W120*1000)/($H120*$B$5),(PI()*DV$12^2)/4*(DR120*$W120*1000)/($G120*$B$5)))),
IF($D120="Pressio.",
IF($E120=3,(PI()*DV$12^2)/4*(DR120*$W120*1000)/($H120*$B$5),(PI()*DV$12^2)/4*(DR120*$W120*1000)/($G120*$B$5)),
IF($D120="Pénétro.",
IF($E120=4,(PI()*DV$12^2)/4*(DR120*$W120*1000)/($H120*$B$5),(PI()*DV$12^2)/4*(DR120*$W120*1000)/($G120*$B$5))))))/10</f>
        <v>#N/A</v>
      </c>
      <c r="DW120" s="102" t="e">
        <f>(VLOOKUP($B$3,'Coeff EC7'!$T$39:$X$59,2,0)*DU120+VLOOKUP($B$3,'Coeff EC7'!$T$65:$X$85,2,0)*Model0.1C!DV120)/1.1</f>
        <v>#N/A</v>
      </c>
      <c r="DX120" s="102" t="e">
        <f>(VLOOKUP($B$3,'Coeff EC7'!$T$39:$X$59,3,0)*DU120+VLOOKUP($B$3,'Coeff EC7'!$T$65:$X$85,3,0)*Model0.1C!DV120)/0.9</f>
        <v>#N/A</v>
      </c>
      <c r="DY120" s="102" t="e">
        <f t="shared" si="190"/>
        <v>#N/A</v>
      </c>
      <c r="DZ120" s="102" t="e">
        <f t="shared" si="191"/>
        <v>#N/A</v>
      </c>
      <c r="EA120" s="414" t="e">
        <f>IF(EA119=0,0,IF(AND(DW120&gt;charge_ELS_quasi,DX120&gt;Charge_ELS_freq,DY120&gt;charge_ELU,DZ120&gt;charge_ELA,$B120&gt;NDC!$H$22-0.1+MIN(3*$EA$12,1.5)),0,1))</f>
        <v>#N/A</v>
      </c>
      <c r="EB120" s="86" t="b">
        <f t="shared" si="159"/>
        <v>0</v>
      </c>
      <c r="EC120" s="418">
        <f t="shared" si="160"/>
        <v>0.51</v>
      </c>
      <c r="ED120" s="86">
        <f t="shared" si="161"/>
        <v>0.51</v>
      </c>
      <c r="EE120" s="30" t="e">
        <f t="shared" ca="1" si="192"/>
        <v>#DIV/0!</v>
      </c>
      <c r="EF120" s="85" t="e">
        <f ca="1">IF(DL120&lt;=Hypothèses!$V$7,Hypothèses!$W$7,IF(DL120&lt;=Hypothèses!$V$8,Hypothèses!$W$8,IF(DL120&lt;=Hypothèses!$V$9,Hypothèses!$W$9,IF(DL120&lt;=Hypothèses!$V$10,Hypothèses!$W$10,IF(DL120&lt;=Hypothèses!$V$11,Hypothèses!$W$11,IF(DL120&lt;=Hypothèses!$V$12,Hypothèses!$W$12,IF(DL120&lt;=Hypothèses!$V$13,Hypothèses!$W$13,IF(DL120&lt;=Hypothèses!$V$14,Hypothèses!$W$14,IF(DL120&lt;=Hypothèses!$V$15,Hypothèses!$W$15,IF(DL120&lt;=Hypothèses!$V$16,Hypothèses!$W$16,IF(DL120&lt;=Hypothèses!$V$17,Hypothèses!$W$17,IF(DL120&lt;=Hypothèses!$V$18,Hypothèses!$W$18,""))))))))))))</f>
        <v>#DIV/0!</v>
      </c>
      <c r="EG120" s="87" t="e">
        <f t="shared" ca="1" si="222"/>
        <v>#DIV/0!</v>
      </c>
      <c r="EH120" s="88" t="e">
        <f ca="1">IF(DL120&lt;=Hypothèses!$V$7,Hypothèses!$X$7,IF(DL120&lt;=Hypothèses!$V$8,Hypothèses!$X$8,IF(DL120&lt;=Hypothèses!$V$9,Hypothèses!$X$9,IF(DL120&lt;=Hypothèses!$V$10,Hypothèses!$X$10,IF(DL120&lt;=Hypothèses!$V$11,Hypothèses!$X$11,IF(DL120&lt;=Hypothèses!$V$12,Hypothèses!$X$12,IF(DL120&lt;=Hypothèses!$V$13,Hypothèses!$X$13,IF(DL120&lt;=Hypothèses!$V$14,Hypothèses!$X$14,IF(DL120&lt;=Hypothèses!$V$15,Hypothèses!$X$15,IF(DL120&lt;=Hypothèses!$V$16,Hypothèses!$X$16,IF(DL120&lt;=Hypothèses!$U$17,Hypothèses!$W$17,IF(DL120&lt;=Hypothèses!$U$18,Hypothèses!$W$18,""))))))))))))</f>
        <v>#DIV/0!</v>
      </c>
      <c r="EI120" s="95" t="e">
        <f t="shared" ca="1" si="193"/>
        <v>#DIV/0!</v>
      </c>
      <c r="EJ120" s="101" t="e">
        <f t="shared" si="229"/>
        <v>#N/A</v>
      </c>
      <c r="EK120" s="91" t="e">
        <f t="shared" si="162"/>
        <v>#N/A</v>
      </c>
      <c r="EL120" s="30" t="e">
        <f t="shared" si="212"/>
        <v>#N/A</v>
      </c>
      <c r="EM120" s="30" t="e">
        <f t="shared" si="213"/>
        <v>#N/A</v>
      </c>
      <c r="EN120" s="31" t="e">
        <f>IF(OR(Hypothèses!$B$4=17,Hypothèses!$B$4=18,Hypothèses!$B$4=19,Hypothèses!$B$4=20),
IF($D120="Pressio.",
IF(OR($E120=3,$E120=1,$E120=4),EM120,EL120),
IF($D120="Pénétro.",
IF(OR($E120=3,$E120=1,$E120=4),EM120,EL120))),IF($D120="Pressio.",
IF($E120=3,EM120,EL120),
IF($D120="Pénétro.",
IF($E120=4,EM120,EL120))))</f>
        <v>#N/A</v>
      </c>
      <c r="EO120" s="31" t="e">
        <f>(IF(OR(Hypothèses!$B$4=17,Hypothèses!$B$4=18,Hypothèses!$B$4=19,Hypothèses!$B$4=20),
IF($D120="Pressio.",
IF(OR($E120=3,$E120=1,$E120=4),(PI()*EO$12^2)/4*(EK120*$W120*1000)/($H120*$B$5),(PI()*EO$12^2)/4*(EK120*$W120*1000)/($G120*$B$5)),
IF($D120="Pénétro.",
IF(OR($E120=4,$E120=1,$E120=5),(PI()*EO$12^2)/4*(EK120*$W120*1000)/($H120*$B$5),(PI()*EO$12^2)/4*(EK120*$W120*1000)/($G120*$B$5)))),
IF($D120="Pressio.",
IF($E120=3,(PI()*EO$12^2)/4*(EK120*$W120*1000)/($H120*$B$5),(PI()*EO$12^2)/4*(EK120*$W120*1000)/($G120*$B$5)),
IF($D120="Pénétro.",
IF($E120=4,(PI()*EO$12^2)/4*(EK120*$W120*1000)/($H120*$B$5),(PI()*EO$12^2)/4*(EK120*$W120*1000)/($G120*$B$5))))))/10</f>
        <v>#N/A</v>
      </c>
      <c r="EP120" s="102" t="e">
        <f>(VLOOKUP($B$3,'Coeff EC7'!$T$39:$X$59,2,0)*EN120+VLOOKUP($B$3,'Coeff EC7'!$T$65:$X$85,2,0)*Model0.1C!EO120)/1.1</f>
        <v>#N/A</v>
      </c>
      <c r="EQ120" s="102" t="e">
        <f>(VLOOKUP($B$3,'Coeff EC7'!$T$39:$X$59,3,0)*EN120+VLOOKUP($B$3,'Coeff EC7'!$T$65:$X$85,3,0)*Model0.1C!EO120)/0.9</f>
        <v>#N/A</v>
      </c>
      <c r="ER120" s="102" t="e">
        <f t="shared" si="194"/>
        <v>#N/A</v>
      </c>
      <c r="ES120" s="102" t="e">
        <f t="shared" si="195"/>
        <v>#N/A</v>
      </c>
      <c r="ET120" s="414" t="e">
        <f>IF(ET119=0,0,IF(AND(EP120&gt;charge_ELS_quasi,EQ120&gt;Charge_ELS_freq,ER120&gt;charge_ELU,ES120&gt;charge_ELA,$B120&gt;NDC!$H$22-0.1+MIN(3*$ET$12,1.5)),0,1))</f>
        <v>#N/A</v>
      </c>
      <c r="EU120" s="86" t="b">
        <f t="shared" si="163"/>
        <v>0</v>
      </c>
      <c r="EV120" s="86">
        <f t="shared" si="164"/>
        <v>0.61</v>
      </c>
      <c r="EW120" s="86">
        <f t="shared" si="165"/>
        <v>0.61</v>
      </c>
      <c r="EX120" s="30" t="e">
        <f t="shared" ca="1" si="196"/>
        <v>#DIV/0!</v>
      </c>
      <c r="EY120" s="85" t="e">
        <f ca="1">IF(EE120&lt;=Hypothèses!$V$7,Hypothèses!$W$7,IF(EE120&lt;=Hypothèses!$V$8,Hypothèses!$W$8,IF(EE120&lt;=Hypothèses!$V$9,Hypothèses!$W$9,IF(EE120&lt;=Hypothèses!$V$10,Hypothèses!$W$10,IF(EE120&lt;=Hypothèses!$V$11,Hypothèses!$W$11,IF(EE120&lt;=Hypothèses!$V$12,Hypothèses!$W$12,IF(EE120&lt;=Hypothèses!$V$13,Hypothèses!$W$13,IF(EE120&lt;=Hypothèses!$V$14,Hypothèses!$W$14,IF(EE120&lt;=Hypothèses!$V$15,Hypothèses!$W$15,IF(EE120&lt;=Hypothèses!$V$16,Hypothèses!$W$16,IF(EE120&lt;=Hypothèses!$V$17,Hypothèses!$W$17,IF(EE120&lt;=Hypothèses!$V$18,Hypothèses!$W$18,""))))))))))))</f>
        <v>#DIV/0!</v>
      </c>
      <c r="EZ120" s="87" t="e">
        <f t="shared" ca="1" si="223"/>
        <v>#DIV/0!</v>
      </c>
      <c r="FA120" s="88" t="e">
        <f ca="1">IF(EE120&lt;=Hypothèses!$V$7,Hypothèses!$X$7,IF(EE120&lt;=Hypothèses!$V$8,Hypothèses!$X$8,IF(EE120&lt;=Hypothèses!$V$9,Hypothèses!$X$9,IF(EE120&lt;=Hypothèses!$V$10,Hypothèses!$X$10,IF(EE120&lt;=Hypothèses!$V$11,Hypothèses!$X$11,IF(EE120&lt;=Hypothèses!$V$12,Hypothèses!$X$12,IF(EE120&lt;=Hypothèses!$V$13,Hypothèses!$X$13,IF(EE120&lt;=Hypothèses!$V$14,Hypothèses!$X$14,IF(EE120&lt;=Hypothèses!$V$15,Hypothèses!$X$15,IF(EE120&lt;=Hypothèses!$V$16,Hypothèses!$X$16,IF(EE120&lt;=Hypothèses!$U$17,Hypothèses!$W$17,IF(EE120&lt;=Hypothèses!$U$18,Hypothèses!$W$18,""))))))))))))</f>
        <v>#DIV/0!</v>
      </c>
      <c r="FB120" s="95" t="e">
        <f t="shared" ca="1" si="197"/>
        <v>#DIV/0!</v>
      </c>
      <c r="FC120" s="101" t="e">
        <f t="shared" si="230"/>
        <v>#N/A</v>
      </c>
      <c r="FD120" s="91" t="e">
        <f t="shared" si="166"/>
        <v>#N/A</v>
      </c>
      <c r="FE120" s="30" t="e">
        <f t="shared" si="214"/>
        <v>#N/A</v>
      </c>
      <c r="FF120" s="30" t="e">
        <f t="shared" si="215"/>
        <v>#N/A</v>
      </c>
      <c r="FG120" s="31" t="e">
        <f>IF(OR(Hypothèses!$B$4=17,Hypothèses!$B$4=18,Hypothèses!$B$4=19,Hypothèses!$B$4=20),
IF($D120="Pressio.",
IF(OR($E120=3,$E120=1,$E120=4),FF120,FE120),
IF($D120="Pénétro.",
IF(OR($E120=3,$E120=1,$E120=4),FF120,FE120))),IF($D120="Pressio.",
IF($E120=3,FF120,FE120),
IF($D120="Pénétro.",
IF($E120=4,FF120,FE120))))</f>
        <v>#N/A</v>
      </c>
      <c r="FH120" s="31" t="e">
        <f>(IF(OR(Hypothèses!$B$4=17,Hypothèses!$B$4=18,Hypothèses!$B$4=19,Hypothèses!$B$4=20),
IF($D120="Pressio.",
IF(OR($E120=3,$E120=1,$E120=4),(PI()*FH$12^2)/4*(FD120*$W120*1000)/($H120*$B$5),(PI()*FH$12^2)/4*(FD120*$W120*1000)/($G120*$B$5)),
IF($D120="Pénétro.",
IF(OR($E120=4,$E120=1,$E120=5),(PI()*FH$12^2)/4*(FD120*$W120*1000)/($H120*$B$5),(PI()*FH$12^2)/4*(FD120*$W120*1000)/($G120*$B$5)))),
IF($D120="Pressio.",
IF($E120=3,(PI()*FH$12^2)/4*(FD120*$W120*1000)/($H120*$B$5),(PI()*FH$12^2)/4*(FD120*$W120*1000)/($G120*$B$5)),
IF($D120="Pénétro.",
IF($E120=4,(PI()*FH$12^2)/4*(FD120*$W120*1000)/($H120*$B$5),(PI()*FH$12^2)/4*(FD120*$W120*1000)/($G120*$B$5))))))/10</f>
        <v>#N/A</v>
      </c>
      <c r="FI120" s="102" t="e">
        <f>(VLOOKUP($B$3,'Coeff EC7'!$T$39:$X$59,2,0)*FG120+VLOOKUP($B$3,'Coeff EC7'!$T$65:$X$85,2,0)*Model0.1C!FH120)/1.1</f>
        <v>#N/A</v>
      </c>
      <c r="FJ120" s="102" t="e">
        <f>(VLOOKUP($B$3,'Coeff EC7'!$T$39:$X$59,3,0)*FG120+VLOOKUP($B$3,'Coeff EC7'!$T$65:$X$85,3,0)*Model0.1C!FH120)/0.9</f>
        <v>#N/A</v>
      </c>
      <c r="FK120" s="102" t="e">
        <f t="shared" si="198"/>
        <v>#N/A</v>
      </c>
      <c r="FL120" s="102" t="e">
        <f t="shared" si="199"/>
        <v>#N/A</v>
      </c>
      <c r="FM120" s="414" t="e">
        <f>IF(FM119=0,0,IF(AND(FI120&gt;charge_ELS_quasi,FJ120&gt;Charge_ELS_freq,FK120&gt;charge_ELU,FL120&gt;charge_ELA,$B120&gt;NDC!$H$22-0.1+MIN(3*$FM$12,1.5)),0,1))</f>
        <v>#N/A</v>
      </c>
    </row>
    <row r="121" spans="1:169">
      <c r="A121" s="96">
        <f t="shared" si="167"/>
        <v>89.200000000000614</v>
      </c>
      <c r="B121" s="97">
        <v>10.8</v>
      </c>
      <c r="C121" s="81">
        <f>IF(B121&lt;=Hypothèses!$C$7,Hypothèses!$A$7,IF(B121&lt;=Hypothèses!$C$8,Hypothèses!$A$8,IF(B121&lt;=Hypothèses!$C$9,Hypothèses!$A$9,IF(B121&lt;=Hypothèses!$C$10,Hypothèses!$A$10,IF(B121&lt;=Hypothèses!$C$11,Hypothèses!$A$11,IF(B121&lt;=Hypothèses!$C$12,Hypothèses!$A$12,IF(B121&lt;=Hypothèses!$C$13,Hypothèses!$A$13,IF(B121&lt;=Hypothèses!$C$14,Hypothèses!$A$14,IF(B121&lt;=Hypothèses!$C$15,Hypothèses!$A$15,IF(B121&lt;=Hypothèses!$C$16,Hypothèses!$A$16,IF(B121&lt;=Hypothèses!$C$17,Hypothèses!$A$17,IF(B121&lt;=Hypothèses!$C$18,Hypothèses!$A$18,C120))))))))))))</f>
        <v>11</v>
      </c>
      <c r="D121" s="82" t="str">
        <f>IF(B121&lt;=Hypothèses!$C$7,Hypothèses!$R$7,IF(B121&lt;=Hypothèses!$C$8,Hypothèses!$R$8,IF(B121&lt;=Hypothèses!$C$9,Hypothèses!$R$9,IF(B121&lt;=Hypothèses!$C$10,Hypothèses!$R$10,IF(B121&lt;=Hypothèses!$C$11,Hypothèses!$R$11,IF(B121&lt;=Hypothèses!$C$12,Hypothèses!$R$12,IF(B121&lt;=Hypothèses!$C$13,Hypothèses!$R$13,IF(B121&lt;=Hypothèses!$C$14,Hypothèses!$R$14,IF(B121&lt;=Hypothèses!$C$15,Hypothèses!$R$15,IF(B121&lt;=Hypothèses!$C$16,Hypothèses!$R$16,IF(B121&lt;=Hypothèses!$C$17,Hypothèses!$R$17,IF(B121&lt;=Hypothèses!$C$18,Hypothèses!$R$18,D120))))))))))))</f>
        <v>Pressio.</v>
      </c>
      <c r="E121" s="82" t="e">
        <f>IF(B121&lt;=Hypothèses!$C$7,Hypothèses!$G$7,IF(B121&lt;=Hypothèses!$C$8,Hypothèses!$G$8,IF(B121&lt;=Hypothèses!$C$9,Hypothèses!$G$9,IF(B121&lt;=Hypothèses!$C$10,Hypothèses!$G$10,IF(B121&lt;=Hypothèses!$C$11,Hypothèses!$G$11,IF(B121&lt;=Hypothèses!$C$12,Hypothèses!$G$12,IF(B121&lt;=Hypothèses!$C$13,Hypothèses!$G$13,IF(B121&lt;=Hypothèses!$C$14,Hypothèses!$G$14,IF(B121&lt;=Hypothèses!$C$15,Hypothèses!$G$15,IF(B121&lt;=Hypothèses!$C$16,Hypothèses!$G$16,IF(B121&lt;=Hypothèses!$C$17,Hypothèses!$G$17,IF(B121&lt;=Hypothèses!$C$18,Hypothèses!$G$18,E120))))))))))))</f>
        <v>#N/A</v>
      </c>
      <c r="F121" s="82" t="str">
        <f>IF(B121&lt;=Hypothèses!$C$7,Hypothèses!$F$7,IF(B121&lt;=Hypothèses!$C$8,Hypothèses!$F$8,IF(B121&lt;=Hypothèses!$C$9,Hypothèses!$F$9,IF(B121&lt;=Hypothèses!$C$10,Hypothèses!$F$10,IF(B121&lt;=Hypothèses!$C$11,Hypothèses!$F$11,IF(B121&lt;=Hypothèses!$C$12,Hypothèses!$F$12,IF(B121&lt;=Hypothèses!$C$13,Hypothèses!$F$13,IF(B121&lt;=Hypothèses!$C$14,Hypothèses!$F$14,IF(B121&lt;=Hypothèses!$C$15,Hypothèses!$F$15,IF(B121&lt;=Hypothèses!$C$16,Hypothèses!$F$16,IF(B121&lt;=Hypothèses!$C$17,Hypothèses!$F$17,IF(B121&lt;=Hypothèses!$C$18,Hypothèses!$F$18,F120))))))))))))</f>
        <v/>
      </c>
      <c r="G121" s="91">
        <f t="array" ref="G121">INDEX('Coeff EC7'!$U$7:$X$27,
MATCH(Model0.1C!$B$3,'Coeff EC7'!$T$7:$T$27,0),
MATCH(Model0.1C!$D121&amp;Model0.1C!$B$4,
'Coeff EC7'!$U$6:$X$6&amp;
'Coeff EC7'!$U$5:$X$5,0))</f>
        <v>1.1499999999999999</v>
      </c>
      <c r="H121" s="91">
        <f t="array" ref="H121">INDEX('Coeff EC7'!$Y$7:$AB$27,
MATCH(Model0.1C!$B$3,'Coeff EC7'!$T$7:$T$27,0),
MATCH(Model0.1C!$D121&amp;Model0.1C!$B$4,
'Coeff EC7'!$Y$6:$AB$6&amp;
'Coeff EC7'!$Y$5:$AB$5,0))</f>
        <v>1.4</v>
      </c>
      <c r="I121" s="83" t="e">
        <f>IF(B121&lt;=Hypothèses!$C$7,Hypothèses!$P$7,IF(B121&lt;=Hypothèses!$C$8,Hypothèses!$P$8,IF(B121&lt;=Hypothèses!$C$9,Hypothèses!$P$9,IF(B121&lt;=Hypothèses!$C$10,Hypothèses!$P$10,IF(B121&lt;=Hypothèses!$C$11,Hypothèses!$P$11,IF(B121&lt;=Hypothèses!$C$12,Hypothèses!$P$12,IF(B121&lt;=Hypothèses!$C$13,Hypothèses!$P$13,IF(B121&lt;=Hypothèses!$C$14,Hypothèses!$P$14,IF(B121&lt;=Hypothèses!$C$15,Hypothèses!$P$15,IF(B121&lt;=Hypothèses!$C$16,Hypothèses!$P$16,IF(B121&lt;=Hypothèses!$C$17,Hypothèses!$P$17,IF(B121&lt;=Hypothèses!$C$18,Hypothèses!$P$18,I120))))))))))))</f>
        <v>#N/A</v>
      </c>
      <c r="J121" s="91" t="e">
        <f t="array" ref="J121">INDEX('Coeff EC7'!$D$33:$Q$33,1,MATCH(D121&amp;E121,'Coeff EC7'!$D$31:$Q$31&amp;'Coeff EC7'!$D$32:$Q$32,0))</f>
        <v>#N/A</v>
      </c>
      <c r="K121" s="91" t="e">
        <f t="array" ref="K121">INDEX('Coeff EC7'!$D$34:$Q$34,1,MATCH(D121&amp;E121,'Coeff EC7'!$D$31:$Q$31&amp;'Coeff EC7'!$D$32:$Q$32,0))</f>
        <v>#N/A</v>
      </c>
      <c r="L121" s="91" t="e">
        <f t="array" ref="L121">INDEX('Coeff EC7'!$D$35:$Q$35,1,MATCH(D121&amp;E121,'Coeff EC7'!$D$31:$Q$31&amp;'Coeff EC7'!$D$32:$Q$32,0))</f>
        <v>#N/A</v>
      </c>
      <c r="M121" s="98" t="e">
        <f t="shared" si="131"/>
        <v>#N/A</v>
      </c>
      <c r="N121" s="99" t="e">
        <f t="array" ref="N121">INDEX('Coeff EC7'!$D$7:$Q$27,MATCH($B$3,'Coeff EC7'!$C$7:$C$27,0),MATCH(D121&amp;E121,'Coeff EC7'!$D$5:$Q$5&amp;'Coeff EC7'!$D$6:$Q$6,0))</f>
        <v>#N/A</v>
      </c>
      <c r="O121" s="99" t="e">
        <f t="array" ref="O121">INDEX('Coeff EC7'!$D$41:$Q$61,MATCH($B$3,'Coeff EC7'!$C$41:$C$61,0),MATCH(D121&amp;E121,'Coeff EC7'!$D$39:$Q$39&amp;'Coeff EC7'!$D$40:$Q$40,0))</f>
        <v>#N/A</v>
      </c>
      <c r="P121" s="30" t="e">
        <f t="shared" si="168"/>
        <v>#N/A</v>
      </c>
      <c r="Q121" s="100" t="e">
        <f t="shared" si="133"/>
        <v>#N/A</v>
      </c>
      <c r="R121" s="86" t="b">
        <f t="shared" si="134"/>
        <v>0</v>
      </c>
      <c r="S121" s="86">
        <f t="shared" si="132"/>
        <v>0.5</v>
      </c>
      <c r="T121" s="86">
        <f t="shared" si="135"/>
        <v>0.5</v>
      </c>
      <c r="U121" s="30" t="e">
        <f t="shared" ca="1" si="169"/>
        <v>#DIV/0!</v>
      </c>
      <c r="V121" s="85" t="str">
        <f>IF(B121&lt;=Hypothèses!$V$7,Hypothèses!$W$7,IF(B121&lt;=Hypothèses!$V$8,Hypothèses!$W$8,IF(B121&lt;=Hypothèses!$V$9,Hypothèses!$W$9,IF(B121&lt;=Hypothèses!$V$10,Hypothèses!$W$10,IF(B121&lt;=Hypothèses!$V$11,Hypothèses!$W$11,IF(B121&lt;=Hypothèses!$V$12,Hypothèses!$W$12,IF(B121&lt;=Hypothèses!$V$13,Hypothèses!$W$13,IF(B121&lt;=Hypothèses!$V$14,Hypothèses!$W$14,IF(B121&lt;=Hypothèses!$V$15,Hypothèses!$W$15,IF(B121&lt;=Hypothèses!$V$16,Hypothèses!$W$16,IF(B121&lt;=Hypothèses!$V$17,Hypothèses!$W$17,IF(B121&lt;=Hypothèses!$V$18,Hypothèses!$W$18,""))))))))))))</f>
        <v/>
      </c>
      <c r="W121" s="87" t="e">
        <f t="shared" ca="1" si="216"/>
        <v>#DIV/0!</v>
      </c>
      <c r="X121" s="88" t="str">
        <f>IF(B121&lt;=Hypothèses!$V$7,Hypothèses!$X$7,IF(B121&lt;=Hypothèses!$V$8,Hypothèses!$X$8,IF(B121&lt;=Hypothèses!$V$9,Hypothèses!$X$9,IF(B121&lt;=Hypothèses!$V$10,Hypothèses!$X$10,IF(B121&lt;=Hypothèses!$V$11,Hypothèses!$X$11,IF(B121&lt;=Hypothèses!$V$12,Hypothèses!$X$12,IF(B121&lt;=Hypothèses!$V$13,Hypothèses!$X$13,IF(B121&lt;=Hypothèses!$V$14,Hypothèses!$X$14,IF(B121&lt;=Hypothèses!$V$15,Hypothèses!$X$15,IF(B121&lt;=Hypothèses!$V$16,Hypothèses!$X$16,IF(B121&lt;=Hypothèses!$U$17,Hypothèses!$W$17,IF(B121&lt;=Hypothèses!$U$18,Hypothèses!$W$18,""))))))))))))</f>
        <v/>
      </c>
      <c r="Y121" s="95" t="e">
        <f t="shared" ca="1" si="136"/>
        <v>#DIV/0!</v>
      </c>
      <c r="Z121" s="101" t="e">
        <f t="shared" si="137"/>
        <v>#N/A</v>
      </c>
      <c r="AA121" s="91" t="e">
        <f t="shared" si="138"/>
        <v>#N/A</v>
      </c>
      <c r="AB121" s="30" t="e">
        <f t="shared" si="200"/>
        <v>#N/A</v>
      </c>
      <c r="AC121" s="30" t="e">
        <f t="shared" si="201"/>
        <v>#N/A</v>
      </c>
      <c r="AD121" s="31" t="e">
        <f>IF(OR(Hypothèses!$B$4=17,Hypothèses!$B$4=18,Hypothèses!$B$4=19,Hypothèses!$B$4=20),
IF($D121="Pressio.",
IF(OR($E121=3,$E121=1,$E121=4),AC121,AB121),
IF($D121="Pénétro.",
IF(OR($E121=3,$E121=1,$E121=4),AC121,AB121))),IF($D121="Pressio.",
IF($E121=3,AC121,AB121),
IF($D121="Pénétro.",
IF($E121=4,AC121,AB121))))</f>
        <v>#N/A</v>
      </c>
      <c r="AE121" s="31" t="e">
        <f>(IF(OR(Hypothèses!$B$4=17,Hypothèses!$B$4=18,Hypothèses!$B$4=19,Hypothèses!$B$4=20),
IF($D121="Pressio.",
IF(OR($E121=3,$E121=1,$E121=4),(PI()*AE$12^2)/4*(AA121*$W121*1000)/($H121*$B$5),(PI()*AE$12^2)/4*(AA121*$W121*1000)/($G121*$B$5)),
IF($D121="Pénétro.",
IF(OR($E121=4,$E121=1,$E121=5),(PI()*AE$12^2)/4*(AA121*$W121*1000)/($H121*$B$5),(PI()*AE$12^2)/4*(AA121*$W121*1000)/($G121*$B$5)))),
IF($D121="Pressio.",
IF($E121=3,(PI()*AE$12^2)/4*(AA121*$W121*1000)/($H121*$B$5),(PI()*AE$12^2)/4*(AA121*$W121*1000)/($G121*$B$5)),
IF($D121="Pénétro.",
IF($E121=4,(PI()*AE$12^2)/4*(AA121*$W121*1000)/($H121*$B$5),(PI()*AE$12^2)/4*(AA121*$W121*1000)/($G121*$B$5))))))/10</f>
        <v>#N/A</v>
      </c>
      <c r="AF121" s="102" t="e">
        <f>(VLOOKUP($B$3,'Coeff EC7'!$T$39:$X$59,2,0)*AD121+VLOOKUP($B$3,'Coeff EC7'!$T$65:$X$85,2,0)*Model0.1C!AE121)/1.1</f>
        <v>#N/A</v>
      </c>
      <c r="AG121" s="102" t="e">
        <f>(VLOOKUP($B$3,'Coeff EC7'!$T$39:$X$59,3,0)*AD121+VLOOKUP($B$3,'Coeff EC7'!$T$65:$X$85,3,0)*Model0.1C!AE121)/0.9</f>
        <v>#N/A</v>
      </c>
      <c r="AH121" s="102" t="e">
        <f t="shared" si="139"/>
        <v>#N/A</v>
      </c>
      <c r="AI121" s="102" t="e">
        <f t="shared" si="140"/>
        <v>#N/A</v>
      </c>
      <c r="AJ121" s="414" t="e">
        <f>IF(AJ120=0,0,IF(AND(AF121&gt;charge_ELS_quasi,AG121&gt;Charge_ELS_freq,AH121&gt;charge_ELU,AI121&gt;charge_ELA,$B121&gt;NDC!$H$22-0.1+MIN(3*$AJ$12,1.5)),0,1))</f>
        <v>#N/A</v>
      </c>
      <c r="AK121" s="86" t="b">
        <f t="shared" si="141"/>
        <v>0</v>
      </c>
      <c r="AL121" s="86">
        <f t="shared" si="170"/>
        <v>0.5</v>
      </c>
      <c r="AM121" s="86">
        <f t="shared" si="142"/>
        <v>0.5</v>
      </c>
      <c r="AN121" s="30" t="e">
        <f t="shared" ca="1" si="171"/>
        <v>#DIV/0!</v>
      </c>
      <c r="AO121" s="85" t="e">
        <f ca="1">IF(U121&lt;=Hypothèses!$V$7,Hypothèses!$W$7,IF(U121&lt;=Hypothèses!$V$8,Hypothèses!$W$8,IF(U121&lt;=Hypothèses!$V$9,Hypothèses!$W$9,IF(U121&lt;=Hypothèses!$V$10,Hypothèses!$W$10,IF(U121&lt;=Hypothèses!$V$11,Hypothèses!$W$11,IF(U121&lt;=Hypothèses!$V$12,Hypothèses!$W$12,IF(U121&lt;=Hypothèses!$V$13,Hypothèses!$W$13,IF(U121&lt;=Hypothèses!$V$14,Hypothèses!$W$14,IF(U121&lt;=Hypothèses!$V$15,Hypothèses!$W$15,IF(U121&lt;=Hypothèses!$V$16,Hypothèses!$W$16,IF(U121&lt;=Hypothèses!$V$17,Hypothèses!$W$17,IF(U121&lt;=Hypothèses!$V$18,Hypothèses!$W$18,""))))))))))))</f>
        <v>#DIV/0!</v>
      </c>
      <c r="AP121" s="87" t="e">
        <f t="shared" ca="1" si="217"/>
        <v>#DIV/0!</v>
      </c>
      <c r="AQ121" s="88" t="e">
        <f ca="1">IF(U121&lt;=Hypothèses!$V$7,Hypothèses!$X$7,IF(U121&lt;=Hypothèses!$V$8,Hypothèses!$X$8,IF(U121&lt;=Hypothèses!$V$9,Hypothèses!$X$9,IF(U121&lt;=Hypothèses!$V$10,Hypothèses!$X$10,IF(U121&lt;=Hypothèses!$V$11,Hypothèses!$X$11,IF(U121&lt;=Hypothèses!$V$12,Hypothèses!$X$12,IF(U121&lt;=Hypothèses!$V$13,Hypothèses!$X$13,IF(U121&lt;=Hypothèses!$V$14,Hypothèses!$X$14,IF(U121&lt;=Hypothèses!$V$15,Hypothèses!$X$15,IF(U121&lt;=Hypothèses!$V$16,Hypothèses!$X$16,IF(U121&lt;=Hypothèses!$U$17,Hypothèses!$W$17,IF(U121&lt;=Hypothèses!$U$18,Hypothèses!$W$18,""))))))))))))</f>
        <v>#DIV/0!</v>
      </c>
      <c r="AR121" s="95" t="e">
        <f t="shared" ca="1" si="172"/>
        <v>#DIV/0!</v>
      </c>
      <c r="AS121" s="101" t="e">
        <f t="shared" si="224"/>
        <v>#N/A</v>
      </c>
      <c r="AT121" s="91" t="e">
        <f t="shared" si="143"/>
        <v>#N/A</v>
      </c>
      <c r="AU121" s="30" t="e">
        <f t="shared" si="202"/>
        <v>#N/A</v>
      </c>
      <c r="AV121" s="30" t="e">
        <f t="shared" si="203"/>
        <v>#N/A</v>
      </c>
      <c r="AW121" s="31" t="e">
        <f>IF(OR(Hypothèses!$B$4=17,Hypothèses!$B$4=18,Hypothèses!$B$4=19,Hypothèses!$B$4=20),
IF($D121="Pressio.",
IF(OR($E121=3,$E121=1,$E121=4),AV121,AU121),
IF($D121="Pénétro.",
IF(OR($E121=3,$E121=1,$E121=4),AV121,AU121))),IF($D121="Pressio.",
IF($E121=3,AV121,AU121),
IF($D121="Pénétro.",
IF($E121=4,AV121,AU121))))</f>
        <v>#N/A</v>
      </c>
      <c r="AX121" s="31" t="e">
        <f>(IF(OR(Hypothèses!$B$4=17,Hypothèses!$B$4=18,Hypothèses!$B$4=19,Hypothèses!$B$4=20),
IF($D121="Pressio.",
IF(OR($E121=3,$E121=1,$E121=4),(PI()*AX$12^2)/4*(AT121*$W121*1000)/($H121*$B$5),(PI()*AX$12^2)/4*(AT121*$W121*1000)/($G121*$B$5)),
IF($D121="Pénétro.",
IF(OR($E121=4,$E121=1,$E121=5),(PI()*AX$12^2)/4*(AT121*$W121*1000)/($H121*$B$5),(PI()*AX$12^2)/4*(AT121*$W121*1000)/($G121*$B$5)))),
IF($D121="Pressio.",
IF($E121=3,(PI()*AX$12^2)/4*(AT121*$W121*1000)/($H121*$B$5),(PI()*AX$12^2)/4*(AT121*$W121*1000)/($G121*$B$5)),
IF($D121="Pénétro.",
IF($E121=4,(PI()*AX$12^2)/4*(AT121*$W121*1000)/($H121*$B$5),(PI()*AX$12^2)/4*(AT121*$W121*1000)/($G121*$B$5))))))/10</f>
        <v>#N/A</v>
      </c>
      <c r="AY121" s="102" t="e">
        <f>(VLOOKUP($B$3,'Coeff EC7'!$T$39:$X$59,2,0)*AW121+VLOOKUP($B$3,'Coeff EC7'!$T$65:$X$85,2,0)*Model0.1C!AX121)/1.1</f>
        <v>#N/A</v>
      </c>
      <c r="AZ121" s="102" t="e">
        <f>(VLOOKUP($B$3,'Coeff EC7'!$T$39:$X$59,3,0)*AW121+VLOOKUP($B$3,'Coeff EC7'!$T$65:$X$85,3,0)*Model0.1C!AX121)/0.9</f>
        <v>#N/A</v>
      </c>
      <c r="BA121" s="102" t="e">
        <f t="shared" si="173"/>
        <v>#N/A</v>
      </c>
      <c r="BB121" s="102" t="e">
        <f t="shared" si="174"/>
        <v>#N/A</v>
      </c>
      <c r="BC121" s="414" t="e">
        <f>IF(BC120=0,0,IF(AND(AY121&gt;charge_ELS_quasi,AZ121&gt;Charge_ELS_freq,BA121&gt;charge_ELU,BB121&gt;charge_ELA,$B121&gt;NDC!$H$22-0.1+MIN(3*$BC$12,1.5)),0,1))</f>
        <v>#N/A</v>
      </c>
      <c r="BD121" s="86" t="b">
        <f t="shared" si="144"/>
        <v>0</v>
      </c>
      <c r="BE121" s="86">
        <f t="shared" si="175"/>
        <v>0.5</v>
      </c>
      <c r="BF121" s="86">
        <f t="shared" si="145"/>
        <v>0.5</v>
      </c>
      <c r="BG121" s="30" t="e">
        <f t="shared" ca="1" si="176"/>
        <v>#DIV/0!</v>
      </c>
      <c r="BH121" s="85" t="e">
        <f ca="1">IF(AN121&lt;=Hypothèses!$V$7,Hypothèses!$W$7,IF(AN121&lt;=Hypothèses!$V$8,Hypothèses!$W$8,IF(AN121&lt;=Hypothèses!$V$9,Hypothèses!$W$9,IF(AN121&lt;=Hypothèses!$V$10,Hypothèses!$W$10,IF(AN121&lt;=Hypothèses!$V$11,Hypothèses!$W$11,IF(AN121&lt;=Hypothèses!$V$12,Hypothèses!$W$12,IF(AN121&lt;=Hypothèses!$V$13,Hypothèses!$W$13,IF(AN121&lt;=Hypothèses!$V$14,Hypothèses!$W$14,IF(AN121&lt;=Hypothèses!$V$15,Hypothèses!$W$15,IF(AN121&lt;=Hypothèses!$V$16,Hypothèses!$W$16,IF(AN121&lt;=Hypothèses!$V$17,Hypothèses!$W$17,IF(AN121&lt;=Hypothèses!$V$18,Hypothèses!$W$18,""))))))))))))</f>
        <v>#DIV/0!</v>
      </c>
      <c r="BI121" s="87" t="e">
        <f t="shared" ca="1" si="218"/>
        <v>#DIV/0!</v>
      </c>
      <c r="BJ121" s="88" t="e">
        <f ca="1">IF(AN121&lt;=Hypothèses!$V$7,Hypothèses!$X$7,IF(AN121&lt;=Hypothèses!$V$8,Hypothèses!$X$8,IF(AN121&lt;=Hypothèses!$V$9,Hypothèses!$X$9,IF(AN121&lt;=Hypothèses!$V$10,Hypothèses!$X$10,IF(AN121&lt;=Hypothèses!$V$11,Hypothèses!$X$11,IF(AN121&lt;=Hypothèses!$V$12,Hypothèses!$X$12,IF(AN121&lt;=Hypothèses!$V$13,Hypothèses!$X$13,IF(AN121&lt;=Hypothèses!$V$14,Hypothèses!$X$14,IF(AN121&lt;=Hypothèses!$V$15,Hypothèses!$X$15,IF(AN121&lt;=Hypothèses!$V$16,Hypothèses!$X$16,IF(AN121&lt;=Hypothèses!$U$17,Hypothèses!$W$17,IF(AN121&lt;=Hypothèses!$U$18,Hypothèses!$W$18,""))))))))))))</f>
        <v>#DIV/0!</v>
      </c>
      <c r="BK121" s="95" t="e">
        <f t="shared" ca="1" si="177"/>
        <v>#DIV/0!</v>
      </c>
      <c r="BL121" s="101" t="e">
        <f t="shared" si="225"/>
        <v>#N/A</v>
      </c>
      <c r="BM121" s="91" t="e">
        <f t="shared" si="146"/>
        <v>#N/A</v>
      </c>
      <c r="BN121" s="30" t="e">
        <f t="shared" si="204"/>
        <v>#N/A</v>
      </c>
      <c r="BO121" s="30" t="e">
        <f t="shared" si="205"/>
        <v>#N/A</v>
      </c>
      <c r="BP121" s="31" t="e">
        <f>IF(OR(Hypothèses!$B$4=17,Hypothèses!$B$4=18,Hypothèses!$B$4=19,Hypothèses!$B$4=20),
IF($D121="Pressio.",
IF(OR($E121=3,$E121=1,$E121=4),BO121,BN121),
IF($D121="Pénétro.",
IF(OR($E121=3,$E121=1,$E121=4),BO121,BN121))),IF($D121="Pressio.",
IF($E121=3,BO121,BN121),
IF($D121="Pénétro.",
IF($E121=4,BO121,BN121))))</f>
        <v>#N/A</v>
      </c>
      <c r="BQ121" s="31" t="e">
        <f>(IF(OR(Hypothèses!$B$4=17,Hypothèses!$B$4=18,Hypothèses!$B$4=19,Hypothèses!$B$4=20),
IF($D121="Pressio.",
IF(OR($E121=3,$E121=1,$E121=4),(PI()*BQ$12^2)/4*(BM121*$W121*1000)/($H121*$B$5),(PI()*BQ$12^2)/4*(BM121*$W121*1000)/($G121*$B$5)),
IF($D121="Pénétro.",
IF(OR($E121=4,$E121=1,$E121=5),(PI()*BQ$12^2)/4*(BM121*$W121*1000)/($H121*$B$5),(PI()*BQ$12^2)/4*(BM121*$W121*1000)/($G121*$B$5)))),
IF($D121="Pressio.",
IF($E121=3,(PI()*BQ$12^2)/4*(BM121*$W121*1000)/($H121*$B$5),(PI()*BQ$12^2)/4*(BM121*$W121*1000)/($G121*$B$5)),
IF($D121="Pénétro.",
IF($E121=4,(PI()*BQ$12^2)/4*(BM121*$W121*1000)/($H121*$B$5),(PI()*BQ$12^2)/4*(BM121*$W121*1000)/($G121*$B$5))))))/10</f>
        <v>#N/A</v>
      </c>
      <c r="BR121" s="102" t="e">
        <f>(VLOOKUP($B$3,'Coeff EC7'!$T$39:$X$59,2,0)*BP121+VLOOKUP($B$3,'Coeff EC7'!$T$65:$X$85,2,0)*Model0.1C!BQ121)/1.1</f>
        <v>#N/A</v>
      </c>
      <c r="BS121" s="102" t="e">
        <f>(VLOOKUP($B$3,'Coeff EC7'!$T$39:$X$59,3,0)*BP121+VLOOKUP($B$3,'Coeff EC7'!$T$65:$X$85,3,0)*Model0.1C!BQ121)/0.9</f>
        <v>#N/A</v>
      </c>
      <c r="BT121" s="102" t="e">
        <f t="shared" si="178"/>
        <v>#N/A</v>
      </c>
      <c r="BU121" s="102" t="e">
        <f t="shared" si="179"/>
        <v>#N/A</v>
      </c>
      <c r="BV121" s="414" t="e">
        <f>IF(BV120=0,0,IF(AND(BR121&gt;charge_ELS_quasi,BS121&gt;Charge_ELS_freq,BT121&gt;charge_ELU,BU121&gt;charge_ELA,$B121&gt;NDC!$H$22-0.1+MIN(3*$BV$12,1.5)),0,1))</f>
        <v>#N/A</v>
      </c>
      <c r="BW121" s="86" t="b">
        <f t="shared" si="147"/>
        <v>0</v>
      </c>
      <c r="BX121" s="86">
        <f t="shared" si="148"/>
        <v>0.5</v>
      </c>
      <c r="BY121" s="86">
        <f t="shared" si="149"/>
        <v>0.5</v>
      </c>
      <c r="BZ121" s="30" t="e">
        <f t="shared" ca="1" si="180"/>
        <v>#DIV/0!</v>
      </c>
      <c r="CA121" s="85" t="e">
        <f ca="1">IF(BG121&lt;=Hypothèses!$V$7,Hypothèses!$W$7,IF(BG121&lt;=Hypothèses!$V$8,Hypothèses!$W$8,IF(BG121&lt;=Hypothèses!$V$9,Hypothèses!$W$9,IF(BG121&lt;=Hypothèses!$V$10,Hypothèses!$W$10,IF(BG121&lt;=Hypothèses!$V$11,Hypothèses!$W$11,IF(BG121&lt;=Hypothèses!$V$12,Hypothèses!$W$12,IF(BG121&lt;=Hypothèses!$V$13,Hypothèses!$W$13,IF(BG121&lt;=Hypothèses!$V$14,Hypothèses!$W$14,IF(BG121&lt;=Hypothèses!$V$15,Hypothèses!$W$15,IF(BG121&lt;=Hypothèses!$V$16,Hypothèses!$W$16,IF(BG121&lt;=Hypothèses!$V$17,Hypothèses!$W$17,IF(BG121&lt;=Hypothèses!$V$18,Hypothèses!$W$18,""))))))))))))</f>
        <v>#DIV/0!</v>
      </c>
      <c r="CB121" s="87" t="e">
        <f t="shared" ca="1" si="219"/>
        <v>#DIV/0!</v>
      </c>
      <c r="CC121" s="88" t="e">
        <f ca="1">IF(BG121&lt;=Hypothèses!$V$7,Hypothèses!$X$7,IF(BG121&lt;=Hypothèses!$V$8,Hypothèses!$X$8,IF(BG121&lt;=Hypothèses!$V$9,Hypothèses!$X$9,IF(BG121&lt;=Hypothèses!$V$10,Hypothèses!$X$10,IF(BG121&lt;=Hypothèses!$V$11,Hypothèses!$X$11,IF(BG121&lt;=Hypothèses!$V$12,Hypothèses!$X$12,IF(BG121&lt;=Hypothèses!$V$13,Hypothèses!$X$13,IF(BG121&lt;=Hypothèses!$V$14,Hypothèses!$X$14,IF(BG121&lt;=Hypothèses!$V$15,Hypothèses!$X$15,IF(BG121&lt;=Hypothèses!$V$16,Hypothèses!$X$16,IF(BG121&lt;=Hypothèses!$U$17,Hypothèses!$W$17,IF(BG121&lt;=Hypothèses!$U$18,Hypothèses!$W$18,""))))))))))))</f>
        <v>#DIV/0!</v>
      </c>
      <c r="CD121" s="95" t="e">
        <f t="shared" ca="1" si="181"/>
        <v>#DIV/0!</v>
      </c>
      <c r="CE121" s="101" t="e">
        <f t="shared" si="226"/>
        <v>#N/A</v>
      </c>
      <c r="CF121" s="91" t="e">
        <f t="shared" si="150"/>
        <v>#N/A</v>
      </c>
      <c r="CG121" s="30" t="e">
        <f t="shared" si="206"/>
        <v>#N/A</v>
      </c>
      <c r="CH121" s="30" t="e">
        <f t="shared" si="207"/>
        <v>#N/A</v>
      </c>
      <c r="CI121" s="31" t="e">
        <f>IF(OR(Hypothèses!$B$4=17,Hypothèses!$B$4=18,Hypothèses!$B$4=19,Hypothèses!$B$4=20),
IF($D121="Pressio.",
IF(OR($E121=3,$E121=1,$E121=4),CH121,CG121),
IF($D121="Pénétro.",
IF(OR($E121=3,$E121=1,$E121=4),CH121,CG121))),IF($D121="Pressio.",
IF($E121=3,CH121,CG121),
IF($D121="Pénétro.",
IF($E121=4,CH121,CG121))))</f>
        <v>#N/A</v>
      </c>
      <c r="CJ121" s="31" t="e">
        <f>(IF(OR(Hypothèses!$B$4=17,Hypothèses!$B$4=18,Hypothèses!$B$4=19,Hypothèses!$B$4=20),
IF($D121="Pressio.",
IF(OR($E121=3,$E121=1,$E121=4),(PI()*CJ$12^2)/4*(CF121*$W121*1000)/($H121*$B$5),(PI()*CJ$12^2)/4*(CF121*$W121*1000)/($G121*$B$5)),
IF($D121="Pénétro.",
IF(OR($E121=4,$E121=1,$E121=5),(PI()*CJ$12^2)/4*(CF121*$W121*1000)/($H121*$B$5),(PI()*CJ$12^2)/4*(CF121*$W121*1000)/($G121*$B$5)))),
IF($D121="Pressio.",
IF($E121=3,(PI()*CJ$12^2)/4*(CF121*$W121*1000)/($H121*$B$5),(PI()*CJ$12^2)/4*(CF121*$W121*1000)/($G121*$B$5)),
IF($D121="Pénétro.",
IF($E121=4,(PI()*CJ$12^2)/4*(CF121*$W121*1000)/($H121*$B$5),(PI()*CJ$12^2)/4*(CF121*$W121*1000)/($G121*$B$5))))))/10</f>
        <v>#N/A</v>
      </c>
      <c r="CK121" s="102" t="e">
        <f>(VLOOKUP($B$3,'Coeff EC7'!$T$39:$X$59,2,0)*CI121+VLOOKUP($B$3,'Coeff EC7'!$T$65:$X$85,2,0)*Model0.1C!CJ121)/1.1</f>
        <v>#N/A</v>
      </c>
      <c r="CL121" s="102" t="e">
        <f>(VLOOKUP($B$3,'Coeff EC7'!$T$39:$X$59,3,0)*CI121+VLOOKUP($B$3,'Coeff EC7'!$T$65:$X$85,3,0)*Model0.1C!CJ121)/0.9</f>
        <v>#N/A</v>
      </c>
      <c r="CM121" s="102" t="e">
        <f t="shared" si="182"/>
        <v>#N/A</v>
      </c>
      <c r="CN121" s="102" t="e">
        <f t="shared" si="183"/>
        <v>#N/A</v>
      </c>
      <c r="CO121" s="414" t="e">
        <f>IF(CO120=0,0,IF(AND(CK121&gt;charge_ELS_quasi,CL121&gt;Charge_ELS_freq,CM121&gt;charge_ELU,CN121&gt;charge_ELA,$B121&gt;NDC!$H$22-0.1+MIN(3*$CO$12,1.5)),0,1))</f>
        <v>#N/A</v>
      </c>
      <c r="CP121" s="86" t="b">
        <f t="shared" si="151"/>
        <v>0</v>
      </c>
      <c r="CQ121" s="86">
        <f t="shared" si="152"/>
        <v>0.5</v>
      </c>
      <c r="CR121" s="86">
        <f t="shared" si="153"/>
        <v>0.5</v>
      </c>
      <c r="CS121" s="30" t="e">
        <f t="shared" ca="1" si="184"/>
        <v>#DIV/0!</v>
      </c>
      <c r="CT121" s="85" t="e">
        <f ca="1">IF(BZ121&lt;=Hypothèses!$V$7,Hypothèses!$W$7,IF(BZ121&lt;=Hypothèses!$V$8,Hypothèses!$W$8,IF(BZ121&lt;=Hypothèses!$V$9,Hypothèses!$W$9,IF(BZ121&lt;=Hypothèses!$V$10,Hypothèses!$W$10,IF(BZ121&lt;=Hypothèses!$V$11,Hypothèses!$W$11,IF(BZ121&lt;=Hypothèses!$V$12,Hypothèses!$W$12,IF(BZ121&lt;=Hypothèses!$V$13,Hypothèses!$W$13,IF(BZ121&lt;=Hypothèses!$V$14,Hypothèses!$W$14,IF(BZ121&lt;=Hypothèses!$V$15,Hypothèses!$W$15,IF(BZ121&lt;=Hypothèses!$V$16,Hypothèses!$W$16,IF(BZ121&lt;=Hypothèses!$V$17,Hypothèses!$W$17,IF(BZ121&lt;=Hypothèses!$V$18,Hypothèses!$W$18,""))))))))))))</f>
        <v>#DIV/0!</v>
      </c>
      <c r="CU121" s="87" t="e">
        <f t="shared" ca="1" si="220"/>
        <v>#DIV/0!</v>
      </c>
      <c r="CV121" s="88" t="e">
        <f ca="1">IF(BZ121&lt;=Hypothèses!$V$7,Hypothèses!$X$7,IF(BZ121&lt;=Hypothèses!$V$8,Hypothèses!$X$8,IF(BZ121&lt;=Hypothèses!$V$9,Hypothèses!$X$9,IF(BZ121&lt;=Hypothèses!$V$10,Hypothèses!$X$10,IF(BZ121&lt;=Hypothèses!$V$11,Hypothèses!$X$11,IF(BZ121&lt;=Hypothèses!$V$12,Hypothèses!$X$12,IF(BZ121&lt;=Hypothèses!$V$13,Hypothèses!$X$13,IF(BZ121&lt;=Hypothèses!$V$14,Hypothèses!$X$14,IF(BZ121&lt;=Hypothèses!$V$15,Hypothèses!$X$15,IF(BZ121&lt;=Hypothèses!$V$16,Hypothèses!$X$16,IF(BZ121&lt;=Hypothèses!$U$17,Hypothèses!$W$17,IF(BZ121&lt;=Hypothèses!$U$18,Hypothèses!$W$18,""))))))))))))</f>
        <v>#DIV/0!</v>
      </c>
      <c r="CW121" s="95" t="e">
        <f t="shared" ca="1" si="185"/>
        <v>#DIV/0!</v>
      </c>
      <c r="CX121" s="101" t="e">
        <f t="shared" si="227"/>
        <v>#N/A</v>
      </c>
      <c r="CY121" s="91" t="e">
        <f t="shared" si="154"/>
        <v>#N/A</v>
      </c>
      <c r="CZ121" s="30" t="e">
        <f t="shared" si="208"/>
        <v>#N/A</v>
      </c>
      <c r="DA121" s="30" t="e">
        <f t="shared" si="209"/>
        <v>#N/A</v>
      </c>
      <c r="DB121" s="31" t="e">
        <f>IF(OR(Hypothèses!$B$4=17,Hypothèses!$B$4=18,Hypothèses!$B$4=19,Hypothèses!$B$4=20),
IF($D121="Pressio.",
IF(OR($E121=3,$E121=1,$E121=4),DA121,CZ121),
IF($D121="Pénétro.",
IF(OR($E121=3,$E121=1,$E121=4),DA121,CZ121))),IF($D121="Pressio.",
IF($E121=3,DA121,CZ121),
IF($D121="Pénétro.",
IF($E121=4,DA121,CZ121))))</f>
        <v>#N/A</v>
      </c>
      <c r="DC121" s="31" t="e">
        <f>(IF(OR(Hypothèses!$B$4=17,Hypothèses!$B$4=18,Hypothèses!$B$4=19,Hypothèses!$B$4=20),
IF($D121="Pressio.",
IF(OR($E121=3,$E121=1,$E121=4),(PI()*DC$12^2)/4*(CY121*$W121*1000)/($H121*$B$5),(PI()*DC$12^2)/4*(CY121*$W121*1000)/($G121*$B$5)),
IF($D121="Pénétro.",
IF(OR($E121=4,$E121=1,$E121=5),(PI()*DC$12^2)/4*(CY121*$W121*1000)/($H121*$B$5),(PI()*DC$12^2)/4*(CY121*$W121*1000)/($G121*$B$5)))),
IF($D121="Pressio.",
IF($E121=3,(PI()*DC$12^2)/4*(CY121*$W121*1000)/($H121*$B$5),(PI()*DC$12^2)/4*(CY121*$W121*1000)/($G121*$B$5)),
IF($D121="Pénétro.",
IF($E121=4,(PI()*DC$12^2)/4*(CY121*$W121*1000)/($H121*$B$5),(PI()*DC$12^2)/4*(CY121*$W121*1000)/($G121*$B$5))))))/10</f>
        <v>#N/A</v>
      </c>
      <c r="DD121" s="102" t="e">
        <f>(VLOOKUP($B$3,'Coeff EC7'!$T$39:$X$59,2,0)*DB121+VLOOKUP($B$3,'Coeff EC7'!$T$65:$X$85,2,0)*Model0.1C!DC121)/1.1</f>
        <v>#N/A</v>
      </c>
      <c r="DE121" s="102" t="e">
        <f>(VLOOKUP($B$3,'Coeff EC7'!$T$39:$X$59,3,0)*DB121+VLOOKUP($B$3,'Coeff EC7'!$T$65:$X$85,3,0)*Model0.1C!DC121)/0.9</f>
        <v>#N/A</v>
      </c>
      <c r="DF121" s="102" t="e">
        <f t="shared" si="186"/>
        <v>#N/A</v>
      </c>
      <c r="DG121" s="102" t="e">
        <f t="shared" si="187"/>
        <v>#N/A</v>
      </c>
      <c r="DH121" s="414" t="e">
        <f>IF(DH120=0,0,IF(AND(DD121&gt;charge_ELS_quasi,DE121&gt;Charge_ELS_freq,DF121&gt;charge_ELU,DG121&gt;charge_ELA,$B121&gt;NDC!$H$22-0.1+MIN(3*$DH$12,1.5)),0,1))</f>
        <v>#N/A</v>
      </c>
      <c r="DI121" s="86" t="b">
        <f t="shared" si="155"/>
        <v>0</v>
      </c>
      <c r="DJ121" s="86">
        <f t="shared" si="156"/>
        <v>0.5</v>
      </c>
      <c r="DK121" s="86">
        <f t="shared" si="157"/>
        <v>0.5</v>
      </c>
      <c r="DL121" s="30" t="e">
        <f t="shared" ca="1" si="188"/>
        <v>#DIV/0!</v>
      </c>
      <c r="DM121" s="85" t="e">
        <f ca="1">IF(CS121&lt;=Hypothèses!$V$7,Hypothèses!$W$7,IF(CS121&lt;=Hypothèses!$V$8,Hypothèses!$W$8,IF(CS121&lt;=Hypothèses!$V$9,Hypothèses!$W$9,IF(CS121&lt;=Hypothèses!$V$10,Hypothèses!$W$10,IF(CS121&lt;=Hypothèses!$V$11,Hypothèses!$W$11,IF(CS121&lt;=Hypothèses!$V$12,Hypothèses!$W$12,IF(CS121&lt;=Hypothèses!$V$13,Hypothèses!$W$13,IF(CS121&lt;=Hypothèses!$V$14,Hypothèses!$W$14,IF(CS121&lt;=Hypothèses!$V$15,Hypothèses!$W$15,IF(CS121&lt;=Hypothèses!$V$16,Hypothèses!$W$16,IF(CS121&lt;=Hypothèses!$V$17,Hypothèses!$W$17,IF(CS121&lt;=Hypothèses!$V$18,Hypothèses!$W$18,""))))))))))))</f>
        <v>#DIV/0!</v>
      </c>
      <c r="DN121" s="87" t="e">
        <f t="shared" ca="1" si="221"/>
        <v>#DIV/0!</v>
      </c>
      <c r="DO121" s="88" t="e">
        <f ca="1">IF(CS121&lt;=Hypothèses!$V$7,Hypothèses!$X$7,IF(CS121&lt;=Hypothèses!$V$8,Hypothèses!$X$8,IF(CS121&lt;=Hypothèses!$V$9,Hypothèses!$X$9,IF(CS121&lt;=Hypothèses!$V$10,Hypothèses!$X$10,IF(CS121&lt;=Hypothèses!$V$11,Hypothèses!$X$11,IF(CS121&lt;=Hypothèses!$V$12,Hypothèses!$X$12,IF(CS121&lt;=Hypothèses!$V$13,Hypothèses!$X$13,IF(CS121&lt;=Hypothèses!$V$14,Hypothèses!$X$14,IF(CS121&lt;=Hypothèses!$V$15,Hypothèses!$X$15,IF(CS121&lt;=Hypothèses!$V$16,Hypothèses!$X$16,IF(CS121&lt;=Hypothèses!$U$17,Hypothèses!$W$17,IF(CS121&lt;=Hypothèses!$U$18,Hypothèses!$W$18,""))))))))))))</f>
        <v>#DIV/0!</v>
      </c>
      <c r="DP121" s="95" t="e">
        <f t="shared" ca="1" si="189"/>
        <v>#DIV/0!</v>
      </c>
      <c r="DQ121" s="101" t="e">
        <f t="shared" si="228"/>
        <v>#N/A</v>
      </c>
      <c r="DR121" s="91" t="e">
        <f t="shared" si="158"/>
        <v>#N/A</v>
      </c>
      <c r="DS121" s="30" t="e">
        <f t="shared" si="210"/>
        <v>#N/A</v>
      </c>
      <c r="DT121" s="30" t="e">
        <f t="shared" si="211"/>
        <v>#N/A</v>
      </c>
      <c r="DU121" s="31" t="e">
        <f>IF(OR(Hypothèses!$B$4=17,Hypothèses!$B$4=18,Hypothèses!$B$4=19,Hypothèses!$B$4=20),
IF($D121="Pressio.",
IF(OR($E121=3,$E121=1,$E121=4),DT121,DS121),
IF($D121="Pénétro.",
IF(OR($E121=3,$E121=1,$E121=4),DT121,DS121))),IF($D121="Pressio.",
IF($E121=3,DT121,DS121),
IF($D121="Pénétro.",
IF($E121=4,DT121,DS121))))</f>
        <v>#N/A</v>
      </c>
      <c r="DV121" s="31" t="e">
        <f>(IF(OR(Hypothèses!$B$4=17,Hypothèses!$B$4=18,Hypothèses!$B$4=19,Hypothèses!$B$4=20),
IF($D121="Pressio.",
IF(OR($E121=3,$E121=1,$E121=4),(PI()*DV$12^2)/4*(DR121*$W121*1000)/($H121*$B$5),(PI()*DV$12^2)/4*(DR121*$W121*1000)/($G121*$B$5)),
IF($D121="Pénétro.",
IF(OR($E121=4,$E121=1,$E121=5),(PI()*DV$12^2)/4*(DR121*$W121*1000)/($H121*$B$5),(PI()*DV$12^2)/4*(DR121*$W121*1000)/($G121*$B$5)))),
IF($D121="Pressio.",
IF($E121=3,(PI()*DV$12^2)/4*(DR121*$W121*1000)/($H121*$B$5),(PI()*DV$12^2)/4*(DR121*$W121*1000)/($G121*$B$5)),
IF($D121="Pénétro.",
IF($E121=4,(PI()*DV$12^2)/4*(DR121*$W121*1000)/($H121*$B$5),(PI()*DV$12^2)/4*(DR121*$W121*1000)/($G121*$B$5))))))/10</f>
        <v>#N/A</v>
      </c>
      <c r="DW121" s="102" t="e">
        <f>(VLOOKUP($B$3,'Coeff EC7'!$T$39:$X$59,2,0)*DU121+VLOOKUP($B$3,'Coeff EC7'!$T$65:$X$85,2,0)*Model0.1C!DV121)/1.1</f>
        <v>#N/A</v>
      </c>
      <c r="DX121" s="102" t="e">
        <f>(VLOOKUP($B$3,'Coeff EC7'!$T$39:$X$59,3,0)*DU121+VLOOKUP($B$3,'Coeff EC7'!$T$65:$X$85,3,0)*Model0.1C!DV121)/0.9</f>
        <v>#N/A</v>
      </c>
      <c r="DY121" s="102" t="e">
        <f t="shared" si="190"/>
        <v>#N/A</v>
      </c>
      <c r="DZ121" s="102" t="e">
        <f t="shared" si="191"/>
        <v>#N/A</v>
      </c>
      <c r="EA121" s="414" t="e">
        <f>IF(EA120=0,0,IF(AND(DW121&gt;charge_ELS_quasi,DX121&gt;Charge_ELS_freq,DY121&gt;charge_ELU,DZ121&gt;charge_ELA,$B121&gt;NDC!$H$22-0.1+MIN(3*$EA$12,1.5)),0,1))</f>
        <v>#N/A</v>
      </c>
      <c r="EB121" s="86" t="b">
        <f t="shared" si="159"/>
        <v>0</v>
      </c>
      <c r="EC121" s="418">
        <f t="shared" si="160"/>
        <v>0.51</v>
      </c>
      <c r="ED121" s="86">
        <f t="shared" si="161"/>
        <v>0.51</v>
      </c>
      <c r="EE121" s="30" t="e">
        <f t="shared" ca="1" si="192"/>
        <v>#DIV/0!</v>
      </c>
      <c r="EF121" s="85" t="e">
        <f ca="1">IF(DL121&lt;=Hypothèses!$V$7,Hypothèses!$W$7,IF(DL121&lt;=Hypothèses!$V$8,Hypothèses!$W$8,IF(DL121&lt;=Hypothèses!$V$9,Hypothèses!$W$9,IF(DL121&lt;=Hypothèses!$V$10,Hypothèses!$W$10,IF(DL121&lt;=Hypothèses!$V$11,Hypothèses!$W$11,IF(DL121&lt;=Hypothèses!$V$12,Hypothèses!$W$12,IF(DL121&lt;=Hypothèses!$V$13,Hypothèses!$W$13,IF(DL121&lt;=Hypothèses!$V$14,Hypothèses!$W$14,IF(DL121&lt;=Hypothèses!$V$15,Hypothèses!$W$15,IF(DL121&lt;=Hypothèses!$V$16,Hypothèses!$W$16,IF(DL121&lt;=Hypothèses!$V$17,Hypothèses!$W$17,IF(DL121&lt;=Hypothèses!$V$18,Hypothèses!$W$18,""))))))))))))</f>
        <v>#DIV/0!</v>
      </c>
      <c r="EG121" s="87" t="e">
        <f t="shared" ca="1" si="222"/>
        <v>#DIV/0!</v>
      </c>
      <c r="EH121" s="88" t="e">
        <f ca="1">IF(DL121&lt;=Hypothèses!$V$7,Hypothèses!$X$7,IF(DL121&lt;=Hypothèses!$V$8,Hypothèses!$X$8,IF(DL121&lt;=Hypothèses!$V$9,Hypothèses!$X$9,IF(DL121&lt;=Hypothèses!$V$10,Hypothèses!$X$10,IF(DL121&lt;=Hypothèses!$V$11,Hypothèses!$X$11,IF(DL121&lt;=Hypothèses!$V$12,Hypothèses!$X$12,IF(DL121&lt;=Hypothèses!$V$13,Hypothèses!$X$13,IF(DL121&lt;=Hypothèses!$V$14,Hypothèses!$X$14,IF(DL121&lt;=Hypothèses!$V$15,Hypothèses!$X$15,IF(DL121&lt;=Hypothèses!$V$16,Hypothèses!$X$16,IF(DL121&lt;=Hypothèses!$U$17,Hypothèses!$W$17,IF(DL121&lt;=Hypothèses!$U$18,Hypothèses!$W$18,""))))))))))))</f>
        <v>#DIV/0!</v>
      </c>
      <c r="EI121" s="95" t="e">
        <f t="shared" ca="1" si="193"/>
        <v>#DIV/0!</v>
      </c>
      <c r="EJ121" s="101" t="e">
        <f t="shared" si="229"/>
        <v>#N/A</v>
      </c>
      <c r="EK121" s="91" t="e">
        <f t="shared" si="162"/>
        <v>#N/A</v>
      </c>
      <c r="EL121" s="30" t="e">
        <f t="shared" si="212"/>
        <v>#N/A</v>
      </c>
      <c r="EM121" s="30" t="e">
        <f t="shared" si="213"/>
        <v>#N/A</v>
      </c>
      <c r="EN121" s="31" t="e">
        <f>IF(OR(Hypothèses!$B$4=17,Hypothèses!$B$4=18,Hypothèses!$B$4=19,Hypothèses!$B$4=20),
IF($D121="Pressio.",
IF(OR($E121=3,$E121=1,$E121=4),EM121,EL121),
IF($D121="Pénétro.",
IF(OR($E121=3,$E121=1,$E121=4),EM121,EL121))),IF($D121="Pressio.",
IF($E121=3,EM121,EL121),
IF($D121="Pénétro.",
IF($E121=4,EM121,EL121))))</f>
        <v>#N/A</v>
      </c>
      <c r="EO121" s="31" t="e">
        <f>(IF(OR(Hypothèses!$B$4=17,Hypothèses!$B$4=18,Hypothèses!$B$4=19,Hypothèses!$B$4=20),
IF($D121="Pressio.",
IF(OR($E121=3,$E121=1,$E121=4),(PI()*EO$12^2)/4*(EK121*$W121*1000)/($H121*$B$5),(PI()*EO$12^2)/4*(EK121*$W121*1000)/($G121*$B$5)),
IF($D121="Pénétro.",
IF(OR($E121=4,$E121=1,$E121=5),(PI()*EO$12^2)/4*(EK121*$W121*1000)/($H121*$B$5),(PI()*EO$12^2)/4*(EK121*$W121*1000)/($G121*$B$5)))),
IF($D121="Pressio.",
IF($E121=3,(PI()*EO$12^2)/4*(EK121*$W121*1000)/($H121*$B$5),(PI()*EO$12^2)/4*(EK121*$W121*1000)/($G121*$B$5)),
IF($D121="Pénétro.",
IF($E121=4,(PI()*EO$12^2)/4*(EK121*$W121*1000)/($H121*$B$5),(PI()*EO$12^2)/4*(EK121*$W121*1000)/($G121*$B$5))))))/10</f>
        <v>#N/A</v>
      </c>
      <c r="EP121" s="102" t="e">
        <f>(VLOOKUP($B$3,'Coeff EC7'!$T$39:$X$59,2,0)*EN121+VLOOKUP($B$3,'Coeff EC7'!$T$65:$X$85,2,0)*Model0.1C!EO121)/1.1</f>
        <v>#N/A</v>
      </c>
      <c r="EQ121" s="102" t="e">
        <f>(VLOOKUP($B$3,'Coeff EC7'!$T$39:$X$59,3,0)*EN121+VLOOKUP($B$3,'Coeff EC7'!$T$65:$X$85,3,0)*Model0.1C!EO121)/0.9</f>
        <v>#N/A</v>
      </c>
      <c r="ER121" s="102" t="e">
        <f t="shared" si="194"/>
        <v>#N/A</v>
      </c>
      <c r="ES121" s="102" t="e">
        <f t="shared" si="195"/>
        <v>#N/A</v>
      </c>
      <c r="ET121" s="414" t="e">
        <f>IF(ET120=0,0,IF(AND(EP121&gt;charge_ELS_quasi,EQ121&gt;Charge_ELS_freq,ER121&gt;charge_ELU,ES121&gt;charge_ELA,$B121&gt;NDC!$H$22-0.1+MIN(3*$ET$12,1.5)),0,1))</f>
        <v>#N/A</v>
      </c>
      <c r="EU121" s="86" t="b">
        <f t="shared" si="163"/>
        <v>0</v>
      </c>
      <c r="EV121" s="86">
        <f t="shared" si="164"/>
        <v>0.61</v>
      </c>
      <c r="EW121" s="86">
        <f t="shared" si="165"/>
        <v>0.61</v>
      </c>
      <c r="EX121" s="30" t="e">
        <f t="shared" ca="1" si="196"/>
        <v>#DIV/0!</v>
      </c>
      <c r="EY121" s="85" t="e">
        <f ca="1">IF(EE121&lt;=Hypothèses!$V$7,Hypothèses!$W$7,IF(EE121&lt;=Hypothèses!$V$8,Hypothèses!$W$8,IF(EE121&lt;=Hypothèses!$V$9,Hypothèses!$W$9,IF(EE121&lt;=Hypothèses!$V$10,Hypothèses!$W$10,IF(EE121&lt;=Hypothèses!$V$11,Hypothèses!$W$11,IF(EE121&lt;=Hypothèses!$V$12,Hypothèses!$W$12,IF(EE121&lt;=Hypothèses!$V$13,Hypothèses!$W$13,IF(EE121&lt;=Hypothèses!$V$14,Hypothèses!$W$14,IF(EE121&lt;=Hypothèses!$V$15,Hypothèses!$W$15,IF(EE121&lt;=Hypothèses!$V$16,Hypothèses!$W$16,IF(EE121&lt;=Hypothèses!$V$17,Hypothèses!$W$17,IF(EE121&lt;=Hypothèses!$V$18,Hypothèses!$W$18,""))))))))))))</f>
        <v>#DIV/0!</v>
      </c>
      <c r="EZ121" s="87" t="e">
        <f t="shared" ca="1" si="223"/>
        <v>#DIV/0!</v>
      </c>
      <c r="FA121" s="88" t="e">
        <f ca="1">IF(EE121&lt;=Hypothèses!$V$7,Hypothèses!$X$7,IF(EE121&lt;=Hypothèses!$V$8,Hypothèses!$X$8,IF(EE121&lt;=Hypothèses!$V$9,Hypothèses!$X$9,IF(EE121&lt;=Hypothèses!$V$10,Hypothèses!$X$10,IF(EE121&lt;=Hypothèses!$V$11,Hypothèses!$X$11,IF(EE121&lt;=Hypothèses!$V$12,Hypothèses!$X$12,IF(EE121&lt;=Hypothèses!$V$13,Hypothèses!$X$13,IF(EE121&lt;=Hypothèses!$V$14,Hypothèses!$X$14,IF(EE121&lt;=Hypothèses!$V$15,Hypothèses!$X$15,IF(EE121&lt;=Hypothèses!$V$16,Hypothèses!$X$16,IF(EE121&lt;=Hypothèses!$U$17,Hypothèses!$W$17,IF(EE121&lt;=Hypothèses!$U$18,Hypothèses!$W$18,""))))))))))))</f>
        <v>#DIV/0!</v>
      </c>
      <c r="FB121" s="95" t="e">
        <f t="shared" ca="1" si="197"/>
        <v>#DIV/0!</v>
      </c>
      <c r="FC121" s="101" t="e">
        <f t="shared" si="230"/>
        <v>#N/A</v>
      </c>
      <c r="FD121" s="91" t="e">
        <f t="shared" si="166"/>
        <v>#N/A</v>
      </c>
      <c r="FE121" s="30" t="e">
        <f t="shared" si="214"/>
        <v>#N/A</v>
      </c>
      <c r="FF121" s="30" t="e">
        <f t="shared" si="215"/>
        <v>#N/A</v>
      </c>
      <c r="FG121" s="31" t="e">
        <f>IF(OR(Hypothèses!$B$4=17,Hypothèses!$B$4=18,Hypothèses!$B$4=19,Hypothèses!$B$4=20),
IF($D121="Pressio.",
IF(OR($E121=3,$E121=1,$E121=4),FF121,FE121),
IF($D121="Pénétro.",
IF(OR($E121=3,$E121=1,$E121=4),FF121,FE121))),IF($D121="Pressio.",
IF($E121=3,FF121,FE121),
IF($D121="Pénétro.",
IF($E121=4,FF121,FE121))))</f>
        <v>#N/A</v>
      </c>
      <c r="FH121" s="31" t="e">
        <f>(IF(OR(Hypothèses!$B$4=17,Hypothèses!$B$4=18,Hypothèses!$B$4=19,Hypothèses!$B$4=20),
IF($D121="Pressio.",
IF(OR($E121=3,$E121=1,$E121=4),(PI()*FH$12^2)/4*(FD121*$W121*1000)/($H121*$B$5),(PI()*FH$12^2)/4*(FD121*$W121*1000)/($G121*$B$5)),
IF($D121="Pénétro.",
IF(OR($E121=4,$E121=1,$E121=5),(PI()*FH$12^2)/4*(FD121*$W121*1000)/($H121*$B$5),(PI()*FH$12^2)/4*(FD121*$W121*1000)/($G121*$B$5)))),
IF($D121="Pressio.",
IF($E121=3,(PI()*FH$12^2)/4*(FD121*$W121*1000)/($H121*$B$5),(PI()*FH$12^2)/4*(FD121*$W121*1000)/($G121*$B$5)),
IF($D121="Pénétro.",
IF($E121=4,(PI()*FH$12^2)/4*(FD121*$W121*1000)/($H121*$B$5),(PI()*FH$12^2)/4*(FD121*$W121*1000)/($G121*$B$5))))))/10</f>
        <v>#N/A</v>
      </c>
      <c r="FI121" s="102" t="e">
        <f>(VLOOKUP($B$3,'Coeff EC7'!$T$39:$X$59,2,0)*FG121+VLOOKUP($B$3,'Coeff EC7'!$T$65:$X$85,2,0)*Model0.1C!FH121)/1.1</f>
        <v>#N/A</v>
      </c>
      <c r="FJ121" s="102" t="e">
        <f>(VLOOKUP($B$3,'Coeff EC7'!$T$39:$X$59,3,0)*FG121+VLOOKUP($B$3,'Coeff EC7'!$T$65:$X$85,3,0)*Model0.1C!FH121)/0.9</f>
        <v>#N/A</v>
      </c>
      <c r="FK121" s="102" t="e">
        <f t="shared" si="198"/>
        <v>#N/A</v>
      </c>
      <c r="FL121" s="102" t="e">
        <f t="shared" si="199"/>
        <v>#N/A</v>
      </c>
      <c r="FM121" s="414" t="e">
        <f>IF(FM120=0,0,IF(AND(FI121&gt;charge_ELS_quasi,FJ121&gt;Charge_ELS_freq,FK121&gt;charge_ELU,FL121&gt;charge_ELA,$B121&gt;NDC!$H$22-0.1+MIN(3*$FM$12,1.5)),0,1))</f>
        <v>#N/A</v>
      </c>
    </row>
    <row r="122" spans="1:169">
      <c r="A122" s="96">
        <f t="shared" si="167"/>
        <v>89.10000000000062</v>
      </c>
      <c r="B122" s="97">
        <v>10.9</v>
      </c>
      <c r="C122" s="81">
        <f>IF(B122&lt;=Hypothèses!$C$7,Hypothèses!$A$7,IF(B122&lt;=Hypothèses!$C$8,Hypothèses!$A$8,IF(B122&lt;=Hypothèses!$C$9,Hypothèses!$A$9,IF(B122&lt;=Hypothèses!$C$10,Hypothèses!$A$10,IF(B122&lt;=Hypothèses!$C$11,Hypothèses!$A$11,IF(B122&lt;=Hypothèses!$C$12,Hypothèses!$A$12,IF(B122&lt;=Hypothèses!$C$13,Hypothèses!$A$13,IF(B122&lt;=Hypothèses!$C$14,Hypothèses!$A$14,IF(B122&lt;=Hypothèses!$C$15,Hypothèses!$A$15,IF(B122&lt;=Hypothèses!$C$16,Hypothèses!$A$16,IF(B122&lt;=Hypothèses!$C$17,Hypothèses!$A$17,IF(B122&lt;=Hypothèses!$C$18,Hypothèses!$A$18,C121))))))))))))</f>
        <v>11</v>
      </c>
      <c r="D122" s="82" t="str">
        <f>IF(B122&lt;=Hypothèses!$C$7,Hypothèses!$R$7,IF(B122&lt;=Hypothèses!$C$8,Hypothèses!$R$8,IF(B122&lt;=Hypothèses!$C$9,Hypothèses!$R$9,IF(B122&lt;=Hypothèses!$C$10,Hypothèses!$R$10,IF(B122&lt;=Hypothèses!$C$11,Hypothèses!$R$11,IF(B122&lt;=Hypothèses!$C$12,Hypothèses!$R$12,IF(B122&lt;=Hypothèses!$C$13,Hypothèses!$R$13,IF(B122&lt;=Hypothèses!$C$14,Hypothèses!$R$14,IF(B122&lt;=Hypothèses!$C$15,Hypothèses!$R$15,IF(B122&lt;=Hypothèses!$C$16,Hypothèses!$R$16,IF(B122&lt;=Hypothèses!$C$17,Hypothèses!$R$17,IF(B122&lt;=Hypothèses!$C$18,Hypothèses!$R$18,D121))))))))))))</f>
        <v>Pressio.</v>
      </c>
      <c r="E122" s="82" t="e">
        <f>IF(B122&lt;=Hypothèses!$C$7,Hypothèses!$G$7,IF(B122&lt;=Hypothèses!$C$8,Hypothèses!$G$8,IF(B122&lt;=Hypothèses!$C$9,Hypothèses!$G$9,IF(B122&lt;=Hypothèses!$C$10,Hypothèses!$G$10,IF(B122&lt;=Hypothèses!$C$11,Hypothèses!$G$11,IF(B122&lt;=Hypothèses!$C$12,Hypothèses!$G$12,IF(B122&lt;=Hypothèses!$C$13,Hypothèses!$G$13,IF(B122&lt;=Hypothèses!$C$14,Hypothèses!$G$14,IF(B122&lt;=Hypothèses!$C$15,Hypothèses!$G$15,IF(B122&lt;=Hypothèses!$C$16,Hypothèses!$G$16,IF(B122&lt;=Hypothèses!$C$17,Hypothèses!$G$17,IF(B122&lt;=Hypothèses!$C$18,Hypothèses!$G$18,E121))))))))))))</f>
        <v>#N/A</v>
      </c>
      <c r="F122" s="82" t="str">
        <f>IF(B122&lt;=Hypothèses!$C$7,Hypothèses!$F$7,IF(B122&lt;=Hypothèses!$C$8,Hypothèses!$F$8,IF(B122&lt;=Hypothèses!$C$9,Hypothèses!$F$9,IF(B122&lt;=Hypothèses!$C$10,Hypothèses!$F$10,IF(B122&lt;=Hypothèses!$C$11,Hypothèses!$F$11,IF(B122&lt;=Hypothèses!$C$12,Hypothèses!$F$12,IF(B122&lt;=Hypothèses!$C$13,Hypothèses!$F$13,IF(B122&lt;=Hypothèses!$C$14,Hypothèses!$F$14,IF(B122&lt;=Hypothèses!$C$15,Hypothèses!$F$15,IF(B122&lt;=Hypothèses!$C$16,Hypothèses!$F$16,IF(B122&lt;=Hypothèses!$C$17,Hypothèses!$F$17,IF(B122&lt;=Hypothèses!$C$18,Hypothèses!$F$18,F121))))))))))))</f>
        <v/>
      </c>
      <c r="G122" s="91">
        <f t="array" ref="G122">INDEX('Coeff EC7'!$U$7:$X$27,
MATCH(Model0.1C!$B$3,'Coeff EC7'!$T$7:$T$27,0),
MATCH(Model0.1C!$D122&amp;Model0.1C!$B$4,
'Coeff EC7'!$U$6:$X$6&amp;
'Coeff EC7'!$U$5:$X$5,0))</f>
        <v>1.1499999999999999</v>
      </c>
      <c r="H122" s="91">
        <f t="array" ref="H122">INDEX('Coeff EC7'!$Y$7:$AB$27,
MATCH(Model0.1C!$B$3,'Coeff EC7'!$T$7:$T$27,0),
MATCH(Model0.1C!$D122&amp;Model0.1C!$B$4,
'Coeff EC7'!$Y$6:$AB$6&amp;
'Coeff EC7'!$Y$5:$AB$5,0))</f>
        <v>1.4</v>
      </c>
      <c r="I122" s="83" t="e">
        <f>IF(B122&lt;=Hypothèses!$C$7,Hypothèses!$P$7,IF(B122&lt;=Hypothèses!$C$8,Hypothèses!$P$8,IF(B122&lt;=Hypothèses!$C$9,Hypothèses!$P$9,IF(B122&lt;=Hypothèses!$C$10,Hypothèses!$P$10,IF(B122&lt;=Hypothèses!$C$11,Hypothèses!$P$11,IF(B122&lt;=Hypothèses!$C$12,Hypothèses!$P$12,IF(B122&lt;=Hypothèses!$C$13,Hypothèses!$P$13,IF(B122&lt;=Hypothèses!$C$14,Hypothèses!$P$14,IF(B122&lt;=Hypothèses!$C$15,Hypothèses!$P$15,IF(B122&lt;=Hypothèses!$C$16,Hypothèses!$P$16,IF(B122&lt;=Hypothèses!$C$17,Hypothèses!$P$17,IF(B122&lt;=Hypothèses!$C$18,Hypothèses!$P$18,I121))))))))))))</f>
        <v>#N/A</v>
      </c>
      <c r="J122" s="91" t="e">
        <f t="array" ref="J122">INDEX('Coeff EC7'!$D$33:$Q$33,1,MATCH(D122&amp;E122,'Coeff EC7'!$D$31:$Q$31&amp;'Coeff EC7'!$D$32:$Q$32,0))</f>
        <v>#N/A</v>
      </c>
      <c r="K122" s="91" t="e">
        <f t="array" ref="K122">INDEX('Coeff EC7'!$D$34:$Q$34,1,MATCH(D122&amp;E122,'Coeff EC7'!$D$31:$Q$31&amp;'Coeff EC7'!$D$32:$Q$32,0))</f>
        <v>#N/A</v>
      </c>
      <c r="L122" s="91" t="e">
        <f t="array" ref="L122">INDEX('Coeff EC7'!$D$35:$Q$35,1,MATCH(D122&amp;E122,'Coeff EC7'!$D$31:$Q$31&amp;'Coeff EC7'!$D$32:$Q$32,0))</f>
        <v>#N/A</v>
      </c>
      <c r="M122" s="98" t="e">
        <f t="shared" si="131"/>
        <v>#N/A</v>
      </c>
      <c r="N122" s="99" t="e">
        <f t="array" ref="N122">INDEX('Coeff EC7'!$D$7:$Q$27,MATCH($B$3,'Coeff EC7'!$C$7:$C$27,0),MATCH(D122&amp;E122,'Coeff EC7'!$D$5:$Q$5&amp;'Coeff EC7'!$D$6:$Q$6,0))</f>
        <v>#N/A</v>
      </c>
      <c r="O122" s="99" t="e">
        <f t="array" ref="O122">INDEX('Coeff EC7'!$D$41:$Q$61,MATCH($B$3,'Coeff EC7'!$C$41:$C$61,0),MATCH(D122&amp;E122,'Coeff EC7'!$D$39:$Q$39&amp;'Coeff EC7'!$D$40:$Q$40,0))</f>
        <v>#N/A</v>
      </c>
      <c r="P122" s="30" t="e">
        <f t="shared" si="168"/>
        <v>#N/A</v>
      </c>
      <c r="Q122" s="100" t="e">
        <f t="shared" si="133"/>
        <v>#N/A</v>
      </c>
      <c r="R122" s="86" t="b">
        <f t="shared" si="134"/>
        <v>0</v>
      </c>
      <c r="S122" s="86">
        <f t="shared" si="132"/>
        <v>0.5</v>
      </c>
      <c r="T122" s="86">
        <f t="shared" si="135"/>
        <v>0.5</v>
      </c>
      <c r="U122" s="30" t="e">
        <f t="shared" ca="1" si="169"/>
        <v>#DIV/0!</v>
      </c>
      <c r="V122" s="85" t="str">
        <f>IF(B122&lt;=Hypothèses!$V$7,Hypothèses!$W$7,IF(B122&lt;=Hypothèses!$V$8,Hypothèses!$W$8,IF(B122&lt;=Hypothèses!$V$9,Hypothèses!$W$9,IF(B122&lt;=Hypothèses!$V$10,Hypothèses!$W$10,IF(B122&lt;=Hypothèses!$V$11,Hypothèses!$W$11,IF(B122&lt;=Hypothèses!$V$12,Hypothèses!$W$12,IF(B122&lt;=Hypothèses!$V$13,Hypothèses!$W$13,IF(B122&lt;=Hypothèses!$V$14,Hypothèses!$W$14,IF(B122&lt;=Hypothèses!$V$15,Hypothèses!$W$15,IF(B122&lt;=Hypothèses!$V$16,Hypothèses!$W$16,IF(B122&lt;=Hypothèses!$V$17,Hypothèses!$W$17,IF(B122&lt;=Hypothèses!$V$18,Hypothèses!$W$18,""))))))))))))</f>
        <v/>
      </c>
      <c r="W122" s="87" t="e">
        <f t="shared" ca="1" si="216"/>
        <v>#DIV/0!</v>
      </c>
      <c r="X122" s="88" t="str">
        <f>IF(B122&lt;=Hypothèses!$V$7,Hypothèses!$X$7,IF(B122&lt;=Hypothèses!$V$8,Hypothèses!$X$8,IF(B122&lt;=Hypothèses!$V$9,Hypothèses!$X$9,IF(B122&lt;=Hypothèses!$V$10,Hypothèses!$X$10,IF(B122&lt;=Hypothèses!$V$11,Hypothèses!$X$11,IF(B122&lt;=Hypothèses!$V$12,Hypothèses!$X$12,IF(B122&lt;=Hypothèses!$V$13,Hypothèses!$X$13,IF(B122&lt;=Hypothèses!$V$14,Hypothèses!$X$14,IF(B122&lt;=Hypothèses!$V$15,Hypothèses!$X$15,IF(B122&lt;=Hypothèses!$V$16,Hypothèses!$X$16,IF(B122&lt;=Hypothèses!$U$17,Hypothèses!$W$17,IF(B122&lt;=Hypothèses!$U$18,Hypothèses!$W$18,""))))))))))))</f>
        <v/>
      </c>
      <c r="Y122" s="95" t="e">
        <f t="shared" ca="1" si="136"/>
        <v>#DIV/0!</v>
      </c>
      <c r="Z122" s="101" t="e">
        <f t="shared" si="137"/>
        <v>#N/A</v>
      </c>
      <c r="AA122" s="91" t="e">
        <f t="shared" si="138"/>
        <v>#N/A</v>
      </c>
      <c r="AB122" s="30" t="e">
        <f t="shared" si="200"/>
        <v>#N/A</v>
      </c>
      <c r="AC122" s="30" t="e">
        <f t="shared" si="201"/>
        <v>#N/A</v>
      </c>
      <c r="AD122" s="31" t="e">
        <f>IF(OR(Hypothèses!$B$4=17,Hypothèses!$B$4=18,Hypothèses!$B$4=19,Hypothèses!$B$4=20),
IF($D122="Pressio.",
IF(OR($E122=3,$E122=1,$E122=4),AC122,AB122),
IF($D122="Pénétro.",
IF(OR($E122=3,$E122=1,$E122=4),AC122,AB122))),IF($D122="Pressio.",
IF($E122=3,AC122,AB122),
IF($D122="Pénétro.",
IF($E122=4,AC122,AB122))))</f>
        <v>#N/A</v>
      </c>
      <c r="AE122" s="31" t="e">
        <f>(IF(OR(Hypothèses!$B$4=17,Hypothèses!$B$4=18,Hypothèses!$B$4=19,Hypothèses!$B$4=20),
IF($D122="Pressio.",
IF(OR($E122=3,$E122=1,$E122=4),(PI()*AE$12^2)/4*(AA122*$W122*1000)/($H122*$B$5),(PI()*AE$12^2)/4*(AA122*$W122*1000)/($G122*$B$5)),
IF($D122="Pénétro.",
IF(OR($E122=4,$E122=1,$E122=5),(PI()*AE$12^2)/4*(AA122*$W122*1000)/($H122*$B$5),(PI()*AE$12^2)/4*(AA122*$W122*1000)/($G122*$B$5)))),
IF($D122="Pressio.",
IF($E122=3,(PI()*AE$12^2)/4*(AA122*$W122*1000)/($H122*$B$5),(PI()*AE$12^2)/4*(AA122*$W122*1000)/($G122*$B$5)),
IF($D122="Pénétro.",
IF($E122=4,(PI()*AE$12^2)/4*(AA122*$W122*1000)/($H122*$B$5),(PI()*AE$12^2)/4*(AA122*$W122*1000)/($G122*$B$5))))))/10</f>
        <v>#N/A</v>
      </c>
      <c r="AF122" s="102" t="e">
        <f>(VLOOKUP($B$3,'Coeff EC7'!$T$39:$X$59,2,0)*AD122+VLOOKUP($B$3,'Coeff EC7'!$T$65:$X$85,2,0)*Model0.1C!AE122)/1.1</f>
        <v>#N/A</v>
      </c>
      <c r="AG122" s="102" t="e">
        <f>(VLOOKUP($B$3,'Coeff EC7'!$T$39:$X$59,3,0)*AD122+VLOOKUP($B$3,'Coeff EC7'!$T$65:$X$85,3,0)*Model0.1C!AE122)/0.9</f>
        <v>#N/A</v>
      </c>
      <c r="AH122" s="102" t="e">
        <f t="shared" si="139"/>
        <v>#N/A</v>
      </c>
      <c r="AI122" s="102" t="e">
        <f t="shared" si="140"/>
        <v>#N/A</v>
      </c>
      <c r="AJ122" s="414" t="e">
        <f>IF(AJ121=0,0,IF(AND(AF122&gt;charge_ELS_quasi,AG122&gt;Charge_ELS_freq,AH122&gt;charge_ELU,AI122&gt;charge_ELA,$B122&gt;NDC!$H$22-0.1+MIN(3*$AJ$12,1.5)),0,1))</f>
        <v>#N/A</v>
      </c>
      <c r="AK122" s="86" t="b">
        <f t="shared" si="141"/>
        <v>0</v>
      </c>
      <c r="AL122" s="86">
        <f t="shared" si="170"/>
        <v>0.5</v>
      </c>
      <c r="AM122" s="86">
        <f t="shared" si="142"/>
        <v>0.5</v>
      </c>
      <c r="AN122" s="30" t="e">
        <f t="shared" ca="1" si="171"/>
        <v>#DIV/0!</v>
      </c>
      <c r="AO122" s="85" t="e">
        <f ca="1">IF(U122&lt;=Hypothèses!$V$7,Hypothèses!$W$7,IF(U122&lt;=Hypothèses!$V$8,Hypothèses!$W$8,IF(U122&lt;=Hypothèses!$V$9,Hypothèses!$W$9,IF(U122&lt;=Hypothèses!$V$10,Hypothèses!$W$10,IF(U122&lt;=Hypothèses!$V$11,Hypothèses!$W$11,IF(U122&lt;=Hypothèses!$V$12,Hypothèses!$W$12,IF(U122&lt;=Hypothèses!$V$13,Hypothèses!$W$13,IF(U122&lt;=Hypothèses!$V$14,Hypothèses!$W$14,IF(U122&lt;=Hypothèses!$V$15,Hypothèses!$W$15,IF(U122&lt;=Hypothèses!$V$16,Hypothèses!$W$16,IF(U122&lt;=Hypothèses!$V$17,Hypothèses!$W$17,IF(U122&lt;=Hypothèses!$V$18,Hypothèses!$W$18,""))))))))))))</f>
        <v>#DIV/0!</v>
      </c>
      <c r="AP122" s="87" t="e">
        <f t="shared" ca="1" si="217"/>
        <v>#DIV/0!</v>
      </c>
      <c r="AQ122" s="88" t="e">
        <f ca="1">IF(U122&lt;=Hypothèses!$V$7,Hypothèses!$X$7,IF(U122&lt;=Hypothèses!$V$8,Hypothèses!$X$8,IF(U122&lt;=Hypothèses!$V$9,Hypothèses!$X$9,IF(U122&lt;=Hypothèses!$V$10,Hypothèses!$X$10,IF(U122&lt;=Hypothèses!$V$11,Hypothèses!$X$11,IF(U122&lt;=Hypothèses!$V$12,Hypothèses!$X$12,IF(U122&lt;=Hypothèses!$V$13,Hypothèses!$X$13,IF(U122&lt;=Hypothèses!$V$14,Hypothèses!$X$14,IF(U122&lt;=Hypothèses!$V$15,Hypothèses!$X$15,IF(U122&lt;=Hypothèses!$V$16,Hypothèses!$X$16,IF(U122&lt;=Hypothèses!$U$17,Hypothèses!$W$17,IF(U122&lt;=Hypothèses!$U$18,Hypothèses!$W$18,""))))))))))))</f>
        <v>#DIV/0!</v>
      </c>
      <c r="AR122" s="95" t="e">
        <f t="shared" ca="1" si="172"/>
        <v>#DIV/0!</v>
      </c>
      <c r="AS122" s="101" t="e">
        <f t="shared" si="224"/>
        <v>#N/A</v>
      </c>
      <c r="AT122" s="91" t="e">
        <f t="shared" si="143"/>
        <v>#N/A</v>
      </c>
      <c r="AU122" s="30" t="e">
        <f t="shared" si="202"/>
        <v>#N/A</v>
      </c>
      <c r="AV122" s="30" t="e">
        <f t="shared" si="203"/>
        <v>#N/A</v>
      </c>
      <c r="AW122" s="31" t="e">
        <f>IF(OR(Hypothèses!$B$4=17,Hypothèses!$B$4=18,Hypothèses!$B$4=19,Hypothèses!$B$4=20),
IF($D122="Pressio.",
IF(OR($E122=3,$E122=1,$E122=4),AV122,AU122),
IF($D122="Pénétro.",
IF(OR($E122=3,$E122=1,$E122=4),AV122,AU122))),IF($D122="Pressio.",
IF($E122=3,AV122,AU122),
IF($D122="Pénétro.",
IF($E122=4,AV122,AU122))))</f>
        <v>#N/A</v>
      </c>
      <c r="AX122" s="31" t="e">
        <f>(IF(OR(Hypothèses!$B$4=17,Hypothèses!$B$4=18,Hypothèses!$B$4=19,Hypothèses!$B$4=20),
IF($D122="Pressio.",
IF(OR($E122=3,$E122=1,$E122=4),(PI()*AX$12^2)/4*(AT122*$W122*1000)/($H122*$B$5),(PI()*AX$12^2)/4*(AT122*$W122*1000)/($G122*$B$5)),
IF($D122="Pénétro.",
IF(OR($E122=4,$E122=1,$E122=5),(PI()*AX$12^2)/4*(AT122*$W122*1000)/($H122*$B$5),(PI()*AX$12^2)/4*(AT122*$W122*1000)/($G122*$B$5)))),
IF($D122="Pressio.",
IF($E122=3,(PI()*AX$12^2)/4*(AT122*$W122*1000)/($H122*$B$5),(PI()*AX$12^2)/4*(AT122*$W122*1000)/($G122*$B$5)),
IF($D122="Pénétro.",
IF($E122=4,(PI()*AX$12^2)/4*(AT122*$W122*1000)/($H122*$B$5),(PI()*AX$12^2)/4*(AT122*$W122*1000)/($G122*$B$5))))))/10</f>
        <v>#N/A</v>
      </c>
      <c r="AY122" s="102" t="e">
        <f>(VLOOKUP($B$3,'Coeff EC7'!$T$39:$X$59,2,0)*AW122+VLOOKUP($B$3,'Coeff EC7'!$T$65:$X$85,2,0)*Model0.1C!AX122)/1.1</f>
        <v>#N/A</v>
      </c>
      <c r="AZ122" s="102" t="e">
        <f>(VLOOKUP($B$3,'Coeff EC7'!$T$39:$X$59,3,0)*AW122+VLOOKUP($B$3,'Coeff EC7'!$T$65:$X$85,3,0)*Model0.1C!AX122)/0.9</f>
        <v>#N/A</v>
      </c>
      <c r="BA122" s="102" t="e">
        <f t="shared" si="173"/>
        <v>#N/A</v>
      </c>
      <c r="BB122" s="102" t="e">
        <f t="shared" si="174"/>
        <v>#N/A</v>
      </c>
      <c r="BC122" s="414" t="e">
        <f>IF(BC121=0,0,IF(AND(AY122&gt;charge_ELS_quasi,AZ122&gt;Charge_ELS_freq,BA122&gt;charge_ELU,BB122&gt;charge_ELA,$B122&gt;NDC!$H$22-0.1+MIN(3*$BC$12,1.5)),0,1))</f>
        <v>#N/A</v>
      </c>
      <c r="BD122" s="86" t="b">
        <f t="shared" si="144"/>
        <v>0</v>
      </c>
      <c r="BE122" s="86">
        <f t="shared" si="175"/>
        <v>0.5</v>
      </c>
      <c r="BF122" s="86">
        <f t="shared" si="145"/>
        <v>0.5</v>
      </c>
      <c r="BG122" s="30" t="e">
        <f t="shared" ca="1" si="176"/>
        <v>#DIV/0!</v>
      </c>
      <c r="BH122" s="85" t="e">
        <f ca="1">IF(AN122&lt;=Hypothèses!$V$7,Hypothèses!$W$7,IF(AN122&lt;=Hypothèses!$V$8,Hypothèses!$W$8,IF(AN122&lt;=Hypothèses!$V$9,Hypothèses!$W$9,IF(AN122&lt;=Hypothèses!$V$10,Hypothèses!$W$10,IF(AN122&lt;=Hypothèses!$V$11,Hypothèses!$W$11,IF(AN122&lt;=Hypothèses!$V$12,Hypothèses!$W$12,IF(AN122&lt;=Hypothèses!$V$13,Hypothèses!$W$13,IF(AN122&lt;=Hypothèses!$V$14,Hypothèses!$W$14,IF(AN122&lt;=Hypothèses!$V$15,Hypothèses!$W$15,IF(AN122&lt;=Hypothèses!$V$16,Hypothèses!$W$16,IF(AN122&lt;=Hypothèses!$V$17,Hypothèses!$W$17,IF(AN122&lt;=Hypothèses!$V$18,Hypothèses!$W$18,""))))))))))))</f>
        <v>#DIV/0!</v>
      </c>
      <c r="BI122" s="87" t="e">
        <f t="shared" ca="1" si="218"/>
        <v>#DIV/0!</v>
      </c>
      <c r="BJ122" s="88" t="e">
        <f ca="1">IF(AN122&lt;=Hypothèses!$V$7,Hypothèses!$X$7,IF(AN122&lt;=Hypothèses!$V$8,Hypothèses!$X$8,IF(AN122&lt;=Hypothèses!$V$9,Hypothèses!$X$9,IF(AN122&lt;=Hypothèses!$V$10,Hypothèses!$X$10,IF(AN122&lt;=Hypothèses!$V$11,Hypothèses!$X$11,IF(AN122&lt;=Hypothèses!$V$12,Hypothèses!$X$12,IF(AN122&lt;=Hypothèses!$V$13,Hypothèses!$X$13,IF(AN122&lt;=Hypothèses!$V$14,Hypothèses!$X$14,IF(AN122&lt;=Hypothèses!$V$15,Hypothèses!$X$15,IF(AN122&lt;=Hypothèses!$V$16,Hypothèses!$X$16,IF(AN122&lt;=Hypothèses!$U$17,Hypothèses!$W$17,IF(AN122&lt;=Hypothèses!$U$18,Hypothèses!$W$18,""))))))))))))</f>
        <v>#DIV/0!</v>
      </c>
      <c r="BK122" s="95" t="e">
        <f t="shared" ca="1" si="177"/>
        <v>#DIV/0!</v>
      </c>
      <c r="BL122" s="101" t="e">
        <f t="shared" si="225"/>
        <v>#N/A</v>
      </c>
      <c r="BM122" s="91" t="e">
        <f t="shared" si="146"/>
        <v>#N/A</v>
      </c>
      <c r="BN122" s="30" t="e">
        <f t="shared" si="204"/>
        <v>#N/A</v>
      </c>
      <c r="BO122" s="30" t="e">
        <f t="shared" si="205"/>
        <v>#N/A</v>
      </c>
      <c r="BP122" s="31" t="e">
        <f>IF(OR(Hypothèses!$B$4=17,Hypothèses!$B$4=18,Hypothèses!$B$4=19,Hypothèses!$B$4=20),
IF($D122="Pressio.",
IF(OR($E122=3,$E122=1,$E122=4),BO122,BN122),
IF($D122="Pénétro.",
IF(OR($E122=3,$E122=1,$E122=4),BO122,BN122))),IF($D122="Pressio.",
IF($E122=3,BO122,BN122),
IF($D122="Pénétro.",
IF($E122=4,BO122,BN122))))</f>
        <v>#N/A</v>
      </c>
      <c r="BQ122" s="31" t="e">
        <f>(IF(OR(Hypothèses!$B$4=17,Hypothèses!$B$4=18,Hypothèses!$B$4=19,Hypothèses!$B$4=20),
IF($D122="Pressio.",
IF(OR($E122=3,$E122=1,$E122=4),(PI()*BQ$12^2)/4*(BM122*$W122*1000)/($H122*$B$5),(PI()*BQ$12^2)/4*(BM122*$W122*1000)/($G122*$B$5)),
IF($D122="Pénétro.",
IF(OR($E122=4,$E122=1,$E122=5),(PI()*BQ$12^2)/4*(BM122*$W122*1000)/($H122*$B$5),(PI()*BQ$12^2)/4*(BM122*$W122*1000)/($G122*$B$5)))),
IF($D122="Pressio.",
IF($E122=3,(PI()*BQ$12^2)/4*(BM122*$W122*1000)/($H122*$B$5),(PI()*BQ$12^2)/4*(BM122*$W122*1000)/($G122*$B$5)),
IF($D122="Pénétro.",
IF($E122=4,(PI()*BQ$12^2)/4*(BM122*$W122*1000)/($H122*$B$5),(PI()*BQ$12^2)/4*(BM122*$W122*1000)/($G122*$B$5))))))/10</f>
        <v>#N/A</v>
      </c>
      <c r="BR122" s="102" t="e">
        <f>(VLOOKUP($B$3,'Coeff EC7'!$T$39:$X$59,2,0)*BP122+VLOOKUP($B$3,'Coeff EC7'!$T$65:$X$85,2,0)*Model0.1C!BQ122)/1.1</f>
        <v>#N/A</v>
      </c>
      <c r="BS122" s="102" t="e">
        <f>(VLOOKUP($B$3,'Coeff EC7'!$T$39:$X$59,3,0)*BP122+VLOOKUP($B$3,'Coeff EC7'!$T$65:$X$85,3,0)*Model0.1C!BQ122)/0.9</f>
        <v>#N/A</v>
      </c>
      <c r="BT122" s="102" t="e">
        <f t="shared" si="178"/>
        <v>#N/A</v>
      </c>
      <c r="BU122" s="102" t="e">
        <f t="shared" si="179"/>
        <v>#N/A</v>
      </c>
      <c r="BV122" s="414" t="e">
        <f>IF(BV121=0,0,IF(AND(BR122&gt;charge_ELS_quasi,BS122&gt;Charge_ELS_freq,BT122&gt;charge_ELU,BU122&gt;charge_ELA,$B122&gt;NDC!$H$22-0.1+MIN(3*$BV$12,1.5)),0,1))</f>
        <v>#N/A</v>
      </c>
      <c r="BW122" s="86" t="b">
        <f t="shared" si="147"/>
        <v>0</v>
      </c>
      <c r="BX122" s="86">
        <f t="shared" si="148"/>
        <v>0.5</v>
      </c>
      <c r="BY122" s="86">
        <f t="shared" si="149"/>
        <v>0.5</v>
      </c>
      <c r="BZ122" s="30" t="e">
        <f t="shared" ca="1" si="180"/>
        <v>#DIV/0!</v>
      </c>
      <c r="CA122" s="85" t="e">
        <f ca="1">IF(BG122&lt;=Hypothèses!$V$7,Hypothèses!$W$7,IF(BG122&lt;=Hypothèses!$V$8,Hypothèses!$W$8,IF(BG122&lt;=Hypothèses!$V$9,Hypothèses!$W$9,IF(BG122&lt;=Hypothèses!$V$10,Hypothèses!$W$10,IF(BG122&lt;=Hypothèses!$V$11,Hypothèses!$W$11,IF(BG122&lt;=Hypothèses!$V$12,Hypothèses!$W$12,IF(BG122&lt;=Hypothèses!$V$13,Hypothèses!$W$13,IF(BG122&lt;=Hypothèses!$V$14,Hypothèses!$W$14,IF(BG122&lt;=Hypothèses!$V$15,Hypothèses!$W$15,IF(BG122&lt;=Hypothèses!$V$16,Hypothèses!$W$16,IF(BG122&lt;=Hypothèses!$V$17,Hypothèses!$W$17,IF(BG122&lt;=Hypothèses!$V$18,Hypothèses!$W$18,""))))))))))))</f>
        <v>#DIV/0!</v>
      </c>
      <c r="CB122" s="87" t="e">
        <f t="shared" ca="1" si="219"/>
        <v>#DIV/0!</v>
      </c>
      <c r="CC122" s="88" t="e">
        <f ca="1">IF(BG122&lt;=Hypothèses!$V$7,Hypothèses!$X$7,IF(BG122&lt;=Hypothèses!$V$8,Hypothèses!$X$8,IF(BG122&lt;=Hypothèses!$V$9,Hypothèses!$X$9,IF(BG122&lt;=Hypothèses!$V$10,Hypothèses!$X$10,IF(BG122&lt;=Hypothèses!$V$11,Hypothèses!$X$11,IF(BG122&lt;=Hypothèses!$V$12,Hypothèses!$X$12,IF(BG122&lt;=Hypothèses!$V$13,Hypothèses!$X$13,IF(BG122&lt;=Hypothèses!$V$14,Hypothèses!$X$14,IF(BG122&lt;=Hypothèses!$V$15,Hypothèses!$X$15,IF(BG122&lt;=Hypothèses!$V$16,Hypothèses!$X$16,IF(BG122&lt;=Hypothèses!$U$17,Hypothèses!$W$17,IF(BG122&lt;=Hypothèses!$U$18,Hypothèses!$W$18,""))))))))))))</f>
        <v>#DIV/0!</v>
      </c>
      <c r="CD122" s="95" t="e">
        <f t="shared" ca="1" si="181"/>
        <v>#DIV/0!</v>
      </c>
      <c r="CE122" s="101" t="e">
        <f t="shared" si="226"/>
        <v>#N/A</v>
      </c>
      <c r="CF122" s="91" t="e">
        <f t="shared" si="150"/>
        <v>#N/A</v>
      </c>
      <c r="CG122" s="30" t="e">
        <f t="shared" si="206"/>
        <v>#N/A</v>
      </c>
      <c r="CH122" s="30" t="e">
        <f t="shared" si="207"/>
        <v>#N/A</v>
      </c>
      <c r="CI122" s="31" t="e">
        <f>IF(OR(Hypothèses!$B$4=17,Hypothèses!$B$4=18,Hypothèses!$B$4=19,Hypothèses!$B$4=20),
IF($D122="Pressio.",
IF(OR($E122=3,$E122=1,$E122=4),CH122,CG122),
IF($D122="Pénétro.",
IF(OR($E122=3,$E122=1,$E122=4),CH122,CG122))),IF($D122="Pressio.",
IF($E122=3,CH122,CG122),
IF($D122="Pénétro.",
IF($E122=4,CH122,CG122))))</f>
        <v>#N/A</v>
      </c>
      <c r="CJ122" s="31" t="e">
        <f>(IF(OR(Hypothèses!$B$4=17,Hypothèses!$B$4=18,Hypothèses!$B$4=19,Hypothèses!$B$4=20),
IF($D122="Pressio.",
IF(OR($E122=3,$E122=1,$E122=4),(PI()*CJ$12^2)/4*(CF122*$W122*1000)/($H122*$B$5),(PI()*CJ$12^2)/4*(CF122*$W122*1000)/($G122*$B$5)),
IF($D122="Pénétro.",
IF(OR($E122=4,$E122=1,$E122=5),(PI()*CJ$12^2)/4*(CF122*$W122*1000)/($H122*$B$5),(PI()*CJ$12^2)/4*(CF122*$W122*1000)/($G122*$B$5)))),
IF($D122="Pressio.",
IF($E122=3,(PI()*CJ$12^2)/4*(CF122*$W122*1000)/($H122*$B$5),(PI()*CJ$12^2)/4*(CF122*$W122*1000)/($G122*$B$5)),
IF($D122="Pénétro.",
IF($E122=4,(PI()*CJ$12^2)/4*(CF122*$W122*1000)/($H122*$B$5),(PI()*CJ$12^2)/4*(CF122*$W122*1000)/($G122*$B$5))))))/10</f>
        <v>#N/A</v>
      </c>
      <c r="CK122" s="102" t="e">
        <f>(VLOOKUP($B$3,'Coeff EC7'!$T$39:$X$59,2,0)*CI122+VLOOKUP($B$3,'Coeff EC7'!$T$65:$X$85,2,0)*Model0.1C!CJ122)/1.1</f>
        <v>#N/A</v>
      </c>
      <c r="CL122" s="102" t="e">
        <f>(VLOOKUP($B$3,'Coeff EC7'!$T$39:$X$59,3,0)*CI122+VLOOKUP($B$3,'Coeff EC7'!$T$65:$X$85,3,0)*Model0.1C!CJ122)/0.9</f>
        <v>#N/A</v>
      </c>
      <c r="CM122" s="102" t="e">
        <f t="shared" si="182"/>
        <v>#N/A</v>
      </c>
      <c r="CN122" s="102" t="e">
        <f t="shared" si="183"/>
        <v>#N/A</v>
      </c>
      <c r="CO122" s="414" t="e">
        <f>IF(CO121=0,0,IF(AND(CK122&gt;charge_ELS_quasi,CL122&gt;Charge_ELS_freq,CM122&gt;charge_ELU,CN122&gt;charge_ELA,$B122&gt;NDC!$H$22-0.1+MIN(3*$CO$12,1.5)),0,1))</f>
        <v>#N/A</v>
      </c>
      <c r="CP122" s="86" t="b">
        <f t="shared" si="151"/>
        <v>0</v>
      </c>
      <c r="CQ122" s="86">
        <f t="shared" si="152"/>
        <v>0.5</v>
      </c>
      <c r="CR122" s="86">
        <f t="shared" si="153"/>
        <v>0.5</v>
      </c>
      <c r="CS122" s="30" t="e">
        <f t="shared" ca="1" si="184"/>
        <v>#DIV/0!</v>
      </c>
      <c r="CT122" s="85" t="e">
        <f ca="1">IF(BZ122&lt;=Hypothèses!$V$7,Hypothèses!$W$7,IF(BZ122&lt;=Hypothèses!$V$8,Hypothèses!$W$8,IF(BZ122&lt;=Hypothèses!$V$9,Hypothèses!$W$9,IF(BZ122&lt;=Hypothèses!$V$10,Hypothèses!$W$10,IF(BZ122&lt;=Hypothèses!$V$11,Hypothèses!$W$11,IF(BZ122&lt;=Hypothèses!$V$12,Hypothèses!$W$12,IF(BZ122&lt;=Hypothèses!$V$13,Hypothèses!$W$13,IF(BZ122&lt;=Hypothèses!$V$14,Hypothèses!$W$14,IF(BZ122&lt;=Hypothèses!$V$15,Hypothèses!$W$15,IF(BZ122&lt;=Hypothèses!$V$16,Hypothèses!$W$16,IF(BZ122&lt;=Hypothèses!$V$17,Hypothèses!$W$17,IF(BZ122&lt;=Hypothèses!$V$18,Hypothèses!$W$18,""))))))))))))</f>
        <v>#DIV/0!</v>
      </c>
      <c r="CU122" s="87" t="e">
        <f t="shared" ca="1" si="220"/>
        <v>#DIV/0!</v>
      </c>
      <c r="CV122" s="88" t="e">
        <f ca="1">IF(BZ122&lt;=Hypothèses!$V$7,Hypothèses!$X$7,IF(BZ122&lt;=Hypothèses!$V$8,Hypothèses!$X$8,IF(BZ122&lt;=Hypothèses!$V$9,Hypothèses!$X$9,IF(BZ122&lt;=Hypothèses!$V$10,Hypothèses!$X$10,IF(BZ122&lt;=Hypothèses!$V$11,Hypothèses!$X$11,IF(BZ122&lt;=Hypothèses!$V$12,Hypothèses!$X$12,IF(BZ122&lt;=Hypothèses!$V$13,Hypothèses!$X$13,IF(BZ122&lt;=Hypothèses!$V$14,Hypothèses!$X$14,IF(BZ122&lt;=Hypothèses!$V$15,Hypothèses!$X$15,IF(BZ122&lt;=Hypothèses!$V$16,Hypothèses!$X$16,IF(BZ122&lt;=Hypothèses!$U$17,Hypothèses!$W$17,IF(BZ122&lt;=Hypothèses!$U$18,Hypothèses!$W$18,""))))))))))))</f>
        <v>#DIV/0!</v>
      </c>
      <c r="CW122" s="95" t="e">
        <f t="shared" ca="1" si="185"/>
        <v>#DIV/0!</v>
      </c>
      <c r="CX122" s="101" t="e">
        <f t="shared" si="227"/>
        <v>#N/A</v>
      </c>
      <c r="CY122" s="91" t="e">
        <f t="shared" si="154"/>
        <v>#N/A</v>
      </c>
      <c r="CZ122" s="30" t="e">
        <f t="shared" si="208"/>
        <v>#N/A</v>
      </c>
      <c r="DA122" s="30" t="e">
        <f t="shared" si="209"/>
        <v>#N/A</v>
      </c>
      <c r="DB122" s="31" t="e">
        <f>IF(OR(Hypothèses!$B$4=17,Hypothèses!$B$4=18,Hypothèses!$B$4=19,Hypothèses!$B$4=20),
IF($D122="Pressio.",
IF(OR($E122=3,$E122=1,$E122=4),DA122,CZ122),
IF($D122="Pénétro.",
IF(OR($E122=3,$E122=1,$E122=4),DA122,CZ122))),IF($D122="Pressio.",
IF($E122=3,DA122,CZ122),
IF($D122="Pénétro.",
IF($E122=4,DA122,CZ122))))</f>
        <v>#N/A</v>
      </c>
      <c r="DC122" s="31" t="e">
        <f>(IF(OR(Hypothèses!$B$4=17,Hypothèses!$B$4=18,Hypothèses!$B$4=19,Hypothèses!$B$4=20),
IF($D122="Pressio.",
IF(OR($E122=3,$E122=1,$E122=4),(PI()*DC$12^2)/4*(CY122*$W122*1000)/($H122*$B$5),(PI()*DC$12^2)/4*(CY122*$W122*1000)/($G122*$B$5)),
IF($D122="Pénétro.",
IF(OR($E122=4,$E122=1,$E122=5),(PI()*DC$12^2)/4*(CY122*$W122*1000)/($H122*$B$5),(PI()*DC$12^2)/4*(CY122*$W122*1000)/($G122*$B$5)))),
IF($D122="Pressio.",
IF($E122=3,(PI()*DC$12^2)/4*(CY122*$W122*1000)/($H122*$B$5),(PI()*DC$12^2)/4*(CY122*$W122*1000)/($G122*$B$5)),
IF($D122="Pénétro.",
IF($E122=4,(PI()*DC$12^2)/4*(CY122*$W122*1000)/($H122*$B$5),(PI()*DC$12^2)/4*(CY122*$W122*1000)/($G122*$B$5))))))/10</f>
        <v>#N/A</v>
      </c>
      <c r="DD122" s="102" t="e">
        <f>(VLOOKUP($B$3,'Coeff EC7'!$T$39:$X$59,2,0)*DB122+VLOOKUP($B$3,'Coeff EC7'!$T$65:$X$85,2,0)*Model0.1C!DC122)/1.1</f>
        <v>#N/A</v>
      </c>
      <c r="DE122" s="102" t="e">
        <f>(VLOOKUP($B$3,'Coeff EC7'!$T$39:$X$59,3,0)*DB122+VLOOKUP($B$3,'Coeff EC7'!$T$65:$X$85,3,0)*Model0.1C!DC122)/0.9</f>
        <v>#N/A</v>
      </c>
      <c r="DF122" s="102" t="e">
        <f t="shared" si="186"/>
        <v>#N/A</v>
      </c>
      <c r="DG122" s="102" t="e">
        <f t="shared" si="187"/>
        <v>#N/A</v>
      </c>
      <c r="DH122" s="414" t="e">
        <f>IF(DH121=0,0,IF(AND(DD122&gt;charge_ELS_quasi,DE122&gt;Charge_ELS_freq,DF122&gt;charge_ELU,DG122&gt;charge_ELA,$B122&gt;NDC!$H$22-0.1+MIN(3*$DH$12,1.5)),0,1))</f>
        <v>#N/A</v>
      </c>
      <c r="DI122" s="86" t="b">
        <f t="shared" si="155"/>
        <v>0</v>
      </c>
      <c r="DJ122" s="86">
        <f t="shared" si="156"/>
        <v>0.5</v>
      </c>
      <c r="DK122" s="86">
        <f t="shared" si="157"/>
        <v>0.5</v>
      </c>
      <c r="DL122" s="30" t="e">
        <f t="shared" ca="1" si="188"/>
        <v>#DIV/0!</v>
      </c>
      <c r="DM122" s="85" t="e">
        <f ca="1">IF(CS122&lt;=Hypothèses!$V$7,Hypothèses!$W$7,IF(CS122&lt;=Hypothèses!$V$8,Hypothèses!$W$8,IF(CS122&lt;=Hypothèses!$V$9,Hypothèses!$W$9,IF(CS122&lt;=Hypothèses!$V$10,Hypothèses!$W$10,IF(CS122&lt;=Hypothèses!$V$11,Hypothèses!$W$11,IF(CS122&lt;=Hypothèses!$V$12,Hypothèses!$W$12,IF(CS122&lt;=Hypothèses!$V$13,Hypothèses!$W$13,IF(CS122&lt;=Hypothèses!$V$14,Hypothèses!$W$14,IF(CS122&lt;=Hypothèses!$V$15,Hypothèses!$W$15,IF(CS122&lt;=Hypothèses!$V$16,Hypothèses!$W$16,IF(CS122&lt;=Hypothèses!$V$17,Hypothèses!$W$17,IF(CS122&lt;=Hypothèses!$V$18,Hypothèses!$W$18,""))))))))))))</f>
        <v>#DIV/0!</v>
      </c>
      <c r="DN122" s="87" t="e">
        <f t="shared" ca="1" si="221"/>
        <v>#DIV/0!</v>
      </c>
      <c r="DO122" s="88" t="e">
        <f ca="1">IF(CS122&lt;=Hypothèses!$V$7,Hypothèses!$X$7,IF(CS122&lt;=Hypothèses!$V$8,Hypothèses!$X$8,IF(CS122&lt;=Hypothèses!$V$9,Hypothèses!$X$9,IF(CS122&lt;=Hypothèses!$V$10,Hypothèses!$X$10,IF(CS122&lt;=Hypothèses!$V$11,Hypothèses!$X$11,IF(CS122&lt;=Hypothèses!$V$12,Hypothèses!$X$12,IF(CS122&lt;=Hypothèses!$V$13,Hypothèses!$X$13,IF(CS122&lt;=Hypothèses!$V$14,Hypothèses!$X$14,IF(CS122&lt;=Hypothèses!$V$15,Hypothèses!$X$15,IF(CS122&lt;=Hypothèses!$V$16,Hypothèses!$X$16,IF(CS122&lt;=Hypothèses!$U$17,Hypothèses!$W$17,IF(CS122&lt;=Hypothèses!$U$18,Hypothèses!$W$18,""))))))))))))</f>
        <v>#DIV/0!</v>
      </c>
      <c r="DP122" s="95" t="e">
        <f t="shared" ca="1" si="189"/>
        <v>#DIV/0!</v>
      </c>
      <c r="DQ122" s="101" t="e">
        <f t="shared" si="228"/>
        <v>#N/A</v>
      </c>
      <c r="DR122" s="91" t="e">
        <f t="shared" si="158"/>
        <v>#N/A</v>
      </c>
      <c r="DS122" s="30" t="e">
        <f t="shared" si="210"/>
        <v>#N/A</v>
      </c>
      <c r="DT122" s="30" t="e">
        <f t="shared" si="211"/>
        <v>#N/A</v>
      </c>
      <c r="DU122" s="31" t="e">
        <f>IF(OR(Hypothèses!$B$4=17,Hypothèses!$B$4=18,Hypothèses!$B$4=19,Hypothèses!$B$4=20),
IF($D122="Pressio.",
IF(OR($E122=3,$E122=1,$E122=4),DT122,DS122),
IF($D122="Pénétro.",
IF(OR($E122=3,$E122=1,$E122=4),DT122,DS122))),IF($D122="Pressio.",
IF($E122=3,DT122,DS122),
IF($D122="Pénétro.",
IF($E122=4,DT122,DS122))))</f>
        <v>#N/A</v>
      </c>
      <c r="DV122" s="31" t="e">
        <f>(IF(OR(Hypothèses!$B$4=17,Hypothèses!$B$4=18,Hypothèses!$B$4=19,Hypothèses!$B$4=20),
IF($D122="Pressio.",
IF(OR($E122=3,$E122=1,$E122=4),(PI()*DV$12^2)/4*(DR122*$W122*1000)/($H122*$B$5),(PI()*DV$12^2)/4*(DR122*$W122*1000)/($G122*$B$5)),
IF($D122="Pénétro.",
IF(OR($E122=4,$E122=1,$E122=5),(PI()*DV$12^2)/4*(DR122*$W122*1000)/($H122*$B$5),(PI()*DV$12^2)/4*(DR122*$W122*1000)/($G122*$B$5)))),
IF($D122="Pressio.",
IF($E122=3,(PI()*DV$12^2)/4*(DR122*$W122*1000)/($H122*$B$5),(PI()*DV$12^2)/4*(DR122*$W122*1000)/($G122*$B$5)),
IF($D122="Pénétro.",
IF($E122=4,(PI()*DV$12^2)/4*(DR122*$W122*1000)/($H122*$B$5),(PI()*DV$12^2)/4*(DR122*$W122*1000)/($G122*$B$5))))))/10</f>
        <v>#N/A</v>
      </c>
      <c r="DW122" s="102" t="e">
        <f>(VLOOKUP($B$3,'Coeff EC7'!$T$39:$X$59,2,0)*DU122+VLOOKUP($B$3,'Coeff EC7'!$T$65:$X$85,2,0)*Model0.1C!DV122)/1.1</f>
        <v>#N/A</v>
      </c>
      <c r="DX122" s="102" t="e">
        <f>(VLOOKUP($B$3,'Coeff EC7'!$T$39:$X$59,3,0)*DU122+VLOOKUP($B$3,'Coeff EC7'!$T$65:$X$85,3,0)*Model0.1C!DV122)/0.9</f>
        <v>#N/A</v>
      </c>
      <c r="DY122" s="102" t="e">
        <f t="shared" si="190"/>
        <v>#N/A</v>
      </c>
      <c r="DZ122" s="102" t="e">
        <f t="shared" si="191"/>
        <v>#N/A</v>
      </c>
      <c r="EA122" s="414" t="e">
        <f>IF(EA121=0,0,IF(AND(DW122&gt;charge_ELS_quasi,DX122&gt;Charge_ELS_freq,DY122&gt;charge_ELU,DZ122&gt;charge_ELA,$B122&gt;NDC!$H$22-0.1+MIN(3*$EA$12,1.5)),0,1))</f>
        <v>#N/A</v>
      </c>
      <c r="EB122" s="86" t="b">
        <f t="shared" si="159"/>
        <v>0</v>
      </c>
      <c r="EC122" s="418">
        <f t="shared" si="160"/>
        <v>0.51</v>
      </c>
      <c r="ED122" s="86">
        <f t="shared" si="161"/>
        <v>0.51</v>
      </c>
      <c r="EE122" s="30" t="e">
        <f t="shared" ca="1" si="192"/>
        <v>#DIV/0!</v>
      </c>
      <c r="EF122" s="85" t="e">
        <f ca="1">IF(DL122&lt;=Hypothèses!$V$7,Hypothèses!$W$7,IF(DL122&lt;=Hypothèses!$V$8,Hypothèses!$W$8,IF(DL122&lt;=Hypothèses!$V$9,Hypothèses!$W$9,IF(DL122&lt;=Hypothèses!$V$10,Hypothèses!$W$10,IF(DL122&lt;=Hypothèses!$V$11,Hypothèses!$W$11,IF(DL122&lt;=Hypothèses!$V$12,Hypothèses!$W$12,IF(DL122&lt;=Hypothèses!$V$13,Hypothèses!$W$13,IF(DL122&lt;=Hypothèses!$V$14,Hypothèses!$W$14,IF(DL122&lt;=Hypothèses!$V$15,Hypothèses!$W$15,IF(DL122&lt;=Hypothèses!$V$16,Hypothèses!$W$16,IF(DL122&lt;=Hypothèses!$V$17,Hypothèses!$W$17,IF(DL122&lt;=Hypothèses!$V$18,Hypothèses!$W$18,""))))))))))))</f>
        <v>#DIV/0!</v>
      </c>
      <c r="EG122" s="87" t="e">
        <f t="shared" ca="1" si="222"/>
        <v>#DIV/0!</v>
      </c>
      <c r="EH122" s="88" t="e">
        <f ca="1">IF(DL122&lt;=Hypothèses!$V$7,Hypothèses!$X$7,IF(DL122&lt;=Hypothèses!$V$8,Hypothèses!$X$8,IF(DL122&lt;=Hypothèses!$V$9,Hypothèses!$X$9,IF(DL122&lt;=Hypothèses!$V$10,Hypothèses!$X$10,IF(DL122&lt;=Hypothèses!$V$11,Hypothèses!$X$11,IF(DL122&lt;=Hypothèses!$V$12,Hypothèses!$X$12,IF(DL122&lt;=Hypothèses!$V$13,Hypothèses!$X$13,IF(DL122&lt;=Hypothèses!$V$14,Hypothèses!$X$14,IF(DL122&lt;=Hypothèses!$V$15,Hypothèses!$X$15,IF(DL122&lt;=Hypothèses!$V$16,Hypothèses!$X$16,IF(DL122&lt;=Hypothèses!$U$17,Hypothèses!$W$17,IF(DL122&lt;=Hypothèses!$U$18,Hypothèses!$W$18,""))))))))))))</f>
        <v>#DIV/0!</v>
      </c>
      <c r="EI122" s="95" t="e">
        <f t="shared" ca="1" si="193"/>
        <v>#DIV/0!</v>
      </c>
      <c r="EJ122" s="101" t="e">
        <f t="shared" si="229"/>
        <v>#N/A</v>
      </c>
      <c r="EK122" s="91" t="e">
        <f t="shared" si="162"/>
        <v>#N/A</v>
      </c>
      <c r="EL122" s="30" t="e">
        <f t="shared" si="212"/>
        <v>#N/A</v>
      </c>
      <c r="EM122" s="30" t="e">
        <f t="shared" si="213"/>
        <v>#N/A</v>
      </c>
      <c r="EN122" s="31" t="e">
        <f>IF(OR(Hypothèses!$B$4=17,Hypothèses!$B$4=18,Hypothèses!$B$4=19,Hypothèses!$B$4=20),
IF($D122="Pressio.",
IF(OR($E122=3,$E122=1,$E122=4),EM122,EL122),
IF($D122="Pénétro.",
IF(OR($E122=3,$E122=1,$E122=4),EM122,EL122))),IF($D122="Pressio.",
IF($E122=3,EM122,EL122),
IF($D122="Pénétro.",
IF($E122=4,EM122,EL122))))</f>
        <v>#N/A</v>
      </c>
      <c r="EO122" s="31" t="e">
        <f>(IF(OR(Hypothèses!$B$4=17,Hypothèses!$B$4=18,Hypothèses!$B$4=19,Hypothèses!$B$4=20),
IF($D122="Pressio.",
IF(OR($E122=3,$E122=1,$E122=4),(PI()*EO$12^2)/4*(EK122*$W122*1000)/($H122*$B$5),(PI()*EO$12^2)/4*(EK122*$W122*1000)/($G122*$B$5)),
IF($D122="Pénétro.",
IF(OR($E122=4,$E122=1,$E122=5),(PI()*EO$12^2)/4*(EK122*$W122*1000)/($H122*$B$5),(PI()*EO$12^2)/4*(EK122*$W122*1000)/($G122*$B$5)))),
IF($D122="Pressio.",
IF($E122=3,(PI()*EO$12^2)/4*(EK122*$W122*1000)/($H122*$B$5),(PI()*EO$12^2)/4*(EK122*$W122*1000)/($G122*$B$5)),
IF($D122="Pénétro.",
IF($E122=4,(PI()*EO$12^2)/4*(EK122*$W122*1000)/($H122*$B$5),(PI()*EO$12^2)/4*(EK122*$W122*1000)/($G122*$B$5))))))/10</f>
        <v>#N/A</v>
      </c>
      <c r="EP122" s="102" t="e">
        <f>(VLOOKUP($B$3,'Coeff EC7'!$T$39:$X$59,2,0)*EN122+VLOOKUP($B$3,'Coeff EC7'!$T$65:$X$85,2,0)*Model0.1C!EO122)/1.1</f>
        <v>#N/A</v>
      </c>
      <c r="EQ122" s="102" t="e">
        <f>(VLOOKUP($B$3,'Coeff EC7'!$T$39:$X$59,3,0)*EN122+VLOOKUP($B$3,'Coeff EC7'!$T$65:$X$85,3,0)*Model0.1C!EO122)/0.9</f>
        <v>#N/A</v>
      </c>
      <c r="ER122" s="102" t="e">
        <f t="shared" si="194"/>
        <v>#N/A</v>
      </c>
      <c r="ES122" s="102" t="e">
        <f t="shared" si="195"/>
        <v>#N/A</v>
      </c>
      <c r="ET122" s="414" t="e">
        <f>IF(ET121=0,0,IF(AND(EP122&gt;charge_ELS_quasi,EQ122&gt;Charge_ELS_freq,ER122&gt;charge_ELU,ES122&gt;charge_ELA,$B122&gt;NDC!$H$22-0.1+MIN(3*$ET$12,1.5)),0,1))</f>
        <v>#N/A</v>
      </c>
      <c r="EU122" s="86" t="b">
        <f t="shared" si="163"/>
        <v>0</v>
      </c>
      <c r="EV122" s="86">
        <f t="shared" si="164"/>
        <v>0.61</v>
      </c>
      <c r="EW122" s="86">
        <f t="shared" si="165"/>
        <v>0.61</v>
      </c>
      <c r="EX122" s="30" t="e">
        <f t="shared" ca="1" si="196"/>
        <v>#DIV/0!</v>
      </c>
      <c r="EY122" s="85" t="e">
        <f ca="1">IF(EE122&lt;=Hypothèses!$V$7,Hypothèses!$W$7,IF(EE122&lt;=Hypothèses!$V$8,Hypothèses!$W$8,IF(EE122&lt;=Hypothèses!$V$9,Hypothèses!$W$9,IF(EE122&lt;=Hypothèses!$V$10,Hypothèses!$W$10,IF(EE122&lt;=Hypothèses!$V$11,Hypothèses!$W$11,IF(EE122&lt;=Hypothèses!$V$12,Hypothèses!$W$12,IF(EE122&lt;=Hypothèses!$V$13,Hypothèses!$W$13,IF(EE122&lt;=Hypothèses!$V$14,Hypothèses!$W$14,IF(EE122&lt;=Hypothèses!$V$15,Hypothèses!$W$15,IF(EE122&lt;=Hypothèses!$V$16,Hypothèses!$W$16,IF(EE122&lt;=Hypothèses!$V$17,Hypothèses!$W$17,IF(EE122&lt;=Hypothèses!$V$18,Hypothèses!$W$18,""))))))))))))</f>
        <v>#DIV/0!</v>
      </c>
      <c r="EZ122" s="87" t="e">
        <f t="shared" ca="1" si="223"/>
        <v>#DIV/0!</v>
      </c>
      <c r="FA122" s="88" t="e">
        <f ca="1">IF(EE122&lt;=Hypothèses!$V$7,Hypothèses!$X$7,IF(EE122&lt;=Hypothèses!$V$8,Hypothèses!$X$8,IF(EE122&lt;=Hypothèses!$V$9,Hypothèses!$X$9,IF(EE122&lt;=Hypothèses!$V$10,Hypothèses!$X$10,IF(EE122&lt;=Hypothèses!$V$11,Hypothèses!$X$11,IF(EE122&lt;=Hypothèses!$V$12,Hypothèses!$X$12,IF(EE122&lt;=Hypothèses!$V$13,Hypothèses!$X$13,IF(EE122&lt;=Hypothèses!$V$14,Hypothèses!$X$14,IF(EE122&lt;=Hypothèses!$V$15,Hypothèses!$X$15,IF(EE122&lt;=Hypothèses!$V$16,Hypothèses!$X$16,IF(EE122&lt;=Hypothèses!$U$17,Hypothèses!$W$17,IF(EE122&lt;=Hypothèses!$U$18,Hypothèses!$W$18,""))))))))))))</f>
        <v>#DIV/0!</v>
      </c>
      <c r="FB122" s="95" t="e">
        <f t="shared" ca="1" si="197"/>
        <v>#DIV/0!</v>
      </c>
      <c r="FC122" s="101" t="e">
        <f t="shared" si="230"/>
        <v>#N/A</v>
      </c>
      <c r="FD122" s="91" t="e">
        <f t="shared" si="166"/>
        <v>#N/A</v>
      </c>
      <c r="FE122" s="30" t="e">
        <f t="shared" si="214"/>
        <v>#N/A</v>
      </c>
      <c r="FF122" s="30" t="e">
        <f t="shared" si="215"/>
        <v>#N/A</v>
      </c>
      <c r="FG122" s="31" t="e">
        <f>IF(OR(Hypothèses!$B$4=17,Hypothèses!$B$4=18,Hypothèses!$B$4=19,Hypothèses!$B$4=20),
IF($D122="Pressio.",
IF(OR($E122=3,$E122=1,$E122=4),FF122,FE122),
IF($D122="Pénétro.",
IF(OR($E122=3,$E122=1,$E122=4),FF122,FE122))),IF($D122="Pressio.",
IF($E122=3,FF122,FE122),
IF($D122="Pénétro.",
IF($E122=4,FF122,FE122))))</f>
        <v>#N/A</v>
      </c>
      <c r="FH122" s="31" t="e">
        <f>(IF(OR(Hypothèses!$B$4=17,Hypothèses!$B$4=18,Hypothèses!$B$4=19,Hypothèses!$B$4=20),
IF($D122="Pressio.",
IF(OR($E122=3,$E122=1,$E122=4),(PI()*FH$12^2)/4*(FD122*$W122*1000)/($H122*$B$5),(PI()*FH$12^2)/4*(FD122*$W122*1000)/($G122*$B$5)),
IF($D122="Pénétro.",
IF(OR($E122=4,$E122=1,$E122=5),(PI()*FH$12^2)/4*(FD122*$W122*1000)/($H122*$B$5),(PI()*FH$12^2)/4*(FD122*$W122*1000)/($G122*$B$5)))),
IF($D122="Pressio.",
IF($E122=3,(PI()*FH$12^2)/4*(FD122*$W122*1000)/($H122*$B$5),(PI()*FH$12^2)/4*(FD122*$W122*1000)/($G122*$B$5)),
IF($D122="Pénétro.",
IF($E122=4,(PI()*FH$12^2)/4*(FD122*$W122*1000)/($H122*$B$5),(PI()*FH$12^2)/4*(FD122*$W122*1000)/($G122*$B$5))))))/10</f>
        <v>#N/A</v>
      </c>
      <c r="FI122" s="102" t="e">
        <f>(VLOOKUP($B$3,'Coeff EC7'!$T$39:$X$59,2,0)*FG122+VLOOKUP($B$3,'Coeff EC7'!$T$65:$X$85,2,0)*Model0.1C!FH122)/1.1</f>
        <v>#N/A</v>
      </c>
      <c r="FJ122" s="102" t="e">
        <f>(VLOOKUP($B$3,'Coeff EC7'!$T$39:$X$59,3,0)*FG122+VLOOKUP($B$3,'Coeff EC7'!$T$65:$X$85,3,0)*Model0.1C!FH122)/0.9</f>
        <v>#N/A</v>
      </c>
      <c r="FK122" s="102" t="e">
        <f t="shared" si="198"/>
        <v>#N/A</v>
      </c>
      <c r="FL122" s="102" t="e">
        <f t="shared" si="199"/>
        <v>#N/A</v>
      </c>
      <c r="FM122" s="414" t="e">
        <f>IF(FM121=0,0,IF(AND(FI122&gt;charge_ELS_quasi,FJ122&gt;Charge_ELS_freq,FK122&gt;charge_ELU,FL122&gt;charge_ELA,$B122&gt;NDC!$H$22-0.1+MIN(3*$FM$12,1.5)),0,1))</f>
        <v>#N/A</v>
      </c>
    </row>
    <row r="123" spans="1:169">
      <c r="A123" s="96">
        <f t="shared" si="167"/>
        <v>89.000000000000625</v>
      </c>
      <c r="B123" s="97">
        <v>11</v>
      </c>
      <c r="C123" s="81">
        <f>IF(B123&lt;=Hypothèses!$C$7,Hypothèses!$A$7,IF(B123&lt;=Hypothèses!$C$8,Hypothèses!$A$8,IF(B123&lt;=Hypothèses!$C$9,Hypothèses!$A$9,IF(B123&lt;=Hypothèses!$C$10,Hypothèses!$A$10,IF(B123&lt;=Hypothèses!$C$11,Hypothèses!$A$11,IF(B123&lt;=Hypothèses!$C$12,Hypothèses!$A$12,IF(B123&lt;=Hypothèses!$C$13,Hypothèses!$A$13,IF(B123&lt;=Hypothèses!$C$14,Hypothèses!$A$14,IF(B123&lt;=Hypothèses!$C$15,Hypothèses!$A$15,IF(B123&lt;=Hypothèses!$C$16,Hypothèses!$A$16,IF(B123&lt;=Hypothèses!$C$17,Hypothèses!$A$17,IF(B123&lt;=Hypothèses!$C$18,Hypothèses!$A$18,C122))))))))))))</f>
        <v>11</v>
      </c>
      <c r="D123" s="82" t="str">
        <f>IF(B123&lt;=Hypothèses!$C$7,Hypothèses!$R$7,IF(B123&lt;=Hypothèses!$C$8,Hypothèses!$R$8,IF(B123&lt;=Hypothèses!$C$9,Hypothèses!$R$9,IF(B123&lt;=Hypothèses!$C$10,Hypothèses!$R$10,IF(B123&lt;=Hypothèses!$C$11,Hypothèses!$R$11,IF(B123&lt;=Hypothèses!$C$12,Hypothèses!$R$12,IF(B123&lt;=Hypothèses!$C$13,Hypothèses!$R$13,IF(B123&lt;=Hypothèses!$C$14,Hypothèses!$R$14,IF(B123&lt;=Hypothèses!$C$15,Hypothèses!$R$15,IF(B123&lt;=Hypothèses!$C$16,Hypothèses!$R$16,IF(B123&lt;=Hypothèses!$C$17,Hypothèses!$R$17,IF(B123&lt;=Hypothèses!$C$18,Hypothèses!$R$18,D122))))))))))))</f>
        <v>Pressio.</v>
      </c>
      <c r="E123" s="82" t="e">
        <f>IF(B123&lt;=Hypothèses!$C$7,Hypothèses!$G$7,IF(B123&lt;=Hypothèses!$C$8,Hypothèses!$G$8,IF(B123&lt;=Hypothèses!$C$9,Hypothèses!$G$9,IF(B123&lt;=Hypothèses!$C$10,Hypothèses!$G$10,IF(B123&lt;=Hypothèses!$C$11,Hypothèses!$G$11,IF(B123&lt;=Hypothèses!$C$12,Hypothèses!$G$12,IF(B123&lt;=Hypothèses!$C$13,Hypothèses!$G$13,IF(B123&lt;=Hypothèses!$C$14,Hypothèses!$G$14,IF(B123&lt;=Hypothèses!$C$15,Hypothèses!$G$15,IF(B123&lt;=Hypothèses!$C$16,Hypothèses!$G$16,IF(B123&lt;=Hypothèses!$C$17,Hypothèses!$G$17,IF(B123&lt;=Hypothèses!$C$18,Hypothèses!$G$18,E122))))))))))))</f>
        <v>#N/A</v>
      </c>
      <c r="F123" s="82" t="str">
        <f>IF(B123&lt;=Hypothèses!$C$7,Hypothèses!$F$7,IF(B123&lt;=Hypothèses!$C$8,Hypothèses!$F$8,IF(B123&lt;=Hypothèses!$C$9,Hypothèses!$F$9,IF(B123&lt;=Hypothèses!$C$10,Hypothèses!$F$10,IF(B123&lt;=Hypothèses!$C$11,Hypothèses!$F$11,IF(B123&lt;=Hypothèses!$C$12,Hypothèses!$F$12,IF(B123&lt;=Hypothèses!$C$13,Hypothèses!$F$13,IF(B123&lt;=Hypothèses!$C$14,Hypothèses!$F$14,IF(B123&lt;=Hypothèses!$C$15,Hypothèses!$F$15,IF(B123&lt;=Hypothèses!$C$16,Hypothèses!$F$16,IF(B123&lt;=Hypothèses!$C$17,Hypothèses!$F$17,IF(B123&lt;=Hypothèses!$C$18,Hypothèses!$F$18,F122))))))))))))</f>
        <v/>
      </c>
      <c r="G123" s="91">
        <f t="array" ref="G123">INDEX('Coeff EC7'!$U$7:$X$27,
MATCH(Model0.1C!$B$3,'Coeff EC7'!$T$7:$T$27,0),
MATCH(Model0.1C!$D123&amp;Model0.1C!$B$4,
'Coeff EC7'!$U$6:$X$6&amp;
'Coeff EC7'!$U$5:$X$5,0))</f>
        <v>1.1499999999999999</v>
      </c>
      <c r="H123" s="91">
        <f t="array" ref="H123">INDEX('Coeff EC7'!$Y$7:$AB$27,
MATCH(Model0.1C!$B$3,'Coeff EC7'!$T$7:$T$27,0),
MATCH(Model0.1C!$D123&amp;Model0.1C!$B$4,
'Coeff EC7'!$Y$6:$AB$6&amp;
'Coeff EC7'!$Y$5:$AB$5,0))</f>
        <v>1.4</v>
      </c>
      <c r="I123" s="83" t="e">
        <f>IF(B123&lt;=Hypothèses!$C$7,Hypothèses!$P$7,IF(B123&lt;=Hypothèses!$C$8,Hypothèses!$P$8,IF(B123&lt;=Hypothèses!$C$9,Hypothèses!$P$9,IF(B123&lt;=Hypothèses!$C$10,Hypothèses!$P$10,IF(B123&lt;=Hypothèses!$C$11,Hypothèses!$P$11,IF(B123&lt;=Hypothèses!$C$12,Hypothèses!$P$12,IF(B123&lt;=Hypothèses!$C$13,Hypothèses!$P$13,IF(B123&lt;=Hypothèses!$C$14,Hypothèses!$P$14,IF(B123&lt;=Hypothèses!$C$15,Hypothèses!$P$15,IF(B123&lt;=Hypothèses!$C$16,Hypothèses!$P$16,IF(B123&lt;=Hypothèses!$C$17,Hypothèses!$P$17,IF(B123&lt;=Hypothèses!$C$18,Hypothèses!$P$18,I122))))))))))))</f>
        <v>#N/A</v>
      </c>
      <c r="J123" s="91" t="e">
        <f t="array" ref="J123">INDEX('Coeff EC7'!$D$33:$Q$33,1,MATCH(D123&amp;E123,'Coeff EC7'!$D$31:$Q$31&amp;'Coeff EC7'!$D$32:$Q$32,0))</f>
        <v>#N/A</v>
      </c>
      <c r="K123" s="91" t="e">
        <f t="array" ref="K123">INDEX('Coeff EC7'!$D$34:$Q$34,1,MATCH(D123&amp;E123,'Coeff EC7'!$D$31:$Q$31&amp;'Coeff EC7'!$D$32:$Q$32,0))</f>
        <v>#N/A</v>
      </c>
      <c r="L123" s="91" t="e">
        <f t="array" ref="L123">INDEX('Coeff EC7'!$D$35:$Q$35,1,MATCH(D123&amp;E123,'Coeff EC7'!$D$31:$Q$31&amp;'Coeff EC7'!$D$32:$Q$32,0))</f>
        <v>#N/A</v>
      </c>
      <c r="M123" s="98" t="e">
        <f t="shared" si="131"/>
        <v>#N/A</v>
      </c>
      <c r="N123" s="99" t="e">
        <f t="array" ref="N123">INDEX('Coeff EC7'!$D$7:$Q$27,MATCH($B$3,'Coeff EC7'!$C$7:$C$27,0),MATCH(D123&amp;E123,'Coeff EC7'!$D$5:$Q$5&amp;'Coeff EC7'!$D$6:$Q$6,0))</f>
        <v>#N/A</v>
      </c>
      <c r="O123" s="99" t="e">
        <f t="array" ref="O123">INDEX('Coeff EC7'!$D$41:$Q$61,MATCH($B$3,'Coeff EC7'!$C$41:$C$61,0),MATCH(D123&amp;E123,'Coeff EC7'!$D$39:$Q$39&amp;'Coeff EC7'!$D$40:$Q$40,0))</f>
        <v>#N/A</v>
      </c>
      <c r="P123" s="30" t="e">
        <f t="shared" si="168"/>
        <v>#N/A</v>
      </c>
      <c r="Q123" s="100" t="e">
        <f t="shared" si="133"/>
        <v>#N/A</v>
      </c>
      <c r="R123" s="86" t="b">
        <f t="shared" si="134"/>
        <v>0</v>
      </c>
      <c r="S123" s="86">
        <f t="shared" si="132"/>
        <v>0.5</v>
      </c>
      <c r="T123" s="86">
        <f t="shared" si="135"/>
        <v>0.5</v>
      </c>
      <c r="U123" s="30" t="e">
        <f t="shared" ca="1" si="169"/>
        <v>#DIV/0!</v>
      </c>
      <c r="V123" s="85" t="str">
        <f>IF(B123&lt;=Hypothèses!$V$7,Hypothèses!$W$7,IF(B123&lt;=Hypothèses!$V$8,Hypothèses!$W$8,IF(B123&lt;=Hypothèses!$V$9,Hypothèses!$W$9,IF(B123&lt;=Hypothèses!$V$10,Hypothèses!$W$10,IF(B123&lt;=Hypothèses!$V$11,Hypothèses!$W$11,IF(B123&lt;=Hypothèses!$V$12,Hypothèses!$W$12,IF(B123&lt;=Hypothèses!$V$13,Hypothèses!$W$13,IF(B123&lt;=Hypothèses!$V$14,Hypothèses!$W$14,IF(B123&lt;=Hypothèses!$V$15,Hypothèses!$W$15,IF(B123&lt;=Hypothèses!$V$16,Hypothèses!$W$16,IF(B123&lt;=Hypothèses!$V$17,Hypothèses!$W$17,IF(B123&lt;=Hypothèses!$V$18,Hypothèses!$W$18,""))))))))))))</f>
        <v/>
      </c>
      <c r="W123" s="87" t="e">
        <f t="shared" ca="1" si="216"/>
        <v>#DIV/0!</v>
      </c>
      <c r="X123" s="88" t="str">
        <f>IF(B123&lt;=Hypothèses!$V$7,Hypothèses!$X$7,IF(B123&lt;=Hypothèses!$V$8,Hypothèses!$X$8,IF(B123&lt;=Hypothèses!$V$9,Hypothèses!$X$9,IF(B123&lt;=Hypothèses!$V$10,Hypothèses!$X$10,IF(B123&lt;=Hypothèses!$V$11,Hypothèses!$X$11,IF(B123&lt;=Hypothèses!$V$12,Hypothèses!$X$12,IF(B123&lt;=Hypothèses!$V$13,Hypothèses!$X$13,IF(B123&lt;=Hypothèses!$V$14,Hypothèses!$X$14,IF(B123&lt;=Hypothèses!$V$15,Hypothèses!$X$15,IF(B123&lt;=Hypothèses!$V$16,Hypothèses!$X$16,IF(B123&lt;=Hypothèses!$U$17,Hypothèses!$W$17,IF(B123&lt;=Hypothèses!$U$18,Hypothèses!$W$18,""))))))))))))</f>
        <v/>
      </c>
      <c r="Y123" s="95" t="e">
        <f t="shared" ca="1" si="136"/>
        <v>#DIV/0!</v>
      </c>
      <c r="Z123" s="101" t="e">
        <f t="shared" si="137"/>
        <v>#N/A</v>
      </c>
      <c r="AA123" s="91" t="e">
        <f t="shared" si="138"/>
        <v>#N/A</v>
      </c>
      <c r="AB123" s="30" t="e">
        <f t="shared" si="200"/>
        <v>#N/A</v>
      </c>
      <c r="AC123" s="30" t="e">
        <f t="shared" si="201"/>
        <v>#N/A</v>
      </c>
      <c r="AD123" s="31" t="e">
        <f>IF(OR(Hypothèses!$B$4=17,Hypothèses!$B$4=18,Hypothèses!$B$4=19,Hypothèses!$B$4=20),
IF($D123="Pressio.",
IF(OR($E123=3,$E123=1,$E123=4),AC123,AB123),
IF($D123="Pénétro.",
IF(OR($E123=3,$E123=1,$E123=4),AC123,AB123))),IF($D123="Pressio.",
IF($E123=3,AC123,AB123),
IF($D123="Pénétro.",
IF($E123=4,AC123,AB123))))</f>
        <v>#N/A</v>
      </c>
      <c r="AE123" s="31" t="e">
        <f>(IF(OR(Hypothèses!$B$4=17,Hypothèses!$B$4=18,Hypothèses!$B$4=19,Hypothèses!$B$4=20),
IF($D123="Pressio.",
IF(OR($E123=3,$E123=1,$E123=4),(PI()*AE$12^2)/4*(AA123*$W123*1000)/($H123*$B$5),(PI()*AE$12^2)/4*(AA123*$W123*1000)/($G123*$B$5)),
IF($D123="Pénétro.",
IF(OR($E123=4,$E123=1,$E123=5),(PI()*AE$12^2)/4*(AA123*$W123*1000)/($H123*$B$5),(PI()*AE$12^2)/4*(AA123*$W123*1000)/($G123*$B$5)))),
IF($D123="Pressio.",
IF($E123=3,(PI()*AE$12^2)/4*(AA123*$W123*1000)/($H123*$B$5),(PI()*AE$12^2)/4*(AA123*$W123*1000)/($G123*$B$5)),
IF($D123="Pénétro.",
IF($E123=4,(PI()*AE$12^2)/4*(AA123*$W123*1000)/($H123*$B$5),(PI()*AE$12^2)/4*(AA123*$W123*1000)/($G123*$B$5))))))/10</f>
        <v>#N/A</v>
      </c>
      <c r="AF123" s="102" t="e">
        <f>(VLOOKUP($B$3,'Coeff EC7'!$T$39:$X$59,2,0)*AD123+VLOOKUP($B$3,'Coeff EC7'!$T$65:$X$85,2,0)*Model0.1C!AE123)/1.1</f>
        <v>#N/A</v>
      </c>
      <c r="AG123" s="102" t="e">
        <f>(VLOOKUP($B$3,'Coeff EC7'!$T$39:$X$59,3,0)*AD123+VLOOKUP($B$3,'Coeff EC7'!$T$65:$X$85,3,0)*Model0.1C!AE123)/0.9</f>
        <v>#N/A</v>
      </c>
      <c r="AH123" s="102" t="e">
        <f t="shared" si="139"/>
        <v>#N/A</v>
      </c>
      <c r="AI123" s="102" t="e">
        <f t="shared" si="140"/>
        <v>#N/A</v>
      </c>
      <c r="AJ123" s="414" t="e">
        <f>IF(AJ122=0,0,IF(AND(AF123&gt;charge_ELS_quasi,AG123&gt;Charge_ELS_freq,AH123&gt;charge_ELU,AI123&gt;charge_ELA,$B123&gt;NDC!$H$22-0.1+MIN(3*$AJ$12,1.5)),0,1))</f>
        <v>#N/A</v>
      </c>
      <c r="AK123" s="86" t="b">
        <f t="shared" si="141"/>
        <v>0</v>
      </c>
      <c r="AL123" s="86">
        <f t="shared" si="170"/>
        <v>0.5</v>
      </c>
      <c r="AM123" s="86">
        <f t="shared" si="142"/>
        <v>0.5</v>
      </c>
      <c r="AN123" s="30" t="e">
        <f t="shared" ca="1" si="171"/>
        <v>#DIV/0!</v>
      </c>
      <c r="AO123" s="85" t="e">
        <f ca="1">IF(U123&lt;=Hypothèses!$V$7,Hypothèses!$W$7,IF(U123&lt;=Hypothèses!$V$8,Hypothèses!$W$8,IF(U123&lt;=Hypothèses!$V$9,Hypothèses!$W$9,IF(U123&lt;=Hypothèses!$V$10,Hypothèses!$W$10,IF(U123&lt;=Hypothèses!$V$11,Hypothèses!$W$11,IF(U123&lt;=Hypothèses!$V$12,Hypothèses!$W$12,IF(U123&lt;=Hypothèses!$V$13,Hypothèses!$W$13,IF(U123&lt;=Hypothèses!$V$14,Hypothèses!$W$14,IF(U123&lt;=Hypothèses!$V$15,Hypothèses!$W$15,IF(U123&lt;=Hypothèses!$V$16,Hypothèses!$W$16,IF(U123&lt;=Hypothèses!$V$17,Hypothèses!$W$17,IF(U123&lt;=Hypothèses!$V$18,Hypothèses!$W$18,""))))))))))))</f>
        <v>#DIV/0!</v>
      </c>
      <c r="AP123" s="87" t="e">
        <f t="shared" ca="1" si="217"/>
        <v>#DIV/0!</v>
      </c>
      <c r="AQ123" s="88" t="e">
        <f ca="1">IF(U123&lt;=Hypothèses!$V$7,Hypothèses!$X$7,IF(U123&lt;=Hypothèses!$V$8,Hypothèses!$X$8,IF(U123&lt;=Hypothèses!$V$9,Hypothèses!$X$9,IF(U123&lt;=Hypothèses!$V$10,Hypothèses!$X$10,IF(U123&lt;=Hypothèses!$V$11,Hypothèses!$X$11,IF(U123&lt;=Hypothèses!$V$12,Hypothèses!$X$12,IF(U123&lt;=Hypothèses!$V$13,Hypothèses!$X$13,IF(U123&lt;=Hypothèses!$V$14,Hypothèses!$X$14,IF(U123&lt;=Hypothèses!$V$15,Hypothèses!$X$15,IF(U123&lt;=Hypothèses!$V$16,Hypothèses!$X$16,IF(U123&lt;=Hypothèses!$U$17,Hypothèses!$W$17,IF(U123&lt;=Hypothèses!$U$18,Hypothèses!$W$18,""))))))))))))</f>
        <v>#DIV/0!</v>
      </c>
      <c r="AR123" s="95" t="e">
        <f t="shared" ca="1" si="172"/>
        <v>#DIV/0!</v>
      </c>
      <c r="AS123" s="101" t="e">
        <f t="shared" si="224"/>
        <v>#N/A</v>
      </c>
      <c r="AT123" s="91" t="e">
        <f t="shared" si="143"/>
        <v>#N/A</v>
      </c>
      <c r="AU123" s="30" t="e">
        <f t="shared" si="202"/>
        <v>#N/A</v>
      </c>
      <c r="AV123" s="30" t="e">
        <f t="shared" si="203"/>
        <v>#N/A</v>
      </c>
      <c r="AW123" s="31" t="e">
        <f>IF(OR(Hypothèses!$B$4=17,Hypothèses!$B$4=18,Hypothèses!$B$4=19,Hypothèses!$B$4=20),
IF($D123="Pressio.",
IF(OR($E123=3,$E123=1,$E123=4),AV123,AU123),
IF($D123="Pénétro.",
IF(OR($E123=3,$E123=1,$E123=4),AV123,AU123))),IF($D123="Pressio.",
IF($E123=3,AV123,AU123),
IF($D123="Pénétro.",
IF($E123=4,AV123,AU123))))</f>
        <v>#N/A</v>
      </c>
      <c r="AX123" s="31" t="e">
        <f>(IF(OR(Hypothèses!$B$4=17,Hypothèses!$B$4=18,Hypothèses!$B$4=19,Hypothèses!$B$4=20),
IF($D123="Pressio.",
IF(OR($E123=3,$E123=1,$E123=4),(PI()*AX$12^2)/4*(AT123*$W123*1000)/($H123*$B$5),(PI()*AX$12^2)/4*(AT123*$W123*1000)/($G123*$B$5)),
IF($D123="Pénétro.",
IF(OR($E123=4,$E123=1,$E123=5),(PI()*AX$12^2)/4*(AT123*$W123*1000)/($H123*$B$5),(PI()*AX$12^2)/4*(AT123*$W123*1000)/($G123*$B$5)))),
IF($D123="Pressio.",
IF($E123=3,(PI()*AX$12^2)/4*(AT123*$W123*1000)/($H123*$B$5),(PI()*AX$12^2)/4*(AT123*$W123*1000)/($G123*$B$5)),
IF($D123="Pénétro.",
IF($E123=4,(PI()*AX$12^2)/4*(AT123*$W123*1000)/($H123*$B$5),(PI()*AX$12^2)/4*(AT123*$W123*1000)/($G123*$B$5))))))/10</f>
        <v>#N/A</v>
      </c>
      <c r="AY123" s="102" t="e">
        <f>(VLOOKUP($B$3,'Coeff EC7'!$T$39:$X$59,2,0)*AW123+VLOOKUP($B$3,'Coeff EC7'!$T$65:$X$85,2,0)*Model0.1C!AX123)/1.1</f>
        <v>#N/A</v>
      </c>
      <c r="AZ123" s="102" t="e">
        <f>(VLOOKUP($B$3,'Coeff EC7'!$T$39:$X$59,3,0)*AW123+VLOOKUP($B$3,'Coeff EC7'!$T$65:$X$85,3,0)*Model0.1C!AX123)/0.9</f>
        <v>#N/A</v>
      </c>
      <c r="BA123" s="102" t="e">
        <f t="shared" si="173"/>
        <v>#N/A</v>
      </c>
      <c r="BB123" s="102" t="e">
        <f t="shared" si="174"/>
        <v>#N/A</v>
      </c>
      <c r="BC123" s="414" t="e">
        <f>IF(BC122=0,0,IF(AND(AY123&gt;charge_ELS_quasi,AZ123&gt;Charge_ELS_freq,BA123&gt;charge_ELU,BB123&gt;charge_ELA,$B123&gt;NDC!$H$22-0.1+MIN(3*$BC$12,1.5)),0,1))</f>
        <v>#N/A</v>
      </c>
      <c r="BD123" s="86" t="b">
        <f t="shared" si="144"/>
        <v>0</v>
      </c>
      <c r="BE123" s="86">
        <f t="shared" si="175"/>
        <v>0.5</v>
      </c>
      <c r="BF123" s="86">
        <f t="shared" si="145"/>
        <v>0.5</v>
      </c>
      <c r="BG123" s="30" t="e">
        <f t="shared" ca="1" si="176"/>
        <v>#DIV/0!</v>
      </c>
      <c r="BH123" s="85" t="e">
        <f ca="1">IF(AN123&lt;=Hypothèses!$V$7,Hypothèses!$W$7,IF(AN123&lt;=Hypothèses!$V$8,Hypothèses!$W$8,IF(AN123&lt;=Hypothèses!$V$9,Hypothèses!$W$9,IF(AN123&lt;=Hypothèses!$V$10,Hypothèses!$W$10,IF(AN123&lt;=Hypothèses!$V$11,Hypothèses!$W$11,IF(AN123&lt;=Hypothèses!$V$12,Hypothèses!$W$12,IF(AN123&lt;=Hypothèses!$V$13,Hypothèses!$W$13,IF(AN123&lt;=Hypothèses!$V$14,Hypothèses!$W$14,IF(AN123&lt;=Hypothèses!$V$15,Hypothèses!$W$15,IF(AN123&lt;=Hypothèses!$V$16,Hypothèses!$W$16,IF(AN123&lt;=Hypothèses!$V$17,Hypothèses!$W$17,IF(AN123&lt;=Hypothèses!$V$18,Hypothèses!$W$18,""))))))))))))</f>
        <v>#DIV/0!</v>
      </c>
      <c r="BI123" s="87" t="e">
        <f t="shared" ca="1" si="218"/>
        <v>#DIV/0!</v>
      </c>
      <c r="BJ123" s="88" t="e">
        <f ca="1">IF(AN123&lt;=Hypothèses!$V$7,Hypothèses!$X$7,IF(AN123&lt;=Hypothèses!$V$8,Hypothèses!$X$8,IF(AN123&lt;=Hypothèses!$V$9,Hypothèses!$X$9,IF(AN123&lt;=Hypothèses!$V$10,Hypothèses!$X$10,IF(AN123&lt;=Hypothèses!$V$11,Hypothèses!$X$11,IF(AN123&lt;=Hypothèses!$V$12,Hypothèses!$X$12,IF(AN123&lt;=Hypothèses!$V$13,Hypothèses!$X$13,IF(AN123&lt;=Hypothèses!$V$14,Hypothèses!$X$14,IF(AN123&lt;=Hypothèses!$V$15,Hypothèses!$X$15,IF(AN123&lt;=Hypothèses!$V$16,Hypothèses!$X$16,IF(AN123&lt;=Hypothèses!$U$17,Hypothèses!$W$17,IF(AN123&lt;=Hypothèses!$U$18,Hypothèses!$W$18,""))))))))))))</f>
        <v>#DIV/0!</v>
      </c>
      <c r="BK123" s="95" t="e">
        <f t="shared" ca="1" si="177"/>
        <v>#DIV/0!</v>
      </c>
      <c r="BL123" s="101" t="e">
        <f t="shared" si="225"/>
        <v>#N/A</v>
      </c>
      <c r="BM123" s="91" t="e">
        <f t="shared" si="146"/>
        <v>#N/A</v>
      </c>
      <c r="BN123" s="30" t="e">
        <f t="shared" si="204"/>
        <v>#N/A</v>
      </c>
      <c r="BO123" s="30" t="e">
        <f t="shared" si="205"/>
        <v>#N/A</v>
      </c>
      <c r="BP123" s="31" t="e">
        <f>IF(OR(Hypothèses!$B$4=17,Hypothèses!$B$4=18,Hypothèses!$B$4=19,Hypothèses!$B$4=20),
IF($D123="Pressio.",
IF(OR($E123=3,$E123=1,$E123=4),BO123,BN123),
IF($D123="Pénétro.",
IF(OR($E123=3,$E123=1,$E123=4),BO123,BN123))),IF($D123="Pressio.",
IF($E123=3,BO123,BN123),
IF($D123="Pénétro.",
IF($E123=4,BO123,BN123))))</f>
        <v>#N/A</v>
      </c>
      <c r="BQ123" s="31" t="e">
        <f>(IF(OR(Hypothèses!$B$4=17,Hypothèses!$B$4=18,Hypothèses!$B$4=19,Hypothèses!$B$4=20),
IF($D123="Pressio.",
IF(OR($E123=3,$E123=1,$E123=4),(PI()*BQ$12^2)/4*(BM123*$W123*1000)/($H123*$B$5),(PI()*BQ$12^2)/4*(BM123*$W123*1000)/($G123*$B$5)),
IF($D123="Pénétro.",
IF(OR($E123=4,$E123=1,$E123=5),(PI()*BQ$12^2)/4*(BM123*$W123*1000)/($H123*$B$5),(PI()*BQ$12^2)/4*(BM123*$W123*1000)/($G123*$B$5)))),
IF($D123="Pressio.",
IF($E123=3,(PI()*BQ$12^2)/4*(BM123*$W123*1000)/($H123*$B$5),(PI()*BQ$12^2)/4*(BM123*$W123*1000)/($G123*$B$5)),
IF($D123="Pénétro.",
IF($E123=4,(PI()*BQ$12^2)/4*(BM123*$W123*1000)/($H123*$B$5),(PI()*BQ$12^2)/4*(BM123*$W123*1000)/($G123*$B$5))))))/10</f>
        <v>#N/A</v>
      </c>
      <c r="BR123" s="102" t="e">
        <f>(VLOOKUP($B$3,'Coeff EC7'!$T$39:$X$59,2,0)*BP123+VLOOKUP($B$3,'Coeff EC7'!$T$65:$X$85,2,0)*Model0.1C!BQ123)/1.1</f>
        <v>#N/A</v>
      </c>
      <c r="BS123" s="102" t="e">
        <f>(VLOOKUP($B$3,'Coeff EC7'!$T$39:$X$59,3,0)*BP123+VLOOKUP($B$3,'Coeff EC7'!$T$65:$X$85,3,0)*Model0.1C!BQ123)/0.9</f>
        <v>#N/A</v>
      </c>
      <c r="BT123" s="102" t="e">
        <f t="shared" si="178"/>
        <v>#N/A</v>
      </c>
      <c r="BU123" s="102" t="e">
        <f t="shared" si="179"/>
        <v>#N/A</v>
      </c>
      <c r="BV123" s="414" t="e">
        <f>IF(BV122=0,0,IF(AND(BR123&gt;charge_ELS_quasi,BS123&gt;Charge_ELS_freq,BT123&gt;charge_ELU,BU123&gt;charge_ELA,$B123&gt;NDC!$H$22-0.1+MIN(3*$BV$12,1.5)),0,1))</f>
        <v>#N/A</v>
      </c>
      <c r="BW123" s="86" t="b">
        <f t="shared" si="147"/>
        <v>0</v>
      </c>
      <c r="BX123" s="86">
        <f t="shared" si="148"/>
        <v>0.5</v>
      </c>
      <c r="BY123" s="86">
        <f t="shared" si="149"/>
        <v>0.5</v>
      </c>
      <c r="BZ123" s="30" t="e">
        <f t="shared" ca="1" si="180"/>
        <v>#DIV/0!</v>
      </c>
      <c r="CA123" s="85" t="e">
        <f ca="1">IF(BG123&lt;=Hypothèses!$V$7,Hypothèses!$W$7,IF(BG123&lt;=Hypothèses!$V$8,Hypothèses!$W$8,IF(BG123&lt;=Hypothèses!$V$9,Hypothèses!$W$9,IF(BG123&lt;=Hypothèses!$V$10,Hypothèses!$W$10,IF(BG123&lt;=Hypothèses!$V$11,Hypothèses!$W$11,IF(BG123&lt;=Hypothèses!$V$12,Hypothèses!$W$12,IF(BG123&lt;=Hypothèses!$V$13,Hypothèses!$W$13,IF(BG123&lt;=Hypothèses!$V$14,Hypothèses!$W$14,IF(BG123&lt;=Hypothèses!$V$15,Hypothèses!$W$15,IF(BG123&lt;=Hypothèses!$V$16,Hypothèses!$W$16,IF(BG123&lt;=Hypothèses!$V$17,Hypothèses!$W$17,IF(BG123&lt;=Hypothèses!$V$18,Hypothèses!$W$18,""))))))))))))</f>
        <v>#DIV/0!</v>
      </c>
      <c r="CB123" s="87" t="e">
        <f t="shared" ca="1" si="219"/>
        <v>#DIV/0!</v>
      </c>
      <c r="CC123" s="88" t="e">
        <f ca="1">IF(BG123&lt;=Hypothèses!$V$7,Hypothèses!$X$7,IF(BG123&lt;=Hypothèses!$V$8,Hypothèses!$X$8,IF(BG123&lt;=Hypothèses!$V$9,Hypothèses!$X$9,IF(BG123&lt;=Hypothèses!$V$10,Hypothèses!$X$10,IF(BG123&lt;=Hypothèses!$V$11,Hypothèses!$X$11,IF(BG123&lt;=Hypothèses!$V$12,Hypothèses!$X$12,IF(BG123&lt;=Hypothèses!$V$13,Hypothèses!$X$13,IF(BG123&lt;=Hypothèses!$V$14,Hypothèses!$X$14,IF(BG123&lt;=Hypothèses!$V$15,Hypothèses!$X$15,IF(BG123&lt;=Hypothèses!$V$16,Hypothèses!$X$16,IF(BG123&lt;=Hypothèses!$U$17,Hypothèses!$W$17,IF(BG123&lt;=Hypothèses!$U$18,Hypothèses!$W$18,""))))))))))))</f>
        <v>#DIV/0!</v>
      </c>
      <c r="CD123" s="95" t="e">
        <f t="shared" ca="1" si="181"/>
        <v>#DIV/0!</v>
      </c>
      <c r="CE123" s="101" t="e">
        <f t="shared" si="226"/>
        <v>#N/A</v>
      </c>
      <c r="CF123" s="91" t="e">
        <f t="shared" si="150"/>
        <v>#N/A</v>
      </c>
      <c r="CG123" s="30" t="e">
        <f t="shared" si="206"/>
        <v>#N/A</v>
      </c>
      <c r="CH123" s="30" t="e">
        <f t="shared" si="207"/>
        <v>#N/A</v>
      </c>
      <c r="CI123" s="31" t="e">
        <f>IF(OR(Hypothèses!$B$4=17,Hypothèses!$B$4=18,Hypothèses!$B$4=19,Hypothèses!$B$4=20),
IF($D123="Pressio.",
IF(OR($E123=3,$E123=1,$E123=4),CH123,CG123),
IF($D123="Pénétro.",
IF(OR($E123=3,$E123=1,$E123=4),CH123,CG123))),IF($D123="Pressio.",
IF($E123=3,CH123,CG123),
IF($D123="Pénétro.",
IF($E123=4,CH123,CG123))))</f>
        <v>#N/A</v>
      </c>
      <c r="CJ123" s="31" t="e">
        <f>(IF(OR(Hypothèses!$B$4=17,Hypothèses!$B$4=18,Hypothèses!$B$4=19,Hypothèses!$B$4=20),
IF($D123="Pressio.",
IF(OR($E123=3,$E123=1,$E123=4),(PI()*CJ$12^2)/4*(CF123*$W123*1000)/($H123*$B$5),(PI()*CJ$12^2)/4*(CF123*$W123*1000)/($G123*$B$5)),
IF($D123="Pénétro.",
IF(OR($E123=4,$E123=1,$E123=5),(PI()*CJ$12^2)/4*(CF123*$W123*1000)/($H123*$B$5),(PI()*CJ$12^2)/4*(CF123*$W123*1000)/($G123*$B$5)))),
IF($D123="Pressio.",
IF($E123=3,(PI()*CJ$12^2)/4*(CF123*$W123*1000)/($H123*$B$5),(PI()*CJ$12^2)/4*(CF123*$W123*1000)/($G123*$B$5)),
IF($D123="Pénétro.",
IF($E123=4,(PI()*CJ$12^2)/4*(CF123*$W123*1000)/($H123*$B$5),(PI()*CJ$12^2)/4*(CF123*$W123*1000)/($G123*$B$5))))))/10</f>
        <v>#N/A</v>
      </c>
      <c r="CK123" s="102" t="e">
        <f>(VLOOKUP($B$3,'Coeff EC7'!$T$39:$X$59,2,0)*CI123+VLOOKUP($B$3,'Coeff EC7'!$T$65:$X$85,2,0)*Model0.1C!CJ123)/1.1</f>
        <v>#N/A</v>
      </c>
      <c r="CL123" s="102" t="e">
        <f>(VLOOKUP($B$3,'Coeff EC7'!$T$39:$X$59,3,0)*CI123+VLOOKUP($B$3,'Coeff EC7'!$T$65:$X$85,3,0)*Model0.1C!CJ123)/0.9</f>
        <v>#N/A</v>
      </c>
      <c r="CM123" s="102" t="e">
        <f t="shared" si="182"/>
        <v>#N/A</v>
      </c>
      <c r="CN123" s="102" t="e">
        <f t="shared" si="183"/>
        <v>#N/A</v>
      </c>
      <c r="CO123" s="414" t="e">
        <f>IF(CO122=0,0,IF(AND(CK123&gt;charge_ELS_quasi,CL123&gt;Charge_ELS_freq,CM123&gt;charge_ELU,CN123&gt;charge_ELA,$B123&gt;NDC!$H$22-0.1+MIN(3*$CO$12,1.5)),0,1))</f>
        <v>#N/A</v>
      </c>
      <c r="CP123" s="86" t="b">
        <f t="shared" si="151"/>
        <v>0</v>
      </c>
      <c r="CQ123" s="86">
        <f t="shared" si="152"/>
        <v>0.5</v>
      </c>
      <c r="CR123" s="86">
        <f t="shared" si="153"/>
        <v>0.5</v>
      </c>
      <c r="CS123" s="30" t="e">
        <f t="shared" ca="1" si="184"/>
        <v>#DIV/0!</v>
      </c>
      <c r="CT123" s="85" t="e">
        <f ca="1">IF(BZ123&lt;=Hypothèses!$V$7,Hypothèses!$W$7,IF(BZ123&lt;=Hypothèses!$V$8,Hypothèses!$W$8,IF(BZ123&lt;=Hypothèses!$V$9,Hypothèses!$W$9,IF(BZ123&lt;=Hypothèses!$V$10,Hypothèses!$W$10,IF(BZ123&lt;=Hypothèses!$V$11,Hypothèses!$W$11,IF(BZ123&lt;=Hypothèses!$V$12,Hypothèses!$W$12,IF(BZ123&lt;=Hypothèses!$V$13,Hypothèses!$W$13,IF(BZ123&lt;=Hypothèses!$V$14,Hypothèses!$W$14,IF(BZ123&lt;=Hypothèses!$V$15,Hypothèses!$W$15,IF(BZ123&lt;=Hypothèses!$V$16,Hypothèses!$W$16,IF(BZ123&lt;=Hypothèses!$V$17,Hypothèses!$W$17,IF(BZ123&lt;=Hypothèses!$V$18,Hypothèses!$W$18,""))))))))))))</f>
        <v>#DIV/0!</v>
      </c>
      <c r="CU123" s="87" t="e">
        <f t="shared" ca="1" si="220"/>
        <v>#DIV/0!</v>
      </c>
      <c r="CV123" s="88" t="e">
        <f ca="1">IF(BZ123&lt;=Hypothèses!$V$7,Hypothèses!$X$7,IF(BZ123&lt;=Hypothèses!$V$8,Hypothèses!$X$8,IF(BZ123&lt;=Hypothèses!$V$9,Hypothèses!$X$9,IF(BZ123&lt;=Hypothèses!$V$10,Hypothèses!$X$10,IF(BZ123&lt;=Hypothèses!$V$11,Hypothèses!$X$11,IF(BZ123&lt;=Hypothèses!$V$12,Hypothèses!$X$12,IF(BZ123&lt;=Hypothèses!$V$13,Hypothèses!$X$13,IF(BZ123&lt;=Hypothèses!$V$14,Hypothèses!$X$14,IF(BZ123&lt;=Hypothèses!$V$15,Hypothèses!$X$15,IF(BZ123&lt;=Hypothèses!$V$16,Hypothèses!$X$16,IF(BZ123&lt;=Hypothèses!$U$17,Hypothèses!$W$17,IF(BZ123&lt;=Hypothèses!$U$18,Hypothèses!$W$18,""))))))))))))</f>
        <v>#DIV/0!</v>
      </c>
      <c r="CW123" s="95" t="e">
        <f t="shared" ca="1" si="185"/>
        <v>#DIV/0!</v>
      </c>
      <c r="CX123" s="101" t="e">
        <f t="shared" si="227"/>
        <v>#N/A</v>
      </c>
      <c r="CY123" s="91" t="e">
        <f t="shared" si="154"/>
        <v>#N/A</v>
      </c>
      <c r="CZ123" s="30" t="e">
        <f t="shared" si="208"/>
        <v>#N/A</v>
      </c>
      <c r="DA123" s="30" t="e">
        <f t="shared" si="209"/>
        <v>#N/A</v>
      </c>
      <c r="DB123" s="31" t="e">
        <f>IF(OR(Hypothèses!$B$4=17,Hypothèses!$B$4=18,Hypothèses!$B$4=19,Hypothèses!$B$4=20),
IF($D123="Pressio.",
IF(OR($E123=3,$E123=1,$E123=4),DA123,CZ123),
IF($D123="Pénétro.",
IF(OR($E123=3,$E123=1,$E123=4),DA123,CZ123))),IF($D123="Pressio.",
IF($E123=3,DA123,CZ123),
IF($D123="Pénétro.",
IF($E123=4,DA123,CZ123))))</f>
        <v>#N/A</v>
      </c>
      <c r="DC123" s="31" t="e">
        <f>(IF(OR(Hypothèses!$B$4=17,Hypothèses!$B$4=18,Hypothèses!$B$4=19,Hypothèses!$B$4=20),
IF($D123="Pressio.",
IF(OR($E123=3,$E123=1,$E123=4),(PI()*DC$12^2)/4*(CY123*$W123*1000)/($H123*$B$5),(PI()*DC$12^2)/4*(CY123*$W123*1000)/($G123*$B$5)),
IF($D123="Pénétro.",
IF(OR($E123=4,$E123=1,$E123=5),(PI()*DC$12^2)/4*(CY123*$W123*1000)/($H123*$B$5),(PI()*DC$12^2)/4*(CY123*$W123*1000)/($G123*$B$5)))),
IF($D123="Pressio.",
IF($E123=3,(PI()*DC$12^2)/4*(CY123*$W123*1000)/($H123*$B$5),(PI()*DC$12^2)/4*(CY123*$W123*1000)/($G123*$B$5)),
IF($D123="Pénétro.",
IF($E123=4,(PI()*DC$12^2)/4*(CY123*$W123*1000)/($H123*$B$5),(PI()*DC$12^2)/4*(CY123*$W123*1000)/($G123*$B$5))))))/10</f>
        <v>#N/A</v>
      </c>
      <c r="DD123" s="102" t="e">
        <f>(VLOOKUP($B$3,'Coeff EC7'!$T$39:$X$59,2,0)*DB123+VLOOKUP($B$3,'Coeff EC7'!$T$65:$X$85,2,0)*Model0.1C!DC123)/1.1</f>
        <v>#N/A</v>
      </c>
      <c r="DE123" s="102" t="e">
        <f>(VLOOKUP($B$3,'Coeff EC7'!$T$39:$X$59,3,0)*DB123+VLOOKUP($B$3,'Coeff EC7'!$T$65:$X$85,3,0)*Model0.1C!DC123)/0.9</f>
        <v>#N/A</v>
      </c>
      <c r="DF123" s="102" t="e">
        <f t="shared" si="186"/>
        <v>#N/A</v>
      </c>
      <c r="DG123" s="102" t="e">
        <f t="shared" si="187"/>
        <v>#N/A</v>
      </c>
      <c r="DH123" s="414" t="e">
        <f>IF(DH122=0,0,IF(AND(DD123&gt;charge_ELS_quasi,DE123&gt;Charge_ELS_freq,DF123&gt;charge_ELU,DG123&gt;charge_ELA,$B123&gt;NDC!$H$22-0.1+MIN(3*$DH$12,1.5)),0,1))</f>
        <v>#N/A</v>
      </c>
      <c r="DI123" s="86" t="b">
        <f t="shared" si="155"/>
        <v>0</v>
      </c>
      <c r="DJ123" s="86">
        <f t="shared" si="156"/>
        <v>0.5</v>
      </c>
      <c r="DK123" s="86">
        <f t="shared" si="157"/>
        <v>0.5</v>
      </c>
      <c r="DL123" s="30" t="e">
        <f t="shared" ca="1" si="188"/>
        <v>#DIV/0!</v>
      </c>
      <c r="DM123" s="85" t="e">
        <f ca="1">IF(CS123&lt;=Hypothèses!$V$7,Hypothèses!$W$7,IF(CS123&lt;=Hypothèses!$V$8,Hypothèses!$W$8,IF(CS123&lt;=Hypothèses!$V$9,Hypothèses!$W$9,IF(CS123&lt;=Hypothèses!$V$10,Hypothèses!$W$10,IF(CS123&lt;=Hypothèses!$V$11,Hypothèses!$W$11,IF(CS123&lt;=Hypothèses!$V$12,Hypothèses!$W$12,IF(CS123&lt;=Hypothèses!$V$13,Hypothèses!$W$13,IF(CS123&lt;=Hypothèses!$V$14,Hypothèses!$W$14,IF(CS123&lt;=Hypothèses!$V$15,Hypothèses!$W$15,IF(CS123&lt;=Hypothèses!$V$16,Hypothèses!$W$16,IF(CS123&lt;=Hypothèses!$V$17,Hypothèses!$W$17,IF(CS123&lt;=Hypothèses!$V$18,Hypothèses!$W$18,""))))))))))))</f>
        <v>#DIV/0!</v>
      </c>
      <c r="DN123" s="87" t="e">
        <f t="shared" ca="1" si="221"/>
        <v>#DIV/0!</v>
      </c>
      <c r="DO123" s="88" t="e">
        <f ca="1">IF(CS123&lt;=Hypothèses!$V$7,Hypothèses!$X$7,IF(CS123&lt;=Hypothèses!$V$8,Hypothèses!$X$8,IF(CS123&lt;=Hypothèses!$V$9,Hypothèses!$X$9,IF(CS123&lt;=Hypothèses!$V$10,Hypothèses!$X$10,IF(CS123&lt;=Hypothèses!$V$11,Hypothèses!$X$11,IF(CS123&lt;=Hypothèses!$V$12,Hypothèses!$X$12,IF(CS123&lt;=Hypothèses!$V$13,Hypothèses!$X$13,IF(CS123&lt;=Hypothèses!$V$14,Hypothèses!$X$14,IF(CS123&lt;=Hypothèses!$V$15,Hypothèses!$X$15,IF(CS123&lt;=Hypothèses!$V$16,Hypothèses!$X$16,IF(CS123&lt;=Hypothèses!$U$17,Hypothèses!$W$17,IF(CS123&lt;=Hypothèses!$U$18,Hypothèses!$W$18,""))))))))))))</f>
        <v>#DIV/0!</v>
      </c>
      <c r="DP123" s="95" t="e">
        <f t="shared" ca="1" si="189"/>
        <v>#DIV/0!</v>
      </c>
      <c r="DQ123" s="101" t="e">
        <f t="shared" si="228"/>
        <v>#N/A</v>
      </c>
      <c r="DR123" s="91" t="e">
        <f t="shared" si="158"/>
        <v>#N/A</v>
      </c>
      <c r="DS123" s="30" t="e">
        <f t="shared" si="210"/>
        <v>#N/A</v>
      </c>
      <c r="DT123" s="30" t="e">
        <f t="shared" si="211"/>
        <v>#N/A</v>
      </c>
      <c r="DU123" s="31" t="e">
        <f>IF(OR(Hypothèses!$B$4=17,Hypothèses!$B$4=18,Hypothèses!$B$4=19,Hypothèses!$B$4=20),
IF($D123="Pressio.",
IF(OR($E123=3,$E123=1,$E123=4),DT123,DS123),
IF($D123="Pénétro.",
IF(OR($E123=3,$E123=1,$E123=4),DT123,DS123))),IF($D123="Pressio.",
IF($E123=3,DT123,DS123),
IF($D123="Pénétro.",
IF($E123=4,DT123,DS123))))</f>
        <v>#N/A</v>
      </c>
      <c r="DV123" s="31" t="e">
        <f>(IF(OR(Hypothèses!$B$4=17,Hypothèses!$B$4=18,Hypothèses!$B$4=19,Hypothèses!$B$4=20),
IF($D123="Pressio.",
IF(OR($E123=3,$E123=1,$E123=4),(PI()*DV$12^2)/4*(DR123*$W123*1000)/($H123*$B$5),(PI()*DV$12^2)/4*(DR123*$W123*1000)/($G123*$B$5)),
IF($D123="Pénétro.",
IF(OR($E123=4,$E123=1,$E123=5),(PI()*DV$12^2)/4*(DR123*$W123*1000)/($H123*$B$5),(PI()*DV$12^2)/4*(DR123*$W123*1000)/($G123*$B$5)))),
IF($D123="Pressio.",
IF($E123=3,(PI()*DV$12^2)/4*(DR123*$W123*1000)/($H123*$B$5),(PI()*DV$12^2)/4*(DR123*$W123*1000)/($G123*$B$5)),
IF($D123="Pénétro.",
IF($E123=4,(PI()*DV$12^2)/4*(DR123*$W123*1000)/($H123*$B$5),(PI()*DV$12^2)/4*(DR123*$W123*1000)/($G123*$B$5))))))/10</f>
        <v>#N/A</v>
      </c>
      <c r="DW123" s="102" t="e">
        <f>(VLOOKUP($B$3,'Coeff EC7'!$T$39:$X$59,2,0)*DU123+VLOOKUP($B$3,'Coeff EC7'!$T$65:$X$85,2,0)*Model0.1C!DV123)/1.1</f>
        <v>#N/A</v>
      </c>
      <c r="DX123" s="102" t="e">
        <f>(VLOOKUP($B$3,'Coeff EC7'!$T$39:$X$59,3,0)*DU123+VLOOKUP($B$3,'Coeff EC7'!$T$65:$X$85,3,0)*Model0.1C!DV123)/0.9</f>
        <v>#N/A</v>
      </c>
      <c r="DY123" s="102" t="e">
        <f t="shared" si="190"/>
        <v>#N/A</v>
      </c>
      <c r="DZ123" s="102" t="e">
        <f t="shared" si="191"/>
        <v>#N/A</v>
      </c>
      <c r="EA123" s="414" t="e">
        <f>IF(EA122=0,0,IF(AND(DW123&gt;charge_ELS_quasi,DX123&gt;Charge_ELS_freq,DY123&gt;charge_ELU,DZ123&gt;charge_ELA,$B123&gt;NDC!$H$22-0.1+MIN(3*$EA$12,1.5)),0,1))</f>
        <v>#N/A</v>
      </c>
      <c r="EB123" s="86" t="b">
        <f t="shared" si="159"/>
        <v>0</v>
      </c>
      <c r="EC123" s="418">
        <f t="shared" si="160"/>
        <v>0.51</v>
      </c>
      <c r="ED123" s="86">
        <f t="shared" si="161"/>
        <v>0.51</v>
      </c>
      <c r="EE123" s="30" t="e">
        <f t="shared" ca="1" si="192"/>
        <v>#DIV/0!</v>
      </c>
      <c r="EF123" s="85" t="e">
        <f ca="1">IF(DL123&lt;=Hypothèses!$V$7,Hypothèses!$W$7,IF(DL123&lt;=Hypothèses!$V$8,Hypothèses!$W$8,IF(DL123&lt;=Hypothèses!$V$9,Hypothèses!$W$9,IF(DL123&lt;=Hypothèses!$V$10,Hypothèses!$W$10,IF(DL123&lt;=Hypothèses!$V$11,Hypothèses!$W$11,IF(DL123&lt;=Hypothèses!$V$12,Hypothèses!$W$12,IF(DL123&lt;=Hypothèses!$V$13,Hypothèses!$W$13,IF(DL123&lt;=Hypothèses!$V$14,Hypothèses!$W$14,IF(DL123&lt;=Hypothèses!$V$15,Hypothèses!$W$15,IF(DL123&lt;=Hypothèses!$V$16,Hypothèses!$W$16,IF(DL123&lt;=Hypothèses!$V$17,Hypothèses!$W$17,IF(DL123&lt;=Hypothèses!$V$18,Hypothèses!$W$18,""))))))))))))</f>
        <v>#DIV/0!</v>
      </c>
      <c r="EG123" s="87" t="e">
        <f t="shared" ca="1" si="222"/>
        <v>#DIV/0!</v>
      </c>
      <c r="EH123" s="88" t="e">
        <f ca="1">IF(DL123&lt;=Hypothèses!$V$7,Hypothèses!$X$7,IF(DL123&lt;=Hypothèses!$V$8,Hypothèses!$X$8,IF(DL123&lt;=Hypothèses!$V$9,Hypothèses!$X$9,IF(DL123&lt;=Hypothèses!$V$10,Hypothèses!$X$10,IF(DL123&lt;=Hypothèses!$V$11,Hypothèses!$X$11,IF(DL123&lt;=Hypothèses!$V$12,Hypothèses!$X$12,IF(DL123&lt;=Hypothèses!$V$13,Hypothèses!$X$13,IF(DL123&lt;=Hypothèses!$V$14,Hypothèses!$X$14,IF(DL123&lt;=Hypothèses!$V$15,Hypothèses!$X$15,IF(DL123&lt;=Hypothèses!$V$16,Hypothèses!$X$16,IF(DL123&lt;=Hypothèses!$U$17,Hypothèses!$W$17,IF(DL123&lt;=Hypothèses!$U$18,Hypothèses!$W$18,""))))))))))))</f>
        <v>#DIV/0!</v>
      </c>
      <c r="EI123" s="95" t="e">
        <f t="shared" ca="1" si="193"/>
        <v>#DIV/0!</v>
      </c>
      <c r="EJ123" s="101" t="e">
        <f t="shared" si="229"/>
        <v>#N/A</v>
      </c>
      <c r="EK123" s="91" t="e">
        <f t="shared" si="162"/>
        <v>#N/A</v>
      </c>
      <c r="EL123" s="30" t="e">
        <f t="shared" si="212"/>
        <v>#N/A</v>
      </c>
      <c r="EM123" s="30" t="e">
        <f t="shared" si="213"/>
        <v>#N/A</v>
      </c>
      <c r="EN123" s="31" t="e">
        <f>IF(OR(Hypothèses!$B$4=17,Hypothèses!$B$4=18,Hypothèses!$B$4=19,Hypothèses!$B$4=20),
IF($D123="Pressio.",
IF(OR($E123=3,$E123=1,$E123=4),EM123,EL123),
IF($D123="Pénétro.",
IF(OR($E123=3,$E123=1,$E123=4),EM123,EL123))),IF($D123="Pressio.",
IF($E123=3,EM123,EL123),
IF($D123="Pénétro.",
IF($E123=4,EM123,EL123))))</f>
        <v>#N/A</v>
      </c>
      <c r="EO123" s="31" t="e">
        <f>(IF(OR(Hypothèses!$B$4=17,Hypothèses!$B$4=18,Hypothèses!$B$4=19,Hypothèses!$B$4=20),
IF($D123="Pressio.",
IF(OR($E123=3,$E123=1,$E123=4),(PI()*EO$12^2)/4*(EK123*$W123*1000)/($H123*$B$5),(PI()*EO$12^2)/4*(EK123*$W123*1000)/($G123*$B$5)),
IF($D123="Pénétro.",
IF(OR($E123=4,$E123=1,$E123=5),(PI()*EO$12^2)/4*(EK123*$W123*1000)/($H123*$B$5),(PI()*EO$12^2)/4*(EK123*$W123*1000)/($G123*$B$5)))),
IF($D123="Pressio.",
IF($E123=3,(PI()*EO$12^2)/4*(EK123*$W123*1000)/($H123*$B$5),(PI()*EO$12^2)/4*(EK123*$W123*1000)/($G123*$B$5)),
IF($D123="Pénétro.",
IF($E123=4,(PI()*EO$12^2)/4*(EK123*$W123*1000)/($H123*$B$5),(PI()*EO$12^2)/4*(EK123*$W123*1000)/($G123*$B$5))))))/10</f>
        <v>#N/A</v>
      </c>
      <c r="EP123" s="102" t="e">
        <f>(VLOOKUP($B$3,'Coeff EC7'!$T$39:$X$59,2,0)*EN123+VLOOKUP($B$3,'Coeff EC7'!$T$65:$X$85,2,0)*Model0.1C!EO123)/1.1</f>
        <v>#N/A</v>
      </c>
      <c r="EQ123" s="102" t="e">
        <f>(VLOOKUP($B$3,'Coeff EC7'!$T$39:$X$59,3,0)*EN123+VLOOKUP($B$3,'Coeff EC7'!$T$65:$X$85,3,0)*Model0.1C!EO123)/0.9</f>
        <v>#N/A</v>
      </c>
      <c r="ER123" s="102" t="e">
        <f t="shared" si="194"/>
        <v>#N/A</v>
      </c>
      <c r="ES123" s="102" t="e">
        <f t="shared" si="195"/>
        <v>#N/A</v>
      </c>
      <c r="ET123" s="414" t="e">
        <f>IF(ET122=0,0,IF(AND(EP123&gt;charge_ELS_quasi,EQ123&gt;Charge_ELS_freq,ER123&gt;charge_ELU,ES123&gt;charge_ELA,$B123&gt;NDC!$H$22-0.1+MIN(3*$ET$12,1.5)),0,1))</f>
        <v>#N/A</v>
      </c>
      <c r="EU123" s="86" t="b">
        <f t="shared" si="163"/>
        <v>0</v>
      </c>
      <c r="EV123" s="86">
        <f t="shared" si="164"/>
        <v>0.61</v>
      </c>
      <c r="EW123" s="86">
        <f t="shared" si="165"/>
        <v>0.61</v>
      </c>
      <c r="EX123" s="30" t="e">
        <f t="shared" ca="1" si="196"/>
        <v>#DIV/0!</v>
      </c>
      <c r="EY123" s="85" t="e">
        <f ca="1">IF(EE123&lt;=Hypothèses!$V$7,Hypothèses!$W$7,IF(EE123&lt;=Hypothèses!$V$8,Hypothèses!$W$8,IF(EE123&lt;=Hypothèses!$V$9,Hypothèses!$W$9,IF(EE123&lt;=Hypothèses!$V$10,Hypothèses!$W$10,IF(EE123&lt;=Hypothèses!$V$11,Hypothèses!$W$11,IF(EE123&lt;=Hypothèses!$V$12,Hypothèses!$W$12,IF(EE123&lt;=Hypothèses!$V$13,Hypothèses!$W$13,IF(EE123&lt;=Hypothèses!$V$14,Hypothèses!$W$14,IF(EE123&lt;=Hypothèses!$V$15,Hypothèses!$W$15,IF(EE123&lt;=Hypothèses!$V$16,Hypothèses!$W$16,IF(EE123&lt;=Hypothèses!$V$17,Hypothèses!$W$17,IF(EE123&lt;=Hypothèses!$V$18,Hypothèses!$W$18,""))))))))))))</f>
        <v>#DIV/0!</v>
      </c>
      <c r="EZ123" s="87" t="e">
        <f t="shared" ca="1" si="223"/>
        <v>#DIV/0!</v>
      </c>
      <c r="FA123" s="88" t="e">
        <f ca="1">IF(EE123&lt;=Hypothèses!$V$7,Hypothèses!$X$7,IF(EE123&lt;=Hypothèses!$V$8,Hypothèses!$X$8,IF(EE123&lt;=Hypothèses!$V$9,Hypothèses!$X$9,IF(EE123&lt;=Hypothèses!$V$10,Hypothèses!$X$10,IF(EE123&lt;=Hypothèses!$V$11,Hypothèses!$X$11,IF(EE123&lt;=Hypothèses!$V$12,Hypothèses!$X$12,IF(EE123&lt;=Hypothèses!$V$13,Hypothèses!$X$13,IF(EE123&lt;=Hypothèses!$V$14,Hypothèses!$X$14,IF(EE123&lt;=Hypothèses!$V$15,Hypothèses!$X$15,IF(EE123&lt;=Hypothèses!$V$16,Hypothèses!$X$16,IF(EE123&lt;=Hypothèses!$U$17,Hypothèses!$W$17,IF(EE123&lt;=Hypothèses!$U$18,Hypothèses!$W$18,""))))))))))))</f>
        <v>#DIV/0!</v>
      </c>
      <c r="FB123" s="95" t="e">
        <f t="shared" ca="1" si="197"/>
        <v>#DIV/0!</v>
      </c>
      <c r="FC123" s="101" t="e">
        <f t="shared" si="230"/>
        <v>#N/A</v>
      </c>
      <c r="FD123" s="91" t="e">
        <f t="shared" si="166"/>
        <v>#N/A</v>
      </c>
      <c r="FE123" s="30" t="e">
        <f t="shared" si="214"/>
        <v>#N/A</v>
      </c>
      <c r="FF123" s="30" t="e">
        <f t="shared" si="215"/>
        <v>#N/A</v>
      </c>
      <c r="FG123" s="31" t="e">
        <f>IF(OR(Hypothèses!$B$4=17,Hypothèses!$B$4=18,Hypothèses!$B$4=19,Hypothèses!$B$4=20),
IF($D123="Pressio.",
IF(OR($E123=3,$E123=1,$E123=4),FF123,FE123),
IF($D123="Pénétro.",
IF(OR($E123=3,$E123=1,$E123=4),FF123,FE123))),IF($D123="Pressio.",
IF($E123=3,FF123,FE123),
IF($D123="Pénétro.",
IF($E123=4,FF123,FE123))))</f>
        <v>#N/A</v>
      </c>
      <c r="FH123" s="31" t="e">
        <f>(IF(OR(Hypothèses!$B$4=17,Hypothèses!$B$4=18,Hypothèses!$B$4=19,Hypothèses!$B$4=20),
IF($D123="Pressio.",
IF(OR($E123=3,$E123=1,$E123=4),(PI()*FH$12^2)/4*(FD123*$W123*1000)/($H123*$B$5),(PI()*FH$12^2)/4*(FD123*$W123*1000)/($G123*$B$5)),
IF($D123="Pénétro.",
IF(OR($E123=4,$E123=1,$E123=5),(PI()*FH$12^2)/4*(FD123*$W123*1000)/($H123*$B$5),(PI()*FH$12^2)/4*(FD123*$W123*1000)/($G123*$B$5)))),
IF($D123="Pressio.",
IF($E123=3,(PI()*FH$12^2)/4*(FD123*$W123*1000)/($H123*$B$5),(PI()*FH$12^2)/4*(FD123*$W123*1000)/($G123*$B$5)),
IF($D123="Pénétro.",
IF($E123=4,(PI()*FH$12^2)/4*(FD123*$W123*1000)/($H123*$B$5),(PI()*FH$12^2)/4*(FD123*$W123*1000)/($G123*$B$5))))))/10</f>
        <v>#N/A</v>
      </c>
      <c r="FI123" s="102" t="e">
        <f>(VLOOKUP($B$3,'Coeff EC7'!$T$39:$X$59,2,0)*FG123+VLOOKUP($B$3,'Coeff EC7'!$T$65:$X$85,2,0)*Model0.1C!FH123)/1.1</f>
        <v>#N/A</v>
      </c>
      <c r="FJ123" s="102" t="e">
        <f>(VLOOKUP($B$3,'Coeff EC7'!$T$39:$X$59,3,0)*FG123+VLOOKUP($B$3,'Coeff EC7'!$T$65:$X$85,3,0)*Model0.1C!FH123)/0.9</f>
        <v>#N/A</v>
      </c>
      <c r="FK123" s="102" t="e">
        <f t="shared" si="198"/>
        <v>#N/A</v>
      </c>
      <c r="FL123" s="102" t="e">
        <f t="shared" si="199"/>
        <v>#N/A</v>
      </c>
      <c r="FM123" s="414" t="e">
        <f>IF(FM122=0,0,IF(AND(FI123&gt;charge_ELS_quasi,FJ123&gt;Charge_ELS_freq,FK123&gt;charge_ELU,FL123&gt;charge_ELA,$B123&gt;NDC!$H$22-0.1+MIN(3*$FM$12,1.5)),0,1))</f>
        <v>#N/A</v>
      </c>
    </row>
    <row r="124" spans="1:169">
      <c r="A124" s="96">
        <f t="shared" si="167"/>
        <v>88.900000000000631</v>
      </c>
      <c r="B124" s="97">
        <v>11.1</v>
      </c>
      <c r="C124" s="81">
        <f>IF(B124&lt;=Hypothèses!$C$7,Hypothèses!$A$7,IF(B124&lt;=Hypothèses!$C$8,Hypothèses!$A$8,IF(B124&lt;=Hypothèses!$C$9,Hypothèses!$A$9,IF(B124&lt;=Hypothèses!$C$10,Hypothèses!$A$10,IF(B124&lt;=Hypothèses!$C$11,Hypothèses!$A$11,IF(B124&lt;=Hypothèses!$C$12,Hypothèses!$A$12,IF(B124&lt;=Hypothèses!$C$13,Hypothèses!$A$13,IF(B124&lt;=Hypothèses!$C$14,Hypothèses!$A$14,IF(B124&lt;=Hypothèses!$C$15,Hypothèses!$A$15,IF(B124&lt;=Hypothèses!$C$16,Hypothèses!$A$16,IF(B124&lt;=Hypothèses!$C$17,Hypothèses!$A$17,IF(B124&lt;=Hypothèses!$C$18,Hypothèses!$A$18,C123))))))))))))</f>
        <v>11</v>
      </c>
      <c r="D124" s="82" t="str">
        <f>IF(B124&lt;=Hypothèses!$C$7,Hypothèses!$R$7,IF(B124&lt;=Hypothèses!$C$8,Hypothèses!$R$8,IF(B124&lt;=Hypothèses!$C$9,Hypothèses!$R$9,IF(B124&lt;=Hypothèses!$C$10,Hypothèses!$R$10,IF(B124&lt;=Hypothèses!$C$11,Hypothèses!$R$11,IF(B124&lt;=Hypothèses!$C$12,Hypothèses!$R$12,IF(B124&lt;=Hypothèses!$C$13,Hypothèses!$R$13,IF(B124&lt;=Hypothèses!$C$14,Hypothèses!$R$14,IF(B124&lt;=Hypothèses!$C$15,Hypothèses!$R$15,IF(B124&lt;=Hypothèses!$C$16,Hypothèses!$R$16,IF(B124&lt;=Hypothèses!$C$17,Hypothèses!$R$17,IF(B124&lt;=Hypothèses!$C$18,Hypothèses!$R$18,D123))))))))))))</f>
        <v>Pressio.</v>
      </c>
      <c r="E124" s="82" t="e">
        <f>IF(B124&lt;=Hypothèses!$C$7,Hypothèses!$G$7,IF(B124&lt;=Hypothèses!$C$8,Hypothèses!$G$8,IF(B124&lt;=Hypothèses!$C$9,Hypothèses!$G$9,IF(B124&lt;=Hypothèses!$C$10,Hypothèses!$G$10,IF(B124&lt;=Hypothèses!$C$11,Hypothèses!$G$11,IF(B124&lt;=Hypothèses!$C$12,Hypothèses!$G$12,IF(B124&lt;=Hypothèses!$C$13,Hypothèses!$G$13,IF(B124&lt;=Hypothèses!$C$14,Hypothèses!$G$14,IF(B124&lt;=Hypothèses!$C$15,Hypothèses!$G$15,IF(B124&lt;=Hypothèses!$C$16,Hypothèses!$G$16,IF(B124&lt;=Hypothèses!$C$17,Hypothèses!$G$17,IF(B124&lt;=Hypothèses!$C$18,Hypothèses!$G$18,E123))))))))))))</f>
        <v>#N/A</v>
      </c>
      <c r="F124" s="82" t="str">
        <f>IF(B124&lt;=Hypothèses!$C$7,Hypothèses!$F$7,IF(B124&lt;=Hypothèses!$C$8,Hypothèses!$F$8,IF(B124&lt;=Hypothèses!$C$9,Hypothèses!$F$9,IF(B124&lt;=Hypothèses!$C$10,Hypothèses!$F$10,IF(B124&lt;=Hypothèses!$C$11,Hypothèses!$F$11,IF(B124&lt;=Hypothèses!$C$12,Hypothèses!$F$12,IF(B124&lt;=Hypothèses!$C$13,Hypothèses!$F$13,IF(B124&lt;=Hypothèses!$C$14,Hypothèses!$F$14,IF(B124&lt;=Hypothèses!$C$15,Hypothèses!$F$15,IF(B124&lt;=Hypothèses!$C$16,Hypothèses!$F$16,IF(B124&lt;=Hypothèses!$C$17,Hypothèses!$F$17,IF(B124&lt;=Hypothèses!$C$18,Hypothèses!$F$18,F123))))))))))))</f>
        <v/>
      </c>
      <c r="G124" s="91">
        <f t="array" ref="G124">INDEX('Coeff EC7'!$U$7:$X$27,
MATCH(Model0.1C!$B$3,'Coeff EC7'!$T$7:$T$27,0),
MATCH(Model0.1C!$D124&amp;Model0.1C!$B$4,
'Coeff EC7'!$U$6:$X$6&amp;
'Coeff EC7'!$U$5:$X$5,0))</f>
        <v>1.1499999999999999</v>
      </c>
      <c r="H124" s="91">
        <f t="array" ref="H124">INDEX('Coeff EC7'!$Y$7:$AB$27,
MATCH(Model0.1C!$B$3,'Coeff EC7'!$T$7:$T$27,0),
MATCH(Model0.1C!$D124&amp;Model0.1C!$B$4,
'Coeff EC7'!$Y$6:$AB$6&amp;
'Coeff EC7'!$Y$5:$AB$5,0))</f>
        <v>1.4</v>
      </c>
      <c r="I124" s="83" t="e">
        <f>IF(B124&lt;=Hypothèses!$C$7,Hypothèses!$P$7,IF(B124&lt;=Hypothèses!$C$8,Hypothèses!$P$8,IF(B124&lt;=Hypothèses!$C$9,Hypothèses!$P$9,IF(B124&lt;=Hypothèses!$C$10,Hypothèses!$P$10,IF(B124&lt;=Hypothèses!$C$11,Hypothèses!$P$11,IF(B124&lt;=Hypothèses!$C$12,Hypothèses!$P$12,IF(B124&lt;=Hypothèses!$C$13,Hypothèses!$P$13,IF(B124&lt;=Hypothèses!$C$14,Hypothèses!$P$14,IF(B124&lt;=Hypothèses!$C$15,Hypothèses!$P$15,IF(B124&lt;=Hypothèses!$C$16,Hypothèses!$P$16,IF(B124&lt;=Hypothèses!$C$17,Hypothèses!$P$17,IF(B124&lt;=Hypothèses!$C$18,Hypothèses!$P$18,I123))))))))))))</f>
        <v>#N/A</v>
      </c>
      <c r="J124" s="91" t="e">
        <f t="array" ref="J124">INDEX('Coeff EC7'!$D$33:$Q$33,1,MATCH(D124&amp;E124,'Coeff EC7'!$D$31:$Q$31&amp;'Coeff EC7'!$D$32:$Q$32,0))</f>
        <v>#N/A</v>
      </c>
      <c r="K124" s="91" t="e">
        <f t="array" ref="K124">INDEX('Coeff EC7'!$D$34:$Q$34,1,MATCH(D124&amp;E124,'Coeff EC7'!$D$31:$Q$31&amp;'Coeff EC7'!$D$32:$Q$32,0))</f>
        <v>#N/A</v>
      </c>
      <c r="L124" s="91" t="e">
        <f t="array" ref="L124">INDEX('Coeff EC7'!$D$35:$Q$35,1,MATCH(D124&amp;E124,'Coeff EC7'!$D$31:$Q$31&amp;'Coeff EC7'!$D$32:$Q$32,0))</f>
        <v>#N/A</v>
      </c>
      <c r="M124" s="98" t="e">
        <f t="shared" si="131"/>
        <v>#N/A</v>
      </c>
      <c r="N124" s="99" t="e">
        <f t="array" ref="N124">INDEX('Coeff EC7'!$D$7:$Q$27,MATCH($B$3,'Coeff EC7'!$C$7:$C$27,0),MATCH(D124&amp;E124,'Coeff EC7'!$D$5:$Q$5&amp;'Coeff EC7'!$D$6:$Q$6,0))</f>
        <v>#N/A</v>
      </c>
      <c r="O124" s="99" t="e">
        <f t="array" ref="O124">INDEX('Coeff EC7'!$D$41:$Q$61,MATCH($B$3,'Coeff EC7'!$C$41:$C$61,0),MATCH(D124&amp;E124,'Coeff EC7'!$D$39:$Q$39&amp;'Coeff EC7'!$D$40:$Q$40,0))</f>
        <v>#N/A</v>
      </c>
      <c r="P124" s="30" t="e">
        <f t="shared" si="168"/>
        <v>#N/A</v>
      </c>
      <c r="Q124" s="100" t="e">
        <f t="shared" si="133"/>
        <v>#N/A</v>
      </c>
      <c r="R124" s="86" t="b">
        <f t="shared" si="134"/>
        <v>0</v>
      </c>
      <c r="S124" s="86">
        <f t="shared" si="132"/>
        <v>0.5</v>
      </c>
      <c r="T124" s="86">
        <f t="shared" si="135"/>
        <v>0.5</v>
      </c>
      <c r="U124" s="30" t="e">
        <f t="shared" ca="1" si="169"/>
        <v>#DIV/0!</v>
      </c>
      <c r="V124" s="85" t="str">
        <f>IF(B124&lt;=Hypothèses!$V$7,Hypothèses!$W$7,IF(B124&lt;=Hypothèses!$V$8,Hypothèses!$W$8,IF(B124&lt;=Hypothèses!$V$9,Hypothèses!$W$9,IF(B124&lt;=Hypothèses!$V$10,Hypothèses!$W$10,IF(B124&lt;=Hypothèses!$V$11,Hypothèses!$W$11,IF(B124&lt;=Hypothèses!$V$12,Hypothèses!$W$12,IF(B124&lt;=Hypothèses!$V$13,Hypothèses!$W$13,IF(B124&lt;=Hypothèses!$V$14,Hypothèses!$W$14,IF(B124&lt;=Hypothèses!$V$15,Hypothèses!$W$15,IF(B124&lt;=Hypothèses!$V$16,Hypothèses!$W$16,IF(B124&lt;=Hypothèses!$V$17,Hypothèses!$W$17,IF(B124&lt;=Hypothèses!$V$18,Hypothèses!$W$18,""))))))))))))</f>
        <v/>
      </c>
      <c r="W124" s="87" t="e">
        <f t="shared" ca="1" si="216"/>
        <v>#DIV/0!</v>
      </c>
      <c r="X124" s="88" t="str">
        <f>IF(B124&lt;=Hypothèses!$V$7,Hypothèses!$X$7,IF(B124&lt;=Hypothèses!$V$8,Hypothèses!$X$8,IF(B124&lt;=Hypothèses!$V$9,Hypothèses!$X$9,IF(B124&lt;=Hypothèses!$V$10,Hypothèses!$X$10,IF(B124&lt;=Hypothèses!$V$11,Hypothèses!$X$11,IF(B124&lt;=Hypothèses!$V$12,Hypothèses!$X$12,IF(B124&lt;=Hypothèses!$V$13,Hypothèses!$X$13,IF(B124&lt;=Hypothèses!$V$14,Hypothèses!$X$14,IF(B124&lt;=Hypothèses!$V$15,Hypothèses!$X$15,IF(B124&lt;=Hypothèses!$V$16,Hypothèses!$X$16,IF(B124&lt;=Hypothèses!$U$17,Hypothèses!$W$17,IF(B124&lt;=Hypothèses!$U$18,Hypothèses!$W$18,""))))))))))))</f>
        <v/>
      </c>
      <c r="Y124" s="95" t="e">
        <f t="shared" ca="1" si="136"/>
        <v>#DIV/0!</v>
      </c>
      <c r="Z124" s="101" t="e">
        <f t="shared" si="137"/>
        <v>#N/A</v>
      </c>
      <c r="AA124" s="91" t="e">
        <f t="shared" si="138"/>
        <v>#N/A</v>
      </c>
      <c r="AB124" s="30" t="e">
        <f t="shared" si="200"/>
        <v>#N/A</v>
      </c>
      <c r="AC124" s="30" t="e">
        <f t="shared" si="201"/>
        <v>#N/A</v>
      </c>
      <c r="AD124" s="31" t="e">
        <f>IF(OR(Hypothèses!$B$4=17,Hypothèses!$B$4=18,Hypothèses!$B$4=19,Hypothèses!$B$4=20),
IF($D124="Pressio.",
IF(OR($E124=3,$E124=1,$E124=4),AC124,AB124),
IF($D124="Pénétro.",
IF(OR($E124=3,$E124=1,$E124=4),AC124,AB124))),IF($D124="Pressio.",
IF($E124=3,AC124,AB124),
IF($D124="Pénétro.",
IF($E124=4,AC124,AB124))))</f>
        <v>#N/A</v>
      </c>
      <c r="AE124" s="31" t="e">
        <f>(IF(OR(Hypothèses!$B$4=17,Hypothèses!$B$4=18,Hypothèses!$B$4=19,Hypothèses!$B$4=20),
IF($D124="Pressio.",
IF(OR($E124=3,$E124=1,$E124=4),(PI()*AE$12^2)/4*(AA124*$W124*1000)/($H124*$B$5),(PI()*AE$12^2)/4*(AA124*$W124*1000)/($G124*$B$5)),
IF($D124="Pénétro.",
IF(OR($E124=4,$E124=1,$E124=5),(PI()*AE$12^2)/4*(AA124*$W124*1000)/($H124*$B$5),(PI()*AE$12^2)/4*(AA124*$W124*1000)/($G124*$B$5)))),
IF($D124="Pressio.",
IF($E124=3,(PI()*AE$12^2)/4*(AA124*$W124*1000)/($H124*$B$5),(PI()*AE$12^2)/4*(AA124*$W124*1000)/($G124*$B$5)),
IF($D124="Pénétro.",
IF($E124=4,(PI()*AE$12^2)/4*(AA124*$W124*1000)/($H124*$B$5),(PI()*AE$12^2)/4*(AA124*$W124*1000)/($G124*$B$5))))))/10</f>
        <v>#N/A</v>
      </c>
      <c r="AF124" s="102" t="e">
        <f>(VLOOKUP($B$3,'Coeff EC7'!$T$39:$X$59,2,0)*AD124+VLOOKUP($B$3,'Coeff EC7'!$T$65:$X$85,2,0)*Model0.1C!AE124)/1.1</f>
        <v>#N/A</v>
      </c>
      <c r="AG124" s="102" t="e">
        <f>(VLOOKUP($B$3,'Coeff EC7'!$T$39:$X$59,3,0)*AD124+VLOOKUP($B$3,'Coeff EC7'!$T$65:$X$85,3,0)*Model0.1C!AE124)/0.9</f>
        <v>#N/A</v>
      </c>
      <c r="AH124" s="102" t="e">
        <f t="shared" si="139"/>
        <v>#N/A</v>
      </c>
      <c r="AI124" s="102" t="e">
        <f t="shared" si="140"/>
        <v>#N/A</v>
      </c>
      <c r="AJ124" s="414" t="e">
        <f>IF(AJ123=0,0,IF(AND(AF124&gt;charge_ELS_quasi,AG124&gt;Charge_ELS_freq,AH124&gt;charge_ELU,AI124&gt;charge_ELA,$B124&gt;NDC!$H$22-0.1+MIN(3*$AJ$12,1.5)),0,1))</f>
        <v>#N/A</v>
      </c>
      <c r="AK124" s="86" t="b">
        <f t="shared" si="141"/>
        <v>0</v>
      </c>
      <c r="AL124" s="86">
        <f t="shared" si="170"/>
        <v>0.5</v>
      </c>
      <c r="AM124" s="86">
        <f t="shared" si="142"/>
        <v>0.5</v>
      </c>
      <c r="AN124" s="30" t="e">
        <f t="shared" ca="1" si="171"/>
        <v>#DIV/0!</v>
      </c>
      <c r="AO124" s="85" t="e">
        <f ca="1">IF(U124&lt;=Hypothèses!$V$7,Hypothèses!$W$7,IF(U124&lt;=Hypothèses!$V$8,Hypothèses!$W$8,IF(U124&lt;=Hypothèses!$V$9,Hypothèses!$W$9,IF(U124&lt;=Hypothèses!$V$10,Hypothèses!$W$10,IF(U124&lt;=Hypothèses!$V$11,Hypothèses!$W$11,IF(U124&lt;=Hypothèses!$V$12,Hypothèses!$W$12,IF(U124&lt;=Hypothèses!$V$13,Hypothèses!$W$13,IF(U124&lt;=Hypothèses!$V$14,Hypothèses!$W$14,IF(U124&lt;=Hypothèses!$V$15,Hypothèses!$W$15,IF(U124&lt;=Hypothèses!$V$16,Hypothèses!$W$16,IF(U124&lt;=Hypothèses!$V$17,Hypothèses!$W$17,IF(U124&lt;=Hypothèses!$V$18,Hypothèses!$W$18,""))))))))))))</f>
        <v>#DIV/0!</v>
      </c>
      <c r="AP124" s="87" t="e">
        <f t="shared" ca="1" si="217"/>
        <v>#DIV/0!</v>
      </c>
      <c r="AQ124" s="88" t="e">
        <f ca="1">IF(U124&lt;=Hypothèses!$V$7,Hypothèses!$X$7,IF(U124&lt;=Hypothèses!$V$8,Hypothèses!$X$8,IF(U124&lt;=Hypothèses!$V$9,Hypothèses!$X$9,IF(U124&lt;=Hypothèses!$V$10,Hypothèses!$X$10,IF(U124&lt;=Hypothèses!$V$11,Hypothèses!$X$11,IF(U124&lt;=Hypothèses!$V$12,Hypothèses!$X$12,IF(U124&lt;=Hypothèses!$V$13,Hypothèses!$X$13,IF(U124&lt;=Hypothèses!$V$14,Hypothèses!$X$14,IF(U124&lt;=Hypothèses!$V$15,Hypothèses!$X$15,IF(U124&lt;=Hypothèses!$V$16,Hypothèses!$X$16,IF(U124&lt;=Hypothèses!$U$17,Hypothèses!$W$17,IF(U124&lt;=Hypothèses!$U$18,Hypothèses!$W$18,""))))))))))))</f>
        <v>#DIV/0!</v>
      </c>
      <c r="AR124" s="95" t="e">
        <f t="shared" ca="1" si="172"/>
        <v>#DIV/0!</v>
      </c>
      <c r="AS124" s="101" t="e">
        <f t="shared" si="224"/>
        <v>#N/A</v>
      </c>
      <c r="AT124" s="91" t="e">
        <f t="shared" si="143"/>
        <v>#N/A</v>
      </c>
      <c r="AU124" s="30" t="e">
        <f t="shared" si="202"/>
        <v>#N/A</v>
      </c>
      <c r="AV124" s="30" t="e">
        <f t="shared" si="203"/>
        <v>#N/A</v>
      </c>
      <c r="AW124" s="31" t="e">
        <f>IF(OR(Hypothèses!$B$4=17,Hypothèses!$B$4=18,Hypothèses!$B$4=19,Hypothèses!$B$4=20),
IF($D124="Pressio.",
IF(OR($E124=3,$E124=1,$E124=4),AV124,AU124),
IF($D124="Pénétro.",
IF(OR($E124=3,$E124=1,$E124=4),AV124,AU124))),IF($D124="Pressio.",
IF($E124=3,AV124,AU124),
IF($D124="Pénétro.",
IF($E124=4,AV124,AU124))))</f>
        <v>#N/A</v>
      </c>
      <c r="AX124" s="31" t="e">
        <f>(IF(OR(Hypothèses!$B$4=17,Hypothèses!$B$4=18,Hypothèses!$B$4=19,Hypothèses!$B$4=20),
IF($D124="Pressio.",
IF(OR($E124=3,$E124=1,$E124=4),(PI()*AX$12^2)/4*(AT124*$W124*1000)/($H124*$B$5),(PI()*AX$12^2)/4*(AT124*$W124*1000)/($G124*$B$5)),
IF($D124="Pénétro.",
IF(OR($E124=4,$E124=1,$E124=5),(PI()*AX$12^2)/4*(AT124*$W124*1000)/($H124*$B$5),(PI()*AX$12^2)/4*(AT124*$W124*1000)/($G124*$B$5)))),
IF($D124="Pressio.",
IF($E124=3,(PI()*AX$12^2)/4*(AT124*$W124*1000)/($H124*$B$5),(PI()*AX$12^2)/4*(AT124*$W124*1000)/($G124*$B$5)),
IF($D124="Pénétro.",
IF($E124=4,(PI()*AX$12^2)/4*(AT124*$W124*1000)/($H124*$B$5),(PI()*AX$12^2)/4*(AT124*$W124*1000)/($G124*$B$5))))))/10</f>
        <v>#N/A</v>
      </c>
      <c r="AY124" s="102" t="e">
        <f>(VLOOKUP($B$3,'Coeff EC7'!$T$39:$X$59,2,0)*AW124+VLOOKUP($B$3,'Coeff EC7'!$T$65:$X$85,2,0)*Model0.1C!AX124)/1.1</f>
        <v>#N/A</v>
      </c>
      <c r="AZ124" s="102" t="e">
        <f>(VLOOKUP($B$3,'Coeff EC7'!$T$39:$X$59,3,0)*AW124+VLOOKUP($B$3,'Coeff EC7'!$T$65:$X$85,3,0)*Model0.1C!AX124)/0.9</f>
        <v>#N/A</v>
      </c>
      <c r="BA124" s="102" t="e">
        <f t="shared" si="173"/>
        <v>#N/A</v>
      </c>
      <c r="BB124" s="102" t="e">
        <f t="shared" si="174"/>
        <v>#N/A</v>
      </c>
      <c r="BC124" s="414" t="e">
        <f>IF(BC123=0,0,IF(AND(AY124&gt;charge_ELS_quasi,AZ124&gt;Charge_ELS_freq,BA124&gt;charge_ELU,BB124&gt;charge_ELA,$B124&gt;NDC!$H$22-0.1+MIN(3*$BC$12,1.5)),0,1))</f>
        <v>#N/A</v>
      </c>
      <c r="BD124" s="86" t="b">
        <f t="shared" si="144"/>
        <v>0</v>
      </c>
      <c r="BE124" s="86">
        <f t="shared" si="175"/>
        <v>0.5</v>
      </c>
      <c r="BF124" s="86">
        <f t="shared" si="145"/>
        <v>0.5</v>
      </c>
      <c r="BG124" s="30" t="e">
        <f t="shared" ca="1" si="176"/>
        <v>#DIV/0!</v>
      </c>
      <c r="BH124" s="85" t="e">
        <f ca="1">IF(AN124&lt;=Hypothèses!$V$7,Hypothèses!$W$7,IF(AN124&lt;=Hypothèses!$V$8,Hypothèses!$W$8,IF(AN124&lt;=Hypothèses!$V$9,Hypothèses!$W$9,IF(AN124&lt;=Hypothèses!$V$10,Hypothèses!$W$10,IF(AN124&lt;=Hypothèses!$V$11,Hypothèses!$W$11,IF(AN124&lt;=Hypothèses!$V$12,Hypothèses!$W$12,IF(AN124&lt;=Hypothèses!$V$13,Hypothèses!$W$13,IF(AN124&lt;=Hypothèses!$V$14,Hypothèses!$W$14,IF(AN124&lt;=Hypothèses!$V$15,Hypothèses!$W$15,IF(AN124&lt;=Hypothèses!$V$16,Hypothèses!$W$16,IF(AN124&lt;=Hypothèses!$V$17,Hypothèses!$W$17,IF(AN124&lt;=Hypothèses!$V$18,Hypothèses!$W$18,""))))))))))))</f>
        <v>#DIV/0!</v>
      </c>
      <c r="BI124" s="87" t="e">
        <f t="shared" ca="1" si="218"/>
        <v>#DIV/0!</v>
      </c>
      <c r="BJ124" s="88" t="e">
        <f ca="1">IF(AN124&lt;=Hypothèses!$V$7,Hypothèses!$X$7,IF(AN124&lt;=Hypothèses!$V$8,Hypothèses!$X$8,IF(AN124&lt;=Hypothèses!$V$9,Hypothèses!$X$9,IF(AN124&lt;=Hypothèses!$V$10,Hypothèses!$X$10,IF(AN124&lt;=Hypothèses!$V$11,Hypothèses!$X$11,IF(AN124&lt;=Hypothèses!$V$12,Hypothèses!$X$12,IF(AN124&lt;=Hypothèses!$V$13,Hypothèses!$X$13,IF(AN124&lt;=Hypothèses!$V$14,Hypothèses!$X$14,IF(AN124&lt;=Hypothèses!$V$15,Hypothèses!$X$15,IF(AN124&lt;=Hypothèses!$V$16,Hypothèses!$X$16,IF(AN124&lt;=Hypothèses!$U$17,Hypothèses!$W$17,IF(AN124&lt;=Hypothèses!$U$18,Hypothèses!$W$18,""))))))))))))</f>
        <v>#DIV/0!</v>
      </c>
      <c r="BK124" s="95" t="e">
        <f t="shared" ca="1" si="177"/>
        <v>#DIV/0!</v>
      </c>
      <c r="BL124" s="101" t="e">
        <f t="shared" si="225"/>
        <v>#N/A</v>
      </c>
      <c r="BM124" s="91" t="e">
        <f t="shared" si="146"/>
        <v>#N/A</v>
      </c>
      <c r="BN124" s="30" t="e">
        <f t="shared" si="204"/>
        <v>#N/A</v>
      </c>
      <c r="BO124" s="30" t="e">
        <f t="shared" si="205"/>
        <v>#N/A</v>
      </c>
      <c r="BP124" s="31" t="e">
        <f>IF(OR(Hypothèses!$B$4=17,Hypothèses!$B$4=18,Hypothèses!$B$4=19,Hypothèses!$B$4=20),
IF($D124="Pressio.",
IF(OR($E124=3,$E124=1,$E124=4),BO124,BN124),
IF($D124="Pénétro.",
IF(OR($E124=3,$E124=1,$E124=4),BO124,BN124))),IF($D124="Pressio.",
IF($E124=3,BO124,BN124),
IF($D124="Pénétro.",
IF($E124=4,BO124,BN124))))</f>
        <v>#N/A</v>
      </c>
      <c r="BQ124" s="31" t="e">
        <f>(IF(OR(Hypothèses!$B$4=17,Hypothèses!$B$4=18,Hypothèses!$B$4=19,Hypothèses!$B$4=20),
IF($D124="Pressio.",
IF(OR($E124=3,$E124=1,$E124=4),(PI()*BQ$12^2)/4*(BM124*$W124*1000)/($H124*$B$5),(PI()*BQ$12^2)/4*(BM124*$W124*1000)/($G124*$B$5)),
IF($D124="Pénétro.",
IF(OR($E124=4,$E124=1,$E124=5),(PI()*BQ$12^2)/4*(BM124*$W124*1000)/($H124*$B$5),(PI()*BQ$12^2)/4*(BM124*$W124*1000)/($G124*$B$5)))),
IF($D124="Pressio.",
IF($E124=3,(PI()*BQ$12^2)/4*(BM124*$W124*1000)/($H124*$B$5),(PI()*BQ$12^2)/4*(BM124*$W124*1000)/($G124*$B$5)),
IF($D124="Pénétro.",
IF($E124=4,(PI()*BQ$12^2)/4*(BM124*$W124*1000)/($H124*$B$5),(PI()*BQ$12^2)/4*(BM124*$W124*1000)/($G124*$B$5))))))/10</f>
        <v>#N/A</v>
      </c>
      <c r="BR124" s="102" t="e">
        <f>(VLOOKUP($B$3,'Coeff EC7'!$T$39:$X$59,2,0)*BP124+VLOOKUP($B$3,'Coeff EC7'!$T$65:$X$85,2,0)*Model0.1C!BQ124)/1.1</f>
        <v>#N/A</v>
      </c>
      <c r="BS124" s="102" t="e">
        <f>(VLOOKUP($B$3,'Coeff EC7'!$T$39:$X$59,3,0)*BP124+VLOOKUP($B$3,'Coeff EC7'!$T$65:$X$85,3,0)*Model0.1C!BQ124)/0.9</f>
        <v>#N/A</v>
      </c>
      <c r="BT124" s="102" t="e">
        <f t="shared" si="178"/>
        <v>#N/A</v>
      </c>
      <c r="BU124" s="102" t="e">
        <f t="shared" si="179"/>
        <v>#N/A</v>
      </c>
      <c r="BV124" s="414" t="e">
        <f>IF(BV123=0,0,IF(AND(BR124&gt;charge_ELS_quasi,BS124&gt;Charge_ELS_freq,BT124&gt;charge_ELU,BU124&gt;charge_ELA,$B124&gt;NDC!$H$22-0.1+MIN(3*$BV$12,1.5)),0,1))</f>
        <v>#N/A</v>
      </c>
      <c r="BW124" s="86" t="b">
        <f t="shared" si="147"/>
        <v>0</v>
      </c>
      <c r="BX124" s="86">
        <f t="shared" si="148"/>
        <v>0.5</v>
      </c>
      <c r="BY124" s="86">
        <f t="shared" si="149"/>
        <v>0.5</v>
      </c>
      <c r="BZ124" s="30" t="e">
        <f t="shared" ca="1" si="180"/>
        <v>#DIV/0!</v>
      </c>
      <c r="CA124" s="85" t="e">
        <f ca="1">IF(BG124&lt;=Hypothèses!$V$7,Hypothèses!$W$7,IF(BG124&lt;=Hypothèses!$V$8,Hypothèses!$W$8,IF(BG124&lt;=Hypothèses!$V$9,Hypothèses!$W$9,IF(BG124&lt;=Hypothèses!$V$10,Hypothèses!$W$10,IF(BG124&lt;=Hypothèses!$V$11,Hypothèses!$W$11,IF(BG124&lt;=Hypothèses!$V$12,Hypothèses!$W$12,IF(BG124&lt;=Hypothèses!$V$13,Hypothèses!$W$13,IF(BG124&lt;=Hypothèses!$V$14,Hypothèses!$W$14,IF(BG124&lt;=Hypothèses!$V$15,Hypothèses!$W$15,IF(BG124&lt;=Hypothèses!$V$16,Hypothèses!$W$16,IF(BG124&lt;=Hypothèses!$V$17,Hypothèses!$W$17,IF(BG124&lt;=Hypothèses!$V$18,Hypothèses!$W$18,""))))))))))))</f>
        <v>#DIV/0!</v>
      </c>
      <c r="CB124" s="87" t="e">
        <f t="shared" ca="1" si="219"/>
        <v>#DIV/0!</v>
      </c>
      <c r="CC124" s="88" t="e">
        <f ca="1">IF(BG124&lt;=Hypothèses!$V$7,Hypothèses!$X$7,IF(BG124&lt;=Hypothèses!$V$8,Hypothèses!$X$8,IF(BG124&lt;=Hypothèses!$V$9,Hypothèses!$X$9,IF(BG124&lt;=Hypothèses!$V$10,Hypothèses!$X$10,IF(BG124&lt;=Hypothèses!$V$11,Hypothèses!$X$11,IF(BG124&lt;=Hypothèses!$V$12,Hypothèses!$X$12,IF(BG124&lt;=Hypothèses!$V$13,Hypothèses!$X$13,IF(BG124&lt;=Hypothèses!$V$14,Hypothèses!$X$14,IF(BG124&lt;=Hypothèses!$V$15,Hypothèses!$X$15,IF(BG124&lt;=Hypothèses!$V$16,Hypothèses!$X$16,IF(BG124&lt;=Hypothèses!$U$17,Hypothèses!$W$17,IF(BG124&lt;=Hypothèses!$U$18,Hypothèses!$W$18,""))))))))))))</f>
        <v>#DIV/0!</v>
      </c>
      <c r="CD124" s="95" t="e">
        <f t="shared" ca="1" si="181"/>
        <v>#DIV/0!</v>
      </c>
      <c r="CE124" s="101" t="e">
        <f t="shared" si="226"/>
        <v>#N/A</v>
      </c>
      <c r="CF124" s="91" t="e">
        <f t="shared" si="150"/>
        <v>#N/A</v>
      </c>
      <c r="CG124" s="30" t="e">
        <f t="shared" si="206"/>
        <v>#N/A</v>
      </c>
      <c r="CH124" s="30" t="e">
        <f t="shared" si="207"/>
        <v>#N/A</v>
      </c>
      <c r="CI124" s="31" t="e">
        <f>IF(OR(Hypothèses!$B$4=17,Hypothèses!$B$4=18,Hypothèses!$B$4=19,Hypothèses!$B$4=20),
IF($D124="Pressio.",
IF(OR($E124=3,$E124=1,$E124=4),CH124,CG124),
IF($D124="Pénétro.",
IF(OR($E124=3,$E124=1,$E124=4),CH124,CG124))),IF($D124="Pressio.",
IF($E124=3,CH124,CG124),
IF($D124="Pénétro.",
IF($E124=4,CH124,CG124))))</f>
        <v>#N/A</v>
      </c>
      <c r="CJ124" s="31" t="e">
        <f>(IF(OR(Hypothèses!$B$4=17,Hypothèses!$B$4=18,Hypothèses!$B$4=19,Hypothèses!$B$4=20),
IF($D124="Pressio.",
IF(OR($E124=3,$E124=1,$E124=4),(PI()*CJ$12^2)/4*(CF124*$W124*1000)/($H124*$B$5),(PI()*CJ$12^2)/4*(CF124*$W124*1000)/($G124*$B$5)),
IF($D124="Pénétro.",
IF(OR($E124=4,$E124=1,$E124=5),(PI()*CJ$12^2)/4*(CF124*$W124*1000)/($H124*$B$5),(PI()*CJ$12^2)/4*(CF124*$W124*1000)/($G124*$B$5)))),
IF($D124="Pressio.",
IF($E124=3,(PI()*CJ$12^2)/4*(CF124*$W124*1000)/($H124*$B$5),(PI()*CJ$12^2)/4*(CF124*$W124*1000)/($G124*$B$5)),
IF($D124="Pénétro.",
IF($E124=4,(PI()*CJ$12^2)/4*(CF124*$W124*1000)/($H124*$B$5),(PI()*CJ$12^2)/4*(CF124*$W124*1000)/($G124*$B$5))))))/10</f>
        <v>#N/A</v>
      </c>
      <c r="CK124" s="102" t="e">
        <f>(VLOOKUP($B$3,'Coeff EC7'!$T$39:$X$59,2,0)*CI124+VLOOKUP($B$3,'Coeff EC7'!$T$65:$X$85,2,0)*Model0.1C!CJ124)/1.1</f>
        <v>#N/A</v>
      </c>
      <c r="CL124" s="102" t="e">
        <f>(VLOOKUP($B$3,'Coeff EC7'!$T$39:$X$59,3,0)*CI124+VLOOKUP($B$3,'Coeff EC7'!$T$65:$X$85,3,0)*Model0.1C!CJ124)/0.9</f>
        <v>#N/A</v>
      </c>
      <c r="CM124" s="102" t="e">
        <f t="shared" si="182"/>
        <v>#N/A</v>
      </c>
      <c r="CN124" s="102" t="e">
        <f t="shared" si="183"/>
        <v>#N/A</v>
      </c>
      <c r="CO124" s="414" t="e">
        <f>IF(CO123=0,0,IF(AND(CK124&gt;charge_ELS_quasi,CL124&gt;Charge_ELS_freq,CM124&gt;charge_ELU,CN124&gt;charge_ELA,$B124&gt;NDC!$H$22-0.1+MIN(3*$CO$12,1.5)),0,1))</f>
        <v>#N/A</v>
      </c>
      <c r="CP124" s="86" t="b">
        <f t="shared" si="151"/>
        <v>0</v>
      </c>
      <c r="CQ124" s="86">
        <f t="shared" si="152"/>
        <v>0.5</v>
      </c>
      <c r="CR124" s="86">
        <f t="shared" si="153"/>
        <v>0.5</v>
      </c>
      <c r="CS124" s="30" t="e">
        <f t="shared" ca="1" si="184"/>
        <v>#DIV/0!</v>
      </c>
      <c r="CT124" s="85" t="e">
        <f ca="1">IF(BZ124&lt;=Hypothèses!$V$7,Hypothèses!$W$7,IF(BZ124&lt;=Hypothèses!$V$8,Hypothèses!$W$8,IF(BZ124&lt;=Hypothèses!$V$9,Hypothèses!$W$9,IF(BZ124&lt;=Hypothèses!$V$10,Hypothèses!$W$10,IF(BZ124&lt;=Hypothèses!$V$11,Hypothèses!$W$11,IF(BZ124&lt;=Hypothèses!$V$12,Hypothèses!$W$12,IF(BZ124&lt;=Hypothèses!$V$13,Hypothèses!$W$13,IF(BZ124&lt;=Hypothèses!$V$14,Hypothèses!$W$14,IF(BZ124&lt;=Hypothèses!$V$15,Hypothèses!$W$15,IF(BZ124&lt;=Hypothèses!$V$16,Hypothèses!$W$16,IF(BZ124&lt;=Hypothèses!$V$17,Hypothèses!$W$17,IF(BZ124&lt;=Hypothèses!$V$18,Hypothèses!$W$18,""))))))))))))</f>
        <v>#DIV/0!</v>
      </c>
      <c r="CU124" s="87" t="e">
        <f t="shared" ca="1" si="220"/>
        <v>#DIV/0!</v>
      </c>
      <c r="CV124" s="88" t="e">
        <f ca="1">IF(BZ124&lt;=Hypothèses!$V$7,Hypothèses!$X$7,IF(BZ124&lt;=Hypothèses!$V$8,Hypothèses!$X$8,IF(BZ124&lt;=Hypothèses!$V$9,Hypothèses!$X$9,IF(BZ124&lt;=Hypothèses!$V$10,Hypothèses!$X$10,IF(BZ124&lt;=Hypothèses!$V$11,Hypothèses!$X$11,IF(BZ124&lt;=Hypothèses!$V$12,Hypothèses!$X$12,IF(BZ124&lt;=Hypothèses!$V$13,Hypothèses!$X$13,IF(BZ124&lt;=Hypothèses!$V$14,Hypothèses!$X$14,IF(BZ124&lt;=Hypothèses!$V$15,Hypothèses!$X$15,IF(BZ124&lt;=Hypothèses!$V$16,Hypothèses!$X$16,IF(BZ124&lt;=Hypothèses!$U$17,Hypothèses!$W$17,IF(BZ124&lt;=Hypothèses!$U$18,Hypothèses!$W$18,""))))))))))))</f>
        <v>#DIV/0!</v>
      </c>
      <c r="CW124" s="95" t="e">
        <f t="shared" ca="1" si="185"/>
        <v>#DIV/0!</v>
      </c>
      <c r="CX124" s="101" t="e">
        <f t="shared" si="227"/>
        <v>#N/A</v>
      </c>
      <c r="CY124" s="91" t="e">
        <f t="shared" si="154"/>
        <v>#N/A</v>
      </c>
      <c r="CZ124" s="30" t="e">
        <f t="shared" si="208"/>
        <v>#N/A</v>
      </c>
      <c r="DA124" s="30" t="e">
        <f t="shared" si="209"/>
        <v>#N/A</v>
      </c>
      <c r="DB124" s="31" t="e">
        <f>IF(OR(Hypothèses!$B$4=17,Hypothèses!$B$4=18,Hypothèses!$B$4=19,Hypothèses!$B$4=20),
IF($D124="Pressio.",
IF(OR($E124=3,$E124=1,$E124=4),DA124,CZ124),
IF($D124="Pénétro.",
IF(OR($E124=3,$E124=1,$E124=4),DA124,CZ124))),IF($D124="Pressio.",
IF($E124=3,DA124,CZ124),
IF($D124="Pénétro.",
IF($E124=4,DA124,CZ124))))</f>
        <v>#N/A</v>
      </c>
      <c r="DC124" s="31" t="e">
        <f>(IF(OR(Hypothèses!$B$4=17,Hypothèses!$B$4=18,Hypothèses!$B$4=19,Hypothèses!$B$4=20),
IF($D124="Pressio.",
IF(OR($E124=3,$E124=1,$E124=4),(PI()*DC$12^2)/4*(CY124*$W124*1000)/($H124*$B$5),(PI()*DC$12^2)/4*(CY124*$W124*1000)/($G124*$B$5)),
IF($D124="Pénétro.",
IF(OR($E124=4,$E124=1,$E124=5),(PI()*DC$12^2)/4*(CY124*$W124*1000)/($H124*$B$5),(PI()*DC$12^2)/4*(CY124*$W124*1000)/($G124*$B$5)))),
IF($D124="Pressio.",
IF($E124=3,(PI()*DC$12^2)/4*(CY124*$W124*1000)/($H124*$B$5),(PI()*DC$12^2)/4*(CY124*$W124*1000)/($G124*$B$5)),
IF($D124="Pénétro.",
IF($E124=4,(PI()*DC$12^2)/4*(CY124*$W124*1000)/($H124*$B$5),(PI()*DC$12^2)/4*(CY124*$W124*1000)/($G124*$B$5))))))/10</f>
        <v>#N/A</v>
      </c>
      <c r="DD124" s="102" t="e">
        <f>(VLOOKUP($B$3,'Coeff EC7'!$T$39:$X$59,2,0)*DB124+VLOOKUP($B$3,'Coeff EC7'!$T$65:$X$85,2,0)*Model0.1C!DC124)/1.1</f>
        <v>#N/A</v>
      </c>
      <c r="DE124" s="102" t="e">
        <f>(VLOOKUP($B$3,'Coeff EC7'!$T$39:$X$59,3,0)*DB124+VLOOKUP($B$3,'Coeff EC7'!$T$65:$X$85,3,0)*Model0.1C!DC124)/0.9</f>
        <v>#N/A</v>
      </c>
      <c r="DF124" s="102" t="e">
        <f t="shared" si="186"/>
        <v>#N/A</v>
      </c>
      <c r="DG124" s="102" t="e">
        <f t="shared" si="187"/>
        <v>#N/A</v>
      </c>
      <c r="DH124" s="414" t="e">
        <f>IF(DH123=0,0,IF(AND(DD124&gt;charge_ELS_quasi,DE124&gt;Charge_ELS_freq,DF124&gt;charge_ELU,DG124&gt;charge_ELA,$B124&gt;NDC!$H$22-0.1+MIN(3*$DH$12,1.5)),0,1))</f>
        <v>#N/A</v>
      </c>
      <c r="DI124" s="86" t="b">
        <f t="shared" si="155"/>
        <v>0</v>
      </c>
      <c r="DJ124" s="86">
        <f t="shared" si="156"/>
        <v>0.5</v>
      </c>
      <c r="DK124" s="86">
        <f t="shared" si="157"/>
        <v>0.5</v>
      </c>
      <c r="DL124" s="30" t="e">
        <f t="shared" ca="1" si="188"/>
        <v>#DIV/0!</v>
      </c>
      <c r="DM124" s="85" t="e">
        <f ca="1">IF(CS124&lt;=Hypothèses!$V$7,Hypothèses!$W$7,IF(CS124&lt;=Hypothèses!$V$8,Hypothèses!$W$8,IF(CS124&lt;=Hypothèses!$V$9,Hypothèses!$W$9,IF(CS124&lt;=Hypothèses!$V$10,Hypothèses!$W$10,IF(CS124&lt;=Hypothèses!$V$11,Hypothèses!$W$11,IF(CS124&lt;=Hypothèses!$V$12,Hypothèses!$W$12,IF(CS124&lt;=Hypothèses!$V$13,Hypothèses!$W$13,IF(CS124&lt;=Hypothèses!$V$14,Hypothèses!$W$14,IF(CS124&lt;=Hypothèses!$V$15,Hypothèses!$W$15,IF(CS124&lt;=Hypothèses!$V$16,Hypothèses!$W$16,IF(CS124&lt;=Hypothèses!$V$17,Hypothèses!$W$17,IF(CS124&lt;=Hypothèses!$V$18,Hypothèses!$W$18,""))))))))))))</f>
        <v>#DIV/0!</v>
      </c>
      <c r="DN124" s="87" t="e">
        <f t="shared" ca="1" si="221"/>
        <v>#DIV/0!</v>
      </c>
      <c r="DO124" s="88" t="e">
        <f ca="1">IF(CS124&lt;=Hypothèses!$V$7,Hypothèses!$X$7,IF(CS124&lt;=Hypothèses!$V$8,Hypothèses!$X$8,IF(CS124&lt;=Hypothèses!$V$9,Hypothèses!$X$9,IF(CS124&lt;=Hypothèses!$V$10,Hypothèses!$X$10,IF(CS124&lt;=Hypothèses!$V$11,Hypothèses!$X$11,IF(CS124&lt;=Hypothèses!$V$12,Hypothèses!$X$12,IF(CS124&lt;=Hypothèses!$V$13,Hypothèses!$X$13,IF(CS124&lt;=Hypothèses!$V$14,Hypothèses!$X$14,IF(CS124&lt;=Hypothèses!$V$15,Hypothèses!$X$15,IF(CS124&lt;=Hypothèses!$V$16,Hypothèses!$X$16,IF(CS124&lt;=Hypothèses!$U$17,Hypothèses!$W$17,IF(CS124&lt;=Hypothèses!$U$18,Hypothèses!$W$18,""))))))))))))</f>
        <v>#DIV/0!</v>
      </c>
      <c r="DP124" s="95" t="e">
        <f t="shared" ca="1" si="189"/>
        <v>#DIV/0!</v>
      </c>
      <c r="DQ124" s="101" t="e">
        <f t="shared" si="228"/>
        <v>#N/A</v>
      </c>
      <c r="DR124" s="91" t="e">
        <f t="shared" si="158"/>
        <v>#N/A</v>
      </c>
      <c r="DS124" s="30" t="e">
        <f t="shared" si="210"/>
        <v>#N/A</v>
      </c>
      <c r="DT124" s="30" t="e">
        <f t="shared" si="211"/>
        <v>#N/A</v>
      </c>
      <c r="DU124" s="31" t="e">
        <f>IF(OR(Hypothèses!$B$4=17,Hypothèses!$B$4=18,Hypothèses!$B$4=19,Hypothèses!$B$4=20),
IF($D124="Pressio.",
IF(OR($E124=3,$E124=1,$E124=4),DT124,DS124),
IF($D124="Pénétro.",
IF(OR($E124=3,$E124=1,$E124=4),DT124,DS124))),IF($D124="Pressio.",
IF($E124=3,DT124,DS124),
IF($D124="Pénétro.",
IF($E124=4,DT124,DS124))))</f>
        <v>#N/A</v>
      </c>
      <c r="DV124" s="31" t="e">
        <f>(IF(OR(Hypothèses!$B$4=17,Hypothèses!$B$4=18,Hypothèses!$B$4=19,Hypothèses!$B$4=20),
IF($D124="Pressio.",
IF(OR($E124=3,$E124=1,$E124=4),(PI()*DV$12^2)/4*(DR124*$W124*1000)/($H124*$B$5),(PI()*DV$12^2)/4*(DR124*$W124*1000)/($G124*$B$5)),
IF($D124="Pénétro.",
IF(OR($E124=4,$E124=1,$E124=5),(PI()*DV$12^2)/4*(DR124*$W124*1000)/($H124*$B$5),(PI()*DV$12^2)/4*(DR124*$W124*1000)/($G124*$B$5)))),
IF($D124="Pressio.",
IF($E124=3,(PI()*DV$12^2)/4*(DR124*$W124*1000)/($H124*$B$5),(PI()*DV$12^2)/4*(DR124*$W124*1000)/($G124*$B$5)),
IF($D124="Pénétro.",
IF($E124=4,(PI()*DV$12^2)/4*(DR124*$W124*1000)/($H124*$B$5),(PI()*DV$12^2)/4*(DR124*$W124*1000)/($G124*$B$5))))))/10</f>
        <v>#N/A</v>
      </c>
      <c r="DW124" s="102" t="e">
        <f>(VLOOKUP($B$3,'Coeff EC7'!$T$39:$X$59,2,0)*DU124+VLOOKUP($B$3,'Coeff EC7'!$T$65:$X$85,2,0)*Model0.1C!DV124)/1.1</f>
        <v>#N/A</v>
      </c>
      <c r="DX124" s="102" t="e">
        <f>(VLOOKUP($B$3,'Coeff EC7'!$T$39:$X$59,3,0)*DU124+VLOOKUP($B$3,'Coeff EC7'!$T$65:$X$85,3,0)*Model0.1C!DV124)/0.9</f>
        <v>#N/A</v>
      </c>
      <c r="DY124" s="102" t="e">
        <f t="shared" si="190"/>
        <v>#N/A</v>
      </c>
      <c r="DZ124" s="102" t="e">
        <f t="shared" si="191"/>
        <v>#N/A</v>
      </c>
      <c r="EA124" s="414" t="e">
        <f>IF(EA123=0,0,IF(AND(DW124&gt;charge_ELS_quasi,DX124&gt;Charge_ELS_freq,DY124&gt;charge_ELU,DZ124&gt;charge_ELA,$B124&gt;NDC!$H$22-0.1+MIN(3*$EA$12,1.5)),0,1))</f>
        <v>#N/A</v>
      </c>
      <c r="EB124" s="86" t="b">
        <f t="shared" si="159"/>
        <v>0</v>
      </c>
      <c r="EC124" s="418">
        <f t="shared" si="160"/>
        <v>0.51</v>
      </c>
      <c r="ED124" s="86">
        <f t="shared" si="161"/>
        <v>0.51</v>
      </c>
      <c r="EE124" s="30" t="e">
        <f t="shared" ca="1" si="192"/>
        <v>#DIV/0!</v>
      </c>
      <c r="EF124" s="85" t="e">
        <f ca="1">IF(DL124&lt;=Hypothèses!$V$7,Hypothèses!$W$7,IF(DL124&lt;=Hypothèses!$V$8,Hypothèses!$W$8,IF(DL124&lt;=Hypothèses!$V$9,Hypothèses!$W$9,IF(DL124&lt;=Hypothèses!$V$10,Hypothèses!$W$10,IF(DL124&lt;=Hypothèses!$V$11,Hypothèses!$W$11,IF(DL124&lt;=Hypothèses!$V$12,Hypothèses!$W$12,IF(DL124&lt;=Hypothèses!$V$13,Hypothèses!$W$13,IF(DL124&lt;=Hypothèses!$V$14,Hypothèses!$W$14,IF(DL124&lt;=Hypothèses!$V$15,Hypothèses!$W$15,IF(DL124&lt;=Hypothèses!$V$16,Hypothèses!$W$16,IF(DL124&lt;=Hypothèses!$V$17,Hypothèses!$W$17,IF(DL124&lt;=Hypothèses!$V$18,Hypothèses!$W$18,""))))))))))))</f>
        <v>#DIV/0!</v>
      </c>
      <c r="EG124" s="87" t="e">
        <f t="shared" ca="1" si="222"/>
        <v>#DIV/0!</v>
      </c>
      <c r="EH124" s="88" t="e">
        <f ca="1">IF(DL124&lt;=Hypothèses!$V$7,Hypothèses!$X$7,IF(DL124&lt;=Hypothèses!$V$8,Hypothèses!$X$8,IF(DL124&lt;=Hypothèses!$V$9,Hypothèses!$X$9,IF(DL124&lt;=Hypothèses!$V$10,Hypothèses!$X$10,IF(DL124&lt;=Hypothèses!$V$11,Hypothèses!$X$11,IF(DL124&lt;=Hypothèses!$V$12,Hypothèses!$X$12,IF(DL124&lt;=Hypothèses!$V$13,Hypothèses!$X$13,IF(DL124&lt;=Hypothèses!$V$14,Hypothèses!$X$14,IF(DL124&lt;=Hypothèses!$V$15,Hypothèses!$X$15,IF(DL124&lt;=Hypothèses!$V$16,Hypothèses!$X$16,IF(DL124&lt;=Hypothèses!$U$17,Hypothèses!$W$17,IF(DL124&lt;=Hypothèses!$U$18,Hypothèses!$W$18,""))))))))))))</f>
        <v>#DIV/0!</v>
      </c>
      <c r="EI124" s="95" t="e">
        <f t="shared" ca="1" si="193"/>
        <v>#DIV/0!</v>
      </c>
      <c r="EJ124" s="101" t="e">
        <f t="shared" si="229"/>
        <v>#N/A</v>
      </c>
      <c r="EK124" s="91" t="e">
        <f t="shared" si="162"/>
        <v>#N/A</v>
      </c>
      <c r="EL124" s="30" t="e">
        <f t="shared" si="212"/>
        <v>#N/A</v>
      </c>
      <c r="EM124" s="30" t="e">
        <f t="shared" si="213"/>
        <v>#N/A</v>
      </c>
      <c r="EN124" s="31" t="e">
        <f>IF(OR(Hypothèses!$B$4=17,Hypothèses!$B$4=18,Hypothèses!$B$4=19,Hypothèses!$B$4=20),
IF($D124="Pressio.",
IF(OR($E124=3,$E124=1,$E124=4),EM124,EL124),
IF($D124="Pénétro.",
IF(OR($E124=3,$E124=1,$E124=4),EM124,EL124))),IF($D124="Pressio.",
IF($E124=3,EM124,EL124),
IF($D124="Pénétro.",
IF($E124=4,EM124,EL124))))</f>
        <v>#N/A</v>
      </c>
      <c r="EO124" s="31" t="e">
        <f>(IF(OR(Hypothèses!$B$4=17,Hypothèses!$B$4=18,Hypothèses!$B$4=19,Hypothèses!$B$4=20),
IF($D124="Pressio.",
IF(OR($E124=3,$E124=1,$E124=4),(PI()*EO$12^2)/4*(EK124*$W124*1000)/($H124*$B$5),(PI()*EO$12^2)/4*(EK124*$W124*1000)/($G124*$B$5)),
IF($D124="Pénétro.",
IF(OR($E124=4,$E124=1,$E124=5),(PI()*EO$12^2)/4*(EK124*$W124*1000)/($H124*$B$5),(PI()*EO$12^2)/4*(EK124*$W124*1000)/($G124*$B$5)))),
IF($D124="Pressio.",
IF($E124=3,(PI()*EO$12^2)/4*(EK124*$W124*1000)/($H124*$B$5),(PI()*EO$12^2)/4*(EK124*$W124*1000)/($G124*$B$5)),
IF($D124="Pénétro.",
IF($E124=4,(PI()*EO$12^2)/4*(EK124*$W124*1000)/($H124*$B$5),(PI()*EO$12^2)/4*(EK124*$W124*1000)/($G124*$B$5))))))/10</f>
        <v>#N/A</v>
      </c>
      <c r="EP124" s="102" t="e">
        <f>(VLOOKUP($B$3,'Coeff EC7'!$T$39:$X$59,2,0)*EN124+VLOOKUP($B$3,'Coeff EC7'!$T$65:$X$85,2,0)*Model0.1C!EO124)/1.1</f>
        <v>#N/A</v>
      </c>
      <c r="EQ124" s="102" t="e">
        <f>(VLOOKUP($B$3,'Coeff EC7'!$T$39:$X$59,3,0)*EN124+VLOOKUP($B$3,'Coeff EC7'!$T$65:$X$85,3,0)*Model0.1C!EO124)/0.9</f>
        <v>#N/A</v>
      </c>
      <c r="ER124" s="102" t="e">
        <f t="shared" si="194"/>
        <v>#N/A</v>
      </c>
      <c r="ES124" s="102" t="e">
        <f t="shared" si="195"/>
        <v>#N/A</v>
      </c>
      <c r="ET124" s="414" t="e">
        <f>IF(ET123=0,0,IF(AND(EP124&gt;charge_ELS_quasi,EQ124&gt;Charge_ELS_freq,ER124&gt;charge_ELU,ES124&gt;charge_ELA,$B124&gt;NDC!$H$22-0.1+MIN(3*$ET$12,1.5)),0,1))</f>
        <v>#N/A</v>
      </c>
      <c r="EU124" s="86" t="b">
        <f t="shared" si="163"/>
        <v>0</v>
      </c>
      <c r="EV124" s="86">
        <f t="shared" si="164"/>
        <v>0.61</v>
      </c>
      <c r="EW124" s="86">
        <f t="shared" si="165"/>
        <v>0.61</v>
      </c>
      <c r="EX124" s="30" t="e">
        <f t="shared" ca="1" si="196"/>
        <v>#DIV/0!</v>
      </c>
      <c r="EY124" s="85" t="e">
        <f ca="1">IF(EE124&lt;=Hypothèses!$V$7,Hypothèses!$W$7,IF(EE124&lt;=Hypothèses!$V$8,Hypothèses!$W$8,IF(EE124&lt;=Hypothèses!$V$9,Hypothèses!$W$9,IF(EE124&lt;=Hypothèses!$V$10,Hypothèses!$W$10,IF(EE124&lt;=Hypothèses!$V$11,Hypothèses!$W$11,IF(EE124&lt;=Hypothèses!$V$12,Hypothèses!$W$12,IF(EE124&lt;=Hypothèses!$V$13,Hypothèses!$W$13,IF(EE124&lt;=Hypothèses!$V$14,Hypothèses!$W$14,IF(EE124&lt;=Hypothèses!$V$15,Hypothèses!$W$15,IF(EE124&lt;=Hypothèses!$V$16,Hypothèses!$W$16,IF(EE124&lt;=Hypothèses!$V$17,Hypothèses!$W$17,IF(EE124&lt;=Hypothèses!$V$18,Hypothèses!$W$18,""))))))))))))</f>
        <v>#DIV/0!</v>
      </c>
      <c r="EZ124" s="87" t="e">
        <f t="shared" ca="1" si="223"/>
        <v>#DIV/0!</v>
      </c>
      <c r="FA124" s="88" t="e">
        <f ca="1">IF(EE124&lt;=Hypothèses!$V$7,Hypothèses!$X$7,IF(EE124&lt;=Hypothèses!$V$8,Hypothèses!$X$8,IF(EE124&lt;=Hypothèses!$V$9,Hypothèses!$X$9,IF(EE124&lt;=Hypothèses!$V$10,Hypothèses!$X$10,IF(EE124&lt;=Hypothèses!$V$11,Hypothèses!$X$11,IF(EE124&lt;=Hypothèses!$V$12,Hypothèses!$X$12,IF(EE124&lt;=Hypothèses!$V$13,Hypothèses!$X$13,IF(EE124&lt;=Hypothèses!$V$14,Hypothèses!$X$14,IF(EE124&lt;=Hypothèses!$V$15,Hypothèses!$X$15,IF(EE124&lt;=Hypothèses!$V$16,Hypothèses!$X$16,IF(EE124&lt;=Hypothèses!$U$17,Hypothèses!$W$17,IF(EE124&lt;=Hypothèses!$U$18,Hypothèses!$W$18,""))))))))))))</f>
        <v>#DIV/0!</v>
      </c>
      <c r="FB124" s="95" t="e">
        <f t="shared" ca="1" si="197"/>
        <v>#DIV/0!</v>
      </c>
      <c r="FC124" s="101" t="e">
        <f t="shared" si="230"/>
        <v>#N/A</v>
      </c>
      <c r="FD124" s="91" t="e">
        <f t="shared" si="166"/>
        <v>#N/A</v>
      </c>
      <c r="FE124" s="30" t="e">
        <f t="shared" si="214"/>
        <v>#N/A</v>
      </c>
      <c r="FF124" s="30" t="e">
        <f t="shared" si="215"/>
        <v>#N/A</v>
      </c>
      <c r="FG124" s="31" t="e">
        <f>IF(OR(Hypothèses!$B$4=17,Hypothèses!$B$4=18,Hypothèses!$B$4=19,Hypothèses!$B$4=20),
IF($D124="Pressio.",
IF(OR($E124=3,$E124=1,$E124=4),FF124,FE124),
IF($D124="Pénétro.",
IF(OR($E124=3,$E124=1,$E124=4),FF124,FE124))),IF($D124="Pressio.",
IF($E124=3,FF124,FE124),
IF($D124="Pénétro.",
IF($E124=4,FF124,FE124))))</f>
        <v>#N/A</v>
      </c>
      <c r="FH124" s="31" t="e">
        <f>(IF(OR(Hypothèses!$B$4=17,Hypothèses!$B$4=18,Hypothèses!$B$4=19,Hypothèses!$B$4=20),
IF($D124="Pressio.",
IF(OR($E124=3,$E124=1,$E124=4),(PI()*FH$12^2)/4*(FD124*$W124*1000)/($H124*$B$5),(PI()*FH$12^2)/4*(FD124*$W124*1000)/($G124*$B$5)),
IF($D124="Pénétro.",
IF(OR($E124=4,$E124=1,$E124=5),(PI()*FH$12^2)/4*(FD124*$W124*1000)/($H124*$B$5),(PI()*FH$12^2)/4*(FD124*$W124*1000)/($G124*$B$5)))),
IF($D124="Pressio.",
IF($E124=3,(PI()*FH$12^2)/4*(FD124*$W124*1000)/($H124*$B$5),(PI()*FH$12^2)/4*(FD124*$W124*1000)/($G124*$B$5)),
IF($D124="Pénétro.",
IF($E124=4,(PI()*FH$12^2)/4*(FD124*$W124*1000)/($H124*$B$5),(PI()*FH$12^2)/4*(FD124*$W124*1000)/($G124*$B$5))))))/10</f>
        <v>#N/A</v>
      </c>
      <c r="FI124" s="102" t="e">
        <f>(VLOOKUP($B$3,'Coeff EC7'!$T$39:$X$59,2,0)*FG124+VLOOKUP($B$3,'Coeff EC7'!$T$65:$X$85,2,0)*Model0.1C!FH124)/1.1</f>
        <v>#N/A</v>
      </c>
      <c r="FJ124" s="102" t="e">
        <f>(VLOOKUP($B$3,'Coeff EC7'!$T$39:$X$59,3,0)*FG124+VLOOKUP($B$3,'Coeff EC7'!$T$65:$X$85,3,0)*Model0.1C!FH124)/0.9</f>
        <v>#N/A</v>
      </c>
      <c r="FK124" s="102" t="e">
        <f t="shared" si="198"/>
        <v>#N/A</v>
      </c>
      <c r="FL124" s="102" t="e">
        <f t="shared" si="199"/>
        <v>#N/A</v>
      </c>
      <c r="FM124" s="414" t="e">
        <f>IF(FM123=0,0,IF(AND(FI124&gt;charge_ELS_quasi,FJ124&gt;Charge_ELS_freq,FK124&gt;charge_ELU,FL124&gt;charge_ELA,$B124&gt;NDC!$H$22-0.1+MIN(3*$FM$12,1.5)),0,1))</f>
        <v>#N/A</v>
      </c>
    </row>
    <row r="125" spans="1:169">
      <c r="A125" s="96">
        <f t="shared" si="167"/>
        <v>88.800000000000637</v>
      </c>
      <c r="B125" s="97">
        <v>11.2</v>
      </c>
      <c r="C125" s="81">
        <f>IF(B125&lt;=Hypothèses!$C$7,Hypothèses!$A$7,IF(B125&lt;=Hypothèses!$C$8,Hypothèses!$A$8,IF(B125&lt;=Hypothèses!$C$9,Hypothèses!$A$9,IF(B125&lt;=Hypothèses!$C$10,Hypothèses!$A$10,IF(B125&lt;=Hypothèses!$C$11,Hypothèses!$A$11,IF(B125&lt;=Hypothèses!$C$12,Hypothèses!$A$12,IF(B125&lt;=Hypothèses!$C$13,Hypothèses!$A$13,IF(B125&lt;=Hypothèses!$C$14,Hypothèses!$A$14,IF(B125&lt;=Hypothèses!$C$15,Hypothèses!$A$15,IF(B125&lt;=Hypothèses!$C$16,Hypothèses!$A$16,IF(B125&lt;=Hypothèses!$C$17,Hypothèses!$A$17,IF(B125&lt;=Hypothèses!$C$18,Hypothèses!$A$18,C124))))))))))))</f>
        <v>11</v>
      </c>
      <c r="D125" s="82" t="str">
        <f>IF(B125&lt;=Hypothèses!$C$7,Hypothèses!$R$7,IF(B125&lt;=Hypothèses!$C$8,Hypothèses!$R$8,IF(B125&lt;=Hypothèses!$C$9,Hypothèses!$R$9,IF(B125&lt;=Hypothèses!$C$10,Hypothèses!$R$10,IF(B125&lt;=Hypothèses!$C$11,Hypothèses!$R$11,IF(B125&lt;=Hypothèses!$C$12,Hypothèses!$R$12,IF(B125&lt;=Hypothèses!$C$13,Hypothèses!$R$13,IF(B125&lt;=Hypothèses!$C$14,Hypothèses!$R$14,IF(B125&lt;=Hypothèses!$C$15,Hypothèses!$R$15,IF(B125&lt;=Hypothèses!$C$16,Hypothèses!$R$16,IF(B125&lt;=Hypothèses!$C$17,Hypothèses!$R$17,IF(B125&lt;=Hypothèses!$C$18,Hypothèses!$R$18,D124))))))))))))</f>
        <v>Pressio.</v>
      </c>
      <c r="E125" s="82" t="e">
        <f>IF(B125&lt;=Hypothèses!$C$7,Hypothèses!$G$7,IF(B125&lt;=Hypothèses!$C$8,Hypothèses!$G$8,IF(B125&lt;=Hypothèses!$C$9,Hypothèses!$G$9,IF(B125&lt;=Hypothèses!$C$10,Hypothèses!$G$10,IF(B125&lt;=Hypothèses!$C$11,Hypothèses!$G$11,IF(B125&lt;=Hypothèses!$C$12,Hypothèses!$G$12,IF(B125&lt;=Hypothèses!$C$13,Hypothèses!$G$13,IF(B125&lt;=Hypothèses!$C$14,Hypothèses!$G$14,IF(B125&lt;=Hypothèses!$C$15,Hypothèses!$G$15,IF(B125&lt;=Hypothèses!$C$16,Hypothèses!$G$16,IF(B125&lt;=Hypothèses!$C$17,Hypothèses!$G$17,IF(B125&lt;=Hypothèses!$C$18,Hypothèses!$G$18,E124))))))))))))</f>
        <v>#N/A</v>
      </c>
      <c r="F125" s="82" t="str">
        <f>IF(B125&lt;=Hypothèses!$C$7,Hypothèses!$F$7,IF(B125&lt;=Hypothèses!$C$8,Hypothèses!$F$8,IF(B125&lt;=Hypothèses!$C$9,Hypothèses!$F$9,IF(B125&lt;=Hypothèses!$C$10,Hypothèses!$F$10,IF(B125&lt;=Hypothèses!$C$11,Hypothèses!$F$11,IF(B125&lt;=Hypothèses!$C$12,Hypothèses!$F$12,IF(B125&lt;=Hypothèses!$C$13,Hypothèses!$F$13,IF(B125&lt;=Hypothèses!$C$14,Hypothèses!$F$14,IF(B125&lt;=Hypothèses!$C$15,Hypothèses!$F$15,IF(B125&lt;=Hypothèses!$C$16,Hypothèses!$F$16,IF(B125&lt;=Hypothèses!$C$17,Hypothèses!$F$17,IF(B125&lt;=Hypothèses!$C$18,Hypothèses!$F$18,F124))))))))))))</f>
        <v/>
      </c>
      <c r="G125" s="91">
        <f t="array" ref="G125">INDEX('Coeff EC7'!$U$7:$X$27,
MATCH(Model0.1C!$B$3,'Coeff EC7'!$T$7:$T$27,0),
MATCH(Model0.1C!$D125&amp;Model0.1C!$B$4,
'Coeff EC7'!$U$6:$X$6&amp;
'Coeff EC7'!$U$5:$X$5,0))</f>
        <v>1.1499999999999999</v>
      </c>
      <c r="H125" s="91">
        <f t="array" ref="H125">INDEX('Coeff EC7'!$Y$7:$AB$27,
MATCH(Model0.1C!$B$3,'Coeff EC7'!$T$7:$T$27,0),
MATCH(Model0.1C!$D125&amp;Model0.1C!$B$4,
'Coeff EC7'!$Y$6:$AB$6&amp;
'Coeff EC7'!$Y$5:$AB$5,0))</f>
        <v>1.4</v>
      </c>
      <c r="I125" s="83" t="e">
        <f>IF(B125&lt;=Hypothèses!$C$7,Hypothèses!$P$7,IF(B125&lt;=Hypothèses!$C$8,Hypothèses!$P$8,IF(B125&lt;=Hypothèses!$C$9,Hypothèses!$P$9,IF(B125&lt;=Hypothèses!$C$10,Hypothèses!$P$10,IF(B125&lt;=Hypothèses!$C$11,Hypothèses!$P$11,IF(B125&lt;=Hypothèses!$C$12,Hypothèses!$P$12,IF(B125&lt;=Hypothèses!$C$13,Hypothèses!$P$13,IF(B125&lt;=Hypothèses!$C$14,Hypothèses!$P$14,IF(B125&lt;=Hypothèses!$C$15,Hypothèses!$P$15,IF(B125&lt;=Hypothèses!$C$16,Hypothèses!$P$16,IF(B125&lt;=Hypothèses!$C$17,Hypothèses!$P$17,IF(B125&lt;=Hypothèses!$C$18,Hypothèses!$P$18,I124))))))))))))</f>
        <v>#N/A</v>
      </c>
      <c r="J125" s="91" t="e">
        <f t="array" ref="J125">INDEX('Coeff EC7'!$D$33:$Q$33,1,MATCH(D125&amp;E125,'Coeff EC7'!$D$31:$Q$31&amp;'Coeff EC7'!$D$32:$Q$32,0))</f>
        <v>#N/A</v>
      </c>
      <c r="K125" s="91" t="e">
        <f t="array" ref="K125">INDEX('Coeff EC7'!$D$34:$Q$34,1,MATCH(D125&amp;E125,'Coeff EC7'!$D$31:$Q$31&amp;'Coeff EC7'!$D$32:$Q$32,0))</f>
        <v>#N/A</v>
      </c>
      <c r="L125" s="91" t="e">
        <f t="array" ref="L125">INDEX('Coeff EC7'!$D$35:$Q$35,1,MATCH(D125&amp;E125,'Coeff EC7'!$D$31:$Q$31&amp;'Coeff EC7'!$D$32:$Q$32,0))</f>
        <v>#N/A</v>
      </c>
      <c r="M125" s="98" t="e">
        <f t="shared" si="131"/>
        <v>#N/A</v>
      </c>
      <c r="N125" s="99" t="e">
        <f t="array" ref="N125">INDEX('Coeff EC7'!$D$7:$Q$27,MATCH($B$3,'Coeff EC7'!$C$7:$C$27,0),MATCH(D125&amp;E125,'Coeff EC7'!$D$5:$Q$5&amp;'Coeff EC7'!$D$6:$Q$6,0))</f>
        <v>#N/A</v>
      </c>
      <c r="O125" s="99" t="e">
        <f t="array" ref="O125">INDEX('Coeff EC7'!$D$41:$Q$61,MATCH($B$3,'Coeff EC7'!$C$41:$C$61,0),MATCH(D125&amp;E125,'Coeff EC7'!$D$39:$Q$39&amp;'Coeff EC7'!$D$40:$Q$40,0))</f>
        <v>#N/A</v>
      </c>
      <c r="P125" s="30" t="e">
        <f t="shared" si="168"/>
        <v>#N/A</v>
      </c>
      <c r="Q125" s="100" t="e">
        <f t="shared" si="133"/>
        <v>#N/A</v>
      </c>
      <c r="R125" s="86" t="b">
        <f t="shared" si="134"/>
        <v>0</v>
      </c>
      <c r="S125" s="86">
        <f t="shared" si="132"/>
        <v>0.5</v>
      </c>
      <c r="T125" s="86">
        <f t="shared" si="135"/>
        <v>0.5</v>
      </c>
      <c r="U125" s="30" t="e">
        <f t="shared" ca="1" si="169"/>
        <v>#DIV/0!</v>
      </c>
      <c r="V125" s="85" t="str">
        <f>IF(B125&lt;=Hypothèses!$V$7,Hypothèses!$W$7,IF(B125&lt;=Hypothèses!$V$8,Hypothèses!$W$8,IF(B125&lt;=Hypothèses!$V$9,Hypothèses!$W$9,IF(B125&lt;=Hypothèses!$V$10,Hypothèses!$W$10,IF(B125&lt;=Hypothèses!$V$11,Hypothèses!$W$11,IF(B125&lt;=Hypothèses!$V$12,Hypothèses!$W$12,IF(B125&lt;=Hypothèses!$V$13,Hypothèses!$W$13,IF(B125&lt;=Hypothèses!$V$14,Hypothèses!$W$14,IF(B125&lt;=Hypothèses!$V$15,Hypothèses!$W$15,IF(B125&lt;=Hypothèses!$V$16,Hypothèses!$W$16,IF(B125&lt;=Hypothèses!$V$17,Hypothèses!$W$17,IF(B125&lt;=Hypothèses!$V$18,Hypothèses!$W$18,""))))))))))))</f>
        <v/>
      </c>
      <c r="W125" s="87" t="e">
        <f t="shared" ca="1" si="216"/>
        <v>#DIV/0!</v>
      </c>
      <c r="X125" s="88" t="str">
        <f>IF(B125&lt;=Hypothèses!$V$7,Hypothèses!$X$7,IF(B125&lt;=Hypothèses!$V$8,Hypothèses!$X$8,IF(B125&lt;=Hypothèses!$V$9,Hypothèses!$X$9,IF(B125&lt;=Hypothèses!$V$10,Hypothèses!$X$10,IF(B125&lt;=Hypothèses!$V$11,Hypothèses!$X$11,IF(B125&lt;=Hypothèses!$V$12,Hypothèses!$X$12,IF(B125&lt;=Hypothèses!$V$13,Hypothèses!$X$13,IF(B125&lt;=Hypothèses!$V$14,Hypothèses!$X$14,IF(B125&lt;=Hypothèses!$V$15,Hypothèses!$X$15,IF(B125&lt;=Hypothèses!$V$16,Hypothèses!$X$16,IF(B125&lt;=Hypothèses!$U$17,Hypothèses!$W$17,IF(B125&lt;=Hypothèses!$U$18,Hypothèses!$W$18,""))))))))))))</f>
        <v/>
      </c>
      <c r="Y125" s="95" t="e">
        <f t="shared" ca="1" si="136"/>
        <v>#DIV/0!</v>
      </c>
      <c r="Z125" s="101" t="e">
        <f t="shared" si="137"/>
        <v>#N/A</v>
      </c>
      <c r="AA125" s="91" t="e">
        <f t="shared" si="138"/>
        <v>#N/A</v>
      </c>
      <c r="AB125" s="30" t="e">
        <f t="shared" si="200"/>
        <v>#N/A</v>
      </c>
      <c r="AC125" s="30" t="e">
        <f t="shared" si="201"/>
        <v>#N/A</v>
      </c>
      <c r="AD125" s="31" t="e">
        <f>IF(OR(Hypothèses!$B$4=17,Hypothèses!$B$4=18,Hypothèses!$B$4=19,Hypothèses!$B$4=20),
IF($D125="Pressio.",
IF(OR($E125=3,$E125=1,$E125=4),AC125,AB125),
IF($D125="Pénétro.",
IF(OR($E125=3,$E125=1,$E125=4),AC125,AB125))),IF($D125="Pressio.",
IF($E125=3,AC125,AB125),
IF($D125="Pénétro.",
IF($E125=4,AC125,AB125))))</f>
        <v>#N/A</v>
      </c>
      <c r="AE125" s="31" t="e">
        <f>(IF(OR(Hypothèses!$B$4=17,Hypothèses!$B$4=18,Hypothèses!$B$4=19,Hypothèses!$B$4=20),
IF($D125="Pressio.",
IF(OR($E125=3,$E125=1,$E125=4),(PI()*AE$12^2)/4*(AA125*$W125*1000)/($H125*$B$5),(PI()*AE$12^2)/4*(AA125*$W125*1000)/($G125*$B$5)),
IF($D125="Pénétro.",
IF(OR($E125=4,$E125=1,$E125=5),(PI()*AE$12^2)/4*(AA125*$W125*1000)/($H125*$B$5),(PI()*AE$12^2)/4*(AA125*$W125*1000)/($G125*$B$5)))),
IF($D125="Pressio.",
IF($E125=3,(PI()*AE$12^2)/4*(AA125*$W125*1000)/($H125*$B$5),(PI()*AE$12^2)/4*(AA125*$W125*1000)/($G125*$B$5)),
IF($D125="Pénétro.",
IF($E125=4,(PI()*AE$12^2)/4*(AA125*$W125*1000)/($H125*$B$5),(PI()*AE$12^2)/4*(AA125*$W125*1000)/($G125*$B$5))))))/10</f>
        <v>#N/A</v>
      </c>
      <c r="AF125" s="102" t="e">
        <f>(VLOOKUP($B$3,'Coeff EC7'!$T$39:$X$59,2,0)*AD125+VLOOKUP($B$3,'Coeff EC7'!$T$65:$X$85,2,0)*Model0.1C!AE125)/1.1</f>
        <v>#N/A</v>
      </c>
      <c r="AG125" s="102" t="e">
        <f>(VLOOKUP($B$3,'Coeff EC7'!$T$39:$X$59,3,0)*AD125+VLOOKUP($B$3,'Coeff EC7'!$T$65:$X$85,3,0)*Model0.1C!AE125)/0.9</f>
        <v>#N/A</v>
      </c>
      <c r="AH125" s="102" t="e">
        <f t="shared" si="139"/>
        <v>#N/A</v>
      </c>
      <c r="AI125" s="102" t="e">
        <f t="shared" si="140"/>
        <v>#N/A</v>
      </c>
      <c r="AJ125" s="414" t="e">
        <f>IF(AJ124=0,0,IF(AND(AF125&gt;charge_ELS_quasi,AG125&gt;Charge_ELS_freq,AH125&gt;charge_ELU,AI125&gt;charge_ELA,$B125&gt;NDC!$H$22-0.1+MIN(3*$AJ$12,1.5)),0,1))</f>
        <v>#N/A</v>
      </c>
      <c r="AK125" s="86" t="b">
        <f t="shared" si="141"/>
        <v>0</v>
      </c>
      <c r="AL125" s="86">
        <f t="shared" si="170"/>
        <v>0.5</v>
      </c>
      <c r="AM125" s="86">
        <f t="shared" si="142"/>
        <v>0.5</v>
      </c>
      <c r="AN125" s="30" t="e">
        <f t="shared" ca="1" si="171"/>
        <v>#DIV/0!</v>
      </c>
      <c r="AO125" s="85" t="e">
        <f ca="1">IF(U125&lt;=Hypothèses!$V$7,Hypothèses!$W$7,IF(U125&lt;=Hypothèses!$V$8,Hypothèses!$W$8,IF(U125&lt;=Hypothèses!$V$9,Hypothèses!$W$9,IF(U125&lt;=Hypothèses!$V$10,Hypothèses!$W$10,IF(U125&lt;=Hypothèses!$V$11,Hypothèses!$W$11,IF(U125&lt;=Hypothèses!$V$12,Hypothèses!$W$12,IF(U125&lt;=Hypothèses!$V$13,Hypothèses!$W$13,IF(U125&lt;=Hypothèses!$V$14,Hypothèses!$W$14,IF(U125&lt;=Hypothèses!$V$15,Hypothèses!$W$15,IF(U125&lt;=Hypothèses!$V$16,Hypothèses!$W$16,IF(U125&lt;=Hypothèses!$V$17,Hypothèses!$W$17,IF(U125&lt;=Hypothèses!$V$18,Hypothèses!$W$18,""))))))))))))</f>
        <v>#DIV/0!</v>
      </c>
      <c r="AP125" s="87" t="e">
        <f t="shared" ca="1" si="217"/>
        <v>#DIV/0!</v>
      </c>
      <c r="AQ125" s="88" t="e">
        <f ca="1">IF(U125&lt;=Hypothèses!$V$7,Hypothèses!$X$7,IF(U125&lt;=Hypothèses!$V$8,Hypothèses!$X$8,IF(U125&lt;=Hypothèses!$V$9,Hypothèses!$X$9,IF(U125&lt;=Hypothèses!$V$10,Hypothèses!$X$10,IF(U125&lt;=Hypothèses!$V$11,Hypothèses!$X$11,IF(U125&lt;=Hypothèses!$V$12,Hypothèses!$X$12,IF(U125&lt;=Hypothèses!$V$13,Hypothèses!$X$13,IF(U125&lt;=Hypothèses!$V$14,Hypothèses!$X$14,IF(U125&lt;=Hypothèses!$V$15,Hypothèses!$X$15,IF(U125&lt;=Hypothèses!$V$16,Hypothèses!$X$16,IF(U125&lt;=Hypothèses!$U$17,Hypothèses!$W$17,IF(U125&lt;=Hypothèses!$U$18,Hypothèses!$W$18,""))))))))))))</f>
        <v>#DIV/0!</v>
      </c>
      <c r="AR125" s="95" t="e">
        <f t="shared" ca="1" si="172"/>
        <v>#DIV/0!</v>
      </c>
      <c r="AS125" s="101" t="e">
        <f t="shared" si="224"/>
        <v>#N/A</v>
      </c>
      <c r="AT125" s="91" t="e">
        <f t="shared" si="143"/>
        <v>#N/A</v>
      </c>
      <c r="AU125" s="30" t="e">
        <f t="shared" si="202"/>
        <v>#N/A</v>
      </c>
      <c r="AV125" s="30" t="e">
        <f t="shared" si="203"/>
        <v>#N/A</v>
      </c>
      <c r="AW125" s="31" t="e">
        <f>IF(OR(Hypothèses!$B$4=17,Hypothèses!$B$4=18,Hypothèses!$B$4=19,Hypothèses!$B$4=20),
IF($D125="Pressio.",
IF(OR($E125=3,$E125=1,$E125=4),AV125,AU125),
IF($D125="Pénétro.",
IF(OR($E125=3,$E125=1,$E125=4),AV125,AU125))),IF($D125="Pressio.",
IF($E125=3,AV125,AU125),
IF($D125="Pénétro.",
IF($E125=4,AV125,AU125))))</f>
        <v>#N/A</v>
      </c>
      <c r="AX125" s="31" t="e">
        <f>(IF(OR(Hypothèses!$B$4=17,Hypothèses!$B$4=18,Hypothèses!$B$4=19,Hypothèses!$B$4=20),
IF($D125="Pressio.",
IF(OR($E125=3,$E125=1,$E125=4),(PI()*AX$12^2)/4*(AT125*$W125*1000)/($H125*$B$5),(PI()*AX$12^2)/4*(AT125*$W125*1000)/($G125*$B$5)),
IF($D125="Pénétro.",
IF(OR($E125=4,$E125=1,$E125=5),(PI()*AX$12^2)/4*(AT125*$W125*1000)/($H125*$B$5),(PI()*AX$12^2)/4*(AT125*$W125*1000)/($G125*$B$5)))),
IF($D125="Pressio.",
IF($E125=3,(PI()*AX$12^2)/4*(AT125*$W125*1000)/($H125*$B$5),(PI()*AX$12^2)/4*(AT125*$W125*1000)/($G125*$B$5)),
IF($D125="Pénétro.",
IF($E125=4,(PI()*AX$12^2)/4*(AT125*$W125*1000)/($H125*$B$5),(PI()*AX$12^2)/4*(AT125*$W125*1000)/($G125*$B$5))))))/10</f>
        <v>#N/A</v>
      </c>
      <c r="AY125" s="102" t="e">
        <f>(VLOOKUP($B$3,'Coeff EC7'!$T$39:$X$59,2,0)*AW125+VLOOKUP($B$3,'Coeff EC7'!$T$65:$X$85,2,0)*Model0.1C!AX125)/1.1</f>
        <v>#N/A</v>
      </c>
      <c r="AZ125" s="102" t="e">
        <f>(VLOOKUP($B$3,'Coeff EC7'!$T$39:$X$59,3,0)*AW125+VLOOKUP($B$3,'Coeff EC7'!$T$65:$X$85,3,0)*Model0.1C!AX125)/0.9</f>
        <v>#N/A</v>
      </c>
      <c r="BA125" s="102" t="e">
        <f t="shared" si="173"/>
        <v>#N/A</v>
      </c>
      <c r="BB125" s="102" t="e">
        <f t="shared" si="174"/>
        <v>#N/A</v>
      </c>
      <c r="BC125" s="414" t="e">
        <f>IF(BC124=0,0,IF(AND(AY125&gt;charge_ELS_quasi,AZ125&gt;Charge_ELS_freq,BA125&gt;charge_ELU,BB125&gt;charge_ELA,$B125&gt;NDC!$H$22-0.1+MIN(3*$BC$12,1.5)),0,1))</f>
        <v>#N/A</v>
      </c>
      <c r="BD125" s="86" t="b">
        <f t="shared" si="144"/>
        <v>0</v>
      </c>
      <c r="BE125" s="86">
        <f t="shared" si="175"/>
        <v>0.5</v>
      </c>
      <c r="BF125" s="86">
        <f t="shared" si="145"/>
        <v>0.5</v>
      </c>
      <c r="BG125" s="30" t="e">
        <f t="shared" ca="1" si="176"/>
        <v>#DIV/0!</v>
      </c>
      <c r="BH125" s="85" t="e">
        <f ca="1">IF(AN125&lt;=Hypothèses!$V$7,Hypothèses!$W$7,IF(AN125&lt;=Hypothèses!$V$8,Hypothèses!$W$8,IF(AN125&lt;=Hypothèses!$V$9,Hypothèses!$W$9,IF(AN125&lt;=Hypothèses!$V$10,Hypothèses!$W$10,IF(AN125&lt;=Hypothèses!$V$11,Hypothèses!$W$11,IF(AN125&lt;=Hypothèses!$V$12,Hypothèses!$W$12,IF(AN125&lt;=Hypothèses!$V$13,Hypothèses!$W$13,IF(AN125&lt;=Hypothèses!$V$14,Hypothèses!$W$14,IF(AN125&lt;=Hypothèses!$V$15,Hypothèses!$W$15,IF(AN125&lt;=Hypothèses!$V$16,Hypothèses!$W$16,IF(AN125&lt;=Hypothèses!$V$17,Hypothèses!$W$17,IF(AN125&lt;=Hypothèses!$V$18,Hypothèses!$W$18,""))))))))))))</f>
        <v>#DIV/0!</v>
      </c>
      <c r="BI125" s="87" t="e">
        <f t="shared" ca="1" si="218"/>
        <v>#DIV/0!</v>
      </c>
      <c r="BJ125" s="88" t="e">
        <f ca="1">IF(AN125&lt;=Hypothèses!$V$7,Hypothèses!$X$7,IF(AN125&lt;=Hypothèses!$V$8,Hypothèses!$X$8,IF(AN125&lt;=Hypothèses!$V$9,Hypothèses!$X$9,IF(AN125&lt;=Hypothèses!$V$10,Hypothèses!$X$10,IF(AN125&lt;=Hypothèses!$V$11,Hypothèses!$X$11,IF(AN125&lt;=Hypothèses!$V$12,Hypothèses!$X$12,IF(AN125&lt;=Hypothèses!$V$13,Hypothèses!$X$13,IF(AN125&lt;=Hypothèses!$V$14,Hypothèses!$X$14,IF(AN125&lt;=Hypothèses!$V$15,Hypothèses!$X$15,IF(AN125&lt;=Hypothèses!$V$16,Hypothèses!$X$16,IF(AN125&lt;=Hypothèses!$U$17,Hypothèses!$W$17,IF(AN125&lt;=Hypothèses!$U$18,Hypothèses!$W$18,""))))))))))))</f>
        <v>#DIV/0!</v>
      </c>
      <c r="BK125" s="95" t="e">
        <f t="shared" ca="1" si="177"/>
        <v>#DIV/0!</v>
      </c>
      <c r="BL125" s="101" t="e">
        <f t="shared" si="225"/>
        <v>#N/A</v>
      </c>
      <c r="BM125" s="91" t="e">
        <f t="shared" si="146"/>
        <v>#N/A</v>
      </c>
      <c r="BN125" s="30" t="e">
        <f t="shared" si="204"/>
        <v>#N/A</v>
      </c>
      <c r="BO125" s="30" t="e">
        <f t="shared" si="205"/>
        <v>#N/A</v>
      </c>
      <c r="BP125" s="31" t="e">
        <f>IF(OR(Hypothèses!$B$4=17,Hypothèses!$B$4=18,Hypothèses!$B$4=19,Hypothèses!$B$4=20),
IF($D125="Pressio.",
IF(OR($E125=3,$E125=1,$E125=4),BO125,BN125),
IF($D125="Pénétro.",
IF(OR($E125=3,$E125=1,$E125=4),BO125,BN125))),IF($D125="Pressio.",
IF($E125=3,BO125,BN125),
IF($D125="Pénétro.",
IF($E125=4,BO125,BN125))))</f>
        <v>#N/A</v>
      </c>
      <c r="BQ125" s="31" t="e">
        <f>(IF(OR(Hypothèses!$B$4=17,Hypothèses!$B$4=18,Hypothèses!$B$4=19,Hypothèses!$B$4=20),
IF($D125="Pressio.",
IF(OR($E125=3,$E125=1,$E125=4),(PI()*BQ$12^2)/4*(BM125*$W125*1000)/($H125*$B$5),(PI()*BQ$12^2)/4*(BM125*$W125*1000)/($G125*$B$5)),
IF($D125="Pénétro.",
IF(OR($E125=4,$E125=1,$E125=5),(PI()*BQ$12^2)/4*(BM125*$W125*1000)/($H125*$B$5),(PI()*BQ$12^2)/4*(BM125*$W125*1000)/($G125*$B$5)))),
IF($D125="Pressio.",
IF($E125=3,(PI()*BQ$12^2)/4*(BM125*$W125*1000)/($H125*$B$5),(PI()*BQ$12^2)/4*(BM125*$W125*1000)/($G125*$B$5)),
IF($D125="Pénétro.",
IF($E125=4,(PI()*BQ$12^2)/4*(BM125*$W125*1000)/($H125*$B$5),(PI()*BQ$12^2)/4*(BM125*$W125*1000)/($G125*$B$5))))))/10</f>
        <v>#N/A</v>
      </c>
      <c r="BR125" s="102" t="e">
        <f>(VLOOKUP($B$3,'Coeff EC7'!$T$39:$X$59,2,0)*BP125+VLOOKUP($B$3,'Coeff EC7'!$T$65:$X$85,2,0)*Model0.1C!BQ125)/1.1</f>
        <v>#N/A</v>
      </c>
      <c r="BS125" s="102" t="e">
        <f>(VLOOKUP($B$3,'Coeff EC7'!$T$39:$X$59,3,0)*BP125+VLOOKUP($B$3,'Coeff EC7'!$T$65:$X$85,3,0)*Model0.1C!BQ125)/0.9</f>
        <v>#N/A</v>
      </c>
      <c r="BT125" s="102" t="e">
        <f t="shared" si="178"/>
        <v>#N/A</v>
      </c>
      <c r="BU125" s="102" t="e">
        <f t="shared" si="179"/>
        <v>#N/A</v>
      </c>
      <c r="BV125" s="414" t="e">
        <f>IF(BV124=0,0,IF(AND(BR125&gt;charge_ELS_quasi,BS125&gt;Charge_ELS_freq,BT125&gt;charge_ELU,BU125&gt;charge_ELA,$B125&gt;NDC!$H$22-0.1+MIN(3*$BV$12,1.5)),0,1))</f>
        <v>#N/A</v>
      </c>
      <c r="BW125" s="86" t="b">
        <f t="shared" si="147"/>
        <v>0</v>
      </c>
      <c r="BX125" s="86">
        <f t="shared" si="148"/>
        <v>0.5</v>
      </c>
      <c r="BY125" s="86">
        <f t="shared" si="149"/>
        <v>0.5</v>
      </c>
      <c r="BZ125" s="30" t="e">
        <f t="shared" ca="1" si="180"/>
        <v>#DIV/0!</v>
      </c>
      <c r="CA125" s="85" t="e">
        <f ca="1">IF(BG125&lt;=Hypothèses!$V$7,Hypothèses!$W$7,IF(BG125&lt;=Hypothèses!$V$8,Hypothèses!$W$8,IF(BG125&lt;=Hypothèses!$V$9,Hypothèses!$W$9,IF(BG125&lt;=Hypothèses!$V$10,Hypothèses!$W$10,IF(BG125&lt;=Hypothèses!$V$11,Hypothèses!$W$11,IF(BG125&lt;=Hypothèses!$V$12,Hypothèses!$W$12,IF(BG125&lt;=Hypothèses!$V$13,Hypothèses!$W$13,IF(BG125&lt;=Hypothèses!$V$14,Hypothèses!$W$14,IF(BG125&lt;=Hypothèses!$V$15,Hypothèses!$W$15,IF(BG125&lt;=Hypothèses!$V$16,Hypothèses!$W$16,IF(BG125&lt;=Hypothèses!$V$17,Hypothèses!$W$17,IF(BG125&lt;=Hypothèses!$V$18,Hypothèses!$W$18,""))))))))))))</f>
        <v>#DIV/0!</v>
      </c>
      <c r="CB125" s="87" t="e">
        <f t="shared" ca="1" si="219"/>
        <v>#DIV/0!</v>
      </c>
      <c r="CC125" s="88" t="e">
        <f ca="1">IF(BG125&lt;=Hypothèses!$V$7,Hypothèses!$X$7,IF(BG125&lt;=Hypothèses!$V$8,Hypothèses!$X$8,IF(BG125&lt;=Hypothèses!$V$9,Hypothèses!$X$9,IF(BG125&lt;=Hypothèses!$V$10,Hypothèses!$X$10,IF(BG125&lt;=Hypothèses!$V$11,Hypothèses!$X$11,IF(BG125&lt;=Hypothèses!$V$12,Hypothèses!$X$12,IF(BG125&lt;=Hypothèses!$V$13,Hypothèses!$X$13,IF(BG125&lt;=Hypothèses!$V$14,Hypothèses!$X$14,IF(BG125&lt;=Hypothèses!$V$15,Hypothèses!$X$15,IF(BG125&lt;=Hypothèses!$V$16,Hypothèses!$X$16,IF(BG125&lt;=Hypothèses!$U$17,Hypothèses!$W$17,IF(BG125&lt;=Hypothèses!$U$18,Hypothèses!$W$18,""))))))))))))</f>
        <v>#DIV/0!</v>
      </c>
      <c r="CD125" s="95" t="e">
        <f t="shared" ca="1" si="181"/>
        <v>#DIV/0!</v>
      </c>
      <c r="CE125" s="101" t="e">
        <f t="shared" si="226"/>
        <v>#N/A</v>
      </c>
      <c r="CF125" s="91" t="e">
        <f t="shared" si="150"/>
        <v>#N/A</v>
      </c>
      <c r="CG125" s="30" t="e">
        <f t="shared" si="206"/>
        <v>#N/A</v>
      </c>
      <c r="CH125" s="30" t="e">
        <f t="shared" si="207"/>
        <v>#N/A</v>
      </c>
      <c r="CI125" s="31" t="e">
        <f>IF(OR(Hypothèses!$B$4=17,Hypothèses!$B$4=18,Hypothèses!$B$4=19,Hypothèses!$B$4=20),
IF($D125="Pressio.",
IF(OR($E125=3,$E125=1,$E125=4),CH125,CG125),
IF($D125="Pénétro.",
IF(OR($E125=3,$E125=1,$E125=4),CH125,CG125))),IF($D125="Pressio.",
IF($E125=3,CH125,CG125),
IF($D125="Pénétro.",
IF($E125=4,CH125,CG125))))</f>
        <v>#N/A</v>
      </c>
      <c r="CJ125" s="31" t="e">
        <f>(IF(OR(Hypothèses!$B$4=17,Hypothèses!$B$4=18,Hypothèses!$B$4=19,Hypothèses!$B$4=20),
IF($D125="Pressio.",
IF(OR($E125=3,$E125=1,$E125=4),(PI()*CJ$12^2)/4*(CF125*$W125*1000)/($H125*$B$5),(PI()*CJ$12^2)/4*(CF125*$W125*1000)/($G125*$B$5)),
IF($D125="Pénétro.",
IF(OR($E125=4,$E125=1,$E125=5),(PI()*CJ$12^2)/4*(CF125*$W125*1000)/($H125*$B$5),(PI()*CJ$12^2)/4*(CF125*$W125*1000)/($G125*$B$5)))),
IF($D125="Pressio.",
IF($E125=3,(PI()*CJ$12^2)/4*(CF125*$W125*1000)/($H125*$B$5),(PI()*CJ$12^2)/4*(CF125*$W125*1000)/($G125*$B$5)),
IF($D125="Pénétro.",
IF($E125=4,(PI()*CJ$12^2)/4*(CF125*$W125*1000)/($H125*$B$5),(PI()*CJ$12^2)/4*(CF125*$W125*1000)/($G125*$B$5))))))/10</f>
        <v>#N/A</v>
      </c>
      <c r="CK125" s="102" t="e">
        <f>(VLOOKUP($B$3,'Coeff EC7'!$T$39:$X$59,2,0)*CI125+VLOOKUP($B$3,'Coeff EC7'!$T$65:$X$85,2,0)*Model0.1C!CJ125)/1.1</f>
        <v>#N/A</v>
      </c>
      <c r="CL125" s="102" t="e">
        <f>(VLOOKUP($B$3,'Coeff EC7'!$T$39:$X$59,3,0)*CI125+VLOOKUP($B$3,'Coeff EC7'!$T$65:$X$85,3,0)*Model0.1C!CJ125)/0.9</f>
        <v>#N/A</v>
      </c>
      <c r="CM125" s="102" t="e">
        <f t="shared" si="182"/>
        <v>#N/A</v>
      </c>
      <c r="CN125" s="102" t="e">
        <f t="shared" si="183"/>
        <v>#N/A</v>
      </c>
      <c r="CO125" s="414" t="e">
        <f>IF(CO124=0,0,IF(AND(CK125&gt;charge_ELS_quasi,CL125&gt;Charge_ELS_freq,CM125&gt;charge_ELU,CN125&gt;charge_ELA,$B125&gt;NDC!$H$22-0.1+MIN(3*$CO$12,1.5)),0,1))</f>
        <v>#N/A</v>
      </c>
      <c r="CP125" s="86" t="b">
        <f t="shared" si="151"/>
        <v>0</v>
      </c>
      <c r="CQ125" s="86">
        <f t="shared" si="152"/>
        <v>0.5</v>
      </c>
      <c r="CR125" s="86">
        <f t="shared" si="153"/>
        <v>0.5</v>
      </c>
      <c r="CS125" s="30" t="e">
        <f t="shared" ca="1" si="184"/>
        <v>#DIV/0!</v>
      </c>
      <c r="CT125" s="85" t="e">
        <f ca="1">IF(BZ125&lt;=Hypothèses!$V$7,Hypothèses!$W$7,IF(BZ125&lt;=Hypothèses!$V$8,Hypothèses!$W$8,IF(BZ125&lt;=Hypothèses!$V$9,Hypothèses!$W$9,IF(BZ125&lt;=Hypothèses!$V$10,Hypothèses!$W$10,IF(BZ125&lt;=Hypothèses!$V$11,Hypothèses!$W$11,IF(BZ125&lt;=Hypothèses!$V$12,Hypothèses!$W$12,IF(BZ125&lt;=Hypothèses!$V$13,Hypothèses!$W$13,IF(BZ125&lt;=Hypothèses!$V$14,Hypothèses!$W$14,IF(BZ125&lt;=Hypothèses!$V$15,Hypothèses!$W$15,IF(BZ125&lt;=Hypothèses!$V$16,Hypothèses!$W$16,IF(BZ125&lt;=Hypothèses!$V$17,Hypothèses!$W$17,IF(BZ125&lt;=Hypothèses!$V$18,Hypothèses!$W$18,""))))))))))))</f>
        <v>#DIV/0!</v>
      </c>
      <c r="CU125" s="87" t="e">
        <f t="shared" ca="1" si="220"/>
        <v>#DIV/0!</v>
      </c>
      <c r="CV125" s="88" t="e">
        <f ca="1">IF(BZ125&lt;=Hypothèses!$V$7,Hypothèses!$X$7,IF(BZ125&lt;=Hypothèses!$V$8,Hypothèses!$X$8,IF(BZ125&lt;=Hypothèses!$V$9,Hypothèses!$X$9,IF(BZ125&lt;=Hypothèses!$V$10,Hypothèses!$X$10,IF(BZ125&lt;=Hypothèses!$V$11,Hypothèses!$X$11,IF(BZ125&lt;=Hypothèses!$V$12,Hypothèses!$X$12,IF(BZ125&lt;=Hypothèses!$V$13,Hypothèses!$X$13,IF(BZ125&lt;=Hypothèses!$V$14,Hypothèses!$X$14,IF(BZ125&lt;=Hypothèses!$V$15,Hypothèses!$X$15,IF(BZ125&lt;=Hypothèses!$V$16,Hypothèses!$X$16,IF(BZ125&lt;=Hypothèses!$U$17,Hypothèses!$W$17,IF(BZ125&lt;=Hypothèses!$U$18,Hypothèses!$W$18,""))))))))))))</f>
        <v>#DIV/0!</v>
      </c>
      <c r="CW125" s="95" t="e">
        <f t="shared" ca="1" si="185"/>
        <v>#DIV/0!</v>
      </c>
      <c r="CX125" s="101" t="e">
        <f t="shared" si="227"/>
        <v>#N/A</v>
      </c>
      <c r="CY125" s="91" t="e">
        <f t="shared" si="154"/>
        <v>#N/A</v>
      </c>
      <c r="CZ125" s="30" t="e">
        <f t="shared" si="208"/>
        <v>#N/A</v>
      </c>
      <c r="DA125" s="30" t="e">
        <f t="shared" si="209"/>
        <v>#N/A</v>
      </c>
      <c r="DB125" s="31" t="e">
        <f>IF(OR(Hypothèses!$B$4=17,Hypothèses!$B$4=18,Hypothèses!$B$4=19,Hypothèses!$B$4=20),
IF($D125="Pressio.",
IF(OR($E125=3,$E125=1,$E125=4),DA125,CZ125),
IF($D125="Pénétro.",
IF(OR($E125=3,$E125=1,$E125=4),DA125,CZ125))),IF($D125="Pressio.",
IF($E125=3,DA125,CZ125),
IF($D125="Pénétro.",
IF($E125=4,DA125,CZ125))))</f>
        <v>#N/A</v>
      </c>
      <c r="DC125" s="31" t="e">
        <f>(IF(OR(Hypothèses!$B$4=17,Hypothèses!$B$4=18,Hypothèses!$B$4=19,Hypothèses!$B$4=20),
IF($D125="Pressio.",
IF(OR($E125=3,$E125=1,$E125=4),(PI()*DC$12^2)/4*(CY125*$W125*1000)/($H125*$B$5),(PI()*DC$12^2)/4*(CY125*$W125*1000)/($G125*$B$5)),
IF($D125="Pénétro.",
IF(OR($E125=4,$E125=1,$E125=5),(PI()*DC$12^2)/4*(CY125*$W125*1000)/($H125*$B$5),(PI()*DC$12^2)/4*(CY125*$W125*1000)/($G125*$B$5)))),
IF($D125="Pressio.",
IF($E125=3,(PI()*DC$12^2)/4*(CY125*$W125*1000)/($H125*$B$5),(PI()*DC$12^2)/4*(CY125*$W125*1000)/($G125*$B$5)),
IF($D125="Pénétro.",
IF($E125=4,(PI()*DC$12^2)/4*(CY125*$W125*1000)/($H125*$B$5),(PI()*DC$12^2)/4*(CY125*$W125*1000)/($G125*$B$5))))))/10</f>
        <v>#N/A</v>
      </c>
      <c r="DD125" s="102" t="e">
        <f>(VLOOKUP($B$3,'Coeff EC7'!$T$39:$X$59,2,0)*DB125+VLOOKUP($B$3,'Coeff EC7'!$T$65:$X$85,2,0)*Model0.1C!DC125)/1.1</f>
        <v>#N/A</v>
      </c>
      <c r="DE125" s="102" t="e">
        <f>(VLOOKUP($B$3,'Coeff EC7'!$T$39:$X$59,3,0)*DB125+VLOOKUP($B$3,'Coeff EC7'!$T$65:$X$85,3,0)*Model0.1C!DC125)/0.9</f>
        <v>#N/A</v>
      </c>
      <c r="DF125" s="102" t="e">
        <f t="shared" si="186"/>
        <v>#N/A</v>
      </c>
      <c r="DG125" s="102" t="e">
        <f t="shared" si="187"/>
        <v>#N/A</v>
      </c>
      <c r="DH125" s="414" t="e">
        <f>IF(DH124=0,0,IF(AND(DD125&gt;charge_ELS_quasi,DE125&gt;Charge_ELS_freq,DF125&gt;charge_ELU,DG125&gt;charge_ELA,$B125&gt;NDC!$H$22-0.1+MIN(3*$DH$12,1.5)),0,1))</f>
        <v>#N/A</v>
      </c>
      <c r="DI125" s="86" t="b">
        <f t="shared" si="155"/>
        <v>0</v>
      </c>
      <c r="DJ125" s="86">
        <f t="shared" si="156"/>
        <v>0.5</v>
      </c>
      <c r="DK125" s="86">
        <f t="shared" si="157"/>
        <v>0.5</v>
      </c>
      <c r="DL125" s="30" t="e">
        <f t="shared" ca="1" si="188"/>
        <v>#DIV/0!</v>
      </c>
      <c r="DM125" s="85" t="e">
        <f ca="1">IF(CS125&lt;=Hypothèses!$V$7,Hypothèses!$W$7,IF(CS125&lt;=Hypothèses!$V$8,Hypothèses!$W$8,IF(CS125&lt;=Hypothèses!$V$9,Hypothèses!$W$9,IF(CS125&lt;=Hypothèses!$V$10,Hypothèses!$W$10,IF(CS125&lt;=Hypothèses!$V$11,Hypothèses!$W$11,IF(CS125&lt;=Hypothèses!$V$12,Hypothèses!$W$12,IF(CS125&lt;=Hypothèses!$V$13,Hypothèses!$W$13,IF(CS125&lt;=Hypothèses!$V$14,Hypothèses!$W$14,IF(CS125&lt;=Hypothèses!$V$15,Hypothèses!$W$15,IF(CS125&lt;=Hypothèses!$V$16,Hypothèses!$W$16,IF(CS125&lt;=Hypothèses!$V$17,Hypothèses!$W$17,IF(CS125&lt;=Hypothèses!$V$18,Hypothèses!$W$18,""))))))))))))</f>
        <v>#DIV/0!</v>
      </c>
      <c r="DN125" s="87" t="e">
        <f t="shared" ca="1" si="221"/>
        <v>#DIV/0!</v>
      </c>
      <c r="DO125" s="88" t="e">
        <f ca="1">IF(CS125&lt;=Hypothèses!$V$7,Hypothèses!$X$7,IF(CS125&lt;=Hypothèses!$V$8,Hypothèses!$X$8,IF(CS125&lt;=Hypothèses!$V$9,Hypothèses!$X$9,IF(CS125&lt;=Hypothèses!$V$10,Hypothèses!$X$10,IF(CS125&lt;=Hypothèses!$V$11,Hypothèses!$X$11,IF(CS125&lt;=Hypothèses!$V$12,Hypothèses!$X$12,IF(CS125&lt;=Hypothèses!$V$13,Hypothèses!$X$13,IF(CS125&lt;=Hypothèses!$V$14,Hypothèses!$X$14,IF(CS125&lt;=Hypothèses!$V$15,Hypothèses!$X$15,IF(CS125&lt;=Hypothèses!$V$16,Hypothèses!$X$16,IF(CS125&lt;=Hypothèses!$U$17,Hypothèses!$W$17,IF(CS125&lt;=Hypothèses!$U$18,Hypothèses!$W$18,""))))))))))))</f>
        <v>#DIV/0!</v>
      </c>
      <c r="DP125" s="95" t="e">
        <f t="shared" ca="1" si="189"/>
        <v>#DIV/0!</v>
      </c>
      <c r="DQ125" s="101" t="e">
        <f t="shared" si="228"/>
        <v>#N/A</v>
      </c>
      <c r="DR125" s="91" t="e">
        <f t="shared" si="158"/>
        <v>#N/A</v>
      </c>
      <c r="DS125" s="30" t="e">
        <f t="shared" si="210"/>
        <v>#N/A</v>
      </c>
      <c r="DT125" s="30" t="e">
        <f t="shared" si="211"/>
        <v>#N/A</v>
      </c>
      <c r="DU125" s="31" t="e">
        <f>IF(OR(Hypothèses!$B$4=17,Hypothèses!$B$4=18,Hypothèses!$B$4=19,Hypothèses!$B$4=20),
IF($D125="Pressio.",
IF(OR($E125=3,$E125=1,$E125=4),DT125,DS125),
IF($D125="Pénétro.",
IF(OR($E125=3,$E125=1,$E125=4),DT125,DS125))),IF($D125="Pressio.",
IF($E125=3,DT125,DS125),
IF($D125="Pénétro.",
IF($E125=4,DT125,DS125))))</f>
        <v>#N/A</v>
      </c>
      <c r="DV125" s="31" t="e">
        <f>(IF(OR(Hypothèses!$B$4=17,Hypothèses!$B$4=18,Hypothèses!$B$4=19,Hypothèses!$B$4=20),
IF($D125="Pressio.",
IF(OR($E125=3,$E125=1,$E125=4),(PI()*DV$12^2)/4*(DR125*$W125*1000)/($H125*$B$5),(PI()*DV$12^2)/4*(DR125*$W125*1000)/($G125*$B$5)),
IF($D125="Pénétro.",
IF(OR($E125=4,$E125=1,$E125=5),(PI()*DV$12^2)/4*(DR125*$W125*1000)/($H125*$B$5),(PI()*DV$12^2)/4*(DR125*$W125*1000)/($G125*$B$5)))),
IF($D125="Pressio.",
IF($E125=3,(PI()*DV$12^2)/4*(DR125*$W125*1000)/($H125*$B$5),(PI()*DV$12^2)/4*(DR125*$W125*1000)/($G125*$B$5)),
IF($D125="Pénétro.",
IF($E125=4,(PI()*DV$12^2)/4*(DR125*$W125*1000)/($H125*$B$5),(PI()*DV$12^2)/4*(DR125*$W125*1000)/($G125*$B$5))))))/10</f>
        <v>#N/A</v>
      </c>
      <c r="DW125" s="102" t="e">
        <f>(VLOOKUP($B$3,'Coeff EC7'!$T$39:$X$59,2,0)*DU125+VLOOKUP($B$3,'Coeff EC7'!$T$65:$X$85,2,0)*Model0.1C!DV125)/1.1</f>
        <v>#N/A</v>
      </c>
      <c r="DX125" s="102" t="e">
        <f>(VLOOKUP($B$3,'Coeff EC7'!$T$39:$X$59,3,0)*DU125+VLOOKUP($B$3,'Coeff EC7'!$T$65:$X$85,3,0)*Model0.1C!DV125)/0.9</f>
        <v>#N/A</v>
      </c>
      <c r="DY125" s="102" t="e">
        <f t="shared" si="190"/>
        <v>#N/A</v>
      </c>
      <c r="DZ125" s="102" t="e">
        <f t="shared" si="191"/>
        <v>#N/A</v>
      </c>
      <c r="EA125" s="414" t="e">
        <f>IF(EA124=0,0,IF(AND(DW125&gt;charge_ELS_quasi,DX125&gt;Charge_ELS_freq,DY125&gt;charge_ELU,DZ125&gt;charge_ELA,$B125&gt;NDC!$H$22-0.1+MIN(3*$EA$12,1.5)),0,1))</f>
        <v>#N/A</v>
      </c>
      <c r="EB125" s="86" t="b">
        <f t="shared" si="159"/>
        <v>0</v>
      </c>
      <c r="EC125" s="418">
        <f t="shared" si="160"/>
        <v>0.51</v>
      </c>
      <c r="ED125" s="86">
        <f t="shared" si="161"/>
        <v>0.51</v>
      </c>
      <c r="EE125" s="30" t="e">
        <f t="shared" ca="1" si="192"/>
        <v>#DIV/0!</v>
      </c>
      <c r="EF125" s="85" t="e">
        <f ca="1">IF(DL125&lt;=Hypothèses!$V$7,Hypothèses!$W$7,IF(DL125&lt;=Hypothèses!$V$8,Hypothèses!$W$8,IF(DL125&lt;=Hypothèses!$V$9,Hypothèses!$W$9,IF(DL125&lt;=Hypothèses!$V$10,Hypothèses!$W$10,IF(DL125&lt;=Hypothèses!$V$11,Hypothèses!$W$11,IF(DL125&lt;=Hypothèses!$V$12,Hypothèses!$W$12,IF(DL125&lt;=Hypothèses!$V$13,Hypothèses!$W$13,IF(DL125&lt;=Hypothèses!$V$14,Hypothèses!$W$14,IF(DL125&lt;=Hypothèses!$V$15,Hypothèses!$W$15,IF(DL125&lt;=Hypothèses!$V$16,Hypothèses!$W$16,IF(DL125&lt;=Hypothèses!$V$17,Hypothèses!$W$17,IF(DL125&lt;=Hypothèses!$V$18,Hypothèses!$W$18,""))))))))))))</f>
        <v>#DIV/0!</v>
      </c>
      <c r="EG125" s="87" t="e">
        <f t="shared" ca="1" si="222"/>
        <v>#DIV/0!</v>
      </c>
      <c r="EH125" s="88" t="e">
        <f ca="1">IF(DL125&lt;=Hypothèses!$V$7,Hypothèses!$X$7,IF(DL125&lt;=Hypothèses!$V$8,Hypothèses!$X$8,IF(DL125&lt;=Hypothèses!$V$9,Hypothèses!$X$9,IF(DL125&lt;=Hypothèses!$V$10,Hypothèses!$X$10,IF(DL125&lt;=Hypothèses!$V$11,Hypothèses!$X$11,IF(DL125&lt;=Hypothèses!$V$12,Hypothèses!$X$12,IF(DL125&lt;=Hypothèses!$V$13,Hypothèses!$X$13,IF(DL125&lt;=Hypothèses!$V$14,Hypothèses!$X$14,IF(DL125&lt;=Hypothèses!$V$15,Hypothèses!$X$15,IF(DL125&lt;=Hypothèses!$V$16,Hypothèses!$X$16,IF(DL125&lt;=Hypothèses!$U$17,Hypothèses!$W$17,IF(DL125&lt;=Hypothèses!$U$18,Hypothèses!$W$18,""))))))))))))</f>
        <v>#DIV/0!</v>
      </c>
      <c r="EI125" s="95" t="e">
        <f t="shared" ca="1" si="193"/>
        <v>#DIV/0!</v>
      </c>
      <c r="EJ125" s="101" t="e">
        <f t="shared" si="229"/>
        <v>#N/A</v>
      </c>
      <c r="EK125" s="91" t="e">
        <f t="shared" si="162"/>
        <v>#N/A</v>
      </c>
      <c r="EL125" s="30" t="e">
        <f t="shared" si="212"/>
        <v>#N/A</v>
      </c>
      <c r="EM125" s="30" t="e">
        <f t="shared" si="213"/>
        <v>#N/A</v>
      </c>
      <c r="EN125" s="31" t="e">
        <f>IF(OR(Hypothèses!$B$4=17,Hypothèses!$B$4=18,Hypothèses!$B$4=19,Hypothèses!$B$4=20),
IF($D125="Pressio.",
IF(OR($E125=3,$E125=1,$E125=4),EM125,EL125),
IF($D125="Pénétro.",
IF(OR($E125=3,$E125=1,$E125=4),EM125,EL125))),IF($D125="Pressio.",
IF($E125=3,EM125,EL125),
IF($D125="Pénétro.",
IF($E125=4,EM125,EL125))))</f>
        <v>#N/A</v>
      </c>
      <c r="EO125" s="31" t="e">
        <f>(IF(OR(Hypothèses!$B$4=17,Hypothèses!$B$4=18,Hypothèses!$B$4=19,Hypothèses!$B$4=20),
IF($D125="Pressio.",
IF(OR($E125=3,$E125=1,$E125=4),(PI()*EO$12^2)/4*(EK125*$W125*1000)/($H125*$B$5),(PI()*EO$12^2)/4*(EK125*$W125*1000)/($G125*$B$5)),
IF($D125="Pénétro.",
IF(OR($E125=4,$E125=1,$E125=5),(PI()*EO$12^2)/4*(EK125*$W125*1000)/($H125*$B$5),(PI()*EO$12^2)/4*(EK125*$W125*1000)/($G125*$B$5)))),
IF($D125="Pressio.",
IF($E125=3,(PI()*EO$12^2)/4*(EK125*$W125*1000)/($H125*$B$5),(PI()*EO$12^2)/4*(EK125*$W125*1000)/($G125*$B$5)),
IF($D125="Pénétro.",
IF($E125=4,(PI()*EO$12^2)/4*(EK125*$W125*1000)/($H125*$B$5),(PI()*EO$12^2)/4*(EK125*$W125*1000)/($G125*$B$5))))))/10</f>
        <v>#N/A</v>
      </c>
      <c r="EP125" s="102" t="e">
        <f>(VLOOKUP($B$3,'Coeff EC7'!$T$39:$X$59,2,0)*EN125+VLOOKUP($B$3,'Coeff EC7'!$T$65:$X$85,2,0)*Model0.1C!EO125)/1.1</f>
        <v>#N/A</v>
      </c>
      <c r="EQ125" s="102" t="e">
        <f>(VLOOKUP($B$3,'Coeff EC7'!$T$39:$X$59,3,0)*EN125+VLOOKUP($B$3,'Coeff EC7'!$T$65:$X$85,3,0)*Model0.1C!EO125)/0.9</f>
        <v>#N/A</v>
      </c>
      <c r="ER125" s="102" t="e">
        <f t="shared" si="194"/>
        <v>#N/A</v>
      </c>
      <c r="ES125" s="102" t="e">
        <f t="shared" si="195"/>
        <v>#N/A</v>
      </c>
      <c r="ET125" s="414" t="e">
        <f>IF(ET124=0,0,IF(AND(EP125&gt;charge_ELS_quasi,EQ125&gt;Charge_ELS_freq,ER125&gt;charge_ELU,ES125&gt;charge_ELA,$B125&gt;NDC!$H$22-0.1+MIN(3*$ET$12,1.5)),0,1))</f>
        <v>#N/A</v>
      </c>
      <c r="EU125" s="86" t="b">
        <f t="shared" si="163"/>
        <v>0</v>
      </c>
      <c r="EV125" s="86">
        <f t="shared" si="164"/>
        <v>0.61</v>
      </c>
      <c r="EW125" s="86">
        <f t="shared" si="165"/>
        <v>0.61</v>
      </c>
      <c r="EX125" s="30" t="e">
        <f t="shared" ca="1" si="196"/>
        <v>#DIV/0!</v>
      </c>
      <c r="EY125" s="85" t="e">
        <f ca="1">IF(EE125&lt;=Hypothèses!$V$7,Hypothèses!$W$7,IF(EE125&lt;=Hypothèses!$V$8,Hypothèses!$W$8,IF(EE125&lt;=Hypothèses!$V$9,Hypothèses!$W$9,IF(EE125&lt;=Hypothèses!$V$10,Hypothèses!$W$10,IF(EE125&lt;=Hypothèses!$V$11,Hypothèses!$W$11,IF(EE125&lt;=Hypothèses!$V$12,Hypothèses!$W$12,IF(EE125&lt;=Hypothèses!$V$13,Hypothèses!$W$13,IF(EE125&lt;=Hypothèses!$V$14,Hypothèses!$W$14,IF(EE125&lt;=Hypothèses!$V$15,Hypothèses!$W$15,IF(EE125&lt;=Hypothèses!$V$16,Hypothèses!$W$16,IF(EE125&lt;=Hypothèses!$V$17,Hypothèses!$W$17,IF(EE125&lt;=Hypothèses!$V$18,Hypothèses!$W$18,""))))))))))))</f>
        <v>#DIV/0!</v>
      </c>
      <c r="EZ125" s="87" t="e">
        <f t="shared" ca="1" si="223"/>
        <v>#DIV/0!</v>
      </c>
      <c r="FA125" s="88" t="e">
        <f ca="1">IF(EE125&lt;=Hypothèses!$V$7,Hypothèses!$X$7,IF(EE125&lt;=Hypothèses!$V$8,Hypothèses!$X$8,IF(EE125&lt;=Hypothèses!$V$9,Hypothèses!$X$9,IF(EE125&lt;=Hypothèses!$V$10,Hypothèses!$X$10,IF(EE125&lt;=Hypothèses!$V$11,Hypothèses!$X$11,IF(EE125&lt;=Hypothèses!$V$12,Hypothèses!$X$12,IF(EE125&lt;=Hypothèses!$V$13,Hypothèses!$X$13,IF(EE125&lt;=Hypothèses!$V$14,Hypothèses!$X$14,IF(EE125&lt;=Hypothèses!$V$15,Hypothèses!$X$15,IF(EE125&lt;=Hypothèses!$V$16,Hypothèses!$X$16,IF(EE125&lt;=Hypothèses!$U$17,Hypothèses!$W$17,IF(EE125&lt;=Hypothèses!$U$18,Hypothèses!$W$18,""))))))))))))</f>
        <v>#DIV/0!</v>
      </c>
      <c r="FB125" s="95" t="e">
        <f t="shared" ca="1" si="197"/>
        <v>#DIV/0!</v>
      </c>
      <c r="FC125" s="101" t="e">
        <f t="shared" si="230"/>
        <v>#N/A</v>
      </c>
      <c r="FD125" s="91" t="e">
        <f t="shared" si="166"/>
        <v>#N/A</v>
      </c>
      <c r="FE125" s="30" t="e">
        <f t="shared" si="214"/>
        <v>#N/A</v>
      </c>
      <c r="FF125" s="30" t="e">
        <f t="shared" si="215"/>
        <v>#N/A</v>
      </c>
      <c r="FG125" s="31" t="e">
        <f>IF(OR(Hypothèses!$B$4=17,Hypothèses!$B$4=18,Hypothèses!$B$4=19,Hypothèses!$B$4=20),
IF($D125="Pressio.",
IF(OR($E125=3,$E125=1,$E125=4),FF125,FE125),
IF($D125="Pénétro.",
IF(OR($E125=3,$E125=1,$E125=4),FF125,FE125))),IF($D125="Pressio.",
IF($E125=3,FF125,FE125),
IF($D125="Pénétro.",
IF($E125=4,FF125,FE125))))</f>
        <v>#N/A</v>
      </c>
      <c r="FH125" s="31" t="e">
        <f>(IF(OR(Hypothèses!$B$4=17,Hypothèses!$B$4=18,Hypothèses!$B$4=19,Hypothèses!$B$4=20),
IF($D125="Pressio.",
IF(OR($E125=3,$E125=1,$E125=4),(PI()*FH$12^2)/4*(FD125*$W125*1000)/($H125*$B$5),(PI()*FH$12^2)/4*(FD125*$W125*1000)/($G125*$B$5)),
IF($D125="Pénétro.",
IF(OR($E125=4,$E125=1,$E125=5),(PI()*FH$12^2)/4*(FD125*$W125*1000)/($H125*$B$5),(PI()*FH$12^2)/4*(FD125*$W125*1000)/($G125*$B$5)))),
IF($D125="Pressio.",
IF($E125=3,(PI()*FH$12^2)/4*(FD125*$W125*1000)/($H125*$B$5),(PI()*FH$12^2)/4*(FD125*$W125*1000)/($G125*$B$5)),
IF($D125="Pénétro.",
IF($E125=4,(PI()*FH$12^2)/4*(FD125*$W125*1000)/($H125*$B$5),(PI()*FH$12^2)/4*(FD125*$W125*1000)/($G125*$B$5))))))/10</f>
        <v>#N/A</v>
      </c>
      <c r="FI125" s="102" t="e">
        <f>(VLOOKUP($B$3,'Coeff EC7'!$T$39:$X$59,2,0)*FG125+VLOOKUP($B$3,'Coeff EC7'!$T$65:$X$85,2,0)*Model0.1C!FH125)/1.1</f>
        <v>#N/A</v>
      </c>
      <c r="FJ125" s="102" t="e">
        <f>(VLOOKUP($B$3,'Coeff EC7'!$T$39:$X$59,3,0)*FG125+VLOOKUP($B$3,'Coeff EC7'!$T$65:$X$85,3,0)*Model0.1C!FH125)/0.9</f>
        <v>#N/A</v>
      </c>
      <c r="FK125" s="102" t="e">
        <f t="shared" si="198"/>
        <v>#N/A</v>
      </c>
      <c r="FL125" s="102" t="e">
        <f t="shared" si="199"/>
        <v>#N/A</v>
      </c>
      <c r="FM125" s="414" t="e">
        <f>IF(FM124=0,0,IF(AND(FI125&gt;charge_ELS_quasi,FJ125&gt;Charge_ELS_freq,FK125&gt;charge_ELU,FL125&gt;charge_ELA,$B125&gt;NDC!$H$22-0.1+MIN(3*$FM$12,1.5)),0,1))</f>
        <v>#N/A</v>
      </c>
    </row>
    <row r="126" spans="1:169">
      <c r="A126" s="96">
        <f t="shared" si="167"/>
        <v>88.700000000000642</v>
      </c>
      <c r="B126" s="97">
        <v>11.3</v>
      </c>
      <c r="C126" s="81">
        <f>IF(B126&lt;=Hypothèses!$C$7,Hypothèses!$A$7,IF(B126&lt;=Hypothèses!$C$8,Hypothèses!$A$8,IF(B126&lt;=Hypothèses!$C$9,Hypothèses!$A$9,IF(B126&lt;=Hypothèses!$C$10,Hypothèses!$A$10,IF(B126&lt;=Hypothèses!$C$11,Hypothèses!$A$11,IF(B126&lt;=Hypothèses!$C$12,Hypothèses!$A$12,IF(B126&lt;=Hypothèses!$C$13,Hypothèses!$A$13,IF(B126&lt;=Hypothèses!$C$14,Hypothèses!$A$14,IF(B126&lt;=Hypothèses!$C$15,Hypothèses!$A$15,IF(B126&lt;=Hypothèses!$C$16,Hypothèses!$A$16,IF(B126&lt;=Hypothèses!$C$17,Hypothèses!$A$17,IF(B126&lt;=Hypothèses!$C$18,Hypothèses!$A$18,C125))))))))))))</f>
        <v>11</v>
      </c>
      <c r="D126" s="82" t="str">
        <f>IF(B126&lt;=Hypothèses!$C$7,Hypothèses!$R$7,IF(B126&lt;=Hypothèses!$C$8,Hypothèses!$R$8,IF(B126&lt;=Hypothèses!$C$9,Hypothèses!$R$9,IF(B126&lt;=Hypothèses!$C$10,Hypothèses!$R$10,IF(B126&lt;=Hypothèses!$C$11,Hypothèses!$R$11,IF(B126&lt;=Hypothèses!$C$12,Hypothèses!$R$12,IF(B126&lt;=Hypothèses!$C$13,Hypothèses!$R$13,IF(B126&lt;=Hypothèses!$C$14,Hypothèses!$R$14,IF(B126&lt;=Hypothèses!$C$15,Hypothèses!$R$15,IF(B126&lt;=Hypothèses!$C$16,Hypothèses!$R$16,IF(B126&lt;=Hypothèses!$C$17,Hypothèses!$R$17,IF(B126&lt;=Hypothèses!$C$18,Hypothèses!$R$18,D125))))))))))))</f>
        <v>Pressio.</v>
      </c>
      <c r="E126" s="82" t="e">
        <f>IF(B126&lt;=Hypothèses!$C$7,Hypothèses!$G$7,IF(B126&lt;=Hypothèses!$C$8,Hypothèses!$G$8,IF(B126&lt;=Hypothèses!$C$9,Hypothèses!$G$9,IF(B126&lt;=Hypothèses!$C$10,Hypothèses!$G$10,IF(B126&lt;=Hypothèses!$C$11,Hypothèses!$G$11,IF(B126&lt;=Hypothèses!$C$12,Hypothèses!$G$12,IF(B126&lt;=Hypothèses!$C$13,Hypothèses!$G$13,IF(B126&lt;=Hypothèses!$C$14,Hypothèses!$G$14,IF(B126&lt;=Hypothèses!$C$15,Hypothèses!$G$15,IF(B126&lt;=Hypothèses!$C$16,Hypothèses!$G$16,IF(B126&lt;=Hypothèses!$C$17,Hypothèses!$G$17,IF(B126&lt;=Hypothèses!$C$18,Hypothèses!$G$18,E125))))))))))))</f>
        <v>#N/A</v>
      </c>
      <c r="F126" s="82" t="str">
        <f>IF(B126&lt;=Hypothèses!$C$7,Hypothèses!$F$7,IF(B126&lt;=Hypothèses!$C$8,Hypothèses!$F$8,IF(B126&lt;=Hypothèses!$C$9,Hypothèses!$F$9,IF(B126&lt;=Hypothèses!$C$10,Hypothèses!$F$10,IF(B126&lt;=Hypothèses!$C$11,Hypothèses!$F$11,IF(B126&lt;=Hypothèses!$C$12,Hypothèses!$F$12,IF(B126&lt;=Hypothèses!$C$13,Hypothèses!$F$13,IF(B126&lt;=Hypothèses!$C$14,Hypothèses!$F$14,IF(B126&lt;=Hypothèses!$C$15,Hypothèses!$F$15,IF(B126&lt;=Hypothèses!$C$16,Hypothèses!$F$16,IF(B126&lt;=Hypothèses!$C$17,Hypothèses!$F$17,IF(B126&lt;=Hypothèses!$C$18,Hypothèses!$F$18,F125))))))))))))</f>
        <v/>
      </c>
      <c r="G126" s="91">
        <f t="array" ref="G126">INDEX('Coeff EC7'!$U$7:$X$27,
MATCH(Model0.1C!$B$3,'Coeff EC7'!$T$7:$T$27,0),
MATCH(Model0.1C!$D126&amp;Model0.1C!$B$4,
'Coeff EC7'!$U$6:$X$6&amp;
'Coeff EC7'!$U$5:$X$5,0))</f>
        <v>1.1499999999999999</v>
      </c>
      <c r="H126" s="91">
        <f t="array" ref="H126">INDEX('Coeff EC7'!$Y$7:$AB$27,
MATCH(Model0.1C!$B$3,'Coeff EC7'!$T$7:$T$27,0),
MATCH(Model0.1C!$D126&amp;Model0.1C!$B$4,
'Coeff EC7'!$Y$6:$AB$6&amp;
'Coeff EC7'!$Y$5:$AB$5,0))</f>
        <v>1.4</v>
      </c>
      <c r="I126" s="83" t="e">
        <f>IF(B126&lt;=Hypothèses!$C$7,Hypothèses!$P$7,IF(B126&lt;=Hypothèses!$C$8,Hypothèses!$P$8,IF(B126&lt;=Hypothèses!$C$9,Hypothèses!$P$9,IF(B126&lt;=Hypothèses!$C$10,Hypothèses!$P$10,IF(B126&lt;=Hypothèses!$C$11,Hypothèses!$P$11,IF(B126&lt;=Hypothèses!$C$12,Hypothèses!$P$12,IF(B126&lt;=Hypothèses!$C$13,Hypothèses!$P$13,IF(B126&lt;=Hypothèses!$C$14,Hypothèses!$P$14,IF(B126&lt;=Hypothèses!$C$15,Hypothèses!$P$15,IF(B126&lt;=Hypothèses!$C$16,Hypothèses!$P$16,IF(B126&lt;=Hypothèses!$C$17,Hypothèses!$P$17,IF(B126&lt;=Hypothèses!$C$18,Hypothèses!$P$18,I125))))))))))))</f>
        <v>#N/A</v>
      </c>
      <c r="J126" s="91" t="e">
        <f t="array" ref="J126">INDEX('Coeff EC7'!$D$33:$Q$33,1,MATCH(D126&amp;E126,'Coeff EC7'!$D$31:$Q$31&amp;'Coeff EC7'!$D$32:$Q$32,0))</f>
        <v>#N/A</v>
      </c>
      <c r="K126" s="91" t="e">
        <f t="array" ref="K126">INDEX('Coeff EC7'!$D$34:$Q$34,1,MATCH(D126&amp;E126,'Coeff EC7'!$D$31:$Q$31&amp;'Coeff EC7'!$D$32:$Q$32,0))</f>
        <v>#N/A</v>
      </c>
      <c r="L126" s="91" t="e">
        <f t="array" ref="L126">INDEX('Coeff EC7'!$D$35:$Q$35,1,MATCH(D126&amp;E126,'Coeff EC7'!$D$31:$Q$31&amp;'Coeff EC7'!$D$32:$Q$32,0))</f>
        <v>#N/A</v>
      </c>
      <c r="M126" s="98" t="e">
        <f t="shared" si="131"/>
        <v>#N/A</v>
      </c>
      <c r="N126" s="99" t="e">
        <f t="array" ref="N126">INDEX('Coeff EC7'!$D$7:$Q$27,MATCH($B$3,'Coeff EC7'!$C$7:$C$27,0),MATCH(D126&amp;E126,'Coeff EC7'!$D$5:$Q$5&amp;'Coeff EC7'!$D$6:$Q$6,0))</f>
        <v>#N/A</v>
      </c>
      <c r="O126" s="99" t="e">
        <f t="array" ref="O126">INDEX('Coeff EC7'!$D$41:$Q$61,MATCH($B$3,'Coeff EC7'!$C$41:$C$61,0),MATCH(D126&amp;E126,'Coeff EC7'!$D$39:$Q$39&amp;'Coeff EC7'!$D$40:$Q$40,0))</f>
        <v>#N/A</v>
      </c>
      <c r="P126" s="30" t="e">
        <f t="shared" si="168"/>
        <v>#N/A</v>
      </c>
      <c r="Q126" s="100" t="e">
        <f t="shared" si="133"/>
        <v>#N/A</v>
      </c>
      <c r="R126" s="86" t="b">
        <f t="shared" si="134"/>
        <v>0</v>
      </c>
      <c r="S126" s="86">
        <f t="shared" si="132"/>
        <v>0.5</v>
      </c>
      <c r="T126" s="86">
        <f t="shared" si="135"/>
        <v>0.5</v>
      </c>
      <c r="U126" s="30" t="e">
        <f t="shared" ca="1" si="169"/>
        <v>#DIV/0!</v>
      </c>
      <c r="V126" s="85" t="str">
        <f>IF(B126&lt;=Hypothèses!$V$7,Hypothèses!$W$7,IF(B126&lt;=Hypothèses!$V$8,Hypothèses!$W$8,IF(B126&lt;=Hypothèses!$V$9,Hypothèses!$W$9,IF(B126&lt;=Hypothèses!$V$10,Hypothèses!$W$10,IF(B126&lt;=Hypothèses!$V$11,Hypothèses!$W$11,IF(B126&lt;=Hypothèses!$V$12,Hypothèses!$W$12,IF(B126&lt;=Hypothèses!$V$13,Hypothèses!$W$13,IF(B126&lt;=Hypothèses!$V$14,Hypothèses!$W$14,IF(B126&lt;=Hypothèses!$V$15,Hypothèses!$W$15,IF(B126&lt;=Hypothèses!$V$16,Hypothèses!$W$16,IF(B126&lt;=Hypothèses!$V$17,Hypothèses!$W$17,IF(B126&lt;=Hypothèses!$V$18,Hypothèses!$W$18,""))))))))))))</f>
        <v/>
      </c>
      <c r="W126" s="87" t="e">
        <f t="shared" ca="1" si="216"/>
        <v>#DIV/0!</v>
      </c>
      <c r="X126" s="88" t="str">
        <f>IF(B126&lt;=Hypothèses!$V$7,Hypothèses!$X$7,IF(B126&lt;=Hypothèses!$V$8,Hypothèses!$X$8,IF(B126&lt;=Hypothèses!$V$9,Hypothèses!$X$9,IF(B126&lt;=Hypothèses!$V$10,Hypothèses!$X$10,IF(B126&lt;=Hypothèses!$V$11,Hypothèses!$X$11,IF(B126&lt;=Hypothèses!$V$12,Hypothèses!$X$12,IF(B126&lt;=Hypothèses!$V$13,Hypothèses!$X$13,IF(B126&lt;=Hypothèses!$V$14,Hypothèses!$X$14,IF(B126&lt;=Hypothèses!$V$15,Hypothèses!$X$15,IF(B126&lt;=Hypothèses!$V$16,Hypothèses!$X$16,IF(B126&lt;=Hypothèses!$U$17,Hypothèses!$W$17,IF(B126&lt;=Hypothèses!$U$18,Hypothèses!$W$18,""))))))))))))</f>
        <v/>
      </c>
      <c r="Y126" s="95" t="e">
        <f t="shared" ca="1" si="136"/>
        <v>#DIV/0!</v>
      </c>
      <c r="Z126" s="101" t="e">
        <f t="shared" si="137"/>
        <v>#N/A</v>
      </c>
      <c r="AA126" s="91" t="e">
        <f t="shared" si="138"/>
        <v>#N/A</v>
      </c>
      <c r="AB126" s="30" t="e">
        <f t="shared" si="200"/>
        <v>#N/A</v>
      </c>
      <c r="AC126" s="30" t="e">
        <f t="shared" si="201"/>
        <v>#N/A</v>
      </c>
      <c r="AD126" s="31" t="e">
        <f>IF(OR(Hypothèses!$B$4=17,Hypothèses!$B$4=18,Hypothèses!$B$4=19,Hypothèses!$B$4=20),
IF($D126="Pressio.",
IF(OR($E126=3,$E126=1,$E126=4),AC126,AB126),
IF($D126="Pénétro.",
IF(OR($E126=3,$E126=1,$E126=4),AC126,AB126))),IF($D126="Pressio.",
IF($E126=3,AC126,AB126),
IF($D126="Pénétro.",
IF($E126=4,AC126,AB126))))</f>
        <v>#N/A</v>
      </c>
      <c r="AE126" s="31" t="e">
        <f>(IF(OR(Hypothèses!$B$4=17,Hypothèses!$B$4=18,Hypothèses!$B$4=19,Hypothèses!$B$4=20),
IF($D126="Pressio.",
IF(OR($E126=3,$E126=1,$E126=4),(PI()*AE$12^2)/4*(AA126*$W126*1000)/($H126*$B$5),(PI()*AE$12^2)/4*(AA126*$W126*1000)/($G126*$B$5)),
IF($D126="Pénétro.",
IF(OR($E126=4,$E126=1,$E126=5),(PI()*AE$12^2)/4*(AA126*$W126*1000)/($H126*$B$5),(PI()*AE$12^2)/4*(AA126*$W126*1000)/($G126*$B$5)))),
IF($D126="Pressio.",
IF($E126=3,(PI()*AE$12^2)/4*(AA126*$W126*1000)/($H126*$B$5),(PI()*AE$12^2)/4*(AA126*$W126*1000)/($G126*$B$5)),
IF($D126="Pénétro.",
IF($E126=4,(PI()*AE$12^2)/4*(AA126*$W126*1000)/($H126*$B$5),(PI()*AE$12^2)/4*(AA126*$W126*1000)/($G126*$B$5))))))/10</f>
        <v>#N/A</v>
      </c>
      <c r="AF126" s="102" t="e">
        <f>(VLOOKUP($B$3,'Coeff EC7'!$T$39:$X$59,2,0)*AD126+VLOOKUP($B$3,'Coeff EC7'!$T$65:$X$85,2,0)*Model0.1C!AE126)/1.1</f>
        <v>#N/A</v>
      </c>
      <c r="AG126" s="102" t="e">
        <f>(VLOOKUP($B$3,'Coeff EC7'!$T$39:$X$59,3,0)*AD126+VLOOKUP($B$3,'Coeff EC7'!$T$65:$X$85,3,0)*Model0.1C!AE126)/0.9</f>
        <v>#N/A</v>
      </c>
      <c r="AH126" s="102" t="e">
        <f t="shared" si="139"/>
        <v>#N/A</v>
      </c>
      <c r="AI126" s="102" t="e">
        <f t="shared" si="140"/>
        <v>#N/A</v>
      </c>
      <c r="AJ126" s="414" t="e">
        <f>IF(AJ125=0,0,IF(AND(AF126&gt;charge_ELS_quasi,AG126&gt;Charge_ELS_freq,AH126&gt;charge_ELU,AI126&gt;charge_ELA,$B126&gt;NDC!$H$22-0.1+MIN(3*$AJ$12,1.5)),0,1))</f>
        <v>#N/A</v>
      </c>
      <c r="AK126" s="86" t="b">
        <f t="shared" si="141"/>
        <v>0</v>
      </c>
      <c r="AL126" s="86">
        <f t="shared" si="170"/>
        <v>0.5</v>
      </c>
      <c r="AM126" s="86">
        <f t="shared" si="142"/>
        <v>0.5</v>
      </c>
      <c r="AN126" s="30" t="e">
        <f t="shared" ca="1" si="171"/>
        <v>#DIV/0!</v>
      </c>
      <c r="AO126" s="85" t="e">
        <f ca="1">IF(U126&lt;=Hypothèses!$V$7,Hypothèses!$W$7,IF(U126&lt;=Hypothèses!$V$8,Hypothèses!$W$8,IF(U126&lt;=Hypothèses!$V$9,Hypothèses!$W$9,IF(U126&lt;=Hypothèses!$V$10,Hypothèses!$W$10,IF(U126&lt;=Hypothèses!$V$11,Hypothèses!$W$11,IF(U126&lt;=Hypothèses!$V$12,Hypothèses!$W$12,IF(U126&lt;=Hypothèses!$V$13,Hypothèses!$W$13,IF(U126&lt;=Hypothèses!$V$14,Hypothèses!$W$14,IF(U126&lt;=Hypothèses!$V$15,Hypothèses!$W$15,IF(U126&lt;=Hypothèses!$V$16,Hypothèses!$W$16,IF(U126&lt;=Hypothèses!$V$17,Hypothèses!$W$17,IF(U126&lt;=Hypothèses!$V$18,Hypothèses!$W$18,""))))))))))))</f>
        <v>#DIV/0!</v>
      </c>
      <c r="AP126" s="87" t="e">
        <f t="shared" ca="1" si="217"/>
        <v>#DIV/0!</v>
      </c>
      <c r="AQ126" s="88" t="e">
        <f ca="1">IF(U126&lt;=Hypothèses!$V$7,Hypothèses!$X$7,IF(U126&lt;=Hypothèses!$V$8,Hypothèses!$X$8,IF(U126&lt;=Hypothèses!$V$9,Hypothèses!$X$9,IF(U126&lt;=Hypothèses!$V$10,Hypothèses!$X$10,IF(U126&lt;=Hypothèses!$V$11,Hypothèses!$X$11,IF(U126&lt;=Hypothèses!$V$12,Hypothèses!$X$12,IF(U126&lt;=Hypothèses!$V$13,Hypothèses!$X$13,IF(U126&lt;=Hypothèses!$V$14,Hypothèses!$X$14,IF(U126&lt;=Hypothèses!$V$15,Hypothèses!$X$15,IF(U126&lt;=Hypothèses!$V$16,Hypothèses!$X$16,IF(U126&lt;=Hypothèses!$U$17,Hypothèses!$W$17,IF(U126&lt;=Hypothèses!$U$18,Hypothèses!$W$18,""))))))))))))</f>
        <v>#DIV/0!</v>
      </c>
      <c r="AR126" s="95" t="e">
        <f t="shared" ca="1" si="172"/>
        <v>#DIV/0!</v>
      </c>
      <c r="AS126" s="101" t="e">
        <f t="shared" si="224"/>
        <v>#N/A</v>
      </c>
      <c r="AT126" s="91" t="e">
        <f t="shared" si="143"/>
        <v>#N/A</v>
      </c>
      <c r="AU126" s="30" t="e">
        <f t="shared" si="202"/>
        <v>#N/A</v>
      </c>
      <c r="AV126" s="30" t="e">
        <f t="shared" si="203"/>
        <v>#N/A</v>
      </c>
      <c r="AW126" s="31" t="e">
        <f>IF(OR(Hypothèses!$B$4=17,Hypothèses!$B$4=18,Hypothèses!$B$4=19,Hypothèses!$B$4=20),
IF($D126="Pressio.",
IF(OR($E126=3,$E126=1,$E126=4),AV126,AU126),
IF($D126="Pénétro.",
IF(OR($E126=3,$E126=1,$E126=4),AV126,AU126))),IF($D126="Pressio.",
IF($E126=3,AV126,AU126),
IF($D126="Pénétro.",
IF($E126=4,AV126,AU126))))</f>
        <v>#N/A</v>
      </c>
      <c r="AX126" s="31" t="e">
        <f>(IF(OR(Hypothèses!$B$4=17,Hypothèses!$B$4=18,Hypothèses!$B$4=19,Hypothèses!$B$4=20),
IF($D126="Pressio.",
IF(OR($E126=3,$E126=1,$E126=4),(PI()*AX$12^2)/4*(AT126*$W126*1000)/($H126*$B$5),(PI()*AX$12^2)/4*(AT126*$W126*1000)/($G126*$B$5)),
IF($D126="Pénétro.",
IF(OR($E126=4,$E126=1,$E126=5),(PI()*AX$12^2)/4*(AT126*$W126*1000)/($H126*$B$5),(PI()*AX$12^2)/4*(AT126*$W126*1000)/($G126*$B$5)))),
IF($D126="Pressio.",
IF($E126=3,(PI()*AX$12^2)/4*(AT126*$W126*1000)/($H126*$B$5),(PI()*AX$12^2)/4*(AT126*$W126*1000)/($G126*$B$5)),
IF($D126="Pénétro.",
IF($E126=4,(PI()*AX$12^2)/4*(AT126*$W126*1000)/($H126*$B$5),(PI()*AX$12^2)/4*(AT126*$W126*1000)/($G126*$B$5))))))/10</f>
        <v>#N/A</v>
      </c>
      <c r="AY126" s="102" t="e">
        <f>(VLOOKUP($B$3,'Coeff EC7'!$T$39:$X$59,2,0)*AW126+VLOOKUP($B$3,'Coeff EC7'!$T$65:$X$85,2,0)*Model0.1C!AX126)/1.1</f>
        <v>#N/A</v>
      </c>
      <c r="AZ126" s="102" t="e">
        <f>(VLOOKUP($B$3,'Coeff EC7'!$T$39:$X$59,3,0)*AW126+VLOOKUP($B$3,'Coeff EC7'!$T$65:$X$85,3,0)*Model0.1C!AX126)/0.9</f>
        <v>#N/A</v>
      </c>
      <c r="BA126" s="102" t="e">
        <f t="shared" si="173"/>
        <v>#N/A</v>
      </c>
      <c r="BB126" s="102" t="e">
        <f t="shared" si="174"/>
        <v>#N/A</v>
      </c>
      <c r="BC126" s="414" t="e">
        <f>IF(BC125=0,0,IF(AND(AY126&gt;charge_ELS_quasi,AZ126&gt;Charge_ELS_freq,BA126&gt;charge_ELU,BB126&gt;charge_ELA,$B126&gt;NDC!$H$22-0.1+MIN(3*$BC$12,1.5)),0,1))</f>
        <v>#N/A</v>
      </c>
      <c r="BD126" s="86" t="b">
        <f t="shared" si="144"/>
        <v>0</v>
      </c>
      <c r="BE126" s="86">
        <f t="shared" si="175"/>
        <v>0.5</v>
      </c>
      <c r="BF126" s="86">
        <f t="shared" si="145"/>
        <v>0.5</v>
      </c>
      <c r="BG126" s="30" t="e">
        <f t="shared" ca="1" si="176"/>
        <v>#DIV/0!</v>
      </c>
      <c r="BH126" s="85" t="e">
        <f ca="1">IF(AN126&lt;=Hypothèses!$V$7,Hypothèses!$W$7,IF(AN126&lt;=Hypothèses!$V$8,Hypothèses!$W$8,IF(AN126&lt;=Hypothèses!$V$9,Hypothèses!$W$9,IF(AN126&lt;=Hypothèses!$V$10,Hypothèses!$W$10,IF(AN126&lt;=Hypothèses!$V$11,Hypothèses!$W$11,IF(AN126&lt;=Hypothèses!$V$12,Hypothèses!$W$12,IF(AN126&lt;=Hypothèses!$V$13,Hypothèses!$W$13,IF(AN126&lt;=Hypothèses!$V$14,Hypothèses!$W$14,IF(AN126&lt;=Hypothèses!$V$15,Hypothèses!$W$15,IF(AN126&lt;=Hypothèses!$V$16,Hypothèses!$W$16,IF(AN126&lt;=Hypothèses!$V$17,Hypothèses!$W$17,IF(AN126&lt;=Hypothèses!$V$18,Hypothèses!$W$18,""))))))))))))</f>
        <v>#DIV/0!</v>
      </c>
      <c r="BI126" s="87" t="e">
        <f t="shared" ca="1" si="218"/>
        <v>#DIV/0!</v>
      </c>
      <c r="BJ126" s="88" t="e">
        <f ca="1">IF(AN126&lt;=Hypothèses!$V$7,Hypothèses!$X$7,IF(AN126&lt;=Hypothèses!$V$8,Hypothèses!$X$8,IF(AN126&lt;=Hypothèses!$V$9,Hypothèses!$X$9,IF(AN126&lt;=Hypothèses!$V$10,Hypothèses!$X$10,IF(AN126&lt;=Hypothèses!$V$11,Hypothèses!$X$11,IF(AN126&lt;=Hypothèses!$V$12,Hypothèses!$X$12,IF(AN126&lt;=Hypothèses!$V$13,Hypothèses!$X$13,IF(AN126&lt;=Hypothèses!$V$14,Hypothèses!$X$14,IF(AN126&lt;=Hypothèses!$V$15,Hypothèses!$X$15,IF(AN126&lt;=Hypothèses!$V$16,Hypothèses!$X$16,IF(AN126&lt;=Hypothèses!$U$17,Hypothèses!$W$17,IF(AN126&lt;=Hypothèses!$U$18,Hypothèses!$W$18,""))))))))))))</f>
        <v>#DIV/0!</v>
      </c>
      <c r="BK126" s="95" t="e">
        <f t="shared" ca="1" si="177"/>
        <v>#DIV/0!</v>
      </c>
      <c r="BL126" s="101" t="e">
        <f t="shared" si="225"/>
        <v>#N/A</v>
      </c>
      <c r="BM126" s="91" t="e">
        <f t="shared" si="146"/>
        <v>#N/A</v>
      </c>
      <c r="BN126" s="30" t="e">
        <f t="shared" si="204"/>
        <v>#N/A</v>
      </c>
      <c r="BO126" s="30" t="e">
        <f t="shared" si="205"/>
        <v>#N/A</v>
      </c>
      <c r="BP126" s="31" t="e">
        <f>IF(OR(Hypothèses!$B$4=17,Hypothèses!$B$4=18,Hypothèses!$B$4=19,Hypothèses!$B$4=20),
IF($D126="Pressio.",
IF(OR($E126=3,$E126=1,$E126=4),BO126,BN126),
IF($D126="Pénétro.",
IF(OR($E126=3,$E126=1,$E126=4),BO126,BN126))),IF($D126="Pressio.",
IF($E126=3,BO126,BN126),
IF($D126="Pénétro.",
IF($E126=4,BO126,BN126))))</f>
        <v>#N/A</v>
      </c>
      <c r="BQ126" s="31" t="e">
        <f>(IF(OR(Hypothèses!$B$4=17,Hypothèses!$B$4=18,Hypothèses!$B$4=19,Hypothèses!$B$4=20),
IF($D126="Pressio.",
IF(OR($E126=3,$E126=1,$E126=4),(PI()*BQ$12^2)/4*(BM126*$W126*1000)/($H126*$B$5),(PI()*BQ$12^2)/4*(BM126*$W126*1000)/($G126*$B$5)),
IF($D126="Pénétro.",
IF(OR($E126=4,$E126=1,$E126=5),(PI()*BQ$12^2)/4*(BM126*$W126*1000)/($H126*$B$5),(PI()*BQ$12^2)/4*(BM126*$W126*1000)/($G126*$B$5)))),
IF($D126="Pressio.",
IF($E126=3,(PI()*BQ$12^2)/4*(BM126*$W126*1000)/($H126*$B$5),(PI()*BQ$12^2)/4*(BM126*$W126*1000)/($G126*$B$5)),
IF($D126="Pénétro.",
IF($E126=4,(PI()*BQ$12^2)/4*(BM126*$W126*1000)/($H126*$B$5),(PI()*BQ$12^2)/4*(BM126*$W126*1000)/($G126*$B$5))))))/10</f>
        <v>#N/A</v>
      </c>
      <c r="BR126" s="102" t="e">
        <f>(VLOOKUP($B$3,'Coeff EC7'!$T$39:$X$59,2,0)*BP126+VLOOKUP($B$3,'Coeff EC7'!$T$65:$X$85,2,0)*Model0.1C!BQ126)/1.1</f>
        <v>#N/A</v>
      </c>
      <c r="BS126" s="102" t="e">
        <f>(VLOOKUP($B$3,'Coeff EC7'!$T$39:$X$59,3,0)*BP126+VLOOKUP($B$3,'Coeff EC7'!$T$65:$X$85,3,0)*Model0.1C!BQ126)/0.9</f>
        <v>#N/A</v>
      </c>
      <c r="BT126" s="102" t="e">
        <f t="shared" si="178"/>
        <v>#N/A</v>
      </c>
      <c r="BU126" s="102" t="e">
        <f t="shared" si="179"/>
        <v>#N/A</v>
      </c>
      <c r="BV126" s="414" t="e">
        <f>IF(BV125=0,0,IF(AND(BR126&gt;charge_ELS_quasi,BS126&gt;Charge_ELS_freq,BT126&gt;charge_ELU,BU126&gt;charge_ELA,$B126&gt;NDC!$H$22-0.1+MIN(3*$BV$12,1.5)),0,1))</f>
        <v>#N/A</v>
      </c>
      <c r="BW126" s="86" t="b">
        <f t="shared" si="147"/>
        <v>0</v>
      </c>
      <c r="BX126" s="86">
        <f t="shared" si="148"/>
        <v>0.5</v>
      </c>
      <c r="BY126" s="86">
        <f t="shared" si="149"/>
        <v>0.5</v>
      </c>
      <c r="BZ126" s="30" t="e">
        <f t="shared" ca="1" si="180"/>
        <v>#DIV/0!</v>
      </c>
      <c r="CA126" s="85" t="e">
        <f ca="1">IF(BG126&lt;=Hypothèses!$V$7,Hypothèses!$W$7,IF(BG126&lt;=Hypothèses!$V$8,Hypothèses!$W$8,IF(BG126&lt;=Hypothèses!$V$9,Hypothèses!$W$9,IF(BG126&lt;=Hypothèses!$V$10,Hypothèses!$W$10,IF(BG126&lt;=Hypothèses!$V$11,Hypothèses!$W$11,IF(BG126&lt;=Hypothèses!$V$12,Hypothèses!$W$12,IF(BG126&lt;=Hypothèses!$V$13,Hypothèses!$W$13,IF(BG126&lt;=Hypothèses!$V$14,Hypothèses!$W$14,IF(BG126&lt;=Hypothèses!$V$15,Hypothèses!$W$15,IF(BG126&lt;=Hypothèses!$V$16,Hypothèses!$W$16,IF(BG126&lt;=Hypothèses!$V$17,Hypothèses!$W$17,IF(BG126&lt;=Hypothèses!$V$18,Hypothèses!$W$18,""))))))))))))</f>
        <v>#DIV/0!</v>
      </c>
      <c r="CB126" s="87" t="e">
        <f t="shared" ca="1" si="219"/>
        <v>#DIV/0!</v>
      </c>
      <c r="CC126" s="88" t="e">
        <f ca="1">IF(BG126&lt;=Hypothèses!$V$7,Hypothèses!$X$7,IF(BG126&lt;=Hypothèses!$V$8,Hypothèses!$X$8,IF(BG126&lt;=Hypothèses!$V$9,Hypothèses!$X$9,IF(BG126&lt;=Hypothèses!$V$10,Hypothèses!$X$10,IF(BG126&lt;=Hypothèses!$V$11,Hypothèses!$X$11,IF(BG126&lt;=Hypothèses!$V$12,Hypothèses!$X$12,IF(BG126&lt;=Hypothèses!$V$13,Hypothèses!$X$13,IF(BG126&lt;=Hypothèses!$V$14,Hypothèses!$X$14,IF(BG126&lt;=Hypothèses!$V$15,Hypothèses!$X$15,IF(BG126&lt;=Hypothèses!$V$16,Hypothèses!$X$16,IF(BG126&lt;=Hypothèses!$U$17,Hypothèses!$W$17,IF(BG126&lt;=Hypothèses!$U$18,Hypothèses!$W$18,""))))))))))))</f>
        <v>#DIV/0!</v>
      </c>
      <c r="CD126" s="95" t="e">
        <f t="shared" ca="1" si="181"/>
        <v>#DIV/0!</v>
      </c>
      <c r="CE126" s="101" t="e">
        <f t="shared" si="226"/>
        <v>#N/A</v>
      </c>
      <c r="CF126" s="91" t="e">
        <f t="shared" si="150"/>
        <v>#N/A</v>
      </c>
      <c r="CG126" s="30" t="e">
        <f t="shared" si="206"/>
        <v>#N/A</v>
      </c>
      <c r="CH126" s="30" t="e">
        <f t="shared" si="207"/>
        <v>#N/A</v>
      </c>
      <c r="CI126" s="31" t="e">
        <f>IF(OR(Hypothèses!$B$4=17,Hypothèses!$B$4=18,Hypothèses!$B$4=19,Hypothèses!$B$4=20),
IF($D126="Pressio.",
IF(OR($E126=3,$E126=1,$E126=4),CH126,CG126),
IF($D126="Pénétro.",
IF(OR($E126=3,$E126=1,$E126=4),CH126,CG126))),IF($D126="Pressio.",
IF($E126=3,CH126,CG126),
IF($D126="Pénétro.",
IF($E126=4,CH126,CG126))))</f>
        <v>#N/A</v>
      </c>
      <c r="CJ126" s="31" t="e">
        <f>(IF(OR(Hypothèses!$B$4=17,Hypothèses!$B$4=18,Hypothèses!$B$4=19,Hypothèses!$B$4=20),
IF($D126="Pressio.",
IF(OR($E126=3,$E126=1,$E126=4),(PI()*CJ$12^2)/4*(CF126*$W126*1000)/($H126*$B$5),(PI()*CJ$12^2)/4*(CF126*$W126*1000)/($G126*$B$5)),
IF($D126="Pénétro.",
IF(OR($E126=4,$E126=1,$E126=5),(PI()*CJ$12^2)/4*(CF126*$W126*1000)/($H126*$B$5),(PI()*CJ$12^2)/4*(CF126*$W126*1000)/($G126*$B$5)))),
IF($D126="Pressio.",
IF($E126=3,(PI()*CJ$12^2)/4*(CF126*$W126*1000)/($H126*$B$5),(PI()*CJ$12^2)/4*(CF126*$W126*1000)/($G126*$B$5)),
IF($D126="Pénétro.",
IF($E126=4,(PI()*CJ$12^2)/4*(CF126*$W126*1000)/($H126*$B$5),(PI()*CJ$12^2)/4*(CF126*$W126*1000)/($G126*$B$5))))))/10</f>
        <v>#N/A</v>
      </c>
      <c r="CK126" s="102" t="e">
        <f>(VLOOKUP($B$3,'Coeff EC7'!$T$39:$X$59,2,0)*CI126+VLOOKUP($B$3,'Coeff EC7'!$T$65:$X$85,2,0)*Model0.1C!CJ126)/1.1</f>
        <v>#N/A</v>
      </c>
      <c r="CL126" s="102" t="e">
        <f>(VLOOKUP($B$3,'Coeff EC7'!$T$39:$X$59,3,0)*CI126+VLOOKUP($B$3,'Coeff EC7'!$T$65:$X$85,3,0)*Model0.1C!CJ126)/0.9</f>
        <v>#N/A</v>
      </c>
      <c r="CM126" s="102" t="e">
        <f t="shared" si="182"/>
        <v>#N/A</v>
      </c>
      <c r="CN126" s="102" t="e">
        <f t="shared" si="183"/>
        <v>#N/A</v>
      </c>
      <c r="CO126" s="414" t="e">
        <f>IF(CO125=0,0,IF(AND(CK126&gt;charge_ELS_quasi,CL126&gt;Charge_ELS_freq,CM126&gt;charge_ELU,CN126&gt;charge_ELA,$B126&gt;NDC!$H$22-0.1+MIN(3*$CO$12,1.5)),0,1))</f>
        <v>#N/A</v>
      </c>
      <c r="CP126" s="86" t="b">
        <f t="shared" si="151"/>
        <v>0</v>
      </c>
      <c r="CQ126" s="86">
        <f t="shared" si="152"/>
        <v>0.5</v>
      </c>
      <c r="CR126" s="86">
        <f t="shared" si="153"/>
        <v>0.5</v>
      </c>
      <c r="CS126" s="30" t="e">
        <f t="shared" ca="1" si="184"/>
        <v>#DIV/0!</v>
      </c>
      <c r="CT126" s="85" t="e">
        <f ca="1">IF(BZ126&lt;=Hypothèses!$V$7,Hypothèses!$W$7,IF(BZ126&lt;=Hypothèses!$V$8,Hypothèses!$W$8,IF(BZ126&lt;=Hypothèses!$V$9,Hypothèses!$W$9,IF(BZ126&lt;=Hypothèses!$V$10,Hypothèses!$W$10,IF(BZ126&lt;=Hypothèses!$V$11,Hypothèses!$W$11,IF(BZ126&lt;=Hypothèses!$V$12,Hypothèses!$W$12,IF(BZ126&lt;=Hypothèses!$V$13,Hypothèses!$W$13,IF(BZ126&lt;=Hypothèses!$V$14,Hypothèses!$W$14,IF(BZ126&lt;=Hypothèses!$V$15,Hypothèses!$W$15,IF(BZ126&lt;=Hypothèses!$V$16,Hypothèses!$W$16,IF(BZ126&lt;=Hypothèses!$V$17,Hypothèses!$W$17,IF(BZ126&lt;=Hypothèses!$V$18,Hypothèses!$W$18,""))))))))))))</f>
        <v>#DIV/0!</v>
      </c>
      <c r="CU126" s="87" t="e">
        <f t="shared" ca="1" si="220"/>
        <v>#DIV/0!</v>
      </c>
      <c r="CV126" s="88" t="e">
        <f ca="1">IF(BZ126&lt;=Hypothèses!$V$7,Hypothèses!$X$7,IF(BZ126&lt;=Hypothèses!$V$8,Hypothèses!$X$8,IF(BZ126&lt;=Hypothèses!$V$9,Hypothèses!$X$9,IF(BZ126&lt;=Hypothèses!$V$10,Hypothèses!$X$10,IF(BZ126&lt;=Hypothèses!$V$11,Hypothèses!$X$11,IF(BZ126&lt;=Hypothèses!$V$12,Hypothèses!$X$12,IF(BZ126&lt;=Hypothèses!$V$13,Hypothèses!$X$13,IF(BZ126&lt;=Hypothèses!$V$14,Hypothèses!$X$14,IF(BZ126&lt;=Hypothèses!$V$15,Hypothèses!$X$15,IF(BZ126&lt;=Hypothèses!$V$16,Hypothèses!$X$16,IF(BZ126&lt;=Hypothèses!$U$17,Hypothèses!$W$17,IF(BZ126&lt;=Hypothèses!$U$18,Hypothèses!$W$18,""))))))))))))</f>
        <v>#DIV/0!</v>
      </c>
      <c r="CW126" s="95" t="e">
        <f t="shared" ca="1" si="185"/>
        <v>#DIV/0!</v>
      </c>
      <c r="CX126" s="101" t="e">
        <f t="shared" si="227"/>
        <v>#N/A</v>
      </c>
      <c r="CY126" s="91" t="e">
        <f t="shared" si="154"/>
        <v>#N/A</v>
      </c>
      <c r="CZ126" s="30" t="e">
        <f t="shared" si="208"/>
        <v>#N/A</v>
      </c>
      <c r="DA126" s="30" t="e">
        <f t="shared" si="209"/>
        <v>#N/A</v>
      </c>
      <c r="DB126" s="31" t="e">
        <f>IF(OR(Hypothèses!$B$4=17,Hypothèses!$B$4=18,Hypothèses!$B$4=19,Hypothèses!$B$4=20),
IF($D126="Pressio.",
IF(OR($E126=3,$E126=1,$E126=4),DA126,CZ126),
IF($D126="Pénétro.",
IF(OR($E126=3,$E126=1,$E126=4),DA126,CZ126))),IF($D126="Pressio.",
IF($E126=3,DA126,CZ126),
IF($D126="Pénétro.",
IF($E126=4,DA126,CZ126))))</f>
        <v>#N/A</v>
      </c>
      <c r="DC126" s="31" t="e">
        <f>(IF(OR(Hypothèses!$B$4=17,Hypothèses!$B$4=18,Hypothèses!$B$4=19,Hypothèses!$B$4=20),
IF($D126="Pressio.",
IF(OR($E126=3,$E126=1,$E126=4),(PI()*DC$12^2)/4*(CY126*$W126*1000)/($H126*$B$5),(PI()*DC$12^2)/4*(CY126*$W126*1000)/($G126*$B$5)),
IF($D126="Pénétro.",
IF(OR($E126=4,$E126=1,$E126=5),(PI()*DC$12^2)/4*(CY126*$W126*1000)/($H126*$B$5),(PI()*DC$12^2)/4*(CY126*$W126*1000)/($G126*$B$5)))),
IF($D126="Pressio.",
IF($E126=3,(PI()*DC$12^2)/4*(CY126*$W126*1000)/($H126*$B$5),(PI()*DC$12^2)/4*(CY126*$W126*1000)/($G126*$B$5)),
IF($D126="Pénétro.",
IF($E126=4,(PI()*DC$12^2)/4*(CY126*$W126*1000)/($H126*$B$5),(PI()*DC$12^2)/4*(CY126*$W126*1000)/($G126*$B$5))))))/10</f>
        <v>#N/A</v>
      </c>
      <c r="DD126" s="102" t="e">
        <f>(VLOOKUP($B$3,'Coeff EC7'!$T$39:$X$59,2,0)*DB126+VLOOKUP($B$3,'Coeff EC7'!$T$65:$X$85,2,0)*Model0.1C!DC126)/1.1</f>
        <v>#N/A</v>
      </c>
      <c r="DE126" s="102" t="e">
        <f>(VLOOKUP($B$3,'Coeff EC7'!$T$39:$X$59,3,0)*DB126+VLOOKUP($B$3,'Coeff EC7'!$T$65:$X$85,3,0)*Model0.1C!DC126)/0.9</f>
        <v>#N/A</v>
      </c>
      <c r="DF126" s="102" t="e">
        <f t="shared" si="186"/>
        <v>#N/A</v>
      </c>
      <c r="DG126" s="102" t="e">
        <f t="shared" si="187"/>
        <v>#N/A</v>
      </c>
      <c r="DH126" s="414" t="e">
        <f>IF(DH125=0,0,IF(AND(DD126&gt;charge_ELS_quasi,DE126&gt;Charge_ELS_freq,DF126&gt;charge_ELU,DG126&gt;charge_ELA,$B126&gt;NDC!$H$22-0.1+MIN(3*$DH$12,1.5)),0,1))</f>
        <v>#N/A</v>
      </c>
      <c r="DI126" s="86" t="b">
        <f t="shared" si="155"/>
        <v>0</v>
      </c>
      <c r="DJ126" s="86">
        <f t="shared" si="156"/>
        <v>0.5</v>
      </c>
      <c r="DK126" s="86">
        <f t="shared" si="157"/>
        <v>0.5</v>
      </c>
      <c r="DL126" s="30" t="e">
        <f t="shared" ca="1" si="188"/>
        <v>#DIV/0!</v>
      </c>
      <c r="DM126" s="85" t="e">
        <f ca="1">IF(CS126&lt;=Hypothèses!$V$7,Hypothèses!$W$7,IF(CS126&lt;=Hypothèses!$V$8,Hypothèses!$W$8,IF(CS126&lt;=Hypothèses!$V$9,Hypothèses!$W$9,IF(CS126&lt;=Hypothèses!$V$10,Hypothèses!$W$10,IF(CS126&lt;=Hypothèses!$V$11,Hypothèses!$W$11,IF(CS126&lt;=Hypothèses!$V$12,Hypothèses!$W$12,IF(CS126&lt;=Hypothèses!$V$13,Hypothèses!$W$13,IF(CS126&lt;=Hypothèses!$V$14,Hypothèses!$W$14,IF(CS126&lt;=Hypothèses!$V$15,Hypothèses!$W$15,IF(CS126&lt;=Hypothèses!$V$16,Hypothèses!$W$16,IF(CS126&lt;=Hypothèses!$V$17,Hypothèses!$W$17,IF(CS126&lt;=Hypothèses!$V$18,Hypothèses!$W$18,""))))))))))))</f>
        <v>#DIV/0!</v>
      </c>
      <c r="DN126" s="87" t="e">
        <f t="shared" ca="1" si="221"/>
        <v>#DIV/0!</v>
      </c>
      <c r="DO126" s="88" t="e">
        <f ca="1">IF(CS126&lt;=Hypothèses!$V$7,Hypothèses!$X$7,IF(CS126&lt;=Hypothèses!$V$8,Hypothèses!$X$8,IF(CS126&lt;=Hypothèses!$V$9,Hypothèses!$X$9,IF(CS126&lt;=Hypothèses!$V$10,Hypothèses!$X$10,IF(CS126&lt;=Hypothèses!$V$11,Hypothèses!$X$11,IF(CS126&lt;=Hypothèses!$V$12,Hypothèses!$X$12,IF(CS126&lt;=Hypothèses!$V$13,Hypothèses!$X$13,IF(CS126&lt;=Hypothèses!$V$14,Hypothèses!$X$14,IF(CS126&lt;=Hypothèses!$V$15,Hypothèses!$X$15,IF(CS126&lt;=Hypothèses!$V$16,Hypothèses!$X$16,IF(CS126&lt;=Hypothèses!$U$17,Hypothèses!$W$17,IF(CS126&lt;=Hypothèses!$U$18,Hypothèses!$W$18,""))))))))))))</f>
        <v>#DIV/0!</v>
      </c>
      <c r="DP126" s="95" t="e">
        <f t="shared" ca="1" si="189"/>
        <v>#DIV/0!</v>
      </c>
      <c r="DQ126" s="101" t="e">
        <f t="shared" si="228"/>
        <v>#N/A</v>
      </c>
      <c r="DR126" s="91" t="e">
        <f t="shared" si="158"/>
        <v>#N/A</v>
      </c>
      <c r="DS126" s="30" t="e">
        <f t="shared" si="210"/>
        <v>#N/A</v>
      </c>
      <c r="DT126" s="30" t="e">
        <f t="shared" si="211"/>
        <v>#N/A</v>
      </c>
      <c r="DU126" s="31" t="e">
        <f>IF(OR(Hypothèses!$B$4=17,Hypothèses!$B$4=18,Hypothèses!$B$4=19,Hypothèses!$B$4=20),
IF($D126="Pressio.",
IF(OR($E126=3,$E126=1,$E126=4),DT126,DS126),
IF($D126="Pénétro.",
IF(OR($E126=3,$E126=1,$E126=4),DT126,DS126))),IF($D126="Pressio.",
IF($E126=3,DT126,DS126),
IF($D126="Pénétro.",
IF($E126=4,DT126,DS126))))</f>
        <v>#N/A</v>
      </c>
      <c r="DV126" s="31" t="e">
        <f>(IF(OR(Hypothèses!$B$4=17,Hypothèses!$B$4=18,Hypothèses!$B$4=19,Hypothèses!$B$4=20),
IF($D126="Pressio.",
IF(OR($E126=3,$E126=1,$E126=4),(PI()*DV$12^2)/4*(DR126*$W126*1000)/($H126*$B$5),(PI()*DV$12^2)/4*(DR126*$W126*1000)/($G126*$B$5)),
IF($D126="Pénétro.",
IF(OR($E126=4,$E126=1,$E126=5),(PI()*DV$12^2)/4*(DR126*$W126*1000)/($H126*$B$5),(PI()*DV$12^2)/4*(DR126*$W126*1000)/($G126*$B$5)))),
IF($D126="Pressio.",
IF($E126=3,(PI()*DV$12^2)/4*(DR126*$W126*1000)/($H126*$B$5),(PI()*DV$12^2)/4*(DR126*$W126*1000)/($G126*$B$5)),
IF($D126="Pénétro.",
IF($E126=4,(PI()*DV$12^2)/4*(DR126*$W126*1000)/($H126*$B$5),(PI()*DV$12^2)/4*(DR126*$W126*1000)/($G126*$B$5))))))/10</f>
        <v>#N/A</v>
      </c>
      <c r="DW126" s="102" t="e">
        <f>(VLOOKUP($B$3,'Coeff EC7'!$T$39:$X$59,2,0)*DU126+VLOOKUP($B$3,'Coeff EC7'!$T$65:$X$85,2,0)*Model0.1C!DV126)/1.1</f>
        <v>#N/A</v>
      </c>
      <c r="DX126" s="102" t="e">
        <f>(VLOOKUP($B$3,'Coeff EC7'!$T$39:$X$59,3,0)*DU126+VLOOKUP($B$3,'Coeff EC7'!$T$65:$X$85,3,0)*Model0.1C!DV126)/0.9</f>
        <v>#N/A</v>
      </c>
      <c r="DY126" s="102" t="e">
        <f t="shared" si="190"/>
        <v>#N/A</v>
      </c>
      <c r="DZ126" s="102" t="e">
        <f t="shared" si="191"/>
        <v>#N/A</v>
      </c>
      <c r="EA126" s="414" t="e">
        <f>IF(EA125=0,0,IF(AND(DW126&gt;charge_ELS_quasi,DX126&gt;Charge_ELS_freq,DY126&gt;charge_ELU,DZ126&gt;charge_ELA,$B126&gt;NDC!$H$22-0.1+MIN(3*$EA$12,1.5)),0,1))</f>
        <v>#N/A</v>
      </c>
      <c r="EB126" s="86" t="b">
        <f t="shared" si="159"/>
        <v>0</v>
      </c>
      <c r="EC126" s="418">
        <f t="shared" si="160"/>
        <v>0.51</v>
      </c>
      <c r="ED126" s="86">
        <f t="shared" si="161"/>
        <v>0.51</v>
      </c>
      <c r="EE126" s="30" t="e">
        <f t="shared" ca="1" si="192"/>
        <v>#DIV/0!</v>
      </c>
      <c r="EF126" s="85" t="e">
        <f ca="1">IF(DL126&lt;=Hypothèses!$V$7,Hypothèses!$W$7,IF(DL126&lt;=Hypothèses!$V$8,Hypothèses!$W$8,IF(DL126&lt;=Hypothèses!$V$9,Hypothèses!$W$9,IF(DL126&lt;=Hypothèses!$V$10,Hypothèses!$W$10,IF(DL126&lt;=Hypothèses!$V$11,Hypothèses!$W$11,IF(DL126&lt;=Hypothèses!$V$12,Hypothèses!$W$12,IF(DL126&lt;=Hypothèses!$V$13,Hypothèses!$W$13,IF(DL126&lt;=Hypothèses!$V$14,Hypothèses!$W$14,IF(DL126&lt;=Hypothèses!$V$15,Hypothèses!$W$15,IF(DL126&lt;=Hypothèses!$V$16,Hypothèses!$W$16,IF(DL126&lt;=Hypothèses!$V$17,Hypothèses!$W$17,IF(DL126&lt;=Hypothèses!$V$18,Hypothèses!$W$18,""))))))))))))</f>
        <v>#DIV/0!</v>
      </c>
      <c r="EG126" s="87" t="e">
        <f t="shared" ca="1" si="222"/>
        <v>#DIV/0!</v>
      </c>
      <c r="EH126" s="88" t="e">
        <f ca="1">IF(DL126&lt;=Hypothèses!$V$7,Hypothèses!$X$7,IF(DL126&lt;=Hypothèses!$V$8,Hypothèses!$X$8,IF(DL126&lt;=Hypothèses!$V$9,Hypothèses!$X$9,IF(DL126&lt;=Hypothèses!$V$10,Hypothèses!$X$10,IF(DL126&lt;=Hypothèses!$V$11,Hypothèses!$X$11,IF(DL126&lt;=Hypothèses!$V$12,Hypothèses!$X$12,IF(DL126&lt;=Hypothèses!$V$13,Hypothèses!$X$13,IF(DL126&lt;=Hypothèses!$V$14,Hypothèses!$X$14,IF(DL126&lt;=Hypothèses!$V$15,Hypothèses!$X$15,IF(DL126&lt;=Hypothèses!$V$16,Hypothèses!$X$16,IF(DL126&lt;=Hypothèses!$U$17,Hypothèses!$W$17,IF(DL126&lt;=Hypothèses!$U$18,Hypothèses!$W$18,""))))))))))))</f>
        <v>#DIV/0!</v>
      </c>
      <c r="EI126" s="95" t="e">
        <f t="shared" ca="1" si="193"/>
        <v>#DIV/0!</v>
      </c>
      <c r="EJ126" s="101" t="e">
        <f t="shared" si="229"/>
        <v>#N/A</v>
      </c>
      <c r="EK126" s="91" t="e">
        <f t="shared" si="162"/>
        <v>#N/A</v>
      </c>
      <c r="EL126" s="30" t="e">
        <f t="shared" si="212"/>
        <v>#N/A</v>
      </c>
      <c r="EM126" s="30" t="e">
        <f t="shared" si="213"/>
        <v>#N/A</v>
      </c>
      <c r="EN126" s="31" t="e">
        <f>IF(OR(Hypothèses!$B$4=17,Hypothèses!$B$4=18,Hypothèses!$B$4=19,Hypothèses!$B$4=20),
IF($D126="Pressio.",
IF(OR($E126=3,$E126=1,$E126=4),EM126,EL126),
IF($D126="Pénétro.",
IF(OR($E126=3,$E126=1,$E126=4),EM126,EL126))),IF($D126="Pressio.",
IF($E126=3,EM126,EL126),
IF($D126="Pénétro.",
IF($E126=4,EM126,EL126))))</f>
        <v>#N/A</v>
      </c>
      <c r="EO126" s="31" t="e">
        <f>(IF(OR(Hypothèses!$B$4=17,Hypothèses!$B$4=18,Hypothèses!$B$4=19,Hypothèses!$B$4=20),
IF($D126="Pressio.",
IF(OR($E126=3,$E126=1,$E126=4),(PI()*EO$12^2)/4*(EK126*$W126*1000)/($H126*$B$5),(PI()*EO$12^2)/4*(EK126*$W126*1000)/($G126*$B$5)),
IF($D126="Pénétro.",
IF(OR($E126=4,$E126=1,$E126=5),(PI()*EO$12^2)/4*(EK126*$W126*1000)/($H126*$B$5),(PI()*EO$12^2)/4*(EK126*$W126*1000)/($G126*$B$5)))),
IF($D126="Pressio.",
IF($E126=3,(PI()*EO$12^2)/4*(EK126*$W126*1000)/($H126*$B$5),(PI()*EO$12^2)/4*(EK126*$W126*1000)/($G126*$B$5)),
IF($D126="Pénétro.",
IF($E126=4,(PI()*EO$12^2)/4*(EK126*$W126*1000)/($H126*$B$5),(PI()*EO$12^2)/4*(EK126*$W126*1000)/($G126*$B$5))))))/10</f>
        <v>#N/A</v>
      </c>
      <c r="EP126" s="102" t="e">
        <f>(VLOOKUP($B$3,'Coeff EC7'!$T$39:$X$59,2,0)*EN126+VLOOKUP($B$3,'Coeff EC7'!$T$65:$X$85,2,0)*Model0.1C!EO126)/1.1</f>
        <v>#N/A</v>
      </c>
      <c r="EQ126" s="102" t="e">
        <f>(VLOOKUP($B$3,'Coeff EC7'!$T$39:$X$59,3,0)*EN126+VLOOKUP($B$3,'Coeff EC7'!$T$65:$X$85,3,0)*Model0.1C!EO126)/0.9</f>
        <v>#N/A</v>
      </c>
      <c r="ER126" s="102" t="e">
        <f t="shared" si="194"/>
        <v>#N/A</v>
      </c>
      <c r="ES126" s="102" t="e">
        <f t="shared" si="195"/>
        <v>#N/A</v>
      </c>
      <c r="ET126" s="414" t="e">
        <f>IF(ET125=0,0,IF(AND(EP126&gt;charge_ELS_quasi,EQ126&gt;Charge_ELS_freq,ER126&gt;charge_ELU,ES126&gt;charge_ELA,$B126&gt;NDC!$H$22-0.1+MIN(3*$ET$12,1.5)),0,1))</f>
        <v>#N/A</v>
      </c>
      <c r="EU126" s="86" t="b">
        <f t="shared" si="163"/>
        <v>0</v>
      </c>
      <c r="EV126" s="86">
        <f t="shared" si="164"/>
        <v>0.61</v>
      </c>
      <c r="EW126" s="86">
        <f t="shared" si="165"/>
        <v>0.61</v>
      </c>
      <c r="EX126" s="30" t="e">
        <f t="shared" ca="1" si="196"/>
        <v>#DIV/0!</v>
      </c>
      <c r="EY126" s="85" t="e">
        <f ca="1">IF(EE126&lt;=Hypothèses!$V$7,Hypothèses!$W$7,IF(EE126&lt;=Hypothèses!$V$8,Hypothèses!$W$8,IF(EE126&lt;=Hypothèses!$V$9,Hypothèses!$W$9,IF(EE126&lt;=Hypothèses!$V$10,Hypothèses!$W$10,IF(EE126&lt;=Hypothèses!$V$11,Hypothèses!$W$11,IF(EE126&lt;=Hypothèses!$V$12,Hypothèses!$W$12,IF(EE126&lt;=Hypothèses!$V$13,Hypothèses!$W$13,IF(EE126&lt;=Hypothèses!$V$14,Hypothèses!$W$14,IF(EE126&lt;=Hypothèses!$V$15,Hypothèses!$W$15,IF(EE126&lt;=Hypothèses!$V$16,Hypothèses!$W$16,IF(EE126&lt;=Hypothèses!$V$17,Hypothèses!$W$17,IF(EE126&lt;=Hypothèses!$V$18,Hypothèses!$W$18,""))))))))))))</f>
        <v>#DIV/0!</v>
      </c>
      <c r="EZ126" s="87" t="e">
        <f t="shared" ca="1" si="223"/>
        <v>#DIV/0!</v>
      </c>
      <c r="FA126" s="88" t="e">
        <f ca="1">IF(EE126&lt;=Hypothèses!$V$7,Hypothèses!$X$7,IF(EE126&lt;=Hypothèses!$V$8,Hypothèses!$X$8,IF(EE126&lt;=Hypothèses!$V$9,Hypothèses!$X$9,IF(EE126&lt;=Hypothèses!$V$10,Hypothèses!$X$10,IF(EE126&lt;=Hypothèses!$V$11,Hypothèses!$X$11,IF(EE126&lt;=Hypothèses!$V$12,Hypothèses!$X$12,IF(EE126&lt;=Hypothèses!$V$13,Hypothèses!$X$13,IF(EE126&lt;=Hypothèses!$V$14,Hypothèses!$X$14,IF(EE126&lt;=Hypothèses!$V$15,Hypothèses!$X$15,IF(EE126&lt;=Hypothèses!$V$16,Hypothèses!$X$16,IF(EE126&lt;=Hypothèses!$U$17,Hypothèses!$W$17,IF(EE126&lt;=Hypothèses!$U$18,Hypothèses!$W$18,""))))))))))))</f>
        <v>#DIV/0!</v>
      </c>
      <c r="FB126" s="95" t="e">
        <f t="shared" ca="1" si="197"/>
        <v>#DIV/0!</v>
      </c>
      <c r="FC126" s="101" t="e">
        <f t="shared" si="230"/>
        <v>#N/A</v>
      </c>
      <c r="FD126" s="91" t="e">
        <f t="shared" si="166"/>
        <v>#N/A</v>
      </c>
      <c r="FE126" s="30" t="e">
        <f t="shared" si="214"/>
        <v>#N/A</v>
      </c>
      <c r="FF126" s="30" t="e">
        <f t="shared" si="215"/>
        <v>#N/A</v>
      </c>
      <c r="FG126" s="31" t="e">
        <f>IF(OR(Hypothèses!$B$4=17,Hypothèses!$B$4=18,Hypothèses!$B$4=19,Hypothèses!$B$4=20),
IF($D126="Pressio.",
IF(OR($E126=3,$E126=1,$E126=4),FF126,FE126),
IF($D126="Pénétro.",
IF(OR($E126=3,$E126=1,$E126=4),FF126,FE126))),IF($D126="Pressio.",
IF($E126=3,FF126,FE126),
IF($D126="Pénétro.",
IF($E126=4,FF126,FE126))))</f>
        <v>#N/A</v>
      </c>
      <c r="FH126" s="31" t="e">
        <f>(IF(OR(Hypothèses!$B$4=17,Hypothèses!$B$4=18,Hypothèses!$B$4=19,Hypothèses!$B$4=20),
IF($D126="Pressio.",
IF(OR($E126=3,$E126=1,$E126=4),(PI()*FH$12^2)/4*(FD126*$W126*1000)/($H126*$B$5),(PI()*FH$12^2)/4*(FD126*$W126*1000)/($G126*$B$5)),
IF($D126="Pénétro.",
IF(OR($E126=4,$E126=1,$E126=5),(PI()*FH$12^2)/4*(FD126*$W126*1000)/($H126*$B$5),(PI()*FH$12^2)/4*(FD126*$W126*1000)/($G126*$B$5)))),
IF($D126="Pressio.",
IF($E126=3,(PI()*FH$12^2)/4*(FD126*$W126*1000)/($H126*$B$5),(PI()*FH$12^2)/4*(FD126*$W126*1000)/($G126*$B$5)),
IF($D126="Pénétro.",
IF($E126=4,(PI()*FH$12^2)/4*(FD126*$W126*1000)/($H126*$B$5),(PI()*FH$12^2)/4*(FD126*$W126*1000)/($G126*$B$5))))))/10</f>
        <v>#N/A</v>
      </c>
      <c r="FI126" s="102" t="e">
        <f>(VLOOKUP($B$3,'Coeff EC7'!$T$39:$X$59,2,0)*FG126+VLOOKUP($B$3,'Coeff EC7'!$T$65:$X$85,2,0)*Model0.1C!FH126)/1.1</f>
        <v>#N/A</v>
      </c>
      <c r="FJ126" s="102" t="e">
        <f>(VLOOKUP($B$3,'Coeff EC7'!$T$39:$X$59,3,0)*FG126+VLOOKUP($B$3,'Coeff EC7'!$T$65:$X$85,3,0)*Model0.1C!FH126)/0.9</f>
        <v>#N/A</v>
      </c>
      <c r="FK126" s="102" t="e">
        <f t="shared" si="198"/>
        <v>#N/A</v>
      </c>
      <c r="FL126" s="102" t="e">
        <f t="shared" si="199"/>
        <v>#N/A</v>
      </c>
      <c r="FM126" s="414" t="e">
        <f>IF(FM125=0,0,IF(AND(FI126&gt;charge_ELS_quasi,FJ126&gt;Charge_ELS_freq,FK126&gt;charge_ELU,FL126&gt;charge_ELA,$B126&gt;NDC!$H$22-0.1+MIN(3*$FM$12,1.5)),0,1))</f>
        <v>#N/A</v>
      </c>
    </row>
    <row r="127" spans="1:169">
      <c r="A127" s="96">
        <f t="shared" si="167"/>
        <v>88.600000000000648</v>
      </c>
      <c r="B127" s="97">
        <v>11.4</v>
      </c>
      <c r="C127" s="81">
        <f>IF(B127&lt;=Hypothèses!$C$7,Hypothèses!$A$7,IF(B127&lt;=Hypothèses!$C$8,Hypothèses!$A$8,IF(B127&lt;=Hypothèses!$C$9,Hypothèses!$A$9,IF(B127&lt;=Hypothèses!$C$10,Hypothèses!$A$10,IF(B127&lt;=Hypothèses!$C$11,Hypothèses!$A$11,IF(B127&lt;=Hypothèses!$C$12,Hypothèses!$A$12,IF(B127&lt;=Hypothèses!$C$13,Hypothèses!$A$13,IF(B127&lt;=Hypothèses!$C$14,Hypothèses!$A$14,IF(B127&lt;=Hypothèses!$C$15,Hypothèses!$A$15,IF(B127&lt;=Hypothèses!$C$16,Hypothèses!$A$16,IF(B127&lt;=Hypothèses!$C$17,Hypothèses!$A$17,IF(B127&lt;=Hypothèses!$C$18,Hypothèses!$A$18,C126))))))))))))</f>
        <v>11</v>
      </c>
      <c r="D127" s="82" t="str">
        <f>IF(B127&lt;=Hypothèses!$C$7,Hypothèses!$R$7,IF(B127&lt;=Hypothèses!$C$8,Hypothèses!$R$8,IF(B127&lt;=Hypothèses!$C$9,Hypothèses!$R$9,IF(B127&lt;=Hypothèses!$C$10,Hypothèses!$R$10,IF(B127&lt;=Hypothèses!$C$11,Hypothèses!$R$11,IF(B127&lt;=Hypothèses!$C$12,Hypothèses!$R$12,IF(B127&lt;=Hypothèses!$C$13,Hypothèses!$R$13,IF(B127&lt;=Hypothèses!$C$14,Hypothèses!$R$14,IF(B127&lt;=Hypothèses!$C$15,Hypothèses!$R$15,IF(B127&lt;=Hypothèses!$C$16,Hypothèses!$R$16,IF(B127&lt;=Hypothèses!$C$17,Hypothèses!$R$17,IF(B127&lt;=Hypothèses!$C$18,Hypothèses!$R$18,D126))))))))))))</f>
        <v>Pressio.</v>
      </c>
      <c r="E127" s="82" t="e">
        <f>IF(B127&lt;=Hypothèses!$C$7,Hypothèses!$G$7,IF(B127&lt;=Hypothèses!$C$8,Hypothèses!$G$8,IF(B127&lt;=Hypothèses!$C$9,Hypothèses!$G$9,IF(B127&lt;=Hypothèses!$C$10,Hypothèses!$G$10,IF(B127&lt;=Hypothèses!$C$11,Hypothèses!$G$11,IF(B127&lt;=Hypothèses!$C$12,Hypothèses!$G$12,IF(B127&lt;=Hypothèses!$C$13,Hypothèses!$G$13,IF(B127&lt;=Hypothèses!$C$14,Hypothèses!$G$14,IF(B127&lt;=Hypothèses!$C$15,Hypothèses!$G$15,IF(B127&lt;=Hypothèses!$C$16,Hypothèses!$G$16,IF(B127&lt;=Hypothèses!$C$17,Hypothèses!$G$17,IF(B127&lt;=Hypothèses!$C$18,Hypothèses!$G$18,E126))))))))))))</f>
        <v>#N/A</v>
      </c>
      <c r="F127" s="82" t="str">
        <f>IF(B127&lt;=Hypothèses!$C$7,Hypothèses!$F$7,IF(B127&lt;=Hypothèses!$C$8,Hypothèses!$F$8,IF(B127&lt;=Hypothèses!$C$9,Hypothèses!$F$9,IF(B127&lt;=Hypothèses!$C$10,Hypothèses!$F$10,IF(B127&lt;=Hypothèses!$C$11,Hypothèses!$F$11,IF(B127&lt;=Hypothèses!$C$12,Hypothèses!$F$12,IF(B127&lt;=Hypothèses!$C$13,Hypothèses!$F$13,IF(B127&lt;=Hypothèses!$C$14,Hypothèses!$F$14,IF(B127&lt;=Hypothèses!$C$15,Hypothèses!$F$15,IF(B127&lt;=Hypothèses!$C$16,Hypothèses!$F$16,IF(B127&lt;=Hypothèses!$C$17,Hypothèses!$F$17,IF(B127&lt;=Hypothèses!$C$18,Hypothèses!$F$18,F126))))))))))))</f>
        <v/>
      </c>
      <c r="G127" s="91">
        <f t="array" ref="G127">INDEX('Coeff EC7'!$U$7:$X$27,
MATCH(Model0.1C!$B$3,'Coeff EC7'!$T$7:$T$27,0),
MATCH(Model0.1C!$D127&amp;Model0.1C!$B$4,
'Coeff EC7'!$U$6:$X$6&amp;
'Coeff EC7'!$U$5:$X$5,0))</f>
        <v>1.1499999999999999</v>
      </c>
      <c r="H127" s="91">
        <f t="array" ref="H127">INDEX('Coeff EC7'!$Y$7:$AB$27,
MATCH(Model0.1C!$B$3,'Coeff EC7'!$T$7:$T$27,0),
MATCH(Model0.1C!$D127&amp;Model0.1C!$B$4,
'Coeff EC7'!$Y$6:$AB$6&amp;
'Coeff EC7'!$Y$5:$AB$5,0))</f>
        <v>1.4</v>
      </c>
      <c r="I127" s="83" t="e">
        <f>IF(B127&lt;=Hypothèses!$C$7,Hypothèses!$P$7,IF(B127&lt;=Hypothèses!$C$8,Hypothèses!$P$8,IF(B127&lt;=Hypothèses!$C$9,Hypothèses!$P$9,IF(B127&lt;=Hypothèses!$C$10,Hypothèses!$P$10,IF(B127&lt;=Hypothèses!$C$11,Hypothèses!$P$11,IF(B127&lt;=Hypothèses!$C$12,Hypothèses!$P$12,IF(B127&lt;=Hypothèses!$C$13,Hypothèses!$P$13,IF(B127&lt;=Hypothèses!$C$14,Hypothèses!$P$14,IF(B127&lt;=Hypothèses!$C$15,Hypothèses!$P$15,IF(B127&lt;=Hypothèses!$C$16,Hypothèses!$P$16,IF(B127&lt;=Hypothèses!$C$17,Hypothèses!$P$17,IF(B127&lt;=Hypothèses!$C$18,Hypothèses!$P$18,I126))))))))))))</f>
        <v>#N/A</v>
      </c>
      <c r="J127" s="91" t="e">
        <f t="array" ref="J127">INDEX('Coeff EC7'!$D$33:$Q$33,1,MATCH(D127&amp;E127,'Coeff EC7'!$D$31:$Q$31&amp;'Coeff EC7'!$D$32:$Q$32,0))</f>
        <v>#N/A</v>
      </c>
      <c r="K127" s="91" t="e">
        <f t="array" ref="K127">INDEX('Coeff EC7'!$D$34:$Q$34,1,MATCH(D127&amp;E127,'Coeff EC7'!$D$31:$Q$31&amp;'Coeff EC7'!$D$32:$Q$32,0))</f>
        <v>#N/A</v>
      </c>
      <c r="L127" s="91" t="e">
        <f t="array" ref="L127">INDEX('Coeff EC7'!$D$35:$Q$35,1,MATCH(D127&amp;E127,'Coeff EC7'!$D$31:$Q$31&amp;'Coeff EC7'!$D$32:$Q$32,0))</f>
        <v>#N/A</v>
      </c>
      <c r="M127" s="98" t="e">
        <f t="shared" si="131"/>
        <v>#N/A</v>
      </c>
      <c r="N127" s="99" t="e">
        <f t="array" ref="N127">INDEX('Coeff EC7'!$D$7:$Q$27,MATCH($B$3,'Coeff EC7'!$C$7:$C$27,0),MATCH(D127&amp;E127,'Coeff EC7'!$D$5:$Q$5&amp;'Coeff EC7'!$D$6:$Q$6,0))</f>
        <v>#N/A</v>
      </c>
      <c r="O127" s="99" t="e">
        <f t="array" ref="O127">INDEX('Coeff EC7'!$D$41:$Q$61,MATCH($B$3,'Coeff EC7'!$C$41:$C$61,0),MATCH(D127&amp;E127,'Coeff EC7'!$D$39:$Q$39&amp;'Coeff EC7'!$D$40:$Q$40,0))</f>
        <v>#N/A</v>
      </c>
      <c r="P127" s="30" t="e">
        <f t="shared" si="168"/>
        <v>#N/A</v>
      </c>
      <c r="Q127" s="100" t="e">
        <f t="shared" si="133"/>
        <v>#N/A</v>
      </c>
      <c r="R127" s="86" t="b">
        <f t="shared" si="134"/>
        <v>0</v>
      </c>
      <c r="S127" s="86">
        <f t="shared" si="132"/>
        <v>0.5</v>
      </c>
      <c r="T127" s="86">
        <f t="shared" si="135"/>
        <v>0.5</v>
      </c>
      <c r="U127" s="30" t="e">
        <f t="shared" ca="1" si="169"/>
        <v>#DIV/0!</v>
      </c>
      <c r="V127" s="85" t="str">
        <f>IF(B127&lt;=Hypothèses!$V$7,Hypothèses!$W$7,IF(B127&lt;=Hypothèses!$V$8,Hypothèses!$W$8,IF(B127&lt;=Hypothèses!$V$9,Hypothèses!$W$9,IF(B127&lt;=Hypothèses!$V$10,Hypothèses!$W$10,IF(B127&lt;=Hypothèses!$V$11,Hypothèses!$W$11,IF(B127&lt;=Hypothèses!$V$12,Hypothèses!$W$12,IF(B127&lt;=Hypothèses!$V$13,Hypothèses!$W$13,IF(B127&lt;=Hypothèses!$V$14,Hypothèses!$W$14,IF(B127&lt;=Hypothèses!$V$15,Hypothèses!$W$15,IF(B127&lt;=Hypothèses!$V$16,Hypothèses!$W$16,IF(B127&lt;=Hypothèses!$V$17,Hypothèses!$W$17,IF(B127&lt;=Hypothèses!$V$18,Hypothèses!$W$18,""))))))))))))</f>
        <v/>
      </c>
      <c r="W127" s="87" t="e">
        <f t="shared" ca="1" si="216"/>
        <v>#DIV/0!</v>
      </c>
      <c r="X127" s="88" t="str">
        <f>IF(B127&lt;=Hypothèses!$V$7,Hypothèses!$X$7,IF(B127&lt;=Hypothèses!$V$8,Hypothèses!$X$8,IF(B127&lt;=Hypothèses!$V$9,Hypothèses!$X$9,IF(B127&lt;=Hypothèses!$V$10,Hypothèses!$X$10,IF(B127&lt;=Hypothèses!$V$11,Hypothèses!$X$11,IF(B127&lt;=Hypothèses!$V$12,Hypothèses!$X$12,IF(B127&lt;=Hypothèses!$V$13,Hypothèses!$X$13,IF(B127&lt;=Hypothèses!$V$14,Hypothèses!$X$14,IF(B127&lt;=Hypothèses!$V$15,Hypothèses!$X$15,IF(B127&lt;=Hypothèses!$V$16,Hypothèses!$X$16,IF(B127&lt;=Hypothèses!$U$17,Hypothèses!$W$17,IF(B127&lt;=Hypothèses!$U$18,Hypothèses!$W$18,""))))))))))))</f>
        <v/>
      </c>
      <c r="Y127" s="95" t="e">
        <f t="shared" ca="1" si="136"/>
        <v>#DIV/0!</v>
      </c>
      <c r="Z127" s="101" t="e">
        <f t="shared" si="137"/>
        <v>#N/A</v>
      </c>
      <c r="AA127" s="91" t="e">
        <f t="shared" si="138"/>
        <v>#N/A</v>
      </c>
      <c r="AB127" s="30" t="e">
        <f t="shared" si="200"/>
        <v>#N/A</v>
      </c>
      <c r="AC127" s="30" t="e">
        <f t="shared" si="201"/>
        <v>#N/A</v>
      </c>
      <c r="AD127" s="31" t="e">
        <f>IF(OR(Hypothèses!$B$4=17,Hypothèses!$B$4=18,Hypothèses!$B$4=19,Hypothèses!$B$4=20),
IF($D127="Pressio.",
IF(OR($E127=3,$E127=1,$E127=4),AC127,AB127),
IF($D127="Pénétro.",
IF(OR($E127=3,$E127=1,$E127=4),AC127,AB127))),IF($D127="Pressio.",
IF($E127=3,AC127,AB127),
IF($D127="Pénétro.",
IF($E127=4,AC127,AB127))))</f>
        <v>#N/A</v>
      </c>
      <c r="AE127" s="31" t="e">
        <f>(IF(OR(Hypothèses!$B$4=17,Hypothèses!$B$4=18,Hypothèses!$B$4=19,Hypothèses!$B$4=20),
IF($D127="Pressio.",
IF(OR($E127=3,$E127=1,$E127=4),(PI()*AE$12^2)/4*(AA127*$W127*1000)/($H127*$B$5),(PI()*AE$12^2)/4*(AA127*$W127*1000)/($G127*$B$5)),
IF($D127="Pénétro.",
IF(OR($E127=4,$E127=1,$E127=5),(PI()*AE$12^2)/4*(AA127*$W127*1000)/($H127*$B$5),(PI()*AE$12^2)/4*(AA127*$W127*1000)/($G127*$B$5)))),
IF($D127="Pressio.",
IF($E127=3,(PI()*AE$12^2)/4*(AA127*$W127*1000)/($H127*$B$5),(PI()*AE$12^2)/4*(AA127*$W127*1000)/($G127*$B$5)),
IF($D127="Pénétro.",
IF($E127=4,(PI()*AE$12^2)/4*(AA127*$W127*1000)/($H127*$B$5),(PI()*AE$12^2)/4*(AA127*$W127*1000)/($G127*$B$5))))))/10</f>
        <v>#N/A</v>
      </c>
      <c r="AF127" s="102" t="e">
        <f>(VLOOKUP($B$3,'Coeff EC7'!$T$39:$X$59,2,0)*AD127+VLOOKUP($B$3,'Coeff EC7'!$T$65:$X$85,2,0)*Model0.1C!AE127)/1.1</f>
        <v>#N/A</v>
      </c>
      <c r="AG127" s="102" t="e">
        <f>(VLOOKUP($B$3,'Coeff EC7'!$T$39:$X$59,3,0)*AD127+VLOOKUP($B$3,'Coeff EC7'!$T$65:$X$85,3,0)*Model0.1C!AE127)/0.9</f>
        <v>#N/A</v>
      </c>
      <c r="AH127" s="102" t="e">
        <f t="shared" si="139"/>
        <v>#N/A</v>
      </c>
      <c r="AI127" s="102" t="e">
        <f t="shared" si="140"/>
        <v>#N/A</v>
      </c>
      <c r="AJ127" s="414" t="e">
        <f>IF(AJ126=0,0,IF(AND(AF127&gt;charge_ELS_quasi,AG127&gt;Charge_ELS_freq,AH127&gt;charge_ELU,AI127&gt;charge_ELA,$B127&gt;NDC!$H$22-0.1+MIN(3*$AJ$12,1.5)),0,1))</f>
        <v>#N/A</v>
      </c>
      <c r="AK127" s="86" t="b">
        <f t="shared" si="141"/>
        <v>0</v>
      </c>
      <c r="AL127" s="86">
        <f t="shared" si="170"/>
        <v>0.5</v>
      </c>
      <c r="AM127" s="86">
        <f t="shared" si="142"/>
        <v>0.5</v>
      </c>
      <c r="AN127" s="30" t="e">
        <f t="shared" ca="1" si="171"/>
        <v>#DIV/0!</v>
      </c>
      <c r="AO127" s="85" t="e">
        <f ca="1">IF(U127&lt;=Hypothèses!$V$7,Hypothèses!$W$7,IF(U127&lt;=Hypothèses!$V$8,Hypothèses!$W$8,IF(U127&lt;=Hypothèses!$V$9,Hypothèses!$W$9,IF(U127&lt;=Hypothèses!$V$10,Hypothèses!$W$10,IF(U127&lt;=Hypothèses!$V$11,Hypothèses!$W$11,IF(U127&lt;=Hypothèses!$V$12,Hypothèses!$W$12,IF(U127&lt;=Hypothèses!$V$13,Hypothèses!$W$13,IF(U127&lt;=Hypothèses!$V$14,Hypothèses!$W$14,IF(U127&lt;=Hypothèses!$V$15,Hypothèses!$W$15,IF(U127&lt;=Hypothèses!$V$16,Hypothèses!$W$16,IF(U127&lt;=Hypothèses!$V$17,Hypothèses!$W$17,IF(U127&lt;=Hypothèses!$V$18,Hypothèses!$W$18,""))))))))))))</f>
        <v>#DIV/0!</v>
      </c>
      <c r="AP127" s="87" t="e">
        <f t="shared" ca="1" si="217"/>
        <v>#DIV/0!</v>
      </c>
      <c r="AQ127" s="88" t="e">
        <f ca="1">IF(U127&lt;=Hypothèses!$V$7,Hypothèses!$X$7,IF(U127&lt;=Hypothèses!$V$8,Hypothèses!$X$8,IF(U127&lt;=Hypothèses!$V$9,Hypothèses!$X$9,IF(U127&lt;=Hypothèses!$V$10,Hypothèses!$X$10,IF(U127&lt;=Hypothèses!$V$11,Hypothèses!$X$11,IF(U127&lt;=Hypothèses!$V$12,Hypothèses!$X$12,IF(U127&lt;=Hypothèses!$V$13,Hypothèses!$X$13,IF(U127&lt;=Hypothèses!$V$14,Hypothèses!$X$14,IF(U127&lt;=Hypothèses!$V$15,Hypothèses!$X$15,IF(U127&lt;=Hypothèses!$V$16,Hypothèses!$X$16,IF(U127&lt;=Hypothèses!$U$17,Hypothèses!$W$17,IF(U127&lt;=Hypothèses!$U$18,Hypothèses!$W$18,""))))))))))))</f>
        <v>#DIV/0!</v>
      </c>
      <c r="AR127" s="95" t="e">
        <f t="shared" ca="1" si="172"/>
        <v>#DIV/0!</v>
      </c>
      <c r="AS127" s="101" t="e">
        <f t="shared" si="224"/>
        <v>#N/A</v>
      </c>
      <c r="AT127" s="91" t="e">
        <f t="shared" si="143"/>
        <v>#N/A</v>
      </c>
      <c r="AU127" s="30" t="e">
        <f t="shared" si="202"/>
        <v>#N/A</v>
      </c>
      <c r="AV127" s="30" t="e">
        <f t="shared" si="203"/>
        <v>#N/A</v>
      </c>
      <c r="AW127" s="31" t="e">
        <f>IF(OR(Hypothèses!$B$4=17,Hypothèses!$B$4=18,Hypothèses!$B$4=19,Hypothèses!$B$4=20),
IF($D127="Pressio.",
IF(OR($E127=3,$E127=1,$E127=4),AV127,AU127),
IF($D127="Pénétro.",
IF(OR($E127=3,$E127=1,$E127=4),AV127,AU127))),IF($D127="Pressio.",
IF($E127=3,AV127,AU127),
IF($D127="Pénétro.",
IF($E127=4,AV127,AU127))))</f>
        <v>#N/A</v>
      </c>
      <c r="AX127" s="31" t="e">
        <f>(IF(OR(Hypothèses!$B$4=17,Hypothèses!$B$4=18,Hypothèses!$B$4=19,Hypothèses!$B$4=20),
IF($D127="Pressio.",
IF(OR($E127=3,$E127=1,$E127=4),(PI()*AX$12^2)/4*(AT127*$W127*1000)/($H127*$B$5),(PI()*AX$12^2)/4*(AT127*$W127*1000)/($G127*$B$5)),
IF($D127="Pénétro.",
IF(OR($E127=4,$E127=1,$E127=5),(PI()*AX$12^2)/4*(AT127*$W127*1000)/($H127*$B$5),(PI()*AX$12^2)/4*(AT127*$W127*1000)/($G127*$B$5)))),
IF($D127="Pressio.",
IF($E127=3,(PI()*AX$12^2)/4*(AT127*$W127*1000)/($H127*$B$5),(PI()*AX$12^2)/4*(AT127*$W127*1000)/($G127*$B$5)),
IF($D127="Pénétro.",
IF($E127=4,(PI()*AX$12^2)/4*(AT127*$W127*1000)/($H127*$B$5),(PI()*AX$12^2)/4*(AT127*$W127*1000)/($G127*$B$5))))))/10</f>
        <v>#N/A</v>
      </c>
      <c r="AY127" s="102" t="e">
        <f>(VLOOKUP($B$3,'Coeff EC7'!$T$39:$X$59,2,0)*AW127+VLOOKUP($B$3,'Coeff EC7'!$T$65:$X$85,2,0)*Model0.1C!AX127)/1.1</f>
        <v>#N/A</v>
      </c>
      <c r="AZ127" s="102" t="e">
        <f>(VLOOKUP($B$3,'Coeff EC7'!$T$39:$X$59,3,0)*AW127+VLOOKUP($B$3,'Coeff EC7'!$T$65:$X$85,3,0)*Model0.1C!AX127)/0.9</f>
        <v>#N/A</v>
      </c>
      <c r="BA127" s="102" t="e">
        <f t="shared" si="173"/>
        <v>#N/A</v>
      </c>
      <c r="BB127" s="102" t="e">
        <f t="shared" si="174"/>
        <v>#N/A</v>
      </c>
      <c r="BC127" s="414" t="e">
        <f>IF(BC126=0,0,IF(AND(AY127&gt;charge_ELS_quasi,AZ127&gt;Charge_ELS_freq,BA127&gt;charge_ELU,BB127&gt;charge_ELA,$B127&gt;NDC!$H$22-0.1+MIN(3*$BC$12,1.5)),0,1))</f>
        <v>#N/A</v>
      </c>
      <c r="BD127" s="86" t="b">
        <f t="shared" si="144"/>
        <v>0</v>
      </c>
      <c r="BE127" s="86">
        <f t="shared" si="175"/>
        <v>0.5</v>
      </c>
      <c r="BF127" s="86">
        <f t="shared" si="145"/>
        <v>0.5</v>
      </c>
      <c r="BG127" s="30" t="e">
        <f t="shared" ca="1" si="176"/>
        <v>#DIV/0!</v>
      </c>
      <c r="BH127" s="85" t="e">
        <f ca="1">IF(AN127&lt;=Hypothèses!$V$7,Hypothèses!$W$7,IF(AN127&lt;=Hypothèses!$V$8,Hypothèses!$W$8,IF(AN127&lt;=Hypothèses!$V$9,Hypothèses!$W$9,IF(AN127&lt;=Hypothèses!$V$10,Hypothèses!$W$10,IF(AN127&lt;=Hypothèses!$V$11,Hypothèses!$W$11,IF(AN127&lt;=Hypothèses!$V$12,Hypothèses!$W$12,IF(AN127&lt;=Hypothèses!$V$13,Hypothèses!$W$13,IF(AN127&lt;=Hypothèses!$V$14,Hypothèses!$W$14,IF(AN127&lt;=Hypothèses!$V$15,Hypothèses!$W$15,IF(AN127&lt;=Hypothèses!$V$16,Hypothèses!$W$16,IF(AN127&lt;=Hypothèses!$V$17,Hypothèses!$W$17,IF(AN127&lt;=Hypothèses!$V$18,Hypothèses!$W$18,""))))))))))))</f>
        <v>#DIV/0!</v>
      </c>
      <c r="BI127" s="87" t="e">
        <f t="shared" ca="1" si="218"/>
        <v>#DIV/0!</v>
      </c>
      <c r="BJ127" s="88" t="e">
        <f ca="1">IF(AN127&lt;=Hypothèses!$V$7,Hypothèses!$X$7,IF(AN127&lt;=Hypothèses!$V$8,Hypothèses!$X$8,IF(AN127&lt;=Hypothèses!$V$9,Hypothèses!$X$9,IF(AN127&lt;=Hypothèses!$V$10,Hypothèses!$X$10,IF(AN127&lt;=Hypothèses!$V$11,Hypothèses!$X$11,IF(AN127&lt;=Hypothèses!$V$12,Hypothèses!$X$12,IF(AN127&lt;=Hypothèses!$V$13,Hypothèses!$X$13,IF(AN127&lt;=Hypothèses!$V$14,Hypothèses!$X$14,IF(AN127&lt;=Hypothèses!$V$15,Hypothèses!$X$15,IF(AN127&lt;=Hypothèses!$V$16,Hypothèses!$X$16,IF(AN127&lt;=Hypothèses!$U$17,Hypothèses!$W$17,IF(AN127&lt;=Hypothèses!$U$18,Hypothèses!$W$18,""))))))))))))</f>
        <v>#DIV/0!</v>
      </c>
      <c r="BK127" s="95" t="e">
        <f t="shared" ca="1" si="177"/>
        <v>#DIV/0!</v>
      </c>
      <c r="BL127" s="101" t="e">
        <f t="shared" si="225"/>
        <v>#N/A</v>
      </c>
      <c r="BM127" s="91" t="e">
        <f t="shared" si="146"/>
        <v>#N/A</v>
      </c>
      <c r="BN127" s="30" t="e">
        <f t="shared" si="204"/>
        <v>#N/A</v>
      </c>
      <c r="BO127" s="30" t="e">
        <f t="shared" si="205"/>
        <v>#N/A</v>
      </c>
      <c r="BP127" s="31" t="e">
        <f>IF(OR(Hypothèses!$B$4=17,Hypothèses!$B$4=18,Hypothèses!$B$4=19,Hypothèses!$B$4=20),
IF($D127="Pressio.",
IF(OR($E127=3,$E127=1,$E127=4),BO127,BN127),
IF($D127="Pénétro.",
IF(OR($E127=3,$E127=1,$E127=4),BO127,BN127))),IF($D127="Pressio.",
IF($E127=3,BO127,BN127),
IF($D127="Pénétro.",
IF($E127=4,BO127,BN127))))</f>
        <v>#N/A</v>
      </c>
      <c r="BQ127" s="31" t="e">
        <f>(IF(OR(Hypothèses!$B$4=17,Hypothèses!$B$4=18,Hypothèses!$B$4=19,Hypothèses!$B$4=20),
IF($D127="Pressio.",
IF(OR($E127=3,$E127=1,$E127=4),(PI()*BQ$12^2)/4*(BM127*$W127*1000)/($H127*$B$5),(PI()*BQ$12^2)/4*(BM127*$W127*1000)/($G127*$B$5)),
IF($D127="Pénétro.",
IF(OR($E127=4,$E127=1,$E127=5),(PI()*BQ$12^2)/4*(BM127*$W127*1000)/($H127*$B$5),(PI()*BQ$12^2)/4*(BM127*$W127*1000)/($G127*$B$5)))),
IF($D127="Pressio.",
IF($E127=3,(PI()*BQ$12^2)/4*(BM127*$W127*1000)/($H127*$B$5),(PI()*BQ$12^2)/4*(BM127*$W127*1000)/($G127*$B$5)),
IF($D127="Pénétro.",
IF($E127=4,(PI()*BQ$12^2)/4*(BM127*$W127*1000)/($H127*$B$5),(PI()*BQ$12^2)/4*(BM127*$W127*1000)/($G127*$B$5))))))/10</f>
        <v>#N/A</v>
      </c>
      <c r="BR127" s="102" t="e">
        <f>(VLOOKUP($B$3,'Coeff EC7'!$T$39:$X$59,2,0)*BP127+VLOOKUP($B$3,'Coeff EC7'!$T$65:$X$85,2,0)*Model0.1C!BQ127)/1.1</f>
        <v>#N/A</v>
      </c>
      <c r="BS127" s="102" t="e">
        <f>(VLOOKUP($B$3,'Coeff EC7'!$T$39:$X$59,3,0)*BP127+VLOOKUP($B$3,'Coeff EC7'!$T$65:$X$85,3,0)*Model0.1C!BQ127)/0.9</f>
        <v>#N/A</v>
      </c>
      <c r="BT127" s="102" t="e">
        <f t="shared" si="178"/>
        <v>#N/A</v>
      </c>
      <c r="BU127" s="102" t="e">
        <f t="shared" si="179"/>
        <v>#N/A</v>
      </c>
      <c r="BV127" s="414" t="e">
        <f>IF(BV126=0,0,IF(AND(BR127&gt;charge_ELS_quasi,BS127&gt;Charge_ELS_freq,BT127&gt;charge_ELU,BU127&gt;charge_ELA,$B127&gt;NDC!$H$22-0.1+MIN(3*$BV$12,1.5)),0,1))</f>
        <v>#N/A</v>
      </c>
      <c r="BW127" s="86" t="b">
        <f t="shared" si="147"/>
        <v>0</v>
      </c>
      <c r="BX127" s="86">
        <f t="shared" si="148"/>
        <v>0.5</v>
      </c>
      <c r="BY127" s="86">
        <f t="shared" si="149"/>
        <v>0.5</v>
      </c>
      <c r="BZ127" s="30" t="e">
        <f t="shared" ca="1" si="180"/>
        <v>#DIV/0!</v>
      </c>
      <c r="CA127" s="85" t="e">
        <f ca="1">IF(BG127&lt;=Hypothèses!$V$7,Hypothèses!$W$7,IF(BG127&lt;=Hypothèses!$V$8,Hypothèses!$W$8,IF(BG127&lt;=Hypothèses!$V$9,Hypothèses!$W$9,IF(BG127&lt;=Hypothèses!$V$10,Hypothèses!$W$10,IF(BG127&lt;=Hypothèses!$V$11,Hypothèses!$W$11,IF(BG127&lt;=Hypothèses!$V$12,Hypothèses!$W$12,IF(BG127&lt;=Hypothèses!$V$13,Hypothèses!$W$13,IF(BG127&lt;=Hypothèses!$V$14,Hypothèses!$W$14,IF(BG127&lt;=Hypothèses!$V$15,Hypothèses!$W$15,IF(BG127&lt;=Hypothèses!$V$16,Hypothèses!$W$16,IF(BG127&lt;=Hypothèses!$V$17,Hypothèses!$W$17,IF(BG127&lt;=Hypothèses!$V$18,Hypothèses!$W$18,""))))))))))))</f>
        <v>#DIV/0!</v>
      </c>
      <c r="CB127" s="87" t="e">
        <f t="shared" ca="1" si="219"/>
        <v>#DIV/0!</v>
      </c>
      <c r="CC127" s="88" t="e">
        <f ca="1">IF(BG127&lt;=Hypothèses!$V$7,Hypothèses!$X$7,IF(BG127&lt;=Hypothèses!$V$8,Hypothèses!$X$8,IF(BG127&lt;=Hypothèses!$V$9,Hypothèses!$X$9,IF(BG127&lt;=Hypothèses!$V$10,Hypothèses!$X$10,IF(BG127&lt;=Hypothèses!$V$11,Hypothèses!$X$11,IF(BG127&lt;=Hypothèses!$V$12,Hypothèses!$X$12,IF(BG127&lt;=Hypothèses!$V$13,Hypothèses!$X$13,IF(BG127&lt;=Hypothèses!$V$14,Hypothèses!$X$14,IF(BG127&lt;=Hypothèses!$V$15,Hypothèses!$X$15,IF(BG127&lt;=Hypothèses!$V$16,Hypothèses!$X$16,IF(BG127&lt;=Hypothèses!$U$17,Hypothèses!$W$17,IF(BG127&lt;=Hypothèses!$U$18,Hypothèses!$W$18,""))))))))))))</f>
        <v>#DIV/0!</v>
      </c>
      <c r="CD127" s="95" t="e">
        <f t="shared" ca="1" si="181"/>
        <v>#DIV/0!</v>
      </c>
      <c r="CE127" s="101" t="e">
        <f t="shared" si="226"/>
        <v>#N/A</v>
      </c>
      <c r="CF127" s="91" t="e">
        <f t="shared" si="150"/>
        <v>#N/A</v>
      </c>
      <c r="CG127" s="30" t="e">
        <f t="shared" si="206"/>
        <v>#N/A</v>
      </c>
      <c r="CH127" s="30" t="e">
        <f t="shared" si="207"/>
        <v>#N/A</v>
      </c>
      <c r="CI127" s="31" t="e">
        <f>IF(OR(Hypothèses!$B$4=17,Hypothèses!$B$4=18,Hypothèses!$B$4=19,Hypothèses!$B$4=20),
IF($D127="Pressio.",
IF(OR($E127=3,$E127=1,$E127=4),CH127,CG127),
IF($D127="Pénétro.",
IF(OR($E127=3,$E127=1,$E127=4),CH127,CG127))),IF($D127="Pressio.",
IF($E127=3,CH127,CG127),
IF($D127="Pénétro.",
IF($E127=4,CH127,CG127))))</f>
        <v>#N/A</v>
      </c>
      <c r="CJ127" s="31" t="e">
        <f>(IF(OR(Hypothèses!$B$4=17,Hypothèses!$B$4=18,Hypothèses!$B$4=19,Hypothèses!$B$4=20),
IF($D127="Pressio.",
IF(OR($E127=3,$E127=1,$E127=4),(PI()*CJ$12^2)/4*(CF127*$W127*1000)/($H127*$B$5),(PI()*CJ$12^2)/4*(CF127*$W127*1000)/($G127*$B$5)),
IF($D127="Pénétro.",
IF(OR($E127=4,$E127=1,$E127=5),(PI()*CJ$12^2)/4*(CF127*$W127*1000)/($H127*$B$5),(PI()*CJ$12^2)/4*(CF127*$W127*1000)/($G127*$B$5)))),
IF($D127="Pressio.",
IF($E127=3,(PI()*CJ$12^2)/4*(CF127*$W127*1000)/($H127*$B$5),(PI()*CJ$12^2)/4*(CF127*$W127*1000)/($G127*$B$5)),
IF($D127="Pénétro.",
IF($E127=4,(PI()*CJ$12^2)/4*(CF127*$W127*1000)/($H127*$B$5),(PI()*CJ$12^2)/4*(CF127*$W127*1000)/($G127*$B$5))))))/10</f>
        <v>#N/A</v>
      </c>
      <c r="CK127" s="102" t="e">
        <f>(VLOOKUP($B$3,'Coeff EC7'!$T$39:$X$59,2,0)*CI127+VLOOKUP($B$3,'Coeff EC7'!$T$65:$X$85,2,0)*Model0.1C!CJ127)/1.1</f>
        <v>#N/A</v>
      </c>
      <c r="CL127" s="102" t="e">
        <f>(VLOOKUP($B$3,'Coeff EC7'!$T$39:$X$59,3,0)*CI127+VLOOKUP($B$3,'Coeff EC7'!$T$65:$X$85,3,0)*Model0.1C!CJ127)/0.9</f>
        <v>#N/A</v>
      </c>
      <c r="CM127" s="102" t="e">
        <f t="shared" si="182"/>
        <v>#N/A</v>
      </c>
      <c r="CN127" s="102" t="e">
        <f t="shared" si="183"/>
        <v>#N/A</v>
      </c>
      <c r="CO127" s="414" t="e">
        <f>IF(CO126=0,0,IF(AND(CK127&gt;charge_ELS_quasi,CL127&gt;Charge_ELS_freq,CM127&gt;charge_ELU,CN127&gt;charge_ELA,$B127&gt;NDC!$H$22-0.1+MIN(3*$CO$12,1.5)),0,1))</f>
        <v>#N/A</v>
      </c>
      <c r="CP127" s="86" t="b">
        <f t="shared" si="151"/>
        <v>0</v>
      </c>
      <c r="CQ127" s="86">
        <f t="shared" si="152"/>
        <v>0.5</v>
      </c>
      <c r="CR127" s="86">
        <f t="shared" si="153"/>
        <v>0.5</v>
      </c>
      <c r="CS127" s="30" t="e">
        <f t="shared" ca="1" si="184"/>
        <v>#DIV/0!</v>
      </c>
      <c r="CT127" s="85" t="e">
        <f ca="1">IF(BZ127&lt;=Hypothèses!$V$7,Hypothèses!$W$7,IF(BZ127&lt;=Hypothèses!$V$8,Hypothèses!$W$8,IF(BZ127&lt;=Hypothèses!$V$9,Hypothèses!$W$9,IF(BZ127&lt;=Hypothèses!$V$10,Hypothèses!$W$10,IF(BZ127&lt;=Hypothèses!$V$11,Hypothèses!$W$11,IF(BZ127&lt;=Hypothèses!$V$12,Hypothèses!$W$12,IF(BZ127&lt;=Hypothèses!$V$13,Hypothèses!$W$13,IF(BZ127&lt;=Hypothèses!$V$14,Hypothèses!$W$14,IF(BZ127&lt;=Hypothèses!$V$15,Hypothèses!$W$15,IF(BZ127&lt;=Hypothèses!$V$16,Hypothèses!$W$16,IF(BZ127&lt;=Hypothèses!$V$17,Hypothèses!$W$17,IF(BZ127&lt;=Hypothèses!$V$18,Hypothèses!$W$18,""))))))))))))</f>
        <v>#DIV/0!</v>
      </c>
      <c r="CU127" s="87" t="e">
        <f t="shared" ca="1" si="220"/>
        <v>#DIV/0!</v>
      </c>
      <c r="CV127" s="88" t="e">
        <f ca="1">IF(BZ127&lt;=Hypothèses!$V$7,Hypothèses!$X$7,IF(BZ127&lt;=Hypothèses!$V$8,Hypothèses!$X$8,IF(BZ127&lt;=Hypothèses!$V$9,Hypothèses!$X$9,IF(BZ127&lt;=Hypothèses!$V$10,Hypothèses!$X$10,IF(BZ127&lt;=Hypothèses!$V$11,Hypothèses!$X$11,IF(BZ127&lt;=Hypothèses!$V$12,Hypothèses!$X$12,IF(BZ127&lt;=Hypothèses!$V$13,Hypothèses!$X$13,IF(BZ127&lt;=Hypothèses!$V$14,Hypothèses!$X$14,IF(BZ127&lt;=Hypothèses!$V$15,Hypothèses!$X$15,IF(BZ127&lt;=Hypothèses!$V$16,Hypothèses!$X$16,IF(BZ127&lt;=Hypothèses!$U$17,Hypothèses!$W$17,IF(BZ127&lt;=Hypothèses!$U$18,Hypothèses!$W$18,""))))))))))))</f>
        <v>#DIV/0!</v>
      </c>
      <c r="CW127" s="95" t="e">
        <f t="shared" ca="1" si="185"/>
        <v>#DIV/0!</v>
      </c>
      <c r="CX127" s="101" t="e">
        <f t="shared" si="227"/>
        <v>#N/A</v>
      </c>
      <c r="CY127" s="91" t="e">
        <f t="shared" si="154"/>
        <v>#N/A</v>
      </c>
      <c r="CZ127" s="30" t="e">
        <f t="shared" si="208"/>
        <v>#N/A</v>
      </c>
      <c r="DA127" s="30" t="e">
        <f t="shared" si="209"/>
        <v>#N/A</v>
      </c>
      <c r="DB127" s="31" t="e">
        <f>IF(OR(Hypothèses!$B$4=17,Hypothèses!$B$4=18,Hypothèses!$B$4=19,Hypothèses!$B$4=20),
IF($D127="Pressio.",
IF(OR($E127=3,$E127=1,$E127=4),DA127,CZ127),
IF($D127="Pénétro.",
IF(OR($E127=3,$E127=1,$E127=4),DA127,CZ127))),IF($D127="Pressio.",
IF($E127=3,DA127,CZ127),
IF($D127="Pénétro.",
IF($E127=4,DA127,CZ127))))</f>
        <v>#N/A</v>
      </c>
      <c r="DC127" s="31" t="e">
        <f>(IF(OR(Hypothèses!$B$4=17,Hypothèses!$B$4=18,Hypothèses!$B$4=19,Hypothèses!$B$4=20),
IF($D127="Pressio.",
IF(OR($E127=3,$E127=1,$E127=4),(PI()*DC$12^2)/4*(CY127*$W127*1000)/($H127*$B$5),(PI()*DC$12^2)/4*(CY127*$W127*1000)/($G127*$B$5)),
IF($D127="Pénétro.",
IF(OR($E127=4,$E127=1,$E127=5),(PI()*DC$12^2)/4*(CY127*$W127*1000)/($H127*$B$5),(PI()*DC$12^2)/4*(CY127*$W127*1000)/($G127*$B$5)))),
IF($D127="Pressio.",
IF($E127=3,(PI()*DC$12^2)/4*(CY127*$W127*1000)/($H127*$B$5),(PI()*DC$12^2)/4*(CY127*$W127*1000)/($G127*$B$5)),
IF($D127="Pénétro.",
IF($E127=4,(PI()*DC$12^2)/4*(CY127*$W127*1000)/($H127*$B$5),(PI()*DC$12^2)/4*(CY127*$W127*1000)/($G127*$B$5))))))/10</f>
        <v>#N/A</v>
      </c>
      <c r="DD127" s="102" t="e">
        <f>(VLOOKUP($B$3,'Coeff EC7'!$T$39:$X$59,2,0)*DB127+VLOOKUP($B$3,'Coeff EC7'!$T$65:$X$85,2,0)*Model0.1C!DC127)/1.1</f>
        <v>#N/A</v>
      </c>
      <c r="DE127" s="102" t="e">
        <f>(VLOOKUP($B$3,'Coeff EC7'!$T$39:$X$59,3,0)*DB127+VLOOKUP($B$3,'Coeff EC7'!$T$65:$X$85,3,0)*Model0.1C!DC127)/0.9</f>
        <v>#N/A</v>
      </c>
      <c r="DF127" s="102" t="e">
        <f t="shared" si="186"/>
        <v>#N/A</v>
      </c>
      <c r="DG127" s="102" t="e">
        <f t="shared" si="187"/>
        <v>#N/A</v>
      </c>
      <c r="DH127" s="414" t="e">
        <f>IF(DH126=0,0,IF(AND(DD127&gt;charge_ELS_quasi,DE127&gt;Charge_ELS_freq,DF127&gt;charge_ELU,DG127&gt;charge_ELA,$B127&gt;NDC!$H$22-0.1+MIN(3*$DH$12,1.5)),0,1))</f>
        <v>#N/A</v>
      </c>
      <c r="DI127" s="86" t="b">
        <f t="shared" si="155"/>
        <v>0</v>
      </c>
      <c r="DJ127" s="86">
        <f t="shared" si="156"/>
        <v>0.5</v>
      </c>
      <c r="DK127" s="86">
        <f t="shared" si="157"/>
        <v>0.5</v>
      </c>
      <c r="DL127" s="30" t="e">
        <f t="shared" ca="1" si="188"/>
        <v>#DIV/0!</v>
      </c>
      <c r="DM127" s="85" t="e">
        <f ca="1">IF(CS127&lt;=Hypothèses!$V$7,Hypothèses!$W$7,IF(CS127&lt;=Hypothèses!$V$8,Hypothèses!$W$8,IF(CS127&lt;=Hypothèses!$V$9,Hypothèses!$W$9,IF(CS127&lt;=Hypothèses!$V$10,Hypothèses!$W$10,IF(CS127&lt;=Hypothèses!$V$11,Hypothèses!$W$11,IF(CS127&lt;=Hypothèses!$V$12,Hypothèses!$W$12,IF(CS127&lt;=Hypothèses!$V$13,Hypothèses!$W$13,IF(CS127&lt;=Hypothèses!$V$14,Hypothèses!$W$14,IF(CS127&lt;=Hypothèses!$V$15,Hypothèses!$W$15,IF(CS127&lt;=Hypothèses!$V$16,Hypothèses!$W$16,IF(CS127&lt;=Hypothèses!$V$17,Hypothèses!$W$17,IF(CS127&lt;=Hypothèses!$V$18,Hypothèses!$W$18,""))))))))))))</f>
        <v>#DIV/0!</v>
      </c>
      <c r="DN127" s="87" t="e">
        <f t="shared" ca="1" si="221"/>
        <v>#DIV/0!</v>
      </c>
      <c r="DO127" s="88" t="e">
        <f ca="1">IF(CS127&lt;=Hypothèses!$V$7,Hypothèses!$X$7,IF(CS127&lt;=Hypothèses!$V$8,Hypothèses!$X$8,IF(CS127&lt;=Hypothèses!$V$9,Hypothèses!$X$9,IF(CS127&lt;=Hypothèses!$V$10,Hypothèses!$X$10,IF(CS127&lt;=Hypothèses!$V$11,Hypothèses!$X$11,IF(CS127&lt;=Hypothèses!$V$12,Hypothèses!$X$12,IF(CS127&lt;=Hypothèses!$V$13,Hypothèses!$X$13,IF(CS127&lt;=Hypothèses!$V$14,Hypothèses!$X$14,IF(CS127&lt;=Hypothèses!$V$15,Hypothèses!$X$15,IF(CS127&lt;=Hypothèses!$V$16,Hypothèses!$X$16,IF(CS127&lt;=Hypothèses!$U$17,Hypothèses!$W$17,IF(CS127&lt;=Hypothèses!$U$18,Hypothèses!$W$18,""))))))))))))</f>
        <v>#DIV/0!</v>
      </c>
      <c r="DP127" s="95" t="e">
        <f t="shared" ca="1" si="189"/>
        <v>#DIV/0!</v>
      </c>
      <c r="DQ127" s="101" t="e">
        <f t="shared" si="228"/>
        <v>#N/A</v>
      </c>
      <c r="DR127" s="91" t="e">
        <f t="shared" si="158"/>
        <v>#N/A</v>
      </c>
      <c r="DS127" s="30" t="e">
        <f t="shared" si="210"/>
        <v>#N/A</v>
      </c>
      <c r="DT127" s="30" t="e">
        <f t="shared" si="211"/>
        <v>#N/A</v>
      </c>
      <c r="DU127" s="31" t="e">
        <f>IF(OR(Hypothèses!$B$4=17,Hypothèses!$B$4=18,Hypothèses!$B$4=19,Hypothèses!$B$4=20),
IF($D127="Pressio.",
IF(OR($E127=3,$E127=1,$E127=4),DT127,DS127),
IF($D127="Pénétro.",
IF(OR($E127=3,$E127=1,$E127=4),DT127,DS127))),IF($D127="Pressio.",
IF($E127=3,DT127,DS127),
IF($D127="Pénétro.",
IF($E127=4,DT127,DS127))))</f>
        <v>#N/A</v>
      </c>
      <c r="DV127" s="31" t="e">
        <f>(IF(OR(Hypothèses!$B$4=17,Hypothèses!$B$4=18,Hypothèses!$B$4=19,Hypothèses!$B$4=20),
IF($D127="Pressio.",
IF(OR($E127=3,$E127=1,$E127=4),(PI()*DV$12^2)/4*(DR127*$W127*1000)/($H127*$B$5),(PI()*DV$12^2)/4*(DR127*$W127*1000)/($G127*$B$5)),
IF($D127="Pénétro.",
IF(OR($E127=4,$E127=1,$E127=5),(PI()*DV$12^2)/4*(DR127*$W127*1000)/($H127*$B$5),(PI()*DV$12^2)/4*(DR127*$W127*1000)/($G127*$B$5)))),
IF($D127="Pressio.",
IF($E127=3,(PI()*DV$12^2)/4*(DR127*$W127*1000)/($H127*$B$5),(PI()*DV$12^2)/4*(DR127*$W127*1000)/($G127*$B$5)),
IF($D127="Pénétro.",
IF($E127=4,(PI()*DV$12^2)/4*(DR127*$W127*1000)/($H127*$B$5),(PI()*DV$12^2)/4*(DR127*$W127*1000)/($G127*$B$5))))))/10</f>
        <v>#N/A</v>
      </c>
      <c r="DW127" s="102" t="e">
        <f>(VLOOKUP($B$3,'Coeff EC7'!$T$39:$X$59,2,0)*DU127+VLOOKUP($B$3,'Coeff EC7'!$T$65:$X$85,2,0)*Model0.1C!DV127)/1.1</f>
        <v>#N/A</v>
      </c>
      <c r="DX127" s="102" t="e">
        <f>(VLOOKUP($B$3,'Coeff EC7'!$T$39:$X$59,3,0)*DU127+VLOOKUP($B$3,'Coeff EC7'!$T$65:$X$85,3,0)*Model0.1C!DV127)/0.9</f>
        <v>#N/A</v>
      </c>
      <c r="DY127" s="102" t="e">
        <f t="shared" si="190"/>
        <v>#N/A</v>
      </c>
      <c r="DZ127" s="102" t="e">
        <f t="shared" si="191"/>
        <v>#N/A</v>
      </c>
      <c r="EA127" s="414" t="e">
        <f>IF(EA126=0,0,IF(AND(DW127&gt;charge_ELS_quasi,DX127&gt;Charge_ELS_freq,DY127&gt;charge_ELU,DZ127&gt;charge_ELA,$B127&gt;NDC!$H$22-0.1+MIN(3*$EA$12,1.5)),0,1))</f>
        <v>#N/A</v>
      </c>
      <c r="EB127" s="86" t="b">
        <f t="shared" si="159"/>
        <v>0</v>
      </c>
      <c r="EC127" s="418">
        <f t="shared" si="160"/>
        <v>0.51</v>
      </c>
      <c r="ED127" s="86">
        <f t="shared" si="161"/>
        <v>0.51</v>
      </c>
      <c r="EE127" s="30" t="e">
        <f t="shared" ca="1" si="192"/>
        <v>#DIV/0!</v>
      </c>
      <c r="EF127" s="85" t="e">
        <f ca="1">IF(DL127&lt;=Hypothèses!$V$7,Hypothèses!$W$7,IF(DL127&lt;=Hypothèses!$V$8,Hypothèses!$W$8,IF(DL127&lt;=Hypothèses!$V$9,Hypothèses!$W$9,IF(DL127&lt;=Hypothèses!$V$10,Hypothèses!$W$10,IF(DL127&lt;=Hypothèses!$V$11,Hypothèses!$W$11,IF(DL127&lt;=Hypothèses!$V$12,Hypothèses!$W$12,IF(DL127&lt;=Hypothèses!$V$13,Hypothèses!$W$13,IF(DL127&lt;=Hypothèses!$V$14,Hypothèses!$W$14,IF(DL127&lt;=Hypothèses!$V$15,Hypothèses!$W$15,IF(DL127&lt;=Hypothèses!$V$16,Hypothèses!$W$16,IF(DL127&lt;=Hypothèses!$V$17,Hypothèses!$W$17,IF(DL127&lt;=Hypothèses!$V$18,Hypothèses!$W$18,""))))))))))))</f>
        <v>#DIV/0!</v>
      </c>
      <c r="EG127" s="87" t="e">
        <f t="shared" ca="1" si="222"/>
        <v>#DIV/0!</v>
      </c>
      <c r="EH127" s="88" t="e">
        <f ca="1">IF(DL127&lt;=Hypothèses!$V$7,Hypothèses!$X$7,IF(DL127&lt;=Hypothèses!$V$8,Hypothèses!$X$8,IF(DL127&lt;=Hypothèses!$V$9,Hypothèses!$X$9,IF(DL127&lt;=Hypothèses!$V$10,Hypothèses!$X$10,IF(DL127&lt;=Hypothèses!$V$11,Hypothèses!$X$11,IF(DL127&lt;=Hypothèses!$V$12,Hypothèses!$X$12,IF(DL127&lt;=Hypothèses!$V$13,Hypothèses!$X$13,IF(DL127&lt;=Hypothèses!$V$14,Hypothèses!$X$14,IF(DL127&lt;=Hypothèses!$V$15,Hypothèses!$X$15,IF(DL127&lt;=Hypothèses!$V$16,Hypothèses!$X$16,IF(DL127&lt;=Hypothèses!$U$17,Hypothèses!$W$17,IF(DL127&lt;=Hypothèses!$U$18,Hypothèses!$W$18,""))))))))))))</f>
        <v>#DIV/0!</v>
      </c>
      <c r="EI127" s="95" t="e">
        <f t="shared" ca="1" si="193"/>
        <v>#DIV/0!</v>
      </c>
      <c r="EJ127" s="101" t="e">
        <f t="shared" si="229"/>
        <v>#N/A</v>
      </c>
      <c r="EK127" s="91" t="e">
        <f t="shared" si="162"/>
        <v>#N/A</v>
      </c>
      <c r="EL127" s="30" t="e">
        <f t="shared" si="212"/>
        <v>#N/A</v>
      </c>
      <c r="EM127" s="30" t="e">
        <f t="shared" si="213"/>
        <v>#N/A</v>
      </c>
      <c r="EN127" s="31" t="e">
        <f>IF(OR(Hypothèses!$B$4=17,Hypothèses!$B$4=18,Hypothèses!$B$4=19,Hypothèses!$B$4=20),
IF($D127="Pressio.",
IF(OR($E127=3,$E127=1,$E127=4),EM127,EL127),
IF($D127="Pénétro.",
IF(OR($E127=3,$E127=1,$E127=4),EM127,EL127))),IF($D127="Pressio.",
IF($E127=3,EM127,EL127),
IF($D127="Pénétro.",
IF($E127=4,EM127,EL127))))</f>
        <v>#N/A</v>
      </c>
      <c r="EO127" s="31" t="e">
        <f>(IF(OR(Hypothèses!$B$4=17,Hypothèses!$B$4=18,Hypothèses!$B$4=19,Hypothèses!$B$4=20),
IF($D127="Pressio.",
IF(OR($E127=3,$E127=1,$E127=4),(PI()*EO$12^2)/4*(EK127*$W127*1000)/($H127*$B$5),(PI()*EO$12^2)/4*(EK127*$W127*1000)/($G127*$B$5)),
IF($D127="Pénétro.",
IF(OR($E127=4,$E127=1,$E127=5),(PI()*EO$12^2)/4*(EK127*$W127*1000)/($H127*$B$5),(PI()*EO$12^2)/4*(EK127*$W127*1000)/($G127*$B$5)))),
IF($D127="Pressio.",
IF($E127=3,(PI()*EO$12^2)/4*(EK127*$W127*1000)/($H127*$B$5),(PI()*EO$12^2)/4*(EK127*$W127*1000)/($G127*$B$5)),
IF($D127="Pénétro.",
IF($E127=4,(PI()*EO$12^2)/4*(EK127*$W127*1000)/($H127*$B$5),(PI()*EO$12^2)/4*(EK127*$W127*1000)/($G127*$B$5))))))/10</f>
        <v>#N/A</v>
      </c>
      <c r="EP127" s="102" t="e">
        <f>(VLOOKUP($B$3,'Coeff EC7'!$T$39:$X$59,2,0)*EN127+VLOOKUP($B$3,'Coeff EC7'!$T$65:$X$85,2,0)*Model0.1C!EO127)/1.1</f>
        <v>#N/A</v>
      </c>
      <c r="EQ127" s="102" t="e">
        <f>(VLOOKUP($B$3,'Coeff EC7'!$T$39:$X$59,3,0)*EN127+VLOOKUP($B$3,'Coeff EC7'!$T$65:$X$85,3,0)*Model0.1C!EO127)/0.9</f>
        <v>#N/A</v>
      </c>
      <c r="ER127" s="102" t="e">
        <f t="shared" si="194"/>
        <v>#N/A</v>
      </c>
      <c r="ES127" s="102" t="e">
        <f t="shared" si="195"/>
        <v>#N/A</v>
      </c>
      <c r="ET127" s="414" t="e">
        <f>IF(ET126=0,0,IF(AND(EP127&gt;charge_ELS_quasi,EQ127&gt;Charge_ELS_freq,ER127&gt;charge_ELU,ES127&gt;charge_ELA,$B127&gt;NDC!$H$22-0.1+MIN(3*$ET$12,1.5)),0,1))</f>
        <v>#N/A</v>
      </c>
      <c r="EU127" s="86" t="b">
        <f t="shared" si="163"/>
        <v>0</v>
      </c>
      <c r="EV127" s="86">
        <f t="shared" si="164"/>
        <v>0.61</v>
      </c>
      <c r="EW127" s="86">
        <f t="shared" si="165"/>
        <v>0.61</v>
      </c>
      <c r="EX127" s="30" t="e">
        <f t="shared" ca="1" si="196"/>
        <v>#DIV/0!</v>
      </c>
      <c r="EY127" s="85" t="e">
        <f ca="1">IF(EE127&lt;=Hypothèses!$V$7,Hypothèses!$W$7,IF(EE127&lt;=Hypothèses!$V$8,Hypothèses!$W$8,IF(EE127&lt;=Hypothèses!$V$9,Hypothèses!$W$9,IF(EE127&lt;=Hypothèses!$V$10,Hypothèses!$W$10,IF(EE127&lt;=Hypothèses!$V$11,Hypothèses!$W$11,IF(EE127&lt;=Hypothèses!$V$12,Hypothèses!$W$12,IF(EE127&lt;=Hypothèses!$V$13,Hypothèses!$W$13,IF(EE127&lt;=Hypothèses!$V$14,Hypothèses!$W$14,IF(EE127&lt;=Hypothèses!$V$15,Hypothèses!$W$15,IF(EE127&lt;=Hypothèses!$V$16,Hypothèses!$W$16,IF(EE127&lt;=Hypothèses!$V$17,Hypothèses!$W$17,IF(EE127&lt;=Hypothèses!$V$18,Hypothèses!$W$18,""))))))))))))</f>
        <v>#DIV/0!</v>
      </c>
      <c r="EZ127" s="87" t="e">
        <f t="shared" ca="1" si="223"/>
        <v>#DIV/0!</v>
      </c>
      <c r="FA127" s="88" t="e">
        <f ca="1">IF(EE127&lt;=Hypothèses!$V$7,Hypothèses!$X$7,IF(EE127&lt;=Hypothèses!$V$8,Hypothèses!$X$8,IF(EE127&lt;=Hypothèses!$V$9,Hypothèses!$X$9,IF(EE127&lt;=Hypothèses!$V$10,Hypothèses!$X$10,IF(EE127&lt;=Hypothèses!$V$11,Hypothèses!$X$11,IF(EE127&lt;=Hypothèses!$V$12,Hypothèses!$X$12,IF(EE127&lt;=Hypothèses!$V$13,Hypothèses!$X$13,IF(EE127&lt;=Hypothèses!$V$14,Hypothèses!$X$14,IF(EE127&lt;=Hypothèses!$V$15,Hypothèses!$X$15,IF(EE127&lt;=Hypothèses!$V$16,Hypothèses!$X$16,IF(EE127&lt;=Hypothèses!$U$17,Hypothèses!$W$17,IF(EE127&lt;=Hypothèses!$U$18,Hypothèses!$W$18,""))))))))))))</f>
        <v>#DIV/0!</v>
      </c>
      <c r="FB127" s="95" t="e">
        <f t="shared" ca="1" si="197"/>
        <v>#DIV/0!</v>
      </c>
      <c r="FC127" s="101" t="e">
        <f t="shared" si="230"/>
        <v>#N/A</v>
      </c>
      <c r="FD127" s="91" t="e">
        <f t="shared" si="166"/>
        <v>#N/A</v>
      </c>
      <c r="FE127" s="30" t="e">
        <f t="shared" si="214"/>
        <v>#N/A</v>
      </c>
      <c r="FF127" s="30" t="e">
        <f t="shared" si="215"/>
        <v>#N/A</v>
      </c>
      <c r="FG127" s="31" t="e">
        <f>IF(OR(Hypothèses!$B$4=17,Hypothèses!$B$4=18,Hypothèses!$B$4=19,Hypothèses!$B$4=20),
IF($D127="Pressio.",
IF(OR($E127=3,$E127=1,$E127=4),FF127,FE127),
IF($D127="Pénétro.",
IF(OR($E127=3,$E127=1,$E127=4),FF127,FE127))),IF($D127="Pressio.",
IF($E127=3,FF127,FE127),
IF($D127="Pénétro.",
IF($E127=4,FF127,FE127))))</f>
        <v>#N/A</v>
      </c>
      <c r="FH127" s="31" t="e">
        <f>(IF(OR(Hypothèses!$B$4=17,Hypothèses!$B$4=18,Hypothèses!$B$4=19,Hypothèses!$B$4=20),
IF($D127="Pressio.",
IF(OR($E127=3,$E127=1,$E127=4),(PI()*FH$12^2)/4*(FD127*$W127*1000)/($H127*$B$5),(PI()*FH$12^2)/4*(FD127*$W127*1000)/($G127*$B$5)),
IF($D127="Pénétro.",
IF(OR($E127=4,$E127=1,$E127=5),(PI()*FH$12^2)/4*(FD127*$W127*1000)/($H127*$B$5),(PI()*FH$12^2)/4*(FD127*$W127*1000)/($G127*$B$5)))),
IF($D127="Pressio.",
IF($E127=3,(PI()*FH$12^2)/4*(FD127*$W127*1000)/($H127*$B$5),(PI()*FH$12^2)/4*(FD127*$W127*1000)/($G127*$B$5)),
IF($D127="Pénétro.",
IF($E127=4,(PI()*FH$12^2)/4*(FD127*$W127*1000)/($H127*$B$5),(PI()*FH$12^2)/4*(FD127*$W127*1000)/($G127*$B$5))))))/10</f>
        <v>#N/A</v>
      </c>
      <c r="FI127" s="102" t="e">
        <f>(VLOOKUP($B$3,'Coeff EC7'!$T$39:$X$59,2,0)*FG127+VLOOKUP($B$3,'Coeff EC7'!$T$65:$X$85,2,0)*Model0.1C!FH127)/1.1</f>
        <v>#N/A</v>
      </c>
      <c r="FJ127" s="102" t="e">
        <f>(VLOOKUP($B$3,'Coeff EC7'!$T$39:$X$59,3,0)*FG127+VLOOKUP($B$3,'Coeff EC7'!$T$65:$X$85,3,0)*Model0.1C!FH127)/0.9</f>
        <v>#N/A</v>
      </c>
      <c r="FK127" s="102" t="e">
        <f t="shared" si="198"/>
        <v>#N/A</v>
      </c>
      <c r="FL127" s="102" t="e">
        <f t="shared" si="199"/>
        <v>#N/A</v>
      </c>
      <c r="FM127" s="414" t="e">
        <f>IF(FM126=0,0,IF(AND(FI127&gt;charge_ELS_quasi,FJ127&gt;Charge_ELS_freq,FK127&gt;charge_ELU,FL127&gt;charge_ELA,$B127&gt;NDC!$H$22-0.1+MIN(3*$FM$12,1.5)),0,1))</f>
        <v>#N/A</v>
      </c>
    </row>
    <row r="128" spans="1:169">
      <c r="A128" s="96">
        <f t="shared" si="167"/>
        <v>88.500000000000654</v>
      </c>
      <c r="B128" s="97">
        <v>11.5</v>
      </c>
      <c r="C128" s="81">
        <f>IF(B128&lt;=Hypothèses!$C$7,Hypothèses!$A$7,IF(B128&lt;=Hypothèses!$C$8,Hypothèses!$A$8,IF(B128&lt;=Hypothèses!$C$9,Hypothèses!$A$9,IF(B128&lt;=Hypothèses!$C$10,Hypothèses!$A$10,IF(B128&lt;=Hypothèses!$C$11,Hypothèses!$A$11,IF(B128&lt;=Hypothèses!$C$12,Hypothèses!$A$12,IF(B128&lt;=Hypothèses!$C$13,Hypothèses!$A$13,IF(B128&lt;=Hypothèses!$C$14,Hypothèses!$A$14,IF(B128&lt;=Hypothèses!$C$15,Hypothèses!$A$15,IF(B128&lt;=Hypothèses!$C$16,Hypothèses!$A$16,IF(B128&lt;=Hypothèses!$C$17,Hypothèses!$A$17,IF(B128&lt;=Hypothèses!$C$18,Hypothèses!$A$18,C127))))))))))))</f>
        <v>11</v>
      </c>
      <c r="D128" s="82" t="str">
        <f>IF(B128&lt;=Hypothèses!$C$7,Hypothèses!$R$7,IF(B128&lt;=Hypothèses!$C$8,Hypothèses!$R$8,IF(B128&lt;=Hypothèses!$C$9,Hypothèses!$R$9,IF(B128&lt;=Hypothèses!$C$10,Hypothèses!$R$10,IF(B128&lt;=Hypothèses!$C$11,Hypothèses!$R$11,IF(B128&lt;=Hypothèses!$C$12,Hypothèses!$R$12,IF(B128&lt;=Hypothèses!$C$13,Hypothèses!$R$13,IF(B128&lt;=Hypothèses!$C$14,Hypothèses!$R$14,IF(B128&lt;=Hypothèses!$C$15,Hypothèses!$R$15,IF(B128&lt;=Hypothèses!$C$16,Hypothèses!$R$16,IF(B128&lt;=Hypothèses!$C$17,Hypothèses!$R$17,IF(B128&lt;=Hypothèses!$C$18,Hypothèses!$R$18,D127))))))))))))</f>
        <v>Pressio.</v>
      </c>
      <c r="E128" s="82" t="e">
        <f>IF(B128&lt;=Hypothèses!$C$7,Hypothèses!$G$7,IF(B128&lt;=Hypothèses!$C$8,Hypothèses!$G$8,IF(B128&lt;=Hypothèses!$C$9,Hypothèses!$G$9,IF(B128&lt;=Hypothèses!$C$10,Hypothèses!$G$10,IF(B128&lt;=Hypothèses!$C$11,Hypothèses!$G$11,IF(B128&lt;=Hypothèses!$C$12,Hypothèses!$G$12,IF(B128&lt;=Hypothèses!$C$13,Hypothèses!$G$13,IF(B128&lt;=Hypothèses!$C$14,Hypothèses!$G$14,IF(B128&lt;=Hypothèses!$C$15,Hypothèses!$G$15,IF(B128&lt;=Hypothèses!$C$16,Hypothèses!$G$16,IF(B128&lt;=Hypothèses!$C$17,Hypothèses!$G$17,IF(B128&lt;=Hypothèses!$C$18,Hypothèses!$G$18,E127))))))))))))</f>
        <v>#N/A</v>
      </c>
      <c r="F128" s="82" t="str">
        <f>IF(B128&lt;=Hypothèses!$C$7,Hypothèses!$F$7,IF(B128&lt;=Hypothèses!$C$8,Hypothèses!$F$8,IF(B128&lt;=Hypothèses!$C$9,Hypothèses!$F$9,IF(B128&lt;=Hypothèses!$C$10,Hypothèses!$F$10,IF(B128&lt;=Hypothèses!$C$11,Hypothèses!$F$11,IF(B128&lt;=Hypothèses!$C$12,Hypothèses!$F$12,IF(B128&lt;=Hypothèses!$C$13,Hypothèses!$F$13,IF(B128&lt;=Hypothèses!$C$14,Hypothèses!$F$14,IF(B128&lt;=Hypothèses!$C$15,Hypothèses!$F$15,IF(B128&lt;=Hypothèses!$C$16,Hypothèses!$F$16,IF(B128&lt;=Hypothèses!$C$17,Hypothèses!$F$17,IF(B128&lt;=Hypothèses!$C$18,Hypothèses!$F$18,F127))))))))))))</f>
        <v/>
      </c>
      <c r="G128" s="91">
        <f t="array" ref="G128">INDEX('Coeff EC7'!$U$7:$X$27,
MATCH(Model0.1C!$B$3,'Coeff EC7'!$T$7:$T$27,0),
MATCH(Model0.1C!$D128&amp;Model0.1C!$B$4,
'Coeff EC7'!$U$6:$X$6&amp;
'Coeff EC7'!$U$5:$X$5,0))</f>
        <v>1.1499999999999999</v>
      </c>
      <c r="H128" s="91">
        <f t="array" ref="H128">INDEX('Coeff EC7'!$Y$7:$AB$27,
MATCH(Model0.1C!$B$3,'Coeff EC7'!$T$7:$T$27,0),
MATCH(Model0.1C!$D128&amp;Model0.1C!$B$4,
'Coeff EC7'!$Y$6:$AB$6&amp;
'Coeff EC7'!$Y$5:$AB$5,0))</f>
        <v>1.4</v>
      </c>
      <c r="I128" s="83" t="e">
        <f>IF(B128&lt;=Hypothèses!$C$7,Hypothèses!$P$7,IF(B128&lt;=Hypothèses!$C$8,Hypothèses!$P$8,IF(B128&lt;=Hypothèses!$C$9,Hypothèses!$P$9,IF(B128&lt;=Hypothèses!$C$10,Hypothèses!$P$10,IF(B128&lt;=Hypothèses!$C$11,Hypothèses!$P$11,IF(B128&lt;=Hypothèses!$C$12,Hypothèses!$P$12,IF(B128&lt;=Hypothèses!$C$13,Hypothèses!$P$13,IF(B128&lt;=Hypothèses!$C$14,Hypothèses!$P$14,IF(B128&lt;=Hypothèses!$C$15,Hypothèses!$P$15,IF(B128&lt;=Hypothèses!$C$16,Hypothèses!$P$16,IF(B128&lt;=Hypothèses!$C$17,Hypothèses!$P$17,IF(B128&lt;=Hypothèses!$C$18,Hypothèses!$P$18,I127))))))))))))</f>
        <v>#N/A</v>
      </c>
      <c r="J128" s="91" t="e">
        <f t="array" ref="J128">INDEX('Coeff EC7'!$D$33:$Q$33,1,MATCH(D128&amp;E128,'Coeff EC7'!$D$31:$Q$31&amp;'Coeff EC7'!$D$32:$Q$32,0))</f>
        <v>#N/A</v>
      </c>
      <c r="K128" s="91" t="e">
        <f t="array" ref="K128">INDEX('Coeff EC7'!$D$34:$Q$34,1,MATCH(D128&amp;E128,'Coeff EC7'!$D$31:$Q$31&amp;'Coeff EC7'!$D$32:$Q$32,0))</f>
        <v>#N/A</v>
      </c>
      <c r="L128" s="91" t="e">
        <f t="array" ref="L128">INDEX('Coeff EC7'!$D$35:$Q$35,1,MATCH(D128&amp;E128,'Coeff EC7'!$D$31:$Q$31&amp;'Coeff EC7'!$D$32:$Q$32,0))</f>
        <v>#N/A</v>
      </c>
      <c r="M128" s="98" t="e">
        <f t="shared" si="131"/>
        <v>#N/A</v>
      </c>
      <c r="N128" s="99" t="e">
        <f t="array" ref="N128">INDEX('Coeff EC7'!$D$7:$Q$27,MATCH($B$3,'Coeff EC7'!$C$7:$C$27,0),MATCH(D128&amp;E128,'Coeff EC7'!$D$5:$Q$5&amp;'Coeff EC7'!$D$6:$Q$6,0))</f>
        <v>#N/A</v>
      </c>
      <c r="O128" s="99" t="e">
        <f t="array" ref="O128">INDEX('Coeff EC7'!$D$41:$Q$61,MATCH($B$3,'Coeff EC7'!$C$41:$C$61,0),MATCH(D128&amp;E128,'Coeff EC7'!$D$39:$Q$39&amp;'Coeff EC7'!$D$40:$Q$40,0))</f>
        <v>#N/A</v>
      </c>
      <c r="P128" s="30" t="e">
        <f t="shared" si="168"/>
        <v>#N/A</v>
      </c>
      <c r="Q128" s="100" t="e">
        <f t="shared" si="133"/>
        <v>#N/A</v>
      </c>
      <c r="R128" s="86" t="b">
        <f t="shared" si="134"/>
        <v>0</v>
      </c>
      <c r="S128" s="86">
        <f t="shared" si="132"/>
        <v>0.5</v>
      </c>
      <c r="T128" s="86">
        <f t="shared" si="135"/>
        <v>0.5</v>
      </c>
      <c r="U128" s="30" t="e">
        <f t="shared" ca="1" si="169"/>
        <v>#DIV/0!</v>
      </c>
      <c r="V128" s="85" t="str">
        <f>IF(B128&lt;=Hypothèses!$V$7,Hypothèses!$W$7,IF(B128&lt;=Hypothèses!$V$8,Hypothèses!$W$8,IF(B128&lt;=Hypothèses!$V$9,Hypothèses!$W$9,IF(B128&lt;=Hypothèses!$V$10,Hypothèses!$W$10,IF(B128&lt;=Hypothèses!$V$11,Hypothèses!$W$11,IF(B128&lt;=Hypothèses!$V$12,Hypothèses!$W$12,IF(B128&lt;=Hypothèses!$V$13,Hypothèses!$W$13,IF(B128&lt;=Hypothèses!$V$14,Hypothèses!$W$14,IF(B128&lt;=Hypothèses!$V$15,Hypothèses!$W$15,IF(B128&lt;=Hypothèses!$V$16,Hypothèses!$W$16,IF(B128&lt;=Hypothèses!$V$17,Hypothèses!$W$17,IF(B128&lt;=Hypothèses!$V$18,Hypothèses!$W$18,""))))))))))))</f>
        <v/>
      </c>
      <c r="W128" s="87" t="e">
        <f t="shared" ca="1" si="216"/>
        <v>#DIV/0!</v>
      </c>
      <c r="X128" s="88" t="str">
        <f>IF(B128&lt;=Hypothèses!$V$7,Hypothèses!$X$7,IF(B128&lt;=Hypothèses!$V$8,Hypothèses!$X$8,IF(B128&lt;=Hypothèses!$V$9,Hypothèses!$X$9,IF(B128&lt;=Hypothèses!$V$10,Hypothèses!$X$10,IF(B128&lt;=Hypothèses!$V$11,Hypothèses!$X$11,IF(B128&lt;=Hypothèses!$V$12,Hypothèses!$X$12,IF(B128&lt;=Hypothèses!$V$13,Hypothèses!$X$13,IF(B128&lt;=Hypothèses!$V$14,Hypothèses!$X$14,IF(B128&lt;=Hypothèses!$V$15,Hypothèses!$X$15,IF(B128&lt;=Hypothèses!$V$16,Hypothèses!$X$16,IF(B128&lt;=Hypothèses!$U$17,Hypothèses!$W$17,IF(B128&lt;=Hypothèses!$U$18,Hypothèses!$W$18,""))))))))))))</f>
        <v/>
      </c>
      <c r="Y128" s="95" t="e">
        <f t="shared" ca="1" si="136"/>
        <v>#DIV/0!</v>
      </c>
      <c r="Z128" s="101" t="e">
        <f t="shared" si="137"/>
        <v>#N/A</v>
      </c>
      <c r="AA128" s="91" t="e">
        <f t="shared" si="138"/>
        <v>#N/A</v>
      </c>
      <c r="AB128" s="30" t="e">
        <f t="shared" si="200"/>
        <v>#N/A</v>
      </c>
      <c r="AC128" s="30" t="e">
        <f t="shared" si="201"/>
        <v>#N/A</v>
      </c>
      <c r="AD128" s="31" t="e">
        <f>IF(OR(Hypothèses!$B$4=17,Hypothèses!$B$4=18,Hypothèses!$B$4=19,Hypothèses!$B$4=20),
IF($D128="Pressio.",
IF(OR($E128=3,$E128=1,$E128=4),AC128,AB128),
IF($D128="Pénétro.",
IF(OR($E128=3,$E128=1,$E128=4),AC128,AB128))),IF($D128="Pressio.",
IF($E128=3,AC128,AB128),
IF($D128="Pénétro.",
IF($E128=4,AC128,AB128))))</f>
        <v>#N/A</v>
      </c>
      <c r="AE128" s="31" t="e">
        <f>(IF(OR(Hypothèses!$B$4=17,Hypothèses!$B$4=18,Hypothèses!$B$4=19,Hypothèses!$B$4=20),
IF($D128="Pressio.",
IF(OR($E128=3,$E128=1,$E128=4),(PI()*AE$12^2)/4*(AA128*$W128*1000)/($H128*$B$5),(PI()*AE$12^2)/4*(AA128*$W128*1000)/($G128*$B$5)),
IF($D128="Pénétro.",
IF(OR($E128=4,$E128=1,$E128=5),(PI()*AE$12^2)/4*(AA128*$W128*1000)/($H128*$B$5),(PI()*AE$12^2)/4*(AA128*$W128*1000)/($G128*$B$5)))),
IF($D128="Pressio.",
IF($E128=3,(PI()*AE$12^2)/4*(AA128*$W128*1000)/($H128*$B$5),(PI()*AE$12^2)/4*(AA128*$W128*1000)/($G128*$B$5)),
IF($D128="Pénétro.",
IF($E128=4,(PI()*AE$12^2)/4*(AA128*$W128*1000)/($H128*$B$5),(PI()*AE$12^2)/4*(AA128*$W128*1000)/($G128*$B$5))))))/10</f>
        <v>#N/A</v>
      </c>
      <c r="AF128" s="102" t="e">
        <f>(VLOOKUP($B$3,'Coeff EC7'!$T$39:$X$59,2,0)*AD128+VLOOKUP($B$3,'Coeff EC7'!$T$65:$X$85,2,0)*Model0.1C!AE128)/1.1</f>
        <v>#N/A</v>
      </c>
      <c r="AG128" s="102" t="e">
        <f>(VLOOKUP($B$3,'Coeff EC7'!$T$39:$X$59,3,0)*AD128+VLOOKUP($B$3,'Coeff EC7'!$T$65:$X$85,3,0)*Model0.1C!AE128)/0.9</f>
        <v>#N/A</v>
      </c>
      <c r="AH128" s="102" t="e">
        <f t="shared" si="139"/>
        <v>#N/A</v>
      </c>
      <c r="AI128" s="102" t="e">
        <f t="shared" si="140"/>
        <v>#N/A</v>
      </c>
      <c r="AJ128" s="414" t="e">
        <f>IF(AJ127=0,0,IF(AND(AF128&gt;charge_ELS_quasi,AG128&gt;Charge_ELS_freq,AH128&gt;charge_ELU,AI128&gt;charge_ELA,$B128&gt;NDC!$H$22-0.1+MIN(3*$AJ$12,1.5)),0,1))</f>
        <v>#N/A</v>
      </c>
      <c r="AK128" s="86" t="b">
        <f t="shared" si="141"/>
        <v>0</v>
      </c>
      <c r="AL128" s="86">
        <f t="shared" si="170"/>
        <v>0.5</v>
      </c>
      <c r="AM128" s="86">
        <f t="shared" si="142"/>
        <v>0.5</v>
      </c>
      <c r="AN128" s="30" t="e">
        <f t="shared" ca="1" si="171"/>
        <v>#DIV/0!</v>
      </c>
      <c r="AO128" s="85" t="e">
        <f ca="1">IF(U128&lt;=Hypothèses!$V$7,Hypothèses!$W$7,IF(U128&lt;=Hypothèses!$V$8,Hypothèses!$W$8,IF(U128&lt;=Hypothèses!$V$9,Hypothèses!$W$9,IF(U128&lt;=Hypothèses!$V$10,Hypothèses!$W$10,IF(U128&lt;=Hypothèses!$V$11,Hypothèses!$W$11,IF(U128&lt;=Hypothèses!$V$12,Hypothèses!$W$12,IF(U128&lt;=Hypothèses!$V$13,Hypothèses!$W$13,IF(U128&lt;=Hypothèses!$V$14,Hypothèses!$W$14,IF(U128&lt;=Hypothèses!$V$15,Hypothèses!$W$15,IF(U128&lt;=Hypothèses!$V$16,Hypothèses!$W$16,IF(U128&lt;=Hypothèses!$V$17,Hypothèses!$W$17,IF(U128&lt;=Hypothèses!$V$18,Hypothèses!$W$18,""))))))))))))</f>
        <v>#DIV/0!</v>
      </c>
      <c r="AP128" s="87" t="e">
        <f t="shared" ca="1" si="217"/>
        <v>#DIV/0!</v>
      </c>
      <c r="AQ128" s="88" t="e">
        <f ca="1">IF(U128&lt;=Hypothèses!$V$7,Hypothèses!$X$7,IF(U128&lt;=Hypothèses!$V$8,Hypothèses!$X$8,IF(U128&lt;=Hypothèses!$V$9,Hypothèses!$X$9,IF(U128&lt;=Hypothèses!$V$10,Hypothèses!$X$10,IF(U128&lt;=Hypothèses!$V$11,Hypothèses!$X$11,IF(U128&lt;=Hypothèses!$V$12,Hypothèses!$X$12,IF(U128&lt;=Hypothèses!$V$13,Hypothèses!$X$13,IF(U128&lt;=Hypothèses!$V$14,Hypothèses!$X$14,IF(U128&lt;=Hypothèses!$V$15,Hypothèses!$X$15,IF(U128&lt;=Hypothèses!$V$16,Hypothèses!$X$16,IF(U128&lt;=Hypothèses!$U$17,Hypothèses!$W$17,IF(U128&lt;=Hypothèses!$U$18,Hypothèses!$W$18,""))))))))))))</f>
        <v>#DIV/0!</v>
      </c>
      <c r="AR128" s="95" t="e">
        <f t="shared" ca="1" si="172"/>
        <v>#DIV/0!</v>
      </c>
      <c r="AS128" s="101" t="e">
        <f t="shared" si="224"/>
        <v>#N/A</v>
      </c>
      <c r="AT128" s="91" t="e">
        <f t="shared" si="143"/>
        <v>#N/A</v>
      </c>
      <c r="AU128" s="30" t="e">
        <f t="shared" si="202"/>
        <v>#N/A</v>
      </c>
      <c r="AV128" s="30" t="e">
        <f t="shared" si="203"/>
        <v>#N/A</v>
      </c>
      <c r="AW128" s="31" t="e">
        <f>IF(OR(Hypothèses!$B$4=17,Hypothèses!$B$4=18,Hypothèses!$B$4=19,Hypothèses!$B$4=20),
IF($D128="Pressio.",
IF(OR($E128=3,$E128=1,$E128=4),AV128,AU128),
IF($D128="Pénétro.",
IF(OR($E128=3,$E128=1,$E128=4),AV128,AU128))),IF($D128="Pressio.",
IF($E128=3,AV128,AU128),
IF($D128="Pénétro.",
IF($E128=4,AV128,AU128))))</f>
        <v>#N/A</v>
      </c>
      <c r="AX128" s="31" t="e">
        <f>(IF(OR(Hypothèses!$B$4=17,Hypothèses!$B$4=18,Hypothèses!$B$4=19,Hypothèses!$B$4=20),
IF($D128="Pressio.",
IF(OR($E128=3,$E128=1,$E128=4),(PI()*AX$12^2)/4*(AT128*$W128*1000)/($H128*$B$5),(PI()*AX$12^2)/4*(AT128*$W128*1000)/($G128*$B$5)),
IF($D128="Pénétro.",
IF(OR($E128=4,$E128=1,$E128=5),(PI()*AX$12^2)/4*(AT128*$W128*1000)/($H128*$B$5),(PI()*AX$12^2)/4*(AT128*$W128*1000)/($G128*$B$5)))),
IF($D128="Pressio.",
IF($E128=3,(PI()*AX$12^2)/4*(AT128*$W128*1000)/($H128*$B$5),(PI()*AX$12^2)/4*(AT128*$W128*1000)/($G128*$B$5)),
IF($D128="Pénétro.",
IF($E128=4,(PI()*AX$12^2)/4*(AT128*$W128*1000)/($H128*$B$5),(PI()*AX$12^2)/4*(AT128*$W128*1000)/($G128*$B$5))))))/10</f>
        <v>#N/A</v>
      </c>
      <c r="AY128" s="102" t="e">
        <f>(VLOOKUP($B$3,'Coeff EC7'!$T$39:$X$59,2,0)*AW128+VLOOKUP($B$3,'Coeff EC7'!$T$65:$X$85,2,0)*Model0.1C!AX128)/1.1</f>
        <v>#N/A</v>
      </c>
      <c r="AZ128" s="102" t="e">
        <f>(VLOOKUP($B$3,'Coeff EC7'!$T$39:$X$59,3,0)*AW128+VLOOKUP($B$3,'Coeff EC7'!$T$65:$X$85,3,0)*Model0.1C!AX128)/0.9</f>
        <v>#N/A</v>
      </c>
      <c r="BA128" s="102" t="e">
        <f t="shared" si="173"/>
        <v>#N/A</v>
      </c>
      <c r="BB128" s="102" t="e">
        <f t="shared" si="174"/>
        <v>#N/A</v>
      </c>
      <c r="BC128" s="414" t="e">
        <f>IF(BC127=0,0,IF(AND(AY128&gt;charge_ELS_quasi,AZ128&gt;Charge_ELS_freq,BA128&gt;charge_ELU,BB128&gt;charge_ELA,$B128&gt;NDC!$H$22-0.1+MIN(3*$BC$12,1.5)),0,1))</f>
        <v>#N/A</v>
      </c>
      <c r="BD128" s="86" t="b">
        <f t="shared" si="144"/>
        <v>0</v>
      </c>
      <c r="BE128" s="86">
        <f t="shared" si="175"/>
        <v>0.5</v>
      </c>
      <c r="BF128" s="86">
        <f t="shared" si="145"/>
        <v>0.5</v>
      </c>
      <c r="BG128" s="30" t="e">
        <f t="shared" ca="1" si="176"/>
        <v>#DIV/0!</v>
      </c>
      <c r="BH128" s="85" t="e">
        <f ca="1">IF(AN128&lt;=Hypothèses!$V$7,Hypothèses!$W$7,IF(AN128&lt;=Hypothèses!$V$8,Hypothèses!$W$8,IF(AN128&lt;=Hypothèses!$V$9,Hypothèses!$W$9,IF(AN128&lt;=Hypothèses!$V$10,Hypothèses!$W$10,IF(AN128&lt;=Hypothèses!$V$11,Hypothèses!$W$11,IF(AN128&lt;=Hypothèses!$V$12,Hypothèses!$W$12,IF(AN128&lt;=Hypothèses!$V$13,Hypothèses!$W$13,IF(AN128&lt;=Hypothèses!$V$14,Hypothèses!$W$14,IF(AN128&lt;=Hypothèses!$V$15,Hypothèses!$W$15,IF(AN128&lt;=Hypothèses!$V$16,Hypothèses!$W$16,IF(AN128&lt;=Hypothèses!$V$17,Hypothèses!$W$17,IF(AN128&lt;=Hypothèses!$V$18,Hypothèses!$W$18,""))))))))))))</f>
        <v>#DIV/0!</v>
      </c>
      <c r="BI128" s="87" t="e">
        <f t="shared" ca="1" si="218"/>
        <v>#DIV/0!</v>
      </c>
      <c r="BJ128" s="88" t="e">
        <f ca="1">IF(AN128&lt;=Hypothèses!$V$7,Hypothèses!$X$7,IF(AN128&lt;=Hypothèses!$V$8,Hypothèses!$X$8,IF(AN128&lt;=Hypothèses!$V$9,Hypothèses!$X$9,IF(AN128&lt;=Hypothèses!$V$10,Hypothèses!$X$10,IF(AN128&lt;=Hypothèses!$V$11,Hypothèses!$X$11,IF(AN128&lt;=Hypothèses!$V$12,Hypothèses!$X$12,IF(AN128&lt;=Hypothèses!$V$13,Hypothèses!$X$13,IF(AN128&lt;=Hypothèses!$V$14,Hypothèses!$X$14,IF(AN128&lt;=Hypothèses!$V$15,Hypothèses!$X$15,IF(AN128&lt;=Hypothèses!$V$16,Hypothèses!$X$16,IF(AN128&lt;=Hypothèses!$U$17,Hypothèses!$W$17,IF(AN128&lt;=Hypothèses!$U$18,Hypothèses!$W$18,""))))))))))))</f>
        <v>#DIV/0!</v>
      </c>
      <c r="BK128" s="95" t="e">
        <f t="shared" ca="1" si="177"/>
        <v>#DIV/0!</v>
      </c>
      <c r="BL128" s="101" t="e">
        <f t="shared" si="225"/>
        <v>#N/A</v>
      </c>
      <c r="BM128" s="91" t="e">
        <f t="shared" si="146"/>
        <v>#N/A</v>
      </c>
      <c r="BN128" s="30" t="e">
        <f t="shared" si="204"/>
        <v>#N/A</v>
      </c>
      <c r="BO128" s="30" t="e">
        <f t="shared" si="205"/>
        <v>#N/A</v>
      </c>
      <c r="BP128" s="31" t="e">
        <f>IF(OR(Hypothèses!$B$4=17,Hypothèses!$B$4=18,Hypothèses!$B$4=19,Hypothèses!$B$4=20),
IF($D128="Pressio.",
IF(OR($E128=3,$E128=1,$E128=4),BO128,BN128),
IF($D128="Pénétro.",
IF(OR($E128=3,$E128=1,$E128=4),BO128,BN128))),IF($D128="Pressio.",
IF($E128=3,BO128,BN128),
IF($D128="Pénétro.",
IF($E128=4,BO128,BN128))))</f>
        <v>#N/A</v>
      </c>
      <c r="BQ128" s="31" t="e">
        <f>(IF(OR(Hypothèses!$B$4=17,Hypothèses!$B$4=18,Hypothèses!$B$4=19,Hypothèses!$B$4=20),
IF($D128="Pressio.",
IF(OR($E128=3,$E128=1,$E128=4),(PI()*BQ$12^2)/4*(BM128*$W128*1000)/($H128*$B$5),(PI()*BQ$12^2)/4*(BM128*$W128*1000)/($G128*$B$5)),
IF($D128="Pénétro.",
IF(OR($E128=4,$E128=1,$E128=5),(PI()*BQ$12^2)/4*(BM128*$W128*1000)/($H128*$B$5),(PI()*BQ$12^2)/4*(BM128*$W128*1000)/($G128*$B$5)))),
IF($D128="Pressio.",
IF($E128=3,(PI()*BQ$12^2)/4*(BM128*$W128*1000)/($H128*$B$5),(PI()*BQ$12^2)/4*(BM128*$W128*1000)/($G128*$B$5)),
IF($D128="Pénétro.",
IF($E128=4,(PI()*BQ$12^2)/4*(BM128*$W128*1000)/($H128*$B$5),(PI()*BQ$12^2)/4*(BM128*$W128*1000)/($G128*$B$5))))))/10</f>
        <v>#N/A</v>
      </c>
      <c r="BR128" s="102" t="e">
        <f>(VLOOKUP($B$3,'Coeff EC7'!$T$39:$X$59,2,0)*BP128+VLOOKUP($B$3,'Coeff EC7'!$T$65:$X$85,2,0)*Model0.1C!BQ128)/1.1</f>
        <v>#N/A</v>
      </c>
      <c r="BS128" s="102" t="e">
        <f>(VLOOKUP($B$3,'Coeff EC7'!$T$39:$X$59,3,0)*BP128+VLOOKUP($B$3,'Coeff EC7'!$T$65:$X$85,3,0)*Model0.1C!BQ128)/0.9</f>
        <v>#N/A</v>
      </c>
      <c r="BT128" s="102" t="e">
        <f t="shared" si="178"/>
        <v>#N/A</v>
      </c>
      <c r="BU128" s="102" t="e">
        <f t="shared" si="179"/>
        <v>#N/A</v>
      </c>
      <c r="BV128" s="414" t="e">
        <f>IF(BV127=0,0,IF(AND(BR128&gt;charge_ELS_quasi,BS128&gt;Charge_ELS_freq,BT128&gt;charge_ELU,BU128&gt;charge_ELA,$B128&gt;NDC!$H$22-0.1+MIN(3*$BV$12,1.5)),0,1))</f>
        <v>#N/A</v>
      </c>
      <c r="BW128" s="86" t="b">
        <f t="shared" si="147"/>
        <v>0</v>
      </c>
      <c r="BX128" s="86">
        <f t="shared" si="148"/>
        <v>0.5</v>
      </c>
      <c r="BY128" s="86">
        <f t="shared" si="149"/>
        <v>0.5</v>
      </c>
      <c r="BZ128" s="30" t="e">
        <f t="shared" ca="1" si="180"/>
        <v>#DIV/0!</v>
      </c>
      <c r="CA128" s="85" t="e">
        <f ca="1">IF(BG128&lt;=Hypothèses!$V$7,Hypothèses!$W$7,IF(BG128&lt;=Hypothèses!$V$8,Hypothèses!$W$8,IF(BG128&lt;=Hypothèses!$V$9,Hypothèses!$W$9,IF(BG128&lt;=Hypothèses!$V$10,Hypothèses!$W$10,IF(BG128&lt;=Hypothèses!$V$11,Hypothèses!$W$11,IF(BG128&lt;=Hypothèses!$V$12,Hypothèses!$W$12,IF(BG128&lt;=Hypothèses!$V$13,Hypothèses!$W$13,IF(BG128&lt;=Hypothèses!$V$14,Hypothèses!$W$14,IF(BG128&lt;=Hypothèses!$V$15,Hypothèses!$W$15,IF(BG128&lt;=Hypothèses!$V$16,Hypothèses!$W$16,IF(BG128&lt;=Hypothèses!$V$17,Hypothèses!$W$17,IF(BG128&lt;=Hypothèses!$V$18,Hypothèses!$W$18,""))))))))))))</f>
        <v>#DIV/0!</v>
      </c>
      <c r="CB128" s="87" t="e">
        <f t="shared" ca="1" si="219"/>
        <v>#DIV/0!</v>
      </c>
      <c r="CC128" s="88" t="e">
        <f ca="1">IF(BG128&lt;=Hypothèses!$V$7,Hypothèses!$X$7,IF(BG128&lt;=Hypothèses!$V$8,Hypothèses!$X$8,IF(BG128&lt;=Hypothèses!$V$9,Hypothèses!$X$9,IF(BG128&lt;=Hypothèses!$V$10,Hypothèses!$X$10,IF(BG128&lt;=Hypothèses!$V$11,Hypothèses!$X$11,IF(BG128&lt;=Hypothèses!$V$12,Hypothèses!$X$12,IF(BG128&lt;=Hypothèses!$V$13,Hypothèses!$X$13,IF(BG128&lt;=Hypothèses!$V$14,Hypothèses!$X$14,IF(BG128&lt;=Hypothèses!$V$15,Hypothèses!$X$15,IF(BG128&lt;=Hypothèses!$V$16,Hypothèses!$X$16,IF(BG128&lt;=Hypothèses!$U$17,Hypothèses!$W$17,IF(BG128&lt;=Hypothèses!$U$18,Hypothèses!$W$18,""))))))))))))</f>
        <v>#DIV/0!</v>
      </c>
      <c r="CD128" s="95" t="e">
        <f t="shared" ca="1" si="181"/>
        <v>#DIV/0!</v>
      </c>
      <c r="CE128" s="101" t="e">
        <f t="shared" si="226"/>
        <v>#N/A</v>
      </c>
      <c r="CF128" s="91" t="e">
        <f t="shared" si="150"/>
        <v>#N/A</v>
      </c>
      <c r="CG128" s="30" t="e">
        <f t="shared" si="206"/>
        <v>#N/A</v>
      </c>
      <c r="CH128" s="30" t="e">
        <f t="shared" si="207"/>
        <v>#N/A</v>
      </c>
      <c r="CI128" s="31" t="e">
        <f>IF(OR(Hypothèses!$B$4=17,Hypothèses!$B$4=18,Hypothèses!$B$4=19,Hypothèses!$B$4=20),
IF($D128="Pressio.",
IF(OR($E128=3,$E128=1,$E128=4),CH128,CG128),
IF($D128="Pénétro.",
IF(OR($E128=3,$E128=1,$E128=4),CH128,CG128))),IF($D128="Pressio.",
IF($E128=3,CH128,CG128),
IF($D128="Pénétro.",
IF($E128=4,CH128,CG128))))</f>
        <v>#N/A</v>
      </c>
      <c r="CJ128" s="31" t="e">
        <f>(IF(OR(Hypothèses!$B$4=17,Hypothèses!$B$4=18,Hypothèses!$B$4=19,Hypothèses!$B$4=20),
IF($D128="Pressio.",
IF(OR($E128=3,$E128=1,$E128=4),(PI()*CJ$12^2)/4*(CF128*$W128*1000)/($H128*$B$5),(PI()*CJ$12^2)/4*(CF128*$W128*1000)/($G128*$B$5)),
IF($D128="Pénétro.",
IF(OR($E128=4,$E128=1,$E128=5),(PI()*CJ$12^2)/4*(CF128*$W128*1000)/($H128*$B$5),(PI()*CJ$12^2)/4*(CF128*$W128*1000)/($G128*$B$5)))),
IF($D128="Pressio.",
IF($E128=3,(PI()*CJ$12^2)/4*(CF128*$W128*1000)/($H128*$B$5),(PI()*CJ$12^2)/4*(CF128*$W128*1000)/($G128*$B$5)),
IF($D128="Pénétro.",
IF($E128=4,(PI()*CJ$12^2)/4*(CF128*$W128*1000)/($H128*$B$5),(PI()*CJ$12^2)/4*(CF128*$W128*1000)/($G128*$B$5))))))/10</f>
        <v>#N/A</v>
      </c>
      <c r="CK128" s="102" t="e">
        <f>(VLOOKUP($B$3,'Coeff EC7'!$T$39:$X$59,2,0)*CI128+VLOOKUP($B$3,'Coeff EC7'!$T$65:$X$85,2,0)*Model0.1C!CJ128)/1.1</f>
        <v>#N/A</v>
      </c>
      <c r="CL128" s="102" t="e">
        <f>(VLOOKUP($B$3,'Coeff EC7'!$T$39:$X$59,3,0)*CI128+VLOOKUP($B$3,'Coeff EC7'!$T$65:$X$85,3,0)*Model0.1C!CJ128)/0.9</f>
        <v>#N/A</v>
      </c>
      <c r="CM128" s="102" t="e">
        <f t="shared" si="182"/>
        <v>#N/A</v>
      </c>
      <c r="CN128" s="102" t="e">
        <f t="shared" si="183"/>
        <v>#N/A</v>
      </c>
      <c r="CO128" s="414" t="e">
        <f>IF(CO127=0,0,IF(AND(CK128&gt;charge_ELS_quasi,CL128&gt;Charge_ELS_freq,CM128&gt;charge_ELU,CN128&gt;charge_ELA,$B128&gt;NDC!$H$22-0.1+MIN(3*$CO$12,1.5)),0,1))</f>
        <v>#N/A</v>
      </c>
      <c r="CP128" s="86" t="b">
        <f t="shared" si="151"/>
        <v>0</v>
      </c>
      <c r="CQ128" s="86">
        <f t="shared" si="152"/>
        <v>0.5</v>
      </c>
      <c r="CR128" s="86">
        <f t="shared" si="153"/>
        <v>0.5</v>
      </c>
      <c r="CS128" s="30" t="e">
        <f t="shared" ca="1" si="184"/>
        <v>#DIV/0!</v>
      </c>
      <c r="CT128" s="85" t="e">
        <f ca="1">IF(BZ128&lt;=Hypothèses!$V$7,Hypothèses!$W$7,IF(BZ128&lt;=Hypothèses!$V$8,Hypothèses!$W$8,IF(BZ128&lt;=Hypothèses!$V$9,Hypothèses!$W$9,IF(BZ128&lt;=Hypothèses!$V$10,Hypothèses!$W$10,IF(BZ128&lt;=Hypothèses!$V$11,Hypothèses!$W$11,IF(BZ128&lt;=Hypothèses!$V$12,Hypothèses!$W$12,IF(BZ128&lt;=Hypothèses!$V$13,Hypothèses!$W$13,IF(BZ128&lt;=Hypothèses!$V$14,Hypothèses!$W$14,IF(BZ128&lt;=Hypothèses!$V$15,Hypothèses!$W$15,IF(BZ128&lt;=Hypothèses!$V$16,Hypothèses!$W$16,IF(BZ128&lt;=Hypothèses!$V$17,Hypothèses!$W$17,IF(BZ128&lt;=Hypothèses!$V$18,Hypothèses!$W$18,""))))))))))))</f>
        <v>#DIV/0!</v>
      </c>
      <c r="CU128" s="87" t="e">
        <f t="shared" ca="1" si="220"/>
        <v>#DIV/0!</v>
      </c>
      <c r="CV128" s="88" t="e">
        <f ca="1">IF(BZ128&lt;=Hypothèses!$V$7,Hypothèses!$X$7,IF(BZ128&lt;=Hypothèses!$V$8,Hypothèses!$X$8,IF(BZ128&lt;=Hypothèses!$V$9,Hypothèses!$X$9,IF(BZ128&lt;=Hypothèses!$V$10,Hypothèses!$X$10,IF(BZ128&lt;=Hypothèses!$V$11,Hypothèses!$X$11,IF(BZ128&lt;=Hypothèses!$V$12,Hypothèses!$X$12,IF(BZ128&lt;=Hypothèses!$V$13,Hypothèses!$X$13,IF(BZ128&lt;=Hypothèses!$V$14,Hypothèses!$X$14,IF(BZ128&lt;=Hypothèses!$V$15,Hypothèses!$X$15,IF(BZ128&lt;=Hypothèses!$V$16,Hypothèses!$X$16,IF(BZ128&lt;=Hypothèses!$U$17,Hypothèses!$W$17,IF(BZ128&lt;=Hypothèses!$U$18,Hypothèses!$W$18,""))))))))))))</f>
        <v>#DIV/0!</v>
      </c>
      <c r="CW128" s="95" t="e">
        <f t="shared" ca="1" si="185"/>
        <v>#DIV/0!</v>
      </c>
      <c r="CX128" s="101" t="e">
        <f t="shared" si="227"/>
        <v>#N/A</v>
      </c>
      <c r="CY128" s="91" t="e">
        <f t="shared" si="154"/>
        <v>#N/A</v>
      </c>
      <c r="CZ128" s="30" t="e">
        <f t="shared" si="208"/>
        <v>#N/A</v>
      </c>
      <c r="DA128" s="30" t="e">
        <f t="shared" si="209"/>
        <v>#N/A</v>
      </c>
      <c r="DB128" s="31" t="e">
        <f>IF(OR(Hypothèses!$B$4=17,Hypothèses!$B$4=18,Hypothèses!$B$4=19,Hypothèses!$B$4=20),
IF($D128="Pressio.",
IF(OR($E128=3,$E128=1,$E128=4),DA128,CZ128),
IF($D128="Pénétro.",
IF(OR($E128=3,$E128=1,$E128=4),DA128,CZ128))),IF($D128="Pressio.",
IF($E128=3,DA128,CZ128),
IF($D128="Pénétro.",
IF($E128=4,DA128,CZ128))))</f>
        <v>#N/A</v>
      </c>
      <c r="DC128" s="31" t="e">
        <f>(IF(OR(Hypothèses!$B$4=17,Hypothèses!$B$4=18,Hypothèses!$B$4=19,Hypothèses!$B$4=20),
IF($D128="Pressio.",
IF(OR($E128=3,$E128=1,$E128=4),(PI()*DC$12^2)/4*(CY128*$W128*1000)/($H128*$B$5),(PI()*DC$12^2)/4*(CY128*$W128*1000)/($G128*$B$5)),
IF($D128="Pénétro.",
IF(OR($E128=4,$E128=1,$E128=5),(PI()*DC$12^2)/4*(CY128*$W128*1000)/($H128*$B$5),(PI()*DC$12^2)/4*(CY128*$W128*1000)/($G128*$B$5)))),
IF($D128="Pressio.",
IF($E128=3,(PI()*DC$12^2)/4*(CY128*$W128*1000)/($H128*$B$5),(PI()*DC$12^2)/4*(CY128*$W128*1000)/($G128*$B$5)),
IF($D128="Pénétro.",
IF($E128=4,(PI()*DC$12^2)/4*(CY128*$W128*1000)/($H128*$B$5),(PI()*DC$12^2)/4*(CY128*$W128*1000)/($G128*$B$5))))))/10</f>
        <v>#N/A</v>
      </c>
      <c r="DD128" s="102" t="e">
        <f>(VLOOKUP($B$3,'Coeff EC7'!$T$39:$X$59,2,0)*DB128+VLOOKUP($B$3,'Coeff EC7'!$T$65:$X$85,2,0)*Model0.1C!DC128)/1.1</f>
        <v>#N/A</v>
      </c>
      <c r="DE128" s="102" t="e">
        <f>(VLOOKUP($B$3,'Coeff EC7'!$T$39:$X$59,3,0)*DB128+VLOOKUP($B$3,'Coeff EC7'!$T$65:$X$85,3,0)*Model0.1C!DC128)/0.9</f>
        <v>#N/A</v>
      </c>
      <c r="DF128" s="102" t="e">
        <f t="shared" si="186"/>
        <v>#N/A</v>
      </c>
      <c r="DG128" s="102" t="e">
        <f t="shared" si="187"/>
        <v>#N/A</v>
      </c>
      <c r="DH128" s="414" t="e">
        <f>IF(DH127=0,0,IF(AND(DD128&gt;charge_ELS_quasi,DE128&gt;Charge_ELS_freq,DF128&gt;charge_ELU,DG128&gt;charge_ELA,$B128&gt;NDC!$H$22-0.1+MIN(3*$DH$12,1.5)),0,1))</f>
        <v>#N/A</v>
      </c>
      <c r="DI128" s="86" t="b">
        <f t="shared" si="155"/>
        <v>0</v>
      </c>
      <c r="DJ128" s="86">
        <f t="shared" si="156"/>
        <v>0.5</v>
      </c>
      <c r="DK128" s="86">
        <f t="shared" si="157"/>
        <v>0.5</v>
      </c>
      <c r="DL128" s="30" t="e">
        <f t="shared" ca="1" si="188"/>
        <v>#DIV/0!</v>
      </c>
      <c r="DM128" s="85" t="e">
        <f ca="1">IF(CS128&lt;=Hypothèses!$V$7,Hypothèses!$W$7,IF(CS128&lt;=Hypothèses!$V$8,Hypothèses!$W$8,IF(CS128&lt;=Hypothèses!$V$9,Hypothèses!$W$9,IF(CS128&lt;=Hypothèses!$V$10,Hypothèses!$W$10,IF(CS128&lt;=Hypothèses!$V$11,Hypothèses!$W$11,IF(CS128&lt;=Hypothèses!$V$12,Hypothèses!$W$12,IF(CS128&lt;=Hypothèses!$V$13,Hypothèses!$W$13,IF(CS128&lt;=Hypothèses!$V$14,Hypothèses!$W$14,IF(CS128&lt;=Hypothèses!$V$15,Hypothèses!$W$15,IF(CS128&lt;=Hypothèses!$V$16,Hypothèses!$W$16,IF(CS128&lt;=Hypothèses!$V$17,Hypothèses!$W$17,IF(CS128&lt;=Hypothèses!$V$18,Hypothèses!$W$18,""))))))))))))</f>
        <v>#DIV/0!</v>
      </c>
      <c r="DN128" s="87" t="e">
        <f t="shared" ca="1" si="221"/>
        <v>#DIV/0!</v>
      </c>
      <c r="DO128" s="88" t="e">
        <f ca="1">IF(CS128&lt;=Hypothèses!$V$7,Hypothèses!$X$7,IF(CS128&lt;=Hypothèses!$V$8,Hypothèses!$X$8,IF(CS128&lt;=Hypothèses!$V$9,Hypothèses!$X$9,IF(CS128&lt;=Hypothèses!$V$10,Hypothèses!$X$10,IF(CS128&lt;=Hypothèses!$V$11,Hypothèses!$X$11,IF(CS128&lt;=Hypothèses!$V$12,Hypothèses!$X$12,IF(CS128&lt;=Hypothèses!$V$13,Hypothèses!$X$13,IF(CS128&lt;=Hypothèses!$V$14,Hypothèses!$X$14,IF(CS128&lt;=Hypothèses!$V$15,Hypothèses!$X$15,IF(CS128&lt;=Hypothèses!$V$16,Hypothèses!$X$16,IF(CS128&lt;=Hypothèses!$U$17,Hypothèses!$W$17,IF(CS128&lt;=Hypothèses!$U$18,Hypothèses!$W$18,""))))))))))))</f>
        <v>#DIV/0!</v>
      </c>
      <c r="DP128" s="95" t="e">
        <f t="shared" ca="1" si="189"/>
        <v>#DIV/0!</v>
      </c>
      <c r="DQ128" s="101" t="e">
        <f t="shared" si="228"/>
        <v>#N/A</v>
      </c>
      <c r="DR128" s="91" t="e">
        <f t="shared" si="158"/>
        <v>#N/A</v>
      </c>
      <c r="DS128" s="30" t="e">
        <f t="shared" si="210"/>
        <v>#N/A</v>
      </c>
      <c r="DT128" s="30" t="e">
        <f t="shared" si="211"/>
        <v>#N/A</v>
      </c>
      <c r="DU128" s="31" t="e">
        <f>IF(OR(Hypothèses!$B$4=17,Hypothèses!$B$4=18,Hypothèses!$B$4=19,Hypothèses!$B$4=20),
IF($D128="Pressio.",
IF(OR($E128=3,$E128=1,$E128=4),DT128,DS128),
IF($D128="Pénétro.",
IF(OR($E128=3,$E128=1,$E128=4),DT128,DS128))),IF($D128="Pressio.",
IF($E128=3,DT128,DS128),
IF($D128="Pénétro.",
IF($E128=4,DT128,DS128))))</f>
        <v>#N/A</v>
      </c>
      <c r="DV128" s="31" t="e">
        <f>(IF(OR(Hypothèses!$B$4=17,Hypothèses!$B$4=18,Hypothèses!$B$4=19,Hypothèses!$B$4=20),
IF($D128="Pressio.",
IF(OR($E128=3,$E128=1,$E128=4),(PI()*DV$12^2)/4*(DR128*$W128*1000)/($H128*$B$5),(PI()*DV$12^2)/4*(DR128*$W128*1000)/($G128*$B$5)),
IF($D128="Pénétro.",
IF(OR($E128=4,$E128=1,$E128=5),(PI()*DV$12^2)/4*(DR128*$W128*1000)/($H128*$B$5),(PI()*DV$12^2)/4*(DR128*$W128*1000)/($G128*$B$5)))),
IF($D128="Pressio.",
IF($E128=3,(PI()*DV$12^2)/4*(DR128*$W128*1000)/($H128*$B$5),(PI()*DV$12^2)/4*(DR128*$W128*1000)/($G128*$B$5)),
IF($D128="Pénétro.",
IF($E128=4,(PI()*DV$12^2)/4*(DR128*$W128*1000)/($H128*$B$5),(PI()*DV$12^2)/4*(DR128*$W128*1000)/($G128*$B$5))))))/10</f>
        <v>#N/A</v>
      </c>
      <c r="DW128" s="102" t="e">
        <f>(VLOOKUP($B$3,'Coeff EC7'!$T$39:$X$59,2,0)*DU128+VLOOKUP($B$3,'Coeff EC7'!$T$65:$X$85,2,0)*Model0.1C!DV128)/1.1</f>
        <v>#N/A</v>
      </c>
      <c r="DX128" s="102" t="e">
        <f>(VLOOKUP($B$3,'Coeff EC7'!$T$39:$X$59,3,0)*DU128+VLOOKUP($B$3,'Coeff EC7'!$T$65:$X$85,3,0)*Model0.1C!DV128)/0.9</f>
        <v>#N/A</v>
      </c>
      <c r="DY128" s="102" t="e">
        <f t="shared" si="190"/>
        <v>#N/A</v>
      </c>
      <c r="DZ128" s="102" t="e">
        <f t="shared" si="191"/>
        <v>#N/A</v>
      </c>
      <c r="EA128" s="414" t="e">
        <f>IF(EA127=0,0,IF(AND(DW128&gt;charge_ELS_quasi,DX128&gt;Charge_ELS_freq,DY128&gt;charge_ELU,DZ128&gt;charge_ELA,$B128&gt;NDC!$H$22-0.1+MIN(3*$EA$12,1.5)),0,1))</f>
        <v>#N/A</v>
      </c>
      <c r="EB128" s="86" t="b">
        <f t="shared" si="159"/>
        <v>0</v>
      </c>
      <c r="EC128" s="418">
        <f t="shared" si="160"/>
        <v>0.51</v>
      </c>
      <c r="ED128" s="86">
        <f t="shared" si="161"/>
        <v>0.51</v>
      </c>
      <c r="EE128" s="30" t="e">
        <f t="shared" ca="1" si="192"/>
        <v>#DIV/0!</v>
      </c>
      <c r="EF128" s="85" t="e">
        <f ca="1">IF(DL128&lt;=Hypothèses!$V$7,Hypothèses!$W$7,IF(DL128&lt;=Hypothèses!$V$8,Hypothèses!$W$8,IF(DL128&lt;=Hypothèses!$V$9,Hypothèses!$W$9,IF(DL128&lt;=Hypothèses!$V$10,Hypothèses!$W$10,IF(DL128&lt;=Hypothèses!$V$11,Hypothèses!$W$11,IF(DL128&lt;=Hypothèses!$V$12,Hypothèses!$W$12,IF(DL128&lt;=Hypothèses!$V$13,Hypothèses!$W$13,IF(DL128&lt;=Hypothèses!$V$14,Hypothèses!$W$14,IF(DL128&lt;=Hypothèses!$V$15,Hypothèses!$W$15,IF(DL128&lt;=Hypothèses!$V$16,Hypothèses!$W$16,IF(DL128&lt;=Hypothèses!$V$17,Hypothèses!$W$17,IF(DL128&lt;=Hypothèses!$V$18,Hypothèses!$W$18,""))))))))))))</f>
        <v>#DIV/0!</v>
      </c>
      <c r="EG128" s="87" t="e">
        <f t="shared" ca="1" si="222"/>
        <v>#DIV/0!</v>
      </c>
      <c r="EH128" s="88" t="e">
        <f ca="1">IF(DL128&lt;=Hypothèses!$V$7,Hypothèses!$X$7,IF(DL128&lt;=Hypothèses!$V$8,Hypothèses!$X$8,IF(DL128&lt;=Hypothèses!$V$9,Hypothèses!$X$9,IF(DL128&lt;=Hypothèses!$V$10,Hypothèses!$X$10,IF(DL128&lt;=Hypothèses!$V$11,Hypothèses!$X$11,IF(DL128&lt;=Hypothèses!$V$12,Hypothèses!$X$12,IF(DL128&lt;=Hypothèses!$V$13,Hypothèses!$X$13,IF(DL128&lt;=Hypothèses!$V$14,Hypothèses!$X$14,IF(DL128&lt;=Hypothèses!$V$15,Hypothèses!$X$15,IF(DL128&lt;=Hypothèses!$V$16,Hypothèses!$X$16,IF(DL128&lt;=Hypothèses!$U$17,Hypothèses!$W$17,IF(DL128&lt;=Hypothèses!$U$18,Hypothèses!$W$18,""))))))))))))</f>
        <v>#DIV/0!</v>
      </c>
      <c r="EI128" s="95" t="e">
        <f t="shared" ca="1" si="193"/>
        <v>#DIV/0!</v>
      </c>
      <c r="EJ128" s="101" t="e">
        <f t="shared" si="229"/>
        <v>#N/A</v>
      </c>
      <c r="EK128" s="91" t="e">
        <f t="shared" si="162"/>
        <v>#N/A</v>
      </c>
      <c r="EL128" s="30" t="e">
        <f t="shared" si="212"/>
        <v>#N/A</v>
      </c>
      <c r="EM128" s="30" t="e">
        <f t="shared" si="213"/>
        <v>#N/A</v>
      </c>
      <c r="EN128" s="31" t="e">
        <f>IF(OR(Hypothèses!$B$4=17,Hypothèses!$B$4=18,Hypothèses!$B$4=19,Hypothèses!$B$4=20),
IF($D128="Pressio.",
IF(OR($E128=3,$E128=1,$E128=4),EM128,EL128),
IF($D128="Pénétro.",
IF(OR($E128=3,$E128=1,$E128=4),EM128,EL128))),IF($D128="Pressio.",
IF($E128=3,EM128,EL128),
IF($D128="Pénétro.",
IF($E128=4,EM128,EL128))))</f>
        <v>#N/A</v>
      </c>
      <c r="EO128" s="31" t="e">
        <f>(IF(OR(Hypothèses!$B$4=17,Hypothèses!$B$4=18,Hypothèses!$B$4=19,Hypothèses!$B$4=20),
IF($D128="Pressio.",
IF(OR($E128=3,$E128=1,$E128=4),(PI()*EO$12^2)/4*(EK128*$W128*1000)/($H128*$B$5),(PI()*EO$12^2)/4*(EK128*$W128*1000)/($G128*$B$5)),
IF($D128="Pénétro.",
IF(OR($E128=4,$E128=1,$E128=5),(PI()*EO$12^2)/4*(EK128*$W128*1000)/($H128*$B$5),(PI()*EO$12^2)/4*(EK128*$W128*1000)/($G128*$B$5)))),
IF($D128="Pressio.",
IF($E128=3,(PI()*EO$12^2)/4*(EK128*$W128*1000)/($H128*$B$5),(PI()*EO$12^2)/4*(EK128*$W128*1000)/($G128*$B$5)),
IF($D128="Pénétro.",
IF($E128=4,(PI()*EO$12^2)/4*(EK128*$W128*1000)/($H128*$B$5),(PI()*EO$12^2)/4*(EK128*$W128*1000)/($G128*$B$5))))))/10</f>
        <v>#N/A</v>
      </c>
      <c r="EP128" s="102" t="e">
        <f>(VLOOKUP($B$3,'Coeff EC7'!$T$39:$X$59,2,0)*EN128+VLOOKUP($B$3,'Coeff EC7'!$T$65:$X$85,2,0)*Model0.1C!EO128)/1.1</f>
        <v>#N/A</v>
      </c>
      <c r="EQ128" s="102" t="e">
        <f>(VLOOKUP($B$3,'Coeff EC7'!$T$39:$X$59,3,0)*EN128+VLOOKUP($B$3,'Coeff EC7'!$T$65:$X$85,3,0)*Model0.1C!EO128)/0.9</f>
        <v>#N/A</v>
      </c>
      <c r="ER128" s="102" t="e">
        <f t="shared" si="194"/>
        <v>#N/A</v>
      </c>
      <c r="ES128" s="102" t="e">
        <f t="shared" si="195"/>
        <v>#N/A</v>
      </c>
      <c r="ET128" s="414" t="e">
        <f>IF(ET127=0,0,IF(AND(EP128&gt;charge_ELS_quasi,EQ128&gt;Charge_ELS_freq,ER128&gt;charge_ELU,ES128&gt;charge_ELA,$B128&gt;NDC!$H$22-0.1+MIN(3*$ET$12,1.5)),0,1))</f>
        <v>#N/A</v>
      </c>
      <c r="EU128" s="86" t="b">
        <f t="shared" si="163"/>
        <v>0</v>
      </c>
      <c r="EV128" s="86">
        <f t="shared" si="164"/>
        <v>0.61</v>
      </c>
      <c r="EW128" s="86">
        <f t="shared" si="165"/>
        <v>0.61</v>
      </c>
      <c r="EX128" s="30" t="e">
        <f t="shared" ca="1" si="196"/>
        <v>#DIV/0!</v>
      </c>
      <c r="EY128" s="85" t="e">
        <f ca="1">IF(EE128&lt;=Hypothèses!$V$7,Hypothèses!$W$7,IF(EE128&lt;=Hypothèses!$V$8,Hypothèses!$W$8,IF(EE128&lt;=Hypothèses!$V$9,Hypothèses!$W$9,IF(EE128&lt;=Hypothèses!$V$10,Hypothèses!$W$10,IF(EE128&lt;=Hypothèses!$V$11,Hypothèses!$W$11,IF(EE128&lt;=Hypothèses!$V$12,Hypothèses!$W$12,IF(EE128&lt;=Hypothèses!$V$13,Hypothèses!$W$13,IF(EE128&lt;=Hypothèses!$V$14,Hypothèses!$W$14,IF(EE128&lt;=Hypothèses!$V$15,Hypothèses!$W$15,IF(EE128&lt;=Hypothèses!$V$16,Hypothèses!$W$16,IF(EE128&lt;=Hypothèses!$V$17,Hypothèses!$W$17,IF(EE128&lt;=Hypothèses!$V$18,Hypothèses!$W$18,""))))))))))))</f>
        <v>#DIV/0!</v>
      </c>
      <c r="EZ128" s="87" t="e">
        <f t="shared" ca="1" si="223"/>
        <v>#DIV/0!</v>
      </c>
      <c r="FA128" s="88" t="e">
        <f ca="1">IF(EE128&lt;=Hypothèses!$V$7,Hypothèses!$X$7,IF(EE128&lt;=Hypothèses!$V$8,Hypothèses!$X$8,IF(EE128&lt;=Hypothèses!$V$9,Hypothèses!$X$9,IF(EE128&lt;=Hypothèses!$V$10,Hypothèses!$X$10,IF(EE128&lt;=Hypothèses!$V$11,Hypothèses!$X$11,IF(EE128&lt;=Hypothèses!$V$12,Hypothèses!$X$12,IF(EE128&lt;=Hypothèses!$V$13,Hypothèses!$X$13,IF(EE128&lt;=Hypothèses!$V$14,Hypothèses!$X$14,IF(EE128&lt;=Hypothèses!$V$15,Hypothèses!$X$15,IF(EE128&lt;=Hypothèses!$V$16,Hypothèses!$X$16,IF(EE128&lt;=Hypothèses!$U$17,Hypothèses!$W$17,IF(EE128&lt;=Hypothèses!$U$18,Hypothèses!$W$18,""))))))))))))</f>
        <v>#DIV/0!</v>
      </c>
      <c r="FB128" s="95" t="e">
        <f t="shared" ca="1" si="197"/>
        <v>#DIV/0!</v>
      </c>
      <c r="FC128" s="101" t="e">
        <f t="shared" si="230"/>
        <v>#N/A</v>
      </c>
      <c r="FD128" s="91" t="e">
        <f t="shared" si="166"/>
        <v>#N/A</v>
      </c>
      <c r="FE128" s="30" t="e">
        <f t="shared" si="214"/>
        <v>#N/A</v>
      </c>
      <c r="FF128" s="30" t="e">
        <f t="shared" si="215"/>
        <v>#N/A</v>
      </c>
      <c r="FG128" s="31" t="e">
        <f>IF(OR(Hypothèses!$B$4=17,Hypothèses!$B$4=18,Hypothèses!$B$4=19,Hypothèses!$B$4=20),
IF($D128="Pressio.",
IF(OR($E128=3,$E128=1,$E128=4),FF128,FE128),
IF($D128="Pénétro.",
IF(OR($E128=3,$E128=1,$E128=4),FF128,FE128))),IF($D128="Pressio.",
IF($E128=3,FF128,FE128),
IF($D128="Pénétro.",
IF($E128=4,FF128,FE128))))</f>
        <v>#N/A</v>
      </c>
      <c r="FH128" s="31" t="e">
        <f>(IF(OR(Hypothèses!$B$4=17,Hypothèses!$B$4=18,Hypothèses!$B$4=19,Hypothèses!$B$4=20),
IF($D128="Pressio.",
IF(OR($E128=3,$E128=1,$E128=4),(PI()*FH$12^2)/4*(FD128*$W128*1000)/($H128*$B$5),(PI()*FH$12^2)/4*(FD128*$W128*1000)/($G128*$B$5)),
IF($D128="Pénétro.",
IF(OR($E128=4,$E128=1,$E128=5),(PI()*FH$12^2)/4*(FD128*$W128*1000)/($H128*$B$5),(PI()*FH$12^2)/4*(FD128*$W128*1000)/($G128*$B$5)))),
IF($D128="Pressio.",
IF($E128=3,(PI()*FH$12^2)/4*(FD128*$W128*1000)/($H128*$B$5),(PI()*FH$12^2)/4*(FD128*$W128*1000)/($G128*$B$5)),
IF($D128="Pénétro.",
IF($E128=4,(PI()*FH$12^2)/4*(FD128*$W128*1000)/($H128*$B$5),(PI()*FH$12^2)/4*(FD128*$W128*1000)/($G128*$B$5))))))/10</f>
        <v>#N/A</v>
      </c>
      <c r="FI128" s="102" t="e">
        <f>(VLOOKUP($B$3,'Coeff EC7'!$T$39:$X$59,2,0)*FG128+VLOOKUP($B$3,'Coeff EC7'!$T$65:$X$85,2,0)*Model0.1C!FH128)/1.1</f>
        <v>#N/A</v>
      </c>
      <c r="FJ128" s="102" t="e">
        <f>(VLOOKUP($B$3,'Coeff EC7'!$T$39:$X$59,3,0)*FG128+VLOOKUP($B$3,'Coeff EC7'!$T$65:$X$85,3,0)*Model0.1C!FH128)/0.9</f>
        <v>#N/A</v>
      </c>
      <c r="FK128" s="102" t="e">
        <f t="shared" si="198"/>
        <v>#N/A</v>
      </c>
      <c r="FL128" s="102" t="e">
        <f t="shared" si="199"/>
        <v>#N/A</v>
      </c>
      <c r="FM128" s="414" t="e">
        <f>IF(FM127=0,0,IF(AND(FI128&gt;charge_ELS_quasi,FJ128&gt;Charge_ELS_freq,FK128&gt;charge_ELU,FL128&gt;charge_ELA,$B128&gt;NDC!$H$22-0.1+MIN(3*$FM$12,1.5)),0,1))</f>
        <v>#N/A</v>
      </c>
    </row>
    <row r="129" spans="1:169">
      <c r="A129" s="96">
        <f t="shared" si="167"/>
        <v>88.400000000000659</v>
      </c>
      <c r="B129" s="97">
        <v>11.6</v>
      </c>
      <c r="C129" s="81">
        <f>IF(B129&lt;=Hypothèses!$C$7,Hypothèses!$A$7,IF(B129&lt;=Hypothèses!$C$8,Hypothèses!$A$8,IF(B129&lt;=Hypothèses!$C$9,Hypothèses!$A$9,IF(B129&lt;=Hypothèses!$C$10,Hypothèses!$A$10,IF(B129&lt;=Hypothèses!$C$11,Hypothèses!$A$11,IF(B129&lt;=Hypothèses!$C$12,Hypothèses!$A$12,IF(B129&lt;=Hypothèses!$C$13,Hypothèses!$A$13,IF(B129&lt;=Hypothèses!$C$14,Hypothèses!$A$14,IF(B129&lt;=Hypothèses!$C$15,Hypothèses!$A$15,IF(B129&lt;=Hypothèses!$C$16,Hypothèses!$A$16,IF(B129&lt;=Hypothèses!$C$17,Hypothèses!$A$17,IF(B129&lt;=Hypothèses!$C$18,Hypothèses!$A$18,C128))))))))))))</f>
        <v>11</v>
      </c>
      <c r="D129" s="82" t="str">
        <f>IF(B129&lt;=Hypothèses!$C$7,Hypothèses!$R$7,IF(B129&lt;=Hypothèses!$C$8,Hypothèses!$R$8,IF(B129&lt;=Hypothèses!$C$9,Hypothèses!$R$9,IF(B129&lt;=Hypothèses!$C$10,Hypothèses!$R$10,IF(B129&lt;=Hypothèses!$C$11,Hypothèses!$R$11,IF(B129&lt;=Hypothèses!$C$12,Hypothèses!$R$12,IF(B129&lt;=Hypothèses!$C$13,Hypothèses!$R$13,IF(B129&lt;=Hypothèses!$C$14,Hypothèses!$R$14,IF(B129&lt;=Hypothèses!$C$15,Hypothèses!$R$15,IF(B129&lt;=Hypothèses!$C$16,Hypothèses!$R$16,IF(B129&lt;=Hypothèses!$C$17,Hypothèses!$R$17,IF(B129&lt;=Hypothèses!$C$18,Hypothèses!$R$18,D128))))))))))))</f>
        <v>Pressio.</v>
      </c>
      <c r="E129" s="82" t="e">
        <f>IF(B129&lt;=Hypothèses!$C$7,Hypothèses!$G$7,IF(B129&lt;=Hypothèses!$C$8,Hypothèses!$G$8,IF(B129&lt;=Hypothèses!$C$9,Hypothèses!$G$9,IF(B129&lt;=Hypothèses!$C$10,Hypothèses!$G$10,IF(B129&lt;=Hypothèses!$C$11,Hypothèses!$G$11,IF(B129&lt;=Hypothèses!$C$12,Hypothèses!$G$12,IF(B129&lt;=Hypothèses!$C$13,Hypothèses!$G$13,IF(B129&lt;=Hypothèses!$C$14,Hypothèses!$G$14,IF(B129&lt;=Hypothèses!$C$15,Hypothèses!$G$15,IF(B129&lt;=Hypothèses!$C$16,Hypothèses!$G$16,IF(B129&lt;=Hypothèses!$C$17,Hypothèses!$G$17,IF(B129&lt;=Hypothèses!$C$18,Hypothèses!$G$18,E128))))))))))))</f>
        <v>#N/A</v>
      </c>
      <c r="F129" s="82" t="str">
        <f>IF(B129&lt;=Hypothèses!$C$7,Hypothèses!$F$7,IF(B129&lt;=Hypothèses!$C$8,Hypothèses!$F$8,IF(B129&lt;=Hypothèses!$C$9,Hypothèses!$F$9,IF(B129&lt;=Hypothèses!$C$10,Hypothèses!$F$10,IF(B129&lt;=Hypothèses!$C$11,Hypothèses!$F$11,IF(B129&lt;=Hypothèses!$C$12,Hypothèses!$F$12,IF(B129&lt;=Hypothèses!$C$13,Hypothèses!$F$13,IF(B129&lt;=Hypothèses!$C$14,Hypothèses!$F$14,IF(B129&lt;=Hypothèses!$C$15,Hypothèses!$F$15,IF(B129&lt;=Hypothèses!$C$16,Hypothèses!$F$16,IF(B129&lt;=Hypothèses!$C$17,Hypothèses!$F$17,IF(B129&lt;=Hypothèses!$C$18,Hypothèses!$F$18,F128))))))))))))</f>
        <v/>
      </c>
      <c r="G129" s="91">
        <f t="array" ref="G129">INDEX('Coeff EC7'!$U$7:$X$27,
MATCH(Model0.1C!$B$3,'Coeff EC7'!$T$7:$T$27,0),
MATCH(Model0.1C!$D129&amp;Model0.1C!$B$4,
'Coeff EC7'!$U$6:$X$6&amp;
'Coeff EC7'!$U$5:$X$5,0))</f>
        <v>1.1499999999999999</v>
      </c>
      <c r="H129" s="91">
        <f t="array" ref="H129">INDEX('Coeff EC7'!$Y$7:$AB$27,
MATCH(Model0.1C!$B$3,'Coeff EC7'!$T$7:$T$27,0),
MATCH(Model0.1C!$D129&amp;Model0.1C!$B$4,
'Coeff EC7'!$Y$6:$AB$6&amp;
'Coeff EC7'!$Y$5:$AB$5,0))</f>
        <v>1.4</v>
      </c>
      <c r="I129" s="83" t="e">
        <f>IF(B129&lt;=Hypothèses!$C$7,Hypothèses!$P$7,IF(B129&lt;=Hypothèses!$C$8,Hypothèses!$P$8,IF(B129&lt;=Hypothèses!$C$9,Hypothèses!$P$9,IF(B129&lt;=Hypothèses!$C$10,Hypothèses!$P$10,IF(B129&lt;=Hypothèses!$C$11,Hypothèses!$P$11,IF(B129&lt;=Hypothèses!$C$12,Hypothèses!$P$12,IF(B129&lt;=Hypothèses!$C$13,Hypothèses!$P$13,IF(B129&lt;=Hypothèses!$C$14,Hypothèses!$P$14,IF(B129&lt;=Hypothèses!$C$15,Hypothèses!$P$15,IF(B129&lt;=Hypothèses!$C$16,Hypothèses!$P$16,IF(B129&lt;=Hypothèses!$C$17,Hypothèses!$P$17,IF(B129&lt;=Hypothèses!$C$18,Hypothèses!$P$18,I128))))))))))))</f>
        <v>#N/A</v>
      </c>
      <c r="J129" s="91" t="e">
        <f t="array" ref="J129">INDEX('Coeff EC7'!$D$33:$Q$33,1,MATCH(D129&amp;E129,'Coeff EC7'!$D$31:$Q$31&amp;'Coeff EC7'!$D$32:$Q$32,0))</f>
        <v>#N/A</v>
      </c>
      <c r="K129" s="91" t="e">
        <f t="array" ref="K129">INDEX('Coeff EC7'!$D$34:$Q$34,1,MATCH(D129&amp;E129,'Coeff EC7'!$D$31:$Q$31&amp;'Coeff EC7'!$D$32:$Q$32,0))</f>
        <v>#N/A</v>
      </c>
      <c r="L129" s="91" t="e">
        <f t="array" ref="L129">INDEX('Coeff EC7'!$D$35:$Q$35,1,MATCH(D129&amp;E129,'Coeff EC7'!$D$31:$Q$31&amp;'Coeff EC7'!$D$32:$Q$32,0))</f>
        <v>#N/A</v>
      </c>
      <c r="M129" s="98" t="e">
        <f t="shared" si="131"/>
        <v>#N/A</v>
      </c>
      <c r="N129" s="99" t="e">
        <f t="array" ref="N129">INDEX('Coeff EC7'!$D$7:$Q$27,MATCH($B$3,'Coeff EC7'!$C$7:$C$27,0),MATCH(D129&amp;E129,'Coeff EC7'!$D$5:$Q$5&amp;'Coeff EC7'!$D$6:$Q$6,0))</f>
        <v>#N/A</v>
      </c>
      <c r="O129" s="99" t="e">
        <f t="array" ref="O129">INDEX('Coeff EC7'!$D$41:$Q$61,MATCH($B$3,'Coeff EC7'!$C$41:$C$61,0),MATCH(D129&amp;E129,'Coeff EC7'!$D$39:$Q$39&amp;'Coeff EC7'!$D$40:$Q$40,0))</f>
        <v>#N/A</v>
      </c>
      <c r="P129" s="30" t="e">
        <f t="shared" si="168"/>
        <v>#N/A</v>
      </c>
      <c r="Q129" s="100" t="e">
        <f t="shared" si="133"/>
        <v>#N/A</v>
      </c>
      <c r="R129" s="86" t="b">
        <f t="shared" si="134"/>
        <v>0</v>
      </c>
      <c r="S129" s="86">
        <f t="shared" si="132"/>
        <v>0.5</v>
      </c>
      <c r="T129" s="86">
        <f t="shared" si="135"/>
        <v>0.5</v>
      </c>
      <c r="U129" s="30" t="e">
        <f t="shared" ca="1" si="169"/>
        <v>#DIV/0!</v>
      </c>
      <c r="V129" s="85" t="str">
        <f>IF(B129&lt;=Hypothèses!$V$7,Hypothèses!$W$7,IF(B129&lt;=Hypothèses!$V$8,Hypothèses!$W$8,IF(B129&lt;=Hypothèses!$V$9,Hypothèses!$W$9,IF(B129&lt;=Hypothèses!$V$10,Hypothèses!$W$10,IF(B129&lt;=Hypothèses!$V$11,Hypothèses!$W$11,IF(B129&lt;=Hypothèses!$V$12,Hypothèses!$W$12,IF(B129&lt;=Hypothèses!$V$13,Hypothèses!$W$13,IF(B129&lt;=Hypothèses!$V$14,Hypothèses!$W$14,IF(B129&lt;=Hypothèses!$V$15,Hypothèses!$W$15,IF(B129&lt;=Hypothèses!$V$16,Hypothèses!$W$16,IF(B129&lt;=Hypothèses!$V$17,Hypothèses!$W$17,IF(B129&lt;=Hypothèses!$V$18,Hypothèses!$W$18,""))))))))))))</f>
        <v/>
      </c>
      <c r="W129" s="87" t="e">
        <f t="shared" ca="1" si="216"/>
        <v>#DIV/0!</v>
      </c>
      <c r="X129" s="88" t="str">
        <f>IF(B129&lt;=Hypothèses!$V$7,Hypothèses!$X$7,IF(B129&lt;=Hypothèses!$V$8,Hypothèses!$X$8,IF(B129&lt;=Hypothèses!$V$9,Hypothèses!$X$9,IF(B129&lt;=Hypothèses!$V$10,Hypothèses!$X$10,IF(B129&lt;=Hypothèses!$V$11,Hypothèses!$X$11,IF(B129&lt;=Hypothèses!$V$12,Hypothèses!$X$12,IF(B129&lt;=Hypothèses!$V$13,Hypothèses!$X$13,IF(B129&lt;=Hypothèses!$V$14,Hypothèses!$X$14,IF(B129&lt;=Hypothèses!$V$15,Hypothèses!$X$15,IF(B129&lt;=Hypothèses!$V$16,Hypothèses!$X$16,IF(B129&lt;=Hypothèses!$U$17,Hypothèses!$W$17,IF(B129&lt;=Hypothèses!$U$18,Hypothèses!$W$18,""))))))))))))</f>
        <v/>
      </c>
      <c r="Y129" s="95" t="e">
        <f t="shared" ca="1" si="136"/>
        <v>#DIV/0!</v>
      </c>
      <c r="Z129" s="101" t="e">
        <f t="shared" si="137"/>
        <v>#N/A</v>
      </c>
      <c r="AA129" s="91" t="e">
        <f t="shared" si="138"/>
        <v>#N/A</v>
      </c>
      <c r="AB129" s="30" t="e">
        <f t="shared" si="200"/>
        <v>#N/A</v>
      </c>
      <c r="AC129" s="30" t="e">
        <f t="shared" si="201"/>
        <v>#N/A</v>
      </c>
      <c r="AD129" s="31" t="e">
        <f>IF(OR(Hypothèses!$B$4=17,Hypothèses!$B$4=18,Hypothèses!$B$4=19,Hypothèses!$B$4=20),
IF($D129="Pressio.",
IF(OR($E129=3,$E129=1,$E129=4),AC129,AB129),
IF($D129="Pénétro.",
IF(OR($E129=3,$E129=1,$E129=4),AC129,AB129))),IF($D129="Pressio.",
IF($E129=3,AC129,AB129),
IF($D129="Pénétro.",
IF($E129=4,AC129,AB129))))</f>
        <v>#N/A</v>
      </c>
      <c r="AE129" s="31" t="e">
        <f>(IF(OR(Hypothèses!$B$4=17,Hypothèses!$B$4=18,Hypothèses!$B$4=19,Hypothèses!$B$4=20),
IF($D129="Pressio.",
IF(OR($E129=3,$E129=1,$E129=4),(PI()*AE$12^2)/4*(AA129*$W129*1000)/($H129*$B$5),(PI()*AE$12^2)/4*(AA129*$W129*1000)/($G129*$B$5)),
IF($D129="Pénétro.",
IF(OR($E129=4,$E129=1,$E129=5),(PI()*AE$12^2)/4*(AA129*$W129*1000)/($H129*$B$5),(PI()*AE$12^2)/4*(AA129*$W129*1000)/($G129*$B$5)))),
IF($D129="Pressio.",
IF($E129=3,(PI()*AE$12^2)/4*(AA129*$W129*1000)/($H129*$B$5),(PI()*AE$12^2)/4*(AA129*$W129*1000)/($G129*$B$5)),
IF($D129="Pénétro.",
IF($E129=4,(PI()*AE$12^2)/4*(AA129*$W129*1000)/($H129*$B$5),(PI()*AE$12^2)/4*(AA129*$W129*1000)/($G129*$B$5))))))/10</f>
        <v>#N/A</v>
      </c>
      <c r="AF129" s="102" t="e">
        <f>(VLOOKUP($B$3,'Coeff EC7'!$T$39:$X$59,2,0)*AD129+VLOOKUP($B$3,'Coeff EC7'!$T$65:$X$85,2,0)*Model0.1C!AE129)/1.1</f>
        <v>#N/A</v>
      </c>
      <c r="AG129" s="102" t="e">
        <f>(VLOOKUP($B$3,'Coeff EC7'!$T$39:$X$59,3,0)*AD129+VLOOKUP($B$3,'Coeff EC7'!$T$65:$X$85,3,0)*Model0.1C!AE129)/0.9</f>
        <v>#N/A</v>
      </c>
      <c r="AH129" s="102" t="e">
        <f t="shared" si="139"/>
        <v>#N/A</v>
      </c>
      <c r="AI129" s="102" t="e">
        <f t="shared" si="140"/>
        <v>#N/A</v>
      </c>
      <c r="AJ129" s="414" t="e">
        <f>IF(AJ128=0,0,IF(AND(AF129&gt;charge_ELS_quasi,AG129&gt;Charge_ELS_freq,AH129&gt;charge_ELU,AI129&gt;charge_ELA,$B129&gt;NDC!$H$22-0.1+MIN(3*$AJ$12,1.5)),0,1))</f>
        <v>#N/A</v>
      </c>
      <c r="AK129" s="86" t="b">
        <f t="shared" si="141"/>
        <v>0</v>
      </c>
      <c r="AL129" s="86">
        <f t="shared" si="170"/>
        <v>0.5</v>
      </c>
      <c r="AM129" s="86">
        <f t="shared" si="142"/>
        <v>0.5</v>
      </c>
      <c r="AN129" s="30" t="e">
        <f t="shared" ca="1" si="171"/>
        <v>#DIV/0!</v>
      </c>
      <c r="AO129" s="85" t="e">
        <f ca="1">IF(U129&lt;=Hypothèses!$V$7,Hypothèses!$W$7,IF(U129&lt;=Hypothèses!$V$8,Hypothèses!$W$8,IF(U129&lt;=Hypothèses!$V$9,Hypothèses!$W$9,IF(U129&lt;=Hypothèses!$V$10,Hypothèses!$W$10,IF(U129&lt;=Hypothèses!$V$11,Hypothèses!$W$11,IF(U129&lt;=Hypothèses!$V$12,Hypothèses!$W$12,IF(U129&lt;=Hypothèses!$V$13,Hypothèses!$W$13,IF(U129&lt;=Hypothèses!$V$14,Hypothèses!$W$14,IF(U129&lt;=Hypothèses!$V$15,Hypothèses!$W$15,IF(U129&lt;=Hypothèses!$V$16,Hypothèses!$W$16,IF(U129&lt;=Hypothèses!$V$17,Hypothèses!$W$17,IF(U129&lt;=Hypothèses!$V$18,Hypothèses!$W$18,""))))))))))))</f>
        <v>#DIV/0!</v>
      </c>
      <c r="AP129" s="87" t="e">
        <f t="shared" ca="1" si="217"/>
        <v>#DIV/0!</v>
      </c>
      <c r="AQ129" s="88" t="e">
        <f ca="1">IF(U129&lt;=Hypothèses!$V$7,Hypothèses!$X$7,IF(U129&lt;=Hypothèses!$V$8,Hypothèses!$X$8,IF(U129&lt;=Hypothèses!$V$9,Hypothèses!$X$9,IF(U129&lt;=Hypothèses!$V$10,Hypothèses!$X$10,IF(U129&lt;=Hypothèses!$V$11,Hypothèses!$X$11,IF(U129&lt;=Hypothèses!$V$12,Hypothèses!$X$12,IF(U129&lt;=Hypothèses!$V$13,Hypothèses!$X$13,IF(U129&lt;=Hypothèses!$V$14,Hypothèses!$X$14,IF(U129&lt;=Hypothèses!$V$15,Hypothèses!$X$15,IF(U129&lt;=Hypothèses!$V$16,Hypothèses!$X$16,IF(U129&lt;=Hypothèses!$U$17,Hypothèses!$W$17,IF(U129&lt;=Hypothèses!$U$18,Hypothèses!$W$18,""))))))))))))</f>
        <v>#DIV/0!</v>
      </c>
      <c r="AR129" s="95" t="e">
        <f t="shared" ca="1" si="172"/>
        <v>#DIV/0!</v>
      </c>
      <c r="AS129" s="101" t="e">
        <f t="shared" si="224"/>
        <v>#N/A</v>
      </c>
      <c r="AT129" s="91" t="e">
        <f t="shared" si="143"/>
        <v>#N/A</v>
      </c>
      <c r="AU129" s="30" t="e">
        <f t="shared" si="202"/>
        <v>#N/A</v>
      </c>
      <c r="AV129" s="30" t="e">
        <f t="shared" si="203"/>
        <v>#N/A</v>
      </c>
      <c r="AW129" s="31" t="e">
        <f>IF(OR(Hypothèses!$B$4=17,Hypothèses!$B$4=18,Hypothèses!$B$4=19,Hypothèses!$B$4=20),
IF($D129="Pressio.",
IF(OR($E129=3,$E129=1,$E129=4),AV129,AU129),
IF($D129="Pénétro.",
IF(OR($E129=3,$E129=1,$E129=4),AV129,AU129))),IF($D129="Pressio.",
IF($E129=3,AV129,AU129),
IF($D129="Pénétro.",
IF($E129=4,AV129,AU129))))</f>
        <v>#N/A</v>
      </c>
      <c r="AX129" s="31" t="e">
        <f>(IF(OR(Hypothèses!$B$4=17,Hypothèses!$B$4=18,Hypothèses!$B$4=19,Hypothèses!$B$4=20),
IF($D129="Pressio.",
IF(OR($E129=3,$E129=1,$E129=4),(PI()*AX$12^2)/4*(AT129*$W129*1000)/($H129*$B$5),(PI()*AX$12^2)/4*(AT129*$W129*1000)/($G129*$B$5)),
IF($D129="Pénétro.",
IF(OR($E129=4,$E129=1,$E129=5),(PI()*AX$12^2)/4*(AT129*$W129*1000)/($H129*$B$5),(PI()*AX$12^2)/4*(AT129*$W129*1000)/($G129*$B$5)))),
IF($D129="Pressio.",
IF($E129=3,(PI()*AX$12^2)/4*(AT129*$W129*1000)/($H129*$B$5),(PI()*AX$12^2)/4*(AT129*$W129*1000)/($G129*$B$5)),
IF($D129="Pénétro.",
IF($E129=4,(PI()*AX$12^2)/4*(AT129*$W129*1000)/($H129*$B$5),(PI()*AX$12^2)/4*(AT129*$W129*1000)/($G129*$B$5))))))/10</f>
        <v>#N/A</v>
      </c>
      <c r="AY129" s="102" t="e">
        <f>(VLOOKUP($B$3,'Coeff EC7'!$T$39:$X$59,2,0)*AW129+VLOOKUP($B$3,'Coeff EC7'!$T$65:$X$85,2,0)*Model0.1C!AX129)/1.1</f>
        <v>#N/A</v>
      </c>
      <c r="AZ129" s="102" t="e">
        <f>(VLOOKUP($B$3,'Coeff EC7'!$T$39:$X$59,3,0)*AW129+VLOOKUP($B$3,'Coeff EC7'!$T$65:$X$85,3,0)*Model0.1C!AX129)/0.9</f>
        <v>#N/A</v>
      </c>
      <c r="BA129" s="102" t="e">
        <f t="shared" si="173"/>
        <v>#N/A</v>
      </c>
      <c r="BB129" s="102" t="e">
        <f t="shared" si="174"/>
        <v>#N/A</v>
      </c>
      <c r="BC129" s="414" t="e">
        <f>IF(BC128=0,0,IF(AND(AY129&gt;charge_ELS_quasi,AZ129&gt;Charge_ELS_freq,BA129&gt;charge_ELU,BB129&gt;charge_ELA,$B129&gt;NDC!$H$22-0.1+MIN(3*$BC$12,1.5)),0,1))</f>
        <v>#N/A</v>
      </c>
      <c r="BD129" s="86" t="b">
        <f t="shared" si="144"/>
        <v>0</v>
      </c>
      <c r="BE129" s="86">
        <f t="shared" si="175"/>
        <v>0.5</v>
      </c>
      <c r="BF129" s="86">
        <f t="shared" si="145"/>
        <v>0.5</v>
      </c>
      <c r="BG129" s="30" t="e">
        <f t="shared" ca="1" si="176"/>
        <v>#DIV/0!</v>
      </c>
      <c r="BH129" s="85" t="e">
        <f ca="1">IF(AN129&lt;=Hypothèses!$V$7,Hypothèses!$W$7,IF(AN129&lt;=Hypothèses!$V$8,Hypothèses!$W$8,IF(AN129&lt;=Hypothèses!$V$9,Hypothèses!$W$9,IF(AN129&lt;=Hypothèses!$V$10,Hypothèses!$W$10,IF(AN129&lt;=Hypothèses!$V$11,Hypothèses!$W$11,IF(AN129&lt;=Hypothèses!$V$12,Hypothèses!$W$12,IF(AN129&lt;=Hypothèses!$V$13,Hypothèses!$W$13,IF(AN129&lt;=Hypothèses!$V$14,Hypothèses!$W$14,IF(AN129&lt;=Hypothèses!$V$15,Hypothèses!$W$15,IF(AN129&lt;=Hypothèses!$V$16,Hypothèses!$W$16,IF(AN129&lt;=Hypothèses!$V$17,Hypothèses!$W$17,IF(AN129&lt;=Hypothèses!$V$18,Hypothèses!$W$18,""))))))))))))</f>
        <v>#DIV/0!</v>
      </c>
      <c r="BI129" s="87" t="e">
        <f t="shared" ca="1" si="218"/>
        <v>#DIV/0!</v>
      </c>
      <c r="BJ129" s="88" t="e">
        <f ca="1">IF(AN129&lt;=Hypothèses!$V$7,Hypothèses!$X$7,IF(AN129&lt;=Hypothèses!$V$8,Hypothèses!$X$8,IF(AN129&lt;=Hypothèses!$V$9,Hypothèses!$X$9,IF(AN129&lt;=Hypothèses!$V$10,Hypothèses!$X$10,IF(AN129&lt;=Hypothèses!$V$11,Hypothèses!$X$11,IF(AN129&lt;=Hypothèses!$V$12,Hypothèses!$X$12,IF(AN129&lt;=Hypothèses!$V$13,Hypothèses!$X$13,IF(AN129&lt;=Hypothèses!$V$14,Hypothèses!$X$14,IF(AN129&lt;=Hypothèses!$V$15,Hypothèses!$X$15,IF(AN129&lt;=Hypothèses!$V$16,Hypothèses!$X$16,IF(AN129&lt;=Hypothèses!$U$17,Hypothèses!$W$17,IF(AN129&lt;=Hypothèses!$U$18,Hypothèses!$W$18,""))))))))))))</f>
        <v>#DIV/0!</v>
      </c>
      <c r="BK129" s="95" t="e">
        <f t="shared" ca="1" si="177"/>
        <v>#DIV/0!</v>
      </c>
      <c r="BL129" s="101" t="e">
        <f t="shared" si="225"/>
        <v>#N/A</v>
      </c>
      <c r="BM129" s="91" t="e">
        <f t="shared" si="146"/>
        <v>#N/A</v>
      </c>
      <c r="BN129" s="30" t="e">
        <f t="shared" si="204"/>
        <v>#N/A</v>
      </c>
      <c r="BO129" s="30" t="e">
        <f t="shared" si="205"/>
        <v>#N/A</v>
      </c>
      <c r="BP129" s="31" t="e">
        <f>IF(OR(Hypothèses!$B$4=17,Hypothèses!$B$4=18,Hypothèses!$B$4=19,Hypothèses!$B$4=20),
IF($D129="Pressio.",
IF(OR($E129=3,$E129=1,$E129=4),BO129,BN129),
IF($D129="Pénétro.",
IF(OR($E129=3,$E129=1,$E129=4),BO129,BN129))),IF($D129="Pressio.",
IF($E129=3,BO129,BN129),
IF($D129="Pénétro.",
IF($E129=4,BO129,BN129))))</f>
        <v>#N/A</v>
      </c>
      <c r="BQ129" s="31" t="e">
        <f>(IF(OR(Hypothèses!$B$4=17,Hypothèses!$B$4=18,Hypothèses!$B$4=19,Hypothèses!$B$4=20),
IF($D129="Pressio.",
IF(OR($E129=3,$E129=1,$E129=4),(PI()*BQ$12^2)/4*(BM129*$W129*1000)/($H129*$B$5),(PI()*BQ$12^2)/4*(BM129*$W129*1000)/($G129*$B$5)),
IF($D129="Pénétro.",
IF(OR($E129=4,$E129=1,$E129=5),(PI()*BQ$12^2)/4*(BM129*$W129*1000)/($H129*$B$5),(PI()*BQ$12^2)/4*(BM129*$W129*1000)/($G129*$B$5)))),
IF($D129="Pressio.",
IF($E129=3,(PI()*BQ$12^2)/4*(BM129*$W129*1000)/($H129*$B$5),(PI()*BQ$12^2)/4*(BM129*$W129*1000)/($G129*$B$5)),
IF($D129="Pénétro.",
IF($E129=4,(PI()*BQ$12^2)/4*(BM129*$W129*1000)/($H129*$B$5),(PI()*BQ$12^2)/4*(BM129*$W129*1000)/($G129*$B$5))))))/10</f>
        <v>#N/A</v>
      </c>
      <c r="BR129" s="102" t="e">
        <f>(VLOOKUP($B$3,'Coeff EC7'!$T$39:$X$59,2,0)*BP129+VLOOKUP($B$3,'Coeff EC7'!$T$65:$X$85,2,0)*Model0.1C!BQ129)/1.1</f>
        <v>#N/A</v>
      </c>
      <c r="BS129" s="102" t="e">
        <f>(VLOOKUP($B$3,'Coeff EC7'!$T$39:$X$59,3,0)*BP129+VLOOKUP($B$3,'Coeff EC7'!$T$65:$X$85,3,0)*Model0.1C!BQ129)/0.9</f>
        <v>#N/A</v>
      </c>
      <c r="BT129" s="102" t="e">
        <f t="shared" si="178"/>
        <v>#N/A</v>
      </c>
      <c r="BU129" s="102" t="e">
        <f t="shared" si="179"/>
        <v>#N/A</v>
      </c>
      <c r="BV129" s="414" t="e">
        <f>IF(BV128=0,0,IF(AND(BR129&gt;charge_ELS_quasi,BS129&gt;Charge_ELS_freq,BT129&gt;charge_ELU,BU129&gt;charge_ELA,$B129&gt;NDC!$H$22-0.1+MIN(3*$BV$12,1.5)),0,1))</f>
        <v>#N/A</v>
      </c>
      <c r="BW129" s="86" t="b">
        <f t="shared" si="147"/>
        <v>0</v>
      </c>
      <c r="BX129" s="86">
        <f t="shared" si="148"/>
        <v>0.5</v>
      </c>
      <c r="BY129" s="86">
        <f t="shared" si="149"/>
        <v>0.5</v>
      </c>
      <c r="BZ129" s="30" t="e">
        <f t="shared" ca="1" si="180"/>
        <v>#DIV/0!</v>
      </c>
      <c r="CA129" s="85" t="e">
        <f ca="1">IF(BG129&lt;=Hypothèses!$V$7,Hypothèses!$W$7,IF(BG129&lt;=Hypothèses!$V$8,Hypothèses!$W$8,IF(BG129&lt;=Hypothèses!$V$9,Hypothèses!$W$9,IF(BG129&lt;=Hypothèses!$V$10,Hypothèses!$W$10,IF(BG129&lt;=Hypothèses!$V$11,Hypothèses!$W$11,IF(BG129&lt;=Hypothèses!$V$12,Hypothèses!$W$12,IF(BG129&lt;=Hypothèses!$V$13,Hypothèses!$W$13,IF(BG129&lt;=Hypothèses!$V$14,Hypothèses!$W$14,IF(BG129&lt;=Hypothèses!$V$15,Hypothèses!$W$15,IF(BG129&lt;=Hypothèses!$V$16,Hypothèses!$W$16,IF(BG129&lt;=Hypothèses!$V$17,Hypothèses!$W$17,IF(BG129&lt;=Hypothèses!$V$18,Hypothèses!$W$18,""))))))))))))</f>
        <v>#DIV/0!</v>
      </c>
      <c r="CB129" s="87" t="e">
        <f t="shared" ca="1" si="219"/>
        <v>#DIV/0!</v>
      </c>
      <c r="CC129" s="88" t="e">
        <f ca="1">IF(BG129&lt;=Hypothèses!$V$7,Hypothèses!$X$7,IF(BG129&lt;=Hypothèses!$V$8,Hypothèses!$X$8,IF(BG129&lt;=Hypothèses!$V$9,Hypothèses!$X$9,IF(BG129&lt;=Hypothèses!$V$10,Hypothèses!$X$10,IF(BG129&lt;=Hypothèses!$V$11,Hypothèses!$X$11,IF(BG129&lt;=Hypothèses!$V$12,Hypothèses!$X$12,IF(BG129&lt;=Hypothèses!$V$13,Hypothèses!$X$13,IF(BG129&lt;=Hypothèses!$V$14,Hypothèses!$X$14,IF(BG129&lt;=Hypothèses!$V$15,Hypothèses!$X$15,IF(BG129&lt;=Hypothèses!$V$16,Hypothèses!$X$16,IF(BG129&lt;=Hypothèses!$U$17,Hypothèses!$W$17,IF(BG129&lt;=Hypothèses!$U$18,Hypothèses!$W$18,""))))))))))))</f>
        <v>#DIV/0!</v>
      </c>
      <c r="CD129" s="95" t="e">
        <f t="shared" ca="1" si="181"/>
        <v>#DIV/0!</v>
      </c>
      <c r="CE129" s="101" t="e">
        <f t="shared" si="226"/>
        <v>#N/A</v>
      </c>
      <c r="CF129" s="91" t="e">
        <f t="shared" si="150"/>
        <v>#N/A</v>
      </c>
      <c r="CG129" s="30" t="e">
        <f t="shared" si="206"/>
        <v>#N/A</v>
      </c>
      <c r="CH129" s="30" t="e">
        <f t="shared" si="207"/>
        <v>#N/A</v>
      </c>
      <c r="CI129" s="31" t="e">
        <f>IF(OR(Hypothèses!$B$4=17,Hypothèses!$B$4=18,Hypothèses!$B$4=19,Hypothèses!$B$4=20),
IF($D129="Pressio.",
IF(OR($E129=3,$E129=1,$E129=4),CH129,CG129),
IF($D129="Pénétro.",
IF(OR($E129=3,$E129=1,$E129=4),CH129,CG129))),IF($D129="Pressio.",
IF($E129=3,CH129,CG129),
IF($D129="Pénétro.",
IF($E129=4,CH129,CG129))))</f>
        <v>#N/A</v>
      </c>
      <c r="CJ129" s="31" t="e">
        <f>(IF(OR(Hypothèses!$B$4=17,Hypothèses!$B$4=18,Hypothèses!$B$4=19,Hypothèses!$B$4=20),
IF($D129="Pressio.",
IF(OR($E129=3,$E129=1,$E129=4),(PI()*CJ$12^2)/4*(CF129*$W129*1000)/($H129*$B$5),(PI()*CJ$12^2)/4*(CF129*$W129*1000)/($G129*$B$5)),
IF($D129="Pénétro.",
IF(OR($E129=4,$E129=1,$E129=5),(PI()*CJ$12^2)/4*(CF129*$W129*1000)/($H129*$B$5),(PI()*CJ$12^2)/4*(CF129*$W129*1000)/($G129*$B$5)))),
IF($D129="Pressio.",
IF($E129=3,(PI()*CJ$12^2)/4*(CF129*$W129*1000)/($H129*$B$5),(PI()*CJ$12^2)/4*(CF129*$W129*1000)/($G129*$B$5)),
IF($D129="Pénétro.",
IF($E129=4,(PI()*CJ$12^2)/4*(CF129*$W129*1000)/($H129*$B$5),(PI()*CJ$12^2)/4*(CF129*$W129*1000)/($G129*$B$5))))))/10</f>
        <v>#N/A</v>
      </c>
      <c r="CK129" s="102" t="e">
        <f>(VLOOKUP($B$3,'Coeff EC7'!$T$39:$X$59,2,0)*CI129+VLOOKUP($B$3,'Coeff EC7'!$T$65:$X$85,2,0)*Model0.1C!CJ129)/1.1</f>
        <v>#N/A</v>
      </c>
      <c r="CL129" s="102" t="e">
        <f>(VLOOKUP($B$3,'Coeff EC7'!$T$39:$X$59,3,0)*CI129+VLOOKUP($B$3,'Coeff EC7'!$T$65:$X$85,3,0)*Model0.1C!CJ129)/0.9</f>
        <v>#N/A</v>
      </c>
      <c r="CM129" s="102" t="e">
        <f t="shared" si="182"/>
        <v>#N/A</v>
      </c>
      <c r="CN129" s="102" t="e">
        <f t="shared" si="183"/>
        <v>#N/A</v>
      </c>
      <c r="CO129" s="414" t="e">
        <f>IF(CO128=0,0,IF(AND(CK129&gt;charge_ELS_quasi,CL129&gt;Charge_ELS_freq,CM129&gt;charge_ELU,CN129&gt;charge_ELA,$B129&gt;NDC!$H$22-0.1+MIN(3*$CO$12,1.5)),0,1))</f>
        <v>#N/A</v>
      </c>
      <c r="CP129" s="86" t="b">
        <f t="shared" si="151"/>
        <v>0</v>
      </c>
      <c r="CQ129" s="86">
        <f t="shared" si="152"/>
        <v>0.5</v>
      </c>
      <c r="CR129" s="86">
        <f t="shared" si="153"/>
        <v>0.5</v>
      </c>
      <c r="CS129" s="30" t="e">
        <f t="shared" ca="1" si="184"/>
        <v>#DIV/0!</v>
      </c>
      <c r="CT129" s="85" t="e">
        <f ca="1">IF(BZ129&lt;=Hypothèses!$V$7,Hypothèses!$W$7,IF(BZ129&lt;=Hypothèses!$V$8,Hypothèses!$W$8,IF(BZ129&lt;=Hypothèses!$V$9,Hypothèses!$W$9,IF(BZ129&lt;=Hypothèses!$V$10,Hypothèses!$W$10,IF(BZ129&lt;=Hypothèses!$V$11,Hypothèses!$W$11,IF(BZ129&lt;=Hypothèses!$V$12,Hypothèses!$W$12,IF(BZ129&lt;=Hypothèses!$V$13,Hypothèses!$W$13,IF(BZ129&lt;=Hypothèses!$V$14,Hypothèses!$W$14,IF(BZ129&lt;=Hypothèses!$V$15,Hypothèses!$W$15,IF(BZ129&lt;=Hypothèses!$V$16,Hypothèses!$W$16,IF(BZ129&lt;=Hypothèses!$V$17,Hypothèses!$W$17,IF(BZ129&lt;=Hypothèses!$V$18,Hypothèses!$W$18,""))))))))))))</f>
        <v>#DIV/0!</v>
      </c>
      <c r="CU129" s="87" t="e">
        <f t="shared" ca="1" si="220"/>
        <v>#DIV/0!</v>
      </c>
      <c r="CV129" s="88" t="e">
        <f ca="1">IF(BZ129&lt;=Hypothèses!$V$7,Hypothèses!$X$7,IF(BZ129&lt;=Hypothèses!$V$8,Hypothèses!$X$8,IF(BZ129&lt;=Hypothèses!$V$9,Hypothèses!$X$9,IF(BZ129&lt;=Hypothèses!$V$10,Hypothèses!$X$10,IF(BZ129&lt;=Hypothèses!$V$11,Hypothèses!$X$11,IF(BZ129&lt;=Hypothèses!$V$12,Hypothèses!$X$12,IF(BZ129&lt;=Hypothèses!$V$13,Hypothèses!$X$13,IF(BZ129&lt;=Hypothèses!$V$14,Hypothèses!$X$14,IF(BZ129&lt;=Hypothèses!$V$15,Hypothèses!$X$15,IF(BZ129&lt;=Hypothèses!$V$16,Hypothèses!$X$16,IF(BZ129&lt;=Hypothèses!$U$17,Hypothèses!$W$17,IF(BZ129&lt;=Hypothèses!$U$18,Hypothèses!$W$18,""))))))))))))</f>
        <v>#DIV/0!</v>
      </c>
      <c r="CW129" s="95" t="e">
        <f t="shared" ca="1" si="185"/>
        <v>#DIV/0!</v>
      </c>
      <c r="CX129" s="101" t="e">
        <f t="shared" si="227"/>
        <v>#N/A</v>
      </c>
      <c r="CY129" s="91" t="e">
        <f t="shared" si="154"/>
        <v>#N/A</v>
      </c>
      <c r="CZ129" s="30" t="e">
        <f t="shared" si="208"/>
        <v>#N/A</v>
      </c>
      <c r="DA129" s="30" t="e">
        <f t="shared" si="209"/>
        <v>#N/A</v>
      </c>
      <c r="DB129" s="31" t="e">
        <f>IF(OR(Hypothèses!$B$4=17,Hypothèses!$B$4=18,Hypothèses!$B$4=19,Hypothèses!$B$4=20),
IF($D129="Pressio.",
IF(OR($E129=3,$E129=1,$E129=4),DA129,CZ129),
IF($D129="Pénétro.",
IF(OR($E129=3,$E129=1,$E129=4),DA129,CZ129))),IF($D129="Pressio.",
IF($E129=3,DA129,CZ129),
IF($D129="Pénétro.",
IF($E129=4,DA129,CZ129))))</f>
        <v>#N/A</v>
      </c>
      <c r="DC129" s="31" t="e">
        <f>(IF(OR(Hypothèses!$B$4=17,Hypothèses!$B$4=18,Hypothèses!$B$4=19,Hypothèses!$B$4=20),
IF($D129="Pressio.",
IF(OR($E129=3,$E129=1,$E129=4),(PI()*DC$12^2)/4*(CY129*$W129*1000)/($H129*$B$5),(PI()*DC$12^2)/4*(CY129*$W129*1000)/($G129*$B$5)),
IF($D129="Pénétro.",
IF(OR($E129=4,$E129=1,$E129=5),(PI()*DC$12^2)/4*(CY129*$W129*1000)/($H129*$B$5),(PI()*DC$12^2)/4*(CY129*$W129*1000)/($G129*$B$5)))),
IF($D129="Pressio.",
IF($E129=3,(PI()*DC$12^2)/4*(CY129*$W129*1000)/($H129*$B$5),(PI()*DC$12^2)/4*(CY129*$W129*1000)/($G129*$B$5)),
IF($D129="Pénétro.",
IF($E129=4,(PI()*DC$12^2)/4*(CY129*$W129*1000)/($H129*$B$5),(PI()*DC$12^2)/4*(CY129*$W129*1000)/($G129*$B$5))))))/10</f>
        <v>#N/A</v>
      </c>
      <c r="DD129" s="102" t="e">
        <f>(VLOOKUP($B$3,'Coeff EC7'!$T$39:$X$59,2,0)*DB129+VLOOKUP($B$3,'Coeff EC7'!$T$65:$X$85,2,0)*Model0.1C!DC129)/1.1</f>
        <v>#N/A</v>
      </c>
      <c r="DE129" s="102" t="e">
        <f>(VLOOKUP($B$3,'Coeff EC7'!$T$39:$X$59,3,0)*DB129+VLOOKUP($B$3,'Coeff EC7'!$T$65:$X$85,3,0)*Model0.1C!DC129)/0.9</f>
        <v>#N/A</v>
      </c>
      <c r="DF129" s="102" t="e">
        <f t="shared" si="186"/>
        <v>#N/A</v>
      </c>
      <c r="DG129" s="102" t="e">
        <f t="shared" si="187"/>
        <v>#N/A</v>
      </c>
      <c r="DH129" s="414" t="e">
        <f>IF(DH128=0,0,IF(AND(DD129&gt;charge_ELS_quasi,DE129&gt;Charge_ELS_freq,DF129&gt;charge_ELU,DG129&gt;charge_ELA,$B129&gt;NDC!$H$22-0.1+MIN(3*$DH$12,1.5)),0,1))</f>
        <v>#N/A</v>
      </c>
      <c r="DI129" s="86" t="b">
        <f t="shared" si="155"/>
        <v>0</v>
      </c>
      <c r="DJ129" s="86">
        <f t="shared" si="156"/>
        <v>0.5</v>
      </c>
      <c r="DK129" s="86">
        <f t="shared" si="157"/>
        <v>0.5</v>
      </c>
      <c r="DL129" s="30" t="e">
        <f t="shared" ca="1" si="188"/>
        <v>#DIV/0!</v>
      </c>
      <c r="DM129" s="85" t="e">
        <f ca="1">IF(CS129&lt;=Hypothèses!$V$7,Hypothèses!$W$7,IF(CS129&lt;=Hypothèses!$V$8,Hypothèses!$W$8,IF(CS129&lt;=Hypothèses!$V$9,Hypothèses!$W$9,IF(CS129&lt;=Hypothèses!$V$10,Hypothèses!$W$10,IF(CS129&lt;=Hypothèses!$V$11,Hypothèses!$W$11,IF(CS129&lt;=Hypothèses!$V$12,Hypothèses!$W$12,IF(CS129&lt;=Hypothèses!$V$13,Hypothèses!$W$13,IF(CS129&lt;=Hypothèses!$V$14,Hypothèses!$W$14,IF(CS129&lt;=Hypothèses!$V$15,Hypothèses!$W$15,IF(CS129&lt;=Hypothèses!$V$16,Hypothèses!$W$16,IF(CS129&lt;=Hypothèses!$V$17,Hypothèses!$W$17,IF(CS129&lt;=Hypothèses!$V$18,Hypothèses!$W$18,""))))))))))))</f>
        <v>#DIV/0!</v>
      </c>
      <c r="DN129" s="87" t="e">
        <f t="shared" ca="1" si="221"/>
        <v>#DIV/0!</v>
      </c>
      <c r="DO129" s="88" t="e">
        <f ca="1">IF(CS129&lt;=Hypothèses!$V$7,Hypothèses!$X$7,IF(CS129&lt;=Hypothèses!$V$8,Hypothèses!$X$8,IF(CS129&lt;=Hypothèses!$V$9,Hypothèses!$X$9,IF(CS129&lt;=Hypothèses!$V$10,Hypothèses!$X$10,IF(CS129&lt;=Hypothèses!$V$11,Hypothèses!$X$11,IF(CS129&lt;=Hypothèses!$V$12,Hypothèses!$X$12,IF(CS129&lt;=Hypothèses!$V$13,Hypothèses!$X$13,IF(CS129&lt;=Hypothèses!$V$14,Hypothèses!$X$14,IF(CS129&lt;=Hypothèses!$V$15,Hypothèses!$X$15,IF(CS129&lt;=Hypothèses!$V$16,Hypothèses!$X$16,IF(CS129&lt;=Hypothèses!$U$17,Hypothèses!$W$17,IF(CS129&lt;=Hypothèses!$U$18,Hypothèses!$W$18,""))))))))))))</f>
        <v>#DIV/0!</v>
      </c>
      <c r="DP129" s="95" t="e">
        <f t="shared" ca="1" si="189"/>
        <v>#DIV/0!</v>
      </c>
      <c r="DQ129" s="101" t="e">
        <f t="shared" si="228"/>
        <v>#N/A</v>
      </c>
      <c r="DR129" s="91" t="e">
        <f t="shared" si="158"/>
        <v>#N/A</v>
      </c>
      <c r="DS129" s="30" t="e">
        <f t="shared" si="210"/>
        <v>#N/A</v>
      </c>
      <c r="DT129" s="30" t="e">
        <f t="shared" si="211"/>
        <v>#N/A</v>
      </c>
      <c r="DU129" s="31" t="e">
        <f>IF(OR(Hypothèses!$B$4=17,Hypothèses!$B$4=18,Hypothèses!$B$4=19,Hypothèses!$B$4=20),
IF($D129="Pressio.",
IF(OR($E129=3,$E129=1,$E129=4),DT129,DS129),
IF($D129="Pénétro.",
IF(OR($E129=3,$E129=1,$E129=4),DT129,DS129))),IF($D129="Pressio.",
IF($E129=3,DT129,DS129),
IF($D129="Pénétro.",
IF($E129=4,DT129,DS129))))</f>
        <v>#N/A</v>
      </c>
      <c r="DV129" s="31" t="e">
        <f>(IF(OR(Hypothèses!$B$4=17,Hypothèses!$B$4=18,Hypothèses!$B$4=19,Hypothèses!$B$4=20),
IF($D129="Pressio.",
IF(OR($E129=3,$E129=1,$E129=4),(PI()*DV$12^2)/4*(DR129*$W129*1000)/($H129*$B$5),(PI()*DV$12^2)/4*(DR129*$W129*1000)/($G129*$B$5)),
IF($D129="Pénétro.",
IF(OR($E129=4,$E129=1,$E129=5),(PI()*DV$12^2)/4*(DR129*$W129*1000)/($H129*$B$5),(PI()*DV$12^2)/4*(DR129*$W129*1000)/($G129*$B$5)))),
IF($D129="Pressio.",
IF($E129=3,(PI()*DV$12^2)/4*(DR129*$W129*1000)/($H129*$B$5),(PI()*DV$12^2)/4*(DR129*$W129*1000)/($G129*$B$5)),
IF($D129="Pénétro.",
IF($E129=4,(PI()*DV$12^2)/4*(DR129*$W129*1000)/($H129*$B$5),(PI()*DV$12^2)/4*(DR129*$W129*1000)/($G129*$B$5))))))/10</f>
        <v>#N/A</v>
      </c>
      <c r="DW129" s="102" t="e">
        <f>(VLOOKUP($B$3,'Coeff EC7'!$T$39:$X$59,2,0)*DU129+VLOOKUP($B$3,'Coeff EC7'!$T$65:$X$85,2,0)*Model0.1C!DV129)/1.1</f>
        <v>#N/A</v>
      </c>
      <c r="DX129" s="102" t="e">
        <f>(VLOOKUP($B$3,'Coeff EC7'!$T$39:$X$59,3,0)*DU129+VLOOKUP($B$3,'Coeff EC7'!$T$65:$X$85,3,0)*Model0.1C!DV129)/0.9</f>
        <v>#N/A</v>
      </c>
      <c r="DY129" s="102" t="e">
        <f t="shared" si="190"/>
        <v>#N/A</v>
      </c>
      <c r="DZ129" s="102" t="e">
        <f t="shared" si="191"/>
        <v>#N/A</v>
      </c>
      <c r="EA129" s="414" t="e">
        <f>IF(EA128=0,0,IF(AND(DW129&gt;charge_ELS_quasi,DX129&gt;Charge_ELS_freq,DY129&gt;charge_ELU,DZ129&gt;charge_ELA,$B129&gt;NDC!$H$22-0.1+MIN(3*$EA$12,1.5)),0,1))</f>
        <v>#N/A</v>
      </c>
      <c r="EB129" s="86" t="b">
        <f t="shared" si="159"/>
        <v>0</v>
      </c>
      <c r="EC129" s="418">
        <f t="shared" si="160"/>
        <v>0.51</v>
      </c>
      <c r="ED129" s="86">
        <f t="shared" si="161"/>
        <v>0.51</v>
      </c>
      <c r="EE129" s="30" t="e">
        <f t="shared" ca="1" si="192"/>
        <v>#DIV/0!</v>
      </c>
      <c r="EF129" s="85" t="e">
        <f ca="1">IF(DL129&lt;=Hypothèses!$V$7,Hypothèses!$W$7,IF(DL129&lt;=Hypothèses!$V$8,Hypothèses!$W$8,IF(DL129&lt;=Hypothèses!$V$9,Hypothèses!$W$9,IF(DL129&lt;=Hypothèses!$V$10,Hypothèses!$W$10,IF(DL129&lt;=Hypothèses!$V$11,Hypothèses!$W$11,IF(DL129&lt;=Hypothèses!$V$12,Hypothèses!$W$12,IF(DL129&lt;=Hypothèses!$V$13,Hypothèses!$W$13,IF(DL129&lt;=Hypothèses!$V$14,Hypothèses!$W$14,IF(DL129&lt;=Hypothèses!$V$15,Hypothèses!$W$15,IF(DL129&lt;=Hypothèses!$V$16,Hypothèses!$W$16,IF(DL129&lt;=Hypothèses!$V$17,Hypothèses!$W$17,IF(DL129&lt;=Hypothèses!$V$18,Hypothèses!$W$18,""))))))))))))</f>
        <v>#DIV/0!</v>
      </c>
      <c r="EG129" s="87" t="e">
        <f t="shared" ca="1" si="222"/>
        <v>#DIV/0!</v>
      </c>
      <c r="EH129" s="88" t="e">
        <f ca="1">IF(DL129&lt;=Hypothèses!$V$7,Hypothèses!$X$7,IF(DL129&lt;=Hypothèses!$V$8,Hypothèses!$X$8,IF(DL129&lt;=Hypothèses!$V$9,Hypothèses!$X$9,IF(DL129&lt;=Hypothèses!$V$10,Hypothèses!$X$10,IF(DL129&lt;=Hypothèses!$V$11,Hypothèses!$X$11,IF(DL129&lt;=Hypothèses!$V$12,Hypothèses!$X$12,IF(DL129&lt;=Hypothèses!$V$13,Hypothèses!$X$13,IF(DL129&lt;=Hypothèses!$V$14,Hypothèses!$X$14,IF(DL129&lt;=Hypothèses!$V$15,Hypothèses!$X$15,IF(DL129&lt;=Hypothèses!$V$16,Hypothèses!$X$16,IF(DL129&lt;=Hypothèses!$U$17,Hypothèses!$W$17,IF(DL129&lt;=Hypothèses!$U$18,Hypothèses!$W$18,""))))))))))))</f>
        <v>#DIV/0!</v>
      </c>
      <c r="EI129" s="95" t="e">
        <f t="shared" ca="1" si="193"/>
        <v>#DIV/0!</v>
      </c>
      <c r="EJ129" s="101" t="e">
        <f t="shared" si="229"/>
        <v>#N/A</v>
      </c>
      <c r="EK129" s="91" t="e">
        <f t="shared" si="162"/>
        <v>#N/A</v>
      </c>
      <c r="EL129" s="30" t="e">
        <f t="shared" si="212"/>
        <v>#N/A</v>
      </c>
      <c r="EM129" s="30" t="e">
        <f t="shared" si="213"/>
        <v>#N/A</v>
      </c>
      <c r="EN129" s="31" t="e">
        <f>IF(OR(Hypothèses!$B$4=17,Hypothèses!$B$4=18,Hypothèses!$B$4=19,Hypothèses!$B$4=20),
IF($D129="Pressio.",
IF(OR($E129=3,$E129=1,$E129=4),EM129,EL129),
IF($D129="Pénétro.",
IF(OR($E129=3,$E129=1,$E129=4),EM129,EL129))),IF($D129="Pressio.",
IF($E129=3,EM129,EL129),
IF($D129="Pénétro.",
IF($E129=4,EM129,EL129))))</f>
        <v>#N/A</v>
      </c>
      <c r="EO129" s="31" t="e">
        <f>(IF(OR(Hypothèses!$B$4=17,Hypothèses!$B$4=18,Hypothèses!$B$4=19,Hypothèses!$B$4=20),
IF($D129="Pressio.",
IF(OR($E129=3,$E129=1,$E129=4),(PI()*EO$12^2)/4*(EK129*$W129*1000)/($H129*$B$5),(PI()*EO$12^2)/4*(EK129*$W129*1000)/($G129*$B$5)),
IF($D129="Pénétro.",
IF(OR($E129=4,$E129=1,$E129=5),(PI()*EO$12^2)/4*(EK129*$W129*1000)/($H129*$B$5),(PI()*EO$12^2)/4*(EK129*$W129*1000)/($G129*$B$5)))),
IF($D129="Pressio.",
IF($E129=3,(PI()*EO$12^2)/4*(EK129*$W129*1000)/($H129*$B$5),(PI()*EO$12^2)/4*(EK129*$W129*1000)/($G129*$B$5)),
IF($D129="Pénétro.",
IF($E129=4,(PI()*EO$12^2)/4*(EK129*$W129*1000)/($H129*$B$5),(PI()*EO$12^2)/4*(EK129*$W129*1000)/($G129*$B$5))))))/10</f>
        <v>#N/A</v>
      </c>
      <c r="EP129" s="102" t="e">
        <f>(VLOOKUP($B$3,'Coeff EC7'!$T$39:$X$59,2,0)*EN129+VLOOKUP($B$3,'Coeff EC7'!$T$65:$X$85,2,0)*Model0.1C!EO129)/1.1</f>
        <v>#N/A</v>
      </c>
      <c r="EQ129" s="102" t="e">
        <f>(VLOOKUP($B$3,'Coeff EC7'!$T$39:$X$59,3,0)*EN129+VLOOKUP($B$3,'Coeff EC7'!$T$65:$X$85,3,0)*Model0.1C!EO129)/0.9</f>
        <v>#N/A</v>
      </c>
      <c r="ER129" s="102" t="e">
        <f t="shared" si="194"/>
        <v>#N/A</v>
      </c>
      <c r="ES129" s="102" t="e">
        <f t="shared" si="195"/>
        <v>#N/A</v>
      </c>
      <c r="ET129" s="414" t="e">
        <f>IF(ET128=0,0,IF(AND(EP129&gt;charge_ELS_quasi,EQ129&gt;Charge_ELS_freq,ER129&gt;charge_ELU,ES129&gt;charge_ELA,$B129&gt;NDC!$H$22-0.1+MIN(3*$ET$12,1.5)),0,1))</f>
        <v>#N/A</v>
      </c>
      <c r="EU129" s="86" t="b">
        <f t="shared" si="163"/>
        <v>0</v>
      </c>
      <c r="EV129" s="86">
        <f t="shared" si="164"/>
        <v>0.61</v>
      </c>
      <c r="EW129" s="86">
        <f t="shared" si="165"/>
        <v>0.61</v>
      </c>
      <c r="EX129" s="30" t="e">
        <f t="shared" ca="1" si="196"/>
        <v>#DIV/0!</v>
      </c>
      <c r="EY129" s="85" t="e">
        <f ca="1">IF(EE129&lt;=Hypothèses!$V$7,Hypothèses!$W$7,IF(EE129&lt;=Hypothèses!$V$8,Hypothèses!$W$8,IF(EE129&lt;=Hypothèses!$V$9,Hypothèses!$W$9,IF(EE129&lt;=Hypothèses!$V$10,Hypothèses!$W$10,IF(EE129&lt;=Hypothèses!$V$11,Hypothèses!$W$11,IF(EE129&lt;=Hypothèses!$V$12,Hypothèses!$W$12,IF(EE129&lt;=Hypothèses!$V$13,Hypothèses!$W$13,IF(EE129&lt;=Hypothèses!$V$14,Hypothèses!$W$14,IF(EE129&lt;=Hypothèses!$V$15,Hypothèses!$W$15,IF(EE129&lt;=Hypothèses!$V$16,Hypothèses!$W$16,IF(EE129&lt;=Hypothèses!$V$17,Hypothèses!$W$17,IF(EE129&lt;=Hypothèses!$V$18,Hypothèses!$W$18,""))))))))))))</f>
        <v>#DIV/0!</v>
      </c>
      <c r="EZ129" s="87" t="e">
        <f t="shared" ca="1" si="223"/>
        <v>#DIV/0!</v>
      </c>
      <c r="FA129" s="88" t="e">
        <f ca="1">IF(EE129&lt;=Hypothèses!$V$7,Hypothèses!$X$7,IF(EE129&lt;=Hypothèses!$V$8,Hypothèses!$X$8,IF(EE129&lt;=Hypothèses!$V$9,Hypothèses!$X$9,IF(EE129&lt;=Hypothèses!$V$10,Hypothèses!$X$10,IF(EE129&lt;=Hypothèses!$V$11,Hypothèses!$X$11,IF(EE129&lt;=Hypothèses!$V$12,Hypothèses!$X$12,IF(EE129&lt;=Hypothèses!$V$13,Hypothèses!$X$13,IF(EE129&lt;=Hypothèses!$V$14,Hypothèses!$X$14,IF(EE129&lt;=Hypothèses!$V$15,Hypothèses!$X$15,IF(EE129&lt;=Hypothèses!$V$16,Hypothèses!$X$16,IF(EE129&lt;=Hypothèses!$U$17,Hypothèses!$W$17,IF(EE129&lt;=Hypothèses!$U$18,Hypothèses!$W$18,""))))))))))))</f>
        <v>#DIV/0!</v>
      </c>
      <c r="FB129" s="95" t="e">
        <f t="shared" ca="1" si="197"/>
        <v>#DIV/0!</v>
      </c>
      <c r="FC129" s="101" t="e">
        <f t="shared" si="230"/>
        <v>#N/A</v>
      </c>
      <c r="FD129" s="91" t="e">
        <f t="shared" si="166"/>
        <v>#N/A</v>
      </c>
      <c r="FE129" s="30" t="e">
        <f t="shared" si="214"/>
        <v>#N/A</v>
      </c>
      <c r="FF129" s="30" t="e">
        <f t="shared" si="215"/>
        <v>#N/A</v>
      </c>
      <c r="FG129" s="31" t="e">
        <f>IF(OR(Hypothèses!$B$4=17,Hypothèses!$B$4=18,Hypothèses!$B$4=19,Hypothèses!$B$4=20),
IF($D129="Pressio.",
IF(OR($E129=3,$E129=1,$E129=4),FF129,FE129),
IF($D129="Pénétro.",
IF(OR($E129=3,$E129=1,$E129=4),FF129,FE129))),IF($D129="Pressio.",
IF($E129=3,FF129,FE129),
IF($D129="Pénétro.",
IF($E129=4,FF129,FE129))))</f>
        <v>#N/A</v>
      </c>
      <c r="FH129" s="31" t="e">
        <f>(IF(OR(Hypothèses!$B$4=17,Hypothèses!$B$4=18,Hypothèses!$B$4=19,Hypothèses!$B$4=20),
IF($D129="Pressio.",
IF(OR($E129=3,$E129=1,$E129=4),(PI()*FH$12^2)/4*(FD129*$W129*1000)/($H129*$B$5),(PI()*FH$12^2)/4*(FD129*$W129*1000)/($G129*$B$5)),
IF($D129="Pénétro.",
IF(OR($E129=4,$E129=1,$E129=5),(PI()*FH$12^2)/4*(FD129*$W129*1000)/($H129*$B$5),(PI()*FH$12^2)/4*(FD129*$W129*1000)/($G129*$B$5)))),
IF($D129="Pressio.",
IF($E129=3,(PI()*FH$12^2)/4*(FD129*$W129*1000)/($H129*$B$5),(PI()*FH$12^2)/4*(FD129*$W129*1000)/($G129*$B$5)),
IF($D129="Pénétro.",
IF($E129=4,(PI()*FH$12^2)/4*(FD129*$W129*1000)/($H129*$B$5),(PI()*FH$12^2)/4*(FD129*$W129*1000)/($G129*$B$5))))))/10</f>
        <v>#N/A</v>
      </c>
      <c r="FI129" s="102" t="e">
        <f>(VLOOKUP($B$3,'Coeff EC7'!$T$39:$X$59,2,0)*FG129+VLOOKUP($B$3,'Coeff EC7'!$T$65:$X$85,2,0)*Model0.1C!FH129)/1.1</f>
        <v>#N/A</v>
      </c>
      <c r="FJ129" s="102" t="e">
        <f>(VLOOKUP($B$3,'Coeff EC7'!$T$39:$X$59,3,0)*FG129+VLOOKUP($B$3,'Coeff EC7'!$T$65:$X$85,3,0)*Model0.1C!FH129)/0.9</f>
        <v>#N/A</v>
      </c>
      <c r="FK129" s="102" t="e">
        <f t="shared" si="198"/>
        <v>#N/A</v>
      </c>
      <c r="FL129" s="102" t="e">
        <f t="shared" si="199"/>
        <v>#N/A</v>
      </c>
      <c r="FM129" s="414" t="e">
        <f>IF(FM128=0,0,IF(AND(FI129&gt;charge_ELS_quasi,FJ129&gt;Charge_ELS_freq,FK129&gt;charge_ELU,FL129&gt;charge_ELA,$B129&gt;NDC!$H$22-0.1+MIN(3*$FM$12,1.5)),0,1))</f>
        <v>#N/A</v>
      </c>
    </row>
    <row r="130" spans="1:169">
      <c r="A130" s="96">
        <f t="shared" si="167"/>
        <v>88.300000000000665</v>
      </c>
      <c r="B130" s="97">
        <v>11.7</v>
      </c>
      <c r="C130" s="81">
        <f>IF(B130&lt;=Hypothèses!$C$7,Hypothèses!$A$7,IF(B130&lt;=Hypothèses!$C$8,Hypothèses!$A$8,IF(B130&lt;=Hypothèses!$C$9,Hypothèses!$A$9,IF(B130&lt;=Hypothèses!$C$10,Hypothèses!$A$10,IF(B130&lt;=Hypothèses!$C$11,Hypothèses!$A$11,IF(B130&lt;=Hypothèses!$C$12,Hypothèses!$A$12,IF(B130&lt;=Hypothèses!$C$13,Hypothèses!$A$13,IF(B130&lt;=Hypothèses!$C$14,Hypothèses!$A$14,IF(B130&lt;=Hypothèses!$C$15,Hypothèses!$A$15,IF(B130&lt;=Hypothèses!$C$16,Hypothèses!$A$16,IF(B130&lt;=Hypothèses!$C$17,Hypothèses!$A$17,IF(B130&lt;=Hypothèses!$C$18,Hypothèses!$A$18,C129))))))))))))</f>
        <v>11</v>
      </c>
      <c r="D130" s="82" t="str">
        <f>IF(B130&lt;=Hypothèses!$C$7,Hypothèses!$R$7,IF(B130&lt;=Hypothèses!$C$8,Hypothèses!$R$8,IF(B130&lt;=Hypothèses!$C$9,Hypothèses!$R$9,IF(B130&lt;=Hypothèses!$C$10,Hypothèses!$R$10,IF(B130&lt;=Hypothèses!$C$11,Hypothèses!$R$11,IF(B130&lt;=Hypothèses!$C$12,Hypothèses!$R$12,IF(B130&lt;=Hypothèses!$C$13,Hypothèses!$R$13,IF(B130&lt;=Hypothèses!$C$14,Hypothèses!$R$14,IF(B130&lt;=Hypothèses!$C$15,Hypothèses!$R$15,IF(B130&lt;=Hypothèses!$C$16,Hypothèses!$R$16,IF(B130&lt;=Hypothèses!$C$17,Hypothèses!$R$17,IF(B130&lt;=Hypothèses!$C$18,Hypothèses!$R$18,D129))))))))))))</f>
        <v>Pressio.</v>
      </c>
      <c r="E130" s="82" t="e">
        <f>IF(B130&lt;=Hypothèses!$C$7,Hypothèses!$G$7,IF(B130&lt;=Hypothèses!$C$8,Hypothèses!$G$8,IF(B130&lt;=Hypothèses!$C$9,Hypothèses!$G$9,IF(B130&lt;=Hypothèses!$C$10,Hypothèses!$G$10,IF(B130&lt;=Hypothèses!$C$11,Hypothèses!$G$11,IF(B130&lt;=Hypothèses!$C$12,Hypothèses!$G$12,IF(B130&lt;=Hypothèses!$C$13,Hypothèses!$G$13,IF(B130&lt;=Hypothèses!$C$14,Hypothèses!$G$14,IF(B130&lt;=Hypothèses!$C$15,Hypothèses!$G$15,IF(B130&lt;=Hypothèses!$C$16,Hypothèses!$G$16,IF(B130&lt;=Hypothèses!$C$17,Hypothèses!$G$17,IF(B130&lt;=Hypothèses!$C$18,Hypothèses!$G$18,E129))))))))))))</f>
        <v>#N/A</v>
      </c>
      <c r="F130" s="82" t="str">
        <f>IF(B130&lt;=Hypothèses!$C$7,Hypothèses!$F$7,IF(B130&lt;=Hypothèses!$C$8,Hypothèses!$F$8,IF(B130&lt;=Hypothèses!$C$9,Hypothèses!$F$9,IF(B130&lt;=Hypothèses!$C$10,Hypothèses!$F$10,IF(B130&lt;=Hypothèses!$C$11,Hypothèses!$F$11,IF(B130&lt;=Hypothèses!$C$12,Hypothèses!$F$12,IF(B130&lt;=Hypothèses!$C$13,Hypothèses!$F$13,IF(B130&lt;=Hypothèses!$C$14,Hypothèses!$F$14,IF(B130&lt;=Hypothèses!$C$15,Hypothèses!$F$15,IF(B130&lt;=Hypothèses!$C$16,Hypothèses!$F$16,IF(B130&lt;=Hypothèses!$C$17,Hypothèses!$F$17,IF(B130&lt;=Hypothèses!$C$18,Hypothèses!$F$18,F129))))))))))))</f>
        <v/>
      </c>
      <c r="G130" s="91">
        <f t="array" ref="G130">INDEX('Coeff EC7'!$U$7:$X$27,
MATCH(Model0.1C!$B$3,'Coeff EC7'!$T$7:$T$27,0),
MATCH(Model0.1C!$D130&amp;Model0.1C!$B$4,
'Coeff EC7'!$U$6:$X$6&amp;
'Coeff EC7'!$U$5:$X$5,0))</f>
        <v>1.1499999999999999</v>
      </c>
      <c r="H130" s="91">
        <f t="array" ref="H130">INDEX('Coeff EC7'!$Y$7:$AB$27,
MATCH(Model0.1C!$B$3,'Coeff EC7'!$T$7:$T$27,0),
MATCH(Model0.1C!$D130&amp;Model0.1C!$B$4,
'Coeff EC7'!$Y$6:$AB$6&amp;
'Coeff EC7'!$Y$5:$AB$5,0))</f>
        <v>1.4</v>
      </c>
      <c r="I130" s="83" t="e">
        <f>IF(B130&lt;=Hypothèses!$C$7,Hypothèses!$P$7,IF(B130&lt;=Hypothèses!$C$8,Hypothèses!$P$8,IF(B130&lt;=Hypothèses!$C$9,Hypothèses!$P$9,IF(B130&lt;=Hypothèses!$C$10,Hypothèses!$P$10,IF(B130&lt;=Hypothèses!$C$11,Hypothèses!$P$11,IF(B130&lt;=Hypothèses!$C$12,Hypothèses!$P$12,IF(B130&lt;=Hypothèses!$C$13,Hypothèses!$P$13,IF(B130&lt;=Hypothèses!$C$14,Hypothèses!$P$14,IF(B130&lt;=Hypothèses!$C$15,Hypothèses!$P$15,IF(B130&lt;=Hypothèses!$C$16,Hypothèses!$P$16,IF(B130&lt;=Hypothèses!$C$17,Hypothèses!$P$17,IF(B130&lt;=Hypothèses!$C$18,Hypothèses!$P$18,I129))))))))))))</f>
        <v>#N/A</v>
      </c>
      <c r="J130" s="91" t="e">
        <f t="array" ref="J130">INDEX('Coeff EC7'!$D$33:$Q$33,1,MATCH(D130&amp;E130,'Coeff EC7'!$D$31:$Q$31&amp;'Coeff EC7'!$D$32:$Q$32,0))</f>
        <v>#N/A</v>
      </c>
      <c r="K130" s="91" t="e">
        <f t="array" ref="K130">INDEX('Coeff EC7'!$D$34:$Q$34,1,MATCH(D130&amp;E130,'Coeff EC7'!$D$31:$Q$31&amp;'Coeff EC7'!$D$32:$Q$32,0))</f>
        <v>#N/A</v>
      </c>
      <c r="L130" s="91" t="e">
        <f t="array" ref="L130">INDEX('Coeff EC7'!$D$35:$Q$35,1,MATCH(D130&amp;E130,'Coeff EC7'!$D$31:$Q$31&amp;'Coeff EC7'!$D$32:$Q$32,0))</f>
        <v>#N/A</v>
      </c>
      <c r="M130" s="98" t="e">
        <f t="shared" si="131"/>
        <v>#N/A</v>
      </c>
      <c r="N130" s="99" t="e">
        <f t="array" ref="N130">INDEX('Coeff EC7'!$D$7:$Q$27,MATCH($B$3,'Coeff EC7'!$C$7:$C$27,0),MATCH(D130&amp;E130,'Coeff EC7'!$D$5:$Q$5&amp;'Coeff EC7'!$D$6:$Q$6,0))</f>
        <v>#N/A</v>
      </c>
      <c r="O130" s="99" t="e">
        <f t="array" ref="O130">INDEX('Coeff EC7'!$D$41:$Q$61,MATCH($B$3,'Coeff EC7'!$C$41:$C$61,0),MATCH(D130&amp;E130,'Coeff EC7'!$D$39:$Q$39&amp;'Coeff EC7'!$D$40:$Q$40,0))</f>
        <v>#N/A</v>
      </c>
      <c r="P130" s="30" t="e">
        <f t="shared" si="168"/>
        <v>#N/A</v>
      </c>
      <c r="Q130" s="100" t="e">
        <f t="shared" si="133"/>
        <v>#N/A</v>
      </c>
      <c r="R130" s="86" t="b">
        <f t="shared" si="134"/>
        <v>0</v>
      </c>
      <c r="S130" s="86">
        <f t="shared" si="132"/>
        <v>0.5</v>
      </c>
      <c r="T130" s="86">
        <f t="shared" si="135"/>
        <v>0.5</v>
      </c>
      <c r="U130" s="30" t="e">
        <f t="shared" ca="1" si="169"/>
        <v>#DIV/0!</v>
      </c>
      <c r="V130" s="85" t="str">
        <f>IF(B130&lt;=Hypothèses!$V$7,Hypothèses!$W$7,IF(B130&lt;=Hypothèses!$V$8,Hypothèses!$W$8,IF(B130&lt;=Hypothèses!$V$9,Hypothèses!$W$9,IF(B130&lt;=Hypothèses!$V$10,Hypothèses!$W$10,IF(B130&lt;=Hypothèses!$V$11,Hypothèses!$W$11,IF(B130&lt;=Hypothèses!$V$12,Hypothèses!$W$12,IF(B130&lt;=Hypothèses!$V$13,Hypothèses!$W$13,IF(B130&lt;=Hypothèses!$V$14,Hypothèses!$W$14,IF(B130&lt;=Hypothèses!$V$15,Hypothèses!$W$15,IF(B130&lt;=Hypothèses!$V$16,Hypothèses!$W$16,IF(B130&lt;=Hypothèses!$V$17,Hypothèses!$W$17,IF(B130&lt;=Hypothèses!$V$18,Hypothèses!$W$18,""))))))))))))</f>
        <v/>
      </c>
      <c r="W130" s="87" t="e">
        <f t="shared" ca="1" si="216"/>
        <v>#DIV/0!</v>
      </c>
      <c r="X130" s="88" t="str">
        <f>IF(B130&lt;=Hypothèses!$V$7,Hypothèses!$X$7,IF(B130&lt;=Hypothèses!$V$8,Hypothèses!$X$8,IF(B130&lt;=Hypothèses!$V$9,Hypothèses!$X$9,IF(B130&lt;=Hypothèses!$V$10,Hypothèses!$X$10,IF(B130&lt;=Hypothèses!$V$11,Hypothèses!$X$11,IF(B130&lt;=Hypothèses!$V$12,Hypothèses!$X$12,IF(B130&lt;=Hypothèses!$V$13,Hypothèses!$X$13,IF(B130&lt;=Hypothèses!$V$14,Hypothèses!$X$14,IF(B130&lt;=Hypothèses!$V$15,Hypothèses!$X$15,IF(B130&lt;=Hypothèses!$V$16,Hypothèses!$X$16,IF(B130&lt;=Hypothèses!$U$17,Hypothèses!$W$17,IF(B130&lt;=Hypothèses!$U$18,Hypothèses!$W$18,""))))))))))))</f>
        <v/>
      </c>
      <c r="Y130" s="95" t="e">
        <f t="shared" ca="1" si="136"/>
        <v>#DIV/0!</v>
      </c>
      <c r="Z130" s="101" t="e">
        <f t="shared" si="137"/>
        <v>#N/A</v>
      </c>
      <c r="AA130" s="91" t="e">
        <f t="shared" si="138"/>
        <v>#N/A</v>
      </c>
      <c r="AB130" s="30" t="e">
        <f t="shared" si="200"/>
        <v>#N/A</v>
      </c>
      <c r="AC130" s="30" t="e">
        <f t="shared" si="201"/>
        <v>#N/A</v>
      </c>
      <c r="AD130" s="31" t="e">
        <f>IF(OR(Hypothèses!$B$4=17,Hypothèses!$B$4=18,Hypothèses!$B$4=19,Hypothèses!$B$4=20),
IF($D130="Pressio.",
IF(OR($E130=3,$E130=1,$E130=4),AC130,AB130),
IF($D130="Pénétro.",
IF(OR($E130=3,$E130=1,$E130=4),AC130,AB130))),IF($D130="Pressio.",
IF($E130=3,AC130,AB130),
IF($D130="Pénétro.",
IF($E130=4,AC130,AB130))))</f>
        <v>#N/A</v>
      </c>
      <c r="AE130" s="31" t="e">
        <f>(IF(OR(Hypothèses!$B$4=17,Hypothèses!$B$4=18,Hypothèses!$B$4=19,Hypothèses!$B$4=20),
IF($D130="Pressio.",
IF(OR($E130=3,$E130=1,$E130=4),(PI()*AE$12^2)/4*(AA130*$W130*1000)/($H130*$B$5),(PI()*AE$12^2)/4*(AA130*$W130*1000)/($G130*$B$5)),
IF($D130="Pénétro.",
IF(OR($E130=4,$E130=1,$E130=5),(PI()*AE$12^2)/4*(AA130*$W130*1000)/($H130*$B$5),(PI()*AE$12^2)/4*(AA130*$W130*1000)/($G130*$B$5)))),
IF($D130="Pressio.",
IF($E130=3,(PI()*AE$12^2)/4*(AA130*$W130*1000)/($H130*$B$5),(PI()*AE$12^2)/4*(AA130*$W130*1000)/($G130*$B$5)),
IF($D130="Pénétro.",
IF($E130=4,(PI()*AE$12^2)/4*(AA130*$W130*1000)/($H130*$B$5),(PI()*AE$12^2)/4*(AA130*$W130*1000)/($G130*$B$5))))))/10</f>
        <v>#N/A</v>
      </c>
      <c r="AF130" s="102" t="e">
        <f>(VLOOKUP($B$3,'Coeff EC7'!$T$39:$X$59,2,0)*AD130+VLOOKUP($B$3,'Coeff EC7'!$T$65:$X$85,2,0)*Model0.1C!AE130)/1.1</f>
        <v>#N/A</v>
      </c>
      <c r="AG130" s="102" t="e">
        <f>(VLOOKUP($B$3,'Coeff EC7'!$T$39:$X$59,3,0)*AD130+VLOOKUP($B$3,'Coeff EC7'!$T$65:$X$85,3,0)*Model0.1C!AE130)/0.9</f>
        <v>#N/A</v>
      </c>
      <c r="AH130" s="102" t="e">
        <f t="shared" si="139"/>
        <v>#N/A</v>
      </c>
      <c r="AI130" s="102" t="e">
        <f t="shared" si="140"/>
        <v>#N/A</v>
      </c>
      <c r="AJ130" s="414" t="e">
        <f>IF(AJ129=0,0,IF(AND(AF130&gt;charge_ELS_quasi,AG130&gt;Charge_ELS_freq,AH130&gt;charge_ELU,AI130&gt;charge_ELA,$B130&gt;NDC!$H$22-0.1+MIN(3*$AJ$12,1.5)),0,1))</f>
        <v>#N/A</v>
      </c>
      <c r="AK130" s="86" t="b">
        <f t="shared" si="141"/>
        <v>0</v>
      </c>
      <c r="AL130" s="86">
        <f t="shared" si="170"/>
        <v>0.5</v>
      </c>
      <c r="AM130" s="86">
        <f t="shared" si="142"/>
        <v>0.5</v>
      </c>
      <c r="AN130" s="30" t="e">
        <f t="shared" ca="1" si="171"/>
        <v>#DIV/0!</v>
      </c>
      <c r="AO130" s="85" t="e">
        <f ca="1">IF(U130&lt;=Hypothèses!$V$7,Hypothèses!$W$7,IF(U130&lt;=Hypothèses!$V$8,Hypothèses!$W$8,IF(U130&lt;=Hypothèses!$V$9,Hypothèses!$W$9,IF(U130&lt;=Hypothèses!$V$10,Hypothèses!$W$10,IF(U130&lt;=Hypothèses!$V$11,Hypothèses!$W$11,IF(U130&lt;=Hypothèses!$V$12,Hypothèses!$W$12,IF(U130&lt;=Hypothèses!$V$13,Hypothèses!$W$13,IF(U130&lt;=Hypothèses!$V$14,Hypothèses!$W$14,IF(U130&lt;=Hypothèses!$V$15,Hypothèses!$W$15,IF(U130&lt;=Hypothèses!$V$16,Hypothèses!$W$16,IF(U130&lt;=Hypothèses!$V$17,Hypothèses!$W$17,IF(U130&lt;=Hypothèses!$V$18,Hypothèses!$W$18,""))))))))))))</f>
        <v>#DIV/0!</v>
      </c>
      <c r="AP130" s="87" t="e">
        <f t="shared" ca="1" si="217"/>
        <v>#DIV/0!</v>
      </c>
      <c r="AQ130" s="88" t="e">
        <f ca="1">IF(U130&lt;=Hypothèses!$V$7,Hypothèses!$X$7,IF(U130&lt;=Hypothèses!$V$8,Hypothèses!$X$8,IF(U130&lt;=Hypothèses!$V$9,Hypothèses!$X$9,IF(U130&lt;=Hypothèses!$V$10,Hypothèses!$X$10,IF(U130&lt;=Hypothèses!$V$11,Hypothèses!$X$11,IF(U130&lt;=Hypothèses!$V$12,Hypothèses!$X$12,IF(U130&lt;=Hypothèses!$V$13,Hypothèses!$X$13,IF(U130&lt;=Hypothèses!$V$14,Hypothèses!$X$14,IF(U130&lt;=Hypothèses!$V$15,Hypothèses!$X$15,IF(U130&lt;=Hypothèses!$V$16,Hypothèses!$X$16,IF(U130&lt;=Hypothèses!$U$17,Hypothèses!$W$17,IF(U130&lt;=Hypothèses!$U$18,Hypothèses!$W$18,""))))))))))))</f>
        <v>#DIV/0!</v>
      </c>
      <c r="AR130" s="95" t="e">
        <f t="shared" ca="1" si="172"/>
        <v>#DIV/0!</v>
      </c>
      <c r="AS130" s="101" t="e">
        <f t="shared" si="224"/>
        <v>#N/A</v>
      </c>
      <c r="AT130" s="91" t="e">
        <f t="shared" si="143"/>
        <v>#N/A</v>
      </c>
      <c r="AU130" s="30" t="e">
        <f t="shared" si="202"/>
        <v>#N/A</v>
      </c>
      <c r="AV130" s="30" t="e">
        <f t="shared" si="203"/>
        <v>#N/A</v>
      </c>
      <c r="AW130" s="31" t="e">
        <f>IF(OR(Hypothèses!$B$4=17,Hypothèses!$B$4=18,Hypothèses!$B$4=19,Hypothèses!$B$4=20),
IF($D130="Pressio.",
IF(OR($E130=3,$E130=1,$E130=4),AV130,AU130),
IF($D130="Pénétro.",
IF(OR($E130=3,$E130=1,$E130=4),AV130,AU130))),IF($D130="Pressio.",
IF($E130=3,AV130,AU130),
IF($D130="Pénétro.",
IF($E130=4,AV130,AU130))))</f>
        <v>#N/A</v>
      </c>
      <c r="AX130" s="31" t="e">
        <f>(IF(OR(Hypothèses!$B$4=17,Hypothèses!$B$4=18,Hypothèses!$B$4=19,Hypothèses!$B$4=20),
IF($D130="Pressio.",
IF(OR($E130=3,$E130=1,$E130=4),(PI()*AX$12^2)/4*(AT130*$W130*1000)/($H130*$B$5),(PI()*AX$12^2)/4*(AT130*$W130*1000)/($G130*$B$5)),
IF($D130="Pénétro.",
IF(OR($E130=4,$E130=1,$E130=5),(PI()*AX$12^2)/4*(AT130*$W130*1000)/($H130*$B$5),(PI()*AX$12^2)/4*(AT130*$W130*1000)/($G130*$B$5)))),
IF($D130="Pressio.",
IF($E130=3,(PI()*AX$12^2)/4*(AT130*$W130*1000)/($H130*$B$5),(PI()*AX$12^2)/4*(AT130*$W130*1000)/($G130*$B$5)),
IF($D130="Pénétro.",
IF($E130=4,(PI()*AX$12^2)/4*(AT130*$W130*1000)/($H130*$B$5),(PI()*AX$12^2)/4*(AT130*$W130*1000)/($G130*$B$5))))))/10</f>
        <v>#N/A</v>
      </c>
      <c r="AY130" s="102" t="e">
        <f>(VLOOKUP($B$3,'Coeff EC7'!$T$39:$X$59,2,0)*AW130+VLOOKUP($B$3,'Coeff EC7'!$T$65:$X$85,2,0)*Model0.1C!AX130)/1.1</f>
        <v>#N/A</v>
      </c>
      <c r="AZ130" s="102" t="e">
        <f>(VLOOKUP($B$3,'Coeff EC7'!$T$39:$X$59,3,0)*AW130+VLOOKUP($B$3,'Coeff EC7'!$T$65:$X$85,3,0)*Model0.1C!AX130)/0.9</f>
        <v>#N/A</v>
      </c>
      <c r="BA130" s="102" t="e">
        <f t="shared" si="173"/>
        <v>#N/A</v>
      </c>
      <c r="BB130" s="102" t="e">
        <f t="shared" si="174"/>
        <v>#N/A</v>
      </c>
      <c r="BC130" s="414" t="e">
        <f>IF(BC129=0,0,IF(AND(AY130&gt;charge_ELS_quasi,AZ130&gt;Charge_ELS_freq,BA130&gt;charge_ELU,BB130&gt;charge_ELA,$B130&gt;NDC!$H$22-0.1+MIN(3*$BC$12,1.5)),0,1))</f>
        <v>#N/A</v>
      </c>
      <c r="BD130" s="86" t="b">
        <f t="shared" si="144"/>
        <v>0</v>
      </c>
      <c r="BE130" s="86">
        <f t="shared" si="175"/>
        <v>0.5</v>
      </c>
      <c r="BF130" s="86">
        <f t="shared" si="145"/>
        <v>0.5</v>
      </c>
      <c r="BG130" s="30" t="e">
        <f t="shared" ca="1" si="176"/>
        <v>#DIV/0!</v>
      </c>
      <c r="BH130" s="85" t="e">
        <f ca="1">IF(AN130&lt;=Hypothèses!$V$7,Hypothèses!$W$7,IF(AN130&lt;=Hypothèses!$V$8,Hypothèses!$W$8,IF(AN130&lt;=Hypothèses!$V$9,Hypothèses!$W$9,IF(AN130&lt;=Hypothèses!$V$10,Hypothèses!$W$10,IF(AN130&lt;=Hypothèses!$V$11,Hypothèses!$W$11,IF(AN130&lt;=Hypothèses!$V$12,Hypothèses!$W$12,IF(AN130&lt;=Hypothèses!$V$13,Hypothèses!$W$13,IF(AN130&lt;=Hypothèses!$V$14,Hypothèses!$W$14,IF(AN130&lt;=Hypothèses!$V$15,Hypothèses!$W$15,IF(AN130&lt;=Hypothèses!$V$16,Hypothèses!$W$16,IF(AN130&lt;=Hypothèses!$V$17,Hypothèses!$W$17,IF(AN130&lt;=Hypothèses!$V$18,Hypothèses!$W$18,""))))))))))))</f>
        <v>#DIV/0!</v>
      </c>
      <c r="BI130" s="87" t="e">
        <f t="shared" ca="1" si="218"/>
        <v>#DIV/0!</v>
      </c>
      <c r="BJ130" s="88" t="e">
        <f ca="1">IF(AN130&lt;=Hypothèses!$V$7,Hypothèses!$X$7,IF(AN130&lt;=Hypothèses!$V$8,Hypothèses!$X$8,IF(AN130&lt;=Hypothèses!$V$9,Hypothèses!$X$9,IF(AN130&lt;=Hypothèses!$V$10,Hypothèses!$X$10,IF(AN130&lt;=Hypothèses!$V$11,Hypothèses!$X$11,IF(AN130&lt;=Hypothèses!$V$12,Hypothèses!$X$12,IF(AN130&lt;=Hypothèses!$V$13,Hypothèses!$X$13,IF(AN130&lt;=Hypothèses!$V$14,Hypothèses!$X$14,IF(AN130&lt;=Hypothèses!$V$15,Hypothèses!$X$15,IF(AN130&lt;=Hypothèses!$V$16,Hypothèses!$X$16,IF(AN130&lt;=Hypothèses!$U$17,Hypothèses!$W$17,IF(AN130&lt;=Hypothèses!$U$18,Hypothèses!$W$18,""))))))))))))</f>
        <v>#DIV/0!</v>
      </c>
      <c r="BK130" s="95" t="e">
        <f t="shared" ca="1" si="177"/>
        <v>#DIV/0!</v>
      </c>
      <c r="BL130" s="101" t="e">
        <f t="shared" si="225"/>
        <v>#N/A</v>
      </c>
      <c r="BM130" s="91" t="e">
        <f t="shared" si="146"/>
        <v>#N/A</v>
      </c>
      <c r="BN130" s="30" t="e">
        <f t="shared" si="204"/>
        <v>#N/A</v>
      </c>
      <c r="BO130" s="30" t="e">
        <f t="shared" si="205"/>
        <v>#N/A</v>
      </c>
      <c r="BP130" s="31" t="e">
        <f>IF(OR(Hypothèses!$B$4=17,Hypothèses!$B$4=18,Hypothèses!$B$4=19,Hypothèses!$B$4=20),
IF($D130="Pressio.",
IF(OR($E130=3,$E130=1,$E130=4),BO130,BN130),
IF($D130="Pénétro.",
IF(OR($E130=3,$E130=1,$E130=4),BO130,BN130))),IF($D130="Pressio.",
IF($E130=3,BO130,BN130),
IF($D130="Pénétro.",
IF($E130=4,BO130,BN130))))</f>
        <v>#N/A</v>
      </c>
      <c r="BQ130" s="31" t="e">
        <f>(IF(OR(Hypothèses!$B$4=17,Hypothèses!$B$4=18,Hypothèses!$B$4=19,Hypothèses!$B$4=20),
IF($D130="Pressio.",
IF(OR($E130=3,$E130=1,$E130=4),(PI()*BQ$12^2)/4*(BM130*$W130*1000)/($H130*$B$5),(PI()*BQ$12^2)/4*(BM130*$W130*1000)/($G130*$B$5)),
IF($D130="Pénétro.",
IF(OR($E130=4,$E130=1,$E130=5),(PI()*BQ$12^2)/4*(BM130*$W130*1000)/($H130*$B$5),(PI()*BQ$12^2)/4*(BM130*$W130*1000)/($G130*$B$5)))),
IF($D130="Pressio.",
IF($E130=3,(PI()*BQ$12^2)/4*(BM130*$W130*1000)/($H130*$B$5),(PI()*BQ$12^2)/4*(BM130*$W130*1000)/($G130*$B$5)),
IF($D130="Pénétro.",
IF($E130=4,(PI()*BQ$12^2)/4*(BM130*$W130*1000)/($H130*$B$5),(PI()*BQ$12^2)/4*(BM130*$W130*1000)/($G130*$B$5))))))/10</f>
        <v>#N/A</v>
      </c>
      <c r="BR130" s="102" t="e">
        <f>(VLOOKUP($B$3,'Coeff EC7'!$T$39:$X$59,2,0)*BP130+VLOOKUP($B$3,'Coeff EC7'!$T$65:$X$85,2,0)*Model0.1C!BQ130)/1.1</f>
        <v>#N/A</v>
      </c>
      <c r="BS130" s="102" t="e">
        <f>(VLOOKUP($B$3,'Coeff EC7'!$T$39:$X$59,3,0)*BP130+VLOOKUP($B$3,'Coeff EC7'!$T$65:$X$85,3,0)*Model0.1C!BQ130)/0.9</f>
        <v>#N/A</v>
      </c>
      <c r="BT130" s="102" t="e">
        <f t="shared" si="178"/>
        <v>#N/A</v>
      </c>
      <c r="BU130" s="102" t="e">
        <f t="shared" si="179"/>
        <v>#N/A</v>
      </c>
      <c r="BV130" s="414" t="e">
        <f>IF(BV129=0,0,IF(AND(BR130&gt;charge_ELS_quasi,BS130&gt;Charge_ELS_freq,BT130&gt;charge_ELU,BU130&gt;charge_ELA,$B130&gt;NDC!$H$22-0.1+MIN(3*$BV$12,1.5)),0,1))</f>
        <v>#N/A</v>
      </c>
      <c r="BW130" s="86" t="b">
        <f t="shared" si="147"/>
        <v>0</v>
      </c>
      <c r="BX130" s="86">
        <f t="shared" si="148"/>
        <v>0.5</v>
      </c>
      <c r="BY130" s="86">
        <f t="shared" si="149"/>
        <v>0.5</v>
      </c>
      <c r="BZ130" s="30" t="e">
        <f t="shared" ca="1" si="180"/>
        <v>#DIV/0!</v>
      </c>
      <c r="CA130" s="85" t="e">
        <f ca="1">IF(BG130&lt;=Hypothèses!$V$7,Hypothèses!$W$7,IF(BG130&lt;=Hypothèses!$V$8,Hypothèses!$W$8,IF(BG130&lt;=Hypothèses!$V$9,Hypothèses!$W$9,IF(BG130&lt;=Hypothèses!$V$10,Hypothèses!$W$10,IF(BG130&lt;=Hypothèses!$V$11,Hypothèses!$W$11,IF(BG130&lt;=Hypothèses!$V$12,Hypothèses!$W$12,IF(BG130&lt;=Hypothèses!$V$13,Hypothèses!$W$13,IF(BG130&lt;=Hypothèses!$V$14,Hypothèses!$W$14,IF(BG130&lt;=Hypothèses!$V$15,Hypothèses!$W$15,IF(BG130&lt;=Hypothèses!$V$16,Hypothèses!$W$16,IF(BG130&lt;=Hypothèses!$V$17,Hypothèses!$W$17,IF(BG130&lt;=Hypothèses!$V$18,Hypothèses!$W$18,""))))))))))))</f>
        <v>#DIV/0!</v>
      </c>
      <c r="CB130" s="87" t="e">
        <f t="shared" ca="1" si="219"/>
        <v>#DIV/0!</v>
      </c>
      <c r="CC130" s="88" t="e">
        <f ca="1">IF(BG130&lt;=Hypothèses!$V$7,Hypothèses!$X$7,IF(BG130&lt;=Hypothèses!$V$8,Hypothèses!$X$8,IF(BG130&lt;=Hypothèses!$V$9,Hypothèses!$X$9,IF(BG130&lt;=Hypothèses!$V$10,Hypothèses!$X$10,IF(BG130&lt;=Hypothèses!$V$11,Hypothèses!$X$11,IF(BG130&lt;=Hypothèses!$V$12,Hypothèses!$X$12,IF(BG130&lt;=Hypothèses!$V$13,Hypothèses!$X$13,IF(BG130&lt;=Hypothèses!$V$14,Hypothèses!$X$14,IF(BG130&lt;=Hypothèses!$V$15,Hypothèses!$X$15,IF(BG130&lt;=Hypothèses!$V$16,Hypothèses!$X$16,IF(BG130&lt;=Hypothèses!$U$17,Hypothèses!$W$17,IF(BG130&lt;=Hypothèses!$U$18,Hypothèses!$W$18,""))))))))))))</f>
        <v>#DIV/0!</v>
      </c>
      <c r="CD130" s="95" t="e">
        <f t="shared" ca="1" si="181"/>
        <v>#DIV/0!</v>
      </c>
      <c r="CE130" s="101" t="e">
        <f t="shared" si="226"/>
        <v>#N/A</v>
      </c>
      <c r="CF130" s="91" t="e">
        <f t="shared" si="150"/>
        <v>#N/A</v>
      </c>
      <c r="CG130" s="30" t="e">
        <f t="shared" si="206"/>
        <v>#N/A</v>
      </c>
      <c r="CH130" s="30" t="e">
        <f t="shared" si="207"/>
        <v>#N/A</v>
      </c>
      <c r="CI130" s="31" t="e">
        <f>IF(OR(Hypothèses!$B$4=17,Hypothèses!$B$4=18,Hypothèses!$B$4=19,Hypothèses!$B$4=20),
IF($D130="Pressio.",
IF(OR($E130=3,$E130=1,$E130=4),CH130,CG130),
IF($D130="Pénétro.",
IF(OR($E130=3,$E130=1,$E130=4),CH130,CG130))),IF($D130="Pressio.",
IF($E130=3,CH130,CG130),
IF($D130="Pénétro.",
IF($E130=4,CH130,CG130))))</f>
        <v>#N/A</v>
      </c>
      <c r="CJ130" s="31" t="e">
        <f>(IF(OR(Hypothèses!$B$4=17,Hypothèses!$B$4=18,Hypothèses!$B$4=19,Hypothèses!$B$4=20),
IF($D130="Pressio.",
IF(OR($E130=3,$E130=1,$E130=4),(PI()*CJ$12^2)/4*(CF130*$W130*1000)/($H130*$B$5),(PI()*CJ$12^2)/4*(CF130*$W130*1000)/($G130*$B$5)),
IF($D130="Pénétro.",
IF(OR($E130=4,$E130=1,$E130=5),(PI()*CJ$12^2)/4*(CF130*$W130*1000)/($H130*$B$5),(PI()*CJ$12^2)/4*(CF130*$W130*1000)/($G130*$B$5)))),
IF($D130="Pressio.",
IF($E130=3,(PI()*CJ$12^2)/4*(CF130*$W130*1000)/($H130*$B$5),(PI()*CJ$12^2)/4*(CF130*$W130*1000)/($G130*$B$5)),
IF($D130="Pénétro.",
IF($E130=4,(PI()*CJ$12^2)/4*(CF130*$W130*1000)/($H130*$B$5),(PI()*CJ$12^2)/4*(CF130*$W130*1000)/($G130*$B$5))))))/10</f>
        <v>#N/A</v>
      </c>
      <c r="CK130" s="102" t="e">
        <f>(VLOOKUP($B$3,'Coeff EC7'!$T$39:$X$59,2,0)*CI130+VLOOKUP($B$3,'Coeff EC7'!$T$65:$X$85,2,0)*Model0.1C!CJ130)/1.1</f>
        <v>#N/A</v>
      </c>
      <c r="CL130" s="102" t="e">
        <f>(VLOOKUP($B$3,'Coeff EC7'!$T$39:$X$59,3,0)*CI130+VLOOKUP($B$3,'Coeff EC7'!$T$65:$X$85,3,0)*Model0.1C!CJ130)/0.9</f>
        <v>#N/A</v>
      </c>
      <c r="CM130" s="102" t="e">
        <f t="shared" si="182"/>
        <v>#N/A</v>
      </c>
      <c r="CN130" s="102" t="e">
        <f t="shared" si="183"/>
        <v>#N/A</v>
      </c>
      <c r="CO130" s="414" t="e">
        <f>IF(CO129=0,0,IF(AND(CK130&gt;charge_ELS_quasi,CL130&gt;Charge_ELS_freq,CM130&gt;charge_ELU,CN130&gt;charge_ELA,$B130&gt;NDC!$H$22-0.1+MIN(3*$CO$12,1.5)),0,1))</f>
        <v>#N/A</v>
      </c>
      <c r="CP130" s="86" t="b">
        <f t="shared" si="151"/>
        <v>0</v>
      </c>
      <c r="CQ130" s="86">
        <f t="shared" si="152"/>
        <v>0.5</v>
      </c>
      <c r="CR130" s="86">
        <f t="shared" si="153"/>
        <v>0.5</v>
      </c>
      <c r="CS130" s="30" t="e">
        <f t="shared" ca="1" si="184"/>
        <v>#DIV/0!</v>
      </c>
      <c r="CT130" s="85" t="e">
        <f ca="1">IF(BZ130&lt;=Hypothèses!$V$7,Hypothèses!$W$7,IF(BZ130&lt;=Hypothèses!$V$8,Hypothèses!$W$8,IF(BZ130&lt;=Hypothèses!$V$9,Hypothèses!$W$9,IF(BZ130&lt;=Hypothèses!$V$10,Hypothèses!$W$10,IF(BZ130&lt;=Hypothèses!$V$11,Hypothèses!$W$11,IF(BZ130&lt;=Hypothèses!$V$12,Hypothèses!$W$12,IF(BZ130&lt;=Hypothèses!$V$13,Hypothèses!$W$13,IF(BZ130&lt;=Hypothèses!$V$14,Hypothèses!$W$14,IF(BZ130&lt;=Hypothèses!$V$15,Hypothèses!$W$15,IF(BZ130&lt;=Hypothèses!$V$16,Hypothèses!$W$16,IF(BZ130&lt;=Hypothèses!$V$17,Hypothèses!$W$17,IF(BZ130&lt;=Hypothèses!$V$18,Hypothèses!$W$18,""))))))))))))</f>
        <v>#DIV/0!</v>
      </c>
      <c r="CU130" s="87" t="e">
        <f t="shared" ca="1" si="220"/>
        <v>#DIV/0!</v>
      </c>
      <c r="CV130" s="88" t="e">
        <f ca="1">IF(BZ130&lt;=Hypothèses!$V$7,Hypothèses!$X$7,IF(BZ130&lt;=Hypothèses!$V$8,Hypothèses!$X$8,IF(BZ130&lt;=Hypothèses!$V$9,Hypothèses!$X$9,IF(BZ130&lt;=Hypothèses!$V$10,Hypothèses!$X$10,IF(BZ130&lt;=Hypothèses!$V$11,Hypothèses!$X$11,IF(BZ130&lt;=Hypothèses!$V$12,Hypothèses!$X$12,IF(BZ130&lt;=Hypothèses!$V$13,Hypothèses!$X$13,IF(BZ130&lt;=Hypothèses!$V$14,Hypothèses!$X$14,IF(BZ130&lt;=Hypothèses!$V$15,Hypothèses!$X$15,IF(BZ130&lt;=Hypothèses!$V$16,Hypothèses!$X$16,IF(BZ130&lt;=Hypothèses!$U$17,Hypothèses!$W$17,IF(BZ130&lt;=Hypothèses!$U$18,Hypothèses!$W$18,""))))))))))))</f>
        <v>#DIV/0!</v>
      </c>
      <c r="CW130" s="95" t="e">
        <f t="shared" ca="1" si="185"/>
        <v>#DIV/0!</v>
      </c>
      <c r="CX130" s="101" t="e">
        <f t="shared" si="227"/>
        <v>#N/A</v>
      </c>
      <c r="CY130" s="91" t="e">
        <f t="shared" si="154"/>
        <v>#N/A</v>
      </c>
      <c r="CZ130" s="30" t="e">
        <f t="shared" si="208"/>
        <v>#N/A</v>
      </c>
      <c r="DA130" s="30" t="e">
        <f t="shared" si="209"/>
        <v>#N/A</v>
      </c>
      <c r="DB130" s="31" t="e">
        <f>IF(OR(Hypothèses!$B$4=17,Hypothèses!$B$4=18,Hypothèses!$B$4=19,Hypothèses!$B$4=20),
IF($D130="Pressio.",
IF(OR($E130=3,$E130=1,$E130=4),DA130,CZ130),
IF($D130="Pénétro.",
IF(OR($E130=3,$E130=1,$E130=4),DA130,CZ130))),IF($D130="Pressio.",
IF($E130=3,DA130,CZ130),
IF($D130="Pénétro.",
IF($E130=4,DA130,CZ130))))</f>
        <v>#N/A</v>
      </c>
      <c r="DC130" s="31" t="e">
        <f>(IF(OR(Hypothèses!$B$4=17,Hypothèses!$B$4=18,Hypothèses!$B$4=19,Hypothèses!$B$4=20),
IF($D130="Pressio.",
IF(OR($E130=3,$E130=1,$E130=4),(PI()*DC$12^2)/4*(CY130*$W130*1000)/($H130*$B$5),(PI()*DC$12^2)/4*(CY130*$W130*1000)/($G130*$B$5)),
IF($D130="Pénétro.",
IF(OR($E130=4,$E130=1,$E130=5),(PI()*DC$12^2)/4*(CY130*$W130*1000)/($H130*$B$5),(PI()*DC$12^2)/4*(CY130*$W130*1000)/($G130*$B$5)))),
IF($D130="Pressio.",
IF($E130=3,(PI()*DC$12^2)/4*(CY130*$W130*1000)/($H130*$B$5),(PI()*DC$12^2)/4*(CY130*$W130*1000)/($G130*$B$5)),
IF($D130="Pénétro.",
IF($E130=4,(PI()*DC$12^2)/4*(CY130*$W130*1000)/($H130*$B$5),(PI()*DC$12^2)/4*(CY130*$W130*1000)/($G130*$B$5))))))/10</f>
        <v>#N/A</v>
      </c>
      <c r="DD130" s="102" t="e">
        <f>(VLOOKUP($B$3,'Coeff EC7'!$T$39:$X$59,2,0)*DB130+VLOOKUP($B$3,'Coeff EC7'!$T$65:$X$85,2,0)*Model0.1C!DC130)/1.1</f>
        <v>#N/A</v>
      </c>
      <c r="DE130" s="102" t="e">
        <f>(VLOOKUP($B$3,'Coeff EC7'!$T$39:$X$59,3,0)*DB130+VLOOKUP($B$3,'Coeff EC7'!$T$65:$X$85,3,0)*Model0.1C!DC130)/0.9</f>
        <v>#N/A</v>
      </c>
      <c r="DF130" s="102" t="e">
        <f t="shared" si="186"/>
        <v>#N/A</v>
      </c>
      <c r="DG130" s="102" t="e">
        <f t="shared" si="187"/>
        <v>#N/A</v>
      </c>
      <c r="DH130" s="414" t="e">
        <f>IF(DH129=0,0,IF(AND(DD130&gt;charge_ELS_quasi,DE130&gt;Charge_ELS_freq,DF130&gt;charge_ELU,DG130&gt;charge_ELA,$B130&gt;NDC!$H$22-0.1+MIN(3*$DH$12,1.5)),0,1))</f>
        <v>#N/A</v>
      </c>
      <c r="DI130" s="86" t="b">
        <f t="shared" si="155"/>
        <v>0</v>
      </c>
      <c r="DJ130" s="86">
        <f t="shared" si="156"/>
        <v>0.5</v>
      </c>
      <c r="DK130" s="86">
        <f t="shared" si="157"/>
        <v>0.5</v>
      </c>
      <c r="DL130" s="30" t="e">
        <f t="shared" ca="1" si="188"/>
        <v>#DIV/0!</v>
      </c>
      <c r="DM130" s="85" t="e">
        <f ca="1">IF(CS130&lt;=Hypothèses!$V$7,Hypothèses!$W$7,IF(CS130&lt;=Hypothèses!$V$8,Hypothèses!$W$8,IF(CS130&lt;=Hypothèses!$V$9,Hypothèses!$W$9,IF(CS130&lt;=Hypothèses!$V$10,Hypothèses!$W$10,IF(CS130&lt;=Hypothèses!$V$11,Hypothèses!$W$11,IF(CS130&lt;=Hypothèses!$V$12,Hypothèses!$W$12,IF(CS130&lt;=Hypothèses!$V$13,Hypothèses!$W$13,IF(CS130&lt;=Hypothèses!$V$14,Hypothèses!$W$14,IF(CS130&lt;=Hypothèses!$V$15,Hypothèses!$W$15,IF(CS130&lt;=Hypothèses!$V$16,Hypothèses!$W$16,IF(CS130&lt;=Hypothèses!$V$17,Hypothèses!$W$17,IF(CS130&lt;=Hypothèses!$V$18,Hypothèses!$W$18,""))))))))))))</f>
        <v>#DIV/0!</v>
      </c>
      <c r="DN130" s="87" t="e">
        <f t="shared" ca="1" si="221"/>
        <v>#DIV/0!</v>
      </c>
      <c r="DO130" s="88" t="e">
        <f ca="1">IF(CS130&lt;=Hypothèses!$V$7,Hypothèses!$X$7,IF(CS130&lt;=Hypothèses!$V$8,Hypothèses!$X$8,IF(CS130&lt;=Hypothèses!$V$9,Hypothèses!$X$9,IF(CS130&lt;=Hypothèses!$V$10,Hypothèses!$X$10,IF(CS130&lt;=Hypothèses!$V$11,Hypothèses!$X$11,IF(CS130&lt;=Hypothèses!$V$12,Hypothèses!$X$12,IF(CS130&lt;=Hypothèses!$V$13,Hypothèses!$X$13,IF(CS130&lt;=Hypothèses!$V$14,Hypothèses!$X$14,IF(CS130&lt;=Hypothèses!$V$15,Hypothèses!$X$15,IF(CS130&lt;=Hypothèses!$V$16,Hypothèses!$X$16,IF(CS130&lt;=Hypothèses!$U$17,Hypothèses!$W$17,IF(CS130&lt;=Hypothèses!$U$18,Hypothèses!$W$18,""))))))))))))</f>
        <v>#DIV/0!</v>
      </c>
      <c r="DP130" s="95" t="e">
        <f t="shared" ca="1" si="189"/>
        <v>#DIV/0!</v>
      </c>
      <c r="DQ130" s="101" t="e">
        <f t="shared" si="228"/>
        <v>#N/A</v>
      </c>
      <c r="DR130" s="91" t="e">
        <f t="shared" si="158"/>
        <v>#N/A</v>
      </c>
      <c r="DS130" s="30" t="e">
        <f t="shared" si="210"/>
        <v>#N/A</v>
      </c>
      <c r="DT130" s="30" t="e">
        <f t="shared" si="211"/>
        <v>#N/A</v>
      </c>
      <c r="DU130" s="31" t="e">
        <f>IF(OR(Hypothèses!$B$4=17,Hypothèses!$B$4=18,Hypothèses!$B$4=19,Hypothèses!$B$4=20),
IF($D130="Pressio.",
IF(OR($E130=3,$E130=1,$E130=4),DT130,DS130),
IF($D130="Pénétro.",
IF(OR($E130=3,$E130=1,$E130=4),DT130,DS130))),IF($D130="Pressio.",
IF($E130=3,DT130,DS130),
IF($D130="Pénétro.",
IF($E130=4,DT130,DS130))))</f>
        <v>#N/A</v>
      </c>
      <c r="DV130" s="31" t="e">
        <f>(IF(OR(Hypothèses!$B$4=17,Hypothèses!$B$4=18,Hypothèses!$B$4=19,Hypothèses!$B$4=20),
IF($D130="Pressio.",
IF(OR($E130=3,$E130=1,$E130=4),(PI()*DV$12^2)/4*(DR130*$W130*1000)/($H130*$B$5),(PI()*DV$12^2)/4*(DR130*$W130*1000)/($G130*$B$5)),
IF($D130="Pénétro.",
IF(OR($E130=4,$E130=1,$E130=5),(PI()*DV$12^2)/4*(DR130*$W130*1000)/($H130*$B$5),(PI()*DV$12^2)/4*(DR130*$W130*1000)/($G130*$B$5)))),
IF($D130="Pressio.",
IF($E130=3,(PI()*DV$12^2)/4*(DR130*$W130*1000)/($H130*$B$5),(PI()*DV$12^2)/4*(DR130*$W130*1000)/($G130*$B$5)),
IF($D130="Pénétro.",
IF($E130=4,(PI()*DV$12^2)/4*(DR130*$W130*1000)/($H130*$B$5),(PI()*DV$12^2)/4*(DR130*$W130*1000)/($G130*$B$5))))))/10</f>
        <v>#N/A</v>
      </c>
      <c r="DW130" s="102" t="e">
        <f>(VLOOKUP($B$3,'Coeff EC7'!$T$39:$X$59,2,0)*DU130+VLOOKUP($B$3,'Coeff EC7'!$T$65:$X$85,2,0)*Model0.1C!DV130)/1.1</f>
        <v>#N/A</v>
      </c>
      <c r="DX130" s="102" t="e">
        <f>(VLOOKUP($B$3,'Coeff EC7'!$T$39:$X$59,3,0)*DU130+VLOOKUP($B$3,'Coeff EC7'!$T$65:$X$85,3,0)*Model0.1C!DV130)/0.9</f>
        <v>#N/A</v>
      </c>
      <c r="DY130" s="102" t="e">
        <f t="shared" si="190"/>
        <v>#N/A</v>
      </c>
      <c r="DZ130" s="102" t="e">
        <f t="shared" si="191"/>
        <v>#N/A</v>
      </c>
      <c r="EA130" s="414" t="e">
        <f>IF(EA129=0,0,IF(AND(DW130&gt;charge_ELS_quasi,DX130&gt;Charge_ELS_freq,DY130&gt;charge_ELU,DZ130&gt;charge_ELA,$B130&gt;NDC!$H$22-0.1+MIN(3*$EA$12,1.5)),0,1))</f>
        <v>#N/A</v>
      </c>
      <c r="EB130" s="86" t="b">
        <f t="shared" si="159"/>
        <v>0</v>
      </c>
      <c r="EC130" s="418">
        <f t="shared" si="160"/>
        <v>0.51</v>
      </c>
      <c r="ED130" s="86">
        <f t="shared" si="161"/>
        <v>0.51</v>
      </c>
      <c r="EE130" s="30" t="e">
        <f t="shared" ca="1" si="192"/>
        <v>#DIV/0!</v>
      </c>
      <c r="EF130" s="85" t="e">
        <f ca="1">IF(DL130&lt;=Hypothèses!$V$7,Hypothèses!$W$7,IF(DL130&lt;=Hypothèses!$V$8,Hypothèses!$W$8,IF(DL130&lt;=Hypothèses!$V$9,Hypothèses!$W$9,IF(DL130&lt;=Hypothèses!$V$10,Hypothèses!$W$10,IF(DL130&lt;=Hypothèses!$V$11,Hypothèses!$W$11,IF(DL130&lt;=Hypothèses!$V$12,Hypothèses!$W$12,IF(DL130&lt;=Hypothèses!$V$13,Hypothèses!$W$13,IF(DL130&lt;=Hypothèses!$V$14,Hypothèses!$W$14,IF(DL130&lt;=Hypothèses!$V$15,Hypothèses!$W$15,IF(DL130&lt;=Hypothèses!$V$16,Hypothèses!$W$16,IF(DL130&lt;=Hypothèses!$V$17,Hypothèses!$W$17,IF(DL130&lt;=Hypothèses!$V$18,Hypothèses!$W$18,""))))))))))))</f>
        <v>#DIV/0!</v>
      </c>
      <c r="EG130" s="87" t="e">
        <f t="shared" ca="1" si="222"/>
        <v>#DIV/0!</v>
      </c>
      <c r="EH130" s="88" t="e">
        <f ca="1">IF(DL130&lt;=Hypothèses!$V$7,Hypothèses!$X$7,IF(DL130&lt;=Hypothèses!$V$8,Hypothèses!$X$8,IF(DL130&lt;=Hypothèses!$V$9,Hypothèses!$X$9,IF(DL130&lt;=Hypothèses!$V$10,Hypothèses!$X$10,IF(DL130&lt;=Hypothèses!$V$11,Hypothèses!$X$11,IF(DL130&lt;=Hypothèses!$V$12,Hypothèses!$X$12,IF(DL130&lt;=Hypothèses!$V$13,Hypothèses!$X$13,IF(DL130&lt;=Hypothèses!$V$14,Hypothèses!$X$14,IF(DL130&lt;=Hypothèses!$V$15,Hypothèses!$X$15,IF(DL130&lt;=Hypothèses!$V$16,Hypothèses!$X$16,IF(DL130&lt;=Hypothèses!$U$17,Hypothèses!$W$17,IF(DL130&lt;=Hypothèses!$U$18,Hypothèses!$W$18,""))))))))))))</f>
        <v>#DIV/0!</v>
      </c>
      <c r="EI130" s="95" t="e">
        <f t="shared" ca="1" si="193"/>
        <v>#DIV/0!</v>
      </c>
      <c r="EJ130" s="101" t="e">
        <f t="shared" si="229"/>
        <v>#N/A</v>
      </c>
      <c r="EK130" s="91" t="e">
        <f t="shared" si="162"/>
        <v>#N/A</v>
      </c>
      <c r="EL130" s="30" t="e">
        <f t="shared" si="212"/>
        <v>#N/A</v>
      </c>
      <c r="EM130" s="30" t="e">
        <f t="shared" si="213"/>
        <v>#N/A</v>
      </c>
      <c r="EN130" s="31" t="e">
        <f>IF(OR(Hypothèses!$B$4=17,Hypothèses!$B$4=18,Hypothèses!$B$4=19,Hypothèses!$B$4=20),
IF($D130="Pressio.",
IF(OR($E130=3,$E130=1,$E130=4),EM130,EL130),
IF($D130="Pénétro.",
IF(OR($E130=3,$E130=1,$E130=4),EM130,EL130))),IF($D130="Pressio.",
IF($E130=3,EM130,EL130),
IF($D130="Pénétro.",
IF($E130=4,EM130,EL130))))</f>
        <v>#N/A</v>
      </c>
      <c r="EO130" s="31" t="e">
        <f>(IF(OR(Hypothèses!$B$4=17,Hypothèses!$B$4=18,Hypothèses!$B$4=19,Hypothèses!$B$4=20),
IF($D130="Pressio.",
IF(OR($E130=3,$E130=1,$E130=4),(PI()*EO$12^2)/4*(EK130*$W130*1000)/($H130*$B$5),(PI()*EO$12^2)/4*(EK130*$W130*1000)/($G130*$B$5)),
IF($D130="Pénétro.",
IF(OR($E130=4,$E130=1,$E130=5),(PI()*EO$12^2)/4*(EK130*$W130*1000)/($H130*$B$5),(PI()*EO$12^2)/4*(EK130*$W130*1000)/($G130*$B$5)))),
IF($D130="Pressio.",
IF($E130=3,(PI()*EO$12^2)/4*(EK130*$W130*1000)/($H130*$B$5),(PI()*EO$12^2)/4*(EK130*$W130*1000)/($G130*$B$5)),
IF($D130="Pénétro.",
IF($E130=4,(PI()*EO$12^2)/4*(EK130*$W130*1000)/($H130*$B$5),(PI()*EO$12^2)/4*(EK130*$W130*1000)/($G130*$B$5))))))/10</f>
        <v>#N/A</v>
      </c>
      <c r="EP130" s="102" t="e">
        <f>(VLOOKUP($B$3,'Coeff EC7'!$T$39:$X$59,2,0)*EN130+VLOOKUP($B$3,'Coeff EC7'!$T$65:$X$85,2,0)*Model0.1C!EO130)/1.1</f>
        <v>#N/A</v>
      </c>
      <c r="EQ130" s="102" t="e">
        <f>(VLOOKUP($B$3,'Coeff EC7'!$T$39:$X$59,3,0)*EN130+VLOOKUP($B$3,'Coeff EC7'!$T$65:$X$85,3,0)*Model0.1C!EO130)/0.9</f>
        <v>#N/A</v>
      </c>
      <c r="ER130" s="102" t="e">
        <f t="shared" si="194"/>
        <v>#N/A</v>
      </c>
      <c r="ES130" s="102" t="e">
        <f t="shared" si="195"/>
        <v>#N/A</v>
      </c>
      <c r="ET130" s="414" t="e">
        <f>IF(ET129=0,0,IF(AND(EP130&gt;charge_ELS_quasi,EQ130&gt;Charge_ELS_freq,ER130&gt;charge_ELU,ES130&gt;charge_ELA,$B130&gt;NDC!$H$22-0.1+MIN(3*$ET$12,1.5)),0,1))</f>
        <v>#N/A</v>
      </c>
      <c r="EU130" s="86" t="b">
        <f t="shared" si="163"/>
        <v>0</v>
      </c>
      <c r="EV130" s="86">
        <f t="shared" si="164"/>
        <v>0.61</v>
      </c>
      <c r="EW130" s="86">
        <f t="shared" si="165"/>
        <v>0.61</v>
      </c>
      <c r="EX130" s="30" t="e">
        <f t="shared" ca="1" si="196"/>
        <v>#DIV/0!</v>
      </c>
      <c r="EY130" s="85" t="e">
        <f ca="1">IF(EE130&lt;=Hypothèses!$V$7,Hypothèses!$W$7,IF(EE130&lt;=Hypothèses!$V$8,Hypothèses!$W$8,IF(EE130&lt;=Hypothèses!$V$9,Hypothèses!$W$9,IF(EE130&lt;=Hypothèses!$V$10,Hypothèses!$W$10,IF(EE130&lt;=Hypothèses!$V$11,Hypothèses!$W$11,IF(EE130&lt;=Hypothèses!$V$12,Hypothèses!$W$12,IF(EE130&lt;=Hypothèses!$V$13,Hypothèses!$W$13,IF(EE130&lt;=Hypothèses!$V$14,Hypothèses!$W$14,IF(EE130&lt;=Hypothèses!$V$15,Hypothèses!$W$15,IF(EE130&lt;=Hypothèses!$V$16,Hypothèses!$W$16,IF(EE130&lt;=Hypothèses!$V$17,Hypothèses!$W$17,IF(EE130&lt;=Hypothèses!$V$18,Hypothèses!$W$18,""))))))))))))</f>
        <v>#DIV/0!</v>
      </c>
      <c r="EZ130" s="87" t="e">
        <f t="shared" ca="1" si="223"/>
        <v>#DIV/0!</v>
      </c>
      <c r="FA130" s="88" t="e">
        <f ca="1">IF(EE130&lt;=Hypothèses!$V$7,Hypothèses!$X$7,IF(EE130&lt;=Hypothèses!$V$8,Hypothèses!$X$8,IF(EE130&lt;=Hypothèses!$V$9,Hypothèses!$X$9,IF(EE130&lt;=Hypothèses!$V$10,Hypothèses!$X$10,IF(EE130&lt;=Hypothèses!$V$11,Hypothèses!$X$11,IF(EE130&lt;=Hypothèses!$V$12,Hypothèses!$X$12,IF(EE130&lt;=Hypothèses!$V$13,Hypothèses!$X$13,IF(EE130&lt;=Hypothèses!$V$14,Hypothèses!$X$14,IF(EE130&lt;=Hypothèses!$V$15,Hypothèses!$X$15,IF(EE130&lt;=Hypothèses!$V$16,Hypothèses!$X$16,IF(EE130&lt;=Hypothèses!$U$17,Hypothèses!$W$17,IF(EE130&lt;=Hypothèses!$U$18,Hypothèses!$W$18,""))))))))))))</f>
        <v>#DIV/0!</v>
      </c>
      <c r="FB130" s="95" t="e">
        <f t="shared" ca="1" si="197"/>
        <v>#DIV/0!</v>
      </c>
      <c r="FC130" s="101" t="e">
        <f t="shared" si="230"/>
        <v>#N/A</v>
      </c>
      <c r="FD130" s="91" t="e">
        <f t="shared" si="166"/>
        <v>#N/A</v>
      </c>
      <c r="FE130" s="30" t="e">
        <f t="shared" si="214"/>
        <v>#N/A</v>
      </c>
      <c r="FF130" s="30" t="e">
        <f t="shared" si="215"/>
        <v>#N/A</v>
      </c>
      <c r="FG130" s="31" t="e">
        <f>IF(OR(Hypothèses!$B$4=17,Hypothèses!$B$4=18,Hypothèses!$B$4=19,Hypothèses!$B$4=20),
IF($D130="Pressio.",
IF(OR($E130=3,$E130=1,$E130=4),FF130,FE130),
IF($D130="Pénétro.",
IF(OR($E130=3,$E130=1,$E130=4),FF130,FE130))),IF($D130="Pressio.",
IF($E130=3,FF130,FE130),
IF($D130="Pénétro.",
IF($E130=4,FF130,FE130))))</f>
        <v>#N/A</v>
      </c>
      <c r="FH130" s="31" t="e">
        <f>(IF(OR(Hypothèses!$B$4=17,Hypothèses!$B$4=18,Hypothèses!$B$4=19,Hypothèses!$B$4=20),
IF($D130="Pressio.",
IF(OR($E130=3,$E130=1,$E130=4),(PI()*FH$12^2)/4*(FD130*$W130*1000)/($H130*$B$5),(PI()*FH$12^2)/4*(FD130*$W130*1000)/($G130*$B$5)),
IF($D130="Pénétro.",
IF(OR($E130=4,$E130=1,$E130=5),(PI()*FH$12^2)/4*(FD130*$W130*1000)/($H130*$B$5),(PI()*FH$12^2)/4*(FD130*$W130*1000)/($G130*$B$5)))),
IF($D130="Pressio.",
IF($E130=3,(PI()*FH$12^2)/4*(FD130*$W130*1000)/($H130*$B$5),(PI()*FH$12^2)/4*(FD130*$W130*1000)/($G130*$B$5)),
IF($D130="Pénétro.",
IF($E130=4,(PI()*FH$12^2)/4*(FD130*$W130*1000)/($H130*$B$5),(PI()*FH$12^2)/4*(FD130*$W130*1000)/($G130*$B$5))))))/10</f>
        <v>#N/A</v>
      </c>
      <c r="FI130" s="102" t="e">
        <f>(VLOOKUP($B$3,'Coeff EC7'!$T$39:$X$59,2,0)*FG130+VLOOKUP($B$3,'Coeff EC7'!$T$65:$X$85,2,0)*Model0.1C!FH130)/1.1</f>
        <v>#N/A</v>
      </c>
      <c r="FJ130" s="102" t="e">
        <f>(VLOOKUP($B$3,'Coeff EC7'!$T$39:$X$59,3,0)*FG130+VLOOKUP($B$3,'Coeff EC7'!$T$65:$X$85,3,0)*Model0.1C!FH130)/0.9</f>
        <v>#N/A</v>
      </c>
      <c r="FK130" s="102" t="e">
        <f t="shared" si="198"/>
        <v>#N/A</v>
      </c>
      <c r="FL130" s="102" t="e">
        <f t="shared" si="199"/>
        <v>#N/A</v>
      </c>
      <c r="FM130" s="414" t="e">
        <f>IF(FM129=0,0,IF(AND(FI130&gt;charge_ELS_quasi,FJ130&gt;Charge_ELS_freq,FK130&gt;charge_ELU,FL130&gt;charge_ELA,$B130&gt;NDC!$H$22-0.1+MIN(3*$FM$12,1.5)),0,1))</f>
        <v>#N/A</v>
      </c>
    </row>
    <row r="131" spans="1:169">
      <c r="A131" s="96">
        <f t="shared" si="167"/>
        <v>88.200000000000671</v>
      </c>
      <c r="B131" s="97">
        <v>11.8</v>
      </c>
      <c r="C131" s="81">
        <f>IF(B131&lt;=Hypothèses!$C$7,Hypothèses!$A$7,IF(B131&lt;=Hypothèses!$C$8,Hypothèses!$A$8,IF(B131&lt;=Hypothèses!$C$9,Hypothèses!$A$9,IF(B131&lt;=Hypothèses!$C$10,Hypothèses!$A$10,IF(B131&lt;=Hypothèses!$C$11,Hypothèses!$A$11,IF(B131&lt;=Hypothèses!$C$12,Hypothèses!$A$12,IF(B131&lt;=Hypothèses!$C$13,Hypothèses!$A$13,IF(B131&lt;=Hypothèses!$C$14,Hypothèses!$A$14,IF(B131&lt;=Hypothèses!$C$15,Hypothèses!$A$15,IF(B131&lt;=Hypothèses!$C$16,Hypothèses!$A$16,IF(B131&lt;=Hypothèses!$C$17,Hypothèses!$A$17,IF(B131&lt;=Hypothèses!$C$18,Hypothèses!$A$18,C130))))))))))))</f>
        <v>11</v>
      </c>
      <c r="D131" s="82" t="str">
        <f>IF(B131&lt;=Hypothèses!$C$7,Hypothèses!$R$7,IF(B131&lt;=Hypothèses!$C$8,Hypothèses!$R$8,IF(B131&lt;=Hypothèses!$C$9,Hypothèses!$R$9,IF(B131&lt;=Hypothèses!$C$10,Hypothèses!$R$10,IF(B131&lt;=Hypothèses!$C$11,Hypothèses!$R$11,IF(B131&lt;=Hypothèses!$C$12,Hypothèses!$R$12,IF(B131&lt;=Hypothèses!$C$13,Hypothèses!$R$13,IF(B131&lt;=Hypothèses!$C$14,Hypothèses!$R$14,IF(B131&lt;=Hypothèses!$C$15,Hypothèses!$R$15,IF(B131&lt;=Hypothèses!$C$16,Hypothèses!$R$16,IF(B131&lt;=Hypothèses!$C$17,Hypothèses!$R$17,IF(B131&lt;=Hypothèses!$C$18,Hypothèses!$R$18,D130))))))))))))</f>
        <v>Pressio.</v>
      </c>
      <c r="E131" s="82" t="e">
        <f>IF(B131&lt;=Hypothèses!$C$7,Hypothèses!$G$7,IF(B131&lt;=Hypothèses!$C$8,Hypothèses!$G$8,IF(B131&lt;=Hypothèses!$C$9,Hypothèses!$G$9,IF(B131&lt;=Hypothèses!$C$10,Hypothèses!$G$10,IF(B131&lt;=Hypothèses!$C$11,Hypothèses!$G$11,IF(B131&lt;=Hypothèses!$C$12,Hypothèses!$G$12,IF(B131&lt;=Hypothèses!$C$13,Hypothèses!$G$13,IF(B131&lt;=Hypothèses!$C$14,Hypothèses!$G$14,IF(B131&lt;=Hypothèses!$C$15,Hypothèses!$G$15,IF(B131&lt;=Hypothèses!$C$16,Hypothèses!$G$16,IF(B131&lt;=Hypothèses!$C$17,Hypothèses!$G$17,IF(B131&lt;=Hypothèses!$C$18,Hypothèses!$G$18,E130))))))))))))</f>
        <v>#N/A</v>
      </c>
      <c r="F131" s="82" t="str">
        <f>IF(B131&lt;=Hypothèses!$C$7,Hypothèses!$F$7,IF(B131&lt;=Hypothèses!$C$8,Hypothèses!$F$8,IF(B131&lt;=Hypothèses!$C$9,Hypothèses!$F$9,IF(B131&lt;=Hypothèses!$C$10,Hypothèses!$F$10,IF(B131&lt;=Hypothèses!$C$11,Hypothèses!$F$11,IF(B131&lt;=Hypothèses!$C$12,Hypothèses!$F$12,IF(B131&lt;=Hypothèses!$C$13,Hypothèses!$F$13,IF(B131&lt;=Hypothèses!$C$14,Hypothèses!$F$14,IF(B131&lt;=Hypothèses!$C$15,Hypothèses!$F$15,IF(B131&lt;=Hypothèses!$C$16,Hypothèses!$F$16,IF(B131&lt;=Hypothèses!$C$17,Hypothèses!$F$17,IF(B131&lt;=Hypothèses!$C$18,Hypothèses!$F$18,F130))))))))))))</f>
        <v/>
      </c>
      <c r="G131" s="91">
        <f t="array" ref="G131">INDEX('Coeff EC7'!$U$7:$X$27,
MATCH(Model0.1C!$B$3,'Coeff EC7'!$T$7:$T$27,0),
MATCH(Model0.1C!$D131&amp;Model0.1C!$B$4,
'Coeff EC7'!$U$6:$X$6&amp;
'Coeff EC7'!$U$5:$X$5,0))</f>
        <v>1.1499999999999999</v>
      </c>
      <c r="H131" s="91">
        <f t="array" ref="H131">INDEX('Coeff EC7'!$Y$7:$AB$27,
MATCH(Model0.1C!$B$3,'Coeff EC7'!$T$7:$T$27,0),
MATCH(Model0.1C!$D131&amp;Model0.1C!$B$4,
'Coeff EC7'!$Y$6:$AB$6&amp;
'Coeff EC7'!$Y$5:$AB$5,0))</f>
        <v>1.4</v>
      </c>
      <c r="I131" s="83" t="e">
        <f>IF(B131&lt;=Hypothèses!$C$7,Hypothèses!$P$7,IF(B131&lt;=Hypothèses!$C$8,Hypothèses!$P$8,IF(B131&lt;=Hypothèses!$C$9,Hypothèses!$P$9,IF(B131&lt;=Hypothèses!$C$10,Hypothèses!$P$10,IF(B131&lt;=Hypothèses!$C$11,Hypothèses!$P$11,IF(B131&lt;=Hypothèses!$C$12,Hypothèses!$P$12,IF(B131&lt;=Hypothèses!$C$13,Hypothèses!$P$13,IF(B131&lt;=Hypothèses!$C$14,Hypothèses!$P$14,IF(B131&lt;=Hypothèses!$C$15,Hypothèses!$P$15,IF(B131&lt;=Hypothèses!$C$16,Hypothèses!$P$16,IF(B131&lt;=Hypothèses!$C$17,Hypothèses!$P$17,IF(B131&lt;=Hypothèses!$C$18,Hypothèses!$P$18,I130))))))))))))</f>
        <v>#N/A</v>
      </c>
      <c r="J131" s="91" t="e">
        <f t="array" ref="J131">INDEX('Coeff EC7'!$D$33:$Q$33,1,MATCH(D131&amp;E131,'Coeff EC7'!$D$31:$Q$31&amp;'Coeff EC7'!$D$32:$Q$32,0))</f>
        <v>#N/A</v>
      </c>
      <c r="K131" s="91" t="e">
        <f t="array" ref="K131">INDEX('Coeff EC7'!$D$34:$Q$34,1,MATCH(D131&amp;E131,'Coeff EC7'!$D$31:$Q$31&amp;'Coeff EC7'!$D$32:$Q$32,0))</f>
        <v>#N/A</v>
      </c>
      <c r="L131" s="91" t="e">
        <f t="array" ref="L131">INDEX('Coeff EC7'!$D$35:$Q$35,1,MATCH(D131&amp;E131,'Coeff EC7'!$D$31:$Q$31&amp;'Coeff EC7'!$D$32:$Q$32,0))</f>
        <v>#N/A</v>
      </c>
      <c r="M131" s="98" t="e">
        <f t="shared" si="131"/>
        <v>#N/A</v>
      </c>
      <c r="N131" s="99" t="e">
        <f t="array" ref="N131">INDEX('Coeff EC7'!$D$7:$Q$27,MATCH($B$3,'Coeff EC7'!$C$7:$C$27,0),MATCH(D131&amp;E131,'Coeff EC7'!$D$5:$Q$5&amp;'Coeff EC7'!$D$6:$Q$6,0))</f>
        <v>#N/A</v>
      </c>
      <c r="O131" s="99" t="e">
        <f t="array" ref="O131">INDEX('Coeff EC7'!$D$41:$Q$61,MATCH($B$3,'Coeff EC7'!$C$41:$C$61,0),MATCH(D131&amp;E131,'Coeff EC7'!$D$39:$Q$39&amp;'Coeff EC7'!$D$40:$Q$40,0))</f>
        <v>#N/A</v>
      </c>
      <c r="P131" s="30" t="e">
        <f t="shared" si="168"/>
        <v>#N/A</v>
      </c>
      <c r="Q131" s="100" t="e">
        <f t="shared" si="133"/>
        <v>#N/A</v>
      </c>
      <c r="R131" s="86" t="b">
        <f t="shared" si="134"/>
        <v>0</v>
      </c>
      <c r="S131" s="86">
        <f t="shared" si="132"/>
        <v>0.5</v>
      </c>
      <c r="T131" s="86">
        <f t="shared" si="135"/>
        <v>0.5</v>
      </c>
      <c r="U131" s="30" t="e">
        <f t="shared" ca="1" si="169"/>
        <v>#DIV/0!</v>
      </c>
      <c r="V131" s="85" t="str">
        <f>IF(B131&lt;=Hypothèses!$V$7,Hypothèses!$W$7,IF(B131&lt;=Hypothèses!$V$8,Hypothèses!$W$8,IF(B131&lt;=Hypothèses!$V$9,Hypothèses!$W$9,IF(B131&lt;=Hypothèses!$V$10,Hypothèses!$W$10,IF(B131&lt;=Hypothèses!$V$11,Hypothèses!$W$11,IF(B131&lt;=Hypothèses!$V$12,Hypothèses!$W$12,IF(B131&lt;=Hypothèses!$V$13,Hypothèses!$W$13,IF(B131&lt;=Hypothèses!$V$14,Hypothèses!$W$14,IF(B131&lt;=Hypothèses!$V$15,Hypothèses!$W$15,IF(B131&lt;=Hypothèses!$V$16,Hypothèses!$W$16,IF(B131&lt;=Hypothèses!$V$17,Hypothèses!$W$17,IF(B131&lt;=Hypothèses!$V$18,Hypothèses!$W$18,""))))))))))))</f>
        <v/>
      </c>
      <c r="W131" s="87" t="e">
        <f t="shared" ca="1" si="216"/>
        <v>#DIV/0!</v>
      </c>
      <c r="X131" s="88" t="str">
        <f>IF(B131&lt;=Hypothèses!$V$7,Hypothèses!$X$7,IF(B131&lt;=Hypothèses!$V$8,Hypothèses!$X$8,IF(B131&lt;=Hypothèses!$V$9,Hypothèses!$X$9,IF(B131&lt;=Hypothèses!$V$10,Hypothèses!$X$10,IF(B131&lt;=Hypothèses!$V$11,Hypothèses!$X$11,IF(B131&lt;=Hypothèses!$V$12,Hypothèses!$X$12,IF(B131&lt;=Hypothèses!$V$13,Hypothèses!$X$13,IF(B131&lt;=Hypothèses!$V$14,Hypothèses!$X$14,IF(B131&lt;=Hypothèses!$V$15,Hypothèses!$X$15,IF(B131&lt;=Hypothèses!$V$16,Hypothèses!$X$16,IF(B131&lt;=Hypothèses!$U$17,Hypothèses!$W$17,IF(B131&lt;=Hypothèses!$U$18,Hypothèses!$W$18,""))))))))))))</f>
        <v/>
      </c>
      <c r="Y131" s="95" t="e">
        <f t="shared" ca="1" si="136"/>
        <v>#DIV/0!</v>
      </c>
      <c r="Z131" s="101" t="e">
        <f t="shared" si="137"/>
        <v>#N/A</v>
      </c>
      <c r="AA131" s="91" t="e">
        <f t="shared" si="138"/>
        <v>#N/A</v>
      </c>
      <c r="AB131" s="30" t="e">
        <f t="shared" si="200"/>
        <v>#N/A</v>
      </c>
      <c r="AC131" s="30" t="e">
        <f t="shared" si="201"/>
        <v>#N/A</v>
      </c>
      <c r="AD131" s="31" t="e">
        <f>IF(OR(Hypothèses!$B$4=17,Hypothèses!$B$4=18,Hypothèses!$B$4=19,Hypothèses!$B$4=20),
IF($D131="Pressio.",
IF(OR($E131=3,$E131=1,$E131=4),AC131,AB131),
IF($D131="Pénétro.",
IF(OR($E131=3,$E131=1,$E131=4),AC131,AB131))),IF($D131="Pressio.",
IF($E131=3,AC131,AB131),
IF($D131="Pénétro.",
IF($E131=4,AC131,AB131))))</f>
        <v>#N/A</v>
      </c>
      <c r="AE131" s="31" t="e">
        <f>(IF(OR(Hypothèses!$B$4=17,Hypothèses!$B$4=18,Hypothèses!$B$4=19,Hypothèses!$B$4=20),
IF($D131="Pressio.",
IF(OR($E131=3,$E131=1,$E131=4),(PI()*AE$12^2)/4*(AA131*$W131*1000)/($H131*$B$5),(PI()*AE$12^2)/4*(AA131*$W131*1000)/($G131*$B$5)),
IF($D131="Pénétro.",
IF(OR($E131=4,$E131=1,$E131=5),(PI()*AE$12^2)/4*(AA131*$W131*1000)/($H131*$B$5),(PI()*AE$12^2)/4*(AA131*$W131*1000)/($G131*$B$5)))),
IF($D131="Pressio.",
IF($E131=3,(PI()*AE$12^2)/4*(AA131*$W131*1000)/($H131*$B$5),(PI()*AE$12^2)/4*(AA131*$W131*1000)/($G131*$B$5)),
IF($D131="Pénétro.",
IF($E131=4,(PI()*AE$12^2)/4*(AA131*$W131*1000)/($H131*$B$5),(PI()*AE$12^2)/4*(AA131*$W131*1000)/($G131*$B$5))))))/10</f>
        <v>#N/A</v>
      </c>
      <c r="AF131" s="102" t="e">
        <f>(VLOOKUP($B$3,'Coeff EC7'!$T$39:$X$59,2,0)*AD131+VLOOKUP($B$3,'Coeff EC7'!$T$65:$X$85,2,0)*Model0.1C!AE131)/1.1</f>
        <v>#N/A</v>
      </c>
      <c r="AG131" s="102" t="e">
        <f>(VLOOKUP($B$3,'Coeff EC7'!$T$39:$X$59,3,0)*AD131+VLOOKUP($B$3,'Coeff EC7'!$T$65:$X$85,3,0)*Model0.1C!AE131)/0.9</f>
        <v>#N/A</v>
      </c>
      <c r="AH131" s="102" t="e">
        <f t="shared" si="139"/>
        <v>#N/A</v>
      </c>
      <c r="AI131" s="102" t="e">
        <f t="shared" si="140"/>
        <v>#N/A</v>
      </c>
      <c r="AJ131" s="414" t="e">
        <f>IF(AJ130=0,0,IF(AND(AF131&gt;charge_ELS_quasi,AG131&gt;Charge_ELS_freq,AH131&gt;charge_ELU,AI131&gt;charge_ELA,$B131&gt;NDC!$H$22-0.1+MIN(3*$AJ$12,1.5)),0,1))</f>
        <v>#N/A</v>
      </c>
      <c r="AK131" s="86" t="b">
        <f t="shared" si="141"/>
        <v>0</v>
      </c>
      <c r="AL131" s="86">
        <f t="shared" si="170"/>
        <v>0.5</v>
      </c>
      <c r="AM131" s="86">
        <f t="shared" si="142"/>
        <v>0.5</v>
      </c>
      <c r="AN131" s="30" t="e">
        <f t="shared" ca="1" si="171"/>
        <v>#DIV/0!</v>
      </c>
      <c r="AO131" s="85" t="e">
        <f ca="1">IF(U131&lt;=Hypothèses!$V$7,Hypothèses!$W$7,IF(U131&lt;=Hypothèses!$V$8,Hypothèses!$W$8,IF(U131&lt;=Hypothèses!$V$9,Hypothèses!$W$9,IF(U131&lt;=Hypothèses!$V$10,Hypothèses!$W$10,IF(U131&lt;=Hypothèses!$V$11,Hypothèses!$W$11,IF(U131&lt;=Hypothèses!$V$12,Hypothèses!$W$12,IF(U131&lt;=Hypothèses!$V$13,Hypothèses!$W$13,IF(U131&lt;=Hypothèses!$V$14,Hypothèses!$W$14,IF(U131&lt;=Hypothèses!$V$15,Hypothèses!$W$15,IF(U131&lt;=Hypothèses!$V$16,Hypothèses!$W$16,IF(U131&lt;=Hypothèses!$V$17,Hypothèses!$W$17,IF(U131&lt;=Hypothèses!$V$18,Hypothèses!$W$18,""))))))))))))</f>
        <v>#DIV/0!</v>
      </c>
      <c r="AP131" s="87" t="e">
        <f t="shared" ca="1" si="217"/>
        <v>#DIV/0!</v>
      </c>
      <c r="AQ131" s="88" t="e">
        <f ca="1">IF(U131&lt;=Hypothèses!$V$7,Hypothèses!$X$7,IF(U131&lt;=Hypothèses!$V$8,Hypothèses!$X$8,IF(U131&lt;=Hypothèses!$V$9,Hypothèses!$X$9,IF(U131&lt;=Hypothèses!$V$10,Hypothèses!$X$10,IF(U131&lt;=Hypothèses!$V$11,Hypothèses!$X$11,IF(U131&lt;=Hypothèses!$V$12,Hypothèses!$X$12,IF(U131&lt;=Hypothèses!$V$13,Hypothèses!$X$13,IF(U131&lt;=Hypothèses!$V$14,Hypothèses!$X$14,IF(U131&lt;=Hypothèses!$V$15,Hypothèses!$X$15,IF(U131&lt;=Hypothèses!$V$16,Hypothèses!$X$16,IF(U131&lt;=Hypothèses!$U$17,Hypothèses!$W$17,IF(U131&lt;=Hypothèses!$U$18,Hypothèses!$W$18,""))))))))))))</f>
        <v>#DIV/0!</v>
      </c>
      <c r="AR131" s="95" t="e">
        <f t="shared" ca="1" si="172"/>
        <v>#DIV/0!</v>
      </c>
      <c r="AS131" s="101" t="e">
        <f t="shared" si="224"/>
        <v>#N/A</v>
      </c>
      <c r="AT131" s="91" t="e">
        <f t="shared" si="143"/>
        <v>#N/A</v>
      </c>
      <c r="AU131" s="30" t="e">
        <f t="shared" si="202"/>
        <v>#N/A</v>
      </c>
      <c r="AV131" s="30" t="e">
        <f t="shared" si="203"/>
        <v>#N/A</v>
      </c>
      <c r="AW131" s="31" t="e">
        <f>IF(OR(Hypothèses!$B$4=17,Hypothèses!$B$4=18,Hypothèses!$B$4=19,Hypothèses!$B$4=20),
IF($D131="Pressio.",
IF(OR($E131=3,$E131=1,$E131=4),AV131,AU131),
IF($D131="Pénétro.",
IF(OR($E131=3,$E131=1,$E131=4),AV131,AU131))),IF($D131="Pressio.",
IF($E131=3,AV131,AU131),
IF($D131="Pénétro.",
IF($E131=4,AV131,AU131))))</f>
        <v>#N/A</v>
      </c>
      <c r="AX131" s="31" t="e">
        <f>(IF(OR(Hypothèses!$B$4=17,Hypothèses!$B$4=18,Hypothèses!$B$4=19,Hypothèses!$B$4=20),
IF($D131="Pressio.",
IF(OR($E131=3,$E131=1,$E131=4),(PI()*AX$12^2)/4*(AT131*$W131*1000)/($H131*$B$5),(PI()*AX$12^2)/4*(AT131*$W131*1000)/($G131*$B$5)),
IF($D131="Pénétro.",
IF(OR($E131=4,$E131=1,$E131=5),(PI()*AX$12^2)/4*(AT131*$W131*1000)/($H131*$B$5),(PI()*AX$12^2)/4*(AT131*$W131*1000)/($G131*$B$5)))),
IF($D131="Pressio.",
IF($E131=3,(PI()*AX$12^2)/4*(AT131*$W131*1000)/($H131*$B$5),(PI()*AX$12^2)/4*(AT131*$W131*1000)/($G131*$B$5)),
IF($D131="Pénétro.",
IF($E131=4,(PI()*AX$12^2)/4*(AT131*$W131*1000)/($H131*$B$5),(PI()*AX$12^2)/4*(AT131*$W131*1000)/($G131*$B$5))))))/10</f>
        <v>#N/A</v>
      </c>
      <c r="AY131" s="102" t="e">
        <f>(VLOOKUP($B$3,'Coeff EC7'!$T$39:$X$59,2,0)*AW131+VLOOKUP($B$3,'Coeff EC7'!$T$65:$X$85,2,0)*Model0.1C!AX131)/1.1</f>
        <v>#N/A</v>
      </c>
      <c r="AZ131" s="102" t="e">
        <f>(VLOOKUP($B$3,'Coeff EC7'!$T$39:$X$59,3,0)*AW131+VLOOKUP($B$3,'Coeff EC7'!$T$65:$X$85,3,0)*Model0.1C!AX131)/0.9</f>
        <v>#N/A</v>
      </c>
      <c r="BA131" s="102" t="e">
        <f t="shared" si="173"/>
        <v>#N/A</v>
      </c>
      <c r="BB131" s="102" t="e">
        <f t="shared" si="174"/>
        <v>#N/A</v>
      </c>
      <c r="BC131" s="414" t="e">
        <f>IF(BC130=0,0,IF(AND(AY131&gt;charge_ELS_quasi,AZ131&gt;Charge_ELS_freq,BA131&gt;charge_ELU,BB131&gt;charge_ELA,$B131&gt;NDC!$H$22-0.1+MIN(3*$BC$12,1.5)),0,1))</f>
        <v>#N/A</v>
      </c>
      <c r="BD131" s="86" t="b">
        <f t="shared" si="144"/>
        <v>0</v>
      </c>
      <c r="BE131" s="86">
        <f t="shared" si="175"/>
        <v>0.5</v>
      </c>
      <c r="BF131" s="86">
        <f t="shared" si="145"/>
        <v>0.5</v>
      </c>
      <c r="BG131" s="30" t="e">
        <f t="shared" ca="1" si="176"/>
        <v>#DIV/0!</v>
      </c>
      <c r="BH131" s="85" t="e">
        <f ca="1">IF(AN131&lt;=Hypothèses!$V$7,Hypothèses!$W$7,IF(AN131&lt;=Hypothèses!$V$8,Hypothèses!$W$8,IF(AN131&lt;=Hypothèses!$V$9,Hypothèses!$W$9,IF(AN131&lt;=Hypothèses!$V$10,Hypothèses!$W$10,IF(AN131&lt;=Hypothèses!$V$11,Hypothèses!$W$11,IF(AN131&lt;=Hypothèses!$V$12,Hypothèses!$W$12,IF(AN131&lt;=Hypothèses!$V$13,Hypothèses!$W$13,IF(AN131&lt;=Hypothèses!$V$14,Hypothèses!$W$14,IF(AN131&lt;=Hypothèses!$V$15,Hypothèses!$W$15,IF(AN131&lt;=Hypothèses!$V$16,Hypothèses!$W$16,IF(AN131&lt;=Hypothèses!$V$17,Hypothèses!$W$17,IF(AN131&lt;=Hypothèses!$V$18,Hypothèses!$W$18,""))))))))))))</f>
        <v>#DIV/0!</v>
      </c>
      <c r="BI131" s="87" t="e">
        <f t="shared" ca="1" si="218"/>
        <v>#DIV/0!</v>
      </c>
      <c r="BJ131" s="88" t="e">
        <f ca="1">IF(AN131&lt;=Hypothèses!$V$7,Hypothèses!$X$7,IF(AN131&lt;=Hypothèses!$V$8,Hypothèses!$X$8,IF(AN131&lt;=Hypothèses!$V$9,Hypothèses!$X$9,IF(AN131&lt;=Hypothèses!$V$10,Hypothèses!$X$10,IF(AN131&lt;=Hypothèses!$V$11,Hypothèses!$X$11,IF(AN131&lt;=Hypothèses!$V$12,Hypothèses!$X$12,IF(AN131&lt;=Hypothèses!$V$13,Hypothèses!$X$13,IF(AN131&lt;=Hypothèses!$V$14,Hypothèses!$X$14,IF(AN131&lt;=Hypothèses!$V$15,Hypothèses!$X$15,IF(AN131&lt;=Hypothèses!$V$16,Hypothèses!$X$16,IF(AN131&lt;=Hypothèses!$U$17,Hypothèses!$W$17,IF(AN131&lt;=Hypothèses!$U$18,Hypothèses!$W$18,""))))))))))))</f>
        <v>#DIV/0!</v>
      </c>
      <c r="BK131" s="95" t="e">
        <f t="shared" ca="1" si="177"/>
        <v>#DIV/0!</v>
      </c>
      <c r="BL131" s="101" t="e">
        <f t="shared" si="225"/>
        <v>#N/A</v>
      </c>
      <c r="BM131" s="91" t="e">
        <f t="shared" si="146"/>
        <v>#N/A</v>
      </c>
      <c r="BN131" s="30" t="e">
        <f t="shared" si="204"/>
        <v>#N/A</v>
      </c>
      <c r="BO131" s="30" t="e">
        <f t="shared" si="205"/>
        <v>#N/A</v>
      </c>
      <c r="BP131" s="31" t="e">
        <f>IF(OR(Hypothèses!$B$4=17,Hypothèses!$B$4=18,Hypothèses!$B$4=19,Hypothèses!$B$4=20),
IF($D131="Pressio.",
IF(OR($E131=3,$E131=1,$E131=4),BO131,BN131),
IF($D131="Pénétro.",
IF(OR($E131=3,$E131=1,$E131=4),BO131,BN131))),IF($D131="Pressio.",
IF($E131=3,BO131,BN131),
IF($D131="Pénétro.",
IF($E131=4,BO131,BN131))))</f>
        <v>#N/A</v>
      </c>
      <c r="BQ131" s="31" t="e">
        <f>(IF(OR(Hypothèses!$B$4=17,Hypothèses!$B$4=18,Hypothèses!$B$4=19,Hypothèses!$B$4=20),
IF($D131="Pressio.",
IF(OR($E131=3,$E131=1,$E131=4),(PI()*BQ$12^2)/4*(BM131*$W131*1000)/($H131*$B$5),(PI()*BQ$12^2)/4*(BM131*$W131*1000)/($G131*$B$5)),
IF($D131="Pénétro.",
IF(OR($E131=4,$E131=1,$E131=5),(PI()*BQ$12^2)/4*(BM131*$W131*1000)/($H131*$B$5),(PI()*BQ$12^2)/4*(BM131*$W131*1000)/($G131*$B$5)))),
IF($D131="Pressio.",
IF($E131=3,(PI()*BQ$12^2)/4*(BM131*$W131*1000)/($H131*$B$5),(PI()*BQ$12^2)/4*(BM131*$W131*1000)/($G131*$B$5)),
IF($D131="Pénétro.",
IF($E131=4,(PI()*BQ$12^2)/4*(BM131*$W131*1000)/($H131*$B$5),(PI()*BQ$12^2)/4*(BM131*$W131*1000)/($G131*$B$5))))))/10</f>
        <v>#N/A</v>
      </c>
      <c r="BR131" s="102" t="e">
        <f>(VLOOKUP($B$3,'Coeff EC7'!$T$39:$X$59,2,0)*BP131+VLOOKUP($B$3,'Coeff EC7'!$T$65:$X$85,2,0)*Model0.1C!BQ131)/1.1</f>
        <v>#N/A</v>
      </c>
      <c r="BS131" s="102" t="e">
        <f>(VLOOKUP($B$3,'Coeff EC7'!$T$39:$X$59,3,0)*BP131+VLOOKUP($B$3,'Coeff EC7'!$T$65:$X$85,3,0)*Model0.1C!BQ131)/0.9</f>
        <v>#N/A</v>
      </c>
      <c r="BT131" s="102" t="e">
        <f t="shared" si="178"/>
        <v>#N/A</v>
      </c>
      <c r="BU131" s="102" t="e">
        <f t="shared" si="179"/>
        <v>#N/A</v>
      </c>
      <c r="BV131" s="414" t="e">
        <f>IF(BV130=0,0,IF(AND(BR131&gt;charge_ELS_quasi,BS131&gt;Charge_ELS_freq,BT131&gt;charge_ELU,BU131&gt;charge_ELA,$B131&gt;NDC!$H$22-0.1+MIN(3*$BV$12,1.5)),0,1))</f>
        <v>#N/A</v>
      </c>
      <c r="BW131" s="86" t="b">
        <f t="shared" si="147"/>
        <v>0</v>
      </c>
      <c r="BX131" s="86">
        <f t="shared" si="148"/>
        <v>0.5</v>
      </c>
      <c r="BY131" s="86">
        <f t="shared" si="149"/>
        <v>0.5</v>
      </c>
      <c r="BZ131" s="30" t="e">
        <f t="shared" ca="1" si="180"/>
        <v>#DIV/0!</v>
      </c>
      <c r="CA131" s="85" t="e">
        <f ca="1">IF(BG131&lt;=Hypothèses!$V$7,Hypothèses!$W$7,IF(BG131&lt;=Hypothèses!$V$8,Hypothèses!$W$8,IF(BG131&lt;=Hypothèses!$V$9,Hypothèses!$W$9,IF(BG131&lt;=Hypothèses!$V$10,Hypothèses!$W$10,IF(BG131&lt;=Hypothèses!$V$11,Hypothèses!$W$11,IF(BG131&lt;=Hypothèses!$V$12,Hypothèses!$W$12,IF(BG131&lt;=Hypothèses!$V$13,Hypothèses!$W$13,IF(BG131&lt;=Hypothèses!$V$14,Hypothèses!$W$14,IF(BG131&lt;=Hypothèses!$V$15,Hypothèses!$W$15,IF(BG131&lt;=Hypothèses!$V$16,Hypothèses!$W$16,IF(BG131&lt;=Hypothèses!$V$17,Hypothèses!$W$17,IF(BG131&lt;=Hypothèses!$V$18,Hypothèses!$W$18,""))))))))))))</f>
        <v>#DIV/0!</v>
      </c>
      <c r="CB131" s="87" t="e">
        <f t="shared" ca="1" si="219"/>
        <v>#DIV/0!</v>
      </c>
      <c r="CC131" s="88" t="e">
        <f ca="1">IF(BG131&lt;=Hypothèses!$V$7,Hypothèses!$X$7,IF(BG131&lt;=Hypothèses!$V$8,Hypothèses!$X$8,IF(BG131&lt;=Hypothèses!$V$9,Hypothèses!$X$9,IF(BG131&lt;=Hypothèses!$V$10,Hypothèses!$X$10,IF(BG131&lt;=Hypothèses!$V$11,Hypothèses!$X$11,IF(BG131&lt;=Hypothèses!$V$12,Hypothèses!$X$12,IF(BG131&lt;=Hypothèses!$V$13,Hypothèses!$X$13,IF(BG131&lt;=Hypothèses!$V$14,Hypothèses!$X$14,IF(BG131&lt;=Hypothèses!$V$15,Hypothèses!$X$15,IF(BG131&lt;=Hypothèses!$V$16,Hypothèses!$X$16,IF(BG131&lt;=Hypothèses!$U$17,Hypothèses!$W$17,IF(BG131&lt;=Hypothèses!$U$18,Hypothèses!$W$18,""))))))))))))</f>
        <v>#DIV/0!</v>
      </c>
      <c r="CD131" s="95" t="e">
        <f t="shared" ca="1" si="181"/>
        <v>#DIV/0!</v>
      </c>
      <c r="CE131" s="101" t="e">
        <f t="shared" si="226"/>
        <v>#N/A</v>
      </c>
      <c r="CF131" s="91" t="e">
        <f t="shared" si="150"/>
        <v>#N/A</v>
      </c>
      <c r="CG131" s="30" t="e">
        <f t="shared" si="206"/>
        <v>#N/A</v>
      </c>
      <c r="CH131" s="30" t="e">
        <f t="shared" si="207"/>
        <v>#N/A</v>
      </c>
      <c r="CI131" s="31" t="e">
        <f>IF(OR(Hypothèses!$B$4=17,Hypothèses!$B$4=18,Hypothèses!$B$4=19,Hypothèses!$B$4=20),
IF($D131="Pressio.",
IF(OR($E131=3,$E131=1,$E131=4),CH131,CG131),
IF($D131="Pénétro.",
IF(OR($E131=3,$E131=1,$E131=4),CH131,CG131))),IF($D131="Pressio.",
IF($E131=3,CH131,CG131),
IF($D131="Pénétro.",
IF($E131=4,CH131,CG131))))</f>
        <v>#N/A</v>
      </c>
      <c r="CJ131" s="31" t="e">
        <f>(IF(OR(Hypothèses!$B$4=17,Hypothèses!$B$4=18,Hypothèses!$B$4=19,Hypothèses!$B$4=20),
IF($D131="Pressio.",
IF(OR($E131=3,$E131=1,$E131=4),(PI()*CJ$12^2)/4*(CF131*$W131*1000)/($H131*$B$5),(PI()*CJ$12^2)/4*(CF131*$W131*1000)/($G131*$B$5)),
IF($D131="Pénétro.",
IF(OR($E131=4,$E131=1,$E131=5),(PI()*CJ$12^2)/4*(CF131*$W131*1000)/($H131*$B$5),(PI()*CJ$12^2)/4*(CF131*$W131*1000)/($G131*$B$5)))),
IF($D131="Pressio.",
IF($E131=3,(PI()*CJ$12^2)/4*(CF131*$W131*1000)/($H131*$B$5),(PI()*CJ$12^2)/4*(CF131*$W131*1000)/($G131*$B$5)),
IF($D131="Pénétro.",
IF($E131=4,(PI()*CJ$12^2)/4*(CF131*$W131*1000)/($H131*$B$5),(PI()*CJ$12^2)/4*(CF131*$W131*1000)/($G131*$B$5))))))/10</f>
        <v>#N/A</v>
      </c>
      <c r="CK131" s="102" t="e">
        <f>(VLOOKUP($B$3,'Coeff EC7'!$T$39:$X$59,2,0)*CI131+VLOOKUP($B$3,'Coeff EC7'!$T$65:$X$85,2,0)*Model0.1C!CJ131)/1.1</f>
        <v>#N/A</v>
      </c>
      <c r="CL131" s="102" t="e">
        <f>(VLOOKUP($B$3,'Coeff EC7'!$T$39:$X$59,3,0)*CI131+VLOOKUP($B$3,'Coeff EC7'!$T$65:$X$85,3,0)*Model0.1C!CJ131)/0.9</f>
        <v>#N/A</v>
      </c>
      <c r="CM131" s="102" t="e">
        <f t="shared" si="182"/>
        <v>#N/A</v>
      </c>
      <c r="CN131" s="102" t="e">
        <f t="shared" si="183"/>
        <v>#N/A</v>
      </c>
      <c r="CO131" s="414" t="e">
        <f>IF(CO130=0,0,IF(AND(CK131&gt;charge_ELS_quasi,CL131&gt;Charge_ELS_freq,CM131&gt;charge_ELU,CN131&gt;charge_ELA,$B131&gt;NDC!$H$22-0.1+MIN(3*$CO$12,1.5)),0,1))</f>
        <v>#N/A</v>
      </c>
      <c r="CP131" s="86" t="b">
        <f t="shared" si="151"/>
        <v>0</v>
      </c>
      <c r="CQ131" s="86">
        <f t="shared" si="152"/>
        <v>0.5</v>
      </c>
      <c r="CR131" s="86">
        <f t="shared" si="153"/>
        <v>0.5</v>
      </c>
      <c r="CS131" s="30" t="e">
        <f t="shared" ca="1" si="184"/>
        <v>#DIV/0!</v>
      </c>
      <c r="CT131" s="85" t="e">
        <f ca="1">IF(BZ131&lt;=Hypothèses!$V$7,Hypothèses!$W$7,IF(BZ131&lt;=Hypothèses!$V$8,Hypothèses!$W$8,IF(BZ131&lt;=Hypothèses!$V$9,Hypothèses!$W$9,IF(BZ131&lt;=Hypothèses!$V$10,Hypothèses!$W$10,IF(BZ131&lt;=Hypothèses!$V$11,Hypothèses!$W$11,IF(BZ131&lt;=Hypothèses!$V$12,Hypothèses!$W$12,IF(BZ131&lt;=Hypothèses!$V$13,Hypothèses!$W$13,IF(BZ131&lt;=Hypothèses!$V$14,Hypothèses!$W$14,IF(BZ131&lt;=Hypothèses!$V$15,Hypothèses!$W$15,IF(BZ131&lt;=Hypothèses!$V$16,Hypothèses!$W$16,IF(BZ131&lt;=Hypothèses!$V$17,Hypothèses!$W$17,IF(BZ131&lt;=Hypothèses!$V$18,Hypothèses!$W$18,""))))))))))))</f>
        <v>#DIV/0!</v>
      </c>
      <c r="CU131" s="87" t="e">
        <f t="shared" ca="1" si="220"/>
        <v>#DIV/0!</v>
      </c>
      <c r="CV131" s="88" t="e">
        <f ca="1">IF(BZ131&lt;=Hypothèses!$V$7,Hypothèses!$X$7,IF(BZ131&lt;=Hypothèses!$V$8,Hypothèses!$X$8,IF(BZ131&lt;=Hypothèses!$V$9,Hypothèses!$X$9,IF(BZ131&lt;=Hypothèses!$V$10,Hypothèses!$X$10,IF(BZ131&lt;=Hypothèses!$V$11,Hypothèses!$X$11,IF(BZ131&lt;=Hypothèses!$V$12,Hypothèses!$X$12,IF(BZ131&lt;=Hypothèses!$V$13,Hypothèses!$X$13,IF(BZ131&lt;=Hypothèses!$V$14,Hypothèses!$X$14,IF(BZ131&lt;=Hypothèses!$V$15,Hypothèses!$X$15,IF(BZ131&lt;=Hypothèses!$V$16,Hypothèses!$X$16,IF(BZ131&lt;=Hypothèses!$U$17,Hypothèses!$W$17,IF(BZ131&lt;=Hypothèses!$U$18,Hypothèses!$W$18,""))))))))))))</f>
        <v>#DIV/0!</v>
      </c>
      <c r="CW131" s="95" t="e">
        <f t="shared" ca="1" si="185"/>
        <v>#DIV/0!</v>
      </c>
      <c r="CX131" s="101" t="e">
        <f t="shared" si="227"/>
        <v>#N/A</v>
      </c>
      <c r="CY131" s="91" t="e">
        <f t="shared" si="154"/>
        <v>#N/A</v>
      </c>
      <c r="CZ131" s="30" t="e">
        <f t="shared" si="208"/>
        <v>#N/A</v>
      </c>
      <c r="DA131" s="30" t="e">
        <f t="shared" si="209"/>
        <v>#N/A</v>
      </c>
      <c r="DB131" s="31" t="e">
        <f>IF(OR(Hypothèses!$B$4=17,Hypothèses!$B$4=18,Hypothèses!$B$4=19,Hypothèses!$B$4=20),
IF($D131="Pressio.",
IF(OR($E131=3,$E131=1,$E131=4),DA131,CZ131),
IF($D131="Pénétro.",
IF(OR($E131=3,$E131=1,$E131=4),DA131,CZ131))),IF($D131="Pressio.",
IF($E131=3,DA131,CZ131),
IF($D131="Pénétro.",
IF($E131=4,DA131,CZ131))))</f>
        <v>#N/A</v>
      </c>
      <c r="DC131" s="31" t="e">
        <f>(IF(OR(Hypothèses!$B$4=17,Hypothèses!$B$4=18,Hypothèses!$B$4=19,Hypothèses!$B$4=20),
IF($D131="Pressio.",
IF(OR($E131=3,$E131=1,$E131=4),(PI()*DC$12^2)/4*(CY131*$W131*1000)/($H131*$B$5),(PI()*DC$12^2)/4*(CY131*$W131*1000)/($G131*$B$5)),
IF($D131="Pénétro.",
IF(OR($E131=4,$E131=1,$E131=5),(PI()*DC$12^2)/4*(CY131*$W131*1000)/($H131*$B$5),(PI()*DC$12^2)/4*(CY131*$W131*1000)/($G131*$B$5)))),
IF($D131="Pressio.",
IF($E131=3,(PI()*DC$12^2)/4*(CY131*$W131*1000)/($H131*$B$5),(PI()*DC$12^2)/4*(CY131*$W131*1000)/($G131*$B$5)),
IF($D131="Pénétro.",
IF($E131=4,(PI()*DC$12^2)/4*(CY131*$W131*1000)/($H131*$B$5),(PI()*DC$12^2)/4*(CY131*$W131*1000)/($G131*$B$5))))))/10</f>
        <v>#N/A</v>
      </c>
      <c r="DD131" s="102" t="e">
        <f>(VLOOKUP($B$3,'Coeff EC7'!$T$39:$X$59,2,0)*DB131+VLOOKUP($B$3,'Coeff EC7'!$T$65:$X$85,2,0)*Model0.1C!DC131)/1.1</f>
        <v>#N/A</v>
      </c>
      <c r="DE131" s="102" t="e">
        <f>(VLOOKUP($B$3,'Coeff EC7'!$T$39:$X$59,3,0)*DB131+VLOOKUP($B$3,'Coeff EC7'!$T$65:$X$85,3,0)*Model0.1C!DC131)/0.9</f>
        <v>#N/A</v>
      </c>
      <c r="DF131" s="102" t="e">
        <f t="shared" si="186"/>
        <v>#N/A</v>
      </c>
      <c r="DG131" s="102" t="e">
        <f t="shared" si="187"/>
        <v>#N/A</v>
      </c>
      <c r="DH131" s="414" t="e">
        <f>IF(DH130=0,0,IF(AND(DD131&gt;charge_ELS_quasi,DE131&gt;Charge_ELS_freq,DF131&gt;charge_ELU,DG131&gt;charge_ELA,$B131&gt;NDC!$H$22-0.1+MIN(3*$DH$12,1.5)),0,1))</f>
        <v>#N/A</v>
      </c>
      <c r="DI131" s="86" t="b">
        <f t="shared" si="155"/>
        <v>0</v>
      </c>
      <c r="DJ131" s="86">
        <f t="shared" si="156"/>
        <v>0.5</v>
      </c>
      <c r="DK131" s="86">
        <f t="shared" si="157"/>
        <v>0.5</v>
      </c>
      <c r="DL131" s="30" t="e">
        <f t="shared" ca="1" si="188"/>
        <v>#DIV/0!</v>
      </c>
      <c r="DM131" s="85" t="e">
        <f ca="1">IF(CS131&lt;=Hypothèses!$V$7,Hypothèses!$W$7,IF(CS131&lt;=Hypothèses!$V$8,Hypothèses!$W$8,IF(CS131&lt;=Hypothèses!$V$9,Hypothèses!$W$9,IF(CS131&lt;=Hypothèses!$V$10,Hypothèses!$W$10,IF(CS131&lt;=Hypothèses!$V$11,Hypothèses!$W$11,IF(CS131&lt;=Hypothèses!$V$12,Hypothèses!$W$12,IF(CS131&lt;=Hypothèses!$V$13,Hypothèses!$W$13,IF(CS131&lt;=Hypothèses!$V$14,Hypothèses!$W$14,IF(CS131&lt;=Hypothèses!$V$15,Hypothèses!$W$15,IF(CS131&lt;=Hypothèses!$V$16,Hypothèses!$W$16,IF(CS131&lt;=Hypothèses!$V$17,Hypothèses!$W$17,IF(CS131&lt;=Hypothèses!$V$18,Hypothèses!$W$18,""))))))))))))</f>
        <v>#DIV/0!</v>
      </c>
      <c r="DN131" s="87" t="e">
        <f t="shared" ca="1" si="221"/>
        <v>#DIV/0!</v>
      </c>
      <c r="DO131" s="88" t="e">
        <f ca="1">IF(CS131&lt;=Hypothèses!$V$7,Hypothèses!$X$7,IF(CS131&lt;=Hypothèses!$V$8,Hypothèses!$X$8,IF(CS131&lt;=Hypothèses!$V$9,Hypothèses!$X$9,IF(CS131&lt;=Hypothèses!$V$10,Hypothèses!$X$10,IF(CS131&lt;=Hypothèses!$V$11,Hypothèses!$X$11,IF(CS131&lt;=Hypothèses!$V$12,Hypothèses!$X$12,IF(CS131&lt;=Hypothèses!$V$13,Hypothèses!$X$13,IF(CS131&lt;=Hypothèses!$V$14,Hypothèses!$X$14,IF(CS131&lt;=Hypothèses!$V$15,Hypothèses!$X$15,IF(CS131&lt;=Hypothèses!$V$16,Hypothèses!$X$16,IF(CS131&lt;=Hypothèses!$U$17,Hypothèses!$W$17,IF(CS131&lt;=Hypothèses!$U$18,Hypothèses!$W$18,""))))))))))))</f>
        <v>#DIV/0!</v>
      </c>
      <c r="DP131" s="95" t="e">
        <f t="shared" ca="1" si="189"/>
        <v>#DIV/0!</v>
      </c>
      <c r="DQ131" s="101" t="e">
        <f t="shared" si="228"/>
        <v>#N/A</v>
      </c>
      <c r="DR131" s="91" t="e">
        <f t="shared" si="158"/>
        <v>#N/A</v>
      </c>
      <c r="DS131" s="30" t="e">
        <f t="shared" si="210"/>
        <v>#N/A</v>
      </c>
      <c r="DT131" s="30" t="e">
        <f t="shared" si="211"/>
        <v>#N/A</v>
      </c>
      <c r="DU131" s="31" t="e">
        <f>IF(OR(Hypothèses!$B$4=17,Hypothèses!$B$4=18,Hypothèses!$B$4=19,Hypothèses!$B$4=20),
IF($D131="Pressio.",
IF(OR($E131=3,$E131=1,$E131=4),DT131,DS131),
IF($D131="Pénétro.",
IF(OR($E131=3,$E131=1,$E131=4),DT131,DS131))),IF($D131="Pressio.",
IF($E131=3,DT131,DS131),
IF($D131="Pénétro.",
IF($E131=4,DT131,DS131))))</f>
        <v>#N/A</v>
      </c>
      <c r="DV131" s="31" t="e">
        <f>(IF(OR(Hypothèses!$B$4=17,Hypothèses!$B$4=18,Hypothèses!$B$4=19,Hypothèses!$B$4=20),
IF($D131="Pressio.",
IF(OR($E131=3,$E131=1,$E131=4),(PI()*DV$12^2)/4*(DR131*$W131*1000)/($H131*$B$5),(PI()*DV$12^2)/4*(DR131*$W131*1000)/($G131*$B$5)),
IF($D131="Pénétro.",
IF(OR($E131=4,$E131=1,$E131=5),(PI()*DV$12^2)/4*(DR131*$W131*1000)/($H131*$B$5),(PI()*DV$12^2)/4*(DR131*$W131*1000)/($G131*$B$5)))),
IF($D131="Pressio.",
IF($E131=3,(PI()*DV$12^2)/4*(DR131*$W131*1000)/($H131*$B$5),(PI()*DV$12^2)/4*(DR131*$W131*1000)/($G131*$B$5)),
IF($D131="Pénétro.",
IF($E131=4,(PI()*DV$12^2)/4*(DR131*$W131*1000)/($H131*$B$5),(PI()*DV$12^2)/4*(DR131*$W131*1000)/($G131*$B$5))))))/10</f>
        <v>#N/A</v>
      </c>
      <c r="DW131" s="102" t="e">
        <f>(VLOOKUP($B$3,'Coeff EC7'!$T$39:$X$59,2,0)*DU131+VLOOKUP($B$3,'Coeff EC7'!$T$65:$X$85,2,0)*Model0.1C!DV131)/1.1</f>
        <v>#N/A</v>
      </c>
      <c r="DX131" s="102" t="e">
        <f>(VLOOKUP($B$3,'Coeff EC7'!$T$39:$X$59,3,0)*DU131+VLOOKUP($B$3,'Coeff EC7'!$T$65:$X$85,3,0)*Model0.1C!DV131)/0.9</f>
        <v>#N/A</v>
      </c>
      <c r="DY131" s="102" t="e">
        <f t="shared" si="190"/>
        <v>#N/A</v>
      </c>
      <c r="DZ131" s="102" t="e">
        <f t="shared" si="191"/>
        <v>#N/A</v>
      </c>
      <c r="EA131" s="414" t="e">
        <f>IF(EA130=0,0,IF(AND(DW131&gt;charge_ELS_quasi,DX131&gt;Charge_ELS_freq,DY131&gt;charge_ELU,DZ131&gt;charge_ELA,$B131&gt;NDC!$H$22-0.1+MIN(3*$EA$12,1.5)),0,1))</f>
        <v>#N/A</v>
      </c>
      <c r="EB131" s="86" t="b">
        <f t="shared" si="159"/>
        <v>0</v>
      </c>
      <c r="EC131" s="418">
        <f t="shared" si="160"/>
        <v>0.51</v>
      </c>
      <c r="ED131" s="86">
        <f t="shared" si="161"/>
        <v>0.51</v>
      </c>
      <c r="EE131" s="30" t="e">
        <f t="shared" ca="1" si="192"/>
        <v>#DIV/0!</v>
      </c>
      <c r="EF131" s="85" t="e">
        <f ca="1">IF(DL131&lt;=Hypothèses!$V$7,Hypothèses!$W$7,IF(DL131&lt;=Hypothèses!$V$8,Hypothèses!$W$8,IF(DL131&lt;=Hypothèses!$V$9,Hypothèses!$W$9,IF(DL131&lt;=Hypothèses!$V$10,Hypothèses!$W$10,IF(DL131&lt;=Hypothèses!$V$11,Hypothèses!$W$11,IF(DL131&lt;=Hypothèses!$V$12,Hypothèses!$W$12,IF(DL131&lt;=Hypothèses!$V$13,Hypothèses!$W$13,IF(DL131&lt;=Hypothèses!$V$14,Hypothèses!$W$14,IF(DL131&lt;=Hypothèses!$V$15,Hypothèses!$W$15,IF(DL131&lt;=Hypothèses!$V$16,Hypothèses!$W$16,IF(DL131&lt;=Hypothèses!$V$17,Hypothèses!$W$17,IF(DL131&lt;=Hypothèses!$V$18,Hypothèses!$W$18,""))))))))))))</f>
        <v>#DIV/0!</v>
      </c>
      <c r="EG131" s="87" t="e">
        <f t="shared" ca="1" si="222"/>
        <v>#DIV/0!</v>
      </c>
      <c r="EH131" s="88" t="e">
        <f ca="1">IF(DL131&lt;=Hypothèses!$V$7,Hypothèses!$X$7,IF(DL131&lt;=Hypothèses!$V$8,Hypothèses!$X$8,IF(DL131&lt;=Hypothèses!$V$9,Hypothèses!$X$9,IF(DL131&lt;=Hypothèses!$V$10,Hypothèses!$X$10,IF(DL131&lt;=Hypothèses!$V$11,Hypothèses!$X$11,IF(DL131&lt;=Hypothèses!$V$12,Hypothèses!$X$12,IF(DL131&lt;=Hypothèses!$V$13,Hypothèses!$X$13,IF(DL131&lt;=Hypothèses!$V$14,Hypothèses!$X$14,IF(DL131&lt;=Hypothèses!$V$15,Hypothèses!$X$15,IF(DL131&lt;=Hypothèses!$V$16,Hypothèses!$X$16,IF(DL131&lt;=Hypothèses!$U$17,Hypothèses!$W$17,IF(DL131&lt;=Hypothèses!$U$18,Hypothèses!$W$18,""))))))))))))</f>
        <v>#DIV/0!</v>
      </c>
      <c r="EI131" s="95" t="e">
        <f t="shared" ca="1" si="193"/>
        <v>#DIV/0!</v>
      </c>
      <c r="EJ131" s="101" t="e">
        <f t="shared" si="229"/>
        <v>#N/A</v>
      </c>
      <c r="EK131" s="91" t="e">
        <f t="shared" si="162"/>
        <v>#N/A</v>
      </c>
      <c r="EL131" s="30" t="e">
        <f t="shared" si="212"/>
        <v>#N/A</v>
      </c>
      <c r="EM131" s="30" t="e">
        <f t="shared" si="213"/>
        <v>#N/A</v>
      </c>
      <c r="EN131" s="31" t="e">
        <f>IF(OR(Hypothèses!$B$4=17,Hypothèses!$B$4=18,Hypothèses!$B$4=19,Hypothèses!$B$4=20),
IF($D131="Pressio.",
IF(OR($E131=3,$E131=1,$E131=4),EM131,EL131),
IF($D131="Pénétro.",
IF(OR($E131=3,$E131=1,$E131=4),EM131,EL131))),IF($D131="Pressio.",
IF($E131=3,EM131,EL131),
IF($D131="Pénétro.",
IF($E131=4,EM131,EL131))))</f>
        <v>#N/A</v>
      </c>
      <c r="EO131" s="31" t="e">
        <f>(IF(OR(Hypothèses!$B$4=17,Hypothèses!$B$4=18,Hypothèses!$B$4=19,Hypothèses!$B$4=20),
IF($D131="Pressio.",
IF(OR($E131=3,$E131=1,$E131=4),(PI()*EO$12^2)/4*(EK131*$W131*1000)/($H131*$B$5),(PI()*EO$12^2)/4*(EK131*$W131*1000)/($G131*$B$5)),
IF($D131="Pénétro.",
IF(OR($E131=4,$E131=1,$E131=5),(PI()*EO$12^2)/4*(EK131*$W131*1000)/($H131*$B$5),(PI()*EO$12^2)/4*(EK131*$W131*1000)/($G131*$B$5)))),
IF($D131="Pressio.",
IF($E131=3,(PI()*EO$12^2)/4*(EK131*$W131*1000)/($H131*$B$5),(PI()*EO$12^2)/4*(EK131*$W131*1000)/($G131*$B$5)),
IF($D131="Pénétro.",
IF($E131=4,(PI()*EO$12^2)/4*(EK131*$W131*1000)/($H131*$B$5),(PI()*EO$12^2)/4*(EK131*$W131*1000)/($G131*$B$5))))))/10</f>
        <v>#N/A</v>
      </c>
      <c r="EP131" s="102" t="e">
        <f>(VLOOKUP($B$3,'Coeff EC7'!$T$39:$X$59,2,0)*EN131+VLOOKUP($B$3,'Coeff EC7'!$T$65:$X$85,2,0)*Model0.1C!EO131)/1.1</f>
        <v>#N/A</v>
      </c>
      <c r="EQ131" s="102" t="e">
        <f>(VLOOKUP($B$3,'Coeff EC7'!$T$39:$X$59,3,0)*EN131+VLOOKUP($B$3,'Coeff EC7'!$T$65:$X$85,3,0)*Model0.1C!EO131)/0.9</f>
        <v>#N/A</v>
      </c>
      <c r="ER131" s="102" t="e">
        <f t="shared" si="194"/>
        <v>#N/A</v>
      </c>
      <c r="ES131" s="102" t="e">
        <f t="shared" si="195"/>
        <v>#N/A</v>
      </c>
      <c r="ET131" s="414" t="e">
        <f>IF(ET130=0,0,IF(AND(EP131&gt;charge_ELS_quasi,EQ131&gt;Charge_ELS_freq,ER131&gt;charge_ELU,ES131&gt;charge_ELA,$B131&gt;NDC!$H$22-0.1+MIN(3*$ET$12,1.5)),0,1))</f>
        <v>#N/A</v>
      </c>
      <c r="EU131" s="86" t="b">
        <f t="shared" si="163"/>
        <v>0</v>
      </c>
      <c r="EV131" s="86">
        <f t="shared" si="164"/>
        <v>0.61</v>
      </c>
      <c r="EW131" s="86">
        <f t="shared" si="165"/>
        <v>0.61</v>
      </c>
      <c r="EX131" s="30" t="e">
        <f t="shared" ca="1" si="196"/>
        <v>#DIV/0!</v>
      </c>
      <c r="EY131" s="85" t="e">
        <f ca="1">IF(EE131&lt;=Hypothèses!$V$7,Hypothèses!$W$7,IF(EE131&lt;=Hypothèses!$V$8,Hypothèses!$W$8,IF(EE131&lt;=Hypothèses!$V$9,Hypothèses!$W$9,IF(EE131&lt;=Hypothèses!$V$10,Hypothèses!$W$10,IF(EE131&lt;=Hypothèses!$V$11,Hypothèses!$W$11,IF(EE131&lt;=Hypothèses!$V$12,Hypothèses!$W$12,IF(EE131&lt;=Hypothèses!$V$13,Hypothèses!$W$13,IF(EE131&lt;=Hypothèses!$V$14,Hypothèses!$W$14,IF(EE131&lt;=Hypothèses!$V$15,Hypothèses!$W$15,IF(EE131&lt;=Hypothèses!$V$16,Hypothèses!$W$16,IF(EE131&lt;=Hypothèses!$V$17,Hypothèses!$W$17,IF(EE131&lt;=Hypothèses!$V$18,Hypothèses!$W$18,""))))))))))))</f>
        <v>#DIV/0!</v>
      </c>
      <c r="EZ131" s="87" t="e">
        <f t="shared" ca="1" si="223"/>
        <v>#DIV/0!</v>
      </c>
      <c r="FA131" s="88" t="e">
        <f ca="1">IF(EE131&lt;=Hypothèses!$V$7,Hypothèses!$X$7,IF(EE131&lt;=Hypothèses!$V$8,Hypothèses!$X$8,IF(EE131&lt;=Hypothèses!$V$9,Hypothèses!$X$9,IF(EE131&lt;=Hypothèses!$V$10,Hypothèses!$X$10,IF(EE131&lt;=Hypothèses!$V$11,Hypothèses!$X$11,IF(EE131&lt;=Hypothèses!$V$12,Hypothèses!$X$12,IF(EE131&lt;=Hypothèses!$V$13,Hypothèses!$X$13,IF(EE131&lt;=Hypothèses!$V$14,Hypothèses!$X$14,IF(EE131&lt;=Hypothèses!$V$15,Hypothèses!$X$15,IF(EE131&lt;=Hypothèses!$V$16,Hypothèses!$X$16,IF(EE131&lt;=Hypothèses!$U$17,Hypothèses!$W$17,IF(EE131&lt;=Hypothèses!$U$18,Hypothèses!$W$18,""))))))))))))</f>
        <v>#DIV/0!</v>
      </c>
      <c r="FB131" s="95" t="e">
        <f t="shared" ca="1" si="197"/>
        <v>#DIV/0!</v>
      </c>
      <c r="FC131" s="101" t="e">
        <f t="shared" si="230"/>
        <v>#N/A</v>
      </c>
      <c r="FD131" s="91" t="e">
        <f t="shared" si="166"/>
        <v>#N/A</v>
      </c>
      <c r="FE131" s="30" t="e">
        <f t="shared" si="214"/>
        <v>#N/A</v>
      </c>
      <c r="FF131" s="30" t="e">
        <f t="shared" si="215"/>
        <v>#N/A</v>
      </c>
      <c r="FG131" s="31" t="e">
        <f>IF(OR(Hypothèses!$B$4=17,Hypothèses!$B$4=18,Hypothèses!$B$4=19,Hypothèses!$B$4=20),
IF($D131="Pressio.",
IF(OR($E131=3,$E131=1,$E131=4),FF131,FE131),
IF($D131="Pénétro.",
IF(OR($E131=3,$E131=1,$E131=4),FF131,FE131))),IF($D131="Pressio.",
IF($E131=3,FF131,FE131),
IF($D131="Pénétro.",
IF($E131=4,FF131,FE131))))</f>
        <v>#N/A</v>
      </c>
      <c r="FH131" s="31" t="e">
        <f>(IF(OR(Hypothèses!$B$4=17,Hypothèses!$B$4=18,Hypothèses!$B$4=19,Hypothèses!$B$4=20),
IF($D131="Pressio.",
IF(OR($E131=3,$E131=1,$E131=4),(PI()*FH$12^2)/4*(FD131*$W131*1000)/($H131*$B$5),(PI()*FH$12^2)/4*(FD131*$W131*1000)/($G131*$B$5)),
IF($D131="Pénétro.",
IF(OR($E131=4,$E131=1,$E131=5),(PI()*FH$12^2)/4*(FD131*$W131*1000)/($H131*$B$5),(PI()*FH$12^2)/4*(FD131*$W131*1000)/($G131*$B$5)))),
IF($D131="Pressio.",
IF($E131=3,(PI()*FH$12^2)/4*(FD131*$W131*1000)/($H131*$B$5),(PI()*FH$12^2)/4*(FD131*$W131*1000)/($G131*$B$5)),
IF($D131="Pénétro.",
IF($E131=4,(PI()*FH$12^2)/4*(FD131*$W131*1000)/($H131*$B$5),(PI()*FH$12^2)/4*(FD131*$W131*1000)/($G131*$B$5))))))/10</f>
        <v>#N/A</v>
      </c>
      <c r="FI131" s="102" t="e">
        <f>(VLOOKUP($B$3,'Coeff EC7'!$T$39:$X$59,2,0)*FG131+VLOOKUP($B$3,'Coeff EC7'!$T$65:$X$85,2,0)*Model0.1C!FH131)/1.1</f>
        <v>#N/A</v>
      </c>
      <c r="FJ131" s="102" t="e">
        <f>(VLOOKUP($B$3,'Coeff EC7'!$T$39:$X$59,3,0)*FG131+VLOOKUP($B$3,'Coeff EC7'!$T$65:$X$85,3,0)*Model0.1C!FH131)/0.9</f>
        <v>#N/A</v>
      </c>
      <c r="FK131" s="102" t="e">
        <f t="shared" si="198"/>
        <v>#N/A</v>
      </c>
      <c r="FL131" s="102" t="e">
        <f t="shared" si="199"/>
        <v>#N/A</v>
      </c>
      <c r="FM131" s="414" t="e">
        <f>IF(FM130=0,0,IF(AND(FI131&gt;charge_ELS_quasi,FJ131&gt;Charge_ELS_freq,FK131&gt;charge_ELU,FL131&gt;charge_ELA,$B131&gt;NDC!$H$22-0.1+MIN(3*$FM$12,1.5)),0,1))</f>
        <v>#N/A</v>
      </c>
    </row>
    <row r="132" spans="1:169">
      <c r="A132" s="96">
        <f t="shared" si="167"/>
        <v>88.100000000000676</v>
      </c>
      <c r="B132" s="97">
        <v>11.9</v>
      </c>
      <c r="C132" s="81">
        <f>IF(B132&lt;=Hypothèses!$C$7,Hypothèses!$A$7,IF(B132&lt;=Hypothèses!$C$8,Hypothèses!$A$8,IF(B132&lt;=Hypothèses!$C$9,Hypothèses!$A$9,IF(B132&lt;=Hypothèses!$C$10,Hypothèses!$A$10,IF(B132&lt;=Hypothèses!$C$11,Hypothèses!$A$11,IF(B132&lt;=Hypothèses!$C$12,Hypothèses!$A$12,IF(B132&lt;=Hypothèses!$C$13,Hypothèses!$A$13,IF(B132&lt;=Hypothèses!$C$14,Hypothèses!$A$14,IF(B132&lt;=Hypothèses!$C$15,Hypothèses!$A$15,IF(B132&lt;=Hypothèses!$C$16,Hypothèses!$A$16,IF(B132&lt;=Hypothèses!$C$17,Hypothèses!$A$17,IF(B132&lt;=Hypothèses!$C$18,Hypothèses!$A$18,C131))))))))))))</f>
        <v>11</v>
      </c>
      <c r="D132" s="82" t="str">
        <f>IF(B132&lt;=Hypothèses!$C$7,Hypothèses!$R$7,IF(B132&lt;=Hypothèses!$C$8,Hypothèses!$R$8,IF(B132&lt;=Hypothèses!$C$9,Hypothèses!$R$9,IF(B132&lt;=Hypothèses!$C$10,Hypothèses!$R$10,IF(B132&lt;=Hypothèses!$C$11,Hypothèses!$R$11,IF(B132&lt;=Hypothèses!$C$12,Hypothèses!$R$12,IF(B132&lt;=Hypothèses!$C$13,Hypothèses!$R$13,IF(B132&lt;=Hypothèses!$C$14,Hypothèses!$R$14,IF(B132&lt;=Hypothèses!$C$15,Hypothèses!$R$15,IF(B132&lt;=Hypothèses!$C$16,Hypothèses!$R$16,IF(B132&lt;=Hypothèses!$C$17,Hypothèses!$R$17,IF(B132&lt;=Hypothèses!$C$18,Hypothèses!$R$18,D131))))))))))))</f>
        <v>Pressio.</v>
      </c>
      <c r="E132" s="82" t="e">
        <f>IF(B132&lt;=Hypothèses!$C$7,Hypothèses!$G$7,IF(B132&lt;=Hypothèses!$C$8,Hypothèses!$G$8,IF(B132&lt;=Hypothèses!$C$9,Hypothèses!$G$9,IF(B132&lt;=Hypothèses!$C$10,Hypothèses!$G$10,IF(B132&lt;=Hypothèses!$C$11,Hypothèses!$G$11,IF(B132&lt;=Hypothèses!$C$12,Hypothèses!$G$12,IF(B132&lt;=Hypothèses!$C$13,Hypothèses!$G$13,IF(B132&lt;=Hypothèses!$C$14,Hypothèses!$G$14,IF(B132&lt;=Hypothèses!$C$15,Hypothèses!$G$15,IF(B132&lt;=Hypothèses!$C$16,Hypothèses!$G$16,IF(B132&lt;=Hypothèses!$C$17,Hypothèses!$G$17,IF(B132&lt;=Hypothèses!$C$18,Hypothèses!$G$18,E131))))))))))))</f>
        <v>#N/A</v>
      </c>
      <c r="F132" s="82" t="str">
        <f>IF(B132&lt;=Hypothèses!$C$7,Hypothèses!$F$7,IF(B132&lt;=Hypothèses!$C$8,Hypothèses!$F$8,IF(B132&lt;=Hypothèses!$C$9,Hypothèses!$F$9,IF(B132&lt;=Hypothèses!$C$10,Hypothèses!$F$10,IF(B132&lt;=Hypothèses!$C$11,Hypothèses!$F$11,IF(B132&lt;=Hypothèses!$C$12,Hypothèses!$F$12,IF(B132&lt;=Hypothèses!$C$13,Hypothèses!$F$13,IF(B132&lt;=Hypothèses!$C$14,Hypothèses!$F$14,IF(B132&lt;=Hypothèses!$C$15,Hypothèses!$F$15,IF(B132&lt;=Hypothèses!$C$16,Hypothèses!$F$16,IF(B132&lt;=Hypothèses!$C$17,Hypothèses!$F$17,IF(B132&lt;=Hypothèses!$C$18,Hypothèses!$F$18,F131))))))))))))</f>
        <v/>
      </c>
      <c r="G132" s="91">
        <f t="array" ref="G132">INDEX('Coeff EC7'!$U$7:$X$27,
MATCH(Model0.1C!$B$3,'Coeff EC7'!$T$7:$T$27,0),
MATCH(Model0.1C!$D132&amp;Model0.1C!$B$4,
'Coeff EC7'!$U$6:$X$6&amp;
'Coeff EC7'!$U$5:$X$5,0))</f>
        <v>1.1499999999999999</v>
      </c>
      <c r="H132" s="91">
        <f t="array" ref="H132">INDEX('Coeff EC7'!$Y$7:$AB$27,
MATCH(Model0.1C!$B$3,'Coeff EC7'!$T$7:$T$27,0),
MATCH(Model0.1C!$D132&amp;Model0.1C!$B$4,
'Coeff EC7'!$Y$6:$AB$6&amp;
'Coeff EC7'!$Y$5:$AB$5,0))</f>
        <v>1.4</v>
      </c>
      <c r="I132" s="83" t="e">
        <f>IF(B132&lt;=Hypothèses!$C$7,Hypothèses!$P$7,IF(B132&lt;=Hypothèses!$C$8,Hypothèses!$P$8,IF(B132&lt;=Hypothèses!$C$9,Hypothèses!$P$9,IF(B132&lt;=Hypothèses!$C$10,Hypothèses!$P$10,IF(B132&lt;=Hypothèses!$C$11,Hypothèses!$P$11,IF(B132&lt;=Hypothèses!$C$12,Hypothèses!$P$12,IF(B132&lt;=Hypothèses!$C$13,Hypothèses!$P$13,IF(B132&lt;=Hypothèses!$C$14,Hypothèses!$P$14,IF(B132&lt;=Hypothèses!$C$15,Hypothèses!$P$15,IF(B132&lt;=Hypothèses!$C$16,Hypothèses!$P$16,IF(B132&lt;=Hypothèses!$C$17,Hypothèses!$P$17,IF(B132&lt;=Hypothèses!$C$18,Hypothèses!$P$18,I131))))))))))))</f>
        <v>#N/A</v>
      </c>
      <c r="J132" s="91" t="e">
        <f t="array" ref="J132">INDEX('Coeff EC7'!$D$33:$Q$33,1,MATCH(D132&amp;E132,'Coeff EC7'!$D$31:$Q$31&amp;'Coeff EC7'!$D$32:$Q$32,0))</f>
        <v>#N/A</v>
      </c>
      <c r="K132" s="91" t="e">
        <f t="array" ref="K132">INDEX('Coeff EC7'!$D$34:$Q$34,1,MATCH(D132&amp;E132,'Coeff EC7'!$D$31:$Q$31&amp;'Coeff EC7'!$D$32:$Q$32,0))</f>
        <v>#N/A</v>
      </c>
      <c r="L132" s="91" t="e">
        <f t="array" ref="L132">INDEX('Coeff EC7'!$D$35:$Q$35,1,MATCH(D132&amp;E132,'Coeff EC7'!$D$31:$Q$31&amp;'Coeff EC7'!$D$32:$Q$32,0))</f>
        <v>#N/A</v>
      </c>
      <c r="M132" s="98" t="e">
        <f t="shared" si="131"/>
        <v>#N/A</v>
      </c>
      <c r="N132" s="99" t="e">
        <f t="array" ref="N132">INDEX('Coeff EC7'!$D$7:$Q$27,MATCH($B$3,'Coeff EC7'!$C$7:$C$27,0),MATCH(D132&amp;E132,'Coeff EC7'!$D$5:$Q$5&amp;'Coeff EC7'!$D$6:$Q$6,0))</f>
        <v>#N/A</v>
      </c>
      <c r="O132" s="99" t="e">
        <f t="array" ref="O132">INDEX('Coeff EC7'!$D$41:$Q$61,MATCH($B$3,'Coeff EC7'!$C$41:$C$61,0),MATCH(D132&amp;E132,'Coeff EC7'!$D$39:$Q$39&amp;'Coeff EC7'!$D$40:$Q$40,0))</f>
        <v>#N/A</v>
      </c>
      <c r="P132" s="30" t="e">
        <f t="shared" si="168"/>
        <v>#N/A</v>
      </c>
      <c r="Q132" s="100" t="e">
        <f t="shared" si="133"/>
        <v>#N/A</v>
      </c>
      <c r="R132" s="86" t="b">
        <f t="shared" si="134"/>
        <v>0</v>
      </c>
      <c r="S132" s="86">
        <f t="shared" si="132"/>
        <v>0.5</v>
      </c>
      <c r="T132" s="86">
        <f t="shared" si="135"/>
        <v>0.5</v>
      </c>
      <c r="U132" s="30" t="e">
        <f t="shared" ca="1" si="169"/>
        <v>#DIV/0!</v>
      </c>
      <c r="V132" s="85" t="str">
        <f>IF(B132&lt;=Hypothèses!$V$7,Hypothèses!$W$7,IF(B132&lt;=Hypothèses!$V$8,Hypothèses!$W$8,IF(B132&lt;=Hypothèses!$V$9,Hypothèses!$W$9,IF(B132&lt;=Hypothèses!$V$10,Hypothèses!$W$10,IF(B132&lt;=Hypothèses!$V$11,Hypothèses!$W$11,IF(B132&lt;=Hypothèses!$V$12,Hypothèses!$W$12,IF(B132&lt;=Hypothèses!$V$13,Hypothèses!$W$13,IF(B132&lt;=Hypothèses!$V$14,Hypothèses!$W$14,IF(B132&lt;=Hypothèses!$V$15,Hypothèses!$W$15,IF(B132&lt;=Hypothèses!$V$16,Hypothèses!$W$16,IF(B132&lt;=Hypothèses!$V$17,Hypothèses!$W$17,IF(B132&lt;=Hypothèses!$V$18,Hypothèses!$W$18,""))))))))))))</f>
        <v/>
      </c>
      <c r="W132" s="87" t="e">
        <f t="shared" ca="1" si="216"/>
        <v>#DIV/0!</v>
      </c>
      <c r="X132" s="88" t="str">
        <f>IF(B132&lt;=Hypothèses!$V$7,Hypothèses!$X$7,IF(B132&lt;=Hypothèses!$V$8,Hypothèses!$X$8,IF(B132&lt;=Hypothèses!$V$9,Hypothèses!$X$9,IF(B132&lt;=Hypothèses!$V$10,Hypothèses!$X$10,IF(B132&lt;=Hypothèses!$V$11,Hypothèses!$X$11,IF(B132&lt;=Hypothèses!$V$12,Hypothèses!$X$12,IF(B132&lt;=Hypothèses!$V$13,Hypothèses!$X$13,IF(B132&lt;=Hypothèses!$V$14,Hypothèses!$X$14,IF(B132&lt;=Hypothèses!$V$15,Hypothèses!$X$15,IF(B132&lt;=Hypothèses!$V$16,Hypothèses!$X$16,IF(B132&lt;=Hypothèses!$U$17,Hypothèses!$W$17,IF(B132&lt;=Hypothèses!$U$18,Hypothèses!$W$18,""))))))))))))</f>
        <v/>
      </c>
      <c r="Y132" s="95" t="e">
        <f t="shared" ca="1" si="136"/>
        <v>#DIV/0!</v>
      </c>
      <c r="Z132" s="101" t="e">
        <f t="shared" si="137"/>
        <v>#N/A</v>
      </c>
      <c r="AA132" s="91" t="e">
        <f t="shared" si="138"/>
        <v>#N/A</v>
      </c>
      <c r="AB132" s="30" t="e">
        <f t="shared" si="200"/>
        <v>#N/A</v>
      </c>
      <c r="AC132" s="30" t="e">
        <f t="shared" si="201"/>
        <v>#N/A</v>
      </c>
      <c r="AD132" s="31" t="e">
        <f>IF(OR(Hypothèses!$B$4=17,Hypothèses!$B$4=18,Hypothèses!$B$4=19,Hypothèses!$B$4=20),
IF($D132="Pressio.",
IF(OR($E132=3,$E132=1,$E132=4),AC132,AB132),
IF($D132="Pénétro.",
IF(OR($E132=3,$E132=1,$E132=4),AC132,AB132))),IF($D132="Pressio.",
IF($E132=3,AC132,AB132),
IF($D132="Pénétro.",
IF($E132=4,AC132,AB132))))</f>
        <v>#N/A</v>
      </c>
      <c r="AE132" s="31" t="e">
        <f>(IF(OR(Hypothèses!$B$4=17,Hypothèses!$B$4=18,Hypothèses!$B$4=19,Hypothèses!$B$4=20),
IF($D132="Pressio.",
IF(OR($E132=3,$E132=1,$E132=4),(PI()*AE$12^2)/4*(AA132*$W132*1000)/($H132*$B$5),(PI()*AE$12^2)/4*(AA132*$W132*1000)/($G132*$B$5)),
IF($D132="Pénétro.",
IF(OR($E132=4,$E132=1,$E132=5),(PI()*AE$12^2)/4*(AA132*$W132*1000)/($H132*$B$5),(PI()*AE$12^2)/4*(AA132*$W132*1000)/($G132*$B$5)))),
IF($D132="Pressio.",
IF($E132=3,(PI()*AE$12^2)/4*(AA132*$W132*1000)/($H132*$B$5),(PI()*AE$12^2)/4*(AA132*$W132*1000)/($G132*$B$5)),
IF($D132="Pénétro.",
IF($E132=4,(PI()*AE$12^2)/4*(AA132*$W132*1000)/($H132*$B$5),(PI()*AE$12^2)/4*(AA132*$W132*1000)/($G132*$B$5))))))/10</f>
        <v>#N/A</v>
      </c>
      <c r="AF132" s="102" t="e">
        <f>(VLOOKUP($B$3,'Coeff EC7'!$T$39:$X$59,2,0)*AD132+VLOOKUP($B$3,'Coeff EC7'!$T$65:$X$85,2,0)*Model0.1C!AE132)/1.1</f>
        <v>#N/A</v>
      </c>
      <c r="AG132" s="102" t="e">
        <f>(VLOOKUP($B$3,'Coeff EC7'!$T$39:$X$59,3,0)*AD132+VLOOKUP($B$3,'Coeff EC7'!$T$65:$X$85,3,0)*Model0.1C!AE132)/0.9</f>
        <v>#N/A</v>
      </c>
      <c r="AH132" s="102" t="e">
        <f t="shared" si="139"/>
        <v>#N/A</v>
      </c>
      <c r="AI132" s="102" t="e">
        <f t="shared" si="140"/>
        <v>#N/A</v>
      </c>
      <c r="AJ132" s="414" t="e">
        <f>IF(AJ131=0,0,IF(AND(AF132&gt;charge_ELS_quasi,AG132&gt;Charge_ELS_freq,AH132&gt;charge_ELU,AI132&gt;charge_ELA,$B132&gt;NDC!$H$22-0.1+MIN(3*$AJ$12,1.5)),0,1))</f>
        <v>#N/A</v>
      </c>
      <c r="AK132" s="86" t="b">
        <f t="shared" si="141"/>
        <v>0</v>
      </c>
      <c r="AL132" s="86">
        <f t="shared" si="170"/>
        <v>0.5</v>
      </c>
      <c r="AM132" s="86">
        <f t="shared" si="142"/>
        <v>0.5</v>
      </c>
      <c r="AN132" s="30" t="e">
        <f t="shared" ca="1" si="171"/>
        <v>#DIV/0!</v>
      </c>
      <c r="AO132" s="85" t="e">
        <f ca="1">IF(U132&lt;=Hypothèses!$V$7,Hypothèses!$W$7,IF(U132&lt;=Hypothèses!$V$8,Hypothèses!$W$8,IF(U132&lt;=Hypothèses!$V$9,Hypothèses!$W$9,IF(U132&lt;=Hypothèses!$V$10,Hypothèses!$W$10,IF(U132&lt;=Hypothèses!$V$11,Hypothèses!$W$11,IF(U132&lt;=Hypothèses!$V$12,Hypothèses!$W$12,IF(U132&lt;=Hypothèses!$V$13,Hypothèses!$W$13,IF(U132&lt;=Hypothèses!$V$14,Hypothèses!$W$14,IF(U132&lt;=Hypothèses!$V$15,Hypothèses!$W$15,IF(U132&lt;=Hypothèses!$V$16,Hypothèses!$W$16,IF(U132&lt;=Hypothèses!$V$17,Hypothèses!$W$17,IF(U132&lt;=Hypothèses!$V$18,Hypothèses!$W$18,""))))))))))))</f>
        <v>#DIV/0!</v>
      </c>
      <c r="AP132" s="87" t="e">
        <f t="shared" ca="1" si="217"/>
        <v>#DIV/0!</v>
      </c>
      <c r="AQ132" s="88" t="e">
        <f ca="1">IF(U132&lt;=Hypothèses!$V$7,Hypothèses!$X$7,IF(U132&lt;=Hypothèses!$V$8,Hypothèses!$X$8,IF(U132&lt;=Hypothèses!$V$9,Hypothèses!$X$9,IF(U132&lt;=Hypothèses!$V$10,Hypothèses!$X$10,IF(U132&lt;=Hypothèses!$V$11,Hypothèses!$X$11,IF(U132&lt;=Hypothèses!$V$12,Hypothèses!$X$12,IF(U132&lt;=Hypothèses!$V$13,Hypothèses!$X$13,IF(U132&lt;=Hypothèses!$V$14,Hypothèses!$X$14,IF(U132&lt;=Hypothèses!$V$15,Hypothèses!$X$15,IF(U132&lt;=Hypothèses!$V$16,Hypothèses!$X$16,IF(U132&lt;=Hypothèses!$U$17,Hypothèses!$W$17,IF(U132&lt;=Hypothèses!$U$18,Hypothèses!$W$18,""))))))))))))</f>
        <v>#DIV/0!</v>
      </c>
      <c r="AR132" s="95" t="e">
        <f t="shared" ca="1" si="172"/>
        <v>#DIV/0!</v>
      </c>
      <c r="AS132" s="101" t="e">
        <f t="shared" si="224"/>
        <v>#N/A</v>
      </c>
      <c r="AT132" s="91" t="e">
        <f t="shared" si="143"/>
        <v>#N/A</v>
      </c>
      <c r="AU132" s="30" t="e">
        <f t="shared" si="202"/>
        <v>#N/A</v>
      </c>
      <c r="AV132" s="30" t="e">
        <f t="shared" si="203"/>
        <v>#N/A</v>
      </c>
      <c r="AW132" s="31" t="e">
        <f>IF(OR(Hypothèses!$B$4=17,Hypothèses!$B$4=18,Hypothèses!$B$4=19,Hypothèses!$B$4=20),
IF($D132="Pressio.",
IF(OR($E132=3,$E132=1,$E132=4),AV132,AU132),
IF($D132="Pénétro.",
IF(OR($E132=3,$E132=1,$E132=4),AV132,AU132))),IF($D132="Pressio.",
IF($E132=3,AV132,AU132),
IF($D132="Pénétro.",
IF($E132=4,AV132,AU132))))</f>
        <v>#N/A</v>
      </c>
      <c r="AX132" s="31" t="e">
        <f>(IF(OR(Hypothèses!$B$4=17,Hypothèses!$B$4=18,Hypothèses!$B$4=19,Hypothèses!$B$4=20),
IF($D132="Pressio.",
IF(OR($E132=3,$E132=1,$E132=4),(PI()*AX$12^2)/4*(AT132*$W132*1000)/($H132*$B$5),(PI()*AX$12^2)/4*(AT132*$W132*1000)/($G132*$B$5)),
IF($D132="Pénétro.",
IF(OR($E132=4,$E132=1,$E132=5),(PI()*AX$12^2)/4*(AT132*$W132*1000)/($H132*$B$5),(PI()*AX$12^2)/4*(AT132*$W132*1000)/($G132*$B$5)))),
IF($D132="Pressio.",
IF($E132=3,(PI()*AX$12^2)/4*(AT132*$W132*1000)/($H132*$B$5),(PI()*AX$12^2)/4*(AT132*$W132*1000)/($G132*$B$5)),
IF($D132="Pénétro.",
IF($E132=4,(PI()*AX$12^2)/4*(AT132*$W132*1000)/($H132*$B$5),(PI()*AX$12^2)/4*(AT132*$W132*1000)/($G132*$B$5))))))/10</f>
        <v>#N/A</v>
      </c>
      <c r="AY132" s="102" t="e">
        <f>(VLOOKUP($B$3,'Coeff EC7'!$T$39:$X$59,2,0)*AW132+VLOOKUP($B$3,'Coeff EC7'!$T$65:$X$85,2,0)*Model0.1C!AX132)/1.1</f>
        <v>#N/A</v>
      </c>
      <c r="AZ132" s="102" t="e">
        <f>(VLOOKUP($B$3,'Coeff EC7'!$T$39:$X$59,3,0)*AW132+VLOOKUP($B$3,'Coeff EC7'!$T$65:$X$85,3,0)*Model0.1C!AX132)/0.9</f>
        <v>#N/A</v>
      </c>
      <c r="BA132" s="102" t="e">
        <f t="shared" si="173"/>
        <v>#N/A</v>
      </c>
      <c r="BB132" s="102" t="e">
        <f t="shared" si="174"/>
        <v>#N/A</v>
      </c>
      <c r="BC132" s="414" t="e">
        <f>IF(BC131=0,0,IF(AND(AY132&gt;charge_ELS_quasi,AZ132&gt;Charge_ELS_freq,BA132&gt;charge_ELU,BB132&gt;charge_ELA,$B132&gt;NDC!$H$22-0.1+MIN(3*$BC$12,1.5)),0,1))</f>
        <v>#N/A</v>
      </c>
      <c r="BD132" s="86" t="b">
        <f t="shared" si="144"/>
        <v>0</v>
      </c>
      <c r="BE132" s="86">
        <f t="shared" si="175"/>
        <v>0.5</v>
      </c>
      <c r="BF132" s="86">
        <f t="shared" si="145"/>
        <v>0.5</v>
      </c>
      <c r="BG132" s="30" t="e">
        <f t="shared" ca="1" si="176"/>
        <v>#DIV/0!</v>
      </c>
      <c r="BH132" s="85" t="e">
        <f ca="1">IF(AN132&lt;=Hypothèses!$V$7,Hypothèses!$W$7,IF(AN132&lt;=Hypothèses!$V$8,Hypothèses!$W$8,IF(AN132&lt;=Hypothèses!$V$9,Hypothèses!$W$9,IF(AN132&lt;=Hypothèses!$V$10,Hypothèses!$W$10,IF(AN132&lt;=Hypothèses!$V$11,Hypothèses!$W$11,IF(AN132&lt;=Hypothèses!$V$12,Hypothèses!$W$12,IF(AN132&lt;=Hypothèses!$V$13,Hypothèses!$W$13,IF(AN132&lt;=Hypothèses!$V$14,Hypothèses!$W$14,IF(AN132&lt;=Hypothèses!$V$15,Hypothèses!$W$15,IF(AN132&lt;=Hypothèses!$V$16,Hypothèses!$W$16,IF(AN132&lt;=Hypothèses!$V$17,Hypothèses!$W$17,IF(AN132&lt;=Hypothèses!$V$18,Hypothèses!$W$18,""))))))))))))</f>
        <v>#DIV/0!</v>
      </c>
      <c r="BI132" s="87" t="e">
        <f t="shared" ca="1" si="218"/>
        <v>#DIV/0!</v>
      </c>
      <c r="BJ132" s="88" t="e">
        <f ca="1">IF(AN132&lt;=Hypothèses!$V$7,Hypothèses!$X$7,IF(AN132&lt;=Hypothèses!$V$8,Hypothèses!$X$8,IF(AN132&lt;=Hypothèses!$V$9,Hypothèses!$X$9,IF(AN132&lt;=Hypothèses!$V$10,Hypothèses!$X$10,IF(AN132&lt;=Hypothèses!$V$11,Hypothèses!$X$11,IF(AN132&lt;=Hypothèses!$V$12,Hypothèses!$X$12,IF(AN132&lt;=Hypothèses!$V$13,Hypothèses!$X$13,IF(AN132&lt;=Hypothèses!$V$14,Hypothèses!$X$14,IF(AN132&lt;=Hypothèses!$V$15,Hypothèses!$X$15,IF(AN132&lt;=Hypothèses!$V$16,Hypothèses!$X$16,IF(AN132&lt;=Hypothèses!$U$17,Hypothèses!$W$17,IF(AN132&lt;=Hypothèses!$U$18,Hypothèses!$W$18,""))))))))))))</f>
        <v>#DIV/0!</v>
      </c>
      <c r="BK132" s="95" t="e">
        <f t="shared" ca="1" si="177"/>
        <v>#DIV/0!</v>
      </c>
      <c r="BL132" s="101" t="e">
        <f t="shared" si="225"/>
        <v>#N/A</v>
      </c>
      <c r="BM132" s="91" t="e">
        <f t="shared" si="146"/>
        <v>#N/A</v>
      </c>
      <c r="BN132" s="30" t="e">
        <f t="shared" si="204"/>
        <v>#N/A</v>
      </c>
      <c r="BO132" s="30" t="e">
        <f t="shared" si="205"/>
        <v>#N/A</v>
      </c>
      <c r="BP132" s="31" t="e">
        <f>IF(OR(Hypothèses!$B$4=17,Hypothèses!$B$4=18,Hypothèses!$B$4=19,Hypothèses!$B$4=20),
IF($D132="Pressio.",
IF(OR($E132=3,$E132=1,$E132=4),BO132,BN132),
IF($D132="Pénétro.",
IF(OR($E132=3,$E132=1,$E132=4),BO132,BN132))),IF($D132="Pressio.",
IF($E132=3,BO132,BN132),
IF($D132="Pénétro.",
IF($E132=4,BO132,BN132))))</f>
        <v>#N/A</v>
      </c>
      <c r="BQ132" s="31" t="e">
        <f>(IF(OR(Hypothèses!$B$4=17,Hypothèses!$B$4=18,Hypothèses!$B$4=19,Hypothèses!$B$4=20),
IF($D132="Pressio.",
IF(OR($E132=3,$E132=1,$E132=4),(PI()*BQ$12^2)/4*(BM132*$W132*1000)/($H132*$B$5),(PI()*BQ$12^2)/4*(BM132*$W132*1000)/($G132*$B$5)),
IF($D132="Pénétro.",
IF(OR($E132=4,$E132=1,$E132=5),(PI()*BQ$12^2)/4*(BM132*$W132*1000)/($H132*$B$5),(PI()*BQ$12^2)/4*(BM132*$W132*1000)/($G132*$B$5)))),
IF($D132="Pressio.",
IF($E132=3,(PI()*BQ$12^2)/4*(BM132*$W132*1000)/($H132*$B$5),(PI()*BQ$12^2)/4*(BM132*$W132*1000)/($G132*$B$5)),
IF($D132="Pénétro.",
IF($E132=4,(PI()*BQ$12^2)/4*(BM132*$W132*1000)/($H132*$B$5),(PI()*BQ$12^2)/4*(BM132*$W132*1000)/($G132*$B$5))))))/10</f>
        <v>#N/A</v>
      </c>
      <c r="BR132" s="102" t="e">
        <f>(VLOOKUP($B$3,'Coeff EC7'!$T$39:$X$59,2,0)*BP132+VLOOKUP($B$3,'Coeff EC7'!$T$65:$X$85,2,0)*Model0.1C!BQ132)/1.1</f>
        <v>#N/A</v>
      </c>
      <c r="BS132" s="102" t="e">
        <f>(VLOOKUP($B$3,'Coeff EC7'!$T$39:$X$59,3,0)*BP132+VLOOKUP($B$3,'Coeff EC7'!$T$65:$X$85,3,0)*Model0.1C!BQ132)/0.9</f>
        <v>#N/A</v>
      </c>
      <c r="BT132" s="102" t="e">
        <f t="shared" si="178"/>
        <v>#N/A</v>
      </c>
      <c r="BU132" s="102" t="e">
        <f t="shared" si="179"/>
        <v>#N/A</v>
      </c>
      <c r="BV132" s="414" t="e">
        <f>IF(BV131=0,0,IF(AND(BR132&gt;charge_ELS_quasi,BS132&gt;Charge_ELS_freq,BT132&gt;charge_ELU,BU132&gt;charge_ELA,$B132&gt;NDC!$H$22-0.1+MIN(3*$BV$12,1.5)),0,1))</f>
        <v>#N/A</v>
      </c>
      <c r="BW132" s="86" t="b">
        <f t="shared" si="147"/>
        <v>0</v>
      </c>
      <c r="BX132" s="86">
        <f t="shared" si="148"/>
        <v>0.5</v>
      </c>
      <c r="BY132" s="86">
        <f t="shared" si="149"/>
        <v>0.5</v>
      </c>
      <c r="BZ132" s="30" t="e">
        <f t="shared" ca="1" si="180"/>
        <v>#DIV/0!</v>
      </c>
      <c r="CA132" s="85" t="e">
        <f ca="1">IF(BG132&lt;=Hypothèses!$V$7,Hypothèses!$W$7,IF(BG132&lt;=Hypothèses!$V$8,Hypothèses!$W$8,IF(BG132&lt;=Hypothèses!$V$9,Hypothèses!$W$9,IF(BG132&lt;=Hypothèses!$V$10,Hypothèses!$W$10,IF(BG132&lt;=Hypothèses!$V$11,Hypothèses!$W$11,IF(BG132&lt;=Hypothèses!$V$12,Hypothèses!$W$12,IF(BG132&lt;=Hypothèses!$V$13,Hypothèses!$W$13,IF(BG132&lt;=Hypothèses!$V$14,Hypothèses!$W$14,IF(BG132&lt;=Hypothèses!$V$15,Hypothèses!$W$15,IF(BG132&lt;=Hypothèses!$V$16,Hypothèses!$W$16,IF(BG132&lt;=Hypothèses!$V$17,Hypothèses!$W$17,IF(BG132&lt;=Hypothèses!$V$18,Hypothèses!$W$18,""))))))))))))</f>
        <v>#DIV/0!</v>
      </c>
      <c r="CB132" s="87" t="e">
        <f t="shared" ca="1" si="219"/>
        <v>#DIV/0!</v>
      </c>
      <c r="CC132" s="88" t="e">
        <f ca="1">IF(BG132&lt;=Hypothèses!$V$7,Hypothèses!$X$7,IF(BG132&lt;=Hypothèses!$V$8,Hypothèses!$X$8,IF(BG132&lt;=Hypothèses!$V$9,Hypothèses!$X$9,IF(BG132&lt;=Hypothèses!$V$10,Hypothèses!$X$10,IF(BG132&lt;=Hypothèses!$V$11,Hypothèses!$X$11,IF(BG132&lt;=Hypothèses!$V$12,Hypothèses!$X$12,IF(BG132&lt;=Hypothèses!$V$13,Hypothèses!$X$13,IF(BG132&lt;=Hypothèses!$V$14,Hypothèses!$X$14,IF(BG132&lt;=Hypothèses!$V$15,Hypothèses!$X$15,IF(BG132&lt;=Hypothèses!$V$16,Hypothèses!$X$16,IF(BG132&lt;=Hypothèses!$U$17,Hypothèses!$W$17,IF(BG132&lt;=Hypothèses!$U$18,Hypothèses!$W$18,""))))))))))))</f>
        <v>#DIV/0!</v>
      </c>
      <c r="CD132" s="95" t="e">
        <f t="shared" ca="1" si="181"/>
        <v>#DIV/0!</v>
      </c>
      <c r="CE132" s="101" t="e">
        <f t="shared" si="226"/>
        <v>#N/A</v>
      </c>
      <c r="CF132" s="91" t="e">
        <f t="shared" si="150"/>
        <v>#N/A</v>
      </c>
      <c r="CG132" s="30" t="e">
        <f t="shared" si="206"/>
        <v>#N/A</v>
      </c>
      <c r="CH132" s="30" t="e">
        <f t="shared" si="207"/>
        <v>#N/A</v>
      </c>
      <c r="CI132" s="31" t="e">
        <f>IF(OR(Hypothèses!$B$4=17,Hypothèses!$B$4=18,Hypothèses!$B$4=19,Hypothèses!$B$4=20),
IF($D132="Pressio.",
IF(OR($E132=3,$E132=1,$E132=4),CH132,CG132),
IF($D132="Pénétro.",
IF(OR($E132=3,$E132=1,$E132=4),CH132,CG132))),IF($D132="Pressio.",
IF($E132=3,CH132,CG132),
IF($D132="Pénétro.",
IF($E132=4,CH132,CG132))))</f>
        <v>#N/A</v>
      </c>
      <c r="CJ132" s="31" t="e">
        <f>(IF(OR(Hypothèses!$B$4=17,Hypothèses!$B$4=18,Hypothèses!$B$4=19,Hypothèses!$B$4=20),
IF($D132="Pressio.",
IF(OR($E132=3,$E132=1,$E132=4),(PI()*CJ$12^2)/4*(CF132*$W132*1000)/($H132*$B$5),(PI()*CJ$12^2)/4*(CF132*$W132*1000)/($G132*$B$5)),
IF($D132="Pénétro.",
IF(OR($E132=4,$E132=1,$E132=5),(PI()*CJ$12^2)/4*(CF132*$W132*1000)/($H132*$B$5),(PI()*CJ$12^2)/4*(CF132*$W132*1000)/($G132*$B$5)))),
IF($D132="Pressio.",
IF($E132=3,(PI()*CJ$12^2)/4*(CF132*$W132*1000)/($H132*$B$5),(PI()*CJ$12^2)/4*(CF132*$W132*1000)/($G132*$B$5)),
IF($D132="Pénétro.",
IF($E132=4,(PI()*CJ$12^2)/4*(CF132*$W132*1000)/($H132*$B$5),(PI()*CJ$12^2)/4*(CF132*$W132*1000)/($G132*$B$5))))))/10</f>
        <v>#N/A</v>
      </c>
      <c r="CK132" s="102" t="e">
        <f>(VLOOKUP($B$3,'Coeff EC7'!$T$39:$X$59,2,0)*CI132+VLOOKUP($B$3,'Coeff EC7'!$T$65:$X$85,2,0)*Model0.1C!CJ132)/1.1</f>
        <v>#N/A</v>
      </c>
      <c r="CL132" s="102" t="e">
        <f>(VLOOKUP($B$3,'Coeff EC7'!$T$39:$X$59,3,0)*CI132+VLOOKUP($B$3,'Coeff EC7'!$T$65:$X$85,3,0)*Model0.1C!CJ132)/0.9</f>
        <v>#N/A</v>
      </c>
      <c r="CM132" s="102" t="e">
        <f t="shared" si="182"/>
        <v>#N/A</v>
      </c>
      <c r="CN132" s="102" t="e">
        <f t="shared" si="183"/>
        <v>#N/A</v>
      </c>
      <c r="CO132" s="414" t="e">
        <f>IF(CO131=0,0,IF(AND(CK132&gt;charge_ELS_quasi,CL132&gt;Charge_ELS_freq,CM132&gt;charge_ELU,CN132&gt;charge_ELA,$B132&gt;NDC!$H$22-0.1+MIN(3*$CO$12,1.5)),0,1))</f>
        <v>#N/A</v>
      </c>
      <c r="CP132" s="86" t="b">
        <f t="shared" si="151"/>
        <v>0</v>
      </c>
      <c r="CQ132" s="86">
        <f t="shared" si="152"/>
        <v>0.5</v>
      </c>
      <c r="CR132" s="86">
        <f t="shared" si="153"/>
        <v>0.5</v>
      </c>
      <c r="CS132" s="30" t="e">
        <f t="shared" ca="1" si="184"/>
        <v>#DIV/0!</v>
      </c>
      <c r="CT132" s="85" t="e">
        <f ca="1">IF(BZ132&lt;=Hypothèses!$V$7,Hypothèses!$W$7,IF(BZ132&lt;=Hypothèses!$V$8,Hypothèses!$W$8,IF(BZ132&lt;=Hypothèses!$V$9,Hypothèses!$W$9,IF(BZ132&lt;=Hypothèses!$V$10,Hypothèses!$W$10,IF(BZ132&lt;=Hypothèses!$V$11,Hypothèses!$W$11,IF(BZ132&lt;=Hypothèses!$V$12,Hypothèses!$W$12,IF(BZ132&lt;=Hypothèses!$V$13,Hypothèses!$W$13,IF(BZ132&lt;=Hypothèses!$V$14,Hypothèses!$W$14,IF(BZ132&lt;=Hypothèses!$V$15,Hypothèses!$W$15,IF(BZ132&lt;=Hypothèses!$V$16,Hypothèses!$W$16,IF(BZ132&lt;=Hypothèses!$V$17,Hypothèses!$W$17,IF(BZ132&lt;=Hypothèses!$V$18,Hypothèses!$W$18,""))))))))))))</f>
        <v>#DIV/0!</v>
      </c>
      <c r="CU132" s="87" t="e">
        <f t="shared" ca="1" si="220"/>
        <v>#DIV/0!</v>
      </c>
      <c r="CV132" s="88" t="e">
        <f ca="1">IF(BZ132&lt;=Hypothèses!$V$7,Hypothèses!$X$7,IF(BZ132&lt;=Hypothèses!$V$8,Hypothèses!$X$8,IF(BZ132&lt;=Hypothèses!$V$9,Hypothèses!$X$9,IF(BZ132&lt;=Hypothèses!$V$10,Hypothèses!$X$10,IF(BZ132&lt;=Hypothèses!$V$11,Hypothèses!$X$11,IF(BZ132&lt;=Hypothèses!$V$12,Hypothèses!$X$12,IF(BZ132&lt;=Hypothèses!$V$13,Hypothèses!$X$13,IF(BZ132&lt;=Hypothèses!$V$14,Hypothèses!$X$14,IF(BZ132&lt;=Hypothèses!$V$15,Hypothèses!$X$15,IF(BZ132&lt;=Hypothèses!$V$16,Hypothèses!$X$16,IF(BZ132&lt;=Hypothèses!$U$17,Hypothèses!$W$17,IF(BZ132&lt;=Hypothèses!$U$18,Hypothèses!$W$18,""))))))))))))</f>
        <v>#DIV/0!</v>
      </c>
      <c r="CW132" s="95" t="e">
        <f t="shared" ca="1" si="185"/>
        <v>#DIV/0!</v>
      </c>
      <c r="CX132" s="101" t="e">
        <f t="shared" si="227"/>
        <v>#N/A</v>
      </c>
      <c r="CY132" s="91" t="e">
        <f t="shared" si="154"/>
        <v>#N/A</v>
      </c>
      <c r="CZ132" s="30" t="e">
        <f t="shared" si="208"/>
        <v>#N/A</v>
      </c>
      <c r="DA132" s="30" t="e">
        <f t="shared" si="209"/>
        <v>#N/A</v>
      </c>
      <c r="DB132" s="31" t="e">
        <f>IF(OR(Hypothèses!$B$4=17,Hypothèses!$B$4=18,Hypothèses!$B$4=19,Hypothèses!$B$4=20),
IF($D132="Pressio.",
IF(OR($E132=3,$E132=1,$E132=4),DA132,CZ132),
IF($D132="Pénétro.",
IF(OR($E132=3,$E132=1,$E132=4),DA132,CZ132))),IF($D132="Pressio.",
IF($E132=3,DA132,CZ132),
IF($D132="Pénétro.",
IF($E132=4,DA132,CZ132))))</f>
        <v>#N/A</v>
      </c>
      <c r="DC132" s="31" t="e">
        <f>(IF(OR(Hypothèses!$B$4=17,Hypothèses!$B$4=18,Hypothèses!$B$4=19,Hypothèses!$B$4=20),
IF($D132="Pressio.",
IF(OR($E132=3,$E132=1,$E132=4),(PI()*DC$12^2)/4*(CY132*$W132*1000)/($H132*$B$5),(PI()*DC$12^2)/4*(CY132*$W132*1000)/($G132*$B$5)),
IF($D132="Pénétro.",
IF(OR($E132=4,$E132=1,$E132=5),(PI()*DC$12^2)/4*(CY132*$W132*1000)/($H132*$B$5),(PI()*DC$12^2)/4*(CY132*$W132*1000)/($G132*$B$5)))),
IF($D132="Pressio.",
IF($E132=3,(PI()*DC$12^2)/4*(CY132*$W132*1000)/($H132*$B$5),(PI()*DC$12^2)/4*(CY132*$W132*1000)/($G132*$B$5)),
IF($D132="Pénétro.",
IF($E132=4,(PI()*DC$12^2)/4*(CY132*$W132*1000)/($H132*$B$5),(PI()*DC$12^2)/4*(CY132*$W132*1000)/($G132*$B$5))))))/10</f>
        <v>#N/A</v>
      </c>
      <c r="DD132" s="102" t="e">
        <f>(VLOOKUP($B$3,'Coeff EC7'!$T$39:$X$59,2,0)*DB132+VLOOKUP($B$3,'Coeff EC7'!$T$65:$X$85,2,0)*Model0.1C!DC132)/1.1</f>
        <v>#N/A</v>
      </c>
      <c r="DE132" s="102" t="e">
        <f>(VLOOKUP($B$3,'Coeff EC7'!$T$39:$X$59,3,0)*DB132+VLOOKUP($B$3,'Coeff EC7'!$T$65:$X$85,3,0)*Model0.1C!DC132)/0.9</f>
        <v>#N/A</v>
      </c>
      <c r="DF132" s="102" t="e">
        <f t="shared" si="186"/>
        <v>#N/A</v>
      </c>
      <c r="DG132" s="102" t="e">
        <f t="shared" si="187"/>
        <v>#N/A</v>
      </c>
      <c r="DH132" s="414" t="e">
        <f>IF(DH131=0,0,IF(AND(DD132&gt;charge_ELS_quasi,DE132&gt;Charge_ELS_freq,DF132&gt;charge_ELU,DG132&gt;charge_ELA,$B132&gt;NDC!$H$22-0.1+MIN(3*$DH$12,1.5)),0,1))</f>
        <v>#N/A</v>
      </c>
      <c r="DI132" s="86" t="b">
        <f t="shared" si="155"/>
        <v>0</v>
      </c>
      <c r="DJ132" s="86">
        <f t="shared" si="156"/>
        <v>0.5</v>
      </c>
      <c r="DK132" s="86">
        <f t="shared" si="157"/>
        <v>0.5</v>
      </c>
      <c r="DL132" s="30" t="e">
        <f t="shared" ca="1" si="188"/>
        <v>#DIV/0!</v>
      </c>
      <c r="DM132" s="85" t="e">
        <f ca="1">IF(CS132&lt;=Hypothèses!$V$7,Hypothèses!$W$7,IF(CS132&lt;=Hypothèses!$V$8,Hypothèses!$W$8,IF(CS132&lt;=Hypothèses!$V$9,Hypothèses!$W$9,IF(CS132&lt;=Hypothèses!$V$10,Hypothèses!$W$10,IF(CS132&lt;=Hypothèses!$V$11,Hypothèses!$W$11,IF(CS132&lt;=Hypothèses!$V$12,Hypothèses!$W$12,IF(CS132&lt;=Hypothèses!$V$13,Hypothèses!$W$13,IF(CS132&lt;=Hypothèses!$V$14,Hypothèses!$W$14,IF(CS132&lt;=Hypothèses!$V$15,Hypothèses!$W$15,IF(CS132&lt;=Hypothèses!$V$16,Hypothèses!$W$16,IF(CS132&lt;=Hypothèses!$V$17,Hypothèses!$W$17,IF(CS132&lt;=Hypothèses!$V$18,Hypothèses!$W$18,""))))))))))))</f>
        <v>#DIV/0!</v>
      </c>
      <c r="DN132" s="87" t="e">
        <f t="shared" ca="1" si="221"/>
        <v>#DIV/0!</v>
      </c>
      <c r="DO132" s="88" t="e">
        <f ca="1">IF(CS132&lt;=Hypothèses!$V$7,Hypothèses!$X$7,IF(CS132&lt;=Hypothèses!$V$8,Hypothèses!$X$8,IF(CS132&lt;=Hypothèses!$V$9,Hypothèses!$X$9,IF(CS132&lt;=Hypothèses!$V$10,Hypothèses!$X$10,IF(CS132&lt;=Hypothèses!$V$11,Hypothèses!$X$11,IF(CS132&lt;=Hypothèses!$V$12,Hypothèses!$X$12,IF(CS132&lt;=Hypothèses!$V$13,Hypothèses!$X$13,IF(CS132&lt;=Hypothèses!$V$14,Hypothèses!$X$14,IF(CS132&lt;=Hypothèses!$V$15,Hypothèses!$X$15,IF(CS132&lt;=Hypothèses!$V$16,Hypothèses!$X$16,IF(CS132&lt;=Hypothèses!$U$17,Hypothèses!$W$17,IF(CS132&lt;=Hypothèses!$U$18,Hypothèses!$W$18,""))))))))))))</f>
        <v>#DIV/0!</v>
      </c>
      <c r="DP132" s="95" t="e">
        <f t="shared" ca="1" si="189"/>
        <v>#DIV/0!</v>
      </c>
      <c r="DQ132" s="101" t="e">
        <f t="shared" si="228"/>
        <v>#N/A</v>
      </c>
      <c r="DR132" s="91" t="e">
        <f t="shared" si="158"/>
        <v>#N/A</v>
      </c>
      <c r="DS132" s="30" t="e">
        <f t="shared" si="210"/>
        <v>#N/A</v>
      </c>
      <c r="DT132" s="30" t="e">
        <f t="shared" si="211"/>
        <v>#N/A</v>
      </c>
      <c r="DU132" s="31" t="e">
        <f>IF(OR(Hypothèses!$B$4=17,Hypothèses!$B$4=18,Hypothèses!$B$4=19,Hypothèses!$B$4=20),
IF($D132="Pressio.",
IF(OR($E132=3,$E132=1,$E132=4),DT132,DS132),
IF($D132="Pénétro.",
IF(OR($E132=3,$E132=1,$E132=4),DT132,DS132))),IF($D132="Pressio.",
IF($E132=3,DT132,DS132),
IF($D132="Pénétro.",
IF($E132=4,DT132,DS132))))</f>
        <v>#N/A</v>
      </c>
      <c r="DV132" s="31" t="e">
        <f>(IF(OR(Hypothèses!$B$4=17,Hypothèses!$B$4=18,Hypothèses!$B$4=19,Hypothèses!$B$4=20),
IF($D132="Pressio.",
IF(OR($E132=3,$E132=1,$E132=4),(PI()*DV$12^2)/4*(DR132*$W132*1000)/($H132*$B$5),(PI()*DV$12^2)/4*(DR132*$W132*1000)/($G132*$B$5)),
IF($D132="Pénétro.",
IF(OR($E132=4,$E132=1,$E132=5),(PI()*DV$12^2)/4*(DR132*$W132*1000)/($H132*$B$5),(PI()*DV$12^2)/4*(DR132*$W132*1000)/($G132*$B$5)))),
IF($D132="Pressio.",
IF($E132=3,(PI()*DV$12^2)/4*(DR132*$W132*1000)/($H132*$B$5),(PI()*DV$12^2)/4*(DR132*$W132*1000)/($G132*$B$5)),
IF($D132="Pénétro.",
IF($E132=4,(PI()*DV$12^2)/4*(DR132*$W132*1000)/($H132*$B$5),(PI()*DV$12^2)/4*(DR132*$W132*1000)/($G132*$B$5))))))/10</f>
        <v>#N/A</v>
      </c>
      <c r="DW132" s="102" t="e">
        <f>(VLOOKUP($B$3,'Coeff EC7'!$T$39:$X$59,2,0)*DU132+VLOOKUP($B$3,'Coeff EC7'!$T$65:$X$85,2,0)*Model0.1C!DV132)/1.1</f>
        <v>#N/A</v>
      </c>
      <c r="DX132" s="102" t="e">
        <f>(VLOOKUP($B$3,'Coeff EC7'!$T$39:$X$59,3,0)*DU132+VLOOKUP($B$3,'Coeff EC7'!$T$65:$X$85,3,0)*Model0.1C!DV132)/0.9</f>
        <v>#N/A</v>
      </c>
      <c r="DY132" s="102" t="e">
        <f t="shared" si="190"/>
        <v>#N/A</v>
      </c>
      <c r="DZ132" s="102" t="e">
        <f t="shared" si="191"/>
        <v>#N/A</v>
      </c>
      <c r="EA132" s="414" t="e">
        <f>IF(EA131=0,0,IF(AND(DW132&gt;charge_ELS_quasi,DX132&gt;Charge_ELS_freq,DY132&gt;charge_ELU,DZ132&gt;charge_ELA,$B132&gt;NDC!$H$22-0.1+MIN(3*$EA$12,1.5)),0,1))</f>
        <v>#N/A</v>
      </c>
      <c r="EB132" s="86" t="b">
        <f t="shared" si="159"/>
        <v>0</v>
      </c>
      <c r="EC132" s="418">
        <f t="shared" si="160"/>
        <v>0.51</v>
      </c>
      <c r="ED132" s="86">
        <f t="shared" si="161"/>
        <v>0.51</v>
      </c>
      <c r="EE132" s="30" t="e">
        <f t="shared" ca="1" si="192"/>
        <v>#DIV/0!</v>
      </c>
      <c r="EF132" s="85" t="e">
        <f ca="1">IF(DL132&lt;=Hypothèses!$V$7,Hypothèses!$W$7,IF(DL132&lt;=Hypothèses!$V$8,Hypothèses!$W$8,IF(DL132&lt;=Hypothèses!$V$9,Hypothèses!$W$9,IF(DL132&lt;=Hypothèses!$V$10,Hypothèses!$W$10,IF(DL132&lt;=Hypothèses!$V$11,Hypothèses!$W$11,IF(DL132&lt;=Hypothèses!$V$12,Hypothèses!$W$12,IF(DL132&lt;=Hypothèses!$V$13,Hypothèses!$W$13,IF(DL132&lt;=Hypothèses!$V$14,Hypothèses!$W$14,IF(DL132&lt;=Hypothèses!$V$15,Hypothèses!$W$15,IF(DL132&lt;=Hypothèses!$V$16,Hypothèses!$W$16,IF(DL132&lt;=Hypothèses!$V$17,Hypothèses!$W$17,IF(DL132&lt;=Hypothèses!$V$18,Hypothèses!$W$18,""))))))))))))</f>
        <v>#DIV/0!</v>
      </c>
      <c r="EG132" s="87" t="e">
        <f t="shared" ca="1" si="222"/>
        <v>#DIV/0!</v>
      </c>
      <c r="EH132" s="88" t="e">
        <f ca="1">IF(DL132&lt;=Hypothèses!$V$7,Hypothèses!$X$7,IF(DL132&lt;=Hypothèses!$V$8,Hypothèses!$X$8,IF(DL132&lt;=Hypothèses!$V$9,Hypothèses!$X$9,IF(DL132&lt;=Hypothèses!$V$10,Hypothèses!$X$10,IF(DL132&lt;=Hypothèses!$V$11,Hypothèses!$X$11,IF(DL132&lt;=Hypothèses!$V$12,Hypothèses!$X$12,IF(DL132&lt;=Hypothèses!$V$13,Hypothèses!$X$13,IF(DL132&lt;=Hypothèses!$V$14,Hypothèses!$X$14,IF(DL132&lt;=Hypothèses!$V$15,Hypothèses!$X$15,IF(DL132&lt;=Hypothèses!$V$16,Hypothèses!$X$16,IF(DL132&lt;=Hypothèses!$U$17,Hypothèses!$W$17,IF(DL132&lt;=Hypothèses!$U$18,Hypothèses!$W$18,""))))))))))))</f>
        <v>#DIV/0!</v>
      </c>
      <c r="EI132" s="95" t="e">
        <f t="shared" ca="1" si="193"/>
        <v>#DIV/0!</v>
      </c>
      <c r="EJ132" s="101" t="e">
        <f t="shared" si="229"/>
        <v>#N/A</v>
      </c>
      <c r="EK132" s="91" t="e">
        <f t="shared" si="162"/>
        <v>#N/A</v>
      </c>
      <c r="EL132" s="30" t="e">
        <f t="shared" si="212"/>
        <v>#N/A</v>
      </c>
      <c r="EM132" s="30" t="e">
        <f t="shared" si="213"/>
        <v>#N/A</v>
      </c>
      <c r="EN132" s="31" t="e">
        <f>IF(OR(Hypothèses!$B$4=17,Hypothèses!$B$4=18,Hypothèses!$B$4=19,Hypothèses!$B$4=20),
IF($D132="Pressio.",
IF(OR($E132=3,$E132=1,$E132=4),EM132,EL132),
IF($D132="Pénétro.",
IF(OR($E132=3,$E132=1,$E132=4),EM132,EL132))),IF($D132="Pressio.",
IF($E132=3,EM132,EL132),
IF($D132="Pénétro.",
IF($E132=4,EM132,EL132))))</f>
        <v>#N/A</v>
      </c>
      <c r="EO132" s="31" t="e">
        <f>(IF(OR(Hypothèses!$B$4=17,Hypothèses!$B$4=18,Hypothèses!$B$4=19,Hypothèses!$B$4=20),
IF($D132="Pressio.",
IF(OR($E132=3,$E132=1,$E132=4),(PI()*EO$12^2)/4*(EK132*$W132*1000)/($H132*$B$5),(PI()*EO$12^2)/4*(EK132*$W132*1000)/($G132*$B$5)),
IF($D132="Pénétro.",
IF(OR($E132=4,$E132=1,$E132=5),(PI()*EO$12^2)/4*(EK132*$W132*1000)/($H132*$B$5),(PI()*EO$12^2)/4*(EK132*$W132*1000)/($G132*$B$5)))),
IF($D132="Pressio.",
IF($E132=3,(PI()*EO$12^2)/4*(EK132*$W132*1000)/($H132*$B$5),(PI()*EO$12^2)/4*(EK132*$W132*1000)/($G132*$B$5)),
IF($D132="Pénétro.",
IF($E132=4,(PI()*EO$12^2)/4*(EK132*$W132*1000)/($H132*$B$5),(PI()*EO$12^2)/4*(EK132*$W132*1000)/($G132*$B$5))))))/10</f>
        <v>#N/A</v>
      </c>
      <c r="EP132" s="102" t="e">
        <f>(VLOOKUP($B$3,'Coeff EC7'!$T$39:$X$59,2,0)*EN132+VLOOKUP($B$3,'Coeff EC7'!$T$65:$X$85,2,0)*Model0.1C!EO132)/1.1</f>
        <v>#N/A</v>
      </c>
      <c r="EQ132" s="102" t="e">
        <f>(VLOOKUP($B$3,'Coeff EC7'!$T$39:$X$59,3,0)*EN132+VLOOKUP($B$3,'Coeff EC7'!$T$65:$X$85,3,0)*Model0.1C!EO132)/0.9</f>
        <v>#N/A</v>
      </c>
      <c r="ER132" s="102" t="e">
        <f t="shared" si="194"/>
        <v>#N/A</v>
      </c>
      <c r="ES132" s="102" t="e">
        <f t="shared" si="195"/>
        <v>#N/A</v>
      </c>
      <c r="ET132" s="414" t="e">
        <f>IF(ET131=0,0,IF(AND(EP132&gt;charge_ELS_quasi,EQ132&gt;Charge_ELS_freq,ER132&gt;charge_ELU,ES132&gt;charge_ELA,$B132&gt;NDC!$H$22-0.1+MIN(3*$ET$12,1.5)),0,1))</f>
        <v>#N/A</v>
      </c>
      <c r="EU132" s="86" t="b">
        <f t="shared" si="163"/>
        <v>0</v>
      </c>
      <c r="EV132" s="86">
        <f t="shared" si="164"/>
        <v>0.61</v>
      </c>
      <c r="EW132" s="86">
        <f t="shared" si="165"/>
        <v>0.61</v>
      </c>
      <c r="EX132" s="30" t="e">
        <f t="shared" ca="1" si="196"/>
        <v>#DIV/0!</v>
      </c>
      <c r="EY132" s="85" t="e">
        <f ca="1">IF(EE132&lt;=Hypothèses!$V$7,Hypothèses!$W$7,IF(EE132&lt;=Hypothèses!$V$8,Hypothèses!$W$8,IF(EE132&lt;=Hypothèses!$V$9,Hypothèses!$W$9,IF(EE132&lt;=Hypothèses!$V$10,Hypothèses!$W$10,IF(EE132&lt;=Hypothèses!$V$11,Hypothèses!$W$11,IF(EE132&lt;=Hypothèses!$V$12,Hypothèses!$W$12,IF(EE132&lt;=Hypothèses!$V$13,Hypothèses!$W$13,IF(EE132&lt;=Hypothèses!$V$14,Hypothèses!$W$14,IF(EE132&lt;=Hypothèses!$V$15,Hypothèses!$W$15,IF(EE132&lt;=Hypothèses!$V$16,Hypothèses!$W$16,IF(EE132&lt;=Hypothèses!$V$17,Hypothèses!$W$17,IF(EE132&lt;=Hypothèses!$V$18,Hypothèses!$W$18,""))))))))))))</f>
        <v>#DIV/0!</v>
      </c>
      <c r="EZ132" s="87" t="e">
        <f t="shared" ca="1" si="223"/>
        <v>#DIV/0!</v>
      </c>
      <c r="FA132" s="88" t="e">
        <f ca="1">IF(EE132&lt;=Hypothèses!$V$7,Hypothèses!$X$7,IF(EE132&lt;=Hypothèses!$V$8,Hypothèses!$X$8,IF(EE132&lt;=Hypothèses!$V$9,Hypothèses!$X$9,IF(EE132&lt;=Hypothèses!$V$10,Hypothèses!$X$10,IF(EE132&lt;=Hypothèses!$V$11,Hypothèses!$X$11,IF(EE132&lt;=Hypothèses!$V$12,Hypothèses!$X$12,IF(EE132&lt;=Hypothèses!$V$13,Hypothèses!$X$13,IF(EE132&lt;=Hypothèses!$V$14,Hypothèses!$X$14,IF(EE132&lt;=Hypothèses!$V$15,Hypothèses!$X$15,IF(EE132&lt;=Hypothèses!$V$16,Hypothèses!$X$16,IF(EE132&lt;=Hypothèses!$U$17,Hypothèses!$W$17,IF(EE132&lt;=Hypothèses!$U$18,Hypothèses!$W$18,""))))))))))))</f>
        <v>#DIV/0!</v>
      </c>
      <c r="FB132" s="95" t="e">
        <f t="shared" ca="1" si="197"/>
        <v>#DIV/0!</v>
      </c>
      <c r="FC132" s="101" t="e">
        <f t="shared" si="230"/>
        <v>#N/A</v>
      </c>
      <c r="FD132" s="91" t="e">
        <f t="shared" si="166"/>
        <v>#N/A</v>
      </c>
      <c r="FE132" s="30" t="e">
        <f t="shared" si="214"/>
        <v>#N/A</v>
      </c>
      <c r="FF132" s="30" t="e">
        <f t="shared" si="215"/>
        <v>#N/A</v>
      </c>
      <c r="FG132" s="31" t="e">
        <f>IF(OR(Hypothèses!$B$4=17,Hypothèses!$B$4=18,Hypothèses!$B$4=19,Hypothèses!$B$4=20),
IF($D132="Pressio.",
IF(OR($E132=3,$E132=1,$E132=4),FF132,FE132),
IF($D132="Pénétro.",
IF(OR($E132=3,$E132=1,$E132=4),FF132,FE132))),IF($D132="Pressio.",
IF($E132=3,FF132,FE132),
IF($D132="Pénétro.",
IF($E132=4,FF132,FE132))))</f>
        <v>#N/A</v>
      </c>
      <c r="FH132" s="31" t="e">
        <f>(IF(OR(Hypothèses!$B$4=17,Hypothèses!$B$4=18,Hypothèses!$B$4=19,Hypothèses!$B$4=20),
IF($D132="Pressio.",
IF(OR($E132=3,$E132=1,$E132=4),(PI()*FH$12^2)/4*(FD132*$W132*1000)/($H132*$B$5),(PI()*FH$12^2)/4*(FD132*$W132*1000)/($G132*$B$5)),
IF($D132="Pénétro.",
IF(OR($E132=4,$E132=1,$E132=5),(PI()*FH$12^2)/4*(FD132*$W132*1000)/($H132*$B$5),(PI()*FH$12^2)/4*(FD132*$W132*1000)/($G132*$B$5)))),
IF($D132="Pressio.",
IF($E132=3,(PI()*FH$12^2)/4*(FD132*$W132*1000)/($H132*$B$5),(PI()*FH$12^2)/4*(FD132*$W132*1000)/($G132*$B$5)),
IF($D132="Pénétro.",
IF($E132=4,(PI()*FH$12^2)/4*(FD132*$W132*1000)/($H132*$B$5),(PI()*FH$12^2)/4*(FD132*$W132*1000)/($G132*$B$5))))))/10</f>
        <v>#N/A</v>
      </c>
      <c r="FI132" s="102" t="e">
        <f>(VLOOKUP($B$3,'Coeff EC7'!$T$39:$X$59,2,0)*FG132+VLOOKUP($B$3,'Coeff EC7'!$T$65:$X$85,2,0)*Model0.1C!FH132)/1.1</f>
        <v>#N/A</v>
      </c>
      <c r="FJ132" s="102" t="e">
        <f>(VLOOKUP($B$3,'Coeff EC7'!$T$39:$X$59,3,0)*FG132+VLOOKUP($B$3,'Coeff EC7'!$T$65:$X$85,3,0)*Model0.1C!FH132)/0.9</f>
        <v>#N/A</v>
      </c>
      <c r="FK132" s="102" t="e">
        <f t="shared" si="198"/>
        <v>#N/A</v>
      </c>
      <c r="FL132" s="102" t="e">
        <f t="shared" si="199"/>
        <v>#N/A</v>
      </c>
      <c r="FM132" s="414" t="e">
        <f>IF(FM131=0,0,IF(AND(FI132&gt;charge_ELS_quasi,FJ132&gt;Charge_ELS_freq,FK132&gt;charge_ELU,FL132&gt;charge_ELA,$B132&gt;NDC!$H$22-0.1+MIN(3*$FM$12,1.5)),0,1))</f>
        <v>#N/A</v>
      </c>
    </row>
    <row r="133" spans="1:169">
      <c r="A133" s="96">
        <f t="shared" si="167"/>
        <v>88.000000000000682</v>
      </c>
      <c r="B133" s="97">
        <v>12</v>
      </c>
      <c r="C133" s="81">
        <f>IF(B133&lt;=Hypothèses!$C$7,Hypothèses!$A$7,IF(B133&lt;=Hypothèses!$C$8,Hypothèses!$A$8,IF(B133&lt;=Hypothèses!$C$9,Hypothèses!$A$9,IF(B133&lt;=Hypothèses!$C$10,Hypothèses!$A$10,IF(B133&lt;=Hypothèses!$C$11,Hypothèses!$A$11,IF(B133&lt;=Hypothèses!$C$12,Hypothèses!$A$12,IF(B133&lt;=Hypothèses!$C$13,Hypothèses!$A$13,IF(B133&lt;=Hypothèses!$C$14,Hypothèses!$A$14,IF(B133&lt;=Hypothèses!$C$15,Hypothèses!$A$15,IF(B133&lt;=Hypothèses!$C$16,Hypothèses!$A$16,IF(B133&lt;=Hypothèses!$C$17,Hypothèses!$A$17,IF(B133&lt;=Hypothèses!$C$18,Hypothèses!$A$18,C132))))))))))))</f>
        <v>11</v>
      </c>
      <c r="D133" s="82" t="str">
        <f>IF(B133&lt;=Hypothèses!$C$7,Hypothèses!$R$7,IF(B133&lt;=Hypothèses!$C$8,Hypothèses!$R$8,IF(B133&lt;=Hypothèses!$C$9,Hypothèses!$R$9,IF(B133&lt;=Hypothèses!$C$10,Hypothèses!$R$10,IF(B133&lt;=Hypothèses!$C$11,Hypothèses!$R$11,IF(B133&lt;=Hypothèses!$C$12,Hypothèses!$R$12,IF(B133&lt;=Hypothèses!$C$13,Hypothèses!$R$13,IF(B133&lt;=Hypothèses!$C$14,Hypothèses!$R$14,IF(B133&lt;=Hypothèses!$C$15,Hypothèses!$R$15,IF(B133&lt;=Hypothèses!$C$16,Hypothèses!$R$16,IF(B133&lt;=Hypothèses!$C$17,Hypothèses!$R$17,IF(B133&lt;=Hypothèses!$C$18,Hypothèses!$R$18,D132))))))))))))</f>
        <v>Pressio.</v>
      </c>
      <c r="E133" s="82" t="e">
        <f>IF(B133&lt;=Hypothèses!$C$7,Hypothèses!$G$7,IF(B133&lt;=Hypothèses!$C$8,Hypothèses!$G$8,IF(B133&lt;=Hypothèses!$C$9,Hypothèses!$G$9,IF(B133&lt;=Hypothèses!$C$10,Hypothèses!$G$10,IF(B133&lt;=Hypothèses!$C$11,Hypothèses!$G$11,IF(B133&lt;=Hypothèses!$C$12,Hypothèses!$G$12,IF(B133&lt;=Hypothèses!$C$13,Hypothèses!$G$13,IF(B133&lt;=Hypothèses!$C$14,Hypothèses!$G$14,IF(B133&lt;=Hypothèses!$C$15,Hypothèses!$G$15,IF(B133&lt;=Hypothèses!$C$16,Hypothèses!$G$16,IF(B133&lt;=Hypothèses!$C$17,Hypothèses!$G$17,IF(B133&lt;=Hypothèses!$C$18,Hypothèses!$G$18,E132))))))))))))</f>
        <v>#N/A</v>
      </c>
      <c r="F133" s="82" t="str">
        <f>IF(B133&lt;=Hypothèses!$C$7,Hypothèses!$F$7,IF(B133&lt;=Hypothèses!$C$8,Hypothèses!$F$8,IF(B133&lt;=Hypothèses!$C$9,Hypothèses!$F$9,IF(B133&lt;=Hypothèses!$C$10,Hypothèses!$F$10,IF(B133&lt;=Hypothèses!$C$11,Hypothèses!$F$11,IF(B133&lt;=Hypothèses!$C$12,Hypothèses!$F$12,IF(B133&lt;=Hypothèses!$C$13,Hypothèses!$F$13,IF(B133&lt;=Hypothèses!$C$14,Hypothèses!$F$14,IF(B133&lt;=Hypothèses!$C$15,Hypothèses!$F$15,IF(B133&lt;=Hypothèses!$C$16,Hypothèses!$F$16,IF(B133&lt;=Hypothèses!$C$17,Hypothèses!$F$17,IF(B133&lt;=Hypothèses!$C$18,Hypothèses!$F$18,F132))))))))))))</f>
        <v/>
      </c>
      <c r="G133" s="91">
        <f t="array" ref="G133">INDEX('Coeff EC7'!$U$7:$X$27,
MATCH(Model0.1C!$B$3,'Coeff EC7'!$T$7:$T$27,0),
MATCH(Model0.1C!$D133&amp;Model0.1C!$B$4,
'Coeff EC7'!$U$6:$X$6&amp;
'Coeff EC7'!$U$5:$X$5,0))</f>
        <v>1.1499999999999999</v>
      </c>
      <c r="H133" s="91">
        <f t="array" ref="H133">INDEX('Coeff EC7'!$Y$7:$AB$27,
MATCH(Model0.1C!$B$3,'Coeff EC7'!$T$7:$T$27,0),
MATCH(Model0.1C!$D133&amp;Model0.1C!$B$4,
'Coeff EC7'!$Y$6:$AB$6&amp;
'Coeff EC7'!$Y$5:$AB$5,0))</f>
        <v>1.4</v>
      </c>
      <c r="I133" s="83" t="e">
        <f>IF(B133&lt;=Hypothèses!$C$7,Hypothèses!$P$7,IF(B133&lt;=Hypothèses!$C$8,Hypothèses!$P$8,IF(B133&lt;=Hypothèses!$C$9,Hypothèses!$P$9,IF(B133&lt;=Hypothèses!$C$10,Hypothèses!$P$10,IF(B133&lt;=Hypothèses!$C$11,Hypothèses!$P$11,IF(B133&lt;=Hypothèses!$C$12,Hypothèses!$P$12,IF(B133&lt;=Hypothèses!$C$13,Hypothèses!$P$13,IF(B133&lt;=Hypothèses!$C$14,Hypothèses!$P$14,IF(B133&lt;=Hypothèses!$C$15,Hypothèses!$P$15,IF(B133&lt;=Hypothèses!$C$16,Hypothèses!$P$16,IF(B133&lt;=Hypothèses!$C$17,Hypothèses!$P$17,IF(B133&lt;=Hypothèses!$C$18,Hypothèses!$P$18,I132))))))))))))</f>
        <v>#N/A</v>
      </c>
      <c r="J133" s="91" t="e">
        <f t="array" ref="J133">INDEX('Coeff EC7'!$D$33:$Q$33,1,MATCH(D133&amp;E133,'Coeff EC7'!$D$31:$Q$31&amp;'Coeff EC7'!$D$32:$Q$32,0))</f>
        <v>#N/A</v>
      </c>
      <c r="K133" s="91" t="e">
        <f t="array" ref="K133">INDEX('Coeff EC7'!$D$34:$Q$34,1,MATCH(D133&amp;E133,'Coeff EC7'!$D$31:$Q$31&amp;'Coeff EC7'!$D$32:$Q$32,0))</f>
        <v>#N/A</v>
      </c>
      <c r="L133" s="91" t="e">
        <f t="array" ref="L133">INDEX('Coeff EC7'!$D$35:$Q$35,1,MATCH(D133&amp;E133,'Coeff EC7'!$D$31:$Q$31&amp;'Coeff EC7'!$D$32:$Q$32,0))</f>
        <v>#N/A</v>
      </c>
      <c r="M133" s="98" t="e">
        <f t="shared" si="131"/>
        <v>#N/A</v>
      </c>
      <c r="N133" s="99" t="e">
        <f t="array" ref="N133">INDEX('Coeff EC7'!$D$7:$Q$27,MATCH($B$3,'Coeff EC7'!$C$7:$C$27,0),MATCH(D133&amp;E133,'Coeff EC7'!$D$5:$Q$5&amp;'Coeff EC7'!$D$6:$Q$6,0))</f>
        <v>#N/A</v>
      </c>
      <c r="O133" s="99" t="e">
        <f t="array" ref="O133">INDEX('Coeff EC7'!$D$41:$Q$61,MATCH($B$3,'Coeff EC7'!$C$41:$C$61,0),MATCH(D133&amp;E133,'Coeff EC7'!$D$39:$Q$39&amp;'Coeff EC7'!$D$40:$Q$40,0))</f>
        <v>#N/A</v>
      </c>
      <c r="P133" s="30" t="e">
        <f t="shared" si="168"/>
        <v>#N/A</v>
      </c>
      <c r="Q133" s="100" t="e">
        <f t="shared" si="133"/>
        <v>#N/A</v>
      </c>
      <c r="R133" s="86" t="b">
        <f t="shared" si="134"/>
        <v>0</v>
      </c>
      <c r="S133" s="86">
        <f t="shared" si="132"/>
        <v>0.5</v>
      </c>
      <c r="T133" s="86">
        <f t="shared" si="135"/>
        <v>0.5</v>
      </c>
      <c r="U133" s="30" t="e">
        <f t="shared" ca="1" si="169"/>
        <v>#DIV/0!</v>
      </c>
      <c r="V133" s="85" t="str">
        <f>IF(B133&lt;=Hypothèses!$V$7,Hypothèses!$W$7,IF(B133&lt;=Hypothèses!$V$8,Hypothèses!$W$8,IF(B133&lt;=Hypothèses!$V$9,Hypothèses!$W$9,IF(B133&lt;=Hypothèses!$V$10,Hypothèses!$W$10,IF(B133&lt;=Hypothèses!$V$11,Hypothèses!$W$11,IF(B133&lt;=Hypothèses!$V$12,Hypothèses!$W$12,IF(B133&lt;=Hypothèses!$V$13,Hypothèses!$W$13,IF(B133&lt;=Hypothèses!$V$14,Hypothèses!$W$14,IF(B133&lt;=Hypothèses!$V$15,Hypothèses!$W$15,IF(B133&lt;=Hypothèses!$V$16,Hypothèses!$W$16,IF(B133&lt;=Hypothèses!$V$17,Hypothèses!$W$17,IF(B133&lt;=Hypothèses!$V$18,Hypothèses!$W$18,""))))))))))))</f>
        <v/>
      </c>
      <c r="W133" s="87" t="e">
        <f t="shared" ca="1" si="216"/>
        <v>#DIV/0!</v>
      </c>
      <c r="X133" s="88" t="str">
        <f>IF(B133&lt;=Hypothèses!$V$7,Hypothèses!$X$7,IF(B133&lt;=Hypothèses!$V$8,Hypothèses!$X$8,IF(B133&lt;=Hypothèses!$V$9,Hypothèses!$X$9,IF(B133&lt;=Hypothèses!$V$10,Hypothèses!$X$10,IF(B133&lt;=Hypothèses!$V$11,Hypothèses!$X$11,IF(B133&lt;=Hypothèses!$V$12,Hypothèses!$X$12,IF(B133&lt;=Hypothèses!$V$13,Hypothèses!$X$13,IF(B133&lt;=Hypothèses!$V$14,Hypothèses!$X$14,IF(B133&lt;=Hypothèses!$V$15,Hypothèses!$X$15,IF(B133&lt;=Hypothèses!$V$16,Hypothèses!$X$16,IF(B133&lt;=Hypothèses!$U$17,Hypothèses!$W$17,IF(B133&lt;=Hypothèses!$U$18,Hypothèses!$W$18,""))))))))))))</f>
        <v/>
      </c>
      <c r="Y133" s="95" t="e">
        <f t="shared" ca="1" si="136"/>
        <v>#DIV/0!</v>
      </c>
      <c r="Z133" s="101" t="e">
        <f t="shared" si="137"/>
        <v>#N/A</v>
      </c>
      <c r="AA133" s="91" t="e">
        <f t="shared" si="138"/>
        <v>#N/A</v>
      </c>
      <c r="AB133" s="30" t="e">
        <f t="shared" si="200"/>
        <v>#N/A</v>
      </c>
      <c r="AC133" s="30" t="e">
        <f t="shared" si="201"/>
        <v>#N/A</v>
      </c>
      <c r="AD133" s="31" t="e">
        <f>IF(OR(Hypothèses!$B$4=17,Hypothèses!$B$4=18,Hypothèses!$B$4=19,Hypothèses!$B$4=20),
IF($D133="Pressio.",
IF(OR($E133=3,$E133=1,$E133=4),AC133,AB133),
IF($D133="Pénétro.",
IF(OR($E133=3,$E133=1,$E133=4),AC133,AB133))),IF($D133="Pressio.",
IF($E133=3,AC133,AB133),
IF($D133="Pénétro.",
IF($E133=4,AC133,AB133))))</f>
        <v>#N/A</v>
      </c>
      <c r="AE133" s="31" t="e">
        <f>(IF(OR(Hypothèses!$B$4=17,Hypothèses!$B$4=18,Hypothèses!$B$4=19,Hypothèses!$B$4=20),
IF($D133="Pressio.",
IF(OR($E133=3,$E133=1,$E133=4),(PI()*AE$12^2)/4*(AA133*$W133*1000)/($H133*$B$5),(PI()*AE$12^2)/4*(AA133*$W133*1000)/($G133*$B$5)),
IF($D133="Pénétro.",
IF(OR($E133=4,$E133=1,$E133=5),(PI()*AE$12^2)/4*(AA133*$W133*1000)/($H133*$B$5),(PI()*AE$12^2)/4*(AA133*$W133*1000)/($G133*$B$5)))),
IF($D133="Pressio.",
IF($E133=3,(PI()*AE$12^2)/4*(AA133*$W133*1000)/($H133*$B$5),(PI()*AE$12^2)/4*(AA133*$W133*1000)/($G133*$B$5)),
IF($D133="Pénétro.",
IF($E133=4,(PI()*AE$12^2)/4*(AA133*$W133*1000)/($H133*$B$5),(PI()*AE$12^2)/4*(AA133*$W133*1000)/($G133*$B$5))))))/10</f>
        <v>#N/A</v>
      </c>
      <c r="AF133" s="102" t="e">
        <f>(VLOOKUP($B$3,'Coeff EC7'!$T$39:$X$59,2,0)*AD133+VLOOKUP($B$3,'Coeff EC7'!$T$65:$X$85,2,0)*Model0.1C!AE133)/1.1</f>
        <v>#N/A</v>
      </c>
      <c r="AG133" s="102" t="e">
        <f>(VLOOKUP($B$3,'Coeff EC7'!$T$39:$X$59,3,0)*AD133+VLOOKUP($B$3,'Coeff EC7'!$T$65:$X$85,3,0)*Model0.1C!AE133)/0.9</f>
        <v>#N/A</v>
      </c>
      <c r="AH133" s="102" t="e">
        <f t="shared" si="139"/>
        <v>#N/A</v>
      </c>
      <c r="AI133" s="102" t="e">
        <f t="shared" si="140"/>
        <v>#N/A</v>
      </c>
      <c r="AJ133" s="414" t="e">
        <f>IF(AJ132=0,0,IF(AND(AF133&gt;charge_ELS_quasi,AG133&gt;Charge_ELS_freq,AH133&gt;charge_ELU,AI133&gt;charge_ELA,$B133&gt;NDC!$H$22-0.1+MIN(3*$AJ$12,1.5)),0,1))</f>
        <v>#N/A</v>
      </c>
      <c r="AK133" s="86" t="b">
        <f t="shared" si="141"/>
        <v>0</v>
      </c>
      <c r="AL133" s="86">
        <f t="shared" si="170"/>
        <v>0.5</v>
      </c>
      <c r="AM133" s="86">
        <f t="shared" si="142"/>
        <v>0.5</v>
      </c>
      <c r="AN133" s="30" t="e">
        <f t="shared" ca="1" si="171"/>
        <v>#DIV/0!</v>
      </c>
      <c r="AO133" s="85" t="e">
        <f ca="1">IF(U133&lt;=Hypothèses!$V$7,Hypothèses!$W$7,IF(U133&lt;=Hypothèses!$V$8,Hypothèses!$W$8,IF(U133&lt;=Hypothèses!$V$9,Hypothèses!$W$9,IF(U133&lt;=Hypothèses!$V$10,Hypothèses!$W$10,IF(U133&lt;=Hypothèses!$V$11,Hypothèses!$W$11,IF(U133&lt;=Hypothèses!$V$12,Hypothèses!$W$12,IF(U133&lt;=Hypothèses!$V$13,Hypothèses!$W$13,IF(U133&lt;=Hypothèses!$V$14,Hypothèses!$W$14,IF(U133&lt;=Hypothèses!$V$15,Hypothèses!$W$15,IF(U133&lt;=Hypothèses!$V$16,Hypothèses!$W$16,IF(U133&lt;=Hypothèses!$V$17,Hypothèses!$W$17,IF(U133&lt;=Hypothèses!$V$18,Hypothèses!$W$18,""))))))))))))</f>
        <v>#DIV/0!</v>
      </c>
      <c r="AP133" s="87" t="e">
        <f t="shared" ca="1" si="217"/>
        <v>#DIV/0!</v>
      </c>
      <c r="AQ133" s="88" t="e">
        <f ca="1">IF(U133&lt;=Hypothèses!$V$7,Hypothèses!$X$7,IF(U133&lt;=Hypothèses!$V$8,Hypothèses!$X$8,IF(U133&lt;=Hypothèses!$V$9,Hypothèses!$X$9,IF(U133&lt;=Hypothèses!$V$10,Hypothèses!$X$10,IF(U133&lt;=Hypothèses!$V$11,Hypothèses!$X$11,IF(U133&lt;=Hypothèses!$V$12,Hypothèses!$X$12,IF(U133&lt;=Hypothèses!$V$13,Hypothèses!$X$13,IF(U133&lt;=Hypothèses!$V$14,Hypothèses!$X$14,IF(U133&lt;=Hypothèses!$V$15,Hypothèses!$X$15,IF(U133&lt;=Hypothèses!$V$16,Hypothèses!$X$16,IF(U133&lt;=Hypothèses!$U$17,Hypothèses!$W$17,IF(U133&lt;=Hypothèses!$U$18,Hypothèses!$W$18,""))))))))))))</f>
        <v>#DIV/0!</v>
      </c>
      <c r="AR133" s="95" t="e">
        <f t="shared" ca="1" si="172"/>
        <v>#DIV/0!</v>
      </c>
      <c r="AS133" s="101" t="e">
        <f t="shared" si="224"/>
        <v>#N/A</v>
      </c>
      <c r="AT133" s="91" t="e">
        <f t="shared" si="143"/>
        <v>#N/A</v>
      </c>
      <c r="AU133" s="30" t="e">
        <f t="shared" si="202"/>
        <v>#N/A</v>
      </c>
      <c r="AV133" s="30" t="e">
        <f t="shared" si="203"/>
        <v>#N/A</v>
      </c>
      <c r="AW133" s="31" t="e">
        <f>IF(OR(Hypothèses!$B$4=17,Hypothèses!$B$4=18,Hypothèses!$B$4=19,Hypothèses!$B$4=20),
IF($D133="Pressio.",
IF(OR($E133=3,$E133=1,$E133=4),AV133,AU133),
IF($D133="Pénétro.",
IF(OR($E133=3,$E133=1,$E133=4),AV133,AU133))),IF($D133="Pressio.",
IF($E133=3,AV133,AU133),
IF($D133="Pénétro.",
IF($E133=4,AV133,AU133))))</f>
        <v>#N/A</v>
      </c>
      <c r="AX133" s="31" t="e">
        <f>(IF(OR(Hypothèses!$B$4=17,Hypothèses!$B$4=18,Hypothèses!$B$4=19,Hypothèses!$B$4=20),
IF($D133="Pressio.",
IF(OR($E133=3,$E133=1,$E133=4),(PI()*AX$12^2)/4*(AT133*$W133*1000)/($H133*$B$5),(PI()*AX$12^2)/4*(AT133*$W133*1000)/($G133*$B$5)),
IF($D133="Pénétro.",
IF(OR($E133=4,$E133=1,$E133=5),(PI()*AX$12^2)/4*(AT133*$W133*1000)/($H133*$B$5),(PI()*AX$12^2)/4*(AT133*$W133*1000)/($G133*$B$5)))),
IF($D133="Pressio.",
IF($E133=3,(PI()*AX$12^2)/4*(AT133*$W133*1000)/($H133*$B$5),(PI()*AX$12^2)/4*(AT133*$W133*1000)/($G133*$B$5)),
IF($D133="Pénétro.",
IF($E133=4,(PI()*AX$12^2)/4*(AT133*$W133*1000)/($H133*$B$5),(PI()*AX$12^2)/4*(AT133*$W133*1000)/($G133*$B$5))))))/10</f>
        <v>#N/A</v>
      </c>
      <c r="AY133" s="102" t="e">
        <f>(VLOOKUP($B$3,'Coeff EC7'!$T$39:$X$59,2,0)*AW133+VLOOKUP($B$3,'Coeff EC7'!$T$65:$X$85,2,0)*Model0.1C!AX133)/1.1</f>
        <v>#N/A</v>
      </c>
      <c r="AZ133" s="102" t="e">
        <f>(VLOOKUP($B$3,'Coeff EC7'!$T$39:$X$59,3,0)*AW133+VLOOKUP($B$3,'Coeff EC7'!$T$65:$X$85,3,0)*Model0.1C!AX133)/0.9</f>
        <v>#N/A</v>
      </c>
      <c r="BA133" s="102" t="e">
        <f t="shared" si="173"/>
        <v>#N/A</v>
      </c>
      <c r="BB133" s="102" t="e">
        <f t="shared" si="174"/>
        <v>#N/A</v>
      </c>
      <c r="BC133" s="414" t="e">
        <f>IF(BC132=0,0,IF(AND(AY133&gt;charge_ELS_quasi,AZ133&gt;Charge_ELS_freq,BA133&gt;charge_ELU,BB133&gt;charge_ELA,$B133&gt;NDC!$H$22-0.1+MIN(3*$BC$12,1.5)),0,1))</f>
        <v>#N/A</v>
      </c>
      <c r="BD133" s="86" t="b">
        <f t="shared" si="144"/>
        <v>0</v>
      </c>
      <c r="BE133" s="86">
        <f t="shared" si="175"/>
        <v>0.5</v>
      </c>
      <c r="BF133" s="86">
        <f t="shared" si="145"/>
        <v>0.5</v>
      </c>
      <c r="BG133" s="30" t="e">
        <f t="shared" ca="1" si="176"/>
        <v>#DIV/0!</v>
      </c>
      <c r="BH133" s="85" t="e">
        <f ca="1">IF(AN133&lt;=Hypothèses!$V$7,Hypothèses!$W$7,IF(AN133&lt;=Hypothèses!$V$8,Hypothèses!$W$8,IF(AN133&lt;=Hypothèses!$V$9,Hypothèses!$W$9,IF(AN133&lt;=Hypothèses!$V$10,Hypothèses!$W$10,IF(AN133&lt;=Hypothèses!$V$11,Hypothèses!$W$11,IF(AN133&lt;=Hypothèses!$V$12,Hypothèses!$W$12,IF(AN133&lt;=Hypothèses!$V$13,Hypothèses!$W$13,IF(AN133&lt;=Hypothèses!$V$14,Hypothèses!$W$14,IF(AN133&lt;=Hypothèses!$V$15,Hypothèses!$W$15,IF(AN133&lt;=Hypothèses!$V$16,Hypothèses!$W$16,IF(AN133&lt;=Hypothèses!$V$17,Hypothèses!$W$17,IF(AN133&lt;=Hypothèses!$V$18,Hypothèses!$W$18,""))))))))))))</f>
        <v>#DIV/0!</v>
      </c>
      <c r="BI133" s="87" t="e">
        <f t="shared" ca="1" si="218"/>
        <v>#DIV/0!</v>
      </c>
      <c r="BJ133" s="88" t="e">
        <f ca="1">IF(AN133&lt;=Hypothèses!$V$7,Hypothèses!$X$7,IF(AN133&lt;=Hypothèses!$V$8,Hypothèses!$X$8,IF(AN133&lt;=Hypothèses!$V$9,Hypothèses!$X$9,IF(AN133&lt;=Hypothèses!$V$10,Hypothèses!$X$10,IF(AN133&lt;=Hypothèses!$V$11,Hypothèses!$X$11,IF(AN133&lt;=Hypothèses!$V$12,Hypothèses!$X$12,IF(AN133&lt;=Hypothèses!$V$13,Hypothèses!$X$13,IF(AN133&lt;=Hypothèses!$V$14,Hypothèses!$X$14,IF(AN133&lt;=Hypothèses!$V$15,Hypothèses!$X$15,IF(AN133&lt;=Hypothèses!$V$16,Hypothèses!$X$16,IF(AN133&lt;=Hypothèses!$U$17,Hypothèses!$W$17,IF(AN133&lt;=Hypothèses!$U$18,Hypothèses!$W$18,""))))))))))))</f>
        <v>#DIV/0!</v>
      </c>
      <c r="BK133" s="95" t="e">
        <f t="shared" ca="1" si="177"/>
        <v>#DIV/0!</v>
      </c>
      <c r="BL133" s="101" t="e">
        <f t="shared" si="225"/>
        <v>#N/A</v>
      </c>
      <c r="BM133" s="91" t="e">
        <f t="shared" si="146"/>
        <v>#N/A</v>
      </c>
      <c r="BN133" s="30" t="e">
        <f t="shared" si="204"/>
        <v>#N/A</v>
      </c>
      <c r="BO133" s="30" t="e">
        <f t="shared" si="205"/>
        <v>#N/A</v>
      </c>
      <c r="BP133" s="31" t="e">
        <f>IF(OR(Hypothèses!$B$4=17,Hypothèses!$B$4=18,Hypothèses!$B$4=19,Hypothèses!$B$4=20),
IF($D133="Pressio.",
IF(OR($E133=3,$E133=1,$E133=4),BO133,BN133),
IF($D133="Pénétro.",
IF(OR($E133=3,$E133=1,$E133=4),BO133,BN133))),IF($D133="Pressio.",
IF($E133=3,BO133,BN133),
IF($D133="Pénétro.",
IF($E133=4,BO133,BN133))))</f>
        <v>#N/A</v>
      </c>
      <c r="BQ133" s="31" t="e">
        <f>(IF(OR(Hypothèses!$B$4=17,Hypothèses!$B$4=18,Hypothèses!$B$4=19,Hypothèses!$B$4=20),
IF($D133="Pressio.",
IF(OR($E133=3,$E133=1,$E133=4),(PI()*BQ$12^2)/4*(BM133*$W133*1000)/($H133*$B$5),(PI()*BQ$12^2)/4*(BM133*$W133*1000)/($G133*$B$5)),
IF($D133="Pénétro.",
IF(OR($E133=4,$E133=1,$E133=5),(PI()*BQ$12^2)/4*(BM133*$W133*1000)/($H133*$B$5),(PI()*BQ$12^2)/4*(BM133*$W133*1000)/($G133*$B$5)))),
IF($D133="Pressio.",
IF($E133=3,(PI()*BQ$12^2)/4*(BM133*$W133*1000)/($H133*$B$5),(PI()*BQ$12^2)/4*(BM133*$W133*1000)/($G133*$B$5)),
IF($D133="Pénétro.",
IF($E133=4,(PI()*BQ$12^2)/4*(BM133*$W133*1000)/($H133*$B$5),(PI()*BQ$12^2)/4*(BM133*$W133*1000)/($G133*$B$5))))))/10</f>
        <v>#N/A</v>
      </c>
      <c r="BR133" s="102" t="e">
        <f>(VLOOKUP($B$3,'Coeff EC7'!$T$39:$X$59,2,0)*BP133+VLOOKUP($B$3,'Coeff EC7'!$T$65:$X$85,2,0)*Model0.1C!BQ133)/1.1</f>
        <v>#N/A</v>
      </c>
      <c r="BS133" s="102" t="e">
        <f>(VLOOKUP($B$3,'Coeff EC7'!$T$39:$X$59,3,0)*BP133+VLOOKUP($B$3,'Coeff EC7'!$T$65:$X$85,3,0)*Model0.1C!BQ133)/0.9</f>
        <v>#N/A</v>
      </c>
      <c r="BT133" s="102" t="e">
        <f t="shared" si="178"/>
        <v>#N/A</v>
      </c>
      <c r="BU133" s="102" t="e">
        <f t="shared" si="179"/>
        <v>#N/A</v>
      </c>
      <c r="BV133" s="414" t="e">
        <f>IF(BV132=0,0,IF(AND(BR133&gt;charge_ELS_quasi,BS133&gt;Charge_ELS_freq,BT133&gt;charge_ELU,BU133&gt;charge_ELA,$B133&gt;NDC!$H$22-0.1+MIN(3*$BV$12,1.5)),0,1))</f>
        <v>#N/A</v>
      </c>
      <c r="BW133" s="86" t="b">
        <f t="shared" si="147"/>
        <v>0</v>
      </c>
      <c r="BX133" s="86">
        <f t="shared" si="148"/>
        <v>0.5</v>
      </c>
      <c r="BY133" s="86">
        <f t="shared" si="149"/>
        <v>0.5</v>
      </c>
      <c r="BZ133" s="30" t="e">
        <f t="shared" ca="1" si="180"/>
        <v>#DIV/0!</v>
      </c>
      <c r="CA133" s="85" t="e">
        <f ca="1">IF(BG133&lt;=Hypothèses!$V$7,Hypothèses!$W$7,IF(BG133&lt;=Hypothèses!$V$8,Hypothèses!$W$8,IF(BG133&lt;=Hypothèses!$V$9,Hypothèses!$W$9,IF(BG133&lt;=Hypothèses!$V$10,Hypothèses!$W$10,IF(BG133&lt;=Hypothèses!$V$11,Hypothèses!$W$11,IF(BG133&lt;=Hypothèses!$V$12,Hypothèses!$W$12,IF(BG133&lt;=Hypothèses!$V$13,Hypothèses!$W$13,IF(BG133&lt;=Hypothèses!$V$14,Hypothèses!$W$14,IF(BG133&lt;=Hypothèses!$V$15,Hypothèses!$W$15,IF(BG133&lt;=Hypothèses!$V$16,Hypothèses!$W$16,IF(BG133&lt;=Hypothèses!$V$17,Hypothèses!$W$17,IF(BG133&lt;=Hypothèses!$V$18,Hypothèses!$W$18,""))))))))))))</f>
        <v>#DIV/0!</v>
      </c>
      <c r="CB133" s="87" t="e">
        <f t="shared" ca="1" si="219"/>
        <v>#DIV/0!</v>
      </c>
      <c r="CC133" s="88" t="e">
        <f ca="1">IF(BG133&lt;=Hypothèses!$V$7,Hypothèses!$X$7,IF(BG133&lt;=Hypothèses!$V$8,Hypothèses!$X$8,IF(BG133&lt;=Hypothèses!$V$9,Hypothèses!$X$9,IF(BG133&lt;=Hypothèses!$V$10,Hypothèses!$X$10,IF(BG133&lt;=Hypothèses!$V$11,Hypothèses!$X$11,IF(BG133&lt;=Hypothèses!$V$12,Hypothèses!$X$12,IF(BG133&lt;=Hypothèses!$V$13,Hypothèses!$X$13,IF(BG133&lt;=Hypothèses!$V$14,Hypothèses!$X$14,IF(BG133&lt;=Hypothèses!$V$15,Hypothèses!$X$15,IF(BG133&lt;=Hypothèses!$V$16,Hypothèses!$X$16,IF(BG133&lt;=Hypothèses!$U$17,Hypothèses!$W$17,IF(BG133&lt;=Hypothèses!$U$18,Hypothèses!$W$18,""))))))))))))</f>
        <v>#DIV/0!</v>
      </c>
      <c r="CD133" s="95" t="e">
        <f t="shared" ca="1" si="181"/>
        <v>#DIV/0!</v>
      </c>
      <c r="CE133" s="101" t="e">
        <f t="shared" si="226"/>
        <v>#N/A</v>
      </c>
      <c r="CF133" s="91" t="e">
        <f t="shared" si="150"/>
        <v>#N/A</v>
      </c>
      <c r="CG133" s="30" t="e">
        <f t="shared" si="206"/>
        <v>#N/A</v>
      </c>
      <c r="CH133" s="30" t="e">
        <f t="shared" si="207"/>
        <v>#N/A</v>
      </c>
      <c r="CI133" s="31" t="e">
        <f>IF(OR(Hypothèses!$B$4=17,Hypothèses!$B$4=18,Hypothèses!$B$4=19,Hypothèses!$B$4=20),
IF($D133="Pressio.",
IF(OR($E133=3,$E133=1,$E133=4),CH133,CG133),
IF($D133="Pénétro.",
IF(OR($E133=3,$E133=1,$E133=4),CH133,CG133))),IF($D133="Pressio.",
IF($E133=3,CH133,CG133),
IF($D133="Pénétro.",
IF($E133=4,CH133,CG133))))</f>
        <v>#N/A</v>
      </c>
      <c r="CJ133" s="31" t="e">
        <f>(IF(OR(Hypothèses!$B$4=17,Hypothèses!$B$4=18,Hypothèses!$B$4=19,Hypothèses!$B$4=20),
IF($D133="Pressio.",
IF(OR($E133=3,$E133=1,$E133=4),(PI()*CJ$12^2)/4*(CF133*$W133*1000)/($H133*$B$5),(PI()*CJ$12^2)/4*(CF133*$W133*1000)/($G133*$B$5)),
IF($D133="Pénétro.",
IF(OR($E133=4,$E133=1,$E133=5),(PI()*CJ$12^2)/4*(CF133*$W133*1000)/($H133*$B$5),(PI()*CJ$12^2)/4*(CF133*$W133*1000)/($G133*$B$5)))),
IF($D133="Pressio.",
IF($E133=3,(PI()*CJ$12^2)/4*(CF133*$W133*1000)/($H133*$B$5),(PI()*CJ$12^2)/4*(CF133*$W133*1000)/($G133*$B$5)),
IF($D133="Pénétro.",
IF($E133=4,(PI()*CJ$12^2)/4*(CF133*$W133*1000)/($H133*$B$5),(PI()*CJ$12^2)/4*(CF133*$W133*1000)/($G133*$B$5))))))/10</f>
        <v>#N/A</v>
      </c>
      <c r="CK133" s="102" t="e">
        <f>(VLOOKUP($B$3,'Coeff EC7'!$T$39:$X$59,2,0)*CI133+VLOOKUP($B$3,'Coeff EC7'!$T$65:$X$85,2,0)*Model0.1C!CJ133)/1.1</f>
        <v>#N/A</v>
      </c>
      <c r="CL133" s="102" t="e">
        <f>(VLOOKUP($B$3,'Coeff EC7'!$T$39:$X$59,3,0)*CI133+VLOOKUP($B$3,'Coeff EC7'!$T$65:$X$85,3,0)*Model0.1C!CJ133)/0.9</f>
        <v>#N/A</v>
      </c>
      <c r="CM133" s="102" t="e">
        <f t="shared" si="182"/>
        <v>#N/A</v>
      </c>
      <c r="CN133" s="102" t="e">
        <f t="shared" si="183"/>
        <v>#N/A</v>
      </c>
      <c r="CO133" s="414" t="e">
        <f>IF(CO132=0,0,IF(AND(CK133&gt;charge_ELS_quasi,CL133&gt;Charge_ELS_freq,CM133&gt;charge_ELU,CN133&gt;charge_ELA,$B133&gt;NDC!$H$22-0.1+MIN(3*$CO$12,1.5)),0,1))</f>
        <v>#N/A</v>
      </c>
      <c r="CP133" s="86" t="b">
        <f t="shared" si="151"/>
        <v>0</v>
      </c>
      <c r="CQ133" s="86">
        <f t="shared" si="152"/>
        <v>0.5</v>
      </c>
      <c r="CR133" s="86">
        <f t="shared" si="153"/>
        <v>0.5</v>
      </c>
      <c r="CS133" s="30" t="e">
        <f t="shared" ca="1" si="184"/>
        <v>#DIV/0!</v>
      </c>
      <c r="CT133" s="85" t="e">
        <f ca="1">IF(BZ133&lt;=Hypothèses!$V$7,Hypothèses!$W$7,IF(BZ133&lt;=Hypothèses!$V$8,Hypothèses!$W$8,IF(BZ133&lt;=Hypothèses!$V$9,Hypothèses!$W$9,IF(BZ133&lt;=Hypothèses!$V$10,Hypothèses!$W$10,IF(BZ133&lt;=Hypothèses!$V$11,Hypothèses!$W$11,IF(BZ133&lt;=Hypothèses!$V$12,Hypothèses!$W$12,IF(BZ133&lt;=Hypothèses!$V$13,Hypothèses!$W$13,IF(BZ133&lt;=Hypothèses!$V$14,Hypothèses!$W$14,IF(BZ133&lt;=Hypothèses!$V$15,Hypothèses!$W$15,IF(BZ133&lt;=Hypothèses!$V$16,Hypothèses!$W$16,IF(BZ133&lt;=Hypothèses!$V$17,Hypothèses!$W$17,IF(BZ133&lt;=Hypothèses!$V$18,Hypothèses!$W$18,""))))))))))))</f>
        <v>#DIV/0!</v>
      </c>
      <c r="CU133" s="87" t="e">
        <f t="shared" ca="1" si="220"/>
        <v>#DIV/0!</v>
      </c>
      <c r="CV133" s="88" t="e">
        <f ca="1">IF(BZ133&lt;=Hypothèses!$V$7,Hypothèses!$X$7,IF(BZ133&lt;=Hypothèses!$V$8,Hypothèses!$X$8,IF(BZ133&lt;=Hypothèses!$V$9,Hypothèses!$X$9,IF(BZ133&lt;=Hypothèses!$V$10,Hypothèses!$X$10,IF(BZ133&lt;=Hypothèses!$V$11,Hypothèses!$X$11,IF(BZ133&lt;=Hypothèses!$V$12,Hypothèses!$X$12,IF(BZ133&lt;=Hypothèses!$V$13,Hypothèses!$X$13,IF(BZ133&lt;=Hypothèses!$V$14,Hypothèses!$X$14,IF(BZ133&lt;=Hypothèses!$V$15,Hypothèses!$X$15,IF(BZ133&lt;=Hypothèses!$V$16,Hypothèses!$X$16,IF(BZ133&lt;=Hypothèses!$U$17,Hypothèses!$W$17,IF(BZ133&lt;=Hypothèses!$U$18,Hypothèses!$W$18,""))))))))))))</f>
        <v>#DIV/0!</v>
      </c>
      <c r="CW133" s="95" t="e">
        <f t="shared" ca="1" si="185"/>
        <v>#DIV/0!</v>
      </c>
      <c r="CX133" s="101" t="e">
        <f t="shared" si="227"/>
        <v>#N/A</v>
      </c>
      <c r="CY133" s="91" t="e">
        <f t="shared" si="154"/>
        <v>#N/A</v>
      </c>
      <c r="CZ133" s="30" t="e">
        <f t="shared" si="208"/>
        <v>#N/A</v>
      </c>
      <c r="DA133" s="30" t="e">
        <f t="shared" si="209"/>
        <v>#N/A</v>
      </c>
      <c r="DB133" s="31" t="e">
        <f>IF(OR(Hypothèses!$B$4=17,Hypothèses!$B$4=18,Hypothèses!$B$4=19,Hypothèses!$B$4=20),
IF($D133="Pressio.",
IF(OR($E133=3,$E133=1,$E133=4),DA133,CZ133),
IF($D133="Pénétro.",
IF(OR($E133=3,$E133=1,$E133=4),DA133,CZ133))),IF($D133="Pressio.",
IF($E133=3,DA133,CZ133),
IF($D133="Pénétro.",
IF($E133=4,DA133,CZ133))))</f>
        <v>#N/A</v>
      </c>
      <c r="DC133" s="31" t="e">
        <f>(IF(OR(Hypothèses!$B$4=17,Hypothèses!$B$4=18,Hypothèses!$B$4=19,Hypothèses!$B$4=20),
IF($D133="Pressio.",
IF(OR($E133=3,$E133=1,$E133=4),(PI()*DC$12^2)/4*(CY133*$W133*1000)/($H133*$B$5),(PI()*DC$12^2)/4*(CY133*$W133*1000)/($G133*$B$5)),
IF($D133="Pénétro.",
IF(OR($E133=4,$E133=1,$E133=5),(PI()*DC$12^2)/4*(CY133*$W133*1000)/($H133*$B$5),(PI()*DC$12^2)/4*(CY133*$W133*1000)/($G133*$B$5)))),
IF($D133="Pressio.",
IF($E133=3,(PI()*DC$12^2)/4*(CY133*$W133*1000)/($H133*$B$5),(PI()*DC$12^2)/4*(CY133*$W133*1000)/($G133*$B$5)),
IF($D133="Pénétro.",
IF($E133=4,(PI()*DC$12^2)/4*(CY133*$W133*1000)/($H133*$B$5),(PI()*DC$12^2)/4*(CY133*$W133*1000)/($G133*$B$5))))))/10</f>
        <v>#N/A</v>
      </c>
      <c r="DD133" s="102" t="e">
        <f>(VLOOKUP($B$3,'Coeff EC7'!$T$39:$X$59,2,0)*DB133+VLOOKUP($B$3,'Coeff EC7'!$T$65:$X$85,2,0)*Model0.1C!DC133)/1.1</f>
        <v>#N/A</v>
      </c>
      <c r="DE133" s="102" t="e">
        <f>(VLOOKUP($B$3,'Coeff EC7'!$T$39:$X$59,3,0)*DB133+VLOOKUP($B$3,'Coeff EC7'!$T$65:$X$85,3,0)*Model0.1C!DC133)/0.9</f>
        <v>#N/A</v>
      </c>
      <c r="DF133" s="102" t="e">
        <f t="shared" si="186"/>
        <v>#N/A</v>
      </c>
      <c r="DG133" s="102" t="e">
        <f t="shared" si="187"/>
        <v>#N/A</v>
      </c>
      <c r="DH133" s="414" t="e">
        <f>IF(DH132=0,0,IF(AND(DD133&gt;charge_ELS_quasi,DE133&gt;Charge_ELS_freq,DF133&gt;charge_ELU,DG133&gt;charge_ELA,$B133&gt;NDC!$H$22-0.1+MIN(3*$DH$12,1.5)),0,1))</f>
        <v>#N/A</v>
      </c>
      <c r="DI133" s="86" t="b">
        <f t="shared" si="155"/>
        <v>0</v>
      </c>
      <c r="DJ133" s="86">
        <f t="shared" si="156"/>
        <v>0.5</v>
      </c>
      <c r="DK133" s="86">
        <f t="shared" si="157"/>
        <v>0.5</v>
      </c>
      <c r="DL133" s="30" t="e">
        <f t="shared" ca="1" si="188"/>
        <v>#DIV/0!</v>
      </c>
      <c r="DM133" s="85" t="e">
        <f ca="1">IF(CS133&lt;=Hypothèses!$V$7,Hypothèses!$W$7,IF(CS133&lt;=Hypothèses!$V$8,Hypothèses!$W$8,IF(CS133&lt;=Hypothèses!$V$9,Hypothèses!$W$9,IF(CS133&lt;=Hypothèses!$V$10,Hypothèses!$W$10,IF(CS133&lt;=Hypothèses!$V$11,Hypothèses!$W$11,IF(CS133&lt;=Hypothèses!$V$12,Hypothèses!$W$12,IF(CS133&lt;=Hypothèses!$V$13,Hypothèses!$W$13,IF(CS133&lt;=Hypothèses!$V$14,Hypothèses!$W$14,IF(CS133&lt;=Hypothèses!$V$15,Hypothèses!$W$15,IF(CS133&lt;=Hypothèses!$V$16,Hypothèses!$W$16,IF(CS133&lt;=Hypothèses!$V$17,Hypothèses!$W$17,IF(CS133&lt;=Hypothèses!$V$18,Hypothèses!$W$18,""))))))))))))</f>
        <v>#DIV/0!</v>
      </c>
      <c r="DN133" s="87" t="e">
        <f t="shared" ca="1" si="221"/>
        <v>#DIV/0!</v>
      </c>
      <c r="DO133" s="88" t="e">
        <f ca="1">IF(CS133&lt;=Hypothèses!$V$7,Hypothèses!$X$7,IF(CS133&lt;=Hypothèses!$V$8,Hypothèses!$X$8,IF(CS133&lt;=Hypothèses!$V$9,Hypothèses!$X$9,IF(CS133&lt;=Hypothèses!$V$10,Hypothèses!$X$10,IF(CS133&lt;=Hypothèses!$V$11,Hypothèses!$X$11,IF(CS133&lt;=Hypothèses!$V$12,Hypothèses!$X$12,IF(CS133&lt;=Hypothèses!$V$13,Hypothèses!$X$13,IF(CS133&lt;=Hypothèses!$V$14,Hypothèses!$X$14,IF(CS133&lt;=Hypothèses!$V$15,Hypothèses!$X$15,IF(CS133&lt;=Hypothèses!$V$16,Hypothèses!$X$16,IF(CS133&lt;=Hypothèses!$U$17,Hypothèses!$W$17,IF(CS133&lt;=Hypothèses!$U$18,Hypothèses!$W$18,""))))))))))))</f>
        <v>#DIV/0!</v>
      </c>
      <c r="DP133" s="95" t="e">
        <f t="shared" ca="1" si="189"/>
        <v>#DIV/0!</v>
      </c>
      <c r="DQ133" s="101" t="e">
        <f t="shared" si="228"/>
        <v>#N/A</v>
      </c>
      <c r="DR133" s="91" t="e">
        <f t="shared" si="158"/>
        <v>#N/A</v>
      </c>
      <c r="DS133" s="30" t="e">
        <f t="shared" si="210"/>
        <v>#N/A</v>
      </c>
      <c r="DT133" s="30" t="e">
        <f t="shared" si="211"/>
        <v>#N/A</v>
      </c>
      <c r="DU133" s="31" t="e">
        <f>IF(OR(Hypothèses!$B$4=17,Hypothèses!$B$4=18,Hypothèses!$B$4=19,Hypothèses!$B$4=20),
IF($D133="Pressio.",
IF(OR($E133=3,$E133=1,$E133=4),DT133,DS133),
IF($D133="Pénétro.",
IF(OR($E133=3,$E133=1,$E133=4),DT133,DS133))),IF($D133="Pressio.",
IF($E133=3,DT133,DS133),
IF($D133="Pénétro.",
IF($E133=4,DT133,DS133))))</f>
        <v>#N/A</v>
      </c>
      <c r="DV133" s="31" t="e">
        <f>(IF(OR(Hypothèses!$B$4=17,Hypothèses!$B$4=18,Hypothèses!$B$4=19,Hypothèses!$B$4=20),
IF($D133="Pressio.",
IF(OR($E133=3,$E133=1,$E133=4),(PI()*DV$12^2)/4*(DR133*$W133*1000)/($H133*$B$5),(PI()*DV$12^2)/4*(DR133*$W133*1000)/($G133*$B$5)),
IF($D133="Pénétro.",
IF(OR($E133=4,$E133=1,$E133=5),(PI()*DV$12^2)/4*(DR133*$W133*1000)/($H133*$B$5),(PI()*DV$12^2)/4*(DR133*$W133*1000)/($G133*$B$5)))),
IF($D133="Pressio.",
IF($E133=3,(PI()*DV$12^2)/4*(DR133*$W133*1000)/($H133*$B$5),(PI()*DV$12^2)/4*(DR133*$W133*1000)/($G133*$B$5)),
IF($D133="Pénétro.",
IF($E133=4,(PI()*DV$12^2)/4*(DR133*$W133*1000)/($H133*$B$5),(PI()*DV$12^2)/4*(DR133*$W133*1000)/($G133*$B$5))))))/10</f>
        <v>#N/A</v>
      </c>
      <c r="DW133" s="102" t="e">
        <f>(VLOOKUP($B$3,'Coeff EC7'!$T$39:$X$59,2,0)*DU133+VLOOKUP($B$3,'Coeff EC7'!$T$65:$X$85,2,0)*Model0.1C!DV133)/1.1</f>
        <v>#N/A</v>
      </c>
      <c r="DX133" s="102" t="e">
        <f>(VLOOKUP($B$3,'Coeff EC7'!$T$39:$X$59,3,0)*DU133+VLOOKUP($B$3,'Coeff EC7'!$T$65:$X$85,3,0)*Model0.1C!DV133)/0.9</f>
        <v>#N/A</v>
      </c>
      <c r="DY133" s="102" t="e">
        <f t="shared" si="190"/>
        <v>#N/A</v>
      </c>
      <c r="DZ133" s="102" t="e">
        <f t="shared" si="191"/>
        <v>#N/A</v>
      </c>
      <c r="EA133" s="414" t="e">
        <f>IF(EA132=0,0,IF(AND(DW133&gt;charge_ELS_quasi,DX133&gt;Charge_ELS_freq,DY133&gt;charge_ELU,DZ133&gt;charge_ELA,$B133&gt;NDC!$H$22-0.1+MIN(3*$EA$12,1.5)),0,1))</f>
        <v>#N/A</v>
      </c>
      <c r="EB133" s="86" t="b">
        <f t="shared" si="159"/>
        <v>0</v>
      </c>
      <c r="EC133" s="418">
        <f t="shared" si="160"/>
        <v>0.51</v>
      </c>
      <c r="ED133" s="86">
        <f t="shared" si="161"/>
        <v>0.51</v>
      </c>
      <c r="EE133" s="30" t="e">
        <f t="shared" ca="1" si="192"/>
        <v>#DIV/0!</v>
      </c>
      <c r="EF133" s="85" t="e">
        <f ca="1">IF(DL133&lt;=Hypothèses!$V$7,Hypothèses!$W$7,IF(DL133&lt;=Hypothèses!$V$8,Hypothèses!$W$8,IF(DL133&lt;=Hypothèses!$V$9,Hypothèses!$W$9,IF(DL133&lt;=Hypothèses!$V$10,Hypothèses!$W$10,IF(DL133&lt;=Hypothèses!$V$11,Hypothèses!$W$11,IF(DL133&lt;=Hypothèses!$V$12,Hypothèses!$W$12,IF(DL133&lt;=Hypothèses!$V$13,Hypothèses!$W$13,IF(DL133&lt;=Hypothèses!$V$14,Hypothèses!$W$14,IF(DL133&lt;=Hypothèses!$V$15,Hypothèses!$W$15,IF(DL133&lt;=Hypothèses!$V$16,Hypothèses!$W$16,IF(DL133&lt;=Hypothèses!$V$17,Hypothèses!$W$17,IF(DL133&lt;=Hypothèses!$V$18,Hypothèses!$W$18,""))))))))))))</f>
        <v>#DIV/0!</v>
      </c>
      <c r="EG133" s="87" t="e">
        <f t="shared" ca="1" si="222"/>
        <v>#DIV/0!</v>
      </c>
      <c r="EH133" s="88" t="e">
        <f ca="1">IF(DL133&lt;=Hypothèses!$V$7,Hypothèses!$X$7,IF(DL133&lt;=Hypothèses!$V$8,Hypothèses!$X$8,IF(DL133&lt;=Hypothèses!$V$9,Hypothèses!$X$9,IF(DL133&lt;=Hypothèses!$V$10,Hypothèses!$X$10,IF(DL133&lt;=Hypothèses!$V$11,Hypothèses!$X$11,IF(DL133&lt;=Hypothèses!$V$12,Hypothèses!$X$12,IF(DL133&lt;=Hypothèses!$V$13,Hypothèses!$X$13,IF(DL133&lt;=Hypothèses!$V$14,Hypothèses!$X$14,IF(DL133&lt;=Hypothèses!$V$15,Hypothèses!$X$15,IF(DL133&lt;=Hypothèses!$V$16,Hypothèses!$X$16,IF(DL133&lt;=Hypothèses!$U$17,Hypothèses!$W$17,IF(DL133&lt;=Hypothèses!$U$18,Hypothèses!$W$18,""))))))))))))</f>
        <v>#DIV/0!</v>
      </c>
      <c r="EI133" s="95" t="e">
        <f t="shared" ca="1" si="193"/>
        <v>#DIV/0!</v>
      </c>
      <c r="EJ133" s="101" t="e">
        <f t="shared" si="229"/>
        <v>#N/A</v>
      </c>
      <c r="EK133" s="91" t="e">
        <f t="shared" si="162"/>
        <v>#N/A</v>
      </c>
      <c r="EL133" s="30" t="e">
        <f t="shared" si="212"/>
        <v>#N/A</v>
      </c>
      <c r="EM133" s="30" t="e">
        <f t="shared" si="213"/>
        <v>#N/A</v>
      </c>
      <c r="EN133" s="31" t="e">
        <f>IF(OR(Hypothèses!$B$4=17,Hypothèses!$B$4=18,Hypothèses!$B$4=19,Hypothèses!$B$4=20),
IF($D133="Pressio.",
IF(OR($E133=3,$E133=1,$E133=4),EM133,EL133),
IF($D133="Pénétro.",
IF(OR($E133=3,$E133=1,$E133=4),EM133,EL133))),IF($D133="Pressio.",
IF($E133=3,EM133,EL133),
IF($D133="Pénétro.",
IF($E133=4,EM133,EL133))))</f>
        <v>#N/A</v>
      </c>
      <c r="EO133" s="31" t="e">
        <f>(IF(OR(Hypothèses!$B$4=17,Hypothèses!$B$4=18,Hypothèses!$B$4=19,Hypothèses!$B$4=20),
IF($D133="Pressio.",
IF(OR($E133=3,$E133=1,$E133=4),(PI()*EO$12^2)/4*(EK133*$W133*1000)/($H133*$B$5),(PI()*EO$12^2)/4*(EK133*$W133*1000)/($G133*$B$5)),
IF($D133="Pénétro.",
IF(OR($E133=4,$E133=1,$E133=5),(PI()*EO$12^2)/4*(EK133*$W133*1000)/($H133*$B$5),(PI()*EO$12^2)/4*(EK133*$W133*1000)/($G133*$B$5)))),
IF($D133="Pressio.",
IF($E133=3,(PI()*EO$12^2)/4*(EK133*$W133*1000)/($H133*$B$5),(PI()*EO$12^2)/4*(EK133*$W133*1000)/($G133*$B$5)),
IF($D133="Pénétro.",
IF($E133=4,(PI()*EO$12^2)/4*(EK133*$W133*1000)/($H133*$B$5),(PI()*EO$12^2)/4*(EK133*$W133*1000)/($G133*$B$5))))))/10</f>
        <v>#N/A</v>
      </c>
      <c r="EP133" s="102" t="e">
        <f>(VLOOKUP($B$3,'Coeff EC7'!$T$39:$X$59,2,0)*EN133+VLOOKUP($B$3,'Coeff EC7'!$T$65:$X$85,2,0)*Model0.1C!EO133)/1.1</f>
        <v>#N/A</v>
      </c>
      <c r="EQ133" s="102" t="e">
        <f>(VLOOKUP($B$3,'Coeff EC7'!$T$39:$X$59,3,0)*EN133+VLOOKUP($B$3,'Coeff EC7'!$T$65:$X$85,3,0)*Model0.1C!EO133)/0.9</f>
        <v>#N/A</v>
      </c>
      <c r="ER133" s="102" t="e">
        <f t="shared" si="194"/>
        <v>#N/A</v>
      </c>
      <c r="ES133" s="102" t="e">
        <f t="shared" si="195"/>
        <v>#N/A</v>
      </c>
      <c r="ET133" s="414" t="e">
        <f>IF(ET132=0,0,IF(AND(EP133&gt;charge_ELS_quasi,EQ133&gt;Charge_ELS_freq,ER133&gt;charge_ELU,ES133&gt;charge_ELA,$B133&gt;NDC!$H$22-0.1+MIN(3*$ET$12,1.5)),0,1))</f>
        <v>#N/A</v>
      </c>
      <c r="EU133" s="86" t="b">
        <f t="shared" si="163"/>
        <v>0</v>
      </c>
      <c r="EV133" s="86">
        <f t="shared" si="164"/>
        <v>0.61</v>
      </c>
      <c r="EW133" s="86">
        <f t="shared" si="165"/>
        <v>0.61</v>
      </c>
      <c r="EX133" s="30" t="e">
        <f t="shared" ca="1" si="196"/>
        <v>#DIV/0!</v>
      </c>
      <c r="EY133" s="85" t="e">
        <f ca="1">IF(EE133&lt;=Hypothèses!$V$7,Hypothèses!$W$7,IF(EE133&lt;=Hypothèses!$V$8,Hypothèses!$W$8,IF(EE133&lt;=Hypothèses!$V$9,Hypothèses!$W$9,IF(EE133&lt;=Hypothèses!$V$10,Hypothèses!$W$10,IF(EE133&lt;=Hypothèses!$V$11,Hypothèses!$W$11,IF(EE133&lt;=Hypothèses!$V$12,Hypothèses!$W$12,IF(EE133&lt;=Hypothèses!$V$13,Hypothèses!$W$13,IF(EE133&lt;=Hypothèses!$V$14,Hypothèses!$W$14,IF(EE133&lt;=Hypothèses!$V$15,Hypothèses!$W$15,IF(EE133&lt;=Hypothèses!$V$16,Hypothèses!$W$16,IF(EE133&lt;=Hypothèses!$V$17,Hypothèses!$W$17,IF(EE133&lt;=Hypothèses!$V$18,Hypothèses!$W$18,""))))))))))))</f>
        <v>#DIV/0!</v>
      </c>
      <c r="EZ133" s="87" t="e">
        <f t="shared" ca="1" si="223"/>
        <v>#DIV/0!</v>
      </c>
      <c r="FA133" s="88" t="e">
        <f ca="1">IF(EE133&lt;=Hypothèses!$V$7,Hypothèses!$X$7,IF(EE133&lt;=Hypothèses!$V$8,Hypothèses!$X$8,IF(EE133&lt;=Hypothèses!$V$9,Hypothèses!$X$9,IF(EE133&lt;=Hypothèses!$V$10,Hypothèses!$X$10,IF(EE133&lt;=Hypothèses!$V$11,Hypothèses!$X$11,IF(EE133&lt;=Hypothèses!$V$12,Hypothèses!$X$12,IF(EE133&lt;=Hypothèses!$V$13,Hypothèses!$X$13,IF(EE133&lt;=Hypothèses!$V$14,Hypothèses!$X$14,IF(EE133&lt;=Hypothèses!$V$15,Hypothèses!$X$15,IF(EE133&lt;=Hypothèses!$V$16,Hypothèses!$X$16,IF(EE133&lt;=Hypothèses!$U$17,Hypothèses!$W$17,IF(EE133&lt;=Hypothèses!$U$18,Hypothèses!$W$18,""))))))))))))</f>
        <v>#DIV/0!</v>
      </c>
      <c r="FB133" s="95" t="e">
        <f t="shared" ca="1" si="197"/>
        <v>#DIV/0!</v>
      </c>
      <c r="FC133" s="101" t="e">
        <f t="shared" si="230"/>
        <v>#N/A</v>
      </c>
      <c r="FD133" s="91" t="e">
        <f t="shared" si="166"/>
        <v>#N/A</v>
      </c>
      <c r="FE133" s="30" t="e">
        <f t="shared" si="214"/>
        <v>#N/A</v>
      </c>
      <c r="FF133" s="30" t="e">
        <f t="shared" si="215"/>
        <v>#N/A</v>
      </c>
      <c r="FG133" s="31" t="e">
        <f>IF(OR(Hypothèses!$B$4=17,Hypothèses!$B$4=18,Hypothèses!$B$4=19,Hypothèses!$B$4=20),
IF($D133="Pressio.",
IF(OR($E133=3,$E133=1,$E133=4),FF133,FE133),
IF($D133="Pénétro.",
IF(OR($E133=3,$E133=1,$E133=4),FF133,FE133))),IF($D133="Pressio.",
IF($E133=3,FF133,FE133),
IF($D133="Pénétro.",
IF($E133=4,FF133,FE133))))</f>
        <v>#N/A</v>
      </c>
      <c r="FH133" s="31" t="e">
        <f>(IF(OR(Hypothèses!$B$4=17,Hypothèses!$B$4=18,Hypothèses!$B$4=19,Hypothèses!$B$4=20),
IF($D133="Pressio.",
IF(OR($E133=3,$E133=1,$E133=4),(PI()*FH$12^2)/4*(FD133*$W133*1000)/($H133*$B$5),(PI()*FH$12^2)/4*(FD133*$W133*1000)/($G133*$B$5)),
IF($D133="Pénétro.",
IF(OR($E133=4,$E133=1,$E133=5),(PI()*FH$12^2)/4*(FD133*$W133*1000)/($H133*$B$5),(PI()*FH$12^2)/4*(FD133*$W133*1000)/($G133*$B$5)))),
IF($D133="Pressio.",
IF($E133=3,(PI()*FH$12^2)/4*(FD133*$W133*1000)/($H133*$B$5),(PI()*FH$12^2)/4*(FD133*$W133*1000)/($G133*$B$5)),
IF($D133="Pénétro.",
IF($E133=4,(PI()*FH$12^2)/4*(FD133*$W133*1000)/($H133*$B$5),(PI()*FH$12^2)/4*(FD133*$W133*1000)/($G133*$B$5))))))/10</f>
        <v>#N/A</v>
      </c>
      <c r="FI133" s="102" t="e">
        <f>(VLOOKUP($B$3,'Coeff EC7'!$T$39:$X$59,2,0)*FG133+VLOOKUP($B$3,'Coeff EC7'!$T$65:$X$85,2,0)*Model0.1C!FH133)/1.1</f>
        <v>#N/A</v>
      </c>
      <c r="FJ133" s="102" t="e">
        <f>(VLOOKUP($B$3,'Coeff EC7'!$T$39:$X$59,3,0)*FG133+VLOOKUP($B$3,'Coeff EC7'!$T$65:$X$85,3,0)*Model0.1C!FH133)/0.9</f>
        <v>#N/A</v>
      </c>
      <c r="FK133" s="102" t="e">
        <f t="shared" si="198"/>
        <v>#N/A</v>
      </c>
      <c r="FL133" s="102" t="e">
        <f t="shared" si="199"/>
        <v>#N/A</v>
      </c>
      <c r="FM133" s="414" t="e">
        <f>IF(FM132=0,0,IF(AND(FI133&gt;charge_ELS_quasi,FJ133&gt;Charge_ELS_freq,FK133&gt;charge_ELU,FL133&gt;charge_ELA,$B133&gt;NDC!$H$22-0.1+MIN(3*$FM$12,1.5)),0,1))</f>
        <v>#N/A</v>
      </c>
    </row>
    <row r="134" spans="1:169">
      <c r="A134" s="96">
        <f t="shared" si="167"/>
        <v>87.900000000000688</v>
      </c>
      <c r="B134" s="97">
        <v>12.1</v>
      </c>
      <c r="C134" s="81">
        <f>IF(B134&lt;=Hypothèses!$C$7,Hypothèses!$A$7,IF(B134&lt;=Hypothèses!$C$8,Hypothèses!$A$8,IF(B134&lt;=Hypothèses!$C$9,Hypothèses!$A$9,IF(B134&lt;=Hypothèses!$C$10,Hypothèses!$A$10,IF(B134&lt;=Hypothèses!$C$11,Hypothèses!$A$11,IF(B134&lt;=Hypothèses!$C$12,Hypothèses!$A$12,IF(B134&lt;=Hypothèses!$C$13,Hypothèses!$A$13,IF(B134&lt;=Hypothèses!$C$14,Hypothèses!$A$14,IF(B134&lt;=Hypothèses!$C$15,Hypothèses!$A$15,IF(B134&lt;=Hypothèses!$C$16,Hypothèses!$A$16,IF(B134&lt;=Hypothèses!$C$17,Hypothèses!$A$17,IF(B134&lt;=Hypothèses!$C$18,Hypothèses!$A$18,C133))))))))))))</f>
        <v>11</v>
      </c>
      <c r="D134" s="82" t="str">
        <f>IF(B134&lt;=Hypothèses!$C$7,Hypothèses!$R$7,IF(B134&lt;=Hypothèses!$C$8,Hypothèses!$R$8,IF(B134&lt;=Hypothèses!$C$9,Hypothèses!$R$9,IF(B134&lt;=Hypothèses!$C$10,Hypothèses!$R$10,IF(B134&lt;=Hypothèses!$C$11,Hypothèses!$R$11,IF(B134&lt;=Hypothèses!$C$12,Hypothèses!$R$12,IF(B134&lt;=Hypothèses!$C$13,Hypothèses!$R$13,IF(B134&lt;=Hypothèses!$C$14,Hypothèses!$R$14,IF(B134&lt;=Hypothèses!$C$15,Hypothèses!$R$15,IF(B134&lt;=Hypothèses!$C$16,Hypothèses!$R$16,IF(B134&lt;=Hypothèses!$C$17,Hypothèses!$R$17,IF(B134&lt;=Hypothèses!$C$18,Hypothèses!$R$18,D133))))))))))))</f>
        <v>Pressio.</v>
      </c>
      <c r="E134" s="82" t="e">
        <f>IF(B134&lt;=Hypothèses!$C$7,Hypothèses!$G$7,IF(B134&lt;=Hypothèses!$C$8,Hypothèses!$G$8,IF(B134&lt;=Hypothèses!$C$9,Hypothèses!$G$9,IF(B134&lt;=Hypothèses!$C$10,Hypothèses!$G$10,IF(B134&lt;=Hypothèses!$C$11,Hypothèses!$G$11,IF(B134&lt;=Hypothèses!$C$12,Hypothèses!$G$12,IF(B134&lt;=Hypothèses!$C$13,Hypothèses!$G$13,IF(B134&lt;=Hypothèses!$C$14,Hypothèses!$G$14,IF(B134&lt;=Hypothèses!$C$15,Hypothèses!$G$15,IF(B134&lt;=Hypothèses!$C$16,Hypothèses!$G$16,IF(B134&lt;=Hypothèses!$C$17,Hypothèses!$G$17,IF(B134&lt;=Hypothèses!$C$18,Hypothèses!$G$18,E133))))))))))))</f>
        <v>#N/A</v>
      </c>
      <c r="F134" s="82" t="str">
        <f>IF(B134&lt;=Hypothèses!$C$7,Hypothèses!$F$7,IF(B134&lt;=Hypothèses!$C$8,Hypothèses!$F$8,IF(B134&lt;=Hypothèses!$C$9,Hypothèses!$F$9,IF(B134&lt;=Hypothèses!$C$10,Hypothèses!$F$10,IF(B134&lt;=Hypothèses!$C$11,Hypothèses!$F$11,IF(B134&lt;=Hypothèses!$C$12,Hypothèses!$F$12,IF(B134&lt;=Hypothèses!$C$13,Hypothèses!$F$13,IF(B134&lt;=Hypothèses!$C$14,Hypothèses!$F$14,IF(B134&lt;=Hypothèses!$C$15,Hypothèses!$F$15,IF(B134&lt;=Hypothèses!$C$16,Hypothèses!$F$16,IF(B134&lt;=Hypothèses!$C$17,Hypothèses!$F$17,IF(B134&lt;=Hypothèses!$C$18,Hypothèses!$F$18,F133))))))))))))</f>
        <v/>
      </c>
      <c r="G134" s="91">
        <f t="array" ref="G134">INDEX('Coeff EC7'!$U$7:$X$27,
MATCH(Model0.1C!$B$3,'Coeff EC7'!$T$7:$T$27,0),
MATCH(Model0.1C!$D134&amp;Model0.1C!$B$4,
'Coeff EC7'!$U$6:$X$6&amp;
'Coeff EC7'!$U$5:$X$5,0))</f>
        <v>1.1499999999999999</v>
      </c>
      <c r="H134" s="91">
        <f t="array" ref="H134">INDEX('Coeff EC7'!$Y$7:$AB$27,
MATCH(Model0.1C!$B$3,'Coeff EC7'!$T$7:$T$27,0),
MATCH(Model0.1C!$D134&amp;Model0.1C!$B$4,
'Coeff EC7'!$Y$6:$AB$6&amp;
'Coeff EC7'!$Y$5:$AB$5,0))</f>
        <v>1.4</v>
      </c>
      <c r="I134" s="83" t="e">
        <f>IF(B134&lt;=Hypothèses!$C$7,Hypothèses!$P$7,IF(B134&lt;=Hypothèses!$C$8,Hypothèses!$P$8,IF(B134&lt;=Hypothèses!$C$9,Hypothèses!$P$9,IF(B134&lt;=Hypothèses!$C$10,Hypothèses!$P$10,IF(B134&lt;=Hypothèses!$C$11,Hypothèses!$P$11,IF(B134&lt;=Hypothèses!$C$12,Hypothèses!$P$12,IF(B134&lt;=Hypothèses!$C$13,Hypothèses!$P$13,IF(B134&lt;=Hypothèses!$C$14,Hypothèses!$P$14,IF(B134&lt;=Hypothèses!$C$15,Hypothèses!$P$15,IF(B134&lt;=Hypothèses!$C$16,Hypothèses!$P$16,IF(B134&lt;=Hypothèses!$C$17,Hypothèses!$P$17,IF(B134&lt;=Hypothèses!$C$18,Hypothèses!$P$18,I133))))))))))))</f>
        <v>#N/A</v>
      </c>
      <c r="J134" s="91" t="e">
        <f t="array" ref="J134">INDEX('Coeff EC7'!$D$33:$Q$33,1,MATCH(D134&amp;E134,'Coeff EC7'!$D$31:$Q$31&amp;'Coeff EC7'!$D$32:$Q$32,0))</f>
        <v>#N/A</v>
      </c>
      <c r="K134" s="91" t="e">
        <f t="array" ref="K134">INDEX('Coeff EC7'!$D$34:$Q$34,1,MATCH(D134&amp;E134,'Coeff EC7'!$D$31:$Q$31&amp;'Coeff EC7'!$D$32:$Q$32,0))</f>
        <v>#N/A</v>
      </c>
      <c r="L134" s="91" t="e">
        <f t="array" ref="L134">INDEX('Coeff EC7'!$D$35:$Q$35,1,MATCH(D134&amp;E134,'Coeff EC7'!$D$31:$Q$31&amp;'Coeff EC7'!$D$32:$Q$32,0))</f>
        <v>#N/A</v>
      </c>
      <c r="M134" s="98" t="e">
        <f t="shared" si="131"/>
        <v>#N/A</v>
      </c>
      <c r="N134" s="99" t="e">
        <f t="array" ref="N134">INDEX('Coeff EC7'!$D$7:$Q$27,MATCH($B$3,'Coeff EC7'!$C$7:$C$27,0),MATCH(D134&amp;E134,'Coeff EC7'!$D$5:$Q$5&amp;'Coeff EC7'!$D$6:$Q$6,0))</f>
        <v>#N/A</v>
      </c>
      <c r="O134" s="99" t="e">
        <f t="array" ref="O134">INDEX('Coeff EC7'!$D$41:$Q$61,MATCH($B$3,'Coeff EC7'!$C$41:$C$61,0),MATCH(D134&amp;E134,'Coeff EC7'!$D$39:$Q$39&amp;'Coeff EC7'!$D$40:$Q$40,0))</f>
        <v>#N/A</v>
      </c>
      <c r="P134" s="30" t="e">
        <f t="shared" si="168"/>
        <v>#N/A</v>
      </c>
      <c r="Q134" s="100" t="e">
        <f t="shared" si="133"/>
        <v>#N/A</v>
      </c>
      <c r="R134" s="86" t="b">
        <f t="shared" si="134"/>
        <v>0</v>
      </c>
      <c r="S134" s="86">
        <f t="shared" si="132"/>
        <v>0.5</v>
      </c>
      <c r="T134" s="86">
        <f t="shared" si="135"/>
        <v>0.5</v>
      </c>
      <c r="U134" s="30" t="e">
        <f t="shared" ca="1" si="169"/>
        <v>#DIV/0!</v>
      </c>
      <c r="V134" s="85" t="str">
        <f>IF(B134&lt;=Hypothèses!$V$7,Hypothèses!$W$7,IF(B134&lt;=Hypothèses!$V$8,Hypothèses!$W$8,IF(B134&lt;=Hypothèses!$V$9,Hypothèses!$W$9,IF(B134&lt;=Hypothèses!$V$10,Hypothèses!$W$10,IF(B134&lt;=Hypothèses!$V$11,Hypothèses!$W$11,IF(B134&lt;=Hypothèses!$V$12,Hypothèses!$W$12,IF(B134&lt;=Hypothèses!$V$13,Hypothèses!$W$13,IF(B134&lt;=Hypothèses!$V$14,Hypothèses!$W$14,IF(B134&lt;=Hypothèses!$V$15,Hypothèses!$W$15,IF(B134&lt;=Hypothèses!$V$16,Hypothèses!$W$16,IF(B134&lt;=Hypothèses!$V$17,Hypothèses!$W$17,IF(B134&lt;=Hypothèses!$V$18,Hypothèses!$W$18,""))))))))))))</f>
        <v/>
      </c>
      <c r="W134" s="87" t="e">
        <f t="shared" ca="1" si="216"/>
        <v>#DIV/0!</v>
      </c>
      <c r="X134" s="88" t="str">
        <f>IF(B134&lt;=Hypothèses!$V$7,Hypothèses!$X$7,IF(B134&lt;=Hypothèses!$V$8,Hypothèses!$X$8,IF(B134&lt;=Hypothèses!$V$9,Hypothèses!$X$9,IF(B134&lt;=Hypothèses!$V$10,Hypothèses!$X$10,IF(B134&lt;=Hypothèses!$V$11,Hypothèses!$X$11,IF(B134&lt;=Hypothèses!$V$12,Hypothèses!$X$12,IF(B134&lt;=Hypothèses!$V$13,Hypothèses!$X$13,IF(B134&lt;=Hypothèses!$V$14,Hypothèses!$X$14,IF(B134&lt;=Hypothèses!$V$15,Hypothèses!$X$15,IF(B134&lt;=Hypothèses!$V$16,Hypothèses!$X$16,IF(B134&lt;=Hypothèses!$U$17,Hypothèses!$W$17,IF(B134&lt;=Hypothèses!$U$18,Hypothèses!$W$18,""))))))))))))</f>
        <v/>
      </c>
      <c r="Y134" s="95" t="e">
        <f t="shared" ca="1" si="136"/>
        <v>#DIV/0!</v>
      </c>
      <c r="Z134" s="101" t="e">
        <f t="shared" si="137"/>
        <v>#N/A</v>
      </c>
      <c r="AA134" s="91" t="e">
        <f t="shared" si="138"/>
        <v>#N/A</v>
      </c>
      <c r="AB134" s="30" t="e">
        <f t="shared" si="200"/>
        <v>#N/A</v>
      </c>
      <c r="AC134" s="30" t="e">
        <f t="shared" si="201"/>
        <v>#N/A</v>
      </c>
      <c r="AD134" s="31" t="e">
        <f>IF(OR(Hypothèses!$B$4=17,Hypothèses!$B$4=18,Hypothèses!$B$4=19,Hypothèses!$B$4=20),
IF($D134="Pressio.",
IF(OR($E134=3,$E134=1,$E134=4),AC134,AB134),
IF($D134="Pénétro.",
IF(OR($E134=3,$E134=1,$E134=4),AC134,AB134))),IF($D134="Pressio.",
IF($E134=3,AC134,AB134),
IF($D134="Pénétro.",
IF($E134=4,AC134,AB134))))</f>
        <v>#N/A</v>
      </c>
      <c r="AE134" s="31" t="e">
        <f>(IF(OR(Hypothèses!$B$4=17,Hypothèses!$B$4=18,Hypothèses!$B$4=19,Hypothèses!$B$4=20),
IF($D134="Pressio.",
IF(OR($E134=3,$E134=1,$E134=4),(PI()*AE$12^2)/4*(AA134*$W134*1000)/($H134*$B$5),(PI()*AE$12^2)/4*(AA134*$W134*1000)/($G134*$B$5)),
IF($D134="Pénétro.",
IF(OR($E134=4,$E134=1,$E134=5),(PI()*AE$12^2)/4*(AA134*$W134*1000)/($H134*$B$5),(PI()*AE$12^2)/4*(AA134*$W134*1000)/($G134*$B$5)))),
IF($D134="Pressio.",
IF($E134=3,(PI()*AE$12^2)/4*(AA134*$W134*1000)/($H134*$B$5),(PI()*AE$12^2)/4*(AA134*$W134*1000)/($G134*$B$5)),
IF($D134="Pénétro.",
IF($E134=4,(PI()*AE$12^2)/4*(AA134*$W134*1000)/($H134*$B$5),(PI()*AE$12^2)/4*(AA134*$W134*1000)/($G134*$B$5))))))/10</f>
        <v>#N/A</v>
      </c>
      <c r="AF134" s="102" t="e">
        <f>(VLOOKUP($B$3,'Coeff EC7'!$T$39:$X$59,2,0)*AD134+VLOOKUP($B$3,'Coeff EC7'!$T$65:$X$85,2,0)*Model0.1C!AE134)/1.1</f>
        <v>#N/A</v>
      </c>
      <c r="AG134" s="102" t="e">
        <f>(VLOOKUP($B$3,'Coeff EC7'!$T$39:$X$59,3,0)*AD134+VLOOKUP($B$3,'Coeff EC7'!$T$65:$X$85,3,0)*Model0.1C!AE134)/0.9</f>
        <v>#N/A</v>
      </c>
      <c r="AH134" s="102" t="e">
        <f t="shared" si="139"/>
        <v>#N/A</v>
      </c>
      <c r="AI134" s="102" t="e">
        <f t="shared" si="140"/>
        <v>#N/A</v>
      </c>
      <c r="AJ134" s="414" t="e">
        <f>IF(AJ133=0,0,IF(AND(AF134&gt;charge_ELS_quasi,AG134&gt;Charge_ELS_freq,AH134&gt;charge_ELU,AI134&gt;charge_ELA,$B134&gt;NDC!$H$22-0.1+MIN(3*$AJ$12,1.5)),0,1))</f>
        <v>#N/A</v>
      </c>
      <c r="AK134" s="86" t="b">
        <f t="shared" si="141"/>
        <v>0</v>
      </c>
      <c r="AL134" s="86">
        <f t="shared" si="170"/>
        <v>0.5</v>
      </c>
      <c r="AM134" s="86">
        <f t="shared" si="142"/>
        <v>0.5</v>
      </c>
      <c r="AN134" s="30" t="e">
        <f t="shared" ca="1" si="171"/>
        <v>#DIV/0!</v>
      </c>
      <c r="AO134" s="85" t="e">
        <f ca="1">IF(U134&lt;=Hypothèses!$V$7,Hypothèses!$W$7,IF(U134&lt;=Hypothèses!$V$8,Hypothèses!$W$8,IF(U134&lt;=Hypothèses!$V$9,Hypothèses!$W$9,IF(U134&lt;=Hypothèses!$V$10,Hypothèses!$W$10,IF(U134&lt;=Hypothèses!$V$11,Hypothèses!$W$11,IF(U134&lt;=Hypothèses!$V$12,Hypothèses!$W$12,IF(U134&lt;=Hypothèses!$V$13,Hypothèses!$W$13,IF(U134&lt;=Hypothèses!$V$14,Hypothèses!$W$14,IF(U134&lt;=Hypothèses!$V$15,Hypothèses!$W$15,IF(U134&lt;=Hypothèses!$V$16,Hypothèses!$W$16,IF(U134&lt;=Hypothèses!$V$17,Hypothèses!$W$17,IF(U134&lt;=Hypothèses!$V$18,Hypothèses!$W$18,""))))))))))))</f>
        <v>#DIV/0!</v>
      </c>
      <c r="AP134" s="87" t="e">
        <f t="shared" ca="1" si="217"/>
        <v>#DIV/0!</v>
      </c>
      <c r="AQ134" s="88" t="e">
        <f ca="1">IF(U134&lt;=Hypothèses!$V$7,Hypothèses!$X$7,IF(U134&lt;=Hypothèses!$V$8,Hypothèses!$X$8,IF(U134&lt;=Hypothèses!$V$9,Hypothèses!$X$9,IF(U134&lt;=Hypothèses!$V$10,Hypothèses!$X$10,IF(U134&lt;=Hypothèses!$V$11,Hypothèses!$X$11,IF(U134&lt;=Hypothèses!$V$12,Hypothèses!$X$12,IF(U134&lt;=Hypothèses!$V$13,Hypothèses!$X$13,IF(U134&lt;=Hypothèses!$V$14,Hypothèses!$X$14,IF(U134&lt;=Hypothèses!$V$15,Hypothèses!$X$15,IF(U134&lt;=Hypothèses!$V$16,Hypothèses!$X$16,IF(U134&lt;=Hypothèses!$U$17,Hypothèses!$W$17,IF(U134&lt;=Hypothèses!$U$18,Hypothèses!$W$18,""))))))))))))</f>
        <v>#DIV/0!</v>
      </c>
      <c r="AR134" s="95" t="e">
        <f t="shared" ca="1" si="172"/>
        <v>#DIV/0!</v>
      </c>
      <c r="AS134" s="101" t="e">
        <f t="shared" si="224"/>
        <v>#N/A</v>
      </c>
      <c r="AT134" s="91" t="e">
        <f t="shared" si="143"/>
        <v>#N/A</v>
      </c>
      <c r="AU134" s="30" t="e">
        <f t="shared" si="202"/>
        <v>#N/A</v>
      </c>
      <c r="AV134" s="30" t="e">
        <f t="shared" si="203"/>
        <v>#N/A</v>
      </c>
      <c r="AW134" s="31" t="e">
        <f>IF(OR(Hypothèses!$B$4=17,Hypothèses!$B$4=18,Hypothèses!$B$4=19,Hypothèses!$B$4=20),
IF($D134="Pressio.",
IF(OR($E134=3,$E134=1,$E134=4),AV134,AU134),
IF($D134="Pénétro.",
IF(OR($E134=3,$E134=1,$E134=4),AV134,AU134))),IF($D134="Pressio.",
IF($E134=3,AV134,AU134),
IF($D134="Pénétro.",
IF($E134=4,AV134,AU134))))</f>
        <v>#N/A</v>
      </c>
      <c r="AX134" s="31" t="e">
        <f>(IF(OR(Hypothèses!$B$4=17,Hypothèses!$B$4=18,Hypothèses!$B$4=19,Hypothèses!$B$4=20),
IF($D134="Pressio.",
IF(OR($E134=3,$E134=1,$E134=4),(PI()*AX$12^2)/4*(AT134*$W134*1000)/($H134*$B$5),(PI()*AX$12^2)/4*(AT134*$W134*1000)/($G134*$B$5)),
IF($D134="Pénétro.",
IF(OR($E134=4,$E134=1,$E134=5),(PI()*AX$12^2)/4*(AT134*$W134*1000)/($H134*$B$5),(PI()*AX$12^2)/4*(AT134*$W134*1000)/($G134*$B$5)))),
IF($D134="Pressio.",
IF($E134=3,(PI()*AX$12^2)/4*(AT134*$W134*1000)/($H134*$B$5),(PI()*AX$12^2)/4*(AT134*$W134*1000)/($G134*$B$5)),
IF($D134="Pénétro.",
IF($E134=4,(PI()*AX$12^2)/4*(AT134*$W134*1000)/($H134*$B$5),(PI()*AX$12^2)/4*(AT134*$W134*1000)/($G134*$B$5))))))/10</f>
        <v>#N/A</v>
      </c>
      <c r="AY134" s="102" t="e">
        <f>(VLOOKUP($B$3,'Coeff EC7'!$T$39:$X$59,2,0)*AW134+VLOOKUP($B$3,'Coeff EC7'!$T$65:$X$85,2,0)*Model0.1C!AX134)/1.1</f>
        <v>#N/A</v>
      </c>
      <c r="AZ134" s="102" t="e">
        <f>(VLOOKUP($B$3,'Coeff EC7'!$T$39:$X$59,3,0)*AW134+VLOOKUP($B$3,'Coeff EC7'!$T$65:$X$85,3,0)*Model0.1C!AX134)/0.9</f>
        <v>#N/A</v>
      </c>
      <c r="BA134" s="102" t="e">
        <f t="shared" si="173"/>
        <v>#N/A</v>
      </c>
      <c r="BB134" s="102" t="e">
        <f t="shared" si="174"/>
        <v>#N/A</v>
      </c>
      <c r="BC134" s="414" t="e">
        <f>IF(BC133=0,0,IF(AND(AY134&gt;charge_ELS_quasi,AZ134&gt;Charge_ELS_freq,BA134&gt;charge_ELU,BB134&gt;charge_ELA,$B134&gt;NDC!$H$22-0.1+MIN(3*$BC$12,1.5)),0,1))</f>
        <v>#N/A</v>
      </c>
      <c r="BD134" s="86" t="b">
        <f t="shared" si="144"/>
        <v>0</v>
      </c>
      <c r="BE134" s="86">
        <f t="shared" si="175"/>
        <v>0.5</v>
      </c>
      <c r="BF134" s="86">
        <f t="shared" si="145"/>
        <v>0.5</v>
      </c>
      <c r="BG134" s="30" t="e">
        <f t="shared" ca="1" si="176"/>
        <v>#DIV/0!</v>
      </c>
      <c r="BH134" s="85" t="e">
        <f ca="1">IF(AN134&lt;=Hypothèses!$V$7,Hypothèses!$W$7,IF(AN134&lt;=Hypothèses!$V$8,Hypothèses!$W$8,IF(AN134&lt;=Hypothèses!$V$9,Hypothèses!$W$9,IF(AN134&lt;=Hypothèses!$V$10,Hypothèses!$W$10,IF(AN134&lt;=Hypothèses!$V$11,Hypothèses!$W$11,IF(AN134&lt;=Hypothèses!$V$12,Hypothèses!$W$12,IF(AN134&lt;=Hypothèses!$V$13,Hypothèses!$W$13,IF(AN134&lt;=Hypothèses!$V$14,Hypothèses!$W$14,IF(AN134&lt;=Hypothèses!$V$15,Hypothèses!$W$15,IF(AN134&lt;=Hypothèses!$V$16,Hypothèses!$W$16,IF(AN134&lt;=Hypothèses!$V$17,Hypothèses!$W$17,IF(AN134&lt;=Hypothèses!$V$18,Hypothèses!$W$18,""))))))))))))</f>
        <v>#DIV/0!</v>
      </c>
      <c r="BI134" s="87" t="e">
        <f t="shared" ca="1" si="218"/>
        <v>#DIV/0!</v>
      </c>
      <c r="BJ134" s="88" t="e">
        <f ca="1">IF(AN134&lt;=Hypothèses!$V$7,Hypothèses!$X$7,IF(AN134&lt;=Hypothèses!$V$8,Hypothèses!$X$8,IF(AN134&lt;=Hypothèses!$V$9,Hypothèses!$X$9,IF(AN134&lt;=Hypothèses!$V$10,Hypothèses!$X$10,IF(AN134&lt;=Hypothèses!$V$11,Hypothèses!$X$11,IF(AN134&lt;=Hypothèses!$V$12,Hypothèses!$X$12,IF(AN134&lt;=Hypothèses!$V$13,Hypothèses!$X$13,IF(AN134&lt;=Hypothèses!$V$14,Hypothèses!$X$14,IF(AN134&lt;=Hypothèses!$V$15,Hypothèses!$X$15,IF(AN134&lt;=Hypothèses!$V$16,Hypothèses!$X$16,IF(AN134&lt;=Hypothèses!$U$17,Hypothèses!$W$17,IF(AN134&lt;=Hypothèses!$U$18,Hypothèses!$W$18,""))))))))))))</f>
        <v>#DIV/0!</v>
      </c>
      <c r="BK134" s="95" t="e">
        <f t="shared" ca="1" si="177"/>
        <v>#DIV/0!</v>
      </c>
      <c r="BL134" s="101" t="e">
        <f t="shared" si="225"/>
        <v>#N/A</v>
      </c>
      <c r="BM134" s="91" t="e">
        <f t="shared" si="146"/>
        <v>#N/A</v>
      </c>
      <c r="BN134" s="30" t="e">
        <f t="shared" si="204"/>
        <v>#N/A</v>
      </c>
      <c r="BO134" s="30" t="e">
        <f t="shared" si="205"/>
        <v>#N/A</v>
      </c>
      <c r="BP134" s="31" t="e">
        <f>IF(OR(Hypothèses!$B$4=17,Hypothèses!$B$4=18,Hypothèses!$B$4=19,Hypothèses!$B$4=20),
IF($D134="Pressio.",
IF(OR($E134=3,$E134=1,$E134=4),BO134,BN134),
IF($D134="Pénétro.",
IF(OR($E134=3,$E134=1,$E134=4),BO134,BN134))),IF($D134="Pressio.",
IF($E134=3,BO134,BN134),
IF($D134="Pénétro.",
IF($E134=4,BO134,BN134))))</f>
        <v>#N/A</v>
      </c>
      <c r="BQ134" s="31" t="e">
        <f>(IF(OR(Hypothèses!$B$4=17,Hypothèses!$B$4=18,Hypothèses!$B$4=19,Hypothèses!$B$4=20),
IF($D134="Pressio.",
IF(OR($E134=3,$E134=1,$E134=4),(PI()*BQ$12^2)/4*(BM134*$W134*1000)/($H134*$B$5),(PI()*BQ$12^2)/4*(BM134*$W134*1000)/($G134*$B$5)),
IF($D134="Pénétro.",
IF(OR($E134=4,$E134=1,$E134=5),(PI()*BQ$12^2)/4*(BM134*$W134*1000)/($H134*$B$5),(PI()*BQ$12^2)/4*(BM134*$W134*1000)/($G134*$B$5)))),
IF($D134="Pressio.",
IF($E134=3,(PI()*BQ$12^2)/4*(BM134*$W134*1000)/($H134*$B$5),(PI()*BQ$12^2)/4*(BM134*$W134*1000)/($G134*$B$5)),
IF($D134="Pénétro.",
IF($E134=4,(PI()*BQ$12^2)/4*(BM134*$W134*1000)/($H134*$B$5),(PI()*BQ$12^2)/4*(BM134*$W134*1000)/($G134*$B$5))))))/10</f>
        <v>#N/A</v>
      </c>
      <c r="BR134" s="102" t="e">
        <f>(VLOOKUP($B$3,'Coeff EC7'!$T$39:$X$59,2,0)*BP134+VLOOKUP($B$3,'Coeff EC7'!$T$65:$X$85,2,0)*Model0.1C!BQ134)/1.1</f>
        <v>#N/A</v>
      </c>
      <c r="BS134" s="102" t="e">
        <f>(VLOOKUP($B$3,'Coeff EC7'!$T$39:$X$59,3,0)*BP134+VLOOKUP($B$3,'Coeff EC7'!$T$65:$X$85,3,0)*Model0.1C!BQ134)/0.9</f>
        <v>#N/A</v>
      </c>
      <c r="BT134" s="102" t="e">
        <f t="shared" si="178"/>
        <v>#N/A</v>
      </c>
      <c r="BU134" s="102" t="e">
        <f t="shared" si="179"/>
        <v>#N/A</v>
      </c>
      <c r="BV134" s="414" t="e">
        <f>IF(BV133=0,0,IF(AND(BR134&gt;charge_ELS_quasi,BS134&gt;Charge_ELS_freq,BT134&gt;charge_ELU,BU134&gt;charge_ELA,$B134&gt;NDC!$H$22-0.1+MIN(3*$BV$12,1.5)),0,1))</f>
        <v>#N/A</v>
      </c>
      <c r="BW134" s="86" t="b">
        <f t="shared" si="147"/>
        <v>0</v>
      </c>
      <c r="BX134" s="86">
        <f t="shared" si="148"/>
        <v>0.5</v>
      </c>
      <c r="BY134" s="86">
        <f t="shared" si="149"/>
        <v>0.5</v>
      </c>
      <c r="BZ134" s="30" t="e">
        <f t="shared" ca="1" si="180"/>
        <v>#DIV/0!</v>
      </c>
      <c r="CA134" s="85" t="e">
        <f ca="1">IF(BG134&lt;=Hypothèses!$V$7,Hypothèses!$W$7,IF(BG134&lt;=Hypothèses!$V$8,Hypothèses!$W$8,IF(BG134&lt;=Hypothèses!$V$9,Hypothèses!$W$9,IF(BG134&lt;=Hypothèses!$V$10,Hypothèses!$W$10,IF(BG134&lt;=Hypothèses!$V$11,Hypothèses!$W$11,IF(BG134&lt;=Hypothèses!$V$12,Hypothèses!$W$12,IF(BG134&lt;=Hypothèses!$V$13,Hypothèses!$W$13,IF(BG134&lt;=Hypothèses!$V$14,Hypothèses!$W$14,IF(BG134&lt;=Hypothèses!$V$15,Hypothèses!$W$15,IF(BG134&lt;=Hypothèses!$V$16,Hypothèses!$W$16,IF(BG134&lt;=Hypothèses!$V$17,Hypothèses!$W$17,IF(BG134&lt;=Hypothèses!$V$18,Hypothèses!$W$18,""))))))))))))</f>
        <v>#DIV/0!</v>
      </c>
      <c r="CB134" s="87" t="e">
        <f t="shared" ca="1" si="219"/>
        <v>#DIV/0!</v>
      </c>
      <c r="CC134" s="88" t="e">
        <f ca="1">IF(BG134&lt;=Hypothèses!$V$7,Hypothèses!$X$7,IF(BG134&lt;=Hypothèses!$V$8,Hypothèses!$X$8,IF(BG134&lt;=Hypothèses!$V$9,Hypothèses!$X$9,IF(BG134&lt;=Hypothèses!$V$10,Hypothèses!$X$10,IF(BG134&lt;=Hypothèses!$V$11,Hypothèses!$X$11,IF(BG134&lt;=Hypothèses!$V$12,Hypothèses!$X$12,IF(BG134&lt;=Hypothèses!$V$13,Hypothèses!$X$13,IF(BG134&lt;=Hypothèses!$V$14,Hypothèses!$X$14,IF(BG134&lt;=Hypothèses!$V$15,Hypothèses!$X$15,IF(BG134&lt;=Hypothèses!$V$16,Hypothèses!$X$16,IF(BG134&lt;=Hypothèses!$U$17,Hypothèses!$W$17,IF(BG134&lt;=Hypothèses!$U$18,Hypothèses!$W$18,""))))))))))))</f>
        <v>#DIV/0!</v>
      </c>
      <c r="CD134" s="95" t="e">
        <f t="shared" ca="1" si="181"/>
        <v>#DIV/0!</v>
      </c>
      <c r="CE134" s="101" t="e">
        <f t="shared" si="226"/>
        <v>#N/A</v>
      </c>
      <c r="CF134" s="91" t="e">
        <f t="shared" si="150"/>
        <v>#N/A</v>
      </c>
      <c r="CG134" s="30" t="e">
        <f t="shared" si="206"/>
        <v>#N/A</v>
      </c>
      <c r="CH134" s="30" t="e">
        <f t="shared" si="207"/>
        <v>#N/A</v>
      </c>
      <c r="CI134" s="31" t="e">
        <f>IF(OR(Hypothèses!$B$4=17,Hypothèses!$B$4=18,Hypothèses!$B$4=19,Hypothèses!$B$4=20),
IF($D134="Pressio.",
IF(OR($E134=3,$E134=1,$E134=4),CH134,CG134),
IF($D134="Pénétro.",
IF(OR($E134=3,$E134=1,$E134=4),CH134,CG134))),IF($D134="Pressio.",
IF($E134=3,CH134,CG134),
IF($D134="Pénétro.",
IF($E134=4,CH134,CG134))))</f>
        <v>#N/A</v>
      </c>
      <c r="CJ134" s="31" t="e">
        <f>(IF(OR(Hypothèses!$B$4=17,Hypothèses!$B$4=18,Hypothèses!$B$4=19,Hypothèses!$B$4=20),
IF($D134="Pressio.",
IF(OR($E134=3,$E134=1,$E134=4),(PI()*CJ$12^2)/4*(CF134*$W134*1000)/($H134*$B$5),(PI()*CJ$12^2)/4*(CF134*$W134*1000)/($G134*$B$5)),
IF($D134="Pénétro.",
IF(OR($E134=4,$E134=1,$E134=5),(PI()*CJ$12^2)/4*(CF134*$W134*1000)/($H134*$B$5),(PI()*CJ$12^2)/4*(CF134*$W134*1000)/($G134*$B$5)))),
IF($D134="Pressio.",
IF($E134=3,(PI()*CJ$12^2)/4*(CF134*$W134*1000)/($H134*$B$5),(PI()*CJ$12^2)/4*(CF134*$W134*1000)/($G134*$B$5)),
IF($D134="Pénétro.",
IF($E134=4,(PI()*CJ$12^2)/4*(CF134*$W134*1000)/($H134*$B$5),(PI()*CJ$12^2)/4*(CF134*$W134*1000)/($G134*$B$5))))))/10</f>
        <v>#N/A</v>
      </c>
      <c r="CK134" s="102" t="e">
        <f>(VLOOKUP($B$3,'Coeff EC7'!$T$39:$X$59,2,0)*CI134+VLOOKUP($B$3,'Coeff EC7'!$T$65:$X$85,2,0)*Model0.1C!CJ134)/1.1</f>
        <v>#N/A</v>
      </c>
      <c r="CL134" s="102" t="e">
        <f>(VLOOKUP($B$3,'Coeff EC7'!$T$39:$X$59,3,0)*CI134+VLOOKUP($B$3,'Coeff EC7'!$T$65:$X$85,3,0)*Model0.1C!CJ134)/0.9</f>
        <v>#N/A</v>
      </c>
      <c r="CM134" s="102" t="e">
        <f t="shared" si="182"/>
        <v>#N/A</v>
      </c>
      <c r="CN134" s="102" t="e">
        <f t="shared" si="183"/>
        <v>#N/A</v>
      </c>
      <c r="CO134" s="414" t="e">
        <f>IF(CO133=0,0,IF(AND(CK134&gt;charge_ELS_quasi,CL134&gt;Charge_ELS_freq,CM134&gt;charge_ELU,CN134&gt;charge_ELA,$B134&gt;NDC!$H$22-0.1+MIN(3*$CO$12,1.5)),0,1))</f>
        <v>#N/A</v>
      </c>
      <c r="CP134" s="86" t="b">
        <f t="shared" si="151"/>
        <v>0</v>
      </c>
      <c r="CQ134" s="86">
        <f t="shared" si="152"/>
        <v>0.5</v>
      </c>
      <c r="CR134" s="86">
        <f t="shared" si="153"/>
        <v>0.5</v>
      </c>
      <c r="CS134" s="30" t="e">
        <f t="shared" ca="1" si="184"/>
        <v>#DIV/0!</v>
      </c>
      <c r="CT134" s="85" t="e">
        <f ca="1">IF(BZ134&lt;=Hypothèses!$V$7,Hypothèses!$W$7,IF(BZ134&lt;=Hypothèses!$V$8,Hypothèses!$W$8,IF(BZ134&lt;=Hypothèses!$V$9,Hypothèses!$W$9,IF(BZ134&lt;=Hypothèses!$V$10,Hypothèses!$W$10,IF(BZ134&lt;=Hypothèses!$V$11,Hypothèses!$W$11,IF(BZ134&lt;=Hypothèses!$V$12,Hypothèses!$W$12,IF(BZ134&lt;=Hypothèses!$V$13,Hypothèses!$W$13,IF(BZ134&lt;=Hypothèses!$V$14,Hypothèses!$W$14,IF(BZ134&lt;=Hypothèses!$V$15,Hypothèses!$W$15,IF(BZ134&lt;=Hypothèses!$V$16,Hypothèses!$W$16,IF(BZ134&lt;=Hypothèses!$V$17,Hypothèses!$W$17,IF(BZ134&lt;=Hypothèses!$V$18,Hypothèses!$W$18,""))))))))))))</f>
        <v>#DIV/0!</v>
      </c>
      <c r="CU134" s="87" t="e">
        <f t="shared" ca="1" si="220"/>
        <v>#DIV/0!</v>
      </c>
      <c r="CV134" s="88" t="e">
        <f ca="1">IF(BZ134&lt;=Hypothèses!$V$7,Hypothèses!$X$7,IF(BZ134&lt;=Hypothèses!$V$8,Hypothèses!$X$8,IF(BZ134&lt;=Hypothèses!$V$9,Hypothèses!$X$9,IF(BZ134&lt;=Hypothèses!$V$10,Hypothèses!$X$10,IF(BZ134&lt;=Hypothèses!$V$11,Hypothèses!$X$11,IF(BZ134&lt;=Hypothèses!$V$12,Hypothèses!$X$12,IF(BZ134&lt;=Hypothèses!$V$13,Hypothèses!$X$13,IF(BZ134&lt;=Hypothèses!$V$14,Hypothèses!$X$14,IF(BZ134&lt;=Hypothèses!$V$15,Hypothèses!$X$15,IF(BZ134&lt;=Hypothèses!$V$16,Hypothèses!$X$16,IF(BZ134&lt;=Hypothèses!$U$17,Hypothèses!$W$17,IF(BZ134&lt;=Hypothèses!$U$18,Hypothèses!$W$18,""))))))))))))</f>
        <v>#DIV/0!</v>
      </c>
      <c r="CW134" s="95" t="e">
        <f t="shared" ca="1" si="185"/>
        <v>#DIV/0!</v>
      </c>
      <c r="CX134" s="101" t="e">
        <f t="shared" si="227"/>
        <v>#N/A</v>
      </c>
      <c r="CY134" s="91" t="e">
        <f t="shared" si="154"/>
        <v>#N/A</v>
      </c>
      <c r="CZ134" s="30" t="e">
        <f t="shared" si="208"/>
        <v>#N/A</v>
      </c>
      <c r="DA134" s="30" t="e">
        <f t="shared" si="209"/>
        <v>#N/A</v>
      </c>
      <c r="DB134" s="31" t="e">
        <f>IF(OR(Hypothèses!$B$4=17,Hypothèses!$B$4=18,Hypothèses!$B$4=19,Hypothèses!$B$4=20),
IF($D134="Pressio.",
IF(OR($E134=3,$E134=1,$E134=4),DA134,CZ134),
IF($D134="Pénétro.",
IF(OR($E134=3,$E134=1,$E134=4),DA134,CZ134))),IF($D134="Pressio.",
IF($E134=3,DA134,CZ134),
IF($D134="Pénétro.",
IF($E134=4,DA134,CZ134))))</f>
        <v>#N/A</v>
      </c>
      <c r="DC134" s="31" t="e">
        <f>(IF(OR(Hypothèses!$B$4=17,Hypothèses!$B$4=18,Hypothèses!$B$4=19,Hypothèses!$B$4=20),
IF($D134="Pressio.",
IF(OR($E134=3,$E134=1,$E134=4),(PI()*DC$12^2)/4*(CY134*$W134*1000)/($H134*$B$5),(PI()*DC$12^2)/4*(CY134*$W134*1000)/($G134*$B$5)),
IF($D134="Pénétro.",
IF(OR($E134=4,$E134=1,$E134=5),(PI()*DC$12^2)/4*(CY134*$W134*1000)/($H134*$B$5),(PI()*DC$12^2)/4*(CY134*$W134*1000)/($G134*$B$5)))),
IF($D134="Pressio.",
IF($E134=3,(PI()*DC$12^2)/4*(CY134*$W134*1000)/($H134*$B$5),(PI()*DC$12^2)/4*(CY134*$W134*1000)/($G134*$B$5)),
IF($D134="Pénétro.",
IF($E134=4,(PI()*DC$12^2)/4*(CY134*$W134*1000)/($H134*$B$5),(PI()*DC$12^2)/4*(CY134*$W134*1000)/($G134*$B$5))))))/10</f>
        <v>#N/A</v>
      </c>
      <c r="DD134" s="102" t="e">
        <f>(VLOOKUP($B$3,'Coeff EC7'!$T$39:$X$59,2,0)*DB134+VLOOKUP($B$3,'Coeff EC7'!$T$65:$X$85,2,0)*Model0.1C!DC134)/1.1</f>
        <v>#N/A</v>
      </c>
      <c r="DE134" s="102" t="e">
        <f>(VLOOKUP($B$3,'Coeff EC7'!$T$39:$X$59,3,0)*DB134+VLOOKUP($B$3,'Coeff EC7'!$T$65:$X$85,3,0)*Model0.1C!DC134)/0.9</f>
        <v>#N/A</v>
      </c>
      <c r="DF134" s="102" t="e">
        <f t="shared" si="186"/>
        <v>#N/A</v>
      </c>
      <c r="DG134" s="102" t="e">
        <f t="shared" si="187"/>
        <v>#N/A</v>
      </c>
      <c r="DH134" s="414" t="e">
        <f>IF(DH133=0,0,IF(AND(DD134&gt;charge_ELS_quasi,DE134&gt;Charge_ELS_freq,DF134&gt;charge_ELU,DG134&gt;charge_ELA,$B134&gt;NDC!$H$22-0.1+MIN(3*$DH$12,1.5)),0,1))</f>
        <v>#N/A</v>
      </c>
      <c r="DI134" s="86" t="b">
        <f t="shared" si="155"/>
        <v>0</v>
      </c>
      <c r="DJ134" s="86">
        <f t="shared" si="156"/>
        <v>0.5</v>
      </c>
      <c r="DK134" s="86">
        <f t="shared" si="157"/>
        <v>0.5</v>
      </c>
      <c r="DL134" s="30" t="e">
        <f t="shared" ca="1" si="188"/>
        <v>#DIV/0!</v>
      </c>
      <c r="DM134" s="85" t="e">
        <f ca="1">IF(CS134&lt;=Hypothèses!$V$7,Hypothèses!$W$7,IF(CS134&lt;=Hypothèses!$V$8,Hypothèses!$W$8,IF(CS134&lt;=Hypothèses!$V$9,Hypothèses!$W$9,IF(CS134&lt;=Hypothèses!$V$10,Hypothèses!$W$10,IF(CS134&lt;=Hypothèses!$V$11,Hypothèses!$W$11,IF(CS134&lt;=Hypothèses!$V$12,Hypothèses!$W$12,IF(CS134&lt;=Hypothèses!$V$13,Hypothèses!$W$13,IF(CS134&lt;=Hypothèses!$V$14,Hypothèses!$W$14,IF(CS134&lt;=Hypothèses!$V$15,Hypothèses!$W$15,IF(CS134&lt;=Hypothèses!$V$16,Hypothèses!$W$16,IF(CS134&lt;=Hypothèses!$V$17,Hypothèses!$W$17,IF(CS134&lt;=Hypothèses!$V$18,Hypothèses!$W$18,""))))))))))))</f>
        <v>#DIV/0!</v>
      </c>
      <c r="DN134" s="87" t="e">
        <f t="shared" ca="1" si="221"/>
        <v>#DIV/0!</v>
      </c>
      <c r="DO134" s="88" t="e">
        <f ca="1">IF(CS134&lt;=Hypothèses!$V$7,Hypothèses!$X$7,IF(CS134&lt;=Hypothèses!$V$8,Hypothèses!$X$8,IF(CS134&lt;=Hypothèses!$V$9,Hypothèses!$X$9,IF(CS134&lt;=Hypothèses!$V$10,Hypothèses!$X$10,IF(CS134&lt;=Hypothèses!$V$11,Hypothèses!$X$11,IF(CS134&lt;=Hypothèses!$V$12,Hypothèses!$X$12,IF(CS134&lt;=Hypothèses!$V$13,Hypothèses!$X$13,IF(CS134&lt;=Hypothèses!$V$14,Hypothèses!$X$14,IF(CS134&lt;=Hypothèses!$V$15,Hypothèses!$X$15,IF(CS134&lt;=Hypothèses!$V$16,Hypothèses!$X$16,IF(CS134&lt;=Hypothèses!$U$17,Hypothèses!$W$17,IF(CS134&lt;=Hypothèses!$U$18,Hypothèses!$W$18,""))))))))))))</f>
        <v>#DIV/0!</v>
      </c>
      <c r="DP134" s="95" t="e">
        <f t="shared" ca="1" si="189"/>
        <v>#DIV/0!</v>
      </c>
      <c r="DQ134" s="101" t="e">
        <f t="shared" si="228"/>
        <v>#N/A</v>
      </c>
      <c r="DR134" s="91" t="e">
        <f t="shared" si="158"/>
        <v>#N/A</v>
      </c>
      <c r="DS134" s="30" t="e">
        <f t="shared" si="210"/>
        <v>#N/A</v>
      </c>
      <c r="DT134" s="30" t="e">
        <f t="shared" si="211"/>
        <v>#N/A</v>
      </c>
      <c r="DU134" s="31" t="e">
        <f>IF(OR(Hypothèses!$B$4=17,Hypothèses!$B$4=18,Hypothèses!$B$4=19,Hypothèses!$B$4=20),
IF($D134="Pressio.",
IF(OR($E134=3,$E134=1,$E134=4),DT134,DS134),
IF($D134="Pénétro.",
IF(OR($E134=3,$E134=1,$E134=4),DT134,DS134))),IF($D134="Pressio.",
IF($E134=3,DT134,DS134),
IF($D134="Pénétro.",
IF($E134=4,DT134,DS134))))</f>
        <v>#N/A</v>
      </c>
      <c r="DV134" s="31" t="e">
        <f>(IF(OR(Hypothèses!$B$4=17,Hypothèses!$B$4=18,Hypothèses!$B$4=19,Hypothèses!$B$4=20),
IF($D134="Pressio.",
IF(OR($E134=3,$E134=1,$E134=4),(PI()*DV$12^2)/4*(DR134*$W134*1000)/($H134*$B$5),(PI()*DV$12^2)/4*(DR134*$W134*1000)/($G134*$B$5)),
IF($D134="Pénétro.",
IF(OR($E134=4,$E134=1,$E134=5),(PI()*DV$12^2)/4*(DR134*$W134*1000)/($H134*$B$5),(PI()*DV$12^2)/4*(DR134*$W134*1000)/($G134*$B$5)))),
IF($D134="Pressio.",
IF($E134=3,(PI()*DV$12^2)/4*(DR134*$W134*1000)/($H134*$B$5),(PI()*DV$12^2)/4*(DR134*$W134*1000)/($G134*$B$5)),
IF($D134="Pénétro.",
IF($E134=4,(PI()*DV$12^2)/4*(DR134*$W134*1000)/($H134*$B$5),(PI()*DV$12^2)/4*(DR134*$W134*1000)/($G134*$B$5))))))/10</f>
        <v>#N/A</v>
      </c>
      <c r="DW134" s="102" t="e">
        <f>(VLOOKUP($B$3,'Coeff EC7'!$T$39:$X$59,2,0)*DU134+VLOOKUP($B$3,'Coeff EC7'!$T$65:$X$85,2,0)*Model0.1C!DV134)/1.1</f>
        <v>#N/A</v>
      </c>
      <c r="DX134" s="102" t="e">
        <f>(VLOOKUP($B$3,'Coeff EC7'!$T$39:$X$59,3,0)*DU134+VLOOKUP($B$3,'Coeff EC7'!$T$65:$X$85,3,0)*Model0.1C!DV134)/0.9</f>
        <v>#N/A</v>
      </c>
      <c r="DY134" s="102" t="e">
        <f t="shared" si="190"/>
        <v>#N/A</v>
      </c>
      <c r="DZ134" s="102" t="e">
        <f t="shared" si="191"/>
        <v>#N/A</v>
      </c>
      <c r="EA134" s="414" t="e">
        <f>IF(EA133=0,0,IF(AND(DW134&gt;charge_ELS_quasi,DX134&gt;Charge_ELS_freq,DY134&gt;charge_ELU,DZ134&gt;charge_ELA,$B134&gt;NDC!$H$22-0.1+MIN(3*$EA$12,1.5)),0,1))</f>
        <v>#N/A</v>
      </c>
      <c r="EB134" s="86" t="b">
        <f t="shared" si="159"/>
        <v>0</v>
      </c>
      <c r="EC134" s="418">
        <f t="shared" si="160"/>
        <v>0.51</v>
      </c>
      <c r="ED134" s="86">
        <f t="shared" si="161"/>
        <v>0.51</v>
      </c>
      <c r="EE134" s="30" t="e">
        <f t="shared" ca="1" si="192"/>
        <v>#DIV/0!</v>
      </c>
      <c r="EF134" s="85" t="e">
        <f ca="1">IF(DL134&lt;=Hypothèses!$V$7,Hypothèses!$W$7,IF(DL134&lt;=Hypothèses!$V$8,Hypothèses!$W$8,IF(DL134&lt;=Hypothèses!$V$9,Hypothèses!$W$9,IF(DL134&lt;=Hypothèses!$V$10,Hypothèses!$W$10,IF(DL134&lt;=Hypothèses!$V$11,Hypothèses!$W$11,IF(DL134&lt;=Hypothèses!$V$12,Hypothèses!$W$12,IF(DL134&lt;=Hypothèses!$V$13,Hypothèses!$W$13,IF(DL134&lt;=Hypothèses!$V$14,Hypothèses!$W$14,IF(DL134&lt;=Hypothèses!$V$15,Hypothèses!$W$15,IF(DL134&lt;=Hypothèses!$V$16,Hypothèses!$W$16,IF(DL134&lt;=Hypothèses!$V$17,Hypothèses!$W$17,IF(DL134&lt;=Hypothèses!$V$18,Hypothèses!$W$18,""))))))))))))</f>
        <v>#DIV/0!</v>
      </c>
      <c r="EG134" s="87" t="e">
        <f t="shared" ca="1" si="222"/>
        <v>#DIV/0!</v>
      </c>
      <c r="EH134" s="88" t="e">
        <f ca="1">IF(DL134&lt;=Hypothèses!$V$7,Hypothèses!$X$7,IF(DL134&lt;=Hypothèses!$V$8,Hypothèses!$X$8,IF(DL134&lt;=Hypothèses!$V$9,Hypothèses!$X$9,IF(DL134&lt;=Hypothèses!$V$10,Hypothèses!$X$10,IF(DL134&lt;=Hypothèses!$V$11,Hypothèses!$X$11,IF(DL134&lt;=Hypothèses!$V$12,Hypothèses!$X$12,IF(DL134&lt;=Hypothèses!$V$13,Hypothèses!$X$13,IF(DL134&lt;=Hypothèses!$V$14,Hypothèses!$X$14,IF(DL134&lt;=Hypothèses!$V$15,Hypothèses!$X$15,IF(DL134&lt;=Hypothèses!$V$16,Hypothèses!$X$16,IF(DL134&lt;=Hypothèses!$U$17,Hypothèses!$W$17,IF(DL134&lt;=Hypothèses!$U$18,Hypothèses!$W$18,""))))))))))))</f>
        <v>#DIV/0!</v>
      </c>
      <c r="EI134" s="95" t="e">
        <f t="shared" ca="1" si="193"/>
        <v>#DIV/0!</v>
      </c>
      <c r="EJ134" s="101" t="e">
        <f t="shared" si="229"/>
        <v>#N/A</v>
      </c>
      <c r="EK134" s="91" t="e">
        <f t="shared" si="162"/>
        <v>#N/A</v>
      </c>
      <c r="EL134" s="30" t="e">
        <f t="shared" si="212"/>
        <v>#N/A</v>
      </c>
      <c r="EM134" s="30" t="e">
        <f t="shared" si="213"/>
        <v>#N/A</v>
      </c>
      <c r="EN134" s="31" t="e">
        <f>IF(OR(Hypothèses!$B$4=17,Hypothèses!$B$4=18,Hypothèses!$B$4=19,Hypothèses!$B$4=20),
IF($D134="Pressio.",
IF(OR($E134=3,$E134=1,$E134=4),EM134,EL134),
IF($D134="Pénétro.",
IF(OR($E134=3,$E134=1,$E134=4),EM134,EL134))),IF($D134="Pressio.",
IF($E134=3,EM134,EL134),
IF($D134="Pénétro.",
IF($E134=4,EM134,EL134))))</f>
        <v>#N/A</v>
      </c>
      <c r="EO134" s="31" t="e">
        <f>(IF(OR(Hypothèses!$B$4=17,Hypothèses!$B$4=18,Hypothèses!$B$4=19,Hypothèses!$B$4=20),
IF($D134="Pressio.",
IF(OR($E134=3,$E134=1,$E134=4),(PI()*EO$12^2)/4*(EK134*$W134*1000)/($H134*$B$5),(PI()*EO$12^2)/4*(EK134*$W134*1000)/($G134*$B$5)),
IF($D134="Pénétro.",
IF(OR($E134=4,$E134=1,$E134=5),(PI()*EO$12^2)/4*(EK134*$W134*1000)/($H134*$B$5),(PI()*EO$12^2)/4*(EK134*$W134*1000)/($G134*$B$5)))),
IF($D134="Pressio.",
IF($E134=3,(PI()*EO$12^2)/4*(EK134*$W134*1000)/($H134*$B$5),(PI()*EO$12^2)/4*(EK134*$W134*1000)/($G134*$B$5)),
IF($D134="Pénétro.",
IF($E134=4,(PI()*EO$12^2)/4*(EK134*$W134*1000)/($H134*$B$5),(PI()*EO$12^2)/4*(EK134*$W134*1000)/($G134*$B$5))))))/10</f>
        <v>#N/A</v>
      </c>
      <c r="EP134" s="102" t="e">
        <f>(VLOOKUP($B$3,'Coeff EC7'!$T$39:$X$59,2,0)*EN134+VLOOKUP($B$3,'Coeff EC7'!$T$65:$X$85,2,0)*Model0.1C!EO134)/1.1</f>
        <v>#N/A</v>
      </c>
      <c r="EQ134" s="102" t="e">
        <f>(VLOOKUP($B$3,'Coeff EC7'!$T$39:$X$59,3,0)*EN134+VLOOKUP($B$3,'Coeff EC7'!$T$65:$X$85,3,0)*Model0.1C!EO134)/0.9</f>
        <v>#N/A</v>
      </c>
      <c r="ER134" s="102" t="e">
        <f t="shared" si="194"/>
        <v>#N/A</v>
      </c>
      <c r="ES134" s="102" t="e">
        <f t="shared" si="195"/>
        <v>#N/A</v>
      </c>
      <c r="ET134" s="414" t="e">
        <f>IF(ET133=0,0,IF(AND(EP134&gt;charge_ELS_quasi,EQ134&gt;Charge_ELS_freq,ER134&gt;charge_ELU,ES134&gt;charge_ELA,$B134&gt;NDC!$H$22-0.1+MIN(3*$ET$12,1.5)),0,1))</f>
        <v>#N/A</v>
      </c>
      <c r="EU134" s="86" t="b">
        <f t="shared" si="163"/>
        <v>0</v>
      </c>
      <c r="EV134" s="86">
        <f t="shared" si="164"/>
        <v>0.61</v>
      </c>
      <c r="EW134" s="86">
        <f t="shared" si="165"/>
        <v>0.61</v>
      </c>
      <c r="EX134" s="30" t="e">
        <f t="shared" ca="1" si="196"/>
        <v>#DIV/0!</v>
      </c>
      <c r="EY134" s="85" t="e">
        <f ca="1">IF(EE134&lt;=Hypothèses!$V$7,Hypothèses!$W$7,IF(EE134&lt;=Hypothèses!$V$8,Hypothèses!$W$8,IF(EE134&lt;=Hypothèses!$V$9,Hypothèses!$W$9,IF(EE134&lt;=Hypothèses!$V$10,Hypothèses!$W$10,IF(EE134&lt;=Hypothèses!$V$11,Hypothèses!$W$11,IF(EE134&lt;=Hypothèses!$V$12,Hypothèses!$W$12,IF(EE134&lt;=Hypothèses!$V$13,Hypothèses!$W$13,IF(EE134&lt;=Hypothèses!$V$14,Hypothèses!$W$14,IF(EE134&lt;=Hypothèses!$V$15,Hypothèses!$W$15,IF(EE134&lt;=Hypothèses!$V$16,Hypothèses!$W$16,IF(EE134&lt;=Hypothèses!$V$17,Hypothèses!$W$17,IF(EE134&lt;=Hypothèses!$V$18,Hypothèses!$W$18,""))))))))))))</f>
        <v>#DIV/0!</v>
      </c>
      <c r="EZ134" s="87" t="e">
        <f t="shared" ca="1" si="223"/>
        <v>#DIV/0!</v>
      </c>
      <c r="FA134" s="88" t="e">
        <f ca="1">IF(EE134&lt;=Hypothèses!$V$7,Hypothèses!$X$7,IF(EE134&lt;=Hypothèses!$V$8,Hypothèses!$X$8,IF(EE134&lt;=Hypothèses!$V$9,Hypothèses!$X$9,IF(EE134&lt;=Hypothèses!$V$10,Hypothèses!$X$10,IF(EE134&lt;=Hypothèses!$V$11,Hypothèses!$X$11,IF(EE134&lt;=Hypothèses!$V$12,Hypothèses!$X$12,IF(EE134&lt;=Hypothèses!$V$13,Hypothèses!$X$13,IF(EE134&lt;=Hypothèses!$V$14,Hypothèses!$X$14,IF(EE134&lt;=Hypothèses!$V$15,Hypothèses!$X$15,IF(EE134&lt;=Hypothèses!$V$16,Hypothèses!$X$16,IF(EE134&lt;=Hypothèses!$U$17,Hypothèses!$W$17,IF(EE134&lt;=Hypothèses!$U$18,Hypothèses!$W$18,""))))))))))))</f>
        <v>#DIV/0!</v>
      </c>
      <c r="FB134" s="95" t="e">
        <f t="shared" ca="1" si="197"/>
        <v>#DIV/0!</v>
      </c>
      <c r="FC134" s="101" t="e">
        <f t="shared" si="230"/>
        <v>#N/A</v>
      </c>
      <c r="FD134" s="91" t="e">
        <f t="shared" si="166"/>
        <v>#N/A</v>
      </c>
      <c r="FE134" s="30" t="e">
        <f t="shared" si="214"/>
        <v>#N/A</v>
      </c>
      <c r="FF134" s="30" t="e">
        <f t="shared" si="215"/>
        <v>#N/A</v>
      </c>
      <c r="FG134" s="31" t="e">
        <f>IF(OR(Hypothèses!$B$4=17,Hypothèses!$B$4=18,Hypothèses!$B$4=19,Hypothèses!$B$4=20),
IF($D134="Pressio.",
IF(OR($E134=3,$E134=1,$E134=4),FF134,FE134),
IF($D134="Pénétro.",
IF(OR($E134=3,$E134=1,$E134=4),FF134,FE134))),IF($D134="Pressio.",
IF($E134=3,FF134,FE134),
IF($D134="Pénétro.",
IF($E134=4,FF134,FE134))))</f>
        <v>#N/A</v>
      </c>
      <c r="FH134" s="31" t="e">
        <f>(IF(OR(Hypothèses!$B$4=17,Hypothèses!$B$4=18,Hypothèses!$B$4=19,Hypothèses!$B$4=20),
IF($D134="Pressio.",
IF(OR($E134=3,$E134=1,$E134=4),(PI()*FH$12^2)/4*(FD134*$W134*1000)/($H134*$B$5),(PI()*FH$12^2)/4*(FD134*$W134*1000)/($G134*$B$5)),
IF($D134="Pénétro.",
IF(OR($E134=4,$E134=1,$E134=5),(PI()*FH$12^2)/4*(FD134*$W134*1000)/($H134*$B$5),(PI()*FH$12^2)/4*(FD134*$W134*1000)/($G134*$B$5)))),
IF($D134="Pressio.",
IF($E134=3,(PI()*FH$12^2)/4*(FD134*$W134*1000)/($H134*$B$5),(PI()*FH$12^2)/4*(FD134*$W134*1000)/($G134*$B$5)),
IF($D134="Pénétro.",
IF($E134=4,(PI()*FH$12^2)/4*(FD134*$W134*1000)/($H134*$B$5),(PI()*FH$12^2)/4*(FD134*$W134*1000)/($G134*$B$5))))))/10</f>
        <v>#N/A</v>
      </c>
      <c r="FI134" s="102" t="e">
        <f>(VLOOKUP($B$3,'Coeff EC7'!$T$39:$X$59,2,0)*FG134+VLOOKUP($B$3,'Coeff EC7'!$T$65:$X$85,2,0)*Model0.1C!FH134)/1.1</f>
        <v>#N/A</v>
      </c>
      <c r="FJ134" s="102" t="e">
        <f>(VLOOKUP($B$3,'Coeff EC7'!$T$39:$X$59,3,0)*FG134+VLOOKUP($B$3,'Coeff EC7'!$T$65:$X$85,3,0)*Model0.1C!FH134)/0.9</f>
        <v>#N/A</v>
      </c>
      <c r="FK134" s="102" t="e">
        <f t="shared" si="198"/>
        <v>#N/A</v>
      </c>
      <c r="FL134" s="102" t="e">
        <f t="shared" si="199"/>
        <v>#N/A</v>
      </c>
      <c r="FM134" s="414" t="e">
        <f>IF(FM133=0,0,IF(AND(FI134&gt;charge_ELS_quasi,FJ134&gt;Charge_ELS_freq,FK134&gt;charge_ELU,FL134&gt;charge_ELA,$B134&gt;NDC!$H$22-0.1+MIN(3*$FM$12,1.5)),0,1))</f>
        <v>#N/A</v>
      </c>
    </row>
    <row r="135" spans="1:169">
      <c r="A135" s="96">
        <f t="shared" si="167"/>
        <v>87.800000000000693</v>
      </c>
      <c r="B135" s="97">
        <v>12.2</v>
      </c>
      <c r="C135" s="81">
        <f>IF(B135&lt;=Hypothèses!$C$7,Hypothèses!$A$7,IF(B135&lt;=Hypothèses!$C$8,Hypothèses!$A$8,IF(B135&lt;=Hypothèses!$C$9,Hypothèses!$A$9,IF(B135&lt;=Hypothèses!$C$10,Hypothèses!$A$10,IF(B135&lt;=Hypothèses!$C$11,Hypothèses!$A$11,IF(B135&lt;=Hypothèses!$C$12,Hypothèses!$A$12,IF(B135&lt;=Hypothèses!$C$13,Hypothèses!$A$13,IF(B135&lt;=Hypothèses!$C$14,Hypothèses!$A$14,IF(B135&lt;=Hypothèses!$C$15,Hypothèses!$A$15,IF(B135&lt;=Hypothèses!$C$16,Hypothèses!$A$16,IF(B135&lt;=Hypothèses!$C$17,Hypothèses!$A$17,IF(B135&lt;=Hypothèses!$C$18,Hypothèses!$A$18,C134))))))))))))</f>
        <v>11</v>
      </c>
      <c r="D135" s="82" t="str">
        <f>IF(B135&lt;=Hypothèses!$C$7,Hypothèses!$R$7,IF(B135&lt;=Hypothèses!$C$8,Hypothèses!$R$8,IF(B135&lt;=Hypothèses!$C$9,Hypothèses!$R$9,IF(B135&lt;=Hypothèses!$C$10,Hypothèses!$R$10,IF(B135&lt;=Hypothèses!$C$11,Hypothèses!$R$11,IF(B135&lt;=Hypothèses!$C$12,Hypothèses!$R$12,IF(B135&lt;=Hypothèses!$C$13,Hypothèses!$R$13,IF(B135&lt;=Hypothèses!$C$14,Hypothèses!$R$14,IF(B135&lt;=Hypothèses!$C$15,Hypothèses!$R$15,IF(B135&lt;=Hypothèses!$C$16,Hypothèses!$R$16,IF(B135&lt;=Hypothèses!$C$17,Hypothèses!$R$17,IF(B135&lt;=Hypothèses!$C$18,Hypothèses!$R$18,D134))))))))))))</f>
        <v>Pressio.</v>
      </c>
      <c r="E135" s="82" t="e">
        <f>IF(B135&lt;=Hypothèses!$C$7,Hypothèses!$G$7,IF(B135&lt;=Hypothèses!$C$8,Hypothèses!$G$8,IF(B135&lt;=Hypothèses!$C$9,Hypothèses!$G$9,IF(B135&lt;=Hypothèses!$C$10,Hypothèses!$G$10,IF(B135&lt;=Hypothèses!$C$11,Hypothèses!$G$11,IF(B135&lt;=Hypothèses!$C$12,Hypothèses!$G$12,IF(B135&lt;=Hypothèses!$C$13,Hypothèses!$G$13,IF(B135&lt;=Hypothèses!$C$14,Hypothèses!$G$14,IF(B135&lt;=Hypothèses!$C$15,Hypothèses!$G$15,IF(B135&lt;=Hypothèses!$C$16,Hypothèses!$G$16,IF(B135&lt;=Hypothèses!$C$17,Hypothèses!$G$17,IF(B135&lt;=Hypothèses!$C$18,Hypothèses!$G$18,E134))))))))))))</f>
        <v>#N/A</v>
      </c>
      <c r="F135" s="82" t="str">
        <f>IF(B135&lt;=Hypothèses!$C$7,Hypothèses!$F$7,IF(B135&lt;=Hypothèses!$C$8,Hypothèses!$F$8,IF(B135&lt;=Hypothèses!$C$9,Hypothèses!$F$9,IF(B135&lt;=Hypothèses!$C$10,Hypothèses!$F$10,IF(B135&lt;=Hypothèses!$C$11,Hypothèses!$F$11,IF(B135&lt;=Hypothèses!$C$12,Hypothèses!$F$12,IF(B135&lt;=Hypothèses!$C$13,Hypothèses!$F$13,IF(B135&lt;=Hypothèses!$C$14,Hypothèses!$F$14,IF(B135&lt;=Hypothèses!$C$15,Hypothèses!$F$15,IF(B135&lt;=Hypothèses!$C$16,Hypothèses!$F$16,IF(B135&lt;=Hypothèses!$C$17,Hypothèses!$F$17,IF(B135&lt;=Hypothèses!$C$18,Hypothèses!$F$18,F134))))))))))))</f>
        <v/>
      </c>
      <c r="G135" s="91">
        <f t="array" ref="G135">INDEX('Coeff EC7'!$U$7:$X$27,
MATCH(Model0.1C!$B$3,'Coeff EC7'!$T$7:$T$27,0),
MATCH(Model0.1C!$D135&amp;Model0.1C!$B$4,
'Coeff EC7'!$U$6:$X$6&amp;
'Coeff EC7'!$U$5:$X$5,0))</f>
        <v>1.1499999999999999</v>
      </c>
      <c r="H135" s="91">
        <f t="array" ref="H135">INDEX('Coeff EC7'!$Y$7:$AB$27,
MATCH(Model0.1C!$B$3,'Coeff EC7'!$T$7:$T$27,0),
MATCH(Model0.1C!$D135&amp;Model0.1C!$B$4,
'Coeff EC7'!$Y$6:$AB$6&amp;
'Coeff EC7'!$Y$5:$AB$5,0))</f>
        <v>1.4</v>
      </c>
      <c r="I135" s="83" t="e">
        <f>IF(B135&lt;=Hypothèses!$C$7,Hypothèses!$P$7,IF(B135&lt;=Hypothèses!$C$8,Hypothèses!$P$8,IF(B135&lt;=Hypothèses!$C$9,Hypothèses!$P$9,IF(B135&lt;=Hypothèses!$C$10,Hypothèses!$P$10,IF(B135&lt;=Hypothèses!$C$11,Hypothèses!$P$11,IF(B135&lt;=Hypothèses!$C$12,Hypothèses!$P$12,IF(B135&lt;=Hypothèses!$C$13,Hypothèses!$P$13,IF(B135&lt;=Hypothèses!$C$14,Hypothèses!$P$14,IF(B135&lt;=Hypothèses!$C$15,Hypothèses!$P$15,IF(B135&lt;=Hypothèses!$C$16,Hypothèses!$P$16,IF(B135&lt;=Hypothèses!$C$17,Hypothèses!$P$17,IF(B135&lt;=Hypothèses!$C$18,Hypothèses!$P$18,I134))))))))))))</f>
        <v>#N/A</v>
      </c>
      <c r="J135" s="91" t="e">
        <f t="array" ref="J135">INDEX('Coeff EC7'!$D$33:$Q$33,1,MATCH(D135&amp;E135,'Coeff EC7'!$D$31:$Q$31&amp;'Coeff EC7'!$D$32:$Q$32,0))</f>
        <v>#N/A</v>
      </c>
      <c r="K135" s="91" t="e">
        <f t="array" ref="K135">INDEX('Coeff EC7'!$D$34:$Q$34,1,MATCH(D135&amp;E135,'Coeff EC7'!$D$31:$Q$31&amp;'Coeff EC7'!$D$32:$Q$32,0))</f>
        <v>#N/A</v>
      </c>
      <c r="L135" s="91" t="e">
        <f t="array" ref="L135">INDEX('Coeff EC7'!$D$35:$Q$35,1,MATCH(D135&amp;E135,'Coeff EC7'!$D$31:$Q$31&amp;'Coeff EC7'!$D$32:$Q$32,0))</f>
        <v>#N/A</v>
      </c>
      <c r="M135" s="98" t="e">
        <f t="shared" si="131"/>
        <v>#N/A</v>
      </c>
      <c r="N135" s="99" t="e">
        <f t="array" ref="N135">INDEX('Coeff EC7'!$D$7:$Q$27,MATCH($B$3,'Coeff EC7'!$C$7:$C$27,0),MATCH(D135&amp;E135,'Coeff EC7'!$D$5:$Q$5&amp;'Coeff EC7'!$D$6:$Q$6,0))</f>
        <v>#N/A</v>
      </c>
      <c r="O135" s="99" t="e">
        <f t="array" ref="O135">INDEX('Coeff EC7'!$D$41:$Q$61,MATCH($B$3,'Coeff EC7'!$C$41:$C$61,0),MATCH(D135&amp;E135,'Coeff EC7'!$D$39:$Q$39&amp;'Coeff EC7'!$D$40:$Q$40,0))</f>
        <v>#N/A</v>
      </c>
      <c r="P135" s="30" t="e">
        <f t="shared" si="168"/>
        <v>#N/A</v>
      </c>
      <c r="Q135" s="100" t="e">
        <f t="shared" si="133"/>
        <v>#N/A</v>
      </c>
      <c r="R135" s="86" t="b">
        <f t="shared" si="134"/>
        <v>0</v>
      </c>
      <c r="S135" s="86">
        <f t="shared" si="132"/>
        <v>0.5</v>
      </c>
      <c r="T135" s="86">
        <f t="shared" si="135"/>
        <v>0.5</v>
      </c>
      <c r="U135" s="30" t="e">
        <f t="shared" ca="1" si="169"/>
        <v>#DIV/0!</v>
      </c>
      <c r="V135" s="85" t="str">
        <f>IF(B135&lt;=Hypothèses!$V$7,Hypothèses!$W$7,IF(B135&lt;=Hypothèses!$V$8,Hypothèses!$W$8,IF(B135&lt;=Hypothèses!$V$9,Hypothèses!$W$9,IF(B135&lt;=Hypothèses!$V$10,Hypothèses!$W$10,IF(B135&lt;=Hypothèses!$V$11,Hypothèses!$W$11,IF(B135&lt;=Hypothèses!$V$12,Hypothèses!$W$12,IF(B135&lt;=Hypothèses!$V$13,Hypothèses!$W$13,IF(B135&lt;=Hypothèses!$V$14,Hypothèses!$W$14,IF(B135&lt;=Hypothèses!$V$15,Hypothèses!$W$15,IF(B135&lt;=Hypothèses!$V$16,Hypothèses!$W$16,IF(B135&lt;=Hypothèses!$V$17,Hypothèses!$W$17,IF(B135&lt;=Hypothèses!$V$18,Hypothèses!$W$18,""))))))))))))</f>
        <v/>
      </c>
      <c r="W135" s="87" t="e">
        <f t="shared" ca="1" si="216"/>
        <v>#DIV/0!</v>
      </c>
      <c r="X135" s="88" t="str">
        <f>IF(B135&lt;=Hypothèses!$V$7,Hypothèses!$X$7,IF(B135&lt;=Hypothèses!$V$8,Hypothèses!$X$8,IF(B135&lt;=Hypothèses!$V$9,Hypothèses!$X$9,IF(B135&lt;=Hypothèses!$V$10,Hypothèses!$X$10,IF(B135&lt;=Hypothèses!$V$11,Hypothèses!$X$11,IF(B135&lt;=Hypothèses!$V$12,Hypothèses!$X$12,IF(B135&lt;=Hypothèses!$V$13,Hypothèses!$X$13,IF(B135&lt;=Hypothèses!$V$14,Hypothèses!$X$14,IF(B135&lt;=Hypothèses!$V$15,Hypothèses!$X$15,IF(B135&lt;=Hypothèses!$V$16,Hypothèses!$X$16,IF(B135&lt;=Hypothèses!$U$17,Hypothèses!$W$17,IF(B135&lt;=Hypothèses!$U$18,Hypothèses!$W$18,""))))))))))))</f>
        <v/>
      </c>
      <c r="Y135" s="95" t="e">
        <f t="shared" ca="1" si="136"/>
        <v>#DIV/0!</v>
      </c>
      <c r="Z135" s="101" t="e">
        <f t="shared" si="137"/>
        <v>#N/A</v>
      </c>
      <c r="AA135" s="91" t="e">
        <f t="shared" si="138"/>
        <v>#N/A</v>
      </c>
      <c r="AB135" s="30" t="e">
        <f t="shared" si="200"/>
        <v>#N/A</v>
      </c>
      <c r="AC135" s="30" t="e">
        <f t="shared" si="201"/>
        <v>#N/A</v>
      </c>
      <c r="AD135" s="31" t="e">
        <f>IF(OR(Hypothèses!$B$4=17,Hypothèses!$B$4=18,Hypothèses!$B$4=19,Hypothèses!$B$4=20),
IF($D135="Pressio.",
IF(OR($E135=3,$E135=1,$E135=4),AC135,AB135),
IF($D135="Pénétro.",
IF(OR($E135=3,$E135=1,$E135=4),AC135,AB135))),IF($D135="Pressio.",
IF($E135=3,AC135,AB135),
IF($D135="Pénétro.",
IF($E135=4,AC135,AB135))))</f>
        <v>#N/A</v>
      </c>
      <c r="AE135" s="31" t="e">
        <f>(IF(OR(Hypothèses!$B$4=17,Hypothèses!$B$4=18,Hypothèses!$B$4=19,Hypothèses!$B$4=20),
IF($D135="Pressio.",
IF(OR($E135=3,$E135=1,$E135=4),(PI()*AE$12^2)/4*(AA135*$W135*1000)/($H135*$B$5),(PI()*AE$12^2)/4*(AA135*$W135*1000)/($G135*$B$5)),
IF($D135="Pénétro.",
IF(OR($E135=4,$E135=1,$E135=5),(PI()*AE$12^2)/4*(AA135*$W135*1000)/($H135*$B$5),(PI()*AE$12^2)/4*(AA135*$W135*1000)/($G135*$B$5)))),
IF($D135="Pressio.",
IF($E135=3,(PI()*AE$12^2)/4*(AA135*$W135*1000)/($H135*$B$5),(PI()*AE$12^2)/4*(AA135*$W135*1000)/($G135*$B$5)),
IF($D135="Pénétro.",
IF($E135=4,(PI()*AE$12^2)/4*(AA135*$W135*1000)/($H135*$B$5),(PI()*AE$12^2)/4*(AA135*$W135*1000)/($G135*$B$5))))))/10</f>
        <v>#N/A</v>
      </c>
      <c r="AF135" s="102" t="e">
        <f>(VLOOKUP($B$3,'Coeff EC7'!$T$39:$X$59,2,0)*AD135+VLOOKUP($B$3,'Coeff EC7'!$T$65:$X$85,2,0)*Model0.1C!AE135)/1.1</f>
        <v>#N/A</v>
      </c>
      <c r="AG135" s="102" t="e">
        <f>(VLOOKUP($B$3,'Coeff EC7'!$T$39:$X$59,3,0)*AD135+VLOOKUP($B$3,'Coeff EC7'!$T$65:$X$85,3,0)*Model0.1C!AE135)/0.9</f>
        <v>#N/A</v>
      </c>
      <c r="AH135" s="102" t="e">
        <f t="shared" si="139"/>
        <v>#N/A</v>
      </c>
      <c r="AI135" s="102" t="e">
        <f t="shared" si="140"/>
        <v>#N/A</v>
      </c>
      <c r="AJ135" s="414" t="e">
        <f>IF(AJ134=0,0,IF(AND(AF135&gt;charge_ELS_quasi,AG135&gt;Charge_ELS_freq,AH135&gt;charge_ELU,AI135&gt;charge_ELA,$B135&gt;NDC!$H$22-0.1+MIN(3*$AJ$12,1.5)),0,1))</f>
        <v>#N/A</v>
      </c>
      <c r="AK135" s="86" t="b">
        <f t="shared" si="141"/>
        <v>0</v>
      </c>
      <c r="AL135" s="86">
        <f t="shared" si="170"/>
        <v>0.5</v>
      </c>
      <c r="AM135" s="86">
        <f t="shared" si="142"/>
        <v>0.5</v>
      </c>
      <c r="AN135" s="30" t="e">
        <f t="shared" ca="1" si="171"/>
        <v>#DIV/0!</v>
      </c>
      <c r="AO135" s="85" t="e">
        <f ca="1">IF(U135&lt;=Hypothèses!$V$7,Hypothèses!$W$7,IF(U135&lt;=Hypothèses!$V$8,Hypothèses!$W$8,IF(U135&lt;=Hypothèses!$V$9,Hypothèses!$W$9,IF(U135&lt;=Hypothèses!$V$10,Hypothèses!$W$10,IF(U135&lt;=Hypothèses!$V$11,Hypothèses!$W$11,IF(U135&lt;=Hypothèses!$V$12,Hypothèses!$W$12,IF(U135&lt;=Hypothèses!$V$13,Hypothèses!$W$13,IF(U135&lt;=Hypothèses!$V$14,Hypothèses!$W$14,IF(U135&lt;=Hypothèses!$V$15,Hypothèses!$W$15,IF(U135&lt;=Hypothèses!$V$16,Hypothèses!$W$16,IF(U135&lt;=Hypothèses!$V$17,Hypothèses!$W$17,IF(U135&lt;=Hypothèses!$V$18,Hypothèses!$W$18,""))))))))))))</f>
        <v>#DIV/0!</v>
      </c>
      <c r="AP135" s="87" t="e">
        <f t="shared" ca="1" si="217"/>
        <v>#DIV/0!</v>
      </c>
      <c r="AQ135" s="88" t="e">
        <f ca="1">IF(U135&lt;=Hypothèses!$V$7,Hypothèses!$X$7,IF(U135&lt;=Hypothèses!$V$8,Hypothèses!$X$8,IF(U135&lt;=Hypothèses!$V$9,Hypothèses!$X$9,IF(U135&lt;=Hypothèses!$V$10,Hypothèses!$X$10,IF(U135&lt;=Hypothèses!$V$11,Hypothèses!$X$11,IF(U135&lt;=Hypothèses!$V$12,Hypothèses!$X$12,IF(U135&lt;=Hypothèses!$V$13,Hypothèses!$X$13,IF(U135&lt;=Hypothèses!$V$14,Hypothèses!$X$14,IF(U135&lt;=Hypothèses!$V$15,Hypothèses!$X$15,IF(U135&lt;=Hypothèses!$V$16,Hypothèses!$X$16,IF(U135&lt;=Hypothèses!$U$17,Hypothèses!$W$17,IF(U135&lt;=Hypothèses!$U$18,Hypothèses!$W$18,""))))))))))))</f>
        <v>#DIV/0!</v>
      </c>
      <c r="AR135" s="95" t="e">
        <f t="shared" ca="1" si="172"/>
        <v>#DIV/0!</v>
      </c>
      <c r="AS135" s="101" t="e">
        <f t="shared" si="224"/>
        <v>#N/A</v>
      </c>
      <c r="AT135" s="91" t="e">
        <f t="shared" si="143"/>
        <v>#N/A</v>
      </c>
      <c r="AU135" s="30" t="e">
        <f t="shared" si="202"/>
        <v>#N/A</v>
      </c>
      <c r="AV135" s="30" t="e">
        <f t="shared" si="203"/>
        <v>#N/A</v>
      </c>
      <c r="AW135" s="31" t="e">
        <f>IF(OR(Hypothèses!$B$4=17,Hypothèses!$B$4=18,Hypothèses!$B$4=19,Hypothèses!$B$4=20),
IF($D135="Pressio.",
IF(OR($E135=3,$E135=1,$E135=4),AV135,AU135),
IF($D135="Pénétro.",
IF(OR($E135=3,$E135=1,$E135=4),AV135,AU135))),IF($D135="Pressio.",
IF($E135=3,AV135,AU135),
IF($D135="Pénétro.",
IF($E135=4,AV135,AU135))))</f>
        <v>#N/A</v>
      </c>
      <c r="AX135" s="31" t="e">
        <f>(IF(OR(Hypothèses!$B$4=17,Hypothèses!$B$4=18,Hypothèses!$B$4=19,Hypothèses!$B$4=20),
IF($D135="Pressio.",
IF(OR($E135=3,$E135=1,$E135=4),(PI()*AX$12^2)/4*(AT135*$W135*1000)/($H135*$B$5),(PI()*AX$12^2)/4*(AT135*$W135*1000)/($G135*$B$5)),
IF($D135="Pénétro.",
IF(OR($E135=4,$E135=1,$E135=5),(PI()*AX$12^2)/4*(AT135*$W135*1000)/($H135*$B$5),(PI()*AX$12^2)/4*(AT135*$W135*1000)/($G135*$B$5)))),
IF($D135="Pressio.",
IF($E135=3,(PI()*AX$12^2)/4*(AT135*$W135*1000)/($H135*$B$5),(PI()*AX$12^2)/4*(AT135*$W135*1000)/($G135*$B$5)),
IF($D135="Pénétro.",
IF($E135=4,(PI()*AX$12^2)/4*(AT135*$W135*1000)/($H135*$B$5),(PI()*AX$12^2)/4*(AT135*$W135*1000)/($G135*$B$5))))))/10</f>
        <v>#N/A</v>
      </c>
      <c r="AY135" s="102" t="e">
        <f>(VLOOKUP($B$3,'Coeff EC7'!$T$39:$X$59,2,0)*AW135+VLOOKUP($B$3,'Coeff EC7'!$T$65:$X$85,2,0)*Model0.1C!AX135)/1.1</f>
        <v>#N/A</v>
      </c>
      <c r="AZ135" s="102" t="e">
        <f>(VLOOKUP($B$3,'Coeff EC7'!$T$39:$X$59,3,0)*AW135+VLOOKUP($B$3,'Coeff EC7'!$T$65:$X$85,3,0)*Model0.1C!AX135)/0.9</f>
        <v>#N/A</v>
      </c>
      <c r="BA135" s="102" t="e">
        <f t="shared" si="173"/>
        <v>#N/A</v>
      </c>
      <c r="BB135" s="102" t="e">
        <f t="shared" si="174"/>
        <v>#N/A</v>
      </c>
      <c r="BC135" s="414" t="e">
        <f>IF(BC134=0,0,IF(AND(AY135&gt;charge_ELS_quasi,AZ135&gt;Charge_ELS_freq,BA135&gt;charge_ELU,BB135&gt;charge_ELA,$B135&gt;NDC!$H$22-0.1+MIN(3*$BC$12,1.5)),0,1))</f>
        <v>#N/A</v>
      </c>
      <c r="BD135" s="86" t="b">
        <f t="shared" si="144"/>
        <v>0</v>
      </c>
      <c r="BE135" s="86">
        <f t="shared" si="175"/>
        <v>0.5</v>
      </c>
      <c r="BF135" s="86">
        <f t="shared" si="145"/>
        <v>0.5</v>
      </c>
      <c r="BG135" s="30" t="e">
        <f t="shared" ca="1" si="176"/>
        <v>#DIV/0!</v>
      </c>
      <c r="BH135" s="85" t="e">
        <f ca="1">IF(AN135&lt;=Hypothèses!$V$7,Hypothèses!$W$7,IF(AN135&lt;=Hypothèses!$V$8,Hypothèses!$W$8,IF(AN135&lt;=Hypothèses!$V$9,Hypothèses!$W$9,IF(AN135&lt;=Hypothèses!$V$10,Hypothèses!$W$10,IF(AN135&lt;=Hypothèses!$V$11,Hypothèses!$W$11,IF(AN135&lt;=Hypothèses!$V$12,Hypothèses!$W$12,IF(AN135&lt;=Hypothèses!$V$13,Hypothèses!$W$13,IF(AN135&lt;=Hypothèses!$V$14,Hypothèses!$W$14,IF(AN135&lt;=Hypothèses!$V$15,Hypothèses!$W$15,IF(AN135&lt;=Hypothèses!$V$16,Hypothèses!$W$16,IF(AN135&lt;=Hypothèses!$V$17,Hypothèses!$W$17,IF(AN135&lt;=Hypothèses!$V$18,Hypothèses!$W$18,""))))))))))))</f>
        <v>#DIV/0!</v>
      </c>
      <c r="BI135" s="87" t="e">
        <f t="shared" ca="1" si="218"/>
        <v>#DIV/0!</v>
      </c>
      <c r="BJ135" s="88" t="e">
        <f ca="1">IF(AN135&lt;=Hypothèses!$V$7,Hypothèses!$X$7,IF(AN135&lt;=Hypothèses!$V$8,Hypothèses!$X$8,IF(AN135&lt;=Hypothèses!$V$9,Hypothèses!$X$9,IF(AN135&lt;=Hypothèses!$V$10,Hypothèses!$X$10,IF(AN135&lt;=Hypothèses!$V$11,Hypothèses!$X$11,IF(AN135&lt;=Hypothèses!$V$12,Hypothèses!$X$12,IF(AN135&lt;=Hypothèses!$V$13,Hypothèses!$X$13,IF(AN135&lt;=Hypothèses!$V$14,Hypothèses!$X$14,IF(AN135&lt;=Hypothèses!$V$15,Hypothèses!$X$15,IF(AN135&lt;=Hypothèses!$V$16,Hypothèses!$X$16,IF(AN135&lt;=Hypothèses!$U$17,Hypothèses!$W$17,IF(AN135&lt;=Hypothèses!$U$18,Hypothèses!$W$18,""))))))))))))</f>
        <v>#DIV/0!</v>
      </c>
      <c r="BK135" s="95" t="e">
        <f t="shared" ca="1" si="177"/>
        <v>#DIV/0!</v>
      </c>
      <c r="BL135" s="101" t="e">
        <f t="shared" si="225"/>
        <v>#N/A</v>
      </c>
      <c r="BM135" s="91" t="e">
        <f t="shared" si="146"/>
        <v>#N/A</v>
      </c>
      <c r="BN135" s="30" t="e">
        <f t="shared" si="204"/>
        <v>#N/A</v>
      </c>
      <c r="BO135" s="30" t="e">
        <f t="shared" si="205"/>
        <v>#N/A</v>
      </c>
      <c r="BP135" s="31" t="e">
        <f>IF(OR(Hypothèses!$B$4=17,Hypothèses!$B$4=18,Hypothèses!$B$4=19,Hypothèses!$B$4=20),
IF($D135="Pressio.",
IF(OR($E135=3,$E135=1,$E135=4),BO135,BN135),
IF($D135="Pénétro.",
IF(OR($E135=3,$E135=1,$E135=4),BO135,BN135))),IF($D135="Pressio.",
IF($E135=3,BO135,BN135),
IF($D135="Pénétro.",
IF($E135=4,BO135,BN135))))</f>
        <v>#N/A</v>
      </c>
      <c r="BQ135" s="31" t="e">
        <f>(IF(OR(Hypothèses!$B$4=17,Hypothèses!$B$4=18,Hypothèses!$B$4=19,Hypothèses!$B$4=20),
IF($D135="Pressio.",
IF(OR($E135=3,$E135=1,$E135=4),(PI()*BQ$12^2)/4*(BM135*$W135*1000)/($H135*$B$5),(PI()*BQ$12^2)/4*(BM135*$W135*1000)/($G135*$B$5)),
IF($D135="Pénétro.",
IF(OR($E135=4,$E135=1,$E135=5),(PI()*BQ$12^2)/4*(BM135*$W135*1000)/($H135*$B$5),(PI()*BQ$12^2)/4*(BM135*$W135*1000)/($G135*$B$5)))),
IF($D135="Pressio.",
IF($E135=3,(PI()*BQ$12^2)/4*(BM135*$W135*1000)/($H135*$B$5),(PI()*BQ$12^2)/4*(BM135*$W135*1000)/($G135*$B$5)),
IF($D135="Pénétro.",
IF($E135=4,(PI()*BQ$12^2)/4*(BM135*$W135*1000)/($H135*$B$5),(PI()*BQ$12^2)/4*(BM135*$W135*1000)/($G135*$B$5))))))/10</f>
        <v>#N/A</v>
      </c>
      <c r="BR135" s="102" t="e">
        <f>(VLOOKUP($B$3,'Coeff EC7'!$T$39:$X$59,2,0)*BP135+VLOOKUP($B$3,'Coeff EC7'!$T$65:$X$85,2,0)*Model0.1C!BQ135)/1.1</f>
        <v>#N/A</v>
      </c>
      <c r="BS135" s="102" t="e">
        <f>(VLOOKUP($B$3,'Coeff EC7'!$T$39:$X$59,3,0)*BP135+VLOOKUP($B$3,'Coeff EC7'!$T$65:$X$85,3,0)*Model0.1C!BQ135)/0.9</f>
        <v>#N/A</v>
      </c>
      <c r="BT135" s="102" t="e">
        <f t="shared" si="178"/>
        <v>#N/A</v>
      </c>
      <c r="BU135" s="102" t="e">
        <f t="shared" si="179"/>
        <v>#N/A</v>
      </c>
      <c r="BV135" s="414" t="e">
        <f>IF(BV134=0,0,IF(AND(BR135&gt;charge_ELS_quasi,BS135&gt;Charge_ELS_freq,BT135&gt;charge_ELU,BU135&gt;charge_ELA,$B135&gt;NDC!$H$22-0.1+MIN(3*$BV$12,1.5)),0,1))</f>
        <v>#N/A</v>
      </c>
      <c r="BW135" s="86" t="b">
        <f t="shared" si="147"/>
        <v>0</v>
      </c>
      <c r="BX135" s="86">
        <f t="shared" si="148"/>
        <v>0.5</v>
      </c>
      <c r="BY135" s="86">
        <f t="shared" si="149"/>
        <v>0.5</v>
      </c>
      <c r="BZ135" s="30" t="e">
        <f t="shared" ca="1" si="180"/>
        <v>#DIV/0!</v>
      </c>
      <c r="CA135" s="85" t="e">
        <f ca="1">IF(BG135&lt;=Hypothèses!$V$7,Hypothèses!$W$7,IF(BG135&lt;=Hypothèses!$V$8,Hypothèses!$W$8,IF(BG135&lt;=Hypothèses!$V$9,Hypothèses!$W$9,IF(BG135&lt;=Hypothèses!$V$10,Hypothèses!$W$10,IF(BG135&lt;=Hypothèses!$V$11,Hypothèses!$W$11,IF(BG135&lt;=Hypothèses!$V$12,Hypothèses!$W$12,IF(BG135&lt;=Hypothèses!$V$13,Hypothèses!$W$13,IF(BG135&lt;=Hypothèses!$V$14,Hypothèses!$W$14,IF(BG135&lt;=Hypothèses!$V$15,Hypothèses!$W$15,IF(BG135&lt;=Hypothèses!$V$16,Hypothèses!$W$16,IF(BG135&lt;=Hypothèses!$V$17,Hypothèses!$W$17,IF(BG135&lt;=Hypothèses!$V$18,Hypothèses!$W$18,""))))))))))))</f>
        <v>#DIV/0!</v>
      </c>
      <c r="CB135" s="87" t="e">
        <f t="shared" ca="1" si="219"/>
        <v>#DIV/0!</v>
      </c>
      <c r="CC135" s="88" t="e">
        <f ca="1">IF(BG135&lt;=Hypothèses!$V$7,Hypothèses!$X$7,IF(BG135&lt;=Hypothèses!$V$8,Hypothèses!$X$8,IF(BG135&lt;=Hypothèses!$V$9,Hypothèses!$X$9,IF(BG135&lt;=Hypothèses!$V$10,Hypothèses!$X$10,IF(BG135&lt;=Hypothèses!$V$11,Hypothèses!$X$11,IF(BG135&lt;=Hypothèses!$V$12,Hypothèses!$X$12,IF(BG135&lt;=Hypothèses!$V$13,Hypothèses!$X$13,IF(BG135&lt;=Hypothèses!$V$14,Hypothèses!$X$14,IF(BG135&lt;=Hypothèses!$V$15,Hypothèses!$X$15,IF(BG135&lt;=Hypothèses!$V$16,Hypothèses!$X$16,IF(BG135&lt;=Hypothèses!$U$17,Hypothèses!$W$17,IF(BG135&lt;=Hypothèses!$U$18,Hypothèses!$W$18,""))))))))))))</f>
        <v>#DIV/0!</v>
      </c>
      <c r="CD135" s="95" t="e">
        <f t="shared" ca="1" si="181"/>
        <v>#DIV/0!</v>
      </c>
      <c r="CE135" s="101" t="e">
        <f t="shared" si="226"/>
        <v>#N/A</v>
      </c>
      <c r="CF135" s="91" t="e">
        <f t="shared" si="150"/>
        <v>#N/A</v>
      </c>
      <c r="CG135" s="30" t="e">
        <f t="shared" si="206"/>
        <v>#N/A</v>
      </c>
      <c r="CH135" s="30" t="e">
        <f t="shared" si="207"/>
        <v>#N/A</v>
      </c>
      <c r="CI135" s="31" t="e">
        <f>IF(OR(Hypothèses!$B$4=17,Hypothèses!$B$4=18,Hypothèses!$B$4=19,Hypothèses!$B$4=20),
IF($D135="Pressio.",
IF(OR($E135=3,$E135=1,$E135=4),CH135,CG135),
IF($D135="Pénétro.",
IF(OR($E135=3,$E135=1,$E135=4),CH135,CG135))),IF($D135="Pressio.",
IF($E135=3,CH135,CG135),
IF($D135="Pénétro.",
IF($E135=4,CH135,CG135))))</f>
        <v>#N/A</v>
      </c>
      <c r="CJ135" s="31" t="e">
        <f>(IF(OR(Hypothèses!$B$4=17,Hypothèses!$B$4=18,Hypothèses!$B$4=19,Hypothèses!$B$4=20),
IF($D135="Pressio.",
IF(OR($E135=3,$E135=1,$E135=4),(PI()*CJ$12^2)/4*(CF135*$W135*1000)/($H135*$B$5),(PI()*CJ$12^2)/4*(CF135*$W135*1000)/($G135*$B$5)),
IF($D135="Pénétro.",
IF(OR($E135=4,$E135=1,$E135=5),(PI()*CJ$12^2)/4*(CF135*$W135*1000)/($H135*$B$5),(PI()*CJ$12^2)/4*(CF135*$W135*1000)/($G135*$B$5)))),
IF($D135="Pressio.",
IF($E135=3,(PI()*CJ$12^2)/4*(CF135*$W135*1000)/($H135*$B$5),(PI()*CJ$12^2)/4*(CF135*$W135*1000)/($G135*$B$5)),
IF($D135="Pénétro.",
IF($E135=4,(PI()*CJ$12^2)/4*(CF135*$W135*1000)/($H135*$B$5),(PI()*CJ$12^2)/4*(CF135*$W135*1000)/($G135*$B$5))))))/10</f>
        <v>#N/A</v>
      </c>
      <c r="CK135" s="102" t="e">
        <f>(VLOOKUP($B$3,'Coeff EC7'!$T$39:$X$59,2,0)*CI135+VLOOKUP($B$3,'Coeff EC7'!$T$65:$X$85,2,0)*Model0.1C!CJ135)/1.1</f>
        <v>#N/A</v>
      </c>
      <c r="CL135" s="102" t="e">
        <f>(VLOOKUP($B$3,'Coeff EC7'!$T$39:$X$59,3,0)*CI135+VLOOKUP($B$3,'Coeff EC7'!$T$65:$X$85,3,0)*Model0.1C!CJ135)/0.9</f>
        <v>#N/A</v>
      </c>
      <c r="CM135" s="102" t="e">
        <f t="shared" si="182"/>
        <v>#N/A</v>
      </c>
      <c r="CN135" s="102" t="e">
        <f t="shared" si="183"/>
        <v>#N/A</v>
      </c>
      <c r="CO135" s="414" t="e">
        <f>IF(CO134=0,0,IF(AND(CK135&gt;charge_ELS_quasi,CL135&gt;Charge_ELS_freq,CM135&gt;charge_ELU,CN135&gt;charge_ELA,$B135&gt;NDC!$H$22-0.1+MIN(3*$CO$12,1.5)),0,1))</f>
        <v>#N/A</v>
      </c>
      <c r="CP135" s="86" t="b">
        <f t="shared" si="151"/>
        <v>0</v>
      </c>
      <c r="CQ135" s="86">
        <f t="shared" si="152"/>
        <v>0.5</v>
      </c>
      <c r="CR135" s="86">
        <f t="shared" si="153"/>
        <v>0.5</v>
      </c>
      <c r="CS135" s="30" t="e">
        <f t="shared" ca="1" si="184"/>
        <v>#DIV/0!</v>
      </c>
      <c r="CT135" s="85" t="e">
        <f ca="1">IF(BZ135&lt;=Hypothèses!$V$7,Hypothèses!$W$7,IF(BZ135&lt;=Hypothèses!$V$8,Hypothèses!$W$8,IF(BZ135&lt;=Hypothèses!$V$9,Hypothèses!$W$9,IF(BZ135&lt;=Hypothèses!$V$10,Hypothèses!$W$10,IF(BZ135&lt;=Hypothèses!$V$11,Hypothèses!$W$11,IF(BZ135&lt;=Hypothèses!$V$12,Hypothèses!$W$12,IF(BZ135&lt;=Hypothèses!$V$13,Hypothèses!$W$13,IF(BZ135&lt;=Hypothèses!$V$14,Hypothèses!$W$14,IF(BZ135&lt;=Hypothèses!$V$15,Hypothèses!$W$15,IF(BZ135&lt;=Hypothèses!$V$16,Hypothèses!$W$16,IF(BZ135&lt;=Hypothèses!$V$17,Hypothèses!$W$17,IF(BZ135&lt;=Hypothèses!$V$18,Hypothèses!$W$18,""))))))))))))</f>
        <v>#DIV/0!</v>
      </c>
      <c r="CU135" s="87" t="e">
        <f t="shared" ca="1" si="220"/>
        <v>#DIV/0!</v>
      </c>
      <c r="CV135" s="88" t="e">
        <f ca="1">IF(BZ135&lt;=Hypothèses!$V$7,Hypothèses!$X$7,IF(BZ135&lt;=Hypothèses!$V$8,Hypothèses!$X$8,IF(BZ135&lt;=Hypothèses!$V$9,Hypothèses!$X$9,IF(BZ135&lt;=Hypothèses!$V$10,Hypothèses!$X$10,IF(BZ135&lt;=Hypothèses!$V$11,Hypothèses!$X$11,IF(BZ135&lt;=Hypothèses!$V$12,Hypothèses!$X$12,IF(BZ135&lt;=Hypothèses!$V$13,Hypothèses!$X$13,IF(BZ135&lt;=Hypothèses!$V$14,Hypothèses!$X$14,IF(BZ135&lt;=Hypothèses!$V$15,Hypothèses!$X$15,IF(BZ135&lt;=Hypothèses!$V$16,Hypothèses!$X$16,IF(BZ135&lt;=Hypothèses!$U$17,Hypothèses!$W$17,IF(BZ135&lt;=Hypothèses!$U$18,Hypothèses!$W$18,""))))))))))))</f>
        <v>#DIV/0!</v>
      </c>
      <c r="CW135" s="95" t="e">
        <f t="shared" ca="1" si="185"/>
        <v>#DIV/0!</v>
      </c>
      <c r="CX135" s="101" t="e">
        <f t="shared" si="227"/>
        <v>#N/A</v>
      </c>
      <c r="CY135" s="91" t="e">
        <f t="shared" si="154"/>
        <v>#N/A</v>
      </c>
      <c r="CZ135" s="30" t="e">
        <f t="shared" si="208"/>
        <v>#N/A</v>
      </c>
      <c r="DA135" s="30" t="e">
        <f t="shared" si="209"/>
        <v>#N/A</v>
      </c>
      <c r="DB135" s="31" t="e">
        <f>IF(OR(Hypothèses!$B$4=17,Hypothèses!$B$4=18,Hypothèses!$B$4=19,Hypothèses!$B$4=20),
IF($D135="Pressio.",
IF(OR($E135=3,$E135=1,$E135=4),DA135,CZ135),
IF($D135="Pénétro.",
IF(OR($E135=3,$E135=1,$E135=4),DA135,CZ135))),IF($D135="Pressio.",
IF($E135=3,DA135,CZ135),
IF($D135="Pénétro.",
IF($E135=4,DA135,CZ135))))</f>
        <v>#N/A</v>
      </c>
      <c r="DC135" s="31" t="e">
        <f>(IF(OR(Hypothèses!$B$4=17,Hypothèses!$B$4=18,Hypothèses!$B$4=19,Hypothèses!$B$4=20),
IF($D135="Pressio.",
IF(OR($E135=3,$E135=1,$E135=4),(PI()*DC$12^2)/4*(CY135*$W135*1000)/($H135*$B$5),(PI()*DC$12^2)/4*(CY135*$W135*1000)/($G135*$B$5)),
IF($D135="Pénétro.",
IF(OR($E135=4,$E135=1,$E135=5),(PI()*DC$12^2)/4*(CY135*$W135*1000)/($H135*$B$5),(PI()*DC$12^2)/4*(CY135*$W135*1000)/($G135*$B$5)))),
IF($D135="Pressio.",
IF($E135=3,(PI()*DC$12^2)/4*(CY135*$W135*1000)/($H135*$B$5),(PI()*DC$12^2)/4*(CY135*$W135*1000)/($G135*$B$5)),
IF($D135="Pénétro.",
IF($E135=4,(PI()*DC$12^2)/4*(CY135*$W135*1000)/($H135*$B$5),(PI()*DC$12^2)/4*(CY135*$W135*1000)/($G135*$B$5))))))/10</f>
        <v>#N/A</v>
      </c>
      <c r="DD135" s="102" t="e">
        <f>(VLOOKUP($B$3,'Coeff EC7'!$T$39:$X$59,2,0)*DB135+VLOOKUP($B$3,'Coeff EC7'!$T$65:$X$85,2,0)*Model0.1C!DC135)/1.1</f>
        <v>#N/A</v>
      </c>
      <c r="DE135" s="102" t="e">
        <f>(VLOOKUP($B$3,'Coeff EC7'!$T$39:$X$59,3,0)*DB135+VLOOKUP($B$3,'Coeff EC7'!$T$65:$X$85,3,0)*Model0.1C!DC135)/0.9</f>
        <v>#N/A</v>
      </c>
      <c r="DF135" s="102" t="e">
        <f t="shared" si="186"/>
        <v>#N/A</v>
      </c>
      <c r="DG135" s="102" t="e">
        <f t="shared" si="187"/>
        <v>#N/A</v>
      </c>
      <c r="DH135" s="414" t="e">
        <f>IF(DH134=0,0,IF(AND(DD135&gt;charge_ELS_quasi,DE135&gt;Charge_ELS_freq,DF135&gt;charge_ELU,DG135&gt;charge_ELA,$B135&gt;NDC!$H$22-0.1+MIN(3*$DH$12,1.5)),0,1))</f>
        <v>#N/A</v>
      </c>
      <c r="DI135" s="86" t="b">
        <f t="shared" si="155"/>
        <v>0</v>
      </c>
      <c r="DJ135" s="86">
        <f t="shared" si="156"/>
        <v>0.5</v>
      </c>
      <c r="DK135" s="86">
        <f t="shared" si="157"/>
        <v>0.5</v>
      </c>
      <c r="DL135" s="30" t="e">
        <f t="shared" ca="1" si="188"/>
        <v>#DIV/0!</v>
      </c>
      <c r="DM135" s="85" t="e">
        <f ca="1">IF(CS135&lt;=Hypothèses!$V$7,Hypothèses!$W$7,IF(CS135&lt;=Hypothèses!$V$8,Hypothèses!$W$8,IF(CS135&lt;=Hypothèses!$V$9,Hypothèses!$W$9,IF(CS135&lt;=Hypothèses!$V$10,Hypothèses!$W$10,IF(CS135&lt;=Hypothèses!$V$11,Hypothèses!$W$11,IF(CS135&lt;=Hypothèses!$V$12,Hypothèses!$W$12,IF(CS135&lt;=Hypothèses!$V$13,Hypothèses!$W$13,IF(CS135&lt;=Hypothèses!$V$14,Hypothèses!$W$14,IF(CS135&lt;=Hypothèses!$V$15,Hypothèses!$W$15,IF(CS135&lt;=Hypothèses!$V$16,Hypothèses!$W$16,IF(CS135&lt;=Hypothèses!$V$17,Hypothèses!$W$17,IF(CS135&lt;=Hypothèses!$V$18,Hypothèses!$W$18,""))))))))))))</f>
        <v>#DIV/0!</v>
      </c>
      <c r="DN135" s="87" t="e">
        <f t="shared" ca="1" si="221"/>
        <v>#DIV/0!</v>
      </c>
      <c r="DO135" s="88" t="e">
        <f ca="1">IF(CS135&lt;=Hypothèses!$V$7,Hypothèses!$X$7,IF(CS135&lt;=Hypothèses!$V$8,Hypothèses!$X$8,IF(CS135&lt;=Hypothèses!$V$9,Hypothèses!$X$9,IF(CS135&lt;=Hypothèses!$V$10,Hypothèses!$X$10,IF(CS135&lt;=Hypothèses!$V$11,Hypothèses!$X$11,IF(CS135&lt;=Hypothèses!$V$12,Hypothèses!$X$12,IF(CS135&lt;=Hypothèses!$V$13,Hypothèses!$X$13,IF(CS135&lt;=Hypothèses!$V$14,Hypothèses!$X$14,IF(CS135&lt;=Hypothèses!$V$15,Hypothèses!$X$15,IF(CS135&lt;=Hypothèses!$V$16,Hypothèses!$X$16,IF(CS135&lt;=Hypothèses!$U$17,Hypothèses!$W$17,IF(CS135&lt;=Hypothèses!$U$18,Hypothèses!$W$18,""))))))))))))</f>
        <v>#DIV/0!</v>
      </c>
      <c r="DP135" s="95" t="e">
        <f t="shared" ca="1" si="189"/>
        <v>#DIV/0!</v>
      </c>
      <c r="DQ135" s="101" t="e">
        <f t="shared" si="228"/>
        <v>#N/A</v>
      </c>
      <c r="DR135" s="91" t="e">
        <f t="shared" si="158"/>
        <v>#N/A</v>
      </c>
      <c r="DS135" s="30" t="e">
        <f t="shared" si="210"/>
        <v>#N/A</v>
      </c>
      <c r="DT135" s="30" t="e">
        <f t="shared" si="211"/>
        <v>#N/A</v>
      </c>
      <c r="DU135" s="31" t="e">
        <f>IF(OR(Hypothèses!$B$4=17,Hypothèses!$B$4=18,Hypothèses!$B$4=19,Hypothèses!$B$4=20),
IF($D135="Pressio.",
IF(OR($E135=3,$E135=1,$E135=4),DT135,DS135),
IF($D135="Pénétro.",
IF(OR($E135=3,$E135=1,$E135=4),DT135,DS135))),IF($D135="Pressio.",
IF($E135=3,DT135,DS135),
IF($D135="Pénétro.",
IF($E135=4,DT135,DS135))))</f>
        <v>#N/A</v>
      </c>
      <c r="DV135" s="31" t="e">
        <f>(IF(OR(Hypothèses!$B$4=17,Hypothèses!$B$4=18,Hypothèses!$B$4=19,Hypothèses!$B$4=20),
IF($D135="Pressio.",
IF(OR($E135=3,$E135=1,$E135=4),(PI()*DV$12^2)/4*(DR135*$W135*1000)/($H135*$B$5),(PI()*DV$12^2)/4*(DR135*$W135*1000)/($G135*$B$5)),
IF($D135="Pénétro.",
IF(OR($E135=4,$E135=1,$E135=5),(PI()*DV$12^2)/4*(DR135*$W135*1000)/($H135*$B$5),(PI()*DV$12^2)/4*(DR135*$W135*1000)/($G135*$B$5)))),
IF($D135="Pressio.",
IF($E135=3,(PI()*DV$12^2)/4*(DR135*$W135*1000)/($H135*$B$5),(PI()*DV$12^2)/4*(DR135*$W135*1000)/($G135*$B$5)),
IF($D135="Pénétro.",
IF($E135=4,(PI()*DV$12^2)/4*(DR135*$W135*1000)/($H135*$B$5),(PI()*DV$12^2)/4*(DR135*$W135*1000)/($G135*$B$5))))))/10</f>
        <v>#N/A</v>
      </c>
      <c r="DW135" s="102" t="e">
        <f>(VLOOKUP($B$3,'Coeff EC7'!$T$39:$X$59,2,0)*DU135+VLOOKUP($B$3,'Coeff EC7'!$T$65:$X$85,2,0)*Model0.1C!DV135)/1.1</f>
        <v>#N/A</v>
      </c>
      <c r="DX135" s="102" t="e">
        <f>(VLOOKUP($B$3,'Coeff EC7'!$T$39:$X$59,3,0)*DU135+VLOOKUP($B$3,'Coeff EC7'!$T$65:$X$85,3,0)*Model0.1C!DV135)/0.9</f>
        <v>#N/A</v>
      </c>
      <c r="DY135" s="102" t="e">
        <f t="shared" si="190"/>
        <v>#N/A</v>
      </c>
      <c r="DZ135" s="102" t="e">
        <f t="shared" si="191"/>
        <v>#N/A</v>
      </c>
      <c r="EA135" s="414" t="e">
        <f>IF(EA134=0,0,IF(AND(DW135&gt;charge_ELS_quasi,DX135&gt;Charge_ELS_freq,DY135&gt;charge_ELU,DZ135&gt;charge_ELA,$B135&gt;NDC!$H$22-0.1+MIN(3*$EA$12,1.5)),0,1))</f>
        <v>#N/A</v>
      </c>
      <c r="EB135" s="86" t="b">
        <f t="shared" si="159"/>
        <v>0</v>
      </c>
      <c r="EC135" s="418">
        <f t="shared" si="160"/>
        <v>0.51</v>
      </c>
      <c r="ED135" s="86">
        <f t="shared" si="161"/>
        <v>0.51</v>
      </c>
      <c r="EE135" s="30" t="e">
        <f t="shared" ca="1" si="192"/>
        <v>#DIV/0!</v>
      </c>
      <c r="EF135" s="85" t="e">
        <f ca="1">IF(DL135&lt;=Hypothèses!$V$7,Hypothèses!$W$7,IF(DL135&lt;=Hypothèses!$V$8,Hypothèses!$W$8,IF(DL135&lt;=Hypothèses!$V$9,Hypothèses!$W$9,IF(DL135&lt;=Hypothèses!$V$10,Hypothèses!$W$10,IF(DL135&lt;=Hypothèses!$V$11,Hypothèses!$W$11,IF(DL135&lt;=Hypothèses!$V$12,Hypothèses!$W$12,IF(DL135&lt;=Hypothèses!$V$13,Hypothèses!$W$13,IF(DL135&lt;=Hypothèses!$V$14,Hypothèses!$W$14,IF(DL135&lt;=Hypothèses!$V$15,Hypothèses!$W$15,IF(DL135&lt;=Hypothèses!$V$16,Hypothèses!$W$16,IF(DL135&lt;=Hypothèses!$V$17,Hypothèses!$W$17,IF(DL135&lt;=Hypothèses!$V$18,Hypothèses!$W$18,""))))))))))))</f>
        <v>#DIV/0!</v>
      </c>
      <c r="EG135" s="87" t="e">
        <f t="shared" ca="1" si="222"/>
        <v>#DIV/0!</v>
      </c>
      <c r="EH135" s="88" t="e">
        <f ca="1">IF(DL135&lt;=Hypothèses!$V$7,Hypothèses!$X$7,IF(DL135&lt;=Hypothèses!$V$8,Hypothèses!$X$8,IF(DL135&lt;=Hypothèses!$V$9,Hypothèses!$X$9,IF(DL135&lt;=Hypothèses!$V$10,Hypothèses!$X$10,IF(DL135&lt;=Hypothèses!$V$11,Hypothèses!$X$11,IF(DL135&lt;=Hypothèses!$V$12,Hypothèses!$X$12,IF(DL135&lt;=Hypothèses!$V$13,Hypothèses!$X$13,IF(DL135&lt;=Hypothèses!$V$14,Hypothèses!$X$14,IF(DL135&lt;=Hypothèses!$V$15,Hypothèses!$X$15,IF(DL135&lt;=Hypothèses!$V$16,Hypothèses!$X$16,IF(DL135&lt;=Hypothèses!$U$17,Hypothèses!$W$17,IF(DL135&lt;=Hypothèses!$U$18,Hypothèses!$W$18,""))))))))))))</f>
        <v>#DIV/0!</v>
      </c>
      <c r="EI135" s="95" t="e">
        <f t="shared" ca="1" si="193"/>
        <v>#DIV/0!</v>
      </c>
      <c r="EJ135" s="101" t="e">
        <f t="shared" si="229"/>
        <v>#N/A</v>
      </c>
      <c r="EK135" s="91" t="e">
        <f t="shared" si="162"/>
        <v>#N/A</v>
      </c>
      <c r="EL135" s="30" t="e">
        <f t="shared" si="212"/>
        <v>#N/A</v>
      </c>
      <c r="EM135" s="30" t="e">
        <f t="shared" si="213"/>
        <v>#N/A</v>
      </c>
      <c r="EN135" s="31" t="e">
        <f>IF(OR(Hypothèses!$B$4=17,Hypothèses!$B$4=18,Hypothèses!$B$4=19,Hypothèses!$B$4=20),
IF($D135="Pressio.",
IF(OR($E135=3,$E135=1,$E135=4),EM135,EL135),
IF($D135="Pénétro.",
IF(OR($E135=3,$E135=1,$E135=4),EM135,EL135))),IF($D135="Pressio.",
IF($E135=3,EM135,EL135),
IF($D135="Pénétro.",
IF($E135=4,EM135,EL135))))</f>
        <v>#N/A</v>
      </c>
      <c r="EO135" s="31" t="e">
        <f>(IF(OR(Hypothèses!$B$4=17,Hypothèses!$B$4=18,Hypothèses!$B$4=19,Hypothèses!$B$4=20),
IF($D135="Pressio.",
IF(OR($E135=3,$E135=1,$E135=4),(PI()*EO$12^2)/4*(EK135*$W135*1000)/($H135*$B$5),(PI()*EO$12^2)/4*(EK135*$W135*1000)/($G135*$B$5)),
IF($D135="Pénétro.",
IF(OR($E135=4,$E135=1,$E135=5),(PI()*EO$12^2)/4*(EK135*$W135*1000)/($H135*$B$5),(PI()*EO$12^2)/4*(EK135*$W135*1000)/($G135*$B$5)))),
IF($D135="Pressio.",
IF($E135=3,(PI()*EO$12^2)/4*(EK135*$W135*1000)/($H135*$B$5),(PI()*EO$12^2)/4*(EK135*$W135*1000)/($G135*$B$5)),
IF($D135="Pénétro.",
IF($E135=4,(PI()*EO$12^2)/4*(EK135*$W135*1000)/($H135*$B$5),(PI()*EO$12^2)/4*(EK135*$W135*1000)/($G135*$B$5))))))/10</f>
        <v>#N/A</v>
      </c>
      <c r="EP135" s="102" t="e">
        <f>(VLOOKUP($B$3,'Coeff EC7'!$T$39:$X$59,2,0)*EN135+VLOOKUP($B$3,'Coeff EC7'!$T$65:$X$85,2,0)*Model0.1C!EO135)/1.1</f>
        <v>#N/A</v>
      </c>
      <c r="EQ135" s="102" t="e">
        <f>(VLOOKUP($B$3,'Coeff EC7'!$T$39:$X$59,3,0)*EN135+VLOOKUP($B$3,'Coeff EC7'!$T$65:$X$85,3,0)*Model0.1C!EO135)/0.9</f>
        <v>#N/A</v>
      </c>
      <c r="ER135" s="102" t="e">
        <f t="shared" si="194"/>
        <v>#N/A</v>
      </c>
      <c r="ES135" s="102" t="e">
        <f t="shared" si="195"/>
        <v>#N/A</v>
      </c>
      <c r="ET135" s="414" t="e">
        <f>IF(ET134=0,0,IF(AND(EP135&gt;charge_ELS_quasi,EQ135&gt;Charge_ELS_freq,ER135&gt;charge_ELU,ES135&gt;charge_ELA,$B135&gt;NDC!$H$22-0.1+MIN(3*$ET$12,1.5)),0,1))</f>
        <v>#N/A</v>
      </c>
      <c r="EU135" s="86" t="b">
        <f t="shared" si="163"/>
        <v>0</v>
      </c>
      <c r="EV135" s="86">
        <f t="shared" si="164"/>
        <v>0.61</v>
      </c>
      <c r="EW135" s="86">
        <f t="shared" si="165"/>
        <v>0.61</v>
      </c>
      <c r="EX135" s="30" t="e">
        <f t="shared" ca="1" si="196"/>
        <v>#DIV/0!</v>
      </c>
      <c r="EY135" s="85" t="e">
        <f ca="1">IF(EE135&lt;=Hypothèses!$V$7,Hypothèses!$W$7,IF(EE135&lt;=Hypothèses!$V$8,Hypothèses!$W$8,IF(EE135&lt;=Hypothèses!$V$9,Hypothèses!$W$9,IF(EE135&lt;=Hypothèses!$V$10,Hypothèses!$W$10,IF(EE135&lt;=Hypothèses!$V$11,Hypothèses!$W$11,IF(EE135&lt;=Hypothèses!$V$12,Hypothèses!$W$12,IF(EE135&lt;=Hypothèses!$V$13,Hypothèses!$W$13,IF(EE135&lt;=Hypothèses!$V$14,Hypothèses!$W$14,IF(EE135&lt;=Hypothèses!$V$15,Hypothèses!$W$15,IF(EE135&lt;=Hypothèses!$V$16,Hypothèses!$W$16,IF(EE135&lt;=Hypothèses!$V$17,Hypothèses!$W$17,IF(EE135&lt;=Hypothèses!$V$18,Hypothèses!$W$18,""))))))))))))</f>
        <v>#DIV/0!</v>
      </c>
      <c r="EZ135" s="87" t="e">
        <f t="shared" ca="1" si="223"/>
        <v>#DIV/0!</v>
      </c>
      <c r="FA135" s="88" t="e">
        <f ca="1">IF(EE135&lt;=Hypothèses!$V$7,Hypothèses!$X$7,IF(EE135&lt;=Hypothèses!$V$8,Hypothèses!$X$8,IF(EE135&lt;=Hypothèses!$V$9,Hypothèses!$X$9,IF(EE135&lt;=Hypothèses!$V$10,Hypothèses!$X$10,IF(EE135&lt;=Hypothèses!$V$11,Hypothèses!$X$11,IF(EE135&lt;=Hypothèses!$V$12,Hypothèses!$X$12,IF(EE135&lt;=Hypothèses!$V$13,Hypothèses!$X$13,IF(EE135&lt;=Hypothèses!$V$14,Hypothèses!$X$14,IF(EE135&lt;=Hypothèses!$V$15,Hypothèses!$X$15,IF(EE135&lt;=Hypothèses!$V$16,Hypothèses!$X$16,IF(EE135&lt;=Hypothèses!$U$17,Hypothèses!$W$17,IF(EE135&lt;=Hypothèses!$U$18,Hypothèses!$W$18,""))))))))))))</f>
        <v>#DIV/0!</v>
      </c>
      <c r="FB135" s="95" t="e">
        <f t="shared" ca="1" si="197"/>
        <v>#DIV/0!</v>
      </c>
      <c r="FC135" s="101" t="e">
        <f t="shared" si="230"/>
        <v>#N/A</v>
      </c>
      <c r="FD135" s="91" t="e">
        <f t="shared" si="166"/>
        <v>#N/A</v>
      </c>
      <c r="FE135" s="30" t="e">
        <f t="shared" si="214"/>
        <v>#N/A</v>
      </c>
      <c r="FF135" s="30" t="e">
        <f t="shared" si="215"/>
        <v>#N/A</v>
      </c>
      <c r="FG135" s="31" t="e">
        <f>IF(OR(Hypothèses!$B$4=17,Hypothèses!$B$4=18,Hypothèses!$B$4=19,Hypothèses!$B$4=20),
IF($D135="Pressio.",
IF(OR($E135=3,$E135=1,$E135=4),FF135,FE135),
IF($D135="Pénétro.",
IF(OR($E135=3,$E135=1,$E135=4),FF135,FE135))),IF($D135="Pressio.",
IF($E135=3,FF135,FE135),
IF($D135="Pénétro.",
IF($E135=4,FF135,FE135))))</f>
        <v>#N/A</v>
      </c>
      <c r="FH135" s="31" t="e">
        <f>(IF(OR(Hypothèses!$B$4=17,Hypothèses!$B$4=18,Hypothèses!$B$4=19,Hypothèses!$B$4=20),
IF($D135="Pressio.",
IF(OR($E135=3,$E135=1,$E135=4),(PI()*FH$12^2)/4*(FD135*$W135*1000)/($H135*$B$5),(PI()*FH$12^2)/4*(FD135*$W135*1000)/($G135*$B$5)),
IF($D135="Pénétro.",
IF(OR($E135=4,$E135=1,$E135=5),(PI()*FH$12^2)/4*(FD135*$W135*1000)/($H135*$B$5),(PI()*FH$12^2)/4*(FD135*$W135*1000)/($G135*$B$5)))),
IF($D135="Pressio.",
IF($E135=3,(PI()*FH$12^2)/4*(FD135*$W135*1000)/($H135*$B$5),(PI()*FH$12^2)/4*(FD135*$W135*1000)/($G135*$B$5)),
IF($D135="Pénétro.",
IF($E135=4,(PI()*FH$12^2)/4*(FD135*$W135*1000)/($H135*$B$5),(PI()*FH$12^2)/4*(FD135*$W135*1000)/($G135*$B$5))))))/10</f>
        <v>#N/A</v>
      </c>
      <c r="FI135" s="102" t="e">
        <f>(VLOOKUP($B$3,'Coeff EC7'!$T$39:$X$59,2,0)*FG135+VLOOKUP($B$3,'Coeff EC7'!$T$65:$X$85,2,0)*Model0.1C!FH135)/1.1</f>
        <v>#N/A</v>
      </c>
      <c r="FJ135" s="102" t="e">
        <f>(VLOOKUP($B$3,'Coeff EC7'!$T$39:$X$59,3,0)*FG135+VLOOKUP($B$3,'Coeff EC7'!$T$65:$X$85,3,0)*Model0.1C!FH135)/0.9</f>
        <v>#N/A</v>
      </c>
      <c r="FK135" s="102" t="e">
        <f t="shared" si="198"/>
        <v>#N/A</v>
      </c>
      <c r="FL135" s="102" t="e">
        <f t="shared" si="199"/>
        <v>#N/A</v>
      </c>
      <c r="FM135" s="414" t="e">
        <f>IF(FM134=0,0,IF(AND(FI135&gt;charge_ELS_quasi,FJ135&gt;Charge_ELS_freq,FK135&gt;charge_ELU,FL135&gt;charge_ELA,$B135&gt;NDC!$H$22-0.1+MIN(3*$FM$12,1.5)),0,1))</f>
        <v>#N/A</v>
      </c>
    </row>
    <row r="136" spans="1:169">
      <c r="A136" s="96">
        <f t="shared" si="167"/>
        <v>87.700000000000699</v>
      </c>
      <c r="B136" s="97">
        <v>12.3</v>
      </c>
      <c r="C136" s="81">
        <f>IF(B136&lt;=Hypothèses!$C$7,Hypothèses!$A$7,IF(B136&lt;=Hypothèses!$C$8,Hypothèses!$A$8,IF(B136&lt;=Hypothèses!$C$9,Hypothèses!$A$9,IF(B136&lt;=Hypothèses!$C$10,Hypothèses!$A$10,IF(B136&lt;=Hypothèses!$C$11,Hypothèses!$A$11,IF(B136&lt;=Hypothèses!$C$12,Hypothèses!$A$12,IF(B136&lt;=Hypothèses!$C$13,Hypothèses!$A$13,IF(B136&lt;=Hypothèses!$C$14,Hypothèses!$A$14,IF(B136&lt;=Hypothèses!$C$15,Hypothèses!$A$15,IF(B136&lt;=Hypothèses!$C$16,Hypothèses!$A$16,IF(B136&lt;=Hypothèses!$C$17,Hypothèses!$A$17,IF(B136&lt;=Hypothèses!$C$18,Hypothèses!$A$18,C135))))))))))))</f>
        <v>11</v>
      </c>
      <c r="D136" s="82" t="str">
        <f>IF(B136&lt;=Hypothèses!$C$7,Hypothèses!$R$7,IF(B136&lt;=Hypothèses!$C$8,Hypothèses!$R$8,IF(B136&lt;=Hypothèses!$C$9,Hypothèses!$R$9,IF(B136&lt;=Hypothèses!$C$10,Hypothèses!$R$10,IF(B136&lt;=Hypothèses!$C$11,Hypothèses!$R$11,IF(B136&lt;=Hypothèses!$C$12,Hypothèses!$R$12,IF(B136&lt;=Hypothèses!$C$13,Hypothèses!$R$13,IF(B136&lt;=Hypothèses!$C$14,Hypothèses!$R$14,IF(B136&lt;=Hypothèses!$C$15,Hypothèses!$R$15,IF(B136&lt;=Hypothèses!$C$16,Hypothèses!$R$16,IF(B136&lt;=Hypothèses!$C$17,Hypothèses!$R$17,IF(B136&lt;=Hypothèses!$C$18,Hypothèses!$R$18,D135))))))))))))</f>
        <v>Pressio.</v>
      </c>
      <c r="E136" s="82" t="e">
        <f>IF(B136&lt;=Hypothèses!$C$7,Hypothèses!$G$7,IF(B136&lt;=Hypothèses!$C$8,Hypothèses!$G$8,IF(B136&lt;=Hypothèses!$C$9,Hypothèses!$G$9,IF(B136&lt;=Hypothèses!$C$10,Hypothèses!$G$10,IF(B136&lt;=Hypothèses!$C$11,Hypothèses!$G$11,IF(B136&lt;=Hypothèses!$C$12,Hypothèses!$G$12,IF(B136&lt;=Hypothèses!$C$13,Hypothèses!$G$13,IF(B136&lt;=Hypothèses!$C$14,Hypothèses!$G$14,IF(B136&lt;=Hypothèses!$C$15,Hypothèses!$G$15,IF(B136&lt;=Hypothèses!$C$16,Hypothèses!$G$16,IF(B136&lt;=Hypothèses!$C$17,Hypothèses!$G$17,IF(B136&lt;=Hypothèses!$C$18,Hypothèses!$G$18,E135))))))))))))</f>
        <v>#N/A</v>
      </c>
      <c r="F136" s="82" t="str">
        <f>IF(B136&lt;=Hypothèses!$C$7,Hypothèses!$F$7,IF(B136&lt;=Hypothèses!$C$8,Hypothèses!$F$8,IF(B136&lt;=Hypothèses!$C$9,Hypothèses!$F$9,IF(B136&lt;=Hypothèses!$C$10,Hypothèses!$F$10,IF(B136&lt;=Hypothèses!$C$11,Hypothèses!$F$11,IF(B136&lt;=Hypothèses!$C$12,Hypothèses!$F$12,IF(B136&lt;=Hypothèses!$C$13,Hypothèses!$F$13,IF(B136&lt;=Hypothèses!$C$14,Hypothèses!$F$14,IF(B136&lt;=Hypothèses!$C$15,Hypothèses!$F$15,IF(B136&lt;=Hypothèses!$C$16,Hypothèses!$F$16,IF(B136&lt;=Hypothèses!$C$17,Hypothèses!$F$17,IF(B136&lt;=Hypothèses!$C$18,Hypothèses!$F$18,F135))))))))))))</f>
        <v/>
      </c>
      <c r="G136" s="91">
        <f t="array" ref="G136">INDEX('Coeff EC7'!$U$7:$X$27,
MATCH(Model0.1C!$B$3,'Coeff EC7'!$T$7:$T$27,0),
MATCH(Model0.1C!$D136&amp;Model0.1C!$B$4,
'Coeff EC7'!$U$6:$X$6&amp;
'Coeff EC7'!$U$5:$X$5,0))</f>
        <v>1.1499999999999999</v>
      </c>
      <c r="H136" s="91">
        <f t="array" ref="H136">INDEX('Coeff EC7'!$Y$7:$AB$27,
MATCH(Model0.1C!$B$3,'Coeff EC7'!$T$7:$T$27,0),
MATCH(Model0.1C!$D136&amp;Model0.1C!$B$4,
'Coeff EC7'!$Y$6:$AB$6&amp;
'Coeff EC7'!$Y$5:$AB$5,0))</f>
        <v>1.4</v>
      </c>
      <c r="I136" s="83" t="e">
        <f>IF(B136&lt;=Hypothèses!$C$7,Hypothèses!$P$7,IF(B136&lt;=Hypothèses!$C$8,Hypothèses!$P$8,IF(B136&lt;=Hypothèses!$C$9,Hypothèses!$P$9,IF(B136&lt;=Hypothèses!$C$10,Hypothèses!$P$10,IF(B136&lt;=Hypothèses!$C$11,Hypothèses!$P$11,IF(B136&lt;=Hypothèses!$C$12,Hypothèses!$P$12,IF(B136&lt;=Hypothèses!$C$13,Hypothèses!$P$13,IF(B136&lt;=Hypothèses!$C$14,Hypothèses!$P$14,IF(B136&lt;=Hypothèses!$C$15,Hypothèses!$P$15,IF(B136&lt;=Hypothèses!$C$16,Hypothèses!$P$16,IF(B136&lt;=Hypothèses!$C$17,Hypothèses!$P$17,IF(B136&lt;=Hypothèses!$C$18,Hypothèses!$P$18,I135))))))))))))</f>
        <v>#N/A</v>
      </c>
      <c r="J136" s="91" t="e">
        <f t="array" ref="J136">INDEX('Coeff EC7'!$D$33:$Q$33,1,MATCH(D136&amp;E136,'Coeff EC7'!$D$31:$Q$31&amp;'Coeff EC7'!$D$32:$Q$32,0))</f>
        <v>#N/A</v>
      </c>
      <c r="K136" s="91" t="e">
        <f t="array" ref="K136">INDEX('Coeff EC7'!$D$34:$Q$34,1,MATCH(D136&amp;E136,'Coeff EC7'!$D$31:$Q$31&amp;'Coeff EC7'!$D$32:$Q$32,0))</f>
        <v>#N/A</v>
      </c>
      <c r="L136" s="91" t="e">
        <f t="array" ref="L136">INDEX('Coeff EC7'!$D$35:$Q$35,1,MATCH(D136&amp;E136,'Coeff EC7'!$D$31:$Q$31&amp;'Coeff EC7'!$D$32:$Q$32,0))</f>
        <v>#N/A</v>
      </c>
      <c r="M136" s="98" t="e">
        <f t="shared" si="131"/>
        <v>#N/A</v>
      </c>
      <c r="N136" s="99" t="e">
        <f t="array" ref="N136">INDEX('Coeff EC7'!$D$7:$Q$27,MATCH($B$3,'Coeff EC7'!$C$7:$C$27,0),MATCH(D136&amp;E136,'Coeff EC7'!$D$5:$Q$5&amp;'Coeff EC7'!$D$6:$Q$6,0))</f>
        <v>#N/A</v>
      </c>
      <c r="O136" s="99" t="e">
        <f t="array" ref="O136">INDEX('Coeff EC7'!$D$41:$Q$61,MATCH($B$3,'Coeff EC7'!$C$41:$C$61,0),MATCH(D136&amp;E136,'Coeff EC7'!$D$39:$Q$39&amp;'Coeff EC7'!$D$40:$Q$40,0))</f>
        <v>#N/A</v>
      </c>
      <c r="P136" s="30" t="e">
        <f t="shared" si="168"/>
        <v>#N/A</v>
      </c>
      <c r="Q136" s="100" t="e">
        <f t="shared" si="133"/>
        <v>#N/A</v>
      </c>
      <c r="R136" s="86" t="b">
        <f t="shared" si="134"/>
        <v>0</v>
      </c>
      <c r="S136" s="86">
        <f t="shared" si="132"/>
        <v>0.5</v>
      </c>
      <c r="T136" s="86">
        <f t="shared" si="135"/>
        <v>0.5</v>
      </c>
      <c r="U136" s="30" t="e">
        <f t="shared" ca="1" si="169"/>
        <v>#DIV/0!</v>
      </c>
      <c r="V136" s="85" t="str">
        <f>IF(B136&lt;=Hypothèses!$V$7,Hypothèses!$W$7,IF(B136&lt;=Hypothèses!$V$8,Hypothèses!$W$8,IF(B136&lt;=Hypothèses!$V$9,Hypothèses!$W$9,IF(B136&lt;=Hypothèses!$V$10,Hypothèses!$W$10,IF(B136&lt;=Hypothèses!$V$11,Hypothèses!$W$11,IF(B136&lt;=Hypothèses!$V$12,Hypothèses!$W$12,IF(B136&lt;=Hypothèses!$V$13,Hypothèses!$W$13,IF(B136&lt;=Hypothèses!$V$14,Hypothèses!$W$14,IF(B136&lt;=Hypothèses!$V$15,Hypothèses!$W$15,IF(B136&lt;=Hypothèses!$V$16,Hypothèses!$W$16,IF(B136&lt;=Hypothèses!$V$17,Hypothèses!$W$17,IF(B136&lt;=Hypothèses!$V$18,Hypothèses!$W$18,""))))))))))))</f>
        <v/>
      </c>
      <c r="W136" s="87" t="e">
        <f t="shared" ca="1" si="216"/>
        <v>#DIV/0!</v>
      </c>
      <c r="X136" s="88" t="str">
        <f>IF(B136&lt;=Hypothèses!$V$7,Hypothèses!$X$7,IF(B136&lt;=Hypothèses!$V$8,Hypothèses!$X$8,IF(B136&lt;=Hypothèses!$V$9,Hypothèses!$X$9,IF(B136&lt;=Hypothèses!$V$10,Hypothèses!$X$10,IF(B136&lt;=Hypothèses!$V$11,Hypothèses!$X$11,IF(B136&lt;=Hypothèses!$V$12,Hypothèses!$X$12,IF(B136&lt;=Hypothèses!$V$13,Hypothèses!$X$13,IF(B136&lt;=Hypothèses!$V$14,Hypothèses!$X$14,IF(B136&lt;=Hypothèses!$V$15,Hypothèses!$X$15,IF(B136&lt;=Hypothèses!$V$16,Hypothèses!$X$16,IF(B136&lt;=Hypothèses!$U$17,Hypothèses!$W$17,IF(B136&lt;=Hypothèses!$U$18,Hypothèses!$W$18,""))))))))))))</f>
        <v/>
      </c>
      <c r="Y136" s="95" t="e">
        <f t="shared" ca="1" si="136"/>
        <v>#DIV/0!</v>
      </c>
      <c r="Z136" s="101" t="e">
        <f t="shared" si="137"/>
        <v>#N/A</v>
      </c>
      <c r="AA136" s="91" t="e">
        <f t="shared" si="138"/>
        <v>#N/A</v>
      </c>
      <c r="AB136" s="30" t="e">
        <f t="shared" si="200"/>
        <v>#N/A</v>
      </c>
      <c r="AC136" s="30" t="e">
        <f t="shared" si="201"/>
        <v>#N/A</v>
      </c>
      <c r="AD136" s="31" t="e">
        <f>IF(OR(Hypothèses!$B$4=17,Hypothèses!$B$4=18,Hypothèses!$B$4=19,Hypothèses!$B$4=20),
IF($D136="Pressio.",
IF(OR($E136=3,$E136=1,$E136=4),AC136,AB136),
IF($D136="Pénétro.",
IF(OR($E136=3,$E136=1,$E136=4),AC136,AB136))),IF($D136="Pressio.",
IF($E136=3,AC136,AB136),
IF($D136="Pénétro.",
IF($E136=4,AC136,AB136))))</f>
        <v>#N/A</v>
      </c>
      <c r="AE136" s="31" t="e">
        <f>(IF(OR(Hypothèses!$B$4=17,Hypothèses!$B$4=18,Hypothèses!$B$4=19,Hypothèses!$B$4=20),
IF($D136="Pressio.",
IF(OR($E136=3,$E136=1,$E136=4),(PI()*AE$12^2)/4*(AA136*$W136*1000)/($H136*$B$5),(PI()*AE$12^2)/4*(AA136*$W136*1000)/($G136*$B$5)),
IF($D136="Pénétro.",
IF(OR($E136=4,$E136=1,$E136=5),(PI()*AE$12^2)/4*(AA136*$W136*1000)/($H136*$B$5),(PI()*AE$12^2)/4*(AA136*$W136*1000)/($G136*$B$5)))),
IF($D136="Pressio.",
IF($E136=3,(PI()*AE$12^2)/4*(AA136*$W136*1000)/($H136*$B$5),(PI()*AE$12^2)/4*(AA136*$W136*1000)/($G136*$B$5)),
IF($D136="Pénétro.",
IF($E136=4,(PI()*AE$12^2)/4*(AA136*$W136*1000)/($H136*$B$5),(PI()*AE$12^2)/4*(AA136*$W136*1000)/($G136*$B$5))))))/10</f>
        <v>#N/A</v>
      </c>
      <c r="AF136" s="102" t="e">
        <f>(VLOOKUP($B$3,'Coeff EC7'!$T$39:$X$59,2,0)*AD136+VLOOKUP($B$3,'Coeff EC7'!$T$65:$X$85,2,0)*Model0.1C!AE136)/1.1</f>
        <v>#N/A</v>
      </c>
      <c r="AG136" s="102" t="e">
        <f>(VLOOKUP($B$3,'Coeff EC7'!$T$39:$X$59,3,0)*AD136+VLOOKUP($B$3,'Coeff EC7'!$T$65:$X$85,3,0)*Model0.1C!AE136)/0.9</f>
        <v>#N/A</v>
      </c>
      <c r="AH136" s="102" t="e">
        <f t="shared" si="139"/>
        <v>#N/A</v>
      </c>
      <c r="AI136" s="102" t="e">
        <f t="shared" si="140"/>
        <v>#N/A</v>
      </c>
      <c r="AJ136" s="414" t="e">
        <f>IF(AJ135=0,0,IF(AND(AF136&gt;charge_ELS_quasi,AG136&gt;Charge_ELS_freq,AH136&gt;charge_ELU,AI136&gt;charge_ELA,$B136&gt;NDC!$H$22-0.1+MIN(3*$AJ$12,1.5)),0,1))</f>
        <v>#N/A</v>
      </c>
      <c r="AK136" s="86" t="b">
        <f t="shared" si="141"/>
        <v>0</v>
      </c>
      <c r="AL136" s="86">
        <f t="shared" si="170"/>
        <v>0.5</v>
      </c>
      <c r="AM136" s="86">
        <f t="shared" si="142"/>
        <v>0.5</v>
      </c>
      <c r="AN136" s="30" t="e">
        <f t="shared" ca="1" si="171"/>
        <v>#DIV/0!</v>
      </c>
      <c r="AO136" s="85" t="e">
        <f ca="1">IF(U136&lt;=Hypothèses!$V$7,Hypothèses!$W$7,IF(U136&lt;=Hypothèses!$V$8,Hypothèses!$W$8,IF(U136&lt;=Hypothèses!$V$9,Hypothèses!$W$9,IF(U136&lt;=Hypothèses!$V$10,Hypothèses!$W$10,IF(U136&lt;=Hypothèses!$V$11,Hypothèses!$W$11,IF(U136&lt;=Hypothèses!$V$12,Hypothèses!$W$12,IF(U136&lt;=Hypothèses!$V$13,Hypothèses!$W$13,IF(U136&lt;=Hypothèses!$V$14,Hypothèses!$W$14,IF(U136&lt;=Hypothèses!$V$15,Hypothèses!$W$15,IF(U136&lt;=Hypothèses!$V$16,Hypothèses!$W$16,IF(U136&lt;=Hypothèses!$V$17,Hypothèses!$W$17,IF(U136&lt;=Hypothèses!$V$18,Hypothèses!$W$18,""))))))))))))</f>
        <v>#DIV/0!</v>
      </c>
      <c r="AP136" s="87" t="e">
        <f t="shared" ca="1" si="217"/>
        <v>#DIV/0!</v>
      </c>
      <c r="AQ136" s="88" t="e">
        <f ca="1">IF(U136&lt;=Hypothèses!$V$7,Hypothèses!$X$7,IF(U136&lt;=Hypothèses!$V$8,Hypothèses!$X$8,IF(U136&lt;=Hypothèses!$V$9,Hypothèses!$X$9,IF(U136&lt;=Hypothèses!$V$10,Hypothèses!$X$10,IF(U136&lt;=Hypothèses!$V$11,Hypothèses!$X$11,IF(U136&lt;=Hypothèses!$V$12,Hypothèses!$X$12,IF(U136&lt;=Hypothèses!$V$13,Hypothèses!$X$13,IF(U136&lt;=Hypothèses!$V$14,Hypothèses!$X$14,IF(U136&lt;=Hypothèses!$V$15,Hypothèses!$X$15,IF(U136&lt;=Hypothèses!$V$16,Hypothèses!$X$16,IF(U136&lt;=Hypothèses!$U$17,Hypothèses!$W$17,IF(U136&lt;=Hypothèses!$U$18,Hypothèses!$W$18,""))))))))))))</f>
        <v>#DIV/0!</v>
      </c>
      <c r="AR136" s="95" t="e">
        <f t="shared" ca="1" si="172"/>
        <v>#DIV/0!</v>
      </c>
      <c r="AS136" s="101" t="e">
        <f t="shared" si="224"/>
        <v>#N/A</v>
      </c>
      <c r="AT136" s="91" t="e">
        <f t="shared" si="143"/>
        <v>#N/A</v>
      </c>
      <c r="AU136" s="30" t="e">
        <f t="shared" si="202"/>
        <v>#N/A</v>
      </c>
      <c r="AV136" s="30" t="e">
        <f t="shared" si="203"/>
        <v>#N/A</v>
      </c>
      <c r="AW136" s="31" t="e">
        <f>IF(OR(Hypothèses!$B$4=17,Hypothèses!$B$4=18,Hypothèses!$B$4=19,Hypothèses!$B$4=20),
IF($D136="Pressio.",
IF(OR($E136=3,$E136=1,$E136=4),AV136,AU136),
IF($D136="Pénétro.",
IF(OR($E136=3,$E136=1,$E136=4),AV136,AU136))),IF($D136="Pressio.",
IF($E136=3,AV136,AU136),
IF($D136="Pénétro.",
IF($E136=4,AV136,AU136))))</f>
        <v>#N/A</v>
      </c>
      <c r="AX136" s="31" t="e">
        <f>(IF(OR(Hypothèses!$B$4=17,Hypothèses!$B$4=18,Hypothèses!$B$4=19,Hypothèses!$B$4=20),
IF($D136="Pressio.",
IF(OR($E136=3,$E136=1,$E136=4),(PI()*AX$12^2)/4*(AT136*$W136*1000)/($H136*$B$5),(PI()*AX$12^2)/4*(AT136*$W136*1000)/($G136*$B$5)),
IF($D136="Pénétro.",
IF(OR($E136=4,$E136=1,$E136=5),(PI()*AX$12^2)/4*(AT136*$W136*1000)/($H136*$B$5),(PI()*AX$12^2)/4*(AT136*$W136*1000)/($G136*$B$5)))),
IF($D136="Pressio.",
IF($E136=3,(PI()*AX$12^2)/4*(AT136*$W136*1000)/($H136*$B$5),(PI()*AX$12^2)/4*(AT136*$W136*1000)/($G136*$B$5)),
IF($D136="Pénétro.",
IF($E136=4,(PI()*AX$12^2)/4*(AT136*$W136*1000)/($H136*$B$5),(PI()*AX$12^2)/4*(AT136*$W136*1000)/($G136*$B$5))))))/10</f>
        <v>#N/A</v>
      </c>
      <c r="AY136" s="102" t="e">
        <f>(VLOOKUP($B$3,'Coeff EC7'!$T$39:$X$59,2,0)*AW136+VLOOKUP($B$3,'Coeff EC7'!$T$65:$X$85,2,0)*Model0.1C!AX136)/1.1</f>
        <v>#N/A</v>
      </c>
      <c r="AZ136" s="102" t="e">
        <f>(VLOOKUP($B$3,'Coeff EC7'!$T$39:$X$59,3,0)*AW136+VLOOKUP($B$3,'Coeff EC7'!$T$65:$X$85,3,0)*Model0.1C!AX136)/0.9</f>
        <v>#N/A</v>
      </c>
      <c r="BA136" s="102" t="e">
        <f t="shared" si="173"/>
        <v>#N/A</v>
      </c>
      <c r="BB136" s="102" t="e">
        <f t="shared" si="174"/>
        <v>#N/A</v>
      </c>
      <c r="BC136" s="414" t="e">
        <f>IF(BC135=0,0,IF(AND(AY136&gt;charge_ELS_quasi,AZ136&gt;Charge_ELS_freq,BA136&gt;charge_ELU,BB136&gt;charge_ELA,$B136&gt;NDC!$H$22-0.1+MIN(3*$BC$12,1.5)),0,1))</f>
        <v>#N/A</v>
      </c>
      <c r="BD136" s="86" t="b">
        <f t="shared" si="144"/>
        <v>0</v>
      </c>
      <c r="BE136" s="86">
        <f t="shared" si="175"/>
        <v>0.5</v>
      </c>
      <c r="BF136" s="86">
        <f t="shared" si="145"/>
        <v>0.5</v>
      </c>
      <c r="BG136" s="30" t="e">
        <f t="shared" ca="1" si="176"/>
        <v>#DIV/0!</v>
      </c>
      <c r="BH136" s="85" t="e">
        <f ca="1">IF(AN136&lt;=Hypothèses!$V$7,Hypothèses!$W$7,IF(AN136&lt;=Hypothèses!$V$8,Hypothèses!$W$8,IF(AN136&lt;=Hypothèses!$V$9,Hypothèses!$W$9,IF(AN136&lt;=Hypothèses!$V$10,Hypothèses!$W$10,IF(AN136&lt;=Hypothèses!$V$11,Hypothèses!$W$11,IF(AN136&lt;=Hypothèses!$V$12,Hypothèses!$W$12,IF(AN136&lt;=Hypothèses!$V$13,Hypothèses!$W$13,IF(AN136&lt;=Hypothèses!$V$14,Hypothèses!$W$14,IF(AN136&lt;=Hypothèses!$V$15,Hypothèses!$W$15,IF(AN136&lt;=Hypothèses!$V$16,Hypothèses!$W$16,IF(AN136&lt;=Hypothèses!$V$17,Hypothèses!$W$17,IF(AN136&lt;=Hypothèses!$V$18,Hypothèses!$W$18,""))))))))))))</f>
        <v>#DIV/0!</v>
      </c>
      <c r="BI136" s="87" t="e">
        <f t="shared" ca="1" si="218"/>
        <v>#DIV/0!</v>
      </c>
      <c r="BJ136" s="88" t="e">
        <f ca="1">IF(AN136&lt;=Hypothèses!$V$7,Hypothèses!$X$7,IF(AN136&lt;=Hypothèses!$V$8,Hypothèses!$X$8,IF(AN136&lt;=Hypothèses!$V$9,Hypothèses!$X$9,IF(AN136&lt;=Hypothèses!$V$10,Hypothèses!$X$10,IF(AN136&lt;=Hypothèses!$V$11,Hypothèses!$X$11,IF(AN136&lt;=Hypothèses!$V$12,Hypothèses!$X$12,IF(AN136&lt;=Hypothèses!$V$13,Hypothèses!$X$13,IF(AN136&lt;=Hypothèses!$V$14,Hypothèses!$X$14,IF(AN136&lt;=Hypothèses!$V$15,Hypothèses!$X$15,IF(AN136&lt;=Hypothèses!$V$16,Hypothèses!$X$16,IF(AN136&lt;=Hypothèses!$U$17,Hypothèses!$W$17,IF(AN136&lt;=Hypothèses!$U$18,Hypothèses!$W$18,""))))))))))))</f>
        <v>#DIV/0!</v>
      </c>
      <c r="BK136" s="95" t="e">
        <f t="shared" ca="1" si="177"/>
        <v>#DIV/0!</v>
      </c>
      <c r="BL136" s="101" t="e">
        <f t="shared" si="225"/>
        <v>#N/A</v>
      </c>
      <c r="BM136" s="91" t="e">
        <f t="shared" si="146"/>
        <v>#N/A</v>
      </c>
      <c r="BN136" s="30" t="e">
        <f t="shared" si="204"/>
        <v>#N/A</v>
      </c>
      <c r="BO136" s="30" t="e">
        <f t="shared" si="205"/>
        <v>#N/A</v>
      </c>
      <c r="BP136" s="31" t="e">
        <f>IF(OR(Hypothèses!$B$4=17,Hypothèses!$B$4=18,Hypothèses!$B$4=19,Hypothèses!$B$4=20),
IF($D136="Pressio.",
IF(OR($E136=3,$E136=1,$E136=4),BO136,BN136),
IF($D136="Pénétro.",
IF(OR($E136=3,$E136=1,$E136=4),BO136,BN136))),IF($D136="Pressio.",
IF($E136=3,BO136,BN136),
IF($D136="Pénétro.",
IF($E136=4,BO136,BN136))))</f>
        <v>#N/A</v>
      </c>
      <c r="BQ136" s="31" t="e">
        <f>(IF(OR(Hypothèses!$B$4=17,Hypothèses!$B$4=18,Hypothèses!$B$4=19,Hypothèses!$B$4=20),
IF($D136="Pressio.",
IF(OR($E136=3,$E136=1,$E136=4),(PI()*BQ$12^2)/4*(BM136*$W136*1000)/($H136*$B$5),(PI()*BQ$12^2)/4*(BM136*$W136*1000)/($G136*$B$5)),
IF($D136="Pénétro.",
IF(OR($E136=4,$E136=1,$E136=5),(PI()*BQ$12^2)/4*(BM136*$W136*1000)/($H136*$B$5),(PI()*BQ$12^2)/4*(BM136*$W136*1000)/($G136*$B$5)))),
IF($D136="Pressio.",
IF($E136=3,(PI()*BQ$12^2)/4*(BM136*$W136*1000)/($H136*$B$5),(PI()*BQ$12^2)/4*(BM136*$W136*1000)/($G136*$B$5)),
IF($D136="Pénétro.",
IF($E136=4,(PI()*BQ$12^2)/4*(BM136*$W136*1000)/($H136*$B$5),(PI()*BQ$12^2)/4*(BM136*$W136*1000)/($G136*$B$5))))))/10</f>
        <v>#N/A</v>
      </c>
      <c r="BR136" s="102" t="e">
        <f>(VLOOKUP($B$3,'Coeff EC7'!$T$39:$X$59,2,0)*BP136+VLOOKUP($B$3,'Coeff EC7'!$T$65:$X$85,2,0)*Model0.1C!BQ136)/1.1</f>
        <v>#N/A</v>
      </c>
      <c r="BS136" s="102" t="e">
        <f>(VLOOKUP($B$3,'Coeff EC7'!$T$39:$X$59,3,0)*BP136+VLOOKUP($B$3,'Coeff EC7'!$T$65:$X$85,3,0)*Model0.1C!BQ136)/0.9</f>
        <v>#N/A</v>
      </c>
      <c r="BT136" s="102" t="e">
        <f t="shared" si="178"/>
        <v>#N/A</v>
      </c>
      <c r="BU136" s="102" t="e">
        <f t="shared" si="179"/>
        <v>#N/A</v>
      </c>
      <c r="BV136" s="414" t="e">
        <f>IF(BV135=0,0,IF(AND(BR136&gt;charge_ELS_quasi,BS136&gt;Charge_ELS_freq,BT136&gt;charge_ELU,BU136&gt;charge_ELA,$B136&gt;NDC!$H$22-0.1+MIN(3*$BV$12,1.5)),0,1))</f>
        <v>#N/A</v>
      </c>
      <c r="BW136" s="86" t="b">
        <f t="shared" si="147"/>
        <v>0</v>
      </c>
      <c r="BX136" s="86">
        <f t="shared" si="148"/>
        <v>0.5</v>
      </c>
      <c r="BY136" s="86">
        <f t="shared" si="149"/>
        <v>0.5</v>
      </c>
      <c r="BZ136" s="30" t="e">
        <f t="shared" ca="1" si="180"/>
        <v>#DIV/0!</v>
      </c>
      <c r="CA136" s="85" t="e">
        <f ca="1">IF(BG136&lt;=Hypothèses!$V$7,Hypothèses!$W$7,IF(BG136&lt;=Hypothèses!$V$8,Hypothèses!$W$8,IF(BG136&lt;=Hypothèses!$V$9,Hypothèses!$W$9,IF(BG136&lt;=Hypothèses!$V$10,Hypothèses!$W$10,IF(BG136&lt;=Hypothèses!$V$11,Hypothèses!$W$11,IF(BG136&lt;=Hypothèses!$V$12,Hypothèses!$W$12,IF(BG136&lt;=Hypothèses!$V$13,Hypothèses!$W$13,IF(BG136&lt;=Hypothèses!$V$14,Hypothèses!$W$14,IF(BG136&lt;=Hypothèses!$V$15,Hypothèses!$W$15,IF(BG136&lt;=Hypothèses!$V$16,Hypothèses!$W$16,IF(BG136&lt;=Hypothèses!$V$17,Hypothèses!$W$17,IF(BG136&lt;=Hypothèses!$V$18,Hypothèses!$W$18,""))))))))))))</f>
        <v>#DIV/0!</v>
      </c>
      <c r="CB136" s="87" t="e">
        <f t="shared" ca="1" si="219"/>
        <v>#DIV/0!</v>
      </c>
      <c r="CC136" s="88" t="e">
        <f ca="1">IF(BG136&lt;=Hypothèses!$V$7,Hypothèses!$X$7,IF(BG136&lt;=Hypothèses!$V$8,Hypothèses!$X$8,IF(BG136&lt;=Hypothèses!$V$9,Hypothèses!$X$9,IF(BG136&lt;=Hypothèses!$V$10,Hypothèses!$X$10,IF(BG136&lt;=Hypothèses!$V$11,Hypothèses!$X$11,IF(BG136&lt;=Hypothèses!$V$12,Hypothèses!$X$12,IF(BG136&lt;=Hypothèses!$V$13,Hypothèses!$X$13,IF(BG136&lt;=Hypothèses!$V$14,Hypothèses!$X$14,IF(BG136&lt;=Hypothèses!$V$15,Hypothèses!$X$15,IF(BG136&lt;=Hypothèses!$V$16,Hypothèses!$X$16,IF(BG136&lt;=Hypothèses!$U$17,Hypothèses!$W$17,IF(BG136&lt;=Hypothèses!$U$18,Hypothèses!$W$18,""))))))))))))</f>
        <v>#DIV/0!</v>
      </c>
      <c r="CD136" s="95" t="e">
        <f t="shared" ca="1" si="181"/>
        <v>#DIV/0!</v>
      </c>
      <c r="CE136" s="101" t="e">
        <f t="shared" si="226"/>
        <v>#N/A</v>
      </c>
      <c r="CF136" s="91" t="e">
        <f t="shared" si="150"/>
        <v>#N/A</v>
      </c>
      <c r="CG136" s="30" t="e">
        <f t="shared" si="206"/>
        <v>#N/A</v>
      </c>
      <c r="CH136" s="30" t="e">
        <f t="shared" si="207"/>
        <v>#N/A</v>
      </c>
      <c r="CI136" s="31" t="e">
        <f>IF(OR(Hypothèses!$B$4=17,Hypothèses!$B$4=18,Hypothèses!$B$4=19,Hypothèses!$B$4=20),
IF($D136="Pressio.",
IF(OR($E136=3,$E136=1,$E136=4),CH136,CG136),
IF($D136="Pénétro.",
IF(OR($E136=3,$E136=1,$E136=4),CH136,CG136))),IF($D136="Pressio.",
IF($E136=3,CH136,CG136),
IF($D136="Pénétro.",
IF($E136=4,CH136,CG136))))</f>
        <v>#N/A</v>
      </c>
      <c r="CJ136" s="31" t="e">
        <f>(IF(OR(Hypothèses!$B$4=17,Hypothèses!$B$4=18,Hypothèses!$B$4=19,Hypothèses!$B$4=20),
IF($D136="Pressio.",
IF(OR($E136=3,$E136=1,$E136=4),(PI()*CJ$12^2)/4*(CF136*$W136*1000)/($H136*$B$5),(PI()*CJ$12^2)/4*(CF136*$W136*1000)/($G136*$B$5)),
IF($D136="Pénétro.",
IF(OR($E136=4,$E136=1,$E136=5),(PI()*CJ$12^2)/4*(CF136*$W136*1000)/($H136*$B$5),(PI()*CJ$12^2)/4*(CF136*$W136*1000)/($G136*$B$5)))),
IF($D136="Pressio.",
IF($E136=3,(PI()*CJ$12^2)/4*(CF136*$W136*1000)/($H136*$B$5),(PI()*CJ$12^2)/4*(CF136*$W136*1000)/($G136*$B$5)),
IF($D136="Pénétro.",
IF($E136=4,(PI()*CJ$12^2)/4*(CF136*$W136*1000)/($H136*$B$5),(PI()*CJ$12^2)/4*(CF136*$W136*1000)/($G136*$B$5))))))/10</f>
        <v>#N/A</v>
      </c>
      <c r="CK136" s="102" t="e">
        <f>(VLOOKUP($B$3,'Coeff EC7'!$T$39:$X$59,2,0)*CI136+VLOOKUP($B$3,'Coeff EC7'!$T$65:$X$85,2,0)*Model0.1C!CJ136)/1.1</f>
        <v>#N/A</v>
      </c>
      <c r="CL136" s="102" t="e">
        <f>(VLOOKUP($B$3,'Coeff EC7'!$T$39:$X$59,3,0)*CI136+VLOOKUP($B$3,'Coeff EC7'!$T$65:$X$85,3,0)*Model0.1C!CJ136)/0.9</f>
        <v>#N/A</v>
      </c>
      <c r="CM136" s="102" t="e">
        <f t="shared" si="182"/>
        <v>#N/A</v>
      </c>
      <c r="CN136" s="102" t="e">
        <f t="shared" si="183"/>
        <v>#N/A</v>
      </c>
      <c r="CO136" s="414" t="e">
        <f>IF(CO135=0,0,IF(AND(CK136&gt;charge_ELS_quasi,CL136&gt;Charge_ELS_freq,CM136&gt;charge_ELU,CN136&gt;charge_ELA,$B136&gt;NDC!$H$22-0.1+MIN(3*$CO$12,1.5)),0,1))</f>
        <v>#N/A</v>
      </c>
      <c r="CP136" s="86" t="b">
        <f t="shared" si="151"/>
        <v>0</v>
      </c>
      <c r="CQ136" s="86">
        <f t="shared" si="152"/>
        <v>0.5</v>
      </c>
      <c r="CR136" s="86">
        <f t="shared" si="153"/>
        <v>0.5</v>
      </c>
      <c r="CS136" s="30" t="e">
        <f t="shared" ca="1" si="184"/>
        <v>#DIV/0!</v>
      </c>
      <c r="CT136" s="85" t="e">
        <f ca="1">IF(BZ136&lt;=Hypothèses!$V$7,Hypothèses!$W$7,IF(BZ136&lt;=Hypothèses!$V$8,Hypothèses!$W$8,IF(BZ136&lt;=Hypothèses!$V$9,Hypothèses!$W$9,IF(BZ136&lt;=Hypothèses!$V$10,Hypothèses!$W$10,IF(BZ136&lt;=Hypothèses!$V$11,Hypothèses!$W$11,IF(BZ136&lt;=Hypothèses!$V$12,Hypothèses!$W$12,IF(BZ136&lt;=Hypothèses!$V$13,Hypothèses!$W$13,IF(BZ136&lt;=Hypothèses!$V$14,Hypothèses!$W$14,IF(BZ136&lt;=Hypothèses!$V$15,Hypothèses!$W$15,IF(BZ136&lt;=Hypothèses!$V$16,Hypothèses!$W$16,IF(BZ136&lt;=Hypothèses!$V$17,Hypothèses!$W$17,IF(BZ136&lt;=Hypothèses!$V$18,Hypothèses!$W$18,""))))))))))))</f>
        <v>#DIV/0!</v>
      </c>
      <c r="CU136" s="87" t="e">
        <f t="shared" ca="1" si="220"/>
        <v>#DIV/0!</v>
      </c>
      <c r="CV136" s="88" t="e">
        <f ca="1">IF(BZ136&lt;=Hypothèses!$V$7,Hypothèses!$X$7,IF(BZ136&lt;=Hypothèses!$V$8,Hypothèses!$X$8,IF(BZ136&lt;=Hypothèses!$V$9,Hypothèses!$X$9,IF(BZ136&lt;=Hypothèses!$V$10,Hypothèses!$X$10,IF(BZ136&lt;=Hypothèses!$V$11,Hypothèses!$X$11,IF(BZ136&lt;=Hypothèses!$V$12,Hypothèses!$X$12,IF(BZ136&lt;=Hypothèses!$V$13,Hypothèses!$X$13,IF(BZ136&lt;=Hypothèses!$V$14,Hypothèses!$X$14,IF(BZ136&lt;=Hypothèses!$V$15,Hypothèses!$X$15,IF(BZ136&lt;=Hypothèses!$V$16,Hypothèses!$X$16,IF(BZ136&lt;=Hypothèses!$U$17,Hypothèses!$W$17,IF(BZ136&lt;=Hypothèses!$U$18,Hypothèses!$W$18,""))))))))))))</f>
        <v>#DIV/0!</v>
      </c>
      <c r="CW136" s="95" t="e">
        <f t="shared" ca="1" si="185"/>
        <v>#DIV/0!</v>
      </c>
      <c r="CX136" s="101" t="e">
        <f t="shared" si="227"/>
        <v>#N/A</v>
      </c>
      <c r="CY136" s="91" t="e">
        <f t="shared" si="154"/>
        <v>#N/A</v>
      </c>
      <c r="CZ136" s="30" t="e">
        <f t="shared" si="208"/>
        <v>#N/A</v>
      </c>
      <c r="DA136" s="30" t="e">
        <f t="shared" si="209"/>
        <v>#N/A</v>
      </c>
      <c r="DB136" s="31" t="e">
        <f>IF(OR(Hypothèses!$B$4=17,Hypothèses!$B$4=18,Hypothèses!$B$4=19,Hypothèses!$B$4=20),
IF($D136="Pressio.",
IF(OR($E136=3,$E136=1,$E136=4),DA136,CZ136),
IF($D136="Pénétro.",
IF(OR($E136=3,$E136=1,$E136=4),DA136,CZ136))),IF($D136="Pressio.",
IF($E136=3,DA136,CZ136),
IF($D136="Pénétro.",
IF($E136=4,DA136,CZ136))))</f>
        <v>#N/A</v>
      </c>
      <c r="DC136" s="31" t="e">
        <f>(IF(OR(Hypothèses!$B$4=17,Hypothèses!$B$4=18,Hypothèses!$B$4=19,Hypothèses!$B$4=20),
IF($D136="Pressio.",
IF(OR($E136=3,$E136=1,$E136=4),(PI()*DC$12^2)/4*(CY136*$W136*1000)/($H136*$B$5),(PI()*DC$12^2)/4*(CY136*$W136*1000)/($G136*$B$5)),
IF($D136="Pénétro.",
IF(OR($E136=4,$E136=1,$E136=5),(PI()*DC$12^2)/4*(CY136*$W136*1000)/($H136*$B$5),(PI()*DC$12^2)/4*(CY136*$W136*1000)/($G136*$B$5)))),
IF($D136="Pressio.",
IF($E136=3,(PI()*DC$12^2)/4*(CY136*$W136*1000)/($H136*$B$5),(PI()*DC$12^2)/4*(CY136*$W136*1000)/($G136*$B$5)),
IF($D136="Pénétro.",
IF($E136=4,(PI()*DC$12^2)/4*(CY136*$W136*1000)/($H136*$B$5),(PI()*DC$12^2)/4*(CY136*$W136*1000)/($G136*$B$5))))))/10</f>
        <v>#N/A</v>
      </c>
      <c r="DD136" s="102" t="e">
        <f>(VLOOKUP($B$3,'Coeff EC7'!$T$39:$X$59,2,0)*DB136+VLOOKUP($B$3,'Coeff EC7'!$T$65:$X$85,2,0)*Model0.1C!DC136)/1.1</f>
        <v>#N/A</v>
      </c>
      <c r="DE136" s="102" t="e">
        <f>(VLOOKUP($B$3,'Coeff EC7'!$T$39:$X$59,3,0)*DB136+VLOOKUP($B$3,'Coeff EC7'!$T$65:$X$85,3,0)*Model0.1C!DC136)/0.9</f>
        <v>#N/A</v>
      </c>
      <c r="DF136" s="102" t="e">
        <f t="shared" si="186"/>
        <v>#N/A</v>
      </c>
      <c r="DG136" s="102" t="e">
        <f t="shared" si="187"/>
        <v>#N/A</v>
      </c>
      <c r="DH136" s="414" t="e">
        <f>IF(DH135=0,0,IF(AND(DD136&gt;charge_ELS_quasi,DE136&gt;Charge_ELS_freq,DF136&gt;charge_ELU,DG136&gt;charge_ELA,$B136&gt;NDC!$H$22-0.1+MIN(3*$DH$12,1.5)),0,1))</f>
        <v>#N/A</v>
      </c>
      <c r="DI136" s="86" t="b">
        <f t="shared" si="155"/>
        <v>0</v>
      </c>
      <c r="DJ136" s="86">
        <f t="shared" si="156"/>
        <v>0.5</v>
      </c>
      <c r="DK136" s="86">
        <f t="shared" si="157"/>
        <v>0.5</v>
      </c>
      <c r="DL136" s="30" t="e">
        <f t="shared" ca="1" si="188"/>
        <v>#DIV/0!</v>
      </c>
      <c r="DM136" s="85" t="e">
        <f ca="1">IF(CS136&lt;=Hypothèses!$V$7,Hypothèses!$W$7,IF(CS136&lt;=Hypothèses!$V$8,Hypothèses!$W$8,IF(CS136&lt;=Hypothèses!$V$9,Hypothèses!$W$9,IF(CS136&lt;=Hypothèses!$V$10,Hypothèses!$W$10,IF(CS136&lt;=Hypothèses!$V$11,Hypothèses!$W$11,IF(CS136&lt;=Hypothèses!$V$12,Hypothèses!$W$12,IF(CS136&lt;=Hypothèses!$V$13,Hypothèses!$W$13,IF(CS136&lt;=Hypothèses!$V$14,Hypothèses!$W$14,IF(CS136&lt;=Hypothèses!$V$15,Hypothèses!$W$15,IF(CS136&lt;=Hypothèses!$V$16,Hypothèses!$W$16,IF(CS136&lt;=Hypothèses!$V$17,Hypothèses!$W$17,IF(CS136&lt;=Hypothèses!$V$18,Hypothèses!$W$18,""))))))))))))</f>
        <v>#DIV/0!</v>
      </c>
      <c r="DN136" s="87" t="e">
        <f t="shared" ca="1" si="221"/>
        <v>#DIV/0!</v>
      </c>
      <c r="DO136" s="88" t="e">
        <f ca="1">IF(CS136&lt;=Hypothèses!$V$7,Hypothèses!$X$7,IF(CS136&lt;=Hypothèses!$V$8,Hypothèses!$X$8,IF(CS136&lt;=Hypothèses!$V$9,Hypothèses!$X$9,IF(CS136&lt;=Hypothèses!$V$10,Hypothèses!$X$10,IF(CS136&lt;=Hypothèses!$V$11,Hypothèses!$X$11,IF(CS136&lt;=Hypothèses!$V$12,Hypothèses!$X$12,IF(CS136&lt;=Hypothèses!$V$13,Hypothèses!$X$13,IF(CS136&lt;=Hypothèses!$V$14,Hypothèses!$X$14,IF(CS136&lt;=Hypothèses!$V$15,Hypothèses!$X$15,IF(CS136&lt;=Hypothèses!$V$16,Hypothèses!$X$16,IF(CS136&lt;=Hypothèses!$U$17,Hypothèses!$W$17,IF(CS136&lt;=Hypothèses!$U$18,Hypothèses!$W$18,""))))))))))))</f>
        <v>#DIV/0!</v>
      </c>
      <c r="DP136" s="95" t="e">
        <f t="shared" ca="1" si="189"/>
        <v>#DIV/0!</v>
      </c>
      <c r="DQ136" s="101" t="e">
        <f t="shared" si="228"/>
        <v>#N/A</v>
      </c>
      <c r="DR136" s="91" t="e">
        <f t="shared" si="158"/>
        <v>#N/A</v>
      </c>
      <c r="DS136" s="30" t="e">
        <f t="shared" si="210"/>
        <v>#N/A</v>
      </c>
      <c r="DT136" s="30" t="e">
        <f t="shared" si="211"/>
        <v>#N/A</v>
      </c>
      <c r="DU136" s="31" t="e">
        <f>IF(OR(Hypothèses!$B$4=17,Hypothèses!$B$4=18,Hypothèses!$B$4=19,Hypothèses!$B$4=20),
IF($D136="Pressio.",
IF(OR($E136=3,$E136=1,$E136=4),DT136,DS136),
IF($D136="Pénétro.",
IF(OR($E136=3,$E136=1,$E136=4),DT136,DS136))),IF($D136="Pressio.",
IF($E136=3,DT136,DS136),
IF($D136="Pénétro.",
IF($E136=4,DT136,DS136))))</f>
        <v>#N/A</v>
      </c>
      <c r="DV136" s="31" t="e">
        <f>(IF(OR(Hypothèses!$B$4=17,Hypothèses!$B$4=18,Hypothèses!$B$4=19,Hypothèses!$B$4=20),
IF($D136="Pressio.",
IF(OR($E136=3,$E136=1,$E136=4),(PI()*DV$12^2)/4*(DR136*$W136*1000)/($H136*$B$5),(PI()*DV$12^2)/4*(DR136*$W136*1000)/($G136*$B$5)),
IF($D136="Pénétro.",
IF(OR($E136=4,$E136=1,$E136=5),(PI()*DV$12^2)/4*(DR136*$W136*1000)/($H136*$B$5),(PI()*DV$12^2)/4*(DR136*$W136*1000)/($G136*$B$5)))),
IF($D136="Pressio.",
IF($E136=3,(PI()*DV$12^2)/4*(DR136*$W136*1000)/($H136*$B$5),(PI()*DV$12^2)/4*(DR136*$W136*1000)/($G136*$B$5)),
IF($D136="Pénétro.",
IF($E136=4,(PI()*DV$12^2)/4*(DR136*$W136*1000)/($H136*$B$5),(PI()*DV$12^2)/4*(DR136*$W136*1000)/($G136*$B$5))))))/10</f>
        <v>#N/A</v>
      </c>
      <c r="DW136" s="102" t="e">
        <f>(VLOOKUP($B$3,'Coeff EC7'!$T$39:$X$59,2,0)*DU136+VLOOKUP($B$3,'Coeff EC7'!$T$65:$X$85,2,0)*Model0.1C!DV136)/1.1</f>
        <v>#N/A</v>
      </c>
      <c r="DX136" s="102" t="e">
        <f>(VLOOKUP($B$3,'Coeff EC7'!$T$39:$X$59,3,0)*DU136+VLOOKUP($B$3,'Coeff EC7'!$T$65:$X$85,3,0)*Model0.1C!DV136)/0.9</f>
        <v>#N/A</v>
      </c>
      <c r="DY136" s="102" t="e">
        <f t="shared" si="190"/>
        <v>#N/A</v>
      </c>
      <c r="DZ136" s="102" t="e">
        <f t="shared" si="191"/>
        <v>#N/A</v>
      </c>
      <c r="EA136" s="414" t="e">
        <f>IF(EA135=0,0,IF(AND(DW136&gt;charge_ELS_quasi,DX136&gt;Charge_ELS_freq,DY136&gt;charge_ELU,DZ136&gt;charge_ELA,$B136&gt;NDC!$H$22-0.1+MIN(3*$EA$12,1.5)),0,1))</f>
        <v>#N/A</v>
      </c>
      <c r="EB136" s="86" t="b">
        <f t="shared" si="159"/>
        <v>0</v>
      </c>
      <c r="EC136" s="418">
        <f t="shared" si="160"/>
        <v>0.51</v>
      </c>
      <c r="ED136" s="86">
        <f t="shared" si="161"/>
        <v>0.51</v>
      </c>
      <c r="EE136" s="30" t="e">
        <f t="shared" ca="1" si="192"/>
        <v>#DIV/0!</v>
      </c>
      <c r="EF136" s="85" t="e">
        <f ca="1">IF(DL136&lt;=Hypothèses!$V$7,Hypothèses!$W$7,IF(DL136&lt;=Hypothèses!$V$8,Hypothèses!$W$8,IF(DL136&lt;=Hypothèses!$V$9,Hypothèses!$W$9,IF(DL136&lt;=Hypothèses!$V$10,Hypothèses!$W$10,IF(DL136&lt;=Hypothèses!$V$11,Hypothèses!$W$11,IF(DL136&lt;=Hypothèses!$V$12,Hypothèses!$W$12,IF(DL136&lt;=Hypothèses!$V$13,Hypothèses!$W$13,IF(DL136&lt;=Hypothèses!$V$14,Hypothèses!$W$14,IF(DL136&lt;=Hypothèses!$V$15,Hypothèses!$W$15,IF(DL136&lt;=Hypothèses!$V$16,Hypothèses!$W$16,IF(DL136&lt;=Hypothèses!$V$17,Hypothèses!$W$17,IF(DL136&lt;=Hypothèses!$V$18,Hypothèses!$W$18,""))))))))))))</f>
        <v>#DIV/0!</v>
      </c>
      <c r="EG136" s="87" t="e">
        <f t="shared" ca="1" si="222"/>
        <v>#DIV/0!</v>
      </c>
      <c r="EH136" s="88" t="e">
        <f ca="1">IF(DL136&lt;=Hypothèses!$V$7,Hypothèses!$X$7,IF(DL136&lt;=Hypothèses!$V$8,Hypothèses!$X$8,IF(DL136&lt;=Hypothèses!$V$9,Hypothèses!$X$9,IF(DL136&lt;=Hypothèses!$V$10,Hypothèses!$X$10,IF(DL136&lt;=Hypothèses!$V$11,Hypothèses!$X$11,IF(DL136&lt;=Hypothèses!$V$12,Hypothèses!$X$12,IF(DL136&lt;=Hypothèses!$V$13,Hypothèses!$X$13,IF(DL136&lt;=Hypothèses!$V$14,Hypothèses!$X$14,IF(DL136&lt;=Hypothèses!$V$15,Hypothèses!$X$15,IF(DL136&lt;=Hypothèses!$V$16,Hypothèses!$X$16,IF(DL136&lt;=Hypothèses!$U$17,Hypothèses!$W$17,IF(DL136&lt;=Hypothèses!$U$18,Hypothèses!$W$18,""))))))))))))</f>
        <v>#DIV/0!</v>
      </c>
      <c r="EI136" s="95" t="e">
        <f t="shared" ca="1" si="193"/>
        <v>#DIV/0!</v>
      </c>
      <c r="EJ136" s="101" t="e">
        <f t="shared" si="229"/>
        <v>#N/A</v>
      </c>
      <c r="EK136" s="91" t="e">
        <f t="shared" si="162"/>
        <v>#N/A</v>
      </c>
      <c r="EL136" s="30" t="e">
        <f t="shared" si="212"/>
        <v>#N/A</v>
      </c>
      <c r="EM136" s="30" t="e">
        <f t="shared" si="213"/>
        <v>#N/A</v>
      </c>
      <c r="EN136" s="31" t="e">
        <f>IF(OR(Hypothèses!$B$4=17,Hypothèses!$B$4=18,Hypothèses!$B$4=19,Hypothèses!$B$4=20),
IF($D136="Pressio.",
IF(OR($E136=3,$E136=1,$E136=4),EM136,EL136),
IF($D136="Pénétro.",
IF(OR($E136=3,$E136=1,$E136=4),EM136,EL136))),IF($D136="Pressio.",
IF($E136=3,EM136,EL136),
IF($D136="Pénétro.",
IF($E136=4,EM136,EL136))))</f>
        <v>#N/A</v>
      </c>
      <c r="EO136" s="31" t="e">
        <f>(IF(OR(Hypothèses!$B$4=17,Hypothèses!$B$4=18,Hypothèses!$B$4=19,Hypothèses!$B$4=20),
IF($D136="Pressio.",
IF(OR($E136=3,$E136=1,$E136=4),(PI()*EO$12^2)/4*(EK136*$W136*1000)/($H136*$B$5),(PI()*EO$12^2)/4*(EK136*$W136*1000)/($G136*$B$5)),
IF($D136="Pénétro.",
IF(OR($E136=4,$E136=1,$E136=5),(PI()*EO$12^2)/4*(EK136*$W136*1000)/($H136*$B$5),(PI()*EO$12^2)/4*(EK136*$W136*1000)/($G136*$B$5)))),
IF($D136="Pressio.",
IF($E136=3,(PI()*EO$12^2)/4*(EK136*$W136*1000)/($H136*$B$5),(PI()*EO$12^2)/4*(EK136*$W136*1000)/($G136*$B$5)),
IF($D136="Pénétro.",
IF($E136=4,(PI()*EO$12^2)/4*(EK136*$W136*1000)/($H136*$B$5),(PI()*EO$12^2)/4*(EK136*$W136*1000)/($G136*$B$5))))))/10</f>
        <v>#N/A</v>
      </c>
      <c r="EP136" s="102" t="e">
        <f>(VLOOKUP($B$3,'Coeff EC7'!$T$39:$X$59,2,0)*EN136+VLOOKUP($B$3,'Coeff EC7'!$T$65:$X$85,2,0)*Model0.1C!EO136)/1.1</f>
        <v>#N/A</v>
      </c>
      <c r="EQ136" s="102" t="e">
        <f>(VLOOKUP($B$3,'Coeff EC7'!$T$39:$X$59,3,0)*EN136+VLOOKUP($B$3,'Coeff EC7'!$T$65:$X$85,3,0)*Model0.1C!EO136)/0.9</f>
        <v>#N/A</v>
      </c>
      <c r="ER136" s="102" t="e">
        <f t="shared" si="194"/>
        <v>#N/A</v>
      </c>
      <c r="ES136" s="102" t="e">
        <f t="shared" si="195"/>
        <v>#N/A</v>
      </c>
      <c r="ET136" s="414" t="e">
        <f>IF(ET135=0,0,IF(AND(EP136&gt;charge_ELS_quasi,EQ136&gt;Charge_ELS_freq,ER136&gt;charge_ELU,ES136&gt;charge_ELA,$B136&gt;NDC!$H$22-0.1+MIN(3*$ET$12,1.5)),0,1))</f>
        <v>#N/A</v>
      </c>
      <c r="EU136" s="86" t="b">
        <f t="shared" si="163"/>
        <v>0</v>
      </c>
      <c r="EV136" s="86">
        <f t="shared" si="164"/>
        <v>0.61</v>
      </c>
      <c r="EW136" s="86">
        <f t="shared" si="165"/>
        <v>0.61</v>
      </c>
      <c r="EX136" s="30" t="e">
        <f t="shared" ca="1" si="196"/>
        <v>#DIV/0!</v>
      </c>
      <c r="EY136" s="85" t="e">
        <f ca="1">IF(EE136&lt;=Hypothèses!$V$7,Hypothèses!$W$7,IF(EE136&lt;=Hypothèses!$V$8,Hypothèses!$W$8,IF(EE136&lt;=Hypothèses!$V$9,Hypothèses!$W$9,IF(EE136&lt;=Hypothèses!$V$10,Hypothèses!$W$10,IF(EE136&lt;=Hypothèses!$V$11,Hypothèses!$W$11,IF(EE136&lt;=Hypothèses!$V$12,Hypothèses!$W$12,IF(EE136&lt;=Hypothèses!$V$13,Hypothèses!$W$13,IF(EE136&lt;=Hypothèses!$V$14,Hypothèses!$W$14,IF(EE136&lt;=Hypothèses!$V$15,Hypothèses!$W$15,IF(EE136&lt;=Hypothèses!$V$16,Hypothèses!$W$16,IF(EE136&lt;=Hypothèses!$V$17,Hypothèses!$W$17,IF(EE136&lt;=Hypothèses!$V$18,Hypothèses!$W$18,""))))))))))))</f>
        <v>#DIV/0!</v>
      </c>
      <c r="EZ136" s="87" t="e">
        <f t="shared" ca="1" si="223"/>
        <v>#DIV/0!</v>
      </c>
      <c r="FA136" s="88" t="e">
        <f ca="1">IF(EE136&lt;=Hypothèses!$V$7,Hypothèses!$X$7,IF(EE136&lt;=Hypothèses!$V$8,Hypothèses!$X$8,IF(EE136&lt;=Hypothèses!$V$9,Hypothèses!$X$9,IF(EE136&lt;=Hypothèses!$V$10,Hypothèses!$X$10,IF(EE136&lt;=Hypothèses!$V$11,Hypothèses!$X$11,IF(EE136&lt;=Hypothèses!$V$12,Hypothèses!$X$12,IF(EE136&lt;=Hypothèses!$V$13,Hypothèses!$X$13,IF(EE136&lt;=Hypothèses!$V$14,Hypothèses!$X$14,IF(EE136&lt;=Hypothèses!$V$15,Hypothèses!$X$15,IF(EE136&lt;=Hypothèses!$V$16,Hypothèses!$X$16,IF(EE136&lt;=Hypothèses!$U$17,Hypothèses!$W$17,IF(EE136&lt;=Hypothèses!$U$18,Hypothèses!$W$18,""))))))))))))</f>
        <v>#DIV/0!</v>
      </c>
      <c r="FB136" s="95" t="e">
        <f t="shared" ca="1" si="197"/>
        <v>#DIV/0!</v>
      </c>
      <c r="FC136" s="101" t="e">
        <f t="shared" si="230"/>
        <v>#N/A</v>
      </c>
      <c r="FD136" s="91" t="e">
        <f t="shared" si="166"/>
        <v>#N/A</v>
      </c>
      <c r="FE136" s="30" t="e">
        <f t="shared" si="214"/>
        <v>#N/A</v>
      </c>
      <c r="FF136" s="30" t="e">
        <f t="shared" si="215"/>
        <v>#N/A</v>
      </c>
      <c r="FG136" s="31" t="e">
        <f>IF(OR(Hypothèses!$B$4=17,Hypothèses!$B$4=18,Hypothèses!$B$4=19,Hypothèses!$B$4=20),
IF($D136="Pressio.",
IF(OR($E136=3,$E136=1,$E136=4),FF136,FE136),
IF($D136="Pénétro.",
IF(OR($E136=3,$E136=1,$E136=4),FF136,FE136))),IF($D136="Pressio.",
IF($E136=3,FF136,FE136),
IF($D136="Pénétro.",
IF($E136=4,FF136,FE136))))</f>
        <v>#N/A</v>
      </c>
      <c r="FH136" s="31" t="e">
        <f>(IF(OR(Hypothèses!$B$4=17,Hypothèses!$B$4=18,Hypothèses!$B$4=19,Hypothèses!$B$4=20),
IF($D136="Pressio.",
IF(OR($E136=3,$E136=1,$E136=4),(PI()*FH$12^2)/4*(FD136*$W136*1000)/($H136*$B$5),(PI()*FH$12^2)/4*(FD136*$W136*1000)/($G136*$B$5)),
IF($D136="Pénétro.",
IF(OR($E136=4,$E136=1,$E136=5),(PI()*FH$12^2)/4*(FD136*$W136*1000)/($H136*$B$5),(PI()*FH$12^2)/4*(FD136*$W136*1000)/($G136*$B$5)))),
IF($D136="Pressio.",
IF($E136=3,(PI()*FH$12^2)/4*(FD136*$W136*1000)/($H136*$B$5),(PI()*FH$12^2)/4*(FD136*$W136*1000)/($G136*$B$5)),
IF($D136="Pénétro.",
IF($E136=4,(PI()*FH$12^2)/4*(FD136*$W136*1000)/($H136*$B$5),(PI()*FH$12^2)/4*(FD136*$W136*1000)/($G136*$B$5))))))/10</f>
        <v>#N/A</v>
      </c>
      <c r="FI136" s="102" t="e">
        <f>(VLOOKUP($B$3,'Coeff EC7'!$T$39:$X$59,2,0)*FG136+VLOOKUP($B$3,'Coeff EC7'!$T$65:$X$85,2,0)*Model0.1C!FH136)/1.1</f>
        <v>#N/A</v>
      </c>
      <c r="FJ136" s="102" t="e">
        <f>(VLOOKUP($B$3,'Coeff EC7'!$T$39:$X$59,3,0)*FG136+VLOOKUP($B$3,'Coeff EC7'!$T$65:$X$85,3,0)*Model0.1C!FH136)/0.9</f>
        <v>#N/A</v>
      </c>
      <c r="FK136" s="102" t="e">
        <f t="shared" si="198"/>
        <v>#N/A</v>
      </c>
      <c r="FL136" s="102" t="e">
        <f t="shared" si="199"/>
        <v>#N/A</v>
      </c>
      <c r="FM136" s="414" t="e">
        <f>IF(FM135=0,0,IF(AND(FI136&gt;charge_ELS_quasi,FJ136&gt;Charge_ELS_freq,FK136&gt;charge_ELU,FL136&gt;charge_ELA,$B136&gt;NDC!$H$22-0.1+MIN(3*$FM$12,1.5)),0,1))</f>
        <v>#N/A</v>
      </c>
    </row>
    <row r="137" spans="1:169">
      <c r="A137" s="96">
        <f t="shared" si="167"/>
        <v>87.600000000000705</v>
      </c>
      <c r="B137" s="97">
        <v>12.4</v>
      </c>
      <c r="C137" s="81">
        <f>IF(B137&lt;=Hypothèses!$C$7,Hypothèses!$A$7,IF(B137&lt;=Hypothèses!$C$8,Hypothèses!$A$8,IF(B137&lt;=Hypothèses!$C$9,Hypothèses!$A$9,IF(B137&lt;=Hypothèses!$C$10,Hypothèses!$A$10,IF(B137&lt;=Hypothèses!$C$11,Hypothèses!$A$11,IF(B137&lt;=Hypothèses!$C$12,Hypothèses!$A$12,IF(B137&lt;=Hypothèses!$C$13,Hypothèses!$A$13,IF(B137&lt;=Hypothèses!$C$14,Hypothèses!$A$14,IF(B137&lt;=Hypothèses!$C$15,Hypothèses!$A$15,IF(B137&lt;=Hypothèses!$C$16,Hypothèses!$A$16,IF(B137&lt;=Hypothèses!$C$17,Hypothèses!$A$17,IF(B137&lt;=Hypothèses!$C$18,Hypothèses!$A$18,C136))))))))))))</f>
        <v>11</v>
      </c>
      <c r="D137" s="82" t="str">
        <f>IF(B137&lt;=Hypothèses!$C$7,Hypothèses!$R$7,IF(B137&lt;=Hypothèses!$C$8,Hypothèses!$R$8,IF(B137&lt;=Hypothèses!$C$9,Hypothèses!$R$9,IF(B137&lt;=Hypothèses!$C$10,Hypothèses!$R$10,IF(B137&lt;=Hypothèses!$C$11,Hypothèses!$R$11,IF(B137&lt;=Hypothèses!$C$12,Hypothèses!$R$12,IF(B137&lt;=Hypothèses!$C$13,Hypothèses!$R$13,IF(B137&lt;=Hypothèses!$C$14,Hypothèses!$R$14,IF(B137&lt;=Hypothèses!$C$15,Hypothèses!$R$15,IF(B137&lt;=Hypothèses!$C$16,Hypothèses!$R$16,IF(B137&lt;=Hypothèses!$C$17,Hypothèses!$R$17,IF(B137&lt;=Hypothèses!$C$18,Hypothèses!$R$18,D136))))))))))))</f>
        <v>Pressio.</v>
      </c>
      <c r="E137" s="82" t="e">
        <f>IF(B137&lt;=Hypothèses!$C$7,Hypothèses!$G$7,IF(B137&lt;=Hypothèses!$C$8,Hypothèses!$G$8,IF(B137&lt;=Hypothèses!$C$9,Hypothèses!$G$9,IF(B137&lt;=Hypothèses!$C$10,Hypothèses!$G$10,IF(B137&lt;=Hypothèses!$C$11,Hypothèses!$G$11,IF(B137&lt;=Hypothèses!$C$12,Hypothèses!$G$12,IF(B137&lt;=Hypothèses!$C$13,Hypothèses!$G$13,IF(B137&lt;=Hypothèses!$C$14,Hypothèses!$G$14,IF(B137&lt;=Hypothèses!$C$15,Hypothèses!$G$15,IF(B137&lt;=Hypothèses!$C$16,Hypothèses!$G$16,IF(B137&lt;=Hypothèses!$C$17,Hypothèses!$G$17,IF(B137&lt;=Hypothèses!$C$18,Hypothèses!$G$18,E136))))))))))))</f>
        <v>#N/A</v>
      </c>
      <c r="F137" s="82" t="str">
        <f>IF(B137&lt;=Hypothèses!$C$7,Hypothèses!$F$7,IF(B137&lt;=Hypothèses!$C$8,Hypothèses!$F$8,IF(B137&lt;=Hypothèses!$C$9,Hypothèses!$F$9,IF(B137&lt;=Hypothèses!$C$10,Hypothèses!$F$10,IF(B137&lt;=Hypothèses!$C$11,Hypothèses!$F$11,IF(B137&lt;=Hypothèses!$C$12,Hypothèses!$F$12,IF(B137&lt;=Hypothèses!$C$13,Hypothèses!$F$13,IF(B137&lt;=Hypothèses!$C$14,Hypothèses!$F$14,IF(B137&lt;=Hypothèses!$C$15,Hypothèses!$F$15,IF(B137&lt;=Hypothèses!$C$16,Hypothèses!$F$16,IF(B137&lt;=Hypothèses!$C$17,Hypothèses!$F$17,IF(B137&lt;=Hypothèses!$C$18,Hypothèses!$F$18,F136))))))))))))</f>
        <v/>
      </c>
      <c r="G137" s="91">
        <f t="array" ref="G137">INDEX('Coeff EC7'!$U$7:$X$27,
MATCH(Model0.1C!$B$3,'Coeff EC7'!$T$7:$T$27,0),
MATCH(Model0.1C!$D137&amp;Model0.1C!$B$4,
'Coeff EC7'!$U$6:$X$6&amp;
'Coeff EC7'!$U$5:$X$5,0))</f>
        <v>1.1499999999999999</v>
      </c>
      <c r="H137" s="91">
        <f t="array" ref="H137">INDEX('Coeff EC7'!$Y$7:$AB$27,
MATCH(Model0.1C!$B$3,'Coeff EC7'!$T$7:$T$27,0),
MATCH(Model0.1C!$D137&amp;Model0.1C!$B$4,
'Coeff EC7'!$Y$6:$AB$6&amp;
'Coeff EC7'!$Y$5:$AB$5,0))</f>
        <v>1.4</v>
      </c>
      <c r="I137" s="83" t="e">
        <f>IF(B137&lt;=Hypothèses!$C$7,Hypothèses!$P$7,IF(B137&lt;=Hypothèses!$C$8,Hypothèses!$P$8,IF(B137&lt;=Hypothèses!$C$9,Hypothèses!$P$9,IF(B137&lt;=Hypothèses!$C$10,Hypothèses!$P$10,IF(B137&lt;=Hypothèses!$C$11,Hypothèses!$P$11,IF(B137&lt;=Hypothèses!$C$12,Hypothèses!$P$12,IF(B137&lt;=Hypothèses!$C$13,Hypothèses!$P$13,IF(B137&lt;=Hypothèses!$C$14,Hypothèses!$P$14,IF(B137&lt;=Hypothèses!$C$15,Hypothèses!$P$15,IF(B137&lt;=Hypothèses!$C$16,Hypothèses!$P$16,IF(B137&lt;=Hypothèses!$C$17,Hypothèses!$P$17,IF(B137&lt;=Hypothèses!$C$18,Hypothèses!$P$18,I136))))))))))))</f>
        <v>#N/A</v>
      </c>
      <c r="J137" s="91" t="e">
        <f t="array" ref="J137">INDEX('Coeff EC7'!$D$33:$Q$33,1,MATCH(D137&amp;E137,'Coeff EC7'!$D$31:$Q$31&amp;'Coeff EC7'!$D$32:$Q$32,0))</f>
        <v>#N/A</v>
      </c>
      <c r="K137" s="91" t="e">
        <f t="array" ref="K137">INDEX('Coeff EC7'!$D$34:$Q$34,1,MATCH(D137&amp;E137,'Coeff EC7'!$D$31:$Q$31&amp;'Coeff EC7'!$D$32:$Q$32,0))</f>
        <v>#N/A</v>
      </c>
      <c r="L137" s="91" t="e">
        <f t="array" ref="L137">INDEX('Coeff EC7'!$D$35:$Q$35,1,MATCH(D137&amp;E137,'Coeff EC7'!$D$31:$Q$31&amp;'Coeff EC7'!$D$32:$Q$32,0))</f>
        <v>#N/A</v>
      </c>
      <c r="M137" s="98" t="e">
        <f t="shared" si="131"/>
        <v>#N/A</v>
      </c>
      <c r="N137" s="99" t="e">
        <f t="array" ref="N137">INDEX('Coeff EC7'!$D$7:$Q$27,MATCH($B$3,'Coeff EC7'!$C$7:$C$27,0),MATCH(D137&amp;E137,'Coeff EC7'!$D$5:$Q$5&amp;'Coeff EC7'!$D$6:$Q$6,0))</f>
        <v>#N/A</v>
      </c>
      <c r="O137" s="99" t="e">
        <f t="array" ref="O137">INDEX('Coeff EC7'!$D$41:$Q$61,MATCH($B$3,'Coeff EC7'!$C$41:$C$61,0),MATCH(D137&amp;E137,'Coeff EC7'!$D$39:$Q$39&amp;'Coeff EC7'!$D$40:$Q$40,0))</f>
        <v>#N/A</v>
      </c>
      <c r="P137" s="30" t="e">
        <f t="shared" si="168"/>
        <v>#N/A</v>
      </c>
      <c r="Q137" s="100" t="e">
        <f t="shared" si="133"/>
        <v>#N/A</v>
      </c>
      <c r="R137" s="86" t="b">
        <f t="shared" si="134"/>
        <v>0</v>
      </c>
      <c r="S137" s="86">
        <f t="shared" si="132"/>
        <v>0.5</v>
      </c>
      <c r="T137" s="86">
        <f t="shared" si="135"/>
        <v>0.5</v>
      </c>
      <c r="U137" s="30" t="e">
        <f t="shared" ca="1" si="169"/>
        <v>#DIV/0!</v>
      </c>
      <c r="V137" s="85" t="str">
        <f>IF(B137&lt;=Hypothèses!$V$7,Hypothèses!$W$7,IF(B137&lt;=Hypothèses!$V$8,Hypothèses!$W$8,IF(B137&lt;=Hypothèses!$V$9,Hypothèses!$W$9,IF(B137&lt;=Hypothèses!$V$10,Hypothèses!$W$10,IF(B137&lt;=Hypothèses!$V$11,Hypothèses!$W$11,IF(B137&lt;=Hypothèses!$V$12,Hypothèses!$W$12,IF(B137&lt;=Hypothèses!$V$13,Hypothèses!$W$13,IF(B137&lt;=Hypothèses!$V$14,Hypothèses!$W$14,IF(B137&lt;=Hypothèses!$V$15,Hypothèses!$W$15,IF(B137&lt;=Hypothèses!$V$16,Hypothèses!$W$16,IF(B137&lt;=Hypothèses!$V$17,Hypothèses!$W$17,IF(B137&lt;=Hypothèses!$V$18,Hypothèses!$W$18,""))))))))))))</f>
        <v/>
      </c>
      <c r="W137" s="87" t="e">
        <f t="shared" ca="1" si="216"/>
        <v>#DIV/0!</v>
      </c>
      <c r="X137" s="88" t="str">
        <f>IF(B137&lt;=Hypothèses!$V$7,Hypothèses!$X$7,IF(B137&lt;=Hypothèses!$V$8,Hypothèses!$X$8,IF(B137&lt;=Hypothèses!$V$9,Hypothèses!$X$9,IF(B137&lt;=Hypothèses!$V$10,Hypothèses!$X$10,IF(B137&lt;=Hypothèses!$V$11,Hypothèses!$X$11,IF(B137&lt;=Hypothèses!$V$12,Hypothèses!$X$12,IF(B137&lt;=Hypothèses!$V$13,Hypothèses!$X$13,IF(B137&lt;=Hypothèses!$V$14,Hypothèses!$X$14,IF(B137&lt;=Hypothèses!$V$15,Hypothèses!$X$15,IF(B137&lt;=Hypothèses!$V$16,Hypothèses!$X$16,IF(B137&lt;=Hypothèses!$U$17,Hypothèses!$W$17,IF(B137&lt;=Hypothèses!$U$18,Hypothèses!$W$18,""))))))))))))</f>
        <v/>
      </c>
      <c r="Y137" s="95" t="e">
        <f t="shared" ca="1" si="136"/>
        <v>#DIV/0!</v>
      </c>
      <c r="Z137" s="101" t="e">
        <f t="shared" si="137"/>
        <v>#N/A</v>
      </c>
      <c r="AA137" s="91" t="e">
        <f t="shared" si="138"/>
        <v>#N/A</v>
      </c>
      <c r="AB137" s="30" t="e">
        <f t="shared" si="200"/>
        <v>#N/A</v>
      </c>
      <c r="AC137" s="30" t="e">
        <f t="shared" si="201"/>
        <v>#N/A</v>
      </c>
      <c r="AD137" s="31" t="e">
        <f>IF(OR(Hypothèses!$B$4=17,Hypothèses!$B$4=18,Hypothèses!$B$4=19,Hypothèses!$B$4=20),
IF($D137="Pressio.",
IF(OR($E137=3,$E137=1,$E137=4),AC137,AB137),
IF($D137="Pénétro.",
IF(OR($E137=3,$E137=1,$E137=4),AC137,AB137))),IF($D137="Pressio.",
IF($E137=3,AC137,AB137),
IF($D137="Pénétro.",
IF($E137=4,AC137,AB137))))</f>
        <v>#N/A</v>
      </c>
      <c r="AE137" s="31" t="e">
        <f>(IF(OR(Hypothèses!$B$4=17,Hypothèses!$B$4=18,Hypothèses!$B$4=19,Hypothèses!$B$4=20),
IF($D137="Pressio.",
IF(OR($E137=3,$E137=1,$E137=4),(PI()*AE$12^2)/4*(AA137*$W137*1000)/($H137*$B$5),(PI()*AE$12^2)/4*(AA137*$W137*1000)/($G137*$B$5)),
IF($D137="Pénétro.",
IF(OR($E137=4,$E137=1,$E137=5),(PI()*AE$12^2)/4*(AA137*$W137*1000)/($H137*$B$5),(PI()*AE$12^2)/4*(AA137*$W137*1000)/($G137*$B$5)))),
IF($D137="Pressio.",
IF($E137=3,(PI()*AE$12^2)/4*(AA137*$W137*1000)/($H137*$B$5),(PI()*AE$12^2)/4*(AA137*$W137*1000)/($G137*$B$5)),
IF($D137="Pénétro.",
IF($E137=4,(PI()*AE$12^2)/4*(AA137*$W137*1000)/($H137*$B$5),(PI()*AE$12^2)/4*(AA137*$W137*1000)/($G137*$B$5))))))/10</f>
        <v>#N/A</v>
      </c>
      <c r="AF137" s="102" t="e">
        <f>(VLOOKUP($B$3,'Coeff EC7'!$T$39:$X$59,2,0)*AD137+VLOOKUP($B$3,'Coeff EC7'!$T$65:$X$85,2,0)*Model0.1C!AE137)/1.1</f>
        <v>#N/A</v>
      </c>
      <c r="AG137" s="102" t="e">
        <f>(VLOOKUP($B$3,'Coeff EC7'!$T$39:$X$59,3,0)*AD137+VLOOKUP($B$3,'Coeff EC7'!$T$65:$X$85,3,0)*Model0.1C!AE137)/0.9</f>
        <v>#N/A</v>
      </c>
      <c r="AH137" s="102" t="e">
        <f t="shared" si="139"/>
        <v>#N/A</v>
      </c>
      <c r="AI137" s="102" t="e">
        <f t="shared" si="140"/>
        <v>#N/A</v>
      </c>
      <c r="AJ137" s="414" t="e">
        <f>IF(AJ136=0,0,IF(AND(AF137&gt;charge_ELS_quasi,AG137&gt;Charge_ELS_freq,AH137&gt;charge_ELU,AI137&gt;charge_ELA,$B137&gt;NDC!$H$22-0.1+MIN(3*$AJ$12,1.5)),0,1))</f>
        <v>#N/A</v>
      </c>
      <c r="AK137" s="86" t="b">
        <f t="shared" si="141"/>
        <v>0</v>
      </c>
      <c r="AL137" s="86">
        <f t="shared" si="170"/>
        <v>0.5</v>
      </c>
      <c r="AM137" s="86">
        <f t="shared" si="142"/>
        <v>0.5</v>
      </c>
      <c r="AN137" s="30" t="e">
        <f t="shared" ca="1" si="171"/>
        <v>#DIV/0!</v>
      </c>
      <c r="AO137" s="85" t="e">
        <f ca="1">IF(U137&lt;=Hypothèses!$V$7,Hypothèses!$W$7,IF(U137&lt;=Hypothèses!$V$8,Hypothèses!$W$8,IF(U137&lt;=Hypothèses!$V$9,Hypothèses!$W$9,IF(U137&lt;=Hypothèses!$V$10,Hypothèses!$W$10,IF(U137&lt;=Hypothèses!$V$11,Hypothèses!$W$11,IF(U137&lt;=Hypothèses!$V$12,Hypothèses!$W$12,IF(U137&lt;=Hypothèses!$V$13,Hypothèses!$W$13,IF(U137&lt;=Hypothèses!$V$14,Hypothèses!$W$14,IF(U137&lt;=Hypothèses!$V$15,Hypothèses!$W$15,IF(U137&lt;=Hypothèses!$V$16,Hypothèses!$W$16,IF(U137&lt;=Hypothèses!$V$17,Hypothèses!$W$17,IF(U137&lt;=Hypothèses!$V$18,Hypothèses!$W$18,""))))))))))))</f>
        <v>#DIV/0!</v>
      </c>
      <c r="AP137" s="87" t="e">
        <f t="shared" ca="1" si="217"/>
        <v>#DIV/0!</v>
      </c>
      <c r="AQ137" s="88" t="e">
        <f ca="1">IF(U137&lt;=Hypothèses!$V$7,Hypothèses!$X$7,IF(U137&lt;=Hypothèses!$V$8,Hypothèses!$X$8,IF(U137&lt;=Hypothèses!$V$9,Hypothèses!$X$9,IF(U137&lt;=Hypothèses!$V$10,Hypothèses!$X$10,IF(U137&lt;=Hypothèses!$V$11,Hypothèses!$X$11,IF(U137&lt;=Hypothèses!$V$12,Hypothèses!$X$12,IF(U137&lt;=Hypothèses!$V$13,Hypothèses!$X$13,IF(U137&lt;=Hypothèses!$V$14,Hypothèses!$X$14,IF(U137&lt;=Hypothèses!$V$15,Hypothèses!$X$15,IF(U137&lt;=Hypothèses!$V$16,Hypothèses!$X$16,IF(U137&lt;=Hypothèses!$U$17,Hypothèses!$W$17,IF(U137&lt;=Hypothèses!$U$18,Hypothèses!$W$18,""))))))))))))</f>
        <v>#DIV/0!</v>
      </c>
      <c r="AR137" s="95" t="e">
        <f t="shared" ca="1" si="172"/>
        <v>#DIV/0!</v>
      </c>
      <c r="AS137" s="101" t="e">
        <f t="shared" si="224"/>
        <v>#N/A</v>
      </c>
      <c r="AT137" s="91" t="e">
        <f t="shared" si="143"/>
        <v>#N/A</v>
      </c>
      <c r="AU137" s="30" t="e">
        <f t="shared" si="202"/>
        <v>#N/A</v>
      </c>
      <c r="AV137" s="30" t="e">
        <f t="shared" si="203"/>
        <v>#N/A</v>
      </c>
      <c r="AW137" s="31" t="e">
        <f>IF(OR(Hypothèses!$B$4=17,Hypothèses!$B$4=18,Hypothèses!$B$4=19,Hypothèses!$B$4=20),
IF($D137="Pressio.",
IF(OR($E137=3,$E137=1,$E137=4),AV137,AU137),
IF($D137="Pénétro.",
IF(OR($E137=3,$E137=1,$E137=4),AV137,AU137))),IF($D137="Pressio.",
IF($E137=3,AV137,AU137),
IF($D137="Pénétro.",
IF($E137=4,AV137,AU137))))</f>
        <v>#N/A</v>
      </c>
      <c r="AX137" s="31" t="e">
        <f>(IF(OR(Hypothèses!$B$4=17,Hypothèses!$B$4=18,Hypothèses!$B$4=19,Hypothèses!$B$4=20),
IF($D137="Pressio.",
IF(OR($E137=3,$E137=1,$E137=4),(PI()*AX$12^2)/4*(AT137*$W137*1000)/($H137*$B$5),(PI()*AX$12^2)/4*(AT137*$W137*1000)/($G137*$B$5)),
IF($D137="Pénétro.",
IF(OR($E137=4,$E137=1,$E137=5),(PI()*AX$12^2)/4*(AT137*$W137*1000)/($H137*$B$5),(PI()*AX$12^2)/4*(AT137*$W137*1000)/($G137*$B$5)))),
IF($D137="Pressio.",
IF($E137=3,(PI()*AX$12^2)/4*(AT137*$W137*1000)/($H137*$B$5),(PI()*AX$12^2)/4*(AT137*$W137*1000)/($G137*$B$5)),
IF($D137="Pénétro.",
IF($E137=4,(PI()*AX$12^2)/4*(AT137*$W137*1000)/($H137*$B$5),(PI()*AX$12^2)/4*(AT137*$W137*1000)/($G137*$B$5))))))/10</f>
        <v>#N/A</v>
      </c>
      <c r="AY137" s="102" t="e">
        <f>(VLOOKUP($B$3,'Coeff EC7'!$T$39:$X$59,2,0)*AW137+VLOOKUP($B$3,'Coeff EC7'!$T$65:$X$85,2,0)*Model0.1C!AX137)/1.1</f>
        <v>#N/A</v>
      </c>
      <c r="AZ137" s="102" t="e">
        <f>(VLOOKUP($B$3,'Coeff EC7'!$T$39:$X$59,3,0)*AW137+VLOOKUP($B$3,'Coeff EC7'!$T$65:$X$85,3,0)*Model0.1C!AX137)/0.9</f>
        <v>#N/A</v>
      </c>
      <c r="BA137" s="102" t="e">
        <f t="shared" si="173"/>
        <v>#N/A</v>
      </c>
      <c r="BB137" s="102" t="e">
        <f t="shared" si="174"/>
        <v>#N/A</v>
      </c>
      <c r="BC137" s="414" t="e">
        <f>IF(BC136=0,0,IF(AND(AY137&gt;charge_ELS_quasi,AZ137&gt;Charge_ELS_freq,BA137&gt;charge_ELU,BB137&gt;charge_ELA,$B137&gt;NDC!$H$22-0.1+MIN(3*$BC$12,1.5)),0,1))</f>
        <v>#N/A</v>
      </c>
      <c r="BD137" s="86" t="b">
        <f t="shared" si="144"/>
        <v>0</v>
      </c>
      <c r="BE137" s="86">
        <f t="shared" si="175"/>
        <v>0.5</v>
      </c>
      <c r="BF137" s="86">
        <f t="shared" si="145"/>
        <v>0.5</v>
      </c>
      <c r="BG137" s="30" t="e">
        <f t="shared" ca="1" si="176"/>
        <v>#DIV/0!</v>
      </c>
      <c r="BH137" s="85" t="e">
        <f ca="1">IF(AN137&lt;=Hypothèses!$V$7,Hypothèses!$W$7,IF(AN137&lt;=Hypothèses!$V$8,Hypothèses!$W$8,IF(AN137&lt;=Hypothèses!$V$9,Hypothèses!$W$9,IF(AN137&lt;=Hypothèses!$V$10,Hypothèses!$W$10,IF(AN137&lt;=Hypothèses!$V$11,Hypothèses!$W$11,IF(AN137&lt;=Hypothèses!$V$12,Hypothèses!$W$12,IF(AN137&lt;=Hypothèses!$V$13,Hypothèses!$W$13,IF(AN137&lt;=Hypothèses!$V$14,Hypothèses!$W$14,IF(AN137&lt;=Hypothèses!$V$15,Hypothèses!$W$15,IF(AN137&lt;=Hypothèses!$V$16,Hypothèses!$W$16,IF(AN137&lt;=Hypothèses!$V$17,Hypothèses!$W$17,IF(AN137&lt;=Hypothèses!$V$18,Hypothèses!$W$18,""))))))))))))</f>
        <v>#DIV/0!</v>
      </c>
      <c r="BI137" s="87" t="e">
        <f t="shared" ca="1" si="218"/>
        <v>#DIV/0!</v>
      </c>
      <c r="BJ137" s="88" t="e">
        <f ca="1">IF(AN137&lt;=Hypothèses!$V$7,Hypothèses!$X$7,IF(AN137&lt;=Hypothèses!$V$8,Hypothèses!$X$8,IF(AN137&lt;=Hypothèses!$V$9,Hypothèses!$X$9,IF(AN137&lt;=Hypothèses!$V$10,Hypothèses!$X$10,IF(AN137&lt;=Hypothèses!$V$11,Hypothèses!$X$11,IF(AN137&lt;=Hypothèses!$V$12,Hypothèses!$X$12,IF(AN137&lt;=Hypothèses!$V$13,Hypothèses!$X$13,IF(AN137&lt;=Hypothèses!$V$14,Hypothèses!$X$14,IF(AN137&lt;=Hypothèses!$V$15,Hypothèses!$X$15,IF(AN137&lt;=Hypothèses!$V$16,Hypothèses!$X$16,IF(AN137&lt;=Hypothèses!$U$17,Hypothèses!$W$17,IF(AN137&lt;=Hypothèses!$U$18,Hypothèses!$W$18,""))))))))))))</f>
        <v>#DIV/0!</v>
      </c>
      <c r="BK137" s="95" t="e">
        <f t="shared" ca="1" si="177"/>
        <v>#DIV/0!</v>
      </c>
      <c r="BL137" s="101" t="e">
        <f t="shared" si="225"/>
        <v>#N/A</v>
      </c>
      <c r="BM137" s="91" t="e">
        <f t="shared" si="146"/>
        <v>#N/A</v>
      </c>
      <c r="BN137" s="30" t="e">
        <f t="shared" si="204"/>
        <v>#N/A</v>
      </c>
      <c r="BO137" s="30" t="e">
        <f t="shared" si="205"/>
        <v>#N/A</v>
      </c>
      <c r="BP137" s="31" t="e">
        <f>IF(OR(Hypothèses!$B$4=17,Hypothèses!$B$4=18,Hypothèses!$B$4=19,Hypothèses!$B$4=20),
IF($D137="Pressio.",
IF(OR($E137=3,$E137=1,$E137=4),BO137,BN137),
IF($D137="Pénétro.",
IF(OR($E137=3,$E137=1,$E137=4),BO137,BN137))),IF($D137="Pressio.",
IF($E137=3,BO137,BN137),
IF($D137="Pénétro.",
IF($E137=4,BO137,BN137))))</f>
        <v>#N/A</v>
      </c>
      <c r="BQ137" s="31" t="e">
        <f>(IF(OR(Hypothèses!$B$4=17,Hypothèses!$B$4=18,Hypothèses!$B$4=19,Hypothèses!$B$4=20),
IF($D137="Pressio.",
IF(OR($E137=3,$E137=1,$E137=4),(PI()*BQ$12^2)/4*(BM137*$W137*1000)/($H137*$B$5),(PI()*BQ$12^2)/4*(BM137*$W137*1000)/($G137*$B$5)),
IF($D137="Pénétro.",
IF(OR($E137=4,$E137=1,$E137=5),(PI()*BQ$12^2)/4*(BM137*$W137*1000)/($H137*$B$5),(PI()*BQ$12^2)/4*(BM137*$W137*1000)/($G137*$B$5)))),
IF($D137="Pressio.",
IF($E137=3,(PI()*BQ$12^2)/4*(BM137*$W137*1000)/($H137*$B$5),(PI()*BQ$12^2)/4*(BM137*$W137*1000)/($G137*$B$5)),
IF($D137="Pénétro.",
IF($E137=4,(PI()*BQ$12^2)/4*(BM137*$W137*1000)/($H137*$B$5),(PI()*BQ$12^2)/4*(BM137*$W137*1000)/($G137*$B$5))))))/10</f>
        <v>#N/A</v>
      </c>
      <c r="BR137" s="102" t="e">
        <f>(VLOOKUP($B$3,'Coeff EC7'!$T$39:$X$59,2,0)*BP137+VLOOKUP($B$3,'Coeff EC7'!$T$65:$X$85,2,0)*Model0.1C!BQ137)/1.1</f>
        <v>#N/A</v>
      </c>
      <c r="BS137" s="102" t="e">
        <f>(VLOOKUP($B$3,'Coeff EC7'!$T$39:$X$59,3,0)*BP137+VLOOKUP($B$3,'Coeff EC7'!$T$65:$X$85,3,0)*Model0.1C!BQ137)/0.9</f>
        <v>#N/A</v>
      </c>
      <c r="BT137" s="102" t="e">
        <f t="shared" si="178"/>
        <v>#N/A</v>
      </c>
      <c r="BU137" s="102" t="e">
        <f t="shared" si="179"/>
        <v>#N/A</v>
      </c>
      <c r="BV137" s="414" t="e">
        <f>IF(BV136=0,0,IF(AND(BR137&gt;charge_ELS_quasi,BS137&gt;Charge_ELS_freq,BT137&gt;charge_ELU,BU137&gt;charge_ELA,$B137&gt;NDC!$H$22-0.1+MIN(3*$BV$12,1.5)),0,1))</f>
        <v>#N/A</v>
      </c>
      <c r="BW137" s="86" t="b">
        <f t="shared" si="147"/>
        <v>0</v>
      </c>
      <c r="BX137" s="86">
        <f t="shared" si="148"/>
        <v>0.5</v>
      </c>
      <c r="BY137" s="86">
        <f t="shared" si="149"/>
        <v>0.5</v>
      </c>
      <c r="BZ137" s="30" t="e">
        <f t="shared" ca="1" si="180"/>
        <v>#DIV/0!</v>
      </c>
      <c r="CA137" s="85" t="e">
        <f ca="1">IF(BG137&lt;=Hypothèses!$V$7,Hypothèses!$W$7,IF(BG137&lt;=Hypothèses!$V$8,Hypothèses!$W$8,IF(BG137&lt;=Hypothèses!$V$9,Hypothèses!$W$9,IF(BG137&lt;=Hypothèses!$V$10,Hypothèses!$W$10,IF(BG137&lt;=Hypothèses!$V$11,Hypothèses!$W$11,IF(BG137&lt;=Hypothèses!$V$12,Hypothèses!$W$12,IF(BG137&lt;=Hypothèses!$V$13,Hypothèses!$W$13,IF(BG137&lt;=Hypothèses!$V$14,Hypothèses!$W$14,IF(BG137&lt;=Hypothèses!$V$15,Hypothèses!$W$15,IF(BG137&lt;=Hypothèses!$V$16,Hypothèses!$W$16,IF(BG137&lt;=Hypothèses!$V$17,Hypothèses!$W$17,IF(BG137&lt;=Hypothèses!$V$18,Hypothèses!$W$18,""))))))))))))</f>
        <v>#DIV/0!</v>
      </c>
      <c r="CB137" s="87" t="e">
        <f t="shared" ca="1" si="219"/>
        <v>#DIV/0!</v>
      </c>
      <c r="CC137" s="88" t="e">
        <f ca="1">IF(BG137&lt;=Hypothèses!$V$7,Hypothèses!$X$7,IF(BG137&lt;=Hypothèses!$V$8,Hypothèses!$X$8,IF(BG137&lt;=Hypothèses!$V$9,Hypothèses!$X$9,IF(BG137&lt;=Hypothèses!$V$10,Hypothèses!$X$10,IF(BG137&lt;=Hypothèses!$V$11,Hypothèses!$X$11,IF(BG137&lt;=Hypothèses!$V$12,Hypothèses!$X$12,IF(BG137&lt;=Hypothèses!$V$13,Hypothèses!$X$13,IF(BG137&lt;=Hypothèses!$V$14,Hypothèses!$X$14,IF(BG137&lt;=Hypothèses!$V$15,Hypothèses!$X$15,IF(BG137&lt;=Hypothèses!$V$16,Hypothèses!$X$16,IF(BG137&lt;=Hypothèses!$U$17,Hypothèses!$W$17,IF(BG137&lt;=Hypothèses!$U$18,Hypothèses!$W$18,""))))))))))))</f>
        <v>#DIV/0!</v>
      </c>
      <c r="CD137" s="95" t="e">
        <f t="shared" ca="1" si="181"/>
        <v>#DIV/0!</v>
      </c>
      <c r="CE137" s="101" t="e">
        <f t="shared" si="226"/>
        <v>#N/A</v>
      </c>
      <c r="CF137" s="91" t="e">
        <f t="shared" si="150"/>
        <v>#N/A</v>
      </c>
      <c r="CG137" s="30" t="e">
        <f t="shared" si="206"/>
        <v>#N/A</v>
      </c>
      <c r="CH137" s="30" t="e">
        <f t="shared" si="207"/>
        <v>#N/A</v>
      </c>
      <c r="CI137" s="31" t="e">
        <f>IF(OR(Hypothèses!$B$4=17,Hypothèses!$B$4=18,Hypothèses!$B$4=19,Hypothèses!$B$4=20),
IF($D137="Pressio.",
IF(OR($E137=3,$E137=1,$E137=4),CH137,CG137),
IF($D137="Pénétro.",
IF(OR($E137=3,$E137=1,$E137=4),CH137,CG137))),IF($D137="Pressio.",
IF($E137=3,CH137,CG137),
IF($D137="Pénétro.",
IF($E137=4,CH137,CG137))))</f>
        <v>#N/A</v>
      </c>
      <c r="CJ137" s="31" t="e">
        <f>(IF(OR(Hypothèses!$B$4=17,Hypothèses!$B$4=18,Hypothèses!$B$4=19,Hypothèses!$B$4=20),
IF($D137="Pressio.",
IF(OR($E137=3,$E137=1,$E137=4),(PI()*CJ$12^2)/4*(CF137*$W137*1000)/($H137*$B$5),(PI()*CJ$12^2)/4*(CF137*$W137*1000)/($G137*$B$5)),
IF($D137="Pénétro.",
IF(OR($E137=4,$E137=1,$E137=5),(PI()*CJ$12^2)/4*(CF137*$W137*1000)/($H137*$B$5),(PI()*CJ$12^2)/4*(CF137*$W137*1000)/($G137*$B$5)))),
IF($D137="Pressio.",
IF($E137=3,(PI()*CJ$12^2)/4*(CF137*$W137*1000)/($H137*$B$5),(PI()*CJ$12^2)/4*(CF137*$W137*1000)/($G137*$B$5)),
IF($D137="Pénétro.",
IF($E137=4,(PI()*CJ$12^2)/4*(CF137*$W137*1000)/($H137*$B$5),(PI()*CJ$12^2)/4*(CF137*$W137*1000)/($G137*$B$5))))))/10</f>
        <v>#N/A</v>
      </c>
      <c r="CK137" s="102" t="e">
        <f>(VLOOKUP($B$3,'Coeff EC7'!$T$39:$X$59,2,0)*CI137+VLOOKUP($B$3,'Coeff EC7'!$T$65:$X$85,2,0)*Model0.1C!CJ137)/1.1</f>
        <v>#N/A</v>
      </c>
      <c r="CL137" s="102" t="e">
        <f>(VLOOKUP($B$3,'Coeff EC7'!$T$39:$X$59,3,0)*CI137+VLOOKUP($B$3,'Coeff EC7'!$T$65:$X$85,3,0)*Model0.1C!CJ137)/0.9</f>
        <v>#N/A</v>
      </c>
      <c r="CM137" s="102" t="e">
        <f t="shared" si="182"/>
        <v>#N/A</v>
      </c>
      <c r="CN137" s="102" t="e">
        <f t="shared" si="183"/>
        <v>#N/A</v>
      </c>
      <c r="CO137" s="414" t="e">
        <f>IF(CO136=0,0,IF(AND(CK137&gt;charge_ELS_quasi,CL137&gt;Charge_ELS_freq,CM137&gt;charge_ELU,CN137&gt;charge_ELA,$B137&gt;NDC!$H$22-0.1+MIN(3*$CO$12,1.5)),0,1))</f>
        <v>#N/A</v>
      </c>
      <c r="CP137" s="86" t="b">
        <f t="shared" si="151"/>
        <v>0</v>
      </c>
      <c r="CQ137" s="86">
        <f t="shared" si="152"/>
        <v>0.5</v>
      </c>
      <c r="CR137" s="86">
        <f t="shared" si="153"/>
        <v>0.5</v>
      </c>
      <c r="CS137" s="30" t="e">
        <f t="shared" ca="1" si="184"/>
        <v>#DIV/0!</v>
      </c>
      <c r="CT137" s="85" t="e">
        <f ca="1">IF(BZ137&lt;=Hypothèses!$V$7,Hypothèses!$W$7,IF(BZ137&lt;=Hypothèses!$V$8,Hypothèses!$W$8,IF(BZ137&lt;=Hypothèses!$V$9,Hypothèses!$W$9,IF(BZ137&lt;=Hypothèses!$V$10,Hypothèses!$W$10,IF(BZ137&lt;=Hypothèses!$V$11,Hypothèses!$W$11,IF(BZ137&lt;=Hypothèses!$V$12,Hypothèses!$W$12,IF(BZ137&lt;=Hypothèses!$V$13,Hypothèses!$W$13,IF(BZ137&lt;=Hypothèses!$V$14,Hypothèses!$W$14,IF(BZ137&lt;=Hypothèses!$V$15,Hypothèses!$W$15,IF(BZ137&lt;=Hypothèses!$V$16,Hypothèses!$W$16,IF(BZ137&lt;=Hypothèses!$V$17,Hypothèses!$W$17,IF(BZ137&lt;=Hypothèses!$V$18,Hypothèses!$W$18,""))))))))))))</f>
        <v>#DIV/0!</v>
      </c>
      <c r="CU137" s="87" t="e">
        <f t="shared" ca="1" si="220"/>
        <v>#DIV/0!</v>
      </c>
      <c r="CV137" s="88" t="e">
        <f ca="1">IF(BZ137&lt;=Hypothèses!$V$7,Hypothèses!$X$7,IF(BZ137&lt;=Hypothèses!$V$8,Hypothèses!$X$8,IF(BZ137&lt;=Hypothèses!$V$9,Hypothèses!$X$9,IF(BZ137&lt;=Hypothèses!$V$10,Hypothèses!$X$10,IF(BZ137&lt;=Hypothèses!$V$11,Hypothèses!$X$11,IF(BZ137&lt;=Hypothèses!$V$12,Hypothèses!$X$12,IF(BZ137&lt;=Hypothèses!$V$13,Hypothèses!$X$13,IF(BZ137&lt;=Hypothèses!$V$14,Hypothèses!$X$14,IF(BZ137&lt;=Hypothèses!$V$15,Hypothèses!$X$15,IF(BZ137&lt;=Hypothèses!$V$16,Hypothèses!$X$16,IF(BZ137&lt;=Hypothèses!$U$17,Hypothèses!$W$17,IF(BZ137&lt;=Hypothèses!$U$18,Hypothèses!$W$18,""))))))))))))</f>
        <v>#DIV/0!</v>
      </c>
      <c r="CW137" s="95" t="e">
        <f t="shared" ca="1" si="185"/>
        <v>#DIV/0!</v>
      </c>
      <c r="CX137" s="101" t="e">
        <f t="shared" si="227"/>
        <v>#N/A</v>
      </c>
      <c r="CY137" s="91" t="e">
        <f t="shared" si="154"/>
        <v>#N/A</v>
      </c>
      <c r="CZ137" s="30" t="e">
        <f t="shared" si="208"/>
        <v>#N/A</v>
      </c>
      <c r="DA137" s="30" t="e">
        <f t="shared" si="209"/>
        <v>#N/A</v>
      </c>
      <c r="DB137" s="31" t="e">
        <f>IF(OR(Hypothèses!$B$4=17,Hypothèses!$B$4=18,Hypothèses!$B$4=19,Hypothèses!$B$4=20),
IF($D137="Pressio.",
IF(OR($E137=3,$E137=1,$E137=4),DA137,CZ137),
IF($D137="Pénétro.",
IF(OR($E137=3,$E137=1,$E137=4),DA137,CZ137))),IF($D137="Pressio.",
IF($E137=3,DA137,CZ137),
IF($D137="Pénétro.",
IF($E137=4,DA137,CZ137))))</f>
        <v>#N/A</v>
      </c>
      <c r="DC137" s="31" t="e">
        <f>(IF(OR(Hypothèses!$B$4=17,Hypothèses!$B$4=18,Hypothèses!$B$4=19,Hypothèses!$B$4=20),
IF($D137="Pressio.",
IF(OR($E137=3,$E137=1,$E137=4),(PI()*DC$12^2)/4*(CY137*$W137*1000)/($H137*$B$5),(PI()*DC$12^2)/4*(CY137*$W137*1000)/($G137*$B$5)),
IF($D137="Pénétro.",
IF(OR($E137=4,$E137=1,$E137=5),(PI()*DC$12^2)/4*(CY137*$W137*1000)/($H137*$B$5),(PI()*DC$12^2)/4*(CY137*$W137*1000)/($G137*$B$5)))),
IF($D137="Pressio.",
IF($E137=3,(PI()*DC$12^2)/4*(CY137*$W137*1000)/($H137*$B$5),(PI()*DC$12^2)/4*(CY137*$W137*1000)/($G137*$B$5)),
IF($D137="Pénétro.",
IF($E137=4,(PI()*DC$12^2)/4*(CY137*$W137*1000)/($H137*$B$5),(PI()*DC$12^2)/4*(CY137*$W137*1000)/($G137*$B$5))))))/10</f>
        <v>#N/A</v>
      </c>
      <c r="DD137" s="102" t="e">
        <f>(VLOOKUP($B$3,'Coeff EC7'!$T$39:$X$59,2,0)*DB137+VLOOKUP($B$3,'Coeff EC7'!$T$65:$X$85,2,0)*Model0.1C!DC137)/1.1</f>
        <v>#N/A</v>
      </c>
      <c r="DE137" s="102" t="e">
        <f>(VLOOKUP($B$3,'Coeff EC7'!$T$39:$X$59,3,0)*DB137+VLOOKUP($B$3,'Coeff EC7'!$T$65:$X$85,3,0)*Model0.1C!DC137)/0.9</f>
        <v>#N/A</v>
      </c>
      <c r="DF137" s="102" t="e">
        <f t="shared" si="186"/>
        <v>#N/A</v>
      </c>
      <c r="DG137" s="102" t="e">
        <f t="shared" si="187"/>
        <v>#N/A</v>
      </c>
      <c r="DH137" s="414" t="e">
        <f>IF(DH136=0,0,IF(AND(DD137&gt;charge_ELS_quasi,DE137&gt;Charge_ELS_freq,DF137&gt;charge_ELU,DG137&gt;charge_ELA,$B137&gt;NDC!$H$22-0.1+MIN(3*$DH$12,1.5)),0,1))</f>
        <v>#N/A</v>
      </c>
      <c r="DI137" s="86" t="b">
        <f t="shared" si="155"/>
        <v>0</v>
      </c>
      <c r="DJ137" s="86">
        <f t="shared" si="156"/>
        <v>0.5</v>
      </c>
      <c r="DK137" s="86">
        <f t="shared" si="157"/>
        <v>0.5</v>
      </c>
      <c r="DL137" s="30" t="e">
        <f t="shared" ca="1" si="188"/>
        <v>#DIV/0!</v>
      </c>
      <c r="DM137" s="85" t="e">
        <f ca="1">IF(CS137&lt;=Hypothèses!$V$7,Hypothèses!$W$7,IF(CS137&lt;=Hypothèses!$V$8,Hypothèses!$W$8,IF(CS137&lt;=Hypothèses!$V$9,Hypothèses!$W$9,IF(CS137&lt;=Hypothèses!$V$10,Hypothèses!$W$10,IF(CS137&lt;=Hypothèses!$V$11,Hypothèses!$W$11,IF(CS137&lt;=Hypothèses!$V$12,Hypothèses!$W$12,IF(CS137&lt;=Hypothèses!$V$13,Hypothèses!$W$13,IF(CS137&lt;=Hypothèses!$V$14,Hypothèses!$W$14,IF(CS137&lt;=Hypothèses!$V$15,Hypothèses!$W$15,IF(CS137&lt;=Hypothèses!$V$16,Hypothèses!$W$16,IF(CS137&lt;=Hypothèses!$V$17,Hypothèses!$W$17,IF(CS137&lt;=Hypothèses!$V$18,Hypothèses!$W$18,""))))))))))))</f>
        <v>#DIV/0!</v>
      </c>
      <c r="DN137" s="87" t="e">
        <f t="shared" ca="1" si="221"/>
        <v>#DIV/0!</v>
      </c>
      <c r="DO137" s="88" t="e">
        <f ca="1">IF(CS137&lt;=Hypothèses!$V$7,Hypothèses!$X$7,IF(CS137&lt;=Hypothèses!$V$8,Hypothèses!$X$8,IF(CS137&lt;=Hypothèses!$V$9,Hypothèses!$X$9,IF(CS137&lt;=Hypothèses!$V$10,Hypothèses!$X$10,IF(CS137&lt;=Hypothèses!$V$11,Hypothèses!$X$11,IF(CS137&lt;=Hypothèses!$V$12,Hypothèses!$X$12,IF(CS137&lt;=Hypothèses!$V$13,Hypothèses!$X$13,IF(CS137&lt;=Hypothèses!$V$14,Hypothèses!$X$14,IF(CS137&lt;=Hypothèses!$V$15,Hypothèses!$X$15,IF(CS137&lt;=Hypothèses!$V$16,Hypothèses!$X$16,IF(CS137&lt;=Hypothèses!$U$17,Hypothèses!$W$17,IF(CS137&lt;=Hypothèses!$U$18,Hypothèses!$W$18,""))))))))))))</f>
        <v>#DIV/0!</v>
      </c>
      <c r="DP137" s="95" t="e">
        <f t="shared" ca="1" si="189"/>
        <v>#DIV/0!</v>
      </c>
      <c r="DQ137" s="101" t="e">
        <f t="shared" si="228"/>
        <v>#N/A</v>
      </c>
      <c r="DR137" s="91" t="e">
        <f t="shared" si="158"/>
        <v>#N/A</v>
      </c>
      <c r="DS137" s="30" t="e">
        <f t="shared" si="210"/>
        <v>#N/A</v>
      </c>
      <c r="DT137" s="30" t="e">
        <f t="shared" si="211"/>
        <v>#N/A</v>
      </c>
      <c r="DU137" s="31" t="e">
        <f>IF(OR(Hypothèses!$B$4=17,Hypothèses!$B$4=18,Hypothèses!$B$4=19,Hypothèses!$B$4=20),
IF($D137="Pressio.",
IF(OR($E137=3,$E137=1,$E137=4),DT137,DS137),
IF($D137="Pénétro.",
IF(OR($E137=3,$E137=1,$E137=4),DT137,DS137))),IF($D137="Pressio.",
IF($E137=3,DT137,DS137),
IF($D137="Pénétro.",
IF($E137=4,DT137,DS137))))</f>
        <v>#N/A</v>
      </c>
      <c r="DV137" s="31" t="e">
        <f>(IF(OR(Hypothèses!$B$4=17,Hypothèses!$B$4=18,Hypothèses!$B$4=19,Hypothèses!$B$4=20),
IF($D137="Pressio.",
IF(OR($E137=3,$E137=1,$E137=4),(PI()*DV$12^2)/4*(DR137*$W137*1000)/($H137*$B$5),(PI()*DV$12^2)/4*(DR137*$W137*1000)/($G137*$B$5)),
IF($D137="Pénétro.",
IF(OR($E137=4,$E137=1,$E137=5),(PI()*DV$12^2)/4*(DR137*$W137*1000)/($H137*$B$5),(PI()*DV$12^2)/4*(DR137*$W137*1000)/($G137*$B$5)))),
IF($D137="Pressio.",
IF($E137=3,(PI()*DV$12^2)/4*(DR137*$W137*1000)/($H137*$B$5),(PI()*DV$12^2)/4*(DR137*$W137*1000)/($G137*$B$5)),
IF($D137="Pénétro.",
IF($E137=4,(PI()*DV$12^2)/4*(DR137*$W137*1000)/($H137*$B$5),(PI()*DV$12^2)/4*(DR137*$W137*1000)/($G137*$B$5))))))/10</f>
        <v>#N/A</v>
      </c>
      <c r="DW137" s="102" t="e">
        <f>(VLOOKUP($B$3,'Coeff EC7'!$T$39:$X$59,2,0)*DU137+VLOOKUP($B$3,'Coeff EC7'!$T$65:$X$85,2,0)*Model0.1C!DV137)/1.1</f>
        <v>#N/A</v>
      </c>
      <c r="DX137" s="102" t="e">
        <f>(VLOOKUP($B$3,'Coeff EC7'!$T$39:$X$59,3,0)*DU137+VLOOKUP($B$3,'Coeff EC7'!$T$65:$X$85,3,0)*Model0.1C!DV137)/0.9</f>
        <v>#N/A</v>
      </c>
      <c r="DY137" s="102" t="e">
        <f t="shared" si="190"/>
        <v>#N/A</v>
      </c>
      <c r="DZ137" s="102" t="e">
        <f t="shared" si="191"/>
        <v>#N/A</v>
      </c>
      <c r="EA137" s="414" t="e">
        <f>IF(EA136=0,0,IF(AND(DW137&gt;charge_ELS_quasi,DX137&gt;Charge_ELS_freq,DY137&gt;charge_ELU,DZ137&gt;charge_ELA,$B137&gt;NDC!$H$22-0.1+MIN(3*$EA$12,1.5)),0,1))</f>
        <v>#N/A</v>
      </c>
      <c r="EB137" s="86" t="b">
        <f t="shared" si="159"/>
        <v>0</v>
      </c>
      <c r="EC137" s="418">
        <f t="shared" si="160"/>
        <v>0.51</v>
      </c>
      <c r="ED137" s="86">
        <f t="shared" si="161"/>
        <v>0.51</v>
      </c>
      <c r="EE137" s="30" t="e">
        <f t="shared" ca="1" si="192"/>
        <v>#DIV/0!</v>
      </c>
      <c r="EF137" s="85" t="e">
        <f ca="1">IF(DL137&lt;=Hypothèses!$V$7,Hypothèses!$W$7,IF(DL137&lt;=Hypothèses!$V$8,Hypothèses!$W$8,IF(DL137&lt;=Hypothèses!$V$9,Hypothèses!$W$9,IF(DL137&lt;=Hypothèses!$V$10,Hypothèses!$W$10,IF(DL137&lt;=Hypothèses!$V$11,Hypothèses!$W$11,IF(DL137&lt;=Hypothèses!$V$12,Hypothèses!$W$12,IF(DL137&lt;=Hypothèses!$V$13,Hypothèses!$W$13,IF(DL137&lt;=Hypothèses!$V$14,Hypothèses!$W$14,IF(DL137&lt;=Hypothèses!$V$15,Hypothèses!$W$15,IF(DL137&lt;=Hypothèses!$V$16,Hypothèses!$W$16,IF(DL137&lt;=Hypothèses!$V$17,Hypothèses!$W$17,IF(DL137&lt;=Hypothèses!$V$18,Hypothèses!$W$18,""))))))))))))</f>
        <v>#DIV/0!</v>
      </c>
      <c r="EG137" s="87" t="e">
        <f t="shared" ca="1" si="222"/>
        <v>#DIV/0!</v>
      </c>
      <c r="EH137" s="88" t="e">
        <f ca="1">IF(DL137&lt;=Hypothèses!$V$7,Hypothèses!$X$7,IF(DL137&lt;=Hypothèses!$V$8,Hypothèses!$X$8,IF(DL137&lt;=Hypothèses!$V$9,Hypothèses!$X$9,IF(DL137&lt;=Hypothèses!$V$10,Hypothèses!$X$10,IF(DL137&lt;=Hypothèses!$V$11,Hypothèses!$X$11,IF(DL137&lt;=Hypothèses!$V$12,Hypothèses!$X$12,IF(DL137&lt;=Hypothèses!$V$13,Hypothèses!$X$13,IF(DL137&lt;=Hypothèses!$V$14,Hypothèses!$X$14,IF(DL137&lt;=Hypothèses!$V$15,Hypothèses!$X$15,IF(DL137&lt;=Hypothèses!$V$16,Hypothèses!$X$16,IF(DL137&lt;=Hypothèses!$U$17,Hypothèses!$W$17,IF(DL137&lt;=Hypothèses!$U$18,Hypothèses!$W$18,""))))))))))))</f>
        <v>#DIV/0!</v>
      </c>
      <c r="EI137" s="95" t="e">
        <f t="shared" ca="1" si="193"/>
        <v>#DIV/0!</v>
      </c>
      <c r="EJ137" s="101" t="e">
        <f t="shared" si="229"/>
        <v>#N/A</v>
      </c>
      <c r="EK137" s="91" t="e">
        <f t="shared" si="162"/>
        <v>#N/A</v>
      </c>
      <c r="EL137" s="30" t="e">
        <f t="shared" si="212"/>
        <v>#N/A</v>
      </c>
      <c r="EM137" s="30" t="e">
        <f t="shared" si="213"/>
        <v>#N/A</v>
      </c>
      <c r="EN137" s="31" t="e">
        <f>IF(OR(Hypothèses!$B$4=17,Hypothèses!$B$4=18,Hypothèses!$B$4=19,Hypothèses!$B$4=20),
IF($D137="Pressio.",
IF(OR($E137=3,$E137=1,$E137=4),EM137,EL137),
IF($D137="Pénétro.",
IF(OR($E137=3,$E137=1,$E137=4),EM137,EL137))),IF($D137="Pressio.",
IF($E137=3,EM137,EL137),
IF($D137="Pénétro.",
IF($E137=4,EM137,EL137))))</f>
        <v>#N/A</v>
      </c>
      <c r="EO137" s="31" t="e">
        <f>(IF(OR(Hypothèses!$B$4=17,Hypothèses!$B$4=18,Hypothèses!$B$4=19,Hypothèses!$B$4=20),
IF($D137="Pressio.",
IF(OR($E137=3,$E137=1,$E137=4),(PI()*EO$12^2)/4*(EK137*$W137*1000)/($H137*$B$5),(PI()*EO$12^2)/4*(EK137*$W137*1000)/($G137*$B$5)),
IF($D137="Pénétro.",
IF(OR($E137=4,$E137=1,$E137=5),(PI()*EO$12^2)/4*(EK137*$W137*1000)/($H137*$B$5),(PI()*EO$12^2)/4*(EK137*$W137*1000)/($G137*$B$5)))),
IF($D137="Pressio.",
IF($E137=3,(PI()*EO$12^2)/4*(EK137*$W137*1000)/($H137*$B$5),(PI()*EO$12^2)/4*(EK137*$W137*1000)/($G137*$B$5)),
IF($D137="Pénétro.",
IF($E137=4,(PI()*EO$12^2)/4*(EK137*$W137*1000)/($H137*$B$5),(PI()*EO$12^2)/4*(EK137*$W137*1000)/($G137*$B$5))))))/10</f>
        <v>#N/A</v>
      </c>
      <c r="EP137" s="102" t="e">
        <f>(VLOOKUP($B$3,'Coeff EC7'!$T$39:$X$59,2,0)*EN137+VLOOKUP($B$3,'Coeff EC7'!$T$65:$X$85,2,0)*Model0.1C!EO137)/1.1</f>
        <v>#N/A</v>
      </c>
      <c r="EQ137" s="102" t="e">
        <f>(VLOOKUP($B$3,'Coeff EC7'!$T$39:$X$59,3,0)*EN137+VLOOKUP($B$3,'Coeff EC7'!$T$65:$X$85,3,0)*Model0.1C!EO137)/0.9</f>
        <v>#N/A</v>
      </c>
      <c r="ER137" s="102" t="e">
        <f t="shared" si="194"/>
        <v>#N/A</v>
      </c>
      <c r="ES137" s="102" t="e">
        <f t="shared" si="195"/>
        <v>#N/A</v>
      </c>
      <c r="ET137" s="414" t="e">
        <f>IF(ET136=0,0,IF(AND(EP137&gt;charge_ELS_quasi,EQ137&gt;Charge_ELS_freq,ER137&gt;charge_ELU,ES137&gt;charge_ELA,$B137&gt;NDC!$H$22-0.1+MIN(3*$ET$12,1.5)),0,1))</f>
        <v>#N/A</v>
      </c>
      <c r="EU137" s="86" t="b">
        <f t="shared" si="163"/>
        <v>0</v>
      </c>
      <c r="EV137" s="86">
        <f t="shared" si="164"/>
        <v>0.61</v>
      </c>
      <c r="EW137" s="86">
        <f t="shared" si="165"/>
        <v>0.61</v>
      </c>
      <c r="EX137" s="30" t="e">
        <f t="shared" ca="1" si="196"/>
        <v>#DIV/0!</v>
      </c>
      <c r="EY137" s="85" t="e">
        <f ca="1">IF(EE137&lt;=Hypothèses!$V$7,Hypothèses!$W$7,IF(EE137&lt;=Hypothèses!$V$8,Hypothèses!$W$8,IF(EE137&lt;=Hypothèses!$V$9,Hypothèses!$W$9,IF(EE137&lt;=Hypothèses!$V$10,Hypothèses!$W$10,IF(EE137&lt;=Hypothèses!$V$11,Hypothèses!$W$11,IF(EE137&lt;=Hypothèses!$V$12,Hypothèses!$W$12,IF(EE137&lt;=Hypothèses!$V$13,Hypothèses!$W$13,IF(EE137&lt;=Hypothèses!$V$14,Hypothèses!$W$14,IF(EE137&lt;=Hypothèses!$V$15,Hypothèses!$W$15,IF(EE137&lt;=Hypothèses!$V$16,Hypothèses!$W$16,IF(EE137&lt;=Hypothèses!$V$17,Hypothèses!$W$17,IF(EE137&lt;=Hypothèses!$V$18,Hypothèses!$W$18,""))))))))))))</f>
        <v>#DIV/0!</v>
      </c>
      <c r="EZ137" s="87" t="e">
        <f t="shared" ca="1" si="223"/>
        <v>#DIV/0!</v>
      </c>
      <c r="FA137" s="88" t="e">
        <f ca="1">IF(EE137&lt;=Hypothèses!$V$7,Hypothèses!$X$7,IF(EE137&lt;=Hypothèses!$V$8,Hypothèses!$X$8,IF(EE137&lt;=Hypothèses!$V$9,Hypothèses!$X$9,IF(EE137&lt;=Hypothèses!$V$10,Hypothèses!$X$10,IF(EE137&lt;=Hypothèses!$V$11,Hypothèses!$X$11,IF(EE137&lt;=Hypothèses!$V$12,Hypothèses!$X$12,IF(EE137&lt;=Hypothèses!$V$13,Hypothèses!$X$13,IF(EE137&lt;=Hypothèses!$V$14,Hypothèses!$X$14,IF(EE137&lt;=Hypothèses!$V$15,Hypothèses!$X$15,IF(EE137&lt;=Hypothèses!$V$16,Hypothèses!$X$16,IF(EE137&lt;=Hypothèses!$U$17,Hypothèses!$W$17,IF(EE137&lt;=Hypothèses!$U$18,Hypothèses!$W$18,""))))))))))))</f>
        <v>#DIV/0!</v>
      </c>
      <c r="FB137" s="95" t="e">
        <f t="shared" ca="1" si="197"/>
        <v>#DIV/0!</v>
      </c>
      <c r="FC137" s="101" t="e">
        <f t="shared" si="230"/>
        <v>#N/A</v>
      </c>
      <c r="FD137" s="91" t="e">
        <f t="shared" si="166"/>
        <v>#N/A</v>
      </c>
      <c r="FE137" s="30" t="e">
        <f t="shared" si="214"/>
        <v>#N/A</v>
      </c>
      <c r="FF137" s="30" t="e">
        <f t="shared" si="215"/>
        <v>#N/A</v>
      </c>
      <c r="FG137" s="31" t="e">
        <f>IF(OR(Hypothèses!$B$4=17,Hypothèses!$B$4=18,Hypothèses!$B$4=19,Hypothèses!$B$4=20),
IF($D137="Pressio.",
IF(OR($E137=3,$E137=1,$E137=4),FF137,FE137),
IF($D137="Pénétro.",
IF(OR($E137=3,$E137=1,$E137=4),FF137,FE137))),IF($D137="Pressio.",
IF($E137=3,FF137,FE137),
IF($D137="Pénétro.",
IF($E137=4,FF137,FE137))))</f>
        <v>#N/A</v>
      </c>
      <c r="FH137" s="31" t="e">
        <f>(IF(OR(Hypothèses!$B$4=17,Hypothèses!$B$4=18,Hypothèses!$B$4=19,Hypothèses!$B$4=20),
IF($D137="Pressio.",
IF(OR($E137=3,$E137=1,$E137=4),(PI()*FH$12^2)/4*(FD137*$W137*1000)/($H137*$B$5),(PI()*FH$12^2)/4*(FD137*$W137*1000)/($G137*$B$5)),
IF($D137="Pénétro.",
IF(OR($E137=4,$E137=1,$E137=5),(PI()*FH$12^2)/4*(FD137*$W137*1000)/($H137*$B$5),(PI()*FH$12^2)/4*(FD137*$W137*1000)/($G137*$B$5)))),
IF($D137="Pressio.",
IF($E137=3,(PI()*FH$12^2)/4*(FD137*$W137*1000)/($H137*$B$5),(PI()*FH$12^2)/4*(FD137*$W137*1000)/($G137*$B$5)),
IF($D137="Pénétro.",
IF($E137=4,(PI()*FH$12^2)/4*(FD137*$W137*1000)/($H137*$B$5),(PI()*FH$12^2)/4*(FD137*$W137*1000)/($G137*$B$5))))))/10</f>
        <v>#N/A</v>
      </c>
      <c r="FI137" s="102" t="e">
        <f>(VLOOKUP($B$3,'Coeff EC7'!$T$39:$X$59,2,0)*FG137+VLOOKUP($B$3,'Coeff EC7'!$T$65:$X$85,2,0)*Model0.1C!FH137)/1.1</f>
        <v>#N/A</v>
      </c>
      <c r="FJ137" s="102" t="e">
        <f>(VLOOKUP($B$3,'Coeff EC7'!$T$39:$X$59,3,0)*FG137+VLOOKUP($B$3,'Coeff EC7'!$T$65:$X$85,3,0)*Model0.1C!FH137)/0.9</f>
        <v>#N/A</v>
      </c>
      <c r="FK137" s="102" t="e">
        <f t="shared" si="198"/>
        <v>#N/A</v>
      </c>
      <c r="FL137" s="102" t="e">
        <f t="shared" si="199"/>
        <v>#N/A</v>
      </c>
      <c r="FM137" s="414" t="e">
        <f>IF(FM136=0,0,IF(AND(FI137&gt;charge_ELS_quasi,FJ137&gt;Charge_ELS_freq,FK137&gt;charge_ELU,FL137&gt;charge_ELA,$B137&gt;NDC!$H$22-0.1+MIN(3*$FM$12,1.5)),0,1))</f>
        <v>#N/A</v>
      </c>
    </row>
    <row r="138" spans="1:169">
      <c r="A138" s="96">
        <f t="shared" si="167"/>
        <v>87.500000000000711</v>
      </c>
      <c r="B138" s="97">
        <v>12.5</v>
      </c>
      <c r="C138" s="81">
        <f>IF(B138&lt;=Hypothèses!$C$7,Hypothèses!$A$7,IF(B138&lt;=Hypothèses!$C$8,Hypothèses!$A$8,IF(B138&lt;=Hypothèses!$C$9,Hypothèses!$A$9,IF(B138&lt;=Hypothèses!$C$10,Hypothèses!$A$10,IF(B138&lt;=Hypothèses!$C$11,Hypothèses!$A$11,IF(B138&lt;=Hypothèses!$C$12,Hypothèses!$A$12,IF(B138&lt;=Hypothèses!$C$13,Hypothèses!$A$13,IF(B138&lt;=Hypothèses!$C$14,Hypothèses!$A$14,IF(B138&lt;=Hypothèses!$C$15,Hypothèses!$A$15,IF(B138&lt;=Hypothèses!$C$16,Hypothèses!$A$16,IF(B138&lt;=Hypothèses!$C$17,Hypothèses!$A$17,IF(B138&lt;=Hypothèses!$C$18,Hypothèses!$A$18,C137))))))))))))</f>
        <v>11</v>
      </c>
      <c r="D138" s="82" t="str">
        <f>IF(B138&lt;=Hypothèses!$C$7,Hypothèses!$R$7,IF(B138&lt;=Hypothèses!$C$8,Hypothèses!$R$8,IF(B138&lt;=Hypothèses!$C$9,Hypothèses!$R$9,IF(B138&lt;=Hypothèses!$C$10,Hypothèses!$R$10,IF(B138&lt;=Hypothèses!$C$11,Hypothèses!$R$11,IF(B138&lt;=Hypothèses!$C$12,Hypothèses!$R$12,IF(B138&lt;=Hypothèses!$C$13,Hypothèses!$R$13,IF(B138&lt;=Hypothèses!$C$14,Hypothèses!$R$14,IF(B138&lt;=Hypothèses!$C$15,Hypothèses!$R$15,IF(B138&lt;=Hypothèses!$C$16,Hypothèses!$R$16,IF(B138&lt;=Hypothèses!$C$17,Hypothèses!$R$17,IF(B138&lt;=Hypothèses!$C$18,Hypothèses!$R$18,D137))))))))))))</f>
        <v>Pressio.</v>
      </c>
      <c r="E138" s="82" t="e">
        <f>IF(B138&lt;=Hypothèses!$C$7,Hypothèses!$G$7,IF(B138&lt;=Hypothèses!$C$8,Hypothèses!$G$8,IF(B138&lt;=Hypothèses!$C$9,Hypothèses!$G$9,IF(B138&lt;=Hypothèses!$C$10,Hypothèses!$G$10,IF(B138&lt;=Hypothèses!$C$11,Hypothèses!$G$11,IF(B138&lt;=Hypothèses!$C$12,Hypothèses!$G$12,IF(B138&lt;=Hypothèses!$C$13,Hypothèses!$G$13,IF(B138&lt;=Hypothèses!$C$14,Hypothèses!$G$14,IF(B138&lt;=Hypothèses!$C$15,Hypothèses!$G$15,IF(B138&lt;=Hypothèses!$C$16,Hypothèses!$G$16,IF(B138&lt;=Hypothèses!$C$17,Hypothèses!$G$17,IF(B138&lt;=Hypothèses!$C$18,Hypothèses!$G$18,E137))))))))))))</f>
        <v>#N/A</v>
      </c>
      <c r="F138" s="82" t="str">
        <f>IF(B138&lt;=Hypothèses!$C$7,Hypothèses!$F$7,IF(B138&lt;=Hypothèses!$C$8,Hypothèses!$F$8,IF(B138&lt;=Hypothèses!$C$9,Hypothèses!$F$9,IF(B138&lt;=Hypothèses!$C$10,Hypothèses!$F$10,IF(B138&lt;=Hypothèses!$C$11,Hypothèses!$F$11,IF(B138&lt;=Hypothèses!$C$12,Hypothèses!$F$12,IF(B138&lt;=Hypothèses!$C$13,Hypothèses!$F$13,IF(B138&lt;=Hypothèses!$C$14,Hypothèses!$F$14,IF(B138&lt;=Hypothèses!$C$15,Hypothèses!$F$15,IF(B138&lt;=Hypothèses!$C$16,Hypothèses!$F$16,IF(B138&lt;=Hypothèses!$C$17,Hypothèses!$F$17,IF(B138&lt;=Hypothèses!$C$18,Hypothèses!$F$18,F137))))))))))))</f>
        <v/>
      </c>
      <c r="G138" s="91">
        <f t="array" ref="G138">INDEX('Coeff EC7'!$U$7:$X$27,
MATCH(Model0.1C!$B$3,'Coeff EC7'!$T$7:$T$27,0),
MATCH(Model0.1C!$D138&amp;Model0.1C!$B$4,
'Coeff EC7'!$U$6:$X$6&amp;
'Coeff EC7'!$U$5:$X$5,0))</f>
        <v>1.1499999999999999</v>
      </c>
      <c r="H138" s="91">
        <f t="array" ref="H138">INDEX('Coeff EC7'!$Y$7:$AB$27,
MATCH(Model0.1C!$B$3,'Coeff EC7'!$T$7:$T$27,0),
MATCH(Model0.1C!$D138&amp;Model0.1C!$B$4,
'Coeff EC7'!$Y$6:$AB$6&amp;
'Coeff EC7'!$Y$5:$AB$5,0))</f>
        <v>1.4</v>
      </c>
      <c r="I138" s="83" t="e">
        <f>IF(B138&lt;=Hypothèses!$C$7,Hypothèses!$P$7,IF(B138&lt;=Hypothèses!$C$8,Hypothèses!$P$8,IF(B138&lt;=Hypothèses!$C$9,Hypothèses!$P$9,IF(B138&lt;=Hypothèses!$C$10,Hypothèses!$P$10,IF(B138&lt;=Hypothèses!$C$11,Hypothèses!$P$11,IF(B138&lt;=Hypothèses!$C$12,Hypothèses!$P$12,IF(B138&lt;=Hypothèses!$C$13,Hypothèses!$P$13,IF(B138&lt;=Hypothèses!$C$14,Hypothèses!$P$14,IF(B138&lt;=Hypothèses!$C$15,Hypothèses!$P$15,IF(B138&lt;=Hypothèses!$C$16,Hypothèses!$P$16,IF(B138&lt;=Hypothèses!$C$17,Hypothèses!$P$17,IF(B138&lt;=Hypothèses!$C$18,Hypothèses!$P$18,I137))))))))))))</f>
        <v>#N/A</v>
      </c>
      <c r="J138" s="91" t="e">
        <f t="array" ref="J138">INDEX('Coeff EC7'!$D$33:$Q$33,1,MATCH(D138&amp;E138,'Coeff EC7'!$D$31:$Q$31&amp;'Coeff EC7'!$D$32:$Q$32,0))</f>
        <v>#N/A</v>
      </c>
      <c r="K138" s="91" t="e">
        <f t="array" ref="K138">INDEX('Coeff EC7'!$D$34:$Q$34,1,MATCH(D138&amp;E138,'Coeff EC7'!$D$31:$Q$31&amp;'Coeff EC7'!$D$32:$Q$32,0))</f>
        <v>#N/A</v>
      </c>
      <c r="L138" s="91" t="e">
        <f t="array" ref="L138">INDEX('Coeff EC7'!$D$35:$Q$35,1,MATCH(D138&amp;E138,'Coeff EC7'!$D$31:$Q$31&amp;'Coeff EC7'!$D$32:$Q$32,0))</f>
        <v>#N/A</v>
      </c>
      <c r="M138" s="98" t="e">
        <f t="shared" si="131"/>
        <v>#N/A</v>
      </c>
      <c r="N138" s="99" t="e">
        <f t="array" ref="N138">INDEX('Coeff EC7'!$D$7:$Q$27,MATCH($B$3,'Coeff EC7'!$C$7:$C$27,0),MATCH(D138&amp;E138,'Coeff EC7'!$D$5:$Q$5&amp;'Coeff EC7'!$D$6:$Q$6,0))</f>
        <v>#N/A</v>
      </c>
      <c r="O138" s="99" t="e">
        <f t="array" ref="O138">INDEX('Coeff EC7'!$D$41:$Q$61,MATCH($B$3,'Coeff EC7'!$C$41:$C$61,0),MATCH(D138&amp;E138,'Coeff EC7'!$D$39:$Q$39&amp;'Coeff EC7'!$D$40:$Q$40,0))</f>
        <v>#N/A</v>
      </c>
      <c r="P138" s="30" t="e">
        <f t="shared" si="168"/>
        <v>#N/A</v>
      </c>
      <c r="Q138" s="100" t="e">
        <f t="shared" si="133"/>
        <v>#N/A</v>
      </c>
      <c r="R138" s="86" t="b">
        <f t="shared" si="134"/>
        <v>0</v>
      </c>
      <c r="S138" s="86">
        <f t="shared" si="132"/>
        <v>0.5</v>
      </c>
      <c r="T138" s="86">
        <f t="shared" si="135"/>
        <v>0.5</v>
      </c>
      <c r="U138" s="30" t="e">
        <f t="shared" ca="1" si="169"/>
        <v>#DIV/0!</v>
      </c>
      <c r="V138" s="85" t="str">
        <f>IF(B138&lt;=Hypothèses!$V$7,Hypothèses!$W$7,IF(B138&lt;=Hypothèses!$V$8,Hypothèses!$W$8,IF(B138&lt;=Hypothèses!$V$9,Hypothèses!$W$9,IF(B138&lt;=Hypothèses!$V$10,Hypothèses!$W$10,IF(B138&lt;=Hypothèses!$V$11,Hypothèses!$W$11,IF(B138&lt;=Hypothèses!$V$12,Hypothèses!$W$12,IF(B138&lt;=Hypothèses!$V$13,Hypothèses!$W$13,IF(B138&lt;=Hypothèses!$V$14,Hypothèses!$W$14,IF(B138&lt;=Hypothèses!$V$15,Hypothèses!$W$15,IF(B138&lt;=Hypothèses!$V$16,Hypothèses!$W$16,IF(B138&lt;=Hypothèses!$V$17,Hypothèses!$W$17,IF(B138&lt;=Hypothèses!$V$18,Hypothèses!$W$18,""))))))))))))</f>
        <v/>
      </c>
      <c r="W138" s="87" t="e">
        <f t="shared" ca="1" si="216"/>
        <v>#DIV/0!</v>
      </c>
      <c r="X138" s="88" t="str">
        <f>IF(B138&lt;=Hypothèses!$V$7,Hypothèses!$X$7,IF(B138&lt;=Hypothèses!$V$8,Hypothèses!$X$8,IF(B138&lt;=Hypothèses!$V$9,Hypothèses!$X$9,IF(B138&lt;=Hypothèses!$V$10,Hypothèses!$X$10,IF(B138&lt;=Hypothèses!$V$11,Hypothèses!$X$11,IF(B138&lt;=Hypothèses!$V$12,Hypothèses!$X$12,IF(B138&lt;=Hypothèses!$V$13,Hypothèses!$X$13,IF(B138&lt;=Hypothèses!$V$14,Hypothèses!$X$14,IF(B138&lt;=Hypothèses!$V$15,Hypothèses!$X$15,IF(B138&lt;=Hypothèses!$V$16,Hypothèses!$X$16,IF(B138&lt;=Hypothèses!$U$17,Hypothèses!$W$17,IF(B138&lt;=Hypothèses!$U$18,Hypothèses!$W$18,""))))))))))))</f>
        <v/>
      </c>
      <c r="Y138" s="95" t="e">
        <f t="shared" ca="1" si="136"/>
        <v>#DIV/0!</v>
      </c>
      <c r="Z138" s="101" t="e">
        <f t="shared" si="137"/>
        <v>#N/A</v>
      </c>
      <c r="AA138" s="91" t="e">
        <f t="shared" si="138"/>
        <v>#N/A</v>
      </c>
      <c r="AB138" s="30" t="e">
        <f t="shared" si="200"/>
        <v>#N/A</v>
      </c>
      <c r="AC138" s="30" t="e">
        <f t="shared" si="201"/>
        <v>#N/A</v>
      </c>
      <c r="AD138" s="31" t="e">
        <f>IF(OR(Hypothèses!$B$4=17,Hypothèses!$B$4=18,Hypothèses!$B$4=19,Hypothèses!$B$4=20),
IF($D138="Pressio.",
IF(OR($E138=3,$E138=1,$E138=4),AC138,AB138),
IF($D138="Pénétro.",
IF(OR($E138=3,$E138=1,$E138=4),AC138,AB138))),IF($D138="Pressio.",
IF($E138=3,AC138,AB138),
IF($D138="Pénétro.",
IF($E138=4,AC138,AB138))))</f>
        <v>#N/A</v>
      </c>
      <c r="AE138" s="31" t="e">
        <f>(IF(OR(Hypothèses!$B$4=17,Hypothèses!$B$4=18,Hypothèses!$B$4=19,Hypothèses!$B$4=20),
IF($D138="Pressio.",
IF(OR($E138=3,$E138=1,$E138=4),(PI()*AE$12^2)/4*(AA138*$W138*1000)/($H138*$B$5),(PI()*AE$12^2)/4*(AA138*$W138*1000)/($G138*$B$5)),
IF($D138="Pénétro.",
IF(OR($E138=4,$E138=1,$E138=5),(PI()*AE$12^2)/4*(AA138*$W138*1000)/($H138*$B$5),(PI()*AE$12^2)/4*(AA138*$W138*1000)/($G138*$B$5)))),
IF($D138="Pressio.",
IF($E138=3,(PI()*AE$12^2)/4*(AA138*$W138*1000)/($H138*$B$5),(PI()*AE$12^2)/4*(AA138*$W138*1000)/($G138*$B$5)),
IF($D138="Pénétro.",
IF($E138=4,(PI()*AE$12^2)/4*(AA138*$W138*1000)/($H138*$B$5),(PI()*AE$12^2)/4*(AA138*$W138*1000)/($G138*$B$5))))))/10</f>
        <v>#N/A</v>
      </c>
      <c r="AF138" s="102" t="e">
        <f>(VLOOKUP($B$3,'Coeff EC7'!$T$39:$X$59,2,0)*AD138+VLOOKUP($B$3,'Coeff EC7'!$T$65:$X$85,2,0)*Model0.1C!AE138)/1.1</f>
        <v>#N/A</v>
      </c>
      <c r="AG138" s="102" t="e">
        <f>(VLOOKUP($B$3,'Coeff EC7'!$T$39:$X$59,3,0)*AD138+VLOOKUP($B$3,'Coeff EC7'!$T$65:$X$85,3,0)*Model0.1C!AE138)/0.9</f>
        <v>#N/A</v>
      </c>
      <c r="AH138" s="102" t="e">
        <f t="shared" si="139"/>
        <v>#N/A</v>
      </c>
      <c r="AI138" s="102" t="e">
        <f t="shared" si="140"/>
        <v>#N/A</v>
      </c>
      <c r="AJ138" s="414" t="e">
        <f>IF(AJ137=0,0,IF(AND(AF138&gt;charge_ELS_quasi,AG138&gt;Charge_ELS_freq,AH138&gt;charge_ELU,AI138&gt;charge_ELA,$B138&gt;NDC!$H$22-0.1+MIN(3*$AJ$12,1.5)),0,1))</f>
        <v>#N/A</v>
      </c>
      <c r="AK138" s="86" t="b">
        <f t="shared" si="141"/>
        <v>0</v>
      </c>
      <c r="AL138" s="86">
        <f t="shared" si="170"/>
        <v>0.5</v>
      </c>
      <c r="AM138" s="86">
        <f t="shared" si="142"/>
        <v>0.5</v>
      </c>
      <c r="AN138" s="30" t="e">
        <f t="shared" ca="1" si="171"/>
        <v>#DIV/0!</v>
      </c>
      <c r="AO138" s="85" t="e">
        <f ca="1">IF(U138&lt;=Hypothèses!$V$7,Hypothèses!$W$7,IF(U138&lt;=Hypothèses!$V$8,Hypothèses!$W$8,IF(U138&lt;=Hypothèses!$V$9,Hypothèses!$W$9,IF(U138&lt;=Hypothèses!$V$10,Hypothèses!$W$10,IF(U138&lt;=Hypothèses!$V$11,Hypothèses!$W$11,IF(U138&lt;=Hypothèses!$V$12,Hypothèses!$W$12,IF(U138&lt;=Hypothèses!$V$13,Hypothèses!$W$13,IF(U138&lt;=Hypothèses!$V$14,Hypothèses!$W$14,IF(U138&lt;=Hypothèses!$V$15,Hypothèses!$W$15,IF(U138&lt;=Hypothèses!$V$16,Hypothèses!$W$16,IF(U138&lt;=Hypothèses!$V$17,Hypothèses!$W$17,IF(U138&lt;=Hypothèses!$V$18,Hypothèses!$W$18,""))))))))))))</f>
        <v>#DIV/0!</v>
      </c>
      <c r="AP138" s="87" t="e">
        <f t="shared" ca="1" si="217"/>
        <v>#DIV/0!</v>
      </c>
      <c r="AQ138" s="88" t="e">
        <f ca="1">IF(U138&lt;=Hypothèses!$V$7,Hypothèses!$X$7,IF(U138&lt;=Hypothèses!$V$8,Hypothèses!$X$8,IF(U138&lt;=Hypothèses!$V$9,Hypothèses!$X$9,IF(U138&lt;=Hypothèses!$V$10,Hypothèses!$X$10,IF(U138&lt;=Hypothèses!$V$11,Hypothèses!$X$11,IF(U138&lt;=Hypothèses!$V$12,Hypothèses!$X$12,IF(U138&lt;=Hypothèses!$V$13,Hypothèses!$X$13,IF(U138&lt;=Hypothèses!$V$14,Hypothèses!$X$14,IF(U138&lt;=Hypothèses!$V$15,Hypothèses!$X$15,IF(U138&lt;=Hypothèses!$V$16,Hypothèses!$X$16,IF(U138&lt;=Hypothèses!$U$17,Hypothèses!$W$17,IF(U138&lt;=Hypothèses!$U$18,Hypothèses!$W$18,""))))))))))))</f>
        <v>#DIV/0!</v>
      </c>
      <c r="AR138" s="95" t="e">
        <f t="shared" ca="1" si="172"/>
        <v>#DIV/0!</v>
      </c>
      <c r="AS138" s="101" t="e">
        <f t="shared" si="224"/>
        <v>#N/A</v>
      </c>
      <c r="AT138" s="91" t="e">
        <f t="shared" si="143"/>
        <v>#N/A</v>
      </c>
      <c r="AU138" s="30" t="e">
        <f t="shared" si="202"/>
        <v>#N/A</v>
      </c>
      <c r="AV138" s="30" t="e">
        <f t="shared" si="203"/>
        <v>#N/A</v>
      </c>
      <c r="AW138" s="31" t="e">
        <f>IF(OR(Hypothèses!$B$4=17,Hypothèses!$B$4=18,Hypothèses!$B$4=19,Hypothèses!$B$4=20),
IF($D138="Pressio.",
IF(OR($E138=3,$E138=1,$E138=4),AV138,AU138),
IF($D138="Pénétro.",
IF(OR($E138=3,$E138=1,$E138=4),AV138,AU138))),IF($D138="Pressio.",
IF($E138=3,AV138,AU138),
IF($D138="Pénétro.",
IF($E138=4,AV138,AU138))))</f>
        <v>#N/A</v>
      </c>
      <c r="AX138" s="31" t="e">
        <f>(IF(OR(Hypothèses!$B$4=17,Hypothèses!$B$4=18,Hypothèses!$B$4=19,Hypothèses!$B$4=20),
IF($D138="Pressio.",
IF(OR($E138=3,$E138=1,$E138=4),(PI()*AX$12^2)/4*(AT138*$W138*1000)/($H138*$B$5),(PI()*AX$12^2)/4*(AT138*$W138*1000)/($G138*$B$5)),
IF($D138="Pénétro.",
IF(OR($E138=4,$E138=1,$E138=5),(PI()*AX$12^2)/4*(AT138*$W138*1000)/($H138*$B$5),(PI()*AX$12^2)/4*(AT138*$W138*1000)/($G138*$B$5)))),
IF($D138="Pressio.",
IF($E138=3,(PI()*AX$12^2)/4*(AT138*$W138*1000)/($H138*$B$5),(PI()*AX$12^2)/4*(AT138*$W138*1000)/($G138*$B$5)),
IF($D138="Pénétro.",
IF($E138=4,(PI()*AX$12^2)/4*(AT138*$W138*1000)/($H138*$B$5),(PI()*AX$12^2)/4*(AT138*$W138*1000)/($G138*$B$5))))))/10</f>
        <v>#N/A</v>
      </c>
      <c r="AY138" s="102" t="e">
        <f>(VLOOKUP($B$3,'Coeff EC7'!$T$39:$X$59,2,0)*AW138+VLOOKUP($B$3,'Coeff EC7'!$T$65:$X$85,2,0)*Model0.1C!AX138)/1.1</f>
        <v>#N/A</v>
      </c>
      <c r="AZ138" s="102" t="e">
        <f>(VLOOKUP($B$3,'Coeff EC7'!$T$39:$X$59,3,0)*AW138+VLOOKUP($B$3,'Coeff EC7'!$T$65:$X$85,3,0)*Model0.1C!AX138)/0.9</f>
        <v>#N/A</v>
      </c>
      <c r="BA138" s="102" t="e">
        <f t="shared" si="173"/>
        <v>#N/A</v>
      </c>
      <c r="BB138" s="102" t="e">
        <f t="shared" si="174"/>
        <v>#N/A</v>
      </c>
      <c r="BC138" s="414" t="e">
        <f>IF(BC137=0,0,IF(AND(AY138&gt;charge_ELS_quasi,AZ138&gt;Charge_ELS_freq,BA138&gt;charge_ELU,BB138&gt;charge_ELA,$B138&gt;NDC!$H$22-0.1+MIN(3*$BC$12,1.5)),0,1))</f>
        <v>#N/A</v>
      </c>
      <c r="BD138" s="86" t="b">
        <f t="shared" si="144"/>
        <v>0</v>
      </c>
      <c r="BE138" s="86">
        <f t="shared" si="175"/>
        <v>0.5</v>
      </c>
      <c r="BF138" s="86">
        <f t="shared" si="145"/>
        <v>0.5</v>
      </c>
      <c r="BG138" s="30" t="e">
        <f t="shared" ca="1" si="176"/>
        <v>#DIV/0!</v>
      </c>
      <c r="BH138" s="85" t="e">
        <f ca="1">IF(AN138&lt;=Hypothèses!$V$7,Hypothèses!$W$7,IF(AN138&lt;=Hypothèses!$V$8,Hypothèses!$W$8,IF(AN138&lt;=Hypothèses!$V$9,Hypothèses!$W$9,IF(AN138&lt;=Hypothèses!$V$10,Hypothèses!$W$10,IF(AN138&lt;=Hypothèses!$V$11,Hypothèses!$W$11,IF(AN138&lt;=Hypothèses!$V$12,Hypothèses!$W$12,IF(AN138&lt;=Hypothèses!$V$13,Hypothèses!$W$13,IF(AN138&lt;=Hypothèses!$V$14,Hypothèses!$W$14,IF(AN138&lt;=Hypothèses!$V$15,Hypothèses!$W$15,IF(AN138&lt;=Hypothèses!$V$16,Hypothèses!$W$16,IF(AN138&lt;=Hypothèses!$V$17,Hypothèses!$W$17,IF(AN138&lt;=Hypothèses!$V$18,Hypothèses!$W$18,""))))))))))))</f>
        <v>#DIV/0!</v>
      </c>
      <c r="BI138" s="87" t="e">
        <f t="shared" ca="1" si="218"/>
        <v>#DIV/0!</v>
      </c>
      <c r="BJ138" s="88" t="e">
        <f ca="1">IF(AN138&lt;=Hypothèses!$V$7,Hypothèses!$X$7,IF(AN138&lt;=Hypothèses!$V$8,Hypothèses!$X$8,IF(AN138&lt;=Hypothèses!$V$9,Hypothèses!$X$9,IF(AN138&lt;=Hypothèses!$V$10,Hypothèses!$X$10,IF(AN138&lt;=Hypothèses!$V$11,Hypothèses!$X$11,IF(AN138&lt;=Hypothèses!$V$12,Hypothèses!$X$12,IF(AN138&lt;=Hypothèses!$V$13,Hypothèses!$X$13,IF(AN138&lt;=Hypothèses!$V$14,Hypothèses!$X$14,IF(AN138&lt;=Hypothèses!$V$15,Hypothèses!$X$15,IF(AN138&lt;=Hypothèses!$V$16,Hypothèses!$X$16,IF(AN138&lt;=Hypothèses!$U$17,Hypothèses!$W$17,IF(AN138&lt;=Hypothèses!$U$18,Hypothèses!$W$18,""))))))))))))</f>
        <v>#DIV/0!</v>
      </c>
      <c r="BK138" s="95" t="e">
        <f t="shared" ca="1" si="177"/>
        <v>#DIV/0!</v>
      </c>
      <c r="BL138" s="101" t="e">
        <f t="shared" si="225"/>
        <v>#N/A</v>
      </c>
      <c r="BM138" s="91" t="e">
        <f t="shared" si="146"/>
        <v>#N/A</v>
      </c>
      <c r="BN138" s="30" t="e">
        <f t="shared" si="204"/>
        <v>#N/A</v>
      </c>
      <c r="BO138" s="30" t="e">
        <f t="shared" si="205"/>
        <v>#N/A</v>
      </c>
      <c r="BP138" s="31" t="e">
        <f>IF(OR(Hypothèses!$B$4=17,Hypothèses!$B$4=18,Hypothèses!$B$4=19,Hypothèses!$B$4=20),
IF($D138="Pressio.",
IF(OR($E138=3,$E138=1,$E138=4),BO138,BN138),
IF($D138="Pénétro.",
IF(OR($E138=3,$E138=1,$E138=4),BO138,BN138))),IF($D138="Pressio.",
IF($E138=3,BO138,BN138),
IF($D138="Pénétro.",
IF($E138=4,BO138,BN138))))</f>
        <v>#N/A</v>
      </c>
      <c r="BQ138" s="31" t="e">
        <f>(IF(OR(Hypothèses!$B$4=17,Hypothèses!$B$4=18,Hypothèses!$B$4=19,Hypothèses!$B$4=20),
IF($D138="Pressio.",
IF(OR($E138=3,$E138=1,$E138=4),(PI()*BQ$12^2)/4*(BM138*$W138*1000)/($H138*$B$5),(PI()*BQ$12^2)/4*(BM138*$W138*1000)/($G138*$B$5)),
IF($D138="Pénétro.",
IF(OR($E138=4,$E138=1,$E138=5),(PI()*BQ$12^2)/4*(BM138*$W138*1000)/($H138*$B$5),(PI()*BQ$12^2)/4*(BM138*$W138*1000)/($G138*$B$5)))),
IF($D138="Pressio.",
IF($E138=3,(PI()*BQ$12^2)/4*(BM138*$W138*1000)/($H138*$B$5),(PI()*BQ$12^2)/4*(BM138*$W138*1000)/($G138*$B$5)),
IF($D138="Pénétro.",
IF($E138=4,(PI()*BQ$12^2)/4*(BM138*$W138*1000)/($H138*$B$5),(PI()*BQ$12^2)/4*(BM138*$W138*1000)/($G138*$B$5))))))/10</f>
        <v>#N/A</v>
      </c>
      <c r="BR138" s="102" t="e">
        <f>(VLOOKUP($B$3,'Coeff EC7'!$T$39:$X$59,2,0)*BP138+VLOOKUP($B$3,'Coeff EC7'!$T$65:$X$85,2,0)*Model0.1C!BQ138)/1.1</f>
        <v>#N/A</v>
      </c>
      <c r="BS138" s="102" t="e">
        <f>(VLOOKUP($B$3,'Coeff EC7'!$T$39:$X$59,3,0)*BP138+VLOOKUP($B$3,'Coeff EC7'!$T$65:$X$85,3,0)*Model0.1C!BQ138)/0.9</f>
        <v>#N/A</v>
      </c>
      <c r="BT138" s="102" t="e">
        <f t="shared" si="178"/>
        <v>#N/A</v>
      </c>
      <c r="BU138" s="102" t="e">
        <f t="shared" si="179"/>
        <v>#N/A</v>
      </c>
      <c r="BV138" s="414" t="e">
        <f>IF(BV137=0,0,IF(AND(BR138&gt;charge_ELS_quasi,BS138&gt;Charge_ELS_freq,BT138&gt;charge_ELU,BU138&gt;charge_ELA,$B138&gt;NDC!$H$22-0.1+MIN(3*$BV$12,1.5)),0,1))</f>
        <v>#N/A</v>
      </c>
      <c r="BW138" s="86" t="b">
        <f t="shared" si="147"/>
        <v>0</v>
      </c>
      <c r="BX138" s="86">
        <f t="shared" si="148"/>
        <v>0.5</v>
      </c>
      <c r="BY138" s="86">
        <f t="shared" si="149"/>
        <v>0.5</v>
      </c>
      <c r="BZ138" s="30" t="e">
        <f t="shared" ca="1" si="180"/>
        <v>#DIV/0!</v>
      </c>
      <c r="CA138" s="85" t="e">
        <f ca="1">IF(BG138&lt;=Hypothèses!$V$7,Hypothèses!$W$7,IF(BG138&lt;=Hypothèses!$V$8,Hypothèses!$W$8,IF(BG138&lt;=Hypothèses!$V$9,Hypothèses!$W$9,IF(BG138&lt;=Hypothèses!$V$10,Hypothèses!$W$10,IF(BG138&lt;=Hypothèses!$V$11,Hypothèses!$W$11,IF(BG138&lt;=Hypothèses!$V$12,Hypothèses!$W$12,IF(BG138&lt;=Hypothèses!$V$13,Hypothèses!$W$13,IF(BG138&lt;=Hypothèses!$V$14,Hypothèses!$W$14,IF(BG138&lt;=Hypothèses!$V$15,Hypothèses!$W$15,IF(BG138&lt;=Hypothèses!$V$16,Hypothèses!$W$16,IF(BG138&lt;=Hypothèses!$V$17,Hypothèses!$W$17,IF(BG138&lt;=Hypothèses!$V$18,Hypothèses!$W$18,""))))))))))))</f>
        <v>#DIV/0!</v>
      </c>
      <c r="CB138" s="87" t="e">
        <f t="shared" ca="1" si="219"/>
        <v>#DIV/0!</v>
      </c>
      <c r="CC138" s="88" t="e">
        <f ca="1">IF(BG138&lt;=Hypothèses!$V$7,Hypothèses!$X$7,IF(BG138&lt;=Hypothèses!$V$8,Hypothèses!$X$8,IF(BG138&lt;=Hypothèses!$V$9,Hypothèses!$X$9,IF(BG138&lt;=Hypothèses!$V$10,Hypothèses!$X$10,IF(BG138&lt;=Hypothèses!$V$11,Hypothèses!$X$11,IF(BG138&lt;=Hypothèses!$V$12,Hypothèses!$X$12,IF(BG138&lt;=Hypothèses!$V$13,Hypothèses!$X$13,IF(BG138&lt;=Hypothèses!$V$14,Hypothèses!$X$14,IF(BG138&lt;=Hypothèses!$V$15,Hypothèses!$X$15,IF(BG138&lt;=Hypothèses!$V$16,Hypothèses!$X$16,IF(BG138&lt;=Hypothèses!$U$17,Hypothèses!$W$17,IF(BG138&lt;=Hypothèses!$U$18,Hypothèses!$W$18,""))))))))))))</f>
        <v>#DIV/0!</v>
      </c>
      <c r="CD138" s="95" t="e">
        <f t="shared" ca="1" si="181"/>
        <v>#DIV/0!</v>
      </c>
      <c r="CE138" s="101" t="e">
        <f t="shared" si="226"/>
        <v>#N/A</v>
      </c>
      <c r="CF138" s="91" t="e">
        <f t="shared" si="150"/>
        <v>#N/A</v>
      </c>
      <c r="CG138" s="30" t="e">
        <f t="shared" si="206"/>
        <v>#N/A</v>
      </c>
      <c r="CH138" s="30" t="e">
        <f t="shared" si="207"/>
        <v>#N/A</v>
      </c>
      <c r="CI138" s="31" t="e">
        <f>IF(OR(Hypothèses!$B$4=17,Hypothèses!$B$4=18,Hypothèses!$B$4=19,Hypothèses!$B$4=20),
IF($D138="Pressio.",
IF(OR($E138=3,$E138=1,$E138=4),CH138,CG138),
IF($D138="Pénétro.",
IF(OR($E138=3,$E138=1,$E138=4),CH138,CG138))),IF($D138="Pressio.",
IF($E138=3,CH138,CG138),
IF($D138="Pénétro.",
IF($E138=4,CH138,CG138))))</f>
        <v>#N/A</v>
      </c>
      <c r="CJ138" s="31" t="e">
        <f>(IF(OR(Hypothèses!$B$4=17,Hypothèses!$B$4=18,Hypothèses!$B$4=19,Hypothèses!$B$4=20),
IF($D138="Pressio.",
IF(OR($E138=3,$E138=1,$E138=4),(PI()*CJ$12^2)/4*(CF138*$W138*1000)/($H138*$B$5),(PI()*CJ$12^2)/4*(CF138*$W138*1000)/($G138*$B$5)),
IF($D138="Pénétro.",
IF(OR($E138=4,$E138=1,$E138=5),(PI()*CJ$12^2)/4*(CF138*$W138*1000)/($H138*$B$5),(PI()*CJ$12^2)/4*(CF138*$W138*1000)/($G138*$B$5)))),
IF($D138="Pressio.",
IF($E138=3,(PI()*CJ$12^2)/4*(CF138*$W138*1000)/($H138*$B$5),(PI()*CJ$12^2)/4*(CF138*$W138*1000)/($G138*$B$5)),
IF($D138="Pénétro.",
IF($E138=4,(PI()*CJ$12^2)/4*(CF138*$W138*1000)/($H138*$B$5),(PI()*CJ$12^2)/4*(CF138*$W138*1000)/($G138*$B$5))))))/10</f>
        <v>#N/A</v>
      </c>
      <c r="CK138" s="102" t="e">
        <f>(VLOOKUP($B$3,'Coeff EC7'!$T$39:$X$59,2,0)*CI138+VLOOKUP($B$3,'Coeff EC7'!$T$65:$X$85,2,0)*Model0.1C!CJ138)/1.1</f>
        <v>#N/A</v>
      </c>
      <c r="CL138" s="102" t="e">
        <f>(VLOOKUP($B$3,'Coeff EC7'!$T$39:$X$59,3,0)*CI138+VLOOKUP($B$3,'Coeff EC7'!$T$65:$X$85,3,0)*Model0.1C!CJ138)/0.9</f>
        <v>#N/A</v>
      </c>
      <c r="CM138" s="102" t="e">
        <f t="shared" si="182"/>
        <v>#N/A</v>
      </c>
      <c r="CN138" s="102" t="e">
        <f t="shared" si="183"/>
        <v>#N/A</v>
      </c>
      <c r="CO138" s="414" t="e">
        <f>IF(CO137=0,0,IF(AND(CK138&gt;charge_ELS_quasi,CL138&gt;Charge_ELS_freq,CM138&gt;charge_ELU,CN138&gt;charge_ELA,$B138&gt;NDC!$H$22-0.1+MIN(3*$CO$12,1.5)),0,1))</f>
        <v>#N/A</v>
      </c>
      <c r="CP138" s="86" t="b">
        <f t="shared" si="151"/>
        <v>0</v>
      </c>
      <c r="CQ138" s="86">
        <f t="shared" si="152"/>
        <v>0.5</v>
      </c>
      <c r="CR138" s="86">
        <f t="shared" si="153"/>
        <v>0.5</v>
      </c>
      <c r="CS138" s="30" t="e">
        <f t="shared" ca="1" si="184"/>
        <v>#DIV/0!</v>
      </c>
      <c r="CT138" s="85" t="e">
        <f ca="1">IF(BZ138&lt;=Hypothèses!$V$7,Hypothèses!$W$7,IF(BZ138&lt;=Hypothèses!$V$8,Hypothèses!$W$8,IF(BZ138&lt;=Hypothèses!$V$9,Hypothèses!$W$9,IF(BZ138&lt;=Hypothèses!$V$10,Hypothèses!$W$10,IF(BZ138&lt;=Hypothèses!$V$11,Hypothèses!$W$11,IF(BZ138&lt;=Hypothèses!$V$12,Hypothèses!$W$12,IF(BZ138&lt;=Hypothèses!$V$13,Hypothèses!$W$13,IF(BZ138&lt;=Hypothèses!$V$14,Hypothèses!$W$14,IF(BZ138&lt;=Hypothèses!$V$15,Hypothèses!$W$15,IF(BZ138&lt;=Hypothèses!$V$16,Hypothèses!$W$16,IF(BZ138&lt;=Hypothèses!$V$17,Hypothèses!$W$17,IF(BZ138&lt;=Hypothèses!$V$18,Hypothèses!$W$18,""))))))))))))</f>
        <v>#DIV/0!</v>
      </c>
      <c r="CU138" s="87" t="e">
        <f t="shared" ca="1" si="220"/>
        <v>#DIV/0!</v>
      </c>
      <c r="CV138" s="88" t="e">
        <f ca="1">IF(BZ138&lt;=Hypothèses!$V$7,Hypothèses!$X$7,IF(BZ138&lt;=Hypothèses!$V$8,Hypothèses!$X$8,IF(BZ138&lt;=Hypothèses!$V$9,Hypothèses!$X$9,IF(BZ138&lt;=Hypothèses!$V$10,Hypothèses!$X$10,IF(BZ138&lt;=Hypothèses!$V$11,Hypothèses!$X$11,IF(BZ138&lt;=Hypothèses!$V$12,Hypothèses!$X$12,IF(BZ138&lt;=Hypothèses!$V$13,Hypothèses!$X$13,IF(BZ138&lt;=Hypothèses!$V$14,Hypothèses!$X$14,IF(BZ138&lt;=Hypothèses!$V$15,Hypothèses!$X$15,IF(BZ138&lt;=Hypothèses!$V$16,Hypothèses!$X$16,IF(BZ138&lt;=Hypothèses!$U$17,Hypothèses!$W$17,IF(BZ138&lt;=Hypothèses!$U$18,Hypothèses!$W$18,""))))))))))))</f>
        <v>#DIV/0!</v>
      </c>
      <c r="CW138" s="95" t="e">
        <f t="shared" ca="1" si="185"/>
        <v>#DIV/0!</v>
      </c>
      <c r="CX138" s="101" t="e">
        <f t="shared" si="227"/>
        <v>#N/A</v>
      </c>
      <c r="CY138" s="91" t="e">
        <f t="shared" si="154"/>
        <v>#N/A</v>
      </c>
      <c r="CZ138" s="30" t="e">
        <f t="shared" si="208"/>
        <v>#N/A</v>
      </c>
      <c r="DA138" s="30" t="e">
        <f t="shared" si="209"/>
        <v>#N/A</v>
      </c>
      <c r="DB138" s="31" t="e">
        <f>IF(OR(Hypothèses!$B$4=17,Hypothèses!$B$4=18,Hypothèses!$B$4=19,Hypothèses!$B$4=20),
IF($D138="Pressio.",
IF(OR($E138=3,$E138=1,$E138=4),DA138,CZ138),
IF($D138="Pénétro.",
IF(OR($E138=3,$E138=1,$E138=4),DA138,CZ138))),IF($D138="Pressio.",
IF($E138=3,DA138,CZ138),
IF($D138="Pénétro.",
IF($E138=4,DA138,CZ138))))</f>
        <v>#N/A</v>
      </c>
      <c r="DC138" s="31" t="e">
        <f>(IF(OR(Hypothèses!$B$4=17,Hypothèses!$B$4=18,Hypothèses!$B$4=19,Hypothèses!$B$4=20),
IF($D138="Pressio.",
IF(OR($E138=3,$E138=1,$E138=4),(PI()*DC$12^2)/4*(CY138*$W138*1000)/($H138*$B$5),(PI()*DC$12^2)/4*(CY138*$W138*1000)/($G138*$B$5)),
IF($D138="Pénétro.",
IF(OR($E138=4,$E138=1,$E138=5),(PI()*DC$12^2)/4*(CY138*$W138*1000)/($H138*$B$5),(PI()*DC$12^2)/4*(CY138*$W138*1000)/($G138*$B$5)))),
IF($D138="Pressio.",
IF($E138=3,(PI()*DC$12^2)/4*(CY138*$W138*1000)/($H138*$B$5),(PI()*DC$12^2)/4*(CY138*$W138*1000)/($G138*$B$5)),
IF($D138="Pénétro.",
IF($E138=4,(PI()*DC$12^2)/4*(CY138*$W138*1000)/($H138*$B$5),(PI()*DC$12^2)/4*(CY138*$W138*1000)/($G138*$B$5))))))/10</f>
        <v>#N/A</v>
      </c>
      <c r="DD138" s="102" t="e">
        <f>(VLOOKUP($B$3,'Coeff EC7'!$T$39:$X$59,2,0)*DB138+VLOOKUP($B$3,'Coeff EC7'!$T$65:$X$85,2,0)*Model0.1C!DC138)/1.1</f>
        <v>#N/A</v>
      </c>
      <c r="DE138" s="102" t="e">
        <f>(VLOOKUP($B$3,'Coeff EC7'!$T$39:$X$59,3,0)*DB138+VLOOKUP($B$3,'Coeff EC7'!$T$65:$X$85,3,0)*Model0.1C!DC138)/0.9</f>
        <v>#N/A</v>
      </c>
      <c r="DF138" s="102" t="e">
        <f t="shared" si="186"/>
        <v>#N/A</v>
      </c>
      <c r="DG138" s="102" t="e">
        <f t="shared" si="187"/>
        <v>#N/A</v>
      </c>
      <c r="DH138" s="414" t="e">
        <f>IF(DH137=0,0,IF(AND(DD138&gt;charge_ELS_quasi,DE138&gt;Charge_ELS_freq,DF138&gt;charge_ELU,DG138&gt;charge_ELA,$B138&gt;NDC!$H$22-0.1+MIN(3*$DH$12,1.5)),0,1))</f>
        <v>#N/A</v>
      </c>
      <c r="DI138" s="86" t="b">
        <f t="shared" si="155"/>
        <v>0</v>
      </c>
      <c r="DJ138" s="86">
        <f t="shared" si="156"/>
        <v>0.5</v>
      </c>
      <c r="DK138" s="86">
        <f t="shared" si="157"/>
        <v>0.5</v>
      </c>
      <c r="DL138" s="30" t="e">
        <f t="shared" ca="1" si="188"/>
        <v>#DIV/0!</v>
      </c>
      <c r="DM138" s="85" t="e">
        <f ca="1">IF(CS138&lt;=Hypothèses!$V$7,Hypothèses!$W$7,IF(CS138&lt;=Hypothèses!$V$8,Hypothèses!$W$8,IF(CS138&lt;=Hypothèses!$V$9,Hypothèses!$W$9,IF(CS138&lt;=Hypothèses!$V$10,Hypothèses!$W$10,IF(CS138&lt;=Hypothèses!$V$11,Hypothèses!$W$11,IF(CS138&lt;=Hypothèses!$V$12,Hypothèses!$W$12,IF(CS138&lt;=Hypothèses!$V$13,Hypothèses!$W$13,IF(CS138&lt;=Hypothèses!$V$14,Hypothèses!$W$14,IF(CS138&lt;=Hypothèses!$V$15,Hypothèses!$W$15,IF(CS138&lt;=Hypothèses!$V$16,Hypothèses!$W$16,IF(CS138&lt;=Hypothèses!$V$17,Hypothèses!$W$17,IF(CS138&lt;=Hypothèses!$V$18,Hypothèses!$W$18,""))))))))))))</f>
        <v>#DIV/0!</v>
      </c>
      <c r="DN138" s="87" t="e">
        <f t="shared" ca="1" si="221"/>
        <v>#DIV/0!</v>
      </c>
      <c r="DO138" s="88" t="e">
        <f ca="1">IF(CS138&lt;=Hypothèses!$V$7,Hypothèses!$X$7,IF(CS138&lt;=Hypothèses!$V$8,Hypothèses!$X$8,IF(CS138&lt;=Hypothèses!$V$9,Hypothèses!$X$9,IF(CS138&lt;=Hypothèses!$V$10,Hypothèses!$X$10,IF(CS138&lt;=Hypothèses!$V$11,Hypothèses!$X$11,IF(CS138&lt;=Hypothèses!$V$12,Hypothèses!$X$12,IF(CS138&lt;=Hypothèses!$V$13,Hypothèses!$X$13,IF(CS138&lt;=Hypothèses!$V$14,Hypothèses!$X$14,IF(CS138&lt;=Hypothèses!$V$15,Hypothèses!$X$15,IF(CS138&lt;=Hypothèses!$V$16,Hypothèses!$X$16,IF(CS138&lt;=Hypothèses!$U$17,Hypothèses!$W$17,IF(CS138&lt;=Hypothèses!$U$18,Hypothèses!$W$18,""))))))))))))</f>
        <v>#DIV/0!</v>
      </c>
      <c r="DP138" s="95" t="e">
        <f t="shared" ca="1" si="189"/>
        <v>#DIV/0!</v>
      </c>
      <c r="DQ138" s="101" t="e">
        <f t="shared" si="228"/>
        <v>#N/A</v>
      </c>
      <c r="DR138" s="91" t="e">
        <f t="shared" si="158"/>
        <v>#N/A</v>
      </c>
      <c r="DS138" s="30" t="e">
        <f t="shared" si="210"/>
        <v>#N/A</v>
      </c>
      <c r="DT138" s="30" t="e">
        <f t="shared" si="211"/>
        <v>#N/A</v>
      </c>
      <c r="DU138" s="31" t="e">
        <f>IF(OR(Hypothèses!$B$4=17,Hypothèses!$B$4=18,Hypothèses!$B$4=19,Hypothèses!$B$4=20),
IF($D138="Pressio.",
IF(OR($E138=3,$E138=1,$E138=4),DT138,DS138),
IF($D138="Pénétro.",
IF(OR($E138=3,$E138=1,$E138=4),DT138,DS138))),IF($D138="Pressio.",
IF($E138=3,DT138,DS138),
IF($D138="Pénétro.",
IF($E138=4,DT138,DS138))))</f>
        <v>#N/A</v>
      </c>
      <c r="DV138" s="31" t="e">
        <f>(IF(OR(Hypothèses!$B$4=17,Hypothèses!$B$4=18,Hypothèses!$B$4=19,Hypothèses!$B$4=20),
IF($D138="Pressio.",
IF(OR($E138=3,$E138=1,$E138=4),(PI()*DV$12^2)/4*(DR138*$W138*1000)/($H138*$B$5),(PI()*DV$12^2)/4*(DR138*$W138*1000)/($G138*$B$5)),
IF($D138="Pénétro.",
IF(OR($E138=4,$E138=1,$E138=5),(PI()*DV$12^2)/4*(DR138*$W138*1000)/($H138*$B$5),(PI()*DV$12^2)/4*(DR138*$W138*1000)/($G138*$B$5)))),
IF($D138="Pressio.",
IF($E138=3,(PI()*DV$12^2)/4*(DR138*$W138*1000)/($H138*$B$5),(PI()*DV$12^2)/4*(DR138*$W138*1000)/($G138*$B$5)),
IF($D138="Pénétro.",
IF($E138=4,(PI()*DV$12^2)/4*(DR138*$W138*1000)/($H138*$B$5),(PI()*DV$12^2)/4*(DR138*$W138*1000)/($G138*$B$5))))))/10</f>
        <v>#N/A</v>
      </c>
      <c r="DW138" s="102" t="e">
        <f>(VLOOKUP($B$3,'Coeff EC7'!$T$39:$X$59,2,0)*DU138+VLOOKUP($B$3,'Coeff EC7'!$T$65:$X$85,2,0)*Model0.1C!DV138)/1.1</f>
        <v>#N/A</v>
      </c>
      <c r="DX138" s="102" t="e">
        <f>(VLOOKUP($B$3,'Coeff EC7'!$T$39:$X$59,3,0)*DU138+VLOOKUP($B$3,'Coeff EC7'!$T$65:$X$85,3,0)*Model0.1C!DV138)/0.9</f>
        <v>#N/A</v>
      </c>
      <c r="DY138" s="102" t="e">
        <f t="shared" si="190"/>
        <v>#N/A</v>
      </c>
      <c r="DZ138" s="102" t="e">
        <f t="shared" si="191"/>
        <v>#N/A</v>
      </c>
      <c r="EA138" s="414" t="e">
        <f>IF(EA137=0,0,IF(AND(DW138&gt;charge_ELS_quasi,DX138&gt;Charge_ELS_freq,DY138&gt;charge_ELU,DZ138&gt;charge_ELA,$B138&gt;NDC!$H$22-0.1+MIN(3*$EA$12,1.5)),0,1))</f>
        <v>#N/A</v>
      </c>
      <c r="EB138" s="86" t="b">
        <f t="shared" si="159"/>
        <v>0</v>
      </c>
      <c r="EC138" s="418">
        <f t="shared" si="160"/>
        <v>0.51</v>
      </c>
      <c r="ED138" s="86">
        <f t="shared" si="161"/>
        <v>0.51</v>
      </c>
      <c r="EE138" s="30" t="e">
        <f t="shared" ca="1" si="192"/>
        <v>#DIV/0!</v>
      </c>
      <c r="EF138" s="85" t="e">
        <f ca="1">IF(DL138&lt;=Hypothèses!$V$7,Hypothèses!$W$7,IF(DL138&lt;=Hypothèses!$V$8,Hypothèses!$W$8,IF(DL138&lt;=Hypothèses!$V$9,Hypothèses!$W$9,IF(DL138&lt;=Hypothèses!$V$10,Hypothèses!$W$10,IF(DL138&lt;=Hypothèses!$V$11,Hypothèses!$W$11,IF(DL138&lt;=Hypothèses!$V$12,Hypothèses!$W$12,IF(DL138&lt;=Hypothèses!$V$13,Hypothèses!$W$13,IF(DL138&lt;=Hypothèses!$V$14,Hypothèses!$W$14,IF(DL138&lt;=Hypothèses!$V$15,Hypothèses!$W$15,IF(DL138&lt;=Hypothèses!$V$16,Hypothèses!$W$16,IF(DL138&lt;=Hypothèses!$V$17,Hypothèses!$W$17,IF(DL138&lt;=Hypothèses!$V$18,Hypothèses!$W$18,""))))))))))))</f>
        <v>#DIV/0!</v>
      </c>
      <c r="EG138" s="87" t="e">
        <f t="shared" ca="1" si="222"/>
        <v>#DIV/0!</v>
      </c>
      <c r="EH138" s="88" t="e">
        <f ca="1">IF(DL138&lt;=Hypothèses!$V$7,Hypothèses!$X$7,IF(DL138&lt;=Hypothèses!$V$8,Hypothèses!$X$8,IF(DL138&lt;=Hypothèses!$V$9,Hypothèses!$X$9,IF(DL138&lt;=Hypothèses!$V$10,Hypothèses!$X$10,IF(DL138&lt;=Hypothèses!$V$11,Hypothèses!$X$11,IF(DL138&lt;=Hypothèses!$V$12,Hypothèses!$X$12,IF(DL138&lt;=Hypothèses!$V$13,Hypothèses!$X$13,IF(DL138&lt;=Hypothèses!$V$14,Hypothèses!$X$14,IF(DL138&lt;=Hypothèses!$V$15,Hypothèses!$X$15,IF(DL138&lt;=Hypothèses!$V$16,Hypothèses!$X$16,IF(DL138&lt;=Hypothèses!$U$17,Hypothèses!$W$17,IF(DL138&lt;=Hypothèses!$U$18,Hypothèses!$W$18,""))))))))))))</f>
        <v>#DIV/0!</v>
      </c>
      <c r="EI138" s="95" t="e">
        <f t="shared" ca="1" si="193"/>
        <v>#DIV/0!</v>
      </c>
      <c r="EJ138" s="101" t="e">
        <f t="shared" si="229"/>
        <v>#N/A</v>
      </c>
      <c r="EK138" s="91" t="e">
        <f t="shared" si="162"/>
        <v>#N/A</v>
      </c>
      <c r="EL138" s="30" t="e">
        <f t="shared" si="212"/>
        <v>#N/A</v>
      </c>
      <c r="EM138" s="30" t="e">
        <f t="shared" si="213"/>
        <v>#N/A</v>
      </c>
      <c r="EN138" s="31" t="e">
        <f>IF(OR(Hypothèses!$B$4=17,Hypothèses!$B$4=18,Hypothèses!$B$4=19,Hypothèses!$B$4=20),
IF($D138="Pressio.",
IF(OR($E138=3,$E138=1,$E138=4),EM138,EL138),
IF($D138="Pénétro.",
IF(OR($E138=3,$E138=1,$E138=4),EM138,EL138))),IF($D138="Pressio.",
IF($E138=3,EM138,EL138),
IF($D138="Pénétro.",
IF($E138=4,EM138,EL138))))</f>
        <v>#N/A</v>
      </c>
      <c r="EO138" s="31" t="e">
        <f>(IF(OR(Hypothèses!$B$4=17,Hypothèses!$B$4=18,Hypothèses!$B$4=19,Hypothèses!$B$4=20),
IF($D138="Pressio.",
IF(OR($E138=3,$E138=1,$E138=4),(PI()*EO$12^2)/4*(EK138*$W138*1000)/($H138*$B$5),(PI()*EO$12^2)/4*(EK138*$W138*1000)/($G138*$B$5)),
IF($D138="Pénétro.",
IF(OR($E138=4,$E138=1,$E138=5),(PI()*EO$12^2)/4*(EK138*$W138*1000)/($H138*$B$5),(PI()*EO$12^2)/4*(EK138*$W138*1000)/($G138*$B$5)))),
IF($D138="Pressio.",
IF($E138=3,(PI()*EO$12^2)/4*(EK138*$W138*1000)/($H138*$B$5),(PI()*EO$12^2)/4*(EK138*$W138*1000)/($G138*$B$5)),
IF($D138="Pénétro.",
IF($E138=4,(PI()*EO$12^2)/4*(EK138*$W138*1000)/($H138*$B$5),(PI()*EO$12^2)/4*(EK138*$W138*1000)/($G138*$B$5))))))/10</f>
        <v>#N/A</v>
      </c>
      <c r="EP138" s="102" t="e">
        <f>(VLOOKUP($B$3,'Coeff EC7'!$T$39:$X$59,2,0)*EN138+VLOOKUP($B$3,'Coeff EC7'!$T$65:$X$85,2,0)*Model0.1C!EO138)/1.1</f>
        <v>#N/A</v>
      </c>
      <c r="EQ138" s="102" t="e">
        <f>(VLOOKUP($B$3,'Coeff EC7'!$T$39:$X$59,3,0)*EN138+VLOOKUP($B$3,'Coeff EC7'!$T$65:$X$85,3,0)*Model0.1C!EO138)/0.9</f>
        <v>#N/A</v>
      </c>
      <c r="ER138" s="102" t="e">
        <f t="shared" si="194"/>
        <v>#N/A</v>
      </c>
      <c r="ES138" s="102" t="e">
        <f t="shared" si="195"/>
        <v>#N/A</v>
      </c>
      <c r="ET138" s="414" t="e">
        <f>IF(ET137=0,0,IF(AND(EP138&gt;charge_ELS_quasi,EQ138&gt;Charge_ELS_freq,ER138&gt;charge_ELU,ES138&gt;charge_ELA,$B138&gt;NDC!$H$22-0.1+MIN(3*$ET$12,1.5)),0,1))</f>
        <v>#N/A</v>
      </c>
      <c r="EU138" s="86" t="b">
        <f t="shared" si="163"/>
        <v>0</v>
      </c>
      <c r="EV138" s="86">
        <f t="shared" si="164"/>
        <v>0.61</v>
      </c>
      <c r="EW138" s="86">
        <f t="shared" si="165"/>
        <v>0.61</v>
      </c>
      <c r="EX138" s="30" t="e">
        <f t="shared" ca="1" si="196"/>
        <v>#DIV/0!</v>
      </c>
      <c r="EY138" s="85" t="e">
        <f ca="1">IF(EE138&lt;=Hypothèses!$V$7,Hypothèses!$W$7,IF(EE138&lt;=Hypothèses!$V$8,Hypothèses!$W$8,IF(EE138&lt;=Hypothèses!$V$9,Hypothèses!$W$9,IF(EE138&lt;=Hypothèses!$V$10,Hypothèses!$W$10,IF(EE138&lt;=Hypothèses!$V$11,Hypothèses!$W$11,IF(EE138&lt;=Hypothèses!$V$12,Hypothèses!$W$12,IF(EE138&lt;=Hypothèses!$V$13,Hypothèses!$W$13,IF(EE138&lt;=Hypothèses!$V$14,Hypothèses!$W$14,IF(EE138&lt;=Hypothèses!$V$15,Hypothèses!$W$15,IF(EE138&lt;=Hypothèses!$V$16,Hypothèses!$W$16,IF(EE138&lt;=Hypothèses!$V$17,Hypothèses!$W$17,IF(EE138&lt;=Hypothèses!$V$18,Hypothèses!$W$18,""))))))))))))</f>
        <v>#DIV/0!</v>
      </c>
      <c r="EZ138" s="87" t="e">
        <f t="shared" ca="1" si="223"/>
        <v>#DIV/0!</v>
      </c>
      <c r="FA138" s="88" t="e">
        <f ca="1">IF(EE138&lt;=Hypothèses!$V$7,Hypothèses!$X$7,IF(EE138&lt;=Hypothèses!$V$8,Hypothèses!$X$8,IF(EE138&lt;=Hypothèses!$V$9,Hypothèses!$X$9,IF(EE138&lt;=Hypothèses!$V$10,Hypothèses!$X$10,IF(EE138&lt;=Hypothèses!$V$11,Hypothèses!$X$11,IF(EE138&lt;=Hypothèses!$V$12,Hypothèses!$X$12,IF(EE138&lt;=Hypothèses!$V$13,Hypothèses!$X$13,IF(EE138&lt;=Hypothèses!$V$14,Hypothèses!$X$14,IF(EE138&lt;=Hypothèses!$V$15,Hypothèses!$X$15,IF(EE138&lt;=Hypothèses!$V$16,Hypothèses!$X$16,IF(EE138&lt;=Hypothèses!$U$17,Hypothèses!$W$17,IF(EE138&lt;=Hypothèses!$U$18,Hypothèses!$W$18,""))))))))))))</f>
        <v>#DIV/0!</v>
      </c>
      <c r="FB138" s="95" t="e">
        <f t="shared" ca="1" si="197"/>
        <v>#DIV/0!</v>
      </c>
      <c r="FC138" s="101" t="e">
        <f t="shared" si="230"/>
        <v>#N/A</v>
      </c>
      <c r="FD138" s="91" t="e">
        <f t="shared" si="166"/>
        <v>#N/A</v>
      </c>
      <c r="FE138" s="30" t="e">
        <f t="shared" si="214"/>
        <v>#N/A</v>
      </c>
      <c r="FF138" s="30" t="e">
        <f t="shared" si="215"/>
        <v>#N/A</v>
      </c>
      <c r="FG138" s="31" t="e">
        <f>IF(OR(Hypothèses!$B$4=17,Hypothèses!$B$4=18,Hypothèses!$B$4=19,Hypothèses!$B$4=20),
IF($D138="Pressio.",
IF(OR($E138=3,$E138=1,$E138=4),FF138,FE138),
IF($D138="Pénétro.",
IF(OR($E138=3,$E138=1,$E138=4),FF138,FE138))),IF($D138="Pressio.",
IF($E138=3,FF138,FE138),
IF($D138="Pénétro.",
IF($E138=4,FF138,FE138))))</f>
        <v>#N/A</v>
      </c>
      <c r="FH138" s="31" t="e">
        <f>(IF(OR(Hypothèses!$B$4=17,Hypothèses!$B$4=18,Hypothèses!$B$4=19,Hypothèses!$B$4=20),
IF($D138="Pressio.",
IF(OR($E138=3,$E138=1,$E138=4),(PI()*FH$12^2)/4*(FD138*$W138*1000)/($H138*$B$5),(PI()*FH$12^2)/4*(FD138*$W138*1000)/($G138*$B$5)),
IF($D138="Pénétro.",
IF(OR($E138=4,$E138=1,$E138=5),(PI()*FH$12^2)/4*(FD138*$W138*1000)/($H138*$B$5),(PI()*FH$12^2)/4*(FD138*$W138*1000)/($G138*$B$5)))),
IF($D138="Pressio.",
IF($E138=3,(PI()*FH$12^2)/4*(FD138*$W138*1000)/($H138*$B$5),(PI()*FH$12^2)/4*(FD138*$W138*1000)/($G138*$B$5)),
IF($D138="Pénétro.",
IF($E138=4,(PI()*FH$12^2)/4*(FD138*$W138*1000)/($H138*$B$5),(PI()*FH$12^2)/4*(FD138*$W138*1000)/($G138*$B$5))))))/10</f>
        <v>#N/A</v>
      </c>
      <c r="FI138" s="102" t="e">
        <f>(VLOOKUP($B$3,'Coeff EC7'!$T$39:$X$59,2,0)*FG138+VLOOKUP($B$3,'Coeff EC7'!$T$65:$X$85,2,0)*Model0.1C!FH138)/1.1</f>
        <v>#N/A</v>
      </c>
      <c r="FJ138" s="102" t="e">
        <f>(VLOOKUP($B$3,'Coeff EC7'!$T$39:$X$59,3,0)*FG138+VLOOKUP($B$3,'Coeff EC7'!$T$65:$X$85,3,0)*Model0.1C!FH138)/0.9</f>
        <v>#N/A</v>
      </c>
      <c r="FK138" s="102" t="e">
        <f t="shared" si="198"/>
        <v>#N/A</v>
      </c>
      <c r="FL138" s="102" t="e">
        <f t="shared" si="199"/>
        <v>#N/A</v>
      </c>
      <c r="FM138" s="414" t="e">
        <f>IF(FM137=0,0,IF(AND(FI138&gt;charge_ELS_quasi,FJ138&gt;Charge_ELS_freq,FK138&gt;charge_ELU,FL138&gt;charge_ELA,$B138&gt;NDC!$H$22-0.1+MIN(3*$FM$12,1.5)),0,1))</f>
        <v>#N/A</v>
      </c>
    </row>
    <row r="139" spans="1:169">
      <c r="A139" s="96">
        <f t="shared" si="167"/>
        <v>87.400000000000716</v>
      </c>
      <c r="B139" s="97">
        <v>12.6</v>
      </c>
      <c r="C139" s="81">
        <f>IF(B139&lt;=Hypothèses!$C$7,Hypothèses!$A$7,IF(B139&lt;=Hypothèses!$C$8,Hypothèses!$A$8,IF(B139&lt;=Hypothèses!$C$9,Hypothèses!$A$9,IF(B139&lt;=Hypothèses!$C$10,Hypothèses!$A$10,IF(B139&lt;=Hypothèses!$C$11,Hypothèses!$A$11,IF(B139&lt;=Hypothèses!$C$12,Hypothèses!$A$12,IF(B139&lt;=Hypothèses!$C$13,Hypothèses!$A$13,IF(B139&lt;=Hypothèses!$C$14,Hypothèses!$A$14,IF(B139&lt;=Hypothèses!$C$15,Hypothèses!$A$15,IF(B139&lt;=Hypothèses!$C$16,Hypothèses!$A$16,IF(B139&lt;=Hypothèses!$C$17,Hypothèses!$A$17,IF(B139&lt;=Hypothèses!$C$18,Hypothèses!$A$18,C138))))))))))))</f>
        <v>11</v>
      </c>
      <c r="D139" s="82" t="str">
        <f>IF(B139&lt;=Hypothèses!$C$7,Hypothèses!$R$7,IF(B139&lt;=Hypothèses!$C$8,Hypothèses!$R$8,IF(B139&lt;=Hypothèses!$C$9,Hypothèses!$R$9,IF(B139&lt;=Hypothèses!$C$10,Hypothèses!$R$10,IF(B139&lt;=Hypothèses!$C$11,Hypothèses!$R$11,IF(B139&lt;=Hypothèses!$C$12,Hypothèses!$R$12,IF(B139&lt;=Hypothèses!$C$13,Hypothèses!$R$13,IF(B139&lt;=Hypothèses!$C$14,Hypothèses!$R$14,IF(B139&lt;=Hypothèses!$C$15,Hypothèses!$R$15,IF(B139&lt;=Hypothèses!$C$16,Hypothèses!$R$16,IF(B139&lt;=Hypothèses!$C$17,Hypothèses!$R$17,IF(B139&lt;=Hypothèses!$C$18,Hypothèses!$R$18,D138))))))))))))</f>
        <v>Pressio.</v>
      </c>
      <c r="E139" s="82" t="e">
        <f>IF(B139&lt;=Hypothèses!$C$7,Hypothèses!$G$7,IF(B139&lt;=Hypothèses!$C$8,Hypothèses!$G$8,IF(B139&lt;=Hypothèses!$C$9,Hypothèses!$G$9,IF(B139&lt;=Hypothèses!$C$10,Hypothèses!$G$10,IF(B139&lt;=Hypothèses!$C$11,Hypothèses!$G$11,IF(B139&lt;=Hypothèses!$C$12,Hypothèses!$G$12,IF(B139&lt;=Hypothèses!$C$13,Hypothèses!$G$13,IF(B139&lt;=Hypothèses!$C$14,Hypothèses!$G$14,IF(B139&lt;=Hypothèses!$C$15,Hypothèses!$G$15,IF(B139&lt;=Hypothèses!$C$16,Hypothèses!$G$16,IF(B139&lt;=Hypothèses!$C$17,Hypothèses!$G$17,IF(B139&lt;=Hypothèses!$C$18,Hypothèses!$G$18,E138))))))))))))</f>
        <v>#N/A</v>
      </c>
      <c r="F139" s="82" t="str">
        <f>IF(B139&lt;=Hypothèses!$C$7,Hypothèses!$F$7,IF(B139&lt;=Hypothèses!$C$8,Hypothèses!$F$8,IF(B139&lt;=Hypothèses!$C$9,Hypothèses!$F$9,IF(B139&lt;=Hypothèses!$C$10,Hypothèses!$F$10,IF(B139&lt;=Hypothèses!$C$11,Hypothèses!$F$11,IF(B139&lt;=Hypothèses!$C$12,Hypothèses!$F$12,IF(B139&lt;=Hypothèses!$C$13,Hypothèses!$F$13,IF(B139&lt;=Hypothèses!$C$14,Hypothèses!$F$14,IF(B139&lt;=Hypothèses!$C$15,Hypothèses!$F$15,IF(B139&lt;=Hypothèses!$C$16,Hypothèses!$F$16,IF(B139&lt;=Hypothèses!$C$17,Hypothèses!$F$17,IF(B139&lt;=Hypothèses!$C$18,Hypothèses!$F$18,F138))))))))))))</f>
        <v/>
      </c>
      <c r="G139" s="91">
        <f t="array" ref="G139">INDEX('Coeff EC7'!$U$7:$X$27,
MATCH(Model0.1C!$B$3,'Coeff EC7'!$T$7:$T$27,0),
MATCH(Model0.1C!$D139&amp;Model0.1C!$B$4,
'Coeff EC7'!$U$6:$X$6&amp;
'Coeff EC7'!$U$5:$X$5,0))</f>
        <v>1.1499999999999999</v>
      </c>
      <c r="H139" s="91">
        <f t="array" ref="H139">INDEX('Coeff EC7'!$Y$7:$AB$27,
MATCH(Model0.1C!$B$3,'Coeff EC7'!$T$7:$T$27,0),
MATCH(Model0.1C!$D139&amp;Model0.1C!$B$4,
'Coeff EC7'!$Y$6:$AB$6&amp;
'Coeff EC7'!$Y$5:$AB$5,0))</f>
        <v>1.4</v>
      </c>
      <c r="I139" s="83" t="e">
        <f>IF(B139&lt;=Hypothèses!$C$7,Hypothèses!$P$7,IF(B139&lt;=Hypothèses!$C$8,Hypothèses!$P$8,IF(B139&lt;=Hypothèses!$C$9,Hypothèses!$P$9,IF(B139&lt;=Hypothèses!$C$10,Hypothèses!$P$10,IF(B139&lt;=Hypothèses!$C$11,Hypothèses!$P$11,IF(B139&lt;=Hypothèses!$C$12,Hypothèses!$P$12,IF(B139&lt;=Hypothèses!$C$13,Hypothèses!$P$13,IF(B139&lt;=Hypothèses!$C$14,Hypothèses!$P$14,IF(B139&lt;=Hypothèses!$C$15,Hypothèses!$P$15,IF(B139&lt;=Hypothèses!$C$16,Hypothèses!$P$16,IF(B139&lt;=Hypothèses!$C$17,Hypothèses!$P$17,IF(B139&lt;=Hypothèses!$C$18,Hypothèses!$P$18,I138))))))))))))</f>
        <v>#N/A</v>
      </c>
      <c r="J139" s="91" t="e">
        <f t="array" ref="J139">INDEX('Coeff EC7'!$D$33:$Q$33,1,MATCH(D139&amp;E139,'Coeff EC7'!$D$31:$Q$31&amp;'Coeff EC7'!$D$32:$Q$32,0))</f>
        <v>#N/A</v>
      </c>
      <c r="K139" s="91" t="e">
        <f t="array" ref="K139">INDEX('Coeff EC7'!$D$34:$Q$34,1,MATCH(D139&amp;E139,'Coeff EC7'!$D$31:$Q$31&amp;'Coeff EC7'!$D$32:$Q$32,0))</f>
        <v>#N/A</v>
      </c>
      <c r="L139" s="91" t="e">
        <f t="array" ref="L139">INDEX('Coeff EC7'!$D$35:$Q$35,1,MATCH(D139&amp;E139,'Coeff EC7'!$D$31:$Q$31&amp;'Coeff EC7'!$D$32:$Q$32,0))</f>
        <v>#N/A</v>
      </c>
      <c r="M139" s="98" t="e">
        <f t="shared" si="131"/>
        <v>#N/A</v>
      </c>
      <c r="N139" s="99" t="e">
        <f t="array" ref="N139">INDEX('Coeff EC7'!$D$7:$Q$27,MATCH($B$3,'Coeff EC7'!$C$7:$C$27,0),MATCH(D139&amp;E139,'Coeff EC7'!$D$5:$Q$5&amp;'Coeff EC7'!$D$6:$Q$6,0))</f>
        <v>#N/A</v>
      </c>
      <c r="O139" s="99" t="e">
        <f t="array" ref="O139">INDEX('Coeff EC7'!$D$41:$Q$61,MATCH($B$3,'Coeff EC7'!$C$41:$C$61,0),MATCH(D139&amp;E139,'Coeff EC7'!$D$39:$Q$39&amp;'Coeff EC7'!$D$40:$Q$40,0))</f>
        <v>#N/A</v>
      </c>
      <c r="P139" s="30" t="e">
        <f t="shared" si="168"/>
        <v>#N/A</v>
      </c>
      <c r="Q139" s="100" t="e">
        <f t="shared" si="133"/>
        <v>#N/A</v>
      </c>
      <c r="R139" s="86" t="b">
        <f t="shared" si="134"/>
        <v>0</v>
      </c>
      <c r="S139" s="86">
        <f t="shared" si="132"/>
        <v>0.5</v>
      </c>
      <c r="T139" s="86">
        <f t="shared" si="135"/>
        <v>0.5</v>
      </c>
      <c r="U139" s="30" t="e">
        <f t="shared" ca="1" si="169"/>
        <v>#DIV/0!</v>
      </c>
      <c r="V139" s="85" t="str">
        <f>IF(B139&lt;=Hypothèses!$V$7,Hypothèses!$W$7,IF(B139&lt;=Hypothèses!$V$8,Hypothèses!$W$8,IF(B139&lt;=Hypothèses!$V$9,Hypothèses!$W$9,IF(B139&lt;=Hypothèses!$V$10,Hypothèses!$W$10,IF(B139&lt;=Hypothèses!$V$11,Hypothèses!$W$11,IF(B139&lt;=Hypothèses!$V$12,Hypothèses!$W$12,IF(B139&lt;=Hypothèses!$V$13,Hypothèses!$W$13,IF(B139&lt;=Hypothèses!$V$14,Hypothèses!$W$14,IF(B139&lt;=Hypothèses!$V$15,Hypothèses!$W$15,IF(B139&lt;=Hypothèses!$V$16,Hypothèses!$W$16,IF(B139&lt;=Hypothèses!$V$17,Hypothèses!$W$17,IF(B139&lt;=Hypothèses!$V$18,Hypothèses!$W$18,""))))))))))))</f>
        <v/>
      </c>
      <c r="W139" s="87" t="e">
        <f t="shared" ca="1" si="216"/>
        <v>#DIV/0!</v>
      </c>
      <c r="X139" s="88" t="str">
        <f>IF(B139&lt;=Hypothèses!$V$7,Hypothèses!$X$7,IF(B139&lt;=Hypothèses!$V$8,Hypothèses!$X$8,IF(B139&lt;=Hypothèses!$V$9,Hypothèses!$X$9,IF(B139&lt;=Hypothèses!$V$10,Hypothèses!$X$10,IF(B139&lt;=Hypothèses!$V$11,Hypothèses!$X$11,IF(B139&lt;=Hypothèses!$V$12,Hypothèses!$X$12,IF(B139&lt;=Hypothèses!$V$13,Hypothèses!$X$13,IF(B139&lt;=Hypothèses!$V$14,Hypothèses!$X$14,IF(B139&lt;=Hypothèses!$V$15,Hypothèses!$X$15,IF(B139&lt;=Hypothèses!$V$16,Hypothèses!$X$16,IF(B139&lt;=Hypothèses!$U$17,Hypothèses!$W$17,IF(B139&lt;=Hypothèses!$U$18,Hypothèses!$W$18,""))))))))))))</f>
        <v/>
      </c>
      <c r="Y139" s="95" t="e">
        <f t="shared" ca="1" si="136"/>
        <v>#DIV/0!</v>
      </c>
      <c r="Z139" s="101" t="e">
        <f t="shared" si="137"/>
        <v>#N/A</v>
      </c>
      <c r="AA139" s="91" t="e">
        <f t="shared" si="138"/>
        <v>#N/A</v>
      </c>
      <c r="AB139" s="30" t="e">
        <f t="shared" si="200"/>
        <v>#N/A</v>
      </c>
      <c r="AC139" s="30" t="e">
        <f t="shared" si="201"/>
        <v>#N/A</v>
      </c>
      <c r="AD139" s="31" t="e">
        <f>IF(OR(Hypothèses!$B$4=17,Hypothèses!$B$4=18,Hypothèses!$B$4=19,Hypothèses!$B$4=20),
IF($D139="Pressio.",
IF(OR($E139=3,$E139=1,$E139=4),AC139,AB139),
IF($D139="Pénétro.",
IF(OR($E139=3,$E139=1,$E139=4),AC139,AB139))),IF($D139="Pressio.",
IF($E139=3,AC139,AB139),
IF($D139="Pénétro.",
IF($E139=4,AC139,AB139))))</f>
        <v>#N/A</v>
      </c>
      <c r="AE139" s="31" t="e">
        <f>(IF(OR(Hypothèses!$B$4=17,Hypothèses!$B$4=18,Hypothèses!$B$4=19,Hypothèses!$B$4=20),
IF($D139="Pressio.",
IF(OR($E139=3,$E139=1,$E139=4),(PI()*AE$12^2)/4*(AA139*$W139*1000)/($H139*$B$5),(PI()*AE$12^2)/4*(AA139*$W139*1000)/($G139*$B$5)),
IF($D139="Pénétro.",
IF(OR($E139=4,$E139=1,$E139=5),(PI()*AE$12^2)/4*(AA139*$W139*1000)/($H139*$B$5),(PI()*AE$12^2)/4*(AA139*$W139*1000)/($G139*$B$5)))),
IF($D139="Pressio.",
IF($E139=3,(PI()*AE$12^2)/4*(AA139*$W139*1000)/($H139*$B$5),(PI()*AE$12^2)/4*(AA139*$W139*1000)/($G139*$B$5)),
IF($D139="Pénétro.",
IF($E139=4,(PI()*AE$12^2)/4*(AA139*$W139*1000)/($H139*$B$5),(PI()*AE$12^2)/4*(AA139*$W139*1000)/($G139*$B$5))))))/10</f>
        <v>#N/A</v>
      </c>
      <c r="AF139" s="102" t="e">
        <f>(VLOOKUP($B$3,'Coeff EC7'!$T$39:$X$59,2,0)*AD139+VLOOKUP($B$3,'Coeff EC7'!$T$65:$X$85,2,0)*Model0.1C!AE139)/1.1</f>
        <v>#N/A</v>
      </c>
      <c r="AG139" s="102" t="e">
        <f>(VLOOKUP($B$3,'Coeff EC7'!$T$39:$X$59,3,0)*AD139+VLOOKUP($B$3,'Coeff EC7'!$T$65:$X$85,3,0)*Model0.1C!AE139)/0.9</f>
        <v>#N/A</v>
      </c>
      <c r="AH139" s="102" t="e">
        <f t="shared" si="139"/>
        <v>#N/A</v>
      </c>
      <c r="AI139" s="102" t="e">
        <f t="shared" si="140"/>
        <v>#N/A</v>
      </c>
      <c r="AJ139" s="414" t="e">
        <f>IF(AJ138=0,0,IF(AND(AF139&gt;charge_ELS_quasi,AG139&gt;Charge_ELS_freq,AH139&gt;charge_ELU,AI139&gt;charge_ELA,$B139&gt;NDC!$H$22-0.1+MIN(3*$AJ$12,1.5)),0,1))</f>
        <v>#N/A</v>
      </c>
      <c r="AK139" s="86" t="b">
        <f t="shared" si="141"/>
        <v>0</v>
      </c>
      <c r="AL139" s="86">
        <f t="shared" si="170"/>
        <v>0.5</v>
      </c>
      <c r="AM139" s="86">
        <f t="shared" si="142"/>
        <v>0.5</v>
      </c>
      <c r="AN139" s="30" t="e">
        <f t="shared" ca="1" si="171"/>
        <v>#DIV/0!</v>
      </c>
      <c r="AO139" s="85" t="e">
        <f ca="1">IF(U139&lt;=Hypothèses!$V$7,Hypothèses!$W$7,IF(U139&lt;=Hypothèses!$V$8,Hypothèses!$W$8,IF(U139&lt;=Hypothèses!$V$9,Hypothèses!$W$9,IF(U139&lt;=Hypothèses!$V$10,Hypothèses!$W$10,IF(U139&lt;=Hypothèses!$V$11,Hypothèses!$W$11,IF(U139&lt;=Hypothèses!$V$12,Hypothèses!$W$12,IF(U139&lt;=Hypothèses!$V$13,Hypothèses!$W$13,IF(U139&lt;=Hypothèses!$V$14,Hypothèses!$W$14,IF(U139&lt;=Hypothèses!$V$15,Hypothèses!$W$15,IF(U139&lt;=Hypothèses!$V$16,Hypothèses!$W$16,IF(U139&lt;=Hypothèses!$V$17,Hypothèses!$W$17,IF(U139&lt;=Hypothèses!$V$18,Hypothèses!$W$18,""))))))))))))</f>
        <v>#DIV/0!</v>
      </c>
      <c r="AP139" s="87" t="e">
        <f t="shared" ca="1" si="217"/>
        <v>#DIV/0!</v>
      </c>
      <c r="AQ139" s="88" t="e">
        <f ca="1">IF(U139&lt;=Hypothèses!$V$7,Hypothèses!$X$7,IF(U139&lt;=Hypothèses!$V$8,Hypothèses!$X$8,IF(U139&lt;=Hypothèses!$V$9,Hypothèses!$X$9,IF(U139&lt;=Hypothèses!$V$10,Hypothèses!$X$10,IF(U139&lt;=Hypothèses!$V$11,Hypothèses!$X$11,IF(U139&lt;=Hypothèses!$V$12,Hypothèses!$X$12,IF(U139&lt;=Hypothèses!$V$13,Hypothèses!$X$13,IF(U139&lt;=Hypothèses!$V$14,Hypothèses!$X$14,IF(U139&lt;=Hypothèses!$V$15,Hypothèses!$X$15,IF(U139&lt;=Hypothèses!$V$16,Hypothèses!$X$16,IF(U139&lt;=Hypothèses!$U$17,Hypothèses!$W$17,IF(U139&lt;=Hypothèses!$U$18,Hypothèses!$W$18,""))))))))))))</f>
        <v>#DIV/0!</v>
      </c>
      <c r="AR139" s="95" t="e">
        <f t="shared" ca="1" si="172"/>
        <v>#DIV/0!</v>
      </c>
      <c r="AS139" s="101" t="e">
        <f t="shared" si="224"/>
        <v>#N/A</v>
      </c>
      <c r="AT139" s="91" t="e">
        <f t="shared" si="143"/>
        <v>#N/A</v>
      </c>
      <c r="AU139" s="30" t="e">
        <f t="shared" si="202"/>
        <v>#N/A</v>
      </c>
      <c r="AV139" s="30" t="e">
        <f t="shared" si="203"/>
        <v>#N/A</v>
      </c>
      <c r="AW139" s="31" t="e">
        <f>IF(OR(Hypothèses!$B$4=17,Hypothèses!$B$4=18,Hypothèses!$B$4=19,Hypothèses!$B$4=20),
IF($D139="Pressio.",
IF(OR($E139=3,$E139=1,$E139=4),AV139,AU139),
IF($D139="Pénétro.",
IF(OR($E139=3,$E139=1,$E139=4),AV139,AU139))),IF($D139="Pressio.",
IF($E139=3,AV139,AU139),
IF($D139="Pénétro.",
IF($E139=4,AV139,AU139))))</f>
        <v>#N/A</v>
      </c>
      <c r="AX139" s="31" t="e">
        <f>(IF(OR(Hypothèses!$B$4=17,Hypothèses!$B$4=18,Hypothèses!$B$4=19,Hypothèses!$B$4=20),
IF($D139="Pressio.",
IF(OR($E139=3,$E139=1,$E139=4),(PI()*AX$12^2)/4*(AT139*$W139*1000)/($H139*$B$5),(PI()*AX$12^2)/4*(AT139*$W139*1000)/($G139*$B$5)),
IF($D139="Pénétro.",
IF(OR($E139=4,$E139=1,$E139=5),(PI()*AX$12^2)/4*(AT139*$W139*1000)/($H139*$B$5),(PI()*AX$12^2)/4*(AT139*$W139*1000)/($G139*$B$5)))),
IF($D139="Pressio.",
IF($E139=3,(PI()*AX$12^2)/4*(AT139*$W139*1000)/($H139*$B$5),(PI()*AX$12^2)/4*(AT139*$W139*1000)/($G139*$B$5)),
IF($D139="Pénétro.",
IF($E139=4,(PI()*AX$12^2)/4*(AT139*$W139*1000)/($H139*$B$5),(PI()*AX$12^2)/4*(AT139*$W139*1000)/($G139*$B$5))))))/10</f>
        <v>#N/A</v>
      </c>
      <c r="AY139" s="102" t="e">
        <f>(VLOOKUP($B$3,'Coeff EC7'!$T$39:$X$59,2,0)*AW139+VLOOKUP($B$3,'Coeff EC7'!$T$65:$X$85,2,0)*Model0.1C!AX139)/1.1</f>
        <v>#N/A</v>
      </c>
      <c r="AZ139" s="102" t="e">
        <f>(VLOOKUP($B$3,'Coeff EC7'!$T$39:$X$59,3,0)*AW139+VLOOKUP($B$3,'Coeff EC7'!$T$65:$X$85,3,0)*Model0.1C!AX139)/0.9</f>
        <v>#N/A</v>
      </c>
      <c r="BA139" s="102" t="e">
        <f t="shared" si="173"/>
        <v>#N/A</v>
      </c>
      <c r="BB139" s="102" t="e">
        <f t="shared" si="174"/>
        <v>#N/A</v>
      </c>
      <c r="BC139" s="414" t="e">
        <f>IF(BC138=0,0,IF(AND(AY139&gt;charge_ELS_quasi,AZ139&gt;Charge_ELS_freq,BA139&gt;charge_ELU,BB139&gt;charge_ELA,$B139&gt;NDC!$H$22-0.1+MIN(3*$BC$12,1.5)),0,1))</f>
        <v>#N/A</v>
      </c>
      <c r="BD139" s="86" t="b">
        <f t="shared" si="144"/>
        <v>0</v>
      </c>
      <c r="BE139" s="86">
        <f t="shared" si="175"/>
        <v>0.5</v>
      </c>
      <c r="BF139" s="86">
        <f t="shared" si="145"/>
        <v>0.5</v>
      </c>
      <c r="BG139" s="30" t="e">
        <f t="shared" ca="1" si="176"/>
        <v>#DIV/0!</v>
      </c>
      <c r="BH139" s="85" t="e">
        <f ca="1">IF(AN139&lt;=Hypothèses!$V$7,Hypothèses!$W$7,IF(AN139&lt;=Hypothèses!$V$8,Hypothèses!$W$8,IF(AN139&lt;=Hypothèses!$V$9,Hypothèses!$W$9,IF(AN139&lt;=Hypothèses!$V$10,Hypothèses!$W$10,IF(AN139&lt;=Hypothèses!$V$11,Hypothèses!$W$11,IF(AN139&lt;=Hypothèses!$V$12,Hypothèses!$W$12,IF(AN139&lt;=Hypothèses!$V$13,Hypothèses!$W$13,IF(AN139&lt;=Hypothèses!$V$14,Hypothèses!$W$14,IF(AN139&lt;=Hypothèses!$V$15,Hypothèses!$W$15,IF(AN139&lt;=Hypothèses!$V$16,Hypothèses!$W$16,IF(AN139&lt;=Hypothèses!$V$17,Hypothèses!$W$17,IF(AN139&lt;=Hypothèses!$V$18,Hypothèses!$W$18,""))))))))))))</f>
        <v>#DIV/0!</v>
      </c>
      <c r="BI139" s="87" t="e">
        <f t="shared" ca="1" si="218"/>
        <v>#DIV/0!</v>
      </c>
      <c r="BJ139" s="88" t="e">
        <f ca="1">IF(AN139&lt;=Hypothèses!$V$7,Hypothèses!$X$7,IF(AN139&lt;=Hypothèses!$V$8,Hypothèses!$X$8,IF(AN139&lt;=Hypothèses!$V$9,Hypothèses!$X$9,IF(AN139&lt;=Hypothèses!$V$10,Hypothèses!$X$10,IF(AN139&lt;=Hypothèses!$V$11,Hypothèses!$X$11,IF(AN139&lt;=Hypothèses!$V$12,Hypothèses!$X$12,IF(AN139&lt;=Hypothèses!$V$13,Hypothèses!$X$13,IF(AN139&lt;=Hypothèses!$V$14,Hypothèses!$X$14,IF(AN139&lt;=Hypothèses!$V$15,Hypothèses!$X$15,IF(AN139&lt;=Hypothèses!$V$16,Hypothèses!$X$16,IF(AN139&lt;=Hypothèses!$U$17,Hypothèses!$W$17,IF(AN139&lt;=Hypothèses!$U$18,Hypothèses!$W$18,""))))))))))))</f>
        <v>#DIV/0!</v>
      </c>
      <c r="BK139" s="95" t="e">
        <f t="shared" ca="1" si="177"/>
        <v>#DIV/0!</v>
      </c>
      <c r="BL139" s="101" t="e">
        <f t="shared" si="225"/>
        <v>#N/A</v>
      </c>
      <c r="BM139" s="91" t="e">
        <f t="shared" si="146"/>
        <v>#N/A</v>
      </c>
      <c r="BN139" s="30" t="e">
        <f t="shared" si="204"/>
        <v>#N/A</v>
      </c>
      <c r="BO139" s="30" t="e">
        <f t="shared" si="205"/>
        <v>#N/A</v>
      </c>
      <c r="BP139" s="31" t="e">
        <f>IF(OR(Hypothèses!$B$4=17,Hypothèses!$B$4=18,Hypothèses!$B$4=19,Hypothèses!$B$4=20),
IF($D139="Pressio.",
IF(OR($E139=3,$E139=1,$E139=4),BO139,BN139),
IF($D139="Pénétro.",
IF(OR($E139=3,$E139=1,$E139=4),BO139,BN139))),IF($D139="Pressio.",
IF($E139=3,BO139,BN139),
IF($D139="Pénétro.",
IF($E139=4,BO139,BN139))))</f>
        <v>#N/A</v>
      </c>
      <c r="BQ139" s="31" t="e">
        <f>(IF(OR(Hypothèses!$B$4=17,Hypothèses!$B$4=18,Hypothèses!$B$4=19,Hypothèses!$B$4=20),
IF($D139="Pressio.",
IF(OR($E139=3,$E139=1,$E139=4),(PI()*BQ$12^2)/4*(BM139*$W139*1000)/($H139*$B$5),(PI()*BQ$12^2)/4*(BM139*$W139*1000)/($G139*$B$5)),
IF($D139="Pénétro.",
IF(OR($E139=4,$E139=1,$E139=5),(PI()*BQ$12^2)/4*(BM139*$W139*1000)/($H139*$B$5),(PI()*BQ$12^2)/4*(BM139*$W139*1000)/($G139*$B$5)))),
IF($D139="Pressio.",
IF($E139=3,(PI()*BQ$12^2)/4*(BM139*$W139*1000)/($H139*$B$5),(PI()*BQ$12^2)/4*(BM139*$W139*1000)/($G139*$B$5)),
IF($D139="Pénétro.",
IF($E139=4,(PI()*BQ$12^2)/4*(BM139*$W139*1000)/($H139*$B$5),(PI()*BQ$12^2)/4*(BM139*$W139*1000)/($G139*$B$5))))))/10</f>
        <v>#N/A</v>
      </c>
      <c r="BR139" s="102" t="e">
        <f>(VLOOKUP($B$3,'Coeff EC7'!$T$39:$X$59,2,0)*BP139+VLOOKUP($B$3,'Coeff EC7'!$T$65:$X$85,2,0)*Model0.1C!BQ139)/1.1</f>
        <v>#N/A</v>
      </c>
      <c r="BS139" s="102" t="e">
        <f>(VLOOKUP($B$3,'Coeff EC7'!$T$39:$X$59,3,0)*BP139+VLOOKUP($B$3,'Coeff EC7'!$T$65:$X$85,3,0)*Model0.1C!BQ139)/0.9</f>
        <v>#N/A</v>
      </c>
      <c r="BT139" s="102" t="e">
        <f t="shared" si="178"/>
        <v>#N/A</v>
      </c>
      <c r="BU139" s="102" t="e">
        <f t="shared" si="179"/>
        <v>#N/A</v>
      </c>
      <c r="BV139" s="414" t="e">
        <f>IF(BV138=0,0,IF(AND(BR139&gt;charge_ELS_quasi,BS139&gt;Charge_ELS_freq,BT139&gt;charge_ELU,BU139&gt;charge_ELA,$B139&gt;NDC!$H$22-0.1+MIN(3*$BV$12,1.5)),0,1))</f>
        <v>#N/A</v>
      </c>
      <c r="BW139" s="86" t="b">
        <f t="shared" si="147"/>
        <v>0</v>
      </c>
      <c r="BX139" s="86">
        <f t="shared" si="148"/>
        <v>0.5</v>
      </c>
      <c r="BY139" s="86">
        <f t="shared" si="149"/>
        <v>0.5</v>
      </c>
      <c r="BZ139" s="30" t="e">
        <f t="shared" ca="1" si="180"/>
        <v>#DIV/0!</v>
      </c>
      <c r="CA139" s="85" t="e">
        <f ca="1">IF(BG139&lt;=Hypothèses!$V$7,Hypothèses!$W$7,IF(BG139&lt;=Hypothèses!$V$8,Hypothèses!$W$8,IF(BG139&lt;=Hypothèses!$V$9,Hypothèses!$W$9,IF(BG139&lt;=Hypothèses!$V$10,Hypothèses!$W$10,IF(BG139&lt;=Hypothèses!$V$11,Hypothèses!$W$11,IF(BG139&lt;=Hypothèses!$V$12,Hypothèses!$W$12,IF(BG139&lt;=Hypothèses!$V$13,Hypothèses!$W$13,IF(BG139&lt;=Hypothèses!$V$14,Hypothèses!$W$14,IF(BG139&lt;=Hypothèses!$V$15,Hypothèses!$W$15,IF(BG139&lt;=Hypothèses!$V$16,Hypothèses!$W$16,IF(BG139&lt;=Hypothèses!$V$17,Hypothèses!$W$17,IF(BG139&lt;=Hypothèses!$V$18,Hypothèses!$W$18,""))))))))))))</f>
        <v>#DIV/0!</v>
      </c>
      <c r="CB139" s="87" t="e">
        <f t="shared" ca="1" si="219"/>
        <v>#DIV/0!</v>
      </c>
      <c r="CC139" s="88" t="e">
        <f ca="1">IF(BG139&lt;=Hypothèses!$V$7,Hypothèses!$X$7,IF(BG139&lt;=Hypothèses!$V$8,Hypothèses!$X$8,IF(BG139&lt;=Hypothèses!$V$9,Hypothèses!$X$9,IF(BG139&lt;=Hypothèses!$V$10,Hypothèses!$X$10,IF(BG139&lt;=Hypothèses!$V$11,Hypothèses!$X$11,IF(BG139&lt;=Hypothèses!$V$12,Hypothèses!$X$12,IF(BG139&lt;=Hypothèses!$V$13,Hypothèses!$X$13,IF(BG139&lt;=Hypothèses!$V$14,Hypothèses!$X$14,IF(BG139&lt;=Hypothèses!$V$15,Hypothèses!$X$15,IF(BG139&lt;=Hypothèses!$V$16,Hypothèses!$X$16,IF(BG139&lt;=Hypothèses!$U$17,Hypothèses!$W$17,IF(BG139&lt;=Hypothèses!$U$18,Hypothèses!$W$18,""))))))))))))</f>
        <v>#DIV/0!</v>
      </c>
      <c r="CD139" s="95" t="e">
        <f t="shared" ca="1" si="181"/>
        <v>#DIV/0!</v>
      </c>
      <c r="CE139" s="101" t="e">
        <f t="shared" si="226"/>
        <v>#N/A</v>
      </c>
      <c r="CF139" s="91" t="e">
        <f t="shared" si="150"/>
        <v>#N/A</v>
      </c>
      <c r="CG139" s="30" t="e">
        <f t="shared" si="206"/>
        <v>#N/A</v>
      </c>
      <c r="CH139" s="30" t="e">
        <f t="shared" si="207"/>
        <v>#N/A</v>
      </c>
      <c r="CI139" s="31" t="e">
        <f>IF(OR(Hypothèses!$B$4=17,Hypothèses!$B$4=18,Hypothèses!$B$4=19,Hypothèses!$B$4=20),
IF($D139="Pressio.",
IF(OR($E139=3,$E139=1,$E139=4),CH139,CG139),
IF($D139="Pénétro.",
IF(OR($E139=3,$E139=1,$E139=4),CH139,CG139))),IF($D139="Pressio.",
IF($E139=3,CH139,CG139),
IF($D139="Pénétro.",
IF($E139=4,CH139,CG139))))</f>
        <v>#N/A</v>
      </c>
      <c r="CJ139" s="31" t="e">
        <f>(IF(OR(Hypothèses!$B$4=17,Hypothèses!$B$4=18,Hypothèses!$B$4=19,Hypothèses!$B$4=20),
IF($D139="Pressio.",
IF(OR($E139=3,$E139=1,$E139=4),(PI()*CJ$12^2)/4*(CF139*$W139*1000)/($H139*$B$5),(PI()*CJ$12^2)/4*(CF139*$W139*1000)/($G139*$B$5)),
IF($D139="Pénétro.",
IF(OR($E139=4,$E139=1,$E139=5),(PI()*CJ$12^2)/4*(CF139*$W139*1000)/($H139*$B$5),(PI()*CJ$12^2)/4*(CF139*$W139*1000)/($G139*$B$5)))),
IF($D139="Pressio.",
IF($E139=3,(PI()*CJ$12^2)/4*(CF139*$W139*1000)/($H139*$B$5),(PI()*CJ$12^2)/4*(CF139*$W139*1000)/($G139*$B$5)),
IF($D139="Pénétro.",
IF($E139=4,(PI()*CJ$12^2)/4*(CF139*$W139*1000)/($H139*$B$5),(PI()*CJ$12^2)/4*(CF139*$W139*1000)/($G139*$B$5))))))/10</f>
        <v>#N/A</v>
      </c>
      <c r="CK139" s="102" t="e">
        <f>(VLOOKUP($B$3,'Coeff EC7'!$T$39:$X$59,2,0)*CI139+VLOOKUP($B$3,'Coeff EC7'!$T$65:$X$85,2,0)*Model0.1C!CJ139)/1.1</f>
        <v>#N/A</v>
      </c>
      <c r="CL139" s="102" t="e">
        <f>(VLOOKUP($B$3,'Coeff EC7'!$T$39:$X$59,3,0)*CI139+VLOOKUP($B$3,'Coeff EC7'!$T$65:$X$85,3,0)*Model0.1C!CJ139)/0.9</f>
        <v>#N/A</v>
      </c>
      <c r="CM139" s="102" t="e">
        <f t="shared" si="182"/>
        <v>#N/A</v>
      </c>
      <c r="CN139" s="102" t="e">
        <f t="shared" si="183"/>
        <v>#N/A</v>
      </c>
      <c r="CO139" s="414" t="e">
        <f>IF(CO138=0,0,IF(AND(CK139&gt;charge_ELS_quasi,CL139&gt;Charge_ELS_freq,CM139&gt;charge_ELU,CN139&gt;charge_ELA,$B139&gt;NDC!$H$22-0.1+MIN(3*$CO$12,1.5)),0,1))</f>
        <v>#N/A</v>
      </c>
      <c r="CP139" s="86" t="b">
        <f t="shared" si="151"/>
        <v>0</v>
      </c>
      <c r="CQ139" s="86">
        <f t="shared" si="152"/>
        <v>0.5</v>
      </c>
      <c r="CR139" s="86">
        <f t="shared" si="153"/>
        <v>0.5</v>
      </c>
      <c r="CS139" s="30" t="e">
        <f t="shared" ca="1" si="184"/>
        <v>#DIV/0!</v>
      </c>
      <c r="CT139" s="85" t="e">
        <f ca="1">IF(BZ139&lt;=Hypothèses!$V$7,Hypothèses!$W$7,IF(BZ139&lt;=Hypothèses!$V$8,Hypothèses!$W$8,IF(BZ139&lt;=Hypothèses!$V$9,Hypothèses!$W$9,IF(BZ139&lt;=Hypothèses!$V$10,Hypothèses!$W$10,IF(BZ139&lt;=Hypothèses!$V$11,Hypothèses!$W$11,IF(BZ139&lt;=Hypothèses!$V$12,Hypothèses!$W$12,IF(BZ139&lt;=Hypothèses!$V$13,Hypothèses!$W$13,IF(BZ139&lt;=Hypothèses!$V$14,Hypothèses!$W$14,IF(BZ139&lt;=Hypothèses!$V$15,Hypothèses!$W$15,IF(BZ139&lt;=Hypothèses!$V$16,Hypothèses!$W$16,IF(BZ139&lt;=Hypothèses!$V$17,Hypothèses!$W$17,IF(BZ139&lt;=Hypothèses!$V$18,Hypothèses!$W$18,""))))))))))))</f>
        <v>#DIV/0!</v>
      </c>
      <c r="CU139" s="87" t="e">
        <f t="shared" ca="1" si="220"/>
        <v>#DIV/0!</v>
      </c>
      <c r="CV139" s="88" t="e">
        <f ca="1">IF(BZ139&lt;=Hypothèses!$V$7,Hypothèses!$X$7,IF(BZ139&lt;=Hypothèses!$V$8,Hypothèses!$X$8,IF(BZ139&lt;=Hypothèses!$V$9,Hypothèses!$X$9,IF(BZ139&lt;=Hypothèses!$V$10,Hypothèses!$X$10,IF(BZ139&lt;=Hypothèses!$V$11,Hypothèses!$X$11,IF(BZ139&lt;=Hypothèses!$V$12,Hypothèses!$X$12,IF(BZ139&lt;=Hypothèses!$V$13,Hypothèses!$X$13,IF(BZ139&lt;=Hypothèses!$V$14,Hypothèses!$X$14,IF(BZ139&lt;=Hypothèses!$V$15,Hypothèses!$X$15,IF(BZ139&lt;=Hypothèses!$V$16,Hypothèses!$X$16,IF(BZ139&lt;=Hypothèses!$U$17,Hypothèses!$W$17,IF(BZ139&lt;=Hypothèses!$U$18,Hypothèses!$W$18,""))))))))))))</f>
        <v>#DIV/0!</v>
      </c>
      <c r="CW139" s="95" t="e">
        <f t="shared" ca="1" si="185"/>
        <v>#DIV/0!</v>
      </c>
      <c r="CX139" s="101" t="e">
        <f t="shared" si="227"/>
        <v>#N/A</v>
      </c>
      <c r="CY139" s="91" t="e">
        <f t="shared" si="154"/>
        <v>#N/A</v>
      </c>
      <c r="CZ139" s="30" t="e">
        <f t="shared" si="208"/>
        <v>#N/A</v>
      </c>
      <c r="DA139" s="30" t="e">
        <f t="shared" si="209"/>
        <v>#N/A</v>
      </c>
      <c r="DB139" s="31" t="e">
        <f>IF(OR(Hypothèses!$B$4=17,Hypothèses!$B$4=18,Hypothèses!$B$4=19,Hypothèses!$B$4=20),
IF($D139="Pressio.",
IF(OR($E139=3,$E139=1,$E139=4),DA139,CZ139),
IF($D139="Pénétro.",
IF(OR($E139=3,$E139=1,$E139=4),DA139,CZ139))),IF($D139="Pressio.",
IF($E139=3,DA139,CZ139),
IF($D139="Pénétro.",
IF($E139=4,DA139,CZ139))))</f>
        <v>#N/A</v>
      </c>
      <c r="DC139" s="31" t="e">
        <f>(IF(OR(Hypothèses!$B$4=17,Hypothèses!$B$4=18,Hypothèses!$B$4=19,Hypothèses!$B$4=20),
IF($D139="Pressio.",
IF(OR($E139=3,$E139=1,$E139=4),(PI()*DC$12^2)/4*(CY139*$W139*1000)/($H139*$B$5),(PI()*DC$12^2)/4*(CY139*$W139*1000)/($G139*$B$5)),
IF($D139="Pénétro.",
IF(OR($E139=4,$E139=1,$E139=5),(PI()*DC$12^2)/4*(CY139*$W139*1000)/($H139*$B$5),(PI()*DC$12^2)/4*(CY139*$W139*1000)/($G139*$B$5)))),
IF($D139="Pressio.",
IF($E139=3,(PI()*DC$12^2)/4*(CY139*$W139*1000)/($H139*$B$5),(PI()*DC$12^2)/4*(CY139*$W139*1000)/($G139*$B$5)),
IF($D139="Pénétro.",
IF($E139=4,(PI()*DC$12^2)/4*(CY139*$W139*1000)/($H139*$B$5),(PI()*DC$12^2)/4*(CY139*$W139*1000)/($G139*$B$5))))))/10</f>
        <v>#N/A</v>
      </c>
      <c r="DD139" s="102" t="e">
        <f>(VLOOKUP($B$3,'Coeff EC7'!$T$39:$X$59,2,0)*DB139+VLOOKUP($B$3,'Coeff EC7'!$T$65:$X$85,2,0)*Model0.1C!DC139)/1.1</f>
        <v>#N/A</v>
      </c>
      <c r="DE139" s="102" t="e">
        <f>(VLOOKUP($B$3,'Coeff EC7'!$T$39:$X$59,3,0)*DB139+VLOOKUP($B$3,'Coeff EC7'!$T$65:$X$85,3,0)*Model0.1C!DC139)/0.9</f>
        <v>#N/A</v>
      </c>
      <c r="DF139" s="102" t="e">
        <f t="shared" si="186"/>
        <v>#N/A</v>
      </c>
      <c r="DG139" s="102" t="e">
        <f t="shared" si="187"/>
        <v>#N/A</v>
      </c>
      <c r="DH139" s="414" t="e">
        <f>IF(DH138=0,0,IF(AND(DD139&gt;charge_ELS_quasi,DE139&gt;Charge_ELS_freq,DF139&gt;charge_ELU,DG139&gt;charge_ELA,$B139&gt;NDC!$H$22-0.1+MIN(3*$DH$12,1.5)),0,1))</f>
        <v>#N/A</v>
      </c>
      <c r="DI139" s="86" t="b">
        <f t="shared" si="155"/>
        <v>0</v>
      </c>
      <c r="DJ139" s="86">
        <f t="shared" si="156"/>
        <v>0.5</v>
      </c>
      <c r="DK139" s="86">
        <f t="shared" si="157"/>
        <v>0.5</v>
      </c>
      <c r="DL139" s="30" t="e">
        <f t="shared" ca="1" si="188"/>
        <v>#DIV/0!</v>
      </c>
      <c r="DM139" s="85" t="e">
        <f ca="1">IF(CS139&lt;=Hypothèses!$V$7,Hypothèses!$W$7,IF(CS139&lt;=Hypothèses!$V$8,Hypothèses!$W$8,IF(CS139&lt;=Hypothèses!$V$9,Hypothèses!$W$9,IF(CS139&lt;=Hypothèses!$V$10,Hypothèses!$W$10,IF(CS139&lt;=Hypothèses!$V$11,Hypothèses!$W$11,IF(CS139&lt;=Hypothèses!$V$12,Hypothèses!$W$12,IF(CS139&lt;=Hypothèses!$V$13,Hypothèses!$W$13,IF(CS139&lt;=Hypothèses!$V$14,Hypothèses!$W$14,IF(CS139&lt;=Hypothèses!$V$15,Hypothèses!$W$15,IF(CS139&lt;=Hypothèses!$V$16,Hypothèses!$W$16,IF(CS139&lt;=Hypothèses!$V$17,Hypothèses!$W$17,IF(CS139&lt;=Hypothèses!$V$18,Hypothèses!$W$18,""))))))))))))</f>
        <v>#DIV/0!</v>
      </c>
      <c r="DN139" s="87" t="e">
        <f t="shared" ca="1" si="221"/>
        <v>#DIV/0!</v>
      </c>
      <c r="DO139" s="88" t="e">
        <f ca="1">IF(CS139&lt;=Hypothèses!$V$7,Hypothèses!$X$7,IF(CS139&lt;=Hypothèses!$V$8,Hypothèses!$X$8,IF(CS139&lt;=Hypothèses!$V$9,Hypothèses!$X$9,IF(CS139&lt;=Hypothèses!$V$10,Hypothèses!$X$10,IF(CS139&lt;=Hypothèses!$V$11,Hypothèses!$X$11,IF(CS139&lt;=Hypothèses!$V$12,Hypothèses!$X$12,IF(CS139&lt;=Hypothèses!$V$13,Hypothèses!$X$13,IF(CS139&lt;=Hypothèses!$V$14,Hypothèses!$X$14,IF(CS139&lt;=Hypothèses!$V$15,Hypothèses!$X$15,IF(CS139&lt;=Hypothèses!$V$16,Hypothèses!$X$16,IF(CS139&lt;=Hypothèses!$U$17,Hypothèses!$W$17,IF(CS139&lt;=Hypothèses!$U$18,Hypothèses!$W$18,""))))))))))))</f>
        <v>#DIV/0!</v>
      </c>
      <c r="DP139" s="95" t="e">
        <f t="shared" ca="1" si="189"/>
        <v>#DIV/0!</v>
      </c>
      <c r="DQ139" s="101" t="e">
        <f t="shared" si="228"/>
        <v>#N/A</v>
      </c>
      <c r="DR139" s="91" t="e">
        <f t="shared" si="158"/>
        <v>#N/A</v>
      </c>
      <c r="DS139" s="30" t="e">
        <f t="shared" si="210"/>
        <v>#N/A</v>
      </c>
      <c r="DT139" s="30" t="e">
        <f t="shared" si="211"/>
        <v>#N/A</v>
      </c>
      <c r="DU139" s="31" t="e">
        <f>IF(OR(Hypothèses!$B$4=17,Hypothèses!$B$4=18,Hypothèses!$B$4=19,Hypothèses!$B$4=20),
IF($D139="Pressio.",
IF(OR($E139=3,$E139=1,$E139=4),DT139,DS139),
IF($D139="Pénétro.",
IF(OR($E139=3,$E139=1,$E139=4),DT139,DS139))),IF($D139="Pressio.",
IF($E139=3,DT139,DS139),
IF($D139="Pénétro.",
IF($E139=4,DT139,DS139))))</f>
        <v>#N/A</v>
      </c>
      <c r="DV139" s="31" t="e">
        <f>(IF(OR(Hypothèses!$B$4=17,Hypothèses!$B$4=18,Hypothèses!$B$4=19,Hypothèses!$B$4=20),
IF($D139="Pressio.",
IF(OR($E139=3,$E139=1,$E139=4),(PI()*DV$12^2)/4*(DR139*$W139*1000)/($H139*$B$5),(PI()*DV$12^2)/4*(DR139*$W139*1000)/($G139*$B$5)),
IF($D139="Pénétro.",
IF(OR($E139=4,$E139=1,$E139=5),(PI()*DV$12^2)/4*(DR139*$W139*1000)/($H139*$B$5),(PI()*DV$12^2)/4*(DR139*$W139*1000)/($G139*$B$5)))),
IF($D139="Pressio.",
IF($E139=3,(PI()*DV$12^2)/4*(DR139*$W139*1000)/($H139*$B$5),(PI()*DV$12^2)/4*(DR139*$W139*1000)/($G139*$B$5)),
IF($D139="Pénétro.",
IF($E139=4,(PI()*DV$12^2)/4*(DR139*$W139*1000)/($H139*$B$5),(PI()*DV$12^2)/4*(DR139*$W139*1000)/($G139*$B$5))))))/10</f>
        <v>#N/A</v>
      </c>
      <c r="DW139" s="102" t="e">
        <f>(VLOOKUP($B$3,'Coeff EC7'!$T$39:$X$59,2,0)*DU139+VLOOKUP($B$3,'Coeff EC7'!$T$65:$X$85,2,0)*Model0.1C!DV139)/1.1</f>
        <v>#N/A</v>
      </c>
      <c r="DX139" s="102" t="e">
        <f>(VLOOKUP($B$3,'Coeff EC7'!$T$39:$X$59,3,0)*DU139+VLOOKUP($B$3,'Coeff EC7'!$T$65:$X$85,3,0)*Model0.1C!DV139)/0.9</f>
        <v>#N/A</v>
      </c>
      <c r="DY139" s="102" t="e">
        <f t="shared" si="190"/>
        <v>#N/A</v>
      </c>
      <c r="DZ139" s="102" t="e">
        <f t="shared" si="191"/>
        <v>#N/A</v>
      </c>
      <c r="EA139" s="414" t="e">
        <f>IF(EA138=0,0,IF(AND(DW139&gt;charge_ELS_quasi,DX139&gt;Charge_ELS_freq,DY139&gt;charge_ELU,DZ139&gt;charge_ELA,$B139&gt;NDC!$H$22-0.1+MIN(3*$EA$12,1.5)),0,1))</f>
        <v>#N/A</v>
      </c>
      <c r="EB139" s="86" t="b">
        <f t="shared" si="159"/>
        <v>0</v>
      </c>
      <c r="EC139" s="418">
        <f t="shared" si="160"/>
        <v>0.51</v>
      </c>
      <c r="ED139" s="86">
        <f t="shared" si="161"/>
        <v>0.51</v>
      </c>
      <c r="EE139" s="30" t="e">
        <f t="shared" ca="1" si="192"/>
        <v>#DIV/0!</v>
      </c>
      <c r="EF139" s="85" t="e">
        <f ca="1">IF(DL139&lt;=Hypothèses!$V$7,Hypothèses!$W$7,IF(DL139&lt;=Hypothèses!$V$8,Hypothèses!$W$8,IF(DL139&lt;=Hypothèses!$V$9,Hypothèses!$W$9,IF(DL139&lt;=Hypothèses!$V$10,Hypothèses!$W$10,IF(DL139&lt;=Hypothèses!$V$11,Hypothèses!$W$11,IF(DL139&lt;=Hypothèses!$V$12,Hypothèses!$W$12,IF(DL139&lt;=Hypothèses!$V$13,Hypothèses!$W$13,IF(DL139&lt;=Hypothèses!$V$14,Hypothèses!$W$14,IF(DL139&lt;=Hypothèses!$V$15,Hypothèses!$W$15,IF(DL139&lt;=Hypothèses!$V$16,Hypothèses!$W$16,IF(DL139&lt;=Hypothèses!$V$17,Hypothèses!$W$17,IF(DL139&lt;=Hypothèses!$V$18,Hypothèses!$W$18,""))))))))))))</f>
        <v>#DIV/0!</v>
      </c>
      <c r="EG139" s="87" t="e">
        <f t="shared" ca="1" si="222"/>
        <v>#DIV/0!</v>
      </c>
      <c r="EH139" s="88" t="e">
        <f ca="1">IF(DL139&lt;=Hypothèses!$V$7,Hypothèses!$X$7,IF(DL139&lt;=Hypothèses!$V$8,Hypothèses!$X$8,IF(DL139&lt;=Hypothèses!$V$9,Hypothèses!$X$9,IF(DL139&lt;=Hypothèses!$V$10,Hypothèses!$X$10,IF(DL139&lt;=Hypothèses!$V$11,Hypothèses!$X$11,IF(DL139&lt;=Hypothèses!$V$12,Hypothèses!$X$12,IF(DL139&lt;=Hypothèses!$V$13,Hypothèses!$X$13,IF(DL139&lt;=Hypothèses!$V$14,Hypothèses!$X$14,IF(DL139&lt;=Hypothèses!$V$15,Hypothèses!$X$15,IF(DL139&lt;=Hypothèses!$V$16,Hypothèses!$X$16,IF(DL139&lt;=Hypothèses!$U$17,Hypothèses!$W$17,IF(DL139&lt;=Hypothèses!$U$18,Hypothèses!$W$18,""))))))))))))</f>
        <v>#DIV/0!</v>
      </c>
      <c r="EI139" s="95" t="e">
        <f t="shared" ca="1" si="193"/>
        <v>#DIV/0!</v>
      </c>
      <c r="EJ139" s="101" t="e">
        <f t="shared" si="229"/>
        <v>#N/A</v>
      </c>
      <c r="EK139" s="91" t="e">
        <f t="shared" si="162"/>
        <v>#N/A</v>
      </c>
      <c r="EL139" s="30" t="e">
        <f t="shared" si="212"/>
        <v>#N/A</v>
      </c>
      <c r="EM139" s="30" t="e">
        <f t="shared" si="213"/>
        <v>#N/A</v>
      </c>
      <c r="EN139" s="31" t="e">
        <f>IF(OR(Hypothèses!$B$4=17,Hypothèses!$B$4=18,Hypothèses!$B$4=19,Hypothèses!$B$4=20),
IF($D139="Pressio.",
IF(OR($E139=3,$E139=1,$E139=4),EM139,EL139),
IF($D139="Pénétro.",
IF(OR($E139=3,$E139=1,$E139=4),EM139,EL139))),IF($D139="Pressio.",
IF($E139=3,EM139,EL139),
IF($D139="Pénétro.",
IF($E139=4,EM139,EL139))))</f>
        <v>#N/A</v>
      </c>
      <c r="EO139" s="31" t="e">
        <f>(IF(OR(Hypothèses!$B$4=17,Hypothèses!$B$4=18,Hypothèses!$B$4=19,Hypothèses!$B$4=20),
IF($D139="Pressio.",
IF(OR($E139=3,$E139=1,$E139=4),(PI()*EO$12^2)/4*(EK139*$W139*1000)/($H139*$B$5),(PI()*EO$12^2)/4*(EK139*$W139*1000)/($G139*$B$5)),
IF($D139="Pénétro.",
IF(OR($E139=4,$E139=1,$E139=5),(PI()*EO$12^2)/4*(EK139*$W139*1000)/($H139*$B$5),(PI()*EO$12^2)/4*(EK139*$W139*1000)/($G139*$B$5)))),
IF($D139="Pressio.",
IF($E139=3,(PI()*EO$12^2)/4*(EK139*$W139*1000)/($H139*$B$5),(PI()*EO$12^2)/4*(EK139*$W139*1000)/($G139*$B$5)),
IF($D139="Pénétro.",
IF($E139=4,(PI()*EO$12^2)/4*(EK139*$W139*1000)/($H139*$B$5),(PI()*EO$12^2)/4*(EK139*$W139*1000)/($G139*$B$5))))))/10</f>
        <v>#N/A</v>
      </c>
      <c r="EP139" s="102" t="e">
        <f>(VLOOKUP($B$3,'Coeff EC7'!$T$39:$X$59,2,0)*EN139+VLOOKUP($B$3,'Coeff EC7'!$T$65:$X$85,2,0)*Model0.1C!EO139)/1.1</f>
        <v>#N/A</v>
      </c>
      <c r="EQ139" s="102" t="e">
        <f>(VLOOKUP($B$3,'Coeff EC7'!$T$39:$X$59,3,0)*EN139+VLOOKUP($B$3,'Coeff EC7'!$T$65:$X$85,3,0)*Model0.1C!EO139)/0.9</f>
        <v>#N/A</v>
      </c>
      <c r="ER139" s="102" t="e">
        <f t="shared" si="194"/>
        <v>#N/A</v>
      </c>
      <c r="ES139" s="102" t="e">
        <f t="shared" si="195"/>
        <v>#N/A</v>
      </c>
      <c r="ET139" s="414" t="e">
        <f>IF(ET138=0,0,IF(AND(EP139&gt;charge_ELS_quasi,EQ139&gt;Charge_ELS_freq,ER139&gt;charge_ELU,ES139&gt;charge_ELA,$B139&gt;NDC!$H$22-0.1+MIN(3*$ET$12,1.5)),0,1))</f>
        <v>#N/A</v>
      </c>
      <c r="EU139" s="86" t="b">
        <f t="shared" si="163"/>
        <v>0</v>
      </c>
      <c r="EV139" s="86">
        <f t="shared" si="164"/>
        <v>0.61</v>
      </c>
      <c r="EW139" s="86">
        <f t="shared" si="165"/>
        <v>0.61</v>
      </c>
      <c r="EX139" s="30" t="e">
        <f t="shared" ca="1" si="196"/>
        <v>#DIV/0!</v>
      </c>
      <c r="EY139" s="85" t="e">
        <f ca="1">IF(EE139&lt;=Hypothèses!$V$7,Hypothèses!$W$7,IF(EE139&lt;=Hypothèses!$V$8,Hypothèses!$W$8,IF(EE139&lt;=Hypothèses!$V$9,Hypothèses!$W$9,IF(EE139&lt;=Hypothèses!$V$10,Hypothèses!$W$10,IF(EE139&lt;=Hypothèses!$V$11,Hypothèses!$W$11,IF(EE139&lt;=Hypothèses!$V$12,Hypothèses!$W$12,IF(EE139&lt;=Hypothèses!$V$13,Hypothèses!$W$13,IF(EE139&lt;=Hypothèses!$V$14,Hypothèses!$W$14,IF(EE139&lt;=Hypothèses!$V$15,Hypothèses!$W$15,IF(EE139&lt;=Hypothèses!$V$16,Hypothèses!$W$16,IF(EE139&lt;=Hypothèses!$V$17,Hypothèses!$W$17,IF(EE139&lt;=Hypothèses!$V$18,Hypothèses!$W$18,""))))))))))))</f>
        <v>#DIV/0!</v>
      </c>
      <c r="EZ139" s="87" t="e">
        <f t="shared" ca="1" si="223"/>
        <v>#DIV/0!</v>
      </c>
      <c r="FA139" s="88" t="e">
        <f ca="1">IF(EE139&lt;=Hypothèses!$V$7,Hypothèses!$X$7,IF(EE139&lt;=Hypothèses!$V$8,Hypothèses!$X$8,IF(EE139&lt;=Hypothèses!$V$9,Hypothèses!$X$9,IF(EE139&lt;=Hypothèses!$V$10,Hypothèses!$X$10,IF(EE139&lt;=Hypothèses!$V$11,Hypothèses!$X$11,IF(EE139&lt;=Hypothèses!$V$12,Hypothèses!$X$12,IF(EE139&lt;=Hypothèses!$V$13,Hypothèses!$X$13,IF(EE139&lt;=Hypothèses!$V$14,Hypothèses!$X$14,IF(EE139&lt;=Hypothèses!$V$15,Hypothèses!$X$15,IF(EE139&lt;=Hypothèses!$V$16,Hypothèses!$X$16,IF(EE139&lt;=Hypothèses!$U$17,Hypothèses!$W$17,IF(EE139&lt;=Hypothèses!$U$18,Hypothèses!$W$18,""))))))))))))</f>
        <v>#DIV/0!</v>
      </c>
      <c r="FB139" s="95" t="e">
        <f t="shared" ca="1" si="197"/>
        <v>#DIV/0!</v>
      </c>
      <c r="FC139" s="101" t="e">
        <f t="shared" si="230"/>
        <v>#N/A</v>
      </c>
      <c r="FD139" s="91" t="e">
        <f t="shared" si="166"/>
        <v>#N/A</v>
      </c>
      <c r="FE139" s="30" t="e">
        <f t="shared" si="214"/>
        <v>#N/A</v>
      </c>
      <c r="FF139" s="30" t="e">
        <f t="shared" si="215"/>
        <v>#N/A</v>
      </c>
      <c r="FG139" s="31" t="e">
        <f>IF(OR(Hypothèses!$B$4=17,Hypothèses!$B$4=18,Hypothèses!$B$4=19,Hypothèses!$B$4=20),
IF($D139="Pressio.",
IF(OR($E139=3,$E139=1,$E139=4),FF139,FE139),
IF($D139="Pénétro.",
IF(OR($E139=3,$E139=1,$E139=4),FF139,FE139))),IF($D139="Pressio.",
IF($E139=3,FF139,FE139),
IF($D139="Pénétro.",
IF($E139=4,FF139,FE139))))</f>
        <v>#N/A</v>
      </c>
      <c r="FH139" s="31" t="e">
        <f>(IF(OR(Hypothèses!$B$4=17,Hypothèses!$B$4=18,Hypothèses!$B$4=19,Hypothèses!$B$4=20),
IF($D139="Pressio.",
IF(OR($E139=3,$E139=1,$E139=4),(PI()*FH$12^2)/4*(FD139*$W139*1000)/($H139*$B$5),(PI()*FH$12^2)/4*(FD139*$W139*1000)/($G139*$B$5)),
IF($D139="Pénétro.",
IF(OR($E139=4,$E139=1,$E139=5),(PI()*FH$12^2)/4*(FD139*$W139*1000)/($H139*$B$5),(PI()*FH$12^2)/4*(FD139*$W139*1000)/($G139*$B$5)))),
IF($D139="Pressio.",
IF($E139=3,(PI()*FH$12^2)/4*(FD139*$W139*1000)/($H139*$B$5),(PI()*FH$12^2)/4*(FD139*$W139*1000)/($G139*$B$5)),
IF($D139="Pénétro.",
IF($E139=4,(PI()*FH$12^2)/4*(FD139*$W139*1000)/($H139*$B$5),(PI()*FH$12^2)/4*(FD139*$W139*1000)/($G139*$B$5))))))/10</f>
        <v>#N/A</v>
      </c>
      <c r="FI139" s="102" t="e">
        <f>(VLOOKUP($B$3,'Coeff EC7'!$T$39:$X$59,2,0)*FG139+VLOOKUP($B$3,'Coeff EC7'!$T$65:$X$85,2,0)*Model0.1C!FH139)/1.1</f>
        <v>#N/A</v>
      </c>
      <c r="FJ139" s="102" t="e">
        <f>(VLOOKUP($B$3,'Coeff EC7'!$T$39:$X$59,3,0)*FG139+VLOOKUP($B$3,'Coeff EC7'!$T$65:$X$85,3,0)*Model0.1C!FH139)/0.9</f>
        <v>#N/A</v>
      </c>
      <c r="FK139" s="102" t="e">
        <f t="shared" si="198"/>
        <v>#N/A</v>
      </c>
      <c r="FL139" s="102" t="e">
        <f t="shared" si="199"/>
        <v>#N/A</v>
      </c>
      <c r="FM139" s="414" t="e">
        <f>IF(FM138=0,0,IF(AND(FI139&gt;charge_ELS_quasi,FJ139&gt;Charge_ELS_freq,FK139&gt;charge_ELU,FL139&gt;charge_ELA,$B139&gt;NDC!$H$22-0.1+MIN(3*$FM$12,1.5)),0,1))</f>
        <v>#N/A</v>
      </c>
    </row>
    <row r="140" spans="1:169">
      <c r="A140" s="96">
        <f t="shared" si="167"/>
        <v>87.300000000000722</v>
      </c>
      <c r="B140" s="97">
        <v>12.7</v>
      </c>
      <c r="C140" s="81">
        <f>IF(B140&lt;=Hypothèses!$C$7,Hypothèses!$A$7,IF(B140&lt;=Hypothèses!$C$8,Hypothèses!$A$8,IF(B140&lt;=Hypothèses!$C$9,Hypothèses!$A$9,IF(B140&lt;=Hypothèses!$C$10,Hypothèses!$A$10,IF(B140&lt;=Hypothèses!$C$11,Hypothèses!$A$11,IF(B140&lt;=Hypothèses!$C$12,Hypothèses!$A$12,IF(B140&lt;=Hypothèses!$C$13,Hypothèses!$A$13,IF(B140&lt;=Hypothèses!$C$14,Hypothèses!$A$14,IF(B140&lt;=Hypothèses!$C$15,Hypothèses!$A$15,IF(B140&lt;=Hypothèses!$C$16,Hypothèses!$A$16,IF(B140&lt;=Hypothèses!$C$17,Hypothèses!$A$17,IF(B140&lt;=Hypothèses!$C$18,Hypothèses!$A$18,C139))))))))))))</f>
        <v>11</v>
      </c>
      <c r="D140" s="82" t="str">
        <f>IF(B140&lt;=Hypothèses!$C$7,Hypothèses!$R$7,IF(B140&lt;=Hypothèses!$C$8,Hypothèses!$R$8,IF(B140&lt;=Hypothèses!$C$9,Hypothèses!$R$9,IF(B140&lt;=Hypothèses!$C$10,Hypothèses!$R$10,IF(B140&lt;=Hypothèses!$C$11,Hypothèses!$R$11,IF(B140&lt;=Hypothèses!$C$12,Hypothèses!$R$12,IF(B140&lt;=Hypothèses!$C$13,Hypothèses!$R$13,IF(B140&lt;=Hypothèses!$C$14,Hypothèses!$R$14,IF(B140&lt;=Hypothèses!$C$15,Hypothèses!$R$15,IF(B140&lt;=Hypothèses!$C$16,Hypothèses!$R$16,IF(B140&lt;=Hypothèses!$C$17,Hypothèses!$R$17,IF(B140&lt;=Hypothèses!$C$18,Hypothèses!$R$18,D139))))))))))))</f>
        <v>Pressio.</v>
      </c>
      <c r="E140" s="82" t="e">
        <f>IF(B140&lt;=Hypothèses!$C$7,Hypothèses!$G$7,IF(B140&lt;=Hypothèses!$C$8,Hypothèses!$G$8,IF(B140&lt;=Hypothèses!$C$9,Hypothèses!$G$9,IF(B140&lt;=Hypothèses!$C$10,Hypothèses!$G$10,IF(B140&lt;=Hypothèses!$C$11,Hypothèses!$G$11,IF(B140&lt;=Hypothèses!$C$12,Hypothèses!$G$12,IF(B140&lt;=Hypothèses!$C$13,Hypothèses!$G$13,IF(B140&lt;=Hypothèses!$C$14,Hypothèses!$G$14,IF(B140&lt;=Hypothèses!$C$15,Hypothèses!$G$15,IF(B140&lt;=Hypothèses!$C$16,Hypothèses!$G$16,IF(B140&lt;=Hypothèses!$C$17,Hypothèses!$G$17,IF(B140&lt;=Hypothèses!$C$18,Hypothèses!$G$18,E139))))))))))))</f>
        <v>#N/A</v>
      </c>
      <c r="F140" s="82" t="str">
        <f>IF(B140&lt;=Hypothèses!$C$7,Hypothèses!$F$7,IF(B140&lt;=Hypothèses!$C$8,Hypothèses!$F$8,IF(B140&lt;=Hypothèses!$C$9,Hypothèses!$F$9,IF(B140&lt;=Hypothèses!$C$10,Hypothèses!$F$10,IF(B140&lt;=Hypothèses!$C$11,Hypothèses!$F$11,IF(B140&lt;=Hypothèses!$C$12,Hypothèses!$F$12,IF(B140&lt;=Hypothèses!$C$13,Hypothèses!$F$13,IF(B140&lt;=Hypothèses!$C$14,Hypothèses!$F$14,IF(B140&lt;=Hypothèses!$C$15,Hypothèses!$F$15,IF(B140&lt;=Hypothèses!$C$16,Hypothèses!$F$16,IF(B140&lt;=Hypothèses!$C$17,Hypothèses!$F$17,IF(B140&lt;=Hypothèses!$C$18,Hypothèses!$F$18,F139))))))))))))</f>
        <v/>
      </c>
      <c r="G140" s="91">
        <f t="array" ref="G140">INDEX('Coeff EC7'!$U$7:$X$27,
MATCH(Model0.1C!$B$3,'Coeff EC7'!$T$7:$T$27,0),
MATCH(Model0.1C!$D140&amp;Model0.1C!$B$4,
'Coeff EC7'!$U$6:$X$6&amp;
'Coeff EC7'!$U$5:$X$5,0))</f>
        <v>1.1499999999999999</v>
      </c>
      <c r="H140" s="91">
        <f t="array" ref="H140">INDEX('Coeff EC7'!$Y$7:$AB$27,
MATCH(Model0.1C!$B$3,'Coeff EC7'!$T$7:$T$27,0),
MATCH(Model0.1C!$D140&amp;Model0.1C!$B$4,
'Coeff EC7'!$Y$6:$AB$6&amp;
'Coeff EC7'!$Y$5:$AB$5,0))</f>
        <v>1.4</v>
      </c>
      <c r="I140" s="83" t="e">
        <f>IF(B140&lt;=Hypothèses!$C$7,Hypothèses!$P$7,IF(B140&lt;=Hypothèses!$C$8,Hypothèses!$P$8,IF(B140&lt;=Hypothèses!$C$9,Hypothèses!$P$9,IF(B140&lt;=Hypothèses!$C$10,Hypothèses!$P$10,IF(B140&lt;=Hypothèses!$C$11,Hypothèses!$P$11,IF(B140&lt;=Hypothèses!$C$12,Hypothèses!$P$12,IF(B140&lt;=Hypothèses!$C$13,Hypothèses!$P$13,IF(B140&lt;=Hypothèses!$C$14,Hypothèses!$P$14,IF(B140&lt;=Hypothèses!$C$15,Hypothèses!$P$15,IF(B140&lt;=Hypothèses!$C$16,Hypothèses!$P$16,IF(B140&lt;=Hypothèses!$C$17,Hypothèses!$P$17,IF(B140&lt;=Hypothèses!$C$18,Hypothèses!$P$18,I139))))))))))))</f>
        <v>#N/A</v>
      </c>
      <c r="J140" s="91" t="e">
        <f t="array" ref="J140">INDEX('Coeff EC7'!$D$33:$Q$33,1,MATCH(D140&amp;E140,'Coeff EC7'!$D$31:$Q$31&amp;'Coeff EC7'!$D$32:$Q$32,0))</f>
        <v>#N/A</v>
      </c>
      <c r="K140" s="91" t="e">
        <f t="array" ref="K140">INDEX('Coeff EC7'!$D$34:$Q$34,1,MATCH(D140&amp;E140,'Coeff EC7'!$D$31:$Q$31&amp;'Coeff EC7'!$D$32:$Q$32,0))</f>
        <v>#N/A</v>
      </c>
      <c r="L140" s="91" t="e">
        <f t="array" ref="L140">INDEX('Coeff EC7'!$D$35:$Q$35,1,MATCH(D140&amp;E140,'Coeff EC7'!$D$31:$Q$31&amp;'Coeff EC7'!$D$32:$Q$32,0))</f>
        <v>#N/A</v>
      </c>
      <c r="M140" s="98" t="e">
        <f t="shared" si="131"/>
        <v>#N/A</v>
      </c>
      <c r="N140" s="99" t="e">
        <f t="array" ref="N140">INDEX('Coeff EC7'!$D$7:$Q$27,MATCH($B$3,'Coeff EC7'!$C$7:$C$27,0),MATCH(D140&amp;E140,'Coeff EC7'!$D$5:$Q$5&amp;'Coeff EC7'!$D$6:$Q$6,0))</f>
        <v>#N/A</v>
      </c>
      <c r="O140" s="99" t="e">
        <f t="array" ref="O140">INDEX('Coeff EC7'!$D$41:$Q$61,MATCH($B$3,'Coeff EC7'!$C$41:$C$61,0),MATCH(D140&amp;E140,'Coeff EC7'!$D$39:$Q$39&amp;'Coeff EC7'!$D$40:$Q$40,0))</f>
        <v>#N/A</v>
      </c>
      <c r="P140" s="30" t="e">
        <f t="shared" si="168"/>
        <v>#N/A</v>
      </c>
      <c r="Q140" s="100" t="e">
        <f t="shared" si="133"/>
        <v>#N/A</v>
      </c>
      <c r="R140" s="86" t="b">
        <f t="shared" si="134"/>
        <v>0</v>
      </c>
      <c r="S140" s="86">
        <f t="shared" si="132"/>
        <v>0.5</v>
      </c>
      <c r="T140" s="86">
        <f t="shared" si="135"/>
        <v>0.5</v>
      </c>
      <c r="U140" s="30" t="e">
        <f t="shared" ca="1" si="169"/>
        <v>#DIV/0!</v>
      </c>
      <c r="V140" s="85" t="str">
        <f>IF(B140&lt;=Hypothèses!$V$7,Hypothèses!$W$7,IF(B140&lt;=Hypothèses!$V$8,Hypothèses!$W$8,IF(B140&lt;=Hypothèses!$V$9,Hypothèses!$W$9,IF(B140&lt;=Hypothèses!$V$10,Hypothèses!$W$10,IF(B140&lt;=Hypothèses!$V$11,Hypothèses!$W$11,IF(B140&lt;=Hypothèses!$V$12,Hypothèses!$W$12,IF(B140&lt;=Hypothèses!$V$13,Hypothèses!$W$13,IF(B140&lt;=Hypothèses!$V$14,Hypothèses!$W$14,IF(B140&lt;=Hypothèses!$V$15,Hypothèses!$W$15,IF(B140&lt;=Hypothèses!$V$16,Hypothèses!$W$16,IF(B140&lt;=Hypothèses!$V$17,Hypothèses!$W$17,IF(B140&lt;=Hypothèses!$V$18,Hypothèses!$W$18,""))))))))))))</f>
        <v/>
      </c>
      <c r="W140" s="87" t="e">
        <f t="shared" ca="1" si="216"/>
        <v>#DIV/0!</v>
      </c>
      <c r="X140" s="88" t="str">
        <f>IF(B140&lt;=Hypothèses!$V$7,Hypothèses!$X$7,IF(B140&lt;=Hypothèses!$V$8,Hypothèses!$X$8,IF(B140&lt;=Hypothèses!$V$9,Hypothèses!$X$9,IF(B140&lt;=Hypothèses!$V$10,Hypothèses!$X$10,IF(B140&lt;=Hypothèses!$V$11,Hypothèses!$X$11,IF(B140&lt;=Hypothèses!$V$12,Hypothèses!$X$12,IF(B140&lt;=Hypothèses!$V$13,Hypothèses!$X$13,IF(B140&lt;=Hypothèses!$V$14,Hypothèses!$X$14,IF(B140&lt;=Hypothèses!$V$15,Hypothèses!$X$15,IF(B140&lt;=Hypothèses!$V$16,Hypothèses!$X$16,IF(B140&lt;=Hypothèses!$U$17,Hypothèses!$W$17,IF(B140&lt;=Hypothèses!$U$18,Hypothèses!$W$18,""))))))))))))</f>
        <v/>
      </c>
      <c r="Y140" s="95" t="e">
        <f t="shared" ca="1" si="136"/>
        <v>#DIV/0!</v>
      </c>
      <c r="Z140" s="101" t="e">
        <f t="shared" si="137"/>
        <v>#N/A</v>
      </c>
      <c r="AA140" s="91" t="e">
        <f t="shared" si="138"/>
        <v>#N/A</v>
      </c>
      <c r="AB140" s="30" t="e">
        <f t="shared" si="200"/>
        <v>#N/A</v>
      </c>
      <c r="AC140" s="30" t="e">
        <f t="shared" si="201"/>
        <v>#N/A</v>
      </c>
      <c r="AD140" s="31" t="e">
        <f>IF(OR(Hypothèses!$B$4=17,Hypothèses!$B$4=18,Hypothèses!$B$4=19,Hypothèses!$B$4=20),
IF($D140="Pressio.",
IF(OR($E140=3,$E140=1,$E140=4),AC140,AB140),
IF($D140="Pénétro.",
IF(OR($E140=3,$E140=1,$E140=4),AC140,AB140))),IF($D140="Pressio.",
IF($E140=3,AC140,AB140),
IF($D140="Pénétro.",
IF($E140=4,AC140,AB140))))</f>
        <v>#N/A</v>
      </c>
      <c r="AE140" s="31" t="e">
        <f>(IF(OR(Hypothèses!$B$4=17,Hypothèses!$B$4=18,Hypothèses!$B$4=19,Hypothèses!$B$4=20),
IF($D140="Pressio.",
IF(OR($E140=3,$E140=1,$E140=4),(PI()*AE$12^2)/4*(AA140*$W140*1000)/($H140*$B$5),(PI()*AE$12^2)/4*(AA140*$W140*1000)/($G140*$B$5)),
IF($D140="Pénétro.",
IF(OR($E140=4,$E140=1,$E140=5),(PI()*AE$12^2)/4*(AA140*$W140*1000)/($H140*$B$5),(PI()*AE$12^2)/4*(AA140*$W140*1000)/($G140*$B$5)))),
IF($D140="Pressio.",
IF($E140=3,(PI()*AE$12^2)/4*(AA140*$W140*1000)/($H140*$B$5),(PI()*AE$12^2)/4*(AA140*$W140*1000)/($G140*$B$5)),
IF($D140="Pénétro.",
IF($E140=4,(PI()*AE$12^2)/4*(AA140*$W140*1000)/($H140*$B$5),(PI()*AE$12^2)/4*(AA140*$W140*1000)/($G140*$B$5))))))/10</f>
        <v>#N/A</v>
      </c>
      <c r="AF140" s="102" t="e">
        <f>(VLOOKUP($B$3,'Coeff EC7'!$T$39:$X$59,2,0)*AD140+VLOOKUP($B$3,'Coeff EC7'!$T$65:$X$85,2,0)*Model0.1C!AE140)/1.1</f>
        <v>#N/A</v>
      </c>
      <c r="AG140" s="102" t="e">
        <f>(VLOOKUP($B$3,'Coeff EC7'!$T$39:$X$59,3,0)*AD140+VLOOKUP($B$3,'Coeff EC7'!$T$65:$X$85,3,0)*Model0.1C!AE140)/0.9</f>
        <v>#N/A</v>
      </c>
      <c r="AH140" s="102" t="e">
        <f t="shared" si="139"/>
        <v>#N/A</v>
      </c>
      <c r="AI140" s="102" t="e">
        <f t="shared" si="140"/>
        <v>#N/A</v>
      </c>
      <c r="AJ140" s="414" t="e">
        <f>IF(AJ139=0,0,IF(AND(AF140&gt;charge_ELS_quasi,AG140&gt;Charge_ELS_freq,AH140&gt;charge_ELU,AI140&gt;charge_ELA,$B140&gt;NDC!$H$22-0.1+MIN(3*$AJ$12,1.5)),0,1))</f>
        <v>#N/A</v>
      </c>
      <c r="AK140" s="86" t="b">
        <f t="shared" si="141"/>
        <v>0</v>
      </c>
      <c r="AL140" s="86">
        <f t="shared" si="170"/>
        <v>0.5</v>
      </c>
      <c r="AM140" s="86">
        <f t="shared" si="142"/>
        <v>0.5</v>
      </c>
      <c r="AN140" s="30" t="e">
        <f t="shared" ca="1" si="171"/>
        <v>#DIV/0!</v>
      </c>
      <c r="AO140" s="85" t="e">
        <f ca="1">IF(U140&lt;=Hypothèses!$V$7,Hypothèses!$W$7,IF(U140&lt;=Hypothèses!$V$8,Hypothèses!$W$8,IF(U140&lt;=Hypothèses!$V$9,Hypothèses!$W$9,IF(U140&lt;=Hypothèses!$V$10,Hypothèses!$W$10,IF(U140&lt;=Hypothèses!$V$11,Hypothèses!$W$11,IF(U140&lt;=Hypothèses!$V$12,Hypothèses!$W$12,IF(U140&lt;=Hypothèses!$V$13,Hypothèses!$W$13,IF(U140&lt;=Hypothèses!$V$14,Hypothèses!$W$14,IF(U140&lt;=Hypothèses!$V$15,Hypothèses!$W$15,IF(U140&lt;=Hypothèses!$V$16,Hypothèses!$W$16,IF(U140&lt;=Hypothèses!$V$17,Hypothèses!$W$17,IF(U140&lt;=Hypothèses!$V$18,Hypothèses!$W$18,""))))))))))))</f>
        <v>#DIV/0!</v>
      </c>
      <c r="AP140" s="87" t="e">
        <f t="shared" ca="1" si="217"/>
        <v>#DIV/0!</v>
      </c>
      <c r="AQ140" s="88" t="e">
        <f ca="1">IF(U140&lt;=Hypothèses!$V$7,Hypothèses!$X$7,IF(U140&lt;=Hypothèses!$V$8,Hypothèses!$X$8,IF(U140&lt;=Hypothèses!$V$9,Hypothèses!$X$9,IF(U140&lt;=Hypothèses!$V$10,Hypothèses!$X$10,IF(U140&lt;=Hypothèses!$V$11,Hypothèses!$X$11,IF(U140&lt;=Hypothèses!$V$12,Hypothèses!$X$12,IF(U140&lt;=Hypothèses!$V$13,Hypothèses!$X$13,IF(U140&lt;=Hypothèses!$V$14,Hypothèses!$X$14,IF(U140&lt;=Hypothèses!$V$15,Hypothèses!$X$15,IF(U140&lt;=Hypothèses!$V$16,Hypothèses!$X$16,IF(U140&lt;=Hypothèses!$U$17,Hypothèses!$W$17,IF(U140&lt;=Hypothèses!$U$18,Hypothèses!$W$18,""))))))))))))</f>
        <v>#DIV/0!</v>
      </c>
      <c r="AR140" s="95" t="e">
        <f t="shared" ca="1" si="172"/>
        <v>#DIV/0!</v>
      </c>
      <c r="AS140" s="101" t="e">
        <f t="shared" si="224"/>
        <v>#N/A</v>
      </c>
      <c r="AT140" s="91" t="e">
        <f t="shared" si="143"/>
        <v>#N/A</v>
      </c>
      <c r="AU140" s="30" t="e">
        <f t="shared" si="202"/>
        <v>#N/A</v>
      </c>
      <c r="AV140" s="30" t="e">
        <f t="shared" si="203"/>
        <v>#N/A</v>
      </c>
      <c r="AW140" s="31" t="e">
        <f>IF(OR(Hypothèses!$B$4=17,Hypothèses!$B$4=18,Hypothèses!$B$4=19,Hypothèses!$B$4=20),
IF($D140="Pressio.",
IF(OR($E140=3,$E140=1,$E140=4),AV140,AU140),
IF($D140="Pénétro.",
IF(OR($E140=3,$E140=1,$E140=4),AV140,AU140))),IF($D140="Pressio.",
IF($E140=3,AV140,AU140),
IF($D140="Pénétro.",
IF($E140=4,AV140,AU140))))</f>
        <v>#N/A</v>
      </c>
      <c r="AX140" s="31" t="e">
        <f>(IF(OR(Hypothèses!$B$4=17,Hypothèses!$B$4=18,Hypothèses!$B$4=19,Hypothèses!$B$4=20),
IF($D140="Pressio.",
IF(OR($E140=3,$E140=1,$E140=4),(PI()*AX$12^2)/4*(AT140*$W140*1000)/($H140*$B$5),(PI()*AX$12^2)/4*(AT140*$W140*1000)/($G140*$B$5)),
IF($D140="Pénétro.",
IF(OR($E140=4,$E140=1,$E140=5),(PI()*AX$12^2)/4*(AT140*$W140*1000)/($H140*$B$5),(PI()*AX$12^2)/4*(AT140*$W140*1000)/($G140*$B$5)))),
IF($D140="Pressio.",
IF($E140=3,(PI()*AX$12^2)/4*(AT140*$W140*1000)/($H140*$B$5),(PI()*AX$12^2)/4*(AT140*$W140*1000)/($G140*$B$5)),
IF($D140="Pénétro.",
IF($E140=4,(PI()*AX$12^2)/4*(AT140*$W140*1000)/($H140*$B$5),(PI()*AX$12^2)/4*(AT140*$W140*1000)/($G140*$B$5))))))/10</f>
        <v>#N/A</v>
      </c>
      <c r="AY140" s="102" t="e">
        <f>(VLOOKUP($B$3,'Coeff EC7'!$T$39:$X$59,2,0)*AW140+VLOOKUP($B$3,'Coeff EC7'!$T$65:$X$85,2,0)*Model0.1C!AX140)/1.1</f>
        <v>#N/A</v>
      </c>
      <c r="AZ140" s="102" t="e">
        <f>(VLOOKUP($B$3,'Coeff EC7'!$T$39:$X$59,3,0)*AW140+VLOOKUP($B$3,'Coeff EC7'!$T$65:$X$85,3,0)*Model0.1C!AX140)/0.9</f>
        <v>#N/A</v>
      </c>
      <c r="BA140" s="102" t="e">
        <f t="shared" si="173"/>
        <v>#N/A</v>
      </c>
      <c r="BB140" s="102" t="e">
        <f t="shared" si="174"/>
        <v>#N/A</v>
      </c>
      <c r="BC140" s="414" t="e">
        <f>IF(BC139=0,0,IF(AND(AY140&gt;charge_ELS_quasi,AZ140&gt;Charge_ELS_freq,BA140&gt;charge_ELU,BB140&gt;charge_ELA,$B140&gt;NDC!$H$22-0.1+MIN(3*$BC$12,1.5)),0,1))</f>
        <v>#N/A</v>
      </c>
      <c r="BD140" s="86" t="b">
        <f t="shared" si="144"/>
        <v>0</v>
      </c>
      <c r="BE140" s="86">
        <f t="shared" si="175"/>
        <v>0.5</v>
      </c>
      <c r="BF140" s="86">
        <f t="shared" si="145"/>
        <v>0.5</v>
      </c>
      <c r="BG140" s="30" t="e">
        <f t="shared" ca="1" si="176"/>
        <v>#DIV/0!</v>
      </c>
      <c r="BH140" s="85" t="e">
        <f ca="1">IF(AN140&lt;=Hypothèses!$V$7,Hypothèses!$W$7,IF(AN140&lt;=Hypothèses!$V$8,Hypothèses!$W$8,IF(AN140&lt;=Hypothèses!$V$9,Hypothèses!$W$9,IF(AN140&lt;=Hypothèses!$V$10,Hypothèses!$W$10,IF(AN140&lt;=Hypothèses!$V$11,Hypothèses!$W$11,IF(AN140&lt;=Hypothèses!$V$12,Hypothèses!$W$12,IF(AN140&lt;=Hypothèses!$V$13,Hypothèses!$W$13,IF(AN140&lt;=Hypothèses!$V$14,Hypothèses!$W$14,IF(AN140&lt;=Hypothèses!$V$15,Hypothèses!$W$15,IF(AN140&lt;=Hypothèses!$V$16,Hypothèses!$W$16,IF(AN140&lt;=Hypothèses!$V$17,Hypothèses!$W$17,IF(AN140&lt;=Hypothèses!$V$18,Hypothèses!$W$18,""))))))))))))</f>
        <v>#DIV/0!</v>
      </c>
      <c r="BI140" s="87" t="e">
        <f t="shared" ca="1" si="218"/>
        <v>#DIV/0!</v>
      </c>
      <c r="BJ140" s="88" t="e">
        <f ca="1">IF(AN140&lt;=Hypothèses!$V$7,Hypothèses!$X$7,IF(AN140&lt;=Hypothèses!$V$8,Hypothèses!$X$8,IF(AN140&lt;=Hypothèses!$V$9,Hypothèses!$X$9,IF(AN140&lt;=Hypothèses!$V$10,Hypothèses!$X$10,IF(AN140&lt;=Hypothèses!$V$11,Hypothèses!$X$11,IF(AN140&lt;=Hypothèses!$V$12,Hypothèses!$X$12,IF(AN140&lt;=Hypothèses!$V$13,Hypothèses!$X$13,IF(AN140&lt;=Hypothèses!$V$14,Hypothèses!$X$14,IF(AN140&lt;=Hypothèses!$V$15,Hypothèses!$X$15,IF(AN140&lt;=Hypothèses!$V$16,Hypothèses!$X$16,IF(AN140&lt;=Hypothèses!$U$17,Hypothèses!$W$17,IF(AN140&lt;=Hypothèses!$U$18,Hypothèses!$W$18,""))))))))))))</f>
        <v>#DIV/0!</v>
      </c>
      <c r="BK140" s="95" t="e">
        <f t="shared" ca="1" si="177"/>
        <v>#DIV/0!</v>
      </c>
      <c r="BL140" s="101" t="e">
        <f t="shared" si="225"/>
        <v>#N/A</v>
      </c>
      <c r="BM140" s="91" t="e">
        <f t="shared" si="146"/>
        <v>#N/A</v>
      </c>
      <c r="BN140" s="30" t="e">
        <f t="shared" si="204"/>
        <v>#N/A</v>
      </c>
      <c r="BO140" s="30" t="e">
        <f t="shared" si="205"/>
        <v>#N/A</v>
      </c>
      <c r="BP140" s="31" t="e">
        <f>IF(OR(Hypothèses!$B$4=17,Hypothèses!$B$4=18,Hypothèses!$B$4=19,Hypothèses!$B$4=20),
IF($D140="Pressio.",
IF(OR($E140=3,$E140=1,$E140=4),BO140,BN140),
IF($D140="Pénétro.",
IF(OR($E140=3,$E140=1,$E140=4),BO140,BN140))),IF($D140="Pressio.",
IF($E140=3,BO140,BN140),
IF($D140="Pénétro.",
IF($E140=4,BO140,BN140))))</f>
        <v>#N/A</v>
      </c>
      <c r="BQ140" s="31" t="e">
        <f>(IF(OR(Hypothèses!$B$4=17,Hypothèses!$B$4=18,Hypothèses!$B$4=19,Hypothèses!$B$4=20),
IF($D140="Pressio.",
IF(OR($E140=3,$E140=1,$E140=4),(PI()*BQ$12^2)/4*(BM140*$W140*1000)/($H140*$B$5),(PI()*BQ$12^2)/4*(BM140*$W140*1000)/($G140*$B$5)),
IF($D140="Pénétro.",
IF(OR($E140=4,$E140=1,$E140=5),(PI()*BQ$12^2)/4*(BM140*$W140*1000)/($H140*$B$5),(PI()*BQ$12^2)/4*(BM140*$W140*1000)/($G140*$B$5)))),
IF($D140="Pressio.",
IF($E140=3,(PI()*BQ$12^2)/4*(BM140*$W140*1000)/($H140*$B$5),(PI()*BQ$12^2)/4*(BM140*$W140*1000)/($G140*$B$5)),
IF($D140="Pénétro.",
IF($E140=4,(PI()*BQ$12^2)/4*(BM140*$W140*1000)/($H140*$B$5),(PI()*BQ$12^2)/4*(BM140*$W140*1000)/($G140*$B$5))))))/10</f>
        <v>#N/A</v>
      </c>
      <c r="BR140" s="102" t="e">
        <f>(VLOOKUP($B$3,'Coeff EC7'!$T$39:$X$59,2,0)*BP140+VLOOKUP($B$3,'Coeff EC7'!$T$65:$X$85,2,0)*Model0.1C!BQ140)/1.1</f>
        <v>#N/A</v>
      </c>
      <c r="BS140" s="102" t="e">
        <f>(VLOOKUP($B$3,'Coeff EC7'!$T$39:$X$59,3,0)*BP140+VLOOKUP($B$3,'Coeff EC7'!$T$65:$X$85,3,0)*Model0.1C!BQ140)/0.9</f>
        <v>#N/A</v>
      </c>
      <c r="BT140" s="102" t="e">
        <f t="shared" si="178"/>
        <v>#N/A</v>
      </c>
      <c r="BU140" s="102" t="e">
        <f t="shared" si="179"/>
        <v>#N/A</v>
      </c>
      <c r="BV140" s="414" t="e">
        <f>IF(BV139=0,0,IF(AND(BR140&gt;charge_ELS_quasi,BS140&gt;Charge_ELS_freq,BT140&gt;charge_ELU,BU140&gt;charge_ELA,$B140&gt;NDC!$H$22-0.1+MIN(3*$BV$12,1.5)),0,1))</f>
        <v>#N/A</v>
      </c>
      <c r="BW140" s="86" t="b">
        <f t="shared" si="147"/>
        <v>0</v>
      </c>
      <c r="BX140" s="86">
        <f t="shared" si="148"/>
        <v>0.5</v>
      </c>
      <c r="BY140" s="86">
        <f t="shared" si="149"/>
        <v>0.5</v>
      </c>
      <c r="BZ140" s="30" t="e">
        <f t="shared" ca="1" si="180"/>
        <v>#DIV/0!</v>
      </c>
      <c r="CA140" s="85" t="e">
        <f ca="1">IF(BG140&lt;=Hypothèses!$V$7,Hypothèses!$W$7,IF(BG140&lt;=Hypothèses!$V$8,Hypothèses!$W$8,IF(BG140&lt;=Hypothèses!$V$9,Hypothèses!$W$9,IF(BG140&lt;=Hypothèses!$V$10,Hypothèses!$W$10,IF(BG140&lt;=Hypothèses!$V$11,Hypothèses!$W$11,IF(BG140&lt;=Hypothèses!$V$12,Hypothèses!$W$12,IF(BG140&lt;=Hypothèses!$V$13,Hypothèses!$W$13,IF(BG140&lt;=Hypothèses!$V$14,Hypothèses!$W$14,IF(BG140&lt;=Hypothèses!$V$15,Hypothèses!$W$15,IF(BG140&lt;=Hypothèses!$V$16,Hypothèses!$W$16,IF(BG140&lt;=Hypothèses!$V$17,Hypothèses!$W$17,IF(BG140&lt;=Hypothèses!$V$18,Hypothèses!$W$18,""))))))))))))</f>
        <v>#DIV/0!</v>
      </c>
      <c r="CB140" s="87" t="e">
        <f t="shared" ca="1" si="219"/>
        <v>#DIV/0!</v>
      </c>
      <c r="CC140" s="88" t="e">
        <f ca="1">IF(BG140&lt;=Hypothèses!$V$7,Hypothèses!$X$7,IF(BG140&lt;=Hypothèses!$V$8,Hypothèses!$X$8,IF(BG140&lt;=Hypothèses!$V$9,Hypothèses!$X$9,IF(BG140&lt;=Hypothèses!$V$10,Hypothèses!$X$10,IF(BG140&lt;=Hypothèses!$V$11,Hypothèses!$X$11,IF(BG140&lt;=Hypothèses!$V$12,Hypothèses!$X$12,IF(BG140&lt;=Hypothèses!$V$13,Hypothèses!$X$13,IF(BG140&lt;=Hypothèses!$V$14,Hypothèses!$X$14,IF(BG140&lt;=Hypothèses!$V$15,Hypothèses!$X$15,IF(BG140&lt;=Hypothèses!$V$16,Hypothèses!$X$16,IF(BG140&lt;=Hypothèses!$U$17,Hypothèses!$W$17,IF(BG140&lt;=Hypothèses!$U$18,Hypothèses!$W$18,""))))))))))))</f>
        <v>#DIV/0!</v>
      </c>
      <c r="CD140" s="95" t="e">
        <f t="shared" ca="1" si="181"/>
        <v>#DIV/0!</v>
      </c>
      <c r="CE140" s="101" t="e">
        <f t="shared" si="226"/>
        <v>#N/A</v>
      </c>
      <c r="CF140" s="91" t="e">
        <f t="shared" si="150"/>
        <v>#N/A</v>
      </c>
      <c r="CG140" s="30" t="e">
        <f t="shared" si="206"/>
        <v>#N/A</v>
      </c>
      <c r="CH140" s="30" t="e">
        <f t="shared" si="207"/>
        <v>#N/A</v>
      </c>
      <c r="CI140" s="31" t="e">
        <f>IF(OR(Hypothèses!$B$4=17,Hypothèses!$B$4=18,Hypothèses!$B$4=19,Hypothèses!$B$4=20),
IF($D140="Pressio.",
IF(OR($E140=3,$E140=1,$E140=4),CH140,CG140),
IF($D140="Pénétro.",
IF(OR($E140=3,$E140=1,$E140=4),CH140,CG140))),IF($D140="Pressio.",
IF($E140=3,CH140,CG140),
IF($D140="Pénétro.",
IF($E140=4,CH140,CG140))))</f>
        <v>#N/A</v>
      </c>
      <c r="CJ140" s="31" t="e">
        <f>(IF(OR(Hypothèses!$B$4=17,Hypothèses!$B$4=18,Hypothèses!$B$4=19,Hypothèses!$B$4=20),
IF($D140="Pressio.",
IF(OR($E140=3,$E140=1,$E140=4),(PI()*CJ$12^2)/4*(CF140*$W140*1000)/($H140*$B$5),(PI()*CJ$12^2)/4*(CF140*$W140*1000)/($G140*$B$5)),
IF($D140="Pénétro.",
IF(OR($E140=4,$E140=1,$E140=5),(PI()*CJ$12^2)/4*(CF140*$W140*1000)/($H140*$B$5),(PI()*CJ$12^2)/4*(CF140*$W140*1000)/($G140*$B$5)))),
IF($D140="Pressio.",
IF($E140=3,(PI()*CJ$12^2)/4*(CF140*$W140*1000)/($H140*$B$5),(PI()*CJ$12^2)/4*(CF140*$W140*1000)/($G140*$B$5)),
IF($D140="Pénétro.",
IF($E140=4,(PI()*CJ$12^2)/4*(CF140*$W140*1000)/($H140*$B$5),(PI()*CJ$12^2)/4*(CF140*$W140*1000)/($G140*$B$5))))))/10</f>
        <v>#N/A</v>
      </c>
      <c r="CK140" s="102" t="e">
        <f>(VLOOKUP($B$3,'Coeff EC7'!$T$39:$X$59,2,0)*CI140+VLOOKUP($B$3,'Coeff EC7'!$T$65:$X$85,2,0)*Model0.1C!CJ140)/1.1</f>
        <v>#N/A</v>
      </c>
      <c r="CL140" s="102" t="e">
        <f>(VLOOKUP($B$3,'Coeff EC7'!$T$39:$X$59,3,0)*CI140+VLOOKUP($B$3,'Coeff EC7'!$T$65:$X$85,3,0)*Model0.1C!CJ140)/0.9</f>
        <v>#N/A</v>
      </c>
      <c r="CM140" s="102" t="e">
        <f t="shared" si="182"/>
        <v>#N/A</v>
      </c>
      <c r="CN140" s="102" t="e">
        <f t="shared" si="183"/>
        <v>#N/A</v>
      </c>
      <c r="CO140" s="414" t="e">
        <f>IF(CO139=0,0,IF(AND(CK140&gt;charge_ELS_quasi,CL140&gt;Charge_ELS_freq,CM140&gt;charge_ELU,CN140&gt;charge_ELA,$B140&gt;NDC!$H$22-0.1+MIN(3*$CO$12,1.5)),0,1))</f>
        <v>#N/A</v>
      </c>
      <c r="CP140" s="86" t="b">
        <f t="shared" si="151"/>
        <v>0</v>
      </c>
      <c r="CQ140" s="86">
        <f t="shared" si="152"/>
        <v>0.5</v>
      </c>
      <c r="CR140" s="86">
        <f t="shared" si="153"/>
        <v>0.5</v>
      </c>
      <c r="CS140" s="30" t="e">
        <f t="shared" ca="1" si="184"/>
        <v>#DIV/0!</v>
      </c>
      <c r="CT140" s="85" t="e">
        <f ca="1">IF(BZ140&lt;=Hypothèses!$V$7,Hypothèses!$W$7,IF(BZ140&lt;=Hypothèses!$V$8,Hypothèses!$W$8,IF(BZ140&lt;=Hypothèses!$V$9,Hypothèses!$W$9,IF(BZ140&lt;=Hypothèses!$V$10,Hypothèses!$W$10,IF(BZ140&lt;=Hypothèses!$V$11,Hypothèses!$W$11,IF(BZ140&lt;=Hypothèses!$V$12,Hypothèses!$W$12,IF(BZ140&lt;=Hypothèses!$V$13,Hypothèses!$W$13,IF(BZ140&lt;=Hypothèses!$V$14,Hypothèses!$W$14,IF(BZ140&lt;=Hypothèses!$V$15,Hypothèses!$W$15,IF(BZ140&lt;=Hypothèses!$V$16,Hypothèses!$W$16,IF(BZ140&lt;=Hypothèses!$V$17,Hypothèses!$W$17,IF(BZ140&lt;=Hypothèses!$V$18,Hypothèses!$W$18,""))))))))))))</f>
        <v>#DIV/0!</v>
      </c>
      <c r="CU140" s="87" t="e">
        <f t="shared" ca="1" si="220"/>
        <v>#DIV/0!</v>
      </c>
      <c r="CV140" s="88" t="e">
        <f ca="1">IF(BZ140&lt;=Hypothèses!$V$7,Hypothèses!$X$7,IF(BZ140&lt;=Hypothèses!$V$8,Hypothèses!$X$8,IF(BZ140&lt;=Hypothèses!$V$9,Hypothèses!$X$9,IF(BZ140&lt;=Hypothèses!$V$10,Hypothèses!$X$10,IF(BZ140&lt;=Hypothèses!$V$11,Hypothèses!$X$11,IF(BZ140&lt;=Hypothèses!$V$12,Hypothèses!$X$12,IF(BZ140&lt;=Hypothèses!$V$13,Hypothèses!$X$13,IF(BZ140&lt;=Hypothèses!$V$14,Hypothèses!$X$14,IF(BZ140&lt;=Hypothèses!$V$15,Hypothèses!$X$15,IF(BZ140&lt;=Hypothèses!$V$16,Hypothèses!$X$16,IF(BZ140&lt;=Hypothèses!$U$17,Hypothèses!$W$17,IF(BZ140&lt;=Hypothèses!$U$18,Hypothèses!$W$18,""))))))))))))</f>
        <v>#DIV/0!</v>
      </c>
      <c r="CW140" s="95" t="e">
        <f t="shared" ca="1" si="185"/>
        <v>#DIV/0!</v>
      </c>
      <c r="CX140" s="101" t="e">
        <f t="shared" si="227"/>
        <v>#N/A</v>
      </c>
      <c r="CY140" s="91" t="e">
        <f t="shared" si="154"/>
        <v>#N/A</v>
      </c>
      <c r="CZ140" s="30" t="e">
        <f t="shared" si="208"/>
        <v>#N/A</v>
      </c>
      <c r="DA140" s="30" t="e">
        <f t="shared" si="209"/>
        <v>#N/A</v>
      </c>
      <c r="DB140" s="31" t="e">
        <f>IF(OR(Hypothèses!$B$4=17,Hypothèses!$B$4=18,Hypothèses!$B$4=19,Hypothèses!$B$4=20),
IF($D140="Pressio.",
IF(OR($E140=3,$E140=1,$E140=4),DA140,CZ140),
IF($D140="Pénétro.",
IF(OR($E140=3,$E140=1,$E140=4),DA140,CZ140))),IF($D140="Pressio.",
IF($E140=3,DA140,CZ140),
IF($D140="Pénétro.",
IF($E140=4,DA140,CZ140))))</f>
        <v>#N/A</v>
      </c>
      <c r="DC140" s="31" t="e">
        <f>(IF(OR(Hypothèses!$B$4=17,Hypothèses!$B$4=18,Hypothèses!$B$4=19,Hypothèses!$B$4=20),
IF($D140="Pressio.",
IF(OR($E140=3,$E140=1,$E140=4),(PI()*DC$12^2)/4*(CY140*$W140*1000)/($H140*$B$5),(PI()*DC$12^2)/4*(CY140*$W140*1000)/($G140*$B$5)),
IF($D140="Pénétro.",
IF(OR($E140=4,$E140=1,$E140=5),(PI()*DC$12^2)/4*(CY140*$W140*1000)/($H140*$B$5),(PI()*DC$12^2)/4*(CY140*$W140*1000)/($G140*$B$5)))),
IF($D140="Pressio.",
IF($E140=3,(PI()*DC$12^2)/4*(CY140*$W140*1000)/($H140*$B$5),(PI()*DC$12^2)/4*(CY140*$W140*1000)/($G140*$B$5)),
IF($D140="Pénétro.",
IF($E140=4,(PI()*DC$12^2)/4*(CY140*$W140*1000)/($H140*$B$5),(PI()*DC$12^2)/4*(CY140*$W140*1000)/($G140*$B$5))))))/10</f>
        <v>#N/A</v>
      </c>
      <c r="DD140" s="102" t="e">
        <f>(VLOOKUP($B$3,'Coeff EC7'!$T$39:$X$59,2,0)*DB140+VLOOKUP($B$3,'Coeff EC7'!$T$65:$X$85,2,0)*Model0.1C!DC140)/1.1</f>
        <v>#N/A</v>
      </c>
      <c r="DE140" s="102" t="e">
        <f>(VLOOKUP($B$3,'Coeff EC7'!$T$39:$X$59,3,0)*DB140+VLOOKUP($B$3,'Coeff EC7'!$T$65:$X$85,3,0)*Model0.1C!DC140)/0.9</f>
        <v>#N/A</v>
      </c>
      <c r="DF140" s="102" t="e">
        <f t="shared" si="186"/>
        <v>#N/A</v>
      </c>
      <c r="DG140" s="102" t="e">
        <f t="shared" si="187"/>
        <v>#N/A</v>
      </c>
      <c r="DH140" s="414" t="e">
        <f>IF(DH139=0,0,IF(AND(DD140&gt;charge_ELS_quasi,DE140&gt;Charge_ELS_freq,DF140&gt;charge_ELU,DG140&gt;charge_ELA,$B140&gt;NDC!$H$22-0.1+MIN(3*$DH$12,1.5)),0,1))</f>
        <v>#N/A</v>
      </c>
      <c r="DI140" s="86" t="b">
        <f t="shared" si="155"/>
        <v>0</v>
      </c>
      <c r="DJ140" s="86">
        <f t="shared" si="156"/>
        <v>0.5</v>
      </c>
      <c r="DK140" s="86">
        <f t="shared" si="157"/>
        <v>0.5</v>
      </c>
      <c r="DL140" s="30" t="e">
        <f t="shared" ca="1" si="188"/>
        <v>#DIV/0!</v>
      </c>
      <c r="DM140" s="85" t="e">
        <f ca="1">IF(CS140&lt;=Hypothèses!$V$7,Hypothèses!$W$7,IF(CS140&lt;=Hypothèses!$V$8,Hypothèses!$W$8,IF(CS140&lt;=Hypothèses!$V$9,Hypothèses!$W$9,IF(CS140&lt;=Hypothèses!$V$10,Hypothèses!$W$10,IF(CS140&lt;=Hypothèses!$V$11,Hypothèses!$W$11,IF(CS140&lt;=Hypothèses!$V$12,Hypothèses!$W$12,IF(CS140&lt;=Hypothèses!$V$13,Hypothèses!$W$13,IF(CS140&lt;=Hypothèses!$V$14,Hypothèses!$W$14,IF(CS140&lt;=Hypothèses!$V$15,Hypothèses!$W$15,IF(CS140&lt;=Hypothèses!$V$16,Hypothèses!$W$16,IF(CS140&lt;=Hypothèses!$V$17,Hypothèses!$W$17,IF(CS140&lt;=Hypothèses!$V$18,Hypothèses!$W$18,""))))))))))))</f>
        <v>#DIV/0!</v>
      </c>
      <c r="DN140" s="87" t="e">
        <f t="shared" ca="1" si="221"/>
        <v>#DIV/0!</v>
      </c>
      <c r="DO140" s="88" t="e">
        <f ca="1">IF(CS140&lt;=Hypothèses!$V$7,Hypothèses!$X$7,IF(CS140&lt;=Hypothèses!$V$8,Hypothèses!$X$8,IF(CS140&lt;=Hypothèses!$V$9,Hypothèses!$X$9,IF(CS140&lt;=Hypothèses!$V$10,Hypothèses!$X$10,IF(CS140&lt;=Hypothèses!$V$11,Hypothèses!$X$11,IF(CS140&lt;=Hypothèses!$V$12,Hypothèses!$X$12,IF(CS140&lt;=Hypothèses!$V$13,Hypothèses!$X$13,IF(CS140&lt;=Hypothèses!$V$14,Hypothèses!$X$14,IF(CS140&lt;=Hypothèses!$V$15,Hypothèses!$X$15,IF(CS140&lt;=Hypothèses!$V$16,Hypothèses!$X$16,IF(CS140&lt;=Hypothèses!$U$17,Hypothèses!$W$17,IF(CS140&lt;=Hypothèses!$U$18,Hypothèses!$W$18,""))))))))))))</f>
        <v>#DIV/0!</v>
      </c>
      <c r="DP140" s="95" t="e">
        <f t="shared" ca="1" si="189"/>
        <v>#DIV/0!</v>
      </c>
      <c r="DQ140" s="101" t="e">
        <f t="shared" si="228"/>
        <v>#N/A</v>
      </c>
      <c r="DR140" s="91" t="e">
        <f t="shared" si="158"/>
        <v>#N/A</v>
      </c>
      <c r="DS140" s="30" t="e">
        <f t="shared" si="210"/>
        <v>#N/A</v>
      </c>
      <c r="DT140" s="30" t="e">
        <f t="shared" si="211"/>
        <v>#N/A</v>
      </c>
      <c r="DU140" s="31" t="e">
        <f>IF(OR(Hypothèses!$B$4=17,Hypothèses!$B$4=18,Hypothèses!$B$4=19,Hypothèses!$B$4=20),
IF($D140="Pressio.",
IF(OR($E140=3,$E140=1,$E140=4),DT140,DS140),
IF($D140="Pénétro.",
IF(OR($E140=3,$E140=1,$E140=4),DT140,DS140))),IF($D140="Pressio.",
IF($E140=3,DT140,DS140),
IF($D140="Pénétro.",
IF($E140=4,DT140,DS140))))</f>
        <v>#N/A</v>
      </c>
      <c r="DV140" s="31" t="e">
        <f>(IF(OR(Hypothèses!$B$4=17,Hypothèses!$B$4=18,Hypothèses!$B$4=19,Hypothèses!$B$4=20),
IF($D140="Pressio.",
IF(OR($E140=3,$E140=1,$E140=4),(PI()*DV$12^2)/4*(DR140*$W140*1000)/($H140*$B$5),(PI()*DV$12^2)/4*(DR140*$W140*1000)/($G140*$B$5)),
IF($D140="Pénétro.",
IF(OR($E140=4,$E140=1,$E140=5),(PI()*DV$12^2)/4*(DR140*$W140*1000)/($H140*$B$5),(PI()*DV$12^2)/4*(DR140*$W140*1000)/($G140*$B$5)))),
IF($D140="Pressio.",
IF($E140=3,(PI()*DV$12^2)/4*(DR140*$W140*1000)/($H140*$B$5),(PI()*DV$12^2)/4*(DR140*$W140*1000)/($G140*$B$5)),
IF($D140="Pénétro.",
IF($E140=4,(PI()*DV$12^2)/4*(DR140*$W140*1000)/($H140*$B$5),(PI()*DV$12^2)/4*(DR140*$W140*1000)/($G140*$B$5))))))/10</f>
        <v>#N/A</v>
      </c>
      <c r="DW140" s="102" t="e">
        <f>(VLOOKUP($B$3,'Coeff EC7'!$T$39:$X$59,2,0)*DU140+VLOOKUP($B$3,'Coeff EC7'!$T$65:$X$85,2,0)*Model0.1C!DV140)/1.1</f>
        <v>#N/A</v>
      </c>
      <c r="DX140" s="102" t="e">
        <f>(VLOOKUP($B$3,'Coeff EC7'!$T$39:$X$59,3,0)*DU140+VLOOKUP($B$3,'Coeff EC7'!$T$65:$X$85,3,0)*Model0.1C!DV140)/0.9</f>
        <v>#N/A</v>
      </c>
      <c r="DY140" s="102" t="e">
        <f t="shared" si="190"/>
        <v>#N/A</v>
      </c>
      <c r="DZ140" s="102" t="e">
        <f t="shared" si="191"/>
        <v>#N/A</v>
      </c>
      <c r="EA140" s="414" t="e">
        <f>IF(EA139=0,0,IF(AND(DW140&gt;charge_ELS_quasi,DX140&gt;Charge_ELS_freq,DY140&gt;charge_ELU,DZ140&gt;charge_ELA,$B140&gt;NDC!$H$22-0.1+MIN(3*$EA$12,1.5)),0,1))</f>
        <v>#N/A</v>
      </c>
      <c r="EB140" s="86" t="b">
        <f t="shared" si="159"/>
        <v>0</v>
      </c>
      <c r="EC140" s="418">
        <f t="shared" si="160"/>
        <v>0.51</v>
      </c>
      <c r="ED140" s="86">
        <f t="shared" si="161"/>
        <v>0.51</v>
      </c>
      <c r="EE140" s="30" t="e">
        <f t="shared" ca="1" si="192"/>
        <v>#DIV/0!</v>
      </c>
      <c r="EF140" s="85" t="e">
        <f ca="1">IF(DL140&lt;=Hypothèses!$V$7,Hypothèses!$W$7,IF(DL140&lt;=Hypothèses!$V$8,Hypothèses!$W$8,IF(DL140&lt;=Hypothèses!$V$9,Hypothèses!$W$9,IF(DL140&lt;=Hypothèses!$V$10,Hypothèses!$W$10,IF(DL140&lt;=Hypothèses!$V$11,Hypothèses!$W$11,IF(DL140&lt;=Hypothèses!$V$12,Hypothèses!$W$12,IF(DL140&lt;=Hypothèses!$V$13,Hypothèses!$W$13,IF(DL140&lt;=Hypothèses!$V$14,Hypothèses!$W$14,IF(DL140&lt;=Hypothèses!$V$15,Hypothèses!$W$15,IF(DL140&lt;=Hypothèses!$V$16,Hypothèses!$W$16,IF(DL140&lt;=Hypothèses!$V$17,Hypothèses!$W$17,IF(DL140&lt;=Hypothèses!$V$18,Hypothèses!$W$18,""))))))))))))</f>
        <v>#DIV/0!</v>
      </c>
      <c r="EG140" s="87" t="e">
        <f t="shared" ca="1" si="222"/>
        <v>#DIV/0!</v>
      </c>
      <c r="EH140" s="88" t="e">
        <f ca="1">IF(DL140&lt;=Hypothèses!$V$7,Hypothèses!$X$7,IF(DL140&lt;=Hypothèses!$V$8,Hypothèses!$X$8,IF(DL140&lt;=Hypothèses!$V$9,Hypothèses!$X$9,IF(DL140&lt;=Hypothèses!$V$10,Hypothèses!$X$10,IF(DL140&lt;=Hypothèses!$V$11,Hypothèses!$X$11,IF(DL140&lt;=Hypothèses!$V$12,Hypothèses!$X$12,IF(DL140&lt;=Hypothèses!$V$13,Hypothèses!$X$13,IF(DL140&lt;=Hypothèses!$V$14,Hypothèses!$X$14,IF(DL140&lt;=Hypothèses!$V$15,Hypothèses!$X$15,IF(DL140&lt;=Hypothèses!$V$16,Hypothèses!$X$16,IF(DL140&lt;=Hypothèses!$U$17,Hypothèses!$W$17,IF(DL140&lt;=Hypothèses!$U$18,Hypothèses!$W$18,""))))))))))))</f>
        <v>#DIV/0!</v>
      </c>
      <c r="EI140" s="95" t="e">
        <f t="shared" ca="1" si="193"/>
        <v>#DIV/0!</v>
      </c>
      <c r="EJ140" s="101" t="e">
        <f t="shared" si="229"/>
        <v>#N/A</v>
      </c>
      <c r="EK140" s="91" t="e">
        <f t="shared" si="162"/>
        <v>#N/A</v>
      </c>
      <c r="EL140" s="30" t="e">
        <f t="shared" si="212"/>
        <v>#N/A</v>
      </c>
      <c r="EM140" s="30" t="e">
        <f t="shared" si="213"/>
        <v>#N/A</v>
      </c>
      <c r="EN140" s="31" t="e">
        <f>IF(OR(Hypothèses!$B$4=17,Hypothèses!$B$4=18,Hypothèses!$B$4=19,Hypothèses!$B$4=20),
IF($D140="Pressio.",
IF(OR($E140=3,$E140=1,$E140=4),EM140,EL140),
IF($D140="Pénétro.",
IF(OR($E140=3,$E140=1,$E140=4),EM140,EL140))),IF($D140="Pressio.",
IF($E140=3,EM140,EL140),
IF($D140="Pénétro.",
IF($E140=4,EM140,EL140))))</f>
        <v>#N/A</v>
      </c>
      <c r="EO140" s="31" t="e">
        <f>(IF(OR(Hypothèses!$B$4=17,Hypothèses!$B$4=18,Hypothèses!$B$4=19,Hypothèses!$B$4=20),
IF($D140="Pressio.",
IF(OR($E140=3,$E140=1,$E140=4),(PI()*EO$12^2)/4*(EK140*$W140*1000)/($H140*$B$5),(PI()*EO$12^2)/4*(EK140*$W140*1000)/($G140*$B$5)),
IF($D140="Pénétro.",
IF(OR($E140=4,$E140=1,$E140=5),(PI()*EO$12^2)/4*(EK140*$W140*1000)/($H140*$B$5),(PI()*EO$12^2)/4*(EK140*$W140*1000)/($G140*$B$5)))),
IF($D140="Pressio.",
IF($E140=3,(PI()*EO$12^2)/4*(EK140*$W140*1000)/($H140*$B$5),(PI()*EO$12^2)/4*(EK140*$W140*1000)/($G140*$B$5)),
IF($D140="Pénétro.",
IF($E140=4,(PI()*EO$12^2)/4*(EK140*$W140*1000)/($H140*$B$5),(PI()*EO$12^2)/4*(EK140*$W140*1000)/($G140*$B$5))))))/10</f>
        <v>#N/A</v>
      </c>
      <c r="EP140" s="102" t="e">
        <f>(VLOOKUP($B$3,'Coeff EC7'!$T$39:$X$59,2,0)*EN140+VLOOKUP($B$3,'Coeff EC7'!$T$65:$X$85,2,0)*Model0.1C!EO140)/1.1</f>
        <v>#N/A</v>
      </c>
      <c r="EQ140" s="102" t="e">
        <f>(VLOOKUP($B$3,'Coeff EC7'!$T$39:$X$59,3,0)*EN140+VLOOKUP($B$3,'Coeff EC7'!$T$65:$X$85,3,0)*Model0.1C!EO140)/0.9</f>
        <v>#N/A</v>
      </c>
      <c r="ER140" s="102" t="e">
        <f t="shared" si="194"/>
        <v>#N/A</v>
      </c>
      <c r="ES140" s="102" t="e">
        <f t="shared" si="195"/>
        <v>#N/A</v>
      </c>
      <c r="ET140" s="414" t="e">
        <f>IF(ET139=0,0,IF(AND(EP140&gt;charge_ELS_quasi,EQ140&gt;Charge_ELS_freq,ER140&gt;charge_ELU,ES140&gt;charge_ELA,$B140&gt;NDC!$H$22-0.1+MIN(3*$ET$12,1.5)),0,1))</f>
        <v>#N/A</v>
      </c>
      <c r="EU140" s="86" t="b">
        <f t="shared" si="163"/>
        <v>0</v>
      </c>
      <c r="EV140" s="86">
        <f t="shared" si="164"/>
        <v>0.61</v>
      </c>
      <c r="EW140" s="86">
        <f t="shared" si="165"/>
        <v>0.61</v>
      </c>
      <c r="EX140" s="30" t="e">
        <f t="shared" ca="1" si="196"/>
        <v>#DIV/0!</v>
      </c>
      <c r="EY140" s="85" t="e">
        <f ca="1">IF(EE140&lt;=Hypothèses!$V$7,Hypothèses!$W$7,IF(EE140&lt;=Hypothèses!$V$8,Hypothèses!$W$8,IF(EE140&lt;=Hypothèses!$V$9,Hypothèses!$W$9,IF(EE140&lt;=Hypothèses!$V$10,Hypothèses!$W$10,IF(EE140&lt;=Hypothèses!$V$11,Hypothèses!$W$11,IF(EE140&lt;=Hypothèses!$V$12,Hypothèses!$W$12,IF(EE140&lt;=Hypothèses!$V$13,Hypothèses!$W$13,IF(EE140&lt;=Hypothèses!$V$14,Hypothèses!$W$14,IF(EE140&lt;=Hypothèses!$V$15,Hypothèses!$W$15,IF(EE140&lt;=Hypothèses!$V$16,Hypothèses!$W$16,IF(EE140&lt;=Hypothèses!$V$17,Hypothèses!$W$17,IF(EE140&lt;=Hypothèses!$V$18,Hypothèses!$W$18,""))))))))))))</f>
        <v>#DIV/0!</v>
      </c>
      <c r="EZ140" s="87" t="e">
        <f t="shared" ca="1" si="223"/>
        <v>#DIV/0!</v>
      </c>
      <c r="FA140" s="88" t="e">
        <f ca="1">IF(EE140&lt;=Hypothèses!$V$7,Hypothèses!$X$7,IF(EE140&lt;=Hypothèses!$V$8,Hypothèses!$X$8,IF(EE140&lt;=Hypothèses!$V$9,Hypothèses!$X$9,IF(EE140&lt;=Hypothèses!$V$10,Hypothèses!$X$10,IF(EE140&lt;=Hypothèses!$V$11,Hypothèses!$X$11,IF(EE140&lt;=Hypothèses!$V$12,Hypothèses!$X$12,IF(EE140&lt;=Hypothèses!$V$13,Hypothèses!$X$13,IF(EE140&lt;=Hypothèses!$V$14,Hypothèses!$X$14,IF(EE140&lt;=Hypothèses!$V$15,Hypothèses!$X$15,IF(EE140&lt;=Hypothèses!$V$16,Hypothèses!$X$16,IF(EE140&lt;=Hypothèses!$U$17,Hypothèses!$W$17,IF(EE140&lt;=Hypothèses!$U$18,Hypothèses!$W$18,""))))))))))))</f>
        <v>#DIV/0!</v>
      </c>
      <c r="FB140" s="95" t="e">
        <f t="shared" ca="1" si="197"/>
        <v>#DIV/0!</v>
      </c>
      <c r="FC140" s="101" t="e">
        <f t="shared" si="230"/>
        <v>#N/A</v>
      </c>
      <c r="FD140" s="91" t="e">
        <f t="shared" si="166"/>
        <v>#N/A</v>
      </c>
      <c r="FE140" s="30" t="e">
        <f t="shared" si="214"/>
        <v>#N/A</v>
      </c>
      <c r="FF140" s="30" t="e">
        <f t="shared" si="215"/>
        <v>#N/A</v>
      </c>
      <c r="FG140" s="31" t="e">
        <f>IF(OR(Hypothèses!$B$4=17,Hypothèses!$B$4=18,Hypothèses!$B$4=19,Hypothèses!$B$4=20),
IF($D140="Pressio.",
IF(OR($E140=3,$E140=1,$E140=4),FF140,FE140),
IF($D140="Pénétro.",
IF(OR($E140=3,$E140=1,$E140=4),FF140,FE140))),IF($D140="Pressio.",
IF($E140=3,FF140,FE140),
IF($D140="Pénétro.",
IF($E140=4,FF140,FE140))))</f>
        <v>#N/A</v>
      </c>
      <c r="FH140" s="31" t="e">
        <f>(IF(OR(Hypothèses!$B$4=17,Hypothèses!$B$4=18,Hypothèses!$B$4=19,Hypothèses!$B$4=20),
IF($D140="Pressio.",
IF(OR($E140=3,$E140=1,$E140=4),(PI()*FH$12^2)/4*(FD140*$W140*1000)/($H140*$B$5),(PI()*FH$12^2)/4*(FD140*$W140*1000)/($G140*$B$5)),
IF($D140="Pénétro.",
IF(OR($E140=4,$E140=1,$E140=5),(PI()*FH$12^2)/4*(FD140*$W140*1000)/($H140*$B$5),(PI()*FH$12^2)/4*(FD140*$W140*1000)/($G140*$B$5)))),
IF($D140="Pressio.",
IF($E140=3,(PI()*FH$12^2)/4*(FD140*$W140*1000)/($H140*$B$5),(PI()*FH$12^2)/4*(FD140*$W140*1000)/($G140*$B$5)),
IF($D140="Pénétro.",
IF($E140=4,(PI()*FH$12^2)/4*(FD140*$W140*1000)/($H140*$B$5),(PI()*FH$12^2)/4*(FD140*$W140*1000)/($G140*$B$5))))))/10</f>
        <v>#N/A</v>
      </c>
      <c r="FI140" s="102" t="e">
        <f>(VLOOKUP($B$3,'Coeff EC7'!$T$39:$X$59,2,0)*FG140+VLOOKUP($B$3,'Coeff EC7'!$T$65:$X$85,2,0)*Model0.1C!FH140)/1.1</f>
        <v>#N/A</v>
      </c>
      <c r="FJ140" s="102" t="e">
        <f>(VLOOKUP($B$3,'Coeff EC7'!$T$39:$X$59,3,0)*FG140+VLOOKUP($B$3,'Coeff EC7'!$T$65:$X$85,3,0)*Model0.1C!FH140)/0.9</f>
        <v>#N/A</v>
      </c>
      <c r="FK140" s="102" t="e">
        <f t="shared" si="198"/>
        <v>#N/A</v>
      </c>
      <c r="FL140" s="102" t="e">
        <f t="shared" si="199"/>
        <v>#N/A</v>
      </c>
      <c r="FM140" s="414" t="e">
        <f>IF(FM139=0,0,IF(AND(FI140&gt;charge_ELS_quasi,FJ140&gt;Charge_ELS_freq,FK140&gt;charge_ELU,FL140&gt;charge_ELA,$B140&gt;NDC!$H$22-0.1+MIN(3*$FM$12,1.5)),0,1))</f>
        <v>#N/A</v>
      </c>
    </row>
    <row r="141" spans="1:169">
      <c r="A141" s="96">
        <f t="shared" si="167"/>
        <v>87.200000000000728</v>
      </c>
      <c r="B141" s="97">
        <v>12.8</v>
      </c>
      <c r="C141" s="81">
        <f>IF(B141&lt;=Hypothèses!$C$7,Hypothèses!$A$7,IF(B141&lt;=Hypothèses!$C$8,Hypothèses!$A$8,IF(B141&lt;=Hypothèses!$C$9,Hypothèses!$A$9,IF(B141&lt;=Hypothèses!$C$10,Hypothèses!$A$10,IF(B141&lt;=Hypothèses!$C$11,Hypothèses!$A$11,IF(B141&lt;=Hypothèses!$C$12,Hypothèses!$A$12,IF(B141&lt;=Hypothèses!$C$13,Hypothèses!$A$13,IF(B141&lt;=Hypothèses!$C$14,Hypothèses!$A$14,IF(B141&lt;=Hypothèses!$C$15,Hypothèses!$A$15,IF(B141&lt;=Hypothèses!$C$16,Hypothèses!$A$16,IF(B141&lt;=Hypothèses!$C$17,Hypothèses!$A$17,IF(B141&lt;=Hypothèses!$C$18,Hypothèses!$A$18,C140))))))))))))</f>
        <v>11</v>
      </c>
      <c r="D141" s="82" t="str">
        <f>IF(B141&lt;=Hypothèses!$C$7,Hypothèses!$R$7,IF(B141&lt;=Hypothèses!$C$8,Hypothèses!$R$8,IF(B141&lt;=Hypothèses!$C$9,Hypothèses!$R$9,IF(B141&lt;=Hypothèses!$C$10,Hypothèses!$R$10,IF(B141&lt;=Hypothèses!$C$11,Hypothèses!$R$11,IF(B141&lt;=Hypothèses!$C$12,Hypothèses!$R$12,IF(B141&lt;=Hypothèses!$C$13,Hypothèses!$R$13,IF(B141&lt;=Hypothèses!$C$14,Hypothèses!$R$14,IF(B141&lt;=Hypothèses!$C$15,Hypothèses!$R$15,IF(B141&lt;=Hypothèses!$C$16,Hypothèses!$R$16,IF(B141&lt;=Hypothèses!$C$17,Hypothèses!$R$17,IF(B141&lt;=Hypothèses!$C$18,Hypothèses!$R$18,D140))))))))))))</f>
        <v>Pressio.</v>
      </c>
      <c r="E141" s="82" t="e">
        <f>IF(B141&lt;=Hypothèses!$C$7,Hypothèses!$G$7,IF(B141&lt;=Hypothèses!$C$8,Hypothèses!$G$8,IF(B141&lt;=Hypothèses!$C$9,Hypothèses!$G$9,IF(B141&lt;=Hypothèses!$C$10,Hypothèses!$G$10,IF(B141&lt;=Hypothèses!$C$11,Hypothèses!$G$11,IF(B141&lt;=Hypothèses!$C$12,Hypothèses!$G$12,IF(B141&lt;=Hypothèses!$C$13,Hypothèses!$G$13,IF(B141&lt;=Hypothèses!$C$14,Hypothèses!$G$14,IF(B141&lt;=Hypothèses!$C$15,Hypothèses!$G$15,IF(B141&lt;=Hypothèses!$C$16,Hypothèses!$G$16,IF(B141&lt;=Hypothèses!$C$17,Hypothèses!$G$17,IF(B141&lt;=Hypothèses!$C$18,Hypothèses!$G$18,E140))))))))))))</f>
        <v>#N/A</v>
      </c>
      <c r="F141" s="82" t="str">
        <f>IF(B141&lt;=Hypothèses!$C$7,Hypothèses!$F$7,IF(B141&lt;=Hypothèses!$C$8,Hypothèses!$F$8,IF(B141&lt;=Hypothèses!$C$9,Hypothèses!$F$9,IF(B141&lt;=Hypothèses!$C$10,Hypothèses!$F$10,IF(B141&lt;=Hypothèses!$C$11,Hypothèses!$F$11,IF(B141&lt;=Hypothèses!$C$12,Hypothèses!$F$12,IF(B141&lt;=Hypothèses!$C$13,Hypothèses!$F$13,IF(B141&lt;=Hypothèses!$C$14,Hypothèses!$F$14,IF(B141&lt;=Hypothèses!$C$15,Hypothèses!$F$15,IF(B141&lt;=Hypothèses!$C$16,Hypothèses!$F$16,IF(B141&lt;=Hypothèses!$C$17,Hypothèses!$F$17,IF(B141&lt;=Hypothèses!$C$18,Hypothèses!$F$18,F140))))))))))))</f>
        <v/>
      </c>
      <c r="G141" s="91">
        <f t="array" ref="G141">INDEX('Coeff EC7'!$U$7:$X$27,
MATCH(Model0.1C!$B$3,'Coeff EC7'!$T$7:$T$27,0),
MATCH(Model0.1C!$D141&amp;Model0.1C!$B$4,
'Coeff EC7'!$U$6:$X$6&amp;
'Coeff EC7'!$U$5:$X$5,0))</f>
        <v>1.1499999999999999</v>
      </c>
      <c r="H141" s="91">
        <f t="array" ref="H141">INDEX('Coeff EC7'!$Y$7:$AB$27,
MATCH(Model0.1C!$B$3,'Coeff EC7'!$T$7:$T$27,0),
MATCH(Model0.1C!$D141&amp;Model0.1C!$B$4,
'Coeff EC7'!$Y$6:$AB$6&amp;
'Coeff EC7'!$Y$5:$AB$5,0))</f>
        <v>1.4</v>
      </c>
      <c r="I141" s="83" t="e">
        <f>IF(B141&lt;=Hypothèses!$C$7,Hypothèses!$P$7,IF(B141&lt;=Hypothèses!$C$8,Hypothèses!$P$8,IF(B141&lt;=Hypothèses!$C$9,Hypothèses!$P$9,IF(B141&lt;=Hypothèses!$C$10,Hypothèses!$P$10,IF(B141&lt;=Hypothèses!$C$11,Hypothèses!$P$11,IF(B141&lt;=Hypothèses!$C$12,Hypothèses!$P$12,IF(B141&lt;=Hypothèses!$C$13,Hypothèses!$P$13,IF(B141&lt;=Hypothèses!$C$14,Hypothèses!$P$14,IF(B141&lt;=Hypothèses!$C$15,Hypothèses!$P$15,IF(B141&lt;=Hypothèses!$C$16,Hypothèses!$P$16,IF(B141&lt;=Hypothèses!$C$17,Hypothèses!$P$17,IF(B141&lt;=Hypothèses!$C$18,Hypothèses!$P$18,I140))))))))))))</f>
        <v>#N/A</v>
      </c>
      <c r="J141" s="91" t="e">
        <f t="array" ref="J141">INDEX('Coeff EC7'!$D$33:$Q$33,1,MATCH(D141&amp;E141,'Coeff EC7'!$D$31:$Q$31&amp;'Coeff EC7'!$D$32:$Q$32,0))</f>
        <v>#N/A</v>
      </c>
      <c r="K141" s="91" t="e">
        <f t="array" ref="K141">INDEX('Coeff EC7'!$D$34:$Q$34,1,MATCH(D141&amp;E141,'Coeff EC7'!$D$31:$Q$31&amp;'Coeff EC7'!$D$32:$Q$32,0))</f>
        <v>#N/A</v>
      </c>
      <c r="L141" s="91" t="e">
        <f t="array" ref="L141">INDEX('Coeff EC7'!$D$35:$Q$35,1,MATCH(D141&amp;E141,'Coeff EC7'!$D$31:$Q$31&amp;'Coeff EC7'!$D$32:$Q$32,0))</f>
        <v>#N/A</v>
      </c>
      <c r="M141" s="98" t="e">
        <f t="shared" ref="M141:M204" si="231">((J141*F141+K141)*(1-(EXP(-L141*F141))))</f>
        <v>#N/A</v>
      </c>
      <c r="N141" s="99" t="e">
        <f t="array" ref="N141">INDEX('Coeff EC7'!$D$7:$Q$27,MATCH($B$3,'Coeff EC7'!$C$7:$C$27,0),MATCH(D141&amp;E141,'Coeff EC7'!$D$5:$Q$5&amp;'Coeff EC7'!$D$6:$Q$6,0))</f>
        <v>#N/A</v>
      </c>
      <c r="O141" s="99" t="e">
        <f t="array" ref="O141">INDEX('Coeff EC7'!$D$41:$Q$61,MATCH($B$3,'Coeff EC7'!$C$41:$C$61,0),MATCH(D141&amp;E141,'Coeff EC7'!$D$39:$Q$39&amp;'Coeff EC7'!$D$40:$Q$40,0))</f>
        <v>#N/A</v>
      </c>
      <c r="P141" s="30" t="e">
        <f t="shared" si="168"/>
        <v>#N/A</v>
      </c>
      <c r="Q141" s="100" t="e">
        <f t="shared" si="133"/>
        <v>#N/A</v>
      </c>
      <c r="R141" s="86" t="b">
        <f t="shared" si="134"/>
        <v>0</v>
      </c>
      <c r="S141" s="86">
        <f t="shared" ref="S141:S204" si="232">MAX($AF$12/2,0.5)</f>
        <v>0.5</v>
      </c>
      <c r="T141" s="86">
        <f t="shared" si="135"/>
        <v>0.5</v>
      </c>
      <c r="U141" s="30" t="e">
        <f t="shared" ca="1" si="169"/>
        <v>#DIV/0!</v>
      </c>
      <c r="V141" s="85" t="str">
        <f>IF(B141&lt;=Hypothèses!$V$7,Hypothèses!$W$7,IF(B141&lt;=Hypothèses!$V$8,Hypothèses!$W$8,IF(B141&lt;=Hypothèses!$V$9,Hypothèses!$W$9,IF(B141&lt;=Hypothèses!$V$10,Hypothèses!$W$10,IF(B141&lt;=Hypothèses!$V$11,Hypothèses!$W$11,IF(B141&lt;=Hypothèses!$V$12,Hypothèses!$W$12,IF(B141&lt;=Hypothèses!$V$13,Hypothèses!$W$13,IF(B141&lt;=Hypothèses!$V$14,Hypothèses!$W$14,IF(B141&lt;=Hypothèses!$V$15,Hypothèses!$W$15,IF(B141&lt;=Hypothèses!$V$16,Hypothèses!$W$16,IF(B141&lt;=Hypothèses!$V$17,Hypothèses!$W$17,IF(B141&lt;=Hypothèses!$V$18,Hypothèses!$W$18,""))))))))))))</f>
        <v/>
      </c>
      <c r="W141" s="87" t="e">
        <f t="shared" ca="1" si="216"/>
        <v>#DIV/0!</v>
      </c>
      <c r="X141" s="88" t="str">
        <f>IF(B141&lt;=Hypothèses!$V$7,Hypothèses!$X$7,IF(B141&lt;=Hypothèses!$V$8,Hypothèses!$X$8,IF(B141&lt;=Hypothèses!$V$9,Hypothèses!$X$9,IF(B141&lt;=Hypothèses!$V$10,Hypothèses!$X$10,IF(B141&lt;=Hypothèses!$V$11,Hypothèses!$X$11,IF(B141&lt;=Hypothèses!$V$12,Hypothèses!$X$12,IF(B141&lt;=Hypothèses!$V$13,Hypothèses!$X$13,IF(B141&lt;=Hypothèses!$V$14,Hypothèses!$X$14,IF(B141&lt;=Hypothèses!$V$15,Hypothèses!$X$15,IF(B141&lt;=Hypothèses!$V$16,Hypothèses!$X$16,IF(B141&lt;=Hypothèses!$U$17,Hypothèses!$W$17,IF(B141&lt;=Hypothèses!$U$18,Hypothèses!$W$18,""))))))))))))</f>
        <v/>
      </c>
      <c r="Y141" s="95" t="e">
        <f t="shared" ca="1" si="136"/>
        <v>#DIV/0!</v>
      </c>
      <c r="Z141" s="101" t="e">
        <f t="shared" si="137"/>
        <v>#N/A</v>
      </c>
      <c r="AA141" s="91" t="e">
        <f t="shared" si="138"/>
        <v>#N/A</v>
      </c>
      <c r="AB141" s="30" t="e">
        <f t="shared" si="200"/>
        <v>#N/A</v>
      </c>
      <c r="AC141" s="30" t="e">
        <f t="shared" si="201"/>
        <v>#N/A</v>
      </c>
      <c r="AD141" s="31" t="e">
        <f>IF(OR(Hypothèses!$B$4=17,Hypothèses!$B$4=18,Hypothèses!$B$4=19,Hypothèses!$B$4=20),
IF($D141="Pressio.",
IF(OR($E141=3,$E141=1,$E141=4),AC141,AB141),
IF($D141="Pénétro.",
IF(OR($E141=3,$E141=1,$E141=4),AC141,AB141))),IF($D141="Pressio.",
IF($E141=3,AC141,AB141),
IF($D141="Pénétro.",
IF($E141=4,AC141,AB141))))</f>
        <v>#N/A</v>
      </c>
      <c r="AE141" s="31" t="e">
        <f>(IF(OR(Hypothèses!$B$4=17,Hypothèses!$B$4=18,Hypothèses!$B$4=19,Hypothèses!$B$4=20),
IF($D141="Pressio.",
IF(OR($E141=3,$E141=1,$E141=4),(PI()*AE$12^2)/4*(AA141*$W141*1000)/($H141*$B$5),(PI()*AE$12^2)/4*(AA141*$W141*1000)/($G141*$B$5)),
IF($D141="Pénétro.",
IF(OR($E141=4,$E141=1,$E141=5),(PI()*AE$12^2)/4*(AA141*$W141*1000)/($H141*$B$5),(PI()*AE$12^2)/4*(AA141*$W141*1000)/($G141*$B$5)))),
IF($D141="Pressio.",
IF($E141=3,(PI()*AE$12^2)/4*(AA141*$W141*1000)/($H141*$B$5),(PI()*AE$12^2)/4*(AA141*$W141*1000)/($G141*$B$5)),
IF($D141="Pénétro.",
IF($E141=4,(PI()*AE$12^2)/4*(AA141*$W141*1000)/($H141*$B$5),(PI()*AE$12^2)/4*(AA141*$W141*1000)/($G141*$B$5))))))/10</f>
        <v>#N/A</v>
      </c>
      <c r="AF141" s="102" t="e">
        <f>(VLOOKUP($B$3,'Coeff EC7'!$T$39:$X$59,2,0)*AD141+VLOOKUP($B$3,'Coeff EC7'!$T$65:$X$85,2,0)*Model0.1C!AE141)/1.1</f>
        <v>#N/A</v>
      </c>
      <c r="AG141" s="102" t="e">
        <f>(VLOOKUP($B$3,'Coeff EC7'!$T$39:$X$59,3,0)*AD141+VLOOKUP($B$3,'Coeff EC7'!$T$65:$X$85,3,0)*Model0.1C!AE141)/0.9</f>
        <v>#N/A</v>
      </c>
      <c r="AH141" s="102" t="e">
        <f t="shared" si="139"/>
        <v>#N/A</v>
      </c>
      <c r="AI141" s="102" t="e">
        <f t="shared" si="140"/>
        <v>#N/A</v>
      </c>
      <c r="AJ141" s="414" t="e">
        <f>IF(AJ140=0,0,IF(AND(AF141&gt;charge_ELS_quasi,AG141&gt;Charge_ELS_freq,AH141&gt;charge_ELU,AI141&gt;charge_ELA,$B141&gt;NDC!$H$22-0.1+MIN(3*$AJ$12,1.5)),0,1))</f>
        <v>#N/A</v>
      </c>
      <c r="AK141" s="86" t="b">
        <f t="shared" si="141"/>
        <v>0</v>
      </c>
      <c r="AL141" s="86">
        <f t="shared" si="170"/>
        <v>0.5</v>
      </c>
      <c r="AM141" s="86">
        <f t="shared" si="142"/>
        <v>0.5</v>
      </c>
      <c r="AN141" s="30" t="e">
        <f t="shared" ca="1" si="171"/>
        <v>#DIV/0!</v>
      </c>
      <c r="AO141" s="85" t="e">
        <f ca="1">IF(U141&lt;=Hypothèses!$V$7,Hypothèses!$W$7,IF(U141&lt;=Hypothèses!$V$8,Hypothèses!$W$8,IF(U141&lt;=Hypothèses!$V$9,Hypothèses!$W$9,IF(U141&lt;=Hypothèses!$V$10,Hypothèses!$W$10,IF(U141&lt;=Hypothèses!$V$11,Hypothèses!$W$11,IF(U141&lt;=Hypothèses!$V$12,Hypothèses!$W$12,IF(U141&lt;=Hypothèses!$V$13,Hypothèses!$W$13,IF(U141&lt;=Hypothèses!$V$14,Hypothèses!$W$14,IF(U141&lt;=Hypothèses!$V$15,Hypothèses!$W$15,IF(U141&lt;=Hypothèses!$V$16,Hypothèses!$W$16,IF(U141&lt;=Hypothèses!$V$17,Hypothèses!$W$17,IF(U141&lt;=Hypothèses!$V$18,Hypothèses!$W$18,""))))))))))))</f>
        <v>#DIV/0!</v>
      </c>
      <c r="AP141" s="87" t="e">
        <f t="shared" ca="1" si="217"/>
        <v>#DIV/0!</v>
      </c>
      <c r="AQ141" s="88" t="e">
        <f ca="1">IF(U141&lt;=Hypothèses!$V$7,Hypothèses!$X$7,IF(U141&lt;=Hypothèses!$V$8,Hypothèses!$X$8,IF(U141&lt;=Hypothèses!$V$9,Hypothèses!$X$9,IF(U141&lt;=Hypothèses!$V$10,Hypothèses!$X$10,IF(U141&lt;=Hypothèses!$V$11,Hypothèses!$X$11,IF(U141&lt;=Hypothèses!$V$12,Hypothèses!$X$12,IF(U141&lt;=Hypothèses!$V$13,Hypothèses!$X$13,IF(U141&lt;=Hypothèses!$V$14,Hypothèses!$X$14,IF(U141&lt;=Hypothèses!$V$15,Hypothèses!$X$15,IF(U141&lt;=Hypothèses!$V$16,Hypothèses!$X$16,IF(U141&lt;=Hypothèses!$U$17,Hypothèses!$W$17,IF(U141&lt;=Hypothèses!$U$18,Hypothèses!$W$18,""))))))))))))</f>
        <v>#DIV/0!</v>
      </c>
      <c r="AR141" s="95" t="e">
        <f t="shared" ca="1" si="172"/>
        <v>#DIV/0!</v>
      </c>
      <c r="AS141" s="101" t="e">
        <f t="shared" si="224"/>
        <v>#N/A</v>
      </c>
      <c r="AT141" s="91" t="e">
        <f t="shared" si="143"/>
        <v>#N/A</v>
      </c>
      <c r="AU141" s="30" t="e">
        <f t="shared" si="202"/>
        <v>#N/A</v>
      </c>
      <c r="AV141" s="30" t="e">
        <f t="shared" si="203"/>
        <v>#N/A</v>
      </c>
      <c r="AW141" s="31" t="e">
        <f>IF(OR(Hypothèses!$B$4=17,Hypothèses!$B$4=18,Hypothèses!$B$4=19,Hypothèses!$B$4=20),
IF($D141="Pressio.",
IF(OR($E141=3,$E141=1,$E141=4),AV141,AU141),
IF($D141="Pénétro.",
IF(OR($E141=3,$E141=1,$E141=4),AV141,AU141))),IF($D141="Pressio.",
IF($E141=3,AV141,AU141),
IF($D141="Pénétro.",
IF($E141=4,AV141,AU141))))</f>
        <v>#N/A</v>
      </c>
      <c r="AX141" s="31" t="e">
        <f>(IF(OR(Hypothèses!$B$4=17,Hypothèses!$B$4=18,Hypothèses!$B$4=19,Hypothèses!$B$4=20),
IF($D141="Pressio.",
IF(OR($E141=3,$E141=1,$E141=4),(PI()*AX$12^2)/4*(AT141*$W141*1000)/($H141*$B$5),(PI()*AX$12^2)/4*(AT141*$W141*1000)/($G141*$B$5)),
IF($D141="Pénétro.",
IF(OR($E141=4,$E141=1,$E141=5),(PI()*AX$12^2)/4*(AT141*$W141*1000)/($H141*$B$5),(PI()*AX$12^2)/4*(AT141*$W141*1000)/($G141*$B$5)))),
IF($D141="Pressio.",
IF($E141=3,(PI()*AX$12^2)/4*(AT141*$W141*1000)/($H141*$B$5),(PI()*AX$12^2)/4*(AT141*$W141*1000)/($G141*$B$5)),
IF($D141="Pénétro.",
IF($E141=4,(PI()*AX$12^2)/4*(AT141*$W141*1000)/($H141*$B$5),(PI()*AX$12^2)/4*(AT141*$W141*1000)/($G141*$B$5))))))/10</f>
        <v>#N/A</v>
      </c>
      <c r="AY141" s="102" t="e">
        <f>(VLOOKUP($B$3,'Coeff EC7'!$T$39:$X$59,2,0)*AW141+VLOOKUP($B$3,'Coeff EC7'!$T$65:$X$85,2,0)*Model0.1C!AX141)/1.1</f>
        <v>#N/A</v>
      </c>
      <c r="AZ141" s="102" t="e">
        <f>(VLOOKUP($B$3,'Coeff EC7'!$T$39:$X$59,3,0)*AW141+VLOOKUP($B$3,'Coeff EC7'!$T$65:$X$85,3,0)*Model0.1C!AX141)/0.9</f>
        <v>#N/A</v>
      </c>
      <c r="BA141" s="102" t="e">
        <f t="shared" si="173"/>
        <v>#N/A</v>
      </c>
      <c r="BB141" s="102" t="e">
        <f t="shared" si="174"/>
        <v>#N/A</v>
      </c>
      <c r="BC141" s="414" t="e">
        <f>IF(BC140=0,0,IF(AND(AY141&gt;charge_ELS_quasi,AZ141&gt;Charge_ELS_freq,BA141&gt;charge_ELU,BB141&gt;charge_ELA,$B141&gt;NDC!$H$22-0.1+MIN(3*$BC$12,1.5)),0,1))</f>
        <v>#N/A</v>
      </c>
      <c r="BD141" s="86" t="b">
        <f t="shared" si="144"/>
        <v>0</v>
      </c>
      <c r="BE141" s="86">
        <f t="shared" si="175"/>
        <v>0.5</v>
      </c>
      <c r="BF141" s="86">
        <f t="shared" si="145"/>
        <v>0.5</v>
      </c>
      <c r="BG141" s="30" t="e">
        <f t="shared" ca="1" si="176"/>
        <v>#DIV/0!</v>
      </c>
      <c r="BH141" s="85" t="e">
        <f ca="1">IF(AN141&lt;=Hypothèses!$V$7,Hypothèses!$W$7,IF(AN141&lt;=Hypothèses!$V$8,Hypothèses!$W$8,IF(AN141&lt;=Hypothèses!$V$9,Hypothèses!$W$9,IF(AN141&lt;=Hypothèses!$V$10,Hypothèses!$W$10,IF(AN141&lt;=Hypothèses!$V$11,Hypothèses!$W$11,IF(AN141&lt;=Hypothèses!$V$12,Hypothèses!$W$12,IF(AN141&lt;=Hypothèses!$V$13,Hypothèses!$W$13,IF(AN141&lt;=Hypothèses!$V$14,Hypothèses!$W$14,IF(AN141&lt;=Hypothèses!$V$15,Hypothèses!$W$15,IF(AN141&lt;=Hypothèses!$V$16,Hypothèses!$W$16,IF(AN141&lt;=Hypothèses!$V$17,Hypothèses!$W$17,IF(AN141&lt;=Hypothèses!$V$18,Hypothèses!$W$18,""))))))))))))</f>
        <v>#DIV/0!</v>
      </c>
      <c r="BI141" s="87" t="e">
        <f t="shared" ca="1" si="218"/>
        <v>#DIV/0!</v>
      </c>
      <c r="BJ141" s="88" t="e">
        <f ca="1">IF(AN141&lt;=Hypothèses!$V$7,Hypothèses!$X$7,IF(AN141&lt;=Hypothèses!$V$8,Hypothèses!$X$8,IF(AN141&lt;=Hypothèses!$V$9,Hypothèses!$X$9,IF(AN141&lt;=Hypothèses!$V$10,Hypothèses!$X$10,IF(AN141&lt;=Hypothèses!$V$11,Hypothèses!$X$11,IF(AN141&lt;=Hypothèses!$V$12,Hypothèses!$X$12,IF(AN141&lt;=Hypothèses!$V$13,Hypothèses!$X$13,IF(AN141&lt;=Hypothèses!$V$14,Hypothèses!$X$14,IF(AN141&lt;=Hypothèses!$V$15,Hypothèses!$X$15,IF(AN141&lt;=Hypothèses!$V$16,Hypothèses!$X$16,IF(AN141&lt;=Hypothèses!$U$17,Hypothèses!$W$17,IF(AN141&lt;=Hypothèses!$U$18,Hypothèses!$W$18,""))))))))))))</f>
        <v>#DIV/0!</v>
      </c>
      <c r="BK141" s="95" t="e">
        <f t="shared" ca="1" si="177"/>
        <v>#DIV/0!</v>
      </c>
      <c r="BL141" s="101" t="e">
        <f t="shared" si="225"/>
        <v>#N/A</v>
      </c>
      <c r="BM141" s="91" t="e">
        <f t="shared" si="146"/>
        <v>#N/A</v>
      </c>
      <c r="BN141" s="30" t="e">
        <f t="shared" si="204"/>
        <v>#N/A</v>
      </c>
      <c r="BO141" s="30" t="e">
        <f t="shared" si="205"/>
        <v>#N/A</v>
      </c>
      <c r="BP141" s="31" t="e">
        <f>IF(OR(Hypothèses!$B$4=17,Hypothèses!$B$4=18,Hypothèses!$B$4=19,Hypothèses!$B$4=20),
IF($D141="Pressio.",
IF(OR($E141=3,$E141=1,$E141=4),BO141,BN141),
IF($D141="Pénétro.",
IF(OR($E141=3,$E141=1,$E141=4),BO141,BN141))),IF($D141="Pressio.",
IF($E141=3,BO141,BN141),
IF($D141="Pénétro.",
IF($E141=4,BO141,BN141))))</f>
        <v>#N/A</v>
      </c>
      <c r="BQ141" s="31" t="e">
        <f>(IF(OR(Hypothèses!$B$4=17,Hypothèses!$B$4=18,Hypothèses!$B$4=19,Hypothèses!$B$4=20),
IF($D141="Pressio.",
IF(OR($E141=3,$E141=1,$E141=4),(PI()*BQ$12^2)/4*(BM141*$W141*1000)/($H141*$B$5),(PI()*BQ$12^2)/4*(BM141*$W141*1000)/($G141*$B$5)),
IF($D141="Pénétro.",
IF(OR($E141=4,$E141=1,$E141=5),(PI()*BQ$12^2)/4*(BM141*$W141*1000)/($H141*$B$5),(PI()*BQ$12^2)/4*(BM141*$W141*1000)/($G141*$B$5)))),
IF($D141="Pressio.",
IF($E141=3,(PI()*BQ$12^2)/4*(BM141*$W141*1000)/($H141*$B$5),(PI()*BQ$12^2)/4*(BM141*$W141*1000)/($G141*$B$5)),
IF($D141="Pénétro.",
IF($E141=4,(PI()*BQ$12^2)/4*(BM141*$W141*1000)/($H141*$B$5),(PI()*BQ$12^2)/4*(BM141*$W141*1000)/($G141*$B$5))))))/10</f>
        <v>#N/A</v>
      </c>
      <c r="BR141" s="102" t="e">
        <f>(VLOOKUP($B$3,'Coeff EC7'!$T$39:$X$59,2,0)*BP141+VLOOKUP($B$3,'Coeff EC7'!$T$65:$X$85,2,0)*Model0.1C!BQ141)/1.1</f>
        <v>#N/A</v>
      </c>
      <c r="BS141" s="102" t="e">
        <f>(VLOOKUP($B$3,'Coeff EC7'!$T$39:$X$59,3,0)*BP141+VLOOKUP($B$3,'Coeff EC7'!$T$65:$X$85,3,0)*Model0.1C!BQ141)/0.9</f>
        <v>#N/A</v>
      </c>
      <c r="BT141" s="102" t="e">
        <f t="shared" si="178"/>
        <v>#N/A</v>
      </c>
      <c r="BU141" s="102" t="e">
        <f t="shared" si="179"/>
        <v>#N/A</v>
      </c>
      <c r="BV141" s="414" t="e">
        <f>IF(BV140=0,0,IF(AND(BR141&gt;charge_ELS_quasi,BS141&gt;Charge_ELS_freq,BT141&gt;charge_ELU,BU141&gt;charge_ELA,$B141&gt;NDC!$H$22-0.1+MIN(3*$BV$12,1.5)),0,1))</f>
        <v>#N/A</v>
      </c>
      <c r="BW141" s="86" t="b">
        <f t="shared" si="147"/>
        <v>0</v>
      </c>
      <c r="BX141" s="86">
        <f t="shared" si="148"/>
        <v>0.5</v>
      </c>
      <c r="BY141" s="86">
        <f t="shared" si="149"/>
        <v>0.5</v>
      </c>
      <c r="BZ141" s="30" t="e">
        <f t="shared" ca="1" si="180"/>
        <v>#DIV/0!</v>
      </c>
      <c r="CA141" s="85" t="e">
        <f ca="1">IF(BG141&lt;=Hypothèses!$V$7,Hypothèses!$W$7,IF(BG141&lt;=Hypothèses!$V$8,Hypothèses!$W$8,IF(BG141&lt;=Hypothèses!$V$9,Hypothèses!$W$9,IF(BG141&lt;=Hypothèses!$V$10,Hypothèses!$W$10,IF(BG141&lt;=Hypothèses!$V$11,Hypothèses!$W$11,IF(BG141&lt;=Hypothèses!$V$12,Hypothèses!$W$12,IF(BG141&lt;=Hypothèses!$V$13,Hypothèses!$W$13,IF(BG141&lt;=Hypothèses!$V$14,Hypothèses!$W$14,IF(BG141&lt;=Hypothèses!$V$15,Hypothèses!$W$15,IF(BG141&lt;=Hypothèses!$V$16,Hypothèses!$W$16,IF(BG141&lt;=Hypothèses!$V$17,Hypothèses!$W$17,IF(BG141&lt;=Hypothèses!$V$18,Hypothèses!$W$18,""))))))))))))</f>
        <v>#DIV/0!</v>
      </c>
      <c r="CB141" s="87" t="e">
        <f t="shared" ca="1" si="219"/>
        <v>#DIV/0!</v>
      </c>
      <c r="CC141" s="88" t="e">
        <f ca="1">IF(BG141&lt;=Hypothèses!$V$7,Hypothèses!$X$7,IF(BG141&lt;=Hypothèses!$V$8,Hypothèses!$X$8,IF(BG141&lt;=Hypothèses!$V$9,Hypothèses!$X$9,IF(BG141&lt;=Hypothèses!$V$10,Hypothèses!$X$10,IF(BG141&lt;=Hypothèses!$V$11,Hypothèses!$X$11,IF(BG141&lt;=Hypothèses!$V$12,Hypothèses!$X$12,IF(BG141&lt;=Hypothèses!$V$13,Hypothèses!$X$13,IF(BG141&lt;=Hypothèses!$V$14,Hypothèses!$X$14,IF(BG141&lt;=Hypothèses!$V$15,Hypothèses!$X$15,IF(BG141&lt;=Hypothèses!$V$16,Hypothèses!$X$16,IF(BG141&lt;=Hypothèses!$U$17,Hypothèses!$W$17,IF(BG141&lt;=Hypothèses!$U$18,Hypothèses!$W$18,""))))))))))))</f>
        <v>#DIV/0!</v>
      </c>
      <c r="CD141" s="95" t="e">
        <f t="shared" ca="1" si="181"/>
        <v>#DIV/0!</v>
      </c>
      <c r="CE141" s="101" t="e">
        <f t="shared" si="226"/>
        <v>#N/A</v>
      </c>
      <c r="CF141" s="91" t="e">
        <f t="shared" si="150"/>
        <v>#N/A</v>
      </c>
      <c r="CG141" s="30" t="e">
        <f t="shared" si="206"/>
        <v>#N/A</v>
      </c>
      <c r="CH141" s="30" t="e">
        <f t="shared" si="207"/>
        <v>#N/A</v>
      </c>
      <c r="CI141" s="31" t="e">
        <f>IF(OR(Hypothèses!$B$4=17,Hypothèses!$B$4=18,Hypothèses!$B$4=19,Hypothèses!$B$4=20),
IF($D141="Pressio.",
IF(OR($E141=3,$E141=1,$E141=4),CH141,CG141),
IF($D141="Pénétro.",
IF(OR($E141=3,$E141=1,$E141=4),CH141,CG141))),IF($D141="Pressio.",
IF($E141=3,CH141,CG141),
IF($D141="Pénétro.",
IF($E141=4,CH141,CG141))))</f>
        <v>#N/A</v>
      </c>
      <c r="CJ141" s="31" t="e">
        <f>(IF(OR(Hypothèses!$B$4=17,Hypothèses!$B$4=18,Hypothèses!$B$4=19,Hypothèses!$B$4=20),
IF($D141="Pressio.",
IF(OR($E141=3,$E141=1,$E141=4),(PI()*CJ$12^2)/4*(CF141*$W141*1000)/($H141*$B$5),(PI()*CJ$12^2)/4*(CF141*$W141*1000)/($G141*$B$5)),
IF($D141="Pénétro.",
IF(OR($E141=4,$E141=1,$E141=5),(PI()*CJ$12^2)/4*(CF141*$W141*1000)/($H141*$B$5),(PI()*CJ$12^2)/4*(CF141*$W141*1000)/($G141*$B$5)))),
IF($D141="Pressio.",
IF($E141=3,(PI()*CJ$12^2)/4*(CF141*$W141*1000)/($H141*$B$5),(PI()*CJ$12^2)/4*(CF141*$W141*1000)/($G141*$B$5)),
IF($D141="Pénétro.",
IF($E141=4,(PI()*CJ$12^2)/4*(CF141*$W141*1000)/($H141*$B$5),(PI()*CJ$12^2)/4*(CF141*$W141*1000)/($G141*$B$5))))))/10</f>
        <v>#N/A</v>
      </c>
      <c r="CK141" s="102" t="e">
        <f>(VLOOKUP($B$3,'Coeff EC7'!$T$39:$X$59,2,0)*CI141+VLOOKUP($B$3,'Coeff EC7'!$T$65:$X$85,2,0)*Model0.1C!CJ141)/1.1</f>
        <v>#N/A</v>
      </c>
      <c r="CL141" s="102" t="e">
        <f>(VLOOKUP($B$3,'Coeff EC7'!$T$39:$X$59,3,0)*CI141+VLOOKUP($B$3,'Coeff EC7'!$T$65:$X$85,3,0)*Model0.1C!CJ141)/0.9</f>
        <v>#N/A</v>
      </c>
      <c r="CM141" s="102" t="e">
        <f t="shared" si="182"/>
        <v>#N/A</v>
      </c>
      <c r="CN141" s="102" t="e">
        <f t="shared" si="183"/>
        <v>#N/A</v>
      </c>
      <c r="CO141" s="414" t="e">
        <f>IF(CO140=0,0,IF(AND(CK141&gt;charge_ELS_quasi,CL141&gt;Charge_ELS_freq,CM141&gt;charge_ELU,CN141&gt;charge_ELA,$B141&gt;NDC!$H$22-0.1+MIN(3*$CO$12,1.5)),0,1))</f>
        <v>#N/A</v>
      </c>
      <c r="CP141" s="86" t="b">
        <f t="shared" si="151"/>
        <v>0</v>
      </c>
      <c r="CQ141" s="86">
        <f t="shared" si="152"/>
        <v>0.5</v>
      </c>
      <c r="CR141" s="86">
        <f t="shared" si="153"/>
        <v>0.5</v>
      </c>
      <c r="CS141" s="30" t="e">
        <f t="shared" ca="1" si="184"/>
        <v>#DIV/0!</v>
      </c>
      <c r="CT141" s="85" t="e">
        <f ca="1">IF(BZ141&lt;=Hypothèses!$V$7,Hypothèses!$W$7,IF(BZ141&lt;=Hypothèses!$V$8,Hypothèses!$W$8,IF(BZ141&lt;=Hypothèses!$V$9,Hypothèses!$W$9,IF(BZ141&lt;=Hypothèses!$V$10,Hypothèses!$W$10,IF(BZ141&lt;=Hypothèses!$V$11,Hypothèses!$W$11,IF(BZ141&lt;=Hypothèses!$V$12,Hypothèses!$W$12,IF(BZ141&lt;=Hypothèses!$V$13,Hypothèses!$W$13,IF(BZ141&lt;=Hypothèses!$V$14,Hypothèses!$W$14,IF(BZ141&lt;=Hypothèses!$V$15,Hypothèses!$W$15,IF(BZ141&lt;=Hypothèses!$V$16,Hypothèses!$W$16,IF(BZ141&lt;=Hypothèses!$V$17,Hypothèses!$W$17,IF(BZ141&lt;=Hypothèses!$V$18,Hypothèses!$W$18,""))))))))))))</f>
        <v>#DIV/0!</v>
      </c>
      <c r="CU141" s="87" t="e">
        <f t="shared" ca="1" si="220"/>
        <v>#DIV/0!</v>
      </c>
      <c r="CV141" s="88" t="e">
        <f ca="1">IF(BZ141&lt;=Hypothèses!$V$7,Hypothèses!$X$7,IF(BZ141&lt;=Hypothèses!$V$8,Hypothèses!$X$8,IF(BZ141&lt;=Hypothèses!$V$9,Hypothèses!$X$9,IF(BZ141&lt;=Hypothèses!$V$10,Hypothèses!$X$10,IF(BZ141&lt;=Hypothèses!$V$11,Hypothèses!$X$11,IF(BZ141&lt;=Hypothèses!$V$12,Hypothèses!$X$12,IF(BZ141&lt;=Hypothèses!$V$13,Hypothèses!$X$13,IF(BZ141&lt;=Hypothèses!$V$14,Hypothèses!$X$14,IF(BZ141&lt;=Hypothèses!$V$15,Hypothèses!$X$15,IF(BZ141&lt;=Hypothèses!$V$16,Hypothèses!$X$16,IF(BZ141&lt;=Hypothèses!$U$17,Hypothèses!$W$17,IF(BZ141&lt;=Hypothèses!$U$18,Hypothèses!$W$18,""))))))))))))</f>
        <v>#DIV/0!</v>
      </c>
      <c r="CW141" s="95" t="e">
        <f t="shared" ca="1" si="185"/>
        <v>#DIV/0!</v>
      </c>
      <c r="CX141" s="101" t="e">
        <f t="shared" si="227"/>
        <v>#N/A</v>
      </c>
      <c r="CY141" s="91" t="e">
        <f t="shared" si="154"/>
        <v>#N/A</v>
      </c>
      <c r="CZ141" s="30" t="e">
        <f t="shared" si="208"/>
        <v>#N/A</v>
      </c>
      <c r="DA141" s="30" t="e">
        <f t="shared" si="209"/>
        <v>#N/A</v>
      </c>
      <c r="DB141" s="31" t="e">
        <f>IF(OR(Hypothèses!$B$4=17,Hypothèses!$B$4=18,Hypothèses!$B$4=19,Hypothèses!$B$4=20),
IF($D141="Pressio.",
IF(OR($E141=3,$E141=1,$E141=4),DA141,CZ141),
IF($D141="Pénétro.",
IF(OR($E141=3,$E141=1,$E141=4),DA141,CZ141))),IF($D141="Pressio.",
IF($E141=3,DA141,CZ141),
IF($D141="Pénétro.",
IF($E141=4,DA141,CZ141))))</f>
        <v>#N/A</v>
      </c>
      <c r="DC141" s="31" t="e">
        <f>(IF(OR(Hypothèses!$B$4=17,Hypothèses!$B$4=18,Hypothèses!$B$4=19,Hypothèses!$B$4=20),
IF($D141="Pressio.",
IF(OR($E141=3,$E141=1,$E141=4),(PI()*DC$12^2)/4*(CY141*$W141*1000)/($H141*$B$5),(PI()*DC$12^2)/4*(CY141*$W141*1000)/($G141*$B$5)),
IF($D141="Pénétro.",
IF(OR($E141=4,$E141=1,$E141=5),(PI()*DC$12^2)/4*(CY141*$W141*1000)/($H141*$B$5),(PI()*DC$12^2)/4*(CY141*$W141*1000)/($G141*$B$5)))),
IF($D141="Pressio.",
IF($E141=3,(PI()*DC$12^2)/4*(CY141*$W141*1000)/($H141*$B$5),(PI()*DC$12^2)/4*(CY141*$W141*1000)/($G141*$B$5)),
IF($D141="Pénétro.",
IF($E141=4,(PI()*DC$12^2)/4*(CY141*$W141*1000)/($H141*$B$5),(PI()*DC$12^2)/4*(CY141*$W141*1000)/($G141*$B$5))))))/10</f>
        <v>#N/A</v>
      </c>
      <c r="DD141" s="102" t="e">
        <f>(VLOOKUP($B$3,'Coeff EC7'!$T$39:$X$59,2,0)*DB141+VLOOKUP($B$3,'Coeff EC7'!$T$65:$X$85,2,0)*Model0.1C!DC141)/1.1</f>
        <v>#N/A</v>
      </c>
      <c r="DE141" s="102" t="e">
        <f>(VLOOKUP($B$3,'Coeff EC7'!$T$39:$X$59,3,0)*DB141+VLOOKUP($B$3,'Coeff EC7'!$T$65:$X$85,3,0)*Model0.1C!DC141)/0.9</f>
        <v>#N/A</v>
      </c>
      <c r="DF141" s="102" t="e">
        <f t="shared" si="186"/>
        <v>#N/A</v>
      </c>
      <c r="DG141" s="102" t="e">
        <f t="shared" si="187"/>
        <v>#N/A</v>
      </c>
      <c r="DH141" s="414" t="e">
        <f>IF(DH140=0,0,IF(AND(DD141&gt;charge_ELS_quasi,DE141&gt;Charge_ELS_freq,DF141&gt;charge_ELU,DG141&gt;charge_ELA,$B141&gt;NDC!$H$22-0.1+MIN(3*$DH$12,1.5)),0,1))</f>
        <v>#N/A</v>
      </c>
      <c r="DI141" s="86" t="b">
        <f t="shared" si="155"/>
        <v>0</v>
      </c>
      <c r="DJ141" s="86">
        <f t="shared" si="156"/>
        <v>0.5</v>
      </c>
      <c r="DK141" s="86">
        <f t="shared" si="157"/>
        <v>0.5</v>
      </c>
      <c r="DL141" s="30" t="e">
        <f t="shared" ca="1" si="188"/>
        <v>#DIV/0!</v>
      </c>
      <c r="DM141" s="85" t="e">
        <f ca="1">IF(CS141&lt;=Hypothèses!$V$7,Hypothèses!$W$7,IF(CS141&lt;=Hypothèses!$V$8,Hypothèses!$W$8,IF(CS141&lt;=Hypothèses!$V$9,Hypothèses!$W$9,IF(CS141&lt;=Hypothèses!$V$10,Hypothèses!$W$10,IF(CS141&lt;=Hypothèses!$V$11,Hypothèses!$W$11,IF(CS141&lt;=Hypothèses!$V$12,Hypothèses!$W$12,IF(CS141&lt;=Hypothèses!$V$13,Hypothèses!$W$13,IF(CS141&lt;=Hypothèses!$V$14,Hypothèses!$W$14,IF(CS141&lt;=Hypothèses!$V$15,Hypothèses!$W$15,IF(CS141&lt;=Hypothèses!$V$16,Hypothèses!$W$16,IF(CS141&lt;=Hypothèses!$V$17,Hypothèses!$W$17,IF(CS141&lt;=Hypothèses!$V$18,Hypothèses!$W$18,""))))))))))))</f>
        <v>#DIV/0!</v>
      </c>
      <c r="DN141" s="87" t="e">
        <f t="shared" ca="1" si="221"/>
        <v>#DIV/0!</v>
      </c>
      <c r="DO141" s="88" t="e">
        <f ca="1">IF(CS141&lt;=Hypothèses!$V$7,Hypothèses!$X$7,IF(CS141&lt;=Hypothèses!$V$8,Hypothèses!$X$8,IF(CS141&lt;=Hypothèses!$V$9,Hypothèses!$X$9,IF(CS141&lt;=Hypothèses!$V$10,Hypothèses!$X$10,IF(CS141&lt;=Hypothèses!$V$11,Hypothèses!$X$11,IF(CS141&lt;=Hypothèses!$V$12,Hypothèses!$X$12,IF(CS141&lt;=Hypothèses!$V$13,Hypothèses!$X$13,IF(CS141&lt;=Hypothèses!$V$14,Hypothèses!$X$14,IF(CS141&lt;=Hypothèses!$V$15,Hypothèses!$X$15,IF(CS141&lt;=Hypothèses!$V$16,Hypothèses!$X$16,IF(CS141&lt;=Hypothèses!$U$17,Hypothèses!$W$17,IF(CS141&lt;=Hypothèses!$U$18,Hypothèses!$W$18,""))))))))))))</f>
        <v>#DIV/0!</v>
      </c>
      <c r="DP141" s="95" t="e">
        <f t="shared" ca="1" si="189"/>
        <v>#DIV/0!</v>
      </c>
      <c r="DQ141" s="101" t="e">
        <f t="shared" si="228"/>
        <v>#N/A</v>
      </c>
      <c r="DR141" s="91" t="e">
        <f t="shared" si="158"/>
        <v>#N/A</v>
      </c>
      <c r="DS141" s="30" t="e">
        <f t="shared" si="210"/>
        <v>#N/A</v>
      </c>
      <c r="DT141" s="30" t="e">
        <f t="shared" si="211"/>
        <v>#N/A</v>
      </c>
      <c r="DU141" s="31" t="e">
        <f>IF(OR(Hypothèses!$B$4=17,Hypothèses!$B$4=18,Hypothèses!$B$4=19,Hypothèses!$B$4=20),
IF($D141="Pressio.",
IF(OR($E141=3,$E141=1,$E141=4),DT141,DS141),
IF($D141="Pénétro.",
IF(OR($E141=3,$E141=1,$E141=4),DT141,DS141))),IF($D141="Pressio.",
IF($E141=3,DT141,DS141),
IF($D141="Pénétro.",
IF($E141=4,DT141,DS141))))</f>
        <v>#N/A</v>
      </c>
      <c r="DV141" s="31" t="e">
        <f>(IF(OR(Hypothèses!$B$4=17,Hypothèses!$B$4=18,Hypothèses!$B$4=19,Hypothèses!$B$4=20),
IF($D141="Pressio.",
IF(OR($E141=3,$E141=1,$E141=4),(PI()*DV$12^2)/4*(DR141*$W141*1000)/($H141*$B$5),(PI()*DV$12^2)/4*(DR141*$W141*1000)/($G141*$B$5)),
IF($D141="Pénétro.",
IF(OR($E141=4,$E141=1,$E141=5),(PI()*DV$12^2)/4*(DR141*$W141*1000)/($H141*$B$5),(PI()*DV$12^2)/4*(DR141*$W141*1000)/($G141*$B$5)))),
IF($D141="Pressio.",
IF($E141=3,(PI()*DV$12^2)/4*(DR141*$W141*1000)/($H141*$B$5),(PI()*DV$12^2)/4*(DR141*$W141*1000)/($G141*$B$5)),
IF($D141="Pénétro.",
IF($E141=4,(PI()*DV$12^2)/4*(DR141*$W141*1000)/($H141*$B$5),(PI()*DV$12^2)/4*(DR141*$W141*1000)/($G141*$B$5))))))/10</f>
        <v>#N/A</v>
      </c>
      <c r="DW141" s="102" t="e">
        <f>(VLOOKUP($B$3,'Coeff EC7'!$T$39:$X$59,2,0)*DU141+VLOOKUP($B$3,'Coeff EC7'!$T$65:$X$85,2,0)*Model0.1C!DV141)/1.1</f>
        <v>#N/A</v>
      </c>
      <c r="DX141" s="102" t="e">
        <f>(VLOOKUP($B$3,'Coeff EC7'!$T$39:$X$59,3,0)*DU141+VLOOKUP($B$3,'Coeff EC7'!$T$65:$X$85,3,0)*Model0.1C!DV141)/0.9</f>
        <v>#N/A</v>
      </c>
      <c r="DY141" s="102" t="e">
        <f t="shared" si="190"/>
        <v>#N/A</v>
      </c>
      <c r="DZ141" s="102" t="e">
        <f t="shared" si="191"/>
        <v>#N/A</v>
      </c>
      <c r="EA141" s="414" t="e">
        <f>IF(EA140=0,0,IF(AND(DW141&gt;charge_ELS_quasi,DX141&gt;Charge_ELS_freq,DY141&gt;charge_ELU,DZ141&gt;charge_ELA,$B141&gt;NDC!$H$22-0.1+MIN(3*$EA$12,1.5)),0,1))</f>
        <v>#N/A</v>
      </c>
      <c r="EB141" s="86" t="b">
        <f t="shared" si="159"/>
        <v>0</v>
      </c>
      <c r="EC141" s="418">
        <f t="shared" si="160"/>
        <v>0.51</v>
      </c>
      <c r="ED141" s="86">
        <f t="shared" si="161"/>
        <v>0.51</v>
      </c>
      <c r="EE141" s="30" t="e">
        <f t="shared" ca="1" si="192"/>
        <v>#DIV/0!</v>
      </c>
      <c r="EF141" s="85" t="e">
        <f ca="1">IF(DL141&lt;=Hypothèses!$V$7,Hypothèses!$W$7,IF(DL141&lt;=Hypothèses!$V$8,Hypothèses!$W$8,IF(DL141&lt;=Hypothèses!$V$9,Hypothèses!$W$9,IF(DL141&lt;=Hypothèses!$V$10,Hypothèses!$W$10,IF(DL141&lt;=Hypothèses!$V$11,Hypothèses!$W$11,IF(DL141&lt;=Hypothèses!$V$12,Hypothèses!$W$12,IF(DL141&lt;=Hypothèses!$V$13,Hypothèses!$W$13,IF(DL141&lt;=Hypothèses!$V$14,Hypothèses!$W$14,IF(DL141&lt;=Hypothèses!$V$15,Hypothèses!$W$15,IF(DL141&lt;=Hypothèses!$V$16,Hypothèses!$W$16,IF(DL141&lt;=Hypothèses!$V$17,Hypothèses!$W$17,IF(DL141&lt;=Hypothèses!$V$18,Hypothèses!$W$18,""))))))))))))</f>
        <v>#DIV/0!</v>
      </c>
      <c r="EG141" s="87" t="e">
        <f t="shared" ca="1" si="222"/>
        <v>#DIV/0!</v>
      </c>
      <c r="EH141" s="88" t="e">
        <f ca="1">IF(DL141&lt;=Hypothèses!$V$7,Hypothèses!$X$7,IF(DL141&lt;=Hypothèses!$V$8,Hypothèses!$X$8,IF(DL141&lt;=Hypothèses!$V$9,Hypothèses!$X$9,IF(DL141&lt;=Hypothèses!$V$10,Hypothèses!$X$10,IF(DL141&lt;=Hypothèses!$V$11,Hypothèses!$X$11,IF(DL141&lt;=Hypothèses!$V$12,Hypothèses!$X$12,IF(DL141&lt;=Hypothèses!$V$13,Hypothèses!$X$13,IF(DL141&lt;=Hypothèses!$V$14,Hypothèses!$X$14,IF(DL141&lt;=Hypothèses!$V$15,Hypothèses!$X$15,IF(DL141&lt;=Hypothèses!$V$16,Hypothèses!$X$16,IF(DL141&lt;=Hypothèses!$U$17,Hypothèses!$W$17,IF(DL141&lt;=Hypothèses!$U$18,Hypothèses!$W$18,""))))))))))))</f>
        <v>#DIV/0!</v>
      </c>
      <c r="EI141" s="95" t="e">
        <f t="shared" ca="1" si="193"/>
        <v>#DIV/0!</v>
      </c>
      <c r="EJ141" s="101" t="e">
        <f t="shared" si="229"/>
        <v>#N/A</v>
      </c>
      <c r="EK141" s="91" t="e">
        <f t="shared" si="162"/>
        <v>#N/A</v>
      </c>
      <c r="EL141" s="30" t="e">
        <f t="shared" si="212"/>
        <v>#N/A</v>
      </c>
      <c r="EM141" s="30" t="e">
        <f t="shared" si="213"/>
        <v>#N/A</v>
      </c>
      <c r="EN141" s="31" t="e">
        <f>IF(OR(Hypothèses!$B$4=17,Hypothèses!$B$4=18,Hypothèses!$B$4=19,Hypothèses!$B$4=20),
IF($D141="Pressio.",
IF(OR($E141=3,$E141=1,$E141=4),EM141,EL141),
IF($D141="Pénétro.",
IF(OR($E141=3,$E141=1,$E141=4),EM141,EL141))),IF($D141="Pressio.",
IF($E141=3,EM141,EL141),
IF($D141="Pénétro.",
IF($E141=4,EM141,EL141))))</f>
        <v>#N/A</v>
      </c>
      <c r="EO141" s="31" t="e">
        <f>(IF(OR(Hypothèses!$B$4=17,Hypothèses!$B$4=18,Hypothèses!$B$4=19,Hypothèses!$B$4=20),
IF($D141="Pressio.",
IF(OR($E141=3,$E141=1,$E141=4),(PI()*EO$12^2)/4*(EK141*$W141*1000)/($H141*$B$5),(PI()*EO$12^2)/4*(EK141*$W141*1000)/($G141*$B$5)),
IF($D141="Pénétro.",
IF(OR($E141=4,$E141=1,$E141=5),(PI()*EO$12^2)/4*(EK141*$W141*1000)/($H141*$B$5),(PI()*EO$12^2)/4*(EK141*$W141*1000)/($G141*$B$5)))),
IF($D141="Pressio.",
IF($E141=3,(PI()*EO$12^2)/4*(EK141*$W141*1000)/($H141*$B$5),(PI()*EO$12^2)/4*(EK141*$W141*1000)/($G141*$B$5)),
IF($D141="Pénétro.",
IF($E141=4,(PI()*EO$12^2)/4*(EK141*$W141*1000)/($H141*$B$5),(PI()*EO$12^2)/4*(EK141*$W141*1000)/($G141*$B$5))))))/10</f>
        <v>#N/A</v>
      </c>
      <c r="EP141" s="102" t="e">
        <f>(VLOOKUP($B$3,'Coeff EC7'!$T$39:$X$59,2,0)*EN141+VLOOKUP($B$3,'Coeff EC7'!$T$65:$X$85,2,0)*Model0.1C!EO141)/1.1</f>
        <v>#N/A</v>
      </c>
      <c r="EQ141" s="102" t="e">
        <f>(VLOOKUP($B$3,'Coeff EC7'!$T$39:$X$59,3,0)*EN141+VLOOKUP($B$3,'Coeff EC7'!$T$65:$X$85,3,0)*Model0.1C!EO141)/0.9</f>
        <v>#N/A</v>
      </c>
      <c r="ER141" s="102" t="e">
        <f t="shared" si="194"/>
        <v>#N/A</v>
      </c>
      <c r="ES141" s="102" t="e">
        <f t="shared" si="195"/>
        <v>#N/A</v>
      </c>
      <c r="ET141" s="414" t="e">
        <f>IF(ET140=0,0,IF(AND(EP141&gt;charge_ELS_quasi,EQ141&gt;Charge_ELS_freq,ER141&gt;charge_ELU,ES141&gt;charge_ELA,$B141&gt;NDC!$H$22-0.1+MIN(3*$ET$12,1.5)),0,1))</f>
        <v>#N/A</v>
      </c>
      <c r="EU141" s="86" t="b">
        <f t="shared" si="163"/>
        <v>0</v>
      </c>
      <c r="EV141" s="86">
        <f t="shared" si="164"/>
        <v>0.61</v>
      </c>
      <c r="EW141" s="86">
        <f t="shared" si="165"/>
        <v>0.61</v>
      </c>
      <c r="EX141" s="30" t="e">
        <f t="shared" ca="1" si="196"/>
        <v>#DIV/0!</v>
      </c>
      <c r="EY141" s="85" t="e">
        <f ca="1">IF(EE141&lt;=Hypothèses!$V$7,Hypothèses!$W$7,IF(EE141&lt;=Hypothèses!$V$8,Hypothèses!$W$8,IF(EE141&lt;=Hypothèses!$V$9,Hypothèses!$W$9,IF(EE141&lt;=Hypothèses!$V$10,Hypothèses!$W$10,IF(EE141&lt;=Hypothèses!$V$11,Hypothèses!$W$11,IF(EE141&lt;=Hypothèses!$V$12,Hypothèses!$W$12,IF(EE141&lt;=Hypothèses!$V$13,Hypothèses!$W$13,IF(EE141&lt;=Hypothèses!$V$14,Hypothèses!$W$14,IF(EE141&lt;=Hypothèses!$V$15,Hypothèses!$W$15,IF(EE141&lt;=Hypothèses!$V$16,Hypothèses!$W$16,IF(EE141&lt;=Hypothèses!$V$17,Hypothèses!$W$17,IF(EE141&lt;=Hypothèses!$V$18,Hypothèses!$W$18,""))))))))))))</f>
        <v>#DIV/0!</v>
      </c>
      <c r="EZ141" s="87" t="e">
        <f t="shared" ca="1" si="223"/>
        <v>#DIV/0!</v>
      </c>
      <c r="FA141" s="88" t="e">
        <f ca="1">IF(EE141&lt;=Hypothèses!$V$7,Hypothèses!$X$7,IF(EE141&lt;=Hypothèses!$V$8,Hypothèses!$X$8,IF(EE141&lt;=Hypothèses!$V$9,Hypothèses!$X$9,IF(EE141&lt;=Hypothèses!$V$10,Hypothèses!$X$10,IF(EE141&lt;=Hypothèses!$V$11,Hypothèses!$X$11,IF(EE141&lt;=Hypothèses!$V$12,Hypothèses!$X$12,IF(EE141&lt;=Hypothèses!$V$13,Hypothèses!$X$13,IF(EE141&lt;=Hypothèses!$V$14,Hypothèses!$X$14,IF(EE141&lt;=Hypothèses!$V$15,Hypothèses!$X$15,IF(EE141&lt;=Hypothèses!$V$16,Hypothèses!$X$16,IF(EE141&lt;=Hypothèses!$U$17,Hypothèses!$W$17,IF(EE141&lt;=Hypothèses!$U$18,Hypothèses!$W$18,""))))))))))))</f>
        <v>#DIV/0!</v>
      </c>
      <c r="FB141" s="95" t="e">
        <f t="shared" ca="1" si="197"/>
        <v>#DIV/0!</v>
      </c>
      <c r="FC141" s="101" t="e">
        <f t="shared" si="230"/>
        <v>#N/A</v>
      </c>
      <c r="FD141" s="91" t="e">
        <f t="shared" si="166"/>
        <v>#N/A</v>
      </c>
      <c r="FE141" s="30" t="e">
        <f t="shared" si="214"/>
        <v>#N/A</v>
      </c>
      <c r="FF141" s="30" t="e">
        <f t="shared" si="215"/>
        <v>#N/A</v>
      </c>
      <c r="FG141" s="31" t="e">
        <f>IF(OR(Hypothèses!$B$4=17,Hypothèses!$B$4=18,Hypothèses!$B$4=19,Hypothèses!$B$4=20),
IF($D141="Pressio.",
IF(OR($E141=3,$E141=1,$E141=4),FF141,FE141),
IF($D141="Pénétro.",
IF(OR($E141=3,$E141=1,$E141=4),FF141,FE141))),IF($D141="Pressio.",
IF($E141=3,FF141,FE141),
IF($D141="Pénétro.",
IF($E141=4,FF141,FE141))))</f>
        <v>#N/A</v>
      </c>
      <c r="FH141" s="31" t="e">
        <f>(IF(OR(Hypothèses!$B$4=17,Hypothèses!$B$4=18,Hypothèses!$B$4=19,Hypothèses!$B$4=20),
IF($D141="Pressio.",
IF(OR($E141=3,$E141=1,$E141=4),(PI()*FH$12^2)/4*(FD141*$W141*1000)/($H141*$B$5),(PI()*FH$12^2)/4*(FD141*$W141*1000)/($G141*$B$5)),
IF($D141="Pénétro.",
IF(OR($E141=4,$E141=1,$E141=5),(PI()*FH$12^2)/4*(FD141*$W141*1000)/($H141*$B$5),(PI()*FH$12^2)/4*(FD141*$W141*1000)/($G141*$B$5)))),
IF($D141="Pressio.",
IF($E141=3,(PI()*FH$12^2)/4*(FD141*$W141*1000)/($H141*$B$5),(PI()*FH$12^2)/4*(FD141*$W141*1000)/($G141*$B$5)),
IF($D141="Pénétro.",
IF($E141=4,(PI()*FH$12^2)/4*(FD141*$W141*1000)/($H141*$B$5),(PI()*FH$12^2)/4*(FD141*$W141*1000)/($G141*$B$5))))))/10</f>
        <v>#N/A</v>
      </c>
      <c r="FI141" s="102" t="e">
        <f>(VLOOKUP($B$3,'Coeff EC7'!$T$39:$X$59,2,0)*FG141+VLOOKUP($B$3,'Coeff EC7'!$T$65:$X$85,2,0)*Model0.1C!FH141)/1.1</f>
        <v>#N/A</v>
      </c>
      <c r="FJ141" s="102" t="e">
        <f>(VLOOKUP($B$3,'Coeff EC7'!$T$39:$X$59,3,0)*FG141+VLOOKUP($B$3,'Coeff EC7'!$T$65:$X$85,3,0)*Model0.1C!FH141)/0.9</f>
        <v>#N/A</v>
      </c>
      <c r="FK141" s="102" t="e">
        <f t="shared" si="198"/>
        <v>#N/A</v>
      </c>
      <c r="FL141" s="102" t="e">
        <f t="shared" si="199"/>
        <v>#N/A</v>
      </c>
      <c r="FM141" s="414" t="e">
        <f>IF(FM140=0,0,IF(AND(FI141&gt;charge_ELS_quasi,FJ141&gt;Charge_ELS_freq,FK141&gt;charge_ELU,FL141&gt;charge_ELA,$B141&gt;NDC!$H$22-0.1+MIN(3*$FM$12,1.5)),0,1))</f>
        <v>#N/A</v>
      </c>
    </row>
    <row r="142" spans="1:169">
      <c r="A142" s="96">
        <f t="shared" si="167"/>
        <v>87.100000000000733</v>
      </c>
      <c r="B142" s="97">
        <v>12.9</v>
      </c>
      <c r="C142" s="81">
        <f>IF(B142&lt;=Hypothèses!$C$7,Hypothèses!$A$7,IF(B142&lt;=Hypothèses!$C$8,Hypothèses!$A$8,IF(B142&lt;=Hypothèses!$C$9,Hypothèses!$A$9,IF(B142&lt;=Hypothèses!$C$10,Hypothèses!$A$10,IF(B142&lt;=Hypothèses!$C$11,Hypothèses!$A$11,IF(B142&lt;=Hypothèses!$C$12,Hypothèses!$A$12,IF(B142&lt;=Hypothèses!$C$13,Hypothèses!$A$13,IF(B142&lt;=Hypothèses!$C$14,Hypothèses!$A$14,IF(B142&lt;=Hypothèses!$C$15,Hypothèses!$A$15,IF(B142&lt;=Hypothèses!$C$16,Hypothèses!$A$16,IF(B142&lt;=Hypothèses!$C$17,Hypothèses!$A$17,IF(B142&lt;=Hypothèses!$C$18,Hypothèses!$A$18,C141))))))))))))</f>
        <v>11</v>
      </c>
      <c r="D142" s="82" t="str">
        <f>IF(B142&lt;=Hypothèses!$C$7,Hypothèses!$R$7,IF(B142&lt;=Hypothèses!$C$8,Hypothèses!$R$8,IF(B142&lt;=Hypothèses!$C$9,Hypothèses!$R$9,IF(B142&lt;=Hypothèses!$C$10,Hypothèses!$R$10,IF(B142&lt;=Hypothèses!$C$11,Hypothèses!$R$11,IF(B142&lt;=Hypothèses!$C$12,Hypothèses!$R$12,IF(B142&lt;=Hypothèses!$C$13,Hypothèses!$R$13,IF(B142&lt;=Hypothèses!$C$14,Hypothèses!$R$14,IF(B142&lt;=Hypothèses!$C$15,Hypothèses!$R$15,IF(B142&lt;=Hypothèses!$C$16,Hypothèses!$R$16,IF(B142&lt;=Hypothèses!$C$17,Hypothèses!$R$17,IF(B142&lt;=Hypothèses!$C$18,Hypothèses!$R$18,D141))))))))))))</f>
        <v>Pressio.</v>
      </c>
      <c r="E142" s="82" t="e">
        <f>IF(B142&lt;=Hypothèses!$C$7,Hypothèses!$G$7,IF(B142&lt;=Hypothèses!$C$8,Hypothèses!$G$8,IF(B142&lt;=Hypothèses!$C$9,Hypothèses!$G$9,IF(B142&lt;=Hypothèses!$C$10,Hypothèses!$G$10,IF(B142&lt;=Hypothèses!$C$11,Hypothèses!$G$11,IF(B142&lt;=Hypothèses!$C$12,Hypothèses!$G$12,IF(B142&lt;=Hypothèses!$C$13,Hypothèses!$G$13,IF(B142&lt;=Hypothèses!$C$14,Hypothèses!$G$14,IF(B142&lt;=Hypothèses!$C$15,Hypothèses!$G$15,IF(B142&lt;=Hypothèses!$C$16,Hypothèses!$G$16,IF(B142&lt;=Hypothèses!$C$17,Hypothèses!$G$17,IF(B142&lt;=Hypothèses!$C$18,Hypothèses!$G$18,E141))))))))))))</f>
        <v>#N/A</v>
      </c>
      <c r="F142" s="82" t="str">
        <f>IF(B142&lt;=Hypothèses!$C$7,Hypothèses!$F$7,IF(B142&lt;=Hypothèses!$C$8,Hypothèses!$F$8,IF(B142&lt;=Hypothèses!$C$9,Hypothèses!$F$9,IF(B142&lt;=Hypothèses!$C$10,Hypothèses!$F$10,IF(B142&lt;=Hypothèses!$C$11,Hypothèses!$F$11,IF(B142&lt;=Hypothèses!$C$12,Hypothèses!$F$12,IF(B142&lt;=Hypothèses!$C$13,Hypothèses!$F$13,IF(B142&lt;=Hypothèses!$C$14,Hypothèses!$F$14,IF(B142&lt;=Hypothèses!$C$15,Hypothèses!$F$15,IF(B142&lt;=Hypothèses!$C$16,Hypothèses!$F$16,IF(B142&lt;=Hypothèses!$C$17,Hypothèses!$F$17,IF(B142&lt;=Hypothèses!$C$18,Hypothèses!$F$18,F141))))))))))))</f>
        <v/>
      </c>
      <c r="G142" s="91">
        <f t="array" ref="G142">INDEX('Coeff EC7'!$U$7:$X$27,
MATCH(Model0.1C!$B$3,'Coeff EC7'!$T$7:$T$27,0),
MATCH(Model0.1C!$D142&amp;Model0.1C!$B$4,
'Coeff EC7'!$U$6:$X$6&amp;
'Coeff EC7'!$U$5:$X$5,0))</f>
        <v>1.1499999999999999</v>
      </c>
      <c r="H142" s="91">
        <f t="array" ref="H142">INDEX('Coeff EC7'!$Y$7:$AB$27,
MATCH(Model0.1C!$B$3,'Coeff EC7'!$T$7:$T$27,0),
MATCH(Model0.1C!$D142&amp;Model0.1C!$B$4,
'Coeff EC7'!$Y$6:$AB$6&amp;
'Coeff EC7'!$Y$5:$AB$5,0))</f>
        <v>1.4</v>
      </c>
      <c r="I142" s="83" t="e">
        <f>IF(B142&lt;=Hypothèses!$C$7,Hypothèses!$P$7,IF(B142&lt;=Hypothèses!$C$8,Hypothèses!$P$8,IF(B142&lt;=Hypothèses!$C$9,Hypothèses!$P$9,IF(B142&lt;=Hypothèses!$C$10,Hypothèses!$P$10,IF(B142&lt;=Hypothèses!$C$11,Hypothèses!$P$11,IF(B142&lt;=Hypothèses!$C$12,Hypothèses!$P$12,IF(B142&lt;=Hypothèses!$C$13,Hypothèses!$P$13,IF(B142&lt;=Hypothèses!$C$14,Hypothèses!$P$14,IF(B142&lt;=Hypothèses!$C$15,Hypothèses!$P$15,IF(B142&lt;=Hypothèses!$C$16,Hypothèses!$P$16,IF(B142&lt;=Hypothèses!$C$17,Hypothèses!$P$17,IF(B142&lt;=Hypothèses!$C$18,Hypothèses!$P$18,I141))))))))))))</f>
        <v>#N/A</v>
      </c>
      <c r="J142" s="91" t="e">
        <f t="array" ref="J142">INDEX('Coeff EC7'!$D$33:$Q$33,1,MATCH(D142&amp;E142,'Coeff EC7'!$D$31:$Q$31&amp;'Coeff EC7'!$D$32:$Q$32,0))</f>
        <v>#N/A</v>
      </c>
      <c r="K142" s="91" t="e">
        <f t="array" ref="K142">INDEX('Coeff EC7'!$D$34:$Q$34,1,MATCH(D142&amp;E142,'Coeff EC7'!$D$31:$Q$31&amp;'Coeff EC7'!$D$32:$Q$32,0))</f>
        <v>#N/A</v>
      </c>
      <c r="L142" s="91" t="e">
        <f t="array" ref="L142">INDEX('Coeff EC7'!$D$35:$Q$35,1,MATCH(D142&amp;E142,'Coeff EC7'!$D$31:$Q$31&amp;'Coeff EC7'!$D$32:$Q$32,0))</f>
        <v>#N/A</v>
      </c>
      <c r="M142" s="98" t="e">
        <f t="shared" si="231"/>
        <v>#N/A</v>
      </c>
      <c r="N142" s="99" t="e">
        <f t="array" ref="N142">INDEX('Coeff EC7'!$D$7:$Q$27,MATCH($B$3,'Coeff EC7'!$C$7:$C$27,0),MATCH(D142&amp;E142,'Coeff EC7'!$D$5:$Q$5&amp;'Coeff EC7'!$D$6:$Q$6,0))</f>
        <v>#N/A</v>
      </c>
      <c r="O142" s="99" t="e">
        <f t="array" ref="O142">INDEX('Coeff EC7'!$D$41:$Q$61,MATCH($B$3,'Coeff EC7'!$C$41:$C$61,0),MATCH(D142&amp;E142,'Coeff EC7'!$D$39:$Q$39&amp;'Coeff EC7'!$D$40:$Q$40,0))</f>
        <v>#N/A</v>
      </c>
      <c r="P142" s="30" t="e">
        <f t="shared" si="168"/>
        <v>#N/A</v>
      </c>
      <c r="Q142" s="100" t="e">
        <f t="shared" ref="Q142:Q205" si="233">MIN(O142,P142)*$B$10</f>
        <v>#N/A</v>
      </c>
      <c r="R142" s="86" t="b">
        <f t="shared" ref="R142:R205" si="234">IF($B142&lt;=$P$4, $B142, IF($B142&lt;=$P$5, $B142-$P$4, IF($B142&lt;=$P$6, $B142-$P$5, IF($B142&lt;=$P$7,$B142-$P$6, IF($B142&lt;=$P$8, $B142-$P$7, IF($B142&lt;=$P$9, $B142-$P$8, IF($B142&lt;=$P$10,$B142-$P$9)))))))</f>
        <v>0</v>
      </c>
      <c r="S142" s="86">
        <f t="shared" si="232"/>
        <v>0.5</v>
      </c>
      <c r="T142" s="86">
        <f t="shared" ref="T142:T205" si="235">MIN(S142,R142)</f>
        <v>0.5</v>
      </c>
      <c r="U142" s="30" t="e">
        <f t="shared" ca="1" si="169"/>
        <v>#DIV/0!</v>
      </c>
      <c r="V142" s="85" t="str">
        <f>IF(B142&lt;=Hypothèses!$V$7,Hypothèses!$W$7,IF(B142&lt;=Hypothèses!$V$8,Hypothèses!$W$8,IF(B142&lt;=Hypothèses!$V$9,Hypothèses!$W$9,IF(B142&lt;=Hypothèses!$V$10,Hypothèses!$W$10,IF(B142&lt;=Hypothèses!$V$11,Hypothèses!$W$11,IF(B142&lt;=Hypothèses!$V$12,Hypothèses!$W$12,IF(B142&lt;=Hypothèses!$V$13,Hypothèses!$W$13,IF(B142&lt;=Hypothèses!$V$14,Hypothèses!$W$14,IF(B142&lt;=Hypothèses!$V$15,Hypothèses!$W$15,IF(B142&lt;=Hypothèses!$V$16,Hypothèses!$W$16,IF(B142&lt;=Hypothèses!$V$17,Hypothèses!$W$17,IF(B142&lt;=Hypothèses!$V$18,Hypothèses!$W$18,""))))))))))))</f>
        <v/>
      </c>
      <c r="W142" s="87" t="e">
        <f t="shared" ca="1" si="216"/>
        <v>#DIV/0!</v>
      </c>
      <c r="X142" s="88" t="str">
        <f>IF(B142&lt;=Hypothèses!$V$7,Hypothèses!$X$7,IF(B142&lt;=Hypothèses!$V$8,Hypothèses!$X$8,IF(B142&lt;=Hypothèses!$V$9,Hypothèses!$X$9,IF(B142&lt;=Hypothèses!$V$10,Hypothèses!$X$10,IF(B142&lt;=Hypothèses!$V$11,Hypothèses!$X$11,IF(B142&lt;=Hypothèses!$V$12,Hypothèses!$X$12,IF(B142&lt;=Hypothèses!$V$13,Hypothèses!$X$13,IF(B142&lt;=Hypothèses!$V$14,Hypothèses!$X$14,IF(B142&lt;=Hypothèses!$V$15,Hypothèses!$X$15,IF(B142&lt;=Hypothèses!$V$16,Hypothèses!$X$16,IF(B142&lt;=Hypothèses!$U$17,Hypothèses!$W$17,IF(B142&lt;=Hypothèses!$U$18,Hypothèses!$W$18,""))))))))))))</f>
        <v/>
      </c>
      <c r="Y142" s="95" t="e">
        <f t="shared" ref="Y142:Y205" ca="1" si="236">IF($B142&lt;10*$AI$12,0.1/W142*SUM(OFFSET(F142,-10*$B142+1,0,10*$B142,1)),0.1/W142*SUM(OFFSET(F142,-100*$AI$12+1,0,100*$AI$12,1)))</f>
        <v>#DIV/0!</v>
      </c>
      <c r="Z142" s="101" t="e">
        <f t="shared" ref="Z142:Z205" si="237">IF($I142=0,0,
IF(Y142&gt;5*AD$12,$I142,
IF($D142="Pressio.",1+($I142-1)*(Y142/AD$12)/5,
IF($D142="Pénétro.",IF($E142=1,0.3+($I142-0.3)*(Y142/AD$12)/5,
IF($E142=2,0.2+($I142-0.2)*(Y142/AD$12)/5,
IF($E142=3,0.1+($I142-0.1)*(Y142/AD$12)/5,
0.15+($I142-0.15)*(Y142/AD$12)/5)))))))</f>
        <v>#N/A</v>
      </c>
      <c r="AA142" s="91" t="e">
        <f t="shared" ref="AA142:AA205" si="238">IF($X142&lt;&gt;"",$X142,Z142)</f>
        <v>#N/A</v>
      </c>
      <c r="AB142" s="30" t="e">
        <f t="shared" si="200"/>
        <v>#N/A</v>
      </c>
      <c r="AC142" s="30" t="e">
        <f t="shared" si="201"/>
        <v>#N/A</v>
      </c>
      <c r="AD142" s="31" t="e">
        <f>IF(OR(Hypothèses!$B$4=17,Hypothèses!$B$4=18,Hypothèses!$B$4=19,Hypothèses!$B$4=20),
IF($D142="Pressio.",
IF(OR($E142=3,$E142=1,$E142=4),AC142,AB142),
IF($D142="Pénétro.",
IF(OR($E142=3,$E142=1,$E142=4),AC142,AB142))),IF($D142="Pressio.",
IF($E142=3,AC142,AB142),
IF($D142="Pénétro.",
IF($E142=4,AC142,AB142))))</f>
        <v>#N/A</v>
      </c>
      <c r="AE142" s="31" t="e">
        <f>(IF(OR(Hypothèses!$B$4=17,Hypothèses!$B$4=18,Hypothèses!$B$4=19,Hypothèses!$B$4=20),
IF($D142="Pressio.",
IF(OR($E142=3,$E142=1,$E142=4),(PI()*AE$12^2)/4*(AA142*$W142*1000)/($H142*$B$5),(PI()*AE$12^2)/4*(AA142*$W142*1000)/($G142*$B$5)),
IF($D142="Pénétro.",
IF(OR($E142=4,$E142=1,$E142=5),(PI()*AE$12^2)/4*(AA142*$W142*1000)/($H142*$B$5),(PI()*AE$12^2)/4*(AA142*$W142*1000)/($G142*$B$5)))),
IF($D142="Pressio.",
IF($E142=3,(PI()*AE$12^2)/4*(AA142*$W142*1000)/($H142*$B$5),(PI()*AE$12^2)/4*(AA142*$W142*1000)/($G142*$B$5)),
IF($D142="Pénétro.",
IF($E142=4,(PI()*AE$12^2)/4*(AA142*$W142*1000)/($H142*$B$5),(PI()*AE$12^2)/4*(AA142*$W142*1000)/($G142*$B$5))))))/10</f>
        <v>#N/A</v>
      </c>
      <c r="AF142" s="102" t="e">
        <f>(VLOOKUP($B$3,'Coeff EC7'!$T$39:$X$59,2,0)*AD142+VLOOKUP($B$3,'Coeff EC7'!$T$65:$X$85,2,0)*Model0.1C!AE142)/1.1</f>
        <v>#N/A</v>
      </c>
      <c r="AG142" s="102" t="e">
        <f>(VLOOKUP($B$3,'Coeff EC7'!$T$39:$X$59,3,0)*AD142+VLOOKUP($B$3,'Coeff EC7'!$T$65:$X$85,3,0)*Model0.1C!AE142)/0.9</f>
        <v>#N/A</v>
      </c>
      <c r="AH142" s="102" t="e">
        <f t="shared" ref="AH142:AH205" si="239">AD142/1.1+AE142/1.1</f>
        <v>#N/A</v>
      </c>
      <c r="AI142" s="102" t="e">
        <f t="shared" ref="AI142:AI205" si="240">AD142+AE142</f>
        <v>#N/A</v>
      </c>
      <c r="AJ142" s="414" t="e">
        <f>IF(AJ141=0,0,IF(AND(AF142&gt;charge_ELS_quasi,AG142&gt;Charge_ELS_freq,AH142&gt;charge_ELU,AI142&gt;charge_ELA,$B142&gt;NDC!$H$22-0.1+MIN(3*$AJ$12,1.5)),0,1))</f>
        <v>#N/A</v>
      </c>
      <c r="AK142" s="86" t="b">
        <f t="shared" ref="AK142:AK205" si="241">IF($B142&lt;=$P$4, $B142, IF($B142&lt;=$P$5, $B142-$P$4, IF($B142&lt;=$P$6, $B142-$P$5, IF($B142&lt;=$P$7,$B142-$P$6, IF($B142&lt;=$P$8, $B142-$P$7, IF($B142&lt;=$P$9, $B142-$P$8, IF($B142&lt;=$P$10,$B142-$P$9)))))))</f>
        <v>0</v>
      </c>
      <c r="AL142" s="86">
        <f t="shared" si="170"/>
        <v>0.5</v>
      </c>
      <c r="AM142" s="86">
        <f t="shared" ref="AM142:AM205" si="242">MIN(AL142,AK142)</f>
        <v>0.5</v>
      </c>
      <c r="AN142" s="30" t="e">
        <f t="shared" ca="1" si="171"/>
        <v>#DIV/0!</v>
      </c>
      <c r="AO142" s="85" t="e">
        <f ca="1">IF(U142&lt;=Hypothèses!$V$7,Hypothèses!$W$7,IF(U142&lt;=Hypothèses!$V$8,Hypothèses!$W$8,IF(U142&lt;=Hypothèses!$V$9,Hypothèses!$W$9,IF(U142&lt;=Hypothèses!$V$10,Hypothèses!$W$10,IF(U142&lt;=Hypothèses!$V$11,Hypothèses!$W$11,IF(U142&lt;=Hypothèses!$V$12,Hypothèses!$W$12,IF(U142&lt;=Hypothèses!$V$13,Hypothèses!$W$13,IF(U142&lt;=Hypothèses!$V$14,Hypothèses!$W$14,IF(U142&lt;=Hypothèses!$V$15,Hypothèses!$W$15,IF(U142&lt;=Hypothèses!$V$16,Hypothèses!$W$16,IF(U142&lt;=Hypothèses!$V$17,Hypothèses!$W$17,IF(U142&lt;=Hypothèses!$V$18,Hypothèses!$W$18,""))))))))))))</f>
        <v>#DIV/0!</v>
      </c>
      <c r="AP142" s="87" t="e">
        <f t="shared" ca="1" si="217"/>
        <v>#DIV/0!</v>
      </c>
      <c r="AQ142" s="88" t="e">
        <f ca="1">IF(U142&lt;=Hypothèses!$V$7,Hypothèses!$X$7,IF(U142&lt;=Hypothèses!$V$8,Hypothèses!$X$8,IF(U142&lt;=Hypothèses!$V$9,Hypothèses!$X$9,IF(U142&lt;=Hypothèses!$V$10,Hypothèses!$X$10,IF(U142&lt;=Hypothèses!$V$11,Hypothèses!$X$11,IF(U142&lt;=Hypothèses!$V$12,Hypothèses!$X$12,IF(U142&lt;=Hypothèses!$V$13,Hypothèses!$X$13,IF(U142&lt;=Hypothèses!$V$14,Hypothèses!$X$14,IF(U142&lt;=Hypothèses!$V$15,Hypothèses!$X$15,IF(U142&lt;=Hypothèses!$V$16,Hypothèses!$X$16,IF(U142&lt;=Hypothèses!$U$17,Hypothèses!$W$17,IF(U142&lt;=Hypothèses!$U$18,Hypothèses!$W$18,""))))))))))))</f>
        <v>#DIV/0!</v>
      </c>
      <c r="AR142" s="95" t="e">
        <f t="shared" ca="1" si="172"/>
        <v>#DIV/0!</v>
      </c>
      <c r="AS142" s="101" t="e">
        <f t="shared" si="224"/>
        <v>#N/A</v>
      </c>
      <c r="AT142" s="91" t="e">
        <f t="shared" ref="AT142:AT205" si="243">IF($X142&lt;&gt;"",$X142,AS142)</f>
        <v>#N/A</v>
      </c>
      <c r="AU142" s="30" t="e">
        <f t="shared" si="202"/>
        <v>#N/A</v>
      </c>
      <c r="AV142" s="30" t="e">
        <f t="shared" si="203"/>
        <v>#N/A</v>
      </c>
      <c r="AW142" s="31" t="e">
        <f>IF(OR(Hypothèses!$B$4=17,Hypothèses!$B$4=18,Hypothèses!$B$4=19,Hypothèses!$B$4=20),
IF($D142="Pressio.",
IF(OR($E142=3,$E142=1,$E142=4),AV142,AU142),
IF($D142="Pénétro.",
IF(OR($E142=3,$E142=1,$E142=4),AV142,AU142))),IF($D142="Pressio.",
IF($E142=3,AV142,AU142),
IF($D142="Pénétro.",
IF($E142=4,AV142,AU142))))</f>
        <v>#N/A</v>
      </c>
      <c r="AX142" s="31" t="e">
        <f>(IF(OR(Hypothèses!$B$4=17,Hypothèses!$B$4=18,Hypothèses!$B$4=19,Hypothèses!$B$4=20),
IF($D142="Pressio.",
IF(OR($E142=3,$E142=1,$E142=4),(PI()*AX$12^2)/4*(AT142*$W142*1000)/($H142*$B$5),(PI()*AX$12^2)/4*(AT142*$W142*1000)/($G142*$B$5)),
IF($D142="Pénétro.",
IF(OR($E142=4,$E142=1,$E142=5),(PI()*AX$12^2)/4*(AT142*$W142*1000)/($H142*$B$5),(PI()*AX$12^2)/4*(AT142*$W142*1000)/($G142*$B$5)))),
IF($D142="Pressio.",
IF($E142=3,(PI()*AX$12^2)/4*(AT142*$W142*1000)/($H142*$B$5),(PI()*AX$12^2)/4*(AT142*$W142*1000)/($G142*$B$5)),
IF($D142="Pénétro.",
IF($E142=4,(PI()*AX$12^2)/4*(AT142*$W142*1000)/($H142*$B$5),(PI()*AX$12^2)/4*(AT142*$W142*1000)/($G142*$B$5))))))/10</f>
        <v>#N/A</v>
      </c>
      <c r="AY142" s="102" t="e">
        <f>(VLOOKUP($B$3,'Coeff EC7'!$T$39:$X$59,2,0)*AW142+VLOOKUP($B$3,'Coeff EC7'!$T$65:$X$85,2,0)*Model0.1C!AX142)/1.1</f>
        <v>#N/A</v>
      </c>
      <c r="AZ142" s="102" t="e">
        <f>(VLOOKUP($B$3,'Coeff EC7'!$T$39:$X$59,3,0)*AW142+VLOOKUP($B$3,'Coeff EC7'!$T$65:$X$85,3,0)*Model0.1C!AX142)/0.9</f>
        <v>#N/A</v>
      </c>
      <c r="BA142" s="102" t="e">
        <f t="shared" si="173"/>
        <v>#N/A</v>
      </c>
      <c r="BB142" s="102" t="e">
        <f t="shared" si="174"/>
        <v>#N/A</v>
      </c>
      <c r="BC142" s="414" t="e">
        <f>IF(BC141=0,0,IF(AND(AY142&gt;charge_ELS_quasi,AZ142&gt;Charge_ELS_freq,BA142&gt;charge_ELU,BB142&gt;charge_ELA,$B142&gt;NDC!$H$22-0.1+MIN(3*$BC$12,1.5)),0,1))</f>
        <v>#N/A</v>
      </c>
      <c r="BD142" s="86" t="b">
        <f t="shared" ref="BD142:BD205" si="244">IF($B142&lt;=$P$4, $B142, IF($B142&lt;=$P$5, $B142-$P$4, IF($B142&lt;=$P$6, $B142-$P$5, IF($B142&lt;=$P$7,$B142-$P$6, IF($B142&lt;=$P$8, $B142-$P$7, IF($B142&lt;=$P$9, $B142-$P$8, IF($B142&lt;=$P$10,$B142-$P$9)))))))</f>
        <v>0</v>
      </c>
      <c r="BE142" s="86">
        <f t="shared" si="175"/>
        <v>0.5</v>
      </c>
      <c r="BF142" s="86">
        <f t="shared" ref="BF142:BF205" si="245">MIN(BE142,BD142)</f>
        <v>0.5</v>
      </c>
      <c r="BG142" s="30" t="e">
        <f t="shared" ca="1" si="176"/>
        <v>#DIV/0!</v>
      </c>
      <c r="BH142" s="85" t="e">
        <f ca="1">IF(AN142&lt;=Hypothèses!$V$7,Hypothèses!$W$7,IF(AN142&lt;=Hypothèses!$V$8,Hypothèses!$W$8,IF(AN142&lt;=Hypothèses!$V$9,Hypothèses!$W$9,IF(AN142&lt;=Hypothèses!$V$10,Hypothèses!$W$10,IF(AN142&lt;=Hypothèses!$V$11,Hypothèses!$W$11,IF(AN142&lt;=Hypothèses!$V$12,Hypothèses!$W$12,IF(AN142&lt;=Hypothèses!$V$13,Hypothèses!$W$13,IF(AN142&lt;=Hypothèses!$V$14,Hypothèses!$W$14,IF(AN142&lt;=Hypothèses!$V$15,Hypothèses!$W$15,IF(AN142&lt;=Hypothèses!$V$16,Hypothèses!$W$16,IF(AN142&lt;=Hypothèses!$V$17,Hypothèses!$W$17,IF(AN142&lt;=Hypothèses!$V$18,Hypothèses!$W$18,""))))))))))))</f>
        <v>#DIV/0!</v>
      </c>
      <c r="BI142" s="87" t="e">
        <f t="shared" ca="1" si="218"/>
        <v>#DIV/0!</v>
      </c>
      <c r="BJ142" s="88" t="e">
        <f ca="1">IF(AN142&lt;=Hypothèses!$V$7,Hypothèses!$X$7,IF(AN142&lt;=Hypothèses!$V$8,Hypothèses!$X$8,IF(AN142&lt;=Hypothèses!$V$9,Hypothèses!$X$9,IF(AN142&lt;=Hypothèses!$V$10,Hypothèses!$X$10,IF(AN142&lt;=Hypothèses!$V$11,Hypothèses!$X$11,IF(AN142&lt;=Hypothèses!$V$12,Hypothèses!$X$12,IF(AN142&lt;=Hypothèses!$V$13,Hypothèses!$X$13,IF(AN142&lt;=Hypothèses!$V$14,Hypothèses!$X$14,IF(AN142&lt;=Hypothèses!$V$15,Hypothèses!$X$15,IF(AN142&lt;=Hypothèses!$V$16,Hypothèses!$X$16,IF(AN142&lt;=Hypothèses!$U$17,Hypothèses!$W$17,IF(AN142&lt;=Hypothèses!$U$18,Hypothèses!$W$18,""))))))))))))</f>
        <v>#DIV/0!</v>
      </c>
      <c r="BK142" s="95" t="e">
        <f t="shared" ca="1" si="177"/>
        <v>#DIV/0!</v>
      </c>
      <c r="BL142" s="101" t="e">
        <f t="shared" si="225"/>
        <v>#N/A</v>
      </c>
      <c r="BM142" s="91" t="e">
        <f t="shared" ref="BM142:BM205" si="246">IF($X142&lt;&gt;"",$X142,BL142)</f>
        <v>#N/A</v>
      </c>
      <c r="BN142" s="30" t="e">
        <f t="shared" si="204"/>
        <v>#N/A</v>
      </c>
      <c r="BO142" s="30" t="e">
        <f t="shared" si="205"/>
        <v>#N/A</v>
      </c>
      <c r="BP142" s="31" t="e">
        <f>IF(OR(Hypothèses!$B$4=17,Hypothèses!$B$4=18,Hypothèses!$B$4=19,Hypothèses!$B$4=20),
IF($D142="Pressio.",
IF(OR($E142=3,$E142=1,$E142=4),BO142,BN142),
IF($D142="Pénétro.",
IF(OR($E142=3,$E142=1,$E142=4),BO142,BN142))),IF($D142="Pressio.",
IF($E142=3,BO142,BN142),
IF($D142="Pénétro.",
IF($E142=4,BO142,BN142))))</f>
        <v>#N/A</v>
      </c>
      <c r="BQ142" s="31" t="e">
        <f>(IF(OR(Hypothèses!$B$4=17,Hypothèses!$B$4=18,Hypothèses!$B$4=19,Hypothèses!$B$4=20),
IF($D142="Pressio.",
IF(OR($E142=3,$E142=1,$E142=4),(PI()*BQ$12^2)/4*(BM142*$W142*1000)/($H142*$B$5),(PI()*BQ$12^2)/4*(BM142*$W142*1000)/($G142*$B$5)),
IF($D142="Pénétro.",
IF(OR($E142=4,$E142=1,$E142=5),(PI()*BQ$12^2)/4*(BM142*$W142*1000)/($H142*$B$5),(PI()*BQ$12^2)/4*(BM142*$W142*1000)/($G142*$B$5)))),
IF($D142="Pressio.",
IF($E142=3,(PI()*BQ$12^2)/4*(BM142*$W142*1000)/($H142*$B$5),(PI()*BQ$12^2)/4*(BM142*$W142*1000)/($G142*$B$5)),
IF($D142="Pénétro.",
IF($E142=4,(PI()*BQ$12^2)/4*(BM142*$W142*1000)/($H142*$B$5),(PI()*BQ$12^2)/4*(BM142*$W142*1000)/($G142*$B$5))))))/10</f>
        <v>#N/A</v>
      </c>
      <c r="BR142" s="102" t="e">
        <f>(VLOOKUP($B$3,'Coeff EC7'!$T$39:$X$59,2,0)*BP142+VLOOKUP($B$3,'Coeff EC7'!$T$65:$X$85,2,0)*Model0.1C!BQ142)/1.1</f>
        <v>#N/A</v>
      </c>
      <c r="BS142" s="102" t="e">
        <f>(VLOOKUP($B$3,'Coeff EC7'!$T$39:$X$59,3,0)*BP142+VLOOKUP($B$3,'Coeff EC7'!$T$65:$X$85,3,0)*Model0.1C!BQ142)/0.9</f>
        <v>#N/A</v>
      </c>
      <c r="BT142" s="102" t="e">
        <f t="shared" si="178"/>
        <v>#N/A</v>
      </c>
      <c r="BU142" s="102" t="e">
        <f t="shared" si="179"/>
        <v>#N/A</v>
      </c>
      <c r="BV142" s="414" t="e">
        <f>IF(BV141=0,0,IF(AND(BR142&gt;charge_ELS_quasi,BS142&gt;Charge_ELS_freq,BT142&gt;charge_ELU,BU142&gt;charge_ELA,$B142&gt;NDC!$H$22-0.1+MIN(3*$BV$12,1.5)),0,1))</f>
        <v>#N/A</v>
      </c>
      <c r="BW142" s="86" t="b">
        <f t="shared" ref="BW142:BW205" si="247">IF($B142&lt;=$P$4, $B142, IF($B142&lt;=$P$5, $B142-$P$4, IF($B142&lt;=$P$6, $B142-$P$5, IF($B142&lt;=$P$7,$B142-$P$6, IF($B142&lt;=$P$8, $B142-$P$7, IF($B142&lt;=$P$9, $B142-$P$8, IF($B142&lt;=$P$10,$B142-$P$9)))))))</f>
        <v>0</v>
      </c>
      <c r="BX142" s="86">
        <f t="shared" ref="BX142:BX205" si="248">MAX($CK$12/2,0.5)</f>
        <v>0.5</v>
      </c>
      <c r="BY142" s="86">
        <f t="shared" ref="BY142:BY205" si="249">MIN(BX142,BW142)</f>
        <v>0.5</v>
      </c>
      <c r="BZ142" s="30" t="e">
        <f t="shared" ca="1" si="180"/>
        <v>#DIV/0!</v>
      </c>
      <c r="CA142" s="85" t="e">
        <f ca="1">IF(BG142&lt;=Hypothèses!$V$7,Hypothèses!$W$7,IF(BG142&lt;=Hypothèses!$V$8,Hypothèses!$W$8,IF(BG142&lt;=Hypothèses!$V$9,Hypothèses!$W$9,IF(BG142&lt;=Hypothèses!$V$10,Hypothèses!$W$10,IF(BG142&lt;=Hypothèses!$V$11,Hypothèses!$W$11,IF(BG142&lt;=Hypothèses!$V$12,Hypothèses!$W$12,IF(BG142&lt;=Hypothèses!$V$13,Hypothèses!$W$13,IF(BG142&lt;=Hypothèses!$V$14,Hypothèses!$W$14,IF(BG142&lt;=Hypothèses!$V$15,Hypothèses!$W$15,IF(BG142&lt;=Hypothèses!$V$16,Hypothèses!$W$16,IF(BG142&lt;=Hypothèses!$V$17,Hypothèses!$W$17,IF(BG142&lt;=Hypothèses!$V$18,Hypothèses!$W$18,""))))))))))))</f>
        <v>#DIV/0!</v>
      </c>
      <c r="CB142" s="87" t="e">
        <f t="shared" ca="1" si="219"/>
        <v>#DIV/0!</v>
      </c>
      <c r="CC142" s="88" t="e">
        <f ca="1">IF(BG142&lt;=Hypothèses!$V$7,Hypothèses!$X$7,IF(BG142&lt;=Hypothèses!$V$8,Hypothèses!$X$8,IF(BG142&lt;=Hypothèses!$V$9,Hypothèses!$X$9,IF(BG142&lt;=Hypothèses!$V$10,Hypothèses!$X$10,IF(BG142&lt;=Hypothèses!$V$11,Hypothèses!$X$11,IF(BG142&lt;=Hypothèses!$V$12,Hypothèses!$X$12,IF(BG142&lt;=Hypothèses!$V$13,Hypothèses!$X$13,IF(BG142&lt;=Hypothèses!$V$14,Hypothèses!$X$14,IF(BG142&lt;=Hypothèses!$V$15,Hypothèses!$X$15,IF(BG142&lt;=Hypothèses!$V$16,Hypothèses!$X$16,IF(BG142&lt;=Hypothèses!$U$17,Hypothèses!$W$17,IF(BG142&lt;=Hypothèses!$U$18,Hypothèses!$W$18,""))))))))))))</f>
        <v>#DIV/0!</v>
      </c>
      <c r="CD142" s="95" t="e">
        <f t="shared" ca="1" si="181"/>
        <v>#DIV/0!</v>
      </c>
      <c r="CE142" s="101" t="e">
        <f t="shared" si="226"/>
        <v>#N/A</v>
      </c>
      <c r="CF142" s="91" t="e">
        <f t="shared" ref="CF142:CF205" si="250">IF($X142&lt;&gt;"",$X142,CE142)</f>
        <v>#N/A</v>
      </c>
      <c r="CG142" s="30" t="e">
        <f t="shared" si="206"/>
        <v>#N/A</v>
      </c>
      <c r="CH142" s="30" t="e">
        <f t="shared" si="207"/>
        <v>#N/A</v>
      </c>
      <c r="CI142" s="31" t="e">
        <f>IF(OR(Hypothèses!$B$4=17,Hypothèses!$B$4=18,Hypothèses!$B$4=19,Hypothèses!$B$4=20),
IF($D142="Pressio.",
IF(OR($E142=3,$E142=1,$E142=4),CH142,CG142),
IF($D142="Pénétro.",
IF(OR($E142=3,$E142=1,$E142=4),CH142,CG142))),IF($D142="Pressio.",
IF($E142=3,CH142,CG142),
IF($D142="Pénétro.",
IF($E142=4,CH142,CG142))))</f>
        <v>#N/A</v>
      </c>
      <c r="CJ142" s="31" t="e">
        <f>(IF(OR(Hypothèses!$B$4=17,Hypothèses!$B$4=18,Hypothèses!$B$4=19,Hypothèses!$B$4=20),
IF($D142="Pressio.",
IF(OR($E142=3,$E142=1,$E142=4),(PI()*CJ$12^2)/4*(CF142*$W142*1000)/($H142*$B$5),(PI()*CJ$12^2)/4*(CF142*$W142*1000)/($G142*$B$5)),
IF($D142="Pénétro.",
IF(OR($E142=4,$E142=1,$E142=5),(PI()*CJ$12^2)/4*(CF142*$W142*1000)/($H142*$B$5),(PI()*CJ$12^2)/4*(CF142*$W142*1000)/($G142*$B$5)))),
IF($D142="Pressio.",
IF($E142=3,(PI()*CJ$12^2)/4*(CF142*$W142*1000)/($H142*$B$5),(PI()*CJ$12^2)/4*(CF142*$W142*1000)/($G142*$B$5)),
IF($D142="Pénétro.",
IF($E142=4,(PI()*CJ$12^2)/4*(CF142*$W142*1000)/($H142*$B$5),(PI()*CJ$12^2)/4*(CF142*$W142*1000)/($G142*$B$5))))))/10</f>
        <v>#N/A</v>
      </c>
      <c r="CK142" s="102" t="e">
        <f>(VLOOKUP($B$3,'Coeff EC7'!$T$39:$X$59,2,0)*CI142+VLOOKUP($B$3,'Coeff EC7'!$T$65:$X$85,2,0)*Model0.1C!CJ142)/1.1</f>
        <v>#N/A</v>
      </c>
      <c r="CL142" s="102" t="e">
        <f>(VLOOKUP($B$3,'Coeff EC7'!$T$39:$X$59,3,0)*CI142+VLOOKUP($B$3,'Coeff EC7'!$T$65:$X$85,3,0)*Model0.1C!CJ142)/0.9</f>
        <v>#N/A</v>
      </c>
      <c r="CM142" s="102" t="e">
        <f t="shared" si="182"/>
        <v>#N/A</v>
      </c>
      <c r="CN142" s="102" t="e">
        <f t="shared" si="183"/>
        <v>#N/A</v>
      </c>
      <c r="CO142" s="414" t="e">
        <f>IF(CO141=0,0,IF(AND(CK142&gt;charge_ELS_quasi,CL142&gt;Charge_ELS_freq,CM142&gt;charge_ELU,CN142&gt;charge_ELA,$B142&gt;NDC!$H$22-0.1+MIN(3*$CO$12,1.5)),0,1))</f>
        <v>#N/A</v>
      </c>
      <c r="CP142" s="86" t="b">
        <f t="shared" ref="CP142:CP205" si="251">IF($B142&lt;=$P$4, $B142, IF($B142&lt;=$P$5, $B142-$P$4, IF($B142&lt;=$P$6, $B142-$P$5, IF($B142&lt;=$P$7,$B142-$P$6, IF($B142&lt;=$P$8, $B142-$P$7, IF($B142&lt;=$P$9, $B142-$P$8, IF($B142&lt;=$P$10,$B142-$P$9)))))))</f>
        <v>0</v>
      </c>
      <c r="CQ142" s="86">
        <f t="shared" ref="CQ142:CQ205" si="252">MAX($DD$12/2,0.5)</f>
        <v>0.5</v>
      </c>
      <c r="CR142" s="86">
        <f t="shared" ref="CR142:CR205" si="253">MIN(CQ142,CP142)</f>
        <v>0.5</v>
      </c>
      <c r="CS142" s="30" t="e">
        <f t="shared" ca="1" si="184"/>
        <v>#DIV/0!</v>
      </c>
      <c r="CT142" s="85" t="e">
        <f ca="1">IF(BZ142&lt;=Hypothèses!$V$7,Hypothèses!$W$7,IF(BZ142&lt;=Hypothèses!$V$8,Hypothèses!$W$8,IF(BZ142&lt;=Hypothèses!$V$9,Hypothèses!$W$9,IF(BZ142&lt;=Hypothèses!$V$10,Hypothèses!$W$10,IF(BZ142&lt;=Hypothèses!$V$11,Hypothèses!$W$11,IF(BZ142&lt;=Hypothèses!$V$12,Hypothèses!$W$12,IF(BZ142&lt;=Hypothèses!$V$13,Hypothèses!$W$13,IF(BZ142&lt;=Hypothèses!$V$14,Hypothèses!$W$14,IF(BZ142&lt;=Hypothèses!$V$15,Hypothèses!$W$15,IF(BZ142&lt;=Hypothèses!$V$16,Hypothèses!$W$16,IF(BZ142&lt;=Hypothèses!$V$17,Hypothèses!$W$17,IF(BZ142&lt;=Hypothèses!$V$18,Hypothèses!$W$18,""))))))))))))</f>
        <v>#DIV/0!</v>
      </c>
      <c r="CU142" s="87" t="e">
        <f t="shared" ca="1" si="220"/>
        <v>#DIV/0!</v>
      </c>
      <c r="CV142" s="88" t="e">
        <f ca="1">IF(BZ142&lt;=Hypothèses!$V$7,Hypothèses!$X$7,IF(BZ142&lt;=Hypothèses!$V$8,Hypothèses!$X$8,IF(BZ142&lt;=Hypothèses!$V$9,Hypothèses!$X$9,IF(BZ142&lt;=Hypothèses!$V$10,Hypothèses!$X$10,IF(BZ142&lt;=Hypothèses!$V$11,Hypothèses!$X$11,IF(BZ142&lt;=Hypothèses!$V$12,Hypothèses!$X$12,IF(BZ142&lt;=Hypothèses!$V$13,Hypothèses!$X$13,IF(BZ142&lt;=Hypothèses!$V$14,Hypothèses!$X$14,IF(BZ142&lt;=Hypothèses!$V$15,Hypothèses!$X$15,IF(BZ142&lt;=Hypothèses!$V$16,Hypothèses!$X$16,IF(BZ142&lt;=Hypothèses!$U$17,Hypothèses!$W$17,IF(BZ142&lt;=Hypothèses!$U$18,Hypothèses!$W$18,""))))))))))))</f>
        <v>#DIV/0!</v>
      </c>
      <c r="CW142" s="95" t="e">
        <f t="shared" ca="1" si="185"/>
        <v>#DIV/0!</v>
      </c>
      <c r="CX142" s="101" t="e">
        <f t="shared" si="227"/>
        <v>#N/A</v>
      </c>
      <c r="CY142" s="91" t="e">
        <f t="shared" ref="CY142:CY205" si="254">IF($X142&lt;&gt;"",$X142,CX142)</f>
        <v>#N/A</v>
      </c>
      <c r="CZ142" s="30" t="e">
        <f t="shared" si="208"/>
        <v>#N/A</v>
      </c>
      <c r="DA142" s="30" t="e">
        <f t="shared" si="209"/>
        <v>#N/A</v>
      </c>
      <c r="DB142" s="31" t="e">
        <f>IF(OR(Hypothèses!$B$4=17,Hypothèses!$B$4=18,Hypothèses!$B$4=19,Hypothèses!$B$4=20),
IF($D142="Pressio.",
IF(OR($E142=3,$E142=1,$E142=4),DA142,CZ142),
IF($D142="Pénétro.",
IF(OR($E142=3,$E142=1,$E142=4),DA142,CZ142))),IF($D142="Pressio.",
IF($E142=3,DA142,CZ142),
IF($D142="Pénétro.",
IF($E142=4,DA142,CZ142))))</f>
        <v>#N/A</v>
      </c>
      <c r="DC142" s="31" t="e">
        <f>(IF(OR(Hypothèses!$B$4=17,Hypothèses!$B$4=18,Hypothèses!$B$4=19,Hypothèses!$B$4=20),
IF($D142="Pressio.",
IF(OR($E142=3,$E142=1,$E142=4),(PI()*DC$12^2)/4*(CY142*$W142*1000)/($H142*$B$5),(PI()*DC$12^2)/4*(CY142*$W142*1000)/($G142*$B$5)),
IF($D142="Pénétro.",
IF(OR($E142=4,$E142=1,$E142=5),(PI()*DC$12^2)/4*(CY142*$W142*1000)/($H142*$B$5),(PI()*DC$12^2)/4*(CY142*$W142*1000)/($G142*$B$5)))),
IF($D142="Pressio.",
IF($E142=3,(PI()*DC$12^2)/4*(CY142*$W142*1000)/($H142*$B$5),(PI()*DC$12^2)/4*(CY142*$W142*1000)/($G142*$B$5)),
IF($D142="Pénétro.",
IF($E142=4,(PI()*DC$12^2)/4*(CY142*$W142*1000)/($H142*$B$5),(PI()*DC$12^2)/4*(CY142*$W142*1000)/($G142*$B$5))))))/10</f>
        <v>#N/A</v>
      </c>
      <c r="DD142" s="102" t="e">
        <f>(VLOOKUP($B$3,'Coeff EC7'!$T$39:$X$59,2,0)*DB142+VLOOKUP($B$3,'Coeff EC7'!$T$65:$X$85,2,0)*Model0.1C!DC142)/1.1</f>
        <v>#N/A</v>
      </c>
      <c r="DE142" s="102" t="e">
        <f>(VLOOKUP($B$3,'Coeff EC7'!$T$39:$X$59,3,0)*DB142+VLOOKUP($B$3,'Coeff EC7'!$T$65:$X$85,3,0)*Model0.1C!DC142)/0.9</f>
        <v>#N/A</v>
      </c>
      <c r="DF142" s="102" t="e">
        <f t="shared" si="186"/>
        <v>#N/A</v>
      </c>
      <c r="DG142" s="102" t="e">
        <f t="shared" si="187"/>
        <v>#N/A</v>
      </c>
      <c r="DH142" s="414" t="e">
        <f>IF(DH141=0,0,IF(AND(DD142&gt;charge_ELS_quasi,DE142&gt;Charge_ELS_freq,DF142&gt;charge_ELU,DG142&gt;charge_ELA,$B142&gt;NDC!$H$22-0.1+MIN(3*$DH$12,1.5)),0,1))</f>
        <v>#N/A</v>
      </c>
      <c r="DI142" s="86" t="b">
        <f t="shared" ref="DI142:DI205" si="255">IF($B142&lt;=$P$4, $B142, IF($B142&lt;=$P$5, $B142-$P$4, IF($B142&lt;=$P$6, $B142-$P$5, IF($B142&lt;=$P$7,$B142-$P$6, IF($B142&lt;=$P$8, $B142-$P$7, IF($B142&lt;=$P$9, $B142-$P$8, IF($B142&lt;=$P$10,$B142-$P$9)))))))</f>
        <v>0</v>
      </c>
      <c r="DJ142" s="86">
        <f t="shared" ref="DJ142:DJ205" si="256">MAX($DW$12/2,0.5)</f>
        <v>0.5</v>
      </c>
      <c r="DK142" s="86">
        <f t="shared" ref="DK142:DK205" si="257">MIN(DJ142,DI142)</f>
        <v>0.5</v>
      </c>
      <c r="DL142" s="30" t="e">
        <f t="shared" ca="1" si="188"/>
        <v>#DIV/0!</v>
      </c>
      <c r="DM142" s="85" t="e">
        <f ca="1">IF(CS142&lt;=Hypothèses!$V$7,Hypothèses!$W$7,IF(CS142&lt;=Hypothèses!$V$8,Hypothèses!$W$8,IF(CS142&lt;=Hypothèses!$V$9,Hypothèses!$W$9,IF(CS142&lt;=Hypothèses!$V$10,Hypothèses!$W$10,IF(CS142&lt;=Hypothèses!$V$11,Hypothèses!$W$11,IF(CS142&lt;=Hypothèses!$V$12,Hypothèses!$W$12,IF(CS142&lt;=Hypothèses!$V$13,Hypothèses!$W$13,IF(CS142&lt;=Hypothèses!$V$14,Hypothèses!$W$14,IF(CS142&lt;=Hypothèses!$V$15,Hypothèses!$W$15,IF(CS142&lt;=Hypothèses!$V$16,Hypothèses!$W$16,IF(CS142&lt;=Hypothèses!$V$17,Hypothèses!$W$17,IF(CS142&lt;=Hypothèses!$V$18,Hypothèses!$W$18,""))))))))))))</f>
        <v>#DIV/0!</v>
      </c>
      <c r="DN142" s="87" t="e">
        <f t="shared" ca="1" si="221"/>
        <v>#DIV/0!</v>
      </c>
      <c r="DO142" s="88" t="e">
        <f ca="1">IF(CS142&lt;=Hypothèses!$V$7,Hypothèses!$X$7,IF(CS142&lt;=Hypothèses!$V$8,Hypothèses!$X$8,IF(CS142&lt;=Hypothèses!$V$9,Hypothèses!$X$9,IF(CS142&lt;=Hypothèses!$V$10,Hypothèses!$X$10,IF(CS142&lt;=Hypothèses!$V$11,Hypothèses!$X$11,IF(CS142&lt;=Hypothèses!$V$12,Hypothèses!$X$12,IF(CS142&lt;=Hypothèses!$V$13,Hypothèses!$X$13,IF(CS142&lt;=Hypothèses!$V$14,Hypothèses!$X$14,IF(CS142&lt;=Hypothèses!$V$15,Hypothèses!$X$15,IF(CS142&lt;=Hypothèses!$V$16,Hypothèses!$X$16,IF(CS142&lt;=Hypothèses!$U$17,Hypothèses!$W$17,IF(CS142&lt;=Hypothèses!$U$18,Hypothèses!$W$18,""))))))))))))</f>
        <v>#DIV/0!</v>
      </c>
      <c r="DP142" s="95" t="e">
        <f t="shared" ca="1" si="189"/>
        <v>#DIV/0!</v>
      </c>
      <c r="DQ142" s="101" t="e">
        <f t="shared" si="228"/>
        <v>#N/A</v>
      </c>
      <c r="DR142" s="91" t="e">
        <f t="shared" ref="DR142:DR205" si="258">IF($X142&lt;&gt;"",$X142,DQ142)</f>
        <v>#N/A</v>
      </c>
      <c r="DS142" s="30" t="e">
        <f t="shared" si="210"/>
        <v>#N/A</v>
      </c>
      <c r="DT142" s="30" t="e">
        <f t="shared" si="211"/>
        <v>#N/A</v>
      </c>
      <c r="DU142" s="31" t="e">
        <f>IF(OR(Hypothèses!$B$4=17,Hypothèses!$B$4=18,Hypothèses!$B$4=19,Hypothèses!$B$4=20),
IF($D142="Pressio.",
IF(OR($E142=3,$E142=1,$E142=4),DT142,DS142),
IF($D142="Pénétro.",
IF(OR($E142=3,$E142=1,$E142=4),DT142,DS142))),IF($D142="Pressio.",
IF($E142=3,DT142,DS142),
IF($D142="Pénétro.",
IF($E142=4,DT142,DS142))))</f>
        <v>#N/A</v>
      </c>
      <c r="DV142" s="31" t="e">
        <f>(IF(OR(Hypothèses!$B$4=17,Hypothèses!$B$4=18,Hypothèses!$B$4=19,Hypothèses!$B$4=20),
IF($D142="Pressio.",
IF(OR($E142=3,$E142=1,$E142=4),(PI()*DV$12^2)/4*(DR142*$W142*1000)/($H142*$B$5),(PI()*DV$12^2)/4*(DR142*$W142*1000)/($G142*$B$5)),
IF($D142="Pénétro.",
IF(OR($E142=4,$E142=1,$E142=5),(PI()*DV$12^2)/4*(DR142*$W142*1000)/($H142*$B$5),(PI()*DV$12^2)/4*(DR142*$W142*1000)/($G142*$B$5)))),
IF($D142="Pressio.",
IF($E142=3,(PI()*DV$12^2)/4*(DR142*$W142*1000)/($H142*$B$5),(PI()*DV$12^2)/4*(DR142*$W142*1000)/($G142*$B$5)),
IF($D142="Pénétro.",
IF($E142=4,(PI()*DV$12^2)/4*(DR142*$W142*1000)/($H142*$B$5),(PI()*DV$12^2)/4*(DR142*$W142*1000)/($G142*$B$5))))))/10</f>
        <v>#N/A</v>
      </c>
      <c r="DW142" s="102" t="e">
        <f>(VLOOKUP($B$3,'Coeff EC7'!$T$39:$X$59,2,0)*DU142+VLOOKUP($B$3,'Coeff EC7'!$T$65:$X$85,2,0)*Model0.1C!DV142)/1.1</f>
        <v>#N/A</v>
      </c>
      <c r="DX142" s="102" t="e">
        <f>(VLOOKUP($B$3,'Coeff EC7'!$T$39:$X$59,3,0)*DU142+VLOOKUP($B$3,'Coeff EC7'!$T$65:$X$85,3,0)*Model0.1C!DV142)/0.9</f>
        <v>#N/A</v>
      </c>
      <c r="DY142" s="102" t="e">
        <f t="shared" si="190"/>
        <v>#N/A</v>
      </c>
      <c r="DZ142" s="102" t="e">
        <f t="shared" si="191"/>
        <v>#N/A</v>
      </c>
      <c r="EA142" s="414" t="e">
        <f>IF(EA141=0,0,IF(AND(DW142&gt;charge_ELS_quasi,DX142&gt;Charge_ELS_freq,DY142&gt;charge_ELU,DZ142&gt;charge_ELA,$B142&gt;NDC!$H$22-0.1+MIN(3*$EA$12,1.5)),0,1))</f>
        <v>#N/A</v>
      </c>
      <c r="EB142" s="86" t="b">
        <f t="shared" ref="EB142:EB205" si="259">IF($B142&lt;=$P$4, $B142, IF($B142&lt;=$P$5, $B142-$P$4, IF($B142&lt;=$P$6, $B142-$P$5, IF($B142&lt;=$P$7,$B142-$P$6, IF($B142&lt;=$P$8, $B142-$P$7, IF($B142&lt;=$P$9, $B142-$P$8, IF($B142&lt;=$P$10,$B142-$P$9)))))))</f>
        <v>0</v>
      </c>
      <c r="EC142" s="418">
        <f t="shared" ref="EC142:EC205" si="260">MAX($EP$12/2,0.5)</f>
        <v>0.51</v>
      </c>
      <c r="ED142" s="86">
        <f t="shared" ref="ED142:ED205" si="261">MIN(EC142,EB142)</f>
        <v>0.51</v>
      </c>
      <c r="EE142" s="30" t="e">
        <f t="shared" ca="1" si="192"/>
        <v>#DIV/0!</v>
      </c>
      <c r="EF142" s="85" t="e">
        <f ca="1">IF(DL142&lt;=Hypothèses!$V$7,Hypothèses!$W$7,IF(DL142&lt;=Hypothèses!$V$8,Hypothèses!$W$8,IF(DL142&lt;=Hypothèses!$V$9,Hypothèses!$W$9,IF(DL142&lt;=Hypothèses!$V$10,Hypothèses!$W$10,IF(DL142&lt;=Hypothèses!$V$11,Hypothèses!$W$11,IF(DL142&lt;=Hypothèses!$V$12,Hypothèses!$W$12,IF(DL142&lt;=Hypothèses!$V$13,Hypothèses!$W$13,IF(DL142&lt;=Hypothèses!$V$14,Hypothèses!$W$14,IF(DL142&lt;=Hypothèses!$V$15,Hypothèses!$W$15,IF(DL142&lt;=Hypothèses!$V$16,Hypothèses!$W$16,IF(DL142&lt;=Hypothèses!$V$17,Hypothèses!$W$17,IF(DL142&lt;=Hypothèses!$V$18,Hypothèses!$W$18,""))))))))))))</f>
        <v>#DIV/0!</v>
      </c>
      <c r="EG142" s="87" t="e">
        <f t="shared" ca="1" si="222"/>
        <v>#DIV/0!</v>
      </c>
      <c r="EH142" s="88" t="e">
        <f ca="1">IF(DL142&lt;=Hypothèses!$V$7,Hypothèses!$X$7,IF(DL142&lt;=Hypothèses!$V$8,Hypothèses!$X$8,IF(DL142&lt;=Hypothèses!$V$9,Hypothèses!$X$9,IF(DL142&lt;=Hypothèses!$V$10,Hypothèses!$X$10,IF(DL142&lt;=Hypothèses!$V$11,Hypothèses!$X$11,IF(DL142&lt;=Hypothèses!$V$12,Hypothèses!$X$12,IF(DL142&lt;=Hypothèses!$V$13,Hypothèses!$X$13,IF(DL142&lt;=Hypothèses!$V$14,Hypothèses!$X$14,IF(DL142&lt;=Hypothèses!$V$15,Hypothèses!$X$15,IF(DL142&lt;=Hypothèses!$V$16,Hypothèses!$X$16,IF(DL142&lt;=Hypothèses!$U$17,Hypothèses!$W$17,IF(DL142&lt;=Hypothèses!$U$18,Hypothèses!$W$18,""))))))))))))</f>
        <v>#DIV/0!</v>
      </c>
      <c r="EI142" s="95" t="e">
        <f t="shared" ca="1" si="193"/>
        <v>#DIV/0!</v>
      </c>
      <c r="EJ142" s="101" t="e">
        <f t="shared" si="229"/>
        <v>#N/A</v>
      </c>
      <c r="EK142" s="91" t="e">
        <f t="shared" ref="EK142:EK205" si="262">IF($X142&lt;&gt;"",$X142,EJ142)</f>
        <v>#N/A</v>
      </c>
      <c r="EL142" s="30" t="e">
        <f t="shared" si="212"/>
        <v>#N/A</v>
      </c>
      <c r="EM142" s="30" t="e">
        <f t="shared" si="213"/>
        <v>#N/A</v>
      </c>
      <c r="EN142" s="31" t="e">
        <f>IF(OR(Hypothèses!$B$4=17,Hypothèses!$B$4=18,Hypothèses!$B$4=19,Hypothèses!$B$4=20),
IF($D142="Pressio.",
IF(OR($E142=3,$E142=1,$E142=4),EM142,EL142),
IF($D142="Pénétro.",
IF(OR($E142=3,$E142=1,$E142=4),EM142,EL142))),IF($D142="Pressio.",
IF($E142=3,EM142,EL142),
IF($D142="Pénétro.",
IF($E142=4,EM142,EL142))))</f>
        <v>#N/A</v>
      </c>
      <c r="EO142" s="31" t="e">
        <f>(IF(OR(Hypothèses!$B$4=17,Hypothèses!$B$4=18,Hypothèses!$B$4=19,Hypothèses!$B$4=20),
IF($D142="Pressio.",
IF(OR($E142=3,$E142=1,$E142=4),(PI()*EO$12^2)/4*(EK142*$W142*1000)/($H142*$B$5),(PI()*EO$12^2)/4*(EK142*$W142*1000)/($G142*$B$5)),
IF($D142="Pénétro.",
IF(OR($E142=4,$E142=1,$E142=5),(PI()*EO$12^2)/4*(EK142*$W142*1000)/($H142*$B$5),(PI()*EO$12^2)/4*(EK142*$W142*1000)/($G142*$B$5)))),
IF($D142="Pressio.",
IF($E142=3,(PI()*EO$12^2)/4*(EK142*$W142*1000)/($H142*$B$5),(PI()*EO$12^2)/4*(EK142*$W142*1000)/($G142*$B$5)),
IF($D142="Pénétro.",
IF($E142=4,(PI()*EO$12^2)/4*(EK142*$W142*1000)/($H142*$B$5),(PI()*EO$12^2)/4*(EK142*$W142*1000)/($G142*$B$5))))))/10</f>
        <v>#N/A</v>
      </c>
      <c r="EP142" s="102" t="e">
        <f>(VLOOKUP($B$3,'Coeff EC7'!$T$39:$X$59,2,0)*EN142+VLOOKUP($B$3,'Coeff EC7'!$T$65:$X$85,2,0)*Model0.1C!EO142)/1.1</f>
        <v>#N/A</v>
      </c>
      <c r="EQ142" s="102" t="e">
        <f>(VLOOKUP($B$3,'Coeff EC7'!$T$39:$X$59,3,0)*EN142+VLOOKUP($B$3,'Coeff EC7'!$T$65:$X$85,3,0)*Model0.1C!EO142)/0.9</f>
        <v>#N/A</v>
      </c>
      <c r="ER142" s="102" t="e">
        <f t="shared" si="194"/>
        <v>#N/A</v>
      </c>
      <c r="ES142" s="102" t="e">
        <f t="shared" si="195"/>
        <v>#N/A</v>
      </c>
      <c r="ET142" s="414" t="e">
        <f>IF(ET141=0,0,IF(AND(EP142&gt;charge_ELS_quasi,EQ142&gt;Charge_ELS_freq,ER142&gt;charge_ELU,ES142&gt;charge_ELA,$B142&gt;NDC!$H$22-0.1+MIN(3*$ET$12,1.5)),0,1))</f>
        <v>#N/A</v>
      </c>
      <c r="EU142" s="86" t="b">
        <f t="shared" ref="EU142:EU205" si="263">IF($B142&lt;=$P$4, $B142, IF($B142&lt;=$P$5, $B142-$P$4, IF($B142&lt;=$P$6, $B142-$P$5, IF($B142&lt;=$P$7,$B142-$P$6, IF($B142&lt;=$P$8, $B142-$P$7, IF($B142&lt;=$P$9, $B142-$P$8, IF($B142&lt;=$P$10,$B142-$P$9)))))))</f>
        <v>0</v>
      </c>
      <c r="EV142" s="86">
        <f t="shared" ref="EV142:EV205" si="264">MAX($FI$12/2,0.5)</f>
        <v>0.61</v>
      </c>
      <c r="EW142" s="86">
        <f t="shared" ref="EW142:EW205" si="265">MIN(EV142,EU142)</f>
        <v>0.61</v>
      </c>
      <c r="EX142" s="30" t="e">
        <f t="shared" ca="1" si="196"/>
        <v>#DIV/0!</v>
      </c>
      <c r="EY142" s="85" t="e">
        <f ca="1">IF(EE142&lt;=Hypothèses!$V$7,Hypothèses!$W$7,IF(EE142&lt;=Hypothèses!$V$8,Hypothèses!$W$8,IF(EE142&lt;=Hypothèses!$V$9,Hypothèses!$W$9,IF(EE142&lt;=Hypothèses!$V$10,Hypothèses!$W$10,IF(EE142&lt;=Hypothèses!$V$11,Hypothèses!$W$11,IF(EE142&lt;=Hypothèses!$V$12,Hypothèses!$W$12,IF(EE142&lt;=Hypothèses!$V$13,Hypothèses!$W$13,IF(EE142&lt;=Hypothèses!$V$14,Hypothèses!$W$14,IF(EE142&lt;=Hypothèses!$V$15,Hypothèses!$W$15,IF(EE142&lt;=Hypothèses!$V$16,Hypothèses!$W$16,IF(EE142&lt;=Hypothèses!$V$17,Hypothèses!$W$17,IF(EE142&lt;=Hypothèses!$V$18,Hypothèses!$W$18,""))))))))))))</f>
        <v>#DIV/0!</v>
      </c>
      <c r="EZ142" s="87" t="e">
        <f t="shared" ca="1" si="223"/>
        <v>#DIV/0!</v>
      </c>
      <c r="FA142" s="88" t="e">
        <f ca="1">IF(EE142&lt;=Hypothèses!$V$7,Hypothèses!$X$7,IF(EE142&lt;=Hypothèses!$V$8,Hypothèses!$X$8,IF(EE142&lt;=Hypothèses!$V$9,Hypothèses!$X$9,IF(EE142&lt;=Hypothèses!$V$10,Hypothèses!$X$10,IF(EE142&lt;=Hypothèses!$V$11,Hypothèses!$X$11,IF(EE142&lt;=Hypothèses!$V$12,Hypothèses!$X$12,IF(EE142&lt;=Hypothèses!$V$13,Hypothèses!$X$13,IF(EE142&lt;=Hypothèses!$V$14,Hypothèses!$X$14,IF(EE142&lt;=Hypothèses!$V$15,Hypothèses!$X$15,IF(EE142&lt;=Hypothèses!$V$16,Hypothèses!$X$16,IF(EE142&lt;=Hypothèses!$U$17,Hypothèses!$W$17,IF(EE142&lt;=Hypothèses!$U$18,Hypothèses!$W$18,""))))))))))))</f>
        <v>#DIV/0!</v>
      </c>
      <c r="FB142" s="95" t="e">
        <f t="shared" ca="1" si="197"/>
        <v>#DIV/0!</v>
      </c>
      <c r="FC142" s="101" t="e">
        <f t="shared" si="230"/>
        <v>#N/A</v>
      </c>
      <c r="FD142" s="91" t="e">
        <f t="shared" ref="FD142:FD205" si="266">IF($X142&lt;&gt;"",$X142,FC142)</f>
        <v>#N/A</v>
      </c>
      <c r="FE142" s="30" t="e">
        <f t="shared" si="214"/>
        <v>#N/A</v>
      </c>
      <c r="FF142" s="30" t="e">
        <f t="shared" si="215"/>
        <v>#N/A</v>
      </c>
      <c r="FG142" s="31" t="e">
        <f>IF(OR(Hypothèses!$B$4=17,Hypothèses!$B$4=18,Hypothèses!$B$4=19,Hypothèses!$B$4=20),
IF($D142="Pressio.",
IF(OR($E142=3,$E142=1,$E142=4),FF142,FE142),
IF($D142="Pénétro.",
IF(OR($E142=3,$E142=1,$E142=4),FF142,FE142))),IF($D142="Pressio.",
IF($E142=3,FF142,FE142),
IF($D142="Pénétro.",
IF($E142=4,FF142,FE142))))</f>
        <v>#N/A</v>
      </c>
      <c r="FH142" s="31" t="e">
        <f>(IF(OR(Hypothèses!$B$4=17,Hypothèses!$B$4=18,Hypothèses!$B$4=19,Hypothèses!$B$4=20),
IF($D142="Pressio.",
IF(OR($E142=3,$E142=1,$E142=4),(PI()*FH$12^2)/4*(FD142*$W142*1000)/($H142*$B$5),(PI()*FH$12^2)/4*(FD142*$W142*1000)/($G142*$B$5)),
IF($D142="Pénétro.",
IF(OR($E142=4,$E142=1,$E142=5),(PI()*FH$12^2)/4*(FD142*$W142*1000)/($H142*$B$5),(PI()*FH$12^2)/4*(FD142*$W142*1000)/($G142*$B$5)))),
IF($D142="Pressio.",
IF($E142=3,(PI()*FH$12^2)/4*(FD142*$W142*1000)/($H142*$B$5),(PI()*FH$12^2)/4*(FD142*$W142*1000)/($G142*$B$5)),
IF($D142="Pénétro.",
IF($E142=4,(PI()*FH$12^2)/4*(FD142*$W142*1000)/($H142*$B$5),(PI()*FH$12^2)/4*(FD142*$W142*1000)/($G142*$B$5))))))/10</f>
        <v>#N/A</v>
      </c>
      <c r="FI142" s="102" t="e">
        <f>(VLOOKUP($B$3,'Coeff EC7'!$T$39:$X$59,2,0)*FG142+VLOOKUP($B$3,'Coeff EC7'!$T$65:$X$85,2,0)*Model0.1C!FH142)/1.1</f>
        <v>#N/A</v>
      </c>
      <c r="FJ142" s="102" t="e">
        <f>(VLOOKUP($B$3,'Coeff EC7'!$T$39:$X$59,3,0)*FG142+VLOOKUP($B$3,'Coeff EC7'!$T$65:$X$85,3,0)*Model0.1C!FH142)/0.9</f>
        <v>#N/A</v>
      </c>
      <c r="FK142" s="102" t="e">
        <f t="shared" si="198"/>
        <v>#N/A</v>
      </c>
      <c r="FL142" s="102" t="e">
        <f t="shared" si="199"/>
        <v>#N/A</v>
      </c>
      <c r="FM142" s="414" t="e">
        <f>IF(FM141=0,0,IF(AND(FI142&gt;charge_ELS_quasi,FJ142&gt;Charge_ELS_freq,FK142&gt;charge_ELU,FL142&gt;charge_ELA,$B142&gt;NDC!$H$22-0.1+MIN(3*$FM$12,1.5)),0,1))</f>
        <v>#N/A</v>
      </c>
    </row>
    <row r="143" spans="1:169">
      <c r="A143" s="96">
        <f t="shared" ref="A143:A206" si="267">A142-0.1</f>
        <v>87.000000000000739</v>
      </c>
      <c r="B143" s="97">
        <v>13</v>
      </c>
      <c r="C143" s="81">
        <f>IF(B143&lt;=Hypothèses!$C$7,Hypothèses!$A$7,IF(B143&lt;=Hypothèses!$C$8,Hypothèses!$A$8,IF(B143&lt;=Hypothèses!$C$9,Hypothèses!$A$9,IF(B143&lt;=Hypothèses!$C$10,Hypothèses!$A$10,IF(B143&lt;=Hypothèses!$C$11,Hypothèses!$A$11,IF(B143&lt;=Hypothèses!$C$12,Hypothèses!$A$12,IF(B143&lt;=Hypothèses!$C$13,Hypothèses!$A$13,IF(B143&lt;=Hypothèses!$C$14,Hypothèses!$A$14,IF(B143&lt;=Hypothèses!$C$15,Hypothèses!$A$15,IF(B143&lt;=Hypothèses!$C$16,Hypothèses!$A$16,IF(B143&lt;=Hypothèses!$C$17,Hypothèses!$A$17,IF(B143&lt;=Hypothèses!$C$18,Hypothèses!$A$18,C142))))))))))))</f>
        <v>11</v>
      </c>
      <c r="D143" s="82" t="str">
        <f>IF(B143&lt;=Hypothèses!$C$7,Hypothèses!$R$7,IF(B143&lt;=Hypothèses!$C$8,Hypothèses!$R$8,IF(B143&lt;=Hypothèses!$C$9,Hypothèses!$R$9,IF(B143&lt;=Hypothèses!$C$10,Hypothèses!$R$10,IF(B143&lt;=Hypothèses!$C$11,Hypothèses!$R$11,IF(B143&lt;=Hypothèses!$C$12,Hypothèses!$R$12,IF(B143&lt;=Hypothèses!$C$13,Hypothèses!$R$13,IF(B143&lt;=Hypothèses!$C$14,Hypothèses!$R$14,IF(B143&lt;=Hypothèses!$C$15,Hypothèses!$R$15,IF(B143&lt;=Hypothèses!$C$16,Hypothèses!$R$16,IF(B143&lt;=Hypothèses!$C$17,Hypothèses!$R$17,IF(B143&lt;=Hypothèses!$C$18,Hypothèses!$R$18,D142))))))))))))</f>
        <v>Pressio.</v>
      </c>
      <c r="E143" s="82" t="e">
        <f>IF(B143&lt;=Hypothèses!$C$7,Hypothèses!$G$7,IF(B143&lt;=Hypothèses!$C$8,Hypothèses!$G$8,IF(B143&lt;=Hypothèses!$C$9,Hypothèses!$G$9,IF(B143&lt;=Hypothèses!$C$10,Hypothèses!$G$10,IF(B143&lt;=Hypothèses!$C$11,Hypothèses!$G$11,IF(B143&lt;=Hypothèses!$C$12,Hypothèses!$G$12,IF(B143&lt;=Hypothèses!$C$13,Hypothèses!$G$13,IF(B143&lt;=Hypothèses!$C$14,Hypothèses!$G$14,IF(B143&lt;=Hypothèses!$C$15,Hypothèses!$G$15,IF(B143&lt;=Hypothèses!$C$16,Hypothèses!$G$16,IF(B143&lt;=Hypothèses!$C$17,Hypothèses!$G$17,IF(B143&lt;=Hypothèses!$C$18,Hypothèses!$G$18,E142))))))))))))</f>
        <v>#N/A</v>
      </c>
      <c r="F143" s="82" t="str">
        <f>IF(B143&lt;=Hypothèses!$C$7,Hypothèses!$F$7,IF(B143&lt;=Hypothèses!$C$8,Hypothèses!$F$8,IF(B143&lt;=Hypothèses!$C$9,Hypothèses!$F$9,IF(B143&lt;=Hypothèses!$C$10,Hypothèses!$F$10,IF(B143&lt;=Hypothèses!$C$11,Hypothèses!$F$11,IF(B143&lt;=Hypothèses!$C$12,Hypothèses!$F$12,IF(B143&lt;=Hypothèses!$C$13,Hypothèses!$F$13,IF(B143&lt;=Hypothèses!$C$14,Hypothèses!$F$14,IF(B143&lt;=Hypothèses!$C$15,Hypothèses!$F$15,IF(B143&lt;=Hypothèses!$C$16,Hypothèses!$F$16,IF(B143&lt;=Hypothèses!$C$17,Hypothèses!$F$17,IF(B143&lt;=Hypothèses!$C$18,Hypothèses!$F$18,F142))))))))))))</f>
        <v/>
      </c>
      <c r="G143" s="91">
        <f t="array" ref="G143">INDEX('Coeff EC7'!$U$7:$X$27,
MATCH(Model0.1C!$B$3,'Coeff EC7'!$T$7:$T$27,0),
MATCH(Model0.1C!$D143&amp;Model0.1C!$B$4,
'Coeff EC7'!$U$6:$X$6&amp;
'Coeff EC7'!$U$5:$X$5,0))</f>
        <v>1.1499999999999999</v>
      </c>
      <c r="H143" s="91">
        <f t="array" ref="H143">INDEX('Coeff EC7'!$Y$7:$AB$27,
MATCH(Model0.1C!$B$3,'Coeff EC7'!$T$7:$T$27,0),
MATCH(Model0.1C!$D143&amp;Model0.1C!$B$4,
'Coeff EC7'!$Y$6:$AB$6&amp;
'Coeff EC7'!$Y$5:$AB$5,0))</f>
        <v>1.4</v>
      </c>
      <c r="I143" s="83" t="e">
        <f>IF(B143&lt;=Hypothèses!$C$7,Hypothèses!$P$7,IF(B143&lt;=Hypothèses!$C$8,Hypothèses!$P$8,IF(B143&lt;=Hypothèses!$C$9,Hypothèses!$P$9,IF(B143&lt;=Hypothèses!$C$10,Hypothèses!$P$10,IF(B143&lt;=Hypothèses!$C$11,Hypothèses!$P$11,IF(B143&lt;=Hypothèses!$C$12,Hypothèses!$P$12,IF(B143&lt;=Hypothèses!$C$13,Hypothèses!$P$13,IF(B143&lt;=Hypothèses!$C$14,Hypothèses!$P$14,IF(B143&lt;=Hypothèses!$C$15,Hypothèses!$P$15,IF(B143&lt;=Hypothèses!$C$16,Hypothèses!$P$16,IF(B143&lt;=Hypothèses!$C$17,Hypothèses!$P$17,IF(B143&lt;=Hypothèses!$C$18,Hypothèses!$P$18,I142))))))))))))</f>
        <v>#N/A</v>
      </c>
      <c r="J143" s="91" t="e">
        <f t="array" ref="J143">INDEX('Coeff EC7'!$D$33:$Q$33,1,MATCH(D143&amp;E143,'Coeff EC7'!$D$31:$Q$31&amp;'Coeff EC7'!$D$32:$Q$32,0))</f>
        <v>#N/A</v>
      </c>
      <c r="K143" s="91" t="e">
        <f t="array" ref="K143">INDEX('Coeff EC7'!$D$34:$Q$34,1,MATCH(D143&amp;E143,'Coeff EC7'!$D$31:$Q$31&amp;'Coeff EC7'!$D$32:$Q$32,0))</f>
        <v>#N/A</v>
      </c>
      <c r="L143" s="91" t="e">
        <f t="array" ref="L143">INDEX('Coeff EC7'!$D$35:$Q$35,1,MATCH(D143&amp;E143,'Coeff EC7'!$D$31:$Q$31&amp;'Coeff EC7'!$D$32:$Q$32,0))</f>
        <v>#N/A</v>
      </c>
      <c r="M143" s="98" t="e">
        <f t="shared" si="231"/>
        <v>#N/A</v>
      </c>
      <c r="N143" s="99" t="e">
        <f t="array" ref="N143">INDEX('Coeff EC7'!$D$7:$Q$27,MATCH($B$3,'Coeff EC7'!$C$7:$C$27,0),MATCH(D143&amp;E143,'Coeff EC7'!$D$5:$Q$5&amp;'Coeff EC7'!$D$6:$Q$6,0))</f>
        <v>#N/A</v>
      </c>
      <c r="O143" s="99" t="e">
        <f t="array" ref="O143">INDEX('Coeff EC7'!$D$41:$Q$61,MATCH($B$3,'Coeff EC7'!$C$41:$C$61,0),MATCH(D143&amp;E143,'Coeff EC7'!$D$39:$Q$39&amp;'Coeff EC7'!$D$40:$Q$40,0))</f>
        <v>#N/A</v>
      </c>
      <c r="P143" s="30" t="e">
        <f t="shared" ref="P143:P206" si="268">N143*M143*1000</f>
        <v>#N/A</v>
      </c>
      <c r="Q143" s="100" t="e">
        <f t="shared" si="233"/>
        <v>#N/A</v>
      </c>
      <c r="R143" s="86" t="b">
        <f t="shared" si="234"/>
        <v>0</v>
      </c>
      <c r="S143" s="86">
        <f t="shared" si="232"/>
        <v>0.5</v>
      </c>
      <c r="T143" s="86">
        <f t="shared" si="235"/>
        <v>0.5</v>
      </c>
      <c r="U143" s="30" t="e">
        <f t="shared" ref="U143:U206" ca="1" si="269">AVERAGE(OFFSET($F143, -10*T143, 0,10*T143, 1), OFFSET($F143, 1, 0, 30*S143, 1))</f>
        <v>#DIV/0!</v>
      </c>
      <c r="V143" s="85" t="str">
        <f>IF(B143&lt;=Hypothèses!$V$7,Hypothèses!$W$7,IF(B143&lt;=Hypothèses!$V$8,Hypothèses!$W$8,IF(B143&lt;=Hypothèses!$V$9,Hypothèses!$W$9,IF(B143&lt;=Hypothèses!$V$10,Hypothèses!$W$10,IF(B143&lt;=Hypothèses!$V$11,Hypothèses!$W$11,IF(B143&lt;=Hypothèses!$V$12,Hypothèses!$W$12,IF(B143&lt;=Hypothèses!$V$13,Hypothèses!$W$13,IF(B143&lt;=Hypothèses!$V$14,Hypothèses!$W$14,IF(B143&lt;=Hypothèses!$V$15,Hypothèses!$W$15,IF(B143&lt;=Hypothèses!$V$16,Hypothèses!$W$16,IF(B143&lt;=Hypothèses!$V$17,Hypothèses!$W$17,IF(B143&lt;=Hypothèses!$V$18,Hypothèses!$W$18,""))))))))))))</f>
        <v/>
      </c>
      <c r="W143" s="87" t="e">
        <f t="shared" ca="1" si="216"/>
        <v>#DIV/0!</v>
      </c>
      <c r="X143" s="88" t="str">
        <f>IF(B143&lt;=Hypothèses!$V$7,Hypothèses!$X$7,IF(B143&lt;=Hypothèses!$V$8,Hypothèses!$X$8,IF(B143&lt;=Hypothèses!$V$9,Hypothèses!$X$9,IF(B143&lt;=Hypothèses!$V$10,Hypothèses!$X$10,IF(B143&lt;=Hypothèses!$V$11,Hypothèses!$X$11,IF(B143&lt;=Hypothèses!$V$12,Hypothèses!$X$12,IF(B143&lt;=Hypothèses!$V$13,Hypothèses!$X$13,IF(B143&lt;=Hypothèses!$V$14,Hypothèses!$X$14,IF(B143&lt;=Hypothèses!$V$15,Hypothèses!$X$15,IF(B143&lt;=Hypothèses!$V$16,Hypothèses!$X$16,IF(B143&lt;=Hypothèses!$U$17,Hypothèses!$W$17,IF(B143&lt;=Hypothèses!$U$18,Hypothèses!$W$18,""))))))))))))</f>
        <v/>
      </c>
      <c r="Y143" s="95" t="e">
        <f t="shared" ca="1" si="236"/>
        <v>#DIV/0!</v>
      </c>
      <c r="Z143" s="101" t="e">
        <f t="shared" si="237"/>
        <v>#N/A</v>
      </c>
      <c r="AA143" s="91" t="e">
        <f t="shared" si="238"/>
        <v>#N/A</v>
      </c>
      <c r="AB143" s="30" t="e">
        <f t="shared" si="200"/>
        <v>#N/A</v>
      </c>
      <c r="AC143" s="30" t="e">
        <f t="shared" si="201"/>
        <v>#N/A</v>
      </c>
      <c r="AD143" s="31" t="e">
        <f>IF(OR(Hypothèses!$B$4=17,Hypothèses!$B$4=18,Hypothèses!$B$4=19,Hypothèses!$B$4=20),
IF($D143="Pressio.",
IF(OR($E143=3,$E143=1,$E143=4),AC143,AB143),
IF($D143="Pénétro.",
IF(OR($E143=3,$E143=1,$E143=4),AC143,AB143))),IF($D143="Pressio.",
IF($E143=3,AC143,AB143),
IF($D143="Pénétro.",
IF($E143=4,AC143,AB143))))</f>
        <v>#N/A</v>
      </c>
      <c r="AE143" s="31" t="e">
        <f>(IF(OR(Hypothèses!$B$4=17,Hypothèses!$B$4=18,Hypothèses!$B$4=19,Hypothèses!$B$4=20),
IF($D143="Pressio.",
IF(OR($E143=3,$E143=1,$E143=4),(PI()*AE$12^2)/4*(AA143*$W143*1000)/($H143*$B$5),(PI()*AE$12^2)/4*(AA143*$W143*1000)/($G143*$B$5)),
IF($D143="Pénétro.",
IF(OR($E143=4,$E143=1,$E143=5),(PI()*AE$12^2)/4*(AA143*$W143*1000)/($H143*$B$5),(PI()*AE$12^2)/4*(AA143*$W143*1000)/($G143*$B$5)))),
IF($D143="Pressio.",
IF($E143=3,(PI()*AE$12^2)/4*(AA143*$W143*1000)/($H143*$B$5),(PI()*AE$12^2)/4*(AA143*$W143*1000)/($G143*$B$5)),
IF($D143="Pénétro.",
IF($E143=4,(PI()*AE$12^2)/4*(AA143*$W143*1000)/($H143*$B$5),(PI()*AE$12^2)/4*(AA143*$W143*1000)/($G143*$B$5))))))/10</f>
        <v>#N/A</v>
      </c>
      <c r="AF143" s="102" t="e">
        <f>(VLOOKUP($B$3,'Coeff EC7'!$T$39:$X$59,2,0)*AD143+VLOOKUP($B$3,'Coeff EC7'!$T$65:$X$85,2,0)*Model0.1C!AE143)/1.1</f>
        <v>#N/A</v>
      </c>
      <c r="AG143" s="102" t="e">
        <f>(VLOOKUP($B$3,'Coeff EC7'!$T$39:$X$59,3,0)*AD143+VLOOKUP($B$3,'Coeff EC7'!$T$65:$X$85,3,0)*Model0.1C!AE143)/0.9</f>
        <v>#N/A</v>
      </c>
      <c r="AH143" s="102" t="e">
        <f t="shared" si="239"/>
        <v>#N/A</v>
      </c>
      <c r="AI143" s="102" t="e">
        <f t="shared" si="240"/>
        <v>#N/A</v>
      </c>
      <c r="AJ143" s="414" t="e">
        <f>IF(AJ142=0,0,IF(AND(AF143&gt;charge_ELS_quasi,AG143&gt;Charge_ELS_freq,AH143&gt;charge_ELU,AI143&gt;charge_ELA,$B143&gt;NDC!$H$22-0.1+MIN(3*$AJ$12,1.5)),0,1))</f>
        <v>#N/A</v>
      </c>
      <c r="AK143" s="86" t="b">
        <f t="shared" si="241"/>
        <v>0</v>
      </c>
      <c r="AL143" s="86">
        <f t="shared" ref="AL143:AL206" si="270">MAX($AY$12/2,0.5)</f>
        <v>0.5</v>
      </c>
      <c r="AM143" s="86">
        <f t="shared" si="242"/>
        <v>0.5</v>
      </c>
      <c r="AN143" s="30" t="e">
        <f t="shared" ref="AN143:AN206" ca="1" si="271">AVERAGE(OFFSET($F143, -10*AM143, 0,10*AM143, 1), OFFSET($F143, 1, 0, 30*AL143, 1))</f>
        <v>#DIV/0!</v>
      </c>
      <c r="AO143" s="85" t="e">
        <f ca="1">IF(U143&lt;=Hypothèses!$V$7,Hypothèses!$W$7,IF(U143&lt;=Hypothèses!$V$8,Hypothèses!$W$8,IF(U143&lt;=Hypothèses!$V$9,Hypothèses!$W$9,IF(U143&lt;=Hypothèses!$V$10,Hypothèses!$W$10,IF(U143&lt;=Hypothèses!$V$11,Hypothèses!$W$11,IF(U143&lt;=Hypothèses!$V$12,Hypothèses!$W$12,IF(U143&lt;=Hypothèses!$V$13,Hypothèses!$W$13,IF(U143&lt;=Hypothèses!$V$14,Hypothèses!$W$14,IF(U143&lt;=Hypothèses!$V$15,Hypothèses!$W$15,IF(U143&lt;=Hypothèses!$V$16,Hypothèses!$W$16,IF(U143&lt;=Hypothèses!$V$17,Hypothèses!$W$17,IF(U143&lt;=Hypothèses!$V$18,Hypothèses!$W$18,""))))))))))))</f>
        <v>#DIV/0!</v>
      </c>
      <c r="AP143" s="87" t="e">
        <f t="shared" ca="1" si="217"/>
        <v>#DIV/0!</v>
      </c>
      <c r="AQ143" s="88" t="e">
        <f ca="1">IF(U143&lt;=Hypothèses!$V$7,Hypothèses!$X$7,IF(U143&lt;=Hypothèses!$V$8,Hypothèses!$X$8,IF(U143&lt;=Hypothèses!$V$9,Hypothèses!$X$9,IF(U143&lt;=Hypothèses!$V$10,Hypothèses!$X$10,IF(U143&lt;=Hypothèses!$V$11,Hypothèses!$X$11,IF(U143&lt;=Hypothèses!$V$12,Hypothèses!$X$12,IF(U143&lt;=Hypothèses!$V$13,Hypothèses!$X$13,IF(U143&lt;=Hypothèses!$V$14,Hypothèses!$X$14,IF(U143&lt;=Hypothèses!$V$15,Hypothèses!$X$15,IF(U143&lt;=Hypothèses!$V$16,Hypothèses!$X$16,IF(U143&lt;=Hypothèses!$U$17,Hypothèses!$W$17,IF(U143&lt;=Hypothèses!$U$18,Hypothèses!$W$18,""))))))))))))</f>
        <v>#DIV/0!</v>
      </c>
      <c r="AR143" s="95" t="e">
        <f t="shared" ref="AR143:AR206" ca="1" si="272">IF($B143&lt;10*$BB$12,0.1/AP143*SUM(OFFSET(F143,-10*$B143+1,0,10*$B143,1)),0.1/AP143*SUM(OFFSET(F143,-100*$BB$12+1,0,100*$BB$12,1)))</f>
        <v>#DIV/0!</v>
      </c>
      <c r="AS143" s="101" t="e">
        <f t="shared" si="224"/>
        <v>#N/A</v>
      </c>
      <c r="AT143" s="91" t="e">
        <f t="shared" si="243"/>
        <v>#N/A</v>
      </c>
      <c r="AU143" s="30" t="e">
        <f t="shared" si="202"/>
        <v>#N/A</v>
      </c>
      <c r="AV143" s="30" t="e">
        <f t="shared" si="203"/>
        <v>#N/A</v>
      </c>
      <c r="AW143" s="31" t="e">
        <f>IF(OR(Hypothèses!$B$4=17,Hypothèses!$B$4=18,Hypothèses!$B$4=19,Hypothèses!$B$4=20),
IF($D143="Pressio.",
IF(OR($E143=3,$E143=1,$E143=4),AV143,AU143),
IF($D143="Pénétro.",
IF(OR($E143=3,$E143=1,$E143=4),AV143,AU143))),IF($D143="Pressio.",
IF($E143=3,AV143,AU143),
IF($D143="Pénétro.",
IF($E143=4,AV143,AU143))))</f>
        <v>#N/A</v>
      </c>
      <c r="AX143" s="31" t="e">
        <f>(IF(OR(Hypothèses!$B$4=17,Hypothèses!$B$4=18,Hypothèses!$B$4=19,Hypothèses!$B$4=20),
IF($D143="Pressio.",
IF(OR($E143=3,$E143=1,$E143=4),(PI()*AX$12^2)/4*(AT143*$W143*1000)/($H143*$B$5),(PI()*AX$12^2)/4*(AT143*$W143*1000)/($G143*$B$5)),
IF($D143="Pénétro.",
IF(OR($E143=4,$E143=1,$E143=5),(PI()*AX$12^2)/4*(AT143*$W143*1000)/($H143*$B$5),(PI()*AX$12^2)/4*(AT143*$W143*1000)/($G143*$B$5)))),
IF($D143="Pressio.",
IF($E143=3,(PI()*AX$12^2)/4*(AT143*$W143*1000)/($H143*$B$5),(PI()*AX$12^2)/4*(AT143*$W143*1000)/($G143*$B$5)),
IF($D143="Pénétro.",
IF($E143=4,(PI()*AX$12^2)/4*(AT143*$W143*1000)/($H143*$B$5),(PI()*AX$12^2)/4*(AT143*$W143*1000)/($G143*$B$5))))))/10</f>
        <v>#N/A</v>
      </c>
      <c r="AY143" s="102" t="e">
        <f>(VLOOKUP($B$3,'Coeff EC7'!$T$39:$X$59,2,0)*AW143+VLOOKUP($B$3,'Coeff EC7'!$T$65:$X$85,2,0)*Model0.1C!AX143)/1.1</f>
        <v>#N/A</v>
      </c>
      <c r="AZ143" s="102" t="e">
        <f>(VLOOKUP($B$3,'Coeff EC7'!$T$39:$X$59,3,0)*AW143+VLOOKUP($B$3,'Coeff EC7'!$T$65:$X$85,3,0)*Model0.1C!AX143)/0.9</f>
        <v>#N/A</v>
      </c>
      <c r="BA143" s="102" t="e">
        <f t="shared" ref="BA143:BA206" si="273">AW143/1.1+AX143/1.1</f>
        <v>#N/A</v>
      </c>
      <c r="BB143" s="102" t="e">
        <f t="shared" ref="BB143:BB206" si="274">AW143+AX143</f>
        <v>#N/A</v>
      </c>
      <c r="BC143" s="414" t="e">
        <f>IF(BC142=0,0,IF(AND(AY143&gt;charge_ELS_quasi,AZ143&gt;Charge_ELS_freq,BA143&gt;charge_ELU,BB143&gt;charge_ELA,$B143&gt;NDC!$H$22-0.1+MIN(3*$BC$12,1.5)),0,1))</f>
        <v>#N/A</v>
      </c>
      <c r="BD143" s="86" t="b">
        <f t="shared" si="244"/>
        <v>0</v>
      </c>
      <c r="BE143" s="86">
        <f t="shared" ref="BE143:BE206" si="275">MAX($BR$12/2,0.5)</f>
        <v>0.5</v>
      </c>
      <c r="BF143" s="86">
        <f t="shared" si="245"/>
        <v>0.5</v>
      </c>
      <c r="BG143" s="30" t="e">
        <f t="shared" ref="BG143:BG206" ca="1" si="276">AVERAGE(OFFSET($F143, -10*BF143, 0,10*BF143, 1), OFFSET($F143, 1, 0, 30*BE143, 1))</f>
        <v>#DIV/0!</v>
      </c>
      <c r="BH143" s="85" t="e">
        <f ca="1">IF(AN143&lt;=Hypothèses!$V$7,Hypothèses!$W$7,IF(AN143&lt;=Hypothèses!$V$8,Hypothèses!$W$8,IF(AN143&lt;=Hypothèses!$V$9,Hypothèses!$W$9,IF(AN143&lt;=Hypothèses!$V$10,Hypothèses!$W$10,IF(AN143&lt;=Hypothèses!$V$11,Hypothèses!$W$11,IF(AN143&lt;=Hypothèses!$V$12,Hypothèses!$W$12,IF(AN143&lt;=Hypothèses!$V$13,Hypothèses!$W$13,IF(AN143&lt;=Hypothèses!$V$14,Hypothèses!$W$14,IF(AN143&lt;=Hypothèses!$V$15,Hypothèses!$W$15,IF(AN143&lt;=Hypothèses!$V$16,Hypothèses!$W$16,IF(AN143&lt;=Hypothèses!$V$17,Hypothèses!$W$17,IF(AN143&lt;=Hypothèses!$V$18,Hypothèses!$W$18,""))))))))))))</f>
        <v>#DIV/0!</v>
      </c>
      <c r="BI143" s="87" t="e">
        <f t="shared" ca="1" si="218"/>
        <v>#DIV/0!</v>
      </c>
      <c r="BJ143" s="88" t="e">
        <f ca="1">IF(AN143&lt;=Hypothèses!$V$7,Hypothèses!$X$7,IF(AN143&lt;=Hypothèses!$V$8,Hypothèses!$X$8,IF(AN143&lt;=Hypothèses!$V$9,Hypothèses!$X$9,IF(AN143&lt;=Hypothèses!$V$10,Hypothèses!$X$10,IF(AN143&lt;=Hypothèses!$V$11,Hypothèses!$X$11,IF(AN143&lt;=Hypothèses!$V$12,Hypothèses!$X$12,IF(AN143&lt;=Hypothèses!$V$13,Hypothèses!$X$13,IF(AN143&lt;=Hypothèses!$V$14,Hypothèses!$X$14,IF(AN143&lt;=Hypothèses!$V$15,Hypothèses!$X$15,IF(AN143&lt;=Hypothèses!$V$16,Hypothèses!$X$16,IF(AN143&lt;=Hypothèses!$U$17,Hypothèses!$W$17,IF(AN143&lt;=Hypothèses!$U$18,Hypothèses!$W$18,""))))))))))))</f>
        <v>#DIV/0!</v>
      </c>
      <c r="BK143" s="95" t="e">
        <f t="shared" ref="BK143:BK206" ca="1" si="277">IF($B143&lt;10*$BU$12,0.1/BI143*SUM(OFFSET(F143,-10*$B143+1,0,10*$B143,1)),0.1/BI143*SUM(OFFSET(F143,-100*$BU$12+1,0,100*$BU$12,1)))</f>
        <v>#DIV/0!</v>
      </c>
      <c r="BL143" s="101" t="e">
        <f t="shared" si="225"/>
        <v>#N/A</v>
      </c>
      <c r="BM143" s="91" t="e">
        <f t="shared" si="246"/>
        <v>#N/A</v>
      </c>
      <c r="BN143" s="30" t="e">
        <f t="shared" si="204"/>
        <v>#N/A</v>
      </c>
      <c r="BO143" s="30" t="e">
        <f t="shared" si="205"/>
        <v>#N/A</v>
      </c>
      <c r="BP143" s="31" t="e">
        <f>IF(OR(Hypothèses!$B$4=17,Hypothèses!$B$4=18,Hypothèses!$B$4=19,Hypothèses!$B$4=20),
IF($D143="Pressio.",
IF(OR($E143=3,$E143=1,$E143=4),BO143,BN143),
IF($D143="Pénétro.",
IF(OR($E143=3,$E143=1,$E143=4),BO143,BN143))),IF($D143="Pressio.",
IF($E143=3,BO143,BN143),
IF($D143="Pénétro.",
IF($E143=4,BO143,BN143))))</f>
        <v>#N/A</v>
      </c>
      <c r="BQ143" s="31" t="e">
        <f>(IF(OR(Hypothèses!$B$4=17,Hypothèses!$B$4=18,Hypothèses!$B$4=19,Hypothèses!$B$4=20),
IF($D143="Pressio.",
IF(OR($E143=3,$E143=1,$E143=4),(PI()*BQ$12^2)/4*(BM143*$W143*1000)/($H143*$B$5),(PI()*BQ$12^2)/4*(BM143*$W143*1000)/($G143*$B$5)),
IF($D143="Pénétro.",
IF(OR($E143=4,$E143=1,$E143=5),(PI()*BQ$12^2)/4*(BM143*$W143*1000)/($H143*$B$5),(PI()*BQ$12^2)/4*(BM143*$W143*1000)/($G143*$B$5)))),
IF($D143="Pressio.",
IF($E143=3,(PI()*BQ$12^2)/4*(BM143*$W143*1000)/($H143*$B$5),(PI()*BQ$12^2)/4*(BM143*$W143*1000)/($G143*$B$5)),
IF($D143="Pénétro.",
IF($E143=4,(PI()*BQ$12^2)/4*(BM143*$W143*1000)/($H143*$B$5),(PI()*BQ$12^2)/4*(BM143*$W143*1000)/($G143*$B$5))))))/10</f>
        <v>#N/A</v>
      </c>
      <c r="BR143" s="102" t="e">
        <f>(VLOOKUP($B$3,'Coeff EC7'!$T$39:$X$59,2,0)*BP143+VLOOKUP($B$3,'Coeff EC7'!$T$65:$X$85,2,0)*Model0.1C!BQ143)/1.1</f>
        <v>#N/A</v>
      </c>
      <c r="BS143" s="102" t="e">
        <f>(VLOOKUP($B$3,'Coeff EC7'!$T$39:$X$59,3,0)*BP143+VLOOKUP($B$3,'Coeff EC7'!$T$65:$X$85,3,0)*Model0.1C!BQ143)/0.9</f>
        <v>#N/A</v>
      </c>
      <c r="BT143" s="102" t="e">
        <f t="shared" ref="BT143:BT206" si="278">BP143/1.1+BQ143/1.1</f>
        <v>#N/A</v>
      </c>
      <c r="BU143" s="102" t="e">
        <f t="shared" ref="BU143:BU206" si="279">BP143+BQ143</f>
        <v>#N/A</v>
      </c>
      <c r="BV143" s="414" t="e">
        <f>IF(BV142=0,0,IF(AND(BR143&gt;charge_ELS_quasi,BS143&gt;Charge_ELS_freq,BT143&gt;charge_ELU,BU143&gt;charge_ELA,$B143&gt;NDC!$H$22-0.1+MIN(3*$BV$12,1.5)),0,1))</f>
        <v>#N/A</v>
      </c>
      <c r="BW143" s="86" t="b">
        <f t="shared" si="247"/>
        <v>0</v>
      </c>
      <c r="BX143" s="86">
        <f t="shared" si="248"/>
        <v>0.5</v>
      </c>
      <c r="BY143" s="86">
        <f t="shared" si="249"/>
        <v>0.5</v>
      </c>
      <c r="BZ143" s="30" t="e">
        <f t="shared" ref="BZ143:BZ206" ca="1" si="280">AVERAGE(OFFSET($F143, -10*BY143, 0,10*BY143, 1), OFFSET($F143, 1, 0, 30*BX143, 1))</f>
        <v>#DIV/0!</v>
      </c>
      <c r="CA143" s="85" t="e">
        <f ca="1">IF(BG143&lt;=Hypothèses!$V$7,Hypothèses!$W$7,IF(BG143&lt;=Hypothèses!$V$8,Hypothèses!$W$8,IF(BG143&lt;=Hypothèses!$V$9,Hypothèses!$W$9,IF(BG143&lt;=Hypothèses!$V$10,Hypothèses!$W$10,IF(BG143&lt;=Hypothèses!$V$11,Hypothèses!$W$11,IF(BG143&lt;=Hypothèses!$V$12,Hypothèses!$W$12,IF(BG143&lt;=Hypothèses!$V$13,Hypothèses!$W$13,IF(BG143&lt;=Hypothèses!$V$14,Hypothèses!$W$14,IF(BG143&lt;=Hypothèses!$V$15,Hypothèses!$W$15,IF(BG143&lt;=Hypothèses!$V$16,Hypothèses!$W$16,IF(BG143&lt;=Hypothèses!$V$17,Hypothèses!$W$17,IF(BG143&lt;=Hypothèses!$V$18,Hypothèses!$W$18,""))))))))))))</f>
        <v>#DIV/0!</v>
      </c>
      <c r="CB143" s="87" t="e">
        <f t="shared" ca="1" si="219"/>
        <v>#DIV/0!</v>
      </c>
      <c r="CC143" s="88" t="e">
        <f ca="1">IF(BG143&lt;=Hypothèses!$V$7,Hypothèses!$X$7,IF(BG143&lt;=Hypothèses!$V$8,Hypothèses!$X$8,IF(BG143&lt;=Hypothèses!$V$9,Hypothèses!$X$9,IF(BG143&lt;=Hypothèses!$V$10,Hypothèses!$X$10,IF(BG143&lt;=Hypothèses!$V$11,Hypothèses!$X$11,IF(BG143&lt;=Hypothèses!$V$12,Hypothèses!$X$12,IF(BG143&lt;=Hypothèses!$V$13,Hypothèses!$X$13,IF(BG143&lt;=Hypothèses!$V$14,Hypothèses!$X$14,IF(BG143&lt;=Hypothèses!$V$15,Hypothèses!$X$15,IF(BG143&lt;=Hypothèses!$V$16,Hypothèses!$X$16,IF(BG143&lt;=Hypothèses!$U$17,Hypothèses!$W$17,IF(BG143&lt;=Hypothèses!$U$18,Hypothèses!$W$18,""))))))))))))</f>
        <v>#DIV/0!</v>
      </c>
      <c r="CD143" s="95" t="e">
        <f t="shared" ref="CD143:CD206" ca="1" si="281">IF($B143&lt;10*$CN$12,0.1/CB143*SUM(OFFSET(F143,-10*$B143+1,0,10*$B143,1)),0.1/CB143*SUM(OFFSET(F143,-100*$CN$12+1,0,100*$CN$12,1)))</f>
        <v>#DIV/0!</v>
      </c>
      <c r="CE143" s="101" t="e">
        <f t="shared" si="226"/>
        <v>#N/A</v>
      </c>
      <c r="CF143" s="91" t="e">
        <f t="shared" si="250"/>
        <v>#N/A</v>
      </c>
      <c r="CG143" s="30" t="e">
        <f t="shared" si="206"/>
        <v>#N/A</v>
      </c>
      <c r="CH143" s="30" t="e">
        <f t="shared" si="207"/>
        <v>#N/A</v>
      </c>
      <c r="CI143" s="31" t="e">
        <f>IF(OR(Hypothèses!$B$4=17,Hypothèses!$B$4=18,Hypothèses!$B$4=19,Hypothèses!$B$4=20),
IF($D143="Pressio.",
IF(OR($E143=3,$E143=1,$E143=4),CH143,CG143),
IF($D143="Pénétro.",
IF(OR($E143=3,$E143=1,$E143=4),CH143,CG143))),IF($D143="Pressio.",
IF($E143=3,CH143,CG143),
IF($D143="Pénétro.",
IF($E143=4,CH143,CG143))))</f>
        <v>#N/A</v>
      </c>
      <c r="CJ143" s="31" t="e">
        <f>(IF(OR(Hypothèses!$B$4=17,Hypothèses!$B$4=18,Hypothèses!$B$4=19,Hypothèses!$B$4=20),
IF($D143="Pressio.",
IF(OR($E143=3,$E143=1,$E143=4),(PI()*CJ$12^2)/4*(CF143*$W143*1000)/($H143*$B$5),(PI()*CJ$12^2)/4*(CF143*$W143*1000)/($G143*$B$5)),
IF($D143="Pénétro.",
IF(OR($E143=4,$E143=1,$E143=5),(PI()*CJ$12^2)/4*(CF143*$W143*1000)/($H143*$B$5),(PI()*CJ$12^2)/4*(CF143*$W143*1000)/($G143*$B$5)))),
IF($D143="Pressio.",
IF($E143=3,(PI()*CJ$12^2)/4*(CF143*$W143*1000)/($H143*$B$5),(PI()*CJ$12^2)/4*(CF143*$W143*1000)/($G143*$B$5)),
IF($D143="Pénétro.",
IF($E143=4,(PI()*CJ$12^2)/4*(CF143*$W143*1000)/($H143*$B$5),(PI()*CJ$12^2)/4*(CF143*$W143*1000)/($G143*$B$5))))))/10</f>
        <v>#N/A</v>
      </c>
      <c r="CK143" s="102" t="e">
        <f>(VLOOKUP($B$3,'Coeff EC7'!$T$39:$X$59,2,0)*CI143+VLOOKUP($B$3,'Coeff EC7'!$T$65:$X$85,2,0)*Model0.1C!CJ143)/1.1</f>
        <v>#N/A</v>
      </c>
      <c r="CL143" s="102" t="e">
        <f>(VLOOKUP($B$3,'Coeff EC7'!$T$39:$X$59,3,0)*CI143+VLOOKUP($B$3,'Coeff EC7'!$T$65:$X$85,3,0)*Model0.1C!CJ143)/0.9</f>
        <v>#N/A</v>
      </c>
      <c r="CM143" s="102" t="e">
        <f t="shared" ref="CM143:CM206" si="282">CI143/1.1+CJ143/1.1</f>
        <v>#N/A</v>
      </c>
      <c r="CN143" s="102" t="e">
        <f t="shared" ref="CN143:CN206" si="283">CI143+CJ143</f>
        <v>#N/A</v>
      </c>
      <c r="CO143" s="414" t="e">
        <f>IF(CO142=0,0,IF(AND(CK143&gt;charge_ELS_quasi,CL143&gt;Charge_ELS_freq,CM143&gt;charge_ELU,CN143&gt;charge_ELA,$B143&gt;NDC!$H$22-0.1+MIN(3*$CO$12,1.5)),0,1))</f>
        <v>#N/A</v>
      </c>
      <c r="CP143" s="86" t="b">
        <f t="shared" si="251"/>
        <v>0</v>
      </c>
      <c r="CQ143" s="86">
        <f t="shared" si="252"/>
        <v>0.5</v>
      </c>
      <c r="CR143" s="86">
        <f t="shared" si="253"/>
        <v>0.5</v>
      </c>
      <c r="CS143" s="30" t="e">
        <f t="shared" ref="CS143:CS206" ca="1" si="284">AVERAGE(OFFSET($F143, -10*CR143, 0,10*CR143, 1), OFFSET($F143, 1, 0, 30*CQ143, 1))</f>
        <v>#DIV/0!</v>
      </c>
      <c r="CT143" s="85" t="e">
        <f ca="1">IF(BZ143&lt;=Hypothèses!$V$7,Hypothèses!$W$7,IF(BZ143&lt;=Hypothèses!$V$8,Hypothèses!$W$8,IF(BZ143&lt;=Hypothèses!$V$9,Hypothèses!$W$9,IF(BZ143&lt;=Hypothèses!$V$10,Hypothèses!$W$10,IF(BZ143&lt;=Hypothèses!$V$11,Hypothèses!$W$11,IF(BZ143&lt;=Hypothèses!$V$12,Hypothèses!$W$12,IF(BZ143&lt;=Hypothèses!$V$13,Hypothèses!$W$13,IF(BZ143&lt;=Hypothèses!$V$14,Hypothèses!$W$14,IF(BZ143&lt;=Hypothèses!$V$15,Hypothèses!$W$15,IF(BZ143&lt;=Hypothèses!$V$16,Hypothèses!$W$16,IF(BZ143&lt;=Hypothèses!$V$17,Hypothèses!$W$17,IF(BZ143&lt;=Hypothèses!$V$18,Hypothèses!$W$18,""))))))))))))</f>
        <v>#DIV/0!</v>
      </c>
      <c r="CU143" s="87" t="e">
        <f t="shared" ca="1" si="220"/>
        <v>#DIV/0!</v>
      </c>
      <c r="CV143" s="88" t="e">
        <f ca="1">IF(BZ143&lt;=Hypothèses!$V$7,Hypothèses!$X$7,IF(BZ143&lt;=Hypothèses!$V$8,Hypothèses!$X$8,IF(BZ143&lt;=Hypothèses!$V$9,Hypothèses!$X$9,IF(BZ143&lt;=Hypothèses!$V$10,Hypothèses!$X$10,IF(BZ143&lt;=Hypothèses!$V$11,Hypothèses!$X$11,IF(BZ143&lt;=Hypothèses!$V$12,Hypothèses!$X$12,IF(BZ143&lt;=Hypothèses!$V$13,Hypothèses!$X$13,IF(BZ143&lt;=Hypothèses!$V$14,Hypothèses!$X$14,IF(BZ143&lt;=Hypothèses!$V$15,Hypothèses!$X$15,IF(BZ143&lt;=Hypothèses!$V$16,Hypothèses!$X$16,IF(BZ143&lt;=Hypothèses!$U$17,Hypothèses!$W$17,IF(BZ143&lt;=Hypothèses!$U$18,Hypothèses!$W$18,""))))))))))))</f>
        <v>#DIV/0!</v>
      </c>
      <c r="CW143" s="95" t="e">
        <f t="shared" ref="CW143:CW206" ca="1" si="285">IF($B143&lt;10*$DG$12,0.1/CU143*SUM(OFFSET(F143,-10*$B143+1,0,10*$B143,1)),0.1/CU143*SUM(OFFSET(F143,-100*$DG$12+1,0,100*$DG$12,1)))</f>
        <v>#DIV/0!</v>
      </c>
      <c r="CX143" s="101" t="e">
        <f t="shared" si="227"/>
        <v>#N/A</v>
      </c>
      <c r="CY143" s="91" t="e">
        <f t="shared" si="254"/>
        <v>#N/A</v>
      </c>
      <c r="CZ143" s="30" t="e">
        <f t="shared" si="208"/>
        <v>#N/A</v>
      </c>
      <c r="DA143" s="30" t="e">
        <f t="shared" si="209"/>
        <v>#N/A</v>
      </c>
      <c r="DB143" s="31" t="e">
        <f>IF(OR(Hypothèses!$B$4=17,Hypothèses!$B$4=18,Hypothèses!$B$4=19,Hypothèses!$B$4=20),
IF($D143="Pressio.",
IF(OR($E143=3,$E143=1,$E143=4),DA143,CZ143),
IF($D143="Pénétro.",
IF(OR($E143=3,$E143=1,$E143=4),DA143,CZ143))),IF($D143="Pressio.",
IF($E143=3,DA143,CZ143),
IF($D143="Pénétro.",
IF($E143=4,DA143,CZ143))))</f>
        <v>#N/A</v>
      </c>
      <c r="DC143" s="31" t="e">
        <f>(IF(OR(Hypothèses!$B$4=17,Hypothèses!$B$4=18,Hypothèses!$B$4=19,Hypothèses!$B$4=20),
IF($D143="Pressio.",
IF(OR($E143=3,$E143=1,$E143=4),(PI()*DC$12^2)/4*(CY143*$W143*1000)/($H143*$B$5),(PI()*DC$12^2)/4*(CY143*$W143*1000)/($G143*$B$5)),
IF($D143="Pénétro.",
IF(OR($E143=4,$E143=1,$E143=5),(PI()*DC$12^2)/4*(CY143*$W143*1000)/($H143*$B$5),(PI()*DC$12^2)/4*(CY143*$W143*1000)/($G143*$B$5)))),
IF($D143="Pressio.",
IF($E143=3,(PI()*DC$12^2)/4*(CY143*$W143*1000)/($H143*$B$5),(PI()*DC$12^2)/4*(CY143*$W143*1000)/($G143*$B$5)),
IF($D143="Pénétro.",
IF($E143=4,(PI()*DC$12^2)/4*(CY143*$W143*1000)/($H143*$B$5),(PI()*DC$12^2)/4*(CY143*$W143*1000)/($G143*$B$5))))))/10</f>
        <v>#N/A</v>
      </c>
      <c r="DD143" s="102" t="e">
        <f>(VLOOKUP($B$3,'Coeff EC7'!$T$39:$X$59,2,0)*DB143+VLOOKUP($B$3,'Coeff EC7'!$T$65:$X$85,2,0)*Model0.1C!DC143)/1.1</f>
        <v>#N/A</v>
      </c>
      <c r="DE143" s="102" t="e">
        <f>(VLOOKUP($B$3,'Coeff EC7'!$T$39:$X$59,3,0)*DB143+VLOOKUP($B$3,'Coeff EC7'!$T$65:$X$85,3,0)*Model0.1C!DC143)/0.9</f>
        <v>#N/A</v>
      </c>
      <c r="DF143" s="102" t="e">
        <f t="shared" ref="DF143:DF206" si="286">DB143/1.1+DC143/1.1</f>
        <v>#N/A</v>
      </c>
      <c r="DG143" s="102" t="e">
        <f t="shared" ref="DG143:DG206" si="287">DB143+DC143</f>
        <v>#N/A</v>
      </c>
      <c r="DH143" s="414" t="e">
        <f>IF(DH142=0,0,IF(AND(DD143&gt;charge_ELS_quasi,DE143&gt;Charge_ELS_freq,DF143&gt;charge_ELU,DG143&gt;charge_ELA,$B143&gt;NDC!$H$22-0.1+MIN(3*$DH$12,1.5)),0,1))</f>
        <v>#N/A</v>
      </c>
      <c r="DI143" s="86" t="b">
        <f t="shared" si="255"/>
        <v>0</v>
      </c>
      <c r="DJ143" s="86">
        <f t="shared" si="256"/>
        <v>0.5</v>
      </c>
      <c r="DK143" s="86">
        <f t="shared" si="257"/>
        <v>0.5</v>
      </c>
      <c r="DL143" s="30" t="e">
        <f t="shared" ref="DL143:DL206" ca="1" si="288">AVERAGE(OFFSET($F143, -10*DK143, 0,10*DK143, 1), OFFSET($F143, 1, 0, 30*DJ143, 1))</f>
        <v>#DIV/0!</v>
      </c>
      <c r="DM143" s="85" t="e">
        <f ca="1">IF(CS143&lt;=Hypothèses!$V$7,Hypothèses!$W$7,IF(CS143&lt;=Hypothèses!$V$8,Hypothèses!$W$8,IF(CS143&lt;=Hypothèses!$V$9,Hypothèses!$W$9,IF(CS143&lt;=Hypothèses!$V$10,Hypothèses!$W$10,IF(CS143&lt;=Hypothèses!$V$11,Hypothèses!$W$11,IF(CS143&lt;=Hypothèses!$V$12,Hypothèses!$W$12,IF(CS143&lt;=Hypothèses!$V$13,Hypothèses!$W$13,IF(CS143&lt;=Hypothèses!$V$14,Hypothèses!$W$14,IF(CS143&lt;=Hypothèses!$V$15,Hypothèses!$W$15,IF(CS143&lt;=Hypothèses!$V$16,Hypothèses!$W$16,IF(CS143&lt;=Hypothèses!$V$17,Hypothèses!$W$17,IF(CS143&lt;=Hypothèses!$V$18,Hypothèses!$W$18,""))))))))))))</f>
        <v>#DIV/0!</v>
      </c>
      <c r="DN143" s="87" t="e">
        <f t="shared" ca="1" si="221"/>
        <v>#DIV/0!</v>
      </c>
      <c r="DO143" s="88" t="e">
        <f ca="1">IF(CS143&lt;=Hypothèses!$V$7,Hypothèses!$X$7,IF(CS143&lt;=Hypothèses!$V$8,Hypothèses!$X$8,IF(CS143&lt;=Hypothèses!$V$9,Hypothèses!$X$9,IF(CS143&lt;=Hypothèses!$V$10,Hypothèses!$X$10,IF(CS143&lt;=Hypothèses!$V$11,Hypothèses!$X$11,IF(CS143&lt;=Hypothèses!$V$12,Hypothèses!$X$12,IF(CS143&lt;=Hypothèses!$V$13,Hypothèses!$X$13,IF(CS143&lt;=Hypothèses!$V$14,Hypothèses!$X$14,IF(CS143&lt;=Hypothèses!$V$15,Hypothèses!$X$15,IF(CS143&lt;=Hypothèses!$V$16,Hypothèses!$X$16,IF(CS143&lt;=Hypothèses!$U$17,Hypothèses!$W$17,IF(CS143&lt;=Hypothèses!$U$18,Hypothèses!$W$18,""))))))))))))</f>
        <v>#DIV/0!</v>
      </c>
      <c r="DP143" s="95" t="e">
        <f t="shared" ref="DP143:DP206" ca="1" si="289">IF($B143&lt;10*$DZ$12,0.1/DN143*SUM(OFFSET(F143,-10*$B143+1,0,10*$B143,1)),0.1/DN143*SUM(OFFSET(F143,-100*$DZ$12+1,0,100*$DZ$12,1)))</f>
        <v>#DIV/0!</v>
      </c>
      <c r="DQ143" s="101" t="e">
        <f t="shared" si="228"/>
        <v>#N/A</v>
      </c>
      <c r="DR143" s="91" t="e">
        <f t="shared" si="258"/>
        <v>#N/A</v>
      </c>
      <c r="DS143" s="30" t="e">
        <f t="shared" si="210"/>
        <v>#N/A</v>
      </c>
      <c r="DT143" s="30" t="e">
        <f t="shared" si="211"/>
        <v>#N/A</v>
      </c>
      <c r="DU143" s="31" t="e">
        <f>IF(OR(Hypothèses!$B$4=17,Hypothèses!$B$4=18,Hypothèses!$B$4=19,Hypothèses!$B$4=20),
IF($D143="Pressio.",
IF(OR($E143=3,$E143=1,$E143=4),DT143,DS143),
IF($D143="Pénétro.",
IF(OR($E143=3,$E143=1,$E143=4),DT143,DS143))),IF($D143="Pressio.",
IF($E143=3,DT143,DS143),
IF($D143="Pénétro.",
IF($E143=4,DT143,DS143))))</f>
        <v>#N/A</v>
      </c>
      <c r="DV143" s="31" t="e">
        <f>(IF(OR(Hypothèses!$B$4=17,Hypothèses!$B$4=18,Hypothèses!$B$4=19,Hypothèses!$B$4=20),
IF($D143="Pressio.",
IF(OR($E143=3,$E143=1,$E143=4),(PI()*DV$12^2)/4*(DR143*$W143*1000)/($H143*$B$5),(PI()*DV$12^2)/4*(DR143*$W143*1000)/($G143*$B$5)),
IF($D143="Pénétro.",
IF(OR($E143=4,$E143=1,$E143=5),(PI()*DV$12^2)/4*(DR143*$W143*1000)/($H143*$B$5),(PI()*DV$12^2)/4*(DR143*$W143*1000)/($G143*$B$5)))),
IF($D143="Pressio.",
IF($E143=3,(PI()*DV$12^2)/4*(DR143*$W143*1000)/($H143*$B$5),(PI()*DV$12^2)/4*(DR143*$W143*1000)/($G143*$B$5)),
IF($D143="Pénétro.",
IF($E143=4,(PI()*DV$12^2)/4*(DR143*$W143*1000)/($H143*$B$5),(PI()*DV$12^2)/4*(DR143*$W143*1000)/($G143*$B$5))))))/10</f>
        <v>#N/A</v>
      </c>
      <c r="DW143" s="102" t="e">
        <f>(VLOOKUP($B$3,'Coeff EC7'!$T$39:$X$59,2,0)*DU143+VLOOKUP($B$3,'Coeff EC7'!$T$65:$X$85,2,0)*Model0.1C!DV143)/1.1</f>
        <v>#N/A</v>
      </c>
      <c r="DX143" s="102" t="e">
        <f>(VLOOKUP($B$3,'Coeff EC7'!$T$39:$X$59,3,0)*DU143+VLOOKUP($B$3,'Coeff EC7'!$T$65:$X$85,3,0)*Model0.1C!DV143)/0.9</f>
        <v>#N/A</v>
      </c>
      <c r="DY143" s="102" t="e">
        <f t="shared" ref="DY143:DY206" si="290">DU143/1.1+DV143/1.1</f>
        <v>#N/A</v>
      </c>
      <c r="DZ143" s="102" t="e">
        <f t="shared" ref="DZ143:DZ206" si="291">DU143+DV143</f>
        <v>#N/A</v>
      </c>
      <c r="EA143" s="414" t="e">
        <f>IF(EA142=0,0,IF(AND(DW143&gt;charge_ELS_quasi,DX143&gt;Charge_ELS_freq,DY143&gt;charge_ELU,DZ143&gt;charge_ELA,$B143&gt;NDC!$H$22-0.1+MIN(3*$EA$12,1.5)),0,1))</f>
        <v>#N/A</v>
      </c>
      <c r="EB143" s="86" t="b">
        <f t="shared" si="259"/>
        <v>0</v>
      </c>
      <c r="EC143" s="418">
        <f t="shared" si="260"/>
        <v>0.51</v>
      </c>
      <c r="ED143" s="86">
        <f t="shared" si="261"/>
        <v>0.51</v>
      </c>
      <c r="EE143" s="30" t="e">
        <f t="shared" ref="EE143:EE206" ca="1" si="292">AVERAGE(OFFSET($F143, -10*ED143, 0,10*ED143, 1), OFFSET($F143, 1, 0, 30*EC143, 1))</f>
        <v>#DIV/0!</v>
      </c>
      <c r="EF143" s="85" t="e">
        <f ca="1">IF(DL143&lt;=Hypothèses!$V$7,Hypothèses!$W$7,IF(DL143&lt;=Hypothèses!$V$8,Hypothèses!$W$8,IF(DL143&lt;=Hypothèses!$V$9,Hypothèses!$W$9,IF(DL143&lt;=Hypothèses!$V$10,Hypothèses!$W$10,IF(DL143&lt;=Hypothèses!$V$11,Hypothèses!$W$11,IF(DL143&lt;=Hypothèses!$V$12,Hypothèses!$W$12,IF(DL143&lt;=Hypothèses!$V$13,Hypothèses!$W$13,IF(DL143&lt;=Hypothèses!$V$14,Hypothèses!$W$14,IF(DL143&lt;=Hypothèses!$V$15,Hypothèses!$W$15,IF(DL143&lt;=Hypothèses!$V$16,Hypothèses!$W$16,IF(DL143&lt;=Hypothèses!$V$17,Hypothèses!$W$17,IF(DL143&lt;=Hypothèses!$V$18,Hypothèses!$W$18,""))))))))))))</f>
        <v>#DIV/0!</v>
      </c>
      <c r="EG143" s="87" t="e">
        <f t="shared" ca="1" si="222"/>
        <v>#DIV/0!</v>
      </c>
      <c r="EH143" s="88" t="e">
        <f ca="1">IF(DL143&lt;=Hypothèses!$V$7,Hypothèses!$X$7,IF(DL143&lt;=Hypothèses!$V$8,Hypothèses!$X$8,IF(DL143&lt;=Hypothèses!$V$9,Hypothèses!$X$9,IF(DL143&lt;=Hypothèses!$V$10,Hypothèses!$X$10,IF(DL143&lt;=Hypothèses!$V$11,Hypothèses!$X$11,IF(DL143&lt;=Hypothèses!$V$12,Hypothèses!$X$12,IF(DL143&lt;=Hypothèses!$V$13,Hypothèses!$X$13,IF(DL143&lt;=Hypothèses!$V$14,Hypothèses!$X$14,IF(DL143&lt;=Hypothèses!$V$15,Hypothèses!$X$15,IF(DL143&lt;=Hypothèses!$V$16,Hypothèses!$X$16,IF(DL143&lt;=Hypothèses!$U$17,Hypothèses!$W$17,IF(DL143&lt;=Hypothèses!$U$18,Hypothèses!$W$18,""))))))))))))</f>
        <v>#DIV/0!</v>
      </c>
      <c r="EI143" s="95" t="e">
        <f t="shared" ref="EI143:EI206" ca="1" si="293">IF($B143&lt;10*$ES$12,0.1/EG143*SUM(OFFSET(F143,-10*$B143+1,0,10*$B143,1)),0.1/EG143*SUM(OFFSET(F143,-100*$ES$12+1,0,100*$ES$12,1)))</f>
        <v>#DIV/0!</v>
      </c>
      <c r="EJ143" s="101" t="e">
        <f t="shared" si="229"/>
        <v>#N/A</v>
      </c>
      <c r="EK143" s="91" t="e">
        <f t="shared" si="262"/>
        <v>#N/A</v>
      </c>
      <c r="EL143" s="30" t="e">
        <f t="shared" si="212"/>
        <v>#N/A</v>
      </c>
      <c r="EM143" s="30" t="e">
        <f t="shared" si="213"/>
        <v>#N/A</v>
      </c>
      <c r="EN143" s="31" t="e">
        <f>IF(OR(Hypothèses!$B$4=17,Hypothèses!$B$4=18,Hypothèses!$B$4=19,Hypothèses!$B$4=20),
IF($D143="Pressio.",
IF(OR($E143=3,$E143=1,$E143=4),EM143,EL143),
IF($D143="Pénétro.",
IF(OR($E143=3,$E143=1,$E143=4),EM143,EL143))),IF($D143="Pressio.",
IF($E143=3,EM143,EL143),
IF($D143="Pénétro.",
IF($E143=4,EM143,EL143))))</f>
        <v>#N/A</v>
      </c>
      <c r="EO143" s="31" t="e">
        <f>(IF(OR(Hypothèses!$B$4=17,Hypothèses!$B$4=18,Hypothèses!$B$4=19,Hypothèses!$B$4=20),
IF($D143="Pressio.",
IF(OR($E143=3,$E143=1,$E143=4),(PI()*EO$12^2)/4*(EK143*$W143*1000)/($H143*$B$5),(PI()*EO$12^2)/4*(EK143*$W143*1000)/($G143*$B$5)),
IF($D143="Pénétro.",
IF(OR($E143=4,$E143=1,$E143=5),(PI()*EO$12^2)/4*(EK143*$W143*1000)/($H143*$B$5),(PI()*EO$12^2)/4*(EK143*$W143*1000)/($G143*$B$5)))),
IF($D143="Pressio.",
IF($E143=3,(PI()*EO$12^2)/4*(EK143*$W143*1000)/($H143*$B$5),(PI()*EO$12^2)/4*(EK143*$W143*1000)/($G143*$B$5)),
IF($D143="Pénétro.",
IF($E143=4,(PI()*EO$12^2)/4*(EK143*$W143*1000)/($H143*$B$5),(PI()*EO$12^2)/4*(EK143*$W143*1000)/($G143*$B$5))))))/10</f>
        <v>#N/A</v>
      </c>
      <c r="EP143" s="102" t="e">
        <f>(VLOOKUP($B$3,'Coeff EC7'!$T$39:$X$59,2,0)*EN143+VLOOKUP($B$3,'Coeff EC7'!$T$65:$X$85,2,0)*Model0.1C!EO143)/1.1</f>
        <v>#N/A</v>
      </c>
      <c r="EQ143" s="102" t="e">
        <f>(VLOOKUP($B$3,'Coeff EC7'!$T$39:$X$59,3,0)*EN143+VLOOKUP($B$3,'Coeff EC7'!$T$65:$X$85,3,0)*Model0.1C!EO143)/0.9</f>
        <v>#N/A</v>
      </c>
      <c r="ER143" s="102" t="e">
        <f t="shared" ref="ER143:ER206" si="294">EN143/1.1+EO143/1.1</f>
        <v>#N/A</v>
      </c>
      <c r="ES143" s="102" t="e">
        <f t="shared" ref="ES143:ES206" si="295">EN143+EO143</f>
        <v>#N/A</v>
      </c>
      <c r="ET143" s="414" t="e">
        <f>IF(ET142=0,0,IF(AND(EP143&gt;charge_ELS_quasi,EQ143&gt;Charge_ELS_freq,ER143&gt;charge_ELU,ES143&gt;charge_ELA,$B143&gt;NDC!$H$22-0.1+MIN(3*$ET$12,1.5)),0,1))</f>
        <v>#N/A</v>
      </c>
      <c r="EU143" s="86" t="b">
        <f t="shared" si="263"/>
        <v>0</v>
      </c>
      <c r="EV143" s="86">
        <f t="shared" si="264"/>
        <v>0.61</v>
      </c>
      <c r="EW143" s="86">
        <f t="shared" si="265"/>
        <v>0.61</v>
      </c>
      <c r="EX143" s="30" t="e">
        <f t="shared" ref="EX143:EX206" ca="1" si="296">AVERAGE(OFFSET($F143, -10*EW143, 0,10*EW143, 1), OFFSET($F143, 1, 0, 30*EV143, 1))</f>
        <v>#DIV/0!</v>
      </c>
      <c r="EY143" s="85" t="e">
        <f ca="1">IF(EE143&lt;=Hypothèses!$V$7,Hypothèses!$W$7,IF(EE143&lt;=Hypothèses!$V$8,Hypothèses!$W$8,IF(EE143&lt;=Hypothèses!$V$9,Hypothèses!$W$9,IF(EE143&lt;=Hypothèses!$V$10,Hypothèses!$W$10,IF(EE143&lt;=Hypothèses!$V$11,Hypothèses!$W$11,IF(EE143&lt;=Hypothèses!$V$12,Hypothèses!$W$12,IF(EE143&lt;=Hypothèses!$V$13,Hypothèses!$W$13,IF(EE143&lt;=Hypothèses!$V$14,Hypothèses!$W$14,IF(EE143&lt;=Hypothèses!$V$15,Hypothèses!$W$15,IF(EE143&lt;=Hypothèses!$V$16,Hypothèses!$W$16,IF(EE143&lt;=Hypothèses!$V$17,Hypothèses!$W$17,IF(EE143&lt;=Hypothèses!$V$18,Hypothèses!$W$18,""))))))))))))</f>
        <v>#DIV/0!</v>
      </c>
      <c r="EZ143" s="87" t="e">
        <f t="shared" ca="1" si="223"/>
        <v>#DIV/0!</v>
      </c>
      <c r="FA143" s="88" t="e">
        <f ca="1">IF(EE143&lt;=Hypothèses!$V$7,Hypothèses!$X$7,IF(EE143&lt;=Hypothèses!$V$8,Hypothèses!$X$8,IF(EE143&lt;=Hypothèses!$V$9,Hypothèses!$X$9,IF(EE143&lt;=Hypothèses!$V$10,Hypothèses!$X$10,IF(EE143&lt;=Hypothèses!$V$11,Hypothèses!$X$11,IF(EE143&lt;=Hypothèses!$V$12,Hypothèses!$X$12,IF(EE143&lt;=Hypothèses!$V$13,Hypothèses!$X$13,IF(EE143&lt;=Hypothèses!$V$14,Hypothèses!$X$14,IF(EE143&lt;=Hypothèses!$V$15,Hypothèses!$X$15,IF(EE143&lt;=Hypothèses!$V$16,Hypothèses!$X$16,IF(EE143&lt;=Hypothèses!$U$17,Hypothèses!$W$17,IF(EE143&lt;=Hypothèses!$U$18,Hypothèses!$W$18,""))))))))))))</f>
        <v>#DIV/0!</v>
      </c>
      <c r="FB143" s="95" t="e">
        <f t="shared" ref="FB143:FB206" ca="1" si="297">IF($B143&lt;10*$FL$12,0.1/EZ143*SUM(OFFSET(F143,-10*$B143+1,0,10*$B143,1)),0.1/EZ143*SUM(OFFSET(F143,-100*$FL$12+1,0,100*$FL$12,1)))</f>
        <v>#DIV/0!</v>
      </c>
      <c r="FC143" s="101" t="e">
        <f t="shared" si="230"/>
        <v>#N/A</v>
      </c>
      <c r="FD143" s="91" t="e">
        <f t="shared" si="266"/>
        <v>#N/A</v>
      </c>
      <c r="FE143" s="30" t="e">
        <f t="shared" si="214"/>
        <v>#N/A</v>
      </c>
      <c r="FF143" s="30" t="e">
        <f t="shared" si="215"/>
        <v>#N/A</v>
      </c>
      <c r="FG143" s="31" t="e">
        <f>IF(OR(Hypothèses!$B$4=17,Hypothèses!$B$4=18,Hypothèses!$B$4=19,Hypothèses!$B$4=20),
IF($D143="Pressio.",
IF(OR($E143=3,$E143=1,$E143=4),FF143,FE143),
IF($D143="Pénétro.",
IF(OR($E143=3,$E143=1,$E143=4),FF143,FE143))),IF($D143="Pressio.",
IF($E143=3,FF143,FE143),
IF($D143="Pénétro.",
IF($E143=4,FF143,FE143))))</f>
        <v>#N/A</v>
      </c>
      <c r="FH143" s="31" t="e">
        <f>(IF(OR(Hypothèses!$B$4=17,Hypothèses!$B$4=18,Hypothèses!$B$4=19,Hypothèses!$B$4=20),
IF($D143="Pressio.",
IF(OR($E143=3,$E143=1,$E143=4),(PI()*FH$12^2)/4*(FD143*$W143*1000)/($H143*$B$5),(PI()*FH$12^2)/4*(FD143*$W143*1000)/($G143*$B$5)),
IF($D143="Pénétro.",
IF(OR($E143=4,$E143=1,$E143=5),(PI()*FH$12^2)/4*(FD143*$W143*1000)/($H143*$B$5),(PI()*FH$12^2)/4*(FD143*$W143*1000)/($G143*$B$5)))),
IF($D143="Pressio.",
IF($E143=3,(PI()*FH$12^2)/4*(FD143*$W143*1000)/($H143*$B$5),(PI()*FH$12^2)/4*(FD143*$W143*1000)/($G143*$B$5)),
IF($D143="Pénétro.",
IF($E143=4,(PI()*FH$12^2)/4*(FD143*$W143*1000)/($H143*$B$5),(PI()*FH$12^2)/4*(FD143*$W143*1000)/($G143*$B$5))))))/10</f>
        <v>#N/A</v>
      </c>
      <c r="FI143" s="102" t="e">
        <f>(VLOOKUP($B$3,'Coeff EC7'!$T$39:$X$59,2,0)*FG143+VLOOKUP($B$3,'Coeff EC7'!$T$65:$X$85,2,0)*Model0.1C!FH143)/1.1</f>
        <v>#N/A</v>
      </c>
      <c r="FJ143" s="102" t="e">
        <f>(VLOOKUP($B$3,'Coeff EC7'!$T$39:$X$59,3,0)*FG143+VLOOKUP($B$3,'Coeff EC7'!$T$65:$X$85,3,0)*Model0.1C!FH143)/0.9</f>
        <v>#N/A</v>
      </c>
      <c r="FK143" s="102" t="e">
        <f t="shared" ref="FK143:FK206" si="298">FG143/1.1+FH143/1.1</f>
        <v>#N/A</v>
      </c>
      <c r="FL143" s="102" t="e">
        <f t="shared" ref="FL143:FL206" si="299">FG143+FH143</f>
        <v>#N/A</v>
      </c>
      <c r="FM143" s="414" t="e">
        <f>IF(FM142=0,0,IF(AND(FI143&gt;charge_ELS_quasi,FJ143&gt;Charge_ELS_freq,FK143&gt;charge_ELU,FL143&gt;charge_ELA,$B143&gt;NDC!$H$22-0.1+MIN(3*$FM$12,1.5)),0,1))</f>
        <v>#N/A</v>
      </c>
    </row>
    <row r="144" spans="1:169">
      <c r="A144" s="96">
        <f t="shared" si="267"/>
        <v>86.900000000000745</v>
      </c>
      <c r="B144" s="97">
        <v>13.1</v>
      </c>
      <c r="C144" s="81">
        <f>IF(B144&lt;=Hypothèses!$C$7,Hypothèses!$A$7,IF(B144&lt;=Hypothèses!$C$8,Hypothèses!$A$8,IF(B144&lt;=Hypothèses!$C$9,Hypothèses!$A$9,IF(B144&lt;=Hypothèses!$C$10,Hypothèses!$A$10,IF(B144&lt;=Hypothèses!$C$11,Hypothèses!$A$11,IF(B144&lt;=Hypothèses!$C$12,Hypothèses!$A$12,IF(B144&lt;=Hypothèses!$C$13,Hypothèses!$A$13,IF(B144&lt;=Hypothèses!$C$14,Hypothèses!$A$14,IF(B144&lt;=Hypothèses!$C$15,Hypothèses!$A$15,IF(B144&lt;=Hypothèses!$C$16,Hypothèses!$A$16,IF(B144&lt;=Hypothèses!$C$17,Hypothèses!$A$17,IF(B144&lt;=Hypothèses!$C$18,Hypothèses!$A$18,C143))))))))))))</f>
        <v>11</v>
      </c>
      <c r="D144" s="82" t="str">
        <f>IF(B144&lt;=Hypothèses!$C$7,Hypothèses!$R$7,IF(B144&lt;=Hypothèses!$C$8,Hypothèses!$R$8,IF(B144&lt;=Hypothèses!$C$9,Hypothèses!$R$9,IF(B144&lt;=Hypothèses!$C$10,Hypothèses!$R$10,IF(B144&lt;=Hypothèses!$C$11,Hypothèses!$R$11,IF(B144&lt;=Hypothèses!$C$12,Hypothèses!$R$12,IF(B144&lt;=Hypothèses!$C$13,Hypothèses!$R$13,IF(B144&lt;=Hypothèses!$C$14,Hypothèses!$R$14,IF(B144&lt;=Hypothèses!$C$15,Hypothèses!$R$15,IF(B144&lt;=Hypothèses!$C$16,Hypothèses!$R$16,IF(B144&lt;=Hypothèses!$C$17,Hypothèses!$R$17,IF(B144&lt;=Hypothèses!$C$18,Hypothèses!$R$18,D143))))))))))))</f>
        <v>Pressio.</v>
      </c>
      <c r="E144" s="82" t="e">
        <f>IF(B144&lt;=Hypothèses!$C$7,Hypothèses!$G$7,IF(B144&lt;=Hypothèses!$C$8,Hypothèses!$G$8,IF(B144&lt;=Hypothèses!$C$9,Hypothèses!$G$9,IF(B144&lt;=Hypothèses!$C$10,Hypothèses!$G$10,IF(B144&lt;=Hypothèses!$C$11,Hypothèses!$G$11,IF(B144&lt;=Hypothèses!$C$12,Hypothèses!$G$12,IF(B144&lt;=Hypothèses!$C$13,Hypothèses!$G$13,IF(B144&lt;=Hypothèses!$C$14,Hypothèses!$G$14,IF(B144&lt;=Hypothèses!$C$15,Hypothèses!$G$15,IF(B144&lt;=Hypothèses!$C$16,Hypothèses!$G$16,IF(B144&lt;=Hypothèses!$C$17,Hypothèses!$G$17,IF(B144&lt;=Hypothèses!$C$18,Hypothèses!$G$18,E143))))))))))))</f>
        <v>#N/A</v>
      </c>
      <c r="F144" s="82" t="str">
        <f>IF(B144&lt;=Hypothèses!$C$7,Hypothèses!$F$7,IF(B144&lt;=Hypothèses!$C$8,Hypothèses!$F$8,IF(B144&lt;=Hypothèses!$C$9,Hypothèses!$F$9,IF(B144&lt;=Hypothèses!$C$10,Hypothèses!$F$10,IF(B144&lt;=Hypothèses!$C$11,Hypothèses!$F$11,IF(B144&lt;=Hypothèses!$C$12,Hypothèses!$F$12,IF(B144&lt;=Hypothèses!$C$13,Hypothèses!$F$13,IF(B144&lt;=Hypothèses!$C$14,Hypothèses!$F$14,IF(B144&lt;=Hypothèses!$C$15,Hypothèses!$F$15,IF(B144&lt;=Hypothèses!$C$16,Hypothèses!$F$16,IF(B144&lt;=Hypothèses!$C$17,Hypothèses!$F$17,IF(B144&lt;=Hypothèses!$C$18,Hypothèses!$F$18,F143))))))))))))</f>
        <v/>
      </c>
      <c r="G144" s="91">
        <f t="array" ref="G144">INDEX('Coeff EC7'!$U$7:$X$27,
MATCH(Model0.1C!$B$3,'Coeff EC7'!$T$7:$T$27,0),
MATCH(Model0.1C!$D144&amp;Model0.1C!$B$4,
'Coeff EC7'!$U$6:$X$6&amp;
'Coeff EC7'!$U$5:$X$5,0))</f>
        <v>1.1499999999999999</v>
      </c>
      <c r="H144" s="91">
        <f t="array" ref="H144">INDEX('Coeff EC7'!$Y$7:$AB$27,
MATCH(Model0.1C!$B$3,'Coeff EC7'!$T$7:$T$27,0),
MATCH(Model0.1C!$D144&amp;Model0.1C!$B$4,
'Coeff EC7'!$Y$6:$AB$6&amp;
'Coeff EC7'!$Y$5:$AB$5,0))</f>
        <v>1.4</v>
      </c>
      <c r="I144" s="83" t="e">
        <f>IF(B144&lt;=Hypothèses!$C$7,Hypothèses!$P$7,IF(B144&lt;=Hypothèses!$C$8,Hypothèses!$P$8,IF(B144&lt;=Hypothèses!$C$9,Hypothèses!$P$9,IF(B144&lt;=Hypothèses!$C$10,Hypothèses!$P$10,IF(B144&lt;=Hypothèses!$C$11,Hypothèses!$P$11,IF(B144&lt;=Hypothèses!$C$12,Hypothèses!$P$12,IF(B144&lt;=Hypothèses!$C$13,Hypothèses!$P$13,IF(B144&lt;=Hypothèses!$C$14,Hypothèses!$P$14,IF(B144&lt;=Hypothèses!$C$15,Hypothèses!$P$15,IF(B144&lt;=Hypothèses!$C$16,Hypothèses!$P$16,IF(B144&lt;=Hypothèses!$C$17,Hypothèses!$P$17,IF(B144&lt;=Hypothèses!$C$18,Hypothèses!$P$18,I143))))))))))))</f>
        <v>#N/A</v>
      </c>
      <c r="J144" s="91" t="e">
        <f t="array" ref="J144">INDEX('Coeff EC7'!$D$33:$Q$33,1,MATCH(D144&amp;E144,'Coeff EC7'!$D$31:$Q$31&amp;'Coeff EC7'!$D$32:$Q$32,0))</f>
        <v>#N/A</v>
      </c>
      <c r="K144" s="91" t="e">
        <f t="array" ref="K144">INDEX('Coeff EC7'!$D$34:$Q$34,1,MATCH(D144&amp;E144,'Coeff EC7'!$D$31:$Q$31&amp;'Coeff EC7'!$D$32:$Q$32,0))</f>
        <v>#N/A</v>
      </c>
      <c r="L144" s="91" t="e">
        <f t="array" ref="L144">INDEX('Coeff EC7'!$D$35:$Q$35,1,MATCH(D144&amp;E144,'Coeff EC7'!$D$31:$Q$31&amp;'Coeff EC7'!$D$32:$Q$32,0))</f>
        <v>#N/A</v>
      </c>
      <c r="M144" s="98" t="e">
        <f t="shared" si="231"/>
        <v>#N/A</v>
      </c>
      <c r="N144" s="99" t="e">
        <f t="array" ref="N144">INDEX('Coeff EC7'!$D$7:$Q$27,MATCH($B$3,'Coeff EC7'!$C$7:$C$27,0),MATCH(D144&amp;E144,'Coeff EC7'!$D$5:$Q$5&amp;'Coeff EC7'!$D$6:$Q$6,0))</f>
        <v>#N/A</v>
      </c>
      <c r="O144" s="99" t="e">
        <f t="array" ref="O144">INDEX('Coeff EC7'!$D$41:$Q$61,MATCH($B$3,'Coeff EC7'!$C$41:$C$61,0),MATCH(D144&amp;E144,'Coeff EC7'!$D$39:$Q$39&amp;'Coeff EC7'!$D$40:$Q$40,0))</f>
        <v>#N/A</v>
      </c>
      <c r="P144" s="30" t="e">
        <f t="shared" si="268"/>
        <v>#N/A</v>
      </c>
      <c r="Q144" s="100" t="e">
        <f t="shared" si="233"/>
        <v>#N/A</v>
      </c>
      <c r="R144" s="86" t="b">
        <f t="shared" si="234"/>
        <v>0</v>
      </c>
      <c r="S144" s="86">
        <f t="shared" si="232"/>
        <v>0.5</v>
      </c>
      <c r="T144" s="86">
        <f t="shared" si="235"/>
        <v>0.5</v>
      </c>
      <c r="U144" s="30" t="e">
        <f t="shared" ca="1" si="269"/>
        <v>#DIV/0!</v>
      </c>
      <c r="V144" s="85" t="str">
        <f>IF(B144&lt;=Hypothèses!$V$7,Hypothèses!$W$7,IF(B144&lt;=Hypothèses!$V$8,Hypothèses!$W$8,IF(B144&lt;=Hypothèses!$V$9,Hypothèses!$W$9,IF(B144&lt;=Hypothèses!$V$10,Hypothèses!$W$10,IF(B144&lt;=Hypothèses!$V$11,Hypothèses!$W$11,IF(B144&lt;=Hypothèses!$V$12,Hypothèses!$W$12,IF(B144&lt;=Hypothèses!$V$13,Hypothèses!$W$13,IF(B144&lt;=Hypothèses!$V$14,Hypothèses!$W$14,IF(B144&lt;=Hypothèses!$V$15,Hypothèses!$W$15,IF(B144&lt;=Hypothèses!$V$16,Hypothèses!$W$16,IF(B144&lt;=Hypothèses!$V$17,Hypothèses!$W$17,IF(B144&lt;=Hypothèses!$V$18,Hypothèses!$W$18,""))))))))))))</f>
        <v/>
      </c>
      <c r="W144" s="87" t="e">
        <f t="shared" ca="1" si="216"/>
        <v>#DIV/0!</v>
      </c>
      <c r="X144" s="88" t="str">
        <f>IF(B144&lt;=Hypothèses!$V$7,Hypothèses!$X$7,IF(B144&lt;=Hypothèses!$V$8,Hypothèses!$X$8,IF(B144&lt;=Hypothèses!$V$9,Hypothèses!$X$9,IF(B144&lt;=Hypothèses!$V$10,Hypothèses!$X$10,IF(B144&lt;=Hypothèses!$V$11,Hypothèses!$X$11,IF(B144&lt;=Hypothèses!$V$12,Hypothèses!$X$12,IF(B144&lt;=Hypothèses!$V$13,Hypothèses!$X$13,IF(B144&lt;=Hypothèses!$V$14,Hypothèses!$X$14,IF(B144&lt;=Hypothèses!$V$15,Hypothèses!$X$15,IF(B144&lt;=Hypothèses!$V$16,Hypothèses!$X$16,IF(B144&lt;=Hypothèses!$U$17,Hypothèses!$W$17,IF(B144&lt;=Hypothèses!$U$18,Hypothèses!$W$18,""))))))))))))</f>
        <v/>
      </c>
      <c r="Y144" s="95" t="e">
        <f t="shared" ca="1" si="236"/>
        <v>#DIV/0!</v>
      </c>
      <c r="Z144" s="101" t="e">
        <f t="shared" si="237"/>
        <v>#N/A</v>
      </c>
      <c r="AA144" s="91" t="e">
        <f t="shared" si="238"/>
        <v>#N/A</v>
      </c>
      <c r="AB144" s="30" t="e">
        <f t="shared" ref="AB144:AB207" si="300">PI()*AB$12*$Q144*($B144-$B143)/($G144*$B$5)/10+AD143</f>
        <v>#N/A</v>
      </c>
      <c r="AC144" s="30" t="e">
        <f t="shared" ref="AC144:AC207" si="301">(PI()*AC$12*$Q144*($B144-$B143))/($H144*$B$5)/10+AD143</f>
        <v>#N/A</v>
      </c>
      <c r="AD144" s="31" t="e">
        <f>IF(OR(Hypothèses!$B$4=17,Hypothèses!$B$4=18,Hypothèses!$B$4=19,Hypothèses!$B$4=20),
IF($D144="Pressio.",
IF(OR($E144=3,$E144=1,$E144=4),AC144,AB144),
IF($D144="Pénétro.",
IF(OR($E144=3,$E144=1,$E144=4),AC144,AB144))),IF($D144="Pressio.",
IF($E144=3,AC144,AB144),
IF($D144="Pénétro.",
IF($E144=4,AC144,AB144))))</f>
        <v>#N/A</v>
      </c>
      <c r="AE144" s="31" t="e">
        <f>(IF(OR(Hypothèses!$B$4=17,Hypothèses!$B$4=18,Hypothèses!$B$4=19,Hypothèses!$B$4=20),
IF($D144="Pressio.",
IF(OR($E144=3,$E144=1,$E144=4),(PI()*AE$12^2)/4*(AA144*$W144*1000)/($H144*$B$5),(PI()*AE$12^2)/4*(AA144*$W144*1000)/($G144*$B$5)),
IF($D144="Pénétro.",
IF(OR($E144=4,$E144=1,$E144=5),(PI()*AE$12^2)/4*(AA144*$W144*1000)/($H144*$B$5),(PI()*AE$12^2)/4*(AA144*$W144*1000)/($G144*$B$5)))),
IF($D144="Pressio.",
IF($E144=3,(PI()*AE$12^2)/4*(AA144*$W144*1000)/($H144*$B$5),(PI()*AE$12^2)/4*(AA144*$W144*1000)/($G144*$B$5)),
IF($D144="Pénétro.",
IF($E144=4,(PI()*AE$12^2)/4*(AA144*$W144*1000)/($H144*$B$5),(PI()*AE$12^2)/4*(AA144*$W144*1000)/($G144*$B$5))))))/10</f>
        <v>#N/A</v>
      </c>
      <c r="AF144" s="102" t="e">
        <f>(VLOOKUP($B$3,'Coeff EC7'!$T$39:$X$59,2,0)*AD144+VLOOKUP($B$3,'Coeff EC7'!$T$65:$X$85,2,0)*Model0.1C!AE144)/1.1</f>
        <v>#N/A</v>
      </c>
      <c r="AG144" s="102" t="e">
        <f>(VLOOKUP($B$3,'Coeff EC7'!$T$39:$X$59,3,0)*AD144+VLOOKUP($B$3,'Coeff EC7'!$T$65:$X$85,3,0)*Model0.1C!AE144)/0.9</f>
        <v>#N/A</v>
      </c>
      <c r="AH144" s="102" t="e">
        <f t="shared" si="239"/>
        <v>#N/A</v>
      </c>
      <c r="AI144" s="102" t="e">
        <f t="shared" si="240"/>
        <v>#N/A</v>
      </c>
      <c r="AJ144" s="414" t="e">
        <f>IF(AJ143=0,0,IF(AND(AF144&gt;charge_ELS_quasi,AG144&gt;Charge_ELS_freq,AH144&gt;charge_ELU,AI144&gt;charge_ELA,$B144&gt;NDC!$H$22-0.1+MIN(3*$AJ$12,1.5)),0,1))</f>
        <v>#N/A</v>
      </c>
      <c r="AK144" s="86" t="b">
        <f t="shared" si="241"/>
        <v>0</v>
      </c>
      <c r="AL144" s="86">
        <f t="shared" si="270"/>
        <v>0.5</v>
      </c>
      <c r="AM144" s="86">
        <f t="shared" si="242"/>
        <v>0.5</v>
      </c>
      <c r="AN144" s="30" t="e">
        <f t="shared" ca="1" si="271"/>
        <v>#DIV/0!</v>
      </c>
      <c r="AO144" s="85" t="e">
        <f ca="1">IF(U144&lt;=Hypothèses!$V$7,Hypothèses!$W$7,IF(U144&lt;=Hypothèses!$V$8,Hypothèses!$W$8,IF(U144&lt;=Hypothèses!$V$9,Hypothèses!$W$9,IF(U144&lt;=Hypothèses!$V$10,Hypothèses!$W$10,IF(U144&lt;=Hypothèses!$V$11,Hypothèses!$W$11,IF(U144&lt;=Hypothèses!$V$12,Hypothèses!$W$12,IF(U144&lt;=Hypothèses!$V$13,Hypothèses!$W$13,IF(U144&lt;=Hypothèses!$V$14,Hypothèses!$W$14,IF(U144&lt;=Hypothèses!$V$15,Hypothèses!$W$15,IF(U144&lt;=Hypothèses!$V$16,Hypothèses!$W$16,IF(U144&lt;=Hypothèses!$V$17,Hypothèses!$W$17,IF(U144&lt;=Hypothèses!$V$18,Hypothèses!$W$18,""))))))))))))</f>
        <v>#DIV/0!</v>
      </c>
      <c r="AP144" s="87" t="e">
        <f t="shared" ca="1" si="217"/>
        <v>#DIV/0!</v>
      </c>
      <c r="AQ144" s="88" t="e">
        <f ca="1">IF(U144&lt;=Hypothèses!$V$7,Hypothèses!$X$7,IF(U144&lt;=Hypothèses!$V$8,Hypothèses!$X$8,IF(U144&lt;=Hypothèses!$V$9,Hypothèses!$X$9,IF(U144&lt;=Hypothèses!$V$10,Hypothèses!$X$10,IF(U144&lt;=Hypothèses!$V$11,Hypothèses!$X$11,IF(U144&lt;=Hypothèses!$V$12,Hypothèses!$X$12,IF(U144&lt;=Hypothèses!$V$13,Hypothèses!$X$13,IF(U144&lt;=Hypothèses!$V$14,Hypothèses!$X$14,IF(U144&lt;=Hypothèses!$V$15,Hypothèses!$X$15,IF(U144&lt;=Hypothèses!$V$16,Hypothèses!$X$16,IF(U144&lt;=Hypothèses!$U$17,Hypothèses!$W$17,IF(U144&lt;=Hypothèses!$U$18,Hypothèses!$W$18,""))))))))))))</f>
        <v>#DIV/0!</v>
      </c>
      <c r="AR144" s="95" t="e">
        <f t="shared" ca="1" si="272"/>
        <v>#DIV/0!</v>
      </c>
      <c r="AS144" s="101" t="e">
        <f t="shared" si="224"/>
        <v>#N/A</v>
      </c>
      <c r="AT144" s="91" t="e">
        <f t="shared" si="243"/>
        <v>#N/A</v>
      </c>
      <c r="AU144" s="30" t="e">
        <f t="shared" ref="AU144:AU207" si="302">PI()*AU$12*$Q144*($B144-$B143)/($G144*$B$5)/10+AW143</f>
        <v>#N/A</v>
      </c>
      <c r="AV144" s="30" t="e">
        <f t="shared" ref="AV144:AV207" si="303">(PI()*AV$12*$Q144*($B144-$B143))/($H144*$B$5)/10+AW143</f>
        <v>#N/A</v>
      </c>
      <c r="AW144" s="31" t="e">
        <f>IF(OR(Hypothèses!$B$4=17,Hypothèses!$B$4=18,Hypothèses!$B$4=19,Hypothèses!$B$4=20),
IF($D144="Pressio.",
IF(OR($E144=3,$E144=1,$E144=4),AV144,AU144),
IF($D144="Pénétro.",
IF(OR($E144=3,$E144=1,$E144=4),AV144,AU144))),IF($D144="Pressio.",
IF($E144=3,AV144,AU144),
IF($D144="Pénétro.",
IF($E144=4,AV144,AU144))))</f>
        <v>#N/A</v>
      </c>
      <c r="AX144" s="31" t="e">
        <f>(IF(OR(Hypothèses!$B$4=17,Hypothèses!$B$4=18,Hypothèses!$B$4=19,Hypothèses!$B$4=20),
IF($D144="Pressio.",
IF(OR($E144=3,$E144=1,$E144=4),(PI()*AX$12^2)/4*(AT144*$W144*1000)/($H144*$B$5),(PI()*AX$12^2)/4*(AT144*$W144*1000)/($G144*$B$5)),
IF($D144="Pénétro.",
IF(OR($E144=4,$E144=1,$E144=5),(PI()*AX$12^2)/4*(AT144*$W144*1000)/($H144*$B$5),(PI()*AX$12^2)/4*(AT144*$W144*1000)/($G144*$B$5)))),
IF($D144="Pressio.",
IF($E144=3,(PI()*AX$12^2)/4*(AT144*$W144*1000)/($H144*$B$5),(PI()*AX$12^2)/4*(AT144*$W144*1000)/($G144*$B$5)),
IF($D144="Pénétro.",
IF($E144=4,(PI()*AX$12^2)/4*(AT144*$W144*1000)/($H144*$B$5),(PI()*AX$12^2)/4*(AT144*$W144*1000)/($G144*$B$5))))))/10</f>
        <v>#N/A</v>
      </c>
      <c r="AY144" s="102" t="e">
        <f>(VLOOKUP($B$3,'Coeff EC7'!$T$39:$X$59,2,0)*AW144+VLOOKUP($B$3,'Coeff EC7'!$T$65:$X$85,2,0)*Model0.1C!AX144)/1.1</f>
        <v>#N/A</v>
      </c>
      <c r="AZ144" s="102" t="e">
        <f>(VLOOKUP($B$3,'Coeff EC7'!$T$39:$X$59,3,0)*AW144+VLOOKUP($B$3,'Coeff EC7'!$T$65:$X$85,3,0)*Model0.1C!AX144)/0.9</f>
        <v>#N/A</v>
      </c>
      <c r="BA144" s="102" t="e">
        <f t="shared" si="273"/>
        <v>#N/A</v>
      </c>
      <c r="BB144" s="102" t="e">
        <f t="shared" si="274"/>
        <v>#N/A</v>
      </c>
      <c r="BC144" s="414" t="e">
        <f>IF(BC143=0,0,IF(AND(AY144&gt;charge_ELS_quasi,AZ144&gt;Charge_ELS_freq,BA144&gt;charge_ELU,BB144&gt;charge_ELA,$B144&gt;NDC!$H$22-0.1+MIN(3*$BC$12,1.5)),0,1))</f>
        <v>#N/A</v>
      </c>
      <c r="BD144" s="86" t="b">
        <f t="shared" si="244"/>
        <v>0</v>
      </c>
      <c r="BE144" s="86">
        <f t="shared" si="275"/>
        <v>0.5</v>
      </c>
      <c r="BF144" s="86">
        <f t="shared" si="245"/>
        <v>0.5</v>
      </c>
      <c r="BG144" s="30" t="e">
        <f t="shared" ca="1" si="276"/>
        <v>#DIV/0!</v>
      </c>
      <c r="BH144" s="85" t="e">
        <f ca="1">IF(AN144&lt;=Hypothèses!$V$7,Hypothèses!$W$7,IF(AN144&lt;=Hypothèses!$V$8,Hypothèses!$W$8,IF(AN144&lt;=Hypothèses!$V$9,Hypothèses!$W$9,IF(AN144&lt;=Hypothèses!$V$10,Hypothèses!$W$10,IF(AN144&lt;=Hypothèses!$V$11,Hypothèses!$W$11,IF(AN144&lt;=Hypothèses!$V$12,Hypothèses!$W$12,IF(AN144&lt;=Hypothèses!$V$13,Hypothèses!$W$13,IF(AN144&lt;=Hypothèses!$V$14,Hypothèses!$W$14,IF(AN144&lt;=Hypothèses!$V$15,Hypothèses!$W$15,IF(AN144&lt;=Hypothèses!$V$16,Hypothèses!$W$16,IF(AN144&lt;=Hypothèses!$V$17,Hypothèses!$W$17,IF(AN144&lt;=Hypothèses!$V$18,Hypothèses!$W$18,""))))))))))))</f>
        <v>#DIV/0!</v>
      </c>
      <c r="BI144" s="87" t="e">
        <f t="shared" ca="1" si="218"/>
        <v>#DIV/0!</v>
      </c>
      <c r="BJ144" s="88" t="e">
        <f ca="1">IF(AN144&lt;=Hypothèses!$V$7,Hypothèses!$X$7,IF(AN144&lt;=Hypothèses!$V$8,Hypothèses!$X$8,IF(AN144&lt;=Hypothèses!$V$9,Hypothèses!$X$9,IF(AN144&lt;=Hypothèses!$V$10,Hypothèses!$X$10,IF(AN144&lt;=Hypothèses!$V$11,Hypothèses!$X$11,IF(AN144&lt;=Hypothèses!$V$12,Hypothèses!$X$12,IF(AN144&lt;=Hypothèses!$V$13,Hypothèses!$X$13,IF(AN144&lt;=Hypothèses!$V$14,Hypothèses!$X$14,IF(AN144&lt;=Hypothèses!$V$15,Hypothèses!$X$15,IF(AN144&lt;=Hypothèses!$V$16,Hypothèses!$X$16,IF(AN144&lt;=Hypothèses!$U$17,Hypothèses!$W$17,IF(AN144&lt;=Hypothèses!$U$18,Hypothèses!$W$18,""))))))))))))</f>
        <v>#DIV/0!</v>
      </c>
      <c r="BK144" s="95" t="e">
        <f t="shared" ca="1" si="277"/>
        <v>#DIV/0!</v>
      </c>
      <c r="BL144" s="101" t="e">
        <f t="shared" si="225"/>
        <v>#N/A</v>
      </c>
      <c r="BM144" s="91" t="e">
        <f t="shared" si="246"/>
        <v>#N/A</v>
      </c>
      <c r="BN144" s="30" t="e">
        <f t="shared" ref="BN144:BN207" si="304">PI()*BN$12*$Q144*($B144-$B143)/($G144*$B$5)/10+BP143</f>
        <v>#N/A</v>
      </c>
      <c r="BO144" s="30" t="e">
        <f t="shared" ref="BO144:BO207" si="305">(PI()*BO$12*$Q144*($B144-$B143))/($H144*$B$5)/10+BP143</f>
        <v>#N/A</v>
      </c>
      <c r="BP144" s="31" t="e">
        <f>IF(OR(Hypothèses!$B$4=17,Hypothèses!$B$4=18,Hypothèses!$B$4=19,Hypothèses!$B$4=20),
IF($D144="Pressio.",
IF(OR($E144=3,$E144=1,$E144=4),BO144,BN144),
IF($D144="Pénétro.",
IF(OR($E144=3,$E144=1,$E144=4),BO144,BN144))),IF($D144="Pressio.",
IF($E144=3,BO144,BN144),
IF($D144="Pénétro.",
IF($E144=4,BO144,BN144))))</f>
        <v>#N/A</v>
      </c>
      <c r="BQ144" s="31" t="e">
        <f>(IF(OR(Hypothèses!$B$4=17,Hypothèses!$B$4=18,Hypothèses!$B$4=19,Hypothèses!$B$4=20),
IF($D144="Pressio.",
IF(OR($E144=3,$E144=1,$E144=4),(PI()*BQ$12^2)/4*(BM144*$W144*1000)/($H144*$B$5),(PI()*BQ$12^2)/4*(BM144*$W144*1000)/($G144*$B$5)),
IF($D144="Pénétro.",
IF(OR($E144=4,$E144=1,$E144=5),(PI()*BQ$12^2)/4*(BM144*$W144*1000)/($H144*$B$5),(PI()*BQ$12^2)/4*(BM144*$W144*1000)/($G144*$B$5)))),
IF($D144="Pressio.",
IF($E144=3,(PI()*BQ$12^2)/4*(BM144*$W144*1000)/($H144*$B$5),(PI()*BQ$12^2)/4*(BM144*$W144*1000)/($G144*$B$5)),
IF($D144="Pénétro.",
IF($E144=4,(PI()*BQ$12^2)/4*(BM144*$W144*1000)/($H144*$B$5),(PI()*BQ$12^2)/4*(BM144*$W144*1000)/($G144*$B$5))))))/10</f>
        <v>#N/A</v>
      </c>
      <c r="BR144" s="102" t="e">
        <f>(VLOOKUP($B$3,'Coeff EC7'!$T$39:$X$59,2,0)*BP144+VLOOKUP($B$3,'Coeff EC7'!$T$65:$X$85,2,0)*Model0.1C!BQ144)/1.1</f>
        <v>#N/A</v>
      </c>
      <c r="BS144" s="102" t="e">
        <f>(VLOOKUP($B$3,'Coeff EC7'!$T$39:$X$59,3,0)*BP144+VLOOKUP($B$3,'Coeff EC7'!$T$65:$X$85,3,0)*Model0.1C!BQ144)/0.9</f>
        <v>#N/A</v>
      </c>
      <c r="BT144" s="102" t="e">
        <f t="shared" si="278"/>
        <v>#N/A</v>
      </c>
      <c r="BU144" s="102" t="e">
        <f t="shared" si="279"/>
        <v>#N/A</v>
      </c>
      <c r="BV144" s="414" t="e">
        <f>IF(BV143=0,0,IF(AND(BR144&gt;charge_ELS_quasi,BS144&gt;Charge_ELS_freq,BT144&gt;charge_ELU,BU144&gt;charge_ELA,$B144&gt;NDC!$H$22-0.1+MIN(3*$BV$12,1.5)),0,1))</f>
        <v>#N/A</v>
      </c>
      <c r="BW144" s="86" t="b">
        <f t="shared" si="247"/>
        <v>0</v>
      </c>
      <c r="BX144" s="86">
        <f t="shared" si="248"/>
        <v>0.5</v>
      </c>
      <c r="BY144" s="86">
        <f t="shared" si="249"/>
        <v>0.5</v>
      </c>
      <c r="BZ144" s="30" t="e">
        <f t="shared" ca="1" si="280"/>
        <v>#DIV/0!</v>
      </c>
      <c r="CA144" s="85" t="e">
        <f ca="1">IF(BG144&lt;=Hypothèses!$V$7,Hypothèses!$W$7,IF(BG144&lt;=Hypothèses!$V$8,Hypothèses!$W$8,IF(BG144&lt;=Hypothèses!$V$9,Hypothèses!$W$9,IF(BG144&lt;=Hypothèses!$V$10,Hypothèses!$W$10,IF(BG144&lt;=Hypothèses!$V$11,Hypothèses!$W$11,IF(BG144&lt;=Hypothèses!$V$12,Hypothèses!$W$12,IF(BG144&lt;=Hypothèses!$V$13,Hypothèses!$W$13,IF(BG144&lt;=Hypothèses!$V$14,Hypothèses!$W$14,IF(BG144&lt;=Hypothèses!$V$15,Hypothèses!$W$15,IF(BG144&lt;=Hypothèses!$V$16,Hypothèses!$W$16,IF(BG144&lt;=Hypothèses!$V$17,Hypothèses!$W$17,IF(BG144&lt;=Hypothèses!$V$18,Hypothèses!$W$18,""))))))))))))</f>
        <v>#DIV/0!</v>
      </c>
      <c r="CB144" s="87" t="e">
        <f t="shared" ca="1" si="219"/>
        <v>#DIV/0!</v>
      </c>
      <c r="CC144" s="88" t="e">
        <f ca="1">IF(BG144&lt;=Hypothèses!$V$7,Hypothèses!$X$7,IF(BG144&lt;=Hypothèses!$V$8,Hypothèses!$X$8,IF(BG144&lt;=Hypothèses!$V$9,Hypothèses!$X$9,IF(BG144&lt;=Hypothèses!$V$10,Hypothèses!$X$10,IF(BG144&lt;=Hypothèses!$V$11,Hypothèses!$X$11,IF(BG144&lt;=Hypothèses!$V$12,Hypothèses!$X$12,IF(BG144&lt;=Hypothèses!$V$13,Hypothèses!$X$13,IF(BG144&lt;=Hypothèses!$V$14,Hypothèses!$X$14,IF(BG144&lt;=Hypothèses!$V$15,Hypothèses!$X$15,IF(BG144&lt;=Hypothèses!$V$16,Hypothèses!$X$16,IF(BG144&lt;=Hypothèses!$U$17,Hypothèses!$W$17,IF(BG144&lt;=Hypothèses!$U$18,Hypothèses!$W$18,""))))))))))))</f>
        <v>#DIV/0!</v>
      </c>
      <c r="CD144" s="95" t="e">
        <f t="shared" ca="1" si="281"/>
        <v>#DIV/0!</v>
      </c>
      <c r="CE144" s="101" t="e">
        <f t="shared" si="226"/>
        <v>#N/A</v>
      </c>
      <c r="CF144" s="91" t="e">
        <f t="shared" si="250"/>
        <v>#N/A</v>
      </c>
      <c r="CG144" s="30" t="e">
        <f t="shared" ref="CG144:CG207" si="306">PI()*CG$12*$Q144*($B144-$B143)/($G144*$B$5)/10+CI143</f>
        <v>#N/A</v>
      </c>
      <c r="CH144" s="30" t="e">
        <f t="shared" ref="CH144:CH207" si="307">(PI()*CH$12*$Q144*($B144-$B143))/($H144*$B$5)/10+CI143</f>
        <v>#N/A</v>
      </c>
      <c r="CI144" s="31" t="e">
        <f>IF(OR(Hypothèses!$B$4=17,Hypothèses!$B$4=18,Hypothèses!$B$4=19,Hypothèses!$B$4=20),
IF($D144="Pressio.",
IF(OR($E144=3,$E144=1,$E144=4),CH144,CG144),
IF($D144="Pénétro.",
IF(OR($E144=3,$E144=1,$E144=4),CH144,CG144))),IF($D144="Pressio.",
IF($E144=3,CH144,CG144),
IF($D144="Pénétro.",
IF($E144=4,CH144,CG144))))</f>
        <v>#N/A</v>
      </c>
      <c r="CJ144" s="31" t="e">
        <f>(IF(OR(Hypothèses!$B$4=17,Hypothèses!$B$4=18,Hypothèses!$B$4=19,Hypothèses!$B$4=20),
IF($D144="Pressio.",
IF(OR($E144=3,$E144=1,$E144=4),(PI()*CJ$12^2)/4*(CF144*$W144*1000)/($H144*$B$5),(PI()*CJ$12^2)/4*(CF144*$W144*1000)/($G144*$B$5)),
IF($D144="Pénétro.",
IF(OR($E144=4,$E144=1,$E144=5),(PI()*CJ$12^2)/4*(CF144*$W144*1000)/($H144*$B$5),(PI()*CJ$12^2)/4*(CF144*$W144*1000)/($G144*$B$5)))),
IF($D144="Pressio.",
IF($E144=3,(PI()*CJ$12^2)/4*(CF144*$W144*1000)/($H144*$B$5),(PI()*CJ$12^2)/4*(CF144*$W144*1000)/($G144*$B$5)),
IF($D144="Pénétro.",
IF($E144=4,(PI()*CJ$12^2)/4*(CF144*$W144*1000)/($H144*$B$5),(PI()*CJ$12^2)/4*(CF144*$W144*1000)/($G144*$B$5))))))/10</f>
        <v>#N/A</v>
      </c>
      <c r="CK144" s="102" t="e">
        <f>(VLOOKUP($B$3,'Coeff EC7'!$T$39:$X$59,2,0)*CI144+VLOOKUP($B$3,'Coeff EC7'!$T$65:$X$85,2,0)*Model0.1C!CJ144)/1.1</f>
        <v>#N/A</v>
      </c>
      <c r="CL144" s="102" t="e">
        <f>(VLOOKUP($B$3,'Coeff EC7'!$T$39:$X$59,3,0)*CI144+VLOOKUP($B$3,'Coeff EC7'!$T$65:$X$85,3,0)*Model0.1C!CJ144)/0.9</f>
        <v>#N/A</v>
      </c>
      <c r="CM144" s="102" t="e">
        <f t="shared" si="282"/>
        <v>#N/A</v>
      </c>
      <c r="CN144" s="102" t="e">
        <f t="shared" si="283"/>
        <v>#N/A</v>
      </c>
      <c r="CO144" s="414" t="e">
        <f>IF(CO143=0,0,IF(AND(CK144&gt;charge_ELS_quasi,CL144&gt;Charge_ELS_freq,CM144&gt;charge_ELU,CN144&gt;charge_ELA,$B144&gt;NDC!$H$22-0.1+MIN(3*$CO$12,1.5)),0,1))</f>
        <v>#N/A</v>
      </c>
      <c r="CP144" s="86" t="b">
        <f t="shared" si="251"/>
        <v>0</v>
      </c>
      <c r="CQ144" s="86">
        <f t="shared" si="252"/>
        <v>0.5</v>
      </c>
      <c r="CR144" s="86">
        <f t="shared" si="253"/>
        <v>0.5</v>
      </c>
      <c r="CS144" s="30" t="e">
        <f t="shared" ca="1" si="284"/>
        <v>#DIV/0!</v>
      </c>
      <c r="CT144" s="85" t="e">
        <f ca="1">IF(BZ144&lt;=Hypothèses!$V$7,Hypothèses!$W$7,IF(BZ144&lt;=Hypothèses!$V$8,Hypothèses!$W$8,IF(BZ144&lt;=Hypothèses!$V$9,Hypothèses!$W$9,IF(BZ144&lt;=Hypothèses!$V$10,Hypothèses!$W$10,IF(BZ144&lt;=Hypothèses!$V$11,Hypothèses!$W$11,IF(BZ144&lt;=Hypothèses!$V$12,Hypothèses!$W$12,IF(BZ144&lt;=Hypothèses!$V$13,Hypothèses!$W$13,IF(BZ144&lt;=Hypothèses!$V$14,Hypothèses!$W$14,IF(BZ144&lt;=Hypothèses!$V$15,Hypothèses!$W$15,IF(BZ144&lt;=Hypothèses!$V$16,Hypothèses!$W$16,IF(BZ144&lt;=Hypothèses!$V$17,Hypothèses!$W$17,IF(BZ144&lt;=Hypothèses!$V$18,Hypothèses!$W$18,""))))))))))))</f>
        <v>#DIV/0!</v>
      </c>
      <c r="CU144" s="87" t="e">
        <f t="shared" ca="1" si="220"/>
        <v>#DIV/0!</v>
      </c>
      <c r="CV144" s="88" t="e">
        <f ca="1">IF(BZ144&lt;=Hypothèses!$V$7,Hypothèses!$X$7,IF(BZ144&lt;=Hypothèses!$V$8,Hypothèses!$X$8,IF(BZ144&lt;=Hypothèses!$V$9,Hypothèses!$X$9,IF(BZ144&lt;=Hypothèses!$V$10,Hypothèses!$X$10,IF(BZ144&lt;=Hypothèses!$V$11,Hypothèses!$X$11,IF(BZ144&lt;=Hypothèses!$V$12,Hypothèses!$X$12,IF(BZ144&lt;=Hypothèses!$V$13,Hypothèses!$X$13,IF(BZ144&lt;=Hypothèses!$V$14,Hypothèses!$X$14,IF(BZ144&lt;=Hypothèses!$V$15,Hypothèses!$X$15,IF(BZ144&lt;=Hypothèses!$V$16,Hypothèses!$X$16,IF(BZ144&lt;=Hypothèses!$U$17,Hypothèses!$W$17,IF(BZ144&lt;=Hypothèses!$U$18,Hypothèses!$W$18,""))))))))))))</f>
        <v>#DIV/0!</v>
      </c>
      <c r="CW144" s="95" t="e">
        <f t="shared" ca="1" si="285"/>
        <v>#DIV/0!</v>
      </c>
      <c r="CX144" s="101" t="e">
        <f t="shared" si="227"/>
        <v>#N/A</v>
      </c>
      <c r="CY144" s="91" t="e">
        <f t="shared" si="254"/>
        <v>#N/A</v>
      </c>
      <c r="CZ144" s="30" t="e">
        <f t="shared" ref="CZ144:CZ207" si="308">PI()*CZ$12*$Q144*($B144-$B143)/($G144*$B$5)/10+DB143</f>
        <v>#N/A</v>
      </c>
      <c r="DA144" s="30" t="e">
        <f t="shared" ref="DA144:DA207" si="309">(PI()*DA$12*$Q144*($B144-$B143))/($H144*$B$5)/10+DB143</f>
        <v>#N/A</v>
      </c>
      <c r="DB144" s="31" t="e">
        <f>IF(OR(Hypothèses!$B$4=17,Hypothèses!$B$4=18,Hypothèses!$B$4=19,Hypothèses!$B$4=20),
IF($D144="Pressio.",
IF(OR($E144=3,$E144=1,$E144=4),DA144,CZ144),
IF($D144="Pénétro.",
IF(OR($E144=3,$E144=1,$E144=4),DA144,CZ144))),IF($D144="Pressio.",
IF($E144=3,DA144,CZ144),
IF($D144="Pénétro.",
IF($E144=4,DA144,CZ144))))</f>
        <v>#N/A</v>
      </c>
      <c r="DC144" s="31" t="e">
        <f>(IF(OR(Hypothèses!$B$4=17,Hypothèses!$B$4=18,Hypothèses!$B$4=19,Hypothèses!$B$4=20),
IF($D144="Pressio.",
IF(OR($E144=3,$E144=1,$E144=4),(PI()*DC$12^2)/4*(CY144*$W144*1000)/($H144*$B$5),(PI()*DC$12^2)/4*(CY144*$W144*1000)/($G144*$B$5)),
IF($D144="Pénétro.",
IF(OR($E144=4,$E144=1,$E144=5),(PI()*DC$12^2)/4*(CY144*$W144*1000)/($H144*$B$5),(PI()*DC$12^2)/4*(CY144*$W144*1000)/($G144*$B$5)))),
IF($D144="Pressio.",
IF($E144=3,(PI()*DC$12^2)/4*(CY144*$W144*1000)/($H144*$B$5),(PI()*DC$12^2)/4*(CY144*$W144*1000)/($G144*$B$5)),
IF($D144="Pénétro.",
IF($E144=4,(PI()*DC$12^2)/4*(CY144*$W144*1000)/($H144*$B$5),(PI()*DC$12^2)/4*(CY144*$W144*1000)/($G144*$B$5))))))/10</f>
        <v>#N/A</v>
      </c>
      <c r="DD144" s="102" t="e">
        <f>(VLOOKUP($B$3,'Coeff EC7'!$T$39:$X$59,2,0)*DB144+VLOOKUP($B$3,'Coeff EC7'!$T$65:$X$85,2,0)*Model0.1C!DC144)/1.1</f>
        <v>#N/A</v>
      </c>
      <c r="DE144" s="102" t="e">
        <f>(VLOOKUP($B$3,'Coeff EC7'!$T$39:$X$59,3,0)*DB144+VLOOKUP($B$3,'Coeff EC7'!$T$65:$X$85,3,0)*Model0.1C!DC144)/0.9</f>
        <v>#N/A</v>
      </c>
      <c r="DF144" s="102" t="e">
        <f t="shared" si="286"/>
        <v>#N/A</v>
      </c>
      <c r="DG144" s="102" t="e">
        <f t="shared" si="287"/>
        <v>#N/A</v>
      </c>
      <c r="DH144" s="414" t="e">
        <f>IF(DH143=0,0,IF(AND(DD144&gt;charge_ELS_quasi,DE144&gt;Charge_ELS_freq,DF144&gt;charge_ELU,DG144&gt;charge_ELA,$B144&gt;NDC!$H$22-0.1+MIN(3*$DH$12,1.5)),0,1))</f>
        <v>#N/A</v>
      </c>
      <c r="DI144" s="86" t="b">
        <f t="shared" si="255"/>
        <v>0</v>
      </c>
      <c r="DJ144" s="86">
        <f t="shared" si="256"/>
        <v>0.5</v>
      </c>
      <c r="DK144" s="86">
        <f t="shared" si="257"/>
        <v>0.5</v>
      </c>
      <c r="DL144" s="30" t="e">
        <f t="shared" ca="1" si="288"/>
        <v>#DIV/0!</v>
      </c>
      <c r="DM144" s="85" t="e">
        <f ca="1">IF(CS144&lt;=Hypothèses!$V$7,Hypothèses!$W$7,IF(CS144&lt;=Hypothèses!$V$8,Hypothèses!$W$8,IF(CS144&lt;=Hypothèses!$V$9,Hypothèses!$W$9,IF(CS144&lt;=Hypothèses!$V$10,Hypothèses!$W$10,IF(CS144&lt;=Hypothèses!$V$11,Hypothèses!$W$11,IF(CS144&lt;=Hypothèses!$V$12,Hypothèses!$W$12,IF(CS144&lt;=Hypothèses!$V$13,Hypothèses!$W$13,IF(CS144&lt;=Hypothèses!$V$14,Hypothèses!$W$14,IF(CS144&lt;=Hypothèses!$V$15,Hypothèses!$W$15,IF(CS144&lt;=Hypothèses!$V$16,Hypothèses!$W$16,IF(CS144&lt;=Hypothèses!$V$17,Hypothèses!$W$17,IF(CS144&lt;=Hypothèses!$V$18,Hypothèses!$W$18,""))))))))))))</f>
        <v>#DIV/0!</v>
      </c>
      <c r="DN144" s="87" t="e">
        <f t="shared" ca="1" si="221"/>
        <v>#DIV/0!</v>
      </c>
      <c r="DO144" s="88" t="e">
        <f ca="1">IF(CS144&lt;=Hypothèses!$V$7,Hypothèses!$X$7,IF(CS144&lt;=Hypothèses!$V$8,Hypothèses!$X$8,IF(CS144&lt;=Hypothèses!$V$9,Hypothèses!$X$9,IF(CS144&lt;=Hypothèses!$V$10,Hypothèses!$X$10,IF(CS144&lt;=Hypothèses!$V$11,Hypothèses!$X$11,IF(CS144&lt;=Hypothèses!$V$12,Hypothèses!$X$12,IF(CS144&lt;=Hypothèses!$V$13,Hypothèses!$X$13,IF(CS144&lt;=Hypothèses!$V$14,Hypothèses!$X$14,IF(CS144&lt;=Hypothèses!$V$15,Hypothèses!$X$15,IF(CS144&lt;=Hypothèses!$V$16,Hypothèses!$X$16,IF(CS144&lt;=Hypothèses!$U$17,Hypothèses!$W$17,IF(CS144&lt;=Hypothèses!$U$18,Hypothèses!$W$18,""))))))))))))</f>
        <v>#DIV/0!</v>
      </c>
      <c r="DP144" s="95" t="e">
        <f t="shared" ca="1" si="289"/>
        <v>#DIV/0!</v>
      </c>
      <c r="DQ144" s="101" t="e">
        <f t="shared" si="228"/>
        <v>#N/A</v>
      </c>
      <c r="DR144" s="91" t="e">
        <f t="shared" si="258"/>
        <v>#N/A</v>
      </c>
      <c r="DS144" s="30" t="e">
        <f t="shared" ref="DS144:DS207" si="310">PI()*DS$12*$Q144*($B144-$B143)/($G144*$B$5)/10+DU143</f>
        <v>#N/A</v>
      </c>
      <c r="DT144" s="30" t="e">
        <f t="shared" ref="DT144:DT207" si="311">(PI()*DT$12*$Q144*($B144-$B143))/($H144*$B$5)/10+DU143</f>
        <v>#N/A</v>
      </c>
      <c r="DU144" s="31" t="e">
        <f>IF(OR(Hypothèses!$B$4=17,Hypothèses!$B$4=18,Hypothèses!$B$4=19,Hypothèses!$B$4=20),
IF($D144="Pressio.",
IF(OR($E144=3,$E144=1,$E144=4),DT144,DS144),
IF($D144="Pénétro.",
IF(OR($E144=3,$E144=1,$E144=4),DT144,DS144))),IF($D144="Pressio.",
IF($E144=3,DT144,DS144),
IF($D144="Pénétro.",
IF($E144=4,DT144,DS144))))</f>
        <v>#N/A</v>
      </c>
      <c r="DV144" s="31" t="e">
        <f>(IF(OR(Hypothèses!$B$4=17,Hypothèses!$B$4=18,Hypothèses!$B$4=19,Hypothèses!$B$4=20),
IF($D144="Pressio.",
IF(OR($E144=3,$E144=1,$E144=4),(PI()*DV$12^2)/4*(DR144*$W144*1000)/($H144*$B$5),(PI()*DV$12^2)/4*(DR144*$W144*1000)/($G144*$B$5)),
IF($D144="Pénétro.",
IF(OR($E144=4,$E144=1,$E144=5),(PI()*DV$12^2)/4*(DR144*$W144*1000)/($H144*$B$5),(PI()*DV$12^2)/4*(DR144*$W144*1000)/($G144*$B$5)))),
IF($D144="Pressio.",
IF($E144=3,(PI()*DV$12^2)/4*(DR144*$W144*1000)/($H144*$B$5),(PI()*DV$12^2)/4*(DR144*$W144*1000)/($G144*$B$5)),
IF($D144="Pénétro.",
IF($E144=4,(PI()*DV$12^2)/4*(DR144*$W144*1000)/($H144*$B$5),(PI()*DV$12^2)/4*(DR144*$W144*1000)/($G144*$B$5))))))/10</f>
        <v>#N/A</v>
      </c>
      <c r="DW144" s="102" t="e">
        <f>(VLOOKUP($B$3,'Coeff EC7'!$T$39:$X$59,2,0)*DU144+VLOOKUP($B$3,'Coeff EC7'!$T$65:$X$85,2,0)*Model0.1C!DV144)/1.1</f>
        <v>#N/A</v>
      </c>
      <c r="DX144" s="102" t="e">
        <f>(VLOOKUP($B$3,'Coeff EC7'!$T$39:$X$59,3,0)*DU144+VLOOKUP($B$3,'Coeff EC7'!$T$65:$X$85,3,0)*Model0.1C!DV144)/0.9</f>
        <v>#N/A</v>
      </c>
      <c r="DY144" s="102" t="e">
        <f t="shared" si="290"/>
        <v>#N/A</v>
      </c>
      <c r="DZ144" s="102" t="e">
        <f t="shared" si="291"/>
        <v>#N/A</v>
      </c>
      <c r="EA144" s="414" t="e">
        <f>IF(EA143=0,0,IF(AND(DW144&gt;charge_ELS_quasi,DX144&gt;Charge_ELS_freq,DY144&gt;charge_ELU,DZ144&gt;charge_ELA,$B144&gt;NDC!$H$22-0.1+MIN(3*$EA$12,1.5)),0,1))</f>
        <v>#N/A</v>
      </c>
      <c r="EB144" s="86" t="b">
        <f t="shared" si="259"/>
        <v>0</v>
      </c>
      <c r="EC144" s="418">
        <f t="shared" si="260"/>
        <v>0.51</v>
      </c>
      <c r="ED144" s="86">
        <f t="shared" si="261"/>
        <v>0.51</v>
      </c>
      <c r="EE144" s="30" t="e">
        <f t="shared" ca="1" si="292"/>
        <v>#DIV/0!</v>
      </c>
      <c r="EF144" s="85" t="e">
        <f ca="1">IF(DL144&lt;=Hypothèses!$V$7,Hypothèses!$W$7,IF(DL144&lt;=Hypothèses!$V$8,Hypothèses!$W$8,IF(DL144&lt;=Hypothèses!$V$9,Hypothèses!$W$9,IF(DL144&lt;=Hypothèses!$V$10,Hypothèses!$W$10,IF(DL144&lt;=Hypothèses!$V$11,Hypothèses!$W$11,IF(DL144&lt;=Hypothèses!$V$12,Hypothèses!$W$12,IF(DL144&lt;=Hypothèses!$V$13,Hypothèses!$W$13,IF(DL144&lt;=Hypothèses!$V$14,Hypothèses!$W$14,IF(DL144&lt;=Hypothèses!$V$15,Hypothèses!$W$15,IF(DL144&lt;=Hypothèses!$V$16,Hypothèses!$W$16,IF(DL144&lt;=Hypothèses!$V$17,Hypothèses!$W$17,IF(DL144&lt;=Hypothèses!$V$18,Hypothèses!$W$18,""))))))))))))</f>
        <v>#DIV/0!</v>
      </c>
      <c r="EG144" s="87" t="e">
        <f t="shared" ca="1" si="222"/>
        <v>#DIV/0!</v>
      </c>
      <c r="EH144" s="88" t="e">
        <f ca="1">IF(DL144&lt;=Hypothèses!$V$7,Hypothèses!$X$7,IF(DL144&lt;=Hypothèses!$V$8,Hypothèses!$X$8,IF(DL144&lt;=Hypothèses!$V$9,Hypothèses!$X$9,IF(DL144&lt;=Hypothèses!$V$10,Hypothèses!$X$10,IF(DL144&lt;=Hypothèses!$V$11,Hypothèses!$X$11,IF(DL144&lt;=Hypothèses!$V$12,Hypothèses!$X$12,IF(DL144&lt;=Hypothèses!$V$13,Hypothèses!$X$13,IF(DL144&lt;=Hypothèses!$V$14,Hypothèses!$X$14,IF(DL144&lt;=Hypothèses!$V$15,Hypothèses!$X$15,IF(DL144&lt;=Hypothèses!$V$16,Hypothèses!$X$16,IF(DL144&lt;=Hypothèses!$U$17,Hypothèses!$W$17,IF(DL144&lt;=Hypothèses!$U$18,Hypothèses!$W$18,""))))))))))))</f>
        <v>#DIV/0!</v>
      </c>
      <c r="EI144" s="95" t="e">
        <f t="shared" ca="1" si="293"/>
        <v>#DIV/0!</v>
      </c>
      <c r="EJ144" s="101" t="e">
        <f t="shared" si="229"/>
        <v>#N/A</v>
      </c>
      <c r="EK144" s="91" t="e">
        <f t="shared" si="262"/>
        <v>#N/A</v>
      </c>
      <c r="EL144" s="30" t="e">
        <f t="shared" ref="EL144:EL207" si="312">PI()*EL$12*$Q144*($B144-$B143)/($G144*$B$5)/10+EN143</f>
        <v>#N/A</v>
      </c>
      <c r="EM144" s="30" t="e">
        <f t="shared" ref="EM144:EM207" si="313">(PI()*EM$12*$Q144*($B144-$B143))/($H144*$B$5)/10+EN143</f>
        <v>#N/A</v>
      </c>
      <c r="EN144" s="31" t="e">
        <f>IF(OR(Hypothèses!$B$4=17,Hypothèses!$B$4=18,Hypothèses!$B$4=19,Hypothèses!$B$4=20),
IF($D144="Pressio.",
IF(OR($E144=3,$E144=1,$E144=4),EM144,EL144),
IF($D144="Pénétro.",
IF(OR($E144=3,$E144=1,$E144=4),EM144,EL144))),IF($D144="Pressio.",
IF($E144=3,EM144,EL144),
IF($D144="Pénétro.",
IF($E144=4,EM144,EL144))))</f>
        <v>#N/A</v>
      </c>
      <c r="EO144" s="31" t="e">
        <f>(IF(OR(Hypothèses!$B$4=17,Hypothèses!$B$4=18,Hypothèses!$B$4=19,Hypothèses!$B$4=20),
IF($D144="Pressio.",
IF(OR($E144=3,$E144=1,$E144=4),(PI()*EO$12^2)/4*(EK144*$W144*1000)/($H144*$B$5),(PI()*EO$12^2)/4*(EK144*$W144*1000)/($G144*$B$5)),
IF($D144="Pénétro.",
IF(OR($E144=4,$E144=1,$E144=5),(PI()*EO$12^2)/4*(EK144*$W144*1000)/($H144*$B$5),(PI()*EO$12^2)/4*(EK144*$W144*1000)/($G144*$B$5)))),
IF($D144="Pressio.",
IF($E144=3,(PI()*EO$12^2)/4*(EK144*$W144*1000)/($H144*$B$5),(PI()*EO$12^2)/4*(EK144*$W144*1000)/($G144*$B$5)),
IF($D144="Pénétro.",
IF($E144=4,(PI()*EO$12^2)/4*(EK144*$W144*1000)/($H144*$B$5),(PI()*EO$12^2)/4*(EK144*$W144*1000)/($G144*$B$5))))))/10</f>
        <v>#N/A</v>
      </c>
      <c r="EP144" s="102" t="e">
        <f>(VLOOKUP($B$3,'Coeff EC7'!$T$39:$X$59,2,0)*EN144+VLOOKUP($B$3,'Coeff EC7'!$T$65:$X$85,2,0)*Model0.1C!EO144)/1.1</f>
        <v>#N/A</v>
      </c>
      <c r="EQ144" s="102" t="e">
        <f>(VLOOKUP($B$3,'Coeff EC7'!$T$39:$X$59,3,0)*EN144+VLOOKUP($B$3,'Coeff EC7'!$T$65:$X$85,3,0)*Model0.1C!EO144)/0.9</f>
        <v>#N/A</v>
      </c>
      <c r="ER144" s="102" t="e">
        <f t="shared" si="294"/>
        <v>#N/A</v>
      </c>
      <c r="ES144" s="102" t="e">
        <f t="shared" si="295"/>
        <v>#N/A</v>
      </c>
      <c r="ET144" s="414" t="e">
        <f>IF(ET143=0,0,IF(AND(EP144&gt;charge_ELS_quasi,EQ144&gt;Charge_ELS_freq,ER144&gt;charge_ELU,ES144&gt;charge_ELA,$B144&gt;NDC!$H$22-0.1+MIN(3*$ET$12,1.5)),0,1))</f>
        <v>#N/A</v>
      </c>
      <c r="EU144" s="86" t="b">
        <f t="shared" si="263"/>
        <v>0</v>
      </c>
      <c r="EV144" s="86">
        <f t="shared" si="264"/>
        <v>0.61</v>
      </c>
      <c r="EW144" s="86">
        <f t="shared" si="265"/>
        <v>0.61</v>
      </c>
      <c r="EX144" s="30" t="e">
        <f t="shared" ca="1" si="296"/>
        <v>#DIV/0!</v>
      </c>
      <c r="EY144" s="85" t="e">
        <f ca="1">IF(EE144&lt;=Hypothèses!$V$7,Hypothèses!$W$7,IF(EE144&lt;=Hypothèses!$V$8,Hypothèses!$W$8,IF(EE144&lt;=Hypothèses!$V$9,Hypothèses!$W$9,IF(EE144&lt;=Hypothèses!$V$10,Hypothèses!$W$10,IF(EE144&lt;=Hypothèses!$V$11,Hypothèses!$W$11,IF(EE144&lt;=Hypothèses!$V$12,Hypothèses!$W$12,IF(EE144&lt;=Hypothèses!$V$13,Hypothèses!$W$13,IF(EE144&lt;=Hypothèses!$V$14,Hypothèses!$W$14,IF(EE144&lt;=Hypothèses!$V$15,Hypothèses!$W$15,IF(EE144&lt;=Hypothèses!$V$16,Hypothèses!$W$16,IF(EE144&lt;=Hypothèses!$V$17,Hypothèses!$W$17,IF(EE144&lt;=Hypothèses!$V$18,Hypothèses!$W$18,""))))))))))))</f>
        <v>#DIV/0!</v>
      </c>
      <c r="EZ144" s="87" t="e">
        <f t="shared" ca="1" si="223"/>
        <v>#DIV/0!</v>
      </c>
      <c r="FA144" s="88" t="e">
        <f ca="1">IF(EE144&lt;=Hypothèses!$V$7,Hypothèses!$X$7,IF(EE144&lt;=Hypothèses!$V$8,Hypothèses!$X$8,IF(EE144&lt;=Hypothèses!$V$9,Hypothèses!$X$9,IF(EE144&lt;=Hypothèses!$V$10,Hypothèses!$X$10,IF(EE144&lt;=Hypothèses!$V$11,Hypothèses!$X$11,IF(EE144&lt;=Hypothèses!$V$12,Hypothèses!$X$12,IF(EE144&lt;=Hypothèses!$V$13,Hypothèses!$X$13,IF(EE144&lt;=Hypothèses!$V$14,Hypothèses!$X$14,IF(EE144&lt;=Hypothèses!$V$15,Hypothèses!$X$15,IF(EE144&lt;=Hypothèses!$V$16,Hypothèses!$X$16,IF(EE144&lt;=Hypothèses!$U$17,Hypothèses!$W$17,IF(EE144&lt;=Hypothèses!$U$18,Hypothèses!$W$18,""))))))))))))</f>
        <v>#DIV/0!</v>
      </c>
      <c r="FB144" s="95" t="e">
        <f t="shared" ca="1" si="297"/>
        <v>#DIV/0!</v>
      </c>
      <c r="FC144" s="101" t="e">
        <f t="shared" si="230"/>
        <v>#N/A</v>
      </c>
      <c r="FD144" s="91" t="e">
        <f t="shared" si="266"/>
        <v>#N/A</v>
      </c>
      <c r="FE144" s="30" t="e">
        <f t="shared" ref="FE144:FE207" si="314">PI()*FE$12*$Q144*($B144-$B143)/($G144*$B$5)/10+FG143</f>
        <v>#N/A</v>
      </c>
      <c r="FF144" s="30" t="e">
        <f t="shared" ref="FF144:FF207" si="315">(PI()*FF$12*$Q144*($B144-$B143))/($H144*$B$5)/10+FG143</f>
        <v>#N/A</v>
      </c>
      <c r="FG144" s="31" t="e">
        <f>IF(OR(Hypothèses!$B$4=17,Hypothèses!$B$4=18,Hypothèses!$B$4=19,Hypothèses!$B$4=20),
IF($D144="Pressio.",
IF(OR($E144=3,$E144=1,$E144=4),FF144,FE144),
IF($D144="Pénétro.",
IF(OR($E144=3,$E144=1,$E144=4),FF144,FE144))),IF($D144="Pressio.",
IF($E144=3,FF144,FE144),
IF($D144="Pénétro.",
IF($E144=4,FF144,FE144))))</f>
        <v>#N/A</v>
      </c>
      <c r="FH144" s="31" t="e">
        <f>(IF(OR(Hypothèses!$B$4=17,Hypothèses!$B$4=18,Hypothèses!$B$4=19,Hypothèses!$B$4=20),
IF($D144="Pressio.",
IF(OR($E144=3,$E144=1,$E144=4),(PI()*FH$12^2)/4*(FD144*$W144*1000)/($H144*$B$5),(PI()*FH$12^2)/4*(FD144*$W144*1000)/($G144*$B$5)),
IF($D144="Pénétro.",
IF(OR($E144=4,$E144=1,$E144=5),(PI()*FH$12^2)/4*(FD144*$W144*1000)/($H144*$B$5),(PI()*FH$12^2)/4*(FD144*$W144*1000)/($G144*$B$5)))),
IF($D144="Pressio.",
IF($E144=3,(PI()*FH$12^2)/4*(FD144*$W144*1000)/($H144*$B$5),(PI()*FH$12^2)/4*(FD144*$W144*1000)/($G144*$B$5)),
IF($D144="Pénétro.",
IF($E144=4,(PI()*FH$12^2)/4*(FD144*$W144*1000)/($H144*$B$5),(PI()*FH$12^2)/4*(FD144*$W144*1000)/($G144*$B$5))))))/10</f>
        <v>#N/A</v>
      </c>
      <c r="FI144" s="102" t="e">
        <f>(VLOOKUP($B$3,'Coeff EC7'!$T$39:$X$59,2,0)*FG144+VLOOKUP($B$3,'Coeff EC7'!$T$65:$X$85,2,0)*Model0.1C!FH144)/1.1</f>
        <v>#N/A</v>
      </c>
      <c r="FJ144" s="102" t="e">
        <f>(VLOOKUP($B$3,'Coeff EC7'!$T$39:$X$59,3,0)*FG144+VLOOKUP($B$3,'Coeff EC7'!$T$65:$X$85,3,0)*Model0.1C!FH144)/0.9</f>
        <v>#N/A</v>
      </c>
      <c r="FK144" s="102" t="e">
        <f t="shared" si="298"/>
        <v>#N/A</v>
      </c>
      <c r="FL144" s="102" t="e">
        <f t="shared" si="299"/>
        <v>#N/A</v>
      </c>
      <c r="FM144" s="414" t="e">
        <f>IF(FM143=0,0,IF(AND(FI144&gt;charge_ELS_quasi,FJ144&gt;Charge_ELS_freq,FK144&gt;charge_ELU,FL144&gt;charge_ELA,$B144&gt;NDC!$H$22-0.1+MIN(3*$FM$12,1.5)),0,1))</f>
        <v>#N/A</v>
      </c>
    </row>
    <row r="145" spans="1:169">
      <c r="A145" s="96">
        <f t="shared" si="267"/>
        <v>86.80000000000075</v>
      </c>
      <c r="B145" s="97">
        <v>13.2</v>
      </c>
      <c r="C145" s="81">
        <f>IF(B145&lt;=Hypothèses!$C$7,Hypothèses!$A$7,IF(B145&lt;=Hypothèses!$C$8,Hypothèses!$A$8,IF(B145&lt;=Hypothèses!$C$9,Hypothèses!$A$9,IF(B145&lt;=Hypothèses!$C$10,Hypothèses!$A$10,IF(B145&lt;=Hypothèses!$C$11,Hypothèses!$A$11,IF(B145&lt;=Hypothèses!$C$12,Hypothèses!$A$12,IF(B145&lt;=Hypothèses!$C$13,Hypothèses!$A$13,IF(B145&lt;=Hypothèses!$C$14,Hypothèses!$A$14,IF(B145&lt;=Hypothèses!$C$15,Hypothèses!$A$15,IF(B145&lt;=Hypothèses!$C$16,Hypothèses!$A$16,IF(B145&lt;=Hypothèses!$C$17,Hypothèses!$A$17,IF(B145&lt;=Hypothèses!$C$18,Hypothèses!$A$18,C144))))))))))))</f>
        <v>11</v>
      </c>
      <c r="D145" s="82" t="str">
        <f>IF(B145&lt;=Hypothèses!$C$7,Hypothèses!$R$7,IF(B145&lt;=Hypothèses!$C$8,Hypothèses!$R$8,IF(B145&lt;=Hypothèses!$C$9,Hypothèses!$R$9,IF(B145&lt;=Hypothèses!$C$10,Hypothèses!$R$10,IF(B145&lt;=Hypothèses!$C$11,Hypothèses!$R$11,IF(B145&lt;=Hypothèses!$C$12,Hypothèses!$R$12,IF(B145&lt;=Hypothèses!$C$13,Hypothèses!$R$13,IF(B145&lt;=Hypothèses!$C$14,Hypothèses!$R$14,IF(B145&lt;=Hypothèses!$C$15,Hypothèses!$R$15,IF(B145&lt;=Hypothèses!$C$16,Hypothèses!$R$16,IF(B145&lt;=Hypothèses!$C$17,Hypothèses!$R$17,IF(B145&lt;=Hypothèses!$C$18,Hypothèses!$R$18,D144))))))))))))</f>
        <v>Pressio.</v>
      </c>
      <c r="E145" s="82" t="e">
        <f>IF(B145&lt;=Hypothèses!$C$7,Hypothèses!$G$7,IF(B145&lt;=Hypothèses!$C$8,Hypothèses!$G$8,IF(B145&lt;=Hypothèses!$C$9,Hypothèses!$G$9,IF(B145&lt;=Hypothèses!$C$10,Hypothèses!$G$10,IF(B145&lt;=Hypothèses!$C$11,Hypothèses!$G$11,IF(B145&lt;=Hypothèses!$C$12,Hypothèses!$G$12,IF(B145&lt;=Hypothèses!$C$13,Hypothèses!$G$13,IF(B145&lt;=Hypothèses!$C$14,Hypothèses!$G$14,IF(B145&lt;=Hypothèses!$C$15,Hypothèses!$G$15,IF(B145&lt;=Hypothèses!$C$16,Hypothèses!$G$16,IF(B145&lt;=Hypothèses!$C$17,Hypothèses!$G$17,IF(B145&lt;=Hypothèses!$C$18,Hypothèses!$G$18,E144))))))))))))</f>
        <v>#N/A</v>
      </c>
      <c r="F145" s="82" t="str">
        <f>IF(B145&lt;=Hypothèses!$C$7,Hypothèses!$F$7,IF(B145&lt;=Hypothèses!$C$8,Hypothèses!$F$8,IF(B145&lt;=Hypothèses!$C$9,Hypothèses!$F$9,IF(B145&lt;=Hypothèses!$C$10,Hypothèses!$F$10,IF(B145&lt;=Hypothèses!$C$11,Hypothèses!$F$11,IF(B145&lt;=Hypothèses!$C$12,Hypothèses!$F$12,IF(B145&lt;=Hypothèses!$C$13,Hypothèses!$F$13,IF(B145&lt;=Hypothèses!$C$14,Hypothèses!$F$14,IF(B145&lt;=Hypothèses!$C$15,Hypothèses!$F$15,IF(B145&lt;=Hypothèses!$C$16,Hypothèses!$F$16,IF(B145&lt;=Hypothèses!$C$17,Hypothèses!$F$17,IF(B145&lt;=Hypothèses!$C$18,Hypothèses!$F$18,F144))))))))))))</f>
        <v/>
      </c>
      <c r="G145" s="91">
        <f t="array" ref="G145">INDEX('Coeff EC7'!$U$7:$X$27,
MATCH(Model0.1C!$B$3,'Coeff EC7'!$T$7:$T$27,0),
MATCH(Model0.1C!$D145&amp;Model0.1C!$B$4,
'Coeff EC7'!$U$6:$X$6&amp;
'Coeff EC7'!$U$5:$X$5,0))</f>
        <v>1.1499999999999999</v>
      </c>
      <c r="H145" s="91">
        <f t="array" ref="H145">INDEX('Coeff EC7'!$Y$7:$AB$27,
MATCH(Model0.1C!$B$3,'Coeff EC7'!$T$7:$T$27,0),
MATCH(Model0.1C!$D145&amp;Model0.1C!$B$4,
'Coeff EC7'!$Y$6:$AB$6&amp;
'Coeff EC7'!$Y$5:$AB$5,0))</f>
        <v>1.4</v>
      </c>
      <c r="I145" s="83" t="e">
        <f>IF(B145&lt;=Hypothèses!$C$7,Hypothèses!$P$7,IF(B145&lt;=Hypothèses!$C$8,Hypothèses!$P$8,IF(B145&lt;=Hypothèses!$C$9,Hypothèses!$P$9,IF(B145&lt;=Hypothèses!$C$10,Hypothèses!$P$10,IF(B145&lt;=Hypothèses!$C$11,Hypothèses!$P$11,IF(B145&lt;=Hypothèses!$C$12,Hypothèses!$P$12,IF(B145&lt;=Hypothèses!$C$13,Hypothèses!$P$13,IF(B145&lt;=Hypothèses!$C$14,Hypothèses!$P$14,IF(B145&lt;=Hypothèses!$C$15,Hypothèses!$P$15,IF(B145&lt;=Hypothèses!$C$16,Hypothèses!$P$16,IF(B145&lt;=Hypothèses!$C$17,Hypothèses!$P$17,IF(B145&lt;=Hypothèses!$C$18,Hypothèses!$P$18,I144))))))))))))</f>
        <v>#N/A</v>
      </c>
      <c r="J145" s="91" t="e">
        <f t="array" ref="J145">INDEX('Coeff EC7'!$D$33:$Q$33,1,MATCH(D145&amp;E145,'Coeff EC7'!$D$31:$Q$31&amp;'Coeff EC7'!$D$32:$Q$32,0))</f>
        <v>#N/A</v>
      </c>
      <c r="K145" s="91" t="e">
        <f t="array" ref="K145">INDEX('Coeff EC7'!$D$34:$Q$34,1,MATCH(D145&amp;E145,'Coeff EC7'!$D$31:$Q$31&amp;'Coeff EC7'!$D$32:$Q$32,0))</f>
        <v>#N/A</v>
      </c>
      <c r="L145" s="91" t="e">
        <f t="array" ref="L145">INDEX('Coeff EC7'!$D$35:$Q$35,1,MATCH(D145&amp;E145,'Coeff EC7'!$D$31:$Q$31&amp;'Coeff EC7'!$D$32:$Q$32,0))</f>
        <v>#N/A</v>
      </c>
      <c r="M145" s="98" t="e">
        <f t="shared" si="231"/>
        <v>#N/A</v>
      </c>
      <c r="N145" s="99" t="e">
        <f t="array" ref="N145">INDEX('Coeff EC7'!$D$7:$Q$27,MATCH($B$3,'Coeff EC7'!$C$7:$C$27,0),MATCH(D145&amp;E145,'Coeff EC7'!$D$5:$Q$5&amp;'Coeff EC7'!$D$6:$Q$6,0))</f>
        <v>#N/A</v>
      </c>
      <c r="O145" s="99" t="e">
        <f t="array" ref="O145">INDEX('Coeff EC7'!$D$41:$Q$61,MATCH($B$3,'Coeff EC7'!$C$41:$C$61,0),MATCH(D145&amp;E145,'Coeff EC7'!$D$39:$Q$39&amp;'Coeff EC7'!$D$40:$Q$40,0))</f>
        <v>#N/A</v>
      </c>
      <c r="P145" s="30" t="e">
        <f t="shared" si="268"/>
        <v>#N/A</v>
      </c>
      <c r="Q145" s="100" t="e">
        <f t="shared" si="233"/>
        <v>#N/A</v>
      </c>
      <c r="R145" s="86" t="b">
        <f t="shared" si="234"/>
        <v>0</v>
      </c>
      <c r="S145" s="86">
        <f t="shared" si="232"/>
        <v>0.5</v>
      </c>
      <c r="T145" s="86">
        <f t="shared" si="235"/>
        <v>0.5</v>
      </c>
      <c r="U145" s="30" t="e">
        <f t="shared" ca="1" si="269"/>
        <v>#DIV/0!</v>
      </c>
      <c r="V145" s="85" t="str">
        <f>IF(B145&lt;=Hypothèses!$V$7,Hypothèses!$W$7,IF(B145&lt;=Hypothèses!$V$8,Hypothèses!$W$8,IF(B145&lt;=Hypothèses!$V$9,Hypothèses!$W$9,IF(B145&lt;=Hypothèses!$V$10,Hypothèses!$W$10,IF(B145&lt;=Hypothèses!$V$11,Hypothèses!$W$11,IF(B145&lt;=Hypothèses!$V$12,Hypothèses!$W$12,IF(B145&lt;=Hypothèses!$V$13,Hypothèses!$W$13,IF(B145&lt;=Hypothèses!$V$14,Hypothèses!$W$14,IF(B145&lt;=Hypothèses!$V$15,Hypothèses!$W$15,IF(B145&lt;=Hypothèses!$V$16,Hypothèses!$W$16,IF(B145&lt;=Hypothèses!$V$17,Hypothèses!$W$17,IF(B145&lt;=Hypothèses!$V$18,Hypothèses!$W$18,""))))))))))))</f>
        <v/>
      </c>
      <c r="W145" s="87" t="e">
        <f t="shared" ref="W145:W208" ca="1" si="316">IF(V145&lt;&gt;"",V145,U145)</f>
        <v>#DIV/0!</v>
      </c>
      <c r="X145" s="88" t="str">
        <f>IF(B145&lt;=Hypothèses!$V$7,Hypothèses!$X$7,IF(B145&lt;=Hypothèses!$V$8,Hypothèses!$X$8,IF(B145&lt;=Hypothèses!$V$9,Hypothèses!$X$9,IF(B145&lt;=Hypothèses!$V$10,Hypothèses!$X$10,IF(B145&lt;=Hypothèses!$V$11,Hypothèses!$X$11,IF(B145&lt;=Hypothèses!$V$12,Hypothèses!$X$12,IF(B145&lt;=Hypothèses!$V$13,Hypothèses!$X$13,IF(B145&lt;=Hypothèses!$V$14,Hypothèses!$X$14,IF(B145&lt;=Hypothèses!$V$15,Hypothèses!$X$15,IF(B145&lt;=Hypothèses!$V$16,Hypothèses!$X$16,IF(B145&lt;=Hypothèses!$U$17,Hypothèses!$W$17,IF(B145&lt;=Hypothèses!$U$18,Hypothèses!$W$18,""))))))))))))</f>
        <v/>
      </c>
      <c r="Y145" s="95" t="e">
        <f t="shared" ca="1" si="236"/>
        <v>#DIV/0!</v>
      </c>
      <c r="Z145" s="101" t="e">
        <f t="shared" si="237"/>
        <v>#N/A</v>
      </c>
      <c r="AA145" s="91" t="e">
        <f t="shared" si="238"/>
        <v>#N/A</v>
      </c>
      <c r="AB145" s="30" t="e">
        <f t="shared" si="300"/>
        <v>#N/A</v>
      </c>
      <c r="AC145" s="30" t="e">
        <f t="shared" si="301"/>
        <v>#N/A</v>
      </c>
      <c r="AD145" s="31" t="e">
        <f>IF(OR(Hypothèses!$B$4=17,Hypothèses!$B$4=18,Hypothèses!$B$4=19,Hypothèses!$B$4=20),
IF($D145="Pressio.",
IF(OR($E145=3,$E145=1,$E145=4),AC145,AB145),
IF($D145="Pénétro.",
IF(OR($E145=3,$E145=1,$E145=4),AC145,AB145))),IF($D145="Pressio.",
IF($E145=3,AC145,AB145),
IF($D145="Pénétro.",
IF($E145=4,AC145,AB145))))</f>
        <v>#N/A</v>
      </c>
      <c r="AE145" s="31" t="e">
        <f>(IF(OR(Hypothèses!$B$4=17,Hypothèses!$B$4=18,Hypothèses!$B$4=19,Hypothèses!$B$4=20),
IF($D145="Pressio.",
IF(OR($E145=3,$E145=1,$E145=4),(PI()*AE$12^2)/4*(AA145*$W145*1000)/($H145*$B$5),(PI()*AE$12^2)/4*(AA145*$W145*1000)/($G145*$B$5)),
IF($D145="Pénétro.",
IF(OR($E145=4,$E145=1,$E145=5),(PI()*AE$12^2)/4*(AA145*$W145*1000)/($H145*$B$5),(PI()*AE$12^2)/4*(AA145*$W145*1000)/($G145*$B$5)))),
IF($D145="Pressio.",
IF($E145=3,(PI()*AE$12^2)/4*(AA145*$W145*1000)/($H145*$B$5),(PI()*AE$12^2)/4*(AA145*$W145*1000)/($G145*$B$5)),
IF($D145="Pénétro.",
IF($E145=4,(PI()*AE$12^2)/4*(AA145*$W145*1000)/($H145*$B$5),(PI()*AE$12^2)/4*(AA145*$W145*1000)/($G145*$B$5))))))/10</f>
        <v>#N/A</v>
      </c>
      <c r="AF145" s="102" t="e">
        <f>(VLOOKUP($B$3,'Coeff EC7'!$T$39:$X$59,2,0)*AD145+VLOOKUP($B$3,'Coeff EC7'!$T$65:$X$85,2,0)*Model0.1C!AE145)/1.1</f>
        <v>#N/A</v>
      </c>
      <c r="AG145" s="102" t="e">
        <f>(VLOOKUP($B$3,'Coeff EC7'!$T$39:$X$59,3,0)*AD145+VLOOKUP($B$3,'Coeff EC7'!$T$65:$X$85,3,0)*Model0.1C!AE145)/0.9</f>
        <v>#N/A</v>
      </c>
      <c r="AH145" s="102" t="e">
        <f t="shared" si="239"/>
        <v>#N/A</v>
      </c>
      <c r="AI145" s="102" t="e">
        <f t="shared" si="240"/>
        <v>#N/A</v>
      </c>
      <c r="AJ145" s="414" t="e">
        <f>IF(AJ144=0,0,IF(AND(AF145&gt;charge_ELS_quasi,AG145&gt;Charge_ELS_freq,AH145&gt;charge_ELU,AI145&gt;charge_ELA,$B145&gt;NDC!$H$22-0.1+MIN(3*$AJ$12,1.5)),0,1))</f>
        <v>#N/A</v>
      </c>
      <c r="AK145" s="86" t="b">
        <f t="shared" si="241"/>
        <v>0</v>
      </c>
      <c r="AL145" s="86">
        <f t="shared" si="270"/>
        <v>0.5</v>
      </c>
      <c r="AM145" s="86">
        <f t="shared" si="242"/>
        <v>0.5</v>
      </c>
      <c r="AN145" s="30" t="e">
        <f t="shared" ca="1" si="271"/>
        <v>#DIV/0!</v>
      </c>
      <c r="AO145" s="85" t="e">
        <f ca="1">IF(U145&lt;=Hypothèses!$V$7,Hypothèses!$W$7,IF(U145&lt;=Hypothèses!$V$8,Hypothèses!$W$8,IF(U145&lt;=Hypothèses!$V$9,Hypothèses!$W$9,IF(U145&lt;=Hypothèses!$V$10,Hypothèses!$W$10,IF(U145&lt;=Hypothèses!$V$11,Hypothèses!$W$11,IF(U145&lt;=Hypothèses!$V$12,Hypothèses!$W$12,IF(U145&lt;=Hypothèses!$V$13,Hypothèses!$W$13,IF(U145&lt;=Hypothèses!$V$14,Hypothèses!$W$14,IF(U145&lt;=Hypothèses!$V$15,Hypothèses!$W$15,IF(U145&lt;=Hypothèses!$V$16,Hypothèses!$W$16,IF(U145&lt;=Hypothèses!$V$17,Hypothèses!$W$17,IF(U145&lt;=Hypothèses!$V$18,Hypothèses!$W$18,""))))))))))))</f>
        <v>#DIV/0!</v>
      </c>
      <c r="AP145" s="87" t="e">
        <f t="shared" ref="AP145:AP208" ca="1" si="317">IF(AO145&lt;&gt;"",AO145,AN145)</f>
        <v>#DIV/0!</v>
      </c>
      <c r="AQ145" s="88" t="e">
        <f ca="1">IF(U145&lt;=Hypothèses!$V$7,Hypothèses!$X$7,IF(U145&lt;=Hypothèses!$V$8,Hypothèses!$X$8,IF(U145&lt;=Hypothèses!$V$9,Hypothèses!$X$9,IF(U145&lt;=Hypothèses!$V$10,Hypothèses!$X$10,IF(U145&lt;=Hypothèses!$V$11,Hypothèses!$X$11,IF(U145&lt;=Hypothèses!$V$12,Hypothèses!$X$12,IF(U145&lt;=Hypothèses!$V$13,Hypothèses!$X$13,IF(U145&lt;=Hypothèses!$V$14,Hypothèses!$X$14,IF(U145&lt;=Hypothèses!$V$15,Hypothèses!$X$15,IF(U145&lt;=Hypothèses!$V$16,Hypothèses!$X$16,IF(U145&lt;=Hypothèses!$U$17,Hypothèses!$W$17,IF(U145&lt;=Hypothèses!$U$18,Hypothèses!$W$18,""))))))))))))</f>
        <v>#DIV/0!</v>
      </c>
      <c r="AR145" s="95" t="e">
        <f t="shared" ca="1" si="272"/>
        <v>#DIV/0!</v>
      </c>
      <c r="AS145" s="101" t="e">
        <f t="shared" si="224"/>
        <v>#N/A</v>
      </c>
      <c r="AT145" s="91" t="e">
        <f t="shared" si="243"/>
        <v>#N/A</v>
      </c>
      <c r="AU145" s="30" t="e">
        <f t="shared" si="302"/>
        <v>#N/A</v>
      </c>
      <c r="AV145" s="30" t="e">
        <f t="shared" si="303"/>
        <v>#N/A</v>
      </c>
      <c r="AW145" s="31" t="e">
        <f>IF(OR(Hypothèses!$B$4=17,Hypothèses!$B$4=18,Hypothèses!$B$4=19,Hypothèses!$B$4=20),
IF($D145="Pressio.",
IF(OR($E145=3,$E145=1,$E145=4),AV145,AU145),
IF($D145="Pénétro.",
IF(OR($E145=3,$E145=1,$E145=4),AV145,AU145))),IF($D145="Pressio.",
IF($E145=3,AV145,AU145),
IF($D145="Pénétro.",
IF($E145=4,AV145,AU145))))</f>
        <v>#N/A</v>
      </c>
      <c r="AX145" s="31" t="e">
        <f>(IF(OR(Hypothèses!$B$4=17,Hypothèses!$B$4=18,Hypothèses!$B$4=19,Hypothèses!$B$4=20),
IF($D145="Pressio.",
IF(OR($E145=3,$E145=1,$E145=4),(PI()*AX$12^2)/4*(AT145*$W145*1000)/($H145*$B$5),(PI()*AX$12^2)/4*(AT145*$W145*1000)/($G145*$B$5)),
IF($D145="Pénétro.",
IF(OR($E145=4,$E145=1,$E145=5),(PI()*AX$12^2)/4*(AT145*$W145*1000)/($H145*$B$5),(PI()*AX$12^2)/4*(AT145*$W145*1000)/($G145*$B$5)))),
IF($D145="Pressio.",
IF($E145=3,(PI()*AX$12^2)/4*(AT145*$W145*1000)/($H145*$B$5),(PI()*AX$12^2)/4*(AT145*$W145*1000)/($G145*$B$5)),
IF($D145="Pénétro.",
IF($E145=4,(PI()*AX$12^2)/4*(AT145*$W145*1000)/($H145*$B$5),(PI()*AX$12^2)/4*(AT145*$W145*1000)/($G145*$B$5))))))/10</f>
        <v>#N/A</v>
      </c>
      <c r="AY145" s="102" t="e">
        <f>(VLOOKUP($B$3,'Coeff EC7'!$T$39:$X$59,2,0)*AW145+VLOOKUP($B$3,'Coeff EC7'!$T$65:$X$85,2,0)*Model0.1C!AX145)/1.1</f>
        <v>#N/A</v>
      </c>
      <c r="AZ145" s="102" t="e">
        <f>(VLOOKUP($B$3,'Coeff EC7'!$T$39:$X$59,3,0)*AW145+VLOOKUP($B$3,'Coeff EC7'!$T$65:$X$85,3,0)*Model0.1C!AX145)/0.9</f>
        <v>#N/A</v>
      </c>
      <c r="BA145" s="102" t="e">
        <f t="shared" si="273"/>
        <v>#N/A</v>
      </c>
      <c r="BB145" s="102" t="e">
        <f t="shared" si="274"/>
        <v>#N/A</v>
      </c>
      <c r="BC145" s="414" t="e">
        <f>IF(BC144=0,0,IF(AND(AY145&gt;charge_ELS_quasi,AZ145&gt;Charge_ELS_freq,BA145&gt;charge_ELU,BB145&gt;charge_ELA,$B145&gt;NDC!$H$22-0.1+MIN(3*$BC$12,1.5)),0,1))</f>
        <v>#N/A</v>
      </c>
      <c r="BD145" s="86" t="b">
        <f t="shared" si="244"/>
        <v>0</v>
      </c>
      <c r="BE145" s="86">
        <f t="shared" si="275"/>
        <v>0.5</v>
      </c>
      <c r="BF145" s="86">
        <f t="shared" si="245"/>
        <v>0.5</v>
      </c>
      <c r="BG145" s="30" t="e">
        <f t="shared" ca="1" si="276"/>
        <v>#DIV/0!</v>
      </c>
      <c r="BH145" s="85" t="e">
        <f ca="1">IF(AN145&lt;=Hypothèses!$V$7,Hypothèses!$W$7,IF(AN145&lt;=Hypothèses!$V$8,Hypothèses!$W$8,IF(AN145&lt;=Hypothèses!$V$9,Hypothèses!$W$9,IF(AN145&lt;=Hypothèses!$V$10,Hypothèses!$W$10,IF(AN145&lt;=Hypothèses!$V$11,Hypothèses!$W$11,IF(AN145&lt;=Hypothèses!$V$12,Hypothèses!$W$12,IF(AN145&lt;=Hypothèses!$V$13,Hypothèses!$W$13,IF(AN145&lt;=Hypothèses!$V$14,Hypothèses!$W$14,IF(AN145&lt;=Hypothèses!$V$15,Hypothèses!$W$15,IF(AN145&lt;=Hypothèses!$V$16,Hypothèses!$W$16,IF(AN145&lt;=Hypothèses!$V$17,Hypothèses!$W$17,IF(AN145&lt;=Hypothèses!$V$18,Hypothèses!$W$18,""))))))))))))</f>
        <v>#DIV/0!</v>
      </c>
      <c r="BI145" s="87" t="e">
        <f t="shared" ref="BI145:BI208" ca="1" si="318">IF(BH145&lt;&gt;"",BH145,BG145)</f>
        <v>#DIV/0!</v>
      </c>
      <c r="BJ145" s="88" t="e">
        <f ca="1">IF(AN145&lt;=Hypothèses!$V$7,Hypothèses!$X$7,IF(AN145&lt;=Hypothèses!$V$8,Hypothèses!$X$8,IF(AN145&lt;=Hypothèses!$V$9,Hypothèses!$X$9,IF(AN145&lt;=Hypothèses!$V$10,Hypothèses!$X$10,IF(AN145&lt;=Hypothèses!$V$11,Hypothèses!$X$11,IF(AN145&lt;=Hypothèses!$V$12,Hypothèses!$X$12,IF(AN145&lt;=Hypothèses!$V$13,Hypothèses!$X$13,IF(AN145&lt;=Hypothèses!$V$14,Hypothèses!$X$14,IF(AN145&lt;=Hypothèses!$V$15,Hypothèses!$X$15,IF(AN145&lt;=Hypothèses!$V$16,Hypothèses!$X$16,IF(AN145&lt;=Hypothèses!$U$17,Hypothèses!$W$17,IF(AN145&lt;=Hypothèses!$U$18,Hypothèses!$W$18,""))))))))))))</f>
        <v>#DIV/0!</v>
      </c>
      <c r="BK145" s="95" t="e">
        <f t="shared" ca="1" si="277"/>
        <v>#DIV/0!</v>
      </c>
      <c r="BL145" s="101" t="e">
        <f t="shared" si="225"/>
        <v>#N/A</v>
      </c>
      <c r="BM145" s="91" t="e">
        <f t="shared" si="246"/>
        <v>#N/A</v>
      </c>
      <c r="BN145" s="30" t="e">
        <f t="shared" si="304"/>
        <v>#N/A</v>
      </c>
      <c r="BO145" s="30" t="e">
        <f t="shared" si="305"/>
        <v>#N/A</v>
      </c>
      <c r="BP145" s="31" t="e">
        <f>IF(OR(Hypothèses!$B$4=17,Hypothèses!$B$4=18,Hypothèses!$B$4=19,Hypothèses!$B$4=20),
IF($D145="Pressio.",
IF(OR($E145=3,$E145=1,$E145=4),BO145,BN145),
IF($D145="Pénétro.",
IF(OR($E145=3,$E145=1,$E145=4),BO145,BN145))),IF($D145="Pressio.",
IF($E145=3,BO145,BN145),
IF($D145="Pénétro.",
IF($E145=4,BO145,BN145))))</f>
        <v>#N/A</v>
      </c>
      <c r="BQ145" s="31" t="e">
        <f>(IF(OR(Hypothèses!$B$4=17,Hypothèses!$B$4=18,Hypothèses!$B$4=19,Hypothèses!$B$4=20),
IF($D145="Pressio.",
IF(OR($E145=3,$E145=1,$E145=4),(PI()*BQ$12^2)/4*(BM145*$W145*1000)/($H145*$B$5),(PI()*BQ$12^2)/4*(BM145*$W145*1000)/($G145*$B$5)),
IF($D145="Pénétro.",
IF(OR($E145=4,$E145=1,$E145=5),(PI()*BQ$12^2)/4*(BM145*$W145*1000)/($H145*$B$5),(PI()*BQ$12^2)/4*(BM145*$W145*1000)/($G145*$B$5)))),
IF($D145="Pressio.",
IF($E145=3,(PI()*BQ$12^2)/4*(BM145*$W145*1000)/($H145*$B$5),(PI()*BQ$12^2)/4*(BM145*$W145*1000)/($G145*$B$5)),
IF($D145="Pénétro.",
IF($E145=4,(PI()*BQ$12^2)/4*(BM145*$W145*1000)/($H145*$B$5),(PI()*BQ$12^2)/4*(BM145*$W145*1000)/($G145*$B$5))))))/10</f>
        <v>#N/A</v>
      </c>
      <c r="BR145" s="102" t="e">
        <f>(VLOOKUP($B$3,'Coeff EC7'!$T$39:$X$59,2,0)*BP145+VLOOKUP($B$3,'Coeff EC7'!$T$65:$X$85,2,0)*Model0.1C!BQ145)/1.1</f>
        <v>#N/A</v>
      </c>
      <c r="BS145" s="102" t="e">
        <f>(VLOOKUP($B$3,'Coeff EC7'!$T$39:$X$59,3,0)*BP145+VLOOKUP($B$3,'Coeff EC7'!$T$65:$X$85,3,0)*Model0.1C!BQ145)/0.9</f>
        <v>#N/A</v>
      </c>
      <c r="BT145" s="102" t="e">
        <f t="shared" si="278"/>
        <v>#N/A</v>
      </c>
      <c r="BU145" s="102" t="e">
        <f t="shared" si="279"/>
        <v>#N/A</v>
      </c>
      <c r="BV145" s="414" t="e">
        <f>IF(BV144=0,0,IF(AND(BR145&gt;charge_ELS_quasi,BS145&gt;Charge_ELS_freq,BT145&gt;charge_ELU,BU145&gt;charge_ELA,$B145&gt;NDC!$H$22-0.1+MIN(3*$BV$12,1.5)),0,1))</f>
        <v>#N/A</v>
      </c>
      <c r="BW145" s="86" t="b">
        <f t="shared" si="247"/>
        <v>0</v>
      </c>
      <c r="BX145" s="86">
        <f t="shared" si="248"/>
        <v>0.5</v>
      </c>
      <c r="BY145" s="86">
        <f t="shared" si="249"/>
        <v>0.5</v>
      </c>
      <c r="BZ145" s="30" t="e">
        <f t="shared" ca="1" si="280"/>
        <v>#DIV/0!</v>
      </c>
      <c r="CA145" s="85" t="e">
        <f ca="1">IF(BG145&lt;=Hypothèses!$V$7,Hypothèses!$W$7,IF(BG145&lt;=Hypothèses!$V$8,Hypothèses!$W$8,IF(BG145&lt;=Hypothèses!$V$9,Hypothèses!$W$9,IF(BG145&lt;=Hypothèses!$V$10,Hypothèses!$W$10,IF(BG145&lt;=Hypothèses!$V$11,Hypothèses!$W$11,IF(BG145&lt;=Hypothèses!$V$12,Hypothèses!$W$12,IF(BG145&lt;=Hypothèses!$V$13,Hypothèses!$W$13,IF(BG145&lt;=Hypothèses!$V$14,Hypothèses!$W$14,IF(BG145&lt;=Hypothèses!$V$15,Hypothèses!$W$15,IF(BG145&lt;=Hypothèses!$V$16,Hypothèses!$W$16,IF(BG145&lt;=Hypothèses!$V$17,Hypothèses!$W$17,IF(BG145&lt;=Hypothèses!$V$18,Hypothèses!$W$18,""))))))))))))</f>
        <v>#DIV/0!</v>
      </c>
      <c r="CB145" s="87" t="e">
        <f t="shared" ref="CB145:CB208" ca="1" si="319">IF(CA145&lt;&gt;"",CA145,BZ145)</f>
        <v>#DIV/0!</v>
      </c>
      <c r="CC145" s="88" t="e">
        <f ca="1">IF(BG145&lt;=Hypothèses!$V$7,Hypothèses!$X$7,IF(BG145&lt;=Hypothèses!$V$8,Hypothèses!$X$8,IF(BG145&lt;=Hypothèses!$V$9,Hypothèses!$X$9,IF(BG145&lt;=Hypothèses!$V$10,Hypothèses!$X$10,IF(BG145&lt;=Hypothèses!$V$11,Hypothèses!$X$11,IF(BG145&lt;=Hypothèses!$V$12,Hypothèses!$X$12,IF(BG145&lt;=Hypothèses!$V$13,Hypothèses!$X$13,IF(BG145&lt;=Hypothèses!$V$14,Hypothèses!$X$14,IF(BG145&lt;=Hypothèses!$V$15,Hypothèses!$X$15,IF(BG145&lt;=Hypothèses!$V$16,Hypothèses!$X$16,IF(BG145&lt;=Hypothèses!$U$17,Hypothèses!$W$17,IF(BG145&lt;=Hypothèses!$U$18,Hypothèses!$W$18,""))))))))))))</f>
        <v>#DIV/0!</v>
      </c>
      <c r="CD145" s="95" t="e">
        <f t="shared" ca="1" si="281"/>
        <v>#DIV/0!</v>
      </c>
      <c r="CE145" s="101" t="e">
        <f t="shared" si="226"/>
        <v>#N/A</v>
      </c>
      <c r="CF145" s="91" t="e">
        <f t="shared" si="250"/>
        <v>#N/A</v>
      </c>
      <c r="CG145" s="30" t="e">
        <f t="shared" si="306"/>
        <v>#N/A</v>
      </c>
      <c r="CH145" s="30" t="e">
        <f t="shared" si="307"/>
        <v>#N/A</v>
      </c>
      <c r="CI145" s="31" t="e">
        <f>IF(OR(Hypothèses!$B$4=17,Hypothèses!$B$4=18,Hypothèses!$B$4=19,Hypothèses!$B$4=20),
IF($D145="Pressio.",
IF(OR($E145=3,$E145=1,$E145=4),CH145,CG145),
IF($D145="Pénétro.",
IF(OR($E145=3,$E145=1,$E145=4),CH145,CG145))),IF($D145="Pressio.",
IF($E145=3,CH145,CG145),
IF($D145="Pénétro.",
IF($E145=4,CH145,CG145))))</f>
        <v>#N/A</v>
      </c>
      <c r="CJ145" s="31" t="e">
        <f>(IF(OR(Hypothèses!$B$4=17,Hypothèses!$B$4=18,Hypothèses!$B$4=19,Hypothèses!$B$4=20),
IF($D145="Pressio.",
IF(OR($E145=3,$E145=1,$E145=4),(PI()*CJ$12^2)/4*(CF145*$W145*1000)/($H145*$B$5),(PI()*CJ$12^2)/4*(CF145*$W145*1000)/($G145*$B$5)),
IF($D145="Pénétro.",
IF(OR($E145=4,$E145=1,$E145=5),(PI()*CJ$12^2)/4*(CF145*$W145*1000)/($H145*$B$5),(PI()*CJ$12^2)/4*(CF145*$W145*1000)/($G145*$B$5)))),
IF($D145="Pressio.",
IF($E145=3,(PI()*CJ$12^2)/4*(CF145*$W145*1000)/($H145*$B$5),(PI()*CJ$12^2)/4*(CF145*$W145*1000)/($G145*$B$5)),
IF($D145="Pénétro.",
IF($E145=4,(PI()*CJ$12^2)/4*(CF145*$W145*1000)/($H145*$B$5),(PI()*CJ$12^2)/4*(CF145*$W145*1000)/($G145*$B$5))))))/10</f>
        <v>#N/A</v>
      </c>
      <c r="CK145" s="102" t="e">
        <f>(VLOOKUP($B$3,'Coeff EC7'!$T$39:$X$59,2,0)*CI145+VLOOKUP($B$3,'Coeff EC7'!$T$65:$X$85,2,0)*Model0.1C!CJ145)/1.1</f>
        <v>#N/A</v>
      </c>
      <c r="CL145" s="102" t="e">
        <f>(VLOOKUP($B$3,'Coeff EC7'!$T$39:$X$59,3,0)*CI145+VLOOKUP($B$3,'Coeff EC7'!$T$65:$X$85,3,0)*Model0.1C!CJ145)/0.9</f>
        <v>#N/A</v>
      </c>
      <c r="CM145" s="102" t="e">
        <f t="shared" si="282"/>
        <v>#N/A</v>
      </c>
      <c r="CN145" s="102" t="e">
        <f t="shared" si="283"/>
        <v>#N/A</v>
      </c>
      <c r="CO145" s="414" t="e">
        <f>IF(CO144=0,0,IF(AND(CK145&gt;charge_ELS_quasi,CL145&gt;Charge_ELS_freq,CM145&gt;charge_ELU,CN145&gt;charge_ELA,$B145&gt;NDC!$H$22-0.1+MIN(3*$CO$12,1.5)),0,1))</f>
        <v>#N/A</v>
      </c>
      <c r="CP145" s="86" t="b">
        <f t="shared" si="251"/>
        <v>0</v>
      </c>
      <c r="CQ145" s="86">
        <f t="shared" si="252"/>
        <v>0.5</v>
      </c>
      <c r="CR145" s="86">
        <f t="shared" si="253"/>
        <v>0.5</v>
      </c>
      <c r="CS145" s="30" t="e">
        <f t="shared" ca="1" si="284"/>
        <v>#DIV/0!</v>
      </c>
      <c r="CT145" s="85" t="e">
        <f ca="1">IF(BZ145&lt;=Hypothèses!$V$7,Hypothèses!$W$7,IF(BZ145&lt;=Hypothèses!$V$8,Hypothèses!$W$8,IF(BZ145&lt;=Hypothèses!$V$9,Hypothèses!$W$9,IF(BZ145&lt;=Hypothèses!$V$10,Hypothèses!$W$10,IF(BZ145&lt;=Hypothèses!$V$11,Hypothèses!$W$11,IF(BZ145&lt;=Hypothèses!$V$12,Hypothèses!$W$12,IF(BZ145&lt;=Hypothèses!$V$13,Hypothèses!$W$13,IF(BZ145&lt;=Hypothèses!$V$14,Hypothèses!$W$14,IF(BZ145&lt;=Hypothèses!$V$15,Hypothèses!$W$15,IF(BZ145&lt;=Hypothèses!$V$16,Hypothèses!$W$16,IF(BZ145&lt;=Hypothèses!$V$17,Hypothèses!$W$17,IF(BZ145&lt;=Hypothèses!$V$18,Hypothèses!$W$18,""))))))))))))</f>
        <v>#DIV/0!</v>
      </c>
      <c r="CU145" s="87" t="e">
        <f t="shared" ref="CU145:CU208" ca="1" si="320">IF(CT145&lt;&gt;"",CT145,CS145)</f>
        <v>#DIV/0!</v>
      </c>
      <c r="CV145" s="88" t="e">
        <f ca="1">IF(BZ145&lt;=Hypothèses!$V$7,Hypothèses!$X$7,IF(BZ145&lt;=Hypothèses!$V$8,Hypothèses!$X$8,IF(BZ145&lt;=Hypothèses!$V$9,Hypothèses!$X$9,IF(BZ145&lt;=Hypothèses!$V$10,Hypothèses!$X$10,IF(BZ145&lt;=Hypothèses!$V$11,Hypothèses!$X$11,IF(BZ145&lt;=Hypothèses!$V$12,Hypothèses!$X$12,IF(BZ145&lt;=Hypothèses!$V$13,Hypothèses!$X$13,IF(BZ145&lt;=Hypothèses!$V$14,Hypothèses!$X$14,IF(BZ145&lt;=Hypothèses!$V$15,Hypothèses!$X$15,IF(BZ145&lt;=Hypothèses!$V$16,Hypothèses!$X$16,IF(BZ145&lt;=Hypothèses!$U$17,Hypothèses!$W$17,IF(BZ145&lt;=Hypothèses!$U$18,Hypothèses!$W$18,""))))))))))))</f>
        <v>#DIV/0!</v>
      </c>
      <c r="CW145" s="95" t="e">
        <f t="shared" ca="1" si="285"/>
        <v>#DIV/0!</v>
      </c>
      <c r="CX145" s="101" t="e">
        <f t="shared" si="227"/>
        <v>#N/A</v>
      </c>
      <c r="CY145" s="91" t="e">
        <f t="shared" si="254"/>
        <v>#N/A</v>
      </c>
      <c r="CZ145" s="30" t="e">
        <f t="shared" si="308"/>
        <v>#N/A</v>
      </c>
      <c r="DA145" s="30" t="e">
        <f t="shared" si="309"/>
        <v>#N/A</v>
      </c>
      <c r="DB145" s="31" t="e">
        <f>IF(OR(Hypothèses!$B$4=17,Hypothèses!$B$4=18,Hypothèses!$B$4=19,Hypothèses!$B$4=20),
IF($D145="Pressio.",
IF(OR($E145=3,$E145=1,$E145=4),DA145,CZ145),
IF($D145="Pénétro.",
IF(OR($E145=3,$E145=1,$E145=4),DA145,CZ145))),IF($D145="Pressio.",
IF($E145=3,DA145,CZ145),
IF($D145="Pénétro.",
IF($E145=4,DA145,CZ145))))</f>
        <v>#N/A</v>
      </c>
      <c r="DC145" s="31" t="e">
        <f>(IF(OR(Hypothèses!$B$4=17,Hypothèses!$B$4=18,Hypothèses!$B$4=19,Hypothèses!$B$4=20),
IF($D145="Pressio.",
IF(OR($E145=3,$E145=1,$E145=4),(PI()*DC$12^2)/4*(CY145*$W145*1000)/($H145*$B$5),(PI()*DC$12^2)/4*(CY145*$W145*1000)/($G145*$B$5)),
IF($D145="Pénétro.",
IF(OR($E145=4,$E145=1,$E145=5),(PI()*DC$12^2)/4*(CY145*$W145*1000)/($H145*$B$5),(PI()*DC$12^2)/4*(CY145*$W145*1000)/($G145*$B$5)))),
IF($D145="Pressio.",
IF($E145=3,(PI()*DC$12^2)/4*(CY145*$W145*1000)/($H145*$B$5),(PI()*DC$12^2)/4*(CY145*$W145*1000)/($G145*$B$5)),
IF($D145="Pénétro.",
IF($E145=4,(PI()*DC$12^2)/4*(CY145*$W145*1000)/($H145*$B$5),(PI()*DC$12^2)/4*(CY145*$W145*1000)/($G145*$B$5))))))/10</f>
        <v>#N/A</v>
      </c>
      <c r="DD145" s="102" t="e">
        <f>(VLOOKUP($B$3,'Coeff EC7'!$T$39:$X$59,2,0)*DB145+VLOOKUP($B$3,'Coeff EC7'!$T$65:$X$85,2,0)*Model0.1C!DC145)/1.1</f>
        <v>#N/A</v>
      </c>
      <c r="DE145" s="102" t="e">
        <f>(VLOOKUP($B$3,'Coeff EC7'!$T$39:$X$59,3,0)*DB145+VLOOKUP($B$3,'Coeff EC7'!$T$65:$X$85,3,0)*Model0.1C!DC145)/0.9</f>
        <v>#N/A</v>
      </c>
      <c r="DF145" s="102" t="e">
        <f t="shared" si="286"/>
        <v>#N/A</v>
      </c>
      <c r="DG145" s="102" t="e">
        <f t="shared" si="287"/>
        <v>#N/A</v>
      </c>
      <c r="DH145" s="414" t="e">
        <f>IF(DH144=0,0,IF(AND(DD145&gt;charge_ELS_quasi,DE145&gt;Charge_ELS_freq,DF145&gt;charge_ELU,DG145&gt;charge_ELA,$B145&gt;NDC!$H$22-0.1+MIN(3*$DH$12,1.5)),0,1))</f>
        <v>#N/A</v>
      </c>
      <c r="DI145" s="86" t="b">
        <f t="shared" si="255"/>
        <v>0</v>
      </c>
      <c r="DJ145" s="86">
        <f t="shared" si="256"/>
        <v>0.5</v>
      </c>
      <c r="DK145" s="86">
        <f t="shared" si="257"/>
        <v>0.5</v>
      </c>
      <c r="DL145" s="30" t="e">
        <f t="shared" ca="1" si="288"/>
        <v>#DIV/0!</v>
      </c>
      <c r="DM145" s="85" t="e">
        <f ca="1">IF(CS145&lt;=Hypothèses!$V$7,Hypothèses!$W$7,IF(CS145&lt;=Hypothèses!$V$8,Hypothèses!$W$8,IF(CS145&lt;=Hypothèses!$V$9,Hypothèses!$W$9,IF(CS145&lt;=Hypothèses!$V$10,Hypothèses!$W$10,IF(CS145&lt;=Hypothèses!$V$11,Hypothèses!$W$11,IF(CS145&lt;=Hypothèses!$V$12,Hypothèses!$W$12,IF(CS145&lt;=Hypothèses!$V$13,Hypothèses!$W$13,IF(CS145&lt;=Hypothèses!$V$14,Hypothèses!$W$14,IF(CS145&lt;=Hypothèses!$V$15,Hypothèses!$W$15,IF(CS145&lt;=Hypothèses!$V$16,Hypothèses!$W$16,IF(CS145&lt;=Hypothèses!$V$17,Hypothèses!$W$17,IF(CS145&lt;=Hypothèses!$V$18,Hypothèses!$W$18,""))))))))))))</f>
        <v>#DIV/0!</v>
      </c>
      <c r="DN145" s="87" t="e">
        <f t="shared" ref="DN145:DN208" ca="1" si="321">IF(DM145&lt;&gt;"",DM145,DL145)</f>
        <v>#DIV/0!</v>
      </c>
      <c r="DO145" s="88" t="e">
        <f ca="1">IF(CS145&lt;=Hypothèses!$V$7,Hypothèses!$X$7,IF(CS145&lt;=Hypothèses!$V$8,Hypothèses!$X$8,IF(CS145&lt;=Hypothèses!$V$9,Hypothèses!$X$9,IF(CS145&lt;=Hypothèses!$V$10,Hypothèses!$X$10,IF(CS145&lt;=Hypothèses!$V$11,Hypothèses!$X$11,IF(CS145&lt;=Hypothèses!$V$12,Hypothèses!$X$12,IF(CS145&lt;=Hypothèses!$V$13,Hypothèses!$X$13,IF(CS145&lt;=Hypothèses!$V$14,Hypothèses!$X$14,IF(CS145&lt;=Hypothèses!$V$15,Hypothèses!$X$15,IF(CS145&lt;=Hypothèses!$V$16,Hypothèses!$X$16,IF(CS145&lt;=Hypothèses!$U$17,Hypothèses!$W$17,IF(CS145&lt;=Hypothèses!$U$18,Hypothèses!$W$18,""))))))))))))</f>
        <v>#DIV/0!</v>
      </c>
      <c r="DP145" s="95" t="e">
        <f t="shared" ca="1" si="289"/>
        <v>#DIV/0!</v>
      </c>
      <c r="DQ145" s="101" t="e">
        <f t="shared" si="228"/>
        <v>#N/A</v>
      </c>
      <c r="DR145" s="91" t="e">
        <f t="shared" si="258"/>
        <v>#N/A</v>
      </c>
      <c r="DS145" s="30" t="e">
        <f t="shared" si="310"/>
        <v>#N/A</v>
      </c>
      <c r="DT145" s="30" t="e">
        <f t="shared" si="311"/>
        <v>#N/A</v>
      </c>
      <c r="DU145" s="31" t="e">
        <f>IF(OR(Hypothèses!$B$4=17,Hypothèses!$B$4=18,Hypothèses!$B$4=19,Hypothèses!$B$4=20),
IF($D145="Pressio.",
IF(OR($E145=3,$E145=1,$E145=4),DT145,DS145),
IF($D145="Pénétro.",
IF(OR($E145=3,$E145=1,$E145=4),DT145,DS145))),IF($D145="Pressio.",
IF($E145=3,DT145,DS145),
IF($D145="Pénétro.",
IF($E145=4,DT145,DS145))))</f>
        <v>#N/A</v>
      </c>
      <c r="DV145" s="31" t="e">
        <f>(IF(OR(Hypothèses!$B$4=17,Hypothèses!$B$4=18,Hypothèses!$B$4=19,Hypothèses!$B$4=20),
IF($D145="Pressio.",
IF(OR($E145=3,$E145=1,$E145=4),(PI()*DV$12^2)/4*(DR145*$W145*1000)/($H145*$B$5),(PI()*DV$12^2)/4*(DR145*$W145*1000)/($G145*$B$5)),
IF($D145="Pénétro.",
IF(OR($E145=4,$E145=1,$E145=5),(PI()*DV$12^2)/4*(DR145*$W145*1000)/($H145*$B$5),(PI()*DV$12^2)/4*(DR145*$W145*1000)/($G145*$B$5)))),
IF($D145="Pressio.",
IF($E145=3,(PI()*DV$12^2)/4*(DR145*$W145*1000)/($H145*$B$5),(PI()*DV$12^2)/4*(DR145*$W145*1000)/($G145*$B$5)),
IF($D145="Pénétro.",
IF($E145=4,(PI()*DV$12^2)/4*(DR145*$W145*1000)/($H145*$B$5),(PI()*DV$12^2)/4*(DR145*$W145*1000)/($G145*$B$5))))))/10</f>
        <v>#N/A</v>
      </c>
      <c r="DW145" s="102" t="e">
        <f>(VLOOKUP($B$3,'Coeff EC7'!$T$39:$X$59,2,0)*DU145+VLOOKUP($B$3,'Coeff EC7'!$T$65:$X$85,2,0)*Model0.1C!DV145)/1.1</f>
        <v>#N/A</v>
      </c>
      <c r="DX145" s="102" t="e">
        <f>(VLOOKUP($B$3,'Coeff EC7'!$T$39:$X$59,3,0)*DU145+VLOOKUP($B$3,'Coeff EC7'!$T$65:$X$85,3,0)*Model0.1C!DV145)/0.9</f>
        <v>#N/A</v>
      </c>
      <c r="DY145" s="102" t="e">
        <f t="shared" si="290"/>
        <v>#N/A</v>
      </c>
      <c r="DZ145" s="102" t="e">
        <f t="shared" si="291"/>
        <v>#N/A</v>
      </c>
      <c r="EA145" s="414" t="e">
        <f>IF(EA144=0,0,IF(AND(DW145&gt;charge_ELS_quasi,DX145&gt;Charge_ELS_freq,DY145&gt;charge_ELU,DZ145&gt;charge_ELA,$B145&gt;NDC!$H$22-0.1+MIN(3*$EA$12,1.5)),0,1))</f>
        <v>#N/A</v>
      </c>
      <c r="EB145" s="86" t="b">
        <f t="shared" si="259"/>
        <v>0</v>
      </c>
      <c r="EC145" s="418">
        <f t="shared" si="260"/>
        <v>0.51</v>
      </c>
      <c r="ED145" s="86">
        <f t="shared" si="261"/>
        <v>0.51</v>
      </c>
      <c r="EE145" s="30" t="e">
        <f t="shared" ca="1" si="292"/>
        <v>#DIV/0!</v>
      </c>
      <c r="EF145" s="85" t="e">
        <f ca="1">IF(DL145&lt;=Hypothèses!$V$7,Hypothèses!$W$7,IF(DL145&lt;=Hypothèses!$V$8,Hypothèses!$W$8,IF(DL145&lt;=Hypothèses!$V$9,Hypothèses!$W$9,IF(DL145&lt;=Hypothèses!$V$10,Hypothèses!$W$10,IF(DL145&lt;=Hypothèses!$V$11,Hypothèses!$W$11,IF(DL145&lt;=Hypothèses!$V$12,Hypothèses!$W$12,IF(DL145&lt;=Hypothèses!$V$13,Hypothèses!$W$13,IF(DL145&lt;=Hypothèses!$V$14,Hypothèses!$W$14,IF(DL145&lt;=Hypothèses!$V$15,Hypothèses!$W$15,IF(DL145&lt;=Hypothèses!$V$16,Hypothèses!$W$16,IF(DL145&lt;=Hypothèses!$V$17,Hypothèses!$W$17,IF(DL145&lt;=Hypothèses!$V$18,Hypothèses!$W$18,""))))))))))))</f>
        <v>#DIV/0!</v>
      </c>
      <c r="EG145" s="87" t="e">
        <f t="shared" ref="EG145:EG208" ca="1" si="322">IF(EF145&lt;&gt;"",EF145,EE145)</f>
        <v>#DIV/0!</v>
      </c>
      <c r="EH145" s="88" t="e">
        <f ca="1">IF(DL145&lt;=Hypothèses!$V$7,Hypothèses!$X$7,IF(DL145&lt;=Hypothèses!$V$8,Hypothèses!$X$8,IF(DL145&lt;=Hypothèses!$V$9,Hypothèses!$X$9,IF(DL145&lt;=Hypothèses!$V$10,Hypothèses!$X$10,IF(DL145&lt;=Hypothèses!$V$11,Hypothèses!$X$11,IF(DL145&lt;=Hypothèses!$V$12,Hypothèses!$X$12,IF(DL145&lt;=Hypothèses!$V$13,Hypothèses!$X$13,IF(DL145&lt;=Hypothèses!$V$14,Hypothèses!$X$14,IF(DL145&lt;=Hypothèses!$V$15,Hypothèses!$X$15,IF(DL145&lt;=Hypothèses!$V$16,Hypothèses!$X$16,IF(DL145&lt;=Hypothèses!$U$17,Hypothèses!$W$17,IF(DL145&lt;=Hypothèses!$U$18,Hypothèses!$W$18,""))))))))))))</f>
        <v>#DIV/0!</v>
      </c>
      <c r="EI145" s="95" t="e">
        <f t="shared" ca="1" si="293"/>
        <v>#DIV/0!</v>
      </c>
      <c r="EJ145" s="101" t="e">
        <f t="shared" si="229"/>
        <v>#N/A</v>
      </c>
      <c r="EK145" s="91" t="e">
        <f t="shared" si="262"/>
        <v>#N/A</v>
      </c>
      <c r="EL145" s="30" t="e">
        <f t="shared" si="312"/>
        <v>#N/A</v>
      </c>
      <c r="EM145" s="30" t="e">
        <f t="shared" si="313"/>
        <v>#N/A</v>
      </c>
      <c r="EN145" s="31" t="e">
        <f>IF(OR(Hypothèses!$B$4=17,Hypothèses!$B$4=18,Hypothèses!$B$4=19,Hypothèses!$B$4=20),
IF($D145="Pressio.",
IF(OR($E145=3,$E145=1,$E145=4),EM145,EL145),
IF($D145="Pénétro.",
IF(OR($E145=3,$E145=1,$E145=4),EM145,EL145))),IF($D145="Pressio.",
IF($E145=3,EM145,EL145),
IF($D145="Pénétro.",
IF($E145=4,EM145,EL145))))</f>
        <v>#N/A</v>
      </c>
      <c r="EO145" s="31" t="e">
        <f>(IF(OR(Hypothèses!$B$4=17,Hypothèses!$B$4=18,Hypothèses!$B$4=19,Hypothèses!$B$4=20),
IF($D145="Pressio.",
IF(OR($E145=3,$E145=1,$E145=4),(PI()*EO$12^2)/4*(EK145*$W145*1000)/($H145*$B$5),(PI()*EO$12^2)/4*(EK145*$W145*1000)/($G145*$B$5)),
IF($D145="Pénétro.",
IF(OR($E145=4,$E145=1,$E145=5),(PI()*EO$12^2)/4*(EK145*$W145*1000)/($H145*$B$5),(PI()*EO$12^2)/4*(EK145*$W145*1000)/($G145*$B$5)))),
IF($D145="Pressio.",
IF($E145=3,(PI()*EO$12^2)/4*(EK145*$W145*1000)/($H145*$B$5),(PI()*EO$12^2)/4*(EK145*$W145*1000)/($G145*$B$5)),
IF($D145="Pénétro.",
IF($E145=4,(PI()*EO$12^2)/4*(EK145*$W145*1000)/($H145*$B$5),(PI()*EO$12^2)/4*(EK145*$W145*1000)/($G145*$B$5))))))/10</f>
        <v>#N/A</v>
      </c>
      <c r="EP145" s="102" t="e">
        <f>(VLOOKUP($B$3,'Coeff EC7'!$T$39:$X$59,2,0)*EN145+VLOOKUP($B$3,'Coeff EC7'!$T$65:$X$85,2,0)*Model0.1C!EO145)/1.1</f>
        <v>#N/A</v>
      </c>
      <c r="EQ145" s="102" t="e">
        <f>(VLOOKUP($B$3,'Coeff EC7'!$T$39:$X$59,3,0)*EN145+VLOOKUP($B$3,'Coeff EC7'!$T$65:$X$85,3,0)*Model0.1C!EO145)/0.9</f>
        <v>#N/A</v>
      </c>
      <c r="ER145" s="102" t="e">
        <f t="shared" si="294"/>
        <v>#N/A</v>
      </c>
      <c r="ES145" s="102" t="e">
        <f t="shared" si="295"/>
        <v>#N/A</v>
      </c>
      <c r="ET145" s="414" t="e">
        <f>IF(ET144=0,0,IF(AND(EP145&gt;charge_ELS_quasi,EQ145&gt;Charge_ELS_freq,ER145&gt;charge_ELU,ES145&gt;charge_ELA,$B145&gt;NDC!$H$22-0.1+MIN(3*$ET$12,1.5)),0,1))</f>
        <v>#N/A</v>
      </c>
      <c r="EU145" s="86" t="b">
        <f t="shared" si="263"/>
        <v>0</v>
      </c>
      <c r="EV145" s="86">
        <f t="shared" si="264"/>
        <v>0.61</v>
      </c>
      <c r="EW145" s="86">
        <f t="shared" si="265"/>
        <v>0.61</v>
      </c>
      <c r="EX145" s="30" t="e">
        <f t="shared" ca="1" si="296"/>
        <v>#DIV/0!</v>
      </c>
      <c r="EY145" s="85" t="e">
        <f ca="1">IF(EE145&lt;=Hypothèses!$V$7,Hypothèses!$W$7,IF(EE145&lt;=Hypothèses!$V$8,Hypothèses!$W$8,IF(EE145&lt;=Hypothèses!$V$9,Hypothèses!$W$9,IF(EE145&lt;=Hypothèses!$V$10,Hypothèses!$W$10,IF(EE145&lt;=Hypothèses!$V$11,Hypothèses!$W$11,IF(EE145&lt;=Hypothèses!$V$12,Hypothèses!$W$12,IF(EE145&lt;=Hypothèses!$V$13,Hypothèses!$W$13,IF(EE145&lt;=Hypothèses!$V$14,Hypothèses!$W$14,IF(EE145&lt;=Hypothèses!$V$15,Hypothèses!$W$15,IF(EE145&lt;=Hypothèses!$V$16,Hypothèses!$W$16,IF(EE145&lt;=Hypothèses!$V$17,Hypothèses!$W$17,IF(EE145&lt;=Hypothèses!$V$18,Hypothèses!$W$18,""))))))))))))</f>
        <v>#DIV/0!</v>
      </c>
      <c r="EZ145" s="87" t="e">
        <f t="shared" ref="EZ145:EZ208" ca="1" si="323">IF(EY145&lt;&gt;"",EY145,EX145)</f>
        <v>#DIV/0!</v>
      </c>
      <c r="FA145" s="88" t="e">
        <f ca="1">IF(EE145&lt;=Hypothèses!$V$7,Hypothèses!$X$7,IF(EE145&lt;=Hypothèses!$V$8,Hypothèses!$X$8,IF(EE145&lt;=Hypothèses!$V$9,Hypothèses!$X$9,IF(EE145&lt;=Hypothèses!$V$10,Hypothèses!$X$10,IF(EE145&lt;=Hypothèses!$V$11,Hypothèses!$X$11,IF(EE145&lt;=Hypothèses!$V$12,Hypothèses!$X$12,IF(EE145&lt;=Hypothèses!$V$13,Hypothèses!$X$13,IF(EE145&lt;=Hypothèses!$V$14,Hypothèses!$X$14,IF(EE145&lt;=Hypothèses!$V$15,Hypothèses!$X$15,IF(EE145&lt;=Hypothèses!$V$16,Hypothèses!$X$16,IF(EE145&lt;=Hypothèses!$U$17,Hypothèses!$W$17,IF(EE145&lt;=Hypothèses!$U$18,Hypothèses!$W$18,""))))))))))))</f>
        <v>#DIV/0!</v>
      </c>
      <c r="FB145" s="95" t="e">
        <f t="shared" ca="1" si="297"/>
        <v>#DIV/0!</v>
      </c>
      <c r="FC145" s="101" t="e">
        <f t="shared" si="230"/>
        <v>#N/A</v>
      </c>
      <c r="FD145" s="91" t="e">
        <f t="shared" si="266"/>
        <v>#N/A</v>
      </c>
      <c r="FE145" s="30" t="e">
        <f t="shared" si="314"/>
        <v>#N/A</v>
      </c>
      <c r="FF145" s="30" t="e">
        <f t="shared" si="315"/>
        <v>#N/A</v>
      </c>
      <c r="FG145" s="31" t="e">
        <f>IF(OR(Hypothèses!$B$4=17,Hypothèses!$B$4=18,Hypothèses!$B$4=19,Hypothèses!$B$4=20),
IF($D145="Pressio.",
IF(OR($E145=3,$E145=1,$E145=4),FF145,FE145),
IF($D145="Pénétro.",
IF(OR($E145=3,$E145=1,$E145=4),FF145,FE145))),IF($D145="Pressio.",
IF($E145=3,FF145,FE145),
IF($D145="Pénétro.",
IF($E145=4,FF145,FE145))))</f>
        <v>#N/A</v>
      </c>
      <c r="FH145" s="31" t="e">
        <f>(IF(OR(Hypothèses!$B$4=17,Hypothèses!$B$4=18,Hypothèses!$B$4=19,Hypothèses!$B$4=20),
IF($D145="Pressio.",
IF(OR($E145=3,$E145=1,$E145=4),(PI()*FH$12^2)/4*(FD145*$W145*1000)/($H145*$B$5),(PI()*FH$12^2)/4*(FD145*$W145*1000)/($G145*$B$5)),
IF($D145="Pénétro.",
IF(OR($E145=4,$E145=1,$E145=5),(PI()*FH$12^2)/4*(FD145*$W145*1000)/($H145*$B$5),(PI()*FH$12^2)/4*(FD145*$W145*1000)/($G145*$B$5)))),
IF($D145="Pressio.",
IF($E145=3,(PI()*FH$12^2)/4*(FD145*$W145*1000)/($H145*$B$5),(PI()*FH$12^2)/4*(FD145*$W145*1000)/($G145*$B$5)),
IF($D145="Pénétro.",
IF($E145=4,(PI()*FH$12^2)/4*(FD145*$W145*1000)/($H145*$B$5),(PI()*FH$12^2)/4*(FD145*$W145*1000)/($G145*$B$5))))))/10</f>
        <v>#N/A</v>
      </c>
      <c r="FI145" s="102" t="e">
        <f>(VLOOKUP($B$3,'Coeff EC7'!$T$39:$X$59,2,0)*FG145+VLOOKUP($B$3,'Coeff EC7'!$T$65:$X$85,2,0)*Model0.1C!FH145)/1.1</f>
        <v>#N/A</v>
      </c>
      <c r="FJ145" s="102" t="e">
        <f>(VLOOKUP($B$3,'Coeff EC7'!$T$39:$X$59,3,0)*FG145+VLOOKUP($B$3,'Coeff EC7'!$T$65:$X$85,3,0)*Model0.1C!FH145)/0.9</f>
        <v>#N/A</v>
      </c>
      <c r="FK145" s="102" t="e">
        <f t="shared" si="298"/>
        <v>#N/A</v>
      </c>
      <c r="FL145" s="102" t="e">
        <f t="shared" si="299"/>
        <v>#N/A</v>
      </c>
      <c r="FM145" s="414" t="e">
        <f>IF(FM144=0,0,IF(AND(FI145&gt;charge_ELS_quasi,FJ145&gt;Charge_ELS_freq,FK145&gt;charge_ELU,FL145&gt;charge_ELA,$B145&gt;NDC!$H$22-0.1+MIN(3*$FM$12,1.5)),0,1))</f>
        <v>#N/A</v>
      </c>
    </row>
    <row r="146" spans="1:169">
      <c r="A146" s="96">
        <f t="shared" si="267"/>
        <v>86.700000000000756</v>
      </c>
      <c r="B146" s="97">
        <v>13.3</v>
      </c>
      <c r="C146" s="81">
        <f>IF(B146&lt;=Hypothèses!$C$7,Hypothèses!$A$7,IF(B146&lt;=Hypothèses!$C$8,Hypothèses!$A$8,IF(B146&lt;=Hypothèses!$C$9,Hypothèses!$A$9,IF(B146&lt;=Hypothèses!$C$10,Hypothèses!$A$10,IF(B146&lt;=Hypothèses!$C$11,Hypothèses!$A$11,IF(B146&lt;=Hypothèses!$C$12,Hypothèses!$A$12,IF(B146&lt;=Hypothèses!$C$13,Hypothèses!$A$13,IF(B146&lt;=Hypothèses!$C$14,Hypothèses!$A$14,IF(B146&lt;=Hypothèses!$C$15,Hypothèses!$A$15,IF(B146&lt;=Hypothèses!$C$16,Hypothèses!$A$16,IF(B146&lt;=Hypothèses!$C$17,Hypothèses!$A$17,IF(B146&lt;=Hypothèses!$C$18,Hypothèses!$A$18,C145))))))))))))</f>
        <v>11</v>
      </c>
      <c r="D146" s="82" t="str">
        <f>IF(B146&lt;=Hypothèses!$C$7,Hypothèses!$R$7,IF(B146&lt;=Hypothèses!$C$8,Hypothèses!$R$8,IF(B146&lt;=Hypothèses!$C$9,Hypothèses!$R$9,IF(B146&lt;=Hypothèses!$C$10,Hypothèses!$R$10,IF(B146&lt;=Hypothèses!$C$11,Hypothèses!$R$11,IF(B146&lt;=Hypothèses!$C$12,Hypothèses!$R$12,IF(B146&lt;=Hypothèses!$C$13,Hypothèses!$R$13,IF(B146&lt;=Hypothèses!$C$14,Hypothèses!$R$14,IF(B146&lt;=Hypothèses!$C$15,Hypothèses!$R$15,IF(B146&lt;=Hypothèses!$C$16,Hypothèses!$R$16,IF(B146&lt;=Hypothèses!$C$17,Hypothèses!$R$17,IF(B146&lt;=Hypothèses!$C$18,Hypothèses!$R$18,D145))))))))))))</f>
        <v>Pressio.</v>
      </c>
      <c r="E146" s="82" t="e">
        <f>IF(B146&lt;=Hypothèses!$C$7,Hypothèses!$G$7,IF(B146&lt;=Hypothèses!$C$8,Hypothèses!$G$8,IF(B146&lt;=Hypothèses!$C$9,Hypothèses!$G$9,IF(B146&lt;=Hypothèses!$C$10,Hypothèses!$G$10,IF(B146&lt;=Hypothèses!$C$11,Hypothèses!$G$11,IF(B146&lt;=Hypothèses!$C$12,Hypothèses!$G$12,IF(B146&lt;=Hypothèses!$C$13,Hypothèses!$G$13,IF(B146&lt;=Hypothèses!$C$14,Hypothèses!$G$14,IF(B146&lt;=Hypothèses!$C$15,Hypothèses!$G$15,IF(B146&lt;=Hypothèses!$C$16,Hypothèses!$G$16,IF(B146&lt;=Hypothèses!$C$17,Hypothèses!$G$17,IF(B146&lt;=Hypothèses!$C$18,Hypothèses!$G$18,E145))))))))))))</f>
        <v>#N/A</v>
      </c>
      <c r="F146" s="82" t="str">
        <f>IF(B146&lt;=Hypothèses!$C$7,Hypothèses!$F$7,IF(B146&lt;=Hypothèses!$C$8,Hypothèses!$F$8,IF(B146&lt;=Hypothèses!$C$9,Hypothèses!$F$9,IF(B146&lt;=Hypothèses!$C$10,Hypothèses!$F$10,IF(B146&lt;=Hypothèses!$C$11,Hypothèses!$F$11,IF(B146&lt;=Hypothèses!$C$12,Hypothèses!$F$12,IF(B146&lt;=Hypothèses!$C$13,Hypothèses!$F$13,IF(B146&lt;=Hypothèses!$C$14,Hypothèses!$F$14,IF(B146&lt;=Hypothèses!$C$15,Hypothèses!$F$15,IF(B146&lt;=Hypothèses!$C$16,Hypothèses!$F$16,IF(B146&lt;=Hypothèses!$C$17,Hypothèses!$F$17,IF(B146&lt;=Hypothèses!$C$18,Hypothèses!$F$18,F145))))))))))))</f>
        <v/>
      </c>
      <c r="G146" s="91">
        <f t="array" ref="G146">INDEX('Coeff EC7'!$U$7:$X$27,
MATCH(Model0.1C!$B$3,'Coeff EC7'!$T$7:$T$27,0),
MATCH(Model0.1C!$D146&amp;Model0.1C!$B$4,
'Coeff EC7'!$U$6:$X$6&amp;
'Coeff EC7'!$U$5:$X$5,0))</f>
        <v>1.1499999999999999</v>
      </c>
      <c r="H146" s="91">
        <f t="array" ref="H146">INDEX('Coeff EC7'!$Y$7:$AB$27,
MATCH(Model0.1C!$B$3,'Coeff EC7'!$T$7:$T$27,0),
MATCH(Model0.1C!$D146&amp;Model0.1C!$B$4,
'Coeff EC7'!$Y$6:$AB$6&amp;
'Coeff EC7'!$Y$5:$AB$5,0))</f>
        <v>1.4</v>
      </c>
      <c r="I146" s="83" t="e">
        <f>IF(B146&lt;=Hypothèses!$C$7,Hypothèses!$P$7,IF(B146&lt;=Hypothèses!$C$8,Hypothèses!$P$8,IF(B146&lt;=Hypothèses!$C$9,Hypothèses!$P$9,IF(B146&lt;=Hypothèses!$C$10,Hypothèses!$P$10,IF(B146&lt;=Hypothèses!$C$11,Hypothèses!$P$11,IF(B146&lt;=Hypothèses!$C$12,Hypothèses!$P$12,IF(B146&lt;=Hypothèses!$C$13,Hypothèses!$P$13,IF(B146&lt;=Hypothèses!$C$14,Hypothèses!$P$14,IF(B146&lt;=Hypothèses!$C$15,Hypothèses!$P$15,IF(B146&lt;=Hypothèses!$C$16,Hypothèses!$P$16,IF(B146&lt;=Hypothèses!$C$17,Hypothèses!$P$17,IF(B146&lt;=Hypothèses!$C$18,Hypothèses!$P$18,I145))))))))))))</f>
        <v>#N/A</v>
      </c>
      <c r="J146" s="91" t="e">
        <f t="array" ref="J146">INDEX('Coeff EC7'!$D$33:$Q$33,1,MATCH(D146&amp;E146,'Coeff EC7'!$D$31:$Q$31&amp;'Coeff EC7'!$D$32:$Q$32,0))</f>
        <v>#N/A</v>
      </c>
      <c r="K146" s="91" t="e">
        <f t="array" ref="K146">INDEX('Coeff EC7'!$D$34:$Q$34,1,MATCH(D146&amp;E146,'Coeff EC7'!$D$31:$Q$31&amp;'Coeff EC7'!$D$32:$Q$32,0))</f>
        <v>#N/A</v>
      </c>
      <c r="L146" s="91" t="e">
        <f t="array" ref="L146">INDEX('Coeff EC7'!$D$35:$Q$35,1,MATCH(D146&amp;E146,'Coeff EC7'!$D$31:$Q$31&amp;'Coeff EC7'!$D$32:$Q$32,0))</f>
        <v>#N/A</v>
      </c>
      <c r="M146" s="98" t="e">
        <f t="shared" si="231"/>
        <v>#N/A</v>
      </c>
      <c r="N146" s="99" t="e">
        <f t="array" ref="N146">INDEX('Coeff EC7'!$D$7:$Q$27,MATCH($B$3,'Coeff EC7'!$C$7:$C$27,0),MATCH(D146&amp;E146,'Coeff EC7'!$D$5:$Q$5&amp;'Coeff EC7'!$D$6:$Q$6,0))</f>
        <v>#N/A</v>
      </c>
      <c r="O146" s="99" t="e">
        <f t="array" ref="O146">INDEX('Coeff EC7'!$D$41:$Q$61,MATCH($B$3,'Coeff EC7'!$C$41:$C$61,0),MATCH(D146&amp;E146,'Coeff EC7'!$D$39:$Q$39&amp;'Coeff EC7'!$D$40:$Q$40,0))</f>
        <v>#N/A</v>
      </c>
      <c r="P146" s="30" t="e">
        <f t="shared" si="268"/>
        <v>#N/A</v>
      </c>
      <c r="Q146" s="100" t="e">
        <f t="shared" si="233"/>
        <v>#N/A</v>
      </c>
      <c r="R146" s="86" t="b">
        <f t="shared" si="234"/>
        <v>0</v>
      </c>
      <c r="S146" s="86">
        <f t="shared" si="232"/>
        <v>0.5</v>
      </c>
      <c r="T146" s="86">
        <f t="shared" si="235"/>
        <v>0.5</v>
      </c>
      <c r="U146" s="30" t="e">
        <f t="shared" ca="1" si="269"/>
        <v>#DIV/0!</v>
      </c>
      <c r="V146" s="85" t="str">
        <f>IF(B146&lt;=Hypothèses!$V$7,Hypothèses!$W$7,IF(B146&lt;=Hypothèses!$V$8,Hypothèses!$W$8,IF(B146&lt;=Hypothèses!$V$9,Hypothèses!$W$9,IF(B146&lt;=Hypothèses!$V$10,Hypothèses!$W$10,IF(B146&lt;=Hypothèses!$V$11,Hypothèses!$W$11,IF(B146&lt;=Hypothèses!$V$12,Hypothèses!$W$12,IF(B146&lt;=Hypothèses!$V$13,Hypothèses!$W$13,IF(B146&lt;=Hypothèses!$V$14,Hypothèses!$W$14,IF(B146&lt;=Hypothèses!$V$15,Hypothèses!$W$15,IF(B146&lt;=Hypothèses!$V$16,Hypothèses!$W$16,IF(B146&lt;=Hypothèses!$V$17,Hypothèses!$W$17,IF(B146&lt;=Hypothèses!$V$18,Hypothèses!$W$18,""))))))))))))</f>
        <v/>
      </c>
      <c r="W146" s="87" t="e">
        <f t="shared" ca="1" si="316"/>
        <v>#DIV/0!</v>
      </c>
      <c r="X146" s="88" t="str">
        <f>IF(B146&lt;=Hypothèses!$V$7,Hypothèses!$X$7,IF(B146&lt;=Hypothèses!$V$8,Hypothèses!$X$8,IF(B146&lt;=Hypothèses!$V$9,Hypothèses!$X$9,IF(B146&lt;=Hypothèses!$V$10,Hypothèses!$X$10,IF(B146&lt;=Hypothèses!$V$11,Hypothèses!$X$11,IF(B146&lt;=Hypothèses!$V$12,Hypothèses!$X$12,IF(B146&lt;=Hypothèses!$V$13,Hypothèses!$X$13,IF(B146&lt;=Hypothèses!$V$14,Hypothèses!$X$14,IF(B146&lt;=Hypothèses!$V$15,Hypothèses!$X$15,IF(B146&lt;=Hypothèses!$V$16,Hypothèses!$X$16,IF(B146&lt;=Hypothèses!$U$17,Hypothèses!$W$17,IF(B146&lt;=Hypothèses!$U$18,Hypothèses!$W$18,""))))))))))))</f>
        <v/>
      </c>
      <c r="Y146" s="95" t="e">
        <f t="shared" ca="1" si="236"/>
        <v>#DIV/0!</v>
      </c>
      <c r="Z146" s="101" t="e">
        <f t="shared" si="237"/>
        <v>#N/A</v>
      </c>
      <c r="AA146" s="91" t="e">
        <f t="shared" si="238"/>
        <v>#N/A</v>
      </c>
      <c r="AB146" s="30" t="e">
        <f t="shared" si="300"/>
        <v>#N/A</v>
      </c>
      <c r="AC146" s="30" t="e">
        <f t="shared" si="301"/>
        <v>#N/A</v>
      </c>
      <c r="AD146" s="31" t="e">
        <f>IF(OR(Hypothèses!$B$4=17,Hypothèses!$B$4=18,Hypothèses!$B$4=19,Hypothèses!$B$4=20),
IF($D146="Pressio.",
IF(OR($E146=3,$E146=1,$E146=4),AC146,AB146),
IF($D146="Pénétro.",
IF(OR($E146=3,$E146=1,$E146=4),AC146,AB146))),IF($D146="Pressio.",
IF($E146=3,AC146,AB146),
IF($D146="Pénétro.",
IF($E146=4,AC146,AB146))))</f>
        <v>#N/A</v>
      </c>
      <c r="AE146" s="31" t="e">
        <f>(IF(OR(Hypothèses!$B$4=17,Hypothèses!$B$4=18,Hypothèses!$B$4=19,Hypothèses!$B$4=20),
IF($D146="Pressio.",
IF(OR($E146=3,$E146=1,$E146=4),(PI()*AE$12^2)/4*(AA146*$W146*1000)/($H146*$B$5),(PI()*AE$12^2)/4*(AA146*$W146*1000)/($G146*$B$5)),
IF($D146="Pénétro.",
IF(OR($E146=4,$E146=1,$E146=5),(PI()*AE$12^2)/4*(AA146*$W146*1000)/($H146*$B$5),(PI()*AE$12^2)/4*(AA146*$W146*1000)/($G146*$B$5)))),
IF($D146="Pressio.",
IF($E146=3,(PI()*AE$12^2)/4*(AA146*$W146*1000)/($H146*$B$5),(PI()*AE$12^2)/4*(AA146*$W146*1000)/($G146*$B$5)),
IF($D146="Pénétro.",
IF($E146=4,(PI()*AE$12^2)/4*(AA146*$W146*1000)/($H146*$B$5),(PI()*AE$12^2)/4*(AA146*$W146*1000)/($G146*$B$5))))))/10</f>
        <v>#N/A</v>
      </c>
      <c r="AF146" s="102" t="e">
        <f>(VLOOKUP($B$3,'Coeff EC7'!$T$39:$X$59,2,0)*AD146+VLOOKUP($B$3,'Coeff EC7'!$T$65:$X$85,2,0)*Model0.1C!AE146)/1.1</f>
        <v>#N/A</v>
      </c>
      <c r="AG146" s="102" t="e">
        <f>(VLOOKUP($B$3,'Coeff EC7'!$T$39:$X$59,3,0)*AD146+VLOOKUP($B$3,'Coeff EC7'!$T$65:$X$85,3,0)*Model0.1C!AE146)/0.9</f>
        <v>#N/A</v>
      </c>
      <c r="AH146" s="102" t="e">
        <f t="shared" si="239"/>
        <v>#N/A</v>
      </c>
      <c r="AI146" s="102" t="e">
        <f t="shared" si="240"/>
        <v>#N/A</v>
      </c>
      <c r="AJ146" s="414" t="e">
        <f>IF(AJ145=0,0,IF(AND(AF146&gt;charge_ELS_quasi,AG146&gt;Charge_ELS_freq,AH146&gt;charge_ELU,AI146&gt;charge_ELA,$B146&gt;NDC!$H$22-0.1+MIN(3*$AJ$12,1.5)),0,1))</f>
        <v>#N/A</v>
      </c>
      <c r="AK146" s="86" t="b">
        <f t="shared" si="241"/>
        <v>0</v>
      </c>
      <c r="AL146" s="86">
        <f t="shared" si="270"/>
        <v>0.5</v>
      </c>
      <c r="AM146" s="86">
        <f t="shared" si="242"/>
        <v>0.5</v>
      </c>
      <c r="AN146" s="30" t="e">
        <f t="shared" ca="1" si="271"/>
        <v>#DIV/0!</v>
      </c>
      <c r="AO146" s="85" t="e">
        <f ca="1">IF(U146&lt;=Hypothèses!$V$7,Hypothèses!$W$7,IF(U146&lt;=Hypothèses!$V$8,Hypothèses!$W$8,IF(U146&lt;=Hypothèses!$V$9,Hypothèses!$W$9,IF(U146&lt;=Hypothèses!$V$10,Hypothèses!$W$10,IF(U146&lt;=Hypothèses!$V$11,Hypothèses!$W$11,IF(U146&lt;=Hypothèses!$V$12,Hypothèses!$W$12,IF(U146&lt;=Hypothèses!$V$13,Hypothèses!$W$13,IF(U146&lt;=Hypothèses!$V$14,Hypothèses!$W$14,IF(U146&lt;=Hypothèses!$V$15,Hypothèses!$W$15,IF(U146&lt;=Hypothèses!$V$16,Hypothèses!$W$16,IF(U146&lt;=Hypothèses!$V$17,Hypothèses!$W$17,IF(U146&lt;=Hypothèses!$V$18,Hypothèses!$W$18,""))))))))))))</f>
        <v>#DIV/0!</v>
      </c>
      <c r="AP146" s="87" t="e">
        <f t="shared" ca="1" si="317"/>
        <v>#DIV/0!</v>
      </c>
      <c r="AQ146" s="88" t="e">
        <f ca="1">IF(U146&lt;=Hypothèses!$V$7,Hypothèses!$X$7,IF(U146&lt;=Hypothèses!$V$8,Hypothèses!$X$8,IF(U146&lt;=Hypothèses!$V$9,Hypothèses!$X$9,IF(U146&lt;=Hypothèses!$V$10,Hypothèses!$X$10,IF(U146&lt;=Hypothèses!$V$11,Hypothèses!$X$11,IF(U146&lt;=Hypothèses!$V$12,Hypothèses!$X$12,IF(U146&lt;=Hypothèses!$V$13,Hypothèses!$X$13,IF(U146&lt;=Hypothèses!$V$14,Hypothèses!$X$14,IF(U146&lt;=Hypothèses!$V$15,Hypothèses!$X$15,IF(U146&lt;=Hypothèses!$V$16,Hypothèses!$X$16,IF(U146&lt;=Hypothèses!$U$17,Hypothèses!$W$17,IF(U146&lt;=Hypothèses!$U$18,Hypothèses!$W$18,""))))))))))))</f>
        <v>#DIV/0!</v>
      </c>
      <c r="AR146" s="95" t="e">
        <f t="shared" ca="1" si="272"/>
        <v>#DIV/0!</v>
      </c>
      <c r="AS146" s="101" t="e">
        <f t="shared" ref="AS146:AS209" si="324">IF($I146=0,0,
IF(AR146&gt;5*AW$12,$I146,
IF($D146="Pressio.",1+($I146-1)*(AR146/AW$12)/5,
IF($D146="Pénétro.",IF($E146=1,0.3+($I146-0.3)*(AR146/AW$12)/5,
IF($E146=2,0.2+($I146-0.2)*(AR146/AW$12)/5,
IF($E146=3,0.1+($I146-0.1)*(AR146/AW$12)/5,
0.15+($I146-0.15)*(AR146/AW$12)/5)))))))</f>
        <v>#N/A</v>
      </c>
      <c r="AT146" s="91" t="e">
        <f t="shared" si="243"/>
        <v>#N/A</v>
      </c>
      <c r="AU146" s="30" t="e">
        <f t="shared" si="302"/>
        <v>#N/A</v>
      </c>
      <c r="AV146" s="30" t="e">
        <f t="shared" si="303"/>
        <v>#N/A</v>
      </c>
      <c r="AW146" s="31" t="e">
        <f>IF(OR(Hypothèses!$B$4=17,Hypothèses!$B$4=18,Hypothèses!$B$4=19,Hypothèses!$B$4=20),
IF($D146="Pressio.",
IF(OR($E146=3,$E146=1,$E146=4),AV146,AU146),
IF($D146="Pénétro.",
IF(OR($E146=3,$E146=1,$E146=4),AV146,AU146))),IF($D146="Pressio.",
IF($E146=3,AV146,AU146),
IF($D146="Pénétro.",
IF($E146=4,AV146,AU146))))</f>
        <v>#N/A</v>
      </c>
      <c r="AX146" s="31" t="e">
        <f>(IF(OR(Hypothèses!$B$4=17,Hypothèses!$B$4=18,Hypothèses!$B$4=19,Hypothèses!$B$4=20),
IF($D146="Pressio.",
IF(OR($E146=3,$E146=1,$E146=4),(PI()*AX$12^2)/4*(AT146*$W146*1000)/($H146*$B$5),(PI()*AX$12^2)/4*(AT146*$W146*1000)/($G146*$B$5)),
IF($D146="Pénétro.",
IF(OR($E146=4,$E146=1,$E146=5),(PI()*AX$12^2)/4*(AT146*$W146*1000)/($H146*$B$5),(PI()*AX$12^2)/4*(AT146*$W146*1000)/($G146*$B$5)))),
IF($D146="Pressio.",
IF($E146=3,(PI()*AX$12^2)/4*(AT146*$W146*1000)/($H146*$B$5),(PI()*AX$12^2)/4*(AT146*$W146*1000)/($G146*$B$5)),
IF($D146="Pénétro.",
IF($E146=4,(PI()*AX$12^2)/4*(AT146*$W146*1000)/($H146*$B$5),(PI()*AX$12^2)/4*(AT146*$W146*1000)/($G146*$B$5))))))/10</f>
        <v>#N/A</v>
      </c>
      <c r="AY146" s="102" t="e">
        <f>(VLOOKUP($B$3,'Coeff EC7'!$T$39:$X$59,2,0)*AW146+VLOOKUP($B$3,'Coeff EC7'!$T$65:$X$85,2,0)*Model0.1C!AX146)/1.1</f>
        <v>#N/A</v>
      </c>
      <c r="AZ146" s="102" t="e">
        <f>(VLOOKUP($B$3,'Coeff EC7'!$T$39:$X$59,3,0)*AW146+VLOOKUP($B$3,'Coeff EC7'!$T$65:$X$85,3,0)*Model0.1C!AX146)/0.9</f>
        <v>#N/A</v>
      </c>
      <c r="BA146" s="102" t="e">
        <f t="shared" si="273"/>
        <v>#N/A</v>
      </c>
      <c r="BB146" s="102" t="e">
        <f t="shared" si="274"/>
        <v>#N/A</v>
      </c>
      <c r="BC146" s="414" t="e">
        <f>IF(BC145=0,0,IF(AND(AY146&gt;charge_ELS_quasi,AZ146&gt;Charge_ELS_freq,BA146&gt;charge_ELU,BB146&gt;charge_ELA,$B146&gt;NDC!$H$22-0.1+MIN(3*$BC$12,1.5)),0,1))</f>
        <v>#N/A</v>
      </c>
      <c r="BD146" s="86" t="b">
        <f t="shared" si="244"/>
        <v>0</v>
      </c>
      <c r="BE146" s="86">
        <f t="shared" si="275"/>
        <v>0.5</v>
      </c>
      <c r="BF146" s="86">
        <f t="shared" si="245"/>
        <v>0.5</v>
      </c>
      <c r="BG146" s="30" t="e">
        <f t="shared" ca="1" si="276"/>
        <v>#DIV/0!</v>
      </c>
      <c r="BH146" s="85" t="e">
        <f ca="1">IF(AN146&lt;=Hypothèses!$V$7,Hypothèses!$W$7,IF(AN146&lt;=Hypothèses!$V$8,Hypothèses!$W$8,IF(AN146&lt;=Hypothèses!$V$9,Hypothèses!$W$9,IF(AN146&lt;=Hypothèses!$V$10,Hypothèses!$W$10,IF(AN146&lt;=Hypothèses!$V$11,Hypothèses!$W$11,IF(AN146&lt;=Hypothèses!$V$12,Hypothèses!$W$12,IF(AN146&lt;=Hypothèses!$V$13,Hypothèses!$W$13,IF(AN146&lt;=Hypothèses!$V$14,Hypothèses!$W$14,IF(AN146&lt;=Hypothèses!$V$15,Hypothèses!$W$15,IF(AN146&lt;=Hypothèses!$V$16,Hypothèses!$W$16,IF(AN146&lt;=Hypothèses!$V$17,Hypothèses!$W$17,IF(AN146&lt;=Hypothèses!$V$18,Hypothèses!$W$18,""))))))))))))</f>
        <v>#DIV/0!</v>
      </c>
      <c r="BI146" s="87" t="e">
        <f t="shared" ca="1" si="318"/>
        <v>#DIV/0!</v>
      </c>
      <c r="BJ146" s="88" t="e">
        <f ca="1">IF(AN146&lt;=Hypothèses!$V$7,Hypothèses!$X$7,IF(AN146&lt;=Hypothèses!$V$8,Hypothèses!$X$8,IF(AN146&lt;=Hypothèses!$V$9,Hypothèses!$X$9,IF(AN146&lt;=Hypothèses!$V$10,Hypothèses!$X$10,IF(AN146&lt;=Hypothèses!$V$11,Hypothèses!$X$11,IF(AN146&lt;=Hypothèses!$V$12,Hypothèses!$X$12,IF(AN146&lt;=Hypothèses!$V$13,Hypothèses!$X$13,IF(AN146&lt;=Hypothèses!$V$14,Hypothèses!$X$14,IF(AN146&lt;=Hypothèses!$V$15,Hypothèses!$X$15,IF(AN146&lt;=Hypothèses!$V$16,Hypothèses!$X$16,IF(AN146&lt;=Hypothèses!$U$17,Hypothèses!$W$17,IF(AN146&lt;=Hypothèses!$U$18,Hypothèses!$W$18,""))))))))))))</f>
        <v>#DIV/0!</v>
      </c>
      <c r="BK146" s="95" t="e">
        <f t="shared" ca="1" si="277"/>
        <v>#DIV/0!</v>
      </c>
      <c r="BL146" s="101" t="e">
        <f t="shared" ref="BL146:BL209" si="325">IF($I146=0,0,
IF(BK146&gt;5*BP$12,$I146,
IF($D146="Pressio.",1+($I146-1)*(BK146/BP$12)/5,
IF($D146="Pénétro.",IF($E146=1,0.3+($I146-0.3)*(BK146/BP$12)/5,
IF($E146=2,0.2+($I146-0.2)*(BK146/BP$12)/5,
IF($E146=3,0.1+($I146-0.1)*(BK146/BP$12)/5,
0.15+($I146-0.15)*(BK146/BP$12)/5)))))))</f>
        <v>#N/A</v>
      </c>
      <c r="BM146" s="91" t="e">
        <f t="shared" si="246"/>
        <v>#N/A</v>
      </c>
      <c r="BN146" s="30" t="e">
        <f t="shared" si="304"/>
        <v>#N/A</v>
      </c>
      <c r="BO146" s="30" t="e">
        <f t="shared" si="305"/>
        <v>#N/A</v>
      </c>
      <c r="BP146" s="31" t="e">
        <f>IF(OR(Hypothèses!$B$4=17,Hypothèses!$B$4=18,Hypothèses!$B$4=19,Hypothèses!$B$4=20),
IF($D146="Pressio.",
IF(OR($E146=3,$E146=1,$E146=4),BO146,BN146),
IF($D146="Pénétro.",
IF(OR($E146=3,$E146=1,$E146=4),BO146,BN146))),IF($D146="Pressio.",
IF($E146=3,BO146,BN146),
IF($D146="Pénétro.",
IF($E146=4,BO146,BN146))))</f>
        <v>#N/A</v>
      </c>
      <c r="BQ146" s="31" t="e">
        <f>(IF(OR(Hypothèses!$B$4=17,Hypothèses!$B$4=18,Hypothèses!$B$4=19,Hypothèses!$B$4=20),
IF($D146="Pressio.",
IF(OR($E146=3,$E146=1,$E146=4),(PI()*BQ$12^2)/4*(BM146*$W146*1000)/($H146*$B$5),(PI()*BQ$12^2)/4*(BM146*$W146*1000)/($G146*$B$5)),
IF($D146="Pénétro.",
IF(OR($E146=4,$E146=1,$E146=5),(PI()*BQ$12^2)/4*(BM146*$W146*1000)/($H146*$B$5),(PI()*BQ$12^2)/4*(BM146*$W146*1000)/($G146*$B$5)))),
IF($D146="Pressio.",
IF($E146=3,(PI()*BQ$12^2)/4*(BM146*$W146*1000)/($H146*$B$5),(PI()*BQ$12^2)/4*(BM146*$W146*1000)/($G146*$B$5)),
IF($D146="Pénétro.",
IF($E146=4,(PI()*BQ$12^2)/4*(BM146*$W146*1000)/($H146*$B$5),(PI()*BQ$12^2)/4*(BM146*$W146*1000)/($G146*$B$5))))))/10</f>
        <v>#N/A</v>
      </c>
      <c r="BR146" s="102" t="e">
        <f>(VLOOKUP($B$3,'Coeff EC7'!$T$39:$X$59,2,0)*BP146+VLOOKUP($B$3,'Coeff EC7'!$T$65:$X$85,2,0)*Model0.1C!BQ146)/1.1</f>
        <v>#N/A</v>
      </c>
      <c r="BS146" s="102" t="e">
        <f>(VLOOKUP($B$3,'Coeff EC7'!$T$39:$X$59,3,0)*BP146+VLOOKUP($B$3,'Coeff EC7'!$T$65:$X$85,3,0)*Model0.1C!BQ146)/0.9</f>
        <v>#N/A</v>
      </c>
      <c r="BT146" s="102" t="e">
        <f t="shared" si="278"/>
        <v>#N/A</v>
      </c>
      <c r="BU146" s="102" t="e">
        <f t="shared" si="279"/>
        <v>#N/A</v>
      </c>
      <c r="BV146" s="414" t="e">
        <f>IF(BV145=0,0,IF(AND(BR146&gt;charge_ELS_quasi,BS146&gt;Charge_ELS_freq,BT146&gt;charge_ELU,BU146&gt;charge_ELA,$B146&gt;NDC!$H$22-0.1+MIN(3*$BV$12,1.5)),0,1))</f>
        <v>#N/A</v>
      </c>
      <c r="BW146" s="86" t="b">
        <f t="shared" si="247"/>
        <v>0</v>
      </c>
      <c r="BX146" s="86">
        <f t="shared" si="248"/>
        <v>0.5</v>
      </c>
      <c r="BY146" s="86">
        <f t="shared" si="249"/>
        <v>0.5</v>
      </c>
      <c r="BZ146" s="30" t="e">
        <f t="shared" ca="1" si="280"/>
        <v>#DIV/0!</v>
      </c>
      <c r="CA146" s="85" t="e">
        <f ca="1">IF(BG146&lt;=Hypothèses!$V$7,Hypothèses!$W$7,IF(BG146&lt;=Hypothèses!$V$8,Hypothèses!$W$8,IF(BG146&lt;=Hypothèses!$V$9,Hypothèses!$W$9,IF(BG146&lt;=Hypothèses!$V$10,Hypothèses!$W$10,IF(BG146&lt;=Hypothèses!$V$11,Hypothèses!$W$11,IF(BG146&lt;=Hypothèses!$V$12,Hypothèses!$W$12,IF(BG146&lt;=Hypothèses!$V$13,Hypothèses!$W$13,IF(BG146&lt;=Hypothèses!$V$14,Hypothèses!$W$14,IF(BG146&lt;=Hypothèses!$V$15,Hypothèses!$W$15,IF(BG146&lt;=Hypothèses!$V$16,Hypothèses!$W$16,IF(BG146&lt;=Hypothèses!$V$17,Hypothèses!$W$17,IF(BG146&lt;=Hypothèses!$V$18,Hypothèses!$W$18,""))))))))))))</f>
        <v>#DIV/0!</v>
      </c>
      <c r="CB146" s="87" t="e">
        <f t="shared" ca="1" si="319"/>
        <v>#DIV/0!</v>
      </c>
      <c r="CC146" s="88" t="e">
        <f ca="1">IF(BG146&lt;=Hypothèses!$V$7,Hypothèses!$X$7,IF(BG146&lt;=Hypothèses!$V$8,Hypothèses!$X$8,IF(BG146&lt;=Hypothèses!$V$9,Hypothèses!$X$9,IF(BG146&lt;=Hypothèses!$V$10,Hypothèses!$X$10,IF(BG146&lt;=Hypothèses!$V$11,Hypothèses!$X$11,IF(BG146&lt;=Hypothèses!$V$12,Hypothèses!$X$12,IF(BG146&lt;=Hypothèses!$V$13,Hypothèses!$X$13,IF(BG146&lt;=Hypothèses!$V$14,Hypothèses!$X$14,IF(BG146&lt;=Hypothèses!$V$15,Hypothèses!$X$15,IF(BG146&lt;=Hypothèses!$V$16,Hypothèses!$X$16,IF(BG146&lt;=Hypothèses!$U$17,Hypothèses!$W$17,IF(BG146&lt;=Hypothèses!$U$18,Hypothèses!$W$18,""))))))))))))</f>
        <v>#DIV/0!</v>
      </c>
      <c r="CD146" s="95" t="e">
        <f t="shared" ca="1" si="281"/>
        <v>#DIV/0!</v>
      </c>
      <c r="CE146" s="101" t="e">
        <f t="shared" ref="CE146:CE209" si="326">IF($I146=0,0,
IF(CD146&gt;5*CI$12,$I146,
IF($D146="Pressio.",1+($I146-1)*(CD146/CI$12)/5,
IF($D146="Pénétro.",IF($E146=1,0.3+($I146-0.3)*(CD146/CI$12)/5,
IF($E146=2,0.2+($I146-0.2)*(CD146/CI$12)/5,
IF($E146=3,0.1+($I146-0.1)*(CD146/CI$12)/5,
0.15+($I146-0.15)*(CD146/CI$12)/5)))))))</f>
        <v>#N/A</v>
      </c>
      <c r="CF146" s="91" t="e">
        <f t="shared" si="250"/>
        <v>#N/A</v>
      </c>
      <c r="CG146" s="30" t="e">
        <f t="shared" si="306"/>
        <v>#N/A</v>
      </c>
      <c r="CH146" s="30" t="e">
        <f t="shared" si="307"/>
        <v>#N/A</v>
      </c>
      <c r="CI146" s="31" t="e">
        <f>IF(OR(Hypothèses!$B$4=17,Hypothèses!$B$4=18,Hypothèses!$B$4=19,Hypothèses!$B$4=20),
IF($D146="Pressio.",
IF(OR($E146=3,$E146=1,$E146=4),CH146,CG146),
IF($D146="Pénétro.",
IF(OR($E146=3,$E146=1,$E146=4),CH146,CG146))),IF($D146="Pressio.",
IF($E146=3,CH146,CG146),
IF($D146="Pénétro.",
IF($E146=4,CH146,CG146))))</f>
        <v>#N/A</v>
      </c>
      <c r="CJ146" s="31" t="e">
        <f>(IF(OR(Hypothèses!$B$4=17,Hypothèses!$B$4=18,Hypothèses!$B$4=19,Hypothèses!$B$4=20),
IF($D146="Pressio.",
IF(OR($E146=3,$E146=1,$E146=4),(PI()*CJ$12^2)/4*(CF146*$W146*1000)/($H146*$B$5),(PI()*CJ$12^2)/4*(CF146*$W146*1000)/($G146*$B$5)),
IF($D146="Pénétro.",
IF(OR($E146=4,$E146=1,$E146=5),(PI()*CJ$12^2)/4*(CF146*$W146*1000)/($H146*$B$5),(PI()*CJ$12^2)/4*(CF146*$W146*1000)/($G146*$B$5)))),
IF($D146="Pressio.",
IF($E146=3,(PI()*CJ$12^2)/4*(CF146*$W146*1000)/($H146*$B$5),(PI()*CJ$12^2)/4*(CF146*$W146*1000)/($G146*$B$5)),
IF($D146="Pénétro.",
IF($E146=4,(PI()*CJ$12^2)/4*(CF146*$W146*1000)/($H146*$B$5),(PI()*CJ$12^2)/4*(CF146*$W146*1000)/($G146*$B$5))))))/10</f>
        <v>#N/A</v>
      </c>
      <c r="CK146" s="102" t="e">
        <f>(VLOOKUP($B$3,'Coeff EC7'!$T$39:$X$59,2,0)*CI146+VLOOKUP($B$3,'Coeff EC7'!$T$65:$X$85,2,0)*Model0.1C!CJ146)/1.1</f>
        <v>#N/A</v>
      </c>
      <c r="CL146" s="102" t="e">
        <f>(VLOOKUP($B$3,'Coeff EC7'!$T$39:$X$59,3,0)*CI146+VLOOKUP($B$3,'Coeff EC7'!$T$65:$X$85,3,0)*Model0.1C!CJ146)/0.9</f>
        <v>#N/A</v>
      </c>
      <c r="CM146" s="102" t="e">
        <f t="shared" si="282"/>
        <v>#N/A</v>
      </c>
      <c r="CN146" s="102" t="e">
        <f t="shared" si="283"/>
        <v>#N/A</v>
      </c>
      <c r="CO146" s="414" t="e">
        <f>IF(CO145=0,0,IF(AND(CK146&gt;charge_ELS_quasi,CL146&gt;Charge_ELS_freq,CM146&gt;charge_ELU,CN146&gt;charge_ELA,$B146&gt;NDC!$H$22-0.1+MIN(3*$CO$12,1.5)),0,1))</f>
        <v>#N/A</v>
      </c>
      <c r="CP146" s="86" t="b">
        <f t="shared" si="251"/>
        <v>0</v>
      </c>
      <c r="CQ146" s="86">
        <f t="shared" si="252"/>
        <v>0.5</v>
      </c>
      <c r="CR146" s="86">
        <f t="shared" si="253"/>
        <v>0.5</v>
      </c>
      <c r="CS146" s="30" t="e">
        <f t="shared" ca="1" si="284"/>
        <v>#DIV/0!</v>
      </c>
      <c r="CT146" s="85" t="e">
        <f ca="1">IF(BZ146&lt;=Hypothèses!$V$7,Hypothèses!$W$7,IF(BZ146&lt;=Hypothèses!$V$8,Hypothèses!$W$8,IF(BZ146&lt;=Hypothèses!$V$9,Hypothèses!$W$9,IF(BZ146&lt;=Hypothèses!$V$10,Hypothèses!$W$10,IF(BZ146&lt;=Hypothèses!$V$11,Hypothèses!$W$11,IF(BZ146&lt;=Hypothèses!$V$12,Hypothèses!$W$12,IF(BZ146&lt;=Hypothèses!$V$13,Hypothèses!$W$13,IF(BZ146&lt;=Hypothèses!$V$14,Hypothèses!$W$14,IF(BZ146&lt;=Hypothèses!$V$15,Hypothèses!$W$15,IF(BZ146&lt;=Hypothèses!$V$16,Hypothèses!$W$16,IF(BZ146&lt;=Hypothèses!$V$17,Hypothèses!$W$17,IF(BZ146&lt;=Hypothèses!$V$18,Hypothèses!$W$18,""))))))))))))</f>
        <v>#DIV/0!</v>
      </c>
      <c r="CU146" s="87" t="e">
        <f t="shared" ca="1" si="320"/>
        <v>#DIV/0!</v>
      </c>
      <c r="CV146" s="88" t="e">
        <f ca="1">IF(BZ146&lt;=Hypothèses!$V$7,Hypothèses!$X$7,IF(BZ146&lt;=Hypothèses!$V$8,Hypothèses!$X$8,IF(BZ146&lt;=Hypothèses!$V$9,Hypothèses!$X$9,IF(BZ146&lt;=Hypothèses!$V$10,Hypothèses!$X$10,IF(BZ146&lt;=Hypothèses!$V$11,Hypothèses!$X$11,IF(BZ146&lt;=Hypothèses!$V$12,Hypothèses!$X$12,IF(BZ146&lt;=Hypothèses!$V$13,Hypothèses!$X$13,IF(BZ146&lt;=Hypothèses!$V$14,Hypothèses!$X$14,IF(BZ146&lt;=Hypothèses!$V$15,Hypothèses!$X$15,IF(BZ146&lt;=Hypothèses!$V$16,Hypothèses!$X$16,IF(BZ146&lt;=Hypothèses!$U$17,Hypothèses!$W$17,IF(BZ146&lt;=Hypothèses!$U$18,Hypothèses!$W$18,""))))))))))))</f>
        <v>#DIV/0!</v>
      </c>
      <c r="CW146" s="95" t="e">
        <f t="shared" ca="1" si="285"/>
        <v>#DIV/0!</v>
      </c>
      <c r="CX146" s="101" t="e">
        <f t="shared" ref="CX146:CX209" si="327">IF($I146=0,0,
IF(CW146&gt;5*DB$12,$I146,
IF($D146="Pressio.",1+($I146-1)*(CW146/DB$12)/5,
IF($D146="Pénétro.",IF($E146=1,0.3+($I146-0.3)*(CW146/DB$12)/5,
IF($E146=2,0.2+($I146-0.2)*(CW146/DB$12)/5,
IF($E146=3,0.1+($I146-0.1)*(CW146/DB$12)/5,
0.15+($I146-0.15)*(CW146/DB$12)/5)))))))</f>
        <v>#N/A</v>
      </c>
      <c r="CY146" s="91" t="e">
        <f t="shared" si="254"/>
        <v>#N/A</v>
      </c>
      <c r="CZ146" s="30" t="e">
        <f t="shared" si="308"/>
        <v>#N/A</v>
      </c>
      <c r="DA146" s="30" t="e">
        <f t="shared" si="309"/>
        <v>#N/A</v>
      </c>
      <c r="DB146" s="31" t="e">
        <f>IF(OR(Hypothèses!$B$4=17,Hypothèses!$B$4=18,Hypothèses!$B$4=19,Hypothèses!$B$4=20),
IF($D146="Pressio.",
IF(OR($E146=3,$E146=1,$E146=4),DA146,CZ146),
IF($D146="Pénétro.",
IF(OR($E146=3,$E146=1,$E146=4),DA146,CZ146))),IF($D146="Pressio.",
IF($E146=3,DA146,CZ146),
IF($D146="Pénétro.",
IF($E146=4,DA146,CZ146))))</f>
        <v>#N/A</v>
      </c>
      <c r="DC146" s="31" t="e">
        <f>(IF(OR(Hypothèses!$B$4=17,Hypothèses!$B$4=18,Hypothèses!$B$4=19,Hypothèses!$B$4=20),
IF($D146="Pressio.",
IF(OR($E146=3,$E146=1,$E146=4),(PI()*DC$12^2)/4*(CY146*$W146*1000)/($H146*$B$5),(PI()*DC$12^2)/4*(CY146*$W146*1000)/($G146*$B$5)),
IF($D146="Pénétro.",
IF(OR($E146=4,$E146=1,$E146=5),(PI()*DC$12^2)/4*(CY146*$W146*1000)/($H146*$B$5),(PI()*DC$12^2)/4*(CY146*$W146*1000)/($G146*$B$5)))),
IF($D146="Pressio.",
IF($E146=3,(PI()*DC$12^2)/4*(CY146*$W146*1000)/($H146*$B$5),(PI()*DC$12^2)/4*(CY146*$W146*1000)/($G146*$B$5)),
IF($D146="Pénétro.",
IF($E146=4,(PI()*DC$12^2)/4*(CY146*$W146*1000)/($H146*$B$5),(PI()*DC$12^2)/4*(CY146*$W146*1000)/($G146*$B$5))))))/10</f>
        <v>#N/A</v>
      </c>
      <c r="DD146" s="102" t="e">
        <f>(VLOOKUP($B$3,'Coeff EC7'!$T$39:$X$59,2,0)*DB146+VLOOKUP($B$3,'Coeff EC7'!$T$65:$X$85,2,0)*Model0.1C!DC146)/1.1</f>
        <v>#N/A</v>
      </c>
      <c r="DE146" s="102" t="e">
        <f>(VLOOKUP($B$3,'Coeff EC7'!$T$39:$X$59,3,0)*DB146+VLOOKUP($B$3,'Coeff EC7'!$T$65:$X$85,3,0)*Model0.1C!DC146)/0.9</f>
        <v>#N/A</v>
      </c>
      <c r="DF146" s="102" t="e">
        <f t="shared" si="286"/>
        <v>#N/A</v>
      </c>
      <c r="DG146" s="102" t="e">
        <f t="shared" si="287"/>
        <v>#N/A</v>
      </c>
      <c r="DH146" s="414" t="e">
        <f>IF(DH145=0,0,IF(AND(DD146&gt;charge_ELS_quasi,DE146&gt;Charge_ELS_freq,DF146&gt;charge_ELU,DG146&gt;charge_ELA,$B146&gt;NDC!$H$22-0.1+MIN(3*$DH$12,1.5)),0,1))</f>
        <v>#N/A</v>
      </c>
      <c r="DI146" s="86" t="b">
        <f t="shared" si="255"/>
        <v>0</v>
      </c>
      <c r="DJ146" s="86">
        <f t="shared" si="256"/>
        <v>0.5</v>
      </c>
      <c r="DK146" s="86">
        <f t="shared" si="257"/>
        <v>0.5</v>
      </c>
      <c r="DL146" s="30" t="e">
        <f t="shared" ca="1" si="288"/>
        <v>#DIV/0!</v>
      </c>
      <c r="DM146" s="85" t="e">
        <f ca="1">IF(CS146&lt;=Hypothèses!$V$7,Hypothèses!$W$7,IF(CS146&lt;=Hypothèses!$V$8,Hypothèses!$W$8,IF(CS146&lt;=Hypothèses!$V$9,Hypothèses!$W$9,IF(CS146&lt;=Hypothèses!$V$10,Hypothèses!$W$10,IF(CS146&lt;=Hypothèses!$V$11,Hypothèses!$W$11,IF(CS146&lt;=Hypothèses!$V$12,Hypothèses!$W$12,IF(CS146&lt;=Hypothèses!$V$13,Hypothèses!$W$13,IF(CS146&lt;=Hypothèses!$V$14,Hypothèses!$W$14,IF(CS146&lt;=Hypothèses!$V$15,Hypothèses!$W$15,IF(CS146&lt;=Hypothèses!$V$16,Hypothèses!$W$16,IF(CS146&lt;=Hypothèses!$V$17,Hypothèses!$W$17,IF(CS146&lt;=Hypothèses!$V$18,Hypothèses!$W$18,""))))))))))))</f>
        <v>#DIV/0!</v>
      </c>
      <c r="DN146" s="87" t="e">
        <f t="shared" ca="1" si="321"/>
        <v>#DIV/0!</v>
      </c>
      <c r="DO146" s="88" t="e">
        <f ca="1">IF(CS146&lt;=Hypothèses!$V$7,Hypothèses!$X$7,IF(CS146&lt;=Hypothèses!$V$8,Hypothèses!$X$8,IF(CS146&lt;=Hypothèses!$V$9,Hypothèses!$X$9,IF(CS146&lt;=Hypothèses!$V$10,Hypothèses!$X$10,IF(CS146&lt;=Hypothèses!$V$11,Hypothèses!$X$11,IF(CS146&lt;=Hypothèses!$V$12,Hypothèses!$X$12,IF(CS146&lt;=Hypothèses!$V$13,Hypothèses!$X$13,IF(CS146&lt;=Hypothèses!$V$14,Hypothèses!$X$14,IF(CS146&lt;=Hypothèses!$V$15,Hypothèses!$X$15,IF(CS146&lt;=Hypothèses!$V$16,Hypothèses!$X$16,IF(CS146&lt;=Hypothèses!$U$17,Hypothèses!$W$17,IF(CS146&lt;=Hypothèses!$U$18,Hypothèses!$W$18,""))))))))))))</f>
        <v>#DIV/0!</v>
      </c>
      <c r="DP146" s="95" t="e">
        <f t="shared" ca="1" si="289"/>
        <v>#DIV/0!</v>
      </c>
      <c r="DQ146" s="101" t="e">
        <f t="shared" ref="DQ146:DQ209" si="328">IF($I146=0,0,
IF(DP146&gt;5*DU$12,$I146,
IF($D146="Pressio.",1+($I146-1)*(DP146/DU$12)/5,
IF($D146="Pénétro.",IF($E146=1,0.3+($I146-0.3)*(DP146/DU$12)/5,
IF($E146=2,0.2+($I146-0.2)*(DP146/DU$12)/5,
IF($E146=3,0.1+($I146-0.1)*(DP146/DU$12)/5,
0.15+($I146-0.15)*(DP146/DU$12)/5)))))))</f>
        <v>#N/A</v>
      </c>
      <c r="DR146" s="91" t="e">
        <f t="shared" si="258"/>
        <v>#N/A</v>
      </c>
      <c r="DS146" s="30" t="e">
        <f t="shared" si="310"/>
        <v>#N/A</v>
      </c>
      <c r="DT146" s="30" t="e">
        <f t="shared" si="311"/>
        <v>#N/A</v>
      </c>
      <c r="DU146" s="31" t="e">
        <f>IF(OR(Hypothèses!$B$4=17,Hypothèses!$B$4=18,Hypothèses!$B$4=19,Hypothèses!$B$4=20),
IF($D146="Pressio.",
IF(OR($E146=3,$E146=1,$E146=4),DT146,DS146),
IF($D146="Pénétro.",
IF(OR($E146=3,$E146=1,$E146=4),DT146,DS146))),IF($D146="Pressio.",
IF($E146=3,DT146,DS146),
IF($D146="Pénétro.",
IF($E146=4,DT146,DS146))))</f>
        <v>#N/A</v>
      </c>
      <c r="DV146" s="31" t="e">
        <f>(IF(OR(Hypothèses!$B$4=17,Hypothèses!$B$4=18,Hypothèses!$B$4=19,Hypothèses!$B$4=20),
IF($D146="Pressio.",
IF(OR($E146=3,$E146=1,$E146=4),(PI()*DV$12^2)/4*(DR146*$W146*1000)/($H146*$B$5),(PI()*DV$12^2)/4*(DR146*$W146*1000)/($G146*$B$5)),
IF($D146="Pénétro.",
IF(OR($E146=4,$E146=1,$E146=5),(PI()*DV$12^2)/4*(DR146*$W146*1000)/($H146*$B$5),(PI()*DV$12^2)/4*(DR146*$W146*1000)/($G146*$B$5)))),
IF($D146="Pressio.",
IF($E146=3,(PI()*DV$12^2)/4*(DR146*$W146*1000)/($H146*$B$5),(PI()*DV$12^2)/4*(DR146*$W146*1000)/($G146*$B$5)),
IF($D146="Pénétro.",
IF($E146=4,(PI()*DV$12^2)/4*(DR146*$W146*1000)/($H146*$B$5),(PI()*DV$12^2)/4*(DR146*$W146*1000)/($G146*$B$5))))))/10</f>
        <v>#N/A</v>
      </c>
      <c r="DW146" s="102" t="e">
        <f>(VLOOKUP($B$3,'Coeff EC7'!$T$39:$X$59,2,0)*DU146+VLOOKUP($B$3,'Coeff EC7'!$T$65:$X$85,2,0)*Model0.1C!DV146)/1.1</f>
        <v>#N/A</v>
      </c>
      <c r="DX146" s="102" t="e">
        <f>(VLOOKUP($B$3,'Coeff EC7'!$T$39:$X$59,3,0)*DU146+VLOOKUP($B$3,'Coeff EC7'!$T$65:$X$85,3,0)*Model0.1C!DV146)/0.9</f>
        <v>#N/A</v>
      </c>
      <c r="DY146" s="102" t="e">
        <f t="shared" si="290"/>
        <v>#N/A</v>
      </c>
      <c r="DZ146" s="102" t="e">
        <f t="shared" si="291"/>
        <v>#N/A</v>
      </c>
      <c r="EA146" s="414" t="e">
        <f>IF(EA145=0,0,IF(AND(DW146&gt;charge_ELS_quasi,DX146&gt;Charge_ELS_freq,DY146&gt;charge_ELU,DZ146&gt;charge_ELA,$B146&gt;NDC!$H$22-0.1+MIN(3*$EA$12,1.5)),0,1))</f>
        <v>#N/A</v>
      </c>
      <c r="EB146" s="86" t="b">
        <f t="shared" si="259"/>
        <v>0</v>
      </c>
      <c r="EC146" s="418">
        <f t="shared" si="260"/>
        <v>0.51</v>
      </c>
      <c r="ED146" s="86">
        <f t="shared" si="261"/>
        <v>0.51</v>
      </c>
      <c r="EE146" s="30" t="e">
        <f t="shared" ca="1" si="292"/>
        <v>#DIV/0!</v>
      </c>
      <c r="EF146" s="85" t="e">
        <f ca="1">IF(DL146&lt;=Hypothèses!$V$7,Hypothèses!$W$7,IF(DL146&lt;=Hypothèses!$V$8,Hypothèses!$W$8,IF(DL146&lt;=Hypothèses!$V$9,Hypothèses!$W$9,IF(DL146&lt;=Hypothèses!$V$10,Hypothèses!$W$10,IF(DL146&lt;=Hypothèses!$V$11,Hypothèses!$W$11,IF(DL146&lt;=Hypothèses!$V$12,Hypothèses!$W$12,IF(DL146&lt;=Hypothèses!$V$13,Hypothèses!$W$13,IF(DL146&lt;=Hypothèses!$V$14,Hypothèses!$W$14,IF(DL146&lt;=Hypothèses!$V$15,Hypothèses!$W$15,IF(DL146&lt;=Hypothèses!$V$16,Hypothèses!$W$16,IF(DL146&lt;=Hypothèses!$V$17,Hypothèses!$W$17,IF(DL146&lt;=Hypothèses!$V$18,Hypothèses!$W$18,""))))))))))))</f>
        <v>#DIV/0!</v>
      </c>
      <c r="EG146" s="87" t="e">
        <f t="shared" ca="1" si="322"/>
        <v>#DIV/0!</v>
      </c>
      <c r="EH146" s="88" t="e">
        <f ca="1">IF(DL146&lt;=Hypothèses!$V$7,Hypothèses!$X$7,IF(DL146&lt;=Hypothèses!$V$8,Hypothèses!$X$8,IF(DL146&lt;=Hypothèses!$V$9,Hypothèses!$X$9,IF(DL146&lt;=Hypothèses!$V$10,Hypothèses!$X$10,IF(DL146&lt;=Hypothèses!$V$11,Hypothèses!$X$11,IF(DL146&lt;=Hypothèses!$V$12,Hypothèses!$X$12,IF(DL146&lt;=Hypothèses!$V$13,Hypothèses!$X$13,IF(DL146&lt;=Hypothèses!$V$14,Hypothèses!$X$14,IF(DL146&lt;=Hypothèses!$V$15,Hypothèses!$X$15,IF(DL146&lt;=Hypothèses!$V$16,Hypothèses!$X$16,IF(DL146&lt;=Hypothèses!$U$17,Hypothèses!$W$17,IF(DL146&lt;=Hypothèses!$U$18,Hypothèses!$W$18,""))))))))))))</f>
        <v>#DIV/0!</v>
      </c>
      <c r="EI146" s="95" t="e">
        <f t="shared" ca="1" si="293"/>
        <v>#DIV/0!</v>
      </c>
      <c r="EJ146" s="101" t="e">
        <f t="shared" ref="EJ146:EJ209" si="329">IF($I146=0,0,
IF(EI146&gt;5*EN$12,$I146,
IF($D146="Pressio.",1+($I146-1)*(EI146/EN$12)/5,
IF($D146="Pénétro.",IF($E146=1,0.3+($I146-0.3)*(EI146/EN$12)/5,
IF($E146=2,0.2+($I146-0.2)*(EI146/EN$12)/5,
IF($E146=3,0.1+($I146-0.1)*(EI146/EN$12)/5,
0.15+($I146-0.15)*(EI146/EN$12)/5)))))))</f>
        <v>#N/A</v>
      </c>
      <c r="EK146" s="91" t="e">
        <f t="shared" si="262"/>
        <v>#N/A</v>
      </c>
      <c r="EL146" s="30" t="e">
        <f t="shared" si="312"/>
        <v>#N/A</v>
      </c>
      <c r="EM146" s="30" t="e">
        <f t="shared" si="313"/>
        <v>#N/A</v>
      </c>
      <c r="EN146" s="31" t="e">
        <f>IF(OR(Hypothèses!$B$4=17,Hypothèses!$B$4=18,Hypothèses!$B$4=19,Hypothèses!$B$4=20),
IF($D146="Pressio.",
IF(OR($E146=3,$E146=1,$E146=4),EM146,EL146),
IF($D146="Pénétro.",
IF(OR($E146=3,$E146=1,$E146=4),EM146,EL146))),IF($D146="Pressio.",
IF($E146=3,EM146,EL146),
IF($D146="Pénétro.",
IF($E146=4,EM146,EL146))))</f>
        <v>#N/A</v>
      </c>
      <c r="EO146" s="31" t="e">
        <f>(IF(OR(Hypothèses!$B$4=17,Hypothèses!$B$4=18,Hypothèses!$B$4=19,Hypothèses!$B$4=20),
IF($D146="Pressio.",
IF(OR($E146=3,$E146=1,$E146=4),(PI()*EO$12^2)/4*(EK146*$W146*1000)/($H146*$B$5),(PI()*EO$12^2)/4*(EK146*$W146*1000)/($G146*$B$5)),
IF($D146="Pénétro.",
IF(OR($E146=4,$E146=1,$E146=5),(PI()*EO$12^2)/4*(EK146*$W146*1000)/($H146*$B$5),(PI()*EO$12^2)/4*(EK146*$W146*1000)/($G146*$B$5)))),
IF($D146="Pressio.",
IF($E146=3,(PI()*EO$12^2)/4*(EK146*$W146*1000)/($H146*$B$5),(PI()*EO$12^2)/4*(EK146*$W146*1000)/($G146*$B$5)),
IF($D146="Pénétro.",
IF($E146=4,(PI()*EO$12^2)/4*(EK146*$W146*1000)/($H146*$B$5),(PI()*EO$12^2)/4*(EK146*$W146*1000)/($G146*$B$5))))))/10</f>
        <v>#N/A</v>
      </c>
      <c r="EP146" s="102" t="e">
        <f>(VLOOKUP($B$3,'Coeff EC7'!$T$39:$X$59,2,0)*EN146+VLOOKUP($B$3,'Coeff EC7'!$T$65:$X$85,2,0)*Model0.1C!EO146)/1.1</f>
        <v>#N/A</v>
      </c>
      <c r="EQ146" s="102" t="e">
        <f>(VLOOKUP($B$3,'Coeff EC7'!$T$39:$X$59,3,0)*EN146+VLOOKUP($B$3,'Coeff EC7'!$T$65:$X$85,3,0)*Model0.1C!EO146)/0.9</f>
        <v>#N/A</v>
      </c>
      <c r="ER146" s="102" t="e">
        <f t="shared" si="294"/>
        <v>#N/A</v>
      </c>
      <c r="ES146" s="102" t="e">
        <f t="shared" si="295"/>
        <v>#N/A</v>
      </c>
      <c r="ET146" s="414" t="e">
        <f>IF(ET145=0,0,IF(AND(EP146&gt;charge_ELS_quasi,EQ146&gt;Charge_ELS_freq,ER146&gt;charge_ELU,ES146&gt;charge_ELA,$B146&gt;NDC!$H$22-0.1+MIN(3*$ET$12,1.5)),0,1))</f>
        <v>#N/A</v>
      </c>
      <c r="EU146" s="86" t="b">
        <f t="shared" si="263"/>
        <v>0</v>
      </c>
      <c r="EV146" s="86">
        <f t="shared" si="264"/>
        <v>0.61</v>
      </c>
      <c r="EW146" s="86">
        <f t="shared" si="265"/>
        <v>0.61</v>
      </c>
      <c r="EX146" s="30" t="e">
        <f t="shared" ca="1" si="296"/>
        <v>#DIV/0!</v>
      </c>
      <c r="EY146" s="85" t="e">
        <f ca="1">IF(EE146&lt;=Hypothèses!$V$7,Hypothèses!$W$7,IF(EE146&lt;=Hypothèses!$V$8,Hypothèses!$W$8,IF(EE146&lt;=Hypothèses!$V$9,Hypothèses!$W$9,IF(EE146&lt;=Hypothèses!$V$10,Hypothèses!$W$10,IF(EE146&lt;=Hypothèses!$V$11,Hypothèses!$W$11,IF(EE146&lt;=Hypothèses!$V$12,Hypothèses!$W$12,IF(EE146&lt;=Hypothèses!$V$13,Hypothèses!$W$13,IF(EE146&lt;=Hypothèses!$V$14,Hypothèses!$W$14,IF(EE146&lt;=Hypothèses!$V$15,Hypothèses!$W$15,IF(EE146&lt;=Hypothèses!$V$16,Hypothèses!$W$16,IF(EE146&lt;=Hypothèses!$V$17,Hypothèses!$W$17,IF(EE146&lt;=Hypothèses!$V$18,Hypothèses!$W$18,""))))))))))))</f>
        <v>#DIV/0!</v>
      </c>
      <c r="EZ146" s="87" t="e">
        <f t="shared" ca="1" si="323"/>
        <v>#DIV/0!</v>
      </c>
      <c r="FA146" s="88" t="e">
        <f ca="1">IF(EE146&lt;=Hypothèses!$V$7,Hypothèses!$X$7,IF(EE146&lt;=Hypothèses!$V$8,Hypothèses!$X$8,IF(EE146&lt;=Hypothèses!$V$9,Hypothèses!$X$9,IF(EE146&lt;=Hypothèses!$V$10,Hypothèses!$X$10,IF(EE146&lt;=Hypothèses!$V$11,Hypothèses!$X$11,IF(EE146&lt;=Hypothèses!$V$12,Hypothèses!$X$12,IF(EE146&lt;=Hypothèses!$V$13,Hypothèses!$X$13,IF(EE146&lt;=Hypothèses!$V$14,Hypothèses!$X$14,IF(EE146&lt;=Hypothèses!$V$15,Hypothèses!$X$15,IF(EE146&lt;=Hypothèses!$V$16,Hypothèses!$X$16,IF(EE146&lt;=Hypothèses!$U$17,Hypothèses!$W$17,IF(EE146&lt;=Hypothèses!$U$18,Hypothèses!$W$18,""))))))))))))</f>
        <v>#DIV/0!</v>
      </c>
      <c r="FB146" s="95" t="e">
        <f t="shared" ca="1" si="297"/>
        <v>#DIV/0!</v>
      </c>
      <c r="FC146" s="101" t="e">
        <f t="shared" ref="FC146:FC209" si="330">IF($I146=0,0,
IF(FB146&gt;5*FG$12,$I146,
IF($D146="Pressio.",1+($I146-1)*(FB146/FG$12)/5,
IF($D146="Pénétro.",IF($E146=1,0.3+($I146-0.3)*(FB146/FG$12)/5,
IF($E146=2,0.2+($I146-0.2)*(FB146/FG$12)/5,
IF($E146=3,0.1+($I146-0.1)*(FB146/FG$12)/5,
0.15+($I146-0.15)*(FB146/FG$12)/5)))))))</f>
        <v>#N/A</v>
      </c>
      <c r="FD146" s="91" t="e">
        <f t="shared" si="266"/>
        <v>#N/A</v>
      </c>
      <c r="FE146" s="30" t="e">
        <f t="shared" si="314"/>
        <v>#N/A</v>
      </c>
      <c r="FF146" s="30" t="e">
        <f t="shared" si="315"/>
        <v>#N/A</v>
      </c>
      <c r="FG146" s="31" t="e">
        <f>IF(OR(Hypothèses!$B$4=17,Hypothèses!$B$4=18,Hypothèses!$B$4=19,Hypothèses!$B$4=20),
IF($D146="Pressio.",
IF(OR($E146=3,$E146=1,$E146=4),FF146,FE146),
IF($D146="Pénétro.",
IF(OR($E146=3,$E146=1,$E146=4),FF146,FE146))),IF($D146="Pressio.",
IF($E146=3,FF146,FE146),
IF($D146="Pénétro.",
IF($E146=4,FF146,FE146))))</f>
        <v>#N/A</v>
      </c>
      <c r="FH146" s="31" t="e">
        <f>(IF(OR(Hypothèses!$B$4=17,Hypothèses!$B$4=18,Hypothèses!$B$4=19,Hypothèses!$B$4=20),
IF($D146="Pressio.",
IF(OR($E146=3,$E146=1,$E146=4),(PI()*FH$12^2)/4*(FD146*$W146*1000)/($H146*$B$5),(PI()*FH$12^2)/4*(FD146*$W146*1000)/($G146*$B$5)),
IF($D146="Pénétro.",
IF(OR($E146=4,$E146=1,$E146=5),(PI()*FH$12^2)/4*(FD146*$W146*1000)/($H146*$B$5),(PI()*FH$12^2)/4*(FD146*$W146*1000)/($G146*$B$5)))),
IF($D146="Pressio.",
IF($E146=3,(PI()*FH$12^2)/4*(FD146*$W146*1000)/($H146*$B$5),(PI()*FH$12^2)/4*(FD146*$W146*1000)/($G146*$B$5)),
IF($D146="Pénétro.",
IF($E146=4,(PI()*FH$12^2)/4*(FD146*$W146*1000)/($H146*$B$5),(PI()*FH$12^2)/4*(FD146*$W146*1000)/($G146*$B$5))))))/10</f>
        <v>#N/A</v>
      </c>
      <c r="FI146" s="102" t="e">
        <f>(VLOOKUP($B$3,'Coeff EC7'!$T$39:$X$59,2,0)*FG146+VLOOKUP($B$3,'Coeff EC7'!$T$65:$X$85,2,0)*Model0.1C!FH146)/1.1</f>
        <v>#N/A</v>
      </c>
      <c r="FJ146" s="102" t="e">
        <f>(VLOOKUP($B$3,'Coeff EC7'!$T$39:$X$59,3,0)*FG146+VLOOKUP($B$3,'Coeff EC7'!$T$65:$X$85,3,0)*Model0.1C!FH146)/0.9</f>
        <v>#N/A</v>
      </c>
      <c r="FK146" s="102" t="e">
        <f t="shared" si="298"/>
        <v>#N/A</v>
      </c>
      <c r="FL146" s="102" t="e">
        <f t="shared" si="299"/>
        <v>#N/A</v>
      </c>
      <c r="FM146" s="414" t="e">
        <f>IF(FM145=0,0,IF(AND(FI146&gt;charge_ELS_quasi,FJ146&gt;Charge_ELS_freq,FK146&gt;charge_ELU,FL146&gt;charge_ELA,$B146&gt;NDC!$H$22-0.1+MIN(3*$FM$12,1.5)),0,1))</f>
        <v>#N/A</v>
      </c>
    </row>
    <row r="147" spans="1:169">
      <c r="A147" s="96">
        <f t="shared" si="267"/>
        <v>86.600000000000762</v>
      </c>
      <c r="B147" s="97">
        <v>13.4</v>
      </c>
      <c r="C147" s="81">
        <f>IF(B147&lt;=Hypothèses!$C$7,Hypothèses!$A$7,IF(B147&lt;=Hypothèses!$C$8,Hypothèses!$A$8,IF(B147&lt;=Hypothèses!$C$9,Hypothèses!$A$9,IF(B147&lt;=Hypothèses!$C$10,Hypothèses!$A$10,IF(B147&lt;=Hypothèses!$C$11,Hypothèses!$A$11,IF(B147&lt;=Hypothèses!$C$12,Hypothèses!$A$12,IF(B147&lt;=Hypothèses!$C$13,Hypothèses!$A$13,IF(B147&lt;=Hypothèses!$C$14,Hypothèses!$A$14,IF(B147&lt;=Hypothèses!$C$15,Hypothèses!$A$15,IF(B147&lt;=Hypothèses!$C$16,Hypothèses!$A$16,IF(B147&lt;=Hypothèses!$C$17,Hypothèses!$A$17,IF(B147&lt;=Hypothèses!$C$18,Hypothèses!$A$18,C146))))))))))))</f>
        <v>11</v>
      </c>
      <c r="D147" s="82" t="str">
        <f>IF(B147&lt;=Hypothèses!$C$7,Hypothèses!$R$7,IF(B147&lt;=Hypothèses!$C$8,Hypothèses!$R$8,IF(B147&lt;=Hypothèses!$C$9,Hypothèses!$R$9,IF(B147&lt;=Hypothèses!$C$10,Hypothèses!$R$10,IF(B147&lt;=Hypothèses!$C$11,Hypothèses!$R$11,IF(B147&lt;=Hypothèses!$C$12,Hypothèses!$R$12,IF(B147&lt;=Hypothèses!$C$13,Hypothèses!$R$13,IF(B147&lt;=Hypothèses!$C$14,Hypothèses!$R$14,IF(B147&lt;=Hypothèses!$C$15,Hypothèses!$R$15,IF(B147&lt;=Hypothèses!$C$16,Hypothèses!$R$16,IF(B147&lt;=Hypothèses!$C$17,Hypothèses!$R$17,IF(B147&lt;=Hypothèses!$C$18,Hypothèses!$R$18,D146))))))))))))</f>
        <v>Pressio.</v>
      </c>
      <c r="E147" s="82" t="e">
        <f>IF(B147&lt;=Hypothèses!$C$7,Hypothèses!$G$7,IF(B147&lt;=Hypothèses!$C$8,Hypothèses!$G$8,IF(B147&lt;=Hypothèses!$C$9,Hypothèses!$G$9,IF(B147&lt;=Hypothèses!$C$10,Hypothèses!$G$10,IF(B147&lt;=Hypothèses!$C$11,Hypothèses!$G$11,IF(B147&lt;=Hypothèses!$C$12,Hypothèses!$G$12,IF(B147&lt;=Hypothèses!$C$13,Hypothèses!$G$13,IF(B147&lt;=Hypothèses!$C$14,Hypothèses!$G$14,IF(B147&lt;=Hypothèses!$C$15,Hypothèses!$G$15,IF(B147&lt;=Hypothèses!$C$16,Hypothèses!$G$16,IF(B147&lt;=Hypothèses!$C$17,Hypothèses!$G$17,IF(B147&lt;=Hypothèses!$C$18,Hypothèses!$G$18,E146))))))))))))</f>
        <v>#N/A</v>
      </c>
      <c r="F147" s="82" t="str">
        <f>IF(B147&lt;=Hypothèses!$C$7,Hypothèses!$F$7,IF(B147&lt;=Hypothèses!$C$8,Hypothèses!$F$8,IF(B147&lt;=Hypothèses!$C$9,Hypothèses!$F$9,IF(B147&lt;=Hypothèses!$C$10,Hypothèses!$F$10,IF(B147&lt;=Hypothèses!$C$11,Hypothèses!$F$11,IF(B147&lt;=Hypothèses!$C$12,Hypothèses!$F$12,IF(B147&lt;=Hypothèses!$C$13,Hypothèses!$F$13,IF(B147&lt;=Hypothèses!$C$14,Hypothèses!$F$14,IF(B147&lt;=Hypothèses!$C$15,Hypothèses!$F$15,IF(B147&lt;=Hypothèses!$C$16,Hypothèses!$F$16,IF(B147&lt;=Hypothèses!$C$17,Hypothèses!$F$17,IF(B147&lt;=Hypothèses!$C$18,Hypothèses!$F$18,F146))))))))))))</f>
        <v/>
      </c>
      <c r="G147" s="91">
        <f t="array" ref="G147">INDEX('Coeff EC7'!$U$7:$X$27,
MATCH(Model0.1C!$B$3,'Coeff EC7'!$T$7:$T$27,0),
MATCH(Model0.1C!$D147&amp;Model0.1C!$B$4,
'Coeff EC7'!$U$6:$X$6&amp;
'Coeff EC7'!$U$5:$X$5,0))</f>
        <v>1.1499999999999999</v>
      </c>
      <c r="H147" s="91">
        <f t="array" ref="H147">INDEX('Coeff EC7'!$Y$7:$AB$27,
MATCH(Model0.1C!$B$3,'Coeff EC7'!$T$7:$T$27,0),
MATCH(Model0.1C!$D147&amp;Model0.1C!$B$4,
'Coeff EC7'!$Y$6:$AB$6&amp;
'Coeff EC7'!$Y$5:$AB$5,0))</f>
        <v>1.4</v>
      </c>
      <c r="I147" s="83" t="e">
        <f>IF(B147&lt;=Hypothèses!$C$7,Hypothèses!$P$7,IF(B147&lt;=Hypothèses!$C$8,Hypothèses!$P$8,IF(B147&lt;=Hypothèses!$C$9,Hypothèses!$P$9,IF(B147&lt;=Hypothèses!$C$10,Hypothèses!$P$10,IF(B147&lt;=Hypothèses!$C$11,Hypothèses!$P$11,IF(B147&lt;=Hypothèses!$C$12,Hypothèses!$P$12,IF(B147&lt;=Hypothèses!$C$13,Hypothèses!$P$13,IF(B147&lt;=Hypothèses!$C$14,Hypothèses!$P$14,IF(B147&lt;=Hypothèses!$C$15,Hypothèses!$P$15,IF(B147&lt;=Hypothèses!$C$16,Hypothèses!$P$16,IF(B147&lt;=Hypothèses!$C$17,Hypothèses!$P$17,IF(B147&lt;=Hypothèses!$C$18,Hypothèses!$P$18,I146))))))))))))</f>
        <v>#N/A</v>
      </c>
      <c r="J147" s="91" t="e">
        <f t="array" ref="J147">INDEX('Coeff EC7'!$D$33:$Q$33,1,MATCH(D147&amp;E147,'Coeff EC7'!$D$31:$Q$31&amp;'Coeff EC7'!$D$32:$Q$32,0))</f>
        <v>#N/A</v>
      </c>
      <c r="K147" s="91" t="e">
        <f t="array" ref="K147">INDEX('Coeff EC7'!$D$34:$Q$34,1,MATCH(D147&amp;E147,'Coeff EC7'!$D$31:$Q$31&amp;'Coeff EC7'!$D$32:$Q$32,0))</f>
        <v>#N/A</v>
      </c>
      <c r="L147" s="91" t="e">
        <f t="array" ref="L147">INDEX('Coeff EC7'!$D$35:$Q$35,1,MATCH(D147&amp;E147,'Coeff EC7'!$D$31:$Q$31&amp;'Coeff EC7'!$D$32:$Q$32,0))</f>
        <v>#N/A</v>
      </c>
      <c r="M147" s="98" t="e">
        <f t="shared" si="231"/>
        <v>#N/A</v>
      </c>
      <c r="N147" s="99" t="e">
        <f t="array" ref="N147">INDEX('Coeff EC7'!$D$7:$Q$27,MATCH($B$3,'Coeff EC7'!$C$7:$C$27,0),MATCH(D147&amp;E147,'Coeff EC7'!$D$5:$Q$5&amp;'Coeff EC7'!$D$6:$Q$6,0))</f>
        <v>#N/A</v>
      </c>
      <c r="O147" s="99" t="e">
        <f t="array" ref="O147">INDEX('Coeff EC7'!$D$41:$Q$61,MATCH($B$3,'Coeff EC7'!$C$41:$C$61,0),MATCH(D147&amp;E147,'Coeff EC7'!$D$39:$Q$39&amp;'Coeff EC7'!$D$40:$Q$40,0))</f>
        <v>#N/A</v>
      </c>
      <c r="P147" s="30" t="e">
        <f t="shared" si="268"/>
        <v>#N/A</v>
      </c>
      <c r="Q147" s="100" t="e">
        <f t="shared" si="233"/>
        <v>#N/A</v>
      </c>
      <c r="R147" s="86" t="b">
        <f t="shared" si="234"/>
        <v>0</v>
      </c>
      <c r="S147" s="86">
        <f t="shared" si="232"/>
        <v>0.5</v>
      </c>
      <c r="T147" s="86">
        <f t="shared" si="235"/>
        <v>0.5</v>
      </c>
      <c r="U147" s="30" t="e">
        <f t="shared" ca="1" si="269"/>
        <v>#DIV/0!</v>
      </c>
      <c r="V147" s="85" t="str">
        <f>IF(B147&lt;=Hypothèses!$V$7,Hypothèses!$W$7,IF(B147&lt;=Hypothèses!$V$8,Hypothèses!$W$8,IF(B147&lt;=Hypothèses!$V$9,Hypothèses!$W$9,IF(B147&lt;=Hypothèses!$V$10,Hypothèses!$W$10,IF(B147&lt;=Hypothèses!$V$11,Hypothèses!$W$11,IF(B147&lt;=Hypothèses!$V$12,Hypothèses!$W$12,IF(B147&lt;=Hypothèses!$V$13,Hypothèses!$W$13,IF(B147&lt;=Hypothèses!$V$14,Hypothèses!$W$14,IF(B147&lt;=Hypothèses!$V$15,Hypothèses!$W$15,IF(B147&lt;=Hypothèses!$V$16,Hypothèses!$W$16,IF(B147&lt;=Hypothèses!$V$17,Hypothèses!$W$17,IF(B147&lt;=Hypothèses!$V$18,Hypothèses!$W$18,""))))))))))))</f>
        <v/>
      </c>
      <c r="W147" s="87" t="e">
        <f t="shared" ca="1" si="316"/>
        <v>#DIV/0!</v>
      </c>
      <c r="X147" s="88" t="str">
        <f>IF(B147&lt;=Hypothèses!$V$7,Hypothèses!$X$7,IF(B147&lt;=Hypothèses!$V$8,Hypothèses!$X$8,IF(B147&lt;=Hypothèses!$V$9,Hypothèses!$X$9,IF(B147&lt;=Hypothèses!$V$10,Hypothèses!$X$10,IF(B147&lt;=Hypothèses!$V$11,Hypothèses!$X$11,IF(B147&lt;=Hypothèses!$V$12,Hypothèses!$X$12,IF(B147&lt;=Hypothèses!$V$13,Hypothèses!$X$13,IF(B147&lt;=Hypothèses!$V$14,Hypothèses!$X$14,IF(B147&lt;=Hypothèses!$V$15,Hypothèses!$X$15,IF(B147&lt;=Hypothèses!$V$16,Hypothèses!$X$16,IF(B147&lt;=Hypothèses!$U$17,Hypothèses!$W$17,IF(B147&lt;=Hypothèses!$U$18,Hypothèses!$W$18,""))))))))))))</f>
        <v/>
      </c>
      <c r="Y147" s="95" t="e">
        <f t="shared" ca="1" si="236"/>
        <v>#DIV/0!</v>
      </c>
      <c r="Z147" s="101" t="e">
        <f t="shared" si="237"/>
        <v>#N/A</v>
      </c>
      <c r="AA147" s="91" t="e">
        <f t="shared" si="238"/>
        <v>#N/A</v>
      </c>
      <c r="AB147" s="30" t="e">
        <f t="shared" si="300"/>
        <v>#N/A</v>
      </c>
      <c r="AC147" s="30" t="e">
        <f t="shared" si="301"/>
        <v>#N/A</v>
      </c>
      <c r="AD147" s="31" t="e">
        <f>IF(OR(Hypothèses!$B$4=17,Hypothèses!$B$4=18,Hypothèses!$B$4=19,Hypothèses!$B$4=20),
IF($D147="Pressio.",
IF(OR($E147=3,$E147=1,$E147=4),AC147,AB147),
IF($D147="Pénétro.",
IF(OR($E147=3,$E147=1,$E147=4),AC147,AB147))),IF($D147="Pressio.",
IF($E147=3,AC147,AB147),
IF($D147="Pénétro.",
IF($E147=4,AC147,AB147))))</f>
        <v>#N/A</v>
      </c>
      <c r="AE147" s="31" t="e">
        <f>(IF(OR(Hypothèses!$B$4=17,Hypothèses!$B$4=18,Hypothèses!$B$4=19,Hypothèses!$B$4=20),
IF($D147="Pressio.",
IF(OR($E147=3,$E147=1,$E147=4),(PI()*AE$12^2)/4*(AA147*$W147*1000)/($H147*$B$5),(PI()*AE$12^2)/4*(AA147*$W147*1000)/($G147*$B$5)),
IF($D147="Pénétro.",
IF(OR($E147=4,$E147=1,$E147=5),(PI()*AE$12^2)/4*(AA147*$W147*1000)/($H147*$B$5),(PI()*AE$12^2)/4*(AA147*$W147*1000)/($G147*$B$5)))),
IF($D147="Pressio.",
IF($E147=3,(PI()*AE$12^2)/4*(AA147*$W147*1000)/($H147*$B$5),(PI()*AE$12^2)/4*(AA147*$W147*1000)/($G147*$B$5)),
IF($D147="Pénétro.",
IF($E147=4,(PI()*AE$12^2)/4*(AA147*$W147*1000)/($H147*$B$5),(PI()*AE$12^2)/4*(AA147*$W147*1000)/($G147*$B$5))))))/10</f>
        <v>#N/A</v>
      </c>
      <c r="AF147" s="102" t="e">
        <f>(VLOOKUP($B$3,'Coeff EC7'!$T$39:$X$59,2,0)*AD147+VLOOKUP($B$3,'Coeff EC7'!$T$65:$X$85,2,0)*Model0.1C!AE147)/1.1</f>
        <v>#N/A</v>
      </c>
      <c r="AG147" s="102" t="e">
        <f>(VLOOKUP($B$3,'Coeff EC7'!$T$39:$X$59,3,0)*AD147+VLOOKUP($B$3,'Coeff EC7'!$T$65:$X$85,3,0)*Model0.1C!AE147)/0.9</f>
        <v>#N/A</v>
      </c>
      <c r="AH147" s="102" t="e">
        <f t="shared" si="239"/>
        <v>#N/A</v>
      </c>
      <c r="AI147" s="102" t="e">
        <f t="shared" si="240"/>
        <v>#N/A</v>
      </c>
      <c r="AJ147" s="414" t="e">
        <f>IF(AJ146=0,0,IF(AND(AF147&gt;charge_ELS_quasi,AG147&gt;Charge_ELS_freq,AH147&gt;charge_ELU,AI147&gt;charge_ELA,$B147&gt;NDC!$H$22-0.1+MIN(3*$AJ$12,1.5)),0,1))</f>
        <v>#N/A</v>
      </c>
      <c r="AK147" s="86" t="b">
        <f t="shared" si="241"/>
        <v>0</v>
      </c>
      <c r="AL147" s="86">
        <f t="shared" si="270"/>
        <v>0.5</v>
      </c>
      <c r="AM147" s="86">
        <f t="shared" si="242"/>
        <v>0.5</v>
      </c>
      <c r="AN147" s="30" t="e">
        <f t="shared" ca="1" si="271"/>
        <v>#DIV/0!</v>
      </c>
      <c r="AO147" s="85" t="e">
        <f ca="1">IF(U147&lt;=Hypothèses!$V$7,Hypothèses!$W$7,IF(U147&lt;=Hypothèses!$V$8,Hypothèses!$W$8,IF(U147&lt;=Hypothèses!$V$9,Hypothèses!$W$9,IF(U147&lt;=Hypothèses!$V$10,Hypothèses!$W$10,IF(U147&lt;=Hypothèses!$V$11,Hypothèses!$W$11,IF(U147&lt;=Hypothèses!$V$12,Hypothèses!$W$12,IF(U147&lt;=Hypothèses!$V$13,Hypothèses!$W$13,IF(U147&lt;=Hypothèses!$V$14,Hypothèses!$W$14,IF(U147&lt;=Hypothèses!$V$15,Hypothèses!$W$15,IF(U147&lt;=Hypothèses!$V$16,Hypothèses!$W$16,IF(U147&lt;=Hypothèses!$V$17,Hypothèses!$W$17,IF(U147&lt;=Hypothèses!$V$18,Hypothèses!$W$18,""))))))))))))</f>
        <v>#DIV/0!</v>
      </c>
      <c r="AP147" s="87" t="e">
        <f t="shared" ca="1" si="317"/>
        <v>#DIV/0!</v>
      </c>
      <c r="AQ147" s="88" t="e">
        <f ca="1">IF(U147&lt;=Hypothèses!$V$7,Hypothèses!$X$7,IF(U147&lt;=Hypothèses!$V$8,Hypothèses!$X$8,IF(U147&lt;=Hypothèses!$V$9,Hypothèses!$X$9,IF(U147&lt;=Hypothèses!$V$10,Hypothèses!$X$10,IF(U147&lt;=Hypothèses!$V$11,Hypothèses!$X$11,IF(U147&lt;=Hypothèses!$V$12,Hypothèses!$X$12,IF(U147&lt;=Hypothèses!$V$13,Hypothèses!$X$13,IF(U147&lt;=Hypothèses!$V$14,Hypothèses!$X$14,IF(U147&lt;=Hypothèses!$V$15,Hypothèses!$X$15,IF(U147&lt;=Hypothèses!$V$16,Hypothèses!$X$16,IF(U147&lt;=Hypothèses!$U$17,Hypothèses!$W$17,IF(U147&lt;=Hypothèses!$U$18,Hypothèses!$W$18,""))))))))))))</f>
        <v>#DIV/0!</v>
      </c>
      <c r="AR147" s="95" t="e">
        <f t="shared" ca="1" si="272"/>
        <v>#DIV/0!</v>
      </c>
      <c r="AS147" s="101" t="e">
        <f t="shared" si="324"/>
        <v>#N/A</v>
      </c>
      <c r="AT147" s="91" t="e">
        <f t="shared" si="243"/>
        <v>#N/A</v>
      </c>
      <c r="AU147" s="30" t="e">
        <f t="shared" si="302"/>
        <v>#N/A</v>
      </c>
      <c r="AV147" s="30" t="e">
        <f t="shared" si="303"/>
        <v>#N/A</v>
      </c>
      <c r="AW147" s="31" t="e">
        <f>IF(OR(Hypothèses!$B$4=17,Hypothèses!$B$4=18,Hypothèses!$B$4=19,Hypothèses!$B$4=20),
IF($D147="Pressio.",
IF(OR($E147=3,$E147=1,$E147=4),AV147,AU147),
IF($D147="Pénétro.",
IF(OR($E147=3,$E147=1,$E147=4),AV147,AU147))),IF($D147="Pressio.",
IF($E147=3,AV147,AU147),
IF($D147="Pénétro.",
IF($E147=4,AV147,AU147))))</f>
        <v>#N/A</v>
      </c>
      <c r="AX147" s="31" t="e">
        <f>(IF(OR(Hypothèses!$B$4=17,Hypothèses!$B$4=18,Hypothèses!$B$4=19,Hypothèses!$B$4=20),
IF($D147="Pressio.",
IF(OR($E147=3,$E147=1,$E147=4),(PI()*AX$12^2)/4*(AT147*$W147*1000)/($H147*$B$5),(PI()*AX$12^2)/4*(AT147*$W147*1000)/($G147*$B$5)),
IF($D147="Pénétro.",
IF(OR($E147=4,$E147=1,$E147=5),(PI()*AX$12^2)/4*(AT147*$W147*1000)/($H147*$B$5),(PI()*AX$12^2)/4*(AT147*$W147*1000)/($G147*$B$5)))),
IF($D147="Pressio.",
IF($E147=3,(PI()*AX$12^2)/4*(AT147*$W147*1000)/($H147*$B$5),(PI()*AX$12^2)/4*(AT147*$W147*1000)/($G147*$B$5)),
IF($D147="Pénétro.",
IF($E147=4,(PI()*AX$12^2)/4*(AT147*$W147*1000)/($H147*$B$5),(PI()*AX$12^2)/4*(AT147*$W147*1000)/($G147*$B$5))))))/10</f>
        <v>#N/A</v>
      </c>
      <c r="AY147" s="102" t="e">
        <f>(VLOOKUP($B$3,'Coeff EC7'!$T$39:$X$59,2,0)*AW147+VLOOKUP($B$3,'Coeff EC7'!$T$65:$X$85,2,0)*Model0.1C!AX147)/1.1</f>
        <v>#N/A</v>
      </c>
      <c r="AZ147" s="102" t="e">
        <f>(VLOOKUP($B$3,'Coeff EC7'!$T$39:$X$59,3,0)*AW147+VLOOKUP($B$3,'Coeff EC7'!$T$65:$X$85,3,0)*Model0.1C!AX147)/0.9</f>
        <v>#N/A</v>
      </c>
      <c r="BA147" s="102" t="e">
        <f t="shared" si="273"/>
        <v>#N/A</v>
      </c>
      <c r="BB147" s="102" t="e">
        <f t="shared" si="274"/>
        <v>#N/A</v>
      </c>
      <c r="BC147" s="414" t="e">
        <f>IF(BC146=0,0,IF(AND(AY147&gt;charge_ELS_quasi,AZ147&gt;Charge_ELS_freq,BA147&gt;charge_ELU,BB147&gt;charge_ELA,$B147&gt;NDC!$H$22-0.1+MIN(3*$BC$12,1.5)),0,1))</f>
        <v>#N/A</v>
      </c>
      <c r="BD147" s="86" t="b">
        <f t="shared" si="244"/>
        <v>0</v>
      </c>
      <c r="BE147" s="86">
        <f t="shared" si="275"/>
        <v>0.5</v>
      </c>
      <c r="BF147" s="86">
        <f t="shared" si="245"/>
        <v>0.5</v>
      </c>
      <c r="BG147" s="30" t="e">
        <f t="shared" ca="1" si="276"/>
        <v>#DIV/0!</v>
      </c>
      <c r="BH147" s="85" t="e">
        <f ca="1">IF(AN147&lt;=Hypothèses!$V$7,Hypothèses!$W$7,IF(AN147&lt;=Hypothèses!$V$8,Hypothèses!$W$8,IF(AN147&lt;=Hypothèses!$V$9,Hypothèses!$W$9,IF(AN147&lt;=Hypothèses!$V$10,Hypothèses!$W$10,IF(AN147&lt;=Hypothèses!$V$11,Hypothèses!$W$11,IF(AN147&lt;=Hypothèses!$V$12,Hypothèses!$W$12,IF(AN147&lt;=Hypothèses!$V$13,Hypothèses!$W$13,IF(AN147&lt;=Hypothèses!$V$14,Hypothèses!$W$14,IF(AN147&lt;=Hypothèses!$V$15,Hypothèses!$W$15,IF(AN147&lt;=Hypothèses!$V$16,Hypothèses!$W$16,IF(AN147&lt;=Hypothèses!$V$17,Hypothèses!$W$17,IF(AN147&lt;=Hypothèses!$V$18,Hypothèses!$W$18,""))))))))))))</f>
        <v>#DIV/0!</v>
      </c>
      <c r="BI147" s="87" t="e">
        <f t="shared" ca="1" si="318"/>
        <v>#DIV/0!</v>
      </c>
      <c r="BJ147" s="88" t="e">
        <f ca="1">IF(AN147&lt;=Hypothèses!$V$7,Hypothèses!$X$7,IF(AN147&lt;=Hypothèses!$V$8,Hypothèses!$X$8,IF(AN147&lt;=Hypothèses!$V$9,Hypothèses!$X$9,IF(AN147&lt;=Hypothèses!$V$10,Hypothèses!$X$10,IF(AN147&lt;=Hypothèses!$V$11,Hypothèses!$X$11,IF(AN147&lt;=Hypothèses!$V$12,Hypothèses!$X$12,IF(AN147&lt;=Hypothèses!$V$13,Hypothèses!$X$13,IF(AN147&lt;=Hypothèses!$V$14,Hypothèses!$X$14,IF(AN147&lt;=Hypothèses!$V$15,Hypothèses!$X$15,IF(AN147&lt;=Hypothèses!$V$16,Hypothèses!$X$16,IF(AN147&lt;=Hypothèses!$U$17,Hypothèses!$W$17,IF(AN147&lt;=Hypothèses!$U$18,Hypothèses!$W$18,""))))))))))))</f>
        <v>#DIV/0!</v>
      </c>
      <c r="BK147" s="95" t="e">
        <f t="shared" ca="1" si="277"/>
        <v>#DIV/0!</v>
      </c>
      <c r="BL147" s="101" t="e">
        <f t="shared" si="325"/>
        <v>#N/A</v>
      </c>
      <c r="BM147" s="91" t="e">
        <f t="shared" si="246"/>
        <v>#N/A</v>
      </c>
      <c r="BN147" s="30" t="e">
        <f t="shared" si="304"/>
        <v>#N/A</v>
      </c>
      <c r="BO147" s="30" t="e">
        <f t="shared" si="305"/>
        <v>#N/A</v>
      </c>
      <c r="BP147" s="31" t="e">
        <f>IF(OR(Hypothèses!$B$4=17,Hypothèses!$B$4=18,Hypothèses!$B$4=19,Hypothèses!$B$4=20),
IF($D147="Pressio.",
IF(OR($E147=3,$E147=1,$E147=4),BO147,BN147),
IF($D147="Pénétro.",
IF(OR($E147=3,$E147=1,$E147=4),BO147,BN147))),IF($D147="Pressio.",
IF($E147=3,BO147,BN147),
IF($D147="Pénétro.",
IF($E147=4,BO147,BN147))))</f>
        <v>#N/A</v>
      </c>
      <c r="BQ147" s="31" t="e">
        <f>(IF(OR(Hypothèses!$B$4=17,Hypothèses!$B$4=18,Hypothèses!$B$4=19,Hypothèses!$B$4=20),
IF($D147="Pressio.",
IF(OR($E147=3,$E147=1,$E147=4),(PI()*BQ$12^2)/4*(BM147*$W147*1000)/($H147*$B$5),(PI()*BQ$12^2)/4*(BM147*$W147*1000)/($G147*$B$5)),
IF($D147="Pénétro.",
IF(OR($E147=4,$E147=1,$E147=5),(PI()*BQ$12^2)/4*(BM147*$W147*1000)/($H147*$B$5),(PI()*BQ$12^2)/4*(BM147*$W147*1000)/($G147*$B$5)))),
IF($D147="Pressio.",
IF($E147=3,(PI()*BQ$12^2)/4*(BM147*$W147*1000)/($H147*$B$5),(PI()*BQ$12^2)/4*(BM147*$W147*1000)/($G147*$B$5)),
IF($D147="Pénétro.",
IF($E147=4,(PI()*BQ$12^2)/4*(BM147*$W147*1000)/($H147*$B$5),(PI()*BQ$12^2)/4*(BM147*$W147*1000)/($G147*$B$5))))))/10</f>
        <v>#N/A</v>
      </c>
      <c r="BR147" s="102" t="e">
        <f>(VLOOKUP($B$3,'Coeff EC7'!$T$39:$X$59,2,0)*BP147+VLOOKUP($B$3,'Coeff EC7'!$T$65:$X$85,2,0)*Model0.1C!BQ147)/1.1</f>
        <v>#N/A</v>
      </c>
      <c r="BS147" s="102" t="e">
        <f>(VLOOKUP($B$3,'Coeff EC7'!$T$39:$X$59,3,0)*BP147+VLOOKUP($B$3,'Coeff EC7'!$T$65:$X$85,3,0)*Model0.1C!BQ147)/0.9</f>
        <v>#N/A</v>
      </c>
      <c r="BT147" s="102" t="e">
        <f t="shared" si="278"/>
        <v>#N/A</v>
      </c>
      <c r="BU147" s="102" t="e">
        <f t="shared" si="279"/>
        <v>#N/A</v>
      </c>
      <c r="BV147" s="414" t="e">
        <f>IF(BV146=0,0,IF(AND(BR147&gt;charge_ELS_quasi,BS147&gt;Charge_ELS_freq,BT147&gt;charge_ELU,BU147&gt;charge_ELA,$B147&gt;NDC!$H$22-0.1+MIN(3*$BV$12,1.5)),0,1))</f>
        <v>#N/A</v>
      </c>
      <c r="BW147" s="86" t="b">
        <f t="shared" si="247"/>
        <v>0</v>
      </c>
      <c r="BX147" s="86">
        <f t="shared" si="248"/>
        <v>0.5</v>
      </c>
      <c r="BY147" s="86">
        <f t="shared" si="249"/>
        <v>0.5</v>
      </c>
      <c r="BZ147" s="30" t="e">
        <f t="shared" ca="1" si="280"/>
        <v>#DIV/0!</v>
      </c>
      <c r="CA147" s="85" t="e">
        <f ca="1">IF(BG147&lt;=Hypothèses!$V$7,Hypothèses!$W$7,IF(BG147&lt;=Hypothèses!$V$8,Hypothèses!$W$8,IF(BG147&lt;=Hypothèses!$V$9,Hypothèses!$W$9,IF(BG147&lt;=Hypothèses!$V$10,Hypothèses!$W$10,IF(BG147&lt;=Hypothèses!$V$11,Hypothèses!$W$11,IF(BG147&lt;=Hypothèses!$V$12,Hypothèses!$W$12,IF(BG147&lt;=Hypothèses!$V$13,Hypothèses!$W$13,IF(BG147&lt;=Hypothèses!$V$14,Hypothèses!$W$14,IF(BG147&lt;=Hypothèses!$V$15,Hypothèses!$W$15,IF(BG147&lt;=Hypothèses!$V$16,Hypothèses!$W$16,IF(BG147&lt;=Hypothèses!$V$17,Hypothèses!$W$17,IF(BG147&lt;=Hypothèses!$V$18,Hypothèses!$W$18,""))))))))))))</f>
        <v>#DIV/0!</v>
      </c>
      <c r="CB147" s="87" t="e">
        <f t="shared" ca="1" si="319"/>
        <v>#DIV/0!</v>
      </c>
      <c r="CC147" s="88" t="e">
        <f ca="1">IF(BG147&lt;=Hypothèses!$V$7,Hypothèses!$X$7,IF(BG147&lt;=Hypothèses!$V$8,Hypothèses!$X$8,IF(BG147&lt;=Hypothèses!$V$9,Hypothèses!$X$9,IF(BG147&lt;=Hypothèses!$V$10,Hypothèses!$X$10,IF(BG147&lt;=Hypothèses!$V$11,Hypothèses!$X$11,IF(BG147&lt;=Hypothèses!$V$12,Hypothèses!$X$12,IF(BG147&lt;=Hypothèses!$V$13,Hypothèses!$X$13,IF(BG147&lt;=Hypothèses!$V$14,Hypothèses!$X$14,IF(BG147&lt;=Hypothèses!$V$15,Hypothèses!$X$15,IF(BG147&lt;=Hypothèses!$V$16,Hypothèses!$X$16,IF(BG147&lt;=Hypothèses!$U$17,Hypothèses!$W$17,IF(BG147&lt;=Hypothèses!$U$18,Hypothèses!$W$18,""))))))))))))</f>
        <v>#DIV/0!</v>
      </c>
      <c r="CD147" s="95" t="e">
        <f t="shared" ca="1" si="281"/>
        <v>#DIV/0!</v>
      </c>
      <c r="CE147" s="101" t="e">
        <f t="shared" si="326"/>
        <v>#N/A</v>
      </c>
      <c r="CF147" s="91" t="e">
        <f t="shared" si="250"/>
        <v>#N/A</v>
      </c>
      <c r="CG147" s="30" t="e">
        <f t="shared" si="306"/>
        <v>#N/A</v>
      </c>
      <c r="CH147" s="30" t="e">
        <f t="shared" si="307"/>
        <v>#N/A</v>
      </c>
      <c r="CI147" s="31" t="e">
        <f>IF(OR(Hypothèses!$B$4=17,Hypothèses!$B$4=18,Hypothèses!$B$4=19,Hypothèses!$B$4=20),
IF($D147="Pressio.",
IF(OR($E147=3,$E147=1,$E147=4),CH147,CG147),
IF($D147="Pénétro.",
IF(OR($E147=3,$E147=1,$E147=4),CH147,CG147))),IF($D147="Pressio.",
IF($E147=3,CH147,CG147),
IF($D147="Pénétro.",
IF($E147=4,CH147,CG147))))</f>
        <v>#N/A</v>
      </c>
      <c r="CJ147" s="31" t="e">
        <f>(IF(OR(Hypothèses!$B$4=17,Hypothèses!$B$4=18,Hypothèses!$B$4=19,Hypothèses!$B$4=20),
IF($D147="Pressio.",
IF(OR($E147=3,$E147=1,$E147=4),(PI()*CJ$12^2)/4*(CF147*$W147*1000)/($H147*$B$5),(PI()*CJ$12^2)/4*(CF147*$W147*1000)/($G147*$B$5)),
IF($D147="Pénétro.",
IF(OR($E147=4,$E147=1,$E147=5),(PI()*CJ$12^2)/4*(CF147*$W147*1000)/($H147*$B$5),(PI()*CJ$12^2)/4*(CF147*$W147*1000)/($G147*$B$5)))),
IF($D147="Pressio.",
IF($E147=3,(PI()*CJ$12^2)/4*(CF147*$W147*1000)/($H147*$B$5),(PI()*CJ$12^2)/4*(CF147*$W147*1000)/($G147*$B$5)),
IF($D147="Pénétro.",
IF($E147=4,(PI()*CJ$12^2)/4*(CF147*$W147*1000)/($H147*$B$5),(PI()*CJ$12^2)/4*(CF147*$W147*1000)/($G147*$B$5))))))/10</f>
        <v>#N/A</v>
      </c>
      <c r="CK147" s="102" t="e">
        <f>(VLOOKUP($B$3,'Coeff EC7'!$T$39:$X$59,2,0)*CI147+VLOOKUP($B$3,'Coeff EC7'!$T$65:$X$85,2,0)*Model0.1C!CJ147)/1.1</f>
        <v>#N/A</v>
      </c>
      <c r="CL147" s="102" t="e">
        <f>(VLOOKUP($B$3,'Coeff EC7'!$T$39:$X$59,3,0)*CI147+VLOOKUP($B$3,'Coeff EC7'!$T$65:$X$85,3,0)*Model0.1C!CJ147)/0.9</f>
        <v>#N/A</v>
      </c>
      <c r="CM147" s="102" t="e">
        <f t="shared" si="282"/>
        <v>#N/A</v>
      </c>
      <c r="CN147" s="102" t="e">
        <f t="shared" si="283"/>
        <v>#N/A</v>
      </c>
      <c r="CO147" s="414" t="e">
        <f>IF(CO146=0,0,IF(AND(CK147&gt;charge_ELS_quasi,CL147&gt;Charge_ELS_freq,CM147&gt;charge_ELU,CN147&gt;charge_ELA,$B147&gt;NDC!$H$22-0.1+MIN(3*$CO$12,1.5)),0,1))</f>
        <v>#N/A</v>
      </c>
      <c r="CP147" s="86" t="b">
        <f t="shared" si="251"/>
        <v>0</v>
      </c>
      <c r="CQ147" s="86">
        <f t="shared" si="252"/>
        <v>0.5</v>
      </c>
      <c r="CR147" s="86">
        <f t="shared" si="253"/>
        <v>0.5</v>
      </c>
      <c r="CS147" s="30" t="e">
        <f t="shared" ca="1" si="284"/>
        <v>#DIV/0!</v>
      </c>
      <c r="CT147" s="85" t="e">
        <f ca="1">IF(BZ147&lt;=Hypothèses!$V$7,Hypothèses!$W$7,IF(BZ147&lt;=Hypothèses!$V$8,Hypothèses!$W$8,IF(BZ147&lt;=Hypothèses!$V$9,Hypothèses!$W$9,IF(BZ147&lt;=Hypothèses!$V$10,Hypothèses!$W$10,IF(BZ147&lt;=Hypothèses!$V$11,Hypothèses!$W$11,IF(BZ147&lt;=Hypothèses!$V$12,Hypothèses!$W$12,IF(BZ147&lt;=Hypothèses!$V$13,Hypothèses!$W$13,IF(BZ147&lt;=Hypothèses!$V$14,Hypothèses!$W$14,IF(BZ147&lt;=Hypothèses!$V$15,Hypothèses!$W$15,IF(BZ147&lt;=Hypothèses!$V$16,Hypothèses!$W$16,IF(BZ147&lt;=Hypothèses!$V$17,Hypothèses!$W$17,IF(BZ147&lt;=Hypothèses!$V$18,Hypothèses!$W$18,""))))))))))))</f>
        <v>#DIV/0!</v>
      </c>
      <c r="CU147" s="87" t="e">
        <f t="shared" ca="1" si="320"/>
        <v>#DIV/0!</v>
      </c>
      <c r="CV147" s="88" t="e">
        <f ca="1">IF(BZ147&lt;=Hypothèses!$V$7,Hypothèses!$X$7,IF(BZ147&lt;=Hypothèses!$V$8,Hypothèses!$X$8,IF(BZ147&lt;=Hypothèses!$V$9,Hypothèses!$X$9,IF(BZ147&lt;=Hypothèses!$V$10,Hypothèses!$X$10,IF(BZ147&lt;=Hypothèses!$V$11,Hypothèses!$X$11,IF(BZ147&lt;=Hypothèses!$V$12,Hypothèses!$X$12,IF(BZ147&lt;=Hypothèses!$V$13,Hypothèses!$X$13,IF(BZ147&lt;=Hypothèses!$V$14,Hypothèses!$X$14,IF(BZ147&lt;=Hypothèses!$V$15,Hypothèses!$X$15,IF(BZ147&lt;=Hypothèses!$V$16,Hypothèses!$X$16,IF(BZ147&lt;=Hypothèses!$U$17,Hypothèses!$W$17,IF(BZ147&lt;=Hypothèses!$U$18,Hypothèses!$W$18,""))))))))))))</f>
        <v>#DIV/0!</v>
      </c>
      <c r="CW147" s="95" t="e">
        <f t="shared" ca="1" si="285"/>
        <v>#DIV/0!</v>
      </c>
      <c r="CX147" s="101" t="e">
        <f t="shared" si="327"/>
        <v>#N/A</v>
      </c>
      <c r="CY147" s="91" t="e">
        <f t="shared" si="254"/>
        <v>#N/A</v>
      </c>
      <c r="CZ147" s="30" t="e">
        <f t="shared" si="308"/>
        <v>#N/A</v>
      </c>
      <c r="DA147" s="30" t="e">
        <f t="shared" si="309"/>
        <v>#N/A</v>
      </c>
      <c r="DB147" s="31" t="e">
        <f>IF(OR(Hypothèses!$B$4=17,Hypothèses!$B$4=18,Hypothèses!$B$4=19,Hypothèses!$B$4=20),
IF($D147="Pressio.",
IF(OR($E147=3,$E147=1,$E147=4),DA147,CZ147),
IF($D147="Pénétro.",
IF(OR($E147=3,$E147=1,$E147=4),DA147,CZ147))),IF($D147="Pressio.",
IF($E147=3,DA147,CZ147),
IF($D147="Pénétro.",
IF($E147=4,DA147,CZ147))))</f>
        <v>#N/A</v>
      </c>
      <c r="DC147" s="31" t="e">
        <f>(IF(OR(Hypothèses!$B$4=17,Hypothèses!$B$4=18,Hypothèses!$B$4=19,Hypothèses!$B$4=20),
IF($D147="Pressio.",
IF(OR($E147=3,$E147=1,$E147=4),(PI()*DC$12^2)/4*(CY147*$W147*1000)/($H147*$B$5),(PI()*DC$12^2)/4*(CY147*$W147*1000)/($G147*$B$5)),
IF($D147="Pénétro.",
IF(OR($E147=4,$E147=1,$E147=5),(PI()*DC$12^2)/4*(CY147*$W147*1000)/($H147*$B$5),(PI()*DC$12^2)/4*(CY147*$W147*1000)/($G147*$B$5)))),
IF($D147="Pressio.",
IF($E147=3,(PI()*DC$12^2)/4*(CY147*$W147*1000)/($H147*$B$5),(PI()*DC$12^2)/4*(CY147*$W147*1000)/($G147*$B$5)),
IF($D147="Pénétro.",
IF($E147=4,(PI()*DC$12^2)/4*(CY147*$W147*1000)/($H147*$B$5),(PI()*DC$12^2)/4*(CY147*$W147*1000)/($G147*$B$5))))))/10</f>
        <v>#N/A</v>
      </c>
      <c r="DD147" s="102" t="e">
        <f>(VLOOKUP($B$3,'Coeff EC7'!$T$39:$X$59,2,0)*DB147+VLOOKUP($B$3,'Coeff EC7'!$T$65:$X$85,2,0)*Model0.1C!DC147)/1.1</f>
        <v>#N/A</v>
      </c>
      <c r="DE147" s="102" t="e">
        <f>(VLOOKUP($B$3,'Coeff EC7'!$T$39:$X$59,3,0)*DB147+VLOOKUP($B$3,'Coeff EC7'!$T$65:$X$85,3,0)*Model0.1C!DC147)/0.9</f>
        <v>#N/A</v>
      </c>
      <c r="DF147" s="102" t="e">
        <f t="shared" si="286"/>
        <v>#N/A</v>
      </c>
      <c r="DG147" s="102" t="e">
        <f t="shared" si="287"/>
        <v>#N/A</v>
      </c>
      <c r="DH147" s="414" t="e">
        <f>IF(DH146=0,0,IF(AND(DD147&gt;charge_ELS_quasi,DE147&gt;Charge_ELS_freq,DF147&gt;charge_ELU,DG147&gt;charge_ELA,$B147&gt;NDC!$H$22-0.1+MIN(3*$DH$12,1.5)),0,1))</f>
        <v>#N/A</v>
      </c>
      <c r="DI147" s="86" t="b">
        <f t="shared" si="255"/>
        <v>0</v>
      </c>
      <c r="DJ147" s="86">
        <f t="shared" si="256"/>
        <v>0.5</v>
      </c>
      <c r="DK147" s="86">
        <f t="shared" si="257"/>
        <v>0.5</v>
      </c>
      <c r="DL147" s="30" t="e">
        <f t="shared" ca="1" si="288"/>
        <v>#DIV/0!</v>
      </c>
      <c r="DM147" s="85" t="e">
        <f ca="1">IF(CS147&lt;=Hypothèses!$V$7,Hypothèses!$W$7,IF(CS147&lt;=Hypothèses!$V$8,Hypothèses!$W$8,IF(CS147&lt;=Hypothèses!$V$9,Hypothèses!$W$9,IF(CS147&lt;=Hypothèses!$V$10,Hypothèses!$W$10,IF(CS147&lt;=Hypothèses!$V$11,Hypothèses!$W$11,IF(CS147&lt;=Hypothèses!$V$12,Hypothèses!$W$12,IF(CS147&lt;=Hypothèses!$V$13,Hypothèses!$W$13,IF(CS147&lt;=Hypothèses!$V$14,Hypothèses!$W$14,IF(CS147&lt;=Hypothèses!$V$15,Hypothèses!$W$15,IF(CS147&lt;=Hypothèses!$V$16,Hypothèses!$W$16,IF(CS147&lt;=Hypothèses!$V$17,Hypothèses!$W$17,IF(CS147&lt;=Hypothèses!$V$18,Hypothèses!$W$18,""))))))))))))</f>
        <v>#DIV/0!</v>
      </c>
      <c r="DN147" s="87" t="e">
        <f t="shared" ca="1" si="321"/>
        <v>#DIV/0!</v>
      </c>
      <c r="DO147" s="88" t="e">
        <f ca="1">IF(CS147&lt;=Hypothèses!$V$7,Hypothèses!$X$7,IF(CS147&lt;=Hypothèses!$V$8,Hypothèses!$X$8,IF(CS147&lt;=Hypothèses!$V$9,Hypothèses!$X$9,IF(CS147&lt;=Hypothèses!$V$10,Hypothèses!$X$10,IF(CS147&lt;=Hypothèses!$V$11,Hypothèses!$X$11,IF(CS147&lt;=Hypothèses!$V$12,Hypothèses!$X$12,IF(CS147&lt;=Hypothèses!$V$13,Hypothèses!$X$13,IF(CS147&lt;=Hypothèses!$V$14,Hypothèses!$X$14,IF(CS147&lt;=Hypothèses!$V$15,Hypothèses!$X$15,IF(CS147&lt;=Hypothèses!$V$16,Hypothèses!$X$16,IF(CS147&lt;=Hypothèses!$U$17,Hypothèses!$W$17,IF(CS147&lt;=Hypothèses!$U$18,Hypothèses!$W$18,""))))))))))))</f>
        <v>#DIV/0!</v>
      </c>
      <c r="DP147" s="95" t="e">
        <f t="shared" ca="1" si="289"/>
        <v>#DIV/0!</v>
      </c>
      <c r="DQ147" s="101" t="e">
        <f t="shared" si="328"/>
        <v>#N/A</v>
      </c>
      <c r="DR147" s="91" t="e">
        <f t="shared" si="258"/>
        <v>#N/A</v>
      </c>
      <c r="DS147" s="30" t="e">
        <f t="shared" si="310"/>
        <v>#N/A</v>
      </c>
      <c r="DT147" s="30" t="e">
        <f t="shared" si="311"/>
        <v>#N/A</v>
      </c>
      <c r="DU147" s="31" t="e">
        <f>IF(OR(Hypothèses!$B$4=17,Hypothèses!$B$4=18,Hypothèses!$B$4=19,Hypothèses!$B$4=20),
IF($D147="Pressio.",
IF(OR($E147=3,$E147=1,$E147=4),DT147,DS147),
IF($D147="Pénétro.",
IF(OR($E147=3,$E147=1,$E147=4),DT147,DS147))),IF($D147="Pressio.",
IF($E147=3,DT147,DS147),
IF($D147="Pénétro.",
IF($E147=4,DT147,DS147))))</f>
        <v>#N/A</v>
      </c>
      <c r="DV147" s="31" t="e">
        <f>(IF(OR(Hypothèses!$B$4=17,Hypothèses!$B$4=18,Hypothèses!$B$4=19,Hypothèses!$B$4=20),
IF($D147="Pressio.",
IF(OR($E147=3,$E147=1,$E147=4),(PI()*DV$12^2)/4*(DR147*$W147*1000)/($H147*$B$5),(PI()*DV$12^2)/4*(DR147*$W147*1000)/($G147*$B$5)),
IF($D147="Pénétro.",
IF(OR($E147=4,$E147=1,$E147=5),(PI()*DV$12^2)/4*(DR147*$W147*1000)/($H147*$B$5),(PI()*DV$12^2)/4*(DR147*$W147*1000)/($G147*$B$5)))),
IF($D147="Pressio.",
IF($E147=3,(PI()*DV$12^2)/4*(DR147*$W147*1000)/($H147*$B$5),(PI()*DV$12^2)/4*(DR147*$W147*1000)/($G147*$B$5)),
IF($D147="Pénétro.",
IF($E147=4,(PI()*DV$12^2)/4*(DR147*$W147*1000)/($H147*$B$5),(PI()*DV$12^2)/4*(DR147*$W147*1000)/($G147*$B$5))))))/10</f>
        <v>#N/A</v>
      </c>
      <c r="DW147" s="102" t="e">
        <f>(VLOOKUP($B$3,'Coeff EC7'!$T$39:$X$59,2,0)*DU147+VLOOKUP($B$3,'Coeff EC7'!$T$65:$X$85,2,0)*Model0.1C!DV147)/1.1</f>
        <v>#N/A</v>
      </c>
      <c r="DX147" s="102" t="e">
        <f>(VLOOKUP($B$3,'Coeff EC7'!$T$39:$X$59,3,0)*DU147+VLOOKUP($B$3,'Coeff EC7'!$T$65:$X$85,3,0)*Model0.1C!DV147)/0.9</f>
        <v>#N/A</v>
      </c>
      <c r="DY147" s="102" t="e">
        <f t="shared" si="290"/>
        <v>#N/A</v>
      </c>
      <c r="DZ147" s="102" t="e">
        <f t="shared" si="291"/>
        <v>#N/A</v>
      </c>
      <c r="EA147" s="414" t="e">
        <f>IF(EA146=0,0,IF(AND(DW147&gt;charge_ELS_quasi,DX147&gt;Charge_ELS_freq,DY147&gt;charge_ELU,DZ147&gt;charge_ELA,$B147&gt;NDC!$H$22-0.1+MIN(3*$EA$12,1.5)),0,1))</f>
        <v>#N/A</v>
      </c>
      <c r="EB147" s="86" t="b">
        <f t="shared" si="259"/>
        <v>0</v>
      </c>
      <c r="EC147" s="418">
        <f t="shared" si="260"/>
        <v>0.51</v>
      </c>
      <c r="ED147" s="86">
        <f t="shared" si="261"/>
        <v>0.51</v>
      </c>
      <c r="EE147" s="30" t="e">
        <f t="shared" ca="1" si="292"/>
        <v>#DIV/0!</v>
      </c>
      <c r="EF147" s="85" t="e">
        <f ca="1">IF(DL147&lt;=Hypothèses!$V$7,Hypothèses!$W$7,IF(DL147&lt;=Hypothèses!$V$8,Hypothèses!$W$8,IF(DL147&lt;=Hypothèses!$V$9,Hypothèses!$W$9,IF(DL147&lt;=Hypothèses!$V$10,Hypothèses!$W$10,IF(DL147&lt;=Hypothèses!$V$11,Hypothèses!$W$11,IF(DL147&lt;=Hypothèses!$V$12,Hypothèses!$W$12,IF(DL147&lt;=Hypothèses!$V$13,Hypothèses!$W$13,IF(DL147&lt;=Hypothèses!$V$14,Hypothèses!$W$14,IF(DL147&lt;=Hypothèses!$V$15,Hypothèses!$W$15,IF(DL147&lt;=Hypothèses!$V$16,Hypothèses!$W$16,IF(DL147&lt;=Hypothèses!$V$17,Hypothèses!$W$17,IF(DL147&lt;=Hypothèses!$V$18,Hypothèses!$W$18,""))))))))))))</f>
        <v>#DIV/0!</v>
      </c>
      <c r="EG147" s="87" t="e">
        <f t="shared" ca="1" si="322"/>
        <v>#DIV/0!</v>
      </c>
      <c r="EH147" s="88" t="e">
        <f ca="1">IF(DL147&lt;=Hypothèses!$V$7,Hypothèses!$X$7,IF(DL147&lt;=Hypothèses!$V$8,Hypothèses!$X$8,IF(DL147&lt;=Hypothèses!$V$9,Hypothèses!$X$9,IF(DL147&lt;=Hypothèses!$V$10,Hypothèses!$X$10,IF(DL147&lt;=Hypothèses!$V$11,Hypothèses!$X$11,IF(DL147&lt;=Hypothèses!$V$12,Hypothèses!$X$12,IF(DL147&lt;=Hypothèses!$V$13,Hypothèses!$X$13,IF(DL147&lt;=Hypothèses!$V$14,Hypothèses!$X$14,IF(DL147&lt;=Hypothèses!$V$15,Hypothèses!$X$15,IF(DL147&lt;=Hypothèses!$V$16,Hypothèses!$X$16,IF(DL147&lt;=Hypothèses!$U$17,Hypothèses!$W$17,IF(DL147&lt;=Hypothèses!$U$18,Hypothèses!$W$18,""))))))))))))</f>
        <v>#DIV/0!</v>
      </c>
      <c r="EI147" s="95" t="e">
        <f t="shared" ca="1" si="293"/>
        <v>#DIV/0!</v>
      </c>
      <c r="EJ147" s="101" t="e">
        <f t="shared" si="329"/>
        <v>#N/A</v>
      </c>
      <c r="EK147" s="91" t="e">
        <f t="shared" si="262"/>
        <v>#N/A</v>
      </c>
      <c r="EL147" s="30" t="e">
        <f t="shared" si="312"/>
        <v>#N/A</v>
      </c>
      <c r="EM147" s="30" t="e">
        <f t="shared" si="313"/>
        <v>#N/A</v>
      </c>
      <c r="EN147" s="31" t="e">
        <f>IF(OR(Hypothèses!$B$4=17,Hypothèses!$B$4=18,Hypothèses!$B$4=19,Hypothèses!$B$4=20),
IF($D147="Pressio.",
IF(OR($E147=3,$E147=1,$E147=4),EM147,EL147),
IF($D147="Pénétro.",
IF(OR($E147=3,$E147=1,$E147=4),EM147,EL147))),IF($D147="Pressio.",
IF($E147=3,EM147,EL147),
IF($D147="Pénétro.",
IF($E147=4,EM147,EL147))))</f>
        <v>#N/A</v>
      </c>
      <c r="EO147" s="31" t="e">
        <f>(IF(OR(Hypothèses!$B$4=17,Hypothèses!$B$4=18,Hypothèses!$B$4=19,Hypothèses!$B$4=20),
IF($D147="Pressio.",
IF(OR($E147=3,$E147=1,$E147=4),(PI()*EO$12^2)/4*(EK147*$W147*1000)/($H147*$B$5),(PI()*EO$12^2)/4*(EK147*$W147*1000)/($G147*$B$5)),
IF($D147="Pénétro.",
IF(OR($E147=4,$E147=1,$E147=5),(PI()*EO$12^2)/4*(EK147*$W147*1000)/($H147*$B$5),(PI()*EO$12^2)/4*(EK147*$W147*1000)/($G147*$B$5)))),
IF($D147="Pressio.",
IF($E147=3,(PI()*EO$12^2)/4*(EK147*$W147*1000)/($H147*$B$5),(PI()*EO$12^2)/4*(EK147*$W147*1000)/($G147*$B$5)),
IF($D147="Pénétro.",
IF($E147=4,(PI()*EO$12^2)/4*(EK147*$W147*1000)/($H147*$B$5),(PI()*EO$12^2)/4*(EK147*$W147*1000)/($G147*$B$5))))))/10</f>
        <v>#N/A</v>
      </c>
      <c r="EP147" s="102" t="e">
        <f>(VLOOKUP($B$3,'Coeff EC7'!$T$39:$X$59,2,0)*EN147+VLOOKUP($B$3,'Coeff EC7'!$T$65:$X$85,2,0)*Model0.1C!EO147)/1.1</f>
        <v>#N/A</v>
      </c>
      <c r="EQ147" s="102" t="e">
        <f>(VLOOKUP($B$3,'Coeff EC7'!$T$39:$X$59,3,0)*EN147+VLOOKUP($B$3,'Coeff EC7'!$T$65:$X$85,3,0)*Model0.1C!EO147)/0.9</f>
        <v>#N/A</v>
      </c>
      <c r="ER147" s="102" t="e">
        <f t="shared" si="294"/>
        <v>#N/A</v>
      </c>
      <c r="ES147" s="102" t="e">
        <f t="shared" si="295"/>
        <v>#N/A</v>
      </c>
      <c r="ET147" s="414" t="e">
        <f>IF(ET146=0,0,IF(AND(EP147&gt;charge_ELS_quasi,EQ147&gt;Charge_ELS_freq,ER147&gt;charge_ELU,ES147&gt;charge_ELA,$B147&gt;NDC!$H$22-0.1+MIN(3*$ET$12,1.5)),0,1))</f>
        <v>#N/A</v>
      </c>
      <c r="EU147" s="86" t="b">
        <f t="shared" si="263"/>
        <v>0</v>
      </c>
      <c r="EV147" s="86">
        <f t="shared" si="264"/>
        <v>0.61</v>
      </c>
      <c r="EW147" s="86">
        <f t="shared" si="265"/>
        <v>0.61</v>
      </c>
      <c r="EX147" s="30" t="e">
        <f t="shared" ca="1" si="296"/>
        <v>#DIV/0!</v>
      </c>
      <c r="EY147" s="85" t="e">
        <f ca="1">IF(EE147&lt;=Hypothèses!$V$7,Hypothèses!$W$7,IF(EE147&lt;=Hypothèses!$V$8,Hypothèses!$W$8,IF(EE147&lt;=Hypothèses!$V$9,Hypothèses!$W$9,IF(EE147&lt;=Hypothèses!$V$10,Hypothèses!$W$10,IF(EE147&lt;=Hypothèses!$V$11,Hypothèses!$W$11,IF(EE147&lt;=Hypothèses!$V$12,Hypothèses!$W$12,IF(EE147&lt;=Hypothèses!$V$13,Hypothèses!$W$13,IF(EE147&lt;=Hypothèses!$V$14,Hypothèses!$W$14,IF(EE147&lt;=Hypothèses!$V$15,Hypothèses!$W$15,IF(EE147&lt;=Hypothèses!$V$16,Hypothèses!$W$16,IF(EE147&lt;=Hypothèses!$V$17,Hypothèses!$W$17,IF(EE147&lt;=Hypothèses!$V$18,Hypothèses!$W$18,""))))))))))))</f>
        <v>#DIV/0!</v>
      </c>
      <c r="EZ147" s="87" t="e">
        <f t="shared" ca="1" si="323"/>
        <v>#DIV/0!</v>
      </c>
      <c r="FA147" s="88" t="e">
        <f ca="1">IF(EE147&lt;=Hypothèses!$V$7,Hypothèses!$X$7,IF(EE147&lt;=Hypothèses!$V$8,Hypothèses!$X$8,IF(EE147&lt;=Hypothèses!$V$9,Hypothèses!$X$9,IF(EE147&lt;=Hypothèses!$V$10,Hypothèses!$X$10,IF(EE147&lt;=Hypothèses!$V$11,Hypothèses!$X$11,IF(EE147&lt;=Hypothèses!$V$12,Hypothèses!$X$12,IF(EE147&lt;=Hypothèses!$V$13,Hypothèses!$X$13,IF(EE147&lt;=Hypothèses!$V$14,Hypothèses!$X$14,IF(EE147&lt;=Hypothèses!$V$15,Hypothèses!$X$15,IF(EE147&lt;=Hypothèses!$V$16,Hypothèses!$X$16,IF(EE147&lt;=Hypothèses!$U$17,Hypothèses!$W$17,IF(EE147&lt;=Hypothèses!$U$18,Hypothèses!$W$18,""))))))))))))</f>
        <v>#DIV/0!</v>
      </c>
      <c r="FB147" s="95" t="e">
        <f t="shared" ca="1" si="297"/>
        <v>#DIV/0!</v>
      </c>
      <c r="FC147" s="101" t="e">
        <f t="shared" si="330"/>
        <v>#N/A</v>
      </c>
      <c r="FD147" s="91" t="e">
        <f t="shared" si="266"/>
        <v>#N/A</v>
      </c>
      <c r="FE147" s="30" t="e">
        <f t="shared" si="314"/>
        <v>#N/A</v>
      </c>
      <c r="FF147" s="30" t="e">
        <f t="shared" si="315"/>
        <v>#N/A</v>
      </c>
      <c r="FG147" s="31" t="e">
        <f>IF(OR(Hypothèses!$B$4=17,Hypothèses!$B$4=18,Hypothèses!$B$4=19,Hypothèses!$B$4=20),
IF($D147="Pressio.",
IF(OR($E147=3,$E147=1,$E147=4),FF147,FE147),
IF($D147="Pénétro.",
IF(OR($E147=3,$E147=1,$E147=4),FF147,FE147))),IF($D147="Pressio.",
IF($E147=3,FF147,FE147),
IF($D147="Pénétro.",
IF($E147=4,FF147,FE147))))</f>
        <v>#N/A</v>
      </c>
      <c r="FH147" s="31" t="e">
        <f>(IF(OR(Hypothèses!$B$4=17,Hypothèses!$B$4=18,Hypothèses!$B$4=19,Hypothèses!$B$4=20),
IF($D147="Pressio.",
IF(OR($E147=3,$E147=1,$E147=4),(PI()*FH$12^2)/4*(FD147*$W147*1000)/($H147*$B$5),(PI()*FH$12^2)/4*(FD147*$W147*1000)/($G147*$B$5)),
IF($D147="Pénétro.",
IF(OR($E147=4,$E147=1,$E147=5),(PI()*FH$12^2)/4*(FD147*$W147*1000)/($H147*$B$5),(PI()*FH$12^2)/4*(FD147*$W147*1000)/($G147*$B$5)))),
IF($D147="Pressio.",
IF($E147=3,(PI()*FH$12^2)/4*(FD147*$W147*1000)/($H147*$B$5),(PI()*FH$12^2)/4*(FD147*$W147*1000)/($G147*$B$5)),
IF($D147="Pénétro.",
IF($E147=4,(PI()*FH$12^2)/4*(FD147*$W147*1000)/($H147*$B$5),(PI()*FH$12^2)/4*(FD147*$W147*1000)/($G147*$B$5))))))/10</f>
        <v>#N/A</v>
      </c>
      <c r="FI147" s="102" t="e">
        <f>(VLOOKUP($B$3,'Coeff EC7'!$T$39:$X$59,2,0)*FG147+VLOOKUP($B$3,'Coeff EC7'!$T$65:$X$85,2,0)*Model0.1C!FH147)/1.1</f>
        <v>#N/A</v>
      </c>
      <c r="FJ147" s="102" t="e">
        <f>(VLOOKUP($B$3,'Coeff EC7'!$T$39:$X$59,3,0)*FG147+VLOOKUP($B$3,'Coeff EC7'!$T$65:$X$85,3,0)*Model0.1C!FH147)/0.9</f>
        <v>#N/A</v>
      </c>
      <c r="FK147" s="102" t="e">
        <f t="shared" si="298"/>
        <v>#N/A</v>
      </c>
      <c r="FL147" s="102" t="e">
        <f t="shared" si="299"/>
        <v>#N/A</v>
      </c>
      <c r="FM147" s="414" t="e">
        <f>IF(FM146=0,0,IF(AND(FI147&gt;charge_ELS_quasi,FJ147&gt;Charge_ELS_freq,FK147&gt;charge_ELU,FL147&gt;charge_ELA,$B147&gt;NDC!$H$22-0.1+MIN(3*$FM$12,1.5)),0,1))</f>
        <v>#N/A</v>
      </c>
    </row>
    <row r="148" spans="1:169">
      <c r="A148" s="96">
        <f t="shared" si="267"/>
        <v>86.500000000000767</v>
      </c>
      <c r="B148" s="97">
        <v>13.5</v>
      </c>
      <c r="C148" s="81">
        <f>IF(B148&lt;=Hypothèses!$C$7,Hypothèses!$A$7,IF(B148&lt;=Hypothèses!$C$8,Hypothèses!$A$8,IF(B148&lt;=Hypothèses!$C$9,Hypothèses!$A$9,IF(B148&lt;=Hypothèses!$C$10,Hypothèses!$A$10,IF(B148&lt;=Hypothèses!$C$11,Hypothèses!$A$11,IF(B148&lt;=Hypothèses!$C$12,Hypothèses!$A$12,IF(B148&lt;=Hypothèses!$C$13,Hypothèses!$A$13,IF(B148&lt;=Hypothèses!$C$14,Hypothèses!$A$14,IF(B148&lt;=Hypothèses!$C$15,Hypothèses!$A$15,IF(B148&lt;=Hypothèses!$C$16,Hypothèses!$A$16,IF(B148&lt;=Hypothèses!$C$17,Hypothèses!$A$17,IF(B148&lt;=Hypothèses!$C$18,Hypothèses!$A$18,C147))))))))))))</f>
        <v>11</v>
      </c>
      <c r="D148" s="82" t="str">
        <f>IF(B148&lt;=Hypothèses!$C$7,Hypothèses!$R$7,IF(B148&lt;=Hypothèses!$C$8,Hypothèses!$R$8,IF(B148&lt;=Hypothèses!$C$9,Hypothèses!$R$9,IF(B148&lt;=Hypothèses!$C$10,Hypothèses!$R$10,IF(B148&lt;=Hypothèses!$C$11,Hypothèses!$R$11,IF(B148&lt;=Hypothèses!$C$12,Hypothèses!$R$12,IF(B148&lt;=Hypothèses!$C$13,Hypothèses!$R$13,IF(B148&lt;=Hypothèses!$C$14,Hypothèses!$R$14,IF(B148&lt;=Hypothèses!$C$15,Hypothèses!$R$15,IF(B148&lt;=Hypothèses!$C$16,Hypothèses!$R$16,IF(B148&lt;=Hypothèses!$C$17,Hypothèses!$R$17,IF(B148&lt;=Hypothèses!$C$18,Hypothèses!$R$18,D147))))))))))))</f>
        <v>Pressio.</v>
      </c>
      <c r="E148" s="82" t="e">
        <f>IF(B148&lt;=Hypothèses!$C$7,Hypothèses!$G$7,IF(B148&lt;=Hypothèses!$C$8,Hypothèses!$G$8,IF(B148&lt;=Hypothèses!$C$9,Hypothèses!$G$9,IF(B148&lt;=Hypothèses!$C$10,Hypothèses!$G$10,IF(B148&lt;=Hypothèses!$C$11,Hypothèses!$G$11,IF(B148&lt;=Hypothèses!$C$12,Hypothèses!$G$12,IF(B148&lt;=Hypothèses!$C$13,Hypothèses!$G$13,IF(B148&lt;=Hypothèses!$C$14,Hypothèses!$G$14,IF(B148&lt;=Hypothèses!$C$15,Hypothèses!$G$15,IF(B148&lt;=Hypothèses!$C$16,Hypothèses!$G$16,IF(B148&lt;=Hypothèses!$C$17,Hypothèses!$G$17,IF(B148&lt;=Hypothèses!$C$18,Hypothèses!$G$18,E147))))))))))))</f>
        <v>#N/A</v>
      </c>
      <c r="F148" s="82" t="str">
        <f>IF(B148&lt;=Hypothèses!$C$7,Hypothèses!$F$7,IF(B148&lt;=Hypothèses!$C$8,Hypothèses!$F$8,IF(B148&lt;=Hypothèses!$C$9,Hypothèses!$F$9,IF(B148&lt;=Hypothèses!$C$10,Hypothèses!$F$10,IF(B148&lt;=Hypothèses!$C$11,Hypothèses!$F$11,IF(B148&lt;=Hypothèses!$C$12,Hypothèses!$F$12,IF(B148&lt;=Hypothèses!$C$13,Hypothèses!$F$13,IF(B148&lt;=Hypothèses!$C$14,Hypothèses!$F$14,IF(B148&lt;=Hypothèses!$C$15,Hypothèses!$F$15,IF(B148&lt;=Hypothèses!$C$16,Hypothèses!$F$16,IF(B148&lt;=Hypothèses!$C$17,Hypothèses!$F$17,IF(B148&lt;=Hypothèses!$C$18,Hypothèses!$F$18,F147))))))))))))</f>
        <v/>
      </c>
      <c r="G148" s="91">
        <f t="array" ref="G148">INDEX('Coeff EC7'!$U$7:$X$27,
MATCH(Model0.1C!$B$3,'Coeff EC7'!$T$7:$T$27,0),
MATCH(Model0.1C!$D148&amp;Model0.1C!$B$4,
'Coeff EC7'!$U$6:$X$6&amp;
'Coeff EC7'!$U$5:$X$5,0))</f>
        <v>1.1499999999999999</v>
      </c>
      <c r="H148" s="91">
        <f t="array" ref="H148">INDEX('Coeff EC7'!$Y$7:$AB$27,
MATCH(Model0.1C!$B$3,'Coeff EC7'!$T$7:$T$27,0),
MATCH(Model0.1C!$D148&amp;Model0.1C!$B$4,
'Coeff EC7'!$Y$6:$AB$6&amp;
'Coeff EC7'!$Y$5:$AB$5,0))</f>
        <v>1.4</v>
      </c>
      <c r="I148" s="83" t="e">
        <f>IF(B148&lt;=Hypothèses!$C$7,Hypothèses!$P$7,IF(B148&lt;=Hypothèses!$C$8,Hypothèses!$P$8,IF(B148&lt;=Hypothèses!$C$9,Hypothèses!$P$9,IF(B148&lt;=Hypothèses!$C$10,Hypothèses!$P$10,IF(B148&lt;=Hypothèses!$C$11,Hypothèses!$P$11,IF(B148&lt;=Hypothèses!$C$12,Hypothèses!$P$12,IF(B148&lt;=Hypothèses!$C$13,Hypothèses!$P$13,IF(B148&lt;=Hypothèses!$C$14,Hypothèses!$P$14,IF(B148&lt;=Hypothèses!$C$15,Hypothèses!$P$15,IF(B148&lt;=Hypothèses!$C$16,Hypothèses!$P$16,IF(B148&lt;=Hypothèses!$C$17,Hypothèses!$P$17,IF(B148&lt;=Hypothèses!$C$18,Hypothèses!$P$18,I147))))))))))))</f>
        <v>#N/A</v>
      </c>
      <c r="J148" s="91" t="e">
        <f t="array" ref="J148">INDEX('Coeff EC7'!$D$33:$Q$33,1,MATCH(D148&amp;E148,'Coeff EC7'!$D$31:$Q$31&amp;'Coeff EC7'!$D$32:$Q$32,0))</f>
        <v>#N/A</v>
      </c>
      <c r="K148" s="91" t="e">
        <f t="array" ref="K148">INDEX('Coeff EC7'!$D$34:$Q$34,1,MATCH(D148&amp;E148,'Coeff EC7'!$D$31:$Q$31&amp;'Coeff EC7'!$D$32:$Q$32,0))</f>
        <v>#N/A</v>
      </c>
      <c r="L148" s="91" t="e">
        <f t="array" ref="L148">INDEX('Coeff EC7'!$D$35:$Q$35,1,MATCH(D148&amp;E148,'Coeff EC7'!$D$31:$Q$31&amp;'Coeff EC7'!$D$32:$Q$32,0))</f>
        <v>#N/A</v>
      </c>
      <c r="M148" s="98" t="e">
        <f t="shared" si="231"/>
        <v>#N/A</v>
      </c>
      <c r="N148" s="99" t="e">
        <f t="array" ref="N148">INDEX('Coeff EC7'!$D$7:$Q$27,MATCH($B$3,'Coeff EC7'!$C$7:$C$27,0),MATCH(D148&amp;E148,'Coeff EC7'!$D$5:$Q$5&amp;'Coeff EC7'!$D$6:$Q$6,0))</f>
        <v>#N/A</v>
      </c>
      <c r="O148" s="99" t="e">
        <f t="array" ref="O148">INDEX('Coeff EC7'!$D$41:$Q$61,MATCH($B$3,'Coeff EC7'!$C$41:$C$61,0),MATCH(D148&amp;E148,'Coeff EC7'!$D$39:$Q$39&amp;'Coeff EC7'!$D$40:$Q$40,0))</f>
        <v>#N/A</v>
      </c>
      <c r="P148" s="30" t="e">
        <f t="shared" si="268"/>
        <v>#N/A</v>
      </c>
      <c r="Q148" s="100" t="e">
        <f t="shared" si="233"/>
        <v>#N/A</v>
      </c>
      <c r="R148" s="86" t="b">
        <f t="shared" si="234"/>
        <v>0</v>
      </c>
      <c r="S148" s="86">
        <f t="shared" si="232"/>
        <v>0.5</v>
      </c>
      <c r="T148" s="86">
        <f t="shared" si="235"/>
        <v>0.5</v>
      </c>
      <c r="U148" s="30" t="e">
        <f t="shared" ca="1" si="269"/>
        <v>#DIV/0!</v>
      </c>
      <c r="V148" s="85" t="str">
        <f>IF(B148&lt;=Hypothèses!$V$7,Hypothèses!$W$7,IF(B148&lt;=Hypothèses!$V$8,Hypothèses!$W$8,IF(B148&lt;=Hypothèses!$V$9,Hypothèses!$W$9,IF(B148&lt;=Hypothèses!$V$10,Hypothèses!$W$10,IF(B148&lt;=Hypothèses!$V$11,Hypothèses!$W$11,IF(B148&lt;=Hypothèses!$V$12,Hypothèses!$W$12,IF(B148&lt;=Hypothèses!$V$13,Hypothèses!$W$13,IF(B148&lt;=Hypothèses!$V$14,Hypothèses!$W$14,IF(B148&lt;=Hypothèses!$V$15,Hypothèses!$W$15,IF(B148&lt;=Hypothèses!$V$16,Hypothèses!$W$16,IF(B148&lt;=Hypothèses!$V$17,Hypothèses!$W$17,IF(B148&lt;=Hypothèses!$V$18,Hypothèses!$W$18,""))))))))))))</f>
        <v/>
      </c>
      <c r="W148" s="87" t="e">
        <f t="shared" ca="1" si="316"/>
        <v>#DIV/0!</v>
      </c>
      <c r="X148" s="88" t="str">
        <f>IF(B148&lt;=Hypothèses!$V$7,Hypothèses!$X$7,IF(B148&lt;=Hypothèses!$V$8,Hypothèses!$X$8,IF(B148&lt;=Hypothèses!$V$9,Hypothèses!$X$9,IF(B148&lt;=Hypothèses!$V$10,Hypothèses!$X$10,IF(B148&lt;=Hypothèses!$V$11,Hypothèses!$X$11,IF(B148&lt;=Hypothèses!$V$12,Hypothèses!$X$12,IF(B148&lt;=Hypothèses!$V$13,Hypothèses!$X$13,IF(B148&lt;=Hypothèses!$V$14,Hypothèses!$X$14,IF(B148&lt;=Hypothèses!$V$15,Hypothèses!$X$15,IF(B148&lt;=Hypothèses!$V$16,Hypothèses!$X$16,IF(B148&lt;=Hypothèses!$U$17,Hypothèses!$W$17,IF(B148&lt;=Hypothèses!$U$18,Hypothèses!$W$18,""))))))))))))</f>
        <v/>
      </c>
      <c r="Y148" s="95" t="e">
        <f t="shared" ca="1" si="236"/>
        <v>#DIV/0!</v>
      </c>
      <c r="Z148" s="101" t="e">
        <f t="shared" si="237"/>
        <v>#N/A</v>
      </c>
      <c r="AA148" s="91" t="e">
        <f t="shared" si="238"/>
        <v>#N/A</v>
      </c>
      <c r="AB148" s="30" t="e">
        <f t="shared" si="300"/>
        <v>#N/A</v>
      </c>
      <c r="AC148" s="30" t="e">
        <f t="shared" si="301"/>
        <v>#N/A</v>
      </c>
      <c r="AD148" s="31" t="e">
        <f>IF(OR(Hypothèses!$B$4=17,Hypothèses!$B$4=18,Hypothèses!$B$4=19,Hypothèses!$B$4=20),
IF($D148="Pressio.",
IF(OR($E148=3,$E148=1,$E148=4),AC148,AB148),
IF($D148="Pénétro.",
IF(OR($E148=3,$E148=1,$E148=4),AC148,AB148))),IF($D148="Pressio.",
IF($E148=3,AC148,AB148),
IF($D148="Pénétro.",
IF($E148=4,AC148,AB148))))</f>
        <v>#N/A</v>
      </c>
      <c r="AE148" s="31" t="e">
        <f>(IF(OR(Hypothèses!$B$4=17,Hypothèses!$B$4=18,Hypothèses!$B$4=19,Hypothèses!$B$4=20),
IF($D148="Pressio.",
IF(OR($E148=3,$E148=1,$E148=4),(PI()*AE$12^2)/4*(AA148*$W148*1000)/($H148*$B$5),(PI()*AE$12^2)/4*(AA148*$W148*1000)/($G148*$B$5)),
IF($D148="Pénétro.",
IF(OR($E148=4,$E148=1,$E148=5),(PI()*AE$12^2)/4*(AA148*$W148*1000)/($H148*$B$5),(PI()*AE$12^2)/4*(AA148*$W148*1000)/($G148*$B$5)))),
IF($D148="Pressio.",
IF($E148=3,(PI()*AE$12^2)/4*(AA148*$W148*1000)/($H148*$B$5),(PI()*AE$12^2)/4*(AA148*$W148*1000)/($G148*$B$5)),
IF($D148="Pénétro.",
IF($E148=4,(PI()*AE$12^2)/4*(AA148*$W148*1000)/($H148*$B$5),(PI()*AE$12^2)/4*(AA148*$W148*1000)/($G148*$B$5))))))/10</f>
        <v>#N/A</v>
      </c>
      <c r="AF148" s="102" t="e">
        <f>(VLOOKUP($B$3,'Coeff EC7'!$T$39:$X$59,2,0)*AD148+VLOOKUP($B$3,'Coeff EC7'!$T$65:$X$85,2,0)*Model0.1C!AE148)/1.1</f>
        <v>#N/A</v>
      </c>
      <c r="AG148" s="102" t="e">
        <f>(VLOOKUP($B$3,'Coeff EC7'!$T$39:$X$59,3,0)*AD148+VLOOKUP($B$3,'Coeff EC7'!$T$65:$X$85,3,0)*Model0.1C!AE148)/0.9</f>
        <v>#N/A</v>
      </c>
      <c r="AH148" s="102" t="e">
        <f t="shared" si="239"/>
        <v>#N/A</v>
      </c>
      <c r="AI148" s="102" t="e">
        <f t="shared" si="240"/>
        <v>#N/A</v>
      </c>
      <c r="AJ148" s="414" t="e">
        <f>IF(AJ147=0,0,IF(AND(AF148&gt;charge_ELS_quasi,AG148&gt;Charge_ELS_freq,AH148&gt;charge_ELU,AI148&gt;charge_ELA,$B148&gt;NDC!$H$22-0.1+MIN(3*$AJ$12,1.5)),0,1))</f>
        <v>#N/A</v>
      </c>
      <c r="AK148" s="86" t="b">
        <f t="shared" si="241"/>
        <v>0</v>
      </c>
      <c r="AL148" s="86">
        <f t="shared" si="270"/>
        <v>0.5</v>
      </c>
      <c r="AM148" s="86">
        <f t="shared" si="242"/>
        <v>0.5</v>
      </c>
      <c r="AN148" s="30" t="e">
        <f t="shared" ca="1" si="271"/>
        <v>#DIV/0!</v>
      </c>
      <c r="AO148" s="85" t="e">
        <f ca="1">IF(U148&lt;=Hypothèses!$V$7,Hypothèses!$W$7,IF(U148&lt;=Hypothèses!$V$8,Hypothèses!$W$8,IF(U148&lt;=Hypothèses!$V$9,Hypothèses!$W$9,IF(U148&lt;=Hypothèses!$V$10,Hypothèses!$W$10,IF(U148&lt;=Hypothèses!$V$11,Hypothèses!$W$11,IF(U148&lt;=Hypothèses!$V$12,Hypothèses!$W$12,IF(U148&lt;=Hypothèses!$V$13,Hypothèses!$W$13,IF(U148&lt;=Hypothèses!$V$14,Hypothèses!$W$14,IF(U148&lt;=Hypothèses!$V$15,Hypothèses!$W$15,IF(U148&lt;=Hypothèses!$V$16,Hypothèses!$W$16,IF(U148&lt;=Hypothèses!$V$17,Hypothèses!$W$17,IF(U148&lt;=Hypothèses!$V$18,Hypothèses!$W$18,""))))))))))))</f>
        <v>#DIV/0!</v>
      </c>
      <c r="AP148" s="87" t="e">
        <f t="shared" ca="1" si="317"/>
        <v>#DIV/0!</v>
      </c>
      <c r="AQ148" s="88" t="e">
        <f ca="1">IF(U148&lt;=Hypothèses!$V$7,Hypothèses!$X$7,IF(U148&lt;=Hypothèses!$V$8,Hypothèses!$X$8,IF(U148&lt;=Hypothèses!$V$9,Hypothèses!$X$9,IF(U148&lt;=Hypothèses!$V$10,Hypothèses!$X$10,IF(U148&lt;=Hypothèses!$V$11,Hypothèses!$X$11,IF(U148&lt;=Hypothèses!$V$12,Hypothèses!$X$12,IF(U148&lt;=Hypothèses!$V$13,Hypothèses!$X$13,IF(U148&lt;=Hypothèses!$V$14,Hypothèses!$X$14,IF(U148&lt;=Hypothèses!$V$15,Hypothèses!$X$15,IF(U148&lt;=Hypothèses!$V$16,Hypothèses!$X$16,IF(U148&lt;=Hypothèses!$U$17,Hypothèses!$W$17,IF(U148&lt;=Hypothèses!$U$18,Hypothèses!$W$18,""))))))))))))</f>
        <v>#DIV/0!</v>
      </c>
      <c r="AR148" s="95" t="e">
        <f t="shared" ca="1" si="272"/>
        <v>#DIV/0!</v>
      </c>
      <c r="AS148" s="101" t="e">
        <f t="shared" si="324"/>
        <v>#N/A</v>
      </c>
      <c r="AT148" s="91" t="e">
        <f t="shared" si="243"/>
        <v>#N/A</v>
      </c>
      <c r="AU148" s="30" t="e">
        <f t="shared" si="302"/>
        <v>#N/A</v>
      </c>
      <c r="AV148" s="30" t="e">
        <f t="shared" si="303"/>
        <v>#N/A</v>
      </c>
      <c r="AW148" s="31" t="e">
        <f>IF(OR(Hypothèses!$B$4=17,Hypothèses!$B$4=18,Hypothèses!$B$4=19,Hypothèses!$B$4=20),
IF($D148="Pressio.",
IF(OR($E148=3,$E148=1,$E148=4),AV148,AU148),
IF($D148="Pénétro.",
IF(OR($E148=3,$E148=1,$E148=4),AV148,AU148))),IF($D148="Pressio.",
IF($E148=3,AV148,AU148),
IF($D148="Pénétro.",
IF($E148=4,AV148,AU148))))</f>
        <v>#N/A</v>
      </c>
      <c r="AX148" s="31" t="e">
        <f>(IF(OR(Hypothèses!$B$4=17,Hypothèses!$B$4=18,Hypothèses!$B$4=19,Hypothèses!$B$4=20),
IF($D148="Pressio.",
IF(OR($E148=3,$E148=1,$E148=4),(PI()*AX$12^2)/4*(AT148*$W148*1000)/($H148*$B$5),(PI()*AX$12^2)/4*(AT148*$W148*1000)/($G148*$B$5)),
IF($D148="Pénétro.",
IF(OR($E148=4,$E148=1,$E148=5),(PI()*AX$12^2)/4*(AT148*$W148*1000)/($H148*$B$5),(PI()*AX$12^2)/4*(AT148*$W148*1000)/($G148*$B$5)))),
IF($D148="Pressio.",
IF($E148=3,(PI()*AX$12^2)/4*(AT148*$W148*1000)/($H148*$B$5),(PI()*AX$12^2)/4*(AT148*$W148*1000)/($G148*$B$5)),
IF($D148="Pénétro.",
IF($E148=4,(PI()*AX$12^2)/4*(AT148*$W148*1000)/($H148*$B$5),(PI()*AX$12^2)/4*(AT148*$W148*1000)/($G148*$B$5))))))/10</f>
        <v>#N/A</v>
      </c>
      <c r="AY148" s="102" t="e">
        <f>(VLOOKUP($B$3,'Coeff EC7'!$T$39:$X$59,2,0)*AW148+VLOOKUP($B$3,'Coeff EC7'!$T$65:$X$85,2,0)*Model0.1C!AX148)/1.1</f>
        <v>#N/A</v>
      </c>
      <c r="AZ148" s="102" t="e">
        <f>(VLOOKUP($B$3,'Coeff EC7'!$T$39:$X$59,3,0)*AW148+VLOOKUP($B$3,'Coeff EC7'!$T$65:$X$85,3,0)*Model0.1C!AX148)/0.9</f>
        <v>#N/A</v>
      </c>
      <c r="BA148" s="102" t="e">
        <f t="shared" si="273"/>
        <v>#N/A</v>
      </c>
      <c r="BB148" s="102" t="e">
        <f t="shared" si="274"/>
        <v>#N/A</v>
      </c>
      <c r="BC148" s="414" t="e">
        <f>IF(BC147=0,0,IF(AND(AY148&gt;charge_ELS_quasi,AZ148&gt;Charge_ELS_freq,BA148&gt;charge_ELU,BB148&gt;charge_ELA,$B148&gt;NDC!$H$22-0.1+MIN(3*$BC$12,1.5)),0,1))</f>
        <v>#N/A</v>
      </c>
      <c r="BD148" s="86" t="b">
        <f t="shared" si="244"/>
        <v>0</v>
      </c>
      <c r="BE148" s="86">
        <f t="shared" si="275"/>
        <v>0.5</v>
      </c>
      <c r="BF148" s="86">
        <f t="shared" si="245"/>
        <v>0.5</v>
      </c>
      <c r="BG148" s="30" t="e">
        <f t="shared" ca="1" si="276"/>
        <v>#DIV/0!</v>
      </c>
      <c r="BH148" s="85" t="e">
        <f ca="1">IF(AN148&lt;=Hypothèses!$V$7,Hypothèses!$W$7,IF(AN148&lt;=Hypothèses!$V$8,Hypothèses!$W$8,IF(AN148&lt;=Hypothèses!$V$9,Hypothèses!$W$9,IF(AN148&lt;=Hypothèses!$V$10,Hypothèses!$W$10,IF(AN148&lt;=Hypothèses!$V$11,Hypothèses!$W$11,IF(AN148&lt;=Hypothèses!$V$12,Hypothèses!$W$12,IF(AN148&lt;=Hypothèses!$V$13,Hypothèses!$W$13,IF(AN148&lt;=Hypothèses!$V$14,Hypothèses!$W$14,IF(AN148&lt;=Hypothèses!$V$15,Hypothèses!$W$15,IF(AN148&lt;=Hypothèses!$V$16,Hypothèses!$W$16,IF(AN148&lt;=Hypothèses!$V$17,Hypothèses!$W$17,IF(AN148&lt;=Hypothèses!$V$18,Hypothèses!$W$18,""))))))))))))</f>
        <v>#DIV/0!</v>
      </c>
      <c r="BI148" s="87" t="e">
        <f t="shared" ca="1" si="318"/>
        <v>#DIV/0!</v>
      </c>
      <c r="BJ148" s="88" t="e">
        <f ca="1">IF(AN148&lt;=Hypothèses!$V$7,Hypothèses!$X$7,IF(AN148&lt;=Hypothèses!$V$8,Hypothèses!$X$8,IF(AN148&lt;=Hypothèses!$V$9,Hypothèses!$X$9,IF(AN148&lt;=Hypothèses!$V$10,Hypothèses!$X$10,IF(AN148&lt;=Hypothèses!$V$11,Hypothèses!$X$11,IF(AN148&lt;=Hypothèses!$V$12,Hypothèses!$X$12,IF(AN148&lt;=Hypothèses!$V$13,Hypothèses!$X$13,IF(AN148&lt;=Hypothèses!$V$14,Hypothèses!$X$14,IF(AN148&lt;=Hypothèses!$V$15,Hypothèses!$X$15,IF(AN148&lt;=Hypothèses!$V$16,Hypothèses!$X$16,IF(AN148&lt;=Hypothèses!$U$17,Hypothèses!$W$17,IF(AN148&lt;=Hypothèses!$U$18,Hypothèses!$W$18,""))))))))))))</f>
        <v>#DIV/0!</v>
      </c>
      <c r="BK148" s="95" t="e">
        <f t="shared" ca="1" si="277"/>
        <v>#DIV/0!</v>
      </c>
      <c r="BL148" s="101" t="e">
        <f t="shared" si="325"/>
        <v>#N/A</v>
      </c>
      <c r="BM148" s="91" t="e">
        <f t="shared" si="246"/>
        <v>#N/A</v>
      </c>
      <c r="BN148" s="30" t="e">
        <f t="shared" si="304"/>
        <v>#N/A</v>
      </c>
      <c r="BO148" s="30" t="e">
        <f t="shared" si="305"/>
        <v>#N/A</v>
      </c>
      <c r="BP148" s="31" t="e">
        <f>IF(OR(Hypothèses!$B$4=17,Hypothèses!$B$4=18,Hypothèses!$B$4=19,Hypothèses!$B$4=20),
IF($D148="Pressio.",
IF(OR($E148=3,$E148=1,$E148=4),BO148,BN148),
IF($D148="Pénétro.",
IF(OR($E148=3,$E148=1,$E148=4),BO148,BN148))),IF($D148="Pressio.",
IF($E148=3,BO148,BN148),
IF($D148="Pénétro.",
IF($E148=4,BO148,BN148))))</f>
        <v>#N/A</v>
      </c>
      <c r="BQ148" s="31" t="e">
        <f>(IF(OR(Hypothèses!$B$4=17,Hypothèses!$B$4=18,Hypothèses!$B$4=19,Hypothèses!$B$4=20),
IF($D148="Pressio.",
IF(OR($E148=3,$E148=1,$E148=4),(PI()*BQ$12^2)/4*(BM148*$W148*1000)/($H148*$B$5),(PI()*BQ$12^2)/4*(BM148*$W148*1000)/($G148*$B$5)),
IF($D148="Pénétro.",
IF(OR($E148=4,$E148=1,$E148=5),(PI()*BQ$12^2)/4*(BM148*$W148*1000)/($H148*$B$5),(PI()*BQ$12^2)/4*(BM148*$W148*1000)/($G148*$B$5)))),
IF($D148="Pressio.",
IF($E148=3,(PI()*BQ$12^2)/4*(BM148*$W148*1000)/($H148*$B$5),(PI()*BQ$12^2)/4*(BM148*$W148*1000)/($G148*$B$5)),
IF($D148="Pénétro.",
IF($E148=4,(PI()*BQ$12^2)/4*(BM148*$W148*1000)/($H148*$B$5),(PI()*BQ$12^2)/4*(BM148*$W148*1000)/($G148*$B$5))))))/10</f>
        <v>#N/A</v>
      </c>
      <c r="BR148" s="102" t="e">
        <f>(VLOOKUP($B$3,'Coeff EC7'!$T$39:$X$59,2,0)*BP148+VLOOKUP($B$3,'Coeff EC7'!$T$65:$X$85,2,0)*Model0.1C!BQ148)/1.1</f>
        <v>#N/A</v>
      </c>
      <c r="BS148" s="102" t="e">
        <f>(VLOOKUP($B$3,'Coeff EC7'!$T$39:$X$59,3,0)*BP148+VLOOKUP($B$3,'Coeff EC7'!$T$65:$X$85,3,0)*Model0.1C!BQ148)/0.9</f>
        <v>#N/A</v>
      </c>
      <c r="BT148" s="102" t="e">
        <f t="shared" si="278"/>
        <v>#N/A</v>
      </c>
      <c r="BU148" s="102" t="e">
        <f t="shared" si="279"/>
        <v>#N/A</v>
      </c>
      <c r="BV148" s="414" t="e">
        <f>IF(BV147=0,0,IF(AND(BR148&gt;charge_ELS_quasi,BS148&gt;Charge_ELS_freq,BT148&gt;charge_ELU,BU148&gt;charge_ELA,$B148&gt;NDC!$H$22-0.1+MIN(3*$BV$12,1.5)),0,1))</f>
        <v>#N/A</v>
      </c>
      <c r="BW148" s="86" t="b">
        <f t="shared" si="247"/>
        <v>0</v>
      </c>
      <c r="BX148" s="86">
        <f t="shared" si="248"/>
        <v>0.5</v>
      </c>
      <c r="BY148" s="86">
        <f t="shared" si="249"/>
        <v>0.5</v>
      </c>
      <c r="BZ148" s="30" t="e">
        <f t="shared" ca="1" si="280"/>
        <v>#DIV/0!</v>
      </c>
      <c r="CA148" s="85" t="e">
        <f ca="1">IF(BG148&lt;=Hypothèses!$V$7,Hypothèses!$W$7,IF(BG148&lt;=Hypothèses!$V$8,Hypothèses!$W$8,IF(BG148&lt;=Hypothèses!$V$9,Hypothèses!$W$9,IF(BG148&lt;=Hypothèses!$V$10,Hypothèses!$W$10,IF(BG148&lt;=Hypothèses!$V$11,Hypothèses!$W$11,IF(BG148&lt;=Hypothèses!$V$12,Hypothèses!$W$12,IF(BG148&lt;=Hypothèses!$V$13,Hypothèses!$W$13,IF(BG148&lt;=Hypothèses!$V$14,Hypothèses!$W$14,IF(BG148&lt;=Hypothèses!$V$15,Hypothèses!$W$15,IF(BG148&lt;=Hypothèses!$V$16,Hypothèses!$W$16,IF(BG148&lt;=Hypothèses!$V$17,Hypothèses!$W$17,IF(BG148&lt;=Hypothèses!$V$18,Hypothèses!$W$18,""))))))))))))</f>
        <v>#DIV/0!</v>
      </c>
      <c r="CB148" s="87" t="e">
        <f t="shared" ca="1" si="319"/>
        <v>#DIV/0!</v>
      </c>
      <c r="CC148" s="88" t="e">
        <f ca="1">IF(BG148&lt;=Hypothèses!$V$7,Hypothèses!$X$7,IF(BG148&lt;=Hypothèses!$V$8,Hypothèses!$X$8,IF(BG148&lt;=Hypothèses!$V$9,Hypothèses!$X$9,IF(BG148&lt;=Hypothèses!$V$10,Hypothèses!$X$10,IF(BG148&lt;=Hypothèses!$V$11,Hypothèses!$X$11,IF(BG148&lt;=Hypothèses!$V$12,Hypothèses!$X$12,IF(BG148&lt;=Hypothèses!$V$13,Hypothèses!$X$13,IF(BG148&lt;=Hypothèses!$V$14,Hypothèses!$X$14,IF(BG148&lt;=Hypothèses!$V$15,Hypothèses!$X$15,IF(BG148&lt;=Hypothèses!$V$16,Hypothèses!$X$16,IF(BG148&lt;=Hypothèses!$U$17,Hypothèses!$W$17,IF(BG148&lt;=Hypothèses!$U$18,Hypothèses!$W$18,""))))))))))))</f>
        <v>#DIV/0!</v>
      </c>
      <c r="CD148" s="95" t="e">
        <f t="shared" ca="1" si="281"/>
        <v>#DIV/0!</v>
      </c>
      <c r="CE148" s="101" t="e">
        <f t="shared" si="326"/>
        <v>#N/A</v>
      </c>
      <c r="CF148" s="91" t="e">
        <f t="shared" si="250"/>
        <v>#N/A</v>
      </c>
      <c r="CG148" s="30" t="e">
        <f t="shared" si="306"/>
        <v>#N/A</v>
      </c>
      <c r="CH148" s="30" t="e">
        <f t="shared" si="307"/>
        <v>#N/A</v>
      </c>
      <c r="CI148" s="31" t="e">
        <f>IF(OR(Hypothèses!$B$4=17,Hypothèses!$B$4=18,Hypothèses!$B$4=19,Hypothèses!$B$4=20),
IF($D148="Pressio.",
IF(OR($E148=3,$E148=1,$E148=4),CH148,CG148),
IF($D148="Pénétro.",
IF(OR($E148=3,$E148=1,$E148=4),CH148,CG148))),IF($D148="Pressio.",
IF($E148=3,CH148,CG148),
IF($D148="Pénétro.",
IF($E148=4,CH148,CG148))))</f>
        <v>#N/A</v>
      </c>
      <c r="CJ148" s="31" t="e">
        <f>(IF(OR(Hypothèses!$B$4=17,Hypothèses!$B$4=18,Hypothèses!$B$4=19,Hypothèses!$B$4=20),
IF($D148="Pressio.",
IF(OR($E148=3,$E148=1,$E148=4),(PI()*CJ$12^2)/4*(CF148*$W148*1000)/($H148*$B$5),(PI()*CJ$12^2)/4*(CF148*$W148*1000)/($G148*$B$5)),
IF($D148="Pénétro.",
IF(OR($E148=4,$E148=1,$E148=5),(PI()*CJ$12^2)/4*(CF148*$W148*1000)/($H148*$B$5),(PI()*CJ$12^2)/4*(CF148*$W148*1000)/($G148*$B$5)))),
IF($D148="Pressio.",
IF($E148=3,(PI()*CJ$12^2)/4*(CF148*$W148*1000)/($H148*$B$5),(PI()*CJ$12^2)/4*(CF148*$W148*1000)/($G148*$B$5)),
IF($D148="Pénétro.",
IF($E148=4,(PI()*CJ$12^2)/4*(CF148*$W148*1000)/($H148*$B$5),(PI()*CJ$12^2)/4*(CF148*$W148*1000)/($G148*$B$5))))))/10</f>
        <v>#N/A</v>
      </c>
      <c r="CK148" s="102" t="e">
        <f>(VLOOKUP($B$3,'Coeff EC7'!$T$39:$X$59,2,0)*CI148+VLOOKUP($B$3,'Coeff EC7'!$T$65:$X$85,2,0)*Model0.1C!CJ148)/1.1</f>
        <v>#N/A</v>
      </c>
      <c r="CL148" s="102" t="e">
        <f>(VLOOKUP($B$3,'Coeff EC7'!$T$39:$X$59,3,0)*CI148+VLOOKUP($B$3,'Coeff EC7'!$T$65:$X$85,3,0)*Model0.1C!CJ148)/0.9</f>
        <v>#N/A</v>
      </c>
      <c r="CM148" s="102" t="e">
        <f t="shared" si="282"/>
        <v>#N/A</v>
      </c>
      <c r="CN148" s="102" t="e">
        <f t="shared" si="283"/>
        <v>#N/A</v>
      </c>
      <c r="CO148" s="414" t="e">
        <f>IF(CO147=0,0,IF(AND(CK148&gt;charge_ELS_quasi,CL148&gt;Charge_ELS_freq,CM148&gt;charge_ELU,CN148&gt;charge_ELA,$B148&gt;NDC!$H$22-0.1+MIN(3*$CO$12,1.5)),0,1))</f>
        <v>#N/A</v>
      </c>
      <c r="CP148" s="86" t="b">
        <f t="shared" si="251"/>
        <v>0</v>
      </c>
      <c r="CQ148" s="86">
        <f t="shared" si="252"/>
        <v>0.5</v>
      </c>
      <c r="CR148" s="86">
        <f t="shared" si="253"/>
        <v>0.5</v>
      </c>
      <c r="CS148" s="30" t="e">
        <f t="shared" ca="1" si="284"/>
        <v>#DIV/0!</v>
      </c>
      <c r="CT148" s="85" t="e">
        <f ca="1">IF(BZ148&lt;=Hypothèses!$V$7,Hypothèses!$W$7,IF(BZ148&lt;=Hypothèses!$V$8,Hypothèses!$W$8,IF(BZ148&lt;=Hypothèses!$V$9,Hypothèses!$W$9,IF(BZ148&lt;=Hypothèses!$V$10,Hypothèses!$W$10,IF(BZ148&lt;=Hypothèses!$V$11,Hypothèses!$W$11,IF(BZ148&lt;=Hypothèses!$V$12,Hypothèses!$W$12,IF(BZ148&lt;=Hypothèses!$V$13,Hypothèses!$W$13,IF(BZ148&lt;=Hypothèses!$V$14,Hypothèses!$W$14,IF(BZ148&lt;=Hypothèses!$V$15,Hypothèses!$W$15,IF(BZ148&lt;=Hypothèses!$V$16,Hypothèses!$W$16,IF(BZ148&lt;=Hypothèses!$V$17,Hypothèses!$W$17,IF(BZ148&lt;=Hypothèses!$V$18,Hypothèses!$W$18,""))))))))))))</f>
        <v>#DIV/0!</v>
      </c>
      <c r="CU148" s="87" t="e">
        <f t="shared" ca="1" si="320"/>
        <v>#DIV/0!</v>
      </c>
      <c r="CV148" s="88" t="e">
        <f ca="1">IF(BZ148&lt;=Hypothèses!$V$7,Hypothèses!$X$7,IF(BZ148&lt;=Hypothèses!$V$8,Hypothèses!$X$8,IF(BZ148&lt;=Hypothèses!$V$9,Hypothèses!$X$9,IF(BZ148&lt;=Hypothèses!$V$10,Hypothèses!$X$10,IF(BZ148&lt;=Hypothèses!$V$11,Hypothèses!$X$11,IF(BZ148&lt;=Hypothèses!$V$12,Hypothèses!$X$12,IF(BZ148&lt;=Hypothèses!$V$13,Hypothèses!$X$13,IF(BZ148&lt;=Hypothèses!$V$14,Hypothèses!$X$14,IF(BZ148&lt;=Hypothèses!$V$15,Hypothèses!$X$15,IF(BZ148&lt;=Hypothèses!$V$16,Hypothèses!$X$16,IF(BZ148&lt;=Hypothèses!$U$17,Hypothèses!$W$17,IF(BZ148&lt;=Hypothèses!$U$18,Hypothèses!$W$18,""))))))))))))</f>
        <v>#DIV/0!</v>
      </c>
      <c r="CW148" s="95" t="e">
        <f t="shared" ca="1" si="285"/>
        <v>#DIV/0!</v>
      </c>
      <c r="CX148" s="101" t="e">
        <f t="shared" si="327"/>
        <v>#N/A</v>
      </c>
      <c r="CY148" s="91" t="e">
        <f t="shared" si="254"/>
        <v>#N/A</v>
      </c>
      <c r="CZ148" s="30" t="e">
        <f t="shared" si="308"/>
        <v>#N/A</v>
      </c>
      <c r="DA148" s="30" t="e">
        <f t="shared" si="309"/>
        <v>#N/A</v>
      </c>
      <c r="DB148" s="31" t="e">
        <f>IF(OR(Hypothèses!$B$4=17,Hypothèses!$B$4=18,Hypothèses!$B$4=19,Hypothèses!$B$4=20),
IF($D148="Pressio.",
IF(OR($E148=3,$E148=1,$E148=4),DA148,CZ148),
IF($D148="Pénétro.",
IF(OR($E148=3,$E148=1,$E148=4),DA148,CZ148))),IF($D148="Pressio.",
IF($E148=3,DA148,CZ148),
IF($D148="Pénétro.",
IF($E148=4,DA148,CZ148))))</f>
        <v>#N/A</v>
      </c>
      <c r="DC148" s="31" t="e">
        <f>(IF(OR(Hypothèses!$B$4=17,Hypothèses!$B$4=18,Hypothèses!$B$4=19,Hypothèses!$B$4=20),
IF($D148="Pressio.",
IF(OR($E148=3,$E148=1,$E148=4),(PI()*DC$12^2)/4*(CY148*$W148*1000)/($H148*$B$5),(PI()*DC$12^2)/4*(CY148*$W148*1000)/($G148*$B$5)),
IF($D148="Pénétro.",
IF(OR($E148=4,$E148=1,$E148=5),(PI()*DC$12^2)/4*(CY148*$W148*1000)/($H148*$B$5),(PI()*DC$12^2)/4*(CY148*$W148*1000)/($G148*$B$5)))),
IF($D148="Pressio.",
IF($E148=3,(PI()*DC$12^2)/4*(CY148*$W148*1000)/($H148*$B$5),(PI()*DC$12^2)/4*(CY148*$W148*1000)/($G148*$B$5)),
IF($D148="Pénétro.",
IF($E148=4,(PI()*DC$12^2)/4*(CY148*$W148*1000)/($H148*$B$5),(PI()*DC$12^2)/4*(CY148*$W148*1000)/($G148*$B$5))))))/10</f>
        <v>#N/A</v>
      </c>
      <c r="DD148" s="102" t="e">
        <f>(VLOOKUP($B$3,'Coeff EC7'!$T$39:$X$59,2,0)*DB148+VLOOKUP($B$3,'Coeff EC7'!$T$65:$X$85,2,0)*Model0.1C!DC148)/1.1</f>
        <v>#N/A</v>
      </c>
      <c r="DE148" s="102" t="e">
        <f>(VLOOKUP($B$3,'Coeff EC7'!$T$39:$X$59,3,0)*DB148+VLOOKUP($B$3,'Coeff EC7'!$T$65:$X$85,3,0)*Model0.1C!DC148)/0.9</f>
        <v>#N/A</v>
      </c>
      <c r="DF148" s="102" t="e">
        <f t="shared" si="286"/>
        <v>#N/A</v>
      </c>
      <c r="DG148" s="102" t="e">
        <f t="shared" si="287"/>
        <v>#N/A</v>
      </c>
      <c r="DH148" s="414" t="e">
        <f>IF(DH147=0,0,IF(AND(DD148&gt;charge_ELS_quasi,DE148&gt;Charge_ELS_freq,DF148&gt;charge_ELU,DG148&gt;charge_ELA,$B148&gt;NDC!$H$22-0.1+MIN(3*$DH$12,1.5)),0,1))</f>
        <v>#N/A</v>
      </c>
      <c r="DI148" s="86" t="b">
        <f t="shared" si="255"/>
        <v>0</v>
      </c>
      <c r="DJ148" s="86">
        <f t="shared" si="256"/>
        <v>0.5</v>
      </c>
      <c r="DK148" s="86">
        <f t="shared" si="257"/>
        <v>0.5</v>
      </c>
      <c r="DL148" s="30" t="e">
        <f t="shared" ca="1" si="288"/>
        <v>#DIV/0!</v>
      </c>
      <c r="DM148" s="85" t="e">
        <f ca="1">IF(CS148&lt;=Hypothèses!$V$7,Hypothèses!$W$7,IF(CS148&lt;=Hypothèses!$V$8,Hypothèses!$W$8,IF(CS148&lt;=Hypothèses!$V$9,Hypothèses!$W$9,IF(CS148&lt;=Hypothèses!$V$10,Hypothèses!$W$10,IF(CS148&lt;=Hypothèses!$V$11,Hypothèses!$W$11,IF(CS148&lt;=Hypothèses!$V$12,Hypothèses!$W$12,IF(CS148&lt;=Hypothèses!$V$13,Hypothèses!$W$13,IF(CS148&lt;=Hypothèses!$V$14,Hypothèses!$W$14,IF(CS148&lt;=Hypothèses!$V$15,Hypothèses!$W$15,IF(CS148&lt;=Hypothèses!$V$16,Hypothèses!$W$16,IF(CS148&lt;=Hypothèses!$V$17,Hypothèses!$W$17,IF(CS148&lt;=Hypothèses!$V$18,Hypothèses!$W$18,""))))))))))))</f>
        <v>#DIV/0!</v>
      </c>
      <c r="DN148" s="87" t="e">
        <f t="shared" ca="1" si="321"/>
        <v>#DIV/0!</v>
      </c>
      <c r="DO148" s="88" t="e">
        <f ca="1">IF(CS148&lt;=Hypothèses!$V$7,Hypothèses!$X$7,IF(CS148&lt;=Hypothèses!$V$8,Hypothèses!$X$8,IF(CS148&lt;=Hypothèses!$V$9,Hypothèses!$X$9,IF(CS148&lt;=Hypothèses!$V$10,Hypothèses!$X$10,IF(CS148&lt;=Hypothèses!$V$11,Hypothèses!$X$11,IF(CS148&lt;=Hypothèses!$V$12,Hypothèses!$X$12,IF(CS148&lt;=Hypothèses!$V$13,Hypothèses!$X$13,IF(CS148&lt;=Hypothèses!$V$14,Hypothèses!$X$14,IF(CS148&lt;=Hypothèses!$V$15,Hypothèses!$X$15,IF(CS148&lt;=Hypothèses!$V$16,Hypothèses!$X$16,IF(CS148&lt;=Hypothèses!$U$17,Hypothèses!$W$17,IF(CS148&lt;=Hypothèses!$U$18,Hypothèses!$W$18,""))))))))))))</f>
        <v>#DIV/0!</v>
      </c>
      <c r="DP148" s="95" t="e">
        <f t="shared" ca="1" si="289"/>
        <v>#DIV/0!</v>
      </c>
      <c r="DQ148" s="101" t="e">
        <f t="shared" si="328"/>
        <v>#N/A</v>
      </c>
      <c r="DR148" s="91" t="e">
        <f t="shared" si="258"/>
        <v>#N/A</v>
      </c>
      <c r="DS148" s="30" t="e">
        <f t="shared" si="310"/>
        <v>#N/A</v>
      </c>
      <c r="DT148" s="30" t="e">
        <f t="shared" si="311"/>
        <v>#N/A</v>
      </c>
      <c r="DU148" s="31" t="e">
        <f>IF(OR(Hypothèses!$B$4=17,Hypothèses!$B$4=18,Hypothèses!$B$4=19,Hypothèses!$B$4=20),
IF($D148="Pressio.",
IF(OR($E148=3,$E148=1,$E148=4),DT148,DS148),
IF($D148="Pénétro.",
IF(OR($E148=3,$E148=1,$E148=4),DT148,DS148))),IF($D148="Pressio.",
IF($E148=3,DT148,DS148),
IF($D148="Pénétro.",
IF($E148=4,DT148,DS148))))</f>
        <v>#N/A</v>
      </c>
      <c r="DV148" s="31" t="e">
        <f>(IF(OR(Hypothèses!$B$4=17,Hypothèses!$B$4=18,Hypothèses!$B$4=19,Hypothèses!$B$4=20),
IF($D148="Pressio.",
IF(OR($E148=3,$E148=1,$E148=4),(PI()*DV$12^2)/4*(DR148*$W148*1000)/($H148*$B$5),(PI()*DV$12^2)/4*(DR148*$W148*1000)/($G148*$B$5)),
IF($D148="Pénétro.",
IF(OR($E148=4,$E148=1,$E148=5),(PI()*DV$12^2)/4*(DR148*$W148*1000)/($H148*$B$5),(PI()*DV$12^2)/4*(DR148*$W148*1000)/($G148*$B$5)))),
IF($D148="Pressio.",
IF($E148=3,(PI()*DV$12^2)/4*(DR148*$W148*1000)/($H148*$B$5),(PI()*DV$12^2)/4*(DR148*$W148*1000)/($G148*$B$5)),
IF($D148="Pénétro.",
IF($E148=4,(PI()*DV$12^2)/4*(DR148*$W148*1000)/($H148*$B$5),(PI()*DV$12^2)/4*(DR148*$W148*1000)/($G148*$B$5))))))/10</f>
        <v>#N/A</v>
      </c>
      <c r="DW148" s="102" t="e">
        <f>(VLOOKUP($B$3,'Coeff EC7'!$T$39:$X$59,2,0)*DU148+VLOOKUP($B$3,'Coeff EC7'!$T$65:$X$85,2,0)*Model0.1C!DV148)/1.1</f>
        <v>#N/A</v>
      </c>
      <c r="DX148" s="102" t="e">
        <f>(VLOOKUP($B$3,'Coeff EC7'!$T$39:$X$59,3,0)*DU148+VLOOKUP($B$3,'Coeff EC7'!$T$65:$X$85,3,0)*Model0.1C!DV148)/0.9</f>
        <v>#N/A</v>
      </c>
      <c r="DY148" s="102" t="e">
        <f t="shared" si="290"/>
        <v>#N/A</v>
      </c>
      <c r="DZ148" s="102" t="e">
        <f t="shared" si="291"/>
        <v>#N/A</v>
      </c>
      <c r="EA148" s="414" t="e">
        <f>IF(EA147=0,0,IF(AND(DW148&gt;charge_ELS_quasi,DX148&gt;Charge_ELS_freq,DY148&gt;charge_ELU,DZ148&gt;charge_ELA,$B148&gt;NDC!$H$22-0.1+MIN(3*$EA$12,1.5)),0,1))</f>
        <v>#N/A</v>
      </c>
      <c r="EB148" s="86" t="b">
        <f t="shared" si="259"/>
        <v>0</v>
      </c>
      <c r="EC148" s="418">
        <f t="shared" si="260"/>
        <v>0.51</v>
      </c>
      <c r="ED148" s="86">
        <f t="shared" si="261"/>
        <v>0.51</v>
      </c>
      <c r="EE148" s="30" t="e">
        <f t="shared" ca="1" si="292"/>
        <v>#DIV/0!</v>
      </c>
      <c r="EF148" s="85" t="e">
        <f ca="1">IF(DL148&lt;=Hypothèses!$V$7,Hypothèses!$W$7,IF(DL148&lt;=Hypothèses!$V$8,Hypothèses!$W$8,IF(DL148&lt;=Hypothèses!$V$9,Hypothèses!$W$9,IF(DL148&lt;=Hypothèses!$V$10,Hypothèses!$W$10,IF(DL148&lt;=Hypothèses!$V$11,Hypothèses!$W$11,IF(DL148&lt;=Hypothèses!$V$12,Hypothèses!$W$12,IF(DL148&lt;=Hypothèses!$V$13,Hypothèses!$W$13,IF(DL148&lt;=Hypothèses!$V$14,Hypothèses!$W$14,IF(DL148&lt;=Hypothèses!$V$15,Hypothèses!$W$15,IF(DL148&lt;=Hypothèses!$V$16,Hypothèses!$W$16,IF(DL148&lt;=Hypothèses!$V$17,Hypothèses!$W$17,IF(DL148&lt;=Hypothèses!$V$18,Hypothèses!$W$18,""))))))))))))</f>
        <v>#DIV/0!</v>
      </c>
      <c r="EG148" s="87" t="e">
        <f t="shared" ca="1" si="322"/>
        <v>#DIV/0!</v>
      </c>
      <c r="EH148" s="88" t="e">
        <f ca="1">IF(DL148&lt;=Hypothèses!$V$7,Hypothèses!$X$7,IF(DL148&lt;=Hypothèses!$V$8,Hypothèses!$X$8,IF(DL148&lt;=Hypothèses!$V$9,Hypothèses!$X$9,IF(DL148&lt;=Hypothèses!$V$10,Hypothèses!$X$10,IF(DL148&lt;=Hypothèses!$V$11,Hypothèses!$X$11,IF(DL148&lt;=Hypothèses!$V$12,Hypothèses!$X$12,IF(DL148&lt;=Hypothèses!$V$13,Hypothèses!$X$13,IF(DL148&lt;=Hypothèses!$V$14,Hypothèses!$X$14,IF(DL148&lt;=Hypothèses!$V$15,Hypothèses!$X$15,IF(DL148&lt;=Hypothèses!$V$16,Hypothèses!$X$16,IF(DL148&lt;=Hypothèses!$U$17,Hypothèses!$W$17,IF(DL148&lt;=Hypothèses!$U$18,Hypothèses!$W$18,""))))))))))))</f>
        <v>#DIV/0!</v>
      </c>
      <c r="EI148" s="95" t="e">
        <f t="shared" ca="1" si="293"/>
        <v>#DIV/0!</v>
      </c>
      <c r="EJ148" s="101" t="e">
        <f t="shared" si="329"/>
        <v>#N/A</v>
      </c>
      <c r="EK148" s="91" t="e">
        <f t="shared" si="262"/>
        <v>#N/A</v>
      </c>
      <c r="EL148" s="30" t="e">
        <f t="shared" si="312"/>
        <v>#N/A</v>
      </c>
      <c r="EM148" s="30" t="e">
        <f t="shared" si="313"/>
        <v>#N/A</v>
      </c>
      <c r="EN148" s="31" t="e">
        <f>IF(OR(Hypothèses!$B$4=17,Hypothèses!$B$4=18,Hypothèses!$B$4=19,Hypothèses!$B$4=20),
IF($D148="Pressio.",
IF(OR($E148=3,$E148=1,$E148=4),EM148,EL148),
IF($D148="Pénétro.",
IF(OR($E148=3,$E148=1,$E148=4),EM148,EL148))),IF($D148="Pressio.",
IF($E148=3,EM148,EL148),
IF($D148="Pénétro.",
IF($E148=4,EM148,EL148))))</f>
        <v>#N/A</v>
      </c>
      <c r="EO148" s="31" t="e">
        <f>(IF(OR(Hypothèses!$B$4=17,Hypothèses!$B$4=18,Hypothèses!$B$4=19,Hypothèses!$B$4=20),
IF($D148="Pressio.",
IF(OR($E148=3,$E148=1,$E148=4),(PI()*EO$12^2)/4*(EK148*$W148*1000)/($H148*$B$5),(PI()*EO$12^2)/4*(EK148*$W148*1000)/($G148*$B$5)),
IF($D148="Pénétro.",
IF(OR($E148=4,$E148=1,$E148=5),(PI()*EO$12^2)/4*(EK148*$W148*1000)/($H148*$B$5),(PI()*EO$12^2)/4*(EK148*$W148*1000)/($G148*$B$5)))),
IF($D148="Pressio.",
IF($E148=3,(PI()*EO$12^2)/4*(EK148*$W148*1000)/($H148*$B$5),(PI()*EO$12^2)/4*(EK148*$W148*1000)/($G148*$B$5)),
IF($D148="Pénétro.",
IF($E148=4,(PI()*EO$12^2)/4*(EK148*$W148*1000)/($H148*$B$5),(PI()*EO$12^2)/4*(EK148*$W148*1000)/($G148*$B$5))))))/10</f>
        <v>#N/A</v>
      </c>
      <c r="EP148" s="102" t="e">
        <f>(VLOOKUP($B$3,'Coeff EC7'!$T$39:$X$59,2,0)*EN148+VLOOKUP($B$3,'Coeff EC7'!$T$65:$X$85,2,0)*Model0.1C!EO148)/1.1</f>
        <v>#N/A</v>
      </c>
      <c r="EQ148" s="102" t="e">
        <f>(VLOOKUP($B$3,'Coeff EC7'!$T$39:$X$59,3,0)*EN148+VLOOKUP($B$3,'Coeff EC7'!$T$65:$X$85,3,0)*Model0.1C!EO148)/0.9</f>
        <v>#N/A</v>
      </c>
      <c r="ER148" s="102" t="e">
        <f t="shared" si="294"/>
        <v>#N/A</v>
      </c>
      <c r="ES148" s="102" t="e">
        <f t="shared" si="295"/>
        <v>#N/A</v>
      </c>
      <c r="ET148" s="414" t="e">
        <f>IF(ET147=0,0,IF(AND(EP148&gt;charge_ELS_quasi,EQ148&gt;Charge_ELS_freq,ER148&gt;charge_ELU,ES148&gt;charge_ELA,$B148&gt;NDC!$H$22-0.1+MIN(3*$ET$12,1.5)),0,1))</f>
        <v>#N/A</v>
      </c>
      <c r="EU148" s="86" t="b">
        <f t="shared" si="263"/>
        <v>0</v>
      </c>
      <c r="EV148" s="86">
        <f t="shared" si="264"/>
        <v>0.61</v>
      </c>
      <c r="EW148" s="86">
        <f t="shared" si="265"/>
        <v>0.61</v>
      </c>
      <c r="EX148" s="30" t="e">
        <f t="shared" ca="1" si="296"/>
        <v>#DIV/0!</v>
      </c>
      <c r="EY148" s="85" t="e">
        <f ca="1">IF(EE148&lt;=Hypothèses!$V$7,Hypothèses!$W$7,IF(EE148&lt;=Hypothèses!$V$8,Hypothèses!$W$8,IF(EE148&lt;=Hypothèses!$V$9,Hypothèses!$W$9,IF(EE148&lt;=Hypothèses!$V$10,Hypothèses!$W$10,IF(EE148&lt;=Hypothèses!$V$11,Hypothèses!$W$11,IF(EE148&lt;=Hypothèses!$V$12,Hypothèses!$W$12,IF(EE148&lt;=Hypothèses!$V$13,Hypothèses!$W$13,IF(EE148&lt;=Hypothèses!$V$14,Hypothèses!$W$14,IF(EE148&lt;=Hypothèses!$V$15,Hypothèses!$W$15,IF(EE148&lt;=Hypothèses!$V$16,Hypothèses!$W$16,IF(EE148&lt;=Hypothèses!$V$17,Hypothèses!$W$17,IF(EE148&lt;=Hypothèses!$V$18,Hypothèses!$W$18,""))))))))))))</f>
        <v>#DIV/0!</v>
      </c>
      <c r="EZ148" s="87" t="e">
        <f t="shared" ca="1" si="323"/>
        <v>#DIV/0!</v>
      </c>
      <c r="FA148" s="88" t="e">
        <f ca="1">IF(EE148&lt;=Hypothèses!$V$7,Hypothèses!$X$7,IF(EE148&lt;=Hypothèses!$V$8,Hypothèses!$X$8,IF(EE148&lt;=Hypothèses!$V$9,Hypothèses!$X$9,IF(EE148&lt;=Hypothèses!$V$10,Hypothèses!$X$10,IF(EE148&lt;=Hypothèses!$V$11,Hypothèses!$X$11,IF(EE148&lt;=Hypothèses!$V$12,Hypothèses!$X$12,IF(EE148&lt;=Hypothèses!$V$13,Hypothèses!$X$13,IF(EE148&lt;=Hypothèses!$V$14,Hypothèses!$X$14,IF(EE148&lt;=Hypothèses!$V$15,Hypothèses!$X$15,IF(EE148&lt;=Hypothèses!$V$16,Hypothèses!$X$16,IF(EE148&lt;=Hypothèses!$U$17,Hypothèses!$W$17,IF(EE148&lt;=Hypothèses!$U$18,Hypothèses!$W$18,""))))))))))))</f>
        <v>#DIV/0!</v>
      </c>
      <c r="FB148" s="95" t="e">
        <f t="shared" ca="1" si="297"/>
        <v>#DIV/0!</v>
      </c>
      <c r="FC148" s="101" t="e">
        <f t="shared" si="330"/>
        <v>#N/A</v>
      </c>
      <c r="FD148" s="91" t="e">
        <f t="shared" si="266"/>
        <v>#N/A</v>
      </c>
      <c r="FE148" s="30" t="e">
        <f t="shared" si="314"/>
        <v>#N/A</v>
      </c>
      <c r="FF148" s="30" t="e">
        <f t="shared" si="315"/>
        <v>#N/A</v>
      </c>
      <c r="FG148" s="31" t="e">
        <f>IF(OR(Hypothèses!$B$4=17,Hypothèses!$B$4=18,Hypothèses!$B$4=19,Hypothèses!$B$4=20),
IF($D148="Pressio.",
IF(OR($E148=3,$E148=1,$E148=4),FF148,FE148),
IF($D148="Pénétro.",
IF(OR($E148=3,$E148=1,$E148=4),FF148,FE148))),IF($D148="Pressio.",
IF($E148=3,FF148,FE148),
IF($D148="Pénétro.",
IF($E148=4,FF148,FE148))))</f>
        <v>#N/A</v>
      </c>
      <c r="FH148" s="31" t="e">
        <f>(IF(OR(Hypothèses!$B$4=17,Hypothèses!$B$4=18,Hypothèses!$B$4=19,Hypothèses!$B$4=20),
IF($D148="Pressio.",
IF(OR($E148=3,$E148=1,$E148=4),(PI()*FH$12^2)/4*(FD148*$W148*1000)/($H148*$B$5),(PI()*FH$12^2)/4*(FD148*$W148*1000)/($G148*$B$5)),
IF($D148="Pénétro.",
IF(OR($E148=4,$E148=1,$E148=5),(PI()*FH$12^2)/4*(FD148*$W148*1000)/($H148*$B$5),(PI()*FH$12^2)/4*(FD148*$W148*1000)/($G148*$B$5)))),
IF($D148="Pressio.",
IF($E148=3,(PI()*FH$12^2)/4*(FD148*$W148*1000)/($H148*$B$5),(PI()*FH$12^2)/4*(FD148*$W148*1000)/($G148*$B$5)),
IF($D148="Pénétro.",
IF($E148=4,(PI()*FH$12^2)/4*(FD148*$W148*1000)/($H148*$B$5),(PI()*FH$12^2)/4*(FD148*$W148*1000)/($G148*$B$5))))))/10</f>
        <v>#N/A</v>
      </c>
      <c r="FI148" s="102" t="e">
        <f>(VLOOKUP($B$3,'Coeff EC7'!$T$39:$X$59,2,0)*FG148+VLOOKUP($B$3,'Coeff EC7'!$T$65:$X$85,2,0)*Model0.1C!FH148)/1.1</f>
        <v>#N/A</v>
      </c>
      <c r="FJ148" s="102" t="e">
        <f>(VLOOKUP($B$3,'Coeff EC7'!$T$39:$X$59,3,0)*FG148+VLOOKUP($B$3,'Coeff EC7'!$T$65:$X$85,3,0)*Model0.1C!FH148)/0.9</f>
        <v>#N/A</v>
      </c>
      <c r="FK148" s="102" t="e">
        <f t="shared" si="298"/>
        <v>#N/A</v>
      </c>
      <c r="FL148" s="102" t="e">
        <f t="shared" si="299"/>
        <v>#N/A</v>
      </c>
      <c r="FM148" s="414" t="e">
        <f>IF(FM147=0,0,IF(AND(FI148&gt;charge_ELS_quasi,FJ148&gt;Charge_ELS_freq,FK148&gt;charge_ELU,FL148&gt;charge_ELA,$B148&gt;NDC!$H$22-0.1+MIN(3*$FM$12,1.5)),0,1))</f>
        <v>#N/A</v>
      </c>
    </row>
    <row r="149" spans="1:169">
      <c r="A149" s="96">
        <f t="shared" si="267"/>
        <v>86.400000000000773</v>
      </c>
      <c r="B149" s="97">
        <v>13.6</v>
      </c>
      <c r="C149" s="81">
        <f>IF(B149&lt;=Hypothèses!$C$7,Hypothèses!$A$7,IF(B149&lt;=Hypothèses!$C$8,Hypothèses!$A$8,IF(B149&lt;=Hypothèses!$C$9,Hypothèses!$A$9,IF(B149&lt;=Hypothèses!$C$10,Hypothèses!$A$10,IF(B149&lt;=Hypothèses!$C$11,Hypothèses!$A$11,IF(B149&lt;=Hypothèses!$C$12,Hypothèses!$A$12,IF(B149&lt;=Hypothèses!$C$13,Hypothèses!$A$13,IF(B149&lt;=Hypothèses!$C$14,Hypothèses!$A$14,IF(B149&lt;=Hypothèses!$C$15,Hypothèses!$A$15,IF(B149&lt;=Hypothèses!$C$16,Hypothèses!$A$16,IF(B149&lt;=Hypothèses!$C$17,Hypothèses!$A$17,IF(B149&lt;=Hypothèses!$C$18,Hypothèses!$A$18,C148))))))))))))</f>
        <v>11</v>
      </c>
      <c r="D149" s="82" t="str">
        <f>IF(B149&lt;=Hypothèses!$C$7,Hypothèses!$R$7,IF(B149&lt;=Hypothèses!$C$8,Hypothèses!$R$8,IF(B149&lt;=Hypothèses!$C$9,Hypothèses!$R$9,IF(B149&lt;=Hypothèses!$C$10,Hypothèses!$R$10,IF(B149&lt;=Hypothèses!$C$11,Hypothèses!$R$11,IF(B149&lt;=Hypothèses!$C$12,Hypothèses!$R$12,IF(B149&lt;=Hypothèses!$C$13,Hypothèses!$R$13,IF(B149&lt;=Hypothèses!$C$14,Hypothèses!$R$14,IF(B149&lt;=Hypothèses!$C$15,Hypothèses!$R$15,IF(B149&lt;=Hypothèses!$C$16,Hypothèses!$R$16,IF(B149&lt;=Hypothèses!$C$17,Hypothèses!$R$17,IF(B149&lt;=Hypothèses!$C$18,Hypothèses!$R$18,D148))))))))))))</f>
        <v>Pressio.</v>
      </c>
      <c r="E149" s="82" t="e">
        <f>IF(B149&lt;=Hypothèses!$C$7,Hypothèses!$G$7,IF(B149&lt;=Hypothèses!$C$8,Hypothèses!$G$8,IF(B149&lt;=Hypothèses!$C$9,Hypothèses!$G$9,IF(B149&lt;=Hypothèses!$C$10,Hypothèses!$G$10,IF(B149&lt;=Hypothèses!$C$11,Hypothèses!$G$11,IF(B149&lt;=Hypothèses!$C$12,Hypothèses!$G$12,IF(B149&lt;=Hypothèses!$C$13,Hypothèses!$G$13,IF(B149&lt;=Hypothèses!$C$14,Hypothèses!$G$14,IF(B149&lt;=Hypothèses!$C$15,Hypothèses!$G$15,IF(B149&lt;=Hypothèses!$C$16,Hypothèses!$G$16,IF(B149&lt;=Hypothèses!$C$17,Hypothèses!$G$17,IF(B149&lt;=Hypothèses!$C$18,Hypothèses!$G$18,E148))))))))))))</f>
        <v>#N/A</v>
      </c>
      <c r="F149" s="82" t="str">
        <f>IF(B149&lt;=Hypothèses!$C$7,Hypothèses!$F$7,IF(B149&lt;=Hypothèses!$C$8,Hypothèses!$F$8,IF(B149&lt;=Hypothèses!$C$9,Hypothèses!$F$9,IF(B149&lt;=Hypothèses!$C$10,Hypothèses!$F$10,IF(B149&lt;=Hypothèses!$C$11,Hypothèses!$F$11,IF(B149&lt;=Hypothèses!$C$12,Hypothèses!$F$12,IF(B149&lt;=Hypothèses!$C$13,Hypothèses!$F$13,IF(B149&lt;=Hypothèses!$C$14,Hypothèses!$F$14,IF(B149&lt;=Hypothèses!$C$15,Hypothèses!$F$15,IF(B149&lt;=Hypothèses!$C$16,Hypothèses!$F$16,IF(B149&lt;=Hypothèses!$C$17,Hypothèses!$F$17,IF(B149&lt;=Hypothèses!$C$18,Hypothèses!$F$18,F148))))))))))))</f>
        <v/>
      </c>
      <c r="G149" s="91">
        <f t="array" ref="G149">INDEX('Coeff EC7'!$U$7:$X$27,
MATCH(Model0.1C!$B$3,'Coeff EC7'!$T$7:$T$27,0),
MATCH(Model0.1C!$D149&amp;Model0.1C!$B$4,
'Coeff EC7'!$U$6:$X$6&amp;
'Coeff EC7'!$U$5:$X$5,0))</f>
        <v>1.1499999999999999</v>
      </c>
      <c r="H149" s="91">
        <f t="array" ref="H149">INDEX('Coeff EC7'!$Y$7:$AB$27,
MATCH(Model0.1C!$B$3,'Coeff EC7'!$T$7:$T$27,0),
MATCH(Model0.1C!$D149&amp;Model0.1C!$B$4,
'Coeff EC7'!$Y$6:$AB$6&amp;
'Coeff EC7'!$Y$5:$AB$5,0))</f>
        <v>1.4</v>
      </c>
      <c r="I149" s="83" t="e">
        <f>IF(B149&lt;=Hypothèses!$C$7,Hypothèses!$P$7,IF(B149&lt;=Hypothèses!$C$8,Hypothèses!$P$8,IF(B149&lt;=Hypothèses!$C$9,Hypothèses!$P$9,IF(B149&lt;=Hypothèses!$C$10,Hypothèses!$P$10,IF(B149&lt;=Hypothèses!$C$11,Hypothèses!$P$11,IF(B149&lt;=Hypothèses!$C$12,Hypothèses!$P$12,IF(B149&lt;=Hypothèses!$C$13,Hypothèses!$P$13,IF(B149&lt;=Hypothèses!$C$14,Hypothèses!$P$14,IF(B149&lt;=Hypothèses!$C$15,Hypothèses!$P$15,IF(B149&lt;=Hypothèses!$C$16,Hypothèses!$P$16,IF(B149&lt;=Hypothèses!$C$17,Hypothèses!$P$17,IF(B149&lt;=Hypothèses!$C$18,Hypothèses!$P$18,I148))))))))))))</f>
        <v>#N/A</v>
      </c>
      <c r="J149" s="91" t="e">
        <f t="array" ref="J149">INDEX('Coeff EC7'!$D$33:$Q$33,1,MATCH(D149&amp;E149,'Coeff EC7'!$D$31:$Q$31&amp;'Coeff EC7'!$D$32:$Q$32,0))</f>
        <v>#N/A</v>
      </c>
      <c r="K149" s="91" t="e">
        <f t="array" ref="K149">INDEX('Coeff EC7'!$D$34:$Q$34,1,MATCH(D149&amp;E149,'Coeff EC7'!$D$31:$Q$31&amp;'Coeff EC7'!$D$32:$Q$32,0))</f>
        <v>#N/A</v>
      </c>
      <c r="L149" s="91" t="e">
        <f t="array" ref="L149">INDEX('Coeff EC7'!$D$35:$Q$35,1,MATCH(D149&amp;E149,'Coeff EC7'!$D$31:$Q$31&amp;'Coeff EC7'!$D$32:$Q$32,0))</f>
        <v>#N/A</v>
      </c>
      <c r="M149" s="98" t="e">
        <f t="shared" si="231"/>
        <v>#N/A</v>
      </c>
      <c r="N149" s="99" t="e">
        <f t="array" ref="N149">INDEX('Coeff EC7'!$D$7:$Q$27,MATCH($B$3,'Coeff EC7'!$C$7:$C$27,0),MATCH(D149&amp;E149,'Coeff EC7'!$D$5:$Q$5&amp;'Coeff EC7'!$D$6:$Q$6,0))</f>
        <v>#N/A</v>
      </c>
      <c r="O149" s="99" t="e">
        <f t="array" ref="O149">INDEX('Coeff EC7'!$D$41:$Q$61,MATCH($B$3,'Coeff EC7'!$C$41:$C$61,0),MATCH(D149&amp;E149,'Coeff EC7'!$D$39:$Q$39&amp;'Coeff EC7'!$D$40:$Q$40,0))</f>
        <v>#N/A</v>
      </c>
      <c r="P149" s="30" t="e">
        <f t="shared" si="268"/>
        <v>#N/A</v>
      </c>
      <c r="Q149" s="100" t="e">
        <f t="shared" si="233"/>
        <v>#N/A</v>
      </c>
      <c r="R149" s="86" t="b">
        <f t="shared" si="234"/>
        <v>0</v>
      </c>
      <c r="S149" s="86">
        <f t="shared" si="232"/>
        <v>0.5</v>
      </c>
      <c r="T149" s="86">
        <f t="shared" si="235"/>
        <v>0.5</v>
      </c>
      <c r="U149" s="30" t="e">
        <f t="shared" ca="1" si="269"/>
        <v>#DIV/0!</v>
      </c>
      <c r="V149" s="85" t="str">
        <f>IF(B149&lt;=Hypothèses!$V$7,Hypothèses!$W$7,IF(B149&lt;=Hypothèses!$V$8,Hypothèses!$W$8,IF(B149&lt;=Hypothèses!$V$9,Hypothèses!$W$9,IF(B149&lt;=Hypothèses!$V$10,Hypothèses!$W$10,IF(B149&lt;=Hypothèses!$V$11,Hypothèses!$W$11,IF(B149&lt;=Hypothèses!$V$12,Hypothèses!$W$12,IF(B149&lt;=Hypothèses!$V$13,Hypothèses!$W$13,IF(B149&lt;=Hypothèses!$V$14,Hypothèses!$W$14,IF(B149&lt;=Hypothèses!$V$15,Hypothèses!$W$15,IF(B149&lt;=Hypothèses!$V$16,Hypothèses!$W$16,IF(B149&lt;=Hypothèses!$V$17,Hypothèses!$W$17,IF(B149&lt;=Hypothèses!$V$18,Hypothèses!$W$18,""))))))))))))</f>
        <v/>
      </c>
      <c r="W149" s="87" t="e">
        <f t="shared" ca="1" si="316"/>
        <v>#DIV/0!</v>
      </c>
      <c r="X149" s="88" t="str">
        <f>IF(B149&lt;=Hypothèses!$V$7,Hypothèses!$X$7,IF(B149&lt;=Hypothèses!$V$8,Hypothèses!$X$8,IF(B149&lt;=Hypothèses!$V$9,Hypothèses!$X$9,IF(B149&lt;=Hypothèses!$V$10,Hypothèses!$X$10,IF(B149&lt;=Hypothèses!$V$11,Hypothèses!$X$11,IF(B149&lt;=Hypothèses!$V$12,Hypothèses!$X$12,IF(B149&lt;=Hypothèses!$V$13,Hypothèses!$X$13,IF(B149&lt;=Hypothèses!$V$14,Hypothèses!$X$14,IF(B149&lt;=Hypothèses!$V$15,Hypothèses!$X$15,IF(B149&lt;=Hypothèses!$V$16,Hypothèses!$X$16,IF(B149&lt;=Hypothèses!$U$17,Hypothèses!$W$17,IF(B149&lt;=Hypothèses!$U$18,Hypothèses!$W$18,""))))))))))))</f>
        <v/>
      </c>
      <c r="Y149" s="95" t="e">
        <f t="shared" ca="1" si="236"/>
        <v>#DIV/0!</v>
      </c>
      <c r="Z149" s="101" t="e">
        <f t="shared" si="237"/>
        <v>#N/A</v>
      </c>
      <c r="AA149" s="91" t="e">
        <f t="shared" si="238"/>
        <v>#N/A</v>
      </c>
      <c r="AB149" s="30" t="e">
        <f t="shared" si="300"/>
        <v>#N/A</v>
      </c>
      <c r="AC149" s="30" t="e">
        <f t="shared" si="301"/>
        <v>#N/A</v>
      </c>
      <c r="AD149" s="31" t="e">
        <f>IF(OR(Hypothèses!$B$4=17,Hypothèses!$B$4=18,Hypothèses!$B$4=19,Hypothèses!$B$4=20),
IF($D149="Pressio.",
IF(OR($E149=3,$E149=1,$E149=4),AC149,AB149),
IF($D149="Pénétro.",
IF(OR($E149=3,$E149=1,$E149=4),AC149,AB149))),IF($D149="Pressio.",
IF($E149=3,AC149,AB149),
IF($D149="Pénétro.",
IF($E149=4,AC149,AB149))))</f>
        <v>#N/A</v>
      </c>
      <c r="AE149" s="31" t="e">
        <f>(IF(OR(Hypothèses!$B$4=17,Hypothèses!$B$4=18,Hypothèses!$B$4=19,Hypothèses!$B$4=20),
IF($D149="Pressio.",
IF(OR($E149=3,$E149=1,$E149=4),(PI()*AE$12^2)/4*(AA149*$W149*1000)/($H149*$B$5),(PI()*AE$12^2)/4*(AA149*$W149*1000)/($G149*$B$5)),
IF($D149="Pénétro.",
IF(OR($E149=4,$E149=1,$E149=5),(PI()*AE$12^2)/4*(AA149*$W149*1000)/($H149*$B$5),(PI()*AE$12^2)/4*(AA149*$W149*1000)/($G149*$B$5)))),
IF($D149="Pressio.",
IF($E149=3,(PI()*AE$12^2)/4*(AA149*$W149*1000)/($H149*$B$5),(PI()*AE$12^2)/4*(AA149*$W149*1000)/($G149*$B$5)),
IF($D149="Pénétro.",
IF($E149=4,(PI()*AE$12^2)/4*(AA149*$W149*1000)/($H149*$B$5),(PI()*AE$12^2)/4*(AA149*$W149*1000)/($G149*$B$5))))))/10</f>
        <v>#N/A</v>
      </c>
      <c r="AF149" s="102" t="e">
        <f>(VLOOKUP($B$3,'Coeff EC7'!$T$39:$X$59,2,0)*AD149+VLOOKUP($B$3,'Coeff EC7'!$T$65:$X$85,2,0)*Model0.1C!AE149)/1.1</f>
        <v>#N/A</v>
      </c>
      <c r="AG149" s="102" t="e">
        <f>(VLOOKUP($B$3,'Coeff EC7'!$T$39:$X$59,3,0)*AD149+VLOOKUP($B$3,'Coeff EC7'!$T$65:$X$85,3,0)*Model0.1C!AE149)/0.9</f>
        <v>#N/A</v>
      </c>
      <c r="AH149" s="102" t="e">
        <f t="shared" si="239"/>
        <v>#N/A</v>
      </c>
      <c r="AI149" s="102" t="e">
        <f t="shared" si="240"/>
        <v>#N/A</v>
      </c>
      <c r="AJ149" s="414" t="e">
        <f>IF(AJ148=0,0,IF(AND(AF149&gt;charge_ELS_quasi,AG149&gt;Charge_ELS_freq,AH149&gt;charge_ELU,AI149&gt;charge_ELA,$B149&gt;NDC!$H$22-0.1+MIN(3*$AJ$12,1.5)),0,1))</f>
        <v>#N/A</v>
      </c>
      <c r="AK149" s="86" t="b">
        <f t="shared" si="241"/>
        <v>0</v>
      </c>
      <c r="AL149" s="86">
        <f t="shared" si="270"/>
        <v>0.5</v>
      </c>
      <c r="AM149" s="86">
        <f t="shared" si="242"/>
        <v>0.5</v>
      </c>
      <c r="AN149" s="30" t="e">
        <f t="shared" ca="1" si="271"/>
        <v>#DIV/0!</v>
      </c>
      <c r="AO149" s="85" t="e">
        <f ca="1">IF(U149&lt;=Hypothèses!$V$7,Hypothèses!$W$7,IF(U149&lt;=Hypothèses!$V$8,Hypothèses!$W$8,IF(U149&lt;=Hypothèses!$V$9,Hypothèses!$W$9,IF(U149&lt;=Hypothèses!$V$10,Hypothèses!$W$10,IF(U149&lt;=Hypothèses!$V$11,Hypothèses!$W$11,IF(U149&lt;=Hypothèses!$V$12,Hypothèses!$W$12,IF(U149&lt;=Hypothèses!$V$13,Hypothèses!$W$13,IF(U149&lt;=Hypothèses!$V$14,Hypothèses!$W$14,IF(U149&lt;=Hypothèses!$V$15,Hypothèses!$W$15,IF(U149&lt;=Hypothèses!$V$16,Hypothèses!$W$16,IF(U149&lt;=Hypothèses!$V$17,Hypothèses!$W$17,IF(U149&lt;=Hypothèses!$V$18,Hypothèses!$W$18,""))))))))))))</f>
        <v>#DIV/0!</v>
      </c>
      <c r="AP149" s="87" t="e">
        <f t="shared" ca="1" si="317"/>
        <v>#DIV/0!</v>
      </c>
      <c r="AQ149" s="88" t="e">
        <f ca="1">IF(U149&lt;=Hypothèses!$V$7,Hypothèses!$X$7,IF(U149&lt;=Hypothèses!$V$8,Hypothèses!$X$8,IF(U149&lt;=Hypothèses!$V$9,Hypothèses!$X$9,IF(U149&lt;=Hypothèses!$V$10,Hypothèses!$X$10,IF(U149&lt;=Hypothèses!$V$11,Hypothèses!$X$11,IF(U149&lt;=Hypothèses!$V$12,Hypothèses!$X$12,IF(U149&lt;=Hypothèses!$V$13,Hypothèses!$X$13,IF(U149&lt;=Hypothèses!$V$14,Hypothèses!$X$14,IF(U149&lt;=Hypothèses!$V$15,Hypothèses!$X$15,IF(U149&lt;=Hypothèses!$V$16,Hypothèses!$X$16,IF(U149&lt;=Hypothèses!$U$17,Hypothèses!$W$17,IF(U149&lt;=Hypothèses!$U$18,Hypothèses!$W$18,""))))))))))))</f>
        <v>#DIV/0!</v>
      </c>
      <c r="AR149" s="95" t="e">
        <f t="shared" ca="1" si="272"/>
        <v>#DIV/0!</v>
      </c>
      <c r="AS149" s="101" t="e">
        <f t="shared" si="324"/>
        <v>#N/A</v>
      </c>
      <c r="AT149" s="91" t="e">
        <f t="shared" si="243"/>
        <v>#N/A</v>
      </c>
      <c r="AU149" s="30" t="e">
        <f t="shared" si="302"/>
        <v>#N/A</v>
      </c>
      <c r="AV149" s="30" t="e">
        <f t="shared" si="303"/>
        <v>#N/A</v>
      </c>
      <c r="AW149" s="31" t="e">
        <f>IF(OR(Hypothèses!$B$4=17,Hypothèses!$B$4=18,Hypothèses!$B$4=19,Hypothèses!$B$4=20),
IF($D149="Pressio.",
IF(OR($E149=3,$E149=1,$E149=4),AV149,AU149),
IF($D149="Pénétro.",
IF(OR($E149=3,$E149=1,$E149=4),AV149,AU149))),IF($D149="Pressio.",
IF($E149=3,AV149,AU149),
IF($D149="Pénétro.",
IF($E149=4,AV149,AU149))))</f>
        <v>#N/A</v>
      </c>
      <c r="AX149" s="31" t="e">
        <f>(IF(OR(Hypothèses!$B$4=17,Hypothèses!$B$4=18,Hypothèses!$B$4=19,Hypothèses!$B$4=20),
IF($D149="Pressio.",
IF(OR($E149=3,$E149=1,$E149=4),(PI()*AX$12^2)/4*(AT149*$W149*1000)/($H149*$B$5),(PI()*AX$12^2)/4*(AT149*$W149*1000)/($G149*$B$5)),
IF($D149="Pénétro.",
IF(OR($E149=4,$E149=1,$E149=5),(PI()*AX$12^2)/4*(AT149*$W149*1000)/($H149*$B$5),(PI()*AX$12^2)/4*(AT149*$W149*1000)/($G149*$B$5)))),
IF($D149="Pressio.",
IF($E149=3,(PI()*AX$12^2)/4*(AT149*$W149*1000)/($H149*$B$5),(PI()*AX$12^2)/4*(AT149*$W149*1000)/($G149*$B$5)),
IF($D149="Pénétro.",
IF($E149=4,(PI()*AX$12^2)/4*(AT149*$W149*1000)/($H149*$B$5),(PI()*AX$12^2)/4*(AT149*$W149*1000)/($G149*$B$5))))))/10</f>
        <v>#N/A</v>
      </c>
      <c r="AY149" s="102" t="e">
        <f>(VLOOKUP($B$3,'Coeff EC7'!$T$39:$X$59,2,0)*AW149+VLOOKUP($B$3,'Coeff EC7'!$T$65:$X$85,2,0)*Model0.1C!AX149)/1.1</f>
        <v>#N/A</v>
      </c>
      <c r="AZ149" s="102" t="e">
        <f>(VLOOKUP($B$3,'Coeff EC7'!$T$39:$X$59,3,0)*AW149+VLOOKUP($B$3,'Coeff EC7'!$T$65:$X$85,3,0)*Model0.1C!AX149)/0.9</f>
        <v>#N/A</v>
      </c>
      <c r="BA149" s="102" t="e">
        <f t="shared" si="273"/>
        <v>#N/A</v>
      </c>
      <c r="BB149" s="102" t="e">
        <f t="shared" si="274"/>
        <v>#N/A</v>
      </c>
      <c r="BC149" s="414" t="e">
        <f>IF(BC148=0,0,IF(AND(AY149&gt;charge_ELS_quasi,AZ149&gt;Charge_ELS_freq,BA149&gt;charge_ELU,BB149&gt;charge_ELA,$B149&gt;NDC!$H$22-0.1+MIN(3*$BC$12,1.5)),0,1))</f>
        <v>#N/A</v>
      </c>
      <c r="BD149" s="86" t="b">
        <f t="shared" si="244"/>
        <v>0</v>
      </c>
      <c r="BE149" s="86">
        <f t="shared" si="275"/>
        <v>0.5</v>
      </c>
      <c r="BF149" s="86">
        <f t="shared" si="245"/>
        <v>0.5</v>
      </c>
      <c r="BG149" s="30" t="e">
        <f t="shared" ca="1" si="276"/>
        <v>#DIV/0!</v>
      </c>
      <c r="BH149" s="85" t="e">
        <f ca="1">IF(AN149&lt;=Hypothèses!$V$7,Hypothèses!$W$7,IF(AN149&lt;=Hypothèses!$V$8,Hypothèses!$W$8,IF(AN149&lt;=Hypothèses!$V$9,Hypothèses!$W$9,IF(AN149&lt;=Hypothèses!$V$10,Hypothèses!$W$10,IF(AN149&lt;=Hypothèses!$V$11,Hypothèses!$W$11,IF(AN149&lt;=Hypothèses!$V$12,Hypothèses!$W$12,IF(AN149&lt;=Hypothèses!$V$13,Hypothèses!$W$13,IF(AN149&lt;=Hypothèses!$V$14,Hypothèses!$W$14,IF(AN149&lt;=Hypothèses!$V$15,Hypothèses!$W$15,IF(AN149&lt;=Hypothèses!$V$16,Hypothèses!$W$16,IF(AN149&lt;=Hypothèses!$V$17,Hypothèses!$W$17,IF(AN149&lt;=Hypothèses!$V$18,Hypothèses!$W$18,""))))))))))))</f>
        <v>#DIV/0!</v>
      </c>
      <c r="BI149" s="87" t="e">
        <f t="shared" ca="1" si="318"/>
        <v>#DIV/0!</v>
      </c>
      <c r="BJ149" s="88" t="e">
        <f ca="1">IF(AN149&lt;=Hypothèses!$V$7,Hypothèses!$X$7,IF(AN149&lt;=Hypothèses!$V$8,Hypothèses!$X$8,IF(AN149&lt;=Hypothèses!$V$9,Hypothèses!$X$9,IF(AN149&lt;=Hypothèses!$V$10,Hypothèses!$X$10,IF(AN149&lt;=Hypothèses!$V$11,Hypothèses!$X$11,IF(AN149&lt;=Hypothèses!$V$12,Hypothèses!$X$12,IF(AN149&lt;=Hypothèses!$V$13,Hypothèses!$X$13,IF(AN149&lt;=Hypothèses!$V$14,Hypothèses!$X$14,IF(AN149&lt;=Hypothèses!$V$15,Hypothèses!$X$15,IF(AN149&lt;=Hypothèses!$V$16,Hypothèses!$X$16,IF(AN149&lt;=Hypothèses!$U$17,Hypothèses!$W$17,IF(AN149&lt;=Hypothèses!$U$18,Hypothèses!$W$18,""))))))))))))</f>
        <v>#DIV/0!</v>
      </c>
      <c r="BK149" s="95" t="e">
        <f t="shared" ca="1" si="277"/>
        <v>#DIV/0!</v>
      </c>
      <c r="BL149" s="101" t="e">
        <f t="shared" si="325"/>
        <v>#N/A</v>
      </c>
      <c r="BM149" s="91" t="e">
        <f t="shared" si="246"/>
        <v>#N/A</v>
      </c>
      <c r="BN149" s="30" t="e">
        <f t="shared" si="304"/>
        <v>#N/A</v>
      </c>
      <c r="BO149" s="30" t="e">
        <f t="shared" si="305"/>
        <v>#N/A</v>
      </c>
      <c r="BP149" s="31" t="e">
        <f>IF(OR(Hypothèses!$B$4=17,Hypothèses!$B$4=18,Hypothèses!$B$4=19,Hypothèses!$B$4=20),
IF($D149="Pressio.",
IF(OR($E149=3,$E149=1,$E149=4),BO149,BN149),
IF($D149="Pénétro.",
IF(OR($E149=3,$E149=1,$E149=4),BO149,BN149))),IF($D149="Pressio.",
IF($E149=3,BO149,BN149),
IF($D149="Pénétro.",
IF($E149=4,BO149,BN149))))</f>
        <v>#N/A</v>
      </c>
      <c r="BQ149" s="31" t="e">
        <f>(IF(OR(Hypothèses!$B$4=17,Hypothèses!$B$4=18,Hypothèses!$B$4=19,Hypothèses!$B$4=20),
IF($D149="Pressio.",
IF(OR($E149=3,$E149=1,$E149=4),(PI()*BQ$12^2)/4*(BM149*$W149*1000)/($H149*$B$5),(PI()*BQ$12^2)/4*(BM149*$W149*1000)/($G149*$B$5)),
IF($D149="Pénétro.",
IF(OR($E149=4,$E149=1,$E149=5),(PI()*BQ$12^2)/4*(BM149*$W149*1000)/($H149*$B$5),(PI()*BQ$12^2)/4*(BM149*$W149*1000)/($G149*$B$5)))),
IF($D149="Pressio.",
IF($E149=3,(PI()*BQ$12^2)/4*(BM149*$W149*1000)/($H149*$B$5),(PI()*BQ$12^2)/4*(BM149*$W149*1000)/($G149*$B$5)),
IF($D149="Pénétro.",
IF($E149=4,(PI()*BQ$12^2)/4*(BM149*$W149*1000)/($H149*$B$5),(PI()*BQ$12^2)/4*(BM149*$W149*1000)/($G149*$B$5))))))/10</f>
        <v>#N/A</v>
      </c>
      <c r="BR149" s="102" t="e">
        <f>(VLOOKUP($B$3,'Coeff EC7'!$T$39:$X$59,2,0)*BP149+VLOOKUP($B$3,'Coeff EC7'!$T$65:$X$85,2,0)*Model0.1C!BQ149)/1.1</f>
        <v>#N/A</v>
      </c>
      <c r="BS149" s="102" t="e">
        <f>(VLOOKUP($B$3,'Coeff EC7'!$T$39:$X$59,3,0)*BP149+VLOOKUP($B$3,'Coeff EC7'!$T$65:$X$85,3,0)*Model0.1C!BQ149)/0.9</f>
        <v>#N/A</v>
      </c>
      <c r="BT149" s="102" t="e">
        <f t="shared" si="278"/>
        <v>#N/A</v>
      </c>
      <c r="BU149" s="102" t="e">
        <f t="shared" si="279"/>
        <v>#N/A</v>
      </c>
      <c r="BV149" s="414" t="e">
        <f>IF(BV148=0,0,IF(AND(BR149&gt;charge_ELS_quasi,BS149&gt;Charge_ELS_freq,BT149&gt;charge_ELU,BU149&gt;charge_ELA,$B149&gt;NDC!$H$22-0.1+MIN(3*$BV$12,1.5)),0,1))</f>
        <v>#N/A</v>
      </c>
      <c r="BW149" s="86" t="b">
        <f t="shared" si="247"/>
        <v>0</v>
      </c>
      <c r="BX149" s="86">
        <f t="shared" si="248"/>
        <v>0.5</v>
      </c>
      <c r="BY149" s="86">
        <f t="shared" si="249"/>
        <v>0.5</v>
      </c>
      <c r="BZ149" s="30" t="e">
        <f t="shared" ca="1" si="280"/>
        <v>#DIV/0!</v>
      </c>
      <c r="CA149" s="85" t="e">
        <f ca="1">IF(BG149&lt;=Hypothèses!$V$7,Hypothèses!$W$7,IF(BG149&lt;=Hypothèses!$V$8,Hypothèses!$W$8,IF(BG149&lt;=Hypothèses!$V$9,Hypothèses!$W$9,IF(BG149&lt;=Hypothèses!$V$10,Hypothèses!$W$10,IF(BG149&lt;=Hypothèses!$V$11,Hypothèses!$W$11,IF(BG149&lt;=Hypothèses!$V$12,Hypothèses!$W$12,IF(BG149&lt;=Hypothèses!$V$13,Hypothèses!$W$13,IF(BG149&lt;=Hypothèses!$V$14,Hypothèses!$W$14,IF(BG149&lt;=Hypothèses!$V$15,Hypothèses!$W$15,IF(BG149&lt;=Hypothèses!$V$16,Hypothèses!$W$16,IF(BG149&lt;=Hypothèses!$V$17,Hypothèses!$W$17,IF(BG149&lt;=Hypothèses!$V$18,Hypothèses!$W$18,""))))))))))))</f>
        <v>#DIV/0!</v>
      </c>
      <c r="CB149" s="87" t="e">
        <f t="shared" ca="1" si="319"/>
        <v>#DIV/0!</v>
      </c>
      <c r="CC149" s="88" t="e">
        <f ca="1">IF(BG149&lt;=Hypothèses!$V$7,Hypothèses!$X$7,IF(BG149&lt;=Hypothèses!$V$8,Hypothèses!$X$8,IF(BG149&lt;=Hypothèses!$V$9,Hypothèses!$X$9,IF(BG149&lt;=Hypothèses!$V$10,Hypothèses!$X$10,IF(BG149&lt;=Hypothèses!$V$11,Hypothèses!$X$11,IF(BG149&lt;=Hypothèses!$V$12,Hypothèses!$X$12,IF(BG149&lt;=Hypothèses!$V$13,Hypothèses!$X$13,IF(BG149&lt;=Hypothèses!$V$14,Hypothèses!$X$14,IF(BG149&lt;=Hypothèses!$V$15,Hypothèses!$X$15,IF(BG149&lt;=Hypothèses!$V$16,Hypothèses!$X$16,IF(BG149&lt;=Hypothèses!$U$17,Hypothèses!$W$17,IF(BG149&lt;=Hypothèses!$U$18,Hypothèses!$W$18,""))))))))))))</f>
        <v>#DIV/0!</v>
      </c>
      <c r="CD149" s="95" t="e">
        <f t="shared" ca="1" si="281"/>
        <v>#DIV/0!</v>
      </c>
      <c r="CE149" s="101" t="e">
        <f t="shared" si="326"/>
        <v>#N/A</v>
      </c>
      <c r="CF149" s="91" t="e">
        <f t="shared" si="250"/>
        <v>#N/A</v>
      </c>
      <c r="CG149" s="30" t="e">
        <f t="shared" si="306"/>
        <v>#N/A</v>
      </c>
      <c r="CH149" s="30" t="e">
        <f t="shared" si="307"/>
        <v>#N/A</v>
      </c>
      <c r="CI149" s="31" t="e">
        <f>IF(OR(Hypothèses!$B$4=17,Hypothèses!$B$4=18,Hypothèses!$B$4=19,Hypothèses!$B$4=20),
IF($D149="Pressio.",
IF(OR($E149=3,$E149=1,$E149=4),CH149,CG149),
IF($D149="Pénétro.",
IF(OR($E149=3,$E149=1,$E149=4),CH149,CG149))),IF($D149="Pressio.",
IF($E149=3,CH149,CG149),
IF($D149="Pénétro.",
IF($E149=4,CH149,CG149))))</f>
        <v>#N/A</v>
      </c>
      <c r="CJ149" s="31" t="e">
        <f>(IF(OR(Hypothèses!$B$4=17,Hypothèses!$B$4=18,Hypothèses!$B$4=19,Hypothèses!$B$4=20),
IF($D149="Pressio.",
IF(OR($E149=3,$E149=1,$E149=4),(PI()*CJ$12^2)/4*(CF149*$W149*1000)/($H149*$B$5),(PI()*CJ$12^2)/4*(CF149*$W149*1000)/($G149*$B$5)),
IF($D149="Pénétro.",
IF(OR($E149=4,$E149=1,$E149=5),(PI()*CJ$12^2)/4*(CF149*$W149*1000)/($H149*$B$5),(PI()*CJ$12^2)/4*(CF149*$W149*1000)/($G149*$B$5)))),
IF($D149="Pressio.",
IF($E149=3,(PI()*CJ$12^2)/4*(CF149*$W149*1000)/($H149*$B$5),(PI()*CJ$12^2)/4*(CF149*$W149*1000)/($G149*$B$5)),
IF($D149="Pénétro.",
IF($E149=4,(PI()*CJ$12^2)/4*(CF149*$W149*1000)/($H149*$B$5),(PI()*CJ$12^2)/4*(CF149*$W149*1000)/($G149*$B$5))))))/10</f>
        <v>#N/A</v>
      </c>
      <c r="CK149" s="102" t="e">
        <f>(VLOOKUP($B$3,'Coeff EC7'!$T$39:$X$59,2,0)*CI149+VLOOKUP($B$3,'Coeff EC7'!$T$65:$X$85,2,0)*Model0.1C!CJ149)/1.1</f>
        <v>#N/A</v>
      </c>
      <c r="CL149" s="102" t="e">
        <f>(VLOOKUP($B$3,'Coeff EC7'!$T$39:$X$59,3,0)*CI149+VLOOKUP($B$3,'Coeff EC7'!$T$65:$X$85,3,0)*Model0.1C!CJ149)/0.9</f>
        <v>#N/A</v>
      </c>
      <c r="CM149" s="102" t="e">
        <f t="shared" si="282"/>
        <v>#N/A</v>
      </c>
      <c r="CN149" s="102" t="e">
        <f t="shared" si="283"/>
        <v>#N/A</v>
      </c>
      <c r="CO149" s="414" t="e">
        <f>IF(CO148=0,0,IF(AND(CK149&gt;charge_ELS_quasi,CL149&gt;Charge_ELS_freq,CM149&gt;charge_ELU,CN149&gt;charge_ELA,$B149&gt;NDC!$H$22-0.1+MIN(3*$CO$12,1.5)),0,1))</f>
        <v>#N/A</v>
      </c>
      <c r="CP149" s="86" t="b">
        <f t="shared" si="251"/>
        <v>0</v>
      </c>
      <c r="CQ149" s="86">
        <f t="shared" si="252"/>
        <v>0.5</v>
      </c>
      <c r="CR149" s="86">
        <f t="shared" si="253"/>
        <v>0.5</v>
      </c>
      <c r="CS149" s="30" t="e">
        <f t="shared" ca="1" si="284"/>
        <v>#DIV/0!</v>
      </c>
      <c r="CT149" s="85" t="e">
        <f ca="1">IF(BZ149&lt;=Hypothèses!$V$7,Hypothèses!$W$7,IF(BZ149&lt;=Hypothèses!$V$8,Hypothèses!$W$8,IF(BZ149&lt;=Hypothèses!$V$9,Hypothèses!$W$9,IF(BZ149&lt;=Hypothèses!$V$10,Hypothèses!$W$10,IF(BZ149&lt;=Hypothèses!$V$11,Hypothèses!$W$11,IF(BZ149&lt;=Hypothèses!$V$12,Hypothèses!$W$12,IF(BZ149&lt;=Hypothèses!$V$13,Hypothèses!$W$13,IF(BZ149&lt;=Hypothèses!$V$14,Hypothèses!$W$14,IF(BZ149&lt;=Hypothèses!$V$15,Hypothèses!$W$15,IF(BZ149&lt;=Hypothèses!$V$16,Hypothèses!$W$16,IF(BZ149&lt;=Hypothèses!$V$17,Hypothèses!$W$17,IF(BZ149&lt;=Hypothèses!$V$18,Hypothèses!$W$18,""))))))))))))</f>
        <v>#DIV/0!</v>
      </c>
      <c r="CU149" s="87" t="e">
        <f t="shared" ca="1" si="320"/>
        <v>#DIV/0!</v>
      </c>
      <c r="CV149" s="88" t="e">
        <f ca="1">IF(BZ149&lt;=Hypothèses!$V$7,Hypothèses!$X$7,IF(BZ149&lt;=Hypothèses!$V$8,Hypothèses!$X$8,IF(BZ149&lt;=Hypothèses!$V$9,Hypothèses!$X$9,IF(BZ149&lt;=Hypothèses!$V$10,Hypothèses!$X$10,IF(BZ149&lt;=Hypothèses!$V$11,Hypothèses!$X$11,IF(BZ149&lt;=Hypothèses!$V$12,Hypothèses!$X$12,IF(BZ149&lt;=Hypothèses!$V$13,Hypothèses!$X$13,IF(BZ149&lt;=Hypothèses!$V$14,Hypothèses!$X$14,IF(BZ149&lt;=Hypothèses!$V$15,Hypothèses!$X$15,IF(BZ149&lt;=Hypothèses!$V$16,Hypothèses!$X$16,IF(BZ149&lt;=Hypothèses!$U$17,Hypothèses!$W$17,IF(BZ149&lt;=Hypothèses!$U$18,Hypothèses!$W$18,""))))))))))))</f>
        <v>#DIV/0!</v>
      </c>
      <c r="CW149" s="95" t="e">
        <f t="shared" ca="1" si="285"/>
        <v>#DIV/0!</v>
      </c>
      <c r="CX149" s="101" t="e">
        <f t="shared" si="327"/>
        <v>#N/A</v>
      </c>
      <c r="CY149" s="91" t="e">
        <f t="shared" si="254"/>
        <v>#N/A</v>
      </c>
      <c r="CZ149" s="30" t="e">
        <f t="shared" si="308"/>
        <v>#N/A</v>
      </c>
      <c r="DA149" s="30" t="e">
        <f t="shared" si="309"/>
        <v>#N/A</v>
      </c>
      <c r="DB149" s="31" t="e">
        <f>IF(OR(Hypothèses!$B$4=17,Hypothèses!$B$4=18,Hypothèses!$B$4=19,Hypothèses!$B$4=20),
IF($D149="Pressio.",
IF(OR($E149=3,$E149=1,$E149=4),DA149,CZ149),
IF($D149="Pénétro.",
IF(OR($E149=3,$E149=1,$E149=4),DA149,CZ149))),IF($D149="Pressio.",
IF($E149=3,DA149,CZ149),
IF($D149="Pénétro.",
IF($E149=4,DA149,CZ149))))</f>
        <v>#N/A</v>
      </c>
      <c r="DC149" s="31" t="e">
        <f>(IF(OR(Hypothèses!$B$4=17,Hypothèses!$B$4=18,Hypothèses!$B$4=19,Hypothèses!$B$4=20),
IF($D149="Pressio.",
IF(OR($E149=3,$E149=1,$E149=4),(PI()*DC$12^2)/4*(CY149*$W149*1000)/($H149*$B$5),(PI()*DC$12^2)/4*(CY149*$W149*1000)/($G149*$B$5)),
IF($D149="Pénétro.",
IF(OR($E149=4,$E149=1,$E149=5),(PI()*DC$12^2)/4*(CY149*$W149*1000)/($H149*$B$5),(PI()*DC$12^2)/4*(CY149*$W149*1000)/($G149*$B$5)))),
IF($D149="Pressio.",
IF($E149=3,(PI()*DC$12^2)/4*(CY149*$W149*1000)/($H149*$B$5),(PI()*DC$12^2)/4*(CY149*$W149*1000)/($G149*$B$5)),
IF($D149="Pénétro.",
IF($E149=4,(PI()*DC$12^2)/4*(CY149*$W149*1000)/($H149*$B$5),(PI()*DC$12^2)/4*(CY149*$W149*1000)/($G149*$B$5))))))/10</f>
        <v>#N/A</v>
      </c>
      <c r="DD149" s="102" t="e">
        <f>(VLOOKUP($B$3,'Coeff EC7'!$T$39:$X$59,2,0)*DB149+VLOOKUP($B$3,'Coeff EC7'!$T$65:$X$85,2,0)*Model0.1C!DC149)/1.1</f>
        <v>#N/A</v>
      </c>
      <c r="DE149" s="102" t="e">
        <f>(VLOOKUP($B$3,'Coeff EC7'!$T$39:$X$59,3,0)*DB149+VLOOKUP($B$3,'Coeff EC7'!$T$65:$X$85,3,0)*Model0.1C!DC149)/0.9</f>
        <v>#N/A</v>
      </c>
      <c r="DF149" s="102" t="e">
        <f t="shared" si="286"/>
        <v>#N/A</v>
      </c>
      <c r="DG149" s="102" t="e">
        <f t="shared" si="287"/>
        <v>#N/A</v>
      </c>
      <c r="DH149" s="414" t="e">
        <f>IF(DH148=0,0,IF(AND(DD149&gt;charge_ELS_quasi,DE149&gt;Charge_ELS_freq,DF149&gt;charge_ELU,DG149&gt;charge_ELA,$B149&gt;NDC!$H$22-0.1+MIN(3*$DH$12,1.5)),0,1))</f>
        <v>#N/A</v>
      </c>
      <c r="DI149" s="86" t="b">
        <f t="shared" si="255"/>
        <v>0</v>
      </c>
      <c r="DJ149" s="86">
        <f t="shared" si="256"/>
        <v>0.5</v>
      </c>
      <c r="DK149" s="86">
        <f t="shared" si="257"/>
        <v>0.5</v>
      </c>
      <c r="DL149" s="30" t="e">
        <f t="shared" ca="1" si="288"/>
        <v>#DIV/0!</v>
      </c>
      <c r="DM149" s="85" t="e">
        <f ca="1">IF(CS149&lt;=Hypothèses!$V$7,Hypothèses!$W$7,IF(CS149&lt;=Hypothèses!$V$8,Hypothèses!$W$8,IF(CS149&lt;=Hypothèses!$V$9,Hypothèses!$W$9,IF(CS149&lt;=Hypothèses!$V$10,Hypothèses!$W$10,IF(CS149&lt;=Hypothèses!$V$11,Hypothèses!$W$11,IF(CS149&lt;=Hypothèses!$V$12,Hypothèses!$W$12,IF(CS149&lt;=Hypothèses!$V$13,Hypothèses!$W$13,IF(CS149&lt;=Hypothèses!$V$14,Hypothèses!$W$14,IF(CS149&lt;=Hypothèses!$V$15,Hypothèses!$W$15,IF(CS149&lt;=Hypothèses!$V$16,Hypothèses!$W$16,IF(CS149&lt;=Hypothèses!$V$17,Hypothèses!$W$17,IF(CS149&lt;=Hypothèses!$V$18,Hypothèses!$W$18,""))))))))))))</f>
        <v>#DIV/0!</v>
      </c>
      <c r="DN149" s="87" t="e">
        <f t="shared" ca="1" si="321"/>
        <v>#DIV/0!</v>
      </c>
      <c r="DO149" s="88" t="e">
        <f ca="1">IF(CS149&lt;=Hypothèses!$V$7,Hypothèses!$X$7,IF(CS149&lt;=Hypothèses!$V$8,Hypothèses!$X$8,IF(CS149&lt;=Hypothèses!$V$9,Hypothèses!$X$9,IF(CS149&lt;=Hypothèses!$V$10,Hypothèses!$X$10,IF(CS149&lt;=Hypothèses!$V$11,Hypothèses!$X$11,IF(CS149&lt;=Hypothèses!$V$12,Hypothèses!$X$12,IF(CS149&lt;=Hypothèses!$V$13,Hypothèses!$X$13,IF(CS149&lt;=Hypothèses!$V$14,Hypothèses!$X$14,IF(CS149&lt;=Hypothèses!$V$15,Hypothèses!$X$15,IF(CS149&lt;=Hypothèses!$V$16,Hypothèses!$X$16,IF(CS149&lt;=Hypothèses!$U$17,Hypothèses!$W$17,IF(CS149&lt;=Hypothèses!$U$18,Hypothèses!$W$18,""))))))))))))</f>
        <v>#DIV/0!</v>
      </c>
      <c r="DP149" s="95" t="e">
        <f t="shared" ca="1" si="289"/>
        <v>#DIV/0!</v>
      </c>
      <c r="DQ149" s="101" t="e">
        <f t="shared" si="328"/>
        <v>#N/A</v>
      </c>
      <c r="DR149" s="91" t="e">
        <f t="shared" si="258"/>
        <v>#N/A</v>
      </c>
      <c r="DS149" s="30" t="e">
        <f t="shared" si="310"/>
        <v>#N/A</v>
      </c>
      <c r="DT149" s="30" t="e">
        <f t="shared" si="311"/>
        <v>#N/A</v>
      </c>
      <c r="DU149" s="31" t="e">
        <f>IF(OR(Hypothèses!$B$4=17,Hypothèses!$B$4=18,Hypothèses!$B$4=19,Hypothèses!$B$4=20),
IF($D149="Pressio.",
IF(OR($E149=3,$E149=1,$E149=4),DT149,DS149),
IF($D149="Pénétro.",
IF(OR($E149=3,$E149=1,$E149=4),DT149,DS149))),IF($D149="Pressio.",
IF($E149=3,DT149,DS149),
IF($D149="Pénétro.",
IF($E149=4,DT149,DS149))))</f>
        <v>#N/A</v>
      </c>
      <c r="DV149" s="31" t="e">
        <f>(IF(OR(Hypothèses!$B$4=17,Hypothèses!$B$4=18,Hypothèses!$B$4=19,Hypothèses!$B$4=20),
IF($D149="Pressio.",
IF(OR($E149=3,$E149=1,$E149=4),(PI()*DV$12^2)/4*(DR149*$W149*1000)/($H149*$B$5),(PI()*DV$12^2)/4*(DR149*$W149*1000)/($G149*$B$5)),
IF($D149="Pénétro.",
IF(OR($E149=4,$E149=1,$E149=5),(PI()*DV$12^2)/4*(DR149*$W149*1000)/($H149*$B$5),(PI()*DV$12^2)/4*(DR149*$W149*1000)/($G149*$B$5)))),
IF($D149="Pressio.",
IF($E149=3,(PI()*DV$12^2)/4*(DR149*$W149*1000)/($H149*$B$5),(PI()*DV$12^2)/4*(DR149*$W149*1000)/($G149*$B$5)),
IF($D149="Pénétro.",
IF($E149=4,(PI()*DV$12^2)/4*(DR149*$W149*1000)/($H149*$B$5),(PI()*DV$12^2)/4*(DR149*$W149*1000)/($G149*$B$5))))))/10</f>
        <v>#N/A</v>
      </c>
      <c r="DW149" s="102" t="e">
        <f>(VLOOKUP($B$3,'Coeff EC7'!$T$39:$X$59,2,0)*DU149+VLOOKUP($B$3,'Coeff EC7'!$T$65:$X$85,2,0)*Model0.1C!DV149)/1.1</f>
        <v>#N/A</v>
      </c>
      <c r="DX149" s="102" t="e">
        <f>(VLOOKUP($B$3,'Coeff EC7'!$T$39:$X$59,3,0)*DU149+VLOOKUP($B$3,'Coeff EC7'!$T$65:$X$85,3,0)*Model0.1C!DV149)/0.9</f>
        <v>#N/A</v>
      </c>
      <c r="DY149" s="102" t="e">
        <f t="shared" si="290"/>
        <v>#N/A</v>
      </c>
      <c r="DZ149" s="102" t="e">
        <f t="shared" si="291"/>
        <v>#N/A</v>
      </c>
      <c r="EA149" s="414" t="e">
        <f>IF(EA148=0,0,IF(AND(DW149&gt;charge_ELS_quasi,DX149&gt;Charge_ELS_freq,DY149&gt;charge_ELU,DZ149&gt;charge_ELA,$B149&gt;NDC!$H$22-0.1+MIN(3*$EA$12,1.5)),0,1))</f>
        <v>#N/A</v>
      </c>
      <c r="EB149" s="86" t="b">
        <f t="shared" si="259"/>
        <v>0</v>
      </c>
      <c r="EC149" s="418">
        <f t="shared" si="260"/>
        <v>0.51</v>
      </c>
      <c r="ED149" s="86">
        <f t="shared" si="261"/>
        <v>0.51</v>
      </c>
      <c r="EE149" s="30" t="e">
        <f t="shared" ca="1" si="292"/>
        <v>#DIV/0!</v>
      </c>
      <c r="EF149" s="85" t="e">
        <f ca="1">IF(DL149&lt;=Hypothèses!$V$7,Hypothèses!$W$7,IF(DL149&lt;=Hypothèses!$V$8,Hypothèses!$W$8,IF(DL149&lt;=Hypothèses!$V$9,Hypothèses!$W$9,IF(DL149&lt;=Hypothèses!$V$10,Hypothèses!$W$10,IF(DL149&lt;=Hypothèses!$V$11,Hypothèses!$W$11,IF(DL149&lt;=Hypothèses!$V$12,Hypothèses!$W$12,IF(DL149&lt;=Hypothèses!$V$13,Hypothèses!$W$13,IF(DL149&lt;=Hypothèses!$V$14,Hypothèses!$W$14,IF(DL149&lt;=Hypothèses!$V$15,Hypothèses!$W$15,IF(DL149&lt;=Hypothèses!$V$16,Hypothèses!$W$16,IF(DL149&lt;=Hypothèses!$V$17,Hypothèses!$W$17,IF(DL149&lt;=Hypothèses!$V$18,Hypothèses!$W$18,""))))))))))))</f>
        <v>#DIV/0!</v>
      </c>
      <c r="EG149" s="87" t="e">
        <f t="shared" ca="1" si="322"/>
        <v>#DIV/0!</v>
      </c>
      <c r="EH149" s="88" t="e">
        <f ca="1">IF(DL149&lt;=Hypothèses!$V$7,Hypothèses!$X$7,IF(DL149&lt;=Hypothèses!$V$8,Hypothèses!$X$8,IF(DL149&lt;=Hypothèses!$V$9,Hypothèses!$X$9,IF(DL149&lt;=Hypothèses!$V$10,Hypothèses!$X$10,IF(DL149&lt;=Hypothèses!$V$11,Hypothèses!$X$11,IF(DL149&lt;=Hypothèses!$V$12,Hypothèses!$X$12,IF(DL149&lt;=Hypothèses!$V$13,Hypothèses!$X$13,IF(DL149&lt;=Hypothèses!$V$14,Hypothèses!$X$14,IF(DL149&lt;=Hypothèses!$V$15,Hypothèses!$X$15,IF(DL149&lt;=Hypothèses!$V$16,Hypothèses!$X$16,IF(DL149&lt;=Hypothèses!$U$17,Hypothèses!$W$17,IF(DL149&lt;=Hypothèses!$U$18,Hypothèses!$W$18,""))))))))))))</f>
        <v>#DIV/0!</v>
      </c>
      <c r="EI149" s="95" t="e">
        <f t="shared" ca="1" si="293"/>
        <v>#DIV/0!</v>
      </c>
      <c r="EJ149" s="101" t="e">
        <f t="shared" si="329"/>
        <v>#N/A</v>
      </c>
      <c r="EK149" s="91" t="e">
        <f t="shared" si="262"/>
        <v>#N/A</v>
      </c>
      <c r="EL149" s="30" t="e">
        <f t="shared" si="312"/>
        <v>#N/A</v>
      </c>
      <c r="EM149" s="30" t="e">
        <f t="shared" si="313"/>
        <v>#N/A</v>
      </c>
      <c r="EN149" s="31" t="e">
        <f>IF(OR(Hypothèses!$B$4=17,Hypothèses!$B$4=18,Hypothèses!$B$4=19,Hypothèses!$B$4=20),
IF($D149="Pressio.",
IF(OR($E149=3,$E149=1,$E149=4),EM149,EL149),
IF($D149="Pénétro.",
IF(OR($E149=3,$E149=1,$E149=4),EM149,EL149))),IF($D149="Pressio.",
IF($E149=3,EM149,EL149),
IF($D149="Pénétro.",
IF($E149=4,EM149,EL149))))</f>
        <v>#N/A</v>
      </c>
      <c r="EO149" s="31" t="e">
        <f>(IF(OR(Hypothèses!$B$4=17,Hypothèses!$B$4=18,Hypothèses!$B$4=19,Hypothèses!$B$4=20),
IF($D149="Pressio.",
IF(OR($E149=3,$E149=1,$E149=4),(PI()*EO$12^2)/4*(EK149*$W149*1000)/($H149*$B$5),(PI()*EO$12^2)/4*(EK149*$W149*1000)/($G149*$B$5)),
IF($D149="Pénétro.",
IF(OR($E149=4,$E149=1,$E149=5),(PI()*EO$12^2)/4*(EK149*$W149*1000)/($H149*$B$5),(PI()*EO$12^2)/4*(EK149*$W149*1000)/($G149*$B$5)))),
IF($D149="Pressio.",
IF($E149=3,(PI()*EO$12^2)/4*(EK149*$W149*1000)/($H149*$B$5),(PI()*EO$12^2)/4*(EK149*$W149*1000)/($G149*$B$5)),
IF($D149="Pénétro.",
IF($E149=4,(PI()*EO$12^2)/4*(EK149*$W149*1000)/($H149*$B$5),(PI()*EO$12^2)/4*(EK149*$W149*1000)/($G149*$B$5))))))/10</f>
        <v>#N/A</v>
      </c>
      <c r="EP149" s="102" t="e">
        <f>(VLOOKUP($B$3,'Coeff EC7'!$T$39:$X$59,2,0)*EN149+VLOOKUP($B$3,'Coeff EC7'!$T$65:$X$85,2,0)*Model0.1C!EO149)/1.1</f>
        <v>#N/A</v>
      </c>
      <c r="EQ149" s="102" t="e">
        <f>(VLOOKUP($B$3,'Coeff EC7'!$T$39:$X$59,3,0)*EN149+VLOOKUP($B$3,'Coeff EC7'!$T$65:$X$85,3,0)*Model0.1C!EO149)/0.9</f>
        <v>#N/A</v>
      </c>
      <c r="ER149" s="102" t="e">
        <f t="shared" si="294"/>
        <v>#N/A</v>
      </c>
      <c r="ES149" s="102" t="e">
        <f t="shared" si="295"/>
        <v>#N/A</v>
      </c>
      <c r="ET149" s="414" t="e">
        <f>IF(ET148=0,0,IF(AND(EP149&gt;charge_ELS_quasi,EQ149&gt;Charge_ELS_freq,ER149&gt;charge_ELU,ES149&gt;charge_ELA,$B149&gt;NDC!$H$22-0.1+MIN(3*$ET$12,1.5)),0,1))</f>
        <v>#N/A</v>
      </c>
      <c r="EU149" s="86" t="b">
        <f t="shared" si="263"/>
        <v>0</v>
      </c>
      <c r="EV149" s="86">
        <f t="shared" si="264"/>
        <v>0.61</v>
      </c>
      <c r="EW149" s="86">
        <f t="shared" si="265"/>
        <v>0.61</v>
      </c>
      <c r="EX149" s="30" t="e">
        <f t="shared" ca="1" si="296"/>
        <v>#DIV/0!</v>
      </c>
      <c r="EY149" s="85" t="e">
        <f ca="1">IF(EE149&lt;=Hypothèses!$V$7,Hypothèses!$W$7,IF(EE149&lt;=Hypothèses!$V$8,Hypothèses!$W$8,IF(EE149&lt;=Hypothèses!$V$9,Hypothèses!$W$9,IF(EE149&lt;=Hypothèses!$V$10,Hypothèses!$W$10,IF(EE149&lt;=Hypothèses!$V$11,Hypothèses!$W$11,IF(EE149&lt;=Hypothèses!$V$12,Hypothèses!$W$12,IF(EE149&lt;=Hypothèses!$V$13,Hypothèses!$W$13,IF(EE149&lt;=Hypothèses!$V$14,Hypothèses!$W$14,IF(EE149&lt;=Hypothèses!$V$15,Hypothèses!$W$15,IF(EE149&lt;=Hypothèses!$V$16,Hypothèses!$W$16,IF(EE149&lt;=Hypothèses!$V$17,Hypothèses!$W$17,IF(EE149&lt;=Hypothèses!$V$18,Hypothèses!$W$18,""))))))))))))</f>
        <v>#DIV/0!</v>
      </c>
      <c r="EZ149" s="87" t="e">
        <f t="shared" ca="1" si="323"/>
        <v>#DIV/0!</v>
      </c>
      <c r="FA149" s="88" t="e">
        <f ca="1">IF(EE149&lt;=Hypothèses!$V$7,Hypothèses!$X$7,IF(EE149&lt;=Hypothèses!$V$8,Hypothèses!$X$8,IF(EE149&lt;=Hypothèses!$V$9,Hypothèses!$X$9,IF(EE149&lt;=Hypothèses!$V$10,Hypothèses!$X$10,IF(EE149&lt;=Hypothèses!$V$11,Hypothèses!$X$11,IF(EE149&lt;=Hypothèses!$V$12,Hypothèses!$X$12,IF(EE149&lt;=Hypothèses!$V$13,Hypothèses!$X$13,IF(EE149&lt;=Hypothèses!$V$14,Hypothèses!$X$14,IF(EE149&lt;=Hypothèses!$V$15,Hypothèses!$X$15,IF(EE149&lt;=Hypothèses!$V$16,Hypothèses!$X$16,IF(EE149&lt;=Hypothèses!$U$17,Hypothèses!$W$17,IF(EE149&lt;=Hypothèses!$U$18,Hypothèses!$W$18,""))))))))))))</f>
        <v>#DIV/0!</v>
      </c>
      <c r="FB149" s="95" t="e">
        <f t="shared" ca="1" si="297"/>
        <v>#DIV/0!</v>
      </c>
      <c r="FC149" s="101" t="e">
        <f t="shared" si="330"/>
        <v>#N/A</v>
      </c>
      <c r="FD149" s="91" t="e">
        <f t="shared" si="266"/>
        <v>#N/A</v>
      </c>
      <c r="FE149" s="30" t="e">
        <f t="shared" si="314"/>
        <v>#N/A</v>
      </c>
      <c r="FF149" s="30" t="e">
        <f t="shared" si="315"/>
        <v>#N/A</v>
      </c>
      <c r="FG149" s="31" t="e">
        <f>IF(OR(Hypothèses!$B$4=17,Hypothèses!$B$4=18,Hypothèses!$B$4=19,Hypothèses!$B$4=20),
IF($D149="Pressio.",
IF(OR($E149=3,$E149=1,$E149=4),FF149,FE149),
IF($D149="Pénétro.",
IF(OR($E149=3,$E149=1,$E149=4),FF149,FE149))),IF($D149="Pressio.",
IF($E149=3,FF149,FE149),
IF($D149="Pénétro.",
IF($E149=4,FF149,FE149))))</f>
        <v>#N/A</v>
      </c>
      <c r="FH149" s="31" t="e">
        <f>(IF(OR(Hypothèses!$B$4=17,Hypothèses!$B$4=18,Hypothèses!$B$4=19,Hypothèses!$B$4=20),
IF($D149="Pressio.",
IF(OR($E149=3,$E149=1,$E149=4),(PI()*FH$12^2)/4*(FD149*$W149*1000)/($H149*$B$5),(PI()*FH$12^2)/4*(FD149*$W149*1000)/($G149*$B$5)),
IF($D149="Pénétro.",
IF(OR($E149=4,$E149=1,$E149=5),(PI()*FH$12^2)/4*(FD149*$W149*1000)/($H149*$B$5),(PI()*FH$12^2)/4*(FD149*$W149*1000)/($G149*$B$5)))),
IF($D149="Pressio.",
IF($E149=3,(PI()*FH$12^2)/4*(FD149*$W149*1000)/($H149*$B$5),(PI()*FH$12^2)/4*(FD149*$W149*1000)/($G149*$B$5)),
IF($D149="Pénétro.",
IF($E149=4,(PI()*FH$12^2)/4*(FD149*$W149*1000)/($H149*$B$5),(PI()*FH$12^2)/4*(FD149*$W149*1000)/($G149*$B$5))))))/10</f>
        <v>#N/A</v>
      </c>
      <c r="FI149" s="102" t="e">
        <f>(VLOOKUP($B$3,'Coeff EC7'!$T$39:$X$59,2,0)*FG149+VLOOKUP($B$3,'Coeff EC7'!$T$65:$X$85,2,0)*Model0.1C!FH149)/1.1</f>
        <v>#N/A</v>
      </c>
      <c r="FJ149" s="102" t="e">
        <f>(VLOOKUP($B$3,'Coeff EC7'!$T$39:$X$59,3,0)*FG149+VLOOKUP($B$3,'Coeff EC7'!$T$65:$X$85,3,0)*Model0.1C!FH149)/0.9</f>
        <v>#N/A</v>
      </c>
      <c r="FK149" s="102" t="e">
        <f t="shared" si="298"/>
        <v>#N/A</v>
      </c>
      <c r="FL149" s="102" t="e">
        <f t="shared" si="299"/>
        <v>#N/A</v>
      </c>
      <c r="FM149" s="414" t="e">
        <f>IF(FM148=0,0,IF(AND(FI149&gt;charge_ELS_quasi,FJ149&gt;Charge_ELS_freq,FK149&gt;charge_ELU,FL149&gt;charge_ELA,$B149&gt;NDC!$H$22-0.1+MIN(3*$FM$12,1.5)),0,1))</f>
        <v>#N/A</v>
      </c>
    </row>
    <row r="150" spans="1:169">
      <c r="A150" s="96">
        <f t="shared" si="267"/>
        <v>86.300000000000779</v>
      </c>
      <c r="B150" s="97">
        <v>13.7</v>
      </c>
      <c r="C150" s="81">
        <f>IF(B150&lt;=Hypothèses!$C$7,Hypothèses!$A$7,IF(B150&lt;=Hypothèses!$C$8,Hypothèses!$A$8,IF(B150&lt;=Hypothèses!$C$9,Hypothèses!$A$9,IF(B150&lt;=Hypothèses!$C$10,Hypothèses!$A$10,IF(B150&lt;=Hypothèses!$C$11,Hypothèses!$A$11,IF(B150&lt;=Hypothèses!$C$12,Hypothèses!$A$12,IF(B150&lt;=Hypothèses!$C$13,Hypothèses!$A$13,IF(B150&lt;=Hypothèses!$C$14,Hypothèses!$A$14,IF(B150&lt;=Hypothèses!$C$15,Hypothèses!$A$15,IF(B150&lt;=Hypothèses!$C$16,Hypothèses!$A$16,IF(B150&lt;=Hypothèses!$C$17,Hypothèses!$A$17,IF(B150&lt;=Hypothèses!$C$18,Hypothèses!$A$18,C149))))))))))))</f>
        <v>11</v>
      </c>
      <c r="D150" s="82" t="str">
        <f>IF(B150&lt;=Hypothèses!$C$7,Hypothèses!$R$7,IF(B150&lt;=Hypothèses!$C$8,Hypothèses!$R$8,IF(B150&lt;=Hypothèses!$C$9,Hypothèses!$R$9,IF(B150&lt;=Hypothèses!$C$10,Hypothèses!$R$10,IF(B150&lt;=Hypothèses!$C$11,Hypothèses!$R$11,IF(B150&lt;=Hypothèses!$C$12,Hypothèses!$R$12,IF(B150&lt;=Hypothèses!$C$13,Hypothèses!$R$13,IF(B150&lt;=Hypothèses!$C$14,Hypothèses!$R$14,IF(B150&lt;=Hypothèses!$C$15,Hypothèses!$R$15,IF(B150&lt;=Hypothèses!$C$16,Hypothèses!$R$16,IF(B150&lt;=Hypothèses!$C$17,Hypothèses!$R$17,IF(B150&lt;=Hypothèses!$C$18,Hypothèses!$R$18,D149))))))))))))</f>
        <v>Pressio.</v>
      </c>
      <c r="E150" s="82" t="e">
        <f>IF(B150&lt;=Hypothèses!$C$7,Hypothèses!$G$7,IF(B150&lt;=Hypothèses!$C$8,Hypothèses!$G$8,IF(B150&lt;=Hypothèses!$C$9,Hypothèses!$G$9,IF(B150&lt;=Hypothèses!$C$10,Hypothèses!$G$10,IF(B150&lt;=Hypothèses!$C$11,Hypothèses!$G$11,IF(B150&lt;=Hypothèses!$C$12,Hypothèses!$G$12,IF(B150&lt;=Hypothèses!$C$13,Hypothèses!$G$13,IF(B150&lt;=Hypothèses!$C$14,Hypothèses!$G$14,IF(B150&lt;=Hypothèses!$C$15,Hypothèses!$G$15,IF(B150&lt;=Hypothèses!$C$16,Hypothèses!$G$16,IF(B150&lt;=Hypothèses!$C$17,Hypothèses!$G$17,IF(B150&lt;=Hypothèses!$C$18,Hypothèses!$G$18,E149))))))))))))</f>
        <v>#N/A</v>
      </c>
      <c r="F150" s="82" t="str">
        <f>IF(B150&lt;=Hypothèses!$C$7,Hypothèses!$F$7,IF(B150&lt;=Hypothèses!$C$8,Hypothèses!$F$8,IF(B150&lt;=Hypothèses!$C$9,Hypothèses!$F$9,IF(B150&lt;=Hypothèses!$C$10,Hypothèses!$F$10,IF(B150&lt;=Hypothèses!$C$11,Hypothèses!$F$11,IF(B150&lt;=Hypothèses!$C$12,Hypothèses!$F$12,IF(B150&lt;=Hypothèses!$C$13,Hypothèses!$F$13,IF(B150&lt;=Hypothèses!$C$14,Hypothèses!$F$14,IF(B150&lt;=Hypothèses!$C$15,Hypothèses!$F$15,IF(B150&lt;=Hypothèses!$C$16,Hypothèses!$F$16,IF(B150&lt;=Hypothèses!$C$17,Hypothèses!$F$17,IF(B150&lt;=Hypothèses!$C$18,Hypothèses!$F$18,F149))))))))))))</f>
        <v/>
      </c>
      <c r="G150" s="91">
        <f t="array" ref="G150">INDEX('Coeff EC7'!$U$7:$X$27,
MATCH(Model0.1C!$B$3,'Coeff EC7'!$T$7:$T$27,0),
MATCH(Model0.1C!$D150&amp;Model0.1C!$B$4,
'Coeff EC7'!$U$6:$X$6&amp;
'Coeff EC7'!$U$5:$X$5,0))</f>
        <v>1.1499999999999999</v>
      </c>
      <c r="H150" s="91">
        <f t="array" ref="H150">INDEX('Coeff EC7'!$Y$7:$AB$27,
MATCH(Model0.1C!$B$3,'Coeff EC7'!$T$7:$T$27,0),
MATCH(Model0.1C!$D150&amp;Model0.1C!$B$4,
'Coeff EC7'!$Y$6:$AB$6&amp;
'Coeff EC7'!$Y$5:$AB$5,0))</f>
        <v>1.4</v>
      </c>
      <c r="I150" s="83" t="e">
        <f>IF(B150&lt;=Hypothèses!$C$7,Hypothèses!$P$7,IF(B150&lt;=Hypothèses!$C$8,Hypothèses!$P$8,IF(B150&lt;=Hypothèses!$C$9,Hypothèses!$P$9,IF(B150&lt;=Hypothèses!$C$10,Hypothèses!$P$10,IF(B150&lt;=Hypothèses!$C$11,Hypothèses!$P$11,IF(B150&lt;=Hypothèses!$C$12,Hypothèses!$P$12,IF(B150&lt;=Hypothèses!$C$13,Hypothèses!$P$13,IF(B150&lt;=Hypothèses!$C$14,Hypothèses!$P$14,IF(B150&lt;=Hypothèses!$C$15,Hypothèses!$P$15,IF(B150&lt;=Hypothèses!$C$16,Hypothèses!$P$16,IF(B150&lt;=Hypothèses!$C$17,Hypothèses!$P$17,IF(B150&lt;=Hypothèses!$C$18,Hypothèses!$P$18,I149))))))))))))</f>
        <v>#N/A</v>
      </c>
      <c r="J150" s="91" t="e">
        <f t="array" ref="J150">INDEX('Coeff EC7'!$D$33:$Q$33,1,MATCH(D150&amp;E150,'Coeff EC7'!$D$31:$Q$31&amp;'Coeff EC7'!$D$32:$Q$32,0))</f>
        <v>#N/A</v>
      </c>
      <c r="K150" s="91" t="e">
        <f t="array" ref="K150">INDEX('Coeff EC7'!$D$34:$Q$34,1,MATCH(D150&amp;E150,'Coeff EC7'!$D$31:$Q$31&amp;'Coeff EC7'!$D$32:$Q$32,0))</f>
        <v>#N/A</v>
      </c>
      <c r="L150" s="91" t="e">
        <f t="array" ref="L150">INDEX('Coeff EC7'!$D$35:$Q$35,1,MATCH(D150&amp;E150,'Coeff EC7'!$D$31:$Q$31&amp;'Coeff EC7'!$D$32:$Q$32,0))</f>
        <v>#N/A</v>
      </c>
      <c r="M150" s="98" t="e">
        <f t="shared" si="231"/>
        <v>#N/A</v>
      </c>
      <c r="N150" s="99" t="e">
        <f t="array" ref="N150">INDEX('Coeff EC7'!$D$7:$Q$27,MATCH($B$3,'Coeff EC7'!$C$7:$C$27,0),MATCH(D150&amp;E150,'Coeff EC7'!$D$5:$Q$5&amp;'Coeff EC7'!$D$6:$Q$6,0))</f>
        <v>#N/A</v>
      </c>
      <c r="O150" s="99" t="e">
        <f t="array" ref="O150">INDEX('Coeff EC7'!$D$41:$Q$61,MATCH($B$3,'Coeff EC7'!$C$41:$C$61,0),MATCH(D150&amp;E150,'Coeff EC7'!$D$39:$Q$39&amp;'Coeff EC7'!$D$40:$Q$40,0))</f>
        <v>#N/A</v>
      </c>
      <c r="P150" s="30" t="e">
        <f t="shared" si="268"/>
        <v>#N/A</v>
      </c>
      <c r="Q150" s="100" t="e">
        <f t="shared" si="233"/>
        <v>#N/A</v>
      </c>
      <c r="R150" s="86" t="b">
        <f t="shared" si="234"/>
        <v>0</v>
      </c>
      <c r="S150" s="86">
        <f t="shared" si="232"/>
        <v>0.5</v>
      </c>
      <c r="T150" s="86">
        <f t="shared" si="235"/>
        <v>0.5</v>
      </c>
      <c r="U150" s="30" t="e">
        <f t="shared" ca="1" si="269"/>
        <v>#DIV/0!</v>
      </c>
      <c r="V150" s="85" t="str">
        <f>IF(B150&lt;=Hypothèses!$V$7,Hypothèses!$W$7,IF(B150&lt;=Hypothèses!$V$8,Hypothèses!$W$8,IF(B150&lt;=Hypothèses!$V$9,Hypothèses!$W$9,IF(B150&lt;=Hypothèses!$V$10,Hypothèses!$W$10,IF(B150&lt;=Hypothèses!$V$11,Hypothèses!$W$11,IF(B150&lt;=Hypothèses!$V$12,Hypothèses!$W$12,IF(B150&lt;=Hypothèses!$V$13,Hypothèses!$W$13,IF(B150&lt;=Hypothèses!$V$14,Hypothèses!$W$14,IF(B150&lt;=Hypothèses!$V$15,Hypothèses!$W$15,IF(B150&lt;=Hypothèses!$V$16,Hypothèses!$W$16,IF(B150&lt;=Hypothèses!$V$17,Hypothèses!$W$17,IF(B150&lt;=Hypothèses!$V$18,Hypothèses!$W$18,""))))))))))))</f>
        <v/>
      </c>
      <c r="W150" s="87" t="e">
        <f t="shared" ca="1" si="316"/>
        <v>#DIV/0!</v>
      </c>
      <c r="X150" s="88" t="str">
        <f>IF(B150&lt;=Hypothèses!$V$7,Hypothèses!$X$7,IF(B150&lt;=Hypothèses!$V$8,Hypothèses!$X$8,IF(B150&lt;=Hypothèses!$V$9,Hypothèses!$X$9,IF(B150&lt;=Hypothèses!$V$10,Hypothèses!$X$10,IF(B150&lt;=Hypothèses!$V$11,Hypothèses!$X$11,IF(B150&lt;=Hypothèses!$V$12,Hypothèses!$X$12,IF(B150&lt;=Hypothèses!$V$13,Hypothèses!$X$13,IF(B150&lt;=Hypothèses!$V$14,Hypothèses!$X$14,IF(B150&lt;=Hypothèses!$V$15,Hypothèses!$X$15,IF(B150&lt;=Hypothèses!$V$16,Hypothèses!$X$16,IF(B150&lt;=Hypothèses!$U$17,Hypothèses!$W$17,IF(B150&lt;=Hypothèses!$U$18,Hypothèses!$W$18,""))))))))))))</f>
        <v/>
      </c>
      <c r="Y150" s="95" t="e">
        <f t="shared" ca="1" si="236"/>
        <v>#DIV/0!</v>
      </c>
      <c r="Z150" s="101" t="e">
        <f t="shared" si="237"/>
        <v>#N/A</v>
      </c>
      <c r="AA150" s="91" t="e">
        <f t="shared" si="238"/>
        <v>#N/A</v>
      </c>
      <c r="AB150" s="30" t="e">
        <f t="shared" si="300"/>
        <v>#N/A</v>
      </c>
      <c r="AC150" s="30" t="e">
        <f t="shared" si="301"/>
        <v>#N/A</v>
      </c>
      <c r="AD150" s="31" t="e">
        <f>IF(OR(Hypothèses!$B$4=17,Hypothèses!$B$4=18,Hypothèses!$B$4=19,Hypothèses!$B$4=20),
IF($D150="Pressio.",
IF(OR($E150=3,$E150=1,$E150=4),AC150,AB150),
IF($D150="Pénétro.",
IF(OR($E150=3,$E150=1,$E150=4),AC150,AB150))),IF($D150="Pressio.",
IF($E150=3,AC150,AB150),
IF($D150="Pénétro.",
IF($E150=4,AC150,AB150))))</f>
        <v>#N/A</v>
      </c>
      <c r="AE150" s="31" t="e">
        <f>(IF(OR(Hypothèses!$B$4=17,Hypothèses!$B$4=18,Hypothèses!$B$4=19,Hypothèses!$B$4=20),
IF($D150="Pressio.",
IF(OR($E150=3,$E150=1,$E150=4),(PI()*AE$12^2)/4*(AA150*$W150*1000)/($H150*$B$5),(PI()*AE$12^2)/4*(AA150*$W150*1000)/($G150*$B$5)),
IF($D150="Pénétro.",
IF(OR($E150=4,$E150=1,$E150=5),(PI()*AE$12^2)/4*(AA150*$W150*1000)/($H150*$B$5),(PI()*AE$12^2)/4*(AA150*$W150*1000)/($G150*$B$5)))),
IF($D150="Pressio.",
IF($E150=3,(PI()*AE$12^2)/4*(AA150*$W150*1000)/($H150*$B$5),(PI()*AE$12^2)/4*(AA150*$W150*1000)/($G150*$B$5)),
IF($D150="Pénétro.",
IF($E150=4,(PI()*AE$12^2)/4*(AA150*$W150*1000)/($H150*$B$5),(PI()*AE$12^2)/4*(AA150*$W150*1000)/($G150*$B$5))))))/10</f>
        <v>#N/A</v>
      </c>
      <c r="AF150" s="102" t="e">
        <f>(VLOOKUP($B$3,'Coeff EC7'!$T$39:$X$59,2,0)*AD150+VLOOKUP($B$3,'Coeff EC7'!$T$65:$X$85,2,0)*Model0.1C!AE150)/1.1</f>
        <v>#N/A</v>
      </c>
      <c r="AG150" s="102" t="e">
        <f>(VLOOKUP($B$3,'Coeff EC7'!$T$39:$X$59,3,0)*AD150+VLOOKUP($B$3,'Coeff EC7'!$T$65:$X$85,3,0)*Model0.1C!AE150)/0.9</f>
        <v>#N/A</v>
      </c>
      <c r="AH150" s="102" t="e">
        <f t="shared" si="239"/>
        <v>#N/A</v>
      </c>
      <c r="AI150" s="102" t="e">
        <f t="shared" si="240"/>
        <v>#N/A</v>
      </c>
      <c r="AJ150" s="414" t="e">
        <f>IF(AJ149=0,0,IF(AND(AF150&gt;charge_ELS_quasi,AG150&gt;Charge_ELS_freq,AH150&gt;charge_ELU,AI150&gt;charge_ELA,$B150&gt;NDC!$H$22-0.1+MIN(3*$AJ$12,1.5)),0,1))</f>
        <v>#N/A</v>
      </c>
      <c r="AK150" s="86" t="b">
        <f t="shared" si="241"/>
        <v>0</v>
      </c>
      <c r="AL150" s="86">
        <f t="shared" si="270"/>
        <v>0.5</v>
      </c>
      <c r="AM150" s="86">
        <f t="shared" si="242"/>
        <v>0.5</v>
      </c>
      <c r="AN150" s="30" t="e">
        <f t="shared" ca="1" si="271"/>
        <v>#DIV/0!</v>
      </c>
      <c r="AO150" s="85" t="e">
        <f ca="1">IF(U150&lt;=Hypothèses!$V$7,Hypothèses!$W$7,IF(U150&lt;=Hypothèses!$V$8,Hypothèses!$W$8,IF(U150&lt;=Hypothèses!$V$9,Hypothèses!$W$9,IF(U150&lt;=Hypothèses!$V$10,Hypothèses!$W$10,IF(U150&lt;=Hypothèses!$V$11,Hypothèses!$W$11,IF(U150&lt;=Hypothèses!$V$12,Hypothèses!$W$12,IF(U150&lt;=Hypothèses!$V$13,Hypothèses!$W$13,IF(U150&lt;=Hypothèses!$V$14,Hypothèses!$W$14,IF(U150&lt;=Hypothèses!$V$15,Hypothèses!$W$15,IF(U150&lt;=Hypothèses!$V$16,Hypothèses!$W$16,IF(U150&lt;=Hypothèses!$V$17,Hypothèses!$W$17,IF(U150&lt;=Hypothèses!$V$18,Hypothèses!$W$18,""))))))))))))</f>
        <v>#DIV/0!</v>
      </c>
      <c r="AP150" s="87" t="e">
        <f t="shared" ca="1" si="317"/>
        <v>#DIV/0!</v>
      </c>
      <c r="AQ150" s="88" t="e">
        <f ca="1">IF(U150&lt;=Hypothèses!$V$7,Hypothèses!$X$7,IF(U150&lt;=Hypothèses!$V$8,Hypothèses!$X$8,IF(U150&lt;=Hypothèses!$V$9,Hypothèses!$X$9,IF(U150&lt;=Hypothèses!$V$10,Hypothèses!$X$10,IF(U150&lt;=Hypothèses!$V$11,Hypothèses!$X$11,IF(U150&lt;=Hypothèses!$V$12,Hypothèses!$X$12,IF(U150&lt;=Hypothèses!$V$13,Hypothèses!$X$13,IF(U150&lt;=Hypothèses!$V$14,Hypothèses!$X$14,IF(U150&lt;=Hypothèses!$V$15,Hypothèses!$X$15,IF(U150&lt;=Hypothèses!$V$16,Hypothèses!$X$16,IF(U150&lt;=Hypothèses!$U$17,Hypothèses!$W$17,IF(U150&lt;=Hypothèses!$U$18,Hypothèses!$W$18,""))))))))))))</f>
        <v>#DIV/0!</v>
      </c>
      <c r="AR150" s="95" t="e">
        <f t="shared" ca="1" si="272"/>
        <v>#DIV/0!</v>
      </c>
      <c r="AS150" s="101" t="e">
        <f t="shared" si="324"/>
        <v>#N/A</v>
      </c>
      <c r="AT150" s="91" t="e">
        <f t="shared" si="243"/>
        <v>#N/A</v>
      </c>
      <c r="AU150" s="30" t="e">
        <f t="shared" si="302"/>
        <v>#N/A</v>
      </c>
      <c r="AV150" s="30" t="e">
        <f t="shared" si="303"/>
        <v>#N/A</v>
      </c>
      <c r="AW150" s="31" t="e">
        <f>IF(OR(Hypothèses!$B$4=17,Hypothèses!$B$4=18,Hypothèses!$B$4=19,Hypothèses!$B$4=20),
IF($D150="Pressio.",
IF(OR($E150=3,$E150=1,$E150=4),AV150,AU150),
IF($D150="Pénétro.",
IF(OR($E150=3,$E150=1,$E150=4),AV150,AU150))),IF($D150="Pressio.",
IF($E150=3,AV150,AU150),
IF($D150="Pénétro.",
IF($E150=4,AV150,AU150))))</f>
        <v>#N/A</v>
      </c>
      <c r="AX150" s="31" t="e">
        <f>(IF(OR(Hypothèses!$B$4=17,Hypothèses!$B$4=18,Hypothèses!$B$4=19,Hypothèses!$B$4=20),
IF($D150="Pressio.",
IF(OR($E150=3,$E150=1,$E150=4),(PI()*AX$12^2)/4*(AT150*$W150*1000)/($H150*$B$5),(PI()*AX$12^2)/4*(AT150*$W150*1000)/($G150*$B$5)),
IF($D150="Pénétro.",
IF(OR($E150=4,$E150=1,$E150=5),(PI()*AX$12^2)/4*(AT150*$W150*1000)/($H150*$B$5),(PI()*AX$12^2)/4*(AT150*$W150*1000)/($G150*$B$5)))),
IF($D150="Pressio.",
IF($E150=3,(PI()*AX$12^2)/4*(AT150*$W150*1000)/($H150*$B$5),(PI()*AX$12^2)/4*(AT150*$W150*1000)/($G150*$B$5)),
IF($D150="Pénétro.",
IF($E150=4,(PI()*AX$12^2)/4*(AT150*$W150*1000)/($H150*$B$5),(PI()*AX$12^2)/4*(AT150*$W150*1000)/($G150*$B$5))))))/10</f>
        <v>#N/A</v>
      </c>
      <c r="AY150" s="102" t="e">
        <f>(VLOOKUP($B$3,'Coeff EC7'!$T$39:$X$59,2,0)*AW150+VLOOKUP($B$3,'Coeff EC7'!$T$65:$X$85,2,0)*Model0.1C!AX150)/1.1</f>
        <v>#N/A</v>
      </c>
      <c r="AZ150" s="102" t="e">
        <f>(VLOOKUP($B$3,'Coeff EC7'!$T$39:$X$59,3,0)*AW150+VLOOKUP($B$3,'Coeff EC7'!$T$65:$X$85,3,0)*Model0.1C!AX150)/0.9</f>
        <v>#N/A</v>
      </c>
      <c r="BA150" s="102" t="e">
        <f t="shared" si="273"/>
        <v>#N/A</v>
      </c>
      <c r="BB150" s="102" t="e">
        <f t="shared" si="274"/>
        <v>#N/A</v>
      </c>
      <c r="BC150" s="414" t="e">
        <f>IF(BC149=0,0,IF(AND(AY150&gt;charge_ELS_quasi,AZ150&gt;Charge_ELS_freq,BA150&gt;charge_ELU,BB150&gt;charge_ELA,$B150&gt;NDC!$H$22-0.1+MIN(3*$BC$12,1.5)),0,1))</f>
        <v>#N/A</v>
      </c>
      <c r="BD150" s="86" t="b">
        <f t="shared" si="244"/>
        <v>0</v>
      </c>
      <c r="BE150" s="86">
        <f t="shared" si="275"/>
        <v>0.5</v>
      </c>
      <c r="BF150" s="86">
        <f t="shared" si="245"/>
        <v>0.5</v>
      </c>
      <c r="BG150" s="30" t="e">
        <f t="shared" ca="1" si="276"/>
        <v>#DIV/0!</v>
      </c>
      <c r="BH150" s="85" t="e">
        <f ca="1">IF(AN150&lt;=Hypothèses!$V$7,Hypothèses!$W$7,IF(AN150&lt;=Hypothèses!$V$8,Hypothèses!$W$8,IF(AN150&lt;=Hypothèses!$V$9,Hypothèses!$W$9,IF(AN150&lt;=Hypothèses!$V$10,Hypothèses!$W$10,IF(AN150&lt;=Hypothèses!$V$11,Hypothèses!$W$11,IF(AN150&lt;=Hypothèses!$V$12,Hypothèses!$W$12,IF(AN150&lt;=Hypothèses!$V$13,Hypothèses!$W$13,IF(AN150&lt;=Hypothèses!$V$14,Hypothèses!$W$14,IF(AN150&lt;=Hypothèses!$V$15,Hypothèses!$W$15,IF(AN150&lt;=Hypothèses!$V$16,Hypothèses!$W$16,IF(AN150&lt;=Hypothèses!$V$17,Hypothèses!$W$17,IF(AN150&lt;=Hypothèses!$V$18,Hypothèses!$W$18,""))))))))))))</f>
        <v>#DIV/0!</v>
      </c>
      <c r="BI150" s="87" t="e">
        <f t="shared" ca="1" si="318"/>
        <v>#DIV/0!</v>
      </c>
      <c r="BJ150" s="88" t="e">
        <f ca="1">IF(AN150&lt;=Hypothèses!$V$7,Hypothèses!$X$7,IF(AN150&lt;=Hypothèses!$V$8,Hypothèses!$X$8,IF(AN150&lt;=Hypothèses!$V$9,Hypothèses!$X$9,IF(AN150&lt;=Hypothèses!$V$10,Hypothèses!$X$10,IF(AN150&lt;=Hypothèses!$V$11,Hypothèses!$X$11,IF(AN150&lt;=Hypothèses!$V$12,Hypothèses!$X$12,IF(AN150&lt;=Hypothèses!$V$13,Hypothèses!$X$13,IF(AN150&lt;=Hypothèses!$V$14,Hypothèses!$X$14,IF(AN150&lt;=Hypothèses!$V$15,Hypothèses!$X$15,IF(AN150&lt;=Hypothèses!$V$16,Hypothèses!$X$16,IF(AN150&lt;=Hypothèses!$U$17,Hypothèses!$W$17,IF(AN150&lt;=Hypothèses!$U$18,Hypothèses!$W$18,""))))))))))))</f>
        <v>#DIV/0!</v>
      </c>
      <c r="BK150" s="95" t="e">
        <f t="shared" ca="1" si="277"/>
        <v>#DIV/0!</v>
      </c>
      <c r="BL150" s="101" t="e">
        <f t="shared" si="325"/>
        <v>#N/A</v>
      </c>
      <c r="BM150" s="91" t="e">
        <f t="shared" si="246"/>
        <v>#N/A</v>
      </c>
      <c r="BN150" s="30" t="e">
        <f t="shared" si="304"/>
        <v>#N/A</v>
      </c>
      <c r="BO150" s="30" t="e">
        <f t="shared" si="305"/>
        <v>#N/A</v>
      </c>
      <c r="BP150" s="31" t="e">
        <f>IF(OR(Hypothèses!$B$4=17,Hypothèses!$B$4=18,Hypothèses!$B$4=19,Hypothèses!$B$4=20),
IF($D150="Pressio.",
IF(OR($E150=3,$E150=1,$E150=4),BO150,BN150),
IF($D150="Pénétro.",
IF(OR($E150=3,$E150=1,$E150=4),BO150,BN150))),IF($D150="Pressio.",
IF($E150=3,BO150,BN150),
IF($D150="Pénétro.",
IF($E150=4,BO150,BN150))))</f>
        <v>#N/A</v>
      </c>
      <c r="BQ150" s="31" t="e">
        <f>(IF(OR(Hypothèses!$B$4=17,Hypothèses!$B$4=18,Hypothèses!$B$4=19,Hypothèses!$B$4=20),
IF($D150="Pressio.",
IF(OR($E150=3,$E150=1,$E150=4),(PI()*BQ$12^2)/4*(BM150*$W150*1000)/($H150*$B$5),(PI()*BQ$12^2)/4*(BM150*$W150*1000)/($G150*$B$5)),
IF($D150="Pénétro.",
IF(OR($E150=4,$E150=1,$E150=5),(PI()*BQ$12^2)/4*(BM150*$W150*1000)/($H150*$B$5),(PI()*BQ$12^2)/4*(BM150*$W150*1000)/($G150*$B$5)))),
IF($D150="Pressio.",
IF($E150=3,(PI()*BQ$12^2)/4*(BM150*$W150*1000)/($H150*$B$5),(PI()*BQ$12^2)/4*(BM150*$W150*1000)/($G150*$B$5)),
IF($D150="Pénétro.",
IF($E150=4,(PI()*BQ$12^2)/4*(BM150*$W150*1000)/($H150*$B$5),(PI()*BQ$12^2)/4*(BM150*$W150*1000)/($G150*$B$5))))))/10</f>
        <v>#N/A</v>
      </c>
      <c r="BR150" s="102" t="e">
        <f>(VLOOKUP($B$3,'Coeff EC7'!$T$39:$X$59,2,0)*BP150+VLOOKUP($B$3,'Coeff EC7'!$T$65:$X$85,2,0)*Model0.1C!BQ150)/1.1</f>
        <v>#N/A</v>
      </c>
      <c r="BS150" s="102" t="e">
        <f>(VLOOKUP($B$3,'Coeff EC7'!$T$39:$X$59,3,0)*BP150+VLOOKUP($B$3,'Coeff EC7'!$T$65:$X$85,3,0)*Model0.1C!BQ150)/0.9</f>
        <v>#N/A</v>
      </c>
      <c r="BT150" s="102" t="e">
        <f t="shared" si="278"/>
        <v>#N/A</v>
      </c>
      <c r="BU150" s="102" t="e">
        <f t="shared" si="279"/>
        <v>#N/A</v>
      </c>
      <c r="BV150" s="414" t="e">
        <f>IF(BV149=0,0,IF(AND(BR150&gt;charge_ELS_quasi,BS150&gt;Charge_ELS_freq,BT150&gt;charge_ELU,BU150&gt;charge_ELA,$B150&gt;NDC!$H$22-0.1+MIN(3*$BV$12,1.5)),0,1))</f>
        <v>#N/A</v>
      </c>
      <c r="BW150" s="86" t="b">
        <f t="shared" si="247"/>
        <v>0</v>
      </c>
      <c r="BX150" s="86">
        <f t="shared" si="248"/>
        <v>0.5</v>
      </c>
      <c r="BY150" s="86">
        <f t="shared" si="249"/>
        <v>0.5</v>
      </c>
      <c r="BZ150" s="30" t="e">
        <f t="shared" ca="1" si="280"/>
        <v>#DIV/0!</v>
      </c>
      <c r="CA150" s="85" t="e">
        <f ca="1">IF(BG150&lt;=Hypothèses!$V$7,Hypothèses!$W$7,IF(BG150&lt;=Hypothèses!$V$8,Hypothèses!$W$8,IF(BG150&lt;=Hypothèses!$V$9,Hypothèses!$W$9,IF(BG150&lt;=Hypothèses!$V$10,Hypothèses!$W$10,IF(BG150&lt;=Hypothèses!$V$11,Hypothèses!$W$11,IF(BG150&lt;=Hypothèses!$V$12,Hypothèses!$W$12,IF(BG150&lt;=Hypothèses!$V$13,Hypothèses!$W$13,IF(BG150&lt;=Hypothèses!$V$14,Hypothèses!$W$14,IF(BG150&lt;=Hypothèses!$V$15,Hypothèses!$W$15,IF(BG150&lt;=Hypothèses!$V$16,Hypothèses!$W$16,IF(BG150&lt;=Hypothèses!$V$17,Hypothèses!$W$17,IF(BG150&lt;=Hypothèses!$V$18,Hypothèses!$W$18,""))))))))))))</f>
        <v>#DIV/0!</v>
      </c>
      <c r="CB150" s="87" t="e">
        <f t="shared" ca="1" si="319"/>
        <v>#DIV/0!</v>
      </c>
      <c r="CC150" s="88" t="e">
        <f ca="1">IF(BG150&lt;=Hypothèses!$V$7,Hypothèses!$X$7,IF(BG150&lt;=Hypothèses!$V$8,Hypothèses!$X$8,IF(BG150&lt;=Hypothèses!$V$9,Hypothèses!$X$9,IF(BG150&lt;=Hypothèses!$V$10,Hypothèses!$X$10,IF(BG150&lt;=Hypothèses!$V$11,Hypothèses!$X$11,IF(BG150&lt;=Hypothèses!$V$12,Hypothèses!$X$12,IF(BG150&lt;=Hypothèses!$V$13,Hypothèses!$X$13,IF(BG150&lt;=Hypothèses!$V$14,Hypothèses!$X$14,IF(BG150&lt;=Hypothèses!$V$15,Hypothèses!$X$15,IF(BG150&lt;=Hypothèses!$V$16,Hypothèses!$X$16,IF(BG150&lt;=Hypothèses!$U$17,Hypothèses!$W$17,IF(BG150&lt;=Hypothèses!$U$18,Hypothèses!$W$18,""))))))))))))</f>
        <v>#DIV/0!</v>
      </c>
      <c r="CD150" s="95" t="e">
        <f t="shared" ca="1" si="281"/>
        <v>#DIV/0!</v>
      </c>
      <c r="CE150" s="101" t="e">
        <f t="shared" si="326"/>
        <v>#N/A</v>
      </c>
      <c r="CF150" s="91" t="e">
        <f t="shared" si="250"/>
        <v>#N/A</v>
      </c>
      <c r="CG150" s="30" t="e">
        <f t="shared" si="306"/>
        <v>#N/A</v>
      </c>
      <c r="CH150" s="30" t="e">
        <f t="shared" si="307"/>
        <v>#N/A</v>
      </c>
      <c r="CI150" s="31" t="e">
        <f>IF(OR(Hypothèses!$B$4=17,Hypothèses!$B$4=18,Hypothèses!$B$4=19,Hypothèses!$B$4=20),
IF($D150="Pressio.",
IF(OR($E150=3,$E150=1,$E150=4),CH150,CG150),
IF($D150="Pénétro.",
IF(OR($E150=3,$E150=1,$E150=4),CH150,CG150))),IF($D150="Pressio.",
IF($E150=3,CH150,CG150),
IF($D150="Pénétro.",
IF($E150=4,CH150,CG150))))</f>
        <v>#N/A</v>
      </c>
      <c r="CJ150" s="31" t="e">
        <f>(IF(OR(Hypothèses!$B$4=17,Hypothèses!$B$4=18,Hypothèses!$B$4=19,Hypothèses!$B$4=20),
IF($D150="Pressio.",
IF(OR($E150=3,$E150=1,$E150=4),(PI()*CJ$12^2)/4*(CF150*$W150*1000)/($H150*$B$5),(PI()*CJ$12^2)/4*(CF150*$W150*1000)/($G150*$B$5)),
IF($D150="Pénétro.",
IF(OR($E150=4,$E150=1,$E150=5),(PI()*CJ$12^2)/4*(CF150*$W150*1000)/($H150*$B$5),(PI()*CJ$12^2)/4*(CF150*$W150*1000)/($G150*$B$5)))),
IF($D150="Pressio.",
IF($E150=3,(PI()*CJ$12^2)/4*(CF150*$W150*1000)/($H150*$B$5),(PI()*CJ$12^2)/4*(CF150*$W150*1000)/($G150*$B$5)),
IF($D150="Pénétro.",
IF($E150=4,(PI()*CJ$12^2)/4*(CF150*$W150*1000)/($H150*$B$5),(PI()*CJ$12^2)/4*(CF150*$W150*1000)/($G150*$B$5))))))/10</f>
        <v>#N/A</v>
      </c>
      <c r="CK150" s="102" t="e">
        <f>(VLOOKUP($B$3,'Coeff EC7'!$T$39:$X$59,2,0)*CI150+VLOOKUP($B$3,'Coeff EC7'!$T$65:$X$85,2,0)*Model0.1C!CJ150)/1.1</f>
        <v>#N/A</v>
      </c>
      <c r="CL150" s="102" t="e">
        <f>(VLOOKUP($B$3,'Coeff EC7'!$T$39:$X$59,3,0)*CI150+VLOOKUP($B$3,'Coeff EC7'!$T$65:$X$85,3,0)*Model0.1C!CJ150)/0.9</f>
        <v>#N/A</v>
      </c>
      <c r="CM150" s="102" t="e">
        <f t="shared" si="282"/>
        <v>#N/A</v>
      </c>
      <c r="CN150" s="102" t="e">
        <f t="shared" si="283"/>
        <v>#N/A</v>
      </c>
      <c r="CO150" s="414" t="e">
        <f>IF(CO149=0,0,IF(AND(CK150&gt;charge_ELS_quasi,CL150&gt;Charge_ELS_freq,CM150&gt;charge_ELU,CN150&gt;charge_ELA,$B150&gt;NDC!$H$22-0.1+MIN(3*$CO$12,1.5)),0,1))</f>
        <v>#N/A</v>
      </c>
      <c r="CP150" s="86" t="b">
        <f t="shared" si="251"/>
        <v>0</v>
      </c>
      <c r="CQ150" s="86">
        <f t="shared" si="252"/>
        <v>0.5</v>
      </c>
      <c r="CR150" s="86">
        <f t="shared" si="253"/>
        <v>0.5</v>
      </c>
      <c r="CS150" s="30" t="e">
        <f t="shared" ca="1" si="284"/>
        <v>#DIV/0!</v>
      </c>
      <c r="CT150" s="85" t="e">
        <f ca="1">IF(BZ150&lt;=Hypothèses!$V$7,Hypothèses!$W$7,IF(BZ150&lt;=Hypothèses!$V$8,Hypothèses!$W$8,IF(BZ150&lt;=Hypothèses!$V$9,Hypothèses!$W$9,IF(BZ150&lt;=Hypothèses!$V$10,Hypothèses!$W$10,IF(BZ150&lt;=Hypothèses!$V$11,Hypothèses!$W$11,IF(BZ150&lt;=Hypothèses!$V$12,Hypothèses!$W$12,IF(BZ150&lt;=Hypothèses!$V$13,Hypothèses!$W$13,IF(BZ150&lt;=Hypothèses!$V$14,Hypothèses!$W$14,IF(BZ150&lt;=Hypothèses!$V$15,Hypothèses!$W$15,IF(BZ150&lt;=Hypothèses!$V$16,Hypothèses!$W$16,IF(BZ150&lt;=Hypothèses!$V$17,Hypothèses!$W$17,IF(BZ150&lt;=Hypothèses!$V$18,Hypothèses!$W$18,""))))))))))))</f>
        <v>#DIV/0!</v>
      </c>
      <c r="CU150" s="87" t="e">
        <f t="shared" ca="1" si="320"/>
        <v>#DIV/0!</v>
      </c>
      <c r="CV150" s="88" t="e">
        <f ca="1">IF(BZ150&lt;=Hypothèses!$V$7,Hypothèses!$X$7,IF(BZ150&lt;=Hypothèses!$V$8,Hypothèses!$X$8,IF(BZ150&lt;=Hypothèses!$V$9,Hypothèses!$X$9,IF(BZ150&lt;=Hypothèses!$V$10,Hypothèses!$X$10,IF(BZ150&lt;=Hypothèses!$V$11,Hypothèses!$X$11,IF(BZ150&lt;=Hypothèses!$V$12,Hypothèses!$X$12,IF(BZ150&lt;=Hypothèses!$V$13,Hypothèses!$X$13,IF(BZ150&lt;=Hypothèses!$V$14,Hypothèses!$X$14,IF(BZ150&lt;=Hypothèses!$V$15,Hypothèses!$X$15,IF(BZ150&lt;=Hypothèses!$V$16,Hypothèses!$X$16,IF(BZ150&lt;=Hypothèses!$U$17,Hypothèses!$W$17,IF(BZ150&lt;=Hypothèses!$U$18,Hypothèses!$W$18,""))))))))))))</f>
        <v>#DIV/0!</v>
      </c>
      <c r="CW150" s="95" t="e">
        <f t="shared" ca="1" si="285"/>
        <v>#DIV/0!</v>
      </c>
      <c r="CX150" s="101" t="e">
        <f t="shared" si="327"/>
        <v>#N/A</v>
      </c>
      <c r="CY150" s="91" t="e">
        <f t="shared" si="254"/>
        <v>#N/A</v>
      </c>
      <c r="CZ150" s="30" t="e">
        <f t="shared" si="308"/>
        <v>#N/A</v>
      </c>
      <c r="DA150" s="30" t="e">
        <f t="shared" si="309"/>
        <v>#N/A</v>
      </c>
      <c r="DB150" s="31" t="e">
        <f>IF(OR(Hypothèses!$B$4=17,Hypothèses!$B$4=18,Hypothèses!$B$4=19,Hypothèses!$B$4=20),
IF($D150="Pressio.",
IF(OR($E150=3,$E150=1,$E150=4),DA150,CZ150),
IF($D150="Pénétro.",
IF(OR($E150=3,$E150=1,$E150=4),DA150,CZ150))),IF($D150="Pressio.",
IF($E150=3,DA150,CZ150),
IF($D150="Pénétro.",
IF($E150=4,DA150,CZ150))))</f>
        <v>#N/A</v>
      </c>
      <c r="DC150" s="31" t="e">
        <f>(IF(OR(Hypothèses!$B$4=17,Hypothèses!$B$4=18,Hypothèses!$B$4=19,Hypothèses!$B$4=20),
IF($D150="Pressio.",
IF(OR($E150=3,$E150=1,$E150=4),(PI()*DC$12^2)/4*(CY150*$W150*1000)/($H150*$B$5),(PI()*DC$12^2)/4*(CY150*$W150*1000)/($G150*$B$5)),
IF($D150="Pénétro.",
IF(OR($E150=4,$E150=1,$E150=5),(PI()*DC$12^2)/4*(CY150*$W150*1000)/($H150*$B$5),(PI()*DC$12^2)/4*(CY150*$W150*1000)/($G150*$B$5)))),
IF($D150="Pressio.",
IF($E150=3,(PI()*DC$12^2)/4*(CY150*$W150*1000)/($H150*$B$5),(PI()*DC$12^2)/4*(CY150*$W150*1000)/($G150*$B$5)),
IF($D150="Pénétro.",
IF($E150=4,(PI()*DC$12^2)/4*(CY150*$W150*1000)/($H150*$B$5),(PI()*DC$12^2)/4*(CY150*$W150*1000)/($G150*$B$5))))))/10</f>
        <v>#N/A</v>
      </c>
      <c r="DD150" s="102" t="e">
        <f>(VLOOKUP($B$3,'Coeff EC7'!$T$39:$X$59,2,0)*DB150+VLOOKUP($B$3,'Coeff EC7'!$T$65:$X$85,2,0)*Model0.1C!DC150)/1.1</f>
        <v>#N/A</v>
      </c>
      <c r="DE150" s="102" t="e">
        <f>(VLOOKUP($B$3,'Coeff EC7'!$T$39:$X$59,3,0)*DB150+VLOOKUP($B$3,'Coeff EC7'!$T$65:$X$85,3,0)*Model0.1C!DC150)/0.9</f>
        <v>#N/A</v>
      </c>
      <c r="DF150" s="102" t="e">
        <f t="shared" si="286"/>
        <v>#N/A</v>
      </c>
      <c r="DG150" s="102" t="e">
        <f t="shared" si="287"/>
        <v>#N/A</v>
      </c>
      <c r="DH150" s="414" t="e">
        <f>IF(DH149=0,0,IF(AND(DD150&gt;charge_ELS_quasi,DE150&gt;Charge_ELS_freq,DF150&gt;charge_ELU,DG150&gt;charge_ELA,$B150&gt;NDC!$H$22-0.1+MIN(3*$DH$12,1.5)),0,1))</f>
        <v>#N/A</v>
      </c>
      <c r="DI150" s="86" t="b">
        <f t="shared" si="255"/>
        <v>0</v>
      </c>
      <c r="DJ150" s="86">
        <f t="shared" si="256"/>
        <v>0.5</v>
      </c>
      <c r="DK150" s="86">
        <f t="shared" si="257"/>
        <v>0.5</v>
      </c>
      <c r="DL150" s="30" t="e">
        <f t="shared" ca="1" si="288"/>
        <v>#DIV/0!</v>
      </c>
      <c r="DM150" s="85" t="e">
        <f ca="1">IF(CS150&lt;=Hypothèses!$V$7,Hypothèses!$W$7,IF(CS150&lt;=Hypothèses!$V$8,Hypothèses!$W$8,IF(CS150&lt;=Hypothèses!$V$9,Hypothèses!$W$9,IF(CS150&lt;=Hypothèses!$V$10,Hypothèses!$W$10,IF(CS150&lt;=Hypothèses!$V$11,Hypothèses!$W$11,IF(CS150&lt;=Hypothèses!$V$12,Hypothèses!$W$12,IF(CS150&lt;=Hypothèses!$V$13,Hypothèses!$W$13,IF(CS150&lt;=Hypothèses!$V$14,Hypothèses!$W$14,IF(CS150&lt;=Hypothèses!$V$15,Hypothèses!$W$15,IF(CS150&lt;=Hypothèses!$V$16,Hypothèses!$W$16,IF(CS150&lt;=Hypothèses!$V$17,Hypothèses!$W$17,IF(CS150&lt;=Hypothèses!$V$18,Hypothèses!$W$18,""))))))))))))</f>
        <v>#DIV/0!</v>
      </c>
      <c r="DN150" s="87" t="e">
        <f t="shared" ca="1" si="321"/>
        <v>#DIV/0!</v>
      </c>
      <c r="DO150" s="88" t="e">
        <f ca="1">IF(CS150&lt;=Hypothèses!$V$7,Hypothèses!$X$7,IF(CS150&lt;=Hypothèses!$V$8,Hypothèses!$X$8,IF(CS150&lt;=Hypothèses!$V$9,Hypothèses!$X$9,IF(CS150&lt;=Hypothèses!$V$10,Hypothèses!$X$10,IF(CS150&lt;=Hypothèses!$V$11,Hypothèses!$X$11,IF(CS150&lt;=Hypothèses!$V$12,Hypothèses!$X$12,IF(CS150&lt;=Hypothèses!$V$13,Hypothèses!$X$13,IF(CS150&lt;=Hypothèses!$V$14,Hypothèses!$X$14,IF(CS150&lt;=Hypothèses!$V$15,Hypothèses!$X$15,IF(CS150&lt;=Hypothèses!$V$16,Hypothèses!$X$16,IF(CS150&lt;=Hypothèses!$U$17,Hypothèses!$W$17,IF(CS150&lt;=Hypothèses!$U$18,Hypothèses!$W$18,""))))))))))))</f>
        <v>#DIV/0!</v>
      </c>
      <c r="DP150" s="95" t="e">
        <f t="shared" ca="1" si="289"/>
        <v>#DIV/0!</v>
      </c>
      <c r="DQ150" s="101" t="e">
        <f t="shared" si="328"/>
        <v>#N/A</v>
      </c>
      <c r="DR150" s="91" t="e">
        <f t="shared" si="258"/>
        <v>#N/A</v>
      </c>
      <c r="DS150" s="30" t="e">
        <f t="shared" si="310"/>
        <v>#N/A</v>
      </c>
      <c r="DT150" s="30" t="e">
        <f t="shared" si="311"/>
        <v>#N/A</v>
      </c>
      <c r="DU150" s="31" t="e">
        <f>IF(OR(Hypothèses!$B$4=17,Hypothèses!$B$4=18,Hypothèses!$B$4=19,Hypothèses!$B$4=20),
IF($D150="Pressio.",
IF(OR($E150=3,$E150=1,$E150=4),DT150,DS150),
IF($D150="Pénétro.",
IF(OR($E150=3,$E150=1,$E150=4),DT150,DS150))),IF($D150="Pressio.",
IF($E150=3,DT150,DS150),
IF($D150="Pénétro.",
IF($E150=4,DT150,DS150))))</f>
        <v>#N/A</v>
      </c>
      <c r="DV150" s="31" t="e">
        <f>(IF(OR(Hypothèses!$B$4=17,Hypothèses!$B$4=18,Hypothèses!$B$4=19,Hypothèses!$B$4=20),
IF($D150="Pressio.",
IF(OR($E150=3,$E150=1,$E150=4),(PI()*DV$12^2)/4*(DR150*$W150*1000)/($H150*$B$5),(PI()*DV$12^2)/4*(DR150*$W150*1000)/($G150*$B$5)),
IF($D150="Pénétro.",
IF(OR($E150=4,$E150=1,$E150=5),(PI()*DV$12^2)/4*(DR150*$W150*1000)/($H150*$B$5),(PI()*DV$12^2)/4*(DR150*$W150*1000)/($G150*$B$5)))),
IF($D150="Pressio.",
IF($E150=3,(PI()*DV$12^2)/4*(DR150*$W150*1000)/($H150*$B$5),(PI()*DV$12^2)/4*(DR150*$W150*1000)/($G150*$B$5)),
IF($D150="Pénétro.",
IF($E150=4,(PI()*DV$12^2)/4*(DR150*$W150*1000)/($H150*$B$5),(PI()*DV$12^2)/4*(DR150*$W150*1000)/($G150*$B$5))))))/10</f>
        <v>#N/A</v>
      </c>
      <c r="DW150" s="102" t="e">
        <f>(VLOOKUP($B$3,'Coeff EC7'!$T$39:$X$59,2,0)*DU150+VLOOKUP($B$3,'Coeff EC7'!$T$65:$X$85,2,0)*Model0.1C!DV150)/1.1</f>
        <v>#N/A</v>
      </c>
      <c r="DX150" s="102" t="e">
        <f>(VLOOKUP($B$3,'Coeff EC7'!$T$39:$X$59,3,0)*DU150+VLOOKUP($B$3,'Coeff EC7'!$T$65:$X$85,3,0)*Model0.1C!DV150)/0.9</f>
        <v>#N/A</v>
      </c>
      <c r="DY150" s="102" t="e">
        <f t="shared" si="290"/>
        <v>#N/A</v>
      </c>
      <c r="DZ150" s="102" t="e">
        <f t="shared" si="291"/>
        <v>#N/A</v>
      </c>
      <c r="EA150" s="414" t="e">
        <f>IF(EA149=0,0,IF(AND(DW150&gt;charge_ELS_quasi,DX150&gt;Charge_ELS_freq,DY150&gt;charge_ELU,DZ150&gt;charge_ELA,$B150&gt;NDC!$H$22-0.1+MIN(3*$EA$12,1.5)),0,1))</f>
        <v>#N/A</v>
      </c>
      <c r="EB150" s="86" t="b">
        <f t="shared" si="259"/>
        <v>0</v>
      </c>
      <c r="EC150" s="418">
        <f t="shared" si="260"/>
        <v>0.51</v>
      </c>
      <c r="ED150" s="86">
        <f t="shared" si="261"/>
        <v>0.51</v>
      </c>
      <c r="EE150" s="30" t="e">
        <f t="shared" ca="1" si="292"/>
        <v>#DIV/0!</v>
      </c>
      <c r="EF150" s="85" t="e">
        <f ca="1">IF(DL150&lt;=Hypothèses!$V$7,Hypothèses!$W$7,IF(DL150&lt;=Hypothèses!$V$8,Hypothèses!$W$8,IF(DL150&lt;=Hypothèses!$V$9,Hypothèses!$W$9,IF(DL150&lt;=Hypothèses!$V$10,Hypothèses!$W$10,IF(DL150&lt;=Hypothèses!$V$11,Hypothèses!$W$11,IF(DL150&lt;=Hypothèses!$V$12,Hypothèses!$W$12,IF(DL150&lt;=Hypothèses!$V$13,Hypothèses!$W$13,IF(DL150&lt;=Hypothèses!$V$14,Hypothèses!$W$14,IF(DL150&lt;=Hypothèses!$V$15,Hypothèses!$W$15,IF(DL150&lt;=Hypothèses!$V$16,Hypothèses!$W$16,IF(DL150&lt;=Hypothèses!$V$17,Hypothèses!$W$17,IF(DL150&lt;=Hypothèses!$V$18,Hypothèses!$W$18,""))))))))))))</f>
        <v>#DIV/0!</v>
      </c>
      <c r="EG150" s="87" t="e">
        <f t="shared" ca="1" si="322"/>
        <v>#DIV/0!</v>
      </c>
      <c r="EH150" s="88" t="e">
        <f ca="1">IF(DL150&lt;=Hypothèses!$V$7,Hypothèses!$X$7,IF(DL150&lt;=Hypothèses!$V$8,Hypothèses!$X$8,IF(DL150&lt;=Hypothèses!$V$9,Hypothèses!$X$9,IF(DL150&lt;=Hypothèses!$V$10,Hypothèses!$X$10,IF(DL150&lt;=Hypothèses!$V$11,Hypothèses!$X$11,IF(DL150&lt;=Hypothèses!$V$12,Hypothèses!$X$12,IF(DL150&lt;=Hypothèses!$V$13,Hypothèses!$X$13,IF(DL150&lt;=Hypothèses!$V$14,Hypothèses!$X$14,IF(DL150&lt;=Hypothèses!$V$15,Hypothèses!$X$15,IF(DL150&lt;=Hypothèses!$V$16,Hypothèses!$X$16,IF(DL150&lt;=Hypothèses!$U$17,Hypothèses!$W$17,IF(DL150&lt;=Hypothèses!$U$18,Hypothèses!$W$18,""))))))))))))</f>
        <v>#DIV/0!</v>
      </c>
      <c r="EI150" s="95" t="e">
        <f t="shared" ca="1" si="293"/>
        <v>#DIV/0!</v>
      </c>
      <c r="EJ150" s="101" t="e">
        <f t="shared" si="329"/>
        <v>#N/A</v>
      </c>
      <c r="EK150" s="91" t="e">
        <f t="shared" si="262"/>
        <v>#N/A</v>
      </c>
      <c r="EL150" s="30" t="e">
        <f t="shared" si="312"/>
        <v>#N/A</v>
      </c>
      <c r="EM150" s="30" t="e">
        <f t="shared" si="313"/>
        <v>#N/A</v>
      </c>
      <c r="EN150" s="31" t="e">
        <f>IF(OR(Hypothèses!$B$4=17,Hypothèses!$B$4=18,Hypothèses!$B$4=19,Hypothèses!$B$4=20),
IF($D150="Pressio.",
IF(OR($E150=3,$E150=1,$E150=4),EM150,EL150),
IF($D150="Pénétro.",
IF(OR($E150=3,$E150=1,$E150=4),EM150,EL150))),IF($D150="Pressio.",
IF($E150=3,EM150,EL150),
IF($D150="Pénétro.",
IF($E150=4,EM150,EL150))))</f>
        <v>#N/A</v>
      </c>
      <c r="EO150" s="31" t="e">
        <f>(IF(OR(Hypothèses!$B$4=17,Hypothèses!$B$4=18,Hypothèses!$B$4=19,Hypothèses!$B$4=20),
IF($D150="Pressio.",
IF(OR($E150=3,$E150=1,$E150=4),(PI()*EO$12^2)/4*(EK150*$W150*1000)/($H150*$B$5),(PI()*EO$12^2)/4*(EK150*$W150*1000)/($G150*$B$5)),
IF($D150="Pénétro.",
IF(OR($E150=4,$E150=1,$E150=5),(PI()*EO$12^2)/4*(EK150*$W150*1000)/($H150*$B$5),(PI()*EO$12^2)/4*(EK150*$W150*1000)/($G150*$B$5)))),
IF($D150="Pressio.",
IF($E150=3,(PI()*EO$12^2)/4*(EK150*$W150*1000)/($H150*$B$5),(PI()*EO$12^2)/4*(EK150*$W150*1000)/($G150*$B$5)),
IF($D150="Pénétro.",
IF($E150=4,(PI()*EO$12^2)/4*(EK150*$W150*1000)/($H150*$B$5),(PI()*EO$12^2)/4*(EK150*$W150*1000)/($G150*$B$5))))))/10</f>
        <v>#N/A</v>
      </c>
      <c r="EP150" s="102" t="e">
        <f>(VLOOKUP($B$3,'Coeff EC7'!$T$39:$X$59,2,0)*EN150+VLOOKUP($B$3,'Coeff EC7'!$T$65:$X$85,2,0)*Model0.1C!EO150)/1.1</f>
        <v>#N/A</v>
      </c>
      <c r="EQ150" s="102" t="e">
        <f>(VLOOKUP($B$3,'Coeff EC7'!$T$39:$X$59,3,0)*EN150+VLOOKUP($B$3,'Coeff EC7'!$T$65:$X$85,3,0)*Model0.1C!EO150)/0.9</f>
        <v>#N/A</v>
      </c>
      <c r="ER150" s="102" t="e">
        <f t="shared" si="294"/>
        <v>#N/A</v>
      </c>
      <c r="ES150" s="102" t="e">
        <f t="shared" si="295"/>
        <v>#N/A</v>
      </c>
      <c r="ET150" s="414" t="e">
        <f>IF(ET149=0,0,IF(AND(EP150&gt;charge_ELS_quasi,EQ150&gt;Charge_ELS_freq,ER150&gt;charge_ELU,ES150&gt;charge_ELA,$B150&gt;NDC!$H$22-0.1+MIN(3*$ET$12,1.5)),0,1))</f>
        <v>#N/A</v>
      </c>
      <c r="EU150" s="86" t="b">
        <f t="shared" si="263"/>
        <v>0</v>
      </c>
      <c r="EV150" s="86">
        <f t="shared" si="264"/>
        <v>0.61</v>
      </c>
      <c r="EW150" s="86">
        <f t="shared" si="265"/>
        <v>0.61</v>
      </c>
      <c r="EX150" s="30" t="e">
        <f t="shared" ca="1" si="296"/>
        <v>#DIV/0!</v>
      </c>
      <c r="EY150" s="85" t="e">
        <f ca="1">IF(EE150&lt;=Hypothèses!$V$7,Hypothèses!$W$7,IF(EE150&lt;=Hypothèses!$V$8,Hypothèses!$W$8,IF(EE150&lt;=Hypothèses!$V$9,Hypothèses!$W$9,IF(EE150&lt;=Hypothèses!$V$10,Hypothèses!$W$10,IF(EE150&lt;=Hypothèses!$V$11,Hypothèses!$W$11,IF(EE150&lt;=Hypothèses!$V$12,Hypothèses!$W$12,IF(EE150&lt;=Hypothèses!$V$13,Hypothèses!$W$13,IF(EE150&lt;=Hypothèses!$V$14,Hypothèses!$W$14,IF(EE150&lt;=Hypothèses!$V$15,Hypothèses!$W$15,IF(EE150&lt;=Hypothèses!$V$16,Hypothèses!$W$16,IF(EE150&lt;=Hypothèses!$V$17,Hypothèses!$W$17,IF(EE150&lt;=Hypothèses!$V$18,Hypothèses!$W$18,""))))))))))))</f>
        <v>#DIV/0!</v>
      </c>
      <c r="EZ150" s="87" t="e">
        <f t="shared" ca="1" si="323"/>
        <v>#DIV/0!</v>
      </c>
      <c r="FA150" s="88" t="e">
        <f ca="1">IF(EE150&lt;=Hypothèses!$V$7,Hypothèses!$X$7,IF(EE150&lt;=Hypothèses!$V$8,Hypothèses!$X$8,IF(EE150&lt;=Hypothèses!$V$9,Hypothèses!$X$9,IF(EE150&lt;=Hypothèses!$V$10,Hypothèses!$X$10,IF(EE150&lt;=Hypothèses!$V$11,Hypothèses!$X$11,IF(EE150&lt;=Hypothèses!$V$12,Hypothèses!$X$12,IF(EE150&lt;=Hypothèses!$V$13,Hypothèses!$X$13,IF(EE150&lt;=Hypothèses!$V$14,Hypothèses!$X$14,IF(EE150&lt;=Hypothèses!$V$15,Hypothèses!$X$15,IF(EE150&lt;=Hypothèses!$V$16,Hypothèses!$X$16,IF(EE150&lt;=Hypothèses!$U$17,Hypothèses!$W$17,IF(EE150&lt;=Hypothèses!$U$18,Hypothèses!$W$18,""))))))))))))</f>
        <v>#DIV/0!</v>
      </c>
      <c r="FB150" s="95" t="e">
        <f t="shared" ca="1" si="297"/>
        <v>#DIV/0!</v>
      </c>
      <c r="FC150" s="101" t="e">
        <f t="shared" si="330"/>
        <v>#N/A</v>
      </c>
      <c r="FD150" s="91" t="e">
        <f t="shared" si="266"/>
        <v>#N/A</v>
      </c>
      <c r="FE150" s="30" t="e">
        <f t="shared" si="314"/>
        <v>#N/A</v>
      </c>
      <c r="FF150" s="30" t="e">
        <f t="shared" si="315"/>
        <v>#N/A</v>
      </c>
      <c r="FG150" s="31" t="e">
        <f>IF(OR(Hypothèses!$B$4=17,Hypothèses!$B$4=18,Hypothèses!$B$4=19,Hypothèses!$B$4=20),
IF($D150="Pressio.",
IF(OR($E150=3,$E150=1,$E150=4),FF150,FE150),
IF($D150="Pénétro.",
IF(OR($E150=3,$E150=1,$E150=4),FF150,FE150))),IF($D150="Pressio.",
IF($E150=3,FF150,FE150),
IF($D150="Pénétro.",
IF($E150=4,FF150,FE150))))</f>
        <v>#N/A</v>
      </c>
      <c r="FH150" s="31" t="e">
        <f>(IF(OR(Hypothèses!$B$4=17,Hypothèses!$B$4=18,Hypothèses!$B$4=19,Hypothèses!$B$4=20),
IF($D150="Pressio.",
IF(OR($E150=3,$E150=1,$E150=4),(PI()*FH$12^2)/4*(FD150*$W150*1000)/($H150*$B$5),(PI()*FH$12^2)/4*(FD150*$W150*1000)/($G150*$B$5)),
IF($D150="Pénétro.",
IF(OR($E150=4,$E150=1,$E150=5),(PI()*FH$12^2)/4*(FD150*$W150*1000)/($H150*$B$5),(PI()*FH$12^2)/4*(FD150*$W150*1000)/($G150*$B$5)))),
IF($D150="Pressio.",
IF($E150=3,(PI()*FH$12^2)/4*(FD150*$W150*1000)/($H150*$B$5),(PI()*FH$12^2)/4*(FD150*$W150*1000)/($G150*$B$5)),
IF($D150="Pénétro.",
IF($E150=4,(PI()*FH$12^2)/4*(FD150*$W150*1000)/($H150*$B$5),(PI()*FH$12^2)/4*(FD150*$W150*1000)/($G150*$B$5))))))/10</f>
        <v>#N/A</v>
      </c>
      <c r="FI150" s="102" t="e">
        <f>(VLOOKUP($B$3,'Coeff EC7'!$T$39:$X$59,2,0)*FG150+VLOOKUP($B$3,'Coeff EC7'!$T$65:$X$85,2,0)*Model0.1C!FH150)/1.1</f>
        <v>#N/A</v>
      </c>
      <c r="FJ150" s="102" t="e">
        <f>(VLOOKUP($B$3,'Coeff EC7'!$T$39:$X$59,3,0)*FG150+VLOOKUP($B$3,'Coeff EC7'!$T$65:$X$85,3,0)*Model0.1C!FH150)/0.9</f>
        <v>#N/A</v>
      </c>
      <c r="FK150" s="102" t="e">
        <f t="shared" si="298"/>
        <v>#N/A</v>
      </c>
      <c r="FL150" s="102" t="e">
        <f t="shared" si="299"/>
        <v>#N/A</v>
      </c>
      <c r="FM150" s="414" t="e">
        <f>IF(FM149=0,0,IF(AND(FI150&gt;charge_ELS_quasi,FJ150&gt;Charge_ELS_freq,FK150&gt;charge_ELU,FL150&gt;charge_ELA,$B150&gt;NDC!$H$22-0.1+MIN(3*$FM$12,1.5)),0,1))</f>
        <v>#N/A</v>
      </c>
    </row>
    <row r="151" spans="1:169">
      <c r="A151" s="96">
        <f t="shared" si="267"/>
        <v>86.200000000000784</v>
      </c>
      <c r="B151" s="97">
        <v>13.8</v>
      </c>
      <c r="C151" s="81">
        <f>IF(B151&lt;=Hypothèses!$C$7,Hypothèses!$A$7,IF(B151&lt;=Hypothèses!$C$8,Hypothèses!$A$8,IF(B151&lt;=Hypothèses!$C$9,Hypothèses!$A$9,IF(B151&lt;=Hypothèses!$C$10,Hypothèses!$A$10,IF(B151&lt;=Hypothèses!$C$11,Hypothèses!$A$11,IF(B151&lt;=Hypothèses!$C$12,Hypothèses!$A$12,IF(B151&lt;=Hypothèses!$C$13,Hypothèses!$A$13,IF(B151&lt;=Hypothèses!$C$14,Hypothèses!$A$14,IF(B151&lt;=Hypothèses!$C$15,Hypothèses!$A$15,IF(B151&lt;=Hypothèses!$C$16,Hypothèses!$A$16,IF(B151&lt;=Hypothèses!$C$17,Hypothèses!$A$17,IF(B151&lt;=Hypothèses!$C$18,Hypothèses!$A$18,C150))))))))))))</f>
        <v>11</v>
      </c>
      <c r="D151" s="82" t="str">
        <f>IF(B151&lt;=Hypothèses!$C$7,Hypothèses!$R$7,IF(B151&lt;=Hypothèses!$C$8,Hypothèses!$R$8,IF(B151&lt;=Hypothèses!$C$9,Hypothèses!$R$9,IF(B151&lt;=Hypothèses!$C$10,Hypothèses!$R$10,IF(B151&lt;=Hypothèses!$C$11,Hypothèses!$R$11,IF(B151&lt;=Hypothèses!$C$12,Hypothèses!$R$12,IF(B151&lt;=Hypothèses!$C$13,Hypothèses!$R$13,IF(B151&lt;=Hypothèses!$C$14,Hypothèses!$R$14,IF(B151&lt;=Hypothèses!$C$15,Hypothèses!$R$15,IF(B151&lt;=Hypothèses!$C$16,Hypothèses!$R$16,IF(B151&lt;=Hypothèses!$C$17,Hypothèses!$R$17,IF(B151&lt;=Hypothèses!$C$18,Hypothèses!$R$18,D150))))))))))))</f>
        <v>Pressio.</v>
      </c>
      <c r="E151" s="82" t="e">
        <f>IF(B151&lt;=Hypothèses!$C$7,Hypothèses!$G$7,IF(B151&lt;=Hypothèses!$C$8,Hypothèses!$G$8,IF(B151&lt;=Hypothèses!$C$9,Hypothèses!$G$9,IF(B151&lt;=Hypothèses!$C$10,Hypothèses!$G$10,IF(B151&lt;=Hypothèses!$C$11,Hypothèses!$G$11,IF(B151&lt;=Hypothèses!$C$12,Hypothèses!$G$12,IF(B151&lt;=Hypothèses!$C$13,Hypothèses!$G$13,IF(B151&lt;=Hypothèses!$C$14,Hypothèses!$G$14,IF(B151&lt;=Hypothèses!$C$15,Hypothèses!$G$15,IF(B151&lt;=Hypothèses!$C$16,Hypothèses!$G$16,IF(B151&lt;=Hypothèses!$C$17,Hypothèses!$G$17,IF(B151&lt;=Hypothèses!$C$18,Hypothèses!$G$18,E150))))))))))))</f>
        <v>#N/A</v>
      </c>
      <c r="F151" s="82" t="str">
        <f>IF(B151&lt;=Hypothèses!$C$7,Hypothèses!$F$7,IF(B151&lt;=Hypothèses!$C$8,Hypothèses!$F$8,IF(B151&lt;=Hypothèses!$C$9,Hypothèses!$F$9,IF(B151&lt;=Hypothèses!$C$10,Hypothèses!$F$10,IF(B151&lt;=Hypothèses!$C$11,Hypothèses!$F$11,IF(B151&lt;=Hypothèses!$C$12,Hypothèses!$F$12,IF(B151&lt;=Hypothèses!$C$13,Hypothèses!$F$13,IF(B151&lt;=Hypothèses!$C$14,Hypothèses!$F$14,IF(B151&lt;=Hypothèses!$C$15,Hypothèses!$F$15,IF(B151&lt;=Hypothèses!$C$16,Hypothèses!$F$16,IF(B151&lt;=Hypothèses!$C$17,Hypothèses!$F$17,IF(B151&lt;=Hypothèses!$C$18,Hypothèses!$F$18,F150))))))))))))</f>
        <v/>
      </c>
      <c r="G151" s="91">
        <f t="array" ref="G151">INDEX('Coeff EC7'!$U$7:$X$27,
MATCH(Model0.1C!$B$3,'Coeff EC7'!$T$7:$T$27,0),
MATCH(Model0.1C!$D151&amp;Model0.1C!$B$4,
'Coeff EC7'!$U$6:$X$6&amp;
'Coeff EC7'!$U$5:$X$5,0))</f>
        <v>1.1499999999999999</v>
      </c>
      <c r="H151" s="91">
        <f t="array" ref="H151">INDEX('Coeff EC7'!$Y$7:$AB$27,
MATCH(Model0.1C!$B$3,'Coeff EC7'!$T$7:$T$27,0),
MATCH(Model0.1C!$D151&amp;Model0.1C!$B$4,
'Coeff EC7'!$Y$6:$AB$6&amp;
'Coeff EC7'!$Y$5:$AB$5,0))</f>
        <v>1.4</v>
      </c>
      <c r="I151" s="83" t="e">
        <f>IF(B151&lt;=Hypothèses!$C$7,Hypothèses!$P$7,IF(B151&lt;=Hypothèses!$C$8,Hypothèses!$P$8,IF(B151&lt;=Hypothèses!$C$9,Hypothèses!$P$9,IF(B151&lt;=Hypothèses!$C$10,Hypothèses!$P$10,IF(B151&lt;=Hypothèses!$C$11,Hypothèses!$P$11,IF(B151&lt;=Hypothèses!$C$12,Hypothèses!$P$12,IF(B151&lt;=Hypothèses!$C$13,Hypothèses!$P$13,IF(B151&lt;=Hypothèses!$C$14,Hypothèses!$P$14,IF(B151&lt;=Hypothèses!$C$15,Hypothèses!$P$15,IF(B151&lt;=Hypothèses!$C$16,Hypothèses!$P$16,IF(B151&lt;=Hypothèses!$C$17,Hypothèses!$P$17,IF(B151&lt;=Hypothèses!$C$18,Hypothèses!$P$18,I150))))))))))))</f>
        <v>#N/A</v>
      </c>
      <c r="J151" s="91" t="e">
        <f t="array" ref="J151">INDEX('Coeff EC7'!$D$33:$Q$33,1,MATCH(D151&amp;E151,'Coeff EC7'!$D$31:$Q$31&amp;'Coeff EC7'!$D$32:$Q$32,0))</f>
        <v>#N/A</v>
      </c>
      <c r="K151" s="91" t="e">
        <f t="array" ref="K151">INDEX('Coeff EC7'!$D$34:$Q$34,1,MATCH(D151&amp;E151,'Coeff EC7'!$D$31:$Q$31&amp;'Coeff EC7'!$D$32:$Q$32,0))</f>
        <v>#N/A</v>
      </c>
      <c r="L151" s="91" t="e">
        <f t="array" ref="L151">INDEX('Coeff EC7'!$D$35:$Q$35,1,MATCH(D151&amp;E151,'Coeff EC7'!$D$31:$Q$31&amp;'Coeff EC7'!$D$32:$Q$32,0))</f>
        <v>#N/A</v>
      </c>
      <c r="M151" s="98" t="e">
        <f t="shared" si="231"/>
        <v>#N/A</v>
      </c>
      <c r="N151" s="99" t="e">
        <f t="array" ref="N151">INDEX('Coeff EC7'!$D$7:$Q$27,MATCH($B$3,'Coeff EC7'!$C$7:$C$27,0),MATCH(D151&amp;E151,'Coeff EC7'!$D$5:$Q$5&amp;'Coeff EC7'!$D$6:$Q$6,0))</f>
        <v>#N/A</v>
      </c>
      <c r="O151" s="99" t="e">
        <f t="array" ref="O151">INDEX('Coeff EC7'!$D$41:$Q$61,MATCH($B$3,'Coeff EC7'!$C$41:$C$61,0),MATCH(D151&amp;E151,'Coeff EC7'!$D$39:$Q$39&amp;'Coeff EC7'!$D$40:$Q$40,0))</f>
        <v>#N/A</v>
      </c>
      <c r="P151" s="30" t="e">
        <f t="shared" si="268"/>
        <v>#N/A</v>
      </c>
      <c r="Q151" s="100" t="e">
        <f t="shared" si="233"/>
        <v>#N/A</v>
      </c>
      <c r="R151" s="86" t="b">
        <f t="shared" si="234"/>
        <v>0</v>
      </c>
      <c r="S151" s="86">
        <f t="shared" si="232"/>
        <v>0.5</v>
      </c>
      <c r="T151" s="86">
        <f t="shared" si="235"/>
        <v>0.5</v>
      </c>
      <c r="U151" s="30" t="e">
        <f t="shared" ca="1" si="269"/>
        <v>#DIV/0!</v>
      </c>
      <c r="V151" s="85" t="str">
        <f>IF(B151&lt;=Hypothèses!$V$7,Hypothèses!$W$7,IF(B151&lt;=Hypothèses!$V$8,Hypothèses!$W$8,IF(B151&lt;=Hypothèses!$V$9,Hypothèses!$W$9,IF(B151&lt;=Hypothèses!$V$10,Hypothèses!$W$10,IF(B151&lt;=Hypothèses!$V$11,Hypothèses!$W$11,IF(B151&lt;=Hypothèses!$V$12,Hypothèses!$W$12,IF(B151&lt;=Hypothèses!$V$13,Hypothèses!$W$13,IF(B151&lt;=Hypothèses!$V$14,Hypothèses!$W$14,IF(B151&lt;=Hypothèses!$V$15,Hypothèses!$W$15,IF(B151&lt;=Hypothèses!$V$16,Hypothèses!$W$16,IF(B151&lt;=Hypothèses!$V$17,Hypothèses!$W$17,IF(B151&lt;=Hypothèses!$V$18,Hypothèses!$W$18,""))))))))))))</f>
        <v/>
      </c>
      <c r="W151" s="87" t="e">
        <f t="shared" ca="1" si="316"/>
        <v>#DIV/0!</v>
      </c>
      <c r="X151" s="88" t="str">
        <f>IF(B151&lt;=Hypothèses!$V$7,Hypothèses!$X$7,IF(B151&lt;=Hypothèses!$V$8,Hypothèses!$X$8,IF(B151&lt;=Hypothèses!$V$9,Hypothèses!$X$9,IF(B151&lt;=Hypothèses!$V$10,Hypothèses!$X$10,IF(B151&lt;=Hypothèses!$V$11,Hypothèses!$X$11,IF(B151&lt;=Hypothèses!$V$12,Hypothèses!$X$12,IF(B151&lt;=Hypothèses!$V$13,Hypothèses!$X$13,IF(B151&lt;=Hypothèses!$V$14,Hypothèses!$X$14,IF(B151&lt;=Hypothèses!$V$15,Hypothèses!$X$15,IF(B151&lt;=Hypothèses!$V$16,Hypothèses!$X$16,IF(B151&lt;=Hypothèses!$U$17,Hypothèses!$W$17,IF(B151&lt;=Hypothèses!$U$18,Hypothèses!$W$18,""))))))))))))</f>
        <v/>
      </c>
      <c r="Y151" s="95" t="e">
        <f t="shared" ca="1" si="236"/>
        <v>#DIV/0!</v>
      </c>
      <c r="Z151" s="101" t="e">
        <f t="shared" si="237"/>
        <v>#N/A</v>
      </c>
      <c r="AA151" s="91" t="e">
        <f t="shared" si="238"/>
        <v>#N/A</v>
      </c>
      <c r="AB151" s="30" t="e">
        <f t="shared" si="300"/>
        <v>#N/A</v>
      </c>
      <c r="AC151" s="30" t="e">
        <f t="shared" si="301"/>
        <v>#N/A</v>
      </c>
      <c r="AD151" s="31" t="e">
        <f>IF(OR(Hypothèses!$B$4=17,Hypothèses!$B$4=18,Hypothèses!$B$4=19,Hypothèses!$B$4=20),
IF($D151="Pressio.",
IF(OR($E151=3,$E151=1,$E151=4),AC151,AB151),
IF($D151="Pénétro.",
IF(OR($E151=3,$E151=1,$E151=4),AC151,AB151))),IF($D151="Pressio.",
IF($E151=3,AC151,AB151),
IF($D151="Pénétro.",
IF($E151=4,AC151,AB151))))</f>
        <v>#N/A</v>
      </c>
      <c r="AE151" s="31" t="e">
        <f>(IF(OR(Hypothèses!$B$4=17,Hypothèses!$B$4=18,Hypothèses!$B$4=19,Hypothèses!$B$4=20),
IF($D151="Pressio.",
IF(OR($E151=3,$E151=1,$E151=4),(PI()*AE$12^2)/4*(AA151*$W151*1000)/($H151*$B$5),(PI()*AE$12^2)/4*(AA151*$W151*1000)/($G151*$B$5)),
IF($D151="Pénétro.",
IF(OR($E151=4,$E151=1,$E151=5),(PI()*AE$12^2)/4*(AA151*$W151*1000)/($H151*$B$5),(PI()*AE$12^2)/4*(AA151*$W151*1000)/($G151*$B$5)))),
IF($D151="Pressio.",
IF($E151=3,(PI()*AE$12^2)/4*(AA151*$W151*1000)/($H151*$B$5),(PI()*AE$12^2)/4*(AA151*$W151*1000)/($G151*$B$5)),
IF($D151="Pénétro.",
IF($E151=4,(PI()*AE$12^2)/4*(AA151*$W151*1000)/($H151*$B$5),(PI()*AE$12^2)/4*(AA151*$W151*1000)/($G151*$B$5))))))/10</f>
        <v>#N/A</v>
      </c>
      <c r="AF151" s="102" t="e">
        <f>(VLOOKUP($B$3,'Coeff EC7'!$T$39:$X$59,2,0)*AD151+VLOOKUP($B$3,'Coeff EC7'!$T$65:$X$85,2,0)*Model0.1C!AE151)/1.1</f>
        <v>#N/A</v>
      </c>
      <c r="AG151" s="102" t="e">
        <f>(VLOOKUP($B$3,'Coeff EC7'!$T$39:$X$59,3,0)*AD151+VLOOKUP($B$3,'Coeff EC7'!$T$65:$X$85,3,0)*Model0.1C!AE151)/0.9</f>
        <v>#N/A</v>
      </c>
      <c r="AH151" s="102" t="e">
        <f t="shared" si="239"/>
        <v>#N/A</v>
      </c>
      <c r="AI151" s="102" t="e">
        <f t="shared" si="240"/>
        <v>#N/A</v>
      </c>
      <c r="AJ151" s="414" t="e">
        <f>IF(AJ150=0,0,IF(AND(AF151&gt;charge_ELS_quasi,AG151&gt;Charge_ELS_freq,AH151&gt;charge_ELU,AI151&gt;charge_ELA,$B151&gt;NDC!$H$22-0.1+MIN(3*$AJ$12,1.5)),0,1))</f>
        <v>#N/A</v>
      </c>
      <c r="AK151" s="86" t="b">
        <f t="shared" si="241"/>
        <v>0</v>
      </c>
      <c r="AL151" s="86">
        <f t="shared" si="270"/>
        <v>0.5</v>
      </c>
      <c r="AM151" s="86">
        <f t="shared" si="242"/>
        <v>0.5</v>
      </c>
      <c r="AN151" s="30" t="e">
        <f t="shared" ca="1" si="271"/>
        <v>#DIV/0!</v>
      </c>
      <c r="AO151" s="85" t="e">
        <f ca="1">IF(U151&lt;=Hypothèses!$V$7,Hypothèses!$W$7,IF(U151&lt;=Hypothèses!$V$8,Hypothèses!$W$8,IF(U151&lt;=Hypothèses!$V$9,Hypothèses!$W$9,IF(U151&lt;=Hypothèses!$V$10,Hypothèses!$W$10,IF(U151&lt;=Hypothèses!$V$11,Hypothèses!$W$11,IF(U151&lt;=Hypothèses!$V$12,Hypothèses!$W$12,IF(U151&lt;=Hypothèses!$V$13,Hypothèses!$W$13,IF(U151&lt;=Hypothèses!$V$14,Hypothèses!$W$14,IF(U151&lt;=Hypothèses!$V$15,Hypothèses!$W$15,IF(U151&lt;=Hypothèses!$V$16,Hypothèses!$W$16,IF(U151&lt;=Hypothèses!$V$17,Hypothèses!$W$17,IF(U151&lt;=Hypothèses!$V$18,Hypothèses!$W$18,""))))))))))))</f>
        <v>#DIV/0!</v>
      </c>
      <c r="AP151" s="87" t="e">
        <f t="shared" ca="1" si="317"/>
        <v>#DIV/0!</v>
      </c>
      <c r="AQ151" s="88" t="e">
        <f ca="1">IF(U151&lt;=Hypothèses!$V$7,Hypothèses!$X$7,IF(U151&lt;=Hypothèses!$V$8,Hypothèses!$X$8,IF(U151&lt;=Hypothèses!$V$9,Hypothèses!$X$9,IF(U151&lt;=Hypothèses!$V$10,Hypothèses!$X$10,IF(U151&lt;=Hypothèses!$V$11,Hypothèses!$X$11,IF(U151&lt;=Hypothèses!$V$12,Hypothèses!$X$12,IF(U151&lt;=Hypothèses!$V$13,Hypothèses!$X$13,IF(U151&lt;=Hypothèses!$V$14,Hypothèses!$X$14,IF(U151&lt;=Hypothèses!$V$15,Hypothèses!$X$15,IF(U151&lt;=Hypothèses!$V$16,Hypothèses!$X$16,IF(U151&lt;=Hypothèses!$U$17,Hypothèses!$W$17,IF(U151&lt;=Hypothèses!$U$18,Hypothèses!$W$18,""))))))))))))</f>
        <v>#DIV/0!</v>
      </c>
      <c r="AR151" s="95" t="e">
        <f t="shared" ca="1" si="272"/>
        <v>#DIV/0!</v>
      </c>
      <c r="AS151" s="101" t="e">
        <f t="shared" si="324"/>
        <v>#N/A</v>
      </c>
      <c r="AT151" s="91" t="e">
        <f t="shared" si="243"/>
        <v>#N/A</v>
      </c>
      <c r="AU151" s="30" t="e">
        <f t="shared" si="302"/>
        <v>#N/A</v>
      </c>
      <c r="AV151" s="30" t="e">
        <f t="shared" si="303"/>
        <v>#N/A</v>
      </c>
      <c r="AW151" s="31" t="e">
        <f>IF(OR(Hypothèses!$B$4=17,Hypothèses!$B$4=18,Hypothèses!$B$4=19,Hypothèses!$B$4=20),
IF($D151="Pressio.",
IF(OR($E151=3,$E151=1,$E151=4),AV151,AU151),
IF($D151="Pénétro.",
IF(OR($E151=3,$E151=1,$E151=4),AV151,AU151))),IF($D151="Pressio.",
IF($E151=3,AV151,AU151),
IF($D151="Pénétro.",
IF($E151=4,AV151,AU151))))</f>
        <v>#N/A</v>
      </c>
      <c r="AX151" s="31" t="e">
        <f>(IF(OR(Hypothèses!$B$4=17,Hypothèses!$B$4=18,Hypothèses!$B$4=19,Hypothèses!$B$4=20),
IF($D151="Pressio.",
IF(OR($E151=3,$E151=1,$E151=4),(PI()*AX$12^2)/4*(AT151*$W151*1000)/($H151*$B$5),(PI()*AX$12^2)/4*(AT151*$W151*1000)/($G151*$B$5)),
IF($D151="Pénétro.",
IF(OR($E151=4,$E151=1,$E151=5),(PI()*AX$12^2)/4*(AT151*$W151*1000)/($H151*$B$5),(PI()*AX$12^2)/4*(AT151*$W151*1000)/($G151*$B$5)))),
IF($D151="Pressio.",
IF($E151=3,(PI()*AX$12^2)/4*(AT151*$W151*1000)/($H151*$B$5),(PI()*AX$12^2)/4*(AT151*$W151*1000)/($G151*$B$5)),
IF($D151="Pénétro.",
IF($E151=4,(PI()*AX$12^2)/4*(AT151*$W151*1000)/($H151*$B$5),(PI()*AX$12^2)/4*(AT151*$W151*1000)/($G151*$B$5))))))/10</f>
        <v>#N/A</v>
      </c>
      <c r="AY151" s="102" t="e">
        <f>(VLOOKUP($B$3,'Coeff EC7'!$T$39:$X$59,2,0)*AW151+VLOOKUP($B$3,'Coeff EC7'!$T$65:$X$85,2,0)*Model0.1C!AX151)/1.1</f>
        <v>#N/A</v>
      </c>
      <c r="AZ151" s="102" t="e">
        <f>(VLOOKUP($B$3,'Coeff EC7'!$T$39:$X$59,3,0)*AW151+VLOOKUP($B$3,'Coeff EC7'!$T$65:$X$85,3,0)*Model0.1C!AX151)/0.9</f>
        <v>#N/A</v>
      </c>
      <c r="BA151" s="102" t="e">
        <f t="shared" si="273"/>
        <v>#N/A</v>
      </c>
      <c r="BB151" s="102" t="e">
        <f t="shared" si="274"/>
        <v>#N/A</v>
      </c>
      <c r="BC151" s="414" t="e">
        <f>IF(BC150=0,0,IF(AND(AY151&gt;charge_ELS_quasi,AZ151&gt;Charge_ELS_freq,BA151&gt;charge_ELU,BB151&gt;charge_ELA,$B151&gt;NDC!$H$22-0.1+MIN(3*$BC$12,1.5)),0,1))</f>
        <v>#N/A</v>
      </c>
      <c r="BD151" s="86" t="b">
        <f t="shared" si="244"/>
        <v>0</v>
      </c>
      <c r="BE151" s="86">
        <f t="shared" si="275"/>
        <v>0.5</v>
      </c>
      <c r="BF151" s="86">
        <f t="shared" si="245"/>
        <v>0.5</v>
      </c>
      <c r="BG151" s="30" t="e">
        <f t="shared" ca="1" si="276"/>
        <v>#DIV/0!</v>
      </c>
      <c r="BH151" s="85" t="e">
        <f ca="1">IF(AN151&lt;=Hypothèses!$V$7,Hypothèses!$W$7,IF(AN151&lt;=Hypothèses!$V$8,Hypothèses!$W$8,IF(AN151&lt;=Hypothèses!$V$9,Hypothèses!$W$9,IF(AN151&lt;=Hypothèses!$V$10,Hypothèses!$W$10,IF(AN151&lt;=Hypothèses!$V$11,Hypothèses!$W$11,IF(AN151&lt;=Hypothèses!$V$12,Hypothèses!$W$12,IF(AN151&lt;=Hypothèses!$V$13,Hypothèses!$W$13,IF(AN151&lt;=Hypothèses!$V$14,Hypothèses!$W$14,IF(AN151&lt;=Hypothèses!$V$15,Hypothèses!$W$15,IF(AN151&lt;=Hypothèses!$V$16,Hypothèses!$W$16,IF(AN151&lt;=Hypothèses!$V$17,Hypothèses!$W$17,IF(AN151&lt;=Hypothèses!$V$18,Hypothèses!$W$18,""))))))))))))</f>
        <v>#DIV/0!</v>
      </c>
      <c r="BI151" s="87" t="e">
        <f t="shared" ca="1" si="318"/>
        <v>#DIV/0!</v>
      </c>
      <c r="BJ151" s="88" t="e">
        <f ca="1">IF(AN151&lt;=Hypothèses!$V$7,Hypothèses!$X$7,IF(AN151&lt;=Hypothèses!$V$8,Hypothèses!$X$8,IF(AN151&lt;=Hypothèses!$V$9,Hypothèses!$X$9,IF(AN151&lt;=Hypothèses!$V$10,Hypothèses!$X$10,IF(AN151&lt;=Hypothèses!$V$11,Hypothèses!$X$11,IF(AN151&lt;=Hypothèses!$V$12,Hypothèses!$X$12,IF(AN151&lt;=Hypothèses!$V$13,Hypothèses!$X$13,IF(AN151&lt;=Hypothèses!$V$14,Hypothèses!$X$14,IF(AN151&lt;=Hypothèses!$V$15,Hypothèses!$X$15,IF(AN151&lt;=Hypothèses!$V$16,Hypothèses!$X$16,IF(AN151&lt;=Hypothèses!$U$17,Hypothèses!$W$17,IF(AN151&lt;=Hypothèses!$U$18,Hypothèses!$W$18,""))))))))))))</f>
        <v>#DIV/0!</v>
      </c>
      <c r="BK151" s="95" t="e">
        <f t="shared" ca="1" si="277"/>
        <v>#DIV/0!</v>
      </c>
      <c r="BL151" s="101" t="e">
        <f t="shared" si="325"/>
        <v>#N/A</v>
      </c>
      <c r="BM151" s="91" t="e">
        <f t="shared" si="246"/>
        <v>#N/A</v>
      </c>
      <c r="BN151" s="30" t="e">
        <f t="shared" si="304"/>
        <v>#N/A</v>
      </c>
      <c r="BO151" s="30" t="e">
        <f t="shared" si="305"/>
        <v>#N/A</v>
      </c>
      <c r="BP151" s="31" t="e">
        <f>IF(OR(Hypothèses!$B$4=17,Hypothèses!$B$4=18,Hypothèses!$B$4=19,Hypothèses!$B$4=20),
IF($D151="Pressio.",
IF(OR($E151=3,$E151=1,$E151=4),BO151,BN151),
IF($D151="Pénétro.",
IF(OR($E151=3,$E151=1,$E151=4),BO151,BN151))),IF($D151="Pressio.",
IF($E151=3,BO151,BN151),
IF($D151="Pénétro.",
IF($E151=4,BO151,BN151))))</f>
        <v>#N/A</v>
      </c>
      <c r="BQ151" s="31" t="e">
        <f>(IF(OR(Hypothèses!$B$4=17,Hypothèses!$B$4=18,Hypothèses!$B$4=19,Hypothèses!$B$4=20),
IF($D151="Pressio.",
IF(OR($E151=3,$E151=1,$E151=4),(PI()*BQ$12^2)/4*(BM151*$W151*1000)/($H151*$B$5),(PI()*BQ$12^2)/4*(BM151*$W151*1000)/($G151*$B$5)),
IF($D151="Pénétro.",
IF(OR($E151=4,$E151=1,$E151=5),(PI()*BQ$12^2)/4*(BM151*$W151*1000)/($H151*$B$5),(PI()*BQ$12^2)/4*(BM151*$W151*1000)/($G151*$B$5)))),
IF($D151="Pressio.",
IF($E151=3,(PI()*BQ$12^2)/4*(BM151*$W151*1000)/($H151*$B$5),(PI()*BQ$12^2)/4*(BM151*$W151*1000)/($G151*$B$5)),
IF($D151="Pénétro.",
IF($E151=4,(PI()*BQ$12^2)/4*(BM151*$W151*1000)/($H151*$B$5),(PI()*BQ$12^2)/4*(BM151*$W151*1000)/($G151*$B$5))))))/10</f>
        <v>#N/A</v>
      </c>
      <c r="BR151" s="102" t="e">
        <f>(VLOOKUP($B$3,'Coeff EC7'!$T$39:$X$59,2,0)*BP151+VLOOKUP($B$3,'Coeff EC7'!$T$65:$X$85,2,0)*Model0.1C!BQ151)/1.1</f>
        <v>#N/A</v>
      </c>
      <c r="BS151" s="102" t="e">
        <f>(VLOOKUP($B$3,'Coeff EC7'!$T$39:$X$59,3,0)*BP151+VLOOKUP($B$3,'Coeff EC7'!$T$65:$X$85,3,0)*Model0.1C!BQ151)/0.9</f>
        <v>#N/A</v>
      </c>
      <c r="BT151" s="102" t="e">
        <f t="shared" si="278"/>
        <v>#N/A</v>
      </c>
      <c r="BU151" s="102" t="e">
        <f t="shared" si="279"/>
        <v>#N/A</v>
      </c>
      <c r="BV151" s="414" t="e">
        <f>IF(BV150=0,0,IF(AND(BR151&gt;charge_ELS_quasi,BS151&gt;Charge_ELS_freq,BT151&gt;charge_ELU,BU151&gt;charge_ELA,$B151&gt;NDC!$H$22-0.1+MIN(3*$BV$12,1.5)),0,1))</f>
        <v>#N/A</v>
      </c>
      <c r="BW151" s="86" t="b">
        <f t="shared" si="247"/>
        <v>0</v>
      </c>
      <c r="BX151" s="86">
        <f t="shared" si="248"/>
        <v>0.5</v>
      </c>
      <c r="BY151" s="86">
        <f t="shared" si="249"/>
        <v>0.5</v>
      </c>
      <c r="BZ151" s="30" t="e">
        <f t="shared" ca="1" si="280"/>
        <v>#DIV/0!</v>
      </c>
      <c r="CA151" s="85" t="e">
        <f ca="1">IF(BG151&lt;=Hypothèses!$V$7,Hypothèses!$W$7,IF(BG151&lt;=Hypothèses!$V$8,Hypothèses!$W$8,IF(BG151&lt;=Hypothèses!$V$9,Hypothèses!$W$9,IF(BG151&lt;=Hypothèses!$V$10,Hypothèses!$W$10,IF(BG151&lt;=Hypothèses!$V$11,Hypothèses!$W$11,IF(BG151&lt;=Hypothèses!$V$12,Hypothèses!$W$12,IF(BG151&lt;=Hypothèses!$V$13,Hypothèses!$W$13,IF(BG151&lt;=Hypothèses!$V$14,Hypothèses!$W$14,IF(BG151&lt;=Hypothèses!$V$15,Hypothèses!$W$15,IF(BG151&lt;=Hypothèses!$V$16,Hypothèses!$W$16,IF(BG151&lt;=Hypothèses!$V$17,Hypothèses!$W$17,IF(BG151&lt;=Hypothèses!$V$18,Hypothèses!$W$18,""))))))))))))</f>
        <v>#DIV/0!</v>
      </c>
      <c r="CB151" s="87" t="e">
        <f t="shared" ca="1" si="319"/>
        <v>#DIV/0!</v>
      </c>
      <c r="CC151" s="88" t="e">
        <f ca="1">IF(BG151&lt;=Hypothèses!$V$7,Hypothèses!$X$7,IF(BG151&lt;=Hypothèses!$V$8,Hypothèses!$X$8,IF(BG151&lt;=Hypothèses!$V$9,Hypothèses!$X$9,IF(BG151&lt;=Hypothèses!$V$10,Hypothèses!$X$10,IF(BG151&lt;=Hypothèses!$V$11,Hypothèses!$X$11,IF(BG151&lt;=Hypothèses!$V$12,Hypothèses!$X$12,IF(BG151&lt;=Hypothèses!$V$13,Hypothèses!$X$13,IF(BG151&lt;=Hypothèses!$V$14,Hypothèses!$X$14,IF(BG151&lt;=Hypothèses!$V$15,Hypothèses!$X$15,IF(BG151&lt;=Hypothèses!$V$16,Hypothèses!$X$16,IF(BG151&lt;=Hypothèses!$U$17,Hypothèses!$W$17,IF(BG151&lt;=Hypothèses!$U$18,Hypothèses!$W$18,""))))))))))))</f>
        <v>#DIV/0!</v>
      </c>
      <c r="CD151" s="95" t="e">
        <f t="shared" ca="1" si="281"/>
        <v>#DIV/0!</v>
      </c>
      <c r="CE151" s="101" t="e">
        <f t="shared" si="326"/>
        <v>#N/A</v>
      </c>
      <c r="CF151" s="91" t="e">
        <f t="shared" si="250"/>
        <v>#N/A</v>
      </c>
      <c r="CG151" s="30" t="e">
        <f t="shared" si="306"/>
        <v>#N/A</v>
      </c>
      <c r="CH151" s="30" t="e">
        <f t="shared" si="307"/>
        <v>#N/A</v>
      </c>
      <c r="CI151" s="31" t="e">
        <f>IF(OR(Hypothèses!$B$4=17,Hypothèses!$B$4=18,Hypothèses!$B$4=19,Hypothèses!$B$4=20),
IF($D151="Pressio.",
IF(OR($E151=3,$E151=1,$E151=4),CH151,CG151),
IF($D151="Pénétro.",
IF(OR($E151=3,$E151=1,$E151=4),CH151,CG151))),IF($D151="Pressio.",
IF($E151=3,CH151,CG151),
IF($D151="Pénétro.",
IF($E151=4,CH151,CG151))))</f>
        <v>#N/A</v>
      </c>
      <c r="CJ151" s="31" t="e">
        <f>(IF(OR(Hypothèses!$B$4=17,Hypothèses!$B$4=18,Hypothèses!$B$4=19,Hypothèses!$B$4=20),
IF($D151="Pressio.",
IF(OR($E151=3,$E151=1,$E151=4),(PI()*CJ$12^2)/4*(CF151*$W151*1000)/($H151*$B$5),(PI()*CJ$12^2)/4*(CF151*$W151*1000)/($G151*$B$5)),
IF($D151="Pénétro.",
IF(OR($E151=4,$E151=1,$E151=5),(PI()*CJ$12^2)/4*(CF151*$W151*1000)/($H151*$B$5),(PI()*CJ$12^2)/4*(CF151*$W151*1000)/($G151*$B$5)))),
IF($D151="Pressio.",
IF($E151=3,(PI()*CJ$12^2)/4*(CF151*$W151*1000)/($H151*$B$5),(PI()*CJ$12^2)/4*(CF151*$W151*1000)/($G151*$B$5)),
IF($D151="Pénétro.",
IF($E151=4,(PI()*CJ$12^2)/4*(CF151*$W151*1000)/($H151*$B$5),(PI()*CJ$12^2)/4*(CF151*$W151*1000)/($G151*$B$5))))))/10</f>
        <v>#N/A</v>
      </c>
      <c r="CK151" s="102" t="e">
        <f>(VLOOKUP($B$3,'Coeff EC7'!$T$39:$X$59,2,0)*CI151+VLOOKUP($B$3,'Coeff EC7'!$T$65:$X$85,2,0)*Model0.1C!CJ151)/1.1</f>
        <v>#N/A</v>
      </c>
      <c r="CL151" s="102" t="e">
        <f>(VLOOKUP($B$3,'Coeff EC7'!$T$39:$X$59,3,0)*CI151+VLOOKUP($B$3,'Coeff EC7'!$T$65:$X$85,3,0)*Model0.1C!CJ151)/0.9</f>
        <v>#N/A</v>
      </c>
      <c r="CM151" s="102" t="e">
        <f t="shared" si="282"/>
        <v>#N/A</v>
      </c>
      <c r="CN151" s="102" t="e">
        <f t="shared" si="283"/>
        <v>#N/A</v>
      </c>
      <c r="CO151" s="414" t="e">
        <f>IF(CO150=0,0,IF(AND(CK151&gt;charge_ELS_quasi,CL151&gt;Charge_ELS_freq,CM151&gt;charge_ELU,CN151&gt;charge_ELA,$B151&gt;NDC!$H$22-0.1+MIN(3*$CO$12,1.5)),0,1))</f>
        <v>#N/A</v>
      </c>
      <c r="CP151" s="86" t="b">
        <f t="shared" si="251"/>
        <v>0</v>
      </c>
      <c r="CQ151" s="86">
        <f t="shared" si="252"/>
        <v>0.5</v>
      </c>
      <c r="CR151" s="86">
        <f t="shared" si="253"/>
        <v>0.5</v>
      </c>
      <c r="CS151" s="30" t="e">
        <f t="shared" ca="1" si="284"/>
        <v>#DIV/0!</v>
      </c>
      <c r="CT151" s="85" t="e">
        <f ca="1">IF(BZ151&lt;=Hypothèses!$V$7,Hypothèses!$W$7,IF(BZ151&lt;=Hypothèses!$V$8,Hypothèses!$W$8,IF(BZ151&lt;=Hypothèses!$V$9,Hypothèses!$W$9,IF(BZ151&lt;=Hypothèses!$V$10,Hypothèses!$W$10,IF(BZ151&lt;=Hypothèses!$V$11,Hypothèses!$W$11,IF(BZ151&lt;=Hypothèses!$V$12,Hypothèses!$W$12,IF(BZ151&lt;=Hypothèses!$V$13,Hypothèses!$W$13,IF(BZ151&lt;=Hypothèses!$V$14,Hypothèses!$W$14,IF(BZ151&lt;=Hypothèses!$V$15,Hypothèses!$W$15,IF(BZ151&lt;=Hypothèses!$V$16,Hypothèses!$W$16,IF(BZ151&lt;=Hypothèses!$V$17,Hypothèses!$W$17,IF(BZ151&lt;=Hypothèses!$V$18,Hypothèses!$W$18,""))))))))))))</f>
        <v>#DIV/0!</v>
      </c>
      <c r="CU151" s="87" t="e">
        <f t="shared" ca="1" si="320"/>
        <v>#DIV/0!</v>
      </c>
      <c r="CV151" s="88" t="e">
        <f ca="1">IF(BZ151&lt;=Hypothèses!$V$7,Hypothèses!$X$7,IF(BZ151&lt;=Hypothèses!$V$8,Hypothèses!$X$8,IF(BZ151&lt;=Hypothèses!$V$9,Hypothèses!$X$9,IF(BZ151&lt;=Hypothèses!$V$10,Hypothèses!$X$10,IF(BZ151&lt;=Hypothèses!$V$11,Hypothèses!$X$11,IF(BZ151&lt;=Hypothèses!$V$12,Hypothèses!$X$12,IF(BZ151&lt;=Hypothèses!$V$13,Hypothèses!$X$13,IF(BZ151&lt;=Hypothèses!$V$14,Hypothèses!$X$14,IF(BZ151&lt;=Hypothèses!$V$15,Hypothèses!$X$15,IF(BZ151&lt;=Hypothèses!$V$16,Hypothèses!$X$16,IF(BZ151&lt;=Hypothèses!$U$17,Hypothèses!$W$17,IF(BZ151&lt;=Hypothèses!$U$18,Hypothèses!$W$18,""))))))))))))</f>
        <v>#DIV/0!</v>
      </c>
      <c r="CW151" s="95" t="e">
        <f t="shared" ca="1" si="285"/>
        <v>#DIV/0!</v>
      </c>
      <c r="CX151" s="101" t="e">
        <f t="shared" si="327"/>
        <v>#N/A</v>
      </c>
      <c r="CY151" s="91" t="e">
        <f t="shared" si="254"/>
        <v>#N/A</v>
      </c>
      <c r="CZ151" s="30" t="e">
        <f t="shared" si="308"/>
        <v>#N/A</v>
      </c>
      <c r="DA151" s="30" t="e">
        <f t="shared" si="309"/>
        <v>#N/A</v>
      </c>
      <c r="DB151" s="31" t="e">
        <f>IF(OR(Hypothèses!$B$4=17,Hypothèses!$B$4=18,Hypothèses!$B$4=19,Hypothèses!$B$4=20),
IF($D151="Pressio.",
IF(OR($E151=3,$E151=1,$E151=4),DA151,CZ151),
IF($D151="Pénétro.",
IF(OR($E151=3,$E151=1,$E151=4),DA151,CZ151))),IF($D151="Pressio.",
IF($E151=3,DA151,CZ151),
IF($D151="Pénétro.",
IF($E151=4,DA151,CZ151))))</f>
        <v>#N/A</v>
      </c>
      <c r="DC151" s="31" t="e">
        <f>(IF(OR(Hypothèses!$B$4=17,Hypothèses!$B$4=18,Hypothèses!$B$4=19,Hypothèses!$B$4=20),
IF($D151="Pressio.",
IF(OR($E151=3,$E151=1,$E151=4),(PI()*DC$12^2)/4*(CY151*$W151*1000)/($H151*$B$5),(PI()*DC$12^2)/4*(CY151*$W151*1000)/($G151*$B$5)),
IF($D151="Pénétro.",
IF(OR($E151=4,$E151=1,$E151=5),(PI()*DC$12^2)/4*(CY151*$W151*1000)/($H151*$B$5),(PI()*DC$12^2)/4*(CY151*$W151*1000)/($G151*$B$5)))),
IF($D151="Pressio.",
IF($E151=3,(PI()*DC$12^2)/4*(CY151*$W151*1000)/($H151*$B$5),(PI()*DC$12^2)/4*(CY151*$W151*1000)/($G151*$B$5)),
IF($D151="Pénétro.",
IF($E151=4,(PI()*DC$12^2)/4*(CY151*$W151*1000)/($H151*$B$5),(PI()*DC$12^2)/4*(CY151*$W151*1000)/($G151*$B$5))))))/10</f>
        <v>#N/A</v>
      </c>
      <c r="DD151" s="102" t="e">
        <f>(VLOOKUP($B$3,'Coeff EC7'!$T$39:$X$59,2,0)*DB151+VLOOKUP($B$3,'Coeff EC7'!$T$65:$X$85,2,0)*Model0.1C!DC151)/1.1</f>
        <v>#N/A</v>
      </c>
      <c r="DE151" s="102" t="e">
        <f>(VLOOKUP($B$3,'Coeff EC7'!$T$39:$X$59,3,0)*DB151+VLOOKUP($B$3,'Coeff EC7'!$T$65:$X$85,3,0)*Model0.1C!DC151)/0.9</f>
        <v>#N/A</v>
      </c>
      <c r="DF151" s="102" t="e">
        <f t="shared" si="286"/>
        <v>#N/A</v>
      </c>
      <c r="DG151" s="102" t="e">
        <f t="shared" si="287"/>
        <v>#N/A</v>
      </c>
      <c r="DH151" s="414" t="e">
        <f>IF(DH150=0,0,IF(AND(DD151&gt;charge_ELS_quasi,DE151&gt;Charge_ELS_freq,DF151&gt;charge_ELU,DG151&gt;charge_ELA,$B151&gt;NDC!$H$22-0.1+MIN(3*$DH$12,1.5)),0,1))</f>
        <v>#N/A</v>
      </c>
      <c r="DI151" s="86" t="b">
        <f t="shared" si="255"/>
        <v>0</v>
      </c>
      <c r="DJ151" s="86">
        <f t="shared" si="256"/>
        <v>0.5</v>
      </c>
      <c r="DK151" s="86">
        <f t="shared" si="257"/>
        <v>0.5</v>
      </c>
      <c r="DL151" s="30" t="e">
        <f t="shared" ca="1" si="288"/>
        <v>#DIV/0!</v>
      </c>
      <c r="DM151" s="85" t="e">
        <f ca="1">IF(CS151&lt;=Hypothèses!$V$7,Hypothèses!$W$7,IF(CS151&lt;=Hypothèses!$V$8,Hypothèses!$W$8,IF(CS151&lt;=Hypothèses!$V$9,Hypothèses!$W$9,IF(CS151&lt;=Hypothèses!$V$10,Hypothèses!$W$10,IF(CS151&lt;=Hypothèses!$V$11,Hypothèses!$W$11,IF(CS151&lt;=Hypothèses!$V$12,Hypothèses!$W$12,IF(CS151&lt;=Hypothèses!$V$13,Hypothèses!$W$13,IF(CS151&lt;=Hypothèses!$V$14,Hypothèses!$W$14,IF(CS151&lt;=Hypothèses!$V$15,Hypothèses!$W$15,IF(CS151&lt;=Hypothèses!$V$16,Hypothèses!$W$16,IF(CS151&lt;=Hypothèses!$V$17,Hypothèses!$W$17,IF(CS151&lt;=Hypothèses!$V$18,Hypothèses!$W$18,""))))))))))))</f>
        <v>#DIV/0!</v>
      </c>
      <c r="DN151" s="87" t="e">
        <f t="shared" ca="1" si="321"/>
        <v>#DIV/0!</v>
      </c>
      <c r="DO151" s="88" t="e">
        <f ca="1">IF(CS151&lt;=Hypothèses!$V$7,Hypothèses!$X$7,IF(CS151&lt;=Hypothèses!$V$8,Hypothèses!$X$8,IF(CS151&lt;=Hypothèses!$V$9,Hypothèses!$X$9,IF(CS151&lt;=Hypothèses!$V$10,Hypothèses!$X$10,IF(CS151&lt;=Hypothèses!$V$11,Hypothèses!$X$11,IF(CS151&lt;=Hypothèses!$V$12,Hypothèses!$X$12,IF(CS151&lt;=Hypothèses!$V$13,Hypothèses!$X$13,IF(CS151&lt;=Hypothèses!$V$14,Hypothèses!$X$14,IF(CS151&lt;=Hypothèses!$V$15,Hypothèses!$X$15,IF(CS151&lt;=Hypothèses!$V$16,Hypothèses!$X$16,IF(CS151&lt;=Hypothèses!$U$17,Hypothèses!$W$17,IF(CS151&lt;=Hypothèses!$U$18,Hypothèses!$W$18,""))))))))))))</f>
        <v>#DIV/0!</v>
      </c>
      <c r="DP151" s="95" t="e">
        <f t="shared" ca="1" si="289"/>
        <v>#DIV/0!</v>
      </c>
      <c r="DQ151" s="101" t="e">
        <f t="shared" si="328"/>
        <v>#N/A</v>
      </c>
      <c r="DR151" s="91" t="e">
        <f t="shared" si="258"/>
        <v>#N/A</v>
      </c>
      <c r="DS151" s="30" t="e">
        <f t="shared" si="310"/>
        <v>#N/A</v>
      </c>
      <c r="DT151" s="30" t="e">
        <f t="shared" si="311"/>
        <v>#N/A</v>
      </c>
      <c r="DU151" s="31" t="e">
        <f>IF(OR(Hypothèses!$B$4=17,Hypothèses!$B$4=18,Hypothèses!$B$4=19,Hypothèses!$B$4=20),
IF($D151="Pressio.",
IF(OR($E151=3,$E151=1,$E151=4),DT151,DS151),
IF($D151="Pénétro.",
IF(OR($E151=3,$E151=1,$E151=4),DT151,DS151))),IF($D151="Pressio.",
IF($E151=3,DT151,DS151),
IF($D151="Pénétro.",
IF($E151=4,DT151,DS151))))</f>
        <v>#N/A</v>
      </c>
      <c r="DV151" s="31" t="e">
        <f>(IF(OR(Hypothèses!$B$4=17,Hypothèses!$B$4=18,Hypothèses!$B$4=19,Hypothèses!$B$4=20),
IF($D151="Pressio.",
IF(OR($E151=3,$E151=1,$E151=4),(PI()*DV$12^2)/4*(DR151*$W151*1000)/($H151*$B$5),(PI()*DV$12^2)/4*(DR151*$W151*1000)/($G151*$B$5)),
IF($D151="Pénétro.",
IF(OR($E151=4,$E151=1,$E151=5),(PI()*DV$12^2)/4*(DR151*$W151*1000)/($H151*$B$5),(PI()*DV$12^2)/4*(DR151*$W151*1000)/($G151*$B$5)))),
IF($D151="Pressio.",
IF($E151=3,(PI()*DV$12^2)/4*(DR151*$W151*1000)/($H151*$B$5),(PI()*DV$12^2)/4*(DR151*$W151*1000)/($G151*$B$5)),
IF($D151="Pénétro.",
IF($E151=4,(PI()*DV$12^2)/4*(DR151*$W151*1000)/($H151*$B$5),(PI()*DV$12^2)/4*(DR151*$W151*1000)/($G151*$B$5))))))/10</f>
        <v>#N/A</v>
      </c>
      <c r="DW151" s="102" t="e">
        <f>(VLOOKUP($B$3,'Coeff EC7'!$T$39:$X$59,2,0)*DU151+VLOOKUP($B$3,'Coeff EC7'!$T$65:$X$85,2,0)*Model0.1C!DV151)/1.1</f>
        <v>#N/A</v>
      </c>
      <c r="DX151" s="102" t="e">
        <f>(VLOOKUP($B$3,'Coeff EC7'!$T$39:$X$59,3,0)*DU151+VLOOKUP($B$3,'Coeff EC7'!$T$65:$X$85,3,0)*Model0.1C!DV151)/0.9</f>
        <v>#N/A</v>
      </c>
      <c r="DY151" s="102" t="e">
        <f t="shared" si="290"/>
        <v>#N/A</v>
      </c>
      <c r="DZ151" s="102" t="e">
        <f t="shared" si="291"/>
        <v>#N/A</v>
      </c>
      <c r="EA151" s="414" t="e">
        <f>IF(EA150=0,0,IF(AND(DW151&gt;charge_ELS_quasi,DX151&gt;Charge_ELS_freq,DY151&gt;charge_ELU,DZ151&gt;charge_ELA,$B151&gt;NDC!$H$22-0.1+MIN(3*$EA$12,1.5)),0,1))</f>
        <v>#N/A</v>
      </c>
      <c r="EB151" s="86" t="b">
        <f t="shared" si="259"/>
        <v>0</v>
      </c>
      <c r="EC151" s="418">
        <f t="shared" si="260"/>
        <v>0.51</v>
      </c>
      <c r="ED151" s="86">
        <f t="shared" si="261"/>
        <v>0.51</v>
      </c>
      <c r="EE151" s="30" t="e">
        <f t="shared" ca="1" si="292"/>
        <v>#DIV/0!</v>
      </c>
      <c r="EF151" s="85" t="e">
        <f ca="1">IF(DL151&lt;=Hypothèses!$V$7,Hypothèses!$W$7,IF(DL151&lt;=Hypothèses!$V$8,Hypothèses!$W$8,IF(DL151&lt;=Hypothèses!$V$9,Hypothèses!$W$9,IF(DL151&lt;=Hypothèses!$V$10,Hypothèses!$W$10,IF(DL151&lt;=Hypothèses!$V$11,Hypothèses!$W$11,IF(DL151&lt;=Hypothèses!$V$12,Hypothèses!$W$12,IF(DL151&lt;=Hypothèses!$V$13,Hypothèses!$W$13,IF(DL151&lt;=Hypothèses!$V$14,Hypothèses!$W$14,IF(DL151&lt;=Hypothèses!$V$15,Hypothèses!$W$15,IF(DL151&lt;=Hypothèses!$V$16,Hypothèses!$W$16,IF(DL151&lt;=Hypothèses!$V$17,Hypothèses!$W$17,IF(DL151&lt;=Hypothèses!$V$18,Hypothèses!$W$18,""))))))))))))</f>
        <v>#DIV/0!</v>
      </c>
      <c r="EG151" s="87" t="e">
        <f t="shared" ca="1" si="322"/>
        <v>#DIV/0!</v>
      </c>
      <c r="EH151" s="88" t="e">
        <f ca="1">IF(DL151&lt;=Hypothèses!$V$7,Hypothèses!$X$7,IF(DL151&lt;=Hypothèses!$V$8,Hypothèses!$X$8,IF(DL151&lt;=Hypothèses!$V$9,Hypothèses!$X$9,IF(DL151&lt;=Hypothèses!$V$10,Hypothèses!$X$10,IF(DL151&lt;=Hypothèses!$V$11,Hypothèses!$X$11,IF(DL151&lt;=Hypothèses!$V$12,Hypothèses!$X$12,IF(DL151&lt;=Hypothèses!$V$13,Hypothèses!$X$13,IF(DL151&lt;=Hypothèses!$V$14,Hypothèses!$X$14,IF(DL151&lt;=Hypothèses!$V$15,Hypothèses!$X$15,IF(DL151&lt;=Hypothèses!$V$16,Hypothèses!$X$16,IF(DL151&lt;=Hypothèses!$U$17,Hypothèses!$W$17,IF(DL151&lt;=Hypothèses!$U$18,Hypothèses!$W$18,""))))))))))))</f>
        <v>#DIV/0!</v>
      </c>
      <c r="EI151" s="95" t="e">
        <f t="shared" ca="1" si="293"/>
        <v>#DIV/0!</v>
      </c>
      <c r="EJ151" s="101" t="e">
        <f t="shared" si="329"/>
        <v>#N/A</v>
      </c>
      <c r="EK151" s="91" t="e">
        <f t="shared" si="262"/>
        <v>#N/A</v>
      </c>
      <c r="EL151" s="30" t="e">
        <f t="shared" si="312"/>
        <v>#N/A</v>
      </c>
      <c r="EM151" s="30" t="e">
        <f t="shared" si="313"/>
        <v>#N/A</v>
      </c>
      <c r="EN151" s="31" t="e">
        <f>IF(OR(Hypothèses!$B$4=17,Hypothèses!$B$4=18,Hypothèses!$B$4=19,Hypothèses!$B$4=20),
IF($D151="Pressio.",
IF(OR($E151=3,$E151=1,$E151=4),EM151,EL151),
IF($D151="Pénétro.",
IF(OR($E151=3,$E151=1,$E151=4),EM151,EL151))),IF($D151="Pressio.",
IF($E151=3,EM151,EL151),
IF($D151="Pénétro.",
IF($E151=4,EM151,EL151))))</f>
        <v>#N/A</v>
      </c>
      <c r="EO151" s="31" t="e">
        <f>(IF(OR(Hypothèses!$B$4=17,Hypothèses!$B$4=18,Hypothèses!$B$4=19,Hypothèses!$B$4=20),
IF($D151="Pressio.",
IF(OR($E151=3,$E151=1,$E151=4),(PI()*EO$12^2)/4*(EK151*$W151*1000)/($H151*$B$5),(PI()*EO$12^2)/4*(EK151*$W151*1000)/($G151*$B$5)),
IF($D151="Pénétro.",
IF(OR($E151=4,$E151=1,$E151=5),(PI()*EO$12^2)/4*(EK151*$W151*1000)/($H151*$B$5),(PI()*EO$12^2)/4*(EK151*$W151*1000)/($G151*$B$5)))),
IF($D151="Pressio.",
IF($E151=3,(PI()*EO$12^2)/4*(EK151*$W151*1000)/($H151*$B$5),(PI()*EO$12^2)/4*(EK151*$W151*1000)/($G151*$B$5)),
IF($D151="Pénétro.",
IF($E151=4,(PI()*EO$12^2)/4*(EK151*$W151*1000)/($H151*$B$5),(PI()*EO$12^2)/4*(EK151*$W151*1000)/($G151*$B$5))))))/10</f>
        <v>#N/A</v>
      </c>
      <c r="EP151" s="102" t="e">
        <f>(VLOOKUP($B$3,'Coeff EC7'!$T$39:$X$59,2,0)*EN151+VLOOKUP($B$3,'Coeff EC7'!$T$65:$X$85,2,0)*Model0.1C!EO151)/1.1</f>
        <v>#N/A</v>
      </c>
      <c r="EQ151" s="102" t="e">
        <f>(VLOOKUP($B$3,'Coeff EC7'!$T$39:$X$59,3,0)*EN151+VLOOKUP($B$3,'Coeff EC7'!$T$65:$X$85,3,0)*Model0.1C!EO151)/0.9</f>
        <v>#N/A</v>
      </c>
      <c r="ER151" s="102" t="e">
        <f t="shared" si="294"/>
        <v>#N/A</v>
      </c>
      <c r="ES151" s="102" t="e">
        <f t="shared" si="295"/>
        <v>#N/A</v>
      </c>
      <c r="ET151" s="414" t="e">
        <f>IF(ET150=0,0,IF(AND(EP151&gt;charge_ELS_quasi,EQ151&gt;Charge_ELS_freq,ER151&gt;charge_ELU,ES151&gt;charge_ELA,$B151&gt;NDC!$H$22-0.1+MIN(3*$ET$12,1.5)),0,1))</f>
        <v>#N/A</v>
      </c>
      <c r="EU151" s="86" t="b">
        <f t="shared" si="263"/>
        <v>0</v>
      </c>
      <c r="EV151" s="86">
        <f t="shared" si="264"/>
        <v>0.61</v>
      </c>
      <c r="EW151" s="86">
        <f t="shared" si="265"/>
        <v>0.61</v>
      </c>
      <c r="EX151" s="30" t="e">
        <f t="shared" ca="1" si="296"/>
        <v>#DIV/0!</v>
      </c>
      <c r="EY151" s="85" t="e">
        <f ca="1">IF(EE151&lt;=Hypothèses!$V$7,Hypothèses!$W$7,IF(EE151&lt;=Hypothèses!$V$8,Hypothèses!$W$8,IF(EE151&lt;=Hypothèses!$V$9,Hypothèses!$W$9,IF(EE151&lt;=Hypothèses!$V$10,Hypothèses!$W$10,IF(EE151&lt;=Hypothèses!$V$11,Hypothèses!$W$11,IF(EE151&lt;=Hypothèses!$V$12,Hypothèses!$W$12,IF(EE151&lt;=Hypothèses!$V$13,Hypothèses!$W$13,IF(EE151&lt;=Hypothèses!$V$14,Hypothèses!$W$14,IF(EE151&lt;=Hypothèses!$V$15,Hypothèses!$W$15,IF(EE151&lt;=Hypothèses!$V$16,Hypothèses!$W$16,IF(EE151&lt;=Hypothèses!$V$17,Hypothèses!$W$17,IF(EE151&lt;=Hypothèses!$V$18,Hypothèses!$W$18,""))))))))))))</f>
        <v>#DIV/0!</v>
      </c>
      <c r="EZ151" s="87" t="e">
        <f t="shared" ca="1" si="323"/>
        <v>#DIV/0!</v>
      </c>
      <c r="FA151" s="88" t="e">
        <f ca="1">IF(EE151&lt;=Hypothèses!$V$7,Hypothèses!$X$7,IF(EE151&lt;=Hypothèses!$V$8,Hypothèses!$X$8,IF(EE151&lt;=Hypothèses!$V$9,Hypothèses!$X$9,IF(EE151&lt;=Hypothèses!$V$10,Hypothèses!$X$10,IF(EE151&lt;=Hypothèses!$V$11,Hypothèses!$X$11,IF(EE151&lt;=Hypothèses!$V$12,Hypothèses!$X$12,IF(EE151&lt;=Hypothèses!$V$13,Hypothèses!$X$13,IF(EE151&lt;=Hypothèses!$V$14,Hypothèses!$X$14,IF(EE151&lt;=Hypothèses!$V$15,Hypothèses!$X$15,IF(EE151&lt;=Hypothèses!$V$16,Hypothèses!$X$16,IF(EE151&lt;=Hypothèses!$U$17,Hypothèses!$W$17,IF(EE151&lt;=Hypothèses!$U$18,Hypothèses!$W$18,""))))))))))))</f>
        <v>#DIV/0!</v>
      </c>
      <c r="FB151" s="95" t="e">
        <f t="shared" ca="1" si="297"/>
        <v>#DIV/0!</v>
      </c>
      <c r="FC151" s="101" t="e">
        <f t="shared" si="330"/>
        <v>#N/A</v>
      </c>
      <c r="FD151" s="91" t="e">
        <f t="shared" si="266"/>
        <v>#N/A</v>
      </c>
      <c r="FE151" s="30" t="e">
        <f t="shared" si="314"/>
        <v>#N/A</v>
      </c>
      <c r="FF151" s="30" t="e">
        <f t="shared" si="315"/>
        <v>#N/A</v>
      </c>
      <c r="FG151" s="31" t="e">
        <f>IF(OR(Hypothèses!$B$4=17,Hypothèses!$B$4=18,Hypothèses!$B$4=19,Hypothèses!$B$4=20),
IF($D151="Pressio.",
IF(OR($E151=3,$E151=1,$E151=4),FF151,FE151),
IF($D151="Pénétro.",
IF(OR($E151=3,$E151=1,$E151=4),FF151,FE151))),IF($D151="Pressio.",
IF($E151=3,FF151,FE151),
IF($D151="Pénétro.",
IF($E151=4,FF151,FE151))))</f>
        <v>#N/A</v>
      </c>
      <c r="FH151" s="31" t="e">
        <f>(IF(OR(Hypothèses!$B$4=17,Hypothèses!$B$4=18,Hypothèses!$B$4=19,Hypothèses!$B$4=20),
IF($D151="Pressio.",
IF(OR($E151=3,$E151=1,$E151=4),(PI()*FH$12^2)/4*(FD151*$W151*1000)/($H151*$B$5),(PI()*FH$12^2)/4*(FD151*$W151*1000)/($G151*$B$5)),
IF($D151="Pénétro.",
IF(OR($E151=4,$E151=1,$E151=5),(PI()*FH$12^2)/4*(FD151*$W151*1000)/($H151*$B$5),(PI()*FH$12^2)/4*(FD151*$W151*1000)/($G151*$B$5)))),
IF($D151="Pressio.",
IF($E151=3,(PI()*FH$12^2)/4*(FD151*$W151*1000)/($H151*$B$5),(PI()*FH$12^2)/4*(FD151*$W151*1000)/($G151*$B$5)),
IF($D151="Pénétro.",
IF($E151=4,(PI()*FH$12^2)/4*(FD151*$W151*1000)/($H151*$B$5),(PI()*FH$12^2)/4*(FD151*$W151*1000)/($G151*$B$5))))))/10</f>
        <v>#N/A</v>
      </c>
      <c r="FI151" s="102" t="e">
        <f>(VLOOKUP($B$3,'Coeff EC7'!$T$39:$X$59,2,0)*FG151+VLOOKUP($B$3,'Coeff EC7'!$T$65:$X$85,2,0)*Model0.1C!FH151)/1.1</f>
        <v>#N/A</v>
      </c>
      <c r="FJ151" s="102" t="e">
        <f>(VLOOKUP($B$3,'Coeff EC7'!$T$39:$X$59,3,0)*FG151+VLOOKUP($B$3,'Coeff EC7'!$T$65:$X$85,3,0)*Model0.1C!FH151)/0.9</f>
        <v>#N/A</v>
      </c>
      <c r="FK151" s="102" t="e">
        <f t="shared" si="298"/>
        <v>#N/A</v>
      </c>
      <c r="FL151" s="102" t="e">
        <f t="shared" si="299"/>
        <v>#N/A</v>
      </c>
      <c r="FM151" s="414" t="e">
        <f>IF(FM150=0,0,IF(AND(FI151&gt;charge_ELS_quasi,FJ151&gt;Charge_ELS_freq,FK151&gt;charge_ELU,FL151&gt;charge_ELA,$B151&gt;NDC!$H$22-0.1+MIN(3*$FM$12,1.5)),0,1))</f>
        <v>#N/A</v>
      </c>
    </row>
    <row r="152" spans="1:169">
      <c r="A152" s="96">
        <f t="shared" si="267"/>
        <v>86.10000000000079</v>
      </c>
      <c r="B152" s="97">
        <v>13.9</v>
      </c>
      <c r="C152" s="81">
        <f>IF(B152&lt;=Hypothèses!$C$7,Hypothèses!$A$7,IF(B152&lt;=Hypothèses!$C$8,Hypothèses!$A$8,IF(B152&lt;=Hypothèses!$C$9,Hypothèses!$A$9,IF(B152&lt;=Hypothèses!$C$10,Hypothèses!$A$10,IF(B152&lt;=Hypothèses!$C$11,Hypothèses!$A$11,IF(B152&lt;=Hypothèses!$C$12,Hypothèses!$A$12,IF(B152&lt;=Hypothèses!$C$13,Hypothèses!$A$13,IF(B152&lt;=Hypothèses!$C$14,Hypothèses!$A$14,IF(B152&lt;=Hypothèses!$C$15,Hypothèses!$A$15,IF(B152&lt;=Hypothèses!$C$16,Hypothèses!$A$16,IF(B152&lt;=Hypothèses!$C$17,Hypothèses!$A$17,IF(B152&lt;=Hypothèses!$C$18,Hypothèses!$A$18,C151))))))))))))</f>
        <v>11</v>
      </c>
      <c r="D152" s="82" t="str">
        <f>IF(B152&lt;=Hypothèses!$C$7,Hypothèses!$R$7,IF(B152&lt;=Hypothèses!$C$8,Hypothèses!$R$8,IF(B152&lt;=Hypothèses!$C$9,Hypothèses!$R$9,IF(B152&lt;=Hypothèses!$C$10,Hypothèses!$R$10,IF(B152&lt;=Hypothèses!$C$11,Hypothèses!$R$11,IF(B152&lt;=Hypothèses!$C$12,Hypothèses!$R$12,IF(B152&lt;=Hypothèses!$C$13,Hypothèses!$R$13,IF(B152&lt;=Hypothèses!$C$14,Hypothèses!$R$14,IF(B152&lt;=Hypothèses!$C$15,Hypothèses!$R$15,IF(B152&lt;=Hypothèses!$C$16,Hypothèses!$R$16,IF(B152&lt;=Hypothèses!$C$17,Hypothèses!$R$17,IF(B152&lt;=Hypothèses!$C$18,Hypothèses!$R$18,D151))))))))))))</f>
        <v>Pressio.</v>
      </c>
      <c r="E152" s="82" t="e">
        <f>IF(B152&lt;=Hypothèses!$C$7,Hypothèses!$G$7,IF(B152&lt;=Hypothèses!$C$8,Hypothèses!$G$8,IF(B152&lt;=Hypothèses!$C$9,Hypothèses!$G$9,IF(B152&lt;=Hypothèses!$C$10,Hypothèses!$G$10,IF(B152&lt;=Hypothèses!$C$11,Hypothèses!$G$11,IF(B152&lt;=Hypothèses!$C$12,Hypothèses!$G$12,IF(B152&lt;=Hypothèses!$C$13,Hypothèses!$G$13,IF(B152&lt;=Hypothèses!$C$14,Hypothèses!$G$14,IF(B152&lt;=Hypothèses!$C$15,Hypothèses!$G$15,IF(B152&lt;=Hypothèses!$C$16,Hypothèses!$G$16,IF(B152&lt;=Hypothèses!$C$17,Hypothèses!$G$17,IF(B152&lt;=Hypothèses!$C$18,Hypothèses!$G$18,E151))))))))))))</f>
        <v>#N/A</v>
      </c>
      <c r="F152" s="82" t="str">
        <f>IF(B152&lt;=Hypothèses!$C$7,Hypothèses!$F$7,IF(B152&lt;=Hypothèses!$C$8,Hypothèses!$F$8,IF(B152&lt;=Hypothèses!$C$9,Hypothèses!$F$9,IF(B152&lt;=Hypothèses!$C$10,Hypothèses!$F$10,IF(B152&lt;=Hypothèses!$C$11,Hypothèses!$F$11,IF(B152&lt;=Hypothèses!$C$12,Hypothèses!$F$12,IF(B152&lt;=Hypothèses!$C$13,Hypothèses!$F$13,IF(B152&lt;=Hypothèses!$C$14,Hypothèses!$F$14,IF(B152&lt;=Hypothèses!$C$15,Hypothèses!$F$15,IF(B152&lt;=Hypothèses!$C$16,Hypothèses!$F$16,IF(B152&lt;=Hypothèses!$C$17,Hypothèses!$F$17,IF(B152&lt;=Hypothèses!$C$18,Hypothèses!$F$18,F151))))))))))))</f>
        <v/>
      </c>
      <c r="G152" s="91">
        <f t="array" ref="G152">INDEX('Coeff EC7'!$U$7:$X$27,
MATCH(Model0.1C!$B$3,'Coeff EC7'!$T$7:$T$27,0),
MATCH(Model0.1C!$D152&amp;Model0.1C!$B$4,
'Coeff EC7'!$U$6:$X$6&amp;
'Coeff EC7'!$U$5:$X$5,0))</f>
        <v>1.1499999999999999</v>
      </c>
      <c r="H152" s="91">
        <f t="array" ref="H152">INDEX('Coeff EC7'!$Y$7:$AB$27,
MATCH(Model0.1C!$B$3,'Coeff EC7'!$T$7:$T$27,0),
MATCH(Model0.1C!$D152&amp;Model0.1C!$B$4,
'Coeff EC7'!$Y$6:$AB$6&amp;
'Coeff EC7'!$Y$5:$AB$5,0))</f>
        <v>1.4</v>
      </c>
      <c r="I152" s="83" t="e">
        <f>IF(B152&lt;=Hypothèses!$C$7,Hypothèses!$P$7,IF(B152&lt;=Hypothèses!$C$8,Hypothèses!$P$8,IF(B152&lt;=Hypothèses!$C$9,Hypothèses!$P$9,IF(B152&lt;=Hypothèses!$C$10,Hypothèses!$P$10,IF(B152&lt;=Hypothèses!$C$11,Hypothèses!$P$11,IF(B152&lt;=Hypothèses!$C$12,Hypothèses!$P$12,IF(B152&lt;=Hypothèses!$C$13,Hypothèses!$P$13,IF(B152&lt;=Hypothèses!$C$14,Hypothèses!$P$14,IF(B152&lt;=Hypothèses!$C$15,Hypothèses!$P$15,IF(B152&lt;=Hypothèses!$C$16,Hypothèses!$P$16,IF(B152&lt;=Hypothèses!$C$17,Hypothèses!$P$17,IF(B152&lt;=Hypothèses!$C$18,Hypothèses!$P$18,I151))))))))))))</f>
        <v>#N/A</v>
      </c>
      <c r="J152" s="91" t="e">
        <f t="array" ref="J152">INDEX('Coeff EC7'!$D$33:$Q$33,1,MATCH(D152&amp;E152,'Coeff EC7'!$D$31:$Q$31&amp;'Coeff EC7'!$D$32:$Q$32,0))</f>
        <v>#N/A</v>
      </c>
      <c r="K152" s="91" t="e">
        <f t="array" ref="K152">INDEX('Coeff EC7'!$D$34:$Q$34,1,MATCH(D152&amp;E152,'Coeff EC7'!$D$31:$Q$31&amp;'Coeff EC7'!$D$32:$Q$32,0))</f>
        <v>#N/A</v>
      </c>
      <c r="L152" s="91" t="e">
        <f t="array" ref="L152">INDEX('Coeff EC7'!$D$35:$Q$35,1,MATCH(D152&amp;E152,'Coeff EC7'!$D$31:$Q$31&amp;'Coeff EC7'!$D$32:$Q$32,0))</f>
        <v>#N/A</v>
      </c>
      <c r="M152" s="98" t="e">
        <f t="shared" si="231"/>
        <v>#N/A</v>
      </c>
      <c r="N152" s="99" t="e">
        <f t="array" ref="N152">INDEX('Coeff EC7'!$D$7:$Q$27,MATCH($B$3,'Coeff EC7'!$C$7:$C$27,0),MATCH(D152&amp;E152,'Coeff EC7'!$D$5:$Q$5&amp;'Coeff EC7'!$D$6:$Q$6,0))</f>
        <v>#N/A</v>
      </c>
      <c r="O152" s="99" t="e">
        <f t="array" ref="O152">INDEX('Coeff EC7'!$D$41:$Q$61,MATCH($B$3,'Coeff EC7'!$C$41:$C$61,0),MATCH(D152&amp;E152,'Coeff EC7'!$D$39:$Q$39&amp;'Coeff EC7'!$D$40:$Q$40,0))</f>
        <v>#N/A</v>
      </c>
      <c r="P152" s="30" t="e">
        <f t="shared" si="268"/>
        <v>#N/A</v>
      </c>
      <c r="Q152" s="100" t="e">
        <f t="shared" si="233"/>
        <v>#N/A</v>
      </c>
      <c r="R152" s="86" t="b">
        <f t="shared" si="234"/>
        <v>0</v>
      </c>
      <c r="S152" s="86">
        <f t="shared" si="232"/>
        <v>0.5</v>
      </c>
      <c r="T152" s="86">
        <f t="shared" si="235"/>
        <v>0.5</v>
      </c>
      <c r="U152" s="30" t="e">
        <f t="shared" ca="1" si="269"/>
        <v>#DIV/0!</v>
      </c>
      <c r="V152" s="85" t="str">
        <f>IF(B152&lt;=Hypothèses!$V$7,Hypothèses!$W$7,IF(B152&lt;=Hypothèses!$V$8,Hypothèses!$W$8,IF(B152&lt;=Hypothèses!$V$9,Hypothèses!$W$9,IF(B152&lt;=Hypothèses!$V$10,Hypothèses!$W$10,IF(B152&lt;=Hypothèses!$V$11,Hypothèses!$W$11,IF(B152&lt;=Hypothèses!$V$12,Hypothèses!$W$12,IF(B152&lt;=Hypothèses!$V$13,Hypothèses!$W$13,IF(B152&lt;=Hypothèses!$V$14,Hypothèses!$W$14,IF(B152&lt;=Hypothèses!$V$15,Hypothèses!$W$15,IF(B152&lt;=Hypothèses!$V$16,Hypothèses!$W$16,IF(B152&lt;=Hypothèses!$V$17,Hypothèses!$W$17,IF(B152&lt;=Hypothèses!$V$18,Hypothèses!$W$18,""))))))))))))</f>
        <v/>
      </c>
      <c r="W152" s="87" t="e">
        <f t="shared" ca="1" si="316"/>
        <v>#DIV/0!</v>
      </c>
      <c r="X152" s="88" t="str">
        <f>IF(B152&lt;=Hypothèses!$V$7,Hypothèses!$X$7,IF(B152&lt;=Hypothèses!$V$8,Hypothèses!$X$8,IF(B152&lt;=Hypothèses!$V$9,Hypothèses!$X$9,IF(B152&lt;=Hypothèses!$V$10,Hypothèses!$X$10,IF(B152&lt;=Hypothèses!$V$11,Hypothèses!$X$11,IF(B152&lt;=Hypothèses!$V$12,Hypothèses!$X$12,IF(B152&lt;=Hypothèses!$V$13,Hypothèses!$X$13,IF(B152&lt;=Hypothèses!$V$14,Hypothèses!$X$14,IF(B152&lt;=Hypothèses!$V$15,Hypothèses!$X$15,IF(B152&lt;=Hypothèses!$V$16,Hypothèses!$X$16,IF(B152&lt;=Hypothèses!$U$17,Hypothèses!$W$17,IF(B152&lt;=Hypothèses!$U$18,Hypothèses!$W$18,""))))))))))))</f>
        <v/>
      </c>
      <c r="Y152" s="95" t="e">
        <f t="shared" ca="1" si="236"/>
        <v>#DIV/0!</v>
      </c>
      <c r="Z152" s="101" t="e">
        <f t="shared" si="237"/>
        <v>#N/A</v>
      </c>
      <c r="AA152" s="91" t="e">
        <f t="shared" si="238"/>
        <v>#N/A</v>
      </c>
      <c r="AB152" s="30" t="e">
        <f t="shared" si="300"/>
        <v>#N/A</v>
      </c>
      <c r="AC152" s="30" t="e">
        <f t="shared" si="301"/>
        <v>#N/A</v>
      </c>
      <c r="AD152" s="31" t="e">
        <f>IF(OR(Hypothèses!$B$4=17,Hypothèses!$B$4=18,Hypothèses!$B$4=19,Hypothèses!$B$4=20),
IF($D152="Pressio.",
IF(OR($E152=3,$E152=1,$E152=4),AC152,AB152),
IF($D152="Pénétro.",
IF(OR($E152=3,$E152=1,$E152=4),AC152,AB152))),IF($D152="Pressio.",
IF($E152=3,AC152,AB152),
IF($D152="Pénétro.",
IF($E152=4,AC152,AB152))))</f>
        <v>#N/A</v>
      </c>
      <c r="AE152" s="31" t="e">
        <f>(IF(OR(Hypothèses!$B$4=17,Hypothèses!$B$4=18,Hypothèses!$B$4=19,Hypothèses!$B$4=20),
IF($D152="Pressio.",
IF(OR($E152=3,$E152=1,$E152=4),(PI()*AE$12^2)/4*(AA152*$W152*1000)/($H152*$B$5),(PI()*AE$12^2)/4*(AA152*$W152*1000)/($G152*$B$5)),
IF($D152="Pénétro.",
IF(OR($E152=4,$E152=1,$E152=5),(PI()*AE$12^2)/4*(AA152*$W152*1000)/($H152*$B$5),(PI()*AE$12^2)/4*(AA152*$W152*1000)/($G152*$B$5)))),
IF($D152="Pressio.",
IF($E152=3,(PI()*AE$12^2)/4*(AA152*$W152*1000)/($H152*$B$5),(PI()*AE$12^2)/4*(AA152*$W152*1000)/($G152*$B$5)),
IF($D152="Pénétro.",
IF($E152=4,(PI()*AE$12^2)/4*(AA152*$W152*1000)/($H152*$B$5),(PI()*AE$12^2)/4*(AA152*$W152*1000)/($G152*$B$5))))))/10</f>
        <v>#N/A</v>
      </c>
      <c r="AF152" s="102" t="e">
        <f>(VLOOKUP($B$3,'Coeff EC7'!$T$39:$X$59,2,0)*AD152+VLOOKUP($B$3,'Coeff EC7'!$T$65:$X$85,2,0)*Model0.1C!AE152)/1.1</f>
        <v>#N/A</v>
      </c>
      <c r="AG152" s="102" t="e">
        <f>(VLOOKUP($B$3,'Coeff EC7'!$T$39:$X$59,3,0)*AD152+VLOOKUP($B$3,'Coeff EC7'!$T$65:$X$85,3,0)*Model0.1C!AE152)/0.9</f>
        <v>#N/A</v>
      </c>
      <c r="AH152" s="102" t="e">
        <f t="shared" si="239"/>
        <v>#N/A</v>
      </c>
      <c r="AI152" s="102" t="e">
        <f t="shared" si="240"/>
        <v>#N/A</v>
      </c>
      <c r="AJ152" s="414" t="e">
        <f>IF(AJ151=0,0,IF(AND(AF152&gt;charge_ELS_quasi,AG152&gt;Charge_ELS_freq,AH152&gt;charge_ELU,AI152&gt;charge_ELA,$B152&gt;NDC!$H$22-0.1+MIN(3*$AJ$12,1.5)),0,1))</f>
        <v>#N/A</v>
      </c>
      <c r="AK152" s="86" t="b">
        <f t="shared" si="241"/>
        <v>0</v>
      </c>
      <c r="AL152" s="86">
        <f t="shared" si="270"/>
        <v>0.5</v>
      </c>
      <c r="AM152" s="86">
        <f t="shared" si="242"/>
        <v>0.5</v>
      </c>
      <c r="AN152" s="30" t="e">
        <f t="shared" ca="1" si="271"/>
        <v>#DIV/0!</v>
      </c>
      <c r="AO152" s="85" t="e">
        <f ca="1">IF(U152&lt;=Hypothèses!$V$7,Hypothèses!$W$7,IF(U152&lt;=Hypothèses!$V$8,Hypothèses!$W$8,IF(U152&lt;=Hypothèses!$V$9,Hypothèses!$W$9,IF(U152&lt;=Hypothèses!$V$10,Hypothèses!$W$10,IF(U152&lt;=Hypothèses!$V$11,Hypothèses!$W$11,IF(U152&lt;=Hypothèses!$V$12,Hypothèses!$W$12,IF(U152&lt;=Hypothèses!$V$13,Hypothèses!$W$13,IF(U152&lt;=Hypothèses!$V$14,Hypothèses!$W$14,IF(U152&lt;=Hypothèses!$V$15,Hypothèses!$W$15,IF(U152&lt;=Hypothèses!$V$16,Hypothèses!$W$16,IF(U152&lt;=Hypothèses!$V$17,Hypothèses!$W$17,IF(U152&lt;=Hypothèses!$V$18,Hypothèses!$W$18,""))))))))))))</f>
        <v>#DIV/0!</v>
      </c>
      <c r="AP152" s="87" t="e">
        <f t="shared" ca="1" si="317"/>
        <v>#DIV/0!</v>
      </c>
      <c r="AQ152" s="88" t="e">
        <f ca="1">IF(U152&lt;=Hypothèses!$V$7,Hypothèses!$X$7,IF(U152&lt;=Hypothèses!$V$8,Hypothèses!$X$8,IF(U152&lt;=Hypothèses!$V$9,Hypothèses!$X$9,IF(U152&lt;=Hypothèses!$V$10,Hypothèses!$X$10,IF(U152&lt;=Hypothèses!$V$11,Hypothèses!$X$11,IF(U152&lt;=Hypothèses!$V$12,Hypothèses!$X$12,IF(U152&lt;=Hypothèses!$V$13,Hypothèses!$X$13,IF(U152&lt;=Hypothèses!$V$14,Hypothèses!$X$14,IF(U152&lt;=Hypothèses!$V$15,Hypothèses!$X$15,IF(U152&lt;=Hypothèses!$V$16,Hypothèses!$X$16,IF(U152&lt;=Hypothèses!$U$17,Hypothèses!$W$17,IF(U152&lt;=Hypothèses!$U$18,Hypothèses!$W$18,""))))))))))))</f>
        <v>#DIV/0!</v>
      </c>
      <c r="AR152" s="95" t="e">
        <f t="shared" ca="1" si="272"/>
        <v>#DIV/0!</v>
      </c>
      <c r="AS152" s="101" t="e">
        <f t="shared" si="324"/>
        <v>#N/A</v>
      </c>
      <c r="AT152" s="91" t="e">
        <f t="shared" si="243"/>
        <v>#N/A</v>
      </c>
      <c r="AU152" s="30" t="e">
        <f t="shared" si="302"/>
        <v>#N/A</v>
      </c>
      <c r="AV152" s="30" t="e">
        <f t="shared" si="303"/>
        <v>#N/A</v>
      </c>
      <c r="AW152" s="31" t="e">
        <f>IF(OR(Hypothèses!$B$4=17,Hypothèses!$B$4=18,Hypothèses!$B$4=19,Hypothèses!$B$4=20),
IF($D152="Pressio.",
IF(OR($E152=3,$E152=1,$E152=4),AV152,AU152),
IF($D152="Pénétro.",
IF(OR($E152=3,$E152=1,$E152=4),AV152,AU152))),IF($D152="Pressio.",
IF($E152=3,AV152,AU152),
IF($D152="Pénétro.",
IF($E152=4,AV152,AU152))))</f>
        <v>#N/A</v>
      </c>
      <c r="AX152" s="31" t="e">
        <f>(IF(OR(Hypothèses!$B$4=17,Hypothèses!$B$4=18,Hypothèses!$B$4=19,Hypothèses!$B$4=20),
IF($D152="Pressio.",
IF(OR($E152=3,$E152=1,$E152=4),(PI()*AX$12^2)/4*(AT152*$W152*1000)/($H152*$B$5),(PI()*AX$12^2)/4*(AT152*$W152*1000)/($G152*$B$5)),
IF($D152="Pénétro.",
IF(OR($E152=4,$E152=1,$E152=5),(PI()*AX$12^2)/4*(AT152*$W152*1000)/($H152*$B$5),(PI()*AX$12^2)/4*(AT152*$W152*1000)/($G152*$B$5)))),
IF($D152="Pressio.",
IF($E152=3,(PI()*AX$12^2)/4*(AT152*$W152*1000)/($H152*$B$5),(PI()*AX$12^2)/4*(AT152*$W152*1000)/($G152*$B$5)),
IF($D152="Pénétro.",
IF($E152=4,(PI()*AX$12^2)/4*(AT152*$W152*1000)/($H152*$B$5),(PI()*AX$12^2)/4*(AT152*$W152*1000)/($G152*$B$5))))))/10</f>
        <v>#N/A</v>
      </c>
      <c r="AY152" s="102" t="e">
        <f>(VLOOKUP($B$3,'Coeff EC7'!$T$39:$X$59,2,0)*AW152+VLOOKUP($B$3,'Coeff EC7'!$T$65:$X$85,2,0)*Model0.1C!AX152)/1.1</f>
        <v>#N/A</v>
      </c>
      <c r="AZ152" s="102" t="e">
        <f>(VLOOKUP($B$3,'Coeff EC7'!$T$39:$X$59,3,0)*AW152+VLOOKUP($B$3,'Coeff EC7'!$T$65:$X$85,3,0)*Model0.1C!AX152)/0.9</f>
        <v>#N/A</v>
      </c>
      <c r="BA152" s="102" t="e">
        <f t="shared" si="273"/>
        <v>#N/A</v>
      </c>
      <c r="BB152" s="102" t="e">
        <f t="shared" si="274"/>
        <v>#N/A</v>
      </c>
      <c r="BC152" s="414" t="e">
        <f>IF(BC151=0,0,IF(AND(AY152&gt;charge_ELS_quasi,AZ152&gt;Charge_ELS_freq,BA152&gt;charge_ELU,BB152&gt;charge_ELA,$B152&gt;NDC!$H$22-0.1+MIN(3*$BC$12,1.5)),0,1))</f>
        <v>#N/A</v>
      </c>
      <c r="BD152" s="86" t="b">
        <f t="shared" si="244"/>
        <v>0</v>
      </c>
      <c r="BE152" s="86">
        <f t="shared" si="275"/>
        <v>0.5</v>
      </c>
      <c r="BF152" s="86">
        <f t="shared" si="245"/>
        <v>0.5</v>
      </c>
      <c r="BG152" s="30" t="e">
        <f t="shared" ca="1" si="276"/>
        <v>#DIV/0!</v>
      </c>
      <c r="BH152" s="85" t="e">
        <f ca="1">IF(AN152&lt;=Hypothèses!$V$7,Hypothèses!$W$7,IF(AN152&lt;=Hypothèses!$V$8,Hypothèses!$W$8,IF(AN152&lt;=Hypothèses!$V$9,Hypothèses!$W$9,IF(AN152&lt;=Hypothèses!$V$10,Hypothèses!$W$10,IF(AN152&lt;=Hypothèses!$V$11,Hypothèses!$W$11,IF(AN152&lt;=Hypothèses!$V$12,Hypothèses!$W$12,IF(AN152&lt;=Hypothèses!$V$13,Hypothèses!$W$13,IF(AN152&lt;=Hypothèses!$V$14,Hypothèses!$W$14,IF(AN152&lt;=Hypothèses!$V$15,Hypothèses!$W$15,IF(AN152&lt;=Hypothèses!$V$16,Hypothèses!$W$16,IF(AN152&lt;=Hypothèses!$V$17,Hypothèses!$W$17,IF(AN152&lt;=Hypothèses!$V$18,Hypothèses!$W$18,""))))))))))))</f>
        <v>#DIV/0!</v>
      </c>
      <c r="BI152" s="87" t="e">
        <f t="shared" ca="1" si="318"/>
        <v>#DIV/0!</v>
      </c>
      <c r="BJ152" s="88" t="e">
        <f ca="1">IF(AN152&lt;=Hypothèses!$V$7,Hypothèses!$X$7,IF(AN152&lt;=Hypothèses!$V$8,Hypothèses!$X$8,IF(AN152&lt;=Hypothèses!$V$9,Hypothèses!$X$9,IF(AN152&lt;=Hypothèses!$V$10,Hypothèses!$X$10,IF(AN152&lt;=Hypothèses!$V$11,Hypothèses!$X$11,IF(AN152&lt;=Hypothèses!$V$12,Hypothèses!$X$12,IF(AN152&lt;=Hypothèses!$V$13,Hypothèses!$X$13,IF(AN152&lt;=Hypothèses!$V$14,Hypothèses!$X$14,IF(AN152&lt;=Hypothèses!$V$15,Hypothèses!$X$15,IF(AN152&lt;=Hypothèses!$V$16,Hypothèses!$X$16,IF(AN152&lt;=Hypothèses!$U$17,Hypothèses!$W$17,IF(AN152&lt;=Hypothèses!$U$18,Hypothèses!$W$18,""))))))))))))</f>
        <v>#DIV/0!</v>
      </c>
      <c r="BK152" s="95" t="e">
        <f t="shared" ca="1" si="277"/>
        <v>#DIV/0!</v>
      </c>
      <c r="BL152" s="101" t="e">
        <f t="shared" si="325"/>
        <v>#N/A</v>
      </c>
      <c r="BM152" s="91" t="e">
        <f t="shared" si="246"/>
        <v>#N/A</v>
      </c>
      <c r="BN152" s="30" t="e">
        <f t="shared" si="304"/>
        <v>#N/A</v>
      </c>
      <c r="BO152" s="30" t="e">
        <f t="shared" si="305"/>
        <v>#N/A</v>
      </c>
      <c r="BP152" s="31" t="e">
        <f>IF(OR(Hypothèses!$B$4=17,Hypothèses!$B$4=18,Hypothèses!$B$4=19,Hypothèses!$B$4=20),
IF($D152="Pressio.",
IF(OR($E152=3,$E152=1,$E152=4),BO152,BN152),
IF($D152="Pénétro.",
IF(OR($E152=3,$E152=1,$E152=4),BO152,BN152))),IF($D152="Pressio.",
IF($E152=3,BO152,BN152),
IF($D152="Pénétro.",
IF($E152=4,BO152,BN152))))</f>
        <v>#N/A</v>
      </c>
      <c r="BQ152" s="31" t="e">
        <f>(IF(OR(Hypothèses!$B$4=17,Hypothèses!$B$4=18,Hypothèses!$B$4=19,Hypothèses!$B$4=20),
IF($D152="Pressio.",
IF(OR($E152=3,$E152=1,$E152=4),(PI()*BQ$12^2)/4*(BM152*$W152*1000)/($H152*$B$5),(PI()*BQ$12^2)/4*(BM152*$W152*1000)/($G152*$B$5)),
IF($D152="Pénétro.",
IF(OR($E152=4,$E152=1,$E152=5),(PI()*BQ$12^2)/4*(BM152*$W152*1000)/($H152*$B$5),(PI()*BQ$12^2)/4*(BM152*$W152*1000)/($G152*$B$5)))),
IF($D152="Pressio.",
IF($E152=3,(PI()*BQ$12^2)/4*(BM152*$W152*1000)/($H152*$B$5),(PI()*BQ$12^2)/4*(BM152*$W152*1000)/($G152*$B$5)),
IF($D152="Pénétro.",
IF($E152=4,(PI()*BQ$12^2)/4*(BM152*$W152*1000)/($H152*$B$5),(PI()*BQ$12^2)/4*(BM152*$W152*1000)/($G152*$B$5))))))/10</f>
        <v>#N/A</v>
      </c>
      <c r="BR152" s="102" t="e">
        <f>(VLOOKUP($B$3,'Coeff EC7'!$T$39:$X$59,2,0)*BP152+VLOOKUP($B$3,'Coeff EC7'!$T$65:$X$85,2,0)*Model0.1C!BQ152)/1.1</f>
        <v>#N/A</v>
      </c>
      <c r="BS152" s="102" t="e">
        <f>(VLOOKUP($B$3,'Coeff EC7'!$T$39:$X$59,3,0)*BP152+VLOOKUP($B$3,'Coeff EC7'!$T$65:$X$85,3,0)*Model0.1C!BQ152)/0.9</f>
        <v>#N/A</v>
      </c>
      <c r="BT152" s="102" t="e">
        <f t="shared" si="278"/>
        <v>#N/A</v>
      </c>
      <c r="BU152" s="102" t="e">
        <f t="shared" si="279"/>
        <v>#N/A</v>
      </c>
      <c r="BV152" s="414" t="e">
        <f>IF(BV151=0,0,IF(AND(BR152&gt;charge_ELS_quasi,BS152&gt;Charge_ELS_freq,BT152&gt;charge_ELU,BU152&gt;charge_ELA,$B152&gt;NDC!$H$22-0.1+MIN(3*$BV$12,1.5)),0,1))</f>
        <v>#N/A</v>
      </c>
      <c r="BW152" s="86" t="b">
        <f t="shared" si="247"/>
        <v>0</v>
      </c>
      <c r="BX152" s="86">
        <f t="shared" si="248"/>
        <v>0.5</v>
      </c>
      <c r="BY152" s="86">
        <f t="shared" si="249"/>
        <v>0.5</v>
      </c>
      <c r="BZ152" s="30" t="e">
        <f t="shared" ca="1" si="280"/>
        <v>#DIV/0!</v>
      </c>
      <c r="CA152" s="85" t="e">
        <f ca="1">IF(BG152&lt;=Hypothèses!$V$7,Hypothèses!$W$7,IF(BG152&lt;=Hypothèses!$V$8,Hypothèses!$W$8,IF(BG152&lt;=Hypothèses!$V$9,Hypothèses!$W$9,IF(BG152&lt;=Hypothèses!$V$10,Hypothèses!$W$10,IF(BG152&lt;=Hypothèses!$V$11,Hypothèses!$W$11,IF(BG152&lt;=Hypothèses!$V$12,Hypothèses!$W$12,IF(BG152&lt;=Hypothèses!$V$13,Hypothèses!$W$13,IF(BG152&lt;=Hypothèses!$V$14,Hypothèses!$W$14,IF(BG152&lt;=Hypothèses!$V$15,Hypothèses!$W$15,IF(BG152&lt;=Hypothèses!$V$16,Hypothèses!$W$16,IF(BG152&lt;=Hypothèses!$V$17,Hypothèses!$W$17,IF(BG152&lt;=Hypothèses!$V$18,Hypothèses!$W$18,""))))))))))))</f>
        <v>#DIV/0!</v>
      </c>
      <c r="CB152" s="87" t="e">
        <f t="shared" ca="1" si="319"/>
        <v>#DIV/0!</v>
      </c>
      <c r="CC152" s="88" t="e">
        <f ca="1">IF(BG152&lt;=Hypothèses!$V$7,Hypothèses!$X$7,IF(BG152&lt;=Hypothèses!$V$8,Hypothèses!$X$8,IF(BG152&lt;=Hypothèses!$V$9,Hypothèses!$X$9,IF(BG152&lt;=Hypothèses!$V$10,Hypothèses!$X$10,IF(BG152&lt;=Hypothèses!$V$11,Hypothèses!$X$11,IF(BG152&lt;=Hypothèses!$V$12,Hypothèses!$X$12,IF(BG152&lt;=Hypothèses!$V$13,Hypothèses!$X$13,IF(BG152&lt;=Hypothèses!$V$14,Hypothèses!$X$14,IF(BG152&lt;=Hypothèses!$V$15,Hypothèses!$X$15,IF(BG152&lt;=Hypothèses!$V$16,Hypothèses!$X$16,IF(BG152&lt;=Hypothèses!$U$17,Hypothèses!$W$17,IF(BG152&lt;=Hypothèses!$U$18,Hypothèses!$W$18,""))))))))))))</f>
        <v>#DIV/0!</v>
      </c>
      <c r="CD152" s="95" t="e">
        <f t="shared" ca="1" si="281"/>
        <v>#DIV/0!</v>
      </c>
      <c r="CE152" s="101" t="e">
        <f t="shared" si="326"/>
        <v>#N/A</v>
      </c>
      <c r="CF152" s="91" t="e">
        <f t="shared" si="250"/>
        <v>#N/A</v>
      </c>
      <c r="CG152" s="30" t="e">
        <f t="shared" si="306"/>
        <v>#N/A</v>
      </c>
      <c r="CH152" s="30" t="e">
        <f t="shared" si="307"/>
        <v>#N/A</v>
      </c>
      <c r="CI152" s="31" t="e">
        <f>IF(OR(Hypothèses!$B$4=17,Hypothèses!$B$4=18,Hypothèses!$B$4=19,Hypothèses!$B$4=20),
IF($D152="Pressio.",
IF(OR($E152=3,$E152=1,$E152=4),CH152,CG152),
IF($D152="Pénétro.",
IF(OR($E152=3,$E152=1,$E152=4),CH152,CG152))),IF($D152="Pressio.",
IF($E152=3,CH152,CG152),
IF($D152="Pénétro.",
IF($E152=4,CH152,CG152))))</f>
        <v>#N/A</v>
      </c>
      <c r="CJ152" s="31" t="e">
        <f>(IF(OR(Hypothèses!$B$4=17,Hypothèses!$B$4=18,Hypothèses!$B$4=19,Hypothèses!$B$4=20),
IF($D152="Pressio.",
IF(OR($E152=3,$E152=1,$E152=4),(PI()*CJ$12^2)/4*(CF152*$W152*1000)/($H152*$B$5),(PI()*CJ$12^2)/4*(CF152*$W152*1000)/($G152*$B$5)),
IF($D152="Pénétro.",
IF(OR($E152=4,$E152=1,$E152=5),(PI()*CJ$12^2)/4*(CF152*$W152*1000)/($H152*$B$5),(PI()*CJ$12^2)/4*(CF152*$W152*1000)/($G152*$B$5)))),
IF($D152="Pressio.",
IF($E152=3,(PI()*CJ$12^2)/4*(CF152*$W152*1000)/($H152*$B$5),(PI()*CJ$12^2)/4*(CF152*$W152*1000)/($G152*$B$5)),
IF($D152="Pénétro.",
IF($E152=4,(PI()*CJ$12^2)/4*(CF152*$W152*1000)/($H152*$B$5),(PI()*CJ$12^2)/4*(CF152*$W152*1000)/($G152*$B$5))))))/10</f>
        <v>#N/A</v>
      </c>
      <c r="CK152" s="102" t="e">
        <f>(VLOOKUP($B$3,'Coeff EC7'!$T$39:$X$59,2,0)*CI152+VLOOKUP($B$3,'Coeff EC7'!$T$65:$X$85,2,0)*Model0.1C!CJ152)/1.1</f>
        <v>#N/A</v>
      </c>
      <c r="CL152" s="102" t="e">
        <f>(VLOOKUP($B$3,'Coeff EC7'!$T$39:$X$59,3,0)*CI152+VLOOKUP($B$3,'Coeff EC7'!$T$65:$X$85,3,0)*Model0.1C!CJ152)/0.9</f>
        <v>#N/A</v>
      </c>
      <c r="CM152" s="102" t="e">
        <f t="shared" si="282"/>
        <v>#N/A</v>
      </c>
      <c r="CN152" s="102" t="e">
        <f t="shared" si="283"/>
        <v>#N/A</v>
      </c>
      <c r="CO152" s="414" t="e">
        <f>IF(CO151=0,0,IF(AND(CK152&gt;charge_ELS_quasi,CL152&gt;Charge_ELS_freq,CM152&gt;charge_ELU,CN152&gt;charge_ELA,$B152&gt;NDC!$H$22-0.1+MIN(3*$CO$12,1.5)),0,1))</f>
        <v>#N/A</v>
      </c>
      <c r="CP152" s="86" t="b">
        <f t="shared" si="251"/>
        <v>0</v>
      </c>
      <c r="CQ152" s="86">
        <f t="shared" si="252"/>
        <v>0.5</v>
      </c>
      <c r="CR152" s="86">
        <f t="shared" si="253"/>
        <v>0.5</v>
      </c>
      <c r="CS152" s="30" t="e">
        <f t="shared" ca="1" si="284"/>
        <v>#DIV/0!</v>
      </c>
      <c r="CT152" s="85" t="e">
        <f ca="1">IF(BZ152&lt;=Hypothèses!$V$7,Hypothèses!$W$7,IF(BZ152&lt;=Hypothèses!$V$8,Hypothèses!$W$8,IF(BZ152&lt;=Hypothèses!$V$9,Hypothèses!$W$9,IF(BZ152&lt;=Hypothèses!$V$10,Hypothèses!$W$10,IF(BZ152&lt;=Hypothèses!$V$11,Hypothèses!$W$11,IF(BZ152&lt;=Hypothèses!$V$12,Hypothèses!$W$12,IF(BZ152&lt;=Hypothèses!$V$13,Hypothèses!$W$13,IF(BZ152&lt;=Hypothèses!$V$14,Hypothèses!$W$14,IF(BZ152&lt;=Hypothèses!$V$15,Hypothèses!$W$15,IF(BZ152&lt;=Hypothèses!$V$16,Hypothèses!$W$16,IF(BZ152&lt;=Hypothèses!$V$17,Hypothèses!$W$17,IF(BZ152&lt;=Hypothèses!$V$18,Hypothèses!$W$18,""))))))))))))</f>
        <v>#DIV/0!</v>
      </c>
      <c r="CU152" s="87" t="e">
        <f t="shared" ca="1" si="320"/>
        <v>#DIV/0!</v>
      </c>
      <c r="CV152" s="88" t="e">
        <f ca="1">IF(BZ152&lt;=Hypothèses!$V$7,Hypothèses!$X$7,IF(BZ152&lt;=Hypothèses!$V$8,Hypothèses!$X$8,IF(BZ152&lt;=Hypothèses!$V$9,Hypothèses!$X$9,IF(BZ152&lt;=Hypothèses!$V$10,Hypothèses!$X$10,IF(BZ152&lt;=Hypothèses!$V$11,Hypothèses!$X$11,IF(BZ152&lt;=Hypothèses!$V$12,Hypothèses!$X$12,IF(BZ152&lt;=Hypothèses!$V$13,Hypothèses!$X$13,IF(BZ152&lt;=Hypothèses!$V$14,Hypothèses!$X$14,IF(BZ152&lt;=Hypothèses!$V$15,Hypothèses!$X$15,IF(BZ152&lt;=Hypothèses!$V$16,Hypothèses!$X$16,IF(BZ152&lt;=Hypothèses!$U$17,Hypothèses!$W$17,IF(BZ152&lt;=Hypothèses!$U$18,Hypothèses!$W$18,""))))))))))))</f>
        <v>#DIV/0!</v>
      </c>
      <c r="CW152" s="95" t="e">
        <f t="shared" ca="1" si="285"/>
        <v>#DIV/0!</v>
      </c>
      <c r="CX152" s="101" t="e">
        <f t="shared" si="327"/>
        <v>#N/A</v>
      </c>
      <c r="CY152" s="91" t="e">
        <f t="shared" si="254"/>
        <v>#N/A</v>
      </c>
      <c r="CZ152" s="30" t="e">
        <f t="shared" si="308"/>
        <v>#N/A</v>
      </c>
      <c r="DA152" s="30" t="e">
        <f t="shared" si="309"/>
        <v>#N/A</v>
      </c>
      <c r="DB152" s="31" t="e">
        <f>IF(OR(Hypothèses!$B$4=17,Hypothèses!$B$4=18,Hypothèses!$B$4=19,Hypothèses!$B$4=20),
IF($D152="Pressio.",
IF(OR($E152=3,$E152=1,$E152=4),DA152,CZ152),
IF($D152="Pénétro.",
IF(OR($E152=3,$E152=1,$E152=4),DA152,CZ152))),IF($D152="Pressio.",
IF($E152=3,DA152,CZ152),
IF($D152="Pénétro.",
IF($E152=4,DA152,CZ152))))</f>
        <v>#N/A</v>
      </c>
      <c r="DC152" s="31" t="e">
        <f>(IF(OR(Hypothèses!$B$4=17,Hypothèses!$B$4=18,Hypothèses!$B$4=19,Hypothèses!$B$4=20),
IF($D152="Pressio.",
IF(OR($E152=3,$E152=1,$E152=4),(PI()*DC$12^2)/4*(CY152*$W152*1000)/($H152*$B$5),(PI()*DC$12^2)/4*(CY152*$W152*1000)/($G152*$B$5)),
IF($D152="Pénétro.",
IF(OR($E152=4,$E152=1,$E152=5),(PI()*DC$12^2)/4*(CY152*$W152*1000)/($H152*$B$5),(PI()*DC$12^2)/4*(CY152*$W152*1000)/($G152*$B$5)))),
IF($D152="Pressio.",
IF($E152=3,(PI()*DC$12^2)/4*(CY152*$W152*1000)/($H152*$B$5),(PI()*DC$12^2)/4*(CY152*$W152*1000)/($G152*$B$5)),
IF($D152="Pénétro.",
IF($E152=4,(PI()*DC$12^2)/4*(CY152*$W152*1000)/($H152*$B$5),(PI()*DC$12^2)/4*(CY152*$W152*1000)/($G152*$B$5))))))/10</f>
        <v>#N/A</v>
      </c>
      <c r="DD152" s="102" t="e">
        <f>(VLOOKUP($B$3,'Coeff EC7'!$T$39:$X$59,2,0)*DB152+VLOOKUP($B$3,'Coeff EC7'!$T$65:$X$85,2,0)*Model0.1C!DC152)/1.1</f>
        <v>#N/A</v>
      </c>
      <c r="DE152" s="102" t="e">
        <f>(VLOOKUP($B$3,'Coeff EC7'!$T$39:$X$59,3,0)*DB152+VLOOKUP($B$3,'Coeff EC7'!$T$65:$X$85,3,0)*Model0.1C!DC152)/0.9</f>
        <v>#N/A</v>
      </c>
      <c r="DF152" s="102" t="e">
        <f t="shared" si="286"/>
        <v>#N/A</v>
      </c>
      <c r="DG152" s="102" t="e">
        <f t="shared" si="287"/>
        <v>#N/A</v>
      </c>
      <c r="DH152" s="414" t="e">
        <f>IF(DH151=0,0,IF(AND(DD152&gt;charge_ELS_quasi,DE152&gt;Charge_ELS_freq,DF152&gt;charge_ELU,DG152&gt;charge_ELA,$B152&gt;NDC!$H$22-0.1+MIN(3*$DH$12,1.5)),0,1))</f>
        <v>#N/A</v>
      </c>
      <c r="DI152" s="86" t="b">
        <f t="shared" si="255"/>
        <v>0</v>
      </c>
      <c r="DJ152" s="86">
        <f t="shared" si="256"/>
        <v>0.5</v>
      </c>
      <c r="DK152" s="86">
        <f t="shared" si="257"/>
        <v>0.5</v>
      </c>
      <c r="DL152" s="30" t="e">
        <f t="shared" ca="1" si="288"/>
        <v>#DIV/0!</v>
      </c>
      <c r="DM152" s="85" t="e">
        <f ca="1">IF(CS152&lt;=Hypothèses!$V$7,Hypothèses!$W$7,IF(CS152&lt;=Hypothèses!$V$8,Hypothèses!$W$8,IF(CS152&lt;=Hypothèses!$V$9,Hypothèses!$W$9,IF(CS152&lt;=Hypothèses!$V$10,Hypothèses!$W$10,IF(CS152&lt;=Hypothèses!$V$11,Hypothèses!$W$11,IF(CS152&lt;=Hypothèses!$V$12,Hypothèses!$W$12,IF(CS152&lt;=Hypothèses!$V$13,Hypothèses!$W$13,IF(CS152&lt;=Hypothèses!$V$14,Hypothèses!$W$14,IF(CS152&lt;=Hypothèses!$V$15,Hypothèses!$W$15,IF(CS152&lt;=Hypothèses!$V$16,Hypothèses!$W$16,IF(CS152&lt;=Hypothèses!$V$17,Hypothèses!$W$17,IF(CS152&lt;=Hypothèses!$V$18,Hypothèses!$W$18,""))))))))))))</f>
        <v>#DIV/0!</v>
      </c>
      <c r="DN152" s="87" t="e">
        <f t="shared" ca="1" si="321"/>
        <v>#DIV/0!</v>
      </c>
      <c r="DO152" s="88" t="e">
        <f ca="1">IF(CS152&lt;=Hypothèses!$V$7,Hypothèses!$X$7,IF(CS152&lt;=Hypothèses!$V$8,Hypothèses!$X$8,IF(CS152&lt;=Hypothèses!$V$9,Hypothèses!$X$9,IF(CS152&lt;=Hypothèses!$V$10,Hypothèses!$X$10,IF(CS152&lt;=Hypothèses!$V$11,Hypothèses!$X$11,IF(CS152&lt;=Hypothèses!$V$12,Hypothèses!$X$12,IF(CS152&lt;=Hypothèses!$V$13,Hypothèses!$X$13,IF(CS152&lt;=Hypothèses!$V$14,Hypothèses!$X$14,IF(CS152&lt;=Hypothèses!$V$15,Hypothèses!$X$15,IF(CS152&lt;=Hypothèses!$V$16,Hypothèses!$X$16,IF(CS152&lt;=Hypothèses!$U$17,Hypothèses!$W$17,IF(CS152&lt;=Hypothèses!$U$18,Hypothèses!$W$18,""))))))))))))</f>
        <v>#DIV/0!</v>
      </c>
      <c r="DP152" s="95" t="e">
        <f t="shared" ca="1" si="289"/>
        <v>#DIV/0!</v>
      </c>
      <c r="DQ152" s="101" t="e">
        <f t="shared" si="328"/>
        <v>#N/A</v>
      </c>
      <c r="DR152" s="91" t="e">
        <f t="shared" si="258"/>
        <v>#N/A</v>
      </c>
      <c r="DS152" s="30" t="e">
        <f t="shared" si="310"/>
        <v>#N/A</v>
      </c>
      <c r="DT152" s="30" t="e">
        <f t="shared" si="311"/>
        <v>#N/A</v>
      </c>
      <c r="DU152" s="31" t="e">
        <f>IF(OR(Hypothèses!$B$4=17,Hypothèses!$B$4=18,Hypothèses!$B$4=19,Hypothèses!$B$4=20),
IF($D152="Pressio.",
IF(OR($E152=3,$E152=1,$E152=4),DT152,DS152),
IF($D152="Pénétro.",
IF(OR($E152=3,$E152=1,$E152=4),DT152,DS152))),IF($D152="Pressio.",
IF($E152=3,DT152,DS152),
IF($D152="Pénétro.",
IF($E152=4,DT152,DS152))))</f>
        <v>#N/A</v>
      </c>
      <c r="DV152" s="31" t="e">
        <f>(IF(OR(Hypothèses!$B$4=17,Hypothèses!$B$4=18,Hypothèses!$B$4=19,Hypothèses!$B$4=20),
IF($D152="Pressio.",
IF(OR($E152=3,$E152=1,$E152=4),(PI()*DV$12^2)/4*(DR152*$W152*1000)/($H152*$B$5),(PI()*DV$12^2)/4*(DR152*$W152*1000)/($G152*$B$5)),
IF($D152="Pénétro.",
IF(OR($E152=4,$E152=1,$E152=5),(PI()*DV$12^2)/4*(DR152*$W152*1000)/($H152*$B$5),(PI()*DV$12^2)/4*(DR152*$W152*1000)/($G152*$B$5)))),
IF($D152="Pressio.",
IF($E152=3,(PI()*DV$12^2)/4*(DR152*$W152*1000)/($H152*$B$5),(PI()*DV$12^2)/4*(DR152*$W152*1000)/($G152*$B$5)),
IF($D152="Pénétro.",
IF($E152=4,(PI()*DV$12^2)/4*(DR152*$W152*1000)/($H152*$B$5),(PI()*DV$12^2)/4*(DR152*$W152*1000)/($G152*$B$5))))))/10</f>
        <v>#N/A</v>
      </c>
      <c r="DW152" s="102" t="e">
        <f>(VLOOKUP($B$3,'Coeff EC7'!$T$39:$X$59,2,0)*DU152+VLOOKUP($B$3,'Coeff EC7'!$T$65:$X$85,2,0)*Model0.1C!DV152)/1.1</f>
        <v>#N/A</v>
      </c>
      <c r="DX152" s="102" t="e">
        <f>(VLOOKUP($B$3,'Coeff EC7'!$T$39:$X$59,3,0)*DU152+VLOOKUP($B$3,'Coeff EC7'!$T$65:$X$85,3,0)*Model0.1C!DV152)/0.9</f>
        <v>#N/A</v>
      </c>
      <c r="DY152" s="102" t="e">
        <f t="shared" si="290"/>
        <v>#N/A</v>
      </c>
      <c r="DZ152" s="102" t="e">
        <f t="shared" si="291"/>
        <v>#N/A</v>
      </c>
      <c r="EA152" s="414" t="e">
        <f>IF(EA151=0,0,IF(AND(DW152&gt;charge_ELS_quasi,DX152&gt;Charge_ELS_freq,DY152&gt;charge_ELU,DZ152&gt;charge_ELA,$B152&gt;NDC!$H$22-0.1+MIN(3*$EA$12,1.5)),0,1))</f>
        <v>#N/A</v>
      </c>
      <c r="EB152" s="86" t="b">
        <f t="shared" si="259"/>
        <v>0</v>
      </c>
      <c r="EC152" s="418">
        <f t="shared" si="260"/>
        <v>0.51</v>
      </c>
      <c r="ED152" s="86">
        <f t="shared" si="261"/>
        <v>0.51</v>
      </c>
      <c r="EE152" s="30" t="e">
        <f t="shared" ca="1" si="292"/>
        <v>#DIV/0!</v>
      </c>
      <c r="EF152" s="85" t="e">
        <f ca="1">IF(DL152&lt;=Hypothèses!$V$7,Hypothèses!$W$7,IF(DL152&lt;=Hypothèses!$V$8,Hypothèses!$W$8,IF(DL152&lt;=Hypothèses!$V$9,Hypothèses!$W$9,IF(DL152&lt;=Hypothèses!$V$10,Hypothèses!$W$10,IF(DL152&lt;=Hypothèses!$V$11,Hypothèses!$W$11,IF(DL152&lt;=Hypothèses!$V$12,Hypothèses!$W$12,IF(DL152&lt;=Hypothèses!$V$13,Hypothèses!$W$13,IF(DL152&lt;=Hypothèses!$V$14,Hypothèses!$W$14,IF(DL152&lt;=Hypothèses!$V$15,Hypothèses!$W$15,IF(DL152&lt;=Hypothèses!$V$16,Hypothèses!$W$16,IF(DL152&lt;=Hypothèses!$V$17,Hypothèses!$W$17,IF(DL152&lt;=Hypothèses!$V$18,Hypothèses!$W$18,""))))))))))))</f>
        <v>#DIV/0!</v>
      </c>
      <c r="EG152" s="87" t="e">
        <f t="shared" ca="1" si="322"/>
        <v>#DIV/0!</v>
      </c>
      <c r="EH152" s="88" t="e">
        <f ca="1">IF(DL152&lt;=Hypothèses!$V$7,Hypothèses!$X$7,IF(DL152&lt;=Hypothèses!$V$8,Hypothèses!$X$8,IF(DL152&lt;=Hypothèses!$V$9,Hypothèses!$X$9,IF(DL152&lt;=Hypothèses!$V$10,Hypothèses!$X$10,IF(DL152&lt;=Hypothèses!$V$11,Hypothèses!$X$11,IF(DL152&lt;=Hypothèses!$V$12,Hypothèses!$X$12,IF(DL152&lt;=Hypothèses!$V$13,Hypothèses!$X$13,IF(DL152&lt;=Hypothèses!$V$14,Hypothèses!$X$14,IF(DL152&lt;=Hypothèses!$V$15,Hypothèses!$X$15,IF(DL152&lt;=Hypothèses!$V$16,Hypothèses!$X$16,IF(DL152&lt;=Hypothèses!$U$17,Hypothèses!$W$17,IF(DL152&lt;=Hypothèses!$U$18,Hypothèses!$W$18,""))))))))))))</f>
        <v>#DIV/0!</v>
      </c>
      <c r="EI152" s="95" t="e">
        <f t="shared" ca="1" si="293"/>
        <v>#DIV/0!</v>
      </c>
      <c r="EJ152" s="101" t="e">
        <f t="shared" si="329"/>
        <v>#N/A</v>
      </c>
      <c r="EK152" s="91" t="e">
        <f t="shared" si="262"/>
        <v>#N/A</v>
      </c>
      <c r="EL152" s="30" t="e">
        <f t="shared" si="312"/>
        <v>#N/A</v>
      </c>
      <c r="EM152" s="30" t="e">
        <f t="shared" si="313"/>
        <v>#N/A</v>
      </c>
      <c r="EN152" s="31" t="e">
        <f>IF(OR(Hypothèses!$B$4=17,Hypothèses!$B$4=18,Hypothèses!$B$4=19,Hypothèses!$B$4=20),
IF($D152="Pressio.",
IF(OR($E152=3,$E152=1,$E152=4),EM152,EL152),
IF($D152="Pénétro.",
IF(OR($E152=3,$E152=1,$E152=4),EM152,EL152))),IF($D152="Pressio.",
IF($E152=3,EM152,EL152),
IF($D152="Pénétro.",
IF($E152=4,EM152,EL152))))</f>
        <v>#N/A</v>
      </c>
      <c r="EO152" s="31" t="e">
        <f>(IF(OR(Hypothèses!$B$4=17,Hypothèses!$B$4=18,Hypothèses!$B$4=19,Hypothèses!$B$4=20),
IF($D152="Pressio.",
IF(OR($E152=3,$E152=1,$E152=4),(PI()*EO$12^2)/4*(EK152*$W152*1000)/($H152*$B$5),(PI()*EO$12^2)/4*(EK152*$W152*1000)/($G152*$B$5)),
IF($D152="Pénétro.",
IF(OR($E152=4,$E152=1,$E152=5),(PI()*EO$12^2)/4*(EK152*$W152*1000)/($H152*$B$5),(PI()*EO$12^2)/4*(EK152*$W152*1000)/($G152*$B$5)))),
IF($D152="Pressio.",
IF($E152=3,(PI()*EO$12^2)/4*(EK152*$W152*1000)/($H152*$B$5),(PI()*EO$12^2)/4*(EK152*$W152*1000)/($G152*$B$5)),
IF($D152="Pénétro.",
IF($E152=4,(PI()*EO$12^2)/4*(EK152*$W152*1000)/($H152*$B$5),(PI()*EO$12^2)/4*(EK152*$W152*1000)/($G152*$B$5))))))/10</f>
        <v>#N/A</v>
      </c>
      <c r="EP152" s="102" t="e">
        <f>(VLOOKUP($B$3,'Coeff EC7'!$T$39:$X$59,2,0)*EN152+VLOOKUP($B$3,'Coeff EC7'!$T$65:$X$85,2,0)*Model0.1C!EO152)/1.1</f>
        <v>#N/A</v>
      </c>
      <c r="EQ152" s="102" t="e">
        <f>(VLOOKUP($B$3,'Coeff EC7'!$T$39:$X$59,3,0)*EN152+VLOOKUP($B$3,'Coeff EC7'!$T$65:$X$85,3,0)*Model0.1C!EO152)/0.9</f>
        <v>#N/A</v>
      </c>
      <c r="ER152" s="102" t="e">
        <f t="shared" si="294"/>
        <v>#N/A</v>
      </c>
      <c r="ES152" s="102" t="e">
        <f t="shared" si="295"/>
        <v>#N/A</v>
      </c>
      <c r="ET152" s="414" t="e">
        <f>IF(ET151=0,0,IF(AND(EP152&gt;charge_ELS_quasi,EQ152&gt;Charge_ELS_freq,ER152&gt;charge_ELU,ES152&gt;charge_ELA,$B152&gt;NDC!$H$22-0.1+MIN(3*$ET$12,1.5)),0,1))</f>
        <v>#N/A</v>
      </c>
      <c r="EU152" s="86" t="b">
        <f t="shared" si="263"/>
        <v>0</v>
      </c>
      <c r="EV152" s="86">
        <f t="shared" si="264"/>
        <v>0.61</v>
      </c>
      <c r="EW152" s="86">
        <f t="shared" si="265"/>
        <v>0.61</v>
      </c>
      <c r="EX152" s="30" t="e">
        <f t="shared" ca="1" si="296"/>
        <v>#DIV/0!</v>
      </c>
      <c r="EY152" s="85" t="e">
        <f ca="1">IF(EE152&lt;=Hypothèses!$V$7,Hypothèses!$W$7,IF(EE152&lt;=Hypothèses!$V$8,Hypothèses!$W$8,IF(EE152&lt;=Hypothèses!$V$9,Hypothèses!$W$9,IF(EE152&lt;=Hypothèses!$V$10,Hypothèses!$W$10,IF(EE152&lt;=Hypothèses!$V$11,Hypothèses!$W$11,IF(EE152&lt;=Hypothèses!$V$12,Hypothèses!$W$12,IF(EE152&lt;=Hypothèses!$V$13,Hypothèses!$W$13,IF(EE152&lt;=Hypothèses!$V$14,Hypothèses!$W$14,IF(EE152&lt;=Hypothèses!$V$15,Hypothèses!$W$15,IF(EE152&lt;=Hypothèses!$V$16,Hypothèses!$W$16,IF(EE152&lt;=Hypothèses!$V$17,Hypothèses!$W$17,IF(EE152&lt;=Hypothèses!$V$18,Hypothèses!$W$18,""))))))))))))</f>
        <v>#DIV/0!</v>
      </c>
      <c r="EZ152" s="87" t="e">
        <f t="shared" ca="1" si="323"/>
        <v>#DIV/0!</v>
      </c>
      <c r="FA152" s="88" t="e">
        <f ca="1">IF(EE152&lt;=Hypothèses!$V$7,Hypothèses!$X$7,IF(EE152&lt;=Hypothèses!$V$8,Hypothèses!$X$8,IF(EE152&lt;=Hypothèses!$V$9,Hypothèses!$X$9,IF(EE152&lt;=Hypothèses!$V$10,Hypothèses!$X$10,IF(EE152&lt;=Hypothèses!$V$11,Hypothèses!$X$11,IF(EE152&lt;=Hypothèses!$V$12,Hypothèses!$X$12,IF(EE152&lt;=Hypothèses!$V$13,Hypothèses!$X$13,IF(EE152&lt;=Hypothèses!$V$14,Hypothèses!$X$14,IF(EE152&lt;=Hypothèses!$V$15,Hypothèses!$X$15,IF(EE152&lt;=Hypothèses!$V$16,Hypothèses!$X$16,IF(EE152&lt;=Hypothèses!$U$17,Hypothèses!$W$17,IF(EE152&lt;=Hypothèses!$U$18,Hypothèses!$W$18,""))))))))))))</f>
        <v>#DIV/0!</v>
      </c>
      <c r="FB152" s="95" t="e">
        <f t="shared" ca="1" si="297"/>
        <v>#DIV/0!</v>
      </c>
      <c r="FC152" s="101" t="e">
        <f t="shared" si="330"/>
        <v>#N/A</v>
      </c>
      <c r="FD152" s="91" t="e">
        <f t="shared" si="266"/>
        <v>#N/A</v>
      </c>
      <c r="FE152" s="30" t="e">
        <f t="shared" si="314"/>
        <v>#N/A</v>
      </c>
      <c r="FF152" s="30" t="e">
        <f t="shared" si="315"/>
        <v>#N/A</v>
      </c>
      <c r="FG152" s="31" t="e">
        <f>IF(OR(Hypothèses!$B$4=17,Hypothèses!$B$4=18,Hypothèses!$B$4=19,Hypothèses!$B$4=20),
IF($D152="Pressio.",
IF(OR($E152=3,$E152=1,$E152=4),FF152,FE152),
IF($D152="Pénétro.",
IF(OR($E152=3,$E152=1,$E152=4),FF152,FE152))),IF($D152="Pressio.",
IF($E152=3,FF152,FE152),
IF($D152="Pénétro.",
IF($E152=4,FF152,FE152))))</f>
        <v>#N/A</v>
      </c>
      <c r="FH152" s="31" t="e">
        <f>(IF(OR(Hypothèses!$B$4=17,Hypothèses!$B$4=18,Hypothèses!$B$4=19,Hypothèses!$B$4=20),
IF($D152="Pressio.",
IF(OR($E152=3,$E152=1,$E152=4),(PI()*FH$12^2)/4*(FD152*$W152*1000)/($H152*$B$5),(PI()*FH$12^2)/4*(FD152*$W152*1000)/($G152*$B$5)),
IF($D152="Pénétro.",
IF(OR($E152=4,$E152=1,$E152=5),(PI()*FH$12^2)/4*(FD152*$W152*1000)/($H152*$B$5),(PI()*FH$12^2)/4*(FD152*$W152*1000)/($G152*$B$5)))),
IF($D152="Pressio.",
IF($E152=3,(PI()*FH$12^2)/4*(FD152*$W152*1000)/($H152*$B$5),(PI()*FH$12^2)/4*(FD152*$W152*1000)/($G152*$B$5)),
IF($D152="Pénétro.",
IF($E152=4,(PI()*FH$12^2)/4*(FD152*$W152*1000)/($H152*$B$5),(PI()*FH$12^2)/4*(FD152*$W152*1000)/($G152*$B$5))))))/10</f>
        <v>#N/A</v>
      </c>
      <c r="FI152" s="102" t="e">
        <f>(VLOOKUP($B$3,'Coeff EC7'!$T$39:$X$59,2,0)*FG152+VLOOKUP($B$3,'Coeff EC7'!$T$65:$X$85,2,0)*Model0.1C!FH152)/1.1</f>
        <v>#N/A</v>
      </c>
      <c r="FJ152" s="102" t="e">
        <f>(VLOOKUP($B$3,'Coeff EC7'!$T$39:$X$59,3,0)*FG152+VLOOKUP($B$3,'Coeff EC7'!$T$65:$X$85,3,0)*Model0.1C!FH152)/0.9</f>
        <v>#N/A</v>
      </c>
      <c r="FK152" s="102" t="e">
        <f t="shared" si="298"/>
        <v>#N/A</v>
      </c>
      <c r="FL152" s="102" t="e">
        <f t="shared" si="299"/>
        <v>#N/A</v>
      </c>
      <c r="FM152" s="414" t="e">
        <f>IF(FM151=0,0,IF(AND(FI152&gt;charge_ELS_quasi,FJ152&gt;Charge_ELS_freq,FK152&gt;charge_ELU,FL152&gt;charge_ELA,$B152&gt;NDC!$H$22-0.1+MIN(3*$FM$12,1.5)),0,1))</f>
        <v>#N/A</v>
      </c>
    </row>
    <row r="153" spans="1:169">
      <c r="A153" s="96">
        <f t="shared" si="267"/>
        <v>86.000000000000796</v>
      </c>
      <c r="B153" s="97">
        <v>14</v>
      </c>
      <c r="C153" s="81">
        <f>IF(B153&lt;=Hypothèses!$C$7,Hypothèses!$A$7,IF(B153&lt;=Hypothèses!$C$8,Hypothèses!$A$8,IF(B153&lt;=Hypothèses!$C$9,Hypothèses!$A$9,IF(B153&lt;=Hypothèses!$C$10,Hypothèses!$A$10,IF(B153&lt;=Hypothèses!$C$11,Hypothèses!$A$11,IF(B153&lt;=Hypothèses!$C$12,Hypothèses!$A$12,IF(B153&lt;=Hypothèses!$C$13,Hypothèses!$A$13,IF(B153&lt;=Hypothèses!$C$14,Hypothèses!$A$14,IF(B153&lt;=Hypothèses!$C$15,Hypothèses!$A$15,IF(B153&lt;=Hypothèses!$C$16,Hypothèses!$A$16,IF(B153&lt;=Hypothèses!$C$17,Hypothèses!$A$17,IF(B153&lt;=Hypothèses!$C$18,Hypothèses!$A$18,C152))))))))))))</f>
        <v>11</v>
      </c>
      <c r="D153" s="82" t="str">
        <f>IF(B153&lt;=Hypothèses!$C$7,Hypothèses!$R$7,IF(B153&lt;=Hypothèses!$C$8,Hypothèses!$R$8,IF(B153&lt;=Hypothèses!$C$9,Hypothèses!$R$9,IF(B153&lt;=Hypothèses!$C$10,Hypothèses!$R$10,IF(B153&lt;=Hypothèses!$C$11,Hypothèses!$R$11,IF(B153&lt;=Hypothèses!$C$12,Hypothèses!$R$12,IF(B153&lt;=Hypothèses!$C$13,Hypothèses!$R$13,IF(B153&lt;=Hypothèses!$C$14,Hypothèses!$R$14,IF(B153&lt;=Hypothèses!$C$15,Hypothèses!$R$15,IF(B153&lt;=Hypothèses!$C$16,Hypothèses!$R$16,IF(B153&lt;=Hypothèses!$C$17,Hypothèses!$R$17,IF(B153&lt;=Hypothèses!$C$18,Hypothèses!$R$18,D152))))))))))))</f>
        <v>Pressio.</v>
      </c>
      <c r="E153" s="82" t="e">
        <f>IF(B153&lt;=Hypothèses!$C$7,Hypothèses!$G$7,IF(B153&lt;=Hypothèses!$C$8,Hypothèses!$G$8,IF(B153&lt;=Hypothèses!$C$9,Hypothèses!$G$9,IF(B153&lt;=Hypothèses!$C$10,Hypothèses!$G$10,IF(B153&lt;=Hypothèses!$C$11,Hypothèses!$G$11,IF(B153&lt;=Hypothèses!$C$12,Hypothèses!$G$12,IF(B153&lt;=Hypothèses!$C$13,Hypothèses!$G$13,IF(B153&lt;=Hypothèses!$C$14,Hypothèses!$G$14,IF(B153&lt;=Hypothèses!$C$15,Hypothèses!$G$15,IF(B153&lt;=Hypothèses!$C$16,Hypothèses!$G$16,IF(B153&lt;=Hypothèses!$C$17,Hypothèses!$G$17,IF(B153&lt;=Hypothèses!$C$18,Hypothèses!$G$18,E152))))))))))))</f>
        <v>#N/A</v>
      </c>
      <c r="F153" s="82" t="str">
        <f>IF(B153&lt;=Hypothèses!$C$7,Hypothèses!$F$7,IF(B153&lt;=Hypothèses!$C$8,Hypothèses!$F$8,IF(B153&lt;=Hypothèses!$C$9,Hypothèses!$F$9,IF(B153&lt;=Hypothèses!$C$10,Hypothèses!$F$10,IF(B153&lt;=Hypothèses!$C$11,Hypothèses!$F$11,IF(B153&lt;=Hypothèses!$C$12,Hypothèses!$F$12,IF(B153&lt;=Hypothèses!$C$13,Hypothèses!$F$13,IF(B153&lt;=Hypothèses!$C$14,Hypothèses!$F$14,IF(B153&lt;=Hypothèses!$C$15,Hypothèses!$F$15,IF(B153&lt;=Hypothèses!$C$16,Hypothèses!$F$16,IF(B153&lt;=Hypothèses!$C$17,Hypothèses!$F$17,IF(B153&lt;=Hypothèses!$C$18,Hypothèses!$F$18,F152))))))))))))</f>
        <v/>
      </c>
      <c r="G153" s="91">
        <f t="array" ref="G153">INDEX('Coeff EC7'!$U$7:$X$27,
MATCH(Model0.1C!$B$3,'Coeff EC7'!$T$7:$T$27,0),
MATCH(Model0.1C!$D153&amp;Model0.1C!$B$4,
'Coeff EC7'!$U$6:$X$6&amp;
'Coeff EC7'!$U$5:$X$5,0))</f>
        <v>1.1499999999999999</v>
      </c>
      <c r="H153" s="91">
        <f t="array" ref="H153">INDEX('Coeff EC7'!$Y$7:$AB$27,
MATCH(Model0.1C!$B$3,'Coeff EC7'!$T$7:$T$27,0),
MATCH(Model0.1C!$D153&amp;Model0.1C!$B$4,
'Coeff EC7'!$Y$6:$AB$6&amp;
'Coeff EC7'!$Y$5:$AB$5,0))</f>
        <v>1.4</v>
      </c>
      <c r="I153" s="83" t="e">
        <f>IF(B153&lt;=Hypothèses!$C$7,Hypothèses!$P$7,IF(B153&lt;=Hypothèses!$C$8,Hypothèses!$P$8,IF(B153&lt;=Hypothèses!$C$9,Hypothèses!$P$9,IF(B153&lt;=Hypothèses!$C$10,Hypothèses!$P$10,IF(B153&lt;=Hypothèses!$C$11,Hypothèses!$P$11,IF(B153&lt;=Hypothèses!$C$12,Hypothèses!$P$12,IF(B153&lt;=Hypothèses!$C$13,Hypothèses!$P$13,IF(B153&lt;=Hypothèses!$C$14,Hypothèses!$P$14,IF(B153&lt;=Hypothèses!$C$15,Hypothèses!$P$15,IF(B153&lt;=Hypothèses!$C$16,Hypothèses!$P$16,IF(B153&lt;=Hypothèses!$C$17,Hypothèses!$P$17,IF(B153&lt;=Hypothèses!$C$18,Hypothèses!$P$18,I152))))))))))))</f>
        <v>#N/A</v>
      </c>
      <c r="J153" s="91" t="e">
        <f t="array" ref="J153">INDEX('Coeff EC7'!$D$33:$Q$33,1,MATCH(D153&amp;E153,'Coeff EC7'!$D$31:$Q$31&amp;'Coeff EC7'!$D$32:$Q$32,0))</f>
        <v>#N/A</v>
      </c>
      <c r="K153" s="91" t="e">
        <f t="array" ref="K153">INDEX('Coeff EC7'!$D$34:$Q$34,1,MATCH(D153&amp;E153,'Coeff EC7'!$D$31:$Q$31&amp;'Coeff EC7'!$D$32:$Q$32,0))</f>
        <v>#N/A</v>
      </c>
      <c r="L153" s="91" t="e">
        <f t="array" ref="L153">INDEX('Coeff EC7'!$D$35:$Q$35,1,MATCH(D153&amp;E153,'Coeff EC7'!$D$31:$Q$31&amp;'Coeff EC7'!$D$32:$Q$32,0))</f>
        <v>#N/A</v>
      </c>
      <c r="M153" s="98" t="e">
        <f t="shared" si="231"/>
        <v>#N/A</v>
      </c>
      <c r="N153" s="99" t="e">
        <f t="array" ref="N153">INDEX('Coeff EC7'!$D$7:$Q$27,MATCH($B$3,'Coeff EC7'!$C$7:$C$27,0),MATCH(D153&amp;E153,'Coeff EC7'!$D$5:$Q$5&amp;'Coeff EC7'!$D$6:$Q$6,0))</f>
        <v>#N/A</v>
      </c>
      <c r="O153" s="99" t="e">
        <f t="array" ref="O153">INDEX('Coeff EC7'!$D$41:$Q$61,MATCH($B$3,'Coeff EC7'!$C$41:$C$61,0),MATCH(D153&amp;E153,'Coeff EC7'!$D$39:$Q$39&amp;'Coeff EC7'!$D$40:$Q$40,0))</f>
        <v>#N/A</v>
      </c>
      <c r="P153" s="30" t="e">
        <f t="shared" si="268"/>
        <v>#N/A</v>
      </c>
      <c r="Q153" s="100" t="e">
        <f t="shared" si="233"/>
        <v>#N/A</v>
      </c>
      <c r="R153" s="86" t="b">
        <f t="shared" si="234"/>
        <v>0</v>
      </c>
      <c r="S153" s="86">
        <f t="shared" si="232"/>
        <v>0.5</v>
      </c>
      <c r="T153" s="86">
        <f t="shared" si="235"/>
        <v>0.5</v>
      </c>
      <c r="U153" s="30" t="e">
        <f t="shared" ca="1" si="269"/>
        <v>#DIV/0!</v>
      </c>
      <c r="V153" s="85" t="str">
        <f>IF(B153&lt;=Hypothèses!$V$7,Hypothèses!$W$7,IF(B153&lt;=Hypothèses!$V$8,Hypothèses!$W$8,IF(B153&lt;=Hypothèses!$V$9,Hypothèses!$W$9,IF(B153&lt;=Hypothèses!$V$10,Hypothèses!$W$10,IF(B153&lt;=Hypothèses!$V$11,Hypothèses!$W$11,IF(B153&lt;=Hypothèses!$V$12,Hypothèses!$W$12,IF(B153&lt;=Hypothèses!$V$13,Hypothèses!$W$13,IF(B153&lt;=Hypothèses!$V$14,Hypothèses!$W$14,IF(B153&lt;=Hypothèses!$V$15,Hypothèses!$W$15,IF(B153&lt;=Hypothèses!$V$16,Hypothèses!$W$16,IF(B153&lt;=Hypothèses!$V$17,Hypothèses!$W$17,IF(B153&lt;=Hypothèses!$V$18,Hypothèses!$W$18,""))))))))))))</f>
        <v/>
      </c>
      <c r="W153" s="87" t="e">
        <f t="shared" ca="1" si="316"/>
        <v>#DIV/0!</v>
      </c>
      <c r="X153" s="88" t="str">
        <f>IF(B153&lt;=Hypothèses!$V$7,Hypothèses!$X$7,IF(B153&lt;=Hypothèses!$V$8,Hypothèses!$X$8,IF(B153&lt;=Hypothèses!$V$9,Hypothèses!$X$9,IF(B153&lt;=Hypothèses!$V$10,Hypothèses!$X$10,IF(B153&lt;=Hypothèses!$V$11,Hypothèses!$X$11,IF(B153&lt;=Hypothèses!$V$12,Hypothèses!$X$12,IF(B153&lt;=Hypothèses!$V$13,Hypothèses!$X$13,IF(B153&lt;=Hypothèses!$V$14,Hypothèses!$X$14,IF(B153&lt;=Hypothèses!$V$15,Hypothèses!$X$15,IF(B153&lt;=Hypothèses!$V$16,Hypothèses!$X$16,IF(B153&lt;=Hypothèses!$U$17,Hypothèses!$W$17,IF(B153&lt;=Hypothèses!$U$18,Hypothèses!$W$18,""))))))))))))</f>
        <v/>
      </c>
      <c r="Y153" s="95" t="e">
        <f t="shared" ca="1" si="236"/>
        <v>#DIV/0!</v>
      </c>
      <c r="Z153" s="101" t="e">
        <f t="shared" si="237"/>
        <v>#N/A</v>
      </c>
      <c r="AA153" s="91" t="e">
        <f t="shared" si="238"/>
        <v>#N/A</v>
      </c>
      <c r="AB153" s="30" t="e">
        <f t="shared" si="300"/>
        <v>#N/A</v>
      </c>
      <c r="AC153" s="30" t="e">
        <f t="shared" si="301"/>
        <v>#N/A</v>
      </c>
      <c r="AD153" s="31" t="e">
        <f>IF(OR(Hypothèses!$B$4=17,Hypothèses!$B$4=18,Hypothèses!$B$4=19,Hypothèses!$B$4=20),
IF($D153="Pressio.",
IF(OR($E153=3,$E153=1,$E153=4),AC153,AB153),
IF($D153="Pénétro.",
IF(OR($E153=3,$E153=1,$E153=4),AC153,AB153))),IF($D153="Pressio.",
IF($E153=3,AC153,AB153),
IF($D153="Pénétro.",
IF($E153=4,AC153,AB153))))</f>
        <v>#N/A</v>
      </c>
      <c r="AE153" s="31" t="e">
        <f>(IF(OR(Hypothèses!$B$4=17,Hypothèses!$B$4=18,Hypothèses!$B$4=19,Hypothèses!$B$4=20),
IF($D153="Pressio.",
IF(OR($E153=3,$E153=1,$E153=4),(PI()*AE$12^2)/4*(AA153*$W153*1000)/($H153*$B$5),(PI()*AE$12^2)/4*(AA153*$W153*1000)/($G153*$B$5)),
IF($D153="Pénétro.",
IF(OR($E153=4,$E153=1,$E153=5),(PI()*AE$12^2)/4*(AA153*$W153*1000)/($H153*$B$5),(PI()*AE$12^2)/4*(AA153*$W153*1000)/($G153*$B$5)))),
IF($D153="Pressio.",
IF($E153=3,(PI()*AE$12^2)/4*(AA153*$W153*1000)/($H153*$B$5),(PI()*AE$12^2)/4*(AA153*$W153*1000)/($G153*$B$5)),
IF($D153="Pénétro.",
IF($E153=4,(PI()*AE$12^2)/4*(AA153*$W153*1000)/($H153*$B$5),(PI()*AE$12^2)/4*(AA153*$W153*1000)/($G153*$B$5))))))/10</f>
        <v>#N/A</v>
      </c>
      <c r="AF153" s="102" t="e">
        <f>(VLOOKUP($B$3,'Coeff EC7'!$T$39:$X$59,2,0)*AD153+VLOOKUP($B$3,'Coeff EC7'!$T$65:$X$85,2,0)*Model0.1C!AE153)/1.1</f>
        <v>#N/A</v>
      </c>
      <c r="AG153" s="102" t="e">
        <f>(VLOOKUP($B$3,'Coeff EC7'!$T$39:$X$59,3,0)*AD153+VLOOKUP($B$3,'Coeff EC7'!$T$65:$X$85,3,0)*Model0.1C!AE153)/0.9</f>
        <v>#N/A</v>
      </c>
      <c r="AH153" s="102" t="e">
        <f t="shared" si="239"/>
        <v>#N/A</v>
      </c>
      <c r="AI153" s="102" t="e">
        <f t="shared" si="240"/>
        <v>#N/A</v>
      </c>
      <c r="AJ153" s="414" t="e">
        <f>IF(AJ152=0,0,IF(AND(AF153&gt;charge_ELS_quasi,AG153&gt;Charge_ELS_freq,AH153&gt;charge_ELU,AI153&gt;charge_ELA,$B153&gt;NDC!$H$22-0.1+MIN(3*$AJ$12,1.5)),0,1))</f>
        <v>#N/A</v>
      </c>
      <c r="AK153" s="86" t="b">
        <f t="shared" si="241"/>
        <v>0</v>
      </c>
      <c r="AL153" s="86">
        <f t="shared" si="270"/>
        <v>0.5</v>
      </c>
      <c r="AM153" s="86">
        <f t="shared" si="242"/>
        <v>0.5</v>
      </c>
      <c r="AN153" s="30" t="e">
        <f t="shared" ca="1" si="271"/>
        <v>#DIV/0!</v>
      </c>
      <c r="AO153" s="85" t="e">
        <f ca="1">IF(U153&lt;=Hypothèses!$V$7,Hypothèses!$W$7,IF(U153&lt;=Hypothèses!$V$8,Hypothèses!$W$8,IF(U153&lt;=Hypothèses!$V$9,Hypothèses!$W$9,IF(U153&lt;=Hypothèses!$V$10,Hypothèses!$W$10,IF(U153&lt;=Hypothèses!$V$11,Hypothèses!$W$11,IF(U153&lt;=Hypothèses!$V$12,Hypothèses!$W$12,IF(U153&lt;=Hypothèses!$V$13,Hypothèses!$W$13,IF(U153&lt;=Hypothèses!$V$14,Hypothèses!$W$14,IF(U153&lt;=Hypothèses!$V$15,Hypothèses!$W$15,IF(U153&lt;=Hypothèses!$V$16,Hypothèses!$W$16,IF(U153&lt;=Hypothèses!$V$17,Hypothèses!$W$17,IF(U153&lt;=Hypothèses!$V$18,Hypothèses!$W$18,""))))))))))))</f>
        <v>#DIV/0!</v>
      </c>
      <c r="AP153" s="87" t="e">
        <f t="shared" ca="1" si="317"/>
        <v>#DIV/0!</v>
      </c>
      <c r="AQ153" s="88" t="e">
        <f ca="1">IF(U153&lt;=Hypothèses!$V$7,Hypothèses!$X$7,IF(U153&lt;=Hypothèses!$V$8,Hypothèses!$X$8,IF(U153&lt;=Hypothèses!$V$9,Hypothèses!$X$9,IF(U153&lt;=Hypothèses!$V$10,Hypothèses!$X$10,IF(U153&lt;=Hypothèses!$V$11,Hypothèses!$X$11,IF(U153&lt;=Hypothèses!$V$12,Hypothèses!$X$12,IF(U153&lt;=Hypothèses!$V$13,Hypothèses!$X$13,IF(U153&lt;=Hypothèses!$V$14,Hypothèses!$X$14,IF(U153&lt;=Hypothèses!$V$15,Hypothèses!$X$15,IF(U153&lt;=Hypothèses!$V$16,Hypothèses!$X$16,IF(U153&lt;=Hypothèses!$U$17,Hypothèses!$W$17,IF(U153&lt;=Hypothèses!$U$18,Hypothèses!$W$18,""))))))))))))</f>
        <v>#DIV/0!</v>
      </c>
      <c r="AR153" s="95" t="e">
        <f t="shared" ca="1" si="272"/>
        <v>#DIV/0!</v>
      </c>
      <c r="AS153" s="101" t="e">
        <f t="shared" si="324"/>
        <v>#N/A</v>
      </c>
      <c r="AT153" s="91" t="e">
        <f t="shared" si="243"/>
        <v>#N/A</v>
      </c>
      <c r="AU153" s="30" t="e">
        <f t="shared" si="302"/>
        <v>#N/A</v>
      </c>
      <c r="AV153" s="30" t="e">
        <f t="shared" si="303"/>
        <v>#N/A</v>
      </c>
      <c r="AW153" s="31" t="e">
        <f>IF(OR(Hypothèses!$B$4=17,Hypothèses!$B$4=18,Hypothèses!$B$4=19,Hypothèses!$B$4=20),
IF($D153="Pressio.",
IF(OR($E153=3,$E153=1,$E153=4),AV153,AU153),
IF($D153="Pénétro.",
IF(OR($E153=3,$E153=1,$E153=4),AV153,AU153))),IF($D153="Pressio.",
IF($E153=3,AV153,AU153),
IF($D153="Pénétro.",
IF($E153=4,AV153,AU153))))</f>
        <v>#N/A</v>
      </c>
      <c r="AX153" s="31" t="e">
        <f>(IF(OR(Hypothèses!$B$4=17,Hypothèses!$B$4=18,Hypothèses!$B$4=19,Hypothèses!$B$4=20),
IF($D153="Pressio.",
IF(OR($E153=3,$E153=1,$E153=4),(PI()*AX$12^2)/4*(AT153*$W153*1000)/($H153*$B$5),(PI()*AX$12^2)/4*(AT153*$W153*1000)/($G153*$B$5)),
IF($D153="Pénétro.",
IF(OR($E153=4,$E153=1,$E153=5),(PI()*AX$12^2)/4*(AT153*$W153*1000)/($H153*$B$5),(PI()*AX$12^2)/4*(AT153*$W153*1000)/($G153*$B$5)))),
IF($D153="Pressio.",
IF($E153=3,(PI()*AX$12^2)/4*(AT153*$W153*1000)/($H153*$B$5),(PI()*AX$12^2)/4*(AT153*$W153*1000)/($G153*$B$5)),
IF($D153="Pénétro.",
IF($E153=4,(PI()*AX$12^2)/4*(AT153*$W153*1000)/($H153*$B$5),(PI()*AX$12^2)/4*(AT153*$W153*1000)/($G153*$B$5))))))/10</f>
        <v>#N/A</v>
      </c>
      <c r="AY153" s="102" t="e">
        <f>(VLOOKUP($B$3,'Coeff EC7'!$T$39:$X$59,2,0)*AW153+VLOOKUP($B$3,'Coeff EC7'!$T$65:$X$85,2,0)*Model0.1C!AX153)/1.1</f>
        <v>#N/A</v>
      </c>
      <c r="AZ153" s="102" t="e">
        <f>(VLOOKUP($B$3,'Coeff EC7'!$T$39:$X$59,3,0)*AW153+VLOOKUP($B$3,'Coeff EC7'!$T$65:$X$85,3,0)*Model0.1C!AX153)/0.9</f>
        <v>#N/A</v>
      </c>
      <c r="BA153" s="102" t="e">
        <f t="shared" si="273"/>
        <v>#N/A</v>
      </c>
      <c r="BB153" s="102" t="e">
        <f t="shared" si="274"/>
        <v>#N/A</v>
      </c>
      <c r="BC153" s="414" t="e">
        <f>IF(BC152=0,0,IF(AND(AY153&gt;charge_ELS_quasi,AZ153&gt;Charge_ELS_freq,BA153&gt;charge_ELU,BB153&gt;charge_ELA,$B153&gt;NDC!$H$22-0.1+MIN(3*$BC$12,1.5)),0,1))</f>
        <v>#N/A</v>
      </c>
      <c r="BD153" s="86" t="b">
        <f t="shared" si="244"/>
        <v>0</v>
      </c>
      <c r="BE153" s="86">
        <f t="shared" si="275"/>
        <v>0.5</v>
      </c>
      <c r="BF153" s="86">
        <f t="shared" si="245"/>
        <v>0.5</v>
      </c>
      <c r="BG153" s="30" t="e">
        <f t="shared" ca="1" si="276"/>
        <v>#DIV/0!</v>
      </c>
      <c r="BH153" s="85" t="e">
        <f ca="1">IF(AN153&lt;=Hypothèses!$V$7,Hypothèses!$W$7,IF(AN153&lt;=Hypothèses!$V$8,Hypothèses!$W$8,IF(AN153&lt;=Hypothèses!$V$9,Hypothèses!$W$9,IF(AN153&lt;=Hypothèses!$V$10,Hypothèses!$W$10,IF(AN153&lt;=Hypothèses!$V$11,Hypothèses!$W$11,IF(AN153&lt;=Hypothèses!$V$12,Hypothèses!$W$12,IF(AN153&lt;=Hypothèses!$V$13,Hypothèses!$W$13,IF(AN153&lt;=Hypothèses!$V$14,Hypothèses!$W$14,IF(AN153&lt;=Hypothèses!$V$15,Hypothèses!$W$15,IF(AN153&lt;=Hypothèses!$V$16,Hypothèses!$W$16,IF(AN153&lt;=Hypothèses!$V$17,Hypothèses!$W$17,IF(AN153&lt;=Hypothèses!$V$18,Hypothèses!$W$18,""))))))))))))</f>
        <v>#DIV/0!</v>
      </c>
      <c r="BI153" s="87" t="e">
        <f t="shared" ca="1" si="318"/>
        <v>#DIV/0!</v>
      </c>
      <c r="BJ153" s="88" t="e">
        <f ca="1">IF(AN153&lt;=Hypothèses!$V$7,Hypothèses!$X$7,IF(AN153&lt;=Hypothèses!$V$8,Hypothèses!$X$8,IF(AN153&lt;=Hypothèses!$V$9,Hypothèses!$X$9,IF(AN153&lt;=Hypothèses!$V$10,Hypothèses!$X$10,IF(AN153&lt;=Hypothèses!$V$11,Hypothèses!$X$11,IF(AN153&lt;=Hypothèses!$V$12,Hypothèses!$X$12,IF(AN153&lt;=Hypothèses!$V$13,Hypothèses!$X$13,IF(AN153&lt;=Hypothèses!$V$14,Hypothèses!$X$14,IF(AN153&lt;=Hypothèses!$V$15,Hypothèses!$X$15,IF(AN153&lt;=Hypothèses!$V$16,Hypothèses!$X$16,IF(AN153&lt;=Hypothèses!$U$17,Hypothèses!$W$17,IF(AN153&lt;=Hypothèses!$U$18,Hypothèses!$W$18,""))))))))))))</f>
        <v>#DIV/0!</v>
      </c>
      <c r="BK153" s="95" t="e">
        <f t="shared" ca="1" si="277"/>
        <v>#DIV/0!</v>
      </c>
      <c r="BL153" s="101" t="e">
        <f t="shared" si="325"/>
        <v>#N/A</v>
      </c>
      <c r="BM153" s="91" t="e">
        <f t="shared" si="246"/>
        <v>#N/A</v>
      </c>
      <c r="BN153" s="30" t="e">
        <f t="shared" si="304"/>
        <v>#N/A</v>
      </c>
      <c r="BO153" s="30" t="e">
        <f t="shared" si="305"/>
        <v>#N/A</v>
      </c>
      <c r="BP153" s="31" t="e">
        <f>IF(OR(Hypothèses!$B$4=17,Hypothèses!$B$4=18,Hypothèses!$B$4=19,Hypothèses!$B$4=20),
IF($D153="Pressio.",
IF(OR($E153=3,$E153=1,$E153=4),BO153,BN153),
IF($D153="Pénétro.",
IF(OR($E153=3,$E153=1,$E153=4),BO153,BN153))),IF($D153="Pressio.",
IF($E153=3,BO153,BN153),
IF($D153="Pénétro.",
IF($E153=4,BO153,BN153))))</f>
        <v>#N/A</v>
      </c>
      <c r="BQ153" s="31" t="e">
        <f>(IF(OR(Hypothèses!$B$4=17,Hypothèses!$B$4=18,Hypothèses!$B$4=19,Hypothèses!$B$4=20),
IF($D153="Pressio.",
IF(OR($E153=3,$E153=1,$E153=4),(PI()*BQ$12^2)/4*(BM153*$W153*1000)/($H153*$B$5),(PI()*BQ$12^2)/4*(BM153*$W153*1000)/($G153*$B$5)),
IF($D153="Pénétro.",
IF(OR($E153=4,$E153=1,$E153=5),(PI()*BQ$12^2)/4*(BM153*$W153*1000)/($H153*$B$5),(PI()*BQ$12^2)/4*(BM153*$W153*1000)/($G153*$B$5)))),
IF($D153="Pressio.",
IF($E153=3,(PI()*BQ$12^2)/4*(BM153*$W153*1000)/($H153*$B$5),(PI()*BQ$12^2)/4*(BM153*$W153*1000)/($G153*$B$5)),
IF($D153="Pénétro.",
IF($E153=4,(PI()*BQ$12^2)/4*(BM153*$W153*1000)/($H153*$B$5),(PI()*BQ$12^2)/4*(BM153*$W153*1000)/($G153*$B$5))))))/10</f>
        <v>#N/A</v>
      </c>
      <c r="BR153" s="102" t="e">
        <f>(VLOOKUP($B$3,'Coeff EC7'!$T$39:$X$59,2,0)*BP153+VLOOKUP($B$3,'Coeff EC7'!$T$65:$X$85,2,0)*Model0.1C!BQ153)/1.1</f>
        <v>#N/A</v>
      </c>
      <c r="BS153" s="102" t="e">
        <f>(VLOOKUP($B$3,'Coeff EC7'!$T$39:$X$59,3,0)*BP153+VLOOKUP($B$3,'Coeff EC7'!$T$65:$X$85,3,0)*Model0.1C!BQ153)/0.9</f>
        <v>#N/A</v>
      </c>
      <c r="BT153" s="102" t="e">
        <f t="shared" si="278"/>
        <v>#N/A</v>
      </c>
      <c r="BU153" s="102" t="e">
        <f t="shared" si="279"/>
        <v>#N/A</v>
      </c>
      <c r="BV153" s="414" t="e">
        <f>IF(BV152=0,0,IF(AND(BR153&gt;charge_ELS_quasi,BS153&gt;Charge_ELS_freq,BT153&gt;charge_ELU,BU153&gt;charge_ELA,$B153&gt;NDC!$H$22-0.1+MIN(3*$BV$12,1.5)),0,1))</f>
        <v>#N/A</v>
      </c>
      <c r="BW153" s="86" t="b">
        <f t="shared" si="247"/>
        <v>0</v>
      </c>
      <c r="BX153" s="86">
        <f t="shared" si="248"/>
        <v>0.5</v>
      </c>
      <c r="BY153" s="86">
        <f t="shared" si="249"/>
        <v>0.5</v>
      </c>
      <c r="BZ153" s="30" t="e">
        <f t="shared" ca="1" si="280"/>
        <v>#DIV/0!</v>
      </c>
      <c r="CA153" s="85" t="e">
        <f ca="1">IF(BG153&lt;=Hypothèses!$V$7,Hypothèses!$W$7,IF(BG153&lt;=Hypothèses!$V$8,Hypothèses!$W$8,IF(BG153&lt;=Hypothèses!$V$9,Hypothèses!$W$9,IF(BG153&lt;=Hypothèses!$V$10,Hypothèses!$W$10,IF(BG153&lt;=Hypothèses!$V$11,Hypothèses!$W$11,IF(BG153&lt;=Hypothèses!$V$12,Hypothèses!$W$12,IF(BG153&lt;=Hypothèses!$V$13,Hypothèses!$W$13,IF(BG153&lt;=Hypothèses!$V$14,Hypothèses!$W$14,IF(BG153&lt;=Hypothèses!$V$15,Hypothèses!$W$15,IF(BG153&lt;=Hypothèses!$V$16,Hypothèses!$W$16,IF(BG153&lt;=Hypothèses!$V$17,Hypothèses!$W$17,IF(BG153&lt;=Hypothèses!$V$18,Hypothèses!$W$18,""))))))))))))</f>
        <v>#DIV/0!</v>
      </c>
      <c r="CB153" s="87" t="e">
        <f t="shared" ca="1" si="319"/>
        <v>#DIV/0!</v>
      </c>
      <c r="CC153" s="88" t="e">
        <f ca="1">IF(BG153&lt;=Hypothèses!$V$7,Hypothèses!$X$7,IF(BG153&lt;=Hypothèses!$V$8,Hypothèses!$X$8,IF(BG153&lt;=Hypothèses!$V$9,Hypothèses!$X$9,IF(BG153&lt;=Hypothèses!$V$10,Hypothèses!$X$10,IF(BG153&lt;=Hypothèses!$V$11,Hypothèses!$X$11,IF(BG153&lt;=Hypothèses!$V$12,Hypothèses!$X$12,IF(BG153&lt;=Hypothèses!$V$13,Hypothèses!$X$13,IF(BG153&lt;=Hypothèses!$V$14,Hypothèses!$X$14,IF(BG153&lt;=Hypothèses!$V$15,Hypothèses!$X$15,IF(BG153&lt;=Hypothèses!$V$16,Hypothèses!$X$16,IF(BG153&lt;=Hypothèses!$U$17,Hypothèses!$W$17,IF(BG153&lt;=Hypothèses!$U$18,Hypothèses!$W$18,""))))))))))))</f>
        <v>#DIV/0!</v>
      </c>
      <c r="CD153" s="95" t="e">
        <f t="shared" ca="1" si="281"/>
        <v>#DIV/0!</v>
      </c>
      <c r="CE153" s="101" t="e">
        <f t="shared" si="326"/>
        <v>#N/A</v>
      </c>
      <c r="CF153" s="91" t="e">
        <f t="shared" si="250"/>
        <v>#N/A</v>
      </c>
      <c r="CG153" s="30" t="e">
        <f t="shared" si="306"/>
        <v>#N/A</v>
      </c>
      <c r="CH153" s="30" t="e">
        <f t="shared" si="307"/>
        <v>#N/A</v>
      </c>
      <c r="CI153" s="31" t="e">
        <f>IF(OR(Hypothèses!$B$4=17,Hypothèses!$B$4=18,Hypothèses!$B$4=19,Hypothèses!$B$4=20),
IF($D153="Pressio.",
IF(OR($E153=3,$E153=1,$E153=4),CH153,CG153),
IF($D153="Pénétro.",
IF(OR($E153=3,$E153=1,$E153=4),CH153,CG153))),IF($D153="Pressio.",
IF($E153=3,CH153,CG153),
IF($D153="Pénétro.",
IF($E153=4,CH153,CG153))))</f>
        <v>#N/A</v>
      </c>
      <c r="CJ153" s="31" t="e">
        <f>(IF(OR(Hypothèses!$B$4=17,Hypothèses!$B$4=18,Hypothèses!$B$4=19,Hypothèses!$B$4=20),
IF($D153="Pressio.",
IF(OR($E153=3,$E153=1,$E153=4),(PI()*CJ$12^2)/4*(CF153*$W153*1000)/($H153*$B$5),(PI()*CJ$12^2)/4*(CF153*$W153*1000)/($G153*$B$5)),
IF($D153="Pénétro.",
IF(OR($E153=4,$E153=1,$E153=5),(PI()*CJ$12^2)/4*(CF153*$W153*1000)/($H153*$B$5),(PI()*CJ$12^2)/4*(CF153*$W153*1000)/($G153*$B$5)))),
IF($D153="Pressio.",
IF($E153=3,(PI()*CJ$12^2)/4*(CF153*$W153*1000)/($H153*$B$5),(PI()*CJ$12^2)/4*(CF153*$W153*1000)/($G153*$B$5)),
IF($D153="Pénétro.",
IF($E153=4,(PI()*CJ$12^2)/4*(CF153*$W153*1000)/($H153*$B$5),(PI()*CJ$12^2)/4*(CF153*$W153*1000)/($G153*$B$5))))))/10</f>
        <v>#N/A</v>
      </c>
      <c r="CK153" s="102" t="e">
        <f>(VLOOKUP($B$3,'Coeff EC7'!$T$39:$X$59,2,0)*CI153+VLOOKUP($B$3,'Coeff EC7'!$T$65:$X$85,2,0)*Model0.1C!CJ153)/1.1</f>
        <v>#N/A</v>
      </c>
      <c r="CL153" s="102" t="e">
        <f>(VLOOKUP($B$3,'Coeff EC7'!$T$39:$X$59,3,0)*CI153+VLOOKUP($B$3,'Coeff EC7'!$T$65:$X$85,3,0)*Model0.1C!CJ153)/0.9</f>
        <v>#N/A</v>
      </c>
      <c r="CM153" s="102" t="e">
        <f t="shared" si="282"/>
        <v>#N/A</v>
      </c>
      <c r="CN153" s="102" t="e">
        <f t="shared" si="283"/>
        <v>#N/A</v>
      </c>
      <c r="CO153" s="414" t="e">
        <f>IF(CO152=0,0,IF(AND(CK153&gt;charge_ELS_quasi,CL153&gt;Charge_ELS_freq,CM153&gt;charge_ELU,CN153&gt;charge_ELA,$B153&gt;NDC!$H$22-0.1+MIN(3*$CO$12,1.5)),0,1))</f>
        <v>#N/A</v>
      </c>
      <c r="CP153" s="86" t="b">
        <f t="shared" si="251"/>
        <v>0</v>
      </c>
      <c r="CQ153" s="86">
        <f t="shared" si="252"/>
        <v>0.5</v>
      </c>
      <c r="CR153" s="86">
        <f t="shared" si="253"/>
        <v>0.5</v>
      </c>
      <c r="CS153" s="30" t="e">
        <f t="shared" ca="1" si="284"/>
        <v>#DIV/0!</v>
      </c>
      <c r="CT153" s="85" t="e">
        <f ca="1">IF(BZ153&lt;=Hypothèses!$V$7,Hypothèses!$W$7,IF(BZ153&lt;=Hypothèses!$V$8,Hypothèses!$W$8,IF(BZ153&lt;=Hypothèses!$V$9,Hypothèses!$W$9,IF(BZ153&lt;=Hypothèses!$V$10,Hypothèses!$W$10,IF(BZ153&lt;=Hypothèses!$V$11,Hypothèses!$W$11,IF(BZ153&lt;=Hypothèses!$V$12,Hypothèses!$W$12,IF(BZ153&lt;=Hypothèses!$V$13,Hypothèses!$W$13,IF(BZ153&lt;=Hypothèses!$V$14,Hypothèses!$W$14,IF(BZ153&lt;=Hypothèses!$V$15,Hypothèses!$W$15,IF(BZ153&lt;=Hypothèses!$V$16,Hypothèses!$W$16,IF(BZ153&lt;=Hypothèses!$V$17,Hypothèses!$W$17,IF(BZ153&lt;=Hypothèses!$V$18,Hypothèses!$W$18,""))))))))))))</f>
        <v>#DIV/0!</v>
      </c>
      <c r="CU153" s="87" t="e">
        <f t="shared" ca="1" si="320"/>
        <v>#DIV/0!</v>
      </c>
      <c r="CV153" s="88" t="e">
        <f ca="1">IF(BZ153&lt;=Hypothèses!$V$7,Hypothèses!$X$7,IF(BZ153&lt;=Hypothèses!$V$8,Hypothèses!$X$8,IF(BZ153&lt;=Hypothèses!$V$9,Hypothèses!$X$9,IF(BZ153&lt;=Hypothèses!$V$10,Hypothèses!$X$10,IF(BZ153&lt;=Hypothèses!$V$11,Hypothèses!$X$11,IF(BZ153&lt;=Hypothèses!$V$12,Hypothèses!$X$12,IF(BZ153&lt;=Hypothèses!$V$13,Hypothèses!$X$13,IF(BZ153&lt;=Hypothèses!$V$14,Hypothèses!$X$14,IF(BZ153&lt;=Hypothèses!$V$15,Hypothèses!$X$15,IF(BZ153&lt;=Hypothèses!$V$16,Hypothèses!$X$16,IF(BZ153&lt;=Hypothèses!$U$17,Hypothèses!$W$17,IF(BZ153&lt;=Hypothèses!$U$18,Hypothèses!$W$18,""))))))))))))</f>
        <v>#DIV/0!</v>
      </c>
      <c r="CW153" s="95" t="e">
        <f t="shared" ca="1" si="285"/>
        <v>#DIV/0!</v>
      </c>
      <c r="CX153" s="101" t="e">
        <f t="shared" si="327"/>
        <v>#N/A</v>
      </c>
      <c r="CY153" s="91" t="e">
        <f t="shared" si="254"/>
        <v>#N/A</v>
      </c>
      <c r="CZ153" s="30" t="e">
        <f t="shared" si="308"/>
        <v>#N/A</v>
      </c>
      <c r="DA153" s="30" t="e">
        <f t="shared" si="309"/>
        <v>#N/A</v>
      </c>
      <c r="DB153" s="31" t="e">
        <f>IF(OR(Hypothèses!$B$4=17,Hypothèses!$B$4=18,Hypothèses!$B$4=19,Hypothèses!$B$4=20),
IF($D153="Pressio.",
IF(OR($E153=3,$E153=1,$E153=4),DA153,CZ153),
IF($D153="Pénétro.",
IF(OR($E153=3,$E153=1,$E153=4),DA153,CZ153))),IF($D153="Pressio.",
IF($E153=3,DA153,CZ153),
IF($D153="Pénétro.",
IF($E153=4,DA153,CZ153))))</f>
        <v>#N/A</v>
      </c>
      <c r="DC153" s="31" t="e">
        <f>(IF(OR(Hypothèses!$B$4=17,Hypothèses!$B$4=18,Hypothèses!$B$4=19,Hypothèses!$B$4=20),
IF($D153="Pressio.",
IF(OR($E153=3,$E153=1,$E153=4),(PI()*DC$12^2)/4*(CY153*$W153*1000)/($H153*$B$5),(PI()*DC$12^2)/4*(CY153*$W153*1000)/($G153*$B$5)),
IF($D153="Pénétro.",
IF(OR($E153=4,$E153=1,$E153=5),(PI()*DC$12^2)/4*(CY153*$W153*1000)/($H153*$B$5),(PI()*DC$12^2)/4*(CY153*$W153*1000)/($G153*$B$5)))),
IF($D153="Pressio.",
IF($E153=3,(PI()*DC$12^2)/4*(CY153*$W153*1000)/($H153*$B$5),(PI()*DC$12^2)/4*(CY153*$W153*1000)/($G153*$B$5)),
IF($D153="Pénétro.",
IF($E153=4,(PI()*DC$12^2)/4*(CY153*$W153*1000)/($H153*$B$5),(PI()*DC$12^2)/4*(CY153*$W153*1000)/($G153*$B$5))))))/10</f>
        <v>#N/A</v>
      </c>
      <c r="DD153" s="102" t="e">
        <f>(VLOOKUP($B$3,'Coeff EC7'!$T$39:$X$59,2,0)*DB153+VLOOKUP($B$3,'Coeff EC7'!$T$65:$X$85,2,0)*Model0.1C!DC153)/1.1</f>
        <v>#N/A</v>
      </c>
      <c r="DE153" s="102" t="e">
        <f>(VLOOKUP($B$3,'Coeff EC7'!$T$39:$X$59,3,0)*DB153+VLOOKUP($B$3,'Coeff EC7'!$T$65:$X$85,3,0)*Model0.1C!DC153)/0.9</f>
        <v>#N/A</v>
      </c>
      <c r="DF153" s="102" t="e">
        <f t="shared" si="286"/>
        <v>#N/A</v>
      </c>
      <c r="DG153" s="102" t="e">
        <f t="shared" si="287"/>
        <v>#N/A</v>
      </c>
      <c r="DH153" s="414" t="e">
        <f>IF(DH152=0,0,IF(AND(DD153&gt;charge_ELS_quasi,DE153&gt;Charge_ELS_freq,DF153&gt;charge_ELU,DG153&gt;charge_ELA,$B153&gt;NDC!$H$22-0.1+MIN(3*$DH$12,1.5)),0,1))</f>
        <v>#N/A</v>
      </c>
      <c r="DI153" s="86" t="b">
        <f t="shared" si="255"/>
        <v>0</v>
      </c>
      <c r="DJ153" s="86">
        <f t="shared" si="256"/>
        <v>0.5</v>
      </c>
      <c r="DK153" s="86">
        <f t="shared" si="257"/>
        <v>0.5</v>
      </c>
      <c r="DL153" s="30" t="e">
        <f t="shared" ca="1" si="288"/>
        <v>#DIV/0!</v>
      </c>
      <c r="DM153" s="85" t="e">
        <f ca="1">IF(CS153&lt;=Hypothèses!$V$7,Hypothèses!$W$7,IF(CS153&lt;=Hypothèses!$V$8,Hypothèses!$W$8,IF(CS153&lt;=Hypothèses!$V$9,Hypothèses!$W$9,IF(CS153&lt;=Hypothèses!$V$10,Hypothèses!$W$10,IF(CS153&lt;=Hypothèses!$V$11,Hypothèses!$W$11,IF(CS153&lt;=Hypothèses!$V$12,Hypothèses!$W$12,IF(CS153&lt;=Hypothèses!$V$13,Hypothèses!$W$13,IF(CS153&lt;=Hypothèses!$V$14,Hypothèses!$W$14,IF(CS153&lt;=Hypothèses!$V$15,Hypothèses!$W$15,IF(CS153&lt;=Hypothèses!$V$16,Hypothèses!$W$16,IF(CS153&lt;=Hypothèses!$V$17,Hypothèses!$W$17,IF(CS153&lt;=Hypothèses!$V$18,Hypothèses!$W$18,""))))))))))))</f>
        <v>#DIV/0!</v>
      </c>
      <c r="DN153" s="87" t="e">
        <f t="shared" ca="1" si="321"/>
        <v>#DIV/0!</v>
      </c>
      <c r="DO153" s="88" t="e">
        <f ca="1">IF(CS153&lt;=Hypothèses!$V$7,Hypothèses!$X$7,IF(CS153&lt;=Hypothèses!$V$8,Hypothèses!$X$8,IF(CS153&lt;=Hypothèses!$V$9,Hypothèses!$X$9,IF(CS153&lt;=Hypothèses!$V$10,Hypothèses!$X$10,IF(CS153&lt;=Hypothèses!$V$11,Hypothèses!$X$11,IF(CS153&lt;=Hypothèses!$V$12,Hypothèses!$X$12,IF(CS153&lt;=Hypothèses!$V$13,Hypothèses!$X$13,IF(CS153&lt;=Hypothèses!$V$14,Hypothèses!$X$14,IF(CS153&lt;=Hypothèses!$V$15,Hypothèses!$X$15,IF(CS153&lt;=Hypothèses!$V$16,Hypothèses!$X$16,IF(CS153&lt;=Hypothèses!$U$17,Hypothèses!$W$17,IF(CS153&lt;=Hypothèses!$U$18,Hypothèses!$W$18,""))))))))))))</f>
        <v>#DIV/0!</v>
      </c>
      <c r="DP153" s="95" t="e">
        <f t="shared" ca="1" si="289"/>
        <v>#DIV/0!</v>
      </c>
      <c r="DQ153" s="101" t="e">
        <f t="shared" si="328"/>
        <v>#N/A</v>
      </c>
      <c r="DR153" s="91" t="e">
        <f t="shared" si="258"/>
        <v>#N/A</v>
      </c>
      <c r="DS153" s="30" t="e">
        <f t="shared" si="310"/>
        <v>#N/A</v>
      </c>
      <c r="DT153" s="30" t="e">
        <f t="shared" si="311"/>
        <v>#N/A</v>
      </c>
      <c r="DU153" s="31" t="e">
        <f>IF(OR(Hypothèses!$B$4=17,Hypothèses!$B$4=18,Hypothèses!$B$4=19,Hypothèses!$B$4=20),
IF($D153="Pressio.",
IF(OR($E153=3,$E153=1,$E153=4),DT153,DS153),
IF($D153="Pénétro.",
IF(OR($E153=3,$E153=1,$E153=4),DT153,DS153))),IF($D153="Pressio.",
IF($E153=3,DT153,DS153),
IF($D153="Pénétro.",
IF($E153=4,DT153,DS153))))</f>
        <v>#N/A</v>
      </c>
      <c r="DV153" s="31" t="e">
        <f>(IF(OR(Hypothèses!$B$4=17,Hypothèses!$B$4=18,Hypothèses!$B$4=19,Hypothèses!$B$4=20),
IF($D153="Pressio.",
IF(OR($E153=3,$E153=1,$E153=4),(PI()*DV$12^2)/4*(DR153*$W153*1000)/($H153*$B$5),(PI()*DV$12^2)/4*(DR153*$W153*1000)/($G153*$B$5)),
IF($D153="Pénétro.",
IF(OR($E153=4,$E153=1,$E153=5),(PI()*DV$12^2)/4*(DR153*$W153*1000)/($H153*$B$5),(PI()*DV$12^2)/4*(DR153*$W153*1000)/($G153*$B$5)))),
IF($D153="Pressio.",
IF($E153=3,(PI()*DV$12^2)/4*(DR153*$W153*1000)/($H153*$B$5),(PI()*DV$12^2)/4*(DR153*$W153*1000)/($G153*$B$5)),
IF($D153="Pénétro.",
IF($E153=4,(PI()*DV$12^2)/4*(DR153*$W153*1000)/($H153*$B$5),(PI()*DV$12^2)/4*(DR153*$W153*1000)/($G153*$B$5))))))/10</f>
        <v>#N/A</v>
      </c>
      <c r="DW153" s="102" t="e">
        <f>(VLOOKUP($B$3,'Coeff EC7'!$T$39:$X$59,2,0)*DU153+VLOOKUP($B$3,'Coeff EC7'!$T$65:$X$85,2,0)*Model0.1C!DV153)/1.1</f>
        <v>#N/A</v>
      </c>
      <c r="DX153" s="102" t="e">
        <f>(VLOOKUP($B$3,'Coeff EC7'!$T$39:$X$59,3,0)*DU153+VLOOKUP($B$3,'Coeff EC7'!$T$65:$X$85,3,0)*Model0.1C!DV153)/0.9</f>
        <v>#N/A</v>
      </c>
      <c r="DY153" s="102" t="e">
        <f t="shared" si="290"/>
        <v>#N/A</v>
      </c>
      <c r="DZ153" s="102" t="e">
        <f t="shared" si="291"/>
        <v>#N/A</v>
      </c>
      <c r="EA153" s="414" t="e">
        <f>IF(EA152=0,0,IF(AND(DW153&gt;charge_ELS_quasi,DX153&gt;Charge_ELS_freq,DY153&gt;charge_ELU,DZ153&gt;charge_ELA,$B153&gt;NDC!$H$22-0.1+MIN(3*$EA$12,1.5)),0,1))</f>
        <v>#N/A</v>
      </c>
      <c r="EB153" s="86" t="b">
        <f t="shared" si="259"/>
        <v>0</v>
      </c>
      <c r="EC153" s="418">
        <f t="shared" si="260"/>
        <v>0.51</v>
      </c>
      <c r="ED153" s="86">
        <f t="shared" si="261"/>
        <v>0.51</v>
      </c>
      <c r="EE153" s="30" t="e">
        <f t="shared" ca="1" si="292"/>
        <v>#DIV/0!</v>
      </c>
      <c r="EF153" s="85" t="e">
        <f ca="1">IF(DL153&lt;=Hypothèses!$V$7,Hypothèses!$W$7,IF(DL153&lt;=Hypothèses!$V$8,Hypothèses!$W$8,IF(DL153&lt;=Hypothèses!$V$9,Hypothèses!$W$9,IF(DL153&lt;=Hypothèses!$V$10,Hypothèses!$W$10,IF(DL153&lt;=Hypothèses!$V$11,Hypothèses!$W$11,IF(DL153&lt;=Hypothèses!$V$12,Hypothèses!$W$12,IF(DL153&lt;=Hypothèses!$V$13,Hypothèses!$W$13,IF(DL153&lt;=Hypothèses!$V$14,Hypothèses!$W$14,IF(DL153&lt;=Hypothèses!$V$15,Hypothèses!$W$15,IF(DL153&lt;=Hypothèses!$V$16,Hypothèses!$W$16,IF(DL153&lt;=Hypothèses!$V$17,Hypothèses!$W$17,IF(DL153&lt;=Hypothèses!$V$18,Hypothèses!$W$18,""))))))))))))</f>
        <v>#DIV/0!</v>
      </c>
      <c r="EG153" s="87" t="e">
        <f t="shared" ca="1" si="322"/>
        <v>#DIV/0!</v>
      </c>
      <c r="EH153" s="88" t="e">
        <f ca="1">IF(DL153&lt;=Hypothèses!$V$7,Hypothèses!$X$7,IF(DL153&lt;=Hypothèses!$V$8,Hypothèses!$X$8,IF(DL153&lt;=Hypothèses!$V$9,Hypothèses!$X$9,IF(DL153&lt;=Hypothèses!$V$10,Hypothèses!$X$10,IF(DL153&lt;=Hypothèses!$V$11,Hypothèses!$X$11,IF(DL153&lt;=Hypothèses!$V$12,Hypothèses!$X$12,IF(DL153&lt;=Hypothèses!$V$13,Hypothèses!$X$13,IF(DL153&lt;=Hypothèses!$V$14,Hypothèses!$X$14,IF(DL153&lt;=Hypothèses!$V$15,Hypothèses!$X$15,IF(DL153&lt;=Hypothèses!$V$16,Hypothèses!$X$16,IF(DL153&lt;=Hypothèses!$U$17,Hypothèses!$W$17,IF(DL153&lt;=Hypothèses!$U$18,Hypothèses!$W$18,""))))))))))))</f>
        <v>#DIV/0!</v>
      </c>
      <c r="EI153" s="95" t="e">
        <f t="shared" ca="1" si="293"/>
        <v>#DIV/0!</v>
      </c>
      <c r="EJ153" s="101" t="e">
        <f t="shared" si="329"/>
        <v>#N/A</v>
      </c>
      <c r="EK153" s="91" t="e">
        <f t="shared" si="262"/>
        <v>#N/A</v>
      </c>
      <c r="EL153" s="30" t="e">
        <f t="shared" si="312"/>
        <v>#N/A</v>
      </c>
      <c r="EM153" s="30" t="e">
        <f t="shared" si="313"/>
        <v>#N/A</v>
      </c>
      <c r="EN153" s="31" t="e">
        <f>IF(OR(Hypothèses!$B$4=17,Hypothèses!$B$4=18,Hypothèses!$B$4=19,Hypothèses!$B$4=20),
IF($D153="Pressio.",
IF(OR($E153=3,$E153=1,$E153=4),EM153,EL153),
IF($D153="Pénétro.",
IF(OR($E153=3,$E153=1,$E153=4),EM153,EL153))),IF($D153="Pressio.",
IF($E153=3,EM153,EL153),
IF($D153="Pénétro.",
IF($E153=4,EM153,EL153))))</f>
        <v>#N/A</v>
      </c>
      <c r="EO153" s="31" t="e">
        <f>(IF(OR(Hypothèses!$B$4=17,Hypothèses!$B$4=18,Hypothèses!$B$4=19,Hypothèses!$B$4=20),
IF($D153="Pressio.",
IF(OR($E153=3,$E153=1,$E153=4),(PI()*EO$12^2)/4*(EK153*$W153*1000)/($H153*$B$5),(PI()*EO$12^2)/4*(EK153*$W153*1000)/($G153*$B$5)),
IF($D153="Pénétro.",
IF(OR($E153=4,$E153=1,$E153=5),(PI()*EO$12^2)/4*(EK153*$W153*1000)/($H153*$B$5),(PI()*EO$12^2)/4*(EK153*$W153*1000)/($G153*$B$5)))),
IF($D153="Pressio.",
IF($E153=3,(PI()*EO$12^2)/4*(EK153*$W153*1000)/($H153*$B$5),(PI()*EO$12^2)/4*(EK153*$W153*1000)/($G153*$B$5)),
IF($D153="Pénétro.",
IF($E153=4,(PI()*EO$12^2)/4*(EK153*$W153*1000)/($H153*$B$5),(PI()*EO$12^2)/4*(EK153*$W153*1000)/($G153*$B$5))))))/10</f>
        <v>#N/A</v>
      </c>
      <c r="EP153" s="102" t="e">
        <f>(VLOOKUP($B$3,'Coeff EC7'!$T$39:$X$59,2,0)*EN153+VLOOKUP($B$3,'Coeff EC7'!$T$65:$X$85,2,0)*Model0.1C!EO153)/1.1</f>
        <v>#N/A</v>
      </c>
      <c r="EQ153" s="102" t="e">
        <f>(VLOOKUP($B$3,'Coeff EC7'!$T$39:$X$59,3,0)*EN153+VLOOKUP($B$3,'Coeff EC7'!$T$65:$X$85,3,0)*Model0.1C!EO153)/0.9</f>
        <v>#N/A</v>
      </c>
      <c r="ER153" s="102" t="e">
        <f t="shared" si="294"/>
        <v>#N/A</v>
      </c>
      <c r="ES153" s="102" t="e">
        <f t="shared" si="295"/>
        <v>#N/A</v>
      </c>
      <c r="ET153" s="414" t="e">
        <f>IF(ET152=0,0,IF(AND(EP153&gt;charge_ELS_quasi,EQ153&gt;Charge_ELS_freq,ER153&gt;charge_ELU,ES153&gt;charge_ELA,$B153&gt;NDC!$H$22-0.1+MIN(3*$ET$12,1.5)),0,1))</f>
        <v>#N/A</v>
      </c>
      <c r="EU153" s="86" t="b">
        <f t="shared" si="263"/>
        <v>0</v>
      </c>
      <c r="EV153" s="86">
        <f t="shared" si="264"/>
        <v>0.61</v>
      </c>
      <c r="EW153" s="86">
        <f t="shared" si="265"/>
        <v>0.61</v>
      </c>
      <c r="EX153" s="30" t="e">
        <f t="shared" ca="1" si="296"/>
        <v>#DIV/0!</v>
      </c>
      <c r="EY153" s="85" t="e">
        <f ca="1">IF(EE153&lt;=Hypothèses!$V$7,Hypothèses!$W$7,IF(EE153&lt;=Hypothèses!$V$8,Hypothèses!$W$8,IF(EE153&lt;=Hypothèses!$V$9,Hypothèses!$W$9,IF(EE153&lt;=Hypothèses!$V$10,Hypothèses!$W$10,IF(EE153&lt;=Hypothèses!$V$11,Hypothèses!$W$11,IF(EE153&lt;=Hypothèses!$V$12,Hypothèses!$W$12,IF(EE153&lt;=Hypothèses!$V$13,Hypothèses!$W$13,IF(EE153&lt;=Hypothèses!$V$14,Hypothèses!$W$14,IF(EE153&lt;=Hypothèses!$V$15,Hypothèses!$W$15,IF(EE153&lt;=Hypothèses!$V$16,Hypothèses!$W$16,IF(EE153&lt;=Hypothèses!$V$17,Hypothèses!$W$17,IF(EE153&lt;=Hypothèses!$V$18,Hypothèses!$W$18,""))))))))))))</f>
        <v>#DIV/0!</v>
      </c>
      <c r="EZ153" s="87" t="e">
        <f t="shared" ca="1" si="323"/>
        <v>#DIV/0!</v>
      </c>
      <c r="FA153" s="88" t="e">
        <f ca="1">IF(EE153&lt;=Hypothèses!$V$7,Hypothèses!$X$7,IF(EE153&lt;=Hypothèses!$V$8,Hypothèses!$X$8,IF(EE153&lt;=Hypothèses!$V$9,Hypothèses!$X$9,IF(EE153&lt;=Hypothèses!$V$10,Hypothèses!$X$10,IF(EE153&lt;=Hypothèses!$V$11,Hypothèses!$X$11,IF(EE153&lt;=Hypothèses!$V$12,Hypothèses!$X$12,IF(EE153&lt;=Hypothèses!$V$13,Hypothèses!$X$13,IF(EE153&lt;=Hypothèses!$V$14,Hypothèses!$X$14,IF(EE153&lt;=Hypothèses!$V$15,Hypothèses!$X$15,IF(EE153&lt;=Hypothèses!$V$16,Hypothèses!$X$16,IF(EE153&lt;=Hypothèses!$U$17,Hypothèses!$W$17,IF(EE153&lt;=Hypothèses!$U$18,Hypothèses!$W$18,""))))))))))))</f>
        <v>#DIV/0!</v>
      </c>
      <c r="FB153" s="95" t="e">
        <f t="shared" ca="1" si="297"/>
        <v>#DIV/0!</v>
      </c>
      <c r="FC153" s="101" t="e">
        <f t="shared" si="330"/>
        <v>#N/A</v>
      </c>
      <c r="FD153" s="91" t="e">
        <f t="shared" si="266"/>
        <v>#N/A</v>
      </c>
      <c r="FE153" s="30" t="e">
        <f t="shared" si="314"/>
        <v>#N/A</v>
      </c>
      <c r="FF153" s="30" t="e">
        <f t="shared" si="315"/>
        <v>#N/A</v>
      </c>
      <c r="FG153" s="31" t="e">
        <f>IF(OR(Hypothèses!$B$4=17,Hypothèses!$B$4=18,Hypothèses!$B$4=19,Hypothèses!$B$4=20),
IF($D153="Pressio.",
IF(OR($E153=3,$E153=1,$E153=4),FF153,FE153),
IF($D153="Pénétro.",
IF(OR($E153=3,$E153=1,$E153=4),FF153,FE153))),IF($D153="Pressio.",
IF($E153=3,FF153,FE153),
IF($D153="Pénétro.",
IF($E153=4,FF153,FE153))))</f>
        <v>#N/A</v>
      </c>
      <c r="FH153" s="31" t="e">
        <f>(IF(OR(Hypothèses!$B$4=17,Hypothèses!$B$4=18,Hypothèses!$B$4=19,Hypothèses!$B$4=20),
IF($D153="Pressio.",
IF(OR($E153=3,$E153=1,$E153=4),(PI()*FH$12^2)/4*(FD153*$W153*1000)/($H153*$B$5),(PI()*FH$12^2)/4*(FD153*$W153*1000)/($G153*$B$5)),
IF($D153="Pénétro.",
IF(OR($E153=4,$E153=1,$E153=5),(PI()*FH$12^2)/4*(FD153*$W153*1000)/($H153*$B$5),(PI()*FH$12^2)/4*(FD153*$W153*1000)/($G153*$B$5)))),
IF($D153="Pressio.",
IF($E153=3,(PI()*FH$12^2)/4*(FD153*$W153*1000)/($H153*$B$5),(PI()*FH$12^2)/4*(FD153*$W153*1000)/($G153*$B$5)),
IF($D153="Pénétro.",
IF($E153=4,(PI()*FH$12^2)/4*(FD153*$W153*1000)/($H153*$B$5),(PI()*FH$12^2)/4*(FD153*$W153*1000)/($G153*$B$5))))))/10</f>
        <v>#N/A</v>
      </c>
      <c r="FI153" s="102" t="e">
        <f>(VLOOKUP($B$3,'Coeff EC7'!$T$39:$X$59,2,0)*FG153+VLOOKUP($B$3,'Coeff EC7'!$T$65:$X$85,2,0)*Model0.1C!FH153)/1.1</f>
        <v>#N/A</v>
      </c>
      <c r="FJ153" s="102" t="e">
        <f>(VLOOKUP($B$3,'Coeff EC7'!$T$39:$X$59,3,0)*FG153+VLOOKUP($B$3,'Coeff EC7'!$T$65:$X$85,3,0)*Model0.1C!FH153)/0.9</f>
        <v>#N/A</v>
      </c>
      <c r="FK153" s="102" t="e">
        <f t="shared" si="298"/>
        <v>#N/A</v>
      </c>
      <c r="FL153" s="102" t="e">
        <f t="shared" si="299"/>
        <v>#N/A</v>
      </c>
      <c r="FM153" s="414" t="e">
        <f>IF(FM152=0,0,IF(AND(FI153&gt;charge_ELS_quasi,FJ153&gt;Charge_ELS_freq,FK153&gt;charge_ELU,FL153&gt;charge_ELA,$B153&gt;NDC!$H$22-0.1+MIN(3*$FM$12,1.5)),0,1))</f>
        <v>#N/A</v>
      </c>
    </row>
    <row r="154" spans="1:169">
      <c r="A154" s="96">
        <f t="shared" si="267"/>
        <v>85.900000000000801</v>
      </c>
      <c r="B154" s="97">
        <v>14.1</v>
      </c>
      <c r="C154" s="81">
        <f>IF(B154&lt;=Hypothèses!$C$7,Hypothèses!$A$7,IF(B154&lt;=Hypothèses!$C$8,Hypothèses!$A$8,IF(B154&lt;=Hypothèses!$C$9,Hypothèses!$A$9,IF(B154&lt;=Hypothèses!$C$10,Hypothèses!$A$10,IF(B154&lt;=Hypothèses!$C$11,Hypothèses!$A$11,IF(B154&lt;=Hypothèses!$C$12,Hypothèses!$A$12,IF(B154&lt;=Hypothèses!$C$13,Hypothèses!$A$13,IF(B154&lt;=Hypothèses!$C$14,Hypothèses!$A$14,IF(B154&lt;=Hypothèses!$C$15,Hypothèses!$A$15,IF(B154&lt;=Hypothèses!$C$16,Hypothèses!$A$16,IF(B154&lt;=Hypothèses!$C$17,Hypothèses!$A$17,IF(B154&lt;=Hypothèses!$C$18,Hypothèses!$A$18,C153))))))))))))</f>
        <v>11</v>
      </c>
      <c r="D154" s="82" t="str">
        <f>IF(B154&lt;=Hypothèses!$C$7,Hypothèses!$R$7,IF(B154&lt;=Hypothèses!$C$8,Hypothèses!$R$8,IF(B154&lt;=Hypothèses!$C$9,Hypothèses!$R$9,IF(B154&lt;=Hypothèses!$C$10,Hypothèses!$R$10,IF(B154&lt;=Hypothèses!$C$11,Hypothèses!$R$11,IF(B154&lt;=Hypothèses!$C$12,Hypothèses!$R$12,IF(B154&lt;=Hypothèses!$C$13,Hypothèses!$R$13,IF(B154&lt;=Hypothèses!$C$14,Hypothèses!$R$14,IF(B154&lt;=Hypothèses!$C$15,Hypothèses!$R$15,IF(B154&lt;=Hypothèses!$C$16,Hypothèses!$R$16,IF(B154&lt;=Hypothèses!$C$17,Hypothèses!$R$17,IF(B154&lt;=Hypothèses!$C$18,Hypothèses!$R$18,D153))))))))))))</f>
        <v>Pressio.</v>
      </c>
      <c r="E154" s="82" t="e">
        <f>IF(B154&lt;=Hypothèses!$C$7,Hypothèses!$G$7,IF(B154&lt;=Hypothèses!$C$8,Hypothèses!$G$8,IF(B154&lt;=Hypothèses!$C$9,Hypothèses!$G$9,IF(B154&lt;=Hypothèses!$C$10,Hypothèses!$G$10,IF(B154&lt;=Hypothèses!$C$11,Hypothèses!$G$11,IF(B154&lt;=Hypothèses!$C$12,Hypothèses!$G$12,IF(B154&lt;=Hypothèses!$C$13,Hypothèses!$G$13,IF(B154&lt;=Hypothèses!$C$14,Hypothèses!$G$14,IF(B154&lt;=Hypothèses!$C$15,Hypothèses!$G$15,IF(B154&lt;=Hypothèses!$C$16,Hypothèses!$G$16,IF(B154&lt;=Hypothèses!$C$17,Hypothèses!$G$17,IF(B154&lt;=Hypothèses!$C$18,Hypothèses!$G$18,E153))))))))))))</f>
        <v>#N/A</v>
      </c>
      <c r="F154" s="82" t="str">
        <f>IF(B154&lt;=Hypothèses!$C$7,Hypothèses!$F$7,IF(B154&lt;=Hypothèses!$C$8,Hypothèses!$F$8,IF(B154&lt;=Hypothèses!$C$9,Hypothèses!$F$9,IF(B154&lt;=Hypothèses!$C$10,Hypothèses!$F$10,IF(B154&lt;=Hypothèses!$C$11,Hypothèses!$F$11,IF(B154&lt;=Hypothèses!$C$12,Hypothèses!$F$12,IF(B154&lt;=Hypothèses!$C$13,Hypothèses!$F$13,IF(B154&lt;=Hypothèses!$C$14,Hypothèses!$F$14,IF(B154&lt;=Hypothèses!$C$15,Hypothèses!$F$15,IF(B154&lt;=Hypothèses!$C$16,Hypothèses!$F$16,IF(B154&lt;=Hypothèses!$C$17,Hypothèses!$F$17,IF(B154&lt;=Hypothèses!$C$18,Hypothèses!$F$18,F153))))))))))))</f>
        <v/>
      </c>
      <c r="G154" s="91">
        <f t="array" ref="G154">INDEX('Coeff EC7'!$U$7:$X$27,
MATCH(Model0.1C!$B$3,'Coeff EC7'!$T$7:$T$27,0),
MATCH(Model0.1C!$D154&amp;Model0.1C!$B$4,
'Coeff EC7'!$U$6:$X$6&amp;
'Coeff EC7'!$U$5:$X$5,0))</f>
        <v>1.1499999999999999</v>
      </c>
      <c r="H154" s="91">
        <f t="array" ref="H154">INDEX('Coeff EC7'!$Y$7:$AB$27,
MATCH(Model0.1C!$B$3,'Coeff EC7'!$T$7:$T$27,0),
MATCH(Model0.1C!$D154&amp;Model0.1C!$B$4,
'Coeff EC7'!$Y$6:$AB$6&amp;
'Coeff EC7'!$Y$5:$AB$5,0))</f>
        <v>1.4</v>
      </c>
      <c r="I154" s="83" t="e">
        <f>IF(B154&lt;=Hypothèses!$C$7,Hypothèses!$P$7,IF(B154&lt;=Hypothèses!$C$8,Hypothèses!$P$8,IF(B154&lt;=Hypothèses!$C$9,Hypothèses!$P$9,IF(B154&lt;=Hypothèses!$C$10,Hypothèses!$P$10,IF(B154&lt;=Hypothèses!$C$11,Hypothèses!$P$11,IF(B154&lt;=Hypothèses!$C$12,Hypothèses!$P$12,IF(B154&lt;=Hypothèses!$C$13,Hypothèses!$P$13,IF(B154&lt;=Hypothèses!$C$14,Hypothèses!$P$14,IF(B154&lt;=Hypothèses!$C$15,Hypothèses!$P$15,IF(B154&lt;=Hypothèses!$C$16,Hypothèses!$P$16,IF(B154&lt;=Hypothèses!$C$17,Hypothèses!$P$17,IF(B154&lt;=Hypothèses!$C$18,Hypothèses!$P$18,I153))))))))))))</f>
        <v>#N/A</v>
      </c>
      <c r="J154" s="91" t="e">
        <f t="array" ref="J154">INDEX('Coeff EC7'!$D$33:$Q$33,1,MATCH(D154&amp;E154,'Coeff EC7'!$D$31:$Q$31&amp;'Coeff EC7'!$D$32:$Q$32,0))</f>
        <v>#N/A</v>
      </c>
      <c r="K154" s="91" t="e">
        <f t="array" ref="K154">INDEX('Coeff EC7'!$D$34:$Q$34,1,MATCH(D154&amp;E154,'Coeff EC7'!$D$31:$Q$31&amp;'Coeff EC7'!$D$32:$Q$32,0))</f>
        <v>#N/A</v>
      </c>
      <c r="L154" s="91" t="e">
        <f t="array" ref="L154">INDEX('Coeff EC7'!$D$35:$Q$35,1,MATCH(D154&amp;E154,'Coeff EC7'!$D$31:$Q$31&amp;'Coeff EC7'!$D$32:$Q$32,0))</f>
        <v>#N/A</v>
      </c>
      <c r="M154" s="98" t="e">
        <f t="shared" si="231"/>
        <v>#N/A</v>
      </c>
      <c r="N154" s="99" t="e">
        <f t="array" ref="N154">INDEX('Coeff EC7'!$D$7:$Q$27,MATCH($B$3,'Coeff EC7'!$C$7:$C$27,0),MATCH(D154&amp;E154,'Coeff EC7'!$D$5:$Q$5&amp;'Coeff EC7'!$D$6:$Q$6,0))</f>
        <v>#N/A</v>
      </c>
      <c r="O154" s="99" t="e">
        <f t="array" ref="O154">INDEX('Coeff EC7'!$D$41:$Q$61,MATCH($B$3,'Coeff EC7'!$C$41:$C$61,0),MATCH(D154&amp;E154,'Coeff EC7'!$D$39:$Q$39&amp;'Coeff EC7'!$D$40:$Q$40,0))</f>
        <v>#N/A</v>
      </c>
      <c r="P154" s="30" t="e">
        <f t="shared" si="268"/>
        <v>#N/A</v>
      </c>
      <c r="Q154" s="100" t="e">
        <f t="shared" si="233"/>
        <v>#N/A</v>
      </c>
      <c r="R154" s="86" t="b">
        <f t="shared" si="234"/>
        <v>0</v>
      </c>
      <c r="S154" s="86">
        <f t="shared" si="232"/>
        <v>0.5</v>
      </c>
      <c r="T154" s="86">
        <f t="shared" si="235"/>
        <v>0.5</v>
      </c>
      <c r="U154" s="30" t="e">
        <f t="shared" ca="1" si="269"/>
        <v>#DIV/0!</v>
      </c>
      <c r="V154" s="85" t="str">
        <f>IF(B154&lt;=Hypothèses!$V$7,Hypothèses!$W$7,IF(B154&lt;=Hypothèses!$V$8,Hypothèses!$W$8,IF(B154&lt;=Hypothèses!$V$9,Hypothèses!$W$9,IF(B154&lt;=Hypothèses!$V$10,Hypothèses!$W$10,IF(B154&lt;=Hypothèses!$V$11,Hypothèses!$W$11,IF(B154&lt;=Hypothèses!$V$12,Hypothèses!$W$12,IF(B154&lt;=Hypothèses!$V$13,Hypothèses!$W$13,IF(B154&lt;=Hypothèses!$V$14,Hypothèses!$W$14,IF(B154&lt;=Hypothèses!$V$15,Hypothèses!$W$15,IF(B154&lt;=Hypothèses!$V$16,Hypothèses!$W$16,IF(B154&lt;=Hypothèses!$V$17,Hypothèses!$W$17,IF(B154&lt;=Hypothèses!$V$18,Hypothèses!$W$18,""))))))))))))</f>
        <v/>
      </c>
      <c r="W154" s="87" t="e">
        <f t="shared" ca="1" si="316"/>
        <v>#DIV/0!</v>
      </c>
      <c r="X154" s="88" t="str">
        <f>IF(B154&lt;=Hypothèses!$V$7,Hypothèses!$X$7,IF(B154&lt;=Hypothèses!$V$8,Hypothèses!$X$8,IF(B154&lt;=Hypothèses!$V$9,Hypothèses!$X$9,IF(B154&lt;=Hypothèses!$V$10,Hypothèses!$X$10,IF(B154&lt;=Hypothèses!$V$11,Hypothèses!$X$11,IF(B154&lt;=Hypothèses!$V$12,Hypothèses!$X$12,IF(B154&lt;=Hypothèses!$V$13,Hypothèses!$X$13,IF(B154&lt;=Hypothèses!$V$14,Hypothèses!$X$14,IF(B154&lt;=Hypothèses!$V$15,Hypothèses!$X$15,IF(B154&lt;=Hypothèses!$V$16,Hypothèses!$X$16,IF(B154&lt;=Hypothèses!$U$17,Hypothèses!$W$17,IF(B154&lt;=Hypothèses!$U$18,Hypothèses!$W$18,""))))))))))))</f>
        <v/>
      </c>
      <c r="Y154" s="95" t="e">
        <f t="shared" ca="1" si="236"/>
        <v>#DIV/0!</v>
      </c>
      <c r="Z154" s="101" t="e">
        <f t="shared" si="237"/>
        <v>#N/A</v>
      </c>
      <c r="AA154" s="91" t="e">
        <f t="shared" si="238"/>
        <v>#N/A</v>
      </c>
      <c r="AB154" s="30" t="e">
        <f t="shared" si="300"/>
        <v>#N/A</v>
      </c>
      <c r="AC154" s="30" t="e">
        <f t="shared" si="301"/>
        <v>#N/A</v>
      </c>
      <c r="AD154" s="31" t="e">
        <f>IF(OR(Hypothèses!$B$4=17,Hypothèses!$B$4=18,Hypothèses!$B$4=19,Hypothèses!$B$4=20),
IF($D154="Pressio.",
IF(OR($E154=3,$E154=1,$E154=4),AC154,AB154),
IF($D154="Pénétro.",
IF(OR($E154=3,$E154=1,$E154=4),AC154,AB154))),IF($D154="Pressio.",
IF($E154=3,AC154,AB154),
IF($D154="Pénétro.",
IF($E154=4,AC154,AB154))))</f>
        <v>#N/A</v>
      </c>
      <c r="AE154" s="31" t="e">
        <f>(IF(OR(Hypothèses!$B$4=17,Hypothèses!$B$4=18,Hypothèses!$B$4=19,Hypothèses!$B$4=20),
IF($D154="Pressio.",
IF(OR($E154=3,$E154=1,$E154=4),(PI()*AE$12^2)/4*(AA154*$W154*1000)/($H154*$B$5),(PI()*AE$12^2)/4*(AA154*$W154*1000)/($G154*$B$5)),
IF($D154="Pénétro.",
IF(OR($E154=4,$E154=1,$E154=5),(PI()*AE$12^2)/4*(AA154*$W154*1000)/($H154*$B$5),(PI()*AE$12^2)/4*(AA154*$W154*1000)/($G154*$B$5)))),
IF($D154="Pressio.",
IF($E154=3,(PI()*AE$12^2)/4*(AA154*$W154*1000)/($H154*$B$5),(PI()*AE$12^2)/4*(AA154*$W154*1000)/($G154*$B$5)),
IF($D154="Pénétro.",
IF($E154=4,(PI()*AE$12^2)/4*(AA154*$W154*1000)/($H154*$B$5),(PI()*AE$12^2)/4*(AA154*$W154*1000)/($G154*$B$5))))))/10</f>
        <v>#N/A</v>
      </c>
      <c r="AF154" s="102" t="e">
        <f>(VLOOKUP($B$3,'Coeff EC7'!$T$39:$X$59,2,0)*AD154+VLOOKUP($B$3,'Coeff EC7'!$T$65:$X$85,2,0)*Model0.1C!AE154)/1.1</f>
        <v>#N/A</v>
      </c>
      <c r="AG154" s="102" t="e">
        <f>(VLOOKUP($B$3,'Coeff EC7'!$T$39:$X$59,3,0)*AD154+VLOOKUP($B$3,'Coeff EC7'!$T$65:$X$85,3,0)*Model0.1C!AE154)/0.9</f>
        <v>#N/A</v>
      </c>
      <c r="AH154" s="102" t="e">
        <f t="shared" si="239"/>
        <v>#N/A</v>
      </c>
      <c r="AI154" s="102" t="e">
        <f t="shared" si="240"/>
        <v>#N/A</v>
      </c>
      <c r="AJ154" s="414" t="e">
        <f>IF(AJ153=0,0,IF(AND(AF154&gt;charge_ELS_quasi,AG154&gt;Charge_ELS_freq,AH154&gt;charge_ELU,AI154&gt;charge_ELA,$B154&gt;NDC!$H$22-0.1+MIN(3*$AJ$12,1.5)),0,1))</f>
        <v>#N/A</v>
      </c>
      <c r="AK154" s="86" t="b">
        <f t="shared" si="241"/>
        <v>0</v>
      </c>
      <c r="AL154" s="86">
        <f t="shared" si="270"/>
        <v>0.5</v>
      </c>
      <c r="AM154" s="86">
        <f t="shared" si="242"/>
        <v>0.5</v>
      </c>
      <c r="AN154" s="30" t="e">
        <f t="shared" ca="1" si="271"/>
        <v>#DIV/0!</v>
      </c>
      <c r="AO154" s="85" t="e">
        <f ca="1">IF(U154&lt;=Hypothèses!$V$7,Hypothèses!$W$7,IF(U154&lt;=Hypothèses!$V$8,Hypothèses!$W$8,IF(U154&lt;=Hypothèses!$V$9,Hypothèses!$W$9,IF(U154&lt;=Hypothèses!$V$10,Hypothèses!$W$10,IF(U154&lt;=Hypothèses!$V$11,Hypothèses!$W$11,IF(U154&lt;=Hypothèses!$V$12,Hypothèses!$W$12,IF(U154&lt;=Hypothèses!$V$13,Hypothèses!$W$13,IF(U154&lt;=Hypothèses!$V$14,Hypothèses!$W$14,IF(U154&lt;=Hypothèses!$V$15,Hypothèses!$W$15,IF(U154&lt;=Hypothèses!$V$16,Hypothèses!$W$16,IF(U154&lt;=Hypothèses!$V$17,Hypothèses!$W$17,IF(U154&lt;=Hypothèses!$V$18,Hypothèses!$W$18,""))))))))))))</f>
        <v>#DIV/0!</v>
      </c>
      <c r="AP154" s="87" t="e">
        <f t="shared" ca="1" si="317"/>
        <v>#DIV/0!</v>
      </c>
      <c r="AQ154" s="88" t="e">
        <f ca="1">IF(U154&lt;=Hypothèses!$V$7,Hypothèses!$X$7,IF(U154&lt;=Hypothèses!$V$8,Hypothèses!$X$8,IF(U154&lt;=Hypothèses!$V$9,Hypothèses!$X$9,IF(U154&lt;=Hypothèses!$V$10,Hypothèses!$X$10,IF(U154&lt;=Hypothèses!$V$11,Hypothèses!$X$11,IF(U154&lt;=Hypothèses!$V$12,Hypothèses!$X$12,IF(U154&lt;=Hypothèses!$V$13,Hypothèses!$X$13,IF(U154&lt;=Hypothèses!$V$14,Hypothèses!$X$14,IF(U154&lt;=Hypothèses!$V$15,Hypothèses!$X$15,IF(U154&lt;=Hypothèses!$V$16,Hypothèses!$X$16,IF(U154&lt;=Hypothèses!$U$17,Hypothèses!$W$17,IF(U154&lt;=Hypothèses!$U$18,Hypothèses!$W$18,""))))))))))))</f>
        <v>#DIV/0!</v>
      </c>
      <c r="AR154" s="95" t="e">
        <f t="shared" ca="1" si="272"/>
        <v>#DIV/0!</v>
      </c>
      <c r="AS154" s="101" t="e">
        <f t="shared" si="324"/>
        <v>#N/A</v>
      </c>
      <c r="AT154" s="91" t="e">
        <f t="shared" si="243"/>
        <v>#N/A</v>
      </c>
      <c r="AU154" s="30" t="e">
        <f t="shared" si="302"/>
        <v>#N/A</v>
      </c>
      <c r="AV154" s="30" t="e">
        <f t="shared" si="303"/>
        <v>#N/A</v>
      </c>
      <c r="AW154" s="31" t="e">
        <f>IF(OR(Hypothèses!$B$4=17,Hypothèses!$B$4=18,Hypothèses!$B$4=19,Hypothèses!$B$4=20),
IF($D154="Pressio.",
IF(OR($E154=3,$E154=1,$E154=4),AV154,AU154),
IF($D154="Pénétro.",
IF(OR($E154=3,$E154=1,$E154=4),AV154,AU154))),IF($D154="Pressio.",
IF($E154=3,AV154,AU154),
IF($D154="Pénétro.",
IF($E154=4,AV154,AU154))))</f>
        <v>#N/A</v>
      </c>
      <c r="AX154" s="31" t="e">
        <f>(IF(OR(Hypothèses!$B$4=17,Hypothèses!$B$4=18,Hypothèses!$B$4=19,Hypothèses!$B$4=20),
IF($D154="Pressio.",
IF(OR($E154=3,$E154=1,$E154=4),(PI()*AX$12^2)/4*(AT154*$W154*1000)/($H154*$B$5),(PI()*AX$12^2)/4*(AT154*$W154*1000)/($G154*$B$5)),
IF($D154="Pénétro.",
IF(OR($E154=4,$E154=1,$E154=5),(PI()*AX$12^2)/4*(AT154*$W154*1000)/($H154*$B$5),(PI()*AX$12^2)/4*(AT154*$W154*1000)/($G154*$B$5)))),
IF($D154="Pressio.",
IF($E154=3,(PI()*AX$12^2)/4*(AT154*$W154*1000)/($H154*$B$5),(PI()*AX$12^2)/4*(AT154*$W154*1000)/($G154*$B$5)),
IF($D154="Pénétro.",
IF($E154=4,(PI()*AX$12^2)/4*(AT154*$W154*1000)/($H154*$B$5),(PI()*AX$12^2)/4*(AT154*$W154*1000)/($G154*$B$5))))))/10</f>
        <v>#N/A</v>
      </c>
      <c r="AY154" s="102" t="e">
        <f>(VLOOKUP($B$3,'Coeff EC7'!$T$39:$X$59,2,0)*AW154+VLOOKUP($B$3,'Coeff EC7'!$T$65:$X$85,2,0)*Model0.1C!AX154)/1.1</f>
        <v>#N/A</v>
      </c>
      <c r="AZ154" s="102" t="e">
        <f>(VLOOKUP($B$3,'Coeff EC7'!$T$39:$X$59,3,0)*AW154+VLOOKUP($B$3,'Coeff EC7'!$T$65:$X$85,3,0)*Model0.1C!AX154)/0.9</f>
        <v>#N/A</v>
      </c>
      <c r="BA154" s="102" t="e">
        <f t="shared" si="273"/>
        <v>#N/A</v>
      </c>
      <c r="BB154" s="102" t="e">
        <f t="shared" si="274"/>
        <v>#N/A</v>
      </c>
      <c r="BC154" s="414" t="e">
        <f>IF(BC153=0,0,IF(AND(AY154&gt;charge_ELS_quasi,AZ154&gt;Charge_ELS_freq,BA154&gt;charge_ELU,BB154&gt;charge_ELA,$B154&gt;NDC!$H$22-0.1+MIN(3*$BC$12,1.5)),0,1))</f>
        <v>#N/A</v>
      </c>
      <c r="BD154" s="86" t="b">
        <f t="shared" si="244"/>
        <v>0</v>
      </c>
      <c r="BE154" s="86">
        <f t="shared" si="275"/>
        <v>0.5</v>
      </c>
      <c r="BF154" s="86">
        <f t="shared" si="245"/>
        <v>0.5</v>
      </c>
      <c r="BG154" s="30" t="e">
        <f t="shared" ca="1" si="276"/>
        <v>#DIV/0!</v>
      </c>
      <c r="BH154" s="85" t="e">
        <f ca="1">IF(AN154&lt;=Hypothèses!$V$7,Hypothèses!$W$7,IF(AN154&lt;=Hypothèses!$V$8,Hypothèses!$W$8,IF(AN154&lt;=Hypothèses!$V$9,Hypothèses!$W$9,IF(AN154&lt;=Hypothèses!$V$10,Hypothèses!$W$10,IF(AN154&lt;=Hypothèses!$V$11,Hypothèses!$W$11,IF(AN154&lt;=Hypothèses!$V$12,Hypothèses!$W$12,IF(AN154&lt;=Hypothèses!$V$13,Hypothèses!$W$13,IF(AN154&lt;=Hypothèses!$V$14,Hypothèses!$W$14,IF(AN154&lt;=Hypothèses!$V$15,Hypothèses!$W$15,IF(AN154&lt;=Hypothèses!$V$16,Hypothèses!$W$16,IF(AN154&lt;=Hypothèses!$V$17,Hypothèses!$W$17,IF(AN154&lt;=Hypothèses!$V$18,Hypothèses!$W$18,""))))))))))))</f>
        <v>#DIV/0!</v>
      </c>
      <c r="BI154" s="87" t="e">
        <f t="shared" ca="1" si="318"/>
        <v>#DIV/0!</v>
      </c>
      <c r="BJ154" s="88" t="e">
        <f ca="1">IF(AN154&lt;=Hypothèses!$V$7,Hypothèses!$X$7,IF(AN154&lt;=Hypothèses!$V$8,Hypothèses!$X$8,IF(AN154&lt;=Hypothèses!$V$9,Hypothèses!$X$9,IF(AN154&lt;=Hypothèses!$V$10,Hypothèses!$X$10,IF(AN154&lt;=Hypothèses!$V$11,Hypothèses!$X$11,IF(AN154&lt;=Hypothèses!$V$12,Hypothèses!$X$12,IF(AN154&lt;=Hypothèses!$V$13,Hypothèses!$X$13,IF(AN154&lt;=Hypothèses!$V$14,Hypothèses!$X$14,IF(AN154&lt;=Hypothèses!$V$15,Hypothèses!$X$15,IF(AN154&lt;=Hypothèses!$V$16,Hypothèses!$X$16,IF(AN154&lt;=Hypothèses!$U$17,Hypothèses!$W$17,IF(AN154&lt;=Hypothèses!$U$18,Hypothèses!$W$18,""))))))))))))</f>
        <v>#DIV/0!</v>
      </c>
      <c r="BK154" s="95" t="e">
        <f t="shared" ca="1" si="277"/>
        <v>#DIV/0!</v>
      </c>
      <c r="BL154" s="101" t="e">
        <f t="shared" si="325"/>
        <v>#N/A</v>
      </c>
      <c r="BM154" s="91" t="e">
        <f t="shared" si="246"/>
        <v>#N/A</v>
      </c>
      <c r="BN154" s="30" t="e">
        <f t="shared" si="304"/>
        <v>#N/A</v>
      </c>
      <c r="BO154" s="30" t="e">
        <f t="shared" si="305"/>
        <v>#N/A</v>
      </c>
      <c r="BP154" s="31" t="e">
        <f>IF(OR(Hypothèses!$B$4=17,Hypothèses!$B$4=18,Hypothèses!$B$4=19,Hypothèses!$B$4=20),
IF($D154="Pressio.",
IF(OR($E154=3,$E154=1,$E154=4),BO154,BN154),
IF($D154="Pénétro.",
IF(OR($E154=3,$E154=1,$E154=4),BO154,BN154))),IF($D154="Pressio.",
IF($E154=3,BO154,BN154),
IF($D154="Pénétro.",
IF($E154=4,BO154,BN154))))</f>
        <v>#N/A</v>
      </c>
      <c r="BQ154" s="31" t="e">
        <f>(IF(OR(Hypothèses!$B$4=17,Hypothèses!$B$4=18,Hypothèses!$B$4=19,Hypothèses!$B$4=20),
IF($D154="Pressio.",
IF(OR($E154=3,$E154=1,$E154=4),(PI()*BQ$12^2)/4*(BM154*$W154*1000)/($H154*$B$5),(PI()*BQ$12^2)/4*(BM154*$W154*1000)/($G154*$B$5)),
IF($D154="Pénétro.",
IF(OR($E154=4,$E154=1,$E154=5),(PI()*BQ$12^2)/4*(BM154*$W154*1000)/($H154*$B$5),(PI()*BQ$12^2)/4*(BM154*$W154*1000)/($G154*$B$5)))),
IF($D154="Pressio.",
IF($E154=3,(PI()*BQ$12^2)/4*(BM154*$W154*1000)/($H154*$B$5),(PI()*BQ$12^2)/4*(BM154*$W154*1000)/($G154*$B$5)),
IF($D154="Pénétro.",
IF($E154=4,(PI()*BQ$12^2)/4*(BM154*$W154*1000)/($H154*$B$5),(PI()*BQ$12^2)/4*(BM154*$W154*1000)/($G154*$B$5))))))/10</f>
        <v>#N/A</v>
      </c>
      <c r="BR154" s="102" t="e">
        <f>(VLOOKUP($B$3,'Coeff EC7'!$T$39:$X$59,2,0)*BP154+VLOOKUP($B$3,'Coeff EC7'!$T$65:$X$85,2,0)*Model0.1C!BQ154)/1.1</f>
        <v>#N/A</v>
      </c>
      <c r="BS154" s="102" t="e">
        <f>(VLOOKUP($B$3,'Coeff EC7'!$T$39:$X$59,3,0)*BP154+VLOOKUP($B$3,'Coeff EC7'!$T$65:$X$85,3,0)*Model0.1C!BQ154)/0.9</f>
        <v>#N/A</v>
      </c>
      <c r="BT154" s="102" t="e">
        <f t="shared" si="278"/>
        <v>#N/A</v>
      </c>
      <c r="BU154" s="102" t="e">
        <f t="shared" si="279"/>
        <v>#N/A</v>
      </c>
      <c r="BV154" s="414" t="e">
        <f>IF(BV153=0,0,IF(AND(BR154&gt;charge_ELS_quasi,BS154&gt;Charge_ELS_freq,BT154&gt;charge_ELU,BU154&gt;charge_ELA,$B154&gt;NDC!$H$22-0.1+MIN(3*$BV$12,1.5)),0,1))</f>
        <v>#N/A</v>
      </c>
      <c r="BW154" s="86" t="b">
        <f t="shared" si="247"/>
        <v>0</v>
      </c>
      <c r="BX154" s="86">
        <f t="shared" si="248"/>
        <v>0.5</v>
      </c>
      <c r="BY154" s="86">
        <f t="shared" si="249"/>
        <v>0.5</v>
      </c>
      <c r="BZ154" s="30" t="e">
        <f t="shared" ca="1" si="280"/>
        <v>#DIV/0!</v>
      </c>
      <c r="CA154" s="85" t="e">
        <f ca="1">IF(BG154&lt;=Hypothèses!$V$7,Hypothèses!$W$7,IF(BG154&lt;=Hypothèses!$V$8,Hypothèses!$W$8,IF(BG154&lt;=Hypothèses!$V$9,Hypothèses!$W$9,IF(BG154&lt;=Hypothèses!$V$10,Hypothèses!$W$10,IF(BG154&lt;=Hypothèses!$V$11,Hypothèses!$W$11,IF(BG154&lt;=Hypothèses!$V$12,Hypothèses!$W$12,IF(BG154&lt;=Hypothèses!$V$13,Hypothèses!$W$13,IF(BG154&lt;=Hypothèses!$V$14,Hypothèses!$W$14,IF(BG154&lt;=Hypothèses!$V$15,Hypothèses!$W$15,IF(BG154&lt;=Hypothèses!$V$16,Hypothèses!$W$16,IF(BG154&lt;=Hypothèses!$V$17,Hypothèses!$W$17,IF(BG154&lt;=Hypothèses!$V$18,Hypothèses!$W$18,""))))))))))))</f>
        <v>#DIV/0!</v>
      </c>
      <c r="CB154" s="87" t="e">
        <f t="shared" ca="1" si="319"/>
        <v>#DIV/0!</v>
      </c>
      <c r="CC154" s="88" t="e">
        <f ca="1">IF(BG154&lt;=Hypothèses!$V$7,Hypothèses!$X$7,IF(BG154&lt;=Hypothèses!$V$8,Hypothèses!$X$8,IF(BG154&lt;=Hypothèses!$V$9,Hypothèses!$X$9,IF(BG154&lt;=Hypothèses!$V$10,Hypothèses!$X$10,IF(BG154&lt;=Hypothèses!$V$11,Hypothèses!$X$11,IF(BG154&lt;=Hypothèses!$V$12,Hypothèses!$X$12,IF(BG154&lt;=Hypothèses!$V$13,Hypothèses!$X$13,IF(BG154&lt;=Hypothèses!$V$14,Hypothèses!$X$14,IF(BG154&lt;=Hypothèses!$V$15,Hypothèses!$X$15,IF(BG154&lt;=Hypothèses!$V$16,Hypothèses!$X$16,IF(BG154&lt;=Hypothèses!$U$17,Hypothèses!$W$17,IF(BG154&lt;=Hypothèses!$U$18,Hypothèses!$W$18,""))))))))))))</f>
        <v>#DIV/0!</v>
      </c>
      <c r="CD154" s="95" t="e">
        <f t="shared" ca="1" si="281"/>
        <v>#DIV/0!</v>
      </c>
      <c r="CE154" s="101" t="e">
        <f t="shared" si="326"/>
        <v>#N/A</v>
      </c>
      <c r="CF154" s="91" t="e">
        <f t="shared" si="250"/>
        <v>#N/A</v>
      </c>
      <c r="CG154" s="30" t="e">
        <f t="shared" si="306"/>
        <v>#N/A</v>
      </c>
      <c r="CH154" s="30" t="e">
        <f t="shared" si="307"/>
        <v>#N/A</v>
      </c>
      <c r="CI154" s="31" t="e">
        <f>IF(OR(Hypothèses!$B$4=17,Hypothèses!$B$4=18,Hypothèses!$B$4=19,Hypothèses!$B$4=20),
IF($D154="Pressio.",
IF(OR($E154=3,$E154=1,$E154=4),CH154,CG154),
IF($D154="Pénétro.",
IF(OR($E154=3,$E154=1,$E154=4),CH154,CG154))),IF($D154="Pressio.",
IF($E154=3,CH154,CG154),
IF($D154="Pénétro.",
IF($E154=4,CH154,CG154))))</f>
        <v>#N/A</v>
      </c>
      <c r="CJ154" s="31" t="e">
        <f>(IF(OR(Hypothèses!$B$4=17,Hypothèses!$B$4=18,Hypothèses!$B$4=19,Hypothèses!$B$4=20),
IF($D154="Pressio.",
IF(OR($E154=3,$E154=1,$E154=4),(PI()*CJ$12^2)/4*(CF154*$W154*1000)/($H154*$B$5),(PI()*CJ$12^2)/4*(CF154*$W154*1000)/($G154*$B$5)),
IF($D154="Pénétro.",
IF(OR($E154=4,$E154=1,$E154=5),(PI()*CJ$12^2)/4*(CF154*$W154*1000)/($H154*$B$5),(PI()*CJ$12^2)/4*(CF154*$W154*1000)/($G154*$B$5)))),
IF($D154="Pressio.",
IF($E154=3,(PI()*CJ$12^2)/4*(CF154*$W154*1000)/($H154*$B$5),(PI()*CJ$12^2)/4*(CF154*$W154*1000)/($G154*$B$5)),
IF($D154="Pénétro.",
IF($E154=4,(PI()*CJ$12^2)/4*(CF154*$W154*1000)/($H154*$B$5),(PI()*CJ$12^2)/4*(CF154*$W154*1000)/($G154*$B$5))))))/10</f>
        <v>#N/A</v>
      </c>
      <c r="CK154" s="102" t="e">
        <f>(VLOOKUP($B$3,'Coeff EC7'!$T$39:$X$59,2,0)*CI154+VLOOKUP($B$3,'Coeff EC7'!$T$65:$X$85,2,0)*Model0.1C!CJ154)/1.1</f>
        <v>#N/A</v>
      </c>
      <c r="CL154" s="102" t="e">
        <f>(VLOOKUP($B$3,'Coeff EC7'!$T$39:$X$59,3,0)*CI154+VLOOKUP($B$3,'Coeff EC7'!$T$65:$X$85,3,0)*Model0.1C!CJ154)/0.9</f>
        <v>#N/A</v>
      </c>
      <c r="CM154" s="102" t="e">
        <f t="shared" si="282"/>
        <v>#N/A</v>
      </c>
      <c r="CN154" s="102" t="e">
        <f t="shared" si="283"/>
        <v>#N/A</v>
      </c>
      <c r="CO154" s="414" t="e">
        <f>IF(CO153=0,0,IF(AND(CK154&gt;charge_ELS_quasi,CL154&gt;Charge_ELS_freq,CM154&gt;charge_ELU,CN154&gt;charge_ELA,$B154&gt;NDC!$H$22-0.1+MIN(3*$CO$12,1.5)),0,1))</f>
        <v>#N/A</v>
      </c>
      <c r="CP154" s="86" t="b">
        <f t="shared" si="251"/>
        <v>0</v>
      </c>
      <c r="CQ154" s="86">
        <f t="shared" si="252"/>
        <v>0.5</v>
      </c>
      <c r="CR154" s="86">
        <f t="shared" si="253"/>
        <v>0.5</v>
      </c>
      <c r="CS154" s="30" t="e">
        <f t="shared" ca="1" si="284"/>
        <v>#DIV/0!</v>
      </c>
      <c r="CT154" s="85" t="e">
        <f ca="1">IF(BZ154&lt;=Hypothèses!$V$7,Hypothèses!$W$7,IF(BZ154&lt;=Hypothèses!$V$8,Hypothèses!$W$8,IF(BZ154&lt;=Hypothèses!$V$9,Hypothèses!$W$9,IF(BZ154&lt;=Hypothèses!$V$10,Hypothèses!$W$10,IF(BZ154&lt;=Hypothèses!$V$11,Hypothèses!$W$11,IF(BZ154&lt;=Hypothèses!$V$12,Hypothèses!$W$12,IF(BZ154&lt;=Hypothèses!$V$13,Hypothèses!$W$13,IF(BZ154&lt;=Hypothèses!$V$14,Hypothèses!$W$14,IF(BZ154&lt;=Hypothèses!$V$15,Hypothèses!$W$15,IF(BZ154&lt;=Hypothèses!$V$16,Hypothèses!$W$16,IF(BZ154&lt;=Hypothèses!$V$17,Hypothèses!$W$17,IF(BZ154&lt;=Hypothèses!$V$18,Hypothèses!$W$18,""))))))))))))</f>
        <v>#DIV/0!</v>
      </c>
      <c r="CU154" s="87" t="e">
        <f t="shared" ca="1" si="320"/>
        <v>#DIV/0!</v>
      </c>
      <c r="CV154" s="88" t="e">
        <f ca="1">IF(BZ154&lt;=Hypothèses!$V$7,Hypothèses!$X$7,IF(BZ154&lt;=Hypothèses!$V$8,Hypothèses!$X$8,IF(BZ154&lt;=Hypothèses!$V$9,Hypothèses!$X$9,IF(BZ154&lt;=Hypothèses!$V$10,Hypothèses!$X$10,IF(BZ154&lt;=Hypothèses!$V$11,Hypothèses!$X$11,IF(BZ154&lt;=Hypothèses!$V$12,Hypothèses!$X$12,IF(BZ154&lt;=Hypothèses!$V$13,Hypothèses!$X$13,IF(BZ154&lt;=Hypothèses!$V$14,Hypothèses!$X$14,IF(BZ154&lt;=Hypothèses!$V$15,Hypothèses!$X$15,IF(BZ154&lt;=Hypothèses!$V$16,Hypothèses!$X$16,IF(BZ154&lt;=Hypothèses!$U$17,Hypothèses!$W$17,IF(BZ154&lt;=Hypothèses!$U$18,Hypothèses!$W$18,""))))))))))))</f>
        <v>#DIV/0!</v>
      </c>
      <c r="CW154" s="95" t="e">
        <f t="shared" ca="1" si="285"/>
        <v>#DIV/0!</v>
      </c>
      <c r="CX154" s="101" t="e">
        <f t="shared" si="327"/>
        <v>#N/A</v>
      </c>
      <c r="CY154" s="91" t="e">
        <f t="shared" si="254"/>
        <v>#N/A</v>
      </c>
      <c r="CZ154" s="30" t="e">
        <f t="shared" si="308"/>
        <v>#N/A</v>
      </c>
      <c r="DA154" s="30" t="e">
        <f t="shared" si="309"/>
        <v>#N/A</v>
      </c>
      <c r="DB154" s="31" t="e">
        <f>IF(OR(Hypothèses!$B$4=17,Hypothèses!$B$4=18,Hypothèses!$B$4=19,Hypothèses!$B$4=20),
IF($D154="Pressio.",
IF(OR($E154=3,$E154=1,$E154=4),DA154,CZ154),
IF($D154="Pénétro.",
IF(OR($E154=3,$E154=1,$E154=4),DA154,CZ154))),IF($D154="Pressio.",
IF($E154=3,DA154,CZ154),
IF($D154="Pénétro.",
IF($E154=4,DA154,CZ154))))</f>
        <v>#N/A</v>
      </c>
      <c r="DC154" s="31" t="e">
        <f>(IF(OR(Hypothèses!$B$4=17,Hypothèses!$B$4=18,Hypothèses!$B$4=19,Hypothèses!$B$4=20),
IF($D154="Pressio.",
IF(OR($E154=3,$E154=1,$E154=4),(PI()*DC$12^2)/4*(CY154*$W154*1000)/($H154*$B$5),(PI()*DC$12^2)/4*(CY154*$W154*1000)/($G154*$B$5)),
IF($D154="Pénétro.",
IF(OR($E154=4,$E154=1,$E154=5),(PI()*DC$12^2)/4*(CY154*$W154*1000)/($H154*$B$5),(PI()*DC$12^2)/4*(CY154*$W154*1000)/($G154*$B$5)))),
IF($D154="Pressio.",
IF($E154=3,(PI()*DC$12^2)/4*(CY154*$W154*1000)/($H154*$B$5),(PI()*DC$12^2)/4*(CY154*$W154*1000)/($G154*$B$5)),
IF($D154="Pénétro.",
IF($E154=4,(PI()*DC$12^2)/4*(CY154*$W154*1000)/($H154*$B$5),(PI()*DC$12^2)/4*(CY154*$W154*1000)/($G154*$B$5))))))/10</f>
        <v>#N/A</v>
      </c>
      <c r="DD154" s="102" t="e">
        <f>(VLOOKUP($B$3,'Coeff EC7'!$T$39:$X$59,2,0)*DB154+VLOOKUP($B$3,'Coeff EC7'!$T$65:$X$85,2,0)*Model0.1C!DC154)/1.1</f>
        <v>#N/A</v>
      </c>
      <c r="DE154" s="102" t="e">
        <f>(VLOOKUP($B$3,'Coeff EC7'!$T$39:$X$59,3,0)*DB154+VLOOKUP($B$3,'Coeff EC7'!$T$65:$X$85,3,0)*Model0.1C!DC154)/0.9</f>
        <v>#N/A</v>
      </c>
      <c r="DF154" s="102" t="e">
        <f t="shared" si="286"/>
        <v>#N/A</v>
      </c>
      <c r="DG154" s="102" t="e">
        <f t="shared" si="287"/>
        <v>#N/A</v>
      </c>
      <c r="DH154" s="414" t="e">
        <f>IF(DH153=0,0,IF(AND(DD154&gt;charge_ELS_quasi,DE154&gt;Charge_ELS_freq,DF154&gt;charge_ELU,DG154&gt;charge_ELA,$B154&gt;NDC!$H$22-0.1+MIN(3*$DH$12,1.5)),0,1))</f>
        <v>#N/A</v>
      </c>
      <c r="DI154" s="86" t="b">
        <f t="shared" si="255"/>
        <v>0</v>
      </c>
      <c r="DJ154" s="86">
        <f t="shared" si="256"/>
        <v>0.5</v>
      </c>
      <c r="DK154" s="86">
        <f t="shared" si="257"/>
        <v>0.5</v>
      </c>
      <c r="DL154" s="30" t="e">
        <f t="shared" ca="1" si="288"/>
        <v>#DIV/0!</v>
      </c>
      <c r="DM154" s="85" t="e">
        <f ca="1">IF(CS154&lt;=Hypothèses!$V$7,Hypothèses!$W$7,IF(CS154&lt;=Hypothèses!$V$8,Hypothèses!$W$8,IF(CS154&lt;=Hypothèses!$V$9,Hypothèses!$W$9,IF(CS154&lt;=Hypothèses!$V$10,Hypothèses!$W$10,IF(CS154&lt;=Hypothèses!$V$11,Hypothèses!$W$11,IF(CS154&lt;=Hypothèses!$V$12,Hypothèses!$W$12,IF(CS154&lt;=Hypothèses!$V$13,Hypothèses!$W$13,IF(CS154&lt;=Hypothèses!$V$14,Hypothèses!$W$14,IF(CS154&lt;=Hypothèses!$V$15,Hypothèses!$W$15,IF(CS154&lt;=Hypothèses!$V$16,Hypothèses!$W$16,IF(CS154&lt;=Hypothèses!$V$17,Hypothèses!$W$17,IF(CS154&lt;=Hypothèses!$V$18,Hypothèses!$W$18,""))))))))))))</f>
        <v>#DIV/0!</v>
      </c>
      <c r="DN154" s="87" t="e">
        <f t="shared" ca="1" si="321"/>
        <v>#DIV/0!</v>
      </c>
      <c r="DO154" s="88" t="e">
        <f ca="1">IF(CS154&lt;=Hypothèses!$V$7,Hypothèses!$X$7,IF(CS154&lt;=Hypothèses!$V$8,Hypothèses!$X$8,IF(CS154&lt;=Hypothèses!$V$9,Hypothèses!$X$9,IF(CS154&lt;=Hypothèses!$V$10,Hypothèses!$X$10,IF(CS154&lt;=Hypothèses!$V$11,Hypothèses!$X$11,IF(CS154&lt;=Hypothèses!$V$12,Hypothèses!$X$12,IF(CS154&lt;=Hypothèses!$V$13,Hypothèses!$X$13,IF(CS154&lt;=Hypothèses!$V$14,Hypothèses!$X$14,IF(CS154&lt;=Hypothèses!$V$15,Hypothèses!$X$15,IF(CS154&lt;=Hypothèses!$V$16,Hypothèses!$X$16,IF(CS154&lt;=Hypothèses!$U$17,Hypothèses!$W$17,IF(CS154&lt;=Hypothèses!$U$18,Hypothèses!$W$18,""))))))))))))</f>
        <v>#DIV/0!</v>
      </c>
      <c r="DP154" s="95" t="e">
        <f t="shared" ca="1" si="289"/>
        <v>#DIV/0!</v>
      </c>
      <c r="DQ154" s="101" t="e">
        <f t="shared" si="328"/>
        <v>#N/A</v>
      </c>
      <c r="DR154" s="91" t="e">
        <f t="shared" si="258"/>
        <v>#N/A</v>
      </c>
      <c r="DS154" s="30" t="e">
        <f t="shared" si="310"/>
        <v>#N/A</v>
      </c>
      <c r="DT154" s="30" t="e">
        <f t="shared" si="311"/>
        <v>#N/A</v>
      </c>
      <c r="DU154" s="31" t="e">
        <f>IF(OR(Hypothèses!$B$4=17,Hypothèses!$B$4=18,Hypothèses!$B$4=19,Hypothèses!$B$4=20),
IF($D154="Pressio.",
IF(OR($E154=3,$E154=1,$E154=4),DT154,DS154),
IF($D154="Pénétro.",
IF(OR($E154=3,$E154=1,$E154=4),DT154,DS154))),IF($D154="Pressio.",
IF($E154=3,DT154,DS154),
IF($D154="Pénétro.",
IF($E154=4,DT154,DS154))))</f>
        <v>#N/A</v>
      </c>
      <c r="DV154" s="31" t="e">
        <f>(IF(OR(Hypothèses!$B$4=17,Hypothèses!$B$4=18,Hypothèses!$B$4=19,Hypothèses!$B$4=20),
IF($D154="Pressio.",
IF(OR($E154=3,$E154=1,$E154=4),(PI()*DV$12^2)/4*(DR154*$W154*1000)/($H154*$B$5),(PI()*DV$12^2)/4*(DR154*$W154*1000)/($G154*$B$5)),
IF($D154="Pénétro.",
IF(OR($E154=4,$E154=1,$E154=5),(PI()*DV$12^2)/4*(DR154*$W154*1000)/($H154*$B$5),(PI()*DV$12^2)/4*(DR154*$W154*1000)/($G154*$B$5)))),
IF($D154="Pressio.",
IF($E154=3,(PI()*DV$12^2)/4*(DR154*$W154*1000)/($H154*$B$5),(PI()*DV$12^2)/4*(DR154*$W154*1000)/($G154*$B$5)),
IF($D154="Pénétro.",
IF($E154=4,(PI()*DV$12^2)/4*(DR154*$W154*1000)/($H154*$B$5),(PI()*DV$12^2)/4*(DR154*$W154*1000)/($G154*$B$5))))))/10</f>
        <v>#N/A</v>
      </c>
      <c r="DW154" s="102" t="e">
        <f>(VLOOKUP($B$3,'Coeff EC7'!$T$39:$X$59,2,0)*DU154+VLOOKUP($B$3,'Coeff EC7'!$T$65:$X$85,2,0)*Model0.1C!DV154)/1.1</f>
        <v>#N/A</v>
      </c>
      <c r="DX154" s="102" t="e">
        <f>(VLOOKUP($B$3,'Coeff EC7'!$T$39:$X$59,3,0)*DU154+VLOOKUP($B$3,'Coeff EC7'!$T$65:$X$85,3,0)*Model0.1C!DV154)/0.9</f>
        <v>#N/A</v>
      </c>
      <c r="DY154" s="102" t="e">
        <f t="shared" si="290"/>
        <v>#N/A</v>
      </c>
      <c r="DZ154" s="102" t="e">
        <f t="shared" si="291"/>
        <v>#N/A</v>
      </c>
      <c r="EA154" s="414" t="e">
        <f>IF(EA153=0,0,IF(AND(DW154&gt;charge_ELS_quasi,DX154&gt;Charge_ELS_freq,DY154&gt;charge_ELU,DZ154&gt;charge_ELA,$B154&gt;NDC!$H$22-0.1+MIN(3*$EA$12,1.5)),0,1))</f>
        <v>#N/A</v>
      </c>
      <c r="EB154" s="86" t="b">
        <f t="shared" si="259"/>
        <v>0</v>
      </c>
      <c r="EC154" s="418">
        <f t="shared" si="260"/>
        <v>0.51</v>
      </c>
      <c r="ED154" s="86">
        <f t="shared" si="261"/>
        <v>0.51</v>
      </c>
      <c r="EE154" s="30" t="e">
        <f t="shared" ca="1" si="292"/>
        <v>#DIV/0!</v>
      </c>
      <c r="EF154" s="85" t="e">
        <f ca="1">IF(DL154&lt;=Hypothèses!$V$7,Hypothèses!$W$7,IF(DL154&lt;=Hypothèses!$V$8,Hypothèses!$W$8,IF(DL154&lt;=Hypothèses!$V$9,Hypothèses!$W$9,IF(DL154&lt;=Hypothèses!$V$10,Hypothèses!$W$10,IF(DL154&lt;=Hypothèses!$V$11,Hypothèses!$W$11,IF(DL154&lt;=Hypothèses!$V$12,Hypothèses!$W$12,IF(DL154&lt;=Hypothèses!$V$13,Hypothèses!$W$13,IF(DL154&lt;=Hypothèses!$V$14,Hypothèses!$W$14,IF(DL154&lt;=Hypothèses!$V$15,Hypothèses!$W$15,IF(DL154&lt;=Hypothèses!$V$16,Hypothèses!$W$16,IF(DL154&lt;=Hypothèses!$V$17,Hypothèses!$W$17,IF(DL154&lt;=Hypothèses!$V$18,Hypothèses!$W$18,""))))))))))))</f>
        <v>#DIV/0!</v>
      </c>
      <c r="EG154" s="87" t="e">
        <f t="shared" ca="1" si="322"/>
        <v>#DIV/0!</v>
      </c>
      <c r="EH154" s="88" t="e">
        <f ca="1">IF(DL154&lt;=Hypothèses!$V$7,Hypothèses!$X$7,IF(DL154&lt;=Hypothèses!$V$8,Hypothèses!$X$8,IF(DL154&lt;=Hypothèses!$V$9,Hypothèses!$X$9,IF(DL154&lt;=Hypothèses!$V$10,Hypothèses!$X$10,IF(DL154&lt;=Hypothèses!$V$11,Hypothèses!$X$11,IF(DL154&lt;=Hypothèses!$V$12,Hypothèses!$X$12,IF(DL154&lt;=Hypothèses!$V$13,Hypothèses!$X$13,IF(DL154&lt;=Hypothèses!$V$14,Hypothèses!$X$14,IF(DL154&lt;=Hypothèses!$V$15,Hypothèses!$X$15,IF(DL154&lt;=Hypothèses!$V$16,Hypothèses!$X$16,IF(DL154&lt;=Hypothèses!$U$17,Hypothèses!$W$17,IF(DL154&lt;=Hypothèses!$U$18,Hypothèses!$W$18,""))))))))))))</f>
        <v>#DIV/0!</v>
      </c>
      <c r="EI154" s="95" t="e">
        <f t="shared" ca="1" si="293"/>
        <v>#DIV/0!</v>
      </c>
      <c r="EJ154" s="101" t="e">
        <f t="shared" si="329"/>
        <v>#N/A</v>
      </c>
      <c r="EK154" s="91" t="e">
        <f t="shared" si="262"/>
        <v>#N/A</v>
      </c>
      <c r="EL154" s="30" t="e">
        <f t="shared" si="312"/>
        <v>#N/A</v>
      </c>
      <c r="EM154" s="30" t="e">
        <f t="shared" si="313"/>
        <v>#N/A</v>
      </c>
      <c r="EN154" s="31" t="e">
        <f>IF(OR(Hypothèses!$B$4=17,Hypothèses!$B$4=18,Hypothèses!$B$4=19,Hypothèses!$B$4=20),
IF($D154="Pressio.",
IF(OR($E154=3,$E154=1,$E154=4),EM154,EL154),
IF($D154="Pénétro.",
IF(OR($E154=3,$E154=1,$E154=4),EM154,EL154))),IF($D154="Pressio.",
IF($E154=3,EM154,EL154),
IF($D154="Pénétro.",
IF($E154=4,EM154,EL154))))</f>
        <v>#N/A</v>
      </c>
      <c r="EO154" s="31" t="e">
        <f>(IF(OR(Hypothèses!$B$4=17,Hypothèses!$B$4=18,Hypothèses!$B$4=19,Hypothèses!$B$4=20),
IF($D154="Pressio.",
IF(OR($E154=3,$E154=1,$E154=4),(PI()*EO$12^2)/4*(EK154*$W154*1000)/($H154*$B$5),(PI()*EO$12^2)/4*(EK154*$W154*1000)/($G154*$B$5)),
IF($D154="Pénétro.",
IF(OR($E154=4,$E154=1,$E154=5),(PI()*EO$12^2)/4*(EK154*$W154*1000)/($H154*$B$5),(PI()*EO$12^2)/4*(EK154*$W154*1000)/($G154*$B$5)))),
IF($D154="Pressio.",
IF($E154=3,(PI()*EO$12^2)/4*(EK154*$W154*1000)/($H154*$B$5),(PI()*EO$12^2)/4*(EK154*$W154*1000)/($G154*$B$5)),
IF($D154="Pénétro.",
IF($E154=4,(PI()*EO$12^2)/4*(EK154*$W154*1000)/($H154*$B$5),(PI()*EO$12^2)/4*(EK154*$W154*1000)/($G154*$B$5))))))/10</f>
        <v>#N/A</v>
      </c>
      <c r="EP154" s="102" t="e">
        <f>(VLOOKUP($B$3,'Coeff EC7'!$T$39:$X$59,2,0)*EN154+VLOOKUP($B$3,'Coeff EC7'!$T$65:$X$85,2,0)*Model0.1C!EO154)/1.1</f>
        <v>#N/A</v>
      </c>
      <c r="EQ154" s="102" t="e">
        <f>(VLOOKUP($B$3,'Coeff EC7'!$T$39:$X$59,3,0)*EN154+VLOOKUP($B$3,'Coeff EC7'!$T$65:$X$85,3,0)*Model0.1C!EO154)/0.9</f>
        <v>#N/A</v>
      </c>
      <c r="ER154" s="102" t="e">
        <f t="shared" si="294"/>
        <v>#N/A</v>
      </c>
      <c r="ES154" s="102" t="e">
        <f t="shared" si="295"/>
        <v>#N/A</v>
      </c>
      <c r="ET154" s="414" t="e">
        <f>IF(ET153=0,0,IF(AND(EP154&gt;charge_ELS_quasi,EQ154&gt;Charge_ELS_freq,ER154&gt;charge_ELU,ES154&gt;charge_ELA,$B154&gt;NDC!$H$22-0.1+MIN(3*$ET$12,1.5)),0,1))</f>
        <v>#N/A</v>
      </c>
      <c r="EU154" s="86" t="b">
        <f t="shared" si="263"/>
        <v>0</v>
      </c>
      <c r="EV154" s="86">
        <f t="shared" si="264"/>
        <v>0.61</v>
      </c>
      <c r="EW154" s="86">
        <f t="shared" si="265"/>
        <v>0.61</v>
      </c>
      <c r="EX154" s="30" t="e">
        <f t="shared" ca="1" si="296"/>
        <v>#DIV/0!</v>
      </c>
      <c r="EY154" s="85" t="e">
        <f ca="1">IF(EE154&lt;=Hypothèses!$V$7,Hypothèses!$W$7,IF(EE154&lt;=Hypothèses!$V$8,Hypothèses!$W$8,IF(EE154&lt;=Hypothèses!$V$9,Hypothèses!$W$9,IF(EE154&lt;=Hypothèses!$V$10,Hypothèses!$W$10,IF(EE154&lt;=Hypothèses!$V$11,Hypothèses!$W$11,IF(EE154&lt;=Hypothèses!$V$12,Hypothèses!$W$12,IF(EE154&lt;=Hypothèses!$V$13,Hypothèses!$W$13,IF(EE154&lt;=Hypothèses!$V$14,Hypothèses!$W$14,IF(EE154&lt;=Hypothèses!$V$15,Hypothèses!$W$15,IF(EE154&lt;=Hypothèses!$V$16,Hypothèses!$W$16,IF(EE154&lt;=Hypothèses!$V$17,Hypothèses!$W$17,IF(EE154&lt;=Hypothèses!$V$18,Hypothèses!$W$18,""))))))))))))</f>
        <v>#DIV/0!</v>
      </c>
      <c r="EZ154" s="87" t="e">
        <f t="shared" ca="1" si="323"/>
        <v>#DIV/0!</v>
      </c>
      <c r="FA154" s="88" t="e">
        <f ca="1">IF(EE154&lt;=Hypothèses!$V$7,Hypothèses!$X$7,IF(EE154&lt;=Hypothèses!$V$8,Hypothèses!$X$8,IF(EE154&lt;=Hypothèses!$V$9,Hypothèses!$X$9,IF(EE154&lt;=Hypothèses!$V$10,Hypothèses!$X$10,IF(EE154&lt;=Hypothèses!$V$11,Hypothèses!$X$11,IF(EE154&lt;=Hypothèses!$V$12,Hypothèses!$X$12,IF(EE154&lt;=Hypothèses!$V$13,Hypothèses!$X$13,IF(EE154&lt;=Hypothèses!$V$14,Hypothèses!$X$14,IF(EE154&lt;=Hypothèses!$V$15,Hypothèses!$X$15,IF(EE154&lt;=Hypothèses!$V$16,Hypothèses!$X$16,IF(EE154&lt;=Hypothèses!$U$17,Hypothèses!$W$17,IF(EE154&lt;=Hypothèses!$U$18,Hypothèses!$W$18,""))))))))))))</f>
        <v>#DIV/0!</v>
      </c>
      <c r="FB154" s="95" t="e">
        <f t="shared" ca="1" si="297"/>
        <v>#DIV/0!</v>
      </c>
      <c r="FC154" s="101" t="e">
        <f t="shared" si="330"/>
        <v>#N/A</v>
      </c>
      <c r="FD154" s="91" t="e">
        <f t="shared" si="266"/>
        <v>#N/A</v>
      </c>
      <c r="FE154" s="30" t="e">
        <f t="shared" si="314"/>
        <v>#N/A</v>
      </c>
      <c r="FF154" s="30" t="e">
        <f t="shared" si="315"/>
        <v>#N/A</v>
      </c>
      <c r="FG154" s="31" t="e">
        <f>IF(OR(Hypothèses!$B$4=17,Hypothèses!$B$4=18,Hypothèses!$B$4=19,Hypothèses!$B$4=20),
IF($D154="Pressio.",
IF(OR($E154=3,$E154=1,$E154=4),FF154,FE154),
IF($D154="Pénétro.",
IF(OR($E154=3,$E154=1,$E154=4),FF154,FE154))),IF($D154="Pressio.",
IF($E154=3,FF154,FE154),
IF($D154="Pénétro.",
IF($E154=4,FF154,FE154))))</f>
        <v>#N/A</v>
      </c>
      <c r="FH154" s="31" t="e">
        <f>(IF(OR(Hypothèses!$B$4=17,Hypothèses!$B$4=18,Hypothèses!$B$4=19,Hypothèses!$B$4=20),
IF($D154="Pressio.",
IF(OR($E154=3,$E154=1,$E154=4),(PI()*FH$12^2)/4*(FD154*$W154*1000)/($H154*$B$5),(PI()*FH$12^2)/4*(FD154*$W154*1000)/($G154*$B$5)),
IF($D154="Pénétro.",
IF(OR($E154=4,$E154=1,$E154=5),(PI()*FH$12^2)/4*(FD154*$W154*1000)/($H154*$B$5),(PI()*FH$12^2)/4*(FD154*$W154*1000)/($G154*$B$5)))),
IF($D154="Pressio.",
IF($E154=3,(PI()*FH$12^2)/4*(FD154*$W154*1000)/($H154*$B$5),(PI()*FH$12^2)/4*(FD154*$W154*1000)/($G154*$B$5)),
IF($D154="Pénétro.",
IF($E154=4,(PI()*FH$12^2)/4*(FD154*$W154*1000)/($H154*$B$5),(PI()*FH$12^2)/4*(FD154*$W154*1000)/($G154*$B$5))))))/10</f>
        <v>#N/A</v>
      </c>
      <c r="FI154" s="102" t="e">
        <f>(VLOOKUP($B$3,'Coeff EC7'!$T$39:$X$59,2,0)*FG154+VLOOKUP($B$3,'Coeff EC7'!$T$65:$X$85,2,0)*Model0.1C!FH154)/1.1</f>
        <v>#N/A</v>
      </c>
      <c r="FJ154" s="102" t="e">
        <f>(VLOOKUP($B$3,'Coeff EC7'!$T$39:$X$59,3,0)*FG154+VLOOKUP($B$3,'Coeff EC7'!$T$65:$X$85,3,0)*Model0.1C!FH154)/0.9</f>
        <v>#N/A</v>
      </c>
      <c r="FK154" s="102" t="e">
        <f t="shared" si="298"/>
        <v>#N/A</v>
      </c>
      <c r="FL154" s="102" t="e">
        <f t="shared" si="299"/>
        <v>#N/A</v>
      </c>
      <c r="FM154" s="414" t="e">
        <f>IF(FM153=0,0,IF(AND(FI154&gt;charge_ELS_quasi,FJ154&gt;Charge_ELS_freq,FK154&gt;charge_ELU,FL154&gt;charge_ELA,$B154&gt;NDC!$H$22-0.1+MIN(3*$FM$12,1.5)),0,1))</f>
        <v>#N/A</v>
      </c>
    </row>
    <row r="155" spans="1:169">
      <c r="A155" s="96">
        <f t="shared" si="267"/>
        <v>85.800000000000807</v>
      </c>
      <c r="B155" s="97">
        <v>14.2</v>
      </c>
      <c r="C155" s="81">
        <f>IF(B155&lt;=Hypothèses!$C$7,Hypothèses!$A$7,IF(B155&lt;=Hypothèses!$C$8,Hypothèses!$A$8,IF(B155&lt;=Hypothèses!$C$9,Hypothèses!$A$9,IF(B155&lt;=Hypothèses!$C$10,Hypothèses!$A$10,IF(B155&lt;=Hypothèses!$C$11,Hypothèses!$A$11,IF(B155&lt;=Hypothèses!$C$12,Hypothèses!$A$12,IF(B155&lt;=Hypothèses!$C$13,Hypothèses!$A$13,IF(B155&lt;=Hypothèses!$C$14,Hypothèses!$A$14,IF(B155&lt;=Hypothèses!$C$15,Hypothèses!$A$15,IF(B155&lt;=Hypothèses!$C$16,Hypothèses!$A$16,IF(B155&lt;=Hypothèses!$C$17,Hypothèses!$A$17,IF(B155&lt;=Hypothèses!$C$18,Hypothèses!$A$18,C154))))))))))))</f>
        <v>11</v>
      </c>
      <c r="D155" s="82" t="str">
        <f>IF(B155&lt;=Hypothèses!$C$7,Hypothèses!$R$7,IF(B155&lt;=Hypothèses!$C$8,Hypothèses!$R$8,IF(B155&lt;=Hypothèses!$C$9,Hypothèses!$R$9,IF(B155&lt;=Hypothèses!$C$10,Hypothèses!$R$10,IF(B155&lt;=Hypothèses!$C$11,Hypothèses!$R$11,IF(B155&lt;=Hypothèses!$C$12,Hypothèses!$R$12,IF(B155&lt;=Hypothèses!$C$13,Hypothèses!$R$13,IF(B155&lt;=Hypothèses!$C$14,Hypothèses!$R$14,IF(B155&lt;=Hypothèses!$C$15,Hypothèses!$R$15,IF(B155&lt;=Hypothèses!$C$16,Hypothèses!$R$16,IF(B155&lt;=Hypothèses!$C$17,Hypothèses!$R$17,IF(B155&lt;=Hypothèses!$C$18,Hypothèses!$R$18,D154))))))))))))</f>
        <v>Pressio.</v>
      </c>
      <c r="E155" s="82" t="e">
        <f>IF(B155&lt;=Hypothèses!$C$7,Hypothèses!$G$7,IF(B155&lt;=Hypothèses!$C$8,Hypothèses!$G$8,IF(B155&lt;=Hypothèses!$C$9,Hypothèses!$G$9,IF(B155&lt;=Hypothèses!$C$10,Hypothèses!$G$10,IF(B155&lt;=Hypothèses!$C$11,Hypothèses!$G$11,IF(B155&lt;=Hypothèses!$C$12,Hypothèses!$G$12,IF(B155&lt;=Hypothèses!$C$13,Hypothèses!$G$13,IF(B155&lt;=Hypothèses!$C$14,Hypothèses!$G$14,IF(B155&lt;=Hypothèses!$C$15,Hypothèses!$G$15,IF(B155&lt;=Hypothèses!$C$16,Hypothèses!$G$16,IF(B155&lt;=Hypothèses!$C$17,Hypothèses!$G$17,IF(B155&lt;=Hypothèses!$C$18,Hypothèses!$G$18,E154))))))))))))</f>
        <v>#N/A</v>
      </c>
      <c r="F155" s="82" t="str">
        <f>IF(B155&lt;=Hypothèses!$C$7,Hypothèses!$F$7,IF(B155&lt;=Hypothèses!$C$8,Hypothèses!$F$8,IF(B155&lt;=Hypothèses!$C$9,Hypothèses!$F$9,IF(B155&lt;=Hypothèses!$C$10,Hypothèses!$F$10,IF(B155&lt;=Hypothèses!$C$11,Hypothèses!$F$11,IF(B155&lt;=Hypothèses!$C$12,Hypothèses!$F$12,IF(B155&lt;=Hypothèses!$C$13,Hypothèses!$F$13,IF(B155&lt;=Hypothèses!$C$14,Hypothèses!$F$14,IF(B155&lt;=Hypothèses!$C$15,Hypothèses!$F$15,IF(B155&lt;=Hypothèses!$C$16,Hypothèses!$F$16,IF(B155&lt;=Hypothèses!$C$17,Hypothèses!$F$17,IF(B155&lt;=Hypothèses!$C$18,Hypothèses!$F$18,F154))))))))))))</f>
        <v/>
      </c>
      <c r="G155" s="91">
        <f t="array" ref="G155">INDEX('Coeff EC7'!$U$7:$X$27,
MATCH(Model0.1C!$B$3,'Coeff EC7'!$T$7:$T$27,0),
MATCH(Model0.1C!$D155&amp;Model0.1C!$B$4,
'Coeff EC7'!$U$6:$X$6&amp;
'Coeff EC7'!$U$5:$X$5,0))</f>
        <v>1.1499999999999999</v>
      </c>
      <c r="H155" s="91">
        <f t="array" ref="H155">INDEX('Coeff EC7'!$Y$7:$AB$27,
MATCH(Model0.1C!$B$3,'Coeff EC7'!$T$7:$T$27,0),
MATCH(Model0.1C!$D155&amp;Model0.1C!$B$4,
'Coeff EC7'!$Y$6:$AB$6&amp;
'Coeff EC7'!$Y$5:$AB$5,0))</f>
        <v>1.4</v>
      </c>
      <c r="I155" s="83" t="e">
        <f>IF(B155&lt;=Hypothèses!$C$7,Hypothèses!$P$7,IF(B155&lt;=Hypothèses!$C$8,Hypothèses!$P$8,IF(B155&lt;=Hypothèses!$C$9,Hypothèses!$P$9,IF(B155&lt;=Hypothèses!$C$10,Hypothèses!$P$10,IF(B155&lt;=Hypothèses!$C$11,Hypothèses!$P$11,IF(B155&lt;=Hypothèses!$C$12,Hypothèses!$P$12,IF(B155&lt;=Hypothèses!$C$13,Hypothèses!$P$13,IF(B155&lt;=Hypothèses!$C$14,Hypothèses!$P$14,IF(B155&lt;=Hypothèses!$C$15,Hypothèses!$P$15,IF(B155&lt;=Hypothèses!$C$16,Hypothèses!$P$16,IF(B155&lt;=Hypothèses!$C$17,Hypothèses!$P$17,IF(B155&lt;=Hypothèses!$C$18,Hypothèses!$P$18,I154))))))))))))</f>
        <v>#N/A</v>
      </c>
      <c r="J155" s="91" t="e">
        <f t="array" ref="J155">INDEX('Coeff EC7'!$D$33:$Q$33,1,MATCH(D155&amp;E155,'Coeff EC7'!$D$31:$Q$31&amp;'Coeff EC7'!$D$32:$Q$32,0))</f>
        <v>#N/A</v>
      </c>
      <c r="K155" s="91" t="e">
        <f t="array" ref="K155">INDEX('Coeff EC7'!$D$34:$Q$34,1,MATCH(D155&amp;E155,'Coeff EC7'!$D$31:$Q$31&amp;'Coeff EC7'!$D$32:$Q$32,0))</f>
        <v>#N/A</v>
      </c>
      <c r="L155" s="91" t="e">
        <f t="array" ref="L155">INDEX('Coeff EC7'!$D$35:$Q$35,1,MATCH(D155&amp;E155,'Coeff EC7'!$D$31:$Q$31&amp;'Coeff EC7'!$D$32:$Q$32,0))</f>
        <v>#N/A</v>
      </c>
      <c r="M155" s="98" t="e">
        <f t="shared" si="231"/>
        <v>#N/A</v>
      </c>
      <c r="N155" s="99" t="e">
        <f t="array" ref="N155">INDEX('Coeff EC7'!$D$7:$Q$27,MATCH($B$3,'Coeff EC7'!$C$7:$C$27,0),MATCH(D155&amp;E155,'Coeff EC7'!$D$5:$Q$5&amp;'Coeff EC7'!$D$6:$Q$6,0))</f>
        <v>#N/A</v>
      </c>
      <c r="O155" s="99" t="e">
        <f t="array" ref="O155">INDEX('Coeff EC7'!$D$41:$Q$61,MATCH($B$3,'Coeff EC7'!$C$41:$C$61,0),MATCH(D155&amp;E155,'Coeff EC7'!$D$39:$Q$39&amp;'Coeff EC7'!$D$40:$Q$40,0))</f>
        <v>#N/A</v>
      </c>
      <c r="P155" s="30" t="e">
        <f t="shared" si="268"/>
        <v>#N/A</v>
      </c>
      <c r="Q155" s="100" t="e">
        <f t="shared" si="233"/>
        <v>#N/A</v>
      </c>
      <c r="R155" s="86" t="b">
        <f t="shared" si="234"/>
        <v>0</v>
      </c>
      <c r="S155" s="86">
        <f t="shared" si="232"/>
        <v>0.5</v>
      </c>
      <c r="T155" s="86">
        <f t="shared" si="235"/>
        <v>0.5</v>
      </c>
      <c r="U155" s="30" t="e">
        <f t="shared" ca="1" si="269"/>
        <v>#DIV/0!</v>
      </c>
      <c r="V155" s="85" t="str">
        <f>IF(B155&lt;=Hypothèses!$V$7,Hypothèses!$W$7,IF(B155&lt;=Hypothèses!$V$8,Hypothèses!$W$8,IF(B155&lt;=Hypothèses!$V$9,Hypothèses!$W$9,IF(B155&lt;=Hypothèses!$V$10,Hypothèses!$W$10,IF(B155&lt;=Hypothèses!$V$11,Hypothèses!$W$11,IF(B155&lt;=Hypothèses!$V$12,Hypothèses!$W$12,IF(B155&lt;=Hypothèses!$V$13,Hypothèses!$W$13,IF(B155&lt;=Hypothèses!$V$14,Hypothèses!$W$14,IF(B155&lt;=Hypothèses!$V$15,Hypothèses!$W$15,IF(B155&lt;=Hypothèses!$V$16,Hypothèses!$W$16,IF(B155&lt;=Hypothèses!$V$17,Hypothèses!$W$17,IF(B155&lt;=Hypothèses!$V$18,Hypothèses!$W$18,""))))))))))))</f>
        <v/>
      </c>
      <c r="W155" s="87" t="e">
        <f t="shared" ca="1" si="316"/>
        <v>#DIV/0!</v>
      </c>
      <c r="X155" s="88" t="str">
        <f>IF(B155&lt;=Hypothèses!$V$7,Hypothèses!$X$7,IF(B155&lt;=Hypothèses!$V$8,Hypothèses!$X$8,IF(B155&lt;=Hypothèses!$V$9,Hypothèses!$X$9,IF(B155&lt;=Hypothèses!$V$10,Hypothèses!$X$10,IF(B155&lt;=Hypothèses!$V$11,Hypothèses!$X$11,IF(B155&lt;=Hypothèses!$V$12,Hypothèses!$X$12,IF(B155&lt;=Hypothèses!$V$13,Hypothèses!$X$13,IF(B155&lt;=Hypothèses!$V$14,Hypothèses!$X$14,IF(B155&lt;=Hypothèses!$V$15,Hypothèses!$X$15,IF(B155&lt;=Hypothèses!$V$16,Hypothèses!$X$16,IF(B155&lt;=Hypothèses!$U$17,Hypothèses!$W$17,IF(B155&lt;=Hypothèses!$U$18,Hypothèses!$W$18,""))))))))))))</f>
        <v/>
      </c>
      <c r="Y155" s="95" t="e">
        <f t="shared" ca="1" si="236"/>
        <v>#DIV/0!</v>
      </c>
      <c r="Z155" s="101" t="e">
        <f t="shared" si="237"/>
        <v>#N/A</v>
      </c>
      <c r="AA155" s="91" t="e">
        <f t="shared" si="238"/>
        <v>#N/A</v>
      </c>
      <c r="AB155" s="30" t="e">
        <f t="shared" si="300"/>
        <v>#N/A</v>
      </c>
      <c r="AC155" s="30" t="e">
        <f t="shared" si="301"/>
        <v>#N/A</v>
      </c>
      <c r="AD155" s="31" t="e">
        <f>IF(OR(Hypothèses!$B$4=17,Hypothèses!$B$4=18,Hypothèses!$B$4=19,Hypothèses!$B$4=20),
IF($D155="Pressio.",
IF(OR($E155=3,$E155=1,$E155=4),AC155,AB155),
IF($D155="Pénétro.",
IF(OR($E155=3,$E155=1,$E155=4),AC155,AB155))),IF($D155="Pressio.",
IF($E155=3,AC155,AB155),
IF($D155="Pénétro.",
IF($E155=4,AC155,AB155))))</f>
        <v>#N/A</v>
      </c>
      <c r="AE155" s="31" t="e">
        <f>(IF(OR(Hypothèses!$B$4=17,Hypothèses!$B$4=18,Hypothèses!$B$4=19,Hypothèses!$B$4=20),
IF($D155="Pressio.",
IF(OR($E155=3,$E155=1,$E155=4),(PI()*AE$12^2)/4*(AA155*$W155*1000)/($H155*$B$5),(PI()*AE$12^2)/4*(AA155*$W155*1000)/($G155*$B$5)),
IF($D155="Pénétro.",
IF(OR($E155=4,$E155=1,$E155=5),(PI()*AE$12^2)/4*(AA155*$W155*1000)/($H155*$B$5),(PI()*AE$12^2)/4*(AA155*$W155*1000)/($G155*$B$5)))),
IF($D155="Pressio.",
IF($E155=3,(PI()*AE$12^2)/4*(AA155*$W155*1000)/($H155*$B$5),(PI()*AE$12^2)/4*(AA155*$W155*1000)/($G155*$B$5)),
IF($D155="Pénétro.",
IF($E155=4,(PI()*AE$12^2)/4*(AA155*$W155*1000)/($H155*$B$5),(PI()*AE$12^2)/4*(AA155*$W155*1000)/($G155*$B$5))))))/10</f>
        <v>#N/A</v>
      </c>
      <c r="AF155" s="102" t="e">
        <f>(VLOOKUP($B$3,'Coeff EC7'!$T$39:$X$59,2,0)*AD155+VLOOKUP($B$3,'Coeff EC7'!$T$65:$X$85,2,0)*Model0.1C!AE155)/1.1</f>
        <v>#N/A</v>
      </c>
      <c r="AG155" s="102" t="e">
        <f>(VLOOKUP($B$3,'Coeff EC7'!$T$39:$X$59,3,0)*AD155+VLOOKUP($B$3,'Coeff EC7'!$T$65:$X$85,3,0)*Model0.1C!AE155)/0.9</f>
        <v>#N/A</v>
      </c>
      <c r="AH155" s="102" t="e">
        <f t="shared" si="239"/>
        <v>#N/A</v>
      </c>
      <c r="AI155" s="102" t="e">
        <f t="shared" si="240"/>
        <v>#N/A</v>
      </c>
      <c r="AJ155" s="414" t="e">
        <f>IF(AJ154=0,0,IF(AND(AF155&gt;charge_ELS_quasi,AG155&gt;Charge_ELS_freq,AH155&gt;charge_ELU,AI155&gt;charge_ELA,$B155&gt;NDC!$H$22-0.1+MIN(3*$AJ$12,1.5)),0,1))</f>
        <v>#N/A</v>
      </c>
      <c r="AK155" s="86" t="b">
        <f t="shared" si="241"/>
        <v>0</v>
      </c>
      <c r="AL155" s="86">
        <f t="shared" si="270"/>
        <v>0.5</v>
      </c>
      <c r="AM155" s="86">
        <f t="shared" si="242"/>
        <v>0.5</v>
      </c>
      <c r="AN155" s="30" t="e">
        <f t="shared" ca="1" si="271"/>
        <v>#DIV/0!</v>
      </c>
      <c r="AO155" s="85" t="e">
        <f ca="1">IF(U155&lt;=Hypothèses!$V$7,Hypothèses!$W$7,IF(U155&lt;=Hypothèses!$V$8,Hypothèses!$W$8,IF(U155&lt;=Hypothèses!$V$9,Hypothèses!$W$9,IF(U155&lt;=Hypothèses!$V$10,Hypothèses!$W$10,IF(U155&lt;=Hypothèses!$V$11,Hypothèses!$W$11,IF(U155&lt;=Hypothèses!$V$12,Hypothèses!$W$12,IF(U155&lt;=Hypothèses!$V$13,Hypothèses!$W$13,IF(U155&lt;=Hypothèses!$V$14,Hypothèses!$W$14,IF(U155&lt;=Hypothèses!$V$15,Hypothèses!$W$15,IF(U155&lt;=Hypothèses!$V$16,Hypothèses!$W$16,IF(U155&lt;=Hypothèses!$V$17,Hypothèses!$W$17,IF(U155&lt;=Hypothèses!$V$18,Hypothèses!$W$18,""))))))))))))</f>
        <v>#DIV/0!</v>
      </c>
      <c r="AP155" s="87" t="e">
        <f t="shared" ca="1" si="317"/>
        <v>#DIV/0!</v>
      </c>
      <c r="AQ155" s="88" t="e">
        <f ca="1">IF(U155&lt;=Hypothèses!$V$7,Hypothèses!$X$7,IF(U155&lt;=Hypothèses!$V$8,Hypothèses!$X$8,IF(U155&lt;=Hypothèses!$V$9,Hypothèses!$X$9,IF(U155&lt;=Hypothèses!$V$10,Hypothèses!$X$10,IF(U155&lt;=Hypothèses!$V$11,Hypothèses!$X$11,IF(U155&lt;=Hypothèses!$V$12,Hypothèses!$X$12,IF(U155&lt;=Hypothèses!$V$13,Hypothèses!$X$13,IF(U155&lt;=Hypothèses!$V$14,Hypothèses!$X$14,IF(U155&lt;=Hypothèses!$V$15,Hypothèses!$X$15,IF(U155&lt;=Hypothèses!$V$16,Hypothèses!$X$16,IF(U155&lt;=Hypothèses!$U$17,Hypothèses!$W$17,IF(U155&lt;=Hypothèses!$U$18,Hypothèses!$W$18,""))))))))))))</f>
        <v>#DIV/0!</v>
      </c>
      <c r="AR155" s="95" t="e">
        <f t="shared" ca="1" si="272"/>
        <v>#DIV/0!</v>
      </c>
      <c r="AS155" s="101" t="e">
        <f t="shared" si="324"/>
        <v>#N/A</v>
      </c>
      <c r="AT155" s="91" t="e">
        <f t="shared" si="243"/>
        <v>#N/A</v>
      </c>
      <c r="AU155" s="30" t="e">
        <f t="shared" si="302"/>
        <v>#N/A</v>
      </c>
      <c r="AV155" s="30" t="e">
        <f t="shared" si="303"/>
        <v>#N/A</v>
      </c>
      <c r="AW155" s="31" t="e">
        <f>IF(OR(Hypothèses!$B$4=17,Hypothèses!$B$4=18,Hypothèses!$B$4=19,Hypothèses!$B$4=20),
IF($D155="Pressio.",
IF(OR($E155=3,$E155=1,$E155=4),AV155,AU155),
IF($D155="Pénétro.",
IF(OR($E155=3,$E155=1,$E155=4),AV155,AU155))),IF($D155="Pressio.",
IF($E155=3,AV155,AU155),
IF($D155="Pénétro.",
IF($E155=4,AV155,AU155))))</f>
        <v>#N/A</v>
      </c>
      <c r="AX155" s="31" t="e">
        <f>(IF(OR(Hypothèses!$B$4=17,Hypothèses!$B$4=18,Hypothèses!$B$4=19,Hypothèses!$B$4=20),
IF($D155="Pressio.",
IF(OR($E155=3,$E155=1,$E155=4),(PI()*AX$12^2)/4*(AT155*$W155*1000)/($H155*$B$5),(PI()*AX$12^2)/4*(AT155*$W155*1000)/($G155*$B$5)),
IF($D155="Pénétro.",
IF(OR($E155=4,$E155=1,$E155=5),(PI()*AX$12^2)/4*(AT155*$W155*1000)/($H155*$B$5),(PI()*AX$12^2)/4*(AT155*$W155*1000)/($G155*$B$5)))),
IF($D155="Pressio.",
IF($E155=3,(PI()*AX$12^2)/4*(AT155*$W155*1000)/($H155*$B$5),(PI()*AX$12^2)/4*(AT155*$W155*1000)/($G155*$B$5)),
IF($D155="Pénétro.",
IF($E155=4,(PI()*AX$12^2)/4*(AT155*$W155*1000)/($H155*$B$5),(PI()*AX$12^2)/4*(AT155*$W155*1000)/($G155*$B$5))))))/10</f>
        <v>#N/A</v>
      </c>
      <c r="AY155" s="102" t="e">
        <f>(VLOOKUP($B$3,'Coeff EC7'!$T$39:$X$59,2,0)*AW155+VLOOKUP($B$3,'Coeff EC7'!$T$65:$X$85,2,0)*Model0.1C!AX155)/1.1</f>
        <v>#N/A</v>
      </c>
      <c r="AZ155" s="102" t="e">
        <f>(VLOOKUP($B$3,'Coeff EC7'!$T$39:$X$59,3,0)*AW155+VLOOKUP($B$3,'Coeff EC7'!$T$65:$X$85,3,0)*Model0.1C!AX155)/0.9</f>
        <v>#N/A</v>
      </c>
      <c r="BA155" s="102" t="e">
        <f t="shared" si="273"/>
        <v>#N/A</v>
      </c>
      <c r="BB155" s="102" t="e">
        <f t="shared" si="274"/>
        <v>#N/A</v>
      </c>
      <c r="BC155" s="414" t="e">
        <f>IF(BC154=0,0,IF(AND(AY155&gt;charge_ELS_quasi,AZ155&gt;Charge_ELS_freq,BA155&gt;charge_ELU,BB155&gt;charge_ELA,$B155&gt;NDC!$H$22-0.1+MIN(3*$BC$12,1.5)),0,1))</f>
        <v>#N/A</v>
      </c>
      <c r="BD155" s="86" t="b">
        <f t="shared" si="244"/>
        <v>0</v>
      </c>
      <c r="BE155" s="86">
        <f t="shared" si="275"/>
        <v>0.5</v>
      </c>
      <c r="BF155" s="86">
        <f t="shared" si="245"/>
        <v>0.5</v>
      </c>
      <c r="BG155" s="30" t="e">
        <f t="shared" ca="1" si="276"/>
        <v>#DIV/0!</v>
      </c>
      <c r="BH155" s="85" t="e">
        <f ca="1">IF(AN155&lt;=Hypothèses!$V$7,Hypothèses!$W$7,IF(AN155&lt;=Hypothèses!$V$8,Hypothèses!$W$8,IF(AN155&lt;=Hypothèses!$V$9,Hypothèses!$W$9,IF(AN155&lt;=Hypothèses!$V$10,Hypothèses!$W$10,IF(AN155&lt;=Hypothèses!$V$11,Hypothèses!$W$11,IF(AN155&lt;=Hypothèses!$V$12,Hypothèses!$W$12,IF(AN155&lt;=Hypothèses!$V$13,Hypothèses!$W$13,IF(AN155&lt;=Hypothèses!$V$14,Hypothèses!$W$14,IF(AN155&lt;=Hypothèses!$V$15,Hypothèses!$W$15,IF(AN155&lt;=Hypothèses!$V$16,Hypothèses!$W$16,IF(AN155&lt;=Hypothèses!$V$17,Hypothèses!$W$17,IF(AN155&lt;=Hypothèses!$V$18,Hypothèses!$W$18,""))))))))))))</f>
        <v>#DIV/0!</v>
      </c>
      <c r="BI155" s="87" t="e">
        <f t="shared" ca="1" si="318"/>
        <v>#DIV/0!</v>
      </c>
      <c r="BJ155" s="88" t="e">
        <f ca="1">IF(AN155&lt;=Hypothèses!$V$7,Hypothèses!$X$7,IF(AN155&lt;=Hypothèses!$V$8,Hypothèses!$X$8,IF(AN155&lt;=Hypothèses!$V$9,Hypothèses!$X$9,IF(AN155&lt;=Hypothèses!$V$10,Hypothèses!$X$10,IF(AN155&lt;=Hypothèses!$V$11,Hypothèses!$X$11,IF(AN155&lt;=Hypothèses!$V$12,Hypothèses!$X$12,IF(AN155&lt;=Hypothèses!$V$13,Hypothèses!$X$13,IF(AN155&lt;=Hypothèses!$V$14,Hypothèses!$X$14,IF(AN155&lt;=Hypothèses!$V$15,Hypothèses!$X$15,IF(AN155&lt;=Hypothèses!$V$16,Hypothèses!$X$16,IF(AN155&lt;=Hypothèses!$U$17,Hypothèses!$W$17,IF(AN155&lt;=Hypothèses!$U$18,Hypothèses!$W$18,""))))))))))))</f>
        <v>#DIV/0!</v>
      </c>
      <c r="BK155" s="95" t="e">
        <f t="shared" ca="1" si="277"/>
        <v>#DIV/0!</v>
      </c>
      <c r="BL155" s="101" t="e">
        <f t="shared" si="325"/>
        <v>#N/A</v>
      </c>
      <c r="BM155" s="91" t="e">
        <f t="shared" si="246"/>
        <v>#N/A</v>
      </c>
      <c r="BN155" s="30" t="e">
        <f t="shared" si="304"/>
        <v>#N/A</v>
      </c>
      <c r="BO155" s="30" t="e">
        <f t="shared" si="305"/>
        <v>#N/A</v>
      </c>
      <c r="BP155" s="31" t="e">
        <f>IF(OR(Hypothèses!$B$4=17,Hypothèses!$B$4=18,Hypothèses!$B$4=19,Hypothèses!$B$4=20),
IF($D155="Pressio.",
IF(OR($E155=3,$E155=1,$E155=4),BO155,BN155),
IF($D155="Pénétro.",
IF(OR($E155=3,$E155=1,$E155=4),BO155,BN155))),IF($D155="Pressio.",
IF($E155=3,BO155,BN155),
IF($D155="Pénétro.",
IF($E155=4,BO155,BN155))))</f>
        <v>#N/A</v>
      </c>
      <c r="BQ155" s="31" t="e">
        <f>(IF(OR(Hypothèses!$B$4=17,Hypothèses!$B$4=18,Hypothèses!$B$4=19,Hypothèses!$B$4=20),
IF($D155="Pressio.",
IF(OR($E155=3,$E155=1,$E155=4),(PI()*BQ$12^2)/4*(BM155*$W155*1000)/($H155*$B$5),(PI()*BQ$12^2)/4*(BM155*$W155*1000)/($G155*$B$5)),
IF($D155="Pénétro.",
IF(OR($E155=4,$E155=1,$E155=5),(PI()*BQ$12^2)/4*(BM155*$W155*1000)/($H155*$B$5),(PI()*BQ$12^2)/4*(BM155*$W155*1000)/($G155*$B$5)))),
IF($D155="Pressio.",
IF($E155=3,(PI()*BQ$12^2)/4*(BM155*$W155*1000)/($H155*$B$5),(PI()*BQ$12^2)/4*(BM155*$W155*1000)/($G155*$B$5)),
IF($D155="Pénétro.",
IF($E155=4,(PI()*BQ$12^2)/4*(BM155*$W155*1000)/($H155*$B$5),(PI()*BQ$12^2)/4*(BM155*$W155*1000)/($G155*$B$5))))))/10</f>
        <v>#N/A</v>
      </c>
      <c r="BR155" s="102" t="e">
        <f>(VLOOKUP($B$3,'Coeff EC7'!$T$39:$X$59,2,0)*BP155+VLOOKUP($B$3,'Coeff EC7'!$T$65:$X$85,2,0)*Model0.1C!BQ155)/1.1</f>
        <v>#N/A</v>
      </c>
      <c r="BS155" s="102" t="e">
        <f>(VLOOKUP($B$3,'Coeff EC7'!$T$39:$X$59,3,0)*BP155+VLOOKUP($B$3,'Coeff EC7'!$T$65:$X$85,3,0)*Model0.1C!BQ155)/0.9</f>
        <v>#N/A</v>
      </c>
      <c r="BT155" s="102" t="e">
        <f t="shared" si="278"/>
        <v>#N/A</v>
      </c>
      <c r="BU155" s="102" t="e">
        <f t="shared" si="279"/>
        <v>#N/A</v>
      </c>
      <c r="BV155" s="414" t="e">
        <f>IF(BV154=0,0,IF(AND(BR155&gt;charge_ELS_quasi,BS155&gt;Charge_ELS_freq,BT155&gt;charge_ELU,BU155&gt;charge_ELA,$B155&gt;NDC!$H$22-0.1+MIN(3*$BV$12,1.5)),0,1))</f>
        <v>#N/A</v>
      </c>
      <c r="BW155" s="86" t="b">
        <f t="shared" si="247"/>
        <v>0</v>
      </c>
      <c r="BX155" s="86">
        <f t="shared" si="248"/>
        <v>0.5</v>
      </c>
      <c r="BY155" s="86">
        <f t="shared" si="249"/>
        <v>0.5</v>
      </c>
      <c r="BZ155" s="30" t="e">
        <f t="shared" ca="1" si="280"/>
        <v>#DIV/0!</v>
      </c>
      <c r="CA155" s="85" t="e">
        <f ca="1">IF(BG155&lt;=Hypothèses!$V$7,Hypothèses!$W$7,IF(BG155&lt;=Hypothèses!$V$8,Hypothèses!$W$8,IF(BG155&lt;=Hypothèses!$V$9,Hypothèses!$W$9,IF(BG155&lt;=Hypothèses!$V$10,Hypothèses!$W$10,IF(BG155&lt;=Hypothèses!$V$11,Hypothèses!$W$11,IF(BG155&lt;=Hypothèses!$V$12,Hypothèses!$W$12,IF(BG155&lt;=Hypothèses!$V$13,Hypothèses!$W$13,IF(BG155&lt;=Hypothèses!$V$14,Hypothèses!$W$14,IF(BG155&lt;=Hypothèses!$V$15,Hypothèses!$W$15,IF(BG155&lt;=Hypothèses!$V$16,Hypothèses!$W$16,IF(BG155&lt;=Hypothèses!$V$17,Hypothèses!$W$17,IF(BG155&lt;=Hypothèses!$V$18,Hypothèses!$W$18,""))))))))))))</f>
        <v>#DIV/0!</v>
      </c>
      <c r="CB155" s="87" t="e">
        <f t="shared" ca="1" si="319"/>
        <v>#DIV/0!</v>
      </c>
      <c r="CC155" s="88" t="e">
        <f ca="1">IF(BG155&lt;=Hypothèses!$V$7,Hypothèses!$X$7,IF(BG155&lt;=Hypothèses!$V$8,Hypothèses!$X$8,IF(BG155&lt;=Hypothèses!$V$9,Hypothèses!$X$9,IF(BG155&lt;=Hypothèses!$V$10,Hypothèses!$X$10,IF(BG155&lt;=Hypothèses!$V$11,Hypothèses!$X$11,IF(BG155&lt;=Hypothèses!$V$12,Hypothèses!$X$12,IF(BG155&lt;=Hypothèses!$V$13,Hypothèses!$X$13,IF(BG155&lt;=Hypothèses!$V$14,Hypothèses!$X$14,IF(BG155&lt;=Hypothèses!$V$15,Hypothèses!$X$15,IF(BG155&lt;=Hypothèses!$V$16,Hypothèses!$X$16,IF(BG155&lt;=Hypothèses!$U$17,Hypothèses!$W$17,IF(BG155&lt;=Hypothèses!$U$18,Hypothèses!$W$18,""))))))))))))</f>
        <v>#DIV/0!</v>
      </c>
      <c r="CD155" s="95" t="e">
        <f t="shared" ca="1" si="281"/>
        <v>#DIV/0!</v>
      </c>
      <c r="CE155" s="101" t="e">
        <f t="shared" si="326"/>
        <v>#N/A</v>
      </c>
      <c r="CF155" s="91" t="e">
        <f t="shared" si="250"/>
        <v>#N/A</v>
      </c>
      <c r="CG155" s="30" t="e">
        <f t="shared" si="306"/>
        <v>#N/A</v>
      </c>
      <c r="CH155" s="30" t="e">
        <f t="shared" si="307"/>
        <v>#N/A</v>
      </c>
      <c r="CI155" s="31" t="e">
        <f>IF(OR(Hypothèses!$B$4=17,Hypothèses!$B$4=18,Hypothèses!$B$4=19,Hypothèses!$B$4=20),
IF($D155="Pressio.",
IF(OR($E155=3,$E155=1,$E155=4),CH155,CG155),
IF($D155="Pénétro.",
IF(OR($E155=3,$E155=1,$E155=4),CH155,CG155))),IF($D155="Pressio.",
IF($E155=3,CH155,CG155),
IF($D155="Pénétro.",
IF($E155=4,CH155,CG155))))</f>
        <v>#N/A</v>
      </c>
      <c r="CJ155" s="31" t="e">
        <f>(IF(OR(Hypothèses!$B$4=17,Hypothèses!$B$4=18,Hypothèses!$B$4=19,Hypothèses!$B$4=20),
IF($D155="Pressio.",
IF(OR($E155=3,$E155=1,$E155=4),(PI()*CJ$12^2)/4*(CF155*$W155*1000)/($H155*$B$5),(PI()*CJ$12^2)/4*(CF155*$W155*1000)/($G155*$B$5)),
IF($D155="Pénétro.",
IF(OR($E155=4,$E155=1,$E155=5),(PI()*CJ$12^2)/4*(CF155*$W155*1000)/($H155*$B$5),(PI()*CJ$12^2)/4*(CF155*$W155*1000)/($G155*$B$5)))),
IF($D155="Pressio.",
IF($E155=3,(PI()*CJ$12^2)/4*(CF155*$W155*1000)/($H155*$B$5),(PI()*CJ$12^2)/4*(CF155*$W155*1000)/($G155*$B$5)),
IF($D155="Pénétro.",
IF($E155=4,(PI()*CJ$12^2)/4*(CF155*$W155*1000)/($H155*$B$5),(PI()*CJ$12^2)/4*(CF155*$W155*1000)/($G155*$B$5))))))/10</f>
        <v>#N/A</v>
      </c>
      <c r="CK155" s="102" t="e">
        <f>(VLOOKUP($B$3,'Coeff EC7'!$T$39:$X$59,2,0)*CI155+VLOOKUP($B$3,'Coeff EC7'!$T$65:$X$85,2,0)*Model0.1C!CJ155)/1.1</f>
        <v>#N/A</v>
      </c>
      <c r="CL155" s="102" t="e">
        <f>(VLOOKUP($B$3,'Coeff EC7'!$T$39:$X$59,3,0)*CI155+VLOOKUP($B$3,'Coeff EC7'!$T$65:$X$85,3,0)*Model0.1C!CJ155)/0.9</f>
        <v>#N/A</v>
      </c>
      <c r="CM155" s="102" t="e">
        <f t="shared" si="282"/>
        <v>#N/A</v>
      </c>
      <c r="CN155" s="102" t="e">
        <f t="shared" si="283"/>
        <v>#N/A</v>
      </c>
      <c r="CO155" s="414" t="e">
        <f>IF(CO154=0,0,IF(AND(CK155&gt;charge_ELS_quasi,CL155&gt;Charge_ELS_freq,CM155&gt;charge_ELU,CN155&gt;charge_ELA,$B155&gt;NDC!$H$22-0.1+MIN(3*$CO$12,1.5)),0,1))</f>
        <v>#N/A</v>
      </c>
      <c r="CP155" s="86" t="b">
        <f t="shared" si="251"/>
        <v>0</v>
      </c>
      <c r="CQ155" s="86">
        <f t="shared" si="252"/>
        <v>0.5</v>
      </c>
      <c r="CR155" s="86">
        <f t="shared" si="253"/>
        <v>0.5</v>
      </c>
      <c r="CS155" s="30" t="e">
        <f t="shared" ca="1" si="284"/>
        <v>#DIV/0!</v>
      </c>
      <c r="CT155" s="85" t="e">
        <f ca="1">IF(BZ155&lt;=Hypothèses!$V$7,Hypothèses!$W$7,IF(BZ155&lt;=Hypothèses!$V$8,Hypothèses!$W$8,IF(BZ155&lt;=Hypothèses!$V$9,Hypothèses!$W$9,IF(BZ155&lt;=Hypothèses!$V$10,Hypothèses!$W$10,IF(BZ155&lt;=Hypothèses!$V$11,Hypothèses!$W$11,IF(BZ155&lt;=Hypothèses!$V$12,Hypothèses!$W$12,IF(BZ155&lt;=Hypothèses!$V$13,Hypothèses!$W$13,IF(BZ155&lt;=Hypothèses!$V$14,Hypothèses!$W$14,IF(BZ155&lt;=Hypothèses!$V$15,Hypothèses!$W$15,IF(BZ155&lt;=Hypothèses!$V$16,Hypothèses!$W$16,IF(BZ155&lt;=Hypothèses!$V$17,Hypothèses!$W$17,IF(BZ155&lt;=Hypothèses!$V$18,Hypothèses!$W$18,""))))))))))))</f>
        <v>#DIV/0!</v>
      </c>
      <c r="CU155" s="87" t="e">
        <f t="shared" ca="1" si="320"/>
        <v>#DIV/0!</v>
      </c>
      <c r="CV155" s="88" t="e">
        <f ca="1">IF(BZ155&lt;=Hypothèses!$V$7,Hypothèses!$X$7,IF(BZ155&lt;=Hypothèses!$V$8,Hypothèses!$X$8,IF(BZ155&lt;=Hypothèses!$V$9,Hypothèses!$X$9,IF(BZ155&lt;=Hypothèses!$V$10,Hypothèses!$X$10,IF(BZ155&lt;=Hypothèses!$V$11,Hypothèses!$X$11,IF(BZ155&lt;=Hypothèses!$V$12,Hypothèses!$X$12,IF(BZ155&lt;=Hypothèses!$V$13,Hypothèses!$X$13,IF(BZ155&lt;=Hypothèses!$V$14,Hypothèses!$X$14,IF(BZ155&lt;=Hypothèses!$V$15,Hypothèses!$X$15,IF(BZ155&lt;=Hypothèses!$V$16,Hypothèses!$X$16,IF(BZ155&lt;=Hypothèses!$U$17,Hypothèses!$W$17,IF(BZ155&lt;=Hypothèses!$U$18,Hypothèses!$W$18,""))))))))))))</f>
        <v>#DIV/0!</v>
      </c>
      <c r="CW155" s="95" t="e">
        <f t="shared" ca="1" si="285"/>
        <v>#DIV/0!</v>
      </c>
      <c r="CX155" s="101" t="e">
        <f t="shared" si="327"/>
        <v>#N/A</v>
      </c>
      <c r="CY155" s="91" t="e">
        <f t="shared" si="254"/>
        <v>#N/A</v>
      </c>
      <c r="CZ155" s="30" t="e">
        <f t="shared" si="308"/>
        <v>#N/A</v>
      </c>
      <c r="DA155" s="30" t="e">
        <f t="shared" si="309"/>
        <v>#N/A</v>
      </c>
      <c r="DB155" s="31" t="e">
        <f>IF(OR(Hypothèses!$B$4=17,Hypothèses!$B$4=18,Hypothèses!$B$4=19,Hypothèses!$B$4=20),
IF($D155="Pressio.",
IF(OR($E155=3,$E155=1,$E155=4),DA155,CZ155),
IF($D155="Pénétro.",
IF(OR($E155=3,$E155=1,$E155=4),DA155,CZ155))),IF($D155="Pressio.",
IF($E155=3,DA155,CZ155),
IF($D155="Pénétro.",
IF($E155=4,DA155,CZ155))))</f>
        <v>#N/A</v>
      </c>
      <c r="DC155" s="31" t="e">
        <f>(IF(OR(Hypothèses!$B$4=17,Hypothèses!$B$4=18,Hypothèses!$B$4=19,Hypothèses!$B$4=20),
IF($D155="Pressio.",
IF(OR($E155=3,$E155=1,$E155=4),(PI()*DC$12^2)/4*(CY155*$W155*1000)/($H155*$B$5),(PI()*DC$12^2)/4*(CY155*$W155*1000)/($G155*$B$5)),
IF($D155="Pénétro.",
IF(OR($E155=4,$E155=1,$E155=5),(PI()*DC$12^2)/4*(CY155*$W155*1000)/($H155*$B$5),(PI()*DC$12^2)/4*(CY155*$W155*1000)/($G155*$B$5)))),
IF($D155="Pressio.",
IF($E155=3,(PI()*DC$12^2)/4*(CY155*$W155*1000)/($H155*$B$5),(PI()*DC$12^2)/4*(CY155*$W155*1000)/($G155*$B$5)),
IF($D155="Pénétro.",
IF($E155=4,(PI()*DC$12^2)/4*(CY155*$W155*1000)/($H155*$B$5),(PI()*DC$12^2)/4*(CY155*$W155*1000)/($G155*$B$5))))))/10</f>
        <v>#N/A</v>
      </c>
      <c r="DD155" s="102" t="e">
        <f>(VLOOKUP($B$3,'Coeff EC7'!$T$39:$X$59,2,0)*DB155+VLOOKUP($B$3,'Coeff EC7'!$T$65:$X$85,2,0)*Model0.1C!DC155)/1.1</f>
        <v>#N/A</v>
      </c>
      <c r="DE155" s="102" t="e">
        <f>(VLOOKUP($B$3,'Coeff EC7'!$T$39:$X$59,3,0)*DB155+VLOOKUP($B$3,'Coeff EC7'!$T$65:$X$85,3,0)*Model0.1C!DC155)/0.9</f>
        <v>#N/A</v>
      </c>
      <c r="DF155" s="102" t="e">
        <f t="shared" si="286"/>
        <v>#N/A</v>
      </c>
      <c r="DG155" s="102" t="e">
        <f t="shared" si="287"/>
        <v>#N/A</v>
      </c>
      <c r="DH155" s="414" t="e">
        <f>IF(DH154=0,0,IF(AND(DD155&gt;charge_ELS_quasi,DE155&gt;Charge_ELS_freq,DF155&gt;charge_ELU,DG155&gt;charge_ELA,$B155&gt;NDC!$H$22-0.1+MIN(3*$DH$12,1.5)),0,1))</f>
        <v>#N/A</v>
      </c>
      <c r="DI155" s="86" t="b">
        <f t="shared" si="255"/>
        <v>0</v>
      </c>
      <c r="DJ155" s="86">
        <f t="shared" si="256"/>
        <v>0.5</v>
      </c>
      <c r="DK155" s="86">
        <f t="shared" si="257"/>
        <v>0.5</v>
      </c>
      <c r="DL155" s="30" t="e">
        <f t="shared" ca="1" si="288"/>
        <v>#DIV/0!</v>
      </c>
      <c r="DM155" s="85" t="e">
        <f ca="1">IF(CS155&lt;=Hypothèses!$V$7,Hypothèses!$W$7,IF(CS155&lt;=Hypothèses!$V$8,Hypothèses!$W$8,IF(CS155&lt;=Hypothèses!$V$9,Hypothèses!$W$9,IF(CS155&lt;=Hypothèses!$V$10,Hypothèses!$W$10,IF(CS155&lt;=Hypothèses!$V$11,Hypothèses!$W$11,IF(CS155&lt;=Hypothèses!$V$12,Hypothèses!$W$12,IF(CS155&lt;=Hypothèses!$V$13,Hypothèses!$W$13,IF(CS155&lt;=Hypothèses!$V$14,Hypothèses!$W$14,IF(CS155&lt;=Hypothèses!$V$15,Hypothèses!$W$15,IF(CS155&lt;=Hypothèses!$V$16,Hypothèses!$W$16,IF(CS155&lt;=Hypothèses!$V$17,Hypothèses!$W$17,IF(CS155&lt;=Hypothèses!$V$18,Hypothèses!$W$18,""))))))))))))</f>
        <v>#DIV/0!</v>
      </c>
      <c r="DN155" s="87" t="e">
        <f t="shared" ca="1" si="321"/>
        <v>#DIV/0!</v>
      </c>
      <c r="DO155" s="88" t="e">
        <f ca="1">IF(CS155&lt;=Hypothèses!$V$7,Hypothèses!$X$7,IF(CS155&lt;=Hypothèses!$V$8,Hypothèses!$X$8,IF(CS155&lt;=Hypothèses!$V$9,Hypothèses!$X$9,IF(CS155&lt;=Hypothèses!$V$10,Hypothèses!$X$10,IF(CS155&lt;=Hypothèses!$V$11,Hypothèses!$X$11,IF(CS155&lt;=Hypothèses!$V$12,Hypothèses!$X$12,IF(CS155&lt;=Hypothèses!$V$13,Hypothèses!$X$13,IF(CS155&lt;=Hypothèses!$V$14,Hypothèses!$X$14,IF(CS155&lt;=Hypothèses!$V$15,Hypothèses!$X$15,IF(CS155&lt;=Hypothèses!$V$16,Hypothèses!$X$16,IF(CS155&lt;=Hypothèses!$U$17,Hypothèses!$W$17,IF(CS155&lt;=Hypothèses!$U$18,Hypothèses!$W$18,""))))))))))))</f>
        <v>#DIV/0!</v>
      </c>
      <c r="DP155" s="95" t="e">
        <f t="shared" ca="1" si="289"/>
        <v>#DIV/0!</v>
      </c>
      <c r="DQ155" s="101" t="e">
        <f t="shared" si="328"/>
        <v>#N/A</v>
      </c>
      <c r="DR155" s="91" t="e">
        <f t="shared" si="258"/>
        <v>#N/A</v>
      </c>
      <c r="DS155" s="30" t="e">
        <f t="shared" si="310"/>
        <v>#N/A</v>
      </c>
      <c r="DT155" s="30" t="e">
        <f t="shared" si="311"/>
        <v>#N/A</v>
      </c>
      <c r="DU155" s="31" t="e">
        <f>IF(OR(Hypothèses!$B$4=17,Hypothèses!$B$4=18,Hypothèses!$B$4=19,Hypothèses!$B$4=20),
IF($D155="Pressio.",
IF(OR($E155=3,$E155=1,$E155=4),DT155,DS155),
IF($D155="Pénétro.",
IF(OR($E155=3,$E155=1,$E155=4),DT155,DS155))),IF($D155="Pressio.",
IF($E155=3,DT155,DS155),
IF($D155="Pénétro.",
IF($E155=4,DT155,DS155))))</f>
        <v>#N/A</v>
      </c>
      <c r="DV155" s="31" t="e">
        <f>(IF(OR(Hypothèses!$B$4=17,Hypothèses!$B$4=18,Hypothèses!$B$4=19,Hypothèses!$B$4=20),
IF($D155="Pressio.",
IF(OR($E155=3,$E155=1,$E155=4),(PI()*DV$12^2)/4*(DR155*$W155*1000)/($H155*$B$5),(PI()*DV$12^2)/4*(DR155*$W155*1000)/($G155*$B$5)),
IF($D155="Pénétro.",
IF(OR($E155=4,$E155=1,$E155=5),(PI()*DV$12^2)/4*(DR155*$W155*1000)/($H155*$B$5),(PI()*DV$12^2)/4*(DR155*$W155*1000)/($G155*$B$5)))),
IF($D155="Pressio.",
IF($E155=3,(PI()*DV$12^2)/4*(DR155*$W155*1000)/($H155*$B$5),(PI()*DV$12^2)/4*(DR155*$W155*1000)/($G155*$B$5)),
IF($D155="Pénétro.",
IF($E155=4,(PI()*DV$12^2)/4*(DR155*$W155*1000)/($H155*$B$5),(PI()*DV$12^2)/4*(DR155*$W155*1000)/($G155*$B$5))))))/10</f>
        <v>#N/A</v>
      </c>
      <c r="DW155" s="102" t="e">
        <f>(VLOOKUP($B$3,'Coeff EC7'!$T$39:$X$59,2,0)*DU155+VLOOKUP($B$3,'Coeff EC7'!$T$65:$X$85,2,0)*Model0.1C!DV155)/1.1</f>
        <v>#N/A</v>
      </c>
      <c r="DX155" s="102" t="e">
        <f>(VLOOKUP($B$3,'Coeff EC7'!$T$39:$X$59,3,0)*DU155+VLOOKUP($B$3,'Coeff EC7'!$T$65:$X$85,3,0)*Model0.1C!DV155)/0.9</f>
        <v>#N/A</v>
      </c>
      <c r="DY155" s="102" t="e">
        <f t="shared" si="290"/>
        <v>#N/A</v>
      </c>
      <c r="DZ155" s="102" t="e">
        <f t="shared" si="291"/>
        <v>#N/A</v>
      </c>
      <c r="EA155" s="414" t="e">
        <f>IF(EA154=0,0,IF(AND(DW155&gt;charge_ELS_quasi,DX155&gt;Charge_ELS_freq,DY155&gt;charge_ELU,DZ155&gt;charge_ELA,$B155&gt;NDC!$H$22-0.1+MIN(3*$EA$12,1.5)),0,1))</f>
        <v>#N/A</v>
      </c>
      <c r="EB155" s="86" t="b">
        <f t="shared" si="259"/>
        <v>0</v>
      </c>
      <c r="EC155" s="418">
        <f t="shared" si="260"/>
        <v>0.51</v>
      </c>
      <c r="ED155" s="86">
        <f t="shared" si="261"/>
        <v>0.51</v>
      </c>
      <c r="EE155" s="30" t="e">
        <f t="shared" ca="1" si="292"/>
        <v>#DIV/0!</v>
      </c>
      <c r="EF155" s="85" t="e">
        <f ca="1">IF(DL155&lt;=Hypothèses!$V$7,Hypothèses!$W$7,IF(DL155&lt;=Hypothèses!$V$8,Hypothèses!$W$8,IF(DL155&lt;=Hypothèses!$V$9,Hypothèses!$W$9,IF(DL155&lt;=Hypothèses!$V$10,Hypothèses!$W$10,IF(DL155&lt;=Hypothèses!$V$11,Hypothèses!$W$11,IF(DL155&lt;=Hypothèses!$V$12,Hypothèses!$W$12,IF(DL155&lt;=Hypothèses!$V$13,Hypothèses!$W$13,IF(DL155&lt;=Hypothèses!$V$14,Hypothèses!$W$14,IF(DL155&lt;=Hypothèses!$V$15,Hypothèses!$W$15,IF(DL155&lt;=Hypothèses!$V$16,Hypothèses!$W$16,IF(DL155&lt;=Hypothèses!$V$17,Hypothèses!$W$17,IF(DL155&lt;=Hypothèses!$V$18,Hypothèses!$W$18,""))))))))))))</f>
        <v>#DIV/0!</v>
      </c>
      <c r="EG155" s="87" t="e">
        <f t="shared" ca="1" si="322"/>
        <v>#DIV/0!</v>
      </c>
      <c r="EH155" s="88" t="e">
        <f ca="1">IF(DL155&lt;=Hypothèses!$V$7,Hypothèses!$X$7,IF(DL155&lt;=Hypothèses!$V$8,Hypothèses!$X$8,IF(DL155&lt;=Hypothèses!$V$9,Hypothèses!$X$9,IF(DL155&lt;=Hypothèses!$V$10,Hypothèses!$X$10,IF(DL155&lt;=Hypothèses!$V$11,Hypothèses!$X$11,IF(DL155&lt;=Hypothèses!$V$12,Hypothèses!$X$12,IF(DL155&lt;=Hypothèses!$V$13,Hypothèses!$X$13,IF(DL155&lt;=Hypothèses!$V$14,Hypothèses!$X$14,IF(DL155&lt;=Hypothèses!$V$15,Hypothèses!$X$15,IF(DL155&lt;=Hypothèses!$V$16,Hypothèses!$X$16,IF(DL155&lt;=Hypothèses!$U$17,Hypothèses!$W$17,IF(DL155&lt;=Hypothèses!$U$18,Hypothèses!$W$18,""))))))))))))</f>
        <v>#DIV/0!</v>
      </c>
      <c r="EI155" s="95" t="e">
        <f t="shared" ca="1" si="293"/>
        <v>#DIV/0!</v>
      </c>
      <c r="EJ155" s="101" t="e">
        <f t="shared" si="329"/>
        <v>#N/A</v>
      </c>
      <c r="EK155" s="91" t="e">
        <f t="shared" si="262"/>
        <v>#N/A</v>
      </c>
      <c r="EL155" s="30" t="e">
        <f t="shared" si="312"/>
        <v>#N/A</v>
      </c>
      <c r="EM155" s="30" t="e">
        <f t="shared" si="313"/>
        <v>#N/A</v>
      </c>
      <c r="EN155" s="31" t="e">
        <f>IF(OR(Hypothèses!$B$4=17,Hypothèses!$B$4=18,Hypothèses!$B$4=19,Hypothèses!$B$4=20),
IF($D155="Pressio.",
IF(OR($E155=3,$E155=1,$E155=4),EM155,EL155),
IF($D155="Pénétro.",
IF(OR($E155=3,$E155=1,$E155=4),EM155,EL155))),IF($D155="Pressio.",
IF($E155=3,EM155,EL155),
IF($D155="Pénétro.",
IF($E155=4,EM155,EL155))))</f>
        <v>#N/A</v>
      </c>
      <c r="EO155" s="31" t="e">
        <f>(IF(OR(Hypothèses!$B$4=17,Hypothèses!$B$4=18,Hypothèses!$B$4=19,Hypothèses!$B$4=20),
IF($D155="Pressio.",
IF(OR($E155=3,$E155=1,$E155=4),(PI()*EO$12^2)/4*(EK155*$W155*1000)/($H155*$B$5),(PI()*EO$12^2)/4*(EK155*$W155*1000)/($G155*$B$5)),
IF($D155="Pénétro.",
IF(OR($E155=4,$E155=1,$E155=5),(PI()*EO$12^2)/4*(EK155*$W155*1000)/($H155*$B$5),(PI()*EO$12^2)/4*(EK155*$W155*1000)/($G155*$B$5)))),
IF($D155="Pressio.",
IF($E155=3,(PI()*EO$12^2)/4*(EK155*$W155*1000)/($H155*$B$5),(PI()*EO$12^2)/4*(EK155*$W155*1000)/($G155*$B$5)),
IF($D155="Pénétro.",
IF($E155=4,(PI()*EO$12^2)/4*(EK155*$W155*1000)/($H155*$B$5),(PI()*EO$12^2)/4*(EK155*$W155*1000)/($G155*$B$5))))))/10</f>
        <v>#N/A</v>
      </c>
      <c r="EP155" s="102" t="e">
        <f>(VLOOKUP($B$3,'Coeff EC7'!$T$39:$X$59,2,0)*EN155+VLOOKUP($B$3,'Coeff EC7'!$T$65:$X$85,2,0)*Model0.1C!EO155)/1.1</f>
        <v>#N/A</v>
      </c>
      <c r="EQ155" s="102" t="e">
        <f>(VLOOKUP($B$3,'Coeff EC7'!$T$39:$X$59,3,0)*EN155+VLOOKUP($B$3,'Coeff EC7'!$T$65:$X$85,3,0)*Model0.1C!EO155)/0.9</f>
        <v>#N/A</v>
      </c>
      <c r="ER155" s="102" t="e">
        <f t="shared" si="294"/>
        <v>#N/A</v>
      </c>
      <c r="ES155" s="102" t="e">
        <f t="shared" si="295"/>
        <v>#N/A</v>
      </c>
      <c r="ET155" s="414" t="e">
        <f>IF(ET154=0,0,IF(AND(EP155&gt;charge_ELS_quasi,EQ155&gt;Charge_ELS_freq,ER155&gt;charge_ELU,ES155&gt;charge_ELA,$B155&gt;NDC!$H$22-0.1+MIN(3*$ET$12,1.5)),0,1))</f>
        <v>#N/A</v>
      </c>
      <c r="EU155" s="86" t="b">
        <f t="shared" si="263"/>
        <v>0</v>
      </c>
      <c r="EV155" s="86">
        <f t="shared" si="264"/>
        <v>0.61</v>
      </c>
      <c r="EW155" s="86">
        <f t="shared" si="265"/>
        <v>0.61</v>
      </c>
      <c r="EX155" s="30" t="e">
        <f t="shared" ca="1" si="296"/>
        <v>#DIV/0!</v>
      </c>
      <c r="EY155" s="85" t="e">
        <f ca="1">IF(EE155&lt;=Hypothèses!$V$7,Hypothèses!$W$7,IF(EE155&lt;=Hypothèses!$V$8,Hypothèses!$W$8,IF(EE155&lt;=Hypothèses!$V$9,Hypothèses!$W$9,IF(EE155&lt;=Hypothèses!$V$10,Hypothèses!$W$10,IF(EE155&lt;=Hypothèses!$V$11,Hypothèses!$W$11,IF(EE155&lt;=Hypothèses!$V$12,Hypothèses!$W$12,IF(EE155&lt;=Hypothèses!$V$13,Hypothèses!$W$13,IF(EE155&lt;=Hypothèses!$V$14,Hypothèses!$W$14,IF(EE155&lt;=Hypothèses!$V$15,Hypothèses!$W$15,IF(EE155&lt;=Hypothèses!$V$16,Hypothèses!$W$16,IF(EE155&lt;=Hypothèses!$V$17,Hypothèses!$W$17,IF(EE155&lt;=Hypothèses!$V$18,Hypothèses!$W$18,""))))))))))))</f>
        <v>#DIV/0!</v>
      </c>
      <c r="EZ155" s="87" t="e">
        <f t="shared" ca="1" si="323"/>
        <v>#DIV/0!</v>
      </c>
      <c r="FA155" s="88" t="e">
        <f ca="1">IF(EE155&lt;=Hypothèses!$V$7,Hypothèses!$X$7,IF(EE155&lt;=Hypothèses!$V$8,Hypothèses!$X$8,IF(EE155&lt;=Hypothèses!$V$9,Hypothèses!$X$9,IF(EE155&lt;=Hypothèses!$V$10,Hypothèses!$X$10,IF(EE155&lt;=Hypothèses!$V$11,Hypothèses!$X$11,IF(EE155&lt;=Hypothèses!$V$12,Hypothèses!$X$12,IF(EE155&lt;=Hypothèses!$V$13,Hypothèses!$X$13,IF(EE155&lt;=Hypothèses!$V$14,Hypothèses!$X$14,IF(EE155&lt;=Hypothèses!$V$15,Hypothèses!$X$15,IF(EE155&lt;=Hypothèses!$V$16,Hypothèses!$X$16,IF(EE155&lt;=Hypothèses!$U$17,Hypothèses!$W$17,IF(EE155&lt;=Hypothèses!$U$18,Hypothèses!$W$18,""))))))))))))</f>
        <v>#DIV/0!</v>
      </c>
      <c r="FB155" s="95" t="e">
        <f t="shared" ca="1" si="297"/>
        <v>#DIV/0!</v>
      </c>
      <c r="FC155" s="101" t="e">
        <f t="shared" si="330"/>
        <v>#N/A</v>
      </c>
      <c r="FD155" s="91" t="e">
        <f t="shared" si="266"/>
        <v>#N/A</v>
      </c>
      <c r="FE155" s="30" t="e">
        <f t="shared" si="314"/>
        <v>#N/A</v>
      </c>
      <c r="FF155" s="30" t="e">
        <f t="shared" si="315"/>
        <v>#N/A</v>
      </c>
      <c r="FG155" s="31" t="e">
        <f>IF(OR(Hypothèses!$B$4=17,Hypothèses!$B$4=18,Hypothèses!$B$4=19,Hypothèses!$B$4=20),
IF($D155="Pressio.",
IF(OR($E155=3,$E155=1,$E155=4),FF155,FE155),
IF($D155="Pénétro.",
IF(OR($E155=3,$E155=1,$E155=4),FF155,FE155))),IF($D155="Pressio.",
IF($E155=3,FF155,FE155),
IF($D155="Pénétro.",
IF($E155=4,FF155,FE155))))</f>
        <v>#N/A</v>
      </c>
      <c r="FH155" s="31" t="e">
        <f>(IF(OR(Hypothèses!$B$4=17,Hypothèses!$B$4=18,Hypothèses!$B$4=19,Hypothèses!$B$4=20),
IF($D155="Pressio.",
IF(OR($E155=3,$E155=1,$E155=4),(PI()*FH$12^2)/4*(FD155*$W155*1000)/($H155*$B$5),(PI()*FH$12^2)/4*(FD155*$W155*1000)/($G155*$B$5)),
IF($D155="Pénétro.",
IF(OR($E155=4,$E155=1,$E155=5),(PI()*FH$12^2)/4*(FD155*$W155*1000)/($H155*$B$5),(PI()*FH$12^2)/4*(FD155*$W155*1000)/($G155*$B$5)))),
IF($D155="Pressio.",
IF($E155=3,(PI()*FH$12^2)/4*(FD155*$W155*1000)/($H155*$B$5),(PI()*FH$12^2)/4*(FD155*$W155*1000)/($G155*$B$5)),
IF($D155="Pénétro.",
IF($E155=4,(PI()*FH$12^2)/4*(FD155*$W155*1000)/($H155*$B$5),(PI()*FH$12^2)/4*(FD155*$W155*1000)/($G155*$B$5))))))/10</f>
        <v>#N/A</v>
      </c>
      <c r="FI155" s="102" t="e">
        <f>(VLOOKUP($B$3,'Coeff EC7'!$T$39:$X$59,2,0)*FG155+VLOOKUP($B$3,'Coeff EC7'!$T$65:$X$85,2,0)*Model0.1C!FH155)/1.1</f>
        <v>#N/A</v>
      </c>
      <c r="FJ155" s="102" t="e">
        <f>(VLOOKUP($B$3,'Coeff EC7'!$T$39:$X$59,3,0)*FG155+VLOOKUP($B$3,'Coeff EC7'!$T$65:$X$85,3,0)*Model0.1C!FH155)/0.9</f>
        <v>#N/A</v>
      </c>
      <c r="FK155" s="102" t="e">
        <f t="shared" si="298"/>
        <v>#N/A</v>
      </c>
      <c r="FL155" s="102" t="e">
        <f t="shared" si="299"/>
        <v>#N/A</v>
      </c>
      <c r="FM155" s="414" t="e">
        <f>IF(FM154=0,0,IF(AND(FI155&gt;charge_ELS_quasi,FJ155&gt;Charge_ELS_freq,FK155&gt;charge_ELU,FL155&gt;charge_ELA,$B155&gt;NDC!$H$22-0.1+MIN(3*$FM$12,1.5)),0,1))</f>
        <v>#N/A</v>
      </c>
    </row>
    <row r="156" spans="1:169">
      <c r="A156" s="96">
        <f t="shared" si="267"/>
        <v>85.700000000000813</v>
      </c>
      <c r="B156" s="97">
        <v>14.3</v>
      </c>
      <c r="C156" s="81">
        <f>IF(B156&lt;=Hypothèses!$C$7,Hypothèses!$A$7,IF(B156&lt;=Hypothèses!$C$8,Hypothèses!$A$8,IF(B156&lt;=Hypothèses!$C$9,Hypothèses!$A$9,IF(B156&lt;=Hypothèses!$C$10,Hypothèses!$A$10,IF(B156&lt;=Hypothèses!$C$11,Hypothèses!$A$11,IF(B156&lt;=Hypothèses!$C$12,Hypothèses!$A$12,IF(B156&lt;=Hypothèses!$C$13,Hypothèses!$A$13,IF(B156&lt;=Hypothèses!$C$14,Hypothèses!$A$14,IF(B156&lt;=Hypothèses!$C$15,Hypothèses!$A$15,IF(B156&lt;=Hypothèses!$C$16,Hypothèses!$A$16,IF(B156&lt;=Hypothèses!$C$17,Hypothèses!$A$17,IF(B156&lt;=Hypothèses!$C$18,Hypothèses!$A$18,C155))))))))))))</f>
        <v>11</v>
      </c>
      <c r="D156" s="82" t="str">
        <f>IF(B156&lt;=Hypothèses!$C$7,Hypothèses!$R$7,IF(B156&lt;=Hypothèses!$C$8,Hypothèses!$R$8,IF(B156&lt;=Hypothèses!$C$9,Hypothèses!$R$9,IF(B156&lt;=Hypothèses!$C$10,Hypothèses!$R$10,IF(B156&lt;=Hypothèses!$C$11,Hypothèses!$R$11,IF(B156&lt;=Hypothèses!$C$12,Hypothèses!$R$12,IF(B156&lt;=Hypothèses!$C$13,Hypothèses!$R$13,IF(B156&lt;=Hypothèses!$C$14,Hypothèses!$R$14,IF(B156&lt;=Hypothèses!$C$15,Hypothèses!$R$15,IF(B156&lt;=Hypothèses!$C$16,Hypothèses!$R$16,IF(B156&lt;=Hypothèses!$C$17,Hypothèses!$R$17,IF(B156&lt;=Hypothèses!$C$18,Hypothèses!$R$18,D155))))))))))))</f>
        <v>Pressio.</v>
      </c>
      <c r="E156" s="82" t="e">
        <f>IF(B156&lt;=Hypothèses!$C$7,Hypothèses!$G$7,IF(B156&lt;=Hypothèses!$C$8,Hypothèses!$G$8,IF(B156&lt;=Hypothèses!$C$9,Hypothèses!$G$9,IF(B156&lt;=Hypothèses!$C$10,Hypothèses!$G$10,IF(B156&lt;=Hypothèses!$C$11,Hypothèses!$G$11,IF(B156&lt;=Hypothèses!$C$12,Hypothèses!$G$12,IF(B156&lt;=Hypothèses!$C$13,Hypothèses!$G$13,IF(B156&lt;=Hypothèses!$C$14,Hypothèses!$G$14,IF(B156&lt;=Hypothèses!$C$15,Hypothèses!$G$15,IF(B156&lt;=Hypothèses!$C$16,Hypothèses!$G$16,IF(B156&lt;=Hypothèses!$C$17,Hypothèses!$G$17,IF(B156&lt;=Hypothèses!$C$18,Hypothèses!$G$18,E155))))))))))))</f>
        <v>#N/A</v>
      </c>
      <c r="F156" s="82" t="str">
        <f>IF(B156&lt;=Hypothèses!$C$7,Hypothèses!$F$7,IF(B156&lt;=Hypothèses!$C$8,Hypothèses!$F$8,IF(B156&lt;=Hypothèses!$C$9,Hypothèses!$F$9,IF(B156&lt;=Hypothèses!$C$10,Hypothèses!$F$10,IF(B156&lt;=Hypothèses!$C$11,Hypothèses!$F$11,IF(B156&lt;=Hypothèses!$C$12,Hypothèses!$F$12,IF(B156&lt;=Hypothèses!$C$13,Hypothèses!$F$13,IF(B156&lt;=Hypothèses!$C$14,Hypothèses!$F$14,IF(B156&lt;=Hypothèses!$C$15,Hypothèses!$F$15,IF(B156&lt;=Hypothèses!$C$16,Hypothèses!$F$16,IF(B156&lt;=Hypothèses!$C$17,Hypothèses!$F$17,IF(B156&lt;=Hypothèses!$C$18,Hypothèses!$F$18,F155))))))))))))</f>
        <v/>
      </c>
      <c r="G156" s="91">
        <f t="array" ref="G156">INDEX('Coeff EC7'!$U$7:$X$27,
MATCH(Model0.1C!$B$3,'Coeff EC7'!$T$7:$T$27,0),
MATCH(Model0.1C!$D156&amp;Model0.1C!$B$4,
'Coeff EC7'!$U$6:$X$6&amp;
'Coeff EC7'!$U$5:$X$5,0))</f>
        <v>1.1499999999999999</v>
      </c>
      <c r="H156" s="91">
        <f t="array" ref="H156">INDEX('Coeff EC7'!$Y$7:$AB$27,
MATCH(Model0.1C!$B$3,'Coeff EC7'!$T$7:$T$27,0),
MATCH(Model0.1C!$D156&amp;Model0.1C!$B$4,
'Coeff EC7'!$Y$6:$AB$6&amp;
'Coeff EC7'!$Y$5:$AB$5,0))</f>
        <v>1.4</v>
      </c>
      <c r="I156" s="83" t="e">
        <f>IF(B156&lt;=Hypothèses!$C$7,Hypothèses!$P$7,IF(B156&lt;=Hypothèses!$C$8,Hypothèses!$P$8,IF(B156&lt;=Hypothèses!$C$9,Hypothèses!$P$9,IF(B156&lt;=Hypothèses!$C$10,Hypothèses!$P$10,IF(B156&lt;=Hypothèses!$C$11,Hypothèses!$P$11,IF(B156&lt;=Hypothèses!$C$12,Hypothèses!$P$12,IF(B156&lt;=Hypothèses!$C$13,Hypothèses!$P$13,IF(B156&lt;=Hypothèses!$C$14,Hypothèses!$P$14,IF(B156&lt;=Hypothèses!$C$15,Hypothèses!$P$15,IF(B156&lt;=Hypothèses!$C$16,Hypothèses!$P$16,IF(B156&lt;=Hypothèses!$C$17,Hypothèses!$P$17,IF(B156&lt;=Hypothèses!$C$18,Hypothèses!$P$18,I155))))))))))))</f>
        <v>#N/A</v>
      </c>
      <c r="J156" s="91" t="e">
        <f t="array" ref="J156">INDEX('Coeff EC7'!$D$33:$Q$33,1,MATCH(D156&amp;E156,'Coeff EC7'!$D$31:$Q$31&amp;'Coeff EC7'!$D$32:$Q$32,0))</f>
        <v>#N/A</v>
      </c>
      <c r="K156" s="91" t="e">
        <f t="array" ref="K156">INDEX('Coeff EC7'!$D$34:$Q$34,1,MATCH(D156&amp;E156,'Coeff EC7'!$D$31:$Q$31&amp;'Coeff EC7'!$D$32:$Q$32,0))</f>
        <v>#N/A</v>
      </c>
      <c r="L156" s="91" t="e">
        <f t="array" ref="L156">INDEX('Coeff EC7'!$D$35:$Q$35,1,MATCH(D156&amp;E156,'Coeff EC7'!$D$31:$Q$31&amp;'Coeff EC7'!$D$32:$Q$32,0))</f>
        <v>#N/A</v>
      </c>
      <c r="M156" s="98" t="e">
        <f t="shared" si="231"/>
        <v>#N/A</v>
      </c>
      <c r="N156" s="99" t="e">
        <f t="array" ref="N156">INDEX('Coeff EC7'!$D$7:$Q$27,MATCH($B$3,'Coeff EC7'!$C$7:$C$27,0),MATCH(D156&amp;E156,'Coeff EC7'!$D$5:$Q$5&amp;'Coeff EC7'!$D$6:$Q$6,0))</f>
        <v>#N/A</v>
      </c>
      <c r="O156" s="99" t="e">
        <f t="array" ref="O156">INDEX('Coeff EC7'!$D$41:$Q$61,MATCH($B$3,'Coeff EC7'!$C$41:$C$61,0),MATCH(D156&amp;E156,'Coeff EC7'!$D$39:$Q$39&amp;'Coeff EC7'!$D$40:$Q$40,0))</f>
        <v>#N/A</v>
      </c>
      <c r="P156" s="30" t="e">
        <f t="shared" si="268"/>
        <v>#N/A</v>
      </c>
      <c r="Q156" s="100" t="e">
        <f t="shared" si="233"/>
        <v>#N/A</v>
      </c>
      <c r="R156" s="86" t="b">
        <f t="shared" si="234"/>
        <v>0</v>
      </c>
      <c r="S156" s="86">
        <f t="shared" si="232"/>
        <v>0.5</v>
      </c>
      <c r="T156" s="86">
        <f t="shared" si="235"/>
        <v>0.5</v>
      </c>
      <c r="U156" s="30" t="e">
        <f t="shared" ca="1" si="269"/>
        <v>#DIV/0!</v>
      </c>
      <c r="V156" s="85" t="str">
        <f>IF(B156&lt;=Hypothèses!$V$7,Hypothèses!$W$7,IF(B156&lt;=Hypothèses!$V$8,Hypothèses!$W$8,IF(B156&lt;=Hypothèses!$V$9,Hypothèses!$W$9,IF(B156&lt;=Hypothèses!$V$10,Hypothèses!$W$10,IF(B156&lt;=Hypothèses!$V$11,Hypothèses!$W$11,IF(B156&lt;=Hypothèses!$V$12,Hypothèses!$W$12,IF(B156&lt;=Hypothèses!$V$13,Hypothèses!$W$13,IF(B156&lt;=Hypothèses!$V$14,Hypothèses!$W$14,IF(B156&lt;=Hypothèses!$V$15,Hypothèses!$W$15,IF(B156&lt;=Hypothèses!$V$16,Hypothèses!$W$16,IF(B156&lt;=Hypothèses!$V$17,Hypothèses!$W$17,IF(B156&lt;=Hypothèses!$V$18,Hypothèses!$W$18,""))))))))))))</f>
        <v/>
      </c>
      <c r="W156" s="87" t="e">
        <f t="shared" ca="1" si="316"/>
        <v>#DIV/0!</v>
      </c>
      <c r="X156" s="88" t="str">
        <f>IF(B156&lt;=Hypothèses!$V$7,Hypothèses!$X$7,IF(B156&lt;=Hypothèses!$V$8,Hypothèses!$X$8,IF(B156&lt;=Hypothèses!$V$9,Hypothèses!$X$9,IF(B156&lt;=Hypothèses!$V$10,Hypothèses!$X$10,IF(B156&lt;=Hypothèses!$V$11,Hypothèses!$X$11,IF(B156&lt;=Hypothèses!$V$12,Hypothèses!$X$12,IF(B156&lt;=Hypothèses!$V$13,Hypothèses!$X$13,IF(B156&lt;=Hypothèses!$V$14,Hypothèses!$X$14,IF(B156&lt;=Hypothèses!$V$15,Hypothèses!$X$15,IF(B156&lt;=Hypothèses!$V$16,Hypothèses!$X$16,IF(B156&lt;=Hypothèses!$U$17,Hypothèses!$W$17,IF(B156&lt;=Hypothèses!$U$18,Hypothèses!$W$18,""))))))))))))</f>
        <v/>
      </c>
      <c r="Y156" s="95" t="e">
        <f t="shared" ca="1" si="236"/>
        <v>#DIV/0!</v>
      </c>
      <c r="Z156" s="101" t="e">
        <f t="shared" si="237"/>
        <v>#N/A</v>
      </c>
      <c r="AA156" s="91" t="e">
        <f t="shared" si="238"/>
        <v>#N/A</v>
      </c>
      <c r="AB156" s="30" t="e">
        <f t="shared" si="300"/>
        <v>#N/A</v>
      </c>
      <c r="AC156" s="30" t="e">
        <f t="shared" si="301"/>
        <v>#N/A</v>
      </c>
      <c r="AD156" s="31" t="e">
        <f>IF(OR(Hypothèses!$B$4=17,Hypothèses!$B$4=18,Hypothèses!$B$4=19,Hypothèses!$B$4=20),
IF($D156="Pressio.",
IF(OR($E156=3,$E156=1,$E156=4),AC156,AB156),
IF($D156="Pénétro.",
IF(OR($E156=3,$E156=1,$E156=4),AC156,AB156))),IF($D156="Pressio.",
IF($E156=3,AC156,AB156),
IF($D156="Pénétro.",
IF($E156=4,AC156,AB156))))</f>
        <v>#N/A</v>
      </c>
      <c r="AE156" s="31" t="e">
        <f>(IF(OR(Hypothèses!$B$4=17,Hypothèses!$B$4=18,Hypothèses!$B$4=19,Hypothèses!$B$4=20),
IF($D156="Pressio.",
IF(OR($E156=3,$E156=1,$E156=4),(PI()*AE$12^2)/4*(AA156*$W156*1000)/($H156*$B$5),(PI()*AE$12^2)/4*(AA156*$W156*1000)/($G156*$B$5)),
IF($D156="Pénétro.",
IF(OR($E156=4,$E156=1,$E156=5),(PI()*AE$12^2)/4*(AA156*$W156*1000)/($H156*$B$5),(PI()*AE$12^2)/4*(AA156*$W156*1000)/($G156*$B$5)))),
IF($D156="Pressio.",
IF($E156=3,(PI()*AE$12^2)/4*(AA156*$W156*1000)/($H156*$B$5),(PI()*AE$12^2)/4*(AA156*$W156*1000)/($G156*$B$5)),
IF($D156="Pénétro.",
IF($E156=4,(PI()*AE$12^2)/4*(AA156*$W156*1000)/($H156*$B$5),(PI()*AE$12^2)/4*(AA156*$W156*1000)/($G156*$B$5))))))/10</f>
        <v>#N/A</v>
      </c>
      <c r="AF156" s="102" t="e">
        <f>(VLOOKUP($B$3,'Coeff EC7'!$T$39:$X$59,2,0)*AD156+VLOOKUP($B$3,'Coeff EC7'!$T$65:$X$85,2,0)*Model0.1C!AE156)/1.1</f>
        <v>#N/A</v>
      </c>
      <c r="AG156" s="102" t="e">
        <f>(VLOOKUP($B$3,'Coeff EC7'!$T$39:$X$59,3,0)*AD156+VLOOKUP($B$3,'Coeff EC7'!$T$65:$X$85,3,0)*Model0.1C!AE156)/0.9</f>
        <v>#N/A</v>
      </c>
      <c r="AH156" s="102" t="e">
        <f t="shared" si="239"/>
        <v>#N/A</v>
      </c>
      <c r="AI156" s="102" t="e">
        <f t="shared" si="240"/>
        <v>#N/A</v>
      </c>
      <c r="AJ156" s="414" t="e">
        <f>IF(AJ155=0,0,IF(AND(AF156&gt;charge_ELS_quasi,AG156&gt;Charge_ELS_freq,AH156&gt;charge_ELU,AI156&gt;charge_ELA,$B156&gt;NDC!$H$22-0.1+MIN(3*$AJ$12,1.5)),0,1))</f>
        <v>#N/A</v>
      </c>
      <c r="AK156" s="86" t="b">
        <f t="shared" si="241"/>
        <v>0</v>
      </c>
      <c r="AL156" s="86">
        <f t="shared" si="270"/>
        <v>0.5</v>
      </c>
      <c r="AM156" s="86">
        <f t="shared" si="242"/>
        <v>0.5</v>
      </c>
      <c r="AN156" s="30" t="e">
        <f t="shared" ca="1" si="271"/>
        <v>#DIV/0!</v>
      </c>
      <c r="AO156" s="85" t="e">
        <f ca="1">IF(U156&lt;=Hypothèses!$V$7,Hypothèses!$W$7,IF(U156&lt;=Hypothèses!$V$8,Hypothèses!$W$8,IF(U156&lt;=Hypothèses!$V$9,Hypothèses!$W$9,IF(U156&lt;=Hypothèses!$V$10,Hypothèses!$W$10,IF(U156&lt;=Hypothèses!$V$11,Hypothèses!$W$11,IF(U156&lt;=Hypothèses!$V$12,Hypothèses!$W$12,IF(U156&lt;=Hypothèses!$V$13,Hypothèses!$W$13,IF(U156&lt;=Hypothèses!$V$14,Hypothèses!$W$14,IF(U156&lt;=Hypothèses!$V$15,Hypothèses!$W$15,IF(U156&lt;=Hypothèses!$V$16,Hypothèses!$W$16,IF(U156&lt;=Hypothèses!$V$17,Hypothèses!$W$17,IF(U156&lt;=Hypothèses!$V$18,Hypothèses!$W$18,""))))))))))))</f>
        <v>#DIV/0!</v>
      </c>
      <c r="AP156" s="87" t="e">
        <f t="shared" ca="1" si="317"/>
        <v>#DIV/0!</v>
      </c>
      <c r="AQ156" s="88" t="e">
        <f ca="1">IF(U156&lt;=Hypothèses!$V$7,Hypothèses!$X$7,IF(U156&lt;=Hypothèses!$V$8,Hypothèses!$X$8,IF(U156&lt;=Hypothèses!$V$9,Hypothèses!$X$9,IF(U156&lt;=Hypothèses!$V$10,Hypothèses!$X$10,IF(U156&lt;=Hypothèses!$V$11,Hypothèses!$X$11,IF(U156&lt;=Hypothèses!$V$12,Hypothèses!$X$12,IF(U156&lt;=Hypothèses!$V$13,Hypothèses!$X$13,IF(U156&lt;=Hypothèses!$V$14,Hypothèses!$X$14,IF(U156&lt;=Hypothèses!$V$15,Hypothèses!$X$15,IF(U156&lt;=Hypothèses!$V$16,Hypothèses!$X$16,IF(U156&lt;=Hypothèses!$U$17,Hypothèses!$W$17,IF(U156&lt;=Hypothèses!$U$18,Hypothèses!$W$18,""))))))))))))</f>
        <v>#DIV/0!</v>
      </c>
      <c r="AR156" s="95" t="e">
        <f t="shared" ca="1" si="272"/>
        <v>#DIV/0!</v>
      </c>
      <c r="AS156" s="101" t="e">
        <f t="shared" si="324"/>
        <v>#N/A</v>
      </c>
      <c r="AT156" s="91" t="e">
        <f t="shared" si="243"/>
        <v>#N/A</v>
      </c>
      <c r="AU156" s="30" t="e">
        <f t="shared" si="302"/>
        <v>#N/A</v>
      </c>
      <c r="AV156" s="30" t="e">
        <f t="shared" si="303"/>
        <v>#N/A</v>
      </c>
      <c r="AW156" s="31" t="e">
        <f>IF(OR(Hypothèses!$B$4=17,Hypothèses!$B$4=18,Hypothèses!$B$4=19,Hypothèses!$B$4=20),
IF($D156="Pressio.",
IF(OR($E156=3,$E156=1,$E156=4),AV156,AU156),
IF($D156="Pénétro.",
IF(OR($E156=3,$E156=1,$E156=4),AV156,AU156))),IF($D156="Pressio.",
IF($E156=3,AV156,AU156),
IF($D156="Pénétro.",
IF($E156=4,AV156,AU156))))</f>
        <v>#N/A</v>
      </c>
      <c r="AX156" s="31" t="e">
        <f>(IF(OR(Hypothèses!$B$4=17,Hypothèses!$B$4=18,Hypothèses!$B$4=19,Hypothèses!$B$4=20),
IF($D156="Pressio.",
IF(OR($E156=3,$E156=1,$E156=4),(PI()*AX$12^2)/4*(AT156*$W156*1000)/($H156*$B$5),(PI()*AX$12^2)/4*(AT156*$W156*1000)/($G156*$B$5)),
IF($D156="Pénétro.",
IF(OR($E156=4,$E156=1,$E156=5),(PI()*AX$12^2)/4*(AT156*$W156*1000)/($H156*$B$5),(PI()*AX$12^2)/4*(AT156*$W156*1000)/($G156*$B$5)))),
IF($D156="Pressio.",
IF($E156=3,(PI()*AX$12^2)/4*(AT156*$W156*1000)/($H156*$B$5),(PI()*AX$12^2)/4*(AT156*$W156*1000)/($G156*$B$5)),
IF($D156="Pénétro.",
IF($E156=4,(PI()*AX$12^2)/4*(AT156*$W156*1000)/($H156*$B$5),(PI()*AX$12^2)/4*(AT156*$W156*1000)/($G156*$B$5))))))/10</f>
        <v>#N/A</v>
      </c>
      <c r="AY156" s="102" t="e">
        <f>(VLOOKUP($B$3,'Coeff EC7'!$T$39:$X$59,2,0)*AW156+VLOOKUP($B$3,'Coeff EC7'!$T$65:$X$85,2,0)*Model0.1C!AX156)/1.1</f>
        <v>#N/A</v>
      </c>
      <c r="AZ156" s="102" t="e">
        <f>(VLOOKUP($B$3,'Coeff EC7'!$T$39:$X$59,3,0)*AW156+VLOOKUP($B$3,'Coeff EC7'!$T$65:$X$85,3,0)*Model0.1C!AX156)/0.9</f>
        <v>#N/A</v>
      </c>
      <c r="BA156" s="102" t="e">
        <f t="shared" si="273"/>
        <v>#N/A</v>
      </c>
      <c r="BB156" s="102" t="e">
        <f t="shared" si="274"/>
        <v>#N/A</v>
      </c>
      <c r="BC156" s="414" t="e">
        <f>IF(BC155=0,0,IF(AND(AY156&gt;charge_ELS_quasi,AZ156&gt;Charge_ELS_freq,BA156&gt;charge_ELU,BB156&gt;charge_ELA,$B156&gt;NDC!$H$22-0.1+MIN(3*$BC$12,1.5)),0,1))</f>
        <v>#N/A</v>
      </c>
      <c r="BD156" s="86" t="b">
        <f t="shared" si="244"/>
        <v>0</v>
      </c>
      <c r="BE156" s="86">
        <f t="shared" si="275"/>
        <v>0.5</v>
      </c>
      <c r="BF156" s="86">
        <f t="shared" si="245"/>
        <v>0.5</v>
      </c>
      <c r="BG156" s="30" t="e">
        <f t="shared" ca="1" si="276"/>
        <v>#DIV/0!</v>
      </c>
      <c r="BH156" s="85" t="e">
        <f ca="1">IF(AN156&lt;=Hypothèses!$V$7,Hypothèses!$W$7,IF(AN156&lt;=Hypothèses!$V$8,Hypothèses!$W$8,IF(AN156&lt;=Hypothèses!$V$9,Hypothèses!$W$9,IF(AN156&lt;=Hypothèses!$V$10,Hypothèses!$W$10,IF(AN156&lt;=Hypothèses!$V$11,Hypothèses!$W$11,IF(AN156&lt;=Hypothèses!$V$12,Hypothèses!$W$12,IF(AN156&lt;=Hypothèses!$V$13,Hypothèses!$W$13,IF(AN156&lt;=Hypothèses!$V$14,Hypothèses!$W$14,IF(AN156&lt;=Hypothèses!$V$15,Hypothèses!$W$15,IF(AN156&lt;=Hypothèses!$V$16,Hypothèses!$W$16,IF(AN156&lt;=Hypothèses!$V$17,Hypothèses!$W$17,IF(AN156&lt;=Hypothèses!$V$18,Hypothèses!$W$18,""))))))))))))</f>
        <v>#DIV/0!</v>
      </c>
      <c r="BI156" s="87" t="e">
        <f t="shared" ca="1" si="318"/>
        <v>#DIV/0!</v>
      </c>
      <c r="BJ156" s="88" t="e">
        <f ca="1">IF(AN156&lt;=Hypothèses!$V$7,Hypothèses!$X$7,IF(AN156&lt;=Hypothèses!$V$8,Hypothèses!$X$8,IF(AN156&lt;=Hypothèses!$V$9,Hypothèses!$X$9,IF(AN156&lt;=Hypothèses!$V$10,Hypothèses!$X$10,IF(AN156&lt;=Hypothèses!$V$11,Hypothèses!$X$11,IF(AN156&lt;=Hypothèses!$V$12,Hypothèses!$X$12,IF(AN156&lt;=Hypothèses!$V$13,Hypothèses!$X$13,IF(AN156&lt;=Hypothèses!$V$14,Hypothèses!$X$14,IF(AN156&lt;=Hypothèses!$V$15,Hypothèses!$X$15,IF(AN156&lt;=Hypothèses!$V$16,Hypothèses!$X$16,IF(AN156&lt;=Hypothèses!$U$17,Hypothèses!$W$17,IF(AN156&lt;=Hypothèses!$U$18,Hypothèses!$W$18,""))))))))))))</f>
        <v>#DIV/0!</v>
      </c>
      <c r="BK156" s="95" t="e">
        <f t="shared" ca="1" si="277"/>
        <v>#DIV/0!</v>
      </c>
      <c r="BL156" s="101" t="e">
        <f t="shared" si="325"/>
        <v>#N/A</v>
      </c>
      <c r="BM156" s="91" t="e">
        <f t="shared" si="246"/>
        <v>#N/A</v>
      </c>
      <c r="BN156" s="30" t="e">
        <f t="shared" si="304"/>
        <v>#N/A</v>
      </c>
      <c r="BO156" s="30" t="e">
        <f t="shared" si="305"/>
        <v>#N/A</v>
      </c>
      <c r="BP156" s="31" t="e">
        <f>IF(OR(Hypothèses!$B$4=17,Hypothèses!$B$4=18,Hypothèses!$B$4=19,Hypothèses!$B$4=20),
IF($D156="Pressio.",
IF(OR($E156=3,$E156=1,$E156=4),BO156,BN156),
IF($D156="Pénétro.",
IF(OR($E156=3,$E156=1,$E156=4),BO156,BN156))),IF($D156="Pressio.",
IF($E156=3,BO156,BN156),
IF($D156="Pénétro.",
IF($E156=4,BO156,BN156))))</f>
        <v>#N/A</v>
      </c>
      <c r="BQ156" s="31" t="e">
        <f>(IF(OR(Hypothèses!$B$4=17,Hypothèses!$B$4=18,Hypothèses!$B$4=19,Hypothèses!$B$4=20),
IF($D156="Pressio.",
IF(OR($E156=3,$E156=1,$E156=4),(PI()*BQ$12^2)/4*(BM156*$W156*1000)/($H156*$B$5),(PI()*BQ$12^2)/4*(BM156*$W156*1000)/($G156*$B$5)),
IF($D156="Pénétro.",
IF(OR($E156=4,$E156=1,$E156=5),(PI()*BQ$12^2)/4*(BM156*$W156*1000)/($H156*$B$5),(PI()*BQ$12^2)/4*(BM156*$W156*1000)/($G156*$B$5)))),
IF($D156="Pressio.",
IF($E156=3,(PI()*BQ$12^2)/4*(BM156*$W156*1000)/($H156*$B$5),(PI()*BQ$12^2)/4*(BM156*$W156*1000)/($G156*$B$5)),
IF($D156="Pénétro.",
IF($E156=4,(PI()*BQ$12^2)/4*(BM156*$W156*1000)/($H156*$B$5),(PI()*BQ$12^2)/4*(BM156*$W156*1000)/($G156*$B$5))))))/10</f>
        <v>#N/A</v>
      </c>
      <c r="BR156" s="102" t="e">
        <f>(VLOOKUP($B$3,'Coeff EC7'!$T$39:$X$59,2,0)*BP156+VLOOKUP($B$3,'Coeff EC7'!$T$65:$X$85,2,0)*Model0.1C!BQ156)/1.1</f>
        <v>#N/A</v>
      </c>
      <c r="BS156" s="102" t="e">
        <f>(VLOOKUP($B$3,'Coeff EC7'!$T$39:$X$59,3,0)*BP156+VLOOKUP($B$3,'Coeff EC7'!$T$65:$X$85,3,0)*Model0.1C!BQ156)/0.9</f>
        <v>#N/A</v>
      </c>
      <c r="BT156" s="102" t="e">
        <f t="shared" si="278"/>
        <v>#N/A</v>
      </c>
      <c r="BU156" s="102" t="e">
        <f t="shared" si="279"/>
        <v>#N/A</v>
      </c>
      <c r="BV156" s="414" t="e">
        <f>IF(BV155=0,0,IF(AND(BR156&gt;charge_ELS_quasi,BS156&gt;Charge_ELS_freq,BT156&gt;charge_ELU,BU156&gt;charge_ELA,$B156&gt;NDC!$H$22-0.1+MIN(3*$BV$12,1.5)),0,1))</f>
        <v>#N/A</v>
      </c>
      <c r="BW156" s="86" t="b">
        <f t="shared" si="247"/>
        <v>0</v>
      </c>
      <c r="BX156" s="86">
        <f t="shared" si="248"/>
        <v>0.5</v>
      </c>
      <c r="BY156" s="86">
        <f t="shared" si="249"/>
        <v>0.5</v>
      </c>
      <c r="BZ156" s="30" t="e">
        <f t="shared" ca="1" si="280"/>
        <v>#DIV/0!</v>
      </c>
      <c r="CA156" s="85" t="e">
        <f ca="1">IF(BG156&lt;=Hypothèses!$V$7,Hypothèses!$W$7,IF(BG156&lt;=Hypothèses!$V$8,Hypothèses!$W$8,IF(BG156&lt;=Hypothèses!$V$9,Hypothèses!$W$9,IF(BG156&lt;=Hypothèses!$V$10,Hypothèses!$W$10,IF(BG156&lt;=Hypothèses!$V$11,Hypothèses!$W$11,IF(BG156&lt;=Hypothèses!$V$12,Hypothèses!$W$12,IF(BG156&lt;=Hypothèses!$V$13,Hypothèses!$W$13,IF(BG156&lt;=Hypothèses!$V$14,Hypothèses!$W$14,IF(BG156&lt;=Hypothèses!$V$15,Hypothèses!$W$15,IF(BG156&lt;=Hypothèses!$V$16,Hypothèses!$W$16,IF(BG156&lt;=Hypothèses!$V$17,Hypothèses!$W$17,IF(BG156&lt;=Hypothèses!$V$18,Hypothèses!$W$18,""))))))))))))</f>
        <v>#DIV/0!</v>
      </c>
      <c r="CB156" s="87" t="e">
        <f t="shared" ca="1" si="319"/>
        <v>#DIV/0!</v>
      </c>
      <c r="CC156" s="88" t="e">
        <f ca="1">IF(BG156&lt;=Hypothèses!$V$7,Hypothèses!$X$7,IF(BG156&lt;=Hypothèses!$V$8,Hypothèses!$X$8,IF(BG156&lt;=Hypothèses!$V$9,Hypothèses!$X$9,IF(BG156&lt;=Hypothèses!$V$10,Hypothèses!$X$10,IF(BG156&lt;=Hypothèses!$V$11,Hypothèses!$X$11,IF(BG156&lt;=Hypothèses!$V$12,Hypothèses!$X$12,IF(BG156&lt;=Hypothèses!$V$13,Hypothèses!$X$13,IF(BG156&lt;=Hypothèses!$V$14,Hypothèses!$X$14,IF(BG156&lt;=Hypothèses!$V$15,Hypothèses!$X$15,IF(BG156&lt;=Hypothèses!$V$16,Hypothèses!$X$16,IF(BG156&lt;=Hypothèses!$U$17,Hypothèses!$W$17,IF(BG156&lt;=Hypothèses!$U$18,Hypothèses!$W$18,""))))))))))))</f>
        <v>#DIV/0!</v>
      </c>
      <c r="CD156" s="95" t="e">
        <f t="shared" ca="1" si="281"/>
        <v>#DIV/0!</v>
      </c>
      <c r="CE156" s="101" t="e">
        <f t="shared" si="326"/>
        <v>#N/A</v>
      </c>
      <c r="CF156" s="91" t="e">
        <f t="shared" si="250"/>
        <v>#N/A</v>
      </c>
      <c r="CG156" s="30" t="e">
        <f t="shared" si="306"/>
        <v>#N/A</v>
      </c>
      <c r="CH156" s="30" t="e">
        <f t="shared" si="307"/>
        <v>#N/A</v>
      </c>
      <c r="CI156" s="31" t="e">
        <f>IF(OR(Hypothèses!$B$4=17,Hypothèses!$B$4=18,Hypothèses!$B$4=19,Hypothèses!$B$4=20),
IF($D156="Pressio.",
IF(OR($E156=3,$E156=1,$E156=4),CH156,CG156),
IF($D156="Pénétro.",
IF(OR($E156=3,$E156=1,$E156=4),CH156,CG156))),IF($D156="Pressio.",
IF($E156=3,CH156,CG156),
IF($D156="Pénétro.",
IF($E156=4,CH156,CG156))))</f>
        <v>#N/A</v>
      </c>
      <c r="CJ156" s="31" t="e">
        <f>(IF(OR(Hypothèses!$B$4=17,Hypothèses!$B$4=18,Hypothèses!$B$4=19,Hypothèses!$B$4=20),
IF($D156="Pressio.",
IF(OR($E156=3,$E156=1,$E156=4),(PI()*CJ$12^2)/4*(CF156*$W156*1000)/($H156*$B$5),(PI()*CJ$12^2)/4*(CF156*$W156*1000)/($G156*$B$5)),
IF($D156="Pénétro.",
IF(OR($E156=4,$E156=1,$E156=5),(PI()*CJ$12^2)/4*(CF156*$W156*1000)/($H156*$B$5),(PI()*CJ$12^2)/4*(CF156*$W156*1000)/($G156*$B$5)))),
IF($D156="Pressio.",
IF($E156=3,(PI()*CJ$12^2)/4*(CF156*$W156*1000)/($H156*$B$5),(PI()*CJ$12^2)/4*(CF156*$W156*1000)/($G156*$B$5)),
IF($D156="Pénétro.",
IF($E156=4,(PI()*CJ$12^2)/4*(CF156*$W156*1000)/($H156*$B$5),(PI()*CJ$12^2)/4*(CF156*$W156*1000)/($G156*$B$5))))))/10</f>
        <v>#N/A</v>
      </c>
      <c r="CK156" s="102" t="e">
        <f>(VLOOKUP($B$3,'Coeff EC7'!$T$39:$X$59,2,0)*CI156+VLOOKUP($B$3,'Coeff EC7'!$T$65:$X$85,2,0)*Model0.1C!CJ156)/1.1</f>
        <v>#N/A</v>
      </c>
      <c r="CL156" s="102" t="e">
        <f>(VLOOKUP($B$3,'Coeff EC7'!$T$39:$X$59,3,0)*CI156+VLOOKUP($B$3,'Coeff EC7'!$T$65:$X$85,3,0)*Model0.1C!CJ156)/0.9</f>
        <v>#N/A</v>
      </c>
      <c r="CM156" s="102" t="e">
        <f t="shared" si="282"/>
        <v>#N/A</v>
      </c>
      <c r="CN156" s="102" t="e">
        <f t="shared" si="283"/>
        <v>#N/A</v>
      </c>
      <c r="CO156" s="414" t="e">
        <f>IF(CO155=0,0,IF(AND(CK156&gt;charge_ELS_quasi,CL156&gt;Charge_ELS_freq,CM156&gt;charge_ELU,CN156&gt;charge_ELA,$B156&gt;NDC!$H$22-0.1+MIN(3*$CO$12,1.5)),0,1))</f>
        <v>#N/A</v>
      </c>
      <c r="CP156" s="86" t="b">
        <f t="shared" si="251"/>
        <v>0</v>
      </c>
      <c r="CQ156" s="86">
        <f t="shared" si="252"/>
        <v>0.5</v>
      </c>
      <c r="CR156" s="86">
        <f t="shared" si="253"/>
        <v>0.5</v>
      </c>
      <c r="CS156" s="30" t="e">
        <f t="shared" ca="1" si="284"/>
        <v>#DIV/0!</v>
      </c>
      <c r="CT156" s="85" t="e">
        <f ca="1">IF(BZ156&lt;=Hypothèses!$V$7,Hypothèses!$W$7,IF(BZ156&lt;=Hypothèses!$V$8,Hypothèses!$W$8,IF(BZ156&lt;=Hypothèses!$V$9,Hypothèses!$W$9,IF(BZ156&lt;=Hypothèses!$V$10,Hypothèses!$W$10,IF(BZ156&lt;=Hypothèses!$V$11,Hypothèses!$W$11,IF(BZ156&lt;=Hypothèses!$V$12,Hypothèses!$W$12,IF(BZ156&lt;=Hypothèses!$V$13,Hypothèses!$W$13,IF(BZ156&lt;=Hypothèses!$V$14,Hypothèses!$W$14,IF(BZ156&lt;=Hypothèses!$V$15,Hypothèses!$W$15,IF(BZ156&lt;=Hypothèses!$V$16,Hypothèses!$W$16,IF(BZ156&lt;=Hypothèses!$V$17,Hypothèses!$W$17,IF(BZ156&lt;=Hypothèses!$V$18,Hypothèses!$W$18,""))))))))))))</f>
        <v>#DIV/0!</v>
      </c>
      <c r="CU156" s="87" t="e">
        <f t="shared" ca="1" si="320"/>
        <v>#DIV/0!</v>
      </c>
      <c r="CV156" s="88" t="e">
        <f ca="1">IF(BZ156&lt;=Hypothèses!$V$7,Hypothèses!$X$7,IF(BZ156&lt;=Hypothèses!$V$8,Hypothèses!$X$8,IF(BZ156&lt;=Hypothèses!$V$9,Hypothèses!$X$9,IF(BZ156&lt;=Hypothèses!$V$10,Hypothèses!$X$10,IF(BZ156&lt;=Hypothèses!$V$11,Hypothèses!$X$11,IF(BZ156&lt;=Hypothèses!$V$12,Hypothèses!$X$12,IF(BZ156&lt;=Hypothèses!$V$13,Hypothèses!$X$13,IF(BZ156&lt;=Hypothèses!$V$14,Hypothèses!$X$14,IF(BZ156&lt;=Hypothèses!$V$15,Hypothèses!$X$15,IF(BZ156&lt;=Hypothèses!$V$16,Hypothèses!$X$16,IF(BZ156&lt;=Hypothèses!$U$17,Hypothèses!$W$17,IF(BZ156&lt;=Hypothèses!$U$18,Hypothèses!$W$18,""))))))))))))</f>
        <v>#DIV/0!</v>
      </c>
      <c r="CW156" s="95" t="e">
        <f t="shared" ca="1" si="285"/>
        <v>#DIV/0!</v>
      </c>
      <c r="CX156" s="101" t="e">
        <f t="shared" si="327"/>
        <v>#N/A</v>
      </c>
      <c r="CY156" s="91" t="e">
        <f t="shared" si="254"/>
        <v>#N/A</v>
      </c>
      <c r="CZ156" s="30" t="e">
        <f t="shared" si="308"/>
        <v>#N/A</v>
      </c>
      <c r="DA156" s="30" t="e">
        <f t="shared" si="309"/>
        <v>#N/A</v>
      </c>
      <c r="DB156" s="31" t="e">
        <f>IF(OR(Hypothèses!$B$4=17,Hypothèses!$B$4=18,Hypothèses!$B$4=19,Hypothèses!$B$4=20),
IF($D156="Pressio.",
IF(OR($E156=3,$E156=1,$E156=4),DA156,CZ156),
IF($D156="Pénétro.",
IF(OR($E156=3,$E156=1,$E156=4),DA156,CZ156))),IF($D156="Pressio.",
IF($E156=3,DA156,CZ156),
IF($D156="Pénétro.",
IF($E156=4,DA156,CZ156))))</f>
        <v>#N/A</v>
      </c>
      <c r="DC156" s="31" t="e">
        <f>(IF(OR(Hypothèses!$B$4=17,Hypothèses!$B$4=18,Hypothèses!$B$4=19,Hypothèses!$B$4=20),
IF($D156="Pressio.",
IF(OR($E156=3,$E156=1,$E156=4),(PI()*DC$12^2)/4*(CY156*$W156*1000)/($H156*$B$5),(PI()*DC$12^2)/4*(CY156*$W156*1000)/($G156*$B$5)),
IF($D156="Pénétro.",
IF(OR($E156=4,$E156=1,$E156=5),(PI()*DC$12^2)/4*(CY156*$W156*1000)/($H156*$B$5),(PI()*DC$12^2)/4*(CY156*$W156*1000)/($G156*$B$5)))),
IF($D156="Pressio.",
IF($E156=3,(PI()*DC$12^2)/4*(CY156*$W156*1000)/($H156*$B$5),(PI()*DC$12^2)/4*(CY156*$W156*1000)/($G156*$B$5)),
IF($D156="Pénétro.",
IF($E156=4,(PI()*DC$12^2)/4*(CY156*$W156*1000)/($H156*$B$5),(PI()*DC$12^2)/4*(CY156*$W156*1000)/($G156*$B$5))))))/10</f>
        <v>#N/A</v>
      </c>
      <c r="DD156" s="102" t="e">
        <f>(VLOOKUP($B$3,'Coeff EC7'!$T$39:$X$59,2,0)*DB156+VLOOKUP($B$3,'Coeff EC7'!$T$65:$X$85,2,0)*Model0.1C!DC156)/1.1</f>
        <v>#N/A</v>
      </c>
      <c r="DE156" s="102" t="e">
        <f>(VLOOKUP($B$3,'Coeff EC7'!$T$39:$X$59,3,0)*DB156+VLOOKUP($B$3,'Coeff EC7'!$T$65:$X$85,3,0)*Model0.1C!DC156)/0.9</f>
        <v>#N/A</v>
      </c>
      <c r="DF156" s="102" t="e">
        <f t="shared" si="286"/>
        <v>#N/A</v>
      </c>
      <c r="DG156" s="102" t="e">
        <f t="shared" si="287"/>
        <v>#N/A</v>
      </c>
      <c r="DH156" s="414" t="e">
        <f>IF(DH155=0,0,IF(AND(DD156&gt;charge_ELS_quasi,DE156&gt;Charge_ELS_freq,DF156&gt;charge_ELU,DG156&gt;charge_ELA,$B156&gt;NDC!$H$22-0.1+MIN(3*$DH$12,1.5)),0,1))</f>
        <v>#N/A</v>
      </c>
      <c r="DI156" s="86" t="b">
        <f t="shared" si="255"/>
        <v>0</v>
      </c>
      <c r="DJ156" s="86">
        <f t="shared" si="256"/>
        <v>0.5</v>
      </c>
      <c r="DK156" s="86">
        <f t="shared" si="257"/>
        <v>0.5</v>
      </c>
      <c r="DL156" s="30" t="e">
        <f t="shared" ca="1" si="288"/>
        <v>#DIV/0!</v>
      </c>
      <c r="DM156" s="85" t="e">
        <f ca="1">IF(CS156&lt;=Hypothèses!$V$7,Hypothèses!$W$7,IF(CS156&lt;=Hypothèses!$V$8,Hypothèses!$W$8,IF(CS156&lt;=Hypothèses!$V$9,Hypothèses!$W$9,IF(CS156&lt;=Hypothèses!$V$10,Hypothèses!$W$10,IF(CS156&lt;=Hypothèses!$V$11,Hypothèses!$W$11,IF(CS156&lt;=Hypothèses!$V$12,Hypothèses!$W$12,IF(CS156&lt;=Hypothèses!$V$13,Hypothèses!$W$13,IF(CS156&lt;=Hypothèses!$V$14,Hypothèses!$W$14,IF(CS156&lt;=Hypothèses!$V$15,Hypothèses!$W$15,IF(CS156&lt;=Hypothèses!$V$16,Hypothèses!$W$16,IF(CS156&lt;=Hypothèses!$V$17,Hypothèses!$W$17,IF(CS156&lt;=Hypothèses!$V$18,Hypothèses!$W$18,""))))))))))))</f>
        <v>#DIV/0!</v>
      </c>
      <c r="DN156" s="87" t="e">
        <f t="shared" ca="1" si="321"/>
        <v>#DIV/0!</v>
      </c>
      <c r="DO156" s="88" t="e">
        <f ca="1">IF(CS156&lt;=Hypothèses!$V$7,Hypothèses!$X$7,IF(CS156&lt;=Hypothèses!$V$8,Hypothèses!$X$8,IF(CS156&lt;=Hypothèses!$V$9,Hypothèses!$X$9,IF(CS156&lt;=Hypothèses!$V$10,Hypothèses!$X$10,IF(CS156&lt;=Hypothèses!$V$11,Hypothèses!$X$11,IF(CS156&lt;=Hypothèses!$V$12,Hypothèses!$X$12,IF(CS156&lt;=Hypothèses!$V$13,Hypothèses!$X$13,IF(CS156&lt;=Hypothèses!$V$14,Hypothèses!$X$14,IF(CS156&lt;=Hypothèses!$V$15,Hypothèses!$X$15,IF(CS156&lt;=Hypothèses!$V$16,Hypothèses!$X$16,IF(CS156&lt;=Hypothèses!$U$17,Hypothèses!$W$17,IF(CS156&lt;=Hypothèses!$U$18,Hypothèses!$W$18,""))))))))))))</f>
        <v>#DIV/0!</v>
      </c>
      <c r="DP156" s="95" t="e">
        <f t="shared" ca="1" si="289"/>
        <v>#DIV/0!</v>
      </c>
      <c r="DQ156" s="101" t="e">
        <f t="shared" si="328"/>
        <v>#N/A</v>
      </c>
      <c r="DR156" s="91" t="e">
        <f t="shared" si="258"/>
        <v>#N/A</v>
      </c>
      <c r="DS156" s="30" t="e">
        <f t="shared" si="310"/>
        <v>#N/A</v>
      </c>
      <c r="DT156" s="30" t="e">
        <f t="shared" si="311"/>
        <v>#N/A</v>
      </c>
      <c r="DU156" s="31" t="e">
        <f>IF(OR(Hypothèses!$B$4=17,Hypothèses!$B$4=18,Hypothèses!$B$4=19,Hypothèses!$B$4=20),
IF($D156="Pressio.",
IF(OR($E156=3,$E156=1,$E156=4),DT156,DS156),
IF($D156="Pénétro.",
IF(OR($E156=3,$E156=1,$E156=4),DT156,DS156))),IF($D156="Pressio.",
IF($E156=3,DT156,DS156),
IF($D156="Pénétro.",
IF($E156=4,DT156,DS156))))</f>
        <v>#N/A</v>
      </c>
      <c r="DV156" s="31" t="e">
        <f>(IF(OR(Hypothèses!$B$4=17,Hypothèses!$B$4=18,Hypothèses!$B$4=19,Hypothèses!$B$4=20),
IF($D156="Pressio.",
IF(OR($E156=3,$E156=1,$E156=4),(PI()*DV$12^2)/4*(DR156*$W156*1000)/($H156*$B$5),(PI()*DV$12^2)/4*(DR156*$W156*1000)/($G156*$B$5)),
IF($D156="Pénétro.",
IF(OR($E156=4,$E156=1,$E156=5),(PI()*DV$12^2)/4*(DR156*$W156*1000)/($H156*$B$5),(PI()*DV$12^2)/4*(DR156*$W156*1000)/($G156*$B$5)))),
IF($D156="Pressio.",
IF($E156=3,(PI()*DV$12^2)/4*(DR156*$W156*1000)/($H156*$B$5),(PI()*DV$12^2)/4*(DR156*$W156*1000)/($G156*$B$5)),
IF($D156="Pénétro.",
IF($E156=4,(PI()*DV$12^2)/4*(DR156*$W156*1000)/($H156*$B$5),(PI()*DV$12^2)/4*(DR156*$W156*1000)/($G156*$B$5))))))/10</f>
        <v>#N/A</v>
      </c>
      <c r="DW156" s="102" t="e">
        <f>(VLOOKUP($B$3,'Coeff EC7'!$T$39:$X$59,2,0)*DU156+VLOOKUP($B$3,'Coeff EC7'!$T$65:$X$85,2,0)*Model0.1C!DV156)/1.1</f>
        <v>#N/A</v>
      </c>
      <c r="DX156" s="102" t="e">
        <f>(VLOOKUP($B$3,'Coeff EC7'!$T$39:$X$59,3,0)*DU156+VLOOKUP($B$3,'Coeff EC7'!$T$65:$X$85,3,0)*Model0.1C!DV156)/0.9</f>
        <v>#N/A</v>
      </c>
      <c r="DY156" s="102" t="e">
        <f t="shared" si="290"/>
        <v>#N/A</v>
      </c>
      <c r="DZ156" s="102" t="e">
        <f t="shared" si="291"/>
        <v>#N/A</v>
      </c>
      <c r="EA156" s="414" t="e">
        <f>IF(EA155=0,0,IF(AND(DW156&gt;charge_ELS_quasi,DX156&gt;Charge_ELS_freq,DY156&gt;charge_ELU,DZ156&gt;charge_ELA,$B156&gt;NDC!$H$22-0.1+MIN(3*$EA$12,1.5)),0,1))</f>
        <v>#N/A</v>
      </c>
      <c r="EB156" s="86" t="b">
        <f t="shared" si="259"/>
        <v>0</v>
      </c>
      <c r="EC156" s="418">
        <f t="shared" si="260"/>
        <v>0.51</v>
      </c>
      <c r="ED156" s="86">
        <f t="shared" si="261"/>
        <v>0.51</v>
      </c>
      <c r="EE156" s="30" t="e">
        <f t="shared" ca="1" si="292"/>
        <v>#DIV/0!</v>
      </c>
      <c r="EF156" s="85" t="e">
        <f ca="1">IF(DL156&lt;=Hypothèses!$V$7,Hypothèses!$W$7,IF(DL156&lt;=Hypothèses!$V$8,Hypothèses!$W$8,IF(DL156&lt;=Hypothèses!$V$9,Hypothèses!$W$9,IF(DL156&lt;=Hypothèses!$V$10,Hypothèses!$W$10,IF(DL156&lt;=Hypothèses!$V$11,Hypothèses!$W$11,IF(DL156&lt;=Hypothèses!$V$12,Hypothèses!$W$12,IF(DL156&lt;=Hypothèses!$V$13,Hypothèses!$W$13,IF(DL156&lt;=Hypothèses!$V$14,Hypothèses!$W$14,IF(DL156&lt;=Hypothèses!$V$15,Hypothèses!$W$15,IF(DL156&lt;=Hypothèses!$V$16,Hypothèses!$W$16,IF(DL156&lt;=Hypothèses!$V$17,Hypothèses!$W$17,IF(DL156&lt;=Hypothèses!$V$18,Hypothèses!$W$18,""))))))))))))</f>
        <v>#DIV/0!</v>
      </c>
      <c r="EG156" s="87" t="e">
        <f t="shared" ca="1" si="322"/>
        <v>#DIV/0!</v>
      </c>
      <c r="EH156" s="88" t="e">
        <f ca="1">IF(DL156&lt;=Hypothèses!$V$7,Hypothèses!$X$7,IF(DL156&lt;=Hypothèses!$V$8,Hypothèses!$X$8,IF(DL156&lt;=Hypothèses!$V$9,Hypothèses!$X$9,IF(DL156&lt;=Hypothèses!$V$10,Hypothèses!$X$10,IF(DL156&lt;=Hypothèses!$V$11,Hypothèses!$X$11,IF(DL156&lt;=Hypothèses!$V$12,Hypothèses!$X$12,IF(DL156&lt;=Hypothèses!$V$13,Hypothèses!$X$13,IF(DL156&lt;=Hypothèses!$V$14,Hypothèses!$X$14,IF(DL156&lt;=Hypothèses!$V$15,Hypothèses!$X$15,IF(DL156&lt;=Hypothèses!$V$16,Hypothèses!$X$16,IF(DL156&lt;=Hypothèses!$U$17,Hypothèses!$W$17,IF(DL156&lt;=Hypothèses!$U$18,Hypothèses!$W$18,""))))))))))))</f>
        <v>#DIV/0!</v>
      </c>
      <c r="EI156" s="95" t="e">
        <f t="shared" ca="1" si="293"/>
        <v>#DIV/0!</v>
      </c>
      <c r="EJ156" s="101" t="e">
        <f t="shared" si="329"/>
        <v>#N/A</v>
      </c>
      <c r="EK156" s="91" t="e">
        <f t="shared" si="262"/>
        <v>#N/A</v>
      </c>
      <c r="EL156" s="30" t="e">
        <f t="shared" si="312"/>
        <v>#N/A</v>
      </c>
      <c r="EM156" s="30" t="e">
        <f t="shared" si="313"/>
        <v>#N/A</v>
      </c>
      <c r="EN156" s="31" t="e">
        <f>IF(OR(Hypothèses!$B$4=17,Hypothèses!$B$4=18,Hypothèses!$B$4=19,Hypothèses!$B$4=20),
IF($D156="Pressio.",
IF(OR($E156=3,$E156=1,$E156=4),EM156,EL156),
IF($D156="Pénétro.",
IF(OR($E156=3,$E156=1,$E156=4),EM156,EL156))),IF($D156="Pressio.",
IF($E156=3,EM156,EL156),
IF($D156="Pénétro.",
IF($E156=4,EM156,EL156))))</f>
        <v>#N/A</v>
      </c>
      <c r="EO156" s="31" t="e">
        <f>(IF(OR(Hypothèses!$B$4=17,Hypothèses!$B$4=18,Hypothèses!$B$4=19,Hypothèses!$B$4=20),
IF($D156="Pressio.",
IF(OR($E156=3,$E156=1,$E156=4),(PI()*EO$12^2)/4*(EK156*$W156*1000)/($H156*$B$5),(PI()*EO$12^2)/4*(EK156*$W156*1000)/($G156*$B$5)),
IF($D156="Pénétro.",
IF(OR($E156=4,$E156=1,$E156=5),(PI()*EO$12^2)/4*(EK156*$W156*1000)/($H156*$B$5),(PI()*EO$12^2)/4*(EK156*$W156*1000)/($G156*$B$5)))),
IF($D156="Pressio.",
IF($E156=3,(PI()*EO$12^2)/4*(EK156*$W156*1000)/($H156*$B$5),(PI()*EO$12^2)/4*(EK156*$W156*1000)/($G156*$B$5)),
IF($D156="Pénétro.",
IF($E156=4,(PI()*EO$12^2)/4*(EK156*$W156*1000)/($H156*$B$5),(PI()*EO$12^2)/4*(EK156*$W156*1000)/($G156*$B$5))))))/10</f>
        <v>#N/A</v>
      </c>
      <c r="EP156" s="102" t="e">
        <f>(VLOOKUP($B$3,'Coeff EC7'!$T$39:$X$59,2,0)*EN156+VLOOKUP($B$3,'Coeff EC7'!$T$65:$X$85,2,0)*Model0.1C!EO156)/1.1</f>
        <v>#N/A</v>
      </c>
      <c r="EQ156" s="102" t="e">
        <f>(VLOOKUP($B$3,'Coeff EC7'!$T$39:$X$59,3,0)*EN156+VLOOKUP($B$3,'Coeff EC7'!$T$65:$X$85,3,0)*Model0.1C!EO156)/0.9</f>
        <v>#N/A</v>
      </c>
      <c r="ER156" s="102" t="e">
        <f t="shared" si="294"/>
        <v>#N/A</v>
      </c>
      <c r="ES156" s="102" t="e">
        <f t="shared" si="295"/>
        <v>#N/A</v>
      </c>
      <c r="ET156" s="414" t="e">
        <f>IF(ET155=0,0,IF(AND(EP156&gt;charge_ELS_quasi,EQ156&gt;Charge_ELS_freq,ER156&gt;charge_ELU,ES156&gt;charge_ELA,$B156&gt;NDC!$H$22-0.1+MIN(3*$ET$12,1.5)),0,1))</f>
        <v>#N/A</v>
      </c>
      <c r="EU156" s="86" t="b">
        <f t="shared" si="263"/>
        <v>0</v>
      </c>
      <c r="EV156" s="86">
        <f t="shared" si="264"/>
        <v>0.61</v>
      </c>
      <c r="EW156" s="86">
        <f t="shared" si="265"/>
        <v>0.61</v>
      </c>
      <c r="EX156" s="30" t="e">
        <f t="shared" ca="1" si="296"/>
        <v>#DIV/0!</v>
      </c>
      <c r="EY156" s="85" t="e">
        <f ca="1">IF(EE156&lt;=Hypothèses!$V$7,Hypothèses!$W$7,IF(EE156&lt;=Hypothèses!$V$8,Hypothèses!$W$8,IF(EE156&lt;=Hypothèses!$V$9,Hypothèses!$W$9,IF(EE156&lt;=Hypothèses!$V$10,Hypothèses!$W$10,IF(EE156&lt;=Hypothèses!$V$11,Hypothèses!$W$11,IF(EE156&lt;=Hypothèses!$V$12,Hypothèses!$W$12,IF(EE156&lt;=Hypothèses!$V$13,Hypothèses!$W$13,IF(EE156&lt;=Hypothèses!$V$14,Hypothèses!$W$14,IF(EE156&lt;=Hypothèses!$V$15,Hypothèses!$W$15,IF(EE156&lt;=Hypothèses!$V$16,Hypothèses!$W$16,IF(EE156&lt;=Hypothèses!$V$17,Hypothèses!$W$17,IF(EE156&lt;=Hypothèses!$V$18,Hypothèses!$W$18,""))))))))))))</f>
        <v>#DIV/0!</v>
      </c>
      <c r="EZ156" s="87" t="e">
        <f t="shared" ca="1" si="323"/>
        <v>#DIV/0!</v>
      </c>
      <c r="FA156" s="88" t="e">
        <f ca="1">IF(EE156&lt;=Hypothèses!$V$7,Hypothèses!$X$7,IF(EE156&lt;=Hypothèses!$V$8,Hypothèses!$X$8,IF(EE156&lt;=Hypothèses!$V$9,Hypothèses!$X$9,IF(EE156&lt;=Hypothèses!$V$10,Hypothèses!$X$10,IF(EE156&lt;=Hypothèses!$V$11,Hypothèses!$X$11,IF(EE156&lt;=Hypothèses!$V$12,Hypothèses!$X$12,IF(EE156&lt;=Hypothèses!$V$13,Hypothèses!$X$13,IF(EE156&lt;=Hypothèses!$V$14,Hypothèses!$X$14,IF(EE156&lt;=Hypothèses!$V$15,Hypothèses!$X$15,IF(EE156&lt;=Hypothèses!$V$16,Hypothèses!$X$16,IF(EE156&lt;=Hypothèses!$U$17,Hypothèses!$W$17,IF(EE156&lt;=Hypothèses!$U$18,Hypothèses!$W$18,""))))))))))))</f>
        <v>#DIV/0!</v>
      </c>
      <c r="FB156" s="95" t="e">
        <f t="shared" ca="1" si="297"/>
        <v>#DIV/0!</v>
      </c>
      <c r="FC156" s="101" t="e">
        <f t="shared" si="330"/>
        <v>#N/A</v>
      </c>
      <c r="FD156" s="91" t="e">
        <f t="shared" si="266"/>
        <v>#N/A</v>
      </c>
      <c r="FE156" s="30" t="e">
        <f t="shared" si="314"/>
        <v>#N/A</v>
      </c>
      <c r="FF156" s="30" t="e">
        <f t="shared" si="315"/>
        <v>#N/A</v>
      </c>
      <c r="FG156" s="31" t="e">
        <f>IF(OR(Hypothèses!$B$4=17,Hypothèses!$B$4=18,Hypothèses!$B$4=19,Hypothèses!$B$4=20),
IF($D156="Pressio.",
IF(OR($E156=3,$E156=1,$E156=4),FF156,FE156),
IF($D156="Pénétro.",
IF(OR($E156=3,$E156=1,$E156=4),FF156,FE156))),IF($D156="Pressio.",
IF($E156=3,FF156,FE156),
IF($D156="Pénétro.",
IF($E156=4,FF156,FE156))))</f>
        <v>#N/A</v>
      </c>
      <c r="FH156" s="31" t="e">
        <f>(IF(OR(Hypothèses!$B$4=17,Hypothèses!$B$4=18,Hypothèses!$B$4=19,Hypothèses!$B$4=20),
IF($D156="Pressio.",
IF(OR($E156=3,$E156=1,$E156=4),(PI()*FH$12^2)/4*(FD156*$W156*1000)/($H156*$B$5),(PI()*FH$12^2)/4*(FD156*$W156*1000)/($G156*$B$5)),
IF($D156="Pénétro.",
IF(OR($E156=4,$E156=1,$E156=5),(PI()*FH$12^2)/4*(FD156*$W156*1000)/($H156*$B$5),(PI()*FH$12^2)/4*(FD156*$W156*1000)/($G156*$B$5)))),
IF($D156="Pressio.",
IF($E156=3,(PI()*FH$12^2)/4*(FD156*$W156*1000)/($H156*$B$5),(PI()*FH$12^2)/4*(FD156*$W156*1000)/($G156*$B$5)),
IF($D156="Pénétro.",
IF($E156=4,(PI()*FH$12^2)/4*(FD156*$W156*1000)/($H156*$B$5),(PI()*FH$12^2)/4*(FD156*$W156*1000)/($G156*$B$5))))))/10</f>
        <v>#N/A</v>
      </c>
      <c r="FI156" s="102" t="e">
        <f>(VLOOKUP($B$3,'Coeff EC7'!$T$39:$X$59,2,0)*FG156+VLOOKUP($B$3,'Coeff EC7'!$T$65:$X$85,2,0)*Model0.1C!FH156)/1.1</f>
        <v>#N/A</v>
      </c>
      <c r="FJ156" s="102" t="e">
        <f>(VLOOKUP($B$3,'Coeff EC7'!$T$39:$X$59,3,0)*FG156+VLOOKUP($B$3,'Coeff EC7'!$T$65:$X$85,3,0)*Model0.1C!FH156)/0.9</f>
        <v>#N/A</v>
      </c>
      <c r="FK156" s="102" t="e">
        <f t="shared" si="298"/>
        <v>#N/A</v>
      </c>
      <c r="FL156" s="102" t="e">
        <f t="shared" si="299"/>
        <v>#N/A</v>
      </c>
      <c r="FM156" s="414" t="e">
        <f>IF(FM155=0,0,IF(AND(FI156&gt;charge_ELS_quasi,FJ156&gt;Charge_ELS_freq,FK156&gt;charge_ELU,FL156&gt;charge_ELA,$B156&gt;NDC!$H$22-0.1+MIN(3*$FM$12,1.5)),0,1))</f>
        <v>#N/A</v>
      </c>
    </row>
    <row r="157" spans="1:169">
      <c r="A157" s="96">
        <f t="shared" si="267"/>
        <v>85.600000000000819</v>
      </c>
      <c r="B157" s="97">
        <v>14.4</v>
      </c>
      <c r="C157" s="81">
        <f>IF(B157&lt;=Hypothèses!$C$7,Hypothèses!$A$7,IF(B157&lt;=Hypothèses!$C$8,Hypothèses!$A$8,IF(B157&lt;=Hypothèses!$C$9,Hypothèses!$A$9,IF(B157&lt;=Hypothèses!$C$10,Hypothèses!$A$10,IF(B157&lt;=Hypothèses!$C$11,Hypothèses!$A$11,IF(B157&lt;=Hypothèses!$C$12,Hypothèses!$A$12,IF(B157&lt;=Hypothèses!$C$13,Hypothèses!$A$13,IF(B157&lt;=Hypothèses!$C$14,Hypothèses!$A$14,IF(B157&lt;=Hypothèses!$C$15,Hypothèses!$A$15,IF(B157&lt;=Hypothèses!$C$16,Hypothèses!$A$16,IF(B157&lt;=Hypothèses!$C$17,Hypothèses!$A$17,IF(B157&lt;=Hypothèses!$C$18,Hypothèses!$A$18,C156))))))))))))</f>
        <v>11</v>
      </c>
      <c r="D157" s="82" t="str">
        <f>IF(B157&lt;=Hypothèses!$C$7,Hypothèses!$R$7,IF(B157&lt;=Hypothèses!$C$8,Hypothèses!$R$8,IF(B157&lt;=Hypothèses!$C$9,Hypothèses!$R$9,IF(B157&lt;=Hypothèses!$C$10,Hypothèses!$R$10,IF(B157&lt;=Hypothèses!$C$11,Hypothèses!$R$11,IF(B157&lt;=Hypothèses!$C$12,Hypothèses!$R$12,IF(B157&lt;=Hypothèses!$C$13,Hypothèses!$R$13,IF(B157&lt;=Hypothèses!$C$14,Hypothèses!$R$14,IF(B157&lt;=Hypothèses!$C$15,Hypothèses!$R$15,IF(B157&lt;=Hypothèses!$C$16,Hypothèses!$R$16,IF(B157&lt;=Hypothèses!$C$17,Hypothèses!$R$17,IF(B157&lt;=Hypothèses!$C$18,Hypothèses!$R$18,D156))))))))))))</f>
        <v>Pressio.</v>
      </c>
      <c r="E157" s="82" t="e">
        <f>IF(B157&lt;=Hypothèses!$C$7,Hypothèses!$G$7,IF(B157&lt;=Hypothèses!$C$8,Hypothèses!$G$8,IF(B157&lt;=Hypothèses!$C$9,Hypothèses!$G$9,IF(B157&lt;=Hypothèses!$C$10,Hypothèses!$G$10,IF(B157&lt;=Hypothèses!$C$11,Hypothèses!$G$11,IF(B157&lt;=Hypothèses!$C$12,Hypothèses!$G$12,IF(B157&lt;=Hypothèses!$C$13,Hypothèses!$G$13,IF(B157&lt;=Hypothèses!$C$14,Hypothèses!$G$14,IF(B157&lt;=Hypothèses!$C$15,Hypothèses!$G$15,IF(B157&lt;=Hypothèses!$C$16,Hypothèses!$G$16,IF(B157&lt;=Hypothèses!$C$17,Hypothèses!$G$17,IF(B157&lt;=Hypothèses!$C$18,Hypothèses!$G$18,E156))))))))))))</f>
        <v>#N/A</v>
      </c>
      <c r="F157" s="82" t="str">
        <f>IF(B157&lt;=Hypothèses!$C$7,Hypothèses!$F$7,IF(B157&lt;=Hypothèses!$C$8,Hypothèses!$F$8,IF(B157&lt;=Hypothèses!$C$9,Hypothèses!$F$9,IF(B157&lt;=Hypothèses!$C$10,Hypothèses!$F$10,IF(B157&lt;=Hypothèses!$C$11,Hypothèses!$F$11,IF(B157&lt;=Hypothèses!$C$12,Hypothèses!$F$12,IF(B157&lt;=Hypothèses!$C$13,Hypothèses!$F$13,IF(B157&lt;=Hypothèses!$C$14,Hypothèses!$F$14,IF(B157&lt;=Hypothèses!$C$15,Hypothèses!$F$15,IF(B157&lt;=Hypothèses!$C$16,Hypothèses!$F$16,IF(B157&lt;=Hypothèses!$C$17,Hypothèses!$F$17,IF(B157&lt;=Hypothèses!$C$18,Hypothèses!$F$18,F156))))))))))))</f>
        <v/>
      </c>
      <c r="G157" s="91">
        <f t="array" ref="G157">INDEX('Coeff EC7'!$U$7:$X$27,
MATCH(Model0.1C!$B$3,'Coeff EC7'!$T$7:$T$27,0),
MATCH(Model0.1C!$D157&amp;Model0.1C!$B$4,
'Coeff EC7'!$U$6:$X$6&amp;
'Coeff EC7'!$U$5:$X$5,0))</f>
        <v>1.1499999999999999</v>
      </c>
      <c r="H157" s="91">
        <f t="array" ref="H157">INDEX('Coeff EC7'!$Y$7:$AB$27,
MATCH(Model0.1C!$B$3,'Coeff EC7'!$T$7:$T$27,0),
MATCH(Model0.1C!$D157&amp;Model0.1C!$B$4,
'Coeff EC7'!$Y$6:$AB$6&amp;
'Coeff EC7'!$Y$5:$AB$5,0))</f>
        <v>1.4</v>
      </c>
      <c r="I157" s="83" t="e">
        <f>IF(B157&lt;=Hypothèses!$C$7,Hypothèses!$P$7,IF(B157&lt;=Hypothèses!$C$8,Hypothèses!$P$8,IF(B157&lt;=Hypothèses!$C$9,Hypothèses!$P$9,IF(B157&lt;=Hypothèses!$C$10,Hypothèses!$P$10,IF(B157&lt;=Hypothèses!$C$11,Hypothèses!$P$11,IF(B157&lt;=Hypothèses!$C$12,Hypothèses!$P$12,IF(B157&lt;=Hypothèses!$C$13,Hypothèses!$P$13,IF(B157&lt;=Hypothèses!$C$14,Hypothèses!$P$14,IF(B157&lt;=Hypothèses!$C$15,Hypothèses!$P$15,IF(B157&lt;=Hypothèses!$C$16,Hypothèses!$P$16,IF(B157&lt;=Hypothèses!$C$17,Hypothèses!$P$17,IF(B157&lt;=Hypothèses!$C$18,Hypothèses!$P$18,I156))))))))))))</f>
        <v>#N/A</v>
      </c>
      <c r="J157" s="91" t="e">
        <f t="array" ref="J157">INDEX('Coeff EC7'!$D$33:$Q$33,1,MATCH(D157&amp;E157,'Coeff EC7'!$D$31:$Q$31&amp;'Coeff EC7'!$D$32:$Q$32,0))</f>
        <v>#N/A</v>
      </c>
      <c r="K157" s="91" t="e">
        <f t="array" ref="K157">INDEX('Coeff EC7'!$D$34:$Q$34,1,MATCH(D157&amp;E157,'Coeff EC7'!$D$31:$Q$31&amp;'Coeff EC7'!$D$32:$Q$32,0))</f>
        <v>#N/A</v>
      </c>
      <c r="L157" s="91" t="e">
        <f t="array" ref="L157">INDEX('Coeff EC7'!$D$35:$Q$35,1,MATCH(D157&amp;E157,'Coeff EC7'!$D$31:$Q$31&amp;'Coeff EC7'!$D$32:$Q$32,0))</f>
        <v>#N/A</v>
      </c>
      <c r="M157" s="98" t="e">
        <f t="shared" si="231"/>
        <v>#N/A</v>
      </c>
      <c r="N157" s="99" t="e">
        <f t="array" ref="N157">INDEX('Coeff EC7'!$D$7:$Q$27,MATCH($B$3,'Coeff EC7'!$C$7:$C$27,0),MATCH(D157&amp;E157,'Coeff EC7'!$D$5:$Q$5&amp;'Coeff EC7'!$D$6:$Q$6,0))</f>
        <v>#N/A</v>
      </c>
      <c r="O157" s="99" t="e">
        <f t="array" ref="O157">INDEX('Coeff EC7'!$D$41:$Q$61,MATCH($B$3,'Coeff EC7'!$C$41:$C$61,0),MATCH(D157&amp;E157,'Coeff EC7'!$D$39:$Q$39&amp;'Coeff EC7'!$D$40:$Q$40,0))</f>
        <v>#N/A</v>
      </c>
      <c r="P157" s="30" t="e">
        <f t="shared" si="268"/>
        <v>#N/A</v>
      </c>
      <c r="Q157" s="100" t="e">
        <f t="shared" si="233"/>
        <v>#N/A</v>
      </c>
      <c r="R157" s="86" t="b">
        <f t="shared" si="234"/>
        <v>0</v>
      </c>
      <c r="S157" s="86">
        <f t="shared" si="232"/>
        <v>0.5</v>
      </c>
      <c r="T157" s="86">
        <f t="shared" si="235"/>
        <v>0.5</v>
      </c>
      <c r="U157" s="30" t="e">
        <f t="shared" ca="1" si="269"/>
        <v>#DIV/0!</v>
      </c>
      <c r="V157" s="85" t="str">
        <f>IF(B157&lt;=Hypothèses!$V$7,Hypothèses!$W$7,IF(B157&lt;=Hypothèses!$V$8,Hypothèses!$W$8,IF(B157&lt;=Hypothèses!$V$9,Hypothèses!$W$9,IF(B157&lt;=Hypothèses!$V$10,Hypothèses!$W$10,IF(B157&lt;=Hypothèses!$V$11,Hypothèses!$W$11,IF(B157&lt;=Hypothèses!$V$12,Hypothèses!$W$12,IF(B157&lt;=Hypothèses!$V$13,Hypothèses!$W$13,IF(B157&lt;=Hypothèses!$V$14,Hypothèses!$W$14,IF(B157&lt;=Hypothèses!$V$15,Hypothèses!$W$15,IF(B157&lt;=Hypothèses!$V$16,Hypothèses!$W$16,IF(B157&lt;=Hypothèses!$V$17,Hypothèses!$W$17,IF(B157&lt;=Hypothèses!$V$18,Hypothèses!$W$18,""))))))))))))</f>
        <v/>
      </c>
      <c r="W157" s="87" t="e">
        <f t="shared" ca="1" si="316"/>
        <v>#DIV/0!</v>
      </c>
      <c r="X157" s="88" t="str">
        <f>IF(B157&lt;=Hypothèses!$V$7,Hypothèses!$X$7,IF(B157&lt;=Hypothèses!$V$8,Hypothèses!$X$8,IF(B157&lt;=Hypothèses!$V$9,Hypothèses!$X$9,IF(B157&lt;=Hypothèses!$V$10,Hypothèses!$X$10,IF(B157&lt;=Hypothèses!$V$11,Hypothèses!$X$11,IF(B157&lt;=Hypothèses!$V$12,Hypothèses!$X$12,IF(B157&lt;=Hypothèses!$V$13,Hypothèses!$X$13,IF(B157&lt;=Hypothèses!$V$14,Hypothèses!$X$14,IF(B157&lt;=Hypothèses!$V$15,Hypothèses!$X$15,IF(B157&lt;=Hypothèses!$V$16,Hypothèses!$X$16,IF(B157&lt;=Hypothèses!$U$17,Hypothèses!$W$17,IF(B157&lt;=Hypothèses!$U$18,Hypothèses!$W$18,""))))))))))))</f>
        <v/>
      </c>
      <c r="Y157" s="95" t="e">
        <f t="shared" ca="1" si="236"/>
        <v>#DIV/0!</v>
      </c>
      <c r="Z157" s="101" t="e">
        <f t="shared" si="237"/>
        <v>#N/A</v>
      </c>
      <c r="AA157" s="91" t="e">
        <f t="shared" si="238"/>
        <v>#N/A</v>
      </c>
      <c r="AB157" s="30" t="e">
        <f t="shared" si="300"/>
        <v>#N/A</v>
      </c>
      <c r="AC157" s="30" t="e">
        <f t="shared" si="301"/>
        <v>#N/A</v>
      </c>
      <c r="AD157" s="31" t="e">
        <f>IF(OR(Hypothèses!$B$4=17,Hypothèses!$B$4=18,Hypothèses!$B$4=19,Hypothèses!$B$4=20),
IF($D157="Pressio.",
IF(OR($E157=3,$E157=1,$E157=4),AC157,AB157),
IF($D157="Pénétro.",
IF(OR($E157=3,$E157=1,$E157=4),AC157,AB157))),IF($D157="Pressio.",
IF($E157=3,AC157,AB157),
IF($D157="Pénétro.",
IF($E157=4,AC157,AB157))))</f>
        <v>#N/A</v>
      </c>
      <c r="AE157" s="31" t="e">
        <f>(IF(OR(Hypothèses!$B$4=17,Hypothèses!$B$4=18,Hypothèses!$B$4=19,Hypothèses!$B$4=20),
IF($D157="Pressio.",
IF(OR($E157=3,$E157=1,$E157=4),(PI()*AE$12^2)/4*(AA157*$W157*1000)/($H157*$B$5),(PI()*AE$12^2)/4*(AA157*$W157*1000)/($G157*$B$5)),
IF($D157="Pénétro.",
IF(OR($E157=4,$E157=1,$E157=5),(PI()*AE$12^2)/4*(AA157*$W157*1000)/($H157*$B$5),(PI()*AE$12^2)/4*(AA157*$W157*1000)/($G157*$B$5)))),
IF($D157="Pressio.",
IF($E157=3,(PI()*AE$12^2)/4*(AA157*$W157*1000)/($H157*$B$5),(PI()*AE$12^2)/4*(AA157*$W157*1000)/($G157*$B$5)),
IF($D157="Pénétro.",
IF($E157=4,(PI()*AE$12^2)/4*(AA157*$W157*1000)/($H157*$B$5),(PI()*AE$12^2)/4*(AA157*$W157*1000)/($G157*$B$5))))))/10</f>
        <v>#N/A</v>
      </c>
      <c r="AF157" s="102" t="e">
        <f>(VLOOKUP($B$3,'Coeff EC7'!$T$39:$X$59,2,0)*AD157+VLOOKUP($B$3,'Coeff EC7'!$T$65:$X$85,2,0)*Model0.1C!AE157)/1.1</f>
        <v>#N/A</v>
      </c>
      <c r="AG157" s="102" t="e">
        <f>(VLOOKUP($B$3,'Coeff EC7'!$T$39:$X$59,3,0)*AD157+VLOOKUP($B$3,'Coeff EC7'!$T$65:$X$85,3,0)*Model0.1C!AE157)/0.9</f>
        <v>#N/A</v>
      </c>
      <c r="AH157" s="102" t="e">
        <f t="shared" si="239"/>
        <v>#N/A</v>
      </c>
      <c r="AI157" s="102" t="e">
        <f t="shared" si="240"/>
        <v>#N/A</v>
      </c>
      <c r="AJ157" s="414" t="e">
        <f>IF(AJ156=0,0,IF(AND(AF157&gt;charge_ELS_quasi,AG157&gt;Charge_ELS_freq,AH157&gt;charge_ELU,AI157&gt;charge_ELA,$B157&gt;NDC!$H$22-0.1+MIN(3*$AJ$12,1.5)),0,1))</f>
        <v>#N/A</v>
      </c>
      <c r="AK157" s="86" t="b">
        <f t="shared" si="241"/>
        <v>0</v>
      </c>
      <c r="AL157" s="86">
        <f t="shared" si="270"/>
        <v>0.5</v>
      </c>
      <c r="AM157" s="86">
        <f t="shared" si="242"/>
        <v>0.5</v>
      </c>
      <c r="AN157" s="30" t="e">
        <f t="shared" ca="1" si="271"/>
        <v>#DIV/0!</v>
      </c>
      <c r="AO157" s="85" t="e">
        <f ca="1">IF(U157&lt;=Hypothèses!$V$7,Hypothèses!$W$7,IF(U157&lt;=Hypothèses!$V$8,Hypothèses!$W$8,IF(U157&lt;=Hypothèses!$V$9,Hypothèses!$W$9,IF(U157&lt;=Hypothèses!$V$10,Hypothèses!$W$10,IF(U157&lt;=Hypothèses!$V$11,Hypothèses!$W$11,IF(U157&lt;=Hypothèses!$V$12,Hypothèses!$W$12,IF(U157&lt;=Hypothèses!$V$13,Hypothèses!$W$13,IF(U157&lt;=Hypothèses!$V$14,Hypothèses!$W$14,IF(U157&lt;=Hypothèses!$V$15,Hypothèses!$W$15,IF(U157&lt;=Hypothèses!$V$16,Hypothèses!$W$16,IF(U157&lt;=Hypothèses!$V$17,Hypothèses!$W$17,IF(U157&lt;=Hypothèses!$V$18,Hypothèses!$W$18,""))))))))))))</f>
        <v>#DIV/0!</v>
      </c>
      <c r="AP157" s="87" t="e">
        <f t="shared" ca="1" si="317"/>
        <v>#DIV/0!</v>
      </c>
      <c r="AQ157" s="88" t="e">
        <f ca="1">IF(U157&lt;=Hypothèses!$V$7,Hypothèses!$X$7,IF(U157&lt;=Hypothèses!$V$8,Hypothèses!$X$8,IF(U157&lt;=Hypothèses!$V$9,Hypothèses!$X$9,IF(U157&lt;=Hypothèses!$V$10,Hypothèses!$X$10,IF(U157&lt;=Hypothèses!$V$11,Hypothèses!$X$11,IF(U157&lt;=Hypothèses!$V$12,Hypothèses!$X$12,IF(U157&lt;=Hypothèses!$V$13,Hypothèses!$X$13,IF(U157&lt;=Hypothèses!$V$14,Hypothèses!$X$14,IF(U157&lt;=Hypothèses!$V$15,Hypothèses!$X$15,IF(U157&lt;=Hypothèses!$V$16,Hypothèses!$X$16,IF(U157&lt;=Hypothèses!$U$17,Hypothèses!$W$17,IF(U157&lt;=Hypothèses!$U$18,Hypothèses!$W$18,""))))))))))))</f>
        <v>#DIV/0!</v>
      </c>
      <c r="AR157" s="95" t="e">
        <f t="shared" ca="1" si="272"/>
        <v>#DIV/0!</v>
      </c>
      <c r="AS157" s="101" t="e">
        <f t="shared" si="324"/>
        <v>#N/A</v>
      </c>
      <c r="AT157" s="91" t="e">
        <f t="shared" si="243"/>
        <v>#N/A</v>
      </c>
      <c r="AU157" s="30" t="e">
        <f t="shared" si="302"/>
        <v>#N/A</v>
      </c>
      <c r="AV157" s="30" t="e">
        <f t="shared" si="303"/>
        <v>#N/A</v>
      </c>
      <c r="AW157" s="31" t="e">
        <f>IF(OR(Hypothèses!$B$4=17,Hypothèses!$B$4=18,Hypothèses!$B$4=19,Hypothèses!$B$4=20),
IF($D157="Pressio.",
IF(OR($E157=3,$E157=1,$E157=4),AV157,AU157),
IF($D157="Pénétro.",
IF(OR($E157=3,$E157=1,$E157=4),AV157,AU157))),IF($D157="Pressio.",
IF($E157=3,AV157,AU157),
IF($D157="Pénétro.",
IF($E157=4,AV157,AU157))))</f>
        <v>#N/A</v>
      </c>
      <c r="AX157" s="31" t="e">
        <f>(IF(OR(Hypothèses!$B$4=17,Hypothèses!$B$4=18,Hypothèses!$B$4=19,Hypothèses!$B$4=20),
IF($D157="Pressio.",
IF(OR($E157=3,$E157=1,$E157=4),(PI()*AX$12^2)/4*(AT157*$W157*1000)/($H157*$B$5),(PI()*AX$12^2)/4*(AT157*$W157*1000)/($G157*$B$5)),
IF($D157="Pénétro.",
IF(OR($E157=4,$E157=1,$E157=5),(PI()*AX$12^2)/4*(AT157*$W157*1000)/($H157*$B$5),(PI()*AX$12^2)/4*(AT157*$W157*1000)/($G157*$B$5)))),
IF($D157="Pressio.",
IF($E157=3,(PI()*AX$12^2)/4*(AT157*$W157*1000)/($H157*$B$5),(PI()*AX$12^2)/4*(AT157*$W157*1000)/($G157*$B$5)),
IF($D157="Pénétro.",
IF($E157=4,(PI()*AX$12^2)/4*(AT157*$W157*1000)/($H157*$B$5),(PI()*AX$12^2)/4*(AT157*$W157*1000)/($G157*$B$5))))))/10</f>
        <v>#N/A</v>
      </c>
      <c r="AY157" s="102" t="e">
        <f>(VLOOKUP($B$3,'Coeff EC7'!$T$39:$X$59,2,0)*AW157+VLOOKUP($B$3,'Coeff EC7'!$T$65:$X$85,2,0)*Model0.1C!AX157)/1.1</f>
        <v>#N/A</v>
      </c>
      <c r="AZ157" s="102" t="e">
        <f>(VLOOKUP($B$3,'Coeff EC7'!$T$39:$X$59,3,0)*AW157+VLOOKUP($B$3,'Coeff EC7'!$T$65:$X$85,3,0)*Model0.1C!AX157)/0.9</f>
        <v>#N/A</v>
      </c>
      <c r="BA157" s="102" t="e">
        <f t="shared" si="273"/>
        <v>#N/A</v>
      </c>
      <c r="BB157" s="102" t="e">
        <f t="shared" si="274"/>
        <v>#N/A</v>
      </c>
      <c r="BC157" s="414" t="e">
        <f>IF(BC156=0,0,IF(AND(AY157&gt;charge_ELS_quasi,AZ157&gt;Charge_ELS_freq,BA157&gt;charge_ELU,BB157&gt;charge_ELA,$B157&gt;NDC!$H$22-0.1+MIN(3*$BC$12,1.5)),0,1))</f>
        <v>#N/A</v>
      </c>
      <c r="BD157" s="86" t="b">
        <f t="shared" si="244"/>
        <v>0</v>
      </c>
      <c r="BE157" s="86">
        <f t="shared" si="275"/>
        <v>0.5</v>
      </c>
      <c r="BF157" s="86">
        <f t="shared" si="245"/>
        <v>0.5</v>
      </c>
      <c r="BG157" s="30" t="e">
        <f t="shared" ca="1" si="276"/>
        <v>#DIV/0!</v>
      </c>
      <c r="BH157" s="85" t="e">
        <f ca="1">IF(AN157&lt;=Hypothèses!$V$7,Hypothèses!$W$7,IF(AN157&lt;=Hypothèses!$V$8,Hypothèses!$W$8,IF(AN157&lt;=Hypothèses!$V$9,Hypothèses!$W$9,IF(AN157&lt;=Hypothèses!$V$10,Hypothèses!$W$10,IF(AN157&lt;=Hypothèses!$V$11,Hypothèses!$W$11,IF(AN157&lt;=Hypothèses!$V$12,Hypothèses!$W$12,IF(AN157&lt;=Hypothèses!$V$13,Hypothèses!$W$13,IF(AN157&lt;=Hypothèses!$V$14,Hypothèses!$W$14,IF(AN157&lt;=Hypothèses!$V$15,Hypothèses!$W$15,IF(AN157&lt;=Hypothèses!$V$16,Hypothèses!$W$16,IF(AN157&lt;=Hypothèses!$V$17,Hypothèses!$W$17,IF(AN157&lt;=Hypothèses!$V$18,Hypothèses!$W$18,""))))))))))))</f>
        <v>#DIV/0!</v>
      </c>
      <c r="BI157" s="87" t="e">
        <f t="shared" ca="1" si="318"/>
        <v>#DIV/0!</v>
      </c>
      <c r="BJ157" s="88" t="e">
        <f ca="1">IF(AN157&lt;=Hypothèses!$V$7,Hypothèses!$X$7,IF(AN157&lt;=Hypothèses!$V$8,Hypothèses!$X$8,IF(AN157&lt;=Hypothèses!$V$9,Hypothèses!$X$9,IF(AN157&lt;=Hypothèses!$V$10,Hypothèses!$X$10,IF(AN157&lt;=Hypothèses!$V$11,Hypothèses!$X$11,IF(AN157&lt;=Hypothèses!$V$12,Hypothèses!$X$12,IF(AN157&lt;=Hypothèses!$V$13,Hypothèses!$X$13,IF(AN157&lt;=Hypothèses!$V$14,Hypothèses!$X$14,IF(AN157&lt;=Hypothèses!$V$15,Hypothèses!$X$15,IF(AN157&lt;=Hypothèses!$V$16,Hypothèses!$X$16,IF(AN157&lt;=Hypothèses!$U$17,Hypothèses!$W$17,IF(AN157&lt;=Hypothèses!$U$18,Hypothèses!$W$18,""))))))))))))</f>
        <v>#DIV/0!</v>
      </c>
      <c r="BK157" s="95" t="e">
        <f t="shared" ca="1" si="277"/>
        <v>#DIV/0!</v>
      </c>
      <c r="BL157" s="101" t="e">
        <f t="shared" si="325"/>
        <v>#N/A</v>
      </c>
      <c r="BM157" s="91" t="e">
        <f t="shared" si="246"/>
        <v>#N/A</v>
      </c>
      <c r="BN157" s="30" t="e">
        <f t="shared" si="304"/>
        <v>#N/A</v>
      </c>
      <c r="BO157" s="30" t="e">
        <f t="shared" si="305"/>
        <v>#N/A</v>
      </c>
      <c r="BP157" s="31" t="e">
        <f>IF(OR(Hypothèses!$B$4=17,Hypothèses!$B$4=18,Hypothèses!$B$4=19,Hypothèses!$B$4=20),
IF($D157="Pressio.",
IF(OR($E157=3,$E157=1,$E157=4),BO157,BN157),
IF($D157="Pénétro.",
IF(OR($E157=3,$E157=1,$E157=4),BO157,BN157))),IF($D157="Pressio.",
IF($E157=3,BO157,BN157),
IF($D157="Pénétro.",
IF($E157=4,BO157,BN157))))</f>
        <v>#N/A</v>
      </c>
      <c r="BQ157" s="31" t="e">
        <f>(IF(OR(Hypothèses!$B$4=17,Hypothèses!$B$4=18,Hypothèses!$B$4=19,Hypothèses!$B$4=20),
IF($D157="Pressio.",
IF(OR($E157=3,$E157=1,$E157=4),(PI()*BQ$12^2)/4*(BM157*$W157*1000)/($H157*$B$5),(PI()*BQ$12^2)/4*(BM157*$W157*1000)/($G157*$B$5)),
IF($D157="Pénétro.",
IF(OR($E157=4,$E157=1,$E157=5),(PI()*BQ$12^2)/4*(BM157*$W157*1000)/($H157*$B$5),(PI()*BQ$12^2)/4*(BM157*$W157*1000)/($G157*$B$5)))),
IF($D157="Pressio.",
IF($E157=3,(PI()*BQ$12^2)/4*(BM157*$W157*1000)/($H157*$B$5),(PI()*BQ$12^2)/4*(BM157*$W157*1000)/($G157*$B$5)),
IF($D157="Pénétro.",
IF($E157=4,(PI()*BQ$12^2)/4*(BM157*$W157*1000)/($H157*$B$5),(PI()*BQ$12^2)/4*(BM157*$W157*1000)/($G157*$B$5))))))/10</f>
        <v>#N/A</v>
      </c>
      <c r="BR157" s="102" t="e">
        <f>(VLOOKUP($B$3,'Coeff EC7'!$T$39:$X$59,2,0)*BP157+VLOOKUP($B$3,'Coeff EC7'!$T$65:$X$85,2,0)*Model0.1C!BQ157)/1.1</f>
        <v>#N/A</v>
      </c>
      <c r="BS157" s="102" t="e">
        <f>(VLOOKUP($B$3,'Coeff EC7'!$T$39:$X$59,3,0)*BP157+VLOOKUP($B$3,'Coeff EC7'!$T$65:$X$85,3,0)*Model0.1C!BQ157)/0.9</f>
        <v>#N/A</v>
      </c>
      <c r="BT157" s="102" t="e">
        <f t="shared" si="278"/>
        <v>#N/A</v>
      </c>
      <c r="BU157" s="102" t="e">
        <f t="shared" si="279"/>
        <v>#N/A</v>
      </c>
      <c r="BV157" s="414" t="e">
        <f>IF(BV156=0,0,IF(AND(BR157&gt;charge_ELS_quasi,BS157&gt;Charge_ELS_freq,BT157&gt;charge_ELU,BU157&gt;charge_ELA,$B157&gt;NDC!$H$22-0.1+MIN(3*$BV$12,1.5)),0,1))</f>
        <v>#N/A</v>
      </c>
      <c r="BW157" s="86" t="b">
        <f t="shared" si="247"/>
        <v>0</v>
      </c>
      <c r="BX157" s="86">
        <f t="shared" si="248"/>
        <v>0.5</v>
      </c>
      <c r="BY157" s="86">
        <f t="shared" si="249"/>
        <v>0.5</v>
      </c>
      <c r="BZ157" s="30" t="e">
        <f t="shared" ca="1" si="280"/>
        <v>#DIV/0!</v>
      </c>
      <c r="CA157" s="85" t="e">
        <f ca="1">IF(BG157&lt;=Hypothèses!$V$7,Hypothèses!$W$7,IF(BG157&lt;=Hypothèses!$V$8,Hypothèses!$W$8,IF(BG157&lt;=Hypothèses!$V$9,Hypothèses!$W$9,IF(BG157&lt;=Hypothèses!$V$10,Hypothèses!$W$10,IF(BG157&lt;=Hypothèses!$V$11,Hypothèses!$W$11,IF(BG157&lt;=Hypothèses!$V$12,Hypothèses!$W$12,IF(BG157&lt;=Hypothèses!$V$13,Hypothèses!$W$13,IF(BG157&lt;=Hypothèses!$V$14,Hypothèses!$W$14,IF(BG157&lt;=Hypothèses!$V$15,Hypothèses!$W$15,IF(BG157&lt;=Hypothèses!$V$16,Hypothèses!$W$16,IF(BG157&lt;=Hypothèses!$V$17,Hypothèses!$W$17,IF(BG157&lt;=Hypothèses!$V$18,Hypothèses!$W$18,""))))))))))))</f>
        <v>#DIV/0!</v>
      </c>
      <c r="CB157" s="87" t="e">
        <f t="shared" ca="1" si="319"/>
        <v>#DIV/0!</v>
      </c>
      <c r="CC157" s="88" t="e">
        <f ca="1">IF(BG157&lt;=Hypothèses!$V$7,Hypothèses!$X$7,IF(BG157&lt;=Hypothèses!$V$8,Hypothèses!$X$8,IF(BG157&lt;=Hypothèses!$V$9,Hypothèses!$X$9,IF(BG157&lt;=Hypothèses!$V$10,Hypothèses!$X$10,IF(BG157&lt;=Hypothèses!$V$11,Hypothèses!$X$11,IF(BG157&lt;=Hypothèses!$V$12,Hypothèses!$X$12,IF(BG157&lt;=Hypothèses!$V$13,Hypothèses!$X$13,IF(BG157&lt;=Hypothèses!$V$14,Hypothèses!$X$14,IF(BG157&lt;=Hypothèses!$V$15,Hypothèses!$X$15,IF(BG157&lt;=Hypothèses!$V$16,Hypothèses!$X$16,IF(BG157&lt;=Hypothèses!$U$17,Hypothèses!$W$17,IF(BG157&lt;=Hypothèses!$U$18,Hypothèses!$W$18,""))))))))))))</f>
        <v>#DIV/0!</v>
      </c>
      <c r="CD157" s="95" t="e">
        <f t="shared" ca="1" si="281"/>
        <v>#DIV/0!</v>
      </c>
      <c r="CE157" s="101" t="e">
        <f t="shared" si="326"/>
        <v>#N/A</v>
      </c>
      <c r="CF157" s="91" t="e">
        <f t="shared" si="250"/>
        <v>#N/A</v>
      </c>
      <c r="CG157" s="30" t="e">
        <f t="shared" si="306"/>
        <v>#N/A</v>
      </c>
      <c r="CH157" s="30" t="e">
        <f t="shared" si="307"/>
        <v>#N/A</v>
      </c>
      <c r="CI157" s="31" t="e">
        <f>IF(OR(Hypothèses!$B$4=17,Hypothèses!$B$4=18,Hypothèses!$B$4=19,Hypothèses!$B$4=20),
IF($D157="Pressio.",
IF(OR($E157=3,$E157=1,$E157=4),CH157,CG157),
IF($D157="Pénétro.",
IF(OR($E157=3,$E157=1,$E157=4),CH157,CG157))),IF($D157="Pressio.",
IF($E157=3,CH157,CG157),
IF($D157="Pénétro.",
IF($E157=4,CH157,CG157))))</f>
        <v>#N/A</v>
      </c>
      <c r="CJ157" s="31" t="e">
        <f>(IF(OR(Hypothèses!$B$4=17,Hypothèses!$B$4=18,Hypothèses!$B$4=19,Hypothèses!$B$4=20),
IF($D157="Pressio.",
IF(OR($E157=3,$E157=1,$E157=4),(PI()*CJ$12^2)/4*(CF157*$W157*1000)/($H157*$B$5),(PI()*CJ$12^2)/4*(CF157*$W157*1000)/($G157*$B$5)),
IF($D157="Pénétro.",
IF(OR($E157=4,$E157=1,$E157=5),(PI()*CJ$12^2)/4*(CF157*$W157*1000)/($H157*$B$5),(PI()*CJ$12^2)/4*(CF157*$W157*1000)/($G157*$B$5)))),
IF($D157="Pressio.",
IF($E157=3,(PI()*CJ$12^2)/4*(CF157*$W157*1000)/($H157*$B$5),(PI()*CJ$12^2)/4*(CF157*$W157*1000)/($G157*$B$5)),
IF($D157="Pénétro.",
IF($E157=4,(PI()*CJ$12^2)/4*(CF157*$W157*1000)/($H157*$B$5),(PI()*CJ$12^2)/4*(CF157*$W157*1000)/($G157*$B$5))))))/10</f>
        <v>#N/A</v>
      </c>
      <c r="CK157" s="102" t="e">
        <f>(VLOOKUP($B$3,'Coeff EC7'!$T$39:$X$59,2,0)*CI157+VLOOKUP($B$3,'Coeff EC7'!$T$65:$X$85,2,0)*Model0.1C!CJ157)/1.1</f>
        <v>#N/A</v>
      </c>
      <c r="CL157" s="102" t="e">
        <f>(VLOOKUP($B$3,'Coeff EC7'!$T$39:$X$59,3,0)*CI157+VLOOKUP($B$3,'Coeff EC7'!$T$65:$X$85,3,0)*Model0.1C!CJ157)/0.9</f>
        <v>#N/A</v>
      </c>
      <c r="CM157" s="102" t="e">
        <f t="shared" si="282"/>
        <v>#N/A</v>
      </c>
      <c r="CN157" s="102" t="e">
        <f t="shared" si="283"/>
        <v>#N/A</v>
      </c>
      <c r="CO157" s="414" t="e">
        <f>IF(CO156=0,0,IF(AND(CK157&gt;charge_ELS_quasi,CL157&gt;Charge_ELS_freq,CM157&gt;charge_ELU,CN157&gt;charge_ELA,$B157&gt;NDC!$H$22-0.1+MIN(3*$CO$12,1.5)),0,1))</f>
        <v>#N/A</v>
      </c>
      <c r="CP157" s="86" t="b">
        <f t="shared" si="251"/>
        <v>0</v>
      </c>
      <c r="CQ157" s="86">
        <f t="shared" si="252"/>
        <v>0.5</v>
      </c>
      <c r="CR157" s="86">
        <f t="shared" si="253"/>
        <v>0.5</v>
      </c>
      <c r="CS157" s="30" t="e">
        <f t="shared" ca="1" si="284"/>
        <v>#DIV/0!</v>
      </c>
      <c r="CT157" s="85" t="e">
        <f ca="1">IF(BZ157&lt;=Hypothèses!$V$7,Hypothèses!$W$7,IF(BZ157&lt;=Hypothèses!$V$8,Hypothèses!$W$8,IF(BZ157&lt;=Hypothèses!$V$9,Hypothèses!$W$9,IF(BZ157&lt;=Hypothèses!$V$10,Hypothèses!$W$10,IF(BZ157&lt;=Hypothèses!$V$11,Hypothèses!$W$11,IF(BZ157&lt;=Hypothèses!$V$12,Hypothèses!$W$12,IF(BZ157&lt;=Hypothèses!$V$13,Hypothèses!$W$13,IF(BZ157&lt;=Hypothèses!$V$14,Hypothèses!$W$14,IF(BZ157&lt;=Hypothèses!$V$15,Hypothèses!$W$15,IF(BZ157&lt;=Hypothèses!$V$16,Hypothèses!$W$16,IF(BZ157&lt;=Hypothèses!$V$17,Hypothèses!$W$17,IF(BZ157&lt;=Hypothèses!$V$18,Hypothèses!$W$18,""))))))))))))</f>
        <v>#DIV/0!</v>
      </c>
      <c r="CU157" s="87" t="e">
        <f t="shared" ca="1" si="320"/>
        <v>#DIV/0!</v>
      </c>
      <c r="CV157" s="88" t="e">
        <f ca="1">IF(BZ157&lt;=Hypothèses!$V$7,Hypothèses!$X$7,IF(BZ157&lt;=Hypothèses!$V$8,Hypothèses!$X$8,IF(BZ157&lt;=Hypothèses!$V$9,Hypothèses!$X$9,IF(BZ157&lt;=Hypothèses!$V$10,Hypothèses!$X$10,IF(BZ157&lt;=Hypothèses!$V$11,Hypothèses!$X$11,IF(BZ157&lt;=Hypothèses!$V$12,Hypothèses!$X$12,IF(BZ157&lt;=Hypothèses!$V$13,Hypothèses!$X$13,IF(BZ157&lt;=Hypothèses!$V$14,Hypothèses!$X$14,IF(BZ157&lt;=Hypothèses!$V$15,Hypothèses!$X$15,IF(BZ157&lt;=Hypothèses!$V$16,Hypothèses!$X$16,IF(BZ157&lt;=Hypothèses!$U$17,Hypothèses!$W$17,IF(BZ157&lt;=Hypothèses!$U$18,Hypothèses!$W$18,""))))))))))))</f>
        <v>#DIV/0!</v>
      </c>
      <c r="CW157" s="95" t="e">
        <f t="shared" ca="1" si="285"/>
        <v>#DIV/0!</v>
      </c>
      <c r="CX157" s="101" t="e">
        <f t="shared" si="327"/>
        <v>#N/A</v>
      </c>
      <c r="CY157" s="91" t="e">
        <f t="shared" si="254"/>
        <v>#N/A</v>
      </c>
      <c r="CZ157" s="30" t="e">
        <f t="shared" si="308"/>
        <v>#N/A</v>
      </c>
      <c r="DA157" s="30" t="e">
        <f t="shared" si="309"/>
        <v>#N/A</v>
      </c>
      <c r="DB157" s="31" t="e">
        <f>IF(OR(Hypothèses!$B$4=17,Hypothèses!$B$4=18,Hypothèses!$B$4=19,Hypothèses!$B$4=20),
IF($D157="Pressio.",
IF(OR($E157=3,$E157=1,$E157=4),DA157,CZ157),
IF($D157="Pénétro.",
IF(OR($E157=3,$E157=1,$E157=4),DA157,CZ157))),IF($D157="Pressio.",
IF($E157=3,DA157,CZ157),
IF($D157="Pénétro.",
IF($E157=4,DA157,CZ157))))</f>
        <v>#N/A</v>
      </c>
      <c r="DC157" s="31" t="e">
        <f>(IF(OR(Hypothèses!$B$4=17,Hypothèses!$B$4=18,Hypothèses!$B$4=19,Hypothèses!$B$4=20),
IF($D157="Pressio.",
IF(OR($E157=3,$E157=1,$E157=4),(PI()*DC$12^2)/4*(CY157*$W157*1000)/($H157*$B$5),(PI()*DC$12^2)/4*(CY157*$W157*1000)/($G157*$B$5)),
IF($D157="Pénétro.",
IF(OR($E157=4,$E157=1,$E157=5),(PI()*DC$12^2)/4*(CY157*$W157*1000)/($H157*$B$5),(PI()*DC$12^2)/4*(CY157*$W157*1000)/($G157*$B$5)))),
IF($D157="Pressio.",
IF($E157=3,(PI()*DC$12^2)/4*(CY157*$W157*1000)/($H157*$B$5),(PI()*DC$12^2)/4*(CY157*$W157*1000)/($G157*$B$5)),
IF($D157="Pénétro.",
IF($E157=4,(PI()*DC$12^2)/4*(CY157*$W157*1000)/($H157*$B$5),(PI()*DC$12^2)/4*(CY157*$W157*1000)/($G157*$B$5))))))/10</f>
        <v>#N/A</v>
      </c>
      <c r="DD157" s="102" t="e">
        <f>(VLOOKUP($B$3,'Coeff EC7'!$T$39:$X$59,2,0)*DB157+VLOOKUP($B$3,'Coeff EC7'!$T$65:$X$85,2,0)*Model0.1C!DC157)/1.1</f>
        <v>#N/A</v>
      </c>
      <c r="DE157" s="102" t="e">
        <f>(VLOOKUP($B$3,'Coeff EC7'!$T$39:$X$59,3,0)*DB157+VLOOKUP($B$3,'Coeff EC7'!$T$65:$X$85,3,0)*Model0.1C!DC157)/0.9</f>
        <v>#N/A</v>
      </c>
      <c r="DF157" s="102" t="e">
        <f t="shared" si="286"/>
        <v>#N/A</v>
      </c>
      <c r="DG157" s="102" t="e">
        <f t="shared" si="287"/>
        <v>#N/A</v>
      </c>
      <c r="DH157" s="414" t="e">
        <f>IF(DH156=0,0,IF(AND(DD157&gt;charge_ELS_quasi,DE157&gt;Charge_ELS_freq,DF157&gt;charge_ELU,DG157&gt;charge_ELA,$B157&gt;NDC!$H$22-0.1+MIN(3*$DH$12,1.5)),0,1))</f>
        <v>#N/A</v>
      </c>
      <c r="DI157" s="86" t="b">
        <f t="shared" si="255"/>
        <v>0</v>
      </c>
      <c r="DJ157" s="86">
        <f t="shared" si="256"/>
        <v>0.5</v>
      </c>
      <c r="DK157" s="86">
        <f t="shared" si="257"/>
        <v>0.5</v>
      </c>
      <c r="DL157" s="30" t="e">
        <f t="shared" ca="1" si="288"/>
        <v>#DIV/0!</v>
      </c>
      <c r="DM157" s="85" t="e">
        <f ca="1">IF(CS157&lt;=Hypothèses!$V$7,Hypothèses!$W$7,IF(CS157&lt;=Hypothèses!$V$8,Hypothèses!$W$8,IF(CS157&lt;=Hypothèses!$V$9,Hypothèses!$W$9,IF(CS157&lt;=Hypothèses!$V$10,Hypothèses!$W$10,IF(CS157&lt;=Hypothèses!$V$11,Hypothèses!$W$11,IF(CS157&lt;=Hypothèses!$V$12,Hypothèses!$W$12,IF(CS157&lt;=Hypothèses!$V$13,Hypothèses!$W$13,IF(CS157&lt;=Hypothèses!$V$14,Hypothèses!$W$14,IF(CS157&lt;=Hypothèses!$V$15,Hypothèses!$W$15,IF(CS157&lt;=Hypothèses!$V$16,Hypothèses!$W$16,IF(CS157&lt;=Hypothèses!$V$17,Hypothèses!$W$17,IF(CS157&lt;=Hypothèses!$V$18,Hypothèses!$W$18,""))))))))))))</f>
        <v>#DIV/0!</v>
      </c>
      <c r="DN157" s="87" t="e">
        <f t="shared" ca="1" si="321"/>
        <v>#DIV/0!</v>
      </c>
      <c r="DO157" s="88" t="e">
        <f ca="1">IF(CS157&lt;=Hypothèses!$V$7,Hypothèses!$X$7,IF(CS157&lt;=Hypothèses!$V$8,Hypothèses!$X$8,IF(CS157&lt;=Hypothèses!$V$9,Hypothèses!$X$9,IF(CS157&lt;=Hypothèses!$V$10,Hypothèses!$X$10,IF(CS157&lt;=Hypothèses!$V$11,Hypothèses!$X$11,IF(CS157&lt;=Hypothèses!$V$12,Hypothèses!$X$12,IF(CS157&lt;=Hypothèses!$V$13,Hypothèses!$X$13,IF(CS157&lt;=Hypothèses!$V$14,Hypothèses!$X$14,IF(CS157&lt;=Hypothèses!$V$15,Hypothèses!$X$15,IF(CS157&lt;=Hypothèses!$V$16,Hypothèses!$X$16,IF(CS157&lt;=Hypothèses!$U$17,Hypothèses!$W$17,IF(CS157&lt;=Hypothèses!$U$18,Hypothèses!$W$18,""))))))))))))</f>
        <v>#DIV/0!</v>
      </c>
      <c r="DP157" s="95" t="e">
        <f t="shared" ca="1" si="289"/>
        <v>#DIV/0!</v>
      </c>
      <c r="DQ157" s="101" t="e">
        <f t="shared" si="328"/>
        <v>#N/A</v>
      </c>
      <c r="DR157" s="91" t="e">
        <f t="shared" si="258"/>
        <v>#N/A</v>
      </c>
      <c r="DS157" s="30" t="e">
        <f t="shared" si="310"/>
        <v>#N/A</v>
      </c>
      <c r="DT157" s="30" t="e">
        <f t="shared" si="311"/>
        <v>#N/A</v>
      </c>
      <c r="DU157" s="31" t="e">
        <f>IF(OR(Hypothèses!$B$4=17,Hypothèses!$B$4=18,Hypothèses!$B$4=19,Hypothèses!$B$4=20),
IF($D157="Pressio.",
IF(OR($E157=3,$E157=1,$E157=4),DT157,DS157),
IF($D157="Pénétro.",
IF(OR($E157=3,$E157=1,$E157=4),DT157,DS157))),IF($D157="Pressio.",
IF($E157=3,DT157,DS157),
IF($D157="Pénétro.",
IF($E157=4,DT157,DS157))))</f>
        <v>#N/A</v>
      </c>
      <c r="DV157" s="31" t="e">
        <f>(IF(OR(Hypothèses!$B$4=17,Hypothèses!$B$4=18,Hypothèses!$B$4=19,Hypothèses!$B$4=20),
IF($D157="Pressio.",
IF(OR($E157=3,$E157=1,$E157=4),(PI()*DV$12^2)/4*(DR157*$W157*1000)/($H157*$B$5),(PI()*DV$12^2)/4*(DR157*$W157*1000)/($G157*$B$5)),
IF($D157="Pénétro.",
IF(OR($E157=4,$E157=1,$E157=5),(PI()*DV$12^2)/4*(DR157*$W157*1000)/($H157*$B$5),(PI()*DV$12^2)/4*(DR157*$W157*1000)/($G157*$B$5)))),
IF($D157="Pressio.",
IF($E157=3,(PI()*DV$12^2)/4*(DR157*$W157*1000)/($H157*$B$5),(PI()*DV$12^2)/4*(DR157*$W157*1000)/($G157*$B$5)),
IF($D157="Pénétro.",
IF($E157=4,(PI()*DV$12^2)/4*(DR157*$W157*1000)/($H157*$B$5),(PI()*DV$12^2)/4*(DR157*$W157*1000)/($G157*$B$5))))))/10</f>
        <v>#N/A</v>
      </c>
      <c r="DW157" s="102" t="e">
        <f>(VLOOKUP($B$3,'Coeff EC7'!$T$39:$X$59,2,0)*DU157+VLOOKUP($B$3,'Coeff EC7'!$T$65:$X$85,2,0)*Model0.1C!DV157)/1.1</f>
        <v>#N/A</v>
      </c>
      <c r="DX157" s="102" t="e">
        <f>(VLOOKUP($B$3,'Coeff EC7'!$T$39:$X$59,3,0)*DU157+VLOOKUP($B$3,'Coeff EC7'!$T$65:$X$85,3,0)*Model0.1C!DV157)/0.9</f>
        <v>#N/A</v>
      </c>
      <c r="DY157" s="102" t="e">
        <f t="shared" si="290"/>
        <v>#N/A</v>
      </c>
      <c r="DZ157" s="102" t="e">
        <f t="shared" si="291"/>
        <v>#N/A</v>
      </c>
      <c r="EA157" s="414" t="e">
        <f>IF(EA156=0,0,IF(AND(DW157&gt;charge_ELS_quasi,DX157&gt;Charge_ELS_freq,DY157&gt;charge_ELU,DZ157&gt;charge_ELA,$B157&gt;NDC!$H$22-0.1+MIN(3*$EA$12,1.5)),0,1))</f>
        <v>#N/A</v>
      </c>
      <c r="EB157" s="86" t="b">
        <f t="shared" si="259"/>
        <v>0</v>
      </c>
      <c r="EC157" s="418">
        <f t="shared" si="260"/>
        <v>0.51</v>
      </c>
      <c r="ED157" s="86">
        <f t="shared" si="261"/>
        <v>0.51</v>
      </c>
      <c r="EE157" s="30" t="e">
        <f t="shared" ca="1" si="292"/>
        <v>#DIV/0!</v>
      </c>
      <c r="EF157" s="85" t="e">
        <f ca="1">IF(DL157&lt;=Hypothèses!$V$7,Hypothèses!$W$7,IF(DL157&lt;=Hypothèses!$V$8,Hypothèses!$W$8,IF(DL157&lt;=Hypothèses!$V$9,Hypothèses!$W$9,IF(DL157&lt;=Hypothèses!$V$10,Hypothèses!$W$10,IF(DL157&lt;=Hypothèses!$V$11,Hypothèses!$W$11,IF(DL157&lt;=Hypothèses!$V$12,Hypothèses!$W$12,IF(DL157&lt;=Hypothèses!$V$13,Hypothèses!$W$13,IF(DL157&lt;=Hypothèses!$V$14,Hypothèses!$W$14,IF(DL157&lt;=Hypothèses!$V$15,Hypothèses!$W$15,IF(DL157&lt;=Hypothèses!$V$16,Hypothèses!$W$16,IF(DL157&lt;=Hypothèses!$V$17,Hypothèses!$W$17,IF(DL157&lt;=Hypothèses!$V$18,Hypothèses!$W$18,""))))))))))))</f>
        <v>#DIV/0!</v>
      </c>
      <c r="EG157" s="87" t="e">
        <f t="shared" ca="1" si="322"/>
        <v>#DIV/0!</v>
      </c>
      <c r="EH157" s="88" t="e">
        <f ca="1">IF(DL157&lt;=Hypothèses!$V$7,Hypothèses!$X$7,IF(DL157&lt;=Hypothèses!$V$8,Hypothèses!$X$8,IF(DL157&lt;=Hypothèses!$V$9,Hypothèses!$X$9,IF(DL157&lt;=Hypothèses!$V$10,Hypothèses!$X$10,IF(DL157&lt;=Hypothèses!$V$11,Hypothèses!$X$11,IF(DL157&lt;=Hypothèses!$V$12,Hypothèses!$X$12,IF(DL157&lt;=Hypothèses!$V$13,Hypothèses!$X$13,IF(DL157&lt;=Hypothèses!$V$14,Hypothèses!$X$14,IF(DL157&lt;=Hypothèses!$V$15,Hypothèses!$X$15,IF(DL157&lt;=Hypothèses!$V$16,Hypothèses!$X$16,IF(DL157&lt;=Hypothèses!$U$17,Hypothèses!$W$17,IF(DL157&lt;=Hypothèses!$U$18,Hypothèses!$W$18,""))))))))))))</f>
        <v>#DIV/0!</v>
      </c>
      <c r="EI157" s="95" t="e">
        <f t="shared" ca="1" si="293"/>
        <v>#DIV/0!</v>
      </c>
      <c r="EJ157" s="101" t="e">
        <f t="shared" si="329"/>
        <v>#N/A</v>
      </c>
      <c r="EK157" s="91" t="e">
        <f t="shared" si="262"/>
        <v>#N/A</v>
      </c>
      <c r="EL157" s="30" t="e">
        <f t="shared" si="312"/>
        <v>#N/A</v>
      </c>
      <c r="EM157" s="30" t="e">
        <f t="shared" si="313"/>
        <v>#N/A</v>
      </c>
      <c r="EN157" s="31" t="e">
        <f>IF(OR(Hypothèses!$B$4=17,Hypothèses!$B$4=18,Hypothèses!$B$4=19,Hypothèses!$B$4=20),
IF($D157="Pressio.",
IF(OR($E157=3,$E157=1,$E157=4),EM157,EL157),
IF($D157="Pénétro.",
IF(OR($E157=3,$E157=1,$E157=4),EM157,EL157))),IF($D157="Pressio.",
IF($E157=3,EM157,EL157),
IF($D157="Pénétro.",
IF($E157=4,EM157,EL157))))</f>
        <v>#N/A</v>
      </c>
      <c r="EO157" s="31" t="e">
        <f>(IF(OR(Hypothèses!$B$4=17,Hypothèses!$B$4=18,Hypothèses!$B$4=19,Hypothèses!$B$4=20),
IF($D157="Pressio.",
IF(OR($E157=3,$E157=1,$E157=4),(PI()*EO$12^2)/4*(EK157*$W157*1000)/($H157*$B$5),(PI()*EO$12^2)/4*(EK157*$W157*1000)/($G157*$B$5)),
IF($D157="Pénétro.",
IF(OR($E157=4,$E157=1,$E157=5),(PI()*EO$12^2)/4*(EK157*$W157*1000)/($H157*$B$5),(PI()*EO$12^2)/4*(EK157*$W157*1000)/($G157*$B$5)))),
IF($D157="Pressio.",
IF($E157=3,(PI()*EO$12^2)/4*(EK157*$W157*1000)/($H157*$B$5),(PI()*EO$12^2)/4*(EK157*$W157*1000)/($G157*$B$5)),
IF($D157="Pénétro.",
IF($E157=4,(PI()*EO$12^2)/4*(EK157*$W157*1000)/($H157*$B$5),(PI()*EO$12^2)/4*(EK157*$W157*1000)/($G157*$B$5))))))/10</f>
        <v>#N/A</v>
      </c>
      <c r="EP157" s="102" t="e">
        <f>(VLOOKUP($B$3,'Coeff EC7'!$T$39:$X$59,2,0)*EN157+VLOOKUP($B$3,'Coeff EC7'!$T$65:$X$85,2,0)*Model0.1C!EO157)/1.1</f>
        <v>#N/A</v>
      </c>
      <c r="EQ157" s="102" t="e">
        <f>(VLOOKUP($B$3,'Coeff EC7'!$T$39:$X$59,3,0)*EN157+VLOOKUP($B$3,'Coeff EC7'!$T$65:$X$85,3,0)*Model0.1C!EO157)/0.9</f>
        <v>#N/A</v>
      </c>
      <c r="ER157" s="102" t="e">
        <f t="shared" si="294"/>
        <v>#N/A</v>
      </c>
      <c r="ES157" s="102" t="e">
        <f t="shared" si="295"/>
        <v>#N/A</v>
      </c>
      <c r="ET157" s="414" t="e">
        <f>IF(ET156=0,0,IF(AND(EP157&gt;charge_ELS_quasi,EQ157&gt;Charge_ELS_freq,ER157&gt;charge_ELU,ES157&gt;charge_ELA,$B157&gt;NDC!$H$22-0.1+MIN(3*$ET$12,1.5)),0,1))</f>
        <v>#N/A</v>
      </c>
      <c r="EU157" s="86" t="b">
        <f t="shared" si="263"/>
        <v>0</v>
      </c>
      <c r="EV157" s="86">
        <f t="shared" si="264"/>
        <v>0.61</v>
      </c>
      <c r="EW157" s="86">
        <f t="shared" si="265"/>
        <v>0.61</v>
      </c>
      <c r="EX157" s="30" t="e">
        <f t="shared" ca="1" si="296"/>
        <v>#DIV/0!</v>
      </c>
      <c r="EY157" s="85" t="e">
        <f ca="1">IF(EE157&lt;=Hypothèses!$V$7,Hypothèses!$W$7,IF(EE157&lt;=Hypothèses!$V$8,Hypothèses!$W$8,IF(EE157&lt;=Hypothèses!$V$9,Hypothèses!$W$9,IF(EE157&lt;=Hypothèses!$V$10,Hypothèses!$W$10,IF(EE157&lt;=Hypothèses!$V$11,Hypothèses!$W$11,IF(EE157&lt;=Hypothèses!$V$12,Hypothèses!$W$12,IF(EE157&lt;=Hypothèses!$V$13,Hypothèses!$W$13,IF(EE157&lt;=Hypothèses!$V$14,Hypothèses!$W$14,IF(EE157&lt;=Hypothèses!$V$15,Hypothèses!$W$15,IF(EE157&lt;=Hypothèses!$V$16,Hypothèses!$W$16,IF(EE157&lt;=Hypothèses!$V$17,Hypothèses!$W$17,IF(EE157&lt;=Hypothèses!$V$18,Hypothèses!$W$18,""))))))))))))</f>
        <v>#DIV/0!</v>
      </c>
      <c r="EZ157" s="87" t="e">
        <f t="shared" ca="1" si="323"/>
        <v>#DIV/0!</v>
      </c>
      <c r="FA157" s="88" t="e">
        <f ca="1">IF(EE157&lt;=Hypothèses!$V$7,Hypothèses!$X$7,IF(EE157&lt;=Hypothèses!$V$8,Hypothèses!$X$8,IF(EE157&lt;=Hypothèses!$V$9,Hypothèses!$X$9,IF(EE157&lt;=Hypothèses!$V$10,Hypothèses!$X$10,IF(EE157&lt;=Hypothèses!$V$11,Hypothèses!$X$11,IF(EE157&lt;=Hypothèses!$V$12,Hypothèses!$X$12,IF(EE157&lt;=Hypothèses!$V$13,Hypothèses!$X$13,IF(EE157&lt;=Hypothèses!$V$14,Hypothèses!$X$14,IF(EE157&lt;=Hypothèses!$V$15,Hypothèses!$X$15,IF(EE157&lt;=Hypothèses!$V$16,Hypothèses!$X$16,IF(EE157&lt;=Hypothèses!$U$17,Hypothèses!$W$17,IF(EE157&lt;=Hypothèses!$U$18,Hypothèses!$W$18,""))))))))))))</f>
        <v>#DIV/0!</v>
      </c>
      <c r="FB157" s="95" t="e">
        <f t="shared" ca="1" si="297"/>
        <v>#DIV/0!</v>
      </c>
      <c r="FC157" s="101" t="e">
        <f t="shared" si="330"/>
        <v>#N/A</v>
      </c>
      <c r="FD157" s="91" t="e">
        <f t="shared" si="266"/>
        <v>#N/A</v>
      </c>
      <c r="FE157" s="30" t="e">
        <f t="shared" si="314"/>
        <v>#N/A</v>
      </c>
      <c r="FF157" s="30" t="e">
        <f t="shared" si="315"/>
        <v>#N/A</v>
      </c>
      <c r="FG157" s="31" t="e">
        <f>IF(OR(Hypothèses!$B$4=17,Hypothèses!$B$4=18,Hypothèses!$B$4=19,Hypothèses!$B$4=20),
IF($D157="Pressio.",
IF(OR($E157=3,$E157=1,$E157=4),FF157,FE157),
IF($D157="Pénétro.",
IF(OR($E157=3,$E157=1,$E157=4),FF157,FE157))),IF($D157="Pressio.",
IF($E157=3,FF157,FE157),
IF($D157="Pénétro.",
IF($E157=4,FF157,FE157))))</f>
        <v>#N/A</v>
      </c>
      <c r="FH157" s="31" t="e">
        <f>(IF(OR(Hypothèses!$B$4=17,Hypothèses!$B$4=18,Hypothèses!$B$4=19,Hypothèses!$B$4=20),
IF($D157="Pressio.",
IF(OR($E157=3,$E157=1,$E157=4),(PI()*FH$12^2)/4*(FD157*$W157*1000)/($H157*$B$5),(PI()*FH$12^2)/4*(FD157*$W157*1000)/($G157*$B$5)),
IF($D157="Pénétro.",
IF(OR($E157=4,$E157=1,$E157=5),(PI()*FH$12^2)/4*(FD157*$W157*1000)/($H157*$B$5),(PI()*FH$12^2)/4*(FD157*$W157*1000)/($G157*$B$5)))),
IF($D157="Pressio.",
IF($E157=3,(PI()*FH$12^2)/4*(FD157*$W157*1000)/($H157*$B$5),(PI()*FH$12^2)/4*(FD157*$W157*1000)/($G157*$B$5)),
IF($D157="Pénétro.",
IF($E157=4,(PI()*FH$12^2)/4*(FD157*$W157*1000)/($H157*$B$5),(PI()*FH$12^2)/4*(FD157*$W157*1000)/($G157*$B$5))))))/10</f>
        <v>#N/A</v>
      </c>
      <c r="FI157" s="102" t="e">
        <f>(VLOOKUP($B$3,'Coeff EC7'!$T$39:$X$59,2,0)*FG157+VLOOKUP($B$3,'Coeff EC7'!$T$65:$X$85,2,0)*Model0.1C!FH157)/1.1</f>
        <v>#N/A</v>
      </c>
      <c r="FJ157" s="102" t="e">
        <f>(VLOOKUP($B$3,'Coeff EC7'!$T$39:$X$59,3,0)*FG157+VLOOKUP($B$3,'Coeff EC7'!$T$65:$X$85,3,0)*Model0.1C!FH157)/0.9</f>
        <v>#N/A</v>
      </c>
      <c r="FK157" s="102" t="e">
        <f t="shared" si="298"/>
        <v>#N/A</v>
      </c>
      <c r="FL157" s="102" t="e">
        <f t="shared" si="299"/>
        <v>#N/A</v>
      </c>
      <c r="FM157" s="414" t="e">
        <f>IF(FM156=0,0,IF(AND(FI157&gt;charge_ELS_quasi,FJ157&gt;Charge_ELS_freq,FK157&gt;charge_ELU,FL157&gt;charge_ELA,$B157&gt;NDC!$H$22-0.1+MIN(3*$FM$12,1.5)),0,1))</f>
        <v>#N/A</v>
      </c>
    </row>
    <row r="158" spans="1:169">
      <c r="A158" s="96">
        <f t="shared" si="267"/>
        <v>85.500000000000824</v>
      </c>
      <c r="B158" s="97">
        <v>14.5</v>
      </c>
      <c r="C158" s="81">
        <f>IF(B158&lt;=Hypothèses!$C$7,Hypothèses!$A$7,IF(B158&lt;=Hypothèses!$C$8,Hypothèses!$A$8,IF(B158&lt;=Hypothèses!$C$9,Hypothèses!$A$9,IF(B158&lt;=Hypothèses!$C$10,Hypothèses!$A$10,IF(B158&lt;=Hypothèses!$C$11,Hypothèses!$A$11,IF(B158&lt;=Hypothèses!$C$12,Hypothèses!$A$12,IF(B158&lt;=Hypothèses!$C$13,Hypothèses!$A$13,IF(B158&lt;=Hypothèses!$C$14,Hypothèses!$A$14,IF(B158&lt;=Hypothèses!$C$15,Hypothèses!$A$15,IF(B158&lt;=Hypothèses!$C$16,Hypothèses!$A$16,IF(B158&lt;=Hypothèses!$C$17,Hypothèses!$A$17,IF(B158&lt;=Hypothèses!$C$18,Hypothèses!$A$18,C157))))))))))))</f>
        <v>11</v>
      </c>
      <c r="D158" s="82" t="str">
        <f>IF(B158&lt;=Hypothèses!$C$7,Hypothèses!$R$7,IF(B158&lt;=Hypothèses!$C$8,Hypothèses!$R$8,IF(B158&lt;=Hypothèses!$C$9,Hypothèses!$R$9,IF(B158&lt;=Hypothèses!$C$10,Hypothèses!$R$10,IF(B158&lt;=Hypothèses!$C$11,Hypothèses!$R$11,IF(B158&lt;=Hypothèses!$C$12,Hypothèses!$R$12,IF(B158&lt;=Hypothèses!$C$13,Hypothèses!$R$13,IF(B158&lt;=Hypothèses!$C$14,Hypothèses!$R$14,IF(B158&lt;=Hypothèses!$C$15,Hypothèses!$R$15,IF(B158&lt;=Hypothèses!$C$16,Hypothèses!$R$16,IF(B158&lt;=Hypothèses!$C$17,Hypothèses!$R$17,IF(B158&lt;=Hypothèses!$C$18,Hypothèses!$R$18,D157))))))))))))</f>
        <v>Pressio.</v>
      </c>
      <c r="E158" s="82" t="e">
        <f>IF(B158&lt;=Hypothèses!$C$7,Hypothèses!$G$7,IF(B158&lt;=Hypothèses!$C$8,Hypothèses!$G$8,IF(B158&lt;=Hypothèses!$C$9,Hypothèses!$G$9,IF(B158&lt;=Hypothèses!$C$10,Hypothèses!$G$10,IF(B158&lt;=Hypothèses!$C$11,Hypothèses!$G$11,IF(B158&lt;=Hypothèses!$C$12,Hypothèses!$G$12,IF(B158&lt;=Hypothèses!$C$13,Hypothèses!$G$13,IF(B158&lt;=Hypothèses!$C$14,Hypothèses!$G$14,IF(B158&lt;=Hypothèses!$C$15,Hypothèses!$G$15,IF(B158&lt;=Hypothèses!$C$16,Hypothèses!$G$16,IF(B158&lt;=Hypothèses!$C$17,Hypothèses!$G$17,IF(B158&lt;=Hypothèses!$C$18,Hypothèses!$G$18,E157))))))))))))</f>
        <v>#N/A</v>
      </c>
      <c r="F158" s="82" t="str">
        <f>IF(B158&lt;=Hypothèses!$C$7,Hypothèses!$F$7,IF(B158&lt;=Hypothèses!$C$8,Hypothèses!$F$8,IF(B158&lt;=Hypothèses!$C$9,Hypothèses!$F$9,IF(B158&lt;=Hypothèses!$C$10,Hypothèses!$F$10,IF(B158&lt;=Hypothèses!$C$11,Hypothèses!$F$11,IF(B158&lt;=Hypothèses!$C$12,Hypothèses!$F$12,IF(B158&lt;=Hypothèses!$C$13,Hypothèses!$F$13,IF(B158&lt;=Hypothèses!$C$14,Hypothèses!$F$14,IF(B158&lt;=Hypothèses!$C$15,Hypothèses!$F$15,IF(B158&lt;=Hypothèses!$C$16,Hypothèses!$F$16,IF(B158&lt;=Hypothèses!$C$17,Hypothèses!$F$17,IF(B158&lt;=Hypothèses!$C$18,Hypothèses!$F$18,F157))))))))))))</f>
        <v/>
      </c>
      <c r="G158" s="91">
        <f t="array" ref="G158">INDEX('Coeff EC7'!$U$7:$X$27,
MATCH(Model0.1C!$B$3,'Coeff EC7'!$T$7:$T$27,0),
MATCH(Model0.1C!$D158&amp;Model0.1C!$B$4,
'Coeff EC7'!$U$6:$X$6&amp;
'Coeff EC7'!$U$5:$X$5,0))</f>
        <v>1.1499999999999999</v>
      </c>
      <c r="H158" s="91">
        <f t="array" ref="H158">INDEX('Coeff EC7'!$Y$7:$AB$27,
MATCH(Model0.1C!$B$3,'Coeff EC7'!$T$7:$T$27,0),
MATCH(Model0.1C!$D158&amp;Model0.1C!$B$4,
'Coeff EC7'!$Y$6:$AB$6&amp;
'Coeff EC7'!$Y$5:$AB$5,0))</f>
        <v>1.4</v>
      </c>
      <c r="I158" s="83" t="e">
        <f>IF(B158&lt;=Hypothèses!$C$7,Hypothèses!$P$7,IF(B158&lt;=Hypothèses!$C$8,Hypothèses!$P$8,IF(B158&lt;=Hypothèses!$C$9,Hypothèses!$P$9,IF(B158&lt;=Hypothèses!$C$10,Hypothèses!$P$10,IF(B158&lt;=Hypothèses!$C$11,Hypothèses!$P$11,IF(B158&lt;=Hypothèses!$C$12,Hypothèses!$P$12,IF(B158&lt;=Hypothèses!$C$13,Hypothèses!$P$13,IF(B158&lt;=Hypothèses!$C$14,Hypothèses!$P$14,IF(B158&lt;=Hypothèses!$C$15,Hypothèses!$P$15,IF(B158&lt;=Hypothèses!$C$16,Hypothèses!$P$16,IF(B158&lt;=Hypothèses!$C$17,Hypothèses!$P$17,IF(B158&lt;=Hypothèses!$C$18,Hypothèses!$P$18,I157))))))))))))</f>
        <v>#N/A</v>
      </c>
      <c r="J158" s="91" t="e">
        <f t="array" ref="J158">INDEX('Coeff EC7'!$D$33:$Q$33,1,MATCH(D158&amp;E158,'Coeff EC7'!$D$31:$Q$31&amp;'Coeff EC7'!$D$32:$Q$32,0))</f>
        <v>#N/A</v>
      </c>
      <c r="K158" s="91" t="e">
        <f t="array" ref="K158">INDEX('Coeff EC7'!$D$34:$Q$34,1,MATCH(D158&amp;E158,'Coeff EC7'!$D$31:$Q$31&amp;'Coeff EC7'!$D$32:$Q$32,0))</f>
        <v>#N/A</v>
      </c>
      <c r="L158" s="91" t="e">
        <f t="array" ref="L158">INDEX('Coeff EC7'!$D$35:$Q$35,1,MATCH(D158&amp;E158,'Coeff EC7'!$D$31:$Q$31&amp;'Coeff EC7'!$D$32:$Q$32,0))</f>
        <v>#N/A</v>
      </c>
      <c r="M158" s="98" t="e">
        <f t="shared" si="231"/>
        <v>#N/A</v>
      </c>
      <c r="N158" s="99" t="e">
        <f t="array" ref="N158">INDEX('Coeff EC7'!$D$7:$Q$27,MATCH($B$3,'Coeff EC7'!$C$7:$C$27,0),MATCH(D158&amp;E158,'Coeff EC7'!$D$5:$Q$5&amp;'Coeff EC7'!$D$6:$Q$6,0))</f>
        <v>#N/A</v>
      </c>
      <c r="O158" s="99" t="e">
        <f t="array" ref="O158">INDEX('Coeff EC7'!$D$41:$Q$61,MATCH($B$3,'Coeff EC7'!$C$41:$C$61,0),MATCH(D158&amp;E158,'Coeff EC7'!$D$39:$Q$39&amp;'Coeff EC7'!$D$40:$Q$40,0))</f>
        <v>#N/A</v>
      </c>
      <c r="P158" s="30" t="e">
        <f t="shared" si="268"/>
        <v>#N/A</v>
      </c>
      <c r="Q158" s="100" t="e">
        <f t="shared" si="233"/>
        <v>#N/A</v>
      </c>
      <c r="R158" s="86" t="b">
        <f t="shared" si="234"/>
        <v>0</v>
      </c>
      <c r="S158" s="86">
        <f t="shared" si="232"/>
        <v>0.5</v>
      </c>
      <c r="T158" s="86">
        <f t="shared" si="235"/>
        <v>0.5</v>
      </c>
      <c r="U158" s="30" t="e">
        <f t="shared" ca="1" si="269"/>
        <v>#DIV/0!</v>
      </c>
      <c r="V158" s="85" t="str">
        <f>IF(B158&lt;=Hypothèses!$V$7,Hypothèses!$W$7,IF(B158&lt;=Hypothèses!$V$8,Hypothèses!$W$8,IF(B158&lt;=Hypothèses!$V$9,Hypothèses!$W$9,IF(B158&lt;=Hypothèses!$V$10,Hypothèses!$W$10,IF(B158&lt;=Hypothèses!$V$11,Hypothèses!$W$11,IF(B158&lt;=Hypothèses!$V$12,Hypothèses!$W$12,IF(B158&lt;=Hypothèses!$V$13,Hypothèses!$W$13,IF(B158&lt;=Hypothèses!$V$14,Hypothèses!$W$14,IF(B158&lt;=Hypothèses!$V$15,Hypothèses!$W$15,IF(B158&lt;=Hypothèses!$V$16,Hypothèses!$W$16,IF(B158&lt;=Hypothèses!$V$17,Hypothèses!$W$17,IF(B158&lt;=Hypothèses!$V$18,Hypothèses!$W$18,""))))))))))))</f>
        <v/>
      </c>
      <c r="W158" s="87" t="e">
        <f t="shared" ca="1" si="316"/>
        <v>#DIV/0!</v>
      </c>
      <c r="X158" s="88" t="str">
        <f>IF(B158&lt;=Hypothèses!$V$7,Hypothèses!$X$7,IF(B158&lt;=Hypothèses!$V$8,Hypothèses!$X$8,IF(B158&lt;=Hypothèses!$V$9,Hypothèses!$X$9,IF(B158&lt;=Hypothèses!$V$10,Hypothèses!$X$10,IF(B158&lt;=Hypothèses!$V$11,Hypothèses!$X$11,IF(B158&lt;=Hypothèses!$V$12,Hypothèses!$X$12,IF(B158&lt;=Hypothèses!$V$13,Hypothèses!$X$13,IF(B158&lt;=Hypothèses!$V$14,Hypothèses!$X$14,IF(B158&lt;=Hypothèses!$V$15,Hypothèses!$X$15,IF(B158&lt;=Hypothèses!$V$16,Hypothèses!$X$16,IF(B158&lt;=Hypothèses!$U$17,Hypothèses!$W$17,IF(B158&lt;=Hypothèses!$U$18,Hypothèses!$W$18,""))))))))))))</f>
        <v/>
      </c>
      <c r="Y158" s="95" t="e">
        <f t="shared" ca="1" si="236"/>
        <v>#DIV/0!</v>
      </c>
      <c r="Z158" s="101" t="e">
        <f t="shared" si="237"/>
        <v>#N/A</v>
      </c>
      <c r="AA158" s="91" t="e">
        <f t="shared" si="238"/>
        <v>#N/A</v>
      </c>
      <c r="AB158" s="30" t="e">
        <f t="shared" si="300"/>
        <v>#N/A</v>
      </c>
      <c r="AC158" s="30" t="e">
        <f t="shared" si="301"/>
        <v>#N/A</v>
      </c>
      <c r="AD158" s="31" t="e">
        <f>IF(OR(Hypothèses!$B$4=17,Hypothèses!$B$4=18,Hypothèses!$B$4=19,Hypothèses!$B$4=20),
IF($D158="Pressio.",
IF(OR($E158=3,$E158=1,$E158=4),AC158,AB158),
IF($D158="Pénétro.",
IF(OR($E158=3,$E158=1,$E158=4),AC158,AB158))),IF($D158="Pressio.",
IF($E158=3,AC158,AB158),
IF($D158="Pénétro.",
IF($E158=4,AC158,AB158))))</f>
        <v>#N/A</v>
      </c>
      <c r="AE158" s="31" t="e">
        <f>(IF(OR(Hypothèses!$B$4=17,Hypothèses!$B$4=18,Hypothèses!$B$4=19,Hypothèses!$B$4=20),
IF($D158="Pressio.",
IF(OR($E158=3,$E158=1,$E158=4),(PI()*AE$12^2)/4*(AA158*$W158*1000)/($H158*$B$5),(PI()*AE$12^2)/4*(AA158*$W158*1000)/($G158*$B$5)),
IF($D158="Pénétro.",
IF(OR($E158=4,$E158=1,$E158=5),(PI()*AE$12^2)/4*(AA158*$W158*1000)/($H158*$B$5),(PI()*AE$12^2)/4*(AA158*$W158*1000)/($G158*$B$5)))),
IF($D158="Pressio.",
IF($E158=3,(PI()*AE$12^2)/4*(AA158*$W158*1000)/($H158*$B$5),(PI()*AE$12^2)/4*(AA158*$W158*1000)/($G158*$B$5)),
IF($D158="Pénétro.",
IF($E158=4,(PI()*AE$12^2)/4*(AA158*$W158*1000)/($H158*$B$5),(PI()*AE$12^2)/4*(AA158*$W158*1000)/($G158*$B$5))))))/10</f>
        <v>#N/A</v>
      </c>
      <c r="AF158" s="102" t="e">
        <f>(VLOOKUP($B$3,'Coeff EC7'!$T$39:$X$59,2,0)*AD158+VLOOKUP($B$3,'Coeff EC7'!$T$65:$X$85,2,0)*Model0.1C!AE158)/1.1</f>
        <v>#N/A</v>
      </c>
      <c r="AG158" s="102" t="e">
        <f>(VLOOKUP($B$3,'Coeff EC7'!$T$39:$X$59,3,0)*AD158+VLOOKUP($B$3,'Coeff EC7'!$T$65:$X$85,3,0)*Model0.1C!AE158)/0.9</f>
        <v>#N/A</v>
      </c>
      <c r="AH158" s="102" t="e">
        <f t="shared" si="239"/>
        <v>#N/A</v>
      </c>
      <c r="AI158" s="102" t="e">
        <f t="shared" si="240"/>
        <v>#N/A</v>
      </c>
      <c r="AJ158" s="414" t="e">
        <f>IF(AJ157=0,0,IF(AND(AF158&gt;charge_ELS_quasi,AG158&gt;Charge_ELS_freq,AH158&gt;charge_ELU,AI158&gt;charge_ELA,$B158&gt;NDC!$H$22-0.1+MIN(3*$AJ$12,1.5)),0,1))</f>
        <v>#N/A</v>
      </c>
      <c r="AK158" s="86" t="b">
        <f t="shared" si="241"/>
        <v>0</v>
      </c>
      <c r="AL158" s="86">
        <f t="shared" si="270"/>
        <v>0.5</v>
      </c>
      <c r="AM158" s="86">
        <f t="shared" si="242"/>
        <v>0.5</v>
      </c>
      <c r="AN158" s="30" t="e">
        <f t="shared" ca="1" si="271"/>
        <v>#DIV/0!</v>
      </c>
      <c r="AO158" s="85" t="e">
        <f ca="1">IF(U158&lt;=Hypothèses!$V$7,Hypothèses!$W$7,IF(U158&lt;=Hypothèses!$V$8,Hypothèses!$W$8,IF(U158&lt;=Hypothèses!$V$9,Hypothèses!$W$9,IF(U158&lt;=Hypothèses!$V$10,Hypothèses!$W$10,IF(U158&lt;=Hypothèses!$V$11,Hypothèses!$W$11,IF(U158&lt;=Hypothèses!$V$12,Hypothèses!$W$12,IF(U158&lt;=Hypothèses!$V$13,Hypothèses!$W$13,IF(U158&lt;=Hypothèses!$V$14,Hypothèses!$W$14,IF(U158&lt;=Hypothèses!$V$15,Hypothèses!$W$15,IF(U158&lt;=Hypothèses!$V$16,Hypothèses!$W$16,IF(U158&lt;=Hypothèses!$V$17,Hypothèses!$W$17,IF(U158&lt;=Hypothèses!$V$18,Hypothèses!$W$18,""))))))))))))</f>
        <v>#DIV/0!</v>
      </c>
      <c r="AP158" s="87" t="e">
        <f t="shared" ca="1" si="317"/>
        <v>#DIV/0!</v>
      </c>
      <c r="AQ158" s="88" t="e">
        <f ca="1">IF(U158&lt;=Hypothèses!$V$7,Hypothèses!$X$7,IF(U158&lt;=Hypothèses!$V$8,Hypothèses!$X$8,IF(U158&lt;=Hypothèses!$V$9,Hypothèses!$X$9,IF(U158&lt;=Hypothèses!$V$10,Hypothèses!$X$10,IF(U158&lt;=Hypothèses!$V$11,Hypothèses!$X$11,IF(U158&lt;=Hypothèses!$V$12,Hypothèses!$X$12,IF(U158&lt;=Hypothèses!$V$13,Hypothèses!$X$13,IF(U158&lt;=Hypothèses!$V$14,Hypothèses!$X$14,IF(U158&lt;=Hypothèses!$V$15,Hypothèses!$X$15,IF(U158&lt;=Hypothèses!$V$16,Hypothèses!$X$16,IF(U158&lt;=Hypothèses!$U$17,Hypothèses!$W$17,IF(U158&lt;=Hypothèses!$U$18,Hypothèses!$W$18,""))))))))))))</f>
        <v>#DIV/0!</v>
      </c>
      <c r="AR158" s="95" t="e">
        <f t="shared" ca="1" si="272"/>
        <v>#DIV/0!</v>
      </c>
      <c r="AS158" s="101" t="e">
        <f t="shared" si="324"/>
        <v>#N/A</v>
      </c>
      <c r="AT158" s="91" t="e">
        <f t="shared" si="243"/>
        <v>#N/A</v>
      </c>
      <c r="AU158" s="30" t="e">
        <f t="shared" si="302"/>
        <v>#N/A</v>
      </c>
      <c r="AV158" s="30" t="e">
        <f t="shared" si="303"/>
        <v>#N/A</v>
      </c>
      <c r="AW158" s="31" t="e">
        <f>IF(OR(Hypothèses!$B$4=17,Hypothèses!$B$4=18,Hypothèses!$B$4=19,Hypothèses!$B$4=20),
IF($D158="Pressio.",
IF(OR($E158=3,$E158=1,$E158=4),AV158,AU158),
IF($D158="Pénétro.",
IF(OR($E158=3,$E158=1,$E158=4),AV158,AU158))),IF($D158="Pressio.",
IF($E158=3,AV158,AU158),
IF($D158="Pénétro.",
IF($E158=4,AV158,AU158))))</f>
        <v>#N/A</v>
      </c>
      <c r="AX158" s="31" t="e">
        <f>(IF(OR(Hypothèses!$B$4=17,Hypothèses!$B$4=18,Hypothèses!$B$4=19,Hypothèses!$B$4=20),
IF($D158="Pressio.",
IF(OR($E158=3,$E158=1,$E158=4),(PI()*AX$12^2)/4*(AT158*$W158*1000)/($H158*$B$5),(PI()*AX$12^2)/4*(AT158*$W158*1000)/($G158*$B$5)),
IF($D158="Pénétro.",
IF(OR($E158=4,$E158=1,$E158=5),(PI()*AX$12^2)/4*(AT158*$W158*1000)/($H158*$B$5),(PI()*AX$12^2)/4*(AT158*$W158*1000)/($G158*$B$5)))),
IF($D158="Pressio.",
IF($E158=3,(PI()*AX$12^2)/4*(AT158*$W158*1000)/($H158*$B$5),(PI()*AX$12^2)/4*(AT158*$W158*1000)/($G158*$B$5)),
IF($D158="Pénétro.",
IF($E158=4,(PI()*AX$12^2)/4*(AT158*$W158*1000)/($H158*$B$5),(PI()*AX$12^2)/4*(AT158*$W158*1000)/($G158*$B$5))))))/10</f>
        <v>#N/A</v>
      </c>
      <c r="AY158" s="102" t="e">
        <f>(VLOOKUP($B$3,'Coeff EC7'!$T$39:$X$59,2,0)*AW158+VLOOKUP($B$3,'Coeff EC7'!$T$65:$X$85,2,0)*Model0.1C!AX158)/1.1</f>
        <v>#N/A</v>
      </c>
      <c r="AZ158" s="102" t="e">
        <f>(VLOOKUP($B$3,'Coeff EC7'!$T$39:$X$59,3,0)*AW158+VLOOKUP($B$3,'Coeff EC7'!$T$65:$X$85,3,0)*Model0.1C!AX158)/0.9</f>
        <v>#N/A</v>
      </c>
      <c r="BA158" s="102" t="e">
        <f t="shared" si="273"/>
        <v>#N/A</v>
      </c>
      <c r="BB158" s="102" t="e">
        <f t="shared" si="274"/>
        <v>#N/A</v>
      </c>
      <c r="BC158" s="414" t="e">
        <f>IF(BC157=0,0,IF(AND(AY158&gt;charge_ELS_quasi,AZ158&gt;Charge_ELS_freq,BA158&gt;charge_ELU,BB158&gt;charge_ELA,$B158&gt;NDC!$H$22-0.1+MIN(3*$BC$12,1.5)),0,1))</f>
        <v>#N/A</v>
      </c>
      <c r="BD158" s="86" t="b">
        <f t="shared" si="244"/>
        <v>0</v>
      </c>
      <c r="BE158" s="86">
        <f t="shared" si="275"/>
        <v>0.5</v>
      </c>
      <c r="BF158" s="86">
        <f t="shared" si="245"/>
        <v>0.5</v>
      </c>
      <c r="BG158" s="30" t="e">
        <f t="shared" ca="1" si="276"/>
        <v>#DIV/0!</v>
      </c>
      <c r="BH158" s="85" t="e">
        <f ca="1">IF(AN158&lt;=Hypothèses!$V$7,Hypothèses!$W$7,IF(AN158&lt;=Hypothèses!$V$8,Hypothèses!$W$8,IF(AN158&lt;=Hypothèses!$V$9,Hypothèses!$W$9,IF(AN158&lt;=Hypothèses!$V$10,Hypothèses!$W$10,IF(AN158&lt;=Hypothèses!$V$11,Hypothèses!$W$11,IF(AN158&lt;=Hypothèses!$V$12,Hypothèses!$W$12,IF(AN158&lt;=Hypothèses!$V$13,Hypothèses!$W$13,IF(AN158&lt;=Hypothèses!$V$14,Hypothèses!$W$14,IF(AN158&lt;=Hypothèses!$V$15,Hypothèses!$W$15,IF(AN158&lt;=Hypothèses!$V$16,Hypothèses!$W$16,IF(AN158&lt;=Hypothèses!$V$17,Hypothèses!$W$17,IF(AN158&lt;=Hypothèses!$V$18,Hypothèses!$W$18,""))))))))))))</f>
        <v>#DIV/0!</v>
      </c>
      <c r="BI158" s="87" t="e">
        <f t="shared" ca="1" si="318"/>
        <v>#DIV/0!</v>
      </c>
      <c r="BJ158" s="88" t="e">
        <f ca="1">IF(AN158&lt;=Hypothèses!$V$7,Hypothèses!$X$7,IF(AN158&lt;=Hypothèses!$V$8,Hypothèses!$X$8,IF(AN158&lt;=Hypothèses!$V$9,Hypothèses!$X$9,IF(AN158&lt;=Hypothèses!$V$10,Hypothèses!$X$10,IF(AN158&lt;=Hypothèses!$V$11,Hypothèses!$X$11,IF(AN158&lt;=Hypothèses!$V$12,Hypothèses!$X$12,IF(AN158&lt;=Hypothèses!$V$13,Hypothèses!$X$13,IF(AN158&lt;=Hypothèses!$V$14,Hypothèses!$X$14,IF(AN158&lt;=Hypothèses!$V$15,Hypothèses!$X$15,IF(AN158&lt;=Hypothèses!$V$16,Hypothèses!$X$16,IF(AN158&lt;=Hypothèses!$U$17,Hypothèses!$W$17,IF(AN158&lt;=Hypothèses!$U$18,Hypothèses!$W$18,""))))))))))))</f>
        <v>#DIV/0!</v>
      </c>
      <c r="BK158" s="95" t="e">
        <f t="shared" ca="1" si="277"/>
        <v>#DIV/0!</v>
      </c>
      <c r="BL158" s="101" t="e">
        <f t="shared" si="325"/>
        <v>#N/A</v>
      </c>
      <c r="BM158" s="91" t="e">
        <f t="shared" si="246"/>
        <v>#N/A</v>
      </c>
      <c r="BN158" s="30" t="e">
        <f t="shared" si="304"/>
        <v>#N/A</v>
      </c>
      <c r="BO158" s="30" t="e">
        <f t="shared" si="305"/>
        <v>#N/A</v>
      </c>
      <c r="BP158" s="31" t="e">
        <f>IF(OR(Hypothèses!$B$4=17,Hypothèses!$B$4=18,Hypothèses!$B$4=19,Hypothèses!$B$4=20),
IF($D158="Pressio.",
IF(OR($E158=3,$E158=1,$E158=4),BO158,BN158),
IF($D158="Pénétro.",
IF(OR($E158=3,$E158=1,$E158=4),BO158,BN158))),IF($D158="Pressio.",
IF($E158=3,BO158,BN158),
IF($D158="Pénétro.",
IF($E158=4,BO158,BN158))))</f>
        <v>#N/A</v>
      </c>
      <c r="BQ158" s="31" t="e">
        <f>(IF(OR(Hypothèses!$B$4=17,Hypothèses!$B$4=18,Hypothèses!$B$4=19,Hypothèses!$B$4=20),
IF($D158="Pressio.",
IF(OR($E158=3,$E158=1,$E158=4),(PI()*BQ$12^2)/4*(BM158*$W158*1000)/($H158*$B$5),(PI()*BQ$12^2)/4*(BM158*$W158*1000)/($G158*$B$5)),
IF($D158="Pénétro.",
IF(OR($E158=4,$E158=1,$E158=5),(PI()*BQ$12^2)/4*(BM158*$W158*1000)/($H158*$B$5),(PI()*BQ$12^2)/4*(BM158*$W158*1000)/($G158*$B$5)))),
IF($D158="Pressio.",
IF($E158=3,(PI()*BQ$12^2)/4*(BM158*$W158*1000)/($H158*$B$5),(PI()*BQ$12^2)/4*(BM158*$W158*1000)/($G158*$B$5)),
IF($D158="Pénétro.",
IF($E158=4,(PI()*BQ$12^2)/4*(BM158*$W158*1000)/($H158*$B$5),(PI()*BQ$12^2)/4*(BM158*$W158*1000)/($G158*$B$5))))))/10</f>
        <v>#N/A</v>
      </c>
      <c r="BR158" s="102" t="e">
        <f>(VLOOKUP($B$3,'Coeff EC7'!$T$39:$X$59,2,0)*BP158+VLOOKUP($B$3,'Coeff EC7'!$T$65:$X$85,2,0)*Model0.1C!BQ158)/1.1</f>
        <v>#N/A</v>
      </c>
      <c r="BS158" s="102" t="e">
        <f>(VLOOKUP($B$3,'Coeff EC7'!$T$39:$X$59,3,0)*BP158+VLOOKUP($B$3,'Coeff EC7'!$T$65:$X$85,3,0)*Model0.1C!BQ158)/0.9</f>
        <v>#N/A</v>
      </c>
      <c r="BT158" s="102" t="e">
        <f t="shared" si="278"/>
        <v>#N/A</v>
      </c>
      <c r="BU158" s="102" t="e">
        <f t="shared" si="279"/>
        <v>#N/A</v>
      </c>
      <c r="BV158" s="414" t="e">
        <f>IF(BV157=0,0,IF(AND(BR158&gt;charge_ELS_quasi,BS158&gt;Charge_ELS_freq,BT158&gt;charge_ELU,BU158&gt;charge_ELA,$B158&gt;NDC!$H$22-0.1+MIN(3*$BV$12,1.5)),0,1))</f>
        <v>#N/A</v>
      </c>
      <c r="BW158" s="86" t="b">
        <f t="shared" si="247"/>
        <v>0</v>
      </c>
      <c r="BX158" s="86">
        <f t="shared" si="248"/>
        <v>0.5</v>
      </c>
      <c r="BY158" s="86">
        <f t="shared" si="249"/>
        <v>0.5</v>
      </c>
      <c r="BZ158" s="30" t="e">
        <f t="shared" ca="1" si="280"/>
        <v>#DIV/0!</v>
      </c>
      <c r="CA158" s="85" t="e">
        <f ca="1">IF(BG158&lt;=Hypothèses!$V$7,Hypothèses!$W$7,IF(BG158&lt;=Hypothèses!$V$8,Hypothèses!$W$8,IF(BG158&lt;=Hypothèses!$V$9,Hypothèses!$W$9,IF(BG158&lt;=Hypothèses!$V$10,Hypothèses!$W$10,IF(BG158&lt;=Hypothèses!$V$11,Hypothèses!$W$11,IF(BG158&lt;=Hypothèses!$V$12,Hypothèses!$W$12,IF(BG158&lt;=Hypothèses!$V$13,Hypothèses!$W$13,IF(BG158&lt;=Hypothèses!$V$14,Hypothèses!$W$14,IF(BG158&lt;=Hypothèses!$V$15,Hypothèses!$W$15,IF(BG158&lt;=Hypothèses!$V$16,Hypothèses!$W$16,IF(BG158&lt;=Hypothèses!$V$17,Hypothèses!$W$17,IF(BG158&lt;=Hypothèses!$V$18,Hypothèses!$W$18,""))))))))))))</f>
        <v>#DIV/0!</v>
      </c>
      <c r="CB158" s="87" t="e">
        <f t="shared" ca="1" si="319"/>
        <v>#DIV/0!</v>
      </c>
      <c r="CC158" s="88" t="e">
        <f ca="1">IF(BG158&lt;=Hypothèses!$V$7,Hypothèses!$X$7,IF(BG158&lt;=Hypothèses!$V$8,Hypothèses!$X$8,IF(BG158&lt;=Hypothèses!$V$9,Hypothèses!$X$9,IF(BG158&lt;=Hypothèses!$V$10,Hypothèses!$X$10,IF(BG158&lt;=Hypothèses!$V$11,Hypothèses!$X$11,IF(BG158&lt;=Hypothèses!$V$12,Hypothèses!$X$12,IF(BG158&lt;=Hypothèses!$V$13,Hypothèses!$X$13,IF(BG158&lt;=Hypothèses!$V$14,Hypothèses!$X$14,IF(BG158&lt;=Hypothèses!$V$15,Hypothèses!$X$15,IF(BG158&lt;=Hypothèses!$V$16,Hypothèses!$X$16,IF(BG158&lt;=Hypothèses!$U$17,Hypothèses!$W$17,IF(BG158&lt;=Hypothèses!$U$18,Hypothèses!$W$18,""))))))))))))</f>
        <v>#DIV/0!</v>
      </c>
      <c r="CD158" s="95" t="e">
        <f t="shared" ca="1" si="281"/>
        <v>#DIV/0!</v>
      </c>
      <c r="CE158" s="101" t="e">
        <f t="shared" si="326"/>
        <v>#N/A</v>
      </c>
      <c r="CF158" s="91" t="e">
        <f t="shared" si="250"/>
        <v>#N/A</v>
      </c>
      <c r="CG158" s="30" t="e">
        <f t="shared" si="306"/>
        <v>#N/A</v>
      </c>
      <c r="CH158" s="30" t="e">
        <f t="shared" si="307"/>
        <v>#N/A</v>
      </c>
      <c r="CI158" s="31" t="e">
        <f>IF(OR(Hypothèses!$B$4=17,Hypothèses!$B$4=18,Hypothèses!$B$4=19,Hypothèses!$B$4=20),
IF($D158="Pressio.",
IF(OR($E158=3,$E158=1,$E158=4),CH158,CG158),
IF($D158="Pénétro.",
IF(OR($E158=3,$E158=1,$E158=4),CH158,CG158))),IF($D158="Pressio.",
IF($E158=3,CH158,CG158),
IF($D158="Pénétro.",
IF($E158=4,CH158,CG158))))</f>
        <v>#N/A</v>
      </c>
      <c r="CJ158" s="31" t="e">
        <f>(IF(OR(Hypothèses!$B$4=17,Hypothèses!$B$4=18,Hypothèses!$B$4=19,Hypothèses!$B$4=20),
IF($D158="Pressio.",
IF(OR($E158=3,$E158=1,$E158=4),(PI()*CJ$12^2)/4*(CF158*$W158*1000)/($H158*$B$5),(PI()*CJ$12^2)/4*(CF158*$W158*1000)/($G158*$B$5)),
IF($D158="Pénétro.",
IF(OR($E158=4,$E158=1,$E158=5),(PI()*CJ$12^2)/4*(CF158*$W158*1000)/($H158*$B$5),(PI()*CJ$12^2)/4*(CF158*$W158*1000)/($G158*$B$5)))),
IF($D158="Pressio.",
IF($E158=3,(PI()*CJ$12^2)/4*(CF158*$W158*1000)/($H158*$B$5),(PI()*CJ$12^2)/4*(CF158*$W158*1000)/($G158*$B$5)),
IF($D158="Pénétro.",
IF($E158=4,(PI()*CJ$12^2)/4*(CF158*$W158*1000)/($H158*$B$5),(PI()*CJ$12^2)/4*(CF158*$W158*1000)/($G158*$B$5))))))/10</f>
        <v>#N/A</v>
      </c>
      <c r="CK158" s="102" t="e">
        <f>(VLOOKUP($B$3,'Coeff EC7'!$T$39:$X$59,2,0)*CI158+VLOOKUP($B$3,'Coeff EC7'!$T$65:$X$85,2,0)*Model0.1C!CJ158)/1.1</f>
        <v>#N/A</v>
      </c>
      <c r="CL158" s="102" t="e">
        <f>(VLOOKUP($B$3,'Coeff EC7'!$T$39:$X$59,3,0)*CI158+VLOOKUP($B$3,'Coeff EC7'!$T$65:$X$85,3,0)*Model0.1C!CJ158)/0.9</f>
        <v>#N/A</v>
      </c>
      <c r="CM158" s="102" t="e">
        <f t="shared" si="282"/>
        <v>#N/A</v>
      </c>
      <c r="CN158" s="102" t="e">
        <f t="shared" si="283"/>
        <v>#N/A</v>
      </c>
      <c r="CO158" s="414" t="e">
        <f>IF(CO157=0,0,IF(AND(CK158&gt;charge_ELS_quasi,CL158&gt;Charge_ELS_freq,CM158&gt;charge_ELU,CN158&gt;charge_ELA,$B158&gt;NDC!$H$22-0.1+MIN(3*$CO$12,1.5)),0,1))</f>
        <v>#N/A</v>
      </c>
      <c r="CP158" s="86" t="b">
        <f t="shared" si="251"/>
        <v>0</v>
      </c>
      <c r="CQ158" s="86">
        <f t="shared" si="252"/>
        <v>0.5</v>
      </c>
      <c r="CR158" s="86">
        <f t="shared" si="253"/>
        <v>0.5</v>
      </c>
      <c r="CS158" s="30" t="e">
        <f t="shared" ca="1" si="284"/>
        <v>#DIV/0!</v>
      </c>
      <c r="CT158" s="85" t="e">
        <f ca="1">IF(BZ158&lt;=Hypothèses!$V$7,Hypothèses!$W$7,IF(BZ158&lt;=Hypothèses!$V$8,Hypothèses!$W$8,IF(BZ158&lt;=Hypothèses!$V$9,Hypothèses!$W$9,IF(BZ158&lt;=Hypothèses!$V$10,Hypothèses!$W$10,IF(BZ158&lt;=Hypothèses!$V$11,Hypothèses!$W$11,IF(BZ158&lt;=Hypothèses!$V$12,Hypothèses!$W$12,IF(BZ158&lt;=Hypothèses!$V$13,Hypothèses!$W$13,IF(BZ158&lt;=Hypothèses!$V$14,Hypothèses!$W$14,IF(BZ158&lt;=Hypothèses!$V$15,Hypothèses!$W$15,IF(BZ158&lt;=Hypothèses!$V$16,Hypothèses!$W$16,IF(BZ158&lt;=Hypothèses!$V$17,Hypothèses!$W$17,IF(BZ158&lt;=Hypothèses!$V$18,Hypothèses!$W$18,""))))))))))))</f>
        <v>#DIV/0!</v>
      </c>
      <c r="CU158" s="87" t="e">
        <f t="shared" ca="1" si="320"/>
        <v>#DIV/0!</v>
      </c>
      <c r="CV158" s="88" t="e">
        <f ca="1">IF(BZ158&lt;=Hypothèses!$V$7,Hypothèses!$X$7,IF(BZ158&lt;=Hypothèses!$V$8,Hypothèses!$X$8,IF(BZ158&lt;=Hypothèses!$V$9,Hypothèses!$X$9,IF(BZ158&lt;=Hypothèses!$V$10,Hypothèses!$X$10,IF(BZ158&lt;=Hypothèses!$V$11,Hypothèses!$X$11,IF(BZ158&lt;=Hypothèses!$V$12,Hypothèses!$X$12,IF(BZ158&lt;=Hypothèses!$V$13,Hypothèses!$X$13,IF(BZ158&lt;=Hypothèses!$V$14,Hypothèses!$X$14,IF(BZ158&lt;=Hypothèses!$V$15,Hypothèses!$X$15,IF(BZ158&lt;=Hypothèses!$V$16,Hypothèses!$X$16,IF(BZ158&lt;=Hypothèses!$U$17,Hypothèses!$W$17,IF(BZ158&lt;=Hypothèses!$U$18,Hypothèses!$W$18,""))))))))))))</f>
        <v>#DIV/0!</v>
      </c>
      <c r="CW158" s="95" t="e">
        <f t="shared" ca="1" si="285"/>
        <v>#DIV/0!</v>
      </c>
      <c r="CX158" s="101" t="e">
        <f t="shared" si="327"/>
        <v>#N/A</v>
      </c>
      <c r="CY158" s="91" t="e">
        <f t="shared" si="254"/>
        <v>#N/A</v>
      </c>
      <c r="CZ158" s="30" t="e">
        <f t="shared" si="308"/>
        <v>#N/A</v>
      </c>
      <c r="DA158" s="30" t="e">
        <f t="shared" si="309"/>
        <v>#N/A</v>
      </c>
      <c r="DB158" s="31" t="e">
        <f>IF(OR(Hypothèses!$B$4=17,Hypothèses!$B$4=18,Hypothèses!$B$4=19,Hypothèses!$B$4=20),
IF($D158="Pressio.",
IF(OR($E158=3,$E158=1,$E158=4),DA158,CZ158),
IF($D158="Pénétro.",
IF(OR($E158=3,$E158=1,$E158=4),DA158,CZ158))),IF($D158="Pressio.",
IF($E158=3,DA158,CZ158),
IF($D158="Pénétro.",
IF($E158=4,DA158,CZ158))))</f>
        <v>#N/A</v>
      </c>
      <c r="DC158" s="31" t="e">
        <f>(IF(OR(Hypothèses!$B$4=17,Hypothèses!$B$4=18,Hypothèses!$B$4=19,Hypothèses!$B$4=20),
IF($D158="Pressio.",
IF(OR($E158=3,$E158=1,$E158=4),(PI()*DC$12^2)/4*(CY158*$W158*1000)/($H158*$B$5),(PI()*DC$12^2)/4*(CY158*$W158*1000)/($G158*$B$5)),
IF($D158="Pénétro.",
IF(OR($E158=4,$E158=1,$E158=5),(PI()*DC$12^2)/4*(CY158*$W158*1000)/($H158*$B$5),(PI()*DC$12^2)/4*(CY158*$W158*1000)/($G158*$B$5)))),
IF($D158="Pressio.",
IF($E158=3,(PI()*DC$12^2)/4*(CY158*$W158*1000)/($H158*$B$5),(PI()*DC$12^2)/4*(CY158*$W158*1000)/($G158*$B$5)),
IF($D158="Pénétro.",
IF($E158=4,(PI()*DC$12^2)/4*(CY158*$W158*1000)/($H158*$B$5),(PI()*DC$12^2)/4*(CY158*$W158*1000)/($G158*$B$5))))))/10</f>
        <v>#N/A</v>
      </c>
      <c r="DD158" s="102" t="e">
        <f>(VLOOKUP($B$3,'Coeff EC7'!$T$39:$X$59,2,0)*DB158+VLOOKUP($B$3,'Coeff EC7'!$T$65:$X$85,2,0)*Model0.1C!DC158)/1.1</f>
        <v>#N/A</v>
      </c>
      <c r="DE158" s="102" t="e">
        <f>(VLOOKUP($B$3,'Coeff EC7'!$T$39:$X$59,3,0)*DB158+VLOOKUP($B$3,'Coeff EC7'!$T$65:$X$85,3,0)*Model0.1C!DC158)/0.9</f>
        <v>#N/A</v>
      </c>
      <c r="DF158" s="102" t="e">
        <f t="shared" si="286"/>
        <v>#N/A</v>
      </c>
      <c r="DG158" s="102" t="e">
        <f t="shared" si="287"/>
        <v>#N/A</v>
      </c>
      <c r="DH158" s="414" t="e">
        <f>IF(DH157=0,0,IF(AND(DD158&gt;charge_ELS_quasi,DE158&gt;Charge_ELS_freq,DF158&gt;charge_ELU,DG158&gt;charge_ELA,$B158&gt;NDC!$H$22-0.1+MIN(3*$DH$12,1.5)),0,1))</f>
        <v>#N/A</v>
      </c>
      <c r="DI158" s="86" t="b">
        <f t="shared" si="255"/>
        <v>0</v>
      </c>
      <c r="DJ158" s="86">
        <f t="shared" si="256"/>
        <v>0.5</v>
      </c>
      <c r="DK158" s="86">
        <f t="shared" si="257"/>
        <v>0.5</v>
      </c>
      <c r="DL158" s="30" t="e">
        <f t="shared" ca="1" si="288"/>
        <v>#DIV/0!</v>
      </c>
      <c r="DM158" s="85" t="e">
        <f ca="1">IF(CS158&lt;=Hypothèses!$V$7,Hypothèses!$W$7,IF(CS158&lt;=Hypothèses!$V$8,Hypothèses!$W$8,IF(CS158&lt;=Hypothèses!$V$9,Hypothèses!$W$9,IF(CS158&lt;=Hypothèses!$V$10,Hypothèses!$W$10,IF(CS158&lt;=Hypothèses!$V$11,Hypothèses!$W$11,IF(CS158&lt;=Hypothèses!$V$12,Hypothèses!$W$12,IF(CS158&lt;=Hypothèses!$V$13,Hypothèses!$W$13,IF(CS158&lt;=Hypothèses!$V$14,Hypothèses!$W$14,IF(CS158&lt;=Hypothèses!$V$15,Hypothèses!$W$15,IF(CS158&lt;=Hypothèses!$V$16,Hypothèses!$W$16,IF(CS158&lt;=Hypothèses!$V$17,Hypothèses!$W$17,IF(CS158&lt;=Hypothèses!$V$18,Hypothèses!$W$18,""))))))))))))</f>
        <v>#DIV/0!</v>
      </c>
      <c r="DN158" s="87" t="e">
        <f t="shared" ca="1" si="321"/>
        <v>#DIV/0!</v>
      </c>
      <c r="DO158" s="88" t="e">
        <f ca="1">IF(CS158&lt;=Hypothèses!$V$7,Hypothèses!$X$7,IF(CS158&lt;=Hypothèses!$V$8,Hypothèses!$X$8,IF(CS158&lt;=Hypothèses!$V$9,Hypothèses!$X$9,IF(CS158&lt;=Hypothèses!$V$10,Hypothèses!$X$10,IF(CS158&lt;=Hypothèses!$V$11,Hypothèses!$X$11,IF(CS158&lt;=Hypothèses!$V$12,Hypothèses!$X$12,IF(CS158&lt;=Hypothèses!$V$13,Hypothèses!$X$13,IF(CS158&lt;=Hypothèses!$V$14,Hypothèses!$X$14,IF(CS158&lt;=Hypothèses!$V$15,Hypothèses!$X$15,IF(CS158&lt;=Hypothèses!$V$16,Hypothèses!$X$16,IF(CS158&lt;=Hypothèses!$U$17,Hypothèses!$W$17,IF(CS158&lt;=Hypothèses!$U$18,Hypothèses!$W$18,""))))))))))))</f>
        <v>#DIV/0!</v>
      </c>
      <c r="DP158" s="95" t="e">
        <f t="shared" ca="1" si="289"/>
        <v>#DIV/0!</v>
      </c>
      <c r="DQ158" s="101" t="e">
        <f t="shared" si="328"/>
        <v>#N/A</v>
      </c>
      <c r="DR158" s="91" t="e">
        <f t="shared" si="258"/>
        <v>#N/A</v>
      </c>
      <c r="DS158" s="30" t="e">
        <f t="shared" si="310"/>
        <v>#N/A</v>
      </c>
      <c r="DT158" s="30" t="e">
        <f t="shared" si="311"/>
        <v>#N/A</v>
      </c>
      <c r="DU158" s="31" t="e">
        <f>IF(OR(Hypothèses!$B$4=17,Hypothèses!$B$4=18,Hypothèses!$B$4=19,Hypothèses!$B$4=20),
IF($D158="Pressio.",
IF(OR($E158=3,$E158=1,$E158=4),DT158,DS158),
IF($D158="Pénétro.",
IF(OR($E158=3,$E158=1,$E158=4),DT158,DS158))),IF($D158="Pressio.",
IF($E158=3,DT158,DS158),
IF($D158="Pénétro.",
IF($E158=4,DT158,DS158))))</f>
        <v>#N/A</v>
      </c>
      <c r="DV158" s="31" t="e">
        <f>(IF(OR(Hypothèses!$B$4=17,Hypothèses!$B$4=18,Hypothèses!$B$4=19,Hypothèses!$B$4=20),
IF($D158="Pressio.",
IF(OR($E158=3,$E158=1,$E158=4),(PI()*DV$12^2)/4*(DR158*$W158*1000)/($H158*$B$5),(PI()*DV$12^2)/4*(DR158*$W158*1000)/($G158*$B$5)),
IF($D158="Pénétro.",
IF(OR($E158=4,$E158=1,$E158=5),(PI()*DV$12^2)/4*(DR158*$W158*1000)/($H158*$B$5),(PI()*DV$12^2)/4*(DR158*$W158*1000)/($G158*$B$5)))),
IF($D158="Pressio.",
IF($E158=3,(PI()*DV$12^2)/4*(DR158*$W158*1000)/($H158*$B$5),(PI()*DV$12^2)/4*(DR158*$W158*1000)/($G158*$B$5)),
IF($D158="Pénétro.",
IF($E158=4,(PI()*DV$12^2)/4*(DR158*$W158*1000)/($H158*$B$5),(PI()*DV$12^2)/4*(DR158*$W158*1000)/($G158*$B$5))))))/10</f>
        <v>#N/A</v>
      </c>
      <c r="DW158" s="102" t="e">
        <f>(VLOOKUP($B$3,'Coeff EC7'!$T$39:$X$59,2,0)*DU158+VLOOKUP($B$3,'Coeff EC7'!$T$65:$X$85,2,0)*Model0.1C!DV158)/1.1</f>
        <v>#N/A</v>
      </c>
      <c r="DX158" s="102" t="e">
        <f>(VLOOKUP($B$3,'Coeff EC7'!$T$39:$X$59,3,0)*DU158+VLOOKUP($B$3,'Coeff EC7'!$T$65:$X$85,3,0)*Model0.1C!DV158)/0.9</f>
        <v>#N/A</v>
      </c>
      <c r="DY158" s="102" t="e">
        <f t="shared" si="290"/>
        <v>#N/A</v>
      </c>
      <c r="DZ158" s="102" t="e">
        <f t="shared" si="291"/>
        <v>#N/A</v>
      </c>
      <c r="EA158" s="414" t="e">
        <f>IF(EA157=0,0,IF(AND(DW158&gt;charge_ELS_quasi,DX158&gt;Charge_ELS_freq,DY158&gt;charge_ELU,DZ158&gt;charge_ELA,$B158&gt;NDC!$H$22-0.1+MIN(3*$EA$12,1.5)),0,1))</f>
        <v>#N/A</v>
      </c>
      <c r="EB158" s="86" t="b">
        <f t="shared" si="259"/>
        <v>0</v>
      </c>
      <c r="EC158" s="418">
        <f t="shared" si="260"/>
        <v>0.51</v>
      </c>
      <c r="ED158" s="86">
        <f t="shared" si="261"/>
        <v>0.51</v>
      </c>
      <c r="EE158" s="30" t="e">
        <f t="shared" ca="1" si="292"/>
        <v>#DIV/0!</v>
      </c>
      <c r="EF158" s="85" t="e">
        <f ca="1">IF(DL158&lt;=Hypothèses!$V$7,Hypothèses!$W$7,IF(DL158&lt;=Hypothèses!$V$8,Hypothèses!$W$8,IF(DL158&lt;=Hypothèses!$V$9,Hypothèses!$W$9,IF(DL158&lt;=Hypothèses!$V$10,Hypothèses!$W$10,IF(DL158&lt;=Hypothèses!$V$11,Hypothèses!$W$11,IF(DL158&lt;=Hypothèses!$V$12,Hypothèses!$W$12,IF(DL158&lt;=Hypothèses!$V$13,Hypothèses!$W$13,IF(DL158&lt;=Hypothèses!$V$14,Hypothèses!$W$14,IF(DL158&lt;=Hypothèses!$V$15,Hypothèses!$W$15,IF(DL158&lt;=Hypothèses!$V$16,Hypothèses!$W$16,IF(DL158&lt;=Hypothèses!$V$17,Hypothèses!$W$17,IF(DL158&lt;=Hypothèses!$V$18,Hypothèses!$W$18,""))))))))))))</f>
        <v>#DIV/0!</v>
      </c>
      <c r="EG158" s="87" t="e">
        <f t="shared" ca="1" si="322"/>
        <v>#DIV/0!</v>
      </c>
      <c r="EH158" s="88" t="e">
        <f ca="1">IF(DL158&lt;=Hypothèses!$V$7,Hypothèses!$X$7,IF(DL158&lt;=Hypothèses!$V$8,Hypothèses!$X$8,IF(DL158&lt;=Hypothèses!$V$9,Hypothèses!$X$9,IF(DL158&lt;=Hypothèses!$V$10,Hypothèses!$X$10,IF(DL158&lt;=Hypothèses!$V$11,Hypothèses!$X$11,IF(DL158&lt;=Hypothèses!$V$12,Hypothèses!$X$12,IF(DL158&lt;=Hypothèses!$V$13,Hypothèses!$X$13,IF(DL158&lt;=Hypothèses!$V$14,Hypothèses!$X$14,IF(DL158&lt;=Hypothèses!$V$15,Hypothèses!$X$15,IF(DL158&lt;=Hypothèses!$V$16,Hypothèses!$X$16,IF(DL158&lt;=Hypothèses!$U$17,Hypothèses!$W$17,IF(DL158&lt;=Hypothèses!$U$18,Hypothèses!$W$18,""))))))))))))</f>
        <v>#DIV/0!</v>
      </c>
      <c r="EI158" s="95" t="e">
        <f t="shared" ca="1" si="293"/>
        <v>#DIV/0!</v>
      </c>
      <c r="EJ158" s="101" t="e">
        <f t="shared" si="329"/>
        <v>#N/A</v>
      </c>
      <c r="EK158" s="91" t="e">
        <f t="shared" si="262"/>
        <v>#N/A</v>
      </c>
      <c r="EL158" s="30" t="e">
        <f t="shared" si="312"/>
        <v>#N/A</v>
      </c>
      <c r="EM158" s="30" t="e">
        <f t="shared" si="313"/>
        <v>#N/A</v>
      </c>
      <c r="EN158" s="31" t="e">
        <f>IF(OR(Hypothèses!$B$4=17,Hypothèses!$B$4=18,Hypothèses!$B$4=19,Hypothèses!$B$4=20),
IF($D158="Pressio.",
IF(OR($E158=3,$E158=1,$E158=4),EM158,EL158),
IF($D158="Pénétro.",
IF(OR($E158=3,$E158=1,$E158=4),EM158,EL158))),IF($D158="Pressio.",
IF($E158=3,EM158,EL158),
IF($D158="Pénétro.",
IF($E158=4,EM158,EL158))))</f>
        <v>#N/A</v>
      </c>
      <c r="EO158" s="31" t="e">
        <f>(IF(OR(Hypothèses!$B$4=17,Hypothèses!$B$4=18,Hypothèses!$B$4=19,Hypothèses!$B$4=20),
IF($D158="Pressio.",
IF(OR($E158=3,$E158=1,$E158=4),(PI()*EO$12^2)/4*(EK158*$W158*1000)/($H158*$B$5),(PI()*EO$12^2)/4*(EK158*$W158*1000)/($G158*$B$5)),
IF($D158="Pénétro.",
IF(OR($E158=4,$E158=1,$E158=5),(PI()*EO$12^2)/4*(EK158*$W158*1000)/($H158*$B$5),(PI()*EO$12^2)/4*(EK158*$W158*1000)/($G158*$B$5)))),
IF($D158="Pressio.",
IF($E158=3,(PI()*EO$12^2)/4*(EK158*$W158*1000)/($H158*$B$5),(PI()*EO$12^2)/4*(EK158*$W158*1000)/($G158*$B$5)),
IF($D158="Pénétro.",
IF($E158=4,(PI()*EO$12^2)/4*(EK158*$W158*1000)/($H158*$B$5),(PI()*EO$12^2)/4*(EK158*$W158*1000)/($G158*$B$5))))))/10</f>
        <v>#N/A</v>
      </c>
      <c r="EP158" s="102" t="e">
        <f>(VLOOKUP($B$3,'Coeff EC7'!$T$39:$X$59,2,0)*EN158+VLOOKUP($B$3,'Coeff EC7'!$T$65:$X$85,2,0)*Model0.1C!EO158)/1.1</f>
        <v>#N/A</v>
      </c>
      <c r="EQ158" s="102" t="e">
        <f>(VLOOKUP($B$3,'Coeff EC7'!$T$39:$X$59,3,0)*EN158+VLOOKUP($B$3,'Coeff EC7'!$T$65:$X$85,3,0)*Model0.1C!EO158)/0.9</f>
        <v>#N/A</v>
      </c>
      <c r="ER158" s="102" t="e">
        <f t="shared" si="294"/>
        <v>#N/A</v>
      </c>
      <c r="ES158" s="102" t="e">
        <f t="shared" si="295"/>
        <v>#N/A</v>
      </c>
      <c r="ET158" s="414" t="e">
        <f>IF(ET157=0,0,IF(AND(EP158&gt;charge_ELS_quasi,EQ158&gt;Charge_ELS_freq,ER158&gt;charge_ELU,ES158&gt;charge_ELA,$B158&gt;NDC!$H$22-0.1+MIN(3*$ET$12,1.5)),0,1))</f>
        <v>#N/A</v>
      </c>
      <c r="EU158" s="86" t="b">
        <f t="shared" si="263"/>
        <v>0</v>
      </c>
      <c r="EV158" s="86">
        <f t="shared" si="264"/>
        <v>0.61</v>
      </c>
      <c r="EW158" s="86">
        <f t="shared" si="265"/>
        <v>0.61</v>
      </c>
      <c r="EX158" s="30" t="e">
        <f t="shared" ca="1" si="296"/>
        <v>#DIV/0!</v>
      </c>
      <c r="EY158" s="85" t="e">
        <f ca="1">IF(EE158&lt;=Hypothèses!$V$7,Hypothèses!$W$7,IF(EE158&lt;=Hypothèses!$V$8,Hypothèses!$W$8,IF(EE158&lt;=Hypothèses!$V$9,Hypothèses!$W$9,IF(EE158&lt;=Hypothèses!$V$10,Hypothèses!$W$10,IF(EE158&lt;=Hypothèses!$V$11,Hypothèses!$W$11,IF(EE158&lt;=Hypothèses!$V$12,Hypothèses!$W$12,IF(EE158&lt;=Hypothèses!$V$13,Hypothèses!$W$13,IF(EE158&lt;=Hypothèses!$V$14,Hypothèses!$W$14,IF(EE158&lt;=Hypothèses!$V$15,Hypothèses!$W$15,IF(EE158&lt;=Hypothèses!$V$16,Hypothèses!$W$16,IF(EE158&lt;=Hypothèses!$V$17,Hypothèses!$W$17,IF(EE158&lt;=Hypothèses!$V$18,Hypothèses!$W$18,""))))))))))))</f>
        <v>#DIV/0!</v>
      </c>
      <c r="EZ158" s="87" t="e">
        <f t="shared" ca="1" si="323"/>
        <v>#DIV/0!</v>
      </c>
      <c r="FA158" s="88" t="e">
        <f ca="1">IF(EE158&lt;=Hypothèses!$V$7,Hypothèses!$X$7,IF(EE158&lt;=Hypothèses!$V$8,Hypothèses!$X$8,IF(EE158&lt;=Hypothèses!$V$9,Hypothèses!$X$9,IF(EE158&lt;=Hypothèses!$V$10,Hypothèses!$X$10,IF(EE158&lt;=Hypothèses!$V$11,Hypothèses!$X$11,IF(EE158&lt;=Hypothèses!$V$12,Hypothèses!$X$12,IF(EE158&lt;=Hypothèses!$V$13,Hypothèses!$X$13,IF(EE158&lt;=Hypothèses!$V$14,Hypothèses!$X$14,IF(EE158&lt;=Hypothèses!$V$15,Hypothèses!$X$15,IF(EE158&lt;=Hypothèses!$V$16,Hypothèses!$X$16,IF(EE158&lt;=Hypothèses!$U$17,Hypothèses!$W$17,IF(EE158&lt;=Hypothèses!$U$18,Hypothèses!$W$18,""))))))))))))</f>
        <v>#DIV/0!</v>
      </c>
      <c r="FB158" s="95" t="e">
        <f t="shared" ca="1" si="297"/>
        <v>#DIV/0!</v>
      </c>
      <c r="FC158" s="101" t="e">
        <f t="shared" si="330"/>
        <v>#N/A</v>
      </c>
      <c r="FD158" s="91" t="e">
        <f t="shared" si="266"/>
        <v>#N/A</v>
      </c>
      <c r="FE158" s="30" t="e">
        <f t="shared" si="314"/>
        <v>#N/A</v>
      </c>
      <c r="FF158" s="30" t="e">
        <f t="shared" si="315"/>
        <v>#N/A</v>
      </c>
      <c r="FG158" s="31" t="e">
        <f>IF(OR(Hypothèses!$B$4=17,Hypothèses!$B$4=18,Hypothèses!$B$4=19,Hypothèses!$B$4=20),
IF($D158="Pressio.",
IF(OR($E158=3,$E158=1,$E158=4),FF158,FE158),
IF($D158="Pénétro.",
IF(OR($E158=3,$E158=1,$E158=4),FF158,FE158))),IF($D158="Pressio.",
IF($E158=3,FF158,FE158),
IF($D158="Pénétro.",
IF($E158=4,FF158,FE158))))</f>
        <v>#N/A</v>
      </c>
      <c r="FH158" s="31" t="e">
        <f>(IF(OR(Hypothèses!$B$4=17,Hypothèses!$B$4=18,Hypothèses!$B$4=19,Hypothèses!$B$4=20),
IF($D158="Pressio.",
IF(OR($E158=3,$E158=1,$E158=4),(PI()*FH$12^2)/4*(FD158*$W158*1000)/($H158*$B$5),(PI()*FH$12^2)/4*(FD158*$W158*1000)/($G158*$B$5)),
IF($D158="Pénétro.",
IF(OR($E158=4,$E158=1,$E158=5),(PI()*FH$12^2)/4*(FD158*$W158*1000)/($H158*$B$5),(PI()*FH$12^2)/4*(FD158*$W158*1000)/($G158*$B$5)))),
IF($D158="Pressio.",
IF($E158=3,(PI()*FH$12^2)/4*(FD158*$W158*1000)/($H158*$B$5),(PI()*FH$12^2)/4*(FD158*$W158*1000)/($G158*$B$5)),
IF($D158="Pénétro.",
IF($E158=4,(PI()*FH$12^2)/4*(FD158*$W158*1000)/($H158*$B$5),(PI()*FH$12^2)/4*(FD158*$W158*1000)/($G158*$B$5))))))/10</f>
        <v>#N/A</v>
      </c>
      <c r="FI158" s="102" t="e">
        <f>(VLOOKUP($B$3,'Coeff EC7'!$T$39:$X$59,2,0)*FG158+VLOOKUP($B$3,'Coeff EC7'!$T$65:$X$85,2,0)*Model0.1C!FH158)/1.1</f>
        <v>#N/A</v>
      </c>
      <c r="FJ158" s="102" t="e">
        <f>(VLOOKUP($B$3,'Coeff EC7'!$T$39:$X$59,3,0)*FG158+VLOOKUP($B$3,'Coeff EC7'!$T$65:$X$85,3,0)*Model0.1C!FH158)/0.9</f>
        <v>#N/A</v>
      </c>
      <c r="FK158" s="102" t="e">
        <f t="shared" si="298"/>
        <v>#N/A</v>
      </c>
      <c r="FL158" s="102" t="e">
        <f t="shared" si="299"/>
        <v>#N/A</v>
      </c>
      <c r="FM158" s="414" t="e">
        <f>IF(FM157=0,0,IF(AND(FI158&gt;charge_ELS_quasi,FJ158&gt;Charge_ELS_freq,FK158&gt;charge_ELU,FL158&gt;charge_ELA,$B158&gt;NDC!$H$22-0.1+MIN(3*$FM$12,1.5)),0,1))</f>
        <v>#N/A</v>
      </c>
    </row>
    <row r="159" spans="1:169">
      <c r="A159" s="96">
        <f t="shared" si="267"/>
        <v>85.40000000000083</v>
      </c>
      <c r="B159" s="97">
        <v>14.6</v>
      </c>
      <c r="C159" s="81">
        <f>IF(B159&lt;=Hypothèses!$C$7,Hypothèses!$A$7,IF(B159&lt;=Hypothèses!$C$8,Hypothèses!$A$8,IF(B159&lt;=Hypothèses!$C$9,Hypothèses!$A$9,IF(B159&lt;=Hypothèses!$C$10,Hypothèses!$A$10,IF(B159&lt;=Hypothèses!$C$11,Hypothèses!$A$11,IF(B159&lt;=Hypothèses!$C$12,Hypothèses!$A$12,IF(B159&lt;=Hypothèses!$C$13,Hypothèses!$A$13,IF(B159&lt;=Hypothèses!$C$14,Hypothèses!$A$14,IF(B159&lt;=Hypothèses!$C$15,Hypothèses!$A$15,IF(B159&lt;=Hypothèses!$C$16,Hypothèses!$A$16,IF(B159&lt;=Hypothèses!$C$17,Hypothèses!$A$17,IF(B159&lt;=Hypothèses!$C$18,Hypothèses!$A$18,C158))))))))))))</f>
        <v>11</v>
      </c>
      <c r="D159" s="82" t="str">
        <f>IF(B159&lt;=Hypothèses!$C$7,Hypothèses!$R$7,IF(B159&lt;=Hypothèses!$C$8,Hypothèses!$R$8,IF(B159&lt;=Hypothèses!$C$9,Hypothèses!$R$9,IF(B159&lt;=Hypothèses!$C$10,Hypothèses!$R$10,IF(B159&lt;=Hypothèses!$C$11,Hypothèses!$R$11,IF(B159&lt;=Hypothèses!$C$12,Hypothèses!$R$12,IF(B159&lt;=Hypothèses!$C$13,Hypothèses!$R$13,IF(B159&lt;=Hypothèses!$C$14,Hypothèses!$R$14,IF(B159&lt;=Hypothèses!$C$15,Hypothèses!$R$15,IF(B159&lt;=Hypothèses!$C$16,Hypothèses!$R$16,IF(B159&lt;=Hypothèses!$C$17,Hypothèses!$R$17,IF(B159&lt;=Hypothèses!$C$18,Hypothèses!$R$18,D158))))))))))))</f>
        <v>Pressio.</v>
      </c>
      <c r="E159" s="82" t="e">
        <f>IF(B159&lt;=Hypothèses!$C$7,Hypothèses!$G$7,IF(B159&lt;=Hypothèses!$C$8,Hypothèses!$G$8,IF(B159&lt;=Hypothèses!$C$9,Hypothèses!$G$9,IF(B159&lt;=Hypothèses!$C$10,Hypothèses!$G$10,IF(B159&lt;=Hypothèses!$C$11,Hypothèses!$G$11,IF(B159&lt;=Hypothèses!$C$12,Hypothèses!$G$12,IF(B159&lt;=Hypothèses!$C$13,Hypothèses!$G$13,IF(B159&lt;=Hypothèses!$C$14,Hypothèses!$G$14,IF(B159&lt;=Hypothèses!$C$15,Hypothèses!$G$15,IF(B159&lt;=Hypothèses!$C$16,Hypothèses!$G$16,IF(B159&lt;=Hypothèses!$C$17,Hypothèses!$G$17,IF(B159&lt;=Hypothèses!$C$18,Hypothèses!$G$18,E158))))))))))))</f>
        <v>#N/A</v>
      </c>
      <c r="F159" s="82" t="str">
        <f>IF(B159&lt;=Hypothèses!$C$7,Hypothèses!$F$7,IF(B159&lt;=Hypothèses!$C$8,Hypothèses!$F$8,IF(B159&lt;=Hypothèses!$C$9,Hypothèses!$F$9,IF(B159&lt;=Hypothèses!$C$10,Hypothèses!$F$10,IF(B159&lt;=Hypothèses!$C$11,Hypothèses!$F$11,IF(B159&lt;=Hypothèses!$C$12,Hypothèses!$F$12,IF(B159&lt;=Hypothèses!$C$13,Hypothèses!$F$13,IF(B159&lt;=Hypothèses!$C$14,Hypothèses!$F$14,IF(B159&lt;=Hypothèses!$C$15,Hypothèses!$F$15,IF(B159&lt;=Hypothèses!$C$16,Hypothèses!$F$16,IF(B159&lt;=Hypothèses!$C$17,Hypothèses!$F$17,IF(B159&lt;=Hypothèses!$C$18,Hypothèses!$F$18,F158))))))))))))</f>
        <v/>
      </c>
      <c r="G159" s="91">
        <f t="array" ref="G159">INDEX('Coeff EC7'!$U$7:$X$27,
MATCH(Model0.1C!$B$3,'Coeff EC7'!$T$7:$T$27,0),
MATCH(Model0.1C!$D159&amp;Model0.1C!$B$4,
'Coeff EC7'!$U$6:$X$6&amp;
'Coeff EC7'!$U$5:$X$5,0))</f>
        <v>1.1499999999999999</v>
      </c>
      <c r="H159" s="91">
        <f t="array" ref="H159">INDEX('Coeff EC7'!$Y$7:$AB$27,
MATCH(Model0.1C!$B$3,'Coeff EC7'!$T$7:$T$27,0),
MATCH(Model0.1C!$D159&amp;Model0.1C!$B$4,
'Coeff EC7'!$Y$6:$AB$6&amp;
'Coeff EC7'!$Y$5:$AB$5,0))</f>
        <v>1.4</v>
      </c>
      <c r="I159" s="83" t="e">
        <f>IF(B159&lt;=Hypothèses!$C$7,Hypothèses!$P$7,IF(B159&lt;=Hypothèses!$C$8,Hypothèses!$P$8,IF(B159&lt;=Hypothèses!$C$9,Hypothèses!$P$9,IF(B159&lt;=Hypothèses!$C$10,Hypothèses!$P$10,IF(B159&lt;=Hypothèses!$C$11,Hypothèses!$P$11,IF(B159&lt;=Hypothèses!$C$12,Hypothèses!$P$12,IF(B159&lt;=Hypothèses!$C$13,Hypothèses!$P$13,IF(B159&lt;=Hypothèses!$C$14,Hypothèses!$P$14,IF(B159&lt;=Hypothèses!$C$15,Hypothèses!$P$15,IF(B159&lt;=Hypothèses!$C$16,Hypothèses!$P$16,IF(B159&lt;=Hypothèses!$C$17,Hypothèses!$P$17,IF(B159&lt;=Hypothèses!$C$18,Hypothèses!$P$18,I158))))))))))))</f>
        <v>#N/A</v>
      </c>
      <c r="J159" s="91" t="e">
        <f t="array" ref="J159">INDEX('Coeff EC7'!$D$33:$Q$33,1,MATCH(D159&amp;E159,'Coeff EC7'!$D$31:$Q$31&amp;'Coeff EC7'!$D$32:$Q$32,0))</f>
        <v>#N/A</v>
      </c>
      <c r="K159" s="91" t="e">
        <f t="array" ref="K159">INDEX('Coeff EC7'!$D$34:$Q$34,1,MATCH(D159&amp;E159,'Coeff EC7'!$D$31:$Q$31&amp;'Coeff EC7'!$D$32:$Q$32,0))</f>
        <v>#N/A</v>
      </c>
      <c r="L159" s="91" t="e">
        <f t="array" ref="L159">INDEX('Coeff EC7'!$D$35:$Q$35,1,MATCH(D159&amp;E159,'Coeff EC7'!$D$31:$Q$31&amp;'Coeff EC7'!$D$32:$Q$32,0))</f>
        <v>#N/A</v>
      </c>
      <c r="M159" s="98" t="e">
        <f t="shared" si="231"/>
        <v>#N/A</v>
      </c>
      <c r="N159" s="99" t="e">
        <f t="array" ref="N159">INDEX('Coeff EC7'!$D$7:$Q$27,MATCH($B$3,'Coeff EC7'!$C$7:$C$27,0),MATCH(D159&amp;E159,'Coeff EC7'!$D$5:$Q$5&amp;'Coeff EC7'!$D$6:$Q$6,0))</f>
        <v>#N/A</v>
      </c>
      <c r="O159" s="99" t="e">
        <f t="array" ref="O159">INDEX('Coeff EC7'!$D$41:$Q$61,MATCH($B$3,'Coeff EC7'!$C$41:$C$61,0),MATCH(D159&amp;E159,'Coeff EC7'!$D$39:$Q$39&amp;'Coeff EC7'!$D$40:$Q$40,0))</f>
        <v>#N/A</v>
      </c>
      <c r="P159" s="30" t="e">
        <f t="shared" si="268"/>
        <v>#N/A</v>
      </c>
      <c r="Q159" s="100" t="e">
        <f t="shared" si="233"/>
        <v>#N/A</v>
      </c>
      <c r="R159" s="86" t="b">
        <f t="shared" si="234"/>
        <v>0</v>
      </c>
      <c r="S159" s="86">
        <f t="shared" si="232"/>
        <v>0.5</v>
      </c>
      <c r="T159" s="86">
        <f t="shared" si="235"/>
        <v>0.5</v>
      </c>
      <c r="U159" s="30" t="e">
        <f t="shared" ca="1" si="269"/>
        <v>#DIV/0!</v>
      </c>
      <c r="V159" s="85" t="str">
        <f>IF(B159&lt;=Hypothèses!$V$7,Hypothèses!$W$7,IF(B159&lt;=Hypothèses!$V$8,Hypothèses!$W$8,IF(B159&lt;=Hypothèses!$V$9,Hypothèses!$W$9,IF(B159&lt;=Hypothèses!$V$10,Hypothèses!$W$10,IF(B159&lt;=Hypothèses!$V$11,Hypothèses!$W$11,IF(B159&lt;=Hypothèses!$V$12,Hypothèses!$W$12,IF(B159&lt;=Hypothèses!$V$13,Hypothèses!$W$13,IF(B159&lt;=Hypothèses!$V$14,Hypothèses!$W$14,IF(B159&lt;=Hypothèses!$V$15,Hypothèses!$W$15,IF(B159&lt;=Hypothèses!$V$16,Hypothèses!$W$16,IF(B159&lt;=Hypothèses!$V$17,Hypothèses!$W$17,IF(B159&lt;=Hypothèses!$V$18,Hypothèses!$W$18,""))))))))))))</f>
        <v/>
      </c>
      <c r="W159" s="87" t="e">
        <f t="shared" ca="1" si="316"/>
        <v>#DIV/0!</v>
      </c>
      <c r="X159" s="88" t="str">
        <f>IF(B159&lt;=Hypothèses!$V$7,Hypothèses!$X$7,IF(B159&lt;=Hypothèses!$V$8,Hypothèses!$X$8,IF(B159&lt;=Hypothèses!$V$9,Hypothèses!$X$9,IF(B159&lt;=Hypothèses!$V$10,Hypothèses!$X$10,IF(B159&lt;=Hypothèses!$V$11,Hypothèses!$X$11,IF(B159&lt;=Hypothèses!$V$12,Hypothèses!$X$12,IF(B159&lt;=Hypothèses!$V$13,Hypothèses!$X$13,IF(B159&lt;=Hypothèses!$V$14,Hypothèses!$X$14,IF(B159&lt;=Hypothèses!$V$15,Hypothèses!$X$15,IF(B159&lt;=Hypothèses!$V$16,Hypothèses!$X$16,IF(B159&lt;=Hypothèses!$U$17,Hypothèses!$W$17,IF(B159&lt;=Hypothèses!$U$18,Hypothèses!$W$18,""))))))))))))</f>
        <v/>
      </c>
      <c r="Y159" s="95" t="e">
        <f t="shared" ca="1" si="236"/>
        <v>#DIV/0!</v>
      </c>
      <c r="Z159" s="101" t="e">
        <f t="shared" si="237"/>
        <v>#N/A</v>
      </c>
      <c r="AA159" s="91" t="e">
        <f t="shared" si="238"/>
        <v>#N/A</v>
      </c>
      <c r="AB159" s="30" t="e">
        <f t="shared" si="300"/>
        <v>#N/A</v>
      </c>
      <c r="AC159" s="30" t="e">
        <f t="shared" si="301"/>
        <v>#N/A</v>
      </c>
      <c r="AD159" s="31" t="e">
        <f>IF(OR(Hypothèses!$B$4=17,Hypothèses!$B$4=18,Hypothèses!$B$4=19,Hypothèses!$B$4=20),
IF($D159="Pressio.",
IF(OR($E159=3,$E159=1,$E159=4),AC159,AB159),
IF($D159="Pénétro.",
IF(OR($E159=3,$E159=1,$E159=4),AC159,AB159))),IF($D159="Pressio.",
IF($E159=3,AC159,AB159),
IF($D159="Pénétro.",
IF($E159=4,AC159,AB159))))</f>
        <v>#N/A</v>
      </c>
      <c r="AE159" s="31" t="e">
        <f>(IF(OR(Hypothèses!$B$4=17,Hypothèses!$B$4=18,Hypothèses!$B$4=19,Hypothèses!$B$4=20),
IF($D159="Pressio.",
IF(OR($E159=3,$E159=1,$E159=4),(PI()*AE$12^2)/4*(AA159*$W159*1000)/($H159*$B$5),(PI()*AE$12^2)/4*(AA159*$W159*1000)/($G159*$B$5)),
IF($D159="Pénétro.",
IF(OR($E159=4,$E159=1,$E159=5),(PI()*AE$12^2)/4*(AA159*$W159*1000)/($H159*$B$5),(PI()*AE$12^2)/4*(AA159*$W159*1000)/($G159*$B$5)))),
IF($D159="Pressio.",
IF($E159=3,(PI()*AE$12^2)/4*(AA159*$W159*1000)/($H159*$B$5),(PI()*AE$12^2)/4*(AA159*$W159*1000)/($G159*$B$5)),
IF($D159="Pénétro.",
IF($E159=4,(PI()*AE$12^2)/4*(AA159*$W159*1000)/($H159*$B$5),(PI()*AE$12^2)/4*(AA159*$W159*1000)/($G159*$B$5))))))/10</f>
        <v>#N/A</v>
      </c>
      <c r="AF159" s="102" t="e">
        <f>(VLOOKUP($B$3,'Coeff EC7'!$T$39:$X$59,2,0)*AD159+VLOOKUP($B$3,'Coeff EC7'!$T$65:$X$85,2,0)*Model0.1C!AE159)/1.1</f>
        <v>#N/A</v>
      </c>
      <c r="AG159" s="102" t="e">
        <f>(VLOOKUP($B$3,'Coeff EC7'!$T$39:$X$59,3,0)*AD159+VLOOKUP($B$3,'Coeff EC7'!$T$65:$X$85,3,0)*Model0.1C!AE159)/0.9</f>
        <v>#N/A</v>
      </c>
      <c r="AH159" s="102" t="e">
        <f t="shared" si="239"/>
        <v>#N/A</v>
      </c>
      <c r="AI159" s="102" t="e">
        <f t="shared" si="240"/>
        <v>#N/A</v>
      </c>
      <c r="AJ159" s="414" t="e">
        <f>IF(AJ158=0,0,IF(AND(AF159&gt;charge_ELS_quasi,AG159&gt;Charge_ELS_freq,AH159&gt;charge_ELU,AI159&gt;charge_ELA,$B159&gt;NDC!$H$22-0.1+MIN(3*$AJ$12,1.5)),0,1))</f>
        <v>#N/A</v>
      </c>
      <c r="AK159" s="86" t="b">
        <f t="shared" si="241"/>
        <v>0</v>
      </c>
      <c r="AL159" s="86">
        <f t="shared" si="270"/>
        <v>0.5</v>
      </c>
      <c r="AM159" s="86">
        <f t="shared" si="242"/>
        <v>0.5</v>
      </c>
      <c r="AN159" s="30" t="e">
        <f t="shared" ca="1" si="271"/>
        <v>#DIV/0!</v>
      </c>
      <c r="AO159" s="85" t="e">
        <f ca="1">IF(U159&lt;=Hypothèses!$V$7,Hypothèses!$W$7,IF(U159&lt;=Hypothèses!$V$8,Hypothèses!$W$8,IF(U159&lt;=Hypothèses!$V$9,Hypothèses!$W$9,IF(U159&lt;=Hypothèses!$V$10,Hypothèses!$W$10,IF(U159&lt;=Hypothèses!$V$11,Hypothèses!$W$11,IF(U159&lt;=Hypothèses!$V$12,Hypothèses!$W$12,IF(U159&lt;=Hypothèses!$V$13,Hypothèses!$W$13,IF(U159&lt;=Hypothèses!$V$14,Hypothèses!$W$14,IF(U159&lt;=Hypothèses!$V$15,Hypothèses!$W$15,IF(U159&lt;=Hypothèses!$V$16,Hypothèses!$W$16,IF(U159&lt;=Hypothèses!$V$17,Hypothèses!$W$17,IF(U159&lt;=Hypothèses!$V$18,Hypothèses!$W$18,""))))))))))))</f>
        <v>#DIV/0!</v>
      </c>
      <c r="AP159" s="87" t="e">
        <f t="shared" ca="1" si="317"/>
        <v>#DIV/0!</v>
      </c>
      <c r="AQ159" s="88" t="e">
        <f ca="1">IF(U159&lt;=Hypothèses!$V$7,Hypothèses!$X$7,IF(U159&lt;=Hypothèses!$V$8,Hypothèses!$X$8,IF(U159&lt;=Hypothèses!$V$9,Hypothèses!$X$9,IF(U159&lt;=Hypothèses!$V$10,Hypothèses!$X$10,IF(U159&lt;=Hypothèses!$V$11,Hypothèses!$X$11,IF(U159&lt;=Hypothèses!$V$12,Hypothèses!$X$12,IF(U159&lt;=Hypothèses!$V$13,Hypothèses!$X$13,IF(U159&lt;=Hypothèses!$V$14,Hypothèses!$X$14,IF(U159&lt;=Hypothèses!$V$15,Hypothèses!$X$15,IF(U159&lt;=Hypothèses!$V$16,Hypothèses!$X$16,IF(U159&lt;=Hypothèses!$U$17,Hypothèses!$W$17,IF(U159&lt;=Hypothèses!$U$18,Hypothèses!$W$18,""))))))))))))</f>
        <v>#DIV/0!</v>
      </c>
      <c r="AR159" s="95" t="e">
        <f t="shared" ca="1" si="272"/>
        <v>#DIV/0!</v>
      </c>
      <c r="AS159" s="101" t="e">
        <f t="shared" si="324"/>
        <v>#N/A</v>
      </c>
      <c r="AT159" s="91" t="e">
        <f t="shared" si="243"/>
        <v>#N/A</v>
      </c>
      <c r="AU159" s="30" t="e">
        <f t="shared" si="302"/>
        <v>#N/A</v>
      </c>
      <c r="AV159" s="30" t="e">
        <f t="shared" si="303"/>
        <v>#N/A</v>
      </c>
      <c r="AW159" s="31" t="e">
        <f>IF(OR(Hypothèses!$B$4=17,Hypothèses!$B$4=18,Hypothèses!$B$4=19,Hypothèses!$B$4=20),
IF($D159="Pressio.",
IF(OR($E159=3,$E159=1,$E159=4),AV159,AU159),
IF($D159="Pénétro.",
IF(OR($E159=3,$E159=1,$E159=4),AV159,AU159))),IF($D159="Pressio.",
IF($E159=3,AV159,AU159),
IF($D159="Pénétro.",
IF($E159=4,AV159,AU159))))</f>
        <v>#N/A</v>
      </c>
      <c r="AX159" s="31" t="e">
        <f>(IF(OR(Hypothèses!$B$4=17,Hypothèses!$B$4=18,Hypothèses!$B$4=19,Hypothèses!$B$4=20),
IF($D159="Pressio.",
IF(OR($E159=3,$E159=1,$E159=4),(PI()*AX$12^2)/4*(AT159*$W159*1000)/($H159*$B$5),(PI()*AX$12^2)/4*(AT159*$W159*1000)/($G159*$B$5)),
IF($D159="Pénétro.",
IF(OR($E159=4,$E159=1,$E159=5),(PI()*AX$12^2)/4*(AT159*$W159*1000)/($H159*$B$5),(PI()*AX$12^2)/4*(AT159*$W159*1000)/($G159*$B$5)))),
IF($D159="Pressio.",
IF($E159=3,(PI()*AX$12^2)/4*(AT159*$W159*1000)/($H159*$B$5),(PI()*AX$12^2)/4*(AT159*$W159*1000)/($G159*$B$5)),
IF($D159="Pénétro.",
IF($E159=4,(PI()*AX$12^2)/4*(AT159*$W159*1000)/($H159*$B$5),(PI()*AX$12^2)/4*(AT159*$W159*1000)/($G159*$B$5))))))/10</f>
        <v>#N/A</v>
      </c>
      <c r="AY159" s="102" t="e">
        <f>(VLOOKUP($B$3,'Coeff EC7'!$T$39:$X$59,2,0)*AW159+VLOOKUP($B$3,'Coeff EC7'!$T$65:$X$85,2,0)*Model0.1C!AX159)/1.1</f>
        <v>#N/A</v>
      </c>
      <c r="AZ159" s="102" t="e">
        <f>(VLOOKUP($B$3,'Coeff EC7'!$T$39:$X$59,3,0)*AW159+VLOOKUP($B$3,'Coeff EC7'!$T$65:$X$85,3,0)*Model0.1C!AX159)/0.9</f>
        <v>#N/A</v>
      </c>
      <c r="BA159" s="102" t="e">
        <f t="shared" si="273"/>
        <v>#N/A</v>
      </c>
      <c r="BB159" s="102" t="e">
        <f t="shared" si="274"/>
        <v>#N/A</v>
      </c>
      <c r="BC159" s="414" t="e">
        <f>IF(BC158=0,0,IF(AND(AY159&gt;charge_ELS_quasi,AZ159&gt;Charge_ELS_freq,BA159&gt;charge_ELU,BB159&gt;charge_ELA,$B159&gt;NDC!$H$22-0.1+MIN(3*$BC$12,1.5)),0,1))</f>
        <v>#N/A</v>
      </c>
      <c r="BD159" s="86" t="b">
        <f t="shared" si="244"/>
        <v>0</v>
      </c>
      <c r="BE159" s="86">
        <f t="shared" si="275"/>
        <v>0.5</v>
      </c>
      <c r="BF159" s="86">
        <f t="shared" si="245"/>
        <v>0.5</v>
      </c>
      <c r="BG159" s="30" t="e">
        <f t="shared" ca="1" si="276"/>
        <v>#DIV/0!</v>
      </c>
      <c r="BH159" s="85" t="e">
        <f ca="1">IF(AN159&lt;=Hypothèses!$V$7,Hypothèses!$W$7,IF(AN159&lt;=Hypothèses!$V$8,Hypothèses!$W$8,IF(AN159&lt;=Hypothèses!$V$9,Hypothèses!$W$9,IF(AN159&lt;=Hypothèses!$V$10,Hypothèses!$W$10,IF(AN159&lt;=Hypothèses!$V$11,Hypothèses!$W$11,IF(AN159&lt;=Hypothèses!$V$12,Hypothèses!$W$12,IF(AN159&lt;=Hypothèses!$V$13,Hypothèses!$W$13,IF(AN159&lt;=Hypothèses!$V$14,Hypothèses!$W$14,IF(AN159&lt;=Hypothèses!$V$15,Hypothèses!$W$15,IF(AN159&lt;=Hypothèses!$V$16,Hypothèses!$W$16,IF(AN159&lt;=Hypothèses!$V$17,Hypothèses!$W$17,IF(AN159&lt;=Hypothèses!$V$18,Hypothèses!$W$18,""))))))))))))</f>
        <v>#DIV/0!</v>
      </c>
      <c r="BI159" s="87" t="e">
        <f t="shared" ca="1" si="318"/>
        <v>#DIV/0!</v>
      </c>
      <c r="BJ159" s="88" t="e">
        <f ca="1">IF(AN159&lt;=Hypothèses!$V$7,Hypothèses!$X$7,IF(AN159&lt;=Hypothèses!$V$8,Hypothèses!$X$8,IF(AN159&lt;=Hypothèses!$V$9,Hypothèses!$X$9,IF(AN159&lt;=Hypothèses!$V$10,Hypothèses!$X$10,IF(AN159&lt;=Hypothèses!$V$11,Hypothèses!$X$11,IF(AN159&lt;=Hypothèses!$V$12,Hypothèses!$X$12,IF(AN159&lt;=Hypothèses!$V$13,Hypothèses!$X$13,IF(AN159&lt;=Hypothèses!$V$14,Hypothèses!$X$14,IF(AN159&lt;=Hypothèses!$V$15,Hypothèses!$X$15,IF(AN159&lt;=Hypothèses!$V$16,Hypothèses!$X$16,IF(AN159&lt;=Hypothèses!$U$17,Hypothèses!$W$17,IF(AN159&lt;=Hypothèses!$U$18,Hypothèses!$W$18,""))))))))))))</f>
        <v>#DIV/0!</v>
      </c>
      <c r="BK159" s="95" t="e">
        <f t="shared" ca="1" si="277"/>
        <v>#DIV/0!</v>
      </c>
      <c r="BL159" s="101" t="e">
        <f t="shared" si="325"/>
        <v>#N/A</v>
      </c>
      <c r="BM159" s="91" t="e">
        <f t="shared" si="246"/>
        <v>#N/A</v>
      </c>
      <c r="BN159" s="30" t="e">
        <f t="shared" si="304"/>
        <v>#N/A</v>
      </c>
      <c r="BO159" s="30" t="e">
        <f t="shared" si="305"/>
        <v>#N/A</v>
      </c>
      <c r="BP159" s="31" t="e">
        <f>IF(OR(Hypothèses!$B$4=17,Hypothèses!$B$4=18,Hypothèses!$B$4=19,Hypothèses!$B$4=20),
IF($D159="Pressio.",
IF(OR($E159=3,$E159=1,$E159=4),BO159,BN159),
IF($D159="Pénétro.",
IF(OR($E159=3,$E159=1,$E159=4),BO159,BN159))),IF($D159="Pressio.",
IF($E159=3,BO159,BN159),
IF($D159="Pénétro.",
IF($E159=4,BO159,BN159))))</f>
        <v>#N/A</v>
      </c>
      <c r="BQ159" s="31" t="e">
        <f>(IF(OR(Hypothèses!$B$4=17,Hypothèses!$B$4=18,Hypothèses!$B$4=19,Hypothèses!$B$4=20),
IF($D159="Pressio.",
IF(OR($E159=3,$E159=1,$E159=4),(PI()*BQ$12^2)/4*(BM159*$W159*1000)/($H159*$B$5),(PI()*BQ$12^2)/4*(BM159*$W159*1000)/($G159*$B$5)),
IF($D159="Pénétro.",
IF(OR($E159=4,$E159=1,$E159=5),(PI()*BQ$12^2)/4*(BM159*$W159*1000)/($H159*$B$5),(PI()*BQ$12^2)/4*(BM159*$W159*1000)/($G159*$B$5)))),
IF($D159="Pressio.",
IF($E159=3,(PI()*BQ$12^2)/4*(BM159*$W159*1000)/($H159*$B$5),(PI()*BQ$12^2)/4*(BM159*$W159*1000)/($G159*$B$5)),
IF($D159="Pénétro.",
IF($E159=4,(PI()*BQ$12^2)/4*(BM159*$W159*1000)/($H159*$B$5),(PI()*BQ$12^2)/4*(BM159*$W159*1000)/($G159*$B$5))))))/10</f>
        <v>#N/A</v>
      </c>
      <c r="BR159" s="102" t="e">
        <f>(VLOOKUP($B$3,'Coeff EC7'!$T$39:$X$59,2,0)*BP159+VLOOKUP($B$3,'Coeff EC7'!$T$65:$X$85,2,0)*Model0.1C!BQ159)/1.1</f>
        <v>#N/A</v>
      </c>
      <c r="BS159" s="102" t="e">
        <f>(VLOOKUP($B$3,'Coeff EC7'!$T$39:$X$59,3,0)*BP159+VLOOKUP($B$3,'Coeff EC7'!$T$65:$X$85,3,0)*Model0.1C!BQ159)/0.9</f>
        <v>#N/A</v>
      </c>
      <c r="BT159" s="102" t="e">
        <f t="shared" si="278"/>
        <v>#N/A</v>
      </c>
      <c r="BU159" s="102" t="e">
        <f t="shared" si="279"/>
        <v>#N/A</v>
      </c>
      <c r="BV159" s="414" t="e">
        <f>IF(BV158=0,0,IF(AND(BR159&gt;charge_ELS_quasi,BS159&gt;Charge_ELS_freq,BT159&gt;charge_ELU,BU159&gt;charge_ELA,$B159&gt;NDC!$H$22-0.1+MIN(3*$BV$12,1.5)),0,1))</f>
        <v>#N/A</v>
      </c>
      <c r="BW159" s="86" t="b">
        <f t="shared" si="247"/>
        <v>0</v>
      </c>
      <c r="BX159" s="86">
        <f t="shared" si="248"/>
        <v>0.5</v>
      </c>
      <c r="BY159" s="86">
        <f t="shared" si="249"/>
        <v>0.5</v>
      </c>
      <c r="BZ159" s="30" t="e">
        <f t="shared" ca="1" si="280"/>
        <v>#DIV/0!</v>
      </c>
      <c r="CA159" s="85" t="e">
        <f ca="1">IF(BG159&lt;=Hypothèses!$V$7,Hypothèses!$W$7,IF(BG159&lt;=Hypothèses!$V$8,Hypothèses!$W$8,IF(BG159&lt;=Hypothèses!$V$9,Hypothèses!$W$9,IF(BG159&lt;=Hypothèses!$V$10,Hypothèses!$W$10,IF(BG159&lt;=Hypothèses!$V$11,Hypothèses!$W$11,IF(BG159&lt;=Hypothèses!$V$12,Hypothèses!$W$12,IF(BG159&lt;=Hypothèses!$V$13,Hypothèses!$W$13,IF(BG159&lt;=Hypothèses!$V$14,Hypothèses!$W$14,IF(BG159&lt;=Hypothèses!$V$15,Hypothèses!$W$15,IF(BG159&lt;=Hypothèses!$V$16,Hypothèses!$W$16,IF(BG159&lt;=Hypothèses!$V$17,Hypothèses!$W$17,IF(BG159&lt;=Hypothèses!$V$18,Hypothèses!$W$18,""))))))))))))</f>
        <v>#DIV/0!</v>
      </c>
      <c r="CB159" s="87" t="e">
        <f t="shared" ca="1" si="319"/>
        <v>#DIV/0!</v>
      </c>
      <c r="CC159" s="88" t="e">
        <f ca="1">IF(BG159&lt;=Hypothèses!$V$7,Hypothèses!$X$7,IF(BG159&lt;=Hypothèses!$V$8,Hypothèses!$X$8,IF(BG159&lt;=Hypothèses!$V$9,Hypothèses!$X$9,IF(BG159&lt;=Hypothèses!$V$10,Hypothèses!$X$10,IF(BG159&lt;=Hypothèses!$V$11,Hypothèses!$X$11,IF(BG159&lt;=Hypothèses!$V$12,Hypothèses!$X$12,IF(BG159&lt;=Hypothèses!$V$13,Hypothèses!$X$13,IF(BG159&lt;=Hypothèses!$V$14,Hypothèses!$X$14,IF(BG159&lt;=Hypothèses!$V$15,Hypothèses!$X$15,IF(BG159&lt;=Hypothèses!$V$16,Hypothèses!$X$16,IF(BG159&lt;=Hypothèses!$U$17,Hypothèses!$W$17,IF(BG159&lt;=Hypothèses!$U$18,Hypothèses!$W$18,""))))))))))))</f>
        <v>#DIV/0!</v>
      </c>
      <c r="CD159" s="95" t="e">
        <f t="shared" ca="1" si="281"/>
        <v>#DIV/0!</v>
      </c>
      <c r="CE159" s="101" t="e">
        <f t="shared" si="326"/>
        <v>#N/A</v>
      </c>
      <c r="CF159" s="91" t="e">
        <f t="shared" si="250"/>
        <v>#N/A</v>
      </c>
      <c r="CG159" s="30" t="e">
        <f t="shared" si="306"/>
        <v>#N/A</v>
      </c>
      <c r="CH159" s="30" t="e">
        <f t="shared" si="307"/>
        <v>#N/A</v>
      </c>
      <c r="CI159" s="31" t="e">
        <f>IF(OR(Hypothèses!$B$4=17,Hypothèses!$B$4=18,Hypothèses!$B$4=19,Hypothèses!$B$4=20),
IF($D159="Pressio.",
IF(OR($E159=3,$E159=1,$E159=4),CH159,CG159),
IF($D159="Pénétro.",
IF(OR($E159=3,$E159=1,$E159=4),CH159,CG159))),IF($D159="Pressio.",
IF($E159=3,CH159,CG159),
IF($D159="Pénétro.",
IF($E159=4,CH159,CG159))))</f>
        <v>#N/A</v>
      </c>
      <c r="CJ159" s="31" t="e">
        <f>(IF(OR(Hypothèses!$B$4=17,Hypothèses!$B$4=18,Hypothèses!$B$4=19,Hypothèses!$B$4=20),
IF($D159="Pressio.",
IF(OR($E159=3,$E159=1,$E159=4),(PI()*CJ$12^2)/4*(CF159*$W159*1000)/($H159*$B$5),(PI()*CJ$12^2)/4*(CF159*$W159*1000)/($G159*$B$5)),
IF($D159="Pénétro.",
IF(OR($E159=4,$E159=1,$E159=5),(PI()*CJ$12^2)/4*(CF159*$W159*1000)/($H159*$B$5),(PI()*CJ$12^2)/4*(CF159*$W159*1000)/($G159*$B$5)))),
IF($D159="Pressio.",
IF($E159=3,(PI()*CJ$12^2)/4*(CF159*$W159*1000)/($H159*$B$5),(PI()*CJ$12^2)/4*(CF159*$W159*1000)/($G159*$B$5)),
IF($D159="Pénétro.",
IF($E159=4,(PI()*CJ$12^2)/4*(CF159*$W159*1000)/($H159*$B$5),(PI()*CJ$12^2)/4*(CF159*$W159*1000)/($G159*$B$5))))))/10</f>
        <v>#N/A</v>
      </c>
      <c r="CK159" s="102" t="e">
        <f>(VLOOKUP($B$3,'Coeff EC7'!$T$39:$X$59,2,0)*CI159+VLOOKUP($B$3,'Coeff EC7'!$T$65:$X$85,2,0)*Model0.1C!CJ159)/1.1</f>
        <v>#N/A</v>
      </c>
      <c r="CL159" s="102" t="e">
        <f>(VLOOKUP($B$3,'Coeff EC7'!$T$39:$X$59,3,0)*CI159+VLOOKUP($B$3,'Coeff EC7'!$T$65:$X$85,3,0)*Model0.1C!CJ159)/0.9</f>
        <v>#N/A</v>
      </c>
      <c r="CM159" s="102" t="e">
        <f t="shared" si="282"/>
        <v>#N/A</v>
      </c>
      <c r="CN159" s="102" t="e">
        <f t="shared" si="283"/>
        <v>#N/A</v>
      </c>
      <c r="CO159" s="414" t="e">
        <f>IF(CO158=0,0,IF(AND(CK159&gt;charge_ELS_quasi,CL159&gt;Charge_ELS_freq,CM159&gt;charge_ELU,CN159&gt;charge_ELA,$B159&gt;NDC!$H$22-0.1+MIN(3*$CO$12,1.5)),0,1))</f>
        <v>#N/A</v>
      </c>
      <c r="CP159" s="86" t="b">
        <f t="shared" si="251"/>
        <v>0</v>
      </c>
      <c r="CQ159" s="86">
        <f t="shared" si="252"/>
        <v>0.5</v>
      </c>
      <c r="CR159" s="86">
        <f t="shared" si="253"/>
        <v>0.5</v>
      </c>
      <c r="CS159" s="30" t="e">
        <f t="shared" ca="1" si="284"/>
        <v>#DIV/0!</v>
      </c>
      <c r="CT159" s="85" t="e">
        <f ca="1">IF(BZ159&lt;=Hypothèses!$V$7,Hypothèses!$W$7,IF(BZ159&lt;=Hypothèses!$V$8,Hypothèses!$W$8,IF(BZ159&lt;=Hypothèses!$V$9,Hypothèses!$W$9,IF(BZ159&lt;=Hypothèses!$V$10,Hypothèses!$W$10,IF(BZ159&lt;=Hypothèses!$V$11,Hypothèses!$W$11,IF(BZ159&lt;=Hypothèses!$V$12,Hypothèses!$W$12,IF(BZ159&lt;=Hypothèses!$V$13,Hypothèses!$W$13,IF(BZ159&lt;=Hypothèses!$V$14,Hypothèses!$W$14,IF(BZ159&lt;=Hypothèses!$V$15,Hypothèses!$W$15,IF(BZ159&lt;=Hypothèses!$V$16,Hypothèses!$W$16,IF(BZ159&lt;=Hypothèses!$V$17,Hypothèses!$W$17,IF(BZ159&lt;=Hypothèses!$V$18,Hypothèses!$W$18,""))))))))))))</f>
        <v>#DIV/0!</v>
      </c>
      <c r="CU159" s="87" t="e">
        <f t="shared" ca="1" si="320"/>
        <v>#DIV/0!</v>
      </c>
      <c r="CV159" s="88" t="e">
        <f ca="1">IF(BZ159&lt;=Hypothèses!$V$7,Hypothèses!$X$7,IF(BZ159&lt;=Hypothèses!$V$8,Hypothèses!$X$8,IF(BZ159&lt;=Hypothèses!$V$9,Hypothèses!$X$9,IF(BZ159&lt;=Hypothèses!$V$10,Hypothèses!$X$10,IF(BZ159&lt;=Hypothèses!$V$11,Hypothèses!$X$11,IF(BZ159&lt;=Hypothèses!$V$12,Hypothèses!$X$12,IF(BZ159&lt;=Hypothèses!$V$13,Hypothèses!$X$13,IF(BZ159&lt;=Hypothèses!$V$14,Hypothèses!$X$14,IF(BZ159&lt;=Hypothèses!$V$15,Hypothèses!$X$15,IF(BZ159&lt;=Hypothèses!$V$16,Hypothèses!$X$16,IF(BZ159&lt;=Hypothèses!$U$17,Hypothèses!$W$17,IF(BZ159&lt;=Hypothèses!$U$18,Hypothèses!$W$18,""))))))))))))</f>
        <v>#DIV/0!</v>
      </c>
      <c r="CW159" s="95" t="e">
        <f t="shared" ca="1" si="285"/>
        <v>#DIV/0!</v>
      </c>
      <c r="CX159" s="101" t="e">
        <f t="shared" si="327"/>
        <v>#N/A</v>
      </c>
      <c r="CY159" s="91" t="e">
        <f t="shared" si="254"/>
        <v>#N/A</v>
      </c>
      <c r="CZ159" s="30" t="e">
        <f t="shared" si="308"/>
        <v>#N/A</v>
      </c>
      <c r="DA159" s="30" t="e">
        <f t="shared" si="309"/>
        <v>#N/A</v>
      </c>
      <c r="DB159" s="31" t="e">
        <f>IF(OR(Hypothèses!$B$4=17,Hypothèses!$B$4=18,Hypothèses!$B$4=19,Hypothèses!$B$4=20),
IF($D159="Pressio.",
IF(OR($E159=3,$E159=1,$E159=4),DA159,CZ159),
IF($D159="Pénétro.",
IF(OR($E159=3,$E159=1,$E159=4),DA159,CZ159))),IF($D159="Pressio.",
IF($E159=3,DA159,CZ159),
IF($D159="Pénétro.",
IF($E159=4,DA159,CZ159))))</f>
        <v>#N/A</v>
      </c>
      <c r="DC159" s="31" t="e">
        <f>(IF(OR(Hypothèses!$B$4=17,Hypothèses!$B$4=18,Hypothèses!$B$4=19,Hypothèses!$B$4=20),
IF($D159="Pressio.",
IF(OR($E159=3,$E159=1,$E159=4),(PI()*DC$12^2)/4*(CY159*$W159*1000)/($H159*$B$5),(PI()*DC$12^2)/4*(CY159*$W159*1000)/($G159*$B$5)),
IF($D159="Pénétro.",
IF(OR($E159=4,$E159=1,$E159=5),(PI()*DC$12^2)/4*(CY159*$W159*1000)/($H159*$B$5),(PI()*DC$12^2)/4*(CY159*$W159*1000)/($G159*$B$5)))),
IF($D159="Pressio.",
IF($E159=3,(PI()*DC$12^2)/4*(CY159*$W159*1000)/($H159*$B$5),(PI()*DC$12^2)/4*(CY159*$W159*1000)/($G159*$B$5)),
IF($D159="Pénétro.",
IF($E159=4,(PI()*DC$12^2)/4*(CY159*$W159*1000)/($H159*$B$5),(PI()*DC$12^2)/4*(CY159*$W159*1000)/($G159*$B$5))))))/10</f>
        <v>#N/A</v>
      </c>
      <c r="DD159" s="102" t="e">
        <f>(VLOOKUP($B$3,'Coeff EC7'!$T$39:$X$59,2,0)*DB159+VLOOKUP($B$3,'Coeff EC7'!$T$65:$X$85,2,0)*Model0.1C!DC159)/1.1</f>
        <v>#N/A</v>
      </c>
      <c r="DE159" s="102" t="e">
        <f>(VLOOKUP($B$3,'Coeff EC7'!$T$39:$X$59,3,0)*DB159+VLOOKUP($B$3,'Coeff EC7'!$T$65:$X$85,3,0)*Model0.1C!DC159)/0.9</f>
        <v>#N/A</v>
      </c>
      <c r="DF159" s="102" t="e">
        <f t="shared" si="286"/>
        <v>#N/A</v>
      </c>
      <c r="DG159" s="102" t="e">
        <f t="shared" si="287"/>
        <v>#N/A</v>
      </c>
      <c r="DH159" s="414" t="e">
        <f>IF(DH158=0,0,IF(AND(DD159&gt;charge_ELS_quasi,DE159&gt;Charge_ELS_freq,DF159&gt;charge_ELU,DG159&gt;charge_ELA,$B159&gt;NDC!$H$22-0.1+MIN(3*$DH$12,1.5)),0,1))</f>
        <v>#N/A</v>
      </c>
      <c r="DI159" s="86" t="b">
        <f t="shared" si="255"/>
        <v>0</v>
      </c>
      <c r="DJ159" s="86">
        <f t="shared" si="256"/>
        <v>0.5</v>
      </c>
      <c r="DK159" s="86">
        <f t="shared" si="257"/>
        <v>0.5</v>
      </c>
      <c r="DL159" s="30" t="e">
        <f t="shared" ca="1" si="288"/>
        <v>#DIV/0!</v>
      </c>
      <c r="DM159" s="85" t="e">
        <f ca="1">IF(CS159&lt;=Hypothèses!$V$7,Hypothèses!$W$7,IF(CS159&lt;=Hypothèses!$V$8,Hypothèses!$W$8,IF(CS159&lt;=Hypothèses!$V$9,Hypothèses!$W$9,IF(CS159&lt;=Hypothèses!$V$10,Hypothèses!$W$10,IF(CS159&lt;=Hypothèses!$V$11,Hypothèses!$W$11,IF(CS159&lt;=Hypothèses!$V$12,Hypothèses!$W$12,IF(CS159&lt;=Hypothèses!$V$13,Hypothèses!$W$13,IF(CS159&lt;=Hypothèses!$V$14,Hypothèses!$W$14,IF(CS159&lt;=Hypothèses!$V$15,Hypothèses!$W$15,IF(CS159&lt;=Hypothèses!$V$16,Hypothèses!$W$16,IF(CS159&lt;=Hypothèses!$V$17,Hypothèses!$W$17,IF(CS159&lt;=Hypothèses!$V$18,Hypothèses!$W$18,""))))))))))))</f>
        <v>#DIV/0!</v>
      </c>
      <c r="DN159" s="87" t="e">
        <f t="shared" ca="1" si="321"/>
        <v>#DIV/0!</v>
      </c>
      <c r="DO159" s="88" t="e">
        <f ca="1">IF(CS159&lt;=Hypothèses!$V$7,Hypothèses!$X$7,IF(CS159&lt;=Hypothèses!$V$8,Hypothèses!$X$8,IF(CS159&lt;=Hypothèses!$V$9,Hypothèses!$X$9,IF(CS159&lt;=Hypothèses!$V$10,Hypothèses!$X$10,IF(CS159&lt;=Hypothèses!$V$11,Hypothèses!$X$11,IF(CS159&lt;=Hypothèses!$V$12,Hypothèses!$X$12,IF(CS159&lt;=Hypothèses!$V$13,Hypothèses!$X$13,IF(CS159&lt;=Hypothèses!$V$14,Hypothèses!$X$14,IF(CS159&lt;=Hypothèses!$V$15,Hypothèses!$X$15,IF(CS159&lt;=Hypothèses!$V$16,Hypothèses!$X$16,IF(CS159&lt;=Hypothèses!$U$17,Hypothèses!$W$17,IF(CS159&lt;=Hypothèses!$U$18,Hypothèses!$W$18,""))))))))))))</f>
        <v>#DIV/0!</v>
      </c>
      <c r="DP159" s="95" t="e">
        <f t="shared" ca="1" si="289"/>
        <v>#DIV/0!</v>
      </c>
      <c r="DQ159" s="101" t="e">
        <f t="shared" si="328"/>
        <v>#N/A</v>
      </c>
      <c r="DR159" s="91" t="e">
        <f t="shared" si="258"/>
        <v>#N/A</v>
      </c>
      <c r="DS159" s="30" t="e">
        <f t="shared" si="310"/>
        <v>#N/A</v>
      </c>
      <c r="DT159" s="30" t="e">
        <f t="shared" si="311"/>
        <v>#N/A</v>
      </c>
      <c r="DU159" s="31" t="e">
        <f>IF(OR(Hypothèses!$B$4=17,Hypothèses!$B$4=18,Hypothèses!$B$4=19,Hypothèses!$B$4=20),
IF($D159="Pressio.",
IF(OR($E159=3,$E159=1,$E159=4),DT159,DS159),
IF($D159="Pénétro.",
IF(OR($E159=3,$E159=1,$E159=4),DT159,DS159))),IF($D159="Pressio.",
IF($E159=3,DT159,DS159),
IF($D159="Pénétro.",
IF($E159=4,DT159,DS159))))</f>
        <v>#N/A</v>
      </c>
      <c r="DV159" s="31" t="e">
        <f>(IF(OR(Hypothèses!$B$4=17,Hypothèses!$B$4=18,Hypothèses!$B$4=19,Hypothèses!$B$4=20),
IF($D159="Pressio.",
IF(OR($E159=3,$E159=1,$E159=4),(PI()*DV$12^2)/4*(DR159*$W159*1000)/($H159*$B$5),(PI()*DV$12^2)/4*(DR159*$W159*1000)/($G159*$B$5)),
IF($D159="Pénétro.",
IF(OR($E159=4,$E159=1,$E159=5),(PI()*DV$12^2)/4*(DR159*$W159*1000)/($H159*$B$5),(PI()*DV$12^2)/4*(DR159*$W159*1000)/($G159*$B$5)))),
IF($D159="Pressio.",
IF($E159=3,(PI()*DV$12^2)/4*(DR159*$W159*1000)/($H159*$B$5),(PI()*DV$12^2)/4*(DR159*$W159*1000)/($G159*$B$5)),
IF($D159="Pénétro.",
IF($E159=4,(PI()*DV$12^2)/4*(DR159*$W159*1000)/($H159*$B$5),(PI()*DV$12^2)/4*(DR159*$W159*1000)/($G159*$B$5))))))/10</f>
        <v>#N/A</v>
      </c>
      <c r="DW159" s="102" t="e">
        <f>(VLOOKUP($B$3,'Coeff EC7'!$T$39:$X$59,2,0)*DU159+VLOOKUP($B$3,'Coeff EC7'!$T$65:$X$85,2,0)*Model0.1C!DV159)/1.1</f>
        <v>#N/A</v>
      </c>
      <c r="DX159" s="102" t="e">
        <f>(VLOOKUP($B$3,'Coeff EC7'!$T$39:$X$59,3,0)*DU159+VLOOKUP($B$3,'Coeff EC7'!$T$65:$X$85,3,0)*Model0.1C!DV159)/0.9</f>
        <v>#N/A</v>
      </c>
      <c r="DY159" s="102" t="e">
        <f t="shared" si="290"/>
        <v>#N/A</v>
      </c>
      <c r="DZ159" s="102" t="e">
        <f t="shared" si="291"/>
        <v>#N/A</v>
      </c>
      <c r="EA159" s="414" t="e">
        <f>IF(EA158=0,0,IF(AND(DW159&gt;charge_ELS_quasi,DX159&gt;Charge_ELS_freq,DY159&gt;charge_ELU,DZ159&gt;charge_ELA,$B159&gt;NDC!$H$22-0.1+MIN(3*$EA$12,1.5)),0,1))</f>
        <v>#N/A</v>
      </c>
      <c r="EB159" s="86" t="b">
        <f t="shared" si="259"/>
        <v>0</v>
      </c>
      <c r="EC159" s="418">
        <f t="shared" si="260"/>
        <v>0.51</v>
      </c>
      <c r="ED159" s="86">
        <f t="shared" si="261"/>
        <v>0.51</v>
      </c>
      <c r="EE159" s="30" t="e">
        <f t="shared" ca="1" si="292"/>
        <v>#DIV/0!</v>
      </c>
      <c r="EF159" s="85" t="e">
        <f ca="1">IF(DL159&lt;=Hypothèses!$V$7,Hypothèses!$W$7,IF(DL159&lt;=Hypothèses!$V$8,Hypothèses!$W$8,IF(DL159&lt;=Hypothèses!$V$9,Hypothèses!$W$9,IF(DL159&lt;=Hypothèses!$V$10,Hypothèses!$W$10,IF(DL159&lt;=Hypothèses!$V$11,Hypothèses!$W$11,IF(DL159&lt;=Hypothèses!$V$12,Hypothèses!$W$12,IF(DL159&lt;=Hypothèses!$V$13,Hypothèses!$W$13,IF(DL159&lt;=Hypothèses!$V$14,Hypothèses!$W$14,IF(DL159&lt;=Hypothèses!$V$15,Hypothèses!$W$15,IF(DL159&lt;=Hypothèses!$V$16,Hypothèses!$W$16,IF(DL159&lt;=Hypothèses!$V$17,Hypothèses!$W$17,IF(DL159&lt;=Hypothèses!$V$18,Hypothèses!$W$18,""))))))))))))</f>
        <v>#DIV/0!</v>
      </c>
      <c r="EG159" s="87" t="e">
        <f t="shared" ca="1" si="322"/>
        <v>#DIV/0!</v>
      </c>
      <c r="EH159" s="88" t="e">
        <f ca="1">IF(DL159&lt;=Hypothèses!$V$7,Hypothèses!$X$7,IF(DL159&lt;=Hypothèses!$V$8,Hypothèses!$X$8,IF(DL159&lt;=Hypothèses!$V$9,Hypothèses!$X$9,IF(DL159&lt;=Hypothèses!$V$10,Hypothèses!$X$10,IF(DL159&lt;=Hypothèses!$V$11,Hypothèses!$X$11,IF(DL159&lt;=Hypothèses!$V$12,Hypothèses!$X$12,IF(DL159&lt;=Hypothèses!$V$13,Hypothèses!$X$13,IF(DL159&lt;=Hypothèses!$V$14,Hypothèses!$X$14,IF(DL159&lt;=Hypothèses!$V$15,Hypothèses!$X$15,IF(DL159&lt;=Hypothèses!$V$16,Hypothèses!$X$16,IF(DL159&lt;=Hypothèses!$U$17,Hypothèses!$W$17,IF(DL159&lt;=Hypothèses!$U$18,Hypothèses!$W$18,""))))))))))))</f>
        <v>#DIV/0!</v>
      </c>
      <c r="EI159" s="95" t="e">
        <f t="shared" ca="1" si="293"/>
        <v>#DIV/0!</v>
      </c>
      <c r="EJ159" s="101" t="e">
        <f t="shared" si="329"/>
        <v>#N/A</v>
      </c>
      <c r="EK159" s="91" t="e">
        <f t="shared" si="262"/>
        <v>#N/A</v>
      </c>
      <c r="EL159" s="30" t="e">
        <f t="shared" si="312"/>
        <v>#N/A</v>
      </c>
      <c r="EM159" s="30" t="e">
        <f t="shared" si="313"/>
        <v>#N/A</v>
      </c>
      <c r="EN159" s="31" t="e">
        <f>IF(OR(Hypothèses!$B$4=17,Hypothèses!$B$4=18,Hypothèses!$B$4=19,Hypothèses!$B$4=20),
IF($D159="Pressio.",
IF(OR($E159=3,$E159=1,$E159=4),EM159,EL159),
IF($D159="Pénétro.",
IF(OR($E159=3,$E159=1,$E159=4),EM159,EL159))),IF($D159="Pressio.",
IF($E159=3,EM159,EL159),
IF($D159="Pénétro.",
IF($E159=4,EM159,EL159))))</f>
        <v>#N/A</v>
      </c>
      <c r="EO159" s="31" t="e">
        <f>(IF(OR(Hypothèses!$B$4=17,Hypothèses!$B$4=18,Hypothèses!$B$4=19,Hypothèses!$B$4=20),
IF($D159="Pressio.",
IF(OR($E159=3,$E159=1,$E159=4),(PI()*EO$12^2)/4*(EK159*$W159*1000)/($H159*$B$5),(PI()*EO$12^2)/4*(EK159*$W159*1000)/($G159*$B$5)),
IF($D159="Pénétro.",
IF(OR($E159=4,$E159=1,$E159=5),(PI()*EO$12^2)/4*(EK159*$W159*1000)/($H159*$B$5),(PI()*EO$12^2)/4*(EK159*$W159*1000)/($G159*$B$5)))),
IF($D159="Pressio.",
IF($E159=3,(PI()*EO$12^2)/4*(EK159*$W159*1000)/($H159*$B$5),(PI()*EO$12^2)/4*(EK159*$W159*1000)/($G159*$B$5)),
IF($D159="Pénétro.",
IF($E159=4,(PI()*EO$12^2)/4*(EK159*$W159*1000)/($H159*$B$5),(PI()*EO$12^2)/4*(EK159*$W159*1000)/($G159*$B$5))))))/10</f>
        <v>#N/A</v>
      </c>
      <c r="EP159" s="102" t="e">
        <f>(VLOOKUP($B$3,'Coeff EC7'!$T$39:$X$59,2,0)*EN159+VLOOKUP($B$3,'Coeff EC7'!$T$65:$X$85,2,0)*Model0.1C!EO159)/1.1</f>
        <v>#N/A</v>
      </c>
      <c r="EQ159" s="102" t="e">
        <f>(VLOOKUP($B$3,'Coeff EC7'!$T$39:$X$59,3,0)*EN159+VLOOKUP($B$3,'Coeff EC7'!$T$65:$X$85,3,0)*Model0.1C!EO159)/0.9</f>
        <v>#N/A</v>
      </c>
      <c r="ER159" s="102" t="e">
        <f t="shared" si="294"/>
        <v>#N/A</v>
      </c>
      <c r="ES159" s="102" t="e">
        <f t="shared" si="295"/>
        <v>#N/A</v>
      </c>
      <c r="ET159" s="414" t="e">
        <f>IF(ET158=0,0,IF(AND(EP159&gt;charge_ELS_quasi,EQ159&gt;Charge_ELS_freq,ER159&gt;charge_ELU,ES159&gt;charge_ELA,$B159&gt;NDC!$H$22-0.1+MIN(3*$ET$12,1.5)),0,1))</f>
        <v>#N/A</v>
      </c>
      <c r="EU159" s="86" t="b">
        <f t="shared" si="263"/>
        <v>0</v>
      </c>
      <c r="EV159" s="86">
        <f t="shared" si="264"/>
        <v>0.61</v>
      </c>
      <c r="EW159" s="86">
        <f t="shared" si="265"/>
        <v>0.61</v>
      </c>
      <c r="EX159" s="30" t="e">
        <f t="shared" ca="1" si="296"/>
        <v>#DIV/0!</v>
      </c>
      <c r="EY159" s="85" t="e">
        <f ca="1">IF(EE159&lt;=Hypothèses!$V$7,Hypothèses!$W$7,IF(EE159&lt;=Hypothèses!$V$8,Hypothèses!$W$8,IF(EE159&lt;=Hypothèses!$V$9,Hypothèses!$W$9,IF(EE159&lt;=Hypothèses!$V$10,Hypothèses!$W$10,IF(EE159&lt;=Hypothèses!$V$11,Hypothèses!$W$11,IF(EE159&lt;=Hypothèses!$V$12,Hypothèses!$W$12,IF(EE159&lt;=Hypothèses!$V$13,Hypothèses!$W$13,IF(EE159&lt;=Hypothèses!$V$14,Hypothèses!$W$14,IF(EE159&lt;=Hypothèses!$V$15,Hypothèses!$W$15,IF(EE159&lt;=Hypothèses!$V$16,Hypothèses!$W$16,IF(EE159&lt;=Hypothèses!$V$17,Hypothèses!$W$17,IF(EE159&lt;=Hypothèses!$V$18,Hypothèses!$W$18,""))))))))))))</f>
        <v>#DIV/0!</v>
      </c>
      <c r="EZ159" s="87" t="e">
        <f t="shared" ca="1" si="323"/>
        <v>#DIV/0!</v>
      </c>
      <c r="FA159" s="88" t="e">
        <f ca="1">IF(EE159&lt;=Hypothèses!$V$7,Hypothèses!$X$7,IF(EE159&lt;=Hypothèses!$V$8,Hypothèses!$X$8,IF(EE159&lt;=Hypothèses!$V$9,Hypothèses!$X$9,IF(EE159&lt;=Hypothèses!$V$10,Hypothèses!$X$10,IF(EE159&lt;=Hypothèses!$V$11,Hypothèses!$X$11,IF(EE159&lt;=Hypothèses!$V$12,Hypothèses!$X$12,IF(EE159&lt;=Hypothèses!$V$13,Hypothèses!$X$13,IF(EE159&lt;=Hypothèses!$V$14,Hypothèses!$X$14,IF(EE159&lt;=Hypothèses!$V$15,Hypothèses!$X$15,IF(EE159&lt;=Hypothèses!$V$16,Hypothèses!$X$16,IF(EE159&lt;=Hypothèses!$U$17,Hypothèses!$W$17,IF(EE159&lt;=Hypothèses!$U$18,Hypothèses!$W$18,""))))))))))))</f>
        <v>#DIV/0!</v>
      </c>
      <c r="FB159" s="95" t="e">
        <f t="shared" ca="1" si="297"/>
        <v>#DIV/0!</v>
      </c>
      <c r="FC159" s="101" t="e">
        <f t="shared" si="330"/>
        <v>#N/A</v>
      </c>
      <c r="FD159" s="91" t="e">
        <f t="shared" si="266"/>
        <v>#N/A</v>
      </c>
      <c r="FE159" s="30" t="e">
        <f t="shared" si="314"/>
        <v>#N/A</v>
      </c>
      <c r="FF159" s="30" t="e">
        <f t="shared" si="315"/>
        <v>#N/A</v>
      </c>
      <c r="FG159" s="31" t="e">
        <f>IF(OR(Hypothèses!$B$4=17,Hypothèses!$B$4=18,Hypothèses!$B$4=19,Hypothèses!$B$4=20),
IF($D159="Pressio.",
IF(OR($E159=3,$E159=1,$E159=4),FF159,FE159),
IF($D159="Pénétro.",
IF(OR($E159=3,$E159=1,$E159=4),FF159,FE159))),IF($D159="Pressio.",
IF($E159=3,FF159,FE159),
IF($D159="Pénétro.",
IF($E159=4,FF159,FE159))))</f>
        <v>#N/A</v>
      </c>
      <c r="FH159" s="31" t="e">
        <f>(IF(OR(Hypothèses!$B$4=17,Hypothèses!$B$4=18,Hypothèses!$B$4=19,Hypothèses!$B$4=20),
IF($D159="Pressio.",
IF(OR($E159=3,$E159=1,$E159=4),(PI()*FH$12^2)/4*(FD159*$W159*1000)/($H159*$B$5),(PI()*FH$12^2)/4*(FD159*$W159*1000)/($G159*$B$5)),
IF($D159="Pénétro.",
IF(OR($E159=4,$E159=1,$E159=5),(PI()*FH$12^2)/4*(FD159*$W159*1000)/($H159*$B$5),(PI()*FH$12^2)/4*(FD159*$W159*1000)/($G159*$B$5)))),
IF($D159="Pressio.",
IF($E159=3,(PI()*FH$12^2)/4*(FD159*$W159*1000)/($H159*$B$5),(PI()*FH$12^2)/4*(FD159*$W159*1000)/($G159*$B$5)),
IF($D159="Pénétro.",
IF($E159=4,(PI()*FH$12^2)/4*(FD159*$W159*1000)/($H159*$B$5),(PI()*FH$12^2)/4*(FD159*$W159*1000)/($G159*$B$5))))))/10</f>
        <v>#N/A</v>
      </c>
      <c r="FI159" s="102" t="e">
        <f>(VLOOKUP($B$3,'Coeff EC7'!$T$39:$X$59,2,0)*FG159+VLOOKUP($B$3,'Coeff EC7'!$T$65:$X$85,2,0)*Model0.1C!FH159)/1.1</f>
        <v>#N/A</v>
      </c>
      <c r="FJ159" s="102" t="e">
        <f>(VLOOKUP($B$3,'Coeff EC7'!$T$39:$X$59,3,0)*FG159+VLOOKUP($B$3,'Coeff EC7'!$T$65:$X$85,3,0)*Model0.1C!FH159)/0.9</f>
        <v>#N/A</v>
      </c>
      <c r="FK159" s="102" t="e">
        <f t="shared" si="298"/>
        <v>#N/A</v>
      </c>
      <c r="FL159" s="102" t="e">
        <f t="shared" si="299"/>
        <v>#N/A</v>
      </c>
      <c r="FM159" s="414" t="e">
        <f>IF(FM158=0,0,IF(AND(FI159&gt;charge_ELS_quasi,FJ159&gt;Charge_ELS_freq,FK159&gt;charge_ELU,FL159&gt;charge_ELA,$B159&gt;NDC!$H$22-0.1+MIN(3*$FM$12,1.5)),0,1))</f>
        <v>#N/A</v>
      </c>
    </row>
    <row r="160" spans="1:169">
      <c r="A160" s="96">
        <f t="shared" si="267"/>
        <v>85.300000000000836</v>
      </c>
      <c r="B160" s="97">
        <v>14.7</v>
      </c>
      <c r="C160" s="81">
        <f>IF(B160&lt;=Hypothèses!$C$7,Hypothèses!$A$7,IF(B160&lt;=Hypothèses!$C$8,Hypothèses!$A$8,IF(B160&lt;=Hypothèses!$C$9,Hypothèses!$A$9,IF(B160&lt;=Hypothèses!$C$10,Hypothèses!$A$10,IF(B160&lt;=Hypothèses!$C$11,Hypothèses!$A$11,IF(B160&lt;=Hypothèses!$C$12,Hypothèses!$A$12,IF(B160&lt;=Hypothèses!$C$13,Hypothèses!$A$13,IF(B160&lt;=Hypothèses!$C$14,Hypothèses!$A$14,IF(B160&lt;=Hypothèses!$C$15,Hypothèses!$A$15,IF(B160&lt;=Hypothèses!$C$16,Hypothèses!$A$16,IF(B160&lt;=Hypothèses!$C$17,Hypothèses!$A$17,IF(B160&lt;=Hypothèses!$C$18,Hypothèses!$A$18,C159))))))))))))</f>
        <v>11</v>
      </c>
      <c r="D160" s="82" t="str">
        <f>IF(B160&lt;=Hypothèses!$C$7,Hypothèses!$R$7,IF(B160&lt;=Hypothèses!$C$8,Hypothèses!$R$8,IF(B160&lt;=Hypothèses!$C$9,Hypothèses!$R$9,IF(B160&lt;=Hypothèses!$C$10,Hypothèses!$R$10,IF(B160&lt;=Hypothèses!$C$11,Hypothèses!$R$11,IF(B160&lt;=Hypothèses!$C$12,Hypothèses!$R$12,IF(B160&lt;=Hypothèses!$C$13,Hypothèses!$R$13,IF(B160&lt;=Hypothèses!$C$14,Hypothèses!$R$14,IF(B160&lt;=Hypothèses!$C$15,Hypothèses!$R$15,IF(B160&lt;=Hypothèses!$C$16,Hypothèses!$R$16,IF(B160&lt;=Hypothèses!$C$17,Hypothèses!$R$17,IF(B160&lt;=Hypothèses!$C$18,Hypothèses!$R$18,D159))))))))))))</f>
        <v>Pressio.</v>
      </c>
      <c r="E160" s="82" t="e">
        <f>IF(B160&lt;=Hypothèses!$C$7,Hypothèses!$G$7,IF(B160&lt;=Hypothèses!$C$8,Hypothèses!$G$8,IF(B160&lt;=Hypothèses!$C$9,Hypothèses!$G$9,IF(B160&lt;=Hypothèses!$C$10,Hypothèses!$G$10,IF(B160&lt;=Hypothèses!$C$11,Hypothèses!$G$11,IF(B160&lt;=Hypothèses!$C$12,Hypothèses!$G$12,IF(B160&lt;=Hypothèses!$C$13,Hypothèses!$G$13,IF(B160&lt;=Hypothèses!$C$14,Hypothèses!$G$14,IF(B160&lt;=Hypothèses!$C$15,Hypothèses!$G$15,IF(B160&lt;=Hypothèses!$C$16,Hypothèses!$G$16,IF(B160&lt;=Hypothèses!$C$17,Hypothèses!$G$17,IF(B160&lt;=Hypothèses!$C$18,Hypothèses!$G$18,E159))))))))))))</f>
        <v>#N/A</v>
      </c>
      <c r="F160" s="82" t="str">
        <f>IF(B160&lt;=Hypothèses!$C$7,Hypothèses!$F$7,IF(B160&lt;=Hypothèses!$C$8,Hypothèses!$F$8,IF(B160&lt;=Hypothèses!$C$9,Hypothèses!$F$9,IF(B160&lt;=Hypothèses!$C$10,Hypothèses!$F$10,IF(B160&lt;=Hypothèses!$C$11,Hypothèses!$F$11,IF(B160&lt;=Hypothèses!$C$12,Hypothèses!$F$12,IF(B160&lt;=Hypothèses!$C$13,Hypothèses!$F$13,IF(B160&lt;=Hypothèses!$C$14,Hypothèses!$F$14,IF(B160&lt;=Hypothèses!$C$15,Hypothèses!$F$15,IF(B160&lt;=Hypothèses!$C$16,Hypothèses!$F$16,IF(B160&lt;=Hypothèses!$C$17,Hypothèses!$F$17,IF(B160&lt;=Hypothèses!$C$18,Hypothèses!$F$18,F159))))))))))))</f>
        <v/>
      </c>
      <c r="G160" s="91">
        <f t="array" ref="G160">INDEX('Coeff EC7'!$U$7:$X$27,
MATCH(Model0.1C!$B$3,'Coeff EC7'!$T$7:$T$27,0),
MATCH(Model0.1C!$D160&amp;Model0.1C!$B$4,
'Coeff EC7'!$U$6:$X$6&amp;
'Coeff EC7'!$U$5:$X$5,0))</f>
        <v>1.1499999999999999</v>
      </c>
      <c r="H160" s="91">
        <f t="array" ref="H160">INDEX('Coeff EC7'!$Y$7:$AB$27,
MATCH(Model0.1C!$B$3,'Coeff EC7'!$T$7:$T$27,0),
MATCH(Model0.1C!$D160&amp;Model0.1C!$B$4,
'Coeff EC7'!$Y$6:$AB$6&amp;
'Coeff EC7'!$Y$5:$AB$5,0))</f>
        <v>1.4</v>
      </c>
      <c r="I160" s="83" t="e">
        <f>IF(B160&lt;=Hypothèses!$C$7,Hypothèses!$P$7,IF(B160&lt;=Hypothèses!$C$8,Hypothèses!$P$8,IF(B160&lt;=Hypothèses!$C$9,Hypothèses!$P$9,IF(B160&lt;=Hypothèses!$C$10,Hypothèses!$P$10,IF(B160&lt;=Hypothèses!$C$11,Hypothèses!$P$11,IF(B160&lt;=Hypothèses!$C$12,Hypothèses!$P$12,IF(B160&lt;=Hypothèses!$C$13,Hypothèses!$P$13,IF(B160&lt;=Hypothèses!$C$14,Hypothèses!$P$14,IF(B160&lt;=Hypothèses!$C$15,Hypothèses!$P$15,IF(B160&lt;=Hypothèses!$C$16,Hypothèses!$P$16,IF(B160&lt;=Hypothèses!$C$17,Hypothèses!$P$17,IF(B160&lt;=Hypothèses!$C$18,Hypothèses!$P$18,I159))))))))))))</f>
        <v>#N/A</v>
      </c>
      <c r="J160" s="91" t="e">
        <f t="array" ref="J160">INDEX('Coeff EC7'!$D$33:$Q$33,1,MATCH(D160&amp;E160,'Coeff EC7'!$D$31:$Q$31&amp;'Coeff EC7'!$D$32:$Q$32,0))</f>
        <v>#N/A</v>
      </c>
      <c r="K160" s="91" t="e">
        <f t="array" ref="K160">INDEX('Coeff EC7'!$D$34:$Q$34,1,MATCH(D160&amp;E160,'Coeff EC7'!$D$31:$Q$31&amp;'Coeff EC7'!$D$32:$Q$32,0))</f>
        <v>#N/A</v>
      </c>
      <c r="L160" s="91" t="e">
        <f t="array" ref="L160">INDEX('Coeff EC7'!$D$35:$Q$35,1,MATCH(D160&amp;E160,'Coeff EC7'!$D$31:$Q$31&amp;'Coeff EC7'!$D$32:$Q$32,0))</f>
        <v>#N/A</v>
      </c>
      <c r="M160" s="98" t="e">
        <f t="shared" si="231"/>
        <v>#N/A</v>
      </c>
      <c r="N160" s="99" t="e">
        <f t="array" ref="N160">INDEX('Coeff EC7'!$D$7:$Q$27,MATCH($B$3,'Coeff EC7'!$C$7:$C$27,0),MATCH(D160&amp;E160,'Coeff EC7'!$D$5:$Q$5&amp;'Coeff EC7'!$D$6:$Q$6,0))</f>
        <v>#N/A</v>
      </c>
      <c r="O160" s="99" t="e">
        <f t="array" ref="O160">INDEX('Coeff EC7'!$D$41:$Q$61,MATCH($B$3,'Coeff EC7'!$C$41:$C$61,0),MATCH(D160&amp;E160,'Coeff EC7'!$D$39:$Q$39&amp;'Coeff EC7'!$D$40:$Q$40,0))</f>
        <v>#N/A</v>
      </c>
      <c r="P160" s="30" t="e">
        <f t="shared" si="268"/>
        <v>#N/A</v>
      </c>
      <c r="Q160" s="100" t="e">
        <f t="shared" si="233"/>
        <v>#N/A</v>
      </c>
      <c r="R160" s="86" t="b">
        <f t="shared" si="234"/>
        <v>0</v>
      </c>
      <c r="S160" s="86">
        <f t="shared" si="232"/>
        <v>0.5</v>
      </c>
      <c r="T160" s="86">
        <f t="shared" si="235"/>
        <v>0.5</v>
      </c>
      <c r="U160" s="30" t="e">
        <f t="shared" ca="1" si="269"/>
        <v>#DIV/0!</v>
      </c>
      <c r="V160" s="85" t="str">
        <f>IF(B160&lt;=Hypothèses!$V$7,Hypothèses!$W$7,IF(B160&lt;=Hypothèses!$V$8,Hypothèses!$W$8,IF(B160&lt;=Hypothèses!$V$9,Hypothèses!$W$9,IF(B160&lt;=Hypothèses!$V$10,Hypothèses!$W$10,IF(B160&lt;=Hypothèses!$V$11,Hypothèses!$W$11,IF(B160&lt;=Hypothèses!$V$12,Hypothèses!$W$12,IF(B160&lt;=Hypothèses!$V$13,Hypothèses!$W$13,IF(B160&lt;=Hypothèses!$V$14,Hypothèses!$W$14,IF(B160&lt;=Hypothèses!$V$15,Hypothèses!$W$15,IF(B160&lt;=Hypothèses!$V$16,Hypothèses!$W$16,IF(B160&lt;=Hypothèses!$V$17,Hypothèses!$W$17,IF(B160&lt;=Hypothèses!$V$18,Hypothèses!$W$18,""))))))))))))</f>
        <v/>
      </c>
      <c r="W160" s="87" t="e">
        <f t="shared" ca="1" si="316"/>
        <v>#DIV/0!</v>
      </c>
      <c r="X160" s="88" t="str">
        <f>IF(B160&lt;=Hypothèses!$V$7,Hypothèses!$X$7,IF(B160&lt;=Hypothèses!$V$8,Hypothèses!$X$8,IF(B160&lt;=Hypothèses!$V$9,Hypothèses!$X$9,IF(B160&lt;=Hypothèses!$V$10,Hypothèses!$X$10,IF(B160&lt;=Hypothèses!$V$11,Hypothèses!$X$11,IF(B160&lt;=Hypothèses!$V$12,Hypothèses!$X$12,IF(B160&lt;=Hypothèses!$V$13,Hypothèses!$X$13,IF(B160&lt;=Hypothèses!$V$14,Hypothèses!$X$14,IF(B160&lt;=Hypothèses!$V$15,Hypothèses!$X$15,IF(B160&lt;=Hypothèses!$V$16,Hypothèses!$X$16,IF(B160&lt;=Hypothèses!$U$17,Hypothèses!$W$17,IF(B160&lt;=Hypothèses!$U$18,Hypothèses!$W$18,""))))))))))))</f>
        <v/>
      </c>
      <c r="Y160" s="95" t="e">
        <f t="shared" ca="1" si="236"/>
        <v>#DIV/0!</v>
      </c>
      <c r="Z160" s="101" t="e">
        <f t="shared" si="237"/>
        <v>#N/A</v>
      </c>
      <c r="AA160" s="91" t="e">
        <f t="shared" si="238"/>
        <v>#N/A</v>
      </c>
      <c r="AB160" s="30" t="e">
        <f t="shared" si="300"/>
        <v>#N/A</v>
      </c>
      <c r="AC160" s="30" t="e">
        <f t="shared" si="301"/>
        <v>#N/A</v>
      </c>
      <c r="AD160" s="31" t="e">
        <f>IF(OR(Hypothèses!$B$4=17,Hypothèses!$B$4=18,Hypothèses!$B$4=19,Hypothèses!$B$4=20),
IF($D160="Pressio.",
IF(OR($E160=3,$E160=1,$E160=4),AC160,AB160),
IF($D160="Pénétro.",
IF(OR($E160=3,$E160=1,$E160=4),AC160,AB160))),IF($D160="Pressio.",
IF($E160=3,AC160,AB160),
IF($D160="Pénétro.",
IF($E160=4,AC160,AB160))))</f>
        <v>#N/A</v>
      </c>
      <c r="AE160" s="31" t="e">
        <f>(IF(OR(Hypothèses!$B$4=17,Hypothèses!$B$4=18,Hypothèses!$B$4=19,Hypothèses!$B$4=20),
IF($D160="Pressio.",
IF(OR($E160=3,$E160=1,$E160=4),(PI()*AE$12^2)/4*(AA160*$W160*1000)/($H160*$B$5),(PI()*AE$12^2)/4*(AA160*$W160*1000)/($G160*$B$5)),
IF($D160="Pénétro.",
IF(OR($E160=4,$E160=1,$E160=5),(PI()*AE$12^2)/4*(AA160*$W160*1000)/($H160*$B$5),(PI()*AE$12^2)/4*(AA160*$W160*1000)/($G160*$B$5)))),
IF($D160="Pressio.",
IF($E160=3,(PI()*AE$12^2)/4*(AA160*$W160*1000)/($H160*$B$5),(PI()*AE$12^2)/4*(AA160*$W160*1000)/($G160*$B$5)),
IF($D160="Pénétro.",
IF($E160=4,(PI()*AE$12^2)/4*(AA160*$W160*1000)/($H160*$B$5),(PI()*AE$12^2)/4*(AA160*$W160*1000)/($G160*$B$5))))))/10</f>
        <v>#N/A</v>
      </c>
      <c r="AF160" s="102" t="e">
        <f>(VLOOKUP($B$3,'Coeff EC7'!$T$39:$X$59,2,0)*AD160+VLOOKUP($B$3,'Coeff EC7'!$T$65:$X$85,2,0)*Model0.1C!AE160)/1.1</f>
        <v>#N/A</v>
      </c>
      <c r="AG160" s="102" t="e">
        <f>(VLOOKUP($B$3,'Coeff EC7'!$T$39:$X$59,3,0)*AD160+VLOOKUP($B$3,'Coeff EC7'!$T$65:$X$85,3,0)*Model0.1C!AE160)/0.9</f>
        <v>#N/A</v>
      </c>
      <c r="AH160" s="102" t="e">
        <f t="shared" si="239"/>
        <v>#N/A</v>
      </c>
      <c r="AI160" s="102" t="e">
        <f t="shared" si="240"/>
        <v>#N/A</v>
      </c>
      <c r="AJ160" s="414" t="e">
        <f>IF(AJ159=0,0,IF(AND(AF160&gt;charge_ELS_quasi,AG160&gt;Charge_ELS_freq,AH160&gt;charge_ELU,AI160&gt;charge_ELA,$B160&gt;NDC!$H$22-0.1+MIN(3*$AJ$12,1.5)),0,1))</f>
        <v>#N/A</v>
      </c>
      <c r="AK160" s="86" t="b">
        <f t="shared" si="241"/>
        <v>0</v>
      </c>
      <c r="AL160" s="86">
        <f t="shared" si="270"/>
        <v>0.5</v>
      </c>
      <c r="AM160" s="86">
        <f t="shared" si="242"/>
        <v>0.5</v>
      </c>
      <c r="AN160" s="30" t="e">
        <f t="shared" ca="1" si="271"/>
        <v>#DIV/0!</v>
      </c>
      <c r="AO160" s="85" t="e">
        <f ca="1">IF(U160&lt;=Hypothèses!$V$7,Hypothèses!$W$7,IF(U160&lt;=Hypothèses!$V$8,Hypothèses!$W$8,IF(U160&lt;=Hypothèses!$V$9,Hypothèses!$W$9,IF(U160&lt;=Hypothèses!$V$10,Hypothèses!$W$10,IF(U160&lt;=Hypothèses!$V$11,Hypothèses!$W$11,IF(U160&lt;=Hypothèses!$V$12,Hypothèses!$W$12,IF(U160&lt;=Hypothèses!$V$13,Hypothèses!$W$13,IF(U160&lt;=Hypothèses!$V$14,Hypothèses!$W$14,IF(U160&lt;=Hypothèses!$V$15,Hypothèses!$W$15,IF(U160&lt;=Hypothèses!$V$16,Hypothèses!$W$16,IF(U160&lt;=Hypothèses!$V$17,Hypothèses!$W$17,IF(U160&lt;=Hypothèses!$V$18,Hypothèses!$W$18,""))))))))))))</f>
        <v>#DIV/0!</v>
      </c>
      <c r="AP160" s="87" t="e">
        <f t="shared" ca="1" si="317"/>
        <v>#DIV/0!</v>
      </c>
      <c r="AQ160" s="88" t="e">
        <f ca="1">IF(U160&lt;=Hypothèses!$V$7,Hypothèses!$X$7,IF(U160&lt;=Hypothèses!$V$8,Hypothèses!$X$8,IF(U160&lt;=Hypothèses!$V$9,Hypothèses!$X$9,IF(U160&lt;=Hypothèses!$V$10,Hypothèses!$X$10,IF(U160&lt;=Hypothèses!$V$11,Hypothèses!$X$11,IF(U160&lt;=Hypothèses!$V$12,Hypothèses!$X$12,IF(U160&lt;=Hypothèses!$V$13,Hypothèses!$X$13,IF(U160&lt;=Hypothèses!$V$14,Hypothèses!$X$14,IF(U160&lt;=Hypothèses!$V$15,Hypothèses!$X$15,IF(U160&lt;=Hypothèses!$V$16,Hypothèses!$X$16,IF(U160&lt;=Hypothèses!$U$17,Hypothèses!$W$17,IF(U160&lt;=Hypothèses!$U$18,Hypothèses!$W$18,""))))))))))))</f>
        <v>#DIV/0!</v>
      </c>
      <c r="AR160" s="95" t="e">
        <f t="shared" ca="1" si="272"/>
        <v>#DIV/0!</v>
      </c>
      <c r="AS160" s="101" t="e">
        <f t="shared" si="324"/>
        <v>#N/A</v>
      </c>
      <c r="AT160" s="91" t="e">
        <f t="shared" si="243"/>
        <v>#N/A</v>
      </c>
      <c r="AU160" s="30" t="e">
        <f t="shared" si="302"/>
        <v>#N/A</v>
      </c>
      <c r="AV160" s="30" t="e">
        <f t="shared" si="303"/>
        <v>#N/A</v>
      </c>
      <c r="AW160" s="31" t="e">
        <f>IF(OR(Hypothèses!$B$4=17,Hypothèses!$B$4=18,Hypothèses!$B$4=19,Hypothèses!$B$4=20),
IF($D160="Pressio.",
IF(OR($E160=3,$E160=1,$E160=4),AV160,AU160),
IF($D160="Pénétro.",
IF(OR($E160=3,$E160=1,$E160=4),AV160,AU160))),IF($D160="Pressio.",
IF($E160=3,AV160,AU160),
IF($D160="Pénétro.",
IF($E160=4,AV160,AU160))))</f>
        <v>#N/A</v>
      </c>
      <c r="AX160" s="31" t="e">
        <f>(IF(OR(Hypothèses!$B$4=17,Hypothèses!$B$4=18,Hypothèses!$B$4=19,Hypothèses!$B$4=20),
IF($D160="Pressio.",
IF(OR($E160=3,$E160=1,$E160=4),(PI()*AX$12^2)/4*(AT160*$W160*1000)/($H160*$B$5),(PI()*AX$12^2)/4*(AT160*$W160*1000)/($G160*$B$5)),
IF($D160="Pénétro.",
IF(OR($E160=4,$E160=1,$E160=5),(PI()*AX$12^2)/4*(AT160*$W160*1000)/($H160*$B$5),(PI()*AX$12^2)/4*(AT160*$W160*1000)/($G160*$B$5)))),
IF($D160="Pressio.",
IF($E160=3,(PI()*AX$12^2)/4*(AT160*$W160*1000)/($H160*$B$5),(PI()*AX$12^2)/4*(AT160*$W160*1000)/($G160*$B$5)),
IF($D160="Pénétro.",
IF($E160=4,(PI()*AX$12^2)/4*(AT160*$W160*1000)/($H160*$B$5),(PI()*AX$12^2)/4*(AT160*$W160*1000)/($G160*$B$5))))))/10</f>
        <v>#N/A</v>
      </c>
      <c r="AY160" s="102" t="e">
        <f>(VLOOKUP($B$3,'Coeff EC7'!$T$39:$X$59,2,0)*AW160+VLOOKUP($B$3,'Coeff EC7'!$T$65:$X$85,2,0)*Model0.1C!AX160)/1.1</f>
        <v>#N/A</v>
      </c>
      <c r="AZ160" s="102" t="e">
        <f>(VLOOKUP($B$3,'Coeff EC7'!$T$39:$X$59,3,0)*AW160+VLOOKUP($B$3,'Coeff EC7'!$T$65:$X$85,3,0)*Model0.1C!AX160)/0.9</f>
        <v>#N/A</v>
      </c>
      <c r="BA160" s="102" t="e">
        <f t="shared" si="273"/>
        <v>#N/A</v>
      </c>
      <c r="BB160" s="102" t="e">
        <f t="shared" si="274"/>
        <v>#N/A</v>
      </c>
      <c r="BC160" s="414" t="e">
        <f>IF(BC159=0,0,IF(AND(AY160&gt;charge_ELS_quasi,AZ160&gt;Charge_ELS_freq,BA160&gt;charge_ELU,BB160&gt;charge_ELA,$B160&gt;NDC!$H$22-0.1+MIN(3*$BC$12,1.5)),0,1))</f>
        <v>#N/A</v>
      </c>
      <c r="BD160" s="86" t="b">
        <f t="shared" si="244"/>
        <v>0</v>
      </c>
      <c r="BE160" s="86">
        <f t="shared" si="275"/>
        <v>0.5</v>
      </c>
      <c r="BF160" s="86">
        <f t="shared" si="245"/>
        <v>0.5</v>
      </c>
      <c r="BG160" s="30" t="e">
        <f t="shared" ca="1" si="276"/>
        <v>#DIV/0!</v>
      </c>
      <c r="BH160" s="85" t="e">
        <f ca="1">IF(AN160&lt;=Hypothèses!$V$7,Hypothèses!$W$7,IF(AN160&lt;=Hypothèses!$V$8,Hypothèses!$W$8,IF(AN160&lt;=Hypothèses!$V$9,Hypothèses!$W$9,IF(AN160&lt;=Hypothèses!$V$10,Hypothèses!$W$10,IF(AN160&lt;=Hypothèses!$V$11,Hypothèses!$W$11,IF(AN160&lt;=Hypothèses!$V$12,Hypothèses!$W$12,IF(AN160&lt;=Hypothèses!$V$13,Hypothèses!$W$13,IF(AN160&lt;=Hypothèses!$V$14,Hypothèses!$W$14,IF(AN160&lt;=Hypothèses!$V$15,Hypothèses!$W$15,IF(AN160&lt;=Hypothèses!$V$16,Hypothèses!$W$16,IF(AN160&lt;=Hypothèses!$V$17,Hypothèses!$W$17,IF(AN160&lt;=Hypothèses!$V$18,Hypothèses!$W$18,""))))))))))))</f>
        <v>#DIV/0!</v>
      </c>
      <c r="BI160" s="87" t="e">
        <f t="shared" ca="1" si="318"/>
        <v>#DIV/0!</v>
      </c>
      <c r="BJ160" s="88" t="e">
        <f ca="1">IF(AN160&lt;=Hypothèses!$V$7,Hypothèses!$X$7,IF(AN160&lt;=Hypothèses!$V$8,Hypothèses!$X$8,IF(AN160&lt;=Hypothèses!$V$9,Hypothèses!$X$9,IF(AN160&lt;=Hypothèses!$V$10,Hypothèses!$X$10,IF(AN160&lt;=Hypothèses!$V$11,Hypothèses!$X$11,IF(AN160&lt;=Hypothèses!$V$12,Hypothèses!$X$12,IF(AN160&lt;=Hypothèses!$V$13,Hypothèses!$X$13,IF(AN160&lt;=Hypothèses!$V$14,Hypothèses!$X$14,IF(AN160&lt;=Hypothèses!$V$15,Hypothèses!$X$15,IF(AN160&lt;=Hypothèses!$V$16,Hypothèses!$X$16,IF(AN160&lt;=Hypothèses!$U$17,Hypothèses!$W$17,IF(AN160&lt;=Hypothèses!$U$18,Hypothèses!$W$18,""))))))))))))</f>
        <v>#DIV/0!</v>
      </c>
      <c r="BK160" s="95" t="e">
        <f t="shared" ca="1" si="277"/>
        <v>#DIV/0!</v>
      </c>
      <c r="BL160" s="101" t="e">
        <f t="shared" si="325"/>
        <v>#N/A</v>
      </c>
      <c r="BM160" s="91" t="e">
        <f t="shared" si="246"/>
        <v>#N/A</v>
      </c>
      <c r="BN160" s="30" t="e">
        <f t="shared" si="304"/>
        <v>#N/A</v>
      </c>
      <c r="BO160" s="30" t="e">
        <f t="shared" si="305"/>
        <v>#N/A</v>
      </c>
      <c r="BP160" s="31" t="e">
        <f>IF(OR(Hypothèses!$B$4=17,Hypothèses!$B$4=18,Hypothèses!$B$4=19,Hypothèses!$B$4=20),
IF($D160="Pressio.",
IF(OR($E160=3,$E160=1,$E160=4),BO160,BN160),
IF($D160="Pénétro.",
IF(OR($E160=3,$E160=1,$E160=4),BO160,BN160))),IF($D160="Pressio.",
IF($E160=3,BO160,BN160),
IF($D160="Pénétro.",
IF($E160=4,BO160,BN160))))</f>
        <v>#N/A</v>
      </c>
      <c r="BQ160" s="31" t="e">
        <f>(IF(OR(Hypothèses!$B$4=17,Hypothèses!$B$4=18,Hypothèses!$B$4=19,Hypothèses!$B$4=20),
IF($D160="Pressio.",
IF(OR($E160=3,$E160=1,$E160=4),(PI()*BQ$12^2)/4*(BM160*$W160*1000)/($H160*$B$5),(PI()*BQ$12^2)/4*(BM160*$W160*1000)/($G160*$B$5)),
IF($D160="Pénétro.",
IF(OR($E160=4,$E160=1,$E160=5),(PI()*BQ$12^2)/4*(BM160*$W160*1000)/($H160*$B$5),(PI()*BQ$12^2)/4*(BM160*$W160*1000)/($G160*$B$5)))),
IF($D160="Pressio.",
IF($E160=3,(PI()*BQ$12^2)/4*(BM160*$W160*1000)/($H160*$B$5),(PI()*BQ$12^2)/4*(BM160*$W160*1000)/($G160*$B$5)),
IF($D160="Pénétro.",
IF($E160=4,(PI()*BQ$12^2)/4*(BM160*$W160*1000)/($H160*$B$5),(PI()*BQ$12^2)/4*(BM160*$W160*1000)/($G160*$B$5))))))/10</f>
        <v>#N/A</v>
      </c>
      <c r="BR160" s="102" t="e">
        <f>(VLOOKUP($B$3,'Coeff EC7'!$T$39:$X$59,2,0)*BP160+VLOOKUP($B$3,'Coeff EC7'!$T$65:$X$85,2,0)*Model0.1C!BQ160)/1.1</f>
        <v>#N/A</v>
      </c>
      <c r="BS160" s="102" t="e">
        <f>(VLOOKUP($B$3,'Coeff EC7'!$T$39:$X$59,3,0)*BP160+VLOOKUP($B$3,'Coeff EC7'!$T$65:$X$85,3,0)*Model0.1C!BQ160)/0.9</f>
        <v>#N/A</v>
      </c>
      <c r="BT160" s="102" t="e">
        <f t="shared" si="278"/>
        <v>#N/A</v>
      </c>
      <c r="BU160" s="102" t="e">
        <f t="shared" si="279"/>
        <v>#N/A</v>
      </c>
      <c r="BV160" s="414" t="e">
        <f>IF(BV159=0,0,IF(AND(BR160&gt;charge_ELS_quasi,BS160&gt;Charge_ELS_freq,BT160&gt;charge_ELU,BU160&gt;charge_ELA,$B160&gt;NDC!$H$22-0.1+MIN(3*$BV$12,1.5)),0,1))</f>
        <v>#N/A</v>
      </c>
      <c r="BW160" s="86" t="b">
        <f t="shared" si="247"/>
        <v>0</v>
      </c>
      <c r="BX160" s="86">
        <f t="shared" si="248"/>
        <v>0.5</v>
      </c>
      <c r="BY160" s="86">
        <f t="shared" si="249"/>
        <v>0.5</v>
      </c>
      <c r="BZ160" s="30" t="e">
        <f t="shared" ca="1" si="280"/>
        <v>#DIV/0!</v>
      </c>
      <c r="CA160" s="85" t="e">
        <f ca="1">IF(BG160&lt;=Hypothèses!$V$7,Hypothèses!$W$7,IF(BG160&lt;=Hypothèses!$V$8,Hypothèses!$W$8,IF(BG160&lt;=Hypothèses!$V$9,Hypothèses!$W$9,IF(BG160&lt;=Hypothèses!$V$10,Hypothèses!$W$10,IF(BG160&lt;=Hypothèses!$V$11,Hypothèses!$W$11,IF(BG160&lt;=Hypothèses!$V$12,Hypothèses!$W$12,IF(BG160&lt;=Hypothèses!$V$13,Hypothèses!$W$13,IF(BG160&lt;=Hypothèses!$V$14,Hypothèses!$W$14,IF(BG160&lt;=Hypothèses!$V$15,Hypothèses!$W$15,IF(BG160&lt;=Hypothèses!$V$16,Hypothèses!$W$16,IF(BG160&lt;=Hypothèses!$V$17,Hypothèses!$W$17,IF(BG160&lt;=Hypothèses!$V$18,Hypothèses!$W$18,""))))))))))))</f>
        <v>#DIV/0!</v>
      </c>
      <c r="CB160" s="87" t="e">
        <f t="shared" ca="1" si="319"/>
        <v>#DIV/0!</v>
      </c>
      <c r="CC160" s="88" t="e">
        <f ca="1">IF(BG160&lt;=Hypothèses!$V$7,Hypothèses!$X$7,IF(BG160&lt;=Hypothèses!$V$8,Hypothèses!$X$8,IF(BG160&lt;=Hypothèses!$V$9,Hypothèses!$X$9,IF(BG160&lt;=Hypothèses!$V$10,Hypothèses!$X$10,IF(BG160&lt;=Hypothèses!$V$11,Hypothèses!$X$11,IF(BG160&lt;=Hypothèses!$V$12,Hypothèses!$X$12,IF(BG160&lt;=Hypothèses!$V$13,Hypothèses!$X$13,IF(BG160&lt;=Hypothèses!$V$14,Hypothèses!$X$14,IF(BG160&lt;=Hypothèses!$V$15,Hypothèses!$X$15,IF(BG160&lt;=Hypothèses!$V$16,Hypothèses!$X$16,IF(BG160&lt;=Hypothèses!$U$17,Hypothèses!$W$17,IF(BG160&lt;=Hypothèses!$U$18,Hypothèses!$W$18,""))))))))))))</f>
        <v>#DIV/0!</v>
      </c>
      <c r="CD160" s="95" t="e">
        <f t="shared" ca="1" si="281"/>
        <v>#DIV/0!</v>
      </c>
      <c r="CE160" s="101" t="e">
        <f t="shared" si="326"/>
        <v>#N/A</v>
      </c>
      <c r="CF160" s="91" t="e">
        <f t="shared" si="250"/>
        <v>#N/A</v>
      </c>
      <c r="CG160" s="30" t="e">
        <f t="shared" si="306"/>
        <v>#N/A</v>
      </c>
      <c r="CH160" s="30" t="e">
        <f t="shared" si="307"/>
        <v>#N/A</v>
      </c>
      <c r="CI160" s="31" t="e">
        <f>IF(OR(Hypothèses!$B$4=17,Hypothèses!$B$4=18,Hypothèses!$B$4=19,Hypothèses!$B$4=20),
IF($D160="Pressio.",
IF(OR($E160=3,$E160=1,$E160=4),CH160,CG160),
IF($D160="Pénétro.",
IF(OR($E160=3,$E160=1,$E160=4),CH160,CG160))),IF($D160="Pressio.",
IF($E160=3,CH160,CG160),
IF($D160="Pénétro.",
IF($E160=4,CH160,CG160))))</f>
        <v>#N/A</v>
      </c>
      <c r="CJ160" s="31" t="e">
        <f>(IF(OR(Hypothèses!$B$4=17,Hypothèses!$B$4=18,Hypothèses!$B$4=19,Hypothèses!$B$4=20),
IF($D160="Pressio.",
IF(OR($E160=3,$E160=1,$E160=4),(PI()*CJ$12^2)/4*(CF160*$W160*1000)/($H160*$B$5),(PI()*CJ$12^2)/4*(CF160*$W160*1000)/($G160*$B$5)),
IF($D160="Pénétro.",
IF(OR($E160=4,$E160=1,$E160=5),(PI()*CJ$12^2)/4*(CF160*$W160*1000)/($H160*$B$5),(PI()*CJ$12^2)/4*(CF160*$W160*1000)/($G160*$B$5)))),
IF($D160="Pressio.",
IF($E160=3,(PI()*CJ$12^2)/4*(CF160*$W160*1000)/($H160*$B$5),(PI()*CJ$12^2)/4*(CF160*$W160*1000)/($G160*$B$5)),
IF($D160="Pénétro.",
IF($E160=4,(PI()*CJ$12^2)/4*(CF160*$W160*1000)/($H160*$B$5),(PI()*CJ$12^2)/4*(CF160*$W160*1000)/($G160*$B$5))))))/10</f>
        <v>#N/A</v>
      </c>
      <c r="CK160" s="102" t="e">
        <f>(VLOOKUP($B$3,'Coeff EC7'!$T$39:$X$59,2,0)*CI160+VLOOKUP($B$3,'Coeff EC7'!$T$65:$X$85,2,0)*Model0.1C!CJ160)/1.1</f>
        <v>#N/A</v>
      </c>
      <c r="CL160" s="102" t="e">
        <f>(VLOOKUP($B$3,'Coeff EC7'!$T$39:$X$59,3,0)*CI160+VLOOKUP($B$3,'Coeff EC7'!$T$65:$X$85,3,0)*Model0.1C!CJ160)/0.9</f>
        <v>#N/A</v>
      </c>
      <c r="CM160" s="102" t="e">
        <f t="shared" si="282"/>
        <v>#N/A</v>
      </c>
      <c r="CN160" s="102" t="e">
        <f t="shared" si="283"/>
        <v>#N/A</v>
      </c>
      <c r="CO160" s="414" t="e">
        <f>IF(CO159=0,0,IF(AND(CK160&gt;charge_ELS_quasi,CL160&gt;Charge_ELS_freq,CM160&gt;charge_ELU,CN160&gt;charge_ELA,$B160&gt;NDC!$H$22-0.1+MIN(3*$CO$12,1.5)),0,1))</f>
        <v>#N/A</v>
      </c>
      <c r="CP160" s="86" t="b">
        <f t="shared" si="251"/>
        <v>0</v>
      </c>
      <c r="CQ160" s="86">
        <f t="shared" si="252"/>
        <v>0.5</v>
      </c>
      <c r="CR160" s="86">
        <f t="shared" si="253"/>
        <v>0.5</v>
      </c>
      <c r="CS160" s="30" t="e">
        <f t="shared" ca="1" si="284"/>
        <v>#DIV/0!</v>
      </c>
      <c r="CT160" s="85" t="e">
        <f ca="1">IF(BZ160&lt;=Hypothèses!$V$7,Hypothèses!$W$7,IF(BZ160&lt;=Hypothèses!$V$8,Hypothèses!$W$8,IF(BZ160&lt;=Hypothèses!$V$9,Hypothèses!$W$9,IF(BZ160&lt;=Hypothèses!$V$10,Hypothèses!$W$10,IF(BZ160&lt;=Hypothèses!$V$11,Hypothèses!$W$11,IF(BZ160&lt;=Hypothèses!$V$12,Hypothèses!$W$12,IF(BZ160&lt;=Hypothèses!$V$13,Hypothèses!$W$13,IF(BZ160&lt;=Hypothèses!$V$14,Hypothèses!$W$14,IF(BZ160&lt;=Hypothèses!$V$15,Hypothèses!$W$15,IF(BZ160&lt;=Hypothèses!$V$16,Hypothèses!$W$16,IF(BZ160&lt;=Hypothèses!$V$17,Hypothèses!$W$17,IF(BZ160&lt;=Hypothèses!$V$18,Hypothèses!$W$18,""))))))))))))</f>
        <v>#DIV/0!</v>
      </c>
      <c r="CU160" s="87" t="e">
        <f t="shared" ca="1" si="320"/>
        <v>#DIV/0!</v>
      </c>
      <c r="CV160" s="88" t="e">
        <f ca="1">IF(BZ160&lt;=Hypothèses!$V$7,Hypothèses!$X$7,IF(BZ160&lt;=Hypothèses!$V$8,Hypothèses!$X$8,IF(BZ160&lt;=Hypothèses!$V$9,Hypothèses!$X$9,IF(BZ160&lt;=Hypothèses!$V$10,Hypothèses!$X$10,IF(BZ160&lt;=Hypothèses!$V$11,Hypothèses!$X$11,IF(BZ160&lt;=Hypothèses!$V$12,Hypothèses!$X$12,IF(BZ160&lt;=Hypothèses!$V$13,Hypothèses!$X$13,IF(BZ160&lt;=Hypothèses!$V$14,Hypothèses!$X$14,IF(BZ160&lt;=Hypothèses!$V$15,Hypothèses!$X$15,IF(BZ160&lt;=Hypothèses!$V$16,Hypothèses!$X$16,IF(BZ160&lt;=Hypothèses!$U$17,Hypothèses!$W$17,IF(BZ160&lt;=Hypothèses!$U$18,Hypothèses!$W$18,""))))))))))))</f>
        <v>#DIV/0!</v>
      </c>
      <c r="CW160" s="95" t="e">
        <f t="shared" ca="1" si="285"/>
        <v>#DIV/0!</v>
      </c>
      <c r="CX160" s="101" t="e">
        <f t="shared" si="327"/>
        <v>#N/A</v>
      </c>
      <c r="CY160" s="91" t="e">
        <f t="shared" si="254"/>
        <v>#N/A</v>
      </c>
      <c r="CZ160" s="30" t="e">
        <f t="shared" si="308"/>
        <v>#N/A</v>
      </c>
      <c r="DA160" s="30" t="e">
        <f t="shared" si="309"/>
        <v>#N/A</v>
      </c>
      <c r="DB160" s="31" t="e">
        <f>IF(OR(Hypothèses!$B$4=17,Hypothèses!$B$4=18,Hypothèses!$B$4=19,Hypothèses!$B$4=20),
IF($D160="Pressio.",
IF(OR($E160=3,$E160=1,$E160=4),DA160,CZ160),
IF($D160="Pénétro.",
IF(OR($E160=3,$E160=1,$E160=4),DA160,CZ160))),IF($D160="Pressio.",
IF($E160=3,DA160,CZ160),
IF($D160="Pénétro.",
IF($E160=4,DA160,CZ160))))</f>
        <v>#N/A</v>
      </c>
      <c r="DC160" s="31" t="e">
        <f>(IF(OR(Hypothèses!$B$4=17,Hypothèses!$B$4=18,Hypothèses!$B$4=19,Hypothèses!$B$4=20),
IF($D160="Pressio.",
IF(OR($E160=3,$E160=1,$E160=4),(PI()*DC$12^2)/4*(CY160*$W160*1000)/($H160*$B$5),(PI()*DC$12^2)/4*(CY160*$W160*1000)/($G160*$B$5)),
IF($D160="Pénétro.",
IF(OR($E160=4,$E160=1,$E160=5),(PI()*DC$12^2)/4*(CY160*$W160*1000)/($H160*$B$5),(PI()*DC$12^2)/4*(CY160*$W160*1000)/($G160*$B$5)))),
IF($D160="Pressio.",
IF($E160=3,(PI()*DC$12^2)/4*(CY160*$W160*1000)/($H160*$B$5),(PI()*DC$12^2)/4*(CY160*$W160*1000)/($G160*$B$5)),
IF($D160="Pénétro.",
IF($E160=4,(PI()*DC$12^2)/4*(CY160*$W160*1000)/($H160*$B$5),(PI()*DC$12^2)/4*(CY160*$W160*1000)/($G160*$B$5))))))/10</f>
        <v>#N/A</v>
      </c>
      <c r="DD160" s="102" t="e">
        <f>(VLOOKUP($B$3,'Coeff EC7'!$T$39:$X$59,2,0)*DB160+VLOOKUP($B$3,'Coeff EC7'!$T$65:$X$85,2,0)*Model0.1C!DC160)/1.1</f>
        <v>#N/A</v>
      </c>
      <c r="DE160" s="102" t="e">
        <f>(VLOOKUP($B$3,'Coeff EC7'!$T$39:$X$59,3,0)*DB160+VLOOKUP($B$3,'Coeff EC7'!$T$65:$X$85,3,0)*Model0.1C!DC160)/0.9</f>
        <v>#N/A</v>
      </c>
      <c r="DF160" s="102" t="e">
        <f t="shared" si="286"/>
        <v>#N/A</v>
      </c>
      <c r="DG160" s="102" t="e">
        <f t="shared" si="287"/>
        <v>#N/A</v>
      </c>
      <c r="DH160" s="414" t="e">
        <f>IF(DH159=0,0,IF(AND(DD160&gt;charge_ELS_quasi,DE160&gt;Charge_ELS_freq,DF160&gt;charge_ELU,DG160&gt;charge_ELA,$B160&gt;NDC!$H$22-0.1+MIN(3*$DH$12,1.5)),0,1))</f>
        <v>#N/A</v>
      </c>
      <c r="DI160" s="86" t="b">
        <f t="shared" si="255"/>
        <v>0</v>
      </c>
      <c r="DJ160" s="86">
        <f t="shared" si="256"/>
        <v>0.5</v>
      </c>
      <c r="DK160" s="86">
        <f t="shared" si="257"/>
        <v>0.5</v>
      </c>
      <c r="DL160" s="30" t="e">
        <f t="shared" ca="1" si="288"/>
        <v>#DIV/0!</v>
      </c>
      <c r="DM160" s="85" t="e">
        <f ca="1">IF(CS160&lt;=Hypothèses!$V$7,Hypothèses!$W$7,IF(CS160&lt;=Hypothèses!$V$8,Hypothèses!$W$8,IF(CS160&lt;=Hypothèses!$V$9,Hypothèses!$W$9,IF(CS160&lt;=Hypothèses!$V$10,Hypothèses!$W$10,IF(CS160&lt;=Hypothèses!$V$11,Hypothèses!$W$11,IF(CS160&lt;=Hypothèses!$V$12,Hypothèses!$W$12,IF(CS160&lt;=Hypothèses!$V$13,Hypothèses!$W$13,IF(CS160&lt;=Hypothèses!$V$14,Hypothèses!$W$14,IF(CS160&lt;=Hypothèses!$V$15,Hypothèses!$W$15,IF(CS160&lt;=Hypothèses!$V$16,Hypothèses!$W$16,IF(CS160&lt;=Hypothèses!$V$17,Hypothèses!$W$17,IF(CS160&lt;=Hypothèses!$V$18,Hypothèses!$W$18,""))))))))))))</f>
        <v>#DIV/0!</v>
      </c>
      <c r="DN160" s="87" t="e">
        <f t="shared" ca="1" si="321"/>
        <v>#DIV/0!</v>
      </c>
      <c r="DO160" s="88" t="e">
        <f ca="1">IF(CS160&lt;=Hypothèses!$V$7,Hypothèses!$X$7,IF(CS160&lt;=Hypothèses!$V$8,Hypothèses!$X$8,IF(CS160&lt;=Hypothèses!$V$9,Hypothèses!$X$9,IF(CS160&lt;=Hypothèses!$V$10,Hypothèses!$X$10,IF(CS160&lt;=Hypothèses!$V$11,Hypothèses!$X$11,IF(CS160&lt;=Hypothèses!$V$12,Hypothèses!$X$12,IF(CS160&lt;=Hypothèses!$V$13,Hypothèses!$X$13,IF(CS160&lt;=Hypothèses!$V$14,Hypothèses!$X$14,IF(CS160&lt;=Hypothèses!$V$15,Hypothèses!$X$15,IF(CS160&lt;=Hypothèses!$V$16,Hypothèses!$X$16,IF(CS160&lt;=Hypothèses!$U$17,Hypothèses!$W$17,IF(CS160&lt;=Hypothèses!$U$18,Hypothèses!$W$18,""))))))))))))</f>
        <v>#DIV/0!</v>
      </c>
      <c r="DP160" s="95" t="e">
        <f t="shared" ca="1" si="289"/>
        <v>#DIV/0!</v>
      </c>
      <c r="DQ160" s="101" t="e">
        <f t="shared" si="328"/>
        <v>#N/A</v>
      </c>
      <c r="DR160" s="91" t="e">
        <f t="shared" si="258"/>
        <v>#N/A</v>
      </c>
      <c r="DS160" s="30" t="e">
        <f t="shared" si="310"/>
        <v>#N/A</v>
      </c>
      <c r="DT160" s="30" t="e">
        <f t="shared" si="311"/>
        <v>#N/A</v>
      </c>
      <c r="DU160" s="31" t="e">
        <f>IF(OR(Hypothèses!$B$4=17,Hypothèses!$B$4=18,Hypothèses!$B$4=19,Hypothèses!$B$4=20),
IF($D160="Pressio.",
IF(OR($E160=3,$E160=1,$E160=4),DT160,DS160),
IF($D160="Pénétro.",
IF(OR($E160=3,$E160=1,$E160=4),DT160,DS160))),IF($D160="Pressio.",
IF($E160=3,DT160,DS160),
IF($D160="Pénétro.",
IF($E160=4,DT160,DS160))))</f>
        <v>#N/A</v>
      </c>
      <c r="DV160" s="31" t="e">
        <f>(IF(OR(Hypothèses!$B$4=17,Hypothèses!$B$4=18,Hypothèses!$B$4=19,Hypothèses!$B$4=20),
IF($D160="Pressio.",
IF(OR($E160=3,$E160=1,$E160=4),(PI()*DV$12^2)/4*(DR160*$W160*1000)/($H160*$B$5),(PI()*DV$12^2)/4*(DR160*$W160*1000)/($G160*$B$5)),
IF($D160="Pénétro.",
IF(OR($E160=4,$E160=1,$E160=5),(PI()*DV$12^2)/4*(DR160*$W160*1000)/($H160*$B$5),(PI()*DV$12^2)/4*(DR160*$W160*1000)/($G160*$B$5)))),
IF($D160="Pressio.",
IF($E160=3,(PI()*DV$12^2)/4*(DR160*$W160*1000)/($H160*$B$5),(PI()*DV$12^2)/4*(DR160*$W160*1000)/($G160*$B$5)),
IF($D160="Pénétro.",
IF($E160=4,(PI()*DV$12^2)/4*(DR160*$W160*1000)/($H160*$B$5),(PI()*DV$12^2)/4*(DR160*$W160*1000)/($G160*$B$5))))))/10</f>
        <v>#N/A</v>
      </c>
      <c r="DW160" s="102" t="e">
        <f>(VLOOKUP($B$3,'Coeff EC7'!$T$39:$X$59,2,0)*DU160+VLOOKUP($B$3,'Coeff EC7'!$T$65:$X$85,2,0)*Model0.1C!DV160)/1.1</f>
        <v>#N/A</v>
      </c>
      <c r="DX160" s="102" t="e">
        <f>(VLOOKUP($B$3,'Coeff EC7'!$T$39:$X$59,3,0)*DU160+VLOOKUP($B$3,'Coeff EC7'!$T$65:$X$85,3,0)*Model0.1C!DV160)/0.9</f>
        <v>#N/A</v>
      </c>
      <c r="DY160" s="102" t="e">
        <f t="shared" si="290"/>
        <v>#N/A</v>
      </c>
      <c r="DZ160" s="102" t="e">
        <f t="shared" si="291"/>
        <v>#N/A</v>
      </c>
      <c r="EA160" s="414" t="e">
        <f>IF(EA159=0,0,IF(AND(DW160&gt;charge_ELS_quasi,DX160&gt;Charge_ELS_freq,DY160&gt;charge_ELU,DZ160&gt;charge_ELA,$B160&gt;NDC!$H$22-0.1+MIN(3*$EA$12,1.5)),0,1))</f>
        <v>#N/A</v>
      </c>
      <c r="EB160" s="86" t="b">
        <f t="shared" si="259"/>
        <v>0</v>
      </c>
      <c r="EC160" s="418">
        <f t="shared" si="260"/>
        <v>0.51</v>
      </c>
      <c r="ED160" s="86">
        <f t="shared" si="261"/>
        <v>0.51</v>
      </c>
      <c r="EE160" s="30" t="e">
        <f t="shared" ca="1" si="292"/>
        <v>#DIV/0!</v>
      </c>
      <c r="EF160" s="85" t="e">
        <f ca="1">IF(DL160&lt;=Hypothèses!$V$7,Hypothèses!$W$7,IF(DL160&lt;=Hypothèses!$V$8,Hypothèses!$W$8,IF(DL160&lt;=Hypothèses!$V$9,Hypothèses!$W$9,IF(DL160&lt;=Hypothèses!$V$10,Hypothèses!$W$10,IF(DL160&lt;=Hypothèses!$V$11,Hypothèses!$W$11,IF(DL160&lt;=Hypothèses!$V$12,Hypothèses!$W$12,IF(DL160&lt;=Hypothèses!$V$13,Hypothèses!$W$13,IF(DL160&lt;=Hypothèses!$V$14,Hypothèses!$W$14,IF(DL160&lt;=Hypothèses!$V$15,Hypothèses!$W$15,IF(DL160&lt;=Hypothèses!$V$16,Hypothèses!$W$16,IF(DL160&lt;=Hypothèses!$V$17,Hypothèses!$W$17,IF(DL160&lt;=Hypothèses!$V$18,Hypothèses!$W$18,""))))))))))))</f>
        <v>#DIV/0!</v>
      </c>
      <c r="EG160" s="87" t="e">
        <f t="shared" ca="1" si="322"/>
        <v>#DIV/0!</v>
      </c>
      <c r="EH160" s="88" t="e">
        <f ca="1">IF(DL160&lt;=Hypothèses!$V$7,Hypothèses!$X$7,IF(DL160&lt;=Hypothèses!$V$8,Hypothèses!$X$8,IF(DL160&lt;=Hypothèses!$V$9,Hypothèses!$X$9,IF(DL160&lt;=Hypothèses!$V$10,Hypothèses!$X$10,IF(DL160&lt;=Hypothèses!$V$11,Hypothèses!$X$11,IF(DL160&lt;=Hypothèses!$V$12,Hypothèses!$X$12,IF(DL160&lt;=Hypothèses!$V$13,Hypothèses!$X$13,IF(DL160&lt;=Hypothèses!$V$14,Hypothèses!$X$14,IF(DL160&lt;=Hypothèses!$V$15,Hypothèses!$X$15,IF(DL160&lt;=Hypothèses!$V$16,Hypothèses!$X$16,IF(DL160&lt;=Hypothèses!$U$17,Hypothèses!$W$17,IF(DL160&lt;=Hypothèses!$U$18,Hypothèses!$W$18,""))))))))))))</f>
        <v>#DIV/0!</v>
      </c>
      <c r="EI160" s="95" t="e">
        <f t="shared" ca="1" si="293"/>
        <v>#DIV/0!</v>
      </c>
      <c r="EJ160" s="101" t="e">
        <f t="shared" si="329"/>
        <v>#N/A</v>
      </c>
      <c r="EK160" s="91" t="e">
        <f t="shared" si="262"/>
        <v>#N/A</v>
      </c>
      <c r="EL160" s="30" t="e">
        <f t="shared" si="312"/>
        <v>#N/A</v>
      </c>
      <c r="EM160" s="30" t="e">
        <f t="shared" si="313"/>
        <v>#N/A</v>
      </c>
      <c r="EN160" s="31" t="e">
        <f>IF(OR(Hypothèses!$B$4=17,Hypothèses!$B$4=18,Hypothèses!$B$4=19,Hypothèses!$B$4=20),
IF($D160="Pressio.",
IF(OR($E160=3,$E160=1,$E160=4),EM160,EL160),
IF($D160="Pénétro.",
IF(OR($E160=3,$E160=1,$E160=4),EM160,EL160))),IF($D160="Pressio.",
IF($E160=3,EM160,EL160),
IF($D160="Pénétro.",
IF($E160=4,EM160,EL160))))</f>
        <v>#N/A</v>
      </c>
      <c r="EO160" s="31" t="e">
        <f>(IF(OR(Hypothèses!$B$4=17,Hypothèses!$B$4=18,Hypothèses!$B$4=19,Hypothèses!$B$4=20),
IF($D160="Pressio.",
IF(OR($E160=3,$E160=1,$E160=4),(PI()*EO$12^2)/4*(EK160*$W160*1000)/($H160*$B$5),(PI()*EO$12^2)/4*(EK160*$W160*1000)/($G160*$B$5)),
IF($D160="Pénétro.",
IF(OR($E160=4,$E160=1,$E160=5),(PI()*EO$12^2)/4*(EK160*$W160*1000)/($H160*$B$5),(PI()*EO$12^2)/4*(EK160*$W160*1000)/($G160*$B$5)))),
IF($D160="Pressio.",
IF($E160=3,(PI()*EO$12^2)/4*(EK160*$W160*1000)/($H160*$B$5),(PI()*EO$12^2)/4*(EK160*$W160*1000)/($G160*$B$5)),
IF($D160="Pénétro.",
IF($E160=4,(PI()*EO$12^2)/4*(EK160*$W160*1000)/($H160*$B$5),(PI()*EO$12^2)/4*(EK160*$W160*1000)/($G160*$B$5))))))/10</f>
        <v>#N/A</v>
      </c>
      <c r="EP160" s="102" t="e">
        <f>(VLOOKUP($B$3,'Coeff EC7'!$T$39:$X$59,2,0)*EN160+VLOOKUP($B$3,'Coeff EC7'!$T$65:$X$85,2,0)*Model0.1C!EO160)/1.1</f>
        <v>#N/A</v>
      </c>
      <c r="EQ160" s="102" t="e">
        <f>(VLOOKUP($B$3,'Coeff EC7'!$T$39:$X$59,3,0)*EN160+VLOOKUP($B$3,'Coeff EC7'!$T$65:$X$85,3,0)*Model0.1C!EO160)/0.9</f>
        <v>#N/A</v>
      </c>
      <c r="ER160" s="102" t="e">
        <f t="shared" si="294"/>
        <v>#N/A</v>
      </c>
      <c r="ES160" s="102" t="e">
        <f t="shared" si="295"/>
        <v>#N/A</v>
      </c>
      <c r="ET160" s="414" t="e">
        <f>IF(ET159=0,0,IF(AND(EP160&gt;charge_ELS_quasi,EQ160&gt;Charge_ELS_freq,ER160&gt;charge_ELU,ES160&gt;charge_ELA,$B160&gt;NDC!$H$22-0.1+MIN(3*$ET$12,1.5)),0,1))</f>
        <v>#N/A</v>
      </c>
      <c r="EU160" s="86" t="b">
        <f t="shared" si="263"/>
        <v>0</v>
      </c>
      <c r="EV160" s="86">
        <f t="shared" si="264"/>
        <v>0.61</v>
      </c>
      <c r="EW160" s="86">
        <f t="shared" si="265"/>
        <v>0.61</v>
      </c>
      <c r="EX160" s="30" t="e">
        <f t="shared" ca="1" si="296"/>
        <v>#DIV/0!</v>
      </c>
      <c r="EY160" s="85" t="e">
        <f ca="1">IF(EE160&lt;=Hypothèses!$V$7,Hypothèses!$W$7,IF(EE160&lt;=Hypothèses!$V$8,Hypothèses!$W$8,IF(EE160&lt;=Hypothèses!$V$9,Hypothèses!$W$9,IF(EE160&lt;=Hypothèses!$V$10,Hypothèses!$W$10,IF(EE160&lt;=Hypothèses!$V$11,Hypothèses!$W$11,IF(EE160&lt;=Hypothèses!$V$12,Hypothèses!$W$12,IF(EE160&lt;=Hypothèses!$V$13,Hypothèses!$W$13,IF(EE160&lt;=Hypothèses!$V$14,Hypothèses!$W$14,IF(EE160&lt;=Hypothèses!$V$15,Hypothèses!$W$15,IF(EE160&lt;=Hypothèses!$V$16,Hypothèses!$W$16,IF(EE160&lt;=Hypothèses!$V$17,Hypothèses!$W$17,IF(EE160&lt;=Hypothèses!$V$18,Hypothèses!$W$18,""))))))))))))</f>
        <v>#DIV/0!</v>
      </c>
      <c r="EZ160" s="87" t="e">
        <f t="shared" ca="1" si="323"/>
        <v>#DIV/0!</v>
      </c>
      <c r="FA160" s="88" t="e">
        <f ca="1">IF(EE160&lt;=Hypothèses!$V$7,Hypothèses!$X$7,IF(EE160&lt;=Hypothèses!$V$8,Hypothèses!$X$8,IF(EE160&lt;=Hypothèses!$V$9,Hypothèses!$X$9,IF(EE160&lt;=Hypothèses!$V$10,Hypothèses!$X$10,IF(EE160&lt;=Hypothèses!$V$11,Hypothèses!$X$11,IF(EE160&lt;=Hypothèses!$V$12,Hypothèses!$X$12,IF(EE160&lt;=Hypothèses!$V$13,Hypothèses!$X$13,IF(EE160&lt;=Hypothèses!$V$14,Hypothèses!$X$14,IF(EE160&lt;=Hypothèses!$V$15,Hypothèses!$X$15,IF(EE160&lt;=Hypothèses!$V$16,Hypothèses!$X$16,IF(EE160&lt;=Hypothèses!$U$17,Hypothèses!$W$17,IF(EE160&lt;=Hypothèses!$U$18,Hypothèses!$W$18,""))))))))))))</f>
        <v>#DIV/0!</v>
      </c>
      <c r="FB160" s="95" t="e">
        <f t="shared" ca="1" si="297"/>
        <v>#DIV/0!</v>
      </c>
      <c r="FC160" s="101" t="e">
        <f t="shared" si="330"/>
        <v>#N/A</v>
      </c>
      <c r="FD160" s="91" t="e">
        <f t="shared" si="266"/>
        <v>#N/A</v>
      </c>
      <c r="FE160" s="30" t="e">
        <f t="shared" si="314"/>
        <v>#N/A</v>
      </c>
      <c r="FF160" s="30" t="e">
        <f t="shared" si="315"/>
        <v>#N/A</v>
      </c>
      <c r="FG160" s="31" t="e">
        <f>IF(OR(Hypothèses!$B$4=17,Hypothèses!$B$4=18,Hypothèses!$B$4=19,Hypothèses!$B$4=20),
IF($D160="Pressio.",
IF(OR($E160=3,$E160=1,$E160=4),FF160,FE160),
IF($D160="Pénétro.",
IF(OR($E160=3,$E160=1,$E160=4),FF160,FE160))),IF($D160="Pressio.",
IF($E160=3,FF160,FE160),
IF($D160="Pénétro.",
IF($E160=4,FF160,FE160))))</f>
        <v>#N/A</v>
      </c>
      <c r="FH160" s="31" t="e">
        <f>(IF(OR(Hypothèses!$B$4=17,Hypothèses!$B$4=18,Hypothèses!$B$4=19,Hypothèses!$B$4=20),
IF($D160="Pressio.",
IF(OR($E160=3,$E160=1,$E160=4),(PI()*FH$12^2)/4*(FD160*$W160*1000)/($H160*$B$5),(PI()*FH$12^2)/4*(FD160*$W160*1000)/($G160*$B$5)),
IF($D160="Pénétro.",
IF(OR($E160=4,$E160=1,$E160=5),(PI()*FH$12^2)/4*(FD160*$W160*1000)/($H160*$B$5),(PI()*FH$12^2)/4*(FD160*$W160*1000)/($G160*$B$5)))),
IF($D160="Pressio.",
IF($E160=3,(PI()*FH$12^2)/4*(FD160*$W160*1000)/($H160*$B$5),(PI()*FH$12^2)/4*(FD160*$W160*1000)/($G160*$B$5)),
IF($D160="Pénétro.",
IF($E160=4,(PI()*FH$12^2)/4*(FD160*$W160*1000)/($H160*$B$5),(PI()*FH$12^2)/4*(FD160*$W160*1000)/($G160*$B$5))))))/10</f>
        <v>#N/A</v>
      </c>
      <c r="FI160" s="102" t="e">
        <f>(VLOOKUP($B$3,'Coeff EC7'!$T$39:$X$59,2,0)*FG160+VLOOKUP($B$3,'Coeff EC7'!$T$65:$X$85,2,0)*Model0.1C!FH160)/1.1</f>
        <v>#N/A</v>
      </c>
      <c r="FJ160" s="102" t="e">
        <f>(VLOOKUP($B$3,'Coeff EC7'!$T$39:$X$59,3,0)*FG160+VLOOKUP($B$3,'Coeff EC7'!$T$65:$X$85,3,0)*Model0.1C!FH160)/0.9</f>
        <v>#N/A</v>
      </c>
      <c r="FK160" s="102" t="e">
        <f t="shared" si="298"/>
        <v>#N/A</v>
      </c>
      <c r="FL160" s="102" t="e">
        <f t="shared" si="299"/>
        <v>#N/A</v>
      </c>
      <c r="FM160" s="414" t="e">
        <f>IF(FM159=0,0,IF(AND(FI160&gt;charge_ELS_quasi,FJ160&gt;Charge_ELS_freq,FK160&gt;charge_ELU,FL160&gt;charge_ELA,$B160&gt;NDC!$H$22-0.1+MIN(3*$FM$12,1.5)),0,1))</f>
        <v>#N/A</v>
      </c>
    </row>
    <row r="161" spans="1:169">
      <c r="A161" s="96">
        <f t="shared" si="267"/>
        <v>85.200000000000841</v>
      </c>
      <c r="B161" s="97">
        <v>14.8</v>
      </c>
      <c r="C161" s="81">
        <f>IF(B161&lt;=Hypothèses!$C$7,Hypothèses!$A$7,IF(B161&lt;=Hypothèses!$C$8,Hypothèses!$A$8,IF(B161&lt;=Hypothèses!$C$9,Hypothèses!$A$9,IF(B161&lt;=Hypothèses!$C$10,Hypothèses!$A$10,IF(B161&lt;=Hypothèses!$C$11,Hypothèses!$A$11,IF(B161&lt;=Hypothèses!$C$12,Hypothèses!$A$12,IF(B161&lt;=Hypothèses!$C$13,Hypothèses!$A$13,IF(B161&lt;=Hypothèses!$C$14,Hypothèses!$A$14,IF(B161&lt;=Hypothèses!$C$15,Hypothèses!$A$15,IF(B161&lt;=Hypothèses!$C$16,Hypothèses!$A$16,IF(B161&lt;=Hypothèses!$C$17,Hypothèses!$A$17,IF(B161&lt;=Hypothèses!$C$18,Hypothèses!$A$18,C160))))))))))))</f>
        <v>11</v>
      </c>
      <c r="D161" s="82" t="str">
        <f>IF(B161&lt;=Hypothèses!$C$7,Hypothèses!$R$7,IF(B161&lt;=Hypothèses!$C$8,Hypothèses!$R$8,IF(B161&lt;=Hypothèses!$C$9,Hypothèses!$R$9,IF(B161&lt;=Hypothèses!$C$10,Hypothèses!$R$10,IF(B161&lt;=Hypothèses!$C$11,Hypothèses!$R$11,IF(B161&lt;=Hypothèses!$C$12,Hypothèses!$R$12,IF(B161&lt;=Hypothèses!$C$13,Hypothèses!$R$13,IF(B161&lt;=Hypothèses!$C$14,Hypothèses!$R$14,IF(B161&lt;=Hypothèses!$C$15,Hypothèses!$R$15,IF(B161&lt;=Hypothèses!$C$16,Hypothèses!$R$16,IF(B161&lt;=Hypothèses!$C$17,Hypothèses!$R$17,IF(B161&lt;=Hypothèses!$C$18,Hypothèses!$R$18,D160))))))))))))</f>
        <v>Pressio.</v>
      </c>
      <c r="E161" s="82" t="e">
        <f>IF(B161&lt;=Hypothèses!$C$7,Hypothèses!$G$7,IF(B161&lt;=Hypothèses!$C$8,Hypothèses!$G$8,IF(B161&lt;=Hypothèses!$C$9,Hypothèses!$G$9,IF(B161&lt;=Hypothèses!$C$10,Hypothèses!$G$10,IF(B161&lt;=Hypothèses!$C$11,Hypothèses!$G$11,IF(B161&lt;=Hypothèses!$C$12,Hypothèses!$G$12,IF(B161&lt;=Hypothèses!$C$13,Hypothèses!$G$13,IF(B161&lt;=Hypothèses!$C$14,Hypothèses!$G$14,IF(B161&lt;=Hypothèses!$C$15,Hypothèses!$G$15,IF(B161&lt;=Hypothèses!$C$16,Hypothèses!$G$16,IF(B161&lt;=Hypothèses!$C$17,Hypothèses!$G$17,IF(B161&lt;=Hypothèses!$C$18,Hypothèses!$G$18,E160))))))))))))</f>
        <v>#N/A</v>
      </c>
      <c r="F161" s="82" t="str">
        <f>IF(B161&lt;=Hypothèses!$C$7,Hypothèses!$F$7,IF(B161&lt;=Hypothèses!$C$8,Hypothèses!$F$8,IF(B161&lt;=Hypothèses!$C$9,Hypothèses!$F$9,IF(B161&lt;=Hypothèses!$C$10,Hypothèses!$F$10,IF(B161&lt;=Hypothèses!$C$11,Hypothèses!$F$11,IF(B161&lt;=Hypothèses!$C$12,Hypothèses!$F$12,IF(B161&lt;=Hypothèses!$C$13,Hypothèses!$F$13,IF(B161&lt;=Hypothèses!$C$14,Hypothèses!$F$14,IF(B161&lt;=Hypothèses!$C$15,Hypothèses!$F$15,IF(B161&lt;=Hypothèses!$C$16,Hypothèses!$F$16,IF(B161&lt;=Hypothèses!$C$17,Hypothèses!$F$17,IF(B161&lt;=Hypothèses!$C$18,Hypothèses!$F$18,F160))))))))))))</f>
        <v/>
      </c>
      <c r="G161" s="91">
        <f t="array" ref="G161">INDEX('Coeff EC7'!$U$7:$X$27,
MATCH(Model0.1C!$B$3,'Coeff EC7'!$T$7:$T$27,0),
MATCH(Model0.1C!$D161&amp;Model0.1C!$B$4,
'Coeff EC7'!$U$6:$X$6&amp;
'Coeff EC7'!$U$5:$X$5,0))</f>
        <v>1.1499999999999999</v>
      </c>
      <c r="H161" s="91">
        <f t="array" ref="H161">INDEX('Coeff EC7'!$Y$7:$AB$27,
MATCH(Model0.1C!$B$3,'Coeff EC7'!$T$7:$T$27,0),
MATCH(Model0.1C!$D161&amp;Model0.1C!$B$4,
'Coeff EC7'!$Y$6:$AB$6&amp;
'Coeff EC7'!$Y$5:$AB$5,0))</f>
        <v>1.4</v>
      </c>
      <c r="I161" s="83" t="e">
        <f>IF(B161&lt;=Hypothèses!$C$7,Hypothèses!$P$7,IF(B161&lt;=Hypothèses!$C$8,Hypothèses!$P$8,IF(B161&lt;=Hypothèses!$C$9,Hypothèses!$P$9,IF(B161&lt;=Hypothèses!$C$10,Hypothèses!$P$10,IF(B161&lt;=Hypothèses!$C$11,Hypothèses!$P$11,IF(B161&lt;=Hypothèses!$C$12,Hypothèses!$P$12,IF(B161&lt;=Hypothèses!$C$13,Hypothèses!$P$13,IF(B161&lt;=Hypothèses!$C$14,Hypothèses!$P$14,IF(B161&lt;=Hypothèses!$C$15,Hypothèses!$P$15,IF(B161&lt;=Hypothèses!$C$16,Hypothèses!$P$16,IF(B161&lt;=Hypothèses!$C$17,Hypothèses!$P$17,IF(B161&lt;=Hypothèses!$C$18,Hypothèses!$P$18,I160))))))))))))</f>
        <v>#N/A</v>
      </c>
      <c r="J161" s="91" t="e">
        <f t="array" ref="J161">INDEX('Coeff EC7'!$D$33:$Q$33,1,MATCH(D161&amp;E161,'Coeff EC7'!$D$31:$Q$31&amp;'Coeff EC7'!$D$32:$Q$32,0))</f>
        <v>#N/A</v>
      </c>
      <c r="K161" s="91" t="e">
        <f t="array" ref="K161">INDEX('Coeff EC7'!$D$34:$Q$34,1,MATCH(D161&amp;E161,'Coeff EC7'!$D$31:$Q$31&amp;'Coeff EC7'!$D$32:$Q$32,0))</f>
        <v>#N/A</v>
      </c>
      <c r="L161" s="91" t="e">
        <f t="array" ref="L161">INDEX('Coeff EC7'!$D$35:$Q$35,1,MATCH(D161&amp;E161,'Coeff EC7'!$D$31:$Q$31&amp;'Coeff EC7'!$D$32:$Q$32,0))</f>
        <v>#N/A</v>
      </c>
      <c r="M161" s="98" t="e">
        <f t="shared" si="231"/>
        <v>#N/A</v>
      </c>
      <c r="N161" s="99" t="e">
        <f t="array" ref="N161">INDEX('Coeff EC7'!$D$7:$Q$27,MATCH($B$3,'Coeff EC7'!$C$7:$C$27,0),MATCH(D161&amp;E161,'Coeff EC7'!$D$5:$Q$5&amp;'Coeff EC7'!$D$6:$Q$6,0))</f>
        <v>#N/A</v>
      </c>
      <c r="O161" s="99" t="e">
        <f t="array" ref="O161">INDEX('Coeff EC7'!$D$41:$Q$61,MATCH($B$3,'Coeff EC7'!$C$41:$C$61,0),MATCH(D161&amp;E161,'Coeff EC7'!$D$39:$Q$39&amp;'Coeff EC7'!$D$40:$Q$40,0))</f>
        <v>#N/A</v>
      </c>
      <c r="P161" s="30" t="e">
        <f t="shared" si="268"/>
        <v>#N/A</v>
      </c>
      <c r="Q161" s="100" t="e">
        <f t="shared" si="233"/>
        <v>#N/A</v>
      </c>
      <c r="R161" s="86" t="b">
        <f t="shared" si="234"/>
        <v>0</v>
      </c>
      <c r="S161" s="86">
        <f t="shared" si="232"/>
        <v>0.5</v>
      </c>
      <c r="T161" s="86">
        <f t="shared" si="235"/>
        <v>0.5</v>
      </c>
      <c r="U161" s="30" t="e">
        <f t="shared" ca="1" si="269"/>
        <v>#DIV/0!</v>
      </c>
      <c r="V161" s="85" t="str">
        <f>IF(B161&lt;=Hypothèses!$V$7,Hypothèses!$W$7,IF(B161&lt;=Hypothèses!$V$8,Hypothèses!$W$8,IF(B161&lt;=Hypothèses!$V$9,Hypothèses!$W$9,IF(B161&lt;=Hypothèses!$V$10,Hypothèses!$W$10,IF(B161&lt;=Hypothèses!$V$11,Hypothèses!$W$11,IF(B161&lt;=Hypothèses!$V$12,Hypothèses!$W$12,IF(B161&lt;=Hypothèses!$V$13,Hypothèses!$W$13,IF(B161&lt;=Hypothèses!$V$14,Hypothèses!$W$14,IF(B161&lt;=Hypothèses!$V$15,Hypothèses!$W$15,IF(B161&lt;=Hypothèses!$V$16,Hypothèses!$W$16,IF(B161&lt;=Hypothèses!$V$17,Hypothèses!$W$17,IF(B161&lt;=Hypothèses!$V$18,Hypothèses!$W$18,""))))))))))))</f>
        <v/>
      </c>
      <c r="W161" s="87" t="e">
        <f t="shared" ca="1" si="316"/>
        <v>#DIV/0!</v>
      </c>
      <c r="X161" s="88" t="str">
        <f>IF(B161&lt;=Hypothèses!$V$7,Hypothèses!$X$7,IF(B161&lt;=Hypothèses!$V$8,Hypothèses!$X$8,IF(B161&lt;=Hypothèses!$V$9,Hypothèses!$X$9,IF(B161&lt;=Hypothèses!$V$10,Hypothèses!$X$10,IF(B161&lt;=Hypothèses!$V$11,Hypothèses!$X$11,IF(B161&lt;=Hypothèses!$V$12,Hypothèses!$X$12,IF(B161&lt;=Hypothèses!$V$13,Hypothèses!$X$13,IF(B161&lt;=Hypothèses!$V$14,Hypothèses!$X$14,IF(B161&lt;=Hypothèses!$V$15,Hypothèses!$X$15,IF(B161&lt;=Hypothèses!$V$16,Hypothèses!$X$16,IF(B161&lt;=Hypothèses!$U$17,Hypothèses!$W$17,IF(B161&lt;=Hypothèses!$U$18,Hypothèses!$W$18,""))))))))))))</f>
        <v/>
      </c>
      <c r="Y161" s="95" t="e">
        <f t="shared" ca="1" si="236"/>
        <v>#DIV/0!</v>
      </c>
      <c r="Z161" s="101" t="e">
        <f t="shared" si="237"/>
        <v>#N/A</v>
      </c>
      <c r="AA161" s="91" t="e">
        <f t="shared" si="238"/>
        <v>#N/A</v>
      </c>
      <c r="AB161" s="30" t="e">
        <f t="shared" si="300"/>
        <v>#N/A</v>
      </c>
      <c r="AC161" s="30" t="e">
        <f t="shared" si="301"/>
        <v>#N/A</v>
      </c>
      <c r="AD161" s="31" t="e">
        <f>IF(OR(Hypothèses!$B$4=17,Hypothèses!$B$4=18,Hypothèses!$B$4=19,Hypothèses!$B$4=20),
IF($D161="Pressio.",
IF(OR($E161=3,$E161=1,$E161=4),AC161,AB161),
IF($D161="Pénétro.",
IF(OR($E161=3,$E161=1,$E161=4),AC161,AB161))),IF($D161="Pressio.",
IF($E161=3,AC161,AB161),
IF($D161="Pénétro.",
IF($E161=4,AC161,AB161))))</f>
        <v>#N/A</v>
      </c>
      <c r="AE161" s="31" t="e">
        <f>(IF(OR(Hypothèses!$B$4=17,Hypothèses!$B$4=18,Hypothèses!$B$4=19,Hypothèses!$B$4=20),
IF($D161="Pressio.",
IF(OR($E161=3,$E161=1,$E161=4),(PI()*AE$12^2)/4*(AA161*$W161*1000)/($H161*$B$5),(PI()*AE$12^2)/4*(AA161*$W161*1000)/($G161*$B$5)),
IF($D161="Pénétro.",
IF(OR($E161=4,$E161=1,$E161=5),(PI()*AE$12^2)/4*(AA161*$W161*1000)/($H161*$B$5),(PI()*AE$12^2)/4*(AA161*$W161*1000)/($G161*$B$5)))),
IF($D161="Pressio.",
IF($E161=3,(PI()*AE$12^2)/4*(AA161*$W161*1000)/($H161*$B$5),(PI()*AE$12^2)/4*(AA161*$W161*1000)/($G161*$B$5)),
IF($D161="Pénétro.",
IF($E161=4,(PI()*AE$12^2)/4*(AA161*$W161*1000)/($H161*$B$5),(PI()*AE$12^2)/4*(AA161*$W161*1000)/($G161*$B$5))))))/10</f>
        <v>#N/A</v>
      </c>
      <c r="AF161" s="102" t="e">
        <f>(VLOOKUP($B$3,'Coeff EC7'!$T$39:$X$59,2,0)*AD161+VLOOKUP($B$3,'Coeff EC7'!$T$65:$X$85,2,0)*Model0.1C!AE161)/1.1</f>
        <v>#N/A</v>
      </c>
      <c r="AG161" s="102" t="e">
        <f>(VLOOKUP($B$3,'Coeff EC7'!$T$39:$X$59,3,0)*AD161+VLOOKUP($B$3,'Coeff EC7'!$T$65:$X$85,3,0)*Model0.1C!AE161)/0.9</f>
        <v>#N/A</v>
      </c>
      <c r="AH161" s="102" t="e">
        <f t="shared" si="239"/>
        <v>#N/A</v>
      </c>
      <c r="AI161" s="102" t="e">
        <f t="shared" si="240"/>
        <v>#N/A</v>
      </c>
      <c r="AJ161" s="414" t="e">
        <f>IF(AJ160=0,0,IF(AND(AF161&gt;charge_ELS_quasi,AG161&gt;Charge_ELS_freq,AH161&gt;charge_ELU,AI161&gt;charge_ELA,$B161&gt;NDC!$H$22-0.1+MIN(3*$AJ$12,1.5)),0,1))</f>
        <v>#N/A</v>
      </c>
      <c r="AK161" s="86" t="b">
        <f t="shared" si="241"/>
        <v>0</v>
      </c>
      <c r="AL161" s="86">
        <f t="shared" si="270"/>
        <v>0.5</v>
      </c>
      <c r="AM161" s="86">
        <f t="shared" si="242"/>
        <v>0.5</v>
      </c>
      <c r="AN161" s="30" t="e">
        <f t="shared" ca="1" si="271"/>
        <v>#DIV/0!</v>
      </c>
      <c r="AO161" s="85" t="e">
        <f ca="1">IF(U161&lt;=Hypothèses!$V$7,Hypothèses!$W$7,IF(U161&lt;=Hypothèses!$V$8,Hypothèses!$W$8,IF(U161&lt;=Hypothèses!$V$9,Hypothèses!$W$9,IF(U161&lt;=Hypothèses!$V$10,Hypothèses!$W$10,IF(U161&lt;=Hypothèses!$V$11,Hypothèses!$W$11,IF(U161&lt;=Hypothèses!$V$12,Hypothèses!$W$12,IF(U161&lt;=Hypothèses!$V$13,Hypothèses!$W$13,IF(U161&lt;=Hypothèses!$V$14,Hypothèses!$W$14,IF(U161&lt;=Hypothèses!$V$15,Hypothèses!$W$15,IF(U161&lt;=Hypothèses!$V$16,Hypothèses!$W$16,IF(U161&lt;=Hypothèses!$V$17,Hypothèses!$W$17,IF(U161&lt;=Hypothèses!$V$18,Hypothèses!$W$18,""))))))))))))</f>
        <v>#DIV/0!</v>
      </c>
      <c r="AP161" s="87" t="e">
        <f t="shared" ca="1" si="317"/>
        <v>#DIV/0!</v>
      </c>
      <c r="AQ161" s="88" t="e">
        <f ca="1">IF(U161&lt;=Hypothèses!$V$7,Hypothèses!$X$7,IF(U161&lt;=Hypothèses!$V$8,Hypothèses!$X$8,IF(U161&lt;=Hypothèses!$V$9,Hypothèses!$X$9,IF(U161&lt;=Hypothèses!$V$10,Hypothèses!$X$10,IF(U161&lt;=Hypothèses!$V$11,Hypothèses!$X$11,IF(U161&lt;=Hypothèses!$V$12,Hypothèses!$X$12,IF(U161&lt;=Hypothèses!$V$13,Hypothèses!$X$13,IF(U161&lt;=Hypothèses!$V$14,Hypothèses!$X$14,IF(U161&lt;=Hypothèses!$V$15,Hypothèses!$X$15,IF(U161&lt;=Hypothèses!$V$16,Hypothèses!$X$16,IF(U161&lt;=Hypothèses!$U$17,Hypothèses!$W$17,IF(U161&lt;=Hypothèses!$U$18,Hypothèses!$W$18,""))))))))))))</f>
        <v>#DIV/0!</v>
      </c>
      <c r="AR161" s="95" t="e">
        <f t="shared" ca="1" si="272"/>
        <v>#DIV/0!</v>
      </c>
      <c r="AS161" s="101" t="e">
        <f t="shared" si="324"/>
        <v>#N/A</v>
      </c>
      <c r="AT161" s="91" t="e">
        <f t="shared" si="243"/>
        <v>#N/A</v>
      </c>
      <c r="AU161" s="30" t="e">
        <f t="shared" si="302"/>
        <v>#N/A</v>
      </c>
      <c r="AV161" s="30" t="e">
        <f t="shared" si="303"/>
        <v>#N/A</v>
      </c>
      <c r="AW161" s="31" t="e">
        <f>IF(OR(Hypothèses!$B$4=17,Hypothèses!$B$4=18,Hypothèses!$B$4=19,Hypothèses!$B$4=20),
IF($D161="Pressio.",
IF(OR($E161=3,$E161=1,$E161=4),AV161,AU161),
IF($D161="Pénétro.",
IF(OR($E161=3,$E161=1,$E161=4),AV161,AU161))),IF($D161="Pressio.",
IF($E161=3,AV161,AU161),
IF($D161="Pénétro.",
IF($E161=4,AV161,AU161))))</f>
        <v>#N/A</v>
      </c>
      <c r="AX161" s="31" t="e">
        <f>(IF(OR(Hypothèses!$B$4=17,Hypothèses!$B$4=18,Hypothèses!$B$4=19,Hypothèses!$B$4=20),
IF($D161="Pressio.",
IF(OR($E161=3,$E161=1,$E161=4),(PI()*AX$12^2)/4*(AT161*$W161*1000)/($H161*$B$5),(PI()*AX$12^2)/4*(AT161*$W161*1000)/($G161*$B$5)),
IF($D161="Pénétro.",
IF(OR($E161=4,$E161=1,$E161=5),(PI()*AX$12^2)/4*(AT161*$W161*1000)/($H161*$B$5),(PI()*AX$12^2)/4*(AT161*$W161*1000)/($G161*$B$5)))),
IF($D161="Pressio.",
IF($E161=3,(PI()*AX$12^2)/4*(AT161*$W161*1000)/($H161*$B$5),(PI()*AX$12^2)/4*(AT161*$W161*1000)/($G161*$B$5)),
IF($D161="Pénétro.",
IF($E161=4,(PI()*AX$12^2)/4*(AT161*$W161*1000)/($H161*$B$5),(PI()*AX$12^2)/4*(AT161*$W161*1000)/($G161*$B$5))))))/10</f>
        <v>#N/A</v>
      </c>
      <c r="AY161" s="102" t="e">
        <f>(VLOOKUP($B$3,'Coeff EC7'!$T$39:$X$59,2,0)*AW161+VLOOKUP($B$3,'Coeff EC7'!$T$65:$X$85,2,0)*Model0.1C!AX161)/1.1</f>
        <v>#N/A</v>
      </c>
      <c r="AZ161" s="102" t="e">
        <f>(VLOOKUP($B$3,'Coeff EC7'!$T$39:$X$59,3,0)*AW161+VLOOKUP($B$3,'Coeff EC7'!$T$65:$X$85,3,0)*Model0.1C!AX161)/0.9</f>
        <v>#N/A</v>
      </c>
      <c r="BA161" s="102" t="e">
        <f t="shared" si="273"/>
        <v>#N/A</v>
      </c>
      <c r="BB161" s="102" t="e">
        <f t="shared" si="274"/>
        <v>#N/A</v>
      </c>
      <c r="BC161" s="414" t="e">
        <f>IF(BC160=0,0,IF(AND(AY161&gt;charge_ELS_quasi,AZ161&gt;Charge_ELS_freq,BA161&gt;charge_ELU,BB161&gt;charge_ELA,$B161&gt;NDC!$H$22-0.1+MIN(3*$BC$12,1.5)),0,1))</f>
        <v>#N/A</v>
      </c>
      <c r="BD161" s="86" t="b">
        <f t="shared" si="244"/>
        <v>0</v>
      </c>
      <c r="BE161" s="86">
        <f t="shared" si="275"/>
        <v>0.5</v>
      </c>
      <c r="BF161" s="86">
        <f t="shared" si="245"/>
        <v>0.5</v>
      </c>
      <c r="BG161" s="30" t="e">
        <f t="shared" ca="1" si="276"/>
        <v>#DIV/0!</v>
      </c>
      <c r="BH161" s="85" t="e">
        <f ca="1">IF(AN161&lt;=Hypothèses!$V$7,Hypothèses!$W$7,IF(AN161&lt;=Hypothèses!$V$8,Hypothèses!$W$8,IF(AN161&lt;=Hypothèses!$V$9,Hypothèses!$W$9,IF(AN161&lt;=Hypothèses!$V$10,Hypothèses!$W$10,IF(AN161&lt;=Hypothèses!$V$11,Hypothèses!$W$11,IF(AN161&lt;=Hypothèses!$V$12,Hypothèses!$W$12,IF(AN161&lt;=Hypothèses!$V$13,Hypothèses!$W$13,IF(AN161&lt;=Hypothèses!$V$14,Hypothèses!$W$14,IF(AN161&lt;=Hypothèses!$V$15,Hypothèses!$W$15,IF(AN161&lt;=Hypothèses!$V$16,Hypothèses!$W$16,IF(AN161&lt;=Hypothèses!$V$17,Hypothèses!$W$17,IF(AN161&lt;=Hypothèses!$V$18,Hypothèses!$W$18,""))))))))))))</f>
        <v>#DIV/0!</v>
      </c>
      <c r="BI161" s="87" t="e">
        <f t="shared" ca="1" si="318"/>
        <v>#DIV/0!</v>
      </c>
      <c r="BJ161" s="88" t="e">
        <f ca="1">IF(AN161&lt;=Hypothèses!$V$7,Hypothèses!$X$7,IF(AN161&lt;=Hypothèses!$V$8,Hypothèses!$X$8,IF(AN161&lt;=Hypothèses!$V$9,Hypothèses!$X$9,IF(AN161&lt;=Hypothèses!$V$10,Hypothèses!$X$10,IF(AN161&lt;=Hypothèses!$V$11,Hypothèses!$X$11,IF(AN161&lt;=Hypothèses!$V$12,Hypothèses!$X$12,IF(AN161&lt;=Hypothèses!$V$13,Hypothèses!$X$13,IF(AN161&lt;=Hypothèses!$V$14,Hypothèses!$X$14,IF(AN161&lt;=Hypothèses!$V$15,Hypothèses!$X$15,IF(AN161&lt;=Hypothèses!$V$16,Hypothèses!$X$16,IF(AN161&lt;=Hypothèses!$U$17,Hypothèses!$W$17,IF(AN161&lt;=Hypothèses!$U$18,Hypothèses!$W$18,""))))))))))))</f>
        <v>#DIV/0!</v>
      </c>
      <c r="BK161" s="95" t="e">
        <f t="shared" ca="1" si="277"/>
        <v>#DIV/0!</v>
      </c>
      <c r="BL161" s="101" t="e">
        <f t="shared" si="325"/>
        <v>#N/A</v>
      </c>
      <c r="BM161" s="91" t="e">
        <f t="shared" si="246"/>
        <v>#N/A</v>
      </c>
      <c r="BN161" s="30" t="e">
        <f t="shared" si="304"/>
        <v>#N/A</v>
      </c>
      <c r="BO161" s="30" t="e">
        <f t="shared" si="305"/>
        <v>#N/A</v>
      </c>
      <c r="BP161" s="31" t="e">
        <f>IF(OR(Hypothèses!$B$4=17,Hypothèses!$B$4=18,Hypothèses!$B$4=19,Hypothèses!$B$4=20),
IF($D161="Pressio.",
IF(OR($E161=3,$E161=1,$E161=4),BO161,BN161),
IF($D161="Pénétro.",
IF(OR($E161=3,$E161=1,$E161=4),BO161,BN161))),IF($D161="Pressio.",
IF($E161=3,BO161,BN161),
IF($D161="Pénétro.",
IF($E161=4,BO161,BN161))))</f>
        <v>#N/A</v>
      </c>
      <c r="BQ161" s="31" t="e">
        <f>(IF(OR(Hypothèses!$B$4=17,Hypothèses!$B$4=18,Hypothèses!$B$4=19,Hypothèses!$B$4=20),
IF($D161="Pressio.",
IF(OR($E161=3,$E161=1,$E161=4),(PI()*BQ$12^2)/4*(BM161*$W161*1000)/($H161*$B$5),(PI()*BQ$12^2)/4*(BM161*$W161*1000)/($G161*$B$5)),
IF($D161="Pénétro.",
IF(OR($E161=4,$E161=1,$E161=5),(PI()*BQ$12^2)/4*(BM161*$W161*1000)/($H161*$B$5),(PI()*BQ$12^2)/4*(BM161*$W161*1000)/($G161*$B$5)))),
IF($D161="Pressio.",
IF($E161=3,(PI()*BQ$12^2)/4*(BM161*$W161*1000)/($H161*$B$5),(PI()*BQ$12^2)/4*(BM161*$W161*1000)/($G161*$B$5)),
IF($D161="Pénétro.",
IF($E161=4,(PI()*BQ$12^2)/4*(BM161*$W161*1000)/($H161*$B$5),(PI()*BQ$12^2)/4*(BM161*$W161*1000)/($G161*$B$5))))))/10</f>
        <v>#N/A</v>
      </c>
      <c r="BR161" s="102" t="e">
        <f>(VLOOKUP($B$3,'Coeff EC7'!$T$39:$X$59,2,0)*BP161+VLOOKUP($B$3,'Coeff EC7'!$T$65:$X$85,2,0)*Model0.1C!BQ161)/1.1</f>
        <v>#N/A</v>
      </c>
      <c r="BS161" s="102" t="e">
        <f>(VLOOKUP($B$3,'Coeff EC7'!$T$39:$X$59,3,0)*BP161+VLOOKUP($B$3,'Coeff EC7'!$T$65:$X$85,3,0)*Model0.1C!BQ161)/0.9</f>
        <v>#N/A</v>
      </c>
      <c r="BT161" s="102" t="e">
        <f t="shared" si="278"/>
        <v>#N/A</v>
      </c>
      <c r="BU161" s="102" t="e">
        <f t="shared" si="279"/>
        <v>#N/A</v>
      </c>
      <c r="BV161" s="414" t="e">
        <f>IF(BV160=0,0,IF(AND(BR161&gt;charge_ELS_quasi,BS161&gt;Charge_ELS_freq,BT161&gt;charge_ELU,BU161&gt;charge_ELA,$B161&gt;NDC!$H$22-0.1+MIN(3*$BV$12,1.5)),0,1))</f>
        <v>#N/A</v>
      </c>
      <c r="BW161" s="86" t="b">
        <f t="shared" si="247"/>
        <v>0</v>
      </c>
      <c r="BX161" s="86">
        <f t="shared" si="248"/>
        <v>0.5</v>
      </c>
      <c r="BY161" s="86">
        <f t="shared" si="249"/>
        <v>0.5</v>
      </c>
      <c r="BZ161" s="30" t="e">
        <f t="shared" ca="1" si="280"/>
        <v>#DIV/0!</v>
      </c>
      <c r="CA161" s="85" t="e">
        <f ca="1">IF(BG161&lt;=Hypothèses!$V$7,Hypothèses!$W$7,IF(BG161&lt;=Hypothèses!$V$8,Hypothèses!$W$8,IF(BG161&lt;=Hypothèses!$V$9,Hypothèses!$W$9,IF(BG161&lt;=Hypothèses!$V$10,Hypothèses!$W$10,IF(BG161&lt;=Hypothèses!$V$11,Hypothèses!$W$11,IF(BG161&lt;=Hypothèses!$V$12,Hypothèses!$W$12,IF(BG161&lt;=Hypothèses!$V$13,Hypothèses!$W$13,IF(BG161&lt;=Hypothèses!$V$14,Hypothèses!$W$14,IF(BG161&lt;=Hypothèses!$V$15,Hypothèses!$W$15,IF(BG161&lt;=Hypothèses!$V$16,Hypothèses!$W$16,IF(BG161&lt;=Hypothèses!$V$17,Hypothèses!$W$17,IF(BG161&lt;=Hypothèses!$V$18,Hypothèses!$W$18,""))))))))))))</f>
        <v>#DIV/0!</v>
      </c>
      <c r="CB161" s="87" t="e">
        <f t="shared" ca="1" si="319"/>
        <v>#DIV/0!</v>
      </c>
      <c r="CC161" s="88" t="e">
        <f ca="1">IF(BG161&lt;=Hypothèses!$V$7,Hypothèses!$X$7,IF(BG161&lt;=Hypothèses!$V$8,Hypothèses!$X$8,IF(BG161&lt;=Hypothèses!$V$9,Hypothèses!$X$9,IF(BG161&lt;=Hypothèses!$V$10,Hypothèses!$X$10,IF(BG161&lt;=Hypothèses!$V$11,Hypothèses!$X$11,IF(BG161&lt;=Hypothèses!$V$12,Hypothèses!$X$12,IF(BG161&lt;=Hypothèses!$V$13,Hypothèses!$X$13,IF(BG161&lt;=Hypothèses!$V$14,Hypothèses!$X$14,IF(BG161&lt;=Hypothèses!$V$15,Hypothèses!$X$15,IF(BG161&lt;=Hypothèses!$V$16,Hypothèses!$X$16,IF(BG161&lt;=Hypothèses!$U$17,Hypothèses!$W$17,IF(BG161&lt;=Hypothèses!$U$18,Hypothèses!$W$18,""))))))))))))</f>
        <v>#DIV/0!</v>
      </c>
      <c r="CD161" s="95" t="e">
        <f t="shared" ca="1" si="281"/>
        <v>#DIV/0!</v>
      </c>
      <c r="CE161" s="101" t="e">
        <f t="shared" si="326"/>
        <v>#N/A</v>
      </c>
      <c r="CF161" s="91" t="e">
        <f t="shared" si="250"/>
        <v>#N/A</v>
      </c>
      <c r="CG161" s="30" t="e">
        <f t="shared" si="306"/>
        <v>#N/A</v>
      </c>
      <c r="CH161" s="30" t="e">
        <f t="shared" si="307"/>
        <v>#N/A</v>
      </c>
      <c r="CI161" s="31" t="e">
        <f>IF(OR(Hypothèses!$B$4=17,Hypothèses!$B$4=18,Hypothèses!$B$4=19,Hypothèses!$B$4=20),
IF($D161="Pressio.",
IF(OR($E161=3,$E161=1,$E161=4),CH161,CG161),
IF($D161="Pénétro.",
IF(OR($E161=3,$E161=1,$E161=4),CH161,CG161))),IF($D161="Pressio.",
IF($E161=3,CH161,CG161),
IF($D161="Pénétro.",
IF($E161=4,CH161,CG161))))</f>
        <v>#N/A</v>
      </c>
      <c r="CJ161" s="31" t="e">
        <f>(IF(OR(Hypothèses!$B$4=17,Hypothèses!$B$4=18,Hypothèses!$B$4=19,Hypothèses!$B$4=20),
IF($D161="Pressio.",
IF(OR($E161=3,$E161=1,$E161=4),(PI()*CJ$12^2)/4*(CF161*$W161*1000)/($H161*$B$5),(PI()*CJ$12^2)/4*(CF161*$W161*1000)/($G161*$B$5)),
IF($D161="Pénétro.",
IF(OR($E161=4,$E161=1,$E161=5),(PI()*CJ$12^2)/4*(CF161*$W161*1000)/($H161*$B$5),(PI()*CJ$12^2)/4*(CF161*$W161*1000)/($G161*$B$5)))),
IF($D161="Pressio.",
IF($E161=3,(PI()*CJ$12^2)/4*(CF161*$W161*1000)/($H161*$B$5),(PI()*CJ$12^2)/4*(CF161*$W161*1000)/($G161*$B$5)),
IF($D161="Pénétro.",
IF($E161=4,(PI()*CJ$12^2)/4*(CF161*$W161*1000)/($H161*$B$5),(PI()*CJ$12^2)/4*(CF161*$W161*1000)/($G161*$B$5))))))/10</f>
        <v>#N/A</v>
      </c>
      <c r="CK161" s="102" t="e">
        <f>(VLOOKUP($B$3,'Coeff EC7'!$T$39:$X$59,2,0)*CI161+VLOOKUP($B$3,'Coeff EC7'!$T$65:$X$85,2,0)*Model0.1C!CJ161)/1.1</f>
        <v>#N/A</v>
      </c>
      <c r="CL161" s="102" t="e">
        <f>(VLOOKUP($B$3,'Coeff EC7'!$T$39:$X$59,3,0)*CI161+VLOOKUP($B$3,'Coeff EC7'!$T$65:$X$85,3,0)*Model0.1C!CJ161)/0.9</f>
        <v>#N/A</v>
      </c>
      <c r="CM161" s="102" t="e">
        <f t="shared" si="282"/>
        <v>#N/A</v>
      </c>
      <c r="CN161" s="102" t="e">
        <f t="shared" si="283"/>
        <v>#N/A</v>
      </c>
      <c r="CO161" s="414" t="e">
        <f>IF(CO160=0,0,IF(AND(CK161&gt;charge_ELS_quasi,CL161&gt;Charge_ELS_freq,CM161&gt;charge_ELU,CN161&gt;charge_ELA,$B161&gt;NDC!$H$22-0.1+MIN(3*$CO$12,1.5)),0,1))</f>
        <v>#N/A</v>
      </c>
      <c r="CP161" s="86" t="b">
        <f t="shared" si="251"/>
        <v>0</v>
      </c>
      <c r="CQ161" s="86">
        <f t="shared" si="252"/>
        <v>0.5</v>
      </c>
      <c r="CR161" s="86">
        <f t="shared" si="253"/>
        <v>0.5</v>
      </c>
      <c r="CS161" s="30" t="e">
        <f t="shared" ca="1" si="284"/>
        <v>#DIV/0!</v>
      </c>
      <c r="CT161" s="85" t="e">
        <f ca="1">IF(BZ161&lt;=Hypothèses!$V$7,Hypothèses!$W$7,IF(BZ161&lt;=Hypothèses!$V$8,Hypothèses!$W$8,IF(BZ161&lt;=Hypothèses!$V$9,Hypothèses!$W$9,IF(BZ161&lt;=Hypothèses!$V$10,Hypothèses!$W$10,IF(BZ161&lt;=Hypothèses!$V$11,Hypothèses!$W$11,IF(BZ161&lt;=Hypothèses!$V$12,Hypothèses!$W$12,IF(BZ161&lt;=Hypothèses!$V$13,Hypothèses!$W$13,IF(BZ161&lt;=Hypothèses!$V$14,Hypothèses!$W$14,IF(BZ161&lt;=Hypothèses!$V$15,Hypothèses!$W$15,IF(BZ161&lt;=Hypothèses!$V$16,Hypothèses!$W$16,IF(BZ161&lt;=Hypothèses!$V$17,Hypothèses!$W$17,IF(BZ161&lt;=Hypothèses!$V$18,Hypothèses!$W$18,""))))))))))))</f>
        <v>#DIV/0!</v>
      </c>
      <c r="CU161" s="87" t="e">
        <f t="shared" ca="1" si="320"/>
        <v>#DIV/0!</v>
      </c>
      <c r="CV161" s="88" t="e">
        <f ca="1">IF(BZ161&lt;=Hypothèses!$V$7,Hypothèses!$X$7,IF(BZ161&lt;=Hypothèses!$V$8,Hypothèses!$X$8,IF(BZ161&lt;=Hypothèses!$V$9,Hypothèses!$X$9,IF(BZ161&lt;=Hypothèses!$V$10,Hypothèses!$X$10,IF(BZ161&lt;=Hypothèses!$V$11,Hypothèses!$X$11,IF(BZ161&lt;=Hypothèses!$V$12,Hypothèses!$X$12,IF(BZ161&lt;=Hypothèses!$V$13,Hypothèses!$X$13,IF(BZ161&lt;=Hypothèses!$V$14,Hypothèses!$X$14,IF(BZ161&lt;=Hypothèses!$V$15,Hypothèses!$X$15,IF(BZ161&lt;=Hypothèses!$V$16,Hypothèses!$X$16,IF(BZ161&lt;=Hypothèses!$U$17,Hypothèses!$W$17,IF(BZ161&lt;=Hypothèses!$U$18,Hypothèses!$W$18,""))))))))))))</f>
        <v>#DIV/0!</v>
      </c>
      <c r="CW161" s="95" t="e">
        <f t="shared" ca="1" si="285"/>
        <v>#DIV/0!</v>
      </c>
      <c r="CX161" s="101" t="e">
        <f t="shared" si="327"/>
        <v>#N/A</v>
      </c>
      <c r="CY161" s="91" t="e">
        <f t="shared" si="254"/>
        <v>#N/A</v>
      </c>
      <c r="CZ161" s="30" t="e">
        <f t="shared" si="308"/>
        <v>#N/A</v>
      </c>
      <c r="DA161" s="30" t="e">
        <f t="shared" si="309"/>
        <v>#N/A</v>
      </c>
      <c r="DB161" s="31" t="e">
        <f>IF(OR(Hypothèses!$B$4=17,Hypothèses!$B$4=18,Hypothèses!$B$4=19,Hypothèses!$B$4=20),
IF($D161="Pressio.",
IF(OR($E161=3,$E161=1,$E161=4),DA161,CZ161),
IF($D161="Pénétro.",
IF(OR($E161=3,$E161=1,$E161=4),DA161,CZ161))),IF($D161="Pressio.",
IF($E161=3,DA161,CZ161),
IF($D161="Pénétro.",
IF($E161=4,DA161,CZ161))))</f>
        <v>#N/A</v>
      </c>
      <c r="DC161" s="31" t="e">
        <f>(IF(OR(Hypothèses!$B$4=17,Hypothèses!$B$4=18,Hypothèses!$B$4=19,Hypothèses!$B$4=20),
IF($D161="Pressio.",
IF(OR($E161=3,$E161=1,$E161=4),(PI()*DC$12^2)/4*(CY161*$W161*1000)/($H161*$B$5),(PI()*DC$12^2)/4*(CY161*$W161*1000)/($G161*$B$5)),
IF($D161="Pénétro.",
IF(OR($E161=4,$E161=1,$E161=5),(PI()*DC$12^2)/4*(CY161*$W161*1000)/($H161*$B$5),(PI()*DC$12^2)/4*(CY161*$W161*1000)/($G161*$B$5)))),
IF($D161="Pressio.",
IF($E161=3,(PI()*DC$12^2)/4*(CY161*$W161*1000)/($H161*$B$5),(PI()*DC$12^2)/4*(CY161*$W161*1000)/($G161*$B$5)),
IF($D161="Pénétro.",
IF($E161=4,(PI()*DC$12^2)/4*(CY161*$W161*1000)/($H161*$B$5),(PI()*DC$12^2)/4*(CY161*$W161*1000)/($G161*$B$5))))))/10</f>
        <v>#N/A</v>
      </c>
      <c r="DD161" s="102" t="e">
        <f>(VLOOKUP($B$3,'Coeff EC7'!$T$39:$X$59,2,0)*DB161+VLOOKUP($B$3,'Coeff EC7'!$T$65:$X$85,2,0)*Model0.1C!DC161)/1.1</f>
        <v>#N/A</v>
      </c>
      <c r="DE161" s="102" t="e">
        <f>(VLOOKUP($B$3,'Coeff EC7'!$T$39:$X$59,3,0)*DB161+VLOOKUP($B$3,'Coeff EC7'!$T$65:$X$85,3,0)*Model0.1C!DC161)/0.9</f>
        <v>#N/A</v>
      </c>
      <c r="DF161" s="102" t="e">
        <f t="shared" si="286"/>
        <v>#N/A</v>
      </c>
      <c r="DG161" s="102" t="e">
        <f t="shared" si="287"/>
        <v>#N/A</v>
      </c>
      <c r="DH161" s="414" t="e">
        <f>IF(DH160=0,0,IF(AND(DD161&gt;charge_ELS_quasi,DE161&gt;Charge_ELS_freq,DF161&gt;charge_ELU,DG161&gt;charge_ELA,$B161&gt;NDC!$H$22-0.1+MIN(3*$DH$12,1.5)),0,1))</f>
        <v>#N/A</v>
      </c>
      <c r="DI161" s="86" t="b">
        <f t="shared" si="255"/>
        <v>0</v>
      </c>
      <c r="DJ161" s="86">
        <f t="shared" si="256"/>
        <v>0.5</v>
      </c>
      <c r="DK161" s="86">
        <f t="shared" si="257"/>
        <v>0.5</v>
      </c>
      <c r="DL161" s="30" t="e">
        <f t="shared" ca="1" si="288"/>
        <v>#DIV/0!</v>
      </c>
      <c r="DM161" s="85" t="e">
        <f ca="1">IF(CS161&lt;=Hypothèses!$V$7,Hypothèses!$W$7,IF(CS161&lt;=Hypothèses!$V$8,Hypothèses!$W$8,IF(CS161&lt;=Hypothèses!$V$9,Hypothèses!$W$9,IF(CS161&lt;=Hypothèses!$V$10,Hypothèses!$W$10,IF(CS161&lt;=Hypothèses!$V$11,Hypothèses!$W$11,IF(CS161&lt;=Hypothèses!$V$12,Hypothèses!$W$12,IF(CS161&lt;=Hypothèses!$V$13,Hypothèses!$W$13,IF(CS161&lt;=Hypothèses!$V$14,Hypothèses!$W$14,IF(CS161&lt;=Hypothèses!$V$15,Hypothèses!$W$15,IF(CS161&lt;=Hypothèses!$V$16,Hypothèses!$W$16,IF(CS161&lt;=Hypothèses!$V$17,Hypothèses!$W$17,IF(CS161&lt;=Hypothèses!$V$18,Hypothèses!$W$18,""))))))))))))</f>
        <v>#DIV/0!</v>
      </c>
      <c r="DN161" s="87" t="e">
        <f t="shared" ca="1" si="321"/>
        <v>#DIV/0!</v>
      </c>
      <c r="DO161" s="88" t="e">
        <f ca="1">IF(CS161&lt;=Hypothèses!$V$7,Hypothèses!$X$7,IF(CS161&lt;=Hypothèses!$V$8,Hypothèses!$X$8,IF(CS161&lt;=Hypothèses!$V$9,Hypothèses!$X$9,IF(CS161&lt;=Hypothèses!$V$10,Hypothèses!$X$10,IF(CS161&lt;=Hypothèses!$V$11,Hypothèses!$X$11,IF(CS161&lt;=Hypothèses!$V$12,Hypothèses!$X$12,IF(CS161&lt;=Hypothèses!$V$13,Hypothèses!$X$13,IF(CS161&lt;=Hypothèses!$V$14,Hypothèses!$X$14,IF(CS161&lt;=Hypothèses!$V$15,Hypothèses!$X$15,IF(CS161&lt;=Hypothèses!$V$16,Hypothèses!$X$16,IF(CS161&lt;=Hypothèses!$U$17,Hypothèses!$W$17,IF(CS161&lt;=Hypothèses!$U$18,Hypothèses!$W$18,""))))))))))))</f>
        <v>#DIV/0!</v>
      </c>
      <c r="DP161" s="95" t="e">
        <f t="shared" ca="1" si="289"/>
        <v>#DIV/0!</v>
      </c>
      <c r="DQ161" s="101" t="e">
        <f t="shared" si="328"/>
        <v>#N/A</v>
      </c>
      <c r="DR161" s="91" t="e">
        <f t="shared" si="258"/>
        <v>#N/A</v>
      </c>
      <c r="DS161" s="30" t="e">
        <f t="shared" si="310"/>
        <v>#N/A</v>
      </c>
      <c r="DT161" s="30" t="e">
        <f t="shared" si="311"/>
        <v>#N/A</v>
      </c>
      <c r="DU161" s="31" t="e">
        <f>IF(OR(Hypothèses!$B$4=17,Hypothèses!$B$4=18,Hypothèses!$B$4=19,Hypothèses!$B$4=20),
IF($D161="Pressio.",
IF(OR($E161=3,$E161=1,$E161=4),DT161,DS161),
IF($D161="Pénétro.",
IF(OR($E161=3,$E161=1,$E161=4),DT161,DS161))),IF($D161="Pressio.",
IF($E161=3,DT161,DS161),
IF($D161="Pénétro.",
IF($E161=4,DT161,DS161))))</f>
        <v>#N/A</v>
      </c>
      <c r="DV161" s="31" t="e">
        <f>(IF(OR(Hypothèses!$B$4=17,Hypothèses!$B$4=18,Hypothèses!$B$4=19,Hypothèses!$B$4=20),
IF($D161="Pressio.",
IF(OR($E161=3,$E161=1,$E161=4),(PI()*DV$12^2)/4*(DR161*$W161*1000)/($H161*$B$5),(PI()*DV$12^2)/4*(DR161*$W161*1000)/($G161*$B$5)),
IF($D161="Pénétro.",
IF(OR($E161=4,$E161=1,$E161=5),(PI()*DV$12^2)/4*(DR161*$W161*1000)/($H161*$B$5),(PI()*DV$12^2)/4*(DR161*$W161*1000)/($G161*$B$5)))),
IF($D161="Pressio.",
IF($E161=3,(PI()*DV$12^2)/4*(DR161*$W161*1000)/($H161*$B$5),(PI()*DV$12^2)/4*(DR161*$W161*1000)/($G161*$B$5)),
IF($D161="Pénétro.",
IF($E161=4,(PI()*DV$12^2)/4*(DR161*$W161*1000)/($H161*$B$5),(PI()*DV$12^2)/4*(DR161*$W161*1000)/($G161*$B$5))))))/10</f>
        <v>#N/A</v>
      </c>
      <c r="DW161" s="102" t="e">
        <f>(VLOOKUP($B$3,'Coeff EC7'!$T$39:$X$59,2,0)*DU161+VLOOKUP($B$3,'Coeff EC7'!$T$65:$X$85,2,0)*Model0.1C!DV161)/1.1</f>
        <v>#N/A</v>
      </c>
      <c r="DX161" s="102" t="e">
        <f>(VLOOKUP($B$3,'Coeff EC7'!$T$39:$X$59,3,0)*DU161+VLOOKUP($B$3,'Coeff EC7'!$T$65:$X$85,3,0)*Model0.1C!DV161)/0.9</f>
        <v>#N/A</v>
      </c>
      <c r="DY161" s="102" t="e">
        <f t="shared" si="290"/>
        <v>#N/A</v>
      </c>
      <c r="DZ161" s="102" t="e">
        <f t="shared" si="291"/>
        <v>#N/A</v>
      </c>
      <c r="EA161" s="414" t="e">
        <f>IF(EA160=0,0,IF(AND(DW161&gt;charge_ELS_quasi,DX161&gt;Charge_ELS_freq,DY161&gt;charge_ELU,DZ161&gt;charge_ELA,$B161&gt;NDC!$H$22-0.1+MIN(3*$EA$12,1.5)),0,1))</f>
        <v>#N/A</v>
      </c>
      <c r="EB161" s="86" t="b">
        <f t="shared" si="259"/>
        <v>0</v>
      </c>
      <c r="EC161" s="418">
        <f t="shared" si="260"/>
        <v>0.51</v>
      </c>
      <c r="ED161" s="86">
        <f t="shared" si="261"/>
        <v>0.51</v>
      </c>
      <c r="EE161" s="30" t="e">
        <f t="shared" ca="1" si="292"/>
        <v>#DIV/0!</v>
      </c>
      <c r="EF161" s="85" t="e">
        <f ca="1">IF(DL161&lt;=Hypothèses!$V$7,Hypothèses!$W$7,IF(DL161&lt;=Hypothèses!$V$8,Hypothèses!$W$8,IF(DL161&lt;=Hypothèses!$V$9,Hypothèses!$W$9,IF(DL161&lt;=Hypothèses!$V$10,Hypothèses!$W$10,IF(DL161&lt;=Hypothèses!$V$11,Hypothèses!$W$11,IF(DL161&lt;=Hypothèses!$V$12,Hypothèses!$W$12,IF(DL161&lt;=Hypothèses!$V$13,Hypothèses!$W$13,IF(DL161&lt;=Hypothèses!$V$14,Hypothèses!$W$14,IF(DL161&lt;=Hypothèses!$V$15,Hypothèses!$W$15,IF(DL161&lt;=Hypothèses!$V$16,Hypothèses!$W$16,IF(DL161&lt;=Hypothèses!$V$17,Hypothèses!$W$17,IF(DL161&lt;=Hypothèses!$V$18,Hypothèses!$W$18,""))))))))))))</f>
        <v>#DIV/0!</v>
      </c>
      <c r="EG161" s="87" t="e">
        <f t="shared" ca="1" si="322"/>
        <v>#DIV/0!</v>
      </c>
      <c r="EH161" s="88" t="e">
        <f ca="1">IF(DL161&lt;=Hypothèses!$V$7,Hypothèses!$X$7,IF(DL161&lt;=Hypothèses!$V$8,Hypothèses!$X$8,IF(DL161&lt;=Hypothèses!$V$9,Hypothèses!$X$9,IF(DL161&lt;=Hypothèses!$V$10,Hypothèses!$X$10,IF(DL161&lt;=Hypothèses!$V$11,Hypothèses!$X$11,IF(DL161&lt;=Hypothèses!$V$12,Hypothèses!$X$12,IF(DL161&lt;=Hypothèses!$V$13,Hypothèses!$X$13,IF(DL161&lt;=Hypothèses!$V$14,Hypothèses!$X$14,IF(DL161&lt;=Hypothèses!$V$15,Hypothèses!$X$15,IF(DL161&lt;=Hypothèses!$V$16,Hypothèses!$X$16,IF(DL161&lt;=Hypothèses!$U$17,Hypothèses!$W$17,IF(DL161&lt;=Hypothèses!$U$18,Hypothèses!$W$18,""))))))))))))</f>
        <v>#DIV/0!</v>
      </c>
      <c r="EI161" s="95" t="e">
        <f t="shared" ca="1" si="293"/>
        <v>#DIV/0!</v>
      </c>
      <c r="EJ161" s="101" t="e">
        <f t="shared" si="329"/>
        <v>#N/A</v>
      </c>
      <c r="EK161" s="91" t="e">
        <f t="shared" si="262"/>
        <v>#N/A</v>
      </c>
      <c r="EL161" s="30" t="e">
        <f t="shared" si="312"/>
        <v>#N/A</v>
      </c>
      <c r="EM161" s="30" t="e">
        <f t="shared" si="313"/>
        <v>#N/A</v>
      </c>
      <c r="EN161" s="31" t="e">
        <f>IF(OR(Hypothèses!$B$4=17,Hypothèses!$B$4=18,Hypothèses!$B$4=19,Hypothèses!$B$4=20),
IF($D161="Pressio.",
IF(OR($E161=3,$E161=1,$E161=4),EM161,EL161),
IF($D161="Pénétro.",
IF(OR($E161=3,$E161=1,$E161=4),EM161,EL161))),IF($D161="Pressio.",
IF($E161=3,EM161,EL161),
IF($D161="Pénétro.",
IF($E161=4,EM161,EL161))))</f>
        <v>#N/A</v>
      </c>
      <c r="EO161" s="31" t="e">
        <f>(IF(OR(Hypothèses!$B$4=17,Hypothèses!$B$4=18,Hypothèses!$B$4=19,Hypothèses!$B$4=20),
IF($D161="Pressio.",
IF(OR($E161=3,$E161=1,$E161=4),(PI()*EO$12^2)/4*(EK161*$W161*1000)/($H161*$B$5),(PI()*EO$12^2)/4*(EK161*$W161*1000)/($G161*$B$5)),
IF($D161="Pénétro.",
IF(OR($E161=4,$E161=1,$E161=5),(PI()*EO$12^2)/4*(EK161*$W161*1000)/($H161*$B$5),(PI()*EO$12^2)/4*(EK161*$W161*1000)/($G161*$B$5)))),
IF($D161="Pressio.",
IF($E161=3,(PI()*EO$12^2)/4*(EK161*$W161*1000)/($H161*$B$5),(PI()*EO$12^2)/4*(EK161*$W161*1000)/($G161*$B$5)),
IF($D161="Pénétro.",
IF($E161=4,(PI()*EO$12^2)/4*(EK161*$W161*1000)/($H161*$B$5),(PI()*EO$12^2)/4*(EK161*$W161*1000)/($G161*$B$5))))))/10</f>
        <v>#N/A</v>
      </c>
      <c r="EP161" s="102" t="e">
        <f>(VLOOKUP($B$3,'Coeff EC7'!$T$39:$X$59,2,0)*EN161+VLOOKUP($B$3,'Coeff EC7'!$T$65:$X$85,2,0)*Model0.1C!EO161)/1.1</f>
        <v>#N/A</v>
      </c>
      <c r="EQ161" s="102" t="e">
        <f>(VLOOKUP($B$3,'Coeff EC7'!$T$39:$X$59,3,0)*EN161+VLOOKUP($B$3,'Coeff EC7'!$T$65:$X$85,3,0)*Model0.1C!EO161)/0.9</f>
        <v>#N/A</v>
      </c>
      <c r="ER161" s="102" t="e">
        <f t="shared" si="294"/>
        <v>#N/A</v>
      </c>
      <c r="ES161" s="102" t="e">
        <f t="shared" si="295"/>
        <v>#N/A</v>
      </c>
      <c r="ET161" s="414" t="e">
        <f>IF(ET160=0,0,IF(AND(EP161&gt;charge_ELS_quasi,EQ161&gt;Charge_ELS_freq,ER161&gt;charge_ELU,ES161&gt;charge_ELA,$B161&gt;NDC!$H$22-0.1+MIN(3*$ET$12,1.5)),0,1))</f>
        <v>#N/A</v>
      </c>
      <c r="EU161" s="86" t="b">
        <f t="shared" si="263"/>
        <v>0</v>
      </c>
      <c r="EV161" s="86">
        <f t="shared" si="264"/>
        <v>0.61</v>
      </c>
      <c r="EW161" s="86">
        <f t="shared" si="265"/>
        <v>0.61</v>
      </c>
      <c r="EX161" s="30" t="e">
        <f t="shared" ca="1" si="296"/>
        <v>#DIV/0!</v>
      </c>
      <c r="EY161" s="85" t="e">
        <f ca="1">IF(EE161&lt;=Hypothèses!$V$7,Hypothèses!$W$7,IF(EE161&lt;=Hypothèses!$V$8,Hypothèses!$W$8,IF(EE161&lt;=Hypothèses!$V$9,Hypothèses!$W$9,IF(EE161&lt;=Hypothèses!$V$10,Hypothèses!$W$10,IF(EE161&lt;=Hypothèses!$V$11,Hypothèses!$W$11,IF(EE161&lt;=Hypothèses!$V$12,Hypothèses!$W$12,IF(EE161&lt;=Hypothèses!$V$13,Hypothèses!$W$13,IF(EE161&lt;=Hypothèses!$V$14,Hypothèses!$W$14,IF(EE161&lt;=Hypothèses!$V$15,Hypothèses!$W$15,IF(EE161&lt;=Hypothèses!$V$16,Hypothèses!$W$16,IF(EE161&lt;=Hypothèses!$V$17,Hypothèses!$W$17,IF(EE161&lt;=Hypothèses!$V$18,Hypothèses!$W$18,""))))))))))))</f>
        <v>#DIV/0!</v>
      </c>
      <c r="EZ161" s="87" t="e">
        <f t="shared" ca="1" si="323"/>
        <v>#DIV/0!</v>
      </c>
      <c r="FA161" s="88" t="e">
        <f ca="1">IF(EE161&lt;=Hypothèses!$V$7,Hypothèses!$X$7,IF(EE161&lt;=Hypothèses!$V$8,Hypothèses!$X$8,IF(EE161&lt;=Hypothèses!$V$9,Hypothèses!$X$9,IF(EE161&lt;=Hypothèses!$V$10,Hypothèses!$X$10,IF(EE161&lt;=Hypothèses!$V$11,Hypothèses!$X$11,IF(EE161&lt;=Hypothèses!$V$12,Hypothèses!$X$12,IF(EE161&lt;=Hypothèses!$V$13,Hypothèses!$X$13,IF(EE161&lt;=Hypothèses!$V$14,Hypothèses!$X$14,IF(EE161&lt;=Hypothèses!$V$15,Hypothèses!$X$15,IF(EE161&lt;=Hypothèses!$V$16,Hypothèses!$X$16,IF(EE161&lt;=Hypothèses!$U$17,Hypothèses!$W$17,IF(EE161&lt;=Hypothèses!$U$18,Hypothèses!$W$18,""))))))))))))</f>
        <v>#DIV/0!</v>
      </c>
      <c r="FB161" s="95" t="e">
        <f t="shared" ca="1" si="297"/>
        <v>#DIV/0!</v>
      </c>
      <c r="FC161" s="101" t="e">
        <f t="shared" si="330"/>
        <v>#N/A</v>
      </c>
      <c r="FD161" s="91" t="e">
        <f t="shared" si="266"/>
        <v>#N/A</v>
      </c>
      <c r="FE161" s="30" t="e">
        <f t="shared" si="314"/>
        <v>#N/A</v>
      </c>
      <c r="FF161" s="30" t="e">
        <f t="shared" si="315"/>
        <v>#N/A</v>
      </c>
      <c r="FG161" s="31" t="e">
        <f>IF(OR(Hypothèses!$B$4=17,Hypothèses!$B$4=18,Hypothèses!$B$4=19,Hypothèses!$B$4=20),
IF($D161="Pressio.",
IF(OR($E161=3,$E161=1,$E161=4),FF161,FE161),
IF($D161="Pénétro.",
IF(OR($E161=3,$E161=1,$E161=4),FF161,FE161))),IF($D161="Pressio.",
IF($E161=3,FF161,FE161),
IF($D161="Pénétro.",
IF($E161=4,FF161,FE161))))</f>
        <v>#N/A</v>
      </c>
      <c r="FH161" s="31" t="e">
        <f>(IF(OR(Hypothèses!$B$4=17,Hypothèses!$B$4=18,Hypothèses!$B$4=19,Hypothèses!$B$4=20),
IF($D161="Pressio.",
IF(OR($E161=3,$E161=1,$E161=4),(PI()*FH$12^2)/4*(FD161*$W161*1000)/($H161*$B$5),(PI()*FH$12^2)/4*(FD161*$W161*1000)/($G161*$B$5)),
IF($D161="Pénétro.",
IF(OR($E161=4,$E161=1,$E161=5),(PI()*FH$12^2)/4*(FD161*$W161*1000)/($H161*$B$5),(PI()*FH$12^2)/4*(FD161*$W161*1000)/($G161*$B$5)))),
IF($D161="Pressio.",
IF($E161=3,(PI()*FH$12^2)/4*(FD161*$W161*1000)/($H161*$B$5),(PI()*FH$12^2)/4*(FD161*$W161*1000)/($G161*$B$5)),
IF($D161="Pénétro.",
IF($E161=4,(PI()*FH$12^2)/4*(FD161*$W161*1000)/($H161*$B$5),(PI()*FH$12^2)/4*(FD161*$W161*1000)/($G161*$B$5))))))/10</f>
        <v>#N/A</v>
      </c>
      <c r="FI161" s="102" t="e">
        <f>(VLOOKUP($B$3,'Coeff EC7'!$T$39:$X$59,2,0)*FG161+VLOOKUP($B$3,'Coeff EC7'!$T$65:$X$85,2,0)*Model0.1C!FH161)/1.1</f>
        <v>#N/A</v>
      </c>
      <c r="FJ161" s="102" t="e">
        <f>(VLOOKUP($B$3,'Coeff EC7'!$T$39:$X$59,3,0)*FG161+VLOOKUP($B$3,'Coeff EC7'!$T$65:$X$85,3,0)*Model0.1C!FH161)/0.9</f>
        <v>#N/A</v>
      </c>
      <c r="FK161" s="102" t="e">
        <f t="shared" si="298"/>
        <v>#N/A</v>
      </c>
      <c r="FL161" s="102" t="e">
        <f t="shared" si="299"/>
        <v>#N/A</v>
      </c>
      <c r="FM161" s="414" t="e">
        <f>IF(FM160=0,0,IF(AND(FI161&gt;charge_ELS_quasi,FJ161&gt;Charge_ELS_freq,FK161&gt;charge_ELU,FL161&gt;charge_ELA,$B161&gt;NDC!$H$22-0.1+MIN(3*$FM$12,1.5)),0,1))</f>
        <v>#N/A</v>
      </c>
    </row>
    <row r="162" spans="1:169">
      <c r="A162" s="96">
        <f t="shared" si="267"/>
        <v>85.100000000000847</v>
      </c>
      <c r="B162" s="97">
        <v>14.9</v>
      </c>
      <c r="C162" s="81">
        <f>IF(B162&lt;=Hypothèses!$C$7,Hypothèses!$A$7,IF(B162&lt;=Hypothèses!$C$8,Hypothèses!$A$8,IF(B162&lt;=Hypothèses!$C$9,Hypothèses!$A$9,IF(B162&lt;=Hypothèses!$C$10,Hypothèses!$A$10,IF(B162&lt;=Hypothèses!$C$11,Hypothèses!$A$11,IF(B162&lt;=Hypothèses!$C$12,Hypothèses!$A$12,IF(B162&lt;=Hypothèses!$C$13,Hypothèses!$A$13,IF(B162&lt;=Hypothèses!$C$14,Hypothèses!$A$14,IF(B162&lt;=Hypothèses!$C$15,Hypothèses!$A$15,IF(B162&lt;=Hypothèses!$C$16,Hypothèses!$A$16,IF(B162&lt;=Hypothèses!$C$17,Hypothèses!$A$17,IF(B162&lt;=Hypothèses!$C$18,Hypothèses!$A$18,C161))))))))))))</f>
        <v>11</v>
      </c>
      <c r="D162" s="82" t="str">
        <f>IF(B162&lt;=Hypothèses!$C$7,Hypothèses!$R$7,IF(B162&lt;=Hypothèses!$C$8,Hypothèses!$R$8,IF(B162&lt;=Hypothèses!$C$9,Hypothèses!$R$9,IF(B162&lt;=Hypothèses!$C$10,Hypothèses!$R$10,IF(B162&lt;=Hypothèses!$C$11,Hypothèses!$R$11,IF(B162&lt;=Hypothèses!$C$12,Hypothèses!$R$12,IF(B162&lt;=Hypothèses!$C$13,Hypothèses!$R$13,IF(B162&lt;=Hypothèses!$C$14,Hypothèses!$R$14,IF(B162&lt;=Hypothèses!$C$15,Hypothèses!$R$15,IF(B162&lt;=Hypothèses!$C$16,Hypothèses!$R$16,IF(B162&lt;=Hypothèses!$C$17,Hypothèses!$R$17,IF(B162&lt;=Hypothèses!$C$18,Hypothèses!$R$18,D161))))))))))))</f>
        <v>Pressio.</v>
      </c>
      <c r="E162" s="82" t="e">
        <f>IF(B162&lt;=Hypothèses!$C$7,Hypothèses!$G$7,IF(B162&lt;=Hypothèses!$C$8,Hypothèses!$G$8,IF(B162&lt;=Hypothèses!$C$9,Hypothèses!$G$9,IF(B162&lt;=Hypothèses!$C$10,Hypothèses!$G$10,IF(B162&lt;=Hypothèses!$C$11,Hypothèses!$G$11,IF(B162&lt;=Hypothèses!$C$12,Hypothèses!$G$12,IF(B162&lt;=Hypothèses!$C$13,Hypothèses!$G$13,IF(B162&lt;=Hypothèses!$C$14,Hypothèses!$G$14,IF(B162&lt;=Hypothèses!$C$15,Hypothèses!$G$15,IF(B162&lt;=Hypothèses!$C$16,Hypothèses!$G$16,IF(B162&lt;=Hypothèses!$C$17,Hypothèses!$G$17,IF(B162&lt;=Hypothèses!$C$18,Hypothèses!$G$18,E161))))))))))))</f>
        <v>#N/A</v>
      </c>
      <c r="F162" s="82" t="str">
        <f>IF(B162&lt;=Hypothèses!$C$7,Hypothèses!$F$7,IF(B162&lt;=Hypothèses!$C$8,Hypothèses!$F$8,IF(B162&lt;=Hypothèses!$C$9,Hypothèses!$F$9,IF(B162&lt;=Hypothèses!$C$10,Hypothèses!$F$10,IF(B162&lt;=Hypothèses!$C$11,Hypothèses!$F$11,IF(B162&lt;=Hypothèses!$C$12,Hypothèses!$F$12,IF(B162&lt;=Hypothèses!$C$13,Hypothèses!$F$13,IF(B162&lt;=Hypothèses!$C$14,Hypothèses!$F$14,IF(B162&lt;=Hypothèses!$C$15,Hypothèses!$F$15,IF(B162&lt;=Hypothèses!$C$16,Hypothèses!$F$16,IF(B162&lt;=Hypothèses!$C$17,Hypothèses!$F$17,IF(B162&lt;=Hypothèses!$C$18,Hypothèses!$F$18,F161))))))))))))</f>
        <v/>
      </c>
      <c r="G162" s="91">
        <f t="array" ref="G162">INDEX('Coeff EC7'!$U$7:$X$27,
MATCH(Model0.1C!$B$3,'Coeff EC7'!$T$7:$T$27,0),
MATCH(Model0.1C!$D162&amp;Model0.1C!$B$4,
'Coeff EC7'!$U$6:$X$6&amp;
'Coeff EC7'!$U$5:$X$5,0))</f>
        <v>1.1499999999999999</v>
      </c>
      <c r="H162" s="91">
        <f t="array" ref="H162">INDEX('Coeff EC7'!$Y$7:$AB$27,
MATCH(Model0.1C!$B$3,'Coeff EC7'!$T$7:$T$27,0),
MATCH(Model0.1C!$D162&amp;Model0.1C!$B$4,
'Coeff EC7'!$Y$6:$AB$6&amp;
'Coeff EC7'!$Y$5:$AB$5,0))</f>
        <v>1.4</v>
      </c>
      <c r="I162" s="83" t="e">
        <f>IF(B162&lt;=Hypothèses!$C$7,Hypothèses!$P$7,IF(B162&lt;=Hypothèses!$C$8,Hypothèses!$P$8,IF(B162&lt;=Hypothèses!$C$9,Hypothèses!$P$9,IF(B162&lt;=Hypothèses!$C$10,Hypothèses!$P$10,IF(B162&lt;=Hypothèses!$C$11,Hypothèses!$P$11,IF(B162&lt;=Hypothèses!$C$12,Hypothèses!$P$12,IF(B162&lt;=Hypothèses!$C$13,Hypothèses!$P$13,IF(B162&lt;=Hypothèses!$C$14,Hypothèses!$P$14,IF(B162&lt;=Hypothèses!$C$15,Hypothèses!$P$15,IF(B162&lt;=Hypothèses!$C$16,Hypothèses!$P$16,IF(B162&lt;=Hypothèses!$C$17,Hypothèses!$P$17,IF(B162&lt;=Hypothèses!$C$18,Hypothèses!$P$18,I161))))))))))))</f>
        <v>#N/A</v>
      </c>
      <c r="J162" s="91" t="e">
        <f t="array" ref="J162">INDEX('Coeff EC7'!$D$33:$Q$33,1,MATCH(D162&amp;E162,'Coeff EC7'!$D$31:$Q$31&amp;'Coeff EC7'!$D$32:$Q$32,0))</f>
        <v>#N/A</v>
      </c>
      <c r="K162" s="91" t="e">
        <f t="array" ref="K162">INDEX('Coeff EC7'!$D$34:$Q$34,1,MATCH(D162&amp;E162,'Coeff EC7'!$D$31:$Q$31&amp;'Coeff EC7'!$D$32:$Q$32,0))</f>
        <v>#N/A</v>
      </c>
      <c r="L162" s="91" t="e">
        <f t="array" ref="L162">INDEX('Coeff EC7'!$D$35:$Q$35,1,MATCH(D162&amp;E162,'Coeff EC7'!$D$31:$Q$31&amp;'Coeff EC7'!$D$32:$Q$32,0))</f>
        <v>#N/A</v>
      </c>
      <c r="M162" s="98" t="e">
        <f t="shared" si="231"/>
        <v>#N/A</v>
      </c>
      <c r="N162" s="99" t="e">
        <f t="array" ref="N162">INDEX('Coeff EC7'!$D$7:$Q$27,MATCH($B$3,'Coeff EC7'!$C$7:$C$27,0),MATCH(D162&amp;E162,'Coeff EC7'!$D$5:$Q$5&amp;'Coeff EC7'!$D$6:$Q$6,0))</f>
        <v>#N/A</v>
      </c>
      <c r="O162" s="99" t="e">
        <f t="array" ref="O162">INDEX('Coeff EC7'!$D$41:$Q$61,MATCH($B$3,'Coeff EC7'!$C$41:$C$61,0),MATCH(D162&amp;E162,'Coeff EC7'!$D$39:$Q$39&amp;'Coeff EC7'!$D$40:$Q$40,0))</f>
        <v>#N/A</v>
      </c>
      <c r="P162" s="30" t="e">
        <f t="shared" si="268"/>
        <v>#N/A</v>
      </c>
      <c r="Q162" s="100" t="e">
        <f t="shared" si="233"/>
        <v>#N/A</v>
      </c>
      <c r="R162" s="86" t="b">
        <f t="shared" si="234"/>
        <v>0</v>
      </c>
      <c r="S162" s="86">
        <f t="shared" si="232"/>
        <v>0.5</v>
      </c>
      <c r="T162" s="86">
        <f t="shared" si="235"/>
        <v>0.5</v>
      </c>
      <c r="U162" s="30" t="e">
        <f t="shared" ca="1" si="269"/>
        <v>#DIV/0!</v>
      </c>
      <c r="V162" s="85" t="str">
        <f>IF(B162&lt;=Hypothèses!$V$7,Hypothèses!$W$7,IF(B162&lt;=Hypothèses!$V$8,Hypothèses!$W$8,IF(B162&lt;=Hypothèses!$V$9,Hypothèses!$W$9,IF(B162&lt;=Hypothèses!$V$10,Hypothèses!$W$10,IF(B162&lt;=Hypothèses!$V$11,Hypothèses!$W$11,IF(B162&lt;=Hypothèses!$V$12,Hypothèses!$W$12,IF(B162&lt;=Hypothèses!$V$13,Hypothèses!$W$13,IF(B162&lt;=Hypothèses!$V$14,Hypothèses!$W$14,IF(B162&lt;=Hypothèses!$V$15,Hypothèses!$W$15,IF(B162&lt;=Hypothèses!$V$16,Hypothèses!$W$16,IF(B162&lt;=Hypothèses!$V$17,Hypothèses!$W$17,IF(B162&lt;=Hypothèses!$V$18,Hypothèses!$W$18,""))))))))))))</f>
        <v/>
      </c>
      <c r="W162" s="87" t="e">
        <f t="shared" ca="1" si="316"/>
        <v>#DIV/0!</v>
      </c>
      <c r="X162" s="88" t="str">
        <f>IF(B162&lt;=Hypothèses!$V$7,Hypothèses!$X$7,IF(B162&lt;=Hypothèses!$V$8,Hypothèses!$X$8,IF(B162&lt;=Hypothèses!$V$9,Hypothèses!$X$9,IF(B162&lt;=Hypothèses!$V$10,Hypothèses!$X$10,IF(B162&lt;=Hypothèses!$V$11,Hypothèses!$X$11,IF(B162&lt;=Hypothèses!$V$12,Hypothèses!$X$12,IF(B162&lt;=Hypothèses!$V$13,Hypothèses!$X$13,IF(B162&lt;=Hypothèses!$V$14,Hypothèses!$X$14,IF(B162&lt;=Hypothèses!$V$15,Hypothèses!$X$15,IF(B162&lt;=Hypothèses!$V$16,Hypothèses!$X$16,IF(B162&lt;=Hypothèses!$U$17,Hypothèses!$W$17,IF(B162&lt;=Hypothèses!$U$18,Hypothèses!$W$18,""))))))))))))</f>
        <v/>
      </c>
      <c r="Y162" s="95" t="e">
        <f t="shared" ca="1" si="236"/>
        <v>#DIV/0!</v>
      </c>
      <c r="Z162" s="101" t="e">
        <f t="shared" si="237"/>
        <v>#N/A</v>
      </c>
      <c r="AA162" s="91" t="e">
        <f t="shared" si="238"/>
        <v>#N/A</v>
      </c>
      <c r="AB162" s="30" t="e">
        <f t="shared" si="300"/>
        <v>#N/A</v>
      </c>
      <c r="AC162" s="30" t="e">
        <f t="shared" si="301"/>
        <v>#N/A</v>
      </c>
      <c r="AD162" s="31" t="e">
        <f>IF(OR(Hypothèses!$B$4=17,Hypothèses!$B$4=18,Hypothèses!$B$4=19,Hypothèses!$B$4=20),
IF($D162="Pressio.",
IF(OR($E162=3,$E162=1,$E162=4),AC162,AB162),
IF($D162="Pénétro.",
IF(OR($E162=3,$E162=1,$E162=4),AC162,AB162))),IF($D162="Pressio.",
IF($E162=3,AC162,AB162),
IF($D162="Pénétro.",
IF($E162=4,AC162,AB162))))</f>
        <v>#N/A</v>
      </c>
      <c r="AE162" s="31" t="e">
        <f>(IF(OR(Hypothèses!$B$4=17,Hypothèses!$B$4=18,Hypothèses!$B$4=19,Hypothèses!$B$4=20),
IF($D162="Pressio.",
IF(OR($E162=3,$E162=1,$E162=4),(PI()*AE$12^2)/4*(AA162*$W162*1000)/($H162*$B$5),(PI()*AE$12^2)/4*(AA162*$W162*1000)/($G162*$B$5)),
IF($D162="Pénétro.",
IF(OR($E162=4,$E162=1,$E162=5),(PI()*AE$12^2)/4*(AA162*$W162*1000)/($H162*$B$5),(PI()*AE$12^2)/4*(AA162*$W162*1000)/($G162*$B$5)))),
IF($D162="Pressio.",
IF($E162=3,(PI()*AE$12^2)/4*(AA162*$W162*1000)/($H162*$B$5),(PI()*AE$12^2)/4*(AA162*$W162*1000)/($G162*$B$5)),
IF($D162="Pénétro.",
IF($E162=4,(PI()*AE$12^2)/4*(AA162*$W162*1000)/($H162*$B$5),(PI()*AE$12^2)/4*(AA162*$W162*1000)/($G162*$B$5))))))/10</f>
        <v>#N/A</v>
      </c>
      <c r="AF162" s="102" t="e">
        <f>(VLOOKUP($B$3,'Coeff EC7'!$T$39:$X$59,2,0)*AD162+VLOOKUP($B$3,'Coeff EC7'!$T$65:$X$85,2,0)*Model0.1C!AE162)/1.1</f>
        <v>#N/A</v>
      </c>
      <c r="AG162" s="102" t="e">
        <f>(VLOOKUP($B$3,'Coeff EC7'!$T$39:$X$59,3,0)*AD162+VLOOKUP($B$3,'Coeff EC7'!$T$65:$X$85,3,0)*Model0.1C!AE162)/0.9</f>
        <v>#N/A</v>
      </c>
      <c r="AH162" s="102" t="e">
        <f t="shared" si="239"/>
        <v>#N/A</v>
      </c>
      <c r="AI162" s="102" t="e">
        <f t="shared" si="240"/>
        <v>#N/A</v>
      </c>
      <c r="AJ162" s="414" t="e">
        <f>IF(AJ161=0,0,IF(AND(AF162&gt;charge_ELS_quasi,AG162&gt;Charge_ELS_freq,AH162&gt;charge_ELU,AI162&gt;charge_ELA,$B162&gt;NDC!$H$22-0.1+MIN(3*$AJ$12,1.5)),0,1))</f>
        <v>#N/A</v>
      </c>
      <c r="AK162" s="86" t="b">
        <f t="shared" si="241"/>
        <v>0</v>
      </c>
      <c r="AL162" s="86">
        <f t="shared" si="270"/>
        <v>0.5</v>
      </c>
      <c r="AM162" s="86">
        <f t="shared" si="242"/>
        <v>0.5</v>
      </c>
      <c r="AN162" s="30" t="e">
        <f t="shared" ca="1" si="271"/>
        <v>#DIV/0!</v>
      </c>
      <c r="AO162" s="85" t="e">
        <f ca="1">IF(U162&lt;=Hypothèses!$V$7,Hypothèses!$W$7,IF(U162&lt;=Hypothèses!$V$8,Hypothèses!$W$8,IF(U162&lt;=Hypothèses!$V$9,Hypothèses!$W$9,IF(U162&lt;=Hypothèses!$V$10,Hypothèses!$W$10,IF(U162&lt;=Hypothèses!$V$11,Hypothèses!$W$11,IF(U162&lt;=Hypothèses!$V$12,Hypothèses!$W$12,IF(U162&lt;=Hypothèses!$V$13,Hypothèses!$W$13,IF(U162&lt;=Hypothèses!$V$14,Hypothèses!$W$14,IF(U162&lt;=Hypothèses!$V$15,Hypothèses!$W$15,IF(U162&lt;=Hypothèses!$V$16,Hypothèses!$W$16,IF(U162&lt;=Hypothèses!$V$17,Hypothèses!$W$17,IF(U162&lt;=Hypothèses!$V$18,Hypothèses!$W$18,""))))))))))))</f>
        <v>#DIV/0!</v>
      </c>
      <c r="AP162" s="87" t="e">
        <f t="shared" ca="1" si="317"/>
        <v>#DIV/0!</v>
      </c>
      <c r="AQ162" s="88" t="e">
        <f ca="1">IF(U162&lt;=Hypothèses!$V$7,Hypothèses!$X$7,IF(U162&lt;=Hypothèses!$V$8,Hypothèses!$X$8,IF(U162&lt;=Hypothèses!$V$9,Hypothèses!$X$9,IF(U162&lt;=Hypothèses!$V$10,Hypothèses!$X$10,IF(U162&lt;=Hypothèses!$V$11,Hypothèses!$X$11,IF(U162&lt;=Hypothèses!$V$12,Hypothèses!$X$12,IF(U162&lt;=Hypothèses!$V$13,Hypothèses!$X$13,IF(U162&lt;=Hypothèses!$V$14,Hypothèses!$X$14,IF(U162&lt;=Hypothèses!$V$15,Hypothèses!$X$15,IF(U162&lt;=Hypothèses!$V$16,Hypothèses!$X$16,IF(U162&lt;=Hypothèses!$U$17,Hypothèses!$W$17,IF(U162&lt;=Hypothèses!$U$18,Hypothèses!$W$18,""))))))))))))</f>
        <v>#DIV/0!</v>
      </c>
      <c r="AR162" s="95" t="e">
        <f t="shared" ca="1" si="272"/>
        <v>#DIV/0!</v>
      </c>
      <c r="AS162" s="101" t="e">
        <f t="shared" si="324"/>
        <v>#N/A</v>
      </c>
      <c r="AT162" s="91" t="e">
        <f t="shared" si="243"/>
        <v>#N/A</v>
      </c>
      <c r="AU162" s="30" t="e">
        <f t="shared" si="302"/>
        <v>#N/A</v>
      </c>
      <c r="AV162" s="30" t="e">
        <f t="shared" si="303"/>
        <v>#N/A</v>
      </c>
      <c r="AW162" s="31" t="e">
        <f>IF(OR(Hypothèses!$B$4=17,Hypothèses!$B$4=18,Hypothèses!$B$4=19,Hypothèses!$B$4=20),
IF($D162="Pressio.",
IF(OR($E162=3,$E162=1,$E162=4),AV162,AU162),
IF($D162="Pénétro.",
IF(OR($E162=3,$E162=1,$E162=4),AV162,AU162))),IF($D162="Pressio.",
IF($E162=3,AV162,AU162),
IF($D162="Pénétro.",
IF($E162=4,AV162,AU162))))</f>
        <v>#N/A</v>
      </c>
      <c r="AX162" s="31" t="e">
        <f>(IF(OR(Hypothèses!$B$4=17,Hypothèses!$B$4=18,Hypothèses!$B$4=19,Hypothèses!$B$4=20),
IF($D162="Pressio.",
IF(OR($E162=3,$E162=1,$E162=4),(PI()*AX$12^2)/4*(AT162*$W162*1000)/($H162*$B$5),(PI()*AX$12^2)/4*(AT162*$W162*1000)/($G162*$B$5)),
IF($D162="Pénétro.",
IF(OR($E162=4,$E162=1,$E162=5),(PI()*AX$12^2)/4*(AT162*$W162*1000)/($H162*$B$5),(PI()*AX$12^2)/4*(AT162*$W162*1000)/($G162*$B$5)))),
IF($D162="Pressio.",
IF($E162=3,(PI()*AX$12^2)/4*(AT162*$W162*1000)/($H162*$B$5),(PI()*AX$12^2)/4*(AT162*$W162*1000)/($G162*$B$5)),
IF($D162="Pénétro.",
IF($E162=4,(PI()*AX$12^2)/4*(AT162*$W162*1000)/($H162*$B$5),(PI()*AX$12^2)/4*(AT162*$W162*1000)/($G162*$B$5))))))/10</f>
        <v>#N/A</v>
      </c>
      <c r="AY162" s="102" t="e">
        <f>(VLOOKUP($B$3,'Coeff EC7'!$T$39:$X$59,2,0)*AW162+VLOOKUP($B$3,'Coeff EC7'!$T$65:$X$85,2,0)*Model0.1C!AX162)/1.1</f>
        <v>#N/A</v>
      </c>
      <c r="AZ162" s="102" t="e">
        <f>(VLOOKUP($B$3,'Coeff EC7'!$T$39:$X$59,3,0)*AW162+VLOOKUP($B$3,'Coeff EC7'!$T$65:$X$85,3,0)*Model0.1C!AX162)/0.9</f>
        <v>#N/A</v>
      </c>
      <c r="BA162" s="102" t="e">
        <f t="shared" si="273"/>
        <v>#N/A</v>
      </c>
      <c r="BB162" s="102" t="e">
        <f t="shared" si="274"/>
        <v>#N/A</v>
      </c>
      <c r="BC162" s="414" t="e">
        <f>IF(BC161=0,0,IF(AND(AY162&gt;charge_ELS_quasi,AZ162&gt;Charge_ELS_freq,BA162&gt;charge_ELU,BB162&gt;charge_ELA,$B162&gt;NDC!$H$22-0.1+MIN(3*$BC$12,1.5)),0,1))</f>
        <v>#N/A</v>
      </c>
      <c r="BD162" s="86" t="b">
        <f t="shared" si="244"/>
        <v>0</v>
      </c>
      <c r="BE162" s="86">
        <f t="shared" si="275"/>
        <v>0.5</v>
      </c>
      <c r="BF162" s="86">
        <f t="shared" si="245"/>
        <v>0.5</v>
      </c>
      <c r="BG162" s="30" t="e">
        <f t="shared" ca="1" si="276"/>
        <v>#DIV/0!</v>
      </c>
      <c r="BH162" s="85" t="e">
        <f ca="1">IF(AN162&lt;=Hypothèses!$V$7,Hypothèses!$W$7,IF(AN162&lt;=Hypothèses!$V$8,Hypothèses!$W$8,IF(AN162&lt;=Hypothèses!$V$9,Hypothèses!$W$9,IF(AN162&lt;=Hypothèses!$V$10,Hypothèses!$W$10,IF(AN162&lt;=Hypothèses!$V$11,Hypothèses!$W$11,IF(AN162&lt;=Hypothèses!$V$12,Hypothèses!$W$12,IF(AN162&lt;=Hypothèses!$V$13,Hypothèses!$W$13,IF(AN162&lt;=Hypothèses!$V$14,Hypothèses!$W$14,IF(AN162&lt;=Hypothèses!$V$15,Hypothèses!$W$15,IF(AN162&lt;=Hypothèses!$V$16,Hypothèses!$W$16,IF(AN162&lt;=Hypothèses!$V$17,Hypothèses!$W$17,IF(AN162&lt;=Hypothèses!$V$18,Hypothèses!$W$18,""))))))))))))</f>
        <v>#DIV/0!</v>
      </c>
      <c r="BI162" s="87" t="e">
        <f t="shared" ca="1" si="318"/>
        <v>#DIV/0!</v>
      </c>
      <c r="BJ162" s="88" t="e">
        <f ca="1">IF(AN162&lt;=Hypothèses!$V$7,Hypothèses!$X$7,IF(AN162&lt;=Hypothèses!$V$8,Hypothèses!$X$8,IF(AN162&lt;=Hypothèses!$V$9,Hypothèses!$X$9,IF(AN162&lt;=Hypothèses!$V$10,Hypothèses!$X$10,IF(AN162&lt;=Hypothèses!$V$11,Hypothèses!$X$11,IF(AN162&lt;=Hypothèses!$V$12,Hypothèses!$X$12,IF(AN162&lt;=Hypothèses!$V$13,Hypothèses!$X$13,IF(AN162&lt;=Hypothèses!$V$14,Hypothèses!$X$14,IF(AN162&lt;=Hypothèses!$V$15,Hypothèses!$X$15,IF(AN162&lt;=Hypothèses!$V$16,Hypothèses!$X$16,IF(AN162&lt;=Hypothèses!$U$17,Hypothèses!$W$17,IF(AN162&lt;=Hypothèses!$U$18,Hypothèses!$W$18,""))))))))))))</f>
        <v>#DIV/0!</v>
      </c>
      <c r="BK162" s="95" t="e">
        <f t="shared" ca="1" si="277"/>
        <v>#DIV/0!</v>
      </c>
      <c r="BL162" s="101" t="e">
        <f t="shared" si="325"/>
        <v>#N/A</v>
      </c>
      <c r="BM162" s="91" t="e">
        <f t="shared" si="246"/>
        <v>#N/A</v>
      </c>
      <c r="BN162" s="30" t="e">
        <f t="shared" si="304"/>
        <v>#N/A</v>
      </c>
      <c r="BO162" s="30" t="e">
        <f t="shared" si="305"/>
        <v>#N/A</v>
      </c>
      <c r="BP162" s="31" t="e">
        <f>IF(OR(Hypothèses!$B$4=17,Hypothèses!$B$4=18,Hypothèses!$B$4=19,Hypothèses!$B$4=20),
IF($D162="Pressio.",
IF(OR($E162=3,$E162=1,$E162=4),BO162,BN162),
IF($D162="Pénétro.",
IF(OR($E162=3,$E162=1,$E162=4),BO162,BN162))),IF($D162="Pressio.",
IF($E162=3,BO162,BN162),
IF($D162="Pénétro.",
IF($E162=4,BO162,BN162))))</f>
        <v>#N/A</v>
      </c>
      <c r="BQ162" s="31" t="e">
        <f>(IF(OR(Hypothèses!$B$4=17,Hypothèses!$B$4=18,Hypothèses!$B$4=19,Hypothèses!$B$4=20),
IF($D162="Pressio.",
IF(OR($E162=3,$E162=1,$E162=4),(PI()*BQ$12^2)/4*(BM162*$W162*1000)/($H162*$B$5),(PI()*BQ$12^2)/4*(BM162*$W162*1000)/($G162*$B$5)),
IF($D162="Pénétro.",
IF(OR($E162=4,$E162=1,$E162=5),(PI()*BQ$12^2)/4*(BM162*$W162*1000)/($H162*$B$5),(PI()*BQ$12^2)/4*(BM162*$W162*1000)/($G162*$B$5)))),
IF($D162="Pressio.",
IF($E162=3,(PI()*BQ$12^2)/4*(BM162*$W162*1000)/($H162*$B$5),(PI()*BQ$12^2)/4*(BM162*$W162*1000)/($G162*$B$5)),
IF($D162="Pénétro.",
IF($E162=4,(PI()*BQ$12^2)/4*(BM162*$W162*1000)/($H162*$B$5),(PI()*BQ$12^2)/4*(BM162*$W162*1000)/($G162*$B$5))))))/10</f>
        <v>#N/A</v>
      </c>
      <c r="BR162" s="102" t="e">
        <f>(VLOOKUP($B$3,'Coeff EC7'!$T$39:$X$59,2,0)*BP162+VLOOKUP($B$3,'Coeff EC7'!$T$65:$X$85,2,0)*Model0.1C!BQ162)/1.1</f>
        <v>#N/A</v>
      </c>
      <c r="BS162" s="102" t="e">
        <f>(VLOOKUP($B$3,'Coeff EC7'!$T$39:$X$59,3,0)*BP162+VLOOKUP($B$3,'Coeff EC7'!$T$65:$X$85,3,0)*Model0.1C!BQ162)/0.9</f>
        <v>#N/A</v>
      </c>
      <c r="BT162" s="102" t="e">
        <f t="shared" si="278"/>
        <v>#N/A</v>
      </c>
      <c r="BU162" s="102" t="e">
        <f t="shared" si="279"/>
        <v>#N/A</v>
      </c>
      <c r="BV162" s="414" t="e">
        <f>IF(BV161=0,0,IF(AND(BR162&gt;charge_ELS_quasi,BS162&gt;Charge_ELS_freq,BT162&gt;charge_ELU,BU162&gt;charge_ELA,$B162&gt;NDC!$H$22-0.1+MIN(3*$BV$12,1.5)),0,1))</f>
        <v>#N/A</v>
      </c>
      <c r="BW162" s="86" t="b">
        <f t="shared" si="247"/>
        <v>0</v>
      </c>
      <c r="BX162" s="86">
        <f t="shared" si="248"/>
        <v>0.5</v>
      </c>
      <c r="BY162" s="86">
        <f t="shared" si="249"/>
        <v>0.5</v>
      </c>
      <c r="BZ162" s="30" t="e">
        <f t="shared" ca="1" si="280"/>
        <v>#DIV/0!</v>
      </c>
      <c r="CA162" s="85" t="e">
        <f ca="1">IF(BG162&lt;=Hypothèses!$V$7,Hypothèses!$W$7,IF(BG162&lt;=Hypothèses!$V$8,Hypothèses!$W$8,IF(BG162&lt;=Hypothèses!$V$9,Hypothèses!$W$9,IF(BG162&lt;=Hypothèses!$V$10,Hypothèses!$W$10,IF(BG162&lt;=Hypothèses!$V$11,Hypothèses!$W$11,IF(BG162&lt;=Hypothèses!$V$12,Hypothèses!$W$12,IF(BG162&lt;=Hypothèses!$V$13,Hypothèses!$W$13,IF(BG162&lt;=Hypothèses!$V$14,Hypothèses!$W$14,IF(BG162&lt;=Hypothèses!$V$15,Hypothèses!$W$15,IF(BG162&lt;=Hypothèses!$V$16,Hypothèses!$W$16,IF(BG162&lt;=Hypothèses!$V$17,Hypothèses!$W$17,IF(BG162&lt;=Hypothèses!$V$18,Hypothèses!$W$18,""))))))))))))</f>
        <v>#DIV/0!</v>
      </c>
      <c r="CB162" s="87" t="e">
        <f t="shared" ca="1" si="319"/>
        <v>#DIV/0!</v>
      </c>
      <c r="CC162" s="88" t="e">
        <f ca="1">IF(BG162&lt;=Hypothèses!$V$7,Hypothèses!$X$7,IF(BG162&lt;=Hypothèses!$V$8,Hypothèses!$X$8,IF(BG162&lt;=Hypothèses!$V$9,Hypothèses!$X$9,IF(BG162&lt;=Hypothèses!$V$10,Hypothèses!$X$10,IF(BG162&lt;=Hypothèses!$V$11,Hypothèses!$X$11,IF(BG162&lt;=Hypothèses!$V$12,Hypothèses!$X$12,IF(BG162&lt;=Hypothèses!$V$13,Hypothèses!$X$13,IF(BG162&lt;=Hypothèses!$V$14,Hypothèses!$X$14,IF(BG162&lt;=Hypothèses!$V$15,Hypothèses!$X$15,IF(BG162&lt;=Hypothèses!$V$16,Hypothèses!$X$16,IF(BG162&lt;=Hypothèses!$U$17,Hypothèses!$W$17,IF(BG162&lt;=Hypothèses!$U$18,Hypothèses!$W$18,""))))))))))))</f>
        <v>#DIV/0!</v>
      </c>
      <c r="CD162" s="95" t="e">
        <f t="shared" ca="1" si="281"/>
        <v>#DIV/0!</v>
      </c>
      <c r="CE162" s="101" t="e">
        <f t="shared" si="326"/>
        <v>#N/A</v>
      </c>
      <c r="CF162" s="91" t="e">
        <f t="shared" si="250"/>
        <v>#N/A</v>
      </c>
      <c r="CG162" s="30" t="e">
        <f t="shared" si="306"/>
        <v>#N/A</v>
      </c>
      <c r="CH162" s="30" t="e">
        <f t="shared" si="307"/>
        <v>#N/A</v>
      </c>
      <c r="CI162" s="31" t="e">
        <f>IF(OR(Hypothèses!$B$4=17,Hypothèses!$B$4=18,Hypothèses!$B$4=19,Hypothèses!$B$4=20),
IF($D162="Pressio.",
IF(OR($E162=3,$E162=1,$E162=4),CH162,CG162),
IF($D162="Pénétro.",
IF(OR($E162=3,$E162=1,$E162=4),CH162,CG162))),IF($D162="Pressio.",
IF($E162=3,CH162,CG162),
IF($D162="Pénétro.",
IF($E162=4,CH162,CG162))))</f>
        <v>#N/A</v>
      </c>
      <c r="CJ162" s="31" t="e">
        <f>(IF(OR(Hypothèses!$B$4=17,Hypothèses!$B$4=18,Hypothèses!$B$4=19,Hypothèses!$B$4=20),
IF($D162="Pressio.",
IF(OR($E162=3,$E162=1,$E162=4),(PI()*CJ$12^2)/4*(CF162*$W162*1000)/($H162*$B$5),(PI()*CJ$12^2)/4*(CF162*$W162*1000)/($G162*$B$5)),
IF($D162="Pénétro.",
IF(OR($E162=4,$E162=1,$E162=5),(PI()*CJ$12^2)/4*(CF162*$W162*1000)/($H162*$B$5),(PI()*CJ$12^2)/4*(CF162*$W162*1000)/($G162*$B$5)))),
IF($D162="Pressio.",
IF($E162=3,(PI()*CJ$12^2)/4*(CF162*$W162*1000)/($H162*$B$5),(PI()*CJ$12^2)/4*(CF162*$W162*1000)/($G162*$B$5)),
IF($D162="Pénétro.",
IF($E162=4,(PI()*CJ$12^2)/4*(CF162*$W162*1000)/($H162*$B$5),(PI()*CJ$12^2)/4*(CF162*$W162*1000)/($G162*$B$5))))))/10</f>
        <v>#N/A</v>
      </c>
      <c r="CK162" s="102" t="e">
        <f>(VLOOKUP($B$3,'Coeff EC7'!$T$39:$X$59,2,0)*CI162+VLOOKUP($B$3,'Coeff EC7'!$T$65:$X$85,2,0)*Model0.1C!CJ162)/1.1</f>
        <v>#N/A</v>
      </c>
      <c r="CL162" s="102" t="e">
        <f>(VLOOKUP($B$3,'Coeff EC7'!$T$39:$X$59,3,0)*CI162+VLOOKUP($B$3,'Coeff EC7'!$T$65:$X$85,3,0)*Model0.1C!CJ162)/0.9</f>
        <v>#N/A</v>
      </c>
      <c r="CM162" s="102" t="e">
        <f t="shared" si="282"/>
        <v>#N/A</v>
      </c>
      <c r="CN162" s="102" t="e">
        <f t="shared" si="283"/>
        <v>#N/A</v>
      </c>
      <c r="CO162" s="414" t="e">
        <f>IF(CO161=0,0,IF(AND(CK162&gt;charge_ELS_quasi,CL162&gt;Charge_ELS_freq,CM162&gt;charge_ELU,CN162&gt;charge_ELA,$B162&gt;NDC!$H$22-0.1+MIN(3*$CO$12,1.5)),0,1))</f>
        <v>#N/A</v>
      </c>
      <c r="CP162" s="86" t="b">
        <f t="shared" si="251"/>
        <v>0</v>
      </c>
      <c r="CQ162" s="86">
        <f t="shared" si="252"/>
        <v>0.5</v>
      </c>
      <c r="CR162" s="86">
        <f t="shared" si="253"/>
        <v>0.5</v>
      </c>
      <c r="CS162" s="30" t="e">
        <f t="shared" ca="1" si="284"/>
        <v>#DIV/0!</v>
      </c>
      <c r="CT162" s="85" t="e">
        <f ca="1">IF(BZ162&lt;=Hypothèses!$V$7,Hypothèses!$W$7,IF(BZ162&lt;=Hypothèses!$V$8,Hypothèses!$W$8,IF(BZ162&lt;=Hypothèses!$V$9,Hypothèses!$W$9,IF(BZ162&lt;=Hypothèses!$V$10,Hypothèses!$W$10,IF(BZ162&lt;=Hypothèses!$V$11,Hypothèses!$W$11,IF(BZ162&lt;=Hypothèses!$V$12,Hypothèses!$W$12,IF(BZ162&lt;=Hypothèses!$V$13,Hypothèses!$W$13,IF(BZ162&lt;=Hypothèses!$V$14,Hypothèses!$W$14,IF(BZ162&lt;=Hypothèses!$V$15,Hypothèses!$W$15,IF(BZ162&lt;=Hypothèses!$V$16,Hypothèses!$W$16,IF(BZ162&lt;=Hypothèses!$V$17,Hypothèses!$W$17,IF(BZ162&lt;=Hypothèses!$V$18,Hypothèses!$W$18,""))))))))))))</f>
        <v>#DIV/0!</v>
      </c>
      <c r="CU162" s="87" t="e">
        <f t="shared" ca="1" si="320"/>
        <v>#DIV/0!</v>
      </c>
      <c r="CV162" s="88" t="e">
        <f ca="1">IF(BZ162&lt;=Hypothèses!$V$7,Hypothèses!$X$7,IF(BZ162&lt;=Hypothèses!$V$8,Hypothèses!$X$8,IF(BZ162&lt;=Hypothèses!$V$9,Hypothèses!$X$9,IF(BZ162&lt;=Hypothèses!$V$10,Hypothèses!$X$10,IF(BZ162&lt;=Hypothèses!$V$11,Hypothèses!$X$11,IF(BZ162&lt;=Hypothèses!$V$12,Hypothèses!$X$12,IF(BZ162&lt;=Hypothèses!$V$13,Hypothèses!$X$13,IF(BZ162&lt;=Hypothèses!$V$14,Hypothèses!$X$14,IF(BZ162&lt;=Hypothèses!$V$15,Hypothèses!$X$15,IF(BZ162&lt;=Hypothèses!$V$16,Hypothèses!$X$16,IF(BZ162&lt;=Hypothèses!$U$17,Hypothèses!$W$17,IF(BZ162&lt;=Hypothèses!$U$18,Hypothèses!$W$18,""))))))))))))</f>
        <v>#DIV/0!</v>
      </c>
      <c r="CW162" s="95" t="e">
        <f t="shared" ca="1" si="285"/>
        <v>#DIV/0!</v>
      </c>
      <c r="CX162" s="101" t="e">
        <f t="shared" si="327"/>
        <v>#N/A</v>
      </c>
      <c r="CY162" s="91" t="e">
        <f t="shared" si="254"/>
        <v>#N/A</v>
      </c>
      <c r="CZ162" s="30" t="e">
        <f t="shared" si="308"/>
        <v>#N/A</v>
      </c>
      <c r="DA162" s="30" t="e">
        <f t="shared" si="309"/>
        <v>#N/A</v>
      </c>
      <c r="DB162" s="31" t="e">
        <f>IF(OR(Hypothèses!$B$4=17,Hypothèses!$B$4=18,Hypothèses!$B$4=19,Hypothèses!$B$4=20),
IF($D162="Pressio.",
IF(OR($E162=3,$E162=1,$E162=4),DA162,CZ162),
IF($D162="Pénétro.",
IF(OR($E162=3,$E162=1,$E162=4),DA162,CZ162))),IF($D162="Pressio.",
IF($E162=3,DA162,CZ162),
IF($D162="Pénétro.",
IF($E162=4,DA162,CZ162))))</f>
        <v>#N/A</v>
      </c>
      <c r="DC162" s="31" t="e">
        <f>(IF(OR(Hypothèses!$B$4=17,Hypothèses!$B$4=18,Hypothèses!$B$4=19,Hypothèses!$B$4=20),
IF($D162="Pressio.",
IF(OR($E162=3,$E162=1,$E162=4),(PI()*DC$12^2)/4*(CY162*$W162*1000)/($H162*$B$5),(PI()*DC$12^2)/4*(CY162*$W162*1000)/($G162*$B$5)),
IF($D162="Pénétro.",
IF(OR($E162=4,$E162=1,$E162=5),(PI()*DC$12^2)/4*(CY162*$W162*1000)/($H162*$B$5),(PI()*DC$12^2)/4*(CY162*$W162*1000)/($G162*$B$5)))),
IF($D162="Pressio.",
IF($E162=3,(PI()*DC$12^2)/4*(CY162*$W162*1000)/($H162*$B$5),(PI()*DC$12^2)/4*(CY162*$W162*1000)/($G162*$B$5)),
IF($D162="Pénétro.",
IF($E162=4,(PI()*DC$12^2)/4*(CY162*$W162*1000)/($H162*$B$5),(PI()*DC$12^2)/4*(CY162*$W162*1000)/($G162*$B$5))))))/10</f>
        <v>#N/A</v>
      </c>
      <c r="DD162" s="102" t="e">
        <f>(VLOOKUP($B$3,'Coeff EC7'!$T$39:$X$59,2,0)*DB162+VLOOKUP($B$3,'Coeff EC7'!$T$65:$X$85,2,0)*Model0.1C!DC162)/1.1</f>
        <v>#N/A</v>
      </c>
      <c r="DE162" s="102" t="e">
        <f>(VLOOKUP($B$3,'Coeff EC7'!$T$39:$X$59,3,0)*DB162+VLOOKUP($B$3,'Coeff EC7'!$T$65:$X$85,3,0)*Model0.1C!DC162)/0.9</f>
        <v>#N/A</v>
      </c>
      <c r="DF162" s="102" t="e">
        <f t="shared" si="286"/>
        <v>#N/A</v>
      </c>
      <c r="DG162" s="102" t="e">
        <f t="shared" si="287"/>
        <v>#N/A</v>
      </c>
      <c r="DH162" s="414" t="e">
        <f>IF(DH161=0,0,IF(AND(DD162&gt;charge_ELS_quasi,DE162&gt;Charge_ELS_freq,DF162&gt;charge_ELU,DG162&gt;charge_ELA,$B162&gt;NDC!$H$22-0.1+MIN(3*$DH$12,1.5)),0,1))</f>
        <v>#N/A</v>
      </c>
      <c r="DI162" s="86" t="b">
        <f t="shared" si="255"/>
        <v>0</v>
      </c>
      <c r="DJ162" s="86">
        <f t="shared" si="256"/>
        <v>0.5</v>
      </c>
      <c r="DK162" s="86">
        <f t="shared" si="257"/>
        <v>0.5</v>
      </c>
      <c r="DL162" s="30" t="e">
        <f t="shared" ca="1" si="288"/>
        <v>#DIV/0!</v>
      </c>
      <c r="DM162" s="85" t="e">
        <f ca="1">IF(CS162&lt;=Hypothèses!$V$7,Hypothèses!$W$7,IF(CS162&lt;=Hypothèses!$V$8,Hypothèses!$W$8,IF(CS162&lt;=Hypothèses!$V$9,Hypothèses!$W$9,IF(CS162&lt;=Hypothèses!$V$10,Hypothèses!$W$10,IF(CS162&lt;=Hypothèses!$V$11,Hypothèses!$W$11,IF(CS162&lt;=Hypothèses!$V$12,Hypothèses!$W$12,IF(CS162&lt;=Hypothèses!$V$13,Hypothèses!$W$13,IF(CS162&lt;=Hypothèses!$V$14,Hypothèses!$W$14,IF(CS162&lt;=Hypothèses!$V$15,Hypothèses!$W$15,IF(CS162&lt;=Hypothèses!$V$16,Hypothèses!$W$16,IF(CS162&lt;=Hypothèses!$V$17,Hypothèses!$W$17,IF(CS162&lt;=Hypothèses!$V$18,Hypothèses!$W$18,""))))))))))))</f>
        <v>#DIV/0!</v>
      </c>
      <c r="DN162" s="87" t="e">
        <f t="shared" ca="1" si="321"/>
        <v>#DIV/0!</v>
      </c>
      <c r="DO162" s="88" t="e">
        <f ca="1">IF(CS162&lt;=Hypothèses!$V$7,Hypothèses!$X$7,IF(CS162&lt;=Hypothèses!$V$8,Hypothèses!$X$8,IF(CS162&lt;=Hypothèses!$V$9,Hypothèses!$X$9,IF(CS162&lt;=Hypothèses!$V$10,Hypothèses!$X$10,IF(CS162&lt;=Hypothèses!$V$11,Hypothèses!$X$11,IF(CS162&lt;=Hypothèses!$V$12,Hypothèses!$X$12,IF(CS162&lt;=Hypothèses!$V$13,Hypothèses!$X$13,IF(CS162&lt;=Hypothèses!$V$14,Hypothèses!$X$14,IF(CS162&lt;=Hypothèses!$V$15,Hypothèses!$X$15,IF(CS162&lt;=Hypothèses!$V$16,Hypothèses!$X$16,IF(CS162&lt;=Hypothèses!$U$17,Hypothèses!$W$17,IF(CS162&lt;=Hypothèses!$U$18,Hypothèses!$W$18,""))))))))))))</f>
        <v>#DIV/0!</v>
      </c>
      <c r="DP162" s="95" t="e">
        <f t="shared" ca="1" si="289"/>
        <v>#DIV/0!</v>
      </c>
      <c r="DQ162" s="101" t="e">
        <f t="shared" si="328"/>
        <v>#N/A</v>
      </c>
      <c r="DR162" s="91" t="e">
        <f t="shared" si="258"/>
        <v>#N/A</v>
      </c>
      <c r="DS162" s="30" t="e">
        <f t="shared" si="310"/>
        <v>#N/A</v>
      </c>
      <c r="DT162" s="30" t="e">
        <f t="shared" si="311"/>
        <v>#N/A</v>
      </c>
      <c r="DU162" s="31" t="e">
        <f>IF(OR(Hypothèses!$B$4=17,Hypothèses!$B$4=18,Hypothèses!$B$4=19,Hypothèses!$B$4=20),
IF($D162="Pressio.",
IF(OR($E162=3,$E162=1,$E162=4),DT162,DS162),
IF($D162="Pénétro.",
IF(OR($E162=3,$E162=1,$E162=4),DT162,DS162))),IF($D162="Pressio.",
IF($E162=3,DT162,DS162),
IF($D162="Pénétro.",
IF($E162=4,DT162,DS162))))</f>
        <v>#N/A</v>
      </c>
      <c r="DV162" s="31" t="e">
        <f>(IF(OR(Hypothèses!$B$4=17,Hypothèses!$B$4=18,Hypothèses!$B$4=19,Hypothèses!$B$4=20),
IF($D162="Pressio.",
IF(OR($E162=3,$E162=1,$E162=4),(PI()*DV$12^2)/4*(DR162*$W162*1000)/($H162*$B$5),(PI()*DV$12^2)/4*(DR162*$W162*1000)/($G162*$B$5)),
IF($D162="Pénétro.",
IF(OR($E162=4,$E162=1,$E162=5),(PI()*DV$12^2)/4*(DR162*$W162*1000)/($H162*$B$5),(PI()*DV$12^2)/4*(DR162*$W162*1000)/($G162*$B$5)))),
IF($D162="Pressio.",
IF($E162=3,(PI()*DV$12^2)/4*(DR162*$W162*1000)/($H162*$B$5),(PI()*DV$12^2)/4*(DR162*$W162*1000)/($G162*$B$5)),
IF($D162="Pénétro.",
IF($E162=4,(PI()*DV$12^2)/4*(DR162*$W162*1000)/($H162*$B$5),(PI()*DV$12^2)/4*(DR162*$W162*1000)/($G162*$B$5))))))/10</f>
        <v>#N/A</v>
      </c>
      <c r="DW162" s="102" t="e">
        <f>(VLOOKUP($B$3,'Coeff EC7'!$T$39:$X$59,2,0)*DU162+VLOOKUP($B$3,'Coeff EC7'!$T$65:$X$85,2,0)*Model0.1C!DV162)/1.1</f>
        <v>#N/A</v>
      </c>
      <c r="DX162" s="102" t="e">
        <f>(VLOOKUP($B$3,'Coeff EC7'!$T$39:$X$59,3,0)*DU162+VLOOKUP($B$3,'Coeff EC7'!$T$65:$X$85,3,0)*Model0.1C!DV162)/0.9</f>
        <v>#N/A</v>
      </c>
      <c r="DY162" s="102" t="e">
        <f t="shared" si="290"/>
        <v>#N/A</v>
      </c>
      <c r="DZ162" s="102" t="e">
        <f t="shared" si="291"/>
        <v>#N/A</v>
      </c>
      <c r="EA162" s="414" t="e">
        <f>IF(EA161=0,0,IF(AND(DW162&gt;charge_ELS_quasi,DX162&gt;Charge_ELS_freq,DY162&gt;charge_ELU,DZ162&gt;charge_ELA,$B162&gt;NDC!$H$22-0.1+MIN(3*$EA$12,1.5)),0,1))</f>
        <v>#N/A</v>
      </c>
      <c r="EB162" s="86" t="b">
        <f t="shared" si="259"/>
        <v>0</v>
      </c>
      <c r="EC162" s="418">
        <f t="shared" si="260"/>
        <v>0.51</v>
      </c>
      <c r="ED162" s="86">
        <f t="shared" si="261"/>
        <v>0.51</v>
      </c>
      <c r="EE162" s="30" t="e">
        <f t="shared" ca="1" si="292"/>
        <v>#DIV/0!</v>
      </c>
      <c r="EF162" s="85" t="e">
        <f ca="1">IF(DL162&lt;=Hypothèses!$V$7,Hypothèses!$W$7,IF(DL162&lt;=Hypothèses!$V$8,Hypothèses!$W$8,IF(DL162&lt;=Hypothèses!$V$9,Hypothèses!$W$9,IF(DL162&lt;=Hypothèses!$V$10,Hypothèses!$W$10,IF(DL162&lt;=Hypothèses!$V$11,Hypothèses!$W$11,IF(DL162&lt;=Hypothèses!$V$12,Hypothèses!$W$12,IF(DL162&lt;=Hypothèses!$V$13,Hypothèses!$W$13,IF(DL162&lt;=Hypothèses!$V$14,Hypothèses!$W$14,IF(DL162&lt;=Hypothèses!$V$15,Hypothèses!$W$15,IF(DL162&lt;=Hypothèses!$V$16,Hypothèses!$W$16,IF(DL162&lt;=Hypothèses!$V$17,Hypothèses!$W$17,IF(DL162&lt;=Hypothèses!$V$18,Hypothèses!$W$18,""))))))))))))</f>
        <v>#DIV/0!</v>
      </c>
      <c r="EG162" s="87" t="e">
        <f t="shared" ca="1" si="322"/>
        <v>#DIV/0!</v>
      </c>
      <c r="EH162" s="88" t="e">
        <f ca="1">IF(DL162&lt;=Hypothèses!$V$7,Hypothèses!$X$7,IF(DL162&lt;=Hypothèses!$V$8,Hypothèses!$X$8,IF(DL162&lt;=Hypothèses!$V$9,Hypothèses!$X$9,IF(DL162&lt;=Hypothèses!$V$10,Hypothèses!$X$10,IF(DL162&lt;=Hypothèses!$V$11,Hypothèses!$X$11,IF(DL162&lt;=Hypothèses!$V$12,Hypothèses!$X$12,IF(DL162&lt;=Hypothèses!$V$13,Hypothèses!$X$13,IF(DL162&lt;=Hypothèses!$V$14,Hypothèses!$X$14,IF(DL162&lt;=Hypothèses!$V$15,Hypothèses!$X$15,IF(DL162&lt;=Hypothèses!$V$16,Hypothèses!$X$16,IF(DL162&lt;=Hypothèses!$U$17,Hypothèses!$W$17,IF(DL162&lt;=Hypothèses!$U$18,Hypothèses!$W$18,""))))))))))))</f>
        <v>#DIV/0!</v>
      </c>
      <c r="EI162" s="95" t="e">
        <f t="shared" ca="1" si="293"/>
        <v>#DIV/0!</v>
      </c>
      <c r="EJ162" s="101" t="e">
        <f t="shared" si="329"/>
        <v>#N/A</v>
      </c>
      <c r="EK162" s="91" t="e">
        <f t="shared" si="262"/>
        <v>#N/A</v>
      </c>
      <c r="EL162" s="30" t="e">
        <f t="shared" si="312"/>
        <v>#N/A</v>
      </c>
      <c r="EM162" s="30" t="e">
        <f t="shared" si="313"/>
        <v>#N/A</v>
      </c>
      <c r="EN162" s="31" t="e">
        <f>IF(OR(Hypothèses!$B$4=17,Hypothèses!$B$4=18,Hypothèses!$B$4=19,Hypothèses!$B$4=20),
IF($D162="Pressio.",
IF(OR($E162=3,$E162=1,$E162=4),EM162,EL162),
IF($D162="Pénétro.",
IF(OR($E162=3,$E162=1,$E162=4),EM162,EL162))),IF($D162="Pressio.",
IF($E162=3,EM162,EL162),
IF($D162="Pénétro.",
IF($E162=4,EM162,EL162))))</f>
        <v>#N/A</v>
      </c>
      <c r="EO162" s="31" t="e">
        <f>(IF(OR(Hypothèses!$B$4=17,Hypothèses!$B$4=18,Hypothèses!$B$4=19,Hypothèses!$B$4=20),
IF($D162="Pressio.",
IF(OR($E162=3,$E162=1,$E162=4),(PI()*EO$12^2)/4*(EK162*$W162*1000)/($H162*$B$5),(PI()*EO$12^2)/4*(EK162*$W162*1000)/($G162*$B$5)),
IF($D162="Pénétro.",
IF(OR($E162=4,$E162=1,$E162=5),(PI()*EO$12^2)/4*(EK162*$W162*1000)/($H162*$B$5),(PI()*EO$12^2)/4*(EK162*$W162*1000)/($G162*$B$5)))),
IF($D162="Pressio.",
IF($E162=3,(PI()*EO$12^2)/4*(EK162*$W162*1000)/($H162*$B$5),(PI()*EO$12^2)/4*(EK162*$W162*1000)/($G162*$B$5)),
IF($D162="Pénétro.",
IF($E162=4,(PI()*EO$12^2)/4*(EK162*$W162*1000)/($H162*$B$5),(PI()*EO$12^2)/4*(EK162*$W162*1000)/($G162*$B$5))))))/10</f>
        <v>#N/A</v>
      </c>
      <c r="EP162" s="102" t="e">
        <f>(VLOOKUP($B$3,'Coeff EC7'!$T$39:$X$59,2,0)*EN162+VLOOKUP($B$3,'Coeff EC7'!$T$65:$X$85,2,0)*Model0.1C!EO162)/1.1</f>
        <v>#N/A</v>
      </c>
      <c r="EQ162" s="102" t="e">
        <f>(VLOOKUP($B$3,'Coeff EC7'!$T$39:$X$59,3,0)*EN162+VLOOKUP($B$3,'Coeff EC7'!$T$65:$X$85,3,0)*Model0.1C!EO162)/0.9</f>
        <v>#N/A</v>
      </c>
      <c r="ER162" s="102" t="e">
        <f t="shared" si="294"/>
        <v>#N/A</v>
      </c>
      <c r="ES162" s="102" t="e">
        <f t="shared" si="295"/>
        <v>#N/A</v>
      </c>
      <c r="ET162" s="414" t="e">
        <f>IF(ET161=0,0,IF(AND(EP162&gt;charge_ELS_quasi,EQ162&gt;Charge_ELS_freq,ER162&gt;charge_ELU,ES162&gt;charge_ELA,$B162&gt;NDC!$H$22-0.1+MIN(3*$ET$12,1.5)),0,1))</f>
        <v>#N/A</v>
      </c>
      <c r="EU162" s="86" t="b">
        <f t="shared" si="263"/>
        <v>0</v>
      </c>
      <c r="EV162" s="86">
        <f t="shared" si="264"/>
        <v>0.61</v>
      </c>
      <c r="EW162" s="86">
        <f t="shared" si="265"/>
        <v>0.61</v>
      </c>
      <c r="EX162" s="30" t="e">
        <f t="shared" ca="1" si="296"/>
        <v>#DIV/0!</v>
      </c>
      <c r="EY162" s="85" t="e">
        <f ca="1">IF(EE162&lt;=Hypothèses!$V$7,Hypothèses!$W$7,IF(EE162&lt;=Hypothèses!$V$8,Hypothèses!$W$8,IF(EE162&lt;=Hypothèses!$V$9,Hypothèses!$W$9,IF(EE162&lt;=Hypothèses!$V$10,Hypothèses!$W$10,IF(EE162&lt;=Hypothèses!$V$11,Hypothèses!$W$11,IF(EE162&lt;=Hypothèses!$V$12,Hypothèses!$W$12,IF(EE162&lt;=Hypothèses!$V$13,Hypothèses!$W$13,IF(EE162&lt;=Hypothèses!$V$14,Hypothèses!$W$14,IF(EE162&lt;=Hypothèses!$V$15,Hypothèses!$W$15,IF(EE162&lt;=Hypothèses!$V$16,Hypothèses!$W$16,IF(EE162&lt;=Hypothèses!$V$17,Hypothèses!$W$17,IF(EE162&lt;=Hypothèses!$V$18,Hypothèses!$W$18,""))))))))))))</f>
        <v>#DIV/0!</v>
      </c>
      <c r="EZ162" s="87" t="e">
        <f t="shared" ca="1" si="323"/>
        <v>#DIV/0!</v>
      </c>
      <c r="FA162" s="88" t="e">
        <f ca="1">IF(EE162&lt;=Hypothèses!$V$7,Hypothèses!$X$7,IF(EE162&lt;=Hypothèses!$V$8,Hypothèses!$X$8,IF(EE162&lt;=Hypothèses!$V$9,Hypothèses!$X$9,IF(EE162&lt;=Hypothèses!$V$10,Hypothèses!$X$10,IF(EE162&lt;=Hypothèses!$V$11,Hypothèses!$X$11,IF(EE162&lt;=Hypothèses!$V$12,Hypothèses!$X$12,IF(EE162&lt;=Hypothèses!$V$13,Hypothèses!$X$13,IF(EE162&lt;=Hypothèses!$V$14,Hypothèses!$X$14,IF(EE162&lt;=Hypothèses!$V$15,Hypothèses!$X$15,IF(EE162&lt;=Hypothèses!$V$16,Hypothèses!$X$16,IF(EE162&lt;=Hypothèses!$U$17,Hypothèses!$W$17,IF(EE162&lt;=Hypothèses!$U$18,Hypothèses!$W$18,""))))))))))))</f>
        <v>#DIV/0!</v>
      </c>
      <c r="FB162" s="95" t="e">
        <f t="shared" ca="1" si="297"/>
        <v>#DIV/0!</v>
      </c>
      <c r="FC162" s="101" t="e">
        <f t="shared" si="330"/>
        <v>#N/A</v>
      </c>
      <c r="FD162" s="91" t="e">
        <f t="shared" si="266"/>
        <v>#N/A</v>
      </c>
      <c r="FE162" s="30" t="e">
        <f t="shared" si="314"/>
        <v>#N/A</v>
      </c>
      <c r="FF162" s="30" t="e">
        <f t="shared" si="315"/>
        <v>#N/A</v>
      </c>
      <c r="FG162" s="31" t="e">
        <f>IF(OR(Hypothèses!$B$4=17,Hypothèses!$B$4=18,Hypothèses!$B$4=19,Hypothèses!$B$4=20),
IF($D162="Pressio.",
IF(OR($E162=3,$E162=1,$E162=4),FF162,FE162),
IF($D162="Pénétro.",
IF(OR($E162=3,$E162=1,$E162=4),FF162,FE162))),IF($D162="Pressio.",
IF($E162=3,FF162,FE162),
IF($D162="Pénétro.",
IF($E162=4,FF162,FE162))))</f>
        <v>#N/A</v>
      </c>
      <c r="FH162" s="31" t="e">
        <f>(IF(OR(Hypothèses!$B$4=17,Hypothèses!$B$4=18,Hypothèses!$B$4=19,Hypothèses!$B$4=20),
IF($D162="Pressio.",
IF(OR($E162=3,$E162=1,$E162=4),(PI()*FH$12^2)/4*(FD162*$W162*1000)/($H162*$B$5),(PI()*FH$12^2)/4*(FD162*$W162*1000)/($G162*$B$5)),
IF($D162="Pénétro.",
IF(OR($E162=4,$E162=1,$E162=5),(PI()*FH$12^2)/4*(FD162*$W162*1000)/($H162*$B$5),(PI()*FH$12^2)/4*(FD162*$W162*1000)/($G162*$B$5)))),
IF($D162="Pressio.",
IF($E162=3,(PI()*FH$12^2)/4*(FD162*$W162*1000)/($H162*$B$5),(PI()*FH$12^2)/4*(FD162*$W162*1000)/($G162*$B$5)),
IF($D162="Pénétro.",
IF($E162=4,(PI()*FH$12^2)/4*(FD162*$W162*1000)/($H162*$B$5),(PI()*FH$12^2)/4*(FD162*$W162*1000)/($G162*$B$5))))))/10</f>
        <v>#N/A</v>
      </c>
      <c r="FI162" s="102" t="e">
        <f>(VLOOKUP($B$3,'Coeff EC7'!$T$39:$X$59,2,0)*FG162+VLOOKUP($B$3,'Coeff EC7'!$T$65:$X$85,2,0)*Model0.1C!FH162)/1.1</f>
        <v>#N/A</v>
      </c>
      <c r="FJ162" s="102" t="e">
        <f>(VLOOKUP($B$3,'Coeff EC7'!$T$39:$X$59,3,0)*FG162+VLOOKUP($B$3,'Coeff EC7'!$T$65:$X$85,3,0)*Model0.1C!FH162)/0.9</f>
        <v>#N/A</v>
      </c>
      <c r="FK162" s="102" t="e">
        <f t="shared" si="298"/>
        <v>#N/A</v>
      </c>
      <c r="FL162" s="102" t="e">
        <f t="shared" si="299"/>
        <v>#N/A</v>
      </c>
      <c r="FM162" s="414" t="e">
        <f>IF(FM161=0,0,IF(AND(FI162&gt;charge_ELS_quasi,FJ162&gt;Charge_ELS_freq,FK162&gt;charge_ELU,FL162&gt;charge_ELA,$B162&gt;NDC!$H$22-0.1+MIN(3*$FM$12,1.5)),0,1))</f>
        <v>#N/A</v>
      </c>
    </row>
    <row r="163" spans="1:169">
      <c r="A163" s="96">
        <f t="shared" si="267"/>
        <v>85.000000000000853</v>
      </c>
      <c r="B163" s="97">
        <v>15</v>
      </c>
      <c r="C163" s="81">
        <f>IF(B163&lt;=Hypothèses!$C$7,Hypothèses!$A$7,IF(B163&lt;=Hypothèses!$C$8,Hypothèses!$A$8,IF(B163&lt;=Hypothèses!$C$9,Hypothèses!$A$9,IF(B163&lt;=Hypothèses!$C$10,Hypothèses!$A$10,IF(B163&lt;=Hypothèses!$C$11,Hypothèses!$A$11,IF(B163&lt;=Hypothèses!$C$12,Hypothèses!$A$12,IF(B163&lt;=Hypothèses!$C$13,Hypothèses!$A$13,IF(B163&lt;=Hypothèses!$C$14,Hypothèses!$A$14,IF(B163&lt;=Hypothèses!$C$15,Hypothèses!$A$15,IF(B163&lt;=Hypothèses!$C$16,Hypothèses!$A$16,IF(B163&lt;=Hypothèses!$C$17,Hypothèses!$A$17,IF(B163&lt;=Hypothèses!$C$18,Hypothèses!$A$18,C162))))))))))))</f>
        <v>11</v>
      </c>
      <c r="D163" s="82" t="str">
        <f>IF(B163&lt;=Hypothèses!$C$7,Hypothèses!$R$7,IF(B163&lt;=Hypothèses!$C$8,Hypothèses!$R$8,IF(B163&lt;=Hypothèses!$C$9,Hypothèses!$R$9,IF(B163&lt;=Hypothèses!$C$10,Hypothèses!$R$10,IF(B163&lt;=Hypothèses!$C$11,Hypothèses!$R$11,IF(B163&lt;=Hypothèses!$C$12,Hypothèses!$R$12,IF(B163&lt;=Hypothèses!$C$13,Hypothèses!$R$13,IF(B163&lt;=Hypothèses!$C$14,Hypothèses!$R$14,IF(B163&lt;=Hypothèses!$C$15,Hypothèses!$R$15,IF(B163&lt;=Hypothèses!$C$16,Hypothèses!$R$16,IF(B163&lt;=Hypothèses!$C$17,Hypothèses!$R$17,IF(B163&lt;=Hypothèses!$C$18,Hypothèses!$R$18,D162))))))))))))</f>
        <v>Pressio.</v>
      </c>
      <c r="E163" s="82" t="e">
        <f>IF(B163&lt;=Hypothèses!$C$7,Hypothèses!$G$7,IF(B163&lt;=Hypothèses!$C$8,Hypothèses!$G$8,IF(B163&lt;=Hypothèses!$C$9,Hypothèses!$G$9,IF(B163&lt;=Hypothèses!$C$10,Hypothèses!$G$10,IF(B163&lt;=Hypothèses!$C$11,Hypothèses!$G$11,IF(B163&lt;=Hypothèses!$C$12,Hypothèses!$G$12,IF(B163&lt;=Hypothèses!$C$13,Hypothèses!$G$13,IF(B163&lt;=Hypothèses!$C$14,Hypothèses!$G$14,IF(B163&lt;=Hypothèses!$C$15,Hypothèses!$G$15,IF(B163&lt;=Hypothèses!$C$16,Hypothèses!$G$16,IF(B163&lt;=Hypothèses!$C$17,Hypothèses!$G$17,IF(B163&lt;=Hypothèses!$C$18,Hypothèses!$G$18,E162))))))))))))</f>
        <v>#N/A</v>
      </c>
      <c r="F163" s="82" t="str">
        <f>IF(B163&lt;=Hypothèses!$C$7,Hypothèses!$F$7,IF(B163&lt;=Hypothèses!$C$8,Hypothèses!$F$8,IF(B163&lt;=Hypothèses!$C$9,Hypothèses!$F$9,IF(B163&lt;=Hypothèses!$C$10,Hypothèses!$F$10,IF(B163&lt;=Hypothèses!$C$11,Hypothèses!$F$11,IF(B163&lt;=Hypothèses!$C$12,Hypothèses!$F$12,IF(B163&lt;=Hypothèses!$C$13,Hypothèses!$F$13,IF(B163&lt;=Hypothèses!$C$14,Hypothèses!$F$14,IF(B163&lt;=Hypothèses!$C$15,Hypothèses!$F$15,IF(B163&lt;=Hypothèses!$C$16,Hypothèses!$F$16,IF(B163&lt;=Hypothèses!$C$17,Hypothèses!$F$17,IF(B163&lt;=Hypothèses!$C$18,Hypothèses!$F$18,F162))))))))))))</f>
        <v/>
      </c>
      <c r="G163" s="91">
        <f t="array" ref="G163">INDEX('Coeff EC7'!$U$7:$X$27,
MATCH(Model0.1C!$B$3,'Coeff EC7'!$T$7:$T$27,0),
MATCH(Model0.1C!$D163&amp;Model0.1C!$B$4,
'Coeff EC7'!$U$6:$X$6&amp;
'Coeff EC7'!$U$5:$X$5,0))</f>
        <v>1.1499999999999999</v>
      </c>
      <c r="H163" s="91">
        <f t="array" ref="H163">INDEX('Coeff EC7'!$Y$7:$AB$27,
MATCH(Model0.1C!$B$3,'Coeff EC7'!$T$7:$T$27,0),
MATCH(Model0.1C!$D163&amp;Model0.1C!$B$4,
'Coeff EC7'!$Y$6:$AB$6&amp;
'Coeff EC7'!$Y$5:$AB$5,0))</f>
        <v>1.4</v>
      </c>
      <c r="I163" s="83" t="e">
        <f>IF(B163&lt;=Hypothèses!$C$7,Hypothèses!$P$7,IF(B163&lt;=Hypothèses!$C$8,Hypothèses!$P$8,IF(B163&lt;=Hypothèses!$C$9,Hypothèses!$P$9,IF(B163&lt;=Hypothèses!$C$10,Hypothèses!$P$10,IF(B163&lt;=Hypothèses!$C$11,Hypothèses!$P$11,IF(B163&lt;=Hypothèses!$C$12,Hypothèses!$P$12,IF(B163&lt;=Hypothèses!$C$13,Hypothèses!$P$13,IF(B163&lt;=Hypothèses!$C$14,Hypothèses!$P$14,IF(B163&lt;=Hypothèses!$C$15,Hypothèses!$P$15,IF(B163&lt;=Hypothèses!$C$16,Hypothèses!$P$16,IF(B163&lt;=Hypothèses!$C$17,Hypothèses!$P$17,IF(B163&lt;=Hypothèses!$C$18,Hypothèses!$P$18,I162))))))))))))</f>
        <v>#N/A</v>
      </c>
      <c r="J163" s="91" t="e">
        <f t="array" ref="J163">INDEX('Coeff EC7'!$D$33:$Q$33,1,MATCH(D163&amp;E163,'Coeff EC7'!$D$31:$Q$31&amp;'Coeff EC7'!$D$32:$Q$32,0))</f>
        <v>#N/A</v>
      </c>
      <c r="K163" s="91" t="e">
        <f t="array" ref="K163">INDEX('Coeff EC7'!$D$34:$Q$34,1,MATCH(D163&amp;E163,'Coeff EC7'!$D$31:$Q$31&amp;'Coeff EC7'!$D$32:$Q$32,0))</f>
        <v>#N/A</v>
      </c>
      <c r="L163" s="91" t="e">
        <f t="array" ref="L163">INDEX('Coeff EC7'!$D$35:$Q$35,1,MATCH(D163&amp;E163,'Coeff EC7'!$D$31:$Q$31&amp;'Coeff EC7'!$D$32:$Q$32,0))</f>
        <v>#N/A</v>
      </c>
      <c r="M163" s="98" t="e">
        <f t="shared" si="231"/>
        <v>#N/A</v>
      </c>
      <c r="N163" s="99" t="e">
        <f t="array" ref="N163">INDEX('Coeff EC7'!$D$7:$Q$27,MATCH($B$3,'Coeff EC7'!$C$7:$C$27,0),MATCH(D163&amp;E163,'Coeff EC7'!$D$5:$Q$5&amp;'Coeff EC7'!$D$6:$Q$6,0))</f>
        <v>#N/A</v>
      </c>
      <c r="O163" s="99" t="e">
        <f t="array" ref="O163">INDEX('Coeff EC7'!$D$41:$Q$61,MATCH($B$3,'Coeff EC7'!$C$41:$C$61,0),MATCH(D163&amp;E163,'Coeff EC7'!$D$39:$Q$39&amp;'Coeff EC7'!$D$40:$Q$40,0))</f>
        <v>#N/A</v>
      </c>
      <c r="P163" s="30" t="e">
        <f t="shared" si="268"/>
        <v>#N/A</v>
      </c>
      <c r="Q163" s="100" t="e">
        <f t="shared" si="233"/>
        <v>#N/A</v>
      </c>
      <c r="R163" s="86" t="b">
        <f t="shared" si="234"/>
        <v>0</v>
      </c>
      <c r="S163" s="86">
        <f t="shared" si="232"/>
        <v>0.5</v>
      </c>
      <c r="T163" s="86">
        <f t="shared" si="235"/>
        <v>0.5</v>
      </c>
      <c r="U163" s="30" t="e">
        <f t="shared" ca="1" si="269"/>
        <v>#DIV/0!</v>
      </c>
      <c r="V163" s="85" t="str">
        <f>IF(B163&lt;=Hypothèses!$V$7,Hypothèses!$W$7,IF(B163&lt;=Hypothèses!$V$8,Hypothèses!$W$8,IF(B163&lt;=Hypothèses!$V$9,Hypothèses!$W$9,IF(B163&lt;=Hypothèses!$V$10,Hypothèses!$W$10,IF(B163&lt;=Hypothèses!$V$11,Hypothèses!$W$11,IF(B163&lt;=Hypothèses!$V$12,Hypothèses!$W$12,IF(B163&lt;=Hypothèses!$V$13,Hypothèses!$W$13,IF(B163&lt;=Hypothèses!$V$14,Hypothèses!$W$14,IF(B163&lt;=Hypothèses!$V$15,Hypothèses!$W$15,IF(B163&lt;=Hypothèses!$V$16,Hypothèses!$W$16,IF(B163&lt;=Hypothèses!$V$17,Hypothèses!$W$17,IF(B163&lt;=Hypothèses!$V$18,Hypothèses!$W$18,""))))))))))))</f>
        <v/>
      </c>
      <c r="W163" s="87" t="e">
        <f t="shared" ca="1" si="316"/>
        <v>#DIV/0!</v>
      </c>
      <c r="X163" s="88" t="str">
        <f>IF(B163&lt;=Hypothèses!$V$7,Hypothèses!$X$7,IF(B163&lt;=Hypothèses!$V$8,Hypothèses!$X$8,IF(B163&lt;=Hypothèses!$V$9,Hypothèses!$X$9,IF(B163&lt;=Hypothèses!$V$10,Hypothèses!$X$10,IF(B163&lt;=Hypothèses!$V$11,Hypothèses!$X$11,IF(B163&lt;=Hypothèses!$V$12,Hypothèses!$X$12,IF(B163&lt;=Hypothèses!$V$13,Hypothèses!$X$13,IF(B163&lt;=Hypothèses!$V$14,Hypothèses!$X$14,IF(B163&lt;=Hypothèses!$V$15,Hypothèses!$X$15,IF(B163&lt;=Hypothèses!$V$16,Hypothèses!$X$16,IF(B163&lt;=Hypothèses!$U$17,Hypothèses!$W$17,IF(B163&lt;=Hypothèses!$U$18,Hypothèses!$W$18,""))))))))))))</f>
        <v/>
      </c>
      <c r="Y163" s="95" t="e">
        <f t="shared" ca="1" si="236"/>
        <v>#DIV/0!</v>
      </c>
      <c r="Z163" s="101" t="e">
        <f t="shared" si="237"/>
        <v>#N/A</v>
      </c>
      <c r="AA163" s="91" t="e">
        <f t="shared" si="238"/>
        <v>#N/A</v>
      </c>
      <c r="AB163" s="30" t="e">
        <f t="shared" si="300"/>
        <v>#N/A</v>
      </c>
      <c r="AC163" s="30" t="e">
        <f t="shared" si="301"/>
        <v>#N/A</v>
      </c>
      <c r="AD163" s="31" t="e">
        <f>IF(OR(Hypothèses!$B$4=17,Hypothèses!$B$4=18,Hypothèses!$B$4=19,Hypothèses!$B$4=20),
IF($D163="Pressio.",
IF(OR($E163=3,$E163=1,$E163=4),AC163,AB163),
IF($D163="Pénétro.",
IF(OR($E163=3,$E163=1,$E163=4),AC163,AB163))),IF($D163="Pressio.",
IF($E163=3,AC163,AB163),
IF($D163="Pénétro.",
IF($E163=4,AC163,AB163))))</f>
        <v>#N/A</v>
      </c>
      <c r="AE163" s="31" t="e">
        <f>(IF(OR(Hypothèses!$B$4=17,Hypothèses!$B$4=18,Hypothèses!$B$4=19,Hypothèses!$B$4=20),
IF($D163="Pressio.",
IF(OR($E163=3,$E163=1,$E163=4),(PI()*AE$12^2)/4*(AA163*$W163*1000)/($H163*$B$5),(PI()*AE$12^2)/4*(AA163*$W163*1000)/($G163*$B$5)),
IF($D163="Pénétro.",
IF(OR($E163=4,$E163=1,$E163=5),(PI()*AE$12^2)/4*(AA163*$W163*1000)/($H163*$B$5),(PI()*AE$12^2)/4*(AA163*$W163*1000)/($G163*$B$5)))),
IF($D163="Pressio.",
IF($E163=3,(PI()*AE$12^2)/4*(AA163*$W163*1000)/($H163*$B$5),(PI()*AE$12^2)/4*(AA163*$W163*1000)/($G163*$B$5)),
IF($D163="Pénétro.",
IF($E163=4,(PI()*AE$12^2)/4*(AA163*$W163*1000)/($H163*$B$5),(PI()*AE$12^2)/4*(AA163*$W163*1000)/($G163*$B$5))))))/10</f>
        <v>#N/A</v>
      </c>
      <c r="AF163" s="102" t="e">
        <f>(VLOOKUP($B$3,'Coeff EC7'!$T$39:$X$59,2,0)*AD163+VLOOKUP($B$3,'Coeff EC7'!$T$65:$X$85,2,0)*Model0.1C!AE163)/1.1</f>
        <v>#N/A</v>
      </c>
      <c r="AG163" s="102" t="e">
        <f>(VLOOKUP($B$3,'Coeff EC7'!$T$39:$X$59,3,0)*AD163+VLOOKUP($B$3,'Coeff EC7'!$T$65:$X$85,3,0)*Model0.1C!AE163)/0.9</f>
        <v>#N/A</v>
      </c>
      <c r="AH163" s="102" t="e">
        <f t="shared" si="239"/>
        <v>#N/A</v>
      </c>
      <c r="AI163" s="102" t="e">
        <f t="shared" si="240"/>
        <v>#N/A</v>
      </c>
      <c r="AJ163" s="414" t="e">
        <f>IF(AJ162=0,0,IF(AND(AF163&gt;charge_ELS_quasi,AG163&gt;Charge_ELS_freq,AH163&gt;charge_ELU,AI163&gt;charge_ELA,$B163&gt;NDC!$H$22-0.1+MIN(3*$AJ$12,1.5)),0,1))</f>
        <v>#N/A</v>
      </c>
      <c r="AK163" s="86" t="b">
        <f t="shared" si="241"/>
        <v>0</v>
      </c>
      <c r="AL163" s="86">
        <f t="shared" si="270"/>
        <v>0.5</v>
      </c>
      <c r="AM163" s="86">
        <f t="shared" si="242"/>
        <v>0.5</v>
      </c>
      <c r="AN163" s="30" t="e">
        <f t="shared" ca="1" si="271"/>
        <v>#DIV/0!</v>
      </c>
      <c r="AO163" s="85" t="e">
        <f ca="1">IF(U163&lt;=Hypothèses!$V$7,Hypothèses!$W$7,IF(U163&lt;=Hypothèses!$V$8,Hypothèses!$W$8,IF(U163&lt;=Hypothèses!$V$9,Hypothèses!$W$9,IF(U163&lt;=Hypothèses!$V$10,Hypothèses!$W$10,IF(U163&lt;=Hypothèses!$V$11,Hypothèses!$W$11,IF(U163&lt;=Hypothèses!$V$12,Hypothèses!$W$12,IF(U163&lt;=Hypothèses!$V$13,Hypothèses!$W$13,IF(U163&lt;=Hypothèses!$V$14,Hypothèses!$W$14,IF(U163&lt;=Hypothèses!$V$15,Hypothèses!$W$15,IF(U163&lt;=Hypothèses!$V$16,Hypothèses!$W$16,IF(U163&lt;=Hypothèses!$V$17,Hypothèses!$W$17,IF(U163&lt;=Hypothèses!$V$18,Hypothèses!$W$18,""))))))))))))</f>
        <v>#DIV/0!</v>
      </c>
      <c r="AP163" s="87" t="e">
        <f t="shared" ca="1" si="317"/>
        <v>#DIV/0!</v>
      </c>
      <c r="AQ163" s="88" t="e">
        <f ca="1">IF(U163&lt;=Hypothèses!$V$7,Hypothèses!$X$7,IF(U163&lt;=Hypothèses!$V$8,Hypothèses!$X$8,IF(U163&lt;=Hypothèses!$V$9,Hypothèses!$X$9,IF(U163&lt;=Hypothèses!$V$10,Hypothèses!$X$10,IF(U163&lt;=Hypothèses!$V$11,Hypothèses!$X$11,IF(U163&lt;=Hypothèses!$V$12,Hypothèses!$X$12,IF(U163&lt;=Hypothèses!$V$13,Hypothèses!$X$13,IF(U163&lt;=Hypothèses!$V$14,Hypothèses!$X$14,IF(U163&lt;=Hypothèses!$V$15,Hypothèses!$X$15,IF(U163&lt;=Hypothèses!$V$16,Hypothèses!$X$16,IF(U163&lt;=Hypothèses!$U$17,Hypothèses!$W$17,IF(U163&lt;=Hypothèses!$U$18,Hypothèses!$W$18,""))))))))))))</f>
        <v>#DIV/0!</v>
      </c>
      <c r="AR163" s="95" t="e">
        <f t="shared" ca="1" si="272"/>
        <v>#DIV/0!</v>
      </c>
      <c r="AS163" s="101" t="e">
        <f t="shared" si="324"/>
        <v>#N/A</v>
      </c>
      <c r="AT163" s="91" t="e">
        <f t="shared" si="243"/>
        <v>#N/A</v>
      </c>
      <c r="AU163" s="30" t="e">
        <f t="shared" si="302"/>
        <v>#N/A</v>
      </c>
      <c r="AV163" s="30" t="e">
        <f t="shared" si="303"/>
        <v>#N/A</v>
      </c>
      <c r="AW163" s="31" t="e">
        <f>IF(OR(Hypothèses!$B$4=17,Hypothèses!$B$4=18,Hypothèses!$B$4=19,Hypothèses!$B$4=20),
IF($D163="Pressio.",
IF(OR($E163=3,$E163=1,$E163=4),AV163,AU163),
IF($D163="Pénétro.",
IF(OR($E163=3,$E163=1,$E163=4),AV163,AU163))),IF($D163="Pressio.",
IF($E163=3,AV163,AU163),
IF($D163="Pénétro.",
IF($E163=4,AV163,AU163))))</f>
        <v>#N/A</v>
      </c>
      <c r="AX163" s="31" t="e">
        <f>(IF(OR(Hypothèses!$B$4=17,Hypothèses!$B$4=18,Hypothèses!$B$4=19,Hypothèses!$B$4=20),
IF($D163="Pressio.",
IF(OR($E163=3,$E163=1,$E163=4),(PI()*AX$12^2)/4*(AT163*$W163*1000)/($H163*$B$5),(PI()*AX$12^2)/4*(AT163*$W163*1000)/($G163*$B$5)),
IF($D163="Pénétro.",
IF(OR($E163=4,$E163=1,$E163=5),(PI()*AX$12^2)/4*(AT163*$W163*1000)/($H163*$B$5),(PI()*AX$12^2)/4*(AT163*$W163*1000)/($G163*$B$5)))),
IF($D163="Pressio.",
IF($E163=3,(PI()*AX$12^2)/4*(AT163*$W163*1000)/($H163*$B$5),(PI()*AX$12^2)/4*(AT163*$W163*1000)/($G163*$B$5)),
IF($D163="Pénétro.",
IF($E163=4,(PI()*AX$12^2)/4*(AT163*$W163*1000)/($H163*$B$5),(PI()*AX$12^2)/4*(AT163*$W163*1000)/($G163*$B$5))))))/10</f>
        <v>#N/A</v>
      </c>
      <c r="AY163" s="102" t="e">
        <f>(VLOOKUP($B$3,'Coeff EC7'!$T$39:$X$59,2,0)*AW163+VLOOKUP($B$3,'Coeff EC7'!$T$65:$X$85,2,0)*Model0.1C!AX163)/1.1</f>
        <v>#N/A</v>
      </c>
      <c r="AZ163" s="102" t="e">
        <f>(VLOOKUP($B$3,'Coeff EC7'!$T$39:$X$59,3,0)*AW163+VLOOKUP($B$3,'Coeff EC7'!$T$65:$X$85,3,0)*Model0.1C!AX163)/0.9</f>
        <v>#N/A</v>
      </c>
      <c r="BA163" s="102" t="e">
        <f t="shared" si="273"/>
        <v>#N/A</v>
      </c>
      <c r="BB163" s="102" t="e">
        <f t="shared" si="274"/>
        <v>#N/A</v>
      </c>
      <c r="BC163" s="414" t="e">
        <f>IF(BC162=0,0,IF(AND(AY163&gt;charge_ELS_quasi,AZ163&gt;Charge_ELS_freq,BA163&gt;charge_ELU,BB163&gt;charge_ELA,$B163&gt;NDC!$H$22-0.1+MIN(3*$BC$12,1.5)),0,1))</f>
        <v>#N/A</v>
      </c>
      <c r="BD163" s="86" t="b">
        <f t="shared" si="244"/>
        <v>0</v>
      </c>
      <c r="BE163" s="86">
        <f t="shared" si="275"/>
        <v>0.5</v>
      </c>
      <c r="BF163" s="86">
        <f t="shared" si="245"/>
        <v>0.5</v>
      </c>
      <c r="BG163" s="30" t="e">
        <f t="shared" ca="1" si="276"/>
        <v>#DIV/0!</v>
      </c>
      <c r="BH163" s="85" t="e">
        <f ca="1">IF(AN163&lt;=Hypothèses!$V$7,Hypothèses!$W$7,IF(AN163&lt;=Hypothèses!$V$8,Hypothèses!$W$8,IF(AN163&lt;=Hypothèses!$V$9,Hypothèses!$W$9,IF(AN163&lt;=Hypothèses!$V$10,Hypothèses!$W$10,IF(AN163&lt;=Hypothèses!$V$11,Hypothèses!$W$11,IF(AN163&lt;=Hypothèses!$V$12,Hypothèses!$W$12,IF(AN163&lt;=Hypothèses!$V$13,Hypothèses!$W$13,IF(AN163&lt;=Hypothèses!$V$14,Hypothèses!$W$14,IF(AN163&lt;=Hypothèses!$V$15,Hypothèses!$W$15,IF(AN163&lt;=Hypothèses!$V$16,Hypothèses!$W$16,IF(AN163&lt;=Hypothèses!$V$17,Hypothèses!$W$17,IF(AN163&lt;=Hypothèses!$V$18,Hypothèses!$W$18,""))))))))))))</f>
        <v>#DIV/0!</v>
      </c>
      <c r="BI163" s="87" t="e">
        <f t="shared" ca="1" si="318"/>
        <v>#DIV/0!</v>
      </c>
      <c r="BJ163" s="88" t="e">
        <f ca="1">IF(AN163&lt;=Hypothèses!$V$7,Hypothèses!$X$7,IF(AN163&lt;=Hypothèses!$V$8,Hypothèses!$X$8,IF(AN163&lt;=Hypothèses!$V$9,Hypothèses!$X$9,IF(AN163&lt;=Hypothèses!$V$10,Hypothèses!$X$10,IF(AN163&lt;=Hypothèses!$V$11,Hypothèses!$X$11,IF(AN163&lt;=Hypothèses!$V$12,Hypothèses!$X$12,IF(AN163&lt;=Hypothèses!$V$13,Hypothèses!$X$13,IF(AN163&lt;=Hypothèses!$V$14,Hypothèses!$X$14,IF(AN163&lt;=Hypothèses!$V$15,Hypothèses!$X$15,IF(AN163&lt;=Hypothèses!$V$16,Hypothèses!$X$16,IF(AN163&lt;=Hypothèses!$U$17,Hypothèses!$W$17,IF(AN163&lt;=Hypothèses!$U$18,Hypothèses!$W$18,""))))))))))))</f>
        <v>#DIV/0!</v>
      </c>
      <c r="BK163" s="95" t="e">
        <f t="shared" ca="1" si="277"/>
        <v>#DIV/0!</v>
      </c>
      <c r="BL163" s="101" t="e">
        <f t="shared" si="325"/>
        <v>#N/A</v>
      </c>
      <c r="BM163" s="91" t="e">
        <f t="shared" si="246"/>
        <v>#N/A</v>
      </c>
      <c r="BN163" s="30" t="e">
        <f t="shared" si="304"/>
        <v>#N/A</v>
      </c>
      <c r="BO163" s="30" t="e">
        <f t="shared" si="305"/>
        <v>#N/A</v>
      </c>
      <c r="BP163" s="31" t="e">
        <f>IF(OR(Hypothèses!$B$4=17,Hypothèses!$B$4=18,Hypothèses!$B$4=19,Hypothèses!$B$4=20),
IF($D163="Pressio.",
IF(OR($E163=3,$E163=1,$E163=4),BO163,BN163),
IF($D163="Pénétro.",
IF(OR($E163=3,$E163=1,$E163=4),BO163,BN163))),IF($D163="Pressio.",
IF($E163=3,BO163,BN163),
IF($D163="Pénétro.",
IF($E163=4,BO163,BN163))))</f>
        <v>#N/A</v>
      </c>
      <c r="BQ163" s="31" t="e">
        <f>(IF(OR(Hypothèses!$B$4=17,Hypothèses!$B$4=18,Hypothèses!$B$4=19,Hypothèses!$B$4=20),
IF($D163="Pressio.",
IF(OR($E163=3,$E163=1,$E163=4),(PI()*BQ$12^2)/4*(BM163*$W163*1000)/($H163*$B$5),(PI()*BQ$12^2)/4*(BM163*$W163*1000)/($G163*$B$5)),
IF($D163="Pénétro.",
IF(OR($E163=4,$E163=1,$E163=5),(PI()*BQ$12^2)/4*(BM163*$W163*1000)/($H163*$B$5),(PI()*BQ$12^2)/4*(BM163*$W163*1000)/($G163*$B$5)))),
IF($D163="Pressio.",
IF($E163=3,(PI()*BQ$12^2)/4*(BM163*$W163*1000)/($H163*$B$5),(PI()*BQ$12^2)/4*(BM163*$W163*1000)/($G163*$B$5)),
IF($D163="Pénétro.",
IF($E163=4,(PI()*BQ$12^2)/4*(BM163*$W163*1000)/($H163*$B$5),(PI()*BQ$12^2)/4*(BM163*$W163*1000)/($G163*$B$5))))))/10</f>
        <v>#N/A</v>
      </c>
      <c r="BR163" s="102" t="e">
        <f>(VLOOKUP($B$3,'Coeff EC7'!$T$39:$X$59,2,0)*BP163+VLOOKUP($B$3,'Coeff EC7'!$T$65:$X$85,2,0)*Model0.1C!BQ163)/1.1</f>
        <v>#N/A</v>
      </c>
      <c r="BS163" s="102" t="e">
        <f>(VLOOKUP($B$3,'Coeff EC7'!$T$39:$X$59,3,0)*BP163+VLOOKUP($B$3,'Coeff EC7'!$T$65:$X$85,3,0)*Model0.1C!BQ163)/0.9</f>
        <v>#N/A</v>
      </c>
      <c r="BT163" s="102" t="e">
        <f t="shared" si="278"/>
        <v>#N/A</v>
      </c>
      <c r="BU163" s="102" t="e">
        <f t="shared" si="279"/>
        <v>#N/A</v>
      </c>
      <c r="BV163" s="414" t="e">
        <f>IF(BV162=0,0,IF(AND(BR163&gt;charge_ELS_quasi,BS163&gt;Charge_ELS_freq,BT163&gt;charge_ELU,BU163&gt;charge_ELA,$B163&gt;NDC!$H$22-0.1+MIN(3*$BV$12,1.5)),0,1))</f>
        <v>#N/A</v>
      </c>
      <c r="BW163" s="86" t="b">
        <f t="shared" si="247"/>
        <v>0</v>
      </c>
      <c r="BX163" s="86">
        <f t="shared" si="248"/>
        <v>0.5</v>
      </c>
      <c r="BY163" s="86">
        <f t="shared" si="249"/>
        <v>0.5</v>
      </c>
      <c r="BZ163" s="30" t="e">
        <f t="shared" ca="1" si="280"/>
        <v>#DIV/0!</v>
      </c>
      <c r="CA163" s="85" t="e">
        <f ca="1">IF(BG163&lt;=Hypothèses!$V$7,Hypothèses!$W$7,IF(BG163&lt;=Hypothèses!$V$8,Hypothèses!$W$8,IF(BG163&lt;=Hypothèses!$V$9,Hypothèses!$W$9,IF(BG163&lt;=Hypothèses!$V$10,Hypothèses!$W$10,IF(BG163&lt;=Hypothèses!$V$11,Hypothèses!$W$11,IF(BG163&lt;=Hypothèses!$V$12,Hypothèses!$W$12,IF(BG163&lt;=Hypothèses!$V$13,Hypothèses!$W$13,IF(BG163&lt;=Hypothèses!$V$14,Hypothèses!$W$14,IF(BG163&lt;=Hypothèses!$V$15,Hypothèses!$W$15,IF(BG163&lt;=Hypothèses!$V$16,Hypothèses!$W$16,IF(BG163&lt;=Hypothèses!$V$17,Hypothèses!$W$17,IF(BG163&lt;=Hypothèses!$V$18,Hypothèses!$W$18,""))))))))))))</f>
        <v>#DIV/0!</v>
      </c>
      <c r="CB163" s="87" t="e">
        <f t="shared" ca="1" si="319"/>
        <v>#DIV/0!</v>
      </c>
      <c r="CC163" s="88" t="e">
        <f ca="1">IF(BG163&lt;=Hypothèses!$V$7,Hypothèses!$X$7,IF(BG163&lt;=Hypothèses!$V$8,Hypothèses!$X$8,IF(BG163&lt;=Hypothèses!$V$9,Hypothèses!$X$9,IF(BG163&lt;=Hypothèses!$V$10,Hypothèses!$X$10,IF(BG163&lt;=Hypothèses!$V$11,Hypothèses!$X$11,IF(BG163&lt;=Hypothèses!$V$12,Hypothèses!$X$12,IF(BG163&lt;=Hypothèses!$V$13,Hypothèses!$X$13,IF(BG163&lt;=Hypothèses!$V$14,Hypothèses!$X$14,IF(BG163&lt;=Hypothèses!$V$15,Hypothèses!$X$15,IF(BG163&lt;=Hypothèses!$V$16,Hypothèses!$X$16,IF(BG163&lt;=Hypothèses!$U$17,Hypothèses!$W$17,IF(BG163&lt;=Hypothèses!$U$18,Hypothèses!$W$18,""))))))))))))</f>
        <v>#DIV/0!</v>
      </c>
      <c r="CD163" s="95" t="e">
        <f t="shared" ca="1" si="281"/>
        <v>#DIV/0!</v>
      </c>
      <c r="CE163" s="101" t="e">
        <f t="shared" si="326"/>
        <v>#N/A</v>
      </c>
      <c r="CF163" s="91" t="e">
        <f t="shared" si="250"/>
        <v>#N/A</v>
      </c>
      <c r="CG163" s="30" t="e">
        <f t="shared" si="306"/>
        <v>#N/A</v>
      </c>
      <c r="CH163" s="30" t="e">
        <f t="shared" si="307"/>
        <v>#N/A</v>
      </c>
      <c r="CI163" s="31" t="e">
        <f>IF(OR(Hypothèses!$B$4=17,Hypothèses!$B$4=18,Hypothèses!$B$4=19,Hypothèses!$B$4=20),
IF($D163="Pressio.",
IF(OR($E163=3,$E163=1,$E163=4),CH163,CG163),
IF($D163="Pénétro.",
IF(OR($E163=3,$E163=1,$E163=4),CH163,CG163))),IF($D163="Pressio.",
IF($E163=3,CH163,CG163),
IF($D163="Pénétro.",
IF($E163=4,CH163,CG163))))</f>
        <v>#N/A</v>
      </c>
      <c r="CJ163" s="31" t="e">
        <f>(IF(OR(Hypothèses!$B$4=17,Hypothèses!$B$4=18,Hypothèses!$B$4=19,Hypothèses!$B$4=20),
IF($D163="Pressio.",
IF(OR($E163=3,$E163=1,$E163=4),(PI()*CJ$12^2)/4*(CF163*$W163*1000)/($H163*$B$5),(PI()*CJ$12^2)/4*(CF163*$W163*1000)/($G163*$B$5)),
IF($D163="Pénétro.",
IF(OR($E163=4,$E163=1,$E163=5),(PI()*CJ$12^2)/4*(CF163*$W163*1000)/($H163*$B$5),(PI()*CJ$12^2)/4*(CF163*$W163*1000)/($G163*$B$5)))),
IF($D163="Pressio.",
IF($E163=3,(PI()*CJ$12^2)/4*(CF163*$W163*1000)/($H163*$B$5),(PI()*CJ$12^2)/4*(CF163*$W163*1000)/($G163*$B$5)),
IF($D163="Pénétro.",
IF($E163=4,(PI()*CJ$12^2)/4*(CF163*$W163*1000)/($H163*$B$5),(PI()*CJ$12^2)/4*(CF163*$W163*1000)/($G163*$B$5))))))/10</f>
        <v>#N/A</v>
      </c>
      <c r="CK163" s="102" t="e">
        <f>(VLOOKUP($B$3,'Coeff EC7'!$T$39:$X$59,2,0)*CI163+VLOOKUP($B$3,'Coeff EC7'!$T$65:$X$85,2,0)*Model0.1C!CJ163)/1.1</f>
        <v>#N/A</v>
      </c>
      <c r="CL163" s="102" t="e">
        <f>(VLOOKUP($B$3,'Coeff EC7'!$T$39:$X$59,3,0)*CI163+VLOOKUP($B$3,'Coeff EC7'!$T$65:$X$85,3,0)*Model0.1C!CJ163)/0.9</f>
        <v>#N/A</v>
      </c>
      <c r="CM163" s="102" t="e">
        <f t="shared" si="282"/>
        <v>#N/A</v>
      </c>
      <c r="CN163" s="102" t="e">
        <f t="shared" si="283"/>
        <v>#N/A</v>
      </c>
      <c r="CO163" s="414" t="e">
        <f>IF(CO162=0,0,IF(AND(CK163&gt;charge_ELS_quasi,CL163&gt;Charge_ELS_freq,CM163&gt;charge_ELU,CN163&gt;charge_ELA,$B163&gt;NDC!$H$22-0.1+MIN(3*$CO$12,1.5)),0,1))</f>
        <v>#N/A</v>
      </c>
      <c r="CP163" s="86" t="b">
        <f t="shared" si="251"/>
        <v>0</v>
      </c>
      <c r="CQ163" s="86">
        <f t="shared" si="252"/>
        <v>0.5</v>
      </c>
      <c r="CR163" s="86">
        <f t="shared" si="253"/>
        <v>0.5</v>
      </c>
      <c r="CS163" s="30" t="e">
        <f t="shared" ca="1" si="284"/>
        <v>#DIV/0!</v>
      </c>
      <c r="CT163" s="85" t="e">
        <f ca="1">IF(BZ163&lt;=Hypothèses!$V$7,Hypothèses!$W$7,IF(BZ163&lt;=Hypothèses!$V$8,Hypothèses!$W$8,IF(BZ163&lt;=Hypothèses!$V$9,Hypothèses!$W$9,IF(BZ163&lt;=Hypothèses!$V$10,Hypothèses!$W$10,IF(BZ163&lt;=Hypothèses!$V$11,Hypothèses!$W$11,IF(BZ163&lt;=Hypothèses!$V$12,Hypothèses!$W$12,IF(BZ163&lt;=Hypothèses!$V$13,Hypothèses!$W$13,IF(BZ163&lt;=Hypothèses!$V$14,Hypothèses!$W$14,IF(BZ163&lt;=Hypothèses!$V$15,Hypothèses!$W$15,IF(BZ163&lt;=Hypothèses!$V$16,Hypothèses!$W$16,IF(BZ163&lt;=Hypothèses!$V$17,Hypothèses!$W$17,IF(BZ163&lt;=Hypothèses!$V$18,Hypothèses!$W$18,""))))))))))))</f>
        <v>#DIV/0!</v>
      </c>
      <c r="CU163" s="87" t="e">
        <f t="shared" ca="1" si="320"/>
        <v>#DIV/0!</v>
      </c>
      <c r="CV163" s="88" t="e">
        <f ca="1">IF(BZ163&lt;=Hypothèses!$V$7,Hypothèses!$X$7,IF(BZ163&lt;=Hypothèses!$V$8,Hypothèses!$X$8,IF(BZ163&lt;=Hypothèses!$V$9,Hypothèses!$X$9,IF(BZ163&lt;=Hypothèses!$V$10,Hypothèses!$X$10,IF(BZ163&lt;=Hypothèses!$V$11,Hypothèses!$X$11,IF(BZ163&lt;=Hypothèses!$V$12,Hypothèses!$X$12,IF(BZ163&lt;=Hypothèses!$V$13,Hypothèses!$X$13,IF(BZ163&lt;=Hypothèses!$V$14,Hypothèses!$X$14,IF(BZ163&lt;=Hypothèses!$V$15,Hypothèses!$X$15,IF(BZ163&lt;=Hypothèses!$V$16,Hypothèses!$X$16,IF(BZ163&lt;=Hypothèses!$U$17,Hypothèses!$W$17,IF(BZ163&lt;=Hypothèses!$U$18,Hypothèses!$W$18,""))))))))))))</f>
        <v>#DIV/0!</v>
      </c>
      <c r="CW163" s="95" t="e">
        <f t="shared" ca="1" si="285"/>
        <v>#DIV/0!</v>
      </c>
      <c r="CX163" s="101" t="e">
        <f t="shared" si="327"/>
        <v>#N/A</v>
      </c>
      <c r="CY163" s="91" t="e">
        <f t="shared" si="254"/>
        <v>#N/A</v>
      </c>
      <c r="CZ163" s="30" t="e">
        <f t="shared" si="308"/>
        <v>#N/A</v>
      </c>
      <c r="DA163" s="30" t="e">
        <f t="shared" si="309"/>
        <v>#N/A</v>
      </c>
      <c r="DB163" s="31" t="e">
        <f>IF(OR(Hypothèses!$B$4=17,Hypothèses!$B$4=18,Hypothèses!$B$4=19,Hypothèses!$B$4=20),
IF($D163="Pressio.",
IF(OR($E163=3,$E163=1,$E163=4),DA163,CZ163),
IF($D163="Pénétro.",
IF(OR($E163=3,$E163=1,$E163=4),DA163,CZ163))),IF($D163="Pressio.",
IF($E163=3,DA163,CZ163),
IF($D163="Pénétro.",
IF($E163=4,DA163,CZ163))))</f>
        <v>#N/A</v>
      </c>
      <c r="DC163" s="31" t="e">
        <f>(IF(OR(Hypothèses!$B$4=17,Hypothèses!$B$4=18,Hypothèses!$B$4=19,Hypothèses!$B$4=20),
IF($D163="Pressio.",
IF(OR($E163=3,$E163=1,$E163=4),(PI()*DC$12^2)/4*(CY163*$W163*1000)/($H163*$B$5),(PI()*DC$12^2)/4*(CY163*$W163*1000)/($G163*$B$5)),
IF($D163="Pénétro.",
IF(OR($E163=4,$E163=1,$E163=5),(PI()*DC$12^2)/4*(CY163*$W163*1000)/($H163*$B$5),(PI()*DC$12^2)/4*(CY163*$W163*1000)/($G163*$B$5)))),
IF($D163="Pressio.",
IF($E163=3,(PI()*DC$12^2)/4*(CY163*$W163*1000)/($H163*$B$5),(PI()*DC$12^2)/4*(CY163*$W163*1000)/($G163*$B$5)),
IF($D163="Pénétro.",
IF($E163=4,(PI()*DC$12^2)/4*(CY163*$W163*1000)/($H163*$B$5),(PI()*DC$12^2)/4*(CY163*$W163*1000)/($G163*$B$5))))))/10</f>
        <v>#N/A</v>
      </c>
      <c r="DD163" s="102" t="e">
        <f>(VLOOKUP($B$3,'Coeff EC7'!$T$39:$X$59,2,0)*DB163+VLOOKUP($B$3,'Coeff EC7'!$T$65:$X$85,2,0)*Model0.1C!DC163)/1.1</f>
        <v>#N/A</v>
      </c>
      <c r="DE163" s="102" t="e">
        <f>(VLOOKUP($B$3,'Coeff EC7'!$T$39:$X$59,3,0)*DB163+VLOOKUP($B$3,'Coeff EC7'!$T$65:$X$85,3,0)*Model0.1C!DC163)/0.9</f>
        <v>#N/A</v>
      </c>
      <c r="DF163" s="102" t="e">
        <f t="shared" si="286"/>
        <v>#N/A</v>
      </c>
      <c r="DG163" s="102" t="e">
        <f t="shared" si="287"/>
        <v>#N/A</v>
      </c>
      <c r="DH163" s="414" t="e">
        <f>IF(DH162=0,0,IF(AND(DD163&gt;charge_ELS_quasi,DE163&gt;Charge_ELS_freq,DF163&gt;charge_ELU,DG163&gt;charge_ELA,$B163&gt;NDC!$H$22-0.1+MIN(3*$DH$12,1.5)),0,1))</f>
        <v>#N/A</v>
      </c>
      <c r="DI163" s="86" t="b">
        <f t="shared" si="255"/>
        <v>0</v>
      </c>
      <c r="DJ163" s="86">
        <f t="shared" si="256"/>
        <v>0.5</v>
      </c>
      <c r="DK163" s="86">
        <f t="shared" si="257"/>
        <v>0.5</v>
      </c>
      <c r="DL163" s="30" t="e">
        <f t="shared" ca="1" si="288"/>
        <v>#DIV/0!</v>
      </c>
      <c r="DM163" s="85" t="e">
        <f ca="1">IF(CS163&lt;=Hypothèses!$V$7,Hypothèses!$W$7,IF(CS163&lt;=Hypothèses!$V$8,Hypothèses!$W$8,IF(CS163&lt;=Hypothèses!$V$9,Hypothèses!$W$9,IF(CS163&lt;=Hypothèses!$V$10,Hypothèses!$W$10,IF(CS163&lt;=Hypothèses!$V$11,Hypothèses!$W$11,IF(CS163&lt;=Hypothèses!$V$12,Hypothèses!$W$12,IF(CS163&lt;=Hypothèses!$V$13,Hypothèses!$W$13,IF(CS163&lt;=Hypothèses!$V$14,Hypothèses!$W$14,IF(CS163&lt;=Hypothèses!$V$15,Hypothèses!$W$15,IF(CS163&lt;=Hypothèses!$V$16,Hypothèses!$W$16,IF(CS163&lt;=Hypothèses!$V$17,Hypothèses!$W$17,IF(CS163&lt;=Hypothèses!$V$18,Hypothèses!$W$18,""))))))))))))</f>
        <v>#DIV/0!</v>
      </c>
      <c r="DN163" s="87" t="e">
        <f t="shared" ca="1" si="321"/>
        <v>#DIV/0!</v>
      </c>
      <c r="DO163" s="88" t="e">
        <f ca="1">IF(CS163&lt;=Hypothèses!$V$7,Hypothèses!$X$7,IF(CS163&lt;=Hypothèses!$V$8,Hypothèses!$X$8,IF(CS163&lt;=Hypothèses!$V$9,Hypothèses!$X$9,IF(CS163&lt;=Hypothèses!$V$10,Hypothèses!$X$10,IF(CS163&lt;=Hypothèses!$V$11,Hypothèses!$X$11,IF(CS163&lt;=Hypothèses!$V$12,Hypothèses!$X$12,IF(CS163&lt;=Hypothèses!$V$13,Hypothèses!$X$13,IF(CS163&lt;=Hypothèses!$V$14,Hypothèses!$X$14,IF(CS163&lt;=Hypothèses!$V$15,Hypothèses!$X$15,IF(CS163&lt;=Hypothèses!$V$16,Hypothèses!$X$16,IF(CS163&lt;=Hypothèses!$U$17,Hypothèses!$W$17,IF(CS163&lt;=Hypothèses!$U$18,Hypothèses!$W$18,""))))))))))))</f>
        <v>#DIV/0!</v>
      </c>
      <c r="DP163" s="95" t="e">
        <f t="shared" ca="1" si="289"/>
        <v>#DIV/0!</v>
      </c>
      <c r="DQ163" s="101" t="e">
        <f t="shared" si="328"/>
        <v>#N/A</v>
      </c>
      <c r="DR163" s="91" t="e">
        <f t="shared" si="258"/>
        <v>#N/A</v>
      </c>
      <c r="DS163" s="30" t="e">
        <f t="shared" si="310"/>
        <v>#N/A</v>
      </c>
      <c r="DT163" s="30" t="e">
        <f t="shared" si="311"/>
        <v>#N/A</v>
      </c>
      <c r="DU163" s="31" t="e">
        <f>IF(OR(Hypothèses!$B$4=17,Hypothèses!$B$4=18,Hypothèses!$B$4=19,Hypothèses!$B$4=20),
IF($D163="Pressio.",
IF(OR($E163=3,$E163=1,$E163=4),DT163,DS163),
IF($D163="Pénétro.",
IF(OR($E163=3,$E163=1,$E163=4),DT163,DS163))),IF($D163="Pressio.",
IF($E163=3,DT163,DS163),
IF($D163="Pénétro.",
IF($E163=4,DT163,DS163))))</f>
        <v>#N/A</v>
      </c>
      <c r="DV163" s="31" t="e">
        <f>(IF(OR(Hypothèses!$B$4=17,Hypothèses!$B$4=18,Hypothèses!$B$4=19,Hypothèses!$B$4=20),
IF($D163="Pressio.",
IF(OR($E163=3,$E163=1,$E163=4),(PI()*DV$12^2)/4*(DR163*$W163*1000)/($H163*$B$5),(PI()*DV$12^2)/4*(DR163*$W163*1000)/($G163*$B$5)),
IF($D163="Pénétro.",
IF(OR($E163=4,$E163=1,$E163=5),(PI()*DV$12^2)/4*(DR163*$W163*1000)/($H163*$B$5),(PI()*DV$12^2)/4*(DR163*$W163*1000)/($G163*$B$5)))),
IF($D163="Pressio.",
IF($E163=3,(PI()*DV$12^2)/4*(DR163*$W163*1000)/($H163*$B$5),(PI()*DV$12^2)/4*(DR163*$W163*1000)/($G163*$B$5)),
IF($D163="Pénétro.",
IF($E163=4,(PI()*DV$12^2)/4*(DR163*$W163*1000)/($H163*$B$5),(PI()*DV$12^2)/4*(DR163*$W163*1000)/($G163*$B$5))))))/10</f>
        <v>#N/A</v>
      </c>
      <c r="DW163" s="102" t="e">
        <f>(VLOOKUP($B$3,'Coeff EC7'!$T$39:$X$59,2,0)*DU163+VLOOKUP($B$3,'Coeff EC7'!$T$65:$X$85,2,0)*Model0.1C!DV163)/1.1</f>
        <v>#N/A</v>
      </c>
      <c r="DX163" s="102" t="e">
        <f>(VLOOKUP($B$3,'Coeff EC7'!$T$39:$X$59,3,0)*DU163+VLOOKUP($B$3,'Coeff EC7'!$T$65:$X$85,3,0)*Model0.1C!DV163)/0.9</f>
        <v>#N/A</v>
      </c>
      <c r="DY163" s="102" t="e">
        <f t="shared" si="290"/>
        <v>#N/A</v>
      </c>
      <c r="DZ163" s="102" t="e">
        <f t="shared" si="291"/>
        <v>#N/A</v>
      </c>
      <c r="EA163" s="414" t="e">
        <f>IF(EA162=0,0,IF(AND(DW163&gt;charge_ELS_quasi,DX163&gt;Charge_ELS_freq,DY163&gt;charge_ELU,DZ163&gt;charge_ELA,$B163&gt;NDC!$H$22-0.1+MIN(3*$EA$12,1.5)),0,1))</f>
        <v>#N/A</v>
      </c>
      <c r="EB163" s="86" t="b">
        <f t="shared" si="259"/>
        <v>0</v>
      </c>
      <c r="EC163" s="418">
        <f t="shared" si="260"/>
        <v>0.51</v>
      </c>
      <c r="ED163" s="86">
        <f t="shared" si="261"/>
        <v>0.51</v>
      </c>
      <c r="EE163" s="30" t="e">
        <f t="shared" ca="1" si="292"/>
        <v>#DIV/0!</v>
      </c>
      <c r="EF163" s="85" t="e">
        <f ca="1">IF(DL163&lt;=Hypothèses!$V$7,Hypothèses!$W$7,IF(DL163&lt;=Hypothèses!$V$8,Hypothèses!$W$8,IF(DL163&lt;=Hypothèses!$V$9,Hypothèses!$W$9,IF(DL163&lt;=Hypothèses!$V$10,Hypothèses!$W$10,IF(DL163&lt;=Hypothèses!$V$11,Hypothèses!$W$11,IF(DL163&lt;=Hypothèses!$V$12,Hypothèses!$W$12,IF(DL163&lt;=Hypothèses!$V$13,Hypothèses!$W$13,IF(DL163&lt;=Hypothèses!$V$14,Hypothèses!$W$14,IF(DL163&lt;=Hypothèses!$V$15,Hypothèses!$W$15,IF(DL163&lt;=Hypothèses!$V$16,Hypothèses!$W$16,IF(DL163&lt;=Hypothèses!$V$17,Hypothèses!$W$17,IF(DL163&lt;=Hypothèses!$V$18,Hypothèses!$W$18,""))))))))))))</f>
        <v>#DIV/0!</v>
      </c>
      <c r="EG163" s="87" t="e">
        <f t="shared" ca="1" si="322"/>
        <v>#DIV/0!</v>
      </c>
      <c r="EH163" s="88" t="e">
        <f ca="1">IF(DL163&lt;=Hypothèses!$V$7,Hypothèses!$X$7,IF(DL163&lt;=Hypothèses!$V$8,Hypothèses!$X$8,IF(DL163&lt;=Hypothèses!$V$9,Hypothèses!$X$9,IF(DL163&lt;=Hypothèses!$V$10,Hypothèses!$X$10,IF(DL163&lt;=Hypothèses!$V$11,Hypothèses!$X$11,IF(DL163&lt;=Hypothèses!$V$12,Hypothèses!$X$12,IF(DL163&lt;=Hypothèses!$V$13,Hypothèses!$X$13,IF(DL163&lt;=Hypothèses!$V$14,Hypothèses!$X$14,IF(DL163&lt;=Hypothèses!$V$15,Hypothèses!$X$15,IF(DL163&lt;=Hypothèses!$V$16,Hypothèses!$X$16,IF(DL163&lt;=Hypothèses!$U$17,Hypothèses!$W$17,IF(DL163&lt;=Hypothèses!$U$18,Hypothèses!$W$18,""))))))))))))</f>
        <v>#DIV/0!</v>
      </c>
      <c r="EI163" s="95" t="e">
        <f t="shared" ca="1" si="293"/>
        <v>#DIV/0!</v>
      </c>
      <c r="EJ163" s="101" t="e">
        <f t="shared" si="329"/>
        <v>#N/A</v>
      </c>
      <c r="EK163" s="91" t="e">
        <f t="shared" si="262"/>
        <v>#N/A</v>
      </c>
      <c r="EL163" s="30" t="e">
        <f t="shared" si="312"/>
        <v>#N/A</v>
      </c>
      <c r="EM163" s="30" t="e">
        <f t="shared" si="313"/>
        <v>#N/A</v>
      </c>
      <c r="EN163" s="31" t="e">
        <f>IF(OR(Hypothèses!$B$4=17,Hypothèses!$B$4=18,Hypothèses!$B$4=19,Hypothèses!$B$4=20),
IF($D163="Pressio.",
IF(OR($E163=3,$E163=1,$E163=4),EM163,EL163),
IF($D163="Pénétro.",
IF(OR($E163=3,$E163=1,$E163=4),EM163,EL163))),IF($D163="Pressio.",
IF($E163=3,EM163,EL163),
IF($D163="Pénétro.",
IF($E163=4,EM163,EL163))))</f>
        <v>#N/A</v>
      </c>
      <c r="EO163" s="31" t="e">
        <f>(IF(OR(Hypothèses!$B$4=17,Hypothèses!$B$4=18,Hypothèses!$B$4=19,Hypothèses!$B$4=20),
IF($D163="Pressio.",
IF(OR($E163=3,$E163=1,$E163=4),(PI()*EO$12^2)/4*(EK163*$W163*1000)/($H163*$B$5),(PI()*EO$12^2)/4*(EK163*$W163*1000)/($G163*$B$5)),
IF($D163="Pénétro.",
IF(OR($E163=4,$E163=1,$E163=5),(PI()*EO$12^2)/4*(EK163*$W163*1000)/($H163*$B$5),(PI()*EO$12^2)/4*(EK163*$W163*1000)/($G163*$B$5)))),
IF($D163="Pressio.",
IF($E163=3,(PI()*EO$12^2)/4*(EK163*$W163*1000)/($H163*$B$5),(PI()*EO$12^2)/4*(EK163*$W163*1000)/($G163*$B$5)),
IF($D163="Pénétro.",
IF($E163=4,(PI()*EO$12^2)/4*(EK163*$W163*1000)/($H163*$B$5),(PI()*EO$12^2)/4*(EK163*$W163*1000)/($G163*$B$5))))))/10</f>
        <v>#N/A</v>
      </c>
      <c r="EP163" s="102" t="e">
        <f>(VLOOKUP($B$3,'Coeff EC7'!$T$39:$X$59,2,0)*EN163+VLOOKUP($B$3,'Coeff EC7'!$T$65:$X$85,2,0)*Model0.1C!EO163)/1.1</f>
        <v>#N/A</v>
      </c>
      <c r="EQ163" s="102" t="e">
        <f>(VLOOKUP($B$3,'Coeff EC7'!$T$39:$X$59,3,0)*EN163+VLOOKUP($B$3,'Coeff EC7'!$T$65:$X$85,3,0)*Model0.1C!EO163)/0.9</f>
        <v>#N/A</v>
      </c>
      <c r="ER163" s="102" t="e">
        <f t="shared" si="294"/>
        <v>#N/A</v>
      </c>
      <c r="ES163" s="102" t="e">
        <f t="shared" si="295"/>
        <v>#N/A</v>
      </c>
      <c r="ET163" s="414" t="e">
        <f>IF(ET162=0,0,IF(AND(EP163&gt;charge_ELS_quasi,EQ163&gt;Charge_ELS_freq,ER163&gt;charge_ELU,ES163&gt;charge_ELA,$B163&gt;NDC!$H$22-0.1+MIN(3*$ET$12,1.5)),0,1))</f>
        <v>#N/A</v>
      </c>
      <c r="EU163" s="86" t="b">
        <f t="shared" si="263"/>
        <v>0</v>
      </c>
      <c r="EV163" s="86">
        <f t="shared" si="264"/>
        <v>0.61</v>
      </c>
      <c r="EW163" s="86">
        <f t="shared" si="265"/>
        <v>0.61</v>
      </c>
      <c r="EX163" s="30" t="e">
        <f t="shared" ca="1" si="296"/>
        <v>#DIV/0!</v>
      </c>
      <c r="EY163" s="85" t="e">
        <f ca="1">IF(EE163&lt;=Hypothèses!$V$7,Hypothèses!$W$7,IF(EE163&lt;=Hypothèses!$V$8,Hypothèses!$W$8,IF(EE163&lt;=Hypothèses!$V$9,Hypothèses!$W$9,IF(EE163&lt;=Hypothèses!$V$10,Hypothèses!$W$10,IF(EE163&lt;=Hypothèses!$V$11,Hypothèses!$W$11,IF(EE163&lt;=Hypothèses!$V$12,Hypothèses!$W$12,IF(EE163&lt;=Hypothèses!$V$13,Hypothèses!$W$13,IF(EE163&lt;=Hypothèses!$V$14,Hypothèses!$W$14,IF(EE163&lt;=Hypothèses!$V$15,Hypothèses!$W$15,IF(EE163&lt;=Hypothèses!$V$16,Hypothèses!$W$16,IF(EE163&lt;=Hypothèses!$V$17,Hypothèses!$W$17,IF(EE163&lt;=Hypothèses!$V$18,Hypothèses!$W$18,""))))))))))))</f>
        <v>#DIV/0!</v>
      </c>
      <c r="EZ163" s="87" t="e">
        <f t="shared" ca="1" si="323"/>
        <v>#DIV/0!</v>
      </c>
      <c r="FA163" s="88" t="e">
        <f ca="1">IF(EE163&lt;=Hypothèses!$V$7,Hypothèses!$X$7,IF(EE163&lt;=Hypothèses!$V$8,Hypothèses!$X$8,IF(EE163&lt;=Hypothèses!$V$9,Hypothèses!$X$9,IF(EE163&lt;=Hypothèses!$V$10,Hypothèses!$X$10,IF(EE163&lt;=Hypothèses!$V$11,Hypothèses!$X$11,IF(EE163&lt;=Hypothèses!$V$12,Hypothèses!$X$12,IF(EE163&lt;=Hypothèses!$V$13,Hypothèses!$X$13,IF(EE163&lt;=Hypothèses!$V$14,Hypothèses!$X$14,IF(EE163&lt;=Hypothèses!$V$15,Hypothèses!$X$15,IF(EE163&lt;=Hypothèses!$V$16,Hypothèses!$X$16,IF(EE163&lt;=Hypothèses!$U$17,Hypothèses!$W$17,IF(EE163&lt;=Hypothèses!$U$18,Hypothèses!$W$18,""))))))))))))</f>
        <v>#DIV/0!</v>
      </c>
      <c r="FB163" s="95" t="e">
        <f t="shared" ca="1" si="297"/>
        <v>#DIV/0!</v>
      </c>
      <c r="FC163" s="101" t="e">
        <f t="shared" si="330"/>
        <v>#N/A</v>
      </c>
      <c r="FD163" s="91" t="e">
        <f t="shared" si="266"/>
        <v>#N/A</v>
      </c>
      <c r="FE163" s="30" t="e">
        <f t="shared" si="314"/>
        <v>#N/A</v>
      </c>
      <c r="FF163" s="30" t="e">
        <f t="shared" si="315"/>
        <v>#N/A</v>
      </c>
      <c r="FG163" s="31" t="e">
        <f>IF(OR(Hypothèses!$B$4=17,Hypothèses!$B$4=18,Hypothèses!$B$4=19,Hypothèses!$B$4=20),
IF($D163="Pressio.",
IF(OR($E163=3,$E163=1,$E163=4),FF163,FE163),
IF($D163="Pénétro.",
IF(OR($E163=3,$E163=1,$E163=4),FF163,FE163))),IF($D163="Pressio.",
IF($E163=3,FF163,FE163),
IF($D163="Pénétro.",
IF($E163=4,FF163,FE163))))</f>
        <v>#N/A</v>
      </c>
      <c r="FH163" s="31" t="e">
        <f>(IF(OR(Hypothèses!$B$4=17,Hypothèses!$B$4=18,Hypothèses!$B$4=19,Hypothèses!$B$4=20),
IF($D163="Pressio.",
IF(OR($E163=3,$E163=1,$E163=4),(PI()*FH$12^2)/4*(FD163*$W163*1000)/($H163*$B$5),(PI()*FH$12^2)/4*(FD163*$W163*1000)/($G163*$B$5)),
IF($D163="Pénétro.",
IF(OR($E163=4,$E163=1,$E163=5),(PI()*FH$12^2)/4*(FD163*$W163*1000)/($H163*$B$5),(PI()*FH$12^2)/4*(FD163*$W163*1000)/($G163*$B$5)))),
IF($D163="Pressio.",
IF($E163=3,(PI()*FH$12^2)/4*(FD163*$W163*1000)/($H163*$B$5),(PI()*FH$12^2)/4*(FD163*$W163*1000)/($G163*$B$5)),
IF($D163="Pénétro.",
IF($E163=4,(PI()*FH$12^2)/4*(FD163*$W163*1000)/($H163*$B$5),(PI()*FH$12^2)/4*(FD163*$W163*1000)/($G163*$B$5))))))/10</f>
        <v>#N/A</v>
      </c>
      <c r="FI163" s="102" t="e">
        <f>(VLOOKUP($B$3,'Coeff EC7'!$T$39:$X$59,2,0)*FG163+VLOOKUP($B$3,'Coeff EC7'!$T$65:$X$85,2,0)*Model0.1C!FH163)/1.1</f>
        <v>#N/A</v>
      </c>
      <c r="FJ163" s="102" t="e">
        <f>(VLOOKUP($B$3,'Coeff EC7'!$T$39:$X$59,3,0)*FG163+VLOOKUP($B$3,'Coeff EC7'!$T$65:$X$85,3,0)*Model0.1C!FH163)/0.9</f>
        <v>#N/A</v>
      </c>
      <c r="FK163" s="102" t="e">
        <f t="shared" si="298"/>
        <v>#N/A</v>
      </c>
      <c r="FL163" s="102" t="e">
        <f t="shared" si="299"/>
        <v>#N/A</v>
      </c>
      <c r="FM163" s="414" t="e">
        <f>IF(FM162=0,0,IF(AND(FI163&gt;charge_ELS_quasi,FJ163&gt;Charge_ELS_freq,FK163&gt;charge_ELU,FL163&gt;charge_ELA,$B163&gt;NDC!$H$22-0.1+MIN(3*$FM$12,1.5)),0,1))</f>
        <v>#N/A</v>
      </c>
    </row>
    <row r="164" spans="1:169">
      <c r="A164" s="96">
        <f t="shared" si="267"/>
        <v>84.900000000000858</v>
      </c>
      <c r="B164" s="97">
        <v>15.1</v>
      </c>
      <c r="C164" s="81">
        <f>IF(B164&lt;=Hypothèses!$C$7,Hypothèses!$A$7,IF(B164&lt;=Hypothèses!$C$8,Hypothèses!$A$8,IF(B164&lt;=Hypothèses!$C$9,Hypothèses!$A$9,IF(B164&lt;=Hypothèses!$C$10,Hypothèses!$A$10,IF(B164&lt;=Hypothèses!$C$11,Hypothèses!$A$11,IF(B164&lt;=Hypothèses!$C$12,Hypothèses!$A$12,IF(B164&lt;=Hypothèses!$C$13,Hypothèses!$A$13,IF(B164&lt;=Hypothèses!$C$14,Hypothèses!$A$14,IF(B164&lt;=Hypothèses!$C$15,Hypothèses!$A$15,IF(B164&lt;=Hypothèses!$C$16,Hypothèses!$A$16,IF(B164&lt;=Hypothèses!$C$17,Hypothèses!$A$17,IF(B164&lt;=Hypothèses!$C$18,Hypothèses!$A$18,C163))))))))))))</f>
        <v>11</v>
      </c>
      <c r="D164" s="82" t="str">
        <f>IF(B164&lt;=Hypothèses!$C$7,Hypothèses!$R$7,IF(B164&lt;=Hypothèses!$C$8,Hypothèses!$R$8,IF(B164&lt;=Hypothèses!$C$9,Hypothèses!$R$9,IF(B164&lt;=Hypothèses!$C$10,Hypothèses!$R$10,IF(B164&lt;=Hypothèses!$C$11,Hypothèses!$R$11,IF(B164&lt;=Hypothèses!$C$12,Hypothèses!$R$12,IF(B164&lt;=Hypothèses!$C$13,Hypothèses!$R$13,IF(B164&lt;=Hypothèses!$C$14,Hypothèses!$R$14,IF(B164&lt;=Hypothèses!$C$15,Hypothèses!$R$15,IF(B164&lt;=Hypothèses!$C$16,Hypothèses!$R$16,IF(B164&lt;=Hypothèses!$C$17,Hypothèses!$R$17,IF(B164&lt;=Hypothèses!$C$18,Hypothèses!$R$18,D163))))))))))))</f>
        <v>Pressio.</v>
      </c>
      <c r="E164" s="82" t="e">
        <f>IF(B164&lt;=Hypothèses!$C$7,Hypothèses!$G$7,IF(B164&lt;=Hypothèses!$C$8,Hypothèses!$G$8,IF(B164&lt;=Hypothèses!$C$9,Hypothèses!$G$9,IF(B164&lt;=Hypothèses!$C$10,Hypothèses!$G$10,IF(B164&lt;=Hypothèses!$C$11,Hypothèses!$G$11,IF(B164&lt;=Hypothèses!$C$12,Hypothèses!$G$12,IF(B164&lt;=Hypothèses!$C$13,Hypothèses!$G$13,IF(B164&lt;=Hypothèses!$C$14,Hypothèses!$G$14,IF(B164&lt;=Hypothèses!$C$15,Hypothèses!$G$15,IF(B164&lt;=Hypothèses!$C$16,Hypothèses!$G$16,IF(B164&lt;=Hypothèses!$C$17,Hypothèses!$G$17,IF(B164&lt;=Hypothèses!$C$18,Hypothèses!$G$18,E163))))))))))))</f>
        <v>#N/A</v>
      </c>
      <c r="F164" s="82" t="str">
        <f>IF(B164&lt;=Hypothèses!$C$7,Hypothèses!$F$7,IF(B164&lt;=Hypothèses!$C$8,Hypothèses!$F$8,IF(B164&lt;=Hypothèses!$C$9,Hypothèses!$F$9,IF(B164&lt;=Hypothèses!$C$10,Hypothèses!$F$10,IF(B164&lt;=Hypothèses!$C$11,Hypothèses!$F$11,IF(B164&lt;=Hypothèses!$C$12,Hypothèses!$F$12,IF(B164&lt;=Hypothèses!$C$13,Hypothèses!$F$13,IF(B164&lt;=Hypothèses!$C$14,Hypothèses!$F$14,IF(B164&lt;=Hypothèses!$C$15,Hypothèses!$F$15,IF(B164&lt;=Hypothèses!$C$16,Hypothèses!$F$16,IF(B164&lt;=Hypothèses!$C$17,Hypothèses!$F$17,IF(B164&lt;=Hypothèses!$C$18,Hypothèses!$F$18,F163))))))))))))</f>
        <v/>
      </c>
      <c r="G164" s="91">
        <f t="array" ref="G164">INDEX('Coeff EC7'!$U$7:$X$27,
MATCH(Model0.1C!$B$3,'Coeff EC7'!$T$7:$T$27,0),
MATCH(Model0.1C!$D164&amp;Model0.1C!$B$4,
'Coeff EC7'!$U$6:$X$6&amp;
'Coeff EC7'!$U$5:$X$5,0))</f>
        <v>1.1499999999999999</v>
      </c>
      <c r="H164" s="91">
        <f t="array" ref="H164">INDEX('Coeff EC7'!$Y$7:$AB$27,
MATCH(Model0.1C!$B$3,'Coeff EC7'!$T$7:$T$27,0),
MATCH(Model0.1C!$D164&amp;Model0.1C!$B$4,
'Coeff EC7'!$Y$6:$AB$6&amp;
'Coeff EC7'!$Y$5:$AB$5,0))</f>
        <v>1.4</v>
      </c>
      <c r="I164" s="83" t="e">
        <f>IF(B164&lt;=Hypothèses!$C$7,Hypothèses!$P$7,IF(B164&lt;=Hypothèses!$C$8,Hypothèses!$P$8,IF(B164&lt;=Hypothèses!$C$9,Hypothèses!$P$9,IF(B164&lt;=Hypothèses!$C$10,Hypothèses!$P$10,IF(B164&lt;=Hypothèses!$C$11,Hypothèses!$P$11,IF(B164&lt;=Hypothèses!$C$12,Hypothèses!$P$12,IF(B164&lt;=Hypothèses!$C$13,Hypothèses!$P$13,IF(B164&lt;=Hypothèses!$C$14,Hypothèses!$P$14,IF(B164&lt;=Hypothèses!$C$15,Hypothèses!$P$15,IF(B164&lt;=Hypothèses!$C$16,Hypothèses!$P$16,IF(B164&lt;=Hypothèses!$C$17,Hypothèses!$P$17,IF(B164&lt;=Hypothèses!$C$18,Hypothèses!$P$18,I163))))))))))))</f>
        <v>#N/A</v>
      </c>
      <c r="J164" s="91" t="e">
        <f t="array" ref="J164">INDEX('Coeff EC7'!$D$33:$Q$33,1,MATCH(D164&amp;E164,'Coeff EC7'!$D$31:$Q$31&amp;'Coeff EC7'!$D$32:$Q$32,0))</f>
        <v>#N/A</v>
      </c>
      <c r="K164" s="91" t="e">
        <f t="array" ref="K164">INDEX('Coeff EC7'!$D$34:$Q$34,1,MATCH(D164&amp;E164,'Coeff EC7'!$D$31:$Q$31&amp;'Coeff EC7'!$D$32:$Q$32,0))</f>
        <v>#N/A</v>
      </c>
      <c r="L164" s="91" t="e">
        <f t="array" ref="L164">INDEX('Coeff EC7'!$D$35:$Q$35,1,MATCH(D164&amp;E164,'Coeff EC7'!$D$31:$Q$31&amp;'Coeff EC7'!$D$32:$Q$32,0))</f>
        <v>#N/A</v>
      </c>
      <c r="M164" s="98" t="e">
        <f t="shared" si="231"/>
        <v>#N/A</v>
      </c>
      <c r="N164" s="99" t="e">
        <f t="array" ref="N164">INDEX('Coeff EC7'!$D$7:$Q$27,MATCH($B$3,'Coeff EC7'!$C$7:$C$27,0),MATCH(D164&amp;E164,'Coeff EC7'!$D$5:$Q$5&amp;'Coeff EC7'!$D$6:$Q$6,0))</f>
        <v>#N/A</v>
      </c>
      <c r="O164" s="99" t="e">
        <f t="array" ref="O164">INDEX('Coeff EC7'!$D$41:$Q$61,MATCH($B$3,'Coeff EC7'!$C$41:$C$61,0),MATCH(D164&amp;E164,'Coeff EC7'!$D$39:$Q$39&amp;'Coeff EC7'!$D$40:$Q$40,0))</f>
        <v>#N/A</v>
      </c>
      <c r="P164" s="30" t="e">
        <f t="shared" si="268"/>
        <v>#N/A</v>
      </c>
      <c r="Q164" s="100" t="e">
        <f t="shared" si="233"/>
        <v>#N/A</v>
      </c>
      <c r="R164" s="86" t="b">
        <f t="shared" si="234"/>
        <v>0</v>
      </c>
      <c r="S164" s="86">
        <f t="shared" si="232"/>
        <v>0.5</v>
      </c>
      <c r="T164" s="86">
        <f t="shared" si="235"/>
        <v>0.5</v>
      </c>
      <c r="U164" s="30" t="e">
        <f t="shared" ca="1" si="269"/>
        <v>#DIV/0!</v>
      </c>
      <c r="V164" s="85" t="str">
        <f>IF(B164&lt;=Hypothèses!$V$7,Hypothèses!$W$7,IF(B164&lt;=Hypothèses!$V$8,Hypothèses!$W$8,IF(B164&lt;=Hypothèses!$V$9,Hypothèses!$W$9,IF(B164&lt;=Hypothèses!$V$10,Hypothèses!$W$10,IF(B164&lt;=Hypothèses!$V$11,Hypothèses!$W$11,IF(B164&lt;=Hypothèses!$V$12,Hypothèses!$W$12,IF(B164&lt;=Hypothèses!$V$13,Hypothèses!$W$13,IF(B164&lt;=Hypothèses!$V$14,Hypothèses!$W$14,IF(B164&lt;=Hypothèses!$V$15,Hypothèses!$W$15,IF(B164&lt;=Hypothèses!$V$16,Hypothèses!$W$16,IF(B164&lt;=Hypothèses!$V$17,Hypothèses!$W$17,IF(B164&lt;=Hypothèses!$V$18,Hypothèses!$W$18,""))))))))))))</f>
        <v/>
      </c>
      <c r="W164" s="87" t="e">
        <f t="shared" ca="1" si="316"/>
        <v>#DIV/0!</v>
      </c>
      <c r="X164" s="88" t="str">
        <f>IF(B164&lt;=Hypothèses!$V$7,Hypothèses!$X$7,IF(B164&lt;=Hypothèses!$V$8,Hypothèses!$X$8,IF(B164&lt;=Hypothèses!$V$9,Hypothèses!$X$9,IF(B164&lt;=Hypothèses!$V$10,Hypothèses!$X$10,IF(B164&lt;=Hypothèses!$V$11,Hypothèses!$X$11,IF(B164&lt;=Hypothèses!$V$12,Hypothèses!$X$12,IF(B164&lt;=Hypothèses!$V$13,Hypothèses!$X$13,IF(B164&lt;=Hypothèses!$V$14,Hypothèses!$X$14,IF(B164&lt;=Hypothèses!$V$15,Hypothèses!$X$15,IF(B164&lt;=Hypothèses!$V$16,Hypothèses!$X$16,IF(B164&lt;=Hypothèses!$U$17,Hypothèses!$W$17,IF(B164&lt;=Hypothèses!$U$18,Hypothèses!$W$18,""))))))))))))</f>
        <v/>
      </c>
      <c r="Y164" s="95" t="e">
        <f t="shared" ca="1" si="236"/>
        <v>#DIV/0!</v>
      </c>
      <c r="Z164" s="101" t="e">
        <f t="shared" si="237"/>
        <v>#N/A</v>
      </c>
      <c r="AA164" s="91" t="e">
        <f t="shared" si="238"/>
        <v>#N/A</v>
      </c>
      <c r="AB164" s="30" t="e">
        <f t="shared" si="300"/>
        <v>#N/A</v>
      </c>
      <c r="AC164" s="30" t="e">
        <f t="shared" si="301"/>
        <v>#N/A</v>
      </c>
      <c r="AD164" s="31" t="e">
        <f>IF(OR(Hypothèses!$B$4=17,Hypothèses!$B$4=18,Hypothèses!$B$4=19,Hypothèses!$B$4=20),
IF($D164="Pressio.",
IF(OR($E164=3,$E164=1,$E164=4),AC164,AB164),
IF($D164="Pénétro.",
IF(OR($E164=3,$E164=1,$E164=4),AC164,AB164))),IF($D164="Pressio.",
IF($E164=3,AC164,AB164),
IF($D164="Pénétro.",
IF($E164=4,AC164,AB164))))</f>
        <v>#N/A</v>
      </c>
      <c r="AE164" s="31" t="e">
        <f>(IF(OR(Hypothèses!$B$4=17,Hypothèses!$B$4=18,Hypothèses!$B$4=19,Hypothèses!$B$4=20),
IF($D164="Pressio.",
IF(OR($E164=3,$E164=1,$E164=4),(PI()*AE$12^2)/4*(AA164*$W164*1000)/($H164*$B$5),(PI()*AE$12^2)/4*(AA164*$W164*1000)/($G164*$B$5)),
IF($D164="Pénétro.",
IF(OR($E164=4,$E164=1,$E164=5),(PI()*AE$12^2)/4*(AA164*$W164*1000)/($H164*$B$5),(PI()*AE$12^2)/4*(AA164*$W164*1000)/($G164*$B$5)))),
IF($D164="Pressio.",
IF($E164=3,(PI()*AE$12^2)/4*(AA164*$W164*1000)/($H164*$B$5),(PI()*AE$12^2)/4*(AA164*$W164*1000)/($G164*$B$5)),
IF($D164="Pénétro.",
IF($E164=4,(PI()*AE$12^2)/4*(AA164*$W164*1000)/($H164*$B$5),(PI()*AE$12^2)/4*(AA164*$W164*1000)/($G164*$B$5))))))/10</f>
        <v>#N/A</v>
      </c>
      <c r="AF164" s="102" t="e">
        <f>(VLOOKUP($B$3,'Coeff EC7'!$T$39:$X$59,2,0)*AD164+VLOOKUP($B$3,'Coeff EC7'!$T$65:$X$85,2,0)*Model0.1C!AE164)/1.1</f>
        <v>#N/A</v>
      </c>
      <c r="AG164" s="102" t="e">
        <f>(VLOOKUP($B$3,'Coeff EC7'!$T$39:$X$59,3,0)*AD164+VLOOKUP($B$3,'Coeff EC7'!$T$65:$X$85,3,0)*Model0.1C!AE164)/0.9</f>
        <v>#N/A</v>
      </c>
      <c r="AH164" s="102" t="e">
        <f t="shared" si="239"/>
        <v>#N/A</v>
      </c>
      <c r="AI164" s="102" t="e">
        <f t="shared" si="240"/>
        <v>#N/A</v>
      </c>
      <c r="AJ164" s="414" t="e">
        <f>IF(AJ163=0,0,IF(AND(AF164&gt;charge_ELS_quasi,AG164&gt;Charge_ELS_freq,AH164&gt;charge_ELU,AI164&gt;charge_ELA,$B164&gt;NDC!$H$22-0.1+MIN(3*$AJ$12,1.5)),0,1))</f>
        <v>#N/A</v>
      </c>
      <c r="AK164" s="86" t="b">
        <f t="shared" si="241"/>
        <v>0</v>
      </c>
      <c r="AL164" s="86">
        <f t="shared" si="270"/>
        <v>0.5</v>
      </c>
      <c r="AM164" s="86">
        <f t="shared" si="242"/>
        <v>0.5</v>
      </c>
      <c r="AN164" s="30" t="e">
        <f t="shared" ca="1" si="271"/>
        <v>#DIV/0!</v>
      </c>
      <c r="AO164" s="85" t="e">
        <f ca="1">IF(U164&lt;=Hypothèses!$V$7,Hypothèses!$W$7,IF(U164&lt;=Hypothèses!$V$8,Hypothèses!$W$8,IF(U164&lt;=Hypothèses!$V$9,Hypothèses!$W$9,IF(U164&lt;=Hypothèses!$V$10,Hypothèses!$W$10,IF(U164&lt;=Hypothèses!$V$11,Hypothèses!$W$11,IF(U164&lt;=Hypothèses!$V$12,Hypothèses!$W$12,IF(U164&lt;=Hypothèses!$V$13,Hypothèses!$W$13,IF(U164&lt;=Hypothèses!$V$14,Hypothèses!$W$14,IF(U164&lt;=Hypothèses!$V$15,Hypothèses!$W$15,IF(U164&lt;=Hypothèses!$V$16,Hypothèses!$W$16,IF(U164&lt;=Hypothèses!$V$17,Hypothèses!$W$17,IF(U164&lt;=Hypothèses!$V$18,Hypothèses!$W$18,""))))))))))))</f>
        <v>#DIV/0!</v>
      </c>
      <c r="AP164" s="87" t="e">
        <f t="shared" ca="1" si="317"/>
        <v>#DIV/0!</v>
      </c>
      <c r="AQ164" s="88" t="e">
        <f ca="1">IF(U164&lt;=Hypothèses!$V$7,Hypothèses!$X$7,IF(U164&lt;=Hypothèses!$V$8,Hypothèses!$X$8,IF(U164&lt;=Hypothèses!$V$9,Hypothèses!$X$9,IF(U164&lt;=Hypothèses!$V$10,Hypothèses!$X$10,IF(U164&lt;=Hypothèses!$V$11,Hypothèses!$X$11,IF(U164&lt;=Hypothèses!$V$12,Hypothèses!$X$12,IF(U164&lt;=Hypothèses!$V$13,Hypothèses!$X$13,IF(U164&lt;=Hypothèses!$V$14,Hypothèses!$X$14,IF(U164&lt;=Hypothèses!$V$15,Hypothèses!$X$15,IF(U164&lt;=Hypothèses!$V$16,Hypothèses!$X$16,IF(U164&lt;=Hypothèses!$U$17,Hypothèses!$W$17,IF(U164&lt;=Hypothèses!$U$18,Hypothèses!$W$18,""))))))))))))</f>
        <v>#DIV/0!</v>
      </c>
      <c r="AR164" s="95" t="e">
        <f t="shared" ca="1" si="272"/>
        <v>#DIV/0!</v>
      </c>
      <c r="AS164" s="101" t="e">
        <f t="shared" si="324"/>
        <v>#N/A</v>
      </c>
      <c r="AT164" s="91" t="e">
        <f t="shared" si="243"/>
        <v>#N/A</v>
      </c>
      <c r="AU164" s="30" t="e">
        <f t="shared" si="302"/>
        <v>#N/A</v>
      </c>
      <c r="AV164" s="30" t="e">
        <f t="shared" si="303"/>
        <v>#N/A</v>
      </c>
      <c r="AW164" s="31" t="e">
        <f>IF(OR(Hypothèses!$B$4=17,Hypothèses!$B$4=18,Hypothèses!$B$4=19,Hypothèses!$B$4=20),
IF($D164="Pressio.",
IF(OR($E164=3,$E164=1,$E164=4),AV164,AU164),
IF($D164="Pénétro.",
IF(OR($E164=3,$E164=1,$E164=4),AV164,AU164))),IF($D164="Pressio.",
IF($E164=3,AV164,AU164),
IF($D164="Pénétro.",
IF($E164=4,AV164,AU164))))</f>
        <v>#N/A</v>
      </c>
      <c r="AX164" s="31" t="e">
        <f>(IF(OR(Hypothèses!$B$4=17,Hypothèses!$B$4=18,Hypothèses!$B$4=19,Hypothèses!$B$4=20),
IF($D164="Pressio.",
IF(OR($E164=3,$E164=1,$E164=4),(PI()*AX$12^2)/4*(AT164*$W164*1000)/($H164*$B$5),(PI()*AX$12^2)/4*(AT164*$W164*1000)/($G164*$B$5)),
IF($D164="Pénétro.",
IF(OR($E164=4,$E164=1,$E164=5),(PI()*AX$12^2)/4*(AT164*$W164*1000)/($H164*$B$5),(PI()*AX$12^2)/4*(AT164*$W164*1000)/($G164*$B$5)))),
IF($D164="Pressio.",
IF($E164=3,(PI()*AX$12^2)/4*(AT164*$W164*1000)/($H164*$B$5),(PI()*AX$12^2)/4*(AT164*$W164*1000)/($G164*$B$5)),
IF($D164="Pénétro.",
IF($E164=4,(PI()*AX$12^2)/4*(AT164*$W164*1000)/($H164*$B$5),(PI()*AX$12^2)/4*(AT164*$W164*1000)/($G164*$B$5))))))/10</f>
        <v>#N/A</v>
      </c>
      <c r="AY164" s="102" t="e">
        <f>(VLOOKUP($B$3,'Coeff EC7'!$T$39:$X$59,2,0)*AW164+VLOOKUP($B$3,'Coeff EC7'!$T$65:$X$85,2,0)*Model0.1C!AX164)/1.1</f>
        <v>#N/A</v>
      </c>
      <c r="AZ164" s="102" t="e">
        <f>(VLOOKUP($B$3,'Coeff EC7'!$T$39:$X$59,3,0)*AW164+VLOOKUP($B$3,'Coeff EC7'!$T$65:$X$85,3,0)*Model0.1C!AX164)/0.9</f>
        <v>#N/A</v>
      </c>
      <c r="BA164" s="102" t="e">
        <f t="shared" si="273"/>
        <v>#N/A</v>
      </c>
      <c r="BB164" s="102" t="e">
        <f t="shared" si="274"/>
        <v>#N/A</v>
      </c>
      <c r="BC164" s="414" t="e">
        <f>IF(BC163=0,0,IF(AND(AY164&gt;charge_ELS_quasi,AZ164&gt;Charge_ELS_freq,BA164&gt;charge_ELU,BB164&gt;charge_ELA,$B164&gt;NDC!$H$22-0.1+MIN(3*$BC$12,1.5)),0,1))</f>
        <v>#N/A</v>
      </c>
      <c r="BD164" s="86" t="b">
        <f t="shared" si="244"/>
        <v>0</v>
      </c>
      <c r="BE164" s="86">
        <f t="shared" si="275"/>
        <v>0.5</v>
      </c>
      <c r="BF164" s="86">
        <f t="shared" si="245"/>
        <v>0.5</v>
      </c>
      <c r="BG164" s="30" t="e">
        <f t="shared" ca="1" si="276"/>
        <v>#DIV/0!</v>
      </c>
      <c r="BH164" s="85" t="e">
        <f ca="1">IF(AN164&lt;=Hypothèses!$V$7,Hypothèses!$W$7,IF(AN164&lt;=Hypothèses!$V$8,Hypothèses!$W$8,IF(AN164&lt;=Hypothèses!$V$9,Hypothèses!$W$9,IF(AN164&lt;=Hypothèses!$V$10,Hypothèses!$W$10,IF(AN164&lt;=Hypothèses!$V$11,Hypothèses!$W$11,IF(AN164&lt;=Hypothèses!$V$12,Hypothèses!$W$12,IF(AN164&lt;=Hypothèses!$V$13,Hypothèses!$W$13,IF(AN164&lt;=Hypothèses!$V$14,Hypothèses!$W$14,IF(AN164&lt;=Hypothèses!$V$15,Hypothèses!$W$15,IF(AN164&lt;=Hypothèses!$V$16,Hypothèses!$W$16,IF(AN164&lt;=Hypothèses!$V$17,Hypothèses!$W$17,IF(AN164&lt;=Hypothèses!$V$18,Hypothèses!$W$18,""))))))))))))</f>
        <v>#DIV/0!</v>
      </c>
      <c r="BI164" s="87" t="e">
        <f t="shared" ca="1" si="318"/>
        <v>#DIV/0!</v>
      </c>
      <c r="BJ164" s="88" t="e">
        <f ca="1">IF(AN164&lt;=Hypothèses!$V$7,Hypothèses!$X$7,IF(AN164&lt;=Hypothèses!$V$8,Hypothèses!$X$8,IF(AN164&lt;=Hypothèses!$V$9,Hypothèses!$X$9,IF(AN164&lt;=Hypothèses!$V$10,Hypothèses!$X$10,IF(AN164&lt;=Hypothèses!$V$11,Hypothèses!$X$11,IF(AN164&lt;=Hypothèses!$V$12,Hypothèses!$X$12,IF(AN164&lt;=Hypothèses!$V$13,Hypothèses!$X$13,IF(AN164&lt;=Hypothèses!$V$14,Hypothèses!$X$14,IF(AN164&lt;=Hypothèses!$V$15,Hypothèses!$X$15,IF(AN164&lt;=Hypothèses!$V$16,Hypothèses!$X$16,IF(AN164&lt;=Hypothèses!$U$17,Hypothèses!$W$17,IF(AN164&lt;=Hypothèses!$U$18,Hypothèses!$W$18,""))))))))))))</f>
        <v>#DIV/0!</v>
      </c>
      <c r="BK164" s="95" t="e">
        <f t="shared" ca="1" si="277"/>
        <v>#DIV/0!</v>
      </c>
      <c r="BL164" s="101" t="e">
        <f t="shared" si="325"/>
        <v>#N/A</v>
      </c>
      <c r="BM164" s="91" t="e">
        <f t="shared" si="246"/>
        <v>#N/A</v>
      </c>
      <c r="BN164" s="30" t="e">
        <f t="shared" si="304"/>
        <v>#N/A</v>
      </c>
      <c r="BO164" s="30" t="e">
        <f t="shared" si="305"/>
        <v>#N/A</v>
      </c>
      <c r="BP164" s="31" t="e">
        <f>IF(OR(Hypothèses!$B$4=17,Hypothèses!$B$4=18,Hypothèses!$B$4=19,Hypothèses!$B$4=20),
IF($D164="Pressio.",
IF(OR($E164=3,$E164=1,$E164=4),BO164,BN164),
IF($D164="Pénétro.",
IF(OR($E164=3,$E164=1,$E164=4),BO164,BN164))),IF($D164="Pressio.",
IF($E164=3,BO164,BN164),
IF($D164="Pénétro.",
IF($E164=4,BO164,BN164))))</f>
        <v>#N/A</v>
      </c>
      <c r="BQ164" s="31" t="e">
        <f>(IF(OR(Hypothèses!$B$4=17,Hypothèses!$B$4=18,Hypothèses!$B$4=19,Hypothèses!$B$4=20),
IF($D164="Pressio.",
IF(OR($E164=3,$E164=1,$E164=4),(PI()*BQ$12^2)/4*(BM164*$W164*1000)/($H164*$B$5),(PI()*BQ$12^2)/4*(BM164*$W164*1000)/($G164*$B$5)),
IF($D164="Pénétro.",
IF(OR($E164=4,$E164=1,$E164=5),(PI()*BQ$12^2)/4*(BM164*$W164*1000)/($H164*$B$5),(PI()*BQ$12^2)/4*(BM164*$W164*1000)/($G164*$B$5)))),
IF($D164="Pressio.",
IF($E164=3,(PI()*BQ$12^2)/4*(BM164*$W164*1000)/($H164*$B$5),(PI()*BQ$12^2)/4*(BM164*$W164*1000)/($G164*$B$5)),
IF($D164="Pénétro.",
IF($E164=4,(PI()*BQ$12^2)/4*(BM164*$W164*1000)/($H164*$B$5),(PI()*BQ$12^2)/4*(BM164*$W164*1000)/($G164*$B$5))))))/10</f>
        <v>#N/A</v>
      </c>
      <c r="BR164" s="102" t="e">
        <f>(VLOOKUP($B$3,'Coeff EC7'!$T$39:$X$59,2,0)*BP164+VLOOKUP($B$3,'Coeff EC7'!$T$65:$X$85,2,0)*Model0.1C!BQ164)/1.1</f>
        <v>#N/A</v>
      </c>
      <c r="BS164" s="102" t="e">
        <f>(VLOOKUP($B$3,'Coeff EC7'!$T$39:$X$59,3,0)*BP164+VLOOKUP($B$3,'Coeff EC7'!$T$65:$X$85,3,0)*Model0.1C!BQ164)/0.9</f>
        <v>#N/A</v>
      </c>
      <c r="BT164" s="102" t="e">
        <f t="shared" si="278"/>
        <v>#N/A</v>
      </c>
      <c r="BU164" s="102" t="e">
        <f t="shared" si="279"/>
        <v>#N/A</v>
      </c>
      <c r="BV164" s="414" t="e">
        <f>IF(BV163=0,0,IF(AND(BR164&gt;charge_ELS_quasi,BS164&gt;Charge_ELS_freq,BT164&gt;charge_ELU,BU164&gt;charge_ELA,$B164&gt;NDC!$H$22-0.1+MIN(3*$BV$12,1.5)),0,1))</f>
        <v>#N/A</v>
      </c>
      <c r="BW164" s="86" t="b">
        <f t="shared" si="247"/>
        <v>0</v>
      </c>
      <c r="BX164" s="86">
        <f t="shared" si="248"/>
        <v>0.5</v>
      </c>
      <c r="BY164" s="86">
        <f t="shared" si="249"/>
        <v>0.5</v>
      </c>
      <c r="BZ164" s="30" t="e">
        <f t="shared" ca="1" si="280"/>
        <v>#DIV/0!</v>
      </c>
      <c r="CA164" s="85" t="e">
        <f ca="1">IF(BG164&lt;=Hypothèses!$V$7,Hypothèses!$W$7,IF(BG164&lt;=Hypothèses!$V$8,Hypothèses!$W$8,IF(BG164&lt;=Hypothèses!$V$9,Hypothèses!$W$9,IF(BG164&lt;=Hypothèses!$V$10,Hypothèses!$W$10,IF(BG164&lt;=Hypothèses!$V$11,Hypothèses!$W$11,IF(BG164&lt;=Hypothèses!$V$12,Hypothèses!$W$12,IF(BG164&lt;=Hypothèses!$V$13,Hypothèses!$W$13,IF(BG164&lt;=Hypothèses!$V$14,Hypothèses!$W$14,IF(BG164&lt;=Hypothèses!$V$15,Hypothèses!$W$15,IF(BG164&lt;=Hypothèses!$V$16,Hypothèses!$W$16,IF(BG164&lt;=Hypothèses!$V$17,Hypothèses!$W$17,IF(BG164&lt;=Hypothèses!$V$18,Hypothèses!$W$18,""))))))))))))</f>
        <v>#DIV/0!</v>
      </c>
      <c r="CB164" s="87" t="e">
        <f t="shared" ca="1" si="319"/>
        <v>#DIV/0!</v>
      </c>
      <c r="CC164" s="88" t="e">
        <f ca="1">IF(BG164&lt;=Hypothèses!$V$7,Hypothèses!$X$7,IF(BG164&lt;=Hypothèses!$V$8,Hypothèses!$X$8,IF(BG164&lt;=Hypothèses!$V$9,Hypothèses!$X$9,IF(BG164&lt;=Hypothèses!$V$10,Hypothèses!$X$10,IF(BG164&lt;=Hypothèses!$V$11,Hypothèses!$X$11,IF(BG164&lt;=Hypothèses!$V$12,Hypothèses!$X$12,IF(BG164&lt;=Hypothèses!$V$13,Hypothèses!$X$13,IF(BG164&lt;=Hypothèses!$V$14,Hypothèses!$X$14,IF(BG164&lt;=Hypothèses!$V$15,Hypothèses!$X$15,IF(BG164&lt;=Hypothèses!$V$16,Hypothèses!$X$16,IF(BG164&lt;=Hypothèses!$U$17,Hypothèses!$W$17,IF(BG164&lt;=Hypothèses!$U$18,Hypothèses!$W$18,""))))))))))))</f>
        <v>#DIV/0!</v>
      </c>
      <c r="CD164" s="95" t="e">
        <f t="shared" ca="1" si="281"/>
        <v>#DIV/0!</v>
      </c>
      <c r="CE164" s="101" t="e">
        <f t="shared" si="326"/>
        <v>#N/A</v>
      </c>
      <c r="CF164" s="91" t="e">
        <f t="shared" si="250"/>
        <v>#N/A</v>
      </c>
      <c r="CG164" s="30" t="e">
        <f t="shared" si="306"/>
        <v>#N/A</v>
      </c>
      <c r="CH164" s="30" t="e">
        <f t="shared" si="307"/>
        <v>#N/A</v>
      </c>
      <c r="CI164" s="31" t="e">
        <f>IF(OR(Hypothèses!$B$4=17,Hypothèses!$B$4=18,Hypothèses!$B$4=19,Hypothèses!$B$4=20),
IF($D164="Pressio.",
IF(OR($E164=3,$E164=1,$E164=4),CH164,CG164),
IF($D164="Pénétro.",
IF(OR($E164=3,$E164=1,$E164=4),CH164,CG164))),IF($D164="Pressio.",
IF($E164=3,CH164,CG164),
IF($D164="Pénétro.",
IF($E164=4,CH164,CG164))))</f>
        <v>#N/A</v>
      </c>
      <c r="CJ164" s="31" t="e">
        <f>(IF(OR(Hypothèses!$B$4=17,Hypothèses!$B$4=18,Hypothèses!$B$4=19,Hypothèses!$B$4=20),
IF($D164="Pressio.",
IF(OR($E164=3,$E164=1,$E164=4),(PI()*CJ$12^2)/4*(CF164*$W164*1000)/($H164*$B$5),(PI()*CJ$12^2)/4*(CF164*$W164*1000)/($G164*$B$5)),
IF($D164="Pénétro.",
IF(OR($E164=4,$E164=1,$E164=5),(PI()*CJ$12^2)/4*(CF164*$W164*1000)/($H164*$B$5),(PI()*CJ$12^2)/4*(CF164*$W164*1000)/($G164*$B$5)))),
IF($D164="Pressio.",
IF($E164=3,(PI()*CJ$12^2)/4*(CF164*$W164*1000)/($H164*$B$5),(PI()*CJ$12^2)/4*(CF164*$W164*1000)/($G164*$B$5)),
IF($D164="Pénétro.",
IF($E164=4,(PI()*CJ$12^2)/4*(CF164*$W164*1000)/($H164*$B$5),(PI()*CJ$12^2)/4*(CF164*$W164*1000)/($G164*$B$5))))))/10</f>
        <v>#N/A</v>
      </c>
      <c r="CK164" s="102" t="e">
        <f>(VLOOKUP($B$3,'Coeff EC7'!$T$39:$X$59,2,0)*CI164+VLOOKUP($B$3,'Coeff EC7'!$T$65:$X$85,2,0)*Model0.1C!CJ164)/1.1</f>
        <v>#N/A</v>
      </c>
      <c r="CL164" s="102" t="e">
        <f>(VLOOKUP($B$3,'Coeff EC7'!$T$39:$X$59,3,0)*CI164+VLOOKUP($B$3,'Coeff EC7'!$T$65:$X$85,3,0)*Model0.1C!CJ164)/0.9</f>
        <v>#N/A</v>
      </c>
      <c r="CM164" s="102" t="e">
        <f t="shared" si="282"/>
        <v>#N/A</v>
      </c>
      <c r="CN164" s="102" t="e">
        <f t="shared" si="283"/>
        <v>#N/A</v>
      </c>
      <c r="CO164" s="414" t="e">
        <f>IF(CO163=0,0,IF(AND(CK164&gt;charge_ELS_quasi,CL164&gt;Charge_ELS_freq,CM164&gt;charge_ELU,CN164&gt;charge_ELA,$B164&gt;NDC!$H$22-0.1+MIN(3*$CO$12,1.5)),0,1))</f>
        <v>#N/A</v>
      </c>
      <c r="CP164" s="86" t="b">
        <f t="shared" si="251"/>
        <v>0</v>
      </c>
      <c r="CQ164" s="86">
        <f t="shared" si="252"/>
        <v>0.5</v>
      </c>
      <c r="CR164" s="86">
        <f t="shared" si="253"/>
        <v>0.5</v>
      </c>
      <c r="CS164" s="30" t="e">
        <f t="shared" ca="1" si="284"/>
        <v>#DIV/0!</v>
      </c>
      <c r="CT164" s="85" t="e">
        <f ca="1">IF(BZ164&lt;=Hypothèses!$V$7,Hypothèses!$W$7,IF(BZ164&lt;=Hypothèses!$V$8,Hypothèses!$W$8,IF(BZ164&lt;=Hypothèses!$V$9,Hypothèses!$W$9,IF(BZ164&lt;=Hypothèses!$V$10,Hypothèses!$W$10,IF(BZ164&lt;=Hypothèses!$V$11,Hypothèses!$W$11,IF(BZ164&lt;=Hypothèses!$V$12,Hypothèses!$W$12,IF(BZ164&lt;=Hypothèses!$V$13,Hypothèses!$W$13,IF(BZ164&lt;=Hypothèses!$V$14,Hypothèses!$W$14,IF(BZ164&lt;=Hypothèses!$V$15,Hypothèses!$W$15,IF(BZ164&lt;=Hypothèses!$V$16,Hypothèses!$W$16,IF(BZ164&lt;=Hypothèses!$V$17,Hypothèses!$W$17,IF(BZ164&lt;=Hypothèses!$V$18,Hypothèses!$W$18,""))))))))))))</f>
        <v>#DIV/0!</v>
      </c>
      <c r="CU164" s="87" t="e">
        <f t="shared" ca="1" si="320"/>
        <v>#DIV/0!</v>
      </c>
      <c r="CV164" s="88" t="e">
        <f ca="1">IF(BZ164&lt;=Hypothèses!$V$7,Hypothèses!$X$7,IF(BZ164&lt;=Hypothèses!$V$8,Hypothèses!$X$8,IF(BZ164&lt;=Hypothèses!$V$9,Hypothèses!$X$9,IF(BZ164&lt;=Hypothèses!$V$10,Hypothèses!$X$10,IF(BZ164&lt;=Hypothèses!$V$11,Hypothèses!$X$11,IF(BZ164&lt;=Hypothèses!$V$12,Hypothèses!$X$12,IF(BZ164&lt;=Hypothèses!$V$13,Hypothèses!$X$13,IF(BZ164&lt;=Hypothèses!$V$14,Hypothèses!$X$14,IF(BZ164&lt;=Hypothèses!$V$15,Hypothèses!$X$15,IF(BZ164&lt;=Hypothèses!$V$16,Hypothèses!$X$16,IF(BZ164&lt;=Hypothèses!$U$17,Hypothèses!$W$17,IF(BZ164&lt;=Hypothèses!$U$18,Hypothèses!$W$18,""))))))))))))</f>
        <v>#DIV/0!</v>
      </c>
      <c r="CW164" s="95" t="e">
        <f t="shared" ca="1" si="285"/>
        <v>#DIV/0!</v>
      </c>
      <c r="CX164" s="101" t="e">
        <f t="shared" si="327"/>
        <v>#N/A</v>
      </c>
      <c r="CY164" s="91" t="e">
        <f t="shared" si="254"/>
        <v>#N/A</v>
      </c>
      <c r="CZ164" s="30" t="e">
        <f t="shared" si="308"/>
        <v>#N/A</v>
      </c>
      <c r="DA164" s="30" t="e">
        <f t="shared" si="309"/>
        <v>#N/A</v>
      </c>
      <c r="DB164" s="31" t="e">
        <f>IF(OR(Hypothèses!$B$4=17,Hypothèses!$B$4=18,Hypothèses!$B$4=19,Hypothèses!$B$4=20),
IF($D164="Pressio.",
IF(OR($E164=3,$E164=1,$E164=4),DA164,CZ164),
IF($D164="Pénétro.",
IF(OR($E164=3,$E164=1,$E164=4),DA164,CZ164))),IF($D164="Pressio.",
IF($E164=3,DA164,CZ164),
IF($D164="Pénétro.",
IF($E164=4,DA164,CZ164))))</f>
        <v>#N/A</v>
      </c>
      <c r="DC164" s="31" t="e">
        <f>(IF(OR(Hypothèses!$B$4=17,Hypothèses!$B$4=18,Hypothèses!$B$4=19,Hypothèses!$B$4=20),
IF($D164="Pressio.",
IF(OR($E164=3,$E164=1,$E164=4),(PI()*DC$12^2)/4*(CY164*$W164*1000)/($H164*$B$5),(PI()*DC$12^2)/4*(CY164*$W164*1000)/($G164*$B$5)),
IF($D164="Pénétro.",
IF(OR($E164=4,$E164=1,$E164=5),(PI()*DC$12^2)/4*(CY164*$W164*1000)/($H164*$B$5),(PI()*DC$12^2)/4*(CY164*$W164*1000)/($G164*$B$5)))),
IF($D164="Pressio.",
IF($E164=3,(PI()*DC$12^2)/4*(CY164*$W164*1000)/($H164*$B$5),(PI()*DC$12^2)/4*(CY164*$W164*1000)/($G164*$B$5)),
IF($D164="Pénétro.",
IF($E164=4,(PI()*DC$12^2)/4*(CY164*$W164*1000)/($H164*$B$5),(PI()*DC$12^2)/4*(CY164*$W164*1000)/($G164*$B$5))))))/10</f>
        <v>#N/A</v>
      </c>
      <c r="DD164" s="102" t="e">
        <f>(VLOOKUP($B$3,'Coeff EC7'!$T$39:$X$59,2,0)*DB164+VLOOKUP($B$3,'Coeff EC7'!$T$65:$X$85,2,0)*Model0.1C!DC164)/1.1</f>
        <v>#N/A</v>
      </c>
      <c r="DE164" s="102" t="e">
        <f>(VLOOKUP($B$3,'Coeff EC7'!$T$39:$X$59,3,0)*DB164+VLOOKUP($B$3,'Coeff EC7'!$T$65:$X$85,3,0)*Model0.1C!DC164)/0.9</f>
        <v>#N/A</v>
      </c>
      <c r="DF164" s="102" t="e">
        <f t="shared" si="286"/>
        <v>#N/A</v>
      </c>
      <c r="DG164" s="102" t="e">
        <f t="shared" si="287"/>
        <v>#N/A</v>
      </c>
      <c r="DH164" s="414" t="e">
        <f>IF(DH163=0,0,IF(AND(DD164&gt;charge_ELS_quasi,DE164&gt;Charge_ELS_freq,DF164&gt;charge_ELU,DG164&gt;charge_ELA,$B164&gt;NDC!$H$22-0.1+MIN(3*$DH$12,1.5)),0,1))</f>
        <v>#N/A</v>
      </c>
      <c r="DI164" s="86" t="b">
        <f t="shared" si="255"/>
        <v>0</v>
      </c>
      <c r="DJ164" s="86">
        <f t="shared" si="256"/>
        <v>0.5</v>
      </c>
      <c r="DK164" s="86">
        <f t="shared" si="257"/>
        <v>0.5</v>
      </c>
      <c r="DL164" s="30" t="e">
        <f t="shared" ca="1" si="288"/>
        <v>#DIV/0!</v>
      </c>
      <c r="DM164" s="85" t="e">
        <f ca="1">IF(CS164&lt;=Hypothèses!$V$7,Hypothèses!$W$7,IF(CS164&lt;=Hypothèses!$V$8,Hypothèses!$W$8,IF(CS164&lt;=Hypothèses!$V$9,Hypothèses!$W$9,IF(CS164&lt;=Hypothèses!$V$10,Hypothèses!$W$10,IF(CS164&lt;=Hypothèses!$V$11,Hypothèses!$W$11,IF(CS164&lt;=Hypothèses!$V$12,Hypothèses!$W$12,IF(CS164&lt;=Hypothèses!$V$13,Hypothèses!$W$13,IF(CS164&lt;=Hypothèses!$V$14,Hypothèses!$W$14,IF(CS164&lt;=Hypothèses!$V$15,Hypothèses!$W$15,IF(CS164&lt;=Hypothèses!$V$16,Hypothèses!$W$16,IF(CS164&lt;=Hypothèses!$V$17,Hypothèses!$W$17,IF(CS164&lt;=Hypothèses!$V$18,Hypothèses!$W$18,""))))))))))))</f>
        <v>#DIV/0!</v>
      </c>
      <c r="DN164" s="87" t="e">
        <f t="shared" ca="1" si="321"/>
        <v>#DIV/0!</v>
      </c>
      <c r="DO164" s="88" t="e">
        <f ca="1">IF(CS164&lt;=Hypothèses!$V$7,Hypothèses!$X$7,IF(CS164&lt;=Hypothèses!$V$8,Hypothèses!$X$8,IF(CS164&lt;=Hypothèses!$V$9,Hypothèses!$X$9,IF(CS164&lt;=Hypothèses!$V$10,Hypothèses!$X$10,IF(CS164&lt;=Hypothèses!$V$11,Hypothèses!$X$11,IF(CS164&lt;=Hypothèses!$V$12,Hypothèses!$X$12,IF(CS164&lt;=Hypothèses!$V$13,Hypothèses!$X$13,IF(CS164&lt;=Hypothèses!$V$14,Hypothèses!$X$14,IF(CS164&lt;=Hypothèses!$V$15,Hypothèses!$X$15,IF(CS164&lt;=Hypothèses!$V$16,Hypothèses!$X$16,IF(CS164&lt;=Hypothèses!$U$17,Hypothèses!$W$17,IF(CS164&lt;=Hypothèses!$U$18,Hypothèses!$W$18,""))))))))))))</f>
        <v>#DIV/0!</v>
      </c>
      <c r="DP164" s="95" t="e">
        <f t="shared" ca="1" si="289"/>
        <v>#DIV/0!</v>
      </c>
      <c r="DQ164" s="101" t="e">
        <f t="shared" si="328"/>
        <v>#N/A</v>
      </c>
      <c r="DR164" s="91" t="e">
        <f t="shared" si="258"/>
        <v>#N/A</v>
      </c>
      <c r="DS164" s="30" t="e">
        <f t="shared" si="310"/>
        <v>#N/A</v>
      </c>
      <c r="DT164" s="30" t="e">
        <f t="shared" si="311"/>
        <v>#N/A</v>
      </c>
      <c r="DU164" s="31" t="e">
        <f>IF(OR(Hypothèses!$B$4=17,Hypothèses!$B$4=18,Hypothèses!$B$4=19,Hypothèses!$B$4=20),
IF($D164="Pressio.",
IF(OR($E164=3,$E164=1,$E164=4),DT164,DS164),
IF($D164="Pénétro.",
IF(OR($E164=3,$E164=1,$E164=4),DT164,DS164))),IF($D164="Pressio.",
IF($E164=3,DT164,DS164),
IF($D164="Pénétro.",
IF($E164=4,DT164,DS164))))</f>
        <v>#N/A</v>
      </c>
      <c r="DV164" s="31" t="e">
        <f>(IF(OR(Hypothèses!$B$4=17,Hypothèses!$B$4=18,Hypothèses!$B$4=19,Hypothèses!$B$4=20),
IF($D164="Pressio.",
IF(OR($E164=3,$E164=1,$E164=4),(PI()*DV$12^2)/4*(DR164*$W164*1000)/($H164*$B$5),(PI()*DV$12^2)/4*(DR164*$W164*1000)/($G164*$B$5)),
IF($D164="Pénétro.",
IF(OR($E164=4,$E164=1,$E164=5),(PI()*DV$12^2)/4*(DR164*$W164*1000)/($H164*$B$5),(PI()*DV$12^2)/4*(DR164*$W164*1000)/($G164*$B$5)))),
IF($D164="Pressio.",
IF($E164=3,(PI()*DV$12^2)/4*(DR164*$W164*1000)/($H164*$B$5),(PI()*DV$12^2)/4*(DR164*$W164*1000)/($G164*$B$5)),
IF($D164="Pénétro.",
IF($E164=4,(PI()*DV$12^2)/4*(DR164*$W164*1000)/($H164*$B$5),(PI()*DV$12^2)/4*(DR164*$W164*1000)/($G164*$B$5))))))/10</f>
        <v>#N/A</v>
      </c>
      <c r="DW164" s="102" t="e">
        <f>(VLOOKUP($B$3,'Coeff EC7'!$T$39:$X$59,2,0)*DU164+VLOOKUP($B$3,'Coeff EC7'!$T$65:$X$85,2,0)*Model0.1C!DV164)/1.1</f>
        <v>#N/A</v>
      </c>
      <c r="DX164" s="102" t="e">
        <f>(VLOOKUP($B$3,'Coeff EC7'!$T$39:$X$59,3,0)*DU164+VLOOKUP($B$3,'Coeff EC7'!$T$65:$X$85,3,0)*Model0.1C!DV164)/0.9</f>
        <v>#N/A</v>
      </c>
      <c r="DY164" s="102" t="e">
        <f t="shared" si="290"/>
        <v>#N/A</v>
      </c>
      <c r="DZ164" s="102" t="e">
        <f t="shared" si="291"/>
        <v>#N/A</v>
      </c>
      <c r="EA164" s="414" t="e">
        <f>IF(EA163=0,0,IF(AND(DW164&gt;charge_ELS_quasi,DX164&gt;Charge_ELS_freq,DY164&gt;charge_ELU,DZ164&gt;charge_ELA,$B164&gt;NDC!$H$22-0.1+MIN(3*$EA$12,1.5)),0,1))</f>
        <v>#N/A</v>
      </c>
      <c r="EB164" s="86" t="b">
        <f t="shared" si="259"/>
        <v>0</v>
      </c>
      <c r="EC164" s="418">
        <f t="shared" si="260"/>
        <v>0.51</v>
      </c>
      <c r="ED164" s="86">
        <f t="shared" si="261"/>
        <v>0.51</v>
      </c>
      <c r="EE164" s="30" t="e">
        <f t="shared" ca="1" si="292"/>
        <v>#DIV/0!</v>
      </c>
      <c r="EF164" s="85" t="e">
        <f ca="1">IF(DL164&lt;=Hypothèses!$V$7,Hypothèses!$W$7,IF(DL164&lt;=Hypothèses!$V$8,Hypothèses!$W$8,IF(DL164&lt;=Hypothèses!$V$9,Hypothèses!$W$9,IF(DL164&lt;=Hypothèses!$V$10,Hypothèses!$W$10,IF(DL164&lt;=Hypothèses!$V$11,Hypothèses!$W$11,IF(DL164&lt;=Hypothèses!$V$12,Hypothèses!$W$12,IF(DL164&lt;=Hypothèses!$V$13,Hypothèses!$W$13,IF(DL164&lt;=Hypothèses!$V$14,Hypothèses!$W$14,IF(DL164&lt;=Hypothèses!$V$15,Hypothèses!$W$15,IF(DL164&lt;=Hypothèses!$V$16,Hypothèses!$W$16,IF(DL164&lt;=Hypothèses!$V$17,Hypothèses!$W$17,IF(DL164&lt;=Hypothèses!$V$18,Hypothèses!$W$18,""))))))))))))</f>
        <v>#DIV/0!</v>
      </c>
      <c r="EG164" s="87" t="e">
        <f t="shared" ca="1" si="322"/>
        <v>#DIV/0!</v>
      </c>
      <c r="EH164" s="88" t="e">
        <f ca="1">IF(DL164&lt;=Hypothèses!$V$7,Hypothèses!$X$7,IF(DL164&lt;=Hypothèses!$V$8,Hypothèses!$X$8,IF(DL164&lt;=Hypothèses!$V$9,Hypothèses!$X$9,IF(DL164&lt;=Hypothèses!$V$10,Hypothèses!$X$10,IF(DL164&lt;=Hypothèses!$V$11,Hypothèses!$X$11,IF(DL164&lt;=Hypothèses!$V$12,Hypothèses!$X$12,IF(DL164&lt;=Hypothèses!$V$13,Hypothèses!$X$13,IF(DL164&lt;=Hypothèses!$V$14,Hypothèses!$X$14,IF(DL164&lt;=Hypothèses!$V$15,Hypothèses!$X$15,IF(DL164&lt;=Hypothèses!$V$16,Hypothèses!$X$16,IF(DL164&lt;=Hypothèses!$U$17,Hypothèses!$W$17,IF(DL164&lt;=Hypothèses!$U$18,Hypothèses!$W$18,""))))))))))))</f>
        <v>#DIV/0!</v>
      </c>
      <c r="EI164" s="95" t="e">
        <f t="shared" ca="1" si="293"/>
        <v>#DIV/0!</v>
      </c>
      <c r="EJ164" s="101" t="e">
        <f t="shared" si="329"/>
        <v>#N/A</v>
      </c>
      <c r="EK164" s="91" t="e">
        <f t="shared" si="262"/>
        <v>#N/A</v>
      </c>
      <c r="EL164" s="30" t="e">
        <f t="shared" si="312"/>
        <v>#N/A</v>
      </c>
      <c r="EM164" s="30" t="e">
        <f t="shared" si="313"/>
        <v>#N/A</v>
      </c>
      <c r="EN164" s="31" t="e">
        <f>IF(OR(Hypothèses!$B$4=17,Hypothèses!$B$4=18,Hypothèses!$B$4=19,Hypothèses!$B$4=20),
IF($D164="Pressio.",
IF(OR($E164=3,$E164=1,$E164=4),EM164,EL164),
IF($D164="Pénétro.",
IF(OR($E164=3,$E164=1,$E164=4),EM164,EL164))),IF($D164="Pressio.",
IF($E164=3,EM164,EL164),
IF($D164="Pénétro.",
IF($E164=4,EM164,EL164))))</f>
        <v>#N/A</v>
      </c>
      <c r="EO164" s="31" t="e">
        <f>(IF(OR(Hypothèses!$B$4=17,Hypothèses!$B$4=18,Hypothèses!$B$4=19,Hypothèses!$B$4=20),
IF($D164="Pressio.",
IF(OR($E164=3,$E164=1,$E164=4),(PI()*EO$12^2)/4*(EK164*$W164*1000)/($H164*$B$5),(PI()*EO$12^2)/4*(EK164*$W164*1000)/($G164*$B$5)),
IF($D164="Pénétro.",
IF(OR($E164=4,$E164=1,$E164=5),(PI()*EO$12^2)/4*(EK164*$W164*1000)/($H164*$B$5),(PI()*EO$12^2)/4*(EK164*$W164*1000)/($G164*$B$5)))),
IF($D164="Pressio.",
IF($E164=3,(PI()*EO$12^2)/4*(EK164*$W164*1000)/($H164*$B$5),(PI()*EO$12^2)/4*(EK164*$W164*1000)/($G164*$B$5)),
IF($D164="Pénétro.",
IF($E164=4,(PI()*EO$12^2)/4*(EK164*$W164*1000)/($H164*$B$5),(PI()*EO$12^2)/4*(EK164*$W164*1000)/($G164*$B$5))))))/10</f>
        <v>#N/A</v>
      </c>
      <c r="EP164" s="102" t="e">
        <f>(VLOOKUP($B$3,'Coeff EC7'!$T$39:$X$59,2,0)*EN164+VLOOKUP($B$3,'Coeff EC7'!$T$65:$X$85,2,0)*Model0.1C!EO164)/1.1</f>
        <v>#N/A</v>
      </c>
      <c r="EQ164" s="102" t="e">
        <f>(VLOOKUP($B$3,'Coeff EC7'!$T$39:$X$59,3,0)*EN164+VLOOKUP($B$3,'Coeff EC7'!$T$65:$X$85,3,0)*Model0.1C!EO164)/0.9</f>
        <v>#N/A</v>
      </c>
      <c r="ER164" s="102" t="e">
        <f t="shared" si="294"/>
        <v>#N/A</v>
      </c>
      <c r="ES164" s="102" t="e">
        <f t="shared" si="295"/>
        <v>#N/A</v>
      </c>
      <c r="ET164" s="414" t="e">
        <f>IF(ET163=0,0,IF(AND(EP164&gt;charge_ELS_quasi,EQ164&gt;Charge_ELS_freq,ER164&gt;charge_ELU,ES164&gt;charge_ELA,$B164&gt;NDC!$H$22-0.1+MIN(3*$ET$12,1.5)),0,1))</f>
        <v>#N/A</v>
      </c>
      <c r="EU164" s="86" t="b">
        <f t="shared" si="263"/>
        <v>0</v>
      </c>
      <c r="EV164" s="86">
        <f t="shared" si="264"/>
        <v>0.61</v>
      </c>
      <c r="EW164" s="86">
        <f t="shared" si="265"/>
        <v>0.61</v>
      </c>
      <c r="EX164" s="30" t="e">
        <f t="shared" ca="1" si="296"/>
        <v>#DIV/0!</v>
      </c>
      <c r="EY164" s="85" t="e">
        <f ca="1">IF(EE164&lt;=Hypothèses!$V$7,Hypothèses!$W$7,IF(EE164&lt;=Hypothèses!$V$8,Hypothèses!$W$8,IF(EE164&lt;=Hypothèses!$V$9,Hypothèses!$W$9,IF(EE164&lt;=Hypothèses!$V$10,Hypothèses!$W$10,IF(EE164&lt;=Hypothèses!$V$11,Hypothèses!$W$11,IF(EE164&lt;=Hypothèses!$V$12,Hypothèses!$W$12,IF(EE164&lt;=Hypothèses!$V$13,Hypothèses!$W$13,IF(EE164&lt;=Hypothèses!$V$14,Hypothèses!$W$14,IF(EE164&lt;=Hypothèses!$V$15,Hypothèses!$W$15,IF(EE164&lt;=Hypothèses!$V$16,Hypothèses!$W$16,IF(EE164&lt;=Hypothèses!$V$17,Hypothèses!$W$17,IF(EE164&lt;=Hypothèses!$V$18,Hypothèses!$W$18,""))))))))))))</f>
        <v>#DIV/0!</v>
      </c>
      <c r="EZ164" s="87" t="e">
        <f t="shared" ca="1" si="323"/>
        <v>#DIV/0!</v>
      </c>
      <c r="FA164" s="88" t="e">
        <f ca="1">IF(EE164&lt;=Hypothèses!$V$7,Hypothèses!$X$7,IF(EE164&lt;=Hypothèses!$V$8,Hypothèses!$X$8,IF(EE164&lt;=Hypothèses!$V$9,Hypothèses!$X$9,IF(EE164&lt;=Hypothèses!$V$10,Hypothèses!$X$10,IF(EE164&lt;=Hypothèses!$V$11,Hypothèses!$X$11,IF(EE164&lt;=Hypothèses!$V$12,Hypothèses!$X$12,IF(EE164&lt;=Hypothèses!$V$13,Hypothèses!$X$13,IF(EE164&lt;=Hypothèses!$V$14,Hypothèses!$X$14,IF(EE164&lt;=Hypothèses!$V$15,Hypothèses!$X$15,IF(EE164&lt;=Hypothèses!$V$16,Hypothèses!$X$16,IF(EE164&lt;=Hypothèses!$U$17,Hypothèses!$W$17,IF(EE164&lt;=Hypothèses!$U$18,Hypothèses!$W$18,""))))))))))))</f>
        <v>#DIV/0!</v>
      </c>
      <c r="FB164" s="95" t="e">
        <f t="shared" ca="1" si="297"/>
        <v>#DIV/0!</v>
      </c>
      <c r="FC164" s="101" t="e">
        <f t="shared" si="330"/>
        <v>#N/A</v>
      </c>
      <c r="FD164" s="91" t="e">
        <f t="shared" si="266"/>
        <v>#N/A</v>
      </c>
      <c r="FE164" s="30" t="e">
        <f t="shared" si="314"/>
        <v>#N/A</v>
      </c>
      <c r="FF164" s="30" t="e">
        <f t="shared" si="315"/>
        <v>#N/A</v>
      </c>
      <c r="FG164" s="31" t="e">
        <f>IF(OR(Hypothèses!$B$4=17,Hypothèses!$B$4=18,Hypothèses!$B$4=19,Hypothèses!$B$4=20),
IF($D164="Pressio.",
IF(OR($E164=3,$E164=1,$E164=4),FF164,FE164),
IF($D164="Pénétro.",
IF(OR($E164=3,$E164=1,$E164=4),FF164,FE164))),IF($D164="Pressio.",
IF($E164=3,FF164,FE164),
IF($D164="Pénétro.",
IF($E164=4,FF164,FE164))))</f>
        <v>#N/A</v>
      </c>
      <c r="FH164" s="31" t="e">
        <f>(IF(OR(Hypothèses!$B$4=17,Hypothèses!$B$4=18,Hypothèses!$B$4=19,Hypothèses!$B$4=20),
IF($D164="Pressio.",
IF(OR($E164=3,$E164=1,$E164=4),(PI()*FH$12^2)/4*(FD164*$W164*1000)/($H164*$B$5),(PI()*FH$12^2)/4*(FD164*$W164*1000)/($G164*$B$5)),
IF($D164="Pénétro.",
IF(OR($E164=4,$E164=1,$E164=5),(PI()*FH$12^2)/4*(FD164*$W164*1000)/($H164*$B$5),(PI()*FH$12^2)/4*(FD164*$W164*1000)/($G164*$B$5)))),
IF($D164="Pressio.",
IF($E164=3,(PI()*FH$12^2)/4*(FD164*$W164*1000)/($H164*$B$5),(PI()*FH$12^2)/4*(FD164*$W164*1000)/($G164*$B$5)),
IF($D164="Pénétro.",
IF($E164=4,(PI()*FH$12^2)/4*(FD164*$W164*1000)/($H164*$B$5),(PI()*FH$12^2)/4*(FD164*$W164*1000)/($G164*$B$5))))))/10</f>
        <v>#N/A</v>
      </c>
      <c r="FI164" s="102" t="e">
        <f>(VLOOKUP($B$3,'Coeff EC7'!$T$39:$X$59,2,0)*FG164+VLOOKUP($B$3,'Coeff EC7'!$T$65:$X$85,2,0)*Model0.1C!FH164)/1.1</f>
        <v>#N/A</v>
      </c>
      <c r="FJ164" s="102" t="e">
        <f>(VLOOKUP($B$3,'Coeff EC7'!$T$39:$X$59,3,0)*FG164+VLOOKUP($B$3,'Coeff EC7'!$T$65:$X$85,3,0)*Model0.1C!FH164)/0.9</f>
        <v>#N/A</v>
      </c>
      <c r="FK164" s="102" t="e">
        <f t="shared" si="298"/>
        <v>#N/A</v>
      </c>
      <c r="FL164" s="102" t="e">
        <f t="shared" si="299"/>
        <v>#N/A</v>
      </c>
      <c r="FM164" s="414" t="e">
        <f>IF(FM163=0,0,IF(AND(FI164&gt;charge_ELS_quasi,FJ164&gt;Charge_ELS_freq,FK164&gt;charge_ELU,FL164&gt;charge_ELA,$B164&gt;NDC!$H$22-0.1+MIN(3*$FM$12,1.5)),0,1))</f>
        <v>#N/A</v>
      </c>
    </row>
    <row r="165" spans="1:169">
      <c r="A165" s="96">
        <f t="shared" si="267"/>
        <v>84.800000000000864</v>
      </c>
      <c r="B165" s="97">
        <v>15.2</v>
      </c>
      <c r="C165" s="81">
        <f>IF(B165&lt;=Hypothèses!$C$7,Hypothèses!$A$7,IF(B165&lt;=Hypothèses!$C$8,Hypothèses!$A$8,IF(B165&lt;=Hypothèses!$C$9,Hypothèses!$A$9,IF(B165&lt;=Hypothèses!$C$10,Hypothèses!$A$10,IF(B165&lt;=Hypothèses!$C$11,Hypothèses!$A$11,IF(B165&lt;=Hypothèses!$C$12,Hypothèses!$A$12,IF(B165&lt;=Hypothèses!$C$13,Hypothèses!$A$13,IF(B165&lt;=Hypothèses!$C$14,Hypothèses!$A$14,IF(B165&lt;=Hypothèses!$C$15,Hypothèses!$A$15,IF(B165&lt;=Hypothèses!$C$16,Hypothèses!$A$16,IF(B165&lt;=Hypothèses!$C$17,Hypothèses!$A$17,IF(B165&lt;=Hypothèses!$C$18,Hypothèses!$A$18,C164))))))))))))</f>
        <v>11</v>
      </c>
      <c r="D165" s="82" t="str">
        <f>IF(B165&lt;=Hypothèses!$C$7,Hypothèses!$R$7,IF(B165&lt;=Hypothèses!$C$8,Hypothèses!$R$8,IF(B165&lt;=Hypothèses!$C$9,Hypothèses!$R$9,IF(B165&lt;=Hypothèses!$C$10,Hypothèses!$R$10,IF(B165&lt;=Hypothèses!$C$11,Hypothèses!$R$11,IF(B165&lt;=Hypothèses!$C$12,Hypothèses!$R$12,IF(B165&lt;=Hypothèses!$C$13,Hypothèses!$R$13,IF(B165&lt;=Hypothèses!$C$14,Hypothèses!$R$14,IF(B165&lt;=Hypothèses!$C$15,Hypothèses!$R$15,IF(B165&lt;=Hypothèses!$C$16,Hypothèses!$R$16,IF(B165&lt;=Hypothèses!$C$17,Hypothèses!$R$17,IF(B165&lt;=Hypothèses!$C$18,Hypothèses!$R$18,D164))))))))))))</f>
        <v>Pressio.</v>
      </c>
      <c r="E165" s="82" t="e">
        <f>IF(B165&lt;=Hypothèses!$C$7,Hypothèses!$G$7,IF(B165&lt;=Hypothèses!$C$8,Hypothèses!$G$8,IF(B165&lt;=Hypothèses!$C$9,Hypothèses!$G$9,IF(B165&lt;=Hypothèses!$C$10,Hypothèses!$G$10,IF(B165&lt;=Hypothèses!$C$11,Hypothèses!$G$11,IF(B165&lt;=Hypothèses!$C$12,Hypothèses!$G$12,IF(B165&lt;=Hypothèses!$C$13,Hypothèses!$G$13,IF(B165&lt;=Hypothèses!$C$14,Hypothèses!$G$14,IF(B165&lt;=Hypothèses!$C$15,Hypothèses!$G$15,IF(B165&lt;=Hypothèses!$C$16,Hypothèses!$G$16,IF(B165&lt;=Hypothèses!$C$17,Hypothèses!$G$17,IF(B165&lt;=Hypothèses!$C$18,Hypothèses!$G$18,E164))))))))))))</f>
        <v>#N/A</v>
      </c>
      <c r="F165" s="82" t="str">
        <f>IF(B165&lt;=Hypothèses!$C$7,Hypothèses!$F$7,IF(B165&lt;=Hypothèses!$C$8,Hypothèses!$F$8,IF(B165&lt;=Hypothèses!$C$9,Hypothèses!$F$9,IF(B165&lt;=Hypothèses!$C$10,Hypothèses!$F$10,IF(B165&lt;=Hypothèses!$C$11,Hypothèses!$F$11,IF(B165&lt;=Hypothèses!$C$12,Hypothèses!$F$12,IF(B165&lt;=Hypothèses!$C$13,Hypothèses!$F$13,IF(B165&lt;=Hypothèses!$C$14,Hypothèses!$F$14,IF(B165&lt;=Hypothèses!$C$15,Hypothèses!$F$15,IF(B165&lt;=Hypothèses!$C$16,Hypothèses!$F$16,IF(B165&lt;=Hypothèses!$C$17,Hypothèses!$F$17,IF(B165&lt;=Hypothèses!$C$18,Hypothèses!$F$18,F164))))))))))))</f>
        <v/>
      </c>
      <c r="G165" s="91">
        <f t="array" ref="G165">INDEX('Coeff EC7'!$U$7:$X$27,
MATCH(Model0.1C!$B$3,'Coeff EC7'!$T$7:$T$27,0),
MATCH(Model0.1C!$D165&amp;Model0.1C!$B$4,
'Coeff EC7'!$U$6:$X$6&amp;
'Coeff EC7'!$U$5:$X$5,0))</f>
        <v>1.1499999999999999</v>
      </c>
      <c r="H165" s="91">
        <f t="array" ref="H165">INDEX('Coeff EC7'!$Y$7:$AB$27,
MATCH(Model0.1C!$B$3,'Coeff EC7'!$T$7:$T$27,0),
MATCH(Model0.1C!$D165&amp;Model0.1C!$B$4,
'Coeff EC7'!$Y$6:$AB$6&amp;
'Coeff EC7'!$Y$5:$AB$5,0))</f>
        <v>1.4</v>
      </c>
      <c r="I165" s="83" t="e">
        <f>IF(B165&lt;=Hypothèses!$C$7,Hypothèses!$P$7,IF(B165&lt;=Hypothèses!$C$8,Hypothèses!$P$8,IF(B165&lt;=Hypothèses!$C$9,Hypothèses!$P$9,IF(B165&lt;=Hypothèses!$C$10,Hypothèses!$P$10,IF(B165&lt;=Hypothèses!$C$11,Hypothèses!$P$11,IF(B165&lt;=Hypothèses!$C$12,Hypothèses!$P$12,IF(B165&lt;=Hypothèses!$C$13,Hypothèses!$P$13,IF(B165&lt;=Hypothèses!$C$14,Hypothèses!$P$14,IF(B165&lt;=Hypothèses!$C$15,Hypothèses!$P$15,IF(B165&lt;=Hypothèses!$C$16,Hypothèses!$P$16,IF(B165&lt;=Hypothèses!$C$17,Hypothèses!$P$17,IF(B165&lt;=Hypothèses!$C$18,Hypothèses!$P$18,I164))))))))))))</f>
        <v>#N/A</v>
      </c>
      <c r="J165" s="91" t="e">
        <f t="array" ref="J165">INDEX('Coeff EC7'!$D$33:$Q$33,1,MATCH(D165&amp;E165,'Coeff EC7'!$D$31:$Q$31&amp;'Coeff EC7'!$D$32:$Q$32,0))</f>
        <v>#N/A</v>
      </c>
      <c r="K165" s="91" t="e">
        <f t="array" ref="K165">INDEX('Coeff EC7'!$D$34:$Q$34,1,MATCH(D165&amp;E165,'Coeff EC7'!$D$31:$Q$31&amp;'Coeff EC7'!$D$32:$Q$32,0))</f>
        <v>#N/A</v>
      </c>
      <c r="L165" s="91" t="e">
        <f t="array" ref="L165">INDEX('Coeff EC7'!$D$35:$Q$35,1,MATCH(D165&amp;E165,'Coeff EC7'!$D$31:$Q$31&amp;'Coeff EC7'!$D$32:$Q$32,0))</f>
        <v>#N/A</v>
      </c>
      <c r="M165" s="98" t="e">
        <f t="shared" si="231"/>
        <v>#N/A</v>
      </c>
      <c r="N165" s="99" t="e">
        <f t="array" ref="N165">INDEX('Coeff EC7'!$D$7:$Q$27,MATCH($B$3,'Coeff EC7'!$C$7:$C$27,0),MATCH(D165&amp;E165,'Coeff EC7'!$D$5:$Q$5&amp;'Coeff EC7'!$D$6:$Q$6,0))</f>
        <v>#N/A</v>
      </c>
      <c r="O165" s="99" t="e">
        <f t="array" ref="O165">INDEX('Coeff EC7'!$D$41:$Q$61,MATCH($B$3,'Coeff EC7'!$C$41:$C$61,0),MATCH(D165&amp;E165,'Coeff EC7'!$D$39:$Q$39&amp;'Coeff EC7'!$D$40:$Q$40,0))</f>
        <v>#N/A</v>
      </c>
      <c r="P165" s="30" t="e">
        <f t="shared" si="268"/>
        <v>#N/A</v>
      </c>
      <c r="Q165" s="100" t="e">
        <f t="shared" si="233"/>
        <v>#N/A</v>
      </c>
      <c r="R165" s="86" t="b">
        <f t="shared" si="234"/>
        <v>0</v>
      </c>
      <c r="S165" s="86">
        <f t="shared" si="232"/>
        <v>0.5</v>
      </c>
      <c r="T165" s="86">
        <f t="shared" si="235"/>
        <v>0.5</v>
      </c>
      <c r="U165" s="30" t="e">
        <f t="shared" ca="1" si="269"/>
        <v>#DIV/0!</v>
      </c>
      <c r="V165" s="85" t="str">
        <f>IF(B165&lt;=Hypothèses!$V$7,Hypothèses!$W$7,IF(B165&lt;=Hypothèses!$V$8,Hypothèses!$W$8,IF(B165&lt;=Hypothèses!$V$9,Hypothèses!$W$9,IF(B165&lt;=Hypothèses!$V$10,Hypothèses!$W$10,IF(B165&lt;=Hypothèses!$V$11,Hypothèses!$W$11,IF(B165&lt;=Hypothèses!$V$12,Hypothèses!$W$12,IF(B165&lt;=Hypothèses!$V$13,Hypothèses!$W$13,IF(B165&lt;=Hypothèses!$V$14,Hypothèses!$W$14,IF(B165&lt;=Hypothèses!$V$15,Hypothèses!$W$15,IF(B165&lt;=Hypothèses!$V$16,Hypothèses!$W$16,IF(B165&lt;=Hypothèses!$V$17,Hypothèses!$W$17,IF(B165&lt;=Hypothèses!$V$18,Hypothèses!$W$18,""))))))))))))</f>
        <v/>
      </c>
      <c r="W165" s="87" t="e">
        <f t="shared" ca="1" si="316"/>
        <v>#DIV/0!</v>
      </c>
      <c r="X165" s="88" t="str">
        <f>IF(B165&lt;=Hypothèses!$V$7,Hypothèses!$X$7,IF(B165&lt;=Hypothèses!$V$8,Hypothèses!$X$8,IF(B165&lt;=Hypothèses!$V$9,Hypothèses!$X$9,IF(B165&lt;=Hypothèses!$V$10,Hypothèses!$X$10,IF(B165&lt;=Hypothèses!$V$11,Hypothèses!$X$11,IF(B165&lt;=Hypothèses!$V$12,Hypothèses!$X$12,IF(B165&lt;=Hypothèses!$V$13,Hypothèses!$X$13,IF(B165&lt;=Hypothèses!$V$14,Hypothèses!$X$14,IF(B165&lt;=Hypothèses!$V$15,Hypothèses!$X$15,IF(B165&lt;=Hypothèses!$V$16,Hypothèses!$X$16,IF(B165&lt;=Hypothèses!$U$17,Hypothèses!$W$17,IF(B165&lt;=Hypothèses!$U$18,Hypothèses!$W$18,""))))))))))))</f>
        <v/>
      </c>
      <c r="Y165" s="95" t="e">
        <f t="shared" ca="1" si="236"/>
        <v>#DIV/0!</v>
      </c>
      <c r="Z165" s="101" t="e">
        <f t="shared" si="237"/>
        <v>#N/A</v>
      </c>
      <c r="AA165" s="91" t="e">
        <f t="shared" si="238"/>
        <v>#N/A</v>
      </c>
      <c r="AB165" s="30" t="e">
        <f t="shared" si="300"/>
        <v>#N/A</v>
      </c>
      <c r="AC165" s="30" t="e">
        <f t="shared" si="301"/>
        <v>#N/A</v>
      </c>
      <c r="AD165" s="31" t="e">
        <f>IF(OR(Hypothèses!$B$4=17,Hypothèses!$B$4=18,Hypothèses!$B$4=19,Hypothèses!$B$4=20),
IF($D165="Pressio.",
IF(OR($E165=3,$E165=1,$E165=4),AC165,AB165),
IF($D165="Pénétro.",
IF(OR($E165=3,$E165=1,$E165=4),AC165,AB165))),IF($D165="Pressio.",
IF($E165=3,AC165,AB165),
IF($D165="Pénétro.",
IF($E165=4,AC165,AB165))))</f>
        <v>#N/A</v>
      </c>
      <c r="AE165" s="31" t="e">
        <f>(IF(OR(Hypothèses!$B$4=17,Hypothèses!$B$4=18,Hypothèses!$B$4=19,Hypothèses!$B$4=20),
IF($D165="Pressio.",
IF(OR($E165=3,$E165=1,$E165=4),(PI()*AE$12^2)/4*(AA165*$W165*1000)/($H165*$B$5),(PI()*AE$12^2)/4*(AA165*$W165*1000)/($G165*$B$5)),
IF($D165="Pénétro.",
IF(OR($E165=4,$E165=1,$E165=5),(PI()*AE$12^2)/4*(AA165*$W165*1000)/($H165*$B$5),(PI()*AE$12^2)/4*(AA165*$W165*1000)/($G165*$B$5)))),
IF($D165="Pressio.",
IF($E165=3,(PI()*AE$12^2)/4*(AA165*$W165*1000)/($H165*$B$5),(PI()*AE$12^2)/4*(AA165*$W165*1000)/($G165*$B$5)),
IF($D165="Pénétro.",
IF($E165=4,(PI()*AE$12^2)/4*(AA165*$W165*1000)/($H165*$B$5),(PI()*AE$12^2)/4*(AA165*$W165*1000)/($G165*$B$5))))))/10</f>
        <v>#N/A</v>
      </c>
      <c r="AF165" s="102" t="e">
        <f>(VLOOKUP($B$3,'Coeff EC7'!$T$39:$X$59,2,0)*AD165+VLOOKUP($B$3,'Coeff EC7'!$T$65:$X$85,2,0)*Model0.1C!AE165)/1.1</f>
        <v>#N/A</v>
      </c>
      <c r="AG165" s="102" t="e">
        <f>(VLOOKUP($B$3,'Coeff EC7'!$T$39:$X$59,3,0)*AD165+VLOOKUP($B$3,'Coeff EC7'!$T$65:$X$85,3,0)*Model0.1C!AE165)/0.9</f>
        <v>#N/A</v>
      </c>
      <c r="AH165" s="102" t="e">
        <f t="shared" si="239"/>
        <v>#N/A</v>
      </c>
      <c r="AI165" s="102" t="e">
        <f t="shared" si="240"/>
        <v>#N/A</v>
      </c>
      <c r="AJ165" s="414" t="e">
        <f>IF(AJ164=0,0,IF(AND(AF165&gt;charge_ELS_quasi,AG165&gt;Charge_ELS_freq,AH165&gt;charge_ELU,AI165&gt;charge_ELA,$B165&gt;NDC!$H$22-0.1+MIN(3*$AJ$12,1.5)),0,1))</f>
        <v>#N/A</v>
      </c>
      <c r="AK165" s="86" t="b">
        <f t="shared" si="241"/>
        <v>0</v>
      </c>
      <c r="AL165" s="86">
        <f t="shared" si="270"/>
        <v>0.5</v>
      </c>
      <c r="AM165" s="86">
        <f t="shared" si="242"/>
        <v>0.5</v>
      </c>
      <c r="AN165" s="30" t="e">
        <f t="shared" ca="1" si="271"/>
        <v>#DIV/0!</v>
      </c>
      <c r="AO165" s="85" t="e">
        <f ca="1">IF(U165&lt;=Hypothèses!$V$7,Hypothèses!$W$7,IF(U165&lt;=Hypothèses!$V$8,Hypothèses!$W$8,IF(U165&lt;=Hypothèses!$V$9,Hypothèses!$W$9,IF(U165&lt;=Hypothèses!$V$10,Hypothèses!$W$10,IF(U165&lt;=Hypothèses!$V$11,Hypothèses!$W$11,IF(U165&lt;=Hypothèses!$V$12,Hypothèses!$W$12,IF(U165&lt;=Hypothèses!$V$13,Hypothèses!$W$13,IF(U165&lt;=Hypothèses!$V$14,Hypothèses!$W$14,IF(U165&lt;=Hypothèses!$V$15,Hypothèses!$W$15,IF(U165&lt;=Hypothèses!$V$16,Hypothèses!$W$16,IF(U165&lt;=Hypothèses!$V$17,Hypothèses!$W$17,IF(U165&lt;=Hypothèses!$V$18,Hypothèses!$W$18,""))))))))))))</f>
        <v>#DIV/0!</v>
      </c>
      <c r="AP165" s="87" t="e">
        <f t="shared" ca="1" si="317"/>
        <v>#DIV/0!</v>
      </c>
      <c r="AQ165" s="88" t="e">
        <f ca="1">IF(U165&lt;=Hypothèses!$V$7,Hypothèses!$X$7,IF(U165&lt;=Hypothèses!$V$8,Hypothèses!$X$8,IF(U165&lt;=Hypothèses!$V$9,Hypothèses!$X$9,IF(U165&lt;=Hypothèses!$V$10,Hypothèses!$X$10,IF(U165&lt;=Hypothèses!$V$11,Hypothèses!$X$11,IF(U165&lt;=Hypothèses!$V$12,Hypothèses!$X$12,IF(U165&lt;=Hypothèses!$V$13,Hypothèses!$X$13,IF(U165&lt;=Hypothèses!$V$14,Hypothèses!$X$14,IF(U165&lt;=Hypothèses!$V$15,Hypothèses!$X$15,IF(U165&lt;=Hypothèses!$V$16,Hypothèses!$X$16,IF(U165&lt;=Hypothèses!$U$17,Hypothèses!$W$17,IF(U165&lt;=Hypothèses!$U$18,Hypothèses!$W$18,""))))))))))))</f>
        <v>#DIV/0!</v>
      </c>
      <c r="AR165" s="95" t="e">
        <f t="shared" ca="1" si="272"/>
        <v>#DIV/0!</v>
      </c>
      <c r="AS165" s="101" t="e">
        <f t="shared" si="324"/>
        <v>#N/A</v>
      </c>
      <c r="AT165" s="91" t="e">
        <f t="shared" si="243"/>
        <v>#N/A</v>
      </c>
      <c r="AU165" s="30" t="e">
        <f t="shared" si="302"/>
        <v>#N/A</v>
      </c>
      <c r="AV165" s="30" t="e">
        <f t="shared" si="303"/>
        <v>#N/A</v>
      </c>
      <c r="AW165" s="31" t="e">
        <f>IF(OR(Hypothèses!$B$4=17,Hypothèses!$B$4=18,Hypothèses!$B$4=19,Hypothèses!$B$4=20),
IF($D165="Pressio.",
IF(OR($E165=3,$E165=1,$E165=4),AV165,AU165),
IF($D165="Pénétro.",
IF(OR($E165=3,$E165=1,$E165=4),AV165,AU165))),IF($D165="Pressio.",
IF($E165=3,AV165,AU165),
IF($D165="Pénétro.",
IF($E165=4,AV165,AU165))))</f>
        <v>#N/A</v>
      </c>
      <c r="AX165" s="31" t="e">
        <f>(IF(OR(Hypothèses!$B$4=17,Hypothèses!$B$4=18,Hypothèses!$B$4=19,Hypothèses!$B$4=20),
IF($D165="Pressio.",
IF(OR($E165=3,$E165=1,$E165=4),(PI()*AX$12^2)/4*(AT165*$W165*1000)/($H165*$B$5),(PI()*AX$12^2)/4*(AT165*$W165*1000)/($G165*$B$5)),
IF($D165="Pénétro.",
IF(OR($E165=4,$E165=1,$E165=5),(PI()*AX$12^2)/4*(AT165*$W165*1000)/($H165*$B$5),(PI()*AX$12^2)/4*(AT165*$W165*1000)/($G165*$B$5)))),
IF($D165="Pressio.",
IF($E165=3,(PI()*AX$12^2)/4*(AT165*$W165*1000)/($H165*$B$5),(PI()*AX$12^2)/4*(AT165*$W165*1000)/($G165*$B$5)),
IF($D165="Pénétro.",
IF($E165=4,(PI()*AX$12^2)/4*(AT165*$W165*1000)/($H165*$B$5),(PI()*AX$12^2)/4*(AT165*$W165*1000)/($G165*$B$5))))))/10</f>
        <v>#N/A</v>
      </c>
      <c r="AY165" s="102" t="e">
        <f>(VLOOKUP($B$3,'Coeff EC7'!$T$39:$X$59,2,0)*AW165+VLOOKUP($B$3,'Coeff EC7'!$T$65:$X$85,2,0)*Model0.1C!AX165)/1.1</f>
        <v>#N/A</v>
      </c>
      <c r="AZ165" s="102" t="e">
        <f>(VLOOKUP($B$3,'Coeff EC7'!$T$39:$X$59,3,0)*AW165+VLOOKUP($B$3,'Coeff EC7'!$T$65:$X$85,3,0)*Model0.1C!AX165)/0.9</f>
        <v>#N/A</v>
      </c>
      <c r="BA165" s="102" t="e">
        <f t="shared" si="273"/>
        <v>#N/A</v>
      </c>
      <c r="BB165" s="102" t="e">
        <f t="shared" si="274"/>
        <v>#N/A</v>
      </c>
      <c r="BC165" s="414" t="e">
        <f>IF(BC164=0,0,IF(AND(AY165&gt;charge_ELS_quasi,AZ165&gt;Charge_ELS_freq,BA165&gt;charge_ELU,BB165&gt;charge_ELA,$B165&gt;NDC!$H$22-0.1+MIN(3*$BC$12,1.5)),0,1))</f>
        <v>#N/A</v>
      </c>
      <c r="BD165" s="86" t="b">
        <f t="shared" si="244"/>
        <v>0</v>
      </c>
      <c r="BE165" s="86">
        <f t="shared" si="275"/>
        <v>0.5</v>
      </c>
      <c r="BF165" s="86">
        <f t="shared" si="245"/>
        <v>0.5</v>
      </c>
      <c r="BG165" s="30" t="e">
        <f t="shared" ca="1" si="276"/>
        <v>#DIV/0!</v>
      </c>
      <c r="BH165" s="85" t="e">
        <f ca="1">IF(AN165&lt;=Hypothèses!$V$7,Hypothèses!$W$7,IF(AN165&lt;=Hypothèses!$V$8,Hypothèses!$W$8,IF(AN165&lt;=Hypothèses!$V$9,Hypothèses!$W$9,IF(AN165&lt;=Hypothèses!$V$10,Hypothèses!$W$10,IF(AN165&lt;=Hypothèses!$V$11,Hypothèses!$W$11,IF(AN165&lt;=Hypothèses!$V$12,Hypothèses!$W$12,IF(AN165&lt;=Hypothèses!$V$13,Hypothèses!$W$13,IF(AN165&lt;=Hypothèses!$V$14,Hypothèses!$W$14,IF(AN165&lt;=Hypothèses!$V$15,Hypothèses!$W$15,IF(AN165&lt;=Hypothèses!$V$16,Hypothèses!$W$16,IF(AN165&lt;=Hypothèses!$V$17,Hypothèses!$W$17,IF(AN165&lt;=Hypothèses!$V$18,Hypothèses!$W$18,""))))))))))))</f>
        <v>#DIV/0!</v>
      </c>
      <c r="BI165" s="87" t="e">
        <f t="shared" ca="1" si="318"/>
        <v>#DIV/0!</v>
      </c>
      <c r="BJ165" s="88" t="e">
        <f ca="1">IF(AN165&lt;=Hypothèses!$V$7,Hypothèses!$X$7,IF(AN165&lt;=Hypothèses!$V$8,Hypothèses!$X$8,IF(AN165&lt;=Hypothèses!$V$9,Hypothèses!$X$9,IF(AN165&lt;=Hypothèses!$V$10,Hypothèses!$X$10,IF(AN165&lt;=Hypothèses!$V$11,Hypothèses!$X$11,IF(AN165&lt;=Hypothèses!$V$12,Hypothèses!$X$12,IF(AN165&lt;=Hypothèses!$V$13,Hypothèses!$X$13,IF(AN165&lt;=Hypothèses!$V$14,Hypothèses!$X$14,IF(AN165&lt;=Hypothèses!$V$15,Hypothèses!$X$15,IF(AN165&lt;=Hypothèses!$V$16,Hypothèses!$X$16,IF(AN165&lt;=Hypothèses!$U$17,Hypothèses!$W$17,IF(AN165&lt;=Hypothèses!$U$18,Hypothèses!$W$18,""))))))))))))</f>
        <v>#DIV/0!</v>
      </c>
      <c r="BK165" s="95" t="e">
        <f t="shared" ca="1" si="277"/>
        <v>#DIV/0!</v>
      </c>
      <c r="BL165" s="101" t="e">
        <f t="shared" si="325"/>
        <v>#N/A</v>
      </c>
      <c r="BM165" s="91" t="e">
        <f t="shared" si="246"/>
        <v>#N/A</v>
      </c>
      <c r="BN165" s="30" t="e">
        <f t="shared" si="304"/>
        <v>#N/A</v>
      </c>
      <c r="BO165" s="30" t="e">
        <f t="shared" si="305"/>
        <v>#N/A</v>
      </c>
      <c r="BP165" s="31" t="e">
        <f>IF(OR(Hypothèses!$B$4=17,Hypothèses!$B$4=18,Hypothèses!$B$4=19,Hypothèses!$B$4=20),
IF($D165="Pressio.",
IF(OR($E165=3,$E165=1,$E165=4),BO165,BN165),
IF($D165="Pénétro.",
IF(OR($E165=3,$E165=1,$E165=4),BO165,BN165))),IF($D165="Pressio.",
IF($E165=3,BO165,BN165),
IF($D165="Pénétro.",
IF($E165=4,BO165,BN165))))</f>
        <v>#N/A</v>
      </c>
      <c r="BQ165" s="31" t="e">
        <f>(IF(OR(Hypothèses!$B$4=17,Hypothèses!$B$4=18,Hypothèses!$B$4=19,Hypothèses!$B$4=20),
IF($D165="Pressio.",
IF(OR($E165=3,$E165=1,$E165=4),(PI()*BQ$12^2)/4*(BM165*$W165*1000)/($H165*$B$5),(PI()*BQ$12^2)/4*(BM165*$W165*1000)/($G165*$B$5)),
IF($D165="Pénétro.",
IF(OR($E165=4,$E165=1,$E165=5),(PI()*BQ$12^2)/4*(BM165*$W165*1000)/($H165*$B$5),(PI()*BQ$12^2)/4*(BM165*$W165*1000)/($G165*$B$5)))),
IF($D165="Pressio.",
IF($E165=3,(PI()*BQ$12^2)/4*(BM165*$W165*1000)/($H165*$B$5),(PI()*BQ$12^2)/4*(BM165*$W165*1000)/($G165*$B$5)),
IF($D165="Pénétro.",
IF($E165=4,(PI()*BQ$12^2)/4*(BM165*$W165*1000)/($H165*$B$5),(PI()*BQ$12^2)/4*(BM165*$W165*1000)/($G165*$B$5))))))/10</f>
        <v>#N/A</v>
      </c>
      <c r="BR165" s="102" t="e">
        <f>(VLOOKUP($B$3,'Coeff EC7'!$T$39:$X$59,2,0)*BP165+VLOOKUP($B$3,'Coeff EC7'!$T$65:$X$85,2,0)*Model0.1C!BQ165)/1.1</f>
        <v>#N/A</v>
      </c>
      <c r="BS165" s="102" t="e">
        <f>(VLOOKUP($B$3,'Coeff EC7'!$T$39:$X$59,3,0)*BP165+VLOOKUP($B$3,'Coeff EC7'!$T$65:$X$85,3,0)*Model0.1C!BQ165)/0.9</f>
        <v>#N/A</v>
      </c>
      <c r="BT165" s="102" t="e">
        <f t="shared" si="278"/>
        <v>#N/A</v>
      </c>
      <c r="BU165" s="102" t="e">
        <f t="shared" si="279"/>
        <v>#N/A</v>
      </c>
      <c r="BV165" s="414" t="e">
        <f>IF(BV164=0,0,IF(AND(BR165&gt;charge_ELS_quasi,BS165&gt;Charge_ELS_freq,BT165&gt;charge_ELU,BU165&gt;charge_ELA,$B165&gt;NDC!$H$22-0.1+MIN(3*$BV$12,1.5)),0,1))</f>
        <v>#N/A</v>
      </c>
      <c r="BW165" s="86" t="b">
        <f t="shared" si="247"/>
        <v>0</v>
      </c>
      <c r="BX165" s="86">
        <f t="shared" si="248"/>
        <v>0.5</v>
      </c>
      <c r="BY165" s="86">
        <f t="shared" si="249"/>
        <v>0.5</v>
      </c>
      <c r="BZ165" s="30" t="e">
        <f t="shared" ca="1" si="280"/>
        <v>#DIV/0!</v>
      </c>
      <c r="CA165" s="85" t="e">
        <f ca="1">IF(BG165&lt;=Hypothèses!$V$7,Hypothèses!$W$7,IF(BG165&lt;=Hypothèses!$V$8,Hypothèses!$W$8,IF(BG165&lt;=Hypothèses!$V$9,Hypothèses!$W$9,IF(BG165&lt;=Hypothèses!$V$10,Hypothèses!$W$10,IF(BG165&lt;=Hypothèses!$V$11,Hypothèses!$W$11,IF(BG165&lt;=Hypothèses!$V$12,Hypothèses!$W$12,IF(BG165&lt;=Hypothèses!$V$13,Hypothèses!$W$13,IF(BG165&lt;=Hypothèses!$V$14,Hypothèses!$W$14,IF(BG165&lt;=Hypothèses!$V$15,Hypothèses!$W$15,IF(BG165&lt;=Hypothèses!$V$16,Hypothèses!$W$16,IF(BG165&lt;=Hypothèses!$V$17,Hypothèses!$W$17,IF(BG165&lt;=Hypothèses!$V$18,Hypothèses!$W$18,""))))))))))))</f>
        <v>#DIV/0!</v>
      </c>
      <c r="CB165" s="87" t="e">
        <f t="shared" ca="1" si="319"/>
        <v>#DIV/0!</v>
      </c>
      <c r="CC165" s="88" t="e">
        <f ca="1">IF(BG165&lt;=Hypothèses!$V$7,Hypothèses!$X$7,IF(BG165&lt;=Hypothèses!$V$8,Hypothèses!$X$8,IF(BG165&lt;=Hypothèses!$V$9,Hypothèses!$X$9,IF(BG165&lt;=Hypothèses!$V$10,Hypothèses!$X$10,IF(BG165&lt;=Hypothèses!$V$11,Hypothèses!$X$11,IF(BG165&lt;=Hypothèses!$V$12,Hypothèses!$X$12,IF(BG165&lt;=Hypothèses!$V$13,Hypothèses!$X$13,IF(BG165&lt;=Hypothèses!$V$14,Hypothèses!$X$14,IF(BG165&lt;=Hypothèses!$V$15,Hypothèses!$X$15,IF(BG165&lt;=Hypothèses!$V$16,Hypothèses!$X$16,IF(BG165&lt;=Hypothèses!$U$17,Hypothèses!$W$17,IF(BG165&lt;=Hypothèses!$U$18,Hypothèses!$W$18,""))))))))))))</f>
        <v>#DIV/0!</v>
      </c>
      <c r="CD165" s="95" t="e">
        <f t="shared" ca="1" si="281"/>
        <v>#DIV/0!</v>
      </c>
      <c r="CE165" s="101" t="e">
        <f t="shared" si="326"/>
        <v>#N/A</v>
      </c>
      <c r="CF165" s="91" t="e">
        <f t="shared" si="250"/>
        <v>#N/A</v>
      </c>
      <c r="CG165" s="30" t="e">
        <f t="shared" si="306"/>
        <v>#N/A</v>
      </c>
      <c r="CH165" s="30" t="e">
        <f t="shared" si="307"/>
        <v>#N/A</v>
      </c>
      <c r="CI165" s="31" t="e">
        <f>IF(OR(Hypothèses!$B$4=17,Hypothèses!$B$4=18,Hypothèses!$B$4=19,Hypothèses!$B$4=20),
IF($D165="Pressio.",
IF(OR($E165=3,$E165=1,$E165=4),CH165,CG165),
IF($D165="Pénétro.",
IF(OR($E165=3,$E165=1,$E165=4),CH165,CG165))),IF($D165="Pressio.",
IF($E165=3,CH165,CG165),
IF($D165="Pénétro.",
IF($E165=4,CH165,CG165))))</f>
        <v>#N/A</v>
      </c>
      <c r="CJ165" s="31" t="e">
        <f>(IF(OR(Hypothèses!$B$4=17,Hypothèses!$B$4=18,Hypothèses!$B$4=19,Hypothèses!$B$4=20),
IF($D165="Pressio.",
IF(OR($E165=3,$E165=1,$E165=4),(PI()*CJ$12^2)/4*(CF165*$W165*1000)/($H165*$B$5),(PI()*CJ$12^2)/4*(CF165*$W165*1000)/($G165*$B$5)),
IF($D165="Pénétro.",
IF(OR($E165=4,$E165=1,$E165=5),(PI()*CJ$12^2)/4*(CF165*$W165*1000)/($H165*$B$5),(PI()*CJ$12^2)/4*(CF165*$W165*1000)/($G165*$B$5)))),
IF($D165="Pressio.",
IF($E165=3,(PI()*CJ$12^2)/4*(CF165*$W165*1000)/($H165*$B$5),(PI()*CJ$12^2)/4*(CF165*$W165*1000)/($G165*$B$5)),
IF($D165="Pénétro.",
IF($E165=4,(PI()*CJ$12^2)/4*(CF165*$W165*1000)/($H165*$B$5),(PI()*CJ$12^2)/4*(CF165*$W165*1000)/($G165*$B$5))))))/10</f>
        <v>#N/A</v>
      </c>
      <c r="CK165" s="102" t="e">
        <f>(VLOOKUP($B$3,'Coeff EC7'!$T$39:$X$59,2,0)*CI165+VLOOKUP($B$3,'Coeff EC7'!$T$65:$X$85,2,0)*Model0.1C!CJ165)/1.1</f>
        <v>#N/A</v>
      </c>
      <c r="CL165" s="102" t="e">
        <f>(VLOOKUP($B$3,'Coeff EC7'!$T$39:$X$59,3,0)*CI165+VLOOKUP($B$3,'Coeff EC7'!$T$65:$X$85,3,0)*Model0.1C!CJ165)/0.9</f>
        <v>#N/A</v>
      </c>
      <c r="CM165" s="102" t="e">
        <f t="shared" si="282"/>
        <v>#N/A</v>
      </c>
      <c r="CN165" s="102" t="e">
        <f t="shared" si="283"/>
        <v>#N/A</v>
      </c>
      <c r="CO165" s="414" t="e">
        <f>IF(CO164=0,0,IF(AND(CK165&gt;charge_ELS_quasi,CL165&gt;Charge_ELS_freq,CM165&gt;charge_ELU,CN165&gt;charge_ELA,$B165&gt;NDC!$H$22-0.1+MIN(3*$CO$12,1.5)),0,1))</f>
        <v>#N/A</v>
      </c>
      <c r="CP165" s="86" t="b">
        <f t="shared" si="251"/>
        <v>0</v>
      </c>
      <c r="CQ165" s="86">
        <f t="shared" si="252"/>
        <v>0.5</v>
      </c>
      <c r="CR165" s="86">
        <f t="shared" si="253"/>
        <v>0.5</v>
      </c>
      <c r="CS165" s="30" t="e">
        <f t="shared" ca="1" si="284"/>
        <v>#DIV/0!</v>
      </c>
      <c r="CT165" s="85" t="e">
        <f ca="1">IF(BZ165&lt;=Hypothèses!$V$7,Hypothèses!$W$7,IF(BZ165&lt;=Hypothèses!$V$8,Hypothèses!$W$8,IF(BZ165&lt;=Hypothèses!$V$9,Hypothèses!$W$9,IF(BZ165&lt;=Hypothèses!$V$10,Hypothèses!$W$10,IF(BZ165&lt;=Hypothèses!$V$11,Hypothèses!$W$11,IF(BZ165&lt;=Hypothèses!$V$12,Hypothèses!$W$12,IF(BZ165&lt;=Hypothèses!$V$13,Hypothèses!$W$13,IF(BZ165&lt;=Hypothèses!$V$14,Hypothèses!$W$14,IF(BZ165&lt;=Hypothèses!$V$15,Hypothèses!$W$15,IF(BZ165&lt;=Hypothèses!$V$16,Hypothèses!$W$16,IF(BZ165&lt;=Hypothèses!$V$17,Hypothèses!$W$17,IF(BZ165&lt;=Hypothèses!$V$18,Hypothèses!$W$18,""))))))))))))</f>
        <v>#DIV/0!</v>
      </c>
      <c r="CU165" s="87" t="e">
        <f t="shared" ca="1" si="320"/>
        <v>#DIV/0!</v>
      </c>
      <c r="CV165" s="88" t="e">
        <f ca="1">IF(BZ165&lt;=Hypothèses!$V$7,Hypothèses!$X$7,IF(BZ165&lt;=Hypothèses!$V$8,Hypothèses!$X$8,IF(BZ165&lt;=Hypothèses!$V$9,Hypothèses!$X$9,IF(BZ165&lt;=Hypothèses!$V$10,Hypothèses!$X$10,IF(BZ165&lt;=Hypothèses!$V$11,Hypothèses!$X$11,IF(BZ165&lt;=Hypothèses!$V$12,Hypothèses!$X$12,IF(BZ165&lt;=Hypothèses!$V$13,Hypothèses!$X$13,IF(BZ165&lt;=Hypothèses!$V$14,Hypothèses!$X$14,IF(BZ165&lt;=Hypothèses!$V$15,Hypothèses!$X$15,IF(BZ165&lt;=Hypothèses!$V$16,Hypothèses!$X$16,IF(BZ165&lt;=Hypothèses!$U$17,Hypothèses!$W$17,IF(BZ165&lt;=Hypothèses!$U$18,Hypothèses!$W$18,""))))))))))))</f>
        <v>#DIV/0!</v>
      </c>
      <c r="CW165" s="95" t="e">
        <f t="shared" ca="1" si="285"/>
        <v>#DIV/0!</v>
      </c>
      <c r="CX165" s="101" t="e">
        <f t="shared" si="327"/>
        <v>#N/A</v>
      </c>
      <c r="CY165" s="91" t="e">
        <f t="shared" si="254"/>
        <v>#N/A</v>
      </c>
      <c r="CZ165" s="30" t="e">
        <f t="shared" si="308"/>
        <v>#N/A</v>
      </c>
      <c r="DA165" s="30" t="e">
        <f t="shared" si="309"/>
        <v>#N/A</v>
      </c>
      <c r="DB165" s="31" t="e">
        <f>IF(OR(Hypothèses!$B$4=17,Hypothèses!$B$4=18,Hypothèses!$B$4=19,Hypothèses!$B$4=20),
IF($D165="Pressio.",
IF(OR($E165=3,$E165=1,$E165=4),DA165,CZ165),
IF($D165="Pénétro.",
IF(OR($E165=3,$E165=1,$E165=4),DA165,CZ165))),IF($D165="Pressio.",
IF($E165=3,DA165,CZ165),
IF($D165="Pénétro.",
IF($E165=4,DA165,CZ165))))</f>
        <v>#N/A</v>
      </c>
      <c r="DC165" s="31" t="e">
        <f>(IF(OR(Hypothèses!$B$4=17,Hypothèses!$B$4=18,Hypothèses!$B$4=19,Hypothèses!$B$4=20),
IF($D165="Pressio.",
IF(OR($E165=3,$E165=1,$E165=4),(PI()*DC$12^2)/4*(CY165*$W165*1000)/($H165*$B$5),(PI()*DC$12^2)/4*(CY165*$W165*1000)/($G165*$B$5)),
IF($D165="Pénétro.",
IF(OR($E165=4,$E165=1,$E165=5),(PI()*DC$12^2)/4*(CY165*$W165*1000)/($H165*$B$5),(PI()*DC$12^2)/4*(CY165*$W165*1000)/($G165*$B$5)))),
IF($D165="Pressio.",
IF($E165=3,(PI()*DC$12^2)/4*(CY165*$W165*1000)/($H165*$B$5),(PI()*DC$12^2)/4*(CY165*$W165*1000)/($G165*$B$5)),
IF($D165="Pénétro.",
IF($E165=4,(PI()*DC$12^2)/4*(CY165*$W165*1000)/($H165*$B$5),(PI()*DC$12^2)/4*(CY165*$W165*1000)/($G165*$B$5))))))/10</f>
        <v>#N/A</v>
      </c>
      <c r="DD165" s="102" t="e">
        <f>(VLOOKUP($B$3,'Coeff EC7'!$T$39:$X$59,2,0)*DB165+VLOOKUP($B$3,'Coeff EC7'!$T$65:$X$85,2,0)*Model0.1C!DC165)/1.1</f>
        <v>#N/A</v>
      </c>
      <c r="DE165" s="102" t="e">
        <f>(VLOOKUP($B$3,'Coeff EC7'!$T$39:$X$59,3,0)*DB165+VLOOKUP($B$3,'Coeff EC7'!$T$65:$X$85,3,0)*Model0.1C!DC165)/0.9</f>
        <v>#N/A</v>
      </c>
      <c r="DF165" s="102" t="e">
        <f t="shared" si="286"/>
        <v>#N/A</v>
      </c>
      <c r="DG165" s="102" t="e">
        <f t="shared" si="287"/>
        <v>#N/A</v>
      </c>
      <c r="DH165" s="414" t="e">
        <f>IF(DH164=0,0,IF(AND(DD165&gt;charge_ELS_quasi,DE165&gt;Charge_ELS_freq,DF165&gt;charge_ELU,DG165&gt;charge_ELA,$B165&gt;NDC!$H$22-0.1+MIN(3*$DH$12,1.5)),0,1))</f>
        <v>#N/A</v>
      </c>
      <c r="DI165" s="86" t="b">
        <f t="shared" si="255"/>
        <v>0</v>
      </c>
      <c r="DJ165" s="86">
        <f t="shared" si="256"/>
        <v>0.5</v>
      </c>
      <c r="DK165" s="86">
        <f t="shared" si="257"/>
        <v>0.5</v>
      </c>
      <c r="DL165" s="30" t="e">
        <f t="shared" ca="1" si="288"/>
        <v>#DIV/0!</v>
      </c>
      <c r="DM165" s="85" t="e">
        <f ca="1">IF(CS165&lt;=Hypothèses!$V$7,Hypothèses!$W$7,IF(CS165&lt;=Hypothèses!$V$8,Hypothèses!$W$8,IF(CS165&lt;=Hypothèses!$V$9,Hypothèses!$W$9,IF(CS165&lt;=Hypothèses!$V$10,Hypothèses!$W$10,IF(CS165&lt;=Hypothèses!$V$11,Hypothèses!$W$11,IF(CS165&lt;=Hypothèses!$V$12,Hypothèses!$W$12,IF(CS165&lt;=Hypothèses!$V$13,Hypothèses!$W$13,IF(CS165&lt;=Hypothèses!$V$14,Hypothèses!$W$14,IF(CS165&lt;=Hypothèses!$V$15,Hypothèses!$W$15,IF(CS165&lt;=Hypothèses!$V$16,Hypothèses!$W$16,IF(CS165&lt;=Hypothèses!$V$17,Hypothèses!$W$17,IF(CS165&lt;=Hypothèses!$V$18,Hypothèses!$W$18,""))))))))))))</f>
        <v>#DIV/0!</v>
      </c>
      <c r="DN165" s="87" t="e">
        <f t="shared" ca="1" si="321"/>
        <v>#DIV/0!</v>
      </c>
      <c r="DO165" s="88" t="e">
        <f ca="1">IF(CS165&lt;=Hypothèses!$V$7,Hypothèses!$X$7,IF(CS165&lt;=Hypothèses!$V$8,Hypothèses!$X$8,IF(CS165&lt;=Hypothèses!$V$9,Hypothèses!$X$9,IF(CS165&lt;=Hypothèses!$V$10,Hypothèses!$X$10,IF(CS165&lt;=Hypothèses!$V$11,Hypothèses!$X$11,IF(CS165&lt;=Hypothèses!$V$12,Hypothèses!$X$12,IF(CS165&lt;=Hypothèses!$V$13,Hypothèses!$X$13,IF(CS165&lt;=Hypothèses!$V$14,Hypothèses!$X$14,IF(CS165&lt;=Hypothèses!$V$15,Hypothèses!$X$15,IF(CS165&lt;=Hypothèses!$V$16,Hypothèses!$X$16,IF(CS165&lt;=Hypothèses!$U$17,Hypothèses!$W$17,IF(CS165&lt;=Hypothèses!$U$18,Hypothèses!$W$18,""))))))))))))</f>
        <v>#DIV/0!</v>
      </c>
      <c r="DP165" s="95" t="e">
        <f t="shared" ca="1" si="289"/>
        <v>#DIV/0!</v>
      </c>
      <c r="DQ165" s="101" t="e">
        <f t="shared" si="328"/>
        <v>#N/A</v>
      </c>
      <c r="DR165" s="91" t="e">
        <f t="shared" si="258"/>
        <v>#N/A</v>
      </c>
      <c r="DS165" s="30" t="e">
        <f t="shared" si="310"/>
        <v>#N/A</v>
      </c>
      <c r="DT165" s="30" t="e">
        <f t="shared" si="311"/>
        <v>#N/A</v>
      </c>
      <c r="DU165" s="31" t="e">
        <f>IF(OR(Hypothèses!$B$4=17,Hypothèses!$B$4=18,Hypothèses!$B$4=19,Hypothèses!$B$4=20),
IF($D165="Pressio.",
IF(OR($E165=3,$E165=1,$E165=4),DT165,DS165),
IF($D165="Pénétro.",
IF(OR($E165=3,$E165=1,$E165=4),DT165,DS165))),IF($D165="Pressio.",
IF($E165=3,DT165,DS165),
IF($D165="Pénétro.",
IF($E165=4,DT165,DS165))))</f>
        <v>#N/A</v>
      </c>
      <c r="DV165" s="31" t="e">
        <f>(IF(OR(Hypothèses!$B$4=17,Hypothèses!$B$4=18,Hypothèses!$B$4=19,Hypothèses!$B$4=20),
IF($D165="Pressio.",
IF(OR($E165=3,$E165=1,$E165=4),(PI()*DV$12^2)/4*(DR165*$W165*1000)/($H165*$B$5),(PI()*DV$12^2)/4*(DR165*$W165*1000)/($G165*$B$5)),
IF($D165="Pénétro.",
IF(OR($E165=4,$E165=1,$E165=5),(PI()*DV$12^2)/4*(DR165*$W165*1000)/($H165*$B$5),(PI()*DV$12^2)/4*(DR165*$W165*1000)/($G165*$B$5)))),
IF($D165="Pressio.",
IF($E165=3,(PI()*DV$12^2)/4*(DR165*$W165*1000)/($H165*$B$5),(PI()*DV$12^2)/4*(DR165*$W165*1000)/($G165*$B$5)),
IF($D165="Pénétro.",
IF($E165=4,(PI()*DV$12^2)/4*(DR165*$W165*1000)/($H165*$B$5),(PI()*DV$12^2)/4*(DR165*$W165*1000)/($G165*$B$5))))))/10</f>
        <v>#N/A</v>
      </c>
      <c r="DW165" s="102" t="e">
        <f>(VLOOKUP($B$3,'Coeff EC7'!$T$39:$X$59,2,0)*DU165+VLOOKUP($B$3,'Coeff EC7'!$T$65:$X$85,2,0)*Model0.1C!DV165)/1.1</f>
        <v>#N/A</v>
      </c>
      <c r="DX165" s="102" t="e">
        <f>(VLOOKUP($B$3,'Coeff EC7'!$T$39:$X$59,3,0)*DU165+VLOOKUP($B$3,'Coeff EC7'!$T$65:$X$85,3,0)*Model0.1C!DV165)/0.9</f>
        <v>#N/A</v>
      </c>
      <c r="DY165" s="102" t="e">
        <f t="shared" si="290"/>
        <v>#N/A</v>
      </c>
      <c r="DZ165" s="102" t="e">
        <f t="shared" si="291"/>
        <v>#N/A</v>
      </c>
      <c r="EA165" s="414" t="e">
        <f>IF(EA164=0,0,IF(AND(DW165&gt;charge_ELS_quasi,DX165&gt;Charge_ELS_freq,DY165&gt;charge_ELU,DZ165&gt;charge_ELA,$B165&gt;NDC!$H$22-0.1+MIN(3*$EA$12,1.5)),0,1))</f>
        <v>#N/A</v>
      </c>
      <c r="EB165" s="86" t="b">
        <f t="shared" si="259"/>
        <v>0</v>
      </c>
      <c r="EC165" s="418">
        <f t="shared" si="260"/>
        <v>0.51</v>
      </c>
      <c r="ED165" s="86">
        <f t="shared" si="261"/>
        <v>0.51</v>
      </c>
      <c r="EE165" s="30" t="e">
        <f t="shared" ca="1" si="292"/>
        <v>#DIV/0!</v>
      </c>
      <c r="EF165" s="85" t="e">
        <f ca="1">IF(DL165&lt;=Hypothèses!$V$7,Hypothèses!$W$7,IF(DL165&lt;=Hypothèses!$V$8,Hypothèses!$W$8,IF(DL165&lt;=Hypothèses!$V$9,Hypothèses!$W$9,IF(DL165&lt;=Hypothèses!$V$10,Hypothèses!$W$10,IF(DL165&lt;=Hypothèses!$V$11,Hypothèses!$W$11,IF(DL165&lt;=Hypothèses!$V$12,Hypothèses!$W$12,IF(DL165&lt;=Hypothèses!$V$13,Hypothèses!$W$13,IF(DL165&lt;=Hypothèses!$V$14,Hypothèses!$W$14,IF(DL165&lt;=Hypothèses!$V$15,Hypothèses!$W$15,IF(DL165&lt;=Hypothèses!$V$16,Hypothèses!$W$16,IF(DL165&lt;=Hypothèses!$V$17,Hypothèses!$W$17,IF(DL165&lt;=Hypothèses!$V$18,Hypothèses!$W$18,""))))))))))))</f>
        <v>#DIV/0!</v>
      </c>
      <c r="EG165" s="87" t="e">
        <f t="shared" ca="1" si="322"/>
        <v>#DIV/0!</v>
      </c>
      <c r="EH165" s="88" t="e">
        <f ca="1">IF(DL165&lt;=Hypothèses!$V$7,Hypothèses!$X$7,IF(DL165&lt;=Hypothèses!$V$8,Hypothèses!$X$8,IF(DL165&lt;=Hypothèses!$V$9,Hypothèses!$X$9,IF(DL165&lt;=Hypothèses!$V$10,Hypothèses!$X$10,IF(DL165&lt;=Hypothèses!$V$11,Hypothèses!$X$11,IF(DL165&lt;=Hypothèses!$V$12,Hypothèses!$X$12,IF(DL165&lt;=Hypothèses!$V$13,Hypothèses!$X$13,IF(DL165&lt;=Hypothèses!$V$14,Hypothèses!$X$14,IF(DL165&lt;=Hypothèses!$V$15,Hypothèses!$X$15,IF(DL165&lt;=Hypothèses!$V$16,Hypothèses!$X$16,IF(DL165&lt;=Hypothèses!$U$17,Hypothèses!$W$17,IF(DL165&lt;=Hypothèses!$U$18,Hypothèses!$W$18,""))))))))))))</f>
        <v>#DIV/0!</v>
      </c>
      <c r="EI165" s="95" t="e">
        <f t="shared" ca="1" si="293"/>
        <v>#DIV/0!</v>
      </c>
      <c r="EJ165" s="101" t="e">
        <f t="shared" si="329"/>
        <v>#N/A</v>
      </c>
      <c r="EK165" s="91" t="e">
        <f t="shared" si="262"/>
        <v>#N/A</v>
      </c>
      <c r="EL165" s="30" t="e">
        <f t="shared" si="312"/>
        <v>#N/A</v>
      </c>
      <c r="EM165" s="30" t="e">
        <f t="shared" si="313"/>
        <v>#N/A</v>
      </c>
      <c r="EN165" s="31" t="e">
        <f>IF(OR(Hypothèses!$B$4=17,Hypothèses!$B$4=18,Hypothèses!$B$4=19,Hypothèses!$B$4=20),
IF($D165="Pressio.",
IF(OR($E165=3,$E165=1,$E165=4),EM165,EL165),
IF($D165="Pénétro.",
IF(OR($E165=3,$E165=1,$E165=4),EM165,EL165))),IF($D165="Pressio.",
IF($E165=3,EM165,EL165),
IF($D165="Pénétro.",
IF($E165=4,EM165,EL165))))</f>
        <v>#N/A</v>
      </c>
      <c r="EO165" s="31" t="e">
        <f>(IF(OR(Hypothèses!$B$4=17,Hypothèses!$B$4=18,Hypothèses!$B$4=19,Hypothèses!$B$4=20),
IF($D165="Pressio.",
IF(OR($E165=3,$E165=1,$E165=4),(PI()*EO$12^2)/4*(EK165*$W165*1000)/($H165*$B$5),(PI()*EO$12^2)/4*(EK165*$W165*1000)/($G165*$B$5)),
IF($D165="Pénétro.",
IF(OR($E165=4,$E165=1,$E165=5),(PI()*EO$12^2)/4*(EK165*$W165*1000)/($H165*$B$5),(PI()*EO$12^2)/4*(EK165*$W165*1000)/($G165*$B$5)))),
IF($D165="Pressio.",
IF($E165=3,(PI()*EO$12^2)/4*(EK165*$W165*1000)/($H165*$B$5),(PI()*EO$12^2)/4*(EK165*$W165*1000)/($G165*$B$5)),
IF($D165="Pénétro.",
IF($E165=4,(PI()*EO$12^2)/4*(EK165*$W165*1000)/($H165*$B$5),(PI()*EO$12^2)/4*(EK165*$W165*1000)/($G165*$B$5))))))/10</f>
        <v>#N/A</v>
      </c>
      <c r="EP165" s="102" t="e">
        <f>(VLOOKUP($B$3,'Coeff EC7'!$T$39:$X$59,2,0)*EN165+VLOOKUP($B$3,'Coeff EC7'!$T$65:$X$85,2,0)*Model0.1C!EO165)/1.1</f>
        <v>#N/A</v>
      </c>
      <c r="EQ165" s="102" t="e">
        <f>(VLOOKUP($B$3,'Coeff EC7'!$T$39:$X$59,3,0)*EN165+VLOOKUP($B$3,'Coeff EC7'!$T$65:$X$85,3,0)*Model0.1C!EO165)/0.9</f>
        <v>#N/A</v>
      </c>
      <c r="ER165" s="102" t="e">
        <f t="shared" si="294"/>
        <v>#N/A</v>
      </c>
      <c r="ES165" s="102" t="e">
        <f t="shared" si="295"/>
        <v>#N/A</v>
      </c>
      <c r="ET165" s="414" t="e">
        <f>IF(ET164=0,0,IF(AND(EP165&gt;charge_ELS_quasi,EQ165&gt;Charge_ELS_freq,ER165&gt;charge_ELU,ES165&gt;charge_ELA,$B165&gt;NDC!$H$22-0.1+MIN(3*$ET$12,1.5)),0,1))</f>
        <v>#N/A</v>
      </c>
      <c r="EU165" s="86" t="b">
        <f t="shared" si="263"/>
        <v>0</v>
      </c>
      <c r="EV165" s="86">
        <f t="shared" si="264"/>
        <v>0.61</v>
      </c>
      <c r="EW165" s="86">
        <f t="shared" si="265"/>
        <v>0.61</v>
      </c>
      <c r="EX165" s="30" t="e">
        <f t="shared" ca="1" si="296"/>
        <v>#DIV/0!</v>
      </c>
      <c r="EY165" s="85" t="e">
        <f ca="1">IF(EE165&lt;=Hypothèses!$V$7,Hypothèses!$W$7,IF(EE165&lt;=Hypothèses!$V$8,Hypothèses!$W$8,IF(EE165&lt;=Hypothèses!$V$9,Hypothèses!$W$9,IF(EE165&lt;=Hypothèses!$V$10,Hypothèses!$W$10,IF(EE165&lt;=Hypothèses!$V$11,Hypothèses!$W$11,IF(EE165&lt;=Hypothèses!$V$12,Hypothèses!$W$12,IF(EE165&lt;=Hypothèses!$V$13,Hypothèses!$W$13,IF(EE165&lt;=Hypothèses!$V$14,Hypothèses!$W$14,IF(EE165&lt;=Hypothèses!$V$15,Hypothèses!$W$15,IF(EE165&lt;=Hypothèses!$V$16,Hypothèses!$W$16,IF(EE165&lt;=Hypothèses!$V$17,Hypothèses!$W$17,IF(EE165&lt;=Hypothèses!$V$18,Hypothèses!$W$18,""))))))))))))</f>
        <v>#DIV/0!</v>
      </c>
      <c r="EZ165" s="87" t="e">
        <f t="shared" ca="1" si="323"/>
        <v>#DIV/0!</v>
      </c>
      <c r="FA165" s="88" t="e">
        <f ca="1">IF(EE165&lt;=Hypothèses!$V$7,Hypothèses!$X$7,IF(EE165&lt;=Hypothèses!$V$8,Hypothèses!$X$8,IF(EE165&lt;=Hypothèses!$V$9,Hypothèses!$X$9,IF(EE165&lt;=Hypothèses!$V$10,Hypothèses!$X$10,IF(EE165&lt;=Hypothèses!$V$11,Hypothèses!$X$11,IF(EE165&lt;=Hypothèses!$V$12,Hypothèses!$X$12,IF(EE165&lt;=Hypothèses!$V$13,Hypothèses!$X$13,IF(EE165&lt;=Hypothèses!$V$14,Hypothèses!$X$14,IF(EE165&lt;=Hypothèses!$V$15,Hypothèses!$X$15,IF(EE165&lt;=Hypothèses!$V$16,Hypothèses!$X$16,IF(EE165&lt;=Hypothèses!$U$17,Hypothèses!$W$17,IF(EE165&lt;=Hypothèses!$U$18,Hypothèses!$W$18,""))))))))))))</f>
        <v>#DIV/0!</v>
      </c>
      <c r="FB165" s="95" t="e">
        <f t="shared" ca="1" si="297"/>
        <v>#DIV/0!</v>
      </c>
      <c r="FC165" s="101" t="e">
        <f t="shared" si="330"/>
        <v>#N/A</v>
      </c>
      <c r="FD165" s="91" t="e">
        <f t="shared" si="266"/>
        <v>#N/A</v>
      </c>
      <c r="FE165" s="30" t="e">
        <f t="shared" si="314"/>
        <v>#N/A</v>
      </c>
      <c r="FF165" s="30" t="e">
        <f t="shared" si="315"/>
        <v>#N/A</v>
      </c>
      <c r="FG165" s="31" t="e">
        <f>IF(OR(Hypothèses!$B$4=17,Hypothèses!$B$4=18,Hypothèses!$B$4=19,Hypothèses!$B$4=20),
IF($D165="Pressio.",
IF(OR($E165=3,$E165=1,$E165=4),FF165,FE165),
IF($D165="Pénétro.",
IF(OR($E165=3,$E165=1,$E165=4),FF165,FE165))),IF($D165="Pressio.",
IF($E165=3,FF165,FE165),
IF($D165="Pénétro.",
IF($E165=4,FF165,FE165))))</f>
        <v>#N/A</v>
      </c>
      <c r="FH165" s="31" t="e">
        <f>(IF(OR(Hypothèses!$B$4=17,Hypothèses!$B$4=18,Hypothèses!$B$4=19,Hypothèses!$B$4=20),
IF($D165="Pressio.",
IF(OR($E165=3,$E165=1,$E165=4),(PI()*FH$12^2)/4*(FD165*$W165*1000)/($H165*$B$5),(PI()*FH$12^2)/4*(FD165*$W165*1000)/($G165*$B$5)),
IF($D165="Pénétro.",
IF(OR($E165=4,$E165=1,$E165=5),(PI()*FH$12^2)/4*(FD165*$W165*1000)/($H165*$B$5),(PI()*FH$12^2)/4*(FD165*$W165*1000)/($G165*$B$5)))),
IF($D165="Pressio.",
IF($E165=3,(PI()*FH$12^2)/4*(FD165*$W165*1000)/($H165*$B$5),(PI()*FH$12^2)/4*(FD165*$W165*1000)/($G165*$B$5)),
IF($D165="Pénétro.",
IF($E165=4,(PI()*FH$12^2)/4*(FD165*$W165*1000)/($H165*$B$5),(PI()*FH$12^2)/4*(FD165*$W165*1000)/($G165*$B$5))))))/10</f>
        <v>#N/A</v>
      </c>
      <c r="FI165" s="102" t="e">
        <f>(VLOOKUP($B$3,'Coeff EC7'!$T$39:$X$59,2,0)*FG165+VLOOKUP($B$3,'Coeff EC7'!$T$65:$X$85,2,0)*Model0.1C!FH165)/1.1</f>
        <v>#N/A</v>
      </c>
      <c r="FJ165" s="102" t="e">
        <f>(VLOOKUP($B$3,'Coeff EC7'!$T$39:$X$59,3,0)*FG165+VLOOKUP($B$3,'Coeff EC7'!$T$65:$X$85,3,0)*Model0.1C!FH165)/0.9</f>
        <v>#N/A</v>
      </c>
      <c r="FK165" s="102" t="e">
        <f t="shared" si="298"/>
        <v>#N/A</v>
      </c>
      <c r="FL165" s="102" t="e">
        <f t="shared" si="299"/>
        <v>#N/A</v>
      </c>
      <c r="FM165" s="414" t="e">
        <f>IF(FM164=0,0,IF(AND(FI165&gt;charge_ELS_quasi,FJ165&gt;Charge_ELS_freq,FK165&gt;charge_ELU,FL165&gt;charge_ELA,$B165&gt;NDC!$H$22-0.1+MIN(3*$FM$12,1.5)),0,1))</f>
        <v>#N/A</v>
      </c>
    </row>
    <row r="166" spans="1:169">
      <c r="A166" s="96">
        <f t="shared" si="267"/>
        <v>84.70000000000087</v>
      </c>
      <c r="B166" s="97">
        <v>15.3</v>
      </c>
      <c r="C166" s="81">
        <f>IF(B166&lt;=Hypothèses!$C$7,Hypothèses!$A$7,IF(B166&lt;=Hypothèses!$C$8,Hypothèses!$A$8,IF(B166&lt;=Hypothèses!$C$9,Hypothèses!$A$9,IF(B166&lt;=Hypothèses!$C$10,Hypothèses!$A$10,IF(B166&lt;=Hypothèses!$C$11,Hypothèses!$A$11,IF(B166&lt;=Hypothèses!$C$12,Hypothèses!$A$12,IF(B166&lt;=Hypothèses!$C$13,Hypothèses!$A$13,IF(B166&lt;=Hypothèses!$C$14,Hypothèses!$A$14,IF(B166&lt;=Hypothèses!$C$15,Hypothèses!$A$15,IF(B166&lt;=Hypothèses!$C$16,Hypothèses!$A$16,IF(B166&lt;=Hypothèses!$C$17,Hypothèses!$A$17,IF(B166&lt;=Hypothèses!$C$18,Hypothèses!$A$18,C165))))))))))))</f>
        <v>11</v>
      </c>
      <c r="D166" s="82" t="str">
        <f>IF(B166&lt;=Hypothèses!$C$7,Hypothèses!$R$7,IF(B166&lt;=Hypothèses!$C$8,Hypothèses!$R$8,IF(B166&lt;=Hypothèses!$C$9,Hypothèses!$R$9,IF(B166&lt;=Hypothèses!$C$10,Hypothèses!$R$10,IF(B166&lt;=Hypothèses!$C$11,Hypothèses!$R$11,IF(B166&lt;=Hypothèses!$C$12,Hypothèses!$R$12,IF(B166&lt;=Hypothèses!$C$13,Hypothèses!$R$13,IF(B166&lt;=Hypothèses!$C$14,Hypothèses!$R$14,IF(B166&lt;=Hypothèses!$C$15,Hypothèses!$R$15,IF(B166&lt;=Hypothèses!$C$16,Hypothèses!$R$16,IF(B166&lt;=Hypothèses!$C$17,Hypothèses!$R$17,IF(B166&lt;=Hypothèses!$C$18,Hypothèses!$R$18,D165))))))))))))</f>
        <v>Pressio.</v>
      </c>
      <c r="E166" s="82" t="e">
        <f>IF(B166&lt;=Hypothèses!$C$7,Hypothèses!$G$7,IF(B166&lt;=Hypothèses!$C$8,Hypothèses!$G$8,IF(B166&lt;=Hypothèses!$C$9,Hypothèses!$G$9,IF(B166&lt;=Hypothèses!$C$10,Hypothèses!$G$10,IF(B166&lt;=Hypothèses!$C$11,Hypothèses!$G$11,IF(B166&lt;=Hypothèses!$C$12,Hypothèses!$G$12,IF(B166&lt;=Hypothèses!$C$13,Hypothèses!$G$13,IF(B166&lt;=Hypothèses!$C$14,Hypothèses!$G$14,IF(B166&lt;=Hypothèses!$C$15,Hypothèses!$G$15,IF(B166&lt;=Hypothèses!$C$16,Hypothèses!$G$16,IF(B166&lt;=Hypothèses!$C$17,Hypothèses!$G$17,IF(B166&lt;=Hypothèses!$C$18,Hypothèses!$G$18,E165))))))))))))</f>
        <v>#N/A</v>
      </c>
      <c r="F166" s="82" t="str">
        <f>IF(B166&lt;=Hypothèses!$C$7,Hypothèses!$F$7,IF(B166&lt;=Hypothèses!$C$8,Hypothèses!$F$8,IF(B166&lt;=Hypothèses!$C$9,Hypothèses!$F$9,IF(B166&lt;=Hypothèses!$C$10,Hypothèses!$F$10,IF(B166&lt;=Hypothèses!$C$11,Hypothèses!$F$11,IF(B166&lt;=Hypothèses!$C$12,Hypothèses!$F$12,IF(B166&lt;=Hypothèses!$C$13,Hypothèses!$F$13,IF(B166&lt;=Hypothèses!$C$14,Hypothèses!$F$14,IF(B166&lt;=Hypothèses!$C$15,Hypothèses!$F$15,IF(B166&lt;=Hypothèses!$C$16,Hypothèses!$F$16,IF(B166&lt;=Hypothèses!$C$17,Hypothèses!$F$17,IF(B166&lt;=Hypothèses!$C$18,Hypothèses!$F$18,F165))))))))))))</f>
        <v/>
      </c>
      <c r="G166" s="91">
        <f t="array" ref="G166">INDEX('Coeff EC7'!$U$7:$X$27,
MATCH(Model0.1C!$B$3,'Coeff EC7'!$T$7:$T$27,0),
MATCH(Model0.1C!$D166&amp;Model0.1C!$B$4,
'Coeff EC7'!$U$6:$X$6&amp;
'Coeff EC7'!$U$5:$X$5,0))</f>
        <v>1.1499999999999999</v>
      </c>
      <c r="H166" s="91">
        <f t="array" ref="H166">INDEX('Coeff EC7'!$Y$7:$AB$27,
MATCH(Model0.1C!$B$3,'Coeff EC7'!$T$7:$T$27,0),
MATCH(Model0.1C!$D166&amp;Model0.1C!$B$4,
'Coeff EC7'!$Y$6:$AB$6&amp;
'Coeff EC7'!$Y$5:$AB$5,0))</f>
        <v>1.4</v>
      </c>
      <c r="I166" s="83" t="e">
        <f>IF(B166&lt;=Hypothèses!$C$7,Hypothèses!$P$7,IF(B166&lt;=Hypothèses!$C$8,Hypothèses!$P$8,IF(B166&lt;=Hypothèses!$C$9,Hypothèses!$P$9,IF(B166&lt;=Hypothèses!$C$10,Hypothèses!$P$10,IF(B166&lt;=Hypothèses!$C$11,Hypothèses!$P$11,IF(B166&lt;=Hypothèses!$C$12,Hypothèses!$P$12,IF(B166&lt;=Hypothèses!$C$13,Hypothèses!$P$13,IF(B166&lt;=Hypothèses!$C$14,Hypothèses!$P$14,IF(B166&lt;=Hypothèses!$C$15,Hypothèses!$P$15,IF(B166&lt;=Hypothèses!$C$16,Hypothèses!$P$16,IF(B166&lt;=Hypothèses!$C$17,Hypothèses!$P$17,IF(B166&lt;=Hypothèses!$C$18,Hypothèses!$P$18,I165))))))))))))</f>
        <v>#N/A</v>
      </c>
      <c r="J166" s="91" t="e">
        <f t="array" ref="J166">INDEX('Coeff EC7'!$D$33:$Q$33,1,MATCH(D166&amp;E166,'Coeff EC7'!$D$31:$Q$31&amp;'Coeff EC7'!$D$32:$Q$32,0))</f>
        <v>#N/A</v>
      </c>
      <c r="K166" s="91" t="e">
        <f t="array" ref="K166">INDEX('Coeff EC7'!$D$34:$Q$34,1,MATCH(D166&amp;E166,'Coeff EC7'!$D$31:$Q$31&amp;'Coeff EC7'!$D$32:$Q$32,0))</f>
        <v>#N/A</v>
      </c>
      <c r="L166" s="91" t="e">
        <f t="array" ref="L166">INDEX('Coeff EC7'!$D$35:$Q$35,1,MATCH(D166&amp;E166,'Coeff EC7'!$D$31:$Q$31&amp;'Coeff EC7'!$D$32:$Q$32,0))</f>
        <v>#N/A</v>
      </c>
      <c r="M166" s="98" t="e">
        <f t="shared" si="231"/>
        <v>#N/A</v>
      </c>
      <c r="N166" s="99" t="e">
        <f t="array" ref="N166">INDEX('Coeff EC7'!$D$7:$Q$27,MATCH($B$3,'Coeff EC7'!$C$7:$C$27,0),MATCH(D166&amp;E166,'Coeff EC7'!$D$5:$Q$5&amp;'Coeff EC7'!$D$6:$Q$6,0))</f>
        <v>#N/A</v>
      </c>
      <c r="O166" s="99" t="e">
        <f t="array" ref="O166">INDEX('Coeff EC7'!$D$41:$Q$61,MATCH($B$3,'Coeff EC7'!$C$41:$C$61,0),MATCH(D166&amp;E166,'Coeff EC7'!$D$39:$Q$39&amp;'Coeff EC7'!$D$40:$Q$40,0))</f>
        <v>#N/A</v>
      </c>
      <c r="P166" s="30" t="e">
        <f t="shared" si="268"/>
        <v>#N/A</v>
      </c>
      <c r="Q166" s="100" t="e">
        <f t="shared" si="233"/>
        <v>#N/A</v>
      </c>
      <c r="R166" s="86" t="b">
        <f t="shared" si="234"/>
        <v>0</v>
      </c>
      <c r="S166" s="86">
        <f t="shared" si="232"/>
        <v>0.5</v>
      </c>
      <c r="T166" s="86">
        <f t="shared" si="235"/>
        <v>0.5</v>
      </c>
      <c r="U166" s="30" t="e">
        <f t="shared" ca="1" si="269"/>
        <v>#DIV/0!</v>
      </c>
      <c r="V166" s="85" t="str">
        <f>IF(B166&lt;=Hypothèses!$V$7,Hypothèses!$W$7,IF(B166&lt;=Hypothèses!$V$8,Hypothèses!$W$8,IF(B166&lt;=Hypothèses!$V$9,Hypothèses!$W$9,IF(B166&lt;=Hypothèses!$V$10,Hypothèses!$W$10,IF(B166&lt;=Hypothèses!$V$11,Hypothèses!$W$11,IF(B166&lt;=Hypothèses!$V$12,Hypothèses!$W$12,IF(B166&lt;=Hypothèses!$V$13,Hypothèses!$W$13,IF(B166&lt;=Hypothèses!$V$14,Hypothèses!$W$14,IF(B166&lt;=Hypothèses!$V$15,Hypothèses!$W$15,IF(B166&lt;=Hypothèses!$V$16,Hypothèses!$W$16,IF(B166&lt;=Hypothèses!$V$17,Hypothèses!$W$17,IF(B166&lt;=Hypothèses!$V$18,Hypothèses!$W$18,""))))))))))))</f>
        <v/>
      </c>
      <c r="W166" s="87" t="e">
        <f t="shared" ca="1" si="316"/>
        <v>#DIV/0!</v>
      </c>
      <c r="X166" s="88" t="str">
        <f>IF(B166&lt;=Hypothèses!$V$7,Hypothèses!$X$7,IF(B166&lt;=Hypothèses!$V$8,Hypothèses!$X$8,IF(B166&lt;=Hypothèses!$V$9,Hypothèses!$X$9,IF(B166&lt;=Hypothèses!$V$10,Hypothèses!$X$10,IF(B166&lt;=Hypothèses!$V$11,Hypothèses!$X$11,IF(B166&lt;=Hypothèses!$V$12,Hypothèses!$X$12,IF(B166&lt;=Hypothèses!$V$13,Hypothèses!$X$13,IF(B166&lt;=Hypothèses!$V$14,Hypothèses!$X$14,IF(B166&lt;=Hypothèses!$V$15,Hypothèses!$X$15,IF(B166&lt;=Hypothèses!$V$16,Hypothèses!$X$16,IF(B166&lt;=Hypothèses!$U$17,Hypothèses!$W$17,IF(B166&lt;=Hypothèses!$U$18,Hypothèses!$W$18,""))))))))))))</f>
        <v/>
      </c>
      <c r="Y166" s="95" t="e">
        <f t="shared" ca="1" si="236"/>
        <v>#DIV/0!</v>
      </c>
      <c r="Z166" s="101" t="e">
        <f t="shared" si="237"/>
        <v>#N/A</v>
      </c>
      <c r="AA166" s="91" t="e">
        <f t="shared" si="238"/>
        <v>#N/A</v>
      </c>
      <c r="AB166" s="30" t="e">
        <f t="shared" si="300"/>
        <v>#N/A</v>
      </c>
      <c r="AC166" s="30" t="e">
        <f t="shared" si="301"/>
        <v>#N/A</v>
      </c>
      <c r="AD166" s="31" t="e">
        <f>IF(OR(Hypothèses!$B$4=17,Hypothèses!$B$4=18,Hypothèses!$B$4=19,Hypothèses!$B$4=20),
IF($D166="Pressio.",
IF(OR($E166=3,$E166=1,$E166=4),AC166,AB166),
IF($D166="Pénétro.",
IF(OR($E166=3,$E166=1,$E166=4),AC166,AB166))),IF($D166="Pressio.",
IF($E166=3,AC166,AB166),
IF($D166="Pénétro.",
IF($E166=4,AC166,AB166))))</f>
        <v>#N/A</v>
      </c>
      <c r="AE166" s="31" t="e">
        <f>(IF(OR(Hypothèses!$B$4=17,Hypothèses!$B$4=18,Hypothèses!$B$4=19,Hypothèses!$B$4=20),
IF($D166="Pressio.",
IF(OR($E166=3,$E166=1,$E166=4),(PI()*AE$12^2)/4*(AA166*$W166*1000)/($H166*$B$5),(PI()*AE$12^2)/4*(AA166*$W166*1000)/($G166*$B$5)),
IF($D166="Pénétro.",
IF(OR($E166=4,$E166=1,$E166=5),(PI()*AE$12^2)/4*(AA166*$W166*1000)/($H166*$B$5),(PI()*AE$12^2)/4*(AA166*$W166*1000)/($G166*$B$5)))),
IF($D166="Pressio.",
IF($E166=3,(PI()*AE$12^2)/4*(AA166*$W166*1000)/($H166*$B$5),(PI()*AE$12^2)/4*(AA166*$W166*1000)/($G166*$B$5)),
IF($D166="Pénétro.",
IF($E166=4,(PI()*AE$12^2)/4*(AA166*$W166*1000)/($H166*$B$5),(PI()*AE$12^2)/4*(AA166*$W166*1000)/($G166*$B$5))))))/10</f>
        <v>#N/A</v>
      </c>
      <c r="AF166" s="102" t="e">
        <f>(VLOOKUP($B$3,'Coeff EC7'!$T$39:$X$59,2,0)*AD166+VLOOKUP($B$3,'Coeff EC7'!$T$65:$X$85,2,0)*Model0.1C!AE166)/1.1</f>
        <v>#N/A</v>
      </c>
      <c r="AG166" s="102" t="e">
        <f>(VLOOKUP($B$3,'Coeff EC7'!$T$39:$X$59,3,0)*AD166+VLOOKUP($B$3,'Coeff EC7'!$T$65:$X$85,3,0)*Model0.1C!AE166)/0.9</f>
        <v>#N/A</v>
      </c>
      <c r="AH166" s="102" t="e">
        <f t="shared" si="239"/>
        <v>#N/A</v>
      </c>
      <c r="AI166" s="102" t="e">
        <f t="shared" si="240"/>
        <v>#N/A</v>
      </c>
      <c r="AJ166" s="414" t="e">
        <f>IF(AJ165=0,0,IF(AND(AF166&gt;charge_ELS_quasi,AG166&gt;Charge_ELS_freq,AH166&gt;charge_ELU,AI166&gt;charge_ELA,$B166&gt;NDC!$H$22-0.1+MIN(3*$AJ$12,1.5)),0,1))</f>
        <v>#N/A</v>
      </c>
      <c r="AK166" s="86" t="b">
        <f t="shared" si="241"/>
        <v>0</v>
      </c>
      <c r="AL166" s="86">
        <f t="shared" si="270"/>
        <v>0.5</v>
      </c>
      <c r="AM166" s="86">
        <f t="shared" si="242"/>
        <v>0.5</v>
      </c>
      <c r="AN166" s="30" t="e">
        <f t="shared" ca="1" si="271"/>
        <v>#DIV/0!</v>
      </c>
      <c r="AO166" s="85" t="e">
        <f ca="1">IF(U166&lt;=Hypothèses!$V$7,Hypothèses!$W$7,IF(U166&lt;=Hypothèses!$V$8,Hypothèses!$W$8,IF(U166&lt;=Hypothèses!$V$9,Hypothèses!$W$9,IF(U166&lt;=Hypothèses!$V$10,Hypothèses!$W$10,IF(U166&lt;=Hypothèses!$V$11,Hypothèses!$W$11,IF(U166&lt;=Hypothèses!$V$12,Hypothèses!$W$12,IF(U166&lt;=Hypothèses!$V$13,Hypothèses!$W$13,IF(U166&lt;=Hypothèses!$V$14,Hypothèses!$W$14,IF(U166&lt;=Hypothèses!$V$15,Hypothèses!$W$15,IF(U166&lt;=Hypothèses!$V$16,Hypothèses!$W$16,IF(U166&lt;=Hypothèses!$V$17,Hypothèses!$W$17,IF(U166&lt;=Hypothèses!$V$18,Hypothèses!$W$18,""))))))))))))</f>
        <v>#DIV/0!</v>
      </c>
      <c r="AP166" s="87" t="e">
        <f t="shared" ca="1" si="317"/>
        <v>#DIV/0!</v>
      </c>
      <c r="AQ166" s="88" t="e">
        <f ca="1">IF(U166&lt;=Hypothèses!$V$7,Hypothèses!$X$7,IF(U166&lt;=Hypothèses!$V$8,Hypothèses!$X$8,IF(U166&lt;=Hypothèses!$V$9,Hypothèses!$X$9,IF(U166&lt;=Hypothèses!$V$10,Hypothèses!$X$10,IF(U166&lt;=Hypothèses!$V$11,Hypothèses!$X$11,IF(U166&lt;=Hypothèses!$V$12,Hypothèses!$X$12,IF(U166&lt;=Hypothèses!$V$13,Hypothèses!$X$13,IF(U166&lt;=Hypothèses!$V$14,Hypothèses!$X$14,IF(U166&lt;=Hypothèses!$V$15,Hypothèses!$X$15,IF(U166&lt;=Hypothèses!$V$16,Hypothèses!$X$16,IF(U166&lt;=Hypothèses!$U$17,Hypothèses!$W$17,IF(U166&lt;=Hypothèses!$U$18,Hypothèses!$W$18,""))))))))))))</f>
        <v>#DIV/0!</v>
      </c>
      <c r="AR166" s="95" t="e">
        <f t="shared" ca="1" si="272"/>
        <v>#DIV/0!</v>
      </c>
      <c r="AS166" s="101" t="e">
        <f t="shared" si="324"/>
        <v>#N/A</v>
      </c>
      <c r="AT166" s="91" t="e">
        <f t="shared" si="243"/>
        <v>#N/A</v>
      </c>
      <c r="AU166" s="30" t="e">
        <f t="shared" si="302"/>
        <v>#N/A</v>
      </c>
      <c r="AV166" s="30" t="e">
        <f t="shared" si="303"/>
        <v>#N/A</v>
      </c>
      <c r="AW166" s="31" t="e">
        <f>IF(OR(Hypothèses!$B$4=17,Hypothèses!$B$4=18,Hypothèses!$B$4=19,Hypothèses!$B$4=20),
IF($D166="Pressio.",
IF(OR($E166=3,$E166=1,$E166=4),AV166,AU166),
IF($D166="Pénétro.",
IF(OR($E166=3,$E166=1,$E166=4),AV166,AU166))),IF($D166="Pressio.",
IF($E166=3,AV166,AU166),
IF($D166="Pénétro.",
IF($E166=4,AV166,AU166))))</f>
        <v>#N/A</v>
      </c>
      <c r="AX166" s="31" t="e">
        <f>(IF(OR(Hypothèses!$B$4=17,Hypothèses!$B$4=18,Hypothèses!$B$4=19,Hypothèses!$B$4=20),
IF($D166="Pressio.",
IF(OR($E166=3,$E166=1,$E166=4),(PI()*AX$12^2)/4*(AT166*$W166*1000)/($H166*$B$5),(PI()*AX$12^2)/4*(AT166*$W166*1000)/($G166*$B$5)),
IF($D166="Pénétro.",
IF(OR($E166=4,$E166=1,$E166=5),(PI()*AX$12^2)/4*(AT166*$W166*1000)/($H166*$B$5),(PI()*AX$12^2)/4*(AT166*$W166*1000)/($G166*$B$5)))),
IF($D166="Pressio.",
IF($E166=3,(PI()*AX$12^2)/4*(AT166*$W166*1000)/($H166*$B$5),(PI()*AX$12^2)/4*(AT166*$W166*1000)/($G166*$B$5)),
IF($D166="Pénétro.",
IF($E166=4,(PI()*AX$12^2)/4*(AT166*$W166*1000)/($H166*$B$5),(PI()*AX$12^2)/4*(AT166*$W166*1000)/($G166*$B$5))))))/10</f>
        <v>#N/A</v>
      </c>
      <c r="AY166" s="102" t="e">
        <f>(VLOOKUP($B$3,'Coeff EC7'!$T$39:$X$59,2,0)*AW166+VLOOKUP($B$3,'Coeff EC7'!$T$65:$X$85,2,0)*Model0.1C!AX166)/1.1</f>
        <v>#N/A</v>
      </c>
      <c r="AZ166" s="102" t="e">
        <f>(VLOOKUP($B$3,'Coeff EC7'!$T$39:$X$59,3,0)*AW166+VLOOKUP($B$3,'Coeff EC7'!$T$65:$X$85,3,0)*Model0.1C!AX166)/0.9</f>
        <v>#N/A</v>
      </c>
      <c r="BA166" s="102" t="e">
        <f t="shared" si="273"/>
        <v>#N/A</v>
      </c>
      <c r="BB166" s="102" t="e">
        <f t="shared" si="274"/>
        <v>#N/A</v>
      </c>
      <c r="BC166" s="414" t="e">
        <f>IF(BC165=0,0,IF(AND(AY166&gt;charge_ELS_quasi,AZ166&gt;Charge_ELS_freq,BA166&gt;charge_ELU,BB166&gt;charge_ELA,$B166&gt;NDC!$H$22-0.1+MIN(3*$BC$12,1.5)),0,1))</f>
        <v>#N/A</v>
      </c>
      <c r="BD166" s="86" t="b">
        <f t="shared" si="244"/>
        <v>0</v>
      </c>
      <c r="BE166" s="86">
        <f t="shared" si="275"/>
        <v>0.5</v>
      </c>
      <c r="BF166" s="86">
        <f t="shared" si="245"/>
        <v>0.5</v>
      </c>
      <c r="BG166" s="30" t="e">
        <f t="shared" ca="1" si="276"/>
        <v>#DIV/0!</v>
      </c>
      <c r="BH166" s="85" t="e">
        <f ca="1">IF(AN166&lt;=Hypothèses!$V$7,Hypothèses!$W$7,IF(AN166&lt;=Hypothèses!$V$8,Hypothèses!$W$8,IF(AN166&lt;=Hypothèses!$V$9,Hypothèses!$W$9,IF(AN166&lt;=Hypothèses!$V$10,Hypothèses!$W$10,IF(AN166&lt;=Hypothèses!$V$11,Hypothèses!$W$11,IF(AN166&lt;=Hypothèses!$V$12,Hypothèses!$W$12,IF(AN166&lt;=Hypothèses!$V$13,Hypothèses!$W$13,IF(AN166&lt;=Hypothèses!$V$14,Hypothèses!$W$14,IF(AN166&lt;=Hypothèses!$V$15,Hypothèses!$W$15,IF(AN166&lt;=Hypothèses!$V$16,Hypothèses!$W$16,IF(AN166&lt;=Hypothèses!$V$17,Hypothèses!$W$17,IF(AN166&lt;=Hypothèses!$V$18,Hypothèses!$W$18,""))))))))))))</f>
        <v>#DIV/0!</v>
      </c>
      <c r="BI166" s="87" t="e">
        <f t="shared" ca="1" si="318"/>
        <v>#DIV/0!</v>
      </c>
      <c r="BJ166" s="88" t="e">
        <f ca="1">IF(AN166&lt;=Hypothèses!$V$7,Hypothèses!$X$7,IF(AN166&lt;=Hypothèses!$V$8,Hypothèses!$X$8,IF(AN166&lt;=Hypothèses!$V$9,Hypothèses!$X$9,IF(AN166&lt;=Hypothèses!$V$10,Hypothèses!$X$10,IF(AN166&lt;=Hypothèses!$V$11,Hypothèses!$X$11,IF(AN166&lt;=Hypothèses!$V$12,Hypothèses!$X$12,IF(AN166&lt;=Hypothèses!$V$13,Hypothèses!$X$13,IF(AN166&lt;=Hypothèses!$V$14,Hypothèses!$X$14,IF(AN166&lt;=Hypothèses!$V$15,Hypothèses!$X$15,IF(AN166&lt;=Hypothèses!$V$16,Hypothèses!$X$16,IF(AN166&lt;=Hypothèses!$U$17,Hypothèses!$W$17,IF(AN166&lt;=Hypothèses!$U$18,Hypothèses!$W$18,""))))))))))))</f>
        <v>#DIV/0!</v>
      </c>
      <c r="BK166" s="95" t="e">
        <f t="shared" ca="1" si="277"/>
        <v>#DIV/0!</v>
      </c>
      <c r="BL166" s="101" t="e">
        <f t="shared" si="325"/>
        <v>#N/A</v>
      </c>
      <c r="BM166" s="91" t="e">
        <f t="shared" si="246"/>
        <v>#N/A</v>
      </c>
      <c r="BN166" s="30" t="e">
        <f t="shared" si="304"/>
        <v>#N/A</v>
      </c>
      <c r="BO166" s="30" t="e">
        <f t="shared" si="305"/>
        <v>#N/A</v>
      </c>
      <c r="BP166" s="31" t="e">
        <f>IF(OR(Hypothèses!$B$4=17,Hypothèses!$B$4=18,Hypothèses!$B$4=19,Hypothèses!$B$4=20),
IF($D166="Pressio.",
IF(OR($E166=3,$E166=1,$E166=4),BO166,BN166),
IF($D166="Pénétro.",
IF(OR($E166=3,$E166=1,$E166=4),BO166,BN166))),IF($D166="Pressio.",
IF($E166=3,BO166,BN166),
IF($D166="Pénétro.",
IF($E166=4,BO166,BN166))))</f>
        <v>#N/A</v>
      </c>
      <c r="BQ166" s="31" t="e">
        <f>(IF(OR(Hypothèses!$B$4=17,Hypothèses!$B$4=18,Hypothèses!$B$4=19,Hypothèses!$B$4=20),
IF($D166="Pressio.",
IF(OR($E166=3,$E166=1,$E166=4),(PI()*BQ$12^2)/4*(BM166*$W166*1000)/($H166*$B$5),(PI()*BQ$12^2)/4*(BM166*$W166*1000)/($G166*$B$5)),
IF($D166="Pénétro.",
IF(OR($E166=4,$E166=1,$E166=5),(PI()*BQ$12^2)/4*(BM166*$W166*1000)/($H166*$B$5),(PI()*BQ$12^2)/4*(BM166*$W166*1000)/($G166*$B$5)))),
IF($D166="Pressio.",
IF($E166=3,(PI()*BQ$12^2)/4*(BM166*$W166*1000)/($H166*$B$5),(PI()*BQ$12^2)/4*(BM166*$W166*1000)/($G166*$B$5)),
IF($D166="Pénétro.",
IF($E166=4,(PI()*BQ$12^2)/4*(BM166*$W166*1000)/($H166*$B$5),(PI()*BQ$12^2)/4*(BM166*$W166*1000)/($G166*$B$5))))))/10</f>
        <v>#N/A</v>
      </c>
      <c r="BR166" s="102" t="e">
        <f>(VLOOKUP($B$3,'Coeff EC7'!$T$39:$X$59,2,0)*BP166+VLOOKUP($B$3,'Coeff EC7'!$T$65:$X$85,2,0)*Model0.1C!BQ166)/1.1</f>
        <v>#N/A</v>
      </c>
      <c r="BS166" s="102" t="e">
        <f>(VLOOKUP($B$3,'Coeff EC7'!$T$39:$X$59,3,0)*BP166+VLOOKUP($B$3,'Coeff EC7'!$T$65:$X$85,3,0)*Model0.1C!BQ166)/0.9</f>
        <v>#N/A</v>
      </c>
      <c r="BT166" s="102" t="e">
        <f t="shared" si="278"/>
        <v>#N/A</v>
      </c>
      <c r="BU166" s="102" t="e">
        <f t="shared" si="279"/>
        <v>#N/A</v>
      </c>
      <c r="BV166" s="414" t="e">
        <f>IF(BV165=0,0,IF(AND(BR166&gt;charge_ELS_quasi,BS166&gt;Charge_ELS_freq,BT166&gt;charge_ELU,BU166&gt;charge_ELA,$B166&gt;NDC!$H$22-0.1+MIN(3*$BV$12,1.5)),0,1))</f>
        <v>#N/A</v>
      </c>
      <c r="BW166" s="86" t="b">
        <f t="shared" si="247"/>
        <v>0</v>
      </c>
      <c r="BX166" s="86">
        <f t="shared" si="248"/>
        <v>0.5</v>
      </c>
      <c r="BY166" s="86">
        <f t="shared" si="249"/>
        <v>0.5</v>
      </c>
      <c r="BZ166" s="30" t="e">
        <f t="shared" ca="1" si="280"/>
        <v>#DIV/0!</v>
      </c>
      <c r="CA166" s="85" t="e">
        <f ca="1">IF(BG166&lt;=Hypothèses!$V$7,Hypothèses!$W$7,IF(BG166&lt;=Hypothèses!$V$8,Hypothèses!$W$8,IF(BG166&lt;=Hypothèses!$V$9,Hypothèses!$W$9,IF(BG166&lt;=Hypothèses!$V$10,Hypothèses!$W$10,IF(BG166&lt;=Hypothèses!$V$11,Hypothèses!$W$11,IF(BG166&lt;=Hypothèses!$V$12,Hypothèses!$W$12,IF(BG166&lt;=Hypothèses!$V$13,Hypothèses!$W$13,IF(BG166&lt;=Hypothèses!$V$14,Hypothèses!$W$14,IF(BG166&lt;=Hypothèses!$V$15,Hypothèses!$W$15,IF(BG166&lt;=Hypothèses!$V$16,Hypothèses!$W$16,IF(BG166&lt;=Hypothèses!$V$17,Hypothèses!$W$17,IF(BG166&lt;=Hypothèses!$V$18,Hypothèses!$W$18,""))))))))))))</f>
        <v>#DIV/0!</v>
      </c>
      <c r="CB166" s="87" t="e">
        <f t="shared" ca="1" si="319"/>
        <v>#DIV/0!</v>
      </c>
      <c r="CC166" s="88" t="e">
        <f ca="1">IF(BG166&lt;=Hypothèses!$V$7,Hypothèses!$X$7,IF(BG166&lt;=Hypothèses!$V$8,Hypothèses!$X$8,IF(BG166&lt;=Hypothèses!$V$9,Hypothèses!$X$9,IF(BG166&lt;=Hypothèses!$V$10,Hypothèses!$X$10,IF(BG166&lt;=Hypothèses!$V$11,Hypothèses!$X$11,IF(BG166&lt;=Hypothèses!$V$12,Hypothèses!$X$12,IF(BG166&lt;=Hypothèses!$V$13,Hypothèses!$X$13,IF(BG166&lt;=Hypothèses!$V$14,Hypothèses!$X$14,IF(BG166&lt;=Hypothèses!$V$15,Hypothèses!$X$15,IF(BG166&lt;=Hypothèses!$V$16,Hypothèses!$X$16,IF(BG166&lt;=Hypothèses!$U$17,Hypothèses!$W$17,IF(BG166&lt;=Hypothèses!$U$18,Hypothèses!$W$18,""))))))))))))</f>
        <v>#DIV/0!</v>
      </c>
      <c r="CD166" s="95" t="e">
        <f t="shared" ca="1" si="281"/>
        <v>#DIV/0!</v>
      </c>
      <c r="CE166" s="101" t="e">
        <f t="shared" si="326"/>
        <v>#N/A</v>
      </c>
      <c r="CF166" s="91" t="e">
        <f t="shared" si="250"/>
        <v>#N/A</v>
      </c>
      <c r="CG166" s="30" t="e">
        <f t="shared" si="306"/>
        <v>#N/A</v>
      </c>
      <c r="CH166" s="30" t="e">
        <f t="shared" si="307"/>
        <v>#N/A</v>
      </c>
      <c r="CI166" s="31" t="e">
        <f>IF(OR(Hypothèses!$B$4=17,Hypothèses!$B$4=18,Hypothèses!$B$4=19,Hypothèses!$B$4=20),
IF($D166="Pressio.",
IF(OR($E166=3,$E166=1,$E166=4),CH166,CG166),
IF($D166="Pénétro.",
IF(OR($E166=3,$E166=1,$E166=4),CH166,CG166))),IF($D166="Pressio.",
IF($E166=3,CH166,CG166),
IF($D166="Pénétro.",
IF($E166=4,CH166,CG166))))</f>
        <v>#N/A</v>
      </c>
      <c r="CJ166" s="31" t="e">
        <f>(IF(OR(Hypothèses!$B$4=17,Hypothèses!$B$4=18,Hypothèses!$B$4=19,Hypothèses!$B$4=20),
IF($D166="Pressio.",
IF(OR($E166=3,$E166=1,$E166=4),(PI()*CJ$12^2)/4*(CF166*$W166*1000)/($H166*$B$5),(PI()*CJ$12^2)/4*(CF166*$W166*1000)/($G166*$B$5)),
IF($D166="Pénétro.",
IF(OR($E166=4,$E166=1,$E166=5),(PI()*CJ$12^2)/4*(CF166*$W166*1000)/($H166*$B$5),(PI()*CJ$12^2)/4*(CF166*$W166*1000)/($G166*$B$5)))),
IF($D166="Pressio.",
IF($E166=3,(PI()*CJ$12^2)/4*(CF166*$W166*1000)/($H166*$B$5),(PI()*CJ$12^2)/4*(CF166*$W166*1000)/($G166*$B$5)),
IF($D166="Pénétro.",
IF($E166=4,(PI()*CJ$12^2)/4*(CF166*$W166*1000)/($H166*$B$5),(PI()*CJ$12^2)/4*(CF166*$W166*1000)/($G166*$B$5))))))/10</f>
        <v>#N/A</v>
      </c>
      <c r="CK166" s="102" t="e">
        <f>(VLOOKUP($B$3,'Coeff EC7'!$T$39:$X$59,2,0)*CI166+VLOOKUP($B$3,'Coeff EC7'!$T$65:$X$85,2,0)*Model0.1C!CJ166)/1.1</f>
        <v>#N/A</v>
      </c>
      <c r="CL166" s="102" t="e">
        <f>(VLOOKUP($B$3,'Coeff EC7'!$T$39:$X$59,3,0)*CI166+VLOOKUP($B$3,'Coeff EC7'!$T$65:$X$85,3,0)*Model0.1C!CJ166)/0.9</f>
        <v>#N/A</v>
      </c>
      <c r="CM166" s="102" t="e">
        <f t="shared" si="282"/>
        <v>#N/A</v>
      </c>
      <c r="CN166" s="102" t="e">
        <f t="shared" si="283"/>
        <v>#N/A</v>
      </c>
      <c r="CO166" s="414" t="e">
        <f>IF(CO165=0,0,IF(AND(CK166&gt;charge_ELS_quasi,CL166&gt;Charge_ELS_freq,CM166&gt;charge_ELU,CN166&gt;charge_ELA,$B166&gt;NDC!$H$22-0.1+MIN(3*$CO$12,1.5)),0,1))</f>
        <v>#N/A</v>
      </c>
      <c r="CP166" s="86" t="b">
        <f t="shared" si="251"/>
        <v>0</v>
      </c>
      <c r="CQ166" s="86">
        <f t="shared" si="252"/>
        <v>0.5</v>
      </c>
      <c r="CR166" s="86">
        <f t="shared" si="253"/>
        <v>0.5</v>
      </c>
      <c r="CS166" s="30" t="e">
        <f t="shared" ca="1" si="284"/>
        <v>#DIV/0!</v>
      </c>
      <c r="CT166" s="85" t="e">
        <f ca="1">IF(BZ166&lt;=Hypothèses!$V$7,Hypothèses!$W$7,IF(BZ166&lt;=Hypothèses!$V$8,Hypothèses!$W$8,IF(BZ166&lt;=Hypothèses!$V$9,Hypothèses!$W$9,IF(BZ166&lt;=Hypothèses!$V$10,Hypothèses!$W$10,IF(BZ166&lt;=Hypothèses!$V$11,Hypothèses!$W$11,IF(BZ166&lt;=Hypothèses!$V$12,Hypothèses!$W$12,IF(BZ166&lt;=Hypothèses!$V$13,Hypothèses!$W$13,IF(BZ166&lt;=Hypothèses!$V$14,Hypothèses!$W$14,IF(BZ166&lt;=Hypothèses!$V$15,Hypothèses!$W$15,IF(BZ166&lt;=Hypothèses!$V$16,Hypothèses!$W$16,IF(BZ166&lt;=Hypothèses!$V$17,Hypothèses!$W$17,IF(BZ166&lt;=Hypothèses!$V$18,Hypothèses!$W$18,""))))))))))))</f>
        <v>#DIV/0!</v>
      </c>
      <c r="CU166" s="87" t="e">
        <f t="shared" ca="1" si="320"/>
        <v>#DIV/0!</v>
      </c>
      <c r="CV166" s="88" t="e">
        <f ca="1">IF(BZ166&lt;=Hypothèses!$V$7,Hypothèses!$X$7,IF(BZ166&lt;=Hypothèses!$V$8,Hypothèses!$X$8,IF(BZ166&lt;=Hypothèses!$V$9,Hypothèses!$X$9,IF(BZ166&lt;=Hypothèses!$V$10,Hypothèses!$X$10,IF(BZ166&lt;=Hypothèses!$V$11,Hypothèses!$X$11,IF(BZ166&lt;=Hypothèses!$V$12,Hypothèses!$X$12,IF(BZ166&lt;=Hypothèses!$V$13,Hypothèses!$X$13,IF(BZ166&lt;=Hypothèses!$V$14,Hypothèses!$X$14,IF(BZ166&lt;=Hypothèses!$V$15,Hypothèses!$X$15,IF(BZ166&lt;=Hypothèses!$V$16,Hypothèses!$X$16,IF(BZ166&lt;=Hypothèses!$U$17,Hypothèses!$W$17,IF(BZ166&lt;=Hypothèses!$U$18,Hypothèses!$W$18,""))))))))))))</f>
        <v>#DIV/0!</v>
      </c>
      <c r="CW166" s="95" t="e">
        <f t="shared" ca="1" si="285"/>
        <v>#DIV/0!</v>
      </c>
      <c r="CX166" s="101" t="e">
        <f t="shared" si="327"/>
        <v>#N/A</v>
      </c>
      <c r="CY166" s="91" t="e">
        <f t="shared" si="254"/>
        <v>#N/A</v>
      </c>
      <c r="CZ166" s="30" t="e">
        <f t="shared" si="308"/>
        <v>#N/A</v>
      </c>
      <c r="DA166" s="30" t="e">
        <f t="shared" si="309"/>
        <v>#N/A</v>
      </c>
      <c r="DB166" s="31" t="e">
        <f>IF(OR(Hypothèses!$B$4=17,Hypothèses!$B$4=18,Hypothèses!$B$4=19,Hypothèses!$B$4=20),
IF($D166="Pressio.",
IF(OR($E166=3,$E166=1,$E166=4),DA166,CZ166),
IF($D166="Pénétro.",
IF(OR($E166=3,$E166=1,$E166=4),DA166,CZ166))),IF($D166="Pressio.",
IF($E166=3,DA166,CZ166),
IF($D166="Pénétro.",
IF($E166=4,DA166,CZ166))))</f>
        <v>#N/A</v>
      </c>
      <c r="DC166" s="31" t="e">
        <f>(IF(OR(Hypothèses!$B$4=17,Hypothèses!$B$4=18,Hypothèses!$B$4=19,Hypothèses!$B$4=20),
IF($D166="Pressio.",
IF(OR($E166=3,$E166=1,$E166=4),(PI()*DC$12^2)/4*(CY166*$W166*1000)/($H166*$B$5),(PI()*DC$12^2)/4*(CY166*$W166*1000)/($G166*$B$5)),
IF($D166="Pénétro.",
IF(OR($E166=4,$E166=1,$E166=5),(PI()*DC$12^2)/4*(CY166*$W166*1000)/($H166*$B$5),(PI()*DC$12^2)/4*(CY166*$W166*1000)/($G166*$B$5)))),
IF($D166="Pressio.",
IF($E166=3,(PI()*DC$12^2)/4*(CY166*$W166*1000)/($H166*$B$5),(PI()*DC$12^2)/4*(CY166*$W166*1000)/($G166*$B$5)),
IF($D166="Pénétro.",
IF($E166=4,(PI()*DC$12^2)/4*(CY166*$W166*1000)/($H166*$B$5),(PI()*DC$12^2)/4*(CY166*$W166*1000)/($G166*$B$5))))))/10</f>
        <v>#N/A</v>
      </c>
      <c r="DD166" s="102" t="e">
        <f>(VLOOKUP($B$3,'Coeff EC7'!$T$39:$X$59,2,0)*DB166+VLOOKUP($B$3,'Coeff EC7'!$T$65:$X$85,2,0)*Model0.1C!DC166)/1.1</f>
        <v>#N/A</v>
      </c>
      <c r="DE166" s="102" t="e">
        <f>(VLOOKUP($B$3,'Coeff EC7'!$T$39:$X$59,3,0)*DB166+VLOOKUP($B$3,'Coeff EC7'!$T$65:$X$85,3,0)*Model0.1C!DC166)/0.9</f>
        <v>#N/A</v>
      </c>
      <c r="DF166" s="102" t="e">
        <f t="shared" si="286"/>
        <v>#N/A</v>
      </c>
      <c r="DG166" s="102" t="e">
        <f t="shared" si="287"/>
        <v>#N/A</v>
      </c>
      <c r="DH166" s="414" t="e">
        <f>IF(DH165=0,0,IF(AND(DD166&gt;charge_ELS_quasi,DE166&gt;Charge_ELS_freq,DF166&gt;charge_ELU,DG166&gt;charge_ELA,$B166&gt;NDC!$H$22-0.1+MIN(3*$DH$12,1.5)),0,1))</f>
        <v>#N/A</v>
      </c>
      <c r="DI166" s="86" t="b">
        <f t="shared" si="255"/>
        <v>0</v>
      </c>
      <c r="DJ166" s="86">
        <f t="shared" si="256"/>
        <v>0.5</v>
      </c>
      <c r="DK166" s="86">
        <f t="shared" si="257"/>
        <v>0.5</v>
      </c>
      <c r="DL166" s="30" t="e">
        <f t="shared" ca="1" si="288"/>
        <v>#DIV/0!</v>
      </c>
      <c r="DM166" s="85" t="e">
        <f ca="1">IF(CS166&lt;=Hypothèses!$V$7,Hypothèses!$W$7,IF(CS166&lt;=Hypothèses!$V$8,Hypothèses!$W$8,IF(CS166&lt;=Hypothèses!$V$9,Hypothèses!$W$9,IF(CS166&lt;=Hypothèses!$V$10,Hypothèses!$W$10,IF(CS166&lt;=Hypothèses!$V$11,Hypothèses!$W$11,IF(CS166&lt;=Hypothèses!$V$12,Hypothèses!$W$12,IF(CS166&lt;=Hypothèses!$V$13,Hypothèses!$W$13,IF(CS166&lt;=Hypothèses!$V$14,Hypothèses!$W$14,IF(CS166&lt;=Hypothèses!$V$15,Hypothèses!$W$15,IF(CS166&lt;=Hypothèses!$V$16,Hypothèses!$W$16,IF(CS166&lt;=Hypothèses!$V$17,Hypothèses!$W$17,IF(CS166&lt;=Hypothèses!$V$18,Hypothèses!$W$18,""))))))))))))</f>
        <v>#DIV/0!</v>
      </c>
      <c r="DN166" s="87" t="e">
        <f t="shared" ca="1" si="321"/>
        <v>#DIV/0!</v>
      </c>
      <c r="DO166" s="88" t="e">
        <f ca="1">IF(CS166&lt;=Hypothèses!$V$7,Hypothèses!$X$7,IF(CS166&lt;=Hypothèses!$V$8,Hypothèses!$X$8,IF(CS166&lt;=Hypothèses!$V$9,Hypothèses!$X$9,IF(CS166&lt;=Hypothèses!$V$10,Hypothèses!$X$10,IF(CS166&lt;=Hypothèses!$V$11,Hypothèses!$X$11,IF(CS166&lt;=Hypothèses!$V$12,Hypothèses!$X$12,IF(CS166&lt;=Hypothèses!$V$13,Hypothèses!$X$13,IF(CS166&lt;=Hypothèses!$V$14,Hypothèses!$X$14,IF(CS166&lt;=Hypothèses!$V$15,Hypothèses!$X$15,IF(CS166&lt;=Hypothèses!$V$16,Hypothèses!$X$16,IF(CS166&lt;=Hypothèses!$U$17,Hypothèses!$W$17,IF(CS166&lt;=Hypothèses!$U$18,Hypothèses!$W$18,""))))))))))))</f>
        <v>#DIV/0!</v>
      </c>
      <c r="DP166" s="95" t="e">
        <f t="shared" ca="1" si="289"/>
        <v>#DIV/0!</v>
      </c>
      <c r="DQ166" s="101" t="e">
        <f t="shared" si="328"/>
        <v>#N/A</v>
      </c>
      <c r="DR166" s="91" t="e">
        <f t="shared" si="258"/>
        <v>#N/A</v>
      </c>
      <c r="DS166" s="30" t="e">
        <f t="shared" si="310"/>
        <v>#N/A</v>
      </c>
      <c r="DT166" s="30" t="e">
        <f t="shared" si="311"/>
        <v>#N/A</v>
      </c>
      <c r="DU166" s="31" t="e">
        <f>IF(OR(Hypothèses!$B$4=17,Hypothèses!$B$4=18,Hypothèses!$B$4=19,Hypothèses!$B$4=20),
IF($D166="Pressio.",
IF(OR($E166=3,$E166=1,$E166=4),DT166,DS166),
IF($D166="Pénétro.",
IF(OR($E166=3,$E166=1,$E166=4),DT166,DS166))),IF($D166="Pressio.",
IF($E166=3,DT166,DS166),
IF($D166="Pénétro.",
IF($E166=4,DT166,DS166))))</f>
        <v>#N/A</v>
      </c>
      <c r="DV166" s="31" t="e">
        <f>(IF(OR(Hypothèses!$B$4=17,Hypothèses!$B$4=18,Hypothèses!$B$4=19,Hypothèses!$B$4=20),
IF($D166="Pressio.",
IF(OR($E166=3,$E166=1,$E166=4),(PI()*DV$12^2)/4*(DR166*$W166*1000)/($H166*$B$5),(PI()*DV$12^2)/4*(DR166*$W166*1000)/($G166*$B$5)),
IF($D166="Pénétro.",
IF(OR($E166=4,$E166=1,$E166=5),(PI()*DV$12^2)/4*(DR166*$W166*1000)/($H166*$B$5),(PI()*DV$12^2)/4*(DR166*$W166*1000)/($G166*$B$5)))),
IF($D166="Pressio.",
IF($E166=3,(PI()*DV$12^2)/4*(DR166*$W166*1000)/($H166*$B$5),(PI()*DV$12^2)/4*(DR166*$W166*1000)/($G166*$B$5)),
IF($D166="Pénétro.",
IF($E166=4,(PI()*DV$12^2)/4*(DR166*$W166*1000)/($H166*$B$5),(PI()*DV$12^2)/4*(DR166*$W166*1000)/($G166*$B$5))))))/10</f>
        <v>#N/A</v>
      </c>
      <c r="DW166" s="102" t="e">
        <f>(VLOOKUP($B$3,'Coeff EC7'!$T$39:$X$59,2,0)*DU166+VLOOKUP($B$3,'Coeff EC7'!$T$65:$X$85,2,0)*Model0.1C!DV166)/1.1</f>
        <v>#N/A</v>
      </c>
      <c r="DX166" s="102" t="e">
        <f>(VLOOKUP($B$3,'Coeff EC7'!$T$39:$X$59,3,0)*DU166+VLOOKUP($B$3,'Coeff EC7'!$T$65:$X$85,3,0)*Model0.1C!DV166)/0.9</f>
        <v>#N/A</v>
      </c>
      <c r="DY166" s="102" t="e">
        <f t="shared" si="290"/>
        <v>#N/A</v>
      </c>
      <c r="DZ166" s="102" t="e">
        <f t="shared" si="291"/>
        <v>#N/A</v>
      </c>
      <c r="EA166" s="414" t="e">
        <f>IF(EA165=0,0,IF(AND(DW166&gt;charge_ELS_quasi,DX166&gt;Charge_ELS_freq,DY166&gt;charge_ELU,DZ166&gt;charge_ELA,$B166&gt;NDC!$H$22-0.1+MIN(3*$EA$12,1.5)),0,1))</f>
        <v>#N/A</v>
      </c>
      <c r="EB166" s="86" t="b">
        <f t="shared" si="259"/>
        <v>0</v>
      </c>
      <c r="EC166" s="418">
        <f t="shared" si="260"/>
        <v>0.51</v>
      </c>
      <c r="ED166" s="86">
        <f t="shared" si="261"/>
        <v>0.51</v>
      </c>
      <c r="EE166" s="30" t="e">
        <f t="shared" ca="1" si="292"/>
        <v>#DIV/0!</v>
      </c>
      <c r="EF166" s="85" t="e">
        <f ca="1">IF(DL166&lt;=Hypothèses!$V$7,Hypothèses!$W$7,IF(DL166&lt;=Hypothèses!$V$8,Hypothèses!$W$8,IF(DL166&lt;=Hypothèses!$V$9,Hypothèses!$W$9,IF(DL166&lt;=Hypothèses!$V$10,Hypothèses!$W$10,IF(DL166&lt;=Hypothèses!$V$11,Hypothèses!$W$11,IF(DL166&lt;=Hypothèses!$V$12,Hypothèses!$W$12,IF(DL166&lt;=Hypothèses!$V$13,Hypothèses!$W$13,IF(DL166&lt;=Hypothèses!$V$14,Hypothèses!$W$14,IF(DL166&lt;=Hypothèses!$V$15,Hypothèses!$W$15,IF(DL166&lt;=Hypothèses!$V$16,Hypothèses!$W$16,IF(DL166&lt;=Hypothèses!$V$17,Hypothèses!$W$17,IF(DL166&lt;=Hypothèses!$V$18,Hypothèses!$W$18,""))))))))))))</f>
        <v>#DIV/0!</v>
      </c>
      <c r="EG166" s="87" t="e">
        <f t="shared" ca="1" si="322"/>
        <v>#DIV/0!</v>
      </c>
      <c r="EH166" s="88" t="e">
        <f ca="1">IF(DL166&lt;=Hypothèses!$V$7,Hypothèses!$X$7,IF(DL166&lt;=Hypothèses!$V$8,Hypothèses!$X$8,IF(DL166&lt;=Hypothèses!$V$9,Hypothèses!$X$9,IF(DL166&lt;=Hypothèses!$V$10,Hypothèses!$X$10,IF(DL166&lt;=Hypothèses!$V$11,Hypothèses!$X$11,IF(DL166&lt;=Hypothèses!$V$12,Hypothèses!$X$12,IF(DL166&lt;=Hypothèses!$V$13,Hypothèses!$X$13,IF(DL166&lt;=Hypothèses!$V$14,Hypothèses!$X$14,IF(DL166&lt;=Hypothèses!$V$15,Hypothèses!$X$15,IF(DL166&lt;=Hypothèses!$V$16,Hypothèses!$X$16,IF(DL166&lt;=Hypothèses!$U$17,Hypothèses!$W$17,IF(DL166&lt;=Hypothèses!$U$18,Hypothèses!$W$18,""))))))))))))</f>
        <v>#DIV/0!</v>
      </c>
      <c r="EI166" s="95" t="e">
        <f t="shared" ca="1" si="293"/>
        <v>#DIV/0!</v>
      </c>
      <c r="EJ166" s="101" t="e">
        <f t="shared" si="329"/>
        <v>#N/A</v>
      </c>
      <c r="EK166" s="91" t="e">
        <f t="shared" si="262"/>
        <v>#N/A</v>
      </c>
      <c r="EL166" s="30" t="e">
        <f t="shared" si="312"/>
        <v>#N/A</v>
      </c>
      <c r="EM166" s="30" t="e">
        <f t="shared" si="313"/>
        <v>#N/A</v>
      </c>
      <c r="EN166" s="31" t="e">
        <f>IF(OR(Hypothèses!$B$4=17,Hypothèses!$B$4=18,Hypothèses!$B$4=19,Hypothèses!$B$4=20),
IF($D166="Pressio.",
IF(OR($E166=3,$E166=1,$E166=4),EM166,EL166),
IF($D166="Pénétro.",
IF(OR($E166=3,$E166=1,$E166=4),EM166,EL166))),IF($D166="Pressio.",
IF($E166=3,EM166,EL166),
IF($D166="Pénétro.",
IF($E166=4,EM166,EL166))))</f>
        <v>#N/A</v>
      </c>
      <c r="EO166" s="31" t="e">
        <f>(IF(OR(Hypothèses!$B$4=17,Hypothèses!$B$4=18,Hypothèses!$B$4=19,Hypothèses!$B$4=20),
IF($D166="Pressio.",
IF(OR($E166=3,$E166=1,$E166=4),(PI()*EO$12^2)/4*(EK166*$W166*1000)/($H166*$B$5),(PI()*EO$12^2)/4*(EK166*$W166*1000)/($G166*$B$5)),
IF($D166="Pénétro.",
IF(OR($E166=4,$E166=1,$E166=5),(PI()*EO$12^2)/4*(EK166*$W166*1000)/($H166*$B$5),(PI()*EO$12^2)/4*(EK166*$W166*1000)/($G166*$B$5)))),
IF($D166="Pressio.",
IF($E166=3,(PI()*EO$12^2)/4*(EK166*$W166*1000)/($H166*$B$5),(PI()*EO$12^2)/4*(EK166*$W166*1000)/($G166*$B$5)),
IF($D166="Pénétro.",
IF($E166=4,(PI()*EO$12^2)/4*(EK166*$W166*1000)/($H166*$B$5),(PI()*EO$12^2)/4*(EK166*$W166*1000)/($G166*$B$5))))))/10</f>
        <v>#N/A</v>
      </c>
      <c r="EP166" s="102" t="e">
        <f>(VLOOKUP($B$3,'Coeff EC7'!$T$39:$X$59,2,0)*EN166+VLOOKUP($B$3,'Coeff EC7'!$T$65:$X$85,2,0)*Model0.1C!EO166)/1.1</f>
        <v>#N/A</v>
      </c>
      <c r="EQ166" s="102" t="e">
        <f>(VLOOKUP($B$3,'Coeff EC7'!$T$39:$X$59,3,0)*EN166+VLOOKUP($B$3,'Coeff EC7'!$T$65:$X$85,3,0)*Model0.1C!EO166)/0.9</f>
        <v>#N/A</v>
      </c>
      <c r="ER166" s="102" t="e">
        <f t="shared" si="294"/>
        <v>#N/A</v>
      </c>
      <c r="ES166" s="102" t="e">
        <f t="shared" si="295"/>
        <v>#N/A</v>
      </c>
      <c r="ET166" s="414" t="e">
        <f>IF(ET165=0,0,IF(AND(EP166&gt;charge_ELS_quasi,EQ166&gt;Charge_ELS_freq,ER166&gt;charge_ELU,ES166&gt;charge_ELA,$B166&gt;NDC!$H$22-0.1+MIN(3*$ET$12,1.5)),0,1))</f>
        <v>#N/A</v>
      </c>
      <c r="EU166" s="86" t="b">
        <f t="shared" si="263"/>
        <v>0</v>
      </c>
      <c r="EV166" s="86">
        <f t="shared" si="264"/>
        <v>0.61</v>
      </c>
      <c r="EW166" s="86">
        <f t="shared" si="265"/>
        <v>0.61</v>
      </c>
      <c r="EX166" s="30" t="e">
        <f t="shared" ca="1" si="296"/>
        <v>#DIV/0!</v>
      </c>
      <c r="EY166" s="85" t="e">
        <f ca="1">IF(EE166&lt;=Hypothèses!$V$7,Hypothèses!$W$7,IF(EE166&lt;=Hypothèses!$V$8,Hypothèses!$W$8,IF(EE166&lt;=Hypothèses!$V$9,Hypothèses!$W$9,IF(EE166&lt;=Hypothèses!$V$10,Hypothèses!$W$10,IF(EE166&lt;=Hypothèses!$V$11,Hypothèses!$W$11,IF(EE166&lt;=Hypothèses!$V$12,Hypothèses!$W$12,IF(EE166&lt;=Hypothèses!$V$13,Hypothèses!$W$13,IF(EE166&lt;=Hypothèses!$V$14,Hypothèses!$W$14,IF(EE166&lt;=Hypothèses!$V$15,Hypothèses!$W$15,IF(EE166&lt;=Hypothèses!$V$16,Hypothèses!$W$16,IF(EE166&lt;=Hypothèses!$V$17,Hypothèses!$W$17,IF(EE166&lt;=Hypothèses!$V$18,Hypothèses!$W$18,""))))))))))))</f>
        <v>#DIV/0!</v>
      </c>
      <c r="EZ166" s="87" t="e">
        <f t="shared" ca="1" si="323"/>
        <v>#DIV/0!</v>
      </c>
      <c r="FA166" s="88" t="e">
        <f ca="1">IF(EE166&lt;=Hypothèses!$V$7,Hypothèses!$X$7,IF(EE166&lt;=Hypothèses!$V$8,Hypothèses!$X$8,IF(EE166&lt;=Hypothèses!$V$9,Hypothèses!$X$9,IF(EE166&lt;=Hypothèses!$V$10,Hypothèses!$X$10,IF(EE166&lt;=Hypothèses!$V$11,Hypothèses!$X$11,IF(EE166&lt;=Hypothèses!$V$12,Hypothèses!$X$12,IF(EE166&lt;=Hypothèses!$V$13,Hypothèses!$X$13,IF(EE166&lt;=Hypothèses!$V$14,Hypothèses!$X$14,IF(EE166&lt;=Hypothèses!$V$15,Hypothèses!$X$15,IF(EE166&lt;=Hypothèses!$V$16,Hypothèses!$X$16,IF(EE166&lt;=Hypothèses!$U$17,Hypothèses!$W$17,IF(EE166&lt;=Hypothèses!$U$18,Hypothèses!$W$18,""))))))))))))</f>
        <v>#DIV/0!</v>
      </c>
      <c r="FB166" s="95" t="e">
        <f t="shared" ca="1" si="297"/>
        <v>#DIV/0!</v>
      </c>
      <c r="FC166" s="101" t="e">
        <f t="shared" si="330"/>
        <v>#N/A</v>
      </c>
      <c r="FD166" s="91" t="e">
        <f t="shared" si="266"/>
        <v>#N/A</v>
      </c>
      <c r="FE166" s="30" t="e">
        <f t="shared" si="314"/>
        <v>#N/A</v>
      </c>
      <c r="FF166" s="30" t="e">
        <f t="shared" si="315"/>
        <v>#N/A</v>
      </c>
      <c r="FG166" s="31" t="e">
        <f>IF(OR(Hypothèses!$B$4=17,Hypothèses!$B$4=18,Hypothèses!$B$4=19,Hypothèses!$B$4=20),
IF($D166="Pressio.",
IF(OR($E166=3,$E166=1,$E166=4),FF166,FE166),
IF($D166="Pénétro.",
IF(OR($E166=3,$E166=1,$E166=4),FF166,FE166))),IF($D166="Pressio.",
IF($E166=3,FF166,FE166),
IF($D166="Pénétro.",
IF($E166=4,FF166,FE166))))</f>
        <v>#N/A</v>
      </c>
      <c r="FH166" s="31" t="e">
        <f>(IF(OR(Hypothèses!$B$4=17,Hypothèses!$B$4=18,Hypothèses!$B$4=19,Hypothèses!$B$4=20),
IF($D166="Pressio.",
IF(OR($E166=3,$E166=1,$E166=4),(PI()*FH$12^2)/4*(FD166*$W166*1000)/($H166*$B$5),(PI()*FH$12^2)/4*(FD166*$W166*1000)/($G166*$B$5)),
IF($D166="Pénétro.",
IF(OR($E166=4,$E166=1,$E166=5),(PI()*FH$12^2)/4*(FD166*$W166*1000)/($H166*$B$5),(PI()*FH$12^2)/4*(FD166*$W166*1000)/($G166*$B$5)))),
IF($D166="Pressio.",
IF($E166=3,(PI()*FH$12^2)/4*(FD166*$W166*1000)/($H166*$B$5),(PI()*FH$12^2)/4*(FD166*$W166*1000)/($G166*$B$5)),
IF($D166="Pénétro.",
IF($E166=4,(PI()*FH$12^2)/4*(FD166*$W166*1000)/($H166*$B$5),(PI()*FH$12^2)/4*(FD166*$W166*1000)/($G166*$B$5))))))/10</f>
        <v>#N/A</v>
      </c>
      <c r="FI166" s="102" t="e">
        <f>(VLOOKUP($B$3,'Coeff EC7'!$T$39:$X$59,2,0)*FG166+VLOOKUP($B$3,'Coeff EC7'!$T$65:$X$85,2,0)*Model0.1C!FH166)/1.1</f>
        <v>#N/A</v>
      </c>
      <c r="FJ166" s="102" t="e">
        <f>(VLOOKUP($B$3,'Coeff EC7'!$T$39:$X$59,3,0)*FG166+VLOOKUP($B$3,'Coeff EC7'!$T$65:$X$85,3,0)*Model0.1C!FH166)/0.9</f>
        <v>#N/A</v>
      </c>
      <c r="FK166" s="102" t="e">
        <f t="shared" si="298"/>
        <v>#N/A</v>
      </c>
      <c r="FL166" s="102" t="e">
        <f t="shared" si="299"/>
        <v>#N/A</v>
      </c>
      <c r="FM166" s="414" t="e">
        <f>IF(FM165=0,0,IF(AND(FI166&gt;charge_ELS_quasi,FJ166&gt;Charge_ELS_freq,FK166&gt;charge_ELU,FL166&gt;charge_ELA,$B166&gt;NDC!$H$22-0.1+MIN(3*$FM$12,1.5)),0,1))</f>
        <v>#N/A</v>
      </c>
    </row>
    <row r="167" spans="1:169">
      <c r="A167" s="96">
        <f t="shared" si="267"/>
        <v>84.600000000000875</v>
      </c>
      <c r="B167" s="97">
        <v>15.4</v>
      </c>
      <c r="C167" s="81">
        <f>IF(B167&lt;=Hypothèses!$C$7,Hypothèses!$A$7,IF(B167&lt;=Hypothèses!$C$8,Hypothèses!$A$8,IF(B167&lt;=Hypothèses!$C$9,Hypothèses!$A$9,IF(B167&lt;=Hypothèses!$C$10,Hypothèses!$A$10,IF(B167&lt;=Hypothèses!$C$11,Hypothèses!$A$11,IF(B167&lt;=Hypothèses!$C$12,Hypothèses!$A$12,IF(B167&lt;=Hypothèses!$C$13,Hypothèses!$A$13,IF(B167&lt;=Hypothèses!$C$14,Hypothèses!$A$14,IF(B167&lt;=Hypothèses!$C$15,Hypothèses!$A$15,IF(B167&lt;=Hypothèses!$C$16,Hypothèses!$A$16,IF(B167&lt;=Hypothèses!$C$17,Hypothèses!$A$17,IF(B167&lt;=Hypothèses!$C$18,Hypothèses!$A$18,C166))))))))))))</f>
        <v>11</v>
      </c>
      <c r="D167" s="82" t="str">
        <f>IF(B167&lt;=Hypothèses!$C$7,Hypothèses!$R$7,IF(B167&lt;=Hypothèses!$C$8,Hypothèses!$R$8,IF(B167&lt;=Hypothèses!$C$9,Hypothèses!$R$9,IF(B167&lt;=Hypothèses!$C$10,Hypothèses!$R$10,IF(B167&lt;=Hypothèses!$C$11,Hypothèses!$R$11,IF(B167&lt;=Hypothèses!$C$12,Hypothèses!$R$12,IF(B167&lt;=Hypothèses!$C$13,Hypothèses!$R$13,IF(B167&lt;=Hypothèses!$C$14,Hypothèses!$R$14,IF(B167&lt;=Hypothèses!$C$15,Hypothèses!$R$15,IF(B167&lt;=Hypothèses!$C$16,Hypothèses!$R$16,IF(B167&lt;=Hypothèses!$C$17,Hypothèses!$R$17,IF(B167&lt;=Hypothèses!$C$18,Hypothèses!$R$18,D166))))))))))))</f>
        <v>Pressio.</v>
      </c>
      <c r="E167" s="82" t="e">
        <f>IF(B167&lt;=Hypothèses!$C$7,Hypothèses!$G$7,IF(B167&lt;=Hypothèses!$C$8,Hypothèses!$G$8,IF(B167&lt;=Hypothèses!$C$9,Hypothèses!$G$9,IF(B167&lt;=Hypothèses!$C$10,Hypothèses!$G$10,IF(B167&lt;=Hypothèses!$C$11,Hypothèses!$G$11,IF(B167&lt;=Hypothèses!$C$12,Hypothèses!$G$12,IF(B167&lt;=Hypothèses!$C$13,Hypothèses!$G$13,IF(B167&lt;=Hypothèses!$C$14,Hypothèses!$G$14,IF(B167&lt;=Hypothèses!$C$15,Hypothèses!$G$15,IF(B167&lt;=Hypothèses!$C$16,Hypothèses!$G$16,IF(B167&lt;=Hypothèses!$C$17,Hypothèses!$G$17,IF(B167&lt;=Hypothèses!$C$18,Hypothèses!$G$18,E166))))))))))))</f>
        <v>#N/A</v>
      </c>
      <c r="F167" s="82" t="str">
        <f>IF(B167&lt;=Hypothèses!$C$7,Hypothèses!$F$7,IF(B167&lt;=Hypothèses!$C$8,Hypothèses!$F$8,IF(B167&lt;=Hypothèses!$C$9,Hypothèses!$F$9,IF(B167&lt;=Hypothèses!$C$10,Hypothèses!$F$10,IF(B167&lt;=Hypothèses!$C$11,Hypothèses!$F$11,IF(B167&lt;=Hypothèses!$C$12,Hypothèses!$F$12,IF(B167&lt;=Hypothèses!$C$13,Hypothèses!$F$13,IF(B167&lt;=Hypothèses!$C$14,Hypothèses!$F$14,IF(B167&lt;=Hypothèses!$C$15,Hypothèses!$F$15,IF(B167&lt;=Hypothèses!$C$16,Hypothèses!$F$16,IF(B167&lt;=Hypothèses!$C$17,Hypothèses!$F$17,IF(B167&lt;=Hypothèses!$C$18,Hypothèses!$F$18,F166))))))))))))</f>
        <v/>
      </c>
      <c r="G167" s="91">
        <f t="array" ref="G167">INDEX('Coeff EC7'!$U$7:$X$27,
MATCH(Model0.1C!$B$3,'Coeff EC7'!$T$7:$T$27,0),
MATCH(Model0.1C!$D167&amp;Model0.1C!$B$4,
'Coeff EC7'!$U$6:$X$6&amp;
'Coeff EC7'!$U$5:$X$5,0))</f>
        <v>1.1499999999999999</v>
      </c>
      <c r="H167" s="91">
        <f t="array" ref="H167">INDEX('Coeff EC7'!$Y$7:$AB$27,
MATCH(Model0.1C!$B$3,'Coeff EC7'!$T$7:$T$27,0),
MATCH(Model0.1C!$D167&amp;Model0.1C!$B$4,
'Coeff EC7'!$Y$6:$AB$6&amp;
'Coeff EC7'!$Y$5:$AB$5,0))</f>
        <v>1.4</v>
      </c>
      <c r="I167" s="83" t="e">
        <f>IF(B167&lt;=Hypothèses!$C$7,Hypothèses!$P$7,IF(B167&lt;=Hypothèses!$C$8,Hypothèses!$P$8,IF(B167&lt;=Hypothèses!$C$9,Hypothèses!$P$9,IF(B167&lt;=Hypothèses!$C$10,Hypothèses!$P$10,IF(B167&lt;=Hypothèses!$C$11,Hypothèses!$P$11,IF(B167&lt;=Hypothèses!$C$12,Hypothèses!$P$12,IF(B167&lt;=Hypothèses!$C$13,Hypothèses!$P$13,IF(B167&lt;=Hypothèses!$C$14,Hypothèses!$P$14,IF(B167&lt;=Hypothèses!$C$15,Hypothèses!$P$15,IF(B167&lt;=Hypothèses!$C$16,Hypothèses!$P$16,IF(B167&lt;=Hypothèses!$C$17,Hypothèses!$P$17,IF(B167&lt;=Hypothèses!$C$18,Hypothèses!$P$18,I166))))))))))))</f>
        <v>#N/A</v>
      </c>
      <c r="J167" s="91" t="e">
        <f t="array" ref="J167">INDEX('Coeff EC7'!$D$33:$Q$33,1,MATCH(D167&amp;E167,'Coeff EC7'!$D$31:$Q$31&amp;'Coeff EC7'!$D$32:$Q$32,0))</f>
        <v>#N/A</v>
      </c>
      <c r="K167" s="91" t="e">
        <f t="array" ref="K167">INDEX('Coeff EC7'!$D$34:$Q$34,1,MATCH(D167&amp;E167,'Coeff EC7'!$D$31:$Q$31&amp;'Coeff EC7'!$D$32:$Q$32,0))</f>
        <v>#N/A</v>
      </c>
      <c r="L167" s="91" t="e">
        <f t="array" ref="L167">INDEX('Coeff EC7'!$D$35:$Q$35,1,MATCH(D167&amp;E167,'Coeff EC7'!$D$31:$Q$31&amp;'Coeff EC7'!$D$32:$Q$32,0))</f>
        <v>#N/A</v>
      </c>
      <c r="M167" s="98" t="e">
        <f t="shared" si="231"/>
        <v>#N/A</v>
      </c>
      <c r="N167" s="99" t="e">
        <f t="array" ref="N167">INDEX('Coeff EC7'!$D$7:$Q$27,MATCH($B$3,'Coeff EC7'!$C$7:$C$27,0),MATCH(D167&amp;E167,'Coeff EC7'!$D$5:$Q$5&amp;'Coeff EC7'!$D$6:$Q$6,0))</f>
        <v>#N/A</v>
      </c>
      <c r="O167" s="99" t="e">
        <f t="array" ref="O167">INDEX('Coeff EC7'!$D$41:$Q$61,MATCH($B$3,'Coeff EC7'!$C$41:$C$61,0),MATCH(D167&amp;E167,'Coeff EC7'!$D$39:$Q$39&amp;'Coeff EC7'!$D$40:$Q$40,0))</f>
        <v>#N/A</v>
      </c>
      <c r="P167" s="30" t="e">
        <f t="shared" si="268"/>
        <v>#N/A</v>
      </c>
      <c r="Q167" s="100" t="e">
        <f t="shared" si="233"/>
        <v>#N/A</v>
      </c>
      <c r="R167" s="86" t="b">
        <f t="shared" si="234"/>
        <v>0</v>
      </c>
      <c r="S167" s="86">
        <f t="shared" si="232"/>
        <v>0.5</v>
      </c>
      <c r="T167" s="86">
        <f t="shared" si="235"/>
        <v>0.5</v>
      </c>
      <c r="U167" s="30" t="e">
        <f t="shared" ca="1" si="269"/>
        <v>#DIV/0!</v>
      </c>
      <c r="V167" s="85" t="str">
        <f>IF(B167&lt;=Hypothèses!$V$7,Hypothèses!$W$7,IF(B167&lt;=Hypothèses!$V$8,Hypothèses!$W$8,IF(B167&lt;=Hypothèses!$V$9,Hypothèses!$W$9,IF(B167&lt;=Hypothèses!$V$10,Hypothèses!$W$10,IF(B167&lt;=Hypothèses!$V$11,Hypothèses!$W$11,IF(B167&lt;=Hypothèses!$V$12,Hypothèses!$W$12,IF(B167&lt;=Hypothèses!$V$13,Hypothèses!$W$13,IF(B167&lt;=Hypothèses!$V$14,Hypothèses!$W$14,IF(B167&lt;=Hypothèses!$V$15,Hypothèses!$W$15,IF(B167&lt;=Hypothèses!$V$16,Hypothèses!$W$16,IF(B167&lt;=Hypothèses!$V$17,Hypothèses!$W$17,IF(B167&lt;=Hypothèses!$V$18,Hypothèses!$W$18,""))))))))))))</f>
        <v/>
      </c>
      <c r="W167" s="87" t="e">
        <f t="shared" ca="1" si="316"/>
        <v>#DIV/0!</v>
      </c>
      <c r="X167" s="88" t="str">
        <f>IF(B167&lt;=Hypothèses!$V$7,Hypothèses!$X$7,IF(B167&lt;=Hypothèses!$V$8,Hypothèses!$X$8,IF(B167&lt;=Hypothèses!$V$9,Hypothèses!$X$9,IF(B167&lt;=Hypothèses!$V$10,Hypothèses!$X$10,IF(B167&lt;=Hypothèses!$V$11,Hypothèses!$X$11,IF(B167&lt;=Hypothèses!$V$12,Hypothèses!$X$12,IF(B167&lt;=Hypothèses!$V$13,Hypothèses!$X$13,IF(B167&lt;=Hypothèses!$V$14,Hypothèses!$X$14,IF(B167&lt;=Hypothèses!$V$15,Hypothèses!$X$15,IF(B167&lt;=Hypothèses!$V$16,Hypothèses!$X$16,IF(B167&lt;=Hypothèses!$U$17,Hypothèses!$W$17,IF(B167&lt;=Hypothèses!$U$18,Hypothèses!$W$18,""))))))))))))</f>
        <v/>
      </c>
      <c r="Y167" s="95" t="e">
        <f t="shared" ca="1" si="236"/>
        <v>#DIV/0!</v>
      </c>
      <c r="Z167" s="101" t="e">
        <f t="shared" si="237"/>
        <v>#N/A</v>
      </c>
      <c r="AA167" s="91" t="e">
        <f t="shared" si="238"/>
        <v>#N/A</v>
      </c>
      <c r="AB167" s="30" t="e">
        <f t="shared" si="300"/>
        <v>#N/A</v>
      </c>
      <c r="AC167" s="30" t="e">
        <f t="shared" si="301"/>
        <v>#N/A</v>
      </c>
      <c r="AD167" s="31" t="e">
        <f>IF(OR(Hypothèses!$B$4=17,Hypothèses!$B$4=18,Hypothèses!$B$4=19,Hypothèses!$B$4=20),
IF($D167="Pressio.",
IF(OR($E167=3,$E167=1,$E167=4),AC167,AB167),
IF($D167="Pénétro.",
IF(OR($E167=3,$E167=1,$E167=4),AC167,AB167))),IF($D167="Pressio.",
IF($E167=3,AC167,AB167),
IF($D167="Pénétro.",
IF($E167=4,AC167,AB167))))</f>
        <v>#N/A</v>
      </c>
      <c r="AE167" s="31" t="e">
        <f>(IF(OR(Hypothèses!$B$4=17,Hypothèses!$B$4=18,Hypothèses!$B$4=19,Hypothèses!$B$4=20),
IF($D167="Pressio.",
IF(OR($E167=3,$E167=1,$E167=4),(PI()*AE$12^2)/4*(AA167*$W167*1000)/($H167*$B$5),(PI()*AE$12^2)/4*(AA167*$W167*1000)/($G167*$B$5)),
IF($D167="Pénétro.",
IF(OR($E167=4,$E167=1,$E167=5),(PI()*AE$12^2)/4*(AA167*$W167*1000)/($H167*$B$5),(PI()*AE$12^2)/4*(AA167*$W167*1000)/($G167*$B$5)))),
IF($D167="Pressio.",
IF($E167=3,(PI()*AE$12^2)/4*(AA167*$W167*1000)/($H167*$B$5),(PI()*AE$12^2)/4*(AA167*$W167*1000)/($G167*$B$5)),
IF($D167="Pénétro.",
IF($E167=4,(PI()*AE$12^2)/4*(AA167*$W167*1000)/($H167*$B$5),(PI()*AE$12^2)/4*(AA167*$W167*1000)/($G167*$B$5))))))/10</f>
        <v>#N/A</v>
      </c>
      <c r="AF167" s="102" t="e">
        <f>(VLOOKUP($B$3,'Coeff EC7'!$T$39:$X$59,2,0)*AD167+VLOOKUP($B$3,'Coeff EC7'!$T$65:$X$85,2,0)*Model0.1C!AE167)/1.1</f>
        <v>#N/A</v>
      </c>
      <c r="AG167" s="102" t="e">
        <f>(VLOOKUP($B$3,'Coeff EC7'!$T$39:$X$59,3,0)*AD167+VLOOKUP($B$3,'Coeff EC7'!$T$65:$X$85,3,0)*Model0.1C!AE167)/0.9</f>
        <v>#N/A</v>
      </c>
      <c r="AH167" s="102" t="e">
        <f t="shared" si="239"/>
        <v>#N/A</v>
      </c>
      <c r="AI167" s="102" t="e">
        <f t="shared" si="240"/>
        <v>#N/A</v>
      </c>
      <c r="AJ167" s="414" t="e">
        <f>IF(AJ166=0,0,IF(AND(AF167&gt;charge_ELS_quasi,AG167&gt;Charge_ELS_freq,AH167&gt;charge_ELU,AI167&gt;charge_ELA,$B167&gt;NDC!$H$22-0.1+MIN(3*$AJ$12,1.5)),0,1))</f>
        <v>#N/A</v>
      </c>
      <c r="AK167" s="86" t="b">
        <f t="shared" si="241"/>
        <v>0</v>
      </c>
      <c r="AL167" s="86">
        <f t="shared" si="270"/>
        <v>0.5</v>
      </c>
      <c r="AM167" s="86">
        <f t="shared" si="242"/>
        <v>0.5</v>
      </c>
      <c r="AN167" s="30" t="e">
        <f t="shared" ca="1" si="271"/>
        <v>#DIV/0!</v>
      </c>
      <c r="AO167" s="85" t="e">
        <f ca="1">IF(U167&lt;=Hypothèses!$V$7,Hypothèses!$W$7,IF(U167&lt;=Hypothèses!$V$8,Hypothèses!$W$8,IF(U167&lt;=Hypothèses!$V$9,Hypothèses!$W$9,IF(U167&lt;=Hypothèses!$V$10,Hypothèses!$W$10,IF(U167&lt;=Hypothèses!$V$11,Hypothèses!$W$11,IF(U167&lt;=Hypothèses!$V$12,Hypothèses!$W$12,IF(U167&lt;=Hypothèses!$V$13,Hypothèses!$W$13,IF(U167&lt;=Hypothèses!$V$14,Hypothèses!$W$14,IF(U167&lt;=Hypothèses!$V$15,Hypothèses!$W$15,IF(U167&lt;=Hypothèses!$V$16,Hypothèses!$W$16,IF(U167&lt;=Hypothèses!$V$17,Hypothèses!$W$17,IF(U167&lt;=Hypothèses!$V$18,Hypothèses!$W$18,""))))))))))))</f>
        <v>#DIV/0!</v>
      </c>
      <c r="AP167" s="87" t="e">
        <f t="shared" ca="1" si="317"/>
        <v>#DIV/0!</v>
      </c>
      <c r="AQ167" s="88" t="e">
        <f ca="1">IF(U167&lt;=Hypothèses!$V$7,Hypothèses!$X$7,IF(U167&lt;=Hypothèses!$V$8,Hypothèses!$X$8,IF(U167&lt;=Hypothèses!$V$9,Hypothèses!$X$9,IF(U167&lt;=Hypothèses!$V$10,Hypothèses!$X$10,IF(U167&lt;=Hypothèses!$V$11,Hypothèses!$X$11,IF(U167&lt;=Hypothèses!$V$12,Hypothèses!$X$12,IF(U167&lt;=Hypothèses!$V$13,Hypothèses!$X$13,IF(U167&lt;=Hypothèses!$V$14,Hypothèses!$X$14,IF(U167&lt;=Hypothèses!$V$15,Hypothèses!$X$15,IF(U167&lt;=Hypothèses!$V$16,Hypothèses!$X$16,IF(U167&lt;=Hypothèses!$U$17,Hypothèses!$W$17,IF(U167&lt;=Hypothèses!$U$18,Hypothèses!$W$18,""))))))))))))</f>
        <v>#DIV/0!</v>
      </c>
      <c r="AR167" s="95" t="e">
        <f t="shared" ca="1" si="272"/>
        <v>#DIV/0!</v>
      </c>
      <c r="AS167" s="101" t="e">
        <f t="shared" si="324"/>
        <v>#N/A</v>
      </c>
      <c r="AT167" s="91" t="e">
        <f t="shared" si="243"/>
        <v>#N/A</v>
      </c>
      <c r="AU167" s="30" t="e">
        <f t="shared" si="302"/>
        <v>#N/A</v>
      </c>
      <c r="AV167" s="30" t="e">
        <f t="shared" si="303"/>
        <v>#N/A</v>
      </c>
      <c r="AW167" s="31" t="e">
        <f>IF(OR(Hypothèses!$B$4=17,Hypothèses!$B$4=18,Hypothèses!$B$4=19,Hypothèses!$B$4=20),
IF($D167="Pressio.",
IF(OR($E167=3,$E167=1,$E167=4),AV167,AU167),
IF($D167="Pénétro.",
IF(OR($E167=3,$E167=1,$E167=4),AV167,AU167))),IF($D167="Pressio.",
IF($E167=3,AV167,AU167),
IF($D167="Pénétro.",
IF($E167=4,AV167,AU167))))</f>
        <v>#N/A</v>
      </c>
      <c r="AX167" s="31" t="e">
        <f>(IF(OR(Hypothèses!$B$4=17,Hypothèses!$B$4=18,Hypothèses!$B$4=19,Hypothèses!$B$4=20),
IF($D167="Pressio.",
IF(OR($E167=3,$E167=1,$E167=4),(PI()*AX$12^2)/4*(AT167*$W167*1000)/($H167*$B$5),(PI()*AX$12^2)/4*(AT167*$W167*1000)/($G167*$B$5)),
IF($D167="Pénétro.",
IF(OR($E167=4,$E167=1,$E167=5),(PI()*AX$12^2)/4*(AT167*$W167*1000)/($H167*$B$5),(PI()*AX$12^2)/4*(AT167*$W167*1000)/($G167*$B$5)))),
IF($D167="Pressio.",
IF($E167=3,(PI()*AX$12^2)/4*(AT167*$W167*1000)/($H167*$B$5),(PI()*AX$12^2)/4*(AT167*$W167*1000)/($G167*$B$5)),
IF($D167="Pénétro.",
IF($E167=4,(PI()*AX$12^2)/4*(AT167*$W167*1000)/($H167*$B$5),(PI()*AX$12^2)/4*(AT167*$W167*1000)/($G167*$B$5))))))/10</f>
        <v>#N/A</v>
      </c>
      <c r="AY167" s="102" t="e">
        <f>(VLOOKUP($B$3,'Coeff EC7'!$T$39:$X$59,2,0)*AW167+VLOOKUP($B$3,'Coeff EC7'!$T$65:$X$85,2,0)*Model0.1C!AX167)/1.1</f>
        <v>#N/A</v>
      </c>
      <c r="AZ167" s="102" t="e">
        <f>(VLOOKUP($B$3,'Coeff EC7'!$T$39:$X$59,3,0)*AW167+VLOOKUP($B$3,'Coeff EC7'!$T$65:$X$85,3,0)*Model0.1C!AX167)/0.9</f>
        <v>#N/A</v>
      </c>
      <c r="BA167" s="102" t="e">
        <f t="shared" si="273"/>
        <v>#N/A</v>
      </c>
      <c r="BB167" s="102" t="e">
        <f t="shared" si="274"/>
        <v>#N/A</v>
      </c>
      <c r="BC167" s="414" t="e">
        <f>IF(BC166=0,0,IF(AND(AY167&gt;charge_ELS_quasi,AZ167&gt;Charge_ELS_freq,BA167&gt;charge_ELU,BB167&gt;charge_ELA,$B167&gt;NDC!$H$22-0.1+MIN(3*$BC$12,1.5)),0,1))</f>
        <v>#N/A</v>
      </c>
      <c r="BD167" s="86" t="b">
        <f t="shared" si="244"/>
        <v>0</v>
      </c>
      <c r="BE167" s="86">
        <f t="shared" si="275"/>
        <v>0.5</v>
      </c>
      <c r="BF167" s="86">
        <f t="shared" si="245"/>
        <v>0.5</v>
      </c>
      <c r="BG167" s="30" t="e">
        <f t="shared" ca="1" si="276"/>
        <v>#DIV/0!</v>
      </c>
      <c r="BH167" s="85" t="e">
        <f ca="1">IF(AN167&lt;=Hypothèses!$V$7,Hypothèses!$W$7,IF(AN167&lt;=Hypothèses!$V$8,Hypothèses!$W$8,IF(AN167&lt;=Hypothèses!$V$9,Hypothèses!$W$9,IF(AN167&lt;=Hypothèses!$V$10,Hypothèses!$W$10,IF(AN167&lt;=Hypothèses!$V$11,Hypothèses!$W$11,IF(AN167&lt;=Hypothèses!$V$12,Hypothèses!$W$12,IF(AN167&lt;=Hypothèses!$V$13,Hypothèses!$W$13,IF(AN167&lt;=Hypothèses!$V$14,Hypothèses!$W$14,IF(AN167&lt;=Hypothèses!$V$15,Hypothèses!$W$15,IF(AN167&lt;=Hypothèses!$V$16,Hypothèses!$W$16,IF(AN167&lt;=Hypothèses!$V$17,Hypothèses!$W$17,IF(AN167&lt;=Hypothèses!$V$18,Hypothèses!$W$18,""))))))))))))</f>
        <v>#DIV/0!</v>
      </c>
      <c r="BI167" s="87" t="e">
        <f t="shared" ca="1" si="318"/>
        <v>#DIV/0!</v>
      </c>
      <c r="BJ167" s="88" t="e">
        <f ca="1">IF(AN167&lt;=Hypothèses!$V$7,Hypothèses!$X$7,IF(AN167&lt;=Hypothèses!$V$8,Hypothèses!$X$8,IF(AN167&lt;=Hypothèses!$V$9,Hypothèses!$X$9,IF(AN167&lt;=Hypothèses!$V$10,Hypothèses!$X$10,IF(AN167&lt;=Hypothèses!$V$11,Hypothèses!$X$11,IF(AN167&lt;=Hypothèses!$V$12,Hypothèses!$X$12,IF(AN167&lt;=Hypothèses!$V$13,Hypothèses!$X$13,IF(AN167&lt;=Hypothèses!$V$14,Hypothèses!$X$14,IF(AN167&lt;=Hypothèses!$V$15,Hypothèses!$X$15,IF(AN167&lt;=Hypothèses!$V$16,Hypothèses!$X$16,IF(AN167&lt;=Hypothèses!$U$17,Hypothèses!$W$17,IF(AN167&lt;=Hypothèses!$U$18,Hypothèses!$W$18,""))))))))))))</f>
        <v>#DIV/0!</v>
      </c>
      <c r="BK167" s="95" t="e">
        <f t="shared" ca="1" si="277"/>
        <v>#DIV/0!</v>
      </c>
      <c r="BL167" s="101" t="e">
        <f t="shared" si="325"/>
        <v>#N/A</v>
      </c>
      <c r="BM167" s="91" t="e">
        <f t="shared" si="246"/>
        <v>#N/A</v>
      </c>
      <c r="BN167" s="30" t="e">
        <f t="shared" si="304"/>
        <v>#N/A</v>
      </c>
      <c r="BO167" s="30" t="e">
        <f t="shared" si="305"/>
        <v>#N/A</v>
      </c>
      <c r="BP167" s="31" t="e">
        <f>IF(OR(Hypothèses!$B$4=17,Hypothèses!$B$4=18,Hypothèses!$B$4=19,Hypothèses!$B$4=20),
IF($D167="Pressio.",
IF(OR($E167=3,$E167=1,$E167=4),BO167,BN167),
IF($D167="Pénétro.",
IF(OR($E167=3,$E167=1,$E167=4),BO167,BN167))),IF($D167="Pressio.",
IF($E167=3,BO167,BN167),
IF($D167="Pénétro.",
IF($E167=4,BO167,BN167))))</f>
        <v>#N/A</v>
      </c>
      <c r="BQ167" s="31" t="e">
        <f>(IF(OR(Hypothèses!$B$4=17,Hypothèses!$B$4=18,Hypothèses!$B$4=19,Hypothèses!$B$4=20),
IF($D167="Pressio.",
IF(OR($E167=3,$E167=1,$E167=4),(PI()*BQ$12^2)/4*(BM167*$W167*1000)/($H167*$B$5),(PI()*BQ$12^2)/4*(BM167*$W167*1000)/($G167*$B$5)),
IF($D167="Pénétro.",
IF(OR($E167=4,$E167=1,$E167=5),(PI()*BQ$12^2)/4*(BM167*$W167*1000)/($H167*$B$5),(PI()*BQ$12^2)/4*(BM167*$W167*1000)/($G167*$B$5)))),
IF($D167="Pressio.",
IF($E167=3,(PI()*BQ$12^2)/4*(BM167*$W167*1000)/($H167*$B$5),(PI()*BQ$12^2)/4*(BM167*$W167*1000)/($G167*$B$5)),
IF($D167="Pénétro.",
IF($E167=4,(PI()*BQ$12^2)/4*(BM167*$W167*1000)/($H167*$B$5),(PI()*BQ$12^2)/4*(BM167*$W167*1000)/($G167*$B$5))))))/10</f>
        <v>#N/A</v>
      </c>
      <c r="BR167" s="102" t="e">
        <f>(VLOOKUP($B$3,'Coeff EC7'!$T$39:$X$59,2,0)*BP167+VLOOKUP($B$3,'Coeff EC7'!$T$65:$X$85,2,0)*Model0.1C!BQ167)/1.1</f>
        <v>#N/A</v>
      </c>
      <c r="BS167" s="102" t="e">
        <f>(VLOOKUP($B$3,'Coeff EC7'!$T$39:$X$59,3,0)*BP167+VLOOKUP($B$3,'Coeff EC7'!$T$65:$X$85,3,0)*Model0.1C!BQ167)/0.9</f>
        <v>#N/A</v>
      </c>
      <c r="BT167" s="102" t="e">
        <f t="shared" si="278"/>
        <v>#N/A</v>
      </c>
      <c r="BU167" s="102" t="e">
        <f t="shared" si="279"/>
        <v>#N/A</v>
      </c>
      <c r="BV167" s="414" t="e">
        <f>IF(BV166=0,0,IF(AND(BR167&gt;charge_ELS_quasi,BS167&gt;Charge_ELS_freq,BT167&gt;charge_ELU,BU167&gt;charge_ELA,$B167&gt;NDC!$H$22-0.1+MIN(3*$BV$12,1.5)),0,1))</f>
        <v>#N/A</v>
      </c>
      <c r="BW167" s="86" t="b">
        <f t="shared" si="247"/>
        <v>0</v>
      </c>
      <c r="BX167" s="86">
        <f t="shared" si="248"/>
        <v>0.5</v>
      </c>
      <c r="BY167" s="86">
        <f t="shared" si="249"/>
        <v>0.5</v>
      </c>
      <c r="BZ167" s="30" t="e">
        <f t="shared" ca="1" si="280"/>
        <v>#DIV/0!</v>
      </c>
      <c r="CA167" s="85" t="e">
        <f ca="1">IF(BG167&lt;=Hypothèses!$V$7,Hypothèses!$W$7,IF(BG167&lt;=Hypothèses!$V$8,Hypothèses!$W$8,IF(BG167&lt;=Hypothèses!$V$9,Hypothèses!$W$9,IF(BG167&lt;=Hypothèses!$V$10,Hypothèses!$W$10,IF(BG167&lt;=Hypothèses!$V$11,Hypothèses!$W$11,IF(BG167&lt;=Hypothèses!$V$12,Hypothèses!$W$12,IF(BG167&lt;=Hypothèses!$V$13,Hypothèses!$W$13,IF(BG167&lt;=Hypothèses!$V$14,Hypothèses!$W$14,IF(BG167&lt;=Hypothèses!$V$15,Hypothèses!$W$15,IF(BG167&lt;=Hypothèses!$V$16,Hypothèses!$W$16,IF(BG167&lt;=Hypothèses!$V$17,Hypothèses!$W$17,IF(BG167&lt;=Hypothèses!$V$18,Hypothèses!$W$18,""))))))))))))</f>
        <v>#DIV/0!</v>
      </c>
      <c r="CB167" s="87" t="e">
        <f t="shared" ca="1" si="319"/>
        <v>#DIV/0!</v>
      </c>
      <c r="CC167" s="88" t="e">
        <f ca="1">IF(BG167&lt;=Hypothèses!$V$7,Hypothèses!$X$7,IF(BG167&lt;=Hypothèses!$V$8,Hypothèses!$X$8,IF(BG167&lt;=Hypothèses!$V$9,Hypothèses!$X$9,IF(BG167&lt;=Hypothèses!$V$10,Hypothèses!$X$10,IF(BG167&lt;=Hypothèses!$V$11,Hypothèses!$X$11,IF(BG167&lt;=Hypothèses!$V$12,Hypothèses!$X$12,IF(BG167&lt;=Hypothèses!$V$13,Hypothèses!$X$13,IF(BG167&lt;=Hypothèses!$V$14,Hypothèses!$X$14,IF(BG167&lt;=Hypothèses!$V$15,Hypothèses!$X$15,IF(BG167&lt;=Hypothèses!$V$16,Hypothèses!$X$16,IF(BG167&lt;=Hypothèses!$U$17,Hypothèses!$W$17,IF(BG167&lt;=Hypothèses!$U$18,Hypothèses!$W$18,""))))))))))))</f>
        <v>#DIV/0!</v>
      </c>
      <c r="CD167" s="95" t="e">
        <f t="shared" ca="1" si="281"/>
        <v>#DIV/0!</v>
      </c>
      <c r="CE167" s="101" t="e">
        <f t="shared" si="326"/>
        <v>#N/A</v>
      </c>
      <c r="CF167" s="91" t="e">
        <f t="shared" si="250"/>
        <v>#N/A</v>
      </c>
      <c r="CG167" s="30" t="e">
        <f t="shared" si="306"/>
        <v>#N/A</v>
      </c>
      <c r="CH167" s="30" t="e">
        <f t="shared" si="307"/>
        <v>#N/A</v>
      </c>
      <c r="CI167" s="31" t="e">
        <f>IF(OR(Hypothèses!$B$4=17,Hypothèses!$B$4=18,Hypothèses!$B$4=19,Hypothèses!$B$4=20),
IF($D167="Pressio.",
IF(OR($E167=3,$E167=1,$E167=4),CH167,CG167),
IF($D167="Pénétro.",
IF(OR($E167=3,$E167=1,$E167=4),CH167,CG167))),IF($D167="Pressio.",
IF($E167=3,CH167,CG167),
IF($D167="Pénétro.",
IF($E167=4,CH167,CG167))))</f>
        <v>#N/A</v>
      </c>
      <c r="CJ167" s="31" t="e">
        <f>(IF(OR(Hypothèses!$B$4=17,Hypothèses!$B$4=18,Hypothèses!$B$4=19,Hypothèses!$B$4=20),
IF($D167="Pressio.",
IF(OR($E167=3,$E167=1,$E167=4),(PI()*CJ$12^2)/4*(CF167*$W167*1000)/($H167*$B$5),(PI()*CJ$12^2)/4*(CF167*$W167*1000)/($G167*$B$5)),
IF($D167="Pénétro.",
IF(OR($E167=4,$E167=1,$E167=5),(PI()*CJ$12^2)/4*(CF167*$W167*1000)/($H167*$B$5),(PI()*CJ$12^2)/4*(CF167*$W167*1000)/($G167*$B$5)))),
IF($D167="Pressio.",
IF($E167=3,(PI()*CJ$12^2)/4*(CF167*$W167*1000)/($H167*$B$5),(PI()*CJ$12^2)/4*(CF167*$W167*1000)/($G167*$B$5)),
IF($D167="Pénétro.",
IF($E167=4,(PI()*CJ$12^2)/4*(CF167*$W167*1000)/($H167*$B$5),(PI()*CJ$12^2)/4*(CF167*$W167*1000)/($G167*$B$5))))))/10</f>
        <v>#N/A</v>
      </c>
      <c r="CK167" s="102" t="e">
        <f>(VLOOKUP($B$3,'Coeff EC7'!$T$39:$X$59,2,0)*CI167+VLOOKUP($B$3,'Coeff EC7'!$T$65:$X$85,2,0)*Model0.1C!CJ167)/1.1</f>
        <v>#N/A</v>
      </c>
      <c r="CL167" s="102" t="e">
        <f>(VLOOKUP($B$3,'Coeff EC7'!$T$39:$X$59,3,0)*CI167+VLOOKUP($B$3,'Coeff EC7'!$T$65:$X$85,3,0)*Model0.1C!CJ167)/0.9</f>
        <v>#N/A</v>
      </c>
      <c r="CM167" s="102" t="e">
        <f t="shared" si="282"/>
        <v>#N/A</v>
      </c>
      <c r="CN167" s="102" t="e">
        <f t="shared" si="283"/>
        <v>#N/A</v>
      </c>
      <c r="CO167" s="414" t="e">
        <f>IF(CO166=0,0,IF(AND(CK167&gt;charge_ELS_quasi,CL167&gt;Charge_ELS_freq,CM167&gt;charge_ELU,CN167&gt;charge_ELA,$B167&gt;NDC!$H$22-0.1+MIN(3*$CO$12,1.5)),0,1))</f>
        <v>#N/A</v>
      </c>
      <c r="CP167" s="86" t="b">
        <f t="shared" si="251"/>
        <v>0</v>
      </c>
      <c r="CQ167" s="86">
        <f t="shared" si="252"/>
        <v>0.5</v>
      </c>
      <c r="CR167" s="86">
        <f t="shared" si="253"/>
        <v>0.5</v>
      </c>
      <c r="CS167" s="30" t="e">
        <f t="shared" ca="1" si="284"/>
        <v>#DIV/0!</v>
      </c>
      <c r="CT167" s="85" t="e">
        <f ca="1">IF(BZ167&lt;=Hypothèses!$V$7,Hypothèses!$W$7,IF(BZ167&lt;=Hypothèses!$V$8,Hypothèses!$W$8,IF(BZ167&lt;=Hypothèses!$V$9,Hypothèses!$W$9,IF(BZ167&lt;=Hypothèses!$V$10,Hypothèses!$W$10,IF(BZ167&lt;=Hypothèses!$V$11,Hypothèses!$W$11,IF(BZ167&lt;=Hypothèses!$V$12,Hypothèses!$W$12,IF(BZ167&lt;=Hypothèses!$V$13,Hypothèses!$W$13,IF(BZ167&lt;=Hypothèses!$V$14,Hypothèses!$W$14,IF(BZ167&lt;=Hypothèses!$V$15,Hypothèses!$W$15,IF(BZ167&lt;=Hypothèses!$V$16,Hypothèses!$W$16,IF(BZ167&lt;=Hypothèses!$V$17,Hypothèses!$W$17,IF(BZ167&lt;=Hypothèses!$V$18,Hypothèses!$W$18,""))))))))))))</f>
        <v>#DIV/0!</v>
      </c>
      <c r="CU167" s="87" t="e">
        <f t="shared" ca="1" si="320"/>
        <v>#DIV/0!</v>
      </c>
      <c r="CV167" s="88" t="e">
        <f ca="1">IF(BZ167&lt;=Hypothèses!$V$7,Hypothèses!$X$7,IF(BZ167&lt;=Hypothèses!$V$8,Hypothèses!$X$8,IF(BZ167&lt;=Hypothèses!$V$9,Hypothèses!$X$9,IF(BZ167&lt;=Hypothèses!$V$10,Hypothèses!$X$10,IF(BZ167&lt;=Hypothèses!$V$11,Hypothèses!$X$11,IF(BZ167&lt;=Hypothèses!$V$12,Hypothèses!$X$12,IF(BZ167&lt;=Hypothèses!$V$13,Hypothèses!$X$13,IF(BZ167&lt;=Hypothèses!$V$14,Hypothèses!$X$14,IF(BZ167&lt;=Hypothèses!$V$15,Hypothèses!$X$15,IF(BZ167&lt;=Hypothèses!$V$16,Hypothèses!$X$16,IF(BZ167&lt;=Hypothèses!$U$17,Hypothèses!$W$17,IF(BZ167&lt;=Hypothèses!$U$18,Hypothèses!$W$18,""))))))))))))</f>
        <v>#DIV/0!</v>
      </c>
      <c r="CW167" s="95" t="e">
        <f t="shared" ca="1" si="285"/>
        <v>#DIV/0!</v>
      </c>
      <c r="CX167" s="101" t="e">
        <f t="shared" si="327"/>
        <v>#N/A</v>
      </c>
      <c r="CY167" s="91" t="e">
        <f t="shared" si="254"/>
        <v>#N/A</v>
      </c>
      <c r="CZ167" s="30" t="e">
        <f t="shared" si="308"/>
        <v>#N/A</v>
      </c>
      <c r="DA167" s="30" t="e">
        <f t="shared" si="309"/>
        <v>#N/A</v>
      </c>
      <c r="DB167" s="31" t="e">
        <f>IF(OR(Hypothèses!$B$4=17,Hypothèses!$B$4=18,Hypothèses!$B$4=19,Hypothèses!$B$4=20),
IF($D167="Pressio.",
IF(OR($E167=3,$E167=1,$E167=4),DA167,CZ167),
IF($D167="Pénétro.",
IF(OR($E167=3,$E167=1,$E167=4),DA167,CZ167))),IF($D167="Pressio.",
IF($E167=3,DA167,CZ167),
IF($D167="Pénétro.",
IF($E167=4,DA167,CZ167))))</f>
        <v>#N/A</v>
      </c>
      <c r="DC167" s="31" t="e">
        <f>(IF(OR(Hypothèses!$B$4=17,Hypothèses!$B$4=18,Hypothèses!$B$4=19,Hypothèses!$B$4=20),
IF($D167="Pressio.",
IF(OR($E167=3,$E167=1,$E167=4),(PI()*DC$12^2)/4*(CY167*$W167*1000)/($H167*$B$5),(PI()*DC$12^2)/4*(CY167*$W167*1000)/($G167*$B$5)),
IF($D167="Pénétro.",
IF(OR($E167=4,$E167=1,$E167=5),(PI()*DC$12^2)/4*(CY167*$W167*1000)/($H167*$B$5),(PI()*DC$12^2)/4*(CY167*$W167*1000)/($G167*$B$5)))),
IF($D167="Pressio.",
IF($E167=3,(PI()*DC$12^2)/4*(CY167*$W167*1000)/($H167*$B$5),(PI()*DC$12^2)/4*(CY167*$W167*1000)/($G167*$B$5)),
IF($D167="Pénétro.",
IF($E167=4,(PI()*DC$12^2)/4*(CY167*$W167*1000)/($H167*$B$5),(PI()*DC$12^2)/4*(CY167*$W167*1000)/($G167*$B$5))))))/10</f>
        <v>#N/A</v>
      </c>
      <c r="DD167" s="102" t="e">
        <f>(VLOOKUP($B$3,'Coeff EC7'!$T$39:$X$59,2,0)*DB167+VLOOKUP($B$3,'Coeff EC7'!$T$65:$X$85,2,0)*Model0.1C!DC167)/1.1</f>
        <v>#N/A</v>
      </c>
      <c r="DE167" s="102" t="e">
        <f>(VLOOKUP($B$3,'Coeff EC7'!$T$39:$X$59,3,0)*DB167+VLOOKUP($B$3,'Coeff EC7'!$T$65:$X$85,3,0)*Model0.1C!DC167)/0.9</f>
        <v>#N/A</v>
      </c>
      <c r="DF167" s="102" t="e">
        <f t="shared" si="286"/>
        <v>#N/A</v>
      </c>
      <c r="DG167" s="102" t="e">
        <f t="shared" si="287"/>
        <v>#N/A</v>
      </c>
      <c r="DH167" s="414" t="e">
        <f>IF(DH166=0,0,IF(AND(DD167&gt;charge_ELS_quasi,DE167&gt;Charge_ELS_freq,DF167&gt;charge_ELU,DG167&gt;charge_ELA,$B167&gt;NDC!$H$22-0.1+MIN(3*$DH$12,1.5)),0,1))</f>
        <v>#N/A</v>
      </c>
      <c r="DI167" s="86" t="b">
        <f t="shared" si="255"/>
        <v>0</v>
      </c>
      <c r="DJ167" s="86">
        <f t="shared" si="256"/>
        <v>0.5</v>
      </c>
      <c r="DK167" s="86">
        <f t="shared" si="257"/>
        <v>0.5</v>
      </c>
      <c r="DL167" s="30" t="e">
        <f t="shared" ca="1" si="288"/>
        <v>#DIV/0!</v>
      </c>
      <c r="DM167" s="85" t="e">
        <f ca="1">IF(CS167&lt;=Hypothèses!$V$7,Hypothèses!$W$7,IF(CS167&lt;=Hypothèses!$V$8,Hypothèses!$W$8,IF(CS167&lt;=Hypothèses!$V$9,Hypothèses!$W$9,IF(CS167&lt;=Hypothèses!$V$10,Hypothèses!$W$10,IF(CS167&lt;=Hypothèses!$V$11,Hypothèses!$W$11,IF(CS167&lt;=Hypothèses!$V$12,Hypothèses!$W$12,IF(CS167&lt;=Hypothèses!$V$13,Hypothèses!$W$13,IF(CS167&lt;=Hypothèses!$V$14,Hypothèses!$W$14,IF(CS167&lt;=Hypothèses!$V$15,Hypothèses!$W$15,IF(CS167&lt;=Hypothèses!$V$16,Hypothèses!$W$16,IF(CS167&lt;=Hypothèses!$V$17,Hypothèses!$W$17,IF(CS167&lt;=Hypothèses!$V$18,Hypothèses!$W$18,""))))))))))))</f>
        <v>#DIV/0!</v>
      </c>
      <c r="DN167" s="87" t="e">
        <f t="shared" ca="1" si="321"/>
        <v>#DIV/0!</v>
      </c>
      <c r="DO167" s="88" t="e">
        <f ca="1">IF(CS167&lt;=Hypothèses!$V$7,Hypothèses!$X$7,IF(CS167&lt;=Hypothèses!$V$8,Hypothèses!$X$8,IF(CS167&lt;=Hypothèses!$V$9,Hypothèses!$X$9,IF(CS167&lt;=Hypothèses!$V$10,Hypothèses!$X$10,IF(CS167&lt;=Hypothèses!$V$11,Hypothèses!$X$11,IF(CS167&lt;=Hypothèses!$V$12,Hypothèses!$X$12,IF(CS167&lt;=Hypothèses!$V$13,Hypothèses!$X$13,IF(CS167&lt;=Hypothèses!$V$14,Hypothèses!$X$14,IF(CS167&lt;=Hypothèses!$V$15,Hypothèses!$X$15,IF(CS167&lt;=Hypothèses!$V$16,Hypothèses!$X$16,IF(CS167&lt;=Hypothèses!$U$17,Hypothèses!$W$17,IF(CS167&lt;=Hypothèses!$U$18,Hypothèses!$W$18,""))))))))))))</f>
        <v>#DIV/0!</v>
      </c>
      <c r="DP167" s="95" t="e">
        <f t="shared" ca="1" si="289"/>
        <v>#DIV/0!</v>
      </c>
      <c r="DQ167" s="101" t="e">
        <f t="shared" si="328"/>
        <v>#N/A</v>
      </c>
      <c r="DR167" s="91" t="e">
        <f t="shared" si="258"/>
        <v>#N/A</v>
      </c>
      <c r="DS167" s="30" t="e">
        <f t="shared" si="310"/>
        <v>#N/A</v>
      </c>
      <c r="DT167" s="30" t="e">
        <f t="shared" si="311"/>
        <v>#N/A</v>
      </c>
      <c r="DU167" s="31" t="e">
        <f>IF(OR(Hypothèses!$B$4=17,Hypothèses!$B$4=18,Hypothèses!$B$4=19,Hypothèses!$B$4=20),
IF($D167="Pressio.",
IF(OR($E167=3,$E167=1,$E167=4),DT167,DS167),
IF($D167="Pénétro.",
IF(OR($E167=3,$E167=1,$E167=4),DT167,DS167))),IF($D167="Pressio.",
IF($E167=3,DT167,DS167),
IF($D167="Pénétro.",
IF($E167=4,DT167,DS167))))</f>
        <v>#N/A</v>
      </c>
      <c r="DV167" s="31" t="e">
        <f>(IF(OR(Hypothèses!$B$4=17,Hypothèses!$B$4=18,Hypothèses!$B$4=19,Hypothèses!$B$4=20),
IF($D167="Pressio.",
IF(OR($E167=3,$E167=1,$E167=4),(PI()*DV$12^2)/4*(DR167*$W167*1000)/($H167*$B$5),(PI()*DV$12^2)/4*(DR167*$W167*1000)/($G167*$B$5)),
IF($D167="Pénétro.",
IF(OR($E167=4,$E167=1,$E167=5),(PI()*DV$12^2)/4*(DR167*$W167*1000)/($H167*$B$5),(PI()*DV$12^2)/4*(DR167*$W167*1000)/($G167*$B$5)))),
IF($D167="Pressio.",
IF($E167=3,(PI()*DV$12^2)/4*(DR167*$W167*1000)/($H167*$B$5),(PI()*DV$12^2)/4*(DR167*$W167*1000)/($G167*$B$5)),
IF($D167="Pénétro.",
IF($E167=4,(PI()*DV$12^2)/4*(DR167*$W167*1000)/($H167*$B$5),(PI()*DV$12^2)/4*(DR167*$W167*1000)/($G167*$B$5))))))/10</f>
        <v>#N/A</v>
      </c>
      <c r="DW167" s="102" t="e">
        <f>(VLOOKUP($B$3,'Coeff EC7'!$T$39:$X$59,2,0)*DU167+VLOOKUP($B$3,'Coeff EC7'!$T$65:$X$85,2,0)*Model0.1C!DV167)/1.1</f>
        <v>#N/A</v>
      </c>
      <c r="DX167" s="102" t="e">
        <f>(VLOOKUP($B$3,'Coeff EC7'!$T$39:$X$59,3,0)*DU167+VLOOKUP($B$3,'Coeff EC7'!$T$65:$X$85,3,0)*Model0.1C!DV167)/0.9</f>
        <v>#N/A</v>
      </c>
      <c r="DY167" s="102" t="e">
        <f t="shared" si="290"/>
        <v>#N/A</v>
      </c>
      <c r="DZ167" s="102" t="e">
        <f t="shared" si="291"/>
        <v>#N/A</v>
      </c>
      <c r="EA167" s="414" t="e">
        <f>IF(EA166=0,0,IF(AND(DW167&gt;charge_ELS_quasi,DX167&gt;Charge_ELS_freq,DY167&gt;charge_ELU,DZ167&gt;charge_ELA,$B167&gt;NDC!$H$22-0.1+MIN(3*$EA$12,1.5)),0,1))</f>
        <v>#N/A</v>
      </c>
      <c r="EB167" s="86" t="b">
        <f t="shared" si="259"/>
        <v>0</v>
      </c>
      <c r="EC167" s="418">
        <f t="shared" si="260"/>
        <v>0.51</v>
      </c>
      <c r="ED167" s="86">
        <f t="shared" si="261"/>
        <v>0.51</v>
      </c>
      <c r="EE167" s="30" t="e">
        <f t="shared" ca="1" si="292"/>
        <v>#DIV/0!</v>
      </c>
      <c r="EF167" s="85" t="e">
        <f ca="1">IF(DL167&lt;=Hypothèses!$V$7,Hypothèses!$W$7,IF(DL167&lt;=Hypothèses!$V$8,Hypothèses!$W$8,IF(DL167&lt;=Hypothèses!$V$9,Hypothèses!$W$9,IF(DL167&lt;=Hypothèses!$V$10,Hypothèses!$W$10,IF(DL167&lt;=Hypothèses!$V$11,Hypothèses!$W$11,IF(DL167&lt;=Hypothèses!$V$12,Hypothèses!$W$12,IF(DL167&lt;=Hypothèses!$V$13,Hypothèses!$W$13,IF(DL167&lt;=Hypothèses!$V$14,Hypothèses!$W$14,IF(DL167&lt;=Hypothèses!$V$15,Hypothèses!$W$15,IF(DL167&lt;=Hypothèses!$V$16,Hypothèses!$W$16,IF(DL167&lt;=Hypothèses!$V$17,Hypothèses!$W$17,IF(DL167&lt;=Hypothèses!$V$18,Hypothèses!$W$18,""))))))))))))</f>
        <v>#DIV/0!</v>
      </c>
      <c r="EG167" s="87" t="e">
        <f t="shared" ca="1" si="322"/>
        <v>#DIV/0!</v>
      </c>
      <c r="EH167" s="88" t="e">
        <f ca="1">IF(DL167&lt;=Hypothèses!$V$7,Hypothèses!$X$7,IF(DL167&lt;=Hypothèses!$V$8,Hypothèses!$X$8,IF(DL167&lt;=Hypothèses!$V$9,Hypothèses!$X$9,IF(DL167&lt;=Hypothèses!$V$10,Hypothèses!$X$10,IF(DL167&lt;=Hypothèses!$V$11,Hypothèses!$X$11,IF(DL167&lt;=Hypothèses!$V$12,Hypothèses!$X$12,IF(DL167&lt;=Hypothèses!$V$13,Hypothèses!$X$13,IF(DL167&lt;=Hypothèses!$V$14,Hypothèses!$X$14,IF(DL167&lt;=Hypothèses!$V$15,Hypothèses!$X$15,IF(DL167&lt;=Hypothèses!$V$16,Hypothèses!$X$16,IF(DL167&lt;=Hypothèses!$U$17,Hypothèses!$W$17,IF(DL167&lt;=Hypothèses!$U$18,Hypothèses!$W$18,""))))))))))))</f>
        <v>#DIV/0!</v>
      </c>
      <c r="EI167" s="95" t="e">
        <f t="shared" ca="1" si="293"/>
        <v>#DIV/0!</v>
      </c>
      <c r="EJ167" s="101" t="e">
        <f t="shared" si="329"/>
        <v>#N/A</v>
      </c>
      <c r="EK167" s="91" t="e">
        <f t="shared" si="262"/>
        <v>#N/A</v>
      </c>
      <c r="EL167" s="30" t="e">
        <f t="shared" si="312"/>
        <v>#N/A</v>
      </c>
      <c r="EM167" s="30" t="e">
        <f t="shared" si="313"/>
        <v>#N/A</v>
      </c>
      <c r="EN167" s="31" t="e">
        <f>IF(OR(Hypothèses!$B$4=17,Hypothèses!$B$4=18,Hypothèses!$B$4=19,Hypothèses!$B$4=20),
IF($D167="Pressio.",
IF(OR($E167=3,$E167=1,$E167=4),EM167,EL167),
IF($D167="Pénétro.",
IF(OR($E167=3,$E167=1,$E167=4),EM167,EL167))),IF($D167="Pressio.",
IF($E167=3,EM167,EL167),
IF($D167="Pénétro.",
IF($E167=4,EM167,EL167))))</f>
        <v>#N/A</v>
      </c>
      <c r="EO167" s="31" t="e">
        <f>(IF(OR(Hypothèses!$B$4=17,Hypothèses!$B$4=18,Hypothèses!$B$4=19,Hypothèses!$B$4=20),
IF($D167="Pressio.",
IF(OR($E167=3,$E167=1,$E167=4),(PI()*EO$12^2)/4*(EK167*$W167*1000)/($H167*$B$5),(PI()*EO$12^2)/4*(EK167*$W167*1000)/($G167*$B$5)),
IF($D167="Pénétro.",
IF(OR($E167=4,$E167=1,$E167=5),(PI()*EO$12^2)/4*(EK167*$W167*1000)/($H167*$B$5),(PI()*EO$12^2)/4*(EK167*$W167*1000)/($G167*$B$5)))),
IF($D167="Pressio.",
IF($E167=3,(PI()*EO$12^2)/4*(EK167*$W167*1000)/($H167*$B$5),(PI()*EO$12^2)/4*(EK167*$W167*1000)/($G167*$B$5)),
IF($D167="Pénétro.",
IF($E167=4,(PI()*EO$12^2)/4*(EK167*$W167*1000)/($H167*$B$5),(PI()*EO$12^2)/4*(EK167*$W167*1000)/($G167*$B$5))))))/10</f>
        <v>#N/A</v>
      </c>
      <c r="EP167" s="102" t="e">
        <f>(VLOOKUP($B$3,'Coeff EC7'!$T$39:$X$59,2,0)*EN167+VLOOKUP($B$3,'Coeff EC7'!$T$65:$X$85,2,0)*Model0.1C!EO167)/1.1</f>
        <v>#N/A</v>
      </c>
      <c r="EQ167" s="102" t="e">
        <f>(VLOOKUP($B$3,'Coeff EC7'!$T$39:$X$59,3,0)*EN167+VLOOKUP($B$3,'Coeff EC7'!$T$65:$X$85,3,0)*Model0.1C!EO167)/0.9</f>
        <v>#N/A</v>
      </c>
      <c r="ER167" s="102" t="e">
        <f t="shared" si="294"/>
        <v>#N/A</v>
      </c>
      <c r="ES167" s="102" t="e">
        <f t="shared" si="295"/>
        <v>#N/A</v>
      </c>
      <c r="ET167" s="414" t="e">
        <f>IF(ET166=0,0,IF(AND(EP167&gt;charge_ELS_quasi,EQ167&gt;Charge_ELS_freq,ER167&gt;charge_ELU,ES167&gt;charge_ELA,$B167&gt;NDC!$H$22-0.1+MIN(3*$ET$12,1.5)),0,1))</f>
        <v>#N/A</v>
      </c>
      <c r="EU167" s="86" t="b">
        <f t="shared" si="263"/>
        <v>0</v>
      </c>
      <c r="EV167" s="86">
        <f t="shared" si="264"/>
        <v>0.61</v>
      </c>
      <c r="EW167" s="86">
        <f t="shared" si="265"/>
        <v>0.61</v>
      </c>
      <c r="EX167" s="30" t="e">
        <f t="shared" ca="1" si="296"/>
        <v>#DIV/0!</v>
      </c>
      <c r="EY167" s="85" t="e">
        <f ca="1">IF(EE167&lt;=Hypothèses!$V$7,Hypothèses!$W$7,IF(EE167&lt;=Hypothèses!$V$8,Hypothèses!$W$8,IF(EE167&lt;=Hypothèses!$V$9,Hypothèses!$W$9,IF(EE167&lt;=Hypothèses!$V$10,Hypothèses!$W$10,IF(EE167&lt;=Hypothèses!$V$11,Hypothèses!$W$11,IF(EE167&lt;=Hypothèses!$V$12,Hypothèses!$W$12,IF(EE167&lt;=Hypothèses!$V$13,Hypothèses!$W$13,IF(EE167&lt;=Hypothèses!$V$14,Hypothèses!$W$14,IF(EE167&lt;=Hypothèses!$V$15,Hypothèses!$W$15,IF(EE167&lt;=Hypothèses!$V$16,Hypothèses!$W$16,IF(EE167&lt;=Hypothèses!$V$17,Hypothèses!$W$17,IF(EE167&lt;=Hypothèses!$V$18,Hypothèses!$W$18,""))))))))))))</f>
        <v>#DIV/0!</v>
      </c>
      <c r="EZ167" s="87" t="e">
        <f t="shared" ca="1" si="323"/>
        <v>#DIV/0!</v>
      </c>
      <c r="FA167" s="88" t="e">
        <f ca="1">IF(EE167&lt;=Hypothèses!$V$7,Hypothèses!$X$7,IF(EE167&lt;=Hypothèses!$V$8,Hypothèses!$X$8,IF(EE167&lt;=Hypothèses!$V$9,Hypothèses!$X$9,IF(EE167&lt;=Hypothèses!$V$10,Hypothèses!$X$10,IF(EE167&lt;=Hypothèses!$V$11,Hypothèses!$X$11,IF(EE167&lt;=Hypothèses!$V$12,Hypothèses!$X$12,IF(EE167&lt;=Hypothèses!$V$13,Hypothèses!$X$13,IF(EE167&lt;=Hypothèses!$V$14,Hypothèses!$X$14,IF(EE167&lt;=Hypothèses!$V$15,Hypothèses!$X$15,IF(EE167&lt;=Hypothèses!$V$16,Hypothèses!$X$16,IF(EE167&lt;=Hypothèses!$U$17,Hypothèses!$W$17,IF(EE167&lt;=Hypothèses!$U$18,Hypothèses!$W$18,""))))))))))))</f>
        <v>#DIV/0!</v>
      </c>
      <c r="FB167" s="95" t="e">
        <f t="shared" ca="1" si="297"/>
        <v>#DIV/0!</v>
      </c>
      <c r="FC167" s="101" t="e">
        <f t="shared" si="330"/>
        <v>#N/A</v>
      </c>
      <c r="FD167" s="91" t="e">
        <f t="shared" si="266"/>
        <v>#N/A</v>
      </c>
      <c r="FE167" s="30" t="e">
        <f t="shared" si="314"/>
        <v>#N/A</v>
      </c>
      <c r="FF167" s="30" t="e">
        <f t="shared" si="315"/>
        <v>#N/A</v>
      </c>
      <c r="FG167" s="31" t="e">
        <f>IF(OR(Hypothèses!$B$4=17,Hypothèses!$B$4=18,Hypothèses!$B$4=19,Hypothèses!$B$4=20),
IF($D167="Pressio.",
IF(OR($E167=3,$E167=1,$E167=4),FF167,FE167),
IF($D167="Pénétro.",
IF(OR($E167=3,$E167=1,$E167=4),FF167,FE167))),IF($D167="Pressio.",
IF($E167=3,FF167,FE167),
IF($D167="Pénétro.",
IF($E167=4,FF167,FE167))))</f>
        <v>#N/A</v>
      </c>
      <c r="FH167" s="31" t="e">
        <f>(IF(OR(Hypothèses!$B$4=17,Hypothèses!$B$4=18,Hypothèses!$B$4=19,Hypothèses!$B$4=20),
IF($D167="Pressio.",
IF(OR($E167=3,$E167=1,$E167=4),(PI()*FH$12^2)/4*(FD167*$W167*1000)/($H167*$B$5),(PI()*FH$12^2)/4*(FD167*$W167*1000)/($G167*$B$5)),
IF($D167="Pénétro.",
IF(OR($E167=4,$E167=1,$E167=5),(PI()*FH$12^2)/4*(FD167*$W167*1000)/($H167*$B$5),(PI()*FH$12^2)/4*(FD167*$W167*1000)/($G167*$B$5)))),
IF($D167="Pressio.",
IF($E167=3,(PI()*FH$12^2)/4*(FD167*$W167*1000)/($H167*$B$5),(PI()*FH$12^2)/4*(FD167*$W167*1000)/($G167*$B$5)),
IF($D167="Pénétro.",
IF($E167=4,(PI()*FH$12^2)/4*(FD167*$W167*1000)/($H167*$B$5),(PI()*FH$12^2)/4*(FD167*$W167*1000)/($G167*$B$5))))))/10</f>
        <v>#N/A</v>
      </c>
      <c r="FI167" s="102" t="e">
        <f>(VLOOKUP($B$3,'Coeff EC7'!$T$39:$X$59,2,0)*FG167+VLOOKUP($B$3,'Coeff EC7'!$T$65:$X$85,2,0)*Model0.1C!FH167)/1.1</f>
        <v>#N/A</v>
      </c>
      <c r="FJ167" s="102" t="e">
        <f>(VLOOKUP($B$3,'Coeff EC7'!$T$39:$X$59,3,0)*FG167+VLOOKUP($B$3,'Coeff EC7'!$T$65:$X$85,3,0)*Model0.1C!FH167)/0.9</f>
        <v>#N/A</v>
      </c>
      <c r="FK167" s="102" t="e">
        <f t="shared" si="298"/>
        <v>#N/A</v>
      </c>
      <c r="FL167" s="102" t="e">
        <f t="shared" si="299"/>
        <v>#N/A</v>
      </c>
      <c r="FM167" s="414" t="e">
        <f>IF(FM166=0,0,IF(AND(FI167&gt;charge_ELS_quasi,FJ167&gt;Charge_ELS_freq,FK167&gt;charge_ELU,FL167&gt;charge_ELA,$B167&gt;NDC!$H$22-0.1+MIN(3*$FM$12,1.5)),0,1))</f>
        <v>#N/A</v>
      </c>
    </row>
    <row r="168" spans="1:169">
      <c r="A168" s="96">
        <f t="shared" si="267"/>
        <v>84.500000000000881</v>
      </c>
      <c r="B168" s="97">
        <v>15.5</v>
      </c>
      <c r="C168" s="81">
        <f>IF(B168&lt;=Hypothèses!$C$7,Hypothèses!$A$7,IF(B168&lt;=Hypothèses!$C$8,Hypothèses!$A$8,IF(B168&lt;=Hypothèses!$C$9,Hypothèses!$A$9,IF(B168&lt;=Hypothèses!$C$10,Hypothèses!$A$10,IF(B168&lt;=Hypothèses!$C$11,Hypothèses!$A$11,IF(B168&lt;=Hypothèses!$C$12,Hypothèses!$A$12,IF(B168&lt;=Hypothèses!$C$13,Hypothèses!$A$13,IF(B168&lt;=Hypothèses!$C$14,Hypothèses!$A$14,IF(B168&lt;=Hypothèses!$C$15,Hypothèses!$A$15,IF(B168&lt;=Hypothèses!$C$16,Hypothèses!$A$16,IF(B168&lt;=Hypothèses!$C$17,Hypothèses!$A$17,IF(B168&lt;=Hypothèses!$C$18,Hypothèses!$A$18,C167))))))))))))</f>
        <v>11</v>
      </c>
      <c r="D168" s="82" t="str">
        <f>IF(B168&lt;=Hypothèses!$C$7,Hypothèses!$R$7,IF(B168&lt;=Hypothèses!$C$8,Hypothèses!$R$8,IF(B168&lt;=Hypothèses!$C$9,Hypothèses!$R$9,IF(B168&lt;=Hypothèses!$C$10,Hypothèses!$R$10,IF(B168&lt;=Hypothèses!$C$11,Hypothèses!$R$11,IF(B168&lt;=Hypothèses!$C$12,Hypothèses!$R$12,IF(B168&lt;=Hypothèses!$C$13,Hypothèses!$R$13,IF(B168&lt;=Hypothèses!$C$14,Hypothèses!$R$14,IF(B168&lt;=Hypothèses!$C$15,Hypothèses!$R$15,IF(B168&lt;=Hypothèses!$C$16,Hypothèses!$R$16,IF(B168&lt;=Hypothèses!$C$17,Hypothèses!$R$17,IF(B168&lt;=Hypothèses!$C$18,Hypothèses!$R$18,D167))))))))))))</f>
        <v>Pressio.</v>
      </c>
      <c r="E168" s="82" t="e">
        <f>IF(B168&lt;=Hypothèses!$C$7,Hypothèses!$G$7,IF(B168&lt;=Hypothèses!$C$8,Hypothèses!$G$8,IF(B168&lt;=Hypothèses!$C$9,Hypothèses!$G$9,IF(B168&lt;=Hypothèses!$C$10,Hypothèses!$G$10,IF(B168&lt;=Hypothèses!$C$11,Hypothèses!$G$11,IF(B168&lt;=Hypothèses!$C$12,Hypothèses!$G$12,IF(B168&lt;=Hypothèses!$C$13,Hypothèses!$G$13,IF(B168&lt;=Hypothèses!$C$14,Hypothèses!$G$14,IF(B168&lt;=Hypothèses!$C$15,Hypothèses!$G$15,IF(B168&lt;=Hypothèses!$C$16,Hypothèses!$G$16,IF(B168&lt;=Hypothèses!$C$17,Hypothèses!$G$17,IF(B168&lt;=Hypothèses!$C$18,Hypothèses!$G$18,E167))))))))))))</f>
        <v>#N/A</v>
      </c>
      <c r="F168" s="82" t="str">
        <f>IF(B168&lt;=Hypothèses!$C$7,Hypothèses!$F$7,IF(B168&lt;=Hypothèses!$C$8,Hypothèses!$F$8,IF(B168&lt;=Hypothèses!$C$9,Hypothèses!$F$9,IF(B168&lt;=Hypothèses!$C$10,Hypothèses!$F$10,IF(B168&lt;=Hypothèses!$C$11,Hypothèses!$F$11,IF(B168&lt;=Hypothèses!$C$12,Hypothèses!$F$12,IF(B168&lt;=Hypothèses!$C$13,Hypothèses!$F$13,IF(B168&lt;=Hypothèses!$C$14,Hypothèses!$F$14,IF(B168&lt;=Hypothèses!$C$15,Hypothèses!$F$15,IF(B168&lt;=Hypothèses!$C$16,Hypothèses!$F$16,IF(B168&lt;=Hypothèses!$C$17,Hypothèses!$F$17,IF(B168&lt;=Hypothèses!$C$18,Hypothèses!$F$18,F167))))))))))))</f>
        <v/>
      </c>
      <c r="G168" s="91">
        <f t="array" ref="G168">INDEX('Coeff EC7'!$U$7:$X$27,
MATCH(Model0.1C!$B$3,'Coeff EC7'!$T$7:$T$27,0),
MATCH(Model0.1C!$D168&amp;Model0.1C!$B$4,
'Coeff EC7'!$U$6:$X$6&amp;
'Coeff EC7'!$U$5:$X$5,0))</f>
        <v>1.1499999999999999</v>
      </c>
      <c r="H168" s="91">
        <f t="array" ref="H168">INDEX('Coeff EC7'!$Y$7:$AB$27,
MATCH(Model0.1C!$B$3,'Coeff EC7'!$T$7:$T$27,0),
MATCH(Model0.1C!$D168&amp;Model0.1C!$B$4,
'Coeff EC7'!$Y$6:$AB$6&amp;
'Coeff EC7'!$Y$5:$AB$5,0))</f>
        <v>1.4</v>
      </c>
      <c r="I168" s="83" t="e">
        <f>IF(B168&lt;=Hypothèses!$C$7,Hypothèses!$P$7,IF(B168&lt;=Hypothèses!$C$8,Hypothèses!$P$8,IF(B168&lt;=Hypothèses!$C$9,Hypothèses!$P$9,IF(B168&lt;=Hypothèses!$C$10,Hypothèses!$P$10,IF(B168&lt;=Hypothèses!$C$11,Hypothèses!$P$11,IF(B168&lt;=Hypothèses!$C$12,Hypothèses!$P$12,IF(B168&lt;=Hypothèses!$C$13,Hypothèses!$P$13,IF(B168&lt;=Hypothèses!$C$14,Hypothèses!$P$14,IF(B168&lt;=Hypothèses!$C$15,Hypothèses!$P$15,IF(B168&lt;=Hypothèses!$C$16,Hypothèses!$P$16,IF(B168&lt;=Hypothèses!$C$17,Hypothèses!$P$17,IF(B168&lt;=Hypothèses!$C$18,Hypothèses!$P$18,I167))))))))))))</f>
        <v>#N/A</v>
      </c>
      <c r="J168" s="91" t="e">
        <f t="array" ref="J168">INDEX('Coeff EC7'!$D$33:$Q$33,1,MATCH(D168&amp;E168,'Coeff EC7'!$D$31:$Q$31&amp;'Coeff EC7'!$D$32:$Q$32,0))</f>
        <v>#N/A</v>
      </c>
      <c r="K168" s="91" t="e">
        <f t="array" ref="K168">INDEX('Coeff EC7'!$D$34:$Q$34,1,MATCH(D168&amp;E168,'Coeff EC7'!$D$31:$Q$31&amp;'Coeff EC7'!$D$32:$Q$32,0))</f>
        <v>#N/A</v>
      </c>
      <c r="L168" s="91" t="e">
        <f t="array" ref="L168">INDEX('Coeff EC7'!$D$35:$Q$35,1,MATCH(D168&amp;E168,'Coeff EC7'!$D$31:$Q$31&amp;'Coeff EC7'!$D$32:$Q$32,0))</f>
        <v>#N/A</v>
      </c>
      <c r="M168" s="98" t="e">
        <f t="shared" si="231"/>
        <v>#N/A</v>
      </c>
      <c r="N168" s="99" t="e">
        <f t="array" ref="N168">INDEX('Coeff EC7'!$D$7:$Q$27,MATCH($B$3,'Coeff EC7'!$C$7:$C$27,0),MATCH(D168&amp;E168,'Coeff EC7'!$D$5:$Q$5&amp;'Coeff EC7'!$D$6:$Q$6,0))</f>
        <v>#N/A</v>
      </c>
      <c r="O168" s="99" t="e">
        <f t="array" ref="O168">INDEX('Coeff EC7'!$D$41:$Q$61,MATCH($B$3,'Coeff EC7'!$C$41:$C$61,0),MATCH(D168&amp;E168,'Coeff EC7'!$D$39:$Q$39&amp;'Coeff EC7'!$D$40:$Q$40,0))</f>
        <v>#N/A</v>
      </c>
      <c r="P168" s="30" t="e">
        <f t="shared" si="268"/>
        <v>#N/A</v>
      </c>
      <c r="Q168" s="100" t="e">
        <f t="shared" si="233"/>
        <v>#N/A</v>
      </c>
      <c r="R168" s="86" t="b">
        <f t="shared" si="234"/>
        <v>0</v>
      </c>
      <c r="S168" s="86">
        <f t="shared" si="232"/>
        <v>0.5</v>
      </c>
      <c r="T168" s="86">
        <f t="shared" si="235"/>
        <v>0.5</v>
      </c>
      <c r="U168" s="30" t="e">
        <f t="shared" ca="1" si="269"/>
        <v>#DIV/0!</v>
      </c>
      <c r="V168" s="85" t="str">
        <f>IF(B168&lt;=Hypothèses!$V$7,Hypothèses!$W$7,IF(B168&lt;=Hypothèses!$V$8,Hypothèses!$W$8,IF(B168&lt;=Hypothèses!$V$9,Hypothèses!$W$9,IF(B168&lt;=Hypothèses!$V$10,Hypothèses!$W$10,IF(B168&lt;=Hypothèses!$V$11,Hypothèses!$W$11,IF(B168&lt;=Hypothèses!$V$12,Hypothèses!$W$12,IF(B168&lt;=Hypothèses!$V$13,Hypothèses!$W$13,IF(B168&lt;=Hypothèses!$V$14,Hypothèses!$W$14,IF(B168&lt;=Hypothèses!$V$15,Hypothèses!$W$15,IF(B168&lt;=Hypothèses!$V$16,Hypothèses!$W$16,IF(B168&lt;=Hypothèses!$V$17,Hypothèses!$W$17,IF(B168&lt;=Hypothèses!$V$18,Hypothèses!$W$18,""))))))))))))</f>
        <v/>
      </c>
      <c r="W168" s="87" t="e">
        <f t="shared" ca="1" si="316"/>
        <v>#DIV/0!</v>
      </c>
      <c r="X168" s="88" t="str">
        <f>IF(B168&lt;=Hypothèses!$V$7,Hypothèses!$X$7,IF(B168&lt;=Hypothèses!$V$8,Hypothèses!$X$8,IF(B168&lt;=Hypothèses!$V$9,Hypothèses!$X$9,IF(B168&lt;=Hypothèses!$V$10,Hypothèses!$X$10,IF(B168&lt;=Hypothèses!$V$11,Hypothèses!$X$11,IF(B168&lt;=Hypothèses!$V$12,Hypothèses!$X$12,IF(B168&lt;=Hypothèses!$V$13,Hypothèses!$X$13,IF(B168&lt;=Hypothèses!$V$14,Hypothèses!$X$14,IF(B168&lt;=Hypothèses!$V$15,Hypothèses!$X$15,IF(B168&lt;=Hypothèses!$V$16,Hypothèses!$X$16,IF(B168&lt;=Hypothèses!$U$17,Hypothèses!$W$17,IF(B168&lt;=Hypothèses!$U$18,Hypothèses!$W$18,""))))))))))))</f>
        <v/>
      </c>
      <c r="Y168" s="95" t="e">
        <f t="shared" ca="1" si="236"/>
        <v>#DIV/0!</v>
      </c>
      <c r="Z168" s="101" t="e">
        <f t="shared" si="237"/>
        <v>#N/A</v>
      </c>
      <c r="AA168" s="91" t="e">
        <f t="shared" si="238"/>
        <v>#N/A</v>
      </c>
      <c r="AB168" s="30" t="e">
        <f t="shared" si="300"/>
        <v>#N/A</v>
      </c>
      <c r="AC168" s="30" t="e">
        <f t="shared" si="301"/>
        <v>#N/A</v>
      </c>
      <c r="AD168" s="31" t="e">
        <f>IF(OR(Hypothèses!$B$4=17,Hypothèses!$B$4=18,Hypothèses!$B$4=19,Hypothèses!$B$4=20),
IF($D168="Pressio.",
IF(OR($E168=3,$E168=1,$E168=4),AC168,AB168),
IF($D168="Pénétro.",
IF(OR($E168=3,$E168=1,$E168=4),AC168,AB168))),IF($D168="Pressio.",
IF($E168=3,AC168,AB168),
IF($D168="Pénétro.",
IF($E168=4,AC168,AB168))))</f>
        <v>#N/A</v>
      </c>
      <c r="AE168" s="31" t="e">
        <f>(IF(OR(Hypothèses!$B$4=17,Hypothèses!$B$4=18,Hypothèses!$B$4=19,Hypothèses!$B$4=20),
IF($D168="Pressio.",
IF(OR($E168=3,$E168=1,$E168=4),(PI()*AE$12^2)/4*(AA168*$W168*1000)/($H168*$B$5),(PI()*AE$12^2)/4*(AA168*$W168*1000)/($G168*$B$5)),
IF($D168="Pénétro.",
IF(OR($E168=4,$E168=1,$E168=5),(PI()*AE$12^2)/4*(AA168*$W168*1000)/($H168*$B$5),(PI()*AE$12^2)/4*(AA168*$W168*1000)/($G168*$B$5)))),
IF($D168="Pressio.",
IF($E168=3,(PI()*AE$12^2)/4*(AA168*$W168*1000)/($H168*$B$5),(PI()*AE$12^2)/4*(AA168*$W168*1000)/($G168*$B$5)),
IF($D168="Pénétro.",
IF($E168=4,(PI()*AE$12^2)/4*(AA168*$W168*1000)/($H168*$B$5),(PI()*AE$12^2)/4*(AA168*$W168*1000)/($G168*$B$5))))))/10</f>
        <v>#N/A</v>
      </c>
      <c r="AF168" s="102" t="e">
        <f>(VLOOKUP($B$3,'Coeff EC7'!$T$39:$X$59,2,0)*AD168+VLOOKUP($B$3,'Coeff EC7'!$T$65:$X$85,2,0)*Model0.1C!AE168)/1.1</f>
        <v>#N/A</v>
      </c>
      <c r="AG168" s="102" t="e">
        <f>(VLOOKUP($B$3,'Coeff EC7'!$T$39:$X$59,3,0)*AD168+VLOOKUP($B$3,'Coeff EC7'!$T$65:$X$85,3,0)*Model0.1C!AE168)/0.9</f>
        <v>#N/A</v>
      </c>
      <c r="AH168" s="102" t="e">
        <f t="shared" si="239"/>
        <v>#N/A</v>
      </c>
      <c r="AI168" s="102" t="e">
        <f t="shared" si="240"/>
        <v>#N/A</v>
      </c>
      <c r="AJ168" s="414" t="e">
        <f>IF(AJ167=0,0,IF(AND(AF168&gt;charge_ELS_quasi,AG168&gt;Charge_ELS_freq,AH168&gt;charge_ELU,AI168&gt;charge_ELA,$B168&gt;NDC!$H$22-0.1+MIN(3*$AJ$12,1.5)),0,1))</f>
        <v>#N/A</v>
      </c>
      <c r="AK168" s="86" t="b">
        <f t="shared" si="241"/>
        <v>0</v>
      </c>
      <c r="AL168" s="86">
        <f t="shared" si="270"/>
        <v>0.5</v>
      </c>
      <c r="AM168" s="86">
        <f t="shared" si="242"/>
        <v>0.5</v>
      </c>
      <c r="AN168" s="30" t="e">
        <f t="shared" ca="1" si="271"/>
        <v>#DIV/0!</v>
      </c>
      <c r="AO168" s="85" t="e">
        <f ca="1">IF(U168&lt;=Hypothèses!$V$7,Hypothèses!$W$7,IF(U168&lt;=Hypothèses!$V$8,Hypothèses!$W$8,IF(U168&lt;=Hypothèses!$V$9,Hypothèses!$W$9,IF(U168&lt;=Hypothèses!$V$10,Hypothèses!$W$10,IF(U168&lt;=Hypothèses!$V$11,Hypothèses!$W$11,IF(U168&lt;=Hypothèses!$V$12,Hypothèses!$W$12,IF(U168&lt;=Hypothèses!$V$13,Hypothèses!$W$13,IF(U168&lt;=Hypothèses!$V$14,Hypothèses!$W$14,IF(U168&lt;=Hypothèses!$V$15,Hypothèses!$W$15,IF(U168&lt;=Hypothèses!$V$16,Hypothèses!$W$16,IF(U168&lt;=Hypothèses!$V$17,Hypothèses!$W$17,IF(U168&lt;=Hypothèses!$V$18,Hypothèses!$W$18,""))))))))))))</f>
        <v>#DIV/0!</v>
      </c>
      <c r="AP168" s="87" t="e">
        <f t="shared" ca="1" si="317"/>
        <v>#DIV/0!</v>
      </c>
      <c r="AQ168" s="88" t="e">
        <f ca="1">IF(U168&lt;=Hypothèses!$V$7,Hypothèses!$X$7,IF(U168&lt;=Hypothèses!$V$8,Hypothèses!$X$8,IF(U168&lt;=Hypothèses!$V$9,Hypothèses!$X$9,IF(U168&lt;=Hypothèses!$V$10,Hypothèses!$X$10,IF(U168&lt;=Hypothèses!$V$11,Hypothèses!$X$11,IF(U168&lt;=Hypothèses!$V$12,Hypothèses!$X$12,IF(U168&lt;=Hypothèses!$V$13,Hypothèses!$X$13,IF(U168&lt;=Hypothèses!$V$14,Hypothèses!$X$14,IF(U168&lt;=Hypothèses!$V$15,Hypothèses!$X$15,IF(U168&lt;=Hypothèses!$V$16,Hypothèses!$X$16,IF(U168&lt;=Hypothèses!$U$17,Hypothèses!$W$17,IF(U168&lt;=Hypothèses!$U$18,Hypothèses!$W$18,""))))))))))))</f>
        <v>#DIV/0!</v>
      </c>
      <c r="AR168" s="95" t="e">
        <f t="shared" ca="1" si="272"/>
        <v>#DIV/0!</v>
      </c>
      <c r="AS168" s="101" t="e">
        <f t="shared" si="324"/>
        <v>#N/A</v>
      </c>
      <c r="AT168" s="91" t="e">
        <f t="shared" si="243"/>
        <v>#N/A</v>
      </c>
      <c r="AU168" s="30" t="e">
        <f t="shared" si="302"/>
        <v>#N/A</v>
      </c>
      <c r="AV168" s="30" t="e">
        <f t="shared" si="303"/>
        <v>#N/A</v>
      </c>
      <c r="AW168" s="31" t="e">
        <f>IF(OR(Hypothèses!$B$4=17,Hypothèses!$B$4=18,Hypothèses!$B$4=19,Hypothèses!$B$4=20),
IF($D168="Pressio.",
IF(OR($E168=3,$E168=1,$E168=4),AV168,AU168),
IF($D168="Pénétro.",
IF(OR($E168=3,$E168=1,$E168=4),AV168,AU168))),IF($D168="Pressio.",
IF($E168=3,AV168,AU168),
IF($D168="Pénétro.",
IF($E168=4,AV168,AU168))))</f>
        <v>#N/A</v>
      </c>
      <c r="AX168" s="31" t="e">
        <f>(IF(OR(Hypothèses!$B$4=17,Hypothèses!$B$4=18,Hypothèses!$B$4=19,Hypothèses!$B$4=20),
IF($D168="Pressio.",
IF(OR($E168=3,$E168=1,$E168=4),(PI()*AX$12^2)/4*(AT168*$W168*1000)/($H168*$B$5),(PI()*AX$12^2)/4*(AT168*$W168*1000)/($G168*$B$5)),
IF($D168="Pénétro.",
IF(OR($E168=4,$E168=1,$E168=5),(PI()*AX$12^2)/4*(AT168*$W168*1000)/($H168*$B$5),(PI()*AX$12^2)/4*(AT168*$W168*1000)/($G168*$B$5)))),
IF($D168="Pressio.",
IF($E168=3,(PI()*AX$12^2)/4*(AT168*$W168*1000)/($H168*$B$5),(PI()*AX$12^2)/4*(AT168*$W168*1000)/($G168*$B$5)),
IF($D168="Pénétro.",
IF($E168=4,(PI()*AX$12^2)/4*(AT168*$W168*1000)/($H168*$B$5),(PI()*AX$12^2)/4*(AT168*$W168*1000)/($G168*$B$5))))))/10</f>
        <v>#N/A</v>
      </c>
      <c r="AY168" s="102" t="e">
        <f>(VLOOKUP($B$3,'Coeff EC7'!$T$39:$X$59,2,0)*AW168+VLOOKUP($B$3,'Coeff EC7'!$T$65:$X$85,2,0)*Model0.1C!AX168)/1.1</f>
        <v>#N/A</v>
      </c>
      <c r="AZ168" s="102" t="e">
        <f>(VLOOKUP($B$3,'Coeff EC7'!$T$39:$X$59,3,0)*AW168+VLOOKUP($B$3,'Coeff EC7'!$T$65:$X$85,3,0)*Model0.1C!AX168)/0.9</f>
        <v>#N/A</v>
      </c>
      <c r="BA168" s="102" t="e">
        <f t="shared" si="273"/>
        <v>#N/A</v>
      </c>
      <c r="BB168" s="102" t="e">
        <f t="shared" si="274"/>
        <v>#N/A</v>
      </c>
      <c r="BC168" s="414" t="e">
        <f>IF(BC167=0,0,IF(AND(AY168&gt;charge_ELS_quasi,AZ168&gt;Charge_ELS_freq,BA168&gt;charge_ELU,BB168&gt;charge_ELA,$B168&gt;NDC!$H$22-0.1+MIN(3*$BC$12,1.5)),0,1))</f>
        <v>#N/A</v>
      </c>
      <c r="BD168" s="86" t="b">
        <f t="shared" si="244"/>
        <v>0</v>
      </c>
      <c r="BE168" s="86">
        <f t="shared" si="275"/>
        <v>0.5</v>
      </c>
      <c r="BF168" s="86">
        <f t="shared" si="245"/>
        <v>0.5</v>
      </c>
      <c r="BG168" s="30" t="e">
        <f t="shared" ca="1" si="276"/>
        <v>#DIV/0!</v>
      </c>
      <c r="BH168" s="85" t="e">
        <f ca="1">IF(AN168&lt;=Hypothèses!$V$7,Hypothèses!$W$7,IF(AN168&lt;=Hypothèses!$V$8,Hypothèses!$W$8,IF(AN168&lt;=Hypothèses!$V$9,Hypothèses!$W$9,IF(AN168&lt;=Hypothèses!$V$10,Hypothèses!$W$10,IF(AN168&lt;=Hypothèses!$V$11,Hypothèses!$W$11,IF(AN168&lt;=Hypothèses!$V$12,Hypothèses!$W$12,IF(AN168&lt;=Hypothèses!$V$13,Hypothèses!$W$13,IF(AN168&lt;=Hypothèses!$V$14,Hypothèses!$W$14,IF(AN168&lt;=Hypothèses!$V$15,Hypothèses!$W$15,IF(AN168&lt;=Hypothèses!$V$16,Hypothèses!$W$16,IF(AN168&lt;=Hypothèses!$V$17,Hypothèses!$W$17,IF(AN168&lt;=Hypothèses!$V$18,Hypothèses!$W$18,""))))))))))))</f>
        <v>#DIV/0!</v>
      </c>
      <c r="BI168" s="87" t="e">
        <f t="shared" ca="1" si="318"/>
        <v>#DIV/0!</v>
      </c>
      <c r="BJ168" s="88" t="e">
        <f ca="1">IF(AN168&lt;=Hypothèses!$V$7,Hypothèses!$X$7,IF(AN168&lt;=Hypothèses!$V$8,Hypothèses!$X$8,IF(AN168&lt;=Hypothèses!$V$9,Hypothèses!$X$9,IF(AN168&lt;=Hypothèses!$V$10,Hypothèses!$X$10,IF(AN168&lt;=Hypothèses!$V$11,Hypothèses!$X$11,IF(AN168&lt;=Hypothèses!$V$12,Hypothèses!$X$12,IF(AN168&lt;=Hypothèses!$V$13,Hypothèses!$X$13,IF(AN168&lt;=Hypothèses!$V$14,Hypothèses!$X$14,IF(AN168&lt;=Hypothèses!$V$15,Hypothèses!$X$15,IF(AN168&lt;=Hypothèses!$V$16,Hypothèses!$X$16,IF(AN168&lt;=Hypothèses!$U$17,Hypothèses!$W$17,IF(AN168&lt;=Hypothèses!$U$18,Hypothèses!$W$18,""))))))))))))</f>
        <v>#DIV/0!</v>
      </c>
      <c r="BK168" s="95" t="e">
        <f t="shared" ca="1" si="277"/>
        <v>#DIV/0!</v>
      </c>
      <c r="BL168" s="101" t="e">
        <f t="shared" si="325"/>
        <v>#N/A</v>
      </c>
      <c r="BM168" s="91" t="e">
        <f t="shared" si="246"/>
        <v>#N/A</v>
      </c>
      <c r="BN168" s="30" t="e">
        <f t="shared" si="304"/>
        <v>#N/A</v>
      </c>
      <c r="BO168" s="30" t="e">
        <f t="shared" si="305"/>
        <v>#N/A</v>
      </c>
      <c r="BP168" s="31" t="e">
        <f>IF(OR(Hypothèses!$B$4=17,Hypothèses!$B$4=18,Hypothèses!$B$4=19,Hypothèses!$B$4=20),
IF($D168="Pressio.",
IF(OR($E168=3,$E168=1,$E168=4),BO168,BN168),
IF($D168="Pénétro.",
IF(OR($E168=3,$E168=1,$E168=4),BO168,BN168))),IF($D168="Pressio.",
IF($E168=3,BO168,BN168),
IF($D168="Pénétro.",
IF($E168=4,BO168,BN168))))</f>
        <v>#N/A</v>
      </c>
      <c r="BQ168" s="31" t="e">
        <f>(IF(OR(Hypothèses!$B$4=17,Hypothèses!$B$4=18,Hypothèses!$B$4=19,Hypothèses!$B$4=20),
IF($D168="Pressio.",
IF(OR($E168=3,$E168=1,$E168=4),(PI()*BQ$12^2)/4*(BM168*$W168*1000)/($H168*$B$5),(PI()*BQ$12^2)/4*(BM168*$W168*1000)/($G168*$B$5)),
IF($D168="Pénétro.",
IF(OR($E168=4,$E168=1,$E168=5),(PI()*BQ$12^2)/4*(BM168*$W168*1000)/($H168*$B$5),(PI()*BQ$12^2)/4*(BM168*$W168*1000)/($G168*$B$5)))),
IF($D168="Pressio.",
IF($E168=3,(PI()*BQ$12^2)/4*(BM168*$W168*1000)/($H168*$B$5),(PI()*BQ$12^2)/4*(BM168*$W168*1000)/($G168*$B$5)),
IF($D168="Pénétro.",
IF($E168=4,(PI()*BQ$12^2)/4*(BM168*$W168*1000)/($H168*$B$5),(PI()*BQ$12^2)/4*(BM168*$W168*1000)/($G168*$B$5))))))/10</f>
        <v>#N/A</v>
      </c>
      <c r="BR168" s="102" t="e">
        <f>(VLOOKUP($B$3,'Coeff EC7'!$T$39:$X$59,2,0)*BP168+VLOOKUP($B$3,'Coeff EC7'!$T$65:$X$85,2,0)*Model0.1C!BQ168)/1.1</f>
        <v>#N/A</v>
      </c>
      <c r="BS168" s="102" t="e">
        <f>(VLOOKUP($B$3,'Coeff EC7'!$T$39:$X$59,3,0)*BP168+VLOOKUP($B$3,'Coeff EC7'!$T$65:$X$85,3,0)*Model0.1C!BQ168)/0.9</f>
        <v>#N/A</v>
      </c>
      <c r="BT168" s="102" t="e">
        <f t="shared" si="278"/>
        <v>#N/A</v>
      </c>
      <c r="BU168" s="102" t="e">
        <f t="shared" si="279"/>
        <v>#N/A</v>
      </c>
      <c r="BV168" s="414" t="e">
        <f>IF(BV167=0,0,IF(AND(BR168&gt;charge_ELS_quasi,BS168&gt;Charge_ELS_freq,BT168&gt;charge_ELU,BU168&gt;charge_ELA,$B168&gt;NDC!$H$22-0.1+MIN(3*$BV$12,1.5)),0,1))</f>
        <v>#N/A</v>
      </c>
      <c r="BW168" s="86" t="b">
        <f t="shared" si="247"/>
        <v>0</v>
      </c>
      <c r="BX168" s="86">
        <f t="shared" si="248"/>
        <v>0.5</v>
      </c>
      <c r="BY168" s="86">
        <f t="shared" si="249"/>
        <v>0.5</v>
      </c>
      <c r="BZ168" s="30" t="e">
        <f t="shared" ca="1" si="280"/>
        <v>#DIV/0!</v>
      </c>
      <c r="CA168" s="85" t="e">
        <f ca="1">IF(BG168&lt;=Hypothèses!$V$7,Hypothèses!$W$7,IF(BG168&lt;=Hypothèses!$V$8,Hypothèses!$W$8,IF(BG168&lt;=Hypothèses!$V$9,Hypothèses!$W$9,IF(BG168&lt;=Hypothèses!$V$10,Hypothèses!$W$10,IF(BG168&lt;=Hypothèses!$V$11,Hypothèses!$W$11,IF(BG168&lt;=Hypothèses!$V$12,Hypothèses!$W$12,IF(BG168&lt;=Hypothèses!$V$13,Hypothèses!$W$13,IF(BG168&lt;=Hypothèses!$V$14,Hypothèses!$W$14,IF(BG168&lt;=Hypothèses!$V$15,Hypothèses!$W$15,IF(BG168&lt;=Hypothèses!$V$16,Hypothèses!$W$16,IF(BG168&lt;=Hypothèses!$V$17,Hypothèses!$W$17,IF(BG168&lt;=Hypothèses!$V$18,Hypothèses!$W$18,""))))))))))))</f>
        <v>#DIV/0!</v>
      </c>
      <c r="CB168" s="87" t="e">
        <f t="shared" ca="1" si="319"/>
        <v>#DIV/0!</v>
      </c>
      <c r="CC168" s="88" t="e">
        <f ca="1">IF(BG168&lt;=Hypothèses!$V$7,Hypothèses!$X$7,IF(BG168&lt;=Hypothèses!$V$8,Hypothèses!$X$8,IF(BG168&lt;=Hypothèses!$V$9,Hypothèses!$X$9,IF(BG168&lt;=Hypothèses!$V$10,Hypothèses!$X$10,IF(BG168&lt;=Hypothèses!$V$11,Hypothèses!$X$11,IF(BG168&lt;=Hypothèses!$V$12,Hypothèses!$X$12,IF(BG168&lt;=Hypothèses!$V$13,Hypothèses!$X$13,IF(BG168&lt;=Hypothèses!$V$14,Hypothèses!$X$14,IF(BG168&lt;=Hypothèses!$V$15,Hypothèses!$X$15,IF(BG168&lt;=Hypothèses!$V$16,Hypothèses!$X$16,IF(BG168&lt;=Hypothèses!$U$17,Hypothèses!$W$17,IF(BG168&lt;=Hypothèses!$U$18,Hypothèses!$W$18,""))))))))))))</f>
        <v>#DIV/0!</v>
      </c>
      <c r="CD168" s="95" t="e">
        <f t="shared" ca="1" si="281"/>
        <v>#DIV/0!</v>
      </c>
      <c r="CE168" s="101" t="e">
        <f t="shared" si="326"/>
        <v>#N/A</v>
      </c>
      <c r="CF168" s="91" t="e">
        <f t="shared" si="250"/>
        <v>#N/A</v>
      </c>
      <c r="CG168" s="30" t="e">
        <f t="shared" si="306"/>
        <v>#N/A</v>
      </c>
      <c r="CH168" s="30" t="e">
        <f t="shared" si="307"/>
        <v>#N/A</v>
      </c>
      <c r="CI168" s="31" t="e">
        <f>IF(OR(Hypothèses!$B$4=17,Hypothèses!$B$4=18,Hypothèses!$B$4=19,Hypothèses!$B$4=20),
IF($D168="Pressio.",
IF(OR($E168=3,$E168=1,$E168=4),CH168,CG168),
IF($D168="Pénétro.",
IF(OR($E168=3,$E168=1,$E168=4),CH168,CG168))),IF($D168="Pressio.",
IF($E168=3,CH168,CG168),
IF($D168="Pénétro.",
IF($E168=4,CH168,CG168))))</f>
        <v>#N/A</v>
      </c>
      <c r="CJ168" s="31" t="e">
        <f>(IF(OR(Hypothèses!$B$4=17,Hypothèses!$B$4=18,Hypothèses!$B$4=19,Hypothèses!$B$4=20),
IF($D168="Pressio.",
IF(OR($E168=3,$E168=1,$E168=4),(PI()*CJ$12^2)/4*(CF168*$W168*1000)/($H168*$B$5),(PI()*CJ$12^2)/4*(CF168*$W168*1000)/($G168*$B$5)),
IF($D168="Pénétro.",
IF(OR($E168=4,$E168=1,$E168=5),(PI()*CJ$12^2)/4*(CF168*$W168*1000)/($H168*$B$5),(PI()*CJ$12^2)/4*(CF168*$W168*1000)/($G168*$B$5)))),
IF($D168="Pressio.",
IF($E168=3,(PI()*CJ$12^2)/4*(CF168*$W168*1000)/($H168*$B$5),(PI()*CJ$12^2)/4*(CF168*$W168*1000)/($G168*$B$5)),
IF($D168="Pénétro.",
IF($E168=4,(PI()*CJ$12^2)/4*(CF168*$W168*1000)/($H168*$B$5),(PI()*CJ$12^2)/4*(CF168*$W168*1000)/($G168*$B$5))))))/10</f>
        <v>#N/A</v>
      </c>
      <c r="CK168" s="102" t="e">
        <f>(VLOOKUP($B$3,'Coeff EC7'!$T$39:$X$59,2,0)*CI168+VLOOKUP($B$3,'Coeff EC7'!$T$65:$X$85,2,0)*Model0.1C!CJ168)/1.1</f>
        <v>#N/A</v>
      </c>
      <c r="CL168" s="102" t="e">
        <f>(VLOOKUP($B$3,'Coeff EC7'!$T$39:$X$59,3,0)*CI168+VLOOKUP($B$3,'Coeff EC7'!$T$65:$X$85,3,0)*Model0.1C!CJ168)/0.9</f>
        <v>#N/A</v>
      </c>
      <c r="CM168" s="102" t="e">
        <f t="shared" si="282"/>
        <v>#N/A</v>
      </c>
      <c r="CN168" s="102" t="e">
        <f t="shared" si="283"/>
        <v>#N/A</v>
      </c>
      <c r="CO168" s="414" t="e">
        <f>IF(CO167=0,0,IF(AND(CK168&gt;charge_ELS_quasi,CL168&gt;Charge_ELS_freq,CM168&gt;charge_ELU,CN168&gt;charge_ELA,$B168&gt;NDC!$H$22-0.1+MIN(3*$CO$12,1.5)),0,1))</f>
        <v>#N/A</v>
      </c>
      <c r="CP168" s="86" t="b">
        <f t="shared" si="251"/>
        <v>0</v>
      </c>
      <c r="CQ168" s="86">
        <f t="shared" si="252"/>
        <v>0.5</v>
      </c>
      <c r="CR168" s="86">
        <f t="shared" si="253"/>
        <v>0.5</v>
      </c>
      <c r="CS168" s="30" t="e">
        <f t="shared" ca="1" si="284"/>
        <v>#DIV/0!</v>
      </c>
      <c r="CT168" s="85" t="e">
        <f ca="1">IF(BZ168&lt;=Hypothèses!$V$7,Hypothèses!$W$7,IF(BZ168&lt;=Hypothèses!$V$8,Hypothèses!$W$8,IF(BZ168&lt;=Hypothèses!$V$9,Hypothèses!$W$9,IF(BZ168&lt;=Hypothèses!$V$10,Hypothèses!$W$10,IF(BZ168&lt;=Hypothèses!$V$11,Hypothèses!$W$11,IF(BZ168&lt;=Hypothèses!$V$12,Hypothèses!$W$12,IF(BZ168&lt;=Hypothèses!$V$13,Hypothèses!$W$13,IF(BZ168&lt;=Hypothèses!$V$14,Hypothèses!$W$14,IF(BZ168&lt;=Hypothèses!$V$15,Hypothèses!$W$15,IF(BZ168&lt;=Hypothèses!$V$16,Hypothèses!$W$16,IF(BZ168&lt;=Hypothèses!$V$17,Hypothèses!$W$17,IF(BZ168&lt;=Hypothèses!$V$18,Hypothèses!$W$18,""))))))))))))</f>
        <v>#DIV/0!</v>
      </c>
      <c r="CU168" s="87" t="e">
        <f t="shared" ca="1" si="320"/>
        <v>#DIV/0!</v>
      </c>
      <c r="CV168" s="88" t="e">
        <f ca="1">IF(BZ168&lt;=Hypothèses!$V$7,Hypothèses!$X$7,IF(BZ168&lt;=Hypothèses!$V$8,Hypothèses!$X$8,IF(BZ168&lt;=Hypothèses!$V$9,Hypothèses!$X$9,IF(BZ168&lt;=Hypothèses!$V$10,Hypothèses!$X$10,IF(BZ168&lt;=Hypothèses!$V$11,Hypothèses!$X$11,IF(BZ168&lt;=Hypothèses!$V$12,Hypothèses!$X$12,IF(BZ168&lt;=Hypothèses!$V$13,Hypothèses!$X$13,IF(BZ168&lt;=Hypothèses!$V$14,Hypothèses!$X$14,IF(BZ168&lt;=Hypothèses!$V$15,Hypothèses!$X$15,IF(BZ168&lt;=Hypothèses!$V$16,Hypothèses!$X$16,IF(BZ168&lt;=Hypothèses!$U$17,Hypothèses!$W$17,IF(BZ168&lt;=Hypothèses!$U$18,Hypothèses!$W$18,""))))))))))))</f>
        <v>#DIV/0!</v>
      </c>
      <c r="CW168" s="95" t="e">
        <f t="shared" ca="1" si="285"/>
        <v>#DIV/0!</v>
      </c>
      <c r="CX168" s="101" t="e">
        <f t="shared" si="327"/>
        <v>#N/A</v>
      </c>
      <c r="CY168" s="91" t="e">
        <f t="shared" si="254"/>
        <v>#N/A</v>
      </c>
      <c r="CZ168" s="30" t="e">
        <f t="shared" si="308"/>
        <v>#N/A</v>
      </c>
      <c r="DA168" s="30" t="e">
        <f t="shared" si="309"/>
        <v>#N/A</v>
      </c>
      <c r="DB168" s="31" t="e">
        <f>IF(OR(Hypothèses!$B$4=17,Hypothèses!$B$4=18,Hypothèses!$B$4=19,Hypothèses!$B$4=20),
IF($D168="Pressio.",
IF(OR($E168=3,$E168=1,$E168=4),DA168,CZ168),
IF($D168="Pénétro.",
IF(OR($E168=3,$E168=1,$E168=4),DA168,CZ168))),IF($D168="Pressio.",
IF($E168=3,DA168,CZ168),
IF($D168="Pénétro.",
IF($E168=4,DA168,CZ168))))</f>
        <v>#N/A</v>
      </c>
      <c r="DC168" s="31" t="e">
        <f>(IF(OR(Hypothèses!$B$4=17,Hypothèses!$B$4=18,Hypothèses!$B$4=19,Hypothèses!$B$4=20),
IF($D168="Pressio.",
IF(OR($E168=3,$E168=1,$E168=4),(PI()*DC$12^2)/4*(CY168*$W168*1000)/($H168*$B$5),(PI()*DC$12^2)/4*(CY168*$W168*1000)/($G168*$B$5)),
IF($D168="Pénétro.",
IF(OR($E168=4,$E168=1,$E168=5),(PI()*DC$12^2)/4*(CY168*$W168*1000)/($H168*$B$5),(PI()*DC$12^2)/4*(CY168*$W168*1000)/($G168*$B$5)))),
IF($D168="Pressio.",
IF($E168=3,(PI()*DC$12^2)/4*(CY168*$W168*1000)/($H168*$B$5),(PI()*DC$12^2)/4*(CY168*$W168*1000)/($G168*$B$5)),
IF($D168="Pénétro.",
IF($E168=4,(PI()*DC$12^2)/4*(CY168*$W168*1000)/($H168*$B$5),(PI()*DC$12^2)/4*(CY168*$W168*1000)/($G168*$B$5))))))/10</f>
        <v>#N/A</v>
      </c>
      <c r="DD168" s="102" t="e">
        <f>(VLOOKUP($B$3,'Coeff EC7'!$T$39:$X$59,2,0)*DB168+VLOOKUP($B$3,'Coeff EC7'!$T$65:$X$85,2,0)*Model0.1C!DC168)/1.1</f>
        <v>#N/A</v>
      </c>
      <c r="DE168" s="102" t="e">
        <f>(VLOOKUP($B$3,'Coeff EC7'!$T$39:$X$59,3,0)*DB168+VLOOKUP($B$3,'Coeff EC7'!$T$65:$X$85,3,0)*Model0.1C!DC168)/0.9</f>
        <v>#N/A</v>
      </c>
      <c r="DF168" s="102" t="e">
        <f t="shared" si="286"/>
        <v>#N/A</v>
      </c>
      <c r="DG168" s="102" t="e">
        <f t="shared" si="287"/>
        <v>#N/A</v>
      </c>
      <c r="DH168" s="414" t="e">
        <f>IF(DH167=0,0,IF(AND(DD168&gt;charge_ELS_quasi,DE168&gt;Charge_ELS_freq,DF168&gt;charge_ELU,DG168&gt;charge_ELA,$B168&gt;NDC!$H$22-0.1+MIN(3*$DH$12,1.5)),0,1))</f>
        <v>#N/A</v>
      </c>
      <c r="DI168" s="86" t="b">
        <f t="shared" si="255"/>
        <v>0</v>
      </c>
      <c r="DJ168" s="86">
        <f t="shared" si="256"/>
        <v>0.5</v>
      </c>
      <c r="DK168" s="86">
        <f t="shared" si="257"/>
        <v>0.5</v>
      </c>
      <c r="DL168" s="30" t="e">
        <f t="shared" ca="1" si="288"/>
        <v>#DIV/0!</v>
      </c>
      <c r="DM168" s="85" t="e">
        <f ca="1">IF(CS168&lt;=Hypothèses!$V$7,Hypothèses!$W$7,IF(CS168&lt;=Hypothèses!$V$8,Hypothèses!$W$8,IF(CS168&lt;=Hypothèses!$V$9,Hypothèses!$W$9,IF(CS168&lt;=Hypothèses!$V$10,Hypothèses!$W$10,IF(CS168&lt;=Hypothèses!$V$11,Hypothèses!$W$11,IF(CS168&lt;=Hypothèses!$V$12,Hypothèses!$W$12,IF(CS168&lt;=Hypothèses!$V$13,Hypothèses!$W$13,IF(CS168&lt;=Hypothèses!$V$14,Hypothèses!$W$14,IF(CS168&lt;=Hypothèses!$V$15,Hypothèses!$W$15,IF(CS168&lt;=Hypothèses!$V$16,Hypothèses!$W$16,IF(CS168&lt;=Hypothèses!$V$17,Hypothèses!$W$17,IF(CS168&lt;=Hypothèses!$V$18,Hypothèses!$W$18,""))))))))))))</f>
        <v>#DIV/0!</v>
      </c>
      <c r="DN168" s="87" t="e">
        <f t="shared" ca="1" si="321"/>
        <v>#DIV/0!</v>
      </c>
      <c r="DO168" s="88" t="e">
        <f ca="1">IF(CS168&lt;=Hypothèses!$V$7,Hypothèses!$X$7,IF(CS168&lt;=Hypothèses!$V$8,Hypothèses!$X$8,IF(CS168&lt;=Hypothèses!$V$9,Hypothèses!$X$9,IF(CS168&lt;=Hypothèses!$V$10,Hypothèses!$X$10,IF(CS168&lt;=Hypothèses!$V$11,Hypothèses!$X$11,IF(CS168&lt;=Hypothèses!$V$12,Hypothèses!$X$12,IF(CS168&lt;=Hypothèses!$V$13,Hypothèses!$X$13,IF(CS168&lt;=Hypothèses!$V$14,Hypothèses!$X$14,IF(CS168&lt;=Hypothèses!$V$15,Hypothèses!$X$15,IF(CS168&lt;=Hypothèses!$V$16,Hypothèses!$X$16,IF(CS168&lt;=Hypothèses!$U$17,Hypothèses!$W$17,IF(CS168&lt;=Hypothèses!$U$18,Hypothèses!$W$18,""))))))))))))</f>
        <v>#DIV/0!</v>
      </c>
      <c r="DP168" s="95" t="e">
        <f t="shared" ca="1" si="289"/>
        <v>#DIV/0!</v>
      </c>
      <c r="DQ168" s="101" t="e">
        <f t="shared" si="328"/>
        <v>#N/A</v>
      </c>
      <c r="DR168" s="91" t="e">
        <f t="shared" si="258"/>
        <v>#N/A</v>
      </c>
      <c r="DS168" s="30" t="e">
        <f t="shared" si="310"/>
        <v>#N/A</v>
      </c>
      <c r="DT168" s="30" t="e">
        <f t="shared" si="311"/>
        <v>#N/A</v>
      </c>
      <c r="DU168" s="31" t="e">
        <f>IF(OR(Hypothèses!$B$4=17,Hypothèses!$B$4=18,Hypothèses!$B$4=19,Hypothèses!$B$4=20),
IF($D168="Pressio.",
IF(OR($E168=3,$E168=1,$E168=4),DT168,DS168),
IF($D168="Pénétro.",
IF(OR($E168=3,$E168=1,$E168=4),DT168,DS168))),IF($D168="Pressio.",
IF($E168=3,DT168,DS168),
IF($D168="Pénétro.",
IF($E168=4,DT168,DS168))))</f>
        <v>#N/A</v>
      </c>
      <c r="DV168" s="31" t="e">
        <f>(IF(OR(Hypothèses!$B$4=17,Hypothèses!$B$4=18,Hypothèses!$B$4=19,Hypothèses!$B$4=20),
IF($D168="Pressio.",
IF(OR($E168=3,$E168=1,$E168=4),(PI()*DV$12^2)/4*(DR168*$W168*1000)/($H168*$B$5),(PI()*DV$12^2)/4*(DR168*$W168*1000)/($G168*$B$5)),
IF($D168="Pénétro.",
IF(OR($E168=4,$E168=1,$E168=5),(PI()*DV$12^2)/4*(DR168*$W168*1000)/($H168*$B$5),(PI()*DV$12^2)/4*(DR168*$W168*1000)/($G168*$B$5)))),
IF($D168="Pressio.",
IF($E168=3,(PI()*DV$12^2)/4*(DR168*$W168*1000)/($H168*$B$5),(PI()*DV$12^2)/4*(DR168*$W168*1000)/($G168*$B$5)),
IF($D168="Pénétro.",
IF($E168=4,(PI()*DV$12^2)/4*(DR168*$W168*1000)/($H168*$B$5),(PI()*DV$12^2)/4*(DR168*$W168*1000)/($G168*$B$5))))))/10</f>
        <v>#N/A</v>
      </c>
      <c r="DW168" s="102" t="e">
        <f>(VLOOKUP($B$3,'Coeff EC7'!$T$39:$X$59,2,0)*DU168+VLOOKUP($B$3,'Coeff EC7'!$T$65:$X$85,2,0)*Model0.1C!DV168)/1.1</f>
        <v>#N/A</v>
      </c>
      <c r="DX168" s="102" t="e">
        <f>(VLOOKUP($B$3,'Coeff EC7'!$T$39:$X$59,3,0)*DU168+VLOOKUP($B$3,'Coeff EC7'!$T$65:$X$85,3,0)*Model0.1C!DV168)/0.9</f>
        <v>#N/A</v>
      </c>
      <c r="DY168" s="102" t="e">
        <f t="shared" si="290"/>
        <v>#N/A</v>
      </c>
      <c r="DZ168" s="102" t="e">
        <f t="shared" si="291"/>
        <v>#N/A</v>
      </c>
      <c r="EA168" s="414" t="e">
        <f>IF(EA167=0,0,IF(AND(DW168&gt;charge_ELS_quasi,DX168&gt;Charge_ELS_freq,DY168&gt;charge_ELU,DZ168&gt;charge_ELA,$B168&gt;NDC!$H$22-0.1+MIN(3*$EA$12,1.5)),0,1))</f>
        <v>#N/A</v>
      </c>
      <c r="EB168" s="86" t="b">
        <f t="shared" si="259"/>
        <v>0</v>
      </c>
      <c r="EC168" s="418">
        <f t="shared" si="260"/>
        <v>0.51</v>
      </c>
      <c r="ED168" s="86">
        <f t="shared" si="261"/>
        <v>0.51</v>
      </c>
      <c r="EE168" s="30" t="e">
        <f t="shared" ca="1" si="292"/>
        <v>#DIV/0!</v>
      </c>
      <c r="EF168" s="85" t="e">
        <f ca="1">IF(DL168&lt;=Hypothèses!$V$7,Hypothèses!$W$7,IF(DL168&lt;=Hypothèses!$V$8,Hypothèses!$W$8,IF(DL168&lt;=Hypothèses!$V$9,Hypothèses!$W$9,IF(DL168&lt;=Hypothèses!$V$10,Hypothèses!$W$10,IF(DL168&lt;=Hypothèses!$V$11,Hypothèses!$W$11,IF(DL168&lt;=Hypothèses!$V$12,Hypothèses!$W$12,IF(DL168&lt;=Hypothèses!$V$13,Hypothèses!$W$13,IF(DL168&lt;=Hypothèses!$V$14,Hypothèses!$W$14,IF(DL168&lt;=Hypothèses!$V$15,Hypothèses!$W$15,IF(DL168&lt;=Hypothèses!$V$16,Hypothèses!$W$16,IF(DL168&lt;=Hypothèses!$V$17,Hypothèses!$W$17,IF(DL168&lt;=Hypothèses!$V$18,Hypothèses!$W$18,""))))))))))))</f>
        <v>#DIV/0!</v>
      </c>
      <c r="EG168" s="87" t="e">
        <f t="shared" ca="1" si="322"/>
        <v>#DIV/0!</v>
      </c>
      <c r="EH168" s="88" t="e">
        <f ca="1">IF(DL168&lt;=Hypothèses!$V$7,Hypothèses!$X$7,IF(DL168&lt;=Hypothèses!$V$8,Hypothèses!$X$8,IF(DL168&lt;=Hypothèses!$V$9,Hypothèses!$X$9,IF(DL168&lt;=Hypothèses!$V$10,Hypothèses!$X$10,IF(DL168&lt;=Hypothèses!$V$11,Hypothèses!$X$11,IF(DL168&lt;=Hypothèses!$V$12,Hypothèses!$X$12,IF(DL168&lt;=Hypothèses!$V$13,Hypothèses!$X$13,IF(DL168&lt;=Hypothèses!$V$14,Hypothèses!$X$14,IF(DL168&lt;=Hypothèses!$V$15,Hypothèses!$X$15,IF(DL168&lt;=Hypothèses!$V$16,Hypothèses!$X$16,IF(DL168&lt;=Hypothèses!$U$17,Hypothèses!$W$17,IF(DL168&lt;=Hypothèses!$U$18,Hypothèses!$W$18,""))))))))))))</f>
        <v>#DIV/0!</v>
      </c>
      <c r="EI168" s="95" t="e">
        <f t="shared" ca="1" si="293"/>
        <v>#DIV/0!</v>
      </c>
      <c r="EJ168" s="101" t="e">
        <f t="shared" si="329"/>
        <v>#N/A</v>
      </c>
      <c r="EK168" s="91" t="e">
        <f t="shared" si="262"/>
        <v>#N/A</v>
      </c>
      <c r="EL168" s="30" t="e">
        <f t="shared" si="312"/>
        <v>#N/A</v>
      </c>
      <c r="EM168" s="30" t="e">
        <f t="shared" si="313"/>
        <v>#N/A</v>
      </c>
      <c r="EN168" s="31" t="e">
        <f>IF(OR(Hypothèses!$B$4=17,Hypothèses!$B$4=18,Hypothèses!$B$4=19,Hypothèses!$B$4=20),
IF($D168="Pressio.",
IF(OR($E168=3,$E168=1,$E168=4),EM168,EL168),
IF($D168="Pénétro.",
IF(OR($E168=3,$E168=1,$E168=4),EM168,EL168))),IF($D168="Pressio.",
IF($E168=3,EM168,EL168),
IF($D168="Pénétro.",
IF($E168=4,EM168,EL168))))</f>
        <v>#N/A</v>
      </c>
      <c r="EO168" s="31" t="e">
        <f>(IF(OR(Hypothèses!$B$4=17,Hypothèses!$B$4=18,Hypothèses!$B$4=19,Hypothèses!$B$4=20),
IF($D168="Pressio.",
IF(OR($E168=3,$E168=1,$E168=4),(PI()*EO$12^2)/4*(EK168*$W168*1000)/($H168*$B$5),(PI()*EO$12^2)/4*(EK168*$W168*1000)/($G168*$B$5)),
IF($D168="Pénétro.",
IF(OR($E168=4,$E168=1,$E168=5),(PI()*EO$12^2)/4*(EK168*$W168*1000)/($H168*$B$5),(PI()*EO$12^2)/4*(EK168*$W168*1000)/($G168*$B$5)))),
IF($D168="Pressio.",
IF($E168=3,(PI()*EO$12^2)/4*(EK168*$W168*1000)/($H168*$B$5),(PI()*EO$12^2)/4*(EK168*$W168*1000)/($G168*$B$5)),
IF($D168="Pénétro.",
IF($E168=4,(PI()*EO$12^2)/4*(EK168*$W168*1000)/($H168*$B$5),(PI()*EO$12^2)/4*(EK168*$W168*1000)/($G168*$B$5))))))/10</f>
        <v>#N/A</v>
      </c>
      <c r="EP168" s="102" t="e">
        <f>(VLOOKUP($B$3,'Coeff EC7'!$T$39:$X$59,2,0)*EN168+VLOOKUP($B$3,'Coeff EC7'!$T$65:$X$85,2,0)*Model0.1C!EO168)/1.1</f>
        <v>#N/A</v>
      </c>
      <c r="EQ168" s="102" t="e">
        <f>(VLOOKUP($B$3,'Coeff EC7'!$T$39:$X$59,3,0)*EN168+VLOOKUP($B$3,'Coeff EC7'!$T$65:$X$85,3,0)*Model0.1C!EO168)/0.9</f>
        <v>#N/A</v>
      </c>
      <c r="ER168" s="102" t="e">
        <f t="shared" si="294"/>
        <v>#N/A</v>
      </c>
      <c r="ES168" s="102" t="e">
        <f t="shared" si="295"/>
        <v>#N/A</v>
      </c>
      <c r="ET168" s="414" t="e">
        <f>IF(ET167=0,0,IF(AND(EP168&gt;charge_ELS_quasi,EQ168&gt;Charge_ELS_freq,ER168&gt;charge_ELU,ES168&gt;charge_ELA,$B168&gt;NDC!$H$22-0.1+MIN(3*$ET$12,1.5)),0,1))</f>
        <v>#N/A</v>
      </c>
      <c r="EU168" s="86" t="b">
        <f t="shared" si="263"/>
        <v>0</v>
      </c>
      <c r="EV168" s="86">
        <f t="shared" si="264"/>
        <v>0.61</v>
      </c>
      <c r="EW168" s="86">
        <f t="shared" si="265"/>
        <v>0.61</v>
      </c>
      <c r="EX168" s="30" t="e">
        <f t="shared" ca="1" si="296"/>
        <v>#DIV/0!</v>
      </c>
      <c r="EY168" s="85" t="e">
        <f ca="1">IF(EE168&lt;=Hypothèses!$V$7,Hypothèses!$W$7,IF(EE168&lt;=Hypothèses!$V$8,Hypothèses!$W$8,IF(EE168&lt;=Hypothèses!$V$9,Hypothèses!$W$9,IF(EE168&lt;=Hypothèses!$V$10,Hypothèses!$W$10,IF(EE168&lt;=Hypothèses!$V$11,Hypothèses!$W$11,IF(EE168&lt;=Hypothèses!$V$12,Hypothèses!$W$12,IF(EE168&lt;=Hypothèses!$V$13,Hypothèses!$W$13,IF(EE168&lt;=Hypothèses!$V$14,Hypothèses!$W$14,IF(EE168&lt;=Hypothèses!$V$15,Hypothèses!$W$15,IF(EE168&lt;=Hypothèses!$V$16,Hypothèses!$W$16,IF(EE168&lt;=Hypothèses!$V$17,Hypothèses!$W$17,IF(EE168&lt;=Hypothèses!$V$18,Hypothèses!$W$18,""))))))))))))</f>
        <v>#DIV/0!</v>
      </c>
      <c r="EZ168" s="87" t="e">
        <f t="shared" ca="1" si="323"/>
        <v>#DIV/0!</v>
      </c>
      <c r="FA168" s="88" t="e">
        <f ca="1">IF(EE168&lt;=Hypothèses!$V$7,Hypothèses!$X$7,IF(EE168&lt;=Hypothèses!$V$8,Hypothèses!$X$8,IF(EE168&lt;=Hypothèses!$V$9,Hypothèses!$X$9,IF(EE168&lt;=Hypothèses!$V$10,Hypothèses!$X$10,IF(EE168&lt;=Hypothèses!$V$11,Hypothèses!$X$11,IF(EE168&lt;=Hypothèses!$V$12,Hypothèses!$X$12,IF(EE168&lt;=Hypothèses!$V$13,Hypothèses!$X$13,IF(EE168&lt;=Hypothèses!$V$14,Hypothèses!$X$14,IF(EE168&lt;=Hypothèses!$V$15,Hypothèses!$X$15,IF(EE168&lt;=Hypothèses!$V$16,Hypothèses!$X$16,IF(EE168&lt;=Hypothèses!$U$17,Hypothèses!$W$17,IF(EE168&lt;=Hypothèses!$U$18,Hypothèses!$W$18,""))))))))))))</f>
        <v>#DIV/0!</v>
      </c>
      <c r="FB168" s="95" t="e">
        <f t="shared" ca="1" si="297"/>
        <v>#DIV/0!</v>
      </c>
      <c r="FC168" s="101" t="e">
        <f t="shared" si="330"/>
        <v>#N/A</v>
      </c>
      <c r="FD168" s="91" t="e">
        <f t="shared" si="266"/>
        <v>#N/A</v>
      </c>
      <c r="FE168" s="30" t="e">
        <f t="shared" si="314"/>
        <v>#N/A</v>
      </c>
      <c r="FF168" s="30" t="e">
        <f t="shared" si="315"/>
        <v>#N/A</v>
      </c>
      <c r="FG168" s="31" t="e">
        <f>IF(OR(Hypothèses!$B$4=17,Hypothèses!$B$4=18,Hypothèses!$B$4=19,Hypothèses!$B$4=20),
IF($D168="Pressio.",
IF(OR($E168=3,$E168=1,$E168=4),FF168,FE168),
IF($D168="Pénétro.",
IF(OR($E168=3,$E168=1,$E168=4),FF168,FE168))),IF($D168="Pressio.",
IF($E168=3,FF168,FE168),
IF($D168="Pénétro.",
IF($E168=4,FF168,FE168))))</f>
        <v>#N/A</v>
      </c>
      <c r="FH168" s="31" t="e">
        <f>(IF(OR(Hypothèses!$B$4=17,Hypothèses!$B$4=18,Hypothèses!$B$4=19,Hypothèses!$B$4=20),
IF($D168="Pressio.",
IF(OR($E168=3,$E168=1,$E168=4),(PI()*FH$12^2)/4*(FD168*$W168*1000)/($H168*$B$5),(PI()*FH$12^2)/4*(FD168*$W168*1000)/($G168*$B$5)),
IF($D168="Pénétro.",
IF(OR($E168=4,$E168=1,$E168=5),(PI()*FH$12^2)/4*(FD168*$W168*1000)/($H168*$B$5),(PI()*FH$12^2)/4*(FD168*$W168*1000)/($G168*$B$5)))),
IF($D168="Pressio.",
IF($E168=3,(PI()*FH$12^2)/4*(FD168*$W168*1000)/($H168*$B$5),(PI()*FH$12^2)/4*(FD168*$W168*1000)/($G168*$B$5)),
IF($D168="Pénétro.",
IF($E168=4,(PI()*FH$12^2)/4*(FD168*$W168*1000)/($H168*$B$5),(PI()*FH$12^2)/4*(FD168*$W168*1000)/($G168*$B$5))))))/10</f>
        <v>#N/A</v>
      </c>
      <c r="FI168" s="102" t="e">
        <f>(VLOOKUP($B$3,'Coeff EC7'!$T$39:$X$59,2,0)*FG168+VLOOKUP($B$3,'Coeff EC7'!$T$65:$X$85,2,0)*Model0.1C!FH168)/1.1</f>
        <v>#N/A</v>
      </c>
      <c r="FJ168" s="102" t="e">
        <f>(VLOOKUP($B$3,'Coeff EC7'!$T$39:$X$59,3,0)*FG168+VLOOKUP($B$3,'Coeff EC7'!$T$65:$X$85,3,0)*Model0.1C!FH168)/0.9</f>
        <v>#N/A</v>
      </c>
      <c r="FK168" s="102" t="e">
        <f t="shared" si="298"/>
        <v>#N/A</v>
      </c>
      <c r="FL168" s="102" t="e">
        <f t="shared" si="299"/>
        <v>#N/A</v>
      </c>
      <c r="FM168" s="414" t="e">
        <f>IF(FM167=0,0,IF(AND(FI168&gt;charge_ELS_quasi,FJ168&gt;Charge_ELS_freq,FK168&gt;charge_ELU,FL168&gt;charge_ELA,$B168&gt;NDC!$H$22-0.1+MIN(3*$FM$12,1.5)),0,1))</f>
        <v>#N/A</v>
      </c>
    </row>
    <row r="169" spans="1:169">
      <c r="A169" s="96">
        <f t="shared" si="267"/>
        <v>84.400000000000887</v>
      </c>
      <c r="B169" s="97">
        <v>15.6</v>
      </c>
      <c r="C169" s="81">
        <f>IF(B169&lt;=Hypothèses!$C$7,Hypothèses!$A$7,IF(B169&lt;=Hypothèses!$C$8,Hypothèses!$A$8,IF(B169&lt;=Hypothèses!$C$9,Hypothèses!$A$9,IF(B169&lt;=Hypothèses!$C$10,Hypothèses!$A$10,IF(B169&lt;=Hypothèses!$C$11,Hypothèses!$A$11,IF(B169&lt;=Hypothèses!$C$12,Hypothèses!$A$12,IF(B169&lt;=Hypothèses!$C$13,Hypothèses!$A$13,IF(B169&lt;=Hypothèses!$C$14,Hypothèses!$A$14,IF(B169&lt;=Hypothèses!$C$15,Hypothèses!$A$15,IF(B169&lt;=Hypothèses!$C$16,Hypothèses!$A$16,IF(B169&lt;=Hypothèses!$C$17,Hypothèses!$A$17,IF(B169&lt;=Hypothèses!$C$18,Hypothèses!$A$18,C168))))))))))))</f>
        <v>11</v>
      </c>
      <c r="D169" s="82" t="str">
        <f>IF(B169&lt;=Hypothèses!$C$7,Hypothèses!$R$7,IF(B169&lt;=Hypothèses!$C$8,Hypothèses!$R$8,IF(B169&lt;=Hypothèses!$C$9,Hypothèses!$R$9,IF(B169&lt;=Hypothèses!$C$10,Hypothèses!$R$10,IF(B169&lt;=Hypothèses!$C$11,Hypothèses!$R$11,IF(B169&lt;=Hypothèses!$C$12,Hypothèses!$R$12,IF(B169&lt;=Hypothèses!$C$13,Hypothèses!$R$13,IF(B169&lt;=Hypothèses!$C$14,Hypothèses!$R$14,IF(B169&lt;=Hypothèses!$C$15,Hypothèses!$R$15,IF(B169&lt;=Hypothèses!$C$16,Hypothèses!$R$16,IF(B169&lt;=Hypothèses!$C$17,Hypothèses!$R$17,IF(B169&lt;=Hypothèses!$C$18,Hypothèses!$R$18,D168))))))))))))</f>
        <v>Pressio.</v>
      </c>
      <c r="E169" s="82" t="e">
        <f>IF(B169&lt;=Hypothèses!$C$7,Hypothèses!$G$7,IF(B169&lt;=Hypothèses!$C$8,Hypothèses!$G$8,IF(B169&lt;=Hypothèses!$C$9,Hypothèses!$G$9,IF(B169&lt;=Hypothèses!$C$10,Hypothèses!$G$10,IF(B169&lt;=Hypothèses!$C$11,Hypothèses!$G$11,IF(B169&lt;=Hypothèses!$C$12,Hypothèses!$G$12,IF(B169&lt;=Hypothèses!$C$13,Hypothèses!$G$13,IF(B169&lt;=Hypothèses!$C$14,Hypothèses!$G$14,IF(B169&lt;=Hypothèses!$C$15,Hypothèses!$G$15,IF(B169&lt;=Hypothèses!$C$16,Hypothèses!$G$16,IF(B169&lt;=Hypothèses!$C$17,Hypothèses!$G$17,IF(B169&lt;=Hypothèses!$C$18,Hypothèses!$G$18,E168))))))))))))</f>
        <v>#N/A</v>
      </c>
      <c r="F169" s="82" t="str">
        <f>IF(B169&lt;=Hypothèses!$C$7,Hypothèses!$F$7,IF(B169&lt;=Hypothèses!$C$8,Hypothèses!$F$8,IF(B169&lt;=Hypothèses!$C$9,Hypothèses!$F$9,IF(B169&lt;=Hypothèses!$C$10,Hypothèses!$F$10,IF(B169&lt;=Hypothèses!$C$11,Hypothèses!$F$11,IF(B169&lt;=Hypothèses!$C$12,Hypothèses!$F$12,IF(B169&lt;=Hypothèses!$C$13,Hypothèses!$F$13,IF(B169&lt;=Hypothèses!$C$14,Hypothèses!$F$14,IF(B169&lt;=Hypothèses!$C$15,Hypothèses!$F$15,IF(B169&lt;=Hypothèses!$C$16,Hypothèses!$F$16,IF(B169&lt;=Hypothèses!$C$17,Hypothèses!$F$17,IF(B169&lt;=Hypothèses!$C$18,Hypothèses!$F$18,F168))))))))))))</f>
        <v/>
      </c>
      <c r="G169" s="91">
        <f t="array" ref="G169">INDEX('Coeff EC7'!$U$7:$X$27,
MATCH(Model0.1C!$B$3,'Coeff EC7'!$T$7:$T$27,0),
MATCH(Model0.1C!$D169&amp;Model0.1C!$B$4,
'Coeff EC7'!$U$6:$X$6&amp;
'Coeff EC7'!$U$5:$X$5,0))</f>
        <v>1.1499999999999999</v>
      </c>
      <c r="H169" s="91">
        <f t="array" ref="H169">INDEX('Coeff EC7'!$Y$7:$AB$27,
MATCH(Model0.1C!$B$3,'Coeff EC7'!$T$7:$T$27,0),
MATCH(Model0.1C!$D169&amp;Model0.1C!$B$4,
'Coeff EC7'!$Y$6:$AB$6&amp;
'Coeff EC7'!$Y$5:$AB$5,0))</f>
        <v>1.4</v>
      </c>
      <c r="I169" s="83" t="e">
        <f>IF(B169&lt;=Hypothèses!$C$7,Hypothèses!$P$7,IF(B169&lt;=Hypothèses!$C$8,Hypothèses!$P$8,IF(B169&lt;=Hypothèses!$C$9,Hypothèses!$P$9,IF(B169&lt;=Hypothèses!$C$10,Hypothèses!$P$10,IF(B169&lt;=Hypothèses!$C$11,Hypothèses!$P$11,IF(B169&lt;=Hypothèses!$C$12,Hypothèses!$P$12,IF(B169&lt;=Hypothèses!$C$13,Hypothèses!$P$13,IF(B169&lt;=Hypothèses!$C$14,Hypothèses!$P$14,IF(B169&lt;=Hypothèses!$C$15,Hypothèses!$P$15,IF(B169&lt;=Hypothèses!$C$16,Hypothèses!$P$16,IF(B169&lt;=Hypothèses!$C$17,Hypothèses!$P$17,IF(B169&lt;=Hypothèses!$C$18,Hypothèses!$P$18,I168))))))))))))</f>
        <v>#N/A</v>
      </c>
      <c r="J169" s="91" t="e">
        <f t="array" ref="J169">INDEX('Coeff EC7'!$D$33:$Q$33,1,MATCH(D169&amp;E169,'Coeff EC7'!$D$31:$Q$31&amp;'Coeff EC7'!$D$32:$Q$32,0))</f>
        <v>#N/A</v>
      </c>
      <c r="K169" s="91" t="e">
        <f t="array" ref="K169">INDEX('Coeff EC7'!$D$34:$Q$34,1,MATCH(D169&amp;E169,'Coeff EC7'!$D$31:$Q$31&amp;'Coeff EC7'!$D$32:$Q$32,0))</f>
        <v>#N/A</v>
      </c>
      <c r="L169" s="91" t="e">
        <f t="array" ref="L169">INDEX('Coeff EC7'!$D$35:$Q$35,1,MATCH(D169&amp;E169,'Coeff EC7'!$D$31:$Q$31&amp;'Coeff EC7'!$D$32:$Q$32,0))</f>
        <v>#N/A</v>
      </c>
      <c r="M169" s="98" t="e">
        <f t="shared" si="231"/>
        <v>#N/A</v>
      </c>
      <c r="N169" s="99" t="e">
        <f t="array" ref="N169">INDEX('Coeff EC7'!$D$7:$Q$27,MATCH($B$3,'Coeff EC7'!$C$7:$C$27,0),MATCH(D169&amp;E169,'Coeff EC7'!$D$5:$Q$5&amp;'Coeff EC7'!$D$6:$Q$6,0))</f>
        <v>#N/A</v>
      </c>
      <c r="O169" s="99" t="e">
        <f t="array" ref="O169">INDEX('Coeff EC7'!$D$41:$Q$61,MATCH($B$3,'Coeff EC7'!$C$41:$C$61,0),MATCH(D169&amp;E169,'Coeff EC7'!$D$39:$Q$39&amp;'Coeff EC7'!$D$40:$Q$40,0))</f>
        <v>#N/A</v>
      </c>
      <c r="P169" s="30" t="e">
        <f t="shared" si="268"/>
        <v>#N/A</v>
      </c>
      <c r="Q169" s="100" t="e">
        <f t="shared" si="233"/>
        <v>#N/A</v>
      </c>
      <c r="R169" s="86" t="b">
        <f t="shared" si="234"/>
        <v>0</v>
      </c>
      <c r="S169" s="86">
        <f t="shared" si="232"/>
        <v>0.5</v>
      </c>
      <c r="T169" s="86">
        <f t="shared" si="235"/>
        <v>0.5</v>
      </c>
      <c r="U169" s="30" t="e">
        <f t="shared" ca="1" si="269"/>
        <v>#DIV/0!</v>
      </c>
      <c r="V169" s="85" t="str">
        <f>IF(B169&lt;=Hypothèses!$V$7,Hypothèses!$W$7,IF(B169&lt;=Hypothèses!$V$8,Hypothèses!$W$8,IF(B169&lt;=Hypothèses!$V$9,Hypothèses!$W$9,IF(B169&lt;=Hypothèses!$V$10,Hypothèses!$W$10,IF(B169&lt;=Hypothèses!$V$11,Hypothèses!$W$11,IF(B169&lt;=Hypothèses!$V$12,Hypothèses!$W$12,IF(B169&lt;=Hypothèses!$V$13,Hypothèses!$W$13,IF(B169&lt;=Hypothèses!$V$14,Hypothèses!$W$14,IF(B169&lt;=Hypothèses!$V$15,Hypothèses!$W$15,IF(B169&lt;=Hypothèses!$V$16,Hypothèses!$W$16,IF(B169&lt;=Hypothèses!$V$17,Hypothèses!$W$17,IF(B169&lt;=Hypothèses!$V$18,Hypothèses!$W$18,""))))))))))))</f>
        <v/>
      </c>
      <c r="W169" s="87" t="e">
        <f t="shared" ca="1" si="316"/>
        <v>#DIV/0!</v>
      </c>
      <c r="X169" s="88" t="str">
        <f>IF(B169&lt;=Hypothèses!$V$7,Hypothèses!$X$7,IF(B169&lt;=Hypothèses!$V$8,Hypothèses!$X$8,IF(B169&lt;=Hypothèses!$V$9,Hypothèses!$X$9,IF(B169&lt;=Hypothèses!$V$10,Hypothèses!$X$10,IF(B169&lt;=Hypothèses!$V$11,Hypothèses!$X$11,IF(B169&lt;=Hypothèses!$V$12,Hypothèses!$X$12,IF(B169&lt;=Hypothèses!$V$13,Hypothèses!$X$13,IF(B169&lt;=Hypothèses!$V$14,Hypothèses!$X$14,IF(B169&lt;=Hypothèses!$V$15,Hypothèses!$X$15,IF(B169&lt;=Hypothèses!$V$16,Hypothèses!$X$16,IF(B169&lt;=Hypothèses!$U$17,Hypothèses!$W$17,IF(B169&lt;=Hypothèses!$U$18,Hypothèses!$W$18,""))))))))))))</f>
        <v/>
      </c>
      <c r="Y169" s="95" t="e">
        <f t="shared" ca="1" si="236"/>
        <v>#DIV/0!</v>
      </c>
      <c r="Z169" s="101" t="e">
        <f t="shared" si="237"/>
        <v>#N/A</v>
      </c>
      <c r="AA169" s="91" t="e">
        <f t="shared" si="238"/>
        <v>#N/A</v>
      </c>
      <c r="AB169" s="30" t="e">
        <f t="shared" si="300"/>
        <v>#N/A</v>
      </c>
      <c r="AC169" s="30" t="e">
        <f t="shared" si="301"/>
        <v>#N/A</v>
      </c>
      <c r="AD169" s="31" t="e">
        <f>IF(OR(Hypothèses!$B$4=17,Hypothèses!$B$4=18,Hypothèses!$B$4=19,Hypothèses!$B$4=20),
IF($D169="Pressio.",
IF(OR($E169=3,$E169=1,$E169=4),AC169,AB169),
IF($D169="Pénétro.",
IF(OR($E169=3,$E169=1,$E169=4),AC169,AB169))),IF($D169="Pressio.",
IF($E169=3,AC169,AB169),
IF($D169="Pénétro.",
IF($E169=4,AC169,AB169))))</f>
        <v>#N/A</v>
      </c>
      <c r="AE169" s="31" t="e">
        <f>(IF(OR(Hypothèses!$B$4=17,Hypothèses!$B$4=18,Hypothèses!$B$4=19,Hypothèses!$B$4=20),
IF($D169="Pressio.",
IF(OR($E169=3,$E169=1,$E169=4),(PI()*AE$12^2)/4*(AA169*$W169*1000)/($H169*$B$5),(PI()*AE$12^2)/4*(AA169*$W169*1000)/($G169*$B$5)),
IF($D169="Pénétro.",
IF(OR($E169=4,$E169=1,$E169=5),(PI()*AE$12^2)/4*(AA169*$W169*1000)/($H169*$B$5),(PI()*AE$12^2)/4*(AA169*$W169*1000)/($G169*$B$5)))),
IF($D169="Pressio.",
IF($E169=3,(PI()*AE$12^2)/4*(AA169*$W169*1000)/($H169*$B$5),(PI()*AE$12^2)/4*(AA169*$W169*1000)/($G169*$B$5)),
IF($D169="Pénétro.",
IF($E169=4,(PI()*AE$12^2)/4*(AA169*$W169*1000)/($H169*$B$5),(PI()*AE$12^2)/4*(AA169*$W169*1000)/($G169*$B$5))))))/10</f>
        <v>#N/A</v>
      </c>
      <c r="AF169" s="102" t="e">
        <f>(VLOOKUP($B$3,'Coeff EC7'!$T$39:$X$59,2,0)*AD169+VLOOKUP($B$3,'Coeff EC7'!$T$65:$X$85,2,0)*Model0.1C!AE169)/1.1</f>
        <v>#N/A</v>
      </c>
      <c r="AG169" s="102" t="e">
        <f>(VLOOKUP($B$3,'Coeff EC7'!$T$39:$X$59,3,0)*AD169+VLOOKUP($B$3,'Coeff EC7'!$T$65:$X$85,3,0)*Model0.1C!AE169)/0.9</f>
        <v>#N/A</v>
      </c>
      <c r="AH169" s="102" t="e">
        <f t="shared" si="239"/>
        <v>#N/A</v>
      </c>
      <c r="AI169" s="102" t="e">
        <f t="shared" si="240"/>
        <v>#N/A</v>
      </c>
      <c r="AJ169" s="414" t="e">
        <f>IF(AJ168=0,0,IF(AND(AF169&gt;charge_ELS_quasi,AG169&gt;Charge_ELS_freq,AH169&gt;charge_ELU,AI169&gt;charge_ELA,$B169&gt;NDC!$H$22-0.1+MIN(3*$AJ$12,1.5)),0,1))</f>
        <v>#N/A</v>
      </c>
      <c r="AK169" s="86" t="b">
        <f t="shared" si="241"/>
        <v>0</v>
      </c>
      <c r="AL169" s="86">
        <f t="shared" si="270"/>
        <v>0.5</v>
      </c>
      <c r="AM169" s="86">
        <f t="shared" si="242"/>
        <v>0.5</v>
      </c>
      <c r="AN169" s="30" t="e">
        <f t="shared" ca="1" si="271"/>
        <v>#DIV/0!</v>
      </c>
      <c r="AO169" s="85" t="e">
        <f ca="1">IF(U169&lt;=Hypothèses!$V$7,Hypothèses!$W$7,IF(U169&lt;=Hypothèses!$V$8,Hypothèses!$W$8,IF(U169&lt;=Hypothèses!$V$9,Hypothèses!$W$9,IF(U169&lt;=Hypothèses!$V$10,Hypothèses!$W$10,IF(U169&lt;=Hypothèses!$V$11,Hypothèses!$W$11,IF(U169&lt;=Hypothèses!$V$12,Hypothèses!$W$12,IF(U169&lt;=Hypothèses!$V$13,Hypothèses!$W$13,IF(U169&lt;=Hypothèses!$V$14,Hypothèses!$W$14,IF(U169&lt;=Hypothèses!$V$15,Hypothèses!$W$15,IF(U169&lt;=Hypothèses!$V$16,Hypothèses!$W$16,IF(U169&lt;=Hypothèses!$V$17,Hypothèses!$W$17,IF(U169&lt;=Hypothèses!$V$18,Hypothèses!$W$18,""))))))))))))</f>
        <v>#DIV/0!</v>
      </c>
      <c r="AP169" s="87" t="e">
        <f t="shared" ca="1" si="317"/>
        <v>#DIV/0!</v>
      </c>
      <c r="AQ169" s="88" t="e">
        <f ca="1">IF(U169&lt;=Hypothèses!$V$7,Hypothèses!$X$7,IF(U169&lt;=Hypothèses!$V$8,Hypothèses!$X$8,IF(U169&lt;=Hypothèses!$V$9,Hypothèses!$X$9,IF(U169&lt;=Hypothèses!$V$10,Hypothèses!$X$10,IF(U169&lt;=Hypothèses!$V$11,Hypothèses!$X$11,IF(U169&lt;=Hypothèses!$V$12,Hypothèses!$X$12,IF(U169&lt;=Hypothèses!$V$13,Hypothèses!$X$13,IF(U169&lt;=Hypothèses!$V$14,Hypothèses!$X$14,IF(U169&lt;=Hypothèses!$V$15,Hypothèses!$X$15,IF(U169&lt;=Hypothèses!$V$16,Hypothèses!$X$16,IF(U169&lt;=Hypothèses!$U$17,Hypothèses!$W$17,IF(U169&lt;=Hypothèses!$U$18,Hypothèses!$W$18,""))))))))))))</f>
        <v>#DIV/0!</v>
      </c>
      <c r="AR169" s="95" t="e">
        <f t="shared" ca="1" si="272"/>
        <v>#DIV/0!</v>
      </c>
      <c r="AS169" s="101" t="e">
        <f t="shared" si="324"/>
        <v>#N/A</v>
      </c>
      <c r="AT169" s="91" t="e">
        <f t="shared" si="243"/>
        <v>#N/A</v>
      </c>
      <c r="AU169" s="30" t="e">
        <f t="shared" si="302"/>
        <v>#N/A</v>
      </c>
      <c r="AV169" s="30" t="e">
        <f t="shared" si="303"/>
        <v>#N/A</v>
      </c>
      <c r="AW169" s="31" t="e">
        <f>IF(OR(Hypothèses!$B$4=17,Hypothèses!$B$4=18,Hypothèses!$B$4=19,Hypothèses!$B$4=20),
IF($D169="Pressio.",
IF(OR($E169=3,$E169=1,$E169=4),AV169,AU169),
IF($D169="Pénétro.",
IF(OR($E169=3,$E169=1,$E169=4),AV169,AU169))),IF($D169="Pressio.",
IF($E169=3,AV169,AU169),
IF($D169="Pénétro.",
IF($E169=4,AV169,AU169))))</f>
        <v>#N/A</v>
      </c>
      <c r="AX169" s="31" t="e">
        <f>(IF(OR(Hypothèses!$B$4=17,Hypothèses!$B$4=18,Hypothèses!$B$4=19,Hypothèses!$B$4=20),
IF($D169="Pressio.",
IF(OR($E169=3,$E169=1,$E169=4),(PI()*AX$12^2)/4*(AT169*$W169*1000)/($H169*$B$5),(PI()*AX$12^2)/4*(AT169*$W169*1000)/($G169*$B$5)),
IF($D169="Pénétro.",
IF(OR($E169=4,$E169=1,$E169=5),(PI()*AX$12^2)/4*(AT169*$W169*1000)/($H169*$B$5),(PI()*AX$12^2)/4*(AT169*$W169*1000)/($G169*$B$5)))),
IF($D169="Pressio.",
IF($E169=3,(PI()*AX$12^2)/4*(AT169*$W169*1000)/($H169*$B$5),(PI()*AX$12^2)/4*(AT169*$W169*1000)/($G169*$B$5)),
IF($D169="Pénétro.",
IF($E169=4,(PI()*AX$12^2)/4*(AT169*$W169*1000)/($H169*$B$5),(PI()*AX$12^2)/4*(AT169*$W169*1000)/($G169*$B$5))))))/10</f>
        <v>#N/A</v>
      </c>
      <c r="AY169" s="102" t="e">
        <f>(VLOOKUP($B$3,'Coeff EC7'!$T$39:$X$59,2,0)*AW169+VLOOKUP($B$3,'Coeff EC7'!$T$65:$X$85,2,0)*Model0.1C!AX169)/1.1</f>
        <v>#N/A</v>
      </c>
      <c r="AZ169" s="102" t="e">
        <f>(VLOOKUP($B$3,'Coeff EC7'!$T$39:$X$59,3,0)*AW169+VLOOKUP($B$3,'Coeff EC7'!$T$65:$X$85,3,0)*Model0.1C!AX169)/0.9</f>
        <v>#N/A</v>
      </c>
      <c r="BA169" s="102" t="e">
        <f t="shared" si="273"/>
        <v>#N/A</v>
      </c>
      <c r="BB169" s="102" t="e">
        <f t="shared" si="274"/>
        <v>#N/A</v>
      </c>
      <c r="BC169" s="414" t="e">
        <f>IF(BC168=0,0,IF(AND(AY169&gt;charge_ELS_quasi,AZ169&gt;Charge_ELS_freq,BA169&gt;charge_ELU,BB169&gt;charge_ELA,$B169&gt;NDC!$H$22-0.1+MIN(3*$BC$12,1.5)),0,1))</f>
        <v>#N/A</v>
      </c>
      <c r="BD169" s="86" t="b">
        <f t="shared" si="244"/>
        <v>0</v>
      </c>
      <c r="BE169" s="86">
        <f t="shared" si="275"/>
        <v>0.5</v>
      </c>
      <c r="BF169" s="86">
        <f t="shared" si="245"/>
        <v>0.5</v>
      </c>
      <c r="BG169" s="30" t="e">
        <f t="shared" ca="1" si="276"/>
        <v>#DIV/0!</v>
      </c>
      <c r="BH169" s="85" t="e">
        <f ca="1">IF(AN169&lt;=Hypothèses!$V$7,Hypothèses!$W$7,IF(AN169&lt;=Hypothèses!$V$8,Hypothèses!$W$8,IF(AN169&lt;=Hypothèses!$V$9,Hypothèses!$W$9,IF(AN169&lt;=Hypothèses!$V$10,Hypothèses!$W$10,IF(AN169&lt;=Hypothèses!$V$11,Hypothèses!$W$11,IF(AN169&lt;=Hypothèses!$V$12,Hypothèses!$W$12,IF(AN169&lt;=Hypothèses!$V$13,Hypothèses!$W$13,IF(AN169&lt;=Hypothèses!$V$14,Hypothèses!$W$14,IF(AN169&lt;=Hypothèses!$V$15,Hypothèses!$W$15,IF(AN169&lt;=Hypothèses!$V$16,Hypothèses!$W$16,IF(AN169&lt;=Hypothèses!$V$17,Hypothèses!$W$17,IF(AN169&lt;=Hypothèses!$V$18,Hypothèses!$W$18,""))))))))))))</f>
        <v>#DIV/0!</v>
      </c>
      <c r="BI169" s="87" t="e">
        <f t="shared" ca="1" si="318"/>
        <v>#DIV/0!</v>
      </c>
      <c r="BJ169" s="88" t="e">
        <f ca="1">IF(AN169&lt;=Hypothèses!$V$7,Hypothèses!$X$7,IF(AN169&lt;=Hypothèses!$V$8,Hypothèses!$X$8,IF(AN169&lt;=Hypothèses!$V$9,Hypothèses!$X$9,IF(AN169&lt;=Hypothèses!$V$10,Hypothèses!$X$10,IF(AN169&lt;=Hypothèses!$V$11,Hypothèses!$X$11,IF(AN169&lt;=Hypothèses!$V$12,Hypothèses!$X$12,IF(AN169&lt;=Hypothèses!$V$13,Hypothèses!$X$13,IF(AN169&lt;=Hypothèses!$V$14,Hypothèses!$X$14,IF(AN169&lt;=Hypothèses!$V$15,Hypothèses!$X$15,IF(AN169&lt;=Hypothèses!$V$16,Hypothèses!$X$16,IF(AN169&lt;=Hypothèses!$U$17,Hypothèses!$W$17,IF(AN169&lt;=Hypothèses!$U$18,Hypothèses!$W$18,""))))))))))))</f>
        <v>#DIV/0!</v>
      </c>
      <c r="BK169" s="95" t="e">
        <f t="shared" ca="1" si="277"/>
        <v>#DIV/0!</v>
      </c>
      <c r="BL169" s="101" t="e">
        <f t="shared" si="325"/>
        <v>#N/A</v>
      </c>
      <c r="BM169" s="91" t="e">
        <f t="shared" si="246"/>
        <v>#N/A</v>
      </c>
      <c r="BN169" s="30" t="e">
        <f t="shared" si="304"/>
        <v>#N/A</v>
      </c>
      <c r="BO169" s="30" t="e">
        <f t="shared" si="305"/>
        <v>#N/A</v>
      </c>
      <c r="BP169" s="31" t="e">
        <f>IF(OR(Hypothèses!$B$4=17,Hypothèses!$B$4=18,Hypothèses!$B$4=19,Hypothèses!$B$4=20),
IF($D169="Pressio.",
IF(OR($E169=3,$E169=1,$E169=4),BO169,BN169),
IF($D169="Pénétro.",
IF(OR($E169=3,$E169=1,$E169=4),BO169,BN169))),IF($D169="Pressio.",
IF($E169=3,BO169,BN169),
IF($D169="Pénétro.",
IF($E169=4,BO169,BN169))))</f>
        <v>#N/A</v>
      </c>
      <c r="BQ169" s="31" t="e">
        <f>(IF(OR(Hypothèses!$B$4=17,Hypothèses!$B$4=18,Hypothèses!$B$4=19,Hypothèses!$B$4=20),
IF($D169="Pressio.",
IF(OR($E169=3,$E169=1,$E169=4),(PI()*BQ$12^2)/4*(BM169*$W169*1000)/($H169*$B$5),(PI()*BQ$12^2)/4*(BM169*$W169*1000)/($G169*$B$5)),
IF($D169="Pénétro.",
IF(OR($E169=4,$E169=1,$E169=5),(PI()*BQ$12^2)/4*(BM169*$W169*1000)/($H169*$B$5),(PI()*BQ$12^2)/4*(BM169*$W169*1000)/($G169*$B$5)))),
IF($D169="Pressio.",
IF($E169=3,(PI()*BQ$12^2)/4*(BM169*$W169*1000)/($H169*$B$5),(PI()*BQ$12^2)/4*(BM169*$W169*1000)/($G169*$B$5)),
IF($D169="Pénétro.",
IF($E169=4,(PI()*BQ$12^2)/4*(BM169*$W169*1000)/($H169*$B$5),(PI()*BQ$12^2)/4*(BM169*$W169*1000)/($G169*$B$5))))))/10</f>
        <v>#N/A</v>
      </c>
      <c r="BR169" s="102" t="e">
        <f>(VLOOKUP($B$3,'Coeff EC7'!$T$39:$X$59,2,0)*BP169+VLOOKUP($B$3,'Coeff EC7'!$T$65:$X$85,2,0)*Model0.1C!BQ169)/1.1</f>
        <v>#N/A</v>
      </c>
      <c r="BS169" s="102" t="e">
        <f>(VLOOKUP($B$3,'Coeff EC7'!$T$39:$X$59,3,0)*BP169+VLOOKUP($B$3,'Coeff EC7'!$T$65:$X$85,3,0)*Model0.1C!BQ169)/0.9</f>
        <v>#N/A</v>
      </c>
      <c r="BT169" s="102" t="e">
        <f t="shared" si="278"/>
        <v>#N/A</v>
      </c>
      <c r="BU169" s="102" t="e">
        <f t="shared" si="279"/>
        <v>#N/A</v>
      </c>
      <c r="BV169" s="414" t="e">
        <f>IF(BV168=0,0,IF(AND(BR169&gt;charge_ELS_quasi,BS169&gt;Charge_ELS_freq,BT169&gt;charge_ELU,BU169&gt;charge_ELA,$B169&gt;NDC!$H$22-0.1+MIN(3*$BV$12,1.5)),0,1))</f>
        <v>#N/A</v>
      </c>
      <c r="BW169" s="86" t="b">
        <f t="shared" si="247"/>
        <v>0</v>
      </c>
      <c r="BX169" s="86">
        <f t="shared" si="248"/>
        <v>0.5</v>
      </c>
      <c r="BY169" s="86">
        <f t="shared" si="249"/>
        <v>0.5</v>
      </c>
      <c r="BZ169" s="30" t="e">
        <f t="shared" ca="1" si="280"/>
        <v>#DIV/0!</v>
      </c>
      <c r="CA169" s="85" t="e">
        <f ca="1">IF(BG169&lt;=Hypothèses!$V$7,Hypothèses!$W$7,IF(BG169&lt;=Hypothèses!$V$8,Hypothèses!$W$8,IF(BG169&lt;=Hypothèses!$V$9,Hypothèses!$W$9,IF(BG169&lt;=Hypothèses!$V$10,Hypothèses!$W$10,IF(BG169&lt;=Hypothèses!$V$11,Hypothèses!$W$11,IF(BG169&lt;=Hypothèses!$V$12,Hypothèses!$W$12,IF(BG169&lt;=Hypothèses!$V$13,Hypothèses!$W$13,IF(BG169&lt;=Hypothèses!$V$14,Hypothèses!$W$14,IF(BG169&lt;=Hypothèses!$V$15,Hypothèses!$W$15,IF(BG169&lt;=Hypothèses!$V$16,Hypothèses!$W$16,IF(BG169&lt;=Hypothèses!$V$17,Hypothèses!$W$17,IF(BG169&lt;=Hypothèses!$V$18,Hypothèses!$W$18,""))))))))))))</f>
        <v>#DIV/0!</v>
      </c>
      <c r="CB169" s="87" t="e">
        <f t="shared" ca="1" si="319"/>
        <v>#DIV/0!</v>
      </c>
      <c r="CC169" s="88" t="e">
        <f ca="1">IF(BG169&lt;=Hypothèses!$V$7,Hypothèses!$X$7,IF(BG169&lt;=Hypothèses!$V$8,Hypothèses!$X$8,IF(BG169&lt;=Hypothèses!$V$9,Hypothèses!$X$9,IF(BG169&lt;=Hypothèses!$V$10,Hypothèses!$X$10,IF(BG169&lt;=Hypothèses!$V$11,Hypothèses!$X$11,IF(BG169&lt;=Hypothèses!$V$12,Hypothèses!$X$12,IF(BG169&lt;=Hypothèses!$V$13,Hypothèses!$X$13,IF(BG169&lt;=Hypothèses!$V$14,Hypothèses!$X$14,IF(BG169&lt;=Hypothèses!$V$15,Hypothèses!$X$15,IF(BG169&lt;=Hypothèses!$V$16,Hypothèses!$X$16,IF(BG169&lt;=Hypothèses!$U$17,Hypothèses!$W$17,IF(BG169&lt;=Hypothèses!$U$18,Hypothèses!$W$18,""))))))))))))</f>
        <v>#DIV/0!</v>
      </c>
      <c r="CD169" s="95" t="e">
        <f t="shared" ca="1" si="281"/>
        <v>#DIV/0!</v>
      </c>
      <c r="CE169" s="101" t="e">
        <f t="shared" si="326"/>
        <v>#N/A</v>
      </c>
      <c r="CF169" s="91" t="e">
        <f t="shared" si="250"/>
        <v>#N/A</v>
      </c>
      <c r="CG169" s="30" t="e">
        <f t="shared" si="306"/>
        <v>#N/A</v>
      </c>
      <c r="CH169" s="30" t="e">
        <f t="shared" si="307"/>
        <v>#N/A</v>
      </c>
      <c r="CI169" s="31" t="e">
        <f>IF(OR(Hypothèses!$B$4=17,Hypothèses!$B$4=18,Hypothèses!$B$4=19,Hypothèses!$B$4=20),
IF($D169="Pressio.",
IF(OR($E169=3,$E169=1,$E169=4),CH169,CG169),
IF($D169="Pénétro.",
IF(OR($E169=3,$E169=1,$E169=4),CH169,CG169))),IF($D169="Pressio.",
IF($E169=3,CH169,CG169),
IF($D169="Pénétro.",
IF($E169=4,CH169,CG169))))</f>
        <v>#N/A</v>
      </c>
      <c r="CJ169" s="31" t="e">
        <f>(IF(OR(Hypothèses!$B$4=17,Hypothèses!$B$4=18,Hypothèses!$B$4=19,Hypothèses!$B$4=20),
IF($D169="Pressio.",
IF(OR($E169=3,$E169=1,$E169=4),(PI()*CJ$12^2)/4*(CF169*$W169*1000)/($H169*$B$5),(PI()*CJ$12^2)/4*(CF169*$W169*1000)/($G169*$B$5)),
IF($D169="Pénétro.",
IF(OR($E169=4,$E169=1,$E169=5),(PI()*CJ$12^2)/4*(CF169*$W169*1000)/($H169*$B$5),(PI()*CJ$12^2)/4*(CF169*$W169*1000)/($G169*$B$5)))),
IF($D169="Pressio.",
IF($E169=3,(PI()*CJ$12^2)/4*(CF169*$W169*1000)/($H169*$B$5),(PI()*CJ$12^2)/4*(CF169*$W169*1000)/($G169*$B$5)),
IF($D169="Pénétro.",
IF($E169=4,(PI()*CJ$12^2)/4*(CF169*$W169*1000)/($H169*$B$5),(PI()*CJ$12^2)/4*(CF169*$W169*1000)/($G169*$B$5))))))/10</f>
        <v>#N/A</v>
      </c>
      <c r="CK169" s="102" t="e">
        <f>(VLOOKUP($B$3,'Coeff EC7'!$T$39:$X$59,2,0)*CI169+VLOOKUP($B$3,'Coeff EC7'!$T$65:$X$85,2,0)*Model0.1C!CJ169)/1.1</f>
        <v>#N/A</v>
      </c>
      <c r="CL169" s="102" t="e">
        <f>(VLOOKUP($B$3,'Coeff EC7'!$T$39:$X$59,3,0)*CI169+VLOOKUP($B$3,'Coeff EC7'!$T$65:$X$85,3,0)*Model0.1C!CJ169)/0.9</f>
        <v>#N/A</v>
      </c>
      <c r="CM169" s="102" t="e">
        <f t="shared" si="282"/>
        <v>#N/A</v>
      </c>
      <c r="CN169" s="102" t="e">
        <f t="shared" si="283"/>
        <v>#N/A</v>
      </c>
      <c r="CO169" s="414" t="e">
        <f>IF(CO168=0,0,IF(AND(CK169&gt;charge_ELS_quasi,CL169&gt;Charge_ELS_freq,CM169&gt;charge_ELU,CN169&gt;charge_ELA,$B169&gt;NDC!$H$22-0.1+MIN(3*$CO$12,1.5)),0,1))</f>
        <v>#N/A</v>
      </c>
      <c r="CP169" s="86" t="b">
        <f t="shared" si="251"/>
        <v>0</v>
      </c>
      <c r="CQ169" s="86">
        <f t="shared" si="252"/>
        <v>0.5</v>
      </c>
      <c r="CR169" s="86">
        <f t="shared" si="253"/>
        <v>0.5</v>
      </c>
      <c r="CS169" s="30" t="e">
        <f t="shared" ca="1" si="284"/>
        <v>#DIV/0!</v>
      </c>
      <c r="CT169" s="85" t="e">
        <f ca="1">IF(BZ169&lt;=Hypothèses!$V$7,Hypothèses!$W$7,IF(BZ169&lt;=Hypothèses!$V$8,Hypothèses!$W$8,IF(BZ169&lt;=Hypothèses!$V$9,Hypothèses!$W$9,IF(BZ169&lt;=Hypothèses!$V$10,Hypothèses!$W$10,IF(BZ169&lt;=Hypothèses!$V$11,Hypothèses!$W$11,IF(BZ169&lt;=Hypothèses!$V$12,Hypothèses!$W$12,IF(BZ169&lt;=Hypothèses!$V$13,Hypothèses!$W$13,IF(BZ169&lt;=Hypothèses!$V$14,Hypothèses!$W$14,IF(BZ169&lt;=Hypothèses!$V$15,Hypothèses!$W$15,IF(BZ169&lt;=Hypothèses!$V$16,Hypothèses!$W$16,IF(BZ169&lt;=Hypothèses!$V$17,Hypothèses!$W$17,IF(BZ169&lt;=Hypothèses!$V$18,Hypothèses!$W$18,""))))))))))))</f>
        <v>#DIV/0!</v>
      </c>
      <c r="CU169" s="87" t="e">
        <f t="shared" ca="1" si="320"/>
        <v>#DIV/0!</v>
      </c>
      <c r="CV169" s="88" t="e">
        <f ca="1">IF(BZ169&lt;=Hypothèses!$V$7,Hypothèses!$X$7,IF(BZ169&lt;=Hypothèses!$V$8,Hypothèses!$X$8,IF(BZ169&lt;=Hypothèses!$V$9,Hypothèses!$X$9,IF(BZ169&lt;=Hypothèses!$V$10,Hypothèses!$X$10,IF(BZ169&lt;=Hypothèses!$V$11,Hypothèses!$X$11,IF(BZ169&lt;=Hypothèses!$V$12,Hypothèses!$X$12,IF(BZ169&lt;=Hypothèses!$V$13,Hypothèses!$X$13,IF(BZ169&lt;=Hypothèses!$V$14,Hypothèses!$X$14,IF(BZ169&lt;=Hypothèses!$V$15,Hypothèses!$X$15,IF(BZ169&lt;=Hypothèses!$V$16,Hypothèses!$X$16,IF(BZ169&lt;=Hypothèses!$U$17,Hypothèses!$W$17,IF(BZ169&lt;=Hypothèses!$U$18,Hypothèses!$W$18,""))))))))))))</f>
        <v>#DIV/0!</v>
      </c>
      <c r="CW169" s="95" t="e">
        <f t="shared" ca="1" si="285"/>
        <v>#DIV/0!</v>
      </c>
      <c r="CX169" s="101" t="e">
        <f t="shared" si="327"/>
        <v>#N/A</v>
      </c>
      <c r="CY169" s="91" t="e">
        <f t="shared" si="254"/>
        <v>#N/A</v>
      </c>
      <c r="CZ169" s="30" t="e">
        <f t="shared" si="308"/>
        <v>#N/A</v>
      </c>
      <c r="DA169" s="30" t="e">
        <f t="shared" si="309"/>
        <v>#N/A</v>
      </c>
      <c r="DB169" s="31" t="e">
        <f>IF(OR(Hypothèses!$B$4=17,Hypothèses!$B$4=18,Hypothèses!$B$4=19,Hypothèses!$B$4=20),
IF($D169="Pressio.",
IF(OR($E169=3,$E169=1,$E169=4),DA169,CZ169),
IF($D169="Pénétro.",
IF(OR($E169=3,$E169=1,$E169=4),DA169,CZ169))),IF($D169="Pressio.",
IF($E169=3,DA169,CZ169),
IF($D169="Pénétro.",
IF($E169=4,DA169,CZ169))))</f>
        <v>#N/A</v>
      </c>
      <c r="DC169" s="31" t="e">
        <f>(IF(OR(Hypothèses!$B$4=17,Hypothèses!$B$4=18,Hypothèses!$B$4=19,Hypothèses!$B$4=20),
IF($D169="Pressio.",
IF(OR($E169=3,$E169=1,$E169=4),(PI()*DC$12^2)/4*(CY169*$W169*1000)/($H169*$B$5),(PI()*DC$12^2)/4*(CY169*$W169*1000)/($G169*$B$5)),
IF($D169="Pénétro.",
IF(OR($E169=4,$E169=1,$E169=5),(PI()*DC$12^2)/4*(CY169*$W169*1000)/($H169*$B$5),(PI()*DC$12^2)/4*(CY169*$W169*1000)/($G169*$B$5)))),
IF($D169="Pressio.",
IF($E169=3,(PI()*DC$12^2)/4*(CY169*$W169*1000)/($H169*$B$5),(PI()*DC$12^2)/4*(CY169*$W169*1000)/($G169*$B$5)),
IF($D169="Pénétro.",
IF($E169=4,(PI()*DC$12^2)/4*(CY169*$W169*1000)/($H169*$B$5),(PI()*DC$12^2)/4*(CY169*$W169*1000)/($G169*$B$5))))))/10</f>
        <v>#N/A</v>
      </c>
      <c r="DD169" s="102" t="e">
        <f>(VLOOKUP($B$3,'Coeff EC7'!$T$39:$X$59,2,0)*DB169+VLOOKUP($B$3,'Coeff EC7'!$T$65:$X$85,2,0)*Model0.1C!DC169)/1.1</f>
        <v>#N/A</v>
      </c>
      <c r="DE169" s="102" t="e">
        <f>(VLOOKUP($B$3,'Coeff EC7'!$T$39:$X$59,3,0)*DB169+VLOOKUP($B$3,'Coeff EC7'!$T$65:$X$85,3,0)*Model0.1C!DC169)/0.9</f>
        <v>#N/A</v>
      </c>
      <c r="DF169" s="102" t="e">
        <f t="shared" si="286"/>
        <v>#N/A</v>
      </c>
      <c r="DG169" s="102" t="e">
        <f t="shared" si="287"/>
        <v>#N/A</v>
      </c>
      <c r="DH169" s="414" t="e">
        <f>IF(DH168=0,0,IF(AND(DD169&gt;charge_ELS_quasi,DE169&gt;Charge_ELS_freq,DF169&gt;charge_ELU,DG169&gt;charge_ELA,$B169&gt;NDC!$H$22-0.1+MIN(3*$DH$12,1.5)),0,1))</f>
        <v>#N/A</v>
      </c>
      <c r="DI169" s="86" t="b">
        <f t="shared" si="255"/>
        <v>0</v>
      </c>
      <c r="DJ169" s="86">
        <f t="shared" si="256"/>
        <v>0.5</v>
      </c>
      <c r="DK169" s="86">
        <f t="shared" si="257"/>
        <v>0.5</v>
      </c>
      <c r="DL169" s="30" t="e">
        <f t="shared" ca="1" si="288"/>
        <v>#DIV/0!</v>
      </c>
      <c r="DM169" s="85" t="e">
        <f ca="1">IF(CS169&lt;=Hypothèses!$V$7,Hypothèses!$W$7,IF(CS169&lt;=Hypothèses!$V$8,Hypothèses!$W$8,IF(CS169&lt;=Hypothèses!$V$9,Hypothèses!$W$9,IF(CS169&lt;=Hypothèses!$V$10,Hypothèses!$W$10,IF(CS169&lt;=Hypothèses!$V$11,Hypothèses!$W$11,IF(CS169&lt;=Hypothèses!$V$12,Hypothèses!$W$12,IF(CS169&lt;=Hypothèses!$V$13,Hypothèses!$W$13,IF(CS169&lt;=Hypothèses!$V$14,Hypothèses!$W$14,IF(CS169&lt;=Hypothèses!$V$15,Hypothèses!$W$15,IF(CS169&lt;=Hypothèses!$V$16,Hypothèses!$W$16,IF(CS169&lt;=Hypothèses!$V$17,Hypothèses!$W$17,IF(CS169&lt;=Hypothèses!$V$18,Hypothèses!$W$18,""))))))))))))</f>
        <v>#DIV/0!</v>
      </c>
      <c r="DN169" s="87" t="e">
        <f t="shared" ca="1" si="321"/>
        <v>#DIV/0!</v>
      </c>
      <c r="DO169" s="88" t="e">
        <f ca="1">IF(CS169&lt;=Hypothèses!$V$7,Hypothèses!$X$7,IF(CS169&lt;=Hypothèses!$V$8,Hypothèses!$X$8,IF(CS169&lt;=Hypothèses!$V$9,Hypothèses!$X$9,IF(CS169&lt;=Hypothèses!$V$10,Hypothèses!$X$10,IF(CS169&lt;=Hypothèses!$V$11,Hypothèses!$X$11,IF(CS169&lt;=Hypothèses!$V$12,Hypothèses!$X$12,IF(CS169&lt;=Hypothèses!$V$13,Hypothèses!$X$13,IF(CS169&lt;=Hypothèses!$V$14,Hypothèses!$X$14,IF(CS169&lt;=Hypothèses!$V$15,Hypothèses!$X$15,IF(CS169&lt;=Hypothèses!$V$16,Hypothèses!$X$16,IF(CS169&lt;=Hypothèses!$U$17,Hypothèses!$W$17,IF(CS169&lt;=Hypothèses!$U$18,Hypothèses!$W$18,""))))))))))))</f>
        <v>#DIV/0!</v>
      </c>
      <c r="DP169" s="95" t="e">
        <f t="shared" ca="1" si="289"/>
        <v>#DIV/0!</v>
      </c>
      <c r="DQ169" s="101" t="e">
        <f t="shared" si="328"/>
        <v>#N/A</v>
      </c>
      <c r="DR169" s="91" t="e">
        <f t="shared" si="258"/>
        <v>#N/A</v>
      </c>
      <c r="DS169" s="30" t="e">
        <f t="shared" si="310"/>
        <v>#N/A</v>
      </c>
      <c r="DT169" s="30" t="e">
        <f t="shared" si="311"/>
        <v>#N/A</v>
      </c>
      <c r="DU169" s="31" t="e">
        <f>IF(OR(Hypothèses!$B$4=17,Hypothèses!$B$4=18,Hypothèses!$B$4=19,Hypothèses!$B$4=20),
IF($D169="Pressio.",
IF(OR($E169=3,$E169=1,$E169=4),DT169,DS169),
IF($D169="Pénétro.",
IF(OR($E169=3,$E169=1,$E169=4),DT169,DS169))),IF($D169="Pressio.",
IF($E169=3,DT169,DS169),
IF($D169="Pénétro.",
IF($E169=4,DT169,DS169))))</f>
        <v>#N/A</v>
      </c>
      <c r="DV169" s="31" t="e">
        <f>(IF(OR(Hypothèses!$B$4=17,Hypothèses!$B$4=18,Hypothèses!$B$4=19,Hypothèses!$B$4=20),
IF($D169="Pressio.",
IF(OR($E169=3,$E169=1,$E169=4),(PI()*DV$12^2)/4*(DR169*$W169*1000)/($H169*$B$5),(PI()*DV$12^2)/4*(DR169*$W169*1000)/($G169*$B$5)),
IF($D169="Pénétro.",
IF(OR($E169=4,$E169=1,$E169=5),(PI()*DV$12^2)/4*(DR169*$W169*1000)/($H169*$B$5),(PI()*DV$12^2)/4*(DR169*$W169*1000)/($G169*$B$5)))),
IF($D169="Pressio.",
IF($E169=3,(PI()*DV$12^2)/4*(DR169*$W169*1000)/($H169*$B$5),(PI()*DV$12^2)/4*(DR169*$W169*1000)/($G169*$B$5)),
IF($D169="Pénétro.",
IF($E169=4,(PI()*DV$12^2)/4*(DR169*$W169*1000)/($H169*$B$5),(PI()*DV$12^2)/4*(DR169*$W169*1000)/($G169*$B$5))))))/10</f>
        <v>#N/A</v>
      </c>
      <c r="DW169" s="102" t="e">
        <f>(VLOOKUP($B$3,'Coeff EC7'!$T$39:$X$59,2,0)*DU169+VLOOKUP($B$3,'Coeff EC7'!$T$65:$X$85,2,0)*Model0.1C!DV169)/1.1</f>
        <v>#N/A</v>
      </c>
      <c r="DX169" s="102" t="e">
        <f>(VLOOKUP($B$3,'Coeff EC7'!$T$39:$X$59,3,0)*DU169+VLOOKUP($B$3,'Coeff EC7'!$T$65:$X$85,3,0)*Model0.1C!DV169)/0.9</f>
        <v>#N/A</v>
      </c>
      <c r="DY169" s="102" t="e">
        <f t="shared" si="290"/>
        <v>#N/A</v>
      </c>
      <c r="DZ169" s="102" t="e">
        <f t="shared" si="291"/>
        <v>#N/A</v>
      </c>
      <c r="EA169" s="414" t="e">
        <f>IF(EA168=0,0,IF(AND(DW169&gt;charge_ELS_quasi,DX169&gt;Charge_ELS_freq,DY169&gt;charge_ELU,DZ169&gt;charge_ELA,$B169&gt;NDC!$H$22-0.1+MIN(3*$EA$12,1.5)),0,1))</f>
        <v>#N/A</v>
      </c>
      <c r="EB169" s="86" t="b">
        <f t="shared" si="259"/>
        <v>0</v>
      </c>
      <c r="EC169" s="418">
        <f t="shared" si="260"/>
        <v>0.51</v>
      </c>
      <c r="ED169" s="86">
        <f t="shared" si="261"/>
        <v>0.51</v>
      </c>
      <c r="EE169" s="30" t="e">
        <f t="shared" ca="1" si="292"/>
        <v>#DIV/0!</v>
      </c>
      <c r="EF169" s="85" t="e">
        <f ca="1">IF(DL169&lt;=Hypothèses!$V$7,Hypothèses!$W$7,IF(DL169&lt;=Hypothèses!$V$8,Hypothèses!$W$8,IF(DL169&lt;=Hypothèses!$V$9,Hypothèses!$W$9,IF(DL169&lt;=Hypothèses!$V$10,Hypothèses!$W$10,IF(DL169&lt;=Hypothèses!$V$11,Hypothèses!$W$11,IF(DL169&lt;=Hypothèses!$V$12,Hypothèses!$W$12,IF(DL169&lt;=Hypothèses!$V$13,Hypothèses!$W$13,IF(DL169&lt;=Hypothèses!$V$14,Hypothèses!$W$14,IF(DL169&lt;=Hypothèses!$V$15,Hypothèses!$W$15,IF(DL169&lt;=Hypothèses!$V$16,Hypothèses!$W$16,IF(DL169&lt;=Hypothèses!$V$17,Hypothèses!$W$17,IF(DL169&lt;=Hypothèses!$V$18,Hypothèses!$W$18,""))))))))))))</f>
        <v>#DIV/0!</v>
      </c>
      <c r="EG169" s="87" t="e">
        <f t="shared" ca="1" si="322"/>
        <v>#DIV/0!</v>
      </c>
      <c r="EH169" s="88" t="e">
        <f ca="1">IF(DL169&lt;=Hypothèses!$V$7,Hypothèses!$X$7,IF(DL169&lt;=Hypothèses!$V$8,Hypothèses!$X$8,IF(DL169&lt;=Hypothèses!$V$9,Hypothèses!$X$9,IF(DL169&lt;=Hypothèses!$V$10,Hypothèses!$X$10,IF(DL169&lt;=Hypothèses!$V$11,Hypothèses!$X$11,IF(DL169&lt;=Hypothèses!$V$12,Hypothèses!$X$12,IF(DL169&lt;=Hypothèses!$V$13,Hypothèses!$X$13,IF(DL169&lt;=Hypothèses!$V$14,Hypothèses!$X$14,IF(DL169&lt;=Hypothèses!$V$15,Hypothèses!$X$15,IF(DL169&lt;=Hypothèses!$V$16,Hypothèses!$X$16,IF(DL169&lt;=Hypothèses!$U$17,Hypothèses!$W$17,IF(DL169&lt;=Hypothèses!$U$18,Hypothèses!$W$18,""))))))))))))</f>
        <v>#DIV/0!</v>
      </c>
      <c r="EI169" s="95" t="e">
        <f t="shared" ca="1" si="293"/>
        <v>#DIV/0!</v>
      </c>
      <c r="EJ169" s="101" t="e">
        <f t="shared" si="329"/>
        <v>#N/A</v>
      </c>
      <c r="EK169" s="91" t="e">
        <f t="shared" si="262"/>
        <v>#N/A</v>
      </c>
      <c r="EL169" s="30" t="e">
        <f t="shared" si="312"/>
        <v>#N/A</v>
      </c>
      <c r="EM169" s="30" t="e">
        <f t="shared" si="313"/>
        <v>#N/A</v>
      </c>
      <c r="EN169" s="31" t="e">
        <f>IF(OR(Hypothèses!$B$4=17,Hypothèses!$B$4=18,Hypothèses!$B$4=19,Hypothèses!$B$4=20),
IF($D169="Pressio.",
IF(OR($E169=3,$E169=1,$E169=4),EM169,EL169),
IF($D169="Pénétro.",
IF(OR($E169=3,$E169=1,$E169=4),EM169,EL169))),IF($D169="Pressio.",
IF($E169=3,EM169,EL169),
IF($D169="Pénétro.",
IF($E169=4,EM169,EL169))))</f>
        <v>#N/A</v>
      </c>
      <c r="EO169" s="31" t="e">
        <f>(IF(OR(Hypothèses!$B$4=17,Hypothèses!$B$4=18,Hypothèses!$B$4=19,Hypothèses!$B$4=20),
IF($D169="Pressio.",
IF(OR($E169=3,$E169=1,$E169=4),(PI()*EO$12^2)/4*(EK169*$W169*1000)/($H169*$B$5),(PI()*EO$12^2)/4*(EK169*$W169*1000)/($G169*$B$5)),
IF($D169="Pénétro.",
IF(OR($E169=4,$E169=1,$E169=5),(PI()*EO$12^2)/4*(EK169*$W169*1000)/($H169*$B$5),(PI()*EO$12^2)/4*(EK169*$W169*1000)/($G169*$B$5)))),
IF($D169="Pressio.",
IF($E169=3,(PI()*EO$12^2)/4*(EK169*$W169*1000)/($H169*$B$5),(PI()*EO$12^2)/4*(EK169*$W169*1000)/($G169*$B$5)),
IF($D169="Pénétro.",
IF($E169=4,(PI()*EO$12^2)/4*(EK169*$W169*1000)/($H169*$B$5),(PI()*EO$12^2)/4*(EK169*$W169*1000)/($G169*$B$5))))))/10</f>
        <v>#N/A</v>
      </c>
      <c r="EP169" s="102" t="e">
        <f>(VLOOKUP($B$3,'Coeff EC7'!$T$39:$X$59,2,0)*EN169+VLOOKUP($B$3,'Coeff EC7'!$T$65:$X$85,2,0)*Model0.1C!EO169)/1.1</f>
        <v>#N/A</v>
      </c>
      <c r="EQ169" s="102" t="e">
        <f>(VLOOKUP($B$3,'Coeff EC7'!$T$39:$X$59,3,0)*EN169+VLOOKUP($B$3,'Coeff EC7'!$T$65:$X$85,3,0)*Model0.1C!EO169)/0.9</f>
        <v>#N/A</v>
      </c>
      <c r="ER169" s="102" t="e">
        <f t="shared" si="294"/>
        <v>#N/A</v>
      </c>
      <c r="ES169" s="102" t="e">
        <f t="shared" si="295"/>
        <v>#N/A</v>
      </c>
      <c r="ET169" s="414" t="e">
        <f>IF(ET168=0,0,IF(AND(EP169&gt;charge_ELS_quasi,EQ169&gt;Charge_ELS_freq,ER169&gt;charge_ELU,ES169&gt;charge_ELA,$B169&gt;NDC!$H$22-0.1+MIN(3*$ET$12,1.5)),0,1))</f>
        <v>#N/A</v>
      </c>
      <c r="EU169" s="86" t="b">
        <f t="shared" si="263"/>
        <v>0</v>
      </c>
      <c r="EV169" s="86">
        <f t="shared" si="264"/>
        <v>0.61</v>
      </c>
      <c r="EW169" s="86">
        <f t="shared" si="265"/>
        <v>0.61</v>
      </c>
      <c r="EX169" s="30" t="e">
        <f t="shared" ca="1" si="296"/>
        <v>#DIV/0!</v>
      </c>
      <c r="EY169" s="85" t="e">
        <f ca="1">IF(EE169&lt;=Hypothèses!$V$7,Hypothèses!$W$7,IF(EE169&lt;=Hypothèses!$V$8,Hypothèses!$W$8,IF(EE169&lt;=Hypothèses!$V$9,Hypothèses!$W$9,IF(EE169&lt;=Hypothèses!$V$10,Hypothèses!$W$10,IF(EE169&lt;=Hypothèses!$V$11,Hypothèses!$W$11,IF(EE169&lt;=Hypothèses!$V$12,Hypothèses!$W$12,IF(EE169&lt;=Hypothèses!$V$13,Hypothèses!$W$13,IF(EE169&lt;=Hypothèses!$V$14,Hypothèses!$W$14,IF(EE169&lt;=Hypothèses!$V$15,Hypothèses!$W$15,IF(EE169&lt;=Hypothèses!$V$16,Hypothèses!$W$16,IF(EE169&lt;=Hypothèses!$V$17,Hypothèses!$W$17,IF(EE169&lt;=Hypothèses!$V$18,Hypothèses!$W$18,""))))))))))))</f>
        <v>#DIV/0!</v>
      </c>
      <c r="EZ169" s="87" t="e">
        <f t="shared" ca="1" si="323"/>
        <v>#DIV/0!</v>
      </c>
      <c r="FA169" s="88" t="e">
        <f ca="1">IF(EE169&lt;=Hypothèses!$V$7,Hypothèses!$X$7,IF(EE169&lt;=Hypothèses!$V$8,Hypothèses!$X$8,IF(EE169&lt;=Hypothèses!$V$9,Hypothèses!$X$9,IF(EE169&lt;=Hypothèses!$V$10,Hypothèses!$X$10,IF(EE169&lt;=Hypothèses!$V$11,Hypothèses!$X$11,IF(EE169&lt;=Hypothèses!$V$12,Hypothèses!$X$12,IF(EE169&lt;=Hypothèses!$V$13,Hypothèses!$X$13,IF(EE169&lt;=Hypothèses!$V$14,Hypothèses!$X$14,IF(EE169&lt;=Hypothèses!$V$15,Hypothèses!$X$15,IF(EE169&lt;=Hypothèses!$V$16,Hypothèses!$X$16,IF(EE169&lt;=Hypothèses!$U$17,Hypothèses!$W$17,IF(EE169&lt;=Hypothèses!$U$18,Hypothèses!$W$18,""))))))))))))</f>
        <v>#DIV/0!</v>
      </c>
      <c r="FB169" s="95" t="e">
        <f t="shared" ca="1" si="297"/>
        <v>#DIV/0!</v>
      </c>
      <c r="FC169" s="101" t="e">
        <f t="shared" si="330"/>
        <v>#N/A</v>
      </c>
      <c r="FD169" s="91" t="e">
        <f t="shared" si="266"/>
        <v>#N/A</v>
      </c>
      <c r="FE169" s="30" t="e">
        <f t="shared" si="314"/>
        <v>#N/A</v>
      </c>
      <c r="FF169" s="30" t="e">
        <f t="shared" si="315"/>
        <v>#N/A</v>
      </c>
      <c r="FG169" s="31" t="e">
        <f>IF(OR(Hypothèses!$B$4=17,Hypothèses!$B$4=18,Hypothèses!$B$4=19,Hypothèses!$B$4=20),
IF($D169="Pressio.",
IF(OR($E169=3,$E169=1,$E169=4),FF169,FE169),
IF($D169="Pénétro.",
IF(OR($E169=3,$E169=1,$E169=4),FF169,FE169))),IF($D169="Pressio.",
IF($E169=3,FF169,FE169),
IF($D169="Pénétro.",
IF($E169=4,FF169,FE169))))</f>
        <v>#N/A</v>
      </c>
      <c r="FH169" s="31" t="e">
        <f>(IF(OR(Hypothèses!$B$4=17,Hypothèses!$B$4=18,Hypothèses!$B$4=19,Hypothèses!$B$4=20),
IF($D169="Pressio.",
IF(OR($E169=3,$E169=1,$E169=4),(PI()*FH$12^2)/4*(FD169*$W169*1000)/($H169*$B$5),(PI()*FH$12^2)/4*(FD169*$W169*1000)/($G169*$B$5)),
IF($D169="Pénétro.",
IF(OR($E169=4,$E169=1,$E169=5),(PI()*FH$12^2)/4*(FD169*$W169*1000)/($H169*$B$5),(PI()*FH$12^2)/4*(FD169*$W169*1000)/($G169*$B$5)))),
IF($D169="Pressio.",
IF($E169=3,(PI()*FH$12^2)/4*(FD169*$W169*1000)/($H169*$B$5),(PI()*FH$12^2)/4*(FD169*$W169*1000)/($G169*$B$5)),
IF($D169="Pénétro.",
IF($E169=4,(PI()*FH$12^2)/4*(FD169*$W169*1000)/($H169*$B$5),(PI()*FH$12^2)/4*(FD169*$W169*1000)/($G169*$B$5))))))/10</f>
        <v>#N/A</v>
      </c>
      <c r="FI169" s="102" t="e">
        <f>(VLOOKUP($B$3,'Coeff EC7'!$T$39:$X$59,2,0)*FG169+VLOOKUP($B$3,'Coeff EC7'!$T$65:$X$85,2,0)*Model0.1C!FH169)/1.1</f>
        <v>#N/A</v>
      </c>
      <c r="FJ169" s="102" t="e">
        <f>(VLOOKUP($B$3,'Coeff EC7'!$T$39:$X$59,3,0)*FG169+VLOOKUP($B$3,'Coeff EC7'!$T$65:$X$85,3,0)*Model0.1C!FH169)/0.9</f>
        <v>#N/A</v>
      </c>
      <c r="FK169" s="102" t="e">
        <f t="shared" si="298"/>
        <v>#N/A</v>
      </c>
      <c r="FL169" s="102" t="e">
        <f t="shared" si="299"/>
        <v>#N/A</v>
      </c>
      <c r="FM169" s="414" t="e">
        <f>IF(FM168=0,0,IF(AND(FI169&gt;charge_ELS_quasi,FJ169&gt;Charge_ELS_freq,FK169&gt;charge_ELU,FL169&gt;charge_ELA,$B169&gt;NDC!$H$22-0.1+MIN(3*$FM$12,1.5)),0,1))</f>
        <v>#N/A</v>
      </c>
    </row>
    <row r="170" spans="1:169">
      <c r="A170" s="96">
        <f t="shared" si="267"/>
        <v>84.300000000000892</v>
      </c>
      <c r="B170" s="97">
        <v>15.7</v>
      </c>
      <c r="C170" s="81">
        <f>IF(B170&lt;=Hypothèses!$C$7,Hypothèses!$A$7,IF(B170&lt;=Hypothèses!$C$8,Hypothèses!$A$8,IF(B170&lt;=Hypothèses!$C$9,Hypothèses!$A$9,IF(B170&lt;=Hypothèses!$C$10,Hypothèses!$A$10,IF(B170&lt;=Hypothèses!$C$11,Hypothèses!$A$11,IF(B170&lt;=Hypothèses!$C$12,Hypothèses!$A$12,IF(B170&lt;=Hypothèses!$C$13,Hypothèses!$A$13,IF(B170&lt;=Hypothèses!$C$14,Hypothèses!$A$14,IF(B170&lt;=Hypothèses!$C$15,Hypothèses!$A$15,IF(B170&lt;=Hypothèses!$C$16,Hypothèses!$A$16,IF(B170&lt;=Hypothèses!$C$17,Hypothèses!$A$17,IF(B170&lt;=Hypothèses!$C$18,Hypothèses!$A$18,C169))))))))))))</f>
        <v>11</v>
      </c>
      <c r="D170" s="82" t="str">
        <f>IF(B170&lt;=Hypothèses!$C$7,Hypothèses!$R$7,IF(B170&lt;=Hypothèses!$C$8,Hypothèses!$R$8,IF(B170&lt;=Hypothèses!$C$9,Hypothèses!$R$9,IF(B170&lt;=Hypothèses!$C$10,Hypothèses!$R$10,IF(B170&lt;=Hypothèses!$C$11,Hypothèses!$R$11,IF(B170&lt;=Hypothèses!$C$12,Hypothèses!$R$12,IF(B170&lt;=Hypothèses!$C$13,Hypothèses!$R$13,IF(B170&lt;=Hypothèses!$C$14,Hypothèses!$R$14,IF(B170&lt;=Hypothèses!$C$15,Hypothèses!$R$15,IF(B170&lt;=Hypothèses!$C$16,Hypothèses!$R$16,IF(B170&lt;=Hypothèses!$C$17,Hypothèses!$R$17,IF(B170&lt;=Hypothèses!$C$18,Hypothèses!$R$18,D169))))))))))))</f>
        <v>Pressio.</v>
      </c>
      <c r="E170" s="82" t="e">
        <f>IF(B170&lt;=Hypothèses!$C$7,Hypothèses!$G$7,IF(B170&lt;=Hypothèses!$C$8,Hypothèses!$G$8,IF(B170&lt;=Hypothèses!$C$9,Hypothèses!$G$9,IF(B170&lt;=Hypothèses!$C$10,Hypothèses!$G$10,IF(B170&lt;=Hypothèses!$C$11,Hypothèses!$G$11,IF(B170&lt;=Hypothèses!$C$12,Hypothèses!$G$12,IF(B170&lt;=Hypothèses!$C$13,Hypothèses!$G$13,IF(B170&lt;=Hypothèses!$C$14,Hypothèses!$G$14,IF(B170&lt;=Hypothèses!$C$15,Hypothèses!$G$15,IF(B170&lt;=Hypothèses!$C$16,Hypothèses!$G$16,IF(B170&lt;=Hypothèses!$C$17,Hypothèses!$G$17,IF(B170&lt;=Hypothèses!$C$18,Hypothèses!$G$18,E169))))))))))))</f>
        <v>#N/A</v>
      </c>
      <c r="F170" s="82" t="str">
        <f>IF(B170&lt;=Hypothèses!$C$7,Hypothèses!$F$7,IF(B170&lt;=Hypothèses!$C$8,Hypothèses!$F$8,IF(B170&lt;=Hypothèses!$C$9,Hypothèses!$F$9,IF(B170&lt;=Hypothèses!$C$10,Hypothèses!$F$10,IF(B170&lt;=Hypothèses!$C$11,Hypothèses!$F$11,IF(B170&lt;=Hypothèses!$C$12,Hypothèses!$F$12,IF(B170&lt;=Hypothèses!$C$13,Hypothèses!$F$13,IF(B170&lt;=Hypothèses!$C$14,Hypothèses!$F$14,IF(B170&lt;=Hypothèses!$C$15,Hypothèses!$F$15,IF(B170&lt;=Hypothèses!$C$16,Hypothèses!$F$16,IF(B170&lt;=Hypothèses!$C$17,Hypothèses!$F$17,IF(B170&lt;=Hypothèses!$C$18,Hypothèses!$F$18,F169))))))))))))</f>
        <v/>
      </c>
      <c r="G170" s="91">
        <f t="array" ref="G170">INDEX('Coeff EC7'!$U$7:$X$27,
MATCH(Model0.1C!$B$3,'Coeff EC7'!$T$7:$T$27,0),
MATCH(Model0.1C!$D170&amp;Model0.1C!$B$4,
'Coeff EC7'!$U$6:$X$6&amp;
'Coeff EC7'!$U$5:$X$5,0))</f>
        <v>1.1499999999999999</v>
      </c>
      <c r="H170" s="91">
        <f t="array" ref="H170">INDEX('Coeff EC7'!$Y$7:$AB$27,
MATCH(Model0.1C!$B$3,'Coeff EC7'!$T$7:$T$27,0),
MATCH(Model0.1C!$D170&amp;Model0.1C!$B$4,
'Coeff EC7'!$Y$6:$AB$6&amp;
'Coeff EC7'!$Y$5:$AB$5,0))</f>
        <v>1.4</v>
      </c>
      <c r="I170" s="83" t="e">
        <f>IF(B170&lt;=Hypothèses!$C$7,Hypothèses!$P$7,IF(B170&lt;=Hypothèses!$C$8,Hypothèses!$P$8,IF(B170&lt;=Hypothèses!$C$9,Hypothèses!$P$9,IF(B170&lt;=Hypothèses!$C$10,Hypothèses!$P$10,IF(B170&lt;=Hypothèses!$C$11,Hypothèses!$P$11,IF(B170&lt;=Hypothèses!$C$12,Hypothèses!$P$12,IF(B170&lt;=Hypothèses!$C$13,Hypothèses!$P$13,IF(B170&lt;=Hypothèses!$C$14,Hypothèses!$P$14,IF(B170&lt;=Hypothèses!$C$15,Hypothèses!$P$15,IF(B170&lt;=Hypothèses!$C$16,Hypothèses!$P$16,IF(B170&lt;=Hypothèses!$C$17,Hypothèses!$P$17,IF(B170&lt;=Hypothèses!$C$18,Hypothèses!$P$18,I169))))))))))))</f>
        <v>#N/A</v>
      </c>
      <c r="J170" s="91" t="e">
        <f t="array" ref="J170">INDEX('Coeff EC7'!$D$33:$Q$33,1,MATCH(D170&amp;E170,'Coeff EC7'!$D$31:$Q$31&amp;'Coeff EC7'!$D$32:$Q$32,0))</f>
        <v>#N/A</v>
      </c>
      <c r="K170" s="91" t="e">
        <f t="array" ref="K170">INDEX('Coeff EC7'!$D$34:$Q$34,1,MATCH(D170&amp;E170,'Coeff EC7'!$D$31:$Q$31&amp;'Coeff EC7'!$D$32:$Q$32,0))</f>
        <v>#N/A</v>
      </c>
      <c r="L170" s="91" t="e">
        <f t="array" ref="L170">INDEX('Coeff EC7'!$D$35:$Q$35,1,MATCH(D170&amp;E170,'Coeff EC7'!$D$31:$Q$31&amp;'Coeff EC7'!$D$32:$Q$32,0))</f>
        <v>#N/A</v>
      </c>
      <c r="M170" s="98" t="e">
        <f t="shared" si="231"/>
        <v>#N/A</v>
      </c>
      <c r="N170" s="99" t="e">
        <f t="array" ref="N170">INDEX('Coeff EC7'!$D$7:$Q$27,MATCH($B$3,'Coeff EC7'!$C$7:$C$27,0),MATCH(D170&amp;E170,'Coeff EC7'!$D$5:$Q$5&amp;'Coeff EC7'!$D$6:$Q$6,0))</f>
        <v>#N/A</v>
      </c>
      <c r="O170" s="99" t="e">
        <f t="array" ref="O170">INDEX('Coeff EC7'!$D$41:$Q$61,MATCH($B$3,'Coeff EC7'!$C$41:$C$61,0),MATCH(D170&amp;E170,'Coeff EC7'!$D$39:$Q$39&amp;'Coeff EC7'!$D$40:$Q$40,0))</f>
        <v>#N/A</v>
      </c>
      <c r="P170" s="30" t="e">
        <f t="shared" si="268"/>
        <v>#N/A</v>
      </c>
      <c r="Q170" s="100" t="e">
        <f t="shared" si="233"/>
        <v>#N/A</v>
      </c>
      <c r="R170" s="86" t="b">
        <f t="shared" si="234"/>
        <v>0</v>
      </c>
      <c r="S170" s="86">
        <f t="shared" si="232"/>
        <v>0.5</v>
      </c>
      <c r="T170" s="86">
        <f t="shared" si="235"/>
        <v>0.5</v>
      </c>
      <c r="U170" s="30" t="e">
        <f t="shared" ca="1" si="269"/>
        <v>#DIV/0!</v>
      </c>
      <c r="V170" s="85" t="str">
        <f>IF(B170&lt;=Hypothèses!$V$7,Hypothèses!$W$7,IF(B170&lt;=Hypothèses!$V$8,Hypothèses!$W$8,IF(B170&lt;=Hypothèses!$V$9,Hypothèses!$W$9,IF(B170&lt;=Hypothèses!$V$10,Hypothèses!$W$10,IF(B170&lt;=Hypothèses!$V$11,Hypothèses!$W$11,IF(B170&lt;=Hypothèses!$V$12,Hypothèses!$W$12,IF(B170&lt;=Hypothèses!$V$13,Hypothèses!$W$13,IF(B170&lt;=Hypothèses!$V$14,Hypothèses!$W$14,IF(B170&lt;=Hypothèses!$V$15,Hypothèses!$W$15,IF(B170&lt;=Hypothèses!$V$16,Hypothèses!$W$16,IF(B170&lt;=Hypothèses!$V$17,Hypothèses!$W$17,IF(B170&lt;=Hypothèses!$V$18,Hypothèses!$W$18,""))))))))))))</f>
        <v/>
      </c>
      <c r="W170" s="87" t="e">
        <f t="shared" ca="1" si="316"/>
        <v>#DIV/0!</v>
      </c>
      <c r="X170" s="88" t="str">
        <f>IF(B170&lt;=Hypothèses!$V$7,Hypothèses!$X$7,IF(B170&lt;=Hypothèses!$V$8,Hypothèses!$X$8,IF(B170&lt;=Hypothèses!$V$9,Hypothèses!$X$9,IF(B170&lt;=Hypothèses!$V$10,Hypothèses!$X$10,IF(B170&lt;=Hypothèses!$V$11,Hypothèses!$X$11,IF(B170&lt;=Hypothèses!$V$12,Hypothèses!$X$12,IF(B170&lt;=Hypothèses!$V$13,Hypothèses!$X$13,IF(B170&lt;=Hypothèses!$V$14,Hypothèses!$X$14,IF(B170&lt;=Hypothèses!$V$15,Hypothèses!$X$15,IF(B170&lt;=Hypothèses!$V$16,Hypothèses!$X$16,IF(B170&lt;=Hypothèses!$U$17,Hypothèses!$W$17,IF(B170&lt;=Hypothèses!$U$18,Hypothèses!$W$18,""))))))))))))</f>
        <v/>
      </c>
      <c r="Y170" s="95" t="e">
        <f t="shared" ca="1" si="236"/>
        <v>#DIV/0!</v>
      </c>
      <c r="Z170" s="101" t="e">
        <f t="shared" si="237"/>
        <v>#N/A</v>
      </c>
      <c r="AA170" s="91" t="e">
        <f t="shared" si="238"/>
        <v>#N/A</v>
      </c>
      <c r="AB170" s="30" t="e">
        <f t="shared" si="300"/>
        <v>#N/A</v>
      </c>
      <c r="AC170" s="30" t="e">
        <f t="shared" si="301"/>
        <v>#N/A</v>
      </c>
      <c r="AD170" s="31" t="e">
        <f>IF(OR(Hypothèses!$B$4=17,Hypothèses!$B$4=18,Hypothèses!$B$4=19,Hypothèses!$B$4=20),
IF($D170="Pressio.",
IF(OR($E170=3,$E170=1,$E170=4),AC170,AB170),
IF($D170="Pénétro.",
IF(OR($E170=3,$E170=1,$E170=4),AC170,AB170))),IF($D170="Pressio.",
IF($E170=3,AC170,AB170),
IF($D170="Pénétro.",
IF($E170=4,AC170,AB170))))</f>
        <v>#N/A</v>
      </c>
      <c r="AE170" s="31" t="e">
        <f>(IF(OR(Hypothèses!$B$4=17,Hypothèses!$B$4=18,Hypothèses!$B$4=19,Hypothèses!$B$4=20),
IF($D170="Pressio.",
IF(OR($E170=3,$E170=1,$E170=4),(PI()*AE$12^2)/4*(AA170*$W170*1000)/($H170*$B$5),(PI()*AE$12^2)/4*(AA170*$W170*1000)/($G170*$B$5)),
IF($D170="Pénétro.",
IF(OR($E170=4,$E170=1,$E170=5),(PI()*AE$12^2)/4*(AA170*$W170*1000)/($H170*$B$5),(PI()*AE$12^2)/4*(AA170*$W170*1000)/($G170*$B$5)))),
IF($D170="Pressio.",
IF($E170=3,(PI()*AE$12^2)/4*(AA170*$W170*1000)/($H170*$B$5),(PI()*AE$12^2)/4*(AA170*$W170*1000)/($G170*$B$5)),
IF($D170="Pénétro.",
IF($E170=4,(PI()*AE$12^2)/4*(AA170*$W170*1000)/($H170*$B$5),(PI()*AE$12^2)/4*(AA170*$W170*1000)/($G170*$B$5))))))/10</f>
        <v>#N/A</v>
      </c>
      <c r="AF170" s="102" t="e">
        <f>(VLOOKUP($B$3,'Coeff EC7'!$T$39:$X$59,2,0)*AD170+VLOOKUP($B$3,'Coeff EC7'!$T$65:$X$85,2,0)*Model0.1C!AE170)/1.1</f>
        <v>#N/A</v>
      </c>
      <c r="AG170" s="102" t="e">
        <f>(VLOOKUP($B$3,'Coeff EC7'!$T$39:$X$59,3,0)*AD170+VLOOKUP($B$3,'Coeff EC7'!$T$65:$X$85,3,0)*Model0.1C!AE170)/0.9</f>
        <v>#N/A</v>
      </c>
      <c r="AH170" s="102" t="e">
        <f t="shared" si="239"/>
        <v>#N/A</v>
      </c>
      <c r="AI170" s="102" t="e">
        <f t="shared" si="240"/>
        <v>#N/A</v>
      </c>
      <c r="AJ170" s="414" t="e">
        <f>IF(AJ169=0,0,IF(AND(AF170&gt;charge_ELS_quasi,AG170&gt;Charge_ELS_freq,AH170&gt;charge_ELU,AI170&gt;charge_ELA,$B170&gt;NDC!$H$22-0.1+MIN(3*$AJ$12,1.5)),0,1))</f>
        <v>#N/A</v>
      </c>
      <c r="AK170" s="86" t="b">
        <f t="shared" si="241"/>
        <v>0</v>
      </c>
      <c r="AL170" s="86">
        <f t="shared" si="270"/>
        <v>0.5</v>
      </c>
      <c r="AM170" s="86">
        <f t="shared" si="242"/>
        <v>0.5</v>
      </c>
      <c r="AN170" s="30" t="e">
        <f t="shared" ca="1" si="271"/>
        <v>#DIV/0!</v>
      </c>
      <c r="AO170" s="85" t="e">
        <f ca="1">IF(U170&lt;=Hypothèses!$V$7,Hypothèses!$W$7,IF(U170&lt;=Hypothèses!$V$8,Hypothèses!$W$8,IF(U170&lt;=Hypothèses!$V$9,Hypothèses!$W$9,IF(U170&lt;=Hypothèses!$V$10,Hypothèses!$W$10,IF(U170&lt;=Hypothèses!$V$11,Hypothèses!$W$11,IF(U170&lt;=Hypothèses!$V$12,Hypothèses!$W$12,IF(U170&lt;=Hypothèses!$V$13,Hypothèses!$W$13,IF(U170&lt;=Hypothèses!$V$14,Hypothèses!$W$14,IF(U170&lt;=Hypothèses!$V$15,Hypothèses!$W$15,IF(U170&lt;=Hypothèses!$V$16,Hypothèses!$W$16,IF(U170&lt;=Hypothèses!$V$17,Hypothèses!$W$17,IF(U170&lt;=Hypothèses!$V$18,Hypothèses!$W$18,""))))))))))))</f>
        <v>#DIV/0!</v>
      </c>
      <c r="AP170" s="87" t="e">
        <f t="shared" ca="1" si="317"/>
        <v>#DIV/0!</v>
      </c>
      <c r="AQ170" s="88" t="e">
        <f ca="1">IF(U170&lt;=Hypothèses!$V$7,Hypothèses!$X$7,IF(U170&lt;=Hypothèses!$V$8,Hypothèses!$X$8,IF(U170&lt;=Hypothèses!$V$9,Hypothèses!$X$9,IF(U170&lt;=Hypothèses!$V$10,Hypothèses!$X$10,IF(U170&lt;=Hypothèses!$V$11,Hypothèses!$X$11,IF(U170&lt;=Hypothèses!$V$12,Hypothèses!$X$12,IF(U170&lt;=Hypothèses!$V$13,Hypothèses!$X$13,IF(U170&lt;=Hypothèses!$V$14,Hypothèses!$X$14,IF(U170&lt;=Hypothèses!$V$15,Hypothèses!$X$15,IF(U170&lt;=Hypothèses!$V$16,Hypothèses!$X$16,IF(U170&lt;=Hypothèses!$U$17,Hypothèses!$W$17,IF(U170&lt;=Hypothèses!$U$18,Hypothèses!$W$18,""))))))))))))</f>
        <v>#DIV/0!</v>
      </c>
      <c r="AR170" s="95" t="e">
        <f t="shared" ca="1" si="272"/>
        <v>#DIV/0!</v>
      </c>
      <c r="AS170" s="101" t="e">
        <f t="shared" si="324"/>
        <v>#N/A</v>
      </c>
      <c r="AT170" s="91" t="e">
        <f t="shared" si="243"/>
        <v>#N/A</v>
      </c>
      <c r="AU170" s="30" t="e">
        <f t="shared" si="302"/>
        <v>#N/A</v>
      </c>
      <c r="AV170" s="30" t="e">
        <f t="shared" si="303"/>
        <v>#N/A</v>
      </c>
      <c r="AW170" s="31" t="e">
        <f>IF(OR(Hypothèses!$B$4=17,Hypothèses!$B$4=18,Hypothèses!$B$4=19,Hypothèses!$B$4=20),
IF($D170="Pressio.",
IF(OR($E170=3,$E170=1,$E170=4),AV170,AU170),
IF($D170="Pénétro.",
IF(OR($E170=3,$E170=1,$E170=4),AV170,AU170))),IF($D170="Pressio.",
IF($E170=3,AV170,AU170),
IF($D170="Pénétro.",
IF($E170=4,AV170,AU170))))</f>
        <v>#N/A</v>
      </c>
      <c r="AX170" s="31" t="e">
        <f>(IF(OR(Hypothèses!$B$4=17,Hypothèses!$B$4=18,Hypothèses!$B$4=19,Hypothèses!$B$4=20),
IF($D170="Pressio.",
IF(OR($E170=3,$E170=1,$E170=4),(PI()*AX$12^2)/4*(AT170*$W170*1000)/($H170*$B$5),(PI()*AX$12^2)/4*(AT170*$W170*1000)/($G170*$B$5)),
IF($D170="Pénétro.",
IF(OR($E170=4,$E170=1,$E170=5),(PI()*AX$12^2)/4*(AT170*$W170*1000)/($H170*$B$5),(PI()*AX$12^2)/4*(AT170*$W170*1000)/($G170*$B$5)))),
IF($D170="Pressio.",
IF($E170=3,(PI()*AX$12^2)/4*(AT170*$W170*1000)/($H170*$B$5),(PI()*AX$12^2)/4*(AT170*$W170*1000)/($G170*$B$5)),
IF($D170="Pénétro.",
IF($E170=4,(PI()*AX$12^2)/4*(AT170*$W170*1000)/($H170*$B$5),(PI()*AX$12^2)/4*(AT170*$W170*1000)/($G170*$B$5))))))/10</f>
        <v>#N/A</v>
      </c>
      <c r="AY170" s="102" t="e">
        <f>(VLOOKUP($B$3,'Coeff EC7'!$T$39:$X$59,2,0)*AW170+VLOOKUP($B$3,'Coeff EC7'!$T$65:$X$85,2,0)*Model0.1C!AX170)/1.1</f>
        <v>#N/A</v>
      </c>
      <c r="AZ170" s="102" t="e">
        <f>(VLOOKUP($B$3,'Coeff EC7'!$T$39:$X$59,3,0)*AW170+VLOOKUP($B$3,'Coeff EC7'!$T$65:$X$85,3,0)*Model0.1C!AX170)/0.9</f>
        <v>#N/A</v>
      </c>
      <c r="BA170" s="102" t="e">
        <f t="shared" si="273"/>
        <v>#N/A</v>
      </c>
      <c r="BB170" s="102" t="e">
        <f t="shared" si="274"/>
        <v>#N/A</v>
      </c>
      <c r="BC170" s="414" t="e">
        <f>IF(BC169=0,0,IF(AND(AY170&gt;charge_ELS_quasi,AZ170&gt;Charge_ELS_freq,BA170&gt;charge_ELU,BB170&gt;charge_ELA,$B170&gt;NDC!$H$22-0.1+MIN(3*$BC$12,1.5)),0,1))</f>
        <v>#N/A</v>
      </c>
      <c r="BD170" s="86" t="b">
        <f t="shared" si="244"/>
        <v>0</v>
      </c>
      <c r="BE170" s="86">
        <f t="shared" si="275"/>
        <v>0.5</v>
      </c>
      <c r="BF170" s="86">
        <f t="shared" si="245"/>
        <v>0.5</v>
      </c>
      <c r="BG170" s="30" t="e">
        <f t="shared" ca="1" si="276"/>
        <v>#DIV/0!</v>
      </c>
      <c r="BH170" s="85" t="e">
        <f ca="1">IF(AN170&lt;=Hypothèses!$V$7,Hypothèses!$W$7,IF(AN170&lt;=Hypothèses!$V$8,Hypothèses!$W$8,IF(AN170&lt;=Hypothèses!$V$9,Hypothèses!$W$9,IF(AN170&lt;=Hypothèses!$V$10,Hypothèses!$W$10,IF(AN170&lt;=Hypothèses!$V$11,Hypothèses!$W$11,IF(AN170&lt;=Hypothèses!$V$12,Hypothèses!$W$12,IF(AN170&lt;=Hypothèses!$V$13,Hypothèses!$W$13,IF(AN170&lt;=Hypothèses!$V$14,Hypothèses!$W$14,IF(AN170&lt;=Hypothèses!$V$15,Hypothèses!$W$15,IF(AN170&lt;=Hypothèses!$V$16,Hypothèses!$W$16,IF(AN170&lt;=Hypothèses!$V$17,Hypothèses!$W$17,IF(AN170&lt;=Hypothèses!$V$18,Hypothèses!$W$18,""))))))))))))</f>
        <v>#DIV/0!</v>
      </c>
      <c r="BI170" s="87" t="e">
        <f t="shared" ca="1" si="318"/>
        <v>#DIV/0!</v>
      </c>
      <c r="BJ170" s="88" t="e">
        <f ca="1">IF(AN170&lt;=Hypothèses!$V$7,Hypothèses!$X$7,IF(AN170&lt;=Hypothèses!$V$8,Hypothèses!$X$8,IF(AN170&lt;=Hypothèses!$V$9,Hypothèses!$X$9,IF(AN170&lt;=Hypothèses!$V$10,Hypothèses!$X$10,IF(AN170&lt;=Hypothèses!$V$11,Hypothèses!$X$11,IF(AN170&lt;=Hypothèses!$V$12,Hypothèses!$X$12,IF(AN170&lt;=Hypothèses!$V$13,Hypothèses!$X$13,IF(AN170&lt;=Hypothèses!$V$14,Hypothèses!$X$14,IF(AN170&lt;=Hypothèses!$V$15,Hypothèses!$X$15,IF(AN170&lt;=Hypothèses!$V$16,Hypothèses!$X$16,IF(AN170&lt;=Hypothèses!$U$17,Hypothèses!$W$17,IF(AN170&lt;=Hypothèses!$U$18,Hypothèses!$W$18,""))))))))))))</f>
        <v>#DIV/0!</v>
      </c>
      <c r="BK170" s="95" t="e">
        <f t="shared" ca="1" si="277"/>
        <v>#DIV/0!</v>
      </c>
      <c r="BL170" s="101" t="e">
        <f t="shared" si="325"/>
        <v>#N/A</v>
      </c>
      <c r="BM170" s="91" t="e">
        <f t="shared" si="246"/>
        <v>#N/A</v>
      </c>
      <c r="BN170" s="30" t="e">
        <f t="shared" si="304"/>
        <v>#N/A</v>
      </c>
      <c r="BO170" s="30" t="e">
        <f t="shared" si="305"/>
        <v>#N/A</v>
      </c>
      <c r="BP170" s="31" t="e">
        <f>IF(OR(Hypothèses!$B$4=17,Hypothèses!$B$4=18,Hypothèses!$B$4=19,Hypothèses!$B$4=20),
IF($D170="Pressio.",
IF(OR($E170=3,$E170=1,$E170=4),BO170,BN170),
IF($D170="Pénétro.",
IF(OR($E170=3,$E170=1,$E170=4),BO170,BN170))),IF($D170="Pressio.",
IF($E170=3,BO170,BN170),
IF($D170="Pénétro.",
IF($E170=4,BO170,BN170))))</f>
        <v>#N/A</v>
      </c>
      <c r="BQ170" s="31" t="e">
        <f>(IF(OR(Hypothèses!$B$4=17,Hypothèses!$B$4=18,Hypothèses!$B$4=19,Hypothèses!$B$4=20),
IF($D170="Pressio.",
IF(OR($E170=3,$E170=1,$E170=4),(PI()*BQ$12^2)/4*(BM170*$W170*1000)/($H170*$B$5),(PI()*BQ$12^2)/4*(BM170*$W170*1000)/($G170*$B$5)),
IF($D170="Pénétro.",
IF(OR($E170=4,$E170=1,$E170=5),(PI()*BQ$12^2)/4*(BM170*$W170*1000)/($H170*$B$5),(PI()*BQ$12^2)/4*(BM170*$W170*1000)/($G170*$B$5)))),
IF($D170="Pressio.",
IF($E170=3,(PI()*BQ$12^2)/4*(BM170*$W170*1000)/($H170*$B$5),(PI()*BQ$12^2)/4*(BM170*$W170*1000)/($G170*$B$5)),
IF($D170="Pénétro.",
IF($E170=4,(PI()*BQ$12^2)/4*(BM170*$W170*1000)/($H170*$B$5),(PI()*BQ$12^2)/4*(BM170*$W170*1000)/($G170*$B$5))))))/10</f>
        <v>#N/A</v>
      </c>
      <c r="BR170" s="102" t="e">
        <f>(VLOOKUP($B$3,'Coeff EC7'!$T$39:$X$59,2,0)*BP170+VLOOKUP($B$3,'Coeff EC7'!$T$65:$X$85,2,0)*Model0.1C!BQ170)/1.1</f>
        <v>#N/A</v>
      </c>
      <c r="BS170" s="102" t="e">
        <f>(VLOOKUP($B$3,'Coeff EC7'!$T$39:$X$59,3,0)*BP170+VLOOKUP($B$3,'Coeff EC7'!$T$65:$X$85,3,0)*Model0.1C!BQ170)/0.9</f>
        <v>#N/A</v>
      </c>
      <c r="BT170" s="102" t="e">
        <f t="shared" si="278"/>
        <v>#N/A</v>
      </c>
      <c r="BU170" s="102" t="e">
        <f t="shared" si="279"/>
        <v>#N/A</v>
      </c>
      <c r="BV170" s="414" t="e">
        <f>IF(BV169=0,0,IF(AND(BR170&gt;charge_ELS_quasi,BS170&gt;Charge_ELS_freq,BT170&gt;charge_ELU,BU170&gt;charge_ELA,$B170&gt;NDC!$H$22-0.1+MIN(3*$BV$12,1.5)),0,1))</f>
        <v>#N/A</v>
      </c>
      <c r="BW170" s="86" t="b">
        <f t="shared" si="247"/>
        <v>0</v>
      </c>
      <c r="BX170" s="86">
        <f t="shared" si="248"/>
        <v>0.5</v>
      </c>
      <c r="BY170" s="86">
        <f t="shared" si="249"/>
        <v>0.5</v>
      </c>
      <c r="BZ170" s="30" t="e">
        <f t="shared" ca="1" si="280"/>
        <v>#DIV/0!</v>
      </c>
      <c r="CA170" s="85" t="e">
        <f ca="1">IF(BG170&lt;=Hypothèses!$V$7,Hypothèses!$W$7,IF(BG170&lt;=Hypothèses!$V$8,Hypothèses!$W$8,IF(BG170&lt;=Hypothèses!$V$9,Hypothèses!$W$9,IF(BG170&lt;=Hypothèses!$V$10,Hypothèses!$W$10,IF(BG170&lt;=Hypothèses!$V$11,Hypothèses!$W$11,IF(BG170&lt;=Hypothèses!$V$12,Hypothèses!$W$12,IF(BG170&lt;=Hypothèses!$V$13,Hypothèses!$W$13,IF(BG170&lt;=Hypothèses!$V$14,Hypothèses!$W$14,IF(BG170&lt;=Hypothèses!$V$15,Hypothèses!$W$15,IF(BG170&lt;=Hypothèses!$V$16,Hypothèses!$W$16,IF(BG170&lt;=Hypothèses!$V$17,Hypothèses!$W$17,IF(BG170&lt;=Hypothèses!$V$18,Hypothèses!$W$18,""))))))))))))</f>
        <v>#DIV/0!</v>
      </c>
      <c r="CB170" s="87" t="e">
        <f t="shared" ca="1" si="319"/>
        <v>#DIV/0!</v>
      </c>
      <c r="CC170" s="88" t="e">
        <f ca="1">IF(BG170&lt;=Hypothèses!$V$7,Hypothèses!$X$7,IF(BG170&lt;=Hypothèses!$V$8,Hypothèses!$X$8,IF(BG170&lt;=Hypothèses!$V$9,Hypothèses!$X$9,IF(BG170&lt;=Hypothèses!$V$10,Hypothèses!$X$10,IF(BG170&lt;=Hypothèses!$V$11,Hypothèses!$X$11,IF(BG170&lt;=Hypothèses!$V$12,Hypothèses!$X$12,IF(BG170&lt;=Hypothèses!$V$13,Hypothèses!$X$13,IF(BG170&lt;=Hypothèses!$V$14,Hypothèses!$X$14,IF(BG170&lt;=Hypothèses!$V$15,Hypothèses!$X$15,IF(BG170&lt;=Hypothèses!$V$16,Hypothèses!$X$16,IF(BG170&lt;=Hypothèses!$U$17,Hypothèses!$W$17,IF(BG170&lt;=Hypothèses!$U$18,Hypothèses!$W$18,""))))))))))))</f>
        <v>#DIV/0!</v>
      </c>
      <c r="CD170" s="95" t="e">
        <f t="shared" ca="1" si="281"/>
        <v>#DIV/0!</v>
      </c>
      <c r="CE170" s="101" t="e">
        <f t="shared" si="326"/>
        <v>#N/A</v>
      </c>
      <c r="CF170" s="91" t="e">
        <f t="shared" si="250"/>
        <v>#N/A</v>
      </c>
      <c r="CG170" s="30" t="e">
        <f t="shared" si="306"/>
        <v>#N/A</v>
      </c>
      <c r="CH170" s="30" t="e">
        <f t="shared" si="307"/>
        <v>#N/A</v>
      </c>
      <c r="CI170" s="31" t="e">
        <f>IF(OR(Hypothèses!$B$4=17,Hypothèses!$B$4=18,Hypothèses!$B$4=19,Hypothèses!$B$4=20),
IF($D170="Pressio.",
IF(OR($E170=3,$E170=1,$E170=4),CH170,CG170),
IF($D170="Pénétro.",
IF(OR($E170=3,$E170=1,$E170=4),CH170,CG170))),IF($D170="Pressio.",
IF($E170=3,CH170,CG170),
IF($D170="Pénétro.",
IF($E170=4,CH170,CG170))))</f>
        <v>#N/A</v>
      </c>
      <c r="CJ170" s="31" t="e">
        <f>(IF(OR(Hypothèses!$B$4=17,Hypothèses!$B$4=18,Hypothèses!$B$4=19,Hypothèses!$B$4=20),
IF($D170="Pressio.",
IF(OR($E170=3,$E170=1,$E170=4),(PI()*CJ$12^2)/4*(CF170*$W170*1000)/($H170*$B$5),(PI()*CJ$12^2)/4*(CF170*$W170*1000)/($G170*$B$5)),
IF($D170="Pénétro.",
IF(OR($E170=4,$E170=1,$E170=5),(PI()*CJ$12^2)/4*(CF170*$W170*1000)/($H170*$B$5),(PI()*CJ$12^2)/4*(CF170*$W170*1000)/($G170*$B$5)))),
IF($D170="Pressio.",
IF($E170=3,(PI()*CJ$12^2)/4*(CF170*$W170*1000)/($H170*$B$5),(PI()*CJ$12^2)/4*(CF170*$W170*1000)/($G170*$B$5)),
IF($D170="Pénétro.",
IF($E170=4,(PI()*CJ$12^2)/4*(CF170*$W170*1000)/($H170*$B$5),(PI()*CJ$12^2)/4*(CF170*$W170*1000)/($G170*$B$5))))))/10</f>
        <v>#N/A</v>
      </c>
      <c r="CK170" s="102" t="e">
        <f>(VLOOKUP($B$3,'Coeff EC7'!$T$39:$X$59,2,0)*CI170+VLOOKUP($B$3,'Coeff EC7'!$T$65:$X$85,2,0)*Model0.1C!CJ170)/1.1</f>
        <v>#N/A</v>
      </c>
      <c r="CL170" s="102" t="e">
        <f>(VLOOKUP($B$3,'Coeff EC7'!$T$39:$X$59,3,0)*CI170+VLOOKUP($B$3,'Coeff EC7'!$T$65:$X$85,3,0)*Model0.1C!CJ170)/0.9</f>
        <v>#N/A</v>
      </c>
      <c r="CM170" s="102" t="e">
        <f t="shared" si="282"/>
        <v>#N/A</v>
      </c>
      <c r="CN170" s="102" t="e">
        <f t="shared" si="283"/>
        <v>#N/A</v>
      </c>
      <c r="CO170" s="414" t="e">
        <f>IF(CO169=0,0,IF(AND(CK170&gt;charge_ELS_quasi,CL170&gt;Charge_ELS_freq,CM170&gt;charge_ELU,CN170&gt;charge_ELA,$B170&gt;NDC!$H$22-0.1+MIN(3*$CO$12,1.5)),0,1))</f>
        <v>#N/A</v>
      </c>
      <c r="CP170" s="86" t="b">
        <f t="shared" si="251"/>
        <v>0</v>
      </c>
      <c r="CQ170" s="86">
        <f t="shared" si="252"/>
        <v>0.5</v>
      </c>
      <c r="CR170" s="86">
        <f t="shared" si="253"/>
        <v>0.5</v>
      </c>
      <c r="CS170" s="30" t="e">
        <f t="shared" ca="1" si="284"/>
        <v>#DIV/0!</v>
      </c>
      <c r="CT170" s="85" t="e">
        <f ca="1">IF(BZ170&lt;=Hypothèses!$V$7,Hypothèses!$W$7,IF(BZ170&lt;=Hypothèses!$V$8,Hypothèses!$W$8,IF(BZ170&lt;=Hypothèses!$V$9,Hypothèses!$W$9,IF(BZ170&lt;=Hypothèses!$V$10,Hypothèses!$W$10,IF(BZ170&lt;=Hypothèses!$V$11,Hypothèses!$W$11,IF(BZ170&lt;=Hypothèses!$V$12,Hypothèses!$W$12,IF(BZ170&lt;=Hypothèses!$V$13,Hypothèses!$W$13,IF(BZ170&lt;=Hypothèses!$V$14,Hypothèses!$W$14,IF(BZ170&lt;=Hypothèses!$V$15,Hypothèses!$W$15,IF(BZ170&lt;=Hypothèses!$V$16,Hypothèses!$W$16,IF(BZ170&lt;=Hypothèses!$V$17,Hypothèses!$W$17,IF(BZ170&lt;=Hypothèses!$V$18,Hypothèses!$W$18,""))))))))))))</f>
        <v>#DIV/0!</v>
      </c>
      <c r="CU170" s="87" t="e">
        <f t="shared" ca="1" si="320"/>
        <v>#DIV/0!</v>
      </c>
      <c r="CV170" s="88" t="e">
        <f ca="1">IF(BZ170&lt;=Hypothèses!$V$7,Hypothèses!$X$7,IF(BZ170&lt;=Hypothèses!$V$8,Hypothèses!$X$8,IF(BZ170&lt;=Hypothèses!$V$9,Hypothèses!$X$9,IF(BZ170&lt;=Hypothèses!$V$10,Hypothèses!$X$10,IF(BZ170&lt;=Hypothèses!$V$11,Hypothèses!$X$11,IF(BZ170&lt;=Hypothèses!$V$12,Hypothèses!$X$12,IF(BZ170&lt;=Hypothèses!$V$13,Hypothèses!$X$13,IF(BZ170&lt;=Hypothèses!$V$14,Hypothèses!$X$14,IF(BZ170&lt;=Hypothèses!$V$15,Hypothèses!$X$15,IF(BZ170&lt;=Hypothèses!$V$16,Hypothèses!$X$16,IF(BZ170&lt;=Hypothèses!$U$17,Hypothèses!$W$17,IF(BZ170&lt;=Hypothèses!$U$18,Hypothèses!$W$18,""))))))))))))</f>
        <v>#DIV/0!</v>
      </c>
      <c r="CW170" s="95" t="e">
        <f t="shared" ca="1" si="285"/>
        <v>#DIV/0!</v>
      </c>
      <c r="CX170" s="101" t="e">
        <f t="shared" si="327"/>
        <v>#N/A</v>
      </c>
      <c r="CY170" s="91" t="e">
        <f t="shared" si="254"/>
        <v>#N/A</v>
      </c>
      <c r="CZ170" s="30" t="e">
        <f t="shared" si="308"/>
        <v>#N/A</v>
      </c>
      <c r="DA170" s="30" t="e">
        <f t="shared" si="309"/>
        <v>#N/A</v>
      </c>
      <c r="DB170" s="31" t="e">
        <f>IF(OR(Hypothèses!$B$4=17,Hypothèses!$B$4=18,Hypothèses!$B$4=19,Hypothèses!$B$4=20),
IF($D170="Pressio.",
IF(OR($E170=3,$E170=1,$E170=4),DA170,CZ170),
IF($D170="Pénétro.",
IF(OR($E170=3,$E170=1,$E170=4),DA170,CZ170))),IF($D170="Pressio.",
IF($E170=3,DA170,CZ170),
IF($D170="Pénétro.",
IF($E170=4,DA170,CZ170))))</f>
        <v>#N/A</v>
      </c>
      <c r="DC170" s="31" t="e">
        <f>(IF(OR(Hypothèses!$B$4=17,Hypothèses!$B$4=18,Hypothèses!$B$4=19,Hypothèses!$B$4=20),
IF($D170="Pressio.",
IF(OR($E170=3,$E170=1,$E170=4),(PI()*DC$12^2)/4*(CY170*$W170*1000)/($H170*$B$5),(PI()*DC$12^2)/4*(CY170*$W170*1000)/($G170*$B$5)),
IF($D170="Pénétro.",
IF(OR($E170=4,$E170=1,$E170=5),(PI()*DC$12^2)/4*(CY170*$W170*1000)/($H170*$B$5),(PI()*DC$12^2)/4*(CY170*$W170*1000)/($G170*$B$5)))),
IF($D170="Pressio.",
IF($E170=3,(PI()*DC$12^2)/4*(CY170*$W170*1000)/($H170*$B$5),(PI()*DC$12^2)/4*(CY170*$W170*1000)/($G170*$B$5)),
IF($D170="Pénétro.",
IF($E170=4,(PI()*DC$12^2)/4*(CY170*$W170*1000)/($H170*$B$5),(PI()*DC$12^2)/4*(CY170*$W170*1000)/($G170*$B$5))))))/10</f>
        <v>#N/A</v>
      </c>
      <c r="DD170" s="102" t="e">
        <f>(VLOOKUP($B$3,'Coeff EC7'!$T$39:$X$59,2,0)*DB170+VLOOKUP($B$3,'Coeff EC7'!$T$65:$X$85,2,0)*Model0.1C!DC170)/1.1</f>
        <v>#N/A</v>
      </c>
      <c r="DE170" s="102" t="e">
        <f>(VLOOKUP($B$3,'Coeff EC7'!$T$39:$X$59,3,0)*DB170+VLOOKUP($B$3,'Coeff EC7'!$T$65:$X$85,3,0)*Model0.1C!DC170)/0.9</f>
        <v>#N/A</v>
      </c>
      <c r="DF170" s="102" t="e">
        <f t="shared" si="286"/>
        <v>#N/A</v>
      </c>
      <c r="DG170" s="102" t="e">
        <f t="shared" si="287"/>
        <v>#N/A</v>
      </c>
      <c r="DH170" s="414" t="e">
        <f>IF(DH169=0,0,IF(AND(DD170&gt;charge_ELS_quasi,DE170&gt;Charge_ELS_freq,DF170&gt;charge_ELU,DG170&gt;charge_ELA,$B170&gt;NDC!$H$22-0.1+MIN(3*$DH$12,1.5)),0,1))</f>
        <v>#N/A</v>
      </c>
      <c r="DI170" s="86" t="b">
        <f t="shared" si="255"/>
        <v>0</v>
      </c>
      <c r="DJ170" s="86">
        <f t="shared" si="256"/>
        <v>0.5</v>
      </c>
      <c r="DK170" s="86">
        <f t="shared" si="257"/>
        <v>0.5</v>
      </c>
      <c r="DL170" s="30" t="e">
        <f t="shared" ca="1" si="288"/>
        <v>#DIV/0!</v>
      </c>
      <c r="DM170" s="85" t="e">
        <f ca="1">IF(CS170&lt;=Hypothèses!$V$7,Hypothèses!$W$7,IF(CS170&lt;=Hypothèses!$V$8,Hypothèses!$W$8,IF(CS170&lt;=Hypothèses!$V$9,Hypothèses!$W$9,IF(CS170&lt;=Hypothèses!$V$10,Hypothèses!$W$10,IF(CS170&lt;=Hypothèses!$V$11,Hypothèses!$W$11,IF(CS170&lt;=Hypothèses!$V$12,Hypothèses!$W$12,IF(CS170&lt;=Hypothèses!$V$13,Hypothèses!$W$13,IF(CS170&lt;=Hypothèses!$V$14,Hypothèses!$W$14,IF(CS170&lt;=Hypothèses!$V$15,Hypothèses!$W$15,IF(CS170&lt;=Hypothèses!$V$16,Hypothèses!$W$16,IF(CS170&lt;=Hypothèses!$V$17,Hypothèses!$W$17,IF(CS170&lt;=Hypothèses!$V$18,Hypothèses!$W$18,""))))))))))))</f>
        <v>#DIV/0!</v>
      </c>
      <c r="DN170" s="87" t="e">
        <f t="shared" ca="1" si="321"/>
        <v>#DIV/0!</v>
      </c>
      <c r="DO170" s="88" t="e">
        <f ca="1">IF(CS170&lt;=Hypothèses!$V$7,Hypothèses!$X$7,IF(CS170&lt;=Hypothèses!$V$8,Hypothèses!$X$8,IF(CS170&lt;=Hypothèses!$V$9,Hypothèses!$X$9,IF(CS170&lt;=Hypothèses!$V$10,Hypothèses!$X$10,IF(CS170&lt;=Hypothèses!$V$11,Hypothèses!$X$11,IF(CS170&lt;=Hypothèses!$V$12,Hypothèses!$X$12,IF(CS170&lt;=Hypothèses!$V$13,Hypothèses!$X$13,IF(CS170&lt;=Hypothèses!$V$14,Hypothèses!$X$14,IF(CS170&lt;=Hypothèses!$V$15,Hypothèses!$X$15,IF(CS170&lt;=Hypothèses!$V$16,Hypothèses!$X$16,IF(CS170&lt;=Hypothèses!$U$17,Hypothèses!$W$17,IF(CS170&lt;=Hypothèses!$U$18,Hypothèses!$W$18,""))))))))))))</f>
        <v>#DIV/0!</v>
      </c>
      <c r="DP170" s="95" t="e">
        <f t="shared" ca="1" si="289"/>
        <v>#DIV/0!</v>
      </c>
      <c r="DQ170" s="101" t="e">
        <f t="shared" si="328"/>
        <v>#N/A</v>
      </c>
      <c r="DR170" s="91" t="e">
        <f t="shared" si="258"/>
        <v>#N/A</v>
      </c>
      <c r="DS170" s="30" t="e">
        <f t="shared" si="310"/>
        <v>#N/A</v>
      </c>
      <c r="DT170" s="30" t="e">
        <f t="shared" si="311"/>
        <v>#N/A</v>
      </c>
      <c r="DU170" s="31" t="e">
        <f>IF(OR(Hypothèses!$B$4=17,Hypothèses!$B$4=18,Hypothèses!$B$4=19,Hypothèses!$B$4=20),
IF($D170="Pressio.",
IF(OR($E170=3,$E170=1,$E170=4),DT170,DS170),
IF($D170="Pénétro.",
IF(OR($E170=3,$E170=1,$E170=4),DT170,DS170))),IF($D170="Pressio.",
IF($E170=3,DT170,DS170),
IF($D170="Pénétro.",
IF($E170=4,DT170,DS170))))</f>
        <v>#N/A</v>
      </c>
      <c r="DV170" s="31" t="e">
        <f>(IF(OR(Hypothèses!$B$4=17,Hypothèses!$B$4=18,Hypothèses!$B$4=19,Hypothèses!$B$4=20),
IF($D170="Pressio.",
IF(OR($E170=3,$E170=1,$E170=4),(PI()*DV$12^2)/4*(DR170*$W170*1000)/($H170*$B$5),(PI()*DV$12^2)/4*(DR170*$W170*1000)/($G170*$B$5)),
IF($D170="Pénétro.",
IF(OR($E170=4,$E170=1,$E170=5),(PI()*DV$12^2)/4*(DR170*$W170*1000)/($H170*$B$5),(PI()*DV$12^2)/4*(DR170*$W170*1000)/($G170*$B$5)))),
IF($D170="Pressio.",
IF($E170=3,(PI()*DV$12^2)/4*(DR170*$W170*1000)/($H170*$B$5),(PI()*DV$12^2)/4*(DR170*$W170*1000)/($G170*$B$5)),
IF($D170="Pénétro.",
IF($E170=4,(PI()*DV$12^2)/4*(DR170*$W170*1000)/($H170*$B$5),(PI()*DV$12^2)/4*(DR170*$W170*1000)/($G170*$B$5))))))/10</f>
        <v>#N/A</v>
      </c>
      <c r="DW170" s="102" t="e">
        <f>(VLOOKUP($B$3,'Coeff EC7'!$T$39:$X$59,2,0)*DU170+VLOOKUP($B$3,'Coeff EC7'!$T$65:$X$85,2,0)*Model0.1C!DV170)/1.1</f>
        <v>#N/A</v>
      </c>
      <c r="DX170" s="102" t="e">
        <f>(VLOOKUP($B$3,'Coeff EC7'!$T$39:$X$59,3,0)*DU170+VLOOKUP($B$3,'Coeff EC7'!$T$65:$X$85,3,0)*Model0.1C!DV170)/0.9</f>
        <v>#N/A</v>
      </c>
      <c r="DY170" s="102" t="e">
        <f t="shared" si="290"/>
        <v>#N/A</v>
      </c>
      <c r="DZ170" s="102" t="e">
        <f t="shared" si="291"/>
        <v>#N/A</v>
      </c>
      <c r="EA170" s="414" t="e">
        <f>IF(EA169=0,0,IF(AND(DW170&gt;charge_ELS_quasi,DX170&gt;Charge_ELS_freq,DY170&gt;charge_ELU,DZ170&gt;charge_ELA,$B170&gt;NDC!$H$22-0.1+MIN(3*$EA$12,1.5)),0,1))</f>
        <v>#N/A</v>
      </c>
      <c r="EB170" s="86" t="b">
        <f t="shared" si="259"/>
        <v>0</v>
      </c>
      <c r="EC170" s="418">
        <f t="shared" si="260"/>
        <v>0.51</v>
      </c>
      <c r="ED170" s="86">
        <f t="shared" si="261"/>
        <v>0.51</v>
      </c>
      <c r="EE170" s="30" t="e">
        <f t="shared" ca="1" si="292"/>
        <v>#DIV/0!</v>
      </c>
      <c r="EF170" s="85" t="e">
        <f ca="1">IF(DL170&lt;=Hypothèses!$V$7,Hypothèses!$W$7,IF(DL170&lt;=Hypothèses!$V$8,Hypothèses!$W$8,IF(DL170&lt;=Hypothèses!$V$9,Hypothèses!$W$9,IF(DL170&lt;=Hypothèses!$V$10,Hypothèses!$W$10,IF(DL170&lt;=Hypothèses!$V$11,Hypothèses!$W$11,IF(DL170&lt;=Hypothèses!$V$12,Hypothèses!$W$12,IF(DL170&lt;=Hypothèses!$V$13,Hypothèses!$W$13,IF(DL170&lt;=Hypothèses!$V$14,Hypothèses!$W$14,IF(DL170&lt;=Hypothèses!$V$15,Hypothèses!$W$15,IF(DL170&lt;=Hypothèses!$V$16,Hypothèses!$W$16,IF(DL170&lt;=Hypothèses!$V$17,Hypothèses!$W$17,IF(DL170&lt;=Hypothèses!$V$18,Hypothèses!$W$18,""))))))))))))</f>
        <v>#DIV/0!</v>
      </c>
      <c r="EG170" s="87" t="e">
        <f t="shared" ca="1" si="322"/>
        <v>#DIV/0!</v>
      </c>
      <c r="EH170" s="88" t="e">
        <f ca="1">IF(DL170&lt;=Hypothèses!$V$7,Hypothèses!$X$7,IF(DL170&lt;=Hypothèses!$V$8,Hypothèses!$X$8,IF(DL170&lt;=Hypothèses!$V$9,Hypothèses!$X$9,IF(DL170&lt;=Hypothèses!$V$10,Hypothèses!$X$10,IF(DL170&lt;=Hypothèses!$V$11,Hypothèses!$X$11,IF(DL170&lt;=Hypothèses!$V$12,Hypothèses!$X$12,IF(DL170&lt;=Hypothèses!$V$13,Hypothèses!$X$13,IF(DL170&lt;=Hypothèses!$V$14,Hypothèses!$X$14,IF(DL170&lt;=Hypothèses!$V$15,Hypothèses!$X$15,IF(DL170&lt;=Hypothèses!$V$16,Hypothèses!$X$16,IF(DL170&lt;=Hypothèses!$U$17,Hypothèses!$W$17,IF(DL170&lt;=Hypothèses!$U$18,Hypothèses!$W$18,""))))))))))))</f>
        <v>#DIV/0!</v>
      </c>
      <c r="EI170" s="95" t="e">
        <f t="shared" ca="1" si="293"/>
        <v>#DIV/0!</v>
      </c>
      <c r="EJ170" s="101" t="e">
        <f t="shared" si="329"/>
        <v>#N/A</v>
      </c>
      <c r="EK170" s="91" t="e">
        <f t="shared" si="262"/>
        <v>#N/A</v>
      </c>
      <c r="EL170" s="30" t="e">
        <f t="shared" si="312"/>
        <v>#N/A</v>
      </c>
      <c r="EM170" s="30" t="e">
        <f t="shared" si="313"/>
        <v>#N/A</v>
      </c>
      <c r="EN170" s="31" t="e">
        <f>IF(OR(Hypothèses!$B$4=17,Hypothèses!$B$4=18,Hypothèses!$B$4=19,Hypothèses!$B$4=20),
IF($D170="Pressio.",
IF(OR($E170=3,$E170=1,$E170=4),EM170,EL170),
IF($D170="Pénétro.",
IF(OR($E170=3,$E170=1,$E170=4),EM170,EL170))),IF($D170="Pressio.",
IF($E170=3,EM170,EL170),
IF($D170="Pénétro.",
IF($E170=4,EM170,EL170))))</f>
        <v>#N/A</v>
      </c>
      <c r="EO170" s="31" t="e">
        <f>(IF(OR(Hypothèses!$B$4=17,Hypothèses!$B$4=18,Hypothèses!$B$4=19,Hypothèses!$B$4=20),
IF($D170="Pressio.",
IF(OR($E170=3,$E170=1,$E170=4),(PI()*EO$12^2)/4*(EK170*$W170*1000)/($H170*$B$5),(PI()*EO$12^2)/4*(EK170*$W170*1000)/($G170*$B$5)),
IF($D170="Pénétro.",
IF(OR($E170=4,$E170=1,$E170=5),(PI()*EO$12^2)/4*(EK170*$W170*1000)/($H170*$B$5),(PI()*EO$12^2)/4*(EK170*$W170*1000)/($G170*$B$5)))),
IF($D170="Pressio.",
IF($E170=3,(PI()*EO$12^2)/4*(EK170*$W170*1000)/($H170*$B$5),(PI()*EO$12^2)/4*(EK170*$W170*1000)/($G170*$B$5)),
IF($D170="Pénétro.",
IF($E170=4,(PI()*EO$12^2)/4*(EK170*$W170*1000)/($H170*$B$5),(PI()*EO$12^2)/4*(EK170*$W170*1000)/($G170*$B$5))))))/10</f>
        <v>#N/A</v>
      </c>
      <c r="EP170" s="102" t="e">
        <f>(VLOOKUP($B$3,'Coeff EC7'!$T$39:$X$59,2,0)*EN170+VLOOKUP($B$3,'Coeff EC7'!$T$65:$X$85,2,0)*Model0.1C!EO170)/1.1</f>
        <v>#N/A</v>
      </c>
      <c r="EQ170" s="102" t="e">
        <f>(VLOOKUP($B$3,'Coeff EC7'!$T$39:$X$59,3,0)*EN170+VLOOKUP($B$3,'Coeff EC7'!$T$65:$X$85,3,0)*Model0.1C!EO170)/0.9</f>
        <v>#N/A</v>
      </c>
      <c r="ER170" s="102" t="e">
        <f t="shared" si="294"/>
        <v>#N/A</v>
      </c>
      <c r="ES170" s="102" t="e">
        <f t="shared" si="295"/>
        <v>#N/A</v>
      </c>
      <c r="ET170" s="414" t="e">
        <f>IF(ET169=0,0,IF(AND(EP170&gt;charge_ELS_quasi,EQ170&gt;Charge_ELS_freq,ER170&gt;charge_ELU,ES170&gt;charge_ELA,$B170&gt;NDC!$H$22-0.1+MIN(3*$ET$12,1.5)),0,1))</f>
        <v>#N/A</v>
      </c>
      <c r="EU170" s="86" t="b">
        <f t="shared" si="263"/>
        <v>0</v>
      </c>
      <c r="EV170" s="86">
        <f t="shared" si="264"/>
        <v>0.61</v>
      </c>
      <c r="EW170" s="86">
        <f t="shared" si="265"/>
        <v>0.61</v>
      </c>
      <c r="EX170" s="30" t="e">
        <f t="shared" ca="1" si="296"/>
        <v>#DIV/0!</v>
      </c>
      <c r="EY170" s="85" t="e">
        <f ca="1">IF(EE170&lt;=Hypothèses!$V$7,Hypothèses!$W$7,IF(EE170&lt;=Hypothèses!$V$8,Hypothèses!$W$8,IF(EE170&lt;=Hypothèses!$V$9,Hypothèses!$W$9,IF(EE170&lt;=Hypothèses!$V$10,Hypothèses!$W$10,IF(EE170&lt;=Hypothèses!$V$11,Hypothèses!$W$11,IF(EE170&lt;=Hypothèses!$V$12,Hypothèses!$W$12,IF(EE170&lt;=Hypothèses!$V$13,Hypothèses!$W$13,IF(EE170&lt;=Hypothèses!$V$14,Hypothèses!$W$14,IF(EE170&lt;=Hypothèses!$V$15,Hypothèses!$W$15,IF(EE170&lt;=Hypothèses!$V$16,Hypothèses!$W$16,IF(EE170&lt;=Hypothèses!$V$17,Hypothèses!$W$17,IF(EE170&lt;=Hypothèses!$V$18,Hypothèses!$W$18,""))))))))))))</f>
        <v>#DIV/0!</v>
      </c>
      <c r="EZ170" s="87" t="e">
        <f t="shared" ca="1" si="323"/>
        <v>#DIV/0!</v>
      </c>
      <c r="FA170" s="88" t="e">
        <f ca="1">IF(EE170&lt;=Hypothèses!$V$7,Hypothèses!$X$7,IF(EE170&lt;=Hypothèses!$V$8,Hypothèses!$X$8,IF(EE170&lt;=Hypothèses!$V$9,Hypothèses!$X$9,IF(EE170&lt;=Hypothèses!$V$10,Hypothèses!$X$10,IF(EE170&lt;=Hypothèses!$V$11,Hypothèses!$X$11,IF(EE170&lt;=Hypothèses!$V$12,Hypothèses!$X$12,IF(EE170&lt;=Hypothèses!$V$13,Hypothèses!$X$13,IF(EE170&lt;=Hypothèses!$V$14,Hypothèses!$X$14,IF(EE170&lt;=Hypothèses!$V$15,Hypothèses!$X$15,IF(EE170&lt;=Hypothèses!$V$16,Hypothèses!$X$16,IF(EE170&lt;=Hypothèses!$U$17,Hypothèses!$W$17,IF(EE170&lt;=Hypothèses!$U$18,Hypothèses!$W$18,""))))))))))))</f>
        <v>#DIV/0!</v>
      </c>
      <c r="FB170" s="95" t="e">
        <f t="shared" ca="1" si="297"/>
        <v>#DIV/0!</v>
      </c>
      <c r="FC170" s="101" t="e">
        <f t="shared" si="330"/>
        <v>#N/A</v>
      </c>
      <c r="FD170" s="91" t="e">
        <f t="shared" si="266"/>
        <v>#N/A</v>
      </c>
      <c r="FE170" s="30" t="e">
        <f t="shared" si="314"/>
        <v>#N/A</v>
      </c>
      <c r="FF170" s="30" t="e">
        <f t="shared" si="315"/>
        <v>#N/A</v>
      </c>
      <c r="FG170" s="31" t="e">
        <f>IF(OR(Hypothèses!$B$4=17,Hypothèses!$B$4=18,Hypothèses!$B$4=19,Hypothèses!$B$4=20),
IF($D170="Pressio.",
IF(OR($E170=3,$E170=1,$E170=4),FF170,FE170),
IF($D170="Pénétro.",
IF(OR($E170=3,$E170=1,$E170=4),FF170,FE170))),IF($D170="Pressio.",
IF($E170=3,FF170,FE170),
IF($D170="Pénétro.",
IF($E170=4,FF170,FE170))))</f>
        <v>#N/A</v>
      </c>
      <c r="FH170" s="31" t="e">
        <f>(IF(OR(Hypothèses!$B$4=17,Hypothèses!$B$4=18,Hypothèses!$B$4=19,Hypothèses!$B$4=20),
IF($D170="Pressio.",
IF(OR($E170=3,$E170=1,$E170=4),(PI()*FH$12^2)/4*(FD170*$W170*1000)/($H170*$B$5),(PI()*FH$12^2)/4*(FD170*$W170*1000)/($G170*$B$5)),
IF($D170="Pénétro.",
IF(OR($E170=4,$E170=1,$E170=5),(PI()*FH$12^2)/4*(FD170*$W170*1000)/($H170*$B$5),(PI()*FH$12^2)/4*(FD170*$W170*1000)/($G170*$B$5)))),
IF($D170="Pressio.",
IF($E170=3,(PI()*FH$12^2)/4*(FD170*$W170*1000)/($H170*$B$5),(PI()*FH$12^2)/4*(FD170*$W170*1000)/($G170*$B$5)),
IF($D170="Pénétro.",
IF($E170=4,(PI()*FH$12^2)/4*(FD170*$W170*1000)/($H170*$B$5),(PI()*FH$12^2)/4*(FD170*$W170*1000)/($G170*$B$5))))))/10</f>
        <v>#N/A</v>
      </c>
      <c r="FI170" s="102" t="e">
        <f>(VLOOKUP($B$3,'Coeff EC7'!$T$39:$X$59,2,0)*FG170+VLOOKUP($B$3,'Coeff EC7'!$T$65:$X$85,2,0)*Model0.1C!FH170)/1.1</f>
        <v>#N/A</v>
      </c>
      <c r="FJ170" s="102" t="e">
        <f>(VLOOKUP($B$3,'Coeff EC7'!$T$39:$X$59,3,0)*FG170+VLOOKUP($B$3,'Coeff EC7'!$T$65:$X$85,3,0)*Model0.1C!FH170)/0.9</f>
        <v>#N/A</v>
      </c>
      <c r="FK170" s="102" t="e">
        <f t="shared" si="298"/>
        <v>#N/A</v>
      </c>
      <c r="FL170" s="102" t="e">
        <f t="shared" si="299"/>
        <v>#N/A</v>
      </c>
      <c r="FM170" s="414" t="e">
        <f>IF(FM169=0,0,IF(AND(FI170&gt;charge_ELS_quasi,FJ170&gt;Charge_ELS_freq,FK170&gt;charge_ELU,FL170&gt;charge_ELA,$B170&gt;NDC!$H$22-0.1+MIN(3*$FM$12,1.5)),0,1))</f>
        <v>#N/A</v>
      </c>
    </row>
    <row r="171" spans="1:169">
      <c r="A171" s="96">
        <f t="shared" si="267"/>
        <v>84.200000000000898</v>
      </c>
      <c r="B171" s="97">
        <v>15.8</v>
      </c>
      <c r="C171" s="81">
        <f>IF(B171&lt;=Hypothèses!$C$7,Hypothèses!$A$7,IF(B171&lt;=Hypothèses!$C$8,Hypothèses!$A$8,IF(B171&lt;=Hypothèses!$C$9,Hypothèses!$A$9,IF(B171&lt;=Hypothèses!$C$10,Hypothèses!$A$10,IF(B171&lt;=Hypothèses!$C$11,Hypothèses!$A$11,IF(B171&lt;=Hypothèses!$C$12,Hypothèses!$A$12,IF(B171&lt;=Hypothèses!$C$13,Hypothèses!$A$13,IF(B171&lt;=Hypothèses!$C$14,Hypothèses!$A$14,IF(B171&lt;=Hypothèses!$C$15,Hypothèses!$A$15,IF(B171&lt;=Hypothèses!$C$16,Hypothèses!$A$16,IF(B171&lt;=Hypothèses!$C$17,Hypothèses!$A$17,IF(B171&lt;=Hypothèses!$C$18,Hypothèses!$A$18,C170))))))))))))</f>
        <v>11</v>
      </c>
      <c r="D171" s="82" t="str">
        <f>IF(B171&lt;=Hypothèses!$C$7,Hypothèses!$R$7,IF(B171&lt;=Hypothèses!$C$8,Hypothèses!$R$8,IF(B171&lt;=Hypothèses!$C$9,Hypothèses!$R$9,IF(B171&lt;=Hypothèses!$C$10,Hypothèses!$R$10,IF(B171&lt;=Hypothèses!$C$11,Hypothèses!$R$11,IF(B171&lt;=Hypothèses!$C$12,Hypothèses!$R$12,IF(B171&lt;=Hypothèses!$C$13,Hypothèses!$R$13,IF(B171&lt;=Hypothèses!$C$14,Hypothèses!$R$14,IF(B171&lt;=Hypothèses!$C$15,Hypothèses!$R$15,IF(B171&lt;=Hypothèses!$C$16,Hypothèses!$R$16,IF(B171&lt;=Hypothèses!$C$17,Hypothèses!$R$17,IF(B171&lt;=Hypothèses!$C$18,Hypothèses!$R$18,D170))))))))))))</f>
        <v>Pressio.</v>
      </c>
      <c r="E171" s="82" t="e">
        <f>IF(B171&lt;=Hypothèses!$C$7,Hypothèses!$G$7,IF(B171&lt;=Hypothèses!$C$8,Hypothèses!$G$8,IF(B171&lt;=Hypothèses!$C$9,Hypothèses!$G$9,IF(B171&lt;=Hypothèses!$C$10,Hypothèses!$G$10,IF(B171&lt;=Hypothèses!$C$11,Hypothèses!$G$11,IF(B171&lt;=Hypothèses!$C$12,Hypothèses!$G$12,IF(B171&lt;=Hypothèses!$C$13,Hypothèses!$G$13,IF(B171&lt;=Hypothèses!$C$14,Hypothèses!$G$14,IF(B171&lt;=Hypothèses!$C$15,Hypothèses!$G$15,IF(B171&lt;=Hypothèses!$C$16,Hypothèses!$G$16,IF(B171&lt;=Hypothèses!$C$17,Hypothèses!$G$17,IF(B171&lt;=Hypothèses!$C$18,Hypothèses!$G$18,E170))))))))))))</f>
        <v>#N/A</v>
      </c>
      <c r="F171" s="82" t="str">
        <f>IF(B171&lt;=Hypothèses!$C$7,Hypothèses!$F$7,IF(B171&lt;=Hypothèses!$C$8,Hypothèses!$F$8,IF(B171&lt;=Hypothèses!$C$9,Hypothèses!$F$9,IF(B171&lt;=Hypothèses!$C$10,Hypothèses!$F$10,IF(B171&lt;=Hypothèses!$C$11,Hypothèses!$F$11,IF(B171&lt;=Hypothèses!$C$12,Hypothèses!$F$12,IF(B171&lt;=Hypothèses!$C$13,Hypothèses!$F$13,IF(B171&lt;=Hypothèses!$C$14,Hypothèses!$F$14,IF(B171&lt;=Hypothèses!$C$15,Hypothèses!$F$15,IF(B171&lt;=Hypothèses!$C$16,Hypothèses!$F$16,IF(B171&lt;=Hypothèses!$C$17,Hypothèses!$F$17,IF(B171&lt;=Hypothèses!$C$18,Hypothèses!$F$18,F170))))))))))))</f>
        <v/>
      </c>
      <c r="G171" s="91">
        <f t="array" ref="G171">INDEX('Coeff EC7'!$U$7:$X$27,
MATCH(Model0.1C!$B$3,'Coeff EC7'!$T$7:$T$27,0),
MATCH(Model0.1C!$D171&amp;Model0.1C!$B$4,
'Coeff EC7'!$U$6:$X$6&amp;
'Coeff EC7'!$U$5:$X$5,0))</f>
        <v>1.1499999999999999</v>
      </c>
      <c r="H171" s="91">
        <f t="array" ref="H171">INDEX('Coeff EC7'!$Y$7:$AB$27,
MATCH(Model0.1C!$B$3,'Coeff EC7'!$T$7:$T$27,0),
MATCH(Model0.1C!$D171&amp;Model0.1C!$B$4,
'Coeff EC7'!$Y$6:$AB$6&amp;
'Coeff EC7'!$Y$5:$AB$5,0))</f>
        <v>1.4</v>
      </c>
      <c r="I171" s="83" t="e">
        <f>IF(B171&lt;=Hypothèses!$C$7,Hypothèses!$P$7,IF(B171&lt;=Hypothèses!$C$8,Hypothèses!$P$8,IF(B171&lt;=Hypothèses!$C$9,Hypothèses!$P$9,IF(B171&lt;=Hypothèses!$C$10,Hypothèses!$P$10,IF(B171&lt;=Hypothèses!$C$11,Hypothèses!$P$11,IF(B171&lt;=Hypothèses!$C$12,Hypothèses!$P$12,IF(B171&lt;=Hypothèses!$C$13,Hypothèses!$P$13,IF(B171&lt;=Hypothèses!$C$14,Hypothèses!$P$14,IF(B171&lt;=Hypothèses!$C$15,Hypothèses!$P$15,IF(B171&lt;=Hypothèses!$C$16,Hypothèses!$P$16,IF(B171&lt;=Hypothèses!$C$17,Hypothèses!$P$17,IF(B171&lt;=Hypothèses!$C$18,Hypothèses!$P$18,I170))))))))))))</f>
        <v>#N/A</v>
      </c>
      <c r="J171" s="91" t="e">
        <f t="array" ref="J171">INDEX('Coeff EC7'!$D$33:$Q$33,1,MATCH(D171&amp;E171,'Coeff EC7'!$D$31:$Q$31&amp;'Coeff EC7'!$D$32:$Q$32,0))</f>
        <v>#N/A</v>
      </c>
      <c r="K171" s="91" t="e">
        <f t="array" ref="K171">INDEX('Coeff EC7'!$D$34:$Q$34,1,MATCH(D171&amp;E171,'Coeff EC7'!$D$31:$Q$31&amp;'Coeff EC7'!$D$32:$Q$32,0))</f>
        <v>#N/A</v>
      </c>
      <c r="L171" s="91" t="e">
        <f t="array" ref="L171">INDEX('Coeff EC7'!$D$35:$Q$35,1,MATCH(D171&amp;E171,'Coeff EC7'!$D$31:$Q$31&amp;'Coeff EC7'!$D$32:$Q$32,0))</f>
        <v>#N/A</v>
      </c>
      <c r="M171" s="98" t="e">
        <f t="shared" si="231"/>
        <v>#N/A</v>
      </c>
      <c r="N171" s="99" t="e">
        <f t="array" ref="N171">INDEX('Coeff EC7'!$D$7:$Q$27,MATCH($B$3,'Coeff EC7'!$C$7:$C$27,0),MATCH(D171&amp;E171,'Coeff EC7'!$D$5:$Q$5&amp;'Coeff EC7'!$D$6:$Q$6,0))</f>
        <v>#N/A</v>
      </c>
      <c r="O171" s="99" t="e">
        <f t="array" ref="O171">INDEX('Coeff EC7'!$D$41:$Q$61,MATCH($B$3,'Coeff EC7'!$C$41:$C$61,0),MATCH(D171&amp;E171,'Coeff EC7'!$D$39:$Q$39&amp;'Coeff EC7'!$D$40:$Q$40,0))</f>
        <v>#N/A</v>
      </c>
      <c r="P171" s="30" t="e">
        <f t="shared" si="268"/>
        <v>#N/A</v>
      </c>
      <c r="Q171" s="100" t="e">
        <f t="shared" si="233"/>
        <v>#N/A</v>
      </c>
      <c r="R171" s="86" t="b">
        <f t="shared" si="234"/>
        <v>0</v>
      </c>
      <c r="S171" s="86">
        <f t="shared" si="232"/>
        <v>0.5</v>
      </c>
      <c r="T171" s="86">
        <f t="shared" si="235"/>
        <v>0.5</v>
      </c>
      <c r="U171" s="30" t="e">
        <f t="shared" ca="1" si="269"/>
        <v>#DIV/0!</v>
      </c>
      <c r="V171" s="85" t="str">
        <f>IF(B171&lt;=Hypothèses!$V$7,Hypothèses!$W$7,IF(B171&lt;=Hypothèses!$V$8,Hypothèses!$W$8,IF(B171&lt;=Hypothèses!$V$9,Hypothèses!$W$9,IF(B171&lt;=Hypothèses!$V$10,Hypothèses!$W$10,IF(B171&lt;=Hypothèses!$V$11,Hypothèses!$W$11,IF(B171&lt;=Hypothèses!$V$12,Hypothèses!$W$12,IF(B171&lt;=Hypothèses!$V$13,Hypothèses!$W$13,IF(B171&lt;=Hypothèses!$V$14,Hypothèses!$W$14,IF(B171&lt;=Hypothèses!$V$15,Hypothèses!$W$15,IF(B171&lt;=Hypothèses!$V$16,Hypothèses!$W$16,IF(B171&lt;=Hypothèses!$V$17,Hypothèses!$W$17,IF(B171&lt;=Hypothèses!$V$18,Hypothèses!$W$18,""))))))))))))</f>
        <v/>
      </c>
      <c r="W171" s="87" t="e">
        <f t="shared" ca="1" si="316"/>
        <v>#DIV/0!</v>
      </c>
      <c r="X171" s="88" t="str">
        <f>IF(B171&lt;=Hypothèses!$V$7,Hypothèses!$X$7,IF(B171&lt;=Hypothèses!$V$8,Hypothèses!$X$8,IF(B171&lt;=Hypothèses!$V$9,Hypothèses!$X$9,IF(B171&lt;=Hypothèses!$V$10,Hypothèses!$X$10,IF(B171&lt;=Hypothèses!$V$11,Hypothèses!$X$11,IF(B171&lt;=Hypothèses!$V$12,Hypothèses!$X$12,IF(B171&lt;=Hypothèses!$V$13,Hypothèses!$X$13,IF(B171&lt;=Hypothèses!$V$14,Hypothèses!$X$14,IF(B171&lt;=Hypothèses!$V$15,Hypothèses!$X$15,IF(B171&lt;=Hypothèses!$V$16,Hypothèses!$X$16,IF(B171&lt;=Hypothèses!$U$17,Hypothèses!$W$17,IF(B171&lt;=Hypothèses!$U$18,Hypothèses!$W$18,""))))))))))))</f>
        <v/>
      </c>
      <c r="Y171" s="95" t="e">
        <f t="shared" ca="1" si="236"/>
        <v>#DIV/0!</v>
      </c>
      <c r="Z171" s="101" t="e">
        <f t="shared" si="237"/>
        <v>#N/A</v>
      </c>
      <c r="AA171" s="91" t="e">
        <f t="shared" si="238"/>
        <v>#N/A</v>
      </c>
      <c r="AB171" s="30" t="e">
        <f t="shared" si="300"/>
        <v>#N/A</v>
      </c>
      <c r="AC171" s="30" t="e">
        <f t="shared" si="301"/>
        <v>#N/A</v>
      </c>
      <c r="AD171" s="31" t="e">
        <f>IF(OR(Hypothèses!$B$4=17,Hypothèses!$B$4=18,Hypothèses!$B$4=19,Hypothèses!$B$4=20),
IF($D171="Pressio.",
IF(OR($E171=3,$E171=1,$E171=4),AC171,AB171),
IF($D171="Pénétro.",
IF(OR($E171=3,$E171=1,$E171=4),AC171,AB171))),IF($D171="Pressio.",
IF($E171=3,AC171,AB171),
IF($D171="Pénétro.",
IF($E171=4,AC171,AB171))))</f>
        <v>#N/A</v>
      </c>
      <c r="AE171" s="31" t="e">
        <f>(IF(OR(Hypothèses!$B$4=17,Hypothèses!$B$4=18,Hypothèses!$B$4=19,Hypothèses!$B$4=20),
IF($D171="Pressio.",
IF(OR($E171=3,$E171=1,$E171=4),(PI()*AE$12^2)/4*(AA171*$W171*1000)/($H171*$B$5),(PI()*AE$12^2)/4*(AA171*$W171*1000)/($G171*$B$5)),
IF($D171="Pénétro.",
IF(OR($E171=4,$E171=1,$E171=5),(PI()*AE$12^2)/4*(AA171*$W171*1000)/($H171*$B$5),(PI()*AE$12^2)/4*(AA171*$W171*1000)/($G171*$B$5)))),
IF($D171="Pressio.",
IF($E171=3,(PI()*AE$12^2)/4*(AA171*$W171*1000)/($H171*$B$5),(PI()*AE$12^2)/4*(AA171*$W171*1000)/($G171*$B$5)),
IF($D171="Pénétro.",
IF($E171=4,(PI()*AE$12^2)/4*(AA171*$W171*1000)/($H171*$B$5),(PI()*AE$12^2)/4*(AA171*$W171*1000)/($G171*$B$5))))))/10</f>
        <v>#N/A</v>
      </c>
      <c r="AF171" s="102" t="e">
        <f>(VLOOKUP($B$3,'Coeff EC7'!$T$39:$X$59,2,0)*AD171+VLOOKUP($B$3,'Coeff EC7'!$T$65:$X$85,2,0)*Model0.1C!AE171)/1.1</f>
        <v>#N/A</v>
      </c>
      <c r="AG171" s="102" t="e">
        <f>(VLOOKUP($B$3,'Coeff EC7'!$T$39:$X$59,3,0)*AD171+VLOOKUP($B$3,'Coeff EC7'!$T$65:$X$85,3,0)*Model0.1C!AE171)/0.9</f>
        <v>#N/A</v>
      </c>
      <c r="AH171" s="102" t="e">
        <f t="shared" si="239"/>
        <v>#N/A</v>
      </c>
      <c r="AI171" s="102" t="e">
        <f t="shared" si="240"/>
        <v>#N/A</v>
      </c>
      <c r="AJ171" s="414" t="e">
        <f>IF(AJ170=0,0,IF(AND(AF171&gt;charge_ELS_quasi,AG171&gt;Charge_ELS_freq,AH171&gt;charge_ELU,AI171&gt;charge_ELA,$B171&gt;NDC!$H$22-0.1+MIN(3*$AJ$12,1.5)),0,1))</f>
        <v>#N/A</v>
      </c>
      <c r="AK171" s="86" t="b">
        <f t="shared" si="241"/>
        <v>0</v>
      </c>
      <c r="AL171" s="86">
        <f t="shared" si="270"/>
        <v>0.5</v>
      </c>
      <c r="AM171" s="86">
        <f t="shared" si="242"/>
        <v>0.5</v>
      </c>
      <c r="AN171" s="30" t="e">
        <f t="shared" ca="1" si="271"/>
        <v>#DIV/0!</v>
      </c>
      <c r="AO171" s="85" t="e">
        <f ca="1">IF(U171&lt;=Hypothèses!$V$7,Hypothèses!$W$7,IF(U171&lt;=Hypothèses!$V$8,Hypothèses!$W$8,IF(U171&lt;=Hypothèses!$V$9,Hypothèses!$W$9,IF(U171&lt;=Hypothèses!$V$10,Hypothèses!$W$10,IF(U171&lt;=Hypothèses!$V$11,Hypothèses!$W$11,IF(U171&lt;=Hypothèses!$V$12,Hypothèses!$W$12,IF(U171&lt;=Hypothèses!$V$13,Hypothèses!$W$13,IF(U171&lt;=Hypothèses!$V$14,Hypothèses!$W$14,IF(U171&lt;=Hypothèses!$V$15,Hypothèses!$W$15,IF(U171&lt;=Hypothèses!$V$16,Hypothèses!$W$16,IF(U171&lt;=Hypothèses!$V$17,Hypothèses!$W$17,IF(U171&lt;=Hypothèses!$V$18,Hypothèses!$W$18,""))))))))))))</f>
        <v>#DIV/0!</v>
      </c>
      <c r="AP171" s="87" t="e">
        <f t="shared" ca="1" si="317"/>
        <v>#DIV/0!</v>
      </c>
      <c r="AQ171" s="88" t="e">
        <f ca="1">IF(U171&lt;=Hypothèses!$V$7,Hypothèses!$X$7,IF(U171&lt;=Hypothèses!$V$8,Hypothèses!$X$8,IF(U171&lt;=Hypothèses!$V$9,Hypothèses!$X$9,IF(U171&lt;=Hypothèses!$V$10,Hypothèses!$X$10,IF(U171&lt;=Hypothèses!$V$11,Hypothèses!$X$11,IF(U171&lt;=Hypothèses!$V$12,Hypothèses!$X$12,IF(U171&lt;=Hypothèses!$V$13,Hypothèses!$X$13,IF(U171&lt;=Hypothèses!$V$14,Hypothèses!$X$14,IF(U171&lt;=Hypothèses!$V$15,Hypothèses!$X$15,IF(U171&lt;=Hypothèses!$V$16,Hypothèses!$X$16,IF(U171&lt;=Hypothèses!$U$17,Hypothèses!$W$17,IF(U171&lt;=Hypothèses!$U$18,Hypothèses!$W$18,""))))))))))))</f>
        <v>#DIV/0!</v>
      </c>
      <c r="AR171" s="95" t="e">
        <f t="shared" ca="1" si="272"/>
        <v>#DIV/0!</v>
      </c>
      <c r="AS171" s="101" t="e">
        <f t="shared" si="324"/>
        <v>#N/A</v>
      </c>
      <c r="AT171" s="91" t="e">
        <f t="shared" si="243"/>
        <v>#N/A</v>
      </c>
      <c r="AU171" s="30" t="e">
        <f t="shared" si="302"/>
        <v>#N/A</v>
      </c>
      <c r="AV171" s="30" t="e">
        <f t="shared" si="303"/>
        <v>#N/A</v>
      </c>
      <c r="AW171" s="31" t="e">
        <f>IF(OR(Hypothèses!$B$4=17,Hypothèses!$B$4=18,Hypothèses!$B$4=19,Hypothèses!$B$4=20),
IF($D171="Pressio.",
IF(OR($E171=3,$E171=1,$E171=4),AV171,AU171),
IF($D171="Pénétro.",
IF(OR($E171=3,$E171=1,$E171=4),AV171,AU171))),IF($D171="Pressio.",
IF($E171=3,AV171,AU171),
IF($D171="Pénétro.",
IF($E171=4,AV171,AU171))))</f>
        <v>#N/A</v>
      </c>
      <c r="AX171" s="31" t="e">
        <f>(IF(OR(Hypothèses!$B$4=17,Hypothèses!$B$4=18,Hypothèses!$B$4=19,Hypothèses!$B$4=20),
IF($D171="Pressio.",
IF(OR($E171=3,$E171=1,$E171=4),(PI()*AX$12^2)/4*(AT171*$W171*1000)/($H171*$B$5),(PI()*AX$12^2)/4*(AT171*$W171*1000)/($G171*$B$5)),
IF($D171="Pénétro.",
IF(OR($E171=4,$E171=1,$E171=5),(PI()*AX$12^2)/4*(AT171*$W171*1000)/($H171*$B$5),(PI()*AX$12^2)/4*(AT171*$W171*1000)/($G171*$B$5)))),
IF($D171="Pressio.",
IF($E171=3,(PI()*AX$12^2)/4*(AT171*$W171*1000)/($H171*$B$5),(PI()*AX$12^2)/4*(AT171*$W171*1000)/($G171*$B$5)),
IF($D171="Pénétro.",
IF($E171=4,(PI()*AX$12^2)/4*(AT171*$W171*1000)/($H171*$B$5),(PI()*AX$12^2)/4*(AT171*$W171*1000)/($G171*$B$5))))))/10</f>
        <v>#N/A</v>
      </c>
      <c r="AY171" s="102" t="e">
        <f>(VLOOKUP($B$3,'Coeff EC7'!$T$39:$X$59,2,0)*AW171+VLOOKUP($B$3,'Coeff EC7'!$T$65:$X$85,2,0)*Model0.1C!AX171)/1.1</f>
        <v>#N/A</v>
      </c>
      <c r="AZ171" s="102" t="e">
        <f>(VLOOKUP($B$3,'Coeff EC7'!$T$39:$X$59,3,0)*AW171+VLOOKUP($B$3,'Coeff EC7'!$T$65:$X$85,3,0)*Model0.1C!AX171)/0.9</f>
        <v>#N/A</v>
      </c>
      <c r="BA171" s="102" t="e">
        <f t="shared" si="273"/>
        <v>#N/A</v>
      </c>
      <c r="BB171" s="102" t="e">
        <f t="shared" si="274"/>
        <v>#N/A</v>
      </c>
      <c r="BC171" s="414" t="e">
        <f>IF(BC170=0,0,IF(AND(AY171&gt;charge_ELS_quasi,AZ171&gt;Charge_ELS_freq,BA171&gt;charge_ELU,BB171&gt;charge_ELA,$B171&gt;NDC!$H$22-0.1+MIN(3*$BC$12,1.5)),0,1))</f>
        <v>#N/A</v>
      </c>
      <c r="BD171" s="86" t="b">
        <f t="shared" si="244"/>
        <v>0</v>
      </c>
      <c r="BE171" s="86">
        <f t="shared" si="275"/>
        <v>0.5</v>
      </c>
      <c r="BF171" s="86">
        <f t="shared" si="245"/>
        <v>0.5</v>
      </c>
      <c r="BG171" s="30" t="e">
        <f t="shared" ca="1" si="276"/>
        <v>#DIV/0!</v>
      </c>
      <c r="BH171" s="85" t="e">
        <f ca="1">IF(AN171&lt;=Hypothèses!$V$7,Hypothèses!$W$7,IF(AN171&lt;=Hypothèses!$V$8,Hypothèses!$W$8,IF(AN171&lt;=Hypothèses!$V$9,Hypothèses!$W$9,IF(AN171&lt;=Hypothèses!$V$10,Hypothèses!$W$10,IF(AN171&lt;=Hypothèses!$V$11,Hypothèses!$W$11,IF(AN171&lt;=Hypothèses!$V$12,Hypothèses!$W$12,IF(AN171&lt;=Hypothèses!$V$13,Hypothèses!$W$13,IF(AN171&lt;=Hypothèses!$V$14,Hypothèses!$W$14,IF(AN171&lt;=Hypothèses!$V$15,Hypothèses!$W$15,IF(AN171&lt;=Hypothèses!$V$16,Hypothèses!$W$16,IF(AN171&lt;=Hypothèses!$V$17,Hypothèses!$W$17,IF(AN171&lt;=Hypothèses!$V$18,Hypothèses!$W$18,""))))))))))))</f>
        <v>#DIV/0!</v>
      </c>
      <c r="BI171" s="87" t="e">
        <f t="shared" ca="1" si="318"/>
        <v>#DIV/0!</v>
      </c>
      <c r="BJ171" s="88" t="e">
        <f ca="1">IF(AN171&lt;=Hypothèses!$V$7,Hypothèses!$X$7,IF(AN171&lt;=Hypothèses!$V$8,Hypothèses!$X$8,IF(AN171&lt;=Hypothèses!$V$9,Hypothèses!$X$9,IF(AN171&lt;=Hypothèses!$V$10,Hypothèses!$X$10,IF(AN171&lt;=Hypothèses!$V$11,Hypothèses!$X$11,IF(AN171&lt;=Hypothèses!$V$12,Hypothèses!$X$12,IF(AN171&lt;=Hypothèses!$V$13,Hypothèses!$X$13,IF(AN171&lt;=Hypothèses!$V$14,Hypothèses!$X$14,IF(AN171&lt;=Hypothèses!$V$15,Hypothèses!$X$15,IF(AN171&lt;=Hypothèses!$V$16,Hypothèses!$X$16,IF(AN171&lt;=Hypothèses!$U$17,Hypothèses!$W$17,IF(AN171&lt;=Hypothèses!$U$18,Hypothèses!$W$18,""))))))))))))</f>
        <v>#DIV/0!</v>
      </c>
      <c r="BK171" s="95" t="e">
        <f t="shared" ca="1" si="277"/>
        <v>#DIV/0!</v>
      </c>
      <c r="BL171" s="101" t="e">
        <f t="shared" si="325"/>
        <v>#N/A</v>
      </c>
      <c r="BM171" s="91" t="e">
        <f t="shared" si="246"/>
        <v>#N/A</v>
      </c>
      <c r="BN171" s="30" t="e">
        <f t="shared" si="304"/>
        <v>#N/A</v>
      </c>
      <c r="BO171" s="30" t="e">
        <f t="shared" si="305"/>
        <v>#N/A</v>
      </c>
      <c r="BP171" s="31" t="e">
        <f>IF(OR(Hypothèses!$B$4=17,Hypothèses!$B$4=18,Hypothèses!$B$4=19,Hypothèses!$B$4=20),
IF($D171="Pressio.",
IF(OR($E171=3,$E171=1,$E171=4),BO171,BN171),
IF($D171="Pénétro.",
IF(OR($E171=3,$E171=1,$E171=4),BO171,BN171))),IF($D171="Pressio.",
IF($E171=3,BO171,BN171),
IF($D171="Pénétro.",
IF($E171=4,BO171,BN171))))</f>
        <v>#N/A</v>
      </c>
      <c r="BQ171" s="31" t="e">
        <f>(IF(OR(Hypothèses!$B$4=17,Hypothèses!$B$4=18,Hypothèses!$B$4=19,Hypothèses!$B$4=20),
IF($D171="Pressio.",
IF(OR($E171=3,$E171=1,$E171=4),(PI()*BQ$12^2)/4*(BM171*$W171*1000)/($H171*$B$5),(PI()*BQ$12^2)/4*(BM171*$W171*1000)/($G171*$B$5)),
IF($D171="Pénétro.",
IF(OR($E171=4,$E171=1,$E171=5),(PI()*BQ$12^2)/4*(BM171*$W171*1000)/($H171*$B$5),(PI()*BQ$12^2)/4*(BM171*$W171*1000)/($G171*$B$5)))),
IF($D171="Pressio.",
IF($E171=3,(PI()*BQ$12^2)/4*(BM171*$W171*1000)/($H171*$B$5),(PI()*BQ$12^2)/4*(BM171*$W171*1000)/($G171*$B$5)),
IF($D171="Pénétro.",
IF($E171=4,(PI()*BQ$12^2)/4*(BM171*$W171*1000)/($H171*$B$5),(PI()*BQ$12^2)/4*(BM171*$W171*1000)/($G171*$B$5))))))/10</f>
        <v>#N/A</v>
      </c>
      <c r="BR171" s="102" t="e">
        <f>(VLOOKUP($B$3,'Coeff EC7'!$T$39:$X$59,2,0)*BP171+VLOOKUP($B$3,'Coeff EC7'!$T$65:$X$85,2,0)*Model0.1C!BQ171)/1.1</f>
        <v>#N/A</v>
      </c>
      <c r="BS171" s="102" t="e">
        <f>(VLOOKUP($B$3,'Coeff EC7'!$T$39:$X$59,3,0)*BP171+VLOOKUP($B$3,'Coeff EC7'!$T$65:$X$85,3,0)*Model0.1C!BQ171)/0.9</f>
        <v>#N/A</v>
      </c>
      <c r="BT171" s="102" t="e">
        <f t="shared" si="278"/>
        <v>#N/A</v>
      </c>
      <c r="BU171" s="102" t="e">
        <f t="shared" si="279"/>
        <v>#N/A</v>
      </c>
      <c r="BV171" s="414" t="e">
        <f>IF(BV170=0,0,IF(AND(BR171&gt;charge_ELS_quasi,BS171&gt;Charge_ELS_freq,BT171&gt;charge_ELU,BU171&gt;charge_ELA,$B171&gt;NDC!$H$22-0.1+MIN(3*$BV$12,1.5)),0,1))</f>
        <v>#N/A</v>
      </c>
      <c r="BW171" s="86" t="b">
        <f t="shared" si="247"/>
        <v>0</v>
      </c>
      <c r="BX171" s="86">
        <f t="shared" si="248"/>
        <v>0.5</v>
      </c>
      <c r="BY171" s="86">
        <f t="shared" si="249"/>
        <v>0.5</v>
      </c>
      <c r="BZ171" s="30" t="e">
        <f t="shared" ca="1" si="280"/>
        <v>#DIV/0!</v>
      </c>
      <c r="CA171" s="85" t="e">
        <f ca="1">IF(BG171&lt;=Hypothèses!$V$7,Hypothèses!$W$7,IF(BG171&lt;=Hypothèses!$V$8,Hypothèses!$W$8,IF(BG171&lt;=Hypothèses!$V$9,Hypothèses!$W$9,IF(BG171&lt;=Hypothèses!$V$10,Hypothèses!$W$10,IF(BG171&lt;=Hypothèses!$V$11,Hypothèses!$W$11,IF(BG171&lt;=Hypothèses!$V$12,Hypothèses!$W$12,IF(BG171&lt;=Hypothèses!$V$13,Hypothèses!$W$13,IF(BG171&lt;=Hypothèses!$V$14,Hypothèses!$W$14,IF(BG171&lt;=Hypothèses!$V$15,Hypothèses!$W$15,IF(BG171&lt;=Hypothèses!$V$16,Hypothèses!$W$16,IF(BG171&lt;=Hypothèses!$V$17,Hypothèses!$W$17,IF(BG171&lt;=Hypothèses!$V$18,Hypothèses!$W$18,""))))))))))))</f>
        <v>#DIV/0!</v>
      </c>
      <c r="CB171" s="87" t="e">
        <f t="shared" ca="1" si="319"/>
        <v>#DIV/0!</v>
      </c>
      <c r="CC171" s="88" t="e">
        <f ca="1">IF(BG171&lt;=Hypothèses!$V$7,Hypothèses!$X$7,IF(BG171&lt;=Hypothèses!$V$8,Hypothèses!$X$8,IF(BG171&lt;=Hypothèses!$V$9,Hypothèses!$X$9,IF(BG171&lt;=Hypothèses!$V$10,Hypothèses!$X$10,IF(BG171&lt;=Hypothèses!$V$11,Hypothèses!$X$11,IF(BG171&lt;=Hypothèses!$V$12,Hypothèses!$X$12,IF(BG171&lt;=Hypothèses!$V$13,Hypothèses!$X$13,IF(BG171&lt;=Hypothèses!$V$14,Hypothèses!$X$14,IF(BG171&lt;=Hypothèses!$V$15,Hypothèses!$X$15,IF(BG171&lt;=Hypothèses!$V$16,Hypothèses!$X$16,IF(BG171&lt;=Hypothèses!$U$17,Hypothèses!$W$17,IF(BG171&lt;=Hypothèses!$U$18,Hypothèses!$W$18,""))))))))))))</f>
        <v>#DIV/0!</v>
      </c>
      <c r="CD171" s="95" t="e">
        <f t="shared" ca="1" si="281"/>
        <v>#DIV/0!</v>
      </c>
      <c r="CE171" s="101" t="e">
        <f t="shared" si="326"/>
        <v>#N/A</v>
      </c>
      <c r="CF171" s="91" t="e">
        <f t="shared" si="250"/>
        <v>#N/A</v>
      </c>
      <c r="CG171" s="30" t="e">
        <f t="shared" si="306"/>
        <v>#N/A</v>
      </c>
      <c r="CH171" s="30" t="e">
        <f t="shared" si="307"/>
        <v>#N/A</v>
      </c>
      <c r="CI171" s="31" t="e">
        <f>IF(OR(Hypothèses!$B$4=17,Hypothèses!$B$4=18,Hypothèses!$B$4=19,Hypothèses!$B$4=20),
IF($D171="Pressio.",
IF(OR($E171=3,$E171=1,$E171=4),CH171,CG171),
IF($D171="Pénétro.",
IF(OR($E171=3,$E171=1,$E171=4),CH171,CG171))),IF($D171="Pressio.",
IF($E171=3,CH171,CG171),
IF($D171="Pénétro.",
IF($E171=4,CH171,CG171))))</f>
        <v>#N/A</v>
      </c>
      <c r="CJ171" s="31" t="e">
        <f>(IF(OR(Hypothèses!$B$4=17,Hypothèses!$B$4=18,Hypothèses!$B$4=19,Hypothèses!$B$4=20),
IF($D171="Pressio.",
IF(OR($E171=3,$E171=1,$E171=4),(PI()*CJ$12^2)/4*(CF171*$W171*1000)/($H171*$B$5),(PI()*CJ$12^2)/4*(CF171*$W171*1000)/($G171*$B$5)),
IF($D171="Pénétro.",
IF(OR($E171=4,$E171=1,$E171=5),(PI()*CJ$12^2)/4*(CF171*$W171*1000)/($H171*$B$5),(PI()*CJ$12^2)/4*(CF171*$W171*1000)/($G171*$B$5)))),
IF($D171="Pressio.",
IF($E171=3,(PI()*CJ$12^2)/4*(CF171*$W171*1000)/($H171*$B$5),(PI()*CJ$12^2)/4*(CF171*$W171*1000)/($G171*$B$5)),
IF($D171="Pénétro.",
IF($E171=4,(PI()*CJ$12^2)/4*(CF171*$W171*1000)/($H171*$B$5),(PI()*CJ$12^2)/4*(CF171*$W171*1000)/($G171*$B$5))))))/10</f>
        <v>#N/A</v>
      </c>
      <c r="CK171" s="102" t="e">
        <f>(VLOOKUP($B$3,'Coeff EC7'!$T$39:$X$59,2,0)*CI171+VLOOKUP($B$3,'Coeff EC7'!$T$65:$X$85,2,0)*Model0.1C!CJ171)/1.1</f>
        <v>#N/A</v>
      </c>
      <c r="CL171" s="102" t="e">
        <f>(VLOOKUP($B$3,'Coeff EC7'!$T$39:$X$59,3,0)*CI171+VLOOKUP($B$3,'Coeff EC7'!$T$65:$X$85,3,0)*Model0.1C!CJ171)/0.9</f>
        <v>#N/A</v>
      </c>
      <c r="CM171" s="102" t="e">
        <f t="shared" si="282"/>
        <v>#N/A</v>
      </c>
      <c r="CN171" s="102" t="e">
        <f t="shared" si="283"/>
        <v>#N/A</v>
      </c>
      <c r="CO171" s="414" t="e">
        <f>IF(CO170=0,0,IF(AND(CK171&gt;charge_ELS_quasi,CL171&gt;Charge_ELS_freq,CM171&gt;charge_ELU,CN171&gt;charge_ELA,$B171&gt;NDC!$H$22-0.1+MIN(3*$CO$12,1.5)),0,1))</f>
        <v>#N/A</v>
      </c>
      <c r="CP171" s="86" t="b">
        <f t="shared" si="251"/>
        <v>0</v>
      </c>
      <c r="CQ171" s="86">
        <f t="shared" si="252"/>
        <v>0.5</v>
      </c>
      <c r="CR171" s="86">
        <f t="shared" si="253"/>
        <v>0.5</v>
      </c>
      <c r="CS171" s="30" t="e">
        <f t="shared" ca="1" si="284"/>
        <v>#DIV/0!</v>
      </c>
      <c r="CT171" s="85" t="e">
        <f ca="1">IF(BZ171&lt;=Hypothèses!$V$7,Hypothèses!$W$7,IF(BZ171&lt;=Hypothèses!$V$8,Hypothèses!$W$8,IF(BZ171&lt;=Hypothèses!$V$9,Hypothèses!$W$9,IF(BZ171&lt;=Hypothèses!$V$10,Hypothèses!$W$10,IF(BZ171&lt;=Hypothèses!$V$11,Hypothèses!$W$11,IF(BZ171&lt;=Hypothèses!$V$12,Hypothèses!$W$12,IF(BZ171&lt;=Hypothèses!$V$13,Hypothèses!$W$13,IF(BZ171&lt;=Hypothèses!$V$14,Hypothèses!$W$14,IF(BZ171&lt;=Hypothèses!$V$15,Hypothèses!$W$15,IF(BZ171&lt;=Hypothèses!$V$16,Hypothèses!$W$16,IF(BZ171&lt;=Hypothèses!$V$17,Hypothèses!$W$17,IF(BZ171&lt;=Hypothèses!$V$18,Hypothèses!$W$18,""))))))))))))</f>
        <v>#DIV/0!</v>
      </c>
      <c r="CU171" s="87" t="e">
        <f t="shared" ca="1" si="320"/>
        <v>#DIV/0!</v>
      </c>
      <c r="CV171" s="88" t="e">
        <f ca="1">IF(BZ171&lt;=Hypothèses!$V$7,Hypothèses!$X$7,IF(BZ171&lt;=Hypothèses!$V$8,Hypothèses!$X$8,IF(BZ171&lt;=Hypothèses!$V$9,Hypothèses!$X$9,IF(BZ171&lt;=Hypothèses!$V$10,Hypothèses!$X$10,IF(BZ171&lt;=Hypothèses!$V$11,Hypothèses!$X$11,IF(BZ171&lt;=Hypothèses!$V$12,Hypothèses!$X$12,IF(BZ171&lt;=Hypothèses!$V$13,Hypothèses!$X$13,IF(BZ171&lt;=Hypothèses!$V$14,Hypothèses!$X$14,IF(BZ171&lt;=Hypothèses!$V$15,Hypothèses!$X$15,IF(BZ171&lt;=Hypothèses!$V$16,Hypothèses!$X$16,IF(BZ171&lt;=Hypothèses!$U$17,Hypothèses!$W$17,IF(BZ171&lt;=Hypothèses!$U$18,Hypothèses!$W$18,""))))))))))))</f>
        <v>#DIV/0!</v>
      </c>
      <c r="CW171" s="95" t="e">
        <f t="shared" ca="1" si="285"/>
        <v>#DIV/0!</v>
      </c>
      <c r="CX171" s="101" t="e">
        <f t="shared" si="327"/>
        <v>#N/A</v>
      </c>
      <c r="CY171" s="91" t="e">
        <f t="shared" si="254"/>
        <v>#N/A</v>
      </c>
      <c r="CZ171" s="30" t="e">
        <f t="shared" si="308"/>
        <v>#N/A</v>
      </c>
      <c r="DA171" s="30" t="e">
        <f t="shared" si="309"/>
        <v>#N/A</v>
      </c>
      <c r="DB171" s="31" t="e">
        <f>IF(OR(Hypothèses!$B$4=17,Hypothèses!$B$4=18,Hypothèses!$B$4=19,Hypothèses!$B$4=20),
IF($D171="Pressio.",
IF(OR($E171=3,$E171=1,$E171=4),DA171,CZ171),
IF($D171="Pénétro.",
IF(OR($E171=3,$E171=1,$E171=4),DA171,CZ171))),IF($D171="Pressio.",
IF($E171=3,DA171,CZ171),
IF($D171="Pénétro.",
IF($E171=4,DA171,CZ171))))</f>
        <v>#N/A</v>
      </c>
      <c r="DC171" s="31" t="e">
        <f>(IF(OR(Hypothèses!$B$4=17,Hypothèses!$B$4=18,Hypothèses!$B$4=19,Hypothèses!$B$4=20),
IF($D171="Pressio.",
IF(OR($E171=3,$E171=1,$E171=4),(PI()*DC$12^2)/4*(CY171*$W171*1000)/($H171*$B$5),(PI()*DC$12^2)/4*(CY171*$W171*1000)/($G171*$B$5)),
IF($D171="Pénétro.",
IF(OR($E171=4,$E171=1,$E171=5),(PI()*DC$12^2)/4*(CY171*$W171*1000)/($H171*$B$5),(PI()*DC$12^2)/4*(CY171*$W171*1000)/($G171*$B$5)))),
IF($D171="Pressio.",
IF($E171=3,(PI()*DC$12^2)/4*(CY171*$W171*1000)/($H171*$B$5),(PI()*DC$12^2)/4*(CY171*$W171*1000)/($G171*$B$5)),
IF($D171="Pénétro.",
IF($E171=4,(PI()*DC$12^2)/4*(CY171*$W171*1000)/($H171*$B$5),(PI()*DC$12^2)/4*(CY171*$W171*1000)/($G171*$B$5))))))/10</f>
        <v>#N/A</v>
      </c>
      <c r="DD171" s="102" t="e">
        <f>(VLOOKUP($B$3,'Coeff EC7'!$T$39:$X$59,2,0)*DB171+VLOOKUP($B$3,'Coeff EC7'!$T$65:$X$85,2,0)*Model0.1C!DC171)/1.1</f>
        <v>#N/A</v>
      </c>
      <c r="DE171" s="102" t="e">
        <f>(VLOOKUP($B$3,'Coeff EC7'!$T$39:$X$59,3,0)*DB171+VLOOKUP($B$3,'Coeff EC7'!$T$65:$X$85,3,0)*Model0.1C!DC171)/0.9</f>
        <v>#N/A</v>
      </c>
      <c r="DF171" s="102" t="e">
        <f t="shared" si="286"/>
        <v>#N/A</v>
      </c>
      <c r="DG171" s="102" t="e">
        <f t="shared" si="287"/>
        <v>#N/A</v>
      </c>
      <c r="DH171" s="414" t="e">
        <f>IF(DH170=0,0,IF(AND(DD171&gt;charge_ELS_quasi,DE171&gt;Charge_ELS_freq,DF171&gt;charge_ELU,DG171&gt;charge_ELA,$B171&gt;NDC!$H$22-0.1+MIN(3*$DH$12,1.5)),0,1))</f>
        <v>#N/A</v>
      </c>
      <c r="DI171" s="86" t="b">
        <f t="shared" si="255"/>
        <v>0</v>
      </c>
      <c r="DJ171" s="86">
        <f t="shared" si="256"/>
        <v>0.5</v>
      </c>
      <c r="DK171" s="86">
        <f t="shared" si="257"/>
        <v>0.5</v>
      </c>
      <c r="DL171" s="30" t="e">
        <f t="shared" ca="1" si="288"/>
        <v>#DIV/0!</v>
      </c>
      <c r="DM171" s="85" t="e">
        <f ca="1">IF(CS171&lt;=Hypothèses!$V$7,Hypothèses!$W$7,IF(CS171&lt;=Hypothèses!$V$8,Hypothèses!$W$8,IF(CS171&lt;=Hypothèses!$V$9,Hypothèses!$W$9,IF(CS171&lt;=Hypothèses!$V$10,Hypothèses!$W$10,IF(CS171&lt;=Hypothèses!$V$11,Hypothèses!$W$11,IF(CS171&lt;=Hypothèses!$V$12,Hypothèses!$W$12,IF(CS171&lt;=Hypothèses!$V$13,Hypothèses!$W$13,IF(CS171&lt;=Hypothèses!$V$14,Hypothèses!$W$14,IF(CS171&lt;=Hypothèses!$V$15,Hypothèses!$W$15,IF(CS171&lt;=Hypothèses!$V$16,Hypothèses!$W$16,IF(CS171&lt;=Hypothèses!$V$17,Hypothèses!$W$17,IF(CS171&lt;=Hypothèses!$V$18,Hypothèses!$W$18,""))))))))))))</f>
        <v>#DIV/0!</v>
      </c>
      <c r="DN171" s="87" t="e">
        <f t="shared" ca="1" si="321"/>
        <v>#DIV/0!</v>
      </c>
      <c r="DO171" s="88" t="e">
        <f ca="1">IF(CS171&lt;=Hypothèses!$V$7,Hypothèses!$X$7,IF(CS171&lt;=Hypothèses!$V$8,Hypothèses!$X$8,IF(CS171&lt;=Hypothèses!$V$9,Hypothèses!$X$9,IF(CS171&lt;=Hypothèses!$V$10,Hypothèses!$X$10,IF(CS171&lt;=Hypothèses!$V$11,Hypothèses!$X$11,IF(CS171&lt;=Hypothèses!$V$12,Hypothèses!$X$12,IF(CS171&lt;=Hypothèses!$V$13,Hypothèses!$X$13,IF(CS171&lt;=Hypothèses!$V$14,Hypothèses!$X$14,IF(CS171&lt;=Hypothèses!$V$15,Hypothèses!$X$15,IF(CS171&lt;=Hypothèses!$V$16,Hypothèses!$X$16,IF(CS171&lt;=Hypothèses!$U$17,Hypothèses!$W$17,IF(CS171&lt;=Hypothèses!$U$18,Hypothèses!$W$18,""))))))))))))</f>
        <v>#DIV/0!</v>
      </c>
      <c r="DP171" s="95" t="e">
        <f t="shared" ca="1" si="289"/>
        <v>#DIV/0!</v>
      </c>
      <c r="DQ171" s="101" t="e">
        <f t="shared" si="328"/>
        <v>#N/A</v>
      </c>
      <c r="DR171" s="91" t="e">
        <f t="shared" si="258"/>
        <v>#N/A</v>
      </c>
      <c r="DS171" s="30" t="e">
        <f t="shared" si="310"/>
        <v>#N/A</v>
      </c>
      <c r="DT171" s="30" t="e">
        <f t="shared" si="311"/>
        <v>#N/A</v>
      </c>
      <c r="DU171" s="31" t="e">
        <f>IF(OR(Hypothèses!$B$4=17,Hypothèses!$B$4=18,Hypothèses!$B$4=19,Hypothèses!$B$4=20),
IF($D171="Pressio.",
IF(OR($E171=3,$E171=1,$E171=4),DT171,DS171),
IF($D171="Pénétro.",
IF(OR($E171=3,$E171=1,$E171=4),DT171,DS171))),IF($D171="Pressio.",
IF($E171=3,DT171,DS171),
IF($D171="Pénétro.",
IF($E171=4,DT171,DS171))))</f>
        <v>#N/A</v>
      </c>
      <c r="DV171" s="31" t="e">
        <f>(IF(OR(Hypothèses!$B$4=17,Hypothèses!$B$4=18,Hypothèses!$B$4=19,Hypothèses!$B$4=20),
IF($D171="Pressio.",
IF(OR($E171=3,$E171=1,$E171=4),(PI()*DV$12^2)/4*(DR171*$W171*1000)/($H171*$B$5),(PI()*DV$12^2)/4*(DR171*$W171*1000)/($G171*$B$5)),
IF($D171="Pénétro.",
IF(OR($E171=4,$E171=1,$E171=5),(PI()*DV$12^2)/4*(DR171*$W171*1000)/($H171*$B$5),(PI()*DV$12^2)/4*(DR171*$W171*1000)/($G171*$B$5)))),
IF($D171="Pressio.",
IF($E171=3,(PI()*DV$12^2)/4*(DR171*$W171*1000)/($H171*$B$5),(PI()*DV$12^2)/4*(DR171*$W171*1000)/($G171*$B$5)),
IF($D171="Pénétro.",
IF($E171=4,(PI()*DV$12^2)/4*(DR171*$W171*1000)/($H171*$B$5),(PI()*DV$12^2)/4*(DR171*$W171*1000)/($G171*$B$5))))))/10</f>
        <v>#N/A</v>
      </c>
      <c r="DW171" s="102" t="e">
        <f>(VLOOKUP($B$3,'Coeff EC7'!$T$39:$X$59,2,0)*DU171+VLOOKUP($B$3,'Coeff EC7'!$T$65:$X$85,2,0)*Model0.1C!DV171)/1.1</f>
        <v>#N/A</v>
      </c>
      <c r="DX171" s="102" t="e">
        <f>(VLOOKUP($B$3,'Coeff EC7'!$T$39:$X$59,3,0)*DU171+VLOOKUP($B$3,'Coeff EC7'!$T$65:$X$85,3,0)*Model0.1C!DV171)/0.9</f>
        <v>#N/A</v>
      </c>
      <c r="DY171" s="102" t="e">
        <f t="shared" si="290"/>
        <v>#N/A</v>
      </c>
      <c r="DZ171" s="102" t="e">
        <f t="shared" si="291"/>
        <v>#N/A</v>
      </c>
      <c r="EA171" s="414" t="e">
        <f>IF(EA170=0,0,IF(AND(DW171&gt;charge_ELS_quasi,DX171&gt;Charge_ELS_freq,DY171&gt;charge_ELU,DZ171&gt;charge_ELA,$B171&gt;NDC!$H$22-0.1+MIN(3*$EA$12,1.5)),0,1))</f>
        <v>#N/A</v>
      </c>
      <c r="EB171" s="86" t="b">
        <f t="shared" si="259"/>
        <v>0</v>
      </c>
      <c r="EC171" s="418">
        <f t="shared" si="260"/>
        <v>0.51</v>
      </c>
      <c r="ED171" s="86">
        <f t="shared" si="261"/>
        <v>0.51</v>
      </c>
      <c r="EE171" s="30" t="e">
        <f t="shared" ca="1" si="292"/>
        <v>#DIV/0!</v>
      </c>
      <c r="EF171" s="85" t="e">
        <f ca="1">IF(DL171&lt;=Hypothèses!$V$7,Hypothèses!$W$7,IF(DL171&lt;=Hypothèses!$V$8,Hypothèses!$W$8,IF(DL171&lt;=Hypothèses!$V$9,Hypothèses!$W$9,IF(DL171&lt;=Hypothèses!$V$10,Hypothèses!$W$10,IF(DL171&lt;=Hypothèses!$V$11,Hypothèses!$W$11,IF(DL171&lt;=Hypothèses!$V$12,Hypothèses!$W$12,IF(DL171&lt;=Hypothèses!$V$13,Hypothèses!$W$13,IF(DL171&lt;=Hypothèses!$V$14,Hypothèses!$W$14,IF(DL171&lt;=Hypothèses!$V$15,Hypothèses!$W$15,IF(DL171&lt;=Hypothèses!$V$16,Hypothèses!$W$16,IF(DL171&lt;=Hypothèses!$V$17,Hypothèses!$W$17,IF(DL171&lt;=Hypothèses!$V$18,Hypothèses!$W$18,""))))))))))))</f>
        <v>#DIV/0!</v>
      </c>
      <c r="EG171" s="87" t="e">
        <f t="shared" ca="1" si="322"/>
        <v>#DIV/0!</v>
      </c>
      <c r="EH171" s="88" t="e">
        <f ca="1">IF(DL171&lt;=Hypothèses!$V$7,Hypothèses!$X$7,IF(DL171&lt;=Hypothèses!$V$8,Hypothèses!$X$8,IF(DL171&lt;=Hypothèses!$V$9,Hypothèses!$X$9,IF(DL171&lt;=Hypothèses!$V$10,Hypothèses!$X$10,IF(DL171&lt;=Hypothèses!$V$11,Hypothèses!$X$11,IF(DL171&lt;=Hypothèses!$V$12,Hypothèses!$X$12,IF(DL171&lt;=Hypothèses!$V$13,Hypothèses!$X$13,IF(DL171&lt;=Hypothèses!$V$14,Hypothèses!$X$14,IF(DL171&lt;=Hypothèses!$V$15,Hypothèses!$X$15,IF(DL171&lt;=Hypothèses!$V$16,Hypothèses!$X$16,IF(DL171&lt;=Hypothèses!$U$17,Hypothèses!$W$17,IF(DL171&lt;=Hypothèses!$U$18,Hypothèses!$W$18,""))))))))))))</f>
        <v>#DIV/0!</v>
      </c>
      <c r="EI171" s="95" t="e">
        <f t="shared" ca="1" si="293"/>
        <v>#DIV/0!</v>
      </c>
      <c r="EJ171" s="101" t="e">
        <f t="shared" si="329"/>
        <v>#N/A</v>
      </c>
      <c r="EK171" s="91" t="e">
        <f t="shared" si="262"/>
        <v>#N/A</v>
      </c>
      <c r="EL171" s="30" t="e">
        <f t="shared" si="312"/>
        <v>#N/A</v>
      </c>
      <c r="EM171" s="30" t="e">
        <f t="shared" si="313"/>
        <v>#N/A</v>
      </c>
      <c r="EN171" s="31" t="e">
        <f>IF(OR(Hypothèses!$B$4=17,Hypothèses!$B$4=18,Hypothèses!$B$4=19,Hypothèses!$B$4=20),
IF($D171="Pressio.",
IF(OR($E171=3,$E171=1,$E171=4),EM171,EL171),
IF($D171="Pénétro.",
IF(OR($E171=3,$E171=1,$E171=4),EM171,EL171))),IF($D171="Pressio.",
IF($E171=3,EM171,EL171),
IF($D171="Pénétro.",
IF($E171=4,EM171,EL171))))</f>
        <v>#N/A</v>
      </c>
      <c r="EO171" s="31" t="e">
        <f>(IF(OR(Hypothèses!$B$4=17,Hypothèses!$B$4=18,Hypothèses!$B$4=19,Hypothèses!$B$4=20),
IF($D171="Pressio.",
IF(OR($E171=3,$E171=1,$E171=4),(PI()*EO$12^2)/4*(EK171*$W171*1000)/($H171*$B$5),(PI()*EO$12^2)/4*(EK171*$W171*1000)/($G171*$B$5)),
IF($D171="Pénétro.",
IF(OR($E171=4,$E171=1,$E171=5),(PI()*EO$12^2)/4*(EK171*$W171*1000)/($H171*$B$5),(PI()*EO$12^2)/4*(EK171*$W171*1000)/($G171*$B$5)))),
IF($D171="Pressio.",
IF($E171=3,(PI()*EO$12^2)/4*(EK171*$W171*1000)/($H171*$B$5),(PI()*EO$12^2)/4*(EK171*$W171*1000)/($G171*$B$5)),
IF($D171="Pénétro.",
IF($E171=4,(PI()*EO$12^2)/4*(EK171*$W171*1000)/($H171*$B$5),(PI()*EO$12^2)/4*(EK171*$W171*1000)/($G171*$B$5))))))/10</f>
        <v>#N/A</v>
      </c>
      <c r="EP171" s="102" t="e">
        <f>(VLOOKUP($B$3,'Coeff EC7'!$T$39:$X$59,2,0)*EN171+VLOOKUP($B$3,'Coeff EC7'!$T$65:$X$85,2,0)*Model0.1C!EO171)/1.1</f>
        <v>#N/A</v>
      </c>
      <c r="EQ171" s="102" t="e">
        <f>(VLOOKUP($B$3,'Coeff EC7'!$T$39:$X$59,3,0)*EN171+VLOOKUP($B$3,'Coeff EC7'!$T$65:$X$85,3,0)*Model0.1C!EO171)/0.9</f>
        <v>#N/A</v>
      </c>
      <c r="ER171" s="102" t="e">
        <f t="shared" si="294"/>
        <v>#N/A</v>
      </c>
      <c r="ES171" s="102" t="e">
        <f t="shared" si="295"/>
        <v>#N/A</v>
      </c>
      <c r="ET171" s="414" t="e">
        <f>IF(ET170=0,0,IF(AND(EP171&gt;charge_ELS_quasi,EQ171&gt;Charge_ELS_freq,ER171&gt;charge_ELU,ES171&gt;charge_ELA,$B171&gt;NDC!$H$22-0.1+MIN(3*$ET$12,1.5)),0,1))</f>
        <v>#N/A</v>
      </c>
      <c r="EU171" s="86" t="b">
        <f t="shared" si="263"/>
        <v>0</v>
      </c>
      <c r="EV171" s="86">
        <f t="shared" si="264"/>
        <v>0.61</v>
      </c>
      <c r="EW171" s="86">
        <f t="shared" si="265"/>
        <v>0.61</v>
      </c>
      <c r="EX171" s="30" t="e">
        <f t="shared" ca="1" si="296"/>
        <v>#DIV/0!</v>
      </c>
      <c r="EY171" s="85" t="e">
        <f ca="1">IF(EE171&lt;=Hypothèses!$V$7,Hypothèses!$W$7,IF(EE171&lt;=Hypothèses!$V$8,Hypothèses!$W$8,IF(EE171&lt;=Hypothèses!$V$9,Hypothèses!$W$9,IF(EE171&lt;=Hypothèses!$V$10,Hypothèses!$W$10,IF(EE171&lt;=Hypothèses!$V$11,Hypothèses!$W$11,IF(EE171&lt;=Hypothèses!$V$12,Hypothèses!$W$12,IF(EE171&lt;=Hypothèses!$V$13,Hypothèses!$W$13,IF(EE171&lt;=Hypothèses!$V$14,Hypothèses!$W$14,IF(EE171&lt;=Hypothèses!$V$15,Hypothèses!$W$15,IF(EE171&lt;=Hypothèses!$V$16,Hypothèses!$W$16,IF(EE171&lt;=Hypothèses!$V$17,Hypothèses!$W$17,IF(EE171&lt;=Hypothèses!$V$18,Hypothèses!$W$18,""))))))))))))</f>
        <v>#DIV/0!</v>
      </c>
      <c r="EZ171" s="87" t="e">
        <f t="shared" ca="1" si="323"/>
        <v>#DIV/0!</v>
      </c>
      <c r="FA171" s="88" t="e">
        <f ca="1">IF(EE171&lt;=Hypothèses!$V$7,Hypothèses!$X$7,IF(EE171&lt;=Hypothèses!$V$8,Hypothèses!$X$8,IF(EE171&lt;=Hypothèses!$V$9,Hypothèses!$X$9,IF(EE171&lt;=Hypothèses!$V$10,Hypothèses!$X$10,IF(EE171&lt;=Hypothèses!$V$11,Hypothèses!$X$11,IF(EE171&lt;=Hypothèses!$V$12,Hypothèses!$X$12,IF(EE171&lt;=Hypothèses!$V$13,Hypothèses!$X$13,IF(EE171&lt;=Hypothèses!$V$14,Hypothèses!$X$14,IF(EE171&lt;=Hypothèses!$V$15,Hypothèses!$X$15,IF(EE171&lt;=Hypothèses!$V$16,Hypothèses!$X$16,IF(EE171&lt;=Hypothèses!$U$17,Hypothèses!$W$17,IF(EE171&lt;=Hypothèses!$U$18,Hypothèses!$W$18,""))))))))))))</f>
        <v>#DIV/0!</v>
      </c>
      <c r="FB171" s="95" t="e">
        <f t="shared" ca="1" si="297"/>
        <v>#DIV/0!</v>
      </c>
      <c r="FC171" s="101" t="e">
        <f t="shared" si="330"/>
        <v>#N/A</v>
      </c>
      <c r="FD171" s="91" t="e">
        <f t="shared" si="266"/>
        <v>#N/A</v>
      </c>
      <c r="FE171" s="30" t="e">
        <f t="shared" si="314"/>
        <v>#N/A</v>
      </c>
      <c r="FF171" s="30" t="e">
        <f t="shared" si="315"/>
        <v>#N/A</v>
      </c>
      <c r="FG171" s="31" t="e">
        <f>IF(OR(Hypothèses!$B$4=17,Hypothèses!$B$4=18,Hypothèses!$B$4=19,Hypothèses!$B$4=20),
IF($D171="Pressio.",
IF(OR($E171=3,$E171=1,$E171=4),FF171,FE171),
IF($D171="Pénétro.",
IF(OR($E171=3,$E171=1,$E171=4),FF171,FE171))),IF($D171="Pressio.",
IF($E171=3,FF171,FE171),
IF($D171="Pénétro.",
IF($E171=4,FF171,FE171))))</f>
        <v>#N/A</v>
      </c>
      <c r="FH171" s="31" t="e">
        <f>(IF(OR(Hypothèses!$B$4=17,Hypothèses!$B$4=18,Hypothèses!$B$4=19,Hypothèses!$B$4=20),
IF($D171="Pressio.",
IF(OR($E171=3,$E171=1,$E171=4),(PI()*FH$12^2)/4*(FD171*$W171*1000)/($H171*$B$5),(PI()*FH$12^2)/4*(FD171*$W171*1000)/($G171*$B$5)),
IF($D171="Pénétro.",
IF(OR($E171=4,$E171=1,$E171=5),(PI()*FH$12^2)/4*(FD171*$W171*1000)/($H171*$B$5),(PI()*FH$12^2)/4*(FD171*$W171*1000)/($G171*$B$5)))),
IF($D171="Pressio.",
IF($E171=3,(PI()*FH$12^2)/4*(FD171*$W171*1000)/($H171*$B$5),(PI()*FH$12^2)/4*(FD171*$W171*1000)/($G171*$B$5)),
IF($D171="Pénétro.",
IF($E171=4,(PI()*FH$12^2)/4*(FD171*$W171*1000)/($H171*$B$5),(PI()*FH$12^2)/4*(FD171*$W171*1000)/($G171*$B$5))))))/10</f>
        <v>#N/A</v>
      </c>
      <c r="FI171" s="102" t="e">
        <f>(VLOOKUP($B$3,'Coeff EC7'!$T$39:$X$59,2,0)*FG171+VLOOKUP($B$3,'Coeff EC7'!$T$65:$X$85,2,0)*Model0.1C!FH171)/1.1</f>
        <v>#N/A</v>
      </c>
      <c r="FJ171" s="102" t="e">
        <f>(VLOOKUP($B$3,'Coeff EC7'!$T$39:$X$59,3,0)*FG171+VLOOKUP($B$3,'Coeff EC7'!$T$65:$X$85,3,0)*Model0.1C!FH171)/0.9</f>
        <v>#N/A</v>
      </c>
      <c r="FK171" s="102" t="e">
        <f t="shared" si="298"/>
        <v>#N/A</v>
      </c>
      <c r="FL171" s="102" t="e">
        <f t="shared" si="299"/>
        <v>#N/A</v>
      </c>
      <c r="FM171" s="414" t="e">
        <f>IF(FM170=0,0,IF(AND(FI171&gt;charge_ELS_quasi,FJ171&gt;Charge_ELS_freq,FK171&gt;charge_ELU,FL171&gt;charge_ELA,$B171&gt;NDC!$H$22-0.1+MIN(3*$FM$12,1.5)),0,1))</f>
        <v>#N/A</v>
      </c>
    </row>
    <row r="172" spans="1:169">
      <c r="A172" s="96">
        <f t="shared" si="267"/>
        <v>84.100000000000904</v>
      </c>
      <c r="B172" s="97">
        <v>15.9</v>
      </c>
      <c r="C172" s="81">
        <f>IF(B172&lt;=Hypothèses!$C$7,Hypothèses!$A$7,IF(B172&lt;=Hypothèses!$C$8,Hypothèses!$A$8,IF(B172&lt;=Hypothèses!$C$9,Hypothèses!$A$9,IF(B172&lt;=Hypothèses!$C$10,Hypothèses!$A$10,IF(B172&lt;=Hypothèses!$C$11,Hypothèses!$A$11,IF(B172&lt;=Hypothèses!$C$12,Hypothèses!$A$12,IF(B172&lt;=Hypothèses!$C$13,Hypothèses!$A$13,IF(B172&lt;=Hypothèses!$C$14,Hypothèses!$A$14,IF(B172&lt;=Hypothèses!$C$15,Hypothèses!$A$15,IF(B172&lt;=Hypothèses!$C$16,Hypothèses!$A$16,IF(B172&lt;=Hypothèses!$C$17,Hypothèses!$A$17,IF(B172&lt;=Hypothèses!$C$18,Hypothèses!$A$18,C171))))))))))))</f>
        <v>11</v>
      </c>
      <c r="D172" s="82" t="str">
        <f>IF(B172&lt;=Hypothèses!$C$7,Hypothèses!$R$7,IF(B172&lt;=Hypothèses!$C$8,Hypothèses!$R$8,IF(B172&lt;=Hypothèses!$C$9,Hypothèses!$R$9,IF(B172&lt;=Hypothèses!$C$10,Hypothèses!$R$10,IF(B172&lt;=Hypothèses!$C$11,Hypothèses!$R$11,IF(B172&lt;=Hypothèses!$C$12,Hypothèses!$R$12,IF(B172&lt;=Hypothèses!$C$13,Hypothèses!$R$13,IF(B172&lt;=Hypothèses!$C$14,Hypothèses!$R$14,IF(B172&lt;=Hypothèses!$C$15,Hypothèses!$R$15,IF(B172&lt;=Hypothèses!$C$16,Hypothèses!$R$16,IF(B172&lt;=Hypothèses!$C$17,Hypothèses!$R$17,IF(B172&lt;=Hypothèses!$C$18,Hypothèses!$R$18,D171))))))))))))</f>
        <v>Pressio.</v>
      </c>
      <c r="E172" s="82" t="e">
        <f>IF(B172&lt;=Hypothèses!$C$7,Hypothèses!$G$7,IF(B172&lt;=Hypothèses!$C$8,Hypothèses!$G$8,IF(B172&lt;=Hypothèses!$C$9,Hypothèses!$G$9,IF(B172&lt;=Hypothèses!$C$10,Hypothèses!$G$10,IF(B172&lt;=Hypothèses!$C$11,Hypothèses!$G$11,IF(B172&lt;=Hypothèses!$C$12,Hypothèses!$G$12,IF(B172&lt;=Hypothèses!$C$13,Hypothèses!$G$13,IF(B172&lt;=Hypothèses!$C$14,Hypothèses!$G$14,IF(B172&lt;=Hypothèses!$C$15,Hypothèses!$G$15,IF(B172&lt;=Hypothèses!$C$16,Hypothèses!$G$16,IF(B172&lt;=Hypothèses!$C$17,Hypothèses!$G$17,IF(B172&lt;=Hypothèses!$C$18,Hypothèses!$G$18,E171))))))))))))</f>
        <v>#N/A</v>
      </c>
      <c r="F172" s="82" t="str">
        <f>IF(B172&lt;=Hypothèses!$C$7,Hypothèses!$F$7,IF(B172&lt;=Hypothèses!$C$8,Hypothèses!$F$8,IF(B172&lt;=Hypothèses!$C$9,Hypothèses!$F$9,IF(B172&lt;=Hypothèses!$C$10,Hypothèses!$F$10,IF(B172&lt;=Hypothèses!$C$11,Hypothèses!$F$11,IF(B172&lt;=Hypothèses!$C$12,Hypothèses!$F$12,IF(B172&lt;=Hypothèses!$C$13,Hypothèses!$F$13,IF(B172&lt;=Hypothèses!$C$14,Hypothèses!$F$14,IF(B172&lt;=Hypothèses!$C$15,Hypothèses!$F$15,IF(B172&lt;=Hypothèses!$C$16,Hypothèses!$F$16,IF(B172&lt;=Hypothèses!$C$17,Hypothèses!$F$17,IF(B172&lt;=Hypothèses!$C$18,Hypothèses!$F$18,F171))))))))))))</f>
        <v/>
      </c>
      <c r="G172" s="91">
        <f t="array" ref="G172">INDEX('Coeff EC7'!$U$7:$X$27,
MATCH(Model0.1C!$B$3,'Coeff EC7'!$T$7:$T$27,0),
MATCH(Model0.1C!$D172&amp;Model0.1C!$B$4,
'Coeff EC7'!$U$6:$X$6&amp;
'Coeff EC7'!$U$5:$X$5,0))</f>
        <v>1.1499999999999999</v>
      </c>
      <c r="H172" s="91">
        <f t="array" ref="H172">INDEX('Coeff EC7'!$Y$7:$AB$27,
MATCH(Model0.1C!$B$3,'Coeff EC7'!$T$7:$T$27,0),
MATCH(Model0.1C!$D172&amp;Model0.1C!$B$4,
'Coeff EC7'!$Y$6:$AB$6&amp;
'Coeff EC7'!$Y$5:$AB$5,0))</f>
        <v>1.4</v>
      </c>
      <c r="I172" s="83" t="e">
        <f>IF(B172&lt;=Hypothèses!$C$7,Hypothèses!$P$7,IF(B172&lt;=Hypothèses!$C$8,Hypothèses!$P$8,IF(B172&lt;=Hypothèses!$C$9,Hypothèses!$P$9,IF(B172&lt;=Hypothèses!$C$10,Hypothèses!$P$10,IF(B172&lt;=Hypothèses!$C$11,Hypothèses!$P$11,IF(B172&lt;=Hypothèses!$C$12,Hypothèses!$P$12,IF(B172&lt;=Hypothèses!$C$13,Hypothèses!$P$13,IF(B172&lt;=Hypothèses!$C$14,Hypothèses!$P$14,IF(B172&lt;=Hypothèses!$C$15,Hypothèses!$P$15,IF(B172&lt;=Hypothèses!$C$16,Hypothèses!$P$16,IF(B172&lt;=Hypothèses!$C$17,Hypothèses!$P$17,IF(B172&lt;=Hypothèses!$C$18,Hypothèses!$P$18,I171))))))))))))</f>
        <v>#N/A</v>
      </c>
      <c r="J172" s="91" t="e">
        <f t="array" ref="J172">INDEX('Coeff EC7'!$D$33:$Q$33,1,MATCH(D172&amp;E172,'Coeff EC7'!$D$31:$Q$31&amp;'Coeff EC7'!$D$32:$Q$32,0))</f>
        <v>#N/A</v>
      </c>
      <c r="K172" s="91" t="e">
        <f t="array" ref="K172">INDEX('Coeff EC7'!$D$34:$Q$34,1,MATCH(D172&amp;E172,'Coeff EC7'!$D$31:$Q$31&amp;'Coeff EC7'!$D$32:$Q$32,0))</f>
        <v>#N/A</v>
      </c>
      <c r="L172" s="91" t="e">
        <f t="array" ref="L172">INDEX('Coeff EC7'!$D$35:$Q$35,1,MATCH(D172&amp;E172,'Coeff EC7'!$D$31:$Q$31&amp;'Coeff EC7'!$D$32:$Q$32,0))</f>
        <v>#N/A</v>
      </c>
      <c r="M172" s="98" t="e">
        <f t="shared" si="231"/>
        <v>#N/A</v>
      </c>
      <c r="N172" s="99" t="e">
        <f t="array" ref="N172">INDEX('Coeff EC7'!$D$7:$Q$27,MATCH($B$3,'Coeff EC7'!$C$7:$C$27,0),MATCH(D172&amp;E172,'Coeff EC7'!$D$5:$Q$5&amp;'Coeff EC7'!$D$6:$Q$6,0))</f>
        <v>#N/A</v>
      </c>
      <c r="O172" s="99" t="e">
        <f t="array" ref="O172">INDEX('Coeff EC7'!$D$41:$Q$61,MATCH($B$3,'Coeff EC7'!$C$41:$C$61,0),MATCH(D172&amp;E172,'Coeff EC7'!$D$39:$Q$39&amp;'Coeff EC7'!$D$40:$Q$40,0))</f>
        <v>#N/A</v>
      </c>
      <c r="P172" s="30" t="e">
        <f t="shared" si="268"/>
        <v>#N/A</v>
      </c>
      <c r="Q172" s="100" t="e">
        <f t="shared" si="233"/>
        <v>#N/A</v>
      </c>
      <c r="R172" s="86" t="b">
        <f t="shared" si="234"/>
        <v>0</v>
      </c>
      <c r="S172" s="86">
        <f t="shared" si="232"/>
        <v>0.5</v>
      </c>
      <c r="T172" s="86">
        <f t="shared" si="235"/>
        <v>0.5</v>
      </c>
      <c r="U172" s="30" t="e">
        <f t="shared" ca="1" si="269"/>
        <v>#DIV/0!</v>
      </c>
      <c r="V172" s="85" t="str">
        <f>IF(B172&lt;=Hypothèses!$V$7,Hypothèses!$W$7,IF(B172&lt;=Hypothèses!$V$8,Hypothèses!$W$8,IF(B172&lt;=Hypothèses!$V$9,Hypothèses!$W$9,IF(B172&lt;=Hypothèses!$V$10,Hypothèses!$W$10,IF(B172&lt;=Hypothèses!$V$11,Hypothèses!$W$11,IF(B172&lt;=Hypothèses!$V$12,Hypothèses!$W$12,IF(B172&lt;=Hypothèses!$V$13,Hypothèses!$W$13,IF(B172&lt;=Hypothèses!$V$14,Hypothèses!$W$14,IF(B172&lt;=Hypothèses!$V$15,Hypothèses!$W$15,IF(B172&lt;=Hypothèses!$V$16,Hypothèses!$W$16,IF(B172&lt;=Hypothèses!$V$17,Hypothèses!$W$17,IF(B172&lt;=Hypothèses!$V$18,Hypothèses!$W$18,""))))))))))))</f>
        <v/>
      </c>
      <c r="W172" s="87" t="e">
        <f t="shared" ca="1" si="316"/>
        <v>#DIV/0!</v>
      </c>
      <c r="X172" s="88" t="str">
        <f>IF(B172&lt;=Hypothèses!$V$7,Hypothèses!$X$7,IF(B172&lt;=Hypothèses!$V$8,Hypothèses!$X$8,IF(B172&lt;=Hypothèses!$V$9,Hypothèses!$X$9,IF(B172&lt;=Hypothèses!$V$10,Hypothèses!$X$10,IF(B172&lt;=Hypothèses!$V$11,Hypothèses!$X$11,IF(B172&lt;=Hypothèses!$V$12,Hypothèses!$X$12,IF(B172&lt;=Hypothèses!$V$13,Hypothèses!$X$13,IF(B172&lt;=Hypothèses!$V$14,Hypothèses!$X$14,IF(B172&lt;=Hypothèses!$V$15,Hypothèses!$X$15,IF(B172&lt;=Hypothèses!$V$16,Hypothèses!$X$16,IF(B172&lt;=Hypothèses!$U$17,Hypothèses!$W$17,IF(B172&lt;=Hypothèses!$U$18,Hypothèses!$W$18,""))))))))))))</f>
        <v/>
      </c>
      <c r="Y172" s="95" t="e">
        <f t="shared" ca="1" si="236"/>
        <v>#DIV/0!</v>
      </c>
      <c r="Z172" s="101" t="e">
        <f t="shared" si="237"/>
        <v>#N/A</v>
      </c>
      <c r="AA172" s="91" t="e">
        <f t="shared" si="238"/>
        <v>#N/A</v>
      </c>
      <c r="AB172" s="30" t="e">
        <f t="shared" si="300"/>
        <v>#N/A</v>
      </c>
      <c r="AC172" s="30" t="e">
        <f t="shared" si="301"/>
        <v>#N/A</v>
      </c>
      <c r="AD172" s="31" t="e">
        <f>IF(OR(Hypothèses!$B$4=17,Hypothèses!$B$4=18,Hypothèses!$B$4=19,Hypothèses!$B$4=20),
IF($D172="Pressio.",
IF(OR($E172=3,$E172=1,$E172=4),AC172,AB172),
IF($D172="Pénétro.",
IF(OR($E172=3,$E172=1,$E172=4),AC172,AB172))),IF($D172="Pressio.",
IF($E172=3,AC172,AB172),
IF($D172="Pénétro.",
IF($E172=4,AC172,AB172))))</f>
        <v>#N/A</v>
      </c>
      <c r="AE172" s="31" t="e">
        <f>(IF(OR(Hypothèses!$B$4=17,Hypothèses!$B$4=18,Hypothèses!$B$4=19,Hypothèses!$B$4=20),
IF($D172="Pressio.",
IF(OR($E172=3,$E172=1,$E172=4),(PI()*AE$12^2)/4*(AA172*$W172*1000)/($H172*$B$5),(PI()*AE$12^2)/4*(AA172*$W172*1000)/($G172*$B$5)),
IF($D172="Pénétro.",
IF(OR($E172=4,$E172=1,$E172=5),(PI()*AE$12^2)/4*(AA172*$W172*1000)/($H172*$B$5),(PI()*AE$12^2)/4*(AA172*$W172*1000)/($G172*$B$5)))),
IF($D172="Pressio.",
IF($E172=3,(PI()*AE$12^2)/4*(AA172*$W172*1000)/($H172*$B$5),(PI()*AE$12^2)/4*(AA172*$W172*1000)/($G172*$B$5)),
IF($D172="Pénétro.",
IF($E172=4,(PI()*AE$12^2)/4*(AA172*$W172*1000)/($H172*$B$5),(PI()*AE$12^2)/4*(AA172*$W172*1000)/($G172*$B$5))))))/10</f>
        <v>#N/A</v>
      </c>
      <c r="AF172" s="102" t="e">
        <f>(VLOOKUP($B$3,'Coeff EC7'!$T$39:$X$59,2,0)*AD172+VLOOKUP($B$3,'Coeff EC7'!$T$65:$X$85,2,0)*Model0.1C!AE172)/1.1</f>
        <v>#N/A</v>
      </c>
      <c r="AG172" s="102" t="e">
        <f>(VLOOKUP($B$3,'Coeff EC7'!$T$39:$X$59,3,0)*AD172+VLOOKUP($B$3,'Coeff EC7'!$T$65:$X$85,3,0)*Model0.1C!AE172)/0.9</f>
        <v>#N/A</v>
      </c>
      <c r="AH172" s="102" t="e">
        <f t="shared" si="239"/>
        <v>#N/A</v>
      </c>
      <c r="AI172" s="102" t="e">
        <f t="shared" si="240"/>
        <v>#N/A</v>
      </c>
      <c r="AJ172" s="414" t="e">
        <f>IF(AJ171=0,0,IF(AND(AF172&gt;charge_ELS_quasi,AG172&gt;Charge_ELS_freq,AH172&gt;charge_ELU,AI172&gt;charge_ELA,$B172&gt;NDC!$H$22-0.1+MIN(3*$AJ$12,1.5)),0,1))</f>
        <v>#N/A</v>
      </c>
      <c r="AK172" s="86" t="b">
        <f t="shared" si="241"/>
        <v>0</v>
      </c>
      <c r="AL172" s="86">
        <f t="shared" si="270"/>
        <v>0.5</v>
      </c>
      <c r="AM172" s="86">
        <f t="shared" si="242"/>
        <v>0.5</v>
      </c>
      <c r="AN172" s="30" t="e">
        <f t="shared" ca="1" si="271"/>
        <v>#DIV/0!</v>
      </c>
      <c r="AO172" s="85" t="e">
        <f ca="1">IF(U172&lt;=Hypothèses!$V$7,Hypothèses!$W$7,IF(U172&lt;=Hypothèses!$V$8,Hypothèses!$W$8,IF(U172&lt;=Hypothèses!$V$9,Hypothèses!$W$9,IF(U172&lt;=Hypothèses!$V$10,Hypothèses!$W$10,IF(U172&lt;=Hypothèses!$V$11,Hypothèses!$W$11,IF(U172&lt;=Hypothèses!$V$12,Hypothèses!$W$12,IF(U172&lt;=Hypothèses!$V$13,Hypothèses!$W$13,IF(U172&lt;=Hypothèses!$V$14,Hypothèses!$W$14,IF(U172&lt;=Hypothèses!$V$15,Hypothèses!$W$15,IF(U172&lt;=Hypothèses!$V$16,Hypothèses!$W$16,IF(U172&lt;=Hypothèses!$V$17,Hypothèses!$W$17,IF(U172&lt;=Hypothèses!$V$18,Hypothèses!$W$18,""))))))))))))</f>
        <v>#DIV/0!</v>
      </c>
      <c r="AP172" s="87" t="e">
        <f t="shared" ca="1" si="317"/>
        <v>#DIV/0!</v>
      </c>
      <c r="AQ172" s="88" t="e">
        <f ca="1">IF(U172&lt;=Hypothèses!$V$7,Hypothèses!$X$7,IF(U172&lt;=Hypothèses!$V$8,Hypothèses!$X$8,IF(U172&lt;=Hypothèses!$V$9,Hypothèses!$X$9,IF(U172&lt;=Hypothèses!$V$10,Hypothèses!$X$10,IF(U172&lt;=Hypothèses!$V$11,Hypothèses!$X$11,IF(U172&lt;=Hypothèses!$V$12,Hypothèses!$X$12,IF(U172&lt;=Hypothèses!$V$13,Hypothèses!$X$13,IF(U172&lt;=Hypothèses!$V$14,Hypothèses!$X$14,IF(U172&lt;=Hypothèses!$V$15,Hypothèses!$X$15,IF(U172&lt;=Hypothèses!$V$16,Hypothèses!$X$16,IF(U172&lt;=Hypothèses!$U$17,Hypothèses!$W$17,IF(U172&lt;=Hypothèses!$U$18,Hypothèses!$W$18,""))))))))))))</f>
        <v>#DIV/0!</v>
      </c>
      <c r="AR172" s="95" t="e">
        <f t="shared" ca="1" si="272"/>
        <v>#DIV/0!</v>
      </c>
      <c r="AS172" s="101" t="e">
        <f t="shared" si="324"/>
        <v>#N/A</v>
      </c>
      <c r="AT172" s="91" t="e">
        <f t="shared" si="243"/>
        <v>#N/A</v>
      </c>
      <c r="AU172" s="30" t="e">
        <f t="shared" si="302"/>
        <v>#N/A</v>
      </c>
      <c r="AV172" s="30" t="e">
        <f t="shared" si="303"/>
        <v>#N/A</v>
      </c>
      <c r="AW172" s="31" t="e">
        <f>IF(OR(Hypothèses!$B$4=17,Hypothèses!$B$4=18,Hypothèses!$B$4=19,Hypothèses!$B$4=20),
IF($D172="Pressio.",
IF(OR($E172=3,$E172=1,$E172=4),AV172,AU172),
IF($D172="Pénétro.",
IF(OR($E172=3,$E172=1,$E172=4),AV172,AU172))),IF($D172="Pressio.",
IF($E172=3,AV172,AU172),
IF($D172="Pénétro.",
IF($E172=4,AV172,AU172))))</f>
        <v>#N/A</v>
      </c>
      <c r="AX172" s="31" t="e">
        <f>(IF(OR(Hypothèses!$B$4=17,Hypothèses!$B$4=18,Hypothèses!$B$4=19,Hypothèses!$B$4=20),
IF($D172="Pressio.",
IF(OR($E172=3,$E172=1,$E172=4),(PI()*AX$12^2)/4*(AT172*$W172*1000)/($H172*$B$5),(PI()*AX$12^2)/4*(AT172*$W172*1000)/($G172*$B$5)),
IF($D172="Pénétro.",
IF(OR($E172=4,$E172=1,$E172=5),(PI()*AX$12^2)/4*(AT172*$W172*1000)/($H172*$B$5),(PI()*AX$12^2)/4*(AT172*$W172*1000)/($G172*$B$5)))),
IF($D172="Pressio.",
IF($E172=3,(PI()*AX$12^2)/4*(AT172*$W172*1000)/($H172*$B$5),(PI()*AX$12^2)/4*(AT172*$W172*1000)/($G172*$B$5)),
IF($D172="Pénétro.",
IF($E172=4,(PI()*AX$12^2)/4*(AT172*$W172*1000)/($H172*$B$5),(PI()*AX$12^2)/4*(AT172*$W172*1000)/($G172*$B$5))))))/10</f>
        <v>#N/A</v>
      </c>
      <c r="AY172" s="102" t="e">
        <f>(VLOOKUP($B$3,'Coeff EC7'!$T$39:$X$59,2,0)*AW172+VLOOKUP($B$3,'Coeff EC7'!$T$65:$X$85,2,0)*Model0.1C!AX172)/1.1</f>
        <v>#N/A</v>
      </c>
      <c r="AZ172" s="102" t="e">
        <f>(VLOOKUP($B$3,'Coeff EC7'!$T$39:$X$59,3,0)*AW172+VLOOKUP($B$3,'Coeff EC7'!$T$65:$X$85,3,0)*Model0.1C!AX172)/0.9</f>
        <v>#N/A</v>
      </c>
      <c r="BA172" s="102" t="e">
        <f t="shared" si="273"/>
        <v>#N/A</v>
      </c>
      <c r="BB172" s="102" t="e">
        <f t="shared" si="274"/>
        <v>#N/A</v>
      </c>
      <c r="BC172" s="414" t="e">
        <f>IF(BC171=0,0,IF(AND(AY172&gt;charge_ELS_quasi,AZ172&gt;Charge_ELS_freq,BA172&gt;charge_ELU,BB172&gt;charge_ELA,$B172&gt;NDC!$H$22-0.1+MIN(3*$BC$12,1.5)),0,1))</f>
        <v>#N/A</v>
      </c>
      <c r="BD172" s="86" t="b">
        <f t="shared" si="244"/>
        <v>0</v>
      </c>
      <c r="BE172" s="86">
        <f t="shared" si="275"/>
        <v>0.5</v>
      </c>
      <c r="BF172" s="86">
        <f t="shared" si="245"/>
        <v>0.5</v>
      </c>
      <c r="BG172" s="30" t="e">
        <f t="shared" ca="1" si="276"/>
        <v>#DIV/0!</v>
      </c>
      <c r="BH172" s="85" t="e">
        <f ca="1">IF(AN172&lt;=Hypothèses!$V$7,Hypothèses!$W$7,IF(AN172&lt;=Hypothèses!$V$8,Hypothèses!$W$8,IF(AN172&lt;=Hypothèses!$V$9,Hypothèses!$W$9,IF(AN172&lt;=Hypothèses!$V$10,Hypothèses!$W$10,IF(AN172&lt;=Hypothèses!$V$11,Hypothèses!$W$11,IF(AN172&lt;=Hypothèses!$V$12,Hypothèses!$W$12,IF(AN172&lt;=Hypothèses!$V$13,Hypothèses!$W$13,IF(AN172&lt;=Hypothèses!$V$14,Hypothèses!$W$14,IF(AN172&lt;=Hypothèses!$V$15,Hypothèses!$W$15,IF(AN172&lt;=Hypothèses!$V$16,Hypothèses!$W$16,IF(AN172&lt;=Hypothèses!$V$17,Hypothèses!$W$17,IF(AN172&lt;=Hypothèses!$V$18,Hypothèses!$W$18,""))))))))))))</f>
        <v>#DIV/0!</v>
      </c>
      <c r="BI172" s="87" t="e">
        <f t="shared" ca="1" si="318"/>
        <v>#DIV/0!</v>
      </c>
      <c r="BJ172" s="88" t="e">
        <f ca="1">IF(AN172&lt;=Hypothèses!$V$7,Hypothèses!$X$7,IF(AN172&lt;=Hypothèses!$V$8,Hypothèses!$X$8,IF(AN172&lt;=Hypothèses!$V$9,Hypothèses!$X$9,IF(AN172&lt;=Hypothèses!$V$10,Hypothèses!$X$10,IF(AN172&lt;=Hypothèses!$V$11,Hypothèses!$X$11,IF(AN172&lt;=Hypothèses!$V$12,Hypothèses!$X$12,IF(AN172&lt;=Hypothèses!$V$13,Hypothèses!$X$13,IF(AN172&lt;=Hypothèses!$V$14,Hypothèses!$X$14,IF(AN172&lt;=Hypothèses!$V$15,Hypothèses!$X$15,IF(AN172&lt;=Hypothèses!$V$16,Hypothèses!$X$16,IF(AN172&lt;=Hypothèses!$U$17,Hypothèses!$W$17,IF(AN172&lt;=Hypothèses!$U$18,Hypothèses!$W$18,""))))))))))))</f>
        <v>#DIV/0!</v>
      </c>
      <c r="BK172" s="95" t="e">
        <f t="shared" ca="1" si="277"/>
        <v>#DIV/0!</v>
      </c>
      <c r="BL172" s="101" t="e">
        <f t="shared" si="325"/>
        <v>#N/A</v>
      </c>
      <c r="BM172" s="91" t="e">
        <f t="shared" si="246"/>
        <v>#N/A</v>
      </c>
      <c r="BN172" s="30" t="e">
        <f t="shared" si="304"/>
        <v>#N/A</v>
      </c>
      <c r="BO172" s="30" t="e">
        <f t="shared" si="305"/>
        <v>#N/A</v>
      </c>
      <c r="BP172" s="31" t="e">
        <f>IF(OR(Hypothèses!$B$4=17,Hypothèses!$B$4=18,Hypothèses!$B$4=19,Hypothèses!$B$4=20),
IF($D172="Pressio.",
IF(OR($E172=3,$E172=1,$E172=4),BO172,BN172),
IF($D172="Pénétro.",
IF(OR($E172=3,$E172=1,$E172=4),BO172,BN172))),IF($D172="Pressio.",
IF($E172=3,BO172,BN172),
IF($D172="Pénétro.",
IF($E172=4,BO172,BN172))))</f>
        <v>#N/A</v>
      </c>
      <c r="BQ172" s="31" t="e">
        <f>(IF(OR(Hypothèses!$B$4=17,Hypothèses!$B$4=18,Hypothèses!$B$4=19,Hypothèses!$B$4=20),
IF($D172="Pressio.",
IF(OR($E172=3,$E172=1,$E172=4),(PI()*BQ$12^2)/4*(BM172*$W172*1000)/($H172*$B$5),(PI()*BQ$12^2)/4*(BM172*$W172*1000)/($G172*$B$5)),
IF($D172="Pénétro.",
IF(OR($E172=4,$E172=1,$E172=5),(PI()*BQ$12^2)/4*(BM172*$W172*1000)/($H172*$B$5),(PI()*BQ$12^2)/4*(BM172*$W172*1000)/($G172*$B$5)))),
IF($D172="Pressio.",
IF($E172=3,(PI()*BQ$12^2)/4*(BM172*$W172*1000)/($H172*$B$5),(PI()*BQ$12^2)/4*(BM172*$W172*1000)/($G172*$B$5)),
IF($D172="Pénétro.",
IF($E172=4,(PI()*BQ$12^2)/4*(BM172*$W172*1000)/($H172*$B$5),(PI()*BQ$12^2)/4*(BM172*$W172*1000)/($G172*$B$5))))))/10</f>
        <v>#N/A</v>
      </c>
      <c r="BR172" s="102" t="e">
        <f>(VLOOKUP($B$3,'Coeff EC7'!$T$39:$X$59,2,0)*BP172+VLOOKUP($B$3,'Coeff EC7'!$T$65:$X$85,2,0)*Model0.1C!BQ172)/1.1</f>
        <v>#N/A</v>
      </c>
      <c r="BS172" s="102" t="e">
        <f>(VLOOKUP($B$3,'Coeff EC7'!$T$39:$X$59,3,0)*BP172+VLOOKUP($B$3,'Coeff EC7'!$T$65:$X$85,3,0)*Model0.1C!BQ172)/0.9</f>
        <v>#N/A</v>
      </c>
      <c r="BT172" s="102" t="e">
        <f t="shared" si="278"/>
        <v>#N/A</v>
      </c>
      <c r="BU172" s="102" t="e">
        <f t="shared" si="279"/>
        <v>#N/A</v>
      </c>
      <c r="BV172" s="414" t="e">
        <f>IF(BV171=0,0,IF(AND(BR172&gt;charge_ELS_quasi,BS172&gt;Charge_ELS_freq,BT172&gt;charge_ELU,BU172&gt;charge_ELA,$B172&gt;NDC!$H$22-0.1+MIN(3*$BV$12,1.5)),0,1))</f>
        <v>#N/A</v>
      </c>
      <c r="BW172" s="86" t="b">
        <f t="shared" si="247"/>
        <v>0</v>
      </c>
      <c r="BX172" s="86">
        <f t="shared" si="248"/>
        <v>0.5</v>
      </c>
      <c r="BY172" s="86">
        <f t="shared" si="249"/>
        <v>0.5</v>
      </c>
      <c r="BZ172" s="30" t="e">
        <f t="shared" ca="1" si="280"/>
        <v>#DIV/0!</v>
      </c>
      <c r="CA172" s="85" t="e">
        <f ca="1">IF(BG172&lt;=Hypothèses!$V$7,Hypothèses!$W$7,IF(BG172&lt;=Hypothèses!$V$8,Hypothèses!$W$8,IF(BG172&lt;=Hypothèses!$V$9,Hypothèses!$W$9,IF(BG172&lt;=Hypothèses!$V$10,Hypothèses!$W$10,IF(BG172&lt;=Hypothèses!$V$11,Hypothèses!$W$11,IF(BG172&lt;=Hypothèses!$V$12,Hypothèses!$W$12,IF(BG172&lt;=Hypothèses!$V$13,Hypothèses!$W$13,IF(BG172&lt;=Hypothèses!$V$14,Hypothèses!$W$14,IF(BG172&lt;=Hypothèses!$V$15,Hypothèses!$W$15,IF(BG172&lt;=Hypothèses!$V$16,Hypothèses!$W$16,IF(BG172&lt;=Hypothèses!$V$17,Hypothèses!$W$17,IF(BG172&lt;=Hypothèses!$V$18,Hypothèses!$W$18,""))))))))))))</f>
        <v>#DIV/0!</v>
      </c>
      <c r="CB172" s="87" t="e">
        <f t="shared" ca="1" si="319"/>
        <v>#DIV/0!</v>
      </c>
      <c r="CC172" s="88" t="e">
        <f ca="1">IF(BG172&lt;=Hypothèses!$V$7,Hypothèses!$X$7,IF(BG172&lt;=Hypothèses!$V$8,Hypothèses!$X$8,IF(BG172&lt;=Hypothèses!$V$9,Hypothèses!$X$9,IF(BG172&lt;=Hypothèses!$V$10,Hypothèses!$X$10,IF(BG172&lt;=Hypothèses!$V$11,Hypothèses!$X$11,IF(BG172&lt;=Hypothèses!$V$12,Hypothèses!$X$12,IF(BG172&lt;=Hypothèses!$V$13,Hypothèses!$X$13,IF(BG172&lt;=Hypothèses!$V$14,Hypothèses!$X$14,IF(BG172&lt;=Hypothèses!$V$15,Hypothèses!$X$15,IF(BG172&lt;=Hypothèses!$V$16,Hypothèses!$X$16,IF(BG172&lt;=Hypothèses!$U$17,Hypothèses!$W$17,IF(BG172&lt;=Hypothèses!$U$18,Hypothèses!$W$18,""))))))))))))</f>
        <v>#DIV/0!</v>
      </c>
      <c r="CD172" s="95" t="e">
        <f t="shared" ca="1" si="281"/>
        <v>#DIV/0!</v>
      </c>
      <c r="CE172" s="101" t="e">
        <f t="shared" si="326"/>
        <v>#N/A</v>
      </c>
      <c r="CF172" s="91" t="e">
        <f t="shared" si="250"/>
        <v>#N/A</v>
      </c>
      <c r="CG172" s="30" t="e">
        <f t="shared" si="306"/>
        <v>#N/A</v>
      </c>
      <c r="CH172" s="30" t="e">
        <f t="shared" si="307"/>
        <v>#N/A</v>
      </c>
      <c r="CI172" s="31" t="e">
        <f>IF(OR(Hypothèses!$B$4=17,Hypothèses!$B$4=18,Hypothèses!$B$4=19,Hypothèses!$B$4=20),
IF($D172="Pressio.",
IF(OR($E172=3,$E172=1,$E172=4),CH172,CG172),
IF($D172="Pénétro.",
IF(OR($E172=3,$E172=1,$E172=4),CH172,CG172))),IF($D172="Pressio.",
IF($E172=3,CH172,CG172),
IF($D172="Pénétro.",
IF($E172=4,CH172,CG172))))</f>
        <v>#N/A</v>
      </c>
      <c r="CJ172" s="31" t="e">
        <f>(IF(OR(Hypothèses!$B$4=17,Hypothèses!$B$4=18,Hypothèses!$B$4=19,Hypothèses!$B$4=20),
IF($D172="Pressio.",
IF(OR($E172=3,$E172=1,$E172=4),(PI()*CJ$12^2)/4*(CF172*$W172*1000)/($H172*$B$5),(PI()*CJ$12^2)/4*(CF172*$W172*1000)/($G172*$B$5)),
IF($D172="Pénétro.",
IF(OR($E172=4,$E172=1,$E172=5),(PI()*CJ$12^2)/4*(CF172*$W172*1000)/($H172*$B$5),(PI()*CJ$12^2)/4*(CF172*$W172*1000)/($G172*$B$5)))),
IF($D172="Pressio.",
IF($E172=3,(PI()*CJ$12^2)/4*(CF172*$W172*1000)/($H172*$B$5),(PI()*CJ$12^2)/4*(CF172*$W172*1000)/($G172*$B$5)),
IF($D172="Pénétro.",
IF($E172=4,(PI()*CJ$12^2)/4*(CF172*$W172*1000)/($H172*$B$5),(PI()*CJ$12^2)/4*(CF172*$W172*1000)/($G172*$B$5))))))/10</f>
        <v>#N/A</v>
      </c>
      <c r="CK172" s="102" t="e">
        <f>(VLOOKUP($B$3,'Coeff EC7'!$T$39:$X$59,2,0)*CI172+VLOOKUP($B$3,'Coeff EC7'!$T$65:$X$85,2,0)*Model0.1C!CJ172)/1.1</f>
        <v>#N/A</v>
      </c>
      <c r="CL172" s="102" t="e">
        <f>(VLOOKUP($B$3,'Coeff EC7'!$T$39:$X$59,3,0)*CI172+VLOOKUP($B$3,'Coeff EC7'!$T$65:$X$85,3,0)*Model0.1C!CJ172)/0.9</f>
        <v>#N/A</v>
      </c>
      <c r="CM172" s="102" t="e">
        <f t="shared" si="282"/>
        <v>#N/A</v>
      </c>
      <c r="CN172" s="102" t="e">
        <f t="shared" si="283"/>
        <v>#N/A</v>
      </c>
      <c r="CO172" s="414" t="e">
        <f>IF(CO171=0,0,IF(AND(CK172&gt;charge_ELS_quasi,CL172&gt;Charge_ELS_freq,CM172&gt;charge_ELU,CN172&gt;charge_ELA,$B172&gt;NDC!$H$22-0.1+MIN(3*$CO$12,1.5)),0,1))</f>
        <v>#N/A</v>
      </c>
      <c r="CP172" s="86" t="b">
        <f t="shared" si="251"/>
        <v>0</v>
      </c>
      <c r="CQ172" s="86">
        <f t="shared" si="252"/>
        <v>0.5</v>
      </c>
      <c r="CR172" s="86">
        <f t="shared" si="253"/>
        <v>0.5</v>
      </c>
      <c r="CS172" s="30" t="e">
        <f t="shared" ca="1" si="284"/>
        <v>#DIV/0!</v>
      </c>
      <c r="CT172" s="85" t="e">
        <f ca="1">IF(BZ172&lt;=Hypothèses!$V$7,Hypothèses!$W$7,IF(BZ172&lt;=Hypothèses!$V$8,Hypothèses!$W$8,IF(BZ172&lt;=Hypothèses!$V$9,Hypothèses!$W$9,IF(BZ172&lt;=Hypothèses!$V$10,Hypothèses!$W$10,IF(BZ172&lt;=Hypothèses!$V$11,Hypothèses!$W$11,IF(BZ172&lt;=Hypothèses!$V$12,Hypothèses!$W$12,IF(BZ172&lt;=Hypothèses!$V$13,Hypothèses!$W$13,IF(BZ172&lt;=Hypothèses!$V$14,Hypothèses!$W$14,IF(BZ172&lt;=Hypothèses!$V$15,Hypothèses!$W$15,IF(BZ172&lt;=Hypothèses!$V$16,Hypothèses!$W$16,IF(BZ172&lt;=Hypothèses!$V$17,Hypothèses!$W$17,IF(BZ172&lt;=Hypothèses!$V$18,Hypothèses!$W$18,""))))))))))))</f>
        <v>#DIV/0!</v>
      </c>
      <c r="CU172" s="87" t="e">
        <f t="shared" ca="1" si="320"/>
        <v>#DIV/0!</v>
      </c>
      <c r="CV172" s="88" t="e">
        <f ca="1">IF(BZ172&lt;=Hypothèses!$V$7,Hypothèses!$X$7,IF(BZ172&lt;=Hypothèses!$V$8,Hypothèses!$X$8,IF(BZ172&lt;=Hypothèses!$V$9,Hypothèses!$X$9,IF(BZ172&lt;=Hypothèses!$V$10,Hypothèses!$X$10,IF(BZ172&lt;=Hypothèses!$V$11,Hypothèses!$X$11,IF(BZ172&lt;=Hypothèses!$V$12,Hypothèses!$X$12,IF(BZ172&lt;=Hypothèses!$V$13,Hypothèses!$X$13,IF(BZ172&lt;=Hypothèses!$V$14,Hypothèses!$X$14,IF(BZ172&lt;=Hypothèses!$V$15,Hypothèses!$X$15,IF(BZ172&lt;=Hypothèses!$V$16,Hypothèses!$X$16,IF(BZ172&lt;=Hypothèses!$U$17,Hypothèses!$W$17,IF(BZ172&lt;=Hypothèses!$U$18,Hypothèses!$W$18,""))))))))))))</f>
        <v>#DIV/0!</v>
      </c>
      <c r="CW172" s="95" t="e">
        <f t="shared" ca="1" si="285"/>
        <v>#DIV/0!</v>
      </c>
      <c r="CX172" s="101" t="e">
        <f t="shared" si="327"/>
        <v>#N/A</v>
      </c>
      <c r="CY172" s="91" t="e">
        <f t="shared" si="254"/>
        <v>#N/A</v>
      </c>
      <c r="CZ172" s="30" t="e">
        <f t="shared" si="308"/>
        <v>#N/A</v>
      </c>
      <c r="DA172" s="30" t="e">
        <f t="shared" si="309"/>
        <v>#N/A</v>
      </c>
      <c r="DB172" s="31" t="e">
        <f>IF(OR(Hypothèses!$B$4=17,Hypothèses!$B$4=18,Hypothèses!$B$4=19,Hypothèses!$B$4=20),
IF($D172="Pressio.",
IF(OR($E172=3,$E172=1,$E172=4),DA172,CZ172),
IF($D172="Pénétro.",
IF(OR($E172=3,$E172=1,$E172=4),DA172,CZ172))),IF($D172="Pressio.",
IF($E172=3,DA172,CZ172),
IF($D172="Pénétro.",
IF($E172=4,DA172,CZ172))))</f>
        <v>#N/A</v>
      </c>
      <c r="DC172" s="31" t="e">
        <f>(IF(OR(Hypothèses!$B$4=17,Hypothèses!$B$4=18,Hypothèses!$B$4=19,Hypothèses!$B$4=20),
IF($D172="Pressio.",
IF(OR($E172=3,$E172=1,$E172=4),(PI()*DC$12^2)/4*(CY172*$W172*1000)/($H172*$B$5),(PI()*DC$12^2)/4*(CY172*$W172*1000)/($G172*$B$5)),
IF($D172="Pénétro.",
IF(OR($E172=4,$E172=1,$E172=5),(PI()*DC$12^2)/4*(CY172*$W172*1000)/($H172*$B$5),(PI()*DC$12^2)/4*(CY172*$W172*1000)/($G172*$B$5)))),
IF($D172="Pressio.",
IF($E172=3,(PI()*DC$12^2)/4*(CY172*$W172*1000)/($H172*$B$5),(PI()*DC$12^2)/4*(CY172*$W172*1000)/($G172*$B$5)),
IF($D172="Pénétro.",
IF($E172=4,(PI()*DC$12^2)/4*(CY172*$W172*1000)/($H172*$B$5),(PI()*DC$12^2)/4*(CY172*$W172*1000)/($G172*$B$5))))))/10</f>
        <v>#N/A</v>
      </c>
      <c r="DD172" s="102" t="e">
        <f>(VLOOKUP($B$3,'Coeff EC7'!$T$39:$X$59,2,0)*DB172+VLOOKUP($B$3,'Coeff EC7'!$T$65:$X$85,2,0)*Model0.1C!DC172)/1.1</f>
        <v>#N/A</v>
      </c>
      <c r="DE172" s="102" t="e">
        <f>(VLOOKUP($B$3,'Coeff EC7'!$T$39:$X$59,3,0)*DB172+VLOOKUP($B$3,'Coeff EC7'!$T$65:$X$85,3,0)*Model0.1C!DC172)/0.9</f>
        <v>#N/A</v>
      </c>
      <c r="DF172" s="102" t="e">
        <f t="shared" si="286"/>
        <v>#N/A</v>
      </c>
      <c r="DG172" s="102" t="e">
        <f t="shared" si="287"/>
        <v>#N/A</v>
      </c>
      <c r="DH172" s="414" t="e">
        <f>IF(DH171=0,0,IF(AND(DD172&gt;charge_ELS_quasi,DE172&gt;Charge_ELS_freq,DF172&gt;charge_ELU,DG172&gt;charge_ELA,$B172&gt;NDC!$H$22-0.1+MIN(3*$DH$12,1.5)),0,1))</f>
        <v>#N/A</v>
      </c>
      <c r="DI172" s="86" t="b">
        <f t="shared" si="255"/>
        <v>0</v>
      </c>
      <c r="DJ172" s="86">
        <f t="shared" si="256"/>
        <v>0.5</v>
      </c>
      <c r="DK172" s="86">
        <f t="shared" si="257"/>
        <v>0.5</v>
      </c>
      <c r="DL172" s="30" t="e">
        <f t="shared" ca="1" si="288"/>
        <v>#DIV/0!</v>
      </c>
      <c r="DM172" s="85" t="e">
        <f ca="1">IF(CS172&lt;=Hypothèses!$V$7,Hypothèses!$W$7,IF(CS172&lt;=Hypothèses!$V$8,Hypothèses!$W$8,IF(CS172&lt;=Hypothèses!$V$9,Hypothèses!$W$9,IF(CS172&lt;=Hypothèses!$V$10,Hypothèses!$W$10,IF(CS172&lt;=Hypothèses!$V$11,Hypothèses!$W$11,IF(CS172&lt;=Hypothèses!$V$12,Hypothèses!$W$12,IF(CS172&lt;=Hypothèses!$V$13,Hypothèses!$W$13,IF(CS172&lt;=Hypothèses!$V$14,Hypothèses!$W$14,IF(CS172&lt;=Hypothèses!$V$15,Hypothèses!$W$15,IF(CS172&lt;=Hypothèses!$V$16,Hypothèses!$W$16,IF(CS172&lt;=Hypothèses!$V$17,Hypothèses!$W$17,IF(CS172&lt;=Hypothèses!$V$18,Hypothèses!$W$18,""))))))))))))</f>
        <v>#DIV/0!</v>
      </c>
      <c r="DN172" s="87" t="e">
        <f t="shared" ca="1" si="321"/>
        <v>#DIV/0!</v>
      </c>
      <c r="DO172" s="88" t="e">
        <f ca="1">IF(CS172&lt;=Hypothèses!$V$7,Hypothèses!$X$7,IF(CS172&lt;=Hypothèses!$V$8,Hypothèses!$X$8,IF(CS172&lt;=Hypothèses!$V$9,Hypothèses!$X$9,IF(CS172&lt;=Hypothèses!$V$10,Hypothèses!$X$10,IF(CS172&lt;=Hypothèses!$V$11,Hypothèses!$X$11,IF(CS172&lt;=Hypothèses!$V$12,Hypothèses!$X$12,IF(CS172&lt;=Hypothèses!$V$13,Hypothèses!$X$13,IF(CS172&lt;=Hypothèses!$V$14,Hypothèses!$X$14,IF(CS172&lt;=Hypothèses!$V$15,Hypothèses!$X$15,IF(CS172&lt;=Hypothèses!$V$16,Hypothèses!$X$16,IF(CS172&lt;=Hypothèses!$U$17,Hypothèses!$W$17,IF(CS172&lt;=Hypothèses!$U$18,Hypothèses!$W$18,""))))))))))))</f>
        <v>#DIV/0!</v>
      </c>
      <c r="DP172" s="95" t="e">
        <f t="shared" ca="1" si="289"/>
        <v>#DIV/0!</v>
      </c>
      <c r="DQ172" s="101" t="e">
        <f t="shared" si="328"/>
        <v>#N/A</v>
      </c>
      <c r="DR172" s="91" t="e">
        <f t="shared" si="258"/>
        <v>#N/A</v>
      </c>
      <c r="DS172" s="30" t="e">
        <f t="shared" si="310"/>
        <v>#N/A</v>
      </c>
      <c r="DT172" s="30" t="e">
        <f t="shared" si="311"/>
        <v>#N/A</v>
      </c>
      <c r="DU172" s="31" t="e">
        <f>IF(OR(Hypothèses!$B$4=17,Hypothèses!$B$4=18,Hypothèses!$B$4=19,Hypothèses!$B$4=20),
IF($D172="Pressio.",
IF(OR($E172=3,$E172=1,$E172=4),DT172,DS172),
IF($D172="Pénétro.",
IF(OR($E172=3,$E172=1,$E172=4),DT172,DS172))),IF($D172="Pressio.",
IF($E172=3,DT172,DS172),
IF($D172="Pénétro.",
IF($E172=4,DT172,DS172))))</f>
        <v>#N/A</v>
      </c>
      <c r="DV172" s="31" t="e">
        <f>(IF(OR(Hypothèses!$B$4=17,Hypothèses!$B$4=18,Hypothèses!$B$4=19,Hypothèses!$B$4=20),
IF($D172="Pressio.",
IF(OR($E172=3,$E172=1,$E172=4),(PI()*DV$12^2)/4*(DR172*$W172*1000)/($H172*$B$5),(PI()*DV$12^2)/4*(DR172*$W172*1000)/($G172*$B$5)),
IF($D172="Pénétro.",
IF(OR($E172=4,$E172=1,$E172=5),(PI()*DV$12^2)/4*(DR172*$W172*1000)/($H172*$B$5),(PI()*DV$12^2)/4*(DR172*$W172*1000)/($G172*$B$5)))),
IF($D172="Pressio.",
IF($E172=3,(PI()*DV$12^2)/4*(DR172*$W172*1000)/($H172*$B$5),(PI()*DV$12^2)/4*(DR172*$W172*1000)/($G172*$B$5)),
IF($D172="Pénétro.",
IF($E172=4,(PI()*DV$12^2)/4*(DR172*$W172*1000)/($H172*$B$5),(PI()*DV$12^2)/4*(DR172*$W172*1000)/($G172*$B$5))))))/10</f>
        <v>#N/A</v>
      </c>
      <c r="DW172" s="102" t="e">
        <f>(VLOOKUP($B$3,'Coeff EC7'!$T$39:$X$59,2,0)*DU172+VLOOKUP($B$3,'Coeff EC7'!$T$65:$X$85,2,0)*Model0.1C!DV172)/1.1</f>
        <v>#N/A</v>
      </c>
      <c r="DX172" s="102" t="e">
        <f>(VLOOKUP($B$3,'Coeff EC7'!$T$39:$X$59,3,0)*DU172+VLOOKUP($B$3,'Coeff EC7'!$T$65:$X$85,3,0)*Model0.1C!DV172)/0.9</f>
        <v>#N/A</v>
      </c>
      <c r="DY172" s="102" t="e">
        <f t="shared" si="290"/>
        <v>#N/A</v>
      </c>
      <c r="DZ172" s="102" t="e">
        <f t="shared" si="291"/>
        <v>#N/A</v>
      </c>
      <c r="EA172" s="414" t="e">
        <f>IF(EA171=0,0,IF(AND(DW172&gt;charge_ELS_quasi,DX172&gt;Charge_ELS_freq,DY172&gt;charge_ELU,DZ172&gt;charge_ELA,$B172&gt;NDC!$H$22-0.1+MIN(3*$EA$12,1.5)),0,1))</f>
        <v>#N/A</v>
      </c>
      <c r="EB172" s="86" t="b">
        <f t="shared" si="259"/>
        <v>0</v>
      </c>
      <c r="EC172" s="418">
        <f t="shared" si="260"/>
        <v>0.51</v>
      </c>
      <c r="ED172" s="86">
        <f t="shared" si="261"/>
        <v>0.51</v>
      </c>
      <c r="EE172" s="30" t="e">
        <f t="shared" ca="1" si="292"/>
        <v>#DIV/0!</v>
      </c>
      <c r="EF172" s="85" t="e">
        <f ca="1">IF(DL172&lt;=Hypothèses!$V$7,Hypothèses!$W$7,IF(DL172&lt;=Hypothèses!$V$8,Hypothèses!$W$8,IF(DL172&lt;=Hypothèses!$V$9,Hypothèses!$W$9,IF(DL172&lt;=Hypothèses!$V$10,Hypothèses!$W$10,IF(DL172&lt;=Hypothèses!$V$11,Hypothèses!$W$11,IF(DL172&lt;=Hypothèses!$V$12,Hypothèses!$W$12,IF(DL172&lt;=Hypothèses!$V$13,Hypothèses!$W$13,IF(DL172&lt;=Hypothèses!$V$14,Hypothèses!$W$14,IF(DL172&lt;=Hypothèses!$V$15,Hypothèses!$W$15,IF(DL172&lt;=Hypothèses!$V$16,Hypothèses!$W$16,IF(DL172&lt;=Hypothèses!$V$17,Hypothèses!$W$17,IF(DL172&lt;=Hypothèses!$V$18,Hypothèses!$W$18,""))))))))))))</f>
        <v>#DIV/0!</v>
      </c>
      <c r="EG172" s="87" t="e">
        <f t="shared" ca="1" si="322"/>
        <v>#DIV/0!</v>
      </c>
      <c r="EH172" s="88" t="e">
        <f ca="1">IF(DL172&lt;=Hypothèses!$V$7,Hypothèses!$X$7,IF(DL172&lt;=Hypothèses!$V$8,Hypothèses!$X$8,IF(DL172&lt;=Hypothèses!$V$9,Hypothèses!$X$9,IF(DL172&lt;=Hypothèses!$V$10,Hypothèses!$X$10,IF(DL172&lt;=Hypothèses!$V$11,Hypothèses!$X$11,IF(DL172&lt;=Hypothèses!$V$12,Hypothèses!$X$12,IF(DL172&lt;=Hypothèses!$V$13,Hypothèses!$X$13,IF(DL172&lt;=Hypothèses!$V$14,Hypothèses!$X$14,IF(DL172&lt;=Hypothèses!$V$15,Hypothèses!$X$15,IF(DL172&lt;=Hypothèses!$V$16,Hypothèses!$X$16,IF(DL172&lt;=Hypothèses!$U$17,Hypothèses!$W$17,IF(DL172&lt;=Hypothèses!$U$18,Hypothèses!$W$18,""))))))))))))</f>
        <v>#DIV/0!</v>
      </c>
      <c r="EI172" s="95" t="e">
        <f t="shared" ca="1" si="293"/>
        <v>#DIV/0!</v>
      </c>
      <c r="EJ172" s="101" t="e">
        <f t="shared" si="329"/>
        <v>#N/A</v>
      </c>
      <c r="EK172" s="91" t="e">
        <f t="shared" si="262"/>
        <v>#N/A</v>
      </c>
      <c r="EL172" s="30" t="e">
        <f t="shared" si="312"/>
        <v>#N/A</v>
      </c>
      <c r="EM172" s="30" t="e">
        <f t="shared" si="313"/>
        <v>#N/A</v>
      </c>
      <c r="EN172" s="31" t="e">
        <f>IF(OR(Hypothèses!$B$4=17,Hypothèses!$B$4=18,Hypothèses!$B$4=19,Hypothèses!$B$4=20),
IF($D172="Pressio.",
IF(OR($E172=3,$E172=1,$E172=4),EM172,EL172),
IF($D172="Pénétro.",
IF(OR($E172=3,$E172=1,$E172=4),EM172,EL172))),IF($D172="Pressio.",
IF($E172=3,EM172,EL172),
IF($D172="Pénétro.",
IF($E172=4,EM172,EL172))))</f>
        <v>#N/A</v>
      </c>
      <c r="EO172" s="31" t="e">
        <f>(IF(OR(Hypothèses!$B$4=17,Hypothèses!$B$4=18,Hypothèses!$B$4=19,Hypothèses!$B$4=20),
IF($D172="Pressio.",
IF(OR($E172=3,$E172=1,$E172=4),(PI()*EO$12^2)/4*(EK172*$W172*1000)/($H172*$B$5),(PI()*EO$12^2)/4*(EK172*$W172*1000)/($G172*$B$5)),
IF($D172="Pénétro.",
IF(OR($E172=4,$E172=1,$E172=5),(PI()*EO$12^2)/4*(EK172*$W172*1000)/($H172*$B$5),(PI()*EO$12^2)/4*(EK172*$W172*1000)/($G172*$B$5)))),
IF($D172="Pressio.",
IF($E172=3,(PI()*EO$12^2)/4*(EK172*$W172*1000)/($H172*$B$5),(PI()*EO$12^2)/4*(EK172*$W172*1000)/($G172*$B$5)),
IF($D172="Pénétro.",
IF($E172=4,(PI()*EO$12^2)/4*(EK172*$W172*1000)/($H172*$B$5),(PI()*EO$12^2)/4*(EK172*$W172*1000)/($G172*$B$5))))))/10</f>
        <v>#N/A</v>
      </c>
      <c r="EP172" s="102" t="e">
        <f>(VLOOKUP($B$3,'Coeff EC7'!$T$39:$X$59,2,0)*EN172+VLOOKUP($B$3,'Coeff EC7'!$T$65:$X$85,2,0)*Model0.1C!EO172)/1.1</f>
        <v>#N/A</v>
      </c>
      <c r="EQ172" s="102" t="e">
        <f>(VLOOKUP($B$3,'Coeff EC7'!$T$39:$X$59,3,0)*EN172+VLOOKUP($B$3,'Coeff EC7'!$T$65:$X$85,3,0)*Model0.1C!EO172)/0.9</f>
        <v>#N/A</v>
      </c>
      <c r="ER172" s="102" t="e">
        <f t="shared" si="294"/>
        <v>#N/A</v>
      </c>
      <c r="ES172" s="102" t="e">
        <f t="shared" si="295"/>
        <v>#N/A</v>
      </c>
      <c r="ET172" s="414" t="e">
        <f>IF(ET171=0,0,IF(AND(EP172&gt;charge_ELS_quasi,EQ172&gt;Charge_ELS_freq,ER172&gt;charge_ELU,ES172&gt;charge_ELA,$B172&gt;NDC!$H$22-0.1+MIN(3*$ET$12,1.5)),0,1))</f>
        <v>#N/A</v>
      </c>
      <c r="EU172" s="86" t="b">
        <f t="shared" si="263"/>
        <v>0</v>
      </c>
      <c r="EV172" s="86">
        <f t="shared" si="264"/>
        <v>0.61</v>
      </c>
      <c r="EW172" s="86">
        <f t="shared" si="265"/>
        <v>0.61</v>
      </c>
      <c r="EX172" s="30" t="e">
        <f t="shared" ca="1" si="296"/>
        <v>#DIV/0!</v>
      </c>
      <c r="EY172" s="85" t="e">
        <f ca="1">IF(EE172&lt;=Hypothèses!$V$7,Hypothèses!$W$7,IF(EE172&lt;=Hypothèses!$V$8,Hypothèses!$W$8,IF(EE172&lt;=Hypothèses!$V$9,Hypothèses!$W$9,IF(EE172&lt;=Hypothèses!$V$10,Hypothèses!$W$10,IF(EE172&lt;=Hypothèses!$V$11,Hypothèses!$W$11,IF(EE172&lt;=Hypothèses!$V$12,Hypothèses!$W$12,IF(EE172&lt;=Hypothèses!$V$13,Hypothèses!$W$13,IF(EE172&lt;=Hypothèses!$V$14,Hypothèses!$W$14,IF(EE172&lt;=Hypothèses!$V$15,Hypothèses!$W$15,IF(EE172&lt;=Hypothèses!$V$16,Hypothèses!$W$16,IF(EE172&lt;=Hypothèses!$V$17,Hypothèses!$W$17,IF(EE172&lt;=Hypothèses!$V$18,Hypothèses!$W$18,""))))))))))))</f>
        <v>#DIV/0!</v>
      </c>
      <c r="EZ172" s="87" t="e">
        <f t="shared" ca="1" si="323"/>
        <v>#DIV/0!</v>
      </c>
      <c r="FA172" s="88" t="e">
        <f ca="1">IF(EE172&lt;=Hypothèses!$V$7,Hypothèses!$X$7,IF(EE172&lt;=Hypothèses!$V$8,Hypothèses!$X$8,IF(EE172&lt;=Hypothèses!$V$9,Hypothèses!$X$9,IF(EE172&lt;=Hypothèses!$V$10,Hypothèses!$X$10,IF(EE172&lt;=Hypothèses!$V$11,Hypothèses!$X$11,IF(EE172&lt;=Hypothèses!$V$12,Hypothèses!$X$12,IF(EE172&lt;=Hypothèses!$V$13,Hypothèses!$X$13,IF(EE172&lt;=Hypothèses!$V$14,Hypothèses!$X$14,IF(EE172&lt;=Hypothèses!$V$15,Hypothèses!$X$15,IF(EE172&lt;=Hypothèses!$V$16,Hypothèses!$X$16,IF(EE172&lt;=Hypothèses!$U$17,Hypothèses!$W$17,IF(EE172&lt;=Hypothèses!$U$18,Hypothèses!$W$18,""))))))))))))</f>
        <v>#DIV/0!</v>
      </c>
      <c r="FB172" s="95" t="e">
        <f t="shared" ca="1" si="297"/>
        <v>#DIV/0!</v>
      </c>
      <c r="FC172" s="101" t="e">
        <f t="shared" si="330"/>
        <v>#N/A</v>
      </c>
      <c r="FD172" s="91" t="e">
        <f t="shared" si="266"/>
        <v>#N/A</v>
      </c>
      <c r="FE172" s="30" t="e">
        <f t="shared" si="314"/>
        <v>#N/A</v>
      </c>
      <c r="FF172" s="30" t="e">
        <f t="shared" si="315"/>
        <v>#N/A</v>
      </c>
      <c r="FG172" s="31" t="e">
        <f>IF(OR(Hypothèses!$B$4=17,Hypothèses!$B$4=18,Hypothèses!$B$4=19,Hypothèses!$B$4=20),
IF($D172="Pressio.",
IF(OR($E172=3,$E172=1,$E172=4),FF172,FE172),
IF($D172="Pénétro.",
IF(OR($E172=3,$E172=1,$E172=4),FF172,FE172))),IF($D172="Pressio.",
IF($E172=3,FF172,FE172),
IF($D172="Pénétro.",
IF($E172=4,FF172,FE172))))</f>
        <v>#N/A</v>
      </c>
      <c r="FH172" s="31" t="e">
        <f>(IF(OR(Hypothèses!$B$4=17,Hypothèses!$B$4=18,Hypothèses!$B$4=19,Hypothèses!$B$4=20),
IF($D172="Pressio.",
IF(OR($E172=3,$E172=1,$E172=4),(PI()*FH$12^2)/4*(FD172*$W172*1000)/($H172*$B$5),(PI()*FH$12^2)/4*(FD172*$W172*1000)/($G172*$B$5)),
IF($D172="Pénétro.",
IF(OR($E172=4,$E172=1,$E172=5),(PI()*FH$12^2)/4*(FD172*$W172*1000)/($H172*$B$5),(PI()*FH$12^2)/4*(FD172*$W172*1000)/($G172*$B$5)))),
IF($D172="Pressio.",
IF($E172=3,(PI()*FH$12^2)/4*(FD172*$W172*1000)/($H172*$B$5),(PI()*FH$12^2)/4*(FD172*$W172*1000)/($G172*$B$5)),
IF($D172="Pénétro.",
IF($E172=4,(PI()*FH$12^2)/4*(FD172*$W172*1000)/($H172*$B$5),(PI()*FH$12^2)/4*(FD172*$W172*1000)/($G172*$B$5))))))/10</f>
        <v>#N/A</v>
      </c>
      <c r="FI172" s="102" t="e">
        <f>(VLOOKUP($B$3,'Coeff EC7'!$T$39:$X$59,2,0)*FG172+VLOOKUP($B$3,'Coeff EC7'!$T$65:$X$85,2,0)*Model0.1C!FH172)/1.1</f>
        <v>#N/A</v>
      </c>
      <c r="FJ172" s="102" t="e">
        <f>(VLOOKUP($B$3,'Coeff EC7'!$T$39:$X$59,3,0)*FG172+VLOOKUP($B$3,'Coeff EC7'!$T$65:$X$85,3,0)*Model0.1C!FH172)/0.9</f>
        <v>#N/A</v>
      </c>
      <c r="FK172" s="102" t="e">
        <f t="shared" si="298"/>
        <v>#N/A</v>
      </c>
      <c r="FL172" s="102" t="e">
        <f t="shared" si="299"/>
        <v>#N/A</v>
      </c>
      <c r="FM172" s="414" t="e">
        <f>IF(FM171=0,0,IF(AND(FI172&gt;charge_ELS_quasi,FJ172&gt;Charge_ELS_freq,FK172&gt;charge_ELU,FL172&gt;charge_ELA,$B172&gt;NDC!$H$22-0.1+MIN(3*$FM$12,1.5)),0,1))</f>
        <v>#N/A</v>
      </c>
    </row>
    <row r="173" spans="1:169">
      <c r="A173" s="96">
        <f t="shared" si="267"/>
        <v>84.000000000000909</v>
      </c>
      <c r="B173" s="97">
        <v>16</v>
      </c>
      <c r="C173" s="81">
        <f>IF(B173&lt;=Hypothèses!$C$7,Hypothèses!$A$7,IF(B173&lt;=Hypothèses!$C$8,Hypothèses!$A$8,IF(B173&lt;=Hypothèses!$C$9,Hypothèses!$A$9,IF(B173&lt;=Hypothèses!$C$10,Hypothèses!$A$10,IF(B173&lt;=Hypothèses!$C$11,Hypothèses!$A$11,IF(B173&lt;=Hypothèses!$C$12,Hypothèses!$A$12,IF(B173&lt;=Hypothèses!$C$13,Hypothèses!$A$13,IF(B173&lt;=Hypothèses!$C$14,Hypothèses!$A$14,IF(B173&lt;=Hypothèses!$C$15,Hypothèses!$A$15,IF(B173&lt;=Hypothèses!$C$16,Hypothèses!$A$16,IF(B173&lt;=Hypothèses!$C$17,Hypothèses!$A$17,IF(B173&lt;=Hypothèses!$C$18,Hypothèses!$A$18,C172))))))))))))</f>
        <v>11</v>
      </c>
      <c r="D173" s="82" t="str">
        <f>IF(B173&lt;=Hypothèses!$C$7,Hypothèses!$R$7,IF(B173&lt;=Hypothèses!$C$8,Hypothèses!$R$8,IF(B173&lt;=Hypothèses!$C$9,Hypothèses!$R$9,IF(B173&lt;=Hypothèses!$C$10,Hypothèses!$R$10,IF(B173&lt;=Hypothèses!$C$11,Hypothèses!$R$11,IF(B173&lt;=Hypothèses!$C$12,Hypothèses!$R$12,IF(B173&lt;=Hypothèses!$C$13,Hypothèses!$R$13,IF(B173&lt;=Hypothèses!$C$14,Hypothèses!$R$14,IF(B173&lt;=Hypothèses!$C$15,Hypothèses!$R$15,IF(B173&lt;=Hypothèses!$C$16,Hypothèses!$R$16,IF(B173&lt;=Hypothèses!$C$17,Hypothèses!$R$17,IF(B173&lt;=Hypothèses!$C$18,Hypothèses!$R$18,D172))))))))))))</f>
        <v>Pressio.</v>
      </c>
      <c r="E173" s="82" t="e">
        <f>IF(B173&lt;=Hypothèses!$C$7,Hypothèses!$G$7,IF(B173&lt;=Hypothèses!$C$8,Hypothèses!$G$8,IF(B173&lt;=Hypothèses!$C$9,Hypothèses!$G$9,IF(B173&lt;=Hypothèses!$C$10,Hypothèses!$G$10,IF(B173&lt;=Hypothèses!$C$11,Hypothèses!$G$11,IF(B173&lt;=Hypothèses!$C$12,Hypothèses!$G$12,IF(B173&lt;=Hypothèses!$C$13,Hypothèses!$G$13,IF(B173&lt;=Hypothèses!$C$14,Hypothèses!$G$14,IF(B173&lt;=Hypothèses!$C$15,Hypothèses!$G$15,IF(B173&lt;=Hypothèses!$C$16,Hypothèses!$G$16,IF(B173&lt;=Hypothèses!$C$17,Hypothèses!$G$17,IF(B173&lt;=Hypothèses!$C$18,Hypothèses!$G$18,E172))))))))))))</f>
        <v>#N/A</v>
      </c>
      <c r="F173" s="82" t="str">
        <f>IF(B173&lt;=Hypothèses!$C$7,Hypothèses!$F$7,IF(B173&lt;=Hypothèses!$C$8,Hypothèses!$F$8,IF(B173&lt;=Hypothèses!$C$9,Hypothèses!$F$9,IF(B173&lt;=Hypothèses!$C$10,Hypothèses!$F$10,IF(B173&lt;=Hypothèses!$C$11,Hypothèses!$F$11,IF(B173&lt;=Hypothèses!$C$12,Hypothèses!$F$12,IF(B173&lt;=Hypothèses!$C$13,Hypothèses!$F$13,IF(B173&lt;=Hypothèses!$C$14,Hypothèses!$F$14,IF(B173&lt;=Hypothèses!$C$15,Hypothèses!$F$15,IF(B173&lt;=Hypothèses!$C$16,Hypothèses!$F$16,IF(B173&lt;=Hypothèses!$C$17,Hypothèses!$F$17,IF(B173&lt;=Hypothèses!$C$18,Hypothèses!$F$18,F172))))))))))))</f>
        <v/>
      </c>
      <c r="G173" s="91">
        <f t="array" ref="G173">INDEX('Coeff EC7'!$U$7:$X$27,
MATCH(Model0.1C!$B$3,'Coeff EC7'!$T$7:$T$27,0),
MATCH(Model0.1C!$D173&amp;Model0.1C!$B$4,
'Coeff EC7'!$U$6:$X$6&amp;
'Coeff EC7'!$U$5:$X$5,0))</f>
        <v>1.1499999999999999</v>
      </c>
      <c r="H173" s="91">
        <f t="array" ref="H173">INDEX('Coeff EC7'!$Y$7:$AB$27,
MATCH(Model0.1C!$B$3,'Coeff EC7'!$T$7:$T$27,0),
MATCH(Model0.1C!$D173&amp;Model0.1C!$B$4,
'Coeff EC7'!$Y$6:$AB$6&amp;
'Coeff EC7'!$Y$5:$AB$5,0))</f>
        <v>1.4</v>
      </c>
      <c r="I173" s="83" t="e">
        <f>IF(B173&lt;=Hypothèses!$C$7,Hypothèses!$P$7,IF(B173&lt;=Hypothèses!$C$8,Hypothèses!$P$8,IF(B173&lt;=Hypothèses!$C$9,Hypothèses!$P$9,IF(B173&lt;=Hypothèses!$C$10,Hypothèses!$P$10,IF(B173&lt;=Hypothèses!$C$11,Hypothèses!$P$11,IF(B173&lt;=Hypothèses!$C$12,Hypothèses!$P$12,IF(B173&lt;=Hypothèses!$C$13,Hypothèses!$P$13,IF(B173&lt;=Hypothèses!$C$14,Hypothèses!$P$14,IF(B173&lt;=Hypothèses!$C$15,Hypothèses!$P$15,IF(B173&lt;=Hypothèses!$C$16,Hypothèses!$P$16,IF(B173&lt;=Hypothèses!$C$17,Hypothèses!$P$17,IF(B173&lt;=Hypothèses!$C$18,Hypothèses!$P$18,I172))))))))))))</f>
        <v>#N/A</v>
      </c>
      <c r="J173" s="91" t="e">
        <f t="array" ref="J173">INDEX('Coeff EC7'!$D$33:$Q$33,1,MATCH(D173&amp;E173,'Coeff EC7'!$D$31:$Q$31&amp;'Coeff EC7'!$D$32:$Q$32,0))</f>
        <v>#N/A</v>
      </c>
      <c r="K173" s="91" t="e">
        <f t="array" ref="K173">INDEX('Coeff EC7'!$D$34:$Q$34,1,MATCH(D173&amp;E173,'Coeff EC7'!$D$31:$Q$31&amp;'Coeff EC7'!$D$32:$Q$32,0))</f>
        <v>#N/A</v>
      </c>
      <c r="L173" s="91" t="e">
        <f t="array" ref="L173">INDEX('Coeff EC7'!$D$35:$Q$35,1,MATCH(D173&amp;E173,'Coeff EC7'!$D$31:$Q$31&amp;'Coeff EC7'!$D$32:$Q$32,0))</f>
        <v>#N/A</v>
      </c>
      <c r="M173" s="98" t="e">
        <f t="shared" si="231"/>
        <v>#N/A</v>
      </c>
      <c r="N173" s="99" t="e">
        <f t="array" ref="N173">INDEX('Coeff EC7'!$D$7:$Q$27,MATCH($B$3,'Coeff EC7'!$C$7:$C$27,0),MATCH(D173&amp;E173,'Coeff EC7'!$D$5:$Q$5&amp;'Coeff EC7'!$D$6:$Q$6,0))</f>
        <v>#N/A</v>
      </c>
      <c r="O173" s="99" t="e">
        <f t="array" ref="O173">INDEX('Coeff EC7'!$D$41:$Q$61,MATCH($B$3,'Coeff EC7'!$C$41:$C$61,0),MATCH(D173&amp;E173,'Coeff EC7'!$D$39:$Q$39&amp;'Coeff EC7'!$D$40:$Q$40,0))</f>
        <v>#N/A</v>
      </c>
      <c r="P173" s="30" t="e">
        <f t="shared" si="268"/>
        <v>#N/A</v>
      </c>
      <c r="Q173" s="100" t="e">
        <f t="shared" si="233"/>
        <v>#N/A</v>
      </c>
      <c r="R173" s="86" t="b">
        <f t="shared" si="234"/>
        <v>0</v>
      </c>
      <c r="S173" s="86">
        <f t="shared" si="232"/>
        <v>0.5</v>
      </c>
      <c r="T173" s="86">
        <f t="shared" si="235"/>
        <v>0.5</v>
      </c>
      <c r="U173" s="30" t="e">
        <f t="shared" ca="1" si="269"/>
        <v>#DIV/0!</v>
      </c>
      <c r="V173" s="85" t="str">
        <f>IF(B173&lt;=Hypothèses!$V$7,Hypothèses!$W$7,IF(B173&lt;=Hypothèses!$V$8,Hypothèses!$W$8,IF(B173&lt;=Hypothèses!$V$9,Hypothèses!$W$9,IF(B173&lt;=Hypothèses!$V$10,Hypothèses!$W$10,IF(B173&lt;=Hypothèses!$V$11,Hypothèses!$W$11,IF(B173&lt;=Hypothèses!$V$12,Hypothèses!$W$12,IF(B173&lt;=Hypothèses!$V$13,Hypothèses!$W$13,IF(B173&lt;=Hypothèses!$V$14,Hypothèses!$W$14,IF(B173&lt;=Hypothèses!$V$15,Hypothèses!$W$15,IF(B173&lt;=Hypothèses!$V$16,Hypothèses!$W$16,IF(B173&lt;=Hypothèses!$V$17,Hypothèses!$W$17,IF(B173&lt;=Hypothèses!$V$18,Hypothèses!$W$18,""))))))))))))</f>
        <v/>
      </c>
      <c r="W173" s="87" t="e">
        <f t="shared" ca="1" si="316"/>
        <v>#DIV/0!</v>
      </c>
      <c r="X173" s="88" t="str">
        <f>IF(B173&lt;=Hypothèses!$V$7,Hypothèses!$X$7,IF(B173&lt;=Hypothèses!$V$8,Hypothèses!$X$8,IF(B173&lt;=Hypothèses!$V$9,Hypothèses!$X$9,IF(B173&lt;=Hypothèses!$V$10,Hypothèses!$X$10,IF(B173&lt;=Hypothèses!$V$11,Hypothèses!$X$11,IF(B173&lt;=Hypothèses!$V$12,Hypothèses!$X$12,IF(B173&lt;=Hypothèses!$V$13,Hypothèses!$X$13,IF(B173&lt;=Hypothèses!$V$14,Hypothèses!$X$14,IF(B173&lt;=Hypothèses!$V$15,Hypothèses!$X$15,IF(B173&lt;=Hypothèses!$V$16,Hypothèses!$X$16,IF(B173&lt;=Hypothèses!$U$17,Hypothèses!$W$17,IF(B173&lt;=Hypothèses!$U$18,Hypothèses!$W$18,""))))))))))))</f>
        <v/>
      </c>
      <c r="Y173" s="95" t="e">
        <f t="shared" ca="1" si="236"/>
        <v>#DIV/0!</v>
      </c>
      <c r="Z173" s="101" t="e">
        <f t="shared" si="237"/>
        <v>#N/A</v>
      </c>
      <c r="AA173" s="91" t="e">
        <f t="shared" si="238"/>
        <v>#N/A</v>
      </c>
      <c r="AB173" s="30" t="e">
        <f t="shared" si="300"/>
        <v>#N/A</v>
      </c>
      <c r="AC173" s="30" t="e">
        <f t="shared" si="301"/>
        <v>#N/A</v>
      </c>
      <c r="AD173" s="31" t="e">
        <f>IF(OR(Hypothèses!$B$4=17,Hypothèses!$B$4=18,Hypothèses!$B$4=19,Hypothèses!$B$4=20),
IF($D173="Pressio.",
IF(OR($E173=3,$E173=1,$E173=4),AC173,AB173),
IF($D173="Pénétro.",
IF(OR($E173=3,$E173=1,$E173=4),AC173,AB173))),IF($D173="Pressio.",
IF($E173=3,AC173,AB173),
IF($D173="Pénétro.",
IF($E173=4,AC173,AB173))))</f>
        <v>#N/A</v>
      </c>
      <c r="AE173" s="31" t="e">
        <f>(IF(OR(Hypothèses!$B$4=17,Hypothèses!$B$4=18,Hypothèses!$B$4=19,Hypothèses!$B$4=20),
IF($D173="Pressio.",
IF(OR($E173=3,$E173=1,$E173=4),(PI()*AE$12^2)/4*(AA173*$W173*1000)/($H173*$B$5),(PI()*AE$12^2)/4*(AA173*$W173*1000)/($G173*$B$5)),
IF($D173="Pénétro.",
IF(OR($E173=4,$E173=1,$E173=5),(PI()*AE$12^2)/4*(AA173*$W173*1000)/($H173*$B$5),(PI()*AE$12^2)/4*(AA173*$W173*1000)/($G173*$B$5)))),
IF($D173="Pressio.",
IF($E173=3,(PI()*AE$12^2)/4*(AA173*$W173*1000)/($H173*$B$5),(PI()*AE$12^2)/4*(AA173*$W173*1000)/($G173*$B$5)),
IF($D173="Pénétro.",
IF($E173=4,(PI()*AE$12^2)/4*(AA173*$W173*1000)/($H173*$B$5),(PI()*AE$12^2)/4*(AA173*$W173*1000)/($G173*$B$5))))))/10</f>
        <v>#N/A</v>
      </c>
      <c r="AF173" s="102" t="e">
        <f>(VLOOKUP($B$3,'Coeff EC7'!$T$39:$X$59,2,0)*AD173+VLOOKUP($B$3,'Coeff EC7'!$T$65:$X$85,2,0)*Model0.1C!AE173)/1.1</f>
        <v>#N/A</v>
      </c>
      <c r="AG173" s="102" t="e">
        <f>(VLOOKUP($B$3,'Coeff EC7'!$T$39:$X$59,3,0)*AD173+VLOOKUP($B$3,'Coeff EC7'!$T$65:$X$85,3,0)*Model0.1C!AE173)/0.9</f>
        <v>#N/A</v>
      </c>
      <c r="AH173" s="102" t="e">
        <f t="shared" si="239"/>
        <v>#N/A</v>
      </c>
      <c r="AI173" s="102" t="e">
        <f t="shared" si="240"/>
        <v>#N/A</v>
      </c>
      <c r="AJ173" s="414" t="e">
        <f>IF(AJ172=0,0,IF(AND(AF173&gt;charge_ELS_quasi,AG173&gt;Charge_ELS_freq,AH173&gt;charge_ELU,AI173&gt;charge_ELA,$B173&gt;NDC!$H$22-0.1+MIN(3*$AJ$12,1.5)),0,1))</f>
        <v>#N/A</v>
      </c>
      <c r="AK173" s="86" t="b">
        <f t="shared" si="241"/>
        <v>0</v>
      </c>
      <c r="AL173" s="86">
        <f t="shared" si="270"/>
        <v>0.5</v>
      </c>
      <c r="AM173" s="86">
        <f t="shared" si="242"/>
        <v>0.5</v>
      </c>
      <c r="AN173" s="30" t="e">
        <f t="shared" ca="1" si="271"/>
        <v>#DIV/0!</v>
      </c>
      <c r="AO173" s="85" t="e">
        <f ca="1">IF(U173&lt;=Hypothèses!$V$7,Hypothèses!$W$7,IF(U173&lt;=Hypothèses!$V$8,Hypothèses!$W$8,IF(U173&lt;=Hypothèses!$V$9,Hypothèses!$W$9,IF(U173&lt;=Hypothèses!$V$10,Hypothèses!$W$10,IF(U173&lt;=Hypothèses!$V$11,Hypothèses!$W$11,IF(U173&lt;=Hypothèses!$V$12,Hypothèses!$W$12,IF(U173&lt;=Hypothèses!$V$13,Hypothèses!$W$13,IF(U173&lt;=Hypothèses!$V$14,Hypothèses!$W$14,IF(U173&lt;=Hypothèses!$V$15,Hypothèses!$W$15,IF(U173&lt;=Hypothèses!$V$16,Hypothèses!$W$16,IF(U173&lt;=Hypothèses!$V$17,Hypothèses!$W$17,IF(U173&lt;=Hypothèses!$V$18,Hypothèses!$W$18,""))))))))))))</f>
        <v>#DIV/0!</v>
      </c>
      <c r="AP173" s="87" t="e">
        <f t="shared" ca="1" si="317"/>
        <v>#DIV/0!</v>
      </c>
      <c r="AQ173" s="88" t="e">
        <f ca="1">IF(U173&lt;=Hypothèses!$V$7,Hypothèses!$X$7,IF(U173&lt;=Hypothèses!$V$8,Hypothèses!$X$8,IF(U173&lt;=Hypothèses!$V$9,Hypothèses!$X$9,IF(U173&lt;=Hypothèses!$V$10,Hypothèses!$X$10,IF(U173&lt;=Hypothèses!$V$11,Hypothèses!$X$11,IF(U173&lt;=Hypothèses!$V$12,Hypothèses!$X$12,IF(U173&lt;=Hypothèses!$V$13,Hypothèses!$X$13,IF(U173&lt;=Hypothèses!$V$14,Hypothèses!$X$14,IF(U173&lt;=Hypothèses!$V$15,Hypothèses!$X$15,IF(U173&lt;=Hypothèses!$V$16,Hypothèses!$X$16,IF(U173&lt;=Hypothèses!$U$17,Hypothèses!$W$17,IF(U173&lt;=Hypothèses!$U$18,Hypothèses!$W$18,""))))))))))))</f>
        <v>#DIV/0!</v>
      </c>
      <c r="AR173" s="95" t="e">
        <f t="shared" ca="1" si="272"/>
        <v>#DIV/0!</v>
      </c>
      <c r="AS173" s="101" t="e">
        <f t="shared" si="324"/>
        <v>#N/A</v>
      </c>
      <c r="AT173" s="91" t="e">
        <f t="shared" si="243"/>
        <v>#N/A</v>
      </c>
      <c r="AU173" s="30" t="e">
        <f t="shared" si="302"/>
        <v>#N/A</v>
      </c>
      <c r="AV173" s="30" t="e">
        <f t="shared" si="303"/>
        <v>#N/A</v>
      </c>
      <c r="AW173" s="31" t="e">
        <f>IF(OR(Hypothèses!$B$4=17,Hypothèses!$B$4=18,Hypothèses!$B$4=19,Hypothèses!$B$4=20),
IF($D173="Pressio.",
IF(OR($E173=3,$E173=1,$E173=4),AV173,AU173),
IF($D173="Pénétro.",
IF(OR($E173=3,$E173=1,$E173=4),AV173,AU173))),IF($D173="Pressio.",
IF($E173=3,AV173,AU173),
IF($D173="Pénétro.",
IF($E173=4,AV173,AU173))))</f>
        <v>#N/A</v>
      </c>
      <c r="AX173" s="31" t="e">
        <f>(IF(OR(Hypothèses!$B$4=17,Hypothèses!$B$4=18,Hypothèses!$B$4=19,Hypothèses!$B$4=20),
IF($D173="Pressio.",
IF(OR($E173=3,$E173=1,$E173=4),(PI()*AX$12^2)/4*(AT173*$W173*1000)/($H173*$B$5),(PI()*AX$12^2)/4*(AT173*$W173*1000)/($G173*$B$5)),
IF($D173="Pénétro.",
IF(OR($E173=4,$E173=1,$E173=5),(PI()*AX$12^2)/4*(AT173*$W173*1000)/($H173*$B$5),(PI()*AX$12^2)/4*(AT173*$W173*1000)/($G173*$B$5)))),
IF($D173="Pressio.",
IF($E173=3,(PI()*AX$12^2)/4*(AT173*$W173*1000)/($H173*$B$5),(PI()*AX$12^2)/4*(AT173*$W173*1000)/($G173*$B$5)),
IF($D173="Pénétro.",
IF($E173=4,(PI()*AX$12^2)/4*(AT173*$W173*1000)/($H173*$B$5),(PI()*AX$12^2)/4*(AT173*$W173*1000)/($G173*$B$5))))))/10</f>
        <v>#N/A</v>
      </c>
      <c r="AY173" s="102" t="e">
        <f>(VLOOKUP($B$3,'Coeff EC7'!$T$39:$X$59,2,0)*AW173+VLOOKUP($B$3,'Coeff EC7'!$T$65:$X$85,2,0)*Model0.1C!AX173)/1.1</f>
        <v>#N/A</v>
      </c>
      <c r="AZ173" s="102" t="e">
        <f>(VLOOKUP($B$3,'Coeff EC7'!$T$39:$X$59,3,0)*AW173+VLOOKUP($B$3,'Coeff EC7'!$T$65:$X$85,3,0)*Model0.1C!AX173)/0.9</f>
        <v>#N/A</v>
      </c>
      <c r="BA173" s="102" t="e">
        <f t="shared" si="273"/>
        <v>#N/A</v>
      </c>
      <c r="BB173" s="102" t="e">
        <f t="shared" si="274"/>
        <v>#N/A</v>
      </c>
      <c r="BC173" s="414" t="e">
        <f>IF(BC172=0,0,IF(AND(AY173&gt;charge_ELS_quasi,AZ173&gt;Charge_ELS_freq,BA173&gt;charge_ELU,BB173&gt;charge_ELA,$B173&gt;NDC!$H$22-0.1+MIN(3*$BC$12,1.5)),0,1))</f>
        <v>#N/A</v>
      </c>
      <c r="BD173" s="86" t="b">
        <f t="shared" si="244"/>
        <v>0</v>
      </c>
      <c r="BE173" s="86">
        <f t="shared" si="275"/>
        <v>0.5</v>
      </c>
      <c r="BF173" s="86">
        <f t="shared" si="245"/>
        <v>0.5</v>
      </c>
      <c r="BG173" s="30" t="e">
        <f t="shared" ca="1" si="276"/>
        <v>#DIV/0!</v>
      </c>
      <c r="BH173" s="85" t="e">
        <f ca="1">IF(AN173&lt;=Hypothèses!$V$7,Hypothèses!$W$7,IF(AN173&lt;=Hypothèses!$V$8,Hypothèses!$W$8,IF(AN173&lt;=Hypothèses!$V$9,Hypothèses!$W$9,IF(AN173&lt;=Hypothèses!$V$10,Hypothèses!$W$10,IF(AN173&lt;=Hypothèses!$V$11,Hypothèses!$W$11,IF(AN173&lt;=Hypothèses!$V$12,Hypothèses!$W$12,IF(AN173&lt;=Hypothèses!$V$13,Hypothèses!$W$13,IF(AN173&lt;=Hypothèses!$V$14,Hypothèses!$W$14,IF(AN173&lt;=Hypothèses!$V$15,Hypothèses!$W$15,IF(AN173&lt;=Hypothèses!$V$16,Hypothèses!$W$16,IF(AN173&lt;=Hypothèses!$V$17,Hypothèses!$W$17,IF(AN173&lt;=Hypothèses!$V$18,Hypothèses!$W$18,""))))))))))))</f>
        <v>#DIV/0!</v>
      </c>
      <c r="BI173" s="87" t="e">
        <f t="shared" ca="1" si="318"/>
        <v>#DIV/0!</v>
      </c>
      <c r="BJ173" s="88" t="e">
        <f ca="1">IF(AN173&lt;=Hypothèses!$V$7,Hypothèses!$X$7,IF(AN173&lt;=Hypothèses!$V$8,Hypothèses!$X$8,IF(AN173&lt;=Hypothèses!$V$9,Hypothèses!$X$9,IF(AN173&lt;=Hypothèses!$V$10,Hypothèses!$X$10,IF(AN173&lt;=Hypothèses!$V$11,Hypothèses!$X$11,IF(AN173&lt;=Hypothèses!$V$12,Hypothèses!$X$12,IF(AN173&lt;=Hypothèses!$V$13,Hypothèses!$X$13,IF(AN173&lt;=Hypothèses!$V$14,Hypothèses!$X$14,IF(AN173&lt;=Hypothèses!$V$15,Hypothèses!$X$15,IF(AN173&lt;=Hypothèses!$V$16,Hypothèses!$X$16,IF(AN173&lt;=Hypothèses!$U$17,Hypothèses!$W$17,IF(AN173&lt;=Hypothèses!$U$18,Hypothèses!$W$18,""))))))))))))</f>
        <v>#DIV/0!</v>
      </c>
      <c r="BK173" s="95" t="e">
        <f t="shared" ca="1" si="277"/>
        <v>#DIV/0!</v>
      </c>
      <c r="BL173" s="101" t="e">
        <f t="shared" si="325"/>
        <v>#N/A</v>
      </c>
      <c r="BM173" s="91" t="e">
        <f t="shared" si="246"/>
        <v>#N/A</v>
      </c>
      <c r="BN173" s="30" t="e">
        <f t="shared" si="304"/>
        <v>#N/A</v>
      </c>
      <c r="BO173" s="30" t="e">
        <f t="shared" si="305"/>
        <v>#N/A</v>
      </c>
      <c r="BP173" s="31" t="e">
        <f>IF(OR(Hypothèses!$B$4=17,Hypothèses!$B$4=18,Hypothèses!$B$4=19,Hypothèses!$B$4=20),
IF($D173="Pressio.",
IF(OR($E173=3,$E173=1,$E173=4),BO173,BN173),
IF($D173="Pénétro.",
IF(OR($E173=3,$E173=1,$E173=4),BO173,BN173))),IF($D173="Pressio.",
IF($E173=3,BO173,BN173),
IF($D173="Pénétro.",
IF($E173=4,BO173,BN173))))</f>
        <v>#N/A</v>
      </c>
      <c r="BQ173" s="31" t="e">
        <f>(IF(OR(Hypothèses!$B$4=17,Hypothèses!$B$4=18,Hypothèses!$B$4=19,Hypothèses!$B$4=20),
IF($D173="Pressio.",
IF(OR($E173=3,$E173=1,$E173=4),(PI()*BQ$12^2)/4*(BM173*$W173*1000)/($H173*$B$5),(PI()*BQ$12^2)/4*(BM173*$W173*1000)/($G173*$B$5)),
IF($D173="Pénétro.",
IF(OR($E173=4,$E173=1,$E173=5),(PI()*BQ$12^2)/4*(BM173*$W173*1000)/($H173*$B$5),(PI()*BQ$12^2)/4*(BM173*$W173*1000)/($G173*$B$5)))),
IF($D173="Pressio.",
IF($E173=3,(PI()*BQ$12^2)/4*(BM173*$W173*1000)/($H173*$B$5),(PI()*BQ$12^2)/4*(BM173*$W173*1000)/($G173*$B$5)),
IF($D173="Pénétro.",
IF($E173=4,(PI()*BQ$12^2)/4*(BM173*$W173*1000)/($H173*$B$5),(PI()*BQ$12^2)/4*(BM173*$W173*1000)/($G173*$B$5))))))/10</f>
        <v>#N/A</v>
      </c>
      <c r="BR173" s="102" t="e">
        <f>(VLOOKUP($B$3,'Coeff EC7'!$T$39:$X$59,2,0)*BP173+VLOOKUP($B$3,'Coeff EC7'!$T$65:$X$85,2,0)*Model0.1C!BQ173)/1.1</f>
        <v>#N/A</v>
      </c>
      <c r="BS173" s="102" t="e">
        <f>(VLOOKUP($B$3,'Coeff EC7'!$T$39:$X$59,3,0)*BP173+VLOOKUP($B$3,'Coeff EC7'!$T$65:$X$85,3,0)*Model0.1C!BQ173)/0.9</f>
        <v>#N/A</v>
      </c>
      <c r="BT173" s="102" t="e">
        <f t="shared" si="278"/>
        <v>#N/A</v>
      </c>
      <c r="BU173" s="102" t="e">
        <f t="shared" si="279"/>
        <v>#N/A</v>
      </c>
      <c r="BV173" s="414" t="e">
        <f>IF(BV172=0,0,IF(AND(BR173&gt;charge_ELS_quasi,BS173&gt;Charge_ELS_freq,BT173&gt;charge_ELU,BU173&gt;charge_ELA,$B173&gt;NDC!$H$22-0.1+MIN(3*$BV$12,1.5)),0,1))</f>
        <v>#N/A</v>
      </c>
      <c r="BW173" s="86" t="b">
        <f t="shared" si="247"/>
        <v>0</v>
      </c>
      <c r="BX173" s="86">
        <f t="shared" si="248"/>
        <v>0.5</v>
      </c>
      <c r="BY173" s="86">
        <f t="shared" si="249"/>
        <v>0.5</v>
      </c>
      <c r="BZ173" s="30" t="e">
        <f t="shared" ca="1" si="280"/>
        <v>#DIV/0!</v>
      </c>
      <c r="CA173" s="85" t="e">
        <f ca="1">IF(BG173&lt;=Hypothèses!$V$7,Hypothèses!$W$7,IF(BG173&lt;=Hypothèses!$V$8,Hypothèses!$W$8,IF(BG173&lt;=Hypothèses!$V$9,Hypothèses!$W$9,IF(BG173&lt;=Hypothèses!$V$10,Hypothèses!$W$10,IF(BG173&lt;=Hypothèses!$V$11,Hypothèses!$W$11,IF(BG173&lt;=Hypothèses!$V$12,Hypothèses!$W$12,IF(BG173&lt;=Hypothèses!$V$13,Hypothèses!$W$13,IF(BG173&lt;=Hypothèses!$V$14,Hypothèses!$W$14,IF(BG173&lt;=Hypothèses!$V$15,Hypothèses!$W$15,IF(BG173&lt;=Hypothèses!$V$16,Hypothèses!$W$16,IF(BG173&lt;=Hypothèses!$V$17,Hypothèses!$W$17,IF(BG173&lt;=Hypothèses!$V$18,Hypothèses!$W$18,""))))))))))))</f>
        <v>#DIV/0!</v>
      </c>
      <c r="CB173" s="87" t="e">
        <f t="shared" ca="1" si="319"/>
        <v>#DIV/0!</v>
      </c>
      <c r="CC173" s="88" t="e">
        <f ca="1">IF(BG173&lt;=Hypothèses!$V$7,Hypothèses!$X$7,IF(BG173&lt;=Hypothèses!$V$8,Hypothèses!$X$8,IF(BG173&lt;=Hypothèses!$V$9,Hypothèses!$X$9,IF(BG173&lt;=Hypothèses!$V$10,Hypothèses!$X$10,IF(BG173&lt;=Hypothèses!$V$11,Hypothèses!$X$11,IF(BG173&lt;=Hypothèses!$V$12,Hypothèses!$X$12,IF(BG173&lt;=Hypothèses!$V$13,Hypothèses!$X$13,IF(BG173&lt;=Hypothèses!$V$14,Hypothèses!$X$14,IF(BG173&lt;=Hypothèses!$V$15,Hypothèses!$X$15,IF(BG173&lt;=Hypothèses!$V$16,Hypothèses!$X$16,IF(BG173&lt;=Hypothèses!$U$17,Hypothèses!$W$17,IF(BG173&lt;=Hypothèses!$U$18,Hypothèses!$W$18,""))))))))))))</f>
        <v>#DIV/0!</v>
      </c>
      <c r="CD173" s="95" t="e">
        <f t="shared" ca="1" si="281"/>
        <v>#DIV/0!</v>
      </c>
      <c r="CE173" s="101" t="e">
        <f t="shared" si="326"/>
        <v>#N/A</v>
      </c>
      <c r="CF173" s="91" t="e">
        <f t="shared" si="250"/>
        <v>#N/A</v>
      </c>
      <c r="CG173" s="30" t="e">
        <f t="shared" si="306"/>
        <v>#N/A</v>
      </c>
      <c r="CH173" s="30" t="e">
        <f t="shared" si="307"/>
        <v>#N/A</v>
      </c>
      <c r="CI173" s="31" t="e">
        <f>IF(OR(Hypothèses!$B$4=17,Hypothèses!$B$4=18,Hypothèses!$B$4=19,Hypothèses!$B$4=20),
IF($D173="Pressio.",
IF(OR($E173=3,$E173=1,$E173=4),CH173,CG173),
IF($D173="Pénétro.",
IF(OR($E173=3,$E173=1,$E173=4),CH173,CG173))),IF($D173="Pressio.",
IF($E173=3,CH173,CG173),
IF($D173="Pénétro.",
IF($E173=4,CH173,CG173))))</f>
        <v>#N/A</v>
      </c>
      <c r="CJ173" s="31" t="e">
        <f>(IF(OR(Hypothèses!$B$4=17,Hypothèses!$B$4=18,Hypothèses!$B$4=19,Hypothèses!$B$4=20),
IF($D173="Pressio.",
IF(OR($E173=3,$E173=1,$E173=4),(PI()*CJ$12^2)/4*(CF173*$W173*1000)/($H173*$B$5),(PI()*CJ$12^2)/4*(CF173*$W173*1000)/($G173*$B$5)),
IF($D173="Pénétro.",
IF(OR($E173=4,$E173=1,$E173=5),(PI()*CJ$12^2)/4*(CF173*$W173*1000)/($H173*$B$5),(PI()*CJ$12^2)/4*(CF173*$W173*1000)/($G173*$B$5)))),
IF($D173="Pressio.",
IF($E173=3,(PI()*CJ$12^2)/4*(CF173*$W173*1000)/($H173*$B$5),(PI()*CJ$12^2)/4*(CF173*$W173*1000)/($G173*$B$5)),
IF($D173="Pénétro.",
IF($E173=4,(PI()*CJ$12^2)/4*(CF173*$W173*1000)/($H173*$B$5),(PI()*CJ$12^2)/4*(CF173*$W173*1000)/($G173*$B$5))))))/10</f>
        <v>#N/A</v>
      </c>
      <c r="CK173" s="102" t="e">
        <f>(VLOOKUP($B$3,'Coeff EC7'!$T$39:$X$59,2,0)*CI173+VLOOKUP($B$3,'Coeff EC7'!$T$65:$X$85,2,0)*Model0.1C!CJ173)/1.1</f>
        <v>#N/A</v>
      </c>
      <c r="CL173" s="102" t="e">
        <f>(VLOOKUP($B$3,'Coeff EC7'!$T$39:$X$59,3,0)*CI173+VLOOKUP($B$3,'Coeff EC7'!$T$65:$X$85,3,0)*Model0.1C!CJ173)/0.9</f>
        <v>#N/A</v>
      </c>
      <c r="CM173" s="102" t="e">
        <f t="shared" si="282"/>
        <v>#N/A</v>
      </c>
      <c r="CN173" s="102" t="e">
        <f t="shared" si="283"/>
        <v>#N/A</v>
      </c>
      <c r="CO173" s="414" t="e">
        <f>IF(CO172=0,0,IF(AND(CK173&gt;charge_ELS_quasi,CL173&gt;Charge_ELS_freq,CM173&gt;charge_ELU,CN173&gt;charge_ELA,$B173&gt;NDC!$H$22-0.1+MIN(3*$CO$12,1.5)),0,1))</f>
        <v>#N/A</v>
      </c>
      <c r="CP173" s="86" t="b">
        <f t="shared" si="251"/>
        <v>0</v>
      </c>
      <c r="CQ173" s="86">
        <f t="shared" si="252"/>
        <v>0.5</v>
      </c>
      <c r="CR173" s="86">
        <f t="shared" si="253"/>
        <v>0.5</v>
      </c>
      <c r="CS173" s="30" t="e">
        <f t="shared" ca="1" si="284"/>
        <v>#DIV/0!</v>
      </c>
      <c r="CT173" s="85" t="e">
        <f ca="1">IF(BZ173&lt;=Hypothèses!$V$7,Hypothèses!$W$7,IF(BZ173&lt;=Hypothèses!$V$8,Hypothèses!$W$8,IF(BZ173&lt;=Hypothèses!$V$9,Hypothèses!$W$9,IF(BZ173&lt;=Hypothèses!$V$10,Hypothèses!$W$10,IF(BZ173&lt;=Hypothèses!$V$11,Hypothèses!$W$11,IF(BZ173&lt;=Hypothèses!$V$12,Hypothèses!$W$12,IF(BZ173&lt;=Hypothèses!$V$13,Hypothèses!$W$13,IF(BZ173&lt;=Hypothèses!$V$14,Hypothèses!$W$14,IF(BZ173&lt;=Hypothèses!$V$15,Hypothèses!$W$15,IF(BZ173&lt;=Hypothèses!$V$16,Hypothèses!$W$16,IF(BZ173&lt;=Hypothèses!$V$17,Hypothèses!$W$17,IF(BZ173&lt;=Hypothèses!$V$18,Hypothèses!$W$18,""))))))))))))</f>
        <v>#DIV/0!</v>
      </c>
      <c r="CU173" s="87" t="e">
        <f t="shared" ca="1" si="320"/>
        <v>#DIV/0!</v>
      </c>
      <c r="CV173" s="88" t="e">
        <f ca="1">IF(BZ173&lt;=Hypothèses!$V$7,Hypothèses!$X$7,IF(BZ173&lt;=Hypothèses!$V$8,Hypothèses!$X$8,IF(BZ173&lt;=Hypothèses!$V$9,Hypothèses!$X$9,IF(BZ173&lt;=Hypothèses!$V$10,Hypothèses!$X$10,IF(BZ173&lt;=Hypothèses!$V$11,Hypothèses!$X$11,IF(BZ173&lt;=Hypothèses!$V$12,Hypothèses!$X$12,IF(BZ173&lt;=Hypothèses!$V$13,Hypothèses!$X$13,IF(BZ173&lt;=Hypothèses!$V$14,Hypothèses!$X$14,IF(BZ173&lt;=Hypothèses!$V$15,Hypothèses!$X$15,IF(BZ173&lt;=Hypothèses!$V$16,Hypothèses!$X$16,IF(BZ173&lt;=Hypothèses!$U$17,Hypothèses!$W$17,IF(BZ173&lt;=Hypothèses!$U$18,Hypothèses!$W$18,""))))))))))))</f>
        <v>#DIV/0!</v>
      </c>
      <c r="CW173" s="95" t="e">
        <f t="shared" ca="1" si="285"/>
        <v>#DIV/0!</v>
      </c>
      <c r="CX173" s="101" t="e">
        <f t="shared" si="327"/>
        <v>#N/A</v>
      </c>
      <c r="CY173" s="91" t="e">
        <f t="shared" si="254"/>
        <v>#N/A</v>
      </c>
      <c r="CZ173" s="30" t="e">
        <f t="shared" si="308"/>
        <v>#N/A</v>
      </c>
      <c r="DA173" s="30" t="e">
        <f t="shared" si="309"/>
        <v>#N/A</v>
      </c>
      <c r="DB173" s="31" t="e">
        <f>IF(OR(Hypothèses!$B$4=17,Hypothèses!$B$4=18,Hypothèses!$B$4=19,Hypothèses!$B$4=20),
IF($D173="Pressio.",
IF(OR($E173=3,$E173=1,$E173=4),DA173,CZ173),
IF($D173="Pénétro.",
IF(OR($E173=3,$E173=1,$E173=4),DA173,CZ173))),IF($D173="Pressio.",
IF($E173=3,DA173,CZ173),
IF($D173="Pénétro.",
IF($E173=4,DA173,CZ173))))</f>
        <v>#N/A</v>
      </c>
      <c r="DC173" s="31" t="e">
        <f>(IF(OR(Hypothèses!$B$4=17,Hypothèses!$B$4=18,Hypothèses!$B$4=19,Hypothèses!$B$4=20),
IF($D173="Pressio.",
IF(OR($E173=3,$E173=1,$E173=4),(PI()*DC$12^2)/4*(CY173*$W173*1000)/($H173*$B$5),(PI()*DC$12^2)/4*(CY173*$W173*1000)/($G173*$B$5)),
IF($D173="Pénétro.",
IF(OR($E173=4,$E173=1,$E173=5),(PI()*DC$12^2)/4*(CY173*$W173*1000)/($H173*$B$5),(PI()*DC$12^2)/4*(CY173*$W173*1000)/($G173*$B$5)))),
IF($D173="Pressio.",
IF($E173=3,(PI()*DC$12^2)/4*(CY173*$W173*1000)/($H173*$B$5),(PI()*DC$12^2)/4*(CY173*$W173*1000)/($G173*$B$5)),
IF($D173="Pénétro.",
IF($E173=4,(PI()*DC$12^2)/4*(CY173*$W173*1000)/($H173*$B$5),(PI()*DC$12^2)/4*(CY173*$W173*1000)/($G173*$B$5))))))/10</f>
        <v>#N/A</v>
      </c>
      <c r="DD173" s="102" t="e">
        <f>(VLOOKUP($B$3,'Coeff EC7'!$T$39:$X$59,2,0)*DB173+VLOOKUP($B$3,'Coeff EC7'!$T$65:$X$85,2,0)*Model0.1C!DC173)/1.1</f>
        <v>#N/A</v>
      </c>
      <c r="DE173" s="102" t="e">
        <f>(VLOOKUP($B$3,'Coeff EC7'!$T$39:$X$59,3,0)*DB173+VLOOKUP($B$3,'Coeff EC7'!$T$65:$X$85,3,0)*Model0.1C!DC173)/0.9</f>
        <v>#N/A</v>
      </c>
      <c r="DF173" s="102" t="e">
        <f t="shared" si="286"/>
        <v>#N/A</v>
      </c>
      <c r="DG173" s="102" t="e">
        <f t="shared" si="287"/>
        <v>#N/A</v>
      </c>
      <c r="DH173" s="414" t="e">
        <f>IF(DH172=0,0,IF(AND(DD173&gt;charge_ELS_quasi,DE173&gt;Charge_ELS_freq,DF173&gt;charge_ELU,DG173&gt;charge_ELA,$B173&gt;NDC!$H$22-0.1+MIN(3*$DH$12,1.5)),0,1))</f>
        <v>#N/A</v>
      </c>
      <c r="DI173" s="86" t="b">
        <f t="shared" si="255"/>
        <v>0</v>
      </c>
      <c r="DJ173" s="86">
        <f t="shared" si="256"/>
        <v>0.5</v>
      </c>
      <c r="DK173" s="86">
        <f t="shared" si="257"/>
        <v>0.5</v>
      </c>
      <c r="DL173" s="30" t="e">
        <f t="shared" ca="1" si="288"/>
        <v>#DIV/0!</v>
      </c>
      <c r="DM173" s="85" t="e">
        <f ca="1">IF(CS173&lt;=Hypothèses!$V$7,Hypothèses!$W$7,IF(CS173&lt;=Hypothèses!$V$8,Hypothèses!$W$8,IF(CS173&lt;=Hypothèses!$V$9,Hypothèses!$W$9,IF(CS173&lt;=Hypothèses!$V$10,Hypothèses!$W$10,IF(CS173&lt;=Hypothèses!$V$11,Hypothèses!$W$11,IF(CS173&lt;=Hypothèses!$V$12,Hypothèses!$W$12,IF(CS173&lt;=Hypothèses!$V$13,Hypothèses!$W$13,IF(CS173&lt;=Hypothèses!$V$14,Hypothèses!$W$14,IF(CS173&lt;=Hypothèses!$V$15,Hypothèses!$W$15,IF(CS173&lt;=Hypothèses!$V$16,Hypothèses!$W$16,IF(CS173&lt;=Hypothèses!$V$17,Hypothèses!$W$17,IF(CS173&lt;=Hypothèses!$V$18,Hypothèses!$W$18,""))))))))))))</f>
        <v>#DIV/0!</v>
      </c>
      <c r="DN173" s="87" t="e">
        <f t="shared" ca="1" si="321"/>
        <v>#DIV/0!</v>
      </c>
      <c r="DO173" s="88" t="e">
        <f ca="1">IF(CS173&lt;=Hypothèses!$V$7,Hypothèses!$X$7,IF(CS173&lt;=Hypothèses!$V$8,Hypothèses!$X$8,IF(CS173&lt;=Hypothèses!$V$9,Hypothèses!$X$9,IF(CS173&lt;=Hypothèses!$V$10,Hypothèses!$X$10,IF(CS173&lt;=Hypothèses!$V$11,Hypothèses!$X$11,IF(CS173&lt;=Hypothèses!$V$12,Hypothèses!$X$12,IF(CS173&lt;=Hypothèses!$V$13,Hypothèses!$X$13,IF(CS173&lt;=Hypothèses!$V$14,Hypothèses!$X$14,IF(CS173&lt;=Hypothèses!$V$15,Hypothèses!$X$15,IF(CS173&lt;=Hypothèses!$V$16,Hypothèses!$X$16,IF(CS173&lt;=Hypothèses!$U$17,Hypothèses!$W$17,IF(CS173&lt;=Hypothèses!$U$18,Hypothèses!$W$18,""))))))))))))</f>
        <v>#DIV/0!</v>
      </c>
      <c r="DP173" s="95" t="e">
        <f t="shared" ca="1" si="289"/>
        <v>#DIV/0!</v>
      </c>
      <c r="DQ173" s="101" t="e">
        <f t="shared" si="328"/>
        <v>#N/A</v>
      </c>
      <c r="DR173" s="91" t="e">
        <f t="shared" si="258"/>
        <v>#N/A</v>
      </c>
      <c r="DS173" s="30" t="e">
        <f t="shared" si="310"/>
        <v>#N/A</v>
      </c>
      <c r="DT173" s="30" t="e">
        <f t="shared" si="311"/>
        <v>#N/A</v>
      </c>
      <c r="DU173" s="31" t="e">
        <f>IF(OR(Hypothèses!$B$4=17,Hypothèses!$B$4=18,Hypothèses!$B$4=19,Hypothèses!$B$4=20),
IF($D173="Pressio.",
IF(OR($E173=3,$E173=1,$E173=4),DT173,DS173),
IF($D173="Pénétro.",
IF(OR($E173=3,$E173=1,$E173=4),DT173,DS173))),IF($D173="Pressio.",
IF($E173=3,DT173,DS173),
IF($D173="Pénétro.",
IF($E173=4,DT173,DS173))))</f>
        <v>#N/A</v>
      </c>
      <c r="DV173" s="31" t="e">
        <f>(IF(OR(Hypothèses!$B$4=17,Hypothèses!$B$4=18,Hypothèses!$B$4=19,Hypothèses!$B$4=20),
IF($D173="Pressio.",
IF(OR($E173=3,$E173=1,$E173=4),(PI()*DV$12^2)/4*(DR173*$W173*1000)/($H173*$B$5),(PI()*DV$12^2)/4*(DR173*$W173*1000)/($G173*$B$5)),
IF($D173="Pénétro.",
IF(OR($E173=4,$E173=1,$E173=5),(PI()*DV$12^2)/4*(DR173*$W173*1000)/($H173*$B$5),(PI()*DV$12^2)/4*(DR173*$W173*1000)/($G173*$B$5)))),
IF($D173="Pressio.",
IF($E173=3,(PI()*DV$12^2)/4*(DR173*$W173*1000)/($H173*$B$5),(PI()*DV$12^2)/4*(DR173*$W173*1000)/($G173*$B$5)),
IF($D173="Pénétro.",
IF($E173=4,(PI()*DV$12^2)/4*(DR173*$W173*1000)/($H173*$B$5),(PI()*DV$12^2)/4*(DR173*$W173*1000)/($G173*$B$5))))))/10</f>
        <v>#N/A</v>
      </c>
      <c r="DW173" s="102" t="e">
        <f>(VLOOKUP($B$3,'Coeff EC7'!$T$39:$X$59,2,0)*DU173+VLOOKUP($B$3,'Coeff EC7'!$T$65:$X$85,2,0)*Model0.1C!DV173)/1.1</f>
        <v>#N/A</v>
      </c>
      <c r="DX173" s="102" t="e">
        <f>(VLOOKUP($B$3,'Coeff EC7'!$T$39:$X$59,3,0)*DU173+VLOOKUP($B$3,'Coeff EC7'!$T$65:$X$85,3,0)*Model0.1C!DV173)/0.9</f>
        <v>#N/A</v>
      </c>
      <c r="DY173" s="102" t="e">
        <f t="shared" si="290"/>
        <v>#N/A</v>
      </c>
      <c r="DZ173" s="102" t="e">
        <f t="shared" si="291"/>
        <v>#N/A</v>
      </c>
      <c r="EA173" s="414" t="e">
        <f>IF(EA172=0,0,IF(AND(DW173&gt;charge_ELS_quasi,DX173&gt;Charge_ELS_freq,DY173&gt;charge_ELU,DZ173&gt;charge_ELA,$B173&gt;NDC!$H$22-0.1+MIN(3*$EA$12,1.5)),0,1))</f>
        <v>#N/A</v>
      </c>
      <c r="EB173" s="86" t="b">
        <f t="shared" si="259"/>
        <v>0</v>
      </c>
      <c r="EC173" s="418">
        <f t="shared" si="260"/>
        <v>0.51</v>
      </c>
      <c r="ED173" s="86">
        <f t="shared" si="261"/>
        <v>0.51</v>
      </c>
      <c r="EE173" s="30" t="e">
        <f t="shared" ca="1" si="292"/>
        <v>#DIV/0!</v>
      </c>
      <c r="EF173" s="85" t="e">
        <f ca="1">IF(DL173&lt;=Hypothèses!$V$7,Hypothèses!$W$7,IF(DL173&lt;=Hypothèses!$V$8,Hypothèses!$W$8,IF(DL173&lt;=Hypothèses!$V$9,Hypothèses!$W$9,IF(DL173&lt;=Hypothèses!$V$10,Hypothèses!$W$10,IF(DL173&lt;=Hypothèses!$V$11,Hypothèses!$W$11,IF(DL173&lt;=Hypothèses!$V$12,Hypothèses!$W$12,IF(DL173&lt;=Hypothèses!$V$13,Hypothèses!$W$13,IF(DL173&lt;=Hypothèses!$V$14,Hypothèses!$W$14,IF(DL173&lt;=Hypothèses!$V$15,Hypothèses!$W$15,IF(DL173&lt;=Hypothèses!$V$16,Hypothèses!$W$16,IF(DL173&lt;=Hypothèses!$V$17,Hypothèses!$W$17,IF(DL173&lt;=Hypothèses!$V$18,Hypothèses!$W$18,""))))))))))))</f>
        <v>#DIV/0!</v>
      </c>
      <c r="EG173" s="87" t="e">
        <f t="shared" ca="1" si="322"/>
        <v>#DIV/0!</v>
      </c>
      <c r="EH173" s="88" t="e">
        <f ca="1">IF(DL173&lt;=Hypothèses!$V$7,Hypothèses!$X$7,IF(DL173&lt;=Hypothèses!$V$8,Hypothèses!$X$8,IF(DL173&lt;=Hypothèses!$V$9,Hypothèses!$X$9,IF(DL173&lt;=Hypothèses!$V$10,Hypothèses!$X$10,IF(DL173&lt;=Hypothèses!$V$11,Hypothèses!$X$11,IF(DL173&lt;=Hypothèses!$V$12,Hypothèses!$X$12,IF(DL173&lt;=Hypothèses!$V$13,Hypothèses!$X$13,IF(DL173&lt;=Hypothèses!$V$14,Hypothèses!$X$14,IF(DL173&lt;=Hypothèses!$V$15,Hypothèses!$X$15,IF(DL173&lt;=Hypothèses!$V$16,Hypothèses!$X$16,IF(DL173&lt;=Hypothèses!$U$17,Hypothèses!$W$17,IF(DL173&lt;=Hypothèses!$U$18,Hypothèses!$W$18,""))))))))))))</f>
        <v>#DIV/0!</v>
      </c>
      <c r="EI173" s="95" t="e">
        <f t="shared" ca="1" si="293"/>
        <v>#DIV/0!</v>
      </c>
      <c r="EJ173" s="101" t="e">
        <f t="shared" si="329"/>
        <v>#N/A</v>
      </c>
      <c r="EK173" s="91" t="e">
        <f t="shared" si="262"/>
        <v>#N/A</v>
      </c>
      <c r="EL173" s="30" t="e">
        <f t="shared" si="312"/>
        <v>#N/A</v>
      </c>
      <c r="EM173" s="30" t="e">
        <f t="shared" si="313"/>
        <v>#N/A</v>
      </c>
      <c r="EN173" s="31" t="e">
        <f>IF(OR(Hypothèses!$B$4=17,Hypothèses!$B$4=18,Hypothèses!$B$4=19,Hypothèses!$B$4=20),
IF($D173="Pressio.",
IF(OR($E173=3,$E173=1,$E173=4),EM173,EL173),
IF($D173="Pénétro.",
IF(OR($E173=3,$E173=1,$E173=4),EM173,EL173))),IF($D173="Pressio.",
IF($E173=3,EM173,EL173),
IF($D173="Pénétro.",
IF($E173=4,EM173,EL173))))</f>
        <v>#N/A</v>
      </c>
      <c r="EO173" s="31" t="e">
        <f>(IF(OR(Hypothèses!$B$4=17,Hypothèses!$B$4=18,Hypothèses!$B$4=19,Hypothèses!$B$4=20),
IF($D173="Pressio.",
IF(OR($E173=3,$E173=1,$E173=4),(PI()*EO$12^2)/4*(EK173*$W173*1000)/($H173*$B$5),(PI()*EO$12^2)/4*(EK173*$W173*1000)/($G173*$B$5)),
IF($D173="Pénétro.",
IF(OR($E173=4,$E173=1,$E173=5),(PI()*EO$12^2)/4*(EK173*$W173*1000)/($H173*$B$5),(PI()*EO$12^2)/4*(EK173*$W173*1000)/($G173*$B$5)))),
IF($D173="Pressio.",
IF($E173=3,(PI()*EO$12^2)/4*(EK173*$W173*1000)/($H173*$B$5),(PI()*EO$12^2)/4*(EK173*$W173*1000)/($G173*$B$5)),
IF($D173="Pénétro.",
IF($E173=4,(PI()*EO$12^2)/4*(EK173*$W173*1000)/($H173*$B$5),(PI()*EO$12^2)/4*(EK173*$W173*1000)/($G173*$B$5))))))/10</f>
        <v>#N/A</v>
      </c>
      <c r="EP173" s="102" t="e">
        <f>(VLOOKUP($B$3,'Coeff EC7'!$T$39:$X$59,2,0)*EN173+VLOOKUP($B$3,'Coeff EC7'!$T$65:$X$85,2,0)*Model0.1C!EO173)/1.1</f>
        <v>#N/A</v>
      </c>
      <c r="EQ173" s="102" t="e">
        <f>(VLOOKUP($B$3,'Coeff EC7'!$T$39:$X$59,3,0)*EN173+VLOOKUP($B$3,'Coeff EC7'!$T$65:$X$85,3,0)*Model0.1C!EO173)/0.9</f>
        <v>#N/A</v>
      </c>
      <c r="ER173" s="102" t="e">
        <f t="shared" si="294"/>
        <v>#N/A</v>
      </c>
      <c r="ES173" s="102" t="e">
        <f t="shared" si="295"/>
        <v>#N/A</v>
      </c>
      <c r="ET173" s="414" t="e">
        <f>IF(ET172=0,0,IF(AND(EP173&gt;charge_ELS_quasi,EQ173&gt;Charge_ELS_freq,ER173&gt;charge_ELU,ES173&gt;charge_ELA,$B173&gt;NDC!$H$22-0.1+MIN(3*$ET$12,1.5)),0,1))</f>
        <v>#N/A</v>
      </c>
      <c r="EU173" s="86" t="b">
        <f t="shared" si="263"/>
        <v>0</v>
      </c>
      <c r="EV173" s="86">
        <f t="shared" si="264"/>
        <v>0.61</v>
      </c>
      <c r="EW173" s="86">
        <f t="shared" si="265"/>
        <v>0.61</v>
      </c>
      <c r="EX173" s="30" t="e">
        <f t="shared" ca="1" si="296"/>
        <v>#DIV/0!</v>
      </c>
      <c r="EY173" s="85" t="e">
        <f ca="1">IF(EE173&lt;=Hypothèses!$V$7,Hypothèses!$W$7,IF(EE173&lt;=Hypothèses!$V$8,Hypothèses!$W$8,IF(EE173&lt;=Hypothèses!$V$9,Hypothèses!$W$9,IF(EE173&lt;=Hypothèses!$V$10,Hypothèses!$W$10,IF(EE173&lt;=Hypothèses!$V$11,Hypothèses!$W$11,IF(EE173&lt;=Hypothèses!$V$12,Hypothèses!$W$12,IF(EE173&lt;=Hypothèses!$V$13,Hypothèses!$W$13,IF(EE173&lt;=Hypothèses!$V$14,Hypothèses!$W$14,IF(EE173&lt;=Hypothèses!$V$15,Hypothèses!$W$15,IF(EE173&lt;=Hypothèses!$V$16,Hypothèses!$W$16,IF(EE173&lt;=Hypothèses!$V$17,Hypothèses!$W$17,IF(EE173&lt;=Hypothèses!$V$18,Hypothèses!$W$18,""))))))))))))</f>
        <v>#DIV/0!</v>
      </c>
      <c r="EZ173" s="87" t="e">
        <f t="shared" ca="1" si="323"/>
        <v>#DIV/0!</v>
      </c>
      <c r="FA173" s="88" t="e">
        <f ca="1">IF(EE173&lt;=Hypothèses!$V$7,Hypothèses!$X$7,IF(EE173&lt;=Hypothèses!$V$8,Hypothèses!$X$8,IF(EE173&lt;=Hypothèses!$V$9,Hypothèses!$X$9,IF(EE173&lt;=Hypothèses!$V$10,Hypothèses!$X$10,IF(EE173&lt;=Hypothèses!$V$11,Hypothèses!$X$11,IF(EE173&lt;=Hypothèses!$V$12,Hypothèses!$X$12,IF(EE173&lt;=Hypothèses!$V$13,Hypothèses!$X$13,IF(EE173&lt;=Hypothèses!$V$14,Hypothèses!$X$14,IF(EE173&lt;=Hypothèses!$V$15,Hypothèses!$X$15,IF(EE173&lt;=Hypothèses!$V$16,Hypothèses!$X$16,IF(EE173&lt;=Hypothèses!$U$17,Hypothèses!$W$17,IF(EE173&lt;=Hypothèses!$U$18,Hypothèses!$W$18,""))))))))))))</f>
        <v>#DIV/0!</v>
      </c>
      <c r="FB173" s="95" t="e">
        <f t="shared" ca="1" si="297"/>
        <v>#DIV/0!</v>
      </c>
      <c r="FC173" s="101" t="e">
        <f t="shared" si="330"/>
        <v>#N/A</v>
      </c>
      <c r="FD173" s="91" t="e">
        <f t="shared" si="266"/>
        <v>#N/A</v>
      </c>
      <c r="FE173" s="30" t="e">
        <f t="shared" si="314"/>
        <v>#N/A</v>
      </c>
      <c r="FF173" s="30" t="e">
        <f t="shared" si="315"/>
        <v>#N/A</v>
      </c>
      <c r="FG173" s="31" t="e">
        <f>IF(OR(Hypothèses!$B$4=17,Hypothèses!$B$4=18,Hypothèses!$B$4=19,Hypothèses!$B$4=20),
IF($D173="Pressio.",
IF(OR($E173=3,$E173=1,$E173=4),FF173,FE173),
IF($D173="Pénétro.",
IF(OR($E173=3,$E173=1,$E173=4),FF173,FE173))),IF($D173="Pressio.",
IF($E173=3,FF173,FE173),
IF($D173="Pénétro.",
IF($E173=4,FF173,FE173))))</f>
        <v>#N/A</v>
      </c>
      <c r="FH173" s="31" t="e">
        <f>(IF(OR(Hypothèses!$B$4=17,Hypothèses!$B$4=18,Hypothèses!$B$4=19,Hypothèses!$B$4=20),
IF($D173="Pressio.",
IF(OR($E173=3,$E173=1,$E173=4),(PI()*FH$12^2)/4*(FD173*$W173*1000)/($H173*$B$5),(PI()*FH$12^2)/4*(FD173*$W173*1000)/($G173*$B$5)),
IF($D173="Pénétro.",
IF(OR($E173=4,$E173=1,$E173=5),(PI()*FH$12^2)/4*(FD173*$W173*1000)/($H173*$B$5),(PI()*FH$12^2)/4*(FD173*$W173*1000)/($G173*$B$5)))),
IF($D173="Pressio.",
IF($E173=3,(PI()*FH$12^2)/4*(FD173*$W173*1000)/($H173*$B$5),(PI()*FH$12^2)/4*(FD173*$W173*1000)/($G173*$B$5)),
IF($D173="Pénétro.",
IF($E173=4,(PI()*FH$12^2)/4*(FD173*$W173*1000)/($H173*$B$5),(PI()*FH$12^2)/4*(FD173*$W173*1000)/($G173*$B$5))))))/10</f>
        <v>#N/A</v>
      </c>
      <c r="FI173" s="102" t="e">
        <f>(VLOOKUP($B$3,'Coeff EC7'!$T$39:$X$59,2,0)*FG173+VLOOKUP($B$3,'Coeff EC7'!$T$65:$X$85,2,0)*Model0.1C!FH173)/1.1</f>
        <v>#N/A</v>
      </c>
      <c r="FJ173" s="102" t="e">
        <f>(VLOOKUP($B$3,'Coeff EC7'!$T$39:$X$59,3,0)*FG173+VLOOKUP($B$3,'Coeff EC7'!$T$65:$X$85,3,0)*Model0.1C!FH173)/0.9</f>
        <v>#N/A</v>
      </c>
      <c r="FK173" s="102" t="e">
        <f t="shared" si="298"/>
        <v>#N/A</v>
      </c>
      <c r="FL173" s="102" t="e">
        <f t="shared" si="299"/>
        <v>#N/A</v>
      </c>
      <c r="FM173" s="414" t="e">
        <f>IF(FM172=0,0,IF(AND(FI173&gt;charge_ELS_quasi,FJ173&gt;Charge_ELS_freq,FK173&gt;charge_ELU,FL173&gt;charge_ELA,$B173&gt;NDC!$H$22-0.1+MIN(3*$FM$12,1.5)),0,1))</f>
        <v>#N/A</v>
      </c>
    </row>
    <row r="174" spans="1:169">
      <c r="A174" s="96">
        <f t="shared" si="267"/>
        <v>83.900000000000915</v>
      </c>
      <c r="B174" s="97">
        <v>16.100000000000001</v>
      </c>
      <c r="C174" s="81">
        <f>IF(B174&lt;=Hypothèses!$C$7,Hypothèses!$A$7,IF(B174&lt;=Hypothèses!$C$8,Hypothèses!$A$8,IF(B174&lt;=Hypothèses!$C$9,Hypothèses!$A$9,IF(B174&lt;=Hypothèses!$C$10,Hypothèses!$A$10,IF(B174&lt;=Hypothèses!$C$11,Hypothèses!$A$11,IF(B174&lt;=Hypothèses!$C$12,Hypothèses!$A$12,IF(B174&lt;=Hypothèses!$C$13,Hypothèses!$A$13,IF(B174&lt;=Hypothèses!$C$14,Hypothèses!$A$14,IF(B174&lt;=Hypothèses!$C$15,Hypothèses!$A$15,IF(B174&lt;=Hypothèses!$C$16,Hypothèses!$A$16,IF(B174&lt;=Hypothèses!$C$17,Hypothèses!$A$17,IF(B174&lt;=Hypothèses!$C$18,Hypothèses!$A$18,C173))))))))))))</f>
        <v>11</v>
      </c>
      <c r="D174" s="82" t="str">
        <f>IF(B174&lt;=Hypothèses!$C$7,Hypothèses!$R$7,IF(B174&lt;=Hypothèses!$C$8,Hypothèses!$R$8,IF(B174&lt;=Hypothèses!$C$9,Hypothèses!$R$9,IF(B174&lt;=Hypothèses!$C$10,Hypothèses!$R$10,IF(B174&lt;=Hypothèses!$C$11,Hypothèses!$R$11,IF(B174&lt;=Hypothèses!$C$12,Hypothèses!$R$12,IF(B174&lt;=Hypothèses!$C$13,Hypothèses!$R$13,IF(B174&lt;=Hypothèses!$C$14,Hypothèses!$R$14,IF(B174&lt;=Hypothèses!$C$15,Hypothèses!$R$15,IF(B174&lt;=Hypothèses!$C$16,Hypothèses!$R$16,IF(B174&lt;=Hypothèses!$C$17,Hypothèses!$R$17,IF(B174&lt;=Hypothèses!$C$18,Hypothèses!$R$18,D173))))))))))))</f>
        <v>Pressio.</v>
      </c>
      <c r="E174" s="82" t="e">
        <f>IF(B174&lt;=Hypothèses!$C$7,Hypothèses!$G$7,IF(B174&lt;=Hypothèses!$C$8,Hypothèses!$G$8,IF(B174&lt;=Hypothèses!$C$9,Hypothèses!$G$9,IF(B174&lt;=Hypothèses!$C$10,Hypothèses!$G$10,IF(B174&lt;=Hypothèses!$C$11,Hypothèses!$G$11,IF(B174&lt;=Hypothèses!$C$12,Hypothèses!$G$12,IF(B174&lt;=Hypothèses!$C$13,Hypothèses!$G$13,IF(B174&lt;=Hypothèses!$C$14,Hypothèses!$G$14,IF(B174&lt;=Hypothèses!$C$15,Hypothèses!$G$15,IF(B174&lt;=Hypothèses!$C$16,Hypothèses!$G$16,IF(B174&lt;=Hypothèses!$C$17,Hypothèses!$G$17,IF(B174&lt;=Hypothèses!$C$18,Hypothèses!$G$18,E173))))))))))))</f>
        <v>#N/A</v>
      </c>
      <c r="F174" s="82" t="str">
        <f>IF(B174&lt;=Hypothèses!$C$7,Hypothèses!$F$7,IF(B174&lt;=Hypothèses!$C$8,Hypothèses!$F$8,IF(B174&lt;=Hypothèses!$C$9,Hypothèses!$F$9,IF(B174&lt;=Hypothèses!$C$10,Hypothèses!$F$10,IF(B174&lt;=Hypothèses!$C$11,Hypothèses!$F$11,IF(B174&lt;=Hypothèses!$C$12,Hypothèses!$F$12,IF(B174&lt;=Hypothèses!$C$13,Hypothèses!$F$13,IF(B174&lt;=Hypothèses!$C$14,Hypothèses!$F$14,IF(B174&lt;=Hypothèses!$C$15,Hypothèses!$F$15,IF(B174&lt;=Hypothèses!$C$16,Hypothèses!$F$16,IF(B174&lt;=Hypothèses!$C$17,Hypothèses!$F$17,IF(B174&lt;=Hypothèses!$C$18,Hypothèses!$F$18,F173))))))))))))</f>
        <v/>
      </c>
      <c r="G174" s="91">
        <f t="array" ref="G174">INDEX('Coeff EC7'!$U$7:$X$27,
MATCH(Model0.1C!$B$3,'Coeff EC7'!$T$7:$T$27,0),
MATCH(Model0.1C!$D174&amp;Model0.1C!$B$4,
'Coeff EC7'!$U$6:$X$6&amp;
'Coeff EC7'!$U$5:$X$5,0))</f>
        <v>1.1499999999999999</v>
      </c>
      <c r="H174" s="91">
        <f t="array" ref="H174">INDEX('Coeff EC7'!$Y$7:$AB$27,
MATCH(Model0.1C!$B$3,'Coeff EC7'!$T$7:$T$27,0),
MATCH(Model0.1C!$D174&amp;Model0.1C!$B$4,
'Coeff EC7'!$Y$6:$AB$6&amp;
'Coeff EC7'!$Y$5:$AB$5,0))</f>
        <v>1.4</v>
      </c>
      <c r="I174" s="83" t="e">
        <f>IF(B174&lt;=Hypothèses!$C$7,Hypothèses!$P$7,IF(B174&lt;=Hypothèses!$C$8,Hypothèses!$P$8,IF(B174&lt;=Hypothèses!$C$9,Hypothèses!$P$9,IF(B174&lt;=Hypothèses!$C$10,Hypothèses!$P$10,IF(B174&lt;=Hypothèses!$C$11,Hypothèses!$P$11,IF(B174&lt;=Hypothèses!$C$12,Hypothèses!$P$12,IF(B174&lt;=Hypothèses!$C$13,Hypothèses!$P$13,IF(B174&lt;=Hypothèses!$C$14,Hypothèses!$P$14,IF(B174&lt;=Hypothèses!$C$15,Hypothèses!$P$15,IF(B174&lt;=Hypothèses!$C$16,Hypothèses!$P$16,IF(B174&lt;=Hypothèses!$C$17,Hypothèses!$P$17,IF(B174&lt;=Hypothèses!$C$18,Hypothèses!$P$18,I173))))))))))))</f>
        <v>#N/A</v>
      </c>
      <c r="J174" s="91" t="e">
        <f t="array" ref="J174">INDEX('Coeff EC7'!$D$33:$Q$33,1,MATCH(D174&amp;E174,'Coeff EC7'!$D$31:$Q$31&amp;'Coeff EC7'!$D$32:$Q$32,0))</f>
        <v>#N/A</v>
      </c>
      <c r="K174" s="91" t="e">
        <f t="array" ref="K174">INDEX('Coeff EC7'!$D$34:$Q$34,1,MATCH(D174&amp;E174,'Coeff EC7'!$D$31:$Q$31&amp;'Coeff EC7'!$D$32:$Q$32,0))</f>
        <v>#N/A</v>
      </c>
      <c r="L174" s="91" t="e">
        <f t="array" ref="L174">INDEX('Coeff EC7'!$D$35:$Q$35,1,MATCH(D174&amp;E174,'Coeff EC7'!$D$31:$Q$31&amp;'Coeff EC7'!$D$32:$Q$32,0))</f>
        <v>#N/A</v>
      </c>
      <c r="M174" s="98" t="e">
        <f t="shared" si="231"/>
        <v>#N/A</v>
      </c>
      <c r="N174" s="99" t="e">
        <f t="array" ref="N174">INDEX('Coeff EC7'!$D$7:$Q$27,MATCH($B$3,'Coeff EC7'!$C$7:$C$27,0),MATCH(D174&amp;E174,'Coeff EC7'!$D$5:$Q$5&amp;'Coeff EC7'!$D$6:$Q$6,0))</f>
        <v>#N/A</v>
      </c>
      <c r="O174" s="99" t="e">
        <f t="array" ref="O174">INDEX('Coeff EC7'!$D$41:$Q$61,MATCH($B$3,'Coeff EC7'!$C$41:$C$61,0),MATCH(D174&amp;E174,'Coeff EC7'!$D$39:$Q$39&amp;'Coeff EC7'!$D$40:$Q$40,0))</f>
        <v>#N/A</v>
      </c>
      <c r="P174" s="30" t="e">
        <f t="shared" si="268"/>
        <v>#N/A</v>
      </c>
      <c r="Q174" s="100" t="e">
        <f t="shared" si="233"/>
        <v>#N/A</v>
      </c>
      <c r="R174" s="86" t="b">
        <f t="shared" si="234"/>
        <v>0</v>
      </c>
      <c r="S174" s="86">
        <f t="shared" si="232"/>
        <v>0.5</v>
      </c>
      <c r="T174" s="86">
        <f t="shared" si="235"/>
        <v>0.5</v>
      </c>
      <c r="U174" s="30" t="e">
        <f t="shared" ca="1" si="269"/>
        <v>#DIV/0!</v>
      </c>
      <c r="V174" s="85" t="str">
        <f>IF(B174&lt;=Hypothèses!$V$7,Hypothèses!$W$7,IF(B174&lt;=Hypothèses!$V$8,Hypothèses!$W$8,IF(B174&lt;=Hypothèses!$V$9,Hypothèses!$W$9,IF(B174&lt;=Hypothèses!$V$10,Hypothèses!$W$10,IF(B174&lt;=Hypothèses!$V$11,Hypothèses!$W$11,IF(B174&lt;=Hypothèses!$V$12,Hypothèses!$W$12,IF(B174&lt;=Hypothèses!$V$13,Hypothèses!$W$13,IF(B174&lt;=Hypothèses!$V$14,Hypothèses!$W$14,IF(B174&lt;=Hypothèses!$V$15,Hypothèses!$W$15,IF(B174&lt;=Hypothèses!$V$16,Hypothèses!$W$16,IF(B174&lt;=Hypothèses!$V$17,Hypothèses!$W$17,IF(B174&lt;=Hypothèses!$V$18,Hypothèses!$W$18,""))))))))))))</f>
        <v/>
      </c>
      <c r="W174" s="87" t="e">
        <f t="shared" ca="1" si="316"/>
        <v>#DIV/0!</v>
      </c>
      <c r="X174" s="88" t="str">
        <f>IF(B174&lt;=Hypothèses!$V$7,Hypothèses!$X$7,IF(B174&lt;=Hypothèses!$V$8,Hypothèses!$X$8,IF(B174&lt;=Hypothèses!$V$9,Hypothèses!$X$9,IF(B174&lt;=Hypothèses!$V$10,Hypothèses!$X$10,IF(B174&lt;=Hypothèses!$V$11,Hypothèses!$X$11,IF(B174&lt;=Hypothèses!$V$12,Hypothèses!$X$12,IF(B174&lt;=Hypothèses!$V$13,Hypothèses!$X$13,IF(B174&lt;=Hypothèses!$V$14,Hypothèses!$X$14,IF(B174&lt;=Hypothèses!$V$15,Hypothèses!$X$15,IF(B174&lt;=Hypothèses!$V$16,Hypothèses!$X$16,IF(B174&lt;=Hypothèses!$U$17,Hypothèses!$W$17,IF(B174&lt;=Hypothèses!$U$18,Hypothèses!$W$18,""))))))))))))</f>
        <v/>
      </c>
      <c r="Y174" s="95" t="e">
        <f t="shared" ca="1" si="236"/>
        <v>#DIV/0!</v>
      </c>
      <c r="Z174" s="101" t="e">
        <f t="shared" si="237"/>
        <v>#N/A</v>
      </c>
      <c r="AA174" s="91" t="e">
        <f t="shared" si="238"/>
        <v>#N/A</v>
      </c>
      <c r="AB174" s="30" t="e">
        <f t="shared" si="300"/>
        <v>#N/A</v>
      </c>
      <c r="AC174" s="30" t="e">
        <f t="shared" si="301"/>
        <v>#N/A</v>
      </c>
      <c r="AD174" s="31" t="e">
        <f>IF(OR(Hypothèses!$B$4=17,Hypothèses!$B$4=18,Hypothèses!$B$4=19,Hypothèses!$B$4=20),
IF($D174="Pressio.",
IF(OR($E174=3,$E174=1,$E174=4),AC174,AB174),
IF($D174="Pénétro.",
IF(OR($E174=3,$E174=1,$E174=4),AC174,AB174))),IF($D174="Pressio.",
IF($E174=3,AC174,AB174),
IF($D174="Pénétro.",
IF($E174=4,AC174,AB174))))</f>
        <v>#N/A</v>
      </c>
      <c r="AE174" s="31" t="e">
        <f>(IF(OR(Hypothèses!$B$4=17,Hypothèses!$B$4=18,Hypothèses!$B$4=19,Hypothèses!$B$4=20),
IF($D174="Pressio.",
IF(OR($E174=3,$E174=1,$E174=4),(PI()*AE$12^2)/4*(AA174*$W174*1000)/($H174*$B$5),(PI()*AE$12^2)/4*(AA174*$W174*1000)/($G174*$B$5)),
IF($D174="Pénétro.",
IF(OR($E174=4,$E174=1,$E174=5),(PI()*AE$12^2)/4*(AA174*$W174*1000)/($H174*$B$5),(PI()*AE$12^2)/4*(AA174*$W174*1000)/($G174*$B$5)))),
IF($D174="Pressio.",
IF($E174=3,(PI()*AE$12^2)/4*(AA174*$W174*1000)/($H174*$B$5),(PI()*AE$12^2)/4*(AA174*$W174*1000)/($G174*$B$5)),
IF($D174="Pénétro.",
IF($E174=4,(PI()*AE$12^2)/4*(AA174*$W174*1000)/($H174*$B$5),(PI()*AE$12^2)/4*(AA174*$W174*1000)/($G174*$B$5))))))/10</f>
        <v>#N/A</v>
      </c>
      <c r="AF174" s="102" t="e">
        <f>(VLOOKUP($B$3,'Coeff EC7'!$T$39:$X$59,2,0)*AD174+VLOOKUP($B$3,'Coeff EC7'!$T$65:$X$85,2,0)*Model0.1C!AE174)/1.1</f>
        <v>#N/A</v>
      </c>
      <c r="AG174" s="102" t="e">
        <f>(VLOOKUP($B$3,'Coeff EC7'!$T$39:$X$59,3,0)*AD174+VLOOKUP($B$3,'Coeff EC7'!$T$65:$X$85,3,0)*Model0.1C!AE174)/0.9</f>
        <v>#N/A</v>
      </c>
      <c r="AH174" s="102" t="e">
        <f t="shared" si="239"/>
        <v>#N/A</v>
      </c>
      <c r="AI174" s="102" t="e">
        <f t="shared" si="240"/>
        <v>#N/A</v>
      </c>
      <c r="AJ174" s="414" t="e">
        <f>IF(AJ173=0,0,IF(AND(AF174&gt;charge_ELS_quasi,AG174&gt;Charge_ELS_freq,AH174&gt;charge_ELU,AI174&gt;charge_ELA,$B174&gt;NDC!$H$22-0.1+MIN(3*$AJ$12,1.5)),0,1))</f>
        <v>#N/A</v>
      </c>
      <c r="AK174" s="86" t="b">
        <f t="shared" si="241"/>
        <v>0</v>
      </c>
      <c r="AL174" s="86">
        <f t="shared" si="270"/>
        <v>0.5</v>
      </c>
      <c r="AM174" s="86">
        <f t="shared" si="242"/>
        <v>0.5</v>
      </c>
      <c r="AN174" s="30" t="e">
        <f t="shared" ca="1" si="271"/>
        <v>#DIV/0!</v>
      </c>
      <c r="AO174" s="85" t="e">
        <f ca="1">IF(U174&lt;=Hypothèses!$V$7,Hypothèses!$W$7,IF(U174&lt;=Hypothèses!$V$8,Hypothèses!$W$8,IF(U174&lt;=Hypothèses!$V$9,Hypothèses!$W$9,IF(U174&lt;=Hypothèses!$V$10,Hypothèses!$W$10,IF(U174&lt;=Hypothèses!$V$11,Hypothèses!$W$11,IF(U174&lt;=Hypothèses!$V$12,Hypothèses!$W$12,IF(U174&lt;=Hypothèses!$V$13,Hypothèses!$W$13,IF(U174&lt;=Hypothèses!$V$14,Hypothèses!$W$14,IF(U174&lt;=Hypothèses!$V$15,Hypothèses!$W$15,IF(U174&lt;=Hypothèses!$V$16,Hypothèses!$W$16,IF(U174&lt;=Hypothèses!$V$17,Hypothèses!$W$17,IF(U174&lt;=Hypothèses!$V$18,Hypothèses!$W$18,""))))))))))))</f>
        <v>#DIV/0!</v>
      </c>
      <c r="AP174" s="87" t="e">
        <f t="shared" ca="1" si="317"/>
        <v>#DIV/0!</v>
      </c>
      <c r="AQ174" s="88" t="e">
        <f ca="1">IF(U174&lt;=Hypothèses!$V$7,Hypothèses!$X$7,IF(U174&lt;=Hypothèses!$V$8,Hypothèses!$X$8,IF(U174&lt;=Hypothèses!$V$9,Hypothèses!$X$9,IF(U174&lt;=Hypothèses!$V$10,Hypothèses!$X$10,IF(U174&lt;=Hypothèses!$V$11,Hypothèses!$X$11,IF(U174&lt;=Hypothèses!$V$12,Hypothèses!$X$12,IF(U174&lt;=Hypothèses!$V$13,Hypothèses!$X$13,IF(U174&lt;=Hypothèses!$V$14,Hypothèses!$X$14,IF(U174&lt;=Hypothèses!$V$15,Hypothèses!$X$15,IF(U174&lt;=Hypothèses!$V$16,Hypothèses!$X$16,IF(U174&lt;=Hypothèses!$U$17,Hypothèses!$W$17,IF(U174&lt;=Hypothèses!$U$18,Hypothèses!$W$18,""))))))))))))</f>
        <v>#DIV/0!</v>
      </c>
      <c r="AR174" s="95" t="e">
        <f t="shared" ca="1" si="272"/>
        <v>#DIV/0!</v>
      </c>
      <c r="AS174" s="101" t="e">
        <f t="shared" si="324"/>
        <v>#N/A</v>
      </c>
      <c r="AT174" s="91" t="e">
        <f t="shared" si="243"/>
        <v>#N/A</v>
      </c>
      <c r="AU174" s="30" t="e">
        <f t="shared" si="302"/>
        <v>#N/A</v>
      </c>
      <c r="AV174" s="30" t="e">
        <f t="shared" si="303"/>
        <v>#N/A</v>
      </c>
      <c r="AW174" s="31" t="e">
        <f>IF(OR(Hypothèses!$B$4=17,Hypothèses!$B$4=18,Hypothèses!$B$4=19,Hypothèses!$B$4=20),
IF($D174="Pressio.",
IF(OR($E174=3,$E174=1,$E174=4),AV174,AU174),
IF($D174="Pénétro.",
IF(OR($E174=3,$E174=1,$E174=4),AV174,AU174))),IF($D174="Pressio.",
IF($E174=3,AV174,AU174),
IF($D174="Pénétro.",
IF($E174=4,AV174,AU174))))</f>
        <v>#N/A</v>
      </c>
      <c r="AX174" s="31" t="e">
        <f>(IF(OR(Hypothèses!$B$4=17,Hypothèses!$B$4=18,Hypothèses!$B$4=19,Hypothèses!$B$4=20),
IF($D174="Pressio.",
IF(OR($E174=3,$E174=1,$E174=4),(PI()*AX$12^2)/4*(AT174*$W174*1000)/($H174*$B$5),(PI()*AX$12^2)/4*(AT174*$W174*1000)/($G174*$B$5)),
IF($D174="Pénétro.",
IF(OR($E174=4,$E174=1,$E174=5),(PI()*AX$12^2)/4*(AT174*$W174*1000)/($H174*$B$5),(PI()*AX$12^2)/4*(AT174*$W174*1000)/($G174*$B$5)))),
IF($D174="Pressio.",
IF($E174=3,(PI()*AX$12^2)/4*(AT174*$W174*1000)/($H174*$B$5),(PI()*AX$12^2)/4*(AT174*$W174*1000)/($G174*$B$5)),
IF($D174="Pénétro.",
IF($E174=4,(PI()*AX$12^2)/4*(AT174*$W174*1000)/($H174*$B$5),(PI()*AX$12^2)/4*(AT174*$W174*1000)/($G174*$B$5))))))/10</f>
        <v>#N/A</v>
      </c>
      <c r="AY174" s="102" t="e">
        <f>(VLOOKUP($B$3,'Coeff EC7'!$T$39:$X$59,2,0)*AW174+VLOOKUP($B$3,'Coeff EC7'!$T$65:$X$85,2,0)*Model0.1C!AX174)/1.1</f>
        <v>#N/A</v>
      </c>
      <c r="AZ174" s="102" t="e">
        <f>(VLOOKUP($B$3,'Coeff EC7'!$T$39:$X$59,3,0)*AW174+VLOOKUP($B$3,'Coeff EC7'!$T$65:$X$85,3,0)*Model0.1C!AX174)/0.9</f>
        <v>#N/A</v>
      </c>
      <c r="BA174" s="102" t="e">
        <f t="shared" si="273"/>
        <v>#N/A</v>
      </c>
      <c r="BB174" s="102" t="e">
        <f t="shared" si="274"/>
        <v>#N/A</v>
      </c>
      <c r="BC174" s="414" t="e">
        <f>IF(BC173=0,0,IF(AND(AY174&gt;charge_ELS_quasi,AZ174&gt;Charge_ELS_freq,BA174&gt;charge_ELU,BB174&gt;charge_ELA,$B174&gt;NDC!$H$22-0.1+MIN(3*$BC$12,1.5)),0,1))</f>
        <v>#N/A</v>
      </c>
      <c r="BD174" s="86" t="b">
        <f t="shared" si="244"/>
        <v>0</v>
      </c>
      <c r="BE174" s="86">
        <f t="shared" si="275"/>
        <v>0.5</v>
      </c>
      <c r="BF174" s="86">
        <f t="shared" si="245"/>
        <v>0.5</v>
      </c>
      <c r="BG174" s="30" t="e">
        <f t="shared" ca="1" si="276"/>
        <v>#DIV/0!</v>
      </c>
      <c r="BH174" s="85" t="e">
        <f ca="1">IF(AN174&lt;=Hypothèses!$V$7,Hypothèses!$W$7,IF(AN174&lt;=Hypothèses!$V$8,Hypothèses!$W$8,IF(AN174&lt;=Hypothèses!$V$9,Hypothèses!$W$9,IF(AN174&lt;=Hypothèses!$V$10,Hypothèses!$W$10,IF(AN174&lt;=Hypothèses!$V$11,Hypothèses!$W$11,IF(AN174&lt;=Hypothèses!$V$12,Hypothèses!$W$12,IF(AN174&lt;=Hypothèses!$V$13,Hypothèses!$W$13,IF(AN174&lt;=Hypothèses!$V$14,Hypothèses!$W$14,IF(AN174&lt;=Hypothèses!$V$15,Hypothèses!$W$15,IF(AN174&lt;=Hypothèses!$V$16,Hypothèses!$W$16,IF(AN174&lt;=Hypothèses!$V$17,Hypothèses!$W$17,IF(AN174&lt;=Hypothèses!$V$18,Hypothèses!$W$18,""))))))))))))</f>
        <v>#DIV/0!</v>
      </c>
      <c r="BI174" s="87" t="e">
        <f t="shared" ca="1" si="318"/>
        <v>#DIV/0!</v>
      </c>
      <c r="BJ174" s="88" t="e">
        <f ca="1">IF(AN174&lt;=Hypothèses!$V$7,Hypothèses!$X$7,IF(AN174&lt;=Hypothèses!$V$8,Hypothèses!$X$8,IF(AN174&lt;=Hypothèses!$V$9,Hypothèses!$X$9,IF(AN174&lt;=Hypothèses!$V$10,Hypothèses!$X$10,IF(AN174&lt;=Hypothèses!$V$11,Hypothèses!$X$11,IF(AN174&lt;=Hypothèses!$V$12,Hypothèses!$X$12,IF(AN174&lt;=Hypothèses!$V$13,Hypothèses!$X$13,IF(AN174&lt;=Hypothèses!$V$14,Hypothèses!$X$14,IF(AN174&lt;=Hypothèses!$V$15,Hypothèses!$X$15,IF(AN174&lt;=Hypothèses!$V$16,Hypothèses!$X$16,IF(AN174&lt;=Hypothèses!$U$17,Hypothèses!$W$17,IF(AN174&lt;=Hypothèses!$U$18,Hypothèses!$W$18,""))))))))))))</f>
        <v>#DIV/0!</v>
      </c>
      <c r="BK174" s="95" t="e">
        <f t="shared" ca="1" si="277"/>
        <v>#DIV/0!</v>
      </c>
      <c r="BL174" s="101" t="e">
        <f t="shared" si="325"/>
        <v>#N/A</v>
      </c>
      <c r="BM174" s="91" t="e">
        <f t="shared" si="246"/>
        <v>#N/A</v>
      </c>
      <c r="BN174" s="30" t="e">
        <f t="shared" si="304"/>
        <v>#N/A</v>
      </c>
      <c r="BO174" s="30" t="e">
        <f t="shared" si="305"/>
        <v>#N/A</v>
      </c>
      <c r="BP174" s="31" t="e">
        <f>IF(OR(Hypothèses!$B$4=17,Hypothèses!$B$4=18,Hypothèses!$B$4=19,Hypothèses!$B$4=20),
IF($D174="Pressio.",
IF(OR($E174=3,$E174=1,$E174=4),BO174,BN174),
IF($D174="Pénétro.",
IF(OR($E174=3,$E174=1,$E174=4),BO174,BN174))),IF($D174="Pressio.",
IF($E174=3,BO174,BN174),
IF($D174="Pénétro.",
IF($E174=4,BO174,BN174))))</f>
        <v>#N/A</v>
      </c>
      <c r="BQ174" s="31" t="e">
        <f>(IF(OR(Hypothèses!$B$4=17,Hypothèses!$B$4=18,Hypothèses!$B$4=19,Hypothèses!$B$4=20),
IF($D174="Pressio.",
IF(OR($E174=3,$E174=1,$E174=4),(PI()*BQ$12^2)/4*(BM174*$W174*1000)/($H174*$B$5),(PI()*BQ$12^2)/4*(BM174*$W174*1000)/($G174*$B$5)),
IF($D174="Pénétro.",
IF(OR($E174=4,$E174=1,$E174=5),(PI()*BQ$12^2)/4*(BM174*$W174*1000)/($H174*$B$5),(PI()*BQ$12^2)/4*(BM174*$W174*1000)/($G174*$B$5)))),
IF($D174="Pressio.",
IF($E174=3,(PI()*BQ$12^2)/4*(BM174*$W174*1000)/($H174*$B$5),(PI()*BQ$12^2)/4*(BM174*$W174*1000)/($G174*$B$5)),
IF($D174="Pénétro.",
IF($E174=4,(PI()*BQ$12^2)/4*(BM174*$W174*1000)/($H174*$B$5),(PI()*BQ$12^2)/4*(BM174*$W174*1000)/($G174*$B$5))))))/10</f>
        <v>#N/A</v>
      </c>
      <c r="BR174" s="102" t="e">
        <f>(VLOOKUP($B$3,'Coeff EC7'!$T$39:$X$59,2,0)*BP174+VLOOKUP($B$3,'Coeff EC7'!$T$65:$X$85,2,0)*Model0.1C!BQ174)/1.1</f>
        <v>#N/A</v>
      </c>
      <c r="BS174" s="102" t="e">
        <f>(VLOOKUP($B$3,'Coeff EC7'!$T$39:$X$59,3,0)*BP174+VLOOKUP($B$3,'Coeff EC7'!$T$65:$X$85,3,0)*Model0.1C!BQ174)/0.9</f>
        <v>#N/A</v>
      </c>
      <c r="BT174" s="102" t="e">
        <f t="shared" si="278"/>
        <v>#N/A</v>
      </c>
      <c r="BU174" s="102" t="e">
        <f t="shared" si="279"/>
        <v>#N/A</v>
      </c>
      <c r="BV174" s="414" t="e">
        <f>IF(BV173=0,0,IF(AND(BR174&gt;charge_ELS_quasi,BS174&gt;Charge_ELS_freq,BT174&gt;charge_ELU,BU174&gt;charge_ELA,$B174&gt;NDC!$H$22-0.1+MIN(3*$BV$12,1.5)),0,1))</f>
        <v>#N/A</v>
      </c>
      <c r="BW174" s="86" t="b">
        <f t="shared" si="247"/>
        <v>0</v>
      </c>
      <c r="BX174" s="86">
        <f t="shared" si="248"/>
        <v>0.5</v>
      </c>
      <c r="BY174" s="86">
        <f t="shared" si="249"/>
        <v>0.5</v>
      </c>
      <c r="BZ174" s="30" t="e">
        <f t="shared" ca="1" si="280"/>
        <v>#DIV/0!</v>
      </c>
      <c r="CA174" s="85" t="e">
        <f ca="1">IF(BG174&lt;=Hypothèses!$V$7,Hypothèses!$W$7,IF(BG174&lt;=Hypothèses!$V$8,Hypothèses!$W$8,IF(BG174&lt;=Hypothèses!$V$9,Hypothèses!$W$9,IF(BG174&lt;=Hypothèses!$V$10,Hypothèses!$W$10,IF(BG174&lt;=Hypothèses!$V$11,Hypothèses!$W$11,IF(BG174&lt;=Hypothèses!$V$12,Hypothèses!$W$12,IF(BG174&lt;=Hypothèses!$V$13,Hypothèses!$W$13,IF(BG174&lt;=Hypothèses!$V$14,Hypothèses!$W$14,IF(BG174&lt;=Hypothèses!$V$15,Hypothèses!$W$15,IF(BG174&lt;=Hypothèses!$V$16,Hypothèses!$W$16,IF(BG174&lt;=Hypothèses!$V$17,Hypothèses!$W$17,IF(BG174&lt;=Hypothèses!$V$18,Hypothèses!$W$18,""))))))))))))</f>
        <v>#DIV/0!</v>
      </c>
      <c r="CB174" s="87" t="e">
        <f t="shared" ca="1" si="319"/>
        <v>#DIV/0!</v>
      </c>
      <c r="CC174" s="88" t="e">
        <f ca="1">IF(BG174&lt;=Hypothèses!$V$7,Hypothèses!$X$7,IF(BG174&lt;=Hypothèses!$V$8,Hypothèses!$X$8,IF(BG174&lt;=Hypothèses!$V$9,Hypothèses!$X$9,IF(BG174&lt;=Hypothèses!$V$10,Hypothèses!$X$10,IF(BG174&lt;=Hypothèses!$V$11,Hypothèses!$X$11,IF(BG174&lt;=Hypothèses!$V$12,Hypothèses!$X$12,IF(BG174&lt;=Hypothèses!$V$13,Hypothèses!$X$13,IF(BG174&lt;=Hypothèses!$V$14,Hypothèses!$X$14,IF(BG174&lt;=Hypothèses!$V$15,Hypothèses!$X$15,IF(BG174&lt;=Hypothèses!$V$16,Hypothèses!$X$16,IF(BG174&lt;=Hypothèses!$U$17,Hypothèses!$W$17,IF(BG174&lt;=Hypothèses!$U$18,Hypothèses!$W$18,""))))))))))))</f>
        <v>#DIV/0!</v>
      </c>
      <c r="CD174" s="95" t="e">
        <f t="shared" ca="1" si="281"/>
        <v>#DIV/0!</v>
      </c>
      <c r="CE174" s="101" t="e">
        <f t="shared" si="326"/>
        <v>#N/A</v>
      </c>
      <c r="CF174" s="91" t="e">
        <f t="shared" si="250"/>
        <v>#N/A</v>
      </c>
      <c r="CG174" s="30" t="e">
        <f t="shared" si="306"/>
        <v>#N/A</v>
      </c>
      <c r="CH174" s="30" t="e">
        <f t="shared" si="307"/>
        <v>#N/A</v>
      </c>
      <c r="CI174" s="31" t="e">
        <f>IF(OR(Hypothèses!$B$4=17,Hypothèses!$B$4=18,Hypothèses!$B$4=19,Hypothèses!$B$4=20),
IF($D174="Pressio.",
IF(OR($E174=3,$E174=1,$E174=4),CH174,CG174),
IF($D174="Pénétro.",
IF(OR($E174=3,$E174=1,$E174=4),CH174,CG174))),IF($D174="Pressio.",
IF($E174=3,CH174,CG174),
IF($D174="Pénétro.",
IF($E174=4,CH174,CG174))))</f>
        <v>#N/A</v>
      </c>
      <c r="CJ174" s="31" t="e">
        <f>(IF(OR(Hypothèses!$B$4=17,Hypothèses!$B$4=18,Hypothèses!$B$4=19,Hypothèses!$B$4=20),
IF($D174="Pressio.",
IF(OR($E174=3,$E174=1,$E174=4),(PI()*CJ$12^2)/4*(CF174*$W174*1000)/($H174*$B$5),(PI()*CJ$12^2)/4*(CF174*$W174*1000)/($G174*$B$5)),
IF($D174="Pénétro.",
IF(OR($E174=4,$E174=1,$E174=5),(PI()*CJ$12^2)/4*(CF174*$W174*1000)/($H174*$B$5),(PI()*CJ$12^2)/4*(CF174*$W174*1000)/($G174*$B$5)))),
IF($D174="Pressio.",
IF($E174=3,(PI()*CJ$12^2)/4*(CF174*$W174*1000)/($H174*$B$5),(PI()*CJ$12^2)/4*(CF174*$W174*1000)/($G174*$B$5)),
IF($D174="Pénétro.",
IF($E174=4,(PI()*CJ$12^2)/4*(CF174*$W174*1000)/($H174*$B$5),(PI()*CJ$12^2)/4*(CF174*$W174*1000)/($G174*$B$5))))))/10</f>
        <v>#N/A</v>
      </c>
      <c r="CK174" s="102" t="e">
        <f>(VLOOKUP($B$3,'Coeff EC7'!$T$39:$X$59,2,0)*CI174+VLOOKUP($B$3,'Coeff EC7'!$T$65:$X$85,2,0)*Model0.1C!CJ174)/1.1</f>
        <v>#N/A</v>
      </c>
      <c r="CL174" s="102" t="e">
        <f>(VLOOKUP($B$3,'Coeff EC7'!$T$39:$X$59,3,0)*CI174+VLOOKUP($B$3,'Coeff EC7'!$T$65:$X$85,3,0)*Model0.1C!CJ174)/0.9</f>
        <v>#N/A</v>
      </c>
      <c r="CM174" s="102" t="e">
        <f t="shared" si="282"/>
        <v>#N/A</v>
      </c>
      <c r="CN174" s="102" t="e">
        <f t="shared" si="283"/>
        <v>#N/A</v>
      </c>
      <c r="CO174" s="414" t="e">
        <f>IF(CO173=0,0,IF(AND(CK174&gt;charge_ELS_quasi,CL174&gt;Charge_ELS_freq,CM174&gt;charge_ELU,CN174&gt;charge_ELA,$B174&gt;NDC!$H$22-0.1+MIN(3*$CO$12,1.5)),0,1))</f>
        <v>#N/A</v>
      </c>
      <c r="CP174" s="86" t="b">
        <f t="shared" si="251"/>
        <v>0</v>
      </c>
      <c r="CQ174" s="86">
        <f t="shared" si="252"/>
        <v>0.5</v>
      </c>
      <c r="CR174" s="86">
        <f t="shared" si="253"/>
        <v>0.5</v>
      </c>
      <c r="CS174" s="30" t="e">
        <f t="shared" ca="1" si="284"/>
        <v>#DIV/0!</v>
      </c>
      <c r="CT174" s="85" t="e">
        <f ca="1">IF(BZ174&lt;=Hypothèses!$V$7,Hypothèses!$W$7,IF(BZ174&lt;=Hypothèses!$V$8,Hypothèses!$W$8,IF(BZ174&lt;=Hypothèses!$V$9,Hypothèses!$W$9,IF(BZ174&lt;=Hypothèses!$V$10,Hypothèses!$W$10,IF(BZ174&lt;=Hypothèses!$V$11,Hypothèses!$W$11,IF(BZ174&lt;=Hypothèses!$V$12,Hypothèses!$W$12,IF(BZ174&lt;=Hypothèses!$V$13,Hypothèses!$W$13,IF(BZ174&lt;=Hypothèses!$V$14,Hypothèses!$W$14,IF(BZ174&lt;=Hypothèses!$V$15,Hypothèses!$W$15,IF(BZ174&lt;=Hypothèses!$V$16,Hypothèses!$W$16,IF(BZ174&lt;=Hypothèses!$V$17,Hypothèses!$W$17,IF(BZ174&lt;=Hypothèses!$V$18,Hypothèses!$W$18,""))))))))))))</f>
        <v>#DIV/0!</v>
      </c>
      <c r="CU174" s="87" t="e">
        <f t="shared" ca="1" si="320"/>
        <v>#DIV/0!</v>
      </c>
      <c r="CV174" s="88" t="e">
        <f ca="1">IF(BZ174&lt;=Hypothèses!$V$7,Hypothèses!$X$7,IF(BZ174&lt;=Hypothèses!$V$8,Hypothèses!$X$8,IF(BZ174&lt;=Hypothèses!$V$9,Hypothèses!$X$9,IF(BZ174&lt;=Hypothèses!$V$10,Hypothèses!$X$10,IF(BZ174&lt;=Hypothèses!$V$11,Hypothèses!$X$11,IF(BZ174&lt;=Hypothèses!$V$12,Hypothèses!$X$12,IF(BZ174&lt;=Hypothèses!$V$13,Hypothèses!$X$13,IF(BZ174&lt;=Hypothèses!$V$14,Hypothèses!$X$14,IF(BZ174&lt;=Hypothèses!$V$15,Hypothèses!$X$15,IF(BZ174&lt;=Hypothèses!$V$16,Hypothèses!$X$16,IF(BZ174&lt;=Hypothèses!$U$17,Hypothèses!$W$17,IF(BZ174&lt;=Hypothèses!$U$18,Hypothèses!$W$18,""))))))))))))</f>
        <v>#DIV/0!</v>
      </c>
      <c r="CW174" s="95" t="e">
        <f t="shared" ca="1" si="285"/>
        <v>#DIV/0!</v>
      </c>
      <c r="CX174" s="101" t="e">
        <f t="shared" si="327"/>
        <v>#N/A</v>
      </c>
      <c r="CY174" s="91" t="e">
        <f t="shared" si="254"/>
        <v>#N/A</v>
      </c>
      <c r="CZ174" s="30" t="e">
        <f t="shared" si="308"/>
        <v>#N/A</v>
      </c>
      <c r="DA174" s="30" t="e">
        <f t="shared" si="309"/>
        <v>#N/A</v>
      </c>
      <c r="DB174" s="31" t="e">
        <f>IF(OR(Hypothèses!$B$4=17,Hypothèses!$B$4=18,Hypothèses!$B$4=19,Hypothèses!$B$4=20),
IF($D174="Pressio.",
IF(OR($E174=3,$E174=1,$E174=4),DA174,CZ174),
IF($D174="Pénétro.",
IF(OR($E174=3,$E174=1,$E174=4),DA174,CZ174))),IF($D174="Pressio.",
IF($E174=3,DA174,CZ174),
IF($D174="Pénétro.",
IF($E174=4,DA174,CZ174))))</f>
        <v>#N/A</v>
      </c>
      <c r="DC174" s="31" t="e">
        <f>(IF(OR(Hypothèses!$B$4=17,Hypothèses!$B$4=18,Hypothèses!$B$4=19,Hypothèses!$B$4=20),
IF($D174="Pressio.",
IF(OR($E174=3,$E174=1,$E174=4),(PI()*DC$12^2)/4*(CY174*$W174*1000)/($H174*$B$5),(PI()*DC$12^2)/4*(CY174*$W174*1000)/($G174*$B$5)),
IF($D174="Pénétro.",
IF(OR($E174=4,$E174=1,$E174=5),(PI()*DC$12^2)/4*(CY174*$W174*1000)/($H174*$B$5),(PI()*DC$12^2)/4*(CY174*$W174*1000)/($G174*$B$5)))),
IF($D174="Pressio.",
IF($E174=3,(PI()*DC$12^2)/4*(CY174*$W174*1000)/($H174*$B$5),(PI()*DC$12^2)/4*(CY174*$W174*1000)/($G174*$B$5)),
IF($D174="Pénétro.",
IF($E174=4,(PI()*DC$12^2)/4*(CY174*$W174*1000)/($H174*$B$5),(PI()*DC$12^2)/4*(CY174*$W174*1000)/($G174*$B$5))))))/10</f>
        <v>#N/A</v>
      </c>
      <c r="DD174" s="102" t="e">
        <f>(VLOOKUP($B$3,'Coeff EC7'!$T$39:$X$59,2,0)*DB174+VLOOKUP($B$3,'Coeff EC7'!$T$65:$X$85,2,0)*Model0.1C!DC174)/1.1</f>
        <v>#N/A</v>
      </c>
      <c r="DE174" s="102" t="e">
        <f>(VLOOKUP($B$3,'Coeff EC7'!$T$39:$X$59,3,0)*DB174+VLOOKUP($B$3,'Coeff EC7'!$T$65:$X$85,3,0)*Model0.1C!DC174)/0.9</f>
        <v>#N/A</v>
      </c>
      <c r="DF174" s="102" t="e">
        <f t="shared" si="286"/>
        <v>#N/A</v>
      </c>
      <c r="DG174" s="102" t="e">
        <f t="shared" si="287"/>
        <v>#N/A</v>
      </c>
      <c r="DH174" s="414" t="e">
        <f>IF(DH173=0,0,IF(AND(DD174&gt;charge_ELS_quasi,DE174&gt;Charge_ELS_freq,DF174&gt;charge_ELU,DG174&gt;charge_ELA,$B174&gt;NDC!$H$22-0.1+MIN(3*$DH$12,1.5)),0,1))</f>
        <v>#N/A</v>
      </c>
      <c r="DI174" s="86" t="b">
        <f t="shared" si="255"/>
        <v>0</v>
      </c>
      <c r="DJ174" s="86">
        <f t="shared" si="256"/>
        <v>0.5</v>
      </c>
      <c r="DK174" s="86">
        <f t="shared" si="257"/>
        <v>0.5</v>
      </c>
      <c r="DL174" s="30" t="e">
        <f t="shared" ca="1" si="288"/>
        <v>#DIV/0!</v>
      </c>
      <c r="DM174" s="85" t="e">
        <f ca="1">IF(CS174&lt;=Hypothèses!$V$7,Hypothèses!$W$7,IF(CS174&lt;=Hypothèses!$V$8,Hypothèses!$W$8,IF(CS174&lt;=Hypothèses!$V$9,Hypothèses!$W$9,IF(CS174&lt;=Hypothèses!$V$10,Hypothèses!$W$10,IF(CS174&lt;=Hypothèses!$V$11,Hypothèses!$W$11,IF(CS174&lt;=Hypothèses!$V$12,Hypothèses!$W$12,IF(CS174&lt;=Hypothèses!$V$13,Hypothèses!$W$13,IF(CS174&lt;=Hypothèses!$V$14,Hypothèses!$W$14,IF(CS174&lt;=Hypothèses!$V$15,Hypothèses!$W$15,IF(CS174&lt;=Hypothèses!$V$16,Hypothèses!$W$16,IF(CS174&lt;=Hypothèses!$V$17,Hypothèses!$W$17,IF(CS174&lt;=Hypothèses!$V$18,Hypothèses!$W$18,""))))))))))))</f>
        <v>#DIV/0!</v>
      </c>
      <c r="DN174" s="87" t="e">
        <f t="shared" ca="1" si="321"/>
        <v>#DIV/0!</v>
      </c>
      <c r="DO174" s="88" t="e">
        <f ca="1">IF(CS174&lt;=Hypothèses!$V$7,Hypothèses!$X$7,IF(CS174&lt;=Hypothèses!$V$8,Hypothèses!$X$8,IF(CS174&lt;=Hypothèses!$V$9,Hypothèses!$X$9,IF(CS174&lt;=Hypothèses!$V$10,Hypothèses!$X$10,IF(CS174&lt;=Hypothèses!$V$11,Hypothèses!$X$11,IF(CS174&lt;=Hypothèses!$V$12,Hypothèses!$X$12,IF(CS174&lt;=Hypothèses!$V$13,Hypothèses!$X$13,IF(CS174&lt;=Hypothèses!$V$14,Hypothèses!$X$14,IF(CS174&lt;=Hypothèses!$V$15,Hypothèses!$X$15,IF(CS174&lt;=Hypothèses!$V$16,Hypothèses!$X$16,IF(CS174&lt;=Hypothèses!$U$17,Hypothèses!$W$17,IF(CS174&lt;=Hypothèses!$U$18,Hypothèses!$W$18,""))))))))))))</f>
        <v>#DIV/0!</v>
      </c>
      <c r="DP174" s="95" t="e">
        <f t="shared" ca="1" si="289"/>
        <v>#DIV/0!</v>
      </c>
      <c r="DQ174" s="101" t="e">
        <f t="shared" si="328"/>
        <v>#N/A</v>
      </c>
      <c r="DR174" s="91" t="e">
        <f t="shared" si="258"/>
        <v>#N/A</v>
      </c>
      <c r="DS174" s="30" t="e">
        <f t="shared" si="310"/>
        <v>#N/A</v>
      </c>
      <c r="DT174" s="30" t="e">
        <f t="shared" si="311"/>
        <v>#N/A</v>
      </c>
      <c r="DU174" s="31" t="e">
        <f>IF(OR(Hypothèses!$B$4=17,Hypothèses!$B$4=18,Hypothèses!$B$4=19,Hypothèses!$B$4=20),
IF($D174="Pressio.",
IF(OR($E174=3,$E174=1,$E174=4),DT174,DS174),
IF($D174="Pénétro.",
IF(OR($E174=3,$E174=1,$E174=4),DT174,DS174))),IF($D174="Pressio.",
IF($E174=3,DT174,DS174),
IF($D174="Pénétro.",
IF($E174=4,DT174,DS174))))</f>
        <v>#N/A</v>
      </c>
      <c r="DV174" s="31" t="e">
        <f>(IF(OR(Hypothèses!$B$4=17,Hypothèses!$B$4=18,Hypothèses!$B$4=19,Hypothèses!$B$4=20),
IF($D174="Pressio.",
IF(OR($E174=3,$E174=1,$E174=4),(PI()*DV$12^2)/4*(DR174*$W174*1000)/($H174*$B$5),(PI()*DV$12^2)/4*(DR174*$W174*1000)/($G174*$B$5)),
IF($D174="Pénétro.",
IF(OR($E174=4,$E174=1,$E174=5),(PI()*DV$12^2)/4*(DR174*$W174*1000)/($H174*$B$5),(PI()*DV$12^2)/4*(DR174*$W174*1000)/($G174*$B$5)))),
IF($D174="Pressio.",
IF($E174=3,(PI()*DV$12^2)/4*(DR174*$W174*1000)/($H174*$B$5),(PI()*DV$12^2)/4*(DR174*$W174*1000)/($G174*$B$5)),
IF($D174="Pénétro.",
IF($E174=4,(PI()*DV$12^2)/4*(DR174*$W174*1000)/($H174*$B$5),(PI()*DV$12^2)/4*(DR174*$W174*1000)/($G174*$B$5))))))/10</f>
        <v>#N/A</v>
      </c>
      <c r="DW174" s="102" t="e">
        <f>(VLOOKUP($B$3,'Coeff EC7'!$T$39:$X$59,2,0)*DU174+VLOOKUP($B$3,'Coeff EC7'!$T$65:$X$85,2,0)*Model0.1C!DV174)/1.1</f>
        <v>#N/A</v>
      </c>
      <c r="DX174" s="102" t="e">
        <f>(VLOOKUP($B$3,'Coeff EC7'!$T$39:$X$59,3,0)*DU174+VLOOKUP($B$3,'Coeff EC7'!$T$65:$X$85,3,0)*Model0.1C!DV174)/0.9</f>
        <v>#N/A</v>
      </c>
      <c r="DY174" s="102" t="e">
        <f t="shared" si="290"/>
        <v>#N/A</v>
      </c>
      <c r="DZ174" s="102" t="e">
        <f t="shared" si="291"/>
        <v>#N/A</v>
      </c>
      <c r="EA174" s="414" t="e">
        <f>IF(EA173=0,0,IF(AND(DW174&gt;charge_ELS_quasi,DX174&gt;Charge_ELS_freq,DY174&gt;charge_ELU,DZ174&gt;charge_ELA,$B174&gt;NDC!$H$22-0.1+MIN(3*$EA$12,1.5)),0,1))</f>
        <v>#N/A</v>
      </c>
      <c r="EB174" s="86" t="b">
        <f t="shared" si="259"/>
        <v>0</v>
      </c>
      <c r="EC174" s="418">
        <f t="shared" si="260"/>
        <v>0.51</v>
      </c>
      <c r="ED174" s="86">
        <f t="shared" si="261"/>
        <v>0.51</v>
      </c>
      <c r="EE174" s="30" t="e">
        <f t="shared" ca="1" si="292"/>
        <v>#DIV/0!</v>
      </c>
      <c r="EF174" s="85" t="e">
        <f ca="1">IF(DL174&lt;=Hypothèses!$V$7,Hypothèses!$W$7,IF(DL174&lt;=Hypothèses!$V$8,Hypothèses!$W$8,IF(DL174&lt;=Hypothèses!$V$9,Hypothèses!$W$9,IF(DL174&lt;=Hypothèses!$V$10,Hypothèses!$W$10,IF(DL174&lt;=Hypothèses!$V$11,Hypothèses!$W$11,IF(DL174&lt;=Hypothèses!$V$12,Hypothèses!$W$12,IF(DL174&lt;=Hypothèses!$V$13,Hypothèses!$W$13,IF(DL174&lt;=Hypothèses!$V$14,Hypothèses!$W$14,IF(DL174&lt;=Hypothèses!$V$15,Hypothèses!$W$15,IF(DL174&lt;=Hypothèses!$V$16,Hypothèses!$W$16,IF(DL174&lt;=Hypothèses!$V$17,Hypothèses!$W$17,IF(DL174&lt;=Hypothèses!$V$18,Hypothèses!$W$18,""))))))))))))</f>
        <v>#DIV/0!</v>
      </c>
      <c r="EG174" s="87" t="e">
        <f t="shared" ca="1" si="322"/>
        <v>#DIV/0!</v>
      </c>
      <c r="EH174" s="88" t="e">
        <f ca="1">IF(DL174&lt;=Hypothèses!$V$7,Hypothèses!$X$7,IF(DL174&lt;=Hypothèses!$V$8,Hypothèses!$X$8,IF(DL174&lt;=Hypothèses!$V$9,Hypothèses!$X$9,IF(DL174&lt;=Hypothèses!$V$10,Hypothèses!$X$10,IF(DL174&lt;=Hypothèses!$V$11,Hypothèses!$X$11,IF(DL174&lt;=Hypothèses!$V$12,Hypothèses!$X$12,IF(DL174&lt;=Hypothèses!$V$13,Hypothèses!$X$13,IF(DL174&lt;=Hypothèses!$V$14,Hypothèses!$X$14,IF(DL174&lt;=Hypothèses!$V$15,Hypothèses!$X$15,IF(DL174&lt;=Hypothèses!$V$16,Hypothèses!$X$16,IF(DL174&lt;=Hypothèses!$U$17,Hypothèses!$W$17,IF(DL174&lt;=Hypothèses!$U$18,Hypothèses!$W$18,""))))))))))))</f>
        <v>#DIV/0!</v>
      </c>
      <c r="EI174" s="95" t="e">
        <f t="shared" ca="1" si="293"/>
        <v>#DIV/0!</v>
      </c>
      <c r="EJ174" s="101" t="e">
        <f t="shared" si="329"/>
        <v>#N/A</v>
      </c>
      <c r="EK174" s="91" t="e">
        <f t="shared" si="262"/>
        <v>#N/A</v>
      </c>
      <c r="EL174" s="30" t="e">
        <f t="shared" si="312"/>
        <v>#N/A</v>
      </c>
      <c r="EM174" s="30" t="e">
        <f t="shared" si="313"/>
        <v>#N/A</v>
      </c>
      <c r="EN174" s="31" t="e">
        <f>IF(OR(Hypothèses!$B$4=17,Hypothèses!$B$4=18,Hypothèses!$B$4=19,Hypothèses!$B$4=20),
IF($D174="Pressio.",
IF(OR($E174=3,$E174=1,$E174=4),EM174,EL174),
IF($D174="Pénétro.",
IF(OR($E174=3,$E174=1,$E174=4),EM174,EL174))),IF($D174="Pressio.",
IF($E174=3,EM174,EL174),
IF($D174="Pénétro.",
IF($E174=4,EM174,EL174))))</f>
        <v>#N/A</v>
      </c>
      <c r="EO174" s="31" t="e">
        <f>(IF(OR(Hypothèses!$B$4=17,Hypothèses!$B$4=18,Hypothèses!$B$4=19,Hypothèses!$B$4=20),
IF($D174="Pressio.",
IF(OR($E174=3,$E174=1,$E174=4),(PI()*EO$12^2)/4*(EK174*$W174*1000)/($H174*$B$5),(PI()*EO$12^2)/4*(EK174*$W174*1000)/($G174*$B$5)),
IF($D174="Pénétro.",
IF(OR($E174=4,$E174=1,$E174=5),(PI()*EO$12^2)/4*(EK174*$W174*1000)/($H174*$B$5),(PI()*EO$12^2)/4*(EK174*$W174*1000)/($G174*$B$5)))),
IF($D174="Pressio.",
IF($E174=3,(PI()*EO$12^2)/4*(EK174*$W174*1000)/($H174*$B$5),(PI()*EO$12^2)/4*(EK174*$W174*1000)/($G174*$B$5)),
IF($D174="Pénétro.",
IF($E174=4,(PI()*EO$12^2)/4*(EK174*$W174*1000)/($H174*$B$5),(PI()*EO$12^2)/4*(EK174*$W174*1000)/($G174*$B$5))))))/10</f>
        <v>#N/A</v>
      </c>
      <c r="EP174" s="102" t="e">
        <f>(VLOOKUP($B$3,'Coeff EC7'!$T$39:$X$59,2,0)*EN174+VLOOKUP($B$3,'Coeff EC7'!$T$65:$X$85,2,0)*Model0.1C!EO174)/1.1</f>
        <v>#N/A</v>
      </c>
      <c r="EQ174" s="102" t="e">
        <f>(VLOOKUP($B$3,'Coeff EC7'!$T$39:$X$59,3,0)*EN174+VLOOKUP($B$3,'Coeff EC7'!$T$65:$X$85,3,0)*Model0.1C!EO174)/0.9</f>
        <v>#N/A</v>
      </c>
      <c r="ER174" s="102" t="e">
        <f t="shared" si="294"/>
        <v>#N/A</v>
      </c>
      <c r="ES174" s="102" t="e">
        <f t="shared" si="295"/>
        <v>#N/A</v>
      </c>
      <c r="ET174" s="414" t="e">
        <f>IF(ET173=0,0,IF(AND(EP174&gt;charge_ELS_quasi,EQ174&gt;Charge_ELS_freq,ER174&gt;charge_ELU,ES174&gt;charge_ELA,$B174&gt;NDC!$H$22-0.1+MIN(3*$ET$12,1.5)),0,1))</f>
        <v>#N/A</v>
      </c>
      <c r="EU174" s="86" t="b">
        <f t="shared" si="263"/>
        <v>0</v>
      </c>
      <c r="EV174" s="86">
        <f t="shared" si="264"/>
        <v>0.61</v>
      </c>
      <c r="EW174" s="86">
        <f t="shared" si="265"/>
        <v>0.61</v>
      </c>
      <c r="EX174" s="30" t="e">
        <f t="shared" ca="1" si="296"/>
        <v>#DIV/0!</v>
      </c>
      <c r="EY174" s="85" t="e">
        <f ca="1">IF(EE174&lt;=Hypothèses!$V$7,Hypothèses!$W$7,IF(EE174&lt;=Hypothèses!$V$8,Hypothèses!$W$8,IF(EE174&lt;=Hypothèses!$V$9,Hypothèses!$W$9,IF(EE174&lt;=Hypothèses!$V$10,Hypothèses!$W$10,IF(EE174&lt;=Hypothèses!$V$11,Hypothèses!$W$11,IF(EE174&lt;=Hypothèses!$V$12,Hypothèses!$W$12,IF(EE174&lt;=Hypothèses!$V$13,Hypothèses!$W$13,IF(EE174&lt;=Hypothèses!$V$14,Hypothèses!$W$14,IF(EE174&lt;=Hypothèses!$V$15,Hypothèses!$W$15,IF(EE174&lt;=Hypothèses!$V$16,Hypothèses!$W$16,IF(EE174&lt;=Hypothèses!$V$17,Hypothèses!$W$17,IF(EE174&lt;=Hypothèses!$V$18,Hypothèses!$W$18,""))))))))))))</f>
        <v>#DIV/0!</v>
      </c>
      <c r="EZ174" s="87" t="e">
        <f t="shared" ca="1" si="323"/>
        <v>#DIV/0!</v>
      </c>
      <c r="FA174" s="88" t="e">
        <f ca="1">IF(EE174&lt;=Hypothèses!$V$7,Hypothèses!$X$7,IF(EE174&lt;=Hypothèses!$V$8,Hypothèses!$X$8,IF(EE174&lt;=Hypothèses!$V$9,Hypothèses!$X$9,IF(EE174&lt;=Hypothèses!$V$10,Hypothèses!$X$10,IF(EE174&lt;=Hypothèses!$V$11,Hypothèses!$X$11,IF(EE174&lt;=Hypothèses!$V$12,Hypothèses!$X$12,IF(EE174&lt;=Hypothèses!$V$13,Hypothèses!$X$13,IF(EE174&lt;=Hypothèses!$V$14,Hypothèses!$X$14,IF(EE174&lt;=Hypothèses!$V$15,Hypothèses!$X$15,IF(EE174&lt;=Hypothèses!$V$16,Hypothèses!$X$16,IF(EE174&lt;=Hypothèses!$U$17,Hypothèses!$W$17,IF(EE174&lt;=Hypothèses!$U$18,Hypothèses!$W$18,""))))))))))))</f>
        <v>#DIV/0!</v>
      </c>
      <c r="FB174" s="95" t="e">
        <f t="shared" ca="1" si="297"/>
        <v>#DIV/0!</v>
      </c>
      <c r="FC174" s="101" t="e">
        <f t="shared" si="330"/>
        <v>#N/A</v>
      </c>
      <c r="FD174" s="91" t="e">
        <f t="shared" si="266"/>
        <v>#N/A</v>
      </c>
      <c r="FE174" s="30" t="e">
        <f t="shared" si="314"/>
        <v>#N/A</v>
      </c>
      <c r="FF174" s="30" t="e">
        <f t="shared" si="315"/>
        <v>#N/A</v>
      </c>
      <c r="FG174" s="31" t="e">
        <f>IF(OR(Hypothèses!$B$4=17,Hypothèses!$B$4=18,Hypothèses!$B$4=19,Hypothèses!$B$4=20),
IF($D174="Pressio.",
IF(OR($E174=3,$E174=1,$E174=4),FF174,FE174),
IF($D174="Pénétro.",
IF(OR($E174=3,$E174=1,$E174=4),FF174,FE174))),IF($D174="Pressio.",
IF($E174=3,FF174,FE174),
IF($D174="Pénétro.",
IF($E174=4,FF174,FE174))))</f>
        <v>#N/A</v>
      </c>
      <c r="FH174" s="31" t="e">
        <f>(IF(OR(Hypothèses!$B$4=17,Hypothèses!$B$4=18,Hypothèses!$B$4=19,Hypothèses!$B$4=20),
IF($D174="Pressio.",
IF(OR($E174=3,$E174=1,$E174=4),(PI()*FH$12^2)/4*(FD174*$W174*1000)/($H174*$B$5),(PI()*FH$12^2)/4*(FD174*$W174*1000)/($G174*$B$5)),
IF($D174="Pénétro.",
IF(OR($E174=4,$E174=1,$E174=5),(PI()*FH$12^2)/4*(FD174*$W174*1000)/($H174*$B$5),(PI()*FH$12^2)/4*(FD174*$W174*1000)/($G174*$B$5)))),
IF($D174="Pressio.",
IF($E174=3,(PI()*FH$12^2)/4*(FD174*$W174*1000)/($H174*$B$5),(PI()*FH$12^2)/4*(FD174*$W174*1000)/($G174*$B$5)),
IF($D174="Pénétro.",
IF($E174=4,(PI()*FH$12^2)/4*(FD174*$W174*1000)/($H174*$B$5),(PI()*FH$12^2)/4*(FD174*$W174*1000)/($G174*$B$5))))))/10</f>
        <v>#N/A</v>
      </c>
      <c r="FI174" s="102" t="e">
        <f>(VLOOKUP($B$3,'Coeff EC7'!$T$39:$X$59,2,0)*FG174+VLOOKUP($B$3,'Coeff EC7'!$T$65:$X$85,2,0)*Model0.1C!FH174)/1.1</f>
        <v>#N/A</v>
      </c>
      <c r="FJ174" s="102" t="e">
        <f>(VLOOKUP($B$3,'Coeff EC7'!$T$39:$X$59,3,0)*FG174+VLOOKUP($B$3,'Coeff EC7'!$T$65:$X$85,3,0)*Model0.1C!FH174)/0.9</f>
        <v>#N/A</v>
      </c>
      <c r="FK174" s="102" t="e">
        <f t="shared" si="298"/>
        <v>#N/A</v>
      </c>
      <c r="FL174" s="102" t="e">
        <f t="shared" si="299"/>
        <v>#N/A</v>
      </c>
      <c r="FM174" s="414" t="e">
        <f>IF(FM173=0,0,IF(AND(FI174&gt;charge_ELS_quasi,FJ174&gt;Charge_ELS_freq,FK174&gt;charge_ELU,FL174&gt;charge_ELA,$B174&gt;NDC!$H$22-0.1+MIN(3*$FM$12,1.5)),0,1))</f>
        <v>#N/A</v>
      </c>
    </row>
    <row r="175" spans="1:169">
      <c r="A175" s="96">
        <f t="shared" si="267"/>
        <v>83.800000000000921</v>
      </c>
      <c r="B175" s="97">
        <v>16.2</v>
      </c>
      <c r="C175" s="81">
        <f>IF(B175&lt;=Hypothèses!$C$7,Hypothèses!$A$7,IF(B175&lt;=Hypothèses!$C$8,Hypothèses!$A$8,IF(B175&lt;=Hypothèses!$C$9,Hypothèses!$A$9,IF(B175&lt;=Hypothèses!$C$10,Hypothèses!$A$10,IF(B175&lt;=Hypothèses!$C$11,Hypothèses!$A$11,IF(B175&lt;=Hypothèses!$C$12,Hypothèses!$A$12,IF(B175&lt;=Hypothèses!$C$13,Hypothèses!$A$13,IF(B175&lt;=Hypothèses!$C$14,Hypothèses!$A$14,IF(B175&lt;=Hypothèses!$C$15,Hypothèses!$A$15,IF(B175&lt;=Hypothèses!$C$16,Hypothèses!$A$16,IF(B175&lt;=Hypothèses!$C$17,Hypothèses!$A$17,IF(B175&lt;=Hypothèses!$C$18,Hypothèses!$A$18,C174))))))))))))</f>
        <v>11</v>
      </c>
      <c r="D175" s="82" t="str">
        <f>IF(B175&lt;=Hypothèses!$C$7,Hypothèses!$R$7,IF(B175&lt;=Hypothèses!$C$8,Hypothèses!$R$8,IF(B175&lt;=Hypothèses!$C$9,Hypothèses!$R$9,IF(B175&lt;=Hypothèses!$C$10,Hypothèses!$R$10,IF(B175&lt;=Hypothèses!$C$11,Hypothèses!$R$11,IF(B175&lt;=Hypothèses!$C$12,Hypothèses!$R$12,IF(B175&lt;=Hypothèses!$C$13,Hypothèses!$R$13,IF(B175&lt;=Hypothèses!$C$14,Hypothèses!$R$14,IF(B175&lt;=Hypothèses!$C$15,Hypothèses!$R$15,IF(B175&lt;=Hypothèses!$C$16,Hypothèses!$R$16,IF(B175&lt;=Hypothèses!$C$17,Hypothèses!$R$17,IF(B175&lt;=Hypothèses!$C$18,Hypothèses!$R$18,D174))))))))))))</f>
        <v>Pressio.</v>
      </c>
      <c r="E175" s="82" t="e">
        <f>IF(B175&lt;=Hypothèses!$C$7,Hypothèses!$G$7,IF(B175&lt;=Hypothèses!$C$8,Hypothèses!$G$8,IF(B175&lt;=Hypothèses!$C$9,Hypothèses!$G$9,IF(B175&lt;=Hypothèses!$C$10,Hypothèses!$G$10,IF(B175&lt;=Hypothèses!$C$11,Hypothèses!$G$11,IF(B175&lt;=Hypothèses!$C$12,Hypothèses!$G$12,IF(B175&lt;=Hypothèses!$C$13,Hypothèses!$G$13,IF(B175&lt;=Hypothèses!$C$14,Hypothèses!$G$14,IF(B175&lt;=Hypothèses!$C$15,Hypothèses!$G$15,IF(B175&lt;=Hypothèses!$C$16,Hypothèses!$G$16,IF(B175&lt;=Hypothèses!$C$17,Hypothèses!$G$17,IF(B175&lt;=Hypothèses!$C$18,Hypothèses!$G$18,E174))))))))))))</f>
        <v>#N/A</v>
      </c>
      <c r="F175" s="82" t="str">
        <f>IF(B175&lt;=Hypothèses!$C$7,Hypothèses!$F$7,IF(B175&lt;=Hypothèses!$C$8,Hypothèses!$F$8,IF(B175&lt;=Hypothèses!$C$9,Hypothèses!$F$9,IF(B175&lt;=Hypothèses!$C$10,Hypothèses!$F$10,IF(B175&lt;=Hypothèses!$C$11,Hypothèses!$F$11,IF(B175&lt;=Hypothèses!$C$12,Hypothèses!$F$12,IF(B175&lt;=Hypothèses!$C$13,Hypothèses!$F$13,IF(B175&lt;=Hypothèses!$C$14,Hypothèses!$F$14,IF(B175&lt;=Hypothèses!$C$15,Hypothèses!$F$15,IF(B175&lt;=Hypothèses!$C$16,Hypothèses!$F$16,IF(B175&lt;=Hypothèses!$C$17,Hypothèses!$F$17,IF(B175&lt;=Hypothèses!$C$18,Hypothèses!$F$18,F174))))))))))))</f>
        <v/>
      </c>
      <c r="G175" s="91">
        <f t="array" ref="G175">INDEX('Coeff EC7'!$U$7:$X$27,
MATCH(Model0.1C!$B$3,'Coeff EC7'!$T$7:$T$27,0),
MATCH(Model0.1C!$D175&amp;Model0.1C!$B$4,
'Coeff EC7'!$U$6:$X$6&amp;
'Coeff EC7'!$U$5:$X$5,0))</f>
        <v>1.1499999999999999</v>
      </c>
      <c r="H175" s="91">
        <f t="array" ref="H175">INDEX('Coeff EC7'!$Y$7:$AB$27,
MATCH(Model0.1C!$B$3,'Coeff EC7'!$T$7:$T$27,0),
MATCH(Model0.1C!$D175&amp;Model0.1C!$B$4,
'Coeff EC7'!$Y$6:$AB$6&amp;
'Coeff EC7'!$Y$5:$AB$5,0))</f>
        <v>1.4</v>
      </c>
      <c r="I175" s="83" t="e">
        <f>IF(B175&lt;=Hypothèses!$C$7,Hypothèses!$P$7,IF(B175&lt;=Hypothèses!$C$8,Hypothèses!$P$8,IF(B175&lt;=Hypothèses!$C$9,Hypothèses!$P$9,IF(B175&lt;=Hypothèses!$C$10,Hypothèses!$P$10,IF(B175&lt;=Hypothèses!$C$11,Hypothèses!$P$11,IF(B175&lt;=Hypothèses!$C$12,Hypothèses!$P$12,IF(B175&lt;=Hypothèses!$C$13,Hypothèses!$P$13,IF(B175&lt;=Hypothèses!$C$14,Hypothèses!$P$14,IF(B175&lt;=Hypothèses!$C$15,Hypothèses!$P$15,IF(B175&lt;=Hypothèses!$C$16,Hypothèses!$P$16,IF(B175&lt;=Hypothèses!$C$17,Hypothèses!$P$17,IF(B175&lt;=Hypothèses!$C$18,Hypothèses!$P$18,I174))))))))))))</f>
        <v>#N/A</v>
      </c>
      <c r="J175" s="91" t="e">
        <f t="array" ref="J175">INDEX('Coeff EC7'!$D$33:$Q$33,1,MATCH(D175&amp;E175,'Coeff EC7'!$D$31:$Q$31&amp;'Coeff EC7'!$D$32:$Q$32,0))</f>
        <v>#N/A</v>
      </c>
      <c r="K175" s="91" t="e">
        <f t="array" ref="K175">INDEX('Coeff EC7'!$D$34:$Q$34,1,MATCH(D175&amp;E175,'Coeff EC7'!$D$31:$Q$31&amp;'Coeff EC7'!$D$32:$Q$32,0))</f>
        <v>#N/A</v>
      </c>
      <c r="L175" s="91" t="e">
        <f t="array" ref="L175">INDEX('Coeff EC7'!$D$35:$Q$35,1,MATCH(D175&amp;E175,'Coeff EC7'!$D$31:$Q$31&amp;'Coeff EC7'!$D$32:$Q$32,0))</f>
        <v>#N/A</v>
      </c>
      <c r="M175" s="98" t="e">
        <f t="shared" si="231"/>
        <v>#N/A</v>
      </c>
      <c r="N175" s="99" t="e">
        <f t="array" ref="N175">INDEX('Coeff EC7'!$D$7:$Q$27,MATCH($B$3,'Coeff EC7'!$C$7:$C$27,0),MATCH(D175&amp;E175,'Coeff EC7'!$D$5:$Q$5&amp;'Coeff EC7'!$D$6:$Q$6,0))</f>
        <v>#N/A</v>
      </c>
      <c r="O175" s="99" t="e">
        <f t="array" ref="O175">INDEX('Coeff EC7'!$D$41:$Q$61,MATCH($B$3,'Coeff EC7'!$C$41:$C$61,0),MATCH(D175&amp;E175,'Coeff EC7'!$D$39:$Q$39&amp;'Coeff EC7'!$D$40:$Q$40,0))</f>
        <v>#N/A</v>
      </c>
      <c r="P175" s="30" t="e">
        <f t="shared" si="268"/>
        <v>#N/A</v>
      </c>
      <c r="Q175" s="100" t="e">
        <f t="shared" si="233"/>
        <v>#N/A</v>
      </c>
      <c r="R175" s="86" t="b">
        <f t="shared" si="234"/>
        <v>0</v>
      </c>
      <c r="S175" s="86">
        <f t="shared" si="232"/>
        <v>0.5</v>
      </c>
      <c r="T175" s="86">
        <f t="shared" si="235"/>
        <v>0.5</v>
      </c>
      <c r="U175" s="30" t="e">
        <f t="shared" ca="1" si="269"/>
        <v>#DIV/0!</v>
      </c>
      <c r="V175" s="85" t="str">
        <f>IF(B175&lt;=Hypothèses!$V$7,Hypothèses!$W$7,IF(B175&lt;=Hypothèses!$V$8,Hypothèses!$W$8,IF(B175&lt;=Hypothèses!$V$9,Hypothèses!$W$9,IF(B175&lt;=Hypothèses!$V$10,Hypothèses!$W$10,IF(B175&lt;=Hypothèses!$V$11,Hypothèses!$W$11,IF(B175&lt;=Hypothèses!$V$12,Hypothèses!$W$12,IF(B175&lt;=Hypothèses!$V$13,Hypothèses!$W$13,IF(B175&lt;=Hypothèses!$V$14,Hypothèses!$W$14,IF(B175&lt;=Hypothèses!$V$15,Hypothèses!$W$15,IF(B175&lt;=Hypothèses!$V$16,Hypothèses!$W$16,IF(B175&lt;=Hypothèses!$V$17,Hypothèses!$W$17,IF(B175&lt;=Hypothèses!$V$18,Hypothèses!$W$18,""))))))))))))</f>
        <v/>
      </c>
      <c r="W175" s="87" t="e">
        <f t="shared" ca="1" si="316"/>
        <v>#DIV/0!</v>
      </c>
      <c r="X175" s="88" t="str">
        <f>IF(B175&lt;=Hypothèses!$V$7,Hypothèses!$X$7,IF(B175&lt;=Hypothèses!$V$8,Hypothèses!$X$8,IF(B175&lt;=Hypothèses!$V$9,Hypothèses!$X$9,IF(B175&lt;=Hypothèses!$V$10,Hypothèses!$X$10,IF(B175&lt;=Hypothèses!$V$11,Hypothèses!$X$11,IF(B175&lt;=Hypothèses!$V$12,Hypothèses!$X$12,IF(B175&lt;=Hypothèses!$V$13,Hypothèses!$X$13,IF(B175&lt;=Hypothèses!$V$14,Hypothèses!$X$14,IF(B175&lt;=Hypothèses!$V$15,Hypothèses!$X$15,IF(B175&lt;=Hypothèses!$V$16,Hypothèses!$X$16,IF(B175&lt;=Hypothèses!$U$17,Hypothèses!$W$17,IF(B175&lt;=Hypothèses!$U$18,Hypothèses!$W$18,""))))))))))))</f>
        <v/>
      </c>
      <c r="Y175" s="95" t="e">
        <f t="shared" ca="1" si="236"/>
        <v>#DIV/0!</v>
      </c>
      <c r="Z175" s="101" t="e">
        <f t="shared" si="237"/>
        <v>#N/A</v>
      </c>
      <c r="AA175" s="91" t="e">
        <f t="shared" si="238"/>
        <v>#N/A</v>
      </c>
      <c r="AB175" s="30" t="e">
        <f t="shared" si="300"/>
        <v>#N/A</v>
      </c>
      <c r="AC175" s="30" t="e">
        <f t="shared" si="301"/>
        <v>#N/A</v>
      </c>
      <c r="AD175" s="31" t="e">
        <f>IF(OR(Hypothèses!$B$4=17,Hypothèses!$B$4=18,Hypothèses!$B$4=19,Hypothèses!$B$4=20),
IF($D175="Pressio.",
IF(OR($E175=3,$E175=1,$E175=4),AC175,AB175),
IF($D175="Pénétro.",
IF(OR($E175=3,$E175=1,$E175=4),AC175,AB175))),IF($D175="Pressio.",
IF($E175=3,AC175,AB175),
IF($D175="Pénétro.",
IF($E175=4,AC175,AB175))))</f>
        <v>#N/A</v>
      </c>
      <c r="AE175" s="31" t="e">
        <f>(IF(OR(Hypothèses!$B$4=17,Hypothèses!$B$4=18,Hypothèses!$B$4=19,Hypothèses!$B$4=20),
IF($D175="Pressio.",
IF(OR($E175=3,$E175=1,$E175=4),(PI()*AE$12^2)/4*(AA175*$W175*1000)/($H175*$B$5),(PI()*AE$12^2)/4*(AA175*$W175*1000)/($G175*$B$5)),
IF($D175="Pénétro.",
IF(OR($E175=4,$E175=1,$E175=5),(PI()*AE$12^2)/4*(AA175*$W175*1000)/($H175*$B$5),(PI()*AE$12^2)/4*(AA175*$W175*1000)/($G175*$B$5)))),
IF($D175="Pressio.",
IF($E175=3,(PI()*AE$12^2)/4*(AA175*$W175*1000)/($H175*$B$5),(PI()*AE$12^2)/4*(AA175*$W175*1000)/($G175*$B$5)),
IF($D175="Pénétro.",
IF($E175=4,(PI()*AE$12^2)/4*(AA175*$W175*1000)/($H175*$B$5),(PI()*AE$12^2)/4*(AA175*$W175*1000)/($G175*$B$5))))))/10</f>
        <v>#N/A</v>
      </c>
      <c r="AF175" s="102" t="e">
        <f>(VLOOKUP($B$3,'Coeff EC7'!$T$39:$X$59,2,0)*AD175+VLOOKUP($B$3,'Coeff EC7'!$T$65:$X$85,2,0)*Model0.1C!AE175)/1.1</f>
        <v>#N/A</v>
      </c>
      <c r="AG175" s="102" t="e">
        <f>(VLOOKUP($B$3,'Coeff EC7'!$T$39:$X$59,3,0)*AD175+VLOOKUP($B$3,'Coeff EC7'!$T$65:$X$85,3,0)*Model0.1C!AE175)/0.9</f>
        <v>#N/A</v>
      </c>
      <c r="AH175" s="102" t="e">
        <f t="shared" si="239"/>
        <v>#N/A</v>
      </c>
      <c r="AI175" s="102" t="e">
        <f t="shared" si="240"/>
        <v>#N/A</v>
      </c>
      <c r="AJ175" s="414" t="e">
        <f>IF(AJ174=0,0,IF(AND(AF175&gt;charge_ELS_quasi,AG175&gt;Charge_ELS_freq,AH175&gt;charge_ELU,AI175&gt;charge_ELA,$B175&gt;NDC!$H$22-0.1+MIN(3*$AJ$12,1.5)),0,1))</f>
        <v>#N/A</v>
      </c>
      <c r="AK175" s="86" t="b">
        <f t="shared" si="241"/>
        <v>0</v>
      </c>
      <c r="AL175" s="86">
        <f t="shared" si="270"/>
        <v>0.5</v>
      </c>
      <c r="AM175" s="86">
        <f t="shared" si="242"/>
        <v>0.5</v>
      </c>
      <c r="AN175" s="30" t="e">
        <f t="shared" ca="1" si="271"/>
        <v>#DIV/0!</v>
      </c>
      <c r="AO175" s="85" t="e">
        <f ca="1">IF(U175&lt;=Hypothèses!$V$7,Hypothèses!$W$7,IF(U175&lt;=Hypothèses!$V$8,Hypothèses!$W$8,IF(U175&lt;=Hypothèses!$V$9,Hypothèses!$W$9,IF(U175&lt;=Hypothèses!$V$10,Hypothèses!$W$10,IF(U175&lt;=Hypothèses!$V$11,Hypothèses!$W$11,IF(U175&lt;=Hypothèses!$V$12,Hypothèses!$W$12,IF(U175&lt;=Hypothèses!$V$13,Hypothèses!$W$13,IF(U175&lt;=Hypothèses!$V$14,Hypothèses!$W$14,IF(U175&lt;=Hypothèses!$V$15,Hypothèses!$W$15,IF(U175&lt;=Hypothèses!$V$16,Hypothèses!$W$16,IF(U175&lt;=Hypothèses!$V$17,Hypothèses!$W$17,IF(U175&lt;=Hypothèses!$V$18,Hypothèses!$W$18,""))))))))))))</f>
        <v>#DIV/0!</v>
      </c>
      <c r="AP175" s="87" t="e">
        <f t="shared" ca="1" si="317"/>
        <v>#DIV/0!</v>
      </c>
      <c r="AQ175" s="88" t="e">
        <f ca="1">IF(U175&lt;=Hypothèses!$V$7,Hypothèses!$X$7,IF(U175&lt;=Hypothèses!$V$8,Hypothèses!$X$8,IF(U175&lt;=Hypothèses!$V$9,Hypothèses!$X$9,IF(U175&lt;=Hypothèses!$V$10,Hypothèses!$X$10,IF(U175&lt;=Hypothèses!$V$11,Hypothèses!$X$11,IF(U175&lt;=Hypothèses!$V$12,Hypothèses!$X$12,IF(U175&lt;=Hypothèses!$V$13,Hypothèses!$X$13,IF(U175&lt;=Hypothèses!$V$14,Hypothèses!$X$14,IF(U175&lt;=Hypothèses!$V$15,Hypothèses!$X$15,IF(U175&lt;=Hypothèses!$V$16,Hypothèses!$X$16,IF(U175&lt;=Hypothèses!$U$17,Hypothèses!$W$17,IF(U175&lt;=Hypothèses!$U$18,Hypothèses!$W$18,""))))))))))))</f>
        <v>#DIV/0!</v>
      </c>
      <c r="AR175" s="95" t="e">
        <f t="shared" ca="1" si="272"/>
        <v>#DIV/0!</v>
      </c>
      <c r="AS175" s="101" t="e">
        <f t="shared" si="324"/>
        <v>#N/A</v>
      </c>
      <c r="AT175" s="91" t="e">
        <f t="shared" si="243"/>
        <v>#N/A</v>
      </c>
      <c r="AU175" s="30" t="e">
        <f t="shared" si="302"/>
        <v>#N/A</v>
      </c>
      <c r="AV175" s="30" t="e">
        <f t="shared" si="303"/>
        <v>#N/A</v>
      </c>
      <c r="AW175" s="31" t="e">
        <f>IF(OR(Hypothèses!$B$4=17,Hypothèses!$B$4=18,Hypothèses!$B$4=19,Hypothèses!$B$4=20),
IF($D175="Pressio.",
IF(OR($E175=3,$E175=1,$E175=4),AV175,AU175),
IF($D175="Pénétro.",
IF(OR($E175=3,$E175=1,$E175=4),AV175,AU175))),IF($D175="Pressio.",
IF($E175=3,AV175,AU175),
IF($D175="Pénétro.",
IF($E175=4,AV175,AU175))))</f>
        <v>#N/A</v>
      </c>
      <c r="AX175" s="31" t="e">
        <f>(IF(OR(Hypothèses!$B$4=17,Hypothèses!$B$4=18,Hypothèses!$B$4=19,Hypothèses!$B$4=20),
IF($D175="Pressio.",
IF(OR($E175=3,$E175=1,$E175=4),(PI()*AX$12^2)/4*(AT175*$W175*1000)/($H175*$B$5),(PI()*AX$12^2)/4*(AT175*$W175*1000)/($G175*$B$5)),
IF($D175="Pénétro.",
IF(OR($E175=4,$E175=1,$E175=5),(PI()*AX$12^2)/4*(AT175*$W175*1000)/($H175*$B$5),(PI()*AX$12^2)/4*(AT175*$W175*1000)/($G175*$B$5)))),
IF($D175="Pressio.",
IF($E175=3,(PI()*AX$12^2)/4*(AT175*$W175*1000)/($H175*$B$5),(PI()*AX$12^2)/4*(AT175*$W175*1000)/($G175*$B$5)),
IF($D175="Pénétro.",
IF($E175=4,(PI()*AX$12^2)/4*(AT175*$W175*1000)/($H175*$B$5),(PI()*AX$12^2)/4*(AT175*$W175*1000)/($G175*$B$5))))))/10</f>
        <v>#N/A</v>
      </c>
      <c r="AY175" s="102" t="e">
        <f>(VLOOKUP($B$3,'Coeff EC7'!$T$39:$X$59,2,0)*AW175+VLOOKUP($B$3,'Coeff EC7'!$T$65:$X$85,2,0)*Model0.1C!AX175)/1.1</f>
        <v>#N/A</v>
      </c>
      <c r="AZ175" s="102" t="e">
        <f>(VLOOKUP($B$3,'Coeff EC7'!$T$39:$X$59,3,0)*AW175+VLOOKUP($B$3,'Coeff EC7'!$T$65:$X$85,3,0)*Model0.1C!AX175)/0.9</f>
        <v>#N/A</v>
      </c>
      <c r="BA175" s="102" t="e">
        <f t="shared" si="273"/>
        <v>#N/A</v>
      </c>
      <c r="BB175" s="102" t="e">
        <f t="shared" si="274"/>
        <v>#N/A</v>
      </c>
      <c r="BC175" s="414" t="e">
        <f>IF(BC174=0,0,IF(AND(AY175&gt;charge_ELS_quasi,AZ175&gt;Charge_ELS_freq,BA175&gt;charge_ELU,BB175&gt;charge_ELA,$B175&gt;NDC!$H$22-0.1+MIN(3*$BC$12,1.5)),0,1))</f>
        <v>#N/A</v>
      </c>
      <c r="BD175" s="86" t="b">
        <f t="shared" si="244"/>
        <v>0</v>
      </c>
      <c r="BE175" s="86">
        <f t="shared" si="275"/>
        <v>0.5</v>
      </c>
      <c r="BF175" s="86">
        <f t="shared" si="245"/>
        <v>0.5</v>
      </c>
      <c r="BG175" s="30" t="e">
        <f t="shared" ca="1" si="276"/>
        <v>#DIV/0!</v>
      </c>
      <c r="BH175" s="85" t="e">
        <f ca="1">IF(AN175&lt;=Hypothèses!$V$7,Hypothèses!$W$7,IF(AN175&lt;=Hypothèses!$V$8,Hypothèses!$W$8,IF(AN175&lt;=Hypothèses!$V$9,Hypothèses!$W$9,IF(AN175&lt;=Hypothèses!$V$10,Hypothèses!$W$10,IF(AN175&lt;=Hypothèses!$V$11,Hypothèses!$W$11,IF(AN175&lt;=Hypothèses!$V$12,Hypothèses!$W$12,IF(AN175&lt;=Hypothèses!$V$13,Hypothèses!$W$13,IF(AN175&lt;=Hypothèses!$V$14,Hypothèses!$W$14,IF(AN175&lt;=Hypothèses!$V$15,Hypothèses!$W$15,IF(AN175&lt;=Hypothèses!$V$16,Hypothèses!$W$16,IF(AN175&lt;=Hypothèses!$V$17,Hypothèses!$W$17,IF(AN175&lt;=Hypothèses!$V$18,Hypothèses!$W$18,""))))))))))))</f>
        <v>#DIV/0!</v>
      </c>
      <c r="BI175" s="87" t="e">
        <f t="shared" ca="1" si="318"/>
        <v>#DIV/0!</v>
      </c>
      <c r="BJ175" s="88" t="e">
        <f ca="1">IF(AN175&lt;=Hypothèses!$V$7,Hypothèses!$X$7,IF(AN175&lt;=Hypothèses!$V$8,Hypothèses!$X$8,IF(AN175&lt;=Hypothèses!$V$9,Hypothèses!$X$9,IF(AN175&lt;=Hypothèses!$V$10,Hypothèses!$X$10,IF(AN175&lt;=Hypothèses!$V$11,Hypothèses!$X$11,IF(AN175&lt;=Hypothèses!$V$12,Hypothèses!$X$12,IF(AN175&lt;=Hypothèses!$V$13,Hypothèses!$X$13,IF(AN175&lt;=Hypothèses!$V$14,Hypothèses!$X$14,IF(AN175&lt;=Hypothèses!$V$15,Hypothèses!$X$15,IF(AN175&lt;=Hypothèses!$V$16,Hypothèses!$X$16,IF(AN175&lt;=Hypothèses!$U$17,Hypothèses!$W$17,IF(AN175&lt;=Hypothèses!$U$18,Hypothèses!$W$18,""))))))))))))</f>
        <v>#DIV/0!</v>
      </c>
      <c r="BK175" s="95" t="e">
        <f t="shared" ca="1" si="277"/>
        <v>#DIV/0!</v>
      </c>
      <c r="BL175" s="101" t="e">
        <f t="shared" si="325"/>
        <v>#N/A</v>
      </c>
      <c r="BM175" s="91" t="e">
        <f t="shared" si="246"/>
        <v>#N/A</v>
      </c>
      <c r="BN175" s="30" t="e">
        <f t="shared" si="304"/>
        <v>#N/A</v>
      </c>
      <c r="BO175" s="30" t="e">
        <f t="shared" si="305"/>
        <v>#N/A</v>
      </c>
      <c r="BP175" s="31" t="e">
        <f>IF(OR(Hypothèses!$B$4=17,Hypothèses!$B$4=18,Hypothèses!$B$4=19,Hypothèses!$B$4=20),
IF($D175="Pressio.",
IF(OR($E175=3,$E175=1,$E175=4),BO175,BN175),
IF($D175="Pénétro.",
IF(OR($E175=3,$E175=1,$E175=4),BO175,BN175))),IF($D175="Pressio.",
IF($E175=3,BO175,BN175),
IF($D175="Pénétro.",
IF($E175=4,BO175,BN175))))</f>
        <v>#N/A</v>
      </c>
      <c r="BQ175" s="31" t="e">
        <f>(IF(OR(Hypothèses!$B$4=17,Hypothèses!$B$4=18,Hypothèses!$B$4=19,Hypothèses!$B$4=20),
IF($D175="Pressio.",
IF(OR($E175=3,$E175=1,$E175=4),(PI()*BQ$12^2)/4*(BM175*$W175*1000)/($H175*$B$5),(PI()*BQ$12^2)/4*(BM175*$W175*1000)/($G175*$B$5)),
IF($D175="Pénétro.",
IF(OR($E175=4,$E175=1,$E175=5),(PI()*BQ$12^2)/4*(BM175*$W175*1000)/($H175*$B$5),(PI()*BQ$12^2)/4*(BM175*$W175*1000)/($G175*$B$5)))),
IF($D175="Pressio.",
IF($E175=3,(PI()*BQ$12^2)/4*(BM175*$W175*1000)/($H175*$B$5),(PI()*BQ$12^2)/4*(BM175*$W175*1000)/($G175*$B$5)),
IF($D175="Pénétro.",
IF($E175=4,(PI()*BQ$12^2)/4*(BM175*$W175*1000)/($H175*$B$5),(PI()*BQ$12^2)/4*(BM175*$W175*1000)/($G175*$B$5))))))/10</f>
        <v>#N/A</v>
      </c>
      <c r="BR175" s="102" t="e">
        <f>(VLOOKUP($B$3,'Coeff EC7'!$T$39:$X$59,2,0)*BP175+VLOOKUP($B$3,'Coeff EC7'!$T$65:$X$85,2,0)*Model0.1C!BQ175)/1.1</f>
        <v>#N/A</v>
      </c>
      <c r="BS175" s="102" t="e">
        <f>(VLOOKUP($B$3,'Coeff EC7'!$T$39:$X$59,3,0)*BP175+VLOOKUP($B$3,'Coeff EC7'!$T$65:$X$85,3,0)*Model0.1C!BQ175)/0.9</f>
        <v>#N/A</v>
      </c>
      <c r="BT175" s="102" t="e">
        <f t="shared" si="278"/>
        <v>#N/A</v>
      </c>
      <c r="BU175" s="102" t="e">
        <f t="shared" si="279"/>
        <v>#N/A</v>
      </c>
      <c r="BV175" s="414" t="e">
        <f>IF(BV174=0,0,IF(AND(BR175&gt;charge_ELS_quasi,BS175&gt;Charge_ELS_freq,BT175&gt;charge_ELU,BU175&gt;charge_ELA,$B175&gt;NDC!$H$22-0.1+MIN(3*$BV$12,1.5)),0,1))</f>
        <v>#N/A</v>
      </c>
      <c r="BW175" s="86" t="b">
        <f t="shared" si="247"/>
        <v>0</v>
      </c>
      <c r="BX175" s="86">
        <f t="shared" si="248"/>
        <v>0.5</v>
      </c>
      <c r="BY175" s="86">
        <f t="shared" si="249"/>
        <v>0.5</v>
      </c>
      <c r="BZ175" s="30" t="e">
        <f t="shared" ca="1" si="280"/>
        <v>#DIV/0!</v>
      </c>
      <c r="CA175" s="85" t="e">
        <f ca="1">IF(BG175&lt;=Hypothèses!$V$7,Hypothèses!$W$7,IF(BG175&lt;=Hypothèses!$V$8,Hypothèses!$W$8,IF(BG175&lt;=Hypothèses!$V$9,Hypothèses!$W$9,IF(BG175&lt;=Hypothèses!$V$10,Hypothèses!$W$10,IF(BG175&lt;=Hypothèses!$V$11,Hypothèses!$W$11,IF(BG175&lt;=Hypothèses!$V$12,Hypothèses!$W$12,IF(BG175&lt;=Hypothèses!$V$13,Hypothèses!$W$13,IF(BG175&lt;=Hypothèses!$V$14,Hypothèses!$W$14,IF(BG175&lt;=Hypothèses!$V$15,Hypothèses!$W$15,IF(BG175&lt;=Hypothèses!$V$16,Hypothèses!$W$16,IF(BG175&lt;=Hypothèses!$V$17,Hypothèses!$W$17,IF(BG175&lt;=Hypothèses!$V$18,Hypothèses!$W$18,""))))))))))))</f>
        <v>#DIV/0!</v>
      </c>
      <c r="CB175" s="87" t="e">
        <f t="shared" ca="1" si="319"/>
        <v>#DIV/0!</v>
      </c>
      <c r="CC175" s="88" t="e">
        <f ca="1">IF(BG175&lt;=Hypothèses!$V$7,Hypothèses!$X$7,IF(BG175&lt;=Hypothèses!$V$8,Hypothèses!$X$8,IF(BG175&lt;=Hypothèses!$V$9,Hypothèses!$X$9,IF(BG175&lt;=Hypothèses!$V$10,Hypothèses!$X$10,IF(BG175&lt;=Hypothèses!$V$11,Hypothèses!$X$11,IF(BG175&lt;=Hypothèses!$V$12,Hypothèses!$X$12,IF(BG175&lt;=Hypothèses!$V$13,Hypothèses!$X$13,IF(BG175&lt;=Hypothèses!$V$14,Hypothèses!$X$14,IF(BG175&lt;=Hypothèses!$V$15,Hypothèses!$X$15,IF(BG175&lt;=Hypothèses!$V$16,Hypothèses!$X$16,IF(BG175&lt;=Hypothèses!$U$17,Hypothèses!$W$17,IF(BG175&lt;=Hypothèses!$U$18,Hypothèses!$W$18,""))))))))))))</f>
        <v>#DIV/0!</v>
      </c>
      <c r="CD175" s="95" t="e">
        <f t="shared" ca="1" si="281"/>
        <v>#DIV/0!</v>
      </c>
      <c r="CE175" s="101" t="e">
        <f t="shared" si="326"/>
        <v>#N/A</v>
      </c>
      <c r="CF175" s="91" t="e">
        <f t="shared" si="250"/>
        <v>#N/A</v>
      </c>
      <c r="CG175" s="30" t="e">
        <f t="shared" si="306"/>
        <v>#N/A</v>
      </c>
      <c r="CH175" s="30" t="e">
        <f t="shared" si="307"/>
        <v>#N/A</v>
      </c>
      <c r="CI175" s="31" t="e">
        <f>IF(OR(Hypothèses!$B$4=17,Hypothèses!$B$4=18,Hypothèses!$B$4=19,Hypothèses!$B$4=20),
IF($D175="Pressio.",
IF(OR($E175=3,$E175=1,$E175=4),CH175,CG175),
IF($D175="Pénétro.",
IF(OR($E175=3,$E175=1,$E175=4),CH175,CG175))),IF($D175="Pressio.",
IF($E175=3,CH175,CG175),
IF($D175="Pénétro.",
IF($E175=4,CH175,CG175))))</f>
        <v>#N/A</v>
      </c>
      <c r="CJ175" s="31" t="e">
        <f>(IF(OR(Hypothèses!$B$4=17,Hypothèses!$B$4=18,Hypothèses!$B$4=19,Hypothèses!$B$4=20),
IF($D175="Pressio.",
IF(OR($E175=3,$E175=1,$E175=4),(PI()*CJ$12^2)/4*(CF175*$W175*1000)/($H175*$B$5),(PI()*CJ$12^2)/4*(CF175*$W175*1000)/($G175*$B$5)),
IF($D175="Pénétro.",
IF(OR($E175=4,$E175=1,$E175=5),(PI()*CJ$12^2)/4*(CF175*$W175*1000)/($H175*$B$5),(PI()*CJ$12^2)/4*(CF175*$W175*1000)/($G175*$B$5)))),
IF($D175="Pressio.",
IF($E175=3,(PI()*CJ$12^2)/4*(CF175*$W175*1000)/($H175*$B$5),(PI()*CJ$12^2)/4*(CF175*$W175*1000)/($G175*$B$5)),
IF($D175="Pénétro.",
IF($E175=4,(PI()*CJ$12^2)/4*(CF175*$W175*1000)/($H175*$B$5),(PI()*CJ$12^2)/4*(CF175*$W175*1000)/($G175*$B$5))))))/10</f>
        <v>#N/A</v>
      </c>
      <c r="CK175" s="102" t="e">
        <f>(VLOOKUP($B$3,'Coeff EC7'!$T$39:$X$59,2,0)*CI175+VLOOKUP($B$3,'Coeff EC7'!$T$65:$X$85,2,0)*Model0.1C!CJ175)/1.1</f>
        <v>#N/A</v>
      </c>
      <c r="CL175" s="102" t="e">
        <f>(VLOOKUP($B$3,'Coeff EC7'!$T$39:$X$59,3,0)*CI175+VLOOKUP($B$3,'Coeff EC7'!$T$65:$X$85,3,0)*Model0.1C!CJ175)/0.9</f>
        <v>#N/A</v>
      </c>
      <c r="CM175" s="102" t="e">
        <f t="shared" si="282"/>
        <v>#N/A</v>
      </c>
      <c r="CN175" s="102" t="e">
        <f t="shared" si="283"/>
        <v>#N/A</v>
      </c>
      <c r="CO175" s="414" t="e">
        <f>IF(CO174=0,0,IF(AND(CK175&gt;charge_ELS_quasi,CL175&gt;Charge_ELS_freq,CM175&gt;charge_ELU,CN175&gt;charge_ELA,$B175&gt;NDC!$H$22-0.1+MIN(3*$CO$12,1.5)),0,1))</f>
        <v>#N/A</v>
      </c>
      <c r="CP175" s="86" t="b">
        <f t="shared" si="251"/>
        <v>0</v>
      </c>
      <c r="CQ175" s="86">
        <f t="shared" si="252"/>
        <v>0.5</v>
      </c>
      <c r="CR175" s="86">
        <f t="shared" si="253"/>
        <v>0.5</v>
      </c>
      <c r="CS175" s="30" t="e">
        <f t="shared" ca="1" si="284"/>
        <v>#DIV/0!</v>
      </c>
      <c r="CT175" s="85" t="e">
        <f ca="1">IF(BZ175&lt;=Hypothèses!$V$7,Hypothèses!$W$7,IF(BZ175&lt;=Hypothèses!$V$8,Hypothèses!$W$8,IF(BZ175&lt;=Hypothèses!$V$9,Hypothèses!$W$9,IF(BZ175&lt;=Hypothèses!$V$10,Hypothèses!$W$10,IF(BZ175&lt;=Hypothèses!$V$11,Hypothèses!$W$11,IF(BZ175&lt;=Hypothèses!$V$12,Hypothèses!$W$12,IF(BZ175&lt;=Hypothèses!$V$13,Hypothèses!$W$13,IF(BZ175&lt;=Hypothèses!$V$14,Hypothèses!$W$14,IF(BZ175&lt;=Hypothèses!$V$15,Hypothèses!$W$15,IF(BZ175&lt;=Hypothèses!$V$16,Hypothèses!$W$16,IF(BZ175&lt;=Hypothèses!$V$17,Hypothèses!$W$17,IF(BZ175&lt;=Hypothèses!$V$18,Hypothèses!$W$18,""))))))))))))</f>
        <v>#DIV/0!</v>
      </c>
      <c r="CU175" s="87" t="e">
        <f t="shared" ca="1" si="320"/>
        <v>#DIV/0!</v>
      </c>
      <c r="CV175" s="88" t="e">
        <f ca="1">IF(BZ175&lt;=Hypothèses!$V$7,Hypothèses!$X$7,IF(BZ175&lt;=Hypothèses!$V$8,Hypothèses!$X$8,IF(BZ175&lt;=Hypothèses!$V$9,Hypothèses!$X$9,IF(BZ175&lt;=Hypothèses!$V$10,Hypothèses!$X$10,IF(BZ175&lt;=Hypothèses!$V$11,Hypothèses!$X$11,IF(BZ175&lt;=Hypothèses!$V$12,Hypothèses!$X$12,IF(BZ175&lt;=Hypothèses!$V$13,Hypothèses!$X$13,IF(BZ175&lt;=Hypothèses!$V$14,Hypothèses!$X$14,IF(BZ175&lt;=Hypothèses!$V$15,Hypothèses!$X$15,IF(BZ175&lt;=Hypothèses!$V$16,Hypothèses!$X$16,IF(BZ175&lt;=Hypothèses!$U$17,Hypothèses!$W$17,IF(BZ175&lt;=Hypothèses!$U$18,Hypothèses!$W$18,""))))))))))))</f>
        <v>#DIV/0!</v>
      </c>
      <c r="CW175" s="95" t="e">
        <f t="shared" ca="1" si="285"/>
        <v>#DIV/0!</v>
      </c>
      <c r="CX175" s="101" t="e">
        <f t="shared" si="327"/>
        <v>#N/A</v>
      </c>
      <c r="CY175" s="91" t="e">
        <f t="shared" si="254"/>
        <v>#N/A</v>
      </c>
      <c r="CZ175" s="30" t="e">
        <f t="shared" si="308"/>
        <v>#N/A</v>
      </c>
      <c r="DA175" s="30" t="e">
        <f t="shared" si="309"/>
        <v>#N/A</v>
      </c>
      <c r="DB175" s="31" t="e">
        <f>IF(OR(Hypothèses!$B$4=17,Hypothèses!$B$4=18,Hypothèses!$B$4=19,Hypothèses!$B$4=20),
IF($D175="Pressio.",
IF(OR($E175=3,$E175=1,$E175=4),DA175,CZ175),
IF($D175="Pénétro.",
IF(OR($E175=3,$E175=1,$E175=4),DA175,CZ175))),IF($D175="Pressio.",
IF($E175=3,DA175,CZ175),
IF($D175="Pénétro.",
IF($E175=4,DA175,CZ175))))</f>
        <v>#N/A</v>
      </c>
      <c r="DC175" s="31" t="e">
        <f>(IF(OR(Hypothèses!$B$4=17,Hypothèses!$B$4=18,Hypothèses!$B$4=19,Hypothèses!$B$4=20),
IF($D175="Pressio.",
IF(OR($E175=3,$E175=1,$E175=4),(PI()*DC$12^2)/4*(CY175*$W175*1000)/($H175*$B$5),(PI()*DC$12^2)/4*(CY175*$W175*1000)/($G175*$B$5)),
IF($D175="Pénétro.",
IF(OR($E175=4,$E175=1,$E175=5),(PI()*DC$12^2)/4*(CY175*$W175*1000)/($H175*$B$5),(PI()*DC$12^2)/4*(CY175*$W175*1000)/($G175*$B$5)))),
IF($D175="Pressio.",
IF($E175=3,(PI()*DC$12^2)/4*(CY175*$W175*1000)/($H175*$B$5),(PI()*DC$12^2)/4*(CY175*$W175*1000)/($G175*$B$5)),
IF($D175="Pénétro.",
IF($E175=4,(PI()*DC$12^2)/4*(CY175*$W175*1000)/($H175*$B$5),(PI()*DC$12^2)/4*(CY175*$W175*1000)/($G175*$B$5))))))/10</f>
        <v>#N/A</v>
      </c>
      <c r="DD175" s="102" t="e">
        <f>(VLOOKUP($B$3,'Coeff EC7'!$T$39:$X$59,2,0)*DB175+VLOOKUP($B$3,'Coeff EC7'!$T$65:$X$85,2,0)*Model0.1C!DC175)/1.1</f>
        <v>#N/A</v>
      </c>
      <c r="DE175" s="102" t="e">
        <f>(VLOOKUP($B$3,'Coeff EC7'!$T$39:$X$59,3,0)*DB175+VLOOKUP($B$3,'Coeff EC7'!$T$65:$X$85,3,0)*Model0.1C!DC175)/0.9</f>
        <v>#N/A</v>
      </c>
      <c r="DF175" s="102" t="e">
        <f t="shared" si="286"/>
        <v>#N/A</v>
      </c>
      <c r="DG175" s="102" t="e">
        <f t="shared" si="287"/>
        <v>#N/A</v>
      </c>
      <c r="DH175" s="414" t="e">
        <f>IF(DH174=0,0,IF(AND(DD175&gt;charge_ELS_quasi,DE175&gt;Charge_ELS_freq,DF175&gt;charge_ELU,DG175&gt;charge_ELA,$B175&gt;NDC!$H$22-0.1+MIN(3*$DH$12,1.5)),0,1))</f>
        <v>#N/A</v>
      </c>
      <c r="DI175" s="86" t="b">
        <f t="shared" si="255"/>
        <v>0</v>
      </c>
      <c r="DJ175" s="86">
        <f t="shared" si="256"/>
        <v>0.5</v>
      </c>
      <c r="DK175" s="86">
        <f t="shared" si="257"/>
        <v>0.5</v>
      </c>
      <c r="DL175" s="30" t="e">
        <f t="shared" ca="1" si="288"/>
        <v>#DIV/0!</v>
      </c>
      <c r="DM175" s="85" t="e">
        <f ca="1">IF(CS175&lt;=Hypothèses!$V$7,Hypothèses!$W$7,IF(CS175&lt;=Hypothèses!$V$8,Hypothèses!$W$8,IF(CS175&lt;=Hypothèses!$V$9,Hypothèses!$W$9,IF(CS175&lt;=Hypothèses!$V$10,Hypothèses!$W$10,IF(CS175&lt;=Hypothèses!$V$11,Hypothèses!$W$11,IF(CS175&lt;=Hypothèses!$V$12,Hypothèses!$W$12,IF(CS175&lt;=Hypothèses!$V$13,Hypothèses!$W$13,IF(CS175&lt;=Hypothèses!$V$14,Hypothèses!$W$14,IF(CS175&lt;=Hypothèses!$V$15,Hypothèses!$W$15,IF(CS175&lt;=Hypothèses!$V$16,Hypothèses!$W$16,IF(CS175&lt;=Hypothèses!$V$17,Hypothèses!$W$17,IF(CS175&lt;=Hypothèses!$V$18,Hypothèses!$W$18,""))))))))))))</f>
        <v>#DIV/0!</v>
      </c>
      <c r="DN175" s="87" t="e">
        <f t="shared" ca="1" si="321"/>
        <v>#DIV/0!</v>
      </c>
      <c r="DO175" s="88" t="e">
        <f ca="1">IF(CS175&lt;=Hypothèses!$V$7,Hypothèses!$X$7,IF(CS175&lt;=Hypothèses!$V$8,Hypothèses!$X$8,IF(CS175&lt;=Hypothèses!$V$9,Hypothèses!$X$9,IF(CS175&lt;=Hypothèses!$V$10,Hypothèses!$X$10,IF(CS175&lt;=Hypothèses!$V$11,Hypothèses!$X$11,IF(CS175&lt;=Hypothèses!$V$12,Hypothèses!$X$12,IF(CS175&lt;=Hypothèses!$V$13,Hypothèses!$X$13,IF(CS175&lt;=Hypothèses!$V$14,Hypothèses!$X$14,IF(CS175&lt;=Hypothèses!$V$15,Hypothèses!$X$15,IF(CS175&lt;=Hypothèses!$V$16,Hypothèses!$X$16,IF(CS175&lt;=Hypothèses!$U$17,Hypothèses!$W$17,IF(CS175&lt;=Hypothèses!$U$18,Hypothèses!$W$18,""))))))))))))</f>
        <v>#DIV/0!</v>
      </c>
      <c r="DP175" s="95" t="e">
        <f t="shared" ca="1" si="289"/>
        <v>#DIV/0!</v>
      </c>
      <c r="DQ175" s="101" t="e">
        <f t="shared" si="328"/>
        <v>#N/A</v>
      </c>
      <c r="DR175" s="91" t="e">
        <f t="shared" si="258"/>
        <v>#N/A</v>
      </c>
      <c r="DS175" s="30" t="e">
        <f t="shared" si="310"/>
        <v>#N/A</v>
      </c>
      <c r="DT175" s="30" t="e">
        <f t="shared" si="311"/>
        <v>#N/A</v>
      </c>
      <c r="DU175" s="31" t="e">
        <f>IF(OR(Hypothèses!$B$4=17,Hypothèses!$B$4=18,Hypothèses!$B$4=19,Hypothèses!$B$4=20),
IF($D175="Pressio.",
IF(OR($E175=3,$E175=1,$E175=4),DT175,DS175),
IF($D175="Pénétro.",
IF(OR($E175=3,$E175=1,$E175=4),DT175,DS175))),IF($D175="Pressio.",
IF($E175=3,DT175,DS175),
IF($D175="Pénétro.",
IF($E175=4,DT175,DS175))))</f>
        <v>#N/A</v>
      </c>
      <c r="DV175" s="31" t="e">
        <f>(IF(OR(Hypothèses!$B$4=17,Hypothèses!$B$4=18,Hypothèses!$B$4=19,Hypothèses!$B$4=20),
IF($D175="Pressio.",
IF(OR($E175=3,$E175=1,$E175=4),(PI()*DV$12^2)/4*(DR175*$W175*1000)/($H175*$B$5),(PI()*DV$12^2)/4*(DR175*$W175*1000)/($G175*$B$5)),
IF($D175="Pénétro.",
IF(OR($E175=4,$E175=1,$E175=5),(PI()*DV$12^2)/4*(DR175*$W175*1000)/($H175*$B$5),(PI()*DV$12^2)/4*(DR175*$W175*1000)/($G175*$B$5)))),
IF($D175="Pressio.",
IF($E175=3,(PI()*DV$12^2)/4*(DR175*$W175*1000)/($H175*$B$5),(PI()*DV$12^2)/4*(DR175*$W175*1000)/($G175*$B$5)),
IF($D175="Pénétro.",
IF($E175=4,(PI()*DV$12^2)/4*(DR175*$W175*1000)/($H175*$B$5),(PI()*DV$12^2)/4*(DR175*$W175*1000)/($G175*$B$5))))))/10</f>
        <v>#N/A</v>
      </c>
      <c r="DW175" s="102" t="e">
        <f>(VLOOKUP($B$3,'Coeff EC7'!$T$39:$X$59,2,0)*DU175+VLOOKUP($B$3,'Coeff EC7'!$T$65:$X$85,2,0)*Model0.1C!DV175)/1.1</f>
        <v>#N/A</v>
      </c>
      <c r="DX175" s="102" t="e">
        <f>(VLOOKUP($B$3,'Coeff EC7'!$T$39:$X$59,3,0)*DU175+VLOOKUP($B$3,'Coeff EC7'!$T$65:$X$85,3,0)*Model0.1C!DV175)/0.9</f>
        <v>#N/A</v>
      </c>
      <c r="DY175" s="102" t="e">
        <f t="shared" si="290"/>
        <v>#N/A</v>
      </c>
      <c r="DZ175" s="102" t="e">
        <f t="shared" si="291"/>
        <v>#N/A</v>
      </c>
      <c r="EA175" s="414" t="e">
        <f>IF(EA174=0,0,IF(AND(DW175&gt;charge_ELS_quasi,DX175&gt;Charge_ELS_freq,DY175&gt;charge_ELU,DZ175&gt;charge_ELA,$B175&gt;NDC!$H$22-0.1+MIN(3*$EA$12,1.5)),0,1))</f>
        <v>#N/A</v>
      </c>
      <c r="EB175" s="86" t="b">
        <f t="shared" si="259"/>
        <v>0</v>
      </c>
      <c r="EC175" s="418">
        <f t="shared" si="260"/>
        <v>0.51</v>
      </c>
      <c r="ED175" s="86">
        <f t="shared" si="261"/>
        <v>0.51</v>
      </c>
      <c r="EE175" s="30" t="e">
        <f t="shared" ca="1" si="292"/>
        <v>#DIV/0!</v>
      </c>
      <c r="EF175" s="85" t="e">
        <f ca="1">IF(DL175&lt;=Hypothèses!$V$7,Hypothèses!$W$7,IF(DL175&lt;=Hypothèses!$V$8,Hypothèses!$W$8,IF(DL175&lt;=Hypothèses!$V$9,Hypothèses!$W$9,IF(DL175&lt;=Hypothèses!$V$10,Hypothèses!$W$10,IF(DL175&lt;=Hypothèses!$V$11,Hypothèses!$W$11,IF(DL175&lt;=Hypothèses!$V$12,Hypothèses!$W$12,IF(DL175&lt;=Hypothèses!$V$13,Hypothèses!$W$13,IF(DL175&lt;=Hypothèses!$V$14,Hypothèses!$W$14,IF(DL175&lt;=Hypothèses!$V$15,Hypothèses!$W$15,IF(DL175&lt;=Hypothèses!$V$16,Hypothèses!$W$16,IF(DL175&lt;=Hypothèses!$V$17,Hypothèses!$W$17,IF(DL175&lt;=Hypothèses!$V$18,Hypothèses!$W$18,""))))))))))))</f>
        <v>#DIV/0!</v>
      </c>
      <c r="EG175" s="87" t="e">
        <f t="shared" ca="1" si="322"/>
        <v>#DIV/0!</v>
      </c>
      <c r="EH175" s="88" t="e">
        <f ca="1">IF(DL175&lt;=Hypothèses!$V$7,Hypothèses!$X$7,IF(DL175&lt;=Hypothèses!$V$8,Hypothèses!$X$8,IF(DL175&lt;=Hypothèses!$V$9,Hypothèses!$X$9,IF(DL175&lt;=Hypothèses!$V$10,Hypothèses!$X$10,IF(DL175&lt;=Hypothèses!$V$11,Hypothèses!$X$11,IF(DL175&lt;=Hypothèses!$V$12,Hypothèses!$X$12,IF(DL175&lt;=Hypothèses!$V$13,Hypothèses!$X$13,IF(DL175&lt;=Hypothèses!$V$14,Hypothèses!$X$14,IF(DL175&lt;=Hypothèses!$V$15,Hypothèses!$X$15,IF(DL175&lt;=Hypothèses!$V$16,Hypothèses!$X$16,IF(DL175&lt;=Hypothèses!$U$17,Hypothèses!$W$17,IF(DL175&lt;=Hypothèses!$U$18,Hypothèses!$W$18,""))))))))))))</f>
        <v>#DIV/0!</v>
      </c>
      <c r="EI175" s="95" t="e">
        <f t="shared" ca="1" si="293"/>
        <v>#DIV/0!</v>
      </c>
      <c r="EJ175" s="101" t="e">
        <f t="shared" si="329"/>
        <v>#N/A</v>
      </c>
      <c r="EK175" s="91" t="e">
        <f t="shared" si="262"/>
        <v>#N/A</v>
      </c>
      <c r="EL175" s="30" t="e">
        <f t="shared" si="312"/>
        <v>#N/A</v>
      </c>
      <c r="EM175" s="30" t="e">
        <f t="shared" si="313"/>
        <v>#N/A</v>
      </c>
      <c r="EN175" s="31" t="e">
        <f>IF(OR(Hypothèses!$B$4=17,Hypothèses!$B$4=18,Hypothèses!$B$4=19,Hypothèses!$B$4=20),
IF($D175="Pressio.",
IF(OR($E175=3,$E175=1,$E175=4),EM175,EL175),
IF($D175="Pénétro.",
IF(OR($E175=3,$E175=1,$E175=4),EM175,EL175))),IF($D175="Pressio.",
IF($E175=3,EM175,EL175),
IF($D175="Pénétro.",
IF($E175=4,EM175,EL175))))</f>
        <v>#N/A</v>
      </c>
      <c r="EO175" s="31" t="e">
        <f>(IF(OR(Hypothèses!$B$4=17,Hypothèses!$B$4=18,Hypothèses!$B$4=19,Hypothèses!$B$4=20),
IF($D175="Pressio.",
IF(OR($E175=3,$E175=1,$E175=4),(PI()*EO$12^2)/4*(EK175*$W175*1000)/($H175*$B$5),(PI()*EO$12^2)/4*(EK175*$W175*1000)/($G175*$B$5)),
IF($D175="Pénétro.",
IF(OR($E175=4,$E175=1,$E175=5),(PI()*EO$12^2)/4*(EK175*$W175*1000)/($H175*$B$5),(PI()*EO$12^2)/4*(EK175*$W175*1000)/($G175*$B$5)))),
IF($D175="Pressio.",
IF($E175=3,(PI()*EO$12^2)/4*(EK175*$W175*1000)/($H175*$B$5),(PI()*EO$12^2)/4*(EK175*$W175*1000)/($G175*$B$5)),
IF($D175="Pénétro.",
IF($E175=4,(PI()*EO$12^2)/4*(EK175*$W175*1000)/($H175*$B$5),(PI()*EO$12^2)/4*(EK175*$W175*1000)/($G175*$B$5))))))/10</f>
        <v>#N/A</v>
      </c>
      <c r="EP175" s="102" t="e">
        <f>(VLOOKUP($B$3,'Coeff EC7'!$T$39:$X$59,2,0)*EN175+VLOOKUP($B$3,'Coeff EC7'!$T$65:$X$85,2,0)*Model0.1C!EO175)/1.1</f>
        <v>#N/A</v>
      </c>
      <c r="EQ175" s="102" t="e">
        <f>(VLOOKUP($B$3,'Coeff EC7'!$T$39:$X$59,3,0)*EN175+VLOOKUP($B$3,'Coeff EC7'!$T$65:$X$85,3,0)*Model0.1C!EO175)/0.9</f>
        <v>#N/A</v>
      </c>
      <c r="ER175" s="102" t="e">
        <f t="shared" si="294"/>
        <v>#N/A</v>
      </c>
      <c r="ES175" s="102" t="e">
        <f t="shared" si="295"/>
        <v>#N/A</v>
      </c>
      <c r="ET175" s="414" t="e">
        <f>IF(ET174=0,0,IF(AND(EP175&gt;charge_ELS_quasi,EQ175&gt;Charge_ELS_freq,ER175&gt;charge_ELU,ES175&gt;charge_ELA,$B175&gt;NDC!$H$22-0.1+MIN(3*$ET$12,1.5)),0,1))</f>
        <v>#N/A</v>
      </c>
      <c r="EU175" s="86" t="b">
        <f t="shared" si="263"/>
        <v>0</v>
      </c>
      <c r="EV175" s="86">
        <f t="shared" si="264"/>
        <v>0.61</v>
      </c>
      <c r="EW175" s="86">
        <f t="shared" si="265"/>
        <v>0.61</v>
      </c>
      <c r="EX175" s="30" t="e">
        <f t="shared" ca="1" si="296"/>
        <v>#DIV/0!</v>
      </c>
      <c r="EY175" s="85" t="e">
        <f ca="1">IF(EE175&lt;=Hypothèses!$V$7,Hypothèses!$W$7,IF(EE175&lt;=Hypothèses!$V$8,Hypothèses!$W$8,IF(EE175&lt;=Hypothèses!$V$9,Hypothèses!$W$9,IF(EE175&lt;=Hypothèses!$V$10,Hypothèses!$W$10,IF(EE175&lt;=Hypothèses!$V$11,Hypothèses!$W$11,IF(EE175&lt;=Hypothèses!$V$12,Hypothèses!$W$12,IF(EE175&lt;=Hypothèses!$V$13,Hypothèses!$W$13,IF(EE175&lt;=Hypothèses!$V$14,Hypothèses!$W$14,IF(EE175&lt;=Hypothèses!$V$15,Hypothèses!$W$15,IF(EE175&lt;=Hypothèses!$V$16,Hypothèses!$W$16,IF(EE175&lt;=Hypothèses!$V$17,Hypothèses!$W$17,IF(EE175&lt;=Hypothèses!$V$18,Hypothèses!$W$18,""))))))))))))</f>
        <v>#DIV/0!</v>
      </c>
      <c r="EZ175" s="87" t="e">
        <f t="shared" ca="1" si="323"/>
        <v>#DIV/0!</v>
      </c>
      <c r="FA175" s="88" t="e">
        <f ca="1">IF(EE175&lt;=Hypothèses!$V$7,Hypothèses!$X$7,IF(EE175&lt;=Hypothèses!$V$8,Hypothèses!$X$8,IF(EE175&lt;=Hypothèses!$V$9,Hypothèses!$X$9,IF(EE175&lt;=Hypothèses!$V$10,Hypothèses!$X$10,IF(EE175&lt;=Hypothèses!$V$11,Hypothèses!$X$11,IF(EE175&lt;=Hypothèses!$V$12,Hypothèses!$X$12,IF(EE175&lt;=Hypothèses!$V$13,Hypothèses!$X$13,IF(EE175&lt;=Hypothèses!$V$14,Hypothèses!$X$14,IF(EE175&lt;=Hypothèses!$V$15,Hypothèses!$X$15,IF(EE175&lt;=Hypothèses!$V$16,Hypothèses!$X$16,IF(EE175&lt;=Hypothèses!$U$17,Hypothèses!$W$17,IF(EE175&lt;=Hypothèses!$U$18,Hypothèses!$W$18,""))))))))))))</f>
        <v>#DIV/0!</v>
      </c>
      <c r="FB175" s="95" t="e">
        <f t="shared" ca="1" si="297"/>
        <v>#DIV/0!</v>
      </c>
      <c r="FC175" s="101" t="e">
        <f t="shared" si="330"/>
        <v>#N/A</v>
      </c>
      <c r="FD175" s="91" t="e">
        <f t="shared" si="266"/>
        <v>#N/A</v>
      </c>
      <c r="FE175" s="30" t="e">
        <f t="shared" si="314"/>
        <v>#N/A</v>
      </c>
      <c r="FF175" s="30" t="e">
        <f t="shared" si="315"/>
        <v>#N/A</v>
      </c>
      <c r="FG175" s="31" t="e">
        <f>IF(OR(Hypothèses!$B$4=17,Hypothèses!$B$4=18,Hypothèses!$B$4=19,Hypothèses!$B$4=20),
IF($D175="Pressio.",
IF(OR($E175=3,$E175=1,$E175=4),FF175,FE175),
IF($D175="Pénétro.",
IF(OR($E175=3,$E175=1,$E175=4),FF175,FE175))),IF($D175="Pressio.",
IF($E175=3,FF175,FE175),
IF($D175="Pénétro.",
IF($E175=4,FF175,FE175))))</f>
        <v>#N/A</v>
      </c>
      <c r="FH175" s="31" t="e">
        <f>(IF(OR(Hypothèses!$B$4=17,Hypothèses!$B$4=18,Hypothèses!$B$4=19,Hypothèses!$B$4=20),
IF($D175="Pressio.",
IF(OR($E175=3,$E175=1,$E175=4),(PI()*FH$12^2)/4*(FD175*$W175*1000)/($H175*$B$5),(PI()*FH$12^2)/4*(FD175*$W175*1000)/($G175*$B$5)),
IF($D175="Pénétro.",
IF(OR($E175=4,$E175=1,$E175=5),(PI()*FH$12^2)/4*(FD175*$W175*1000)/($H175*$B$5),(PI()*FH$12^2)/4*(FD175*$W175*1000)/($G175*$B$5)))),
IF($D175="Pressio.",
IF($E175=3,(PI()*FH$12^2)/4*(FD175*$W175*1000)/($H175*$B$5),(PI()*FH$12^2)/4*(FD175*$W175*1000)/($G175*$B$5)),
IF($D175="Pénétro.",
IF($E175=4,(PI()*FH$12^2)/4*(FD175*$W175*1000)/($H175*$B$5),(PI()*FH$12^2)/4*(FD175*$W175*1000)/($G175*$B$5))))))/10</f>
        <v>#N/A</v>
      </c>
      <c r="FI175" s="102" t="e">
        <f>(VLOOKUP($B$3,'Coeff EC7'!$T$39:$X$59,2,0)*FG175+VLOOKUP($B$3,'Coeff EC7'!$T$65:$X$85,2,0)*Model0.1C!FH175)/1.1</f>
        <v>#N/A</v>
      </c>
      <c r="FJ175" s="102" t="e">
        <f>(VLOOKUP($B$3,'Coeff EC7'!$T$39:$X$59,3,0)*FG175+VLOOKUP($B$3,'Coeff EC7'!$T$65:$X$85,3,0)*Model0.1C!FH175)/0.9</f>
        <v>#N/A</v>
      </c>
      <c r="FK175" s="102" t="e">
        <f t="shared" si="298"/>
        <v>#N/A</v>
      </c>
      <c r="FL175" s="102" t="e">
        <f t="shared" si="299"/>
        <v>#N/A</v>
      </c>
      <c r="FM175" s="414" t="e">
        <f>IF(FM174=0,0,IF(AND(FI175&gt;charge_ELS_quasi,FJ175&gt;Charge_ELS_freq,FK175&gt;charge_ELU,FL175&gt;charge_ELA,$B175&gt;NDC!$H$22-0.1+MIN(3*$FM$12,1.5)),0,1))</f>
        <v>#N/A</v>
      </c>
    </row>
    <row r="176" spans="1:169">
      <c r="A176" s="96">
        <f t="shared" si="267"/>
        <v>83.700000000000927</v>
      </c>
      <c r="B176" s="97">
        <v>16.3</v>
      </c>
      <c r="C176" s="81">
        <f>IF(B176&lt;=Hypothèses!$C$7,Hypothèses!$A$7,IF(B176&lt;=Hypothèses!$C$8,Hypothèses!$A$8,IF(B176&lt;=Hypothèses!$C$9,Hypothèses!$A$9,IF(B176&lt;=Hypothèses!$C$10,Hypothèses!$A$10,IF(B176&lt;=Hypothèses!$C$11,Hypothèses!$A$11,IF(B176&lt;=Hypothèses!$C$12,Hypothèses!$A$12,IF(B176&lt;=Hypothèses!$C$13,Hypothèses!$A$13,IF(B176&lt;=Hypothèses!$C$14,Hypothèses!$A$14,IF(B176&lt;=Hypothèses!$C$15,Hypothèses!$A$15,IF(B176&lt;=Hypothèses!$C$16,Hypothèses!$A$16,IF(B176&lt;=Hypothèses!$C$17,Hypothèses!$A$17,IF(B176&lt;=Hypothèses!$C$18,Hypothèses!$A$18,C175))))))))))))</f>
        <v>11</v>
      </c>
      <c r="D176" s="82" t="str">
        <f>IF(B176&lt;=Hypothèses!$C$7,Hypothèses!$R$7,IF(B176&lt;=Hypothèses!$C$8,Hypothèses!$R$8,IF(B176&lt;=Hypothèses!$C$9,Hypothèses!$R$9,IF(B176&lt;=Hypothèses!$C$10,Hypothèses!$R$10,IF(B176&lt;=Hypothèses!$C$11,Hypothèses!$R$11,IF(B176&lt;=Hypothèses!$C$12,Hypothèses!$R$12,IF(B176&lt;=Hypothèses!$C$13,Hypothèses!$R$13,IF(B176&lt;=Hypothèses!$C$14,Hypothèses!$R$14,IF(B176&lt;=Hypothèses!$C$15,Hypothèses!$R$15,IF(B176&lt;=Hypothèses!$C$16,Hypothèses!$R$16,IF(B176&lt;=Hypothèses!$C$17,Hypothèses!$R$17,IF(B176&lt;=Hypothèses!$C$18,Hypothèses!$R$18,D175))))))))))))</f>
        <v>Pressio.</v>
      </c>
      <c r="E176" s="82" t="e">
        <f>IF(B176&lt;=Hypothèses!$C$7,Hypothèses!$G$7,IF(B176&lt;=Hypothèses!$C$8,Hypothèses!$G$8,IF(B176&lt;=Hypothèses!$C$9,Hypothèses!$G$9,IF(B176&lt;=Hypothèses!$C$10,Hypothèses!$G$10,IF(B176&lt;=Hypothèses!$C$11,Hypothèses!$G$11,IF(B176&lt;=Hypothèses!$C$12,Hypothèses!$G$12,IF(B176&lt;=Hypothèses!$C$13,Hypothèses!$G$13,IF(B176&lt;=Hypothèses!$C$14,Hypothèses!$G$14,IF(B176&lt;=Hypothèses!$C$15,Hypothèses!$G$15,IF(B176&lt;=Hypothèses!$C$16,Hypothèses!$G$16,IF(B176&lt;=Hypothèses!$C$17,Hypothèses!$G$17,IF(B176&lt;=Hypothèses!$C$18,Hypothèses!$G$18,E175))))))))))))</f>
        <v>#N/A</v>
      </c>
      <c r="F176" s="82" t="str">
        <f>IF(B176&lt;=Hypothèses!$C$7,Hypothèses!$F$7,IF(B176&lt;=Hypothèses!$C$8,Hypothèses!$F$8,IF(B176&lt;=Hypothèses!$C$9,Hypothèses!$F$9,IF(B176&lt;=Hypothèses!$C$10,Hypothèses!$F$10,IF(B176&lt;=Hypothèses!$C$11,Hypothèses!$F$11,IF(B176&lt;=Hypothèses!$C$12,Hypothèses!$F$12,IF(B176&lt;=Hypothèses!$C$13,Hypothèses!$F$13,IF(B176&lt;=Hypothèses!$C$14,Hypothèses!$F$14,IF(B176&lt;=Hypothèses!$C$15,Hypothèses!$F$15,IF(B176&lt;=Hypothèses!$C$16,Hypothèses!$F$16,IF(B176&lt;=Hypothèses!$C$17,Hypothèses!$F$17,IF(B176&lt;=Hypothèses!$C$18,Hypothèses!$F$18,F175))))))))))))</f>
        <v/>
      </c>
      <c r="G176" s="91">
        <f t="array" ref="G176">INDEX('Coeff EC7'!$U$7:$X$27,
MATCH(Model0.1C!$B$3,'Coeff EC7'!$T$7:$T$27,0),
MATCH(Model0.1C!$D176&amp;Model0.1C!$B$4,
'Coeff EC7'!$U$6:$X$6&amp;
'Coeff EC7'!$U$5:$X$5,0))</f>
        <v>1.1499999999999999</v>
      </c>
      <c r="H176" s="91">
        <f t="array" ref="H176">INDEX('Coeff EC7'!$Y$7:$AB$27,
MATCH(Model0.1C!$B$3,'Coeff EC7'!$T$7:$T$27,0),
MATCH(Model0.1C!$D176&amp;Model0.1C!$B$4,
'Coeff EC7'!$Y$6:$AB$6&amp;
'Coeff EC7'!$Y$5:$AB$5,0))</f>
        <v>1.4</v>
      </c>
      <c r="I176" s="83" t="e">
        <f>IF(B176&lt;=Hypothèses!$C$7,Hypothèses!$P$7,IF(B176&lt;=Hypothèses!$C$8,Hypothèses!$P$8,IF(B176&lt;=Hypothèses!$C$9,Hypothèses!$P$9,IF(B176&lt;=Hypothèses!$C$10,Hypothèses!$P$10,IF(B176&lt;=Hypothèses!$C$11,Hypothèses!$P$11,IF(B176&lt;=Hypothèses!$C$12,Hypothèses!$P$12,IF(B176&lt;=Hypothèses!$C$13,Hypothèses!$P$13,IF(B176&lt;=Hypothèses!$C$14,Hypothèses!$P$14,IF(B176&lt;=Hypothèses!$C$15,Hypothèses!$P$15,IF(B176&lt;=Hypothèses!$C$16,Hypothèses!$P$16,IF(B176&lt;=Hypothèses!$C$17,Hypothèses!$P$17,IF(B176&lt;=Hypothèses!$C$18,Hypothèses!$P$18,I175))))))))))))</f>
        <v>#N/A</v>
      </c>
      <c r="J176" s="91" t="e">
        <f t="array" ref="J176">INDEX('Coeff EC7'!$D$33:$Q$33,1,MATCH(D176&amp;E176,'Coeff EC7'!$D$31:$Q$31&amp;'Coeff EC7'!$D$32:$Q$32,0))</f>
        <v>#N/A</v>
      </c>
      <c r="K176" s="91" t="e">
        <f t="array" ref="K176">INDEX('Coeff EC7'!$D$34:$Q$34,1,MATCH(D176&amp;E176,'Coeff EC7'!$D$31:$Q$31&amp;'Coeff EC7'!$D$32:$Q$32,0))</f>
        <v>#N/A</v>
      </c>
      <c r="L176" s="91" t="e">
        <f t="array" ref="L176">INDEX('Coeff EC7'!$D$35:$Q$35,1,MATCH(D176&amp;E176,'Coeff EC7'!$D$31:$Q$31&amp;'Coeff EC7'!$D$32:$Q$32,0))</f>
        <v>#N/A</v>
      </c>
      <c r="M176" s="98" t="e">
        <f t="shared" si="231"/>
        <v>#N/A</v>
      </c>
      <c r="N176" s="99" t="e">
        <f t="array" ref="N176">INDEX('Coeff EC7'!$D$7:$Q$27,MATCH($B$3,'Coeff EC7'!$C$7:$C$27,0),MATCH(D176&amp;E176,'Coeff EC7'!$D$5:$Q$5&amp;'Coeff EC7'!$D$6:$Q$6,0))</f>
        <v>#N/A</v>
      </c>
      <c r="O176" s="99" t="e">
        <f t="array" ref="O176">INDEX('Coeff EC7'!$D$41:$Q$61,MATCH($B$3,'Coeff EC7'!$C$41:$C$61,0),MATCH(D176&amp;E176,'Coeff EC7'!$D$39:$Q$39&amp;'Coeff EC7'!$D$40:$Q$40,0))</f>
        <v>#N/A</v>
      </c>
      <c r="P176" s="30" t="e">
        <f t="shared" si="268"/>
        <v>#N/A</v>
      </c>
      <c r="Q176" s="100" t="e">
        <f t="shared" si="233"/>
        <v>#N/A</v>
      </c>
      <c r="R176" s="86" t="b">
        <f t="shared" si="234"/>
        <v>0</v>
      </c>
      <c r="S176" s="86">
        <f t="shared" si="232"/>
        <v>0.5</v>
      </c>
      <c r="T176" s="86">
        <f t="shared" si="235"/>
        <v>0.5</v>
      </c>
      <c r="U176" s="30" t="e">
        <f t="shared" ca="1" si="269"/>
        <v>#DIV/0!</v>
      </c>
      <c r="V176" s="85" t="str">
        <f>IF(B176&lt;=Hypothèses!$V$7,Hypothèses!$W$7,IF(B176&lt;=Hypothèses!$V$8,Hypothèses!$W$8,IF(B176&lt;=Hypothèses!$V$9,Hypothèses!$W$9,IF(B176&lt;=Hypothèses!$V$10,Hypothèses!$W$10,IF(B176&lt;=Hypothèses!$V$11,Hypothèses!$W$11,IF(B176&lt;=Hypothèses!$V$12,Hypothèses!$W$12,IF(B176&lt;=Hypothèses!$V$13,Hypothèses!$W$13,IF(B176&lt;=Hypothèses!$V$14,Hypothèses!$W$14,IF(B176&lt;=Hypothèses!$V$15,Hypothèses!$W$15,IF(B176&lt;=Hypothèses!$V$16,Hypothèses!$W$16,IF(B176&lt;=Hypothèses!$V$17,Hypothèses!$W$17,IF(B176&lt;=Hypothèses!$V$18,Hypothèses!$W$18,""))))))))))))</f>
        <v/>
      </c>
      <c r="W176" s="87" t="e">
        <f t="shared" ca="1" si="316"/>
        <v>#DIV/0!</v>
      </c>
      <c r="X176" s="88" t="str">
        <f>IF(B176&lt;=Hypothèses!$V$7,Hypothèses!$X$7,IF(B176&lt;=Hypothèses!$V$8,Hypothèses!$X$8,IF(B176&lt;=Hypothèses!$V$9,Hypothèses!$X$9,IF(B176&lt;=Hypothèses!$V$10,Hypothèses!$X$10,IF(B176&lt;=Hypothèses!$V$11,Hypothèses!$X$11,IF(B176&lt;=Hypothèses!$V$12,Hypothèses!$X$12,IF(B176&lt;=Hypothèses!$V$13,Hypothèses!$X$13,IF(B176&lt;=Hypothèses!$V$14,Hypothèses!$X$14,IF(B176&lt;=Hypothèses!$V$15,Hypothèses!$X$15,IF(B176&lt;=Hypothèses!$V$16,Hypothèses!$X$16,IF(B176&lt;=Hypothèses!$U$17,Hypothèses!$W$17,IF(B176&lt;=Hypothèses!$U$18,Hypothèses!$W$18,""))))))))))))</f>
        <v/>
      </c>
      <c r="Y176" s="95" t="e">
        <f t="shared" ca="1" si="236"/>
        <v>#DIV/0!</v>
      </c>
      <c r="Z176" s="101" t="e">
        <f t="shared" si="237"/>
        <v>#N/A</v>
      </c>
      <c r="AA176" s="91" t="e">
        <f t="shared" si="238"/>
        <v>#N/A</v>
      </c>
      <c r="AB176" s="30" t="e">
        <f t="shared" si="300"/>
        <v>#N/A</v>
      </c>
      <c r="AC176" s="30" t="e">
        <f t="shared" si="301"/>
        <v>#N/A</v>
      </c>
      <c r="AD176" s="31" t="e">
        <f>IF(OR(Hypothèses!$B$4=17,Hypothèses!$B$4=18,Hypothèses!$B$4=19,Hypothèses!$B$4=20),
IF($D176="Pressio.",
IF(OR($E176=3,$E176=1,$E176=4),AC176,AB176),
IF($D176="Pénétro.",
IF(OR($E176=3,$E176=1,$E176=4),AC176,AB176))),IF($D176="Pressio.",
IF($E176=3,AC176,AB176),
IF($D176="Pénétro.",
IF($E176=4,AC176,AB176))))</f>
        <v>#N/A</v>
      </c>
      <c r="AE176" s="31" t="e">
        <f>(IF(OR(Hypothèses!$B$4=17,Hypothèses!$B$4=18,Hypothèses!$B$4=19,Hypothèses!$B$4=20),
IF($D176="Pressio.",
IF(OR($E176=3,$E176=1,$E176=4),(PI()*AE$12^2)/4*(AA176*$W176*1000)/($H176*$B$5),(PI()*AE$12^2)/4*(AA176*$W176*1000)/($G176*$B$5)),
IF($D176="Pénétro.",
IF(OR($E176=4,$E176=1,$E176=5),(PI()*AE$12^2)/4*(AA176*$W176*1000)/($H176*$B$5),(PI()*AE$12^2)/4*(AA176*$W176*1000)/($G176*$B$5)))),
IF($D176="Pressio.",
IF($E176=3,(PI()*AE$12^2)/4*(AA176*$W176*1000)/($H176*$B$5),(PI()*AE$12^2)/4*(AA176*$W176*1000)/($G176*$B$5)),
IF($D176="Pénétro.",
IF($E176=4,(PI()*AE$12^2)/4*(AA176*$W176*1000)/($H176*$B$5),(PI()*AE$12^2)/4*(AA176*$W176*1000)/($G176*$B$5))))))/10</f>
        <v>#N/A</v>
      </c>
      <c r="AF176" s="102" t="e">
        <f>(VLOOKUP($B$3,'Coeff EC7'!$T$39:$X$59,2,0)*AD176+VLOOKUP($B$3,'Coeff EC7'!$T$65:$X$85,2,0)*Model0.1C!AE176)/1.1</f>
        <v>#N/A</v>
      </c>
      <c r="AG176" s="102" t="e">
        <f>(VLOOKUP($B$3,'Coeff EC7'!$T$39:$X$59,3,0)*AD176+VLOOKUP($B$3,'Coeff EC7'!$T$65:$X$85,3,0)*Model0.1C!AE176)/0.9</f>
        <v>#N/A</v>
      </c>
      <c r="AH176" s="102" t="e">
        <f t="shared" si="239"/>
        <v>#N/A</v>
      </c>
      <c r="AI176" s="102" t="e">
        <f t="shared" si="240"/>
        <v>#N/A</v>
      </c>
      <c r="AJ176" s="414" t="e">
        <f>IF(AJ175=0,0,IF(AND(AF176&gt;charge_ELS_quasi,AG176&gt;Charge_ELS_freq,AH176&gt;charge_ELU,AI176&gt;charge_ELA,$B176&gt;NDC!$H$22-0.1+MIN(3*$AJ$12,1.5)),0,1))</f>
        <v>#N/A</v>
      </c>
      <c r="AK176" s="86" t="b">
        <f t="shared" si="241"/>
        <v>0</v>
      </c>
      <c r="AL176" s="86">
        <f t="shared" si="270"/>
        <v>0.5</v>
      </c>
      <c r="AM176" s="86">
        <f t="shared" si="242"/>
        <v>0.5</v>
      </c>
      <c r="AN176" s="30" t="e">
        <f t="shared" ca="1" si="271"/>
        <v>#DIV/0!</v>
      </c>
      <c r="AO176" s="85" t="e">
        <f ca="1">IF(U176&lt;=Hypothèses!$V$7,Hypothèses!$W$7,IF(U176&lt;=Hypothèses!$V$8,Hypothèses!$W$8,IF(U176&lt;=Hypothèses!$V$9,Hypothèses!$W$9,IF(U176&lt;=Hypothèses!$V$10,Hypothèses!$W$10,IF(U176&lt;=Hypothèses!$V$11,Hypothèses!$W$11,IF(U176&lt;=Hypothèses!$V$12,Hypothèses!$W$12,IF(U176&lt;=Hypothèses!$V$13,Hypothèses!$W$13,IF(U176&lt;=Hypothèses!$V$14,Hypothèses!$W$14,IF(U176&lt;=Hypothèses!$V$15,Hypothèses!$W$15,IF(U176&lt;=Hypothèses!$V$16,Hypothèses!$W$16,IF(U176&lt;=Hypothèses!$V$17,Hypothèses!$W$17,IF(U176&lt;=Hypothèses!$V$18,Hypothèses!$W$18,""))))))))))))</f>
        <v>#DIV/0!</v>
      </c>
      <c r="AP176" s="87" t="e">
        <f t="shared" ca="1" si="317"/>
        <v>#DIV/0!</v>
      </c>
      <c r="AQ176" s="88" t="e">
        <f ca="1">IF(U176&lt;=Hypothèses!$V$7,Hypothèses!$X$7,IF(U176&lt;=Hypothèses!$V$8,Hypothèses!$X$8,IF(U176&lt;=Hypothèses!$V$9,Hypothèses!$X$9,IF(U176&lt;=Hypothèses!$V$10,Hypothèses!$X$10,IF(U176&lt;=Hypothèses!$V$11,Hypothèses!$X$11,IF(U176&lt;=Hypothèses!$V$12,Hypothèses!$X$12,IF(U176&lt;=Hypothèses!$V$13,Hypothèses!$X$13,IF(U176&lt;=Hypothèses!$V$14,Hypothèses!$X$14,IF(U176&lt;=Hypothèses!$V$15,Hypothèses!$X$15,IF(U176&lt;=Hypothèses!$V$16,Hypothèses!$X$16,IF(U176&lt;=Hypothèses!$U$17,Hypothèses!$W$17,IF(U176&lt;=Hypothèses!$U$18,Hypothèses!$W$18,""))))))))))))</f>
        <v>#DIV/0!</v>
      </c>
      <c r="AR176" s="95" t="e">
        <f t="shared" ca="1" si="272"/>
        <v>#DIV/0!</v>
      </c>
      <c r="AS176" s="101" t="e">
        <f t="shared" si="324"/>
        <v>#N/A</v>
      </c>
      <c r="AT176" s="91" t="e">
        <f t="shared" si="243"/>
        <v>#N/A</v>
      </c>
      <c r="AU176" s="30" t="e">
        <f t="shared" si="302"/>
        <v>#N/A</v>
      </c>
      <c r="AV176" s="30" t="e">
        <f t="shared" si="303"/>
        <v>#N/A</v>
      </c>
      <c r="AW176" s="31" t="e">
        <f>IF(OR(Hypothèses!$B$4=17,Hypothèses!$B$4=18,Hypothèses!$B$4=19,Hypothèses!$B$4=20),
IF($D176="Pressio.",
IF(OR($E176=3,$E176=1,$E176=4),AV176,AU176),
IF($D176="Pénétro.",
IF(OR($E176=3,$E176=1,$E176=4),AV176,AU176))),IF($D176="Pressio.",
IF($E176=3,AV176,AU176),
IF($D176="Pénétro.",
IF($E176=4,AV176,AU176))))</f>
        <v>#N/A</v>
      </c>
      <c r="AX176" s="31" t="e">
        <f>(IF(OR(Hypothèses!$B$4=17,Hypothèses!$B$4=18,Hypothèses!$B$4=19,Hypothèses!$B$4=20),
IF($D176="Pressio.",
IF(OR($E176=3,$E176=1,$E176=4),(PI()*AX$12^2)/4*(AT176*$W176*1000)/($H176*$B$5),(PI()*AX$12^2)/4*(AT176*$W176*1000)/($G176*$B$5)),
IF($D176="Pénétro.",
IF(OR($E176=4,$E176=1,$E176=5),(PI()*AX$12^2)/4*(AT176*$W176*1000)/($H176*$B$5),(PI()*AX$12^2)/4*(AT176*$W176*1000)/($G176*$B$5)))),
IF($D176="Pressio.",
IF($E176=3,(PI()*AX$12^2)/4*(AT176*$W176*1000)/($H176*$B$5),(PI()*AX$12^2)/4*(AT176*$W176*1000)/($G176*$B$5)),
IF($D176="Pénétro.",
IF($E176=4,(PI()*AX$12^2)/4*(AT176*$W176*1000)/($H176*$B$5),(PI()*AX$12^2)/4*(AT176*$W176*1000)/($G176*$B$5))))))/10</f>
        <v>#N/A</v>
      </c>
      <c r="AY176" s="102" t="e">
        <f>(VLOOKUP($B$3,'Coeff EC7'!$T$39:$X$59,2,0)*AW176+VLOOKUP($B$3,'Coeff EC7'!$T$65:$X$85,2,0)*Model0.1C!AX176)/1.1</f>
        <v>#N/A</v>
      </c>
      <c r="AZ176" s="102" t="e">
        <f>(VLOOKUP($B$3,'Coeff EC7'!$T$39:$X$59,3,0)*AW176+VLOOKUP($B$3,'Coeff EC7'!$T$65:$X$85,3,0)*Model0.1C!AX176)/0.9</f>
        <v>#N/A</v>
      </c>
      <c r="BA176" s="102" t="e">
        <f t="shared" si="273"/>
        <v>#N/A</v>
      </c>
      <c r="BB176" s="102" t="e">
        <f t="shared" si="274"/>
        <v>#N/A</v>
      </c>
      <c r="BC176" s="414" t="e">
        <f>IF(BC175=0,0,IF(AND(AY176&gt;charge_ELS_quasi,AZ176&gt;Charge_ELS_freq,BA176&gt;charge_ELU,BB176&gt;charge_ELA,$B176&gt;NDC!$H$22-0.1+MIN(3*$BC$12,1.5)),0,1))</f>
        <v>#N/A</v>
      </c>
      <c r="BD176" s="86" t="b">
        <f t="shared" si="244"/>
        <v>0</v>
      </c>
      <c r="BE176" s="86">
        <f t="shared" si="275"/>
        <v>0.5</v>
      </c>
      <c r="BF176" s="86">
        <f t="shared" si="245"/>
        <v>0.5</v>
      </c>
      <c r="BG176" s="30" t="e">
        <f t="shared" ca="1" si="276"/>
        <v>#DIV/0!</v>
      </c>
      <c r="BH176" s="85" t="e">
        <f ca="1">IF(AN176&lt;=Hypothèses!$V$7,Hypothèses!$W$7,IF(AN176&lt;=Hypothèses!$V$8,Hypothèses!$W$8,IF(AN176&lt;=Hypothèses!$V$9,Hypothèses!$W$9,IF(AN176&lt;=Hypothèses!$V$10,Hypothèses!$W$10,IF(AN176&lt;=Hypothèses!$V$11,Hypothèses!$W$11,IF(AN176&lt;=Hypothèses!$V$12,Hypothèses!$W$12,IF(AN176&lt;=Hypothèses!$V$13,Hypothèses!$W$13,IF(AN176&lt;=Hypothèses!$V$14,Hypothèses!$W$14,IF(AN176&lt;=Hypothèses!$V$15,Hypothèses!$W$15,IF(AN176&lt;=Hypothèses!$V$16,Hypothèses!$W$16,IF(AN176&lt;=Hypothèses!$V$17,Hypothèses!$W$17,IF(AN176&lt;=Hypothèses!$V$18,Hypothèses!$W$18,""))))))))))))</f>
        <v>#DIV/0!</v>
      </c>
      <c r="BI176" s="87" t="e">
        <f t="shared" ca="1" si="318"/>
        <v>#DIV/0!</v>
      </c>
      <c r="BJ176" s="88" t="e">
        <f ca="1">IF(AN176&lt;=Hypothèses!$V$7,Hypothèses!$X$7,IF(AN176&lt;=Hypothèses!$V$8,Hypothèses!$X$8,IF(AN176&lt;=Hypothèses!$V$9,Hypothèses!$X$9,IF(AN176&lt;=Hypothèses!$V$10,Hypothèses!$X$10,IF(AN176&lt;=Hypothèses!$V$11,Hypothèses!$X$11,IF(AN176&lt;=Hypothèses!$V$12,Hypothèses!$X$12,IF(AN176&lt;=Hypothèses!$V$13,Hypothèses!$X$13,IF(AN176&lt;=Hypothèses!$V$14,Hypothèses!$X$14,IF(AN176&lt;=Hypothèses!$V$15,Hypothèses!$X$15,IF(AN176&lt;=Hypothèses!$V$16,Hypothèses!$X$16,IF(AN176&lt;=Hypothèses!$U$17,Hypothèses!$W$17,IF(AN176&lt;=Hypothèses!$U$18,Hypothèses!$W$18,""))))))))))))</f>
        <v>#DIV/0!</v>
      </c>
      <c r="BK176" s="95" t="e">
        <f t="shared" ca="1" si="277"/>
        <v>#DIV/0!</v>
      </c>
      <c r="BL176" s="101" t="e">
        <f t="shared" si="325"/>
        <v>#N/A</v>
      </c>
      <c r="BM176" s="91" t="e">
        <f t="shared" si="246"/>
        <v>#N/A</v>
      </c>
      <c r="BN176" s="30" t="e">
        <f t="shared" si="304"/>
        <v>#N/A</v>
      </c>
      <c r="BO176" s="30" t="e">
        <f t="shared" si="305"/>
        <v>#N/A</v>
      </c>
      <c r="BP176" s="31" t="e">
        <f>IF(OR(Hypothèses!$B$4=17,Hypothèses!$B$4=18,Hypothèses!$B$4=19,Hypothèses!$B$4=20),
IF($D176="Pressio.",
IF(OR($E176=3,$E176=1,$E176=4),BO176,BN176),
IF($D176="Pénétro.",
IF(OR($E176=3,$E176=1,$E176=4),BO176,BN176))),IF($D176="Pressio.",
IF($E176=3,BO176,BN176),
IF($D176="Pénétro.",
IF($E176=4,BO176,BN176))))</f>
        <v>#N/A</v>
      </c>
      <c r="BQ176" s="31" t="e">
        <f>(IF(OR(Hypothèses!$B$4=17,Hypothèses!$B$4=18,Hypothèses!$B$4=19,Hypothèses!$B$4=20),
IF($D176="Pressio.",
IF(OR($E176=3,$E176=1,$E176=4),(PI()*BQ$12^2)/4*(BM176*$W176*1000)/($H176*$B$5),(PI()*BQ$12^2)/4*(BM176*$W176*1000)/($G176*$B$5)),
IF($D176="Pénétro.",
IF(OR($E176=4,$E176=1,$E176=5),(PI()*BQ$12^2)/4*(BM176*$W176*1000)/($H176*$B$5),(PI()*BQ$12^2)/4*(BM176*$W176*1000)/($G176*$B$5)))),
IF($D176="Pressio.",
IF($E176=3,(PI()*BQ$12^2)/4*(BM176*$W176*1000)/($H176*$B$5),(PI()*BQ$12^2)/4*(BM176*$W176*1000)/($G176*$B$5)),
IF($D176="Pénétro.",
IF($E176=4,(PI()*BQ$12^2)/4*(BM176*$W176*1000)/($H176*$B$5),(PI()*BQ$12^2)/4*(BM176*$W176*1000)/($G176*$B$5))))))/10</f>
        <v>#N/A</v>
      </c>
      <c r="BR176" s="102" t="e">
        <f>(VLOOKUP($B$3,'Coeff EC7'!$T$39:$X$59,2,0)*BP176+VLOOKUP($B$3,'Coeff EC7'!$T$65:$X$85,2,0)*Model0.1C!BQ176)/1.1</f>
        <v>#N/A</v>
      </c>
      <c r="BS176" s="102" t="e">
        <f>(VLOOKUP($B$3,'Coeff EC7'!$T$39:$X$59,3,0)*BP176+VLOOKUP($B$3,'Coeff EC7'!$T$65:$X$85,3,0)*Model0.1C!BQ176)/0.9</f>
        <v>#N/A</v>
      </c>
      <c r="BT176" s="102" t="e">
        <f t="shared" si="278"/>
        <v>#N/A</v>
      </c>
      <c r="BU176" s="102" t="e">
        <f t="shared" si="279"/>
        <v>#N/A</v>
      </c>
      <c r="BV176" s="414" t="e">
        <f>IF(BV175=0,0,IF(AND(BR176&gt;charge_ELS_quasi,BS176&gt;Charge_ELS_freq,BT176&gt;charge_ELU,BU176&gt;charge_ELA,$B176&gt;NDC!$H$22-0.1+MIN(3*$BV$12,1.5)),0,1))</f>
        <v>#N/A</v>
      </c>
      <c r="BW176" s="86" t="b">
        <f t="shared" si="247"/>
        <v>0</v>
      </c>
      <c r="BX176" s="86">
        <f t="shared" si="248"/>
        <v>0.5</v>
      </c>
      <c r="BY176" s="86">
        <f t="shared" si="249"/>
        <v>0.5</v>
      </c>
      <c r="BZ176" s="30" t="e">
        <f t="shared" ca="1" si="280"/>
        <v>#DIV/0!</v>
      </c>
      <c r="CA176" s="85" t="e">
        <f ca="1">IF(BG176&lt;=Hypothèses!$V$7,Hypothèses!$W$7,IF(BG176&lt;=Hypothèses!$V$8,Hypothèses!$W$8,IF(BG176&lt;=Hypothèses!$V$9,Hypothèses!$W$9,IF(BG176&lt;=Hypothèses!$V$10,Hypothèses!$W$10,IF(BG176&lt;=Hypothèses!$V$11,Hypothèses!$W$11,IF(BG176&lt;=Hypothèses!$V$12,Hypothèses!$W$12,IF(BG176&lt;=Hypothèses!$V$13,Hypothèses!$W$13,IF(BG176&lt;=Hypothèses!$V$14,Hypothèses!$W$14,IF(BG176&lt;=Hypothèses!$V$15,Hypothèses!$W$15,IF(BG176&lt;=Hypothèses!$V$16,Hypothèses!$W$16,IF(BG176&lt;=Hypothèses!$V$17,Hypothèses!$W$17,IF(BG176&lt;=Hypothèses!$V$18,Hypothèses!$W$18,""))))))))))))</f>
        <v>#DIV/0!</v>
      </c>
      <c r="CB176" s="87" t="e">
        <f t="shared" ca="1" si="319"/>
        <v>#DIV/0!</v>
      </c>
      <c r="CC176" s="88" t="e">
        <f ca="1">IF(BG176&lt;=Hypothèses!$V$7,Hypothèses!$X$7,IF(BG176&lt;=Hypothèses!$V$8,Hypothèses!$X$8,IF(BG176&lt;=Hypothèses!$V$9,Hypothèses!$X$9,IF(BG176&lt;=Hypothèses!$V$10,Hypothèses!$X$10,IF(BG176&lt;=Hypothèses!$V$11,Hypothèses!$X$11,IF(BG176&lt;=Hypothèses!$V$12,Hypothèses!$X$12,IF(BG176&lt;=Hypothèses!$V$13,Hypothèses!$X$13,IF(BG176&lt;=Hypothèses!$V$14,Hypothèses!$X$14,IF(BG176&lt;=Hypothèses!$V$15,Hypothèses!$X$15,IF(BG176&lt;=Hypothèses!$V$16,Hypothèses!$X$16,IF(BG176&lt;=Hypothèses!$U$17,Hypothèses!$W$17,IF(BG176&lt;=Hypothèses!$U$18,Hypothèses!$W$18,""))))))))))))</f>
        <v>#DIV/0!</v>
      </c>
      <c r="CD176" s="95" t="e">
        <f t="shared" ca="1" si="281"/>
        <v>#DIV/0!</v>
      </c>
      <c r="CE176" s="101" t="e">
        <f t="shared" si="326"/>
        <v>#N/A</v>
      </c>
      <c r="CF176" s="91" t="e">
        <f t="shared" si="250"/>
        <v>#N/A</v>
      </c>
      <c r="CG176" s="30" t="e">
        <f t="shared" si="306"/>
        <v>#N/A</v>
      </c>
      <c r="CH176" s="30" t="e">
        <f t="shared" si="307"/>
        <v>#N/A</v>
      </c>
      <c r="CI176" s="31" t="e">
        <f>IF(OR(Hypothèses!$B$4=17,Hypothèses!$B$4=18,Hypothèses!$B$4=19,Hypothèses!$B$4=20),
IF($D176="Pressio.",
IF(OR($E176=3,$E176=1,$E176=4),CH176,CG176),
IF($D176="Pénétro.",
IF(OR($E176=3,$E176=1,$E176=4),CH176,CG176))),IF($D176="Pressio.",
IF($E176=3,CH176,CG176),
IF($D176="Pénétro.",
IF($E176=4,CH176,CG176))))</f>
        <v>#N/A</v>
      </c>
      <c r="CJ176" s="31" t="e">
        <f>(IF(OR(Hypothèses!$B$4=17,Hypothèses!$B$4=18,Hypothèses!$B$4=19,Hypothèses!$B$4=20),
IF($D176="Pressio.",
IF(OR($E176=3,$E176=1,$E176=4),(PI()*CJ$12^2)/4*(CF176*$W176*1000)/($H176*$B$5),(PI()*CJ$12^2)/4*(CF176*$W176*1000)/($G176*$B$5)),
IF($D176="Pénétro.",
IF(OR($E176=4,$E176=1,$E176=5),(PI()*CJ$12^2)/4*(CF176*$W176*1000)/($H176*$B$5),(PI()*CJ$12^2)/4*(CF176*$W176*1000)/($G176*$B$5)))),
IF($D176="Pressio.",
IF($E176=3,(PI()*CJ$12^2)/4*(CF176*$W176*1000)/($H176*$B$5),(PI()*CJ$12^2)/4*(CF176*$W176*1000)/($G176*$B$5)),
IF($D176="Pénétro.",
IF($E176=4,(PI()*CJ$12^2)/4*(CF176*$W176*1000)/($H176*$B$5),(PI()*CJ$12^2)/4*(CF176*$W176*1000)/($G176*$B$5))))))/10</f>
        <v>#N/A</v>
      </c>
      <c r="CK176" s="102" t="e">
        <f>(VLOOKUP($B$3,'Coeff EC7'!$T$39:$X$59,2,0)*CI176+VLOOKUP($B$3,'Coeff EC7'!$T$65:$X$85,2,0)*Model0.1C!CJ176)/1.1</f>
        <v>#N/A</v>
      </c>
      <c r="CL176" s="102" t="e">
        <f>(VLOOKUP($B$3,'Coeff EC7'!$T$39:$X$59,3,0)*CI176+VLOOKUP($B$3,'Coeff EC7'!$T$65:$X$85,3,0)*Model0.1C!CJ176)/0.9</f>
        <v>#N/A</v>
      </c>
      <c r="CM176" s="102" t="e">
        <f t="shared" si="282"/>
        <v>#N/A</v>
      </c>
      <c r="CN176" s="102" t="e">
        <f t="shared" si="283"/>
        <v>#N/A</v>
      </c>
      <c r="CO176" s="414" t="e">
        <f>IF(CO175=0,0,IF(AND(CK176&gt;charge_ELS_quasi,CL176&gt;Charge_ELS_freq,CM176&gt;charge_ELU,CN176&gt;charge_ELA,$B176&gt;NDC!$H$22-0.1+MIN(3*$CO$12,1.5)),0,1))</f>
        <v>#N/A</v>
      </c>
      <c r="CP176" s="86" t="b">
        <f t="shared" si="251"/>
        <v>0</v>
      </c>
      <c r="CQ176" s="86">
        <f t="shared" si="252"/>
        <v>0.5</v>
      </c>
      <c r="CR176" s="86">
        <f t="shared" si="253"/>
        <v>0.5</v>
      </c>
      <c r="CS176" s="30" t="e">
        <f t="shared" ca="1" si="284"/>
        <v>#DIV/0!</v>
      </c>
      <c r="CT176" s="85" t="e">
        <f ca="1">IF(BZ176&lt;=Hypothèses!$V$7,Hypothèses!$W$7,IF(BZ176&lt;=Hypothèses!$V$8,Hypothèses!$W$8,IF(BZ176&lt;=Hypothèses!$V$9,Hypothèses!$W$9,IF(BZ176&lt;=Hypothèses!$V$10,Hypothèses!$W$10,IF(BZ176&lt;=Hypothèses!$V$11,Hypothèses!$W$11,IF(BZ176&lt;=Hypothèses!$V$12,Hypothèses!$W$12,IF(BZ176&lt;=Hypothèses!$V$13,Hypothèses!$W$13,IF(BZ176&lt;=Hypothèses!$V$14,Hypothèses!$W$14,IF(BZ176&lt;=Hypothèses!$V$15,Hypothèses!$W$15,IF(BZ176&lt;=Hypothèses!$V$16,Hypothèses!$W$16,IF(BZ176&lt;=Hypothèses!$V$17,Hypothèses!$W$17,IF(BZ176&lt;=Hypothèses!$V$18,Hypothèses!$W$18,""))))))))))))</f>
        <v>#DIV/0!</v>
      </c>
      <c r="CU176" s="87" t="e">
        <f t="shared" ca="1" si="320"/>
        <v>#DIV/0!</v>
      </c>
      <c r="CV176" s="88" t="e">
        <f ca="1">IF(BZ176&lt;=Hypothèses!$V$7,Hypothèses!$X$7,IF(BZ176&lt;=Hypothèses!$V$8,Hypothèses!$X$8,IF(BZ176&lt;=Hypothèses!$V$9,Hypothèses!$X$9,IF(BZ176&lt;=Hypothèses!$V$10,Hypothèses!$X$10,IF(BZ176&lt;=Hypothèses!$V$11,Hypothèses!$X$11,IF(BZ176&lt;=Hypothèses!$V$12,Hypothèses!$X$12,IF(BZ176&lt;=Hypothèses!$V$13,Hypothèses!$X$13,IF(BZ176&lt;=Hypothèses!$V$14,Hypothèses!$X$14,IF(BZ176&lt;=Hypothèses!$V$15,Hypothèses!$X$15,IF(BZ176&lt;=Hypothèses!$V$16,Hypothèses!$X$16,IF(BZ176&lt;=Hypothèses!$U$17,Hypothèses!$W$17,IF(BZ176&lt;=Hypothèses!$U$18,Hypothèses!$W$18,""))))))))))))</f>
        <v>#DIV/0!</v>
      </c>
      <c r="CW176" s="95" t="e">
        <f t="shared" ca="1" si="285"/>
        <v>#DIV/0!</v>
      </c>
      <c r="CX176" s="101" t="e">
        <f t="shared" si="327"/>
        <v>#N/A</v>
      </c>
      <c r="CY176" s="91" t="e">
        <f t="shared" si="254"/>
        <v>#N/A</v>
      </c>
      <c r="CZ176" s="30" t="e">
        <f t="shared" si="308"/>
        <v>#N/A</v>
      </c>
      <c r="DA176" s="30" t="e">
        <f t="shared" si="309"/>
        <v>#N/A</v>
      </c>
      <c r="DB176" s="31" t="e">
        <f>IF(OR(Hypothèses!$B$4=17,Hypothèses!$B$4=18,Hypothèses!$B$4=19,Hypothèses!$B$4=20),
IF($D176="Pressio.",
IF(OR($E176=3,$E176=1,$E176=4),DA176,CZ176),
IF($D176="Pénétro.",
IF(OR($E176=3,$E176=1,$E176=4),DA176,CZ176))),IF($D176="Pressio.",
IF($E176=3,DA176,CZ176),
IF($D176="Pénétro.",
IF($E176=4,DA176,CZ176))))</f>
        <v>#N/A</v>
      </c>
      <c r="DC176" s="31" t="e">
        <f>(IF(OR(Hypothèses!$B$4=17,Hypothèses!$B$4=18,Hypothèses!$B$4=19,Hypothèses!$B$4=20),
IF($D176="Pressio.",
IF(OR($E176=3,$E176=1,$E176=4),(PI()*DC$12^2)/4*(CY176*$W176*1000)/($H176*$B$5),(PI()*DC$12^2)/4*(CY176*$W176*1000)/($G176*$B$5)),
IF($D176="Pénétro.",
IF(OR($E176=4,$E176=1,$E176=5),(PI()*DC$12^2)/4*(CY176*$W176*1000)/($H176*$B$5),(PI()*DC$12^2)/4*(CY176*$W176*1000)/($G176*$B$5)))),
IF($D176="Pressio.",
IF($E176=3,(PI()*DC$12^2)/4*(CY176*$W176*1000)/($H176*$B$5),(PI()*DC$12^2)/4*(CY176*$W176*1000)/($G176*$B$5)),
IF($D176="Pénétro.",
IF($E176=4,(PI()*DC$12^2)/4*(CY176*$W176*1000)/($H176*$B$5),(PI()*DC$12^2)/4*(CY176*$W176*1000)/($G176*$B$5))))))/10</f>
        <v>#N/A</v>
      </c>
      <c r="DD176" s="102" t="e">
        <f>(VLOOKUP($B$3,'Coeff EC7'!$T$39:$X$59,2,0)*DB176+VLOOKUP($B$3,'Coeff EC7'!$T$65:$X$85,2,0)*Model0.1C!DC176)/1.1</f>
        <v>#N/A</v>
      </c>
      <c r="DE176" s="102" t="e">
        <f>(VLOOKUP($B$3,'Coeff EC7'!$T$39:$X$59,3,0)*DB176+VLOOKUP($B$3,'Coeff EC7'!$T$65:$X$85,3,0)*Model0.1C!DC176)/0.9</f>
        <v>#N/A</v>
      </c>
      <c r="DF176" s="102" t="e">
        <f t="shared" si="286"/>
        <v>#N/A</v>
      </c>
      <c r="DG176" s="102" t="e">
        <f t="shared" si="287"/>
        <v>#N/A</v>
      </c>
      <c r="DH176" s="414" t="e">
        <f>IF(DH175=0,0,IF(AND(DD176&gt;charge_ELS_quasi,DE176&gt;Charge_ELS_freq,DF176&gt;charge_ELU,DG176&gt;charge_ELA,$B176&gt;NDC!$H$22-0.1+MIN(3*$DH$12,1.5)),0,1))</f>
        <v>#N/A</v>
      </c>
      <c r="DI176" s="86" t="b">
        <f t="shared" si="255"/>
        <v>0</v>
      </c>
      <c r="DJ176" s="86">
        <f t="shared" si="256"/>
        <v>0.5</v>
      </c>
      <c r="DK176" s="86">
        <f t="shared" si="257"/>
        <v>0.5</v>
      </c>
      <c r="DL176" s="30" t="e">
        <f t="shared" ca="1" si="288"/>
        <v>#DIV/0!</v>
      </c>
      <c r="DM176" s="85" t="e">
        <f ca="1">IF(CS176&lt;=Hypothèses!$V$7,Hypothèses!$W$7,IF(CS176&lt;=Hypothèses!$V$8,Hypothèses!$W$8,IF(CS176&lt;=Hypothèses!$V$9,Hypothèses!$W$9,IF(CS176&lt;=Hypothèses!$V$10,Hypothèses!$W$10,IF(CS176&lt;=Hypothèses!$V$11,Hypothèses!$W$11,IF(CS176&lt;=Hypothèses!$V$12,Hypothèses!$W$12,IF(CS176&lt;=Hypothèses!$V$13,Hypothèses!$W$13,IF(CS176&lt;=Hypothèses!$V$14,Hypothèses!$W$14,IF(CS176&lt;=Hypothèses!$V$15,Hypothèses!$W$15,IF(CS176&lt;=Hypothèses!$V$16,Hypothèses!$W$16,IF(CS176&lt;=Hypothèses!$V$17,Hypothèses!$W$17,IF(CS176&lt;=Hypothèses!$V$18,Hypothèses!$W$18,""))))))))))))</f>
        <v>#DIV/0!</v>
      </c>
      <c r="DN176" s="87" t="e">
        <f t="shared" ca="1" si="321"/>
        <v>#DIV/0!</v>
      </c>
      <c r="DO176" s="88" t="e">
        <f ca="1">IF(CS176&lt;=Hypothèses!$V$7,Hypothèses!$X$7,IF(CS176&lt;=Hypothèses!$V$8,Hypothèses!$X$8,IF(CS176&lt;=Hypothèses!$V$9,Hypothèses!$X$9,IF(CS176&lt;=Hypothèses!$V$10,Hypothèses!$X$10,IF(CS176&lt;=Hypothèses!$V$11,Hypothèses!$X$11,IF(CS176&lt;=Hypothèses!$V$12,Hypothèses!$X$12,IF(CS176&lt;=Hypothèses!$V$13,Hypothèses!$X$13,IF(CS176&lt;=Hypothèses!$V$14,Hypothèses!$X$14,IF(CS176&lt;=Hypothèses!$V$15,Hypothèses!$X$15,IF(CS176&lt;=Hypothèses!$V$16,Hypothèses!$X$16,IF(CS176&lt;=Hypothèses!$U$17,Hypothèses!$W$17,IF(CS176&lt;=Hypothèses!$U$18,Hypothèses!$W$18,""))))))))))))</f>
        <v>#DIV/0!</v>
      </c>
      <c r="DP176" s="95" t="e">
        <f t="shared" ca="1" si="289"/>
        <v>#DIV/0!</v>
      </c>
      <c r="DQ176" s="101" t="e">
        <f t="shared" si="328"/>
        <v>#N/A</v>
      </c>
      <c r="DR176" s="91" t="e">
        <f t="shared" si="258"/>
        <v>#N/A</v>
      </c>
      <c r="DS176" s="30" t="e">
        <f t="shared" si="310"/>
        <v>#N/A</v>
      </c>
      <c r="DT176" s="30" t="e">
        <f t="shared" si="311"/>
        <v>#N/A</v>
      </c>
      <c r="DU176" s="31" t="e">
        <f>IF(OR(Hypothèses!$B$4=17,Hypothèses!$B$4=18,Hypothèses!$B$4=19,Hypothèses!$B$4=20),
IF($D176="Pressio.",
IF(OR($E176=3,$E176=1,$E176=4),DT176,DS176),
IF($D176="Pénétro.",
IF(OR($E176=3,$E176=1,$E176=4),DT176,DS176))),IF($D176="Pressio.",
IF($E176=3,DT176,DS176),
IF($D176="Pénétro.",
IF($E176=4,DT176,DS176))))</f>
        <v>#N/A</v>
      </c>
      <c r="DV176" s="31" t="e">
        <f>(IF(OR(Hypothèses!$B$4=17,Hypothèses!$B$4=18,Hypothèses!$B$4=19,Hypothèses!$B$4=20),
IF($D176="Pressio.",
IF(OR($E176=3,$E176=1,$E176=4),(PI()*DV$12^2)/4*(DR176*$W176*1000)/($H176*$B$5),(PI()*DV$12^2)/4*(DR176*$W176*1000)/($G176*$B$5)),
IF($D176="Pénétro.",
IF(OR($E176=4,$E176=1,$E176=5),(PI()*DV$12^2)/4*(DR176*$W176*1000)/($H176*$B$5),(PI()*DV$12^2)/4*(DR176*$W176*1000)/($G176*$B$5)))),
IF($D176="Pressio.",
IF($E176=3,(PI()*DV$12^2)/4*(DR176*$W176*1000)/($H176*$B$5),(PI()*DV$12^2)/4*(DR176*$W176*1000)/($G176*$B$5)),
IF($D176="Pénétro.",
IF($E176=4,(PI()*DV$12^2)/4*(DR176*$W176*1000)/($H176*$B$5),(PI()*DV$12^2)/4*(DR176*$W176*1000)/($G176*$B$5))))))/10</f>
        <v>#N/A</v>
      </c>
      <c r="DW176" s="102" t="e">
        <f>(VLOOKUP($B$3,'Coeff EC7'!$T$39:$X$59,2,0)*DU176+VLOOKUP($B$3,'Coeff EC7'!$T$65:$X$85,2,0)*Model0.1C!DV176)/1.1</f>
        <v>#N/A</v>
      </c>
      <c r="DX176" s="102" t="e">
        <f>(VLOOKUP($B$3,'Coeff EC7'!$T$39:$X$59,3,0)*DU176+VLOOKUP($B$3,'Coeff EC7'!$T$65:$X$85,3,0)*Model0.1C!DV176)/0.9</f>
        <v>#N/A</v>
      </c>
      <c r="DY176" s="102" t="e">
        <f t="shared" si="290"/>
        <v>#N/A</v>
      </c>
      <c r="DZ176" s="102" t="e">
        <f t="shared" si="291"/>
        <v>#N/A</v>
      </c>
      <c r="EA176" s="414" t="e">
        <f>IF(EA175=0,0,IF(AND(DW176&gt;charge_ELS_quasi,DX176&gt;Charge_ELS_freq,DY176&gt;charge_ELU,DZ176&gt;charge_ELA,$B176&gt;NDC!$H$22-0.1+MIN(3*$EA$12,1.5)),0,1))</f>
        <v>#N/A</v>
      </c>
      <c r="EB176" s="86" t="b">
        <f t="shared" si="259"/>
        <v>0</v>
      </c>
      <c r="EC176" s="418">
        <f t="shared" si="260"/>
        <v>0.51</v>
      </c>
      <c r="ED176" s="86">
        <f t="shared" si="261"/>
        <v>0.51</v>
      </c>
      <c r="EE176" s="30" t="e">
        <f t="shared" ca="1" si="292"/>
        <v>#DIV/0!</v>
      </c>
      <c r="EF176" s="85" t="e">
        <f ca="1">IF(DL176&lt;=Hypothèses!$V$7,Hypothèses!$W$7,IF(DL176&lt;=Hypothèses!$V$8,Hypothèses!$W$8,IF(DL176&lt;=Hypothèses!$V$9,Hypothèses!$W$9,IF(DL176&lt;=Hypothèses!$V$10,Hypothèses!$W$10,IF(DL176&lt;=Hypothèses!$V$11,Hypothèses!$W$11,IF(DL176&lt;=Hypothèses!$V$12,Hypothèses!$W$12,IF(DL176&lt;=Hypothèses!$V$13,Hypothèses!$W$13,IF(DL176&lt;=Hypothèses!$V$14,Hypothèses!$W$14,IF(DL176&lt;=Hypothèses!$V$15,Hypothèses!$W$15,IF(DL176&lt;=Hypothèses!$V$16,Hypothèses!$W$16,IF(DL176&lt;=Hypothèses!$V$17,Hypothèses!$W$17,IF(DL176&lt;=Hypothèses!$V$18,Hypothèses!$W$18,""))))))))))))</f>
        <v>#DIV/0!</v>
      </c>
      <c r="EG176" s="87" t="e">
        <f t="shared" ca="1" si="322"/>
        <v>#DIV/0!</v>
      </c>
      <c r="EH176" s="88" t="e">
        <f ca="1">IF(DL176&lt;=Hypothèses!$V$7,Hypothèses!$X$7,IF(DL176&lt;=Hypothèses!$V$8,Hypothèses!$X$8,IF(DL176&lt;=Hypothèses!$V$9,Hypothèses!$X$9,IF(DL176&lt;=Hypothèses!$V$10,Hypothèses!$X$10,IF(DL176&lt;=Hypothèses!$V$11,Hypothèses!$X$11,IF(DL176&lt;=Hypothèses!$V$12,Hypothèses!$X$12,IF(DL176&lt;=Hypothèses!$V$13,Hypothèses!$X$13,IF(DL176&lt;=Hypothèses!$V$14,Hypothèses!$X$14,IF(DL176&lt;=Hypothèses!$V$15,Hypothèses!$X$15,IF(DL176&lt;=Hypothèses!$V$16,Hypothèses!$X$16,IF(DL176&lt;=Hypothèses!$U$17,Hypothèses!$W$17,IF(DL176&lt;=Hypothèses!$U$18,Hypothèses!$W$18,""))))))))))))</f>
        <v>#DIV/0!</v>
      </c>
      <c r="EI176" s="95" t="e">
        <f t="shared" ca="1" si="293"/>
        <v>#DIV/0!</v>
      </c>
      <c r="EJ176" s="101" t="e">
        <f t="shared" si="329"/>
        <v>#N/A</v>
      </c>
      <c r="EK176" s="91" t="e">
        <f t="shared" si="262"/>
        <v>#N/A</v>
      </c>
      <c r="EL176" s="30" t="e">
        <f t="shared" si="312"/>
        <v>#N/A</v>
      </c>
      <c r="EM176" s="30" t="e">
        <f t="shared" si="313"/>
        <v>#N/A</v>
      </c>
      <c r="EN176" s="31" t="e">
        <f>IF(OR(Hypothèses!$B$4=17,Hypothèses!$B$4=18,Hypothèses!$B$4=19,Hypothèses!$B$4=20),
IF($D176="Pressio.",
IF(OR($E176=3,$E176=1,$E176=4),EM176,EL176),
IF($D176="Pénétro.",
IF(OR($E176=3,$E176=1,$E176=4),EM176,EL176))),IF($D176="Pressio.",
IF($E176=3,EM176,EL176),
IF($D176="Pénétro.",
IF($E176=4,EM176,EL176))))</f>
        <v>#N/A</v>
      </c>
      <c r="EO176" s="31" t="e">
        <f>(IF(OR(Hypothèses!$B$4=17,Hypothèses!$B$4=18,Hypothèses!$B$4=19,Hypothèses!$B$4=20),
IF($D176="Pressio.",
IF(OR($E176=3,$E176=1,$E176=4),(PI()*EO$12^2)/4*(EK176*$W176*1000)/($H176*$B$5),(PI()*EO$12^2)/4*(EK176*$W176*1000)/($G176*$B$5)),
IF($D176="Pénétro.",
IF(OR($E176=4,$E176=1,$E176=5),(PI()*EO$12^2)/4*(EK176*$W176*1000)/($H176*$B$5),(PI()*EO$12^2)/4*(EK176*$W176*1000)/($G176*$B$5)))),
IF($D176="Pressio.",
IF($E176=3,(PI()*EO$12^2)/4*(EK176*$W176*1000)/($H176*$B$5),(PI()*EO$12^2)/4*(EK176*$W176*1000)/($G176*$B$5)),
IF($D176="Pénétro.",
IF($E176=4,(PI()*EO$12^2)/4*(EK176*$W176*1000)/($H176*$B$5),(PI()*EO$12^2)/4*(EK176*$W176*1000)/($G176*$B$5))))))/10</f>
        <v>#N/A</v>
      </c>
      <c r="EP176" s="102" t="e">
        <f>(VLOOKUP($B$3,'Coeff EC7'!$T$39:$X$59,2,0)*EN176+VLOOKUP($B$3,'Coeff EC7'!$T$65:$X$85,2,0)*Model0.1C!EO176)/1.1</f>
        <v>#N/A</v>
      </c>
      <c r="EQ176" s="102" t="e">
        <f>(VLOOKUP($B$3,'Coeff EC7'!$T$39:$X$59,3,0)*EN176+VLOOKUP($B$3,'Coeff EC7'!$T$65:$X$85,3,0)*Model0.1C!EO176)/0.9</f>
        <v>#N/A</v>
      </c>
      <c r="ER176" s="102" t="e">
        <f t="shared" si="294"/>
        <v>#N/A</v>
      </c>
      <c r="ES176" s="102" t="e">
        <f t="shared" si="295"/>
        <v>#N/A</v>
      </c>
      <c r="ET176" s="414" t="e">
        <f>IF(ET175=0,0,IF(AND(EP176&gt;charge_ELS_quasi,EQ176&gt;Charge_ELS_freq,ER176&gt;charge_ELU,ES176&gt;charge_ELA,$B176&gt;NDC!$H$22-0.1+MIN(3*$ET$12,1.5)),0,1))</f>
        <v>#N/A</v>
      </c>
      <c r="EU176" s="86" t="b">
        <f t="shared" si="263"/>
        <v>0</v>
      </c>
      <c r="EV176" s="86">
        <f t="shared" si="264"/>
        <v>0.61</v>
      </c>
      <c r="EW176" s="86">
        <f t="shared" si="265"/>
        <v>0.61</v>
      </c>
      <c r="EX176" s="30" t="e">
        <f t="shared" ca="1" si="296"/>
        <v>#DIV/0!</v>
      </c>
      <c r="EY176" s="85" t="e">
        <f ca="1">IF(EE176&lt;=Hypothèses!$V$7,Hypothèses!$W$7,IF(EE176&lt;=Hypothèses!$V$8,Hypothèses!$W$8,IF(EE176&lt;=Hypothèses!$V$9,Hypothèses!$W$9,IF(EE176&lt;=Hypothèses!$V$10,Hypothèses!$W$10,IF(EE176&lt;=Hypothèses!$V$11,Hypothèses!$W$11,IF(EE176&lt;=Hypothèses!$V$12,Hypothèses!$W$12,IF(EE176&lt;=Hypothèses!$V$13,Hypothèses!$W$13,IF(EE176&lt;=Hypothèses!$V$14,Hypothèses!$W$14,IF(EE176&lt;=Hypothèses!$V$15,Hypothèses!$W$15,IF(EE176&lt;=Hypothèses!$V$16,Hypothèses!$W$16,IF(EE176&lt;=Hypothèses!$V$17,Hypothèses!$W$17,IF(EE176&lt;=Hypothèses!$V$18,Hypothèses!$W$18,""))))))))))))</f>
        <v>#DIV/0!</v>
      </c>
      <c r="EZ176" s="87" t="e">
        <f t="shared" ca="1" si="323"/>
        <v>#DIV/0!</v>
      </c>
      <c r="FA176" s="88" t="e">
        <f ca="1">IF(EE176&lt;=Hypothèses!$V$7,Hypothèses!$X$7,IF(EE176&lt;=Hypothèses!$V$8,Hypothèses!$X$8,IF(EE176&lt;=Hypothèses!$V$9,Hypothèses!$X$9,IF(EE176&lt;=Hypothèses!$V$10,Hypothèses!$X$10,IF(EE176&lt;=Hypothèses!$V$11,Hypothèses!$X$11,IF(EE176&lt;=Hypothèses!$V$12,Hypothèses!$X$12,IF(EE176&lt;=Hypothèses!$V$13,Hypothèses!$X$13,IF(EE176&lt;=Hypothèses!$V$14,Hypothèses!$X$14,IF(EE176&lt;=Hypothèses!$V$15,Hypothèses!$X$15,IF(EE176&lt;=Hypothèses!$V$16,Hypothèses!$X$16,IF(EE176&lt;=Hypothèses!$U$17,Hypothèses!$W$17,IF(EE176&lt;=Hypothèses!$U$18,Hypothèses!$W$18,""))))))))))))</f>
        <v>#DIV/0!</v>
      </c>
      <c r="FB176" s="95" t="e">
        <f t="shared" ca="1" si="297"/>
        <v>#DIV/0!</v>
      </c>
      <c r="FC176" s="101" t="e">
        <f t="shared" si="330"/>
        <v>#N/A</v>
      </c>
      <c r="FD176" s="91" t="e">
        <f t="shared" si="266"/>
        <v>#N/A</v>
      </c>
      <c r="FE176" s="30" t="e">
        <f t="shared" si="314"/>
        <v>#N/A</v>
      </c>
      <c r="FF176" s="30" t="e">
        <f t="shared" si="315"/>
        <v>#N/A</v>
      </c>
      <c r="FG176" s="31" t="e">
        <f>IF(OR(Hypothèses!$B$4=17,Hypothèses!$B$4=18,Hypothèses!$B$4=19,Hypothèses!$B$4=20),
IF($D176="Pressio.",
IF(OR($E176=3,$E176=1,$E176=4),FF176,FE176),
IF($D176="Pénétro.",
IF(OR($E176=3,$E176=1,$E176=4),FF176,FE176))),IF($D176="Pressio.",
IF($E176=3,FF176,FE176),
IF($D176="Pénétro.",
IF($E176=4,FF176,FE176))))</f>
        <v>#N/A</v>
      </c>
      <c r="FH176" s="31" t="e">
        <f>(IF(OR(Hypothèses!$B$4=17,Hypothèses!$B$4=18,Hypothèses!$B$4=19,Hypothèses!$B$4=20),
IF($D176="Pressio.",
IF(OR($E176=3,$E176=1,$E176=4),(PI()*FH$12^2)/4*(FD176*$W176*1000)/($H176*$B$5),(PI()*FH$12^2)/4*(FD176*$W176*1000)/($G176*$B$5)),
IF($D176="Pénétro.",
IF(OR($E176=4,$E176=1,$E176=5),(PI()*FH$12^2)/4*(FD176*$W176*1000)/($H176*$B$5),(PI()*FH$12^2)/4*(FD176*$W176*1000)/($G176*$B$5)))),
IF($D176="Pressio.",
IF($E176=3,(PI()*FH$12^2)/4*(FD176*$W176*1000)/($H176*$B$5),(PI()*FH$12^2)/4*(FD176*$W176*1000)/($G176*$B$5)),
IF($D176="Pénétro.",
IF($E176=4,(PI()*FH$12^2)/4*(FD176*$W176*1000)/($H176*$B$5),(PI()*FH$12^2)/4*(FD176*$W176*1000)/($G176*$B$5))))))/10</f>
        <v>#N/A</v>
      </c>
      <c r="FI176" s="102" t="e">
        <f>(VLOOKUP($B$3,'Coeff EC7'!$T$39:$X$59,2,0)*FG176+VLOOKUP($B$3,'Coeff EC7'!$T$65:$X$85,2,0)*Model0.1C!FH176)/1.1</f>
        <v>#N/A</v>
      </c>
      <c r="FJ176" s="102" t="e">
        <f>(VLOOKUP($B$3,'Coeff EC7'!$T$39:$X$59,3,0)*FG176+VLOOKUP($B$3,'Coeff EC7'!$T$65:$X$85,3,0)*Model0.1C!FH176)/0.9</f>
        <v>#N/A</v>
      </c>
      <c r="FK176" s="102" t="e">
        <f t="shared" si="298"/>
        <v>#N/A</v>
      </c>
      <c r="FL176" s="102" t="e">
        <f t="shared" si="299"/>
        <v>#N/A</v>
      </c>
      <c r="FM176" s="414" t="e">
        <f>IF(FM175=0,0,IF(AND(FI176&gt;charge_ELS_quasi,FJ176&gt;Charge_ELS_freq,FK176&gt;charge_ELU,FL176&gt;charge_ELA,$B176&gt;NDC!$H$22-0.1+MIN(3*$FM$12,1.5)),0,1))</f>
        <v>#N/A</v>
      </c>
    </row>
    <row r="177" spans="1:169">
      <c r="A177" s="96">
        <f t="shared" si="267"/>
        <v>83.600000000000932</v>
      </c>
      <c r="B177" s="97">
        <v>16.399999999999999</v>
      </c>
      <c r="C177" s="81">
        <f>IF(B177&lt;=Hypothèses!$C$7,Hypothèses!$A$7,IF(B177&lt;=Hypothèses!$C$8,Hypothèses!$A$8,IF(B177&lt;=Hypothèses!$C$9,Hypothèses!$A$9,IF(B177&lt;=Hypothèses!$C$10,Hypothèses!$A$10,IF(B177&lt;=Hypothèses!$C$11,Hypothèses!$A$11,IF(B177&lt;=Hypothèses!$C$12,Hypothèses!$A$12,IF(B177&lt;=Hypothèses!$C$13,Hypothèses!$A$13,IF(B177&lt;=Hypothèses!$C$14,Hypothèses!$A$14,IF(B177&lt;=Hypothèses!$C$15,Hypothèses!$A$15,IF(B177&lt;=Hypothèses!$C$16,Hypothèses!$A$16,IF(B177&lt;=Hypothèses!$C$17,Hypothèses!$A$17,IF(B177&lt;=Hypothèses!$C$18,Hypothèses!$A$18,C176))))))))))))</f>
        <v>11</v>
      </c>
      <c r="D177" s="82" t="str">
        <f>IF(B177&lt;=Hypothèses!$C$7,Hypothèses!$R$7,IF(B177&lt;=Hypothèses!$C$8,Hypothèses!$R$8,IF(B177&lt;=Hypothèses!$C$9,Hypothèses!$R$9,IF(B177&lt;=Hypothèses!$C$10,Hypothèses!$R$10,IF(B177&lt;=Hypothèses!$C$11,Hypothèses!$R$11,IF(B177&lt;=Hypothèses!$C$12,Hypothèses!$R$12,IF(B177&lt;=Hypothèses!$C$13,Hypothèses!$R$13,IF(B177&lt;=Hypothèses!$C$14,Hypothèses!$R$14,IF(B177&lt;=Hypothèses!$C$15,Hypothèses!$R$15,IF(B177&lt;=Hypothèses!$C$16,Hypothèses!$R$16,IF(B177&lt;=Hypothèses!$C$17,Hypothèses!$R$17,IF(B177&lt;=Hypothèses!$C$18,Hypothèses!$R$18,D176))))))))))))</f>
        <v>Pressio.</v>
      </c>
      <c r="E177" s="82" t="e">
        <f>IF(B177&lt;=Hypothèses!$C$7,Hypothèses!$G$7,IF(B177&lt;=Hypothèses!$C$8,Hypothèses!$G$8,IF(B177&lt;=Hypothèses!$C$9,Hypothèses!$G$9,IF(B177&lt;=Hypothèses!$C$10,Hypothèses!$G$10,IF(B177&lt;=Hypothèses!$C$11,Hypothèses!$G$11,IF(B177&lt;=Hypothèses!$C$12,Hypothèses!$G$12,IF(B177&lt;=Hypothèses!$C$13,Hypothèses!$G$13,IF(B177&lt;=Hypothèses!$C$14,Hypothèses!$G$14,IF(B177&lt;=Hypothèses!$C$15,Hypothèses!$G$15,IF(B177&lt;=Hypothèses!$C$16,Hypothèses!$G$16,IF(B177&lt;=Hypothèses!$C$17,Hypothèses!$G$17,IF(B177&lt;=Hypothèses!$C$18,Hypothèses!$G$18,E176))))))))))))</f>
        <v>#N/A</v>
      </c>
      <c r="F177" s="82" t="str">
        <f>IF(B177&lt;=Hypothèses!$C$7,Hypothèses!$F$7,IF(B177&lt;=Hypothèses!$C$8,Hypothèses!$F$8,IF(B177&lt;=Hypothèses!$C$9,Hypothèses!$F$9,IF(B177&lt;=Hypothèses!$C$10,Hypothèses!$F$10,IF(B177&lt;=Hypothèses!$C$11,Hypothèses!$F$11,IF(B177&lt;=Hypothèses!$C$12,Hypothèses!$F$12,IF(B177&lt;=Hypothèses!$C$13,Hypothèses!$F$13,IF(B177&lt;=Hypothèses!$C$14,Hypothèses!$F$14,IF(B177&lt;=Hypothèses!$C$15,Hypothèses!$F$15,IF(B177&lt;=Hypothèses!$C$16,Hypothèses!$F$16,IF(B177&lt;=Hypothèses!$C$17,Hypothèses!$F$17,IF(B177&lt;=Hypothèses!$C$18,Hypothèses!$F$18,F176))))))))))))</f>
        <v/>
      </c>
      <c r="G177" s="91">
        <f t="array" ref="G177">INDEX('Coeff EC7'!$U$7:$X$27,
MATCH(Model0.1C!$B$3,'Coeff EC7'!$T$7:$T$27,0),
MATCH(Model0.1C!$D177&amp;Model0.1C!$B$4,
'Coeff EC7'!$U$6:$X$6&amp;
'Coeff EC7'!$U$5:$X$5,0))</f>
        <v>1.1499999999999999</v>
      </c>
      <c r="H177" s="91">
        <f t="array" ref="H177">INDEX('Coeff EC7'!$Y$7:$AB$27,
MATCH(Model0.1C!$B$3,'Coeff EC7'!$T$7:$T$27,0),
MATCH(Model0.1C!$D177&amp;Model0.1C!$B$4,
'Coeff EC7'!$Y$6:$AB$6&amp;
'Coeff EC7'!$Y$5:$AB$5,0))</f>
        <v>1.4</v>
      </c>
      <c r="I177" s="83" t="e">
        <f>IF(B177&lt;=Hypothèses!$C$7,Hypothèses!$P$7,IF(B177&lt;=Hypothèses!$C$8,Hypothèses!$P$8,IF(B177&lt;=Hypothèses!$C$9,Hypothèses!$P$9,IF(B177&lt;=Hypothèses!$C$10,Hypothèses!$P$10,IF(B177&lt;=Hypothèses!$C$11,Hypothèses!$P$11,IF(B177&lt;=Hypothèses!$C$12,Hypothèses!$P$12,IF(B177&lt;=Hypothèses!$C$13,Hypothèses!$P$13,IF(B177&lt;=Hypothèses!$C$14,Hypothèses!$P$14,IF(B177&lt;=Hypothèses!$C$15,Hypothèses!$P$15,IF(B177&lt;=Hypothèses!$C$16,Hypothèses!$P$16,IF(B177&lt;=Hypothèses!$C$17,Hypothèses!$P$17,IF(B177&lt;=Hypothèses!$C$18,Hypothèses!$P$18,I176))))))))))))</f>
        <v>#N/A</v>
      </c>
      <c r="J177" s="91" t="e">
        <f t="array" ref="J177">INDEX('Coeff EC7'!$D$33:$Q$33,1,MATCH(D177&amp;E177,'Coeff EC7'!$D$31:$Q$31&amp;'Coeff EC7'!$D$32:$Q$32,0))</f>
        <v>#N/A</v>
      </c>
      <c r="K177" s="91" t="e">
        <f t="array" ref="K177">INDEX('Coeff EC7'!$D$34:$Q$34,1,MATCH(D177&amp;E177,'Coeff EC7'!$D$31:$Q$31&amp;'Coeff EC7'!$D$32:$Q$32,0))</f>
        <v>#N/A</v>
      </c>
      <c r="L177" s="91" t="e">
        <f t="array" ref="L177">INDEX('Coeff EC7'!$D$35:$Q$35,1,MATCH(D177&amp;E177,'Coeff EC7'!$D$31:$Q$31&amp;'Coeff EC7'!$D$32:$Q$32,0))</f>
        <v>#N/A</v>
      </c>
      <c r="M177" s="98" t="e">
        <f t="shared" si="231"/>
        <v>#N/A</v>
      </c>
      <c r="N177" s="99" t="e">
        <f t="array" ref="N177">INDEX('Coeff EC7'!$D$7:$Q$27,MATCH($B$3,'Coeff EC7'!$C$7:$C$27,0),MATCH(D177&amp;E177,'Coeff EC7'!$D$5:$Q$5&amp;'Coeff EC7'!$D$6:$Q$6,0))</f>
        <v>#N/A</v>
      </c>
      <c r="O177" s="99" t="e">
        <f t="array" ref="O177">INDEX('Coeff EC7'!$D$41:$Q$61,MATCH($B$3,'Coeff EC7'!$C$41:$C$61,0),MATCH(D177&amp;E177,'Coeff EC7'!$D$39:$Q$39&amp;'Coeff EC7'!$D$40:$Q$40,0))</f>
        <v>#N/A</v>
      </c>
      <c r="P177" s="30" t="e">
        <f t="shared" si="268"/>
        <v>#N/A</v>
      </c>
      <c r="Q177" s="100" t="e">
        <f t="shared" si="233"/>
        <v>#N/A</v>
      </c>
      <c r="R177" s="86" t="b">
        <f t="shared" si="234"/>
        <v>0</v>
      </c>
      <c r="S177" s="86">
        <f t="shared" si="232"/>
        <v>0.5</v>
      </c>
      <c r="T177" s="86">
        <f t="shared" si="235"/>
        <v>0.5</v>
      </c>
      <c r="U177" s="30" t="e">
        <f t="shared" ca="1" si="269"/>
        <v>#DIV/0!</v>
      </c>
      <c r="V177" s="85" t="str">
        <f>IF(B177&lt;=Hypothèses!$V$7,Hypothèses!$W$7,IF(B177&lt;=Hypothèses!$V$8,Hypothèses!$W$8,IF(B177&lt;=Hypothèses!$V$9,Hypothèses!$W$9,IF(B177&lt;=Hypothèses!$V$10,Hypothèses!$W$10,IF(B177&lt;=Hypothèses!$V$11,Hypothèses!$W$11,IF(B177&lt;=Hypothèses!$V$12,Hypothèses!$W$12,IF(B177&lt;=Hypothèses!$V$13,Hypothèses!$W$13,IF(B177&lt;=Hypothèses!$V$14,Hypothèses!$W$14,IF(B177&lt;=Hypothèses!$V$15,Hypothèses!$W$15,IF(B177&lt;=Hypothèses!$V$16,Hypothèses!$W$16,IF(B177&lt;=Hypothèses!$V$17,Hypothèses!$W$17,IF(B177&lt;=Hypothèses!$V$18,Hypothèses!$W$18,""))))))))))))</f>
        <v/>
      </c>
      <c r="W177" s="87" t="e">
        <f t="shared" ca="1" si="316"/>
        <v>#DIV/0!</v>
      </c>
      <c r="X177" s="88" t="str">
        <f>IF(B177&lt;=Hypothèses!$V$7,Hypothèses!$X$7,IF(B177&lt;=Hypothèses!$V$8,Hypothèses!$X$8,IF(B177&lt;=Hypothèses!$V$9,Hypothèses!$X$9,IF(B177&lt;=Hypothèses!$V$10,Hypothèses!$X$10,IF(B177&lt;=Hypothèses!$V$11,Hypothèses!$X$11,IF(B177&lt;=Hypothèses!$V$12,Hypothèses!$X$12,IF(B177&lt;=Hypothèses!$V$13,Hypothèses!$X$13,IF(B177&lt;=Hypothèses!$V$14,Hypothèses!$X$14,IF(B177&lt;=Hypothèses!$V$15,Hypothèses!$X$15,IF(B177&lt;=Hypothèses!$V$16,Hypothèses!$X$16,IF(B177&lt;=Hypothèses!$U$17,Hypothèses!$W$17,IF(B177&lt;=Hypothèses!$U$18,Hypothèses!$W$18,""))))))))))))</f>
        <v/>
      </c>
      <c r="Y177" s="95" t="e">
        <f t="shared" ca="1" si="236"/>
        <v>#DIV/0!</v>
      </c>
      <c r="Z177" s="101" t="e">
        <f t="shared" si="237"/>
        <v>#N/A</v>
      </c>
      <c r="AA177" s="91" t="e">
        <f t="shared" si="238"/>
        <v>#N/A</v>
      </c>
      <c r="AB177" s="30" t="e">
        <f t="shared" si="300"/>
        <v>#N/A</v>
      </c>
      <c r="AC177" s="30" t="e">
        <f t="shared" si="301"/>
        <v>#N/A</v>
      </c>
      <c r="AD177" s="31" t="e">
        <f>IF(OR(Hypothèses!$B$4=17,Hypothèses!$B$4=18,Hypothèses!$B$4=19,Hypothèses!$B$4=20),
IF($D177="Pressio.",
IF(OR($E177=3,$E177=1,$E177=4),AC177,AB177),
IF($D177="Pénétro.",
IF(OR($E177=3,$E177=1,$E177=4),AC177,AB177))),IF($D177="Pressio.",
IF($E177=3,AC177,AB177),
IF($D177="Pénétro.",
IF($E177=4,AC177,AB177))))</f>
        <v>#N/A</v>
      </c>
      <c r="AE177" s="31" t="e">
        <f>(IF(OR(Hypothèses!$B$4=17,Hypothèses!$B$4=18,Hypothèses!$B$4=19,Hypothèses!$B$4=20),
IF($D177="Pressio.",
IF(OR($E177=3,$E177=1,$E177=4),(PI()*AE$12^2)/4*(AA177*$W177*1000)/($H177*$B$5),(PI()*AE$12^2)/4*(AA177*$W177*1000)/($G177*$B$5)),
IF($D177="Pénétro.",
IF(OR($E177=4,$E177=1,$E177=5),(PI()*AE$12^2)/4*(AA177*$W177*1000)/($H177*$B$5),(PI()*AE$12^2)/4*(AA177*$W177*1000)/($G177*$B$5)))),
IF($D177="Pressio.",
IF($E177=3,(PI()*AE$12^2)/4*(AA177*$W177*1000)/($H177*$B$5),(PI()*AE$12^2)/4*(AA177*$W177*1000)/($G177*$B$5)),
IF($D177="Pénétro.",
IF($E177=4,(PI()*AE$12^2)/4*(AA177*$W177*1000)/($H177*$B$5),(PI()*AE$12^2)/4*(AA177*$W177*1000)/($G177*$B$5))))))/10</f>
        <v>#N/A</v>
      </c>
      <c r="AF177" s="102" t="e">
        <f>(VLOOKUP($B$3,'Coeff EC7'!$T$39:$X$59,2,0)*AD177+VLOOKUP($B$3,'Coeff EC7'!$T$65:$X$85,2,0)*Model0.1C!AE177)/1.1</f>
        <v>#N/A</v>
      </c>
      <c r="AG177" s="102" t="e">
        <f>(VLOOKUP($B$3,'Coeff EC7'!$T$39:$X$59,3,0)*AD177+VLOOKUP($B$3,'Coeff EC7'!$T$65:$X$85,3,0)*Model0.1C!AE177)/0.9</f>
        <v>#N/A</v>
      </c>
      <c r="AH177" s="102" t="e">
        <f t="shared" si="239"/>
        <v>#N/A</v>
      </c>
      <c r="AI177" s="102" t="e">
        <f t="shared" si="240"/>
        <v>#N/A</v>
      </c>
      <c r="AJ177" s="414" t="e">
        <f>IF(AJ176=0,0,IF(AND(AF177&gt;charge_ELS_quasi,AG177&gt;Charge_ELS_freq,AH177&gt;charge_ELU,AI177&gt;charge_ELA,$B177&gt;NDC!$H$22-0.1+MIN(3*$AJ$12,1.5)),0,1))</f>
        <v>#N/A</v>
      </c>
      <c r="AK177" s="86" t="b">
        <f t="shared" si="241"/>
        <v>0</v>
      </c>
      <c r="AL177" s="86">
        <f t="shared" si="270"/>
        <v>0.5</v>
      </c>
      <c r="AM177" s="86">
        <f t="shared" si="242"/>
        <v>0.5</v>
      </c>
      <c r="AN177" s="30" t="e">
        <f t="shared" ca="1" si="271"/>
        <v>#DIV/0!</v>
      </c>
      <c r="AO177" s="85" t="e">
        <f ca="1">IF(U177&lt;=Hypothèses!$V$7,Hypothèses!$W$7,IF(U177&lt;=Hypothèses!$V$8,Hypothèses!$W$8,IF(U177&lt;=Hypothèses!$V$9,Hypothèses!$W$9,IF(U177&lt;=Hypothèses!$V$10,Hypothèses!$W$10,IF(U177&lt;=Hypothèses!$V$11,Hypothèses!$W$11,IF(U177&lt;=Hypothèses!$V$12,Hypothèses!$W$12,IF(U177&lt;=Hypothèses!$V$13,Hypothèses!$W$13,IF(U177&lt;=Hypothèses!$V$14,Hypothèses!$W$14,IF(U177&lt;=Hypothèses!$V$15,Hypothèses!$W$15,IF(U177&lt;=Hypothèses!$V$16,Hypothèses!$W$16,IF(U177&lt;=Hypothèses!$V$17,Hypothèses!$W$17,IF(U177&lt;=Hypothèses!$V$18,Hypothèses!$W$18,""))))))))))))</f>
        <v>#DIV/0!</v>
      </c>
      <c r="AP177" s="87" t="e">
        <f t="shared" ca="1" si="317"/>
        <v>#DIV/0!</v>
      </c>
      <c r="AQ177" s="88" t="e">
        <f ca="1">IF(U177&lt;=Hypothèses!$V$7,Hypothèses!$X$7,IF(U177&lt;=Hypothèses!$V$8,Hypothèses!$X$8,IF(U177&lt;=Hypothèses!$V$9,Hypothèses!$X$9,IF(U177&lt;=Hypothèses!$V$10,Hypothèses!$X$10,IF(U177&lt;=Hypothèses!$V$11,Hypothèses!$X$11,IF(U177&lt;=Hypothèses!$V$12,Hypothèses!$X$12,IF(U177&lt;=Hypothèses!$V$13,Hypothèses!$X$13,IF(U177&lt;=Hypothèses!$V$14,Hypothèses!$X$14,IF(U177&lt;=Hypothèses!$V$15,Hypothèses!$X$15,IF(U177&lt;=Hypothèses!$V$16,Hypothèses!$X$16,IF(U177&lt;=Hypothèses!$U$17,Hypothèses!$W$17,IF(U177&lt;=Hypothèses!$U$18,Hypothèses!$W$18,""))))))))))))</f>
        <v>#DIV/0!</v>
      </c>
      <c r="AR177" s="95" t="e">
        <f t="shared" ca="1" si="272"/>
        <v>#DIV/0!</v>
      </c>
      <c r="AS177" s="101" t="e">
        <f t="shared" si="324"/>
        <v>#N/A</v>
      </c>
      <c r="AT177" s="91" t="e">
        <f t="shared" si="243"/>
        <v>#N/A</v>
      </c>
      <c r="AU177" s="30" t="e">
        <f t="shared" si="302"/>
        <v>#N/A</v>
      </c>
      <c r="AV177" s="30" t="e">
        <f t="shared" si="303"/>
        <v>#N/A</v>
      </c>
      <c r="AW177" s="31" t="e">
        <f>IF(OR(Hypothèses!$B$4=17,Hypothèses!$B$4=18,Hypothèses!$B$4=19,Hypothèses!$B$4=20),
IF($D177="Pressio.",
IF(OR($E177=3,$E177=1,$E177=4),AV177,AU177),
IF($D177="Pénétro.",
IF(OR($E177=3,$E177=1,$E177=4),AV177,AU177))),IF($D177="Pressio.",
IF($E177=3,AV177,AU177),
IF($D177="Pénétro.",
IF($E177=4,AV177,AU177))))</f>
        <v>#N/A</v>
      </c>
      <c r="AX177" s="31" t="e">
        <f>(IF(OR(Hypothèses!$B$4=17,Hypothèses!$B$4=18,Hypothèses!$B$4=19,Hypothèses!$B$4=20),
IF($D177="Pressio.",
IF(OR($E177=3,$E177=1,$E177=4),(PI()*AX$12^2)/4*(AT177*$W177*1000)/($H177*$B$5),(PI()*AX$12^2)/4*(AT177*$W177*1000)/($G177*$B$5)),
IF($D177="Pénétro.",
IF(OR($E177=4,$E177=1,$E177=5),(PI()*AX$12^2)/4*(AT177*$W177*1000)/($H177*$B$5),(PI()*AX$12^2)/4*(AT177*$W177*1000)/($G177*$B$5)))),
IF($D177="Pressio.",
IF($E177=3,(PI()*AX$12^2)/4*(AT177*$W177*1000)/($H177*$B$5),(PI()*AX$12^2)/4*(AT177*$W177*1000)/($G177*$B$5)),
IF($D177="Pénétro.",
IF($E177=4,(PI()*AX$12^2)/4*(AT177*$W177*1000)/($H177*$B$5),(PI()*AX$12^2)/4*(AT177*$W177*1000)/($G177*$B$5))))))/10</f>
        <v>#N/A</v>
      </c>
      <c r="AY177" s="102" t="e">
        <f>(VLOOKUP($B$3,'Coeff EC7'!$T$39:$X$59,2,0)*AW177+VLOOKUP($B$3,'Coeff EC7'!$T$65:$X$85,2,0)*Model0.1C!AX177)/1.1</f>
        <v>#N/A</v>
      </c>
      <c r="AZ177" s="102" t="e">
        <f>(VLOOKUP($B$3,'Coeff EC7'!$T$39:$X$59,3,0)*AW177+VLOOKUP($B$3,'Coeff EC7'!$T$65:$X$85,3,0)*Model0.1C!AX177)/0.9</f>
        <v>#N/A</v>
      </c>
      <c r="BA177" s="102" t="e">
        <f t="shared" si="273"/>
        <v>#N/A</v>
      </c>
      <c r="BB177" s="102" t="e">
        <f t="shared" si="274"/>
        <v>#N/A</v>
      </c>
      <c r="BC177" s="414" t="e">
        <f>IF(BC176=0,0,IF(AND(AY177&gt;charge_ELS_quasi,AZ177&gt;Charge_ELS_freq,BA177&gt;charge_ELU,BB177&gt;charge_ELA,$B177&gt;NDC!$H$22-0.1+MIN(3*$BC$12,1.5)),0,1))</f>
        <v>#N/A</v>
      </c>
      <c r="BD177" s="86" t="b">
        <f t="shared" si="244"/>
        <v>0</v>
      </c>
      <c r="BE177" s="86">
        <f t="shared" si="275"/>
        <v>0.5</v>
      </c>
      <c r="BF177" s="86">
        <f t="shared" si="245"/>
        <v>0.5</v>
      </c>
      <c r="BG177" s="30" t="e">
        <f t="shared" ca="1" si="276"/>
        <v>#DIV/0!</v>
      </c>
      <c r="BH177" s="85" t="e">
        <f ca="1">IF(AN177&lt;=Hypothèses!$V$7,Hypothèses!$W$7,IF(AN177&lt;=Hypothèses!$V$8,Hypothèses!$W$8,IF(AN177&lt;=Hypothèses!$V$9,Hypothèses!$W$9,IF(AN177&lt;=Hypothèses!$V$10,Hypothèses!$W$10,IF(AN177&lt;=Hypothèses!$V$11,Hypothèses!$W$11,IF(AN177&lt;=Hypothèses!$V$12,Hypothèses!$W$12,IF(AN177&lt;=Hypothèses!$V$13,Hypothèses!$W$13,IF(AN177&lt;=Hypothèses!$V$14,Hypothèses!$W$14,IF(AN177&lt;=Hypothèses!$V$15,Hypothèses!$W$15,IF(AN177&lt;=Hypothèses!$V$16,Hypothèses!$W$16,IF(AN177&lt;=Hypothèses!$V$17,Hypothèses!$W$17,IF(AN177&lt;=Hypothèses!$V$18,Hypothèses!$W$18,""))))))))))))</f>
        <v>#DIV/0!</v>
      </c>
      <c r="BI177" s="87" t="e">
        <f t="shared" ca="1" si="318"/>
        <v>#DIV/0!</v>
      </c>
      <c r="BJ177" s="88" t="e">
        <f ca="1">IF(AN177&lt;=Hypothèses!$V$7,Hypothèses!$X$7,IF(AN177&lt;=Hypothèses!$V$8,Hypothèses!$X$8,IF(AN177&lt;=Hypothèses!$V$9,Hypothèses!$X$9,IF(AN177&lt;=Hypothèses!$V$10,Hypothèses!$X$10,IF(AN177&lt;=Hypothèses!$V$11,Hypothèses!$X$11,IF(AN177&lt;=Hypothèses!$V$12,Hypothèses!$X$12,IF(AN177&lt;=Hypothèses!$V$13,Hypothèses!$X$13,IF(AN177&lt;=Hypothèses!$V$14,Hypothèses!$X$14,IF(AN177&lt;=Hypothèses!$V$15,Hypothèses!$X$15,IF(AN177&lt;=Hypothèses!$V$16,Hypothèses!$X$16,IF(AN177&lt;=Hypothèses!$U$17,Hypothèses!$W$17,IF(AN177&lt;=Hypothèses!$U$18,Hypothèses!$W$18,""))))))))))))</f>
        <v>#DIV/0!</v>
      </c>
      <c r="BK177" s="95" t="e">
        <f t="shared" ca="1" si="277"/>
        <v>#DIV/0!</v>
      </c>
      <c r="BL177" s="101" t="e">
        <f t="shared" si="325"/>
        <v>#N/A</v>
      </c>
      <c r="BM177" s="91" t="e">
        <f t="shared" si="246"/>
        <v>#N/A</v>
      </c>
      <c r="BN177" s="30" t="e">
        <f t="shared" si="304"/>
        <v>#N/A</v>
      </c>
      <c r="BO177" s="30" t="e">
        <f t="shared" si="305"/>
        <v>#N/A</v>
      </c>
      <c r="BP177" s="31" t="e">
        <f>IF(OR(Hypothèses!$B$4=17,Hypothèses!$B$4=18,Hypothèses!$B$4=19,Hypothèses!$B$4=20),
IF($D177="Pressio.",
IF(OR($E177=3,$E177=1,$E177=4),BO177,BN177),
IF($D177="Pénétro.",
IF(OR($E177=3,$E177=1,$E177=4),BO177,BN177))),IF($D177="Pressio.",
IF($E177=3,BO177,BN177),
IF($D177="Pénétro.",
IF($E177=4,BO177,BN177))))</f>
        <v>#N/A</v>
      </c>
      <c r="BQ177" s="31" t="e">
        <f>(IF(OR(Hypothèses!$B$4=17,Hypothèses!$B$4=18,Hypothèses!$B$4=19,Hypothèses!$B$4=20),
IF($D177="Pressio.",
IF(OR($E177=3,$E177=1,$E177=4),(PI()*BQ$12^2)/4*(BM177*$W177*1000)/($H177*$B$5),(PI()*BQ$12^2)/4*(BM177*$W177*1000)/($G177*$B$5)),
IF($D177="Pénétro.",
IF(OR($E177=4,$E177=1,$E177=5),(PI()*BQ$12^2)/4*(BM177*$W177*1000)/($H177*$B$5),(PI()*BQ$12^2)/4*(BM177*$W177*1000)/($G177*$B$5)))),
IF($D177="Pressio.",
IF($E177=3,(PI()*BQ$12^2)/4*(BM177*$W177*1000)/($H177*$B$5),(PI()*BQ$12^2)/4*(BM177*$W177*1000)/($G177*$B$5)),
IF($D177="Pénétro.",
IF($E177=4,(PI()*BQ$12^2)/4*(BM177*$W177*1000)/($H177*$B$5),(PI()*BQ$12^2)/4*(BM177*$W177*1000)/($G177*$B$5))))))/10</f>
        <v>#N/A</v>
      </c>
      <c r="BR177" s="102" t="e">
        <f>(VLOOKUP($B$3,'Coeff EC7'!$T$39:$X$59,2,0)*BP177+VLOOKUP($B$3,'Coeff EC7'!$T$65:$X$85,2,0)*Model0.1C!BQ177)/1.1</f>
        <v>#N/A</v>
      </c>
      <c r="BS177" s="102" t="e">
        <f>(VLOOKUP($B$3,'Coeff EC7'!$T$39:$X$59,3,0)*BP177+VLOOKUP($B$3,'Coeff EC7'!$T$65:$X$85,3,0)*Model0.1C!BQ177)/0.9</f>
        <v>#N/A</v>
      </c>
      <c r="BT177" s="102" t="e">
        <f t="shared" si="278"/>
        <v>#N/A</v>
      </c>
      <c r="BU177" s="102" t="e">
        <f t="shared" si="279"/>
        <v>#N/A</v>
      </c>
      <c r="BV177" s="414" t="e">
        <f>IF(BV176=0,0,IF(AND(BR177&gt;charge_ELS_quasi,BS177&gt;Charge_ELS_freq,BT177&gt;charge_ELU,BU177&gt;charge_ELA,$B177&gt;NDC!$H$22-0.1+MIN(3*$BV$12,1.5)),0,1))</f>
        <v>#N/A</v>
      </c>
      <c r="BW177" s="86" t="b">
        <f t="shared" si="247"/>
        <v>0</v>
      </c>
      <c r="BX177" s="86">
        <f t="shared" si="248"/>
        <v>0.5</v>
      </c>
      <c r="BY177" s="86">
        <f t="shared" si="249"/>
        <v>0.5</v>
      </c>
      <c r="BZ177" s="30" t="e">
        <f t="shared" ca="1" si="280"/>
        <v>#DIV/0!</v>
      </c>
      <c r="CA177" s="85" t="e">
        <f ca="1">IF(BG177&lt;=Hypothèses!$V$7,Hypothèses!$W$7,IF(BG177&lt;=Hypothèses!$V$8,Hypothèses!$W$8,IF(BG177&lt;=Hypothèses!$V$9,Hypothèses!$W$9,IF(BG177&lt;=Hypothèses!$V$10,Hypothèses!$W$10,IF(BG177&lt;=Hypothèses!$V$11,Hypothèses!$W$11,IF(BG177&lt;=Hypothèses!$V$12,Hypothèses!$W$12,IF(BG177&lt;=Hypothèses!$V$13,Hypothèses!$W$13,IF(BG177&lt;=Hypothèses!$V$14,Hypothèses!$W$14,IF(BG177&lt;=Hypothèses!$V$15,Hypothèses!$W$15,IF(BG177&lt;=Hypothèses!$V$16,Hypothèses!$W$16,IF(BG177&lt;=Hypothèses!$V$17,Hypothèses!$W$17,IF(BG177&lt;=Hypothèses!$V$18,Hypothèses!$W$18,""))))))))))))</f>
        <v>#DIV/0!</v>
      </c>
      <c r="CB177" s="87" t="e">
        <f t="shared" ca="1" si="319"/>
        <v>#DIV/0!</v>
      </c>
      <c r="CC177" s="88" t="e">
        <f ca="1">IF(BG177&lt;=Hypothèses!$V$7,Hypothèses!$X$7,IF(BG177&lt;=Hypothèses!$V$8,Hypothèses!$X$8,IF(BG177&lt;=Hypothèses!$V$9,Hypothèses!$X$9,IF(BG177&lt;=Hypothèses!$V$10,Hypothèses!$X$10,IF(BG177&lt;=Hypothèses!$V$11,Hypothèses!$X$11,IF(BG177&lt;=Hypothèses!$V$12,Hypothèses!$X$12,IF(BG177&lt;=Hypothèses!$V$13,Hypothèses!$X$13,IF(BG177&lt;=Hypothèses!$V$14,Hypothèses!$X$14,IF(BG177&lt;=Hypothèses!$V$15,Hypothèses!$X$15,IF(BG177&lt;=Hypothèses!$V$16,Hypothèses!$X$16,IF(BG177&lt;=Hypothèses!$U$17,Hypothèses!$W$17,IF(BG177&lt;=Hypothèses!$U$18,Hypothèses!$W$18,""))))))))))))</f>
        <v>#DIV/0!</v>
      </c>
      <c r="CD177" s="95" t="e">
        <f t="shared" ca="1" si="281"/>
        <v>#DIV/0!</v>
      </c>
      <c r="CE177" s="101" t="e">
        <f t="shared" si="326"/>
        <v>#N/A</v>
      </c>
      <c r="CF177" s="91" t="e">
        <f t="shared" si="250"/>
        <v>#N/A</v>
      </c>
      <c r="CG177" s="30" t="e">
        <f t="shared" si="306"/>
        <v>#N/A</v>
      </c>
      <c r="CH177" s="30" t="e">
        <f t="shared" si="307"/>
        <v>#N/A</v>
      </c>
      <c r="CI177" s="31" t="e">
        <f>IF(OR(Hypothèses!$B$4=17,Hypothèses!$B$4=18,Hypothèses!$B$4=19,Hypothèses!$B$4=20),
IF($D177="Pressio.",
IF(OR($E177=3,$E177=1,$E177=4),CH177,CG177),
IF($D177="Pénétro.",
IF(OR($E177=3,$E177=1,$E177=4),CH177,CG177))),IF($D177="Pressio.",
IF($E177=3,CH177,CG177),
IF($D177="Pénétro.",
IF($E177=4,CH177,CG177))))</f>
        <v>#N/A</v>
      </c>
      <c r="CJ177" s="31" t="e">
        <f>(IF(OR(Hypothèses!$B$4=17,Hypothèses!$B$4=18,Hypothèses!$B$4=19,Hypothèses!$B$4=20),
IF($D177="Pressio.",
IF(OR($E177=3,$E177=1,$E177=4),(PI()*CJ$12^2)/4*(CF177*$W177*1000)/($H177*$B$5),(PI()*CJ$12^2)/4*(CF177*$W177*1000)/($G177*$B$5)),
IF($D177="Pénétro.",
IF(OR($E177=4,$E177=1,$E177=5),(PI()*CJ$12^2)/4*(CF177*$W177*1000)/($H177*$B$5),(PI()*CJ$12^2)/4*(CF177*$W177*1000)/($G177*$B$5)))),
IF($D177="Pressio.",
IF($E177=3,(PI()*CJ$12^2)/4*(CF177*$W177*1000)/($H177*$B$5),(PI()*CJ$12^2)/4*(CF177*$W177*1000)/($G177*$B$5)),
IF($D177="Pénétro.",
IF($E177=4,(PI()*CJ$12^2)/4*(CF177*$W177*1000)/($H177*$B$5),(PI()*CJ$12^2)/4*(CF177*$W177*1000)/($G177*$B$5))))))/10</f>
        <v>#N/A</v>
      </c>
      <c r="CK177" s="102" t="e">
        <f>(VLOOKUP($B$3,'Coeff EC7'!$T$39:$X$59,2,0)*CI177+VLOOKUP($B$3,'Coeff EC7'!$T$65:$X$85,2,0)*Model0.1C!CJ177)/1.1</f>
        <v>#N/A</v>
      </c>
      <c r="CL177" s="102" t="e">
        <f>(VLOOKUP($B$3,'Coeff EC7'!$T$39:$X$59,3,0)*CI177+VLOOKUP($B$3,'Coeff EC7'!$T$65:$X$85,3,0)*Model0.1C!CJ177)/0.9</f>
        <v>#N/A</v>
      </c>
      <c r="CM177" s="102" t="e">
        <f t="shared" si="282"/>
        <v>#N/A</v>
      </c>
      <c r="CN177" s="102" t="e">
        <f t="shared" si="283"/>
        <v>#N/A</v>
      </c>
      <c r="CO177" s="414" t="e">
        <f>IF(CO176=0,0,IF(AND(CK177&gt;charge_ELS_quasi,CL177&gt;Charge_ELS_freq,CM177&gt;charge_ELU,CN177&gt;charge_ELA,$B177&gt;NDC!$H$22-0.1+MIN(3*$CO$12,1.5)),0,1))</f>
        <v>#N/A</v>
      </c>
      <c r="CP177" s="86" t="b">
        <f t="shared" si="251"/>
        <v>0</v>
      </c>
      <c r="CQ177" s="86">
        <f t="shared" si="252"/>
        <v>0.5</v>
      </c>
      <c r="CR177" s="86">
        <f t="shared" si="253"/>
        <v>0.5</v>
      </c>
      <c r="CS177" s="30" t="e">
        <f t="shared" ca="1" si="284"/>
        <v>#DIV/0!</v>
      </c>
      <c r="CT177" s="85" t="e">
        <f ca="1">IF(BZ177&lt;=Hypothèses!$V$7,Hypothèses!$W$7,IF(BZ177&lt;=Hypothèses!$V$8,Hypothèses!$W$8,IF(BZ177&lt;=Hypothèses!$V$9,Hypothèses!$W$9,IF(BZ177&lt;=Hypothèses!$V$10,Hypothèses!$W$10,IF(BZ177&lt;=Hypothèses!$V$11,Hypothèses!$W$11,IF(BZ177&lt;=Hypothèses!$V$12,Hypothèses!$W$12,IF(BZ177&lt;=Hypothèses!$V$13,Hypothèses!$W$13,IF(BZ177&lt;=Hypothèses!$V$14,Hypothèses!$W$14,IF(BZ177&lt;=Hypothèses!$V$15,Hypothèses!$W$15,IF(BZ177&lt;=Hypothèses!$V$16,Hypothèses!$W$16,IF(BZ177&lt;=Hypothèses!$V$17,Hypothèses!$W$17,IF(BZ177&lt;=Hypothèses!$V$18,Hypothèses!$W$18,""))))))))))))</f>
        <v>#DIV/0!</v>
      </c>
      <c r="CU177" s="87" t="e">
        <f t="shared" ca="1" si="320"/>
        <v>#DIV/0!</v>
      </c>
      <c r="CV177" s="88" t="e">
        <f ca="1">IF(BZ177&lt;=Hypothèses!$V$7,Hypothèses!$X$7,IF(BZ177&lt;=Hypothèses!$V$8,Hypothèses!$X$8,IF(BZ177&lt;=Hypothèses!$V$9,Hypothèses!$X$9,IF(BZ177&lt;=Hypothèses!$V$10,Hypothèses!$X$10,IF(BZ177&lt;=Hypothèses!$V$11,Hypothèses!$X$11,IF(BZ177&lt;=Hypothèses!$V$12,Hypothèses!$X$12,IF(BZ177&lt;=Hypothèses!$V$13,Hypothèses!$X$13,IF(BZ177&lt;=Hypothèses!$V$14,Hypothèses!$X$14,IF(BZ177&lt;=Hypothèses!$V$15,Hypothèses!$X$15,IF(BZ177&lt;=Hypothèses!$V$16,Hypothèses!$X$16,IF(BZ177&lt;=Hypothèses!$U$17,Hypothèses!$W$17,IF(BZ177&lt;=Hypothèses!$U$18,Hypothèses!$W$18,""))))))))))))</f>
        <v>#DIV/0!</v>
      </c>
      <c r="CW177" s="95" t="e">
        <f t="shared" ca="1" si="285"/>
        <v>#DIV/0!</v>
      </c>
      <c r="CX177" s="101" t="e">
        <f t="shared" si="327"/>
        <v>#N/A</v>
      </c>
      <c r="CY177" s="91" t="e">
        <f t="shared" si="254"/>
        <v>#N/A</v>
      </c>
      <c r="CZ177" s="30" t="e">
        <f t="shared" si="308"/>
        <v>#N/A</v>
      </c>
      <c r="DA177" s="30" t="e">
        <f t="shared" si="309"/>
        <v>#N/A</v>
      </c>
      <c r="DB177" s="31" t="e">
        <f>IF(OR(Hypothèses!$B$4=17,Hypothèses!$B$4=18,Hypothèses!$B$4=19,Hypothèses!$B$4=20),
IF($D177="Pressio.",
IF(OR($E177=3,$E177=1,$E177=4),DA177,CZ177),
IF($D177="Pénétro.",
IF(OR($E177=3,$E177=1,$E177=4),DA177,CZ177))),IF($D177="Pressio.",
IF($E177=3,DA177,CZ177),
IF($D177="Pénétro.",
IF($E177=4,DA177,CZ177))))</f>
        <v>#N/A</v>
      </c>
      <c r="DC177" s="31" t="e">
        <f>(IF(OR(Hypothèses!$B$4=17,Hypothèses!$B$4=18,Hypothèses!$B$4=19,Hypothèses!$B$4=20),
IF($D177="Pressio.",
IF(OR($E177=3,$E177=1,$E177=4),(PI()*DC$12^2)/4*(CY177*$W177*1000)/($H177*$B$5),(PI()*DC$12^2)/4*(CY177*$W177*1000)/($G177*$B$5)),
IF($D177="Pénétro.",
IF(OR($E177=4,$E177=1,$E177=5),(PI()*DC$12^2)/4*(CY177*$W177*1000)/($H177*$B$5),(PI()*DC$12^2)/4*(CY177*$W177*1000)/($G177*$B$5)))),
IF($D177="Pressio.",
IF($E177=3,(PI()*DC$12^2)/4*(CY177*$W177*1000)/($H177*$B$5),(PI()*DC$12^2)/4*(CY177*$W177*1000)/($G177*$B$5)),
IF($D177="Pénétro.",
IF($E177=4,(PI()*DC$12^2)/4*(CY177*$W177*1000)/($H177*$B$5),(PI()*DC$12^2)/4*(CY177*$W177*1000)/($G177*$B$5))))))/10</f>
        <v>#N/A</v>
      </c>
      <c r="DD177" s="102" t="e">
        <f>(VLOOKUP($B$3,'Coeff EC7'!$T$39:$X$59,2,0)*DB177+VLOOKUP($B$3,'Coeff EC7'!$T$65:$X$85,2,0)*Model0.1C!DC177)/1.1</f>
        <v>#N/A</v>
      </c>
      <c r="DE177" s="102" t="e">
        <f>(VLOOKUP($B$3,'Coeff EC7'!$T$39:$X$59,3,0)*DB177+VLOOKUP($B$3,'Coeff EC7'!$T$65:$X$85,3,0)*Model0.1C!DC177)/0.9</f>
        <v>#N/A</v>
      </c>
      <c r="DF177" s="102" t="e">
        <f t="shared" si="286"/>
        <v>#N/A</v>
      </c>
      <c r="DG177" s="102" t="e">
        <f t="shared" si="287"/>
        <v>#N/A</v>
      </c>
      <c r="DH177" s="414" t="e">
        <f>IF(DH176=0,0,IF(AND(DD177&gt;charge_ELS_quasi,DE177&gt;Charge_ELS_freq,DF177&gt;charge_ELU,DG177&gt;charge_ELA,$B177&gt;NDC!$H$22-0.1+MIN(3*$DH$12,1.5)),0,1))</f>
        <v>#N/A</v>
      </c>
      <c r="DI177" s="86" t="b">
        <f t="shared" si="255"/>
        <v>0</v>
      </c>
      <c r="DJ177" s="86">
        <f t="shared" si="256"/>
        <v>0.5</v>
      </c>
      <c r="DK177" s="86">
        <f t="shared" si="257"/>
        <v>0.5</v>
      </c>
      <c r="DL177" s="30" t="e">
        <f t="shared" ca="1" si="288"/>
        <v>#DIV/0!</v>
      </c>
      <c r="DM177" s="85" t="e">
        <f ca="1">IF(CS177&lt;=Hypothèses!$V$7,Hypothèses!$W$7,IF(CS177&lt;=Hypothèses!$V$8,Hypothèses!$W$8,IF(CS177&lt;=Hypothèses!$V$9,Hypothèses!$W$9,IF(CS177&lt;=Hypothèses!$V$10,Hypothèses!$W$10,IF(CS177&lt;=Hypothèses!$V$11,Hypothèses!$W$11,IF(CS177&lt;=Hypothèses!$V$12,Hypothèses!$W$12,IF(CS177&lt;=Hypothèses!$V$13,Hypothèses!$W$13,IF(CS177&lt;=Hypothèses!$V$14,Hypothèses!$W$14,IF(CS177&lt;=Hypothèses!$V$15,Hypothèses!$W$15,IF(CS177&lt;=Hypothèses!$V$16,Hypothèses!$W$16,IF(CS177&lt;=Hypothèses!$V$17,Hypothèses!$W$17,IF(CS177&lt;=Hypothèses!$V$18,Hypothèses!$W$18,""))))))))))))</f>
        <v>#DIV/0!</v>
      </c>
      <c r="DN177" s="87" t="e">
        <f t="shared" ca="1" si="321"/>
        <v>#DIV/0!</v>
      </c>
      <c r="DO177" s="88" t="e">
        <f ca="1">IF(CS177&lt;=Hypothèses!$V$7,Hypothèses!$X$7,IF(CS177&lt;=Hypothèses!$V$8,Hypothèses!$X$8,IF(CS177&lt;=Hypothèses!$V$9,Hypothèses!$X$9,IF(CS177&lt;=Hypothèses!$V$10,Hypothèses!$X$10,IF(CS177&lt;=Hypothèses!$V$11,Hypothèses!$X$11,IF(CS177&lt;=Hypothèses!$V$12,Hypothèses!$X$12,IF(CS177&lt;=Hypothèses!$V$13,Hypothèses!$X$13,IF(CS177&lt;=Hypothèses!$V$14,Hypothèses!$X$14,IF(CS177&lt;=Hypothèses!$V$15,Hypothèses!$X$15,IF(CS177&lt;=Hypothèses!$V$16,Hypothèses!$X$16,IF(CS177&lt;=Hypothèses!$U$17,Hypothèses!$W$17,IF(CS177&lt;=Hypothèses!$U$18,Hypothèses!$W$18,""))))))))))))</f>
        <v>#DIV/0!</v>
      </c>
      <c r="DP177" s="95" t="e">
        <f t="shared" ca="1" si="289"/>
        <v>#DIV/0!</v>
      </c>
      <c r="DQ177" s="101" t="e">
        <f t="shared" si="328"/>
        <v>#N/A</v>
      </c>
      <c r="DR177" s="91" t="e">
        <f t="shared" si="258"/>
        <v>#N/A</v>
      </c>
      <c r="DS177" s="30" t="e">
        <f t="shared" si="310"/>
        <v>#N/A</v>
      </c>
      <c r="DT177" s="30" t="e">
        <f t="shared" si="311"/>
        <v>#N/A</v>
      </c>
      <c r="DU177" s="31" t="e">
        <f>IF(OR(Hypothèses!$B$4=17,Hypothèses!$B$4=18,Hypothèses!$B$4=19,Hypothèses!$B$4=20),
IF($D177="Pressio.",
IF(OR($E177=3,$E177=1,$E177=4),DT177,DS177),
IF($D177="Pénétro.",
IF(OR($E177=3,$E177=1,$E177=4),DT177,DS177))),IF($D177="Pressio.",
IF($E177=3,DT177,DS177),
IF($D177="Pénétro.",
IF($E177=4,DT177,DS177))))</f>
        <v>#N/A</v>
      </c>
      <c r="DV177" s="31" t="e">
        <f>(IF(OR(Hypothèses!$B$4=17,Hypothèses!$B$4=18,Hypothèses!$B$4=19,Hypothèses!$B$4=20),
IF($D177="Pressio.",
IF(OR($E177=3,$E177=1,$E177=4),(PI()*DV$12^2)/4*(DR177*$W177*1000)/($H177*$B$5),(PI()*DV$12^2)/4*(DR177*$W177*1000)/($G177*$B$5)),
IF($D177="Pénétro.",
IF(OR($E177=4,$E177=1,$E177=5),(PI()*DV$12^2)/4*(DR177*$W177*1000)/($H177*$B$5),(PI()*DV$12^2)/4*(DR177*$W177*1000)/($G177*$B$5)))),
IF($D177="Pressio.",
IF($E177=3,(PI()*DV$12^2)/4*(DR177*$W177*1000)/($H177*$B$5),(PI()*DV$12^2)/4*(DR177*$W177*1000)/($G177*$B$5)),
IF($D177="Pénétro.",
IF($E177=4,(PI()*DV$12^2)/4*(DR177*$W177*1000)/($H177*$B$5),(PI()*DV$12^2)/4*(DR177*$W177*1000)/($G177*$B$5))))))/10</f>
        <v>#N/A</v>
      </c>
      <c r="DW177" s="102" t="e">
        <f>(VLOOKUP($B$3,'Coeff EC7'!$T$39:$X$59,2,0)*DU177+VLOOKUP($B$3,'Coeff EC7'!$T$65:$X$85,2,0)*Model0.1C!DV177)/1.1</f>
        <v>#N/A</v>
      </c>
      <c r="DX177" s="102" t="e">
        <f>(VLOOKUP($B$3,'Coeff EC7'!$T$39:$X$59,3,0)*DU177+VLOOKUP($B$3,'Coeff EC7'!$T$65:$X$85,3,0)*Model0.1C!DV177)/0.9</f>
        <v>#N/A</v>
      </c>
      <c r="DY177" s="102" t="e">
        <f t="shared" si="290"/>
        <v>#N/A</v>
      </c>
      <c r="DZ177" s="102" t="e">
        <f t="shared" si="291"/>
        <v>#N/A</v>
      </c>
      <c r="EA177" s="414" t="e">
        <f>IF(EA176=0,0,IF(AND(DW177&gt;charge_ELS_quasi,DX177&gt;Charge_ELS_freq,DY177&gt;charge_ELU,DZ177&gt;charge_ELA,$B177&gt;NDC!$H$22-0.1+MIN(3*$EA$12,1.5)),0,1))</f>
        <v>#N/A</v>
      </c>
      <c r="EB177" s="86" t="b">
        <f t="shared" si="259"/>
        <v>0</v>
      </c>
      <c r="EC177" s="418">
        <f t="shared" si="260"/>
        <v>0.51</v>
      </c>
      <c r="ED177" s="86">
        <f t="shared" si="261"/>
        <v>0.51</v>
      </c>
      <c r="EE177" s="30" t="e">
        <f t="shared" ca="1" si="292"/>
        <v>#DIV/0!</v>
      </c>
      <c r="EF177" s="85" t="e">
        <f ca="1">IF(DL177&lt;=Hypothèses!$V$7,Hypothèses!$W$7,IF(DL177&lt;=Hypothèses!$V$8,Hypothèses!$W$8,IF(DL177&lt;=Hypothèses!$V$9,Hypothèses!$W$9,IF(DL177&lt;=Hypothèses!$V$10,Hypothèses!$W$10,IF(DL177&lt;=Hypothèses!$V$11,Hypothèses!$W$11,IF(DL177&lt;=Hypothèses!$V$12,Hypothèses!$W$12,IF(DL177&lt;=Hypothèses!$V$13,Hypothèses!$W$13,IF(DL177&lt;=Hypothèses!$V$14,Hypothèses!$W$14,IF(DL177&lt;=Hypothèses!$V$15,Hypothèses!$W$15,IF(DL177&lt;=Hypothèses!$V$16,Hypothèses!$W$16,IF(DL177&lt;=Hypothèses!$V$17,Hypothèses!$W$17,IF(DL177&lt;=Hypothèses!$V$18,Hypothèses!$W$18,""))))))))))))</f>
        <v>#DIV/0!</v>
      </c>
      <c r="EG177" s="87" t="e">
        <f t="shared" ca="1" si="322"/>
        <v>#DIV/0!</v>
      </c>
      <c r="EH177" s="88" t="e">
        <f ca="1">IF(DL177&lt;=Hypothèses!$V$7,Hypothèses!$X$7,IF(DL177&lt;=Hypothèses!$V$8,Hypothèses!$X$8,IF(DL177&lt;=Hypothèses!$V$9,Hypothèses!$X$9,IF(DL177&lt;=Hypothèses!$V$10,Hypothèses!$X$10,IF(DL177&lt;=Hypothèses!$V$11,Hypothèses!$X$11,IF(DL177&lt;=Hypothèses!$V$12,Hypothèses!$X$12,IF(DL177&lt;=Hypothèses!$V$13,Hypothèses!$X$13,IF(DL177&lt;=Hypothèses!$V$14,Hypothèses!$X$14,IF(DL177&lt;=Hypothèses!$V$15,Hypothèses!$X$15,IF(DL177&lt;=Hypothèses!$V$16,Hypothèses!$X$16,IF(DL177&lt;=Hypothèses!$U$17,Hypothèses!$W$17,IF(DL177&lt;=Hypothèses!$U$18,Hypothèses!$W$18,""))))))))))))</f>
        <v>#DIV/0!</v>
      </c>
      <c r="EI177" s="95" t="e">
        <f t="shared" ca="1" si="293"/>
        <v>#DIV/0!</v>
      </c>
      <c r="EJ177" s="101" t="e">
        <f t="shared" si="329"/>
        <v>#N/A</v>
      </c>
      <c r="EK177" s="91" t="e">
        <f t="shared" si="262"/>
        <v>#N/A</v>
      </c>
      <c r="EL177" s="30" t="e">
        <f t="shared" si="312"/>
        <v>#N/A</v>
      </c>
      <c r="EM177" s="30" t="e">
        <f t="shared" si="313"/>
        <v>#N/A</v>
      </c>
      <c r="EN177" s="31" t="e">
        <f>IF(OR(Hypothèses!$B$4=17,Hypothèses!$B$4=18,Hypothèses!$B$4=19,Hypothèses!$B$4=20),
IF($D177="Pressio.",
IF(OR($E177=3,$E177=1,$E177=4),EM177,EL177),
IF($D177="Pénétro.",
IF(OR($E177=3,$E177=1,$E177=4),EM177,EL177))),IF($D177="Pressio.",
IF($E177=3,EM177,EL177),
IF($D177="Pénétro.",
IF($E177=4,EM177,EL177))))</f>
        <v>#N/A</v>
      </c>
      <c r="EO177" s="31" t="e">
        <f>(IF(OR(Hypothèses!$B$4=17,Hypothèses!$B$4=18,Hypothèses!$B$4=19,Hypothèses!$B$4=20),
IF($D177="Pressio.",
IF(OR($E177=3,$E177=1,$E177=4),(PI()*EO$12^2)/4*(EK177*$W177*1000)/($H177*$B$5),(PI()*EO$12^2)/4*(EK177*$W177*1000)/($G177*$B$5)),
IF($D177="Pénétro.",
IF(OR($E177=4,$E177=1,$E177=5),(PI()*EO$12^2)/4*(EK177*$W177*1000)/($H177*$B$5),(PI()*EO$12^2)/4*(EK177*$W177*1000)/($G177*$B$5)))),
IF($D177="Pressio.",
IF($E177=3,(PI()*EO$12^2)/4*(EK177*$W177*1000)/($H177*$B$5),(PI()*EO$12^2)/4*(EK177*$W177*1000)/($G177*$B$5)),
IF($D177="Pénétro.",
IF($E177=4,(PI()*EO$12^2)/4*(EK177*$W177*1000)/($H177*$B$5),(PI()*EO$12^2)/4*(EK177*$W177*1000)/($G177*$B$5))))))/10</f>
        <v>#N/A</v>
      </c>
      <c r="EP177" s="102" t="e">
        <f>(VLOOKUP($B$3,'Coeff EC7'!$T$39:$X$59,2,0)*EN177+VLOOKUP($B$3,'Coeff EC7'!$T$65:$X$85,2,0)*Model0.1C!EO177)/1.1</f>
        <v>#N/A</v>
      </c>
      <c r="EQ177" s="102" t="e">
        <f>(VLOOKUP($B$3,'Coeff EC7'!$T$39:$X$59,3,0)*EN177+VLOOKUP($B$3,'Coeff EC7'!$T$65:$X$85,3,0)*Model0.1C!EO177)/0.9</f>
        <v>#N/A</v>
      </c>
      <c r="ER177" s="102" t="e">
        <f t="shared" si="294"/>
        <v>#N/A</v>
      </c>
      <c r="ES177" s="102" t="e">
        <f t="shared" si="295"/>
        <v>#N/A</v>
      </c>
      <c r="ET177" s="414" t="e">
        <f>IF(ET176=0,0,IF(AND(EP177&gt;charge_ELS_quasi,EQ177&gt;Charge_ELS_freq,ER177&gt;charge_ELU,ES177&gt;charge_ELA,$B177&gt;NDC!$H$22-0.1+MIN(3*$ET$12,1.5)),0,1))</f>
        <v>#N/A</v>
      </c>
      <c r="EU177" s="86" t="b">
        <f t="shared" si="263"/>
        <v>0</v>
      </c>
      <c r="EV177" s="86">
        <f t="shared" si="264"/>
        <v>0.61</v>
      </c>
      <c r="EW177" s="86">
        <f t="shared" si="265"/>
        <v>0.61</v>
      </c>
      <c r="EX177" s="30" t="e">
        <f t="shared" ca="1" si="296"/>
        <v>#DIV/0!</v>
      </c>
      <c r="EY177" s="85" t="e">
        <f ca="1">IF(EE177&lt;=Hypothèses!$V$7,Hypothèses!$W$7,IF(EE177&lt;=Hypothèses!$V$8,Hypothèses!$W$8,IF(EE177&lt;=Hypothèses!$V$9,Hypothèses!$W$9,IF(EE177&lt;=Hypothèses!$V$10,Hypothèses!$W$10,IF(EE177&lt;=Hypothèses!$V$11,Hypothèses!$W$11,IF(EE177&lt;=Hypothèses!$V$12,Hypothèses!$W$12,IF(EE177&lt;=Hypothèses!$V$13,Hypothèses!$W$13,IF(EE177&lt;=Hypothèses!$V$14,Hypothèses!$W$14,IF(EE177&lt;=Hypothèses!$V$15,Hypothèses!$W$15,IF(EE177&lt;=Hypothèses!$V$16,Hypothèses!$W$16,IF(EE177&lt;=Hypothèses!$V$17,Hypothèses!$W$17,IF(EE177&lt;=Hypothèses!$V$18,Hypothèses!$W$18,""))))))))))))</f>
        <v>#DIV/0!</v>
      </c>
      <c r="EZ177" s="87" t="e">
        <f t="shared" ca="1" si="323"/>
        <v>#DIV/0!</v>
      </c>
      <c r="FA177" s="88" t="e">
        <f ca="1">IF(EE177&lt;=Hypothèses!$V$7,Hypothèses!$X$7,IF(EE177&lt;=Hypothèses!$V$8,Hypothèses!$X$8,IF(EE177&lt;=Hypothèses!$V$9,Hypothèses!$X$9,IF(EE177&lt;=Hypothèses!$V$10,Hypothèses!$X$10,IF(EE177&lt;=Hypothèses!$V$11,Hypothèses!$X$11,IF(EE177&lt;=Hypothèses!$V$12,Hypothèses!$X$12,IF(EE177&lt;=Hypothèses!$V$13,Hypothèses!$X$13,IF(EE177&lt;=Hypothèses!$V$14,Hypothèses!$X$14,IF(EE177&lt;=Hypothèses!$V$15,Hypothèses!$X$15,IF(EE177&lt;=Hypothèses!$V$16,Hypothèses!$X$16,IF(EE177&lt;=Hypothèses!$U$17,Hypothèses!$W$17,IF(EE177&lt;=Hypothèses!$U$18,Hypothèses!$W$18,""))))))))))))</f>
        <v>#DIV/0!</v>
      </c>
      <c r="FB177" s="95" t="e">
        <f t="shared" ca="1" si="297"/>
        <v>#DIV/0!</v>
      </c>
      <c r="FC177" s="101" t="e">
        <f t="shared" si="330"/>
        <v>#N/A</v>
      </c>
      <c r="FD177" s="91" t="e">
        <f t="shared" si="266"/>
        <v>#N/A</v>
      </c>
      <c r="FE177" s="30" t="e">
        <f t="shared" si="314"/>
        <v>#N/A</v>
      </c>
      <c r="FF177" s="30" t="e">
        <f t="shared" si="315"/>
        <v>#N/A</v>
      </c>
      <c r="FG177" s="31" t="e">
        <f>IF(OR(Hypothèses!$B$4=17,Hypothèses!$B$4=18,Hypothèses!$B$4=19,Hypothèses!$B$4=20),
IF($D177="Pressio.",
IF(OR($E177=3,$E177=1,$E177=4),FF177,FE177),
IF($D177="Pénétro.",
IF(OR($E177=3,$E177=1,$E177=4),FF177,FE177))),IF($D177="Pressio.",
IF($E177=3,FF177,FE177),
IF($D177="Pénétro.",
IF($E177=4,FF177,FE177))))</f>
        <v>#N/A</v>
      </c>
      <c r="FH177" s="31" t="e">
        <f>(IF(OR(Hypothèses!$B$4=17,Hypothèses!$B$4=18,Hypothèses!$B$4=19,Hypothèses!$B$4=20),
IF($D177="Pressio.",
IF(OR($E177=3,$E177=1,$E177=4),(PI()*FH$12^2)/4*(FD177*$W177*1000)/($H177*$B$5),(PI()*FH$12^2)/4*(FD177*$W177*1000)/($G177*$B$5)),
IF($D177="Pénétro.",
IF(OR($E177=4,$E177=1,$E177=5),(PI()*FH$12^2)/4*(FD177*$W177*1000)/($H177*$B$5),(PI()*FH$12^2)/4*(FD177*$W177*1000)/($G177*$B$5)))),
IF($D177="Pressio.",
IF($E177=3,(PI()*FH$12^2)/4*(FD177*$W177*1000)/($H177*$B$5),(PI()*FH$12^2)/4*(FD177*$W177*1000)/($G177*$B$5)),
IF($D177="Pénétro.",
IF($E177=4,(PI()*FH$12^2)/4*(FD177*$W177*1000)/($H177*$B$5),(PI()*FH$12^2)/4*(FD177*$W177*1000)/($G177*$B$5))))))/10</f>
        <v>#N/A</v>
      </c>
      <c r="FI177" s="102" t="e">
        <f>(VLOOKUP($B$3,'Coeff EC7'!$T$39:$X$59,2,0)*FG177+VLOOKUP($B$3,'Coeff EC7'!$T$65:$X$85,2,0)*Model0.1C!FH177)/1.1</f>
        <v>#N/A</v>
      </c>
      <c r="FJ177" s="102" t="e">
        <f>(VLOOKUP($B$3,'Coeff EC7'!$T$39:$X$59,3,0)*FG177+VLOOKUP($B$3,'Coeff EC7'!$T$65:$X$85,3,0)*Model0.1C!FH177)/0.9</f>
        <v>#N/A</v>
      </c>
      <c r="FK177" s="102" t="e">
        <f t="shared" si="298"/>
        <v>#N/A</v>
      </c>
      <c r="FL177" s="102" t="e">
        <f t="shared" si="299"/>
        <v>#N/A</v>
      </c>
      <c r="FM177" s="414" t="e">
        <f>IF(FM176=0,0,IF(AND(FI177&gt;charge_ELS_quasi,FJ177&gt;Charge_ELS_freq,FK177&gt;charge_ELU,FL177&gt;charge_ELA,$B177&gt;NDC!$H$22-0.1+MIN(3*$FM$12,1.5)),0,1))</f>
        <v>#N/A</v>
      </c>
    </row>
    <row r="178" spans="1:169">
      <c r="A178" s="96">
        <f t="shared" si="267"/>
        <v>83.500000000000938</v>
      </c>
      <c r="B178" s="97">
        <v>16.5</v>
      </c>
      <c r="C178" s="81">
        <f>IF(B178&lt;=Hypothèses!$C$7,Hypothèses!$A$7,IF(B178&lt;=Hypothèses!$C$8,Hypothèses!$A$8,IF(B178&lt;=Hypothèses!$C$9,Hypothèses!$A$9,IF(B178&lt;=Hypothèses!$C$10,Hypothèses!$A$10,IF(B178&lt;=Hypothèses!$C$11,Hypothèses!$A$11,IF(B178&lt;=Hypothèses!$C$12,Hypothèses!$A$12,IF(B178&lt;=Hypothèses!$C$13,Hypothèses!$A$13,IF(B178&lt;=Hypothèses!$C$14,Hypothèses!$A$14,IF(B178&lt;=Hypothèses!$C$15,Hypothèses!$A$15,IF(B178&lt;=Hypothèses!$C$16,Hypothèses!$A$16,IF(B178&lt;=Hypothèses!$C$17,Hypothèses!$A$17,IF(B178&lt;=Hypothèses!$C$18,Hypothèses!$A$18,C177))))))))))))</f>
        <v>11</v>
      </c>
      <c r="D178" s="82" t="str">
        <f>IF(B178&lt;=Hypothèses!$C$7,Hypothèses!$R$7,IF(B178&lt;=Hypothèses!$C$8,Hypothèses!$R$8,IF(B178&lt;=Hypothèses!$C$9,Hypothèses!$R$9,IF(B178&lt;=Hypothèses!$C$10,Hypothèses!$R$10,IF(B178&lt;=Hypothèses!$C$11,Hypothèses!$R$11,IF(B178&lt;=Hypothèses!$C$12,Hypothèses!$R$12,IF(B178&lt;=Hypothèses!$C$13,Hypothèses!$R$13,IF(B178&lt;=Hypothèses!$C$14,Hypothèses!$R$14,IF(B178&lt;=Hypothèses!$C$15,Hypothèses!$R$15,IF(B178&lt;=Hypothèses!$C$16,Hypothèses!$R$16,IF(B178&lt;=Hypothèses!$C$17,Hypothèses!$R$17,IF(B178&lt;=Hypothèses!$C$18,Hypothèses!$R$18,D177))))))))))))</f>
        <v>Pressio.</v>
      </c>
      <c r="E178" s="82" t="e">
        <f>IF(B178&lt;=Hypothèses!$C$7,Hypothèses!$G$7,IF(B178&lt;=Hypothèses!$C$8,Hypothèses!$G$8,IF(B178&lt;=Hypothèses!$C$9,Hypothèses!$G$9,IF(B178&lt;=Hypothèses!$C$10,Hypothèses!$G$10,IF(B178&lt;=Hypothèses!$C$11,Hypothèses!$G$11,IF(B178&lt;=Hypothèses!$C$12,Hypothèses!$G$12,IF(B178&lt;=Hypothèses!$C$13,Hypothèses!$G$13,IF(B178&lt;=Hypothèses!$C$14,Hypothèses!$G$14,IF(B178&lt;=Hypothèses!$C$15,Hypothèses!$G$15,IF(B178&lt;=Hypothèses!$C$16,Hypothèses!$G$16,IF(B178&lt;=Hypothèses!$C$17,Hypothèses!$G$17,IF(B178&lt;=Hypothèses!$C$18,Hypothèses!$G$18,E177))))))))))))</f>
        <v>#N/A</v>
      </c>
      <c r="F178" s="82" t="str">
        <f>IF(B178&lt;=Hypothèses!$C$7,Hypothèses!$F$7,IF(B178&lt;=Hypothèses!$C$8,Hypothèses!$F$8,IF(B178&lt;=Hypothèses!$C$9,Hypothèses!$F$9,IF(B178&lt;=Hypothèses!$C$10,Hypothèses!$F$10,IF(B178&lt;=Hypothèses!$C$11,Hypothèses!$F$11,IF(B178&lt;=Hypothèses!$C$12,Hypothèses!$F$12,IF(B178&lt;=Hypothèses!$C$13,Hypothèses!$F$13,IF(B178&lt;=Hypothèses!$C$14,Hypothèses!$F$14,IF(B178&lt;=Hypothèses!$C$15,Hypothèses!$F$15,IF(B178&lt;=Hypothèses!$C$16,Hypothèses!$F$16,IF(B178&lt;=Hypothèses!$C$17,Hypothèses!$F$17,IF(B178&lt;=Hypothèses!$C$18,Hypothèses!$F$18,F177))))))))))))</f>
        <v/>
      </c>
      <c r="G178" s="91">
        <f t="array" ref="G178">INDEX('Coeff EC7'!$U$7:$X$27,
MATCH(Model0.1C!$B$3,'Coeff EC7'!$T$7:$T$27,0),
MATCH(Model0.1C!$D178&amp;Model0.1C!$B$4,
'Coeff EC7'!$U$6:$X$6&amp;
'Coeff EC7'!$U$5:$X$5,0))</f>
        <v>1.1499999999999999</v>
      </c>
      <c r="H178" s="91">
        <f t="array" ref="H178">INDEX('Coeff EC7'!$Y$7:$AB$27,
MATCH(Model0.1C!$B$3,'Coeff EC7'!$T$7:$T$27,0),
MATCH(Model0.1C!$D178&amp;Model0.1C!$B$4,
'Coeff EC7'!$Y$6:$AB$6&amp;
'Coeff EC7'!$Y$5:$AB$5,0))</f>
        <v>1.4</v>
      </c>
      <c r="I178" s="83" t="e">
        <f>IF(B178&lt;=Hypothèses!$C$7,Hypothèses!$P$7,IF(B178&lt;=Hypothèses!$C$8,Hypothèses!$P$8,IF(B178&lt;=Hypothèses!$C$9,Hypothèses!$P$9,IF(B178&lt;=Hypothèses!$C$10,Hypothèses!$P$10,IF(B178&lt;=Hypothèses!$C$11,Hypothèses!$P$11,IF(B178&lt;=Hypothèses!$C$12,Hypothèses!$P$12,IF(B178&lt;=Hypothèses!$C$13,Hypothèses!$P$13,IF(B178&lt;=Hypothèses!$C$14,Hypothèses!$P$14,IF(B178&lt;=Hypothèses!$C$15,Hypothèses!$P$15,IF(B178&lt;=Hypothèses!$C$16,Hypothèses!$P$16,IF(B178&lt;=Hypothèses!$C$17,Hypothèses!$P$17,IF(B178&lt;=Hypothèses!$C$18,Hypothèses!$P$18,I177))))))))))))</f>
        <v>#N/A</v>
      </c>
      <c r="J178" s="91" t="e">
        <f t="array" ref="J178">INDEX('Coeff EC7'!$D$33:$Q$33,1,MATCH(D178&amp;E178,'Coeff EC7'!$D$31:$Q$31&amp;'Coeff EC7'!$D$32:$Q$32,0))</f>
        <v>#N/A</v>
      </c>
      <c r="K178" s="91" t="e">
        <f t="array" ref="K178">INDEX('Coeff EC7'!$D$34:$Q$34,1,MATCH(D178&amp;E178,'Coeff EC7'!$D$31:$Q$31&amp;'Coeff EC7'!$D$32:$Q$32,0))</f>
        <v>#N/A</v>
      </c>
      <c r="L178" s="91" t="e">
        <f t="array" ref="L178">INDEX('Coeff EC7'!$D$35:$Q$35,1,MATCH(D178&amp;E178,'Coeff EC7'!$D$31:$Q$31&amp;'Coeff EC7'!$D$32:$Q$32,0))</f>
        <v>#N/A</v>
      </c>
      <c r="M178" s="98" t="e">
        <f t="shared" si="231"/>
        <v>#N/A</v>
      </c>
      <c r="N178" s="99" t="e">
        <f t="array" ref="N178">INDEX('Coeff EC7'!$D$7:$Q$27,MATCH($B$3,'Coeff EC7'!$C$7:$C$27,0),MATCH(D178&amp;E178,'Coeff EC7'!$D$5:$Q$5&amp;'Coeff EC7'!$D$6:$Q$6,0))</f>
        <v>#N/A</v>
      </c>
      <c r="O178" s="99" t="e">
        <f t="array" ref="O178">INDEX('Coeff EC7'!$D$41:$Q$61,MATCH($B$3,'Coeff EC7'!$C$41:$C$61,0),MATCH(D178&amp;E178,'Coeff EC7'!$D$39:$Q$39&amp;'Coeff EC7'!$D$40:$Q$40,0))</f>
        <v>#N/A</v>
      </c>
      <c r="P178" s="30" t="e">
        <f t="shared" si="268"/>
        <v>#N/A</v>
      </c>
      <c r="Q178" s="100" t="e">
        <f t="shared" si="233"/>
        <v>#N/A</v>
      </c>
      <c r="R178" s="86" t="b">
        <f t="shared" si="234"/>
        <v>0</v>
      </c>
      <c r="S178" s="86">
        <f t="shared" si="232"/>
        <v>0.5</v>
      </c>
      <c r="T178" s="86">
        <f t="shared" si="235"/>
        <v>0.5</v>
      </c>
      <c r="U178" s="30" t="e">
        <f t="shared" ca="1" si="269"/>
        <v>#DIV/0!</v>
      </c>
      <c r="V178" s="85" t="str">
        <f>IF(B178&lt;=Hypothèses!$V$7,Hypothèses!$W$7,IF(B178&lt;=Hypothèses!$V$8,Hypothèses!$W$8,IF(B178&lt;=Hypothèses!$V$9,Hypothèses!$W$9,IF(B178&lt;=Hypothèses!$V$10,Hypothèses!$W$10,IF(B178&lt;=Hypothèses!$V$11,Hypothèses!$W$11,IF(B178&lt;=Hypothèses!$V$12,Hypothèses!$W$12,IF(B178&lt;=Hypothèses!$V$13,Hypothèses!$W$13,IF(B178&lt;=Hypothèses!$V$14,Hypothèses!$W$14,IF(B178&lt;=Hypothèses!$V$15,Hypothèses!$W$15,IF(B178&lt;=Hypothèses!$V$16,Hypothèses!$W$16,IF(B178&lt;=Hypothèses!$V$17,Hypothèses!$W$17,IF(B178&lt;=Hypothèses!$V$18,Hypothèses!$W$18,""))))))))))))</f>
        <v/>
      </c>
      <c r="W178" s="87" t="e">
        <f t="shared" ca="1" si="316"/>
        <v>#DIV/0!</v>
      </c>
      <c r="X178" s="88" t="str">
        <f>IF(B178&lt;=Hypothèses!$V$7,Hypothèses!$X$7,IF(B178&lt;=Hypothèses!$V$8,Hypothèses!$X$8,IF(B178&lt;=Hypothèses!$V$9,Hypothèses!$X$9,IF(B178&lt;=Hypothèses!$V$10,Hypothèses!$X$10,IF(B178&lt;=Hypothèses!$V$11,Hypothèses!$X$11,IF(B178&lt;=Hypothèses!$V$12,Hypothèses!$X$12,IF(B178&lt;=Hypothèses!$V$13,Hypothèses!$X$13,IF(B178&lt;=Hypothèses!$V$14,Hypothèses!$X$14,IF(B178&lt;=Hypothèses!$V$15,Hypothèses!$X$15,IF(B178&lt;=Hypothèses!$V$16,Hypothèses!$X$16,IF(B178&lt;=Hypothèses!$U$17,Hypothèses!$W$17,IF(B178&lt;=Hypothèses!$U$18,Hypothèses!$W$18,""))))))))))))</f>
        <v/>
      </c>
      <c r="Y178" s="95" t="e">
        <f t="shared" ca="1" si="236"/>
        <v>#DIV/0!</v>
      </c>
      <c r="Z178" s="101" t="e">
        <f t="shared" si="237"/>
        <v>#N/A</v>
      </c>
      <c r="AA178" s="91" t="e">
        <f t="shared" si="238"/>
        <v>#N/A</v>
      </c>
      <c r="AB178" s="30" t="e">
        <f t="shared" si="300"/>
        <v>#N/A</v>
      </c>
      <c r="AC178" s="30" t="e">
        <f t="shared" si="301"/>
        <v>#N/A</v>
      </c>
      <c r="AD178" s="31" t="e">
        <f>IF(OR(Hypothèses!$B$4=17,Hypothèses!$B$4=18,Hypothèses!$B$4=19,Hypothèses!$B$4=20),
IF($D178="Pressio.",
IF(OR($E178=3,$E178=1,$E178=4),AC178,AB178),
IF($D178="Pénétro.",
IF(OR($E178=3,$E178=1,$E178=4),AC178,AB178))),IF($D178="Pressio.",
IF($E178=3,AC178,AB178),
IF($D178="Pénétro.",
IF($E178=4,AC178,AB178))))</f>
        <v>#N/A</v>
      </c>
      <c r="AE178" s="31" t="e">
        <f>(IF(OR(Hypothèses!$B$4=17,Hypothèses!$B$4=18,Hypothèses!$B$4=19,Hypothèses!$B$4=20),
IF($D178="Pressio.",
IF(OR($E178=3,$E178=1,$E178=4),(PI()*AE$12^2)/4*(AA178*$W178*1000)/($H178*$B$5),(PI()*AE$12^2)/4*(AA178*$W178*1000)/($G178*$B$5)),
IF($D178="Pénétro.",
IF(OR($E178=4,$E178=1,$E178=5),(PI()*AE$12^2)/4*(AA178*$W178*1000)/($H178*$B$5),(PI()*AE$12^2)/4*(AA178*$W178*1000)/($G178*$B$5)))),
IF($D178="Pressio.",
IF($E178=3,(PI()*AE$12^2)/4*(AA178*$W178*1000)/($H178*$B$5),(PI()*AE$12^2)/4*(AA178*$W178*1000)/($G178*$B$5)),
IF($D178="Pénétro.",
IF($E178=4,(PI()*AE$12^2)/4*(AA178*$W178*1000)/($H178*$B$5),(PI()*AE$12^2)/4*(AA178*$W178*1000)/($G178*$B$5))))))/10</f>
        <v>#N/A</v>
      </c>
      <c r="AF178" s="102" t="e">
        <f>(VLOOKUP($B$3,'Coeff EC7'!$T$39:$X$59,2,0)*AD178+VLOOKUP($B$3,'Coeff EC7'!$T$65:$X$85,2,0)*Model0.1C!AE178)/1.1</f>
        <v>#N/A</v>
      </c>
      <c r="AG178" s="102" t="e">
        <f>(VLOOKUP($B$3,'Coeff EC7'!$T$39:$X$59,3,0)*AD178+VLOOKUP($B$3,'Coeff EC7'!$T$65:$X$85,3,0)*Model0.1C!AE178)/0.9</f>
        <v>#N/A</v>
      </c>
      <c r="AH178" s="102" t="e">
        <f t="shared" si="239"/>
        <v>#N/A</v>
      </c>
      <c r="AI178" s="102" t="e">
        <f t="shared" si="240"/>
        <v>#N/A</v>
      </c>
      <c r="AJ178" s="414" t="e">
        <f>IF(AJ177=0,0,IF(AND(AF178&gt;charge_ELS_quasi,AG178&gt;Charge_ELS_freq,AH178&gt;charge_ELU,AI178&gt;charge_ELA,$B178&gt;NDC!$H$22-0.1+MIN(3*$AJ$12,1.5)),0,1))</f>
        <v>#N/A</v>
      </c>
      <c r="AK178" s="86" t="b">
        <f t="shared" si="241"/>
        <v>0</v>
      </c>
      <c r="AL178" s="86">
        <f t="shared" si="270"/>
        <v>0.5</v>
      </c>
      <c r="AM178" s="86">
        <f t="shared" si="242"/>
        <v>0.5</v>
      </c>
      <c r="AN178" s="30" t="e">
        <f t="shared" ca="1" si="271"/>
        <v>#DIV/0!</v>
      </c>
      <c r="AO178" s="85" t="e">
        <f ca="1">IF(U178&lt;=Hypothèses!$V$7,Hypothèses!$W$7,IF(U178&lt;=Hypothèses!$V$8,Hypothèses!$W$8,IF(U178&lt;=Hypothèses!$V$9,Hypothèses!$W$9,IF(U178&lt;=Hypothèses!$V$10,Hypothèses!$W$10,IF(U178&lt;=Hypothèses!$V$11,Hypothèses!$W$11,IF(U178&lt;=Hypothèses!$V$12,Hypothèses!$W$12,IF(U178&lt;=Hypothèses!$V$13,Hypothèses!$W$13,IF(U178&lt;=Hypothèses!$V$14,Hypothèses!$W$14,IF(U178&lt;=Hypothèses!$V$15,Hypothèses!$W$15,IF(U178&lt;=Hypothèses!$V$16,Hypothèses!$W$16,IF(U178&lt;=Hypothèses!$V$17,Hypothèses!$W$17,IF(U178&lt;=Hypothèses!$V$18,Hypothèses!$W$18,""))))))))))))</f>
        <v>#DIV/0!</v>
      </c>
      <c r="AP178" s="87" t="e">
        <f t="shared" ca="1" si="317"/>
        <v>#DIV/0!</v>
      </c>
      <c r="AQ178" s="88" t="e">
        <f ca="1">IF(U178&lt;=Hypothèses!$V$7,Hypothèses!$X$7,IF(U178&lt;=Hypothèses!$V$8,Hypothèses!$X$8,IF(U178&lt;=Hypothèses!$V$9,Hypothèses!$X$9,IF(U178&lt;=Hypothèses!$V$10,Hypothèses!$X$10,IF(U178&lt;=Hypothèses!$V$11,Hypothèses!$X$11,IF(U178&lt;=Hypothèses!$V$12,Hypothèses!$X$12,IF(U178&lt;=Hypothèses!$V$13,Hypothèses!$X$13,IF(U178&lt;=Hypothèses!$V$14,Hypothèses!$X$14,IF(U178&lt;=Hypothèses!$V$15,Hypothèses!$X$15,IF(U178&lt;=Hypothèses!$V$16,Hypothèses!$X$16,IF(U178&lt;=Hypothèses!$U$17,Hypothèses!$W$17,IF(U178&lt;=Hypothèses!$U$18,Hypothèses!$W$18,""))))))))))))</f>
        <v>#DIV/0!</v>
      </c>
      <c r="AR178" s="95" t="e">
        <f t="shared" ca="1" si="272"/>
        <v>#DIV/0!</v>
      </c>
      <c r="AS178" s="101" t="e">
        <f t="shared" si="324"/>
        <v>#N/A</v>
      </c>
      <c r="AT178" s="91" t="e">
        <f t="shared" si="243"/>
        <v>#N/A</v>
      </c>
      <c r="AU178" s="30" t="e">
        <f t="shared" si="302"/>
        <v>#N/A</v>
      </c>
      <c r="AV178" s="30" t="e">
        <f t="shared" si="303"/>
        <v>#N/A</v>
      </c>
      <c r="AW178" s="31" t="e">
        <f>IF(OR(Hypothèses!$B$4=17,Hypothèses!$B$4=18,Hypothèses!$B$4=19,Hypothèses!$B$4=20),
IF($D178="Pressio.",
IF(OR($E178=3,$E178=1,$E178=4),AV178,AU178),
IF($D178="Pénétro.",
IF(OR($E178=3,$E178=1,$E178=4),AV178,AU178))),IF($D178="Pressio.",
IF($E178=3,AV178,AU178),
IF($D178="Pénétro.",
IF($E178=4,AV178,AU178))))</f>
        <v>#N/A</v>
      </c>
      <c r="AX178" s="31" t="e">
        <f>(IF(OR(Hypothèses!$B$4=17,Hypothèses!$B$4=18,Hypothèses!$B$4=19,Hypothèses!$B$4=20),
IF($D178="Pressio.",
IF(OR($E178=3,$E178=1,$E178=4),(PI()*AX$12^2)/4*(AT178*$W178*1000)/($H178*$B$5),(PI()*AX$12^2)/4*(AT178*$W178*1000)/($G178*$B$5)),
IF($D178="Pénétro.",
IF(OR($E178=4,$E178=1,$E178=5),(PI()*AX$12^2)/4*(AT178*$W178*1000)/($H178*$B$5),(PI()*AX$12^2)/4*(AT178*$W178*1000)/($G178*$B$5)))),
IF($D178="Pressio.",
IF($E178=3,(PI()*AX$12^2)/4*(AT178*$W178*1000)/($H178*$B$5),(PI()*AX$12^2)/4*(AT178*$W178*1000)/($G178*$B$5)),
IF($D178="Pénétro.",
IF($E178=4,(PI()*AX$12^2)/4*(AT178*$W178*1000)/($H178*$B$5),(PI()*AX$12^2)/4*(AT178*$W178*1000)/($G178*$B$5))))))/10</f>
        <v>#N/A</v>
      </c>
      <c r="AY178" s="102" t="e">
        <f>(VLOOKUP($B$3,'Coeff EC7'!$T$39:$X$59,2,0)*AW178+VLOOKUP($B$3,'Coeff EC7'!$T$65:$X$85,2,0)*Model0.1C!AX178)/1.1</f>
        <v>#N/A</v>
      </c>
      <c r="AZ178" s="102" t="e">
        <f>(VLOOKUP($B$3,'Coeff EC7'!$T$39:$X$59,3,0)*AW178+VLOOKUP($B$3,'Coeff EC7'!$T$65:$X$85,3,0)*Model0.1C!AX178)/0.9</f>
        <v>#N/A</v>
      </c>
      <c r="BA178" s="102" t="e">
        <f t="shared" si="273"/>
        <v>#N/A</v>
      </c>
      <c r="BB178" s="102" t="e">
        <f t="shared" si="274"/>
        <v>#N/A</v>
      </c>
      <c r="BC178" s="414" t="e">
        <f>IF(BC177=0,0,IF(AND(AY178&gt;charge_ELS_quasi,AZ178&gt;Charge_ELS_freq,BA178&gt;charge_ELU,BB178&gt;charge_ELA,$B178&gt;NDC!$H$22-0.1+MIN(3*$BC$12,1.5)),0,1))</f>
        <v>#N/A</v>
      </c>
      <c r="BD178" s="86" t="b">
        <f t="shared" si="244"/>
        <v>0</v>
      </c>
      <c r="BE178" s="86">
        <f t="shared" si="275"/>
        <v>0.5</v>
      </c>
      <c r="BF178" s="86">
        <f t="shared" si="245"/>
        <v>0.5</v>
      </c>
      <c r="BG178" s="30" t="e">
        <f t="shared" ca="1" si="276"/>
        <v>#DIV/0!</v>
      </c>
      <c r="BH178" s="85" t="e">
        <f ca="1">IF(AN178&lt;=Hypothèses!$V$7,Hypothèses!$W$7,IF(AN178&lt;=Hypothèses!$V$8,Hypothèses!$W$8,IF(AN178&lt;=Hypothèses!$V$9,Hypothèses!$W$9,IF(AN178&lt;=Hypothèses!$V$10,Hypothèses!$W$10,IF(AN178&lt;=Hypothèses!$V$11,Hypothèses!$W$11,IF(AN178&lt;=Hypothèses!$V$12,Hypothèses!$W$12,IF(AN178&lt;=Hypothèses!$V$13,Hypothèses!$W$13,IF(AN178&lt;=Hypothèses!$V$14,Hypothèses!$W$14,IF(AN178&lt;=Hypothèses!$V$15,Hypothèses!$W$15,IF(AN178&lt;=Hypothèses!$V$16,Hypothèses!$W$16,IF(AN178&lt;=Hypothèses!$V$17,Hypothèses!$W$17,IF(AN178&lt;=Hypothèses!$V$18,Hypothèses!$W$18,""))))))))))))</f>
        <v>#DIV/0!</v>
      </c>
      <c r="BI178" s="87" t="e">
        <f t="shared" ca="1" si="318"/>
        <v>#DIV/0!</v>
      </c>
      <c r="BJ178" s="88" t="e">
        <f ca="1">IF(AN178&lt;=Hypothèses!$V$7,Hypothèses!$X$7,IF(AN178&lt;=Hypothèses!$V$8,Hypothèses!$X$8,IF(AN178&lt;=Hypothèses!$V$9,Hypothèses!$X$9,IF(AN178&lt;=Hypothèses!$V$10,Hypothèses!$X$10,IF(AN178&lt;=Hypothèses!$V$11,Hypothèses!$X$11,IF(AN178&lt;=Hypothèses!$V$12,Hypothèses!$X$12,IF(AN178&lt;=Hypothèses!$V$13,Hypothèses!$X$13,IF(AN178&lt;=Hypothèses!$V$14,Hypothèses!$X$14,IF(AN178&lt;=Hypothèses!$V$15,Hypothèses!$X$15,IF(AN178&lt;=Hypothèses!$V$16,Hypothèses!$X$16,IF(AN178&lt;=Hypothèses!$U$17,Hypothèses!$W$17,IF(AN178&lt;=Hypothèses!$U$18,Hypothèses!$W$18,""))))))))))))</f>
        <v>#DIV/0!</v>
      </c>
      <c r="BK178" s="95" t="e">
        <f t="shared" ca="1" si="277"/>
        <v>#DIV/0!</v>
      </c>
      <c r="BL178" s="101" t="e">
        <f t="shared" si="325"/>
        <v>#N/A</v>
      </c>
      <c r="BM178" s="91" t="e">
        <f t="shared" si="246"/>
        <v>#N/A</v>
      </c>
      <c r="BN178" s="30" t="e">
        <f t="shared" si="304"/>
        <v>#N/A</v>
      </c>
      <c r="BO178" s="30" t="e">
        <f t="shared" si="305"/>
        <v>#N/A</v>
      </c>
      <c r="BP178" s="31" t="e">
        <f>IF(OR(Hypothèses!$B$4=17,Hypothèses!$B$4=18,Hypothèses!$B$4=19,Hypothèses!$B$4=20),
IF($D178="Pressio.",
IF(OR($E178=3,$E178=1,$E178=4),BO178,BN178),
IF($D178="Pénétro.",
IF(OR($E178=3,$E178=1,$E178=4),BO178,BN178))),IF($D178="Pressio.",
IF($E178=3,BO178,BN178),
IF($D178="Pénétro.",
IF($E178=4,BO178,BN178))))</f>
        <v>#N/A</v>
      </c>
      <c r="BQ178" s="31" t="e">
        <f>(IF(OR(Hypothèses!$B$4=17,Hypothèses!$B$4=18,Hypothèses!$B$4=19,Hypothèses!$B$4=20),
IF($D178="Pressio.",
IF(OR($E178=3,$E178=1,$E178=4),(PI()*BQ$12^2)/4*(BM178*$W178*1000)/($H178*$B$5),(PI()*BQ$12^2)/4*(BM178*$W178*1000)/($G178*$B$5)),
IF($D178="Pénétro.",
IF(OR($E178=4,$E178=1,$E178=5),(PI()*BQ$12^2)/4*(BM178*$W178*1000)/($H178*$B$5),(PI()*BQ$12^2)/4*(BM178*$W178*1000)/($G178*$B$5)))),
IF($D178="Pressio.",
IF($E178=3,(PI()*BQ$12^2)/4*(BM178*$W178*1000)/($H178*$B$5),(PI()*BQ$12^2)/4*(BM178*$W178*1000)/($G178*$B$5)),
IF($D178="Pénétro.",
IF($E178=4,(PI()*BQ$12^2)/4*(BM178*$W178*1000)/($H178*$B$5),(PI()*BQ$12^2)/4*(BM178*$W178*1000)/($G178*$B$5))))))/10</f>
        <v>#N/A</v>
      </c>
      <c r="BR178" s="102" t="e">
        <f>(VLOOKUP($B$3,'Coeff EC7'!$T$39:$X$59,2,0)*BP178+VLOOKUP($B$3,'Coeff EC7'!$T$65:$X$85,2,0)*Model0.1C!BQ178)/1.1</f>
        <v>#N/A</v>
      </c>
      <c r="BS178" s="102" t="e">
        <f>(VLOOKUP($B$3,'Coeff EC7'!$T$39:$X$59,3,0)*BP178+VLOOKUP($B$3,'Coeff EC7'!$T$65:$X$85,3,0)*Model0.1C!BQ178)/0.9</f>
        <v>#N/A</v>
      </c>
      <c r="BT178" s="102" t="e">
        <f t="shared" si="278"/>
        <v>#N/A</v>
      </c>
      <c r="BU178" s="102" t="e">
        <f t="shared" si="279"/>
        <v>#N/A</v>
      </c>
      <c r="BV178" s="414" t="e">
        <f>IF(BV177=0,0,IF(AND(BR178&gt;charge_ELS_quasi,BS178&gt;Charge_ELS_freq,BT178&gt;charge_ELU,BU178&gt;charge_ELA,$B178&gt;NDC!$H$22-0.1+MIN(3*$BV$12,1.5)),0,1))</f>
        <v>#N/A</v>
      </c>
      <c r="BW178" s="86" t="b">
        <f t="shared" si="247"/>
        <v>0</v>
      </c>
      <c r="BX178" s="86">
        <f t="shared" si="248"/>
        <v>0.5</v>
      </c>
      <c r="BY178" s="86">
        <f t="shared" si="249"/>
        <v>0.5</v>
      </c>
      <c r="BZ178" s="30" t="e">
        <f t="shared" ca="1" si="280"/>
        <v>#DIV/0!</v>
      </c>
      <c r="CA178" s="85" t="e">
        <f ca="1">IF(BG178&lt;=Hypothèses!$V$7,Hypothèses!$W$7,IF(BG178&lt;=Hypothèses!$V$8,Hypothèses!$W$8,IF(BG178&lt;=Hypothèses!$V$9,Hypothèses!$W$9,IF(BG178&lt;=Hypothèses!$V$10,Hypothèses!$W$10,IF(BG178&lt;=Hypothèses!$V$11,Hypothèses!$W$11,IF(BG178&lt;=Hypothèses!$V$12,Hypothèses!$W$12,IF(BG178&lt;=Hypothèses!$V$13,Hypothèses!$W$13,IF(BG178&lt;=Hypothèses!$V$14,Hypothèses!$W$14,IF(BG178&lt;=Hypothèses!$V$15,Hypothèses!$W$15,IF(BG178&lt;=Hypothèses!$V$16,Hypothèses!$W$16,IF(BG178&lt;=Hypothèses!$V$17,Hypothèses!$W$17,IF(BG178&lt;=Hypothèses!$V$18,Hypothèses!$W$18,""))))))))))))</f>
        <v>#DIV/0!</v>
      </c>
      <c r="CB178" s="87" t="e">
        <f t="shared" ca="1" si="319"/>
        <v>#DIV/0!</v>
      </c>
      <c r="CC178" s="88" t="e">
        <f ca="1">IF(BG178&lt;=Hypothèses!$V$7,Hypothèses!$X$7,IF(BG178&lt;=Hypothèses!$V$8,Hypothèses!$X$8,IF(BG178&lt;=Hypothèses!$V$9,Hypothèses!$X$9,IF(BG178&lt;=Hypothèses!$V$10,Hypothèses!$X$10,IF(BG178&lt;=Hypothèses!$V$11,Hypothèses!$X$11,IF(BG178&lt;=Hypothèses!$V$12,Hypothèses!$X$12,IF(BG178&lt;=Hypothèses!$V$13,Hypothèses!$X$13,IF(BG178&lt;=Hypothèses!$V$14,Hypothèses!$X$14,IF(BG178&lt;=Hypothèses!$V$15,Hypothèses!$X$15,IF(BG178&lt;=Hypothèses!$V$16,Hypothèses!$X$16,IF(BG178&lt;=Hypothèses!$U$17,Hypothèses!$W$17,IF(BG178&lt;=Hypothèses!$U$18,Hypothèses!$W$18,""))))))))))))</f>
        <v>#DIV/0!</v>
      </c>
      <c r="CD178" s="95" t="e">
        <f t="shared" ca="1" si="281"/>
        <v>#DIV/0!</v>
      </c>
      <c r="CE178" s="101" t="e">
        <f t="shared" si="326"/>
        <v>#N/A</v>
      </c>
      <c r="CF178" s="91" t="e">
        <f t="shared" si="250"/>
        <v>#N/A</v>
      </c>
      <c r="CG178" s="30" t="e">
        <f t="shared" si="306"/>
        <v>#N/A</v>
      </c>
      <c r="CH178" s="30" t="e">
        <f t="shared" si="307"/>
        <v>#N/A</v>
      </c>
      <c r="CI178" s="31" t="e">
        <f>IF(OR(Hypothèses!$B$4=17,Hypothèses!$B$4=18,Hypothèses!$B$4=19,Hypothèses!$B$4=20),
IF($D178="Pressio.",
IF(OR($E178=3,$E178=1,$E178=4),CH178,CG178),
IF($D178="Pénétro.",
IF(OR($E178=3,$E178=1,$E178=4),CH178,CG178))),IF($D178="Pressio.",
IF($E178=3,CH178,CG178),
IF($D178="Pénétro.",
IF($E178=4,CH178,CG178))))</f>
        <v>#N/A</v>
      </c>
      <c r="CJ178" s="31" t="e">
        <f>(IF(OR(Hypothèses!$B$4=17,Hypothèses!$B$4=18,Hypothèses!$B$4=19,Hypothèses!$B$4=20),
IF($D178="Pressio.",
IF(OR($E178=3,$E178=1,$E178=4),(PI()*CJ$12^2)/4*(CF178*$W178*1000)/($H178*$B$5),(PI()*CJ$12^2)/4*(CF178*$W178*1000)/($G178*$B$5)),
IF($D178="Pénétro.",
IF(OR($E178=4,$E178=1,$E178=5),(PI()*CJ$12^2)/4*(CF178*$W178*1000)/($H178*$B$5),(PI()*CJ$12^2)/4*(CF178*$W178*1000)/($G178*$B$5)))),
IF($D178="Pressio.",
IF($E178=3,(PI()*CJ$12^2)/4*(CF178*$W178*1000)/($H178*$B$5),(PI()*CJ$12^2)/4*(CF178*$W178*1000)/($G178*$B$5)),
IF($D178="Pénétro.",
IF($E178=4,(PI()*CJ$12^2)/4*(CF178*$W178*1000)/($H178*$B$5),(PI()*CJ$12^2)/4*(CF178*$W178*1000)/($G178*$B$5))))))/10</f>
        <v>#N/A</v>
      </c>
      <c r="CK178" s="102" t="e">
        <f>(VLOOKUP($B$3,'Coeff EC7'!$T$39:$X$59,2,0)*CI178+VLOOKUP($B$3,'Coeff EC7'!$T$65:$X$85,2,0)*Model0.1C!CJ178)/1.1</f>
        <v>#N/A</v>
      </c>
      <c r="CL178" s="102" t="e">
        <f>(VLOOKUP($B$3,'Coeff EC7'!$T$39:$X$59,3,0)*CI178+VLOOKUP($B$3,'Coeff EC7'!$T$65:$X$85,3,0)*Model0.1C!CJ178)/0.9</f>
        <v>#N/A</v>
      </c>
      <c r="CM178" s="102" t="e">
        <f t="shared" si="282"/>
        <v>#N/A</v>
      </c>
      <c r="CN178" s="102" t="e">
        <f t="shared" si="283"/>
        <v>#N/A</v>
      </c>
      <c r="CO178" s="414" t="e">
        <f>IF(CO177=0,0,IF(AND(CK178&gt;charge_ELS_quasi,CL178&gt;Charge_ELS_freq,CM178&gt;charge_ELU,CN178&gt;charge_ELA,$B178&gt;NDC!$H$22-0.1+MIN(3*$CO$12,1.5)),0,1))</f>
        <v>#N/A</v>
      </c>
      <c r="CP178" s="86" t="b">
        <f t="shared" si="251"/>
        <v>0</v>
      </c>
      <c r="CQ178" s="86">
        <f t="shared" si="252"/>
        <v>0.5</v>
      </c>
      <c r="CR178" s="86">
        <f t="shared" si="253"/>
        <v>0.5</v>
      </c>
      <c r="CS178" s="30" t="e">
        <f t="shared" ca="1" si="284"/>
        <v>#DIV/0!</v>
      </c>
      <c r="CT178" s="85" t="e">
        <f ca="1">IF(BZ178&lt;=Hypothèses!$V$7,Hypothèses!$W$7,IF(BZ178&lt;=Hypothèses!$V$8,Hypothèses!$W$8,IF(BZ178&lt;=Hypothèses!$V$9,Hypothèses!$W$9,IF(BZ178&lt;=Hypothèses!$V$10,Hypothèses!$W$10,IF(BZ178&lt;=Hypothèses!$V$11,Hypothèses!$W$11,IF(BZ178&lt;=Hypothèses!$V$12,Hypothèses!$W$12,IF(BZ178&lt;=Hypothèses!$V$13,Hypothèses!$W$13,IF(BZ178&lt;=Hypothèses!$V$14,Hypothèses!$W$14,IF(BZ178&lt;=Hypothèses!$V$15,Hypothèses!$W$15,IF(BZ178&lt;=Hypothèses!$V$16,Hypothèses!$W$16,IF(BZ178&lt;=Hypothèses!$V$17,Hypothèses!$W$17,IF(BZ178&lt;=Hypothèses!$V$18,Hypothèses!$W$18,""))))))))))))</f>
        <v>#DIV/0!</v>
      </c>
      <c r="CU178" s="87" t="e">
        <f t="shared" ca="1" si="320"/>
        <v>#DIV/0!</v>
      </c>
      <c r="CV178" s="88" t="e">
        <f ca="1">IF(BZ178&lt;=Hypothèses!$V$7,Hypothèses!$X$7,IF(BZ178&lt;=Hypothèses!$V$8,Hypothèses!$X$8,IF(BZ178&lt;=Hypothèses!$V$9,Hypothèses!$X$9,IF(BZ178&lt;=Hypothèses!$V$10,Hypothèses!$X$10,IF(BZ178&lt;=Hypothèses!$V$11,Hypothèses!$X$11,IF(BZ178&lt;=Hypothèses!$V$12,Hypothèses!$X$12,IF(BZ178&lt;=Hypothèses!$V$13,Hypothèses!$X$13,IF(BZ178&lt;=Hypothèses!$V$14,Hypothèses!$X$14,IF(BZ178&lt;=Hypothèses!$V$15,Hypothèses!$X$15,IF(BZ178&lt;=Hypothèses!$V$16,Hypothèses!$X$16,IF(BZ178&lt;=Hypothèses!$U$17,Hypothèses!$W$17,IF(BZ178&lt;=Hypothèses!$U$18,Hypothèses!$W$18,""))))))))))))</f>
        <v>#DIV/0!</v>
      </c>
      <c r="CW178" s="95" t="e">
        <f t="shared" ca="1" si="285"/>
        <v>#DIV/0!</v>
      </c>
      <c r="CX178" s="101" t="e">
        <f t="shared" si="327"/>
        <v>#N/A</v>
      </c>
      <c r="CY178" s="91" t="e">
        <f t="shared" si="254"/>
        <v>#N/A</v>
      </c>
      <c r="CZ178" s="30" t="e">
        <f t="shared" si="308"/>
        <v>#N/A</v>
      </c>
      <c r="DA178" s="30" t="e">
        <f t="shared" si="309"/>
        <v>#N/A</v>
      </c>
      <c r="DB178" s="31" t="e">
        <f>IF(OR(Hypothèses!$B$4=17,Hypothèses!$B$4=18,Hypothèses!$B$4=19,Hypothèses!$B$4=20),
IF($D178="Pressio.",
IF(OR($E178=3,$E178=1,$E178=4),DA178,CZ178),
IF($D178="Pénétro.",
IF(OR($E178=3,$E178=1,$E178=4),DA178,CZ178))),IF($D178="Pressio.",
IF($E178=3,DA178,CZ178),
IF($D178="Pénétro.",
IF($E178=4,DA178,CZ178))))</f>
        <v>#N/A</v>
      </c>
      <c r="DC178" s="31" t="e">
        <f>(IF(OR(Hypothèses!$B$4=17,Hypothèses!$B$4=18,Hypothèses!$B$4=19,Hypothèses!$B$4=20),
IF($D178="Pressio.",
IF(OR($E178=3,$E178=1,$E178=4),(PI()*DC$12^2)/4*(CY178*$W178*1000)/($H178*$B$5),(PI()*DC$12^2)/4*(CY178*$W178*1000)/($G178*$B$5)),
IF($D178="Pénétro.",
IF(OR($E178=4,$E178=1,$E178=5),(PI()*DC$12^2)/4*(CY178*$W178*1000)/($H178*$B$5),(PI()*DC$12^2)/4*(CY178*$W178*1000)/($G178*$B$5)))),
IF($D178="Pressio.",
IF($E178=3,(PI()*DC$12^2)/4*(CY178*$W178*1000)/($H178*$B$5),(PI()*DC$12^2)/4*(CY178*$W178*1000)/($G178*$B$5)),
IF($D178="Pénétro.",
IF($E178=4,(PI()*DC$12^2)/4*(CY178*$W178*1000)/($H178*$B$5),(PI()*DC$12^2)/4*(CY178*$W178*1000)/($G178*$B$5))))))/10</f>
        <v>#N/A</v>
      </c>
      <c r="DD178" s="102" t="e">
        <f>(VLOOKUP($B$3,'Coeff EC7'!$T$39:$X$59,2,0)*DB178+VLOOKUP($B$3,'Coeff EC7'!$T$65:$X$85,2,0)*Model0.1C!DC178)/1.1</f>
        <v>#N/A</v>
      </c>
      <c r="DE178" s="102" t="e">
        <f>(VLOOKUP($B$3,'Coeff EC7'!$T$39:$X$59,3,0)*DB178+VLOOKUP($B$3,'Coeff EC7'!$T$65:$X$85,3,0)*Model0.1C!DC178)/0.9</f>
        <v>#N/A</v>
      </c>
      <c r="DF178" s="102" t="e">
        <f t="shared" si="286"/>
        <v>#N/A</v>
      </c>
      <c r="DG178" s="102" t="e">
        <f t="shared" si="287"/>
        <v>#N/A</v>
      </c>
      <c r="DH178" s="414" t="e">
        <f>IF(DH177=0,0,IF(AND(DD178&gt;charge_ELS_quasi,DE178&gt;Charge_ELS_freq,DF178&gt;charge_ELU,DG178&gt;charge_ELA,$B178&gt;NDC!$H$22-0.1+MIN(3*$DH$12,1.5)),0,1))</f>
        <v>#N/A</v>
      </c>
      <c r="DI178" s="86" t="b">
        <f t="shared" si="255"/>
        <v>0</v>
      </c>
      <c r="DJ178" s="86">
        <f t="shared" si="256"/>
        <v>0.5</v>
      </c>
      <c r="DK178" s="86">
        <f t="shared" si="257"/>
        <v>0.5</v>
      </c>
      <c r="DL178" s="30" t="e">
        <f t="shared" ca="1" si="288"/>
        <v>#DIV/0!</v>
      </c>
      <c r="DM178" s="85" t="e">
        <f ca="1">IF(CS178&lt;=Hypothèses!$V$7,Hypothèses!$W$7,IF(CS178&lt;=Hypothèses!$V$8,Hypothèses!$W$8,IF(CS178&lt;=Hypothèses!$V$9,Hypothèses!$W$9,IF(CS178&lt;=Hypothèses!$V$10,Hypothèses!$W$10,IF(CS178&lt;=Hypothèses!$V$11,Hypothèses!$W$11,IF(CS178&lt;=Hypothèses!$V$12,Hypothèses!$W$12,IF(CS178&lt;=Hypothèses!$V$13,Hypothèses!$W$13,IF(CS178&lt;=Hypothèses!$V$14,Hypothèses!$W$14,IF(CS178&lt;=Hypothèses!$V$15,Hypothèses!$W$15,IF(CS178&lt;=Hypothèses!$V$16,Hypothèses!$W$16,IF(CS178&lt;=Hypothèses!$V$17,Hypothèses!$W$17,IF(CS178&lt;=Hypothèses!$V$18,Hypothèses!$W$18,""))))))))))))</f>
        <v>#DIV/0!</v>
      </c>
      <c r="DN178" s="87" t="e">
        <f t="shared" ca="1" si="321"/>
        <v>#DIV/0!</v>
      </c>
      <c r="DO178" s="88" t="e">
        <f ca="1">IF(CS178&lt;=Hypothèses!$V$7,Hypothèses!$X$7,IF(CS178&lt;=Hypothèses!$V$8,Hypothèses!$X$8,IF(CS178&lt;=Hypothèses!$V$9,Hypothèses!$X$9,IF(CS178&lt;=Hypothèses!$V$10,Hypothèses!$X$10,IF(CS178&lt;=Hypothèses!$V$11,Hypothèses!$X$11,IF(CS178&lt;=Hypothèses!$V$12,Hypothèses!$X$12,IF(CS178&lt;=Hypothèses!$V$13,Hypothèses!$X$13,IF(CS178&lt;=Hypothèses!$V$14,Hypothèses!$X$14,IF(CS178&lt;=Hypothèses!$V$15,Hypothèses!$X$15,IF(CS178&lt;=Hypothèses!$V$16,Hypothèses!$X$16,IF(CS178&lt;=Hypothèses!$U$17,Hypothèses!$W$17,IF(CS178&lt;=Hypothèses!$U$18,Hypothèses!$W$18,""))))))))))))</f>
        <v>#DIV/0!</v>
      </c>
      <c r="DP178" s="95" t="e">
        <f t="shared" ca="1" si="289"/>
        <v>#DIV/0!</v>
      </c>
      <c r="DQ178" s="101" t="e">
        <f t="shared" si="328"/>
        <v>#N/A</v>
      </c>
      <c r="DR178" s="91" t="e">
        <f t="shared" si="258"/>
        <v>#N/A</v>
      </c>
      <c r="DS178" s="30" t="e">
        <f t="shared" si="310"/>
        <v>#N/A</v>
      </c>
      <c r="DT178" s="30" t="e">
        <f t="shared" si="311"/>
        <v>#N/A</v>
      </c>
      <c r="DU178" s="31" t="e">
        <f>IF(OR(Hypothèses!$B$4=17,Hypothèses!$B$4=18,Hypothèses!$B$4=19,Hypothèses!$B$4=20),
IF($D178="Pressio.",
IF(OR($E178=3,$E178=1,$E178=4),DT178,DS178),
IF($D178="Pénétro.",
IF(OR($E178=3,$E178=1,$E178=4),DT178,DS178))),IF($D178="Pressio.",
IF($E178=3,DT178,DS178),
IF($D178="Pénétro.",
IF($E178=4,DT178,DS178))))</f>
        <v>#N/A</v>
      </c>
      <c r="DV178" s="31" t="e">
        <f>(IF(OR(Hypothèses!$B$4=17,Hypothèses!$B$4=18,Hypothèses!$B$4=19,Hypothèses!$B$4=20),
IF($D178="Pressio.",
IF(OR($E178=3,$E178=1,$E178=4),(PI()*DV$12^2)/4*(DR178*$W178*1000)/($H178*$B$5),(PI()*DV$12^2)/4*(DR178*$W178*1000)/($G178*$B$5)),
IF($D178="Pénétro.",
IF(OR($E178=4,$E178=1,$E178=5),(PI()*DV$12^2)/4*(DR178*$W178*1000)/($H178*$B$5),(PI()*DV$12^2)/4*(DR178*$W178*1000)/($G178*$B$5)))),
IF($D178="Pressio.",
IF($E178=3,(PI()*DV$12^2)/4*(DR178*$W178*1000)/($H178*$B$5),(PI()*DV$12^2)/4*(DR178*$W178*1000)/($G178*$B$5)),
IF($D178="Pénétro.",
IF($E178=4,(PI()*DV$12^2)/4*(DR178*$W178*1000)/($H178*$B$5),(PI()*DV$12^2)/4*(DR178*$W178*1000)/($G178*$B$5))))))/10</f>
        <v>#N/A</v>
      </c>
      <c r="DW178" s="102" t="e">
        <f>(VLOOKUP($B$3,'Coeff EC7'!$T$39:$X$59,2,0)*DU178+VLOOKUP($B$3,'Coeff EC7'!$T$65:$X$85,2,0)*Model0.1C!DV178)/1.1</f>
        <v>#N/A</v>
      </c>
      <c r="DX178" s="102" t="e">
        <f>(VLOOKUP($B$3,'Coeff EC7'!$T$39:$X$59,3,0)*DU178+VLOOKUP($B$3,'Coeff EC7'!$T$65:$X$85,3,0)*Model0.1C!DV178)/0.9</f>
        <v>#N/A</v>
      </c>
      <c r="DY178" s="102" t="e">
        <f t="shared" si="290"/>
        <v>#N/A</v>
      </c>
      <c r="DZ178" s="102" t="e">
        <f t="shared" si="291"/>
        <v>#N/A</v>
      </c>
      <c r="EA178" s="414" t="e">
        <f>IF(EA177=0,0,IF(AND(DW178&gt;charge_ELS_quasi,DX178&gt;Charge_ELS_freq,DY178&gt;charge_ELU,DZ178&gt;charge_ELA,$B178&gt;NDC!$H$22-0.1+MIN(3*$EA$12,1.5)),0,1))</f>
        <v>#N/A</v>
      </c>
      <c r="EB178" s="86" t="b">
        <f t="shared" si="259"/>
        <v>0</v>
      </c>
      <c r="EC178" s="418">
        <f t="shared" si="260"/>
        <v>0.51</v>
      </c>
      <c r="ED178" s="86">
        <f t="shared" si="261"/>
        <v>0.51</v>
      </c>
      <c r="EE178" s="30" t="e">
        <f t="shared" ca="1" si="292"/>
        <v>#DIV/0!</v>
      </c>
      <c r="EF178" s="85" t="e">
        <f ca="1">IF(DL178&lt;=Hypothèses!$V$7,Hypothèses!$W$7,IF(DL178&lt;=Hypothèses!$V$8,Hypothèses!$W$8,IF(DL178&lt;=Hypothèses!$V$9,Hypothèses!$W$9,IF(DL178&lt;=Hypothèses!$V$10,Hypothèses!$W$10,IF(DL178&lt;=Hypothèses!$V$11,Hypothèses!$W$11,IF(DL178&lt;=Hypothèses!$V$12,Hypothèses!$W$12,IF(DL178&lt;=Hypothèses!$V$13,Hypothèses!$W$13,IF(DL178&lt;=Hypothèses!$V$14,Hypothèses!$W$14,IF(DL178&lt;=Hypothèses!$V$15,Hypothèses!$W$15,IF(DL178&lt;=Hypothèses!$V$16,Hypothèses!$W$16,IF(DL178&lt;=Hypothèses!$V$17,Hypothèses!$W$17,IF(DL178&lt;=Hypothèses!$V$18,Hypothèses!$W$18,""))))))))))))</f>
        <v>#DIV/0!</v>
      </c>
      <c r="EG178" s="87" t="e">
        <f t="shared" ca="1" si="322"/>
        <v>#DIV/0!</v>
      </c>
      <c r="EH178" s="88" t="e">
        <f ca="1">IF(DL178&lt;=Hypothèses!$V$7,Hypothèses!$X$7,IF(DL178&lt;=Hypothèses!$V$8,Hypothèses!$X$8,IF(DL178&lt;=Hypothèses!$V$9,Hypothèses!$X$9,IF(DL178&lt;=Hypothèses!$V$10,Hypothèses!$X$10,IF(DL178&lt;=Hypothèses!$V$11,Hypothèses!$X$11,IF(DL178&lt;=Hypothèses!$V$12,Hypothèses!$X$12,IF(DL178&lt;=Hypothèses!$V$13,Hypothèses!$X$13,IF(DL178&lt;=Hypothèses!$V$14,Hypothèses!$X$14,IF(DL178&lt;=Hypothèses!$V$15,Hypothèses!$X$15,IF(DL178&lt;=Hypothèses!$V$16,Hypothèses!$X$16,IF(DL178&lt;=Hypothèses!$U$17,Hypothèses!$W$17,IF(DL178&lt;=Hypothèses!$U$18,Hypothèses!$W$18,""))))))))))))</f>
        <v>#DIV/0!</v>
      </c>
      <c r="EI178" s="95" t="e">
        <f t="shared" ca="1" si="293"/>
        <v>#DIV/0!</v>
      </c>
      <c r="EJ178" s="101" t="e">
        <f t="shared" si="329"/>
        <v>#N/A</v>
      </c>
      <c r="EK178" s="91" t="e">
        <f t="shared" si="262"/>
        <v>#N/A</v>
      </c>
      <c r="EL178" s="30" t="e">
        <f t="shared" si="312"/>
        <v>#N/A</v>
      </c>
      <c r="EM178" s="30" t="e">
        <f t="shared" si="313"/>
        <v>#N/A</v>
      </c>
      <c r="EN178" s="31" t="e">
        <f>IF(OR(Hypothèses!$B$4=17,Hypothèses!$B$4=18,Hypothèses!$B$4=19,Hypothèses!$B$4=20),
IF($D178="Pressio.",
IF(OR($E178=3,$E178=1,$E178=4),EM178,EL178),
IF($D178="Pénétro.",
IF(OR($E178=3,$E178=1,$E178=4),EM178,EL178))),IF($D178="Pressio.",
IF($E178=3,EM178,EL178),
IF($D178="Pénétro.",
IF($E178=4,EM178,EL178))))</f>
        <v>#N/A</v>
      </c>
      <c r="EO178" s="31" t="e">
        <f>(IF(OR(Hypothèses!$B$4=17,Hypothèses!$B$4=18,Hypothèses!$B$4=19,Hypothèses!$B$4=20),
IF($D178="Pressio.",
IF(OR($E178=3,$E178=1,$E178=4),(PI()*EO$12^2)/4*(EK178*$W178*1000)/($H178*$B$5),(PI()*EO$12^2)/4*(EK178*$W178*1000)/($G178*$B$5)),
IF($D178="Pénétro.",
IF(OR($E178=4,$E178=1,$E178=5),(PI()*EO$12^2)/4*(EK178*$W178*1000)/($H178*$B$5),(PI()*EO$12^2)/4*(EK178*$W178*1000)/($G178*$B$5)))),
IF($D178="Pressio.",
IF($E178=3,(PI()*EO$12^2)/4*(EK178*$W178*1000)/($H178*$B$5),(PI()*EO$12^2)/4*(EK178*$W178*1000)/($G178*$B$5)),
IF($D178="Pénétro.",
IF($E178=4,(PI()*EO$12^2)/4*(EK178*$W178*1000)/($H178*$B$5),(PI()*EO$12^2)/4*(EK178*$W178*1000)/($G178*$B$5))))))/10</f>
        <v>#N/A</v>
      </c>
      <c r="EP178" s="102" t="e">
        <f>(VLOOKUP($B$3,'Coeff EC7'!$T$39:$X$59,2,0)*EN178+VLOOKUP($B$3,'Coeff EC7'!$T$65:$X$85,2,0)*Model0.1C!EO178)/1.1</f>
        <v>#N/A</v>
      </c>
      <c r="EQ178" s="102" t="e">
        <f>(VLOOKUP($B$3,'Coeff EC7'!$T$39:$X$59,3,0)*EN178+VLOOKUP($B$3,'Coeff EC7'!$T$65:$X$85,3,0)*Model0.1C!EO178)/0.9</f>
        <v>#N/A</v>
      </c>
      <c r="ER178" s="102" t="e">
        <f t="shared" si="294"/>
        <v>#N/A</v>
      </c>
      <c r="ES178" s="102" t="e">
        <f t="shared" si="295"/>
        <v>#N/A</v>
      </c>
      <c r="ET178" s="414" t="e">
        <f>IF(ET177=0,0,IF(AND(EP178&gt;charge_ELS_quasi,EQ178&gt;Charge_ELS_freq,ER178&gt;charge_ELU,ES178&gt;charge_ELA,$B178&gt;NDC!$H$22-0.1+MIN(3*$ET$12,1.5)),0,1))</f>
        <v>#N/A</v>
      </c>
      <c r="EU178" s="86" t="b">
        <f t="shared" si="263"/>
        <v>0</v>
      </c>
      <c r="EV178" s="86">
        <f t="shared" si="264"/>
        <v>0.61</v>
      </c>
      <c r="EW178" s="86">
        <f t="shared" si="265"/>
        <v>0.61</v>
      </c>
      <c r="EX178" s="30" t="e">
        <f t="shared" ca="1" si="296"/>
        <v>#DIV/0!</v>
      </c>
      <c r="EY178" s="85" t="e">
        <f ca="1">IF(EE178&lt;=Hypothèses!$V$7,Hypothèses!$W$7,IF(EE178&lt;=Hypothèses!$V$8,Hypothèses!$W$8,IF(EE178&lt;=Hypothèses!$V$9,Hypothèses!$W$9,IF(EE178&lt;=Hypothèses!$V$10,Hypothèses!$W$10,IF(EE178&lt;=Hypothèses!$V$11,Hypothèses!$W$11,IF(EE178&lt;=Hypothèses!$V$12,Hypothèses!$W$12,IF(EE178&lt;=Hypothèses!$V$13,Hypothèses!$W$13,IF(EE178&lt;=Hypothèses!$V$14,Hypothèses!$W$14,IF(EE178&lt;=Hypothèses!$V$15,Hypothèses!$W$15,IF(EE178&lt;=Hypothèses!$V$16,Hypothèses!$W$16,IF(EE178&lt;=Hypothèses!$V$17,Hypothèses!$W$17,IF(EE178&lt;=Hypothèses!$V$18,Hypothèses!$W$18,""))))))))))))</f>
        <v>#DIV/0!</v>
      </c>
      <c r="EZ178" s="87" t="e">
        <f t="shared" ca="1" si="323"/>
        <v>#DIV/0!</v>
      </c>
      <c r="FA178" s="88" t="e">
        <f ca="1">IF(EE178&lt;=Hypothèses!$V$7,Hypothèses!$X$7,IF(EE178&lt;=Hypothèses!$V$8,Hypothèses!$X$8,IF(EE178&lt;=Hypothèses!$V$9,Hypothèses!$X$9,IF(EE178&lt;=Hypothèses!$V$10,Hypothèses!$X$10,IF(EE178&lt;=Hypothèses!$V$11,Hypothèses!$X$11,IF(EE178&lt;=Hypothèses!$V$12,Hypothèses!$X$12,IF(EE178&lt;=Hypothèses!$V$13,Hypothèses!$X$13,IF(EE178&lt;=Hypothèses!$V$14,Hypothèses!$X$14,IF(EE178&lt;=Hypothèses!$V$15,Hypothèses!$X$15,IF(EE178&lt;=Hypothèses!$V$16,Hypothèses!$X$16,IF(EE178&lt;=Hypothèses!$U$17,Hypothèses!$W$17,IF(EE178&lt;=Hypothèses!$U$18,Hypothèses!$W$18,""))))))))))))</f>
        <v>#DIV/0!</v>
      </c>
      <c r="FB178" s="95" t="e">
        <f t="shared" ca="1" si="297"/>
        <v>#DIV/0!</v>
      </c>
      <c r="FC178" s="101" t="e">
        <f t="shared" si="330"/>
        <v>#N/A</v>
      </c>
      <c r="FD178" s="91" t="e">
        <f t="shared" si="266"/>
        <v>#N/A</v>
      </c>
      <c r="FE178" s="30" t="e">
        <f t="shared" si="314"/>
        <v>#N/A</v>
      </c>
      <c r="FF178" s="30" t="e">
        <f t="shared" si="315"/>
        <v>#N/A</v>
      </c>
      <c r="FG178" s="31" t="e">
        <f>IF(OR(Hypothèses!$B$4=17,Hypothèses!$B$4=18,Hypothèses!$B$4=19,Hypothèses!$B$4=20),
IF($D178="Pressio.",
IF(OR($E178=3,$E178=1,$E178=4),FF178,FE178),
IF($D178="Pénétro.",
IF(OR($E178=3,$E178=1,$E178=4),FF178,FE178))),IF($D178="Pressio.",
IF($E178=3,FF178,FE178),
IF($D178="Pénétro.",
IF($E178=4,FF178,FE178))))</f>
        <v>#N/A</v>
      </c>
      <c r="FH178" s="31" t="e">
        <f>(IF(OR(Hypothèses!$B$4=17,Hypothèses!$B$4=18,Hypothèses!$B$4=19,Hypothèses!$B$4=20),
IF($D178="Pressio.",
IF(OR($E178=3,$E178=1,$E178=4),(PI()*FH$12^2)/4*(FD178*$W178*1000)/($H178*$B$5),(PI()*FH$12^2)/4*(FD178*$W178*1000)/($G178*$B$5)),
IF($D178="Pénétro.",
IF(OR($E178=4,$E178=1,$E178=5),(PI()*FH$12^2)/4*(FD178*$W178*1000)/($H178*$B$5),(PI()*FH$12^2)/4*(FD178*$W178*1000)/($G178*$B$5)))),
IF($D178="Pressio.",
IF($E178=3,(PI()*FH$12^2)/4*(FD178*$W178*1000)/($H178*$B$5),(PI()*FH$12^2)/4*(FD178*$W178*1000)/($G178*$B$5)),
IF($D178="Pénétro.",
IF($E178=4,(PI()*FH$12^2)/4*(FD178*$W178*1000)/($H178*$B$5),(PI()*FH$12^2)/4*(FD178*$W178*1000)/($G178*$B$5))))))/10</f>
        <v>#N/A</v>
      </c>
      <c r="FI178" s="102" t="e">
        <f>(VLOOKUP($B$3,'Coeff EC7'!$T$39:$X$59,2,0)*FG178+VLOOKUP($B$3,'Coeff EC7'!$T$65:$X$85,2,0)*Model0.1C!FH178)/1.1</f>
        <v>#N/A</v>
      </c>
      <c r="FJ178" s="102" t="e">
        <f>(VLOOKUP($B$3,'Coeff EC7'!$T$39:$X$59,3,0)*FG178+VLOOKUP($B$3,'Coeff EC7'!$T$65:$X$85,3,0)*Model0.1C!FH178)/0.9</f>
        <v>#N/A</v>
      </c>
      <c r="FK178" s="102" t="e">
        <f t="shared" si="298"/>
        <v>#N/A</v>
      </c>
      <c r="FL178" s="102" t="e">
        <f t="shared" si="299"/>
        <v>#N/A</v>
      </c>
      <c r="FM178" s="414" t="e">
        <f>IF(FM177=0,0,IF(AND(FI178&gt;charge_ELS_quasi,FJ178&gt;Charge_ELS_freq,FK178&gt;charge_ELU,FL178&gt;charge_ELA,$B178&gt;NDC!$H$22-0.1+MIN(3*$FM$12,1.5)),0,1))</f>
        <v>#N/A</v>
      </c>
    </row>
    <row r="179" spans="1:169">
      <c r="A179" s="96">
        <f t="shared" si="267"/>
        <v>83.400000000000944</v>
      </c>
      <c r="B179" s="97">
        <v>16.600000000000001</v>
      </c>
      <c r="C179" s="81">
        <f>IF(B179&lt;=Hypothèses!$C$7,Hypothèses!$A$7,IF(B179&lt;=Hypothèses!$C$8,Hypothèses!$A$8,IF(B179&lt;=Hypothèses!$C$9,Hypothèses!$A$9,IF(B179&lt;=Hypothèses!$C$10,Hypothèses!$A$10,IF(B179&lt;=Hypothèses!$C$11,Hypothèses!$A$11,IF(B179&lt;=Hypothèses!$C$12,Hypothèses!$A$12,IF(B179&lt;=Hypothèses!$C$13,Hypothèses!$A$13,IF(B179&lt;=Hypothèses!$C$14,Hypothèses!$A$14,IF(B179&lt;=Hypothèses!$C$15,Hypothèses!$A$15,IF(B179&lt;=Hypothèses!$C$16,Hypothèses!$A$16,IF(B179&lt;=Hypothèses!$C$17,Hypothèses!$A$17,IF(B179&lt;=Hypothèses!$C$18,Hypothèses!$A$18,C178))))))))))))</f>
        <v>11</v>
      </c>
      <c r="D179" s="82" t="str">
        <f>IF(B179&lt;=Hypothèses!$C$7,Hypothèses!$R$7,IF(B179&lt;=Hypothèses!$C$8,Hypothèses!$R$8,IF(B179&lt;=Hypothèses!$C$9,Hypothèses!$R$9,IF(B179&lt;=Hypothèses!$C$10,Hypothèses!$R$10,IF(B179&lt;=Hypothèses!$C$11,Hypothèses!$R$11,IF(B179&lt;=Hypothèses!$C$12,Hypothèses!$R$12,IF(B179&lt;=Hypothèses!$C$13,Hypothèses!$R$13,IF(B179&lt;=Hypothèses!$C$14,Hypothèses!$R$14,IF(B179&lt;=Hypothèses!$C$15,Hypothèses!$R$15,IF(B179&lt;=Hypothèses!$C$16,Hypothèses!$R$16,IF(B179&lt;=Hypothèses!$C$17,Hypothèses!$R$17,IF(B179&lt;=Hypothèses!$C$18,Hypothèses!$R$18,D178))))))))))))</f>
        <v>Pressio.</v>
      </c>
      <c r="E179" s="82" t="e">
        <f>IF(B179&lt;=Hypothèses!$C$7,Hypothèses!$G$7,IF(B179&lt;=Hypothèses!$C$8,Hypothèses!$G$8,IF(B179&lt;=Hypothèses!$C$9,Hypothèses!$G$9,IF(B179&lt;=Hypothèses!$C$10,Hypothèses!$G$10,IF(B179&lt;=Hypothèses!$C$11,Hypothèses!$G$11,IF(B179&lt;=Hypothèses!$C$12,Hypothèses!$G$12,IF(B179&lt;=Hypothèses!$C$13,Hypothèses!$G$13,IF(B179&lt;=Hypothèses!$C$14,Hypothèses!$G$14,IF(B179&lt;=Hypothèses!$C$15,Hypothèses!$G$15,IF(B179&lt;=Hypothèses!$C$16,Hypothèses!$G$16,IF(B179&lt;=Hypothèses!$C$17,Hypothèses!$G$17,IF(B179&lt;=Hypothèses!$C$18,Hypothèses!$G$18,E178))))))))))))</f>
        <v>#N/A</v>
      </c>
      <c r="F179" s="82" t="str">
        <f>IF(B179&lt;=Hypothèses!$C$7,Hypothèses!$F$7,IF(B179&lt;=Hypothèses!$C$8,Hypothèses!$F$8,IF(B179&lt;=Hypothèses!$C$9,Hypothèses!$F$9,IF(B179&lt;=Hypothèses!$C$10,Hypothèses!$F$10,IF(B179&lt;=Hypothèses!$C$11,Hypothèses!$F$11,IF(B179&lt;=Hypothèses!$C$12,Hypothèses!$F$12,IF(B179&lt;=Hypothèses!$C$13,Hypothèses!$F$13,IF(B179&lt;=Hypothèses!$C$14,Hypothèses!$F$14,IF(B179&lt;=Hypothèses!$C$15,Hypothèses!$F$15,IF(B179&lt;=Hypothèses!$C$16,Hypothèses!$F$16,IF(B179&lt;=Hypothèses!$C$17,Hypothèses!$F$17,IF(B179&lt;=Hypothèses!$C$18,Hypothèses!$F$18,F178))))))))))))</f>
        <v/>
      </c>
      <c r="G179" s="91">
        <f t="array" ref="G179">INDEX('Coeff EC7'!$U$7:$X$27,
MATCH(Model0.1C!$B$3,'Coeff EC7'!$T$7:$T$27,0),
MATCH(Model0.1C!$D179&amp;Model0.1C!$B$4,
'Coeff EC7'!$U$6:$X$6&amp;
'Coeff EC7'!$U$5:$X$5,0))</f>
        <v>1.1499999999999999</v>
      </c>
      <c r="H179" s="91">
        <f t="array" ref="H179">INDEX('Coeff EC7'!$Y$7:$AB$27,
MATCH(Model0.1C!$B$3,'Coeff EC7'!$T$7:$T$27,0),
MATCH(Model0.1C!$D179&amp;Model0.1C!$B$4,
'Coeff EC7'!$Y$6:$AB$6&amp;
'Coeff EC7'!$Y$5:$AB$5,0))</f>
        <v>1.4</v>
      </c>
      <c r="I179" s="83" t="e">
        <f>IF(B179&lt;=Hypothèses!$C$7,Hypothèses!$P$7,IF(B179&lt;=Hypothèses!$C$8,Hypothèses!$P$8,IF(B179&lt;=Hypothèses!$C$9,Hypothèses!$P$9,IF(B179&lt;=Hypothèses!$C$10,Hypothèses!$P$10,IF(B179&lt;=Hypothèses!$C$11,Hypothèses!$P$11,IF(B179&lt;=Hypothèses!$C$12,Hypothèses!$P$12,IF(B179&lt;=Hypothèses!$C$13,Hypothèses!$P$13,IF(B179&lt;=Hypothèses!$C$14,Hypothèses!$P$14,IF(B179&lt;=Hypothèses!$C$15,Hypothèses!$P$15,IF(B179&lt;=Hypothèses!$C$16,Hypothèses!$P$16,IF(B179&lt;=Hypothèses!$C$17,Hypothèses!$P$17,IF(B179&lt;=Hypothèses!$C$18,Hypothèses!$P$18,I178))))))))))))</f>
        <v>#N/A</v>
      </c>
      <c r="J179" s="91" t="e">
        <f t="array" ref="J179">INDEX('Coeff EC7'!$D$33:$Q$33,1,MATCH(D179&amp;E179,'Coeff EC7'!$D$31:$Q$31&amp;'Coeff EC7'!$D$32:$Q$32,0))</f>
        <v>#N/A</v>
      </c>
      <c r="K179" s="91" t="e">
        <f t="array" ref="K179">INDEX('Coeff EC7'!$D$34:$Q$34,1,MATCH(D179&amp;E179,'Coeff EC7'!$D$31:$Q$31&amp;'Coeff EC7'!$D$32:$Q$32,0))</f>
        <v>#N/A</v>
      </c>
      <c r="L179" s="91" t="e">
        <f t="array" ref="L179">INDEX('Coeff EC7'!$D$35:$Q$35,1,MATCH(D179&amp;E179,'Coeff EC7'!$D$31:$Q$31&amp;'Coeff EC7'!$D$32:$Q$32,0))</f>
        <v>#N/A</v>
      </c>
      <c r="M179" s="98" t="e">
        <f t="shared" si="231"/>
        <v>#N/A</v>
      </c>
      <c r="N179" s="99" t="e">
        <f t="array" ref="N179">INDEX('Coeff EC7'!$D$7:$Q$27,MATCH($B$3,'Coeff EC7'!$C$7:$C$27,0),MATCH(D179&amp;E179,'Coeff EC7'!$D$5:$Q$5&amp;'Coeff EC7'!$D$6:$Q$6,0))</f>
        <v>#N/A</v>
      </c>
      <c r="O179" s="99" t="e">
        <f t="array" ref="O179">INDEX('Coeff EC7'!$D$41:$Q$61,MATCH($B$3,'Coeff EC7'!$C$41:$C$61,0),MATCH(D179&amp;E179,'Coeff EC7'!$D$39:$Q$39&amp;'Coeff EC7'!$D$40:$Q$40,0))</f>
        <v>#N/A</v>
      </c>
      <c r="P179" s="30" t="e">
        <f t="shared" si="268"/>
        <v>#N/A</v>
      </c>
      <c r="Q179" s="100" t="e">
        <f t="shared" si="233"/>
        <v>#N/A</v>
      </c>
      <c r="R179" s="86" t="b">
        <f t="shared" si="234"/>
        <v>0</v>
      </c>
      <c r="S179" s="86">
        <f t="shared" si="232"/>
        <v>0.5</v>
      </c>
      <c r="T179" s="86">
        <f t="shared" si="235"/>
        <v>0.5</v>
      </c>
      <c r="U179" s="30" t="e">
        <f t="shared" ca="1" si="269"/>
        <v>#DIV/0!</v>
      </c>
      <c r="V179" s="85" t="str">
        <f>IF(B179&lt;=Hypothèses!$V$7,Hypothèses!$W$7,IF(B179&lt;=Hypothèses!$V$8,Hypothèses!$W$8,IF(B179&lt;=Hypothèses!$V$9,Hypothèses!$W$9,IF(B179&lt;=Hypothèses!$V$10,Hypothèses!$W$10,IF(B179&lt;=Hypothèses!$V$11,Hypothèses!$W$11,IF(B179&lt;=Hypothèses!$V$12,Hypothèses!$W$12,IF(B179&lt;=Hypothèses!$V$13,Hypothèses!$W$13,IF(B179&lt;=Hypothèses!$V$14,Hypothèses!$W$14,IF(B179&lt;=Hypothèses!$V$15,Hypothèses!$W$15,IF(B179&lt;=Hypothèses!$V$16,Hypothèses!$W$16,IF(B179&lt;=Hypothèses!$V$17,Hypothèses!$W$17,IF(B179&lt;=Hypothèses!$V$18,Hypothèses!$W$18,""))))))))))))</f>
        <v/>
      </c>
      <c r="W179" s="87" t="e">
        <f t="shared" ca="1" si="316"/>
        <v>#DIV/0!</v>
      </c>
      <c r="X179" s="88" t="str">
        <f>IF(B179&lt;=Hypothèses!$V$7,Hypothèses!$X$7,IF(B179&lt;=Hypothèses!$V$8,Hypothèses!$X$8,IF(B179&lt;=Hypothèses!$V$9,Hypothèses!$X$9,IF(B179&lt;=Hypothèses!$V$10,Hypothèses!$X$10,IF(B179&lt;=Hypothèses!$V$11,Hypothèses!$X$11,IF(B179&lt;=Hypothèses!$V$12,Hypothèses!$X$12,IF(B179&lt;=Hypothèses!$V$13,Hypothèses!$X$13,IF(B179&lt;=Hypothèses!$V$14,Hypothèses!$X$14,IF(B179&lt;=Hypothèses!$V$15,Hypothèses!$X$15,IF(B179&lt;=Hypothèses!$V$16,Hypothèses!$X$16,IF(B179&lt;=Hypothèses!$U$17,Hypothèses!$W$17,IF(B179&lt;=Hypothèses!$U$18,Hypothèses!$W$18,""))))))))))))</f>
        <v/>
      </c>
      <c r="Y179" s="95" t="e">
        <f t="shared" ca="1" si="236"/>
        <v>#DIV/0!</v>
      </c>
      <c r="Z179" s="101" t="e">
        <f t="shared" si="237"/>
        <v>#N/A</v>
      </c>
      <c r="AA179" s="91" t="e">
        <f t="shared" si="238"/>
        <v>#N/A</v>
      </c>
      <c r="AB179" s="30" t="e">
        <f t="shared" si="300"/>
        <v>#N/A</v>
      </c>
      <c r="AC179" s="30" t="e">
        <f t="shared" si="301"/>
        <v>#N/A</v>
      </c>
      <c r="AD179" s="31" t="e">
        <f>IF(OR(Hypothèses!$B$4=17,Hypothèses!$B$4=18,Hypothèses!$B$4=19,Hypothèses!$B$4=20),
IF($D179="Pressio.",
IF(OR($E179=3,$E179=1,$E179=4),AC179,AB179),
IF($D179="Pénétro.",
IF(OR($E179=3,$E179=1,$E179=4),AC179,AB179))),IF($D179="Pressio.",
IF($E179=3,AC179,AB179),
IF($D179="Pénétro.",
IF($E179=4,AC179,AB179))))</f>
        <v>#N/A</v>
      </c>
      <c r="AE179" s="31" t="e">
        <f>(IF(OR(Hypothèses!$B$4=17,Hypothèses!$B$4=18,Hypothèses!$B$4=19,Hypothèses!$B$4=20),
IF($D179="Pressio.",
IF(OR($E179=3,$E179=1,$E179=4),(PI()*AE$12^2)/4*(AA179*$W179*1000)/($H179*$B$5),(PI()*AE$12^2)/4*(AA179*$W179*1000)/($G179*$B$5)),
IF($D179="Pénétro.",
IF(OR($E179=4,$E179=1,$E179=5),(PI()*AE$12^2)/4*(AA179*$W179*1000)/($H179*$B$5),(PI()*AE$12^2)/4*(AA179*$W179*1000)/($G179*$B$5)))),
IF($D179="Pressio.",
IF($E179=3,(PI()*AE$12^2)/4*(AA179*$W179*1000)/($H179*$B$5),(PI()*AE$12^2)/4*(AA179*$W179*1000)/($G179*$B$5)),
IF($D179="Pénétro.",
IF($E179=4,(PI()*AE$12^2)/4*(AA179*$W179*1000)/($H179*$B$5),(PI()*AE$12^2)/4*(AA179*$W179*1000)/($G179*$B$5))))))/10</f>
        <v>#N/A</v>
      </c>
      <c r="AF179" s="102" t="e">
        <f>(VLOOKUP($B$3,'Coeff EC7'!$T$39:$X$59,2,0)*AD179+VLOOKUP($B$3,'Coeff EC7'!$T$65:$X$85,2,0)*Model0.1C!AE179)/1.1</f>
        <v>#N/A</v>
      </c>
      <c r="AG179" s="102" t="e">
        <f>(VLOOKUP($B$3,'Coeff EC7'!$T$39:$X$59,3,0)*AD179+VLOOKUP($B$3,'Coeff EC7'!$T$65:$X$85,3,0)*Model0.1C!AE179)/0.9</f>
        <v>#N/A</v>
      </c>
      <c r="AH179" s="102" t="e">
        <f t="shared" si="239"/>
        <v>#N/A</v>
      </c>
      <c r="AI179" s="102" t="e">
        <f t="shared" si="240"/>
        <v>#N/A</v>
      </c>
      <c r="AJ179" s="414" t="e">
        <f>IF(AJ178=0,0,IF(AND(AF179&gt;charge_ELS_quasi,AG179&gt;Charge_ELS_freq,AH179&gt;charge_ELU,AI179&gt;charge_ELA,$B179&gt;NDC!$H$22-0.1+MIN(3*$AJ$12,1.5)),0,1))</f>
        <v>#N/A</v>
      </c>
      <c r="AK179" s="86" t="b">
        <f t="shared" si="241"/>
        <v>0</v>
      </c>
      <c r="AL179" s="86">
        <f t="shared" si="270"/>
        <v>0.5</v>
      </c>
      <c r="AM179" s="86">
        <f t="shared" si="242"/>
        <v>0.5</v>
      </c>
      <c r="AN179" s="30" t="e">
        <f t="shared" ca="1" si="271"/>
        <v>#DIV/0!</v>
      </c>
      <c r="AO179" s="85" t="e">
        <f ca="1">IF(U179&lt;=Hypothèses!$V$7,Hypothèses!$W$7,IF(U179&lt;=Hypothèses!$V$8,Hypothèses!$W$8,IF(U179&lt;=Hypothèses!$V$9,Hypothèses!$W$9,IF(U179&lt;=Hypothèses!$V$10,Hypothèses!$W$10,IF(U179&lt;=Hypothèses!$V$11,Hypothèses!$W$11,IF(U179&lt;=Hypothèses!$V$12,Hypothèses!$W$12,IF(U179&lt;=Hypothèses!$V$13,Hypothèses!$W$13,IF(U179&lt;=Hypothèses!$V$14,Hypothèses!$W$14,IF(U179&lt;=Hypothèses!$V$15,Hypothèses!$W$15,IF(U179&lt;=Hypothèses!$V$16,Hypothèses!$W$16,IF(U179&lt;=Hypothèses!$V$17,Hypothèses!$W$17,IF(U179&lt;=Hypothèses!$V$18,Hypothèses!$W$18,""))))))))))))</f>
        <v>#DIV/0!</v>
      </c>
      <c r="AP179" s="87" t="e">
        <f t="shared" ca="1" si="317"/>
        <v>#DIV/0!</v>
      </c>
      <c r="AQ179" s="88" t="e">
        <f ca="1">IF(U179&lt;=Hypothèses!$V$7,Hypothèses!$X$7,IF(U179&lt;=Hypothèses!$V$8,Hypothèses!$X$8,IF(U179&lt;=Hypothèses!$V$9,Hypothèses!$X$9,IF(U179&lt;=Hypothèses!$V$10,Hypothèses!$X$10,IF(U179&lt;=Hypothèses!$V$11,Hypothèses!$X$11,IF(U179&lt;=Hypothèses!$V$12,Hypothèses!$X$12,IF(U179&lt;=Hypothèses!$V$13,Hypothèses!$X$13,IF(U179&lt;=Hypothèses!$V$14,Hypothèses!$X$14,IF(U179&lt;=Hypothèses!$V$15,Hypothèses!$X$15,IF(U179&lt;=Hypothèses!$V$16,Hypothèses!$X$16,IF(U179&lt;=Hypothèses!$U$17,Hypothèses!$W$17,IF(U179&lt;=Hypothèses!$U$18,Hypothèses!$W$18,""))))))))))))</f>
        <v>#DIV/0!</v>
      </c>
      <c r="AR179" s="95" t="e">
        <f t="shared" ca="1" si="272"/>
        <v>#DIV/0!</v>
      </c>
      <c r="AS179" s="101" t="e">
        <f t="shared" si="324"/>
        <v>#N/A</v>
      </c>
      <c r="AT179" s="91" t="e">
        <f t="shared" si="243"/>
        <v>#N/A</v>
      </c>
      <c r="AU179" s="30" t="e">
        <f t="shared" si="302"/>
        <v>#N/A</v>
      </c>
      <c r="AV179" s="30" t="e">
        <f t="shared" si="303"/>
        <v>#N/A</v>
      </c>
      <c r="AW179" s="31" t="e">
        <f>IF(OR(Hypothèses!$B$4=17,Hypothèses!$B$4=18,Hypothèses!$B$4=19,Hypothèses!$B$4=20),
IF($D179="Pressio.",
IF(OR($E179=3,$E179=1,$E179=4),AV179,AU179),
IF($D179="Pénétro.",
IF(OR($E179=3,$E179=1,$E179=4),AV179,AU179))),IF($D179="Pressio.",
IF($E179=3,AV179,AU179),
IF($D179="Pénétro.",
IF($E179=4,AV179,AU179))))</f>
        <v>#N/A</v>
      </c>
      <c r="AX179" s="31" t="e">
        <f>(IF(OR(Hypothèses!$B$4=17,Hypothèses!$B$4=18,Hypothèses!$B$4=19,Hypothèses!$B$4=20),
IF($D179="Pressio.",
IF(OR($E179=3,$E179=1,$E179=4),(PI()*AX$12^2)/4*(AT179*$W179*1000)/($H179*$B$5),(PI()*AX$12^2)/4*(AT179*$W179*1000)/($G179*$B$5)),
IF($D179="Pénétro.",
IF(OR($E179=4,$E179=1,$E179=5),(PI()*AX$12^2)/4*(AT179*$W179*1000)/($H179*$B$5),(PI()*AX$12^2)/4*(AT179*$W179*1000)/($G179*$B$5)))),
IF($D179="Pressio.",
IF($E179=3,(PI()*AX$12^2)/4*(AT179*$W179*1000)/($H179*$B$5),(PI()*AX$12^2)/4*(AT179*$W179*1000)/($G179*$B$5)),
IF($D179="Pénétro.",
IF($E179=4,(PI()*AX$12^2)/4*(AT179*$W179*1000)/($H179*$B$5),(PI()*AX$12^2)/4*(AT179*$W179*1000)/($G179*$B$5))))))/10</f>
        <v>#N/A</v>
      </c>
      <c r="AY179" s="102" t="e">
        <f>(VLOOKUP($B$3,'Coeff EC7'!$T$39:$X$59,2,0)*AW179+VLOOKUP($B$3,'Coeff EC7'!$T$65:$X$85,2,0)*Model0.1C!AX179)/1.1</f>
        <v>#N/A</v>
      </c>
      <c r="AZ179" s="102" t="e">
        <f>(VLOOKUP($B$3,'Coeff EC7'!$T$39:$X$59,3,0)*AW179+VLOOKUP($B$3,'Coeff EC7'!$T$65:$X$85,3,0)*Model0.1C!AX179)/0.9</f>
        <v>#N/A</v>
      </c>
      <c r="BA179" s="102" t="e">
        <f t="shared" si="273"/>
        <v>#N/A</v>
      </c>
      <c r="BB179" s="102" t="e">
        <f t="shared" si="274"/>
        <v>#N/A</v>
      </c>
      <c r="BC179" s="414" t="e">
        <f>IF(BC178=0,0,IF(AND(AY179&gt;charge_ELS_quasi,AZ179&gt;Charge_ELS_freq,BA179&gt;charge_ELU,BB179&gt;charge_ELA,$B179&gt;NDC!$H$22-0.1+MIN(3*$BC$12,1.5)),0,1))</f>
        <v>#N/A</v>
      </c>
      <c r="BD179" s="86" t="b">
        <f t="shared" si="244"/>
        <v>0</v>
      </c>
      <c r="BE179" s="86">
        <f t="shared" si="275"/>
        <v>0.5</v>
      </c>
      <c r="BF179" s="86">
        <f t="shared" si="245"/>
        <v>0.5</v>
      </c>
      <c r="BG179" s="30" t="e">
        <f t="shared" ca="1" si="276"/>
        <v>#DIV/0!</v>
      </c>
      <c r="BH179" s="85" t="e">
        <f ca="1">IF(AN179&lt;=Hypothèses!$V$7,Hypothèses!$W$7,IF(AN179&lt;=Hypothèses!$V$8,Hypothèses!$W$8,IF(AN179&lt;=Hypothèses!$V$9,Hypothèses!$W$9,IF(AN179&lt;=Hypothèses!$V$10,Hypothèses!$W$10,IF(AN179&lt;=Hypothèses!$V$11,Hypothèses!$W$11,IF(AN179&lt;=Hypothèses!$V$12,Hypothèses!$W$12,IF(AN179&lt;=Hypothèses!$V$13,Hypothèses!$W$13,IF(AN179&lt;=Hypothèses!$V$14,Hypothèses!$W$14,IF(AN179&lt;=Hypothèses!$V$15,Hypothèses!$W$15,IF(AN179&lt;=Hypothèses!$V$16,Hypothèses!$W$16,IF(AN179&lt;=Hypothèses!$V$17,Hypothèses!$W$17,IF(AN179&lt;=Hypothèses!$V$18,Hypothèses!$W$18,""))))))))))))</f>
        <v>#DIV/0!</v>
      </c>
      <c r="BI179" s="87" t="e">
        <f t="shared" ca="1" si="318"/>
        <v>#DIV/0!</v>
      </c>
      <c r="BJ179" s="88" t="e">
        <f ca="1">IF(AN179&lt;=Hypothèses!$V$7,Hypothèses!$X$7,IF(AN179&lt;=Hypothèses!$V$8,Hypothèses!$X$8,IF(AN179&lt;=Hypothèses!$V$9,Hypothèses!$X$9,IF(AN179&lt;=Hypothèses!$V$10,Hypothèses!$X$10,IF(AN179&lt;=Hypothèses!$V$11,Hypothèses!$X$11,IF(AN179&lt;=Hypothèses!$V$12,Hypothèses!$X$12,IF(AN179&lt;=Hypothèses!$V$13,Hypothèses!$X$13,IF(AN179&lt;=Hypothèses!$V$14,Hypothèses!$X$14,IF(AN179&lt;=Hypothèses!$V$15,Hypothèses!$X$15,IF(AN179&lt;=Hypothèses!$V$16,Hypothèses!$X$16,IF(AN179&lt;=Hypothèses!$U$17,Hypothèses!$W$17,IF(AN179&lt;=Hypothèses!$U$18,Hypothèses!$W$18,""))))))))))))</f>
        <v>#DIV/0!</v>
      </c>
      <c r="BK179" s="95" t="e">
        <f t="shared" ca="1" si="277"/>
        <v>#DIV/0!</v>
      </c>
      <c r="BL179" s="101" t="e">
        <f t="shared" si="325"/>
        <v>#N/A</v>
      </c>
      <c r="BM179" s="91" t="e">
        <f t="shared" si="246"/>
        <v>#N/A</v>
      </c>
      <c r="BN179" s="30" t="e">
        <f t="shared" si="304"/>
        <v>#N/A</v>
      </c>
      <c r="BO179" s="30" t="e">
        <f t="shared" si="305"/>
        <v>#N/A</v>
      </c>
      <c r="BP179" s="31" t="e">
        <f>IF(OR(Hypothèses!$B$4=17,Hypothèses!$B$4=18,Hypothèses!$B$4=19,Hypothèses!$B$4=20),
IF($D179="Pressio.",
IF(OR($E179=3,$E179=1,$E179=4),BO179,BN179),
IF($D179="Pénétro.",
IF(OR($E179=3,$E179=1,$E179=4),BO179,BN179))),IF($D179="Pressio.",
IF($E179=3,BO179,BN179),
IF($D179="Pénétro.",
IF($E179=4,BO179,BN179))))</f>
        <v>#N/A</v>
      </c>
      <c r="BQ179" s="31" t="e">
        <f>(IF(OR(Hypothèses!$B$4=17,Hypothèses!$B$4=18,Hypothèses!$B$4=19,Hypothèses!$B$4=20),
IF($D179="Pressio.",
IF(OR($E179=3,$E179=1,$E179=4),(PI()*BQ$12^2)/4*(BM179*$W179*1000)/($H179*$B$5),(PI()*BQ$12^2)/4*(BM179*$W179*1000)/($G179*$B$5)),
IF($D179="Pénétro.",
IF(OR($E179=4,$E179=1,$E179=5),(PI()*BQ$12^2)/4*(BM179*$W179*1000)/($H179*$B$5),(PI()*BQ$12^2)/4*(BM179*$W179*1000)/($G179*$B$5)))),
IF($D179="Pressio.",
IF($E179=3,(PI()*BQ$12^2)/4*(BM179*$W179*1000)/($H179*$B$5),(PI()*BQ$12^2)/4*(BM179*$W179*1000)/($G179*$B$5)),
IF($D179="Pénétro.",
IF($E179=4,(PI()*BQ$12^2)/4*(BM179*$W179*1000)/($H179*$B$5),(PI()*BQ$12^2)/4*(BM179*$W179*1000)/($G179*$B$5))))))/10</f>
        <v>#N/A</v>
      </c>
      <c r="BR179" s="102" t="e">
        <f>(VLOOKUP($B$3,'Coeff EC7'!$T$39:$X$59,2,0)*BP179+VLOOKUP($B$3,'Coeff EC7'!$T$65:$X$85,2,0)*Model0.1C!BQ179)/1.1</f>
        <v>#N/A</v>
      </c>
      <c r="BS179" s="102" t="e">
        <f>(VLOOKUP($B$3,'Coeff EC7'!$T$39:$X$59,3,0)*BP179+VLOOKUP($B$3,'Coeff EC7'!$T$65:$X$85,3,0)*Model0.1C!BQ179)/0.9</f>
        <v>#N/A</v>
      </c>
      <c r="BT179" s="102" t="e">
        <f t="shared" si="278"/>
        <v>#N/A</v>
      </c>
      <c r="BU179" s="102" t="e">
        <f t="shared" si="279"/>
        <v>#N/A</v>
      </c>
      <c r="BV179" s="414" t="e">
        <f>IF(BV178=0,0,IF(AND(BR179&gt;charge_ELS_quasi,BS179&gt;Charge_ELS_freq,BT179&gt;charge_ELU,BU179&gt;charge_ELA,$B179&gt;NDC!$H$22-0.1+MIN(3*$BV$12,1.5)),0,1))</f>
        <v>#N/A</v>
      </c>
      <c r="BW179" s="86" t="b">
        <f t="shared" si="247"/>
        <v>0</v>
      </c>
      <c r="BX179" s="86">
        <f t="shared" si="248"/>
        <v>0.5</v>
      </c>
      <c r="BY179" s="86">
        <f t="shared" si="249"/>
        <v>0.5</v>
      </c>
      <c r="BZ179" s="30" t="e">
        <f t="shared" ca="1" si="280"/>
        <v>#DIV/0!</v>
      </c>
      <c r="CA179" s="85" t="e">
        <f ca="1">IF(BG179&lt;=Hypothèses!$V$7,Hypothèses!$W$7,IF(BG179&lt;=Hypothèses!$V$8,Hypothèses!$W$8,IF(BG179&lt;=Hypothèses!$V$9,Hypothèses!$W$9,IF(BG179&lt;=Hypothèses!$V$10,Hypothèses!$W$10,IF(BG179&lt;=Hypothèses!$V$11,Hypothèses!$W$11,IF(BG179&lt;=Hypothèses!$V$12,Hypothèses!$W$12,IF(BG179&lt;=Hypothèses!$V$13,Hypothèses!$W$13,IF(BG179&lt;=Hypothèses!$V$14,Hypothèses!$W$14,IF(BG179&lt;=Hypothèses!$V$15,Hypothèses!$W$15,IF(BG179&lt;=Hypothèses!$V$16,Hypothèses!$W$16,IF(BG179&lt;=Hypothèses!$V$17,Hypothèses!$W$17,IF(BG179&lt;=Hypothèses!$V$18,Hypothèses!$W$18,""))))))))))))</f>
        <v>#DIV/0!</v>
      </c>
      <c r="CB179" s="87" t="e">
        <f t="shared" ca="1" si="319"/>
        <v>#DIV/0!</v>
      </c>
      <c r="CC179" s="88" t="e">
        <f ca="1">IF(BG179&lt;=Hypothèses!$V$7,Hypothèses!$X$7,IF(BG179&lt;=Hypothèses!$V$8,Hypothèses!$X$8,IF(BG179&lt;=Hypothèses!$V$9,Hypothèses!$X$9,IF(BG179&lt;=Hypothèses!$V$10,Hypothèses!$X$10,IF(BG179&lt;=Hypothèses!$V$11,Hypothèses!$X$11,IF(BG179&lt;=Hypothèses!$V$12,Hypothèses!$X$12,IF(BG179&lt;=Hypothèses!$V$13,Hypothèses!$X$13,IF(BG179&lt;=Hypothèses!$V$14,Hypothèses!$X$14,IF(BG179&lt;=Hypothèses!$V$15,Hypothèses!$X$15,IF(BG179&lt;=Hypothèses!$V$16,Hypothèses!$X$16,IF(BG179&lt;=Hypothèses!$U$17,Hypothèses!$W$17,IF(BG179&lt;=Hypothèses!$U$18,Hypothèses!$W$18,""))))))))))))</f>
        <v>#DIV/0!</v>
      </c>
      <c r="CD179" s="95" t="e">
        <f t="shared" ca="1" si="281"/>
        <v>#DIV/0!</v>
      </c>
      <c r="CE179" s="101" t="e">
        <f t="shared" si="326"/>
        <v>#N/A</v>
      </c>
      <c r="CF179" s="91" t="e">
        <f t="shared" si="250"/>
        <v>#N/A</v>
      </c>
      <c r="CG179" s="30" t="e">
        <f t="shared" si="306"/>
        <v>#N/A</v>
      </c>
      <c r="CH179" s="30" t="e">
        <f t="shared" si="307"/>
        <v>#N/A</v>
      </c>
      <c r="CI179" s="31" t="e">
        <f>IF(OR(Hypothèses!$B$4=17,Hypothèses!$B$4=18,Hypothèses!$B$4=19,Hypothèses!$B$4=20),
IF($D179="Pressio.",
IF(OR($E179=3,$E179=1,$E179=4),CH179,CG179),
IF($D179="Pénétro.",
IF(OR($E179=3,$E179=1,$E179=4),CH179,CG179))),IF($D179="Pressio.",
IF($E179=3,CH179,CG179),
IF($D179="Pénétro.",
IF($E179=4,CH179,CG179))))</f>
        <v>#N/A</v>
      </c>
      <c r="CJ179" s="31" t="e">
        <f>(IF(OR(Hypothèses!$B$4=17,Hypothèses!$B$4=18,Hypothèses!$B$4=19,Hypothèses!$B$4=20),
IF($D179="Pressio.",
IF(OR($E179=3,$E179=1,$E179=4),(PI()*CJ$12^2)/4*(CF179*$W179*1000)/($H179*$B$5),(PI()*CJ$12^2)/4*(CF179*$W179*1000)/($G179*$B$5)),
IF($D179="Pénétro.",
IF(OR($E179=4,$E179=1,$E179=5),(PI()*CJ$12^2)/4*(CF179*$W179*1000)/($H179*$B$5),(PI()*CJ$12^2)/4*(CF179*$W179*1000)/($G179*$B$5)))),
IF($D179="Pressio.",
IF($E179=3,(PI()*CJ$12^2)/4*(CF179*$W179*1000)/($H179*$B$5),(PI()*CJ$12^2)/4*(CF179*$W179*1000)/($G179*$B$5)),
IF($D179="Pénétro.",
IF($E179=4,(PI()*CJ$12^2)/4*(CF179*$W179*1000)/($H179*$B$5),(PI()*CJ$12^2)/4*(CF179*$W179*1000)/($G179*$B$5))))))/10</f>
        <v>#N/A</v>
      </c>
      <c r="CK179" s="102" t="e">
        <f>(VLOOKUP($B$3,'Coeff EC7'!$T$39:$X$59,2,0)*CI179+VLOOKUP($B$3,'Coeff EC7'!$T$65:$X$85,2,0)*Model0.1C!CJ179)/1.1</f>
        <v>#N/A</v>
      </c>
      <c r="CL179" s="102" t="e">
        <f>(VLOOKUP($B$3,'Coeff EC7'!$T$39:$X$59,3,0)*CI179+VLOOKUP($B$3,'Coeff EC7'!$T$65:$X$85,3,0)*Model0.1C!CJ179)/0.9</f>
        <v>#N/A</v>
      </c>
      <c r="CM179" s="102" t="e">
        <f t="shared" si="282"/>
        <v>#N/A</v>
      </c>
      <c r="CN179" s="102" t="e">
        <f t="shared" si="283"/>
        <v>#N/A</v>
      </c>
      <c r="CO179" s="414" t="e">
        <f>IF(CO178=0,0,IF(AND(CK179&gt;charge_ELS_quasi,CL179&gt;Charge_ELS_freq,CM179&gt;charge_ELU,CN179&gt;charge_ELA,$B179&gt;NDC!$H$22-0.1+MIN(3*$CO$12,1.5)),0,1))</f>
        <v>#N/A</v>
      </c>
      <c r="CP179" s="86" t="b">
        <f t="shared" si="251"/>
        <v>0</v>
      </c>
      <c r="CQ179" s="86">
        <f t="shared" si="252"/>
        <v>0.5</v>
      </c>
      <c r="CR179" s="86">
        <f t="shared" si="253"/>
        <v>0.5</v>
      </c>
      <c r="CS179" s="30" t="e">
        <f t="shared" ca="1" si="284"/>
        <v>#DIV/0!</v>
      </c>
      <c r="CT179" s="85" t="e">
        <f ca="1">IF(BZ179&lt;=Hypothèses!$V$7,Hypothèses!$W$7,IF(BZ179&lt;=Hypothèses!$V$8,Hypothèses!$W$8,IF(BZ179&lt;=Hypothèses!$V$9,Hypothèses!$W$9,IF(BZ179&lt;=Hypothèses!$V$10,Hypothèses!$W$10,IF(BZ179&lt;=Hypothèses!$V$11,Hypothèses!$W$11,IF(BZ179&lt;=Hypothèses!$V$12,Hypothèses!$W$12,IF(BZ179&lt;=Hypothèses!$V$13,Hypothèses!$W$13,IF(BZ179&lt;=Hypothèses!$V$14,Hypothèses!$W$14,IF(BZ179&lt;=Hypothèses!$V$15,Hypothèses!$W$15,IF(BZ179&lt;=Hypothèses!$V$16,Hypothèses!$W$16,IF(BZ179&lt;=Hypothèses!$V$17,Hypothèses!$W$17,IF(BZ179&lt;=Hypothèses!$V$18,Hypothèses!$W$18,""))))))))))))</f>
        <v>#DIV/0!</v>
      </c>
      <c r="CU179" s="87" t="e">
        <f t="shared" ca="1" si="320"/>
        <v>#DIV/0!</v>
      </c>
      <c r="CV179" s="88" t="e">
        <f ca="1">IF(BZ179&lt;=Hypothèses!$V$7,Hypothèses!$X$7,IF(BZ179&lt;=Hypothèses!$V$8,Hypothèses!$X$8,IF(BZ179&lt;=Hypothèses!$V$9,Hypothèses!$X$9,IF(BZ179&lt;=Hypothèses!$V$10,Hypothèses!$X$10,IF(BZ179&lt;=Hypothèses!$V$11,Hypothèses!$X$11,IF(BZ179&lt;=Hypothèses!$V$12,Hypothèses!$X$12,IF(BZ179&lt;=Hypothèses!$V$13,Hypothèses!$X$13,IF(BZ179&lt;=Hypothèses!$V$14,Hypothèses!$X$14,IF(BZ179&lt;=Hypothèses!$V$15,Hypothèses!$X$15,IF(BZ179&lt;=Hypothèses!$V$16,Hypothèses!$X$16,IF(BZ179&lt;=Hypothèses!$U$17,Hypothèses!$W$17,IF(BZ179&lt;=Hypothèses!$U$18,Hypothèses!$W$18,""))))))))))))</f>
        <v>#DIV/0!</v>
      </c>
      <c r="CW179" s="95" t="e">
        <f t="shared" ca="1" si="285"/>
        <v>#DIV/0!</v>
      </c>
      <c r="CX179" s="101" t="e">
        <f t="shared" si="327"/>
        <v>#N/A</v>
      </c>
      <c r="CY179" s="91" t="e">
        <f t="shared" si="254"/>
        <v>#N/A</v>
      </c>
      <c r="CZ179" s="30" t="e">
        <f t="shared" si="308"/>
        <v>#N/A</v>
      </c>
      <c r="DA179" s="30" t="e">
        <f t="shared" si="309"/>
        <v>#N/A</v>
      </c>
      <c r="DB179" s="31" t="e">
        <f>IF(OR(Hypothèses!$B$4=17,Hypothèses!$B$4=18,Hypothèses!$B$4=19,Hypothèses!$B$4=20),
IF($D179="Pressio.",
IF(OR($E179=3,$E179=1,$E179=4),DA179,CZ179),
IF($D179="Pénétro.",
IF(OR($E179=3,$E179=1,$E179=4),DA179,CZ179))),IF($D179="Pressio.",
IF($E179=3,DA179,CZ179),
IF($D179="Pénétro.",
IF($E179=4,DA179,CZ179))))</f>
        <v>#N/A</v>
      </c>
      <c r="DC179" s="31" t="e">
        <f>(IF(OR(Hypothèses!$B$4=17,Hypothèses!$B$4=18,Hypothèses!$B$4=19,Hypothèses!$B$4=20),
IF($D179="Pressio.",
IF(OR($E179=3,$E179=1,$E179=4),(PI()*DC$12^2)/4*(CY179*$W179*1000)/($H179*$B$5),(PI()*DC$12^2)/4*(CY179*$W179*1000)/($G179*$B$5)),
IF($D179="Pénétro.",
IF(OR($E179=4,$E179=1,$E179=5),(PI()*DC$12^2)/4*(CY179*$W179*1000)/($H179*$B$5),(PI()*DC$12^2)/4*(CY179*$W179*1000)/($G179*$B$5)))),
IF($D179="Pressio.",
IF($E179=3,(PI()*DC$12^2)/4*(CY179*$W179*1000)/($H179*$B$5),(PI()*DC$12^2)/4*(CY179*$W179*1000)/($G179*$B$5)),
IF($D179="Pénétro.",
IF($E179=4,(PI()*DC$12^2)/4*(CY179*$W179*1000)/($H179*$B$5),(PI()*DC$12^2)/4*(CY179*$W179*1000)/($G179*$B$5))))))/10</f>
        <v>#N/A</v>
      </c>
      <c r="DD179" s="102" t="e">
        <f>(VLOOKUP($B$3,'Coeff EC7'!$T$39:$X$59,2,0)*DB179+VLOOKUP($B$3,'Coeff EC7'!$T$65:$X$85,2,0)*Model0.1C!DC179)/1.1</f>
        <v>#N/A</v>
      </c>
      <c r="DE179" s="102" t="e">
        <f>(VLOOKUP($B$3,'Coeff EC7'!$T$39:$X$59,3,0)*DB179+VLOOKUP($B$3,'Coeff EC7'!$T$65:$X$85,3,0)*Model0.1C!DC179)/0.9</f>
        <v>#N/A</v>
      </c>
      <c r="DF179" s="102" t="e">
        <f t="shared" si="286"/>
        <v>#N/A</v>
      </c>
      <c r="DG179" s="102" t="e">
        <f t="shared" si="287"/>
        <v>#N/A</v>
      </c>
      <c r="DH179" s="414" t="e">
        <f>IF(DH178=0,0,IF(AND(DD179&gt;charge_ELS_quasi,DE179&gt;Charge_ELS_freq,DF179&gt;charge_ELU,DG179&gt;charge_ELA,$B179&gt;NDC!$H$22-0.1+MIN(3*$DH$12,1.5)),0,1))</f>
        <v>#N/A</v>
      </c>
      <c r="DI179" s="86" t="b">
        <f t="shared" si="255"/>
        <v>0</v>
      </c>
      <c r="DJ179" s="86">
        <f t="shared" si="256"/>
        <v>0.5</v>
      </c>
      <c r="DK179" s="86">
        <f t="shared" si="257"/>
        <v>0.5</v>
      </c>
      <c r="DL179" s="30" t="e">
        <f t="shared" ca="1" si="288"/>
        <v>#DIV/0!</v>
      </c>
      <c r="DM179" s="85" t="e">
        <f ca="1">IF(CS179&lt;=Hypothèses!$V$7,Hypothèses!$W$7,IF(CS179&lt;=Hypothèses!$V$8,Hypothèses!$W$8,IF(CS179&lt;=Hypothèses!$V$9,Hypothèses!$W$9,IF(CS179&lt;=Hypothèses!$V$10,Hypothèses!$W$10,IF(CS179&lt;=Hypothèses!$V$11,Hypothèses!$W$11,IF(CS179&lt;=Hypothèses!$V$12,Hypothèses!$W$12,IF(CS179&lt;=Hypothèses!$V$13,Hypothèses!$W$13,IF(CS179&lt;=Hypothèses!$V$14,Hypothèses!$W$14,IF(CS179&lt;=Hypothèses!$V$15,Hypothèses!$W$15,IF(CS179&lt;=Hypothèses!$V$16,Hypothèses!$W$16,IF(CS179&lt;=Hypothèses!$V$17,Hypothèses!$W$17,IF(CS179&lt;=Hypothèses!$V$18,Hypothèses!$W$18,""))))))))))))</f>
        <v>#DIV/0!</v>
      </c>
      <c r="DN179" s="87" t="e">
        <f t="shared" ca="1" si="321"/>
        <v>#DIV/0!</v>
      </c>
      <c r="DO179" s="88" t="e">
        <f ca="1">IF(CS179&lt;=Hypothèses!$V$7,Hypothèses!$X$7,IF(CS179&lt;=Hypothèses!$V$8,Hypothèses!$X$8,IF(CS179&lt;=Hypothèses!$V$9,Hypothèses!$X$9,IF(CS179&lt;=Hypothèses!$V$10,Hypothèses!$X$10,IF(CS179&lt;=Hypothèses!$V$11,Hypothèses!$X$11,IF(CS179&lt;=Hypothèses!$V$12,Hypothèses!$X$12,IF(CS179&lt;=Hypothèses!$V$13,Hypothèses!$X$13,IF(CS179&lt;=Hypothèses!$V$14,Hypothèses!$X$14,IF(CS179&lt;=Hypothèses!$V$15,Hypothèses!$X$15,IF(CS179&lt;=Hypothèses!$V$16,Hypothèses!$X$16,IF(CS179&lt;=Hypothèses!$U$17,Hypothèses!$W$17,IF(CS179&lt;=Hypothèses!$U$18,Hypothèses!$W$18,""))))))))))))</f>
        <v>#DIV/0!</v>
      </c>
      <c r="DP179" s="95" t="e">
        <f t="shared" ca="1" si="289"/>
        <v>#DIV/0!</v>
      </c>
      <c r="DQ179" s="101" t="e">
        <f t="shared" si="328"/>
        <v>#N/A</v>
      </c>
      <c r="DR179" s="91" t="e">
        <f t="shared" si="258"/>
        <v>#N/A</v>
      </c>
      <c r="DS179" s="30" t="e">
        <f t="shared" si="310"/>
        <v>#N/A</v>
      </c>
      <c r="DT179" s="30" t="e">
        <f t="shared" si="311"/>
        <v>#N/A</v>
      </c>
      <c r="DU179" s="31" t="e">
        <f>IF(OR(Hypothèses!$B$4=17,Hypothèses!$B$4=18,Hypothèses!$B$4=19,Hypothèses!$B$4=20),
IF($D179="Pressio.",
IF(OR($E179=3,$E179=1,$E179=4),DT179,DS179),
IF($D179="Pénétro.",
IF(OR($E179=3,$E179=1,$E179=4),DT179,DS179))),IF($D179="Pressio.",
IF($E179=3,DT179,DS179),
IF($D179="Pénétro.",
IF($E179=4,DT179,DS179))))</f>
        <v>#N/A</v>
      </c>
      <c r="DV179" s="31" t="e">
        <f>(IF(OR(Hypothèses!$B$4=17,Hypothèses!$B$4=18,Hypothèses!$B$4=19,Hypothèses!$B$4=20),
IF($D179="Pressio.",
IF(OR($E179=3,$E179=1,$E179=4),(PI()*DV$12^2)/4*(DR179*$W179*1000)/($H179*$B$5),(PI()*DV$12^2)/4*(DR179*$W179*1000)/($G179*$B$5)),
IF($D179="Pénétro.",
IF(OR($E179=4,$E179=1,$E179=5),(PI()*DV$12^2)/4*(DR179*$W179*1000)/($H179*$B$5),(PI()*DV$12^2)/4*(DR179*$W179*1000)/($G179*$B$5)))),
IF($D179="Pressio.",
IF($E179=3,(PI()*DV$12^2)/4*(DR179*$W179*1000)/($H179*$B$5),(PI()*DV$12^2)/4*(DR179*$W179*1000)/($G179*$B$5)),
IF($D179="Pénétro.",
IF($E179=4,(PI()*DV$12^2)/4*(DR179*$W179*1000)/($H179*$B$5),(PI()*DV$12^2)/4*(DR179*$W179*1000)/($G179*$B$5))))))/10</f>
        <v>#N/A</v>
      </c>
      <c r="DW179" s="102" t="e">
        <f>(VLOOKUP($B$3,'Coeff EC7'!$T$39:$X$59,2,0)*DU179+VLOOKUP($B$3,'Coeff EC7'!$T$65:$X$85,2,0)*Model0.1C!DV179)/1.1</f>
        <v>#N/A</v>
      </c>
      <c r="DX179" s="102" t="e">
        <f>(VLOOKUP($B$3,'Coeff EC7'!$T$39:$X$59,3,0)*DU179+VLOOKUP($B$3,'Coeff EC7'!$T$65:$X$85,3,0)*Model0.1C!DV179)/0.9</f>
        <v>#N/A</v>
      </c>
      <c r="DY179" s="102" t="e">
        <f t="shared" si="290"/>
        <v>#N/A</v>
      </c>
      <c r="DZ179" s="102" t="e">
        <f t="shared" si="291"/>
        <v>#N/A</v>
      </c>
      <c r="EA179" s="414" t="e">
        <f>IF(EA178=0,0,IF(AND(DW179&gt;charge_ELS_quasi,DX179&gt;Charge_ELS_freq,DY179&gt;charge_ELU,DZ179&gt;charge_ELA,$B179&gt;NDC!$H$22-0.1+MIN(3*$EA$12,1.5)),0,1))</f>
        <v>#N/A</v>
      </c>
      <c r="EB179" s="86" t="b">
        <f t="shared" si="259"/>
        <v>0</v>
      </c>
      <c r="EC179" s="418">
        <f t="shared" si="260"/>
        <v>0.51</v>
      </c>
      <c r="ED179" s="86">
        <f t="shared" si="261"/>
        <v>0.51</v>
      </c>
      <c r="EE179" s="30" t="e">
        <f t="shared" ca="1" si="292"/>
        <v>#DIV/0!</v>
      </c>
      <c r="EF179" s="85" t="e">
        <f ca="1">IF(DL179&lt;=Hypothèses!$V$7,Hypothèses!$W$7,IF(DL179&lt;=Hypothèses!$V$8,Hypothèses!$W$8,IF(DL179&lt;=Hypothèses!$V$9,Hypothèses!$W$9,IF(DL179&lt;=Hypothèses!$V$10,Hypothèses!$W$10,IF(DL179&lt;=Hypothèses!$V$11,Hypothèses!$W$11,IF(DL179&lt;=Hypothèses!$V$12,Hypothèses!$W$12,IF(DL179&lt;=Hypothèses!$V$13,Hypothèses!$W$13,IF(DL179&lt;=Hypothèses!$V$14,Hypothèses!$W$14,IF(DL179&lt;=Hypothèses!$V$15,Hypothèses!$W$15,IF(DL179&lt;=Hypothèses!$V$16,Hypothèses!$W$16,IF(DL179&lt;=Hypothèses!$V$17,Hypothèses!$W$17,IF(DL179&lt;=Hypothèses!$V$18,Hypothèses!$W$18,""))))))))))))</f>
        <v>#DIV/0!</v>
      </c>
      <c r="EG179" s="87" t="e">
        <f t="shared" ca="1" si="322"/>
        <v>#DIV/0!</v>
      </c>
      <c r="EH179" s="88" t="e">
        <f ca="1">IF(DL179&lt;=Hypothèses!$V$7,Hypothèses!$X$7,IF(DL179&lt;=Hypothèses!$V$8,Hypothèses!$X$8,IF(DL179&lt;=Hypothèses!$V$9,Hypothèses!$X$9,IF(DL179&lt;=Hypothèses!$V$10,Hypothèses!$X$10,IF(DL179&lt;=Hypothèses!$V$11,Hypothèses!$X$11,IF(DL179&lt;=Hypothèses!$V$12,Hypothèses!$X$12,IF(DL179&lt;=Hypothèses!$V$13,Hypothèses!$X$13,IF(DL179&lt;=Hypothèses!$V$14,Hypothèses!$X$14,IF(DL179&lt;=Hypothèses!$V$15,Hypothèses!$X$15,IF(DL179&lt;=Hypothèses!$V$16,Hypothèses!$X$16,IF(DL179&lt;=Hypothèses!$U$17,Hypothèses!$W$17,IF(DL179&lt;=Hypothèses!$U$18,Hypothèses!$W$18,""))))))))))))</f>
        <v>#DIV/0!</v>
      </c>
      <c r="EI179" s="95" t="e">
        <f t="shared" ca="1" si="293"/>
        <v>#DIV/0!</v>
      </c>
      <c r="EJ179" s="101" t="e">
        <f t="shared" si="329"/>
        <v>#N/A</v>
      </c>
      <c r="EK179" s="91" t="e">
        <f t="shared" si="262"/>
        <v>#N/A</v>
      </c>
      <c r="EL179" s="30" t="e">
        <f t="shared" si="312"/>
        <v>#N/A</v>
      </c>
      <c r="EM179" s="30" t="e">
        <f t="shared" si="313"/>
        <v>#N/A</v>
      </c>
      <c r="EN179" s="31" t="e">
        <f>IF(OR(Hypothèses!$B$4=17,Hypothèses!$B$4=18,Hypothèses!$B$4=19,Hypothèses!$B$4=20),
IF($D179="Pressio.",
IF(OR($E179=3,$E179=1,$E179=4),EM179,EL179),
IF($D179="Pénétro.",
IF(OR($E179=3,$E179=1,$E179=4),EM179,EL179))),IF($D179="Pressio.",
IF($E179=3,EM179,EL179),
IF($D179="Pénétro.",
IF($E179=4,EM179,EL179))))</f>
        <v>#N/A</v>
      </c>
      <c r="EO179" s="31" t="e">
        <f>(IF(OR(Hypothèses!$B$4=17,Hypothèses!$B$4=18,Hypothèses!$B$4=19,Hypothèses!$B$4=20),
IF($D179="Pressio.",
IF(OR($E179=3,$E179=1,$E179=4),(PI()*EO$12^2)/4*(EK179*$W179*1000)/($H179*$B$5),(PI()*EO$12^2)/4*(EK179*$W179*1000)/($G179*$B$5)),
IF($D179="Pénétro.",
IF(OR($E179=4,$E179=1,$E179=5),(PI()*EO$12^2)/4*(EK179*$W179*1000)/($H179*$B$5),(PI()*EO$12^2)/4*(EK179*$W179*1000)/($G179*$B$5)))),
IF($D179="Pressio.",
IF($E179=3,(PI()*EO$12^2)/4*(EK179*$W179*1000)/($H179*$B$5),(PI()*EO$12^2)/4*(EK179*$W179*1000)/($G179*$B$5)),
IF($D179="Pénétro.",
IF($E179=4,(PI()*EO$12^2)/4*(EK179*$W179*1000)/($H179*$B$5),(PI()*EO$12^2)/4*(EK179*$W179*1000)/($G179*$B$5))))))/10</f>
        <v>#N/A</v>
      </c>
      <c r="EP179" s="102" t="e">
        <f>(VLOOKUP($B$3,'Coeff EC7'!$T$39:$X$59,2,0)*EN179+VLOOKUP($B$3,'Coeff EC7'!$T$65:$X$85,2,0)*Model0.1C!EO179)/1.1</f>
        <v>#N/A</v>
      </c>
      <c r="EQ179" s="102" t="e">
        <f>(VLOOKUP($B$3,'Coeff EC7'!$T$39:$X$59,3,0)*EN179+VLOOKUP($B$3,'Coeff EC7'!$T$65:$X$85,3,0)*Model0.1C!EO179)/0.9</f>
        <v>#N/A</v>
      </c>
      <c r="ER179" s="102" t="e">
        <f t="shared" si="294"/>
        <v>#N/A</v>
      </c>
      <c r="ES179" s="102" t="e">
        <f t="shared" si="295"/>
        <v>#N/A</v>
      </c>
      <c r="ET179" s="414" t="e">
        <f>IF(ET178=0,0,IF(AND(EP179&gt;charge_ELS_quasi,EQ179&gt;Charge_ELS_freq,ER179&gt;charge_ELU,ES179&gt;charge_ELA,$B179&gt;NDC!$H$22-0.1+MIN(3*$ET$12,1.5)),0,1))</f>
        <v>#N/A</v>
      </c>
      <c r="EU179" s="86" t="b">
        <f t="shared" si="263"/>
        <v>0</v>
      </c>
      <c r="EV179" s="86">
        <f t="shared" si="264"/>
        <v>0.61</v>
      </c>
      <c r="EW179" s="86">
        <f t="shared" si="265"/>
        <v>0.61</v>
      </c>
      <c r="EX179" s="30" t="e">
        <f t="shared" ca="1" si="296"/>
        <v>#DIV/0!</v>
      </c>
      <c r="EY179" s="85" t="e">
        <f ca="1">IF(EE179&lt;=Hypothèses!$V$7,Hypothèses!$W$7,IF(EE179&lt;=Hypothèses!$V$8,Hypothèses!$W$8,IF(EE179&lt;=Hypothèses!$V$9,Hypothèses!$W$9,IF(EE179&lt;=Hypothèses!$V$10,Hypothèses!$W$10,IF(EE179&lt;=Hypothèses!$V$11,Hypothèses!$W$11,IF(EE179&lt;=Hypothèses!$V$12,Hypothèses!$W$12,IF(EE179&lt;=Hypothèses!$V$13,Hypothèses!$W$13,IF(EE179&lt;=Hypothèses!$V$14,Hypothèses!$W$14,IF(EE179&lt;=Hypothèses!$V$15,Hypothèses!$W$15,IF(EE179&lt;=Hypothèses!$V$16,Hypothèses!$W$16,IF(EE179&lt;=Hypothèses!$V$17,Hypothèses!$W$17,IF(EE179&lt;=Hypothèses!$V$18,Hypothèses!$W$18,""))))))))))))</f>
        <v>#DIV/0!</v>
      </c>
      <c r="EZ179" s="87" t="e">
        <f t="shared" ca="1" si="323"/>
        <v>#DIV/0!</v>
      </c>
      <c r="FA179" s="88" t="e">
        <f ca="1">IF(EE179&lt;=Hypothèses!$V$7,Hypothèses!$X$7,IF(EE179&lt;=Hypothèses!$V$8,Hypothèses!$X$8,IF(EE179&lt;=Hypothèses!$V$9,Hypothèses!$X$9,IF(EE179&lt;=Hypothèses!$V$10,Hypothèses!$X$10,IF(EE179&lt;=Hypothèses!$V$11,Hypothèses!$X$11,IF(EE179&lt;=Hypothèses!$V$12,Hypothèses!$X$12,IF(EE179&lt;=Hypothèses!$V$13,Hypothèses!$X$13,IF(EE179&lt;=Hypothèses!$V$14,Hypothèses!$X$14,IF(EE179&lt;=Hypothèses!$V$15,Hypothèses!$X$15,IF(EE179&lt;=Hypothèses!$V$16,Hypothèses!$X$16,IF(EE179&lt;=Hypothèses!$U$17,Hypothèses!$W$17,IF(EE179&lt;=Hypothèses!$U$18,Hypothèses!$W$18,""))))))))))))</f>
        <v>#DIV/0!</v>
      </c>
      <c r="FB179" s="95" t="e">
        <f t="shared" ca="1" si="297"/>
        <v>#DIV/0!</v>
      </c>
      <c r="FC179" s="101" t="e">
        <f t="shared" si="330"/>
        <v>#N/A</v>
      </c>
      <c r="FD179" s="91" t="e">
        <f t="shared" si="266"/>
        <v>#N/A</v>
      </c>
      <c r="FE179" s="30" t="e">
        <f t="shared" si="314"/>
        <v>#N/A</v>
      </c>
      <c r="FF179" s="30" t="e">
        <f t="shared" si="315"/>
        <v>#N/A</v>
      </c>
      <c r="FG179" s="31" t="e">
        <f>IF(OR(Hypothèses!$B$4=17,Hypothèses!$B$4=18,Hypothèses!$B$4=19,Hypothèses!$B$4=20),
IF($D179="Pressio.",
IF(OR($E179=3,$E179=1,$E179=4),FF179,FE179),
IF($D179="Pénétro.",
IF(OR($E179=3,$E179=1,$E179=4),FF179,FE179))),IF($D179="Pressio.",
IF($E179=3,FF179,FE179),
IF($D179="Pénétro.",
IF($E179=4,FF179,FE179))))</f>
        <v>#N/A</v>
      </c>
      <c r="FH179" s="31" t="e">
        <f>(IF(OR(Hypothèses!$B$4=17,Hypothèses!$B$4=18,Hypothèses!$B$4=19,Hypothèses!$B$4=20),
IF($D179="Pressio.",
IF(OR($E179=3,$E179=1,$E179=4),(PI()*FH$12^2)/4*(FD179*$W179*1000)/($H179*$B$5),(PI()*FH$12^2)/4*(FD179*$W179*1000)/($G179*$B$5)),
IF($D179="Pénétro.",
IF(OR($E179=4,$E179=1,$E179=5),(PI()*FH$12^2)/4*(FD179*$W179*1000)/($H179*$B$5),(PI()*FH$12^2)/4*(FD179*$W179*1000)/($G179*$B$5)))),
IF($D179="Pressio.",
IF($E179=3,(PI()*FH$12^2)/4*(FD179*$W179*1000)/($H179*$B$5),(PI()*FH$12^2)/4*(FD179*$W179*1000)/($G179*$B$5)),
IF($D179="Pénétro.",
IF($E179=4,(PI()*FH$12^2)/4*(FD179*$W179*1000)/($H179*$B$5),(PI()*FH$12^2)/4*(FD179*$W179*1000)/($G179*$B$5))))))/10</f>
        <v>#N/A</v>
      </c>
      <c r="FI179" s="102" t="e">
        <f>(VLOOKUP($B$3,'Coeff EC7'!$T$39:$X$59,2,0)*FG179+VLOOKUP($B$3,'Coeff EC7'!$T$65:$X$85,2,0)*Model0.1C!FH179)/1.1</f>
        <v>#N/A</v>
      </c>
      <c r="FJ179" s="102" t="e">
        <f>(VLOOKUP($B$3,'Coeff EC7'!$T$39:$X$59,3,0)*FG179+VLOOKUP($B$3,'Coeff EC7'!$T$65:$X$85,3,0)*Model0.1C!FH179)/0.9</f>
        <v>#N/A</v>
      </c>
      <c r="FK179" s="102" t="e">
        <f t="shared" si="298"/>
        <v>#N/A</v>
      </c>
      <c r="FL179" s="102" t="e">
        <f t="shared" si="299"/>
        <v>#N/A</v>
      </c>
      <c r="FM179" s="414" t="e">
        <f>IF(FM178=0,0,IF(AND(FI179&gt;charge_ELS_quasi,FJ179&gt;Charge_ELS_freq,FK179&gt;charge_ELU,FL179&gt;charge_ELA,$B179&gt;NDC!$H$22-0.1+MIN(3*$FM$12,1.5)),0,1))</f>
        <v>#N/A</v>
      </c>
    </row>
    <row r="180" spans="1:169">
      <c r="A180" s="96">
        <f t="shared" si="267"/>
        <v>83.300000000000949</v>
      </c>
      <c r="B180" s="97">
        <v>16.7</v>
      </c>
      <c r="C180" s="81">
        <f>IF(B180&lt;=Hypothèses!$C$7,Hypothèses!$A$7,IF(B180&lt;=Hypothèses!$C$8,Hypothèses!$A$8,IF(B180&lt;=Hypothèses!$C$9,Hypothèses!$A$9,IF(B180&lt;=Hypothèses!$C$10,Hypothèses!$A$10,IF(B180&lt;=Hypothèses!$C$11,Hypothèses!$A$11,IF(B180&lt;=Hypothèses!$C$12,Hypothèses!$A$12,IF(B180&lt;=Hypothèses!$C$13,Hypothèses!$A$13,IF(B180&lt;=Hypothèses!$C$14,Hypothèses!$A$14,IF(B180&lt;=Hypothèses!$C$15,Hypothèses!$A$15,IF(B180&lt;=Hypothèses!$C$16,Hypothèses!$A$16,IF(B180&lt;=Hypothèses!$C$17,Hypothèses!$A$17,IF(B180&lt;=Hypothèses!$C$18,Hypothèses!$A$18,C179))))))))))))</f>
        <v>11</v>
      </c>
      <c r="D180" s="82" t="str">
        <f>IF(B180&lt;=Hypothèses!$C$7,Hypothèses!$R$7,IF(B180&lt;=Hypothèses!$C$8,Hypothèses!$R$8,IF(B180&lt;=Hypothèses!$C$9,Hypothèses!$R$9,IF(B180&lt;=Hypothèses!$C$10,Hypothèses!$R$10,IF(B180&lt;=Hypothèses!$C$11,Hypothèses!$R$11,IF(B180&lt;=Hypothèses!$C$12,Hypothèses!$R$12,IF(B180&lt;=Hypothèses!$C$13,Hypothèses!$R$13,IF(B180&lt;=Hypothèses!$C$14,Hypothèses!$R$14,IF(B180&lt;=Hypothèses!$C$15,Hypothèses!$R$15,IF(B180&lt;=Hypothèses!$C$16,Hypothèses!$R$16,IF(B180&lt;=Hypothèses!$C$17,Hypothèses!$R$17,IF(B180&lt;=Hypothèses!$C$18,Hypothèses!$R$18,D179))))))))))))</f>
        <v>Pressio.</v>
      </c>
      <c r="E180" s="82" t="e">
        <f>IF(B180&lt;=Hypothèses!$C$7,Hypothèses!$G$7,IF(B180&lt;=Hypothèses!$C$8,Hypothèses!$G$8,IF(B180&lt;=Hypothèses!$C$9,Hypothèses!$G$9,IF(B180&lt;=Hypothèses!$C$10,Hypothèses!$G$10,IF(B180&lt;=Hypothèses!$C$11,Hypothèses!$G$11,IF(B180&lt;=Hypothèses!$C$12,Hypothèses!$G$12,IF(B180&lt;=Hypothèses!$C$13,Hypothèses!$G$13,IF(B180&lt;=Hypothèses!$C$14,Hypothèses!$G$14,IF(B180&lt;=Hypothèses!$C$15,Hypothèses!$G$15,IF(B180&lt;=Hypothèses!$C$16,Hypothèses!$G$16,IF(B180&lt;=Hypothèses!$C$17,Hypothèses!$G$17,IF(B180&lt;=Hypothèses!$C$18,Hypothèses!$G$18,E179))))))))))))</f>
        <v>#N/A</v>
      </c>
      <c r="F180" s="82" t="str">
        <f>IF(B180&lt;=Hypothèses!$C$7,Hypothèses!$F$7,IF(B180&lt;=Hypothèses!$C$8,Hypothèses!$F$8,IF(B180&lt;=Hypothèses!$C$9,Hypothèses!$F$9,IF(B180&lt;=Hypothèses!$C$10,Hypothèses!$F$10,IF(B180&lt;=Hypothèses!$C$11,Hypothèses!$F$11,IF(B180&lt;=Hypothèses!$C$12,Hypothèses!$F$12,IF(B180&lt;=Hypothèses!$C$13,Hypothèses!$F$13,IF(B180&lt;=Hypothèses!$C$14,Hypothèses!$F$14,IF(B180&lt;=Hypothèses!$C$15,Hypothèses!$F$15,IF(B180&lt;=Hypothèses!$C$16,Hypothèses!$F$16,IF(B180&lt;=Hypothèses!$C$17,Hypothèses!$F$17,IF(B180&lt;=Hypothèses!$C$18,Hypothèses!$F$18,F179))))))))))))</f>
        <v/>
      </c>
      <c r="G180" s="91">
        <f t="array" ref="G180">INDEX('Coeff EC7'!$U$7:$X$27,
MATCH(Model0.1C!$B$3,'Coeff EC7'!$T$7:$T$27,0),
MATCH(Model0.1C!$D180&amp;Model0.1C!$B$4,
'Coeff EC7'!$U$6:$X$6&amp;
'Coeff EC7'!$U$5:$X$5,0))</f>
        <v>1.1499999999999999</v>
      </c>
      <c r="H180" s="91">
        <f t="array" ref="H180">INDEX('Coeff EC7'!$Y$7:$AB$27,
MATCH(Model0.1C!$B$3,'Coeff EC7'!$T$7:$T$27,0),
MATCH(Model0.1C!$D180&amp;Model0.1C!$B$4,
'Coeff EC7'!$Y$6:$AB$6&amp;
'Coeff EC7'!$Y$5:$AB$5,0))</f>
        <v>1.4</v>
      </c>
      <c r="I180" s="83" t="e">
        <f>IF(B180&lt;=Hypothèses!$C$7,Hypothèses!$P$7,IF(B180&lt;=Hypothèses!$C$8,Hypothèses!$P$8,IF(B180&lt;=Hypothèses!$C$9,Hypothèses!$P$9,IF(B180&lt;=Hypothèses!$C$10,Hypothèses!$P$10,IF(B180&lt;=Hypothèses!$C$11,Hypothèses!$P$11,IF(B180&lt;=Hypothèses!$C$12,Hypothèses!$P$12,IF(B180&lt;=Hypothèses!$C$13,Hypothèses!$P$13,IF(B180&lt;=Hypothèses!$C$14,Hypothèses!$P$14,IF(B180&lt;=Hypothèses!$C$15,Hypothèses!$P$15,IF(B180&lt;=Hypothèses!$C$16,Hypothèses!$P$16,IF(B180&lt;=Hypothèses!$C$17,Hypothèses!$P$17,IF(B180&lt;=Hypothèses!$C$18,Hypothèses!$P$18,I179))))))))))))</f>
        <v>#N/A</v>
      </c>
      <c r="J180" s="91" t="e">
        <f t="array" ref="J180">INDEX('Coeff EC7'!$D$33:$Q$33,1,MATCH(D180&amp;E180,'Coeff EC7'!$D$31:$Q$31&amp;'Coeff EC7'!$D$32:$Q$32,0))</f>
        <v>#N/A</v>
      </c>
      <c r="K180" s="91" t="e">
        <f t="array" ref="K180">INDEX('Coeff EC7'!$D$34:$Q$34,1,MATCH(D180&amp;E180,'Coeff EC7'!$D$31:$Q$31&amp;'Coeff EC7'!$D$32:$Q$32,0))</f>
        <v>#N/A</v>
      </c>
      <c r="L180" s="91" t="e">
        <f t="array" ref="L180">INDEX('Coeff EC7'!$D$35:$Q$35,1,MATCH(D180&amp;E180,'Coeff EC7'!$D$31:$Q$31&amp;'Coeff EC7'!$D$32:$Q$32,0))</f>
        <v>#N/A</v>
      </c>
      <c r="M180" s="98" t="e">
        <f t="shared" si="231"/>
        <v>#N/A</v>
      </c>
      <c r="N180" s="99" t="e">
        <f t="array" ref="N180">INDEX('Coeff EC7'!$D$7:$Q$27,MATCH($B$3,'Coeff EC7'!$C$7:$C$27,0),MATCH(D180&amp;E180,'Coeff EC7'!$D$5:$Q$5&amp;'Coeff EC7'!$D$6:$Q$6,0))</f>
        <v>#N/A</v>
      </c>
      <c r="O180" s="99" t="e">
        <f t="array" ref="O180">INDEX('Coeff EC7'!$D$41:$Q$61,MATCH($B$3,'Coeff EC7'!$C$41:$C$61,0),MATCH(D180&amp;E180,'Coeff EC7'!$D$39:$Q$39&amp;'Coeff EC7'!$D$40:$Q$40,0))</f>
        <v>#N/A</v>
      </c>
      <c r="P180" s="30" t="e">
        <f t="shared" si="268"/>
        <v>#N/A</v>
      </c>
      <c r="Q180" s="100" t="e">
        <f t="shared" si="233"/>
        <v>#N/A</v>
      </c>
      <c r="R180" s="86" t="b">
        <f t="shared" si="234"/>
        <v>0</v>
      </c>
      <c r="S180" s="86">
        <f t="shared" si="232"/>
        <v>0.5</v>
      </c>
      <c r="T180" s="86">
        <f t="shared" si="235"/>
        <v>0.5</v>
      </c>
      <c r="U180" s="30" t="e">
        <f t="shared" ca="1" si="269"/>
        <v>#DIV/0!</v>
      </c>
      <c r="V180" s="85" t="str">
        <f>IF(B180&lt;=Hypothèses!$V$7,Hypothèses!$W$7,IF(B180&lt;=Hypothèses!$V$8,Hypothèses!$W$8,IF(B180&lt;=Hypothèses!$V$9,Hypothèses!$W$9,IF(B180&lt;=Hypothèses!$V$10,Hypothèses!$W$10,IF(B180&lt;=Hypothèses!$V$11,Hypothèses!$W$11,IF(B180&lt;=Hypothèses!$V$12,Hypothèses!$W$12,IF(B180&lt;=Hypothèses!$V$13,Hypothèses!$W$13,IF(B180&lt;=Hypothèses!$V$14,Hypothèses!$W$14,IF(B180&lt;=Hypothèses!$V$15,Hypothèses!$W$15,IF(B180&lt;=Hypothèses!$V$16,Hypothèses!$W$16,IF(B180&lt;=Hypothèses!$V$17,Hypothèses!$W$17,IF(B180&lt;=Hypothèses!$V$18,Hypothèses!$W$18,""))))))))))))</f>
        <v/>
      </c>
      <c r="W180" s="87" t="e">
        <f t="shared" ca="1" si="316"/>
        <v>#DIV/0!</v>
      </c>
      <c r="X180" s="88" t="str">
        <f>IF(B180&lt;=Hypothèses!$V$7,Hypothèses!$X$7,IF(B180&lt;=Hypothèses!$V$8,Hypothèses!$X$8,IF(B180&lt;=Hypothèses!$V$9,Hypothèses!$X$9,IF(B180&lt;=Hypothèses!$V$10,Hypothèses!$X$10,IF(B180&lt;=Hypothèses!$V$11,Hypothèses!$X$11,IF(B180&lt;=Hypothèses!$V$12,Hypothèses!$X$12,IF(B180&lt;=Hypothèses!$V$13,Hypothèses!$X$13,IF(B180&lt;=Hypothèses!$V$14,Hypothèses!$X$14,IF(B180&lt;=Hypothèses!$V$15,Hypothèses!$X$15,IF(B180&lt;=Hypothèses!$V$16,Hypothèses!$X$16,IF(B180&lt;=Hypothèses!$U$17,Hypothèses!$W$17,IF(B180&lt;=Hypothèses!$U$18,Hypothèses!$W$18,""))))))))))))</f>
        <v/>
      </c>
      <c r="Y180" s="95" t="e">
        <f t="shared" ca="1" si="236"/>
        <v>#DIV/0!</v>
      </c>
      <c r="Z180" s="101" t="e">
        <f t="shared" si="237"/>
        <v>#N/A</v>
      </c>
      <c r="AA180" s="91" t="e">
        <f t="shared" si="238"/>
        <v>#N/A</v>
      </c>
      <c r="AB180" s="30" t="e">
        <f t="shared" si="300"/>
        <v>#N/A</v>
      </c>
      <c r="AC180" s="30" t="e">
        <f t="shared" si="301"/>
        <v>#N/A</v>
      </c>
      <c r="AD180" s="31" t="e">
        <f>IF(OR(Hypothèses!$B$4=17,Hypothèses!$B$4=18,Hypothèses!$B$4=19,Hypothèses!$B$4=20),
IF($D180="Pressio.",
IF(OR($E180=3,$E180=1,$E180=4),AC180,AB180),
IF($D180="Pénétro.",
IF(OR($E180=3,$E180=1,$E180=4),AC180,AB180))),IF($D180="Pressio.",
IF($E180=3,AC180,AB180),
IF($D180="Pénétro.",
IF($E180=4,AC180,AB180))))</f>
        <v>#N/A</v>
      </c>
      <c r="AE180" s="31" t="e">
        <f>(IF(OR(Hypothèses!$B$4=17,Hypothèses!$B$4=18,Hypothèses!$B$4=19,Hypothèses!$B$4=20),
IF($D180="Pressio.",
IF(OR($E180=3,$E180=1,$E180=4),(PI()*AE$12^2)/4*(AA180*$W180*1000)/($H180*$B$5),(PI()*AE$12^2)/4*(AA180*$W180*1000)/($G180*$B$5)),
IF($D180="Pénétro.",
IF(OR($E180=4,$E180=1,$E180=5),(PI()*AE$12^2)/4*(AA180*$W180*1000)/($H180*$B$5),(PI()*AE$12^2)/4*(AA180*$W180*1000)/($G180*$B$5)))),
IF($D180="Pressio.",
IF($E180=3,(PI()*AE$12^2)/4*(AA180*$W180*1000)/($H180*$B$5),(PI()*AE$12^2)/4*(AA180*$W180*1000)/($G180*$B$5)),
IF($D180="Pénétro.",
IF($E180=4,(PI()*AE$12^2)/4*(AA180*$W180*1000)/($H180*$B$5),(PI()*AE$12^2)/4*(AA180*$W180*1000)/($G180*$B$5))))))/10</f>
        <v>#N/A</v>
      </c>
      <c r="AF180" s="102" t="e">
        <f>(VLOOKUP($B$3,'Coeff EC7'!$T$39:$X$59,2,0)*AD180+VLOOKUP($B$3,'Coeff EC7'!$T$65:$X$85,2,0)*Model0.1C!AE180)/1.1</f>
        <v>#N/A</v>
      </c>
      <c r="AG180" s="102" t="e">
        <f>(VLOOKUP($B$3,'Coeff EC7'!$T$39:$X$59,3,0)*AD180+VLOOKUP($B$3,'Coeff EC7'!$T$65:$X$85,3,0)*Model0.1C!AE180)/0.9</f>
        <v>#N/A</v>
      </c>
      <c r="AH180" s="102" t="e">
        <f t="shared" si="239"/>
        <v>#N/A</v>
      </c>
      <c r="AI180" s="102" t="e">
        <f t="shared" si="240"/>
        <v>#N/A</v>
      </c>
      <c r="AJ180" s="414" t="e">
        <f>IF(AJ179=0,0,IF(AND(AF180&gt;charge_ELS_quasi,AG180&gt;Charge_ELS_freq,AH180&gt;charge_ELU,AI180&gt;charge_ELA,$B180&gt;NDC!$H$22-0.1+MIN(3*$AJ$12,1.5)),0,1))</f>
        <v>#N/A</v>
      </c>
      <c r="AK180" s="86" t="b">
        <f t="shared" si="241"/>
        <v>0</v>
      </c>
      <c r="AL180" s="86">
        <f t="shared" si="270"/>
        <v>0.5</v>
      </c>
      <c r="AM180" s="86">
        <f t="shared" si="242"/>
        <v>0.5</v>
      </c>
      <c r="AN180" s="30" t="e">
        <f t="shared" ca="1" si="271"/>
        <v>#DIV/0!</v>
      </c>
      <c r="AO180" s="85" t="e">
        <f ca="1">IF(U180&lt;=Hypothèses!$V$7,Hypothèses!$W$7,IF(U180&lt;=Hypothèses!$V$8,Hypothèses!$W$8,IF(U180&lt;=Hypothèses!$V$9,Hypothèses!$W$9,IF(U180&lt;=Hypothèses!$V$10,Hypothèses!$W$10,IF(U180&lt;=Hypothèses!$V$11,Hypothèses!$W$11,IF(U180&lt;=Hypothèses!$V$12,Hypothèses!$W$12,IF(U180&lt;=Hypothèses!$V$13,Hypothèses!$W$13,IF(U180&lt;=Hypothèses!$V$14,Hypothèses!$W$14,IF(U180&lt;=Hypothèses!$V$15,Hypothèses!$W$15,IF(U180&lt;=Hypothèses!$V$16,Hypothèses!$W$16,IF(U180&lt;=Hypothèses!$V$17,Hypothèses!$W$17,IF(U180&lt;=Hypothèses!$V$18,Hypothèses!$W$18,""))))))))))))</f>
        <v>#DIV/0!</v>
      </c>
      <c r="AP180" s="87" t="e">
        <f t="shared" ca="1" si="317"/>
        <v>#DIV/0!</v>
      </c>
      <c r="AQ180" s="88" t="e">
        <f ca="1">IF(U180&lt;=Hypothèses!$V$7,Hypothèses!$X$7,IF(U180&lt;=Hypothèses!$V$8,Hypothèses!$X$8,IF(U180&lt;=Hypothèses!$V$9,Hypothèses!$X$9,IF(U180&lt;=Hypothèses!$V$10,Hypothèses!$X$10,IF(U180&lt;=Hypothèses!$V$11,Hypothèses!$X$11,IF(U180&lt;=Hypothèses!$V$12,Hypothèses!$X$12,IF(U180&lt;=Hypothèses!$V$13,Hypothèses!$X$13,IF(U180&lt;=Hypothèses!$V$14,Hypothèses!$X$14,IF(U180&lt;=Hypothèses!$V$15,Hypothèses!$X$15,IF(U180&lt;=Hypothèses!$V$16,Hypothèses!$X$16,IF(U180&lt;=Hypothèses!$U$17,Hypothèses!$W$17,IF(U180&lt;=Hypothèses!$U$18,Hypothèses!$W$18,""))))))))))))</f>
        <v>#DIV/0!</v>
      </c>
      <c r="AR180" s="95" t="e">
        <f t="shared" ca="1" si="272"/>
        <v>#DIV/0!</v>
      </c>
      <c r="AS180" s="101" t="e">
        <f t="shared" si="324"/>
        <v>#N/A</v>
      </c>
      <c r="AT180" s="91" t="e">
        <f t="shared" si="243"/>
        <v>#N/A</v>
      </c>
      <c r="AU180" s="30" t="e">
        <f t="shared" si="302"/>
        <v>#N/A</v>
      </c>
      <c r="AV180" s="30" t="e">
        <f t="shared" si="303"/>
        <v>#N/A</v>
      </c>
      <c r="AW180" s="31" t="e">
        <f>IF(OR(Hypothèses!$B$4=17,Hypothèses!$B$4=18,Hypothèses!$B$4=19,Hypothèses!$B$4=20),
IF($D180="Pressio.",
IF(OR($E180=3,$E180=1,$E180=4),AV180,AU180),
IF($D180="Pénétro.",
IF(OR($E180=3,$E180=1,$E180=4),AV180,AU180))),IF($D180="Pressio.",
IF($E180=3,AV180,AU180),
IF($D180="Pénétro.",
IF($E180=4,AV180,AU180))))</f>
        <v>#N/A</v>
      </c>
      <c r="AX180" s="31" t="e">
        <f>(IF(OR(Hypothèses!$B$4=17,Hypothèses!$B$4=18,Hypothèses!$B$4=19,Hypothèses!$B$4=20),
IF($D180="Pressio.",
IF(OR($E180=3,$E180=1,$E180=4),(PI()*AX$12^2)/4*(AT180*$W180*1000)/($H180*$B$5),(PI()*AX$12^2)/4*(AT180*$W180*1000)/($G180*$B$5)),
IF($D180="Pénétro.",
IF(OR($E180=4,$E180=1,$E180=5),(PI()*AX$12^2)/4*(AT180*$W180*1000)/($H180*$B$5),(PI()*AX$12^2)/4*(AT180*$W180*1000)/($G180*$B$5)))),
IF($D180="Pressio.",
IF($E180=3,(PI()*AX$12^2)/4*(AT180*$W180*1000)/($H180*$B$5),(PI()*AX$12^2)/4*(AT180*$W180*1000)/($G180*$B$5)),
IF($D180="Pénétro.",
IF($E180=4,(PI()*AX$12^2)/4*(AT180*$W180*1000)/($H180*$B$5),(PI()*AX$12^2)/4*(AT180*$W180*1000)/($G180*$B$5))))))/10</f>
        <v>#N/A</v>
      </c>
      <c r="AY180" s="102" t="e">
        <f>(VLOOKUP($B$3,'Coeff EC7'!$T$39:$X$59,2,0)*AW180+VLOOKUP($B$3,'Coeff EC7'!$T$65:$X$85,2,0)*Model0.1C!AX180)/1.1</f>
        <v>#N/A</v>
      </c>
      <c r="AZ180" s="102" t="e">
        <f>(VLOOKUP($B$3,'Coeff EC7'!$T$39:$X$59,3,0)*AW180+VLOOKUP($B$3,'Coeff EC7'!$T$65:$X$85,3,0)*Model0.1C!AX180)/0.9</f>
        <v>#N/A</v>
      </c>
      <c r="BA180" s="102" t="e">
        <f t="shared" si="273"/>
        <v>#N/A</v>
      </c>
      <c r="BB180" s="102" t="e">
        <f t="shared" si="274"/>
        <v>#N/A</v>
      </c>
      <c r="BC180" s="414" t="e">
        <f>IF(BC179=0,0,IF(AND(AY180&gt;charge_ELS_quasi,AZ180&gt;Charge_ELS_freq,BA180&gt;charge_ELU,BB180&gt;charge_ELA,$B180&gt;NDC!$H$22-0.1+MIN(3*$BC$12,1.5)),0,1))</f>
        <v>#N/A</v>
      </c>
      <c r="BD180" s="86" t="b">
        <f t="shared" si="244"/>
        <v>0</v>
      </c>
      <c r="BE180" s="86">
        <f t="shared" si="275"/>
        <v>0.5</v>
      </c>
      <c r="BF180" s="86">
        <f t="shared" si="245"/>
        <v>0.5</v>
      </c>
      <c r="BG180" s="30" t="e">
        <f t="shared" ca="1" si="276"/>
        <v>#DIV/0!</v>
      </c>
      <c r="BH180" s="85" t="e">
        <f ca="1">IF(AN180&lt;=Hypothèses!$V$7,Hypothèses!$W$7,IF(AN180&lt;=Hypothèses!$V$8,Hypothèses!$W$8,IF(AN180&lt;=Hypothèses!$V$9,Hypothèses!$W$9,IF(AN180&lt;=Hypothèses!$V$10,Hypothèses!$W$10,IF(AN180&lt;=Hypothèses!$V$11,Hypothèses!$W$11,IF(AN180&lt;=Hypothèses!$V$12,Hypothèses!$W$12,IF(AN180&lt;=Hypothèses!$V$13,Hypothèses!$W$13,IF(AN180&lt;=Hypothèses!$V$14,Hypothèses!$W$14,IF(AN180&lt;=Hypothèses!$V$15,Hypothèses!$W$15,IF(AN180&lt;=Hypothèses!$V$16,Hypothèses!$W$16,IF(AN180&lt;=Hypothèses!$V$17,Hypothèses!$W$17,IF(AN180&lt;=Hypothèses!$V$18,Hypothèses!$W$18,""))))))))))))</f>
        <v>#DIV/0!</v>
      </c>
      <c r="BI180" s="87" t="e">
        <f t="shared" ca="1" si="318"/>
        <v>#DIV/0!</v>
      </c>
      <c r="BJ180" s="88" t="e">
        <f ca="1">IF(AN180&lt;=Hypothèses!$V$7,Hypothèses!$X$7,IF(AN180&lt;=Hypothèses!$V$8,Hypothèses!$X$8,IF(AN180&lt;=Hypothèses!$V$9,Hypothèses!$X$9,IF(AN180&lt;=Hypothèses!$V$10,Hypothèses!$X$10,IF(AN180&lt;=Hypothèses!$V$11,Hypothèses!$X$11,IF(AN180&lt;=Hypothèses!$V$12,Hypothèses!$X$12,IF(AN180&lt;=Hypothèses!$V$13,Hypothèses!$X$13,IF(AN180&lt;=Hypothèses!$V$14,Hypothèses!$X$14,IF(AN180&lt;=Hypothèses!$V$15,Hypothèses!$X$15,IF(AN180&lt;=Hypothèses!$V$16,Hypothèses!$X$16,IF(AN180&lt;=Hypothèses!$U$17,Hypothèses!$W$17,IF(AN180&lt;=Hypothèses!$U$18,Hypothèses!$W$18,""))))))))))))</f>
        <v>#DIV/0!</v>
      </c>
      <c r="BK180" s="95" t="e">
        <f t="shared" ca="1" si="277"/>
        <v>#DIV/0!</v>
      </c>
      <c r="BL180" s="101" t="e">
        <f t="shared" si="325"/>
        <v>#N/A</v>
      </c>
      <c r="BM180" s="91" t="e">
        <f t="shared" si="246"/>
        <v>#N/A</v>
      </c>
      <c r="BN180" s="30" t="e">
        <f t="shared" si="304"/>
        <v>#N/A</v>
      </c>
      <c r="BO180" s="30" t="e">
        <f t="shared" si="305"/>
        <v>#N/A</v>
      </c>
      <c r="BP180" s="31" t="e">
        <f>IF(OR(Hypothèses!$B$4=17,Hypothèses!$B$4=18,Hypothèses!$B$4=19,Hypothèses!$B$4=20),
IF($D180="Pressio.",
IF(OR($E180=3,$E180=1,$E180=4),BO180,BN180),
IF($D180="Pénétro.",
IF(OR($E180=3,$E180=1,$E180=4),BO180,BN180))),IF($D180="Pressio.",
IF($E180=3,BO180,BN180),
IF($D180="Pénétro.",
IF($E180=4,BO180,BN180))))</f>
        <v>#N/A</v>
      </c>
      <c r="BQ180" s="31" t="e">
        <f>(IF(OR(Hypothèses!$B$4=17,Hypothèses!$B$4=18,Hypothèses!$B$4=19,Hypothèses!$B$4=20),
IF($D180="Pressio.",
IF(OR($E180=3,$E180=1,$E180=4),(PI()*BQ$12^2)/4*(BM180*$W180*1000)/($H180*$B$5),(PI()*BQ$12^2)/4*(BM180*$W180*1000)/($G180*$B$5)),
IF($D180="Pénétro.",
IF(OR($E180=4,$E180=1,$E180=5),(PI()*BQ$12^2)/4*(BM180*$W180*1000)/($H180*$B$5),(PI()*BQ$12^2)/4*(BM180*$W180*1000)/($G180*$B$5)))),
IF($D180="Pressio.",
IF($E180=3,(PI()*BQ$12^2)/4*(BM180*$W180*1000)/($H180*$B$5),(PI()*BQ$12^2)/4*(BM180*$W180*1000)/($G180*$B$5)),
IF($D180="Pénétro.",
IF($E180=4,(PI()*BQ$12^2)/4*(BM180*$W180*1000)/($H180*$B$5),(PI()*BQ$12^2)/4*(BM180*$W180*1000)/($G180*$B$5))))))/10</f>
        <v>#N/A</v>
      </c>
      <c r="BR180" s="102" t="e">
        <f>(VLOOKUP($B$3,'Coeff EC7'!$T$39:$X$59,2,0)*BP180+VLOOKUP($B$3,'Coeff EC7'!$T$65:$X$85,2,0)*Model0.1C!BQ180)/1.1</f>
        <v>#N/A</v>
      </c>
      <c r="BS180" s="102" t="e">
        <f>(VLOOKUP($B$3,'Coeff EC7'!$T$39:$X$59,3,0)*BP180+VLOOKUP($B$3,'Coeff EC7'!$T$65:$X$85,3,0)*Model0.1C!BQ180)/0.9</f>
        <v>#N/A</v>
      </c>
      <c r="BT180" s="102" t="e">
        <f t="shared" si="278"/>
        <v>#N/A</v>
      </c>
      <c r="BU180" s="102" t="e">
        <f t="shared" si="279"/>
        <v>#N/A</v>
      </c>
      <c r="BV180" s="414" t="e">
        <f>IF(BV179=0,0,IF(AND(BR180&gt;charge_ELS_quasi,BS180&gt;Charge_ELS_freq,BT180&gt;charge_ELU,BU180&gt;charge_ELA,$B180&gt;NDC!$H$22-0.1+MIN(3*$BV$12,1.5)),0,1))</f>
        <v>#N/A</v>
      </c>
      <c r="BW180" s="86" t="b">
        <f t="shared" si="247"/>
        <v>0</v>
      </c>
      <c r="BX180" s="86">
        <f t="shared" si="248"/>
        <v>0.5</v>
      </c>
      <c r="BY180" s="86">
        <f t="shared" si="249"/>
        <v>0.5</v>
      </c>
      <c r="BZ180" s="30" t="e">
        <f t="shared" ca="1" si="280"/>
        <v>#DIV/0!</v>
      </c>
      <c r="CA180" s="85" t="e">
        <f ca="1">IF(BG180&lt;=Hypothèses!$V$7,Hypothèses!$W$7,IF(BG180&lt;=Hypothèses!$V$8,Hypothèses!$W$8,IF(BG180&lt;=Hypothèses!$V$9,Hypothèses!$W$9,IF(BG180&lt;=Hypothèses!$V$10,Hypothèses!$W$10,IF(BG180&lt;=Hypothèses!$V$11,Hypothèses!$W$11,IF(BG180&lt;=Hypothèses!$V$12,Hypothèses!$W$12,IF(BG180&lt;=Hypothèses!$V$13,Hypothèses!$W$13,IF(BG180&lt;=Hypothèses!$V$14,Hypothèses!$W$14,IF(BG180&lt;=Hypothèses!$V$15,Hypothèses!$W$15,IF(BG180&lt;=Hypothèses!$V$16,Hypothèses!$W$16,IF(BG180&lt;=Hypothèses!$V$17,Hypothèses!$W$17,IF(BG180&lt;=Hypothèses!$V$18,Hypothèses!$W$18,""))))))))))))</f>
        <v>#DIV/0!</v>
      </c>
      <c r="CB180" s="87" t="e">
        <f t="shared" ca="1" si="319"/>
        <v>#DIV/0!</v>
      </c>
      <c r="CC180" s="88" t="e">
        <f ca="1">IF(BG180&lt;=Hypothèses!$V$7,Hypothèses!$X$7,IF(BG180&lt;=Hypothèses!$V$8,Hypothèses!$X$8,IF(BG180&lt;=Hypothèses!$V$9,Hypothèses!$X$9,IF(BG180&lt;=Hypothèses!$V$10,Hypothèses!$X$10,IF(BG180&lt;=Hypothèses!$V$11,Hypothèses!$X$11,IF(BG180&lt;=Hypothèses!$V$12,Hypothèses!$X$12,IF(BG180&lt;=Hypothèses!$V$13,Hypothèses!$X$13,IF(BG180&lt;=Hypothèses!$V$14,Hypothèses!$X$14,IF(BG180&lt;=Hypothèses!$V$15,Hypothèses!$X$15,IF(BG180&lt;=Hypothèses!$V$16,Hypothèses!$X$16,IF(BG180&lt;=Hypothèses!$U$17,Hypothèses!$W$17,IF(BG180&lt;=Hypothèses!$U$18,Hypothèses!$W$18,""))))))))))))</f>
        <v>#DIV/0!</v>
      </c>
      <c r="CD180" s="95" t="e">
        <f t="shared" ca="1" si="281"/>
        <v>#DIV/0!</v>
      </c>
      <c r="CE180" s="101" t="e">
        <f t="shared" si="326"/>
        <v>#N/A</v>
      </c>
      <c r="CF180" s="91" t="e">
        <f t="shared" si="250"/>
        <v>#N/A</v>
      </c>
      <c r="CG180" s="30" t="e">
        <f t="shared" si="306"/>
        <v>#N/A</v>
      </c>
      <c r="CH180" s="30" t="e">
        <f t="shared" si="307"/>
        <v>#N/A</v>
      </c>
      <c r="CI180" s="31" t="e">
        <f>IF(OR(Hypothèses!$B$4=17,Hypothèses!$B$4=18,Hypothèses!$B$4=19,Hypothèses!$B$4=20),
IF($D180="Pressio.",
IF(OR($E180=3,$E180=1,$E180=4),CH180,CG180),
IF($D180="Pénétro.",
IF(OR($E180=3,$E180=1,$E180=4),CH180,CG180))),IF($D180="Pressio.",
IF($E180=3,CH180,CG180),
IF($D180="Pénétro.",
IF($E180=4,CH180,CG180))))</f>
        <v>#N/A</v>
      </c>
      <c r="CJ180" s="31" t="e">
        <f>(IF(OR(Hypothèses!$B$4=17,Hypothèses!$B$4=18,Hypothèses!$B$4=19,Hypothèses!$B$4=20),
IF($D180="Pressio.",
IF(OR($E180=3,$E180=1,$E180=4),(PI()*CJ$12^2)/4*(CF180*$W180*1000)/($H180*$B$5),(PI()*CJ$12^2)/4*(CF180*$W180*1000)/($G180*$B$5)),
IF($D180="Pénétro.",
IF(OR($E180=4,$E180=1,$E180=5),(PI()*CJ$12^2)/4*(CF180*$W180*1000)/($H180*$B$5),(PI()*CJ$12^2)/4*(CF180*$W180*1000)/($G180*$B$5)))),
IF($D180="Pressio.",
IF($E180=3,(PI()*CJ$12^2)/4*(CF180*$W180*1000)/($H180*$B$5),(PI()*CJ$12^2)/4*(CF180*$W180*1000)/($G180*$B$5)),
IF($D180="Pénétro.",
IF($E180=4,(PI()*CJ$12^2)/4*(CF180*$W180*1000)/($H180*$B$5),(PI()*CJ$12^2)/4*(CF180*$W180*1000)/($G180*$B$5))))))/10</f>
        <v>#N/A</v>
      </c>
      <c r="CK180" s="102" t="e">
        <f>(VLOOKUP($B$3,'Coeff EC7'!$T$39:$X$59,2,0)*CI180+VLOOKUP($B$3,'Coeff EC7'!$T$65:$X$85,2,0)*Model0.1C!CJ180)/1.1</f>
        <v>#N/A</v>
      </c>
      <c r="CL180" s="102" t="e">
        <f>(VLOOKUP($B$3,'Coeff EC7'!$T$39:$X$59,3,0)*CI180+VLOOKUP($B$3,'Coeff EC7'!$T$65:$X$85,3,0)*Model0.1C!CJ180)/0.9</f>
        <v>#N/A</v>
      </c>
      <c r="CM180" s="102" t="e">
        <f t="shared" si="282"/>
        <v>#N/A</v>
      </c>
      <c r="CN180" s="102" t="e">
        <f t="shared" si="283"/>
        <v>#N/A</v>
      </c>
      <c r="CO180" s="414" t="e">
        <f>IF(CO179=0,0,IF(AND(CK180&gt;charge_ELS_quasi,CL180&gt;Charge_ELS_freq,CM180&gt;charge_ELU,CN180&gt;charge_ELA,$B180&gt;NDC!$H$22-0.1+MIN(3*$CO$12,1.5)),0,1))</f>
        <v>#N/A</v>
      </c>
      <c r="CP180" s="86" t="b">
        <f t="shared" si="251"/>
        <v>0</v>
      </c>
      <c r="CQ180" s="86">
        <f t="shared" si="252"/>
        <v>0.5</v>
      </c>
      <c r="CR180" s="86">
        <f t="shared" si="253"/>
        <v>0.5</v>
      </c>
      <c r="CS180" s="30" t="e">
        <f t="shared" ca="1" si="284"/>
        <v>#DIV/0!</v>
      </c>
      <c r="CT180" s="85" t="e">
        <f ca="1">IF(BZ180&lt;=Hypothèses!$V$7,Hypothèses!$W$7,IF(BZ180&lt;=Hypothèses!$V$8,Hypothèses!$W$8,IF(BZ180&lt;=Hypothèses!$V$9,Hypothèses!$W$9,IF(BZ180&lt;=Hypothèses!$V$10,Hypothèses!$W$10,IF(BZ180&lt;=Hypothèses!$V$11,Hypothèses!$W$11,IF(BZ180&lt;=Hypothèses!$V$12,Hypothèses!$W$12,IF(BZ180&lt;=Hypothèses!$V$13,Hypothèses!$W$13,IF(BZ180&lt;=Hypothèses!$V$14,Hypothèses!$W$14,IF(BZ180&lt;=Hypothèses!$V$15,Hypothèses!$W$15,IF(BZ180&lt;=Hypothèses!$V$16,Hypothèses!$W$16,IF(BZ180&lt;=Hypothèses!$V$17,Hypothèses!$W$17,IF(BZ180&lt;=Hypothèses!$V$18,Hypothèses!$W$18,""))))))))))))</f>
        <v>#DIV/0!</v>
      </c>
      <c r="CU180" s="87" t="e">
        <f t="shared" ca="1" si="320"/>
        <v>#DIV/0!</v>
      </c>
      <c r="CV180" s="88" t="e">
        <f ca="1">IF(BZ180&lt;=Hypothèses!$V$7,Hypothèses!$X$7,IF(BZ180&lt;=Hypothèses!$V$8,Hypothèses!$X$8,IF(BZ180&lt;=Hypothèses!$V$9,Hypothèses!$X$9,IF(BZ180&lt;=Hypothèses!$V$10,Hypothèses!$X$10,IF(BZ180&lt;=Hypothèses!$V$11,Hypothèses!$X$11,IF(BZ180&lt;=Hypothèses!$V$12,Hypothèses!$X$12,IF(BZ180&lt;=Hypothèses!$V$13,Hypothèses!$X$13,IF(BZ180&lt;=Hypothèses!$V$14,Hypothèses!$X$14,IF(BZ180&lt;=Hypothèses!$V$15,Hypothèses!$X$15,IF(BZ180&lt;=Hypothèses!$V$16,Hypothèses!$X$16,IF(BZ180&lt;=Hypothèses!$U$17,Hypothèses!$W$17,IF(BZ180&lt;=Hypothèses!$U$18,Hypothèses!$W$18,""))))))))))))</f>
        <v>#DIV/0!</v>
      </c>
      <c r="CW180" s="95" t="e">
        <f t="shared" ca="1" si="285"/>
        <v>#DIV/0!</v>
      </c>
      <c r="CX180" s="101" t="e">
        <f t="shared" si="327"/>
        <v>#N/A</v>
      </c>
      <c r="CY180" s="91" t="e">
        <f t="shared" si="254"/>
        <v>#N/A</v>
      </c>
      <c r="CZ180" s="30" t="e">
        <f t="shared" si="308"/>
        <v>#N/A</v>
      </c>
      <c r="DA180" s="30" t="e">
        <f t="shared" si="309"/>
        <v>#N/A</v>
      </c>
      <c r="DB180" s="31" t="e">
        <f>IF(OR(Hypothèses!$B$4=17,Hypothèses!$B$4=18,Hypothèses!$B$4=19,Hypothèses!$B$4=20),
IF($D180="Pressio.",
IF(OR($E180=3,$E180=1,$E180=4),DA180,CZ180),
IF($D180="Pénétro.",
IF(OR($E180=3,$E180=1,$E180=4),DA180,CZ180))),IF($D180="Pressio.",
IF($E180=3,DA180,CZ180),
IF($D180="Pénétro.",
IF($E180=4,DA180,CZ180))))</f>
        <v>#N/A</v>
      </c>
      <c r="DC180" s="31" t="e">
        <f>(IF(OR(Hypothèses!$B$4=17,Hypothèses!$B$4=18,Hypothèses!$B$4=19,Hypothèses!$B$4=20),
IF($D180="Pressio.",
IF(OR($E180=3,$E180=1,$E180=4),(PI()*DC$12^2)/4*(CY180*$W180*1000)/($H180*$B$5),(PI()*DC$12^2)/4*(CY180*$W180*1000)/($G180*$B$5)),
IF($D180="Pénétro.",
IF(OR($E180=4,$E180=1,$E180=5),(PI()*DC$12^2)/4*(CY180*$W180*1000)/($H180*$B$5),(PI()*DC$12^2)/4*(CY180*$W180*1000)/($G180*$B$5)))),
IF($D180="Pressio.",
IF($E180=3,(PI()*DC$12^2)/4*(CY180*$W180*1000)/($H180*$B$5),(PI()*DC$12^2)/4*(CY180*$W180*1000)/($G180*$B$5)),
IF($D180="Pénétro.",
IF($E180=4,(PI()*DC$12^2)/4*(CY180*$W180*1000)/($H180*$B$5),(PI()*DC$12^2)/4*(CY180*$W180*1000)/($G180*$B$5))))))/10</f>
        <v>#N/A</v>
      </c>
      <c r="DD180" s="102" t="e">
        <f>(VLOOKUP($B$3,'Coeff EC7'!$T$39:$X$59,2,0)*DB180+VLOOKUP($B$3,'Coeff EC7'!$T$65:$X$85,2,0)*Model0.1C!DC180)/1.1</f>
        <v>#N/A</v>
      </c>
      <c r="DE180" s="102" t="e">
        <f>(VLOOKUP($B$3,'Coeff EC7'!$T$39:$X$59,3,0)*DB180+VLOOKUP($B$3,'Coeff EC7'!$T$65:$X$85,3,0)*Model0.1C!DC180)/0.9</f>
        <v>#N/A</v>
      </c>
      <c r="DF180" s="102" t="e">
        <f t="shared" si="286"/>
        <v>#N/A</v>
      </c>
      <c r="DG180" s="102" t="e">
        <f t="shared" si="287"/>
        <v>#N/A</v>
      </c>
      <c r="DH180" s="414" t="e">
        <f>IF(DH179=0,0,IF(AND(DD180&gt;charge_ELS_quasi,DE180&gt;Charge_ELS_freq,DF180&gt;charge_ELU,DG180&gt;charge_ELA,$B180&gt;NDC!$H$22-0.1+MIN(3*$DH$12,1.5)),0,1))</f>
        <v>#N/A</v>
      </c>
      <c r="DI180" s="86" t="b">
        <f t="shared" si="255"/>
        <v>0</v>
      </c>
      <c r="DJ180" s="86">
        <f t="shared" si="256"/>
        <v>0.5</v>
      </c>
      <c r="DK180" s="86">
        <f t="shared" si="257"/>
        <v>0.5</v>
      </c>
      <c r="DL180" s="30" t="e">
        <f t="shared" ca="1" si="288"/>
        <v>#DIV/0!</v>
      </c>
      <c r="DM180" s="85" t="e">
        <f ca="1">IF(CS180&lt;=Hypothèses!$V$7,Hypothèses!$W$7,IF(CS180&lt;=Hypothèses!$V$8,Hypothèses!$W$8,IF(CS180&lt;=Hypothèses!$V$9,Hypothèses!$W$9,IF(CS180&lt;=Hypothèses!$V$10,Hypothèses!$W$10,IF(CS180&lt;=Hypothèses!$V$11,Hypothèses!$W$11,IF(CS180&lt;=Hypothèses!$V$12,Hypothèses!$W$12,IF(CS180&lt;=Hypothèses!$V$13,Hypothèses!$W$13,IF(CS180&lt;=Hypothèses!$V$14,Hypothèses!$W$14,IF(CS180&lt;=Hypothèses!$V$15,Hypothèses!$W$15,IF(CS180&lt;=Hypothèses!$V$16,Hypothèses!$W$16,IF(CS180&lt;=Hypothèses!$V$17,Hypothèses!$W$17,IF(CS180&lt;=Hypothèses!$V$18,Hypothèses!$W$18,""))))))))))))</f>
        <v>#DIV/0!</v>
      </c>
      <c r="DN180" s="87" t="e">
        <f t="shared" ca="1" si="321"/>
        <v>#DIV/0!</v>
      </c>
      <c r="DO180" s="88" t="e">
        <f ca="1">IF(CS180&lt;=Hypothèses!$V$7,Hypothèses!$X$7,IF(CS180&lt;=Hypothèses!$V$8,Hypothèses!$X$8,IF(CS180&lt;=Hypothèses!$V$9,Hypothèses!$X$9,IF(CS180&lt;=Hypothèses!$V$10,Hypothèses!$X$10,IF(CS180&lt;=Hypothèses!$V$11,Hypothèses!$X$11,IF(CS180&lt;=Hypothèses!$V$12,Hypothèses!$X$12,IF(CS180&lt;=Hypothèses!$V$13,Hypothèses!$X$13,IF(CS180&lt;=Hypothèses!$V$14,Hypothèses!$X$14,IF(CS180&lt;=Hypothèses!$V$15,Hypothèses!$X$15,IF(CS180&lt;=Hypothèses!$V$16,Hypothèses!$X$16,IF(CS180&lt;=Hypothèses!$U$17,Hypothèses!$W$17,IF(CS180&lt;=Hypothèses!$U$18,Hypothèses!$W$18,""))))))))))))</f>
        <v>#DIV/0!</v>
      </c>
      <c r="DP180" s="95" t="e">
        <f t="shared" ca="1" si="289"/>
        <v>#DIV/0!</v>
      </c>
      <c r="DQ180" s="101" t="e">
        <f t="shared" si="328"/>
        <v>#N/A</v>
      </c>
      <c r="DR180" s="91" t="e">
        <f t="shared" si="258"/>
        <v>#N/A</v>
      </c>
      <c r="DS180" s="30" t="e">
        <f t="shared" si="310"/>
        <v>#N/A</v>
      </c>
      <c r="DT180" s="30" t="e">
        <f t="shared" si="311"/>
        <v>#N/A</v>
      </c>
      <c r="DU180" s="31" t="e">
        <f>IF(OR(Hypothèses!$B$4=17,Hypothèses!$B$4=18,Hypothèses!$B$4=19,Hypothèses!$B$4=20),
IF($D180="Pressio.",
IF(OR($E180=3,$E180=1,$E180=4),DT180,DS180),
IF($D180="Pénétro.",
IF(OR($E180=3,$E180=1,$E180=4),DT180,DS180))),IF($D180="Pressio.",
IF($E180=3,DT180,DS180),
IF($D180="Pénétro.",
IF($E180=4,DT180,DS180))))</f>
        <v>#N/A</v>
      </c>
      <c r="DV180" s="31" t="e">
        <f>(IF(OR(Hypothèses!$B$4=17,Hypothèses!$B$4=18,Hypothèses!$B$4=19,Hypothèses!$B$4=20),
IF($D180="Pressio.",
IF(OR($E180=3,$E180=1,$E180=4),(PI()*DV$12^2)/4*(DR180*$W180*1000)/($H180*$B$5),(PI()*DV$12^2)/4*(DR180*$W180*1000)/($G180*$B$5)),
IF($D180="Pénétro.",
IF(OR($E180=4,$E180=1,$E180=5),(PI()*DV$12^2)/4*(DR180*$W180*1000)/($H180*$B$5),(PI()*DV$12^2)/4*(DR180*$W180*1000)/($G180*$B$5)))),
IF($D180="Pressio.",
IF($E180=3,(PI()*DV$12^2)/4*(DR180*$W180*1000)/($H180*$B$5),(PI()*DV$12^2)/4*(DR180*$W180*1000)/($G180*$B$5)),
IF($D180="Pénétro.",
IF($E180=4,(PI()*DV$12^2)/4*(DR180*$W180*1000)/($H180*$B$5),(PI()*DV$12^2)/4*(DR180*$W180*1000)/($G180*$B$5))))))/10</f>
        <v>#N/A</v>
      </c>
      <c r="DW180" s="102" t="e">
        <f>(VLOOKUP($B$3,'Coeff EC7'!$T$39:$X$59,2,0)*DU180+VLOOKUP($B$3,'Coeff EC7'!$T$65:$X$85,2,0)*Model0.1C!DV180)/1.1</f>
        <v>#N/A</v>
      </c>
      <c r="DX180" s="102" t="e">
        <f>(VLOOKUP($B$3,'Coeff EC7'!$T$39:$X$59,3,0)*DU180+VLOOKUP($B$3,'Coeff EC7'!$T$65:$X$85,3,0)*Model0.1C!DV180)/0.9</f>
        <v>#N/A</v>
      </c>
      <c r="DY180" s="102" t="e">
        <f t="shared" si="290"/>
        <v>#N/A</v>
      </c>
      <c r="DZ180" s="102" t="e">
        <f t="shared" si="291"/>
        <v>#N/A</v>
      </c>
      <c r="EA180" s="414" t="e">
        <f>IF(EA179=0,0,IF(AND(DW180&gt;charge_ELS_quasi,DX180&gt;Charge_ELS_freq,DY180&gt;charge_ELU,DZ180&gt;charge_ELA,$B180&gt;NDC!$H$22-0.1+MIN(3*$EA$12,1.5)),0,1))</f>
        <v>#N/A</v>
      </c>
      <c r="EB180" s="86" t="b">
        <f t="shared" si="259"/>
        <v>0</v>
      </c>
      <c r="EC180" s="418">
        <f t="shared" si="260"/>
        <v>0.51</v>
      </c>
      <c r="ED180" s="86">
        <f t="shared" si="261"/>
        <v>0.51</v>
      </c>
      <c r="EE180" s="30" t="e">
        <f t="shared" ca="1" si="292"/>
        <v>#DIV/0!</v>
      </c>
      <c r="EF180" s="85" t="e">
        <f ca="1">IF(DL180&lt;=Hypothèses!$V$7,Hypothèses!$W$7,IF(DL180&lt;=Hypothèses!$V$8,Hypothèses!$W$8,IF(DL180&lt;=Hypothèses!$V$9,Hypothèses!$W$9,IF(DL180&lt;=Hypothèses!$V$10,Hypothèses!$W$10,IF(DL180&lt;=Hypothèses!$V$11,Hypothèses!$W$11,IF(DL180&lt;=Hypothèses!$V$12,Hypothèses!$W$12,IF(DL180&lt;=Hypothèses!$V$13,Hypothèses!$W$13,IF(DL180&lt;=Hypothèses!$V$14,Hypothèses!$W$14,IF(DL180&lt;=Hypothèses!$V$15,Hypothèses!$W$15,IF(DL180&lt;=Hypothèses!$V$16,Hypothèses!$W$16,IF(DL180&lt;=Hypothèses!$V$17,Hypothèses!$W$17,IF(DL180&lt;=Hypothèses!$V$18,Hypothèses!$W$18,""))))))))))))</f>
        <v>#DIV/0!</v>
      </c>
      <c r="EG180" s="87" t="e">
        <f t="shared" ca="1" si="322"/>
        <v>#DIV/0!</v>
      </c>
      <c r="EH180" s="88" t="e">
        <f ca="1">IF(DL180&lt;=Hypothèses!$V$7,Hypothèses!$X$7,IF(DL180&lt;=Hypothèses!$V$8,Hypothèses!$X$8,IF(DL180&lt;=Hypothèses!$V$9,Hypothèses!$X$9,IF(DL180&lt;=Hypothèses!$V$10,Hypothèses!$X$10,IF(DL180&lt;=Hypothèses!$V$11,Hypothèses!$X$11,IF(DL180&lt;=Hypothèses!$V$12,Hypothèses!$X$12,IF(DL180&lt;=Hypothèses!$V$13,Hypothèses!$X$13,IF(DL180&lt;=Hypothèses!$V$14,Hypothèses!$X$14,IF(DL180&lt;=Hypothèses!$V$15,Hypothèses!$X$15,IF(DL180&lt;=Hypothèses!$V$16,Hypothèses!$X$16,IF(DL180&lt;=Hypothèses!$U$17,Hypothèses!$W$17,IF(DL180&lt;=Hypothèses!$U$18,Hypothèses!$W$18,""))))))))))))</f>
        <v>#DIV/0!</v>
      </c>
      <c r="EI180" s="95" t="e">
        <f t="shared" ca="1" si="293"/>
        <v>#DIV/0!</v>
      </c>
      <c r="EJ180" s="101" t="e">
        <f t="shared" si="329"/>
        <v>#N/A</v>
      </c>
      <c r="EK180" s="91" t="e">
        <f t="shared" si="262"/>
        <v>#N/A</v>
      </c>
      <c r="EL180" s="30" t="e">
        <f t="shared" si="312"/>
        <v>#N/A</v>
      </c>
      <c r="EM180" s="30" t="e">
        <f t="shared" si="313"/>
        <v>#N/A</v>
      </c>
      <c r="EN180" s="31" t="e">
        <f>IF(OR(Hypothèses!$B$4=17,Hypothèses!$B$4=18,Hypothèses!$B$4=19,Hypothèses!$B$4=20),
IF($D180="Pressio.",
IF(OR($E180=3,$E180=1,$E180=4),EM180,EL180),
IF($D180="Pénétro.",
IF(OR($E180=3,$E180=1,$E180=4),EM180,EL180))),IF($D180="Pressio.",
IF($E180=3,EM180,EL180),
IF($D180="Pénétro.",
IF($E180=4,EM180,EL180))))</f>
        <v>#N/A</v>
      </c>
      <c r="EO180" s="31" t="e">
        <f>(IF(OR(Hypothèses!$B$4=17,Hypothèses!$B$4=18,Hypothèses!$B$4=19,Hypothèses!$B$4=20),
IF($D180="Pressio.",
IF(OR($E180=3,$E180=1,$E180=4),(PI()*EO$12^2)/4*(EK180*$W180*1000)/($H180*$B$5),(PI()*EO$12^2)/4*(EK180*$W180*1000)/($G180*$B$5)),
IF($D180="Pénétro.",
IF(OR($E180=4,$E180=1,$E180=5),(PI()*EO$12^2)/4*(EK180*$W180*1000)/($H180*$B$5),(PI()*EO$12^2)/4*(EK180*$W180*1000)/($G180*$B$5)))),
IF($D180="Pressio.",
IF($E180=3,(PI()*EO$12^2)/4*(EK180*$W180*1000)/($H180*$B$5),(PI()*EO$12^2)/4*(EK180*$W180*1000)/($G180*$B$5)),
IF($D180="Pénétro.",
IF($E180=4,(PI()*EO$12^2)/4*(EK180*$W180*1000)/($H180*$B$5),(PI()*EO$12^2)/4*(EK180*$W180*1000)/($G180*$B$5))))))/10</f>
        <v>#N/A</v>
      </c>
      <c r="EP180" s="102" t="e">
        <f>(VLOOKUP($B$3,'Coeff EC7'!$T$39:$X$59,2,0)*EN180+VLOOKUP($B$3,'Coeff EC7'!$T$65:$X$85,2,0)*Model0.1C!EO180)/1.1</f>
        <v>#N/A</v>
      </c>
      <c r="EQ180" s="102" t="e">
        <f>(VLOOKUP($B$3,'Coeff EC7'!$T$39:$X$59,3,0)*EN180+VLOOKUP($B$3,'Coeff EC7'!$T$65:$X$85,3,0)*Model0.1C!EO180)/0.9</f>
        <v>#N/A</v>
      </c>
      <c r="ER180" s="102" t="e">
        <f t="shared" si="294"/>
        <v>#N/A</v>
      </c>
      <c r="ES180" s="102" t="e">
        <f t="shared" si="295"/>
        <v>#N/A</v>
      </c>
      <c r="ET180" s="414" t="e">
        <f>IF(ET179=0,0,IF(AND(EP180&gt;charge_ELS_quasi,EQ180&gt;Charge_ELS_freq,ER180&gt;charge_ELU,ES180&gt;charge_ELA,$B180&gt;NDC!$H$22-0.1+MIN(3*$ET$12,1.5)),0,1))</f>
        <v>#N/A</v>
      </c>
      <c r="EU180" s="86" t="b">
        <f t="shared" si="263"/>
        <v>0</v>
      </c>
      <c r="EV180" s="86">
        <f t="shared" si="264"/>
        <v>0.61</v>
      </c>
      <c r="EW180" s="86">
        <f t="shared" si="265"/>
        <v>0.61</v>
      </c>
      <c r="EX180" s="30" t="e">
        <f t="shared" ca="1" si="296"/>
        <v>#DIV/0!</v>
      </c>
      <c r="EY180" s="85" t="e">
        <f ca="1">IF(EE180&lt;=Hypothèses!$V$7,Hypothèses!$W$7,IF(EE180&lt;=Hypothèses!$V$8,Hypothèses!$W$8,IF(EE180&lt;=Hypothèses!$V$9,Hypothèses!$W$9,IF(EE180&lt;=Hypothèses!$V$10,Hypothèses!$W$10,IF(EE180&lt;=Hypothèses!$V$11,Hypothèses!$W$11,IF(EE180&lt;=Hypothèses!$V$12,Hypothèses!$W$12,IF(EE180&lt;=Hypothèses!$V$13,Hypothèses!$W$13,IF(EE180&lt;=Hypothèses!$V$14,Hypothèses!$W$14,IF(EE180&lt;=Hypothèses!$V$15,Hypothèses!$W$15,IF(EE180&lt;=Hypothèses!$V$16,Hypothèses!$W$16,IF(EE180&lt;=Hypothèses!$V$17,Hypothèses!$W$17,IF(EE180&lt;=Hypothèses!$V$18,Hypothèses!$W$18,""))))))))))))</f>
        <v>#DIV/0!</v>
      </c>
      <c r="EZ180" s="87" t="e">
        <f t="shared" ca="1" si="323"/>
        <v>#DIV/0!</v>
      </c>
      <c r="FA180" s="88" t="e">
        <f ca="1">IF(EE180&lt;=Hypothèses!$V$7,Hypothèses!$X$7,IF(EE180&lt;=Hypothèses!$V$8,Hypothèses!$X$8,IF(EE180&lt;=Hypothèses!$V$9,Hypothèses!$X$9,IF(EE180&lt;=Hypothèses!$V$10,Hypothèses!$X$10,IF(EE180&lt;=Hypothèses!$V$11,Hypothèses!$X$11,IF(EE180&lt;=Hypothèses!$V$12,Hypothèses!$X$12,IF(EE180&lt;=Hypothèses!$V$13,Hypothèses!$X$13,IF(EE180&lt;=Hypothèses!$V$14,Hypothèses!$X$14,IF(EE180&lt;=Hypothèses!$V$15,Hypothèses!$X$15,IF(EE180&lt;=Hypothèses!$V$16,Hypothèses!$X$16,IF(EE180&lt;=Hypothèses!$U$17,Hypothèses!$W$17,IF(EE180&lt;=Hypothèses!$U$18,Hypothèses!$W$18,""))))))))))))</f>
        <v>#DIV/0!</v>
      </c>
      <c r="FB180" s="95" t="e">
        <f t="shared" ca="1" si="297"/>
        <v>#DIV/0!</v>
      </c>
      <c r="FC180" s="101" t="e">
        <f t="shared" si="330"/>
        <v>#N/A</v>
      </c>
      <c r="FD180" s="91" t="e">
        <f t="shared" si="266"/>
        <v>#N/A</v>
      </c>
      <c r="FE180" s="30" t="e">
        <f t="shared" si="314"/>
        <v>#N/A</v>
      </c>
      <c r="FF180" s="30" t="e">
        <f t="shared" si="315"/>
        <v>#N/A</v>
      </c>
      <c r="FG180" s="31" t="e">
        <f>IF(OR(Hypothèses!$B$4=17,Hypothèses!$B$4=18,Hypothèses!$B$4=19,Hypothèses!$B$4=20),
IF($D180="Pressio.",
IF(OR($E180=3,$E180=1,$E180=4),FF180,FE180),
IF($D180="Pénétro.",
IF(OR($E180=3,$E180=1,$E180=4),FF180,FE180))),IF($D180="Pressio.",
IF($E180=3,FF180,FE180),
IF($D180="Pénétro.",
IF($E180=4,FF180,FE180))))</f>
        <v>#N/A</v>
      </c>
      <c r="FH180" s="31" t="e">
        <f>(IF(OR(Hypothèses!$B$4=17,Hypothèses!$B$4=18,Hypothèses!$B$4=19,Hypothèses!$B$4=20),
IF($D180="Pressio.",
IF(OR($E180=3,$E180=1,$E180=4),(PI()*FH$12^2)/4*(FD180*$W180*1000)/($H180*$B$5),(PI()*FH$12^2)/4*(FD180*$W180*1000)/($G180*$B$5)),
IF($D180="Pénétro.",
IF(OR($E180=4,$E180=1,$E180=5),(PI()*FH$12^2)/4*(FD180*$W180*1000)/($H180*$B$5),(PI()*FH$12^2)/4*(FD180*$W180*1000)/($G180*$B$5)))),
IF($D180="Pressio.",
IF($E180=3,(PI()*FH$12^2)/4*(FD180*$W180*1000)/($H180*$B$5),(PI()*FH$12^2)/4*(FD180*$W180*1000)/($G180*$B$5)),
IF($D180="Pénétro.",
IF($E180=4,(PI()*FH$12^2)/4*(FD180*$W180*1000)/($H180*$B$5),(PI()*FH$12^2)/4*(FD180*$W180*1000)/($G180*$B$5))))))/10</f>
        <v>#N/A</v>
      </c>
      <c r="FI180" s="102" t="e">
        <f>(VLOOKUP($B$3,'Coeff EC7'!$T$39:$X$59,2,0)*FG180+VLOOKUP($B$3,'Coeff EC7'!$T$65:$X$85,2,0)*Model0.1C!FH180)/1.1</f>
        <v>#N/A</v>
      </c>
      <c r="FJ180" s="102" t="e">
        <f>(VLOOKUP($B$3,'Coeff EC7'!$T$39:$X$59,3,0)*FG180+VLOOKUP($B$3,'Coeff EC7'!$T$65:$X$85,3,0)*Model0.1C!FH180)/0.9</f>
        <v>#N/A</v>
      </c>
      <c r="FK180" s="102" t="e">
        <f t="shared" si="298"/>
        <v>#N/A</v>
      </c>
      <c r="FL180" s="102" t="e">
        <f t="shared" si="299"/>
        <v>#N/A</v>
      </c>
      <c r="FM180" s="414" t="e">
        <f>IF(FM179=0,0,IF(AND(FI180&gt;charge_ELS_quasi,FJ180&gt;Charge_ELS_freq,FK180&gt;charge_ELU,FL180&gt;charge_ELA,$B180&gt;NDC!$H$22-0.1+MIN(3*$FM$12,1.5)),0,1))</f>
        <v>#N/A</v>
      </c>
    </row>
    <row r="181" spans="1:169">
      <c r="A181" s="96">
        <f t="shared" si="267"/>
        <v>83.200000000000955</v>
      </c>
      <c r="B181" s="97">
        <v>16.8</v>
      </c>
      <c r="C181" s="81">
        <f>IF(B181&lt;=Hypothèses!$C$7,Hypothèses!$A$7,IF(B181&lt;=Hypothèses!$C$8,Hypothèses!$A$8,IF(B181&lt;=Hypothèses!$C$9,Hypothèses!$A$9,IF(B181&lt;=Hypothèses!$C$10,Hypothèses!$A$10,IF(B181&lt;=Hypothèses!$C$11,Hypothèses!$A$11,IF(B181&lt;=Hypothèses!$C$12,Hypothèses!$A$12,IF(B181&lt;=Hypothèses!$C$13,Hypothèses!$A$13,IF(B181&lt;=Hypothèses!$C$14,Hypothèses!$A$14,IF(B181&lt;=Hypothèses!$C$15,Hypothèses!$A$15,IF(B181&lt;=Hypothèses!$C$16,Hypothèses!$A$16,IF(B181&lt;=Hypothèses!$C$17,Hypothèses!$A$17,IF(B181&lt;=Hypothèses!$C$18,Hypothèses!$A$18,C180))))))))))))</f>
        <v>11</v>
      </c>
      <c r="D181" s="82" t="str">
        <f>IF(B181&lt;=Hypothèses!$C$7,Hypothèses!$R$7,IF(B181&lt;=Hypothèses!$C$8,Hypothèses!$R$8,IF(B181&lt;=Hypothèses!$C$9,Hypothèses!$R$9,IF(B181&lt;=Hypothèses!$C$10,Hypothèses!$R$10,IF(B181&lt;=Hypothèses!$C$11,Hypothèses!$R$11,IF(B181&lt;=Hypothèses!$C$12,Hypothèses!$R$12,IF(B181&lt;=Hypothèses!$C$13,Hypothèses!$R$13,IF(B181&lt;=Hypothèses!$C$14,Hypothèses!$R$14,IF(B181&lt;=Hypothèses!$C$15,Hypothèses!$R$15,IF(B181&lt;=Hypothèses!$C$16,Hypothèses!$R$16,IF(B181&lt;=Hypothèses!$C$17,Hypothèses!$R$17,IF(B181&lt;=Hypothèses!$C$18,Hypothèses!$R$18,D180))))))))))))</f>
        <v>Pressio.</v>
      </c>
      <c r="E181" s="82" t="e">
        <f>IF(B181&lt;=Hypothèses!$C$7,Hypothèses!$G$7,IF(B181&lt;=Hypothèses!$C$8,Hypothèses!$G$8,IF(B181&lt;=Hypothèses!$C$9,Hypothèses!$G$9,IF(B181&lt;=Hypothèses!$C$10,Hypothèses!$G$10,IF(B181&lt;=Hypothèses!$C$11,Hypothèses!$G$11,IF(B181&lt;=Hypothèses!$C$12,Hypothèses!$G$12,IF(B181&lt;=Hypothèses!$C$13,Hypothèses!$G$13,IF(B181&lt;=Hypothèses!$C$14,Hypothèses!$G$14,IF(B181&lt;=Hypothèses!$C$15,Hypothèses!$G$15,IF(B181&lt;=Hypothèses!$C$16,Hypothèses!$G$16,IF(B181&lt;=Hypothèses!$C$17,Hypothèses!$G$17,IF(B181&lt;=Hypothèses!$C$18,Hypothèses!$G$18,E180))))))))))))</f>
        <v>#N/A</v>
      </c>
      <c r="F181" s="82" t="str">
        <f>IF(B181&lt;=Hypothèses!$C$7,Hypothèses!$F$7,IF(B181&lt;=Hypothèses!$C$8,Hypothèses!$F$8,IF(B181&lt;=Hypothèses!$C$9,Hypothèses!$F$9,IF(B181&lt;=Hypothèses!$C$10,Hypothèses!$F$10,IF(B181&lt;=Hypothèses!$C$11,Hypothèses!$F$11,IF(B181&lt;=Hypothèses!$C$12,Hypothèses!$F$12,IF(B181&lt;=Hypothèses!$C$13,Hypothèses!$F$13,IF(B181&lt;=Hypothèses!$C$14,Hypothèses!$F$14,IF(B181&lt;=Hypothèses!$C$15,Hypothèses!$F$15,IF(B181&lt;=Hypothèses!$C$16,Hypothèses!$F$16,IF(B181&lt;=Hypothèses!$C$17,Hypothèses!$F$17,IF(B181&lt;=Hypothèses!$C$18,Hypothèses!$F$18,F180))))))))))))</f>
        <v/>
      </c>
      <c r="G181" s="91">
        <f t="array" ref="G181">INDEX('Coeff EC7'!$U$7:$X$27,
MATCH(Model0.1C!$B$3,'Coeff EC7'!$T$7:$T$27,0),
MATCH(Model0.1C!$D181&amp;Model0.1C!$B$4,
'Coeff EC7'!$U$6:$X$6&amp;
'Coeff EC7'!$U$5:$X$5,0))</f>
        <v>1.1499999999999999</v>
      </c>
      <c r="H181" s="91">
        <f t="array" ref="H181">INDEX('Coeff EC7'!$Y$7:$AB$27,
MATCH(Model0.1C!$B$3,'Coeff EC7'!$T$7:$T$27,0),
MATCH(Model0.1C!$D181&amp;Model0.1C!$B$4,
'Coeff EC7'!$Y$6:$AB$6&amp;
'Coeff EC7'!$Y$5:$AB$5,0))</f>
        <v>1.4</v>
      </c>
      <c r="I181" s="83" t="e">
        <f>IF(B181&lt;=Hypothèses!$C$7,Hypothèses!$P$7,IF(B181&lt;=Hypothèses!$C$8,Hypothèses!$P$8,IF(B181&lt;=Hypothèses!$C$9,Hypothèses!$P$9,IF(B181&lt;=Hypothèses!$C$10,Hypothèses!$P$10,IF(B181&lt;=Hypothèses!$C$11,Hypothèses!$P$11,IF(B181&lt;=Hypothèses!$C$12,Hypothèses!$P$12,IF(B181&lt;=Hypothèses!$C$13,Hypothèses!$P$13,IF(B181&lt;=Hypothèses!$C$14,Hypothèses!$P$14,IF(B181&lt;=Hypothèses!$C$15,Hypothèses!$P$15,IF(B181&lt;=Hypothèses!$C$16,Hypothèses!$P$16,IF(B181&lt;=Hypothèses!$C$17,Hypothèses!$P$17,IF(B181&lt;=Hypothèses!$C$18,Hypothèses!$P$18,I180))))))))))))</f>
        <v>#N/A</v>
      </c>
      <c r="J181" s="91" t="e">
        <f t="array" ref="J181">INDEX('Coeff EC7'!$D$33:$Q$33,1,MATCH(D181&amp;E181,'Coeff EC7'!$D$31:$Q$31&amp;'Coeff EC7'!$D$32:$Q$32,0))</f>
        <v>#N/A</v>
      </c>
      <c r="K181" s="91" t="e">
        <f t="array" ref="K181">INDEX('Coeff EC7'!$D$34:$Q$34,1,MATCH(D181&amp;E181,'Coeff EC7'!$D$31:$Q$31&amp;'Coeff EC7'!$D$32:$Q$32,0))</f>
        <v>#N/A</v>
      </c>
      <c r="L181" s="91" t="e">
        <f t="array" ref="L181">INDEX('Coeff EC7'!$D$35:$Q$35,1,MATCH(D181&amp;E181,'Coeff EC7'!$D$31:$Q$31&amp;'Coeff EC7'!$D$32:$Q$32,0))</f>
        <v>#N/A</v>
      </c>
      <c r="M181" s="98" t="e">
        <f t="shared" si="231"/>
        <v>#N/A</v>
      </c>
      <c r="N181" s="99" t="e">
        <f t="array" ref="N181">INDEX('Coeff EC7'!$D$7:$Q$27,MATCH($B$3,'Coeff EC7'!$C$7:$C$27,0),MATCH(D181&amp;E181,'Coeff EC7'!$D$5:$Q$5&amp;'Coeff EC7'!$D$6:$Q$6,0))</f>
        <v>#N/A</v>
      </c>
      <c r="O181" s="99" t="e">
        <f t="array" ref="O181">INDEX('Coeff EC7'!$D$41:$Q$61,MATCH($B$3,'Coeff EC7'!$C$41:$C$61,0),MATCH(D181&amp;E181,'Coeff EC7'!$D$39:$Q$39&amp;'Coeff EC7'!$D$40:$Q$40,0))</f>
        <v>#N/A</v>
      </c>
      <c r="P181" s="30" t="e">
        <f t="shared" si="268"/>
        <v>#N/A</v>
      </c>
      <c r="Q181" s="100" t="e">
        <f t="shared" si="233"/>
        <v>#N/A</v>
      </c>
      <c r="R181" s="86" t="b">
        <f t="shared" si="234"/>
        <v>0</v>
      </c>
      <c r="S181" s="86">
        <f t="shared" si="232"/>
        <v>0.5</v>
      </c>
      <c r="T181" s="86">
        <f t="shared" si="235"/>
        <v>0.5</v>
      </c>
      <c r="U181" s="30" t="e">
        <f t="shared" ca="1" si="269"/>
        <v>#DIV/0!</v>
      </c>
      <c r="V181" s="85" t="str">
        <f>IF(B181&lt;=Hypothèses!$V$7,Hypothèses!$W$7,IF(B181&lt;=Hypothèses!$V$8,Hypothèses!$W$8,IF(B181&lt;=Hypothèses!$V$9,Hypothèses!$W$9,IF(B181&lt;=Hypothèses!$V$10,Hypothèses!$W$10,IF(B181&lt;=Hypothèses!$V$11,Hypothèses!$W$11,IF(B181&lt;=Hypothèses!$V$12,Hypothèses!$W$12,IF(B181&lt;=Hypothèses!$V$13,Hypothèses!$W$13,IF(B181&lt;=Hypothèses!$V$14,Hypothèses!$W$14,IF(B181&lt;=Hypothèses!$V$15,Hypothèses!$W$15,IF(B181&lt;=Hypothèses!$V$16,Hypothèses!$W$16,IF(B181&lt;=Hypothèses!$V$17,Hypothèses!$W$17,IF(B181&lt;=Hypothèses!$V$18,Hypothèses!$W$18,""))))))))))))</f>
        <v/>
      </c>
      <c r="W181" s="87" t="e">
        <f t="shared" ca="1" si="316"/>
        <v>#DIV/0!</v>
      </c>
      <c r="X181" s="88" t="str">
        <f>IF(B181&lt;=Hypothèses!$V$7,Hypothèses!$X$7,IF(B181&lt;=Hypothèses!$V$8,Hypothèses!$X$8,IF(B181&lt;=Hypothèses!$V$9,Hypothèses!$X$9,IF(B181&lt;=Hypothèses!$V$10,Hypothèses!$X$10,IF(B181&lt;=Hypothèses!$V$11,Hypothèses!$X$11,IF(B181&lt;=Hypothèses!$V$12,Hypothèses!$X$12,IF(B181&lt;=Hypothèses!$V$13,Hypothèses!$X$13,IF(B181&lt;=Hypothèses!$V$14,Hypothèses!$X$14,IF(B181&lt;=Hypothèses!$V$15,Hypothèses!$X$15,IF(B181&lt;=Hypothèses!$V$16,Hypothèses!$X$16,IF(B181&lt;=Hypothèses!$U$17,Hypothèses!$W$17,IF(B181&lt;=Hypothèses!$U$18,Hypothèses!$W$18,""))))))))))))</f>
        <v/>
      </c>
      <c r="Y181" s="95" t="e">
        <f t="shared" ca="1" si="236"/>
        <v>#DIV/0!</v>
      </c>
      <c r="Z181" s="101" t="e">
        <f t="shared" si="237"/>
        <v>#N/A</v>
      </c>
      <c r="AA181" s="91" t="e">
        <f t="shared" si="238"/>
        <v>#N/A</v>
      </c>
      <c r="AB181" s="30" t="e">
        <f t="shared" si="300"/>
        <v>#N/A</v>
      </c>
      <c r="AC181" s="30" t="e">
        <f t="shared" si="301"/>
        <v>#N/A</v>
      </c>
      <c r="AD181" s="31" t="e">
        <f>IF(OR(Hypothèses!$B$4=17,Hypothèses!$B$4=18,Hypothèses!$B$4=19,Hypothèses!$B$4=20),
IF($D181="Pressio.",
IF(OR($E181=3,$E181=1,$E181=4),AC181,AB181),
IF($D181="Pénétro.",
IF(OR($E181=3,$E181=1,$E181=4),AC181,AB181))),IF($D181="Pressio.",
IF($E181=3,AC181,AB181),
IF($D181="Pénétro.",
IF($E181=4,AC181,AB181))))</f>
        <v>#N/A</v>
      </c>
      <c r="AE181" s="31" t="e">
        <f>(IF(OR(Hypothèses!$B$4=17,Hypothèses!$B$4=18,Hypothèses!$B$4=19,Hypothèses!$B$4=20),
IF($D181="Pressio.",
IF(OR($E181=3,$E181=1,$E181=4),(PI()*AE$12^2)/4*(AA181*$W181*1000)/($H181*$B$5),(PI()*AE$12^2)/4*(AA181*$W181*1000)/($G181*$B$5)),
IF($D181="Pénétro.",
IF(OR($E181=4,$E181=1,$E181=5),(PI()*AE$12^2)/4*(AA181*$W181*1000)/($H181*$B$5),(PI()*AE$12^2)/4*(AA181*$W181*1000)/($G181*$B$5)))),
IF($D181="Pressio.",
IF($E181=3,(PI()*AE$12^2)/4*(AA181*$W181*1000)/($H181*$B$5),(PI()*AE$12^2)/4*(AA181*$W181*1000)/($G181*$B$5)),
IF($D181="Pénétro.",
IF($E181=4,(PI()*AE$12^2)/4*(AA181*$W181*1000)/($H181*$B$5),(PI()*AE$12^2)/4*(AA181*$W181*1000)/($G181*$B$5))))))/10</f>
        <v>#N/A</v>
      </c>
      <c r="AF181" s="102" t="e">
        <f>(VLOOKUP($B$3,'Coeff EC7'!$T$39:$X$59,2,0)*AD181+VLOOKUP($B$3,'Coeff EC7'!$T$65:$X$85,2,0)*Model0.1C!AE181)/1.1</f>
        <v>#N/A</v>
      </c>
      <c r="AG181" s="102" t="e">
        <f>(VLOOKUP($B$3,'Coeff EC7'!$T$39:$X$59,3,0)*AD181+VLOOKUP($B$3,'Coeff EC7'!$T$65:$X$85,3,0)*Model0.1C!AE181)/0.9</f>
        <v>#N/A</v>
      </c>
      <c r="AH181" s="102" t="e">
        <f t="shared" si="239"/>
        <v>#N/A</v>
      </c>
      <c r="AI181" s="102" t="e">
        <f t="shared" si="240"/>
        <v>#N/A</v>
      </c>
      <c r="AJ181" s="414" t="e">
        <f>IF(AJ180=0,0,IF(AND(AF181&gt;charge_ELS_quasi,AG181&gt;Charge_ELS_freq,AH181&gt;charge_ELU,AI181&gt;charge_ELA,$B181&gt;NDC!$H$22-0.1+MIN(3*$AJ$12,1.5)),0,1))</f>
        <v>#N/A</v>
      </c>
      <c r="AK181" s="86" t="b">
        <f t="shared" si="241"/>
        <v>0</v>
      </c>
      <c r="AL181" s="86">
        <f t="shared" si="270"/>
        <v>0.5</v>
      </c>
      <c r="AM181" s="86">
        <f t="shared" si="242"/>
        <v>0.5</v>
      </c>
      <c r="AN181" s="30" t="e">
        <f t="shared" ca="1" si="271"/>
        <v>#DIV/0!</v>
      </c>
      <c r="AO181" s="85" t="e">
        <f ca="1">IF(U181&lt;=Hypothèses!$V$7,Hypothèses!$W$7,IF(U181&lt;=Hypothèses!$V$8,Hypothèses!$W$8,IF(U181&lt;=Hypothèses!$V$9,Hypothèses!$W$9,IF(U181&lt;=Hypothèses!$V$10,Hypothèses!$W$10,IF(U181&lt;=Hypothèses!$V$11,Hypothèses!$W$11,IF(U181&lt;=Hypothèses!$V$12,Hypothèses!$W$12,IF(U181&lt;=Hypothèses!$V$13,Hypothèses!$W$13,IF(U181&lt;=Hypothèses!$V$14,Hypothèses!$W$14,IF(U181&lt;=Hypothèses!$V$15,Hypothèses!$W$15,IF(U181&lt;=Hypothèses!$V$16,Hypothèses!$W$16,IF(U181&lt;=Hypothèses!$V$17,Hypothèses!$W$17,IF(U181&lt;=Hypothèses!$V$18,Hypothèses!$W$18,""))))))))))))</f>
        <v>#DIV/0!</v>
      </c>
      <c r="AP181" s="87" t="e">
        <f t="shared" ca="1" si="317"/>
        <v>#DIV/0!</v>
      </c>
      <c r="AQ181" s="88" t="e">
        <f ca="1">IF(U181&lt;=Hypothèses!$V$7,Hypothèses!$X$7,IF(U181&lt;=Hypothèses!$V$8,Hypothèses!$X$8,IF(U181&lt;=Hypothèses!$V$9,Hypothèses!$X$9,IF(U181&lt;=Hypothèses!$V$10,Hypothèses!$X$10,IF(U181&lt;=Hypothèses!$V$11,Hypothèses!$X$11,IF(U181&lt;=Hypothèses!$V$12,Hypothèses!$X$12,IF(U181&lt;=Hypothèses!$V$13,Hypothèses!$X$13,IF(U181&lt;=Hypothèses!$V$14,Hypothèses!$X$14,IF(U181&lt;=Hypothèses!$V$15,Hypothèses!$X$15,IF(U181&lt;=Hypothèses!$V$16,Hypothèses!$X$16,IF(U181&lt;=Hypothèses!$U$17,Hypothèses!$W$17,IF(U181&lt;=Hypothèses!$U$18,Hypothèses!$W$18,""))))))))))))</f>
        <v>#DIV/0!</v>
      </c>
      <c r="AR181" s="95" t="e">
        <f t="shared" ca="1" si="272"/>
        <v>#DIV/0!</v>
      </c>
      <c r="AS181" s="101" t="e">
        <f t="shared" si="324"/>
        <v>#N/A</v>
      </c>
      <c r="AT181" s="91" t="e">
        <f t="shared" si="243"/>
        <v>#N/A</v>
      </c>
      <c r="AU181" s="30" t="e">
        <f t="shared" si="302"/>
        <v>#N/A</v>
      </c>
      <c r="AV181" s="30" t="e">
        <f t="shared" si="303"/>
        <v>#N/A</v>
      </c>
      <c r="AW181" s="31" t="e">
        <f>IF(OR(Hypothèses!$B$4=17,Hypothèses!$B$4=18,Hypothèses!$B$4=19,Hypothèses!$B$4=20),
IF($D181="Pressio.",
IF(OR($E181=3,$E181=1,$E181=4),AV181,AU181),
IF($D181="Pénétro.",
IF(OR($E181=3,$E181=1,$E181=4),AV181,AU181))),IF($D181="Pressio.",
IF($E181=3,AV181,AU181),
IF($D181="Pénétro.",
IF($E181=4,AV181,AU181))))</f>
        <v>#N/A</v>
      </c>
      <c r="AX181" s="31" t="e">
        <f>(IF(OR(Hypothèses!$B$4=17,Hypothèses!$B$4=18,Hypothèses!$B$4=19,Hypothèses!$B$4=20),
IF($D181="Pressio.",
IF(OR($E181=3,$E181=1,$E181=4),(PI()*AX$12^2)/4*(AT181*$W181*1000)/($H181*$B$5),(PI()*AX$12^2)/4*(AT181*$W181*1000)/($G181*$B$5)),
IF($D181="Pénétro.",
IF(OR($E181=4,$E181=1,$E181=5),(PI()*AX$12^2)/4*(AT181*$W181*1000)/($H181*$B$5),(PI()*AX$12^2)/4*(AT181*$W181*1000)/($G181*$B$5)))),
IF($D181="Pressio.",
IF($E181=3,(PI()*AX$12^2)/4*(AT181*$W181*1000)/($H181*$B$5),(PI()*AX$12^2)/4*(AT181*$W181*1000)/($G181*$B$5)),
IF($D181="Pénétro.",
IF($E181=4,(PI()*AX$12^2)/4*(AT181*$W181*1000)/($H181*$B$5),(PI()*AX$12^2)/4*(AT181*$W181*1000)/($G181*$B$5))))))/10</f>
        <v>#N/A</v>
      </c>
      <c r="AY181" s="102" t="e">
        <f>(VLOOKUP($B$3,'Coeff EC7'!$T$39:$X$59,2,0)*AW181+VLOOKUP($B$3,'Coeff EC7'!$T$65:$X$85,2,0)*Model0.1C!AX181)/1.1</f>
        <v>#N/A</v>
      </c>
      <c r="AZ181" s="102" t="e">
        <f>(VLOOKUP($B$3,'Coeff EC7'!$T$39:$X$59,3,0)*AW181+VLOOKUP($B$3,'Coeff EC7'!$T$65:$X$85,3,0)*Model0.1C!AX181)/0.9</f>
        <v>#N/A</v>
      </c>
      <c r="BA181" s="102" t="e">
        <f t="shared" si="273"/>
        <v>#N/A</v>
      </c>
      <c r="BB181" s="102" t="e">
        <f t="shared" si="274"/>
        <v>#N/A</v>
      </c>
      <c r="BC181" s="414" t="e">
        <f>IF(BC180=0,0,IF(AND(AY181&gt;charge_ELS_quasi,AZ181&gt;Charge_ELS_freq,BA181&gt;charge_ELU,BB181&gt;charge_ELA,$B181&gt;NDC!$H$22-0.1+MIN(3*$BC$12,1.5)),0,1))</f>
        <v>#N/A</v>
      </c>
      <c r="BD181" s="86" t="b">
        <f t="shared" si="244"/>
        <v>0</v>
      </c>
      <c r="BE181" s="86">
        <f t="shared" si="275"/>
        <v>0.5</v>
      </c>
      <c r="BF181" s="86">
        <f t="shared" si="245"/>
        <v>0.5</v>
      </c>
      <c r="BG181" s="30" t="e">
        <f t="shared" ca="1" si="276"/>
        <v>#DIV/0!</v>
      </c>
      <c r="BH181" s="85" t="e">
        <f ca="1">IF(AN181&lt;=Hypothèses!$V$7,Hypothèses!$W$7,IF(AN181&lt;=Hypothèses!$V$8,Hypothèses!$W$8,IF(AN181&lt;=Hypothèses!$V$9,Hypothèses!$W$9,IF(AN181&lt;=Hypothèses!$V$10,Hypothèses!$W$10,IF(AN181&lt;=Hypothèses!$V$11,Hypothèses!$W$11,IF(AN181&lt;=Hypothèses!$V$12,Hypothèses!$W$12,IF(AN181&lt;=Hypothèses!$V$13,Hypothèses!$W$13,IF(AN181&lt;=Hypothèses!$V$14,Hypothèses!$W$14,IF(AN181&lt;=Hypothèses!$V$15,Hypothèses!$W$15,IF(AN181&lt;=Hypothèses!$V$16,Hypothèses!$W$16,IF(AN181&lt;=Hypothèses!$V$17,Hypothèses!$W$17,IF(AN181&lt;=Hypothèses!$V$18,Hypothèses!$W$18,""))))))))))))</f>
        <v>#DIV/0!</v>
      </c>
      <c r="BI181" s="87" t="e">
        <f t="shared" ca="1" si="318"/>
        <v>#DIV/0!</v>
      </c>
      <c r="BJ181" s="88" t="e">
        <f ca="1">IF(AN181&lt;=Hypothèses!$V$7,Hypothèses!$X$7,IF(AN181&lt;=Hypothèses!$V$8,Hypothèses!$X$8,IF(AN181&lt;=Hypothèses!$V$9,Hypothèses!$X$9,IF(AN181&lt;=Hypothèses!$V$10,Hypothèses!$X$10,IF(AN181&lt;=Hypothèses!$V$11,Hypothèses!$X$11,IF(AN181&lt;=Hypothèses!$V$12,Hypothèses!$X$12,IF(AN181&lt;=Hypothèses!$V$13,Hypothèses!$X$13,IF(AN181&lt;=Hypothèses!$V$14,Hypothèses!$X$14,IF(AN181&lt;=Hypothèses!$V$15,Hypothèses!$X$15,IF(AN181&lt;=Hypothèses!$V$16,Hypothèses!$X$16,IF(AN181&lt;=Hypothèses!$U$17,Hypothèses!$W$17,IF(AN181&lt;=Hypothèses!$U$18,Hypothèses!$W$18,""))))))))))))</f>
        <v>#DIV/0!</v>
      </c>
      <c r="BK181" s="95" t="e">
        <f t="shared" ca="1" si="277"/>
        <v>#DIV/0!</v>
      </c>
      <c r="BL181" s="101" t="e">
        <f t="shared" si="325"/>
        <v>#N/A</v>
      </c>
      <c r="BM181" s="91" t="e">
        <f t="shared" si="246"/>
        <v>#N/A</v>
      </c>
      <c r="BN181" s="30" t="e">
        <f t="shared" si="304"/>
        <v>#N/A</v>
      </c>
      <c r="BO181" s="30" t="e">
        <f t="shared" si="305"/>
        <v>#N/A</v>
      </c>
      <c r="BP181" s="31" t="e">
        <f>IF(OR(Hypothèses!$B$4=17,Hypothèses!$B$4=18,Hypothèses!$B$4=19,Hypothèses!$B$4=20),
IF($D181="Pressio.",
IF(OR($E181=3,$E181=1,$E181=4),BO181,BN181),
IF($D181="Pénétro.",
IF(OR($E181=3,$E181=1,$E181=4),BO181,BN181))),IF($D181="Pressio.",
IF($E181=3,BO181,BN181),
IF($D181="Pénétro.",
IF($E181=4,BO181,BN181))))</f>
        <v>#N/A</v>
      </c>
      <c r="BQ181" s="31" t="e">
        <f>(IF(OR(Hypothèses!$B$4=17,Hypothèses!$B$4=18,Hypothèses!$B$4=19,Hypothèses!$B$4=20),
IF($D181="Pressio.",
IF(OR($E181=3,$E181=1,$E181=4),(PI()*BQ$12^2)/4*(BM181*$W181*1000)/($H181*$B$5),(PI()*BQ$12^2)/4*(BM181*$W181*1000)/($G181*$B$5)),
IF($D181="Pénétro.",
IF(OR($E181=4,$E181=1,$E181=5),(PI()*BQ$12^2)/4*(BM181*$W181*1000)/($H181*$B$5),(PI()*BQ$12^2)/4*(BM181*$W181*1000)/($G181*$B$5)))),
IF($D181="Pressio.",
IF($E181=3,(PI()*BQ$12^2)/4*(BM181*$W181*1000)/($H181*$B$5),(PI()*BQ$12^2)/4*(BM181*$W181*1000)/($G181*$B$5)),
IF($D181="Pénétro.",
IF($E181=4,(PI()*BQ$12^2)/4*(BM181*$W181*1000)/($H181*$B$5),(PI()*BQ$12^2)/4*(BM181*$W181*1000)/($G181*$B$5))))))/10</f>
        <v>#N/A</v>
      </c>
      <c r="BR181" s="102" t="e">
        <f>(VLOOKUP($B$3,'Coeff EC7'!$T$39:$X$59,2,0)*BP181+VLOOKUP($B$3,'Coeff EC7'!$T$65:$X$85,2,0)*Model0.1C!BQ181)/1.1</f>
        <v>#N/A</v>
      </c>
      <c r="BS181" s="102" t="e">
        <f>(VLOOKUP($B$3,'Coeff EC7'!$T$39:$X$59,3,0)*BP181+VLOOKUP($B$3,'Coeff EC7'!$T$65:$X$85,3,0)*Model0.1C!BQ181)/0.9</f>
        <v>#N/A</v>
      </c>
      <c r="BT181" s="102" t="e">
        <f t="shared" si="278"/>
        <v>#N/A</v>
      </c>
      <c r="BU181" s="102" t="e">
        <f t="shared" si="279"/>
        <v>#N/A</v>
      </c>
      <c r="BV181" s="414" t="e">
        <f>IF(BV180=0,0,IF(AND(BR181&gt;charge_ELS_quasi,BS181&gt;Charge_ELS_freq,BT181&gt;charge_ELU,BU181&gt;charge_ELA,$B181&gt;NDC!$H$22-0.1+MIN(3*$BV$12,1.5)),0,1))</f>
        <v>#N/A</v>
      </c>
      <c r="BW181" s="86" t="b">
        <f t="shared" si="247"/>
        <v>0</v>
      </c>
      <c r="BX181" s="86">
        <f t="shared" si="248"/>
        <v>0.5</v>
      </c>
      <c r="BY181" s="86">
        <f t="shared" si="249"/>
        <v>0.5</v>
      </c>
      <c r="BZ181" s="30" t="e">
        <f t="shared" ca="1" si="280"/>
        <v>#DIV/0!</v>
      </c>
      <c r="CA181" s="85" t="e">
        <f ca="1">IF(BG181&lt;=Hypothèses!$V$7,Hypothèses!$W$7,IF(BG181&lt;=Hypothèses!$V$8,Hypothèses!$W$8,IF(BG181&lt;=Hypothèses!$V$9,Hypothèses!$W$9,IF(BG181&lt;=Hypothèses!$V$10,Hypothèses!$W$10,IF(BG181&lt;=Hypothèses!$V$11,Hypothèses!$W$11,IF(BG181&lt;=Hypothèses!$V$12,Hypothèses!$W$12,IF(BG181&lt;=Hypothèses!$V$13,Hypothèses!$W$13,IF(BG181&lt;=Hypothèses!$V$14,Hypothèses!$W$14,IF(BG181&lt;=Hypothèses!$V$15,Hypothèses!$W$15,IF(BG181&lt;=Hypothèses!$V$16,Hypothèses!$W$16,IF(BG181&lt;=Hypothèses!$V$17,Hypothèses!$W$17,IF(BG181&lt;=Hypothèses!$V$18,Hypothèses!$W$18,""))))))))))))</f>
        <v>#DIV/0!</v>
      </c>
      <c r="CB181" s="87" t="e">
        <f t="shared" ca="1" si="319"/>
        <v>#DIV/0!</v>
      </c>
      <c r="CC181" s="88" t="e">
        <f ca="1">IF(BG181&lt;=Hypothèses!$V$7,Hypothèses!$X$7,IF(BG181&lt;=Hypothèses!$V$8,Hypothèses!$X$8,IF(BG181&lt;=Hypothèses!$V$9,Hypothèses!$X$9,IF(BG181&lt;=Hypothèses!$V$10,Hypothèses!$X$10,IF(BG181&lt;=Hypothèses!$V$11,Hypothèses!$X$11,IF(BG181&lt;=Hypothèses!$V$12,Hypothèses!$X$12,IF(BG181&lt;=Hypothèses!$V$13,Hypothèses!$X$13,IF(BG181&lt;=Hypothèses!$V$14,Hypothèses!$X$14,IF(BG181&lt;=Hypothèses!$V$15,Hypothèses!$X$15,IF(BG181&lt;=Hypothèses!$V$16,Hypothèses!$X$16,IF(BG181&lt;=Hypothèses!$U$17,Hypothèses!$W$17,IF(BG181&lt;=Hypothèses!$U$18,Hypothèses!$W$18,""))))))))))))</f>
        <v>#DIV/0!</v>
      </c>
      <c r="CD181" s="95" t="e">
        <f t="shared" ca="1" si="281"/>
        <v>#DIV/0!</v>
      </c>
      <c r="CE181" s="101" t="e">
        <f t="shared" si="326"/>
        <v>#N/A</v>
      </c>
      <c r="CF181" s="91" t="e">
        <f t="shared" si="250"/>
        <v>#N/A</v>
      </c>
      <c r="CG181" s="30" t="e">
        <f t="shared" si="306"/>
        <v>#N/A</v>
      </c>
      <c r="CH181" s="30" t="e">
        <f t="shared" si="307"/>
        <v>#N/A</v>
      </c>
      <c r="CI181" s="31" t="e">
        <f>IF(OR(Hypothèses!$B$4=17,Hypothèses!$B$4=18,Hypothèses!$B$4=19,Hypothèses!$B$4=20),
IF($D181="Pressio.",
IF(OR($E181=3,$E181=1,$E181=4),CH181,CG181),
IF($D181="Pénétro.",
IF(OR($E181=3,$E181=1,$E181=4),CH181,CG181))),IF($D181="Pressio.",
IF($E181=3,CH181,CG181),
IF($D181="Pénétro.",
IF($E181=4,CH181,CG181))))</f>
        <v>#N/A</v>
      </c>
      <c r="CJ181" s="31" t="e">
        <f>(IF(OR(Hypothèses!$B$4=17,Hypothèses!$B$4=18,Hypothèses!$B$4=19,Hypothèses!$B$4=20),
IF($D181="Pressio.",
IF(OR($E181=3,$E181=1,$E181=4),(PI()*CJ$12^2)/4*(CF181*$W181*1000)/($H181*$B$5),(PI()*CJ$12^2)/4*(CF181*$W181*1000)/($G181*$B$5)),
IF($D181="Pénétro.",
IF(OR($E181=4,$E181=1,$E181=5),(PI()*CJ$12^2)/4*(CF181*$W181*1000)/($H181*$B$5),(PI()*CJ$12^2)/4*(CF181*$W181*1000)/($G181*$B$5)))),
IF($D181="Pressio.",
IF($E181=3,(PI()*CJ$12^2)/4*(CF181*$W181*1000)/($H181*$B$5),(PI()*CJ$12^2)/4*(CF181*$W181*1000)/($G181*$B$5)),
IF($D181="Pénétro.",
IF($E181=4,(PI()*CJ$12^2)/4*(CF181*$W181*1000)/($H181*$B$5),(PI()*CJ$12^2)/4*(CF181*$W181*1000)/($G181*$B$5))))))/10</f>
        <v>#N/A</v>
      </c>
      <c r="CK181" s="102" t="e">
        <f>(VLOOKUP($B$3,'Coeff EC7'!$T$39:$X$59,2,0)*CI181+VLOOKUP($B$3,'Coeff EC7'!$T$65:$X$85,2,0)*Model0.1C!CJ181)/1.1</f>
        <v>#N/A</v>
      </c>
      <c r="CL181" s="102" t="e">
        <f>(VLOOKUP($B$3,'Coeff EC7'!$T$39:$X$59,3,0)*CI181+VLOOKUP($B$3,'Coeff EC7'!$T$65:$X$85,3,0)*Model0.1C!CJ181)/0.9</f>
        <v>#N/A</v>
      </c>
      <c r="CM181" s="102" t="e">
        <f t="shared" si="282"/>
        <v>#N/A</v>
      </c>
      <c r="CN181" s="102" t="e">
        <f t="shared" si="283"/>
        <v>#N/A</v>
      </c>
      <c r="CO181" s="414" t="e">
        <f>IF(CO180=0,0,IF(AND(CK181&gt;charge_ELS_quasi,CL181&gt;Charge_ELS_freq,CM181&gt;charge_ELU,CN181&gt;charge_ELA,$B181&gt;NDC!$H$22-0.1+MIN(3*$CO$12,1.5)),0,1))</f>
        <v>#N/A</v>
      </c>
      <c r="CP181" s="86" t="b">
        <f t="shared" si="251"/>
        <v>0</v>
      </c>
      <c r="CQ181" s="86">
        <f t="shared" si="252"/>
        <v>0.5</v>
      </c>
      <c r="CR181" s="86">
        <f t="shared" si="253"/>
        <v>0.5</v>
      </c>
      <c r="CS181" s="30" t="e">
        <f t="shared" ca="1" si="284"/>
        <v>#DIV/0!</v>
      </c>
      <c r="CT181" s="85" t="e">
        <f ca="1">IF(BZ181&lt;=Hypothèses!$V$7,Hypothèses!$W$7,IF(BZ181&lt;=Hypothèses!$V$8,Hypothèses!$W$8,IF(BZ181&lt;=Hypothèses!$V$9,Hypothèses!$W$9,IF(BZ181&lt;=Hypothèses!$V$10,Hypothèses!$W$10,IF(BZ181&lt;=Hypothèses!$V$11,Hypothèses!$W$11,IF(BZ181&lt;=Hypothèses!$V$12,Hypothèses!$W$12,IF(BZ181&lt;=Hypothèses!$V$13,Hypothèses!$W$13,IF(BZ181&lt;=Hypothèses!$V$14,Hypothèses!$W$14,IF(BZ181&lt;=Hypothèses!$V$15,Hypothèses!$W$15,IF(BZ181&lt;=Hypothèses!$V$16,Hypothèses!$W$16,IF(BZ181&lt;=Hypothèses!$V$17,Hypothèses!$W$17,IF(BZ181&lt;=Hypothèses!$V$18,Hypothèses!$W$18,""))))))))))))</f>
        <v>#DIV/0!</v>
      </c>
      <c r="CU181" s="87" t="e">
        <f t="shared" ca="1" si="320"/>
        <v>#DIV/0!</v>
      </c>
      <c r="CV181" s="88" t="e">
        <f ca="1">IF(BZ181&lt;=Hypothèses!$V$7,Hypothèses!$X$7,IF(BZ181&lt;=Hypothèses!$V$8,Hypothèses!$X$8,IF(BZ181&lt;=Hypothèses!$V$9,Hypothèses!$X$9,IF(BZ181&lt;=Hypothèses!$V$10,Hypothèses!$X$10,IF(BZ181&lt;=Hypothèses!$V$11,Hypothèses!$X$11,IF(BZ181&lt;=Hypothèses!$V$12,Hypothèses!$X$12,IF(BZ181&lt;=Hypothèses!$V$13,Hypothèses!$X$13,IF(BZ181&lt;=Hypothèses!$V$14,Hypothèses!$X$14,IF(BZ181&lt;=Hypothèses!$V$15,Hypothèses!$X$15,IF(BZ181&lt;=Hypothèses!$V$16,Hypothèses!$X$16,IF(BZ181&lt;=Hypothèses!$U$17,Hypothèses!$W$17,IF(BZ181&lt;=Hypothèses!$U$18,Hypothèses!$W$18,""))))))))))))</f>
        <v>#DIV/0!</v>
      </c>
      <c r="CW181" s="95" t="e">
        <f t="shared" ca="1" si="285"/>
        <v>#DIV/0!</v>
      </c>
      <c r="CX181" s="101" t="e">
        <f t="shared" si="327"/>
        <v>#N/A</v>
      </c>
      <c r="CY181" s="91" t="e">
        <f t="shared" si="254"/>
        <v>#N/A</v>
      </c>
      <c r="CZ181" s="30" t="e">
        <f t="shared" si="308"/>
        <v>#N/A</v>
      </c>
      <c r="DA181" s="30" t="e">
        <f t="shared" si="309"/>
        <v>#N/A</v>
      </c>
      <c r="DB181" s="31" t="e">
        <f>IF(OR(Hypothèses!$B$4=17,Hypothèses!$B$4=18,Hypothèses!$B$4=19,Hypothèses!$B$4=20),
IF($D181="Pressio.",
IF(OR($E181=3,$E181=1,$E181=4),DA181,CZ181),
IF($D181="Pénétro.",
IF(OR($E181=3,$E181=1,$E181=4),DA181,CZ181))),IF($D181="Pressio.",
IF($E181=3,DA181,CZ181),
IF($D181="Pénétro.",
IF($E181=4,DA181,CZ181))))</f>
        <v>#N/A</v>
      </c>
      <c r="DC181" s="31" t="e">
        <f>(IF(OR(Hypothèses!$B$4=17,Hypothèses!$B$4=18,Hypothèses!$B$4=19,Hypothèses!$B$4=20),
IF($D181="Pressio.",
IF(OR($E181=3,$E181=1,$E181=4),(PI()*DC$12^2)/4*(CY181*$W181*1000)/($H181*$B$5),(PI()*DC$12^2)/4*(CY181*$W181*1000)/($G181*$B$5)),
IF($D181="Pénétro.",
IF(OR($E181=4,$E181=1,$E181=5),(PI()*DC$12^2)/4*(CY181*$W181*1000)/($H181*$B$5),(PI()*DC$12^2)/4*(CY181*$W181*1000)/($G181*$B$5)))),
IF($D181="Pressio.",
IF($E181=3,(PI()*DC$12^2)/4*(CY181*$W181*1000)/($H181*$B$5),(PI()*DC$12^2)/4*(CY181*$W181*1000)/($G181*$B$5)),
IF($D181="Pénétro.",
IF($E181=4,(PI()*DC$12^2)/4*(CY181*$W181*1000)/($H181*$B$5),(PI()*DC$12^2)/4*(CY181*$W181*1000)/($G181*$B$5))))))/10</f>
        <v>#N/A</v>
      </c>
      <c r="DD181" s="102" t="e">
        <f>(VLOOKUP($B$3,'Coeff EC7'!$T$39:$X$59,2,0)*DB181+VLOOKUP($B$3,'Coeff EC7'!$T$65:$X$85,2,0)*Model0.1C!DC181)/1.1</f>
        <v>#N/A</v>
      </c>
      <c r="DE181" s="102" t="e">
        <f>(VLOOKUP($B$3,'Coeff EC7'!$T$39:$X$59,3,0)*DB181+VLOOKUP($B$3,'Coeff EC7'!$T$65:$X$85,3,0)*Model0.1C!DC181)/0.9</f>
        <v>#N/A</v>
      </c>
      <c r="DF181" s="102" t="e">
        <f t="shared" si="286"/>
        <v>#N/A</v>
      </c>
      <c r="DG181" s="102" t="e">
        <f t="shared" si="287"/>
        <v>#N/A</v>
      </c>
      <c r="DH181" s="414" t="e">
        <f>IF(DH180=0,0,IF(AND(DD181&gt;charge_ELS_quasi,DE181&gt;Charge_ELS_freq,DF181&gt;charge_ELU,DG181&gt;charge_ELA,$B181&gt;NDC!$H$22-0.1+MIN(3*$DH$12,1.5)),0,1))</f>
        <v>#N/A</v>
      </c>
      <c r="DI181" s="86" t="b">
        <f t="shared" si="255"/>
        <v>0</v>
      </c>
      <c r="DJ181" s="86">
        <f t="shared" si="256"/>
        <v>0.5</v>
      </c>
      <c r="DK181" s="86">
        <f t="shared" si="257"/>
        <v>0.5</v>
      </c>
      <c r="DL181" s="30" t="e">
        <f t="shared" ca="1" si="288"/>
        <v>#DIV/0!</v>
      </c>
      <c r="DM181" s="85" t="e">
        <f ca="1">IF(CS181&lt;=Hypothèses!$V$7,Hypothèses!$W$7,IF(CS181&lt;=Hypothèses!$V$8,Hypothèses!$W$8,IF(CS181&lt;=Hypothèses!$V$9,Hypothèses!$W$9,IF(CS181&lt;=Hypothèses!$V$10,Hypothèses!$W$10,IF(CS181&lt;=Hypothèses!$V$11,Hypothèses!$W$11,IF(CS181&lt;=Hypothèses!$V$12,Hypothèses!$W$12,IF(CS181&lt;=Hypothèses!$V$13,Hypothèses!$W$13,IF(CS181&lt;=Hypothèses!$V$14,Hypothèses!$W$14,IF(CS181&lt;=Hypothèses!$V$15,Hypothèses!$W$15,IF(CS181&lt;=Hypothèses!$V$16,Hypothèses!$W$16,IF(CS181&lt;=Hypothèses!$V$17,Hypothèses!$W$17,IF(CS181&lt;=Hypothèses!$V$18,Hypothèses!$W$18,""))))))))))))</f>
        <v>#DIV/0!</v>
      </c>
      <c r="DN181" s="87" t="e">
        <f t="shared" ca="1" si="321"/>
        <v>#DIV/0!</v>
      </c>
      <c r="DO181" s="88" t="e">
        <f ca="1">IF(CS181&lt;=Hypothèses!$V$7,Hypothèses!$X$7,IF(CS181&lt;=Hypothèses!$V$8,Hypothèses!$X$8,IF(CS181&lt;=Hypothèses!$V$9,Hypothèses!$X$9,IF(CS181&lt;=Hypothèses!$V$10,Hypothèses!$X$10,IF(CS181&lt;=Hypothèses!$V$11,Hypothèses!$X$11,IF(CS181&lt;=Hypothèses!$V$12,Hypothèses!$X$12,IF(CS181&lt;=Hypothèses!$V$13,Hypothèses!$X$13,IF(CS181&lt;=Hypothèses!$V$14,Hypothèses!$X$14,IF(CS181&lt;=Hypothèses!$V$15,Hypothèses!$X$15,IF(CS181&lt;=Hypothèses!$V$16,Hypothèses!$X$16,IF(CS181&lt;=Hypothèses!$U$17,Hypothèses!$W$17,IF(CS181&lt;=Hypothèses!$U$18,Hypothèses!$W$18,""))))))))))))</f>
        <v>#DIV/0!</v>
      </c>
      <c r="DP181" s="95" t="e">
        <f t="shared" ca="1" si="289"/>
        <v>#DIV/0!</v>
      </c>
      <c r="DQ181" s="101" t="e">
        <f t="shared" si="328"/>
        <v>#N/A</v>
      </c>
      <c r="DR181" s="91" t="e">
        <f t="shared" si="258"/>
        <v>#N/A</v>
      </c>
      <c r="DS181" s="30" t="e">
        <f t="shared" si="310"/>
        <v>#N/A</v>
      </c>
      <c r="DT181" s="30" t="e">
        <f t="shared" si="311"/>
        <v>#N/A</v>
      </c>
      <c r="DU181" s="31" t="e">
        <f>IF(OR(Hypothèses!$B$4=17,Hypothèses!$B$4=18,Hypothèses!$B$4=19,Hypothèses!$B$4=20),
IF($D181="Pressio.",
IF(OR($E181=3,$E181=1,$E181=4),DT181,DS181),
IF($D181="Pénétro.",
IF(OR($E181=3,$E181=1,$E181=4),DT181,DS181))),IF($D181="Pressio.",
IF($E181=3,DT181,DS181),
IF($D181="Pénétro.",
IF($E181=4,DT181,DS181))))</f>
        <v>#N/A</v>
      </c>
      <c r="DV181" s="31" t="e">
        <f>(IF(OR(Hypothèses!$B$4=17,Hypothèses!$B$4=18,Hypothèses!$B$4=19,Hypothèses!$B$4=20),
IF($D181="Pressio.",
IF(OR($E181=3,$E181=1,$E181=4),(PI()*DV$12^2)/4*(DR181*$W181*1000)/($H181*$B$5),(PI()*DV$12^2)/4*(DR181*$W181*1000)/($G181*$B$5)),
IF($D181="Pénétro.",
IF(OR($E181=4,$E181=1,$E181=5),(PI()*DV$12^2)/4*(DR181*$W181*1000)/($H181*$B$5),(PI()*DV$12^2)/4*(DR181*$W181*1000)/($G181*$B$5)))),
IF($D181="Pressio.",
IF($E181=3,(PI()*DV$12^2)/4*(DR181*$W181*1000)/($H181*$B$5),(PI()*DV$12^2)/4*(DR181*$W181*1000)/($G181*$B$5)),
IF($D181="Pénétro.",
IF($E181=4,(PI()*DV$12^2)/4*(DR181*$W181*1000)/($H181*$B$5),(PI()*DV$12^2)/4*(DR181*$W181*1000)/($G181*$B$5))))))/10</f>
        <v>#N/A</v>
      </c>
      <c r="DW181" s="102" t="e">
        <f>(VLOOKUP($B$3,'Coeff EC7'!$T$39:$X$59,2,0)*DU181+VLOOKUP($B$3,'Coeff EC7'!$T$65:$X$85,2,0)*Model0.1C!DV181)/1.1</f>
        <v>#N/A</v>
      </c>
      <c r="DX181" s="102" t="e">
        <f>(VLOOKUP($B$3,'Coeff EC7'!$T$39:$X$59,3,0)*DU181+VLOOKUP($B$3,'Coeff EC7'!$T$65:$X$85,3,0)*Model0.1C!DV181)/0.9</f>
        <v>#N/A</v>
      </c>
      <c r="DY181" s="102" t="e">
        <f t="shared" si="290"/>
        <v>#N/A</v>
      </c>
      <c r="DZ181" s="102" t="e">
        <f t="shared" si="291"/>
        <v>#N/A</v>
      </c>
      <c r="EA181" s="414" t="e">
        <f>IF(EA180=0,0,IF(AND(DW181&gt;charge_ELS_quasi,DX181&gt;Charge_ELS_freq,DY181&gt;charge_ELU,DZ181&gt;charge_ELA,$B181&gt;NDC!$H$22-0.1+MIN(3*$EA$12,1.5)),0,1))</f>
        <v>#N/A</v>
      </c>
      <c r="EB181" s="86" t="b">
        <f t="shared" si="259"/>
        <v>0</v>
      </c>
      <c r="EC181" s="418">
        <f t="shared" si="260"/>
        <v>0.51</v>
      </c>
      <c r="ED181" s="86">
        <f t="shared" si="261"/>
        <v>0.51</v>
      </c>
      <c r="EE181" s="30" t="e">
        <f t="shared" ca="1" si="292"/>
        <v>#DIV/0!</v>
      </c>
      <c r="EF181" s="85" t="e">
        <f ca="1">IF(DL181&lt;=Hypothèses!$V$7,Hypothèses!$W$7,IF(DL181&lt;=Hypothèses!$V$8,Hypothèses!$W$8,IF(DL181&lt;=Hypothèses!$V$9,Hypothèses!$W$9,IF(DL181&lt;=Hypothèses!$V$10,Hypothèses!$W$10,IF(DL181&lt;=Hypothèses!$V$11,Hypothèses!$W$11,IF(DL181&lt;=Hypothèses!$V$12,Hypothèses!$W$12,IF(DL181&lt;=Hypothèses!$V$13,Hypothèses!$W$13,IF(DL181&lt;=Hypothèses!$V$14,Hypothèses!$W$14,IF(DL181&lt;=Hypothèses!$V$15,Hypothèses!$W$15,IF(DL181&lt;=Hypothèses!$V$16,Hypothèses!$W$16,IF(DL181&lt;=Hypothèses!$V$17,Hypothèses!$W$17,IF(DL181&lt;=Hypothèses!$V$18,Hypothèses!$W$18,""))))))))))))</f>
        <v>#DIV/0!</v>
      </c>
      <c r="EG181" s="87" t="e">
        <f t="shared" ca="1" si="322"/>
        <v>#DIV/0!</v>
      </c>
      <c r="EH181" s="88" t="e">
        <f ca="1">IF(DL181&lt;=Hypothèses!$V$7,Hypothèses!$X$7,IF(DL181&lt;=Hypothèses!$V$8,Hypothèses!$X$8,IF(DL181&lt;=Hypothèses!$V$9,Hypothèses!$X$9,IF(DL181&lt;=Hypothèses!$V$10,Hypothèses!$X$10,IF(DL181&lt;=Hypothèses!$V$11,Hypothèses!$X$11,IF(DL181&lt;=Hypothèses!$V$12,Hypothèses!$X$12,IF(DL181&lt;=Hypothèses!$V$13,Hypothèses!$X$13,IF(DL181&lt;=Hypothèses!$V$14,Hypothèses!$X$14,IF(DL181&lt;=Hypothèses!$V$15,Hypothèses!$X$15,IF(DL181&lt;=Hypothèses!$V$16,Hypothèses!$X$16,IF(DL181&lt;=Hypothèses!$U$17,Hypothèses!$W$17,IF(DL181&lt;=Hypothèses!$U$18,Hypothèses!$W$18,""))))))))))))</f>
        <v>#DIV/0!</v>
      </c>
      <c r="EI181" s="95" t="e">
        <f t="shared" ca="1" si="293"/>
        <v>#DIV/0!</v>
      </c>
      <c r="EJ181" s="101" t="e">
        <f t="shared" si="329"/>
        <v>#N/A</v>
      </c>
      <c r="EK181" s="91" t="e">
        <f t="shared" si="262"/>
        <v>#N/A</v>
      </c>
      <c r="EL181" s="30" t="e">
        <f t="shared" si="312"/>
        <v>#N/A</v>
      </c>
      <c r="EM181" s="30" t="e">
        <f t="shared" si="313"/>
        <v>#N/A</v>
      </c>
      <c r="EN181" s="31" t="e">
        <f>IF(OR(Hypothèses!$B$4=17,Hypothèses!$B$4=18,Hypothèses!$B$4=19,Hypothèses!$B$4=20),
IF($D181="Pressio.",
IF(OR($E181=3,$E181=1,$E181=4),EM181,EL181),
IF($D181="Pénétro.",
IF(OR($E181=3,$E181=1,$E181=4),EM181,EL181))),IF($D181="Pressio.",
IF($E181=3,EM181,EL181),
IF($D181="Pénétro.",
IF($E181=4,EM181,EL181))))</f>
        <v>#N/A</v>
      </c>
      <c r="EO181" s="31" t="e">
        <f>(IF(OR(Hypothèses!$B$4=17,Hypothèses!$B$4=18,Hypothèses!$B$4=19,Hypothèses!$B$4=20),
IF($D181="Pressio.",
IF(OR($E181=3,$E181=1,$E181=4),(PI()*EO$12^2)/4*(EK181*$W181*1000)/($H181*$B$5),(PI()*EO$12^2)/4*(EK181*$W181*1000)/($G181*$B$5)),
IF($D181="Pénétro.",
IF(OR($E181=4,$E181=1,$E181=5),(PI()*EO$12^2)/4*(EK181*$W181*1000)/($H181*$B$5),(PI()*EO$12^2)/4*(EK181*$W181*1000)/($G181*$B$5)))),
IF($D181="Pressio.",
IF($E181=3,(PI()*EO$12^2)/4*(EK181*$W181*1000)/($H181*$B$5),(PI()*EO$12^2)/4*(EK181*$W181*1000)/($G181*$B$5)),
IF($D181="Pénétro.",
IF($E181=4,(PI()*EO$12^2)/4*(EK181*$W181*1000)/($H181*$B$5),(PI()*EO$12^2)/4*(EK181*$W181*1000)/($G181*$B$5))))))/10</f>
        <v>#N/A</v>
      </c>
      <c r="EP181" s="102" t="e">
        <f>(VLOOKUP($B$3,'Coeff EC7'!$T$39:$X$59,2,0)*EN181+VLOOKUP($B$3,'Coeff EC7'!$T$65:$X$85,2,0)*Model0.1C!EO181)/1.1</f>
        <v>#N/A</v>
      </c>
      <c r="EQ181" s="102" t="e">
        <f>(VLOOKUP($B$3,'Coeff EC7'!$T$39:$X$59,3,0)*EN181+VLOOKUP($B$3,'Coeff EC7'!$T$65:$X$85,3,0)*Model0.1C!EO181)/0.9</f>
        <v>#N/A</v>
      </c>
      <c r="ER181" s="102" t="e">
        <f t="shared" si="294"/>
        <v>#N/A</v>
      </c>
      <c r="ES181" s="102" t="e">
        <f t="shared" si="295"/>
        <v>#N/A</v>
      </c>
      <c r="ET181" s="414" t="e">
        <f>IF(ET180=0,0,IF(AND(EP181&gt;charge_ELS_quasi,EQ181&gt;Charge_ELS_freq,ER181&gt;charge_ELU,ES181&gt;charge_ELA,$B181&gt;NDC!$H$22-0.1+MIN(3*$ET$12,1.5)),0,1))</f>
        <v>#N/A</v>
      </c>
      <c r="EU181" s="86" t="b">
        <f t="shared" si="263"/>
        <v>0</v>
      </c>
      <c r="EV181" s="86">
        <f t="shared" si="264"/>
        <v>0.61</v>
      </c>
      <c r="EW181" s="86">
        <f t="shared" si="265"/>
        <v>0.61</v>
      </c>
      <c r="EX181" s="30" t="e">
        <f t="shared" ca="1" si="296"/>
        <v>#DIV/0!</v>
      </c>
      <c r="EY181" s="85" t="e">
        <f ca="1">IF(EE181&lt;=Hypothèses!$V$7,Hypothèses!$W$7,IF(EE181&lt;=Hypothèses!$V$8,Hypothèses!$W$8,IF(EE181&lt;=Hypothèses!$V$9,Hypothèses!$W$9,IF(EE181&lt;=Hypothèses!$V$10,Hypothèses!$W$10,IF(EE181&lt;=Hypothèses!$V$11,Hypothèses!$W$11,IF(EE181&lt;=Hypothèses!$V$12,Hypothèses!$W$12,IF(EE181&lt;=Hypothèses!$V$13,Hypothèses!$W$13,IF(EE181&lt;=Hypothèses!$V$14,Hypothèses!$W$14,IF(EE181&lt;=Hypothèses!$V$15,Hypothèses!$W$15,IF(EE181&lt;=Hypothèses!$V$16,Hypothèses!$W$16,IF(EE181&lt;=Hypothèses!$V$17,Hypothèses!$W$17,IF(EE181&lt;=Hypothèses!$V$18,Hypothèses!$W$18,""))))))))))))</f>
        <v>#DIV/0!</v>
      </c>
      <c r="EZ181" s="87" t="e">
        <f t="shared" ca="1" si="323"/>
        <v>#DIV/0!</v>
      </c>
      <c r="FA181" s="88" t="e">
        <f ca="1">IF(EE181&lt;=Hypothèses!$V$7,Hypothèses!$X$7,IF(EE181&lt;=Hypothèses!$V$8,Hypothèses!$X$8,IF(EE181&lt;=Hypothèses!$V$9,Hypothèses!$X$9,IF(EE181&lt;=Hypothèses!$V$10,Hypothèses!$X$10,IF(EE181&lt;=Hypothèses!$V$11,Hypothèses!$X$11,IF(EE181&lt;=Hypothèses!$V$12,Hypothèses!$X$12,IF(EE181&lt;=Hypothèses!$V$13,Hypothèses!$X$13,IF(EE181&lt;=Hypothèses!$V$14,Hypothèses!$X$14,IF(EE181&lt;=Hypothèses!$V$15,Hypothèses!$X$15,IF(EE181&lt;=Hypothèses!$V$16,Hypothèses!$X$16,IF(EE181&lt;=Hypothèses!$U$17,Hypothèses!$W$17,IF(EE181&lt;=Hypothèses!$U$18,Hypothèses!$W$18,""))))))))))))</f>
        <v>#DIV/0!</v>
      </c>
      <c r="FB181" s="95" t="e">
        <f t="shared" ca="1" si="297"/>
        <v>#DIV/0!</v>
      </c>
      <c r="FC181" s="101" t="e">
        <f t="shared" si="330"/>
        <v>#N/A</v>
      </c>
      <c r="FD181" s="91" t="e">
        <f t="shared" si="266"/>
        <v>#N/A</v>
      </c>
      <c r="FE181" s="30" t="e">
        <f t="shared" si="314"/>
        <v>#N/A</v>
      </c>
      <c r="FF181" s="30" t="e">
        <f t="shared" si="315"/>
        <v>#N/A</v>
      </c>
      <c r="FG181" s="31" t="e">
        <f>IF(OR(Hypothèses!$B$4=17,Hypothèses!$B$4=18,Hypothèses!$B$4=19,Hypothèses!$B$4=20),
IF($D181="Pressio.",
IF(OR($E181=3,$E181=1,$E181=4),FF181,FE181),
IF($D181="Pénétro.",
IF(OR($E181=3,$E181=1,$E181=4),FF181,FE181))),IF($D181="Pressio.",
IF($E181=3,FF181,FE181),
IF($D181="Pénétro.",
IF($E181=4,FF181,FE181))))</f>
        <v>#N/A</v>
      </c>
      <c r="FH181" s="31" t="e">
        <f>(IF(OR(Hypothèses!$B$4=17,Hypothèses!$B$4=18,Hypothèses!$B$4=19,Hypothèses!$B$4=20),
IF($D181="Pressio.",
IF(OR($E181=3,$E181=1,$E181=4),(PI()*FH$12^2)/4*(FD181*$W181*1000)/($H181*$B$5),(PI()*FH$12^2)/4*(FD181*$W181*1000)/($G181*$B$5)),
IF($D181="Pénétro.",
IF(OR($E181=4,$E181=1,$E181=5),(PI()*FH$12^2)/4*(FD181*$W181*1000)/($H181*$B$5),(PI()*FH$12^2)/4*(FD181*$W181*1000)/($G181*$B$5)))),
IF($D181="Pressio.",
IF($E181=3,(PI()*FH$12^2)/4*(FD181*$W181*1000)/($H181*$B$5),(PI()*FH$12^2)/4*(FD181*$W181*1000)/($G181*$B$5)),
IF($D181="Pénétro.",
IF($E181=4,(PI()*FH$12^2)/4*(FD181*$W181*1000)/($H181*$B$5),(PI()*FH$12^2)/4*(FD181*$W181*1000)/($G181*$B$5))))))/10</f>
        <v>#N/A</v>
      </c>
      <c r="FI181" s="102" t="e">
        <f>(VLOOKUP($B$3,'Coeff EC7'!$T$39:$X$59,2,0)*FG181+VLOOKUP($B$3,'Coeff EC7'!$T$65:$X$85,2,0)*Model0.1C!FH181)/1.1</f>
        <v>#N/A</v>
      </c>
      <c r="FJ181" s="102" t="e">
        <f>(VLOOKUP($B$3,'Coeff EC7'!$T$39:$X$59,3,0)*FG181+VLOOKUP($B$3,'Coeff EC7'!$T$65:$X$85,3,0)*Model0.1C!FH181)/0.9</f>
        <v>#N/A</v>
      </c>
      <c r="FK181" s="102" t="e">
        <f t="shared" si="298"/>
        <v>#N/A</v>
      </c>
      <c r="FL181" s="102" t="e">
        <f t="shared" si="299"/>
        <v>#N/A</v>
      </c>
      <c r="FM181" s="414" t="e">
        <f>IF(FM180=0,0,IF(AND(FI181&gt;charge_ELS_quasi,FJ181&gt;Charge_ELS_freq,FK181&gt;charge_ELU,FL181&gt;charge_ELA,$B181&gt;NDC!$H$22-0.1+MIN(3*$FM$12,1.5)),0,1))</f>
        <v>#N/A</v>
      </c>
    </row>
    <row r="182" spans="1:169">
      <c r="A182" s="96">
        <f t="shared" si="267"/>
        <v>83.100000000000961</v>
      </c>
      <c r="B182" s="97">
        <v>16.899999999999999</v>
      </c>
      <c r="C182" s="81">
        <f>IF(B182&lt;=Hypothèses!$C$7,Hypothèses!$A$7,IF(B182&lt;=Hypothèses!$C$8,Hypothèses!$A$8,IF(B182&lt;=Hypothèses!$C$9,Hypothèses!$A$9,IF(B182&lt;=Hypothèses!$C$10,Hypothèses!$A$10,IF(B182&lt;=Hypothèses!$C$11,Hypothèses!$A$11,IF(B182&lt;=Hypothèses!$C$12,Hypothèses!$A$12,IF(B182&lt;=Hypothèses!$C$13,Hypothèses!$A$13,IF(B182&lt;=Hypothèses!$C$14,Hypothèses!$A$14,IF(B182&lt;=Hypothèses!$C$15,Hypothèses!$A$15,IF(B182&lt;=Hypothèses!$C$16,Hypothèses!$A$16,IF(B182&lt;=Hypothèses!$C$17,Hypothèses!$A$17,IF(B182&lt;=Hypothèses!$C$18,Hypothèses!$A$18,C181))))))))))))</f>
        <v>11</v>
      </c>
      <c r="D182" s="82" t="str">
        <f>IF(B182&lt;=Hypothèses!$C$7,Hypothèses!$R$7,IF(B182&lt;=Hypothèses!$C$8,Hypothèses!$R$8,IF(B182&lt;=Hypothèses!$C$9,Hypothèses!$R$9,IF(B182&lt;=Hypothèses!$C$10,Hypothèses!$R$10,IF(B182&lt;=Hypothèses!$C$11,Hypothèses!$R$11,IF(B182&lt;=Hypothèses!$C$12,Hypothèses!$R$12,IF(B182&lt;=Hypothèses!$C$13,Hypothèses!$R$13,IF(B182&lt;=Hypothèses!$C$14,Hypothèses!$R$14,IF(B182&lt;=Hypothèses!$C$15,Hypothèses!$R$15,IF(B182&lt;=Hypothèses!$C$16,Hypothèses!$R$16,IF(B182&lt;=Hypothèses!$C$17,Hypothèses!$R$17,IF(B182&lt;=Hypothèses!$C$18,Hypothèses!$R$18,D181))))))))))))</f>
        <v>Pressio.</v>
      </c>
      <c r="E182" s="82" t="e">
        <f>IF(B182&lt;=Hypothèses!$C$7,Hypothèses!$G$7,IF(B182&lt;=Hypothèses!$C$8,Hypothèses!$G$8,IF(B182&lt;=Hypothèses!$C$9,Hypothèses!$G$9,IF(B182&lt;=Hypothèses!$C$10,Hypothèses!$G$10,IF(B182&lt;=Hypothèses!$C$11,Hypothèses!$G$11,IF(B182&lt;=Hypothèses!$C$12,Hypothèses!$G$12,IF(B182&lt;=Hypothèses!$C$13,Hypothèses!$G$13,IF(B182&lt;=Hypothèses!$C$14,Hypothèses!$G$14,IF(B182&lt;=Hypothèses!$C$15,Hypothèses!$G$15,IF(B182&lt;=Hypothèses!$C$16,Hypothèses!$G$16,IF(B182&lt;=Hypothèses!$C$17,Hypothèses!$G$17,IF(B182&lt;=Hypothèses!$C$18,Hypothèses!$G$18,E181))))))))))))</f>
        <v>#N/A</v>
      </c>
      <c r="F182" s="82" t="str">
        <f>IF(B182&lt;=Hypothèses!$C$7,Hypothèses!$F$7,IF(B182&lt;=Hypothèses!$C$8,Hypothèses!$F$8,IF(B182&lt;=Hypothèses!$C$9,Hypothèses!$F$9,IF(B182&lt;=Hypothèses!$C$10,Hypothèses!$F$10,IF(B182&lt;=Hypothèses!$C$11,Hypothèses!$F$11,IF(B182&lt;=Hypothèses!$C$12,Hypothèses!$F$12,IF(B182&lt;=Hypothèses!$C$13,Hypothèses!$F$13,IF(B182&lt;=Hypothèses!$C$14,Hypothèses!$F$14,IF(B182&lt;=Hypothèses!$C$15,Hypothèses!$F$15,IF(B182&lt;=Hypothèses!$C$16,Hypothèses!$F$16,IF(B182&lt;=Hypothèses!$C$17,Hypothèses!$F$17,IF(B182&lt;=Hypothèses!$C$18,Hypothèses!$F$18,F181))))))))))))</f>
        <v/>
      </c>
      <c r="G182" s="91">
        <f t="array" ref="G182">INDEX('Coeff EC7'!$U$7:$X$27,
MATCH(Model0.1C!$B$3,'Coeff EC7'!$T$7:$T$27,0),
MATCH(Model0.1C!$D182&amp;Model0.1C!$B$4,
'Coeff EC7'!$U$6:$X$6&amp;
'Coeff EC7'!$U$5:$X$5,0))</f>
        <v>1.1499999999999999</v>
      </c>
      <c r="H182" s="91">
        <f t="array" ref="H182">INDEX('Coeff EC7'!$Y$7:$AB$27,
MATCH(Model0.1C!$B$3,'Coeff EC7'!$T$7:$T$27,0),
MATCH(Model0.1C!$D182&amp;Model0.1C!$B$4,
'Coeff EC7'!$Y$6:$AB$6&amp;
'Coeff EC7'!$Y$5:$AB$5,0))</f>
        <v>1.4</v>
      </c>
      <c r="I182" s="83" t="e">
        <f>IF(B182&lt;=Hypothèses!$C$7,Hypothèses!$P$7,IF(B182&lt;=Hypothèses!$C$8,Hypothèses!$P$8,IF(B182&lt;=Hypothèses!$C$9,Hypothèses!$P$9,IF(B182&lt;=Hypothèses!$C$10,Hypothèses!$P$10,IF(B182&lt;=Hypothèses!$C$11,Hypothèses!$P$11,IF(B182&lt;=Hypothèses!$C$12,Hypothèses!$P$12,IF(B182&lt;=Hypothèses!$C$13,Hypothèses!$P$13,IF(B182&lt;=Hypothèses!$C$14,Hypothèses!$P$14,IF(B182&lt;=Hypothèses!$C$15,Hypothèses!$P$15,IF(B182&lt;=Hypothèses!$C$16,Hypothèses!$P$16,IF(B182&lt;=Hypothèses!$C$17,Hypothèses!$P$17,IF(B182&lt;=Hypothèses!$C$18,Hypothèses!$P$18,I181))))))))))))</f>
        <v>#N/A</v>
      </c>
      <c r="J182" s="91" t="e">
        <f t="array" ref="J182">INDEX('Coeff EC7'!$D$33:$Q$33,1,MATCH(D182&amp;E182,'Coeff EC7'!$D$31:$Q$31&amp;'Coeff EC7'!$D$32:$Q$32,0))</f>
        <v>#N/A</v>
      </c>
      <c r="K182" s="91" t="e">
        <f t="array" ref="K182">INDEX('Coeff EC7'!$D$34:$Q$34,1,MATCH(D182&amp;E182,'Coeff EC7'!$D$31:$Q$31&amp;'Coeff EC7'!$D$32:$Q$32,0))</f>
        <v>#N/A</v>
      </c>
      <c r="L182" s="91" t="e">
        <f t="array" ref="L182">INDEX('Coeff EC7'!$D$35:$Q$35,1,MATCH(D182&amp;E182,'Coeff EC7'!$D$31:$Q$31&amp;'Coeff EC7'!$D$32:$Q$32,0))</f>
        <v>#N/A</v>
      </c>
      <c r="M182" s="98" t="e">
        <f t="shared" si="231"/>
        <v>#N/A</v>
      </c>
      <c r="N182" s="99" t="e">
        <f t="array" ref="N182">INDEX('Coeff EC7'!$D$7:$Q$27,MATCH($B$3,'Coeff EC7'!$C$7:$C$27,0),MATCH(D182&amp;E182,'Coeff EC7'!$D$5:$Q$5&amp;'Coeff EC7'!$D$6:$Q$6,0))</f>
        <v>#N/A</v>
      </c>
      <c r="O182" s="99" t="e">
        <f t="array" ref="O182">INDEX('Coeff EC7'!$D$41:$Q$61,MATCH($B$3,'Coeff EC7'!$C$41:$C$61,0),MATCH(D182&amp;E182,'Coeff EC7'!$D$39:$Q$39&amp;'Coeff EC7'!$D$40:$Q$40,0))</f>
        <v>#N/A</v>
      </c>
      <c r="P182" s="30" t="e">
        <f t="shared" si="268"/>
        <v>#N/A</v>
      </c>
      <c r="Q182" s="100" t="e">
        <f t="shared" si="233"/>
        <v>#N/A</v>
      </c>
      <c r="R182" s="86" t="b">
        <f t="shared" si="234"/>
        <v>0</v>
      </c>
      <c r="S182" s="86">
        <f t="shared" si="232"/>
        <v>0.5</v>
      </c>
      <c r="T182" s="86">
        <f t="shared" si="235"/>
        <v>0.5</v>
      </c>
      <c r="U182" s="30" t="e">
        <f t="shared" ca="1" si="269"/>
        <v>#DIV/0!</v>
      </c>
      <c r="V182" s="85" t="str">
        <f>IF(B182&lt;=Hypothèses!$V$7,Hypothèses!$W$7,IF(B182&lt;=Hypothèses!$V$8,Hypothèses!$W$8,IF(B182&lt;=Hypothèses!$V$9,Hypothèses!$W$9,IF(B182&lt;=Hypothèses!$V$10,Hypothèses!$W$10,IF(B182&lt;=Hypothèses!$V$11,Hypothèses!$W$11,IF(B182&lt;=Hypothèses!$V$12,Hypothèses!$W$12,IF(B182&lt;=Hypothèses!$V$13,Hypothèses!$W$13,IF(B182&lt;=Hypothèses!$V$14,Hypothèses!$W$14,IF(B182&lt;=Hypothèses!$V$15,Hypothèses!$W$15,IF(B182&lt;=Hypothèses!$V$16,Hypothèses!$W$16,IF(B182&lt;=Hypothèses!$V$17,Hypothèses!$W$17,IF(B182&lt;=Hypothèses!$V$18,Hypothèses!$W$18,""))))))))))))</f>
        <v/>
      </c>
      <c r="W182" s="87" t="e">
        <f t="shared" ca="1" si="316"/>
        <v>#DIV/0!</v>
      </c>
      <c r="X182" s="88" t="str">
        <f>IF(B182&lt;=Hypothèses!$V$7,Hypothèses!$X$7,IF(B182&lt;=Hypothèses!$V$8,Hypothèses!$X$8,IF(B182&lt;=Hypothèses!$V$9,Hypothèses!$X$9,IF(B182&lt;=Hypothèses!$V$10,Hypothèses!$X$10,IF(B182&lt;=Hypothèses!$V$11,Hypothèses!$X$11,IF(B182&lt;=Hypothèses!$V$12,Hypothèses!$X$12,IF(B182&lt;=Hypothèses!$V$13,Hypothèses!$X$13,IF(B182&lt;=Hypothèses!$V$14,Hypothèses!$X$14,IF(B182&lt;=Hypothèses!$V$15,Hypothèses!$X$15,IF(B182&lt;=Hypothèses!$V$16,Hypothèses!$X$16,IF(B182&lt;=Hypothèses!$U$17,Hypothèses!$W$17,IF(B182&lt;=Hypothèses!$U$18,Hypothèses!$W$18,""))))))))))))</f>
        <v/>
      </c>
      <c r="Y182" s="95" t="e">
        <f t="shared" ca="1" si="236"/>
        <v>#DIV/0!</v>
      </c>
      <c r="Z182" s="101" t="e">
        <f t="shared" si="237"/>
        <v>#N/A</v>
      </c>
      <c r="AA182" s="91" t="e">
        <f t="shared" si="238"/>
        <v>#N/A</v>
      </c>
      <c r="AB182" s="30" t="e">
        <f t="shared" si="300"/>
        <v>#N/A</v>
      </c>
      <c r="AC182" s="30" t="e">
        <f t="shared" si="301"/>
        <v>#N/A</v>
      </c>
      <c r="AD182" s="31" t="e">
        <f>IF(OR(Hypothèses!$B$4=17,Hypothèses!$B$4=18,Hypothèses!$B$4=19,Hypothèses!$B$4=20),
IF($D182="Pressio.",
IF(OR($E182=3,$E182=1,$E182=4),AC182,AB182),
IF($D182="Pénétro.",
IF(OR($E182=3,$E182=1,$E182=4),AC182,AB182))),IF($D182="Pressio.",
IF($E182=3,AC182,AB182),
IF($D182="Pénétro.",
IF($E182=4,AC182,AB182))))</f>
        <v>#N/A</v>
      </c>
      <c r="AE182" s="31" t="e">
        <f>(IF(OR(Hypothèses!$B$4=17,Hypothèses!$B$4=18,Hypothèses!$B$4=19,Hypothèses!$B$4=20),
IF($D182="Pressio.",
IF(OR($E182=3,$E182=1,$E182=4),(PI()*AE$12^2)/4*(AA182*$W182*1000)/($H182*$B$5),(PI()*AE$12^2)/4*(AA182*$W182*1000)/($G182*$B$5)),
IF($D182="Pénétro.",
IF(OR($E182=4,$E182=1,$E182=5),(PI()*AE$12^2)/4*(AA182*$W182*1000)/($H182*$B$5),(PI()*AE$12^2)/4*(AA182*$W182*1000)/($G182*$B$5)))),
IF($D182="Pressio.",
IF($E182=3,(PI()*AE$12^2)/4*(AA182*$W182*1000)/($H182*$B$5),(PI()*AE$12^2)/4*(AA182*$W182*1000)/($G182*$B$5)),
IF($D182="Pénétro.",
IF($E182=4,(PI()*AE$12^2)/4*(AA182*$W182*1000)/($H182*$B$5),(PI()*AE$12^2)/4*(AA182*$W182*1000)/($G182*$B$5))))))/10</f>
        <v>#N/A</v>
      </c>
      <c r="AF182" s="102" t="e">
        <f>(VLOOKUP($B$3,'Coeff EC7'!$T$39:$X$59,2,0)*AD182+VLOOKUP($B$3,'Coeff EC7'!$T$65:$X$85,2,0)*Model0.1C!AE182)/1.1</f>
        <v>#N/A</v>
      </c>
      <c r="AG182" s="102" t="e">
        <f>(VLOOKUP($B$3,'Coeff EC7'!$T$39:$X$59,3,0)*AD182+VLOOKUP($B$3,'Coeff EC7'!$T$65:$X$85,3,0)*Model0.1C!AE182)/0.9</f>
        <v>#N/A</v>
      </c>
      <c r="AH182" s="102" t="e">
        <f t="shared" si="239"/>
        <v>#N/A</v>
      </c>
      <c r="AI182" s="102" t="e">
        <f t="shared" si="240"/>
        <v>#N/A</v>
      </c>
      <c r="AJ182" s="414" t="e">
        <f>IF(AJ181=0,0,IF(AND(AF182&gt;charge_ELS_quasi,AG182&gt;Charge_ELS_freq,AH182&gt;charge_ELU,AI182&gt;charge_ELA,$B182&gt;NDC!$H$22-0.1+MIN(3*$AJ$12,1.5)),0,1))</f>
        <v>#N/A</v>
      </c>
      <c r="AK182" s="86" t="b">
        <f t="shared" si="241"/>
        <v>0</v>
      </c>
      <c r="AL182" s="86">
        <f t="shared" si="270"/>
        <v>0.5</v>
      </c>
      <c r="AM182" s="86">
        <f t="shared" si="242"/>
        <v>0.5</v>
      </c>
      <c r="AN182" s="30" t="e">
        <f t="shared" ca="1" si="271"/>
        <v>#DIV/0!</v>
      </c>
      <c r="AO182" s="85" t="e">
        <f ca="1">IF(U182&lt;=Hypothèses!$V$7,Hypothèses!$W$7,IF(U182&lt;=Hypothèses!$V$8,Hypothèses!$W$8,IF(U182&lt;=Hypothèses!$V$9,Hypothèses!$W$9,IF(U182&lt;=Hypothèses!$V$10,Hypothèses!$W$10,IF(U182&lt;=Hypothèses!$V$11,Hypothèses!$W$11,IF(U182&lt;=Hypothèses!$V$12,Hypothèses!$W$12,IF(U182&lt;=Hypothèses!$V$13,Hypothèses!$W$13,IF(U182&lt;=Hypothèses!$V$14,Hypothèses!$W$14,IF(U182&lt;=Hypothèses!$V$15,Hypothèses!$W$15,IF(U182&lt;=Hypothèses!$V$16,Hypothèses!$W$16,IF(U182&lt;=Hypothèses!$V$17,Hypothèses!$W$17,IF(U182&lt;=Hypothèses!$V$18,Hypothèses!$W$18,""))))))))))))</f>
        <v>#DIV/0!</v>
      </c>
      <c r="AP182" s="87" t="e">
        <f t="shared" ca="1" si="317"/>
        <v>#DIV/0!</v>
      </c>
      <c r="AQ182" s="88" t="e">
        <f ca="1">IF(U182&lt;=Hypothèses!$V$7,Hypothèses!$X$7,IF(U182&lt;=Hypothèses!$V$8,Hypothèses!$X$8,IF(U182&lt;=Hypothèses!$V$9,Hypothèses!$X$9,IF(U182&lt;=Hypothèses!$V$10,Hypothèses!$X$10,IF(U182&lt;=Hypothèses!$V$11,Hypothèses!$X$11,IF(U182&lt;=Hypothèses!$V$12,Hypothèses!$X$12,IF(U182&lt;=Hypothèses!$V$13,Hypothèses!$X$13,IF(U182&lt;=Hypothèses!$V$14,Hypothèses!$X$14,IF(U182&lt;=Hypothèses!$V$15,Hypothèses!$X$15,IF(U182&lt;=Hypothèses!$V$16,Hypothèses!$X$16,IF(U182&lt;=Hypothèses!$U$17,Hypothèses!$W$17,IF(U182&lt;=Hypothèses!$U$18,Hypothèses!$W$18,""))))))))))))</f>
        <v>#DIV/0!</v>
      </c>
      <c r="AR182" s="95" t="e">
        <f t="shared" ca="1" si="272"/>
        <v>#DIV/0!</v>
      </c>
      <c r="AS182" s="101" t="e">
        <f t="shared" si="324"/>
        <v>#N/A</v>
      </c>
      <c r="AT182" s="91" t="e">
        <f t="shared" si="243"/>
        <v>#N/A</v>
      </c>
      <c r="AU182" s="30" t="e">
        <f t="shared" si="302"/>
        <v>#N/A</v>
      </c>
      <c r="AV182" s="30" t="e">
        <f t="shared" si="303"/>
        <v>#N/A</v>
      </c>
      <c r="AW182" s="31" t="e">
        <f>IF(OR(Hypothèses!$B$4=17,Hypothèses!$B$4=18,Hypothèses!$B$4=19,Hypothèses!$B$4=20),
IF($D182="Pressio.",
IF(OR($E182=3,$E182=1,$E182=4),AV182,AU182),
IF($D182="Pénétro.",
IF(OR($E182=3,$E182=1,$E182=4),AV182,AU182))),IF($D182="Pressio.",
IF($E182=3,AV182,AU182),
IF($D182="Pénétro.",
IF($E182=4,AV182,AU182))))</f>
        <v>#N/A</v>
      </c>
      <c r="AX182" s="31" t="e">
        <f>(IF(OR(Hypothèses!$B$4=17,Hypothèses!$B$4=18,Hypothèses!$B$4=19,Hypothèses!$B$4=20),
IF($D182="Pressio.",
IF(OR($E182=3,$E182=1,$E182=4),(PI()*AX$12^2)/4*(AT182*$W182*1000)/($H182*$B$5),(PI()*AX$12^2)/4*(AT182*$W182*1000)/($G182*$B$5)),
IF($D182="Pénétro.",
IF(OR($E182=4,$E182=1,$E182=5),(PI()*AX$12^2)/4*(AT182*$W182*1000)/($H182*$B$5),(PI()*AX$12^2)/4*(AT182*$W182*1000)/($G182*$B$5)))),
IF($D182="Pressio.",
IF($E182=3,(PI()*AX$12^2)/4*(AT182*$W182*1000)/($H182*$B$5),(PI()*AX$12^2)/4*(AT182*$W182*1000)/($G182*$B$5)),
IF($D182="Pénétro.",
IF($E182=4,(PI()*AX$12^2)/4*(AT182*$W182*1000)/($H182*$B$5),(PI()*AX$12^2)/4*(AT182*$W182*1000)/($G182*$B$5))))))/10</f>
        <v>#N/A</v>
      </c>
      <c r="AY182" s="102" t="e">
        <f>(VLOOKUP($B$3,'Coeff EC7'!$T$39:$X$59,2,0)*AW182+VLOOKUP($B$3,'Coeff EC7'!$T$65:$X$85,2,0)*Model0.1C!AX182)/1.1</f>
        <v>#N/A</v>
      </c>
      <c r="AZ182" s="102" t="e">
        <f>(VLOOKUP($B$3,'Coeff EC7'!$T$39:$X$59,3,0)*AW182+VLOOKUP($B$3,'Coeff EC7'!$T$65:$X$85,3,0)*Model0.1C!AX182)/0.9</f>
        <v>#N/A</v>
      </c>
      <c r="BA182" s="102" t="e">
        <f t="shared" si="273"/>
        <v>#N/A</v>
      </c>
      <c r="BB182" s="102" t="e">
        <f t="shared" si="274"/>
        <v>#N/A</v>
      </c>
      <c r="BC182" s="414" t="e">
        <f>IF(BC181=0,0,IF(AND(AY182&gt;charge_ELS_quasi,AZ182&gt;Charge_ELS_freq,BA182&gt;charge_ELU,BB182&gt;charge_ELA,$B182&gt;NDC!$H$22-0.1+MIN(3*$BC$12,1.5)),0,1))</f>
        <v>#N/A</v>
      </c>
      <c r="BD182" s="86" t="b">
        <f t="shared" si="244"/>
        <v>0</v>
      </c>
      <c r="BE182" s="86">
        <f t="shared" si="275"/>
        <v>0.5</v>
      </c>
      <c r="BF182" s="86">
        <f t="shared" si="245"/>
        <v>0.5</v>
      </c>
      <c r="BG182" s="30" t="e">
        <f t="shared" ca="1" si="276"/>
        <v>#DIV/0!</v>
      </c>
      <c r="BH182" s="85" t="e">
        <f ca="1">IF(AN182&lt;=Hypothèses!$V$7,Hypothèses!$W$7,IF(AN182&lt;=Hypothèses!$V$8,Hypothèses!$W$8,IF(AN182&lt;=Hypothèses!$V$9,Hypothèses!$W$9,IF(AN182&lt;=Hypothèses!$V$10,Hypothèses!$W$10,IF(AN182&lt;=Hypothèses!$V$11,Hypothèses!$W$11,IF(AN182&lt;=Hypothèses!$V$12,Hypothèses!$W$12,IF(AN182&lt;=Hypothèses!$V$13,Hypothèses!$W$13,IF(AN182&lt;=Hypothèses!$V$14,Hypothèses!$W$14,IF(AN182&lt;=Hypothèses!$V$15,Hypothèses!$W$15,IF(AN182&lt;=Hypothèses!$V$16,Hypothèses!$W$16,IF(AN182&lt;=Hypothèses!$V$17,Hypothèses!$W$17,IF(AN182&lt;=Hypothèses!$V$18,Hypothèses!$W$18,""))))))))))))</f>
        <v>#DIV/0!</v>
      </c>
      <c r="BI182" s="87" t="e">
        <f t="shared" ca="1" si="318"/>
        <v>#DIV/0!</v>
      </c>
      <c r="BJ182" s="88" t="e">
        <f ca="1">IF(AN182&lt;=Hypothèses!$V$7,Hypothèses!$X$7,IF(AN182&lt;=Hypothèses!$V$8,Hypothèses!$X$8,IF(AN182&lt;=Hypothèses!$V$9,Hypothèses!$X$9,IF(AN182&lt;=Hypothèses!$V$10,Hypothèses!$X$10,IF(AN182&lt;=Hypothèses!$V$11,Hypothèses!$X$11,IF(AN182&lt;=Hypothèses!$V$12,Hypothèses!$X$12,IF(AN182&lt;=Hypothèses!$V$13,Hypothèses!$X$13,IF(AN182&lt;=Hypothèses!$V$14,Hypothèses!$X$14,IF(AN182&lt;=Hypothèses!$V$15,Hypothèses!$X$15,IF(AN182&lt;=Hypothèses!$V$16,Hypothèses!$X$16,IF(AN182&lt;=Hypothèses!$U$17,Hypothèses!$W$17,IF(AN182&lt;=Hypothèses!$U$18,Hypothèses!$W$18,""))))))))))))</f>
        <v>#DIV/0!</v>
      </c>
      <c r="BK182" s="95" t="e">
        <f t="shared" ca="1" si="277"/>
        <v>#DIV/0!</v>
      </c>
      <c r="BL182" s="101" t="e">
        <f t="shared" si="325"/>
        <v>#N/A</v>
      </c>
      <c r="BM182" s="91" t="e">
        <f t="shared" si="246"/>
        <v>#N/A</v>
      </c>
      <c r="BN182" s="30" t="e">
        <f t="shared" si="304"/>
        <v>#N/A</v>
      </c>
      <c r="BO182" s="30" t="e">
        <f t="shared" si="305"/>
        <v>#N/A</v>
      </c>
      <c r="BP182" s="31" t="e">
        <f>IF(OR(Hypothèses!$B$4=17,Hypothèses!$B$4=18,Hypothèses!$B$4=19,Hypothèses!$B$4=20),
IF($D182="Pressio.",
IF(OR($E182=3,$E182=1,$E182=4),BO182,BN182),
IF($D182="Pénétro.",
IF(OR($E182=3,$E182=1,$E182=4),BO182,BN182))),IF($D182="Pressio.",
IF($E182=3,BO182,BN182),
IF($D182="Pénétro.",
IF($E182=4,BO182,BN182))))</f>
        <v>#N/A</v>
      </c>
      <c r="BQ182" s="31" t="e">
        <f>(IF(OR(Hypothèses!$B$4=17,Hypothèses!$B$4=18,Hypothèses!$B$4=19,Hypothèses!$B$4=20),
IF($D182="Pressio.",
IF(OR($E182=3,$E182=1,$E182=4),(PI()*BQ$12^2)/4*(BM182*$W182*1000)/($H182*$B$5),(PI()*BQ$12^2)/4*(BM182*$W182*1000)/($G182*$B$5)),
IF($D182="Pénétro.",
IF(OR($E182=4,$E182=1,$E182=5),(PI()*BQ$12^2)/4*(BM182*$W182*1000)/($H182*$B$5),(PI()*BQ$12^2)/4*(BM182*$W182*1000)/($G182*$B$5)))),
IF($D182="Pressio.",
IF($E182=3,(PI()*BQ$12^2)/4*(BM182*$W182*1000)/($H182*$B$5),(PI()*BQ$12^2)/4*(BM182*$W182*1000)/($G182*$B$5)),
IF($D182="Pénétro.",
IF($E182=4,(PI()*BQ$12^2)/4*(BM182*$W182*1000)/($H182*$B$5),(PI()*BQ$12^2)/4*(BM182*$W182*1000)/($G182*$B$5))))))/10</f>
        <v>#N/A</v>
      </c>
      <c r="BR182" s="102" t="e">
        <f>(VLOOKUP($B$3,'Coeff EC7'!$T$39:$X$59,2,0)*BP182+VLOOKUP($B$3,'Coeff EC7'!$T$65:$X$85,2,0)*Model0.1C!BQ182)/1.1</f>
        <v>#N/A</v>
      </c>
      <c r="BS182" s="102" t="e">
        <f>(VLOOKUP($B$3,'Coeff EC7'!$T$39:$X$59,3,0)*BP182+VLOOKUP($B$3,'Coeff EC7'!$T$65:$X$85,3,0)*Model0.1C!BQ182)/0.9</f>
        <v>#N/A</v>
      </c>
      <c r="BT182" s="102" t="e">
        <f t="shared" si="278"/>
        <v>#N/A</v>
      </c>
      <c r="BU182" s="102" t="e">
        <f t="shared" si="279"/>
        <v>#N/A</v>
      </c>
      <c r="BV182" s="414" t="e">
        <f>IF(BV181=0,0,IF(AND(BR182&gt;charge_ELS_quasi,BS182&gt;Charge_ELS_freq,BT182&gt;charge_ELU,BU182&gt;charge_ELA,$B182&gt;NDC!$H$22-0.1+MIN(3*$BV$12,1.5)),0,1))</f>
        <v>#N/A</v>
      </c>
      <c r="BW182" s="86" t="b">
        <f t="shared" si="247"/>
        <v>0</v>
      </c>
      <c r="BX182" s="86">
        <f t="shared" si="248"/>
        <v>0.5</v>
      </c>
      <c r="BY182" s="86">
        <f t="shared" si="249"/>
        <v>0.5</v>
      </c>
      <c r="BZ182" s="30" t="e">
        <f t="shared" ca="1" si="280"/>
        <v>#DIV/0!</v>
      </c>
      <c r="CA182" s="85" t="e">
        <f ca="1">IF(BG182&lt;=Hypothèses!$V$7,Hypothèses!$W$7,IF(BG182&lt;=Hypothèses!$V$8,Hypothèses!$W$8,IF(BG182&lt;=Hypothèses!$V$9,Hypothèses!$W$9,IF(BG182&lt;=Hypothèses!$V$10,Hypothèses!$W$10,IF(BG182&lt;=Hypothèses!$V$11,Hypothèses!$W$11,IF(BG182&lt;=Hypothèses!$V$12,Hypothèses!$W$12,IF(BG182&lt;=Hypothèses!$V$13,Hypothèses!$W$13,IF(BG182&lt;=Hypothèses!$V$14,Hypothèses!$W$14,IF(BG182&lt;=Hypothèses!$V$15,Hypothèses!$W$15,IF(BG182&lt;=Hypothèses!$V$16,Hypothèses!$W$16,IF(BG182&lt;=Hypothèses!$V$17,Hypothèses!$W$17,IF(BG182&lt;=Hypothèses!$V$18,Hypothèses!$W$18,""))))))))))))</f>
        <v>#DIV/0!</v>
      </c>
      <c r="CB182" s="87" t="e">
        <f t="shared" ca="1" si="319"/>
        <v>#DIV/0!</v>
      </c>
      <c r="CC182" s="88" t="e">
        <f ca="1">IF(BG182&lt;=Hypothèses!$V$7,Hypothèses!$X$7,IF(BG182&lt;=Hypothèses!$V$8,Hypothèses!$X$8,IF(BG182&lt;=Hypothèses!$V$9,Hypothèses!$X$9,IF(BG182&lt;=Hypothèses!$V$10,Hypothèses!$X$10,IF(BG182&lt;=Hypothèses!$V$11,Hypothèses!$X$11,IF(BG182&lt;=Hypothèses!$V$12,Hypothèses!$X$12,IF(BG182&lt;=Hypothèses!$V$13,Hypothèses!$X$13,IF(BG182&lt;=Hypothèses!$V$14,Hypothèses!$X$14,IF(BG182&lt;=Hypothèses!$V$15,Hypothèses!$X$15,IF(BG182&lt;=Hypothèses!$V$16,Hypothèses!$X$16,IF(BG182&lt;=Hypothèses!$U$17,Hypothèses!$W$17,IF(BG182&lt;=Hypothèses!$U$18,Hypothèses!$W$18,""))))))))))))</f>
        <v>#DIV/0!</v>
      </c>
      <c r="CD182" s="95" t="e">
        <f t="shared" ca="1" si="281"/>
        <v>#DIV/0!</v>
      </c>
      <c r="CE182" s="101" t="e">
        <f t="shared" si="326"/>
        <v>#N/A</v>
      </c>
      <c r="CF182" s="91" t="e">
        <f t="shared" si="250"/>
        <v>#N/A</v>
      </c>
      <c r="CG182" s="30" t="e">
        <f t="shared" si="306"/>
        <v>#N/A</v>
      </c>
      <c r="CH182" s="30" t="e">
        <f t="shared" si="307"/>
        <v>#N/A</v>
      </c>
      <c r="CI182" s="31" t="e">
        <f>IF(OR(Hypothèses!$B$4=17,Hypothèses!$B$4=18,Hypothèses!$B$4=19,Hypothèses!$B$4=20),
IF($D182="Pressio.",
IF(OR($E182=3,$E182=1,$E182=4),CH182,CG182),
IF($D182="Pénétro.",
IF(OR($E182=3,$E182=1,$E182=4),CH182,CG182))),IF($D182="Pressio.",
IF($E182=3,CH182,CG182),
IF($D182="Pénétro.",
IF($E182=4,CH182,CG182))))</f>
        <v>#N/A</v>
      </c>
      <c r="CJ182" s="31" t="e">
        <f>(IF(OR(Hypothèses!$B$4=17,Hypothèses!$B$4=18,Hypothèses!$B$4=19,Hypothèses!$B$4=20),
IF($D182="Pressio.",
IF(OR($E182=3,$E182=1,$E182=4),(PI()*CJ$12^2)/4*(CF182*$W182*1000)/($H182*$B$5),(PI()*CJ$12^2)/4*(CF182*$W182*1000)/($G182*$B$5)),
IF($D182="Pénétro.",
IF(OR($E182=4,$E182=1,$E182=5),(PI()*CJ$12^2)/4*(CF182*$W182*1000)/($H182*$B$5),(PI()*CJ$12^2)/4*(CF182*$W182*1000)/($G182*$B$5)))),
IF($D182="Pressio.",
IF($E182=3,(PI()*CJ$12^2)/4*(CF182*$W182*1000)/($H182*$B$5),(PI()*CJ$12^2)/4*(CF182*$W182*1000)/($G182*$B$5)),
IF($D182="Pénétro.",
IF($E182=4,(PI()*CJ$12^2)/4*(CF182*$W182*1000)/($H182*$B$5),(PI()*CJ$12^2)/4*(CF182*$W182*1000)/($G182*$B$5))))))/10</f>
        <v>#N/A</v>
      </c>
      <c r="CK182" s="102" t="e">
        <f>(VLOOKUP($B$3,'Coeff EC7'!$T$39:$X$59,2,0)*CI182+VLOOKUP($B$3,'Coeff EC7'!$T$65:$X$85,2,0)*Model0.1C!CJ182)/1.1</f>
        <v>#N/A</v>
      </c>
      <c r="CL182" s="102" t="e">
        <f>(VLOOKUP($B$3,'Coeff EC7'!$T$39:$X$59,3,0)*CI182+VLOOKUP($B$3,'Coeff EC7'!$T$65:$X$85,3,0)*Model0.1C!CJ182)/0.9</f>
        <v>#N/A</v>
      </c>
      <c r="CM182" s="102" t="e">
        <f t="shared" si="282"/>
        <v>#N/A</v>
      </c>
      <c r="CN182" s="102" t="e">
        <f t="shared" si="283"/>
        <v>#N/A</v>
      </c>
      <c r="CO182" s="414" t="e">
        <f>IF(CO181=0,0,IF(AND(CK182&gt;charge_ELS_quasi,CL182&gt;Charge_ELS_freq,CM182&gt;charge_ELU,CN182&gt;charge_ELA,$B182&gt;NDC!$H$22-0.1+MIN(3*$CO$12,1.5)),0,1))</f>
        <v>#N/A</v>
      </c>
      <c r="CP182" s="86" t="b">
        <f t="shared" si="251"/>
        <v>0</v>
      </c>
      <c r="CQ182" s="86">
        <f t="shared" si="252"/>
        <v>0.5</v>
      </c>
      <c r="CR182" s="86">
        <f t="shared" si="253"/>
        <v>0.5</v>
      </c>
      <c r="CS182" s="30" t="e">
        <f t="shared" ca="1" si="284"/>
        <v>#DIV/0!</v>
      </c>
      <c r="CT182" s="85" t="e">
        <f ca="1">IF(BZ182&lt;=Hypothèses!$V$7,Hypothèses!$W$7,IF(BZ182&lt;=Hypothèses!$V$8,Hypothèses!$W$8,IF(BZ182&lt;=Hypothèses!$V$9,Hypothèses!$W$9,IF(BZ182&lt;=Hypothèses!$V$10,Hypothèses!$W$10,IF(BZ182&lt;=Hypothèses!$V$11,Hypothèses!$W$11,IF(BZ182&lt;=Hypothèses!$V$12,Hypothèses!$W$12,IF(BZ182&lt;=Hypothèses!$V$13,Hypothèses!$W$13,IF(BZ182&lt;=Hypothèses!$V$14,Hypothèses!$W$14,IF(BZ182&lt;=Hypothèses!$V$15,Hypothèses!$W$15,IF(BZ182&lt;=Hypothèses!$V$16,Hypothèses!$W$16,IF(BZ182&lt;=Hypothèses!$V$17,Hypothèses!$W$17,IF(BZ182&lt;=Hypothèses!$V$18,Hypothèses!$W$18,""))))))))))))</f>
        <v>#DIV/0!</v>
      </c>
      <c r="CU182" s="87" t="e">
        <f t="shared" ca="1" si="320"/>
        <v>#DIV/0!</v>
      </c>
      <c r="CV182" s="88" t="e">
        <f ca="1">IF(BZ182&lt;=Hypothèses!$V$7,Hypothèses!$X$7,IF(BZ182&lt;=Hypothèses!$V$8,Hypothèses!$X$8,IF(BZ182&lt;=Hypothèses!$V$9,Hypothèses!$X$9,IF(BZ182&lt;=Hypothèses!$V$10,Hypothèses!$X$10,IF(BZ182&lt;=Hypothèses!$V$11,Hypothèses!$X$11,IF(BZ182&lt;=Hypothèses!$V$12,Hypothèses!$X$12,IF(BZ182&lt;=Hypothèses!$V$13,Hypothèses!$X$13,IF(BZ182&lt;=Hypothèses!$V$14,Hypothèses!$X$14,IF(BZ182&lt;=Hypothèses!$V$15,Hypothèses!$X$15,IF(BZ182&lt;=Hypothèses!$V$16,Hypothèses!$X$16,IF(BZ182&lt;=Hypothèses!$U$17,Hypothèses!$W$17,IF(BZ182&lt;=Hypothèses!$U$18,Hypothèses!$W$18,""))))))))))))</f>
        <v>#DIV/0!</v>
      </c>
      <c r="CW182" s="95" t="e">
        <f t="shared" ca="1" si="285"/>
        <v>#DIV/0!</v>
      </c>
      <c r="CX182" s="101" t="e">
        <f t="shared" si="327"/>
        <v>#N/A</v>
      </c>
      <c r="CY182" s="91" t="e">
        <f t="shared" si="254"/>
        <v>#N/A</v>
      </c>
      <c r="CZ182" s="30" t="e">
        <f t="shared" si="308"/>
        <v>#N/A</v>
      </c>
      <c r="DA182" s="30" t="e">
        <f t="shared" si="309"/>
        <v>#N/A</v>
      </c>
      <c r="DB182" s="31" t="e">
        <f>IF(OR(Hypothèses!$B$4=17,Hypothèses!$B$4=18,Hypothèses!$B$4=19,Hypothèses!$B$4=20),
IF($D182="Pressio.",
IF(OR($E182=3,$E182=1,$E182=4),DA182,CZ182),
IF($D182="Pénétro.",
IF(OR($E182=3,$E182=1,$E182=4),DA182,CZ182))),IF($D182="Pressio.",
IF($E182=3,DA182,CZ182),
IF($D182="Pénétro.",
IF($E182=4,DA182,CZ182))))</f>
        <v>#N/A</v>
      </c>
      <c r="DC182" s="31" t="e">
        <f>(IF(OR(Hypothèses!$B$4=17,Hypothèses!$B$4=18,Hypothèses!$B$4=19,Hypothèses!$B$4=20),
IF($D182="Pressio.",
IF(OR($E182=3,$E182=1,$E182=4),(PI()*DC$12^2)/4*(CY182*$W182*1000)/($H182*$B$5),(PI()*DC$12^2)/4*(CY182*$W182*1000)/($G182*$B$5)),
IF($D182="Pénétro.",
IF(OR($E182=4,$E182=1,$E182=5),(PI()*DC$12^2)/4*(CY182*$W182*1000)/($H182*$B$5),(PI()*DC$12^2)/4*(CY182*$W182*1000)/($G182*$B$5)))),
IF($D182="Pressio.",
IF($E182=3,(PI()*DC$12^2)/4*(CY182*$W182*1000)/($H182*$B$5),(PI()*DC$12^2)/4*(CY182*$W182*1000)/($G182*$B$5)),
IF($D182="Pénétro.",
IF($E182=4,(PI()*DC$12^2)/4*(CY182*$W182*1000)/($H182*$B$5),(PI()*DC$12^2)/4*(CY182*$W182*1000)/($G182*$B$5))))))/10</f>
        <v>#N/A</v>
      </c>
      <c r="DD182" s="102" t="e">
        <f>(VLOOKUP($B$3,'Coeff EC7'!$T$39:$X$59,2,0)*DB182+VLOOKUP($B$3,'Coeff EC7'!$T$65:$X$85,2,0)*Model0.1C!DC182)/1.1</f>
        <v>#N/A</v>
      </c>
      <c r="DE182" s="102" t="e">
        <f>(VLOOKUP($B$3,'Coeff EC7'!$T$39:$X$59,3,0)*DB182+VLOOKUP($B$3,'Coeff EC7'!$T$65:$X$85,3,0)*Model0.1C!DC182)/0.9</f>
        <v>#N/A</v>
      </c>
      <c r="DF182" s="102" t="e">
        <f t="shared" si="286"/>
        <v>#N/A</v>
      </c>
      <c r="DG182" s="102" t="e">
        <f t="shared" si="287"/>
        <v>#N/A</v>
      </c>
      <c r="DH182" s="414" t="e">
        <f>IF(DH181=0,0,IF(AND(DD182&gt;charge_ELS_quasi,DE182&gt;Charge_ELS_freq,DF182&gt;charge_ELU,DG182&gt;charge_ELA,$B182&gt;NDC!$H$22-0.1+MIN(3*$DH$12,1.5)),0,1))</f>
        <v>#N/A</v>
      </c>
      <c r="DI182" s="86" t="b">
        <f t="shared" si="255"/>
        <v>0</v>
      </c>
      <c r="DJ182" s="86">
        <f t="shared" si="256"/>
        <v>0.5</v>
      </c>
      <c r="DK182" s="86">
        <f t="shared" si="257"/>
        <v>0.5</v>
      </c>
      <c r="DL182" s="30" t="e">
        <f t="shared" ca="1" si="288"/>
        <v>#DIV/0!</v>
      </c>
      <c r="DM182" s="85" t="e">
        <f ca="1">IF(CS182&lt;=Hypothèses!$V$7,Hypothèses!$W$7,IF(CS182&lt;=Hypothèses!$V$8,Hypothèses!$W$8,IF(CS182&lt;=Hypothèses!$V$9,Hypothèses!$W$9,IF(CS182&lt;=Hypothèses!$V$10,Hypothèses!$W$10,IF(CS182&lt;=Hypothèses!$V$11,Hypothèses!$W$11,IF(CS182&lt;=Hypothèses!$V$12,Hypothèses!$W$12,IF(CS182&lt;=Hypothèses!$V$13,Hypothèses!$W$13,IF(CS182&lt;=Hypothèses!$V$14,Hypothèses!$W$14,IF(CS182&lt;=Hypothèses!$V$15,Hypothèses!$W$15,IF(CS182&lt;=Hypothèses!$V$16,Hypothèses!$W$16,IF(CS182&lt;=Hypothèses!$V$17,Hypothèses!$W$17,IF(CS182&lt;=Hypothèses!$V$18,Hypothèses!$W$18,""))))))))))))</f>
        <v>#DIV/0!</v>
      </c>
      <c r="DN182" s="87" t="e">
        <f t="shared" ca="1" si="321"/>
        <v>#DIV/0!</v>
      </c>
      <c r="DO182" s="88" t="e">
        <f ca="1">IF(CS182&lt;=Hypothèses!$V$7,Hypothèses!$X$7,IF(CS182&lt;=Hypothèses!$V$8,Hypothèses!$X$8,IF(CS182&lt;=Hypothèses!$V$9,Hypothèses!$X$9,IF(CS182&lt;=Hypothèses!$V$10,Hypothèses!$X$10,IF(CS182&lt;=Hypothèses!$V$11,Hypothèses!$X$11,IF(CS182&lt;=Hypothèses!$V$12,Hypothèses!$X$12,IF(CS182&lt;=Hypothèses!$V$13,Hypothèses!$X$13,IF(CS182&lt;=Hypothèses!$V$14,Hypothèses!$X$14,IF(CS182&lt;=Hypothèses!$V$15,Hypothèses!$X$15,IF(CS182&lt;=Hypothèses!$V$16,Hypothèses!$X$16,IF(CS182&lt;=Hypothèses!$U$17,Hypothèses!$W$17,IF(CS182&lt;=Hypothèses!$U$18,Hypothèses!$W$18,""))))))))))))</f>
        <v>#DIV/0!</v>
      </c>
      <c r="DP182" s="95" t="e">
        <f t="shared" ca="1" si="289"/>
        <v>#DIV/0!</v>
      </c>
      <c r="DQ182" s="101" t="e">
        <f t="shared" si="328"/>
        <v>#N/A</v>
      </c>
      <c r="DR182" s="91" t="e">
        <f t="shared" si="258"/>
        <v>#N/A</v>
      </c>
      <c r="DS182" s="30" t="e">
        <f t="shared" si="310"/>
        <v>#N/A</v>
      </c>
      <c r="DT182" s="30" t="e">
        <f t="shared" si="311"/>
        <v>#N/A</v>
      </c>
      <c r="DU182" s="31" t="e">
        <f>IF(OR(Hypothèses!$B$4=17,Hypothèses!$B$4=18,Hypothèses!$B$4=19,Hypothèses!$B$4=20),
IF($D182="Pressio.",
IF(OR($E182=3,$E182=1,$E182=4),DT182,DS182),
IF($D182="Pénétro.",
IF(OR($E182=3,$E182=1,$E182=4),DT182,DS182))),IF($D182="Pressio.",
IF($E182=3,DT182,DS182),
IF($D182="Pénétro.",
IF($E182=4,DT182,DS182))))</f>
        <v>#N/A</v>
      </c>
      <c r="DV182" s="31" t="e">
        <f>(IF(OR(Hypothèses!$B$4=17,Hypothèses!$B$4=18,Hypothèses!$B$4=19,Hypothèses!$B$4=20),
IF($D182="Pressio.",
IF(OR($E182=3,$E182=1,$E182=4),(PI()*DV$12^2)/4*(DR182*$W182*1000)/($H182*$B$5),(PI()*DV$12^2)/4*(DR182*$W182*1000)/($G182*$B$5)),
IF($D182="Pénétro.",
IF(OR($E182=4,$E182=1,$E182=5),(PI()*DV$12^2)/4*(DR182*$W182*1000)/($H182*$B$5),(PI()*DV$12^2)/4*(DR182*$W182*1000)/($G182*$B$5)))),
IF($D182="Pressio.",
IF($E182=3,(PI()*DV$12^2)/4*(DR182*$W182*1000)/($H182*$B$5),(PI()*DV$12^2)/4*(DR182*$W182*1000)/($G182*$B$5)),
IF($D182="Pénétro.",
IF($E182=4,(PI()*DV$12^2)/4*(DR182*$W182*1000)/($H182*$B$5),(PI()*DV$12^2)/4*(DR182*$W182*1000)/($G182*$B$5))))))/10</f>
        <v>#N/A</v>
      </c>
      <c r="DW182" s="102" t="e">
        <f>(VLOOKUP($B$3,'Coeff EC7'!$T$39:$X$59,2,0)*DU182+VLOOKUP($B$3,'Coeff EC7'!$T$65:$X$85,2,0)*Model0.1C!DV182)/1.1</f>
        <v>#N/A</v>
      </c>
      <c r="DX182" s="102" t="e">
        <f>(VLOOKUP($B$3,'Coeff EC7'!$T$39:$X$59,3,0)*DU182+VLOOKUP($B$3,'Coeff EC7'!$T$65:$X$85,3,0)*Model0.1C!DV182)/0.9</f>
        <v>#N/A</v>
      </c>
      <c r="DY182" s="102" t="e">
        <f t="shared" si="290"/>
        <v>#N/A</v>
      </c>
      <c r="DZ182" s="102" t="e">
        <f t="shared" si="291"/>
        <v>#N/A</v>
      </c>
      <c r="EA182" s="414" t="e">
        <f>IF(EA181=0,0,IF(AND(DW182&gt;charge_ELS_quasi,DX182&gt;Charge_ELS_freq,DY182&gt;charge_ELU,DZ182&gt;charge_ELA,$B182&gt;NDC!$H$22-0.1+MIN(3*$EA$12,1.5)),0,1))</f>
        <v>#N/A</v>
      </c>
      <c r="EB182" s="86" t="b">
        <f t="shared" si="259"/>
        <v>0</v>
      </c>
      <c r="EC182" s="418">
        <f t="shared" si="260"/>
        <v>0.51</v>
      </c>
      <c r="ED182" s="86">
        <f t="shared" si="261"/>
        <v>0.51</v>
      </c>
      <c r="EE182" s="30" t="e">
        <f t="shared" ca="1" si="292"/>
        <v>#DIV/0!</v>
      </c>
      <c r="EF182" s="85" t="e">
        <f ca="1">IF(DL182&lt;=Hypothèses!$V$7,Hypothèses!$W$7,IF(DL182&lt;=Hypothèses!$V$8,Hypothèses!$W$8,IF(DL182&lt;=Hypothèses!$V$9,Hypothèses!$W$9,IF(DL182&lt;=Hypothèses!$V$10,Hypothèses!$W$10,IF(DL182&lt;=Hypothèses!$V$11,Hypothèses!$W$11,IF(DL182&lt;=Hypothèses!$V$12,Hypothèses!$W$12,IF(DL182&lt;=Hypothèses!$V$13,Hypothèses!$W$13,IF(DL182&lt;=Hypothèses!$V$14,Hypothèses!$W$14,IF(DL182&lt;=Hypothèses!$V$15,Hypothèses!$W$15,IF(DL182&lt;=Hypothèses!$V$16,Hypothèses!$W$16,IF(DL182&lt;=Hypothèses!$V$17,Hypothèses!$W$17,IF(DL182&lt;=Hypothèses!$V$18,Hypothèses!$W$18,""))))))))))))</f>
        <v>#DIV/0!</v>
      </c>
      <c r="EG182" s="87" t="e">
        <f t="shared" ca="1" si="322"/>
        <v>#DIV/0!</v>
      </c>
      <c r="EH182" s="88" t="e">
        <f ca="1">IF(DL182&lt;=Hypothèses!$V$7,Hypothèses!$X$7,IF(DL182&lt;=Hypothèses!$V$8,Hypothèses!$X$8,IF(DL182&lt;=Hypothèses!$V$9,Hypothèses!$X$9,IF(DL182&lt;=Hypothèses!$V$10,Hypothèses!$X$10,IF(DL182&lt;=Hypothèses!$V$11,Hypothèses!$X$11,IF(DL182&lt;=Hypothèses!$V$12,Hypothèses!$X$12,IF(DL182&lt;=Hypothèses!$V$13,Hypothèses!$X$13,IF(DL182&lt;=Hypothèses!$V$14,Hypothèses!$X$14,IF(DL182&lt;=Hypothèses!$V$15,Hypothèses!$X$15,IF(DL182&lt;=Hypothèses!$V$16,Hypothèses!$X$16,IF(DL182&lt;=Hypothèses!$U$17,Hypothèses!$W$17,IF(DL182&lt;=Hypothèses!$U$18,Hypothèses!$W$18,""))))))))))))</f>
        <v>#DIV/0!</v>
      </c>
      <c r="EI182" s="95" t="e">
        <f t="shared" ca="1" si="293"/>
        <v>#DIV/0!</v>
      </c>
      <c r="EJ182" s="101" t="e">
        <f t="shared" si="329"/>
        <v>#N/A</v>
      </c>
      <c r="EK182" s="91" t="e">
        <f t="shared" si="262"/>
        <v>#N/A</v>
      </c>
      <c r="EL182" s="30" t="e">
        <f t="shared" si="312"/>
        <v>#N/A</v>
      </c>
      <c r="EM182" s="30" t="e">
        <f t="shared" si="313"/>
        <v>#N/A</v>
      </c>
      <c r="EN182" s="31" t="e">
        <f>IF(OR(Hypothèses!$B$4=17,Hypothèses!$B$4=18,Hypothèses!$B$4=19,Hypothèses!$B$4=20),
IF($D182="Pressio.",
IF(OR($E182=3,$E182=1,$E182=4),EM182,EL182),
IF($D182="Pénétro.",
IF(OR($E182=3,$E182=1,$E182=4),EM182,EL182))),IF($D182="Pressio.",
IF($E182=3,EM182,EL182),
IF($D182="Pénétro.",
IF($E182=4,EM182,EL182))))</f>
        <v>#N/A</v>
      </c>
      <c r="EO182" s="31" t="e">
        <f>(IF(OR(Hypothèses!$B$4=17,Hypothèses!$B$4=18,Hypothèses!$B$4=19,Hypothèses!$B$4=20),
IF($D182="Pressio.",
IF(OR($E182=3,$E182=1,$E182=4),(PI()*EO$12^2)/4*(EK182*$W182*1000)/($H182*$B$5),(PI()*EO$12^2)/4*(EK182*$W182*1000)/($G182*$B$5)),
IF($D182="Pénétro.",
IF(OR($E182=4,$E182=1,$E182=5),(PI()*EO$12^2)/4*(EK182*$W182*1000)/($H182*$B$5),(PI()*EO$12^2)/4*(EK182*$W182*1000)/($G182*$B$5)))),
IF($D182="Pressio.",
IF($E182=3,(PI()*EO$12^2)/4*(EK182*$W182*1000)/($H182*$B$5),(PI()*EO$12^2)/4*(EK182*$W182*1000)/($G182*$B$5)),
IF($D182="Pénétro.",
IF($E182=4,(PI()*EO$12^2)/4*(EK182*$W182*1000)/($H182*$B$5),(PI()*EO$12^2)/4*(EK182*$W182*1000)/($G182*$B$5))))))/10</f>
        <v>#N/A</v>
      </c>
      <c r="EP182" s="102" t="e">
        <f>(VLOOKUP($B$3,'Coeff EC7'!$T$39:$X$59,2,0)*EN182+VLOOKUP($B$3,'Coeff EC7'!$T$65:$X$85,2,0)*Model0.1C!EO182)/1.1</f>
        <v>#N/A</v>
      </c>
      <c r="EQ182" s="102" t="e">
        <f>(VLOOKUP($B$3,'Coeff EC7'!$T$39:$X$59,3,0)*EN182+VLOOKUP($B$3,'Coeff EC7'!$T$65:$X$85,3,0)*Model0.1C!EO182)/0.9</f>
        <v>#N/A</v>
      </c>
      <c r="ER182" s="102" t="e">
        <f t="shared" si="294"/>
        <v>#N/A</v>
      </c>
      <c r="ES182" s="102" t="e">
        <f t="shared" si="295"/>
        <v>#N/A</v>
      </c>
      <c r="ET182" s="414" t="e">
        <f>IF(ET181=0,0,IF(AND(EP182&gt;charge_ELS_quasi,EQ182&gt;Charge_ELS_freq,ER182&gt;charge_ELU,ES182&gt;charge_ELA,$B182&gt;NDC!$H$22-0.1+MIN(3*$ET$12,1.5)),0,1))</f>
        <v>#N/A</v>
      </c>
      <c r="EU182" s="86" t="b">
        <f t="shared" si="263"/>
        <v>0</v>
      </c>
      <c r="EV182" s="86">
        <f t="shared" si="264"/>
        <v>0.61</v>
      </c>
      <c r="EW182" s="86">
        <f t="shared" si="265"/>
        <v>0.61</v>
      </c>
      <c r="EX182" s="30" t="e">
        <f t="shared" ca="1" si="296"/>
        <v>#DIV/0!</v>
      </c>
      <c r="EY182" s="85" t="e">
        <f ca="1">IF(EE182&lt;=Hypothèses!$V$7,Hypothèses!$W$7,IF(EE182&lt;=Hypothèses!$V$8,Hypothèses!$W$8,IF(EE182&lt;=Hypothèses!$V$9,Hypothèses!$W$9,IF(EE182&lt;=Hypothèses!$V$10,Hypothèses!$W$10,IF(EE182&lt;=Hypothèses!$V$11,Hypothèses!$W$11,IF(EE182&lt;=Hypothèses!$V$12,Hypothèses!$W$12,IF(EE182&lt;=Hypothèses!$V$13,Hypothèses!$W$13,IF(EE182&lt;=Hypothèses!$V$14,Hypothèses!$W$14,IF(EE182&lt;=Hypothèses!$V$15,Hypothèses!$W$15,IF(EE182&lt;=Hypothèses!$V$16,Hypothèses!$W$16,IF(EE182&lt;=Hypothèses!$V$17,Hypothèses!$W$17,IF(EE182&lt;=Hypothèses!$V$18,Hypothèses!$W$18,""))))))))))))</f>
        <v>#DIV/0!</v>
      </c>
      <c r="EZ182" s="87" t="e">
        <f t="shared" ca="1" si="323"/>
        <v>#DIV/0!</v>
      </c>
      <c r="FA182" s="88" t="e">
        <f ca="1">IF(EE182&lt;=Hypothèses!$V$7,Hypothèses!$X$7,IF(EE182&lt;=Hypothèses!$V$8,Hypothèses!$X$8,IF(EE182&lt;=Hypothèses!$V$9,Hypothèses!$X$9,IF(EE182&lt;=Hypothèses!$V$10,Hypothèses!$X$10,IF(EE182&lt;=Hypothèses!$V$11,Hypothèses!$X$11,IF(EE182&lt;=Hypothèses!$V$12,Hypothèses!$X$12,IF(EE182&lt;=Hypothèses!$V$13,Hypothèses!$X$13,IF(EE182&lt;=Hypothèses!$V$14,Hypothèses!$X$14,IF(EE182&lt;=Hypothèses!$V$15,Hypothèses!$X$15,IF(EE182&lt;=Hypothèses!$V$16,Hypothèses!$X$16,IF(EE182&lt;=Hypothèses!$U$17,Hypothèses!$W$17,IF(EE182&lt;=Hypothèses!$U$18,Hypothèses!$W$18,""))))))))))))</f>
        <v>#DIV/0!</v>
      </c>
      <c r="FB182" s="95" t="e">
        <f t="shared" ca="1" si="297"/>
        <v>#DIV/0!</v>
      </c>
      <c r="FC182" s="101" t="e">
        <f t="shared" si="330"/>
        <v>#N/A</v>
      </c>
      <c r="FD182" s="91" t="e">
        <f t="shared" si="266"/>
        <v>#N/A</v>
      </c>
      <c r="FE182" s="30" t="e">
        <f t="shared" si="314"/>
        <v>#N/A</v>
      </c>
      <c r="FF182" s="30" t="e">
        <f t="shared" si="315"/>
        <v>#N/A</v>
      </c>
      <c r="FG182" s="31" t="e">
        <f>IF(OR(Hypothèses!$B$4=17,Hypothèses!$B$4=18,Hypothèses!$B$4=19,Hypothèses!$B$4=20),
IF($D182="Pressio.",
IF(OR($E182=3,$E182=1,$E182=4),FF182,FE182),
IF($D182="Pénétro.",
IF(OR($E182=3,$E182=1,$E182=4),FF182,FE182))),IF($D182="Pressio.",
IF($E182=3,FF182,FE182),
IF($D182="Pénétro.",
IF($E182=4,FF182,FE182))))</f>
        <v>#N/A</v>
      </c>
      <c r="FH182" s="31" t="e">
        <f>(IF(OR(Hypothèses!$B$4=17,Hypothèses!$B$4=18,Hypothèses!$B$4=19,Hypothèses!$B$4=20),
IF($D182="Pressio.",
IF(OR($E182=3,$E182=1,$E182=4),(PI()*FH$12^2)/4*(FD182*$W182*1000)/($H182*$B$5),(PI()*FH$12^2)/4*(FD182*$W182*1000)/($G182*$B$5)),
IF($D182="Pénétro.",
IF(OR($E182=4,$E182=1,$E182=5),(PI()*FH$12^2)/4*(FD182*$W182*1000)/($H182*$B$5),(PI()*FH$12^2)/4*(FD182*$W182*1000)/($G182*$B$5)))),
IF($D182="Pressio.",
IF($E182=3,(PI()*FH$12^2)/4*(FD182*$W182*1000)/($H182*$B$5),(PI()*FH$12^2)/4*(FD182*$W182*1000)/($G182*$B$5)),
IF($D182="Pénétro.",
IF($E182=4,(PI()*FH$12^2)/4*(FD182*$W182*1000)/($H182*$B$5),(PI()*FH$12^2)/4*(FD182*$W182*1000)/($G182*$B$5))))))/10</f>
        <v>#N/A</v>
      </c>
      <c r="FI182" s="102" t="e">
        <f>(VLOOKUP($B$3,'Coeff EC7'!$T$39:$X$59,2,0)*FG182+VLOOKUP($B$3,'Coeff EC7'!$T$65:$X$85,2,0)*Model0.1C!FH182)/1.1</f>
        <v>#N/A</v>
      </c>
      <c r="FJ182" s="102" t="e">
        <f>(VLOOKUP($B$3,'Coeff EC7'!$T$39:$X$59,3,0)*FG182+VLOOKUP($B$3,'Coeff EC7'!$T$65:$X$85,3,0)*Model0.1C!FH182)/0.9</f>
        <v>#N/A</v>
      </c>
      <c r="FK182" s="102" t="e">
        <f t="shared" si="298"/>
        <v>#N/A</v>
      </c>
      <c r="FL182" s="102" t="e">
        <f t="shared" si="299"/>
        <v>#N/A</v>
      </c>
      <c r="FM182" s="414" t="e">
        <f>IF(FM181=0,0,IF(AND(FI182&gt;charge_ELS_quasi,FJ182&gt;Charge_ELS_freq,FK182&gt;charge_ELU,FL182&gt;charge_ELA,$B182&gt;NDC!$H$22-0.1+MIN(3*$FM$12,1.5)),0,1))</f>
        <v>#N/A</v>
      </c>
    </row>
    <row r="183" spans="1:169">
      <c r="A183" s="96">
        <f t="shared" si="267"/>
        <v>83.000000000000966</v>
      </c>
      <c r="B183" s="97">
        <v>17</v>
      </c>
      <c r="C183" s="81">
        <f>IF(B183&lt;=Hypothèses!$C$7,Hypothèses!$A$7,IF(B183&lt;=Hypothèses!$C$8,Hypothèses!$A$8,IF(B183&lt;=Hypothèses!$C$9,Hypothèses!$A$9,IF(B183&lt;=Hypothèses!$C$10,Hypothèses!$A$10,IF(B183&lt;=Hypothèses!$C$11,Hypothèses!$A$11,IF(B183&lt;=Hypothèses!$C$12,Hypothèses!$A$12,IF(B183&lt;=Hypothèses!$C$13,Hypothèses!$A$13,IF(B183&lt;=Hypothèses!$C$14,Hypothèses!$A$14,IF(B183&lt;=Hypothèses!$C$15,Hypothèses!$A$15,IF(B183&lt;=Hypothèses!$C$16,Hypothèses!$A$16,IF(B183&lt;=Hypothèses!$C$17,Hypothèses!$A$17,IF(B183&lt;=Hypothèses!$C$18,Hypothèses!$A$18,C182))))))))))))</f>
        <v>11</v>
      </c>
      <c r="D183" s="82" t="str">
        <f>IF(B183&lt;=Hypothèses!$C$7,Hypothèses!$R$7,IF(B183&lt;=Hypothèses!$C$8,Hypothèses!$R$8,IF(B183&lt;=Hypothèses!$C$9,Hypothèses!$R$9,IF(B183&lt;=Hypothèses!$C$10,Hypothèses!$R$10,IF(B183&lt;=Hypothèses!$C$11,Hypothèses!$R$11,IF(B183&lt;=Hypothèses!$C$12,Hypothèses!$R$12,IF(B183&lt;=Hypothèses!$C$13,Hypothèses!$R$13,IF(B183&lt;=Hypothèses!$C$14,Hypothèses!$R$14,IF(B183&lt;=Hypothèses!$C$15,Hypothèses!$R$15,IF(B183&lt;=Hypothèses!$C$16,Hypothèses!$R$16,IF(B183&lt;=Hypothèses!$C$17,Hypothèses!$R$17,IF(B183&lt;=Hypothèses!$C$18,Hypothèses!$R$18,D182))))))))))))</f>
        <v>Pressio.</v>
      </c>
      <c r="E183" s="82" t="e">
        <f>IF(B183&lt;=Hypothèses!$C$7,Hypothèses!$G$7,IF(B183&lt;=Hypothèses!$C$8,Hypothèses!$G$8,IF(B183&lt;=Hypothèses!$C$9,Hypothèses!$G$9,IF(B183&lt;=Hypothèses!$C$10,Hypothèses!$G$10,IF(B183&lt;=Hypothèses!$C$11,Hypothèses!$G$11,IF(B183&lt;=Hypothèses!$C$12,Hypothèses!$G$12,IF(B183&lt;=Hypothèses!$C$13,Hypothèses!$G$13,IF(B183&lt;=Hypothèses!$C$14,Hypothèses!$G$14,IF(B183&lt;=Hypothèses!$C$15,Hypothèses!$G$15,IF(B183&lt;=Hypothèses!$C$16,Hypothèses!$G$16,IF(B183&lt;=Hypothèses!$C$17,Hypothèses!$G$17,IF(B183&lt;=Hypothèses!$C$18,Hypothèses!$G$18,E182))))))))))))</f>
        <v>#N/A</v>
      </c>
      <c r="F183" s="82" t="str">
        <f>IF(B183&lt;=Hypothèses!$C$7,Hypothèses!$F$7,IF(B183&lt;=Hypothèses!$C$8,Hypothèses!$F$8,IF(B183&lt;=Hypothèses!$C$9,Hypothèses!$F$9,IF(B183&lt;=Hypothèses!$C$10,Hypothèses!$F$10,IF(B183&lt;=Hypothèses!$C$11,Hypothèses!$F$11,IF(B183&lt;=Hypothèses!$C$12,Hypothèses!$F$12,IF(B183&lt;=Hypothèses!$C$13,Hypothèses!$F$13,IF(B183&lt;=Hypothèses!$C$14,Hypothèses!$F$14,IF(B183&lt;=Hypothèses!$C$15,Hypothèses!$F$15,IF(B183&lt;=Hypothèses!$C$16,Hypothèses!$F$16,IF(B183&lt;=Hypothèses!$C$17,Hypothèses!$F$17,IF(B183&lt;=Hypothèses!$C$18,Hypothèses!$F$18,F182))))))))))))</f>
        <v/>
      </c>
      <c r="G183" s="91">
        <f t="array" ref="G183">INDEX('Coeff EC7'!$U$7:$X$27,
MATCH(Model0.1C!$B$3,'Coeff EC7'!$T$7:$T$27,0),
MATCH(Model0.1C!$D183&amp;Model0.1C!$B$4,
'Coeff EC7'!$U$6:$X$6&amp;
'Coeff EC7'!$U$5:$X$5,0))</f>
        <v>1.1499999999999999</v>
      </c>
      <c r="H183" s="91">
        <f t="array" ref="H183">INDEX('Coeff EC7'!$Y$7:$AB$27,
MATCH(Model0.1C!$B$3,'Coeff EC7'!$T$7:$T$27,0),
MATCH(Model0.1C!$D183&amp;Model0.1C!$B$4,
'Coeff EC7'!$Y$6:$AB$6&amp;
'Coeff EC7'!$Y$5:$AB$5,0))</f>
        <v>1.4</v>
      </c>
      <c r="I183" s="83" t="e">
        <f>IF(B183&lt;=Hypothèses!$C$7,Hypothèses!$P$7,IF(B183&lt;=Hypothèses!$C$8,Hypothèses!$P$8,IF(B183&lt;=Hypothèses!$C$9,Hypothèses!$P$9,IF(B183&lt;=Hypothèses!$C$10,Hypothèses!$P$10,IF(B183&lt;=Hypothèses!$C$11,Hypothèses!$P$11,IF(B183&lt;=Hypothèses!$C$12,Hypothèses!$P$12,IF(B183&lt;=Hypothèses!$C$13,Hypothèses!$P$13,IF(B183&lt;=Hypothèses!$C$14,Hypothèses!$P$14,IF(B183&lt;=Hypothèses!$C$15,Hypothèses!$P$15,IF(B183&lt;=Hypothèses!$C$16,Hypothèses!$P$16,IF(B183&lt;=Hypothèses!$C$17,Hypothèses!$P$17,IF(B183&lt;=Hypothèses!$C$18,Hypothèses!$P$18,I182))))))))))))</f>
        <v>#N/A</v>
      </c>
      <c r="J183" s="91" t="e">
        <f t="array" ref="J183">INDEX('Coeff EC7'!$D$33:$Q$33,1,MATCH(D183&amp;E183,'Coeff EC7'!$D$31:$Q$31&amp;'Coeff EC7'!$D$32:$Q$32,0))</f>
        <v>#N/A</v>
      </c>
      <c r="K183" s="91" t="e">
        <f t="array" ref="K183">INDEX('Coeff EC7'!$D$34:$Q$34,1,MATCH(D183&amp;E183,'Coeff EC7'!$D$31:$Q$31&amp;'Coeff EC7'!$D$32:$Q$32,0))</f>
        <v>#N/A</v>
      </c>
      <c r="L183" s="91" t="e">
        <f t="array" ref="L183">INDEX('Coeff EC7'!$D$35:$Q$35,1,MATCH(D183&amp;E183,'Coeff EC7'!$D$31:$Q$31&amp;'Coeff EC7'!$D$32:$Q$32,0))</f>
        <v>#N/A</v>
      </c>
      <c r="M183" s="98" t="e">
        <f t="shared" si="231"/>
        <v>#N/A</v>
      </c>
      <c r="N183" s="99" t="e">
        <f t="array" ref="N183">INDEX('Coeff EC7'!$D$7:$Q$27,MATCH($B$3,'Coeff EC7'!$C$7:$C$27,0),MATCH(D183&amp;E183,'Coeff EC7'!$D$5:$Q$5&amp;'Coeff EC7'!$D$6:$Q$6,0))</f>
        <v>#N/A</v>
      </c>
      <c r="O183" s="99" t="e">
        <f t="array" ref="O183">INDEX('Coeff EC7'!$D$41:$Q$61,MATCH($B$3,'Coeff EC7'!$C$41:$C$61,0),MATCH(D183&amp;E183,'Coeff EC7'!$D$39:$Q$39&amp;'Coeff EC7'!$D$40:$Q$40,0))</f>
        <v>#N/A</v>
      </c>
      <c r="P183" s="30" t="e">
        <f t="shared" si="268"/>
        <v>#N/A</v>
      </c>
      <c r="Q183" s="100" t="e">
        <f t="shared" si="233"/>
        <v>#N/A</v>
      </c>
      <c r="R183" s="86" t="b">
        <f t="shared" si="234"/>
        <v>0</v>
      </c>
      <c r="S183" s="86">
        <f t="shared" si="232"/>
        <v>0.5</v>
      </c>
      <c r="T183" s="86">
        <f t="shared" si="235"/>
        <v>0.5</v>
      </c>
      <c r="U183" s="30" t="e">
        <f t="shared" ca="1" si="269"/>
        <v>#DIV/0!</v>
      </c>
      <c r="V183" s="85" t="str">
        <f>IF(B183&lt;=Hypothèses!$V$7,Hypothèses!$W$7,IF(B183&lt;=Hypothèses!$V$8,Hypothèses!$W$8,IF(B183&lt;=Hypothèses!$V$9,Hypothèses!$W$9,IF(B183&lt;=Hypothèses!$V$10,Hypothèses!$W$10,IF(B183&lt;=Hypothèses!$V$11,Hypothèses!$W$11,IF(B183&lt;=Hypothèses!$V$12,Hypothèses!$W$12,IF(B183&lt;=Hypothèses!$V$13,Hypothèses!$W$13,IF(B183&lt;=Hypothèses!$V$14,Hypothèses!$W$14,IF(B183&lt;=Hypothèses!$V$15,Hypothèses!$W$15,IF(B183&lt;=Hypothèses!$V$16,Hypothèses!$W$16,IF(B183&lt;=Hypothèses!$V$17,Hypothèses!$W$17,IF(B183&lt;=Hypothèses!$V$18,Hypothèses!$W$18,""))))))))))))</f>
        <v/>
      </c>
      <c r="W183" s="87" t="e">
        <f t="shared" ca="1" si="316"/>
        <v>#DIV/0!</v>
      </c>
      <c r="X183" s="88" t="str">
        <f>IF(B183&lt;=Hypothèses!$V$7,Hypothèses!$X$7,IF(B183&lt;=Hypothèses!$V$8,Hypothèses!$X$8,IF(B183&lt;=Hypothèses!$V$9,Hypothèses!$X$9,IF(B183&lt;=Hypothèses!$V$10,Hypothèses!$X$10,IF(B183&lt;=Hypothèses!$V$11,Hypothèses!$X$11,IF(B183&lt;=Hypothèses!$V$12,Hypothèses!$X$12,IF(B183&lt;=Hypothèses!$V$13,Hypothèses!$X$13,IF(B183&lt;=Hypothèses!$V$14,Hypothèses!$X$14,IF(B183&lt;=Hypothèses!$V$15,Hypothèses!$X$15,IF(B183&lt;=Hypothèses!$V$16,Hypothèses!$X$16,IF(B183&lt;=Hypothèses!$U$17,Hypothèses!$W$17,IF(B183&lt;=Hypothèses!$U$18,Hypothèses!$W$18,""))))))))))))</f>
        <v/>
      </c>
      <c r="Y183" s="95" t="e">
        <f t="shared" ca="1" si="236"/>
        <v>#DIV/0!</v>
      </c>
      <c r="Z183" s="101" t="e">
        <f t="shared" si="237"/>
        <v>#N/A</v>
      </c>
      <c r="AA183" s="91" t="e">
        <f t="shared" si="238"/>
        <v>#N/A</v>
      </c>
      <c r="AB183" s="30" t="e">
        <f t="shared" si="300"/>
        <v>#N/A</v>
      </c>
      <c r="AC183" s="30" t="e">
        <f t="shared" si="301"/>
        <v>#N/A</v>
      </c>
      <c r="AD183" s="31" t="e">
        <f>IF(OR(Hypothèses!$B$4=17,Hypothèses!$B$4=18,Hypothèses!$B$4=19,Hypothèses!$B$4=20),
IF($D183="Pressio.",
IF(OR($E183=3,$E183=1,$E183=4),AC183,AB183),
IF($D183="Pénétro.",
IF(OR($E183=3,$E183=1,$E183=4),AC183,AB183))),IF($D183="Pressio.",
IF($E183=3,AC183,AB183),
IF($D183="Pénétro.",
IF($E183=4,AC183,AB183))))</f>
        <v>#N/A</v>
      </c>
      <c r="AE183" s="31" t="e">
        <f>(IF(OR(Hypothèses!$B$4=17,Hypothèses!$B$4=18,Hypothèses!$B$4=19,Hypothèses!$B$4=20),
IF($D183="Pressio.",
IF(OR($E183=3,$E183=1,$E183=4),(PI()*AE$12^2)/4*(AA183*$W183*1000)/($H183*$B$5),(PI()*AE$12^2)/4*(AA183*$W183*1000)/($G183*$B$5)),
IF($D183="Pénétro.",
IF(OR($E183=4,$E183=1,$E183=5),(PI()*AE$12^2)/4*(AA183*$W183*1000)/($H183*$B$5),(PI()*AE$12^2)/4*(AA183*$W183*1000)/($G183*$B$5)))),
IF($D183="Pressio.",
IF($E183=3,(PI()*AE$12^2)/4*(AA183*$W183*1000)/($H183*$B$5),(PI()*AE$12^2)/4*(AA183*$W183*1000)/($G183*$B$5)),
IF($D183="Pénétro.",
IF($E183=4,(PI()*AE$12^2)/4*(AA183*$W183*1000)/($H183*$B$5),(PI()*AE$12^2)/4*(AA183*$W183*1000)/($G183*$B$5))))))/10</f>
        <v>#N/A</v>
      </c>
      <c r="AF183" s="102" t="e">
        <f>(VLOOKUP($B$3,'Coeff EC7'!$T$39:$X$59,2,0)*AD183+VLOOKUP($B$3,'Coeff EC7'!$T$65:$X$85,2,0)*Model0.1C!AE183)/1.1</f>
        <v>#N/A</v>
      </c>
      <c r="AG183" s="102" t="e">
        <f>(VLOOKUP($B$3,'Coeff EC7'!$T$39:$X$59,3,0)*AD183+VLOOKUP($B$3,'Coeff EC7'!$T$65:$X$85,3,0)*Model0.1C!AE183)/0.9</f>
        <v>#N/A</v>
      </c>
      <c r="AH183" s="102" t="e">
        <f t="shared" si="239"/>
        <v>#N/A</v>
      </c>
      <c r="AI183" s="102" t="e">
        <f t="shared" si="240"/>
        <v>#N/A</v>
      </c>
      <c r="AJ183" s="414" t="e">
        <f>IF(AJ182=0,0,IF(AND(AF183&gt;charge_ELS_quasi,AG183&gt;Charge_ELS_freq,AH183&gt;charge_ELU,AI183&gt;charge_ELA,$B183&gt;NDC!$H$22-0.1+MIN(3*$AJ$12,1.5)),0,1))</f>
        <v>#N/A</v>
      </c>
      <c r="AK183" s="86" t="b">
        <f t="shared" si="241"/>
        <v>0</v>
      </c>
      <c r="AL183" s="86">
        <f t="shared" si="270"/>
        <v>0.5</v>
      </c>
      <c r="AM183" s="86">
        <f t="shared" si="242"/>
        <v>0.5</v>
      </c>
      <c r="AN183" s="30" t="e">
        <f t="shared" ca="1" si="271"/>
        <v>#DIV/0!</v>
      </c>
      <c r="AO183" s="85" t="e">
        <f ca="1">IF(U183&lt;=Hypothèses!$V$7,Hypothèses!$W$7,IF(U183&lt;=Hypothèses!$V$8,Hypothèses!$W$8,IF(U183&lt;=Hypothèses!$V$9,Hypothèses!$W$9,IF(U183&lt;=Hypothèses!$V$10,Hypothèses!$W$10,IF(U183&lt;=Hypothèses!$V$11,Hypothèses!$W$11,IF(U183&lt;=Hypothèses!$V$12,Hypothèses!$W$12,IF(U183&lt;=Hypothèses!$V$13,Hypothèses!$W$13,IF(U183&lt;=Hypothèses!$V$14,Hypothèses!$W$14,IF(U183&lt;=Hypothèses!$V$15,Hypothèses!$W$15,IF(U183&lt;=Hypothèses!$V$16,Hypothèses!$W$16,IF(U183&lt;=Hypothèses!$V$17,Hypothèses!$W$17,IF(U183&lt;=Hypothèses!$V$18,Hypothèses!$W$18,""))))))))))))</f>
        <v>#DIV/0!</v>
      </c>
      <c r="AP183" s="87" t="e">
        <f t="shared" ca="1" si="317"/>
        <v>#DIV/0!</v>
      </c>
      <c r="AQ183" s="88" t="e">
        <f ca="1">IF(U183&lt;=Hypothèses!$V$7,Hypothèses!$X$7,IF(U183&lt;=Hypothèses!$V$8,Hypothèses!$X$8,IF(U183&lt;=Hypothèses!$V$9,Hypothèses!$X$9,IF(U183&lt;=Hypothèses!$V$10,Hypothèses!$X$10,IF(U183&lt;=Hypothèses!$V$11,Hypothèses!$X$11,IF(U183&lt;=Hypothèses!$V$12,Hypothèses!$X$12,IF(U183&lt;=Hypothèses!$V$13,Hypothèses!$X$13,IF(U183&lt;=Hypothèses!$V$14,Hypothèses!$X$14,IF(U183&lt;=Hypothèses!$V$15,Hypothèses!$X$15,IF(U183&lt;=Hypothèses!$V$16,Hypothèses!$X$16,IF(U183&lt;=Hypothèses!$U$17,Hypothèses!$W$17,IF(U183&lt;=Hypothèses!$U$18,Hypothèses!$W$18,""))))))))))))</f>
        <v>#DIV/0!</v>
      </c>
      <c r="AR183" s="95" t="e">
        <f t="shared" ca="1" si="272"/>
        <v>#DIV/0!</v>
      </c>
      <c r="AS183" s="101" t="e">
        <f t="shared" si="324"/>
        <v>#N/A</v>
      </c>
      <c r="AT183" s="91" t="e">
        <f t="shared" si="243"/>
        <v>#N/A</v>
      </c>
      <c r="AU183" s="30" t="e">
        <f t="shared" si="302"/>
        <v>#N/A</v>
      </c>
      <c r="AV183" s="30" t="e">
        <f t="shared" si="303"/>
        <v>#N/A</v>
      </c>
      <c r="AW183" s="31" t="e">
        <f>IF(OR(Hypothèses!$B$4=17,Hypothèses!$B$4=18,Hypothèses!$B$4=19,Hypothèses!$B$4=20),
IF($D183="Pressio.",
IF(OR($E183=3,$E183=1,$E183=4),AV183,AU183),
IF($D183="Pénétro.",
IF(OR($E183=3,$E183=1,$E183=4),AV183,AU183))),IF($D183="Pressio.",
IF($E183=3,AV183,AU183),
IF($D183="Pénétro.",
IF($E183=4,AV183,AU183))))</f>
        <v>#N/A</v>
      </c>
      <c r="AX183" s="31" t="e">
        <f>(IF(OR(Hypothèses!$B$4=17,Hypothèses!$B$4=18,Hypothèses!$B$4=19,Hypothèses!$B$4=20),
IF($D183="Pressio.",
IF(OR($E183=3,$E183=1,$E183=4),(PI()*AX$12^2)/4*(AT183*$W183*1000)/($H183*$B$5),(PI()*AX$12^2)/4*(AT183*$W183*1000)/($G183*$B$5)),
IF($D183="Pénétro.",
IF(OR($E183=4,$E183=1,$E183=5),(PI()*AX$12^2)/4*(AT183*$W183*1000)/($H183*$B$5),(PI()*AX$12^2)/4*(AT183*$W183*1000)/($G183*$B$5)))),
IF($D183="Pressio.",
IF($E183=3,(PI()*AX$12^2)/4*(AT183*$W183*1000)/($H183*$B$5),(PI()*AX$12^2)/4*(AT183*$W183*1000)/($G183*$B$5)),
IF($D183="Pénétro.",
IF($E183=4,(PI()*AX$12^2)/4*(AT183*$W183*1000)/($H183*$B$5),(PI()*AX$12^2)/4*(AT183*$W183*1000)/($G183*$B$5))))))/10</f>
        <v>#N/A</v>
      </c>
      <c r="AY183" s="102" t="e">
        <f>(VLOOKUP($B$3,'Coeff EC7'!$T$39:$X$59,2,0)*AW183+VLOOKUP($B$3,'Coeff EC7'!$T$65:$X$85,2,0)*Model0.1C!AX183)/1.1</f>
        <v>#N/A</v>
      </c>
      <c r="AZ183" s="102" t="e">
        <f>(VLOOKUP($B$3,'Coeff EC7'!$T$39:$X$59,3,0)*AW183+VLOOKUP($B$3,'Coeff EC7'!$T$65:$X$85,3,0)*Model0.1C!AX183)/0.9</f>
        <v>#N/A</v>
      </c>
      <c r="BA183" s="102" t="e">
        <f t="shared" si="273"/>
        <v>#N/A</v>
      </c>
      <c r="BB183" s="102" t="e">
        <f t="shared" si="274"/>
        <v>#N/A</v>
      </c>
      <c r="BC183" s="414" t="e">
        <f>IF(BC182=0,0,IF(AND(AY183&gt;charge_ELS_quasi,AZ183&gt;Charge_ELS_freq,BA183&gt;charge_ELU,BB183&gt;charge_ELA,$B183&gt;NDC!$H$22-0.1+MIN(3*$BC$12,1.5)),0,1))</f>
        <v>#N/A</v>
      </c>
      <c r="BD183" s="86" t="b">
        <f t="shared" si="244"/>
        <v>0</v>
      </c>
      <c r="BE183" s="86">
        <f t="shared" si="275"/>
        <v>0.5</v>
      </c>
      <c r="BF183" s="86">
        <f t="shared" si="245"/>
        <v>0.5</v>
      </c>
      <c r="BG183" s="30" t="e">
        <f t="shared" ca="1" si="276"/>
        <v>#DIV/0!</v>
      </c>
      <c r="BH183" s="85" t="e">
        <f ca="1">IF(AN183&lt;=Hypothèses!$V$7,Hypothèses!$W$7,IF(AN183&lt;=Hypothèses!$V$8,Hypothèses!$W$8,IF(AN183&lt;=Hypothèses!$V$9,Hypothèses!$W$9,IF(AN183&lt;=Hypothèses!$V$10,Hypothèses!$W$10,IF(AN183&lt;=Hypothèses!$V$11,Hypothèses!$W$11,IF(AN183&lt;=Hypothèses!$V$12,Hypothèses!$W$12,IF(AN183&lt;=Hypothèses!$V$13,Hypothèses!$W$13,IF(AN183&lt;=Hypothèses!$V$14,Hypothèses!$W$14,IF(AN183&lt;=Hypothèses!$V$15,Hypothèses!$W$15,IF(AN183&lt;=Hypothèses!$V$16,Hypothèses!$W$16,IF(AN183&lt;=Hypothèses!$V$17,Hypothèses!$W$17,IF(AN183&lt;=Hypothèses!$V$18,Hypothèses!$W$18,""))))))))))))</f>
        <v>#DIV/0!</v>
      </c>
      <c r="BI183" s="87" t="e">
        <f t="shared" ca="1" si="318"/>
        <v>#DIV/0!</v>
      </c>
      <c r="BJ183" s="88" t="e">
        <f ca="1">IF(AN183&lt;=Hypothèses!$V$7,Hypothèses!$X$7,IF(AN183&lt;=Hypothèses!$V$8,Hypothèses!$X$8,IF(AN183&lt;=Hypothèses!$V$9,Hypothèses!$X$9,IF(AN183&lt;=Hypothèses!$V$10,Hypothèses!$X$10,IF(AN183&lt;=Hypothèses!$V$11,Hypothèses!$X$11,IF(AN183&lt;=Hypothèses!$V$12,Hypothèses!$X$12,IF(AN183&lt;=Hypothèses!$V$13,Hypothèses!$X$13,IF(AN183&lt;=Hypothèses!$V$14,Hypothèses!$X$14,IF(AN183&lt;=Hypothèses!$V$15,Hypothèses!$X$15,IF(AN183&lt;=Hypothèses!$V$16,Hypothèses!$X$16,IF(AN183&lt;=Hypothèses!$U$17,Hypothèses!$W$17,IF(AN183&lt;=Hypothèses!$U$18,Hypothèses!$W$18,""))))))))))))</f>
        <v>#DIV/0!</v>
      </c>
      <c r="BK183" s="95" t="e">
        <f t="shared" ca="1" si="277"/>
        <v>#DIV/0!</v>
      </c>
      <c r="BL183" s="101" t="e">
        <f t="shared" si="325"/>
        <v>#N/A</v>
      </c>
      <c r="BM183" s="91" t="e">
        <f t="shared" si="246"/>
        <v>#N/A</v>
      </c>
      <c r="BN183" s="30" t="e">
        <f t="shared" si="304"/>
        <v>#N/A</v>
      </c>
      <c r="BO183" s="30" t="e">
        <f t="shared" si="305"/>
        <v>#N/A</v>
      </c>
      <c r="BP183" s="31" t="e">
        <f>IF(OR(Hypothèses!$B$4=17,Hypothèses!$B$4=18,Hypothèses!$B$4=19,Hypothèses!$B$4=20),
IF($D183="Pressio.",
IF(OR($E183=3,$E183=1,$E183=4),BO183,BN183),
IF($D183="Pénétro.",
IF(OR($E183=3,$E183=1,$E183=4),BO183,BN183))),IF($D183="Pressio.",
IF($E183=3,BO183,BN183),
IF($D183="Pénétro.",
IF($E183=4,BO183,BN183))))</f>
        <v>#N/A</v>
      </c>
      <c r="BQ183" s="31" t="e">
        <f>(IF(OR(Hypothèses!$B$4=17,Hypothèses!$B$4=18,Hypothèses!$B$4=19,Hypothèses!$B$4=20),
IF($D183="Pressio.",
IF(OR($E183=3,$E183=1,$E183=4),(PI()*BQ$12^2)/4*(BM183*$W183*1000)/($H183*$B$5),(PI()*BQ$12^2)/4*(BM183*$W183*1000)/($G183*$B$5)),
IF($D183="Pénétro.",
IF(OR($E183=4,$E183=1,$E183=5),(PI()*BQ$12^2)/4*(BM183*$W183*1000)/($H183*$B$5),(PI()*BQ$12^2)/4*(BM183*$W183*1000)/($G183*$B$5)))),
IF($D183="Pressio.",
IF($E183=3,(PI()*BQ$12^2)/4*(BM183*$W183*1000)/($H183*$B$5),(PI()*BQ$12^2)/4*(BM183*$W183*1000)/($G183*$B$5)),
IF($D183="Pénétro.",
IF($E183=4,(PI()*BQ$12^2)/4*(BM183*$W183*1000)/($H183*$B$5),(PI()*BQ$12^2)/4*(BM183*$W183*1000)/($G183*$B$5))))))/10</f>
        <v>#N/A</v>
      </c>
      <c r="BR183" s="102" t="e">
        <f>(VLOOKUP($B$3,'Coeff EC7'!$T$39:$X$59,2,0)*BP183+VLOOKUP($B$3,'Coeff EC7'!$T$65:$X$85,2,0)*Model0.1C!BQ183)/1.1</f>
        <v>#N/A</v>
      </c>
      <c r="BS183" s="102" t="e">
        <f>(VLOOKUP($B$3,'Coeff EC7'!$T$39:$X$59,3,0)*BP183+VLOOKUP($B$3,'Coeff EC7'!$T$65:$X$85,3,0)*Model0.1C!BQ183)/0.9</f>
        <v>#N/A</v>
      </c>
      <c r="BT183" s="102" t="e">
        <f t="shared" si="278"/>
        <v>#N/A</v>
      </c>
      <c r="BU183" s="102" t="e">
        <f t="shared" si="279"/>
        <v>#N/A</v>
      </c>
      <c r="BV183" s="414" t="e">
        <f>IF(BV182=0,0,IF(AND(BR183&gt;charge_ELS_quasi,BS183&gt;Charge_ELS_freq,BT183&gt;charge_ELU,BU183&gt;charge_ELA,$B183&gt;NDC!$H$22-0.1+MIN(3*$BV$12,1.5)),0,1))</f>
        <v>#N/A</v>
      </c>
      <c r="BW183" s="86" t="b">
        <f t="shared" si="247"/>
        <v>0</v>
      </c>
      <c r="BX183" s="86">
        <f t="shared" si="248"/>
        <v>0.5</v>
      </c>
      <c r="BY183" s="86">
        <f t="shared" si="249"/>
        <v>0.5</v>
      </c>
      <c r="BZ183" s="30" t="e">
        <f t="shared" ca="1" si="280"/>
        <v>#DIV/0!</v>
      </c>
      <c r="CA183" s="85" t="e">
        <f ca="1">IF(BG183&lt;=Hypothèses!$V$7,Hypothèses!$W$7,IF(BG183&lt;=Hypothèses!$V$8,Hypothèses!$W$8,IF(BG183&lt;=Hypothèses!$V$9,Hypothèses!$W$9,IF(BG183&lt;=Hypothèses!$V$10,Hypothèses!$W$10,IF(BG183&lt;=Hypothèses!$V$11,Hypothèses!$W$11,IF(BG183&lt;=Hypothèses!$V$12,Hypothèses!$W$12,IF(BG183&lt;=Hypothèses!$V$13,Hypothèses!$W$13,IF(BG183&lt;=Hypothèses!$V$14,Hypothèses!$W$14,IF(BG183&lt;=Hypothèses!$V$15,Hypothèses!$W$15,IF(BG183&lt;=Hypothèses!$V$16,Hypothèses!$W$16,IF(BG183&lt;=Hypothèses!$V$17,Hypothèses!$W$17,IF(BG183&lt;=Hypothèses!$V$18,Hypothèses!$W$18,""))))))))))))</f>
        <v>#DIV/0!</v>
      </c>
      <c r="CB183" s="87" t="e">
        <f t="shared" ca="1" si="319"/>
        <v>#DIV/0!</v>
      </c>
      <c r="CC183" s="88" t="e">
        <f ca="1">IF(BG183&lt;=Hypothèses!$V$7,Hypothèses!$X$7,IF(BG183&lt;=Hypothèses!$V$8,Hypothèses!$X$8,IF(BG183&lt;=Hypothèses!$V$9,Hypothèses!$X$9,IF(BG183&lt;=Hypothèses!$V$10,Hypothèses!$X$10,IF(BG183&lt;=Hypothèses!$V$11,Hypothèses!$X$11,IF(BG183&lt;=Hypothèses!$V$12,Hypothèses!$X$12,IF(BG183&lt;=Hypothèses!$V$13,Hypothèses!$X$13,IF(BG183&lt;=Hypothèses!$V$14,Hypothèses!$X$14,IF(BG183&lt;=Hypothèses!$V$15,Hypothèses!$X$15,IF(BG183&lt;=Hypothèses!$V$16,Hypothèses!$X$16,IF(BG183&lt;=Hypothèses!$U$17,Hypothèses!$W$17,IF(BG183&lt;=Hypothèses!$U$18,Hypothèses!$W$18,""))))))))))))</f>
        <v>#DIV/0!</v>
      </c>
      <c r="CD183" s="95" t="e">
        <f t="shared" ca="1" si="281"/>
        <v>#DIV/0!</v>
      </c>
      <c r="CE183" s="101" t="e">
        <f t="shared" si="326"/>
        <v>#N/A</v>
      </c>
      <c r="CF183" s="91" t="e">
        <f t="shared" si="250"/>
        <v>#N/A</v>
      </c>
      <c r="CG183" s="30" t="e">
        <f t="shared" si="306"/>
        <v>#N/A</v>
      </c>
      <c r="CH183" s="30" t="e">
        <f t="shared" si="307"/>
        <v>#N/A</v>
      </c>
      <c r="CI183" s="31" t="e">
        <f>IF(OR(Hypothèses!$B$4=17,Hypothèses!$B$4=18,Hypothèses!$B$4=19,Hypothèses!$B$4=20),
IF($D183="Pressio.",
IF(OR($E183=3,$E183=1,$E183=4),CH183,CG183),
IF($D183="Pénétro.",
IF(OR($E183=3,$E183=1,$E183=4),CH183,CG183))),IF($D183="Pressio.",
IF($E183=3,CH183,CG183),
IF($D183="Pénétro.",
IF($E183=4,CH183,CG183))))</f>
        <v>#N/A</v>
      </c>
      <c r="CJ183" s="31" t="e">
        <f>(IF(OR(Hypothèses!$B$4=17,Hypothèses!$B$4=18,Hypothèses!$B$4=19,Hypothèses!$B$4=20),
IF($D183="Pressio.",
IF(OR($E183=3,$E183=1,$E183=4),(PI()*CJ$12^2)/4*(CF183*$W183*1000)/($H183*$B$5),(PI()*CJ$12^2)/4*(CF183*$W183*1000)/($G183*$B$5)),
IF($D183="Pénétro.",
IF(OR($E183=4,$E183=1,$E183=5),(PI()*CJ$12^2)/4*(CF183*$W183*1000)/($H183*$B$5),(PI()*CJ$12^2)/4*(CF183*$W183*1000)/($G183*$B$5)))),
IF($D183="Pressio.",
IF($E183=3,(PI()*CJ$12^2)/4*(CF183*$W183*1000)/($H183*$B$5),(PI()*CJ$12^2)/4*(CF183*$W183*1000)/($G183*$B$5)),
IF($D183="Pénétro.",
IF($E183=4,(PI()*CJ$12^2)/4*(CF183*$W183*1000)/($H183*$B$5),(PI()*CJ$12^2)/4*(CF183*$W183*1000)/($G183*$B$5))))))/10</f>
        <v>#N/A</v>
      </c>
      <c r="CK183" s="102" t="e">
        <f>(VLOOKUP($B$3,'Coeff EC7'!$T$39:$X$59,2,0)*CI183+VLOOKUP($B$3,'Coeff EC7'!$T$65:$X$85,2,0)*Model0.1C!CJ183)/1.1</f>
        <v>#N/A</v>
      </c>
      <c r="CL183" s="102" t="e">
        <f>(VLOOKUP($B$3,'Coeff EC7'!$T$39:$X$59,3,0)*CI183+VLOOKUP($B$3,'Coeff EC7'!$T$65:$X$85,3,0)*Model0.1C!CJ183)/0.9</f>
        <v>#N/A</v>
      </c>
      <c r="CM183" s="102" t="e">
        <f t="shared" si="282"/>
        <v>#N/A</v>
      </c>
      <c r="CN183" s="102" t="e">
        <f t="shared" si="283"/>
        <v>#N/A</v>
      </c>
      <c r="CO183" s="414" t="e">
        <f>IF(CO182=0,0,IF(AND(CK183&gt;charge_ELS_quasi,CL183&gt;Charge_ELS_freq,CM183&gt;charge_ELU,CN183&gt;charge_ELA,$B183&gt;NDC!$H$22-0.1+MIN(3*$CO$12,1.5)),0,1))</f>
        <v>#N/A</v>
      </c>
      <c r="CP183" s="86" t="b">
        <f t="shared" si="251"/>
        <v>0</v>
      </c>
      <c r="CQ183" s="86">
        <f t="shared" si="252"/>
        <v>0.5</v>
      </c>
      <c r="CR183" s="86">
        <f t="shared" si="253"/>
        <v>0.5</v>
      </c>
      <c r="CS183" s="30" t="e">
        <f t="shared" ca="1" si="284"/>
        <v>#DIV/0!</v>
      </c>
      <c r="CT183" s="85" t="e">
        <f ca="1">IF(BZ183&lt;=Hypothèses!$V$7,Hypothèses!$W$7,IF(BZ183&lt;=Hypothèses!$V$8,Hypothèses!$W$8,IF(BZ183&lt;=Hypothèses!$V$9,Hypothèses!$W$9,IF(BZ183&lt;=Hypothèses!$V$10,Hypothèses!$W$10,IF(BZ183&lt;=Hypothèses!$V$11,Hypothèses!$W$11,IF(BZ183&lt;=Hypothèses!$V$12,Hypothèses!$W$12,IF(BZ183&lt;=Hypothèses!$V$13,Hypothèses!$W$13,IF(BZ183&lt;=Hypothèses!$V$14,Hypothèses!$W$14,IF(BZ183&lt;=Hypothèses!$V$15,Hypothèses!$W$15,IF(BZ183&lt;=Hypothèses!$V$16,Hypothèses!$W$16,IF(BZ183&lt;=Hypothèses!$V$17,Hypothèses!$W$17,IF(BZ183&lt;=Hypothèses!$V$18,Hypothèses!$W$18,""))))))))))))</f>
        <v>#DIV/0!</v>
      </c>
      <c r="CU183" s="87" t="e">
        <f t="shared" ca="1" si="320"/>
        <v>#DIV/0!</v>
      </c>
      <c r="CV183" s="88" t="e">
        <f ca="1">IF(BZ183&lt;=Hypothèses!$V$7,Hypothèses!$X$7,IF(BZ183&lt;=Hypothèses!$V$8,Hypothèses!$X$8,IF(BZ183&lt;=Hypothèses!$V$9,Hypothèses!$X$9,IF(BZ183&lt;=Hypothèses!$V$10,Hypothèses!$X$10,IF(BZ183&lt;=Hypothèses!$V$11,Hypothèses!$X$11,IF(BZ183&lt;=Hypothèses!$V$12,Hypothèses!$X$12,IF(BZ183&lt;=Hypothèses!$V$13,Hypothèses!$X$13,IF(BZ183&lt;=Hypothèses!$V$14,Hypothèses!$X$14,IF(BZ183&lt;=Hypothèses!$V$15,Hypothèses!$X$15,IF(BZ183&lt;=Hypothèses!$V$16,Hypothèses!$X$16,IF(BZ183&lt;=Hypothèses!$U$17,Hypothèses!$W$17,IF(BZ183&lt;=Hypothèses!$U$18,Hypothèses!$W$18,""))))))))))))</f>
        <v>#DIV/0!</v>
      </c>
      <c r="CW183" s="95" t="e">
        <f t="shared" ca="1" si="285"/>
        <v>#DIV/0!</v>
      </c>
      <c r="CX183" s="101" t="e">
        <f t="shared" si="327"/>
        <v>#N/A</v>
      </c>
      <c r="CY183" s="91" t="e">
        <f t="shared" si="254"/>
        <v>#N/A</v>
      </c>
      <c r="CZ183" s="30" t="e">
        <f t="shared" si="308"/>
        <v>#N/A</v>
      </c>
      <c r="DA183" s="30" t="e">
        <f t="shared" si="309"/>
        <v>#N/A</v>
      </c>
      <c r="DB183" s="31" t="e">
        <f>IF(OR(Hypothèses!$B$4=17,Hypothèses!$B$4=18,Hypothèses!$B$4=19,Hypothèses!$B$4=20),
IF($D183="Pressio.",
IF(OR($E183=3,$E183=1,$E183=4),DA183,CZ183),
IF($D183="Pénétro.",
IF(OR($E183=3,$E183=1,$E183=4),DA183,CZ183))),IF($D183="Pressio.",
IF($E183=3,DA183,CZ183),
IF($D183="Pénétro.",
IF($E183=4,DA183,CZ183))))</f>
        <v>#N/A</v>
      </c>
      <c r="DC183" s="31" t="e">
        <f>(IF(OR(Hypothèses!$B$4=17,Hypothèses!$B$4=18,Hypothèses!$B$4=19,Hypothèses!$B$4=20),
IF($D183="Pressio.",
IF(OR($E183=3,$E183=1,$E183=4),(PI()*DC$12^2)/4*(CY183*$W183*1000)/($H183*$B$5),(PI()*DC$12^2)/4*(CY183*$W183*1000)/($G183*$B$5)),
IF($D183="Pénétro.",
IF(OR($E183=4,$E183=1,$E183=5),(PI()*DC$12^2)/4*(CY183*$W183*1000)/($H183*$B$5),(PI()*DC$12^2)/4*(CY183*$W183*1000)/($G183*$B$5)))),
IF($D183="Pressio.",
IF($E183=3,(PI()*DC$12^2)/4*(CY183*$W183*1000)/($H183*$B$5),(PI()*DC$12^2)/4*(CY183*$W183*1000)/($G183*$B$5)),
IF($D183="Pénétro.",
IF($E183=4,(PI()*DC$12^2)/4*(CY183*$W183*1000)/($H183*$B$5),(PI()*DC$12^2)/4*(CY183*$W183*1000)/($G183*$B$5))))))/10</f>
        <v>#N/A</v>
      </c>
      <c r="DD183" s="102" t="e">
        <f>(VLOOKUP($B$3,'Coeff EC7'!$T$39:$X$59,2,0)*DB183+VLOOKUP($B$3,'Coeff EC7'!$T$65:$X$85,2,0)*Model0.1C!DC183)/1.1</f>
        <v>#N/A</v>
      </c>
      <c r="DE183" s="102" t="e">
        <f>(VLOOKUP($B$3,'Coeff EC7'!$T$39:$X$59,3,0)*DB183+VLOOKUP($B$3,'Coeff EC7'!$T$65:$X$85,3,0)*Model0.1C!DC183)/0.9</f>
        <v>#N/A</v>
      </c>
      <c r="DF183" s="102" t="e">
        <f t="shared" si="286"/>
        <v>#N/A</v>
      </c>
      <c r="DG183" s="102" t="e">
        <f t="shared" si="287"/>
        <v>#N/A</v>
      </c>
      <c r="DH183" s="414" t="e">
        <f>IF(DH182=0,0,IF(AND(DD183&gt;charge_ELS_quasi,DE183&gt;Charge_ELS_freq,DF183&gt;charge_ELU,DG183&gt;charge_ELA,$B183&gt;NDC!$H$22-0.1+MIN(3*$DH$12,1.5)),0,1))</f>
        <v>#N/A</v>
      </c>
      <c r="DI183" s="86" t="b">
        <f t="shared" si="255"/>
        <v>0</v>
      </c>
      <c r="DJ183" s="86">
        <f t="shared" si="256"/>
        <v>0.5</v>
      </c>
      <c r="DK183" s="86">
        <f t="shared" si="257"/>
        <v>0.5</v>
      </c>
      <c r="DL183" s="30" t="e">
        <f t="shared" ca="1" si="288"/>
        <v>#DIV/0!</v>
      </c>
      <c r="DM183" s="85" t="e">
        <f ca="1">IF(CS183&lt;=Hypothèses!$V$7,Hypothèses!$W$7,IF(CS183&lt;=Hypothèses!$V$8,Hypothèses!$W$8,IF(CS183&lt;=Hypothèses!$V$9,Hypothèses!$W$9,IF(CS183&lt;=Hypothèses!$V$10,Hypothèses!$W$10,IF(CS183&lt;=Hypothèses!$V$11,Hypothèses!$W$11,IF(CS183&lt;=Hypothèses!$V$12,Hypothèses!$W$12,IF(CS183&lt;=Hypothèses!$V$13,Hypothèses!$W$13,IF(CS183&lt;=Hypothèses!$V$14,Hypothèses!$W$14,IF(CS183&lt;=Hypothèses!$V$15,Hypothèses!$W$15,IF(CS183&lt;=Hypothèses!$V$16,Hypothèses!$W$16,IF(CS183&lt;=Hypothèses!$V$17,Hypothèses!$W$17,IF(CS183&lt;=Hypothèses!$V$18,Hypothèses!$W$18,""))))))))))))</f>
        <v>#DIV/0!</v>
      </c>
      <c r="DN183" s="87" t="e">
        <f t="shared" ca="1" si="321"/>
        <v>#DIV/0!</v>
      </c>
      <c r="DO183" s="88" t="e">
        <f ca="1">IF(CS183&lt;=Hypothèses!$V$7,Hypothèses!$X$7,IF(CS183&lt;=Hypothèses!$V$8,Hypothèses!$X$8,IF(CS183&lt;=Hypothèses!$V$9,Hypothèses!$X$9,IF(CS183&lt;=Hypothèses!$V$10,Hypothèses!$X$10,IF(CS183&lt;=Hypothèses!$V$11,Hypothèses!$X$11,IF(CS183&lt;=Hypothèses!$V$12,Hypothèses!$X$12,IF(CS183&lt;=Hypothèses!$V$13,Hypothèses!$X$13,IF(CS183&lt;=Hypothèses!$V$14,Hypothèses!$X$14,IF(CS183&lt;=Hypothèses!$V$15,Hypothèses!$X$15,IF(CS183&lt;=Hypothèses!$V$16,Hypothèses!$X$16,IF(CS183&lt;=Hypothèses!$U$17,Hypothèses!$W$17,IF(CS183&lt;=Hypothèses!$U$18,Hypothèses!$W$18,""))))))))))))</f>
        <v>#DIV/0!</v>
      </c>
      <c r="DP183" s="95" t="e">
        <f t="shared" ca="1" si="289"/>
        <v>#DIV/0!</v>
      </c>
      <c r="DQ183" s="101" t="e">
        <f t="shared" si="328"/>
        <v>#N/A</v>
      </c>
      <c r="DR183" s="91" t="e">
        <f t="shared" si="258"/>
        <v>#N/A</v>
      </c>
      <c r="DS183" s="30" t="e">
        <f t="shared" si="310"/>
        <v>#N/A</v>
      </c>
      <c r="DT183" s="30" t="e">
        <f t="shared" si="311"/>
        <v>#N/A</v>
      </c>
      <c r="DU183" s="31" t="e">
        <f>IF(OR(Hypothèses!$B$4=17,Hypothèses!$B$4=18,Hypothèses!$B$4=19,Hypothèses!$B$4=20),
IF($D183="Pressio.",
IF(OR($E183=3,$E183=1,$E183=4),DT183,DS183),
IF($D183="Pénétro.",
IF(OR($E183=3,$E183=1,$E183=4),DT183,DS183))),IF($D183="Pressio.",
IF($E183=3,DT183,DS183),
IF($D183="Pénétro.",
IF($E183=4,DT183,DS183))))</f>
        <v>#N/A</v>
      </c>
      <c r="DV183" s="31" t="e">
        <f>(IF(OR(Hypothèses!$B$4=17,Hypothèses!$B$4=18,Hypothèses!$B$4=19,Hypothèses!$B$4=20),
IF($D183="Pressio.",
IF(OR($E183=3,$E183=1,$E183=4),(PI()*DV$12^2)/4*(DR183*$W183*1000)/($H183*$B$5),(PI()*DV$12^2)/4*(DR183*$W183*1000)/($G183*$B$5)),
IF($D183="Pénétro.",
IF(OR($E183=4,$E183=1,$E183=5),(PI()*DV$12^2)/4*(DR183*$W183*1000)/($H183*$B$5),(PI()*DV$12^2)/4*(DR183*$W183*1000)/($G183*$B$5)))),
IF($D183="Pressio.",
IF($E183=3,(PI()*DV$12^2)/4*(DR183*$W183*1000)/($H183*$B$5),(PI()*DV$12^2)/4*(DR183*$W183*1000)/($G183*$B$5)),
IF($D183="Pénétro.",
IF($E183=4,(PI()*DV$12^2)/4*(DR183*$W183*1000)/($H183*$B$5),(PI()*DV$12^2)/4*(DR183*$W183*1000)/($G183*$B$5))))))/10</f>
        <v>#N/A</v>
      </c>
      <c r="DW183" s="102" t="e">
        <f>(VLOOKUP($B$3,'Coeff EC7'!$T$39:$X$59,2,0)*DU183+VLOOKUP($B$3,'Coeff EC7'!$T$65:$X$85,2,0)*Model0.1C!DV183)/1.1</f>
        <v>#N/A</v>
      </c>
      <c r="DX183" s="102" t="e">
        <f>(VLOOKUP($B$3,'Coeff EC7'!$T$39:$X$59,3,0)*DU183+VLOOKUP($B$3,'Coeff EC7'!$T$65:$X$85,3,0)*Model0.1C!DV183)/0.9</f>
        <v>#N/A</v>
      </c>
      <c r="DY183" s="102" t="e">
        <f t="shared" si="290"/>
        <v>#N/A</v>
      </c>
      <c r="DZ183" s="102" t="e">
        <f t="shared" si="291"/>
        <v>#N/A</v>
      </c>
      <c r="EA183" s="414" t="e">
        <f>IF(EA182=0,0,IF(AND(DW183&gt;charge_ELS_quasi,DX183&gt;Charge_ELS_freq,DY183&gt;charge_ELU,DZ183&gt;charge_ELA,$B183&gt;NDC!$H$22-0.1+MIN(3*$EA$12,1.5)),0,1))</f>
        <v>#N/A</v>
      </c>
      <c r="EB183" s="86" t="b">
        <f t="shared" si="259"/>
        <v>0</v>
      </c>
      <c r="EC183" s="418">
        <f t="shared" si="260"/>
        <v>0.51</v>
      </c>
      <c r="ED183" s="86">
        <f t="shared" si="261"/>
        <v>0.51</v>
      </c>
      <c r="EE183" s="30" t="e">
        <f t="shared" ca="1" si="292"/>
        <v>#DIV/0!</v>
      </c>
      <c r="EF183" s="85" t="e">
        <f ca="1">IF(DL183&lt;=Hypothèses!$V$7,Hypothèses!$W$7,IF(DL183&lt;=Hypothèses!$V$8,Hypothèses!$W$8,IF(DL183&lt;=Hypothèses!$V$9,Hypothèses!$W$9,IF(DL183&lt;=Hypothèses!$V$10,Hypothèses!$W$10,IF(DL183&lt;=Hypothèses!$V$11,Hypothèses!$W$11,IF(DL183&lt;=Hypothèses!$V$12,Hypothèses!$W$12,IF(DL183&lt;=Hypothèses!$V$13,Hypothèses!$W$13,IF(DL183&lt;=Hypothèses!$V$14,Hypothèses!$W$14,IF(DL183&lt;=Hypothèses!$V$15,Hypothèses!$W$15,IF(DL183&lt;=Hypothèses!$V$16,Hypothèses!$W$16,IF(DL183&lt;=Hypothèses!$V$17,Hypothèses!$W$17,IF(DL183&lt;=Hypothèses!$V$18,Hypothèses!$W$18,""))))))))))))</f>
        <v>#DIV/0!</v>
      </c>
      <c r="EG183" s="87" t="e">
        <f t="shared" ca="1" si="322"/>
        <v>#DIV/0!</v>
      </c>
      <c r="EH183" s="88" t="e">
        <f ca="1">IF(DL183&lt;=Hypothèses!$V$7,Hypothèses!$X$7,IF(DL183&lt;=Hypothèses!$V$8,Hypothèses!$X$8,IF(DL183&lt;=Hypothèses!$V$9,Hypothèses!$X$9,IF(DL183&lt;=Hypothèses!$V$10,Hypothèses!$X$10,IF(DL183&lt;=Hypothèses!$V$11,Hypothèses!$X$11,IF(DL183&lt;=Hypothèses!$V$12,Hypothèses!$X$12,IF(DL183&lt;=Hypothèses!$V$13,Hypothèses!$X$13,IF(DL183&lt;=Hypothèses!$V$14,Hypothèses!$X$14,IF(DL183&lt;=Hypothèses!$V$15,Hypothèses!$X$15,IF(DL183&lt;=Hypothèses!$V$16,Hypothèses!$X$16,IF(DL183&lt;=Hypothèses!$U$17,Hypothèses!$W$17,IF(DL183&lt;=Hypothèses!$U$18,Hypothèses!$W$18,""))))))))))))</f>
        <v>#DIV/0!</v>
      </c>
      <c r="EI183" s="95" t="e">
        <f t="shared" ca="1" si="293"/>
        <v>#DIV/0!</v>
      </c>
      <c r="EJ183" s="101" t="e">
        <f t="shared" si="329"/>
        <v>#N/A</v>
      </c>
      <c r="EK183" s="91" t="e">
        <f t="shared" si="262"/>
        <v>#N/A</v>
      </c>
      <c r="EL183" s="30" t="e">
        <f t="shared" si="312"/>
        <v>#N/A</v>
      </c>
      <c r="EM183" s="30" t="e">
        <f t="shared" si="313"/>
        <v>#N/A</v>
      </c>
      <c r="EN183" s="31" t="e">
        <f>IF(OR(Hypothèses!$B$4=17,Hypothèses!$B$4=18,Hypothèses!$B$4=19,Hypothèses!$B$4=20),
IF($D183="Pressio.",
IF(OR($E183=3,$E183=1,$E183=4),EM183,EL183),
IF($D183="Pénétro.",
IF(OR($E183=3,$E183=1,$E183=4),EM183,EL183))),IF($D183="Pressio.",
IF($E183=3,EM183,EL183),
IF($D183="Pénétro.",
IF($E183=4,EM183,EL183))))</f>
        <v>#N/A</v>
      </c>
      <c r="EO183" s="31" t="e">
        <f>(IF(OR(Hypothèses!$B$4=17,Hypothèses!$B$4=18,Hypothèses!$B$4=19,Hypothèses!$B$4=20),
IF($D183="Pressio.",
IF(OR($E183=3,$E183=1,$E183=4),(PI()*EO$12^2)/4*(EK183*$W183*1000)/($H183*$B$5),(PI()*EO$12^2)/4*(EK183*$W183*1000)/($G183*$B$5)),
IF($D183="Pénétro.",
IF(OR($E183=4,$E183=1,$E183=5),(PI()*EO$12^2)/4*(EK183*$W183*1000)/($H183*$B$5),(PI()*EO$12^2)/4*(EK183*$W183*1000)/($G183*$B$5)))),
IF($D183="Pressio.",
IF($E183=3,(PI()*EO$12^2)/4*(EK183*$W183*1000)/($H183*$B$5),(PI()*EO$12^2)/4*(EK183*$W183*1000)/($G183*$B$5)),
IF($D183="Pénétro.",
IF($E183=4,(PI()*EO$12^2)/4*(EK183*$W183*1000)/($H183*$B$5),(PI()*EO$12^2)/4*(EK183*$W183*1000)/($G183*$B$5))))))/10</f>
        <v>#N/A</v>
      </c>
      <c r="EP183" s="102" t="e">
        <f>(VLOOKUP($B$3,'Coeff EC7'!$T$39:$X$59,2,0)*EN183+VLOOKUP($B$3,'Coeff EC7'!$T$65:$X$85,2,0)*Model0.1C!EO183)/1.1</f>
        <v>#N/A</v>
      </c>
      <c r="EQ183" s="102" t="e">
        <f>(VLOOKUP($B$3,'Coeff EC7'!$T$39:$X$59,3,0)*EN183+VLOOKUP($B$3,'Coeff EC7'!$T$65:$X$85,3,0)*Model0.1C!EO183)/0.9</f>
        <v>#N/A</v>
      </c>
      <c r="ER183" s="102" t="e">
        <f t="shared" si="294"/>
        <v>#N/A</v>
      </c>
      <c r="ES183" s="102" t="e">
        <f t="shared" si="295"/>
        <v>#N/A</v>
      </c>
      <c r="ET183" s="414" t="e">
        <f>IF(ET182=0,0,IF(AND(EP183&gt;charge_ELS_quasi,EQ183&gt;Charge_ELS_freq,ER183&gt;charge_ELU,ES183&gt;charge_ELA,$B183&gt;NDC!$H$22-0.1+MIN(3*$ET$12,1.5)),0,1))</f>
        <v>#N/A</v>
      </c>
      <c r="EU183" s="86" t="b">
        <f t="shared" si="263"/>
        <v>0</v>
      </c>
      <c r="EV183" s="86">
        <f t="shared" si="264"/>
        <v>0.61</v>
      </c>
      <c r="EW183" s="86">
        <f t="shared" si="265"/>
        <v>0.61</v>
      </c>
      <c r="EX183" s="30" t="e">
        <f t="shared" ca="1" si="296"/>
        <v>#DIV/0!</v>
      </c>
      <c r="EY183" s="85" t="e">
        <f ca="1">IF(EE183&lt;=Hypothèses!$V$7,Hypothèses!$W$7,IF(EE183&lt;=Hypothèses!$V$8,Hypothèses!$W$8,IF(EE183&lt;=Hypothèses!$V$9,Hypothèses!$W$9,IF(EE183&lt;=Hypothèses!$V$10,Hypothèses!$W$10,IF(EE183&lt;=Hypothèses!$V$11,Hypothèses!$W$11,IF(EE183&lt;=Hypothèses!$V$12,Hypothèses!$W$12,IF(EE183&lt;=Hypothèses!$V$13,Hypothèses!$W$13,IF(EE183&lt;=Hypothèses!$V$14,Hypothèses!$W$14,IF(EE183&lt;=Hypothèses!$V$15,Hypothèses!$W$15,IF(EE183&lt;=Hypothèses!$V$16,Hypothèses!$W$16,IF(EE183&lt;=Hypothèses!$V$17,Hypothèses!$W$17,IF(EE183&lt;=Hypothèses!$V$18,Hypothèses!$W$18,""))))))))))))</f>
        <v>#DIV/0!</v>
      </c>
      <c r="EZ183" s="87" t="e">
        <f t="shared" ca="1" si="323"/>
        <v>#DIV/0!</v>
      </c>
      <c r="FA183" s="88" t="e">
        <f ca="1">IF(EE183&lt;=Hypothèses!$V$7,Hypothèses!$X$7,IF(EE183&lt;=Hypothèses!$V$8,Hypothèses!$X$8,IF(EE183&lt;=Hypothèses!$V$9,Hypothèses!$X$9,IF(EE183&lt;=Hypothèses!$V$10,Hypothèses!$X$10,IF(EE183&lt;=Hypothèses!$V$11,Hypothèses!$X$11,IF(EE183&lt;=Hypothèses!$V$12,Hypothèses!$X$12,IF(EE183&lt;=Hypothèses!$V$13,Hypothèses!$X$13,IF(EE183&lt;=Hypothèses!$V$14,Hypothèses!$X$14,IF(EE183&lt;=Hypothèses!$V$15,Hypothèses!$X$15,IF(EE183&lt;=Hypothèses!$V$16,Hypothèses!$X$16,IF(EE183&lt;=Hypothèses!$U$17,Hypothèses!$W$17,IF(EE183&lt;=Hypothèses!$U$18,Hypothèses!$W$18,""))))))))))))</f>
        <v>#DIV/0!</v>
      </c>
      <c r="FB183" s="95" t="e">
        <f t="shared" ca="1" si="297"/>
        <v>#DIV/0!</v>
      </c>
      <c r="FC183" s="101" t="e">
        <f t="shared" si="330"/>
        <v>#N/A</v>
      </c>
      <c r="FD183" s="91" t="e">
        <f t="shared" si="266"/>
        <v>#N/A</v>
      </c>
      <c r="FE183" s="30" t="e">
        <f t="shared" si="314"/>
        <v>#N/A</v>
      </c>
      <c r="FF183" s="30" t="e">
        <f t="shared" si="315"/>
        <v>#N/A</v>
      </c>
      <c r="FG183" s="31" t="e">
        <f>IF(OR(Hypothèses!$B$4=17,Hypothèses!$B$4=18,Hypothèses!$B$4=19,Hypothèses!$B$4=20),
IF($D183="Pressio.",
IF(OR($E183=3,$E183=1,$E183=4),FF183,FE183),
IF($D183="Pénétro.",
IF(OR($E183=3,$E183=1,$E183=4),FF183,FE183))),IF($D183="Pressio.",
IF($E183=3,FF183,FE183),
IF($D183="Pénétro.",
IF($E183=4,FF183,FE183))))</f>
        <v>#N/A</v>
      </c>
      <c r="FH183" s="31" t="e">
        <f>(IF(OR(Hypothèses!$B$4=17,Hypothèses!$B$4=18,Hypothèses!$B$4=19,Hypothèses!$B$4=20),
IF($D183="Pressio.",
IF(OR($E183=3,$E183=1,$E183=4),(PI()*FH$12^2)/4*(FD183*$W183*1000)/($H183*$B$5),(PI()*FH$12^2)/4*(FD183*$W183*1000)/($G183*$B$5)),
IF($D183="Pénétro.",
IF(OR($E183=4,$E183=1,$E183=5),(PI()*FH$12^2)/4*(FD183*$W183*1000)/($H183*$B$5),(PI()*FH$12^2)/4*(FD183*$W183*1000)/($G183*$B$5)))),
IF($D183="Pressio.",
IF($E183=3,(PI()*FH$12^2)/4*(FD183*$W183*1000)/($H183*$B$5),(PI()*FH$12^2)/4*(FD183*$W183*1000)/($G183*$B$5)),
IF($D183="Pénétro.",
IF($E183=4,(PI()*FH$12^2)/4*(FD183*$W183*1000)/($H183*$B$5),(PI()*FH$12^2)/4*(FD183*$W183*1000)/($G183*$B$5))))))/10</f>
        <v>#N/A</v>
      </c>
      <c r="FI183" s="102" t="e">
        <f>(VLOOKUP($B$3,'Coeff EC7'!$T$39:$X$59,2,0)*FG183+VLOOKUP($B$3,'Coeff EC7'!$T$65:$X$85,2,0)*Model0.1C!FH183)/1.1</f>
        <v>#N/A</v>
      </c>
      <c r="FJ183" s="102" t="e">
        <f>(VLOOKUP($B$3,'Coeff EC7'!$T$39:$X$59,3,0)*FG183+VLOOKUP($B$3,'Coeff EC7'!$T$65:$X$85,3,0)*Model0.1C!FH183)/0.9</f>
        <v>#N/A</v>
      </c>
      <c r="FK183" s="102" t="e">
        <f t="shared" si="298"/>
        <v>#N/A</v>
      </c>
      <c r="FL183" s="102" t="e">
        <f t="shared" si="299"/>
        <v>#N/A</v>
      </c>
      <c r="FM183" s="414" t="e">
        <f>IF(FM182=0,0,IF(AND(FI183&gt;charge_ELS_quasi,FJ183&gt;Charge_ELS_freq,FK183&gt;charge_ELU,FL183&gt;charge_ELA,$B183&gt;NDC!$H$22-0.1+MIN(3*$FM$12,1.5)),0,1))</f>
        <v>#N/A</v>
      </c>
    </row>
    <row r="184" spans="1:169">
      <c r="A184" s="96">
        <f t="shared" si="267"/>
        <v>82.900000000000972</v>
      </c>
      <c r="B184" s="97">
        <v>17.100000000000001</v>
      </c>
      <c r="C184" s="81">
        <f>IF(B184&lt;=Hypothèses!$C$7,Hypothèses!$A$7,IF(B184&lt;=Hypothèses!$C$8,Hypothèses!$A$8,IF(B184&lt;=Hypothèses!$C$9,Hypothèses!$A$9,IF(B184&lt;=Hypothèses!$C$10,Hypothèses!$A$10,IF(B184&lt;=Hypothèses!$C$11,Hypothèses!$A$11,IF(B184&lt;=Hypothèses!$C$12,Hypothèses!$A$12,IF(B184&lt;=Hypothèses!$C$13,Hypothèses!$A$13,IF(B184&lt;=Hypothèses!$C$14,Hypothèses!$A$14,IF(B184&lt;=Hypothèses!$C$15,Hypothèses!$A$15,IF(B184&lt;=Hypothèses!$C$16,Hypothèses!$A$16,IF(B184&lt;=Hypothèses!$C$17,Hypothèses!$A$17,IF(B184&lt;=Hypothèses!$C$18,Hypothèses!$A$18,C183))))))))))))</f>
        <v>11</v>
      </c>
      <c r="D184" s="82" t="str">
        <f>IF(B184&lt;=Hypothèses!$C$7,Hypothèses!$R$7,IF(B184&lt;=Hypothèses!$C$8,Hypothèses!$R$8,IF(B184&lt;=Hypothèses!$C$9,Hypothèses!$R$9,IF(B184&lt;=Hypothèses!$C$10,Hypothèses!$R$10,IF(B184&lt;=Hypothèses!$C$11,Hypothèses!$R$11,IF(B184&lt;=Hypothèses!$C$12,Hypothèses!$R$12,IF(B184&lt;=Hypothèses!$C$13,Hypothèses!$R$13,IF(B184&lt;=Hypothèses!$C$14,Hypothèses!$R$14,IF(B184&lt;=Hypothèses!$C$15,Hypothèses!$R$15,IF(B184&lt;=Hypothèses!$C$16,Hypothèses!$R$16,IF(B184&lt;=Hypothèses!$C$17,Hypothèses!$R$17,IF(B184&lt;=Hypothèses!$C$18,Hypothèses!$R$18,D183))))))))))))</f>
        <v>Pressio.</v>
      </c>
      <c r="E184" s="82" t="e">
        <f>IF(B184&lt;=Hypothèses!$C$7,Hypothèses!$G$7,IF(B184&lt;=Hypothèses!$C$8,Hypothèses!$G$8,IF(B184&lt;=Hypothèses!$C$9,Hypothèses!$G$9,IF(B184&lt;=Hypothèses!$C$10,Hypothèses!$G$10,IF(B184&lt;=Hypothèses!$C$11,Hypothèses!$G$11,IF(B184&lt;=Hypothèses!$C$12,Hypothèses!$G$12,IF(B184&lt;=Hypothèses!$C$13,Hypothèses!$G$13,IF(B184&lt;=Hypothèses!$C$14,Hypothèses!$G$14,IF(B184&lt;=Hypothèses!$C$15,Hypothèses!$G$15,IF(B184&lt;=Hypothèses!$C$16,Hypothèses!$G$16,IF(B184&lt;=Hypothèses!$C$17,Hypothèses!$G$17,IF(B184&lt;=Hypothèses!$C$18,Hypothèses!$G$18,E183))))))))))))</f>
        <v>#N/A</v>
      </c>
      <c r="F184" s="82" t="str">
        <f>IF(B184&lt;=Hypothèses!$C$7,Hypothèses!$F$7,IF(B184&lt;=Hypothèses!$C$8,Hypothèses!$F$8,IF(B184&lt;=Hypothèses!$C$9,Hypothèses!$F$9,IF(B184&lt;=Hypothèses!$C$10,Hypothèses!$F$10,IF(B184&lt;=Hypothèses!$C$11,Hypothèses!$F$11,IF(B184&lt;=Hypothèses!$C$12,Hypothèses!$F$12,IF(B184&lt;=Hypothèses!$C$13,Hypothèses!$F$13,IF(B184&lt;=Hypothèses!$C$14,Hypothèses!$F$14,IF(B184&lt;=Hypothèses!$C$15,Hypothèses!$F$15,IF(B184&lt;=Hypothèses!$C$16,Hypothèses!$F$16,IF(B184&lt;=Hypothèses!$C$17,Hypothèses!$F$17,IF(B184&lt;=Hypothèses!$C$18,Hypothèses!$F$18,F183))))))))))))</f>
        <v/>
      </c>
      <c r="G184" s="91">
        <f t="array" ref="G184">INDEX('Coeff EC7'!$U$7:$X$27,
MATCH(Model0.1C!$B$3,'Coeff EC7'!$T$7:$T$27,0),
MATCH(Model0.1C!$D184&amp;Model0.1C!$B$4,
'Coeff EC7'!$U$6:$X$6&amp;
'Coeff EC7'!$U$5:$X$5,0))</f>
        <v>1.1499999999999999</v>
      </c>
      <c r="H184" s="91">
        <f t="array" ref="H184">INDEX('Coeff EC7'!$Y$7:$AB$27,
MATCH(Model0.1C!$B$3,'Coeff EC7'!$T$7:$T$27,0),
MATCH(Model0.1C!$D184&amp;Model0.1C!$B$4,
'Coeff EC7'!$Y$6:$AB$6&amp;
'Coeff EC7'!$Y$5:$AB$5,0))</f>
        <v>1.4</v>
      </c>
      <c r="I184" s="83" t="e">
        <f>IF(B184&lt;=Hypothèses!$C$7,Hypothèses!$P$7,IF(B184&lt;=Hypothèses!$C$8,Hypothèses!$P$8,IF(B184&lt;=Hypothèses!$C$9,Hypothèses!$P$9,IF(B184&lt;=Hypothèses!$C$10,Hypothèses!$P$10,IF(B184&lt;=Hypothèses!$C$11,Hypothèses!$P$11,IF(B184&lt;=Hypothèses!$C$12,Hypothèses!$P$12,IF(B184&lt;=Hypothèses!$C$13,Hypothèses!$P$13,IF(B184&lt;=Hypothèses!$C$14,Hypothèses!$P$14,IF(B184&lt;=Hypothèses!$C$15,Hypothèses!$P$15,IF(B184&lt;=Hypothèses!$C$16,Hypothèses!$P$16,IF(B184&lt;=Hypothèses!$C$17,Hypothèses!$P$17,IF(B184&lt;=Hypothèses!$C$18,Hypothèses!$P$18,I183))))))))))))</f>
        <v>#N/A</v>
      </c>
      <c r="J184" s="91" t="e">
        <f t="array" ref="J184">INDEX('Coeff EC7'!$D$33:$Q$33,1,MATCH(D184&amp;E184,'Coeff EC7'!$D$31:$Q$31&amp;'Coeff EC7'!$D$32:$Q$32,0))</f>
        <v>#N/A</v>
      </c>
      <c r="K184" s="91" t="e">
        <f t="array" ref="K184">INDEX('Coeff EC7'!$D$34:$Q$34,1,MATCH(D184&amp;E184,'Coeff EC7'!$D$31:$Q$31&amp;'Coeff EC7'!$D$32:$Q$32,0))</f>
        <v>#N/A</v>
      </c>
      <c r="L184" s="91" t="e">
        <f t="array" ref="L184">INDEX('Coeff EC7'!$D$35:$Q$35,1,MATCH(D184&amp;E184,'Coeff EC7'!$D$31:$Q$31&amp;'Coeff EC7'!$D$32:$Q$32,0))</f>
        <v>#N/A</v>
      </c>
      <c r="M184" s="98" t="e">
        <f t="shared" si="231"/>
        <v>#N/A</v>
      </c>
      <c r="N184" s="99" t="e">
        <f t="array" ref="N184">INDEX('Coeff EC7'!$D$7:$Q$27,MATCH($B$3,'Coeff EC7'!$C$7:$C$27,0),MATCH(D184&amp;E184,'Coeff EC7'!$D$5:$Q$5&amp;'Coeff EC7'!$D$6:$Q$6,0))</f>
        <v>#N/A</v>
      </c>
      <c r="O184" s="99" t="e">
        <f t="array" ref="O184">INDEX('Coeff EC7'!$D$41:$Q$61,MATCH($B$3,'Coeff EC7'!$C$41:$C$61,0),MATCH(D184&amp;E184,'Coeff EC7'!$D$39:$Q$39&amp;'Coeff EC7'!$D$40:$Q$40,0))</f>
        <v>#N/A</v>
      </c>
      <c r="P184" s="30" t="e">
        <f t="shared" si="268"/>
        <v>#N/A</v>
      </c>
      <c r="Q184" s="100" t="e">
        <f t="shared" si="233"/>
        <v>#N/A</v>
      </c>
      <c r="R184" s="86" t="b">
        <f t="shared" si="234"/>
        <v>0</v>
      </c>
      <c r="S184" s="86">
        <f t="shared" si="232"/>
        <v>0.5</v>
      </c>
      <c r="T184" s="86">
        <f t="shared" si="235"/>
        <v>0.5</v>
      </c>
      <c r="U184" s="30" t="e">
        <f t="shared" ca="1" si="269"/>
        <v>#DIV/0!</v>
      </c>
      <c r="V184" s="85" t="str">
        <f>IF(B184&lt;=Hypothèses!$V$7,Hypothèses!$W$7,IF(B184&lt;=Hypothèses!$V$8,Hypothèses!$W$8,IF(B184&lt;=Hypothèses!$V$9,Hypothèses!$W$9,IF(B184&lt;=Hypothèses!$V$10,Hypothèses!$W$10,IF(B184&lt;=Hypothèses!$V$11,Hypothèses!$W$11,IF(B184&lt;=Hypothèses!$V$12,Hypothèses!$W$12,IF(B184&lt;=Hypothèses!$V$13,Hypothèses!$W$13,IF(B184&lt;=Hypothèses!$V$14,Hypothèses!$W$14,IF(B184&lt;=Hypothèses!$V$15,Hypothèses!$W$15,IF(B184&lt;=Hypothèses!$V$16,Hypothèses!$W$16,IF(B184&lt;=Hypothèses!$V$17,Hypothèses!$W$17,IF(B184&lt;=Hypothèses!$V$18,Hypothèses!$W$18,""))))))))))))</f>
        <v/>
      </c>
      <c r="W184" s="87" t="e">
        <f t="shared" ca="1" si="316"/>
        <v>#DIV/0!</v>
      </c>
      <c r="X184" s="88" t="str">
        <f>IF(B184&lt;=Hypothèses!$V$7,Hypothèses!$X$7,IF(B184&lt;=Hypothèses!$V$8,Hypothèses!$X$8,IF(B184&lt;=Hypothèses!$V$9,Hypothèses!$X$9,IF(B184&lt;=Hypothèses!$V$10,Hypothèses!$X$10,IF(B184&lt;=Hypothèses!$V$11,Hypothèses!$X$11,IF(B184&lt;=Hypothèses!$V$12,Hypothèses!$X$12,IF(B184&lt;=Hypothèses!$V$13,Hypothèses!$X$13,IF(B184&lt;=Hypothèses!$V$14,Hypothèses!$X$14,IF(B184&lt;=Hypothèses!$V$15,Hypothèses!$X$15,IF(B184&lt;=Hypothèses!$V$16,Hypothèses!$X$16,IF(B184&lt;=Hypothèses!$U$17,Hypothèses!$W$17,IF(B184&lt;=Hypothèses!$U$18,Hypothèses!$W$18,""))))))))))))</f>
        <v/>
      </c>
      <c r="Y184" s="95" t="e">
        <f t="shared" ca="1" si="236"/>
        <v>#DIV/0!</v>
      </c>
      <c r="Z184" s="101" t="e">
        <f t="shared" si="237"/>
        <v>#N/A</v>
      </c>
      <c r="AA184" s="91" t="e">
        <f t="shared" si="238"/>
        <v>#N/A</v>
      </c>
      <c r="AB184" s="30" t="e">
        <f t="shared" si="300"/>
        <v>#N/A</v>
      </c>
      <c r="AC184" s="30" t="e">
        <f t="shared" si="301"/>
        <v>#N/A</v>
      </c>
      <c r="AD184" s="31" t="e">
        <f>IF(OR(Hypothèses!$B$4=17,Hypothèses!$B$4=18,Hypothèses!$B$4=19,Hypothèses!$B$4=20),
IF($D184="Pressio.",
IF(OR($E184=3,$E184=1,$E184=4),AC184,AB184),
IF($D184="Pénétro.",
IF(OR($E184=3,$E184=1,$E184=4),AC184,AB184))),IF($D184="Pressio.",
IF($E184=3,AC184,AB184),
IF($D184="Pénétro.",
IF($E184=4,AC184,AB184))))</f>
        <v>#N/A</v>
      </c>
      <c r="AE184" s="31" t="e">
        <f>(IF(OR(Hypothèses!$B$4=17,Hypothèses!$B$4=18,Hypothèses!$B$4=19,Hypothèses!$B$4=20),
IF($D184="Pressio.",
IF(OR($E184=3,$E184=1,$E184=4),(PI()*AE$12^2)/4*(AA184*$W184*1000)/($H184*$B$5),(PI()*AE$12^2)/4*(AA184*$W184*1000)/($G184*$B$5)),
IF($D184="Pénétro.",
IF(OR($E184=4,$E184=1,$E184=5),(PI()*AE$12^2)/4*(AA184*$W184*1000)/($H184*$B$5),(PI()*AE$12^2)/4*(AA184*$W184*1000)/($G184*$B$5)))),
IF($D184="Pressio.",
IF($E184=3,(PI()*AE$12^2)/4*(AA184*$W184*1000)/($H184*$B$5),(PI()*AE$12^2)/4*(AA184*$W184*1000)/($G184*$B$5)),
IF($D184="Pénétro.",
IF($E184=4,(PI()*AE$12^2)/4*(AA184*$W184*1000)/($H184*$B$5),(PI()*AE$12^2)/4*(AA184*$W184*1000)/($G184*$B$5))))))/10</f>
        <v>#N/A</v>
      </c>
      <c r="AF184" s="102" t="e">
        <f>(VLOOKUP($B$3,'Coeff EC7'!$T$39:$X$59,2,0)*AD184+VLOOKUP($B$3,'Coeff EC7'!$T$65:$X$85,2,0)*Model0.1C!AE184)/1.1</f>
        <v>#N/A</v>
      </c>
      <c r="AG184" s="102" t="e">
        <f>(VLOOKUP($B$3,'Coeff EC7'!$T$39:$X$59,3,0)*AD184+VLOOKUP($B$3,'Coeff EC7'!$T$65:$X$85,3,0)*Model0.1C!AE184)/0.9</f>
        <v>#N/A</v>
      </c>
      <c r="AH184" s="102" t="e">
        <f t="shared" si="239"/>
        <v>#N/A</v>
      </c>
      <c r="AI184" s="102" t="e">
        <f t="shared" si="240"/>
        <v>#N/A</v>
      </c>
      <c r="AJ184" s="414" t="e">
        <f>IF(AJ183=0,0,IF(AND(AF184&gt;charge_ELS_quasi,AG184&gt;Charge_ELS_freq,AH184&gt;charge_ELU,AI184&gt;charge_ELA,$B184&gt;NDC!$H$22-0.1+MIN(3*$AJ$12,1.5)),0,1))</f>
        <v>#N/A</v>
      </c>
      <c r="AK184" s="86" t="b">
        <f t="shared" si="241"/>
        <v>0</v>
      </c>
      <c r="AL184" s="86">
        <f t="shared" si="270"/>
        <v>0.5</v>
      </c>
      <c r="AM184" s="86">
        <f t="shared" si="242"/>
        <v>0.5</v>
      </c>
      <c r="AN184" s="30" t="e">
        <f t="shared" ca="1" si="271"/>
        <v>#DIV/0!</v>
      </c>
      <c r="AO184" s="85" t="e">
        <f ca="1">IF(U184&lt;=Hypothèses!$V$7,Hypothèses!$W$7,IF(U184&lt;=Hypothèses!$V$8,Hypothèses!$W$8,IF(U184&lt;=Hypothèses!$V$9,Hypothèses!$W$9,IF(U184&lt;=Hypothèses!$V$10,Hypothèses!$W$10,IF(U184&lt;=Hypothèses!$V$11,Hypothèses!$W$11,IF(U184&lt;=Hypothèses!$V$12,Hypothèses!$W$12,IF(U184&lt;=Hypothèses!$V$13,Hypothèses!$W$13,IF(U184&lt;=Hypothèses!$V$14,Hypothèses!$W$14,IF(U184&lt;=Hypothèses!$V$15,Hypothèses!$W$15,IF(U184&lt;=Hypothèses!$V$16,Hypothèses!$W$16,IF(U184&lt;=Hypothèses!$V$17,Hypothèses!$W$17,IF(U184&lt;=Hypothèses!$V$18,Hypothèses!$W$18,""))))))))))))</f>
        <v>#DIV/0!</v>
      </c>
      <c r="AP184" s="87" t="e">
        <f t="shared" ca="1" si="317"/>
        <v>#DIV/0!</v>
      </c>
      <c r="AQ184" s="88" t="e">
        <f ca="1">IF(U184&lt;=Hypothèses!$V$7,Hypothèses!$X$7,IF(U184&lt;=Hypothèses!$V$8,Hypothèses!$X$8,IF(U184&lt;=Hypothèses!$V$9,Hypothèses!$X$9,IF(U184&lt;=Hypothèses!$V$10,Hypothèses!$X$10,IF(U184&lt;=Hypothèses!$V$11,Hypothèses!$X$11,IF(U184&lt;=Hypothèses!$V$12,Hypothèses!$X$12,IF(U184&lt;=Hypothèses!$V$13,Hypothèses!$X$13,IF(U184&lt;=Hypothèses!$V$14,Hypothèses!$X$14,IF(U184&lt;=Hypothèses!$V$15,Hypothèses!$X$15,IF(U184&lt;=Hypothèses!$V$16,Hypothèses!$X$16,IF(U184&lt;=Hypothèses!$U$17,Hypothèses!$W$17,IF(U184&lt;=Hypothèses!$U$18,Hypothèses!$W$18,""))))))))))))</f>
        <v>#DIV/0!</v>
      </c>
      <c r="AR184" s="95" t="e">
        <f t="shared" ca="1" si="272"/>
        <v>#DIV/0!</v>
      </c>
      <c r="AS184" s="101" t="e">
        <f t="shared" si="324"/>
        <v>#N/A</v>
      </c>
      <c r="AT184" s="91" t="e">
        <f t="shared" si="243"/>
        <v>#N/A</v>
      </c>
      <c r="AU184" s="30" t="e">
        <f t="shared" si="302"/>
        <v>#N/A</v>
      </c>
      <c r="AV184" s="30" t="e">
        <f t="shared" si="303"/>
        <v>#N/A</v>
      </c>
      <c r="AW184" s="31" t="e">
        <f>IF(OR(Hypothèses!$B$4=17,Hypothèses!$B$4=18,Hypothèses!$B$4=19,Hypothèses!$B$4=20),
IF($D184="Pressio.",
IF(OR($E184=3,$E184=1,$E184=4),AV184,AU184),
IF($D184="Pénétro.",
IF(OR($E184=3,$E184=1,$E184=4),AV184,AU184))),IF($D184="Pressio.",
IF($E184=3,AV184,AU184),
IF($D184="Pénétro.",
IF($E184=4,AV184,AU184))))</f>
        <v>#N/A</v>
      </c>
      <c r="AX184" s="31" t="e">
        <f>(IF(OR(Hypothèses!$B$4=17,Hypothèses!$B$4=18,Hypothèses!$B$4=19,Hypothèses!$B$4=20),
IF($D184="Pressio.",
IF(OR($E184=3,$E184=1,$E184=4),(PI()*AX$12^2)/4*(AT184*$W184*1000)/($H184*$B$5),(PI()*AX$12^2)/4*(AT184*$W184*1000)/($G184*$B$5)),
IF($D184="Pénétro.",
IF(OR($E184=4,$E184=1,$E184=5),(PI()*AX$12^2)/4*(AT184*$W184*1000)/($H184*$B$5),(PI()*AX$12^2)/4*(AT184*$W184*1000)/($G184*$B$5)))),
IF($D184="Pressio.",
IF($E184=3,(PI()*AX$12^2)/4*(AT184*$W184*1000)/($H184*$B$5),(PI()*AX$12^2)/4*(AT184*$W184*1000)/($G184*$B$5)),
IF($D184="Pénétro.",
IF($E184=4,(PI()*AX$12^2)/4*(AT184*$W184*1000)/($H184*$B$5),(PI()*AX$12^2)/4*(AT184*$W184*1000)/($G184*$B$5))))))/10</f>
        <v>#N/A</v>
      </c>
      <c r="AY184" s="102" t="e">
        <f>(VLOOKUP($B$3,'Coeff EC7'!$T$39:$X$59,2,0)*AW184+VLOOKUP($B$3,'Coeff EC7'!$T$65:$X$85,2,0)*Model0.1C!AX184)/1.1</f>
        <v>#N/A</v>
      </c>
      <c r="AZ184" s="102" t="e">
        <f>(VLOOKUP($B$3,'Coeff EC7'!$T$39:$X$59,3,0)*AW184+VLOOKUP($B$3,'Coeff EC7'!$T$65:$X$85,3,0)*Model0.1C!AX184)/0.9</f>
        <v>#N/A</v>
      </c>
      <c r="BA184" s="102" t="e">
        <f t="shared" si="273"/>
        <v>#N/A</v>
      </c>
      <c r="BB184" s="102" t="e">
        <f t="shared" si="274"/>
        <v>#N/A</v>
      </c>
      <c r="BC184" s="414" t="e">
        <f>IF(BC183=0,0,IF(AND(AY184&gt;charge_ELS_quasi,AZ184&gt;Charge_ELS_freq,BA184&gt;charge_ELU,BB184&gt;charge_ELA,$B184&gt;NDC!$H$22-0.1+MIN(3*$BC$12,1.5)),0,1))</f>
        <v>#N/A</v>
      </c>
      <c r="BD184" s="86" t="b">
        <f t="shared" si="244"/>
        <v>0</v>
      </c>
      <c r="BE184" s="86">
        <f t="shared" si="275"/>
        <v>0.5</v>
      </c>
      <c r="BF184" s="86">
        <f t="shared" si="245"/>
        <v>0.5</v>
      </c>
      <c r="BG184" s="30" t="e">
        <f t="shared" ca="1" si="276"/>
        <v>#DIV/0!</v>
      </c>
      <c r="BH184" s="85" t="e">
        <f ca="1">IF(AN184&lt;=Hypothèses!$V$7,Hypothèses!$W$7,IF(AN184&lt;=Hypothèses!$V$8,Hypothèses!$W$8,IF(AN184&lt;=Hypothèses!$V$9,Hypothèses!$W$9,IF(AN184&lt;=Hypothèses!$V$10,Hypothèses!$W$10,IF(AN184&lt;=Hypothèses!$V$11,Hypothèses!$W$11,IF(AN184&lt;=Hypothèses!$V$12,Hypothèses!$W$12,IF(AN184&lt;=Hypothèses!$V$13,Hypothèses!$W$13,IF(AN184&lt;=Hypothèses!$V$14,Hypothèses!$W$14,IF(AN184&lt;=Hypothèses!$V$15,Hypothèses!$W$15,IF(AN184&lt;=Hypothèses!$V$16,Hypothèses!$W$16,IF(AN184&lt;=Hypothèses!$V$17,Hypothèses!$W$17,IF(AN184&lt;=Hypothèses!$V$18,Hypothèses!$W$18,""))))))))))))</f>
        <v>#DIV/0!</v>
      </c>
      <c r="BI184" s="87" t="e">
        <f t="shared" ca="1" si="318"/>
        <v>#DIV/0!</v>
      </c>
      <c r="BJ184" s="88" t="e">
        <f ca="1">IF(AN184&lt;=Hypothèses!$V$7,Hypothèses!$X$7,IF(AN184&lt;=Hypothèses!$V$8,Hypothèses!$X$8,IF(AN184&lt;=Hypothèses!$V$9,Hypothèses!$X$9,IF(AN184&lt;=Hypothèses!$V$10,Hypothèses!$X$10,IF(AN184&lt;=Hypothèses!$V$11,Hypothèses!$X$11,IF(AN184&lt;=Hypothèses!$V$12,Hypothèses!$X$12,IF(AN184&lt;=Hypothèses!$V$13,Hypothèses!$X$13,IF(AN184&lt;=Hypothèses!$V$14,Hypothèses!$X$14,IF(AN184&lt;=Hypothèses!$V$15,Hypothèses!$X$15,IF(AN184&lt;=Hypothèses!$V$16,Hypothèses!$X$16,IF(AN184&lt;=Hypothèses!$U$17,Hypothèses!$W$17,IF(AN184&lt;=Hypothèses!$U$18,Hypothèses!$W$18,""))))))))))))</f>
        <v>#DIV/0!</v>
      </c>
      <c r="BK184" s="95" t="e">
        <f t="shared" ca="1" si="277"/>
        <v>#DIV/0!</v>
      </c>
      <c r="BL184" s="101" t="e">
        <f t="shared" si="325"/>
        <v>#N/A</v>
      </c>
      <c r="BM184" s="91" t="e">
        <f t="shared" si="246"/>
        <v>#N/A</v>
      </c>
      <c r="BN184" s="30" t="e">
        <f t="shared" si="304"/>
        <v>#N/A</v>
      </c>
      <c r="BO184" s="30" t="e">
        <f t="shared" si="305"/>
        <v>#N/A</v>
      </c>
      <c r="BP184" s="31" t="e">
        <f>IF(OR(Hypothèses!$B$4=17,Hypothèses!$B$4=18,Hypothèses!$B$4=19,Hypothèses!$B$4=20),
IF($D184="Pressio.",
IF(OR($E184=3,$E184=1,$E184=4),BO184,BN184),
IF($D184="Pénétro.",
IF(OR($E184=3,$E184=1,$E184=4),BO184,BN184))),IF($D184="Pressio.",
IF($E184=3,BO184,BN184),
IF($D184="Pénétro.",
IF($E184=4,BO184,BN184))))</f>
        <v>#N/A</v>
      </c>
      <c r="BQ184" s="31" t="e">
        <f>(IF(OR(Hypothèses!$B$4=17,Hypothèses!$B$4=18,Hypothèses!$B$4=19,Hypothèses!$B$4=20),
IF($D184="Pressio.",
IF(OR($E184=3,$E184=1,$E184=4),(PI()*BQ$12^2)/4*(BM184*$W184*1000)/($H184*$B$5),(PI()*BQ$12^2)/4*(BM184*$W184*1000)/($G184*$B$5)),
IF($D184="Pénétro.",
IF(OR($E184=4,$E184=1,$E184=5),(PI()*BQ$12^2)/4*(BM184*$W184*1000)/($H184*$B$5),(PI()*BQ$12^2)/4*(BM184*$W184*1000)/($G184*$B$5)))),
IF($D184="Pressio.",
IF($E184=3,(PI()*BQ$12^2)/4*(BM184*$W184*1000)/($H184*$B$5),(PI()*BQ$12^2)/4*(BM184*$W184*1000)/($G184*$B$5)),
IF($D184="Pénétro.",
IF($E184=4,(PI()*BQ$12^2)/4*(BM184*$W184*1000)/($H184*$B$5),(PI()*BQ$12^2)/4*(BM184*$W184*1000)/($G184*$B$5))))))/10</f>
        <v>#N/A</v>
      </c>
      <c r="BR184" s="102" t="e">
        <f>(VLOOKUP($B$3,'Coeff EC7'!$T$39:$X$59,2,0)*BP184+VLOOKUP($B$3,'Coeff EC7'!$T$65:$X$85,2,0)*Model0.1C!BQ184)/1.1</f>
        <v>#N/A</v>
      </c>
      <c r="BS184" s="102" t="e">
        <f>(VLOOKUP($B$3,'Coeff EC7'!$T$39:$X$59,3,0)*BP184+VLOOKUP($B$3,'Coeff EC7'!$T$65:$X$85,3,0)*Model0.1C!BQ184)/0.9</f>
        <v>#N/A</v>
      </c>
      <c r="BT184" s="102" t="e">
        <f t="shared" si="278"/>
        <v>#N/A</v>
      </c>
      <c r="BU184" s="102" t="e">
        <f t="shared" si="279"/>
        <v>#N/A</v>
      </c>
      <c r="BV184" s="414" t="e">
        <f>IF(BV183=0,0,IF(AND(BR184&gt;charge_ELS_quasi,BS184&gt;Charge_ELS_freq,BT184&gt;charge_ELU,BU184&gt;charge_ELA,$B184&gt;NDC!$H$22-0.1+MIN(3*$BV$12,1.5)),0,1))</f>
        <v>#N/A</v>
      </c>
      <c r="BW184" s="86" t="b">
        <f t="shared" si="247"/>
        <v>0</v>
      </c>
      <c r="BX184" s="86">
        <f t="shared" si="248"/>
        <v>0.5</v>
      </c>
      <c r="BY184" s="86">
        <f t="shared" si="249"/>
        <v>0.5</v>
      </c>
      <c r="BZ184" s="30" t="e">
        <f t="shared" ca="1" si="280"/>
        <v>#DIV/0!</v>
      </c>
      <c r="CA184" s="85" t="e">
        <f ca="1">IF(BG184&lt;=Hypothèses!$V$7,Hypothèses!$W$7,IF(BG184&lt;=Hypothèses!$V$8,Hypothèses!$W$8,IF(BG184&lt;=Hypothèses!$V$9,Hypothèses!$W$9,IF(BG184&lt;=Hypothèses!$V$10,Hypothèses!$W$10,IF(BG184&lt;=Hypothèses!$V$11,Hypothèses!$W$11,IF(BG184&lt;=Hypothèses!$V$12,Hypothèses!$W$12,IF(BG184&lt;=Hypothèses!$V$13,Hypothèses!$W$13,IF(BG184&lt;=Hypothèses!$V$14,Hypothèses!$W$14,IF(BG184&lt;=Hypothèses!$V$15,Hypothèses!$W$15,IF(BG184&lt;=Hypothèses!$V$16,Hypothèses!$W$16,IF(BG184&lt;=Hypothèses!$V$17,Hypothèses!$W$17,IF(BG184&lt;=Hypothèses!$V$18,Hypothèses!$W$18,""))))))))))))</f>
        <v>#DIV/0!</v>
      </c>
      <c r="CB184" s="87" t="e">
        <f t="shared" ca="1" si="319"/>
        <v>#DIV/0!</v>
      </c>
      <c r="CC184" s="88" t="e">
        <f ca="1">IF(BG184&lt;=Hypothèses!$V$7,Hypothèses!$X$7,IF(BG184&lt;=Hypothèses!$V$8,Hypothèses!$X$8,IF(BG184&lt;=Hypothèses!$V$9,Hypothèses!$X$9,IF(BG184&lt;=Hypothèses!$V$10,Hypothèses!$X$10,IF(BG184&lt;=Hypothèses!$V$11,Hypothèses!$X$11,IF(BG184&lt;=Hypothèses!$V$12,Hypothèses!$X$12,IF(BG184&lt;=Hypothèses!$V$13,Hypothèses!$X$13,IF(BG184&lt;=Hypothèses!$V$14,Hypothèses!$X$14,IF(BG184&lt;=Hypothèses!$V$15,Hypothèses!$X$15,IF(BG184&lt;=Hypothèses!$V$16,Hypothèses!$X$16,IF(BG184&lt;=Hypothèses!$U$17,Hypothèses!$W$17,IF(BG184&lt;=Hypothèses!$U$18,Hypothèses!$W$18,""))))))))))))</f>
        <v>#DIV/0!</v>
      </c>
      <c r="CD184" s="95" t="e">
        <f t="shared" ca="1" si="281"/>
        <v>#DIV/0!</v>
      </c>
      <c r="CE184" s="101" t="e">
        <f t="shared" si="326"/>
        <v>#N/A</v>
      </c>
      <c r="CF184" s="91" t="e">
        <f t="shared" si="250"/>
        <v>#N/A</v>
      </c>
      <c r="CG184" s="30" t="e">
        <f t="shared" si="306"/>
        <v>#N/A</v>
      </c>
      <c r="CH184" s="30" t="e">
        <f t="shared" si="307"/>
        <v>#N/A</v>
      </c>
      <c r="CI184" s="31" t="e">
        <f>IF(OR(Hypothèses!$B$4=17,Hypothèses!$B$4=18,Hypothèses!$B$4=19,Hypothèses!$B$4=20),
IF($D184="Pressio.",
IF(OR($E184=3,$E184=1,$E184=4),CH184,CG184),
IF($D184="Pénétro.",
IF(OR($E184=3,$E184=1,$E184=4),CH184,CG184))),IF($D184="Pressio.",
IF($E184=3,CH184,CG184),
IF($D184="Pénétro.",
IF($E184=4,CH184,CG184))))</f>
        <v>#N/A</v>
      </c>
      <c r="CJ184" s="31" t="e">
        <f>(IF(OR(Hypothèses!$B$4=17,Hypothèses!$B$4=18,Hypothèses!$B$4=19,Hypothèses!$B$4=20),
IF($D184="Pressio.",
IF(OR($E184=3,$E184=1,$E184=4),(PI()*CJ$12^2)/4*(CF184*$W184*1000)/($H184*$B$5),(PI()*CJ$12^2)/4*(CF184*$W184*1000)/($G184*$B$5)),
IF($D184="Pénétro.",
IF(OR($E184=4,$E184=1,$E184=5),(PI()*CJ$12^2)/4*(CF184*$W184*1000)/($H184*$B$5),(PI()*CJ$12^2)/4*(CF184*$W184*1000)/($G184*$B$5)))),
IF($D184="Pressio.",
IF($E184=3,(PI()*CJ$12^2)/4*(CF184*$W184*1000)/($H184*$B$5),(PI()*CJ$12^2)/4*(CF184*$W184*1000)/($G184*$B$5)),
IF($D184="Pénétro.",
IF($E184=4,(PI()*CJ$12^2)/4*(CF184*$W184*1000)/($H184*$B$5),(PI()*CJ$12^2)/4*(CF184*$W184*1000)/($G184*$B$5))))))/10</f>
        <v>#N/A</v>
      </c>
      <c r="CK184" s="102" t="e">
        <f>(VLOOKUP($B$3,'Coeff EC7'!$T$39:$X$59,2,0)*CI184+VLOOKUP($B$3,'Coeff EC7'!$T$65:$X$85,2,0)*Model0.1C!CJ184)/1.1</f>
        <v>#N/A</v>
      </c>
      <c r="CL184" s="102" t="e">
        <f>(VLOOKUP($B$3,'Coeff EC7'!$T$39:$X$59,3,0)*CI184+VLOOKUP($B$3,'Coeff EC7'!$T$65:$X$85,3,0)*Model0.1C!CJ184)/0.9</f>
        <v>#N/A</v>
      </c>
      <c r="CM184" s="102" t="e">
        <f t="shared" si="282"/>
        <v>#N/A</v>
      </c>
      <c r="CN184" s="102" t="e">
        <f t="shared" si="283"/>
        <v>#N/A</v>
      </c>
      <c r="CO184" s="414" t="e">
        <f>IF(CO183=0,0,IF(AND(CK184&gt;charge_ELS_quasi,CL184&gt;Charge_ELS_freq,CM184&gt;charge_ELU,CN184&gt;charge_ELA,$B184&gt;NDC!$H$22-0.1+MIN(3*$CO$12,1.5)),0,1))</f>
        <v>#N/A</v>
      </c>
      <c r="CP184" s="86" t="b">
        <f t="shared" si="251"/>
        <v>0</v>
      </c>
      <c r="CQ184" s="86">
        <f t="shared" si="252"/>
        <v>0.5</v>
      </c>
      <c r="CR184" s="86">
        <f t="shared" si="253"/>
        <v>0.5</v>
      </c>
      <c r="CS184" s="30" t="e">
        <f t="shared" ca="1" si="284"/>
        <v>#DIV/0!</v>
      </c>
      <c r="CT184" s="85" t="e">
        <f ca="1">IF(BZ184&lt;=Hypothèses!$V$7,Hypothèses!$W$7,IF(BZ184&lt;=Hypothèses!$V$8,Hypothèses!$W$8,IF(BZ184&lt;=Hypothèses!$V$9,Hypothèses!$W$9,IF(BZ184&lt;=Hypothèses!$V$10,Hypothèses!$W$10,IF(BZ184&lt;=Hypothèses!$V$11,Hypothèses!$W$11,IF(BZ184&lt;=Hypothèses!$V$12,Hypothèses!$W$12,IF(BZ184&lt;=Hypothèses!$V$13,Hypothèses!$W$13,IF(BZ184&lt;=Hypothèses!$V$14,Hypothèses!$W$14,IF(BZ184&lt;=Hypothèses!$V$15,Hypothèses!$W$15,IF(BZ184&lt;=Hypothèses!$V$16,Hypothèses!$W$16,IF(BZ184&lt;=Hypothèses!$V$17,Hypothèses!$W$17,IF(BZ184&lt;=Hypothèses!$V$18,Hypothèses!$W$18,""))))))))))))</f>
        <v>#DIV/0!</v>
      </c>
      <c r="CU184" s="87" t="e">
        <f t="shared" ca="1" si="320"/>
        <v>#DIV/0!</v>
      </c>
      <c r="CV184" s="88" t="e">
        <f ca="1">IF(BZ184&lt;=Hypothèses!$V$7,Hypothèses!$X$7,IF(BZ184&lt;=Hypothèses!$V$8,Hypothèses!$X$8,IF(BZ184&lt;=Hypothèses!$V$9,Hypothèses!$X$9,IF(BZ184&lt;=Hypothèses!$V$10,Hypothèses!$X$10,IF(BZ184&lt;=Hypothèses!$V$11,Hypothèses!$X$11,IF(BZ184&lt;=Hypothèses!$V$12,Hypothèses!$X$12,IF(BZ184&lt;=Hypothèses!$V$13,Hypothèses!$X$13,IF(BZ184&lt;=Hypothèses!$V$14,Hypothèses!$X$14,IF(BZ184&lt;=Hypothèses!$V$15,Hypothèses!$X$15,IF(BZ184&lt;=Hypothèses!$V$16,Hypothèses!$X$16,IF(BZ184&lt;=Hypothèses!$U$17,Hypothèses!$W$17,IF(BZ184&lt;=Hypothèses!$U$18,Hypothèses!$W$18,""))))))))))))</f>
        <v>#DIV/0!</v>
      </c>
      <c r="CW184" s="95" t="e">
        <f t="shared" ca="1" si="285"/>
        <v>#DIV/0!</v>
      </c>
      <c r="CX184" s="101" t="e">
        <f t="shared" si="327"/>
        <v>#N/A</v>
      </c>
      <c r="CY184" s="91" t="e">
        <f t="shared" si="254"/>
        <v>#N/A</v>
      </c>
      <c r="CZ184" s="30" t="e">
        <f t="shared" si="308"/>
        <v>#N/A</v>
      </c>
      <c r="DA184" s="30" t="e">
        <f t="shared" si="309"/>
        <v>#N/A</v>
      </c>
      <c r="DB184" s="31" t="e">
        <f>IF(OR(Hypothèses!$B$4=17,Hypothèses!$B$4=18,Hypothèses!$B$4=19,Hypothèses!$B$4=20),
IF($D184="Pressio.",
IF(OR($E184=3,$E184=1,$E184=4),DA184,CZ184),
IF($D184="Pénétro.",
IF(OR($E184=3,$E184=1,$E184=4),DA184,CZ184))),IF($D184="Pressio.",
IF($E184=3,DA184,CZ184),
IF($D184="Pénétro.",
IF($E184=4,DA184,CZ184))))</f>
        <v>#N/A</v>
      </c>
      <c r="DC184" s="31" t="e">
        <f>(IF(OR(Hypothèses!$B$4=17,Hypothèses!$B$4=18,Hypothèses!$B$4=19,Hypothèses!$B$4=20),
IF($D184="Pressio.",
IF(OR($E184=3,$E184=1,$E184=4),(PI()*DC$12^2)/4*(CY184*$W184*1000)/($H184*$B$5),(PI()*DC$12^2)/4*(CY184*$W184*1000)/($G184*$B$5)),
IF($D184="Pénétro.",
IF(OR($E184=4,$E184=1,$E184=5),(PI()*DC$12^2)/4*(CY184*$W184*1000)/($H184*$B$5),(PI()*DC$12^2)/4*(CY184*$W184*1000)/($G184*$B$5)))),
IF($D184="Pressio.",
IF($E184=3,(PI()*DC$12^2)/4*(CY184*$W184*1000)/($H184*$B$5),(PI()*DC$12^2)/4*(CY184*$W184*1000)/($G184*$B$5)),
IF($D184="Pénétro.",
IF($E184=4,(PI()*DC$12^2)/4*(CY184*$W184*1000)/($H184*$B$5),(PI()*DC$12^2)/4*(CY184*$W184*1000)/($G184*$B$5))))))/10</f>
        <v>#N/A</v>
      </c>
      <c r="DD184" s="102" t="e">
        <f>(VLOOKUP($B$3,'Coeff EC7'!$T$39:$X$59,2,0)*DB184+VLOOKUP($B$3,'Coeff EC7'!$T$65:$X$85,2,0)*Model0.1C!DC184)/1.1</f>
        <v>#N/A</v>
      </c>
      <c r="DE184" s="102" t="e">
        <f>(VLOOKUP($B$3,'Coeff EC7'!$T$39:$X$59,3,0)*DB184+VLOOKUP($B$3,'Coeff EC7'!$T$65:$X$85,3,0)*Model0.1C!DC184)/0.9</f>
        <v>#N/A</v>
      </c>
      <c r="DF184" s="102" t="e">
        <f t="shared" si="286"/>
        <v>#N/A</v>
      </c>
      <c r="DG184" s="102" t="e">
        <f t="shared" si="287"/>
        <v>#N/A</v>
      </c>
      <c r="DH184" s="414" t="e">
        <f>IF(DH183=0,0,IF(AND(DD184&gt;charge_ELS_quasi,DE184&gt;Charge_ELS_freq,DF184&gt;charge_ELU,DG184&gt;charge_ELA,$B184&gt;NDC!$H$22-0.1+MIN(3*$DH$12,1.5)),0,1))</f>
        <v>#N/A</v>
      </c>
      <c r="DI184" s="86" t="b">
        <f t="shared" si="255"/>
        <v>0</v>
      </c>
      <c r="DJ184" s="86">
        <f t="shared" si="256"/>
        <v>0.5</v>
      </c>
      <c r="DK184" s="86">
        <f t="shared" si="257"/>
        <v>0.5</v>
      </c>
      <c r="DL184" s="30" t="e">
        <f t="shared" ca="1" si="288"/>
        <v>#DIV/0!</v>
      </c>
      <c r="DM184" s="85" t="e">
        <f ca="1">IF(CS184&lt;=Hypothèses!$V$7,Hypothèses!$W$7,IF(CS184&lt;=Hypothèses!$V$8,Hypothèses!$W$8,IF(CS184&lt;=Hypothèses!$V$9,Hypothèses!$W$9,IF(CS184&lt;=Hypothèses!$V$10,Hypothèses!$W$10,IF(CS184&lt;=Hypothèses!$V$11,Hypothèses!$W$11,IF(CS184&lt;=Hypothèses!$V$12,Hypothèses!$W$12,IF(CS184&lt;=Hypothèses!$V$13,Hypothèses!$W$13,IF(CS184&lt;=Hypothèses!$V$14,Hypothèses!$W$14,IF(CS184&lt;=Hypothèses!$V$15,Hypothèses!$W$15,IF(CS184&lt;=Hypothèses!$V$16,Hypothèses!$W$16,IF(CS184&lt;=Hypothèses!$V$17,Hypothèses!$W$17,IF(CS184&lt;=Hypothèses!$V$18,Hypothèses!$W$18,""))))))))))))</f>
        <v>#DIV/0!</v>
      </c>
      <c r="DN184" s="87" t="e">
        <f t="shared" ca="1" si="321"/>
        <v>#DIV/0!</v>
      </c>
      <c r="DO184" s="88" t="e">
        <f ca="1">IF(CS184&lt;=Hypothèses!$V$7,Hypothèses!$X$7,IF(CS184&lt;=Hypothèses!$V$8,Hypothèses!$X$8,IF(CS184&lt;=Hypothèses!$V$9,Hypothèses!$X$9,IF(CS184&lt;=Hypothèses!$V$10,Hypothèses!$X$10,IF(CS184&lt;=Hypothèses!$V$11,Hypothèses!$X$11,IF(CS184&lt;=Hypothèses!$V$12,Hypothèses!$X$12,IF(CS184&lt;=Hypothèses!$V$13,Hypothèses!$X$13,IF(CS184&lt;=Hypothèses!$V$14,Hypothèses!$X$14,IF(CS184&lt;=Hypothèses!$V$15,Hypothèses!$X$15,IF(CS184&lt;=Hypothèses!$V$16,Hypothèses!$X$16,IF(CS184&lt;=Hypothèses!$U$17,Hypothèses!$W$17,IF(CS184&lt;=Hypothèses!$U$18,Hypothèses!$W$18,""))))))))))))</f>
        <v>#DIV/0!</v>
      </c>
      <c r="DP184" s="95" t="e">
        <f t="shared" ca="1" si="289"/>
        <v>#DIV/0!</v>
      </c>
      <c r="DQ184" s="101" t="e">
        <f t="shared" si="328"/>
        <v>#N/A</v>
      </c>
      <c r="DR184" s="91" t="e">
        <f t="shared" si="258"/>
        <v>#N/A</v>
      </c>
      <c r="DS184" s="30" t="e">
        <f t="shared" si="310"/>
        <v>#N/A</v>
      </c>
      <c r="DT184" s="30" t="e">
        <f t="shared" si="311"/>
        <v>#N/A</v>
      </c>
      <c r="DU184" s="31" t="e">
        <f>IF(OR(Hypothèses!$B$4=17,Hypothèses!$B$4=18,Hypothèses!$B$4=19,Hypothèses!$B$4=20),
IF($D184="Pressio.",
IF(OR($E184=3,$E184=1,$E184=4),DT184,DS184),
IF($D184="Pénétro.",
IF(OR($E184=3,$E184=1,$E184=4),DT184,DS184))),IF($D184="Pressio.",
IF($E184=3,DT184,DS184),
IF($D184="Pénétro.",
IF($E184=4,DT184,DS184))))</f>
        <v>#N/A</v>
      </c>
      <c r="DV184" s="31" t="e">
        <f>(IF(OR(Hypothèses!$B$4=17,Hypothèses!$B$4=18,Hypothèses!$B$4=19,Hypothèses!$B$4=20),
IF($D184="Pressio.",
IF(OR($E184=3,$E184=1,$E184=4),(PI()*DV$12^2)/4*(DR184*$W184*1000)/($H184*$B$5),(PI()*DV$12^2)/4*(DR184*$W184*1000)/($G184*$B$5)),
IF($D184="Pénétro.",
IF(OR($E184=4,$E184=1,$E184=5),(PI()*DV$12^2)/4*(DR184*$W184*1000)/($H184*$B$5),(PI()*DV$12^2)/4*(DR184*$W184*1000)/($G184*$B$5)))),
IF($D184="Pressio.",
IF($E184=3,(PI()*DV$12^2)/4*(DR184*$W184*1000)/($H184*$B$5),(PI()*DV$12^2)/4*(DR184*$W184*1000)/($G184*$B$5)),
IF($D184="Pénétro.",
IF($E184=4,(PI()*DV$12^2)/4*(DR184*$W184*1000)/($H184*$B$5),(PI()*DV$12^2)/4*(DR184*$W184*1000)/($G184*$B$5))))))/10</f>
        <v>#N/A</v>
      </c>
      <c r="DW184" s="102" t="e">
        <f>(VLOOKUP($B$3,'Coeff EC7'!$T$39:$X$59,2,0)*DU184+VLOOKUP($B$3,'Coeff EC7'!$T$65:$X$85,2,0)*Model0.1C!DV184)/1.1</f>
        <v>#N/A</v>
      </c>
      <c r="DX184" s="102" t="e">
        <f>(VLOOKUP($B$3,'Coeff EC7'!$T$39:$X$59,3,0)*DU184+VLOOKUP($B$3,'Coeff EC7'!$T$65:$X$85,3,0)*Model0.1C!DV184)/0.9</f>
        <v>#N/A</v>
      </c>
      <c r="DY184" s="102" t="e">
        <f t="shared" si="290"/>
        <v>#N/A</v>
      </c>
      <c r="DZ184" s="102" t="e">
        <f t="shared" si="291"/>
        <v>#N/A</v>
      </c>
      <c r="EA184" s="414" t="e">
        <f>IF(EA183=0,0,IF(AND(DW184&gt;charge_ELS_quasi,DX184&gt;Charge_ELS_freq,DY184&gt;charge_ELU,DZ184&gt;charge_ELA,$B184&gt;NDC!$H$22-0.1+MIN(3*$EA$12,1.5)),0,1))</f>
        <v>#N/A</v>
      </c>
      <c r="EB184" s="86" t="b">
        <f t="shared" si="259"/>
        <v>0</v>
      </c>
      <c r="EC184" s="418">
        <f t="shared" si="260"/>
        <v>0.51</v>
      </c>
      <c r="ED184" s="86">
        <f t="shared" si="261"/>
        <v>0.51</v>
      </c>
      <c r="EE184" s="30" t="e">
        <f t="shared" ca="1" si="292"/>
        <v>#DIV/0!</v>
      </c>
      <c r="EF184" s="85" t="e">
        <f ca="1">IF(DL184&lt;=Hypothèses!$V$7,Hypothèses!$W$7,IF(DL184&lt;=Hypothèses!$V$8,Hypothèses!$W$8,IF(DL184&lt;=Hypothèses!$V$9,Hypothèses!$W$9,IF(DL184&lt;=Hypothèses!$V$10,Hypothèses!$W$10,IF(DL184&lt;=Hypothèses!$V$11,Hypothèses!$W$11,IF(DL184&lt;=Hypothèses!$V$12,Hypothèses!$W$12,IF(DL184&lt;=Hypothèses!$V$13,Hypothèses!$W$13,IF(DL184&lt;=Hypothèses!$V$14,Hypothèses!$W$14,IF(DL184&lt;=Hypothèses!$V$15,Hypothèses!$W$15,IF(DL184&lt;=Hypothèses!$V$16,Hypothèses!$W$16,IF(DL184&lt;=Hypothèses!$V$17,Hypothèses!$W$17,IF(DL184&lt;=Hypothèses!$V$18,Hypothèses!$W$18,""))))))))))))</f>
        <v>#DIV/0!</v>
      </c>
      <c r="EG184" s="87" t="e">
        <f t="shared" ca="1" si="322"/>
        <v>#DIV/0!</v>
      </c>
      <c r="EH184" s="88" t="e">
        <f ca="1">IF(DL184&lt;=Hypothèses!$V$7,Hypothèses!$X$7,IF(DL184&lt;=Hypothèses!$V$8,Hypothèses!$X$8,IF(DL184&lt;=Hypothèses!$V$9,Hypothèses!$X$9,IF(DL184&lt;=Hypothèses!$V$10,Hypothèses!$X$10,IF(DL184&lt;=Hypothèses!$V$11,Hypothèses!$X$11,IF(DL184&lt;=Hypothèses!$V$12,Hypothèses!$X$12,IF(DL184&lt;=Hypothèses!$V$13,Hypothèses!$X$13,IF(DL184&lt;=Hypothèses!$V$14,Hypothèses!$X$14,IF(DL184&lt;=Hypothèses!$V$15,Hypothèses!$X$15,IF(DL184&lt;=Hypothèses!$V$16,Hypothèses!$X$16,IF(DL184&lt;=Hypothèses!$U$17,Hypothèses!$W$17,IF(DL184&lt;=Hypothèses!$U$18,Hypothèses!$W$18,""))))))))))))</f>
        <v>#DIV/0!</v>
      </c>
      <c r="EI184" s="95" t="e">
        <f t="shared" ca="1" si="293"/>
        <v>#DIV/0!</v>
      </c>
      <c r="EJ184" s="101" t="e">
        <f t="shared" si="329"/>
        <v>#N/A</v>
      </c>
      <c r="EK184" s="91" t="e">
        <f t="shared" si="262"/>
        <v>#N/A</v>
      </c>
      <c r="EL184" s="30" t="e">
        <f t="shared" si="312"/>
        <v>#N/A</v>
      </c>
      <c r="EM184" s="30" t="e">
        <f t="shared" si="313"/>
        <v>#N/A</v>
      </c>
      <c r="EN184" s="31" t="e">
        <f>IF(OR(Hypothèses!$B$4=17,Hypothèses!$B$4=18,Hypothèses!$B$4=19,Hypothèses!$B$4=20),
IF($D184="Pressio.",
IF(OR($E184=3,$E184=1,$E184=4),EM184,EL184),
IF($D184="Pénétro.",
IF(OR($E184=3,$E184=1,$E184=4),EM184,EL184))),IF($D184="Pressio.",
IF($E184=3,EM184,EL184),
IF($D184="Pénétro.",
IF($E184=4,EM184,EL184))))</f>
        <v>#N/A</v>
      </c>
      <c r="EO184" s="31" t="e">
        <f>(IF(OR(Hypothèses!$B$4=17,Hypothèses!$B$4=18,Hypothèses!$B$4=19,Hypothèses!$B$4=20),
IF($D184="Pressio.",
IF(OR($E184=3,$E184=1,$E184=4),(PI()*EO$12^2)/4*(EK184*$W184*1000)/($H184*$B$5),(PI()*EO$12^2)/4*(EK184*$W184*1000)/($G184*$B$5)),
IF($D184="Pénétro.",
IF(OR($E184=4,$E184=1,$E184=5),(PI()*EO$12^2)/4*(EK184*$W184*1000)/($H184*$B$5),(PI()*EO$12^2)/4*(EK184*$W184*1000)/($G184*$B$5)))),
IF($D184="Pressio.",
IF($E184=3,(PI()*EO$12^2)/4*(EK184*$W184*1000)/($H184*$B$5),(PI()*EO$12^2)/4*(EK184*$W184*1000)/($G184*$B$5)),
IF($D184="Pénétro.",
IF($E184=4,(PI()*EO$12^2)/4*(EK184*$W184*1000)/($H184*$B$5),(PI()*EO$12^2)/4*(EK184*$W184*1000)/($G184*$B$5))))))/10</f>
        <v>#N/A</v>
      </c>
      <c r="EP184" s="102" t="e">
        <f>(VLOOKUP($B$3,'Coeff EC7'!$T$39:$X$59,2,0)*EN184+VLOOKUP($B$3,'Coeff EC7'!$T$65:$X$85,2,0)*Model0.1C!EO184)/1.1</f>
        <v>#N/A</v>
      </c>
      <c r="EQ184" s="102" t="e">
        <f>(VLOOKUP($B$3,'Coeff EC7'!$T$39:$X$59,3,0)*EN184+VLOOKUP($B$3,'Coeff EC7'!$T$65:$X$85,3,0)*Model0.1C!EO184)/0.9</f>
        <v>#N/A</v>
      </c>
      <c r="ER184" s="102" t="e">
        <f t="shared" si="294"/>
        <v>#N/A</v>
      </c>
      <c r="ES184" s="102" t="e">
        <f t="shared" si="295"/>
        <v>#N/A</v>
      </c>
      <c r="ET184" s="414" t="e">
        <f>IF(ET183=0,0,IF(AND(EP184&gt;charge_ELS_quasi,EQ184&gt;Charge_ELS_freq,ER184&gt;charge_ELU,ES184&gt;charge_ELA,$B184&gt;NDC!$H$22-0.1+MIN(3*$ET$12,1.5)),0,1))</f>
        <v>#N/A</v>
      </c>
      <c r="EU184" s="86" t="b">
        <f t="shared" si="263"/>
        <v>0</v>
      </c>
      <c r="EV184" s="86">
        <f t="shared" si="264"/>
        <v>0.61</v>
      </c>
      <c r="EW184" s="86">
        <f t="shared" si="265"/>
        <v>0.61</v>
      </c>
      <c r="EX184" s="30" t="e">
        <f t="shared" ca="1" si="296"/>
        <v>#DIV/0!</v>
      </c>
      <c r="EY184" s="85" t="e">
        <f ca="1">IF(EE184&lt;=Hypothèses!$V$7,Hypothèses!$W$7,IF(EE184&lt;=Hypothèses!$V$8,Hypothèses!$W$8,IF(EE184&lt;=Hypothèses!$V$9,Hypothèses!$W$9,IF(EE184&lt;=Hypothèses!$V$10,Hypothèses!$W$10,IF(EE184&lt;=Hypothèses!$V$11,Hypothèses!$W$11,IF(EE184&lt;=Hypothèses!$V$12,Hypothèses!$W$12,IF(EE184&lt;=Hypothèses!$V$13,Hypothèses!$W$13,IF(EE184&lt;=Hypothèses!$V$14,Hypothèses!$W$14,IF(EE184&lt;=Hypothèses!$V$15,Hypothèses!$W$15,IF(EE184&lt;=Hypothèses!$V$16,Hypothèses!$W$16,IF(EE184&lt;=Hypothèses!$V$17,Hypothèses!$W$17,IF(EE184&lt;=Hypothèses!$V$18,Hypothèses!$W$18,""))))))))))))</f>
        <v>#DIV/0!</v>
      </c>
      <c r="EZ184" s="87" t="e">
        <f t="shared" ca="1" si="323"/>
        <v>#DIV/0!</v>
      </c>
      <c r="FA184" s="88" t="e">
        <f ca="1">IF(EE184&lt;=Hypothèses!$V$7,Hypothèses!$X$7,IF(EE184&lt;=Hypothèses!$V$8,Hypothèses!$X$8,IF(EE184&lt;=Hypothèses!$V$9,Hypothèses!$X$9,IF(EE184&lt;=Hypothèses!$V$10,Hypothèses!$X$10,IF(EE184&lt;=Hypothèses!$V$11,Hypothèses!$X$11,IF(EE184&lt;=Hypothèses!$V$12,Hypothèses!$X$12,IF(EE184&lt;=Hypothèses!$V$13,Hypothèses!$X$13,IF(EE184&lt;=Hypothèses!$V$14,Hypothèses!$X$14,IF(EE184&lt;=Hypothèses!$V$15,Hypothèses!$X$15,IF(EE184&lt;=Hypothèses!$V$16,Hypothèses!$X$16,IF(EE184&lt;=Hypothèses!$U$17,Hypothèses!$W$17,IF(EE184&lt;=Hypothèses!$U$18,Hypothèses!$W$18,""))))))))))))</f>
        <v>#DIV/0!</v>
      </c>
      <c r="FB184" s="95" t="e">
        <f t="shared" ca="1" si="297"/>
        <v>#DIV/0!</v>
      </c>
      <c r="FC184" s="101" t="e">
        <f t="shared" si="330"/>
        <v>#N/A</v>
      </c>
      <c r="FD184" s="91" t="e">
        <f t="shared" si="266"/>
        <v>#N/A</v>
      </c>
      <c r="FE184" s="30" t="e">
        <f t="shared" si="314"/>
        <v>#N/A</v>
      </c>
      <c r="FF184" s="30" t="e">
        <f t="shared" si="315"/>
        <v>#N/A</v>
      </c>
      <c r="FG184" s="31" t="e">
        <f>IF(OR(Hypothèses!$B$4=17,Hypothèses!$B$4=18,Hypothèses!$B$4=19,Hypothèses!$B$4=20),
IF($D184="Pressio.",
IF(OR($E184=3,$E184=1,$E184=4),FF184,FE184),
IF($D184="Pénétro.",
IF(OR($E184=3,$E184=1,$E184=4),FF184,FE184))),IF($D184="Pressio.",
IF($E184=3,FF184,FE184),
IF($D184="Pénétro.",
IF($E184=4,FF184,FE184))))</f>
        <v>#N/A</v>
      </c>
      <c r="FH184" s="31" t="e">
        <f>(IF(OR(Hypothèses!$B$4=17,Hypothèses!$B$4=18,Hypothèses!$B$4=19,Hypothèses!$B$4=20),
IF($D184="Pressio.",
IF(OR($E184=3,$E184=1,$E184=4),(PI()*FH$12^2)/4*(FD184*$W184*1000)/($H184*$B$5),(PI()*FH$12^2)/4*(FD184*$W184*1000)/($G184*$B$5)),
IF($D184="Pénétro.",
IF(OR($E184=4,$E184=1,$E184=5),(PI()*FH$12^2)/4*(FD184*$W184*1000)/($H184*$B$5),(PI()*FH$12^2)/4*(FD184*$W184*1000)/($G184*$B$5)))),
IF($D184="Pressio.",
IF($E184=3,(PI()*FH$12^2)/4*(FD184*$W184*1000)/($H184*$B$5),(PI()*FH$12^2)/4*(FD184*$W184*1000)/($G184*$B$5)),
IF($D184="Pénétro.",
IF($E184=4,(PI()*FH$12^2)/4*(FD184*$W184*1000)/($H184*$B$5),(PI()*FH$12^2)/4*(FD184*$W184*1000)/($G184*$B$5))))))/10</f>
        <v>#N/A</v>
      </c>
      <c r="FI184" s="102" t="e">
        <f>(VLOOKUP($B$3,'Coeff EC7'!$T$39:$X$59,2,0)*FG184+VLOOKUP($B$3,'Coeff EC7'!$T$65:$X$85,2,0)*Model0.1C!FH184)/1.1</f>
        <v>#N/A</v>
      </c>
      <c r="FJ184" s="102" t="e">
        <f>(VLOOKUP($B$3,'Coeff EC7'!$T$39:$X$59,3,0)*FG184+VLOOKUP($B$3,'Coeff EC7'!$T$65:$X$85,3,0)*Model0.1C!FH184)/0.9</f>
        <v>#N/A</v>
      </c>
      <c r="FK184" s="102" t="e">
        <f t="shared" si="298"/>
        <v>#N/A</v>
      </c>
      <c r="FL184" s="102" t="e">
        <f t="shared" si="299"/>
        <v>#N/A</v>
      </c>
      <c r="FM184" s="414" t="e">
        <f>IF(FM183=0,0,IF(AND(FI184&gt;charge_ELS_quasi,FJ184&gt;Charge_ELS_freq,FK184&gt;charge_ELU,FL184&gt;charge_ELA,$B184&gt;NDC!$H$22-0.1+MIN(3*$FM$12,1.5)),0,1))</f>
        <v>#N/A</v>
      </c>
    </row>
    <row r="185" spans="1:169">
      <c r="A185" s="96">
        <f t="shared" si="267"/>
        <v>82.800000000000978</v>
      </c>
      <c r="B185" s="97">
        <v>17.2</v>
      </c>
      <c r="C185" s="81">
        <f>IF(B185&lt;=Hypothèses!$C$7,Hypothèses!$A$7,IF(B185&lt;=Hypothèses!$C$8,Hypothèses!$A$8,IF(B185&lt;=Hypothèses!$C$9,Hypothèses!$A$9,IF(B185&lt;=Hypothèses!$C$10,Hypothèses!$A$10,IF(B185&lt;=Hypothèses!$C$11,Hypothèses!$A$11,IF(B185&lt;=Hypothèses!$C$12,Hypothèses!$A$12,IF(B185&lt;=Hypothèses!$C$13,Hypothèses!$A$13,IF(B185&lt;=Hypothèses!$C$14,Hypothèses!$A$14,IF(B185&lt;=Hypothèses!$C$15,Hypothèses!$A$15,IF(B185&lt;=Hypothèses!$C$16,Hypothèses!$A$16,IF(B185&lt;=Hypothèses!$C$17,Hypothèses!$A$17,IF(B185&lt;=Hypothèses!$C$18,Hypothèses!$A$18,C184))))))))))))</f>
        <v>11</v>
      </c>
      <c r="D185" s="82" t="str">
        <f>IF(B185&lt;=Hypothèses!$C$7,Hypothèses!$R$7,IF(B185&lt;=Hypothèses!$C$8,Hypothèses!$R$8,IF(B185&lt;=Hypothèses!$C$9,Hypothèses!$R$9,IF(B185&lt;=Hypothèses!$C$10,Hypothèses!$R$10,IF(B185&lt;=Hypothèses!$C$11,Hypothèses!$R$11,IF(B185&lt;=Hypothèses!$C$12,Hypothèses!$R$12,IF(B185&lt;=Hypothèses!$C$13,Hypothèses!$R$13,IF(B185&lt;=Hypothèses!$C$14,Hypothèses!$R$14,IF(B185&lt;=Hypothèses!$C$15,Hypothèses!$R$15,IF(B185&lt;=Hypothèses!$C$16,Hypothèses!$R$16,IF(B185&lt;=Hypothèses!$C$17,Hypothèses!$R$17,IF(B185&lt;=Hypothèses!$C$18,Hypothèses!$R$18,D184))))))))))))</f>
        <v>Pressio.</v>
      </c>
      <c r="E185" s="82" t="e">
        <f>IF(B185&lt;=Hypothèses!$C$7,Hypothèses!$G$7,IF(B185&lt;=Hypothèses!$C$8,Hypothèses!$G$8,IF(B185&lt;=Hypothèses!$C$9,Hypothèses!$G$9,IF(B185&lt;=Hypothèses!$C$10,Hypothèses!$G$10,IF(B185&lt;=Hypothèses!$C$11,Hypothèses!$G$11,IF(B185&lt;=Hypothèses!$C$12,Hypothèses!$G$12,IF(B185&lt;=Hypothèses!$C$13,Hypothèses!$G$13,IF(B185&lt;=Hypothèses!$C$14,Hypothèses!$G$14,IF(B185&lt;=Hypothèses!$C$15,Hypothèses!$G$15,IF(B185&lt;=Hypothèses!$C$16,Hypothèses!$G$16,IF(B185&lt;=Hypothèses!$C$17,Hypothèses!$G$17,IF(B185&lt;=Hypothèses!$C$18,Hypothèses!$G$18,E184))))))))))))</f>
        <v>#N/A</v>
      </c>
      <c r="F185" s="82" t="str">
        <f>IF(B185&lt;=Hypothèses!$C$7,Hypothèses!$F$7,IF(B185&lt;=Hypothèses!$C$8,Hypothèses!$F$8,IF(B185&lt;=Hypothèses!$C$9,Hypothèses!$F$9,IF(B185&lt;=Hypothèses!$C$10,Hypothèses!$F$10,IF(B185&lt;=Hypothèses!$C$11,Hypothèses!$F$11,IF(B185&lt;=Hypothèses!$C$12,Hypothèses!$F$12,IF(B185&lt;=Hypothèses!$C$13,Hypothèses!$F$13,IF(B185&lt;=Hypothèses!$C$14,Hypothèses!$F$14,IF(B185&lt;=Hypothèses!$C$15,Hypothèses!$F$15,IF(B185&lt;=Hypothèses!$C$16,Hypothèses!$F$16,IF(B185&lt;=Hypothèses!$C$17,Hypothèses!$F$17,IF(B185&lt;=Hypothèses!$C$18,Hypothèses!$F$18,F184))))))))))))</f>
        <v/>
      </c>
      <c r="G185" s="91">
        <f t="array" ref="G185">INDEX('Coeff EC7'!$U$7:$X$27,
MATCH(Model0.1C!$B$3,'Coeff EC7'!$T$7:$T$27,0),
MATCH(Model0.1C!$D185&amp;Model0.1C!$B$4,
'Coeff EC7'!$U$6:$X$6&amp;
'Coeff EC7'!$U$5:$X$5,0))</f>
        <v>1.1499999999999999</v>
      </c>
      <c r="H185" s="91">
        <f t="array" ref="H185">INDEX('Coeff EC7'!$Y$7:$AB$27,
MATCH(Model0.1C!$B$3,'Coeff EC7'!$T$7:$T$27,0),
MATCH(Model0.1C!$D185&amp;Model0.1C!$B$4,
'Coeff EC7'!$Y$6:$AB$6&amp;
'Coeff EC7'!$Y$5:$AB$5,0))</f>
        <v>1.4</v>
      </c>
      <c r="I185" s="83" t="e">
        <f>IF(B185&lt;=Hypothèses!$C$7,Hypothèses!$P$7,IF(B185&lt;=Hypothèses!$C$8,Hypothèses!$P$8,IF(B185&lt;=Hypothèses!$C$9,Hypothèses!$P$9,IF(B185&lt;=Hypothèses!$C$10,Hypothèses!$P$10,IF(B185&lt;=Hypothèses!$C$11,Hypothèses!$P$11,IF(B185&lt;=Hypothèses!$C$12,Hypothèses!$P$12,IF(B185&lt;=Hypothèses!$C$13,Hypothèses!$P$13,IF(B185&lt;=Hypothèses!$C$14,Hypothèses!$P$14,IF(B185&lt;=Hypothèses!$C$15,Hypothèses!$P$15,IF(B185&lt;=Hypothèses!$C$16,Hypothèses!$P$16,IF(B185&lt;=Hypothèses!$C$17,Hypothèses!$P$17,IF(B185&lt;=Hypothèses!$C$18,Hypothèses!$P$18,I184))))))))))))</f>
        <v>#N/A</v>
      </c>
      <c r="J185" s="91" t="e">
        <f t="array" ref="J185">INDEX('Coeff EC7'!$D$33:$Q$33,1,MATCH(D185&amp;E185,'Coeff EC7'!$D$31:$Q$31&amp;'Coeff EC7'!$D$32:$Q$32,0))</f>
        <v>#N/A</v>
      </c>
      <c r="K185" s="91" t="e">
        <f t="array" ref="K185">INDEX('Coeff EC7'!$D$34:$Q$34,1,MATCH(D185&amp;E185,'Coeff EC7'!$D$31:$Q$31&amp;'Coeff EC7'!$D$32:$Q$32,0))</f>
        <v>#N/A</v>
      </c>
      <c r="L185" s="91" t="e">
        <f t="array" ref="L185">INDEX('Coeff EC7'!$D$35:$Q$35,1,MATCH(D185&amp;E185,'Coeff EC7'!$D$31:$Q$31&amp;'Coeff EC7'!$D$32:$Q$32,0))</f>
        <v>#N/A</v>
      </c>
      <c r="M185" s="98" t="e">
        <f t="shared" si="231"/>
        <v>#N/A</v>
      </c>
      <c r="N185" s="99" t="e">
        <f t="array" ref="N185">INDEX('Coeff EC7'!$D$7:$Q$27,MATCH($B$3,'Coeff EC7'!$C$7:$C$27,0),MATCH(D185&amp;E185,'Coeff EC7'!$D$5:$Q$5&amp;'Coeff EC7'!$D$6:$Q$6,0))</f>
        <v>#N/A</v>
      </c>
      <c r="O185" s="99" t="e">
        <f t="array" ref="O185">INDEX('Coeff EC7'!$D$41:$Q$61,MATCH($B$3,'Coeff EC7'!$C$41:$C$61,0),MATCH(D185&amp;E185,'Coeff EC7'!$D$39:$Q$39&amp;'Coeff EC7'!$D$40:$Q$40,0))</f>
        <v>#N/A</v>
      </c>
      <c r="P185" s="30" t="e">
        <f t="shared" si="268"/>
        <v>#N/A</v>
      </c>
      <c r="Q185" s="100" t="e">
        <f t="shared" si="233"/>
        <v>#N/A</v>
      </c>
      <c r="R185" s="86" t="b">
        <f t="shared" si="234"/>
        <v>0</v>
      </c>
      <c r="S185" s="86">
        <f t="shared" si="232"/>
        <v>0.5</v>
      </c>
      <c r="T185" s="86">
        <f t="shared" si="235"/>
        <v>0.5</v>
      </c>
      <c r="U185" s="30" t="e">
        <f t="shared" ca="1" si="269"/>
        <v>#DIV/0!</v>
      </c>
      <c r="V185" s="85" t="str">
        <f>IF(B185&lt;=Hypothèses!$V$7,Hypothèses!$W$7,IF(B185&lt;=Hypothèses!$V$8,Hypothèses!$W$8,IF(B185&lt;=Hypothèses!$V$9,Hypothèses!$W$9,IF(B185&lt;=Hypothèses!$V$10,Hypothèses!$W$10,IF(B185&lt;=Hypothèses!$V$11,Hypothèses!$W$11,IF(B185&lt;=Hypothèses!$V$12,Hypothèses!$W$12,IF(B185&lt;=Hypothèses!$V$13,Hypothèses!$W$13,IF(B185&lt;=Hypothèses!$V$14,Hypothèses!$W$14,IF(B185&lt;=Hypothèses!$V$15,Hypothèses!$W$15,IF(B185&lt;=Hypothèses!$V$16,Hypothèses!$W$16,IF(B185&lt;=Hypothèses!$V$17,Hypothèses!$W$17,IF(B185&lt;=Hypothèses!$V$18,Hypothèses!$W$18,""))))))))))))</f>
        <v/>
      </c>
      <c r="W185" s="87" t="e">
        <f t="shared" ca="1" si="316"/>
        <v>#DIV/0!</v>
      </c>
      <c r="X185" s="88" t="str">
        <f>IF(B185&lt;=Hypothèses!$V$7,Hypothèses!$X$7,IF(B185&lt;=Hypothèses!$V$8,Hypothèses!$X$8,IF(B185&lt;=Hypothèses!$V$9,Hypothèses!$X$9,IF(B185&lt;=Hypothèses!$V$10,Hypothèses!$X$10,IF(B185&lt;=Hypothèses!$V$11,Hypothèses!$X$11,IF(B185&lt;=Hypothèses!$V$12,Hypothèses!$X$12,IF(B185&lt;=Hypothèses!$V$13,Hypothèses!$X$13,IF(B185&lt;=Hypothèses!$V$14,Hypothèses!$X$14,IF(B185&lt;=Hypothèses!$V$15,Hypothèses!$X$15,IF(B185&lt;=Hypothèses!$V$16,Hypothèses!$X$16,IF(B185&lt;=Hypothèses!$U$17,Hypothèses!$W$17,IF(B185&lt;=Hypothèses!$U$18,Hypothèses!$W$18,""))))))))))))</f>
        <v/>
      </c>
      <c r="Y185" s="95" t="e">
        <f t="shared" ca="1" si="236"/>
        <v>#DIV/0!</v>
      </c>
      <c r="Z185" s="101" t="e">
        <f t="shared" si="237"/>
        <v>#N/A</v>
      </c>
      <c r="AA185" s="91" t="e">
        <f t="shared" si="238"/>
        <v>#N/A</v>
      </c>
      <c r="AB185" s="30" t="e">
        <f t="shared" si="300"/>
        <v>#N/A</v>
      </c>
      <c r="AC185" s="30" t="e">
        <f t="shared" si="301"/>
        <v>#N/A</v>
      </c>
      <c r="AD185" s="31" t="e">
        <f>IF(OR(Hypothèses!$B$4=17,Hypothèses!$B$4=18,Hypothèses!$B$4=19,Hypothèses!$B$4=20),
IF($D185="Pressio.",
IF(OR($E185=3,$E185=1,$E185=4),AC185,AB185),
IF($D185="Pénétro.",
IF(OR($E185=3,$E185=1,$E185=4),AC185,AB185))),IF($D185="Pressio.",
IF($E185=3,AC185,AB185),
IF($D185="Pénétro.",
IF($E185=4,AC185,AB185))))</f>
        <v>#N/A</v>
      </c>
      <c r="AE185" s="31" t="e">
        <f>(IF(OR(Hypothèses!$B$4=17,Hypothèses!$B$4=18,Hypothèses!$B$4=19,Hypothèses!$B$4=20),
IF($D185="Pressio.",
IF(OR($E185=3,$E185=1,$E185=4),(PI()*AE$12^2)/4*(AA185*$W185*1000)/($H185*$B$5),(PI()*AE$12^2)/4*(AA185*$W185*1000)/($G185*$B$5)),
IF($D185="Pénétro.",
IF(OR($E185=4,$E185=1,$E185=5),(PI()*AE$12^2)/4*(AA185*$W185*1000)/($H185*$B$5),(PI()*AE$12^2)/4*(AA185*$W185*1000)/($G185*$B$5)))),
IF($D185="Pressio.",
IF($E185=3,(PI()*AE$12^2)/4*(AA185*$W185*1000)/($H185*$B$5),(PI()*AE$12^2)/4*(AA185*$W185*1000)/($G185*$B$5)),
IF($D185="Pénétro.",
IF($E185=4,(PI()*AE$12^2)/4*(AA185*$W185*1000)/($H185*$B$5),(PI()*AE$12^2)/4*(AA185*$W185*1000)/($G185*$B$5))))))/10</f>
        <v>#N/A</v>
      </c>
      <c r="AF185" s="102" t="e">
        <f>(VLOOKUP($B$3,'Coeff EC7'!$T$39:$X$59,2,0)*AD185+VLOOKUP($B$3,'Coeff EC7'!$T$65:$X$85,2,0)*Model0.1C!AE185)/1.1</f>
        <v>#N/A</v>
      </c>
      <c r="AG185" s="102" t="e">
        <f>(VLOOKUP($B$3,'Coeff EC7'!$T$39:$X$59,3,0)*AD185+VLOOKUP($B$3,'Coeff EC7'!$T$65:$X$85,3,0)*Model0.1C!AE185)/0.9</f>
        <v>#N/A</v>
      </c>
      <c r="AH185" s="102" t="e">
        <f t="shared" si="239"/>
        <v>#N/A</v>
      </c>
      <c r="AI185" s="102" t="e">
        <f t="shared" si="240"/>
        <v>#N/A</v>
      </c>
      <c r="AJ185" s="414" t="e">
        <f>IF(AJ184=0,0,IF(AND(AF185&gt;charge_ELS_quasi,AG185&gt;Charge_ELS_freq,AH185&gt;charge_ELU,AI185&gt;charge_ELA,$B185&gt;NDC!$H$22-0.1+MIN(3*$AJ$12,1.5)),0,1))</f>
        <v>#N/A</v>
      </c>
      <c r="AK185" s="86" t="b">
        <f t="shared" si="241"/>
        <v>0</v>
      </c>
      <c r="AL185" s="86">
        <f t="shared" si="270"/>
        <v>0.5</v>
      </c>
      <c r="AM185" s="86">
        <f t="shared" si="242"/>
        <v>0.5</v>
      </c>
      <c r="AN185" s="30" t="e">
        <f t="shared" ca="1" si="271"/>
        <v>#DIV/0!</v>
      </c>
      <c r="AO185" s="85" t="e">
        <f ca="1">IF(U185&lt;=Hypothèses!$V$7,Hypothèses!$W$7,IF(U185&lt;=Hypothèses!$V$8,Hypothèses!$W$8,IF(U185&lt;=Hypothèses!$V$9,Hypothèses!$W$9,IF(U185&lt;=Hypothèses!$V$10,Hypothèses!$W$10,IF(U185&lt;=Hypothèses!$V$11,Hypothèses!$W$11,IF(U185&lt;=Hypothèses!$V$12,Hypothèses!$W$12,IF(U185&lt;=Hypothèses!$V$13,Hypothèses!$W$13,IF(U185&lt;=Hypothèses!$V$14,Hypothèses!$W$14,IF(U185&lt;=Hypothèses!$V$15,Hypothèses!$W$15,IF(U185&lt;=Hypothèses!$V$16,Hypothèses!$W$16,IF(U185&lt;=Hypothèses!$V$17,Hypothèses!$W$17,IF(U185&lt;=Hypothèses!$V$18,Hypothèses!$W$18,""))))))))))))</f>
        <v>#DIV/0!</v>
      </c>
      <c r="AP185" s="87" t="e">
        <f t="shared" ca="1" si="317"/>
        <v>#DIV/0!</v>
      </c>
      <c r="AQ185" s="88" t="e">
        <f ca="1">IF(U185&lt;=Hypothèses!$V$7,Hypothèses!$X$7,IF(U185&lt;=Hypothèses!$V$8,Hypothèses!$X$8,IF(U185&lt;=Hypothèses!$V$9,Hypothèses!$X$9,IF(U185&lt;=Hypothèses!$V$10,Hypothèses!$X$10,IF(U185&lt;=Hypothèses!$V$11,Hypothèses!$X$11,IF(U185&lt;=Hypothèses!$V$12,Hypothèses!$X$12,IF(U185&lt;=Hypothèses!$V$13,Hypothèses!$X$13,IF(U185&lt;=Hypothèses!$V$14,Hypothèses!$X$14,IF(U185&lt;=Hypothèses!$V$15,Hypothèses!$X$15,IF(U185&lt;=Hypothèses!$V$16,Hypothèses!$X$16,IF(U185&lt;=Hypothèses!$U$17,Hypothèses!$W$17,IF(U185&lt;=Hypothèses!$U$18,Hypothèses!$W$18,""))))))))))))</f>
        <v>#DIV/0!</v>
      </c>
      <c r="AR185" s="95" t="e">
        <f t="shared" ca="1" si="272"/>
        <v>#DIV/0!</v>
      </c>
      <c r="AS185" s="101" t="e">
        <f t="shared" si="324"/>
        <v>#N/A</v>
      </c>
      <c r="AT185" s="91" t="e">
        <f t="shared" si="243"/>
        <v>#N/A</v>
      </c>
      <c r="AU185" s="30" t="e">
        <f t="shared" si="302"/>
        <v>#N/A</v>
      </c>
      <c r="AV185" s="30" t="e">
        <f t="shared" si="303"/>
        <v>#N/A</v>
      </c>
      <c r="AW185" s="31" t="e">
        <f>IF(OR(Hypothèses!$B$4=17,Hypothèses!$B$4=18,Hypothèses!$B$4=19,Hypothèses!$B$4=20),
IF($D185="Pressio.",
IF(OR($E185=3,$E185=1,$E185=4),AV185,AU185),
IF($D185="Pénétro.",
IF(OR($E185=3,$E185=1,$E185=4),AV185,AU185))),IF($D185="Pressio.",
IF($E185=3,AV185,AU185),
IF($D185="Pénétro.",
IF($E185=4,AV185,AU185))))</f>
        <v>#N/A</v>
      </c>
      <c r="AX185" s="31" t="e">
        <f>(IF(OR(Hypothèses!$B$4=17,Hypothèses!$B$4=18,Hypothèses!$B$4=19,Hypothèses!$B$4=20),
IF($D185="Pressio.",
IF(OR($E185=3,$E185=1,$E185=4),(PI()*AX$12^2)/4*(AT185*$W185*1000)/($H185*$B$5),(PI()*AX$12^2)/4*(AT185*$W185*1000)/($G185*$B$5)),
IF($D185="Pénétro.",
IF(OR($E185=4,$E185=1,$E185=5),(PI()*AX$12^2)/4*(AT185*$W185*1000)/($H185*$B$5),(PI()*AX$12^2)/4*(AT185*$W185*1000)/($G185*$B$5)))),
IF($D185="Pressio.",
IF($E185=3,(PI()*AX$12^2)/4*(AT185*$W185*1000)/($H185*$B$5),(PI()*AX$12^2)/4*(AT185*$W185*1000)/($G185*$B$5)),
IF($D185="Pénétro.",
IF($E185=4,(PI()*AX$12^2)/4*(AT185*$W185*1000)/($H185*$B$5),(PI()*AX$12^2)/4*(AT185*$W185*1000)/($G185*$B$5))))))/10</f>
        <v>#N/A</v>
      </c>
      <c r="AY185" s="102" t="e">
        <f>(VLOOKUP($B$3,'Coeff EC7'!$T$39:$X$59,2,0)*AW185+VLOOKUP($B$3,'Coeff EC7'!$T$65:$X$85,2,0)*Model0.1C!AX185)/1.1</f>
        <v>#N/A</v>
      </c>
      <c r="AZ185" s="102" t="e">
        <f>(VLOOKUP($B$3,'Coeff EC7'!$T$39:$X$59,3,0)*AW185+VLOOKUP($B$3,'Coeff EC7'!$T$65:$X$85,3,0)*Model0.1C!AX185)/0.9</f>
        <v>#N/A</v>
      </c>
      <c r="BA185" s="102" t="e">
        <f t="shared" si="273"/>
        <v>#N/A</v>
      </c>
      <c r="BB185" s="102" t="e">
        <f t="shared" si="274"/>
        <v>#N/A</v>
      </c>
      <c r="BC185" s="414" t="e">
        <f>IF(BC184=0,0,IF(AND(AY185&gt;charge_ELS_quasi,AZ185&gt;Charge_ELS_freq,BA185&gt;charge_ELU,BB185&gt;charge_ELA,$B185&gt;NDC!$H$22-0.1+MIN(3*$BC$12,1.5)),0,1))</f>
        <v>#N/A</v>
      </c>
      <c r="BD185" s="86" t="b">
        <f t="shared" si="244"/>
        <v>0</v>
      </c>
      <c r="BE185" s="86">
        <f t="shared" si="275"/>
        <v>0.5</v>
      </c>
      <c r="BF185" s="86">
        <f t="shared" si="245"/>
        <v>0.5</v>
      </c>
      <c r="BG185" s="30" t="e">
        <f t="shared" ca="1" si="276"/>
        <v>#DIV/0!</v>
      </c>
      <c r="BH185" s="85" t="e">
        <f ca="1">IF(AN185&lt;=Hypothèses!$V$7,Hypothèses!$W$7,IF(AN185&lt;=Hypothèses!$V$8,Hypothèses!$W$8,IF(AN185&lt;=Hypothèses!$V$9,Hypothèses!$W$9,IF(AN185&lt;=Hypothèses!$V$10,Hypothèses!$W$10,IF(AN185&lt;=Hypothèses!$V$11,Hypothèses!$W$11,IF(AN185&lt;=Hypothèses!$V$12,Hypothèses!$W$12,IF(AN185&lt;=Hypothèses!$V$13,Hypothèses!$W$13,IF(AN185&lt;=Hypothèses!$V$14,Hypothèses!$W$14,IF(AN185&lt;=Hypothèses!$V$15,Hypothèses!$W$15,IF(AN185&lt;=Hypothèses!$V$16,Hypothèses!$W$16,IF(AN185&lt;=Hypothèses!$V$17,Hypothèses!$W$17,IF(AN185&lt;=Hypothèses!$V$18,Hypothèses!$W$18,""))))))))))))</f>
        <v>#DIV/0!</v>
      </c>
      <c r="BI185" s="87" t="e">
        <f t="shared" ca="1" si="318"/>
        <v>#DIV/0!</v>
      </c>
      <c r="BJ185" s="88" t="e">
        <f ca="1">IF(AN185&lt;=Hypothèses!$V$7,Hypothèses!$X$7,IF(AN185&lt;=Hypothèses!$V$8,Hypothèses!$X$8,IF(AN185&lt;=Hypothèses!$V$9,Hypothèses!$X$9,IF(AN185&lt;=Hypothèses!$V$10,Hypothèses!$X$10,IF(AN185&lt;=Hypothèses!$V$11,Hypothèses!$X$11,IF(AN185&lt;=Hypothèses!$V$12,Hypothèses!$X$12,IF(AN185&lt;=Hypothèses!$V$13,Hypothèses!$X$13,IF(AN185&lt;=Hypothèses!$V$14,Hypothèses!$X$14,IF(AN185&lt;=Hypothèses!$V$15,Hypothèses!$X$15,IF(AN185&lt;=Hypothèses!$V$16,Hypothèses!$X$16,IF(AN185&lt;=Hypothèses!$U$17,Hypothèses!$W$17,IF(AN185&lt;=Hypothèses!$U$18,Hypothèses!$W$18,""))))))))))))</f>
        <v>#DIV/0!</v>
      </c>
      <c r="BK185" s="95" t="e">
        <f t="shared" ca="1" si="277"/>
        <v>#DIV/0!</v>
      </c>
      <c r="BL185" s="101" t="e">
        <f t="shared" si="325"/>
        <v>#N/A</v>
      </c>
      <c r="BM185" s="91" t="e">
        <f t="shared" si="246"/>
        <v>#N/A</v>
      </c>
      <c r="BN185" s="30" t="e">
        <f t="shared" si="304"/>
        <v>#N/A</v>
      </c>
      <c r="BO185" s="30" t="e">
        <f t="shared" si="305"/>
        <v>#N/A</v>
      </c>
      <c r="BP185" s="31" t="e">
        <f>IF(OR(Hypothèses!$B$4=17,Hypothèses!$B$4=18,Hypothèses!$B$4=19,Hypothèses!$B$4=20),
IF($D185="Pressio.",
IF(OR($E185=3,$E185=1,$E185=4),BO185,BN185),
IF($D185="Pénétro.",
IF(OR($E185=3,$E185=1,$E185=4),BO185,BN185))),IF($D185="Pressio.",
IF($E185=3,BO185,BN185),
IF($D185="Pénétro.",
IF($E185=4,BO185,BN185))))</f>
        <v>#N/A</v>
      </c>
      <c r="BQ185" s="31" t="e">
        <f>(IF(OR(Hypothèses!$B$4=17,Hypothèses!$B$4=18,Hypothèses!$B$4=19,Hypothèses!$B$4=20),
IF($D185="Pressio.",
IF(OR($E185=3,$E185=1,$E185=4),(PI()*BQ$12^2)/4*(BM185*$W185*1000)/($H185*$B$5),(PI()*BQ$12^2)/4*(BM185*$W185*1000)/($G185*$B$5)),
IF($D185="Pénétro.",
IF(OR($E185=4,$E185=1,$E185=5),(PI()*BQ$12^2)/4*(BM185*$W185*1000)/($H185*$B$5),(PI()*BQ$12^2)/4*(BM185*$W185*1000)/($G185*$B$5)))),
IF($D185="Pressio.",
IF($E185=3,(PI()*BQ$12^2)/4*(BM185*$W185*1000)/($H185*$B$5),(PI()*BQ$12^2)/4*(BM185*$W185*1000)/($G185*$B$5)),
IF($D185="Pénétro.",
IF($E185=4,(PI()*BQ$12^2)/4*(BM185*$W185*1000)/($H185*$B$5),(PI()*BQ$12^2)/4*(BM185*$W185*1000)/($G185*$B$5))))))/10</f>
        <v>#N/A</v>
      </c>
      <c r="BR185" s="102" t="e">
        <f>(VLOOKUP($B$3,'Coeff EC7'!$T$39:$X$59,2,0)*BP185+VLOOKUP($B$3,'Coeff EC7'!$T$65:$X$85,2,0)*Model0.1C!BQ185)/1.1</f>
        <v>#N/A</v>
      </c>
      <c r="BS185" s="102" t="e">
        <f>(VLOOKUP($B$3,'Coeff EC7'!$T$39:$X$59,3,0)*BP185+VLOOKUP($B$3,'Coeff EC7'!$T$65:$X$85,3,0)*Model0.1C!BQ185)/0.9</f>
        <v>#N/A</v>
      </c>
      <c r="BT185" s="102" t="e">
        <f t="shared" si="278"/>
        <v>#N/A</v>
      </c>
      <c r="BU185" s="102" t="e">
        <f t="shared" si="279"/>
        <v>#N/A</v>
      </c>
      <c r="BV185" s="414" t="e">
        <f>IF(BV184=0,0,IF(AND(BR185&gt;charge_ELS_quasi,BS185&gt;Charge_ELS_freq,BT185&gt;charge_ELU,BU185&gt;charge_ELA,$B185&gt;NDC!$H$22-0.1+MIN(3*$BV$12,1.5)),0,1))</f>
        <v>#N/A</v>
      </c>
      <c r="BW185" s="86" t="b">
        <f t="shared" si="247"/>
        <v>0</v>
      </c>
      <c r="BX185" s="86">
        <f t="shared" si="248"/>
        <v>0.5</v>
      </c>
      <c r="BY185" s="86">
        <f t="shared" si="249"/>
        <v>0.5</v>
      </c>
      <c r="BZ185" s="30" t="e">
        <f t="shared" ca="1" si="280"/>
        <v>#DIV/0!</v>
      </c>
      <c r="CA185" s="85" t="e">
        <f ca="1">IF(BG185&lt;=Hypothèses!$V$7,Hypothèses!$W$7,IF(BG185&lt;=Hypothèses!$V$8,Hypothèses!$W$8,IF(BG185&lt;=Hypothèses!$V$9,Hypothèses!$W$9,IF(BG185&lt;=Hypothèses!$V$10,Hypothèses!$W$10,IF(BG185&lt;=Hypothèses!$V$11,Hypothèses!$W$11,IF(BG185&lt;=Hypothèses!$V$12,Hypothèses!$W$12,IF(BG185&lt;=Hypothèses!$V$13,Hypothèses!$W$13,IF(BG185&lt;=Hypothèses!$V$14,Hypothèses!$W$14,IF(BG185&lt;=Hypothèses!$V$15,Hypothèses!$W$15,IF(BG185&lt;=Hypothèses!$V$16,Hypothèses!$W$16,IF(BG185&lt;=Hypothèses!$V$17,Hypothèses!$W$17,IF(BG185&lt;=Hypothèses!$V$18,Hypothèses!$W$18,""))))))))))))</f>
        <v>#DIV/0!</v>
      </c>
      <c r="CB185" s="87" t="e">
        <f t="shared" ca="1" si="319"/>
        <v>#DIV/0!</v>
      </c>
      <c r="CC185" s="88" t="e">
        <f ca="1">IF(BG185&lt;=Hypothèses!$V$7,Hypothèses!$X$7,IF(BG185&lt;=Hypothèses!$V$8,Hypothèses!$X$8,IF(BG185&lt;=Hypothèses!$V$9,Hypothèses!$X$9,IF(BG185&lt;=Hypothèses!$V$10,Hypothèses!$X$10,IF(BG185&lt;=Hypothèses!$V$11,Hypothèses!$X$11,IF(BG185&lt;=Hypothèses!$V$12,Hypothèses!$X$12,IF(BG185&lt;=Hypothèses!$V$13,Hypothèses!$X$13,IF(BG185&lt;=Hypothèses!$V$14,Hypothèses!$X$14,IF(BG185&lt;=Hypothèses!$V$15,Hypothèses!$X$15,IF(BG185&lt;=Hypothèses!$V$16,Hypothèses!$X$16,IF(BG185&lt;=Hypothèses!$U$17,Hypothèses!$W$17,IF(BG185&lt;=Hypothèses!$U$18,Hypothèses!$W$18,""))))))))))))</f>
        <v>#DIV/0!</v>
      </c>
      <c r="CD185" s="95" t="e">
        <f t="shared" ca="1" si="281"/>
        <v>#DIV/0!</v>
      </c>
      <c r="CE185" s="101" t="e">
        <f t="shared" si="326"/>
        <v>#N/A</v>
      </c>
      <c r="CF185" s="91" t="e">
        <f t="shared" si="250"/>
        <v>#N/A</v>
      </c>
      <c r="CG185" s="30" t="e">
        <f t="shared" si="306"/>
        <v>#N/A</v>
      </c>
      <c r="CH185" s="30" t="e">
        <f t="shared" si="307"/>
        <v>#N/A</v>
      </c>
      <c r="CI185" s="31" t="e">
        <f>IF(OR(Hypothèses!$B$4=17,Hypothèses!$B$4=18,Hypothèses!$B$4=19,Hypothèses!$B$4=20),
IF($D185="Pressio.",
IF(OR($E185=3,$E185=1,$E185=4),CH185,CG185),
IF($D185="Pénétro.",
IF(OR($E185=3,$E185=1,$E185=4),CH185,CG185))),IF($D185="Pressio.",
IF($E185=3,CH185,CG185),
IF($D185="Pénétro.",
IF($E185=4,CH185,CG185))))</f>
        <v>#N/A</v>
      </c>
      <c r="CJ185" s="31" t="e">
        <f>(IF(OR(Hypothèses!$B$4=17,Hypothèses!$B$4=18,Hypothèses!$B$4=19,Hypothèses!$B$4=20),
IF($D185="Pressio.",
IF(OR($E185=3,$E185=1,$E185=4),(PI()*CJ$12^2)/4*(CF185*$W185*1000)/($H185*$B$5),(PI()*CJ$12^2)/4*(CF185*$W185*1000)/($G185*$B$5)),
IF($D185="Pénétro.",
IF(OR($E185=4,$E185=1,$E185=5),(PI()*CJ$12^2)/4*(CF185*$W185*1000)/($H185*$B$5),(PI()*CJ$12^2)/4*(CF185*$W185*1000)/($G185*$B$5)))),
IF($D185="Pressio.",
IF($E185=3,(PI()*CJ$12^2)/4*(CF185*$W185*1000)/($H185*$B$5),(PI()*CJ$12^2)/4*(CF185*$W185*1000)/($G185*$B$5)),
IF($D185="Pénétro.",
IF($E185=4,(PI()*CJ$12^2)/4*(CF185*$W185*1000)/($H185*$B$5),(PI()*CJ$12^2)/4*(CF185*$W185*1000)/($G185*$B$5))))))/10</f>
        <v>#N/A</v>
      </c>
      <c r="CK185" s="102" t="e">
        <f>(VLOOKUP($B$3,'Coeff EC7'!$T$39:$X$59,2,0)*CI185+VLOOKUP($B$3,'Coeff EC7'!$T$65:$X$85,2,0)*Model0.1C!CJ185)/1.1</f>
        <v>#N/A</v>
      </c>
      <c r="CL185" s="102" t="e">
        <f>(VLOOKUP($B$3,'Coeff EC7'!$T$39:$X$59,3,0)*CI185+VLOOKUP($B$3,'Coeff EC7'!$T$65:$X$85,3,0)*Model0.1C!CJ185)/0.9</f>
        <v>#N/A</v>
      </c>
      <c r="CM185" s="102" t="e">
        <f t="shared" si="282"/>
        <v>#N/A</v>
      </c>
      <c r="CN185" s="102" t="e">
        <f t="shared" si="283"/>
        <v>#N/A</v>
      </c>
      <c r="CO185" s="414" t="e">
        <f>IF(CO184=0,0,IF(AND(CK185&gt;charge_ELS_quasi,CL185&gt;Charge_ELS_freq,CM185&gt;charge_ELU,CN185&gt;charge_ELA,$B185&gt;NDC!$H$22-0.1+MIN(3*$CO$12,1.5)),0,1))</f>
        <v>#N/A</v>
      </c>
      <c r="CP185" s="86" t="b">
        <f t="shared" si="251"/>
        <v>0</v>
      </c>
      <c r="CQ185" s="86">
        <f t="shared" si="252"/>
        <v>0.5</v>
      </c>
      <c r="CR185" s="86">
        <f t="shared" si="253"/>
        <v>0.5</v>
      </c>
      <c r="CS185" s="30" t="e">
        <f t="shared" ca="1" si="284"/>
        <v>#DIV/0!</v>
      </c>
      <c r="CT185" s="85" t="e">
        <f ca="1">IF(BZ185&lt;=Hypothèses!$V$7,Hypothèses!$W$7,IF(BZ185&lt;=Hypothèses!$V$8,Hypothèses!$W$8,IF(BZ185&lt;=Hypothèses!$V$9,Hypothèses!$W$9,IF(BZ185&lt;=Hypothèses!$V$10,Hypothèses!$W$10,IF(BZ185&lt;=Hypothèses!$V$11,Hypothèses!$W$11,IF(BZ185&lt;=Hypothèses!$V$12,Hypothèses!$W$12,IF(BZ185&lt;=Hypothèses!$V$13,Hypothèses!$W$13,IF(BZ185&lt;=Hypothèses!$V$14,Hypothèses!$W$14,IF(BZ185&lt;=Hypothèses!$V$15,Hypothèses!$W$15,IF(BZ185&lt;=Hypothèses!$V$16,Hypothèses!$W$16,IF(BZ185&lt;=Hypothèses!$V$17,Hypothèses!$W$17,IF(BZ185&lt;=Hypothèses!$V$18,Hypothèses!$W$18,""))))))))))))</f>
        <v>#DIV/0!</v>
      </c>
      <c r="CU185" s="87" t="e">
        <f t="shared" ca="1" si="320"/>
        <v>#DIV/0!</v>
      </c>
      <c r="CV185" s="88" t="e">
        <f ca="1">IF(BZ185&lt;=Hypothèses!$V$7,Hypothèses!$X$7,IF(BZ185&lt;=Hypothèses!$V$8,Hypothèses!$X$8,IF(BZ185&lt;=Hypothèses!$V$9,Hypothèses!$X$9,IF(BZ185&lt;=Hypothèses!$V$10,Hypothèses!$X$10,IF(BZ185&lt;=Hypothèses!$V$11,Hypothèses!$X$11,IF(BZ185&lt;=Hypothèses!$V$12,Hypothèses!$X$12,IF(BZ185&lt;=Hypothèses!$V$13,Hypothèses!$X$13,IF(BZ185&lt;=Hypothèses!$V$14,Hypothèses!$X$14,IF(BZ185&lt;=Hypothèses!$V$15,Hypothèses!$X$15,IF(BZ185&lt;=Hypothèses!$V$16,Hypothèses!$X$16,IF(BZ185&lt;=Hypothèses!$U$17,Hypothèses!$W$17,IF(BZ185&lt;=Hypothèses!$U$18,Hypothèses!$W$18,""))))))))))))</f>
        <v>#DIV/0!</v>
      </c>
      <c r="CW185" s="95" t="e">
        <f t="shared" ca="1" si="285"/>
        <v>#DIV/0!</v>
      </c>
      <c r="CX185" s="101" t="e">
        <f t="shared" si="327"/>
        <v>#N/A</v>
      </c>
      <c r="CY185" s="91" t="e">
        <f t="shared" si="254"/>
        <v>#N/A</v>
      </c>
      <c r="CZ185" s="30" t="e">
        <f t="shared" si="308"/>
        <v>#N/A</v>
      </c>
      <c r="DA185" s="30" t="e">
        <f t="shared" si="309"/>
        <v>#N/A</v>
      </c>
      <c r="DB185" s="31" t="e">
        <f>IF(OR(Hypothèses!$B$4=17,Hypothèses!$B$4=18,Hypothèses!$B$4=19,Hypothèses!$B$4=20),
IF($D185="Pressio.",
IF(OR($E185=3,$E185=1,$E185=4),DA185,CZ185),
IF($D185="Pénétro.",
IF(OR($E185=3,$E185=1,$E185=4),DA185,CZ185))),IF($D185="Pressio.",
IF($E185=3,DA185,CZ185),
IF($D185="Pénétro.",
IF($E185=4,DA185,CZ185))))</f>
        <v>#N/A</v>
      </c>
      <c r="DC185" s="31" t="e">
        <f>(IF(OR(Hypothèses!$B$4=17,Hypothèses!$B$4=18,Hypothèses!$B$4=19,Hypothèses!$B$4=20),
IF($D185="Pressio.",
IF(OR($E185=3,$E185=1,$E185=4),(PI()*DC$12^2)/4*(CY185*$W185*1000)/($H185*$B$5),(PI()*DC$12^2)/4*(CY185*$W185*1000)/($G185*$B$5)),
IF($D185="Pénétro.",
IF(OR($E185=4,$E185=1,$E185=5),(PI()*DC$12^2)/4*(CY185*$W185*1000)/($H185*$B$5),(PI()*DC$12^2)/4*(CY185*$W185*1000)/($G185*$B$5)))),
IF($D185="Pressio.",
IF($E185=3,(PI()*DC$12^2)/4*(CY185*$W185*1000)/($H185*$B$5),(PI()*DC$12^2)/4*(CY185*$W185*1000)/($G185*$B$5)),
IF($D185="Pénétro.",
IF($E185=4,(PI()*DC$12^2)/4*(CY185*$W185*1000)/($H185*$B$5),(PI()*DC$12^2)/4*(CY185*$W185*1000)/($G185*$B$5))))))/10</f>
        <v>#N/A</v>
      </c>
      <c r="DD185" s="102" t="e">
        <f>(VLOOKUP($B$3,'Coeff EC7'!$T$39:$X$59,2,0)*DB185+VLOOKUP($B$3,'Coeff EC7'!$T$65:$X$85,2,0)*Model0.1C!DC185)/1.1</f>
        <v>#N/A</v>
      </c>
      <c r="DE185" s="102" t="e">
        <f>(VLOOKUP($B$3,'Coeff EC7'!$T$39:$X$59,3,0)*DB185+VLOOKUP($B$3,'Coeff EC7'!$T$65:$X$85,3,0)*Model0.1C!DC185)/0.9</f>
        <v>#N/A</v>
      </c>
      <c r="DF185" s="102" t="e">
        <f t="shared" si="286"/>
        <v>#N/A</v>
      </c>
      <c r="DG185" s="102" t="e">
        <f t="shared" si="287"/>
        <v>#N/A</v>
      </c>
      <c r="DH185" s="414" t="e">
        <f>IF(DH184=0,0,IF(AND(DD185&gt;charge_ELS_quasi,DE185&gt;Charge_ELS_freq,DF185&gt;charge_ELU,DG185&gt;charge_ELA,$B185&gt;NDC!$H$22-0.1+MIN(3*$DH$12,1.5)),0,1))</f>
        <v>#N/A</v>
      </c>
      <c r="DI185" s="86" t="b">
        <f t="shared" si="255"/>
        <v>0</v>
      </c>
      <c r="DJ185" s="86">
        <f t="shared" si="256"/>
        <v>0.5</v>
      </c>
      <c r="DK185" s="86">
        <f t="shared" si="257"/>
        <v>0.5</v>
      </c>
      <c r="DL185" s="30" t="e">
        <f t="shared" ca="1" si="288"/>
        <v>#DIV/0!</v>
      </c>
      <c r="DM185" s="85" t="e">
        <f ca="1">IF(CS185&lt;=Hypothèses!$V$7,Hypothèses!$W$7,IF(CS185&lt;=Hypothèses!$V$8,Hypothèses!$W$8,IF(CS185&lt;=Hypothèses!$V$9,Hypothèses!$W$9,IF(CS185&lt;=Hypothèses!$V$10,Hypothèses!$W$10,IF(CS185&lt;=Hypothèses!$V$11,Hypothèses!$W$11,IF(CS185&lt;=Hypothèses!$V$12,Hypothèses!$W$12,IF(CS185&lt;=Hypothèses!$V$13,Hypothèses!$W$13,IF(CS185&lt;=Hypothèses!$V$14,Hypothèses!$W$14,IF(CS185&lt;=Hypothèses!$V$15,Hypothèses!$W$15,IF(CS185&lt;=Hypothèses!$V$16,Hypothèses!$W$16,IF(CS185&lt;=Hypothèses!$V$17,Hypothèses!$W$17,IF(CS185&lt;=Hypothèses!$V$18,Hypothèses!$W$18,""))))))))))))</f>
        <v>#DIV/0!</v>
      </c>
      <c r="DN185" s="87" t="e">
        <f t="shared" ca="1" si="321"/>
        <v>#DIV/0!</v>
      </c>
      <c r="DO185" s="88" t="e">
        <f ca="1">IF(CS185&lt;=Hypothèses!$V$7,Hypothèses!$X$7,IF(CS185&lt;=Hypothèses!$V$8,Hypothèses!$X$8,IF(CS185&lt;=Hypothèses!$V$9,Hypothèses!$X$9,IF(CS185&lt;=Hypothèses!$V$10,Hypothèses!$X$10,IF(CS185&lt;=Hypothèses!$V$11,Hypothèses!$X$11,IF(CS185&lt;=Hypothèses!$V$12,Hypothèses!$X$12,IF(CS185&lt;=Hypothèses!$V$13,Hypothèses!$X$13,IF(CS185&lt;=Hypothèses!$V$14,Hypothèses!$X$14,IF(CS185&lt;=Hypothèses!$V$15,Hypothèses!$X$15,IF(CS185&lt;=Hypothèses!$V$16,Hypothèses!$X$16,IF(CS185&lt;=Hypothèses!$U$17,Hypothèses!$W$17,IF(CS185&lt;=Hypothèses!$U$18,Hypothèses!$W$18,""))))))))))))</f>
        <v>#DIV/0!</v>
      </c>
      <c r="DP185" s="95" t="e">
        <f t="shared" ca="1" si="289"/>
        <v>#DIV/0!</v>
      </c>
      <c r="DQ185" s="101" t="e">
        <f t="shared" si="328"/>
        <v>#N/A</v>
      </c>
      <c r="DR185" s="91" t="e">
        <f t="shared" si="258"/>
        <v>#N/A</v>
      </c>
      <c r="DS185" s="30" t="e">
        <f t="shared" si="310"/>
        <v>#N/A</v>
      </c>
      <c r="DT185" s="30" t="e">
        <f t="shared" si="311"/>
        <v>#N/A</v>
      </c>
      <c r="DU185" s="31" t="e">
        <f>IF(OR(Hypothèses!$B$4=17,Hypothèses!$B$4=18,Hypothèses!$B$4=19,Hypothèses!$B$4=20),
IF($D185="Pressio.",
IF(OR($E185=3,$E185=1,$E185=4),DT185,DS185),
IF($D185="Pénétro.",
IF(OR($E185=3,$E185=1,$E185=4),DT185,DS185))),IF($D185="Pressio.",
IF($E185=3,DT185,DS185),
IF($D185="Pénétro.",
IF($E185=4,DT185,DS185))))</f>
        <v>#N/A</v>
      </c>
      <c r="DV185" s="31" t="e">
        <f>(IF(OR(Hypothèses!$B$4=17,Hypothèses!$B$4=18,Hypothèses!$B$4=19,Hypothèses!$B$4=20),
IF($D185="Pressio.",
IF(OR($E185=3,$E185=1,$E185=4),(PI()*DV$12^2)/4*(DR185*$W185*1000)/($H185*$B$5),(PI()*DV$12^2)/4*(DR185*$W185*1000)/($G185*$B$5)),
IF($D185="Pénétro.",
IF(OR($E185=4,$E185=1,$E185=5),(PI()*DV$12^2)/4*(DR185*$W185*1000)/($H185*$B$5),(PI()*DV$12^2)/4*(DR185*$W185*1000)/($G185*$B$5)))),
IF($D185="Pressio.",
IF($E185=3,(PI()*DV$12^2)/4*(DR185*$W185*1000)/($H185*$B$5),(PI()*DV$12^2)/4*(DR185*$W185*1000)/($G185*$B$5)),
IF($D185="Pénétro.",
IF($E185=4,(PI()*DV$12^2)/4*(DR185*$W185*1000)/($H185*$B$5),(PI()*DV$12^2)/4*(DR185*$W185*1000)/($G185*$B$5))))))/10</f>
        <v>#N/A</v>
      </c>
      <c r="DW185" s="102" t="e">
        <f>(VLOOKUP($B$3,'Coeff EC7'!$T$39:$X$59,2,0)*DU185+VLOOKUP($B$3,'Coeff EC7'!$T$65:$X$85,2,0)*Model0.1C!DV185)/1.1</f>
        <v>#N/A</v>
      </c>
      <c r="DX185" s="102" t="e">
        <f>(VLOOKUP($B$3,'Coeff EC7'!$T$39:$X$59,3,0)*DU185+VLOOKUP($B$3,'Coeff EC7'!$T$65:$X$85,3,0)*Model0.1C!DV185)/0.9</f>
        <v>#N/A</v>
      </c>
      <c r="DY185" s="102" t="e">
        <f t="shared" si="290"/>
        <v>#N/A</v>
      </c>
      <c r="DZ185" s="102" t="e">
        <f t="shared" si="291"/>
        <v>#N/A</v>
      </c>
      <c r="EA185" s="414" t="e">
        <f>IF(EA184=0,0,IF(AND(DW185&gt;charge_ELS_quasi,DX185&gt;Charge_ELS_freq,DY185&gt;charge_ELU,DZ185&gt;charge_ELA,$B185&gt;NDC!$H$22-0.1+MIN(3*$EA$12,1.5)),0,1))</f>
        <v>#N/A</v>
      </c>
      <c r="EB185" s="86" t="b">
        <f t="shared" si="259"/>
        <v>0</v>
      </c>
      <c r="EC185" s="418">
        <f t="shared" si="260"/>
        <v>0.51</v>
      </c>
      <c r="ED185" s="86">
        <f t="shared" si="261"/>
        <v>0.51</v>
      </c>
      <c r="EE185" s="30" t="e">
        <f t="shared" ca="1" si="292"/>
        <v>#DIV/0!</v>
      </c>
      <c r="EF185" s="85" t="e">
        <f ca="1">IF(DL185&lt;=Hypothèses!$V$7,Hypothèses!$W$7,IF(DL185&lt;=Hypothèses!$V$8,Hypothèses!$W$8,IF(DL185&lt;=Hypothèses!$V$9,Hypothèses!$W$9,IF(DL185&lt;=Hypothèses!$V$10,Hypothèses!$W$10,IF(DL185&lt;=Hypothèses!$V$11,Hypothèses!$W$11,IF(DL185&lt;=Hypothèses!$V$12,Hypothèses!$W$12,IF(DL185&lt;=Hypothèses!$V$13,Hypothèses!$W$13,IF(DL185&lt;=Hypothèses!$V$14,Hypothèses!$W$14,IF(DL185&lt;=Hypothèses!$V$15,Hypothèses!$W$15,IF(DL185&lt;=Hypothèses!$V$16,Hypothèses!$W$16,IF(DL185&lt;=Hypothèses!$V$17,Hypothèses!$W$17,IF(DL185&lt;=Hypothèses!$V$18,Hypothèses!$W$18,""))))))))))))</f>
        <v>#DIV/0!</v>
      </c>
      <c r="EG185" s="87" t="e">
        <f t="shared" ca="1" si="322"/>
        <v>#DIV/0!</v>
      </c>
      <c r="EH185" s="88" t="e">
        <f ca="1">IF(DL185&lt;=Hypothèses!$V$7,Hypothèses!$X$7,IF(DL185&lt;=Hypothèses!$V$8,Hypothèses!$X$8,IF(DL185&lt;=Hypothèses!$V$9,Hypothèses!$X$9,IF(DL185&lt;=Hypothèses!$V$10,Hypothèses!$X$10,IF(DL185&lt;=Hypothèses!$V$11,Hypothèses!$X$11,IF(DL185&lt;=Hypothèses!$V$12,Hypothèses!$X$12,IF(DL185&lt;=Hypothèses!$V$13,Hypothèses!$X$13,IF(DL185&lt;=Hypothèses!$V$14,Hypothèses!$X$14,IF(DL185&lt;=Hypothèses!$V$15,Hypothèses!$X$15,IF(DL185&lt;=Hypothèses!$V$16,Hypothèses!$X$16,IF(DL185&lt;=Hypothèses!$U$17,Hypothèses!$W$17,IF(DL185&lt;=Hypothèses!$U$18,Hypothèses!$W$18,""))))))))))))</f>
        <v>#DIV/0!</v>
      </c>
      <c r="EI185" s="95" t="e">
        <f t="shared" ca="1" si="293"/>
        <v>#DIV/0!</v>
      </c>
      <c r="EJ185" s="101" t="e">
        <f t="shared" si="329"/>
        <v>#N/A</v>
      </c>
      <c r="EK185" s="91" t="e">
        <f t="shared" si="262"/>
        <v>#N/A</v>
      </c>
      <c r="EL185" s="30" t="e">
        <f t="shared" si="312"/>
        <v>#N/A</v>
      </c>
      <c r="EM185" s="30" t="e">
        <f t="shared" si="313"/>
        <v>#N/A</v>
      </c>
      <c r="EN185" s="31" t="e">
        <f>IF(OR(Hypothèses!$B$4=17,Hypothèses!$B$4=18,Hypothèses!$B$4=19,Hypothèses!$B$4=20),
IF($D185="Pressio.",
IF(OR($E185=3,$E185=1,$E185=4),EM185,EL185),
IF($D185="Pénétro.",
IF(OR($E185=3,$E185=1,$E185=4),EM185,EL185))),IF($D185="Pressio.",
IF($E185=3,EM185,EL185),
IF($D185="Pénétro.",
IF($E185=4,EM185,EL185))))</f>
        <v>#N/A</v>
      </c>
      <c r="EO185" s="31" t="e">
        <f>(IF(OR(Hypothèses!$B$4=17,Hypothèses!$B$4=18,Hypothèses!$B$4=19,Hypothèses!$B$4=20),
IF($D185="Pressio.",
IF(OR($E185=3,$E185=1,$E185=4),(PI()*EO$12^2)/4*(EK185*$W185*1000)/($H185*$B$5),(PI()*EO$12^2)/4*(EK185*$W185*1000)/($G185*$B$5)),
IF($D185="Pénétro.",
IF(OR($E185=4,$E185=1,$E185=5),(PI()*EO$12^2)/4*(EK185*$W185*1000)/($H185*$B$5),(PI()*EO$12^2)/4*(EK185*$W185*1000)/($G185*$B$5)))),
IF($D185="Pressio.",
IF($E185=3,(PI()*EO$12^2)/4*(EK185*$W185*1000)/($H185*$B$5),(PI()*EO$12^2)/4*(EK185*$W185*1000)/($G185*$B$5)),
IF($D185="Pénétro.",
IF($E185=4,(PI()*EO$12^2)/4*(EK185*$W185*1000)/($H185*$B$5),(PI()*EO$12^2)/4*(EK185*$W185*1000)/($G185*$B$5))))))/10</f>
        <v>#N/A</v>
      </c>
      <c r="EP185" s="102" t="e">
        <f>(VLOOKUP($B$3,'Coeff EC7'!$T$39:$X$59,2,0)*EN185+VLOOKUP($B$3,'Coeff EC7'!$T$65:$X$85,2,0)*Model0.1C!EO185)/1.1</f>
        <v>#N/A</v>
      </c>
      <c r="EQ185" s="102" t="e">
        <f>(VLOOKUP($B$3,'Coeff EC7'!$T$39:$X$59,3,0)*EN185+VLOOKUP($B$3,'Coeff EC7'!$T$65:$X$85,3,0)*Model0.1C!EO185)/0.9</f>
        <v>#N/A</v>
      </c>
      <c r="ER185" s="102" t="e">
        <f t="shared" si="294"/>
        <v>#N/A</v>
      </c>
      <c r="ES185" s="102" t="e">
        <f t="shared" si="295"/>
        <v>#N/A</v>
      </c>
      <c r="ET185" s="414" t="e">
        <f>IF(ET184=0,0,IF(AND(EP185&gt;charge_ELS_quasi,EQ185&gt;Charge_ELS_freq,ER185&gt;charge_ELU,ES185&gt;charge_ELA,$B185&gt;NDC!$H$22-0.1+MIN(3*$ET$12,1.5)),0,1))</f>
        <v>#N/A</v>
      </c>
      <c r="EU185" s="86" t="b">
        <f t="shared" si="263"/>
        <v>0</v>
      </c>
      <c r="EV185" s="86">
        <f t="shared" si="264"/>
        <v>0.61</v>
      </c>
      <c r="EW185" s="86">
        <f t="shared" si="265"/>
        <v>0.61</v>
      </c>
      <c r="EX185" s="30" t="e">
        <f t="shared" ca="1" si="296"/>
        <v>#DIV/0!</v>
      </c>
      <c r="EY185" s="85" t="e">
        <f ca="1">IF(EE185&lt;=Hypothèses!$V$7,Hypothèses!$W$7,IF(EE185&lt;=Hypothèses!$V$8,Hypothèses!$W$8,IF(EE185&lt;=Hypothèses!$V$9,Hypothèses!$W$9,IF(EE185&lt;=Hypothèses!$V$10,Hypothèses!$W$10,IF(EE185&lt;=Hypothèses!$V$11,Hypothèses!$W$11,IF(EE185&lt;=Hypothèses!$V$12,Hypothèses!$W$12,IF(EE185&lt;=Hypothèses!$V$13,Hypothèses!$W$13,IF(EE185&lt;=Hypothèses!$V$14,Hypothèses!$W$14,IF(EE185&lt;=Hypothèses!$V$15,Hypothèses!$W$15,IF(EE185&lt;=Hypothèses!$V$16,Hypothèses!$W$16,IF(EE185&lt;=Hypothèses!$V$17,Hypothèses!$W$17,IF(EE185&lt;=Hypothèses!$V$18,Hypothèses!$W$18,""))))))))))))</f>
        <v>#DIV/0!</v>
      </c>
      <c r="EZ185" s="87" t="e">
        <f t="shared" ca="1" si="323"/>
        <v>#DIV/0!</v>
      </c>
      <c r="FA185" s="88" t="e">
        <f ca="1">IF(EE185&lt;=Hypothèses!$V$7,Hypothèses!$X$7,IF(EE185&lt;=Hypothèses!$V$8,Hypothèses!$X$8,IF(EE185&lt;=Hypothèses!$V$9,Hypothèses!$X$9,IF(EE185&lt;=Hypothèses!$V$10,Hypothèses!$X$10,IF(EE185&lt;=Hypothèses!$V$11,Hypothèses!$X$11,IF(EE185&lt;=Hypothèses!$V$12,Hypothèses!$X$12,IF(EE185&lt;=Hypothèses!$V$13,Hypothèses!$X$13,IF(EE185&lt;=Hypothèses!$V$14,Hypothèses!$X$14,IF(EE185&lt;=Hypothèses!$V$15,Hypothèses!$X$15,IF(EE185&lt;=Hypothèses!$V$16,Hypothèses!$X$16,IF(EE185&lt;=Hypothèses!$U$17,Hypothèses!$W$17,IF(EE185&lt;=Hypothèses!$U$18,Hypothèses!$W$18,""))))))))))))</f>
        <v>#DIV/0!</v>
      </c>
      <c r="FB185" s="95" t="e">
        <f t="shared" ca="1" si="297"/>
        <v>#DIV/0!</v>
      </c>
      <c r="FC185" s="101" t="e">
        <f t="shared" si="330"/>
        <v>#N/A</v>
      </c>
      <c r="FD185" s="91" t="e">
        <f t="shared" si="266"/>
        <v>#N/A</v>
      </c>
      <c r="FE185" s="30" t="e">
        <f t="shared" si="314"/>
        <v>#N/A</v>
      </c>
      <c r="FF185" s="30" t="e">
        <f t="shared" si="315"/>
        <v>#N/A</v>
      </c>
      <c r="FG185" s="31" t="e">
        <f>IF(OR(Hypothèses!$B$4=17,Hypothèses!$B$4=18,Hypothèses!$B$4=19,Hypothèses!$B$4=20),
IF($D185="Pressio.",
IF(OR($E185=3,$E185=1,$E185=4),FF185,FE185),
IF($D185="Pénétro.",
IF(OR($E185=3,$E185=1,$E185=4),FF185,FE185))),IF($D185="Pressio.",
IF($E185=3,FF185,FE185),
IF($D185="Pénétro.",
IF($E185=4,FF185,FE185))))</f>
        <v>#N/A</v>
      </c>
      <c r="FH185" s="31" t="e">
        <f>(IF(OR(Hypothèses!$B$4=17,Hypothèses!$B$4=18,Hypothèses!$B$4=19,Hypothèses!$B$4=20),
IF($D185="Pressio.",
IF(OR($E185=3,$E185=1,$E185=4),(PI()*FH$12^2)/4*(FD185*$W185*1000)/($H185*$B$5),(PI()*FH$12^2)/4*(FD185*$W185*1000)/($G185*$B$5)),
IF($D185="Pénétro.",
IF(OR($E185=4,$E185=1,$E185=5),(PI()*FH$12^2)/4*(FD185*$W185*1000)/($H185*$B$5),(PI()*FH$12^2)/4*(FD185*$W185*1000)/($G185*$B$5)))),
IF($D185="Pressio.",
IF($E185=3,(PI()*FH$12^2)/4*(FD185*$W185*1000)/($H185*$B$5),(PI()*FH$12^2)/4*(FD185*$W185*1000)/($G185*$B$5)),
IF($D185="Pénétro.",
IF($E185=4,(PI()*FH$12^2)/4*(FD185*$W185*1000)/($H185*$B$5),(PI()*FH$12^2)/4*(FD185*$W185*1000)/($G185*$B$5))))))/10</f>
        <v>#N/A</v>
      </c>
      <c r="FI185" s="102" t="e">
        <f>(VLOOKUP($B$3,'Coeff EC7'!$T$39:$X$59,2,0)*FG185+VLOOKUP($B$3,'Coeff EC7'!$T$65:$X$85,2,0)*Model0.1C!FH185)/1.1</f>
        <v>#N/A</v>
      </c>
      <c r="FJ185" s="102" t="e">
        <f>(VLOOKUP($B$3,'Coeff EC7'!$T$39:$X$59,3,0)*FG185+VLOOKUP($B$3,'Coeff EC7'!$T$65:$X$85,3,0)*Model0.1C!FH185)/0.9</f>
        <v>#N/A</v>
      </c>
      <c r="FK185" s="102" t="e">
        <f t="shared" si="298"/>
        <v>#N/A</v>
      </c>
      <c r="FL185" s="102" t="e">
        <f t="shared" si="299"/>
        <v>#N/A</v>
      </c>
      <c r="FM185" s="414" t="e">
        <f>IF(FM184=0,0,IF(AND(FI185&gt;charge_ELS_quasi,FJ185&gt;Charge_ELS_freq,FK185&gt;charge_ELU,FL185&gt;charge_ELA,$B185&gt;NDC!$H$22-0.1+MIN(3*$FM$12,1.5)),0,1))</f>
        <v>#N/A</v>
      </c>
    </row>
    <row r="186" spans="1:169">
      <c r="A186" s="96">
        <f t="shared" si="267"/>
        <v>82.700000000000983</v>
      </c>
      <c r="B186" s="97">
        <v>17.3</v>
      </c>
      <c r="C186" s="81">
        <f>IF(B186&lt;=Hypothèses!$C$7,Hypothèses!$A$7,IF(B186&lt;=Hypothèses!$C$8,Hypothèses!$A$8,IF(B186&lt;=Hypothèses!$C$9,Hypothèses!$A$9,IF(B186&lt;=Hypothèses!$C$10,Hypothèses!$A$10,IF(B186&lt;=Hypothèses!$C$11,Hypothèses!$A$11,IF(B186&lt;=Hypothèses!$C$12,Hypothèses!$A$12,IF(B186&lt;=Hypothèses!$C$13,Hypothèses!$A$13,IF(B186&lt;=Hypothèses!$C$14,Hypothèses!$A$14,IF(B186&lt;=Hypothèses!$C$15,Hypothèses!$A$15,IF(B186&lt;=Hypothèses!$C$16,Hypothèses!$A$16,IF(B186&lt;=Hypothèses!$C$17,Hypothèses!$A$17,IF(B186&lt;=Hypothèses!$C$18,Hypothèses!$A$18,C185))))))))))))</f>
        <v>11</v>
      </c>
      <c r="D186" s="82" t="str">
        <f>IF(B186&lt;=Hypothèses!$C$7,Hypothèses!$R$7,IF(B186&lt;=Hypothèses!$C$8,Hypothèses!$R$8,IF(B186&lt;=Hypothèses!$C$9,Hypothèses!$R$9,IF(B186&lt;=Hypothèses!$C$10,Hypothèses!$R$10,IF(B186&lt;=Hypothèses!$C$11,Hypothèses!$R$11,IF(B186&lt;=Hypothèses!$C$12,Hypothèses!$R$12,IF(B186&lt;=Hypothèses!$C$13,Hypothèses!$R$13,IF(B186&lt;=Hypothèses!$C$14,Hypothèses!$R$14,IF(B186&lt;=Hypothèses!$C$15,Hypothèses!$R$15,IF(B186&lt;=Hypothèses!$C$16,Hypothèses!$R$16,IF(B186&lt;=Hypothèses!$C$17,Hypothèses!$R$17,IF(B186&lt;=Hypothèses!$C$18,Hypothèses!$R$18,D185))))))))))))</f>
        <v>Pressio.</v>
      </c>
      <c r="E186" s="82" t="e">
        <f>IF(B186&lt;=Hypothèses!$C$7,Hypothèses!$G$7,IF(B186&lt;=Hypothèses!$C$8,Hypothèses!$G$8,IF(B186&lt;=Hypothèses!$C$9,Hypothèses!$G$9,IF(B186&lt;=Hypothèses!$C$10,Hypothèses!$G$10,IF(B186&lt;=Hypothèses!$C$11,Hypothèses!$G$11,IF(B186&lt;=Hypothèses!$C$12,Hypothèses!$G$12,IF(B186&lt;=Hypothèses!$C$13,Hypothèses!$G$13,IF(B186&lt;=Hypothèses!$C$14,Hypothèses!$G$14,IF(B186&lt;=Hypothèses!$C$15,Hypothèses!$G$15,IF(B186&lt;=Hypothèses!$C$16,Hypothèses!$G$16,IF(B186&lt;=Hypothèses!$C$17,Hypothèses!$G$17,IF(B186&lt;=Hypothèses!$C$18,Hypothèses!$G$18,E185))))))))))))</f>
        <v>#N/A</v>
      </c>
      <c r="F186" s="82" t="str">
        <f>IF(B186&lt;=Hypothèses!$C$7,Hypothèses!$F$7,IF(B186&lt;=Hypothèses!$C$8,Hypothèses!$F$8,IF(B186&lt;=Hypothèses!$C$9,Hypothèses!$F$9,IF(B186&lt;=Hypothèses!$C$10,Hypothèses!$F$10,IF(B186&lt;=Hypothèses!$C$11,Hypothèses!$F$11,IF(B186&lt;=Hypothèses!$C$12,Hypothèses!$F$12,IF(B186&lt;=Hypothèses!$C$13,Hypothèses!$F$13,IF(B186&lt;=Hypothèses!$C$14,Hypothèses!$F$14,IF(B186&lt;=Hypothèses!$C$15,Hypothèses!$F$15,IF(B186&lt;=Hypothèses!$C$16,Hypothèses!$F$16,IF(B186&lt;=Hypothèses!$C$17,Hypothèses!$F$17,IF(B186&lt;=Hypothèses!$C$18,Hypothèses!$F$18,F185))))))))))))</f>
        <v/>
      </c>
      <c r="G186" s="91">
        <f t="array" ref="G186">INDEX('Coeff EC7'!$U$7:$X$27,
MATCH(Model0.1C!$B$3,'Coeff EC7'!$T$7:$T$27,0),
MATCH(Model0.1C!$D186&amp;Model0.1C!$B$4,
'Coeff EC7'!$U$6:$X$6&amp;
'Coeff EC7'!$U$5:$X$5,0))</f>
        <v>1.1499999999999999</v>
      </c>
      <c r="H186" s="91">
        <f t="array" ref="H186">INDEX('Coeff EC7'!$Y$7:$AB$27,
MATCH(Model0.1C!$B$3,'Coeff EC7'!$T$7:$T$27,0),
MATCH(Model0.1C!$D186&amp;Model0.1C!$B$4,
'Coeff EC7'!$Y$6:$AB$6&amp;
'Coeff EC7'!$Y$5:$AB$5,0))</f>
        <v>1.4</v>
      </c>
      <c r="I186" s="83" t="e">
        <f>IF(B186&lt;=Hypothèses!$C$7,Hypothèses!$P$7,IF(B186&lt;=Hypothèses!$C$8,Hypothèses!$P$8,IF(B186&lt;=Hypothèses!$C$9,Hypothèses!$P$9,IF(B186&lt;=Hypothèses!$C$10,Hypothèses!$P$10,IF(B186&lt;=Hypothèses!$C$11,Hypothèses!$P$11,IF(B186&lt;=Hypothèses!$C$12,Hypothèses!$P$12,IF(B186&lt;=Hypothèses!$C$13,Hypothèses!$P$13,IF(B186&lt;=Hypothèses!$C$14,Hypothèses!$P$14,IF(B186&lt;=Hypothèses!$C$15,Hypothèses!$P$15,IF(B186&lt;=Hypothèses!$C$16,Hypothèses!$P$16,IF(B186&lt;=Hypothèses!$C$17,Hypothèses!$P$17,IF(B186&lt;=Hypothèses!$C$18,Hypothèses!$P$18,I185))))))))))))</f>
        <v>#N/A</v>
      </c>
      <c r="J186" s="91" t="e">
        <f t="array" ref="J186">INDEX('Coeff EC7'!$D$33:$Q$33,1,MATCH(D186&amp;E186,'Coeff EC7'!$D$31:$Q$31&amp;'Coeff EC7'!$D$32:$Q$32,0))</f>
        <v>#N/A</v>
      </c>
      <c r="K186" s="91" t="e">
        <f t="array" ref="K186">INDEX('Coeff EC7'!$D$34:$Q$34,1,MATCH(D186&amp;E186,'Coeff EC7'!$D$31:$Q$31&amp;'Coeff EC7'!$D$32:$Q$32,0))</f>
        <v>#N/A</v>
      </c>
      <c r="L186" s="91" t="e">
        <f t="array" ref="L186">INDEX('Coeff EC7'!$D$35:$Q$35,1,MATCH(D186&amp;E186,'Coeff EC7'!$D$31:$Q$31&amp;'Coeff EC7'!$D$32:$Q$32,0))</f>
        <v>#N/A</v>
      </c>
      <c r="M186" s="98" t="e">
        <f t="shared" si="231"/>
        <v>#N/A</v>
      </c>
      <c r="N186" s="99" t="e">
        <f t="array" ref="N186">INDEX('Coeff EC7'!$D$7:$Q$27,MATCH($B$3,'Coeff EC7'!$C$7:$C$27,0),MATCH(D186&amp;E186,'Coeff EC7'!$D$5:$Q$5&amp;'Coeff EC7'!$D$6:$Q$6,0))</f>
        <v>#N/A</v>
      </c>
      <c r="O186" s="99" t="e">
        <f t="array" ref="O186">INDEX('Coeff EC7'!$D$41:$Q$61,MATCH($B$3,'Coeff EC7'!$C$41:$C$61,0),MATCH(D186&amp;E186,'Coeff EC7'!$D$39:$Q$39&amp;'Coeff EC7'!$D$40:$Q$40,0))</f>
        <v>#N/A</v>
      </c>
      <c r="P186" s="30" t="e">
        <f t="shared" si="268"/>
        <v>#N/A</v>
      </c>
      <c r="Q186" s="100" t="e">
        <f t="shared" si="233"/>
        <v>#N/A</v>
      </c>
      <c r="R186" s="86" t="b">
        <f t="shared" si="234"/>
        <v>0</v>
      </c>
      <c r="S186" s="86">
        <f t="shared" si="232"/>
        <v>0.5</v>
      </c>
      <c r="T186" s="86">
        <f t="shared" si="235"/>
        <v>0.5</v>
      </c>
      <c r="U186" s="30" t="e">
        <f t="shared" ca="1" si="269"/>
        <v>#DIV/0!</v>
      </c>
      <c r="V186" s="85" t="str">
        <f>IF(B186&lt;=Hypothèses!$V$7,Hypothèses!$W$7,IF(B186&lt;=Hypothèses!$V$8,Hypothèses!$W$8,IF(B186&lt;=Hypothèses!$V$9,Hypothèses!$W$9,IF(B186&lt;=Hypothèses!$V$10,Hypothèses!$W$10,IF(B186&lt;=Hypothèses!$V$11,Hypothèses!$W$11,IF(B186&lt;=Hypothèses!$V$12,Hypothèses!$W$12,IF(B186&lt;=Hypothèses!$V$13,Hypothèses!$W$13,IF(B186&lt;=Hypothèses!$V$14,Hypothèses!$W$14,IF(B186&lt;=Hypothèses!$V$15,Hypothèses!$W$15,IF(B186&lt;=Hypothèses!$V$16,Hypothèses!$W$16,IF(B186&lt;=Hypothèses!$V$17,Hypothèses!$W$17,IF(B186&lt;=Hypothèses!$V$18,Hypothèses!$W$18,""))))))))))))</f>
        <v/>
      </c>
      <c r="W186" s="87" t="e">
        <f t="shared" ca="1" si="316"/>
        <v>#DIV/0!</v>
      </c>
      <c r="X186" s="88" t="str">
        <f>IF(B186&lt;=Hypothèses!$V$7,Hypothèses!$X$7,IF(B186&lt;=Hypothèses!$V$8,Hypothèses!$X$8,IF(B186&lt;=Hypothèses!$V$9,Hypothèses!$X$9,IF(B186&lt;=Hypothèses!$V$10,Hypothèses!$X$10,IF(B186&lt;=Hypothèses!$V$11,Hypothèses!$X$11,IF(B186&lt;=Hypothèses!$V$12,Hypothèses!$X$12,IF(B186&lt;=Hypothèses!$V$13,Hypothèses!$X$13,IF(B186&lt;=Hypothèses!$V$14,Hypothèses!$X$14,IF(B186&lt;=Hypothèses!$V$15,Hypothèses!$X$15,IF(B186&lt;=Hypothèses!$V$16,Hypothèses!$X$16,IF(B186&lt;=Hypothèses!$U$17,Hypothèses!$W$17,IF(B186&lt;=Hypothèses!$U$18,Hypothèses!$W$18,""))))))))))))</f>
        <v/>
      </c>
      <c r="Y186" s="95" t="e">
        <f t="shared" ca="1" si="236"/>
        <v>#DIV/0!</v>
      </c>
      <c r="Z186" s="101" t="e">
        <f t="shared" si="237"/>
        <v>#N/A</v>
      </c>
      <c r="AA186" s="91" t="e">
        <f t="shared" si="238"/>
        <v>#N/A</v>
      </c>
      <c r="AB186" s="30" t="e">
        <f t="shared" si="300"/>
        <v>#N/A</v>
      </c>
      <c r="AC186" s="30" t="e">
        <f t="shared" si="301"/>
        <v>#N/A</v>
      </c>
      <c r="AD186" s="31" t="e">
        <f>IF(OR(Hypothèses!$B$4=17,Hypothèses!$B$4=18,Hypothèses!$B$4=19,Hypothèses!$B$4=20),
IF($D186="Pressio.",
IF(OR($E186=3,$E186=1,$E186=4),AC186,AB186),
IF($D186="Pénétro.",
IF(OR($E186=3,$E186=1,$E186=4),AC186,AB186))),IF($D186="Pressio.",
IF($E186=3,AC186,AB186),
IF($D186="Pénétro.",
IF($E186=4,AC186,AB186))))</f>
        <v>#N/A</v>
      </c>
      <c r="AE186" s="31" t="e">
        <f>(IF(OR(Hypothèses!$B$4=17,Hypothèses!$B$4=18,Hypothèses!$B$4=19,Hypothèses!$B$4=20),
IF($D186="Pressio.",
IF(OR($E186=3,$E186=1,$E186=4),(PI()*AE$12^2)/4*(AA186*$W186*1000)/($H186*$B$5),(PI()*AE$12^2)/4*(AA186*$W186*1000)/($G186*$B$5)),
IF($D186="Pénétro.",
IF(OR($E186=4,$E186=1,$E186=5),(PI()*AE$12^2)/4*(AA186*$W186*1000)/($H186*$B$5),(PI()*AE$12^2)/4*(AA186*$W186*1000)/($G186*$B$5)))),
IF($D186="Pressio.",
IF($E186=3,(PI()*AE$12^2)/4*(AA186*$W186*1000)/($H186*$B$5),(PI()*AE$12^2)/4*(AA186*$W186*1000)/($G186*$B$5)),
IF($D186="Pénétro.",
IF($E186=4,(PI()*AE$12^2)/4*(AA186*$W186*1000)/($H186*$B$5),(PI()*AE$12^2)/4*(AA186*$W186*1000)/($G186*$B$5))))))/10</f>
        <v>#N/A</v>
      </c>
      <c r="AF186" s="102" t="e">
        <f>(VLOOKUP($B$3,'Coeff EC7'!$T$39:$X$59,2,0)*AD186+VLOOKUP($B$3,'Coeff EC7'!$T$65:$X$85,2,0)*Model0.1C!AE186)/1.1</f>
        <v>#N/A</v>
      </c>
      <c r="AG186" s="102" t="e">
        <f>(VLOOKUP($B$3,'Coeff EC7'!$T$39:$X$59,3,0)*AD186+VLOOKUP($B$3,'Coeff EC7'!$T$65:$X$85,3,0)*Model0.1C!AE186)/0.9</f>
        <v>#N/A</v>
      </c>
      <c r="AH186" s="102" t="e">
        <f t="shared" si="239"/>
        <v>#N/A</v>
      </c>
      <c r="AI186" s="102" t="e">
        <f t="shared" si="240"/>
        <v>#N/A</v>
      </c>
      <c r="AJ186" s="414" t="e">
        <f>IF(AJ185=0,0,IF(AND(AF186&gt;charge_ELS_quasi,AG186&gt;Charge_ELS_freq,AH186&gt;charge_ELU,AI186&gt;charge_ELA,$B186&gt;NDC!$H$22-0.1+MIN(3*$AJ$12,1.5)),0,1))</f>
        <v>#N/A</v>
      </c>
      <c r="AK186" s="86" t="b">
        <f t="shared" si="241"/>
        <v>0</v>
      </c>
      <c r="AL186" s="86">
        <f t="shared" si="270"/>
        <v>0.5</v>
      </c>
      <c r="AM186" s="86">
        <f t="shared" si="242"/>
        <v>0.5</v>
      </c>
      <c r="AN186" s="30" t="e">
        <f t="shared" ca="1" si="271"/>
        <v>#DIV/0!</v>
      </c>
      <c r="AO186" s="85" t="e">
        <f ca="1">IF(U186&lt;=Hypothèses!$V$7,Hypothèses!$W$7,IF(U186&lt;=Hypothèses!$V$8,Hypothèses!$W$8,IF(U186&lt;=Hypothèses!$V$9,Hypothèses!$W$9,IF(U186&lt;=Hypothèses!$V$10,Hypothèses!$W$10,IF(U186&lt;=Hypothèses!$V$11,Hypothèses!$W$11,IF(U186&lt;=Hypothèses!$V$12,Hypothèses!$W$12,IF(U186&lt;=Hypothèses!$V$13,Hypothèses!$W$13,IF(U186&lt;=Hypothèses!$V$14,Hypothèses!$W$14,IF(U186&lt;=Hypothèses!$V$15,Hypothèses!$W$15,IF(U186&lt;=Hypothèses!$V$16,Hypothèses!$W$16,IF(U186&lt;=Hypothèses!$V$17,Hypothèses!$W$17,IF(U186&lt;=Hypothèses!$V$18,Hypothèses!$W$18,""))))))))))))</f>
        <v>#DIV/0!</v>
      </c>
      <c r="AP186" s="87" t="e">
        <f t="shared" ca="1" si="317"/>
        <v>#DIV/0!</v>
      </c>
      <c r="AQ186" s="88" t="e">
        <f ca="1">IF(U186&lt;=Hypothèses!$V$7,Hypothèses!$X$7,IF(U186&lt;=Hypothèses!$V$8,Hypothèses!$X$8,IF(U186&lt;=Hypothèses!$V$9,Hypothèses!$X$9,IF(U186&lt;=Hypothèses!$V$10,Hypothèses!$X$10,IF(U186&lt;=Hypothèses!$V$11,Hypothèses!$X$11,IF(U186&lt;=Hypothèses!$V$12,Hypothèses!$X$12,IF(U186&lt;=Hypothèses!$V$13,Hypothèses!$X$13,IF(U186&lt;=Hypothèses!$V$14,Hypothèses!$X$14,IF(U186&lt;=Hypothèses!$V$15,Hypothèses!$X$15,IF(U186&lt;=Hypothèses!$V$16,Hypothèses!$X$16,IF(U186&lt;=Hypothèses!$U$17,Hypothèses!$W$17,IF(U186&lt;=Hypothèses!$U$18,Hypothèses!$W$18,""))))))))))))</f>
        <v>#DIV/0!</v>
      </c>
      <c r="AR186" s="95" t="e">
        <f t="shared" ca="1" si="272"/>
        <v>#DIV/0!</v>
      </c>
      <c r="AS186" s="101" t="e">
        <f t="shared" si="324"/>
        <v>#N/A</v>
      </c>
      <c r="AT186" s="91" t="e">
        <f t="shared" si="243"/>
        <v>#N/A</v>
      </c>
      <c r="AU186" s="30" t="e">
        <f t="shared" si="302"/>
        <v>#N/A</v>
      </c>
      <c r="AV186" s="30" t="e">
        <f t="shared" si="303"/>
        <v>#N/A</v>
      </c>
      <c r="AW186" s="31" t="e">
        <f>IF(OR(Hypothèses!$B$4=17,Hypothèses!$B$4=18,Hypothèses!$B$4=19,Hypothèses!$B$4=20),
IF($D186="Pressio.",
IF(OR($E186=3,$E186=1,$E186=4),AV186,AU186),
IF($D186="Pénétro.",
IF(OR($E186=3,$E186=1,$E186=4),AV186,AU186))),IF($D186="Pressio.",
IF($E186=3,AV186,AU186),
IF($D186="Pénétro.",
IF($E186=4,AV186,AU186))))</f>
        <v>#N/A</v>
      </c>
      <c r="AX186" s="31" t="e">
        <f>(IF(OR(Hypothèses!$B$4=17,Hypothèses!$B$4=18,Hypothèses!$B$4=19,Hypothèses!$B$4=20),
IF($D186="Pressio.",
IF(OR($E186=3,$E186=1,$E186=4),(PI()*AX$12^2)/4*(AT186*$W186*1000)/($H186*$B$5),(PI()*AX$12^2)/4*(AT186*$W186*1000)/($G186*$B$5)),
IF($D186="Pénétro.",
IF(OR($E186=4,$E186=1,$E186=5),(PI()*AX$12^2)/4*(AT186*$W186*1000)/($H186*$B$5),(PI()*AX$12^2)/4*(AT186*$W186*1000)/($G186*$B$5)))),
IF($D186="Pressio.",
IF($E186=3,(PI()*AX$12^2)/4*(AT186*$W186*1000)/($H186*$B$5),(PI()*AX$12^2)/4*(AT186*$W186*1000)/($G186*$B$5)),
IF($D186="Pénétro.",
IF($E186=4,(PI()*AX$12^2)/4*(AT186*$W186*1000)/($H186*$B$5),(PI()*AX$12^2)/4*(AT186*$W186*1000)/($G186*$B$5))))))/10</f>
        <v>#N/A</v>
      </c>
      <c r="AY186" s="102" t="e">
        <f>(VLOOKUP($B$3,'Coeff EC7'!$T$39:$X$59,2,0)*AW186+VLOOKUP($B$3,'Coeff EC7'!$T$65:$X$85,2,0)*Model0.1C!AX186)/1.1</f>
        <v>#N/A</v>
      </c>
      <c r="AZ186" s="102" t="e">
        <f>(VLOOKUP($B$3,'Coeff EC7'!$T$39:$X$59,3,0)*AW186+VLOOKUP($B$3,'Coeff EC7'!$T$65:$X$85,3,0)*Model0.1C!AX186)/0.9</f>
        <v>#N/A</v>
      </c>
      <c r="BA186" s="102" t="e">
        <f t="shared" si="273"/>
        <v>#N/A</v>
      </c>
      <c r="BB186" s="102" t="e">
        <f t="shared" si="274"/>
        <v>#N/A</v>
      </c>
      <c r="BC186" s="414" t="e">
        <f>IF(BC185=0,0,IF(AND(AY186&gt;charge_ELS_quasi,AZ186&gt;Charge_ELS_freq,BA186&gt;charge_ELU,BB186&gt;charge_ELA,$B186&gt;NDC!$H$22-0.1+MIN(3*$BC$12,1.5)),0,1))</f>
        <v>#N/A</v>
      </c>
      <c r="BD186" s="86" t="b">
        <f t="shared" si="244"/>
        <v>0</v>
      </c>
      <c r="BE186" s="86">
        <f t="shared" si="275"/>
        <v>0.5</v>
      </c>
      <c r="BF186" s="86">
        <f t="shared" si="245"/>
        <v>0.5</v>
      </c>
      <c r="BG186" s="30" t="e">
        <f t="shared" ca="1" si="276"/>
        <v>#DIV/0!</v>
      </c>
      <c r="BH186" s="85" t="e">
        <f ca="1">IF(AN186&lt;=Hypothèses!$V$7,Hypothèses!$W$7,IF(AN186&lt;=Hypothèses!$V$8,Hypothèses!$W$8,IF(AN186&lt;=Hypothèses!$V$9,Hypothèses!$W$9,IF(AN186&lt;=Hypothèses!$V$10,Hypothèses!$W$10,IF(AN186&lt;=Hypothèses!$V$11,Hypothèses!$W$11,IF(AN186&lt;=Hypothèses!$V$12,Hypothèses!$W$12,IF(AN186&lt;=Hypothèses!$V$13,Hypothèses!$W$13,IF(AN186&lt;=Hypothèses!$V$14,Hypothèses!$W$14,IF(AN186&lt;=Hypothèses!$V$15,Hypothèses!$W$15,IF(AN186&lt;=Hypothèses!$V$16,Hypothèses!$W$16,IF(AN186&lt;=Hypothèses!$V$17,Hypothèses!$W$17,IF(AN186&lt;=Hypothèses!$V$18,Hypothèses!$W$18,""))))))))))))</f>
        <v>#DIV/0!</v>
      </c>
      <c r="BI186" s="87" t="e">
        <f t="shared" ca="1" si="318"/>
        <v>#DIV/0!</v>
      </c>
      <c r="BJ186" s="88" t="e">
        <f ca="1">IF(AN186&lt;=Hypothèses!$V$7,Hypothèses!$X$7,IF(AN186&lt;=Hypothèses!$V$8,Hypothèses!$X$8,IF(AN186&lt;=Hypothèses!$V$9,Hypothèses!$X$9,IF(AN186&lt;=Hypothèses!$V$10,Hypothèses!$X$10,IF(AN186&lt;=Hypothèses!$V$11,Hypothèses!$X$11,IF(AN186&lt;=Hypothèses!$V$12,Hypothèses!$X$12,IF(AN186&lt;=Hypothèses!$V$13,Hypothèses!$X$13,IF(AN186&lt;=Hypothèses!$V$14,Hypothèses!$X$14,IF(AN186&lt;=Hypothèses!$V$15,Hypothèses!$X$15,IF(AN186&lt;=Hypothèses!$V$16,Hypothèses!$X$16,IF(AN186&lt;=Hypothèses!$U$17,Hypothèses!$W$17,IF(AN186&lt;=Hypothèses!$U$18,Hypothèses!$W$18,""))))))))))))</f>
        <v>#DIV/0!</v>
      </c>
      <c r="BK186" s="95" t="e">
        <f t="shared" ca="1" si="277"/>
        <v>#DIV/0!</v>
      </c>
      <c r="BL186" s="101" t="e">
        <f t="shared" si="325"/>
        <v>#N/A</v>
      </c>
      <c r="BM186" s="91" t="e">
        <f t="shared" si="246"/>
        <v>#N/A</v>
      </c>
      <c r="BN186" s="30" t="e">
        <f t="shared" si="304"/>
        <v>#N/A</v>
      </c>
      <c r="BO186" s="30" t="e">
        <f t="shared" si="305"/>
        <v>#N/A</v>
      </c>
      <c r="BP186" s="31" t="e">
        <f>IF(OR(Hypothèses!$B$4=17,Hypothèses!$B$4=18,Hypothèses!$B$4=19,Hypothèses!$B$4=20),
IF($D186="Pressio.",
IF(OR($E186=3,$E186=1,$E186=4),BO186,BN186),
IF($D186="Pénétro.",
IF(OR($E186=3,$E186=1,$E186=4),BO186,BN186))),IF($D186="Pressio.",
IF($E186=3,BO186,BN186),
IF($D186="Pénétro.",
IF($E186=4,BO186,BN186))))</f>
        <v>#N/A</v>
      </c>
      <c r="BQ186" s="31" t="e">
        <f>(IF(OR(Hypothèses!$B$4=17,Hypothèses!$B$4=18,Hypothèses!$B$4=19,Hypothèses!$B$4=20),
IF($D186="Pressio.",
IF(OR($E186=3,$E186=1,$E186=4),(PI()*BQ$12^2)/4*(BM186*$W186*1000)/($H186*$B$5),(PI()*BQ$12^2)/4*(BM186*$W186*1000)/($G186*$B$5)),
IF($D186="Pénétro.",
IF(OR($E186=4,$E186=1,$E186=5),(PI()*BQ$12^2)/4*(BM186*$W186*1000)/($H186*$B$5),(PI()*BQ$12^2)/4*(BM186*$W186*1000)/($G186*$B$5)))),
IF($D186="Pressio.",
IF($E186=3,(PI()*BQ$12^2)/4*(BM186*$W186*1000)/($H186*$B$5),(PI()*BQ$12^2)/4*(BM186*$W186*1000)/($G186*$B$5)),
IF($D186="Pénétro.",
IF($E186=4,(PI()*BQ$12^2)/4*(BM186*$W186*1000)/($H186*$B$5),(PI()*BQ$12^2)/4*(BM186*$W186*1000)/($G186*$B$5))))))/10</f>
        <v>#N/A</v>
      </c>
      <c r="BR186" s="102" t="e">
        <f>(VLOOKUP($B$3,'Coeff EC7'!$T$39:$X$59,2,0)*BP186+VLOOKUP($B$3,'Coeff EC7'!$T$65:$X$85,2,0)*Model0.1C!BQ186)/1.1</f>
        <v>#N/A</v>
      </c>
      <c r="BS186" s="102" t="e">
        <f>(VLOOKUP($B$3,'Coeff EC7'!$T$39:$X$59,3,0)*BP186+VLOOKUP($B$3,'Coeff EC7'!$T$65:$X$85,3,0)*Model0.1C!BQ186)/0.9</f>
        <v>#N/A</v>
      </c>
      <c r="BT186" s="102" t="e">
        <f t="shared" si="278"/>
        <v>#N/A</v>
      </c>
      <c r="BU186" s="102" t="e">
        <f t="shared" si="279"/>
        <v>#N/A</v>
      </c>
      <c r="BV186" s="414" t="e">
        <f>IF(BV185=0,0,IF(AND(BR186&gt;charge_ELS_quasi,BS186&gt;Charge_ELS_freq,BT186&gt;charge_ELU,BU186&gt;charge_ELA,$B186&gt;NDC!$H$22-0.1+MIN(3*$BV$12,1.5)),0,1))</f>
        <v>#N/A</v>
      </c>
      <c r="BW186" s="86" t="b">
        <f t="shared" si="247"/>
        <v>0</v>
      </c>
      <c r="BX186" s="86">
        <f t="shared" si="248"/>
        <v>0.5</v>
      </c>
      <c r="BY186" s="86">
        <f t="shared" si="249"/>
        <v>0.5</v>
      </c>
      <c r="BZ186" s="30" t="e">
        <f t="shared" ca="1" si="280"/>
        <v>#DIV/0!</v>
      </c>
      <c r="CA186" s="85" t="e">
        <f ca="1">IF(BG186&lt;=Hypothèses!$V$7,Hypothèses!$W$7,IF(BG186&lt;=Hypothèses!$V$8,Hypothèses!$W$8,IF(BG186&lt;=Hypothèses!$V$9,Hypothèses!$W$9,IF(BG186&lt;=Hypothèses!$V$10,Hypothèses!$W$10,IF(BG186&lt;=Hypothèses!$V$11,Hypothèses!$W$11,IF(BG186&lt;=Hypothèses!$V$12,Hypothèses!$W$12,IF(BG186&lt;=Hypothèses!$V$13,Hypothèses!$W$13,IF(BG186&lt;=Hypothèses!$V$14,Hypothèses!$W$14,IF(BG186&lt;=Hypothèses!$V$15,Hypothèses!$W$15,IF(BG186&lt;=Hypothèses!$V$16,Hypothèses!$W$16,IF(BG186&lt;=Hypothèses!$V$17,Hypothèses!$W$17,IF(BG186&lt;=Hypothèses!$V$18,Hypothèses!$W$18,""))))))))))))</f>
        <v>#DIV/0!</v>
      </c>
      <c r="CB186" s="87" t="e">
        <f t="shared" ca="1" si="319"/>
        <v>#DIV/0!</v>
      </c>
      <c r="CC186" s="88" t="e">
        <f ca="1">IF(BG186&lt;=Hypothèses!$V$7,Hypothèses!$X$7,IF(BG186&lt;=Hypothèses!$V$8,Hypothèses!$X$8,IF(BG186&lt;=Hypothèses!$V$9,Hypothèses!$X$9,IF(BG186&lt;=Hypothèses!$V$10,Hypothèses!$X$10,IF(BG186&lt;=Hypothèses!$V$11,Hypothèses!$X$11,IF(BG186&lt;=Hypothèses!$V$12,Hypothèses!$X$12,IF(BG186&lt;=Hypothèses!$V$13,Hypothèses!$X$13,IF(BG186&lt;=Hypothèses!$V$14,Hypothèses!$X$14,IF(BG186&lt;=Hypothèses!$V$15,Hypothèses!$X$15,IF(BG186&lt;=Hypothèses!$V$16,Hypothèses!$X$16,IF(BG186&lt;=Hypothèses!$U$17,Hypothèses!$W$17,IF(BG186&lt;=Hypothèses!$U$18,Hypothèses!$W$18,""))))))))))))</f>
        <v>#DIV/0!</v>
      </c>
      <c r="CD186" s="95" t="e">
        <f t="shared" ca="1" si="281"/>
        <v>#DIV/0!</v>
      </c>
      <c r="CE186" s="101" t="e">
        <f t="shared" si="326"/>
        <v>#N/A</v>
      </c>
      <c r="CF186" s="91" t="e">
        <f t="shared" si="250"/>
        <v>#N/A</v>
      </c>
      <c r="CG186" s="30" t="e">
        <f t="shared" si="306"/>
        <v>#N/A</v>
      </c>
      <c r="CH186" s="30" t="e">
        <f t="shared" si="307"/>
        <v>#N/A</v>
      </c>
      <c r="CI186" s="31" t="e">
        <f>IF(OR(Hypothèses!$B$4=17,Hypothèses!$B$4=18,Hypothèses!$B$4=19,Hypothèses!$B$4=20),
IF($D186="Pressio.",
IF(OR($E186=3,$E186=1,$E186=4),CH186,CG186),
IF($D186="Pénétro.",
IF(OR($E186=3,$E186=1,$E186=4),CH186,CG186))),IF($D186="Pressio.",
IF($E186=3,CH186,CG186),
IF($D186="Pénétro.",
IF($E186=4,CH186,CG186))))</f>
        <v>#N/A</v>
      </c>
      <c r="CJ186" s="31" t="e">
        <f>(IF(OR(Hypothèses!$B$4=17,Hypothèses!$B$4=18,Hypothèses!$B$4=19,Hypothèses!$B$4=20),
IF($D186="Pressio.",
IF(OR($E186=3,$E186=1,$E186=4),(PI()*CJ$12^2)/4*(CF186*$W186*1000)/($H186*$B$5),(PI()*CJ$12^2)/4*(CF186*$W186*1000)/($G186*$B$5)),
IF($D186="Pénétro.",
IF(OR($E186=4,$E186=1,$E186=5),(PI()*CJ$12^2)/4*(CF186*$W186*1000)/($H186*$B$5),(PI()*CJ$12^2)/4*(CF186*$W186*1000)/($G186*$B$5)))),
IF($D186="Pressio.",
IF($E186=3,(PI()*CJ$12^2)/4*(CF186*$W186*1000)/($H186*$B$5),(PI()*CJ$12^2)/4*(CF186*$W186*1000)/($G186*$B$5)),
IF($D186="Pénétro.",
IF($E186=4,(PI()*CJ$12^2)/4*(CF186*$W186*1000)/($H186*$B$5),(PI()*CJ$12^2)/4*(CF186*$W186*1000)/($G186*$B$5))))))/10</f>
        <v>#N/A</v>
      </c>
      <c r="CK186" s="102" t="e">
        <f>(VLOOKUP($B$3,'Coeff EC7'!$T$39:$X$59,2,0)*CI186+VLOOKUP($B$3,'Coeff EC7'!$T$65:$X$85,2,0)*Model0.1C!CJ186)/1.1</f>
        <v>#N/A</v>
      </c>
      <c r="CL186" s="102" t="e">
        <f>(VLOOKUP($B$3,'Coeff EC7'!$T$39:$X$59,3,0)*CI186+VLOOKUP($B$3,'Coeff EC7'!$T$65:$X$85,3,0)*Model0.1C!CJ186)/0.9</f>
        <v>#N/A</v>
      </c>
      <c r="CM186" s="102" t="e">
        <f t="shared" si="282"/>
        <v>#N/A</v>
      </c>
      <c r="CN186" s="102" t="e">
        <f t="shared" si="283"/>
        <v>#N/A</v>
      </c>
      <c r="CO186" s="414" t="e">
        <f>IF(CO185=0,0,IF(AND(CK186&gt;charge_ELS_quasi,CL186&gt;Charge_ELS_freq,CM186&gt;charge_ELU,CN186&gt;charge_ELA,$B186&gt;NDC!$H$22-0.1+MIN(3*$CO$12,1.5)),0,1))</f>
        <v>#N/A</v>
      </c>
      <c r="CP186" s="86" t="b">
        <f t="shared" si="251"/>
        <v>0</v>
      </c>
      <c r="CQ186" s="86">
        <f t="shared" si="252"/>
        <v>0.5</v>
      </c>
      <c r="CR186" s="86">
        <f t="shared" si="253"/>
        <v>0.5</v>
      </c>
      <c r="CS186" s="30" t="e">
        <f t="shared" ca="1" si="284"/>
        <v>#DIV/0!</v>
      </c>
      <c r="CT186" s="85" t="e">
        <f ca="1">IF(BZ186&lt;=Hypothèses!$V$7,Hypothèses!$W$7,IF(BZ186&lt;=Hypothèses!$V$8,Hypothèses!$W$8,IF(BZ186&lt;=Hypothèses!$V$9,Hypothèses!$W$9,IF(BZ186&lt;=Hypothèses!$V$10,Hypothèses!$W$10,IF(BZ186&lt;=Hypothèses!$V$11,Hypothèses!$W$11,IF(BZ186&lt;=Hypothèses!$V$12,Hypothèses!$W$12,IF(BZ186&lt;=Hypothèses!$V$13,Hypothèses!$W$13,IF(BZ186&lt;=Hypothèses!$V$14,Hypothèses!$W$14,IF(BZ186&lt;=Hypothèses!$V$15,Hypothèses!$W$15,IF(BZ186&lt;=Hypothèses!$V$16,Hypothèses!$W$16,IF(BZ186&lt;=Hypothèses!$V$17,Hypothèses!$W$17,IF(BZ186&lt;=Hypothèses!$V$18,Hypothèses!$W$18,""))))))))))))</f>
        <v>#DIV/0!</v>
      </c>
      <c r="CU186" s="87" t="e">
        <f t="shared" ca="1" si="320"/>
        <v>#DIV/0!</v>
      </c>
      <c r="CV186" s="88" t="e">
        <f ca="1">IF(BZ186&lt;=Hypothèses!$V$7,Hypothèses!$X$7,IF(BZ186&lt;=Hypothèses!$V$8,Hypothèses!$X$8,IF(BZ186&lt;=Hypothèses!$V$9,Hypothèses!$X$9,IF(BZ186&lt;=Hypothèses!$V$10,Hypothèses!$X$10,IF(BZ186&lt;=Hypothèses!$V$11,Hypothèses!$X$11,IF(BZ186&lt;=Hypothèses!$V$12,Hypothèses!$X$12,IF(BZ186&lt;=Hypothèses!$V$13,Hypothèses!$X$13,IF(BZ186&lt;=Hypothèses!$V$14,Hypothèses!$X$14,IF(BZ186&lt;=Hypothèses!$V$15,Hypothèses!$X$15,IF(BZ186&lt;=Hypothèses!$V$16,Hypothèses!$X$16,IF(BZ186&lt;=Hypothèses!$U$17,Hypothèses!$W$17,IF(BZ186&lt;=Hypothèses!$U$18,Hypothèses!$W$18,""))))))))))))</f>
        <v>#DIV/0!</v>
      </c>
      <c r="CW186" s="95" t="e">
        <f t="shared" ca="1" si="285"/>
        <v>#DIV/0!</v>
      </c>
      <c r="CX186" s="101" t="e">
        <f t="shared" si="327"/>
        <v>#N/A</v>
      </c>
      <c r="CY186" s="91" t="e">
        <f t="shared" si="254"/>
        <v>#N/A</v>
      </c>
      <c r="CZ186" s="30" t="e">
        <f t="shared" si="308"/>
        <v>#N/A</v>
      </c>
      <c r="DA186" s="30" t="e">
        <f t="shared" si="309"/>
        <v>#N/A</v>
      </c>
      <c r="DB186" s="31" t="e">
        <f>IF(OR(Hypothèses!$B$4=17,Hypothèses!$B$4=18,Hypothèses!$B$4=19,Hypothèses!$B$4=20),
IF($D186="Pressio.",
IF(OR($E186=3,$E186=1,$E186=4),DA186,CZ186),
IF($D186="Pénétro.",
IF(OR($E186=3,$E186=1,$E186=4),DA186,CZ186))),IF($D186="Pressio.",
IF($E186=3,DA186,CZ186),
IF($D186="Pénétro.",
IF($E186=4,DA186,CZ186))))</f>
        <v>#N/A</v>
      </c>
      <c r="DC186" s="31" t="e">
        <f>(IF(OR(Hypothèses!$B$4=17,Hypothèses!$B$4=18,Hypothèses!$B$4=19,Hypothèses!$B$4=20),
IF($D186="Pressio.",
IF(OR($E186=3,$E186=1,$E186=4),(PI()*DC$12^2)/4*(CY186*$W186*1000)/($H186*$B$5),(PI()*DC$12^2)/4*(CY186*$W186*1000)/($G186*$B$5)),
IF($D186="Pénétro.",
IF(OR($E186=4,$E186=1,$E186=5),(PI()*DC$12^2)/4*(CY186*$W186*1000)/($H186*$B$5),(PI()*DC$12^2)/4*(CY186*$W186*1000)/($G186*$B$5)))),
IF($D186="Pressio.",
IF($E186=3,(PI()*DC$12^2)/4*(CY186*$W186*1000)/($H186*$B$5),(PI()*DC$12^2)/4*(CY186*$W186*1000)/($G186*$B$5)),
IF($D186="Pénétro.",
IF($E186=4,(PI()*DC$12^2)/4*(CY186*$W186*1000)/($H186*$B$5),(PI()*DC$12^2)/4*(CY186*$W186*1000)/($G186*$B$5))))))/10</f>
        <v>#N/A</v>
      </c>
      <c r="DD186" s="102" t="e">
        <f>(VLOOKUP($B$3,'Coeff EC7'!$T$39:$X$59,2,0)*DB186+VLOOKUP($B$3,'Coeff EC7'!$T$65:$X$85,2,0)*Model0.1C!DC186)/1.1</f>
        <v>#N/A</v>
      </c>
      <c r="DE186" s="102" t="e">
        <f>(VLOOKUP($B$3,'Coeff EC7'!$T$39:$X$59,3,0)*DB186+VLOOKUP($B$3,'Coeff EC7'!$T$65:$X$85,3,0)*Model0.1C!DC186)/0.9</f>
        <v>#N/A</v>
      </c>
      <c r="DF186" s="102" t="e">
        <f t="shared" si="286"/>
        <v>#N/A</v>
      </c>
      <c r="DG186" s="102" t="e">
        <f t="shared" si="287"/>
        <v>#N/A</v>
      </c>
      <c r="DH186" s="414" t="e">
        <f>IF(DH185=0,0,IF(AND(DD186&gt;charge_ELS_quasi,DE186&gt;Charge_ELS_freq,DF186&gt;charge_ELU,DG186&gt;charge_ELA,$B186&gt;NDC!$H$22-0.1+MIN(3*$DH$12,1.5)),0,1))</f>
        <v>#N/A</v>
      </c>
      <c r="DI186" s="86" t="b">
        <f t="shared" si="255"/>
        <v>0</v>
      </c>
      <c r="DJ186" s="86">
        <f t="shared" si="256"/>
        <v>0.5</v>
      </c>
      <c r="DK186" s="86">
        <f t="shared" si="257"/>
        <v>0.5</v>
      </c>
      <c r="DL186" s="30" t="e">
        <f t="shared" ca="1" si="288"/>
        <v>#DIV/0!</v>
      </c>
      <c r="DM186" s="85" t="e">
        <f ca="1">IF(CS186&lt;=Hypothèses!$V$7,Hypothèses!$W$7,IF(CS186&lt;=Hypothèses!$V$8,Hypothèses!$W$8,IF(CS186&lt;=Hypothèses!$V$9,Hypothèses!$W$9,IF(CS186&lt;=Hypothèses!$V$10,Hypothèses!$W$10,IF(CS186&lt;=Hypothèses!$V$11,Hypothèses!$W$11,IF(CS186&lt;=Hypothèses!$V$12,Hypothèses!$W$12,IF(CS186&lt;=Hypothèses!$V$13,Hypothèses!$W$13,IF(CS186&lt;=Hypothèses!$V$14,Hypothèses!$W$14,IF(CS186&lt;=Hypothèses!$V$15,Hypothèses!$W$15,IF(CS186&lt;=Hypothèses!$V$16,Hypothèses!$W$16,IF(CS186&lt;=Hypothèses!$V$17,Hypothèses!$W$17,IF(CS186&lt;=Hypothèses!$V$18,Hypothèses!$W$18,""))))))))))))</f>
        <v>#DIV/0!</v>
      </c>
      <c r="DN186" s="87" t="e">
        <f t="shared" ca="1" si="321"/>
        <v>#DIV/0!</v>
      </c>
      <c r="DO186" s="88" t="e">
        <f ca="1">IF(CS186&lt;=Hypothèses!$V$7,Hypothèses!$X$7,IF(CS186&lt;=Hypothèses!$V$8,Hypothèses!$X$8,IF(CS186&lt;=Hypothèses!$V$9,Hypothèses!$X$9,IF(CS186&lt;=Hypothèses!$V$10,Hypothèses!$X$10,IF(CS186&lt;=Hypothèses!$V$11,Hypothèses!$X$11,IF(CS186&lt;=Hypothèses!$V$12,Hypothèses!$X$12,IF(CS186&lt;=Hypothèses!$V$13,Hypothèses!$X$13,IF(CS186&lt;=Hypothèses!$V$14,Hypothèses!$X$14,IF(CS186&lt;=Hypothèses!$V$15,Hypothèses!$X$15,IF(CS186&lt;=Hypothèses!$V$16,Hypothèses!$X$16,IF(CS186&lt;=Hypothèses!$U$17,Hypothèses!$W$17,IF(CS186&lt;=Hypothèses!$U$18,Hypothèses!$W$18,""))))))))))))</f>
        <v>#DIV/0!</v>
      </c>
      <c r="DP186" s="95" t="e">
        <f t="shared" ca="1" si="289"/>
        <v>#DIV/0!</v>
      </c>
      <c r="DQ186" s="101" t="e">
        <f t="shared" si="328"/>
        <v>#N/A</v>
      </c>
      <c r="DR186" s="91" t="e">
        <f t="shared" si="258"/>
        <v>#N/A</v>
      </c>
      <c r="DS186" s="30" t="e">
        <f t="shared" si="310"/>
        <v>#N/A</v>
      </c>
      <c r="DT186" s="30" t="e">
        <f t="shared" si="311"/>
        <v>#N/A</v>
      </c>
      <c r="DU186" s="31" t="e">
        <f>IF(OR(Hypothèses!$B$4=17,Hypothèses!$B$4=18,Hypothèses!$B$4=19,Hypothèses!$B$4=20),
IF($D186="Pressio.",
IF(OR($E186=3,$E186=1,$E186=4),DT186,DS186),
IF($D186="Pénétro.",
IF(OR($E186=3,$E186=1,$E186=4),DT186,DS186))),IF($D186="Pressio.",
IF($E186=3,DT186,DS186),
IF($D186="Pénétro.",
IF($E186=4,DT186,DS186))))</f>
        <v>#N/A</v>
      </c>
      <c r="DV186" s="31" t="e">
        <f>(IF(OR(Hypothèses!$B$4=17,Hypothèses!$B$4=18,Hypothèses!$B$4=19,Hypothèses!$B$4=20),
IF($D186="Pressio.",
IF(OR($E186=3,$E186=1,$E186=4),(PI()*DV$12^2)/4*(DR186*$W186*1000)/($H186*$B$5),(PI()*DV$12^2)/4*(DR186*$W186*1000)/($G186*$B$5)),
IF($D186="Pénétro.",
IF(OR($E186=4,$E186=1,$E186=5),(PI()*DV$12^2)/4*(DR186*$W186*1000)/($H186*$B$5),(PI()*DV$12^2)/4*(DR186*$W186*1000)/($G186*$B$5)))),
IF($D186="Pressio.",
IF($E186=3,(PI()*DV$12^2)/4*(DR186*$W186*1000)/($H186*$B$5),(PI()*DV$12^2)/4*(DR186*$W186*1000)/($G186*$B$5)),
IF($D186="Pénétro.",
IF($E186=4,(PI()*DV$12^2)/4*(DR186*$W186*1000)/($H186*$B$5),(PI()*DV$12^2)/4*(DR186*$W186*1000)/($G186*$B$5))))))/10</f>
        <v>#N/A</v>
      </c>
      <c r="DW186" s="102" t="e">
        <f>(VLOOKUP($B$3,'Coeff EC7'!$T$39:$X$59,2,0)*DU186+VLOOKUP($B$3,'Coeff EC7'!$T$65:$X$85,2,0)*Model0.1C!DV186)/1.1</f>
        <v>#N/A</v>
      </c>
      <c r="DX186" s="102" t="e">
        <f>(VLOOKUP($B$3,'Coeff EC7'!$T$39:$X$59,3,0)*DU186+VLOOKUP($B$3,'Coeff EC7'!$T$65:$X$85,3,0)*Model0.1C!DV186)/0.9</f>
        <v>#N/A</v>
      </c>
      <c r="DY186" s="102" t="e">
        <f t="shared" si="290"/>
        <v>#N/A</v>
      </c>
      <c r="DZ186" s="102" t="e">
        <f t="shared" si="291"/>
        <v>#N/A</v>
      </c>
      <c r="EA186" s="414" t="e">
        <f>IF(EA185=0,0,IF(AND(DW186&gt;charge_ELS_quasi,DX186&gt;Charge_ELS_freq,DY186&gt;charge_ELU,DZ186&gt;charge_ELA,$B186&gt;NDC!$H$22-0.1+MIN(3*$EA$12,1.5)),0,1))</f>
        <v>#N/A</v>
      </c>
      <c r="EB186" s="86" t="b">
        <f t="shared" si="259"/>
        <v>0</v>
      </c>
      <c r="EC186" s="418">
        <f t="shared" si="260"/>
        <v>0.51</v>
      </c>
      <c r="ED186" s="86">
        <f t="shared" si="261"/>
        <v>0.51</v>
      </c>
      <c r="EE186" s="30" t="e">
        <f t="shared" ca="1" si="292"/>
        <v>#DIV/0!</v>
      </c>
      <c r="EF186" s="85" t="e">
        <f ca="1">IF(DL186&lt;=Hypothèses!$V$7,Hypothèses!$W$7,IF(DL186&lt;=Hypothèses!$V$8,Hypothèses!$W$8,IF(DL186&lt;=Hypothèses!$V$9,Hypothèses!$W$9,IF(DL186&lt;=Hypothèses!$V$10,Hypothèses!$W$10,IF(DL186&lt;=Hypothèses!$V$11,Hypothèses!$W$11,IF(DL186&lt;=Hypothèses!$V$12,Hypothèses!$W$12,IF(DL186&lt;=Hypothèses!$V$13,Hypothèses!$W$13,IF(DL186&lt;=Hypothèses!$V$14,Hypothèses!$W$14,IF(DL186&lt;=Hypothèses!$V$15,Hypothèses!$W$15,IF(DL186&lt;=Hypothèses!$V$16,Hypothèses!$W$16,IF(DL186&lt;=Hypothèses!$V$17,Hypothèses!$W$17,IF(DL186&lt;=Hypothèses!$V$18,Hypothèses!$W$18,""))))))))))))</f>
        <v>#DIV/0!</v>
      </c>
      <c r="EG186" s="87" t="e">
        <f t="shared" ca="1" si="322"/>
        <v>#DIV/0!</v>
      </c>
      <c r="EH186" s="88" t="e">
        <f ca="1">IF(DL186&lt;=Hypothèses!$V$7,Hypothèses!$X$7,IF(DL186&lt;=Hypothèses!$V$8,Hypothèses!$X$8,IF(DL186&lt;=Hypothèses!$V$9,Hypothèses!$X$9,IF(DL186&lt;=Hypothèses!$V$10,Hypothèses!$X$10,IF(DL186&lt;=Hypothèses!$V$11,Hypothèses!$X$11,IF(DL186&lt;=Hypothèses!$V$12,Hypothèses!$X$12,IF(DL186&lt;=Hypothèses!$V$13,Hypothèses!$X$13,IF(DL186&lt;=Hypothèses!$V$14,Hypothèses!$X$14,IF(DL186&lt;=Hypothèses!$V$15,Hypothèses!$X$15,IF(DL186&lt;=Hypothèses!$V$16,Hypothèses!$X$16,IF(DL186&lt;=Hypothèses!$U$17,Hypothèses!$W$17,IF(DL186&lt;=Hypothèses!$U$18,Hypothèses!$W$18,""))))))))))))</f>
        <v>#DIV/0!</v>
      </c>
      <c r="EI186" s="95" t="e">
        <f t="shared" ca="1" si="293"/>
        <v>#DIV/0!</v>
      </c>
      <c r="EJ186" s="101" t="e">
        <f t="shared" si="329"/>
        <v>#N/A</v>
      </c>
      <c r="EK186" s="91" t="e">
        <f t="shared" si="262"/>
        <v>#N/A</v>
      </c>
      <c r="EL186" s="30" t="e">
        <f t="shared" si="312"/>
        <v>#N/A</v>
      </c>
      <c r="EM186" s="30" t="e">
        <f t="shared" si="313"/>
        <v>#N/A</v>
      </c>
      <c r="EN186" s="31" t="e">
        <f>IF(OR(Hypothèses!$B$4=17,Hypothèses!$B$4=18,Hypothèses!$B$4=19,Hypothèses!$B$4=20),
IF($D186="Pressio.",
IF(OR($E186=3,$E186=1,$E186=4),EM186,EL186),
IF($D186="Pénétro.",
IF(OR($E186=3,$E186=1,$E186=4),EM186,EL186))),IF($D186="Pressio.",
IF($E186=3,EM186,EL186),
IF($D186="Pénétro.",
IF($E186=4,EM186,EL186))))</f>
        <v>#N/A</v>
      </c>
      <c r="EO186" s="31" t="e">
        <f>(IF(OR(Hypothèses!$B$4=17,Hypothèses!$B$4=18,Hypothèses!$B$4=19,Hypothèses!$B$4=20),
IF($D186="Pressio.",
IF(OR($E186=3,$E186=1,$E186=4),(PI()*EO$12^2)/4*(EK186*$W186*1000)/($H186*$B$5),(PI()*EO$12^2)/4*(EK186*$W186*1000)/($G186*$B$5)),
IF($D186="Pénétro.",
IF(OR($E186=4,$E186=1,$E186=5),(PI()*EO$12^2)/4*(EK186*$W186*1000)/($H186*$B$5),(PI()*EO$12^2)/4*(EK186*$W186*1000)/($G186*$B$5)))),
IF($D186="Pressio.",
IF($E186=3,(PI()*EO$12^2)/4*(EK186*$W186*1000)/($H186*$B$5),(PI()*EO$12^2)/4*(EK186*$W186*1000)/($G186*$B$5)),
IF($D186="Pénétro.",
IF($E186=4,(PI()*EO$12^2)/4*(EK186*$W186*1000)/($H186*$B$5),(PI()*EO$12^2)/4*(EK186*$W186*1000)/($G186*$B$5))))))/10</f>
        <v>#N/A</v>
      </c>
      <c r="EP186" s="102" t="e">
        <f>(VLOOKUP($B$3,'Coeff EC7'!$T$39:$X$59,2,0)*EN186+VLOOKUP($B$3,'Coeff EC7'!$T$65:$X$85,2,0)*Model0.1C!EO186)/1.1</f>
        <v>#N/A</v>
      </c>
      <c r="EQ186" s="102" t="e">
        <f>(VLOOKUP($B$3,'Coeff EC7'!$T$39:$X$59,3,0)*EN186+VLOOKUP($B$3,'Coeff EC7'!$T$65:$X$85,3,0)*Model0.1C!EO186)/0.9</f>
        <v>#N/A</v>
      </c>
      <c r="ER186" s="102" t="e">
        <f t="shared" si="294"/>
        <v>#N/A</v>
      </c>
      <c r="ES186" s="102" t="e">
        <f t="shared" si="295"/>
        <v>#N/A</v>
      </c>
      <c r="ET186" s="414" t="e">
        <f>IF(ET185=0,0,IF(AND(EP186&gt;charge_ELS_quasi,EQ186&gt;Charge_ELS_freq,ER186&gt;charge_ELU,ES186&gt;charge_ELA,$B186&gt;NDC!$H$22-0.1+MIN(3*$ET$12,1.5)),0,1))</f>
        <v>#N/A</v>
      </c>
      <c r="EU186" s="86" t="b">
        <f t="shared" si="263"/>
        <v>0</v>
      </c>
      <c r="EV186" s="86">
        <f t="shared" si="264"/>
        <v>0.61</v>
      </c>
      <c r="EW186" s="86">
        <f t="shared" si="265"/>
        <v>0.61</v>
      </c>
      <c r="EX186" s="30" t="e">
        <f t="shared" ca="1" si="296"/>
        <v>#DIV/0!</v>
      </c>
      <c r="EY186" s="85" t="e">
        <f ca="1">IF(EE186&lt;=Hypothèses!$V$7,Hypothèses!$W$7,IF(EE186&lt;=Hypothèses!$V$8,Hypothèses!$W$8,IF(EE186&lt;=Hypothèses!$V$9,Hypothèses!$W$9,IF(EE186&lt;=Hypothèses!$V$10,Hypothèses!$W$10,IF(EE186&lt;=Hypothèses!$V$11,Hypothèses!$W$11,IF(EE186&lt;=Hypothèses!$V$12,Hypothèses!$W$12,IF(EE186&lt;=Hypothèses!$V$13,Hypothèses!$W$13,IF(EE186&lt;=Hypothèses!$V$14,Hypothèses!$W$14,IF(EE186&lt;=Hypothèses!$V$15,Hypothèses!$W$15,IF(EE186&lt;=Hypothèses!$V$16,Hypothèses!$W$16,IF(EE186&lt;=Hypothèses!$V$17,Hypothèses!$W$17,IF(EE186&lt;=Hypothèses!$V$18,Hypothèses!$W$18,""))))))))))))</f>
        <v>#DIV/0!</v>
      </c>
      <c r="EZ186" s="87" t="e">
        <f t="shared" ca="1" si="323"/>
        <v>#DIV/0!</v>
      </c>
      <c r="FA186" s="88" t="e">
        <f ca="1">IF(EE186&lt;=Hypothèses!$V$7,Hypothèses!$X$7,IF(EE186&lt;=Hypothèses!$V$8,Hypothèses!$X$8,IF(EE186&lt;=Hypothèses!$V$9,Hypothèses!$X$9,IF(EE186&lt;=Hypothèses!$V$10,Hypothèses!$X$10,IF(EE186&lt;=Hypothèses!$V$11,Hypothèses!$X$11,IF(EE186&lt;=Hypothèses!$V$12,Hypothèses!$X$12,IF(EE186&lt;=Hypothèses!$V$13,Hypothèses!$X$13,IF(EE186&lt;=Hypothèses!$V$14,Hypothèses!$X$14,IF(EE186&lt;=Hypothèses!$V$15,Hypothèses!$X$15,IF(EE186&lt;=Hypothèses!$V$16,Hypothèses!$X$16,IF(EE186&lt;=Hypothèses!$U$17,Hypothèses!$W$17,IF(EE186&lt;=Hypothèses!$U$18,Hypothèses!$W$18,""))))))))))))</f>
        <v>#DIV/0!</v>
      </c>
      <c r="FB186" s="95" t="e">
        <f t="shared" ca="1" si="297"/>
        <v>#DIV/0!</v>
      </c>
      <c r="FC186" s="101" t="e">
        <f t="shared" si="330"/>
        <v>#N/A</v>
      </c>
      <c r="FD186" s="91" t="e">
        <f t="shared" si="266"/>
        <v>#N/A</v>
      </c>
      <c r="FE186" s="30" t="e">
        <f t="shared" si="314"/>
        <v>#N/A</v>
      </c>
      <c r="FF186" s="30" t="e">
        <f t="shared" si="315"/>
        <v>#N/A</v>
      </c>
      <c r="FG186" s="31" t="e">
        <f>IF(OR(Hypothèses!$B$4=17,Hypothèses!$B$4=18,Hypothèses!$B$4=19,Hypothèses!$B$4=20),
IF($D186="Pressio.",
IF(OR($E186=3,$E186=1,$E186=4),FF186,FE186),
IF($D186="Pénétro.",
IF(OR($E186=3,$E186=1,$E186=4),FF186,FE186))),IF($D186="Pressio.",
IF($E186=3,FF186,FE186),
IF($D186="Pénétro.",
IF($E186=4,FF186,FE186))))</f>
        <v>#N/A</v>
      </c>
      <c r="FH186" s="31" t="e">
        <f>(IF(OR(Hypothèses!$B$4=17,Hypothèses!$B$4=18,Hypothèses!$B$4=19,Hypothèses!$B$4=20),
IF($D186="Pressio.",
IF(OR($E186=3,$E186=1,$E186=4),(PI()*FH$12^2)/4*(FD186*$W186*1000)/($H186*$B$5),(PI()*FH$12^2)/4*(FD186*$W186*1000)/($G186*$B$5)),
IF($D186="Pénétro.",
IF(OR($E186=4,$E186=1,$E186=5),(PI()*FH$12^2)/4*(FD186*$W186*1000)/($H186*$B$5),(PI()*FH$12^2)/4*(FD186*$W186*1000)/($G186*$B$5)))),
IF($D186="Pressio.",
IF($E186=3,(PI()*FH$12^2)/4*(FD186*$W186*1000)/($H186*$B$5),(PI()*FH$12^2)/4*(FD186*$W186*1000)/($G186*$B$5)),
IF($D186="Pénétro.",
IF($E186=4,(PI()*FH$12^2)/4*(FD186*$W186*1000)/($H186*$B$5),(PI()*FH$12^2)/4*(FD186*$W186*1000)/($G186*$B$5))))))/10</f>
        <v>#N/A</v>
      </c>
      <c r="FI186" s="102" t="e">
        <f>(VLOOKUP($B$3,'Coeff EC7'!$T$39:$X$59,2,0)*FG186+VLOOKUP($B$3,'Coeff EC7'!$T$65:$X$85,2,0)*Model0.1C!FH186)/1.1</f>
        <v>#N/A</v>
      </c>
      <c r="FJ186" s="102" t="e">
        <f>(VLOOKUP($B$3,'Coeff EC7'!$T$39:$X$59,3,0)*FG186+VLOOKUP($B$3,'Coeff EC7'!$T$65:$X$85,3,0)*Model0.1C!FH186)/0.9</f>
        <v>#N/A</v>
      </c>
      <c r="FK186" s="102" t="e">
        <f t="shared" si="298"/>
        <v>#N/A</v>
      </c>
      <c r="FL186" s="102" t="e">
        <f t="shared" si="299"/>
        <v>#N/A</v>
      </c>
      <c r="FM186" s="414" t="e">
        <f>IF(FM185=0,0,IF(AND(FI186&gt;charge_ELS_quasi,FJ186&gt;Charge_ELS_freq,FK186&gt;charge_ELU,FL186&gt;charge_ELA,$B186&gt;NDC!$H$22-0.1+MIN(3*$FM$12,1.5)),0,1))</f>
        <v>#N/A</v>
      </c>
    </row>
    <row r="187" spans="1:169">
      <c r="A187" s="96">
        <f t="shared" si="267"/>
        <v>82.600000000000989</v>
      </c>
      <c r="B187" s="97">
        <v>17.399999999999999</v>
      </c>
      <c r="C187" s="81">
        <f>IF(B187&lt;=Hypothèses!$C$7,Hypothèses!$A$7,IF(B187&lt;=Hypothèses!$C$8,Hypothèses!$A$8,IF(B187&lt;=Hypothèses!$C$9,Hypothèses!$A$9,IF(B187&lt;=Hypothèses!$C$10,Hypothèses!$A$10,IF(B187&lt;=Hypothèses!$C$11,Hypothèses!$A$11,IF(B187&lt;=Hypothèses!$C$12,Hypothèses!$A$12,IF(B187&lt;=Hypothèses!$C$13,Hypothèses!$A$13,IF(B187&lt;=Hypothèses!$C$14,Hypothèses!$A$14,IF(B187&lt;=Hypothèses!$C$15,Hypothèses!$A$15,IF(B187&lt;=Hypothèses!$C$16,Hypothèses!$A$16,IF(B187&lt;=Hypothèses!$C$17,Hypothèses!$A$17,IF(B187&lt;=Hypothèses!$C$18,Hypothèses!$A$18,C186))))))))))))</f>
        <v>11</v>
      </c>
      <c r="D187" s="82" t="str">
        <f>IF(B187&lt;=Hypothèses!$C$7,Hypothèses!$R$7,IF(B187&lt;=Hypothèses!$C$8,Hypothèses!$R$8,IF(B187&lt;=Hypothèses!$C$9,Hypothèses!$R$9,IF(B187&lt;=Hypothèses!$C$10,Hypothèses!$R$10,IF(B187&lt;=Hypothèses!$C$11,Hypothèses!$R$11,IF(B187&lt;=Hypothèses!$C$12,Hypothèses!$R$12,IF(B187&lt;=Hypothèses!$C$13,Hypothèses!$R$13,IF(B187&lt;=Hypothèses!$C$14,Hypothèses!$R$14,IF(B187&lt;=Hypothèses!$C$15,Hypothèses!$R$15,IF(B187&lt;=Hypothèses!$C$16,Hypothèses!$R$16,IF(B187&lt;=Hypothèses!$C$17,Hypothèses!$R$17,IF(B187&lt;=Hypothèses!$C$18,Hypothèses!$R$18,D186))))))))))))</f>
        <v>Pressio.</v>
      </c>
      <c r="E187" s="82" t="e">
        <f>IF(B187&lt;=Hypothèses!$C$7,Hypothèses!$G$7,IF(B187&lt;=Hypothèses!$C$8,Hypothèses!$G$8,IF(B187&lt;=Hypothèses!$C$9,Hypothèses!$G$9,IF(B187&lt;=Hypothèses!$C$10,Hypothèses!$G$10,IF(B187&lt;=Hypothèses!$C$11,Hypothèses!$G$11,IF(B187&lt;=Hypothèses!$C$12,Hypothèses!$G$12,IF(B187&lt;=Hypothèses!$C$13,Hypothèses!$G$13,IF(B187&lt;=Hypothèses!$C$14,Hypothèses!$G$14,IF(B187&lt;=Hypothèses!$C$15,Hypothèses!$G$15,IF(B187&lt;=Hypothèses!$C$16,Hypothèses!$G$16,IF(B187&lt;=Hypothèses!$C$17,Hypothèses!$G$17,IF(B187&lt;=Hypothèses!$C$18,Hypothèses!$G$18,E186))))))))))))</f>
        <v>#N/A</v>
      </c>
      <c r="F187" s="82" t="str">
        <f>IF(B187&lt;=Hypothèses!$C$7,Hypothèses!$F$7,IF(B187&lt;=Hypothèses!$C$8,Hypothèses!$F$8,IF(B187&lt;=Hypothèses!$C$9,Hypothèses!$F$9,IF(B187&lt;=Hypothèses!$C$10,Hypothèses!$F$10,IF(B187&lt;=Hypothèses!$C$11,Hypothèses!$F$11,IF(B187&lt;=Hypothèses!$C$12,Hypothèses!$F$12,IF(B187&lt;=Hypothèses!$C$13,Hypothèses!$F$13,IF(B187&lt;=Hypothèses!$C$14,Hypothèses!$F$14,IF(B187&lt;=Hypothèses!$C$15,Hypothèses!$F$15,IF(B187&lt;=Hypothèses!$C$16,Hypothèses!$F$16,IF(B187&lt;=Hypothèses!$C$17,Hypothèses!$F$17,IF(B187&lt;=Hypothèses!$C$18,Hypothèses!$F$18,F186))))))))))))</f>
        <v/>
      </c>
      <c r="G187" s="91">
        <f t="array" ref="G187">INDEX('Coeff EC7'!$U$7:$X$27,
MATCH(Model0.1C!$B$3,'Coeff EC7'!$T$7:$T$27,0),
MATCH(Model0.1C!$D187&amp;Model0.1C!$B$4,
'Coeff EC7'!$U$6:$X$6&amp;
'Coeff EC7'!$U$5:$X$5,0))</f>
        <v>1.1499999999999999</v>
      </c>
      <c r="H187" s="91">
        <f t="array" ref="H187">INDEX('Coeff EC7'!$Y$7:$AB$27,
MATCH(Model0.1C!$B$3,'Coeff EC7'!$T$7:$T$27,0),
MATCH(Model0.1C!$D187&amp;Model0.1C!$B$4,
'Coeff EC7'!$Y$6:$AB$6&amp;
'Coeff EC7'!$Y$5:$AB$5,0))</f>
        <v>1.4</v>
      </c>
      <c r="I187" s="83" t="e">
        <f>IF(B187&lt;=Hypothèses!$C$7,Hypothèses!$P$7,IF(B187&lt;=Hypothèses!$C$8,Hypothèses!$P$8,IF(B187&lt;=Hypothèses!$C$9,Hypothèses!$P$9,IF(B187&lt;=Hypothèses!$C$10,Hypothèses!$P$10,IF(B187&lt;=Hypothèses!$C$11,Hypothèses!$P$11,IF(B187&lt;=Hypothèses!$C$12,Hypothèses!$P$12,IF(B187&lt;=Hypothèses!$C$13,Hypothèses!$P$13,IF(B187&lt;=Hypothèses!$C$14,Hypothèses!$P$14,IF(B187&lt;=Hypothèses!$C$15,Hypothèses!$P$15,IF(B187&lt;=Hypothèses!$C$16,Hypothèses!$P$16,IF(B187&lt;=Hypothèses!$C$17,Hypothèses!$P$17,IF(B187&lt;=Hypothèses!$C$18,Hypothèses!$P$18,I186))))))))))))</f>
        <v>#N/A</v>
      </c>
      <c r="J187" s="91" t="e">
        <f t="array" ref="J187">INDEX('Coeff EC7'!$D$33:$Q$33,1,MATCH(D187&amp;E187,'Coeff EC7'!$D$31:$Q$31&amp;'Coeff EC7'!$D$32:$Q$32,0))</f>
        <v>#N/A</v>
      </c>
      <c r="K187" s="91" t="e">
        <f t="array" ref="K187">INDEX('Coeff EC7'!$D$34:$Q$34,1,MATCH(D187&amp;E187,'Coeff EC7'!$D$31:$Q$31&amp;'Coeff EC7'!$D$32:$Q$32,0))</f>
        <v>#N/A</v>
      </c>
      <c r="L187" s="91" t="e">
        <f t="array" ref="L187">INDEX('Coeff EC7'!$D$35:$Q$35,1,MATCH(D187&amp;E187,'Coeff EC7'!$D$31:$Q$31&amp;'Coeff EC7'!$D$32:$Q$32,0))</f>
        <v>#N/A</v>
      </c>
      <c r="M187" s="98" t="e">
        <f t="shared" si="231"/>
        <v>#N/A</v>
      </c>
      <c r="N187" s="99" t="e">
        <f t="array" ref="N187">INDEX('Coeff EC7'!$D$7:$Q$27,MATCH($B$3,'Coeff EC7'!$C$7:$C$27,0),MATCH(D187&amp;E187,'Coeff EC7'!$D$5:$Q$5&amp;'Coeff EC7'!$D$6:$Q$6,0))</f>
        <v>#N/A</v>
      </c>
      <c r="O187" s="99" t="e">
        <f t="array" ref="O187">INDEX('Coeff EC7'!$D$41:$Q$61,MATCH($B$3,'Coeff EC7'!$C$41:$C$61,0),MATCH(D187&amp;E187,'Coeff EC7'!$D$39:$Q$39&amp;'Coeff EC7'!$D$40:$Q$40,0))</f>
        <v>#N/A</v>
      </c>
      <c r="P187" s="30" t="e">
        <f t="shared" si="268"/>
        <v>#N/A</v>
      </c>
      <c r="Q187" s="100" t="e">
        <f t="shared" si="233"/>
        <v>#N/A</v>
      </c>
      <c r="R187" s="86" t="b">
        <f t="shared" si="234"/>
        <v>0</v>
      </c>
      <c r="S187" s="86">
        <f t="shared" si="232"/>
        <v>0.5</v>
      </c>
      <c r="T187" s="86">
        <f t="shared" si="235"/>
        <v>0.5</v>
      </c>
      <c r="U187" s="30" t="e">
        <f t="shared" ca="1" si="269"/>
        <v>#DIV/0!</v>
      </c>
      <c r="V187" s="85" t="str">
        <f>IF(B187&lt;=Hypothèses!$V$7,Hypothèses!$W$7,IF(B187&lt;=Hypothèses!$V$8,Hypothèses!$W$8,IF(B187&lt;=Hypothèses!$V$9,Hypothèses!$W$9,IF(B187&lt;=Hypothèses!$V$10,Hypothèses!$W$10,IF(B187&lt;=Hypothèses!$V$11,Hypothèses!$W$11,IF(B187&lt;=Hypothèses!$V$12,Hypothèses!$W$12,IF(B187&lt;=Hypothèses!$V$13,Hypothèses!$W$13,IF(B187&lt;=Hypothèses!$V$14,Hypothèses!$W$14,IF(B187&lt;=Hypothèses!$V$15,Hypothèses!$W$15,IF(B187&lt;=Hypothèses!$V$16,Hypothèses!$W$16,IF(B187&lt;=Hypothèses!$V$17,Hypothèses!$W$17,IF(B187&lt;=Hypothèses!$V$18,Hypothèses!$W$18,""))))))))))))</f>
        <v/>
      </c>
      <c r="W187" s="87" t="e">
        <f t="shared" ca="1" si="316"/>
        <v>#DIV/0!</v>
      </c>
      <c r="X187" s="88" t="str">
        <f>IF(B187&lt;=Hypothèses!$V$7,Hypothèses!$X$7,IF(B187&lt;=Hypothèses!$V$8,Hypothèses!$X$8,IF(B187&lt;=Hypothèses!$V$9,Hypothèses!$X$9,IF(B187&lt;=Hypothèses!$V$10,Hypothèses!$X$10,IF(B187&lt;=Hypothèses!$V$11,Hypothèses!$X$11,IF(B187&lt;=Hypothèses!$V$12,Hypothèses!$X$12,IF(B187&lt;=Hypothèses!$V$13,Hypothèses!$X$13,IF(B187&lt;=Hypothèses!$V$14,Hypothèses!$X$14,IF(B187&lt;=Hypothèses!$V$15,Hypothèses!$X$15,IF(B187&lt;=Hypothèses!$V$16,Hypothèses!$X$16,IF(B187&lt;=Hypothèses!$U$17,Hypothèses!$W$17,IF(B187&lt;=Hypothèses!$U$18,Hypothèses!$W$18,""))))))))))))</f>
        <v/>
      </c>
      <c r="Y187" s="95" t="e">
        <f t="shared" ca="1" si="236"/>
        <v>#DIV/0!</v>
      </c>
      <c r="Z187" s="101" t="e">
        <f t="shared" si="237"/>
        <v>#N/A</v>
      </c>
      <c r="AA187" s="91" t="e">
        <f t="shared" si="238"/>
        <v>#N/A</v>
      </c>
      <c r="AB187" s="30" t="e">
        <f t="shared" si="300"/>
        <v>#N/A</v>
      </c>
      <c r="AC187" s="30" t="e">
        <f t="shared" si="301"/>
        <v>#N/A</v>
      </c>
      <c r="AD187" s="31" t="e">
        <f>IF(OR(Hypothèses!$B$4=17,Hypothèses!$B$4=18,Hypothèses!$B$4=19,Hypothèses!$B$4=20),
IF($D187="Pressio.",
IF(OR($E187=3,$E187=1,$E187=4),AC187,AB187),
IF($D187="Pénétro.",
IF(OR($E187=3,$E187=1,$E187=4),AC187,AB187))),IF($D187="Pressio.",
IF($E187=3,AC187,AB187),
IF($D187="Pénétro.",
IF($E187=4,AC187,AB187))))</f>
        <v>#N/A</v>
      </c>
      <c r="AE187" s="31" t="e">
        <f>(IF(OR(Hypothèses!$B$4=17,Hypothèses!$B$4=18,Hypothèses!$B$4=19,Hypothèses!$B$4=20),
IF($D187="Pressio.",
IF(OR($E187=3,$E187=1,$E187=4),(PI()*AE$12^2)/4*(AA187*$W187*1000)/($H187*$B$5),(PI()*AE$12^2)/4*(AA187*$W187*1000)/($G187*$B$5)),
IF($D187="Pénétro.",
IF(OR($E187=4,$E187=1,$E187=5),(PI()*AE$12^2)/4*(AA187*$W187*1000)/($H187*$B$5),(PI()*AE$12^2)/4*(AA187*$W187*1000)/($G187*$B$5)))),
IF($D187="Pressio.",
IF($E187=3,(PI()*AE$12^2)/4*(AA187*$W187*1000)/($H187*$B$5),(PI()*AE$12^2)/4*(AA187*$W187*1000)/($G187*$B$5)),
IF($D187="Pénétro.",
IF($E187=4,(PI()*AE$12^2)/4*(AA187*$W187*1000)/($H187*$B$5),(PI()*AE$12^2)/4*(AA187*$W187*1000)/($G187*$B$5))))))/10</f>
        <v>#N/A</v>
      </c>
      <c r="AF187" s="102" t="e">
        <f>(VLOOKUP($B$3,'Coeff EC7'!$T$39:$X$59,2,0)*AD187+VLOOKUP($B$3,'Coeff EC7'!$T$65:$X$85,2,0)*Model0.1C!AE187)/1.1</f>
        <v>#N/A</v>
      </c>
      <c r="AG187" s="102" t="e">
        <f>(VLOOKUP($B$3,'Coeff EC7'!$T$39:$X$59,3,0)*AD187+VLOOKUP($B$3,'Coeff EC7'!$T$65:$X$85,3,0)*Model0.1C!AE187)/0.9</f>
        <v>#N/A</v>
      </c>
      <c r="AH187" s="102" t="e">
        <f t="shared" si="239"/>
        <v>#N/A</v>
      </c>
      <c r="AI187" s="102" t="e">
        <f t="shared" si="240"/>
        <v>#N/A</v>
      </c>
      <c r="AJ187" s="414" t="e">
        <f>IF(AJ186=0,0,IF(AND(AF187&gt;charge_ELS_quasi,AG187&gt;Charge_ELS_freq,AH187&gt;charge_ELU,AI187&gt;charge_ELA,$B187&gt;NDC!$H$22-0.1+MIN(3*$AJ$12,1.5)),0,1))</f>
        <v>#N/A</v>
      </c>
      <c r="AK187" s="86" t="b">
        <f t="shared" si="241"/>
        <v>0</v>
      </c>
      <c r="AL187" s="86">
        <f t="shared" si="270"/>
        <v>0.5</v>
      </c>
      <c r="AM187" s="86">
        <f t="shared" si="242"/>
        <v>0.5</v>
      </c>
      <c r="AN187" s="30" t="e">
        <f t="shared" ca="1" si="271"/>
        <v>#DIV/0!</v>
      </c>
      <c r="AO187" s="85" t="e">
        <f ca="1">IF(U187&lt;=Hypothèses!$V$7,Hypothèses!$W$7,IF(U187&lt;=Hypothèses!$V$8,Hypothèses!$W$8,IF(U187&lt;=Hypothèses!$V$9,Hypothèses!$W$9,IF(U187&lt;=Hypothèses!$V$10,Hypothèses!$W$10,IF(U187&lt;=Hypothèses!$V$11,Hypothèses!$W$11,IF(U187&lt;=Hypothèses!$V$12,Hypothèses!$W$12,IF(U187&lt;=Hypothèses!$V$13,Hypothèses!$W$13,IF(U187&lt;=Hypothèses!$V$14,Hypothèses!$W$14,IF(U187&lt;=Hypothèses!$V$15,Hypothèses!$W$15,IF(U187&lt;=Hypothèses!$V$16,Hypothèses!$W$16,IF(U187&lt;=Hypothèses!$V$17,Hypothèses!$W$17,IF(U187&lt;=Hypothèses!$V$18,Hypothèses!$W$18,""))))))))))))</f>
        <v>#DIV/0!</v>
      </c>
      <c r="AP187" s="87" t="e">
        <f t="shared" ca="1" si="317"/>
        <v>#DIV/0!</v>
      </c>
      <c r="AQ187" s="88" t="e">
        <f ca="1">IF(U187&lt;=Hypothèses!$V$7,Hypothèses!$X$7,IF(U187&lt;=Hypothèses!$V$8,Hypothèses!$X$8,IF(U187&lt;=Hypothèses!$V$9,Hypothèses!$X$9,IF(U187&lt;=Hypothèses!$V$10,Hypothèses!$X$10,IF(U187&lt;=Hypothèses!$V$11,Hypothèses!$X$11,IF(U187&lt;=Hypothèses!$V$12,Hypothèses!$X$12,IF(U187&lt;=Hypothèses!$V$13,Hypothèses!$X$13,IF(U187&lt;=Hypothèses!$V$14,Hypothèses!$X$14,IF(U187&lt;=Hypothèses!$V$15,Hypothèses!$X$15,IF(U187&lt;=Hypothèses!$V$16,Hypothèses!$X$16,IF(U187&lt;=Hypothèses!$U$17,Hypothèses!$W$17,IF(U187&lt;=Hypothèses!$U$18,Hypothèses!$W$18,""))))))))))))</f>
        <v>#DIV/0!</v>
      </c>
      <c r="AR187" s="95" t="e">
        <f t="shared" ca="1" si="272"/>
        <v>#DIV/0!</v>
      </c>
      <c r="AS187" s="101" t="e">
        <f t="shared" si="324"/>
        <v>#N/A</v>
      </c>
      <c r="AT187" s="91" t="e">
        <f t="shared" si="243"/>
        <v>#N/A</v>
      </c>
      <c r="AU187" s="30" t="e">
        <f t="shared" si="302"/>
        <v>#N/A</v>
      </c>
      <c r="AV187" s="30" t="e">
        <f t="shared" si="303"/>
        <v>#N/A</v>
      </c>
      <c r="AW187" s="31" t="e">
        <f>IF(OR(Hypothèses!$B$4=17,Hypothèses!$B$4=18,Hypothèses!$B$4=19,Hypothèses!$B$4=20),
IF($D187="Pressio.",
IF(OR($E187=3,$E187=1,$E187=4),AV187,AU187),
IF($D187="Pénétro.",
IF(OR($E187=3,$E187=1,$E187=4),AV187,AU187))),IF($D187="Pressio.",
IF($E187=3,AV187,AU187),
IF($D187="Pénétro.",
IF($E187=4,AV187,AU187))))</f>
        <v>#N/A</v>
      </c>
      <c r="AX187" s="31" t="e">
        <f>(IF(OR(Hypothèses!$B$4=17,Hypothèses!$B$4=18,Hypothèses!$B$4=19,Hypothèses!$B$4=20),
IF($D187="Pressio.",
IF(OR($E187=3,$E187=1,$E187=4),(PI()*AX$12^2)/4*(AT187*$W187*1000)/($H187*$B$5),(PI()*AX$12^2)/4*(AT187*$W187*1000)/($G187*$B$5)),
IF($D187="Pénétro.",
IF(OR($E187=4,$E187=1,$E187=5),(PI()*AX$12^2)/4*(AT187*$W187*1000)/($H187*$B$5),(PI()*AX$12^2)/4*(AT187*$W187*1000)/($G187*$B$5)))),
IF($D187="Pressio.",
IF($E187=3,(PI()*AX$12^2)/4*(AT187*$W187*1000)/($H187*$B$5),(PI()*AX$12^2)/4*(AT187*$W187*1000)/($G187*$B$5)),
IF($D187="Pénétro.",
IF($E187=4,(PI()*AX$12^2)/4*(AT187*$W187*1000)/($H187*$B$5),(PI()*AX$12^2)/4*(AT187*$W187*1000)/($G187*$B$5))))))/10</f>
        <v>#N/A</v>
      </c>
      <c r="AY187" s="102" t="e">
        <f>(VLOOKUP($B$3,'Coeff EC7'!$T$39:$X$59,2,0)*AW187+VLOOKUP($B$3,'Coeff EC7'!$T$65:$X$85,2,0)*Model0.1C!AX187)/1.1</f>
        <v>#N/A</v>
      </c>
      <c r="AZ187" s="102" t="e">
        <f>(VLOOKUP($B$3,'Coeff EC7'!$T$39:$X$59,3,0)*AW187+VLOOKUP($B$3,'Coeff EC7'!$T$65:$X$85,3,0)*Model0.1C!AX187)/0.9</f>
        <v>#N/A</v>
      </c>
      <c r="BA187" s="102" t="e">
        <f t="shared" si="273"/>
        <v>#N/A</v>
      </c>
      <c r="BB187" s="102" t="e">
        <f t="shared" si="274"/>
        <v>#N/A</v>
      </c>
      <c r="BC187" s="414" t="e">
        <f>IF(BC186=0,0,IF(AND(AY187&gt;charge_ELS_quasi,AZ187&gt;Charge_ELS_freq,BA187&gt;charge_ELU,BB187&gt;charge_ELA,$B187&gt;NDC!$H$22-0.1+MIN(3*$BC$12,1.5)),0,1))</f>
        <v>#N/A</v>
      </c>
      <c r="BD187" s="86" t="b">
        <f t="shared" si="244"/>
        <v>0</v>
      </c>
      <c r="BE187" s="86">
        <f t="shared" si="275"/>
        <v>0.5</v>
      </c>
      <c r="BF187" s="86">
        <f t="shared" si="245"/>
        <v>0.5</v>
      </c>
      <c r="BG187" s="30" t="e">
        <f t="shared" ca="1" si="276"/>
        <v>#DIV/0!</v>
      </c>
      <c r="BH187" s="85" t="e">
        <f ca="1">IF(AN187&lt;=Hypothèses!$V$7,Hypothèses!$W$7,IF(AN187&lt;=Hypothèses!$V$8,Hypothèses!$W$8,IF(AN187&lt;=Hypothèses!$V$9,Hypothèses!$W$9,IF(AN187&lt;=Hypothèses!$V$10,Hypothèses!$W$10,IF(AN187&lt;=Hypothèses!$V$11,Hypothèses!$W$11,IF(AN187&lt;=Hypothèses!$V$12,Hypothèses!$W$12,IF(AN187&lt;=Hypothèses!$V$13,Hypothèses!$W$13,IF(AN187&lt;=Hypothèses!$V$14,Hypothèses!$W$14,IF(AN187&lt;=Hypothèses!$V$15,Hypothèses!$W$15,IF(AN187&lt;=Hypothèses!$V$16,Hypothèses!$W$16,IF(AN187&lt;=Hypothèses!$V$17,Hypothèses!$W$17,IF(AN187&lt;=Hypothèses!$V$18,Hypothèses!$W$18,""))))))))))))</f>
        <v>#DIV/0!</v>
      </c>
      <c r="BI187" s="87" t="e">
        <f t="shared" ca="1" si="318"/>
        <v>#DIV/0!</v>
      </c>
      <c r="BJ187" s="88" t="e">
        <f ca="1">IF(AN187&lt;=Hypothèses!$V$7,Hypothèses!$X$7,IF(AN187&lt;=Hypothèses!$V$8,Hypothèses!$X$8,IF(AN187&lt;=Hypothèses!$V$9,Hypothèses!$X$9,IF(AN187&lt;=Hypothèses!$V$10,Hypothèses!$X$10,IF(AN187&lt;=Hypothèses!$V$11,Hypothèses!$X$11,IF(AN187&lt;=Hypothèses!$V$12,Hypothèses!$X$12,IF(AN187&lt;=Hypothèses!$V$13,Hypothèses!$X$13,IF(AN187&lt;=Hypothèses!$V$14,Hypothèses!$X$14,IF(AN187&lt;=Hypothèses!$V$15,Hypothèses!$X$15,IF(AN187&lt;=Hypothèses!$V$16,Hypothèses!$X$16,IF(AN187&lt;=Hypothèses!$U$17,Hypothèses!$W$17,IF(AN187&lt;=Hypothèses!$U$18,Hypothèses!$W$18,""))))))))))))</f>
        <v>#DIV/0!</v>
      </c>
      <c r="BK187" s="95" t="e">
        <f t="shared" ca="1" si="277"/>
        <v>#DIV/0!</v>
      </c>
      <c r="BL187" s="101" t="e">
        <f t="shared" si="325"/>
        <v>#N/A</v>
      </c>
      <c r="BM187" s="91" t="e">
        <f t="shared" si="246"/>
        <v>#N/A</v>
      </c>
      <c r="BN187" s="30" t="e">
        <f t="shared" si="304"/>
        <v>#N/A</v>
      </c>
      <c r="BO187" s="30" t="e">
        <f t="shared" si="305"/>
        <v>#N/A</v>
      </c>
      <c r="BP187" s="31" t="e">
        <f>IF(OR(Hypothèses!$B$4=17,Hypothèses!$B$4=18,Hypothèses!$B$4=19,Hypothèses!$B$4=20),
IF($D187="Pressio.",
IF(OR($E187=3,$E187=1,$E187=4),BO187,BN187),
IF($D187="Pénétro.",
IF(OR($E187=3,$E187=1,$E187=4),BO187,BN187))),IF($D187="Pressio.",
IF($E187=3,BO187,BN187),
IF($D187="Pénétro.",
IF($E187=4,BO187,BN187))))</f>
        <v>#N/A</v>
      </c>
      <c r="BQ187" s="31" t="e">
        <f>(IF(OR(Hypothèses!$B$4=17,Hypothèses!$B$4=18,Hypothèses!$B$4=19,Hypothèses!$B$4=20),
IF($D187="Pressio.",
IF(OR($E187=3,$E187=1,$E187=4),(PI()*BQ$12^2)/4*(BM187*$W187*1000)/($H187*$B$5),(PI()*BQ$12^2)/4*(BM187*$W187*1000)/($G187*$B$5)),
IF($D187="Pénétro.",
IF(OR($E187=4,$E187=1,$E187=5),(PI()*BQ$12^2)/4*(BM187*$W187*1000)/($H187*$B$5),(PI()*BQ$12^2)/4*(BM187*$W187*1000)/($G187*$B$5)))),
IF($D187="Pressio.",
IF($E187=3,(PI()*BQ$12^2)/4*(BM187*$W187*1000)/($H187*$B$5),(PI()*BQ$12^2)/4*(BM187*$W187*1000)/($G187*$B$5)),
IF($D187="Pénétro.",
IF($E187=4,(PI()*BQ$12^2)/4*(BM187*$W187*1000)/($H187*$B$5),(PI()*BQ$12^2)/4*(BM187*$W187*1000)/($G187*$B$5))))))/10</f>
        <v>#N/A</v>
      </c>
      <c r="BR187" s="102" t="e">
        <f>(VLOOKUP($B$3,'Coeff EC7'!$T$39:$X$59,2,0)*BP187+VLOOKUP($B$3,'Coeff EC7'!$T$65:$X$85,2,0)*Model0.1C!BQ187)/1.1</f>
        <v>#N/A</v>
      </c>
      <c r="BS187" s="102" t="e">
        <f>(VLOOKUP($B$3,'Coeff EC7'!$T$39:$X$59,3,0)*BP187+VLOOKUP($B$3,'Coeff EC7'!$T$65:$X$85,3,0)*Model0.1C!BQ187)/0.9</f>
        <v>#N/A</v>
      </c>
      <c r="BT187" s="102" t="e">
        <f t="shared" si="278"/>
        <v>#N/A</v>
      </c>
      <c r="BU187" s="102" t="e">
        <f t="shared" si="279"/>
        <v>#N/A</v>
      </c>
      <c r="BV187" s="414" t="e">
        <f>IF(BV186=0,0,IF(AND(BR187&gt;charge_ELS_quasi,BS187&gt;Charge_ELS_freq,BT187&gt;charge_ELU,BU187&gt;charge_ELA,$B187&gt;NDC!$H$22-0.1+MIN(3*$BV$12,1.5)),0,1))</f>
        <v>#N/A</v>
      </c>
      <c r="BW187" s="86" t="b">
        <f t="shared" si="247"/>
        <v>0</v>
      </c>
      <c r="BX187" s="86">
        <f t="shared" si="248"/>
        <v>0.5</v>
      </c>
      <c r="BY187" s="86">
        <f t="shared" si="249"/>
        <v>0.5</v>
      </c>
      <c r="BZ187" s="30" t="e">
        <f t="shared" ca="1" si="280"/>
        <v>#DIV/0!</v>
      </c>
      <c r="CA187" s="85" t="e">
        <f ca="1">IF(BG187&lt;=Hypothèses!$V$7,Hypothèses!$W$7,IF(BG187&lt;=Hypothèses!$V$8,Hypothèses!$W$8,IF(BG187&lt;=Hypothèses!$V$9,Hypothèses!$W$9,IF(BG187&lt;=Hypothèses!$V$10,Hypothèses!$W$10,IF(BG187&lt;=Hypothèses!$V$11,Hypothèses!$W$11,IF(BG187&lt;=Hypothèses!$V$12,Hypothèses!$W$12,IF(BG187&lt;=Hypothèses!$V$13,Hypothèses!$W$13,IF(BG187&lt;=Hypothèses!$V$14,Hypothèses!$W$14,IF(BG187&lt;=Hypothèses!$V$15,Hypothèses!$W$15,IF(BG187&lt;=Hypothèses!$V$16,Hypothèses!$W$16,IF(BG187&lt;=Hypothèses!$V$17,Hypothèses!$W$17,IF(BG187&lt;=Hypothèses!$V$18,Hypothèses!$W$18,""))))))))))))</f>
        <v>#DIV/0!</v>
      </c>
      <c r="CB187" s="87" t="e">
        <f t="shared" ca="1" si="319"/>
        <v>#DIV/0!</v>
      </c>
      <c r="CC187" s="88" t="e">
        <f ca="1">IF(BG187&lt;=Hypothèses!$V$7,Hypothèses!$X$7,IF(BG187&lt;=Hypothèses!$V$8,Hypothèses!$X$8,IF(BG187&lt;=Hypothèses!$V$9,Hypothèses!$X$9,IF(BG187&lt;=Hypothèses!$V$10,Hypothèses!$X$10,IF(BG187&lt;=Hypothèses!$V$11,Hypothèses!$X$11,IF(BG187&lt;=Hypothèses!$V$12,Hypothèses!$X$12,IF(BG187&lt;=Hypothèses!$V$13,Hypothèses!$X$13,IF(BG187&lt;=Hypothèses!$V$14,Hypothèses!$X$14,IF(BG187&lt;=Hypothèses!$V$15,Hypothèses!$X$15,IF(BG187&lt;=Hypothèses!$V$16,Hypothèses!$X$16,IF(BG187&lt;=Hypothèses!$U$17,Hypothèses!$W$17,IF(BG187&lt;=Hypothèses!$U$18,Hypothèses!$W$18,""))))))))))))</f>
        <v>#DIV/0!</v>
      </c>
      <c r="CD187" s="95" t="e">
        <f t="shared" ca="1" si="281"/>
        <v>#DIV/0!</v>
      </c>
      <c r="CE187" s="101" t="e">
        <f t="shared" si="326"/>
        <v>#N/A</v>
      </c>
      <c r="CF187" s="91" t="e">
        <f t="shared" si="250"/>
        <v>#N/A</v>
      </c>
      <c r="CG187" s="30" t="e">
        <f t="shared" si="306"/>
        <v>#N/A</v>
      </c>
      <c r="CH187" s="30" t="e">
        <f t="shared" si="307"/>
        <v>#N/A</v>
      </c>
      <c r="CI187" s="31" t="e">
        <f>IF(OR(Hypothèses!$B$4=17,Hypothèses!$B$4=18,Hypothèses!$B$4=19,Hypothèses!$B$4=20),
IF($D187="Pressio.",
IF(OR($E187=3,$E187=1,$E187=4),CH187,CG187),
IF($D187="Pénétro.",
IF(OR($E187=3,$E187=1,$E187=4),CH187,CG187))),IF($D187="Pressio.",
IF($E187=3,CH187,CG187),
IF($D187="Pénétro.",
IF($E187=4,CH187,CG187))))</f>
        <v>#N/A</v>
      </c>
      <c r="CJ187" s="31" t="e">
        <f>(IF(OR(Hypothèses!$B$4=17,Hypothèses!$B$4=18,Hypothèses!$B$4=19,Hypothèses!$B$4=20),
IF($D187="Pressio.",
IF(OR($E187=3,$E187=1,$E187=4),(PI()*CJ$12^2)/4*(CF187*$W187*1000)/($H187*$B$5),(PI()*CJ$12^2)/4*(CF187*$W187*1000)/($G187*$B$5)),
IF($D187="Pénétro.",
IF(OR($E187=4,$E187=1,$E187=5),(PI()*CJ$12^2)/4*(CF187*$W187*1000)/($H187*$B$5),(PI()*CJ$12^2)/4*(CF187*$W187*1000)/($G187*$B$5)))),
IF($D187="Pressio.",
IF($E187=3,(PI()*CJ$12^2)/4*(CF187*$W187*1000)/($H187*$B$5),(PI()*CJ$12^2)/4*(CF187*$W187*1000)/($G187*$B$5)),
IF($D187="Pénétro.",
IF($E187=4,(PI()*CJ$12^2)/4*(CF187*$W187*1000)/($H187*$B$5),(PI()*CJ$12^2)/4*(CF187*$W187*1000)/($G187*$B$5))))))/10</f>
        <v>#N/A</v>
      </c>
      <c r="CK187" s="102" t="e">
        <f>(VLOOKUP($B$3,'Coeff EC7'!$T$39:$X$59,2,0)*CI187+VLOOKUP($B$3,'Coeff EC7'!$T$65:$X$85,2,0)*Model0.1C!CJ187)/1.1</f>
        <v>#N/A</v>
      </c>
      <c r="CL187" s="102" t="e">
        <f>(VLOOKUP($B$3,'Coeff EC7'!$T$39:$X$59,3,0)*CI187+VLOOKUP($B$3,'Coeff EC7'!$T$65:$X$85,3,0)*Model0.1C!CJ187)/0.9</f>
        <v>#N/A</v>
      </c>
      <c r="CM187" s="102" t="e">
        <f t="shared" si="282"/>
        <v>#N/A</v>
      </c>
      <c r="CN187" s="102" t="e">
        <f t="shared" si="283"/>
        <v>#N/A</v>
      </c>
      <c r="CO187" s="414" t="e">
        <f>IF(CO186=0,0,IF(AND(CK187&gt;charge_ELS_quasi,CL187&gt;Charge_ELS_freq,CM187&gt;charge_ELU,CN187&gt;charge_ELA,$B187&gt;NDC!$H$22-0.1+MIN(3*$CO$12,1.5)),0,1))</f>
        <v>#N/A</v>
      </c>
      <c r="CP187" s="86" t="b">
        <f t="shared" si="251"/>
        <v>0</v>
      </c>
      <c r="CQ187" s="86">
        <f t="shared" si="252"/>
        <v>0.5</v>
      </c>
      <c r="CR187" s="86">
        <f t="shared" si="253"/>
        <v>0.5</v>
      </c>
      <c r="CS187" s="30" t="e">
        <f t="shared" ca="1" si="284"/>
        <v>#DIV/0!</v>
      </c>
      <c r="CT187" s="85" t="e">
        <f ca="1">IF(BZ187&lt;=Hypothèses!$V$7,Hypothèses!$W$7,IF(BZ187&lt;=Hypothèses!$V$8,Hypothèses!$W$8,IF(BZ187&lt;=Hypothèses!$V$9,Hypothèses!$W$9,IF(BZ187&lt;=Hypothèses!$V$10,Hypothèses!$W$10,IF(BZ187&lt;=Hypothèses!$V$11,Hypothèses!$W$11,IF(BZ187&lt;=Hypothèses!$V$12,Hypothèses!$W$12,IF(BZ187&lt;=Hypothèses!$V$13,Hypothèses!$W$13,IF(BZ187&lt;=Hypothèses!$V$14,Hypothèses!$W$14,IF(BZ187&lt;=Hypothèses!$V$15,Hypothèses!$W$15,IF(BZ187&lt;=Hypothèses!$V$16,Hypothèses!$W$16,IF(BZ187&lt;=Hypothèses!$V$17,Hypothèses!$W$17,IF(BZ187&lt;=Hypothèses!$V$18,Hypothèses!$W$18,""))))))))))))</f>
        <v>#DIV/0!</v>
      </c>
      <c r="CU187" s="87" t="e">
        <f t="shared" ca="1" si="320"/>
        <v>#DIV/0!</v>
      </c>
      <c r="CV187" s="88" t="e">
        <f ca="1">IF(BZ187&lt;=Hypothèses!$V$7,Hypothèses!$X$7,IF(BZ187&lt;=Hypothèses!$V$8,Hypothèses!$X$8,IF(BZ187&lt;=Hypothèses!$V$9,Hypothèses!$X$9,IF(BZ187&lt;=Hypothèses!$V$10,Hypothèses!$X$10,IF(BZ187&lt;=Hypothèses!$V$11,Hypothèses!$X$11,IF(BZ187&lt;=Hypothèses!$V$12,Hypothèses!$X$12,IF(BZ187&lt;=Hypothèses!$V$13,Hypothèses!$X$13,IF(BZ187&lt;=Hypothèses!$V$14,Hypothèses!$X$14,IF(BZ187&lt;=Hypothèses!$V$15,Hypothèses!$X$15,IF(BZ187&lt;=Hypothèses!$V$16,Hypothèses!$X$16,IF(BZ187&lt;=Hypothèses!$U$17,Hypothèses!$W$17,IF(BZ187&lt;=Hypothèses!$U$18,Hypothèses!$W$18,""))))))))))))</f>
        <v>#DIV/0!</v>
      </c>
      <c r="CW187" s="95" t="e">
        <f t="shared" ca="1" si="285"/>
        <v>#DIV/0!</v>
      </c>
      <c r="CX187" s="101" t="e">
        <f t="shared" si="327"/>
        <v>#N/A</v>
      </c>
      <c r="CY187" s="91" t="e">
        <f t="shared" si="254"/>
        <v>#N/A</v>
      </c>
      <c r="CZ187" s="30" t="e">
        <f t="shared" si="308"/>
        <v>#N/A</v>
      </c>
      <c r="DA187" s="30" t="e">
        <f t="shared" si="309"/>
        <v>#N/A</v>
      </c>
      <c r="DB187" s="31" t="e">
        <f>IF(OR(Hypothèses!$B$4=17,Hypothèses!$B$4=18,Hypothèses!$B$4=19,Hypothèses!$B$4=20),
IF($D187="Pressio.",
IF(OR($E187=3,$E187=1,$E187=4),DA187,CZ187),
IF($D187="Pénétro.",
IF(OR($E187=3,$E187=1,$E187=4),DA187,CZ187))),IF($D187="Pressio.",
IF($E187=3,DA187,CZ187),
IF($D187="Pénétro.",
IF($E187=4,DA187,CZ187))))</f>
        <v>#N/A</v>
      </c>
      <c r="DC187" s="31" t="e">
        <f>(IF(OR(Hypothèses!$B$4=17,Hypothèses!$B$4=18,Hypothèses!$B$4=19,Hypothèses!$B$4=20),
IF($D187="Pressio.",
IF(OR($E187=3,$E187=1,$E187=4),(PI()*DC$12^2)/4*(CY187*$W187*1000)/($H187*$B$5),(PI()*DC$12^2)/4*(CY187*$W187*1000)/($G187*$B$5)),
IF($D187="Pénétro.",
IF(OR($E187=4,$E187=1,$E187=5),(PI()*DC$12^2)/4*(CY187*$W187*1000)/($H187*$B$5),(PI()*DC$12^2)/4*(CY187*$W187*1000)/($G187*$B$5)))),
IF($D187="Pressio.",
IF($E187=3,(PI()*DC$12^2)/4*(CY187*$W187*1000)/($H187*$B$5),(PI()*DC$12^2)/4*(CY187*$W187*1000)/($G187*$B$5)),
IF($D187="Pénétro.",
IF($E187=4,(PI()*DC$12^2)/4*(CY187*$W187*1000)/($H187*$B$5),(PI()*DC$12^2)/4*(CY187*$W187*1000)/($G187*$B$5))))))/10</f>
        <v>#N/A</v>
      </c>
      <c r="DD187" s="102" t="e">
        <f>(VLOOKUP($B$3,'Coeff EC7'!$T$39:$X$59,2,0)*DB187+VLOOKUP($B$3,'Coeff EC7'!$T$65:$X$85,2,0)*Model0.1C!DC187)/1.1</f>
        <v>#N/A</v>
      </c>
      <c r="DE187" s="102" t="e">
        <f>(VLOOKUP($B$3,'Coeff EC7'!$T$39:$X$59,3,0)*DB187+VLOOKUP($B$3,'Coeff EC7'!$T$65:$X$85,3,0)*Model0.1C!DC187)/0.9</f>
        <v>#N/A</v>
      </c>
      <c r="DF187" s="102" t="e">
        <f t="shared" si="286"/>
        <v>#N/A</v>
      </c>
      <c r="DG187" s="102" t="e">
        <f t="shared" si="287"/>
        <v>#N/A</v>
      </c>
      <c r="DH187" s="414" t="e">
        <f>IF(DH186=0,0,IF(AND(DD187&gt;charge_ELS_quasi,DE187&gt;Charge_ELS_freq,DF187&gt;charge_ELU,DG187&gt;charge_ELA,$B187&gt;NDC!$H$22-0.1+MIN(3*$DH$12,1.5)),0,1))</f>
        <v>#N/A</v>
      </c>
      <c r="DI187" s="86" t="b">
        <f t="shared" si="255"/>
        <v>0</v>
      </c>
      <c r="DJ187" s="86">
        <f t="shared" si="256"/>
        <v>0.5</v>
      </c>
      <c r="DK187" s="86">
        <f t="shared" si="257"/>
        <v>0.5</v>
      </c>
      <c r="DL187" s="30" t="e">
        <f t="shared" ca="1" si="288"/>
        <v>#DIV/0!</v>
      </c>
      <c r="DM187" s="85" t="e">
        <f ca="1">IF(CS187&lt;=Hypothèses!$V$7,Hypothèses!$W$7,IF(CS187&lt;=Hypothèses!$V$8,Hypothèses!$W$8,IF(CS187&lt;=Hypothèses!$V$9,Hypothèses!$W$9,IF(CS187&lt;=Hypothèses!$V$10,Hypothèses!$W$10,IF(CS187&lt;=Hypothèses!$V$11,Hypothèses!$W$11,IF(CS187&lt;=Hypothèses!$V$12,Hypothèses!$W$12,IF(CS187&lt;=Hypothèses!$V$13,Hypothèses!$W$13,IF(CS187&lt;=Hypothèses!$V$14,Hypothèses!$W$14,IF(CS187&lt;=Hypothèses!$V$15,Hypothèses!$W$15,IF(CS187&lt;=Hypothèses!$V$16,Hypothèses!$W$16,IF(CS187&lt;=Hypothèses!$V$17,Hypothèses!$W$17,IF(CS187&lt;=Hypothèses!$V$18,Hypothèses!$W$18,""))))))))))))</f>
        <v>#DIV/0!</v>
      </c>
      <c r="DN187" s="87" t="e">
        <f t="shared" ca="1" si="321"/>
        <v>#DIV/0!</v>
      </c>
      <c r="DO187" s="88" t="e">
        <f ca="1">IF(CS187&lt;=Hypothèses!$V$7,Hypothèses!$X$7,IF(CS187&lt;=Hypothèses!$V$8,Hypothèses!$X$8,IF(CS187&lt;=Hypothèses!$V$9,Hypothèses!$X$9,IF(CS187&lt;=Hypothèses!$V$10,Hypothèses!$X$10,IF(CS187&lt;=Hypothèses!$V$11,Hypothèses!$X$11,IF(CS187&lt;=Hypothèses!$V$12,Hypothèses!$X$12,IF(CS187&lt;=Hypothèses!$V$13,Hypothèses!$X$13,IF(CS187&lt;=Hypothèses!$V$14,Hypothèses!$X$14,IF(CS187&lt;=Hypothèses!$V$15,Hypothèses!$X$15,IF(CS187&lt;=Hypothèses!$V$16,Hypothèses!$X$16,IF(CS187&lt;=Hypothèses!$U$17,Hypothèses!$W$17,IF(CS187&lt;=Hypothèses!$U$18,Hypothèses!$W$18,""))))))))))))</f>
        <v>#DIV/0!</v>
      </c>
      <c r="DP187" s="95" t="e">
        <f t="shared" ca="1" si="289"/>
        <v>#DIV/0!</v>
      </c>
      <c r="DQ187" s="101" t="e">
        <f t="shared" si="328"/>
        <v>#N/A</v>
      </c>
      <c r="DR187" s="91" t="e">
        <f t="shared" si="258"/>
        <v>#N/A</v>
      </c>
      <c r="DS187" s="30" t="e">
        <f t="shared" si="310"/>
        <v>#N/A</v>
      </c>
      <c r="DT187" s="30" t="e">
        <f t="shared" si="311"/>
        <v>#N/A</v>
      </c>
      <c r="DU187" s="31" t="e">
        <f>IF(OR(Hypothèses!$B$4=17,Hypothèses!$B$4=18,Hypothèses!$B$4=19,Hypothèses!$B$4=20),
IF($D187="Pressio.",
IF(OR($E187=3,$E187=1,$E187=4),DT187,DS187),
IF($D187="Pénétro.",
IF(OR($E187=3,$E187=1,$E187=4),DT187,DS187))),IF($D187="Pressio.",
IF($E187=3,DT187,DS187),
IF($D187="Pénétro.",
IF($E187=4,DT187,DS187))))</f>
        <v>#N/A</v>
      </c>
      <c r="DV187" s="31" t="e">
        <f>(IF(OR(Hypothèses!$B$4=17,Hypothèses!$B$4=18,Hypothèses!$B$4=19,Hypothèses!$B$4=20),
IF($D187="Pressio.",
IF(OR($E187=3,$E187=1,$E187=4),(PI()*DV$12^2)/4*(DR187*$W187*1000)/($H187*$B$5),(PI()*DV$12^2)/4*(DR187*$W187*1000)/($G187*$B$5)),
IF($D187="Pénétro.",
IF(OR($E187=4,$E187=1,$E187=5),(PI()*DV$12^2)/4*(DR187*$W187*1000)/($H187*$B$5),(PI()*DV$12^2)/4*(DR187*$W187*1000)/($G187*$B$5)))),
IF($D187="Pressio.",
IF($E187=3,(PI()*DV$12^2)/4*(DR187*$W187*1000)/($H187*$B$5),(PI()*DV$12^2)/4*(DR187*$W187*1000)/($G187*$B$5)),
IF($D187="Pénétro.",
IF($E187=4,(PI()*DV$12^2)/4*(DR187*$W187*1000)/($H187*$B$5),(PI()*DV$12^2)/4*(DR187*$W187*1000)/($G187*$B$5))))))/10</f>
        <v>#N/A</v>
      </c>
      <c r="DW187" s="102" t="e">
        <f>(VLOOKUP($B$3,'Coeff EC7'!$T$39:$X$59,2,0)*DU187+VLOOKUP($B$3,'Coeff EC7'!$T$65:$X$85,2,0)*Model0.1C!DV187)/1.1</f>
        <v>#N/A</v>
      </c>
      <c r="DX187" s="102" t="e">
        <f>(VLOOKUP($B$3,'Coeff EC7'!$T$39:$X$59,3,0)*DU187+VLOOKUP($B$3,'Coeff EC7'!$T$65:$X$85,3,0)*Model0.1C!DV187)/0.9</f>
        <v>#N/A</v>
      </c>
      <c r="DY187" s="102" t="e">
        <f t="shared" si="290"/>
        <v>#N/A</v>
      </c>
      <c r="DZ187" s="102" t="e">
        <f t="shared" si="291"/>
        <v>#N/A</v>
      </c>
      <c r="EA187" s="414" t="e">
        <f>IF(EA186=0,0,IF(AND(DW187&gt;charge_ELS_quasi,DX187&gt;Charge_ELS_freq,DY187&gt;charge_ELU,DZ187&gt;charge_ELA,$B187&gt;NDC!$H$22-0.1+MIN(3*$EA$12,1.5)),0,1))</f>
        <v>#N/A</v>
      </c>
      <c r="EB187" s="86" t="b">
        <f t="shared" si="259"/>
        <v>0</v>
      </c>
      <c r="EC187" s="418">
        <f t="shared" si="260"/>
        <v>0.51</v>
      </c>
      <c r="ED187" s="86">
        <f t="shared" si="261"/>
        <v>0.51</v>
      </c>
      <c r="EE187" s="30" t="e">
        <f t="shared" ca="1" si="292"/>
        <v>#DIV/0!</v>
      </c>
      <c r="EF187" s="85" t="e">
        <f ca="1">IF(DL187&lt;=Hypothèses!$V$7,Hypothèses!$W$7,IF(DL187&lt;=Hypothèses!$V$8,Hypothèses!$W$8,IF(DL187&lt;=Hypothèses!$V$9,Hypothèses!$W$9,IF(DL187&lt;=Hypothèses!$V$10,Hypothèses!$W$10,IF(DL187&lt;=Hypothèses!$V$11,Hypothèses!$W$11,IF(DL187&lt;=Hypothèses!$V$12,Hypothèses!$W$12,IF(DL187&lt;=Hypothèses!$V$13,Hypothèses!$W$13,IF(DL187&lt;=Hypothèses!$V$14,Hypothèses!$W$14,IF(DL187&lt;=Hypothèses!$V$15,Hypothèses!$W$15,IF(DL187&lt;=Hypothèses!$V$16,Hypothèses!$W$16,IF(DL187&lt;=Hypothèses!$V$17,Hypothèses!$W$17,IF(DL187&lt;=Hypothèses!$V$18,Hypothèses!$W$18,""))))))))))))</f>
        <v>#DIV/0!</v>
      </c>
      <c r="EG187" s="87" t="e">
        <f t="shared" ca="1" si="322"/>
        <v>#DIV/0!</v>
      </c>
      <c r="EH187" s="88" t="e">
        <f ca="1">IF(DL187&lt;=Hypothèses!$V$7,Hypothèses!$X$7,IF(DL187&lt;=Hypothèses!$V$8,Hypothèses!$X$8,IF(DL187&lt;=Hypothèses!$V$9,Hypothèses!$X$9,IF(DL187&lt;=Hypothèses!$V$10,Hypothèses!$X$10,IF(DL187&lt;=Hypothèses!$V$11,Hypothèses!$X$11,IF(DL187&lt;=Hypothèses!$V$12,Hypothèses!$X$12,IF(DL187&lt;=Hypothèses!$V$13,Hypothèses!$X$13,IF(DL187&lt;=Hypothèses!$V$14,Hypothèses!$X$14,IF(DL187&lt;=Hypothèses!$V$15,Hypothèses!$X$15,IF(DL187&lt;=Hypothèses!$V$16,Hypothèses!$X$16,IF(DL187&lt;=Hypothèses!$U$17,Hypothèses!$W$17,IF(DL187&lt;=Hypothèses!$U$18,Hypothèses!$W$18,""))))))))))))</f>
        <v>#DIV/0!</v>
      </c>
      <c r="EI187" s="95" t="e">
        <f t="shared" ca="1" si="293"/>
        <v>#DIV/0!</v>
      </c>
      <c r="EJ187" s="101" t="e">
        <f t="shared" si="329"/>
        <v>#N/A</v>
      </c>
      <c r="EK187" s="91" t="e">
        <f t="shared" si="262"/>
        <v>#N/A</v>
      </c>
      <c r="EL187" s="30" t="e">
        <f t="shared" si="312"/>
        <v>#N/A</v>
      </c>
      <c r="EM187" s="30" t="e">
        <f t="shared" si="313"/>
        <v>#N/A</v>
      </c>
      <c r="EN187" s="31" t="e">
        <f>IF(OR(Hypothèses!$B$4=17,Hypothèses!$B$4=18,Hypothèses!$B$4=19,Hypothèses!$B$4=20),
IF($D187="Pressio.",
IF(OR($E187=3,$E187=1,$E187=4),EM187,EL187),
IF($D187="Pénétro.",
IF(OR($E187=3,$E187=1,$E187=4),EM187,EL187))),IF($D187="Pressio.",
IF($E187=3,EM187,EL187),
IF($D187="Pénétro.",
IF($E187=4,EM187,EL187))))</f>
        <v>#N/A</v>
      </c>
      <c r="EO187" s="31" t="e">
        <f>(IF(OR(Hypothèses!$B$4=17,Hypothèses!$B$4=18,Hypothèses!$B$4=19,Hypothèses!$B$4=20),
IF($D187="Pressio.",
IF(OR($E187=3,$E187=1,$E187=4),(PI()*EO$12^2)/4*(EK187*$W187*1000)/($H187*$B$5),(PI()*EO$12^2)/4*(EK187*$W187*1000)/($G187*$B$5)),
IF($D187="Pénétro.",
IF(OR($E187=4,$E187=1,$E187=5),(PI()*EO$12^2)/4*(EK187*$W187*1000)/($H187*$B$5),(PI()*EO$12^2)/4*(EK187*$W187*1000)/($G187*$B$5)))),
IF($D187="Pressio.",
IF($E187=3,(PI()*EO$12^2)/4*(EK187*$W187*1000)/($H187*$B$5),(PI()*EO$12^2)/4*(EK187*$W187*1000)/($G187*$B$5)),
IF($D187="Pénétro.",
IF($E187=4,(PI()*EO$12^2)/4*(EK187*$W187*1000)/($H187*$B$5),(PI()*EO$12^2)/4*(EK187*$W187*1000)/($G187*$B$5))))))/10</f>
        <v>#N/A</v>
      </c>
      <c r="EP187" s="102" t="e">
        <f>(VLOOKUP($B$3,'Coeff EC7'!$T$39:$X$59,2,0)*EN187+VLOOKUP($B$3,'Coeff EC7'!$T$65:$X$85,2,0)*Model0.1C!EO187)/1.1</f>
        <v>#N/A</v>
      </c>
      <c r="EQ187" s="102" t="e">
        <f>(VLOOKUP($B$3,'Coeff EC7'!$T$39:$X$59,3,0)*EN187+VLOOKUP($B$3,'Coeff EC7'!$T$65:$X$85,3,0)*Model0.1C!EO187)/0.9</f>
        <v>#N/A</v>
      </c>
      <c r="ER187" s="102" t="e">
        <f t="shared" si="294"/>
        <v>#N/A</v>
      </c>
      <c r="ES187" s="102" t="e">
        <f t="shared" si="295"/>
        <v>#N/A</v>
      </c>
      <c r="ET187" s="414" t="e">
        <f>IF(ET186=0,0,IF(AND(EP187&gt;charge_ELS_quasi,EQ187&gt;Charge_ELS_freq,ER187&gt;charge_ELU,ES187&gt;charge_ELA,$B187&gt;NDC!$H$22-0.1+MIN(3*$ET$12,1.5)),0,1))</f>
        <v>#N/A</v>
      </c>
      <c r="EU187" s="86" t="b">
        <f t="shared" si="263"/>
        <v>0</v>
      </c>
      <c r="EV187" s="86">
        <f t="shared" si="264"/>
        <v>0.61</v>
      </c>
      <c r="EW187" s="86">
        <f t="shared" si="265"/>
        <v>0.61</v>
      </c>
      <c r="EX187" s="30" t="e">
        <f t="shared" ca="1" si="296"/>
        <v>#DIV/0!</v>
      </c>
      <c r="EY187" s="85" t="e">
        <f ca="1">IF(EE187&lt;=Hypothèses!$V$7,Hypothèses!$W$7,IF(EE187&lt;=Hypothèses!$V$8,Hypothèses!$W$8,IF(EE187&lt;=Hypothèses!$V$9,Hypothèses!$W$9,IF(EE187&lt;=Hypothèses!$V$10,Hypothèses!$W$10,IF(EE187&lt;=Hypothèses!$V$11,Hypothèses!$W$11,IF(EE187&lt;=Hypothèses!$V$12,Hypothèses!$W$12,IF(EE187&lt;=Hypothèses!$V$13,Hypothèses!$W$13,IF(EE187&lt;=Hypothèses!$V$14,Hypothèses!$W$14,IF(EE187&lt;=Hypothèses!$V$15,Hypothèses!$W$15,IF(EE187&lt;=Hypothèses!$V$16,Hypothèses!$W$16,IF(EE187&lt;=Hypothèses!$V$17,Hypothèses!$W$17,IF(EE187&lt;=Hypothèses!$V$18,Hypothèses!$W$18,""))))))))))))</f>
        <v>#DIV/0!</v>
      </c>
      <c r="EZ187" s="87" t="e">
        <f t="shared" ca="1" si="323"/>
        <v>#DIV/0!</v>
      </c>
      <c r="FA187" s="88" t="e">
        <f ca="1">IF(EE187&lt;=Hypothèses!$V$7,Hypothèses!$X$7,IF(EE187&lt;=Hypothèses!$V$8,Hypothèses!$X$8,IF(EE187&lt;=Hypothèses!$V$9,Hypothèses!$X$9,IF(EE187&lt;=Hypothèses!$V$10,Hypothèses!$X$10,IF(EE187&lt;=Hypothèses!$V$11,Hypothèses!$X$11,IF(EE187&lt;=Hypothèses!$V$12,Hypothèses!$X$12,IF(EE187&lt;=Hypothèses!$V$13,Hypothèses!$X$13,IF(EE187&lt;=Hypothèses!$V$14,Hypothèses!$X$14,IF(EE187&lt;=Hypothèses!$V$15,Hypothèses!$X$15,IF(EE187&lt;=Hypothèses!$V$16,Hypothèses!$X$16,IF(EE187&lt;=Hypothèses!$U$17,Hypothèses!$W$17,IF(EE187&lt;=Hypothèses!$U$18,Hypothèses!$W$18,""))))))))))))</f>
        <v>#DIV/0!</v>
      </c>
      <c r="FB187" s="95" t="e">
        <f t="shared" ca="1" si="297"/>
        <v>#DIV/0!</v>
      </c>
      <c r="FC187" s="101" t="e">
        <f t="shared" si="330"/>
        <v>#N/A</v>
      </c>
      <c r="FD187" s="91" t="e">
        <f t="shared" si="266"/>
        <v>#N/A</v>
      </c>
      <c r="FE187" s="30" t="e">
        <f t="shared" si="314"/>
        <v>#N/A</v>
      </c>
      <c r="FF187" s="30" t="e">
        <f t="shared" si="315"/>
        <v>#N/A</v>
      </c>
      <c r="FG187" s="31" t="e">
        <f>IF(OR(Hypothèses!$B$4=17,Hypothèses!$B$4=18,Hypothèses!$B$4=19,Hypothèses!$B$4=20),
IF($D187="Pressio.",
IF(OR($E187=3,$E187=1,$E187=4),FF187,FE187),
IF($D187="Pénétro.",
IF(OR($E187=3,$E187=1,$E187=4),FF187,FE187))),IF($D187="Pressio.",
IF($E187=3,FF187,FE187),
IF($D187="Pénétro.",
IF($E187=4,FF187,FE187))))</f>
        <v>#N/A</v>
      </c>
      <c r="FH187" s="31" t="e">
        <f>(IF(OR(Hypothèses!$B$4=17,Hypothèses!$B$4=18,Hypothèses!$B$4=19,Hypothèses!$B$4=20),
IF($D187="Pressio.",
IF(OR($E187=3,$E187=1,$E187=4),(PI()*FH$12^2)/4*(FD187*$W187*1000)/($H187*$B$5),(PI()*FH$12^2)/4*(FD187*$W187*1000)/($G187*$B$5)),
IF($D187="Pénétro.",
IF(OR($E187=4,$E187=1,$E187=5),(PI()*FH$12^2)/4*(FD187*$W187*1000)/($H187*$B$5),(PI()*FH$12^2)/4*(FD187*$W187*1000)/($G187*$B$5)))),
IF($D187="Pressio.",
IF($E187=3,(PI()*FH$12^2)/4*(FD187*$W187*1000)/($H187*$B$5),(PI()*FH$12^2)/4*(FD187*$W187*1000)/($G187*$B$5)),
IF($D187="Pénétro.",
IF($E187=4,(PI()*FH$12^2)/4*(FD187*$W187*1000)/($H187*$B$5),(PI()*FH$12^2)/4*(FD187*$W187*1000)/($G187*$B$5))))))/10</f>
        <v>#N/A</v>
      </c>
      <c r="FI187" s="102" t="e">
        <f>(VLOOKUP($B$3,'Coeff EC7'!$T$39:$X$59,2,0)*FG187+VLOOKUP($B$3,'Coeff EC7'!$T$65:$X$85,2,0)*Model0.1C!FH187)/1.1</f>
        <v>#N/A</v>
      </c>
      <c r="FJ187" s="102" t="e">
        <f>(VLOOKUP($B$3,'Coeff EC7'!$T$39:$X$59,3,0)*FG187+VLOOKUP($B$3,'Coeff EC7'!$T$65:$X$85,3,0)*Model0.1C!FH187)/0.9</f>
        <v>#N/A</v>
      </c>
      <c r="FK187" s="102" t="e">
        <f t="shared" si="298"/>
        <v>#N/A</v>
      </c>
      <c r="FL187" s="102" t="e">
        <f t="shared" si="299"/>
        <v>#N/A</v>
      </c>
      <c r="FM187" s="414" t="e">
        <f>IF(FM186=0,0,IF(AND(FI187&gt;charge_ELS_quasi,FJ187&gt;Charge_ELS_freq,FK187&gt;charge_ELU,FL187&gt;charge_ELA,$B187&gt;NDC!$H$22-0.1+MIN(3*$FM$12,1.5)),0,1))</f>
        <v>#N/A</v>
      </c>
    </row>
    <row r="188" spans="1:169">
      <c r="A188" s="96">
        <f t="shared" si="267"/>
        <v>82.500000000000995</v>
      </c>
      <c r="B188" s="97">
        <v>17.5</v>
      </c>
      <c r="C188" s="81">
        <f>IF(B188&lt;=Hypothèses!$C$7,Hypothèses!$A$7,IF(B188&lt;=Hypothèses!$C$8,Hypothèses!$A$8,IF(B188&lt;=Hypothèses!$C$9,Hypothèses!$A$9,IF(B188&lt;=Hypothèses!$C$10,Hypothèses!$A$10,IF(B188&lt;=Hypothèses!$C$11,Hypothèses!$A$11,IF(B188&lt;=Hypothèses!$C$12,Hypothèses!$A$12,IF(B188&lt;=Hypothèses!$C$13,Hypothèses!$A$13,IF(B188&lt;=Hypothèses!$C$14,Hypothèses!$A$14,IF(B188&lt;=Hypothèses!$C$15,Hypothèses!$A$15,IF(B188&lt;=Hypothèses!$C$16,Hypothèses!$A$16,IF(B188&lt;=Hypothèses!$C$17,Hypothèses!$A$17,IF(B188&lt;=Hypothèses!$C$18,Hypothèses!$A$18,C187))))))))))))</f>
        <v>11</v>
      </c>
      <c r="D188" s="82" t="str">
        <f>IF(B188&lt;=Hypothèses!$C$7,Hypothèses!$R$7,IF(B188&lt;=Hypothèses!$C$8,Hypothèses!$R$8,IF(B188&lt;=Hypothèses!$C$9,Hypothèses!$R$9,IF(B188&lt;=Hypothèses!$C$10,Hypothèses!$R$10,IF(B188&lt;=Hypothèses!$C$11,Hypothèses!$R$11,IF(B188&lt;=Hypothèses!$C$12,Hypothèses!$R$12,IF(B188&lt;=Hypothèses!$C$13,Hypothèses!$R$13,IF(B188&lt;=Hypothèses!$C$14,Hypothèses!$R$14,IF(B188&lt;=Hypothèses!$C$15,Hypothèses!$R$15,IF(B188&lt;=Hypothèses!$C$16,Hypothèses!$R$16,IF(B188&lt;=Hypothèses!$C$17,Hypothèses!$R$17,IF(B188&lt;=Hypothèses!$C$18,Hypothèses!$R$18,D187))))))))))))</f>
        <v>Pressio.</v>
      </c>
      <c r="E188" s="82" t="e">
        <f>IF(B188&lt;=Hypothèses!$C$7,Hypothèses!$G$7,IF(B188&lt;=Hypothèses!$C$8,Hypothèses!$G$8,IF(B188&lt;=Hypothèses!$C$9,Hypothèses!$G$9,IF(B188&lt;=Hypothèses!$C$10,Hypothèses!$G$10,IF(B188&lt;=Hypothèses!$C$11,Hypothèses!$G$11,IF(B188&lt;=Hypothèses!$C$12,Hypothèses!$G$12,IF(B188&lt;=Hypothèses!$C$13,Hypothèses!$G$13,IF(B188&lt;=Hypothèses!$C$14,Hypothèses!$G$14,IF(B188&lt;=Hypothèses!$C$15,Hypothèses!$G$15,IF(B188&lt;=Hypothèses!$C$16,Hypothèses!$G$16,IF(B188&lt;=Hypothèses!$C$17,Hypothèses!$G$17,IF(B188&lt;=Hypothèses!$C$18,Hypothèses!$G$18,E187))))))))))))</f>
        <v>#N/A</v>
      </c>
      <c r="F188" s="82" t="str">
        <f>IF(B188&lt;=Hypothèses!$C$7,Hypothèses!$F$7,IF(B188&lt;=Hypothèses!$C$8,Hypothèses!$F$8,IF(B188&lt;=Hypothèses!$C$9,Hypothèses!$F$9,IF(B188&lt;=Hypothèses!$C$10,Hypothèses!$F$10,IF(B188&lt;=Hypothèses!$C$11,Hypothèses!$F$11,IF(B188&lt;=Hypothèses!$C$12,Hypothèses!$F$12,IF(B188&lt;=Hypothèses!$C$13,Hypothèses!$F$13,IF(B188&lt;=Hypothèses!$C$14,Hypothèses!$F$14,IF(B188&lt;=Hypothèses!$C$15,Hypothèses!$F$15,IF(B188&lt;=Hypothèses!$C$16,Hypothèses!$F$16,IF(B188&lt;=Hypothèses!$C$17,Hypothèses!$F$17,IF(B188&lt;=Hypothèses!$C$18,Hypothèses!$F$18,F187))))))))))))</f>
        <v/>
      </c>
      <c r="G188" s="91">
        <f t="array" ref="G188">INDEX('Coeff EC7'!$U$7:$X$27,
MATCH(Model0.1C!$B$3,'Coeff EC7'!$T$7:$T$27,0),
MATCH(Model0.1C!$D188&amp;Model0.1C!$B$4,
'Coeff EC7'!$U$6:$X$6&amp;
'Coeff EC7'!$U$5:$X$5,0))</f>
        <v>1.1499999999999999</v>
      </c>
      <c r="H188" s="91">
        <f t="array" ref="H188">INDEX('Coeff EC7'!$Y$7:$AB$27,
MATCH(Model0.1C!$B$3,'Coeff EC7'!$T$7:$T$27,0),
MATCH(Model0.1C!$D188&amp;Model0.1C!$B$4,
'Coeff EC7'!$Y$6:$AB$6&amp;
'Coeff EC7'!$Y$5:$AB$5,0))</f>
        <v>1.4</v>
      </c>
      <c r="I188" s="83" t="e">
        <f>IF(B188&lt;=Hypothèses!$C$7,Hypothèses!$P$7,IF(B188&lt;=Hypothèses!$C$8,Hypothèses!$P$8,IF(B188&lt;=Hypothèses!$C$9,Hypothèses!$P$9,IF(B188&lt;=Hypothèses!$C$10,Hypothèses!$P$10,IF(B188&lt;=Hypothèses!$C$11,Hypothèses!$P$11,IF(B188&lt;=Hypothèses!$C$12,Hypothèses!$P$12,IF(B188&lt;=Hypothèses!$C$13,Hypothèses!$P$13,IF(B188&lt;=Hypothèses!$C$14,Hypothèses!$P$14,IF(B188&lt;=Hypothèses!$C$15,Hypothèses!$P$15,IF(B188&lt;=Hypothèses!$C$16,Hypothèses!$P$16,IF(B188&lt;=Hypothèses!$C$17,Hypothèses!$P$17,IF(B188&lt;=Hypothèses!$C$18,Hypothèses!$P$18,I187))))))))))))</f>
        <v>#N/A</v>
      </c>
      <c r="J188" s="91" t="e">
        <f t="array" ref="J188">INDEX('Coeff EC7'!$D$33:$Q$33,1,MATCH(D188&amp;E188,'Coeff EC7'!$D$31:$Q$31&amp;'Coeff EC7'!$D$32:$Q$32,0))</f>
        <v>#N/A</v>
      </c>
      <c r="K188" s="91" t="e">
        <f t="array" ref="K188">INDEX('Coeff EC7'!$D$34:$Q$34,1,MATCH(D188&amp;E188,'Coeff EC7'!$D$31:$Q$31&amp;'Coeff EC7'!$D$32:$Q$32,0))</f>
        <v>#N/A</v>
      </c>
      <c r="L188" s="91" t="e">
        <f t="array" ref="L188">INDEX('Coeff EC7'!$D$35:$Q$35,1,MATCH(D188&amp;E188,'Coeff EC7'!$D$31:$Q$31&amp;'Coeff EC7'!$D$32:$Q$32,0))</f>
        <v>#N/A</v>
      </c>
      <c r="M188" s="98" t="e">
        <f t="shared" si="231"/>
        <v>#N/A</v>
      </c>
      <c r="N188" s="99" t="e">
        <f t="array" ref="N188">INDEX('Coeff EC7'!$D$7:$Q$27,MATCH($B$3,'Coeff EC7'!$C$7:$C$27,0),MATCH(D188&amp;E188,'Coeff EC7'!$D$5:$Q$5&amp;'Coeff EC7'!$D$6:$Q$6,0))</f>
        <v>#N/A</v>
      </c>
      <c r="O188" s="99" t="e">
        <f t="array" ref="O188">INDEX('Coeff EC7'!$D$41:$Q$61,MATCH($B$3,'Coeff EC7'!$C$41:$C$61,0),MATCH(D188&amp;E188,'Coeff EC7'!$D$39:$Q$39&amp;'Coeff EC7'!$D$40:$Q$40,0))</f>
        <v>#N/A</v>
      </c>
      <c r="P188" s="30" t="e">
        <f t="shared" si="268"/>
        <v>#N/A</v>
      </c>
      <c r="Q188" s="100" t="e">
        <f t="shared" si="233"/>
        <v>#N/A</v>
      </c>
      <c r="R188" s="86" t="b">
        <f t="shared" si="234"/>
        <v>0</v>
      </c>
      <c r="S188" s="86">
        <f t="shared" si="232"/>
        <v>0.5</v>
      </c>
      <c r="T188" s="86">
        <f t="shared" si="235"/>
        <v>0.5</v>
      </c>
      <c r="U188" s="30" t="e">
        <f t="shared" ca="1" si="269"/>
        <v>#DIV/0!</v>
      </c>
      <c r="V188" s="85" t="str">
        <f>IF(B188&lt;=Hypothèses!$V$7,Hypothèses!$W$7,IF(B188&lt;=Hypothèses!$V$8,Hypothèses!$W$8,IF(B188&lt;=Hypothèses!$V$9,Hypothèses!$W$9,IF(B188&lt;=Hypothèses!$V$10,Hypothèses!$W$10,IF(B188&lt;=Hypothèses!$V$11,Hypothèses!$W$11,IF(B188&lt;=Hypothèses!$V$12,Hypothèses!$W$12,IF(B188&lt;=Hypothèses!$V$13,Hypothèses!$W$13,IF(B188&lt;=Hypothèses!$V$14,Hypothèses!$W$14,IF(B188&lt;=Hypothèses!$V$15,Hypothèses!$W$15,IF(B188&lt;=Hypothèses!$V$16,Hypothèses!$W$16,IF(B188&lt;=Hypothèses!$V$17,Hypothèses!$W$17,IF(B188&lt;=Hypothèses!$V$18,Hypothèses!$W$18,""))))))))))))</f>
        <v/>
      </c>
      <c r="W188" s="87" t="e">
        <f t="shared" ca="1" si="316"/>
        <v>#DIV/0!</v>
      </c>
      <c r="X188" s="88" t="str">
        <f>IF(B188&lt;=Hypothèses!$V$7,Hypothèses!$X$7,IF(B188&lt;=Hypothèses!$V$8,Hypothèses!$X$8,IF(B188&lt;=Hypothèses!$V$9,Hypothèses!$X$9,IF(B188&lt;=Hypothèses!$V$10,Hypothèses!$X$10,IF(B188&lt;=Hypothèses!$V$11,Hypothèses!$X$11,IF(B188&lt;=Hypothèses!$V$12,Hypothèses!$X$12,IF(B188&lt;=Hypothèses!$V$13,Hypothèses!$X$13,IF(B188&lt;=Hypothèses!$V$14,Hypothèses!$X$14,IF(B188&lt;=Hypothèses!$V$15,Hypothèses!$X$15,IF(B188&lt;=Hypothèses!$V$16,Hypothèses!$X$16,IF(B188&lt;=Hypothèses!$U$17,Hypothèses!$W$17,IF(B188&lt;=Hypothèses!$U$18,Hypothèses!$W$18,""))))))))))))</f>
        <v/>
      </c>
      <c r="Y188" s="95" t="e">
        <f t="shared" ca="1" si="236"/>
        <v>#DIV/0!</v>
      </c>
      <c r="Z188" s="101" t="e">
        <f t="shared" si="237"/>
        <v>#N/A</v>
      </c>
      <c r="AA188" s="91" t="e">
        <f t="shared" si="238"/>
        <v>#N/A</v>
      </c>
      <c r="AB188" s="30" t="e">
        <f t="shared" si="300"/>
        <v>#N/A</v>
      </c>
      <c r="AC188" s="30" t="e">
        <f t="shared" si="301"/>
        <v>#N/A</v>
      </c>
      <c r="AD188" s="31" t="e">
        <f>IF(OR(Hypothèses!$B$4=17,Hypothèses!$B$4=18,Hypothèses!$B$4=19,Hypothèses!$B$4=20),
IF($D188="Pressio.",
IF(OR($E188=3,$E188=1,$E188=4),AC188,AB188),
IF($D188="Pénétro.",
IF(OR($E188=3,$E188=1,$E188=4),AC188,AB188))),IF($D188="Pressio.",
IF($E188=3,AC188,AB188),
IF($D188="Pénétro.",
IF($E188=4,AC188,AB188))))</f>
        <v>#N/A</v>
      </c>
      <c r="AE188" s="31" t="e">
        <f>(IF(OR(Hypothèses!$B$4=17,Hypothèses!$B$4=18,Hypothèses!$B$4=19,Hypothèses!$B$4=20),
IF($D188="Pressio.",
IF(OR($E188=3,$E188=1,$E188=4),(PI()*AE$12^2)/4*(AA188*$W188*1000)/($H188*$B$5),(PI()*AE$12^2)/4*(AA188*$W188*1000)/($G188*$B$5)),
IF($D188="Pénétro.",
IF(OR($E188=4,$E188=1,$E188=5),(PI()*AE$12^2)/4*(AA188*$W188*1000)/($H188*$B$5),(PI()*AE$12^2)/4*(AA188*$W188*1000)/($G188*$B$5)))),
IF($D188="Pressio.",
IF($E188=3,(PI()*AE$12^2)/4*(AA188*$W188*1000)/($H188*$B$5),(PI()*AE$12^2)/4*(AA188*$W188*1000)/($G188*$B$5)),
IF($D188="Pénétro.",
IF($E188=4,(PI()*AE$12^2)/4*(AA188*$W188*1000)/($H188*$B$5),(PI()*AE$12^2)/4*(AA188*$W188*1000)/($G188*$B$5))))))/10</f>
        <v>#N/A</v>
      </c>
      <c r="AF188" s="102" t="e">
        <f>(VLOOKUP($B$3,'Coeff EC7'!$T$39:$X$59,2,0)*AD188+VLOOKUP($B$3,'Coeff EC7'!$T$65:$X$85,2,0)*Model0.1C!AE188)/1.1</f>
        <v>#N/A</v>
      </c>
      <c r="AG188" s="102" t="e">
        <f>(VLOOKUP($B$3,'Coeff EC7'!$T$39:$X$59,3,0)*AD188+VLOOKUP($B$3,'Coeff EC7'!$T$65:$X$85,3,0)*Model0.1C!AE188)/0.9</f>
        <v>#N/A</v>
      </c>
      <c r="AH188" s="102" t="e">
        <f t="shared" si="239"/>
        <v>#N/A</v>
      </c>
      <c r="AI188" s="102" t="e">
        <f t="shared" si="240"/>
        <v>#N/A</v>
      </c>
      <c r="AJ188" s="414" t="e">
        <f>IF(AJ187=0,0,IF(AND(AF188&gt;charge_ELS_quasi,AG188&gt;Charge_ELS_freq,AH188&gt;charge_ELU,AI188&gt;charge_ELA,$B188&gt;NDC!$H$22-0.1+MIN(3*$AJ$12,1.5)),0,1))</f>
        <v>#N/A</v>
      </c>
      <c r="AK188" s="86" t="b">
        <f t="shared" si="241"/>
        <v>0</v>
      </c>
      <c r="AL188" s="86">
        <f t="shared" si="270"/>
        <v>0.5</v>
      </c>
      <c r="AM188" s="86">
        <f t="shared" si="242"/>
        <v>0.5</v>
      </c>
      <c r="AN188" s="30" t="e">
        <f t="shared" ca="1" si="271"/>
        <v>#DIV/0!</v>
      </c>
      <c r="AO188" s="85" t="e">
        <f ca="1">IF(U188&lt;=Hypothèses!$V$7,Hypothèses!$W$7,IF(U188&lt;=Hypothèses!$V$8,Hypothèses!$W$8,IF(U188&lt;=Hypothèses!$V$9,Hypothèses!$W$9,IF(U188&lt;=Hypothèses!$V$10,Hypothèses!$W$10,IF(U188&lt;=Hypothèses!$V$11,Hypothèses!$W$11,IF(U188&lt;=Hypothèses!$V$12,Hypothèses!$W$12,IF(U188&lt;=Hypothèses!$V$13,Hypothèses!$W$13,IF(U188&lt;=Hypothèses!$V$14,Hypothèses!$W$14,IF(U188&lt;=Hypothèses!$V$15,Hypothèses!$W$15,IF(U188&lt;=Hypothèses!$V$16,Hypothèses!$W$16,IF(U188&lt;=Hypothèses!$V$17,Hypothèses!$W$17,IF(U188&lt;=Hypothèses!$V$18,Hypothèses!$W$18,""))))))))))))</f>
        <v>#DIV/0!</v>
      </c>
      <c r="AP188" s="87" t="e">
        <f t="shared" ca="1" si="317"/>
        <v>#DIV/0!</v>
      </c>
      <c r="AQ188" s="88" t="e">
        <f ca="1">IF(U188&lt;=Hypothèses!$V$7,Hypothèses!$X$7,IF(U188&lt;=Hypothèses!$V$8,Hypothèses!$X$8,IF(U188&lt;=Hypothèses!$V$9,Hypothèses!$X$9,IF(U188&lt;=Hypothèses!$V$10,Hypothèses!$X$10,IF(U188&lt;=Hypothèses!$V$11,Hypothèses!$X$11,IF(U188&lt;=Hypothèses!$V$12,Hypothèses!$X$12,IF(U188&lt;=Hypothèses!$V$13,Hypothèses!$X$13,IF(U188&lt;=Hypothèses!$V$14,Hypothèses!$X$14,IF(U188&lt;=Hypothèses!$V$15,Hypothèses!$X$15,IF(U188&lt;=Hypothèses!$V$16,Hypothèses!$X$16,IF(U188&lt;=Hypothèses!$U$17,Hypothèses!$W$17,IF(U188&lt;=Hypothèses!$U$18,Hypothèses!$W$18,""))))))))))))</f>
        <v>#DIV/0!</v>
      </c>
      <c r="AR188" s="95" t="e">
        <f t="shared" ca="1" si="272"/>
        <v>#DIV/0!</v>
      </c>
      <c r="AS188" s="101" t="e">
        <f t="shared" si="324"/>
        <v>#N/A</v>
      </c>
      <c r="AT188" s="91" t="e">
        <f t="shared" si="243"/>
        <v>#N/A</v>
      </c>
      <c r="AU188" s="30" t="e">
        <f t="shared" si="302"/>
        <v>#N/A</v>
      </c>
      <c r="AV188" s="30" t="e">
        <f t="shared" si="303"/>
        <v>#N/A</v>
      </c>
      <c r="AW188" s="31" t="e">
        <f>IF(OR(Hypothèses!$B$4=17,Hypothèses!$B$4=18,Hypothèses!$B$4=19,Hypothèses!$B$4=20),
IF($D188="Pressio.",
IF(OR($E188=3,$E188=1,$E188=4),AV188,AU188),
IF($D188="Pénétro.",
IF(OR($E188=3,$E188=1,$E188=4),AV188,AU188))),IF($D188="Pressio.",
IF($E188=3,AV188,AU188),
IF($D188="Pénétro.",
IF($E188=4,AV188,AU188))))</f>
        <v>#N/A</v>
      </c>
      <c r="AX188" s="31" t="e">
        <f>(IF(OR(Hypothèses!$B$4=17,Hypothèses!$B$4=18,Hypothèses!$B$4=19,Hypothèses!$B$4=20),
IF($D188="Pressio.",
IF(OR($E188=3,$E188=1,$E188=4),(PI()*AX$12^2)/4*(AT188*$W188*1000)/($H188*$B$5),(PI()*AX$12^2)/4*(AT188*$W188*1000)/($G188*$B$5)),
IF($D188="Pénétro.",
IF(OR($E188=4,$E188=1,$E188=5),(PI()*AX$12^2)/4*(AT188*$W188*1000)/($H188*$B$5),(PI()*AX$12^2)/4*(AT188*$W188*1000)/($G188*$B$5)))),
IF($D188="Pressio.",
IF($E188=3,(PI()*AX$12^2)/4*(AT188*$W188*1000)/($H188*$B$5),(PI()*AX$12^2)/4*(AT188*$W188*1000)/($G188*$B$5)),
IF($D188="Pénétro.",
IF($E188=4,(PI()*AX$12^2)/4*(AT188*$W188*1000)/($H188*$B$5),(PI()*AX$12^2)/4*(AT188*$W188*1000)/($G188*$B$5))))))/10</f>
        <v>#N/A</v>
      </c>
      <c r="AY188" s="102" t="e">
        <f>(VLOOKUP($B$3,'Coeff EC7'!$T$39:$X$59,2,0)*AW188+VLOOKUP($B$3,'Coeff EC7'!$T$65:$X$85,2,0)*Model0.1C!AX188)/1.1</f>
        <v>#N/A</v>
      </c>
      <c r="AZ188" s="102" t="e">
        <f>(VLOOKUP($B$3,'Coeff EC7'!$T$39:$X$59,3,0)*AW188+VLOOKUP($B$3,'Coeff EC7'!$T$65:$X$85,3,0)*Model0.1C!AX188)/0.9</f>
        <v>#N/A</v>
      </c>
      <c r="BA188" s="102" t="e">
        <f t="shared" si="273"/>
        <v>#N/A</v>
      </c>
      <c r="BB188" s="102" t="e">
        <f t="shared" si="274"/>
        <v>#N/A</v>
      </c>
      <c r="BC188" s="414" t="e">
        <f>IF(BC187=0,0,IF(AND(AY188&gt;charge_ELS_quasi,AZ188&gt;Charge_ELS_freq,BA188&gt;charge_ELU,BB188&gt;charge_ELA,$B188&gt;NDC!$H$22-0.1+MIN(3*$BC$12,1.5)),0,1))</f>
        <v>#N/A</v>
      </c>
      <c r="BD188" s="86" t="b">
        <f t="shared" si="244"/>
        <v>0</v>
      </c>
      <c r="BE188" s="86">
        <f t="shared" si="275"/>
        <v>0.5</v>
      </c>
      <c r="BF188" s="86">
        <f t="shared" si="245"/>
        <v>0.5</v>
      </c>
      <c r="BG188" s="30" t="e">
        <f t="shared" ca="1" si="276"/>
        <v>#DIV/0!</v>
      </c>
      <c r="BH188" s="85" t="e">
        <f ca="1">IF(AN188&lt;=Hypothèses!$V$7,Hypothèses!$W$7,IF(AN188&lt;=Hypothèses!$V$8,Hypothèses!$W$8,IF(AN188&lt;=Hypothèses!$V$9,Hypothèses!$W$9,IF(AN188&lt;=Hypothèses!$V$10,Hypothèses!$W$10,IF(AN188&lt;=Hypothèses!$V$11,Hypothèses!$W$11,IF(AN188&lt;=Hypothèses!$V$12,Hypothèses!$W$12,IF(AN188&lt;=Hypothèses!$V$13,Hypothèses!$W$13,IF(AN188&lt;=Hypothèses!$V$14,Hypothèses!$W$14,IF(AN188&lt;=Hypothèses!$V$15,Hypothèses!$W$15,IF(AN188&lt;=Hypothèses!$V$16,Hypothèses!$W$16,IF(AN188&lt;=Hypothèses!$V$17,Hypothèses!$W$17,IF(AN188&lt;=Hypothèses!$V$18,Hypothèses!$W$18,""))))))))))))</f>
        <v>#DIV/0!</v>
      </c>
      <c r="BI188" s="87" t="e">
        <f t="shared" ca="1" si="318"/>
        <v>#DIV/0!</v>
      </c>
      <c r="BJ188" s="88" t="e">
        <f ca="1">IF(AN188&lt;=Hypothèses!$V$7,Hypothèses!$X$7,IF(AN188&lt;=Hypothèses!$V$8,Hypothèses!$X$8,IF(AN188&lt;=Hypothèses!$V$9,Hypothèses!$X$9,IF(AN188&lt;=Hypothèses!$V$10,Hypothèses!$X$10,IF(AN188&lt;=Hypothèses!$V$11,Hypothèses!$X$11,IF(AN188&lt;=Hypothèses!$V$12,Hypothèses!$X$12,IF(AN188&lt;=Hypothèses!$V$13,Hypothèses!$X$13,IF(AN188&lt;=Hypothèses!$V$14,Hypothèses!$X$14,IF(AN188&lt;=Hypothèses!$V$15,Hypothèses!$X$15,IF(AN188&lt;=Hypothèses!$V$16,Hypothèses!$X$16,IF(AN188&lt;=Hypothèses!$U$17,Hypothèses!$W$17,IF(AN188&lt;=Hypothèses!$U$18,Hypothèses!$W$18,""))))))))))))</f>
        <v>#DIV/0!</v>
      </c>
      <c r="BK188" s="95" t="e">
        <f t="shared" ca="1" si="277"/>
        <v>#DIV/0!</v>
      </c>
      <c r="BL188" s="101" t="e">
        <f t="shared" si="325"/>
        <v>#N/A</v>
      </c>
      <c r="BM188" s="91" t="e">
        <f t="shared" si="246"/>
        <v>#N/A</v>
      </c>
      <c r="BN188" s="30" t="e">
        <f t="shared" si="304"/>
        <v>#N/A</v>
      </c>
      <c r="BO188" s="30" t="e">
        <f t="shared" si="305"/>
        <v>#N/A</v>
      </c>
      <c r="BP188" s="31" t="e">
        <f>IF(OR(Hypothèses!$B$4=17,Hypothèses!$B$4=18,Hypothèses!$B$4=19,Hypothèses!$B$4=20),
IF($D188="Pressio.",
IF(OR($E188=3,$E188=1,$E188=4),BO188,BN188),
IF($D188="Pénétro.",
IF(OR($E188=3,$E188=1,$E188=4),BO188,BN188))),IF($D188="Pressio.",
IF($E188=3,BO188,BN188),
IF($D188="Pénétro.",
IF($E188=4,BO188,BN188))))</f>
        <v>#N/A</v>
      </c>
      <c r="BQ188" s="31" t="e">
        <f>(IF(OR(Hypothèses!$B$4=17,Hypothèses!$B$4=18,Hypothèses!$B$4=19,Hypothèses!$B$4=20),
IF($D188="Pressio.",
IF(OR($E188=3,$E188=1,$E188=4),(PI()*BQ$12^2)/4*(BM188*$W188*1000)/($H188*$B$5),(PI()*BQ$12^2)/4*(BM188*$W188*1000)/($G188*$B$5)),
IF($D188="Pénétro.",
IF(OR($E188=4,$E188=1,$E188=5),(PI()*BQ$12^2)/4*(BM188*$W188*1000)/($H188*$B$5),(PI()*BQ$12^2)/4*(BM188*$W188*1000)/($G188*$B$5)))),
IF($D188="Pressio.",
IF($E188=3,(PI()*BQ$12^2)/4*(BM188*$W188*1000)/($H188*$B$5),(PI()*BQ$12^2)/4*(BM188*$W188*1000)/($G188*$B$5)),
IF($D188="Pénétro.",
IF($E188=4,(PI()*BQ$12^2)/4*(BM188*$W188*1000)/($H188*$B$5),(PI()*BQ$12^2)/4*(BM188*$W188*1000)/($G188*$B$5))))))/10</f>
        <v>#N/A</v>
      </c>
      <c r="BR188" s="102" t="e">
        <f>(VLOOKUP($B$3,'Coeff EC7'!$T$39:$X$59,2,0)*BP188+VLOOKUP($B$3,'Coeff EC7'!$T$65:$X$85,2,0)*Model0.1C!BQ188)/1.1</f>
        <v>#N/A</v>
      </c>
      <c r="BS188" s="102" t="e">
        <f>(VLOOKUP($B$3,'Coeff EC7'!$T$39:$X$59,3,0)*BP188+VLOOKUP($B$3,'Coeff EC7'!$T$65:$X$85,3,0)*Model0.1C!BQ188)/0.9</f>
        <v>#N/A</v>
      </c>
      <c r="BT188" s="102" t="e">
        <f t="shared" si="278"/>
        <v>#N/A</v>
      </c>
      <c r="BU188" s="102" t="e">
        <f t="shared" si="279"/>
        <v>#N/A</v>
      </c>
      <c r="BV188" s="414" t="e">
        <f>IF(BV187=0,0,IF(AND(BR188&gt;charge_ELS_quasi,BS188&gt;Charge_ELS_freq,BT188&gt;charge_ELU,BU188&gt;charge_ELA,$B188&gt;NDC!$H$22-0.1+MIN(3*$BV$12,1.5)),0,1))</f>
        <v>#N/A</v>
      </c>
      <c r="BW188" s="86" t="b">
        <f t="shared" si="247"/>
        <v>0</v>
      </c>
      <c r="BX188" s="86">
        <f t="shared" si="248"/>
        <v>0.5</v>
      </c>
      <c r="BY188" s="86">
        <f t="shared" si="249"/>
        <v>0.5</v>
      </c>
      <c r="BZ188" s="30" t="e">
        <f t="shared" ca="1" si="280"/>
        <v>#DIV/0!</v>
      </c>
      <c r="CA188" s="85" t="e">
        <f ca="1">IF(BG188&lt;=Hypothèses!$V$7,Hypothèses!$W$7,IF(BG188&lt;=Hypothèses!$V$8,Hypothèses!$W$8,IF(BG188&lt;=Hypothèses!$V$9,Hypothèses!$W$9,IF(BG188&lt;=Hypothèses!$V$10,Hypothèses!$W$10,IF(BG188&lt;=Hypothèses!$V$11,Hypothèses!$W$11,IF(BG188&lt;=Hypothèses!$V$12,Hypothèses!$W$12,IF(BG188&lt;=Hypothèses!$V$13,Hypothèses!$W$13,IF(BG188&lt;=Hypothèses!$V$14,Hypothèses!$W$14,IF(BG188&lt;=Hypothèses!$V$15,Hypothèses!$W$15,IF(BG188&lt;=Hypothèses!$V$16,Hypothèses!$W$16,IF(BG188&lt;=Hypothèses!$V$17,Hypothèses!$W$17,IF(BG188&lt;=Hypothèses!$V$18,Hypothèses!$W$18,""))))))))))))</f>
        <v>#DIV/0!</v>
      </c>
      <c r="CB188" s="87" t="e">
        <f t="shared" ca="1" si="319"/>
        <v>#DIV/0!</v>
      </c>
      <c r="CC188" s="88" t="e">
        <f ca="1">IF(BG188&lt;=Hypothèses!$V$7,Hypothèses!$X$7,IF(BG188&lt;=Hypothèses!$V$8,Hypothèses!$X$8,IF(BG188&lt;=Hypothèses!$V$9,Hypothèses!$X$9,IF(BG188&lt;=Hypothèses!$V$10,Hypothèses!$X$10,IF(BG188&lt;=Hypothèses!$V$11,Hypothèses!$X$11,IF(BG188&lt;=Hypothèses!$V$12,Hypothèses!$X$12,IF(BG188&lt;=Hypothèses!$V$13,Hypothèses!$X$13,IF(BG188&lt;=Hypothèses!$V$14,Hypothèses!$X$14,IF(BG188&lt;=Hypothèses!$V$15,Hypothèses!$X$15,IF(BG188&lt;=Hypothèses!$V$16,Hypothèses!$X$16,IF(BG188&lt;=Hypothèses!$U$17,Hypothèses!$W$17,IF(BG188&lt;=Hypothèses!$U$18,Hypothèses!$W$18,""))))))))))))</f>
        <v>#DIV/0!</v>
      </c>
      <c r="CD188" s="95" t="e">
        <f t="shared" ca="1" si="281"/>
        <v>#DIV/0!</v>
      </c>
      <c r="CE188" s="101" t="e">
        <f t="shared" si="326"/>
        <v>#N/A</v>
      </c>
      <c r="CF188" s="91" t="e">
        <f t="shared" si="250"/>
        <v>#N/A</v>
      </c>
      <c r="CG188" s="30" t="e">
        <f t="shared" si="306"/>
        <v>#N/A</v>
      </c>
      <c r="CH188" s="30" t="e">
        <f t="shared" si="307"/>
        <v>#N/A</v>
      </c>
      <c r="CI188" s="31" t="e">
        <f>IF(OR(Hypothèses!$B$4=17,Hypothèses!$B$4=18,Hypothèses!$B$4=19,Hypothèses!$B$4=20),
IF($D188="Pressio.",
IF(OR($E188=3,$E188=1,$E188=4),CH188,CG188),
IF($D188="Pénétro.",
IF(OR($E188=3,$E188=1,$E188=4),CH188,CG188))),IF($D188="Pressio.",
IF($E188=3,CH188,CG188),
IF($D188="Pénétro.",
IF($E188=4,CH188,CG188))))</f>
        <v>#N/A</v>
      </c>
      <c r="CJ188" s="31" t="e">
        <f>(IF(OR(Hypothèses!$B$4=17,Hypothèses!$B$4=18,Hypothèses!$B$4=19,Hypothèses!$B$4=20),
IF($D188="Pressio.",
IF(OR($E188=3,$E188=1,$E188=4),(PI()*CJ$12^2)/4*(CF188*$W188*1000)/($H188*$B$5),(PI()*CJ$12^2)/4*(CF188*$W188*1000)/($G188*$B$5)),
IF($D188="Pénétro.",
IF(OR($E188=4,$E188=1,$E188=5),(PI()*CJ$12^2)/4*(CF188*$W188*1000)/($H188*$B$5),(PI()*CJ$12^2)/4*(CF188*$W188*1000)/($G188*$B$5)))),
IF($D188="Pressio.",
IF($E188=3,(PI()*CJ$12^2)/4*(CF188*$W188*1000)/($H188*$B$5),(PI()*CJ$12^2)/4*(CF188*$W188*1000)/($G188*$B$5)),
IF($D188="Pénétro.",
IF($E188=4,(PI()*CJ$12^2)/4*(CF188*$W188*1000)/($H188*$B$5),(PI()*CJ$12^2)/4*(CF188*$W188*1000)/($G188*$B$5))))))/10</f>
        <v>#N/A</v>
      </c>
      <c r="CK188" s="102" t="e">
        <f>(VLOOKUP($B$3,'Coeff EC7'!$T$39:$X$59,2,0)*CI188+VLOOKUP($B$3,'Coeff EC7'!$T$65:$X$85,2,0)*Model0.1C!CJ188)/1.1</f>
        <v>#N/A</v>
      </c>
      <c r="CL188" s="102" t="e">
        <f>(VLOOKUP($B$3,'Coeff EC7'!$T$39:$X$59,3,0)*CI188+VLOOKUP($B$3,'Coeff EC7'!$T$65:$X$85,3,0)*Model0.1C!CJ188)/0.9</f>
        <v>#N/A</v>
      </c>
      <c r="CM188" s="102" t="e">
        <f t="shared" si="282"/>
        <v>#N/A</v>
      </c>
      <c r="CN188" s="102" t="e">
        <f t="shared" si="283"/>
        <v>#N/A</v>
      </c>
      <c r="CO188" s="414" t="e">
        <f>IF(CO187=0,0,IF(AND(CK188&gt;charge_ELS_quasi,CL188&gt;Charge_ELS_freq,CM188&gt;charge_ELU,CN188&gt;charge_ELA,$B188&gt;NDC!$H$22-0.1+MIN(3*$CO$12,1.5)),0,1))</f>
        <v>#N/A</v>
      </c>
      <c r="CP188" s="86" t="b">
        <f t="shared" si="251"/>
        <v>0</v>
      </c>
      <c r="CQ188" s="86">
        <f t="shared" si="252"/>
        <v>0.5</v>
      </c>
      <c r="CR188" s="86">
        <f t="shared" si="253"/>
        <v>0.5</v>
      </c>
      <c r="CS188" s="30" t="e">
        <f t="shared" ca="1" si="284"/>
        <v>#DIV/0!</v>
      </c>
      <c r="CT188" s="85" t="e">
        <f ca="1">IF(BZ188&lt;=Hypothèses!$V$7,Hypothèses!$W$7,IF(BZ188&lt;=Hypothèses!$V$8,Hypothèses!$W$8,IF(BZ188&lt;=Hypothèses!$V$9,Hypothèses!$W$9,IF(BZ188&lt;=Hypothèses!$V$10,Hypothèses!$W$10,IF(BZ188&lt;=Hypothèses!$V$11,Hypothèses!$W$11,IF(BZ188&lt;=Hypothèses!$V$12,Hypothèses!$W$12,IF(BZ188&lt;=Hypothèses!$V$13,Hypothèses!$W$13,IF(BZ188&lt;=Hypothèses!$V$14,Hypothèses!$W$14,IF(BZ188&lt;=Hypothèses!$V$15,Hypothèses!$W$15,IF(BZ188&lt;=Hypothèses!$V$16,Hypothèses!$W$16,IF(BZ188&lt;=Hypothèses!$V$17,Hypothèses!$W$17,IF(BZ188&lt;=Hypothèses!$V$18,Hypothèses!$W$18,""))))))))))))</f>
        <v>#DIV/0!</v>
      </c>
      <c r="CU188" s="87" t="e">
        <f t="shared" ca="1" si="320"/>
        <v>#DIV/0!</v>
      </c>
      <c r="CV188" s="88" t="e">
        <f ca="1">IF(BZ188&lt;=Hypothèses!$V$7,Hypothèses!$X$7,IF(BZ188&lt;=Hypothèses!$V$8,Hypothèses!$X$8,IF(BZ188&lt;=Hypothèses!$V$9,Hypothèses!$X$9,IF(BZ188&lt;=Hypothèses!$V$10,Hypothèses!$X$10,IF(BZ188&lt;=Hypothèses!$V$11,Hypothèses!$X$11,IF(BZ188&lt;=Hypothèses!$V$12,Hypothèses!$X$12,IF(BZ188&lt;=Hypothèses!$V$13,Hypothèses!$X$13,IF(BZ188&lt;=Hypothèses!$V$14,Hypothèses!$X$14,IF(BZ188&lt;=Hypothèses!$V$15,Hypothèses!$X$15,IF(BZ188&lt;=Hypothèses!$V$16,Hypothèses!$X$16,IF(BZ188&lt;=Hypothèses!$U$17,Hypothèses!$W$17,IF(BZ188&lt;=Hypothèses!$U$18,Hypothèses!$W$18,""))))))))))))</f>
        <v>#DIV/0!</v>
      </c>
      <c r="CW188" s="95" t="e">
        <f t="shared" ca="1" si="285"/>
        <v>#DIV/0!</v>
      </c>
      <c r="CX188" s="101" t="e">
        <f t="shared" si="327"/>
        <v>#N/A</v>
      </c>
      <c r="CY188" s="91" t="e">
        <f t="shared" si="254"/>
        <v>#N/A</v>
      </c>
      <c r="CZ188" s="30" t="e">
        <f t="shared" si="308"/>
        <v>#N/A</v>
      </c>
      <c r="DA188" s="30" t="e">
        <f t="shared" si="309"/>
        <v>#N/A</v>
      </c>
      <c r="DB188" s="31" t="e">
        <f>IF(OR(Hypothèses!$B$4=17,Hypothèses!$B$4=18,Hypothèses!$B$4=19,Hypothèses!$B$4=20),
IF($D188="Pressio.",
IF(OR($E188=3,$E188=1,$E188=4),DA188,CZ188),
IF($D188="Pénétro.",
IF(OR($E188=3,$E188=1,$E188=4),DA188,CZ188))),IF($D188="Pressio.",
IF($E188=3,DA188,CZ188),
IF($D188="Pénétro.",
IF($E188=4,DA188,CZ188))))</f>
        <v>#N/A</v>
      </c>
      <c r="DC188" s="31" t="e">
        <f>(IF(OR(Hypothèses!$B$4=17,Hypothèses!$B$4=18,Hypothèses!$B$4=19,Hypothèses!$B$4=20),
IF($D188="Pressio.",
IF(OR($E188=3,$E188=1,$E188=4),(PI()*DC$12^2)/4*(CY188*$W188*1000)/($H188*$B$5),(PI()*DC$12^2)/4*(CY188*$W188*1000)/($G188*$B$5)),
IF($D188="Pénétro.",
IF(OR($E188=4,$E188=1,$E188=5),(PI()*DC$12^2)/4*(CY188*$W188*1000)/($H188*$B$5),(PI()*DC$12^2)/4*(CY188*$W188*1000)/($G188*$B$5)))),
IF($D188="Pressio.",
IF($E188=3,(PI()*DC$12^2)/4*(CY188*$W188*1000)/($H188*$B$5),(PI()*DC$12^2)/4*(CY188*$W188*1000)/($G188*$B$5)),
IF($D188="Pénétro.",
IF($E188=4,(PI()*DC$12^2)/4*(CY188*$W188*1000)/($H188*$B$5),(PI()*DC$12^2)/4*(CY188*$W188*1000)/($G188*$B$5))))))/10</f>
        <v>#N/A</v>
      </c>
      <c r="DD188" s="102" t="e">
        <f>(VLOOKUP($B$3,'Coeff EC7'!$T$39:$X$59,2,0)*DB188+VLOOKUP($B$3,'Coeff EC7'!$T$65:$X$85,2,0)*Model0.1C!DC188)/1.1</f>
        <v>#N/A</v>
      </c>
      <c r="DE188" s="102" t="e">
        <f>(VLOOKUP($B$3,'Coeff EC7'!$T$39:$X$59,3,0)*DB188+VLOOKUP($B$3,'Coeff EC7'!$T$65:$X$85,3,0)*Model0.1C!DC188)/0.9</f>
        <v>#N/A</v>
      </c>
      <c r="DF188" s="102" t="e">
        <f t="shared" si="286"/>
        <v>#N/A</v>
      </c>
      <c r="DG188" s="102" t="e">
        <f t="shared" si="287"/>
        <v>#N/A</v>
      </c>
      <c r="DH188" s="414" t="e">
        <f>IF(DH187=0,0,IF(AND(DD188&gt;charge_ELS_quasi,DE188&gt;Charge_ELS_freq,DF188&gt;charge_ELU,DG188&gt;charge_ELA,$B188&gt;NDC!$H$22-0.1+MIN(3*$DH$12,1.5)),0,1))</f>
        <v>#N/A</v>
      </c>
      <c r="DI188" s="86" t="b">
        <f t="shared" si="255"/>
        <v>0</v>
      </c>
      <c r="DJ188" s="86">
        <f t="shared" si="256"/>
        <v>0.5</v>
      </c>
      <c r="DK188" s="86">
        <f t="shared" si="257"/>
        <v>0.5</v>
      </c>
      <c r="DL188" s="30" t="e">
        <f t="shared" ca="1" si="288"/>
        <v>#DIV/0!</v>
      </c>
      <c r="DM188" s="85" t="e">
        <f ca="1">IF(CS188&lt;=Hypothèses!$V$7,Hypothèses!$W$7,IF(CS188&lt;=Hypothèses!$V$8,Hypothèses!$W$8,IF(CS188&lt;=Hypothèses!$V$9,Hypothèses!$W$9,IF(CS188&lt;=Hypothèses!$V$10,Hypothèses!$W$10,IF(CS188&lt;=Hypothèses!$V$11,Hypothèses!$W$11,IF(CS188&lt;=Hypothèses!$V$12,Hypothèses!$W$12,IF(CS188&lt;=Hypothèses!$V$13,Hypothèses!$W$13,IF(CS188&lt;=Hypothèses!$V$14,Hypothèses!$W$14,IF(CS188&lt;=Hypothèses!$V$15,Hypothèses!$W$15,IF(CS188&lt;=Hypothèses!$V$16,Hypothèses!$W$16,IF(CS188&lt;=Hypothèses!$V$17,Hypothèses!$W$17,IF(CS188&lt;=Hypothèses!$V$18,Hypothèses!$W$18,""))))))))))))</f>
        <v>#DIV/0!</v>
      </c>
      <c r="DN188" s="87" t="e">
        <f t="shared" ca="1" si="321"/>
        <v>#DIV/0!</v>
      </c>
      <c r="DO188" s="88" t="e">
        <f ca="1">IF(CS188&lt;=Hypothèses!$V$7,Hypothèses!$X$7,IF(CS188&lt;=Hypothèses!$V$8,Hypothèses!$X$8,IF(CS188&lt;=Hypothèses!$V$9,Hypothèses!$X$9,IF(CS188&lt;=Hypothèses!$V$10,Hypothèses!$X$10,IF(CS188&lt;=Hypothèses!$V$11,Hypothèses!$X$11,IF(CS188&lt;=Hypothèses!$V$12,Hypothèses!$X$12,IF(CS188&lt;=Hypothèses!$V$13,Hypothèses!$X$13,IF(CS188&lt;=Hypothèses!$V$14,Hypothèses!$X$14,IF(CS188&lt;=Hypothèses!$V$15,Hypothèses!$X$15,IF(CS188&lt;=Hypothèses!$V$16,Hypothèses!$X$16,IF(CS188&lt;=Hypothèses!$U$17,Hypothèses!$W$17,IF(CS188&lt;=Hypothèses!$U$18,Hypothèses!$W$18,""))))))))))))</f>
        <v>#DIV/0!</v>
      </c>
      <c r="DP188" s="95" t="e">
        <f t="shared" ca="1" si="289"/>
        <v>#DIV/0!</v>
      </c>
      <c r="DQ188" s="101" t="e">
        <f t="shared" si="328"/>
        <v>#N/A</v>
      </c>
      <c r="DR188" s="91" t="e">
        <f t="shared" si="258"/>
        <v>#N/A</v>
      </c>
      <c r="DS188" s="30" t="e">
        <f t="shared" si="310"/>
        <v>#N/A</v>
      </c>
      <c r="DT188" s="30" t="e">
        <f t="shared" si="311"/>
        <v>#N/A</v>
      </c>
      <c r="DU188" s="31" t="e">
        <f>IF(OR(Hypothèses!$B$4=17,Hypothèses!$B$4=18,Hypothèses!$B$4=19,Hypothèses!$B$4=20),
IF($D188="Pressio.",
IF(OR($E188=3,$E188=1,$E188=4),DT188,DS188),
IF($D188="Pénétro.",
IF(OR($E188=3,$E188=1,$E188=4),DT188,DS188))),IF($D188="Pressio.",
IF($E188=3,DT188,DS188),
IF($D188="Pénétro.",
IF($E188=4,DT188,DS188))))</f>
        <v>#N/A</v>
      </c>
      <c r="DV188" s="31" t="e">
        <f>(IF(OR(Hypothèses!$B$4=17,Hypothèses!$B$4=18,Hypothèses!$B$4=19,Hypothèses!$B$4=20),
IF($D188="Pressio.",
IF(OR($E188=3,$E188=1,$E188=4),(PI()*DV$12^2)/4*(DR188*$W188*1000)/($H188*$B$5),(PI()*DV$12^2)/4*(DR188*$W188*1000)/($G188*$B$5)),
IF($D188="Pénétro.",
IF(OR($E188=4,$E188=1,$E188=5),(PI()*DV$12^2)/4*(DR188*$W188*1000)/($H188*$B$5),(PI()*DV$12^2)/4*(DR188*$W188*1000)/($G188*$B$5)))),
IF($D188="Pressio.",
IF($E188=3,(PI()*DV$12^2)/4*(DR188*$W188*1000)/($H188*$B$5),(PI()*DV$12^2)/4*(DR188*$W188*1000)/($G188*$B$5)),
IF($D188="Pénétro.",
IF($E188=4,(PI()*DV$12^2)/4*(DR188*$W188*1000)/($H188*$B$5),(PI()*DV$12^2)/4*(DR188*$W188*1000)/($G188*$B$5))))))/10</f>
        <v>#N/A</v>
      </c>
      <c r="DW188" s="102" t="e">
        <f>(VLOOKUP($B$3,'Coeff EC7'!$T$39:$X$59,2,0)*DU188+VLOOKUP($B$3,'Coeff EC7'!$T$65:$X$85,2,0)*Model0.1C!DV188)/1.1</f>
        <v>#N/A</v>
      </c>
      <c r="DX188" s="102" t="e">
        <f>(VLOOKUP($B$3,'Coeff EC7'!$T$39:$X$59,3,0)*DU188+VLOOKUP($B$3,'Coeff EC7'!$T$65:$X$85,3,0)*Model0.1C!DV188)/0.9</f>
        <v>#N/A</v>
      </c>
      <c r="DY188" s="102" t="e">
        <f t="shared" si="290"/>
        <v>#N/A</v>
      </c>
      <c r="DZ188" s="102" t="e">
        <f t="shared" si="291"/>
        <v>#N/A</v>
      </c>
      <c r="EA188" s="414" t="e">
        <f>IF(EA187=0,0,IF(AND(DW188&gt;charge_ELS_quasi,DX188&gt;Charge_ELS_freq,DY188&gt;charge_ELU,DZ188&gt;charge_ELA,$B188&gt;NDC!$H$22-0.1+MIN(3*$EA$12,1.5)),0,1))</f>
        <v>#N/A</v>
      </c>
      <c r="EB188" s="86" t="b">
        <f t="shared" si="259"/>
        <v>0</v>
      </c>
      <c r="EC188" s="418">
        <f t="shared" si="260"/>
        <v>0.51</v>
      </c>
      <c r="ED188" s="86">
        <f t="shared" si="261"/>
        <v>0.51</v>
      </c>
      <c r="EE188" s="30" t="e">
        <f t="shared" ca="1" si="292"/>
        <v>#DIV/0!</v>
      </c>
      <c r="EF188" s="85" t="e">
        <f ca="1">IF(DL188&lt;=Hypothèses!$V$7,Hypothèses!$W$7,IF(DL188&lt;=Hypothèses!$V$8,Hypothèses!$W$8,IF(DL188&lt;=Hypothèses!$V$9,Hypothèses!$W$9,IF(DL188&lt;=Hypothèses!$V$10,Hypothèses!$W$10,IF(DL188&lt;=Hypothèses!$V$11,Hypothèses!$W$11,IF(DL188&lt;=Hypothèses!$V$12,Hypothèses!$W$12,IF(DL188&lt;=Hypothèses!$V$13,Hypothèses!$W$13,IF(DL188&lt;=Hypothèses!$V$14,Hypothèses!$W$14,IF(DL188&lt;=Hypothèses!$V$15,Hypothèses!$W$15,IF(DL188&lt;=Hypothèses!$V$16,Hypothèses!$W$16,IF(DL188&lt;=Hypothèses!$V$17,Hypothèses!$W$17,IF(DL188&lt;=Hypothèses!$V$18,Hypothèses!$W$18,""))))))))))))</f>
        <v>#DIV/0!</v>
      </c>
      <c r="EG188" s="87" t="e">
        <f t="shared" ca="1" si="322"/>
        <v>#DIV/0!</v>
      </c>
      <c r="EH188" s="88" t="e">
        <f ca="1">IF(DL188&lt;=Hypothèses!$V$7,Hypothèses!$X$7,IF(DL188&lt;=Hypothèses!$V$8,Hypothèses!$X$8,IF(DL188&lt;=Hypothèses!$V$9,Hypothèses!$X$9,IF(DL188&lt;=Hypothèses!$V$10,Hypothèses!$X$10,IF(DL188&lt;=Hypothèses!$V$11,Hypothèses!$X$11,IF(DL188&lt;=Hypothèses!$V$12,Hypothèses!$X$12,IF(DL188&lt;=Hypothèses!$V$13,Hypothèses!$X$13,IF(DL188&lt;=Hypothèses!$V$14,Hypothèses!$X$14,IF(DL188&lt;=Hypothèses!$V$15,Hypothèses!$X$15,IF(DL188&lt;=Hypothèses!$V$16,Hypothèses!$X$16,IF(DL188&lt;=Hypothèses!$U$17,Hypothèses!$W$17,IF(DL188&lt;=Hypothèses!$U$18,Hypothèses!$W$18,""))))))))))))</f>
        <v>#DIV/0!</v>
      </c>
      <c r="EI188" s="95" t="e">
        <f t="shared" ca="1" si="293"/>
        <v>#DIV/0!</v>
      </c>
      <c r="EJ188" s="101" t="e">
        <f t="shared" si="329"/>
        <v>#N/A</v>
      </c>
      <c r="EK188" s="91" t="e">
        <f t="shared" si="262"/>
        <v>#N/A</v>
      </c>
      <c r="EL188" s="30" t="e">
        <f t="shared" si="312"/>
        <v>#N/A</v>
      </c>
      <c r="EM188" s="30" t="e">
        <f t="shared" si="313"/>
        <v>#N/A</v>
      </c>
      <c r="EN188" s="31" t="e">
        <f>IF(OR(Hypothèses!$B$4=17,Hypothèses!$B$4=18,Hypothèses!$B$4=19,Hypothèses!$B$4=20),
IF($D188="Pressio.",
IF(OR($E188=3,$E188=1,$E188=4),EM188,EL188),
IF($D188="Pénétro.",
IF(OR($E188=3,$E188=1,$E188=4),EM188,EL188))),IF($D188="Pressio.",
IF($E188=3,EM188,EL188),
IF($D188="Pénétro.",
IF($E188=4,EM188,EL188))))</f>
        <v>#N/A</v>
      </c>
      <c r="EO188" s="31" t="e">
        <f>(IF(OR(Hypothèses!$B$4=17,Hypothèses!$B$4=18,Hypothèses!$B$4=19,Hypothèses!$B$4=20),
IF($D188="Pressio.",
IF(OR($E188=3,$E188=1,$E188=4),(PI()*EO$12^2)/4*(EK188*$W188*1000)/($H188*$B$5),(PI()*EO$12^2)/4*(EK188*$W188*1000)/($G188*$B$5)),
IF($D188="Pénétro.",
IF(OR($E188=4,$E188=1,$E188=5),(PI()*EO$12^2)/4*(EK188*$W188*1000)/($H188*$B$5),(PI()*EO$12^2)/4*(EK188*$W188*1000)/($G188*$B$5)))),
IF($D188="Pressio.",
IF($E188=3,(PI()*EO$12^2)/4*(EK188*$W188*1000)/($H188*$B$5),(PI()*EO$12^2)/4*(EK188*$W188*1000)/($G188*$B$5)),
IF($D188="Pénétro.",
IF($E188=4,(PI()*EO$12^2)/4*(EK188*$W188*1000)/($H188*$B$5),(PI()*EO$12^2)/4*(EK188*$W188*1000)/($G188*$B$5))))))/10</f>
        <v>#N/A</v>
      </c>
      <c r="EP188" s="102" t="e">
        <f>(VLOOKUP($B$3,'Coeff EC7'!$T$39:$X$59,2,0)*EN188+VLOOKUP($B$3,'Coeff EC7'!$T$65:$X$85,2,0)*Model0.1C!EO188)/1.1</f>
        <v>#N/A</v>
      </c>
      <c r="EQ188" s="102" t="e">
        <f>(VLOOKUP($B$3,'Coeff EC7'!$T$39:$X$59,3,0)*EN188+VLOOKUP($B$3,'Coeff EC7'!$T$65:$X$85,3,0)*Model0.1C!EO188)/0.9</f>
        <v>#N/A</v>
      </c>
      <c r="ER188" s="102" t="e">
        <f t="shared" si="294"/>
        <v>#N/A</v>
      </c>
      <c r="ES188" s="102" t="e">
        <f t="shared" si="295"/>
        <v>#N/A</v>
      </c>
      <c r="ET188" s="414" t="e">
        <f>IF(ET187=0,0,IF(AND(EP188&gt;charge_ELS_quasi,EQ188&gt;Charge_ELS_freq,ER188&gt;charge_ELU,ES188&gt;charge_ELA,$B188&gt;NDC!$H$22-0.1+MIN(3*$ET$12,1.5)),0,1))</f>
        <v>#N/A</v>
      </c>
      <c r="EU188" s="86" t="b">
        <f t="shared" si="263"/>
        <v>0</v>
      </c>
      <c r="EV188" s="86">
        <f t="shared" si="264"/>
        <v>0.61</v>
      </c>
      <c r="EW188" s="86">
        <f t="shared" si="265"/>
        <v>0.61</v>
      </c>
      <c r="EX188" s="30" t="e">
        <f t="shared" ca="1" si="296"/>
        <v>#DIV/0!</v>
      </c>
      <c r="EY188" s="85" t="e">
        <f ca="1">IF(EE188&lt;=Hypothèses!$V$7,Hypothèses!$W$7,IF(EE188&lt;=Hypothèses!$V$8,Hypothèses!$W$8,IF(EE188&lt;=Hypothèses!$V$9,Hypothèses!$W$9,IF(EE188&lt;=Hypothèses!$V$10,Hypothèses!$W$10,IF(EE188&lt;=Hypothèses!$V$11,Hypothèses!$W$11,IF(EE188&lt;=Hypothèses!$V$12,Hypothèses!$W$12,IF(EE188&lt;=Hypothèses!$V$13,Hypothèses!$W$13,IF(EE188&lt;=Hypothèses!$V$14,Hypothèses!$W$14,IF(EE188&lt;=Hypothèses!$V$15,Hypothèses!$W$15,IF(EE188&lt;=Hypothèses!$V$16,Hypothèses!$W$16,IF(EE188&lt;=Hypothèses!$V$17,Hypothèses!$W$17,IF(EE188&lt;=Hypothèses!$V$18,Hypothèses!$W$18,""))))))))))))</f>
        <v>#DIV/0!</v>
      </c>
      <c r="EZ188" s="87" t="e">
        <f t="shared" ca="1" si="323"/>
        <v>#DIV/0!</v>
      </c>
      <c r="FA188" s="88" t="e">
        <f ca="1">IF(EE188&lt;=Hypothèses!$V$7,Hypothèses!$X$7,IF(EE188&lt;=Hypothèses!$V$8,Hypothèses!$X$8,IF(EE188&lt;=Hypothèses!$V$9,Hypothèses!$X$9,IF(EE188&lt;=Hypothèses!$V$10,Hypothèses!$X$10,IF(EE188&lt;=Hypothèses!$V$11,Hypothèses!$X$11,IF(EE188&lt;=Hypothèses!$V$12,Hypothèses!$X$12,IF(EE188&lt;=Hypothèses!$V$13,Hypothèses!$X$13,IF(EE188&lt;=Hypothèses!$V$14,Hypothèses!$X$14,IF(EE188&lt;=Hypothèses!$V$15,Hypothèses!$X$15,IF(EE188&lt;=Hypothèses!$V$16,Hypothèses!$X$16,IF(EE188&lt;=Hypothèses!$U$17,Hypothèses!$W$17,IF(EE188&lt;=Hypothèses!$U$18,Hypothèses!$W$18,""))))))))))))</f>
        <v>#DIV/0!</v>
      </c>
      <c r="FB188" s="95" t="e">
        <f t="shared" ca="1" si="297"/>
        <v>#DIV/0!</v>
      </c>
      <c r="FC188" s="101" t="e">
        <f t="shared" si="330"/>
        <v>#N/A</v>
      </c>
      <c r="FD188" s="91" t="e">
        <f t="shared" si="266"/>
        <v>#N/A</v>
      </c>
      <c r="FE188" s="30" t="e">
        <f t="shared" si="314"/>
        <v>#N/A</v>
      </c>
      <c r="FF188" s="30" t="e">
        <f t="shared" si="315"/>
        <v>#N/A</v>
      </c>
      <c r="FG188" s="31" t="e">
        <f>IF(OR(Hypothèses!$B$4=17,Hypothèses!$B$4=18,Hypothèses!$B$4=19,Hypothèses!$B$4=20),
IF($D188="Pressio.",
IF(OR($E188=3,$E188=1,$E188=4),FF188,FE188),
IF($D188="Pénétro.",
IF(OR($E188=3,$E188=1,$E188=4),FF188,FE188))),IF($D188="Pressio.",
IF($E188=3,FF188,FE188),
IF($D188="Pénétro.",
IF($E188=4,FF188,FE188))))</f>
        <v>#N/A</v>
      </c>
      <c r="FH188" s="31" t="e">
        <f>(IF(OR(Hypothèses!$B$4=17,Hypothèses!$B$4=18,Hypothèses!$B$4=19,Hypothèses!$B$4=20),
IF($D188="Pressio.",
IF(OR($E188=3,$E188=1,$E188=4),(PI()*FH$12^2)/4*(FD188*$W188*1000)/($H188*$B$5),(PI()*FH$12^2)/4*(FD188*$W188*1000)/($G188*$B$5)),
IF($D188="Pénétro.",
IF(OR($E188=4,$E188=1,$E188=5),(PI()*FH$12^2)/4*(FD188*$W188*1000)/($H188*$B$5),(PI()*FH$12^2)/4*(FD188*$W188*1000)/($G188*$B$5)))),
IF($D188="Pressio.",
IF($E188=3,(PI()*FH$12^2)/4*(FD188*$W188*1000)/($H188*$B$5),(PI()*FH$12^2)/4*(FD188*$W188*1000)/($G188*$B$5)),
IF($D188="Pénétro.",
IF($E188=4,(PI()*FH$12^2)/4*(FD188*$W188*1000)/($H188*$B$5),(PI()*FH$12^2)/4*(FD188*$W188*1000)/($G188*$B$5))))))/10</f>
        <v>#N/A</v>
      </c>
      <c r="FI188" s="102" t="e">
        <f>(VLOOKUP($B$3,'Coeff EC7'!$T$39:$X$59,2,0)*FG188+VLOOKUP($B$3,'Coeff EC7'!$T$65:$X$85,2,0)*Model0.1C!FH188)/1.1</f>
        <v>#N/A</v>
      </c>
      <c r="FJ188" s="102" t="e">
        <f>(VLOOKUP($B$3,'Coeff EC7'!$T$39:$X$59,3,0)*FG188+VLOOKUP($B$3,'Coeff EC7'!$T$65:$X$85,3,0)*Model0.1C!FH188)/0.9</f>
        <v>#N/A</v>
      </c>
      <c r="FK188" s="102" t="e">
        <f t="shared" si="298"/>
        <v>#N/A</v>
      </c>
      <c r="FL188" s="102" t="e">
        <f t="shared" si="299"/>
        <v>#N/A</v>
      </c>
      <c r="FM188" s="414" t="e">
        <f>IF(FM187=0,0,IF(AND(FI188&gt;charge_ELS_quasi,FJ188&gt;Charge_ELS_freq,FK188&gt;charge_ELU,FL188&gt;charge_ELA,$B188&gt;NDC!$H$22-0.1+MIN(3*$FM$12,1.5)),0,1))</f>
        <v>#N/A</v>
      </c>
    </row>
    <row r="189" spans="1:169">
      <c r="A189" s="96">
        <f t="shared" si="267"/>
        <v>82.400000000001</v>
      </c>
      <c r="B189" s="97">
        <v>17.600000000000001</v>
      </c>
      <c r="C189" s="81">
        <f>IF(B189&lt;=Hypothèses!$C$7,Hypothèses!$A$7,IF(B189&lt;=Hypothèses!$C$8,Hypothèses!$A$8,IF(B189&lt;=Hypothèses!$C$9,Hypothèses!$A$9,IF(B189&lt;=Hypothèses!$C$10,Hypothèses!$A$10,IF(B189&lt;=Hypothèses!$C$11,Hypothèses!$A$11,IF(B189&lt;=Hypothèses!$C$12,Hypothèses!$A$12,IF(B189&lt;=Hypothèses!$C$13,Hypothèses!$A$13,IF(B189&lt;=Hypothèses!$C$14,Hypothèses!$A$14,IF(B189&lt;=Hypothèses!$C$15,Hypothèses!$A$15,IF(B189&lt;=Hypothèses!$C$16,Hypothèses!$A$16,IF(B189&lt;=Hypothèses!$C$17,Hypothèses!$A$17,IF(B189&lt;=Hypothèses!$C$18,Hypothèses!$A$18,C188))))))))))))</f>
        <v>11</v>
      </c>
      <c r="D189" s="82" t="str">
        <f>IF(B189&lt;=Hypothèses!$C$7,Hypothèses!$R$7,IF(B189&lt;=Hypothèses!$C$8,Hypothèses!$R$8,IF(B189&lt;=Hypothèses!$C$9,Hypothèses!$R$9,IF(B189&lt;=Hypothèses!$C$10,Hypothèses!$R$10,IF(B189&lt;=Hypothèses!$C$11,Hypothèses!$R$11,IF(B189&lt;=Hypothèses!$C$12,Hypothèses!$R$12,IF(B189&lt;=Hypothèses!$C$13,Hypothèses!$R$13,IF(B189&lt;=Hypothèses!$C$14,Hypothèses!$R$14,IF(B189&lt;=Hypothèses!$C$15,Hypothèses!$R$15,IF(B189&lt;=Hypothèses!$C$16,Hypothèses!$R$16,IF(B189&lt;=Hypothèses!$C$17,Hypothèses!$R$17,IF(B189&lt;=Hypothèses!$C$18,Hypothèses!$R$18,D188))))))))))))</f>
        <v>Pressio.</v>
      </c>
      <c r="E189" s="82" t="e">
        <f>IF(B189&lt;=Hypothèses!$C$7,Hypothèses!$G$7,IF(B189&lt;=Hypothèses!$C$8,Hypothèses!$G$8,IF(B189&lt;=Hypothèses!$C$9,Hypothèses!$G$9,IF(B189&lt;=Hypothèses!$C$10,Hypothèses!$G$10,IF(B189&lt;=Hypothèses!$C$11,Hypothèses!$G$11,IF(B189&lt;=Hypothèses!$C$12,Hypothèses!$G$12,IF(B189&lt;=Hypothèses!$C$13,Hypothèses!$G$13,IF(B189&lt;=Hypothèses!$C$14,Hypothèses!$G$14,IF(B189&lt;=Hypothèses!$C$15,Hypothèses!$G$15,IF(B189&lt;=Hypothèses!$C$16,Hypothèses!$G$16,IF(B189&lt;=Hypothèses!$C$17,Hypothèses!$G$17,IF(B189&lt;=Hypothèses!$C$18,Hypothèses!$G$18,E188))))))))))))</f>
        <v>#N/A</v>
      </c>
      <c r="F189" s="82" t="str">
        <f>IF(B189&lt;=Hypothèses!$C$7,Hypothèses!$F$7,IF(B189&lt;=Hypothèses!$C$8,Hypothèses!$F$8,IF(B189&lt;=Hypothèses!$C$9,Hypothèses!$F$9,IF(B189&lt;=Hypothèses!$C$10,Hypothèses!$F$10,IF(B189&lt;=Hypothèses!$C$11,Hypothèses!$F$11,IF(B189&lt;=Hypothèses!$C$12,Hypothèses!$F$12,IF(B189&lt;=Hypothèses!$C$13,Hypothèses!$F$13,IF(B189&lt;=Hypothèses!$C$14,Hypothèses!$F$14,IF(B189&lt;=Hypothèses!$C$15,Hypothèses!$F$15,IF(B189&lt;=Hypothèses!$C$16,Hypothèses!$F$16,IF(B189&lt;=Hypothèses!$C$17,Hypothèses!$F$17,IF(B189&lt;=Hypothèses!$C$18,Hypothèses!$F$18,F188))))))))))))</f>
        <v/>
      </c>
      <c r="G189" s="91">
        <f t="array" ref="G189">INDEX('Coeff EC7'!$U$7:$X$27,
MATCH(Model0.1C!$B$3,'Coeff EC7'!$T$7:$T$27,0),
MATCH(Model0.1C!$D189&amp;Model0.1C!$B$4,
'Coeff EC7'!$U$6:$X$6&amp;
'Coeff EC7'!$U$5:$X$5,0))</f>
        <v>1.1499999999999999</v>
      </c>
      <c r="H189" s="91">
        <f t="array" ref="H189">INDEX('Coeff EC7'!$Y$7:$AB$27,
MATCH(Model0.1C!$B$3,'Coeff EC7'!$T$7:$T$27,0),
MATCH(Model0.1C!$D189&amp;Model0.1C!$B$4,
'Coeff EC7'!$Y$6:$AB$6&amp;
'Coeff EC7'!$Y$5:$AB$5,0))</f>
        <v>1.4</v>
      </c>
      <c r="I189" s="83" t="e">
        <f>IF(B189&lt;=Hypothèses!$C$7,Hypothèses!$P$7,IF(B189&lt;=Hypothèses!$C$8,Hypothèses!$P$8,IF(B189&lt;=Hypothèses!$C$9,Hypothèses!$P$9,IF(B189&lt;=Hypothèses!$C$10,Hypothèses!$P$10,IF(B189&lt;=Hypothèses!$C$11,Hypothèses!$P$11,IF(B189&lt;=Hypothèses!$C$12,Hypothèses!$P$12,IF(B189&lt;=Hypothèses!$C$13,Hypothèses!$P$13,IF(B189&lt;=Hypothèses!$C$14,Hypothèses!$P$14,IF(B189&lt;=Hypothèses!$C$15,Hypothèses!$P$15,IF(B189&lt;=Hypothèses!$C$16,Hypothèses!$P$16,IF(B189&lt;=Hypothèses!$C$17,Hypothèses!$P$17,IF(B189&lt;=Hypothèses!$C$18,Hypothèses!$P$18,I188))))))))))))</f>
        <v>#N/A</v>
      </c>
      <c r="J189" s="91" t="e">
        <f t="array" ref="J189">INDEX('Coeff EC7'!$D$33:$Q$33,1,MATCH(D189&amp;E189,'Coeff EC7'!$D$31:$Q$31&amp;'Coeff EC7'!$D$32:$Q$32,0))</f>
        <v>#N/A</v>
      </c>
      <c r="K189" s="91" t="e">
        <f t="array" ref="K189">INDEX('Coeff EC7'!$D$34:$Q$34,1,MATCH(D189&amp;E189,'Coeff EC7'!$D$31:$Q$31&amp;'Coeff EC7'!$D$32:$Q$32,0))</f>
        <v>#N/A</v>
      </c>
      <c r="L189" s="91" t="e">
        <f t="array" ref="L189">INDEX('Coeff EC7'!$D$35:$Q$35,1,MATCH(D189&amp;E189,'Coeff EC7'!$D$31:$Q$31&amp;'Coeff EC7'!$D$32:$Q$32,0))</f>
        <v>#N/A</v>
      </c>
      <c r="M189" s="98" t="e">
        <f t="shared" si="231"/>
        <v>#N/A</v>
      </c>
      <c r="N189" s="99" t="e">
        <f t="array" ref="N189">INDEX('Coeff EC7'!$D$7:$Q$27,MATCH($B$3,'Coeff EC7'!$C$7:$C$27,0),MATCH(D189&amp;E189,'Coeff EC7'!$D$5:$Q$5&amp;'Coeff EC7'!$D$6:$Q$6,0))</f>
        <v>#N/A</v>
      </c>
      <c r="O189" s="99" t="e">
        <f t="array" ref="O189">INDEX('Coeff EC7'!$D$41:$Q$61,MATCH($B$3,'Coeff EC7'!$C$41:$C$61,0),MATCH(D189&amp;E189,'Coeff EC7'!$D$39:$Q$39&amp;'Coeff EC7'!$D$40:$Q$40,0))</f>
        <v>#N/A</v>
      </c>
      <c r="P189" s="30" t="e">
        <f t="shared" si="268"/>
        <v>#N/A</v>
      </c>
      <c r="Q189" s="100" t="e">
        <f t="shared" si="233"/>
        <v>#N/A</v>
      </c>
      <c r="R189" s="86" t="b">
        <f t="shared" si="234"/>
        <v>0</v>
      </c>
      <c r="S189" s="86">
        <f t="shared" si="232"/>
        <v>0.5</v>
      </c>
      <c r="T189" s="86">
        <f t="shared" si="235"/>
        <v>0.5</v>
      </c>
      <c r="U189" s="30" t="e">
        <f t="shared" ca="1" si="269"/>
        <v>#DIV/0!</v>
      </c>
      <c r="V189" s="85" t="str">
        <f>IF(B189&lt;=Hypothèses!$V$7,Hypothèses!$W$7,IF(B189&lt;=Hypothèses!$V$8,Hypothèses!$W$8,IF(B189&lt;=Hypothèses!$V$9,Hypothèses!$W$9,IF(B189&lt;=Hypothèses!$V$10,Hypothèses!$W$10,IF(B189&lt;=Hypothèses!$V$11,Hypothèses!$W$11,IF(B189&lt;=Hypothèses!$V$12,Hypothèses!$W$12,IF(B189&lt;=Hypothèses!$V$13,Hypothèses!$W$13,IF(B189&lt;=Hypothèses!$V$14,Hypothèses!$W$14,IF(B189&lt;=Hypothèses!$V$15,Hypothèses!$W$15,IF(B189&lt;=Hypothèses!$V$16,Hypothèses!$W$16,IF(B189&lt;=Hypothèses!$V$17,Hypothèses!$W$17,IF(B189&lt;=Hypothèses!$V$18,Hypothèses!$W$18,""))))))))))))</f>
        <v/>
      </c>
      <c r="W189" s="87" t="e">
        <f t="shared" ca="1" si="316"/>
        <v>#DIV/0!</v>
      </c>
      <c r="X189" s="88" t="str">
        <f>IF(B189&lt;=Hypothèses!$V$7,Hypothèses!$X$7,IF(B189&lt;=Hypothèses!$V$8,Hypothèses!$X$8,IF(B189&lt;=Hypothèses!$V$9,Hypothèses!$X$9,IF(B189&lt;=Hypothèses!$V$10,Hypothèses!$X$10,IF(B189&lt;=Hypothèses!$V$11,Hypothèses!$X$11,IF(B189&lt;=Hypothèses!$V$12,Hypothèses!$X$12,IF(B189&lt;=Hypothèses!$V$13,Hypothèses!$X$13,IF(B189&lt;=Hypothèses!$V$14,Hypothèses!$X$14,IF(B189&lt;=Hypothèses!$V$15,Hypothèses!$X$15,IF(B189&lt;=Hypothèses!$V$16,Hypothèses!$X$16,IF(B189&lt;=Hypothèses!$U$17,Hypothèses!$W$17,IF(B189&lt;=Hypothèses!$U$18,Hypothèses!$W$18,""))))))))))))</f>
        <v/>
      </c>
      <c r="Y189" s="95" t="e">
        <f t="shared" ca="1" si="236"/>
        <v>#DIV/0!</v>
      </c>
      <c r="Z189" s="101" t="e">
        <f t="shared" si="237"/>
        <v>#N/A</v>
      </c>
      <c r="AA189" s="91" t="e">
        <f t="shared" si="238"/>
        <v>#N/A</v>
      </c>
      <c r="AB189" s="30" t="e">
        <f t="shared" si="300"/>
        <v>#N/A</v>
      </c>
      <c r="AC189" s="30" t="e">
        <f t="shared" si="301"/>
        <v>#N/A</v>
      </c>
      <c r="AD189" s="31" t="e">
        <f>IF(OR(Hypothèses!$B$4=17,Hypothèses!$B$4=18,Hypothèses!$B$4=19,Hypothèses!$B$4=20),
IF($D189="Pressio.",
IF(OR($E189=3,$E189=1,$E189=4),AC189,AB189),
IF($D189="Pénétro.",
IF(OR($E189=3,$E189=1,$E189=4),AC189,AB189))),IF($D189="Pressio.",
IF($E189=3,AC189,AB189),
IF($D189="Pénétro.",
IF($E189=4,AC189,AB189))))</f>
        <v>#N/A</v>
      </c>
      <c r="AE189" s="31" t="e">
        <f>(IF(OR(Hypothèses!$B$4=17,Hypothèses!$B$4=18,Hypothèses!$B$4=19,Hypothèses!$B$4=20),
IF($D189="Pressio.",
IF(OR($E189=3,$E189=1,$E189=4),(PI()*AE$12^2)/4*(AA189*$W189*1000)/($H189*$B$5),(PI()*AE$12^2)/4*(AA189*$W189*1000)/($G189*$B$5)),
IF($D189="Pénétro.",
IF(OR($E189=4,$E189=1,$E189=5),(PI()*AE$12^2)/4*(AA189*$W189*1000)/($H189*$B$5),(PI()*AE$12^2)/4*(AA189*$W189*1000)/($G189*$B$5)))),
IF($D189="Pressio.",
IF($E189=3,(PI()*AE$12^2)/4*(AA189*$W189*1000)/($H189*$B$5),(PI()*AE$12^2)/4*(AA189*$W189*1000)/($G189*$B$5)),
IF($D189="Pénétro.",
IF($E189=4,(PI()*AE$12^2)/4*(AA189*$W189*1000)/($H189*$B$5),(PI()*AE$12^2)/4*(AA189*$W189*1000)/($G189*$B$5))))))/10</f>
        <v>#N/A</v>
      </c>
      <c r="AF189" s="102" t="e">
        <f>(VLOOKUP($B$3,'Coeff EC7'!$T$39:$X$59,2,0)*AD189+VLOOKUP($B$3,'Coeff EC7'!$T$65:$X$85,2,0)*Model0.1C!AE189)/1.1</f>
        <v>#N/A</v>
      </c>
      <c r="AG189" s="102" t="e">
        <f>(VLOOKUP($B$3,'Coeff EC7'!$T$39:$X$59,3,0)*AD189+VLOOKUP($B$3,'Coeff EC7'!$T$65:$X$85,3,0)*Model0.1C!AE189)/0.9</f>
        <v>#N/A</v>
      </c>
      <c r="AH189" s="102" t="e">
        <f t="shared" si="239"/>
        <v>#N/A</v>
      </c>
      <c r="AI189" s="102" t="e">
        <f t="shared" si="240"/>
        <v>#N/A</v>
      </c>
      <c r="AJ189" s="414" t="e">
        <f>IF(AJ188=0,0,IF(AND(AF189&gt;charge_ELS_quasi,AG189&gt;Charge_ELS_freq,AH189&gt;charge_ELU,AI189&gt;charge_ELA,$B189&gt;NDC!$H$22-0.1+MIN(3*$AJ$12,1.5)),0,1))</f>
        <v>#N/A</v>
      </c>
      <c r="AK189" s="86" t="b">
        <f t="shared" si="241"/>
        <v>0</v>
      </c>
      <c r="AL189" s="86">
        <f t="shared" si="270"/>
        <v>0.5</v>
      </c>
      <c r="AM189" s="86">
        <f t="shared" si="242"/>
        <v>0.5</v>
      </c>
      <c r="AN189" s="30" t="e">
        <f t="shared" ca="1" si="271"/>
        <v>#DIV/0!</v>
      </c>
      <c r="AO189" s="85" t="e">
        <f ca="1">IF(U189&lt;=Hypothèses!$V$7,Hypothèses!$W$7,IF(U189&lt;=Hypothèses!$V$8,Hypothèses!$W$8,IF(U189&lt;=Hypothèses!$V$9,Hypothèses!$W$9,IF(U189&lt;=Hypothèses!$V$10,Hypothèses!$W$10,IF(U189&lt;=Hypothèses!$V$11,Hypothèses!$W$11,IF(U189&lt;=Hypothèses!$V$12,Hypothèses!$W$12,IF(U189&lt;=Hypothèses!$V$13,Hypothèses!$W$13,IF(U189&lt;=Hypothèses!$V$14,Hypothèses!$W$14,IF(U189&lt;=Hypothèses!$V$15,Hypothèses!$W$15,IF(U189&lt;=Hypothèses!$V$16,Hypothèses!$W$16,IF(U189&lt;=Hypothèses!$V$17,Hypothèses!$W$17,IF(U189&lt;=Hypothèses!$V$18,Hypothèses!$W$18,""))))))))))))</f>
        <v>#DIV/0!</v>
      </c>
      <c r="AP189" s="87" t="e">
        <f t="shared" ca="1" si="317"/>
        <v>#DIV/0!</v>
      </c>
      <c r="AQ189" s="88" t="e">
        <f ca="1">IF(U189&lt;=Hypothèses!$V$7,Hypothèses!$X$7,IF(U189&lt;=Hypothèses!$V$8,Hypothèses!$X$8,IF(U189&lt;=Hypothèses!$V$9,Hypothèses!$X$9,IF(U189&lt;=Hypothèses!$V$10,Hypothèses!$X$10,IF(U189&lt;=Hypothèses!$V$11,Hypothèses!$X$11,IF(U189&lt;=Hypothèses!$V$12,Hypothèses!$X$12,IF(U189&lt;=Hypothèses!$V$13,Hypothèses!$X$13,IF(U189&lt;=Hypothèses!$V$14,Hypothèses!$X$14,IF(U189&lt;=Hypothèses!$V$15,Hypothèses!$X$15,IF(U189&lt;=Hypothèses!$V$16,Hypothèses!$X$16,IF(U189&lt;=Hypothèses!$U$17,Hypothèses!$W$17,IF(U189&lt;=Hypothèses!$U$18,Hypothèses!$W$18,""))))))))))))</f>
        <v>#DIV/0!</v>
      </c>
      <c r="AR189" s="95" t="e">
        <f t="shared" ca="1" si="272"/>
        <v>#DIV/0!</v>
      </c>
      <c r="AS189" s="101" t="e">
        <f t="shared" si="324"/>
        <v>#N/A</v>
      </c>
      <c r="AT189" s="91" t="e">
        <f t="shared" si="243"/>
        <v>#N/A</v>
      </c>
      <c r="AU189" s="30" t="e">
        <f t="shared" si="302"/>
        <v>#N/A</v>
      </c>
      <c r="AV189" s="30" t="e">
        <f t="shared" si="303"/>
        <v>#N/A</v>
      </c>
      <c r="AW189" s="31" t="e">
        <f>IF(OR(Hypothèses!$B$4=17,Hypothèses!$B$4=18,Hypothèses!$B$4=19,Hypothèses!$B$4=20),
IF($D189="Pressio.",
IF(OR($E189=3,$E189=1,$E189=4),AV189,AU189),
IF($D189="Pénétro.",
IF(OR($E189=3,$E189=1,$E189=4),AV189,AU189))),IF($D189="Pressio.",
IF($E189=3,AV189,AU189),
IF($D189="Pénétro.",
IF($E189=4,AV189,AU189))))</f>
        <v>#N/A</v>
      </c>
      <c r="AX189" s="31" t="e">
        <f>(IF(OR(Hypothèses!$B$4=17,Hypothèses!$B$4=18,Hypothèses!$B$4=19,Hypothèses!$B$4=20),
IF($D189="Pressio.",
IF(OR($E189=3,$E189=1,$E189=4),(PI()*AX$12^2)/4*(AT189*$W189*1000)/($H189*$B$5),(PI()*AX$12^2)/4*(AT189*$W189*1000)/($G189*$B$5)),
IF($D189="Pénétro.",
IF(OR($E189=4,$E189=1,$E189=5),(PI()*AX$12^2)/4*(AT189*$W189*1000)/($H189*$B$5),(PI()*AX$12^2)/4*(AT189*$W189*1000)/($G189*$B$5)))),
IF($D189="Pressio.",
IF($E189=3,(PI()*AX$12^2)/4*(AT189*$W189*1000)/($H189*$B$5),(PI()*AX$12^2)/4*(AT189*$W189*1000)/($G189*$B$5)),
IF($D189="Pénétro.",
IF($E189=4,(PI()*AX$12^2)/4*(AT189*$W189*1000)/($H189*$B$5),(PI()*AX$12^2)/4*(AT189*$W189*1000)/($G189*$B$5))))))/10</f>
        <v>#N/A</v>
      </c>
      <c r="AY189" s="102" t="e">
        <f>(VLOOKUP($B$3,'Coeff EC7'!$T$39:$X$59,2,0)*AW189+VLOOKUP($B$3,'Coeff EC7'!$T$65:$X$85,2,0)*Model0.1C!AX189)/1.1</f>
        <v>#N/A</v>
      </c>
      <c r="AZ189" s="102" t="e">
        <f>(VLOOKUP($B$3,'Coeff EC7'!$T$39:$X$59,3,0)*AW189+VLOOKUP($B$3,'Coeff EC7'!$T$65:$X$85,3,0)*Model0.1C!AX189)/0.9</f>
        <v>#N/A</v>
      </c>
      <c r="BA189" s="102" t="e">
        <f t="shared" si="273"/>
        <v>#N/A</v>
      </c>
      <c r="BB189" s="102" t="e">
        <f t="shared" si="274"/>
        <v>#N/A</v>
      </c>
      <c r="BC189" s="414" t="e">
        <f>IF(BC188=0,0,IF(AND(AY189&gt;charge_ELS_quasi,AZ189&gt;Charge_ELS_freq,BA189&gt;charge_ELU,BB189&gt;charge_ELA,$B189&gt;NDC!$H$22-0.1+MIN(3*$BC$12,1.5)),0,1))</f>
        <v>#N/A</v>
      </c>
      <c r="BD189" s="86" t="b">
        <f t="shared" si="244"/>
        <v>0</v>
      </c>
      <c r="BE189" s="86">
        <f t="shared" si="275"/>
        <v>0.5</v>
      </c>
      <c r="BF189" s="86">
        <f t="shared" si="245"/>
        <v>0.5</v>
      </c>
      <c r="BG189" s="30" t="e">
        <f t="shared" ca="1" si="276"/>
        <v>#DIV/0!</v>
      </c>
      <c r="BH189" s="85" t="e">
        <f ca="1">IF(AN189&lt;=Hypothèses!$V$7,Hypothèses!$W$7,IF(AN189&lt;=Hypothèses!$V$8,Hypothèses!$W$8,IF(AN189&lt;=Hypothèses!$V$9,Hypothèses!$W$9,IF(AN189&lt;=Hypothèses!$V$10,Hypothèses!$W$10,IF(AN189&lt;=Hypothèses!$V$11,Hypothèses!$W$11,IF(AN189&lt;=Hypothèses!$V$12,Hypothèses!$W$12,IF(AN189&lt;=Hypothèses!$V$13,Hypothèses!$W$13,IF(AN189&lt;=Hypothèses!$V$14,Hypothèses!$W$14,IF(AN189&lt;=Hypothèses!$V$15,Hypothèses!$W$15,IF(AN189&lt;=Hypothèses!$V$16,Hypothèses!$W$16,IF(AN189&lt;=Hypothèses!$V$17,Hypothèses!$W$17,IF(AN189&lt;=Hypothèses!$V$18,Hypothèses!$W$18,""))))))))))))</f>
        <v>#DIV/0!</v>
      </c>
      <c r="BI189" s="87" t="e">
        <f t="shared" ca="1" si="318"/>
        <v>#DIV/0!</v>
      </c>
      <c r="BJ189" s="88" t="e">
        <f ca="1">IF(AN189&lt;=Hypothèses!$V$7,Hypothèses!$X$7,IF(AN189&lt;=Hypothèses!$V$8,Hypothèses!$X$8,IF(AN189&lt;=Hypothèses!$V$9,Hypothèses!$X$9,IF(AN189&lt;=Hypothèses!$V$10,Hypothèses!$X$10,IF(AN189&lt;=Hypothèses!$V$11,Hypothèses!$X$11,IF(AN189&lt;=Hypothèses!$V$12,Hypothèses!$X$12,IF(AN189&lt;=Hypothèses!$V$13,Hypothèses!$X$13,IF(AN189&lt;=Hypothèses!$V$14,Hypothèses!$X$14,IF(AN189&lt;=Hypothèses!$V$15,Hypothèses!$X$15,IF(AN189&lt;=Hypothèses!$V$16,Hypothèses!$X$16,IF(AN189&lt;=Hypothèses!$U$17,Hypothèses!$W$17,IF(AN189&lt;=Hypothèses!$U$18,Hypothèses!$W$18,""))))))))))))</f>
        <v>#DIV/0!</v>
      </c>
      <c r="BK189" s="95" t="e">
        <f t="shared" ca="1" si="277"/>
        <v>#DIV/0!</v>
      </c>
      <c r="BL189" s="101" t="e">
        <f t="shared" si="325"/>
        <v>#N/A</v>
      </c>
      <c r="BM189" s="91" t="e">
        <f t="shared" si="246"/>
        <v>#N/A</v>
      </c>
      <c r="BN189" s="30" t="e">
        <f t="shared" si="304"/>
        <v>#N/A</v>
      </c>
      <c r="BO189" s="30" t="e">
        <f t="shared" si="305"/>
        <v>#N/A</v>
      </c>
      <c r="BP189" s="31" t="e">
        <f>IF(OR(Hypothèses!$B$4=17,Hypothèses!$B$4=18,Hypothèses!$B$4=19,Hypothèses!$B$4=20),
IF($D189="Pressio.",
IF(OR($E189=3,$E189=1,$E189=4),BO189,BN189),
IF($D189="Pénétro.",
IF(OR($E189=3,$E189=1,$E189=4),BO189,BN189))),IF($D189="Pressio.",
IF($E189=3,BO189,BN189),
IF($D189="Pénétro.",
IF($E189=4,BO189,BN189))))</f>
        <v>#N/A</v>
      </c>
      <c r="BQ189" s="31" t="e">
        <f>(IF(OR(Hypothèses!$B$4=17,Hypothèses!$B$4=18,Hypothèses!$B$4=19,Hypothèses!$B$4=20),
IF($D189="Pressio.",
IF(OR($E189=3,$E189=1,$E189=4),(PI()*BQ$12^2)/4*(BM189*$W189*1000)/($H189*$B$5),(PI()*BQ$12^2)/4*(BM189*$W189*1000)/($G189*$B$5)),
IF($D189="Pénétro.",
IF(OR($E189=4,$E189=1,$E189=5),(PI()*BQ$12^2)/4*(BM189*$W189*1000)/($H189*$B$5),(PI()*BQ$12^2)/4*(BM189*$W189*1000)/($G189*$B$5)))),
IF($D189="Pressio.",
IF($E189=3,(PI()*BQ$12^2)/4*(BM189*$W189*1000)/($H189*$B$5),(PI()*BQ$12^2)/4*(BM189*$W189*1000)/($G189*$B$5)),
IF($D189="Pénétro.",
IF($E189=4,(PI()*BQ$12^2)/4*(BM189*$W189*1000)/($H189*$B$5),(PI()*BQ$12^2)/4*(BM189*$W189*1000)/($G189*$B$5))))))/10</f>
        <v>#N/A</v>
      </c>
      <c r="BR189" s="102" t="e">
        <f>(VLOOKUP($B$3,'Coeff EC7'!$T$39:$X$59,2,0)*BP189+VLOOKUP($B$3,'Coeff EC7'!$T$65:$X$85,2,0)*Model0.1C!BQ189)/1.1</f>
        <v>#N/A</v>
      </c>
      <c r="BS189" s="102" t="e">
        <f>(VLOOKUP($B$3,'Coeff EC7'!$T$39:$X$59,3,0)*BP189+VLOOKUP($B$3,'Coeff EC7'!$T$65:$X$85,3,0)*Model0.1C!BQ189)/0.9</f>
        <v>#N/A</v>
      </c>
      <c r="BT189" s="102" t="e">
        <f t="shared" si="278"/>
        <v>#N/A</v>
      </c>
      <c r="BU189" s="102" t="e">
        <f t="shared" si="279"/>
        <v>#N/A</v>
      </c>
      <c r="BV189" s="414" t="e">
        <f>IF(BV188=0,0,IF(AND(BR189&gt;charge_ELS_quasi,BS189&gt;Charge_ELS_freq,BT189&gt;charge_ELU,BU189&gt;charge_ELA,$B189&gt;NDC!$H$22-0.1+MIN(3*$BV$12,1.5)),0,1))</f>
        <v>#N/A</v>
      </c>
      <c r="BW189" s="86" t="b">
        <f t="shared" si="247"/>
        <v>0</v>
      </c>
      <c r="BX189" s="86">
        <f t="shared" si="248"/>
        <v>0.5</v>
      </c>
      <c r="BY189" s="86">
        <f t="shared" si="249"/>
        <v>0.5</v>
      </c>
      <c r="BZ189" s="30" t="e">
        <f t="shared" ca="1" si="280"/>
        <v>#DIV/0!</v>
      </c>
      <c r="CA189" s="85" t="e">
        <f ca="1">IF(BG189&lt;=Hypothèses!$V$7,Hypothèses!$W$7,IF(BG189&lt;=Hypothèses!$V$8,Hypothèses!$W$8,IF(BG189&lt;=Hypothèses!$V$9,Hypothèses!$W$9,IF(BG189&lt;=Hypothèses!$V$10,Hypothèses!$W$10,IF(BG189&lt;=Hypothèses!$V$11,Hypothèses!$W$11,IF(BG189&lt;=Hypothèses!$V$12,Hypothèses!$W$12,IF(BG189&lt;=Hypothèses!$V$13,Hypothèses!$W$13,IF(BG189&lt;=Hypothèses!$V$14,Hypothèses!$W$14,IF(BG189&lt;=Hypothèses!$V$15,Hypothèses!$W$15,IF(BG189&lt;=Hypothèses!$V$16,Hypothèses!$W$16,IF(BG189&lt;=Hypothèses!$V$17,Hypothèses!$W$17,IF(BG189&lt;=Hypothèses!$V$18,Hypothèses!$W$18,""))))))))))))</f>
        <v>#DIV/0!</v>
      </c>
      <c r="CB189" s="87" t="e">
        <f t="shared" ca="1" si="319"/>
        <v>#DIV/0!</v>
      </c>
      <c r="CC189" s="88" t="e">
        <f ca="1">IF(BG189&lt;=Hypothèses!$V$7,Hypothèses!$X$7,IF(BG189&lt;=Hypothèses!$V$8,Hypothèses!$X$8,IF(BG189&lt;=Hypothèses!$V$9,Hypothèses!$X$9,IF(BG189&lt;=Hypothèses!$V$10,Hypothèses!$X$10,IF(BG189&lt;=Hypothèses!$V$11,Hypothèses!$X$11,IF(BG189&lt;=Hypothèses!$V$12,Hypothèses!$X$12,IF(BG189&lt;=Hypothèses!$V$13,Hypothèses!$X$13,IF(BG189&lt;=Hypothèses!$V$14,Hypothèses!$X$14,IF(BG189&lt;=Hypothèses!$V$15,Hypothèses!$X$15,IF(BG189&lt;=Hypothèses!$V$16,Hypothèses!$X$16,IF(BG189&lt;=Hypothèses!$U$17,Hypothèses!$W$17,IF(BG189&lt;=Hypothèses!$U$18,Hypothèses!$W$18,""))))))))))))</f>
        <v>#DIV/0!</v>
      </c>
      <c r="CD189" s="95" t="e">
        <f t="shared" ca="1" si="281"/>
        <v>#DIV/0!</v>
      </c>
      <c r="CE189" s="101" t="e">
        <f t="shared" si="326"/>
        <v>#N/A</v>
      </c>
      <c r="CF189" s="91" t="e">
        <f t="shared" si="250"/>
        <v>#N/A</v>
      </c>
      <c r="CG189" s="30" t="e">
        <f t="shared" si="306"/>
        <v>#N/A</v>
      </c>
      <c r="CH189" s="30" t="e">
        <f t="shared" si="307"/>
        <v>#N/A</v>
      </c>
      <c r="CI189" s="31" t="e">
        <f>IF(OR(Hypothèses!$B$4=17,Hypothèses!$B$4=18,Hypothèses!$B$4=19,Hypothèses!$B$4=20),
IF($D189="Pressio.",
IF(OR($E189=3,$E189=1,$E189=4),CH189,CG189),
IF($D189="Pénétro.",
IF(OR($E189=3,$E189=1,$E189=4),CH189,CG189))),IF($D189="Pressio.",
IF($E189=3,CH189,CG189),
IF($D189="Pénétro.",
IF($E189=4,CH189,CG189))))</f>
        <v>#N/A</v>
      </c>
      <c r="CJ189" s="31" t="e">
        <f>(IF(OR(Hypothèses!$B$4=17,Hypothèses!$B$4=18,Hypothèses!$B$4=19,Hypothèses!$B$4=20),
IF($D189="Pressio.",
IF(OR($E189=3,$E189=1,$E189=4),(PI()*CJ$12^2)/4*(CF189*$W189*1000)/($H189*$B$5),(PI()*CJ$12^2)/4*(CF189*$W189*1000)/($G189*$B$5)),
IF($D189="Pénétro.",
IF(OR($E189=4,$E189=1,$E189=5),(PI()*CJ$12^2)/4*(CF189*$W189*1000)/($H189*$B$5),(PI()*CJ$12^2)/4*(CF189*$W189*1000)/($G189*$B$5)))),
IF($D189="Pressio.",
IF($E189=3,(PI()*CJ$12^2)/4*(CF189*$W189*1000)/($H189*$B$5),(PI()*CJ$12^2)/4*(CF189*$W189*1000)/($G189*$B$5)),
IF($D189="Pénétro.",
IF($E189=4,(PI()*CJ$12^2)/4*(CF189*$W189*1000)/($H189*$B$5),(PI()*CJ$12^2)/4*(CF189*$W189*1000)/($G189*$B$5))))))/10</f>
        <v>#N/A</v>
      </c>
      <c r="CK189" s="102" t="e">
        <f>(VLOOKUP($B$3,'Coeff EC7'!$T$39:$X$59,2,0)*CI189+VLOOKUP($B$3,'Coeff EC7'!$T$65:$X$85,2,0)*Model0.1C!CJ189)/1.1</f>
        <v>#N/A</v>
      </c>
      <c r="CL189" s="102" t="e">
        <f>(VLOOKUP($B$3,'Coeff EC7'!$T$39:$X$59,3,0)*CI189+VLOOKUP($B$3,'Coeff EC7'!$T$65:$X$85,3,0)*Model0.1C!CJ189)/0.9</f>
        <v>#N/A</v>
      </c>
      <c r="CM189" s="102" t="e">
        <f t="shared" si="282"/>
        <v>#N/A</v>
      </c>
      <c r="CN189" s="102" t="e">
        <f t="shared" si="283"/>
        <v>#N/A</v>
      </c>
      <c r="CO189" s="414" t="e">
        <f>IF(CO188=0,0,IF(AND(CK189&gt;charge_ELS_quasi,CL189&gt;Charge_ELS_freq,CM189&gt;charge_ELU,CN189&gt;charge_ELA,$B189&gt;NDC!$H$22-0.1+MIN(3*$CO$12,1.5)),0,1))</f>
        <v>#N/A</v>
      </c>
      <c r="CP189" s="86" t="b">
        <f t="shared" si="251"/>
        <v>0</v>
      </c>
      <c r="CQ189" s="86">
        <f t="shared" si="252"/>
        <v>0.5</v>
      </c>
      <c r="CR189" s="86">
        <f t="shared" si="253"/>
        <v>0.5</v>
      </c>
      <c r="CS189" s="30" t="e">
        <f t="shared" ca="1" si="284"/>
        <v>#DIV/0!</v>
      </c>
      <c r="CT189" s="85" t="e">
        <f ca="1">IF(BZ189&lt;=Hypothèses!$V$7,Hypothèses!$W$7,IF(BZ189&lt;=Hypothèses!$V$8,Hypothèses!$W$8,IF(BZ189&lt;=Hypothèses!$V$9,Hypothèses!$W$9,IF(BZ189&lt;=Hypothèses!$V$10,Hypothèses!$W$10,IF(BZ189&lt;=Hypothèses!$V$11,Hypothèses!$W$11,IF(BZ189&lt;=Hypothèses!$V$12,Hypothèses!$W$12,IF(BZ189&lt;=Hypothèses!$V$13,Hypothèses!$W$13,IF(BZ189&lt;=Hypothèses!$V$14,Hypothèses!$W$14,IF(BZ189&lt;=Hypothèses!$V$15,Hypothèses!$W$15,IF(BZ189&lt;=Hypothèses!$V$16,Hypothèses!$W$16,IF(BZ189&lt;=Hypothèses!$V$17,Hypothèses!$W$17,IF(BZ189&lt;=Hypothèses!$V$18,Hypothèses!$W$18,""))))))))))))</f>
        <v>#DIV/0!</v>
      </c>
      <c r="CU189" s="87" t="e">
        <f t="shared" ca="1" si="320"/>
        <v>#DIV/0!</v>
      </c>
      <c r="CV189" s="88" t="e">
        <f ca="1">IF(BZ189&lt;=Hypothèses!$V$7,Hypothèses!$X$7,IF(BZ189&lt;=Hypothèses!$V$8,Hypothèses!$X$8,IF(BZ189&lt;=Hypothèses!$V$9,Hypothèses!$X$9,IF(BZ189&lt;=Hypothèses!$V$10,Hypothèses!$X$10,IF(BZ189&lt;=Hypothèses!$V$11,Hypothèses!$X$11,IF(BZ189&lt;=Hypothèses!$V$12,Hypothèses!$X$12,IF(BZ189&lt;=Hypothèses!$V$13,Hypothèses!$X$13,IF(BZ189&lt;=Hypothèses!$V$14,Hypothèses!$X$14,IF(BZ189&lt;=Hypothèses!$V$15,Hypothèses!$X$15,IF(BZ189&lt;=Hypothèses!$V$16,Hypothèses!$X$16,IF(BZ189&lt;=Hypothèses!$U$17,Hypothèses!$W$17,IF(BZ189&lt;=Hypothèses!$U$18,Hypothèses!$W$18,""))))))))))))</f>
        <v>#DIV/0!</v>
      </c>
      <c r="CW189" s="95" t="e">
        <f t="shared" ca="1" si="285"/>
        <v>#DIV/0!</v>
      </c>
      <c r="CX189" s="101" t="e">
        <f t="shared" si="327"/>
        <v>#N/A</v>
      </c>
      <c r="CY189" s="91" t="e">
        <f t="shared" si="254"/>
        <v>#N/A</v>
      </c>
      <c r="CZ189" s="30" t="e">
        <f t="shared" si="308"/>
        <v>#N/A</v>
      </c>
      <c r="DA189" s="30" t="e">
        <f t="shared" si="309"/>
        <v>#N/A</v>
      </c>
      <c r="DB189" s="31" t="e">
        <f>IF(OR(Hypothèses!$B$4=17,Hypothèses!$B$4=18,Hypothèses!$B$4=19,Hypothèses!$B$4=20),
IF($D189="Pressio.",
IF(OR($E189=3,$E189=1,$E189=4),DA189,CZ189),
IF($D189="Pénétro.",
IF(OR($E189=3,$E189=1,$E189=4),DA189,CZ189))),IF($D189="Pressio.",
IF($E189=3,DA189,CZ189),
IF($D189="Pénétro.",
IF($E189=4,DA189,CZ189))))</f>
        <v>#N/A</v>
      </c>
      <c r="DC189" s="31" t="e">
        <f>(IF(OR(Hypothèses!$B$4=17,Hypothèses!$B$4=18,Hypothèses!$B$4=19,Hypothèses!$B$4=20),
IF($D189="Pressio.",
IF(OR($E189=3,$E189=1,$E189=4),(PI()*DC$12^2)/4*(CY189*$W189*1000)/($H189*$B$5),(PI()*DC$12^2)/4*(CY189*$W189*1000)/($G189*$B$5)),
IF($D189="Pénétro.",
IF(OR($E189=4,$E189=1,$E189=5),(PI()*DC$12^2)/4*(CY189*$W189*1000)/($H189*$B$5),(PI()*DC$12^2)/4*(CY189*$W189*1000)/($G189*$B$5)))),
IF($D189="Pressio.",
IF($E189=3,(PI()*DC$12^2)/4*(CY189*$W189*1000)/($H189*$B$5),(PI()*DC$12^2)/4*(CY189*$W189*1000)/($G189*$B$5)),
IF($D189="Pénétro.",
IF($E189=4,(PI()*DC$12^2)/4*(CY189*$W189*1000)/($H189*$B$5),(PI()*DC$12^2)/4*(CY189*$W189*1000)/($G189*$B$5))))))/10</f>
        <v>#N/A</v>
      </c>
      <c r="DD189" s="102" t="e">
        <f>(VLOOKUP($B$3,'Coeff EC7'!$T$39:$X$59,2,0)*DB189+VLOOKUP($B$3,'Coeff EC7'!$T$65:$X$85,2,0)*Model0.1C!DC189)/1.1</f>
        <v>#N/A</v>
      </c>
      <c r="DE189" s="102" t="e">
        <f>(VLOOKUP($B$3,'Coeff EC7'!$T$39:$X$59,3,0)*DB189+VLOOKUP($B$3,'Coeff EC7'!$T$65:$X$85,3,0)*Model0.1C!DC189)/0.9</f>
        <v>#N/A</v>
      </c>
      <c r="DF189" s="102" t="e">
        <f t="shared" si="286"/>
        <v>#N/A</v>
      </c>
      <c r="DG189" s="102" t="e">
        <f t="shared" si="287"/>
        <v>#N/A</v>
      </c>
      <c r="DH189" s="414" t="e">
        <f>IF(DH188=0,0,IF(AND(DD189&gt;charge_ELS_quasi,DE189&gt;Charge_ELS_freq,DF189&gt;charge_ELU,DG189&gt;charge_ELA,$B189&gt;NDC!$H$22-0.1+MIN(3*$DH$12,1.5)),0,1))</f>
        <v>#N/A</v>
      </c>
      <c r="DI189" s="86" t="b">
        <f t="shared" si="255"/>
        <v>0</v>
      </c>
      <c r="DJ189" s="86">
        <f t="shared" si="256"/>
        <v>0.5</v>
      </c>
      <c r="DK189" s="86">
        <f t="shared" si="257"/>
        <v>0.5</v>
      </c>
      <c r="DL189" s="30" t="e">
        <f t="shared" ca="1" si="288"/>
        <v>#DIV/0!</v>
      </c>
      <c r="DM189" s="85" t="e">
        <f ca="1">IF(CS189&lt;=Hypothèses!$V$7,Hypothèses!$W$7,IF(CS189&lt;=Hypothèses!$V$8,Hypothèses!$W$8,IF(CS189&lt;=Hypothèses!$V$9,Hypothèses!$W$9,IF(CS189&lt;=Hypothèses!$V$10,Hypothèses!$W$10,IF(CS189&lt;=Hypothèses!$V$11,Hypothèses!$W$11,IF(CS189&lt;=Hypothèses!$V$12,Hypothèses!$W$12,IF(CS189&lt;=Hypothèses!$V$13,Hypothèses!$W$13,IF(CS189&lt;=Hypothèses!$V$14,Hypothèses!$W$14,IF(CS189&lt;=Hypothèses!$V$15,Hypothèses!$W$15,IF(CS189&lt;=Hypothèses!$V$16,Hypothèses!$W$16,IF(CS189&lt;=Hypothèses!$V$17,Hypothèses!$W$17,IF(CS189&lt;=Hypothèses!$V$18,Hypothèses!$W$18,""))))))))))))</f>
        <v>#DIV/0!</v>
      </c>
      <c r="DN189" s="87" t="e">
        <f t="shared" ca="1" si="321"/>
        <v>#DIV/0!</v>
      </c>
      <c r="DO189" s="88" t="e">
        <f ca="1">IF(CS189&lt;=Hypothèses!$V$7,Hypothèses!$X$7,IF(CS189&lt;=Hypothèses!$V$8,Hypothèses!$X$8,IF(CS189&lt;=Hypothèses!$V$9,Hypothèses!$X$9,IF(CS189&lt;=Hypothèses!$V$10,Hypothèses!$X$10,IF(CS189&lt;=Hypothèses!$V$11,Hypothèses!$X$11,IF(CS189&lt;=Hypothèses!$V$12,Hypothèses!$X$12,IF(CS189&lt;=Hypothèses!$V$13,Hypothèses!$X$13,IF(CS189&lt;=Hypothèses!$V$14,Hypothèses!$X$14,IF(CS189&lt;=Hypothèses!$V$15,Hypothèses!$X$15,IF(CS189&lt;=Hypothèses!$V$16,Hypothèses!$X$16,IF(CS189&lt;=Hypothèses!$U$17,Hypothèses!$W$17,IF(CS189&lt;=Hypothèses!$U$18,Hypothèses!$W$18,""))))))))))))</f>
        <v>#DIV/0!</v>
      </c>
      <c r="DP189" s="95" t="e">
        <f t="shared" ca="1" si="289"/>
        <v>#DIV/0!</v>
      </c>
      <c r="DQ189" s="101" t="e">
        <f t="shared" si="328"/>
        <v>#N/A</v>
      </c>
      <c r="DR189" s="91" t="e">
        <f t="shared" si="258"/>
        <v>#N/A</v>
      </c>
      <c r="DS189" s="30" t="e">
        <f t="shared" si="310"/>
        <v>#N/A</v>
      </c>
      <c r="DT189" s="30" t="e">
        <f t="shared" si="311"/>
        <v>#N/A</v>
      </c>
      <c r="DU189" s="31" t="e">
        <f>IF(OR(Hypothèses!$B$4=17,Hypothèses!$B$4=18,Hypothèses!$B$4=19,Hypothèses!$B$4=20),
IF($D189="Pressio.",
IF(OR($E189=3,$E189=1,$E189=4),DT189,DS189),
IF($D189="Pénétro.",
IF(OR($E189=3,$E189=1,$E189=4),DT189,DS189))),IF($D189="Pressio.",
IF($E189=3,DT189,DS189),
IF($D189="Pénétro.",
IF($E189=4,DT189,DS189))))</f>
        <v>#N/A</v>
      </c>
      <c r="DV189" s="31" t="e">
        <f>(IF(OR(Hypothèses!$B$4=17,Hypothèses!$B$4=18,Hypothèses!$B$4=19,Hypothèses!$B$4=20),
IF($D189="Pressio.",
IF(OR($E189=3,$E189=1,$E189=4),(PI()*DV$12^2)/4*(DR189*$W189*1000)/($H189*$B$5),(PI()*DV$12^2)/4*(DR189*$W189*1000)/($G189*$B$5)),
IF($D189="Pénétro.",
IF(OR($E189=4,$E189=1,$E189=5),(PI()*DV$12^2)/4*(DR189*$W189*1000)/($H189*$B$5),(PI()*DV$12^2)/4*(DR189*$W189*1000)/($G189*$B$5)))),
IF($D189="Pressio.",
IF($E189=3,(PI()*DV$12^2)/4*(DR189*$W189*1000)/($H189*$B$5),(PI()*DV$12^2)/4*(DR189*$W189*1000)/($G189*$B$5)),
IF($D189="Pénétro.",
IF($E189=4,(PI()*DV$12^2)/4*(DR189*$W189*1000)/($H189*$B$5),(PI()*DV$12^2)/4*(DR189*$W189*1000)/($G189*$B$5))))))/10</f>
        <v>#N/A</v>
      </c>
      <c r="DW189" s="102" t="e">
        <f>(VLOOKUP($B$3,'Coeff EC7'!$T$39:$X$59,2,0)*DU189+VLOOKUP($B$3,'Coeff EC7'!$T$65:$X$85,2,0)*Model0.1C!DV189)/1.1</f>
        <v>#N/A</v>
      </c>
      <c r="DX189" s="102" t="e">
        <f>(VLOOKUP($B$3,'Coeff EC7'!$T$39:$X$59,3,0)*DU189+VLOOKUP($B$3,'Coeff EC7'!$T$65:$X$85,3,0)*Model0.1C!DV189)/0.9</f>
        <v>#N/A</v>
      </c>
      <c r="DY189" s="102" t="e">
        <f t="shared" si="290"/>
        <v>#N/A</v>
      </c>
      <c r="DZ189" s="102" t="e">
        <f t="shared" si="291"/>
        <v>#N/A</v>
      </c>
      <c r="EA189" s="414" t="e">
        <f>IF(EA188=0,0,IF(AND(DW189&gt;charge_ELS_quasi,DX189&gt;Charge_ELS_freq,DY189&gt;charge_ELU,DZ189&gt;charge_ELA,$B189&gt;NDC!$H$22-0.1+MIN(3*$EA$12,1.5)),0,1))</f>
        <v>#N/A</v>
      </c>
      <c r="EB189" s="86" t="b">
        <f t="shared" si="259"/>
        <v>0</v>
      </c>
      <c r="EC189" s="418">
        <f t="shared" si="260"/>
        <v>0.51</v>
      </c>
      <c r="ED189" s="86">
        <f t="shared" si="261"/>
        <v>0.51</v>
      </c>
      <c r="EE189" s="30" t="e">
        <f t="shared" ca="1" si="292"/>
        <v>#DIV/0!</v>
      </c>
      <c r="EF189" s="85" t="e">
        <f ca="1">IF(DL189&lt;=Hypothèses!$V$7,Hypothèses!$W$7,IF(DL189&lt;=Hypothèses!$V$8,Hypothèses!$W$8,IF(DL189&lt;=Hypothèses!$V$9,Hypothèses!$W$9,IF(DL189&lt;=Hypothèses!$V$10,Hypothèses!$W$10,IF(DL189&lt;=Hypothèses!$V$11,Hypothèses!$W$11,IF(DL189&lt;=Hypothèses!$V$12,Hypothèses!$W$12,IF(DL189&lt;=Hypothèses!$V$13,Hypothèses!$W$13,IF(DL189&lt;=Hypothèses!$V$14,Hypothèses!$W$14,IF(DL189&lt;=Hypothèses!$V$15,Hypothèses!$W$15,IF(DL189&lt;=Hypothèses!$V$16,Hypothèses!$W$16,IF(DL189&lt;=Hypothèses!$V$17,Hypothèses!$W$17,IF(DL189&lt;=Hypothèses!$V$18,Hypothèses!$W$18,""))))))))))))</f>
        <v>#DIV/0!</v>
      </c>
      <c r="EG189" s="87" t="e">
        <f t="shared" ca="1" si="322"/>
        <v>#DIV/0!</v>
      </c>
      <c r="EH189" s="88" t="e">
        <f ca="1">IF(DL189&lt;=Hypothèses!$V$7,Hypothèses!$X$7,IF(DL189&lt;=Hypothèses!$V$8,Hypothèses!$X$8,IF(DL189&lt;=Hypothèses!$V$9,Hypothèses!$X$9,IF(DL189&lt;=Hypothèses!$V$10,Hypothèses!$X$10,IF(DL189&lt;=Hypothèses!$V$11,Hypothèses!$X$11,IF(DL189&lt;=Hypothèses!$V$12,Hypothèses!$X$12,IF(DL189&lt;=Hypothèses!$V$13,Hypothèses!$X$13,IF(DL189&lt;=Hypothèses!$V$14,Hypothèses!$X$14,IF(DL189&lt;=Hypothèses!$V$15,Hypothèses!$X$15,IF(DL189&lt;=Hypothèses!$V$16,Hypothèses!$X$16,IF(DL189&lt;=Hypothèses!$U$17,Hypothèses!$W$17,IF(DL189&lt;=Hypothèses!$U$18,Hypothèses!$W$18,""))))))))))))</f>
        <v>#DIV/0!</v>
      </c>
      <c r="EI189" s="95" t="e">
        <f t="shared" ca="1" si="293"/>
        <v>#DIV/0!</v>
      </c>
      <c r="EJ189" s="101" t="e">
        <f t="shared" si="329"/>
        <v>#N/A</v>
      </c>
      <c r="EK189" s="91" t="e">
        <f t="shared" si="262"/>
        <v>#N/A</v>
      </c>
      <c r="EL189" s="30" t="e">
        <f t="shared" si="312"/>
        <v>#N/A</v>
      </c>
      <c r="EM189" s="30" t="e">
        <f t="shared" si="313"/>
        <v>#N/A</v>
      </c>
      <c r="EN189" s="31" t="e">
        <f>IF(OR(Hypothèses!$B$4=17,Hypothèses!$B$4=18,Hypothèses!$B$4=19,Hypothèses!$B$4=20),
IF($D189="Pressio.",
IF(OR($E189=3,$E189=1,$E189=4),EM189,EL189),
IF($D189="Pénétro.",
IF(OR($E189=3,$E189=1,$E189=4),EM189,EL189))),IF($D189="Pressio.",
IF($E189=3,EM189,EL189),
IF($D189="Pénétro.",
IF($E189=4,EM189,EL189))))</f>
        <v>#N/A</v>
      </c>
      <c r="EO189" s="31" t="e">
        <f>(IF(OR(Hypothèses!$B$4=17,Hypothèses!$B$4=18,Hypothèses!$B$4=19,Hypothèses!$B$4=20),
IF($D189="Pressio.",
IF(OR($E189=3,$E189=1,$E189=4),(PI()*EO$12^2)/4*(EK189*$W189*1000)/($H189*$B$5),(PI()*EO$12^2)/4*(EK189*$W189*1000)/($G189*$B$5)),
IF($D189="Pénétro.",
IF(OR($E189=4,$E189=1,$E189=5),(PI()*EO$12^2)/4*(EK189*$W189*1000)/($H189*$B$5),(PI()*EO$12^2)/4*(EK189*$W189*1000)/($G189*$B$5)))),
IF($D189="Pressio.",
IF($E189=3,(PI()*EO$12^2)/4*(EK189*$W189*1000)/($H189*$B$5),(PI()*EO$12^2)/4*(EK189*$W189*1000)/($G189*$B$5)),
IF($D189="Pénétro.",
IF($E189=4,(PI()*EO$12^2)/4*(EK189*$W189*1000)/($H189*$B$5),(PI()*EO$12^2)/4*(EK189*$W189*1000)/($G189*$B$5))))))/10</f>
        <v>#N/A</v>
      </c>
      <c r="EP189" s="102" t="e">
        <f>(VLOOKUP($B$3,'Coeff EC7'!$T$39:$X$59,2,0)*EN189+VLOOKUP($B$3,'Coeff EC7'!$T$65:$X$85,2,0)*Model0.1C!EO189)/1.1</f>
        <v>#N/A</v>
      </c>
      <c r="EQ189" s="102" t="e">
        <f>(VLOOKUP($B$3,'Coeff EC7'!$T$39:$X$59,3,0)*EN189+VLOOKUP($B$3,'Coeff EC7'!$T$65:$X$85,3,0)*Model0.1C!EO189)/0.9</f>
        <v>#N/A</v>
      </c>
      <c r="ER189" s="102" t="e">
        <f t="shared" si="294"/>
        <v>#N/A</v>
      </c>
      <c r="ES189" s="102" t="e">
        <f t="shared" si="295"/>
        <v>#N/A</v>
      </c>
      <c r="ET189" s="414" t="e">
        <f>IF(ET188=0,0,IF(AND(EP189&gt;charge_ELS_quasi,EQ189&gt;Charge_ELS_freq,ER189&gt;charge_ELU,ES189&gt;charge_ELA,$B189&gt;NDC!$H$22-0.1+MIN(3*$ET$12,1.5)),0,1))</f>
        <v>#N/A</v>
      </c>
      <c r="EU189" s="86" t="b">
        <f t="shared" si="263"/>
        <v>0</v>
      </c>
      <c r="EV189" s="86">
        <f t="shared" si="264"/>
        <v>0.61</v>
      </c>
      <c r="EW189" s="86">
        <f t="shared" si="265"/>
        <v>0.61</v>
      </c>
      <c r="EX189" s="30" t="e">
        <f t="shared" ca="1" si="296"/>
        <v>#DIV/0!</v>
      </c>
      <c r="EY189" s="85" t="e">
        <f ca="1">IF(EE189&lt;=Hypothèses!$V$7,Hypothèses!$W$7,IF(EE189&lt;=Hypothèses!$V$8,Hypothèses!$W$8,IF(EE189&lt;=Hypothèses!$V$9,Hypothèses!$W$9,IF(EE189&lt;=Hypothèses!$V$10,Hypothèses!$W$10,IF(EE189&lt;=Hypothèses!$V$11,Hypothèses!$W$11,IF(EE189&lt;=Hypothèses!$V$12,Hypothèses!$W$12,IF(EE189&lt;=Hypothèses!$V$13,Hypothèses!$W$13,IF(EE189&lt;=Hypothèses!$V$14,Hypothèses!$W$14,IF(EE189&lt;=Hypothèses!$V$15,Hypothèses!$W$15,IF(EE189&lt;=Hypothèses!$V$16,Hypothèses!$W$16,IF(EE189&lt;=Hypothèses!$V$17,Hypothèses!$W$17,IF(EE189&lt;=Hypothèses!$V$18,Hypothèses!$W$18,""))))))))))))</f>
        <v>#DIV/0!</v>
      </c>
      <c r="EZ189" s="87" t="e">
        <f t="shared" ca="1" si="323"/>
        <v>#DIV/0!</v>
      </c>
      <c r="FA189" s="88" t="e">
        <f ca="1">IF(EE189&lt;=Hypothèses!$V$7,Hypothèses!$X$7,IF(EE189&lt;=Hypothèses!$V$8,Hypothèses!$X$8,IF(EE189&lt;=Hypothèses!$V$9,Hypothèses!$X$9,IF(EE189&lt;=Hypothèses!$V$10,Hypothèses!$X$10,IF(EE189&lt;=Hypothèses!$V$11,Hypothèses!$X$11,IF(EE189&lt;=Hypothèses!$V$12,Hypothèses!$X$12,IF(EE189&lt;=Hypothèses!$V$13,Hypothèses!$X$13,IF(EE189&lt;=Hypothèses!$V$14,Hypothèses!$X$14,IF(EE189&lt;=Hypothèses!$V$15,Hypothèses!$X$15,IF(EE189&lt;=Hypothèses!$V$16,Hypothèses!$X$16,IF(EE189&lt;=Hypothèses!$U$17,Hypothèses!$W$17,IF(EE189&lt;=Hypothèses!$U$18,Hypothèses!$W$18,""))))))))))))</f>
        <v>#DIV/0!</v>
      </c>
      <c r="FB189" s="95" t="e">
        <f t="shared" ca="1" si="297"/>
        <v>#DIV/0!</v>
      </c>
      <c r="FC189" s="101" t="e">
        <f t="shared" si="330"/>
        <v>#N/A</v>
      </c>
      <c r="FD189" s="91" t="e">
        <f t="shared" si="266"/>
        <v>#N/A</v>
      </c>
      <c r="FE189" s="30" t="e">
        <f t="shared" si="314"/>
        <v>#N/A</v>
      </c>
      <c r="FF189" s="30" t="e">
        <f t="shared" si="315"/>
        <v>#N/A</v>
      </c>
      <c r="FG189" s="31" t="e">
        <f>IF(OR(Hypothèses!$B$4=17,Hypothèses!$B$4=18,Hypothèses!$B$4=19,Hypothèses!$B$4=20),
IF($D189="Pressio.",
IF(OR($E189=3,$E189=1,$E189=4),FF189,FE189),
IF($D189="Pénétro.",
IF(OR($E189=3,$E189=1,$E189=4),FF189,FE189))),IF($D189="Pressio.",
IF($E189=3,FF189,FE189),
IF($D189="Pénétro.",
IF($E189=4,FF189,FE189))))</f>
        <v>#N/A</v>
      </c>
      <c r="FH189" s="31" t="e">
        <f>(IF(OR(Hypothèses!$B$4=17,Hypothèses!$B$4=18,Hypothèses!$B$4=19,Hypothèses!$B$4=20),
IF($D189="Pressio.",
IF(OR($E189=3,$E189=1,$E189=4),(PI()*FH$12^2)/4*(FD189*$W189*1000)/($H189*$B$5),(PI()*FH$12^2)/4*(FD189*$W189*1000)/($G189*$B$5)),
IF($D189="Pénétro.",
IF(OR($E189=4,$E189=1,$E189=5),(PI()*FH$12^2)/4*(FD189*$W189*1000)/($H189*$B$5),(PI()*FH$12^2)/4*(FD189*$W189*1000)/($G189*$B$5)))),
IF($D189="Pressio.",
IF($E189=3,(PI()*FH$12^2)/4*(FD189*$W189*1000)/($H189*$B$5),(PI()*FH$12^2)/4*(FD189*$W189*1000)/($G189*$B$5)),
IF($D189="Pénétro.",
IF($E189=4,(PI()*FH$12^2)/4*(FD189*$W189*1000)/($H189*$B$5),(PI()*FH$12^2)/4*(FD189*$W189*1000)/($G189*$B$5))))))/10</f>
        <v>#N/A</v>
      </c>
      <c r="FI189" s="102" t="e">
        <f>(VLOOKUP($B$3,'Coeff EC7'!$T$39:$X$59,2,0)*FG189+VLOOKUP($B$3,'Coeff EC7'!$T$65:$X$85,2,0)*Model0.1C!FH189)/1.1</f>
        <v>#N/A</v>
      </c>
      <c r="FJ189" s="102" t="e">
        <f>(VLOOKUP($B$3,'Coeff EC7'!$T$39:$X$59,3,0)*FG189+VLOOKUP($B$3,'Coeff EC7'!$T$65:$X$85,3,0)*Model0.1C!FH189)/0.9</f>
        <v>#N/A</v>
      </c>
      <c r="FK189" s="102" t="e">
        <f t="shared" si="298"/>
        <v>#N/A</v>
      </c>
      <c r="FL189" s="102" t="e">
        <f t="shared" si="299"/>
        <v>#N/A</v>
      </c>
      <c r="FM189" s="414" t="e">
        <f>IF(FM188=0,0,IF(AND(FI189&gt;charge_ELS_quasi,FJ189&gt;Charge_ELS_freq,FK189&gt;charge_ELU,FL189&gt;charge_ELA,$B189&gt;NDC!$H$22-0.1+MIN(3*$FM$12,1.5)),0,1))</f>
        <v>#N/A</v>
      </c>
    </row>
    <row r="190" spans="1:169">
      <c r="A190" s="96">
        <f t="shared" si="267"/>
        <v>82.300000000001006</v>
      </c>
      <c r="B190" s="97">
        <v>17.7</v>
      </c>
      <c r="C190" s="81">
        <f>IF(B190&lt;=Hypothèses!$C$7,Hypothèses!$A$7,IF(B190&lt;=Hypothèses!$C$8,Hypothèses!$A$8,IF(B190&lt;=Hypothèses!$C$9,Hypothèses!$A$9,IF(B190&lt;=Hypothèses!$C$10,Hypothèses!$A$10,IF(B190&lt;=Hypothèses!$C$11,Hypothèses!$A$11,IF(B190&lt;=Hypothèses!$C$12,Hypothèses!$A$12,IF(B190&lt;=Hypothèses!$C$13,Hypothèses!$A$13,IF(B190&lt;=Hypothèses!$C$14,Hypothèses!$A$14,IF(B190&lt;=Hypothèses!$C$15,Hypothèses!$A$15,IF(B190&lt;=Hypothèses!$C$16,Hypothèses!$A$16,IF(B190&lt;=Hypothèses!$C$17,Hypothèses!$A$17,IF(B190&lt;=Hypothèses!$C$18,Hypothèses!$A$18,C189))))))))))))</f>
        <v>11</v>
      </c>
      <c r="D190" s="82" t="str">
        <f>IF(B190&lt;=Hypothèses!$C$7,Hypothèses!$R$7,IF(B190&lt;=Hypothèses!$C$8,Hypothèses!$R$8,IF(B190&lt;=Hypothèses!$C$9,Hypothèses!$R$9,IF(B190&lt;=Hypothèses!$C$10,Hypothèses!$R$10,IF(B190&lt;=Hypothèses!$C$11,Hypothèses!$R$11,IF(B190&lt;=Hypothèses!$C$12,Hypothèses!$R$12,IF(B190&lt;=Hypothèses!$C$13,Hypothèses!$R$13,IF(B190&lt;=Hypothèses!$C$14,Hypothèses!$R$14,IF(B190&lt;=Hypothèses!$C$15,Hypothèses!$R$15,IF(B190&lt;=Hypothèses!$C$16,Hypothèses!$R$16,IF(B190&lt;=Hypothèses!$C$17,Hypothèses!$R$17,IF(B190&lt;=Hypothèses!$C$18,Hypothèses!$R$18,D189))))))))))))</f>
        <v>Pressio.</v>
      </c>
      <c r="E190" s="82" t="e">
        <f>IF(B190&lt;=Hypothèses!$C$7,Hypothèses!$G$7,IF(B190&lt;=Hypothèses!$C$8,Hypothèses!$G$8,IF(B190&lt;=Hypothèses!$C$9,Hypothèses!$G$9,IF(B190&lt;=Hypothèses!$C$10,Hypothèses!$G$10,IF(B190&lt;=Hypothèses!$C$11,Hypothèses!$G$11,IF(B190&lt;=Hypothèses!$C$12,Hypothèses!$G$12,IF(B190&lt;=Hypothèses!$C$13,Hypothèses!$G$13,IF(B190&lt;=Hypothèses!$C$14,Hypothèses!$G$14,IF(B190&lt;=Hypothèses!$C$15,Hypothèses!$G$15,IF(B190&lt;=Hypothèses!$C$16,Hypothèses!$G$16,IF(B190&lt;=Hypothèses!$C$17,Hypothèses!$G$17,IF(B190&lt;=Hypothèses!$C$18,Hypothèses!$G$18,E189))))))))))))</f>
        <v>#N/A</v>
      </c>
      <c r="F190" s="82" t="str">
        <f>IF(B190&lt;=Hypothèses!$C$7,Hypothèses!$F$7,IF(B190&lt;=Hypothèses!$C$8,Hypothèses!$F$8,IF(B190&lt;=Hypothèses!$C$9,Hypothèses!$F$9,IF(B190&lt;=Hypothèses!$C$10,Hypothèses!$F$10,IF(B190&lt;=Hypothèses!$C$11,Hypothèses!$F$11,IF(B190&lt;=Hypothèses!$C$12,Hypothèses!$F$12,IF(B190&lt;=Hypothèses!$C$13,Hypothèses!$F$13,IF(B190&lt;=Hypothèses!$C$14,Hypothèses!$F$14,IF(B190&lt;=Hypothèses!$C$15,Hypothèses!$F$15,IF(B190&lt;=Hypothèses!$C$16,Hypothèses!$F$16,IF(B190&lt;=Hypothèses!$C$17,Hypothèses!$F$17,IF(B190&lt;=Hypothèses!$C$18,Hypothèses!$F$18,F189))))))))))))</f>
        <v/>
      </c>
      <c r="G190" s="91">
        <f t="array" ref="G190">INDEX('Coeff EC7'!$U$7:$X$27,
MATCH(Model0.1C!$B$3,'Coeff EC7'!$T$7:$T$27,0),
MATCH(Model0.1C!$D190&amp;Model0.1C!$B$4,
'Coeff EC7'!$U$6:$X$6&amp;
'Coeff EC7'!$U$5:$X$5,0))</f>
        <v>1.1499999999999999</v>
      </c>
      <c r="H190" s="91">
        <f t="array" ref="H190">INDEX('Coeff EC7'!$Y$7:$AB$27,
MATCH(Model0.1C!$B$3,'Coeff EC7'!$T$7:$T$27,0),
MATCH(Model0.1C!$D190&amp;Model0.1C!$B$4,
'Coeff EC7'!$Y$6:$AB$6&amp;
'Coeff EC7'!$Y$5:$AB$5,0))</f>
        <v>1.4</v>
      </c>
      <c r="I190" s="83" t="e">
        <f>IF(B190&lt;=Hypothèses!$C$7,Hypothèses!$P$7,IF(B190&lt;=Hypothèses!$C$8,Hypothèses!$P$8,IF(B190&lt;=Hypothèses!$C$9,Hypothèses!$P$9,IF(B190&lt;=Hypothèses!$C$10,Hypothèses!$P$10,IF(B190&lt;=Hypothèses!$C$11,Hypothèses!$P$11,IF(B190&lt;=Hypothèses!$C$12,Hypothèses!$P$12,IF(B190&lt;=Hypothèses!$C$13,Hypothèses!$P$13,IF(B190&lt;=Hypothèses!$C$14,Hypothèses!$P$14,IF(B190&lt;=Hypothèses!$C$15,Hypothèses!$P$15,IF(B190&lt;=Hypothèses!$C$16,Hypothèses!$P$16,IF(B190&lt;=Hypothèses!$C$17,Hypothèses!$P$17,IF(B190&lt;=Hypothèses!$C$18,Hypothèses!$P$18,I189))))))))))))</f>
        <v>#N/A</v>
      </c>
      <c r="J190" s="91" t="e">
        <f t="array" ref="J190">INDEX('Coeff EC7'!$D$33:$Q$33,1,MATCH(D190&amp;E190,'Coeff EC7'!$D$31:$Q$31&amp;'Coeff EC7'!$D$32:$Q$32,0))</f>
        <v>#N/A</v>
      </c>
      <c r="K190" s="91" t="e">
        <f t="array" ref="K190">INDEX('Coeff EC7'!$D$34:$Q$34,1,MATCH(D190&amp;E190,'Coeff EC7'!$D$31:$Q$31&amp;'Coeff EC7'!$D$32:$Q$32,0))</f>
        <v>#N/A</v>
      </c>
      <c r="L190" s="91" t="e">
        <f t="array" ref="L190">INDEX('Coeff EC7'!$D$35:$Q$35,1,MATCH(D190&amp;E190,'Coeff EC7'!$D$31:$Q$31&amp;'Coeff EC7'!$D$32:$Q$32,0))</f>
        <v>#N/A</v>
      </c>
      <c r="M190" s="98" t="e">
        <f t="shared" si="231"/>
        <v>#N/A</v>
      </c>
      <c r="N190" s="99" t="e">
        <f t="array" ref="N190">INDEX('Coeff EC7'!$D$7:$Q$27,MATCH($B$3,'Coeff EC7'!$C$7:$C$27,0),MATCH(D190&amp;E190,'Coeff EC7'!$D$5:$Q$5&amp;'Coeff EC7'!$D$6:$Q$6,0))</f>
        <v>#N/A</v>
      </c>
      <c r="O190" s="99" t="e">
        <f t="array" ref="O190">INDEX('Coeff EC7'!$D$41:$Q$61,MATCH($B$3,'Coeff EC7'!$C$41:$C$61,0),MATCH(D190&amp;E190,'Coeff EC7'!$D$39:$Q$39&amp;'Coeff EC7'!$D$40:$Q$40,0))</f>
        <v>#N/A</v>
      </c>
      <c r="P190" s="30" t="e">
        <f t="shared" si="268"/>
        <v>#N/A</v>
      </c>
      <c r="Q190" s="100" t="e">
        <f t="shared" si="233"/>
        <v>#N/A</v>
      </c>
      <c r="R190" s="86" t="b">
        <f t="shared" si="234"/>
        <v>0</v>
      </c>
      <c r="S190" s="86">
        <f t="shared" si="232"/>
        <v>0.5</v>
      </c>
      <c r="T190" s="86">
        <f t="shared" si="235"/>
        <v>0.5</v>
      </c>
      <c r="U190" s="30" t="e">
        <f t="shared" ca="1" si="269"/>
        <v>#DIV/0!</v>
      </c>
      <c r="V190" s="85" t="str">
        <f>IF(B190&lt;=Hypothèses!$V$7,Hypothèses!$W$7,IF(B190&lt;=Hypothèses!$V$8,Hypothèses!$W$8,IF(B190&lt;=Hypothèses!$V$9,Hypothèses!$W$9,IF(B190&lt;=Hypothèses!$V$10,Hypothèses!$W$10,IF(B190&lt;=Hypothèses!$V$11,Hypothèses!$W$11,IF(B190&lt;=Hypothèses!$V$12,Hypothèses!$W$12,IF(B190&lt;=Hypothèses!$V$13,Hypothèses!$W$13,IF(B190&lt;=Hypothèses!$V$14,Hypothèses!$W$14,IF(B190&lt;=Hypothèses!$V$15,Hypothèses!$W$15,IF(B190&lt;=Hypothèses!$V$16,Hypothèses!$W$16,IF(B190&lt;=Hypothèses!$V$17,Hypothèses!$W$17,IF(B190&lt;=Hypothèses!$V$18,Hypothèses!$W$18,""))))))))))))</f>
        <v/>
      </c>
      <c r="W190" s="87" t="e">
        <f t="shared" ca="1" si="316"/>
        <v>#DIV/0!</v>
      </c>
      <c r="X190" s="88" t="str">
        <f>IF(B190&lt;=Hypothèses!$V$7,Hypothèses!$X$7,IF(B190&lt;=Hypothèses!$V$8,Hypothèses!$X$8,IF(B190&lt;=Hypothèses!$V$9,Hypothèses!$X$9,IF(B190&lt;=Hypothèses!$V$10,Hypothèses!$X$10,IF(B190&lt;=Hypothèses!$V$11,Hypothèses!$X$11,IF(B190&lt;=Hypothèses!$V$12,Hypothèses!$X$12,IF(B190&lt;=Hypothèses!$V$13,Hypothèses!$X$13,IF(B190&lt;=Hypothèses!$V$14,Hypothèses!$X$14,IF(B190&lt;=Hypothèses!$V$15,Hypothèses!$X$15,IF(B190&lt;=Hypothèses!$V$16,Hypothèses!$X$16,IF(B190&lt;=Hypothèses!$U$17,Hypothèses!$W$17,IF(B190&lt;=Hypothèses!$U$18,Hypothèses!$W$18,""))))))))))))</f>
        <v/>
      </c>
      <c r="Y190" s="95" t="e">
        <f t="shared" ca="1" si="236"/>
        <v>#DIV/0!</v>
      </c>
      <c r="Z190" s="101" t="e">
        <f t="shared" si="237"/>
        <v>#N/A</v>
      </c>
      <c r="AA190" s="91" t="e">
        <f t="shared" si="238"/>
        <v>#N/A</v>
      </c>
      <c r="AB190" s="30" t="e">
        <f t="shared" si="300"/>
        <v>#N/A</v>
      </c>
      <c r="AC190" s="30" t="e">
        <f t="shared" si="301"/>
        <v>#N/A</v>
      </c>
      <c r="AD190" s="31" t="e">
        <f>IF(OR(Hypothèses!$B$4=17,Hypothèses!$B$4=18,Hypothèses!$B$4=19,Hypothèses!$B$4=20),
IF($D190="Pressio.",
IF(OR($E190=3,$E190=1,$E190=4),AC190,AB190),
IF($D190="Pénétro.",
IF(OR($E190=3,$E190=1,$E190=4),AC190,AB190))),IF($D190="Pressio.",
IF($E190=3,AC190,AB190),
IF($D190="Pénétro.",
IF($E190=4,AC190,AB190))))</f>
        <v>#N/A</v>
      </c>
      <c r="AE190" s="31" t="e">
        <f>(IF(OR(Hypothèses!$B$4=17,Hypothèses!$B$4=18,Hypothèses!$B$4=19,Hypothèses!$B$4=20),
IF($D190="Pressio.",
IF(OR($E190=3,$E190=1,$E190=4),(PI()*AE$12^2)/4*(AA190*$W190*1000)/($H190*$B$5),(PI()*AE$12^2)/4*(AA190*$W190*1000)/($G190*$B$5)),
IF($D190="Pénétro.",
IF(OR($E190=4,$E190=1,$E190=5),(PI()*AE$12^2)/4*(AA190*$W190*1000)/($H190*$B$5),(PI()*AE$12^2)/4*(AA190*$W190*1000)/($G190*$B$5)))),
IF($D190="Pressio.",
IF($E190=3,(PI()*AE$12^2)/4*(AA190*$W190*1000)/($H190*$B$5),(PI()*AE$12^2)/4*(AA190*$W190*1000)/($G190*$B$5)),
IF($D190="Pénétro.",
IF($E190=4,(PI()*AE$12^2)/4*(AA190*$W190*1000)/($H190*$B$5),(PI()*AE$12^2)/4*(AA190*$W190*1000)/($G190*$B$5))))))/10</f>
        <v>#N/A</v>
      </c>
      <c r="AF190" s="102" t="e">
        <f>(VLOOKUP($B$3,'Coeff EC7'!$T$39:$X$59,2,0)*AD190+VLOOKUP($B$3,'Coeff EC7'!$T$65:$X$85,2,0)*Model0.1C!AE190)/1.1</f>
        <v>#N/A</v>
      </c>
      <c r="AG190" s="102" t="e">
        <f>(VLOOKUP($B$3,'Coeff EC7'!$T$39:$X$59,3,0)*AD190+VLOOKUP($B$3,'Coeff EC7'!$T$65:$X$85,3,0)*Model0.1C!AE190)/0.9</f>
        <v>#N/A</v>
      </c>
      <c r="AH190" s="102" t="e">
        <f t="shared" si="239"/>
        <v>#N/A</v>
      </c>
      <c r="AI190" s="102" t="e">
        <f t="shared" si="240"/>
        <v>#N/A</v>
      </c>
      <c r="AJ190" s="414" t="e">
        <f>IF(AJ189=0,0,IF(AND(AF190&gt;charge_ELS_quasi,AG190&gt;Charge_ELS_freq,AH190&gt;charge_ELU,AI190&gt;charge_ELA,$B190&gt;NDC!$H$22-0.1+MIN(3*$AJ$12,1.5)),0,1))</f>
        <v>#N/A</v>
      </c>
      <c r="AK190" s="86" t="b">
        <f t="shared" si="241"/>
        <v>0</v>
      </c>
      <c r="AL190" s="86">
        <f t="shared" si="270"/>
        <v>0.5</v>
      </c>
      <c r="AM190" s="86">
        <f t="shared" si="242"/>
        <v>0.5</v>
      </c>
      <c r="AN190" s="30" t="e">
        <f t="shared" ca="1" si="271"/>
        <v>#DIV/0!</v>
      </c>
      <c r="AO190" s="85" t="e">
        <f ca="1">IF(U190&lt;=Hypothèses!$V$7,Hypothèses!$W$7,IF(U190&lt;=Hypothèses!$V$8,Hypothèses!$W$8,IF(U190&lt;=Hypothèses!$V$9,Hypothèses!$W$9,IF(U190&lt;=Hypothèses!$V$10,Hypothèses!$W$10,IF(U190&lt;=Hypothèses!$V$11,Hypothèses!$W$11,IF(U190&lt;=Hypothèses!$V$12,Hypothèses!$W$12,IF(U190&lt;=Hypothèses!$V$13,Hypothèses!$W$13,IF(U190&lt;=Hypothèses!$V$14,Hypothèses!$W$14,IF(U190&lt;=Hypothèses!$V$15,Hypothèses!$W$15,IF(U190&lt;=Hypothèses!$V$16,Hypothèses!$W$16,IF(U190&lt;=Hypothèses!$V$17,Hypothèses!$W$17,IF(U190&lt;=Hypothèses!$V$18,Hypothèses!$W$18,""))))))))))))</f>
        <v>#DIV/0!</v>
      </c>
      <c r="AP190" s="87" t="e">
        <f t="shared" ca="1" si="317"/>
        <v>#DIV/0!</v>
      </c>
      <c r="AQ190" s="88" t="e">
        <f ca="1">IF(U190&lt;=Hypothèses!$V$7,Hypothèses!$X$7,IF(U190&lt;=Hypothèses!$V$8,Hypothèses!$X$8,IF(U190&lt;=Hypothèses!$V$9,Hypothèses!$X$9,IF(U190&lt;=Hypothèses!$V$10,Hypothèses!$X$10,IF(U190&lt;=Hypothèses!$V$11,Hypothèses!$X$11,IF(U190&lt;=Hypothèses!$V$12,Hypothèses!$X$12,IF(U190&lt;=Hypothèses!$V$13,Hypothèses!$X$13,IF(U190&lt;=Hypothèses!$V$14,Hypothèses!$X$14,IF(U190&lt;=Hypothèses!$V$15,Hypothèses!$X$15,IF(U190&lt;=Hypothèses!$V$16,Hypothèses!$X$16,IF(U190&lt;=Hypothèses!$U$17,Hypothèses!$W$17,IF(U190&lt;=Hypothèses!$U$18,Hypothèses!$W$18,""))))))))))))</f>
        <v>#DIV/0!</v>
      </c>
      <c r="AR190" s="95" t="e">
        <f t="shared" ca="1" si="272"/>
        <v>#DIV/0!</v>
      </c>
      <c r="AS190" s="101" t="e">
        <f t="shared" si="324"/>
        <v>#N/A</v>
      </c>
      <c r="AT190" s="91" t="e">
        <f t="shared" si="243"/>
        <v>#N/A</v>
      </c>
      <c r="AU190" s="30" t="e">
        <f t="shared" si="302"/>
        <v>#N/A</v>
      </c>
      <c r="AV190" s="30" t="e">
        <f t="shared" si="303"/>
        <v>#N/A</v>
      </c>
      <c r="AW190" s="31" t="e">
        <f>IF(OR(Hypothèses!$B$4=17,Hypothèses!$B$4=18,Hypothèses!$B$4=19,Hypothèses!$B$4=20),
IF($D190="Pressio.",
IF(OR($E190=3,$E190=1,$E190=4),AV190,AU190),
IF($D190="Pénétro.",
IF(OR($E190=3,$E190=1,$E190=4),AV190,AU190))),IF($D190="Pressio.",
IF($E190=3,AV190,AU190),
IF($D190="Pénétro.",
IF($E190=4,AV190,AU190))))</f>
        <v>#N/A</v>
      </c>
      <c r="AX190" s="31" t="e">
        <f>(IF(OR(Hypothèses!$B$4=17,Hypothèses!$B$4=18,Hypothèses!$B$4=19,Hypothèses!$B$4=20),
IF($D190="Pressio.",
IF(OR($E190=3,$E190=1,$E190=4),(PI()*AX$12^2)/4*(AT190*$W190*1000)/($H190*$B$5),(PI()*AX$12^2)/4*(AT190*$W190*1000)/($G190*$B$5)),
IF($D190="Pénétro.",
IF(OR($E190=4,$E190=1,$E190=5),(PI()*AX$12^2)/4*(AT190*$W190*1000)/($H190*$B$5),(PI()*AX$12^2)/4*(AT190*$W190*1000)/($G190*$B$5)))),
IF($D190="Pressio.",
IF($E190=3,(PI()*AX$12^2)/4*(AT190*$W190*1000)/($H190*$B$5),(PI()*AX$12^2)/4*(AT190*$W190*1000)/($G190*$B$5)),
IF($D190="Pénétro.",
IF($E190=4,(PI()*AX$12^2)/4*(AT190*$W190*1000)/($H190*$B$5),(PI()*AX$12^2)/4*(AT190*$W190*1000)/($G190*$B$5))))))/10</f>
        <v>#N/A</v>
      </c>
      <c r="AY190" s="102" t="e">
        <f>(VLOOKUP($B$3,'Coeff EC7'!$T$39:$X$59,2,0)*AW190+VLOOKUP($B$3,'Coeff EC7'!$T$65:$X$85,2,0)*Model0.1C!AX190)/1.1</f>
        <v>#N/A</v>
      </c>
      <c r="AZ190" s="102" t="e">
        <f>(VLOOKUP($B$3,'Coeff EC7'!$T$39:$X$59,3,0)*AW190+VLOOKUP($B$3,'Coeff EC7'!$T$65:$X$85,3,0)*Model0.1C!AX190)/0.9</f>
        <v>#N/A</v>
      </c>
      <c r="BA190" s="102" t="e">
        <f t="shared" si="273"/>
        <v>#N/A</v>
      </c>
      <c r="BB190" s="102" t="e">
        <f t="shared" si="274"/>
        <v>#N/A</v>
      </c>
      <c r="BC190" s="414" t="e">
        <f>IF(BC189=0,0,IF(AND(AY190&gt;charge_ELS_quasi,AZ190&gt;Charge_ELS_freq,BA190&gt;charge_ELU,BB190&gt;charge_ELA,$B190&gt;NDC!$H$22-0.1+MIN(3*$BC$12,1.5)),0,1))</f>
        <v>#N/A</v>
      </c>
      <c r="BD190" s="86" t="b">
        <f t="shared" si="244"/>
        <v>0</v>
      </c>
      <c r="BE190" s="86">
        <f t="shared" si="275"/>
        <v>0.5</v>
      </c>
      <c r="BF190" s="86">
        <f t="shared" si="245"/>
        <v>0.5</v>
      </c>
      <c r="BG190" s="30" t="e">
        <f t="shared" ca="1" si="276"/>
        <v>#DIV/0!</v>
      </c>
      <c r="BH190" s="85" t="e">
        <f ca="1">IF(AN190&lt;=Hypothèses!$V$7,Hypothèses!$W$7,IF(AN190&lt;=Hypothèses!$V$8,Hypothèses!$W$8,IF(AN190&lt;=Hypothèses!$V$9,Hypothèses!$W$9,IF(AN190&lt;=Hypothèses!$V$10,Hypothèses!$W$10,IF(AN190&lt;=Hypothèses!$V$11,Hypothèses!$W$11,IF(AN190&lt;=Hypothèses!$V$12,Hypothèses!$W$12,IF(AN190&lt;=Hypothèses!$V$13,Hypothèses!$W$13,IF(AN190&lt;=Hypothèses!$V$14,Hypothèses!$W$14,IF(AN190&lt;=Hypothèses!$V$15,Hypothèses!$W$15,IF(AN190&lt;=Hypothèses!$V$16,Hypothèses!$W$16,IF(AN190&lt;=Hypothèses!$V$17,Hypothèses!$W$17,IF(AN190&lt;=Hypothèses!$V$18,Hypothèses!$W$18,""))))))))))))</f>
        <v>#DIV/0!</v>
      </c>
      <c r="BI190" s="87" t="e">
        <f t="shared" ca="1" si="318"/>
        <v>#DIV/0!</v>
      </c>
      <c r="BJ190" s="88" t="e">
        <f ca="1">IF(AN190&lt;=Hypothèses!$V$7,Hypothèses!$X$7,IF(AN190&lt;=Hypothèses!$V$8,Hypothèses!$X$8,IF(AN190&lt;=Hypothèses!$V$9,Hypothèses!$X$9,IF(AN190&lt;=Hypothèses!$V$10,Hypothèses!$X$10,IF(AN190&lt;=Hypothèses!$V$11,Hypothèses!$X$11,IF(AN190&lt;=Hypothèses!$V$12,Hypothèses!$X$12,IF(AN190&lt;=Hypothèses!$V$13,Hypothèses!$X$13,IF(AN190&lt;=Hypothèses!$V$14,Hypothèses!$X$14,IF(AN190&lt;=Hypothèses!$V$15,Hypothèses!$X$15,IF(AN190&lt;=Hypothèses!$V$16,Hypothèses!$X$16,IF(AN190&lt;=Hypothèses!$U$17,Hypothèses!$W$17,IF(AN190&lt;=Hypothèses!$U$18,Hypothèses!$W$18,""))))))))))))</f>
        <v>#DIV/0!</v>
      </c>
      <c r="BK190" s="95" t="e">
        <f t="shared" ca="1" si="277"/>
        <v>#DIV/0!</v>
      </c>
      <c r="BL190" s="101" t="e">
        <f t="shared" si="325"/>
        <v>#N/A</v>
      </c>
      <c r="BM190" s="91" t="e">
        <f t="shared" si="246"/>
        <v>#N/A</v>
      </c>
      <c r="BN190" s="30" t="e">
        <f t="shared" si="304"/>
        <v>#N/A</v>
      </c>
      <c r="BO190" s="30" t="e">
        <f t="shared" si="305"/>
        <v>#N/A</v>
      </c>
      <c r="BP190" s="31" t="e">
        <f>IF(OR(Hypothèses!$B$4=17,Hypothèses!$B$4=18,Hypothèses!$B$4=19,Hypothèses!$B$4=20),
IF($D190="Pressio.",
IF(OR($E190=3,$E190=1,$E190=4),BO190,BN190),
IF($D190="Pénétro.",
IF(OR($E190=3,$E190=1,$E190=4),BO190,BN190))),IF($D190="Pressio.",
IF($E190=3,BO190,BN190),
IF($D190="Pénétro.",
IF($E190=4,BO190,BN190))))</f>
        <v>#N/A</v>
      </c>
      <c r="BQ190" s="31" t="e">
        <f>(IF(OR(Hypothèses!$B$4=17,Hypothèses!$B$4=18,Hypothèses!$B$4=19,Hypothèses!$B$4=20),
IF($D190="Pressio.",
IF(OR($E190=3,$E190=1,$E190=4),(PI()*BQ$12^2)/4*(BM190*$W190*1000)/($H190*$B$5),(PI()*BQ$12^2)/4*(BM190*$W190*1000)/($G190*$B$5)),
IF($D190="Pénétro.",
IF(OR($E190=4,$E190=1,$E190=5),(PI()*BQ$12^2)/4*(BM190*$W190*1000)/($H190*$B$5),(PI()*BQ$12^2)/4*(BM190*$W190*1000)/($G190*$B$5)))),
IF($D190="Pressio.",
IF($E190=3,(PI()*BQ$12^2)/4*(BM190*$W190*1000)/($H190*$B$5),(PI()*BQ$12^2)/4*(BM190*$W190*1000)/($G190*$B$5)),
IF($D190="Pénétro.",
IF($E190=4,(PI()*BQ$12^2)/4*(BM190*$W190*1000)/($H190*$B$5),(PI()*BQ$12^2)/4*(BM190*$W190*1000)/($G190*$B$5))))))/10</f>
        <v>#N/A</v>
      </c>
      <c r="BR190" s="102" t="e">
        <f>(VLOOKUP($B$3,'Coeff EC7'!$T$39:$X$59,2,0)*BP190+VLOOKUP($B$3,'Coeff EC7'!$T$65:$X$85,2,0)*Model0.1C!BQ190)/1.1</f>
        <v>#N/A</v>
      </c>
      <c r="BS190" s="102" t="e">
        <f>(VLOOKUP($B$3,'Coeff EC7'!$T$39:$X$59,3,0)*BP190+VLOOKUP($B$3,'Coeff EC7'!$T$65:$X$85,3,0)*Model0.1C!BQ190)/0.9</f>
        <v>#N/A</v>
      </c>
      <c r="BT190" s="102" t="e">
        <f t="shared" si="278"/>
        <v>#N/A</v>
      </c>
      <c r="BU190" s="102" t="e">
        <f t="shared" si="279"/>
        <v>#N/A</v>
      </c>
      <c r="BV190" s="414" t="e">
        <f>IF(BV189=0,0,IF(AND(BR190&gt;charge_ELS_quasi,BS190&gt;Charge_ELS_freq,BT190&gt;charge_ELU,BU190&gt;charge_ELA,$B190&gt;NDC!$H$22-0.1+MIN(3*$BV$12,1.5)),0,1))</f>
        <v>#N/A</v>
      </c>
      <c r="BW190" s="86" t="b">
        <f t="shared" si="247"/>
        <v>0</v>
      </c>
      <c r="BX190" s="86">
        <f t="shared" si="248"/>
        <v>0.5</v>
      </c>
      <c r="BY190" s="86">
        <f t="shared" si="249"/>
        <v>0.5</v>
      </c>
      <c r="BZ190" s="30" t="e">
        <f t="shared" ca="1" si="280"/>
        <v>#DIV/0!</v>
      </c>
      <c r="CA190" s="85" t="e">
        <f ca="1">IF(BG190&lt;=Hypothèses!$V$7,Hypothèses!$W$7,IF(BG190&lt;=Hypothèses!$V$8,Hypothèses!$W$8,IF(BG190&lt;=Hypothèses!$V$9,Hypothèses!$W$9,IF(BG190&lt;=Hypothèses!$V$10,Hypothèses!$W$10,IF(BG190&lt;=Hypothèses!$V$11,Hypothèses!$W$11,IF(BG190&lt;=Hypothèses!$V$12,Hypothèses!$W$12,IF(BG190&lt;=Hypothèses!$V$13,Hypothèses!$W$13,IF(BG190&lt;=Hypothèses!$V$14,Hypothèses!$W$14,IF(BG190&lt;=Hypothèses!$V$15,Hypothèses!$W$15,IF(BG190&lt;=Hypothèses!$V$16,Hypothèses!$W$16,IF(BG190&lt;=Hypothèses!$V$17,Hypothèses!$W$17,IF(BG190&lt;=Hypothèses!$V$18,Hypothèses!$W$18,""))))))))))))</f>
        <v>#DIV/0!</v>
      </c>
      <c r="CB190" s="87" t="e">
        <f t="shared" ca="1" si="319"/>
        <v>#DIV/0!</v>
      </c>
      <c r="CC190" s="88" t="e">
        <f ca="1">IF(BG190&lt;=Hypothèses!$V$7,Hypothèses!$X$7,IF(BG190&lt;=Hypothèses!$V$8,Hypothèses!$X$8,IF(BG190&lt;=Hypothèses!$V$9,Hypothèses!$X$9,IF(BG190&lt;=Hypothèses!$V$10,Hypothèses!$X$10,IF(BG190&lt;=Hypothèses!$V$11,Hypothèses!$X$11,IF(BG190&lt;=Hypothèses!$V$12,Hypothèses!$X$12,IF(BG190&lt;=Hypothèses!$V$13,Hypothèses!$X$13,IF(BG190&lt;=Hypothèses!$V$14,Hypothèses!$X$14,IF(BG190&lt;=Hypothèses!$V$15,Hypothèses!$X$15,IF(BG190&lt;=Hypothèses!$V$16,Hypothèses!$X$16,IF(BG190&lt;=Hypothèses!$U$17,Hypothèses!$W$17,IF(BG190&lt;=Hypothèses!$U$18,Hypothèses!$W$18,""))))))))))))</f>
        <v>#DIV/0!</v>
      </c>
      <c r="CD190" s="95" t="e">
        <f t="shared" ca="1" si="281"/>
        <v>#DIV/0!</v>
      </c>
      <c r="CE190" s="101" t="e">
        <f t="shared" si="326"/>
        <v>#N/A</v>
      </c>
      <c r="CF190" s="91" t="e">
        <f t="shared" si="250"/>
        <v>#N/A</v>
      </c>
      <c r="CG190" s="30" t="e">
        <f t="shared" si="306"/>
        <v>#N/A</v>
      </c>
      <c r="CH190" s="30" t="e">
        <f t="shared" si="307"/>
        <v>#N/A</v>
      </c>
      <c r="CI190" s="31" t="e">
        <f>IF(OR(Hypothèses!$B$4=17,Hypothèses!$B$4=18,Hypothèses!$B$4=19,Hypothèses!$B$4=20),
IF($D190="Pressio.",
IF(OR($E190=3,$E190=1,$E190=4),CH190,CG190),
IF($D190="Pénétro.",
IF(OR($E190=3,$E190=1,$E190=4),CH190,CG190))),IF($D190="Pressio.",
IF($E190=3,CH190,CG190),
IF($D190="Pénétro.",
IF($E190=4,CH190,CG190))))</f>
        <v>#N/A</v>
      </c>
      <c r="CJ190" s="31" t="e">
        <f>(IF(OR(Hypothèses!$B$4=17,Hypothèses!$B$4=18,Hypothèses!$B$4=19,Hypothèses!$B$4=20),
IF($D190="Pressio.",
IF(OR($E190=3,$E190=1,$E190=4),(PI()*CJ$12^2)/4*(CF190*$W190*1000)/($H190*$B$5),(PI()*CJ$12^2)/4*(CF190*$W190*1000)/($G190*$B$5)),
IF($D190="Pénétro.",
IF(OR($E190=4,$E190=1,$E190=5),(PI()*CJ$12^2)/4*(CF190*$W190*1000)/($H190*$B$5),(PI()*CJ$12^2)/4*(CF190*$W190*1000)/($G190*$B$5)))),
IF($D190="Pressio.",
IF($E190=3,(PI()*CJ$12^2)/4*(CF190*$W190*1000)/($H190*$B$5),(PI()*CJ$12^2)/4*(CF190*$W190*1000)/($G190*$B$5)),
IF($D190="Pénétro.",
IF($E190=4,(PI()*CJ$12^2)/4*(CF190*$W190*1000)/($H190*$B$5),(PI()*CJ$12^2)/4*(CF190*$W190*1000)/($G190*$B$5))))))/10</f>
        <v>#N/A</v>
      </c>
      <c r="CK190" s="102" t="e">
        <f>(VLOOKUP($B$3,'Coeff EC7'!$T$39:$X$59,2,0)*CI190+VLOOKUP($B$3,'Coeff EC7'!$T$65:$X$85,2,0)*Model0.1C!CJ190)/1.1</f>
        <v>#N/A</v>
      </c>
      <c r="CL190" s="102" t="e">
        <f>(VLOOKUP($B$3,'Coeff EC7'!$T$39:$X$59,3,0)*CI190+VLOOKUP($B$3,'Coeff EC7'!$T$65:$X$85,3,0)*Model0.1C!CJ190)/0.9</f>
        <v>#N/A</v>
      </c>
      <c r="CM190" s="102" t="e">
        <f t="shared" si="282"/>
        <v>#N/A</v>
      </c>
      <c r="CN190" s="102" t="e">
        <f t="shared" si="283"/>
        <v>#N/A</v>
      </c>
      <c r="CO190" s="414" t="e">
        <f>IF(CO189=0,0,IF(AND(CK190&gt;charge_ELS_quasi,CL190&gt;Charge_ELS_freq,CM190&gt;charge_ELU,CN190&gt;charge_ELA,$B190&gt;NDC!$H$22-0.1+MIN(3*$CO$12,1.5)),0,1))</f>
        <v>#N/A</v>
      </c>
      <c r="CP190" s="86" t="b">
        <f t="shared" si="251"/>
        <v>0</v>
      </c>
      <c r="CQ190" s="86">
        <f t="shared" si="252"/>
        <v>0.5</v>
      </c>
      <c r="CR190" s="86">
        <f t="shared" si="253"/>
        <v>0.5</v>
      </c>
      <c r="CS190" s="30" t="e">
        <f t="shared" ca="1" si="284"/>
        <v>#DIV/0!</v>
      </c>
      <c r="CT190" s="85" t="e">
        <f ca="1">IF(BZ190&lt;=Hypothèses!$V$7,Hypothèses!$W$7,IF(BZ190&lt;=Hypothèses!$V$8,Hypothèses!$W$8,IF(BZ190&lt;=Hypothèses!$V$9,Hypothèses!$W$9,IF(BZ190&lt;=Hypothèses!$V$10,Hypothèses!$W$10,IF(BZ190&lt;=Hypothèses!$V$11,Hypothèses!$W$11,IF(BZ190&lt;=Hypothèses!$V$12,Hypothèses!$W$12,IF(BZ190&lt;=Hypothèses!$V$13,Hypothèses!$W$13,IF(BZ190&lt;=Hypothèses!$V$14,Hypothèses!$W$14,IF(BZ190&lt;=Hypothèses!$V$15,Hypothèses!$W$15,IF(BZ190&lt;=Hypothèses!$V$16,Hypothèses!$W$16,IF(BZ190&lt;=Hypothèses!$V$17,Hypothèses!$W$17,IF(BZ190&lt;=Hypothèses!$V$18,Hypothèses!$W$18,""))))))))))))</f>
        <v>#DIV/0!</v>
      </c>
      <c r="CU190" s="87" t="e">
        <f t="shared" ca="1" si="320"/>
        <v>#DIV/0!</v>
      </c>
      <c r="CV190" s="88" t="e">
        <f ca="1">IF(BZ190&lt;=Hypothèses!$V$7,Hypothèses!$X$7,IF(BZ190&lt;=Hypothèses!$V$8,Hypothèses!$X$8,IF(BZ190&lt;=Hypothèses!$V$9,Hypothèses!$X$9,IF(BZ190&lt;=Hypothèses!$V$10,Hypothèses!$X$10,IF(BZ190&lt;=Hypothèses!$V$11,Hypothèses!$X$11,IF(BZ190&lt;=Hypothèses!$V$12,Hypothèses!$X$12,IF(BZ190&lt;=Hypothèses!$V$13,Hypothèses!$X$13,IF(BZ190&lt;=Hypothèses!$V$14,Hypothèses!$X$14,IF(BZ190&lt;=Hypothèses!$V$15,Hypothèses!$X$15,IF(BZ190&lt;=Hypothèses!$V$16,Hypothèses!$X$16,IF(BZ190&lt;=Hypothèses!$U$17,Hypothèses!$W$17,IF(BZ190&lt;=Hypothèses!$U$18,Hypothèses!$W$18,""))))))))))))</f>
        <v>#DIV/0!</v>
      </c>
      <c r="CW190" s="95" t="e">
        <f t="shared" ca="1" si="285"/>
        <v>#DIV/0!</v>
      </c>
      <c r="CX190" s="101" t="e">
        <f t="shared" si="327"/>
        <v>#N/A</v>
      </c>
      <c r="CY190" s="91" t="e">
        <f t="shared" si="254"/>
        <v>#N/A</v>
      </c>
      <c r="CZ190" s="30" t="e">
        <f t="shared" si="308"/>
        <v>#N/A</v>
      </c>
      <c r="DA190" s="30" t="e">
        <f t="shared" si="309"/>
        <v>#N/A</v>
      </c>
      <c r="DB190" s="31" t="e">
        <f>IF(OR(Hypothèses!$B$4=17,Hypothèses!$B$4=18,Hypothèses!$B$4=19,Hypothèses!$B$4=20),
IF($D190="Pressio.",
IF(OR($E190=3,$E190=1,$E190=4),DA190,CZ190),
IF($D190="Pénétro.",
IF(OR($E190=3,$E190=1,$E190=4),DA190,CZ190))),IF($D190="Pressio.",
IF($E190=3,DA190,CZ190),
IF($D190="Pénétro.",
IF($E190=4,DA190,CZ190))))</f>
        <v>#N/A</v>
      </c>
      <c r="DC190" s="31" t="e">
        <f>(IF(OR(Hypothèses!$B$4=17,Hypothèses!$B$4=18,Hypothèses!$B$4=19,Hypothèses!$B$4=20),
IF($D190="Pressio.",
IF(OR($E190=3,$E190=1,$E190=4),(PI()*DC$12^2)/4*(CY190*$W190*1000)/($H190*$B$5),(PI()*DC$12^2)/4*(CY190*$W190*1000)/($G190*$B$5)),
IF($D190="Pénétro.",
IF(OR($E190=4,$E190=1,$E190=5),(PI()*DC$12^2)/4*(CY190*$W190*1000)/($H190*$B$5),(PI()*DC$12^2)/4*(CY190*$W190*1000)/($G190*$B$5)))),
IF($D190="Pressio.",
IF($E190=3,(PI()*DC$12^2)/4*(CY190*$W190*1000)/($H190*$B$5),(PI()*DC$12^2)/4*(CY190*$W190*1000)/($G190*$B$5)),
IF($D190="Pénétro.",
IF($E190=4,(PI()*DC$12^2)/4*(CY190*$W190*1000)/($H190*$B$5),(PI()*DC$12^2)/4*(CY190*$W190*1000)/($G190*$B$5))))))/10</f>
        <v>#N/A</v>
      </c>
      <c r="DD190" s="102" t="e">
        <f>(VLOOKUP($B$3,'Coeff EC7'!$T$39:$X$59,2,0)*DB190+VLOOKUP($B$3,'Coeff EC7'!$T$65:$X$85,2,0)*Model0.1C!DC190)/1.1</f>
        <v>#N/A</v>
      </c>
      <c r="DE190" s="102" t="e">
        <f>(VLOOKUP($B$3,'Coeff EC7'!$T$39:$X$59,3,0)*DB190+VLOOKUP($B$3,'Coeff EC7'!$T$65:$X$85,3,0)*Model0.1C!DC190)/0.9</f>
        <v>#N/A</v>
      </c>
      <c r="DF190" s="102" t="e">
        <f t="shared" si="286"/>
        <v>#N/A</v>
      </c>
      <c r="DG190" s="102" t="e">
        <f t="shared" si="287"/>
        <v>#N/A</v>
      </c>
      <c r="DH190" s="414" t="e">
        <f>IF(DH189=0,0,IF(AND(DD190&gt;charge_ELS_quasi,DE190&gt;Charge_ELS_freq,DF190&gt;charge_ELU,DG190&gt;charge_ELA,$B190&gt;NDC!$H$22-0.1+MIN(3*$DH$12,1.5)),0,1))</f>
        <v>#N/A</v>
      </c>
      <c r="DI190" s="86" t="b">
        <f t="shared" si="255"/>
        <v>0</v>
      </c>
      <c r="DJ190" s="86">
        <f t="shared" si="256"/>
        <v>0.5</v>
      </c>
      <c r="DK190" s="86">
        <f t="shared" si="257"/>
        <v>0.5</v>
      </c>
      <c r="DL190" s="30" t="e">
        <f t="shared" ca="1" si="288"/>
        <v>#DIV/0!</v>
      </c>
      <c r="DM190" s="85" t="e">
        <f ca="1">IF(CS190&lt;=Hypothèses!$V$7,Hypothèses!$W$7,IF(CS190&lt;=Hypothèses!$V$8,Hypothèses!$W$8,IF(CS190&lt;=Hypothèses!$V$9,Hypothèses!$W$9,IF(CS190&lt;=Hypothèses!$V$10,Hypothèses!$W$10,IF(CS190&lt;=Hypothèses!$V$11,Hypothèses!$W$11,IF(CS190&lt;=Hypothèses!$V$12,Hypothèses!$W$12,IF(CS190&lt;=Hypothèses!$V$13,Hypothèses!$W$13,IF(CS190&lt;=Hypothèses!$V$14,Hypothèses!$W$14,IF(CS190&lt;=Hypothèses!$V$15,Hypothèses!$W$15,IF(CS190&lt;=Hypothèses!$V$16,Hypothèses!$W$16,IF(CS190&lt;=Hypothèses!$V$17,Hypothèses!$W$17,IF(CS190&lt;=Hypothèses!$V$18,Hypothèses!$W$18,""))))))))))))</f>
        <v>#DIV/0!</v>
      </c>
      <c r="DN190" s="87" t="e">
        <f t="shared" ca="1" si="321"/>
        <v>#DIV/0!</v>
      </c>
      <c r="DO190" s="88" t="e">
        <f ca="1">IF(CS190&lt;=Hypothèses!$V$7,Hypothèses!$X$7,IF(CS190&lt;=Hypothèses!$V$8,Hypothèses!$X$8,IF(CS190&lt;=Hypothèses!$V$9,Hypothèses!$X$9,IF(CS190&lt;=Hypothèses!$V$10,Hypothèses!$X$10,IF(CS190&lt;=Hypothèses!$V$11,Hypothèses!$X$11,IF(CS190&lt;=Hypothèses!$V$12,Hypothèses!$X$12,IF(CS190&lt;=Hypothèses!$V$13,Hypothèses!$X$13,IF(CS190&lt;=Hypothèses!$V$14,Hypothèses!$X$14,IF(CS190&lt;=Hypothèses!$V$15,Hypothèses!$X$15,IF(CS190&lt;=Hypothèses!$V$16,Hypothèses!$X$16,IF(CS190&lt;=Hypothèses!$U$17,Hypothèses!$W$17,IF(CS190&lt;=Hypothèses!$U$18,Hypothèses!$W$18,""))))))))))))</f>
        <v>#DIV/0!</v>
      </c>
      <c r="DP190" s="95" t="e">
        <f t="shared" ca="1" si="289"/>
        <v>#DIV/0!</v>
      </c>
      <c r="DQ190" s="101" t="e">
        <f t="shared" si="328"/>
        <v>#N/A</v>
      </c>
      <c r="DR190" s="91" t="e">
        <f t="shared" si="258"/>
        <v>#N/A</v>
      </c>
      <c r="DS190" s="30" t="e">
        <f t="shared" si="310"/>
        <v>#N/A</v>
      </c>
      <c r="DT190" s="30" t="e">
        <f t="shared" si="311"/>
        <v>#N/A</v>
      </c>
      <c r="DU190" s="31" t="e">
        <f>IF(OR(Hypothèses!$B$4=17,Hypothèses!$B$4=18,Hypothèses!$B$4=19,Hypothèses!$B$4=20),
IF($D190="Pressio.",
IF(OR($E190=3,$E190=1,$E190=4),DT190,DS190),
IF($D190="Pénétro.",
IF(OR($E190=3,$E190=1,$E190=4),DT190,DS190))),IF($D190="Pressio.",
IF($E190=3,DT190,DS190),
IF($D190="Pénétro.",
IF($E190=4,DT190,DS190))))</f>
        <v>#N/A</v>
      </c>
      <c r="DV190" s="31" t="e">
        <f>(IF(OR(Hypothèses!$B$4=17,Hypothèses!$B$4=18,Hypothèses!$B$4=19,Hypothèses!$B$4=20),
IF($D190="Pressio.",
IF(OR($E190=3,$E190=1,$E190=4),(PI()*DV$12^2)/4*(DR190*$W190*1000)/($H190*$B$5),(PI()*DV$12^2)/4*(DR190*$W190*1000)/($G190*$B$5)),
IF($D190="Pénétro.",
IF(OR($E190=4,$E190=1,$E190=5),(PI()*DV$12^2)/4*(DR190*$W190*1000)/($H190*$B$5),(PI()*DV$12^2)/4*(DR190*$W190*1000)/($G190*$B$5)))),
IF($D190="Pressio.",
IF($E190=3,(PI()*DV$12^2)/4*(DR190*$W190*1000)/($H190*$B$5),(PI()*DV$12^2)/4*(DR190*$W190*1000)/($G190*$B$5)),
IF($D190="Pénétro.",
IF($E190=4,(PI()*DV$12^2)/4*(DR190*$W190*1000)/($H190*$B$5),(PI()*DV$12^2)/4*(DR190*$W190*1000)/($G190*$B$5))))))/10</f>
        <v>#N/A</v>
      </c>
      <c r="DW190" s="102" t="e">
        <f>(VLOOKUP($B$3,'Coeff EC7'!$T$39:$X$59,2,0)*DU190+VLOOKUP($B$3,'Coeff EC7'!$T$65:$X$85,2,0)*Model0.1C!DV190)/1.1</f>
        <v>#N/A</v>
      </c>
      <c r="DX190" s="102" t="e">
        <f>(VLOOKUP($B$3,'Coeff EC7'!$T$39:$X$59,3,0)*DU190+VLOOKUP($B$3,'Coeff EC7'!$T$65:$X$85,3,0)*Model0.1C!DV190)/0.9</f>
        <v>#N/A</v>
      </c>
      <c r="DY190" s="102" t="e">
        <f t="shared" si="290"/>
        <v>#N/A</v>
      </c>
      <c r="DZ190" s="102" t="e">
        <f t="shared" si="291"/>
        <v>#N/A</v>
      </c>
      <c r="EA190" s="414" t="e">
        <f>IF(EA189=0,0,IF(AND(DW190&gt;charge_ELS_quasi,DX190&gt;Charge_ELS_freq,DY190&gt;charge_ELU,DZ190&gt;charge_ELA,$B190&gt;NDC!$H$22-0.1+MIN(3*$EA$12,1.5)),0,1))</f>
        <v>#N/A</v>
      </c>
      <c r="EB190" s="86" t="b">
        <f t="shared" si="259"/>
        <v>0</v>
      </c>
      <c r="EC190" s="418">
        <f t="shared" si="260"/>
        <v>0.51</v>
      </c>
      <c r="ED190" s="86">
        <f t="shared" si="261"/>
        <v>0.51</v>
      </c>
      <c r="EE190" s="30" t="e">
        <f t="shared" ca="1" si="292"/>
        <v>#DIV/0!</v>
      </c>
      <c r="EF190" s="85" t="e">
        <f ca="1">IF(DL190&lt;=Hypothèses!$V$7,Hypothèses!$W$7,IF(DL190&lt;=Hypothèses!$V$8,Hypothèses!$W$8,IF(DL190&lt;=Hypothèses!$V$9,Hypothèses!$W$9,IF(DL190&lt;=Hypothèses!$V$10,Hypothèses!$W$10,IF(DL190&lt;=Hypothèses!$V$11,Hypothèses!$W$11,IF(DL190&lt;=Hypothèses!$V$12,Hypothèses!$W$12,IF(DL190&lt;=Hypothèses!$V$13,Hypothèses!$W$13,IF(DL190&lt;=Hypothèses!$V$14,Hypothèses!$W$14,IF(DL190&lt;=Hypothèses!$V$15,Hypothèses!$W$15,IF(DL190&lt;=Hypothèses!$V$16,Hypothèses!$W$16,IF(DL190&lt;=Hypothèses!$V$17,Hypothèses!$W$17,IF(DL190&lt;=Hypothèses!$V$18,Hypothèses!$W$18,""))))))))))))</f>
        <v>#DIV/0!</v>
      </c>
      <c r="EG190" s="87" t="e">
        <f t="shared" ca="1" si="322"/>
        <v>#DIV/0!</v>
      </c>
      <c r="EH190" s="88" t="e">
        <f ca="1">IF(DL190&lt;=Hypothèses!$V$7,Hypothèses!$X$7,IF(DL190&lt;=Hypothèses!$V$8,Hypothèses!$X$8,IF(DL190&lt;=Hypothèses!$V$9,Hypothèses!$X$9,IF(DL190&lt;=Hypothèses!$V$10,Hypothèses!$X$10,IF(DL190&lt;=Hypothèses!$V$11,Hypothèses!$X$11,IF(DL190&lt;=Hypothèses!$V$12,Hypothèses!$X$12,IF(DL190&lt;=Hypothèses!$V$13,Hypothèses!$X$13,IF(DL190&lt;=Hypothèses!$V$14,Hypothèses!$X$14,IF(DL190&lt;=Hypothèses!$V$15,Hypothèses!$X$15,IF(DL190&lt;=Hypothèses!$V$16,Hypothèses!$X$16,IF(DL190&lt;=Hypothèses!$U$17,Hypothèses!$W$17,IF(DL190&lt;=Hypothèses!$U$18,Hypothèses!$W$18,""))))))))))))</f>
        <v>#DIV/0!</v>
      </c>
      <c r="EI190" s="95" t="e">
        <f t="shared" ca="1" si="293"/>
        <v>#DIV/0!</v>
      </c>
      <c r="EJ190" s="101" t="e">
        <f t="shared" si="329"/>
        <v>#N/A</v>
      </c>
      <c r="EK190" s="91" t="e">
        <f t="shared" si="262"/>
        <v>#N/A</v>
      </c>
      <c r="EL190" s="30" t="e">
        <f t="shared" si="312"/>
        <v>#N/A</v>
      </c>
      <c r="EM190" s="30" t="e">
        <f t="shared" si="313"/>
        <v>#N/A</v>
      </c>
      <c r="EN190" s="31" t="e">
        <f>IF(OR(Hypothèses!$B$4=17,Hypothèses!$B$4=18,Hypothèses!$B$4=19,Hypothèses!$B$4=20),
IF($D190="Pressio.",
IF(OR($E190=3,$E190=1,$E190=4),EM190,EL190),
IF($D190="Pénétro.",
IF(OR($E190=3,$E190=1,$E190=4),EM190,EL190))),IF($D190="Pressio.",
IF($E190=3,EM190,EL190),
IF($D190="Pénétro.",
IF($E190=4,EM190,EL190))))</f>
        <v>#N/A</v>
      </c>
      <c r="EO190" s="31" t="e">
        <f>(IF(OR(Hypothèses!$B$4=17,Hypothèses!$B$4=18,Hypothèses!$B$4=19,Hypothèses!$B$4=20),
IF($D190="Pressio.",
IF(OR($E190=3,$E190=1,$E190=4),(PI()*EO$12^2)/4*(EK190*$W190*1000)/($H190*$B$5),(PI()*EO$12^2)/4*(EK190*$W190*1000)/($G190*$B$5)),
IF($D190="Pénétro.",
IF(OR($E190=4,$E190=1,$E190=5),(PI()*EO$12^2)/4*(EK190*$W190*1000)/($H190*$B$5),(PI()*EO$12^2)/4*(EK190*$W190*1000)/($G190*$B$5)))),
IF($D190="Pressio.",
IF($E190=3,(PI()*EO$12^2)/4*(EK190*$W190*1000)/($H190*$B$5),(PI()*EO$12^2)/4*(EK190*$W190*1000)/($G190*$B$5)),
IF($D190="Pénétro.",
IF($E190=4,(PI()*EO$12^2)/4*(EK190*$W190*1000)/($H190*$B$5),(PI()*EO$12^2)/4*(EK190*$W190*1000)/($G190*$B$5))))))/10</f>
        <v>#N/A</v>
      </c>
      <c r="EP190" s="102" t="e">
        <f>(VLOOKUP($B$3,'Coeff EC7'!$T$39:$X$59,2,0)*EN190+VLOOKUP($B$3,'Coeff EC7'!$T$65:$X$85,2,0)*Model0.1C!EO190)/1.1</f>
        <v>#N/A</v>
      </c>
      <c r="EQ190" s="102" t="e">
        <f>(VLOOKUP($B$3,'Coeff EC7'!$T$39:$X$59,3,0)*EN190+VLOOKUP($B$3,'Coeff EC7'!$T$65:$X$85,3,0)*Model0.1C!EO190)/0.9</f>
        <v>#N/A</v>
      </c>
      <c r="ER190" s="102" t="e">
        <f t="shared" si="294"/>
        <v>#N/A</v>
      </c>
      <c r="ES190" s="102" t="e">
        <f t="shared" si="295"/>
        <v>#N/A</v>
      </c>
      <c r="ET190" s="414" t="e">
        <f>IF(ET189=0,0,IF(AND(EP190&gt;charge_ELS_quasi,EQ190&gt;Charge_ELS_freq,ER190&gt;charge_ELU,ES190&gt;charge_ELA,$B190&gt;NDC!$H$22-0.1+MIN(3*$ET$12,1.5)),0,1))</f>
        <v>#N/A</v>
      </c>
      <c r="EU190" s="86" t="b">
        <f t="shared" si="263"/>
        <v>0</v>
      </c>
      <c r="EV190" s="86">
        <f t="shared" si="264"/>
        <v>0.61</v>
      </c>
      <c r="EW190" s="86">
        <f t="shared" si="265"/>
        <v>0.61</v>
      </c>
      <c r="EX190" s="30" t="e">
        <f t="shared" ca="1" si="296"/>
        <v>#DIV/0!</v>
      </c>
      <c r="EY190" s="85" t="e">
        <f ca="1">IF(EE190&lt;=Hypothèses!$V$7,Hypothèses!$W$7,IF(EE190&lt;=Hypothèses!$V$8,Hypothèses!$W$8,IF(EE190&lt;=Hypothèses!$V$9,Hypothèses!$W$9,IF(EE190&lt;=Hypothèses!$V$10,Hypothèses!$W$10,IF(EE190&lt;=Hypothèses!$V$11,Hypothèses!$W$11,IF(EE190&lt;=Hypothèses!$V$12,Hypothèses!$W$12,IF(EE190&lt;=Hypothèses!$V$13,Hypothèses!$W$13,IF(EE190&lt;=Hypothèses!$V$14,Hypothèses!$W$14,IF(EE190&lt;=Hypothèses!$V$15,Hypothèses!$W$15,IF(EE190&lt;=Hypothèses!$V$16,Hypothèses!$W$16,IF(EE190&lt;=Hypothèses!$V$17,Hypothèses!$W$17,IF(EE190&lt;=Hypothèses!$V$18,Hypothèses!$W$18,""))))))))))))</f>
        <v>#DIV/0!</v>
      </c>
      <c r="EZ190" s="87" t="e">
        <f t="shared" ca="1" si="323"/>
        <v>#DIV/0!</v>
      </c>
      <c r="FA190" s="88" t="e">
        <f ca="1">IF(EE190&lt;=Hypothèses!$V$7,Hypothèses!$X$7,IF(EE190&lt;=Hypothèses!$V$8,Hypothèses!$X$8,IF(EE190&lt;=Hypothèses!$V$9,Hypothèses!$X$9,IF(EE190&lt;=Hypothèses!$V$10,Hypothèses!$X$10,IF(EE190&lt;=Hypothèses!$V$11,Hypothèses!$X$11,IF(EE190&lt;=Hypothèses!$V$12,Hypothèses!$X$12,IF(EE190&lt;=Hypothèses!$V$13,Hypothèses!$X$13,IF(EE190&lt;=Hypothèses!$V$14,Hypothèses!$X$14,IF(EE190&lt;=Hypothèses!$V$15,Hypothèses!$X$15,IF(EE190&lt;=Hypothèses!$V$16,Hypothèses!$X$16,IF(EE190&lt;=Hypothèses!$U$17,Hypothèses!$W$17,IF(EE190&lt;=Hypothèses!$U$18,Hypothèses!$W$18,""))))))))))))</f>
        <v>#DIV/0!</v>
      </c>
      <c r="FB190" s="95" t="e">
        <f t="shared" ca="1" si="297"/>
        <v>#DIV/0!</v>
      </c>
      <c r="FC190" s="101" t="e">
        <f t="shared" si="330"/>
        <v>#N/A</v>
      </c>
      <c r="FD190" s="91" t="e">
        <f t="shared" si="266"/>
        <v>#N/A</v>
      </c>
      <c r="FE190" s="30" t="e">
        <f t="shared" si="314"/>
        <v>#N/A</v>
      </c>
      <c r="FF190" s="30" t="e">
        <f t="shared" si="315"/>
        <v>#N/A</v>
      </c>
      <c r="FG190" s="31" t="e">
        <f>IF(OR(Hypothèses!$B$4=17,Hypothèses!$B$4=18,Hypothèses!$B$4=19,Hypothèses!$B$4=20),
IF($D190="Pressio.",
IF(OR($E190=3,$E190=1,$E190=4),FF190,FE190),
IF($D190="Pénétro.",
IF(OR($E190=3,$E190=1,$E190=4),FF190,FE190))),IF($D190="Pressio.",
IF($E190=3,FF190,FE190),
IF($D190="Pénétro.",
IF($E190=4,FF190,FE190))))</f>
        <v>#N/A</v>
      </c>
      <c r="FH190" s="31" t="e">
        <f>(IF(OR(Hypothèses!$B$4=17,Hypothèses!$B$4=18,Hypothèses!$B$4=19,Hypothèses!$B$4=20),
IF($D190="Pressio.",
IF(OR($E190=3,$E190=1,$E190=4),(PI()*FH$12^2)/4*(FD190*$W190*1000)/($H190*$B$5),(PI()*FH$12^2)/4*(FD190*$W190*1000)/($G190*$B$5)),
IF($D190="Pénétro.",
IF(OR($E190=4,$E190=1,$E190=5),(PI()*FH$12^2)/4*(FD190*$W190*1000)/($H190*$B$5),(PI()*FH$12^2)/4*(FD190*$W190*1000)/($G190*$B$5)))),
IF($D190="Pressio.",
IF($E190=3,(PI()*FH$12^2)/4*(FD190*$W190*1000)/($H190*$B$5),(PI()*FH$12^2)/4*(FD190*$W190*1000)/($G190*$B$5)),
IF($D190="Pénétro.",
IF($E190=4,(PI()*FH$12^2)/4*(FD190*$W190*1000)/($H190*$B$5),(PI()*FH$12^2)/4*(FD190*$W190*1000)/($G190*$B$5))))))/10</f>
        <v>#N/A</v>
      </c>
      <c r="FI190" s="102" t="e">
        <f>(VLOOKUP($B$3,'Coeff EC7'!$T$39:$X$59,2,0)*FG190+VLOOKUP($B$3,'Coeff EC7'!$T$65:$X$85,2,0)*Model0.1C!FH190)/1.1</f>
        <v>#N/A</v>
      </c>
      <c r="FJ190" s="102" t="e">
        <f>(VLOOKUP($B$3,'Coeff EC7'!$T$39:$X$59,3,0)*FG190+VLOOKUP($B$3,'Coeff EC7'!$T$65:$X$85,3,0)*Model0.1C!FH190)/0.9</f>
        <v>#N/A</v>
      </c>
      <c r="FK190" s="102" t="e">
        <f t="shared" si="298"/>
        <v>#N/A</v>
      </c>
      <c r="FL190" s="102" t="e">
        <f t="shared" si="299"/>
        <v>#N/A</v>
      </c>
      <c r="FM190" s="414" t="e">
        <f>IF(FM189=0,0,IF(AND(FI190&gt;charge_ELS_quasi,FJ190&gt;Charge_ELS_freq,FK190&gt;charge_ELU,FL190&gt;charge_ELA,$B190&gt;NDC!$H$22-0.1+MIN(3*$FM$12,1.5)),0,1))</f>
        <v>#N/A</v>
      </c>
    </row>
    <row r="191" spans="1:169">
      <c r="A191" s="96">
        <f t="shared" si="267"/>
        <v>82.200000000001012</v>
      </c>
      <c r="B191" s="97">
        <v>17.8</v>
      </c>
      <c r="C191" s="81">
        <f>IF(B191&lt;=Hypothèses!$C$7,Hypothèses!$A$7,IF(B191&lt;=Hypothèses!$C$8,Hypothèses!$A$8,IF(B191&lt;=Hypothèses!$C$9,Hypothèses!$A$9,IF(B191&lt;=Hypothèses!$C$10,Hypothèses!$A$10,IF(B191&lt;=Hypothèses!$C$11,Hypothèses!$A$11,IF(B191&lt;=Hypothèses!$C$12,Hypothèses!$A$12,IF(B191&lt;=Hypothèses!$C$13,Hypothèses!$A$13,IF(B191&lt;=Hypothèses!$C$14,Hypothèses!$A$14,IF(B191&lt;=Hypothèses!$C$15,Hypothèses!$A$15,IF(B191&lt;=Hypothèses!$C$16,Hypothèses!$A$16,IF(B191&lt;=Hypothèses!$C$17,Hypothèses!$A$17,IF(B191&lt;=Hypothèses!$C$18,Hypothèses!$A$18,C190))))))))))))</f>
        <v>11</v>
      </c>
      <c r="D191" s="82" t="str">
        <f>IF(B191&lt;=Hypothèses!$C$7,Hypothèses!$R$7,IF(B191&lt;=Hypothèses!$C$8,Hypothèses!$R$8,IF(B191&lt;=Hypothèses!$C$9,Hypothèses!$R$9,IF(B191&lt;=Hypothèses!$C$10,Hypothèses!$R$10,IF(B191&lt;=Hypothèses!$C$11,Hypothèses!$R$11,IF(B191&lt;=Hypothèses!$C$12,Hypothèses!$R$12,IF(B191&lt;=Hypothèses!$C$13,Hypothèses!$R$13,IF(B191&lt;=Hypothèses!$C$14,Hypothèses!$R$14,IF(B191&lt;=Hypothèses!$C$15,Hypothèses!$R$15,IF(B191&lt;=Hypothèses!$C$16,Hypothèses!$R$16,IF(B191&lt;=Hypothèses!$C$17,Hypothèses!$R$17,IF(B191&lt;=Hypothèses!$C$18,Hypothèses!$R$18,D190))))))))))))</f>
        <v>Pressio.</v>
      </c>
      <c r="E191" s="82" t="e">
        <f>IF(B191&lt;=Hypothèses!$C$7,Hypothèses!$G$7,IF(B191&lt;=Hypothèses!$C$8,Hypothèses!$G$8,IF(B191&lt;=Hypothèses!$C$9,Hypothèses!$G$9,IF(B191&lt;=Hypothèses!$C$10,Hypothèses!$G$10,IF(B191&lt;=Hypothèses!$C$11,Hypothèses!$G$11,IF(B191&lt;=Hypothèses!$C$12,Hypothèses!$G$12,IF(B191&lt;=Hypothèses!$C$13,Hypothèses!$G$13,IF(B191&lt;=Hypothèses!$C$14,Hypothèses!$G$14,IF(B191&lt;=Hypothèses!$C$15,Hypothèses!$G$15,IF(B191&lt;=Hypothèses!$C$16,Hypothèses!$G$16,IF(B191&lt;=Hypothèses!$C$17,Hypothèses!$G$17,IF(B191&lt;=Hypothèses!$C$18,Hypothèses!$G$18,E190))))))))))))</f>
        <v>#N/A</v>
      </c>
      <c r="F191" s="82" t="str">
        <f>IF(B191&lt;=Hypothèses!$C$7,Hypothèses!$F$7,IF(B191&lt;=Hypothèses!$C$8,Hypothèses!$F$8,IF(B191&lt;=Hypothèses!$C$9,Hypothèses!$F$9,IF(B191&lt;=Hypothèses!$C$10,Hypothèses!$F$10,IF(B191&lt;=Hypothèses!$C$11,Hypothèses!$F$11,IF(B191&lt;=Hypothèses!$C$12,Hypothèses!$F$12,IF(B191&lt;=Hypothèses!$C$13,Hypothèses!$F$13,IF(B191&lt;=Hypothèses!$C$14,Hypothèses!$F$14,IF(B191&lt;=Hypothèses!$C$15,Hypothèses!$F$15,IF(B191&lt;=Hypothèses!$C$16,Hypothèses!$F$16,IF(B191&lt;=Hypothèses!$C$17,Hypothèses!$F$17,IF(B191&lt;=Hypothèses!$C$18,Hypothèses!$F$18,F190))))))))))))</f>
        <v/>
      </c>
      <c r="G191" s="91">
        <f t="array" ref="G191">INDEX('Coeff EC7'!$U$7:$X$27,
MATCH(Model0.1C!$B$3,'Coeff EC7'!$T$7:$T$27,0),
MATCH(Model0.1C!$D191&amp;Model0.1C!$B$4,
'Coeff EC7'!$U$6:$X$6&amp;
'Coeff EC7'!$U$5:$X$5,0))</f>
        <v>1.1499999999999999</v>
      </c>
      <c r="H191" s="91">
        <f t="array" ref="H191">INDEX('Coeff EC7'!$Y$7:$AB$27,
MATCH(Model0.1C!$B$3,'Coeff EC7'!$T$7:$T$27,0),
MATCH(Model0.1C!$D191&amp;Model0.1C!$B$4,
'Coeff EC7'!$Y$6:$AB$6&amp;
'Coeff EC7'!$Y$5:$AB$5,0))</f>
        <v>1.4</v>
      </c>
      <c r="I191" s="83" t="e">
        <f>IF(B191&lt;=Hypothèses!$C$7,Hypothèses!$P$7,IF(B191&lt;=Hypothèses!$C$8,Hypothèses!$P$8,IF(B191&lt;=Hypothèses!$C$9,Hypothèses!$P$9,IF(B191&lt;=Hypothèses!$C$10,Hypothèses!$P$10,IF(B191&lt;=Hypothèses!$C$11,Hypothèses!$P$11,IF(B191&lt;=Hypothèses!$C$12,Hypothèses!$P$12,IF(B191&lt;=Hypothèses!$C$13,Hypothèses!$P$13,IF(B191&lt;=Hypothèses!$C$14,Hypothèses!$P$14,IF(B191&lt;=Hypothèses!$C$15,Hypothèses!$P$15,IF(B191&lt;=Hypothèses!$C$16,Hypothèses!$P$16,IF(B191&lt;=Hypothèses!$C$17,Hypothèses!$P$17,IF(B191&lt;=Hypothèses!$C$18,Hypothèses!$P$18,I190))))))))))))</f>
        <v>#N/A</v>
      </c>
      <c r="J191" s="91" t="e">
        <f t="array" ref="J191">INDEX('Coeff EC7'!$D$33:$Q$33,1,MATCH(D191&amp;E191,'Coeff EC7'!$D$31:$Q$31&amp;'Coeff EC7'!$D$32:$Q$32,0))</f>
        <v>#N/A</v>
      </c>
      <c r="K191" s="91" t="e">
        <f t="array" ref="K191">INDEX('Coeff EC7'!$D$34:$Q$34,1,MATCH(D191&amp;E191,'Coeff EC7'!$D$31:$Q$31&amp;'Coeff EC7'!$D$32:$Q$32,0))</f>
        <v>#N/A</v>
      </c>
      <c r="L191" s="91" t="e">
        <f t="array" ref="L191">INDEX('Coeff EC7'!$D$35:$Q$35,1,MATCH(D191&amp;E191,'Coeff EC7'!$D$31:$Q$31&amp;'Coeff EC7'!$D$32:$Q$32,0))</f>
        <v>#N/A</v>
      </c>
      <c r="M191" s="98" t="e">
        <f t="shared" si="231"/>
        <v>#N/A</v>
      </c>
      <c r="N191" s="99" t="e">
        <f t="array" ref="N191">INDEX('Coeff EC7'!$D$7:$Q$27,MATCH($B$3,'Coeff EC7'!$C$7:$C$27,0),MATCH(D191&amp;E191,'Coeff EC7'!$D$5:$Q$5&amp;'Coeff EC7'!$D$6:$Q$6,0))</f>
        <v>#N/A</v>
      </c>
      <c r="O191" s="99" t="e">
        <f t="array" ref="O191">INDEX('Coeff EC7'!$D$41:$Q$61,MATCH($B$3,'Coeff EC7'!$C$41:$C$61,0),MATCH(D191&amp;E191,'Coeff EC7'!$D$39:$Q$39&amp;'Coeff EC7'!$D$40:$Q$40,0))</f>
        <v>#N/A</v>
      </c>
      <c r="P191" s="30" t="e">
        <f t="shared" si="268"/>
        <v>#N/A</v>
      </c>
      <c r="Q191" s="100" t="e">
        <f t="shared" si="233"/>
        <v>#N/A</v>
      </c>
      <c r="R191" s="86" t="b">
        <f t="shared" si="234"/>
        <v>0</v>
      </c>
      <c r="S191" s="86">
        <f t="shared" si="232"/>
        <v>0.5</v>
      </c>
      <c r="T191" s="86">
        <f t="shared" si="235"/>
        <v>0.5</v>
      </c>
      <c r="U191" s="30" t="e">
        <f t="shared" ca="1" si="269"/>
        <v>#DIV/0!</v>
      </c>
      <c r="V191" s="85" t="str">
        <f>IF(B191&lt;=Hypothèses!$V$7,Hypothèses!$W$7,IF(B191&lt;=Hypothèses!$V$8,Hypothèses!$W$8,IF(B191&lt;=Hypothèses!$V$9,Hypothèses!$W$9,IF(B191&lt;=Hypothèses!$V$10,Hypothèses!$W$10,IF(B191&lt;=Hypothèses!$V$11,Hypothèses!$W$11,IF(B191&lt;=Hypothèses!$V$12,Hypothèses!$W$12,IF(B191&lt;=Hypothèses!$V$13,Hypothèses!$W$13,IF(B191&lt;=Hypothèses!$V$14,Hypothèses!$W$14,IF(B191&lt;=Hypothèses!$V$15,Hypothèses!$W$15,IF(B191&lt;=Hypothèses!$V$16,Hypothèses!$W$16,IF(B191&lt;=Hypothèses!$V$17,Hypothèses!$W$17,IF(B191&lt;=Hypothèses!$V$18,Hypothèses!$W$18,""))))))))))))</f>
        <v/>
      </c>
      <c r="W191" s="87" t="e">
        <f t="shared" ca="1" si="316"/>
        <v>#DIV/0!</v>
      </c>
      <c r="X191" s="88" t="str">
        <f>IF(B191&lt;=Hypothèses!$V$7,Hypothèses!$X$7,IF(B191&lt;=Hypothèses!$V$8,Hypothèses!$X$8,IF(B191&lt;=Hypothèses!$V$9,Hypothèses!$X$9,IF(B191&lt;=Hypothèses!$V$10,Hypothèses!$X$10,IF(B191&lt;=Hypothèses!$V$11,Hypothèses!$X$11,IF(B191&lt;=Hypothèses!$V$12,Hypothèses!$X$12,IF(B191&lt;=Hypothèses!$V$13,Hypothèses!$X$13,IF(B191&lt;=Hypothèses!$V$14,Hypothèses!$X$14,IF(B191&lt;=Hypothèses!$V$15,Hypothèses!$X$15,IF(B191&lt;=Hypothèses!$V$16,Hypothèses!$X$16,IF(B191&lt;=Hypothèses!$U$17,Hypothèses!$W$17,IF(B191&lt;=Hypothèses!$U$18,Hypothèses!$W$18,""))))))))))))</f>
        <v/>
      </c>
      <c r="Y191" s="95" t="e">
        <f t="shared" ca="1" si="236"/>
        <v>#DIV/0!</v>
      </c>
      <c r="Z191" s="101" t="e">
        <f t="shared" si="237"/>
        <v>#N/A</v>
      </c>
      <c r="AA191" s="91" t="e">
        <f t="shared" si="238"/>
        <v>#N/A</v>
      </c>
      <c r="AB191" s="30" t="e">
        <f t="shared" si="300"/>
        <v>#N/A</v>
      </c>
      <c r="AC191" s="30" t="e">
        <f t="shared" si="301"/>
        <v>#N/A</v>
      </c>
      <c r="AD191" s="31" t="e">
        <f>IF(OR(Hypothèses!$B$4=17,Hypothèses!$B$4=18,Hypothèses!$B$4=19,Hypothèses!$B$4=20),
IF($D191="Pressio.",
IF(OR($E191=3,$E191=1,$E191=4),AC191,AB191),
IF($D191="Pénétro.",
IF(OR($E191=3,$E191=1,$E191=4),AC191,AB191))),IF($D191="Pressio.",
IF($E191=3,AC191,AB191),
IF($D191="Pénétro.",
IF($E191=4,AC191,AB191))))</f>
        <v>#N/A</v>
      </c>
      <c r="AE191" s="31" t="e">
        <f>(IF(OR(Hypothèses!$B$4=17,Hypothèses!$B$4=18,Hypothèses!$B$4=19,Hypothèses!$B$4=20),
IF($D191="Pressio.",
IF(OR($E191=3,$E191=1,$E191=4),(PI()*AE$12^2)/4*(AA191*$W191*1000)/($H191*$B$5),(PI()*AE$12^2)/4*(AA191*$W191*1000)/($G191*$B$5)),
IF($D191="Pénétro.",
IF(OR($E191=4,$E191=1,$E191=5),(PI()*AE$12^2)/4*(AA191*$W191*1000)/($H191*$B$5),(PI()*AE$12^2)/4*(AA191*$W191*1000)/($G191*$B$5)))),
IF($D191="Pressio.",
IF($E191=3,(PI()*AE$12^2)/4*(AA191*$W191*1000)/($H191*$B$5),(PI()*AE$12^2)/4*(AA191*$W191*1000)/($G191*$B$5)),
IF($D191="Pénétro.",
IF($E191=4,(PI()*AE$12^2)/4*(AA191*$W191*1000)/($H191*$B$5),(PI()*AE$12^2)/4*(AA191*$W191*1000)/($G191*$B$5))))))/10</f>
        <v>#N/A</v>
      </c>
      <c r="AF191" s="102" t="e">
        <f>(VLOOKUP($B$3,'Coeff EC7'!$T$39:$X$59,2,0)*AD191+VLOOKUP($B$3,'Coeff EC7'!$T$65:$X$85,2,0)*Model0.1C!AE191)/1.1</f>
        <v>#N/A</v>
      </c>
      <c r="AG191" s="102" t="e">
        <f>(VLOOKUP($B$3,'Coeff EC7'!$T$39:$X$59,3,0)*AD191+VLOOKUP($B$3,'Coeff EC7'!$T$65:$X$85,3,0)*Model0.1C!AE191)/0.9</f>
        <v>#N/A</v>
      </c>
      <c r="AH191" s="102" t="e">
        <f t="shared" si="239"/>
        <v>#N/A</v>
      </c>
      <c r="AI191" s="102" t="e">
        <f t="shared" si="240"/>
        <v>#N/A</v>
      </c>
      <c r="AJ191" s="414" t="e">
        <f>IF(AJ190=0,0,IF(AND(AF191&gt;charge_ELS_quasi,AG191&gt;Charge_ELS_freq,AH191&gt;charge_ELU,AI191&gt;charge_ELA,$B191&gt;NDC!$H$22-0.1+MIN(3*$AJ$12,1.5)),0,1))</f>
        <v>#N/A</v>
      </c>
      <c r="AK191" s="86" t="b">
        <f t="shared" si="241"/>
        <v>0</v>
      </c>
      <c r="AL191" s="86">
        <f t="shared" si="270"/>
        <v>0.5</v>
      </c>
      <c r="AM191" s="86">
        <f t="shared" si="242"/>
        <v>0.5</v>
      </c>
      <c r="AN191" s="30" t="e">
        <f t="shared" ca="1" si="271"/>
        <v>#DIV/0!</v>
      </c>
      <c r="AO191" s="85" t="e">
        <f ca="1">IF(U191&lt;=Hypothèses!$V$7,Hypothèses!$W$7,IF(U191&lt;=Hypothèses!$V$8,Hypothèses!$W$8,IF(U191&lt;=Hypothèses!$V$9,Hypothèses!$W$9,IF(U191&lt;=Hypothèses!$V$10,Hypothèses!$W$10,IF(U191&lt;=Hypothèses!$V$11,Hypothèses!$W$11,IF(U191&lt;=Hypothèses!$V$12,Hypothèses!$W$12,IF(U191&lt;=Hypothèses!$V$13,Hypothèses!$W$13,IF(U191&lt;=Hypothèses!$V$14,Hypothèses!$W$14,IF(U191&lt;=Hypothèses!$V$15,Hypothèses!$W$15,IF(U191&lt;=Hypothèses!$V$16,Hypothèses!$W$16,IF(U191&lt;=Hypothèses!$V$17,Hypothèses!$W$17,IF(U191&lt;=Hypothèses!$V$18,Hypothèses!$W$18,""))))))))))))</f>
        <v>#DIV/0!</v>
      </c>
      <c r="AP191" s="87" t="e">
        <f t="shared" ca="1" si="317"/>
        <v>#DIV/0!</v>
      </c>
      <c r="AQ191" s="88" t="e">
        <f ca="1">IF(U191&lt;=Hypothèses!$V$7,Hypothèses!$X$7,IF(U191&lt;=Hypothèses!$V$8,Hypothèses!$X$8,IF(U191&lt;=Hypothèses!$V$9,Hypothèses!$X$9,IF(U191&lt;=Hypothèses!$V$10,Hypothèses!$X$10,IF(U191&lt;=Hypothèses!$V$11,Hypothèses!$X$11,IF(U191&lt;=Hypothèses!$V$12,Hypothèses!$X$12,IF(U191&lt;=Hypothèses!$V$13,Hypothèses!$X$13,IF(U191&lt;=Hypothèses!$V$14,Hypothèses!$X$14,IF(U191&lt;=Hypothèses!$V$15,Hypothèses!$X$15,IF(U191&lt;=Hypothèses!$V$16,Hypothèses!$X$16,IF(U191&lt;=Hypothèses!$U$17,Hypothèses!$W$17,IF(U191&lt;=Hypothèses!$U$18,Hypothèses!$W$18,""))))))))))))</f>
        <v>#DIV/0!</v>
      </c>
      <c r="AR191" s="95" t="e">
        <f t="shared" ca="1" si="272"/>
        <v>#DIV/0!</v>
      </c>
      <c r="AS191" s="101" t="e">
        <f t="shared" si="324"/>
        <v>#N/A</v>
      </c>
      <c r="AT191" s="91" t="e">
        <f t="shared" si="243"/>
        <v>#N/A</v>
      </c>
      <c r="AU191" s="30" t="e">
        <f t="shared" si="302"/>
        <v>#N/A</v>
      </c>
      <c r="AV191" s="30" t="e">
        <f t="shared" si="303"/>
        <v>#N/A</v>
      </c>
      <c r="AW191" s="31" t="e">
        <f>IF(OR(Hypothèses!$B$4=17,Hypothèses!$B$4=18,Hypothèses!$B$4=19,Hypothèses!$B$4=20),
IF($D191="Pressio.",
IF(OR($E191=3,$E191=1,$E191=4),AV191,AU191),
IF($D191="Pénétro.",
IF(OR($E191=3,$E191=1,$E191=4),AV191,AU191))),IF($D191="Pressio.",
IF($E191=3,AV191,AU191),
IF($D191="Pénétro.",
IF($E191=4,AV191,AU191))))</f>
        <v>#N/A</v>
      </c>
      <c r="AX191" s="31" t="e">
        <f>(IF(OR(Hypothèses!$B$4=17,Hypothèses!$B$4=18,Hypothèses!$B$4=19,Hypothèses!$B$4=20),
IF($D191="Pressio.",
IF(OR($E191=3,$E191=1,$E191=4),(PI()*AX$12^2)/4*(AT191*$W191*1000)/($H191*$B$5),(PI()*AX$12^2)/4*(AT191*$W191*1000)/($G191*$B$5)),
IF($D191="Pénétro.",
IF(OR($E191=4,$E191=1,$E191=5),(PI()*AX$12^2)/4*(AT191*$W191*1000)/($H191*$B$5),(PI()*AX$12^2)/4*(AT191*$W191*1000)/($G191*$B$5)))),
IF($D191="Pressio.",
IF($E191=3,(PI()*AX$12^2)/4*(AT191*$W191*1000)/($H191*$B$5),(PI()*AX$12^2)/4*(AT191*$W191*1000)/($G191*$B$5)),
IF($D191="Pénétro.",
IF($E191=4,(PI()*AX$12^2)/4*(AT191*$W191*1000)/($H191*$B$5),(PI()*AX$12^2)/4*(AT191*$W191*1000)/($G191*$B$5))))))/10</f>
        <v>#N/A</v>
      </c>
      <c r="AY191" s="102" t="e">
        <f>(VLOOKUP($B$3,'Coeff EC7'!$T$39:$X$59,2,0)*AW191+VLOOKUP($B$3,'Coeff EC7'!$T$65:$X$85,2,0)*Model0.1C!AX191)/1.1</f>
        <v>#N/A</v>
      </c>
      <c r="AZ191" s="102" t="e">
        <f>(VLOOKUP($B$3,'Coeff EC7'!$T$39:$X$59,3,0)*AW191+VLOOKUP($B$3,'Coeff EC7'!$T$65:$X$85,3,0)*Model0.1C!AX191)/0.9</f>
        <v>#N/A</v>
      </c>
      <c r="BA191" s="102" t="e">
        <f t="shared" si="273"/>
        <v>#N/A</v>
      </c>
      <c r="BB191" s="102" t="e">
        <f t="shared" si="274"/>
        <v>#N/A</v>
      </c>
      <c r="BC191" s="414" t="e">
        <f>IF(BC190=0,0,IF(AND(AY191&gt;charge_ELS_quasi,AZ191&gt;Charge_ELS_freq,BA191&gt;charge_ELU,BB191&gt;charge_ELA,$B191&gt;NDC!$H$22-0.1+MIN(3*$BC$12,1.5)),0,1))</f>
        <v>#N/A</v>
      </c>
      <c r="BD191" s="86" t="b">
        <f t="shared" si="244"/>
        <v>0</v>
      </c>
      <c r="BE191" s="86">
        <f t="shared" si="275"/>
        <v>0.5</v>
      </c>
      <c r="BF191" s="86">
        <f t="shared" si="245"/>
        <v>0.5</v>
      </c>
      <c r="BG191" s="30" t="e">
        <f t="shared" ca="1" si="276"/>
        <v>#DIV/0!</v>
      </c>
      <c r="BH191" s="85" t="e">
        <f ca="1">IF(AN191&lt;=Hypothèses!$V$7,Hypothèses!$W$7,IF(AN191&lt;=Hypothèses!$V$8,Hypothèses!$W$8,IF(AN191&lt;=Hypothèses!$V$9,Hypothèses!$W$9,IF(AN191&lt;=Hypothèses!$V$10,Hypothèses!$W$10,IF(AN191&lt;=Hypothèses!$V$11,Hypothèses!$W$11,IF(AN191&lt;=Hypothèses!$V$12,Hypothèses!$W$12,IF(AN191&lt;=Hypothèses!$V$13,Hypothèses!$W$13,IF(AN191&lt;=Hypothèses!$V$14,Hypothèses!$W$14,IF(AN191&lt;=Hypothèses!$V$15,Hypothèses!$W$15,IF(AN191&lt;=Hypothèses!$V$16,Hypothèses!$W$16,IF(AN191&lt;=Hypothèses!$V$17,Hypothèses!$W$17,IF(AN191&lt;=Hypothèses!$V$18,Hypothèses!$W$18,""))))))))))))</f>
        <v>#DIV/0!</v>
      </c>
      <c r="BI191" s="87" t="e">
        <f t="shared" ca="1" si="318"/>
        <v>#DIV/0!</v>
      </c>
      <c r="BJ191" s="88" t="e">
        <f ca="1">IF(AN191&lt;=Hypothèses!$V$7,Hypothèses!$X$7,IF(AN191&lt;=Hypothèses!$V$8,Hypothèses!$X$8,IF(AN191&lt;=Hypothèses!$V$9,Hypothèses!$X$9,IF(AN191&lt;=Hypothèses!$V$10,Hypothèses!$X$10,IF(AN191&lt;=Hypothèses!$V$11,Hypothèses!$X$11,IF(AN191&lt;=Hypothèses!$V$12,Hypothèses!$X$12,IF(AN191&lt;=Hypothèses!$V$13,Hypothèses!$X$13,IF(AN191&lt;=Hypothèses!$V$14,Hypothèses!$X$14,IF(AN191&lt;=Hypothèses!$V$15,Hypothèses!$X$15,IF(AN191&lt;=Hypothèses!$V$16,Hypothèses!$X$16,IF(AN191&lt;=Hypothèses!$U$17,Hypothèses!$W$17,IF(AN191&lt;=Hypothèses!$U$18,Hypothèses!$W$18,""))))))))))))</f>
        <v>#DIV/0!</v>
      </c>
      <c r="BK191" s="95" t="e">
        <f t="shared" ca="1" si="277"/>
        <v>#DIV/0!</v>
      </c>
      <c r="BL191" s="101" t="e">
        <f t="shared" si="325"/>
        <v>#N/A</v>
      </c>
      <c r="BM191" s="91" t="e">
        <f t="shared" si="246"/>
        <v>#N/A</v>
      </c>
      <c r="BN191" s="30" t="e">
        <f t="shared" si="304"/>
        <v>#N/A</v>
      </c>
      <c r="BO191" s="30" t="e">
        <f t="shared" si="305"/>
        <v>#N/A</v>
      </c>
      <c r="BP191" s="31" t="e">
        <f>IF(OR(Hypothèses!$B$4=17,Hypothèses!$B$4=18,Hypothèses!$B$4=19,Hypothèses!$B$4=20),
IF($D191="Pressio.",
IF(OR($E191=3,$E191=1,$E191=4),BO191,BN191),
IF($D191="Pénétro.",
IF(OR($E191=3,$E191=1,$E191=4),BO191,BN191))),IF($D191="Pressio.",
IF($E191=3,BO191,BN191),
IF($D191="Pénétro.",
IF($E191=4,BO191,BN191))))</f>
        <v>#N/A</v>
      </c>
      <c r="BQ191" s="31" t="e">
        <f>(IF(OR(Hypothèses!$B$4=17,Hypothèses!$B$4=18,Hypothèses!$B$4=19,Hypothèses!$B$4=20),
IF($D191="Pressio.",
IF(OR($E191=3,$E191=1,$E191=4),(PI()*BQ$12^2)/4*(BM191*$W191*1000)/($H191*$B$5),(PI()*BQ$12^2)/4*(BM191*$W191*1000)/($G191*$B$5)),
IF($D191="Pénétro.",
IF(OR($E191=4,$E191=1,$E191=5),(PI()*BQ$12^2)/4*(BM191*$W191*1000)/($H191*$B$5),(PI()*BQ$12^2)/4*(BM191*$W191*1000)/($G191*$B$5)))),
IF($D191="Pressio.",
IF($E191=3,(PI()*BQ$12^2)/4*(BM191*$W191*1000)/($H191*$B$5),(PI()*BQ$12^2)/4*(BM191*$W191*1000)/($G191*$B$5)),
IF($D191="Pénétro.",
IF($E191=4,(PI()*BQ$12^2)/4*(BM191*$W191*1000)/($H191*$B$5),(PI()*BQ$12^2)/4*(BM191*$W191*1000)/($G191*$B$5))))))/10</f>
        <v>#N/A</v>
      </c>
      <c r="BR191" s="102" t="e">
        <f>(VLOOKUP($B$3,'Coeff EC7'!$T$39:$X$59,2,0)*BP191+VLOOKUP($B$3,'Coeff EC7'!$T$65:$X$85,2,0)*Model0.1C!BQ191)/1.1</f>
        <v>#N/A</v>
      </c>
      <c r="BS191" s="102" t="e">
        <f>(VLOOKUP($B$3,'Coeff EC7'!$T$39:$X$59,3,0)*BP191+VLOOKUP($B$3,'Coeff EC7'!$T$65:$X$85,3,0)*Model0.1C!BQ191)/0.9</f>
        <v>#N/A</v>
      </c>
      <c r="BT191" s="102" t="e">
        <f t="shared" si="278"/>
        <v>#N/A</v>
      </c>
      <c r="BU191" s="102" t="e">
        <f t="shared" si="279"/>
        <v>#N/A</v>
      </c>
      <c r="BV191" s="414" t="e">
        <f>IF(BV190=0,0,IF(AND(BR191&gt;charge_ELS_quasi,BS191&gt;Charge_ELS_freq,BT191&gt;charge_ELU,BU191&gt;charge_ELA,$B191&gt;NDC!$H$22-0.1+MIN(3*$BV$12,1.5)),0,1))</f>
        <v>#N/A</v>
      </c>
      <c r="BW191" s="86" t="b">
        <f t="shared" si="247"/>
        <v>0</v>
      </c>
      <c r="BX191" s="86">
        <f t="shared" si="248"/>
        <v>0.5</v>
      </c>
      <c r="BY191" s="86">
        <f t="shared" si="249"/>
        <v>0.5</v>
      </c>
      <c r="BZ191" s="30" t="e">
        <f t="shared" ca="1" si="280"/>
        <v>#DIV/0!</v>
      </c>
      <c r="CA191" s="85" t="e">
        <f ca="1">IF(BG191&lt;=Hypothèses!$V$7,Hypothèses!$W$7,IF(BG191&lt;=Hypothèses!$V$8,Hypothèses!$W$8,IF(BG191&lt;=Hypothèses!$V$9,Hypothèses!$W$9,IF(BG191&lt;=Hypothèses!$V$10,Hypothèses!$W$10,IF(BG191&lt;=Hypothèses!$V$11,Hypothèses!$W$11,IF(BG191&lt;=Hypothèses!$V$12,Hypothèses!$W$12,IF(BG191&lt;=Hypothèses!$V$13,Hypothèses!$W$13,IF(BG191&lt;=Hypothèses!$V$14,Hypothèses!$W$14,IF(BG191&lt;=Hypothèses!$V$15,Hypothèses!$W$15,IF(BG191&lt;=Hypothèses!$V$16,Hypothèses!$W$16,IF(BG191&lt;=Hypothèses!$V$17,Hypothèses!$W$17,IF(BG191&lt;=Hypothèses!$V$18,Hypothèses!$W$18,""))))))))))))</f>
        <v>#DIV/0!</v>
      </c>
      <c r="CB191" s="87" t="e">
        <f t="shared" ca="1" si="319"/>
        <v>#DIV/0!</v>
      </c>
      <c r="CC191" s="88" t="e">
        <f ca="1">IF(BG191&lt;=Hypothèses!$V$7,Hypothèses!$X$7,IF(BG191&lt;=Hypothèses!$V$8,Hypothèses!$X$8,IF(BG191&lt;=Hypothèses!$V$9,Hypothèses!$X$9,IF(BG191&lt;=Hypothèses!$V$10,Hypothèses!$X$10,IF(BG191&lt;=Hypothèses!$V$11,Hypothèses!$X$11,IF(BG191&lt;=Hypothèses!$V$12,Hypothèses!$X$12,IF(BG191&lt;=Hypothèses!$V$13,Hypothèses!$X$13,IF(BG191&lt;=Hypothèses!$V$14,Hypothèses!$X$14,IF(BG191&lt;=Hypothèses!$V$15,Hypothèses!$X$15,IF(BG191&lt;=Hypothèses!$V$16,Hypothèses!$X$16,IF(BG191&lt;=Hypothèses!$U$17,Hypothèses!$W$17,IF(BG191&lt;=Hypothèses!$U$18,Hypothèses!$W$18,""))))))))))))</f>
        <v>#DIV/0!</v>
      </c>
      <c r="CD191" s="95" t="e">
        <f t="shared" ca="1" si="281"/>
        <v>#DIV/0!</v>
      </c>
      <c r="CE191" s="101" t="e">
        <f t="shared" si="326"/>
        <v>#N/A</v>
      </c>
      <c r="CF191" s="91" t="e">
        <f t="shared" si="250"/>
        <v>#N/A</v>
      </c>
      <c r="CG191" s="30" t="e">
        <f t="shared" si="306"/>
        <v>#N/A</v>
      </c>
      <c r="CH191" s="30" t="e">
        <f t="shared" si="307"/>
        <v>#N/A</v>
      </c>
      <c r="CI191" s="31" t="e">
        <f>IF(OR(Hypothèses!$B$4=17,Hypothèses!$B$4=18,Hypothèses!$B$4=19,Hypothèses!$B$4=20),
IF($D191="Pressio.",
IF(OR($E191=3,$E191=1,$E191=4),CH191,CG191),
IF($D191="Pénétro.",
IF(OR($E191=3,$E191=1,$E191=4),CH191,CG191))),IF($D191="Pressio.",
IF($E191=3,CH191,CG191),
IF($D191="Pénétro.",
IF($E191=4,CH191,CG191))))</f>
        <v>#N/A</v>
      </c>
      <c r="CJ191" s="31" t="e">
        <f>(IF(OR(Hypothèses!$B$4=17,Hypothèses!$B$4=18,Hypothèses!$B$4=19,Hypothèses!$B$4=20),
IF($D191="Pressio.",
IF(OR($E191=3,$E191=1,$E191=4),(PI()*CJ$12^2)/4*(CF191*$W191*1000)/($H191*$B$5),(PI()*CJ$12^2)/4*(CF191*$W191*1000)/($G191*$B$5)),
IF($D191="Pénétro.",
IF(OR($E191=4,$E191=1,$E191=5),(PI()*CJ$12^2)/4*(CF191*$W191*1000)/($H191*$B$5),(PI()*CJ$12^2)/4*(CF191*$W191*1000)/($G191*$B$5)))),
IF($D191="Pressio.",
IF($E191=3,(PI()*CJ$12^2)/4*(CF191*$W191*1000)/($H191*$B$5),(PI()*CJ$12^2)/4*(CF191*$W191*1000)/($G191*$B$5)),
IF($D191="Pénétro.",
IF($E191=4,(PI()*CJ$12^2)/4*(CF191*$W191*1000)/($H191*$B$5),(PI()*CJ$12^2)/4*(CF191*$W191*1000)/($G191*$B$5))))))/10</f>
        <v>#N/A</v>
      </c>
      <c r="CK191" s="102" t="e">
        <f>(VLOOKUP($B$3,'Coeff EC7'!$T$39:$X$59,2,0)*CI191+VLOOKUP($B$3,'Coeff EC7'!$T$65:$X$85,2,0)*Model0.1C!CJ191)/1.1</f>
        <v>#N/A</v>
      </c>
      <c r="CL191" s="102" t="e">
        <f>(VLOOKUP($B$3,'Coeff EC7'!$T$39:$X$59,3,0)*CI191+VLOOKUP($B$3,'Coeff EC7'!$T$65:$X$85,3,0)*Model0.1C!CJ191)/0.9</f>
        <v>#N/A</v>
      </c>
      <c r="CM191" s="102" t="e">
        <f t="shared" si="282"/>
        <v>#N/A</v>
      </c>
      <c r="CN191" s="102" t="e">
        <f t="shared" si="283"/>
        <v>#N/A</v>
      </c>
      <c r="CO191" s="414" t="e">
        <f>IF(CO190=0,0,IF(AND(CK191&gt;charge_ELS_quasi,CL191&gt;Charge_ELS_freq,CM191&gt;charge_ELU,CN191&gt;charge_ELA,$B191&gt;NDC!$H$22-0.1+MIN(3*$CO$12,1.5)),0,1))</f>
        <v>#N/A</v>
      </c>
      <c r="CP191" s="86" t="b">
        <f t="shared" si="251"/>
        <v>0</v>
      </c>
      <c r="CQ191" s="86">
        <f t="shared" si="252"/>
        <v>0.5</v>
      </c>
      <c r="CR191" s="86">
        <f t="shared" si="253"/>
        <v>0.5</v>
      </c>
      <c r="CS191" s="30" t="e">
        <f t="shared" ca="1" si="284"/>
        <v>#DIV/0!</v>
      </c>
      <c r="CT191" s="85" t="e">
        <f ca="1">IF(BZ191&lt;=Hypothèses!$V$7,Hypothèses!$W$7,IF(BZ191&lt;=Hypothèses!$V$8,Hypothèses!$W$8,IF(BZ191&lt;=Hypothèses!$V$9,Hypothèses!$W$9,IF(BZ191&lt;=Hypothèses!$V$10,Hypothèses!$W$10,IF(BZ191&lt;=Hypothèses!$V$11,Hypothèses!$W$11,IF(BZ191&lt;=Hypothèses!$V$12,Hypothèses!$W$12,IF(BZ191&lt;=Hypothèses!$V$13,Hypothèses!$W$13,IF(BZ191&lt;=Hypothèses!$V$14,Hypothèses!$W$14,IF(BZ191&lt;=Hypothèses!$V$15,Hypothèses!$W$15,IF(BZ191&lt;=Hypothèses!$V$16,Hypothèses!$W$16,IF(BZ191&lt;=Hypothèses!$V$17,Hypothèses!$W$17,IF(BZ191&lt;=Hypothèses!$V$18,Hypothèses!$W$18,""))))))))))))</f>
        <v>#DIV/0!</v>
      </c>
      <c r="CU191" s="87" t="e">
        <f t="shared" ca="1" si="320"/>
        <v>#DIV/0!</v>
      </c>
      <c r="CV191" s="88" t="e">
        <f ca="1">IF(BZ191&lt;=Hypothèses!$V$7,Hypothèses!$X$7,IF(BZ191&lt;=Hypothèses!$V$8,Hypothèses!$X$8,IF(BZ191&lt;=Hypothèses!$V$9,Hypothèses!$X$9,IF(BZ191&lt;=Hypothèses!$V$10,Hypothèses!$X$10,IF(BZ191&lt;=Hypothèses!$V$11,Hypothèses!$X$11,IF(BZ191&lt;=Hypothèses!$V$12,Hypothèses!$X$12,IF(BZ191&lt;=Hypothèses!$V$13,Hypothèses!$X$13,IF(BZ191&lt;=Hypothèses!$V$14,Hypothèses!$X$14,IF(BZ191&lt;=Hypothèses!$V$15,Hypothèses!$X$15,IF(BZ191&lt;=Hypothèses!$V$16,Hypothèses!$X$16,IF(BZ191&lt;=Hypothèses!$U$17,Hypothèses!$W$17,IF(BZ191&lt;=Hypothèses!$U$18,Hypothèses!$W$18,""))))))))))))</f>
        <v>#DIV/0!</v>
      </c>
      <c r="CW191" s="95" t="e">
        <f t="shared" ca="1" si="285"/>
        <v>#DIV/0!</v>
      </c>
      <c r="CX191" s="101" t="e">
        <f t="shared" si="327"/>
        <v>#N/A</v>
      </c>
      <c r="CY191" s="91" t="e">
        <f t="shared" si="254"/>
        <v>#N/A</v>
      </c>
      <c r="CZ191" s="30" t="e">
        <f t="shared" si="308"/>
        <v>#N/A</v>
      </c>
      <c r="DA191" s="30" t="e">
        <f t="shared" si="309"/>
        <v>#N/A</v>
      </c>
      <c r="DB191" s="31" t="e">
        <f>IF(OR(Hypothèses!$B$4=17,Hypothèses!$B$4=18,Hypothèses!$B$4=19,Hypothèses!$B$4=20),
IF($D191="Pressio.",
IF(OR($E191=3,$E191=1,$E191=4),DA191,CZ191),
IF($D191="Pénétro.",
IF(OR($E191=3,$E191=1,$E191=4),DA191,CZ191))),IF($D191="Pressio.",
IF($E191=3,DA191,CZ191),
IF($D191="Pénétro.",
IF($E191=4,DA191,CZ191))))</f>
        <v>#N/A</v>
      </c>
      <c r="DC191" s="31" t="e">
        <f>(IF(OR(Hypothèses!$B$4=17,Hypothèses!$B$4=18,Hypothèses!$B$4=19,Hypothèses!$B$4=20),
IF($D191="Pressio.",
IF(OR($E191=3,$E191=1,$E191=4),(PI()*DC$12^2)/4*(CY191*$W191*1000)/($H191*$B$5),(PI()*DC$12^2)/4*(CY191*$W191*1000)/($G191*$B$5)),
IF($D191="Pénétro.",
IF(OR($E191=4,$E191=1,$E191=5),(PI()*DC$12^2)/4*(CY191*$W191*1000)/($H191*$B$5),(PI()*DC$12^2)/4*(CY191*$W191*1000)/($G191*$B$5)))),
IF($D191="Pressio.",
IF($E191=3,(PI()*DC$12^2)/4*(CY191*$W191*1000)/($H191*$B$5),(PI()*DC$12^2)/4*(CY191*$W191*1000)/($G191*$B$5)),
IF($D191="Pénétro.",
IF($E191=4,(PI()*DC$12^2)/4*(CY191*$W191*1000)/($H191*$B$5),(PI()*DC$12^2)/4*(CY191*$W191*1000)/($G191*$B$5))))))/10</f>
        <v>#N/A</v>
      </c>
      <c r="DD191" s="102" t="e">
        <f>(VLOOKUP($B$3,'Coeff EC7'!$T$39:$X$59,2,0)*DB191+VLOOKUP($B$3,'Coeff EC7'!$T$65:$X$85,2,0)*Model0.1C!DC191)/1.1</f>
        <v>#N/A</v>
      </c>
      <c r="DE191" s="102" t="e">
        <f>(VLOOKUP($B$3,'Coeff EC7'!$T$39:$X$59,3,0)*DB191+VLOOKUP($B$3,'Coeff EC7'!$T$65:$X$85,3,0)*Model0.1C!DC191)/0.9</f>
        <v>#N/A</v>
      </c>
      <c r="DF191" s="102" t="e">
        <f t="shared" si="286"/>
        <v>#N/A</v>
      </c>
      <c r="DG191" s="102" t="e">
        <f t="shared" si="287"/>
        <v>#N/A</v>
      </c>
      <c r="DH191" s="414" t="e">
        <f>IF(DH190=0,0,IF(AND(DD191&gt;charge_ELS_quasi,DE191&gt;Charge_ELS_freq,DF191&gt;charge_ELU,DG191&gt;charge_ELA,$B191&gt;NDC!$H$22-0.1+MIN(3*$DH$12,1.5)),0,1))</f>
        <v>#N/A</v>
      </c>
      <c r="DI191" s="86" t="b">
        <f t="shared" si="255"/>
        <v>0</v>
      </c>
      <c r="DJ191" s="86">
        <f t="shared" si="256"/>
        <v>0.5</v>
      </c>
      <c r="DK191" s="86">
        <f t="shared" si="257"/>
        <v>0.5</v>
      </c>
      <c r="DL191" s="30" t="e">
        <f t="shared" ca="1" si="288"/>
        <v>#DIV/0!</v>
      </c>
      <c r="DM191" s="85" t="e">
        <f ca="1">IF(CS191&lt;=Hypothèses!$V$7,Hypothèses!$W$7,IF(CS191&lt;=Hypothèses!$V$8,Hypothèses!$W$8,IF(CS191&lt;=Hypothèses!$V$9,Hypothèses!$W$9,IF(CS191&lt;=Hypothèses!$V$10,Hypothèses!$W$10,IF(CS191&lt;=Hypothèses!$V$11,Hypothèses!$W$11,IF(CS191&lt;=Hypothèses!$V$12,Hypothèses!$W$12,IF(CS191&lt;=Hypothèses!$V$13,Hypothèses!$W$13,IF(CS191&lt;=Hypothèses!$V$14,Hypothèses!$W$14,IF(CS191&lt;=Hypothèses!$V$15,Hypothèses!$W$15,IF(CS191&lt;=Hypothèses!$V$16,Hypothèses!$W$16,IF(CS191&lt;=Hypothèses!$V$17,Hypothèses!$W$17,IF(CS191&lt;=Hypothèses!$V$18,Hypothèses!$W$18,""))))))))))))</f>
        <v>#DIV/0!</v>
      </c>
      <c r="DN191" s="87" t="e">
        <f t="shared" ca="1" si="321"/>
        <v>#DIV/0!</v>
      </c>
      <c r="DO191" s="88" t="e">
        <f ca="1">IF(CS191&lt;=Hypothèses!$V$7,Hypothèses!$X$7,IF(CS191&lt;=Hypothèses!$V$8,Hypothèses!$X$8,IF(CS191&lt;=Hypothèses!$V$9,Hypothèses!$X$9,IF(CS191&lt;=Hypothèses!$V$10,Hypothèses!$X$10,IF(CS191&lt;=Hypothèses!$V$11,Hypothèses!$X$11,IF(CS191&lt;=Hypothèses!$V$12,Hypothèses!$X$12,IF(CS191&lt;=Hypothèses!$V$13,Hypothèses!$X$13,IF(CS191&lt;=Hypothèses!$V$14,Hypothèses!$X$14,IF(CS191&lt;=Hypothèses!$V$15,Hypothèses!$X$15,IF(CS191&lt;=Hypothèses!$V$16,Hypothèses!$X$16,IF(CS191&lt;=Hypothèses!$U$17,Hypothèses!$W$17,IF(CS191&lt;=Hypothèses!$U$18,Hypothèses!$W$18,""))))))))))))</f>
        <v>#DIV/0!</v>
      </c>
      <c r="DP191" s="95" t="e">
        <f t="shared" ca="1" si="289"/>
        <v>#DIV/0!</v>
      </c>
      <c r="DQ191" s="101" t="e">
        <f t="shared" si="328"/>
        <v>#N/A</v>
      </c>
      <c r="DR191" s="91" t="e">
        <f t="shared" si="258"/>
        <v>#N/A</v>
      </c>
      <c r="DS191" s="30" t="e">
        <f t="shared" si="310"/>
        <v>#N/A</v>
      </c>
      <c r="DT191" s="30" t="e">
        <f t="shared" si="311"/>
        <v>#N/A</v>
      </c>
      <c r="DU191" s="31" t="e">
        <f>IF(OR(Hypothèses!$B$4=17,Hypothèses!$B$4=18,Hypothèses!$B$4=19,Hypothèses!$B$4=20),
IF($D191="Pressio.",
IF(OR($E191=3,$E191=1,$E191=4),DT191,DS191),
IF($D191="Pénétro.",
IF(OR($E191=3,$E191=1,$E191=4),DT191,DS191))),IF($D191="Pressio.",
IF($E191=3,DT191,DS191),
IF($D191="Pénétro.",
IF($E191=4,DT191,DS191))))</f>
        <v>#N/A</v>
      </c>
      <c r="DV191" s="31" t="e">
        <f>(IF(OR(Hypothèses!$B$4=17,Hypothèses!$B$4=18,Hypothèses!$B$4=19,Hypothèses!$B$4=20),
IF($D191="Pressio.",
IF(OR($E191=3,$E191=1,$E191=4),(PI()*DV$12^2)/4*(DR191*$W191*1000)/($H191*$B$5),(PI()*DV$12^2)/4*(DR191*$W191*1000)/($G191*$B$5)),
IF($D191="Pénétro.",
IF(OR($E191=4,$E191=1,$E191=5),(PI()*DV$12^2)/4*(DR191*$W191*1000)/($H191*$B$5),(PI()*DV$12^2)/4*(DR191*$W191*1000)/($G191*$B$5)))),
IF($D191="Pressio.",
IF($E191=3,(PI()*DV$12^2)/4*(DR191*$W191*1000)/($H191*$B$5),(PI()*DV$12^2)/4*(DR191*$W191*1000)/($G191*$B$5)),
IF($D191="Pénétro.",
IF($E191=4,(PI()*DV$12^2)/4*(DR191*$W191*1000)/($H191*$B$5),(PI()*DV$12^2)/4*(DR191*$W191*1000)/($G191*$B$5))))))/10</f>
        <v>#N/A</v>
      </c>
      <c r="DW191" s="102" t="e">
        <f>(VLOOKUP($B$3,'Coeff EC7'!$T$39:$X$59,2,0)*DU191+VLOOKUP($B$3,'Coeff EC7'!$T$65:$X$85,2,0)*Model0.1C!DV191)/1.1</f>
        <v>#N/A</v>
      </c>
      <c r="DX191" s="102" t="e">
        <f>(VLOOKUP($B$3,'Coeff EC7'!$T$39:$X$59,3,0)*DU191+VLOOKUP($B$3,'Coeff EC7'!$T$65:$X$85,3,0)*Model0.1C!DV191)/0.9</f>
        <v>#N/A</v>
      </c>
      <c r="DY191" s="102" t="e">
        <f t="shared" si="290"/>
        <v>#N/A</v>
      </c>
      <c r="DZ191" s="102" t="e">
        <f t="shared" si="291"/>
        <v>#N/A</v>
      </c>
      <c r="EA191" s="414" t="e">
        <f>IF(EA190=0,0,IF(AND(DW191&gt;charge_ELS_quasi,DX191&gt;Charge_ELS_freq,DY191&gt;charge_ELU,DZ191&gt;charge_ELA,$B191&gt;NDC!$H$22-0.1+MIN(3*$EA$12,1.5)),0,1))</f>
        <v>#N/A</v>
      </c>
      <c r="EB191" s="86" t="b">
        <f t="shared" si="259"/>
        <v>0</v>
      </c>
      <c r="EC191" s="418">
        <f t="shared" si="260"/>
        <v>0.51</v>
      </c>
      <c r="ED191" s="86">
        <f t="shared" si="261"/>
        <v>0.51</v>
      </c>
      <c r="EE191" s="30" t="e">
        <f t="shared" ca="1" si="292"/>
        <v>#DIV/0!</v>
      </c>
      <c r="EF191" s="85" t="e">
        <f ca="1">IF(DL191&lt;=Hypothèses!$V$7,Hypothèses!$W$7,IF(DL191&lt;=Hypothèses!$V$8,Hypothèses!$W$8,IF(DL191&lt;=Hypothèses!$V$9,Hypothèses!$W$9,IF(DL191&lt;=Hypothèses!$V$10,Hypothèses!$W$10,IF(DL191&lt;=Hypothèses!$V$11,Hypothèses!$W$11,IF(DL191&lt;=Hypothèses!$V$12,Hypothèses!$W$12,IF(DL191&lt;=Hypothèses!$V$13,Hypothèses!$W$13,IF(DL191&lt;=Hypothèses!$V$14,Hypothèses!$W$14,IF(DL191&lt;=Hypothèses!$V$15,Hypothèses!$W$15,IF(DL191&lt;=Hypothèses!$V$16,Hypothèses!$W$16,IF(DL191&lt;=Hypothèses!$V$17,Hypothèses!$W$17,IF(DL191&lt;=Hypothèses!$V$18,Hypothèses!$W$18,""))))))))))))</f>
        <v>#DIV/0!</v>
      </c>
      <c r="EG191" s="87" t="e">
        <f t="shared" ca="1" si="322"/>
        <v>#DIV/0!</v>
      </c>
      <c r="EH191" s="88" t="e">
        <f ca="1">IF(DL191&lt;=Hypothèses!$V$7,Hypothèses!$X$7,IF(DL191&lt;=Hypothèses!$V$8,Hypothèses!$X$8,IF(DL191&lt;=Hypothèses!$V$9,Hypothèses!$X$9,IF(DL191&lt;=Hypothèses!$V$10,Hypothèses!$X$10,IF(DL191&lt;=Hypothèses!$V$11,Hypothèses!$X$11,IF(DL191&lt;=Hypothèses!$V$12,Hypothèses!$X$12,IF(DL191&lt;=Hypothèses!$V$13,Hypothèses!$X$13,IF(DL191&lt;=Hypothèses!$V$14,Hypothèses!$X$14,IF(DL191&lt;=Hypothèses!$V$15,Hypothèses!$X$15,IF(DL191&lt;=Hypothèses!$V$16,Hypothèses!$X$16,IF(DL191&lt;=Hypothèses!$U$17,Hypothèses!$W$17,IF(DL191&lt;=Hypothèses!$U$18,Hypothèses!$W$18,""))))))))))))</f>
        <v>#DIV/0!</v>
      </c>
      <c r="EI191" s="95" t="e">
        <f t="shared" ca="1" si="293"/>
        <v>#DIV/0!</v>
      </c>
      <c r="EJ191" s="101" t="e">
        <f t="shared" si="329"/>
        <v>#N/A</v>
      </c>
      <c r="EK191" s="91" t="e">
        <f t="shared" si="262"/>
        <v>#N/A</v>
      </c>
      <c r="EL191" s="30" t="e">
        <f t="shared" si="312"/>
        <v>#N/A</v>
      </c>
      <c r="EM191" s="30" t="e">
        <f t="shared" si="313"/>
        <v>#N/A</v>
      </c>
      <c r="EN191" s="31" t="e">
        <f>IF(OR(Hypothèses!$B$4=17,Hypothèses!$B$4=18,Hypothèses!$B$4=19,Hypothèses!$B$4=20),
IF($D191="Pressio.",
IF(OR($E191=3,$E191=1,$E191=4),EM191,EL191),
IF($D191="Pénétro.",
IF(OR($E191=3,$E191=1,$E191=4),EM191,EL191))),IF($D191="Pressio.",
IF($E191=3,EM191,EL191),
IF($D191="Pénétro.",
IF($E191=4,EM191,EL191))))</f>
        <v>#N/A</v>
      </c>
      <c r="EO191" s="31" t="e">
        <f>(IF(OR(Hypothèses!$B$4=17,Hypothèses!$B$4=18,Hypothèses!$B$4=19,Hypothèses!$B$4=20),
IF($D191="Pressio.",
IF(OR($E191=3,$E191=1,$E191=4),(PI()*EO$12^2)/4*(EK191*$W191*1000)/($H191*$B$5),(PI()*EO$12^2)/4*(EK191*$W191*1000)/($G191*$B$5)),
IF($D191="Pénétro.",
IF(OR($E191=4,$E191=1,$E191=5),(PI()*EO$12^2)/4*(EK191*$W191*1000)/($H191*$B$5),(PI()*EO$12^2)/4*(EK191*$W191*1000)/($G191*$B$5)))),
IF($D191="Pressio.",
IF($E191=3,(PI()*EO$12^2)/4*(EK191*$W191*1000)/($H191*$B$5),(PI()*EO$12^2)/4*(EK191*$W191*1000)/($G191*$B$5)),
IF($D191="Pénétro.",
IF($E191=4,(PI()*EO$12^2)/4*(EK191*$W191*1000)/($H191*$B$5),(PI()*EO$12^2)/4*(EK191*$W191*1000)/($G191*$B$5))))))/10</f>
        <v>#N/A</v>
      </c>
      <c r="EP191" s="102" t="e">
        <f>(VLOOKUP($B$3,'Coeff EC7'!$T$39:$X$59,2,0)*EN191+VLOOKUP($B$3,'Coeff EC7'!$T$65:$X$85,2,0)*Model0.1C!EO191)/1.1</f>
        <v>#N/A</v>
      </c>
      <c r="EQ191" s="102" t="e">
        <f>(VLOOKUP($B$3,'Coeff EC7'!$T$39:$X$59,3,0)*EN191+VLOOKUP($B$3,'Coeff EC7'!$T$65:$X$85,3,0)*Model0.1C!EO191)/0.9</f>
        <v>#N/A</v>
      </c>
      <c r="ER191" s="102" t="e">
        <f t="shared" si="294"/>
        <v>#N/A</v>
      </c>
      <c r="ES191" s="102" t="e">
        <f t="shared" si="295"/>
        <v>#N/A</v>
      </c>
      <c r="ET191" s="414" t="e">
        <f>IF(ET190=0,0,IF(AND(EP191&gt;charge_ELS_quasi,EQ191&gt;Charge_ELS_freq,ER191&gt;charge_ELU,ES191&gt;charge_ELA,$B191&gt;NDC!$H$22-0.1+MIN(3*$ET$12,1.5)),0,1))</f>
        <v>#N/A</v>
      </c>
      <c r="EU191" s="86" t="b">
        <f t="shared" si="263"/>
        <v>0</v>
      </c>
      <c r="EV191" s="86">
        <f t="shared" si="264"/>
        <v>0.61</v>
      </c>
      <c r="EW191" s="86">
        <f t="shared" si="265"/>
        <v>0.61</v>
      </c>
      <c r="EX191" s="30" t="e">
        <f t="shared" ca="1" si="296"/>
        <v>#DIV/0!</v>
      </c>
      <c r="EY191" s="85" t="e">
        <f ca="1">IF(EE191&lt;=Hypothèses!$V$7,Hypothèses!$W$7,IF(EE191&lt;=Hypothèses!$V$8,Hypothèses!$W$8,IF(EE191&lt;=Hypothèses!$V$9,Hypothèses!$W$9,IF(EE191&lt;=Hypothèses!$V$10,Hypothèses!$W$10,IF(EE191&lt;=Hypothèses!$V$11,Hypothèses!$W$11,IF(EE191&lt;=Hypothèses!$V$12,Hypothèses!$W$12,IF(EE191&lt;=Hypothèses!$V$13,Hypothèses!$W$13,IF(EE191&lt;=Hypothèses!$V$14,Hypothèses!$W$14,IF(EE191&lt;=Hypothèses!$V$15,Hypothèses!$W$15,IF(EE191&lt;=Hypothèses!$V$16,Hypothèses!$W$16,IF(EE191&lt;=Hypothèses!$V$17,Hypothèses!$W$17,IF(EE191&lt;=Hypothèses!$V$18,Hypothèses!$W$18,""))))))))))))</f>
        <v>#DIV/0!</v>
      </c>
      <c r="EZ191" s="87" t="e">
        <f t="shared" ca="1" si="323"/>
        <v>#DIV/0!</v>
      </c>
      <c r="FA191" s="88" t="e">
        <f ca="1">IF(EE191&lt;=Hypothèses!$V$7,Hypothèses!$X$7,IF(EE191&lt;=Hypothèses!$V$8,Hypothèses!$X$8,IF(EE191&lt;=Hypothèses!$V$9,Hypothèses!$X$9,IF(EE191&lt;=Hypothèses!$V$10,Hypothèses!$X$10,IF(EE191&lt;=Hypothèses!$V$11,Hypothèses!$X$11,IF(EE191&lt;=Hypothèses!$V$12,Hypothèses!$X$12,IF(EE191&lt;=Hypothèses!$V$13,Hypothèses!$X$13,IF(EE191&lt;=Hypothèses!$V$14,Hypothèses!$X$14,IF(EE191&lt;=Hypothèses!$V$15,Hypothèses!$X$15,IF(EE191&lt;=Hypothèses!$V$16,Hypothèses!$X$16,IF(EE191&lt;=Hypothèses!$U$17,Hypothèses!$W$17,IF(EE191&lt;=Hypothèses!$U$18,Hypothèses!$W$18,""))))))))))))</f>
        <v>#DIV/0!</v>
      </c>
      <c r="FB191" s="95" t="e">
        <f t="shared" ca="1" si="297"/>
        <v>#DIV/0!</v>
      </c>
      <c r="FC191" s="101" t="e">
        <f t="shared" si="330"/>
        <v>#N/A</v>
      </c>
      <c r="FD191" s="91" t="e">
        <f t="shared" si="266"/>
        <v>#N/A</v>
      </c>
      <c r="FE191" s="30" t="e">
        <f t="shared" si="314"/>
        <v>#N/A</v>
      </c>
      <c r="FF191" s="30" t="e">
        <f t="shared" si="315"/>
        <v>#N/A</v>
      </c>
      <c r="FG191" s="31" t="e">
        <f>IF(OR(Hypothèses!$B$4=17,Hypothèses!$B$4=18,Hypothèses!$B$4=19,Hypothèses!$B$4=20),
IF($D191="Pressio.",
IF(OR($E191=3,$E191=1,$E191=4),FF191,FE191),
IF($D191="Pénétro.",
IF(OR($E191=3,$E191=1,$E191=4),FF191,FE191))),IF($D191="Pressio.",
IF($E191=3,FF191,FE191),
IF($D191="Pénétro.",
IF($E191=4,FF191,FE191))))</f>
        <v>#N/A</v>
      </c>
      <c r="FH191" s="31" t="e">
        <f>(IF(OR(Hypothèses!$B$4=17,Hypothèses!$B$4=18,Hypothèses!$B$4=19,Hypothèses!$B$4=20),
IF($D191="Pressio.",
IF(OR($E191=3,$E191=1,$E191=4),(PI()*FH$12^2)/4*(FD191*$W191*1000)/($H191*$B$5),(PI()*FH$12^2)/4*(FD191*$W191*1000)/($G191*$B$5)),
IF($D191="Pénétro.",
IF(OR($E191=4,$E191=1,$E191=5),(PI()*FH$12^2)/4*(FD191*$W191*1000)/($H191*$B$5),(PI()*FH$12^2)/4*(FD191*$W191*1000)/($G191*$B$5)))),
IF($D191="Pressio.",
IF($E191=3,(PI()*FH$12^2)/4*(FD191*$W191*1000)/($H191*$B$5),(PI()*FH$12^2)/4*(FD191*$W191*1000)/($G191*$B$5)),
IF($D191="Pénétro.",
IF($E191=4,(PI()*FH$12^2)/4*(FD191*$W191*1000)/($H191*$B$5),(PI()*FH$12^2)/4*(FD191*$W191*1000)/($G191*$B$5))))))/10</f>
        <v>#N/A</v>
      </c>
      <c r="FI191" s="102" t="e">
        <f>(VLOOKUP($B$3,'Coeff EC7'!$T$39:$X$59,2,0)*FG191+VLOOKUP($B$3,'Coeff EC7'!$T$65:$X$85,2,0)*Model0.1C!FH191)/1.1</f>
        <v>#N/A</v>
      </c>
      <c r="FJ191" s="102" t="e">
        <f>(VLOOKUP($B$3,'Coeff EC7'!$T$39:$X$59,3,0)*FG191+VLOOKUP($B$3,'Coeff EC7'!$T$65:$X$85,3,0)*Model0.1C!FH191)/0.9</f>
        <v>#N/A</v>
      </c>
      <c r="FK191" s="102" t="e">
        <f t="shared" si="298"/>
        <v>#N/A</v>
      </c>
      <c r="FL191" s="102" t="e">
        <f t="shared" si="299"/>
        <v>#N/A</v>
      </c>
      <c r="FM191" s="414" t="e">
        <f>IF(FM190=0,0,IF(AND(FI191&gt;charge_ELS_quasi,FJ191&gt;Charge_ELS_freq,FK191&gt;charge_ELU,FL191&gt;charge_ELA,$B191&gt;NDC!$H$22-0.1+MIN(3*$FM$12,1.5)),0,1))</f>
        <v>#N/A</v>
      </c>
    </row>
    <row r="192" spans="1:169">
      <c r="A192" s="96">
        <f t="shared" si="267"/>
        <v>82.100000000001017</v>
      </c>
      <c r="B192" s="97">
        <v>17.899999999999999</v>
      </c>
      <c r="C192" s="81">
        <f>IF(B192&lt;=Hypothèses!$C$7,Hypothèses!$A$7,IF(B192&lt;=Hypothèses!$C$8,Hypothèses!$A$8,IF(B192&lt;=Hypothèses!$C$9,Hypothèses!$A$9,IF(B192&lt;=Hypothèses!$C$10,Hypothèses!$A$10,IF(B192&lt;=Hypothèses!$C$11,Hypothèses!$A$11,IF(B192&lt;=Hypothèses!$C$12,Hypothèses!$A$12,IF(B192&lt;=Hypothèses!$C$13,Hypothèses!$A$13,IF(B192&lt;=Hypothèses!$C$14,Hypothèses!$A$14,IF(B192&lt;=Hypothèses!$C$15,Hypothèses!$A$15,IF(B192&lt;=Hypothèses!$C$16,Hypothèses!$A$16,IF(B192&lt;=Hypothèses!$C$17,Hypothèses!$A$17,IF(B192&lt;=Hypothèses!$C$18,Hypothèses!$A$18,C191))))))))))))</f>
        <v>11</v>
      </c>
      <c r="D192" s="82" t="str">
        <f>IF(B192&lt;=Hypothèses!$C$7,Hypothèses!$R$7,IF(B192&lt;=Hypothèses!$C$8,Hypothèses!$R$8,IF(B192&lt;=Hypothèses!$C$9,Hypothèses!$R$9,IF(B192&lt;=Hypothèses!$C$10,Hypothèses!$R$10,IF(B192&lt;=Hypothèses!$C$11,Hypothèses!$R$11,IF(B192&lt;=Hypothèses!$C$12,Hypothèses!$R$12,IF(B192&lt;=Hypothèses!$C$13,Hypothèses!$R$13,IF(B192&lt;=Hypothèses!$C$14,Hypothèses!$R$14,IF(B192&lt;=Hypothèses!$C$15,Hypothèses!$R$15,IF(B192&lt;=Hypothèses!$C$16,Hypothèses!$R$16,IF(B192&lt;=Hypothèses!$C$17,Hypothèses!$R$17,IF(B192&lt;=Hypothèses!$C$18,Hypothèses!$R$18,D191))))))))))))</f>
        <v>Pressio.</v>
      </c>
      <c r="E192" s="82" t="e">
        <f>IF(B192&lt;=Hypothèses!$C$7,Hypothèses!$G$7,IF(B192&lt;=Hypothèses!$C$8,Hypothèses!$G$8,IF(B192&lt;=Hypothèses!$C$9,Hypothèses!$G$9,IF(B192&lt;=Hypothèses!$C$10,Hypothèses!$G$10,IF(B192&lt;=Hypothèses!$C$11,Hypothèses!$G$11,IF(B192&lt;=Hypothèses!$C$12,Hypothèses!$G$12,IF(B192&lt;=Hypothèses!$C$13,Hypothèses!$G$13,IF(B192&lt;=Hypothèses!$C$14,Hypothèses!$G$14,IF(B192&lt;=Hypothèses!$C$15,Hypothèses!$G$15,IF(B192&lt;=Hypothèses!$C$16,Hypothèses!$G$16,IF(B192&lt;=Hypothèses!$C$17,Hypothèses!$G$17,IF(B192&lt;=Hypothèses!$C$18,Hypothèses!$G$18,E191))))))))))))</f>
        <v>#N/A</v>
      </c>
      <c r="F192" s="82" t="str">
        <f>IF(B192&lt;=Hypothèses!$C$7,Hypothèses!$F$7,IF(B192&lt;=Hypothèses!$C$8,Hypothèses!$F$8,IF(B192&lt;=Hypothèses!$C$9,Hypothèses!$F$9,IF(B192&lt;=Hypothèses!$C$10,Hypothèses!$F$10,IF(B192&lt;=Hypothèses!$C$11,Hypothèses!$F$11,IF(B192&lt;=Hypothèses!$C$12,Hypothèses!$F$12,IF(B192&lt;=Hypothèses!$C$13,Hypothèses!$F$13,IF(B192&lt;=Hypothèses!$C$14,Hypothèses!$F$14,IF(B192&lt;=Hypothèses!$C$15,Hypothèses!$F$15,IF(B192&lt;=Hypothèses!$C$16,Hypothèses!$F$16,IF(B192&lt;=Hypothèses!$C$17,Hypothèses!$F$17,IF(B192&lt;=Hypothèses!$C$18,Hypothèses!$F$18,F191))))))))))))</f>
        <v/>
      </c>
      <c r="G192" s="91">
        <f t="array" ref="G192">INDEX('Coeff EC7'!$U$7:$X$27,
MATCH(Model0.1C!$B$3,'Coeff EC7'!$T$7:$T$27,0),
MATCH(Model0.1C!$D192&amp;Model0.1C!$B$4,
'Coeff EC7'!$U$6:$X$6&amp;
'Coeff EC7'!$U$5:$X$5,0))</f>
        <v>1.1499999999999999</v>
      </c>
      <c r="H192" s="91">
        <f t="array" ref="H192">INDEX('Coeff EC7'!$Y$7:$AB$27,
MATCH(Model0.1C!$B$3,'Coeff EC7'!$T$7:$T$27,0),
MATCH(Model0.1C!$D192&amp;Model0.1C!$B$4,
'Coeff EC7'!$Y$6:$AB$6&amp;
'Coeff EC7'!$Y$5:$AB$5,0))</f>
        <v>1.4</v>
      </c>
      <c r="I192" s="83" t="e">
        <f>IF(B192&lt;=Hypothèses!$C$7,Hypothèses!$P$7,IF(B192&lt;=Hypothèses!$C$8,Hypothèses!$P$8,IF(B192&lt;=Hypothèses!$C$9,Hypothèses!$P$9,IF(B192&lt;=Hypothèses!$C$10,Hypothèses!$P$10,IF(B192&lt;=Hypothèses!$C$11,Hypothèses!$P$11,IF(B192&lt;=Hypothèses!$C$12,Hypothèses!$P$12,IF(B192&lt;=Hypothèses!$C$13,Hypothèses!$P$13,IF(B192&lt;=Hypothèses!$C$14,Hypothèses!$P$14,IF(B192&lt;=Hypothèses!$C$15,Hypothèses!$P$15,IF(B192&lt;=Hypothèses!$C$16,Hypothèses!$P$16,IF(B192&lt;=Hypothèses!$C$17,Hypothèses!$P$17,IF(B192&lt;=Hypothèses!$C$18,Hypothèses!$P$18,I191))))))))))))</f>
        <v>#N/A</v>
      </c>
      <c r="J192" s="91" t="e">
        <f t="array" ref="J192">INDEX('Coeff EC7'!$D$33:$Q$33,1,MATCH(D192&amp;E192,'Coeff EC7'!$D$31:$Q$31&amp;'Coeff EC7'!$D$32:$Q$32,0))</f>
        <v>#N/A</v>
      </c>
      <c r="K192" s="91" t="e">
        <f t="array" ref="K192">INDEX('Coeff EC7'!$D$34:$Q$34,1,MATCH(D192&amp;E192,'Coeff EC7'!$D$31:$Q$31&amp;'Coeff EC7'!$D$32:$Q$32,0))</f>
        <v>#N/A</v>
      </c>
      <c r="L192" s="91" t="e">
        <f t="array" ref="L192">INDEX('Coeff EC7'!$D$35:$Q$35,1,MATCH(D192&amp;E192,'Coeff EC7'!$D$31:$Q$31&amp;'Coeff EC7'!$D$32:$Q$32,0))</f>
        <v>#N/A</v>
      </c>
      <c r="M192" s="98" t="e">
        <f t="shared" si="231"/>
        <v>#N/A</v>
      </c>
      <c r="N192" s="99" t="e">
        <f t="array" ref="N192">INDEX('Coeff EC7'!$D$7:$Q$27,MATCH($B$3,'Coeff EC7'!$C$7:$C$27,0),MATCH(D192&amp;E192,'Coeff EC7'!$D$5:$Q$5&amp;'Coeff EC7'!$D$6:$Q$6,0))</f>
        <v>#N/A</v>
      </c>
      <c r="O192" s="99" t="e">
        <f t="array" ref="O192">INDEX('Coeff EC7'!$D$41:$Q$61,MATCH($B$3,'Coeff EC7'!$C$41:$C$61,0),MATCH(D192&amp;E192,'Coeff EC7'!$D$39:$Q$39&amp;'Coeff EC7'!$D$40:$Q$40,0))</f>
        <v>#N/A</v>
      </c>
      <c r="P192" s="30" t="e">
        <f t="shared" si="268"/>
        <v>#N/A</v>
      </c>
      <c r="Q192" s="100" t="e">
        <f t="shared" si="233"/>
        <v>#N/A</v>
      </c>
      <c r="R192" s="86" t="b">
        <f t="shared" si="234"/>
        <v>0</v>
      </c>
      <c r="S192" s="86">
        <f t="shared" si="232"/>
        <v>0.5</v>
      </c>
      <c r="T192" s="86">
        <f t="shared" si="235"/>
        <v>0.5</v>
      </c>
      <c r="U192" s="30" t="e">
        <f t="shared" ca="1" si="269"/>
        <v>#DIV/0!</v>
      </c>
      <c r="V192" s="85" t="str">
        <f>IF(B192&lt;=Hypothèses!$V$7,Hypothèses!$W$7,IF(B192&lt;=Hypothèses!$V$8,Hypothèses!$W$8,IF(B192&lt;=Hypothèses!$V$9,Hypothèses!$W$9,IF(B192&lt;=Hypothèses!$V$10,Hypothèses!$W$10,IF(B192&lt;=Hypothèses!$V$11,Hypothèses!$W$11,IF(B192&lt;=Hypothèses!$V$12,Hypothèses!$W$12,IF(B192&lt;=Hypothèses!$V$13,Hypothèses!$W$13,IF(B192&lt;=Hypothèses!$V$14,Hypothèses!$W$14,IF(B192&lt;=Hypothèses!$V$15,Hypothèses!$W$15,IF(B192&lt;=Hypothèses!$V$16,Hypothèses!$W$16,IF(B192&lt;=Hypothèses!$V$17,Hypothèses!$W$17,IF(B192&lt;=Hypothèses!$V$18,Hypothèses!$W$18,""))))))))))))</f>
        <v/>
      </c>
      <c r="W192" s="87" t="e">
        <f t="shared" ca="1" si="316"/>
        <v>#DIV/0!</v>
      </c>
      <c r="X192" s="88" t="str">
        <f>IF(B192&lt;=Hypothèses!$V$7,Hypothèses!$X$7,IF(B192&lt;=Hypothèses!$V$8,Hypothèses!$X$8,IF(B192&lt;=Hypothèses!$V$9,Hypothèses!$X$9,IF(B192&lt;=Hypothèses!$V$10,Hypothèses!$X$10,IF(B192&lt;=Hypothèses!$V$11,Hypothèses!$X$11,IF(B192&lt;=Hypothèses!$V$12,Hypothèses!$X$12,IF(B192&lt;=Hypothèses!$V$13,Hypothèses!$X$13,IF(B192&lt;=Hypothèses!$V$14,Hypothèses!$X$14,IF(B192&lt;=Hypothèses!$V$15,Hypothèses!$X$15,IF(B192&lt;=Hypothèses!$V$16,Hypothèses!$X$16,IF(B192&lt;=Hypothèses!$U$17,Hypothèses!$W$17,IF(B192&lt;=Hypothèses!$U$18,Hypothèses!$W$18,""))))))))))))</f>
        <v/>
      </c>
      <c r="Y192" s="95" t="e">
        <f t="shared" ca="1" si="236"/>
        <v>#DIV/0!</v>
      </c>
      <c r="Z192" s="101" t="e">
        <f t="shared" si="237"/>
        <v>#N/A</v>
      </c>
      <c r="AA192" s="91" t="e">
        <f t="shared" si="238"/>
        <v>#N/A</v>
      </c>
      <c r="AB192" s="30" t="e">
        <f t="shared" si="300"/>
        <v>#N/A</v>
      </c>
      <c r="AC192" s="30" t="e">
        <f t="shared" si="301"/>
        <v>#N/A</v>
      </c>
      <c r="AD192" s="31" t="e">
        <f>IF(OR(Hypothèses!$B$4=17,Hypothèses!$B$4=18,Hypothèses!$B$4=19,Hypothèses!$B$4=20),
IF($D192="Pressio.",
IF(OR($E192=3,$E192=1,$E192=4),AC192,AB192),
IF($D192="Pénétro.",
IF(OR($E192=3,$E192=1,$E192=4),AC192,AB192))),IF($D192="Pressio.",
IF($E192=3,AC192,AB192),
IF($D192="Pénétro.",
IF($E192=4,AC192,AB192))))</f>
        <v>#N/A</v>
      </c>
      <c r="AE192" s="31" t="e">
        <f>(IF(OR(Hypothèses!$B$4=17,Hypothèses!$B$4=18,Hypothèses!$B$4=19,Hypothèses!$B$4=20),
IF($D192="Pressio.",
IF(OR($E192=3,$E192=1,$E192=4),(PI()*AE$12^2)/4*(AA192*$W192*1000)/($H192*$B$5),(PI()*AE$12^2)/4*(AA192*$W192*1000)/($G192*$B$5)),
IF($D192="Pénétro.",
IF(OR($E192=4,$E192=1,$E192=5),(PI()*AE$12^2)/4*(AA192*$W192*1000)/($H192*$B$5),(PI()*AE$12^2)/4*(AA192*$W192*1000)/($G192*$B$5)))),
IF($D192="Pressio.",
IF($E192=3,(PI()*AE$12^2)/4*(AA192*$W192*1000)/($H192*$B$5),(PI()*AE$12^2)/4*(AA192*$W192*1000)/($G192*$B$5)),
IF($D192="Pénétro.",
IF($E192=4,(PI()*AE$12^2)/4*(AA192*$W192*1000)/($H192*$B$5),(PI()*AE$12^2)/4*(AA192*$W192*1000)/($G192*$B$5))))))/10</f>
        <v>#N/A</v>
      </c>
      <c r="AF192" s="102" t="e">
        <f>(VLOOKUP($B$3,'Coeff EC7'!$T$39:$X$59,2,0)*AD192+VLOOKUP($B$3,'Coeff EC7'!$T$65:$X$85,2,0)*Model0.1C!AE192)/1.1</f>
        <v>#N/A</v>
      </c>
      <c r="AG192" s="102" t="e">
        <f>(VLOOKUP($B$3,'Coeff EC7'!$T$39:$X$59,3,0)*AD192+VLOOKUP($B$3,'Coeff EC7'!$T$65:$X$85,3,0)*Model0.1C!AE192)/0.9</f>
        <v>#N/A</v>
      </c>
      <c r="AH192" s="102" t="e">
        <f t="shared" si="239"/>
        <v>#N/A</v>
      </c>
      <c r="AI192" s="102" t="e">
        <f t="shared" si="240"/>
        <v>#N/A</v>
      </c>
      <c r="AJ192" s="414" t="e">
        <f>IF(AJ191=0,0,IF(AND(AF192&gt;charge_ELS_quasi,AG192&gt;Charge_ELS_freq,AH192&gt;charge_ELU,AI192&gt;charge_ELA,$B192&gt;NDC!$H$22-0.1+MIN(3*$AJ$12,1.5)),0,1))</f>
        <v>#N/A</v>
      </c>
      <c r="AK192" s="86" t="b">
        <f t="shared" si="241"/>
        <v>0</v>
      </c>
      <c r="AL192" s="86">
        <f t="shared" si="270"/>
        <v>0.5</v>
      </c>
      <c r="AM192" s="86">
        <f t="shared" si="242"/>
        <v>0.5</v>
      </c>
      <c r="AN192" s="30" t="e">
        <f t="shared" ca="1" si="271"/>
        <v>#DIV/0!</v>
      </c>
      <c r="AO192" s="85" t="e">
        <f ca="1">IF(U192&lt;=Hypothèses!$V$7,Hypothèses!$W$7,IF(U192&lt;=Hypothèses!$V$8,Hypothèses!$W$8,IF(U192&lt;=Hypothèses!$V$9,Hypothèses!$W$9,IF(U192&lt;=Hypothèses!$V$10,Hypothèses!$W$10,IF(U192&lt;=Hypothèses!$V$11,Hypothèses!$W$11,IF(U192&lt;=Hypothèses!$V$12,Hypothèses!$W$12,IF(U192&lt;=Hypothèses!$V$13,Hypothèses!$W$13,IF(U192&lt;=Hypothèses!$V$14,Hypothèses!$W$14,IF(U192&lt;=Hypothèses!$V$15,Hypothèses!$W$15,IF(U192&lt;=Hypothèses!$V$16,Hypothèses!$W$16,IF(U192&lt;=Hypothèses!$V$17,Hypothèses!$W$17,IF(U192&lt;=Hypothèses!$V$18,Hypothèses!$W$18,""))))))))))))</f>
        <v>#DIV/0!</v>
      </c>
      <c r="AP192" s="87" t="e">
        <f t="shared" ca="1" si="317"/>
        <v>#DIV/0!</v>
      </c>
      <c r="AQ192" s="88" t="e">
        <f ca="1">IF(U192&lt;=Hypothèses!$V$7,Hypothèses!$X$7,IF(U192&lt;=Hypothèses!$V$8,Hypothèses!$X$8,IF(U192&lt;=Hypothèses!$V$9,Hypothèses!$X$9,IF(U192&lt;=Hypothèses!$V$10,Hypothèses!$X$10,IF(U192&lt;=Hypothèses!$V$11,Hypothèses!$X$11,IF(U192&lt;=Hypothèses!$V$12,Hypothèses!$X$12,IF(U192&lt;=Hypothèses!$V$13,Hypothèses!$X$13,IF(U192&lt;=Hypothèses!$V$14,Hypothèses!$X$14,IF(U192&lt;=Hypothèses!$V$15,Hypothèses!$X$15,IF(U192&lt;=Hypothèses!$V$16,Hypothèses!$X$16,IF(U192&lt;=Hypothèses!$U$17,Hypothèses!$W$17,IF(U192&lt;=Hypothèses!$U$18,Hypothèses!$W$18,""))))))))))))</f>
        <v>#DIV/0!</v>
      </c>
      <c r="AR192" s="95" t="e">
        <f t="shared" ca="1" si="272"/>
        <v>#DIV/0!</v>
      </c>
      <c r="AS192" s="101" t="e">
        <f t="shared" si="324"/>
        <v>#N/A</v>
      </c>
      <c r="AT192" s="91" t="e">
        <f t="shared" si="243"/>
        <v>#N/A</v>
      </c>
      <c r="AU192" s="30" t="e">
        <f t="shared" si="302"/>
        <v>#N/A</v>
      </c>
      <c r="AV192" s="30" t="e">
        <f t="shared" si="303"/>
        <v>#N/A</v>
      </c>
      <c r="AW192" s="31" t="e">
        <f>IF(OR(Hypothèses!$B$4=17,Hypothèses!$B$4=18,Hypothèses!$B$4=19,Hypothèses!$B$4=20),
IF($D192="Pressio.",
IF(OR($E192=3,$E192=1,$E192=4),AV192,AU192),
IF($D192="Pénétro.",
IF(OR($E192=3,$E192=1,$E192=4),AV192,AU192))),IF($D192="Pressio.",
IF($E192=3,AV192,AU192),
IF($D192="Pénétro.",
IF($E192=4,AV192,AU192))))</f>
        <v>#N/A</v>
      </c>
      <c r="AX192" s="31" t="e">
        <f>(IF(OR(Hypothèses!$B$4=17,Hypothèses!$B$4=18,Hypothèses!$B$4=19,Hypothèses!$B$4=20),
IF($D192="Pressio.",
IF(OR($E192=3,$E192=1,$E192=4),(PI()*AX$12^2)/4*(AT192*$W192*1000)/($H192*$B$5),(PI()*AX$12^2)/4*(AT192*$W192*1000)/($G192*$B$5)),
IF($D192="Pénétro.",
IF(OR($E192=4,$E192=1,$E192=5),(PI()*AX$12^2)/4*(AT192*$W192*1000)/($H192*$B$5),(PI()*AX$12^2)/4*(AT192*$W192*1000)/($G192*$B$5)))),
IF($D192="Pressio.",
IF($E192=3,(PI()*AX$12^2)/4*(AT192*$W192*1000)/($H192*$B$5),(PI()*AX$12^2)/4*(AT192*$W192*1000)/($G192*$B$5)),
IF($D192="Pénétro.",
IF($E192=4,(PI()*AX$12^2)/4*(AT192*$W192*1000)/($H192*$B$5),(PI()*AX$12^2)/4*(AT192*$W192*1000)/($G192*$B$5))))))/10</f>
        <v>#N/A</v>
      </c>
      <c r="AY192" s="102" t="e">
        <f>(VLOOKUP($B$3,'Coeff EC7'!$T$39:$X$59,2,0)*AW192+VLOOKUP($B$3,'Coeff EC7'!$T$65:$X$85,2,0)*Model0.1C!AX192)/1.1</f>
        <v>#N/A</v>
      </c>
      <c r="AZ192" s="102" t="e">
        <f>(VLOOKUP($B$3,'Coeff EC7'!$T$39:$X$59,3,0)*AW192+VLOOKUP($B$3,'Coeff EC7'!$T$65:$X$85,3,0)*Model0.1C!AX192)/0.9</f>
        <v>#N/A</v>
      </c>
      <c r="BA192" s="102" t="e">
        <f t="shared" si="273"/>
        <v>#N/A</v>
      </c>
      <c r="BB192" s="102" t="e">
        <f t="shared" si="274"/>
        <v>#N/A</v>
      </c>
      <c r="BC192" s="414" t="e">
        <f>IF(BC191=0,0,IF(AND(AY192&gt;charge_ELS_quasi,AZ192&gt;Charge_ELS_freq,BA192&gt;charge_ELU,BB192&gt;charge_ELA,$B192&gt;NDC!$H$22-0.1+MIN(3*$BC$12,1.5)),0,1))</f>
        <v>#N/A</v>
      </c>
      <c r="BD192" s="86" t="b">
        <f t="shared" si="244"/>
        <v>0</v>
      </c>
      <c r="BE192" s="86">
        <f t="shared" si="275"/>
        <v>0.5</v>
      </c>
      <c r="BF192" s="86">
        <f t="shared" si="245"/>
        <v>0.5</v>
      </c>
      <c r="BG192" s="30" t="e">
        <f t="shared" ca="1" si="276"/>
        <v>#DIV/0!</v>
      </c>
      <c r="BH192" s="85" t="e">
        <f ca="1">IF(AN192&lt;=Hypothèses!$V$7,Hypothèses!$W$7,IF(AN192&lt;=Hypothèses!$V$8,Hypothèses!$W$8,IF(AN192&lt;=Hypothèses!$V$9,Hypothèses!$W$9,IF(AN192&lt;=Hypothèses!$V$10,Hypothèses!$W$10,IF(AN192&lt;=Hypothèses!$V$11,Hypothèses!$W$11,IF(AN192&lt;=Hypothèses!$V$12,Hypothèses!$W$12,IF(AN192&lt;=Hypothèses!$V$13,Hypothèses!$W$13,IF(AN192&lt;=Hypothèses!$V$14,Hypothèses!$W$14,IF(AN192&lt;=Hypothèses!$V$15,Hypothèses!$W$15,IF(AN192&lt;=Hypothèses!$V$16,Hypothèses!$W$16,IF(AN192&lt;=Hypothèses!$V$17,Hypothèses!$W$17,IF(AN192&lt;=Hypothèses!$V$18,Hypothèses!$W$18,""))))))))))))</f>
        <v>#DIV/0!</v>
      </c>
      <c r="BI192" s="87" t="e">
        <f t="shared" ca="1" si="318"/>
        <v>#DIV/0!</v>
      </c>
      <c r="BJ192" s="88" t="e">
        <f ca="1">IF(AN192&lt;=Hypothèses!$V$7,Hypothèses!$X$7,IF(AN192&lt;=Hypothèses!$V$8,Hypothèses!$X$8,IF(AN192&lt;=Hypothèses!$V$9,Hypothèses!$X$9,IF(AN192&lt;=Hypothèses!$V$10,Hypothèses!$X$10,IF(AN192&lt;=Hypothèses!$V$11,Hypothèses!$X$11,IF(AN192&lt;=Hypothèses!$V$12,Hypothèses!$X$12,IF(AN192&lt;=Hypothèses!$V$13,Hypothèses!$X$13,IF(AN192&lt;=Hypothèses!$V$14,Hypothèses!$X$14,IF(AN192&lt;=Hypothèses!$V$15,Hypothèses!$X$15,IF(AN192&lt;=Hypothèses!$V$16,Hypothèses!$X$16,IF(AN192&lt;=Hypothèses!$U$17,Hypothèses!$W$17,IF(AN192&lt;=Hypothèses!$U$18,Hypothèses!$W$18,""))))))))))))</f>
        <v>#DIV/0!</v>
      </c>
      <c r="BK192" s="95" t="e">
        <f t="shared" ca="1" si="277"/>
        <v>#DIV/0!</v>
      </c>
      <c r="BL192" s="101" t="e">
        <f t="shared" si="325"/>
        <v>#N/A</v>
      </c>
      <c r="BM192" s="91" t="e">
        <f t="shared" si="246"/>
        <v>#N/A</v>
      </c>
      <c r="BN192" s="30" t="e">
        <f t="shared" si="304"/>
        <v>#N/A</v>
      </c>
      <c r="BO192" s="30" t="e">
        <f t="shared" si="305"/>
        <v>#N/A</v>
      </c>
      <c r="BP192" s="31" t="e">
        <f>IF(OR(Hypothèses!$B$4=17,Hypothèses!$B$4=18,Hypothèses!$B$4=19,Hypothèses!$B$4=20),
IF($D192="Pressio.",
IF(OR($E192=3,$E192=1,$E192=4),BO192,BN192),
IF($D192="Pénétro.",
IF(OR($E192=3,$E192=1,$E192=4),BO192,BN192))),IF($D192="Pressio.",
IF($E192=3,BO192,BN192),
IF($D192="Pénétro.",
IF($E192=4,BO192,BN192))))</f>
        <v>#N/A</v>
      </c>
      <c r="BQ192" s="31" t="e">
        <f>(IF(OR(Hypothèses!$B$4=17,Hypothèses!$B$4=18,Hypothèses!$B$4=19,Hypothèses!$B$4=20),
IF($D192="Pressio.",
IF(OR($E192=3,$E192=1,$E192=4),(PI()*BQ$12^2)/4*(BM192*$W192*1000)/($H192*$B$5),(PI()*BQ$12^2)/4*(BM192*$W192*1000)/($G192*$B$5)),
IF($D192="Pénétro.",
IF(OR($E192=4,$E192=1,$E192=5),(PI()*BQ$12^2)/4*(BM192*$W192*1000)/($H192*$B$5),(PI()*BQ$12^2)/4*(BM192*$W192*1000)/($G192*$B$5)))),
IF($D192="Pressio.",
IF($E192=3,(PI()*BQ$12^2)/4*(BM192*$W192*1000)/($H192*$B$5),(PI()*BQ$12^2)/4*(BM192*$W192*1000)/($G192*$B$5)),
IF($D192="Pénétro.",
IF($E192=4,(PI()*BQ$12^2)/4*(BM192*$W192*1000)/($H192*$B$5),(PI()*BQ$12^2)/4*(BM192*$W192*1000)/($G192*$B$5))))))/10</f>
        <v>#N/A</v>
      </c>
      <c r="BR192" s="102" t="e">
        <f>(VLOOKUP($B$3,'Coeff EC7'!$T$39:$X$59,2,0)*BP192+VLOOKUP($B$3,'Coeff EC7'!$T$65:$X$85,2,0)*Model0.1C!BQ192)/1.1</f>
        <v>#N/A</v>
      </c>
      <c r="BS192" s="102" t="e">
        <f>(VLOOKUP($B$3,'Coeff EC7'!$T$39:$X$59,3,0)*BP192+VLOOKUP($B$3,'Coeff EC7'!$T$65:$X$85,3,0)*Model0.1C!BQ192)/0.9</f>
        <v>#N/A</v>
      </c>
      <c r="BT192" s="102" t="e">
        <f t="shared" si="278"/>
        <v>#N/A</v>
      </c>
      <c r="BU192" s="102" t="e">
        <f t="shared" si="279"/>
        <v>#N/A</v>
      </c>
      <c r="BV192" s="414" t="e">
        <f>IF(BV191=0,0,IF(AND(BR192&gt;charge_ELS_quasi,BS192&gt;Charge_ELS_freq,BT192&gt;charge_ELU,BU192&gt;charge_ELA,$B192&gt;NDC!$H$22-0.1+MIN(3*$BV$12,1.5)),0,1))</f>
        <v>#N/A</v>
      </c>
      <c r="BW192" s="86" t="b">
        <f t="shared" si="247"/>
        <v>0</v>
      </c>
      <c r="BX192" s="86">
        <f t="shared" si="248"/>
        <v>0.5</v>
      </c>
      <c r="BY192" s="86">
        <f t="shared" si="249"/>
        <v>0.5</v>
      </c>
      <c r="BZ192" s="30" t="e">
        <f t="shared" ca="1" si="280"/>
        <v>#DIV/0!</v>
      </c>
      <c r="CA192" s="85" t="e">
        <f ca="1">IF(BG192&lt;=Hypothèses!$V$7,Hypothèses!$W$7,IF(BG192&lt;=Hypothèses!$V$8,Hypothèses!$W$8,IF(BG192&lt;=Hypothèses!$V$9,Hypothèses!$W$9,IF(BG192&lt;=Hypothèses!$V$10,Hypothèses!$W$10,IF(BG192&lt;=Hypothèses!$V$11,Hypothèses!$W$11,IF(BG192&lt;=Hypothèses!$V$12,Hypothèses!$W$12,IF(BG192&lt;=Hypothèses!$V$13,Hypothèses!$W$13,IF(BG192&lt;=Hypothèses!$V$14,Hypothèses!$W$14,IF(BG192&lt;=Hypothèses!$V$15,Hypothèses!$W$15,IF(BG192&lt;=Hypothèses!$V$16,Hypothèses!$W$16,IF(BG192&lt;=Hypothèses!$V$17,Hypothèses!$W$17,IF(BG192&lt;=Hypothèses!$V$18,Hypothèses!$W$18,""))))))))))))</f>
        <v>#DIV/0!</v>
      </c>
      <c r="CB192" s="87" t="e">
        <f t="shared" ca="1" si="319"/>
        <v>#DIV/0!</v>
      </c>
      <c r="CC192" s="88" t="e">
        <f ca="1">IF(BG192&lt;=Hypothèses!$V$7,Hypothèses!$X$7,IF(BG192&lt;=Hypothèses!$V$8,Hypothèses!$X$8,IF(BG192&lt;=Hypothèses!$V$9,Hypothèses!$X$9,IF(BG192&lt;=Hypothèses!$V$10,Hypothèses!$X$10,IF(BG192&lt;=Hypothèses!$V$11,Hypothèses!$X$11,IF(BG192&lt;=Hypothèses!$V$12,Hypothèses!$X$12,IF(BG192&lt;=Hypothèses!$V$13,Hypothèses!$X$13,IF(BG192&lt;=Hypothèses!$V$14,Hypothèses!$X$14,IF(BG192&lt;=Hypothèses!$V$15,Hypothèses!$X$15,IF(BG192&lt;=Hypothèses!$V$16,Hypothèses!$X$16,IF(BG192&lt;=Hypothèses!$U$17,Hypothèses!$W$17,IF(BG192&lt;=Hypothèses!$U$18,Hypothèses!$W$18,""))))))))))))</f>
        <v>#DIV/0!</v>
      </c>
      <c r="CD192" s="95" t="e">
        <f t="shared" ca="1" si="281"/>
        <v>#DIV/0!</v>
      </c>
      <c r="CE192" s="101" t="e">
        <f t="shared" si="326"/>
        <v>#N/A</v>
      </c>
      <c r="CF192" s="91" t="e">
        <f t="shared" si="250"/>
        <v>#N/A</v>
      </c>
      <c r="CG192" s="30" t="e">
        <f t="shared" si="306"/>
        <v>#N/A</v>
      </c>
      <c r="CH192" s="30" t="e">
        <f t="shared" si="307"/>
        <v>#N/A</v>
      </c>
      <c r="CI192" s="31" t="e">
        <f>IF(OR(Hypothèses!$B$4=17,Hypothèses!$B$4=18,Hypothèses!$B$4=19,Hypothèses!$B$4=20),
IF($D192="Pressio.",
IF(OR($E192=3,$E192=1,$E192=4),CH192,CG192),
IF($D192="Pénétro.",
IF(OR($E192=3,$E192=1,$E192=4),CH192,CG192))),IF($D192="Pressio.",
IF($E192=3,CH192,CG192),
IF($D192="Pénétro.",
IF($E192=4,CH192,CG192))))</f>
        <v>#N/A</v>
      </c>
      <c r="CJ192" s="31" t="e">
        <f>(IF(OR(Hypothèses!$B$4=17,Hypothèses!$B$4=18,Hypothèses!$B$4=19,Hypothèses!$B$4=20),
IF($D192="Pressio.",
IF(OR($E192=3,$E192=1,$E192=4),(PI()*CJ$12^2)/4*(CF192*$W192*1000)/($H192*$B$5),(PI()*CJ$12^2)/4*(CF192*$W192*1000)/($G192*$B$5)),
IF($D192="Pénétro.",
IF(OR($E192=4,$E192=1,$E192=5),(PI()*CJ$12^2)/4*(CF192*$W192*1000)/($H192*$B$5),(PI()*CJ$12^2)/4*(CF192*$W192*1000)/($G192*$B$5)))),
IF($D192="Pressio.",
IF($E192=3,(PI()*CJ$12^2)/4*(CF192*$W192*1000)/($H192*$B$5),(PI()*CJ$12^2)/4*(CF192*$W192*1000)/($G192*$B$5)),
IF($D192="Pénétro.",
IF($E192=4,(PI()*CJ$12^2)/4*(CF192*$W192*1000)/($H192*$B$5),(PI()*CJ$12^2)/4*(CF192*$W192*1000)/($G192*$B$5))))))/10</f>
        <v>#N/A</v>
      </c>
      <c r="CK192" s="102" t="e">
        <f>(VLOOKUP($B$3,'Coeff EC7'!$T$39:$X$59,2,0)*CI192+VLOOKUP($B$3,'Coeff EC7'!$T$65:$X$85,2,0)*Model0.1C!CJ192)/1.1</f>
        <v>#N/A</v>
      </c>
      <c r="CL192" s="102" t="e">
        <f>(VLOOKUP($B$3,'Coeff EC7'!$T$39:$X$59,3,0)*CI192+VLOOKUP($B$3,'Coeff EC7'!$T$65:$X$85,3,0)*Model0.1C!CJ192)/0.9</f>
        <v>#N/A</v>
      </c>
      <c r="CM192" s="102" t="e">
        <f t="shared" si="282"/>
        <v>#N/A</v>
      </c>
      <c r="CN192" s="102" t="e">
        <f t="shared" si="283"/>
        <v>#N/A</v>
      </c>
      <c r="CO192" s="414" t="e">
        <f>IF(CO191=0,0,IF(AND(CK192&gt;charge_ELS_quasi,CL192&gt;Charge_ELS_freq,CM192&gt;charge_ELU,CN192&gt;charge_ELA,$B192&gt;NDC!$H$22-0.1+MIN(3*$CO$12,1.5)),0,1))</f>
        <v>#N/A</v>
      </c>
      <c r="CP192" s="86" t="b">
        <f t="shared" si="251"/>
        <v>0</v>
      </c>
      <c r="CQ192" s="86">
        <f t="shared" si="252"/>
        <v>0.5</v>
      </c>
      <c r="CR192" s="86">
        <f t="shared" si="253"/>
        <v>0.5</v>
      </c>
      <c r="CS192" s="30" t="e">
        <f t="shared" ca="1" si="284"/>
        <v>#DIV/0!</v>
      </c>
      <c r="CT192" s="85" t="e">
        <f ca="1">IF(BZ192&lt;=Hypothèses!$V$7,Hypothèses!$W$7,IF(BZ192&lt;=Hypothèses!$V$8,Hypothèses!$W$8,IF(BZ192&lt;=Hypothèses!$V$9,Hypothèses!$W$9,IF(BZ192&lt;=Hypothèses!$V$10,Hypothèses!$W$10,IF(BZ192&lt;=Hypothèses!$V$11,Hypothèses!$W$11,IF(BZ192&lt;=Hypothèses!$V$12,Hypothèses!$W$12,IF(BZ192&lt;=Hypothèses!$V$13,Hypothèses!$W$13,IF(BZ192&lt;=Hypothèses!$V$14,Hypothèses!$W$14,IF(BZ192&lt;=Hypothèses!$V$15,Hypothèses!$W$15,IF(BZ192&lt;=Hypothèses!$V$16,Hypothèses!$W$16,IF(BZ192&lt;=Hypothèses!$V$17,Hypothèses!$W$17,IF(BZ192&lt;=Hypothèses!$V$18,Hypothèses!$W$18,""))))))))))))</f>
        <v>#DIV/0!</v>
      </c>
      <c r="CU192" s="87" t="e">
        <f t="shared" ca="1" si="320"/>
        <v>#DIV/0!</v>
      </c>
      <c r="CV192" s="88" t="e">
        <f ca="1">IF(BZ192&lt;=Hypothèses!$V$7,Hypothèses!$X$7,IF(BZ192&lt;=Hypothèses!$V$8,Hypothèses!$X$8,IF(BZ192&lt;=Hypothèses!$V$9,Hypothèses!$X$9,IF(BZ192&lt;=Hypothèses!$V$10,Hypothèses!$X$10,IF(BZ192&lt;=Hypothèses!$V$11,Hypothèses!$X$11,IF(BZ192&lt;=Hypothèses!$V$12,Hypothèses!$X$12,IF(BZ192&lt;=Hypothèses!$V$13,Hypothèses!$X$13,IF(BZ192&lt;=Hypothèses!$V$14,Hypothèses!$X$14,IF(BZ192&lt;=Hypothèses!$V$15,Hypothèses!$X$15,IF(BZ192&lt;=Hypothèses!$V$16,Hypothèses!$X$16,IF(BZ192&lt;=Hypothèses!$U$17,Hypothèses!$W$17,IF(BZ192&lt;=Hypothèses!$U$18,Hypothèses!$W$18,""))))))))))))</f>
        <v>#DIV/0!</v>
      </c>
      <c r="CW192" s="95" t="e">
        <f t="shared" ca="1" si="285"/>
        <v>#DIV/0!</v>
      </c>
      <c r="CX192" s="101" t="e">
        <f t="shared" si="327"/>
        <v>#N/A</v>
      </c>
      <c r="CY192" s="91" t="e">
        <f t="shared" si="254"/>
        <v>#N/A</v>
      </c>
      <c r="CZ192" s="30" t="e">
        <f t="shared" si="308"/>
        <v>#N/A</v>
      </c>
      <c r="DA192" s="30" t="e">
        <f t="shared" si="309"/>
        <v>#N/A</v>
      </c>
      <c r="DB192" s="31" t="e">
        <f>IF(OR(Hypothèses!$B$4=17,Hypothèses!$B$4=18,Hypothèses!$B$4=19,Hypothèses!$B$4=20),
IF($D192="Pressio.",
IF(OR($E192=3,$E192=1,$E192=4),DA192,CZ192),
IF($D192="Pénétro.",
IF(OR($E192=3,$E192=1,$E192=4),DA192,CZ192))),IF($D192="Pressio.",
IF($E192=3,DA192,CZ192),
IF($D192="Pénétro.",
IF($E192=4,DA192,CZ192))))</f>
        <v>#N/A</v>
      </c>
      <c r="DC192" s="31" t="e">
        <f>(IF(OR(Hypothèses!$B$4=17,Hypothèses!$B$4=18,Hypothèses!$B$4=19,Hypothèses!$B$4=20),
IF($D192="Pressio.",
IF(OR($E192=3,$E192=1,$E192=4),(PI()*DC$12^2)/4*(CY192*$W192*1000)/($H192*$B$5),(PI()*DC$12^2)/4*(CY192*$W192*1000)/($G192*$B$5)),
IF($D192="Pénétro.",
IF(OR($E192=4,$E192=1,$E192=5),(PI()*DC$12^2)/4*(CY192*$W192*1000)/($H192*$B$5),(PI()*DC$12^2)/4*(CY192*$W192*1000)/($G192*$B$5)))),
IF($D192="Pressio.",
IF($E192=3,(PI()*DC$12^2)/4*(CY192*$W192*1000)/($H192*$B$5),(PI()*DC$12^2)/4*(CY192*$W192*1000)/($G192*$B$5)),
IF($D192="Pénétro.",
IF($E192=4,(PI()*DC$12^2)/4*(CY192*$W192*1000)/($H192*$B$5),(PI()*DC$12^2)/4*(CY192*$W192*1000)/($G192*$B$5))))))/10</f>
        <v>#N/A</v>
      </c>
      <c r="DD192" s="102" t="e">
        <f>(VLOOKUP($B$3,'Coeff EC7'!$T$39:$X$59,2,0)*DB192+VLOOKUP($B$3,'Coeff EC7'!$T$65:$X$85,2,0)*Model0.1C!DC192)/1.1</f>
        <v>#N/A</v>
      </c>
      <c r="DE192" s="102" t="e">
        <f>(VLOOKUP($B$3,'Coeff EC7'!$T$39:$X$59,3,0)*DB192+VLOOKUP($B$3,'Coeff EC7'!$T$65:$X$85,3,0)*Model0.1C!DC192)/0.9</f>
        <v>#N/A</v>
      </c>
      <c r="DF192" s="102" t="e">
        <f t="shared" si="286"/>
        <v>#N/A</v>
      </c>
      <c r="DG192" s="102" t="e">
        <f t="shared" si="287"/>
        <v>#N/A</v>
      </c>
      <c r="DH192" s="414" t="e">
        <f>IF(DH191=0,0,IF(AND(DD192&gt;charge_ELS_quasi,DE192&gt;Charge_ELS_freq,DF192&gt;charge_ELU,DG192&gt;charge_ELA,$B192&gt;NDC!$H$22-0.1+MIN(3*$DH$12,1.5)),0,1))</f>
        <v>#N/A</v>
      </c>
      <c r="DI192" s="86" t="b">
        <f t="shared" si="255"/>
        <v>0</v>
      </c>
      <c r="DJ192" s="86">
        <f t="shared" si="256"/>
        <v>0.5</v>
      </c>
      <c r="DK192" s="86">
        <f t="shared" si="257"/>
        <v>0.5</v>
      </c>
      <c r="DL192" s="30" t="e">
        <f t="shared" ca="1" si="288"/>
        <v>#DIV/0!</v>
      </c>
      <c r="DM192" s="85" t="e">
        <f ca="1">IF(CS192&lt;=Hypothèses!$V$7,Hypothèses!$W$7,IF(CS192&lt;=Hypothèses!$V$8,Hypothèses!$W$8,IF(CS192&lt;=Hypothèses!$V$9,Hypothèses!$W$9,IF(CS192&lt;=Hypothèses!$V$10,Hypothèses!$W$10,IF(CS192&lt;=Hypothèses!$V$11,Hypothèses!$W$11,IF(CS192&lt;=Hypothèses!$V$12,Hypothèses!$W$12,IF(CS192&lt;=Hypothèses!$V$13,Hypothèses!$W$13,IF(CS192&lt;=Hypothèses!$V$14,Hypothèses!$W$14,IF(CS192&lt;=Hypothèses!$V$15,Hypothèses!$W$15,IF(CS192&lt;=Hypothèses!$V$16,Hypothèses!$W$16,IF(CS192&lt;=Hypothèses!$V$17,Hypothèses!$W$17,IF(CS192&lt;=Hypothèses!$V$18,Hypothèses!$W$18,""))))))))))))</f>
        <v>#DIV/0!</v>
      </c>
      <c r="DN192" s="87" t="e">
        <f t="shared" ca="1" si="321"/>
        <v>#DIV/0!</v>
      </c>
      <c r="DO192" s="88" t="e">
        <f ca="1">IF(CS192&lt;=Hypothèses!$V$7,Hypothèses!$X$7,IF(CS192&lt;=Hypothèses!$V$8,Hypothèses!$X$8,IF(CS192&lt;=Hypothèses!$V$9,Hypothèses!$X$9,IF(CS192&lt;=Hypothèses!$V$10,Hypothèses!$X$10,IF(CS192&lt;=Hypothèses!$V$11,Hypothèses!$X$11,IF(CS192&lt;=Hypothèses!$V$12,Hypothèses!$X$12,IF(CS192&lt;=Hypothèses!$V$13,Hypothèses!$X$13,IF(CS192&lt;=Hypothèses!$V$14,Hypothèses!$X$14,IF(CS192&lt;=Hypothèses!$V$15,Hypothèses!$X$15,IF(CS192&lt;=Hypothèses!$V$16,Hypothèses!$X$16,IF(CS192&lt;=Hypothèses!$U$17,Hypothèses!$W$17,IF(CS192&lt;=Hypothèses!$U$18,Hypothèses!$W$18,""))))))))))))</f>
        <v>#DIV/0!</v>
      </c>
      <c r="DP192" s="95" t="e">
        <f t="shared" ca="1" si="289"/>
        <v>#DIV/0!</v>
      </c>
      <c r="DQ192" s="101" t="e">
        <f t="shared" si="328"/>
        <v>#N/A</v>
      </c>
      <c r="DR192" s="91" t="e">
        <f t="shared" si="258"/>
        <v>#N/A</v>
      </c>
      <c r="DS192" s="30" t="e">
        <f t="shared" si="310"/>
        <v>#N/A</v>
      </c>
      <c r="DT192" s="30" t="e">
        <f t="shared" si="311"/>
        <v>#N/A</v>
      </c>
      <c r="DU192" s="31" t="e">
        <f>IF(OR(Hypothèses!$B$4=17,Hypothèses!$B$4=18,Hypothèses!$B$4=19,Hypothèses!$B$4=20),
IF($D192="Pressio.",
IF(OR($E192=3,$E192=1,$E192=4),DT192,DS192),
IF($D192="Pénétro.",
IF(OR($E192=3,$E192=1,$E192=4),DT192,DS192))),IF($D192="Pressio.",
IF($E192=3,DT192,DS192),
IF($D192="Pénétro.",
IF($E192=4,DT192,DS192))))</f>
        <v>#N/A</v>
      </c>
      <c r="DV192" s="31" t="e">
        <f>(IF(OR(Hypothèses!$B$4=17,Hypothèses!$B$4=18,Hypothèses!$B$4=19,Hypothèses!$B$4=20),
IF($D192="Pressio.",
IF(OR($E192=3,$E192=1,$E192=4),(PI()*DV$12^2)/4*(DR192*$W192*1000)/($H192*$B$5),(PI()*DV$12^2)/4*(DR192*$W192*1000)/($G192*$B$5)),
IF($D192="Pénétro.",
IF(OR($E192=4,$E192=1,$E192=5),(PI()*DV$12^2)/4*(DR192*$W192*1000)/($H192*$B$5),(PI()*DV$12^2)/4*(DR192*$W192*1000)/($G192*$B$5)))),
IF($D192="Pressio.",
IF($E192=3,(PI()*DV$12^2)/4*(DR192*$W192*1000)/($H192*$B$5),(PI()*DV$12^2)/4*(DR192*$W192*1000)/($G192*$B$5)),
IF($D192="Pénétro.",
IF($E192=4,(PI()*DV$12^2)/4*(DR192*$W192*1000)/($H192*$B$5),(PI()*DV$12^2)/4*(DR192*$W192*1000)/($G192*$B$5))))))/10</f>
        <v>#N/A</v>
      </c>
      <c r="DW192" s="102" t="e">
        <f>(VLOOKUP($B$3,'Coeff EC7'!$T$39:$X$59,2,0)*DU192+VLOOKUP($B$3,'Coeff EC7'!$T$65:$X$85,2,0)*Model0.1C!DV192)/1.1</f>
        <v>#N/A</v>
      </c>
      <c r="DX192" s="102" t="e">
        <f>(VLOOKUP($B$3,'Coeff EC7'!$T$39:$X$59,3,0)*DU192+VLOOKUP($B$3,'Coeff EC7'!$T$65:$X$85,3,0)*Model0.1C!DV192)/0.9</f>
        <v>#N/A</v>
      </c>
      <c r="DY192" s="102" t="e">
        <f t="shared" si="290"/>
        <v>#N/A</v>
      </c>
      <c r="DZ192" s="102" t="e">
        <f t="shared" si="291"/>
        <v>#N/A</v>
      </c>
      <c r="EA192" s="414" t="e">
        <f>IF(EA191=0,0,IF(AND(DW192&gt;charge_ELS_quasi,DX192&gt;Charge_ELS_freq,DY192&gt;charge_ELU,DZ192&gt;charge_ELA,$B192&gt;NDC!$H$22-0.1+MIN(3*$EA$12,1.5)),0,1))</f>
        <v>#N/A</v>
      </c>
      <c r="EB192" s="86" t="b">
        <f t="shared" si="259"/>
        <v>0</v>
      </c>
      <c r="EC192" s="418">
        <f t="shared" si="260"/>
        <v>0.51</v>
      </c>
      <c r="ED192" s="86">
        <f t="shared" si="261"/>
        <v>0.51</v>
      </c>
      <c r="EE192" s="30" t="e">
        <f t="shared" ca="1" si="292"/>
        <v>#DIV/0!</v>
      </c>
      <c r="EF192" s="85" t="e">
        <f ca="1">IF(DL192&lt;=Hypothèses!$V$7,Hypothèses!$W$7,IF(DL192&lt;=Hypothèses!$V$8,Hypothèses!$W$8,IF(DL192&lt;=Hypothèses!$V$9,Hypothèses!$W$9,IF(DL192&lt;=Hypothèses!$V$10,Hypothèses!$W$10,IF(DL192&lt;=Hypothèses!$V$11,Hypothèses!$W$11,IF(DL192&lt;=Hypothèses!$V$12,Hypothèses!$W$12,IF(DL192&lt;=Hypothèses!$V$13,Hypothèses!$W$13,IF(DL192&lt;=Hypothèses!$V$14,Hypothèses!$W$14,IF(DL192&lt;=Hypothèses!$V$15,Hypothèses!$W$15,IF(DL192&lt;=Hypothèses!$V$16,Hypothèses!$W$16,IF(DL192&lt;=Hypothèses!$V$17,Hypothèses!$W$17,IF(DL192&lt;=Hypothèses!$V$18,Hypothèses!$W$18,""))))))))))))</f>
        <v>#DIV/0!</v>
      </c>
      <c r="EG192" s="87" t="e">
        <f t="shared" ca="1" si="322"/>
        <v>#DIV/0!</v>
      </c>
      <c r="EH192" s="88" t="e">
        <f ca="1">IF(DL192&lt;=Hypothèses!$V$7,Hypothèses!$X$7,IF(DL192&lt;=Hypothèses!$V$8,Hypothèses!$X$8,IF(DL192&lt;=Hypothèses!$V$9,Hypothèses!$X$9,IF(DL192&lt;=Hypothèses!$V$10,Hypothèses!$X$10,IF(DL192&lt;=Hypothèses!$V$11,Hypothèses!$X$11,IF(DL192&lt;=Hypothèses!$V$12,Hypothèses!$X$12,IF(DL192&lt;=Hypothèses!$V$13,Hypothèses!$X$13,IF(DL192&lt;=Hypothèses!$V$14,Hypothèses!$X$14,IF(DL192&lt;=Hypothèses!$V$15,Hypothèses!$X$15,IF(DL192&lt;=Hypothèses!$V$16,Hypothèses!$X$16,IF(DL192&lt;=Hypothèses!$U$17,Hypothèses!$W$17,IF(DL192&lt;=Hypothèses!$U$18,Hypothèses!$W$18,""))))))))))))</f>
        <v>#DIV/0!</v>
      </c>
      <c r="EI192" s="95" t="e">
        <f t="shared" ca="1" si="293"/>
        <v>#DIV/0!</v>
      </c>
      <c r="EJ192" s="101" t="e">
        <f t="shared" si="329"/>
        <v>#N/A</v>
      </c>
      <c r="EK192" s="91" t="e">
        <f t="shared" si="262"/>
        <v>#N/A</v>
      </c>
      <c r="EL192" s="30" t="e">
        <f t="shared" si="312"/>
        <v>#N/A</v>
      </c>
      <c r="EM192" s="30" t="e">
        <f t="shared" si="313"/>
        <v>#N/A</v>
      </c>
      <c r="EN192" s="31" t="e">
        <f>IF(OR(Hypothèses!$B$4=17,Hypothèses!$B$4=18,Hypothèses!$B$4=19,Hypothèses!$B$4=20),
IF($D192="Pressio.",
IF(OR($E192=3,$E192=1,$E192=4),EM192,EL192),
IF($D192="Pénétro.",
IF(OR($E192=3,$E192=1,$E192=4),EM192,EL192))),IF($D192="Pressio.",
IF($E192=3,EM192,EL192),
IF($D192="Pénétro.",
IF($E192=4,EM192,EL192))))</f>
        <v>#N/A</v>
      </c>
      <c r="EO192" s="31" t="e">
        <f>(IF(OR(Hypothèses!$B$4=17,Hypothèses!$B$4=18,Hypothèses!$B$4=19,Hypothèses!$B$4=20),
IF($D192="Pressio.",
IF(OR($E192=3,$E192=1,$E192=4),(PI()*EO$12^2)/4*(EK192*$W192*1000)/($H192*$B$5),(PI()*EO$12^2)/4*(EK192*$W192*1000)/($G192*$B$5)),
IF($D192="Pénétro.",
IF(OR($E192=4,$E192=1,$E192=5),(PI()*EO$12^2)/4*(EK192*$W192*1000)/($H192*$B$5),(PI()*EO$12^2)/4*(EK192*$W192*1000)/($G192*$B$5)))),
IF($D192="Pressio.",
IF($E192=3,(PI()*EO$12^2)/4*(EK192*$W192*1000)/($H192*$B$5),(PI()*EO$12^2)/4*(EK192*$W192*1000)/($G192*$B$5)),
IF($D192="Pénétro.",
IF($E192=4,(PI()*EO$12^2)/4*(EK192*$W192*1000)/($H192*$B$5),(PI()*EO$12^2)/4*(EK192*$W192*1000)/($G192*$B$5))))))/10</f>
        <v>#N/A</v>
      </c>
      <c r="EP192" s="102" t="e">
        <f>(VLOOKUP($B$3,'Coeff EC7'!$T$39:$X$59,2,0)*EN192+VLOOKUP($B$3,'Coeff EC7'!$T$65:$X$85,2,0)*Model0.1C!EO192)/1.1</f>
        <v>#N/A</v>
      </c>
      <c r="EQ192" s="102" t="e">
        <f>(VLOOKUP($B$3,'Coeff EC7'!$T$39:$X$59,3,0)*EN192+VLOOKUP($B$3,'Coeff EC7'!$T$65:$X$85,3,0)*Model0.1C!EO192)/0.9</f>
        <v>#N/A</v>
      </c>
      <c r="ER192" s="102" t="e">
        <f t="shared" si="294"/>
        <v>#N/A</v>
      </c>
      <c r="ES192" s="102" t="e">
        <f t="shared" si="295"/>
        <v>#N/A</v>
      </c>
      <c r="ET192" s="414" t="e">
        <f>IF(ET191=0,0,IF(AND(EP192&gt;charge_ELS_quasi,EQ192&gt;Charge_ELS_freq,ER192&gt;charge_ELU,ES192&gt;charge_ELA,$B192&gt;NDC!$H$22-0.1+MIN(3*$ET$12,1.5)),0,1))</f>
        <v>#N/A</v>
      </c>
      <c r="EU192" s="86" t="b">
        <f t="shared" si="263"/>
        <v>0</v>
      </c>
      <c r="EV192" s="86">
        <f t="shared" si="264"/>
        <v>0.61</v>
      </c>
      <c r="EW192" s="86">
        <f t="shared" si="265"/>
        <v>0.61</v>
      </c>
      <c r="EX192" s="30" t="e">
        <f t="shared" ca="1" si="296"/>
        <v>#DIV/0!</v>
      </c>
      <c r="EY192" s="85" t="e">
        <f ca="1">IF(EE192&lt;=Hypothèses!$V$7,Hypothèses!$W$7,IF(EE192&lt;=Hypothèses!$V$8,Hypothèses!$W$8,IF(EE192&lt;=Hypothèses!$V$9,Hypothèses!$W$9,IF(EE192&lt;=Hypothèses!$V$10,Hypothèses!$W$10,IF(EE192&lt;=Hypothèses!$V$11,Hypothèses!$W$11,IF(EE192&lt;=Hypothèses!$V$12,Hypothèses!$W$12,IF(EE192&lt;=Hypothèses!$V$13,Hypothèses!$W$13,IF(EE192&lt;=Hypothèses!$V$14,Hypothèses!$W$14,IF(EE192&lt;=Hypothèses!$V$15,Hypothèses!$W$15,IF(EE192&lt;=Hypothèses!$V$16,Hypothèses!$W$16,IF(EE192&lt;=Hypothèses!$V$17,Hypothèses!$W$17,IF(EE192&lt;=Hypothèses!$V$18,Hypothèses!$W$18,""))))))))))))</f>
        <v>#DIV/0!</v>
      </c>
      <c r="EZ192" s="87" t="e">
        <f t="shared" ca="1" si="323"/>
        <v>#DIV/0!</v>
      </c>
      <c r="FA192" s="88" t="e">
        <f ca="1">IF(EE192&lt;=Hypothèses!$V$7,Hypothèses!$X$7,IF(EE192&lt;=Hypothèses!$V$8,Hypothèses!$X$8,IF(EE192&lt;=Hypothèses!$V$9,Hypothèses!$X$9,IF(EE192&lt;=Hypothèses!$V$10,Hypothèses!$X$10,IF(EE192&lt;=Hypothèses!$V$11,Hypothèses!$X$11,IF(EE192&lt;=Hypothèses!$V$12,Hypothèses!$X$12,IF(EE192&lt;=Hypothèses!$V$13,Hypothèses!$X$13,IF(EE192&lt;=Hypothèses!$V$14,Hypothèses!$X$14,IF(EE192&lt;=Hypothèses!$V$15,Hypothèses!$X$15,IF(EE192&lt;=Hypothèses!$V$16,Hypothèses!$X$16,IF(EE192&lt;=Hypothèses!$U$17,Hypothèses!$W$17,IF(EE192&lt;=Hypothèses!$U$18,Hypothèses!$W$18,""))))))))))))</f>
        <v>#DIV/0!</v>
      </c>
      <c r="FB192" s="95" t="e">
        <f t="shared" ca="1" si="297"/>
        <v>#DIV/0!</v>
      </c>
      <c r="FC192" s="101" t="e">
        <f t="shared" si="330"/>
        <v>#N/A</v>
      </c>
      <c r="FD192" s="91" t="e">
        <f t="shared" si="266"/>
        <v>#N/A</v>
      </c>
      <c r="FE192" s="30" t="e">
        <f t="shared" si="314"/>
        <v>#N/A</v>
      </c>
      <c r="FF192" s="30" t="e">
        <f t="shared" si="315"/>
        <v>#N/A</v>
      </c>
      <c r="FG192" s="31" t="e">
        <f>IF(OR(Hypothèses!$B$4=17,Hypothèses!$B$4=18,Hypothèses!$B$4=19,Hypothèses!$B$4=20),
IF($D192="Pressio.",
IF(OR($E192=3,$E192=1,$E192=4),FF192,FE192),
IF($D192="Pénétro.",
IF(OR($E192=3,$E192=1,$E192=4),FF192,FE192))),IF($D192="Pressio.",
IF($E192=3,FF192,FE192),
IF($D192="Pénétro.",
IF($E192=4,FF192,FE192))))</f>
        <v>#N/A</v>
      </c>
      <c r="FH192" s="31" t="e">
        <f>(IF(OR(Hypothèses!$B$4=17,Hypothèses!$B$4=18,Hypothèses!$B$4=19,Hypothèses!$B$4=20),
IF($D192="Pressio.",
IF(OR($E192=3,$E192=1,$E192=4),(PI()*FH$12^2)/4*(FD192*$W192*1000)/($H192*$B$5),(PI()*FH$12^2)/4*(FD192*$W192*1000)/($G192*$B$5)),
IF($D192="Pénétro.",
IF(OR($E192=4,$E192=1,$E192=5),(PI()*FH$12^2)/4*(FD192*$W192*1000)/($H192*$B$5),(PI()*FH$12^2)/4*(FD192*$W192*1000)/($G192*$B$5)))),
IF($D192="Pressio.",
IF($E192=3,(PI()*FH$12^2)/4*(FD192*$W192*1000)/($H192*$B$5),(PI()*FH$12^2)/4*(FD192*$W192*1000)/($G192*$B$5)),
IF($D192="Pénétro.",
IF($E192=4,(PI()*FH$12^2)/4*(FD192*$W192*1000)/($H192*$B$5),(PI()*FH$12^2)/4*(FD192*$W192*1000)/($G192*$B$5))))))/10</f>
        <v>#N/A</v>
      </c>
      <c r="FI192" s="102" t="e">
        <f>(VLOOKUP($B$3,'Coeff EC7'!$T$39:$X$59,2,0)*FG192+VLOOKUP($B$3,'Coeff EC7'!$T$65:$X$85,2,0)*Model0.1C!FH192)/1.1</f>
        <v>#N/A</v>
      </c>
      <c r="FJ192" s="102" t="e">
        <f>(VLOOKUP($B$3,'Coeff EC7'!$T$39:$X$59,3,0)*FG192+VLOOKUP($B$3,'Coeff EC7'!$T$65:$X$85,3,0)*Model0.1C!FH192)/0.9</f>
        <v>#N/A</v>
      </c>
      <c r="FK192" s="102" t="e">
        <f t="shared" si="298"/>
        <v>#N/A</v>
      </c>
      <c r="FL192" s="102" t="e">
        <f t="shared" si="299"/>
        <v>#N/A</v>
      </c>
      <c r="FM192" s="414" t="e">
        <f>IF(FM191=0,0,IF(AND(FI192&gt;charge_ELS_quasi,FJ192&gt;Charge_ELS_freq,FK192&gt;charge_ELU,FL192&gt;charge_ELA,$B192&gt;NDC!$H$22-0.1+MIN(3*$FM$12,1.5)),0,1))</f>
        <v>#N/A</v>
      </c>
    </row>
    <row r="193" spans="1:169">
      <c r="A193" s="96">
        <f t="shared" si="267"/>
        <v>82.000000000001023</v>
      </c>
      <c r="B193" s="97">
        <v>18</v>
      </c>
      <c r="C193" s="81">
        <f>IF(B193&lt;=Hypothèses!$C$7,Hypothèses!$A$7,IF(B193&lt;=Hypothèses!$C$8,Hypothèses!$A$8,IF(B193&lt;=Hypothèses!$C$9,Hypothèses!$A$9,IF(B193&lt;=Hypothèses!$C$10,Hypothèses!$A$10,IF(B193&lt;=Hypothèses!$C$11,Hypothèses!$A$11,IF(B193&lt;=Hypothèses!$C$12,Hypothèses!$A$12,IF(B193&lt;=Hypothèses!$C$13,Hypothèses!$A$13,IF(B193&lt;=Hypothèses!$C$14,Hypothèses!$A$14,IF(B193&lt;=Hypothèses!$C$15,Hypothèses!$A$15,IF(B193&lt;=Hypothèses!$C$16,Hypothèses!$A$16,IF(B193&lt;=Hypothèses!$C$17,Hypothèses!$A$17,IF(B193&lt;=Hypothèses!$C$18,Hypothèses!$A$18,C192))))))))))))</f>
        <v>11</v>
      </c>
      <c r="D193" s="82" t="str">
        <f>IF(B193&lt;=Hypothèses!$C$7,Hypothèses!$R$7,IF(B193&lt;=Hypothèses!$C$8,Hypothèses!$R$8,IF(B193&lt;=Hypothèses!$C$9,Hypothèses!$R$9,IF(B193&lt;=Hypothèses!$C$10,Hypothèses!$R$10,IF(B193&lt;=Hypothèses!$C$11,Hypothèses!$R$11,IF(B193&lt;=Hypothèses!$C$12,Hypothèses!$R$12,IF(B193&lt;=Hypothèses!$C$13,Hypothèses!$R$13,IF(B193&lt;=Hypothèses!$C$14,Hypothèses!$R$14,IF(B193&lt;=Hypothèses!$C$15,Hypothèses!$R$15,IF(B193&lt;=Hypothèses!$C$16,Hypothèses!$R$16,IF(B193&lt;=Hypothèses!$C$17,Hypothèses!$R$17,IF(B193&lt;=Hypothèses!$C$18,Hypothèses!$R$18,D192))))))))))))</f>
        <v>Pressio.</v>
      </c>
      <c r="E193" s="82" t="e">
        <f>IF(B193&lt;=Hypothèses!$C$7,Hypothèses!$G$7,IF(B193&lt;=Hypothèses!$C$8,Hypothèses!$G$8,IF(B193&lt;=Hypothèses!$C$9,Hypothèses!$G$9,IF(B193&lt;=Hypothèses!$C$10,Hypothèses!$G$10,IF(B193&lt;=Hypothèses!$C$11,Hypothèses!$G$11,IF(B193&lt;=Hypothèses!$C$12,Hypothèses!$G$12,IF(B193&lt;=Hypothèses!$C$13,Hypothèses!$G$13,IF(B193&lt;=Hypothèses!$C$14,Hypothèses!$G$14,IF(B193&lt;=Hypothèses!$C$15,Hypothèses!$G$15,IF(B193&lt;=Hypothèses!$C$16,Hypothèses!$G$16,IF(B193&lt;=Hypothèses!$C$17,Hypothèses!$G$17,IF(B193&lt;=Hypothèses!$C$18,Hypothèses!$G$18,E192))))))))))))</f>
        <v>#N/A</v>
      </c>
      <c r="F193" s="82" t="str">
        <f>IF(B193&lt;=Hypothèses!$C$7,Hypothèses!$F$7,IF(B193&lt;=Hypothèses!$C$8,Hypothèses!$F$8,IF(B193&lt;=Hypothèses!$C$9,Hypothèses!$F$9,IF(B193&lt;=Hypothèses!$C$10,Hypothèses!$F$10,IF(B193&lt;=Hypothèses!$C$11,Hypothèses!$F$11,IF(B193&lt;=Hypothèses!$C$12,Hypothèses!$F$12,IF(B193&lt;=Hypothèses!$C$13,Hypothèses!$F$13,IF(B193&lt;=Hypothèses!$C$14,Hypothèses!$F$14,IF(B193&lt;=Hypothèses!$C$15,Hypothèses!$F$15,IF(B193&lt;=Hypothèses!$C$16,Hypothèses!$F$16,IF(B193&lt;=Hypothèses!$C$17,Hypothèses!$F$17,IF(B193&lt;=Hypothèses!$C$18,Hypothèses!$F$18,F192))))))))))))</f>
        <v/>
      </c>
      <c r="G193" s="91">
        <f t="array" ref="G193">INDEX('Coeff EC7'!$U$7:$X$27,
MATCH(Model0.1C!$B$3,'Coeff EC7'!$T$7:$T$27,0),
MATCH(Model0.1C!$D193&amp;Model0.1C!$B$4,
'Coeff EC7'!$U$6:$X$6&amp;
'Coeff EC7'!$U$5:$X$5,0))</f>
        <v>1.1499999999999999</v>
      </c>
      <c r="H193" s="91">
        <f t="array" ref="H193">INDEX('Coeff EC7'!$Y$7:$AB$27,
MATCH(Model0.1C!$B$3,'Coeff EC7'!$T$7:$T$27,0),
MATCH(Model0.1C!$D193&amp;Model0.1C!$B$4,
'Coeff EC7'!$Y$6:$AB$6&amp;
'Coeff EC7'!$Y$5:$AB$5,0))</f>
        <v>1.4</v>
      </c>
      <c r="I193" s="83" t="e">
        <f>IF(B193&lt;=Hypothèses!$C$7,Hypothèses!$P$7,IF(B193&lt;=Hypothèses!$C$8,Hypothèses!$P$8,IF(B193&lt;=Hypothèses!$C$9,Hypothèses!$P$9,IF(B193&lt;=Hypothèses!$C$10,Hypothèses!$P$10,IF(B193&lt;=Hypothèses!$C$11,Hypothèses!$P$11,IF(B193&lt;=Hypothèses!$C$12,Hypothèses!$P$12,IF(B193&lt;=Hypothèses!$C$13,Hypothèses!$P$13,IF(B193&lt;=Hypothèses!$C$14,Hypothèses!$P$14,IF(B193&lt;=Hypothèses!$C$15,Hypothèses!$P$15,IF(B193&lt;=Hypothèses!$C$16,Hypothèses!$P$16,IF(B193&lt;=Hypothèses!$C$17,Hypothèses!$P$17,IF(B193&lt;=Hypothèses!$C$18,Hypothèses!$P$18,I192))))))))))))</f>
        <v>#N/A</v>
      </c>
      <c r="J193" s="91" t="e">
        <f t="array" ref="J193">INDEX('Coeff EC7'!$D$33:$Q$33,1,MATCH(D193&amp;E193,'Coeff EC7'!$D$31:$Q$31&amp;'Coeff EC7'!$D$32:$Q$32,0))</f>
        <v>#N/A</v>
      </c>
      <c r="K193" s="91" t="e">
        <f t="array" ref="K193">INDEX('Coeff EC7'!$D$34:$Q$34,1,MATCH(D193&amp;E193,'Coeff EC7'!$D$31:$Q$31&amp;'Coeff EC7'!$D$32:$Q$32,0))</f>
        <v>#N/A</v>
      </c>
      <c r="L193" s="91" t="e">
        <f t="array" ref="L193">INDEX('Coeff EC7'!$D$35:$Q$35,1,MATCH(D193&amp;E193,'Coeff EC7'!$D$31:$Q$31&amp;'Coeff EC7'!$D$32:$Q$32,0))</f>
        <v>#N/A</v>
      </c>
      <c r="M193" s="98" t="e">
        <f t="shared" si="231"/>
        <v>#N/A</v>
      </c>
      <c r="N193" s="99" t="e">
        <f t="array" ref="N193">INDEX('Coeff EC7'!$D$7:$Q$27,MATCH($B$3,'Coeff EC7'!$C$7:$C$27,0),MATCH(D193&amp;E193,'Coeff EC7'!$D$5:$Q$5&amp;'Coeff EC7'!$D$6:$Q$6,0))</f>
        <v>#N/A</v>
      </c>
      <c r="O193" s="99" t="e">
        <f t="array" ref="O193">INDEX('Coeff EC7'!$D$41:$Q$61,MATCH($B$3,'Coeff EC7'!$C$41:$C$61,0),MATCH(D193&amp;E193,'Coeff EC7'!$D$39:$Q$39&amp;'Coeff EC7'!$D$40:$Q$40,0))</f>
        <v>#N/A</v>
      </c>
      <c r="P193" s="30" t="e">
        <f t="shared" si="268"/>
        <v>#N/A</v>
      </c>
      <c r="Q193" s="100" t="e">
        <f t="shared" si="233"/>
        <v>#N/A</v>
      </c>
      <c r="R193" s="86" t="b">
        <f t="shared" si="234"/>
        <v>0</v>
      </c>
      <c r="S193" s="86">
        <f t="shared" si="232"/>
        <v>0.5</v>
      </c>
      <c r="T193" s="86">
        <f t="shared" si="235"/>
        <v>0.5</v>
      </c>
      <c r="U193" s="30" t="e">
        <f t="shared" ca="1" si="269"/>
        <v>#DIV/0!</v>
      </c>
      <c r="V193" s="85" t="str">
        <f>IF(B193&lt;=Hypothèses!$V$7,Hypothèses!$W$7,IF(B193&lt;=Hypothèses!$V$8,Hypothèses!$W$8,IF(B193&lt;=Hypothèses!$V$9,Hypothèses!$W$9,IF(B193&lt;=Hypothèses!$V$10,Hypothèses!$W$10,IF(B193&lt;=Hypothèses!$V$11,Hypothèses!$W$11,IF(B193&lt;=Hypothèses!$V$12,Hypothèses!$W$12,IF(B193&lt;=Hypothèses!$V$13,Hypothèses!$W$13,IF(B193&lt;=Hypothèses!$V$14,Hypothèses!$W$14,IF(B193&lt;=Hypothèses!$V$15,Hypothèses!$W$15,IF(B193&lt;=Hypothèses!$V$16,Hypothèses!$W$16,IF(B193&lt;=Hypothèses!$V$17,Hypothèses!$W$17,IF(B193&lt;=Hypothèses!$V$18,Hypothèses!$W$18,""))))))))))))</f>
        <v/>
      </c>
      <c r="W193" s="87" t="e">
        <f t="shared" ca="1" si="316"/>
        <v>#DIV/0!</v>
      </c>
      <c r="X193" s="88" t="str">
        <f>IF(B193&lt;=Hypothèses!$V$7,Hypothèses!$X$7,IF(B193&lt;=Hypothèses!$V$8,Hypothèses!$X$8,IF(B193&lt;=Hypothèses!$V$9,Hypothèses!$X$9,IF(B193&lt;=Hypothèses!$V$10,Hypothèses!$X$10,IF(B193&lt;=Hypothèses!$V$11,Hypothèses!$X$11,IF(B193&lt;=Hypothèses!$V$12,Hypothèses!$X$12,IF(B193&lt;=Hypothèses!$V$13,Hypothèses!$X$13,IF(B193&lt;=Hypothèses!$V$14,Hypothèses!$X$14,IF(B193&lt;=Hypothèses!$V$15,Hypothèses!$X$15,IF(B193&lt;=Hypothèses!$V$16,Hypothèses!$X$16,IF(B193&lt;=Hypothèses!$U$17,Hypothèses!$W$17,IF(B193&lt;=Hypothèses!$U$18,Hypothèses!$W$18,""))))))))))))</f>
        <v/>
      </c>
      <c r="Y193" s="95" t="e">
        <f t="shared" ca="1" si="236"/>
        <v>#DIV/0!</v>
      </c>
      <c r="Z193" s="101" t="e">
        <f t="shared" si="237"/>
        <v>#N/A</v>
      </c>
      <c r="AA193" s="91" t="e">
        <f t="shared" si="238"/>
        <v>#N/A</v>
      </c>
      <c r="AB193" s="30" t="e">
        <f t="shared" si="300"/>
        <v>#N/A</v>
      </c>
      <c r="AC193" s="30" t="e">
        <f t="shared" si="301"/>
        <v>#N/A</v>
      </c>
      <c r="AD193" s="31" t="e">
        <f>IF(OR(Hypothèses!$B$4=17,Hypothèses!$B$4=18,Hypothèses!$B$4=19,Hypothèses!$B$4=20),
IF($D193="Pressio.",
IF(OR($E193=3,$E193=1,$E193=4),AC193,AB193),
IF($D193="Pénétro.",
IF(OR($E193=3,$E193=1,$E193=4),AC193,AB193))),IF($D193="Pressio.",
IF($E193=3,AC193,AB193),
IF($D193="Pénétro.",
IF($E193=4,AC193,AB193))))</f>
        <v>#N/A</v>
      </c>
      <c r="AE193" s="31" t="e">
        <f>(IF(OR(Hypothèses!$B$4=17,Hypothèses!$B$4=18,Hypothèses!$B$4=19,Hypothèses!$B$4=20),
IF($D193="Pressio.",
IF(OR($E193=3,$E193=1,$E193=4),(PI()*AE$12^2)/4*(AA193*$W193*1000)/($H193*$B$5),(PI()*AE$12^2)/4*(AA193*$W193*1000)/($G193*$B$5)),
IF($D193="Pénétro.",
IF(OR($E193=4,$E193=1,$E193=5),(PI()*AE$12^2)/4*(AA193*$W193*1000)/($H193*$B$5),(PI()*AE$12^2)/4*(AA193*$W193*1000)/($G193*$B$5)))),
IF($D193="Pressio.",
IF($E193=3,(PI()*AE$12^2)/4*(AA193*$W193*1000)/($H193*$B$5),(PI()*AE$12^2)/4*(AA193*$W193*1000)/($G193*$B$5)),
IF($D193="Pénétro.",
IF($E193=4,(PI()*AE$12^2)/4*(AA193*$W193*1000)/($H193*$B$5),(PI()*AE$12^2)/4*(AA193*$W193*1000)/($G193*$B$5))))))/10</f>
        <v>#N/A</v>
      </c>
      <c r="AF193" s="102" t="e">
        <f>(VLOOKUP($B$3,'Coeff EC7'!$T$39:$X$59,2,0)*AD193+VLOOKUP($B$3,'Coeff EC7'!$T$65:$X$85,2,0)*Model0.1C!AE193)/1.1</f>
        <v>#N/A</v>
      </c>
      <c r="AG193" s="102" t="e">
        <f>(VLOOKUP($B$3,'Coeff EC7'!$T$39:$X$59,3,0)*AD193+VLOOKUP($B$3,'Coeff EC7'!$T$65:$X$85,3,0)*Model0.1C!AE193)/0.9</f>
        <v>#N/A</v>
      </c>
      <c r="AH193" s="102" t="e">
        <f t="shared" si="239"/>
        <v>#N/A</v>
      </c>
      <c r="AI193" s="102" t="e">
        <f t="shared" si="240"/>
        <v>#N/A</v>
      </c>
      <c r="AJ193" s="414" t="e">
        <f>IF(AJ192=0,0,IF(AND(AF193&gt;charge_ELS_quasi,AG193&gt;Charge_ELS_freq,AH193&gt;charge_ELU,AI193&gt;charge_ELA,$B193&gt;NDC!$H$22-0.1+MIN(3*$AJ$12,1.5)),0,1))</f>
        <v>#N/A</v>
      </c>
      <c r="AK193" s="86" t="b">
        <f t="shared" si="241"/>
        <v>0</v>
      </c>
      <c r="AL193" s="86">
        <f t="shared" si="270"/>
        <v>0.5</v>
      </c>
      <c r="AM193" s="86">
        <f t="shared" si="242"/>
        <v>0.5</v>
      </c>
      <c r="AN193" s="30" t="e">
        <f t="shared" ca="1" si="271"/>
        <v>#DIV/0!</v>
      </c>
      <c r="AO193" s="85" t="e">
        <f ca="1">IF(U193&lt;=Hypothèses!$V$7,Hypothèses!$W$7,IF(U193&lt;=Hypothèses!$V$8,Hypothèses!$W$8,IF(U193&lt;=Hypothèses!$V$9,Hypothèses!$W$9,IF(U193&lt;=Hypothèses!$V$10,Hypothèses!$W$10,IF(U193&lt;=Hypothèses!$V$11,Hypothèses!$W$11,IF(U193&lt;=Hypothèses!$V$12,Hypothèses!$W$12,IF(U193&lt;=Hypothèses!$V$13,Hypothèses!$W$13,IF(U193&lt;=Hypothèses!$V$14,Hypothèses!$W$14,IF(U193&lt;=Hypothèses!$V$15,Hypothèses!$W$15,IF(U193&lt;=Hypothèses!$V$16,Hypothèses!$W$16,IF(U193&lt;=Hypothèses!$V$17,Hypothèses!$W$17,IF(U193&lt;=Hypothèses!$V$18,Hypothèses!$W$18,""))))))))))))</f>
        <v>#DIV/0!</v>
      </c>
      <c r="AP193" s="87" t="e">
        <f t="shared" ca="1" si="317"/>
        <v>#DIV/0!</v>
      </c>
      <c r="AQ193" s="88" t="e">
        <f ca="1">IF(U193&lt;=Hypothèses!$V$7,Hypothèses!$X$7,IF(U193&lt;=Hypothèses!$V$8,Hypothèses!$X$8,IF(U193&lt;=Hypothèses!$V$9,Hypothèses!$X$9,IF(U193&lt;=Hypothèses!$V$10,Hypothèses!$X$10,IF(U193&lt;=Hypothèses!$V$11,Hypothèses!$X$11,IF(U193&lt;=Hypothèses!$V$12,Hypothèses!$X$12,IF(U193&lt;=Hypothèses!$V$13,Hypothèses!$X$13,IF(U193&lt;=Hypothèses!$V$14,Hypothèses!$X$14,IF(U193&lt;=Hypothèses!$V$15,Hypothèses!$X$15,IF(U193&lt;=Hypothèses!$V$16,Hypothèses!$X$16,IF(U193&lt;=Hypothèses!$U$17,Hypothèses!$W$17,IF(U193&lt;=Hypothèses!$U$18,Hypothèses!$W$18,""))))))))))))</f>
        <v>#DIV/0!</v>
      </c>
      <c r="AR193" s="95" t="e">
        <f t="shared" ca="1" si="272"/>
        <v>#DIV/0!</v>
      </c>
      <c r="AS193" s="101" t="e">
        <f t="shared" si="324"/>
        <v>#N/A</v>
      </c>
      <c r="AT193" s="91" t="e">
        <f t="shared" si="243"/>
        <v>#N/A</v>
      </c>
      <c r="AU193" s="30" t="e">
        <f t="shared" si="302"/>
        <v>#N/A</v>
      </c>
      <c r="AV193" s="30" t="e">
        <f t="shared" si="303"/>
        <v>#N/A</v>
      </c>
      <c r="AW193" s="31" t="e">
        <f>IF(OR(Hypothèses!$B$4=17,Hypothèses!$B$4=18,Hypothèses!$B$4=19,Hypothèses!$B$4=20),
IF($D193="Pressio.",
IF(OR($E193=3,$E193=1,$E193=4),AV193,AU193),
IF($D193="Pénétro.",
IF(OR($E193=3,$E193=1,$E193=4),AV193,AU193))),IF($D193="Pressio.",
IF($E193=3,AV193,AU193),
IF($D193="Pénétro.",
IF($E193=4,AV193,AU193))))</f>
        <v>#N/A</v>
      </c>
      <c r="AX193" s="31" t="e">
        <f>(IF(OR(Hypothèses!$B$4=17,Hypothèses!$B$4=18,Hypothèses!$B$4=19,Hypothèses!$B$4=20),
IF($D193="Pressio.",
IF(OR($E193=3,$E193=1,$E193=4),(PI()*AX$12^2)/4*(AT193*$W193*1000)/($H193*$B$5),(PI()*AX$12^2)/4*(AT193*$W193*1000)/($G193*$B$5)),
IF($D193="Pénétro.",
IF(OR($E193=4,$E193=1,$E193=5),(PI()*AX$12^2)/4*(AT193*$W193*1000)/($H193*$B$5),(PI()*AX$12^2)/4*(AT193*$W193*1000)/($G193*$B$5)))),
IF($D193="Pressio.",
IF($E193=3,(PI()*AX$12^2)/4*(AT193*$W193*1000)/($H193*$B$5),(PI()*AX$12^2)/4*(AT193*$W193*1000)/($G193*$B$5)),
IF($D193="Pénétro.",
IF($E193=4,(PI()*AX$12^2)/4*(AT193*$W193*1000)/($H193*$B$5),(PI()*AX$12^2)/4*(AT193*$W193*1000)/($G193*$B$5))))))/10</f>
        <v>#N/A</v>
      </c>
      <c r="AY193" s="102" t="e">
        <f>(VLOOKUP($B$3,'Coeff EC7'!$T$39:$X$59,2,0)*AW193+VLOOKUP($B$3,'Coeff EC7'!$T$65:$X$85,2,0)*Model0.1C!AX193)/1.1</f>
        <v>#N/A</v>
      </c>
      <c r="AZ193" s="102" t="e">
        <f>(VLOOKUP($B$3,'Coeff EC7'!$T$39:$X$59,3,0)*AW193+VLOOKUP($B$3,'Coeff EC7'!$T$65:$X$85,3,0)*Model0.1C!AX193)/0.9</f>
        <v>#N/A</v>
      </c>
      <c r="BA193" s="102" t="e">
        <f t="shared" si="273"/>
        <v>#N/A</v>
      </c>
      <c r="BB193" s="102" t="e">
        <f t="shared" si="274"/>
        <v>#N/A</v>
      </c>
      <c r="BC193" s="414" t="e">
        <f>IF(BC192=0,0,IF(AND(AY193&gt;charge_ELS_quasi,AZ193&gt;Charge_ELS_freq,BA193&gt;charge_ELU,BB193&gt;charge_ELA,$B193&gt;NDC!$H$22-0.1+MIN(3*$BC$12,1.5)),0,1))</f>
        <v>#N/A</v>
      </c>
      <c r="BD193" s="86" t="b">
        <f t="shared" si="244"/>
        <v>0</v>
      </c>
      <c r="BE193" s="86">
        <f t="shared" si="275"/>
        <v>0.5</v>
      </c>
      <c r="BF193" s="86">
        <f t="shared" si="245"/>
        <v>0.5</v>
      </c>
      <c r="BG193" s="30" t="e">
        <f t="shared" ca="1" si="276"/>
        <v>#DIV/0!</v>
      </c>
      <c r="BH193" s="85" t="e">
        <f ca="1">IF(AN193&lt;=Hypothèses!$V$7,Hypothèses!$W$7,IF(AN193&lt;=Hypothèses!$V$8,Hypothèses!$W$8,IF(AN193&lt;=Hypothèses!$V$9,Hypothèses!$W$9,IF(AN193&lt;=Hypothèses!$V$10,Hypothèses!$W$10,IF(AN193&lt;=Hypothèses!$V$11,Hypothèses!$W$11,IF(AN193&lt;=Hypothèses!$V$12,Hypothèses!$W$12,IF(AN193&lt;=Hypothèses!$V$13,Hypothèses!$W$13,IF(AN193&lt;=Hypothèses!$V$14,Hypothèses!$W$14,IF(AN193&lt;=Hypothèses!$V$15,Hypothèses!$W$15,IF(AN193&lt;=Hypothèses!$V$16,Hypothèses!$W$16,IF(AN193&lt;=Hypothèses!$V$17,Hypothèses!$W$17,IF(AN193&lt;=Hypothèses!$V$18,Hypothèses!$W$18,""))))))))))))</f>
        <v>#DIV/0!</v>
      </c>
      <c r="BI193" s="87" t="e">
        <f t="shared" ca="1" si="318"/>
        <v>#DIV/0!</v>
      </c>
      <c r="BJ193" s="88" t="e">
        <f ca="1">IF(AN193&lt;=Hypothèses!$V$7,Hypothèses!$X$7,IF(AN193&lt;=Hypothèses!$V$8,Hypothèses!$X$8,IF(AN193&lt;=Hypothèses!$V$9,Hypothèses!$X$9,IF(AN193&lt;=Hypothèses!$V$10,Hypothèses!$X$10,IF(AN193&lt;=Hypothèses!$V$11,Hypothèses!$X$11,IF(AN193&lt;=Hypothèses!$V$12,Hypothèses!$X$12,IF(AN193&lt;=Hypothèses!$V$13,Hypothèses!$X$13,IF(AN193&lt;=Hypothèses!$V$14,Hypothèses!$X$14,IF(AN193&lt;=Hypothèses!$V$15,Hypothèses!$X$15,IF(AN193&lt;=Hypothèses!$V$16,Hypothèses!$X$16,IF(AN193&lt;=Hypothèses!$U$17,Hypothèses!$W$17,IF(AN193&lt;=Hypothèses!$U$18,Hypothèses!$W$18,""))))))))))))</f>
        <v>#DIV/0!</v>
      </c>
      <c r="BK193" s="95" t="e">
        <f t="shared" ca="1" si="277"/>
        <v>#DIV/0!</v>
      </c>
      <c r="BL193" s="101" t="e">
        <f t="shared" si="325"/>
        <v>#N/A</v>
      </c>
      <c r="BM193" s="91" t="e">
        <f t="shared" si="246"/>
        <v>#N/A</v>
      </c>
      <c r="BN193" s="30" t="e">
        <f t="shared" si="304"/>
        <v>#N/A</v>
      </c>
      <c r="BO193" s="30" t="e">
        <f t="shared" si="305"/>
        <v>#N/A</v>
      </c>
      <c r="BP193" s="31" t="e">
        <f>IF(OR(Hypothèses!$B$4=17,Hypothèses!$B$4=18,Hypothèses!$B$4=19,Hypothèses!$B$4=20),
IF($D193="Pressio.",
IF(OR($E193=3,$E193=1,$E193=4),BO193,BN193),
IF($D193="Pénétro.",
IF(OR($E193=3,$E193=1,$E193=4),BO193,BN193))),IF($D193="Pressio.",
IF($E193=3,BO193,BN193),
IF($D193="Pénétro.",
IF($E193=4,BO193,BN193))))</f>
        <v>#N/A</v>
      </c>
      <c r="BQ193" s="31" t="e">
        <f>(IF(OR(Hypothèses!$B$4=17,Hypothèses!$B$4=18,Hypothèses!$B$4=19,Hypothèses!$B$4=20),
IF($D193="Pressio.",
IF(OR($E193=3,$E193=1,$E193=4),(PI()*BQ$12^2)/4*(BM193*$W193*1000)/($H193*$B$5),(PI()*BQ$12^2)/4*(BM193*$W193*1000)/($G193*$B$5)),
IF($D193="Pénétro.",
IF(OR($E193=4,$E193=1,$E193=5),(PI()*BQ$12^2)/4*(BM193*$W193*1000)/($H193*$B$5),(PI()*BQ$12^2)/4*(BM193*$W193*1000)/($G193*$B$5)))),
IF($D193="Pressio.",
IF($E193=3,(PI()*BQ$12^2)/4*(BM193*$W193*1000)/($H193*$B$5),(PI()*BQ$12^2)/4*(BM193*$W193*1000)/($G193*$B$5)),
IF($D193="Pénétro.",
IF($E193=4,(PI()*BQ$12^2)/4*(BM193*$W193*1000)/($H193*$B$5),(PI()*BQ$12^2)/4*(BM193*$W193*1000)/($G193*$B$5))))))/10</f>
        <v>#N/A</v>
      </c>
      <c r="BR193" s="102" t="e">
        <f>(VLOOKUP($B$3,'Coeff EC7'!$T$39:$X$59,2,0)*BP193+VLOOKUP($B$3,'Coeff EC7'!$T$65:$X$85,2,0)*Model0.1C!BQ193)/1.1</f>
        <v>#N/A</v>
      </c>
      <c r="BS193" s="102" t="e">
        <f>(VLOOKUP($B$3,'Coeff EC7'!$T$39:$X$59,3,0)*BP193+VLOOKUP($B$3,'Coeff EC7'!$T$65:$X$85,3,0)*Model0.1C!BQ193)/0.9</f>
        <v>#N/A</v>
      </c>
      <c r="BT193" s="102" t="e">
        <f t="shared" si="278"/>
        <v>#N/A</v>
      </c>
      <c r="BU193" s="102" t="e">
        <f t="shared" si="279"/>
        <v>#N/A</v>
      </c>
      <c r="BV193" s="414" t="e">
        <f>IF(BV192=0,0,IF(AND(BR193&gt;charge_ELS_quasi,BS193&gt;Charge_ELS_freq,BT193&gt;charge_ELU,BU193&gt;charge_ELA,$B193&gt;NDC!$H$22-0.1+MIN(3*$BV$12,1.5)),0,1))</f>
        <v>#N/A</v>
      </c>
      <c r="BW193" s="86" t="b">
        <f t="shared" si="247"/>
        <v>0</v>
      </c>
      <c r="BX193" s="86">
        <f t="shared" si="248"/>
        <v>0.5</v>
      </c>
      <c r="BY193" s="86">
        <f t="shared" si="249"/>
        <v>0.5</v>
      </c>
      <c r="BZ193" s="30" t="e">
        <f t="shared" ca="1" si="280"/>
        <v>#DIV/0!</v>
      </c>
      <c r="CA193" s="85" t="e">
        <f ca="1">IF(BG193&lt;=Hypothèses!$V$7,Hypothèses!$W$7,IF(BG193&lt;=Hypothèses!$V$8,Hypothèses!$W$8,IF(BG193&lt;=Hypothèses!$V$9,Hypothèses!$W$9,IF(BG193&lt;=Hypothèses!$V$10,Hypothèses!$W$10,IF(BG193&lt;=Hypothèses!$V$11,Hypothèses!$W$11,IF(BG193&lt;=Hypothèses!$V$12,Hypothèses!$W$12,IF(BG193&lt;=Hypothèses!$V$13,Hypothèses!$W$13,IF(BG193&lt;=Hypothèses!$V$14,Hypothèses!$W$14,IF(BG193&lt;=Hypothèses!$V$15,Hypothèses!$W$15,IF(BG193&lt;=Hypothèses!$V$16,Hypothèses!$W$16,IF(BG193&lt;=Hypothèses!$V$17,Hypothèses!$W$17,IF(BG193&lt;=Hypothèses!$V$18,Hypothèses!$W$18,""))))))))))))</f>
        <v>#DIV/0!</v>
      </c>
      <c r="CB193" s="87" t="e">
        <f t="shared" ca="1" si="319"/>
        <v>#DIV/0!</v>
      </c>
      <c r="CC193" s="88" t="e">
        <f ca="1">IF(BG193&lt;=Hypothèses!$V$7,Hypothèses!$X$7,IF(BG193&lt;=Hypothèses!$V$8,Hypothèses!$X$8,IF(BG193&lt;=Hypothèses!$V$9,Hypothèses!$X$9,IF(BG193&lt;=Hypothèses!$V$10,Hypothèses!$X$10,IF(BG193&lt;=Hypothèses!$V$11,Hypothèses!$X$11,IF(BG193&lt;=Hypothèses!$V$12,Hypothèses!$X$12,IF(BG193&lt;=Hypothèses!$V$13,Hypothèses!$X$13,IF(BG193&lt;=Hypothèses!$V$14,Hypothèses!$X$14,IF(BG193&lt;=Hypothèses!$V$15,Hypothèses!$X$15,IF(BG193&lt;=Hypothèses!$V$16,Hypothèses!$X$16,IF(BG193&lt;=Hypothèses!$U$17,Hypothèses!$W$17,IF(BG193&lt;=Hypothèses!$U$18,Hypothèses!$W$18,""))))))))))))</f>
        <v>#DIV/0!</v>
      </c>
      <c r="CD193" s="95" t="e">
        <f t="shared" ca="1" si="281"/>
        <v>#DIV/0!</v>
      </c>
      <c r="CE193" s="101" t="e">
        <f t="shared" si="326"/>
        <v>#N/A</v>
      </c>
      <c r="CF193" s="91" t="e">
        <f t="shared" si="250"/>
        <v>#N/A</v>
      </c>
      <c r="CG193" s="30" t="e">
        <f t="shared" si="306"/>
        <v>#N/A</v>
      </c>
      <c r="CH193" s="30" t="e">
        <f t="shared" si="307"/>
        <v>#N/A</v>
      </c>
      <c r="CI193" s="31" t="e">
        <f>IF(OR(Hypothèses!$B$4=17,Hypothèses!$B$4=18,Hypothèses!$B$4=19,Hypothèses!$B$4=20),
IF($D193="Pressio.",
IF(OR($E193=3,$E193=1,$E193=4),CH193,CG193),
IF($D193="Pénétro.",
IF(OR($E193=3,$E193=1,$E193=4),CH193,CG193))),IF($D193="Pressio.",
IF($E193=3,CH193,CG193),
IF($D193="Pénétro.",
IF($E193=4,CH193,CG193))))</f>
        <v>#N/A</v>
      </c>
      <c r="CJ193" s="31" t="e">
        <f>(IF(OR(Hypothèses!$B$4=17,Hypothèses!$B$4=18,Hypothèses!$B$4=19,Hypothèses!$B$4=20),
IF($D193="Pressio.",
IF(OR($E193=3,$E193=1,$E193=4),(PI()*CJ$12^2)/4*(CF193*$W193*1000)/($H193*$B$5),(PI()*CJ$12^2)/4*(CF193*$W193*1000)/($G193*$B$5)),
IF($D193="Pénétro.",
IF(OR($E193=4,$E193=1,$E193=5),(PI()*CJ$12^2)/4*(CF193*$W193*1000)/($H193*$B$5),(PI()*CJ$12^2)/4*(CF193*$W193*1000)/($G193*$B$5)))),
IF($D193="Pressio.",
IF($E193=3,(PI()*CJ$12^2)/4*(CF193*$W193*1000)/($H193*$B$5),(PI()*CJ$12^2)/4*(CF193*$W193*1000)/($G193*$B$5)),
IF($D193="Pénétro.",
IF($E193=4,(PI()*CJ$12^2)/4*(CF193*$W193*1000)/($H193*$B$5),(PI()*CJ$12^2)/4*(CF193*$W193*1000)/($G193*$B$5))))))/10</f>
        <v>#N/A</v>
      </c>
      <c r="CK193" s="102" t="e">
        <f>(VLOOKUP($B$3,'Coeff EC7'!$T$39:$X$59,2,0)*CI193+VLOOKUP($B$3,'Coeff EC7'!$T$65:$X$85,2,0)*Model0.1C!CJ193)/1.1</f>
        <v>#N/A</v>
      </c>
      <c r="CL193" s="102" t="e">
        <f>(VLOOKUP($B$3,'Coeff EC7'!$T$39:$X$59,3,0)*CI193+VLOOKUP($B$3,'Coeff EC7'!$T$65:$X$85,3,0)*Model0.1C!CJ193)/0.9</f>
        <v>#N/A</v>
      </c>
      <c r="CM193" s="102" t="e">
        <f t="shared" si="282"/>
        <v>#N/A</v>
      </c>
      <c r="CN193" s="102" t="e">
        <f t="shared" si="283"/>
        <v>#N/A</v>
      </c>
      <c r="CO193" s="414" t="e">
        <f>IF(CO192=0,0,IF(AND(CK193&gt;charge_ELS_quasi,CL193&gt;Charge_ELS_freq,CM193&gt;charge_ELU,CN193&gt;charge_ELA,$B193&gt;NDC!$H$22-0.1+MIN(3*$CO$12,1.5)),0,1))</f>
        <v>#N/A</v>
      </c>
      <c r="CP193" s="86" t="b">
        <f t="shared" si="251"/>
        <v>0</v>
      </c>
      <c r="CQ193" s="86">
        <f t="shared" si="252"/>
        <v>0.5</v>
      </c>
      <c r="CR193" s="86">
        <f t="shared" si="253"/>
        <v>0.5</v>
      </c>
      <c r="CS193" s="30" t="e">
        <f t="shared" ca="1" si="284"/>
        <v>#DIV/0!</v>
      </c>
      <c r="CT193" s="85" t="e">
        <f ca="1">IF(BZ193&lt;=Hypothèses!$V$7,Hypothèses!$W$7,IF(BZ193&lt;=Hypothèses!$V$8,Hypothèses!$W$8,IF(BZ193&lt;=Hypothèses!$V$9,Hypothèses!$W$9,IF(BZ193&lt;=Hypothèses!$V$10,Hypothèses!$W$10,IF(BZ193&lt;=Hypothèses!$V$11,Hypothèses!$W$11,IF(BZ193&lt;=Hypothèses!$V$12,Hypothèses!$W$12,IF(BZ193&lt;=Hypothèses!$V$13,Hypothèses!$W$13,IF(BZ193&lt;=Hypothèses!$V$14,Hypothèses!$W$14,IF(BZ193&lt;=Hypothèses!$V$15,Hypothèses!$W$15,IF(BZ193&lt;=Hypothèses!$V$16,Hypothèses!$W$16,IF(BZ193&lt;=Hypothèses!$V$17,Hypothèses!$W$17,IF(BZ193&lt;=Hypothèses!$V$18,Hypothèses!$W$18,""))))))))))))</f>
        <v>#DIV/0!</v>
      </c>
      <c r="CU193" s="87" t="e">
        <f t="shared" ca="1" si="320"/>
        <v>#DIV/0!</v>
      </c>
      <c r="CV193" s="88" t="e">
        <f ca="1">IF(BZ193&lt;=Hypothèses!$V$7,Hypothèses!$X$7,IF(BZ193&lt;=Hypothèses!$V$8,Hypothèses!$X$8,IF(BZ193&lt;=Hypothèses!$V$9,Hypothèses!$X$9,IF(BZ193&lt;=Hypothèses!$V$10,Hypothèses!$X$10,IF(BZ193&lt;=Hypothèses!$V$11,Hypothèses!$X$11,IF(BZ193&lt;=Hypothèses!$V$12,Hypothèses!$X$12,IF(BZ193&lt;=Hypothèses!$V$13,Hypothèses!$X$13,IF(BZ193&lt;=Hypothèses!$V$14,Hypothèses!$X$14,IF(BZ193&lt;=Hypothèses!$V$15,Hypothèses!$X$15,IF(BZ193&lt;=Hypothèses!$V$16,Hypothèses!$X$16,IF(BZ193&lt;=Hypothèses!$U$17,Hypothèses!$W$17,IF(BZ193&lt;=Hypothèses!$U$18,Hypothèses!$W$18,""))))))))))))</f>
        <v>#DIV/0!</v>
      </c>
      <c r="CW193" s="95" t="e">
        <f t="shared" ca="1" si="285"/>
        <v>#DIV/0!</v>
      </c>
      <c r="CX193" s="101" t="e">
        <f t="shared" si="327"/>
        <v>#N/A</v>
      </c>
      <c r="CY193" s="91" t="e">
        <f t="shared" si="254"/>
        <v>#N/A</v>
      </c>
      <c r="CZ193" s="30" t="e">
        <f t="shared" si="308"/>
        <v>#N/A</v>
      </c>
      <c r="DA193" s="30" t="e">
        <f t="shared" si="309"/>
        <v>#N/A</v>
      </c>
      <c r="DB193" s="31" t="e">
        <f>IF(OR(Hypothèses!$B$4=17,Hypothèses!$B$4=18,Hypothèses!$B$4=19,Hypothèses!$B$4=20),
IF($D193="Pressio.",
IF(OR($E193=3,$E193=1,$E193=4),DA193,CZ193),
IF($D193="Pénétro.",
IF(OR($E193=3,$E193=1,$E193=4),DA193,CZ193))),IF($D193="Pressio.",
IF($E193=3,DA193,CZ193),
IF($D193="Pénétro.",
IF($E193=4,DA193,CZ193))))</f>
        <v>#N/A</v>
      </c>
      <c r="DC193" s="31" t="e">
        <f>(IF(OR(Hypothèses!$B$4=17,Hypothèses!$B$4=18,Hypothèses!$B$4=19,Hypothèses!$B$4=20),
IF($D193="Pressio.",
IF(OR($E193=3,$E193=1,$E193=4),(PI()*DC$12^2)/4*(CY193*$W193*1000)/($H193*$B$5),(PI()*DC$12^2)/4*(CY193*$W193*1000)/($G193*$B$5)),
IF($D193="Pénétro.",
IF(OR($E193=4,$E193=1,$E193=5),(PI()*DC$12^2)/4*(CY193*$W193*1000)/($H193*$B$5),(PI()*DC$12^2)/4*(CY193*$W193*1000)/($G193*$B$5)))),
IF($D193="Pressio.",
IF($E193=3,(PI()*DC$12^2)/4*(CY193*$W193*1000)/($H193*$B$5),(PI()*DC$12^2)/4*(CY193*$W193*1000)/($G193*$B$5)),
IF($D193="Pénétro.",
IF($E193=4,(PI()*DC$12^2)/4*(CY193*$W193*1000)/($H193*$B$5),(PI()*DC$12^2)/4*(CY193*$W193*1000)/($G193*$B$5))))))/10</f>
        <v>#N/A</v>
      </c>
      <c r="DD193" s="102" t="e">
        <f>(VLOOKUP($B$3,'Coeff EC7'!$T$39:$X$59,2,0)*DB193+VLOOKUP($B$3,'Coeff EC7'!$T$65:$X$85,2,0)*Model0.1C!DC193)/1.1</f>
        <v>#N/A</v>
      </c>
      <c r="DE193" s="102" t="e">
        <f>(VLOOKUP($B$3,'Coeff EC7'!$T$39:$X$59,3,0)*DB193+VLOOKUP($B$3,'Coeff EC7'!$T$65:$X$85,3,0)*Model0.1C!DC193)/0.9</f>
        <v>#N/A</v>
      </c>
      <c r="DF193" s="102" t="e">
        <f t="shared" si="286"/>
        <v>#N/A</v>
      </c>
      <c r="DG193" s="102" t="e">
        <f t="shared" si="287"/>
        <v>#N/A</v>
      </c>
      <c r="DH193" s="414" t="e">
        <f>IF(DH192=0,0,IF(AND(DD193&gt;charge_ELS_quasi,DE193&gt;Charge_ELS_freq,DF193&gt;charge_ELU,DG193&gt;charge_ELA,$B193&gt;NDC!$H$22-0.1+MIN(3*$DH$12,1.5)),0,1))</f>
        <v>#N/A</v>
      </c>
      <c r="DI193" s="86" t="b">
        <f t="shared" si="255"/>
        <v>0</v>
      </c>
      <c r="DJ193" s="86">
        <f t="shared" si="256"/>
        <v>0.5</v>
      </c>
      <c r="DK193" s="86">
        <f t="shared" si="257"/>
        <v>0.5</v>
      </c>
      <c r="DL193" s="30" t="e">
        <f t="shared" ca="1" si="288"/>
        <v>#DIV/0!</v>
      </c>
      <c r="DM193" s="85" t="e">
        <f ca="1">IF(CS193&lt;=Hypothèses!$V$7,Hypothèses!$W$7,IF(CS193&lt;=Hypothèses!$V$8,Hypothèses!$W$8,IF(CS193&lt;=Hypothèses!$V$9,Hypothèses!$W$9,IF(CS193&lt;=Hypothèses!$V$10,Hypothèses!$W$10,IF(CS193&lt;=Hypothèses!$V$11,Hypothèses!$W$11,IF(CS193&lt;=Hypothèses!$V$12,Hypothèses!$W$12,IF(CS193&lt;=Hypothèses!$V$13,Hypothèses!$W$13,IF(CS193&lt;=Hypothèses!$V$14,Hypothèses!$W$14,IF(CS193&lt;=Hypothèses!$V$15,Hypothèses!$W$15,IF(CS193&lt;=Hypothèses!$V$16,Hypothèses!$W$16,IF(CS193&lt;=Hypothèses!$V$17,Hypothèses!$W$17,IF(CS193&lt;=Hypothèses!$V$18,Hypothèses!$W$18,""))))))))))))</f>
        <v>#DIV/0!</v>
      </c>
      <c r="DN193" s="87" t="e">
        <f t="shared" ca="1" si="321"/>
        <v>#DIV/0!</v>
      </c>
      <c r="DO193" s="88" t="e">
        <f ca="1">IF(CS193&lt;=Hypothèses!$V$7,Hypothèses!$X$7,IF(CS193&lt;=Hypothèses!$V$8,Hypothèses!$X$8,IF(CS193&lt;=Hypothèses!$V$9,Hypothèses!$X$9,IF(CS193&lt;=Hypothèses!$V$10,Hypothèses!$X$10,IF(CS193&lt;=Hypothèses!$V$11,Hypothèses!$X$11,IF(CS193&lt;=Hypothèses!$V$12,Hypothèses!$X$12,IF(CS193&lt;=Hypothèses!$V$13,Hypothèses!$X$13,IF(CS193&lt;=Hypothèses!$V$14,Hypothèses!$X$14,IF(CS193&lt;=Hypothèses!$V$15,Hypothèses!$X$15,IF(CS193&lt;=Hypothèses!$V$16,Hypothèses!$X$16,IF(CS193&lt;=Hypothèses!$U$17,Hypothèses!$W$17,IF(CS193&lt;=Hypothèses!$U$18,Hypothèses!$W$18,""))))))))))))</f>
        <v>#DIV/0!</v>
      </c>
      <c r="DP193" s="95" t="e">
        <f t="shared" ca="1" si="289"/>
        <v>#DIV/0!</v>
      </c>
      <c r="DQ193" s="101" t="e">
        <f t="shared" si="328"/>
        <v>#N/A</v>
      </c>
      <c r="DR193" s="91" t="e">
        <f t="shared" si="258"/>
        <v>#N/A</v>
      </c>
      <c r="DS193" s="30" t="e">
        <f t="shared" si="310"/>
        <v>#N/A</v>
      </c>
      <c r="DT193" s="30" t="e">
        <f t="shared" si="311"/>
        <v>#N/A</v>
      </c>
      <c r="DU193" s="31" t="e">
        <f>IF(OR(Hypothèses!$B$4=17,Hypothèses!$B$4=18,Hypothèses!$B$4=19,Hypothèses!$B$4=20),
IF($D193="Pressio.",
IF(OR($E193=3,$E193=1,$E193=4),DT193,DS193),
IF($D193="Pénétro.",
IF(OR($E193=3,$E193=1,$E193=4),DT193,DS193))),IF($D193="Pressio.",
IF($E193=3,DT193,DS193),
IF($D193="Pénétro.",
IF($E193=4,DT193,DS193))))</f>
        <v>#N/A</v>
      </c>
      <c r="DV193" s="31" t="e">
        <f>(IF(OR(Hypothèses!$B$4=17,Hypothèses!$B$4=18,Hypothèses!$B$4=19,Hypothèses!$B$4=20),
IF($D193="Pressio.",
IF(OR($E193=3,$E193=1,$E193=4),(PI()*DV$12^2)/4*(DR193*$W193*1000)/($H193*$B$5),(PI()*DV$12^2)/4*(DR193*$W193*1000)/($G193*$B$5)),
IF($D193="Pénétro.",
IF(OR($E193=4,$E193=1,$E193=5),(PI()*DV$12^2)/4*(DR193*$W193*1000)/($H193*$B$5),(PI()*DV$12^2)/4*(DR193*$W193*1000)/($G193*$B$5)))),
IF($D193="Pressio.",
IF($E193=3,(PI()*DV$12^2)/4*(DR193*$W193*1000)/($H193*$B$5),(PI()*DV$12^2)/4*(DR193*$W193*1000)/($G193*$B$5)),
IF($D193="Pénétro.",
IF($E193=4,(PI()*DV$12^2)/4*(DR193*$W193*1000)/($H193*$B$5),(PI()*DV$12^2)/4*(DR193*$W193*1000)/($G193*$B$5))))))/10</f>
        <v>#N/A</v>
      </c>
      <c r="DW193" s="102" t="e">
        <f>(VLOOKUP($B$3,'Coeff EC7'!$T$39:$X$59,2,0)*DU193+VLOOKUP($B$3,'Coeff EC7'!$T$65:$X$85,2,0)*Model0.1C!DV193)/1.1</f>
        <v>#N/A</v>
      </c>
      <c r="DX193" s="102" t="e">
        <f>(VLOOKUP($B$3,'Coeff EC7'!$T$39:$X$59,3,0)*DU193+VLOOKUP($B$3,'Coeff EC7'!$T$65:$X$85,3,0)*Model0.1C!DV193)/0.9</f>
        <v>#N/A</v>
      </c>
      <c r="DY193" s="102" t="e">
        <f t="shared" si="290"/>
        <v>#N/A</v>
      </c>
      <c r="DZ193" s="102" t="e">
        <f t="shared" si="291"/>
        <v>#N/A</v>
      </c>
      <c r="EA193" s="414" t="e">
        <f>IF(EA192=0,0,IF(AND(DW193&gt;charge_ELS_quasi,DX193&gt;Charge_ELS_freq,DY193&gt;charge_ELU,DZ193&gt;charge_ELA,$B193&gt;NDC!$H$22-0.1+MIN(3*$EA$12,1.5)),0,1))</f>
        <v>#N/A</v>
      </c>
      <c r="EB193" s="86" t="b">
        <f t="shared" si="259"/>
        <v>0</v>
      </c>
      <c r="EC193" s="418">
        <f t="shared" si="260"/>
        <v>0.51</v>
      </c>
      <c r="ED193" s="86">
        <f t="shared" si="261"/>
        <v>0.51</v>
      </c>
      <c r="EE193" s="30" t="e">
        <f t="shared" ca="1" si="292"/>
        <v>#DIV/0!</v>
      </c>
      <c r="EF193" s="85" t="e">
        <f ca="1">IF(DL193&lt;=Hypothèses!$V$7,Hypothèses!$W$7,IF(DL193&lt;=Hypothèses!$V$8,Hypothèses!$W$8,IF(DL193&lt;=Hypothèses!$V$9,Hypothèses!$W$9,IF(DL193&lt;=Hypothèses!$V$10,Hypothèses!$W$10,IF(DL193&lt;=Hypothèses!$V$11,Hypothèses!$W$11,IF(DL193&lt;=Hypothèses!$V$12,Hypothèses!$W$12,IF(DL193&lt;=Hypothèses!$V$13,Hypothèses!$W$13,IF(DL193&lt;=Hypothèses!$V$14,Hypothèses!$W$14,IF(DL193&lt;=Hypothèses!$V$15,Hypothèses!$W$15,IF(DL193&lt;=Hypothèses!$V$16,Hypothèses!$W$16,IF(DL193&lt;=Hypothèses!$V$17,Hypothèses!$W$17,IF(DL193&lt;=Hypothèses!$V$18,Hypothèses!$W$18,""))))))))))))</f>
        <v>#DIV/0!</v>
      </c>
      <c r="EG193" s="87" t="e">
        <f t="shared" ca="1" si="322"/>
        <v>#DIV/0!</v>
      </c>
      <c r="EH193" s="88" t="e">
        <f ca="1">IF(DL193&lt;=Hypothèses!$V$7,Hypothèses!$X$7,IF(DL193&lt;=Hypothèses!$V$8,Hypothèses!$X$8,IF(DL193&lt;=Hypothèses!$V$9,Hypothèses!$X$9,IF(DL193&lt;=Hypothèses!$V$10,Hypothèses!$X$10,IF(DL193&lt;=Hypothèses!$V$11,Hypothèses!$X$11,IF(DL193&lt;=Hypothèses!$V$12,Hypothèses!$X$12,IF(DL193&lt;=Hypothèses!$V$13,Hypothèses!$X$13,IF(DL193&lt;=Hypothèses!$V$14,Hypothèses!$X$14,IF(DL193&lt;=Hypothèses!$V$15,Hypothèses!$X$15,IF(DL193&lt;=Hypothèses!$V$16,Hypothèses!$X$16,IF(DL193&lt;=Hypothèses!$U$17,Hypothèses!$W$17,IF(DL193&lt;=Hypothèses!$U$18,Hypothèses!$W$18,""))))))))))))</f>
        <v>#DIV/0!</v>
      </c>
      <c r="EI193" s="95" t="e">
        <f t="shared" ca="1" si="293"/>
        <v>#DIV/0!</v>
      </c>
      <c r="EJ193" s="101" t="e">
        <f t="shared" si="329"/>
        <v>#N/A</v>
      </c>
      <c r="EK193" s="91" t="e">
        <f t="shared" si="262"/>
        <v>#N/A</v>
      </c>
      <c r="EL193" s="30" t="e">
        <f t="shared" si="312"/>
        <v>#N/A</v>
      </c>
      <c r="EM193" s="30" t="e">
        <f t="shared" si="313"/>
        <v>#N/A</v>
      </c>
      <c r="EN193" s="31" t="e">
        <f>IF(OR(Hypothèses!$B$4=17,Hypothèses!$B$4=18,Hypothèses!$B$4=19,Hypothèses!$B$4=20),
IF($D193="Pressio.",
IF(OR($E193=3,$E193=1,$E193=4),EM193,EL193),
IF($D193="Pénétro.",
IF(OR($E193=3,$E193=1,$E193=4),EM193,EL193))),IF($D193="Pressio.",
IF($E193=3,EM193,EL193),
IF($D193="Pénétro.",
IF($E193=4,EM193,EL193))))</f>
        <v>#N/A</v>
      </c>
      <c r="EO193" s="31" t="e">
        <f>(IF(OR(Hypothèses!$B$4=17,Hypothèses!$B$4=18,Hypothèses!$B$4=19,Hypothèses!$B$4=20),
IF($D193="Pressio.",
IF(OR($E193=3,$E193=1,$E193=4),(PI()*EO$12^2)/4*(EK193*$W193*1000)/($H193*$B$5),(PI()*EO$12^2)/4*(EK193*$W193*1000)/($G193*$B$5)),
IF($D193="Pénétro.",
IF(OR($E193=4,$E193=1,$E193=5),(PI()*EO$12^2)/4*(EK193*$W193*1000)/($H193*$B$5),(PI()*EO$12^2)/4*(EK193*$W193*1000)/($G193*$B$5)))),
IF($D193="Pressio.",
IF($E193=3,(PI()*EO$12^2)/4*(EK193*$W193*1000)/($H193*$B$5),(PI()*EO$12^2)/4*(EK193*$W193*1000)/($G193*$B$5)),
IF($D193="Pénétro.",
IF($E193=4,(PI()*EO$12^2)/4*(EK193*$W193*1000)/($H193*$B$5),(PI()*EO$12^2)/4*(EK193*$W193*1000)/($G193*$B$5))))))/10</f>
        <v>#N/A</v>
      </c>
      <c r="EP193" s="102" t="e">
        <f>(VLOOKUP($B$3,'Coeff EC7'!$T$39:$X$59,2,0)*EN193+VLOOKUP($B$3,'Coeff EC7'!$T$65:$X$85,2,0)*Model0.1C!EO193)/1.1</f>
        <v>#N/A</v>
      </c>
      <c r="EQ193" s="102" t="e">
        <f>(VLOOKUP($B$3,'Coeff EC7'!$T$39:$X$59,3,0)*EN193+VLOOKUP($B$3,'Coeff EC7'!$T$65:$X$85,3,0)*Model0.1C!EO193)/0.9</f>
        <v>#N/A</v>
      </c>
      <c r="ER193" s="102" t="e">
        <f t="shared" si="294"/>
        <v>#N/A</v>
      </c>
      <c r="ES193" s="102" t="e">
        <f t="shared" si="295"/>
        <v>#N/A</v>
      </c>
      <c r="ET193" s="414" t="e">
        <f>IF(ET192=0,0,IF(AND(EP193&gt;charge_ELS_quasi,EQ193&gt;Charge_ELS_freq,ER193&gt;charge_ELU,ES193&gt;charge_ELA,$B193&gt;NDC!$H$22-0.1+MIN(3*$ET$12,1.5)),0,1))</f>
        <v>#N/A</v>
      </c>
      <c r="EU193" s="86" t="b">
        <f t="shared" si="263"/>
        <v>0</v>
      </c>
      <c r="EV193" s="86">
        <f t="shared" si="264"/>
        <v>0.61</v>
      </c>
      <c r="EW193" s="86">
        <f t="shared" si="265"/>
        <v>0.61</v>
      </c>
      <c r="EX193" s="30" t="e">
        <f t="shared" ca="1" si="296"/>
        <v>#DIV/0!</v>
      </c>
      <c r="EY193" s="85" t="e">
        <f ca="1">IF(EE193&lt;=Hypothèses!$V$7,Hypothèses!$W$7,IF(EE193&lt;=Hypothèses!$V$8,Hypothèses!$W$8,IF(EE193&lt;=Hypothèses!$V$9,Hypothèses!$W$9,IF(EE193&lt;=Hypothèses!$V$10,Hypothèses!$W$10,IF(EE193&lt;=Hypothèses!$V$11,Hypothèses!$W$11,IF(EE193&lt;=Hypothèses!$V$12,Hypothèses!$W$12,IF(EE193&lt;=Hypothèses!$V$13,Hypothèses!$W$13,IF(EE193&lt;=Hypothèses!$V$14,Hypothèses!$W$14,IF(EE193&lt;=Hypothèses!$V$15,Hypothèses!$W$15,IF(EE193&lt;=Hypothèses!$V$16,Hypothèses!$W$16,IF(EE193&lt;=Hypothèses!$V$17,Hypothèses!$W$17,IF(EE193&lt;=Hypothèses!$V$18,Hypothèses!$W$18,""))))))))))))</f>
        <v>#DIV/0!</v>
      </c>
      <c r="EZ193" s="87" t="e">
        <f t="shared" ca="1" si="323"/>
        <v>#DIV/0!</v>
      </c>
      <c r="FA193" s="88" t="e">
        <f ca="1">IF(EE193&lt;=Hypothèses!$V$7,Hypothèses!$X$7,IF(EE193&lt;=Hypothèses!$V$8,Hypothèses!$X$8,IF(EE193&lt;=Hypothèses!$V$9,Hypothèses!$X$9,IF(EE193&lt;=Hypothèses!$V$10,Hypothèses!$X$10,IF(EE193&lt;=Hypothèses!$V$11,Hypothèses!$X$11,IF(EE193&lt;=Hypothèses!$V$12,Hypothèses!$X$12,IF(EE193&lt;=Hypothèses!$V$13,Hypothèses!$X$13,IF(EE193&lt;=Hypothèses!$V$14,Hypothèses!$X$14,IF(EE193&lt;=Hypothèses!$V$15,Hypothèses!$X$15,IF(EE193&lt;=Hypothèses!$V$16,Hypothèses!$X$16,IF(EE193&lt;=Hypothèses!$U$17,Hypothèses!$W$17,IF(EE193&lt;=Hypothèses!$U$18,Hypothèses!$W$18,""))))))))))))</f>
        <v>#DIV/0!</v>
      </c>
      <c r="FB193" s="95" t="e">
        <f t="shared" ca="1" si="297"/>
        <v>#DIV/0!</v>
      </c>
      <c r="FC193" s="101" t="e">
        <f t="shared" si="330"/>
        <v>#N/A</v>
      </c>
      <c r="FD193" s="91" t="e">
        <f t="shared" si="266"/>
        <v>#N/A</v>
      </c>
      <c r="FE193" s="30" t="e">
        <f t="shared" si="314"/>
        <v>#N/A</v>
      </c>
      <c r="FF193" s="30" t="e">
        <f t="shared" si="315"/>
        <v>#N/A</v>
      </c>
      <c r="FG193" s="31" t="e">
        <f>IF(OR(Hypothèses!$B$4=17,Hypothèses!$B$4=18,Hypothèses!$B$4=19,Hypothèses!$B$4=20),
IF($D193="Pressio.",
IF(OR($E193=3,$E193=1,$E193=4),FF193,FE193),
IF($D193="Pénétro.",
IF(OR($E193=3,$E193=1,$E193=4),FF193,FE193))),IF($D193="Pressio.",
IF($E193=3,FF193,FE193),
IF($D193="Pénétro.",
IF($E193=4,FF193,FE193))))</f>
        <v>#N/A</v>
      </c>
      <c r="FH193" s="31" t="e">
        <f>(IF(OR(Hypothèses!$B$4=17,Hypothèses!$B$4=18,Hypothèses!$B$4=19,Hypothèses!$B$4=20),
IF($D193="Pressio.",
IF(OR($E193=3,$E193=1,$E193=4),(PI()*FH$12^2)/4*(FD193*$W193*1000)/($H193*$B$5),(PI()*FH$12^2)/4*(FD193*$W193*1000)/($G193*$B$5)),
IF($D193="Pénétro.",
IF(OR($E193=4,$E193=1,$E193=5),(PI()*FH$12^2)/4*(FD193*$W193*1000)/($H193*$B$5),(PI()*FH$12^2)/4*(FD193*$W193*1000)/($G193*$B$5)))),
IF($D193="Pressio.",
IF($E193=3,(PI()*FH$12^2)/4*(FD193*$W193*1000)/($H193*$B$5),(PI()*FH$12^2)/4*(FD193*$W193*1000)/($G193*$B$5)),
IF($D193="Pénétro.",
IF($E193=4,(PI()*FH$12^2)/4*(FD193*$W193*1000)/($H193*$B$5),(PI()*FH$12^2)/4*(FD193*$W193*1000)/($G193*$B$5))))))/10</f>
        <v>#N/A</v>
      </c>
      <c r="FI193" s="102" t="e">
        <f>(VLOOKUP($B$3,'Coeff EC7'!$T$39:$X$59,2,0)*FG193+VLOOKUP($B$3,'Coeff EC7'!$T$65:$X$85,2,0)*Model0.1C!FH193)/1.1</f>
        <v>#N/A</v>
      </c>
      <c r="FJ193" s="102" t="e">
        <f>(VLOOKUP($B$3,'Coeff EC7'!$T$39:$X$59,3,0)*FG193+VLOOKUP($B$3,'Coeff EC7'!$T$65:$X$85,3,0)*Model0.1C!FH193)/0.9</f>
        <v>#N/A</v>
      </c>
      <c r="FK193" s="102" t="e">
        <f t="shared" si="298"/>
        <v>#N/A</v>
      </c>
      <c r="FL193" s="102" t="e">
        <f t="shared" si="299"/>
        <v>#N/A</v>
      </c>
      <c r="FM193" s="414" t="e">
        <f>IF(FM192=0,0,IF(AND(FI193&gt;charge_ELS_quasi,FJ193&gt;Charge_ELS_freq,FK193&gt;charge_ELU,FL193&gt;charge_ELA,$B193&gt;NDC!$H$22-0.1+MIN(3*$FM$12,1.5)),0,1))</f>
        <v>#N/A</v>
      </c>
    </row>
    <row r="194" spans="1:169">
      <c r="A194" s="96">
        <f t="shared" si="267"/>
        <v>81.900000000001029</v>
      </c>
      <c r="B194" s="97">
        <v>18.100000000000001</v>
      </c>
      <c r="C194" s="81">
        <f>IF(B194&lt;=Hypothèses!$C$7,Hypothèses!$A$7,IF(B194&lt;=Hypothèses!$C$8,Hypothèses!$A$8,IF(B194&lt;=Hypothèses!$C$9,Hypothèses!$A$9,IF(B194&lt;=Hypothèses!$C$10,Hypothèses!$A$10,IF(B194&lt;=Hypothèses!$C$11,Hypothèses!$A$11,IF(B194&lt;=Hypothèses!$C$12,Hypothèses!$A$12,IF(B194&lt;=Hypothèses!$C$13,Hypothèses!$A$13,IF(B194&lt;=Hypothèses!$C$14,Hypothèses!$A$14,IF(B194&lt;=Hypothèses!$C$15,Hypothèses!$A$15,IF(B194&lt;=Hypothèses!$C$16,Hypothèses!$A$16,IF(B194&lt;=Hypothèses!$C$17,Hypothèses!$A$17,IF(B194&lt;=Hypothèses!$C$18,Hypothèses!$A$18,C193))))))))))))</f>
        <v>11</v>
      </c>
      <c r="D194" s="82" t="str">
        <f>IF(B194&lt;=Hypothèses!$C$7,Hypothèses!$R$7,IF(B194&lt;=Hypothèses!$C$8,Hypothèses!$R$8,IF(B194&lt;=Hypothèses!$C$9,Hypothèses!$R$9,IF(B194&lt;=Hypothèses!$C$10,Hypothèses!$R$10,IF(B194&lt;=Hypothèses!$C$11,Hypothèses!$R$11,IF(B194&lt;=Hypothèses!$C$12,Hypothèses!$R$12,IF(B194&lt;=Hypothèses!$C$13,Hypothèses!$R$13,IF(B194&lt;=Hypothèses!$C$14,Hypothèses!$R$14,IF(B194&lt;=Hypothèses!$C$15,Hypothèses!$R$15,IF(B194&lt;=Hypothèses!$C$16,Hypothèses!$R$16,IF(B194&lt;=Hypothèses!$C$17,Hypothèses!$R$17,IF(B194&lt;=Hypothèses!$C$18,Hypothèses!$R$18,D193))))))))))))</f>
        <v>Pressio.</v>
      </c>
      <c r="E194" s="82" t="e">
        <f>IF(B194&lt;=Hypothèses!$C$7,Hypothèses!$G$7,IF(B194&lt;=Hypothèses!$C$8,Hypothèses!$G$8,IF(B194&lt;=Hypothèses!$C$9,Hypothèses!$G$9,IF(B194&lt;=Hypothèses!$C$10,Hypothèses!$G$10,IF(B194&lt;=Hypothèses!$C$11,Hypothèses!$G$11,IF(B194&lt;=Hypothèses!$C$12,Hypothèses!$G$12,IF(B194&lt;=Hypothèses!$C$13,Hypothèses!$G$13,IF(B194&lt;=Hypothèses!$C$14,Hypothèses!$G$14,IF(B194&lt;=Hypothèses!$C$15,Hypothèses!$G$15,IF(B194&lt;=Hypothèses!$C$16,Hypothèses!$G$16,IF(B194&lt;=Hypothèses!$C$17,Hypothèses!$G$17,IF(B194&lt;=Hypothèses!$C$18,Hypothèses!$G$18,E193))))))))))))</f>
        <v>#N/A</v>
      </c>
      <c r="F194" s="82" t="str">
        <f>IF(B194&lt;=Hypothèses!$C$7,Hypothèses!$F$7,IF(B194&lt;=Hypothèses!$C$8,Hypothèses!$F$8,IF(B194&lt;=Hypothèses!$C$9,Hypothèses!$F$9,IF(B194&lt;=Hypothèses!$C$10,Hypothèses!$F$10,IF(B194&lt;=Hypothèses!$C$11,Hypothèses!$F$11,IF(B194&lt;=Hypothèses!$C$12,Hypothèses!$F$12,IF(B194&lt;=Hypothèses!$C$13,Hypothèses!$F$13,IF(B194&lt;=Hypothèses!$C$14,Hypothèses!$F$14,IF(B194&lt;=Hypothèses!$C$15,Hypothèses!$F$15,IF(B194&lt;=Hypothèses!$C$16,Hypothèses!$F$16,IF(B194&lt;=Hypothèses!$C$17,Hypothèses!$F$17,IF(B194&lt;=Hypothèses!$C$18,Hypothèses!$F$18,F193))))))))))))</f>
        <v/>
      </c>
      <c r="G194" s="91">
        <f t="array" ref="G194">INDEX('Coeff EC7'!$U$7:$X$27,
MATCH(Model0.1C!$B$3,'Coeff EC7'!$T$7:$T$27,0),
MATCH(Model0.1C!$D194&amp;Model0.1C!$B$4,
'Coeff EC7'!$U$6:$X$6&amp;
'Coeff EC7'!$U$5:$X$5,0))</f>
        <v>1.1499999999999999</v>
      </c>
      <c r="H194" s="91">
        <f t="array" ref="H194">INDEX('Coeff EC7'!$Y$7:$AB$27,
MATCH(Model0.1C!$B$3,'Coeff EC7'!$T$7:$T$27,0),
MATCH(Model0.1C!$D194&amp;Model0.1C!$B$4,
'Coeff EC7'!$Y$6:$AB$6&amp;
'Coeff EC7'!$Y$5:$AB$5,0))</f>
        <v>1.4</v>
      </c>
      <c r="I194" s="83" t="e">
        <f>IF(B194&lt;=Hypothèses!$C$7,Hypothèses!$P$7,IF(B194&lt;=Hypothèses!$C$8,Hypothèses!$P$8,IF(B194&lt;=Hypothèses!$C$9,Hypothèses!$P$9,IF(B194&lt;=Hypothèses!$C$10,Hypothèses!$P$10,IF(B194&lt;=Hypothèses!$C$11,Hypothèses!$P$11,IF(B194&lt;=Hypothèses!$C$12,Hypothèses!$P$12,IF(B194&lt;=Hypothèses!$C$13,Hypothèses!$P$13,IF(B194&lt;=Hypothèses!$C$14,Hypothèses!$P$14,IF(B194&lt;=Hypothèses!$C$15,Hypothèses!$P$15,IF(B194&lt;=Hypothèses!$C$16,Hypothèses!$P$16,IF(B194&lt;=Hypothèses!$C$17,Hypothèses!$P$17,IF(B194&lt;=Hypothèses!$C$18,Hypothèses!$P$18,I193))))))))))))</f>
        <v>#N/A</v>
      </c>
      <c r="J194" s="91" t="e">
        <f t="array" ref="J194">INDEX('Coeff EC7'!$D$33:$Q$33,1,MATCH(D194&amp;E194,'Coeff EC7'!$D$31:$Q$31&amp;'Coeff EC7'!$D$32:$Q$32,0))</f>
        <v>#N/A</v>
      </c>
      <c r="K194" s="91" t="e">
        <f t="array" ref="K194">INDEX('Coeff EC7'!$D$34:$Q$34,1,MATCH(D194&amp;E194,'Coeff EC7'!$D$31:$Q$31&amp;'Coeff EC7'!$D$32:$Q$32,0))</f>
        <v>#N/A</v>
      </c>
      <c r="L194" s="91" t="e">
        <f t="array" ref="L194">INDEX('Coeff EC7'!$D$35:$Q$35,1,MATCH(D194&amp;E194,'Coeff EC7'!$D$31:$Q$31&amp;'Coeff EC7'!$D$32:$Q$32,0))</f>
        <v>#N/A</v>
      </c>
      <c r="M194" s="98" t="e">
        <f t="shared" si="231"/>
        <v>#N/A</v>
      </c>
      <c r="N194" s="99" t="e">
        <f t="array" ref="N194">INDEX('Coeff EC7'!$D$7:$Q$27,MATCH($B$3,'Coeff EC7'!$C$7:$C$27,0),MATCH(D194&amp;E194,'Coeff EC7'!$D$5:$Q$5&amp;'Coeff EC7'!$D$6:$Q$6,0))</f>
        <v>#N/A</v>
      </c>
      <c r="O194" s="99" t="e">
        <f t="array" ref="O194">INDEX('Coeff EC7'!$D$41:$Q$61,MATCH($B$3,'Coeff EC7'!$C$41:$C$61,0),MATCH(D194&amp;E194,'Coeff EC7'!$D$39:$Q$39&amp;'Coeff EC7'!$D$40:$Q$40,0))</f>
        <v>#N/A</v>
      </c>
      <c r="P194" s="30" t="e">
        <f t="shared" si="268"/>
        <v>#N/A</v>
      </c>
      <c r="Q194" s="100" t="e">
        <f t="shared" si="233"/>
        <v>#N/A</v>
      </c>
      <c r="R194" s="86" t="b">
        <f t="shared" si="234"/>
        <v>0</v>
      </c>
      <c r="S194" s="86">
        <f t="shared" si="232"/>
        <v>0.5</v>
      </c>
      <c r="T194" s="86">
        <f t="shared" si="235"/>
        <v>0.5</v>
      </c>
      <c r="U194" s="30" t="e">
        <f t="shared" ca="1" si="269"/>
        <v>#DIV/0!</v>
      </c>
      <c r="V194" s="85" t="str">
        <f>IF(B194&lt;=Hypothèses!$V$7,Hypothèses!$W$7,IF(B194&lt;=Hypothèses!$V$8,Hypothèses!$W$8,IF(B194&lt;=Hypothèses!$V$9,Hypothèses!$W$9,IF(B194&lt;=Hypothèses!$V$10,Hypothèses!$W$10,IF(B194&lt;=Hypothèses!$V$11,Hypothèses!$W$11,IF(B194&lt;=Hypothèses!$V$12,Hypothèses!$W$12,IF(B194&lt;=Hypothèses!$V$13,Hypothèses!$W$13,IF(B194&lt;=Hypothèses!$V$14,Hypothèses!$W$14,IF(B194&lt;=Hypothèses!$V$15,Hypothèses!$W$15,IF(B194&lt;=Hypothèses!$V$16,Hypothèses!$W$16,IF(B194&lt;=Hypothèses!$V$17,Hypothèses!$W$17,IF(B194&lt;=Hypothèses!$V$18,Hypothèses!$W$18,""))))))))))))</f>
        <v/>
      </c>
      <c r="W194" s="87" t="e">
        <f t="shared" ca="1" si="316"/>
        <v>#DIV/0!</v>
      </c>
      <c r="X194" s="88" t="str">
        <f>IF(B194&lt;=Hypothèses!$V$7,Hypothèses!$X$7,IF(B194&lt;=Hypothèses!$V$8,Hypothèses!$X$8,IF(B194&lt;=Hypothèses!$V$9,Hypothèses!$X$9,IF(B194&lt;=Hypothèses!$V$10,Hypothèses!$X$10,IF(B194&lt;=Hypothèses!$V$11,Hypothèses!$X$11,IF(B194&lt;=Hypothèses!$V$12,Hypothèses!$X$12,IF(B194&lt;=Hypothèses!$V$13,Hypothèses!$X$13,IF(B194&lt;=Hypothèses!$V$14,Hypothèses!$X$14,IF(B194&lt;=Hypothèses!$V$15,Hypothèses!$X$15,IF(B194&lt;=Hypothèses!$V$16,Hypothèses!$X$16,IF(B194&lt;=Hypothèses!$U$17,Hypothèses!$W$17,IF(B194&lt;=Hypothèses!$U$18,Hypothèses!$W$18,""))))))))))))</f>
        <v/>
      </c>
      <c r="Y194" s="95" t="e">
        <f t="shared" ca="1" si="236"/>
        <v>#DIV/0!</v>
      </c>
      <c r="Z194" s="101" t="e">
        <f t="shared" si="237"/>
        <v>#N/A</v>
      </c>
      <c r="AA194" s="91" t="e">
        <f t="shared" si="238"/>
        <v>#N/A</v>
      </c>
      <c r="AB194" s="30" t="e">
        <f t="shared" si="300"/>
        <v>#N/A</v>
      </c>
      <c r="AC194" s="30" t="e">
        <f t="shared" si="301"/>
        <v>#N/A</v>
      </c>
      <c r="AD194" s="31" t="e">
        <f>IF(OR(Hypothèses!$B$4=17,Hypothèses!$B$4=18,Hypothèses!$B$4=19,Hypothèses!$B$4=20),
IF($D194="Pressio.",
IF(OR($E194=3,$E194=1,$E194=4),AC194,AB194),
IF($D194="Pénétro.",
IF(OR($E194=3,$E194=1,$E194=4),AC194,AB194))),IF($D194="Pressio.",
IF($E194=3,AC194,AB194),
IF($D194="Pénétro.",
IF($E194=4,AC194,AB194))))</f>
        <v>#N/A</v>
      </c>
      <c r="AE194" s="31" t="e">
        <f>(IF(OR(Hypothèses!$B$4=17,Hypothèses!$B$4=18,Hypothèses!$B$4=19,Hypothèses!$B$4=20),
IF($D194="Pressio.",
IF(OR($E194=3,$E194=1,$E194=4),(PI()*AE$12^2)/4*(AA194*$W194*1000)/($H194*$B$5),(PI()*AE$12^2)/4*(AA194*$W194*1000)/($G194*$B$5)),
IF($D194="Pénétro.",
IF(OR($E194=4,$E194=1,$E194=5),(PI()*AE$12^2)/4*(AA194*$W194*1000)/($H194*$B$5),(PI()*AE$12^2)/4*(AA194*$W194*1000)/($G194*$B$5)))),
IF($D194="Pressio.",
IF($E194=3,(PI()*AE$12^2)/4*(AA194*$W194*1000)/($H194*$B$5),(PI()*AE$12^2)/4*(AA194*$W194*1000)/($G194*$B$5)),
IF($D194="Pénétro.",
IF($E194=4,(PI()*AE$12^2)/4*(AA194*$W194*1000)/($H194*$B$5),(PI()*AE$12^2)/4*(AA194*$W194*1000)/($G194*$B$5))))))/10</f>
        <v>#N/A</v>
      </c>
      <c r="AF194" s="102" t="e">
        <f>(VLOOKUP($B$3,'Coeff EC7'!$T$39:$X$59,2,0)*AD194+VLOOKUP($B$3,'Coeff EC7'!$T$65:$X$85,2,0)*Model0.1C!AE194)/1.1</f>
        <v>#N/A</v>
      </c>
      <c r="AG194" s="102" t="e">
        <f>(VLOOKUP($B$3,'Coeff EC7'!$T$39:$X$59,3,0)*AD194+VLOOKUP($B$3,'Coeff EC7'!$T$65:$X$85,3,0)*Model0.1C!AE194)/0.9</f>
        <v>#N/A</v>
      </c>
      <c r="AH194" s="102" t="e">
        <f t="shared" si="239"/>
        <v>#N/A</v>
      </c>
      <c r="AI194" s="102" t="e">
        <f t="shared" si="240"/>
        <v>#N/A</v>
      </c>
      <c r="AJ194" s="414" t="e">
        <f>IF(AJ193=0,0,IF(AND(AF194&gt;charge_ELS_quasi,AG194&gt;Charge_ELS_freq,AH194&gt;charge_ELU,AI194&gt;charge_ELA,$B194&gt;NDC!$H$22-0.1+MIN(3*$AJ$12,1.5)),0,1))</f>
        <v>#N/A</v>
      </c>
      <c r="AK194" s="86" t="b">
        <f t="shared" si="241"/>
        <v>0</v>
      </c>
      <c r="AL194" s="86">
        <f t="shared" si="270"/>
        <v>0.5</v>
      </c>
      <c r="AM194" s="86">
        <f t="shared" si="242"/>
        <v>0.5</v>
      </c>
      <c r="AN194" s="30" t="e">
        <f t="shared" ca="1" si="271"/>
        <v>#DIV/0!</v>
      </c>
      <c r="AO194" s="85" t="e">
        <f ca="1">IF(U194&lt;=Hypothèses!$V$7,Hypothèses!$W$7,IF(U194&lt;=Hypothèses!$V$8,Hypothèses!$W$8,IF(U194&lt;=Hypothèses!$V$9,Hypothèses!$W$9,IF(U194&lt;=Hypothèses!$V$10,Hypothèses!$W$10,IF(U194&lt;=Hypothèses!$V$11,Hypothèses!$W$11,IF(U194&lt;=Hypothèses!$V$12,Hypothèses!$W$12,IF(U194&lt;=Hypothèses!$V$13,Hypothèses!$W$13,IF(U194&lt;=Hypothèses!$V$14,Hypothèses!$W$14,IF(U194&lt;=Hypothèses!$V$15,Hypothèses!$W$15,IF(U194&lt;=Hypothèses!$V$16,Hypothèses!$W$16,IF(U194&lt;=Hypothèses!$V$17,Hypothèses!$W$17,IF(U194&lt;=Hypothèses!$V$18,Hypothèses!$W$18,""))))))))))))</f>
        <v>#DIV/0!</v>
      </c>
      <c r="AP194" s="87" t="e">
        <f t="shared" ca="1" si="317"/>
        <v>#DIV/0!</v>
      </c>
      <c r="AQ194" s="88" t="e">
        <f ca="1">IF(U194&lt;=Hypothèses!$V$7,Hypothèses!$X$7,IF(U194&lt;=Hypothèses!$V$8,Hypothèses!$X$8,IF(U194&lt;=Hypothèses!$V$9,Hypothèses!$X$9,IF(U194&lt;=Hypothèses!$V$10,Hypothèses!$X$10,IF(U194&lt;=Hypothèses!$V$11,Hypothèses!$X$11,IF(U194&lt;=Hypothèses!$V$12,Hypothèses!$X$12,IF(U194&lt;=Hypothèses!$V$13,Hypothèses!$X$13,IF(U194&lt;=Hypothèses!$V$14,Hypothèses!$X$14,IF(U194&lt;=Hypothèses!$V$15,Hypothèses!$X$15,IF(U194&lt;=Hypothèses!$V$16,Hypothèses!$X$16,IF(U194&lt;=Hypothèses!$U$17,Hypothèses!$W$17,IF(U194&lt;=Hypothèses!$U$18,Hypothèses!$W$18,""))))))))))))</f>
        <v>#DIV/0!</v>
      </c>
      <c r="AR194" s="95" t="e">
        <f t="shared" ca="1" si="272"/>
        <v>#DIV/0!</v>
      </c>
      <c r="AS194" s="101" t="e">
        <f t="shared" si="324"/>
        <v>#N/A</v>
      </c>
      <c r="AT194" s="91" t="e">
        <f t="shared" si="243"/>
        <v>#N/A</v>
      </c>
      <c r="AU194" s="30" t="e">
        <f t="shared" si="302"/>
        <v>#N/A</v>
      </c>
      <c r="AV194" s="30" t="e">
        <f t="shared" si="303"/>
        <v>#N/A</v>
      </c>
      <c r="AW194" s="31" t="e">
        <f>IF(OR(Hypothèses!$B$4=17,Hypothèses!$B$4=18,Hypothèses!$B$4=19,Hypothèses!$B$4=20),
IF($D194="Pressio.",
IF(OR($E194=3,$E194=1,$E194=4),AV194,AU194),
IF($D194="Pénétro.",
IF(OR($E194=3,$E194=1,$E194=4),AV194,AU194))),IF($D194="Pressio.",
IF($E194=3,AV194,AU194),
IF($D194="Pénétro.",
IF($E194=4,AV194,AU194))))</f>
        <v>#N/A</v>
      </c>
      <c r="AX194" s="31" t="e">
        <f>(IF(OR(Hypothèses!$B$4=17,Hypothèses!$B$4=18,Hypothèses!$B$4=19,Hypothèses!$B$4=20),
IF($D194="Pressio.",
IF(OR($E194=3,$E194=1,$E194=4),(PI()*AX$12^2)/4*(AT194*$W194*1000)/($H194*$B$5),(PI()*AX$12^2)/4*(AT194*$W194*1000)/($G194*$B$5)),
IF($D194="Pénétro.",
IF(OR($E194=4,$E194=1,$E194=5),(PI()*AX$12^2)/4*(AT194*$W194*1000)/($H194*$B$5),(PI()*AX$12^2)/4*(AT194*$W194*1000)/($G194*$B$5)))),
IF($D194="Pressio.",
IF($E194=3,(PI()*AX$12^2)/4*(AT194*$W194*1000)/($H194*$B$5),(PI()*AX$12^2)/4*(AT194*$W194*1000)/($G194*$B$5)),
IF($D194="Pénétro.",
IF($E194=4,(PI()*AX$12^2)/4*(AT194*$W194*1000)/($H194*$B$5),(PI()*AX$12^2)/4*(AT194*$W194*1000)/($G194*$B$5))))))/10</f>
        <v>#N/A</v>
      </c>
      <c r="AY194" s="102" t="e">
        <f>(VLOOKUP($B$3,'Coeff EC7'!$T$39:$X$59,2,0)*AW194+VLOOKUP($B$3,'Coeff EC7'!$T$65:$X$85,2,0)*Model0.1C!AX194)/1.1</f>
        <v>#N/A</v>
      </c>
      <c r="AZ194" s="102" t="e">
        <f>(VLOOKUP($B$3,'Coeff EC7'!$T$39:$X$59,3,0)*AW194+VLOOKUP($B$3,'Coeff EC7'!$T$65:$X$85,3,0)*Model0.1C!AX194)/0.9</f>
        <v>#N/A</v>
      </c>
      <c r="BA194" s="102" t="e">
        <f t="shared" si="273"/>
        <v>#N/A</v>
      </c>
      <c r="BB194" s="102" t="e">
        <f t="shared" si="274"/>
        <v>#N/A</v>
      </c>
      <c r="BC194" s="414" t="e">
        <f>IF(BC193=0,0,IF(AND(AY194&gt;charge_ELS_quasi,AZ194&gt;Charge_ELS_freq,BA194&gt;charge_ELU,BB194&gt;charge_ELA,$B194&gt;NDC!$H$22-0.1+MIN(3*$BC$12,1.5)),0,1))</f>
        <v>#N/A</v>
      </c>
      <c r="BD194" s="86" t="b">
        <f t="shared" si="244"/>
        <v>0</v>
      </c>
      <c r="BE194" s="86">
        <f t="shared" si="275"/>
        <v>0.5</v>
      </c>
      <c r="BF194" s="86">
        <f t="shared" si="245"/>
        <v>0.5</v>
      </c>
      <c r="BG194" s="30" t="e">
        <f t="shared" ca="1" si="276"/>
        <v>#DIV/0!</v>
      </c>
      <c r="BH194" s="85" t="e">
        <f ca="1">IF(AN194&lt;=Hypothèses!$V$7,Hypothèses!$W$7,IF(AN194&lt;=Hypothèses!$V$8,Hypothèses!$W$8,IF(AN194&lt;=Hypothèses!$V$9,Hypothèses!$W$9,IF(AN194&lt;=Hypothèses!$V$10,Hypothèses!$W$10,IF(AN194&lt;=Hypothèses!$V$11,Hypothèses!$W$11,IF(AN194&lt;=Hypothèses!$V$12,Hypothèses!$W$12,IF(AN194&lt;=Hypothèses!$V$13,Hypothèses!$W$13,IF(AN194&lt;=Hypothèses!$V$14,Hypothèses!$W$14,IF(AN194&lt;=Hypothèses!$V$15,Hypothèses!$W$15,IF(AN194&lt;=Hypothèses!$V$16,Hypothèses!$W$16,IF(AN194&lt;=Hypothèses!$V$17,Hypothèses!$W$17,IF(AN194&lt;=Hypothèses!$V$18,Hypothèses!$W$18,""))))))))))))</f>
        <v>#DIV/0!</v>
      </c>
      <c r="BI194" s="87" t="e">
        <f t="shared" ca="1" si="318"/>
        <v>#DIV/0!</v>
      </c>
      <c r="BJ194" s="88" t="e">
        <f ca="1">IF(AN194&lt;=Hypothèses!$V$7,Hypothèses!$X$7,IF(AN194&lt;=Hypothèses!$V$8,Hypothèses!$X$8,IF(AN194&lt;=Hypothèses!$V$9,Hypothèses!$X$9,IF(AN194&lt;=Hypothèses!$V$10,Hypothèses!$X$10,IF(AN194&lt;=Hypothèses!$V$11,Hypothèses!$X$11,IF(AN194&lt;=Hypothèses!$V$12,Hypothèses!$X$12,IF(AN194&lt;=Hypothèses!$V$13,Hypothèses!$X$13,IF(AN194&lt;=Hypothèses!$V$14,Hypothèses!$X$14,IF(AN194&lt;=Hypothèses!$V$15,Hypothèses!$X$15,IF(AN194&lt;=Hypothèses!$V$16,Hypothèses!$X$16,IF(AN194&lt;=Hypothèses!$U$17,Hypothèses!$W$17,IF(AN194&lt;=Hypothèses!$U$18,Hypothèses!$W$18,""))))))))))))</f>
        <v>#DIV/0!</v>
      </c>
      <c r="BK194" s="95" t="e">
        <f t="shared" ca="1" si="277"/>
        <v>#DIV/0!</v>
      </c>
      <c r="BL194" s="101" t="e">
        <f t="shared" si="325"/>
        <v>#N/A</v>
      </c>
      <c r="BM194" s="91" t="e">
        <f t="shared" si="246"/>
        <v>#N/A</v>
      </c>
      <c r="BN194" s="30" t="e">
        <f t="shared" si="304"/>
        <v>#N/A</v>
      </c>
      <c r="BO194" s="30" t="e">
        <f t="shared" si="305"/>
        <v>#N/A</v>
      </c>
      <c r="BP194" s="31" t="e">
        <f>IF(OR(Hypothèses!$B$4=17,Hypothèses!$B$4=18,Hypothèses!$B$4=19,Hypothèses!$B$4=20),
IF($D194="Pressio.",
IF(OR($E194=3,$E194=1,$E194=4),BO194,BN194),
IF($D194="Pénétro.",
IF(OR($E194=3,$E194=1,$E194=4),BO194,BN194))),IF($D194="Pressio.",
IF($E194=3,BO194,BN194),
IF($D194="Pénétro.",
IF($E194=4,BO194,BN194))))</f>
        <v>#N/A</v>
      </c>
      <c r="BQ194" s="31" t="e">
        <f>(IF(OR(Hypothèses!$B$4=17,Hypothèses!$B$4=18,Hypothèses!$B$4=19,Hypothèses!$B$4=20),
IF($D194="Pressio.",
IF(OR($E194=3,$E194=1,$E194=4),(PI()*BQ$12^2)/4*(BM194*$W194*1000)/($H194*$B$5),(PI()*BQ$12^2)/4*(BM194*$W194*1000)/($G194*$B$5)),
IF($D194="Pénétro.",
IF(OR($E194=4,$E194=1,$E194=5),(PI()*BQ$12^2)/4*(BM194*$W194*1000)/($H194*$B$5),(PI()*BQ$12^2)/4*(BM194*$W194*1000)/($G194*$B$5)))),
IF($D194="Pressio.",
IF($E194=3,(PI()*BQ$12^2)/4*(BM194*$W194*1000)/($H194*$B$5),(PI()*BQ$12^2)/4*(BM194*$W194*1000)/($G194*$B$5)),
IF($D194="Pénétro.",
IF($E194=4,(PI()*BQ$12^2)/4*(BM194*$W194*1000)/($H194*$B$5),(PI()*BQ$12^2)/4*(BM194*$W194*1000)/($G194*$B$5))))))/10</f>
        <v>#N/A</v>
      </c>
      <c r="BR194" s="102" t="e">
        <f>(VLOOKUP($B$3,'Coeff EC7'!$T$39:$X$59,2,0)*BP194+VLOOKUP($B$3,'Coeff EC7'!$T$65:$X$85,2,0)*Model0.1C!BQ194)/1.1</f>
        <v>#N/A</v>
      </c>
      <c r="BS194" s="102" t="e">
        <f>(VLOOKUP($B$3,'Coeff EC7'!$T$39:$X$59,3,0)*BP194+VLOOKUP($B$3,'Coeff EC7'!$T$65:$X$85,3,0)*Model0.1C!BQ194)/0.9</f>
        <v>#N/A</v>
      </c>
      <c r="BT194" s="102" t="e">
        <f t="shared" si="278"/>
        <v>#N/A</v>
      </c>
      <c r="BU194" s="102" t="e">
        <f t="shared" si="279"/>
        <v>#N/A</v>
      </c>
      <c r="BV194" s="414" t="e">
        <f>IF(BV193=0,0,IF(AND(BR194&gt;charge_ELS_quasi,BS194&gt;Charge_ELS_freq,BT194&gt;charge_ELU,BU194&gt;charge_ELA,$B194&gt;NDC!$H$22-0.1+MIN(3*$BV$12,1.5)),0,1))</f>
        <v>#N/A</v>
      </c>
      <c r="BW194" s="86" t="b">
        <f t="shared" si="247"/>
        <v>0</v>
      </c>
      <c r="BX194" s="86">
        <f t="shared" si="248"/>
        <v>0.5</v>
      </c>
      <c r="BY194" s="86">
        <f t="shared" si="249"/>
        <v>0.5</v>
      </c>
      <c r="BZ194" s="30" t="e">
        <f t="shared" ca="1" si="280"/>
        <v>#DIV/0!</v>
      </c>
      <c r="CA194" s="85" t="e">
        <f ca="1">IF(BG194&lt;=Hypothèses!$V$7,Hypothèses!$W$7,IF(BG194&lt;=Hypothèses!$V$8,Hypothèses!$W$8,IF(BG194&lt;=Hypothèses!$V$9,Hypothèses!$W$9,IF(BG194&lt;=Hypothèses!$V$10,Hypothèses!$W$10,IF(BG194&lt;=Hypothèses!$V$11,Hypothèses!$W$11,IF(BG194&lt;=Hypothèses!$V$12,Hypothèses!$W$12,IF(BG194&lt;=Hypothèses!$V$13,Hypothèses!$W$13,IF(BG194&lt;=Hypothèses!$V$14,Hypothèses!$W$14,IF(BG194&lt;=Hypothèses!$V$15,Hypothèses!$W$15,IF(BG194&lt;=Hypothèses!$V$16,Hypothèses!$W$16,IF(BG194&lt;=Hypothèses!$V$17,Hypothèses!$W$17,IF(BG194&lt;=Hypothèses!$V$18,Hypothèses!$W$18,""))))))))))))</f>
        <v>#DIV/0!</v>
      </c>
      <c r="CB194" s="87" t="e">
        <f t="shared" ca="1" si="319"/>
        <v>#DIV/0!</v>
      </c>
      <c r="CC194" s="88" t="e">
        <f ca="1">IF(BG194&lt;=Hypothèses!$V$7,Hypothèses!$X$7,IF(BG194&lt;=Hypothèses!$V$8,Hypothèses!$X$8,IF(BG194&lt;=Hypothèses!$V$9,Hypothèses!$X$9,IF(BG194&lt;=Hypothèses!$V$10,Hypothèses!$X$10,IF(BG194&lt;=Hypothèses!$V$11,Hypothèses!$X$11,IF(BG194&lt;=Hypothèses!$V$12,Hypothèses!$X$12,IF(BG194&lt;=Hypothèses!$V$13,Hypothèses!$X$13,IF(BG194&lt;=Hypothèses!$V$14,Hypothèses!$X$14,IF(BG194&lt;=Hypothèses!$V$15,Hypothèses!$X$15,IF(BG194&lt;=Hypothèses!$V$16,Hypothèses!$X$16,IF(BG194&lt;=Hypothèses!$U$17,Hypothèses!$W$17,IF(BG194&lt;=Hypothèses!$U$18,Hypothèses!$W$18,""))))))))))))</f>
        <v>#DIV/0!</v>
      </c>
      <c r="CD194" s="95" t="e">
        <f t="shared" ca="1" si="281"/>
        <v>#DIV/0!</v>
      </c>
      <c r="CE194" s="101" t="e">
        <f t="shared" si="326"/>
        <v>#N/A</v>
      </c>
      <c r="CF194" s="91" t="e">
        <f t="shared" si="250"/>
        <v>#N/A</v>
      </c>
      <c r="CG194" s="30" t="e">
        <f t="shared" si="306"/>
        <v>#N/A</v>
      </c>
      <c r="CH194" s="30" t="e">
        <f t="shared" si="307"/>
        <v>#N/A</v>
      </c>
      <c r="CI194" s="31" t="e">
        <f>IF(OR(Hypothèses!$B$4=17,Hypothèses!$B$4=18,Hypothèses!$B$4=19,Hypothèses!$B$4=20),
IF($D194="Pressio.",
IF(OR($E194=3,$E194=1,$E194=4),CH194,CG194),
IF($D194="Pénétro.",
IF(OR($E194=3,$E194=1,$E194=4),CH194,CG194))),IF($D194="Pressio.",
IF($E194=3,CH194,CG194),
IF($D194="Pénétro.",
IF($E194=4,CH194,CG194))))</f>
        <v>#N/A</v>
      </c>
      <c r="CJ194" s="31" t="e">
        <f>(IF(OR(Hypothèses!$B$4=17,Hypothèses!$B$4=18,Hypothèses!$B$4=19,Hypothèses!$B$4=20),
IF($D194="Pressio.",
IF(OR($E194=3,$E194=1,$E194=4),(PI()*CJ$12^2)/4*(CF194*$W194*1000)/($H194*$B$5),(PI()*CJ$12^2)/4*(CF194*$W194*1000)/($G194*$B$5)),
IF($D194="Pénétro.",
IF(OR($E194=4,$E194=1,$E194=5),(PI()*CJ$12^2)/4*(CF194*$W194*1000)/($H194*$B$5),(PI()*CJ$12^2)/4*(CF194*$W194*1000)/($G194*$B$5)))),
IF($D194="Pressio.",
IF($E194=3,(PI()*CJ$12^2)/4*(CF194*$W194*1000)/($H194*$B$5),(PI()*CJ$12^2)/4*(CF194*$W194*1000)/($G194*$B$5)),
IF($D194="Pénétro.",
IF($E194=4,(PI()*CJ$12^2)/4*(CF194*$W194*1000)/($H194*$B$5),(PI()*CJ$12^2)/4*(CF194*$W194*1000)/($G194*$B$5))))))/10</f>
        <v>#N/A</v>
      </c>
      <c r="CK194" s="102" t="e">
        <f>(VLOOKUP($B$3,'Coeff EC7'!$T$39:$X$59,2,0)*CI194+VLOOKUP($B$3,'Coeff EC7'!$T$65:$X$85,2,0)*Model0.1C!CJ194)/1.1</f>
        <v>#N/A</v>
      </c>
      <c r="CL194" s="102" t="e">
        <f>(VLOOKUP($B$3,'Coeff EC7'!$T$39:$X$59,3,0)*CI194+VLOOKUP($B$3,'Coeff EC7'!$T$65:$X$85,3,0)*Model0.1C!CJ194)/0.9</f>
        <v>#N/A</v>
      </c>
      <c r="CM194" s="102" t="e">
        <f t="shared" si="282"/>
        <v>#N/A</v>
      </c>
      <c r="CN194" s="102" t="e">
        <f t="shared" si="283"/>
        <v>#N/A</v>
      </c>
      <c r="CO194" s="414" t="e">
        <f>IF(CO193=0,0,IF(AND(CK194&gt;charge_ELS_quasi,CL194&gt;Charge_ELS_freq,CM194&gt;charge_ELU,CN194&gt;charge_ELA,$B194&gt;NDC!$H$22-0.1+MIN(3*$CO$12,1.5)),0,1))</f>
        <v>#N/A</v>
      </c>
      <c r="CP194" s="86" t="b">
        <f t="shared" si="251"/>
        <v>0</v>
      </c>
      <c r="CQ194" s="86">
        <f t="shared" si="252"/>
        <v>0.5</v>
      </c>
      <c r="CR194" s="86">
        <f t="shared" si="253"/>
        <v>0.5</v>
      </c>
      <c r="CS194" s="30" t="e">
        <f t="shared" ca="1" si="284"/>
        <v>#DIV/0!</v>
      </c>
      <c r="CT194" s="85" t="e">
        <f ca="1">IF(BZ194&lt;=Hypothèses!$V$7,Hypothèses!$W$7,IF(BZ194&lt;=Hypothèses!$V$8,Hypothèses!$W$8,IF(BZ194&lt;=Hypothèses!$V$9,Hypothèses!$W$9,IF(BZ194&lt;=Hypothèses!$V$10,Hypothèses!$W$10,IF(BZ194&lt;=Hypothèses!$V$11,Hypothèses!$W$11,IF(BZ194&lt;=Hypothèses!$V$12,Hypothèses!$W$12,IF(BZ194&lt;=Hypothèses!$V$13,Hypothèses!$W$13,IF(BZ194&lt;=Hypothèses!$V$14,Hypothèses!$W$14,IF(BZ194&lt;=Hypothèses!$V$15,Hypothèses!$W$15,IF(BZ194&lt;=Hypothèses!$V$16,Hypothèses!$W$16,IF(BZ194&lt;=Hypothèses!$V$17,Hypothèses!$W$17,IF(BZ194&lt;=Hypothèses!$V$18,Hypothèses!$W$18,""))))))))))))</f>
        <v>#DIV/0!</v>
      </c>
      <c r="CU194" s="87" t="e">
        <f t="shared" ca="1" si="320"/>
        <v>#DIV/0!</v>
      </c>
      <c r="CV194" s="88" t="e">
        <f ca="1">IF(BZ194&lt;=Hypothèses!$V$7,Hypothèses!$X$7,IF(BZ194&lt;=Hypothèses!$V$8,Hypothèses!$X$8,IF(BZ194&lt;=Hypothèses!$V$9,Hypothèses!$X$9,IF(BZ194&lt;=Hypothèses!$V$10,Hypothèses!$X$10,IF(BZ194&lt;=Hypothèses!$V$11,Hypothèses!$X$11,IF(BZ194&lt;=Hypothèses!$V$12,Hypothèses!$X$12,IF(BZ194&lt;=Hypothèses!$V$13,Hypothèses!$X$13,IF(BZ194&lt;=Hypothèses!$V$14,Hypothèses!$X$14,IF(BZ194&lt;=Hypothèses!$V$15,Hypothèses!$X$15,IF(BZ194&lt;=Hypothèses!$V$16,Hypothèses!$X$16,IF(BZ194&lt;=Hypothèses!$U$17,Hypothèses!$W$17,IF(BZ194&lt;=Hypothèses!$U$18,Hypothèses!$W$18,""))))))))))))</f>
        <v>#DIV/0!</v>
      </c>
      <c r="CW194" s="95" t="e">
        <f t="shared" ca="1" si="285"/>
        <v>#DIV/0!</v>
      </c>
      <c r="CX194" s="101" t="e">
        <f t="shared" si="327"/>
        <v>#N/A</v>
      </c>
      <c r="CY194" s="91" t="e">
        <f t="shared" si="254"/>
        <v>#N/A</v>
      </c>
      <c r="CZ194" s="30" t="e">
        <f t="shared" si="308"/>
        <v>#N/A</v>
      </c>
      <c r="DA194" s="30" t="e">
        <f t="shared" si="309"/>
        <v>#N/A</v>
      </c>
      <c r="DB194" s="31" t="e">
        <f>IF(OR(Hypothèses!$B$4=17,Hypothèses!$B$4=18,Hypothèses!$B$4=19,Hypothèses!$B$4=20),
IF($D194="Pressio.",
IF(OR($E194=3,$E194=1,$E194=4),DA194,CZ194),
IF($D194="Pénétro.",
IF(OR($E194=3,$E194=1,$E194=4),DA194,CZ194))),IF($D194="Pressio.",
IF($E194=3,DA194,CZ194),
IF($D194="Pénétro.",
IF($E194=4,DA194,CZ194))))</f>
        <v>#N/A</v>
      </c>
      <c r="DC194" s="31" t="e">
        <f>(IF(OR(Hypothèses!$B$4=17,Hypothèses!$B$4=18,Hypothèses!$B$4=19,Hypothèses!$B$4=20),
IF($D194="Pressio.",
IF(OR($E194=3,$E194=1,$E194=4),(PI()*DC$12^2)/4*(CY194*$W194*1000)/($H194*$B$5),(PI()*DC$12^2)/4*(CY194*$W194*1000)/($G194*$B$5)),
IF($D194="Pénétro.",
IF(OR($E194=4,$E194=1,$E194=5),(PI()*DC$12^2)/4*(CY194*$W194*1000)/($H194*$B$5),(PI()*DC$12^2)/4*(CY194*$W194*1000)/($G194*$B$5)))),
IF($D194="Pressio.",
IF($E194=3,(PI()*DC$12^2)/4*(CY194*$W194*1000)/($H194*$B$5),(PI()*DC$12^2)/4*(CY194*$W194*1000)/($G194*$B$5)),
IF($D194="Pénétro.",
IF($E194=4,(PI()*DC$12^2)/4*(CY194*$W194*1000)/($H194*$B$5),(PI()*DC$12^2)/4*(CY194*$W194*1000)/($G194*$B$5))))))/10</f>
        <v>#N/A</v>
      </c>
      <c r="DD194" s="102" t="e">
        <f>(VLOOKUP($B$3,'Coeff EC7'!$T$39:$X$59,2,0)*DB194+VLOOKUP($B$3,'Coeff EC7'!$T$65:$X$85,2,0)*Model0.1C!DC194)/1.1</f>
        <v>#N/A</v>
      </c>
      <c r="DE194" s="102" t="e">
        <f>(VLOOKUP($B$3,'Coeff EC7'!$T$39:$X$59,3,0)*DB194+VLOOKUP($B$3,'Coeff EC7'!$T$65:$X$85,3,0)*Model0.1C!DC194)/0.9</f>
        <v>#N/A</v>
      </c>
      <c r="DF194" s="102" t="e">
        <f t="shared" si="286"/>
        <v>#N/A</v>
      </c>
      <c r="DG194" s="102" t="e">
        <f t="shared" si="287"/>
        <v>#N/A</v>
      </c>
      <c r="DH194" s="414" t="e">
        <f>IF(DH193=0,0,IF(AND(DD194&gt;charge_ELS_quasi,DE194&gt;Charge_ELS_freq,DF194&gt;charge_ELU,DG194&gt;charge_ELA,$B194&gt;NDC!$H$22-0.1+MIN(3*$DH$12,1.5)),0,1))</f>
        <v>#N/A</v>
      </c>
      <c r="DI194" s="86" t="b">
        <f t="shared" si="255"/>
        <v>0</v>
      </c>
      <c r="DJ194" s="86">
        <f t="shared" si="256"/>
        <v>0.5</v>
      </c>
      <c r="DK194" s="86">
        <f t="shared" si="257"/>
        <v>0.5</v>
      </c>
      <c r="DL194" s="30" t="e">
        <f t="shared" ca="1" si="288"/>
        <v>#DIV/0!</v>
      </c>
      <c r="DM194" s="85" t="e">
        <f ca="1">IF(CS194&lt;=Hypothèses!$V$7,Hypothèses!$W$7,IF(CS194&lt;=Hypothèses!$V$8,Hypothèses!$W$8,IF(CS194&lt;=Hypothèses!$V$9,Hypothèses!$W$9,IF(CS194&lt;=Hypothèses!$V$10,Hypothèses!$W$10,IF(CS194&lt;=Hypothèses!$V$11,Hypothèses!$W$11,IF(CS194&lt;=Hypothèses!$V$12,Hypothèses!$W$12,IF(CS194&lt;=Hypothèses!$V$13,Hypothèses!$W$13,IF(CS194&lt;=Hypothèses!$V$14,Hypothèses!$W$14,IF(CS194&lt;=Hypothèses!$V$15,Hypothèses!$W$15,IF(CS194&lt;=Hypothèses!$V$16,Hypothèses!$W$16,IF(CS194&lt;=Hypothèses!$V$17,Hypothèses!$W$17,IF(CS194&lt;=Hypothèses!$V$18,Hypothèses!$W$18,""))))))))))))</f>
        <v>#DIV/0!</v>
      </c>
      <c r="DN194" s="87" t="e">
        <f t="shared" ca="1" si="321"/>
        <v>#DIV/0!</v>
      </c>
      <c r="DO194" s="88" t="e">
        <f ca="1">IF(CS194&lt;=Hypothèses!$V$7,Hypothèses!$X$7,IF(CS194&lt;=Hypothèses!$V$8,Hypothèses!$X$8,IF(CS194&lt;=Hypothèses!$V$9,Hypothèses!$X$9,IF(CS194&lt;=Hypothèses!$V$10,Hypothèses!$X$10,IF(CS194&lt;=Hypothèses!$V$11,Hypothèses!$X$11,IF(CS194&lt;=Hypothèses!$V$12,Hypothèses!$X$12,IF(CS194&lt;=Hypothèses!$V$13,Hypothèses!$X$13,IF(CS194&lt;=Hypothèses!$V$14,Hypothèses!$X$14,IF(CS194&lt;=Hypothèses!$V$15,Hypothèses!$X$15,IF(CS194&lt;=Hypothèses!$V$16,Hypothèses!$X$16,IF(CS194&lt;=Hypothèses!$U$17,Hypothèses!$W$17,IF(CS194&lt;=Hypothèses!$U$18,Hypothèses!$W$18,""))))))))))))</f>
        <v>#DIV/0!</v>
      </c>
      <c r="DP194" s="95" t="e">
        <f t="shared" ca="1" si="289"/>
        <v>#DIV/0!</v>
      </c>
      <c r="DQ194" s="101" t="e">
        <f t="shared" si="328"/>
        <v>#N/A</v>
      </c>
      <c r="DR194" s="91" t="e">
        <f t="shared" si="258"/>
        <v>#N/A</v>
      </c>
      <c r="DS194" s="30" t="e">
        <f t="shared" si="310"/>
        <v>#N/A</v>
      </c>
      <c r="DT194" s="30" t="e">
        <f t="shared" si="311"/>
        <v>#N/A</v>
      </c>
      <c r="DU194" s="31" t="e">
        <f>IF(OR(Hypothèses!$B$4=17,Hypothèses!$B$4=18,Hypothèses!$B$4=19,Hypothèses!$B$4=20),
IF($D194="Pressio.",
IF(OR($E194=3,$E194=1,$E194=4),DT194,DS194),
IF($D194="Pénétro.",
IF(OR($E194=3,$E194=1,$E194=4),DT194,DS194))),IF($D194="Pressio.",
IF($E194=3,DT194,DS194),
IF($D194="Pénétro.",
IF($E194=4,DT194,DS194))))</f>
        <v>#N/A</v>
      </c>
      <c r="DV194" s="31" t="e">
        <f>(IF(OR(Hypothèses!$B$4=17,Hypothèses!$B$4=18,Hypothèses!$B$4=19,Hypothèses!$B$4=20),
IF($D194="Pressio.",
IF(OR($E194=3,$E194=1,$E194=4),(PI()*DV$12^2)/4*(DR194*$W194*1000)/($H194*$B$5),(PI()*DV$12^2)/4*(DR194*$W194*1000)/($G194*$B$5)),
IF($D194="Pénétro.",
IF(OR($E194=4,$E194=1,$E194=5),(PI()*DV$12^2)/4*(DR194*$W194*1000)/($H194*$B$5),(PI()*DV$12^2)/4*(DR194*$W194*1000)/($G194*$B$5)))),
IF($D194="Pressio.",
IF($E194=3,(PI()*DV$12^2)/4*(DR194*$W194*1000)/($H194*$B$5),(PI()*DV$12^2)/4*(DR194*$W194*1000)/($G194*$B$5)),
IF($D194="Pénétro.",
IF($E194=4,(PI()*DV$12^2)/4*(DR194*$W194*1000)/($H194*$B$5),(PI()*DV$12^2)/4*(DR194*$W194*1000)/($G194*$B$5))))))/10</f>
        <v>#N/A</v>
      </c>
      <c r="DW194" s="102" t="e">
        <f>(VLOOKUP($B$3,'Coeff EC7'!$T$39:$X$59,2,0)*DU194+VLOOKUP($B$3,'Coeff EC7'!$T$65:$X$85,2,0)*Model0.1C!DV194)/1.1</f>
        <v>#N/A</v>
      </c>
      <c r="DX194" s="102" t="e">
        <f>(VLOOKUP($B$3,'Coeff EC7'!$T$39:$X$59,3,0)*DU194+VLOOKUP($B$3,'Coeff EC7'!$T$65:$X$85,3,0)*Model0.1C!DV194)/0.9</f>
        <v>#N/A</v>
      </c>
      <c r="DY194" s="102" t="e">
        <f t="shared" si="290"/>
        <v>#N/A</v>
      </c>
      <c r="DZ194" s="102" t="e">
        <f t="shared" si="291"/>
        <v>#N/A</v>
      </c>
      <c r="EA194" s="414" t="e">
        <f>IF(EA193=0,0,IF(AND(DW194&gt;charge_ELS_quasi,DX194&gt;Charge_ELS_freq,DY194&gt;charge_ELU,DZ194&gt;charge_ELA,$B194&gt;NDC!$H$22-0.1+MIN(3*$EA$12,1.5)),0,1))</f>
        <v>#N/A</v>
      </c>
      <c r="EB194" s="86" t="b">
        <f t="shared" si="259"/>
        <v>0</v>
      </c>
      <c r="EC194" s="418">
        <f t="shared" si="260"/>
        <v>0.51</v>
      </c>
      <c r="ED194" s="86">
        <f t="shared" si="261"/>
        <v>0.51</v>
      </c>
      <c r="EE194" s="30" t="e">
        <f t="shared" ca="1" si="292"/>
        <v>#DIV/0!</v>
      </c>
      <c r="EF194" s="85" t="e">
        <f ca="1">IF(DL194&lt;=Hypothèses!$V$7,Hypothèses!$W$7,IF(DL194&lt;=Hypothèses!$V$8,Hypothèses!$W$8,IF(DL194&lt;=Hypothèses!$V$9,Hypothèses!$W$9,IF(DL194&lt;=Hypothèses!$V$10,Hypothèses!$W$10,IF(DL194&lt;=Hypothèses!$V$11,Hypothèses!$W$11,IF(DL194&lt;=Hypothèses!$V$12,Hypothèses!$W$12,IF(DL194&lt;=Hypothèses!$V$13,Hypothèses!$W$13,IF(DL194&lt;=Hypothèses!$V$14,Hypothèses!$W$14,IF(DL194&lt;=Hypothèses!$V$15,Hypothèses!$W$15,IF(DL194&lt;=Hypothèses!$V$16,Hypothèses!$W$16,IF(DL194&lt;=Hypothèses!$V$17,Hypothèses!$W$17,IF(DL194&lt;=Hypothèses!$V$18,Hypothèses!$W$18,""))))))))))))</f>
        <v>#DIV/0!</v>
      </c>
      <c r="EG194" s="87" t="e">
        <f t="shared" ca="1" si="322"/>
        <v>#DIV/0!</v>
      </c>
      <c r="EH194" s="88" t="e">
        <f ca="1">IF(DL194&lt;=Hypothèses!$V$7,Hypothèses!$X$7,IF(DL194&lt;=Hypothèses!$V$8,Hypothèses!$X$8,IF(DL194&lt;=Hypothèses!$V$9,Hypothèses!$X$9,IF(DL194&lt;=Hypothèses!$V$10,Hypothèses!$X$10,IF(DL194&lt;=Hypothèses!$V$11,Hypothèses!$X$11,IF(DL194&lt;=Hypothèses!$V$12,Hypothèses!$X$12,IF(DL194&lt;=Hypothèses!$V$13,Hypothèses!$X$13,IF(DL194&lt;=Hypothèses!$V$14,Hypothèses!$X$14,IF(DL194&lt;=Hypothèses!$V$15,Hypothèses!$X$15,IF(DL194&lt;=Hypothèses!$V$16,Hypothèses!$X$16,IF(DL194&lt;=Hypothèses!$U$17,Hypothèses!$W$17,IF(DL194&lt;=Hypothèses!$U$18,Hypothèses!$W$18,""))))))))))))</f>
        <v>#DIV/0!</v>
      </c>
      <c r="EI194" s="95" t="e">
        <f t="shared" ca="1" si="293"/>
        <v>#DIV/0!</v>
      </c>
      <c r="EJ194" s="101" t="e">
        <f t="shared" si="329"/>
        <v>#N/A</v>
      </c>
      <c r="EK194" s="91" t="e">
        <f t="shared" si="262"/>
        <v>#N/A</v>
      </c>
      <c r="EL194" s="30" t="e">
        <f t="shared" si="312"/>
        <v>#N/A</v>
      </c>
      <c r="EM194" s="30" t="e">
        <f t="shared" si="313"/>
        <v>#N/A</v>
      </c>
      <c r="EN194" s="31" t="e">
        <f>IF(OR(Hypothèses!$B$4=17,Hypothèses!$B$4=18,Hypothèses!$B$4=19,Hypothèses!$B$4=20),
IF($D194="Pressio.",
IF(OR($E194=3,$E194=1,$E194=4),EM194,EL194),
IF($D194="Pénétro.",
IF(OR($E194=3,$E194=1,$E194=4),EM194,EL194))),IF($D194="Pressio.",
IF($E194=3,EM194,EL194),
IF($D194="Pénétro.",
IF($E194=4,EM194,EL194))))</f>
        <v>#N/A</v>
      </c>
      <c r="EO194" s="31" t="e">
        <f>(IF(OR(Hypothèses!$B$4=17,Hypothèses!$B$4=18,Hypothèses!$B$4=19,Hypothèses!$B$4=20),
IF($D194="Pressio.",
IF(OR($E194=3,$E194=1,$E194=4),(PI()*EO$12^2)/4*(EK194*$W194*1000)/($H194*$B$5),(PI()*EO$12^2)/4*(EK194*$W194*1000)/($G194*$B$5)),
IF($D194="Pénétro.",
IF(OR($E194=4,$E194=1,$E194=5),(PI()*EO$12^2)/4*(EK194*$W194*1000)/($H194*$B$5),(PI()*EO$12^2)/4*(EK194*$W194*1000)/($G194*$B$5)))),
IF($D194="Pressio.",
IF($E194=3,(PI()*EO$12^2)/4*(EK194*$W194*1000)/($H194*$B$5),(PI()*EO$12^2)/4*(EK194*$W194*1000)/($G194*$B$5)),
IF($D194="Pénétro.",
IF($E194=4,(PI()*EO$12^2)/4*(EK194*$W194*1000)/($H194*$B$5),(PI()*EO$12^2)/4*(EK194*$W194*1000)/($G194*$B$5))))))/10</f>
        <v>#N/A</v>
      </c>
      <c r="EP194" s="102" t="e">
        <f>(VLOOKUP($B$3,'Coeff EC7'!$T$39:$X$59,2,0)*EN194+VLOOKUP($B$3,'Coeff EC7'!$T$65:$X$85,2,0)*Model0.1C!EO194)/1.1</f>
        <v>#N/A</v>
      </c>
      <c r="EQ194" s="102" t="e">
        <f>(VLOOKUP($B$3,'Coeff EC7'!$T$39:$X$59,3,0)*EN194+VLOOKUP($B$3,'Coeff EC7'!$T$65:$X$85,3,0)*Model0.1C!EO194)/0.9</f>
        <v>#N/A</v>
      </c>
      <c r="ER194" s="102" t="e">
        <f t="shared" si="294"/>
        <v>#N/A</v>
      </c>
      <c r="ES194" s="102" t="e">
        <f t="shared" si="295"/>
        <v>#N/A</v>
      </c>
      <c r="ET194" s="414" t="e">
        <f>IF(ET193=0,0,IF(AND(EP194&gt;charge_ELS_quasi,EQ194&gt;Charge_ELS_freq,ER194&gt;charge_ELU,ES194&gt;charge_ELA,$B194&gt;NDC!$H$22-0.1+MIN(3*$ET$12,1.5)),0,1))</f>
        <v>#N/A</v>
      </c>
      <c r="EU194" s="86" t="b">
        <f t="shared" si="263"/>
        <v>0</v>
      </c>
      <c r="EV194" s="86">
        <f t="shared" si="264"/>
        <v>0.61</v>
      </c>
      <c r="EW194" s="86">
        <f t="shared" si="265"/>
        <v>0.61</v>
      </c>
      <c r="EX194" s="30" t="e">
        <f t="shared" ca="1" si="296"/>
        <v>#DIV/0!</v>
      </c>
      <c r="EY194" s="85" t="e">
        <f ca="1">IF(EE194&lt;=Hypothèses!$V$7,Hypothèses!$W$7,IF(EE194&lt;=Hypothèses!$V$8,Hypothèses!$W$8,IF(EE194&lt;=Hypothèses!$V$9,Hypothèses!$W$9,IF(EE194&lt;=Hypothèses!$V$10,Hypothèses!$W$10,IF(EE194&lt;=Hypothèses!$V$11,Hypothèses!$W$11,IF(EE194&lt;=Hypothèses!$V$12,Hypothèses!$W$12,IF(EE194&lt;=Hypothèses!$V$13,Hypothèses!$W$13,IF(EE194&lt;=Hypothèses!$V$14,Hypothèses!$W$14,IF(EE194&lt;=Hypothèses!$V$15,Hypothèses!$W$15,IF(EE194&lt;=Hypothèses!$V$16,Hypothèses!$W$16,IF(EE194&lt;=Hypothèses!$V$17,Hypothèses!$W$17,IF(EE194&lt;=Hypothèses!$V$18,Hypothèses!$W$18,""))))))))))))</f>
        <v>#DIV/0!</v>
      </c>
      <c r="EZ194" s="87" t="e">
        <f t="shared" ca="1" si="323"/>
        <v>#DIV/0!</v>
      </c>
      <c r="FA194" s="88" t="e">
        <f ca="1">IF(EE194&lt;=Hypothèses!$V$7,Hypothèses!$X$7,IF(EE194&lt;=Hypothèses!$V$8,Hypothèses!$X$8,IF(EE194&lt;=Hypothèses!$V$9,Hypothèses!$X$9,IF(EE194&lt;=Hypothèses!$V$10,Hypothèses!$X$10,IF(EE194&lt;=Hypothèses!$V$11,Hypothèses!$X$11,IF(EE194&lt;=Hypothèses!$V$12,Hypothèses!$X$12,IF(EE194&lt;=Hypothèses!$V$13,Hypothèses!$X$13,IF(EE194&lt;=Hypothèses!$V$14,Hypothèses!$X$14,IF(EE194&lt;=Hypothèses!$V$15,Hypothèses!$X$15,IF(EE194&lt;=Hypothèses!$V$16,Hypothèses!$X$16,IF(EE194&lt;=Hypothèses!$U$17,Hypothèses!$W$17,IF(EE194&lt;=Hypothèses!$U$18,Hypothèses!$W$18,""))))))))))))</f>
        <v>#DIV/0!</v>
      </c>
      <c r="FB194" s="95" t="e">
        <f t="shared" ca="1" si="297"/>
        <v>#DIV/0!</v>
      </c>
      <c r="FC194" s="101" t="e">
        <f t="shared" si="330"/>
        <v>#N/A</v>
      </c>
      <c r="FD194" s="91" t="e">
        <f t="shared" si="266"/>
        <v>#N/A</v>
      </c>
      <c r="FE194" s="30" t="e">
        <f t="shared" si="314"/>
        <v>#N/A</v>
      </c>
      <c r="FF194" s="30" t="e">
        <f t="shared" si="315"/>
        <v>#N/A</v>
      </c>
      <c r="FG194" s="31" t="e">
        <f>IF(OR(Hypothèses!$B$4=17,Hypothèses!$B$4=18,Hypothèses!$B$4=19,Hypothèses!$B$4=20),
IF($D194="Pressio.",
IF(OR($E194=3,$E194=1,$E194=4),FF194,FE194),
IF($D194="Pénétro.",
IF(OR($E194=3,$E194=1,$E194=4),FF194,FE194))),IF($D194="Pressio.",
IF($E194=3,FF194,FE194),
IF($D194="Pénétro.",
IF($E194=4,FF194,FE194))))</f>
        <v>#N/A</v>
      </c>
      <c r="FH194" s="31" t="e">
        <f>(IF(OR(Hypothèses!$B$4=17,Hypothèses!$B$4=18,Hypothèses!$B$4=19,Hypothèses!$B$4=20),
IF($D194="Pressio.",
IF(OR($E194=3,$E194=1,$E194=4),(PI()*FH$12^2)/4*(FD194*$W194*1000)/($H194*$B$5),(PI()*FH$12^2)/4*(FD194*$W194*1000)/($G194*$B$5)),
IF($D194="Pénétro.",
IF(OR($E194=4,$E194=1,$E194=5),(PI()*FH$12^2)/4*(FD194*$W194*1000)/($H194*$B$5),(PI()*FH$12^2)/4*(FD194*$W194*1000)/($G194*$B$5)))),
IF($D194="Pressio.",
IF($E194=3,(PI()*FH$12^2)/4*(FD194*$W194*1000)/($H194*$B$5),(PI()*FH$12^2)/4*(FD194*$W194*1000)/($G194*$B$5)),
IF($D194="Pénétro.",
IF($E194=4,(PI()*FH$12^2)/4*(FD194*$W194*1000)/($H194*$B$5),(PI()*FH$12^2)/4*(FD194*$W194*1000)/($G194*$B$5))))))/10</f>
        <v>#N/A</v>
      </c>
      <c r="FI194" s="102" t="e">
        <f>(VLOOKUP($B$3,'Coeff EC7'!$T$39:$X$59,2,0)*FG194+VLOOKUP($B$3,'Coeff EC7'!$T$65:$X$85,2,0)*Model0.1C!FH194)/1.1</f>
        <v>#N/A</v>
      </c>
      <c r="FJ194" s="102" t="e">
        <f>(VLOOKUP($B$3,'Coeff EC7'!$T$39:$X$59,3,0)*FG194+VLOOKUP($B$3,'Coeff EC7'!$T$65:$X$85,3,0)*Model0.1C!FH194)/0.9</f>
        <v>#N/A</v>
      </c>
      <c r="FK194" s="102" t="e">
        <f t="shared" si="298"/>
        <v>#N/A</v>
      </c>
      <c r="FL194" s="102" t="e">
        <f t="shared" si="299"/>
        <v>#N/A</v>
      </c>
      <c r="FM194" s="414" t="e">
        <f>IF(FM193=0,0,IF(AND(FI194&gt;charge_ELS_quasi,FJ194&gt;Charge_ELS_freq,FK194&gt;charge_ELU,FL194&gt;charge_ELA,$B194&gt;NDC!$H$22-0.1+MIN(3*$FM$12,1.5)),0,1))</f>
        <v>#N/A</v>
      </c>
    </row>
    <row r="195" spans="1:169">
      <c r="A195" s="96">
        <f t="shared" si="267"/>
        <v>81.800000000001035</v>
      </c>
      <c r="B195" s="97">
        <v>18.2</v>
      </c>
      <c r="C195" s="81">
        <f>IF(B195&lt;=Hypothèses!$C$7,Hypothèses!$A$7,IF(B195&lt;=Hypothèses!$C$8,Hypothèses!$A$8,IF(B195&lt;=Hypothèses!$C$9,Hypothèses!$A$9,IF(B195&lt;=Hypothèses!$C$10,Hypothèses!$A$10,IF(B195&lt;=Hypothèses!$C$11,Hypothèses!$A$11,IF(B195&lt;=Hypothèses!$C$12,Hypothèses!$A$12,IF(B195&lt;=Hypothèses!$C$13,Hypothèses!$A$13,IF(B195&lt;=Hypothèses!$C$14,Hypothèses!$A$14,IF(B195&lt;=Hypothèses!$C$15,Hypothèses!$A$15,IF(B195&lt;=Hypothèses!$C$16,Hypothèses!$A$16,IF(B195&lt;=Hypothèses!$C$17,Hypothèses!$A$17,IF(B195&lt;=Hypothèses!$C$18,Hypothèses!$A$18,C194))))))))))))</f>
        <v>11</v>
      </c>
      <c r="D195" s="82" t="str">
        <f>IF(B195&lt;=Hypothèses!$C$7,Hypothèses!$R$7,IF(B195&lt;=Hypothèses!$C$8,Hypothèses!$R$8,IF(B195&lt;=Hypothèses!$C$9,Hypothèses!$R$9,IF(B195&lt;=Hypothèses!$C$10,Hypothèses!$R$10,IF(B195&lt;=Hypothèses!$C$11,Hypothèses!$R$11,IF(B195&lt;=Hypothèses!$C$12,Hypothèses!$R$12,IF(B195&lt;=Hypothèses!$C$13,Hypothèses!$R$13,IF(B195&lt;=Hypothèses!$C$14,Hypothèses!$R$14,IF(B195&lt;=Hypothèses!$C$15,Hypothèses!$R$15,IF(B195&lt;=Hypothèses!$C$16,Hypothèses!$R$16,IF(B195&lt;=Hypothèses!$C$17,Hypothèses!$R$17,IF(B195&lt;=Hypothèses!$C$18,Hypothèses!$R$18,D194))))))))))))</f>
        <v>Pressio.</v>
      </c>
      <c r="E195" s="82" t="e">
        <f>IF(B195&lt;=Hypothèses!$C$7,Hypothèses!$G$7,IF(B195&lt;=Hypothèses!$C$8,Hypothèses!$G$8,IF(B195&lt;=Hypothèses!$C$9,Hypothèses!$G$9,IF(B195&lt;=Hypothèses!$C$10,Hypothèses!$G$10,IF(B195&lt;=Hypothèses!$C$11,Hypothèses!$G$11,IF(B195&lt;=Hypothèses!$C$12,Hypothèses!$G$12,IF(B195&lt;=Hypothèses!$C$13,Hypothèses!$G$13,IF(B195&lt;=Hypothèses!$C$14,Hypothèses!$G$14,IF(B195&lt;=Hypothèses!$C$15,Hypothèses!$G$15,IF(B195&lt;=Hypothèses!$C$16,Hypothèses!$G$16,IF(B195&lt;=Hypothèses!$C$17,Hypothèses!$G$17,IF(B195&lt;=Hypothèses!$C$18,Hypothèses!$G$18,E194))))))))))))</f>
        <v>#N/A</v>
      </c>
      <c r="F195" s="82" t="str">
        <f>IF(B195&lt;=Hypothèses!$C$7,Hypothèses!$F$7,IF(B195&lt;=Hypothèses!$C$8,Hypothèses!$F$8,IF(B195&lt;=Hypothèses!$C$9,Hypothèses!$F$9,IF(B195&lt;=Hypothèses!$C$10,Hypothèses!$F$10,IF(B195&lt;=Hypothèses!$C$11,Hypothèses!$F$11,IF(B195&lt;=Hypothèses!$C$12,Hypothèses!$F$12,IF(B195&lt;=Hypothèses!$C$13,Hypothèses!$F$13,IF(B195&lt;=Hypothèses!$C$14,Hypothèses!$F$14,IF(B195&lt;=Hypothèses!$C$15,Hypothèses!$F$15,IF(B195&lt;=Hypothèses!$C$16,Hypothèses!$F$16,IF(B195&lt;=Hypothèses!$C$17,Hypothèses!$F$17,IF(B195&lt;=Hypothèses!$C$18,Hypothèses!$F$18,F194))))))))))))</f>
        <v/>
      </c>
      <c r="G195" s="91">
        <f t="array" ref="G195">INDEX('Coeff EC7'!$U$7:$X$27,
MATCH(Model0.1C!$B$3,'Coeff EC7'!$T$7:$T$27,0),
MATCH(Model0.1C!$D195&amp;Model0.1C!$B$4,
'Coeff EC7'!$U$6:$X$6&amp;
'Coeff EC7'!$U$5:$X$5,0))</f>
        <v>1.1499999999999999</v>
      </c>
      <c r="H195" s="91">
        <f t="array" ref="H195">INDEX('Coeff EC7'!$Y$7:$AB$27,
MATCH(Model0.1C!$B$3,'Coeff EC7'!$T$7:$T$27,0),
MATCH(Model0.1C!$D195&amp;Model0.1C!$B$4,
'Coeff EC7'!$Y$6:$AB$6&amp;
'Coeff EC7'!$Y$5:$AB$5,0))</f>
        <v>1.4</v>
      </c>
      <c r="I195" s="83" t="e">
        <f>IF(B195&lt;=Hypothèses!$C$7,Hypothèses!$P$7,IF(B195&lt;=Hypothèses!$C$8,Hypothèses!$P$8,IF(B195&lt;=Hypothèses!$C$9,Hypothèses!$P$9,IF(B195&lt;=Hypothèses!$C$10,Hypothèses!$P$10,IF(B195&lt;=Hypothèses!$C$11,Hypothèses!$P$11,IF(B195&lt;=Hypothèses!$C$12,Hypothèses!$P$12,IF(B195&lt;=Hypothèses!$C$13,Hypothèses!$P$13,IF(B195&lt;=Hypothèses!$C$14,Hypothèses!$P$14,IF(B195&lt;=Hypothèses!$C$15,Hypothèses!$P$15,IF(B195&lt;=Hypothèses!$C$16,Hypothèses!$P$16,IF(B195&lt;=Hypothèses!$C$17,Hypothèses!$P$17,IF(B195&lt;=Hypothèses!$C$18,Hypothèses!$P$18,I194))))))))))))</f>
        <v>#N/A</v>
      </c>
      <c r="J195" s="91" t="e">
        <f t="array" ref="J195">INDEX('Coeff EC7'!$D$33:$Q$33,1,MATCH(D195&amp;E195,'Coeff EC7'!$D$31:$Q$31&amp;'Coeff EC7'!$D$32:$Q$32,0))</f>
        <v>#N/A</v>
      </c>
      <c r="K195" s="91" t="e">
        <f t="array" ref="K195">INDEX('Coeff EC7'!$D$34:$Q$34,1,MATCH(D195&amp;E195,'Coeff EC7'!$D$31:$Q$31&amp;'Coeff EC7'!$D$32:$Q$32,0))</f>
        <v>#N/A</v>
      </c>
      <c r="L195" s="91" t="e">
        <f t="array" ref="L195">INDEX('Coeff EC7'!$D$35:$Q$35,1,MATCH(D195&amp;E195,'Coeff EC7'!$D$31:$Q$31&amp;'Coeff EC7'!$D$32:$Q$32,0))</f>
        <v>#N/A</v>
      </c>
      <c r="M195" s="98" t="e">
        <f t="shared" si="231"/>
        <v>#N/A</v>
      </c>
      <c r="N195" s="99" t="e">
        <f t="array" ref="N195">INDEX('Coeff EC7'!$D$7:$Q$27,MATCH($B$3,'Coeff EC7'!$C$7:$C$27,0),MATCH(D195&amp;E195,'Coeff EC7'!$D$5:$Q$5&amp;'Coeff EC7'!$D$6:$Q$6,0))</f>
        <v>#N/A</v>
      </c>
      <c r="O195" s="99" t="e">
        <f t="array" ref="O195">INDEX('Coeff EC7'!$D$41:$Q$61,MATCH($B$3,'Coeff EC7'!$C$41:$C$61,0),MATCH(D195&amp;E195,'Coeff EC7'!$D$39:$Q$39&amp;'Coeff EC7'!$D$40:$Q$40,0))</f>
        <v>#N/A</v>
      </c>
      <c r="P195" s="30" t="e">
        <f t="shared" si="268"/>
        <v>#N/A</v>
      </c>
      <c r="Q195" s="100" t="e">
        <f t="shared" si="233"/>
        <v>#N/A</v>
      </c>
      <c r="R195" s="86" t="b">
        <f t="shared" si="234"/>
        <v>0</v>
      </c>
      <c r="S195" s="86">
        <f t="shared" si="232"/>
        <v>0.5</v>
      </c>
      <c r="T195" s="86">
        <f t="shared" si="235"/>
        <v>0.5</v>
      </c>
      <c r="U195" s="30" t="e">
        <f t="shared" ca="1" si="269"/>
        <v>#DIV/0!</v>
      </c>
      <c r="V195" s="85" t="str">
        <f>IF(B195&lt;=Hypothèses!$V$7,Hypothèses!$W$7,IF(B195&lt;=Hypothèses!$V$8,Hypothèses!$W$8,IF(B195&lt;=Hypothèses!$V$9,Hypothèses!$W$9,IF(B195&lt;=Hypothèses!$V$10,Hypothèses!$W$10,IF(B195&lt;=Hypothèses!$V$11,Hypothèses!$W$11,IF(B195&lt;=Hypothèses!$V$12,Hypothèses!$W$12,IF(B195&lt;=Hypothèses!$V$13,Hypothèses!$W$13,IF(B195&lt;=Hypothèses!$V$14,Hypothèses!$W$14,IF(B195&lt;=Hypothèses!$V$15,Hypothèses!$W$15,IF(B195&lt;=Hypothèses!$V$16,Hypothèses!$W$16,IF(B195&lt;=Hypothèses!$V$17,Hypothèses!$W$17,IF(B195&lt;=Hypothèses!$V$18,Hypothèses!$W$18,""))))))))))))</f>
        <v/>
      </c>
      <c r="W195" s="87" t="e">
        <f t="shared" ca="1" si="316"/>
        <v>#DIV/0!</v>
      </c>
      <c r="X195" s="88" t="str">
        <f>IF(B195&lt;=Hypothèses!$V$7,Hypothèses!$X$7,IF(B195&lt;=Hypothèses!$V$8,Hypothèses!$X$8,IF(B195&lt;=Hypothèses!$V$9,Hypothèses!$X$9,IF(B195&lt;=Hypothèses!$V$10,Hypothèses!$X$10,IF(B195&lt;=Hypothèses!$V$11,Hypothèses!$X$11,IF(B195&lt;=Hypothèses!$V$12,Hypothèses!$X$12,IF(B195&lt;=Hypothèses!$V$13,Hypothèses!$X$13,IF(B195&lt;=Hypothèses!$V$14,Hypothèses!$X$14,IF(B195&lt;=Hypothèses!$V$15,Hypothèses!$X$15,IF(B195&lt;=Hypothèses!$V$16,Hypothèses!$X$16,IF(B195&lt;=Hypothèses!$U$17,Hypothèses!$W$17,IF(B195&lt;=Hypothèses!$U$18,Hypothèses!$W$18,""))))))))))))</f>
        <v/>
      </c>
      <c r="Y195" s="95" t="e">
        <f t="shared" ca="1" si="236"/>
        <v>#DIV/0!</v>
      </c>
      <c r="Z195" s="101" t="e">
        <f t="shared" si="237"/>
        <v>#N/A</v>
      </c>
      <c r="AA195" s="91" t="e">
        <f t="shared" si="238"/>
        <v>#N/A</v>
      </c>
      <c r="AB195" s="30" t="e">
        <f t="shared" si="300"/>
        <v>#N/A</v>
      </c>
      <c r="AC195" s="30" t="e">
        <f t="shared" si="301"/>
        <v>#N/A</v>
      </c>
      <c r="AD195" s="31" t="e">
        <f>IF(OR(Hypothèses!$B$4=17,Hypothèses!$B$4=18,Hypothèses!$B$4=19,Hypothèses!$B$4=20),
IF($D195="Pressio.",
IF(OR($E195=3,$E195=1,$E195=4),AC195,AB195),
IF($D195="Pénétro.",
IF(OR($E195=3,$E195=1,$E195=4),AC195,AB195))),IF($D195="Pressio.",
IF($E195=3,AC195,AB195),
IF($D195="Pénétro.",
IF($E195=4,AC195,AB195))))</f>
        <v>#N/A</v>
      </c>
      <c r="AE195" s="31" t="e">
        <f>(IF(OR(Hypothèses!$B$4=17,Hypothèses!$B$4=18,Hypothèses!$B$4=19,Hypothèses!$B$4=20),
IF($D195="Pressio.",
IF(OR($E195=3,$E195=1,$E195=4),(PI()*AE$12^2)/4*(AA195*$W195*1000)/($H195*$B$5),(PI()*AE$12^2)/4*(AA195*$W195*1000)/($G195*$B$5)),
IF($D195="Pénétro.",
IF(OR($E195=4,$E195=1,$E195=5),(PI()*AE$12^2)/4*(AA195*$W195*1000)/($H195*$B$5),(PI()*AE$12^2)/4*(AA195*$W195*1000)/($G195*$B$5)))),
IF($D195="Pressio.",
IF($E195=3,(PI()*AE$12^2)/4*(AA195*$W195*1000)/($H195*$B$5),(PI()*AE$12^2)/4*(AA195*$W195*1000)/($G195*$B$5)),
IF($D195="Pénétro.",
IF($E195=4,(PI()*AE$12^2)/4*(AA195*$W195*1000)/($H195*$B$5),(PI()*AE$12^2)/4*(AA195*$W195*1000)/($G195*$B$5))))))/10</f>
        <v>#N/A</v>
      </c>
      <c r="AF195" s="102" t="e">
        <f>(VLOOKUP($B$3,'Coeff EC7'!$T$39:$X$59,2,0)*AD195+VLOOKUP($B$3,'Coeff EC7'!$T$65:$X$85,2,0)*Model0.1C!AE195)/1.1</f>
        <v>#N/A</v>
      </c>
      <c r="AG195" s="102" t="e">
        <f>(VLOOKUP($B$3,'Coeff EC7'!$T$39:$X$59,3,0)*AD195+VLOOKUP($B$3,'Coeff EC7'!$T$65:$X$85,3,0)*Model0.1C!AE195)/0.9</f>
        <v>#N/A</v>
      </c>
      <c r="AH195" s="102" t="e">
        <f t="shared" si="239"/>
        <v>#N/A</v>
      </c>
      <c r="AI195" s="102" t="e">
        <f t="shared" si="240"/>
        <v>#N/A</v>
      </c>
      <c r="AJ195" s="414" t="e">
        <f>IF(AJ194=0,0,IF(AND(AF195&gt;charge_ELS_quasi,AG195&gt;Charge_ELS_freq,AH195&gt;charge_ELU,AI195&gt;charge_ELA,$B195&gt;NDC!$H$22-0.1+MIN(3*$AJ$12,1.5)),0,1))</f>
        <v>#N/A</v>
      </c>
      <c r="AK195" s="86" t="b">
        <f t="shared" si="241"/>
        <v>0</v>
      </c>
      <c r="AL195" s="86">
        <f t="shared" si="270"/>
        <v>0.5</v>
      </c>
      <c r="AM195" s="86">
        <f t="shared" si="242"/>
        <v>0.5</v>
      </c>
      <c r="AN195" s="30" t="e">
        <f t="shared" ca="1" si="271"/>
        <v>#DIV/0!</v>
      </c>
      <c r="AO195" s="85" t="e">
        <f ca="1">IF(U195&lt;=Hypothèses!$V$7,Hypothèses!$W$7,IF(U195&lt;=Hypothèses!$V$8,Hypothèses!$W$8,IF(U195&lt;=Hypothèses!$V$9,Hypothèses!$W$9,IF(U195&lt;=Hypothèses!$V$10,Hypothèses!$W$10,IF(U195&lt;=Hypothèses!$V$11,Hypothèses!$W$11,IF(U195&lt;=Hypothèses!$V$12,Hypothèses!$W$12,IF(U195&lt;=Hypothèses!$V$13,Hypothèses!$W$13,IF(U195&lt;=Hypothèses!$V$14,Hypothèses!$W$14,IF(U195&lt;=Hypothèses!$V$15,Hypothèses!$W$15,IF(U195&lt;=Hypothèses!$V$16,Hypothèses!$W$16,IF(U195&lt;=Hypothèses!$V$17,Hypothèses!$W$17,IF(U195&lt;=Hypothèses!$V$18,Hypothèses!$W$18,""))))))))))))</f>
        <v>#DIV/0!</v>
      </c>
      <c r="AP195" s="87" t="e">
        <f t="shared" ca="1" si="317"/>
        <v>#DIV/0!</v>
      </c>
      <c r="AQ195" s="88" t="e">
        <f ca="1">IF(U195&lt;=Hypothèses!$V$7,Hypothèses!$X$7,IF(U195&lt;=Hypothèses!$V$8,Hypothèses!$X$8,IF(U195&lt;=Hypothèses!$V$9,Hypothèses!$X$9,IF(U195&lt;=Hypothèses!$V$10,Hypothèses!$X$10,IF(U195&lt;=Hypothèses!$V$11,Hypothèses!$X$11,IF(U195&lt;=Hypothèses!$V$12,Hypothèses!$X$12,IF(U195&lt;=Hypothèses!$V$13,Hypothèses!$X$13,IF(U195&lt;=Hypothèses!$V$14,Hypothèses!$X$14,IF(U195&lt;=Hypothèses!$V$15,Hypothèses!$X$15,IF(U195&lt;=Hypothèses!$V$16,Hypothèses!$X$16,IF(U195&lt;=Hypothèses!$U$17,Hypothèses!$W$17,IF(U195&lt;=Hypothèses!$U$18,Hypothèses!$W$18,""))))))))))))</f>
        <v>#DIV/0!</v>
      </c>
      <c r="AR195" s="95" t="e">
        <f t="shared" ca="1" si="272"/>
        <v>#DIV/0!</v>
      </c>
      <c r="AS195" s="101" t="e">
        <f t="shared" si="324"/>
        <v>#N/A</v>
      </c>
      <c r="AT195" s="91" t="e">
        <f t="shared" si="243"/>
        <v>#N/A</v>
      </c>
      <c r="AU195" s="30" t="e">
        <f t="shared" si="302"/>
        <v>#N/A</v>
      </c>
      <c r="AV195" s="30" t="e">
        <f t="shared" si="303"/>
        <v>#N/A</v>
      </c>
      <c r="AW195" s="31" t="e">
        <f>IF(OR(Hypothèses!$B$4=17,Hypothèses!$B$4=18,Hypothèses!$B$4=19,Hypothèses!$B$4=20),
IF($D195="Pressio.",
IF(OR($E195=3,$E195=1,$E195=4),AV195,AU195),
IF($D195="Pénétro.",
IF(OR($E195=3,$E195=1,$E195=4),AV195,AU195))),IF($D195="Pressio.",
IF($E195=3,AV195,AU195),
IF($D195="Pénétro.",
IF($E195=4,AV195,AU195))))</f>
        <v>#N/A</v>
      </c>
      <c r="AX195" s="31" t="e">
        <f>(IF(OR(Hypothèses!$B$4=17,Hypothèses!$B$4=18,Hypothèses!$B$4=19,Hypothèses!$B$4=20),
IF($D195="Pressio.",
IF(OR($E195=3,$E195=1,$E195=4),(PI()*AX$12^2)/4*(AT195*$W195*1000)/($H195*$B$5),(PI()*AX$12^2)/4*(AT195*$W195*1000)/($G195*$B$5)),
IF($D195="Pénétro.",
IF(OR($E195=4,$E195=1,$E195=5),(PI()*AX$12^2)/4*(AT195*$W195*1000)/($H195*$B$5),(PI()*AX$12^2)/4*(AT195*$W195*1000)/($G195*$B$5)))),
IF($D195="Pressio.",
IF($E195=3,(PI()*AX$12^2)/4*(AT195*$W195*1000)/($H195*$B$5),(PI()*AX$12^2)/4*(AT195*$W195*1000)/($G195*$B$5)),
IF($D195="Pénétro.",
IF($E195=4,(PI()*AX$12^2)/4*(AT195*$W195*1000)/($H195*$B$5),(PI()*AX$12^2)/4*(AT195*$W195*1000)/($G195*$B$5))))))/10</f>
        <v>#N/A</v>
      </c>
      <c r="AY195" s="102" t="e">
        <f>(VLOOKUP($B$3,'Coeff EC7'!$T$39:$X$59,2,0)*AW195+VLOOKUP($B$3,'Coeff EC7'!$T$65:$X$85,2,0)*Model0.1C!AX195)/1.1</f>
        <v>#N/A</v>
      </c>
      <c r="AZ195" s="102" t="e">
        <f>(VLOOKUP($B$3,'Coeff EC7'!$T$39:$X$59,3,0)*AW195+VLOOKUP($B$3,'Coeff EC7'!$T$65:$X$85,3,0)*Model0.1C!AX195)/0.9</f>
        <v>#N/A</v>
      </c>
      <c r="BA195" s="102" t="e">
        <f t="shared" si="273"/>
        <v>#N/A</v>
      </c>
      <c r="BB195" s="102" t="e">
        <f t="shared" si="274"/>
        <v>#N/A</v>
      </c>
      <c r="BC195" s="414" t="e">
        <f>IF(BC194=0,0,IF(AND(AY195&gt;charge_ELS_quasi,AZ195&gt;Charge_ELS_freq,BA195&gt;charge_ELU,BB195&gt;charge_ELA,$B195&gt;NDC!$H$22-0.1+MIN(3*$BC$12,1.5)),0,1))</f>
        <v>#N/A</v>
      </c>
      <c r="BD195" s="86" t="b">
        <f t="shared" si="244"/>
        <v>0</v>
      </c>
      <c r="BE195" s="86">
        <f t="shared" si="275"/>
        <v>0.5</v>
      </c>
      <c r="BF195" s="86">
        <f t="shared" si="245"/>
        <v>0.5</v>
      </c>
      <c r="BG195" s="30" t="e">
        <f t="shared" ca="1" si="276"/>
        <v>#DIV/0!</v>
      </c>
      <c r="BH195" s="85" t="e">
        <f ca="1">IF(AN195&lt;=Hypothèses!$V$7,Hypothèses!$W$7,IF(AN195&lt;=Hypothèses!$V$8,Hypothèses!$W$8,IF(AN195&lt;=Hypothèses!$V$9,Hypothèses!$W$9,IF(AN195&lt;=Hypothèses!$V$10,Hypothèses!$W$10,IF(AN195&lt;=Hypothèses!$V$11,Hypothèses!$W$11,IF(AN195&lt;=Hypothèses!$V$12,Hypothèses!$W$12,IF(AN195&lt;=Hypothèses!$V$13,Hypothèses!$W$13,IF(AN195&lt;=Hypothèses!$V$14,Hypothèses!$W$14,IF(AN195&lt;=Hypothèses!$V$15,Hypothèses!$W$15,IF(AN195&lt;=Hypothèses!$V$16,Hypothèses!$W$16,IF(AN195&lt;=Hypothèses!$V$17,Hypothèses!$W$17,IF(AN195&lt;=Hypothèses!$V$18,Hypothèses!$W$18,""))))))))))))</f>
        <v>#DIV/0!</v>
      </c>
      <c r="BI195" s="87" t="e">
        <f t="shared" ca="1" si="318"/>
        <v>#DIV/0!</v>
      </c>
      <c r="BJ195" s="88" t="e">
        <f ca="1">IF(AN195&lt;=Hypothèses!$V$7,Hypothèses!$X$7,IF(AN195&lt;=Hypothèses!$V$8,Hypothèses!$X$8,IF(AN195&lt;=Hypothèses!$V$9,Hypothèses!$X$9,IF(AN195&lt;=Hypothèses!$V$10,Hypothèses!$X$10,IF(AN195&lt;=Hypothèses!$V$11,Hypothèses!$X$11,IF(AN195&lt;=Hypothèses!$V$12,Hypothèses!$X$12,IF(AN195&lt;=Hypothèses!$V$13,Hypothèses!$X$13,IF(AN195&lt;=Hypothèses!$V$14,Hypothèses!$X$14,IF(AN195&lt;=Hypothèses!$V$15,Hypothèses!$X$15,IF(AN195&lt;=Hypothèses!$V$16,Hypothèses!$X$16,IF(AN195&lt;=Hypothèses!$U$17,Hypothèses!$W$17,IF(AN195&lt;=Hypothèses!$U$18,Hypothèses!$W$18,""))))))))))))</f>
        <v>#DIV/0!</v>
      </c>
      <c r="BK195" s="95" t="e">
        <f t="shared" ca="1" si="277"/>
        <v>#DIV/0!</v>
      </c>
      <c r="BL195" s="101" t="e">
        <f t="shared" si="325"/>
        <v>#N/A</v>
      </c>
      <c r="BM195" s="91" t="e">
        <f t="shared" si="246"/>
        <v>#N/A</v>
      </c>
      <c r="BN195" s="30" t="e">
        <f t="shared" si="304"/>
        <v>#N/A</v>
      </c>
      <c r="BO195" s="30" t="e">
        <f t="shared" si="305"/>
        <v>#N/A</v>
      </c>
      <c r="BP195" s="31" t="e">
        <f>IF(OR(Hypothèses!$B$4=17,Hypothèses!$B$4=18,Hypothèses!$B$4=19,Hypothèses!$B$4=20),
IF($D195="Pressio.",
IF(OR($E195=3,$E195=1,$E195=4),BO195,BN195),
IF($D195="Pénétro.",
IF(OR($E195=3,$E195=1,$E195=4),BO195,BN195))),IF($D195="Pressio.",
IF($E195=3,BO195,BN195),
IF($D195="Pénétro.",
IF($E195=4,BO195,BN195))))</f>
        <v>#N/A</v>
      </c>
      <c r="BQ195" s="31" t="e">
        <f>(IF(OR(Hypothèses!$B$4=17,Hypothèses!$B$4=18,Hypothèses!$B$4=19,Hypothèses!$B$4=20),
IF($D195="Pressio.",
IF(OR($E195=3,$E195=1,$E195=4),(PI()*BQ$12^2)/4*(BM195*$W195*1000)/($H195*$B$5),(PI()*BQ$12^2)/4*(BM195*$W195*1000)/($G195*$B$5)),
IF($D195="Pénétro.",
IF(OR($E195=4,$E195=1,$E195=5),(PI()*BQ$12^2)/4*(BM195*$W195*1000)/($H195*$B$5),(PI()*BQ$12^2)/4*(BM195*$W195*1000)/($G195*$B$5)))),
IF($D195="Pressio.",
IF($E195=3,(PI()*BQ$12^2)/4*(BM195*$W195*1000)/($H195*$B$5),(PI()*BQ$12^2)/4*(BM195*$W195*1000)/($G195*$B$5)),
IF($D195="Pénétro.",
IF($E195=4,(PI()*BQ$12^2)/4*(BM195*$W195*1000)/($H195*$B$5),(PI()*BQ$12^2)/4*(BM195*$W195*1000)/($G195*$B$5))))))/10</f>
        <v>#N/A</v>
      </c>
      <c r="BR195" s="102" t="e">
        <f>(VLOOKUP($B$3,'Coeff EC7'!$T$39:$X$59,2,0)*BP195+VLOOKUP($B$3,'Coeff EC7'!$T$65:$X$85,2,0)*Model0.1C!BQ195)/1.1</f>
        <v>#N/A</v>
      </c>
      <c r="BS195" s="102" t="e">
        <f>(VLOOKUP($B$3,'Coeff EC7'!$T$39:$X$59,3,0)*BP195+VLOOKUP($B$3,'Coeff EC7'!$T$65:$X$85,3,0)*Model0.1C!BQ195)/0.9</f>
        <v>#N/A</v>
      </c>
      <c r="BT195" s="102" t="e">
        <f t="shared" si="278"/>
        <v>#N/A</v>
      </c>
      <c r="BU195" s="102" t="e">
        <f t="shared" si="279"/>
        <v>#N/A</v>
      </c>
      <c r="BV195" s="414" t="e">
        <f>IF(BV194=0,0,IF(AND(BR195&gt;charge_ELS_quasi,BS195&gt;Charge_ELS_freq,BT195&gt;charge_ELU,BU195&gt;charge_ELA,$B195&gt;NDC!$H$22-0.1+MIN(3*$BV$12,1.5)),0,1))</f>
        <v>#N/A</v>
      </c>
      <c r="BW195" s="86" t="b">
        <f t="shared" si="247"/>
        <v>0</v>
      </c>
      <c r="BX195" s="86">
        <f t="shared" si="248"/>
        <v>0.5</v>
      </c>
      <c r="BY195" s="86">
        <f t="shared" si="249"/>
        <v>0.5</v>
      </c>
      <c r="BZ195" s="30" t="e">
        <f t="shared" ca="1" si="280"/>
        <v>#DIV/0!</v>
      </c>
      <c r="CA195" s="85" t="e">
        <f ca="1">IF(BG195&lt;=Hypothèses!$V$7,Hypothèses!$W$7,IF(BG195&lt;=Hypothèses!$V$8,Hypothèses!$W$8,IF(BG195&lt;=Hypothèses!$V$9,Hypothèses!$W$9,IF(BG195&lt;=Hypothèses!$V$10,Hypothèses!$W$10,IF(BG195&lt;=Hypothèses!$V$11,Hypothèses!$W$11,IF(BG195&lt;=Hypothèses!$V$12,Hypothèses!$W$12,IF(BG195&lt;=Hypothèses!$V$13,Hypothèses!$W$13,IF(BG195&lt;=Hypothèses!$V$14,Hypothèses!$W$14,IF(BG195&lt;=Hypothèses!$V$15,Hypothèses!$W$15,IF(BG195&lt;=Hypothèses!$V$16,Hypothèses!$W$16,IF(BG195&lt;=Hypothèses!$V$17,Hypothèses!$W$17,IF(BG195&lt;=Hypothèses!$V$18,Hypothèses!$W$18,""))))))))))))</f>
        <v>#DIV/0!</v>
      </c>
      <c r="CB195" s="87" t="e">
        <f t="shared" ca="1" si="319"/>
        <v>#DIV/0!</v>
      </c>
      <c r="CC195" s="88" t="e">
        <f ca="1">IF(BG195&lt;=Hypothèses!$V$7,Hypothèses!$X$7,IF(BG195&lt;=Hypothèses!$V$8,Hypothèses!$X$8,IF(BG195&lt;=Hypothèses!$V$9,Hypothèses!$X$9,IF(BG195&lt;=Hypothèses!$V$10,Hypothèses!$X$10,IF(BG195&lt;=Hypothèses!$V$11,Hypothèses!$X$11,IF(BG195&lt;=Hypothèses!$V$12,Hypothèses!$X$12,IF(BG195&lt;=Hypothèses!$V$13,Hypothèses!$X$13,IF(BG195&lt;=Hypothèses!$V$14,Hypothèses!$X$14,IF(BG195&lt;=Hypothèses!$V$15,Hypothèses!$X$15,IF(BG195&lt;=Hypothèses!$V$16,Hypothèses!$X$16,IF(BG195&lt;=Hypothèses!$U$17,Hypothèses!$W$17,IF(BG195&lt;=Hypothèses!$U$18,Hypothèses!$W$18,""))))))))))))</f>
        <v>#DIV/0!</v>
      </c>
      <c r="CD195" s="95" t="e">
        <f t="shared" ca="1" si="281"/>
        <v>#DIV/0!</v>
      </c>
      <c r="CE195" s="101" t="e">
        <f t="shared" si="326"/>
        <v>#N/A</v>
      </c>
      <c r="CF195" s="91" t="e">
        <f t="shared" si="250"/>
        <v>#N/A</v>
      </c>
      <c r="CG195" s="30" t="e">
        <f t="shared" si="306"/>
        <v>#N/A</v>
      </c>
      <c r="CH195" s="30" t="e">
        <f t="shared" si="307"/>
        <v>#N/A</v>
      </c>
      <c r="CI195" s="31" t="e">
        <f>IF(OR(Hypothèses!$B$4=17,Hypothèses!$B$4=18,Hypothèses!$B$4=19,Hypothèses!$B$4=20),
IF($D195="Pressio.",
IF(OR($E195=3,$E195=1,$E195=4),CH195,CG195),
IF($D195="Pénétro.",
IF(OR($E195=3,$E195=1,$E195=4),CH195,CG195))),IF($D195="Pressio.",
IF($E195=3,CH195,CG195),
IF($D195="Pénétro.",
IF($E195=4,CH195,CG195))))</f>
        <v>#N/A</v>
      </c>
      <c r="CJ195" s="31" t="e">
        <f>(IF(OR(Hypothèses!$B$4=17,Hypothèses!$B$4=18,Hypothèses!$B$4=19,Hypothèses!$B$4=20),
IF($D195="Pressio.",
IF(OR($E195=3,$E195=1,$E195=4),(PI()*CJ$12^2)/4*(CF195*$W195*1000)/($H195*$B$5),(PI()*CJ$12^2)/4*(CF195*$W195*1000)/($G195*$B$5)),
IF($D195="Pénétro.",
IF(OR($E195=4,$E195=1,$E195=5),(PI()*CJ$12^2)/4*(CF195*$W195*1000)/($H195*$B$5),(PI()*CJ$12^2)/4*(CF195*$W195*1000)/($G195*$B$5)))),
IF($D195="Pressio.",
IF($E195=3,(PI()*CJ$12^2)/4*(CF195*$W195*1000)/($H195*$B$5),(PI()*CJ$12^2)/4*(CF195*$W195*1000)/($G195*$B$5)),
IF($D195="Pénétro.",
IF($E195=4,(PI()*CJ$12^2)/4*(CF195*$W195*1000)/($H195*$B$5),(PI()*CJ$12^2)/4*(CF195*$W195*1000)/($G195*$B$5))))))/10</f>
        <v>#N/A</v>
      </c>
      <c r="CK195" s="102" t="e">
        <f>(VLOOKUP($B$3,'Coeff EC7'!$T$39:$X$59,2,0)*CI195+VLOOKUP($B$3,'Coeff EC7'!$T$65:$X$85,2,0)*Model0.1C!CJ195)/1.1</f>
        <v>#N/A</v>
      </c>
      <c r="CL195" s="102" t="e">
        <f>(VLOOKUP($B$3,'Coeff EC7'!$T$39:$X$59,3,0)*CI195+VLOOKUP($B$3,'Coeff EC7'!$T$65:$X$85,3,0)*Model0.1C!CJ195)/0.9</f>
        <v>#N/A</v>
      </c>
      <c r="CM195" s="102" t="e">
        <f t="shared" si="282"/>
        <v>#N/A</v>
      </c>
      <c r="CN195" s="102" t="e">
        <f t="shared" si="283"/>
        <v>#N/A</v>
      </c>
      <c r="CO195" s="414" t="e">
        <f>IF(CO194=0,0,IF(AND(CK195&gt;charge_ELS_quasi,CL195&gt;Charge_ELS_freq,CM195&gt;charge_ELU,CN195&gt;charge_ELA,$B195&gt;NDC!$H$22-0.1+MIN(3*$CO$12,1.5)),0,1))</f>
        <v>#N/A</v>
      </c>
      <c r="CP195" s="86" t="b">
        <f t="shared" si="251"/>
        <v>0</v>
      </c>
      <c r="CQ195" s="86">
        <f t="shared" si="252"/>
        <v>0.5</v>
      </c>
      <c r="CR195" s="86">
        <f t="shared" si="253"/>
        <v>0.5</v>
      </c>
      <c r="CS195" s="30" t="e">
        <f t="shared" ca="1" si="284"/>
        <v>#DIV/0!</v>
      </c>
      <c r="CT195" s="85" t="e">
        <f ca="1">IF(BZ195&lt;=Hypothèses!$V$7,Hypothèses!$W$7,IF(BZ195&lt;=Hypothèses!$V$8,Hypothèses!$W$8,IF(BZ195&lt;=Hypothèses!$V$9,Hypothèses!$W$9,IF(BZ195&lt;=Hypothèses!$V$10,Hypothèses!$W$10,IF(BZ195&lt;=Hypothèses!$V$11,Hypothèses!$W$11,IF(BZ195&lt;=Hypothèses!$V$12,Hypothèses!$W$12,IF(BZ195&lt;=Hypothèses!$V$13,Hypothèses!$W$13,IF(BZ195&lt;=Hypothèses!$V$14,Hypothèses!$W$14,IF(BZ195&lt;=Hypothèses!$V$15,Hypothèses!$W$15,IF(BZ195&lt;=Hypothèses!$V$16,Hypothèses!$W$16,IF(BZ195&lt;=Hypothèses!$V$17,Hypothèses!$W$17,IF(BZ195&lt;=Hypothèses!$V$18,Hypothèses!$W$18,""))))))))))))</f>
        <v>#DIV/0!</v>
      </c>
      <c r="CU195" s="87" t="e">
        <f t="shared" ca="1" si="320"/>
        <v>#DIV/0!</v>
      </c>
      <c r="CV195" s="88" t="e">
        <f ca="1">IF(BZ195&lt;=Hypothèses!$V$7,Hypothèses!$X$7,IF(BZ195&lt;=Hypothèses!$V$8,Hypothèses!$X$8,IF(BZ195&lt;=Hypothèses!$V$9,Hypothèses!$X$9,IF(BZ195&lt;=Hypothèses!$V$10,Hypothèses!$X$10,IF(BZ195&lt;=Hypothèses!$V$11,Hypothèses!$X$11,IF(BZ195&lt;=Hypothèses!$V$12,Hypothèses!$X$12,IF(BZ195&lt;=Hypothèses!$V$13,Hypothèses!$X$13,IF(BZ195&lt;=Hypothèses!$V$14,Hypothèses!$X$14,IF(BZ195&lt;=Hypothèses!$V$15,Hypothèses!$X$15,IF(BZ195&lt;=Hypothèses!$V$16,Hypothèses!$X$16,IF(BZ195&lt;=Hypothèses!$U$17,Hypothèses!$W$17,IF(BZ195&lt;=Hypothèses!$U$18,Hypothèses!$W$18,""))))))))))))</f>
        <v>#DIV/0!</v>
      </c>
      <c r="CW195" s="95" t="e">
        <f t="shared" ca="1" si="285"/>
        <v>#DIV/0!</v>
      </c>
      <c r="CX195" s="101" t="e">
        <f t="shared" si="327"/>
        <v>#N/A</v>
      </c>
      <c r="CY195" s="91" t="e">
        <f t="shared" si="254"/>
        <v>#N/A</v>
      </c>
      <c r="CZ195" s="30" t="e">
        <f t="shared" si="308"/>
        <v>#N/A</v>
      </c>
      <c r="DA195" s="30" t="e">
        <f t="shared" si="309"/>
        <v>#N/A</v>
      </c>
      <c r="DB195" s="31" t="e">
        <f>IF(OR(Hypothèses!$B$4=17,Hypothèses!$B$4=18,Hypothèses!$B$4=19,Hypothèses!$B$4=20),
IF($D195="Pressio.",
IF(OR($E195=3,$E195=1,$E195=4),DA195,CZ195),
IF($D195="Pénétro.",
IF(OR($E195=3,$E195=1,$E195=4),DA195,CZ195))),IF($D195="Pressio.",
IF($E195=3,DA195,CZ195),
IF($D195="Pénétro.",
IF($E195=4,DA195,CZ195))))</f>
        <v>#N/A</v>
      </c>
      <c r="DC195" s="31" t="e">
        <f>(IF(OR(Hypothèses!$B$4=17,Hypothèses!$B$4=18,Hypothèses!$B$4=19,Hypothèses!$B$4=20),
IF($D195="Pressio.",
IF(OR($E195=3,$E195=1,$E195=4),(PI()*DC$12^2)/4*(CY195*$W195*1000)/($H195*$B$5),(PI()*DC$12^2)/4*(CY195*$W195*1000)/($G195*$B$5)),
IF($D195="Pénétro.",
IF(OR($E195=4,$E195=1,$E195=5),(PI()*DC$12^2)/4*(CY195*$W195*1000)/($H195*$B$5),(PI()*DC$12^2)/4*(CY195*$W195*1000)/($G195*$B$5)))),
IF($D195="Pressio.",
IF($E195=3,(PI()*DC$12^2)/4*(CY195*$W195*1000)/($H195*$B$5),(PI()*DC$12^2)/4*(CY195*$W195*1000)/($G195*$B$5)),
IF($D195="Pénétro.",
IF($E195=4,(PI()*DC$12^2)/4*(CY195*$W195*1000)/($H195*$B$5),(PI()*DC$12^2)/4*(CY195*$W195*1000)/($G195*$B$5))))))/10</f>
        <v>#N/A</v>
      </c>
      <c r="DD195" s="102" t="e">
        <f>(VLOOKUP($B$3,'Coeff EC7'!$T$39:$X$59,2,0)*DB195+VLOOKUP($B$3,'Coeff EC7'!$T$65:$X$85,2,0)*Model0.1C!DC195)/1.1</f>
        <v>#N/A</v>
      </c>
      <c r="DE195" s="102" t="e">
        <f>(VLOOKUP($B$3,'Coeff EC7'!$T$39:$X$59,3,0)*DB195+VLOOKUP($B$3,'Coeff EC7'!$T$65:$X$85,3,0)*Model0.1C!DC195)/0.9</f>
        <v>#N/A</v>
      </c>
      <c r="DF195" s="102" t="e">
        <f t="shared" si="286"/>
        <v>#N/A</v>
      </c>
      <c r="DG195" s="102" t="e">
        <f t="shared" si="287"/>
        <v>#N/A</v>
      </c>
      <c r="DH195" s="414" t="e">
        <f>IF(DH194=0,0,IF(AND(DD195&gt;charge_ELS_quasi,DE195&gt;Charge_ELS_freq,DF195&gt;charge_ELU,DG195&gt;charge_ELA,$B195&gt;NDC!$H$22-0.1+MIN(3*$DH$12,1.5)),0,1))</f>
        <v>#N/A</v>
      </c>
      <c r="DI195" s="86" t="b">
        <f t="shared" si="255"/>
        <v>0</v>
      </c>
      <c r="DJ195" s="86">
        <f t="shared" si="256"/>
        <v>0.5</v>
      </c>
      <c r="DK195" s="86">
        <f t="shared" si="257"/>
        <v>0.5</v>
      </c>
      <c r="DL195" s="30" t="e">
        <f t="shared" ca="1" si="288"/>
        <v>#DIV/0!</v>
      </c>
      <c r="DM195" s="85" t="e">
        <f ca="1">IF(CS195&lt;=Hypothèses!$V$7,Hypothèses!$W$7,IF(CS195&lt;=Hypothèses!$V$8,Hypothèses!$W$8,IF(CS195&lt;=Hypothèses!$V$9,Hypothèses!$W$9,IF(CS195&lt;=Hypothèses!$V$10,Hypothèses!$W$10,IF(CS195&lt;=Hypothèses!$V$11,Hypothèses!$W$11,IF(CS195&lt;=Hypothèses!$V$12,Hypothèses!$W$12,IF(CS195&lt;=Hypothèses!$V$13,Hypothèses!$W$13,IF(CS195&lt;=Hypothèses!$V$14,Hypothèses!$W$14,IF(CS195&lt;=Hypothèses!$V$15,Hypothèses!$W$15,IF(CS195&lt;=Hypothèses!$V$16,Hypothèses!$W$16,IF(CS195&lt;=Hypothèses!$V$17,Hypothèses!$W$17,IF(CS195&lt;=Hypothèses!$V$18,Hypothèses!$W$18,""))))))))))))</f>
        <v>#DIV/0!</v>
      </c>
      <c r="DN195" s="87" t="e">
        <f t="shared" ca="1" si="321"/>
        <v>#DIV/0!</v>
      </c>
      <c r="DO195" s="88" t="e">
        <f ca="1">IF(CS195&lt;=Hypothèses!$V$7,Hypothèses!$X$7,IF(CS195&lt;=Hypothèses!$V$8,Hypothèses!$X$8,IF(CS195&lt;=Hypothèses!$V$9,Hypothèses!$X$9,IF(CS195&lt;=Hypothèses!$V$10,Hypothèses!$X$10,IF(CS195&lt;=Hypothèses!$V$11,Hypothèses!$X$11,IF(CS195&lt;=Hypothèses!$V$12,Hypothèses!$X$12,IF(CS195&lt;=Hypothèses!$V$13,Hypothèses!$X$13,IF(CS195&lt;=Hypothèses!$V$14,Hypothèses!$X$14,IF(CS195&lt;=Hypothèses!$V$15,Hypothèses!$X$15,IF(CS195&lt;=Hypothèses!$V$16,Hypothèses!$X$16,IF(CS195&lt;=Hypothèses!$U$17,Hypothèses!$W$17,IF(CS195&lt;=Hypothèses!$U$18,Hypothèses!$W$18,""))))))))))))</f>
        <v>#DIV/0!</v>
      </c>
      <c r="DP195" s="95" t="e">
        <f t="shared" ca="1" si="289"/>
        <v>#DIV/0!</v>
      </c>
      <c r="DQ195" s="101" t="e">
        <f t="shared" si="328"/>
        <v>#N/A</v>
      </c>
      <c r="DR195" s="91" t="e">
        <f t="shared" si="258"/>
        <v>#N/A</v>
      </c>
      <c r="DS195" s="30" t="e">
        <f t="shared" si="310"/>
        <v>#N/A</v>
      </c>
      <c r="DT195" s="30" t="e">
        <f t="shared" si="311"/>
        <v>#N/A</v>
      </c>
      <c r="DU195" s="31" t="e">
        <f>IF(OR(Hypothèses!$B$4=17,Hypothèses!$B$4=18,Hypothèses!$B$4=19,Hypothèses!$B$4=20),
IF($D195="Pressio.",
IF(OR($E195=3,$E195=1,$E195=4),DT195,DS195),
IF($D195="Pénétro.",
IF(OR($E195=3,$E195=1,$E195=4),DT195,DS195))),IF($D195="Pressio.",
IF($E195=3,DT195,DS195),
IF($D195="Pénétro.",
IF($E195=4,DT195,DS195))))</f>
        <v>#N/A</v>
      </c>
      <c r="DV195" s="31" t="e">
        <f>(IF(OR(Hypothèses!$B$4=17,Hypothèses!$B$4=18,Hypothèses!$B$4=19,Hypothèses!$B$4=20),
IF($D195="Pressio.",
IF(OR($E195=3,$E195=1,$E195=4),(PI()*DV$12^2)/4*(DR195*$W195*1000)/($H195*$B$5),(PI()*DV$12^2)/4*(DR195*$W195*1000)/($G195*$B$5)),
IF($D195="Pénétro.",
IF(OR($E195=4,$E195=1,$E195=5),(PI()*DV$12^2)/4*(DR195*$W195*1000)/($H195*$B$5),(PI()*DV$12^2)/4*(DR195*$W195*1000)/($G195*$B$5)))),
IF($D195="Pressio.",
IF($E195=3,(PI()*DV$12^2)/4*(DR195*$W195*1000)/($H195*$B$5),(PI()*DV$12^2)/4*(DR195*$W195*1000)/($G195*$B$5)),
IF($D195="Pénétro.",
IF($E195=4,(PI()*DV$12^2)/4*(DR195*$W195*1000)/($H195*$B$5),(PI()*DV$12^2)/4*(DR195*$W195*1000)/($G195*$B$5))))))/10</f>
        <v>#N/A</v>
      </c>
      <c r="DW195" s="102" t="e">
        <f>(VLOOKUP($B$3,'Coeff EC7'!$T$39:$X$59,2,0)*DU195+VLOOKUP($B$3,'Coeff EC7'!$T$65:$X$85,2,0)*Model0.1C!DV195)/1.1</f>
        <v>#N/A</v>
      </c>
      <c r="DX195" s="102" t="e">
        <f>(VLOOKUP($B$3,'Coeff EC7'!$T$39:$X$59,3,0)*DU195+VLOOKUP($B$3,'Coeff EC7'!$T$65:$X$85,3,0)*Model0.1C!DV195)/0.9</f>
        <v>#N/A</v>
      </c>
      <c r="DY195" s="102" t="e">
        <f t="shared" si="290"/>
        <v>#N/A</v>
      </c>
      <c r="DZ195" s="102" t="e">
        <f t="shared" si="291"/>
        <v>#N/A</v>
      </c>
      <c r="EA195" s="414" t="e">
        <f>IF(EA194=0,0,IF(AND(DW195&gt;charge_ELS_quasi,DX195&gt;Charge_ELS_freq,DY195&gt;charge_ELU,DZ195&gt;charge_ELA,$B195&gt;NDC!$H$22-0.1+MIN(3*$EA$12,1.5)),0,1))</f>
        <v>#N/A</v>
      </c>
      <c r="EB195" s="86" t="b">
        <f t="shared" si="259"/>
        <v>0</v>
      </c>
      <c r="EC195" s="418">
        <f t="shared" si="260"/>
        <v>0.51</v>
      </c>
      <c r="ED195" s="86">
        <f t="shared" si="261"/>
        <v>0.51</v>
      </c>
      <c r="EE195" s="30" t="e">
        <f t="shared" ca="1" si="292"/>
        <v>#DIV/0!</v>
      </c>
      <c r="EF195" s="85" t="e">
        <f ca="1">IF(DL195&lt;=Hypothèses!$V$7,Hypothèses!$W$7,IF(DL195&lt;=Hypothèses!$V$8,Hypothèses!$W$8,IF(DL195&lt;=Hypothèses!$V$9,Hypothèses!$W$9,IF(DL195&lt;=Hypothèses!$V$10,Hypothèses!$W$10,IF(DL195&lt;=Hypothèses!$V$11,Hypothèses!$W$11,IF(DL195&lt;=Hypothèses!$V$12,Hypothèses!$W$12,IF(DL195&lt;=Hypothèses!$V$13,Hypothèses!$W$13,IF(DL195&lt;=Hypothèses!$V$14,Hypothèses!$W$14,IF(DL195&lt;=Hypothèses!$V$15,Hypothèses!$W$15,IF(DL195&lt;=Hypothèses!$V$16,Hypothèses!$W$16,IF(DL195&lt;=Hypothèses!$V$17,Hypothèses!$W$17,IF(DL195&lt;=Hypothèses!$V$18,Hypothèses!$W$18,""))))))))))))</f>
        <v>#DIV/0!</v>
      </c>
      <c r="EG195" s="87" t="e">
        <f t="shared" ca="1" si="322"/>
        <v>#DIV/0!</v>
      </c>
      <c r="EH195" s="88" t="e">
        <f ca="1">IF(DL195&lt;=Hypothèses!$V$7,Hypothèses!$X$7,IF(DL195&lt;=Hypothèses!$V$8,Hypothèses!$X$8,IF(DL195&lt;=Hypothèses!$V$9,Hypothèses!$X$9,IF(DL195&lt;=Hypothèses!$V$10,Hypothèses!$X$10,IF(DL195&lt;=Hypothèses!$V$11,Hypothèses!$X$11,IF(DL195&lt;=Hypothèses!$V$12,Hypothèses!$X$12,IF(DL195&lt;=Hypothèses!$V$13,Hypothèses!$X$13,IF(DL195&lt;=Hypothèses!$V$14,Hypothèses!$X$14,IF(DL195&lt;=Hypothèses!$V$15,Hypothèses!$X$15,IF(DL195&lt;=Hypothèses!$V$16,Hypothèses!$X$16,IF(DL195&lt;=Hypothèses!$U$17,Hypothèses!$W$17,IF(DL195&lt;=Hypothèses!$U$18,Hypothèses!$W$18,""))))))))))))</f>
        <v>#DIV/0!</v>
      </c>
      <c r="EI195" s="95" t="e">
        <f t="shared" ca="1" si="293"/>
        <v>#DIV/0!</v>
      </c>
      <c r="EJ195" s="101" t="e">
        <f t="shared" si="329"/>
        <v>#N/A</v>
      </c>
      <c r="EK195" s="91" t="e">
        <f t="shared" si="262"/>
        <v>#N/A</v>
      </c>
      <c r="EL195" s="30" t="e">
        <f t="shared" si="312"/>
        <v>#N/A</v>
      </c>
      <c r="EM195" s="30" t="e">
        <f t="shared" si="313"/>
        <v>#N/A</v>
      </c>
      <c r="EN195" s="31" t="e">
        <f>IF(OR(Hypothèses!$B$4=17,Hypothèses!$B$4=18,Hypothèses!$B$4=19,Hypothèses!$B$4=20),
IF($D195="Pressio.",
IF(OR($E195=3,$E195=1,$E195=4),EM195,EL195),
IF($D195="Pénétro.",
IF(OR($E195=3,$E195=1,$E195=4),EM195,EL195))),IF($D195="Pressio.",
IF($E195=3,EM195,EL195),
IF($D195="Pénétro.",
IF($E195=4,EM195,EL195))))</f>
        <v>#N/A</v>
      </c>
      <c r="EO195" s="31" t="e">
        <f>(IF(OR(Hypothèses!$B$4=17,Hypothèses!$B$4=18,Hypothèses!$B$4=19,Hypothèses!$B$4=20),
IF($D195="Pressio.",
IF(OR($E195=3,$E195=1,$E195=4),(PI()*EO$12^2)/4*(EK195*$W195*1000)/($H195*$B$5),(PI()*EO$12^2)/4*(EK195*$W195*1000)/($G195*$B$5)),
IF($D195="Pénétro.",
IF(OR($E195=4,$E195=1,$E195=5),(PI()*EO$12^2)/4*(EK195*$W195*1000)/($H195*$B$5),(PI()*EO$12^2)/4*(EK195*$W195*1000)/($G195*$B$5)))),
IF($D195="Pressio.",
IF($E195=3,(PI()*EO$12^2)/4*(EK195*$W195*1000)/($H195*$B$5),(PI()*EO$12^2)/4*(EK195*$W195*1000)/($G195*$B$5)),
IF($D195="Pénétro.",
IF($E195=4,(PI()*EO$12^2)/4*(EK195*$W195*1000)/($H195*$B$5),(PI()*EO$12^2)/4*(EK195*$W195*1000)/($G195*$B$5))))))/10</f>
        <v>#N/A</v>
      </c>
      <c r="EP195" s="102" t="e">
        <f>(VLOOKUP($B$3,'Coeff EC7'!$T$39:$X$59,2,0)*EN195+VLOOKUP($B$3,'Coeff EC7'!$T$65:$X$85,2,0)*Model0.1C!EO195)/1.1</f>
        <v>#N/A</v>
      </c>
      <c r="EQ195" s="102" t="e">
        <f>(VLOOKUP($B$3,'Coeff EC7'!$T$39:$X$59,3,0)*EN195+VLOOKUP($B$3,'Coeff EC7'!$T$65:$X$85,3,0)*Model0.1C!EO195)/0.9</f>
        <v>#N/A</v>
      </c>
      <c r="ER195" s="102" t="e">
        <f t="shared" si="294"/>
        <v>#N/A</v>
      </c>
      <c r="ES195" s="102" t="e">
        <f t="shared" si="295"/>
        <v>#N/A</v>
      </c>
      <c r="ET195" s="414" t="e">
        <f>IF(ET194=0,0,IF(AND(EP195&gt;charge_ELS_quasi,EQ195&gt;Charge_ELS_freq,ER195&gt;charge_ELU,ES195&gt;charge_ELA,$B195&gt;NDC!$H$22-0.1+MIN(3*$ET$12,1.5)),0,1))</f>
        <v>#N/A</v>
      </c>
      <c r="EU195" s="86" t="b">
        <f t="shared" si="263"/>
        <v>0</v>
      </c>
      <c r="EV195" s="86">
        <f t="shared" si="264"/>
        <v>0.61</v>
      </c>
      <c r="EW195" s="86">
        <f t="shared" si="265"/>
        <v>0.61</v>
      </c>
      <c r="EX195" s="30" t="e">
        <f t="shared" ca="1" si="296"/>
        <v>#DIV/0!</v>
      </c>
      <c r="EY195" s="85" t="e">
        <f ca="1">IF(EE195&lt;=Hypothèses!$V$7,Hypothèses!$W$7,IF(EE195&lt;=Hypothèses!$V$8,Hypothèses!$W$8,IF(EE195&lt;=Hypothèses!$V$9,Hypothèses!$W$9,IF(EE195&lt;=Hypothèses!$V$10,Hypothèses!$W$10,IF(EE195&lt;=Hypothèses!$V$11,Hypothèses!$W$11,IF(EE195&lt;=Hypothèses!$V$12,Hypothèses!$W$12,IF(EE195&lt;=Hypothèses!$V$13,Hypothèses!$W$13,IF(EE195&lt;=Hypothèses!$V$14,Hypothèses!$W$14,IF(EE195&lt;=Hypothèses!$V$15,Hypothèses!$W$15,IF(EE195&lt;=Hypothèses!$V$16,Hypothèses!$W$16,IF(EE195&lt;=Hypothèses!$V$17,Hypothèses!$W$17,IF(EE195&lt;=Hypothèses!$V$18,Hypothèses!$W$18,""))))))))))))</f>
        <v>#DIV/0!</v>
      </c>
      <c r="EZ195" s="87" t="e">
        <f t="shared" ca="1" si="323"/>
        <v>#DIV/0!</v>
      </c>
      <c r="FA195" s="88" t="e">
        <f ca="1">IF(EE195&lt;=Hypothèses!$V$7,Hypothèses!$X$7,IF(EE195&lt;=Hypothèses!$V$8,Hypothèses!$X$8,IF(EE195&lt;=Hypothèses!$V$9,Hypothèses!$X$9,IF(EE195&lt;=Hypothèses!$V$10,Hypothèses!$X$10,IF(EE195&lt;=Hypothèses!$V$11,Hypothèses!$X$11,IF(EE195&lt;=Hypothèses!$V$12,Hypothèses!$X$12,IF(EE195&lt;=Hypothèses!$V$13,Hypothèses!$X$13,IF(EE195&lt;=Hypothèses!$V$14,Hypothèses!$X$14,IF(EE195&lt;=Hypothèses!$V$15,Hypothèses!$X$15,IF(EE195&lt;=Hypothèses!$V$16,Hypothèses!$X$16,IF(EE195&lt;=Hypothèses!$U$17,Hypothèses!$W$17,IF(EE195&lt;=Hypothèses!$U$18,Hypothèses!$W$18,""))))))))))))</f>
        <v>#DIV/0!</v>
      </c>
      <c r="FB195" s="95" t="e">
        <f t="shared" ca="1" si="297"/>
        <v>#DIV/0!</v>
      </c>
      <c r="FC195" s="101" t="e">
        <f t="shared" si="330"/>
        <v>#N/A</v>
      </c>
      <c r="FD195" s="91" t="e">
        <f t="shared" si="266"/>
        <v>#N/A</v>
      </c>
      <c r="FE195" s="30" t="e">
        <f t="shared" si="314"/>
        <v>#N/A</v>
      </c>
      <c r="FF195" s="30" t="e">
        <f t="shared" si="315"/>
        <v>#N/A</v>
      </c>
      <c r="FG195" s="31" t="e">
        <f>IF(OR(Hypothèses!$B$4=17,Hypothèses!$B$4=18,Hypothèses!$B$4=19,Hypothèses!$B$4=20),
IF($D195="Pressio.",
IF(OR($E195=3,$E195=1,$E195=4),FF195,FE195),
IF($D195="Pénétro.",
IF(OR($E195=3,$E195=1,$E195=4),FF195,FE195))),IF($D195="Pressio.",
IF($E195=3,FF195,FE195),
IF($D195="Pénétro.",
IF($E195=4,FF195,FE195))))</f>
        <v>#N/A</v>
      </c>
      <c r="FH195" s="31" t="e">
        <f>(IF(OR(Hypothèses!$B$4=17,Hypothèses!$B$4=18,Hypothèses!$B$4=19,Hypothèses!$B$4=20),
IF($D195="Pressio.",
IF(OR($E195=3,$E195=1,$E195=4),(PI()*FH$12^2)/4*(FD195*$W195*1000)/($H195*$B$5),(PI()*FH$12^2)/4*(FD195*$W195*1000)/($G195*$B$5)),
IF($D195="Pénétro.",
IF(OR($E195=4,$E195=1,$E195=5),(PI()*FH$12^2)/4*(FD195*$W195*1000)/($H195*$B$5),(PI()*FH$12^2)/4*(FD195*$W195*1000)/($G195*$B$5)))),
IF($D195="Pressio.",
IF($E195=3,(PI()*FH$12^2)/4*(FD195*$W195*1000)/($H195*$B$5),(PI()*FH$12^2)/4*(FD195*$W195*1000)/($G195*$B$5)),
IF($D195="Pénétro.",
IF($E195=4,(PI()*FH$12^2)/4*(FD195*$W195*1000)/($H195*$B$5),(PI()*FH$12^2)/4*(FD195*$W195*1000)/($G195*$B$5))))))/10</f>
        <v>#N/A</v>
      </c>
      <c r="FI195" s="102" t="e">
        <f>(VLOOKUP($B$3,'Coeff EC7'!$T$39:$X$59,2,0)*FG195+VLOOKUP($B$3,'Coeff EC7'!$T$65:$X$85,2,0)*Model0.1C!FH195)/1.1</f>
        <v>#N/A</v>
      </c>
      <c r="FJ195" s="102" t="e">
        <f>(VLOOKUP($B$3,'Coeff EC7'!$T$39:$X$59,3,0)*FG195+VLOOKUP($B$3,'Coeff EC7'!$T$65:$X$85,3,0)*Model0.1C!FH195)/0.9</f>
        <v>#N/A</v>
      </c>
      <c r="FK195" s="102" t="e">
        <f t="shared" si="298"/>
        <v>#N/A</v>
      </c>
      <c r="FL195" s="102" t="e">
        <f t="shared" si="299"/>
        <v>#N/A</v>
      </c>
      <c r="FM195" s="414" t="e">
        <f>IF(FM194=0,0,IF(AND(FI195&gt;charge_ELS_quasi,FJ195&gt;Charge_ELS_freq,FK195&gt;charge_ELU,FL195&gt;charge_ELA,$B195&gt;NDC!$H$22-0.1+MIN(3*$FM$12,1.5)),0,1))</f>
        <v>#N/A</v>
      </c>
    </row>
    <row r="196" spans="1:169">
      <c r="A196" s="96">
        <f t="shared" si="267"/>
        <v>81.70000000000104</v>
      </c>
      <c r="B196" s="97">
        <v>18.3</v>
      </c>
      <c r="C196" s="81">
        <f>IF(B196&lt;=Hypothèses!$C$7,Hypothèses!$A$7,IF(B196&lt;=Hypothèses!$C$8,Hypothèses!$A$8,IF(B196&lt;=Hypothèses!$C$9,Hypothèses!$A$9,IF(B196&lt;=Hypothèses!$C$10,Hypothèses!$A$10,IF(B196&lt;=Hypothèses!$C$11,Hypothèses!$A$11,IF(B196&lt;=Hypothèses!$C$12,Hypothèses!$A$12,IF(B196&lt;=Hypothèses!$C$13,Hypothèses!$A$13,IF(B196&lt;=Hypothèses!$C$14,Hypothèses!$A$14,IF(B196&lt;=Hypothèses!$C$15,Hypothèses!$A$15,IF(B196&lt;=Hypothèses!$C$16,Hypothèses!$A$16,IF(B196&lt;=Hypothèses!$C$17,Hypothèses!$A$17,IF(B196&lt;=Hypothèses!$C$18,Hypothèses!$A$18,C195))))))))))))</f>
        <v>11</v>
      </c>
      <c r="D196" s="82" t="str">
        <f>IF(B196&lt;=Hypothèses!$C$7,Hypothèses!$R$7,IF(B196&lt;=Hypothèses!$C$8,Hypothèses!$R$8,IF(B196&lt;=Hypothèses!$C$9,Hypothèses!$R$9,IF(B196&lt;=Hypothèses!$C$10,Hypothèses!$R$10,IF(B196&lt;=Hypothèses!$C$11,Hypothèses!$R$11,IF(B196&lt;=Hypothèses!$C$12,Hypothèses!$R$12,IF(B196&lt;=Hypothèses!$C$13,Hypothèses!$R$13,IF(B196&lt;=Hypothèses!$C$14,Hypothèses!$R$14,IF(B196&lt;=Hypothèses!$C$15,Hypothèses!$R$15,IF(B196&lt;=Hypothèses!$C$16,Hypothèses!$R$16,IF(B196&lt;=Hypothèses!$C$17,Hypothèses!$R$17,IF(B196&lt;=Hypothèses!$C$18,Hypothèses!$R$18,D195))))))))))))</f>
        <v>Pressio.</v>
      </c>
      <c r="E196" s="82" t="e">
        <f>IF(B196&lt;=Hypothèses!$C$7,Hypothèses!$G$7,IF(B196&lt;=Hypothèses!$C$8,Hypothèses!$G$8,IF(B196&lt;=Hypothèses!$C$9,Hypothèses!$G$9,IF(B196&lt;=Hypothèses!$C$10,Hypothèses!$G$10,IF(B196&lt;=Hypothèses!$C$11,Hypothèses!$G$11,IF(B196&lt;=Hypothèses!$C$12,Hypothèses!$G$12,IF(B196&lt;=Hypothèses!$C$13,Hypothèses!$G$13,IF(B196&lt;=Hypothèses!$C$14,Hypothèses!$G$14,IF(B196&lt;=Hypothèses!$C$15,Hypothèses!$G$15,IF(B196&lt;=Hypothèses!$C$16,Hypothèses!$G$16,IF(B196&lt;=Hypothèses!$C$17,Hypothèses!$G$17,IF(B196&lt;=Hypothèses!$C$18,Hypothèses!$G$18,E195))))))))))))</f>
        <v>#N/A</v>
      </c>
      <c r="F196" s="82" t="str">
        <f>IF(B196&lt;=Hypothèses!$C$7,Hypothèses!$F$7,IF(B196&lt;=Hypothèses!$C$8,Hypothèses!$F$8,IF(B196&lt;=Hypothèses!$C$9,Hypothèses!$F$9,IF(B196&lt;=Hypothèses!$C$10,Hypothèses!$F$10,IF(B196&lt;=Hypothèses!$C$11,Hypothèses!$F$11,IF(B196&lt;=Hypothèses!$C$12,Hypothèses!$F$12,IF(B196&lt;=Hypothèses!$C$13,Hypothèses!$F$13,IF(B196&lt;=Hypothèses!$C$14,Hypothèses!$F$14,IF(B196&lt;=Hypothèses!$C$15,Hypothèses!$F$15,IF(B196&lt;=Hypothèses!$C$16,Hypothèses!$F$16,IF(B196&lt;=Hypothèses!$C$17,Hypothèses!$F$17,IF(B196&lt;=Hypothèses!$C$18,Hypothèses!$F$18,F195))))))))))))</f>
        <v/>
      </c>
      <c r="G196" s="91">
        <f t="array" ref="G196">INDEX('Coeff EC7'!$U$7:$X$27,
MATCH(Model0.1C!$B$3,'Coeff EC7'!$T$7:$T$27,0),
MATCH(Model0.1C!$D196&amp;Model0.1C!$B$4,
'Coeff EC7'!$U$6:$X$6&amp;
'Coeff EC7'!$U$5:$X$5,0))</f>
        <v>1.1499999999999999</v>
      </c>
      <c r="H196" s="91">
        <f t="array" ref="H196">INDEX('Coeff EC7'!$Y$7:$AB$27,
MATCH(Model0.1C!$B$3,'Coeff EC7'!$T$7:$T$27,0),
MATCH(Model0.1C!$D196&amp;Model0.1C!$B$4,
'Coeff EC7'!$Y$6:$AB$6&amp;
'Coeff EC7'!$Y$5:$AB$5,0))</f>
        <v>1.4</v>
      </c>
      <c r="I196" s="83" t="e">
        <f>IF(B196&lt;=Hypothèses!$C$7,Hypothèses!$P$7,IF(B196&lt;=Hypothèses!$C$8,Hypothèses!$P$8,IF(B196&lt;=Hypothèses!$C$9,Hypothèses!$P$9,IF(B196&lt;=Hypothèses!$C$10,Hypothèses!$P$10,IF(B196&lt;=Hypothèses!$C$11,Hypothèses!$P$11,IF(B196&lt;=Hypothèses!$C$12,Hypothèses!$P$12,IF(B196&lt;=Hypothèses!$C$13,Hypothèses!$P$13,IF(B196&lt;=Hypothèses!$C$14,Hypothèses!$P$14,IF(B196&lt;=Hypothèses!$C$15,Hypothèses!$P$15,IF(B196&lt;=Hypothèses!$C$16,Hypothèses!$P$16,IF(B196&lt;=Hypothèses!$C$17,Hypothèses!$P$17,IF(B196&lt;=Hypothèses!$C$18,Hypothèses!$P$18,I195))))))))))))</f>
        <v>#N/A</v>
      </c>
      <c r="J196" s="91" t="e">
        <f t="array" ref="J196">INDEX('Coeff EC7'!$D$33:$Q$33,1,MATCH(D196&amp;E196,'Coeff EC7'!$D$31:$Q$31&amp;'Coeff EC7'!$D$32:$Q$32,0))</f>
        <v>#N/A</v>
      </c>
      <c r="K196" s="91" t="e">
        <f t="array" ref="K196">INDEX('Coeff EC7'!$D$34:$Q$34,1,MATCH(D196&amp;E196,'Coeff EC7'!$D$31:$Q$31&amp;'Coeff EC7'!$D$32:$Q$32,0))</f>
        <v>#N/A</v>
      </c>
      <c r="L196" s="91" t="e">
        <f t="array" ref="L196">INDEX('Coeff EC7'!$D$35:$Q$35,1,MATCH(D196&amp;E196,'Coeff EC7'!$D$31:$Q$31&amp;'Coeff EC7'!$D$32:$Q$32,0))</f>
        <v>#N/A</v>
      </c>
      <c r="M196" s="98" t="e">
        <f t="shared" si="231"/>
        <v>#N/A</v>
      </c>
      <c r="N196" s="99" t="e">
        <f t="array" ref="N196">INDEX('Coeff EC7'!$D$7:$Q$27,MATCH($B$3,'Coeff EC7'!$C$7:$C$27,0),MATCH(D196&amp;E196,'Coeff EC7'!$D$5:$Q$5&amp;'Coeff EC7'!$D$6:$Q$6,0))</f>
        <v>#N/A</v>
      </c>
      <c r="O196" s="99" t="e">
        <f t="array" ref="O196">INDEX('Coeff EC7'!$D$41:$Q$61,MATCH($B$3,'Coeff EC7'!$C$41:$C$61,0),MATCH(D196&amp;E196,'Coeff EC7'!$D$39:$Q$39&amp;'Coeff EC7'!$D$40:$Q$40,0))</f>
        <v>#N/A</v>
      </c>
      <c r="P196" s="30" t="e">
        <f t="shared" si="268"/>
        <v>#N/A</v>
      </c>
      <c r="Q196" s="100" t="e">
        <f t="shared" si="233"/>
        <v>#N/A</v>
      </c>
      <c r="R196" s="86" t="b">
        <f t="shared" si="234"/>
        <v>0</v>
      </c>
      <c r="S196" s="86">
        <f t="shared" si="232"/>
        <v>0.5</v>
      </c>
      <c r="T196" s="86">
        <f t="shared" si="235"/>
        <v>0.5</v>
      </c>
      <c r="U196" s="30" t="e">
        <f t="shared" ca="1" si="269"/>
        <v>#DIV/0!</v>
      </c>
      <c r="V196" s="85" t="str">
        <f>IF(B196&lt;=Hypothèses!$V$7,Hypothèses!$W$7,IF(B196&lt;=Hypothèses!$V$8,Hypothèses!$W$8,IF(B196&lt;=Hypothèses!$V$9,Hypothèses!$W$9,IF(B196&lt;=Hypothèses!$V$10,Hypothèses!$W$10,IF(B196&lt;=Hypothèses!$V$11,Hypothèses!$W$11,IF(B196&lt;=Hypothèses!$V$12,Hypothèses!$W$12,IF(B196&lt;=Hypothèses!$V$13,Hypothèses!$W$13,IF(B196&lt;=Hypothèses!$V$14,Hypothèses!$W$14,IF(B196&lt;=Hypothèses!$V$15,Hypothèses!$W$15,IF(B196&lt;=Hypothèses!$V$16,Hypothèses!$W$16,IF(B196&lt;=Hypothèses!$V$17,Hypothèses!$W$17,IF(B196&lt;=Hypothèses!$V$18,Hypothèses!$W$18,""))))))))))))</f>
        <v/>
      </c>
      <c r="W196" s="87" t="e">
        <f t="shared" ca="1" si="316"/>
        <v>#DIV/0!</v>
      </c>
      <c r="X196" s="88" t="str">
        <f>IF(B196&lt;=Hypothèses!$V$7,Hypothèses!$X$7,IF(B196&lt;=Hypothèses!$V$8,Hypothèses!$X$8,IF(B196&lt;=Hypothèses!$V$9,Hypothèses!$X$9,IF(B196&lt;=Hypothèses!$V$10,Hypothèses!$X$10,IF(B196&lt;=Hypothèses!$V$11,Hypothèses!$X$11,IF(B196&lt;=Hypothèses!$V$12,Hypothèses!$X$12,IF(B196&lt;=Hypothèses!$V$13,Hypothèses!$X$13,IF(B196&lt;=Hypothèses!$V$14,Hypothèses!$X$14,IF(B196&lt;=Hypothèses!$V$15,Hypothèses!$X$15,IF(B196&lt;=Hypothèses!$V$16,Hypothèses!$X$16,IF(B196&lt;=Hypothèses!$U$17,Hypothèses!$W$17,IF(B196&lt;=Hypothèses!$U$18,Hypothèses!$W$18,""))))))))))))</f>
        <v/>
      </c>
      <c r="Y196" s="95" t="e">
        <f t="shared" ca="1" si="236"/>
        <v>#DIV/0!</v>
      </c>
      <c r="Z196" s="101" t="e">
        <f t="shared" si="237"/>
        <v>#N/A</v>
      </c>
      <c r="AA196" s="91" t="e">
        <f t="shared" si="238"/>
        <v>#N/A</v>
      </c>
      <c r="AB196" s="30" t="e">
        <f t="shared" si="300"/>
        <v>#N/A</v>
      </c>
      <c r="AC196" s="30" t="e">
        <f t="shared" si="301"/>
        <v>#N/A</v>
      </c>
      <c r="AD196" s="31" t="e">
        <f>IF(OR(Hypothèses!$B$4=17,Hypothèses!$B$4=18,Hypothèses!$B$4=19,Hypothèses!$B$4=20),
IF($D196="Pressio.",
IF(OR($E196=3,$E196=1,$E196=4),AC196,AB196),
IF($D196="Pénétro.",
IF(OR($E196=3,$E196=1,$E196=4),AC196,AB196))),IF($D196="Pressio.",
IF($E196=3,AC196,AB196),
IF($D196="Pénétro.",
IF($E196=4,AC196,AB196))))</f>
        <v>#N/A</v>
      </c>
      <c r="AE196" s="31" t="e">
        <f>(IF(OR(Hypothèses!$B$4=17,Hypothèses!$B$4=18,Hypothèses!$B$4=19,Hypothèses!$B$4=20),
IF($D196="Pressio.",
IF(OR($E196=3,$E196=1,$E196=4),(PI()*AE$12^2)/4*(AA196*$W196*1000)/($H196*$B$5),(PI()*AE$12^2)/4*(AA196*$W196*1000)/($G196*$B$5)),
IF($D196="Pénétro.",
IF(OR($E196=4,$E196=1,$E196=5),(PI()*AE$12^2)/4*(AA196*$W196*1000)/($H196*$B$5),(PI()*AE$12^2)/4*(AA196*$W196*1000)/($G196*$B$5)))),
IF($D196="Pressio.",
IF($E196=3,(PI()*AE$12^2)/4*(AA196*$W196*1000)/($H196*$B$5),(PI()*AE$12^2)/4*(AA196*$W196*1000)/($G196*$B$5)),
IF($D196="Pénétro.",
IF($E196=4,(PI()*AE$12^2)/4*(AA196*$W196*1000)/($H196*$B$5),(PI()*AE$12^2)/4*(AA196*$W196*1000)/($G196*$B$5))))))/10</f>
        <v>#N/A</v>
      </c>
      <c r="AF196" s="102" t="e">
        <f>(VLOOKUP($B$3,'Coeff EC7'!$T$39:$X$59,2,0)*AD196+VLOOKUP($B$3,'Coeff EC7'!$T$65:$X$85,2,0)*Model0.1C!AE196)/1.1</f>
        <v>#N/A</v>
      </c>
      <c r="AG196" s="102" t="e">
        <f>(VLOOKUP($B$3,'Coeff EC7'!$T$39:$X$59,3,0)*AD196+VLOOKUP($B$3,'Coeff EC7'!$T$65:$X$85,3,0)*Model0.1C!AE196)/0.9</f>
        <v>#N/A</v>
      </c>
      <c r="AH196" s="102" t="e">
        <f t="shared" si="239"/>
        <v>#N/A</v>
      </c>
      <c r="AI196" s="102" t="e">
        <f t="shared" si="240"/>
        <v>#N/A</v>
      </c>
      <c r="AJ196" s="414" t="e">
        <f>IF(AJ195=0,0,IF(AND(AF196&gt;charge_ELS_quasi,AG196&gt;Charge_ELS_freq,AH196&gt;charge_ELU,AI196&gt;charge_ELA,$B196&gt;NDC!$H$22-0.1+MIN(3*$AJ$12,1.5)),0,1))</f>
        <v>#N/A</v>
      </c>
      <c r="AK196" s="86" t="b">
        <f t="shared" si="241"/>
        <v>0</v>
      </c>
      <c r="AL196" s="86">
        <f t="shared" si="270"/>
        <v>0.5</v>
      </c>
      <c r="AM196" s="86">
        <f t="shared" si="242"/>
        <v>0.5</v>
      </c>
      <c r="AN196" s="30" t="e">
        <f t="shared" ca="1" si="271"/>
        <v>#DIV/0!</v>
      </c>
      <c r="AO196" s="85" t="e">
        <f ca="1">IF(U196&lt;=Hypothèses!$V$7,Hypothèses!$W$7,IF(U196&lt;=Hypothèses!$V$8,Hypothèses!$W$8,IF(U196&lt;=Hypothèses!$V$9,Hypothèses!$W$9,IF(U196&lt;=Hypothèses!$V$10,Hypothèses!$W$10,IF(U196&lt;=Hypothèses!$V$11,Hypothèses!$W$11,IF(U196&lt;=Hypothèses!$V$12,Hypothèses!$W$12,IF(U196&lt;=Hypothèses!$V$13,Hypothèses!$W$13,IF(U196&lt;=Hypothèses!$V$14,Hypothèses!$W$14,IF(U196&lt;=Hypothèses!$V$15,Hypothèses!$W$15,IF(U196&lt;=Hypothèses!$V$16,Hypothèses!$W$16,IF(U196&lt;=Hypothèses!$V$17,Hypothèses!$W$17,IF(U196&lt;=Hypothèses!$V$18,Hypothèses!$W$18,""))))))))))))</f>
        <v>#DIV/0!</v>
      </c>
      <c r="AP196" s="87" t="e">
        <f t="shared" ca="1" si="317"/>
        <v>#DIV/0!</v>
      </c>
      <c r="AQ196" s="88" t="e">
        <f ca="1">IF(U196&lt;=Hypothèses!$V$7,Hypothèses!$X$7,IF(U196&lt;=Hypothèses!$V$8,Hypothèses!$X$8,IF(U196&lt;=Hypothèses!$V$9,Hypothèses!$X$9,IF(U196&lt;=Hypothèses!$V$10,Hypothèses!$X$10,IF(U196&lt;=Hypothèses!$V$11,Hypothèses!$X$11,IF(U196&lt;=Hypothèses!$V$12,Hypothèses!$X$12,IF(U196&lt;=Hypothèses!$V$13,Hypothèses!$X$13,IF(U196&lt;=Hypothèses!$V$14,Hypothèses!$X$14,IF(U196&lt;=Hypothèses!$V$15,Hypothèses!$X$15,IF(U196&lt;=Hypothèses!$V$16,Hypothèses!$X$16,IF(U196&lt;=Hypothèses!$U$17,Hypothèses!$W$17,IF(U196&lt;=Hypothèses!$U$18,Hypothèses!$W$18,""))))))))))))</f>
        <v>#DIV/0!</v>
      </c>
      <c r="AR196" s="95" t="e">
        <f t="shared" ca="1" si="272"/>
        <v>#DIV/0!</v>
      </c>
      <c r="AS196" s="101" t="e">
        <f t="shared" si="324"/>
        <v>#N/A</v>
      </c>
      <c r="AT196" s="91" t="e">
        <f t="shared" si="243"/>
        <v>#N/A</v>
      </c>
      <c r="AU196" s="30" t="e">
        <f t="shared" si="302"/>
        <v>#N/A</v>
      </c>
      <c r="AV196" s="30" t="e">
        <f t="shared" si="303"/>
        <v>#N/A</v>
      </c>
      <c r="AW196" s="31" t="e">
        <f>IF(OR(Hypothèses!$B$4=17,Hypothèses!$B$4=18,Hypothèses!$B$4=19,Hypothèses!$B$4=20),
IF($D196="Pressio.",
IF(OR($E196=3,$E196=1,$E196=4),AV196,AU196),
IF($D196="Pénétro.",
IF(OR($E196=3,$E196=1,$E196=4),AV196,AU196))),IF($D196="Pressio.",
IF($E196=3,AV196,AU196),
IF($D196="Pénétro.",
IF($E196=4,AV196,AU196))))</f>
        <v>#N/A</v>
      </c>
      <c r="AX196" s="31" t="e">
        <f>(IF(OR(Hypothèses!$B$4=17,Hypothèses!$B$4=18,Hypothèses!$B$4=19,Hypothèses!$B$4=20),
IF($D196="Pressio.",
IF(OR($E196=3,$E196=1,$E196=4),(PI()*AX$12^2)/4*(AT196*$W196*1000)/($H196*$B$5),(PI()*AX$12^2)/4*(AT196*$W196*1000)/($G196*$B$5)),
IF($D196="Pénétro.",
IF(OR($E196=4,$E196=1,$E196=5),(PI()*AX$12^2)/4*(AT196*$W196*1000)/($H196*$B$5),(PI()*AX$12^2)/4*(AT196*$W196*1000)/($G196*$B$5)))),
IF($D196="Pressio.",
IF($E196=3,(PI()*AX$12^2)/4*(AT196*$W196*1000)/($H196*$B$5),(PI()*AX$12^2)/4*(AT196*$W196*1000)/($G196*$B$5)),
IF($D196="Pénétro.",
IF($E196=4,(PI()*AX$12^2)/4*(AT196*$W196*1000)/($H196*$B$5),(PI()*AX$12^2)/4*(AT196*$W196*1000)/($G196*$B$5))))))/10</f>
        <v>#N/A</v>
      </c>
      <c r="AY196" s="102" t="e">
        <f>(VLOOKUP($B$3,'Coeff EC7'!$T$39:$X$59,2,0)*AW196+VLOOKUP($B$3,'Coeff EC7'!$T$65:$X$85,2,0)*Model0.1C!AX196)/1.1</f>
        <v>#N/A</v>
      </c>
      <c r="AZ196" s="102" t="e">
        <f>(VLOOKUP($B$3,'Coeff EC7'!$T$39:$X$59,3,0)*AW196+VLOOKUP($B$3,'Coeff EC7'!$T$65:$X$85,3,0)*Model0.1C!AX196)/0.9</f>
        <v>#N/A</v>
      </c>
      <c r="BA196" s="102" t="e">
        <f t="shared" si="273"/>
        <v>#N/A</v>
      </c>
      <c r="BB196" s="102" t="e">
        <f t="shared" si="274"/>
        <v>#N/A</v>
      </c>
      <c r="BC196" s="414" t="e">
        <f>IF(BC195=0,0,IF(AND(AY196&gt;charge_ELS_quasi,AZ196&gt;Charge_ELS_freq,BA196&gt;charge_ELU,BB196&gt;charge_ELA,$B196&gt;NDC!$H$22-0.1+MIN(3*$BC$12,1.5)),0,1))</f>
        <v>#N/A</v>
      </c>
      <c r="BD196" s="86" t="b">
        <f t="shared" si="244"/>
        <v>0</v>
      </c>
      <c r="BE196" s="86">
        <f t="shared" si="275"/>
        <v>0.5</v>
      </c>
      <c r="BF196" s="86">
        <f t="shared" si="245"/>
        <v>0.5</v>
      </c>
      <c r="BG196" s="30" t="e">
        <f t="shared" ca="1" si="276"/>
        <v>#DIV/0!</v>
      </c>
      <c r="BH196" s="85" t="e">
        <f ca="1">IF(AN196&lt;=Hypothèses!$V$7,Hypothèses!$W$7,IF(AN196&lt;=Hypothèses!$V$8,Hypothèses!$W$8,IF(AN196&lt;=Hypothèses!$V$9,Hypothèses!$W$9,IF(AN196&lt;=Hypothèses!$V$10,Hypothèses!$W$10,IF(AN196&lt;=Hypothèses!$V$11,Hypothèses!$W$11,IF(AN196&lt;=Hypothèses!$V$12,Hypothèses!$W$12,IF(AN196&lt;=Hypothèses!$V$13,Hypothèses!$W$13,IF(AN196&lt;=Hypothèses!$V$14,Hypothèses!$W$14,IF(AN196&lt;=Hypothèses!$V$15,Hypothèses!$W$15,IF(AN196&lt;=Hypothèses!$V$16,Hypothèses!$W$16,IF(AN196&lt;=Hypothèses!$V$17,Hypothèses!$W$17,IF(AN196&lt;=Hypothèses!$V$18,Hypothèses!$W$18,""))))))))))))</f>
        <v>#DIV/0!</v>
      </c>
      <c r="BI196" s="87" t="e">
        <f t="shared" ca="1" si="318"/>
        <v>#DIV/0!</v>
      </c>
      <c r="BJ196" s="88" t="e">
        <f ca="1">IF(AN196&lt;=Hypothèses!$V$7,Hypothèses!$X$7,IF(AN196&lt;=Hypothèses!$V$8,Hypothèses!$X$8,IF(AN196&lt;=Hypothèses!$V$9,Hypothèses!$X$9,IF(AN196&lt;=Hypothèses!$V$10,Hypothèses!$X$10,IF(AN196&lt;=Hypothèses!$V$11,Hypothèses!$X$11,IF(AN196&lt;=Hypothèses!$V$12,Hypothèses!$X$12,IF(AN196&lt;=Hypothèses!$V$13,Hypothèses!$X$13,IF(AN196&lt;=Hypothèses!$V$14,Hypothèses!$X$14,IF(AN196&lt;=Hypothèses!$V$15,Hypothèses!$X$15,IF(AN196&lt;=Hypothèses!$V$16,Hypothèses!$X$16,IF(AN196&lt;=Hypothèses!$U$17,Hypothèses!$W$17,IF(AN196&lt;=Hypothèses!$U$18,Hypothèses!$W$18,""))))))))))))</f>
        <v>#DIV/0!</v>
      </c>
      <c r="BK196" s="95" t="e">
        <f t="shared" ca="1" si="277"/>
        <v>#DIV/0!</v>
      </c>
      <c r="BL196" s="101" t="e">
        <f t="shared" si="325"/>
        <v>#N/A</v>
      </c>
      <c r="BM196" s="91" t="e">
        <f t="shared" si="246"/>
        <v>#N/A</v>
      </c>
      <c r="BN196" s="30" t="e">
        <f t="shared" si="304"/>
        <v>#N/A</v>
      </c>
      <c r="BO196" s="30" t="e">
        <f t="shared" si="305"/>
        <v>#N/A</v>
      </c>
      <c r="BP196" s="31" t="e">
        <f>IF(OR(Hypothèses!$B$4=17,Hypothèses!$B$4=18,Hypothèses!$B$4=19,Hypothèses!$B$4=20),
IF($D196="Pressio.",
IF(OR($E196=3,$E196=1,$E196=4),BO196,BN196),
IF($D196="Pénétro.",
IF(OR($E196=3,$E196=1,$E196=4),BO196,BN196))),IF($D196="Pressio.",
IF($E196=3,BO196,BN196),
IF($D196="Pénétro.",
IF($E196=4,BO196,BN196))))</f>
        <v>#N/A</v>
      </c>
      <c r="BQ196" s="31" t="e">
        <f>(IF(OR(Hypothèses!$B$4=17,Hypothèses!$B$4=18,Hypothèses!$B$4=19,Hypothèses!$B$4=20),
IF($D196="Pressio.",
IF(OR($E196=3,$E196=1,$E196=4),(PI()*BQ$12^2)/4*(BM196*$W196*1000)/($H196*$B$5),(PI()*BQ$12^2)/4*(BM196*$W196*1000)/($G196*$B$5)),
IF($D196="Pénétro.",
IF(OR($E196=4,$E196=1,$E196=5),(PI()*BQ$12^2)/4*(BM196*$W196*1000)/($H196*$B$5),(PI()*BQ$12^2)/4*(BM196*$W196*1000)/($G196*$B$5)))),
IF($D196="Pressio.",
IF($E196=3,(PI()*BQ$12^2)/4*(BM196*$W196*1000)/($H196*$B$5),(PI()*BQ$12^2)/4*(BM196*$W196*1000)/($G196*$B$5)),
IF($D196="Pénétro.",
IF($E196=4,(PI()*BQ$12^2)/4*(BM196*$W196*1000)/($H196*$B$5),(PI()*BQ$12^2)/4*(BM196*$W196*1000)/($G196*$B$5))))))/10</f>
        <v>#N/A</v>
      </c>
      <c r="BR196" s="102" t="e">
        <f>(VLOOKUP($B$3,'Coeff EC7'!$T$39:$X$59,2,0)*BP196+VLOOKUP($B$3,'Coeff EC7'!$T$65:$X$85,2,0)*Model0.1C!BQ196)/1.1</f>
        <v>#N/A</v>
      </c>
      <c r="BS196" s="102" t="e">
        <f>(VLOOKUP($B$3,'Coeff EC7'!$T$39:$X$59,3,0)*BP196+VLOOKUP($B$3,'Coeff EC7'!$T$65:$X$85,3,0)*Model0.1C!BQ196)/0.9</f>
        <v>#N/A</v>
      </c>
      <c r="BT196" s="102" t="e">
        <f t="shared" si="278"/>
        <v>#N/A</v>
      </c>
      <c r="BU196" s="102" t="e">
        <f t="shared" si="279"/>
        <v>#N/A</v>
      </c>
      <c r="BV196" s="414" t="e">
        <f>IF(BV195=0,0,IF(AND(BR196&gt;charge_ELS_quasi,BS196&gt;Charge_ELS_freq,BT196&gt;charge_ELU,BU196&gt;charge_ELA,$B196&gt;NDC!$H$22-0.1+MIN(3*$BV$12,1.5)),0,1))</f>
        <v>#N/A</v>
      </c>
      <c r="BW196" s="86" t="b">
        <f t="shared" si="247"/>
        <v>0</v>
      </c>
      <c r="BX196" s="86">
        <f t="shared" si="248"/>
        <v>0.5</v>
      </c>
      <c r="BY196" s="86">
        <f t="shared" si="249"/>
        <v>0.5</v>
      </c>
      <c r="BZ196" s="30" t="e">
        <f t="shared" ca="1" si="280"/>
        <v>#DIV/0!</v>
      </c>
      <c r="CA196" s="85" t="e">
        <f ca="1">IF(BG196&lt;=Hypothèses!$V$7,Hypothèses!$W$7,IF(BG196&lt;=Hypothèses!$V$8,Hypothèses!$W$8,IF(BG196&lt;=Hypothèses!$V$9,Hypothèses!$W$9,IF(BG196&lt;=Hypothèses!$V$10,Hypothèses!$W$10,IF(BG196&lt;=Hypothèses!$V$11,Hypothèses!$W$11,IF(BG196&lt;=Hypothèses!$V$12,Hypothèses!$W$12,IF(BG196&lt;=Hypothèses!$V$13,Hypothèses!$W$13,IF(BG196&lt;=Hypothèses!$V$14,Hypothèses!$W$14,IF(BG196&lt;=Hypothèses!$V$15,Hypothèses!$W$15,IF(BG196&lt;=Hypothèses!$V$16,Hypothèses!$W$16,IF(BG196&lt;=Hypothèses!$V$17,Hypothèses!$W$17,IF(BG196&lt;=Hypothèses!$V$18,Hypothèses!$W$18,""))))))))))))</f>
        <v>#DIV/0!</v>
      </c>
      <c r="CB196" s="87" t="e">
        <f t="shared" ca="1" si="319"/>
        <v>#DIV/0!</v>
      </c>
      <c r="CC196" s="88" t="e">
        <f ca="1">IF(BG196&lt;=Hypothèses!$V$7,Hypothèses!$X$7,IF(BG196&lt;=Hypothèses!$V$8,Hypothèses!$X$8,IF(BG196&lt;=Hypothèses!$V$9,Hypothèses!$X$9,IF(BG196&lt;=Hypothèses!$V$10,Hypothèses!$X$10,IF(BG196&lt;=Hypothèses!$V$11,Hypothèses!$X$11,IF(BG196&lt;=Hypothèses!$V$12,Hypothèses!$X$12,IF(BG196&lt;=Hypothèses!$V$13,Hypothèses!$X$13,IF(BG196&lt;=Hypothèses!$V$14,Hypothèses!$X$14,IF(BG196&lt;=Hypothèses!$V$15,Hypothèses!$X$15,IF(BG196&lt;=Hypothèses!$V$16,Hypothèses!$X$16,IF(BG196&lt;=Hypothèses!$U$17,Hypothèses!$W$17,IF(BG196&lt;=Hypothèses!$U$18,Hypothèses!$W$18,""))))))))))))</f>
        <v>#DIV/0!</v>
      </c>
      <c r="CD196" s="95" t="e">
        <f t="shared" ca="1" si="281"/>
        <v>#DIV/0!</v>
      </c>
      <c r="CE196" s="101" t="e">
        <f t="shared" si="326"/>
        <v>#N/A</v>
      </c>
      <c r="CF196" s="91" t="e">
        <f t="shared" si="250"/>
        <v>#N/A</v>
      </c>
      <c r="CG196" s="30" t="e">
        <f t="shared" si="306"/>
        <v>#N/A</v>
      </c>
      <c r="CH196" s="30" t="e">
        <f t="shared" si="307"/>
        <v>#N/A</v>
      </c>
      <c r="CI196" s="31" t="e">
        <f>IF(OR(Hypothèses!$B$4=17,Hypothèses!$B$4=18,Hypothèses!$B$4=19,Hypothèses!$B$4=20),
IF($D196="Pressio.",
IF(OR($E196=3,$E196=1,$E196=4),CH196,CG196),
IF($D196="Pénétro.",
IF(OR($E196=3,$E196=1,$E196=4),CH196,CG196))),IF($D196="Pressio.",
IF($E196=3,CH196,CG196),
IF($D196="Pénétro.",
IF($E196=4,CH196,CG196))))</f>
        <v>#N/A</v>
      </c>
      <c r="CJ196" s="31" t="e">
        <f>(IF(OR(Hypothèses!$B$4=17,Hypothèses!$B$4=18,Hypothèses!$B$4=19,Hypothèses!$B$4=20),
IF($D196="Pressio.",
IF(OR($E196=3,$E196=1,$E196=4),(PI()*CJ$12^2)/4*(CF196*$W196*1000)/($H196*$B$5),(PI()*CJ$12^2)/4*(CF196*$W196*1000)/($G196*$B$5)),
IF($D196="Pénétro.",
IF(OR($E196=4,$E196=1,$E196=5),(PI()*CJ$12^2)/4*(CF196*$W196*1000)/($H196*$B$5),(PI()*CJ$12^2)/4*(CF196*$W196*1000)/($G196*$B$5)))),
IF($D196="Pressio.",
IF($E196=3,(PI()*CJ$12^2)/4*(CF196*$W196*1000)/($H196*$B$5),(PI()*CJ$12^2)/4*(CF196*$W196*1000)/($G196*$B$5)),
IF($D196="Pénétro.",
IF($E196=4,(PI()*CJ$12^2)/4*(CF196*$W196*1000)/($H196*$B$5),(PI()*CJ$12^2)/4*(CF196*$W196*1000)/($G196*$B$5))))))/10</f>
        <v>#N/A</v>
      </c>
      <c r="CK196" s="102" t="e">
        <f>(VLOOKUP($B$3,'Coeff EC7'!$T$39:$X$59,2,0)*CI196+VLOOKUP($B$3,'Coeff EC7'!$T$65:$X$85,2,0)*Model0.1C!CJ196)/1.1</f>
        <v>#N/A</v>
      </c>
      <c r="CL196" s="102" t="e">
        <f>(VLOOKUP($B$3,'Coeff EC7'!$T$39:$X$59,3,0)*CI196+VLOOKUP($B$3,'Coeff EC7'!$T$65:$X$85,3,0)*Model0.1C!CJ196)/0.9</f>
        <v>#N/A</v>
      </c>
      <c r="CM196" s="102" t="e">
        <f t="shared" si="282"/>
        <v>#N/A</v>
      </c>
      <c r="CN196" s="102" t="e">
        <f t="shared" si="283"/>
        <v>#N/A</v>
      </c>
      <c r="CO196" s="414" t="e">
        <f>IF(CO195=0,0,IF(AND(CK196&gt;charge_ELS_quasi,CL196&gt;Charge_ELS_freq,CM196&gt;charge_ELU,CN196&gt;charge_ELA,$B196&gt;NDC!$H$22-0.1+MIN(3*$CO$12,1.5)),0,1))</f>
        <v>#N/A</v>
      </c>
      <c r="CP196" s="86" t="b">
        <f t="shared" si="251"/>
        <v>0</v>
      </c>
      <c r="CQ196" s="86">
        <f t="shared" si="252"/>
        <v>0.5</v>
      </c>
      <c r="CR196" s="86">
        <f t="shared" si="253"/>
        <v>0.5</v>
      </c>
      <c r="CS196" s="30" t="e">
        <f t="shared" ca="1" si="284"/>
        <v>#DIV/0!</v>
      </c>
      <c r="CT196" s="85" t="e">
        <f ca="1">IF(BZ196&lt;=Hypothèses!$V$7,Hypothèses!$W$7,IF(BZ196&lt;=Hypothèses!$V$8,Hypothèses!$W$8,IF(BZ196&lt;=Hypothèses!$V$9,Hypothèses!$W$9,IF(BZ196&lt;=Hypothèses!$V$10,Hypothèses!$W$10,IF(BZ196&lt;=Hypothèses!$V$11,Hypothèses!$W$11,IF(BZ196&lt;=Hypothèses!$V$12,Hypothèses!$W$12,IF(BZ196&lt;=Hypothèses!$V$13,Hypothèses!$W$13,IF(BZ196&lt;=Hypothèses!$V$14,Hypothèses!$W$14,IF(BZ196&lt;=Hypothèses!$V$15,Hypothèses!$W$15,IF(BZ196&lt;=Hypothèses!$V$16,Hypothèses!$W$16,IF(BZ196&lt;=Hypothèses!$V$17,Hypothèses!$W$17,IF(BZ196&lt;=Hypothèses!$V$18,Hypothèses!$W$18,""))))))))))))</f>
        <v>#DIV/0!</v>
      </c>
      <c r="CU196" s="87" t="e">
        <f t="shared" ca="1" si="320"/>
        <v>#DIV/0!</v>
      </c>
      <c r="CV196" s="88" t="e">
        <f ca="1">IF(BZ196&lt;=Hypothèses!$V$7,Hypothèses!$X$7,IF(BZ196&lt;=Hypothèses!$V$8,Hypothèses!$X$8,IF(BZ196&lt;=Hypothèses!$V$9,Hypothèses!$X$9,IF(BZ196&lt;=Hypothèses!$V$10,Hypothèses!$X$10,IF(BZ196&lt;=Hypothèses!$V$11,Hypothèses!$X$11,IF(BZ196&lt;=Hypothèses!$V$12,Hypothèses!$X$12,IF(BZ196&lt;=Hypothèses!$V$13,Hypothèses!$X$13,IF(BZ196&lt;=Hypothèses!$V$14,Hypothèses!$X$14,IF(BZ196&lt;=Hypothèses!$V$15,Hypothèses!$X$15,IF(BZ196&lt;=Hypothèses!$V$16,Hypothèses!$X$16,IF(BZ196&lt;=Hypothèses!$U$17,Hypothèses!$W$17,IF(BZ196&lt;=Hypothèses!$U$18,Hypothèses!$W$18,""))))))))))))</f>
        <v>#DIV/0!</v>
      </c>
      <c r="CW196" s="95" t="e">
        <f t="shared" ca="1" si="285"/>
        <v>#DIV/0!</v>
      </c>
      <c r="CX196" s="101" t="e">
        <f t="shared" si="327"/>
        <v>#N/A</v>
      </c>
      <c r="CY196" s="91" t="e">
        <f t="shared" si="254"/>
        <v>#N/A</v>
      </c>
      <c r="CZ196" s="30" t="e">
        <f t="shared" si="308"/>
        <v>#N/A</v>
      </c>
      <c r="DA196" s="30" t="e">
        <f t="shared" si="309"/>
        <v>#N/A</v>
      </c>
      <c r="DB196" s="31" t="e">
        <f>IF(OR(Hypothèses!$B$4=17,Hypothèses!$B$4=18,Hypothèses!$B$4=19,Hypothèses!$B$4=20),
IF($D196="Pressio.",
IF(OR($E196=3,$E196=1,$E196=4),DA196,CZ196),
IF($D196="Pénétro.",
IF(OR($E196=3,$E196=1,$E196=4),DA196,CZ196))),IF($D196="Pressio.",
IF($E196=3,DA196,CZ196),
IF($D196="Pénétro.",
IF($E196=4,DA196,CZ196))))</f>
        <v>#N/A</v>
      </c>
      <c r="DC196" s="31" t="e">
        <f>(IF(OR(Hypothèses!$B$4=17,Hypothèses!$B$4=18,Hypothèses!$B$4=19,Hypothèses!$B$4=20),
IF($D196="Pressio.",
IF(OR($E196=3,$E196=1,$E196=4),(PI()*DC$12^2)/4*(CY196*$W196*1000)/($H196*$B$5),(PI()*DC$12^2)/4*(CY196*$W196*1000)/($G196*$B$5)),
IF($D196="Pénétro.",
IF(OR($E196=4,$E196=1,$E196=5),(PI()*DC$12^2)/4*(CY196*$W196*1000)/($H196*$B$5),(PI()*DC$12^2)/4*(CY196*$W196*1000)/($G196*$B$5)))),
IF($D196="Pressio.",
IF($E196=3,(PI()*DC$12^2)/4*(CY196*$W196*1000)/($H196*$B$5),(PI()*DC$12^2)/4*(CY196*$W196*1000)/($G196*$B$5)),
IF($D196="Pénétro.",
IF($E196=4,(PI()*DC$12^2)/4*(CY196*$W196*1000)/($H196*$B$5),(PI()*DC$12^2)/4*(CY196*$W196*1000)/($G196*$B$5))))))/10</f>
        <v>#N/A</v>
      </c>
      <c r="DD196" s="102" t="e">
        <f>(VLOOKUP($B$3,'Coeff EC7'!$T$39:$X$59,2,0)*DB196+VLOOKUP($B$3,'Coeff EC7'!$T$65:$X$85,2,0)*Model0.1C!DC196)/1.1</f>
        <v>#N/A</v>
      </c>
      <c r="DE196" s="102" t="e">
        <f>(VLOOKUP($B$3,'Coeff EC7'!$T$39:$X$59,3,0)*DB196+VLOOKUP($B$3,'Coeff EC7'!$T$65:$X$85,3,0)*Model0.1C!DC196)/0.9</f>
        <v>#N/A</v>
      </c>
      <c r="DF196" s="102" t="e">
        <f t="shared" si="286"/>
        <v>#N/A</v>
      </c>
      <c r="DG196" s="102" t="e">
        <f t="shared" si="287"/>
        <v>#N/A</v>
      </c>
      <c r="DH196" s="414" t="e">
        <f>IF(DH195=0,0,IF(AND(DD196&gt;charge_ELS_quasi,DE196&gt;Charge_ELS_freq,DF196&gt;charge_ELU,DG196&gt;charge_ELA,$B196&gt;NDC!$H$22-0.1+MIN(3*$DH$12,1.5)),0,1))</f>
        <v>#N/A</v>
      </c>
      <c r="DI196" s="86" t="b">
        <f t="shared" si="255"/>
        <v>0</v>
      </c>
      <c r="DJ196" s="86">
        <f t="shared" si="256"/>
        <v>0.5</v>
      </c>
      <c r="DK196" s="86">
        <f t="shared" si="257"/>
        <v>0.5</v>
      </c>
      <c r="DL196" s="30" t="e">
        <f t="shared" ca="1" si="288"/>
        <v>#DIV/0!</v>
      </c>
      <c r="DM196" s="85" t="e">
        <f ca="1">IF(CS196&lt;=Hypothèses!$V$7,Hypothèses!$W$7,IF(CS196&lt;=Hypothèses!$V$8,Hypothèses!$W$8,IF(CS196&lt;=Hypothèses!$V$9,Hypothèses!$W$9,IF(CS196&lt;=Hypothèses!$V$10,Hypothèses!$W$10,IF(CS196&lt;=Hypothèses!$V$11,Hypothèses!$W$11,IF(CS196&lt;=Hypothèses!$V$12,Hypothèses!$W$12,IF(CS196&lt;=Hypothèses!$V$13,Hypothèses!$W$13,IF(CS196&lt;=Hypothèses!$V$14,Hypothèses!$W$14,IF(CS196&lt;=Hypothèses!$V$15,Hypothèses!$W$15,IF(CS196&lt;=Hypothèses!$V$16,Hypothèses!$W$16,IF(CS196&lt;=Hypothèses!$V$17,Hypothèses!$W$17,IF(CS196&lt;=Hypothèses!$V$18,Hypothèses!$W$18,""))))))))))))</f>
        <v>#DIV/0!</v>
      </c>
      <c r="DN196" s="87" t="e">
        <f t="shared" ca="1" si="321"/>
        <v>#DIV/0!</v>
      </c>
      <c r="DO196" s="88" t="e">
        <f ca="1">IF(CS196&lt;=Hypothèses!$V$7,Hypothèses!$X$7,IF(CS196&lt;=Hypothèses!$V$8,Hypothèses!$X$8,IF(CS196&lt;=Hypothèses!$V$9,Hypothèses!$X$9,IF(CS196&lt;=Hypothèses!$V$10,Hypothèses!$X$10,IF(CS196&lt;=Hypothèses!$V$11,Hypothèses!$X$11,IF(CS196&lt;=Hypothèses!$V$12,Hypothèses!$X$12,IF(CS196&lt;=Hypothèses!$V$13,Hypothèses!$X$13,IF(CS196&lt;=Hypothèses!$V$14,Hypothèses!$X$14,IF(CS196&lt;=Hypothèses!$V$15,Hypothèses!$X$15,IF(CS196&lt;=Hypothèses!$V$16,Hypothèses!$X$16,IF(CS196&lt;=Hypothèses!$U$17,Hypothèses!$W$17,IF(CS196&lt;=Hypothèses!$U$18,Hypothèses!$W$18,""))))))))))))</f>
        <v>#DIV/0!</v>
      </c>
      <c r="DP196" s="95" t="e">
        <f t="shared" ca="1" si="289"/>
        <v>#DIV/0!</v>
      </c>
      <c r="DQ196" s="101" t="e">
        <f t="shared" si="328"/>
        <v>#N/A</v>
      </c>
      <c r="DR196" s="91" t="e">
        <f t="shared" si="258"/>
        <v>#N/A</v>
      </c>
      <c r="DS196" s="30" t="e">
        <f t="shared" si="310"/>
        <v>#N/A</v>
      </c>
      <c r="DT196" s="30" t="e">
        <f t="shared" si="311"/>
        <v>#N/A</v>
      </c>
      <c r="DU196" s="31" t="e">
        <f>IF(OR(Hypothèses!$B$4=17,Hypothèses!$B$4=18,Hypothèses!$B$4=19,Hypothèses!$B$4=20),
IF($D196="Pressio.",
IF(OR($E196=3,$E196=1,$E196=4),DT196,DS196),
IF($D196="Pénétro.",
IF(OR($E196=3,$E196=1,$E196=4),DT196,DS196))),IF($D196="Pressio.",
IF($E196=3,DT196,DS196),
IF($D196="Pénétro.",
IF($E196=4,DT196,DS196))))</f>
        <v>#N/A</v>
      </c>
      <c r="DV196" s="31" t="e">
        <f>(IF(OR(Hypothèses!$B$4=17,Hypothèses!$B$4=18,Hypothèses!$B$4=19,Hypothèses!$B$4=20),
IF($D196="Pressio.",
IF(OR($E196=3,$E196=1,$E196=4),(PI()*DV$12^2)/4*(DR196*$W196*1000)/($H196*$B$5),(PI()*DV$12^2)/4*(DR196*$W196*1000)/($G196*$B$5)),
IF($D196="Pénétro.",
IF(OR($E196=4,$E196=1,$E196=5),(PI()*DV$12^2)/4*(DR196*$W196*1000)/($H196*$B$5),(PI()*DV$12^2)/4*(DR196*$W196*1000)/($G196*$B$5)))),
IF($D196="Pressio.",
IF($E196=3,(PI()*DV$12^2)/4*(DR196*$W196*1000)/($H196*$B$5),(PI()*DV$12^2)/4*(DR196*$W196*1000)/($G196*$B$5)),
IF($D196="Pénétro.",
IF($E196=4,(PI()*DV$12^2)/4*(DR196*$W196*1000)/($H196*$B$5),(PI()*DV$12^2)/4*(DR196*$W196*1000)/($G196*$B$5))))))/10</f>
        <v>#N/A</v>
      </c>
      <c r="DW196" s="102" t="e">
        <f>(VLOOKUP($B$3,'Coeff EC7'!$T$39:$X$59,2,0)*DU196+VLOOKUP($B$3,'Coeff EC7'!$T$65:$X$85,2,0)*Model0.1C!DV196)/1.1</f>
        <v>#N/A</v>
      </c>
      <c r="DX196" s="102" t="e">
        <f>(VLOOKUP($B$3,'Coeff EC7'!$T$39:$X$59,3,0)*DU196+VLOOKUP($B$3,'Coeff EC7'!$T$65:$X$85,3,0)*Model0.1C!DV196)/0.9</f>
        <v>#N/A</v>
      </c>
      <c r="DY196" s="102" t="e">
        <f t="shared" si="290"/>
        <v>#N/A</v>
      </c>
      <c r="DZ196" s="102" t="e">
        <f t="shared" si="291"/>
        <v>#N/A</v>
      </c>
      <c r="EA196" s="414" t="e">
        <f>IF(EA195=0,0,IF(AND(DW196&gt;charge_ELS_quasi,DX196&gt;Charge_ELS_freq,DY196&gt;charge_ELU,DZ196&gt;charge_ELA,$B196&gt;NDC!$H$22-0.1+MIN(3*$EA$12,1.5)),0,1))</f>
        <v>#N/A</v>
      </c>
      <c r="EB196" s="86" t="b">
        <f t="shared" si="259"/>
        <v>0</v>
      </c>
      <c r="EC196" s="418">
        <f t="shared" si="260"/>
        <v>0.51</v>
      </c>
      <c r="ED196" s="86">
        <f t="shared" si="261"/>
        <v>0.51</v>
      </c>
      <c r="EE196" s="30" t="e">
        <f t="shared" ca="1" si="292"/>
        <v>#DIV/0!</v>
      </c>
      <c r="EF196" s="85" t="e">
        <f ca="1">IF(DL196&lt;=Hypothèses!$V$7,Hypothèses!$W$7,IF(DL196&lt;=Hypothèses!$V$8,Hypothèses!$W$8,IF(DL196&lt;=Hypothèses!$V$9,Hypothèses!$W$9,IF(DL196&lt;=Hypothèses!$V$10,Hypothèses!$W$10,IF(DL196&lt;=Hypothèses!$V$11,Hypothèses!$W$11,IF(DL196&lt;=Hypothèses!$V$12,Hypothèses!$W$12,IF(DL196&lt;=Hypothèses!$V$13,Hypothèses!$W$13,IF(DL196&lt;=Hypothèses!$V$14,Hypothèses!$W$14,IF(DL196&lt;=Hypothèses!$V$15,Hypothèses!$W$15,IF(DL196&lt;=Hypothèses!$V$16,Hypothèses!$W$16,IF(DL196&lt;=Hypothèses!$V$17,Hypothèses!$W$17,IF(DL196&lt;=Hypothèses!$V$18,Hypothèses!$W$18,""))))))))))))</f>
        <v>#DIV/0!</v>
      </c>
      <c r="EG196" s="87" t="e">
        <f t="shared" ca="1" si="322"/>
        <v>#DIV/0!</v>
      </c>
      <c r="EH196" s="88" t="e">
        <f ca="1">IF(DL196&lt;=Hypothèses!$V$7,Hypothèses!$X$7,IF(DL196&lt;=Hypothèses!$V$8,Hypothèses!$X$8,IF(DL196&lt;=Hypothèses!$V$9,Hypothèses!$X$9,IF(DL196&lt;=Hypothèses!$V$10,Hypothèses!$X$10,IF(DL196&lt;=Hypothèses!$V$11,Hypothèses!$X$11,IF(DL196&lt;=Hypothèses!$V$12,Hypothèses!$X$12,IF(DL196&lt;=Hypothèses!$V$13,Hypothèses!$X$13,IF(DL196&lt;=Hypothèses!$V$14,Hypothèses!$X$14,IF(DL196&lt;=Hypothèses!$V$15,Hypothèses!$X$15,IF(DL196&lt;=Hypothèses!$V$16,Hypothèses!$X$16,IF(DL196&lt;=Hypothèses!$U$17,Hypothèses!$W$17,IF(DL196&lt;=Hypothèses!$U$18,Hypothèses!$W$18,""))))))))))))</f>
        <v>#DIV/0!</v>
      </c>
      <c r="EI196" s="95" t="e">
        <f t="shared" ca="1" si="293"/>
        <v>#DIV/0!</v>
      </c>
      <c r="EJ196" s="101" t="e">
        <f t="shared" si="329"/>
        <v>#N/A</v>
      </c>
      <c r="EK196" s="91" t="e">
        <f t="shared" si="262"/>
        <v>#N/A</v>
      </c>
      <c r="EL196" s="30" t="e">
        <f t="shared" si="312"/>
        <v>#N/A</v>
      </c>
      <c r="EM196" s="30" t="e">
        <f t="shared" si="313"/>
        <v>#N/A</v>
      </c>
      <c r="EN196" s="31" t="e">
        <f>IF(OR(Hypothèses!$B$4=17,Hypothèses!$B$4=18,Hypothèses!$B$4=19,Hypothèses!$B$4=20),
IF($D196="Pressio.",
IF(OR($E196=3,$E196=1,$E196=4),EM196,EL196),
IF($D196="Pénétro.",
IF(OR($E196=3,$E196=1,$E196=4),EM196,EL196))),IF($D196="Pressio.",
IF($E196=3,EM196,EL196),
IF($D196="Pénétro.",
IF($E196=4,EM196,EL196))))</f>
        <v>#N/A</v>
      </c>
      <c r="EO196" s="31" t="e">
        <f>(IF(OR(Hypothèses!$B$4=17,Hypothèses!$B$4=18,Hypothèses!$B$4=19,Hypothèses!$B$4=20),
IF($D196="Pressio.",
IF(OR($E196=3,$E196=1,$E196=4),(PI()*EO$12^2)/4*(EK196*$W196*1000)/($H196*$B$5),(PI()*EO$12^2)/4*(EK196*$W196*1000)/($G196*$B$5)),
IF($D196="Pénétro.",
IF(OR($E196=4,$E196=1,$E196=5),(PI()*EO$12^2)/4*(EK196*$W196*1000)/($H196*$B$5),(PI()*EO$12^2)/4*(EK196*$W196*1000)/($G196*$B$5)))),
IF($D196="Pressio.",
IF($E196=3,(PI()*EO$12^2)/4*(EK196*$W196*1000)/($H196*$B$5),(PI()*EO$12^2)/4*(EK196*$W196*1000)/($G196*$B$5)),
IF($D196="Pénétro.",
IF($E196=4,(PI()*EO$12^2)/4*(EK196*$W196*1000)/($H196*$B$5),(PI()*EO$12^2)/4*(EK196*$W196*1000)/($G196*$B$5))))))/10</f>
        <v>#N/A</v>
      </c>
      <c r="EP196" s="102" t="e">
        <f>(VLOOKUP($B$3,'Coeff EC7'!$T$39:$X$59,2,0)*EN196+VLOOKUP($B$3,'Coeff EC7'!$T$65:$X$85,2,0)*Model0.1C!EO196)/1.1</f>
        <v>#N/A</v>
      </c>
      <c r="EQ196" s="102" t="e">
        <f>(VLOOKUP($B$3,'Coeff EC7'!$T$39:$X$59,3,0)*EN196+VLOOKUP($B$3,'Coeff EC7'!$T$65:$X$85,3,0)*Model0.1C!EO196)/0.9</f>
        <v>#N/A</v>
      </c>
      <c r="ER196" s="102" t="e">
        <f t="shared" si="294"/>
        <v>#N/A</v>
      </c>
      <c r="ES196" s="102" t="e">
        <f t="shared" si="295"/>
        <v>#N/A</v>
      </c>
      <c r="ET196" s="414" t="e">
        <f>IF(ET195=0,0,IF(AND(EP196&gt;charge_ELS_quasi,EQ196&gt;Charge_ELS_freq,ER196&gt;charge_ELU,ES196&gt;charge_ELA,$B196&gt;NDC!$H$22-0.1+MIN(3*$ET$12,1.5)),0,1))</f>
        <v>#N/A</v>
      </c>
      <c r="EU196" s="86" t="b">
        <f t="shared" si="263"/>
        <v>0</v>
      </c>
      <c r="EV196" s="86">
        <f t="shared" si="264"/>
        <v>0.61</v>
      </c>
      <c r="EW196" s="86">
        <f t="shared" si="265"/>
        <v>0.61</v>
      </c>
      <c r="EX196" s="30" t="e">
        <f t="shared" ca="1" si="296"/>
        <v>#DIV/0!</v>
      </c>
      <c r="EY196" s="85" t="e">
        <f ca="1">IF(EE196&lt;=Hypothèses!$V$7,Hypothèses!$W$7,IF(EE196&lt;=Hypothèses!$V$8,Hypothèses!$W$8,IF(EE196&lt;=Hypothèses!$V$9,Hypothèses!$W$9,IF(EE196&lt;=Hypothèses!$V$10,Hypothèses!$W$10,IF(EE196&lt;=Hypothèses!$V$11,Hypothèses!$W$11,IF(EE196&lt;=Hypothèses!$V$12,Hypothèses!$W$12,IF(EE196&lt;=Hypothèses!$V$13,Hypothèses!$W$13,IF(EE196&lt;=Hypothèses!$V$14,Hypothèses!$W$14,IF(EE196&lt;=Hypothèses!$V$15,Hypothèses!$W$15,IF(EE196&lt;=Hypothèses!$V$16,Hypothèses!$W$16,IF(EE196&lt;=Hypothèses!$V$17,Hypothèses!$W$17,IF(EE196&lt;=Hypothèses!$V$18,Hypothèses!$W$18,""))))))))))))</f>
        <v>#DIV/0!</v>
      </c>
      <c r="EZ196" s="87" t="e">
        <f t="shared" ca="1" si="323"/>
        <v>#DIV/0!</v>
      </c>
      <c r="FA196" s="88" t="e">
        <f ca="1">IF(EE196&lt;=Hypothèses!$V$7,Hypothèses!$X$7,IF(EE196&lt;=Hypothèses!$V$8,Hypothèses!$X$8,IF(EE196&lt;=Hypothèses!$V$9,Hypothèses!$X$9,IF(EE196&lt;=Hypothèses!$V$10,Hypothèses!$X$10,IF(EE196&lt;=Hypothèses!$V$11,Hypothèses!$X$11,IF(EE196&lt;=Hypothèses!$V$12,Hypothèses!$X$12,IF(EE196&lt;=Hypothèses!$V$13,Hypothèses!$X$13,IF(EE196&lt;=Hypothèses!$V$14,Hypothèses!$X$14,IF(EE196&lt;=Hypothèses!$V$15,Hypothèses!$X$15,IF(EE196&lt;=Hypothèses!$V$16,Hypothèses!$X$16,IF(EE196&lt;=Hypothèses!$U$17,Hypothèses!$W$17,IF(EE196&lt;=Hypothèses!$U$18,Hypothèses!$W$18,""))))))))))))</f>
        <v>#DIV/0!</v>
      </c>
      <c r="FB196" s="95" t="e">
        <f t="shared" ca="1" si="297"/>
        <v>#DIV/0!</v>
      </c>
      <c r="FC196" s="101" t="e">
        <f t="shared" si="330"/>
        <v>#N/A</v>
      </c>
      <c r="FD196" s="91" t="e">
        <f t="shared" si="266"/>
        <v>#N/A</v>
      </c>
      <c r="FE196" s="30" t="e">
        <f t="shared" si="314"/>
        <v>#N/A</v>
      </c>
      <c r="FF196" s="30" t="e">
        <f t="shared" si="315"/>
        <v>#N/A</v>
      </c>
      <c r="FG196" s="31" t="e">
        <f>IF(OR(Hypothèses!$B$4=17,Hypothèses!$B$4=18,Hypothèses!$B$4=19,Hypothèses!$B$4=20),
IF($D196="Pressio.",
IF(OR($E196=3,$E196=1,$E196=4),FF196,FE196),
IF($D196="Pénétro.",
IF(OR($E196=3,$E196=1,$E196=4),FF196,FE196))),IF($D196="Pressio.",
IF($E196=3,FF196,FE196),
IF($D196="Pénétro.",
IF($E196=4,FF196,FE196))))</f>
        <v>#N/A</v>
      </c>
      <c r="FH196" s="31" t="e">
        <f>(IF(OR(Hypothèses!$B$4=17,Hypothèses!$B$4=18,Hypothèses!$B$4=19,Hypothèses!$B$4=20),
IF($D196="Pressio.",
IF(OR($E196=3,$E196=1,$E196=4),(PI()*FH$12^2)/4*(FD196*$W196*1000)/($H196*$B$5),(PI()*FH$12^2)/4*(FD196*$W196*1000)/($G196*$B$5)),
IF($D196="Pénétro.",
IF(OR($E196=4,$E196=1,$E196=5),(PI()*FH$12^2)/4*(FD196*$W196*1000)/($H196*$B$5),(PI()*FH$12^2)/4*(FD196*$W196*1000)/($G196*$B$5)))),
IF($D196="Pressio.",
IF($E196=3,(PI()*FH$12^2)/4*(FD196*$W196*1000)/($H196*$B$5),(PI()*FH$12^2)/4*(FD196*$W196*1000)/($G196*$B$5)),
IF($D196="Pénétro.",
IF($E196=4,(PI()*FH$12^2)/4*(FD196*$W196*1000)/($H196*$B$5),(PI()*FH$12^2)/4*(FD196*$W196*1000)/($G196*$B$5))))))/10</f>
        <v>#N/A</v>
      </c>
      <c r="FI196" s="102" t="e">
        <f>(VLOOKUP($B$3,'Coeff EC7'!$T$39:$X$59,2,0)*FG196+VLOOKUP($B$3,'Coeff EC7'!$T$65:$X$85,2,0)*Model0.1C!FH196)/1.1</f>
        <v>#N/A</v>
      </c>
      <c r="FJ196" s="102" t="e">
        <f>(VLOOKUP($B$3,'Coeff EC7'!$T$39:$X$59,3,0)*FG196+VLOOKUP($B$3,'Coeff EC7'!$T$65:$X$85,3,0)*Model0.1C!FH196)/0.9</f>
        <v>#N/A</v>
      </c>
      <c r="FK196" s="102" t="e">
        <f t="shared" si="298"/>
        <v>#N/A</v>
      </c>
      <c r="FL196" s="102" t="e">
        <f t="shared" si="299"/>
        <v>#N/A</v>
      </c>
      <c r="FM196" s="414" t="e">
        <f>IF(FM195=0,0,IF(AND(FI196&gt;charge_ELS_quasi,FJ196&gt;Charge_ELS_freq,FK196&gt;charge_ELU,FL196&gt;charge_ELA,$B196&gt;NDC!$H$22-0.1+MIN(3*$FM$12,1.5)),0,1))</f>
        <v>#N/A</v>
      </c>
    </row>
    <row r="197" spans="1:169">
      <c r="A197" s="96">
        <f t="shared" si="267"/>
        <v>81.600000000001046</v>
      </c>
      <c r="B197" s="97">
        <v>18.399999999999999</v>
      </c>
      <c r="C197" s="81">
        <f>IF(B197&lt;=Hypothèses!$C$7,Hypothèses!$A$7,IF(B197&lt;=Hypothèses!$C$8,Hypothèses!$A$8,IF(B197&lt;=Hypothèses!$C$9,Hypothèses!$A$9,IF(B197&lt;=Hypothèses!$C$10,Hypothèses!$A$10,IF(B197&lt;=Hypothèses!$C$11,Hypothèses!$A$11,IF(B197&lt;=Hypothèses!$C$12,Hypothèses!$A$12,IF(B197&lt;=Hypothèses!$C$13,Hypothèses!$A$13,IF(B197&lt;=Hypothèses!$C$14,Hypothèses!$A$14,IF(B197&lt;=Hypothèses!$C$15,Hypothèses!$A$15,IF(B197&lt;=Hypothèses!$C$16,Hypothèses!$A$16,IF(B197&lt;=Hypothèses!$C$17,Hypothèses!$A$17,IF(B197&lt;=Hypothèses!$C$18,Hypothèses!$A$18,C196))))))))))))</f>
        <v>11</v>
      </c>
      <c r="D197" s="82" t="str">
        <f>IF(B197&lt;=Hypothèses!$C$7,Hypothèses!$R$7,IF(B197&lt;=Hypothèses!$C$8,Hypothèses!$R$8,IF(B197&lt;=Hypothèses!$C$9,Hypothèses!$R$9,IF(B197&lt;=Hypothèses!$C$10,Hypothèses!$R$10,IF(B197&lt;=Hypothèses!$C$11,Hypothèses!$R$11,IF(B197&lt;=Hypothèses!$C$12,Hypothèses!$R$12,IF(B197&lt;=Hypothèses!$C$13,Hypothèses!$R$13,IF(B197&lt;=Hypothèses!$C$14,Hypothèses!$R$14,IF(B197&lt;=Hypothèses!$C$15,Hypothèses!$R$15,IF(B197&lt;=Hypothèses!$C$16,Hypothèses!$R$16,IF(B197&lt;=Hypothèses!$C$17,Hypothèses!$R$17,IF(B197&lt;=Hypothèses!$C$18,Hypothèses!$R$18,D196))))))))))))</f>
        <v>Pressio.</v>
      </c>
      <c r="E197" s="82" t="e">
        <f>IF(B197&lt;=Hypothèses!$C$7,Hypothèses!$G$7,IF(B197&lt;=Hypothèses!$C$8,Hypothèses!$G$8,IF(B197&lt;=Hypothèses!$C$9,Hypothèses!$G$9,IF(B197&lt;=Hypothèses!$C$10,Hypothèses!$G$10,IF(B197&lt;=Hypothèses!$C$11,Hypothèses!$G$11,IF(B197&lt;=Hypothèses!$C$12,Hypothèses!$G$12,IF(B197&lt;=Hypothèses!$C$13,Hypothèses!$G$13,IF(B197&lt;=Hypothèses!$C$14,Hypothèses!$G$14,IF(B197&lt;=Hypothèses!$C$15,Hypothèses!$G$15,IF(B197&lt;=Hypothèses!$C$16,Hypothèses!$G$16,IF(B197&lt;=Hypothèses!$C$17,Hypothèses!$G$17,IF(B197&lt;=Hypothèses!$C$18,Hypothèses!$G$18,E196))))))))))))</f>
        <v>#N/A</v>
      </c>
      <c r="F197" s="82" t="str">
        <f>IF(B197&lt;=Hypothèses!$C$7,Hypothèses!$F$7,IF(B197&lt;=Hypothèses!$C$8,Hypothèses!$F$8,IF(B197&lt;=Hypothèses!$C$9,Hypothèses!$F$9,IF(B197&lt;=Hypothèses!$C$10,Hypothèses!$F$10,IF(B197&lt;=Hypothèses!$C$11,Hypothèses!$F$11,IF(B197&lt;=Hypothèses!$C$12,Hypothèses!$F$12,IF(B197&lt;=Hypothèses!$C$13,Hypothèses!$F$13,IF(B197&lt;=Hypothèses!$C$14,Hypothèses!$F$14,IF(B197&lt;=Hypothèses!$C$15,Hypothèses!$F$15,IF(B197&lt;=Hypothèses!$C$16,Hypothèses!$F$16,IF(B197&lt;=Hypothèses!$C$17,Hypothèses!$F$17,IF(B197&lt;=Hypothèses!$C$18,Hypothèses!$F$18,F196))))))))))))</f>
        <v/>
      </c>
      <c r="G197" s="91">
        <f t="array" ref="G197">INDEX('Coeff EC7'!$U$7:$X$27,
MATCH(Model0.1C!$B$3,'Coeff EC7'!$T$7:$T$27,0),
MATCH(Model0.1C!$D197&amp;Model0.1C!$B$4,
'Coeff EC7'!$U$6:$X$6&amp;
'Coeff EC7'!$U$5:$X$5,0))</f>
        <v>1.1499999999999999</v>
      </c>
      <c r="H197" s="91">
        <f t="array" ref="H197">INDEX('Coeff EC7'!$Y$7:$AB$27,
MATCH(Model0.1C!$B$3,'Coeff EC7'!$T$7:$T$27,0),
MATCH(Model0.1C!$D197&amp;Model0.1C!$B$4,
'Coeff EC7'!$Y$6:$AB$6&amp;
'Coeff EC7'!$Y$5:$AB$5,0))</f>
        <v>1.4</v>
      </c>
      <c r="I197" s="83" t="e">
        <f>IF(B197&lt;=Hypothèses!$C$7,Hypothèses!$P$7,IF(B197&lt;=Hypothèses!$C$8,Hypothèses!$P$8,IF(B197&lt;=Hypothèses!$C$9,Hypothèses!$P$9,IF(B197&lt;=Hypothèses!$C$10,Hypothèses!$P$10,IF(B197&lt;=Hypothèses!$C$11,Hypothèses!$P$11,IF(B197&lt;=Hypothèses!$C$12,Hypothèses!$P$12,IF(B197&lt;=Hypothèses!$C$13,Hypothèses!$P$13,IF(B197&lt;=Hypothèses!$C$14,Hypothèses!$P$14,IF(B197&lt;=Hypothèses!$C$15,Hypothèses!$P$15,IF(B197&lt;=Hypothèses!$C$16,Hypothèses!$P$16,IF(B197&lt;=Hypothèses!$C$17,Hypothèses!$P$17,IF(B197&lt;=Hypothèses!$C$18,Hypothèses!$P$18,I196))))))))))))</f>
        <v>#N/A</v>
      </c>
      <c r="J197" s="91" t="e">
        <f t="array" ref="J197">INDEX('Coeff EC7'!$D$33:$Q$33,1,MATCH(D197&amp;E197,'Coeff EC7'!$D$31:$Q$31&amp;'Coeff EC7'!$D$32:$Q$32,0))</f>
        <v>#N/A</v>
      </c>
      <c r="K197" s="91" t="e">
        <f t="array" ref="K197">INDEX('Coeff EC7'!$D$34:$Q$34,1,MATCH(D197&amp;E197,'Coeff EC7'!$D$31:$Q$31&amp;'Coeff EC7'!$D$32:$Q$32,0))</f>
        <v>#N/A</v>
      </c>
      <c r="L197" s="91" t="e">
        <f t="array" ref="L197">INDEX('Coeff EC7'!$D$35:$Q$35,1,MATCH(D197&amp;E197,'Coeff EC7'!$D$31:$Q$31&amp;'Coeff EC7'!$D$32:$Q$32,0))</f>
        <v>#N/A</v>
      </c>
      <c r="M197" s="98" t="e">
        <f t="shared" si="231"/>
        <v>#N/A</v>
      </c>
      <c r="N197" s="99" t="e">
        <f t="array" ref="N197">INDEX('Coeff EC7'!$D$7:$Q$27,MATCH($B$3,'Coeff EC7'!$C$7:$C$27,0),MATCH(D197&amp;E197,'Coeff EC7'!$D$5:$Q$5&amp;'Coeff EC7'!$D$6:$Q$6,0))</f>
        <v>#N/A</v>
      </c>
      <c r="O197" s="99" t="e">
        <f t="array" ref="O197">INDEX('Coeff EC7'!$D$41:$Q$61,MATCH($B$3,'Coeff EC7'!$C$41:$C$61,0),MATCH(D197&amp;E197,'Coeff EC7'!$D$39:$Q$39&amp;'Coeff EC7'!$D$40:$Q$40,0))</f>
        <v>#N/A</v>
      </c>
      <c r="P197" s="30" t="e">
        <f t="shared" si="268"/>
        <v>#N/A</v>
      </c>
      <c r="Q197" s="100" t="e">
        <f t="shared" si="233"/>
        <v>#N/A</v>
      </c>
      <c r="R197" s="86" t="b">
        <f t="shared" si="234"/>
        <v>0</v>
      </c>
      <c r="S197" s="86">
        <f t="shared" si="232"/>
        <v>0.5</v>
      </c>
      <c r="T197" s="86">
        <f t="shared" si="235"/>
        <v>0.5</v>
      </c>
      <c r="U197" s="30" t="e">
        <f t="shared" ca="1" si="269"/>
        <v>#DIV/0!</v>
      </c>
      <c r="V197" s="85" t="str">
        <f>IF(B197&lt;=Hypothèses!$V$7,Hypothèses!$W$7,IF(B197&lt;=Hypothèses!$V$8,Hypothèses!$W$8,IF(B197&lt;=Hypothèses!$V$9,Hypothèses!$W$9,IF(B197&lt;=Hypothèses!$V$10,Hypothèses!$W$10,IF(B197&lt;=Hypothèses!$V$11,Hypothèses!$W$11,IF(B197&lt;=Hypothèses!$V$12,Hypothèses!$W$12,IF(B197&lt;=Hypothèses!$V$13,Hypothèses!$W$13,IF(B197&lt;=Hypothèses!$V$14,Hypothèses!$W$14,IF(B197&lt;=Hypothèses!$V$15,Hypothèses!$W$15,IF(B197&lt;=Hypothèses!$V$16,Hypothèses!$W$16,IF(B197&lt;=Hypothèses!$V$17,Hypothèses!$W$17,IF(B197&lt;=Hypothèses!$V$18,Hypothèses!$W$18,""))))))))))))</f>
        <v/>
      </c>
      <c r="W197" s="87" t="e">
        <f t="shared" ca="1" si="316"/>
        <v>#DIV/0!</v>
      </c>
      <c r="X197" s="88" t="str">
        <f>IF(B197&lt;=Hypothèses!$V$7,Hypothèses!$X$7,IF(B197&lt;=Hypothèses!$V$8,Hypothèses!$X$8,IF(B197&lt;=Hypothèses!$V$9,Hypothèses!$X$9,IF(B197&lt;=Hypothèses!$V$10,Hypothèses!$X$10,IF(B197&lt;=Hypothèses!$V$11,Hypothèses!$X$11,IF(B197&lt;=Hypothèses!$V$12,Hypothèses!$X$12,IF(B197&lt;=Hypothèses!$V$13,Hypothèses!$X$13,IF(B197&lt;=Hypothèses!$V$14,Hypothèses!$X$14,IF(B197&lt;=Hypothèses!$V$15,Hypothèses!$X$15,IF(B197&lt;=Hypothèses!$V$16,Hypothèses!$X$16,IF(B197&lt;=Hypothèses!$U$17,Hypothèses!$W$17,IF(B197&lt;=Hypothèses!$U$18,Hypothèses!$W$18,""))))))))))))</f>
        <v/>
      </c>
      <c r="Y197" s="95" t="e">
        <f t="shared" ca="1" si="236"/>
        <v>#DIV/0!</v>
      </c>
      <c r="Z197" s="101" t="e">
        <f t="shared" si="237"/>
        <v>#N/A</v>
      </c>
      <c r="AA197" s="91" t="e">
        <f t="shared" si="238"/>
        <v>#N/A</v>
      </c>
      <c r="AB197" s="30" t="e">
        <f t="shared" si="300"/>
        <v>#N/A</v>
      </c>
      <c r="AC197" s="30" t="e">
        <f t="shared" si="301"/>
        <v>#N/A</v>
      </c>
      <c r="AD197" s="31" t="e">
        <f>IF(OR(Hypothèses!$B$4=17,Hypothèses!$B$4=18,Hypothèses!$B$4=19,Hypothèses!$B$4=20),
IF($D197="Pressio.",
IF(OR($E197=3,$E197=1,$E197=4),AC197,AB197),
IF($D197="Pénétro.",
IF(OR($E197=3,$E197=1,$E197=4),AC197,AB197))),IF($D197="Pressio.",
IF($E197=3,AC197,AB197),
IF($D197="Pénétro.",
IF($E197=4,AC197,AB197))))</f>
        <v>#N/A</v>
      </c>
      <c r="AE197" s="31" t="e">
        <f>(IF(OR(Hypothèses!$B$4=17,Hypothèses!$B$4=18,Hypothèses!$B$4=19,Hypothèses!$B$4=20),
IF($D197="Pressio.",
IF(OR($E197=3,$E197=1,$E197=4),(PI()*AE$12^2)/4*(AA197*$W197*1000)/($H197*$B$5),(PI()*AE$12^2)/4*(AA197*$W197*1000)/($G197*$B$5)),
IF($D197="Pénétro.",
IF(OR($E197=4,$E197=1,$E197=5),(PI()*AE$12^2)/4*(AA197*$W197*1000)/($H197*$B$5),(PI()*AE$12^2)/4*(AA197*$W197*1000)/($G197*$B$5)))),
IF($D197="Pressio.",
IF($E197=3,(PI()*AE$12^2)/4*(AA197*$W197*1000)/($H197*$B$5),(PI()*AE$12^2)/4*(AA197*$W197*1000)/($G197*$B$5)),
IF($D197="Pénétro.",
IF($E197=4,(PI()*AE$12^2)/4*(AA197*$W197*1000)/($H197*$B$5),(PI()*AE$12^2)/4*(AA197*$W197*1000)/($G197*$B$5))))))/10</f>
        <v>#N/A</v>
      </c>
      <c r="AF197" s="102" t="e">
        <f>(VLOOKUP($B$3,'Coeff EC7'!$T$39:$X$59,2,0)*AD197+VLOOKUP($B$3,'Coeff EC7'!$T$65:$X$85,2,0)*Model0.1C!AE197)/1.1</f>
        <v>#N/A</v>
      </c>
      <c r="AG197" s="102" t="e">
        <f>(VLOOKUP($B$3,'Coeff EC7'!$T$39:$X$59,3,0)*AD197+VLOOKUP($B$3,'Coeff EC7'!$T$65:$X$85,3,0)*Model0.1C!AE197)/0.9</f>
        <v>#N/A</v>
      </c>
      <c r="AH197" s="102" t="e">
        <f t="shared" si="239"/>
        <v>#N/A</v>
      </c>
      <c r="AI197" s="102" t="e">
        <f t="shared" si="240"/>
        <v>#N/A</v>
      </c>
      <c r="AJ197" s="414" t="e">
        <f>IF(AJ196=0,0,IF(AND(AF197&gt;charge_ELS_quasi,AG197&gt;Charge_ELS_freq,AH197&gt;charge_ELU,AI197&gt;charge_ELA,$B197&gt;NDC!$H$22-0.1+MIN(3*$AJ$12,1.5)),0,1))</f>
        <v>#N/A</v>
      </c>
      <c r="AK197" s="86" t="b">
        <f t="shared" si="241"/>
        <v>0</v>
      </c>
      <c r="AL197" s="86">
        <f t="shared" si="270"/>
        <v>0.5</v>
      </c>
      <c r="AM197" s="86">
        <f t="shared" si="242"/>
        <v>0.5</v>
      </c>
      <c r="AN197" s="30" t="e">
        <f t="shared" ca="1" si="271"/>
        <v>#DIV/0!</v>
      </c>
      <c r="AO197" s="85" t="e">
        <f ca="1">IF(U197&lt;=Hypothèses!$V$7,Hypothèses!$W$7,IF(U197&lt;=Hypothèses!$V$8,Hypothèses!$W$8,IF(U197&lt;=Hypothèses!$V$9,Hypothèses!$W$9,IF(U197&lt;=Hypothèses!$V$10,Hypothèses!$W$10,IF(U197&lt;=Hypothèses!$V$11,Hypothèses!$W$11,IF(U197&lt;=Hypothèses!$V$12,Hypothèses!$W$12,IF(U197&lt;=Hypothèses!$V$13,Hypothèses!$W$13,IF(U197&lt;=Hypothèses!$V$14,Hypothèses!$W$14,IF(U197&lt;=Hypothèses!$V$15,Hypothèses!$W$15,IF(U197&lt;=Hypothèses!$V$16,Hypothèses!$W$16,IF(U197&lt;=Hypothèses!$V$17,Hypothèses!$W$17,IF(U197&lt;=Hypothèses!$V$18,Hypothèses!$W$18,""))))))))))))</f>
        <v>#DIV/0!</v>
      </c>
      <c r="AP197" s="87" t="e">
        <f t="shared" ca="1" si="317"/>
        <v>#DIV/0!</v>
      </c>
      <c r="AQ197" s="88" t="e">
        <f ca="1">IF(U197&lt;=Hypothèses!$V$7,Hypothèses!$X$7,IF(U197&lt;=Hypothèses!$V$8,Hypothèses!$X$8,IF(U197&lt;=Hypothèses!$V$9,Hypothèses!$X$9,IF(U197&lt;=Hypothèses!$V$10,Hypothèses!$X$10,IF(U197&lt;=Hypothèses!$V$11,Hypothèses!$X$11,IF(U197&lt;=Hypothèses!$V$12,Hypothèses!$X$12,IF(U197&lt;=Hypothèses!$V$13,Hypothèses!$X$13,IF(U197&lt;=Hypothèses!$V$14,Hypothèses!$X$14,IF(U197&lt;=Hypothèses!$V$15,Hypothèses!$X$15,IF(U197&lt;=Hypothèses!$V$16,Hypothèses!$X$16,IF(U197&lt;=Hypothèses!$U$17,Hypothèses!$W$17,IF(U197&lt;=Hypothèses!$U$18,Hypothèses!$W$18,""))))))))))))</f>
        <v>#DIV/0!</v>
      </c>
      <c r="AR197" s="95" t="e">
        <f t="shared" ca="1" si="272"/>
        <v>#DIV/0!</v>
      </c>
      <c r="AS197" s="101" t="e">
        <f t="shared" si="324"/>
        <v>#N/A</v>
      </c>
      <c r="AT197" s="91" t="e">
        <f t="shared" si="243"/>
        <v>#N/A</v>
      </c>
      <c r="AU197" s="30" t="e">
        <f t="shared" si="302"/>
        <v>#N/A</v>
      </c>
      <c r="AV197" s="30" t="e">
        <f t="shared" si="303"/>
        <v>#N/A</v>
      </c>
      <c r="AW197" s="31" t="e">
        <f>IF(OR(Hypothèses!$B$4=17,Hypothèses!$B$4=18,Hypothèses!$B$4=19,Hypothèses!$B$4=20),
IF($D197="Pressio.",
IF(OR($E197=3,$E197=1,$E197=4),AV197,AU197),
IF($D197="Pénétro.",
IF(OR($E197=3,$E197=1,$E197=4),AV197,AU197))),IF($D197="Pressio.",
IF($E197=3,AV197,AU197),
IF($D197="Pénétro.",
IF($E197=4,AV197,AU197))))</f>
        <v>#N/A</v>
      </c>
      <c r="AX197" s="31" t="e">
        <f>(IF(OR(Hypothèses!$B$4=17,Hypothèses!$B$4=18,Hypothèses!$B$4=19,Hypothèses!$B$4=20),
IF($D197="Pressio.",
IF(OR($E197=3,$E197=1,$E197=4),(PI()*AX$12^2)/4*(AT197*$W197*1000)/($H197*$B$5),(PI()*AX$12^2)/4*(AT197*$W197*1000)/($G197*$B$5)),
IF($D197="Pénétro.",
IF(OR($E197=4,$E197=1,$E197=5),(PI()*AX$12^2)/4*(AT197*$W197*1000)/($H197*$B$5),(PI()*AX$12^2)/4*(AT197*$W197*1000)/($G197*$B$5)))),
IF($D197="Pressio.",
IF($E197=3,(PI()*AX$12^2)/4*(AT197*$W197*1000)/($H197*$B$5),(PI()*AX$12^2)/4*(AT197*$W197*1000)/($G197*$B$5)),
IF($D197="Pénétro.",
IF($E197=4,(PI()*AX$12^2)/4*(AT197*$W197*1000)/($H197*$B$5),(PI()*AX$12^2)/4*(AT197*$W197*1000)/($G197*$B$5))))))/10</f>
        <v>#N/A</v>
      </c>
      <c r="AY197" s="102" t="e">
        <f>(VLOOKUP($B$3,'Coeff EC7'!$T$39:$X$59,2,0)*AW197+VLOOKUP($B$3,'Coeff EC7'!$T$65:$X$85,2,0)*Model0.1C!AX197)/1.1</f>
        <v>#N/A</v>
      </c>
      <c r="AZ197" s="102" t="e">
        <f>(VLOOKUP($B$3,'Coeff EC7'!$T$39:$X$59,3,0)*AW197+VLOOKUP($B$3,'Coeff EC7'!$T$65:$X$85,3,0)*Model0.1C!AX197)/0.9</f>
        <v>#N/A</v>
      </c>
      <c r="BA197" s="102" t="e">
        <f t="shared" si="273"/>
        <v>#N/A</v>
      </c>
      <c r="BB197" s="102" t="e">
        <f t="shared" si="274"/>
        <v>#N/A</v>
      </c>
      <c r="BC197" s="414" t="e">
        <f>IF(BC196=0,0,IF(AND(AY197&gt;charge_ELS_quasi,AZ197&gt;Charge_ELS_freq,BA197&gt;charge_ELU,BB197&gt;charge_ELA,$B197&gt;NDC!$H$22-0.1+MIN(3*$BC$12,1.5)),0,1))</f>
        <v>#N/A</v>
      </c>
      <c r="BD197" s="86" t="b">
        <f t="shared" si="244"/>
        <v>0</v>
      </c>
      <c r="BE197" s="86">
        <f t="shared" si="275"/>
        <v>0.5</v>
      </c>
      <c r="BF197" s="86">
        <f t="shared" si="245"/>
        <v>0.5</v>
      </c>
      <c r="BG197" s="30" t="e">
        <f t="shared" ca="1" si="276"/>
        <v>#DIV/0!</v>
      </c>
      <c r="BH197" s="85" t="e">
        <f ca="1">IF(AN197&lt;=Hypothèses!$V$7,Hypothèses!$W$7,IF(AN197&lt;=Hypothèses!$V$8,Hypothèses!$W$8,IF(AN197&lt;=Hypothèses!$V$9,Hypothèses!$W$9,IF(AN197&lt;=Hypothèses!$V$10,Hypothèses!$W$10,IF(AN197&lt;=Hypothèses!$V$11,Hypothèses!$W$11,IF(AN197&lt;=Hypothèses!$V$12,Hypothèses!$W$12,IF(AN197&lt;=Hypothèses!$V$13,Hypothèses!$W$13,IF(AN197&lt;=Hypothèses!$V$14,Hypothèses!$W$14,IF(AN197&lt;=Hypothèses!$V$15,Hypothèses!$W$15,IF(AN197&lt;=Hypothèses!$V$16,Hypothèses!$W$16,IF(AN197&lt;=Hypothèses!$V$17,Hypothèses!$W$17,IF(AN197&lt;=Hypothèses!$V$18,Hypothèses!$W$18,""))))))))))))</f>
        <v>#DIV/0!</v>
      </c>
      <c r="BI197" s="87" t="e">
        <f t="shared" ca="1" si="318"/>
        <v>#DIV/0!</v>
      </c>
      <c r="BJ197" s="88" t="e">
        <f ca="1">IF(AN197&lt;=Hypothèses!$V$7,Hypothèses!$X$7,IF(AN197&lt;=Hypothèses!$V$8,Hypothèses!$X$8,IF(AN197&lt;=Hypothèses!$V$9,Hypothèses!$X$9,IF(AN197&lt;=Hypothèses!$V$10,Hypothèses!$X$10,IF(AN197&lt;=Hypothèses!$V$11,Hypothèses!$X$11,IF(AN197&lt;=Hypothèses!$V$12,Hypothèses!$X$12,IF(AN197&lt;=Hypothèses!$V$13,Hypothèses!$X$13,IF(AN197&lt;=Hypothèses!$V$14,Hypothèses!$X$14,IF(AN197&lt;=Hypothèses!$V$15,Hypothèses!$X$15,IF(AN197&lt;=Hypothèses!$V$16,Hypothèses!$X$16,IF(AN197&lt;=Hypothèses!$U$17,Hypothèses!$W$17,IF(AN197&lt;=Hypothèses!$U$18,Hypothèses!$W$18,""))))))))))))</f>
        <v>#DIV/0!</v>
      </c>
      <c r="BK197" s="95" t="e">
        <f t="shared" ca="1" si="277"/>
        <v>#DIV/0!</v>
      </c>
      <c r="BL197" s="101" t="e">
        <f t="shared" si="325"/>
        <v>#N/A</v>
      </c>
      <c r="BM197" s="91" t="e">
        <f t="shared" si="246"/>
        <v>#N/A</v>
      </c>
      <c r="BN197" s="30" t="e">
        <f t="shared" si="304"/>
        <v>#N/A</v>
      </c>
      <c r="BO197" s="30" t="e">
        <f t="shared" si="305"/>
        <v>#N/A</v>
      </c>
      <c r="BP197" s="31" t="e">
        <f>IF(OR(Hypothèses!$B$4=17,Hypothèses!$B$4=18,Hypothèses!$B$4=19,Hypothèses!$B$4=20),
IF($D197="Pressio.",
IF(OR($E197=3,$E197=1,$E197=4),BO197,BN197),
IF($D197="Pénétro.",
IF(OR($E197=3,$E197=1,$E197=4),BO197,BN197))),IF($D197="Pressio.",
IF($E197=3,BO197,BN197),
IF($D197="Pénétro.",
IF($E197=4,BO197,BN197))))</f>
        <v>#N/A</v>
      </c>
      <c r="BQ197" s="31" t="e">
        <f>(IF(OR(Hypothèses!$B$4=17,Hypothèses!$B$4=18,Hypothèses!$B$4=19,Hypothèses!$B$4=20),
IF($D197="Pressio.",
IF(OR($E197=3,$E197=1,$E197=4),(PI()*BQ$12^2)/4*(BM197*$W197*1000)/($H197*$B$5),(PI()*BQ$12^2)/4*(BM197*$W197*1000)/($G197*$B$5)),
IF($D197="Pénétro.",
IF(OR($E197=4,$E197=1,$E197=5),(PI()*BQ$12^2)/4*(BM197*$W197*1000)/($H197*$B$5),(PI()*BQ$12^2)/4*(BM197*$W197*1000)/($G197*$B$5)))),
IF($D197="Pressio.",
IF($E197=3,(PI()*BQ$12^2)/4*(BM197*$W197*1000)/($H197*$B$5),(PI()*BQ$12^2)/4*(BM197*$W197*1000)/($G197*$B$5)),
IF($D197="Pénétro.",
IF($E197=4,(PI()*BQ$12^2)/4*(BM197*$W197*1000)/($H197*$B$5),(PI()*BQ$12^2)/4*(BM197*$W197*1000)/($G197*$B$5))))))/10</f>
        <v>#N/A</v>
      </c>
      <c r="BR197" s="102" t="e">
        <f>(VLOOKUP($B$3,'Coeff EC7'!$T$39:$X$59,2,0)*BP197+VLOOKUP($B$3,'Coeff EC7'!$T$65:$X$85,2,0)*Model0.1C!BQ197)/1.1</f>
        <v>#N/A</v>
      </c>
      <c r="BS197" s="102" t="e">
        <f>(VLOOKUP($B$3,'Coeff EC7'!$T$39:$X$59,3,0)*BP197+VLOOKUP($B$3,'Coeff EC7'!$T$65:$X$85,3,0)*Model0.1C!BQ197)/0.9</f>
        <v>#N/A</v>
      </c>
      <c r="BT197" s="102" t="e">
        <f t="shared" si="278"/>
        <v>#N/A</v>
      </c>
      <c r="BU197" s="102" t="e">
        <f t="shared" si="279"/>
        <v>#N/A</v>
      </c>
      <c r="BV197" s="414" t="e">
        <f>IF(BV196=0,0,IF(AND(BR197&gt;charge_ELS_quasi,BS197&gt;Charge_ELS_freq,BT197&gt;charge_ELU,BU197&gt;charge_ELA,$B197&gt;NDC!$H$22-0.1+MIN(3*$BV$12,1.5)),0,1))</f>
        <v>#N/A</v>
      </c>
      <c r="BW197" s="86" t="b">
        <f t="shared" si="247"/>
        <v>0</v>
      </c>
      <c r="BX197" s="86">
        <f t="shared" si="248"/>
        <v>0.5</v>
      </c>
      <c r="BY197" s="86">
        <f t="shared" si="249"/>
        <v>0.5</v>
      </c>
      <c r="BZ197" s="30" t="e">
        <f t="shared" ca="1" si="280"/>
        <v>#DIV/0!</v>
      </c>
      <c r="CA197" s="85" t="e">
        <f ca="1">IF(BG197&lt;=Hypothèses!$V$7,Hypothèses!$W$7,IF(BG197&lt;=Hypothèses!$V$8,Hypothèses!$W$8,IF(BG197&lt;=Hypothèses!$V$9,Hypothèses!$W$9,IF(BG197&lt;=Hypothèses!$V$10,Hypothèses!$W$10,IF(BG197&lt;=Hypothèses!$V$11,Hypothèses!$W$11,IF(BG197&lt;=Hypothèses!$V$12,Hypothèses!$W$12,IF(BG197&lt;=Hypothèses!$V$13,Hypothèses!$W$13,IF(BG197&lt;=Hypothèses!$V$14,Hypothèses!$W$14,IF(BG197&lt;=Hypothèses!$V$15,Hypothèses!$W$15,IF(BG197&lt;=Hypothèses!$V$16,Hypothèses!$W$16,IF(BG197&lt;=Hypothèses!$V$17,Hypothèses!$W$17,IF(BG197&lt;=Hypothèses!$V$18,Hypothèses!$W$18,""))))))))))))</f>
        <v>#DIV/0!</v>
      </c>
      <c r="CB197" s="87" t="e">
        <f t="shared" ca="1" si="319"/>
        <v>#DIV/0!</v>
      </c>
      <c r="CC197" s="88" t="e">
        <f ca="1">IF(BG197&lt;=Hypothèses!$V$7,Hypothèses!$X$7,IF(BG197&lt;=Hypothèses!$V$8,Hypothèses!$X$8,IF(BG197&lt;=Hypothèses!$V$9,Hypothèses!$X$9,IF(BG197&lt;=Hypothèses!$V$10,Hypothèses!$X$10,IF(BG197&lt;=Hypothèses!$V$11,Hypothèses!$X$11,IF(BG197&lt;=Hypothèses!$V$12,Hypothèses!$X$12,IF(BG197&lt;=Hypothèses!$V$13,Hypothèses!$X$13,IF(BG197&lt;=Hypothèses!$V$14,Hypothèses!$X$14,IF(BG197&lt;=Hypothèses!$V$15,Hypothèses!$X$15,IF(BG197&lt;=Hypothèses!$V$16,Hypothèses!$X$16,IF(BG197&lt;=Hypothèses!$U$17,Hypothèses!$W$17,IF(BG197&lt;=Hypothèses!$U$18,Hypothèses!$W$18,""))))))))))))</f>
        <v>#DIV/0!</v>
      </c>
      <c r="CD197" s="95" t="e">
        <f t="shared" ca="1" si="281"/>
        <v>#DIV/0!</v>
      </c>
      <c r="CE197" s="101" t="e">
        <f t="shared" si="326"/>
        <v>#N/A</v>
      </c>
      <c r="CF197" s="91" t="e">
        <f t="shared" si="250"/>
        <v>#N/A</v>
      </c>
      <c r="CG197" s="30" t="e">
        <f t="shared" si="306"/>
        <v>#N/A</v>
      </c>
      <c r="CH197" s="30" t="e">
        <f t="shared" si="307"/>
        <v>#N/A</v>
      </c>
      <c r="CI197" s="31" t="e">
        <f>IF(OR(Hypothèses!$B$4=17,Hypothèses!$B$4=18,Hypothèses!$B$4=19,Hypothèses!$B$4=20),
IF($D197="Pressio.",
IF(OR($E197=3,$E197=1,$E197=4),CH197,CG197),
IF($D197="Pénétro.",
IF(OR($E197=3,$E197=1,$E197=4),CH197,CG197))),IF($D197="Pressio.",
IF($E197=3,CH197,CG197),
IF($D197="Pénétro.",
IF($E197=4,CH197,CG197))))</f>
        <v>#N/A</v>
      </c>
      <c r="CJ197" s="31" t="e">
        <f>(IF(OR(Hypothèses!$B$4=17,Hypothèses!$B$4=18,Hypothèses!$B$4=19,Hypothèses!$B$4=20),
IF($D197="Pressio.",
IF(OR($E197=3,$E197=1,$E197=4),(PI()*CJ$12^2)/4*(CF197*$W197*1000)/($H197*$B$5),(PI()*CJ$12^2)/4*(CF197*$W197*1000)/($G197*$B$5)),
IF($D197="Pénétro.",
IF(OR($E197=4,$E197=1,$E197=5),(PI()*CJ$12^2)/4*(CF197*$W197*1000)/($H197*$B$5),(PI()*CJ$12^2)/4*(CF197*$W197*1000)/($G197*$B$5)))),
IF($D197="Pressio.",
IF($E197=3,(PI()*CJ$12^2)/4*(CF197*$W197*1000)/($H197*$B$5),(PI()*CJ$12^2)/4*(CF197*$W197*1000)/($G197*$B$5)),
IF($D197="Pénétro.",
IF($E197=4,(PI()*CJ$12^2)/4*(CF197*$W197*1000)/($H197*$B$5),(PI()*CJ$12^2)/4*(CF197*$W197*1000)/($G197*$B$5))))))/10</f>
        <v>#N/A</v>
      </c>
      <c r="CK197" s="102" t="e">
        <f>(VLOOKUP($B$3,'Coeff EC7'!$T$39:$X$59,2,0)*CI197+VLOOKUP($B$3,'Coeff EC7'!$T$65:$X$85,2,0)*Model0.1C!CJ197)/1.1</f>
        <v>#N/A</v>
      </c>
      <c r="CL197" s="102" t="e">
        <f>(VLOOKUP($B$3,'Coeff EC7'!$T$39:$X$59,3,0)*CI197+VLOOKUP($B$3,'Coeff EC7'!$T$65:$X$85,3,0)*Model0.1C!CJ197)/0.9</f>
        <v>#N/A</v>
      </c>
      <c r="CM197" s="102" t="e">
        <f t="shared" si="282"/>
        <v>#N/A</v>
      </c>
      <c r="CN197" s="102" t="e">
        <f t="shared" si="283"/>
        <v>#N/A</v>
      </c>
      <c r="CO197" s="414" t="e">
        <f>IF(CO196=0,0,IF(AND(CK197&gt;charge_ELS_quasi,CL197&gt;Charge_ELS_freq,CM197&gt;charge_ELU,CN197&gt;charge_ELA,$B197&gt;NDC!$H$22-0.1+MIN(3*$CO$12,1.5)),0,1))</f>
        <v>#N/A</v>
      </c>
      <c r="CP197" s="86" t="b">
        <f t="shared" si="251"/>
        <v>0</v>
      </c>
      <c r="CQ197" s="86">
        <f t="shared" si="252"/>
        <v>0.5</v>
      </c>
      <c r="CR197" s="86">
        <f t="shared" si="253"/>
        <v>0.5</v>
      </c>
      <c r="CS197" s="30" t="e">
        <f t="shared" ca="1" si="284"/>
        <v>#DIV/0!</v>
      </c>
      <c r="CT197" s="85" t="e">
        <f ca="1">IF(BZ197&lt;=Hypothèses!$V$7,Hypothèses!$W$7,IF(BZ197&lt;=Hypothèses!$V$8,Hypothèses!$W$8,IF(BZ197&lt;=Hypothèses!$V$9,Hypothèses!$W$9,IF(BZ197&lt;=Hypothèses!$V$10,Hypothèses!$W$10,IF(BZ197&lt;=Hypothèses!$V$11,Hypothèses!$W$11,IF(BZ197&lt;=Hypothèses!$V$12,Hypothèses!$W$12,IF(BZ197&lt;=Hypothèses!$V$13,Hypothèses!$W$13,IF(BZ197&lt;=Hypothèses!$V$14,Hypothèses!$W$14,IF(BZ197&lt;=Hypothèses!$V$15,Hypothèses!$W$15,IF(BZ197&lt;=Hypothèses!$V$16,Hypothèses!$W$16,IF(BZ197&lt;=Hypothèses!$V$17,Hypothèses!$W$17,IF(BZ197&lt;=Hypothèses!$V$18,Hypothèses!$W$18,""))))))))))))</f>
        <v>#DIV/0!</v>
      </c>
      <c r="CU197" s="87" t="e">
        <f t="shared" ca="1" si="320"/>
        <v>#DIV/0!</v>
      </c>
      <c r="CV197" s="88" t="e">
        <f ca="1">IF(BZ197&lt;=Hypothèses!$V$7,Hypothèses!$X$7,IF(BZ197&lt;=Hypothèses!$V$8,Hypothèses!$X$8,IF(BZ197&lt;=Hypothèses!$V$9,Hypothèses!$X$9,IF(BZ197&lt;=Hypothèses!$V$10,Hypothèses!$X$10,IF(BZ197&lt;=Hypothèses!$V$11,Hypothèses!$X$11,IF(BZ197&lt;=Hypothèses!$V$12,Hypothèses!$X$12,IF(BZ197&lt;=Hypothèses!$V$13,Hypothèses!$X$13,IF(BZ197&lt;=Hypothèses!$V$14,Hypothèses!$X$14,IF(BZ197&lt;=Hypothèses!$V$15,Hypothèses!$X$15,IF(BZ197&lt;=Hypothèses!$V$16,Hypothèses!$X$16,IF(BZ197&lt;=Hypothèses!$U$17,Hypothèses!$W$17,IF(BZ197&lt;=Hypothèses!$U$18,Hypothèses!$W$18,""))))))))))))</f>
        <v>#DIV/0!</v>
      </c>
      <c r="CW197" s="95" t="e">
        <f t="shared" ca="1" si="285"/>
        <v>#DIV/0!</v>
      </c>
      <c r="CX197" s="101" t="e">
        <f t="shared" si="327"/>
        <v>#N/A</v>
      </c>
      <c r="CY197" s="91" t="e">
        <f t="shared" si="254"/>
        <v>#N/A</v>
      </c>
      <c r="CZ197" s="30" t="e">
        <f t="shared" si="308"/>
        <v>#N/A</v>
      </c>
      <c r="DA197" s="30" t="e">
        <f t="shared" si="309"/>
        <v>#N/A</v>
      </c>
      <c r="DB197" s="31" t="e">
        <f>IF(OR(Hypothèses!$B$4=17,Hypothèses!$B$4=18,Hypothèses!$B$4=19,Hypothèses!$B$4=20),
IF($D197="Pressio.",
IF(OR($E197=3,$E197=1,$E197=4),DA197,CZ197),
IF($D197="Pénétro.",
IF(OR($E197=3,$E197=1,$E197=4),DA197,CZ197))),IF($D197="Pressio.",
IF($E197=3,DA197,CZ197),
IF($D197="Pénétro.",
IF($E197=4,DA197,CZ197))))</f>
        <v>#N/A</v>
      </c>
      <c r="DC197" s="31" t="e">
        <f>(IF(OR(Hypothèses!$B$4=17,Hypothèses!$B$4=18,Hypothèses!$B$4=19,Hypothèses!$B$4=20),
IF($D197="Pressio.",
IF(OR($E197=3,$E197=1,$E197=4),(PI()*DC$12^2)/4*(CY197*$W197*1000)/($H197*$B$5),(PI()*DC$12^2)/4*(CY197*$W197*1000)/($G197*$B$5)),
IF($D197="Pénétro.",
IF(OR($E197=4,$E197=1,$E197=5),(PI()*DC$12^2)/4*(CY197*$W197*1000)/($H197*$B$5),(PI()*DC$12^2)/4*(CY197*$W197*1000)/($G197*$B$5)))),
IF($D197="Pressio.",
IF($E197=3,(PI()*DC$12^2)/4*(CY197*$W197*1000)/($H197*$B$5),(PI()*DC$12^2)/4*(CY197*$W197*1000)/($G197*$B$5)),
IF($D197="Pénétro.",
IF($E197=4,(PI()*DC$12^2)/4*(CY197*$W197*1000)/($H197*$B$5),(PI()*DC$12^2)/4*(CY197*$W197*1000)/($G197*$B$5))))))/10</f>
        <v>#N/A</v>
      </c>
      <c r="DD197" s="102" t="e">
        <f>(VLOOKUP($B$3,'Coeff EC7'!$T$39:$X$59,2,0)*DB197+VLOOKUP($B$3,'Coeff EC7'!$T$65:$X$85,2,0)*Model0.1C!DC197)/1.1</f>
        <v>#N/A</v>
      </c>
      <c r="DE197" s="102" t="e">
        <f>(VLOOKUP($B$3,'Coeff EC7'!$T$39:$X$59,3,0)*DB197+VLOOKUP($B$3,'Coeff EC7'!$T$65:$X$85,3,0)*Model0.1C!DC197)/0.9</f>
        <v>#N/A</v>
      </c>
      <c r="DF197" s="102" t="e">
        <f t="shared" si="286"/>
        <v>#N/A</v>
      </c>
      <c r="DG197" s="102" t="e">
        <f t="shared" si="287"/>
        <v>#N/A</v>
      </c>
      <c r="DH197" s="414" t="e">
        <f>IF(DH196=0,0,IF(AND(DD197&gt;charge_ELS_quasi,DE197&gt;Charge_ELS_freq,DF197&gt;charge_ELU,DG197&gt;charge_ELA,$B197&gt;NDC!$H$22-0.1+MIN(3*$DH$12,1.5)),0,1))</f>
        <v>#N/A</v>
      </c>
      <c r="DI197" s="86" t="b">
        <f t="shared" si="255"/>
        <v>0</v>
      </c>
      <c r="DJ197" s="86">
        <f t="shared" si="256"/>
        <v>0.5</v>
      </c>
      <c r="DK197" s="86">
        <f t="shared" si="257"/>
        <v>0.5</v>
      </c>
      <c r="DL197" s="30" t="e">
        <f t="shared" ca="1" si="288"/>
        <v>#DIV/0!</v>
      </c>
      <c r="DM197" s="85" t="e">
        <f ca="1">IF(CS197&lt;=Hypothèses!$V$7,Hypothèses!$W$7,IF(CS197&lt;=Hypothèses!$V$8,Hypothèses!$W$8,IF(CS197&lt;=Hypothèses!$V$9,Hypothèses!$W$9,IF(CS197&lt;=Hypothèses!$V$10,Hypothèses!$W$10,IF(CS197&lt;=Hypothèses!$V$11,Hypothèses!$W$11,IF(CS197&lt;=Hypothèses!$V$12,Hypothèses!$W$12,IF(CS197&lt;=Hypothèses!$V$13,Hypothèses!$W$13,IF(CS197&lt;=Hypothèses!$V$14,Hypothèses!$W$14,IF(CS197&lt;=Hypothèses!$V$15,Hypothèses!$W$15,IF(CS197&lt;=Hypothèses!$V$16,Hypothèses!$W$16,IF(CS197&lt;=Hypothèses!$V$17,Hypothèses!$W$17,IF(CS197&lt;=Hypothèses!$V$18,Hypothèses!$W$18,""))))))))))))</f>
        <v>#DIV/0!</v>
      </c>
      <c r="DN197" s="87" t="e">
        <f t="shared" ca="1" si="321"/>
        <v>#DIV/0!</v>
      </c>
      <c r="DO197" s="88" t="e">
        <f ca="1">IF(CS197&lt;=Hypothèses!$V$7,Hypothèses!$X$7,IF(CS197&lt;=Hypothèses!$V$8,Hypothèses!$X$8,IF(CS197&lt;=Hypothèses!$V$9,Hypothèses!$X$9,IF(CS197&lt;=Hypothèses!$V$10,Hypothèses!$X$10,IF(CS197&lt;=Hypothèses!$V$11,Hypothèses!$X$11,IF(CS197&lt;=Hypothèses!$V$12,Hypothèses!$X$12,IF(CS197&lt;=Hypothèses!$V$13,Hypothèses!$X$13,IF(CS197&lt;=Hypothèses!$V$14,Hypothèses!$X$14,IF(CS197&lt;=Hypothèses!$V$15,Hypothèses!$X$15,IF(CS197&lt;=Hypothèses!$V$16,Hypothèses!$X$16,IF(CS197&lt;=Hypothèses!$U$17,Hypothèses!$W$17,IF(CS197&lt;=Hypothèses!$U$18,Hypothèses!$W$18,""))))))))))))</f>
        <v>#DIV/0!</v>
      </c>
      <c r="DP197" s="95" t="e">
        <f t="shared" ca="1" si="289"/>
        <v>#DIV/0!</v>
      </c>
      <c r="DQ197" s="101" t="e">
        <f t="shared" si="328"/>
        <v>#N/A</v>
      </c>
      <c r="DR197" s="91" t="e">
        <f t="shared" si="258"/>
        <v>#N/A</v>
      </c>
      <c r="DS197" s="30" t="e">
        <f t="shared" si="310"/>
        <v>#N/A</v>
      </c>
      <c r="DT197" s="30" t="e">
        <f t="shared" si="311"/>
        <v>#N/A</v>
      </c>
      <c r="DU197" s="31" t="e">
        <f>IF(OR(Hypothèses!$B$4=17,Hypothèses!$B$4=18,Hypothèses!$B$4=19,Hypothèses!$B$4=20),
IF($D197="Pressio.",
IF(OR($E197=3,$E197=1,$E197=4),DT197,DS197),
IF($D197="Pénétro.",
IF(OR($E197=3,$E197=1,$E197=4),DT197,DS197))),IF($D197="Pressio.",
IF($E197=3,DT197,DS197),
IF($D197="Pénétro.",
IF($E197=4,DT197,DS197))))</f>
        <v>#N/A</v>
      </c>
      <c r="DV197" s="31" t="e">
        <f>(IF(OR(Hypothèses!$B$4=17,Hypothèses!$B$4=18,Hypothèses!$B$4=19,Hypothèses!$B$4=20),
IF($D197="Pressio.",
IF(OR($E197=3,$E197=1,$E197=4),(PI()*DV$12^2)/4*(DR197*$W197*1000)/($H197*$B$5),(PI()*DV$12^2)/4*(DR197*$W197*1000)/($G197*$B$5)),
IF($D197="Pénétro.",
IF(OR($E197=4,$E197=1,$E197=5),(PI()*DV$12^2)/4*(DR197*$W197*1000)/($H197*$B$5),(PI()*DV$12^2)/4*(DR197*$W197*1000)/($G197*$B$5)))),
IF($D197="Pressio.",
IF($E197=3,(PI()*DV$12^2)/4*(DR197*$W197*1000)/($H197*$B$5),(PI()*DV$12^2)/4*(DR197*$W197*1000)/($G197*$B$5)),
IF($D197="Pénétro.",
IF($E197=4,(PI()*DV$12^2)/4*(DR197*$W197*1000)/($H197*$B$5),(PI()*DV$12^2)/4*(DR197*$W197*1000)/($G197*$B$5))))))/10</f>
        <v>#N/A</v>
      </c>
      <c r="DW197" s="102" t="e">
        <f>(VLOOKUP($B$3,'Coeff EC7'!$T$39:$X$59,2,0)*DU197+VLOOKUP($B$3,'Coeff EC7'!$T$65:$X$85,2,0)*Model0.1C!DV197)/1.1</f>
        <v>#N/A</v>
      </c>
      <c r="DX197" s="102" t="e">
        <f>(VLOOKUP($B$3,'Coeff EC7'!$T$39:$X$59,3,0)*DU197+VLOOKUP($B$3,'Coeff EC7'!$T$65:$X$85,3,0)*Model0.1C!DV197)/0.9</f>
        <v>#N/A</v>
      </c>
      <c r="DY197" s="102" t="e">
        <f t="shared" si="290"/>
        <v>#N/A</v>
      </c>
      <c r="DZ197" s="102" t="e">
        <f t="shared" si="291"/>
        <v>#N/A</v>
      </c>
      <c r="EA197" s="414" t="e">
        <f>IF(EA196=0,0,IF(AND(DW197&gt;charge_ELS_quasi,DX197&gt;Charge_ELS_freq,DY197&gt;charge_ELU,DZ197&gt;charge_ELA,$B197&gt;NDC!$H$22-0.1+MIN(3*$EA$12,1.5)),0,1))</f>
        <v>#N/A</v>
      </c>
      <c r="EB197" s="86" t="b">
        <f t="shared" si="259"/>
        <v>0</v>
      </c>
      <c r="EC197" s="418">
        <f t="shared" si="260"/>
        <v>0.51</v>
      </c>
      <c r="ED197" s="86">
        <f t="shared" si="261"/>
        <v>0.51</v>
      </c>
      <c r="EE197" s="30" t="e">
        <f t="shared" ca="1" si="292"/>
        <v>#DIV/0!</v>
      </c>
      <c r="EF197" s="85" t="e">
        <f ca="1">IF(DL197&lt;=Hypothèses!$V$7,Hypothèses!$W$7,IF(DL197&lt;=Hypothèses!$V$8,Hypothèses!$W$8,IF(DL197&lt;=Hypothèses!$V$9,Hypothèses!$W$9,IF(DL197&lt;=Hypothèses!$V$10,Hypothèses!$W$10,IF(DL197&lt;=Hypothèses!$V$11,Hypothèses!$W$11,IF(DL197&lt;=Hypothèses!$V$12,Hypothèses!$W$12,IF(DL197&lt;=Hypothèses!$V$13,Hypothèses!$W$13,IF(DL197&lt;=Hypothèses!$V$14,Hypothèses!$W$14,IF(DL197&lt;=Hypothèses!$V$15,Hypothèses!$W$15,IF(DL197&lt;=Hypothèses!$V$16,Hypothèses!$W$16,IF(DL197&lt;=Hypothèses!$V$17,Hypothèses!$W$17,IF(DL197&lt;=Hypothèses!$V$18,Hypothèses!$W$18,""))))))))))))</f>
        <v>#DIV/0!</v>
      </c>
      <c r="EG197" s="87" t="e">
        <f t="shared" ca="1" si="322"/>
        <v>#DIV/0!</v>
      </c>
      <c r="EH197" s="88" t="e">
        <f ca="1">IF(DL197&lt;=Hypothèses!$V$7,Hypothèses!$X$7,IF(DL197&lt;=Hypothèses!$V$8,Hypothèses!$X$8,IF(DL197&lt;=Hypothèses!$V$9,Hypothèses!$X$9,IF(DL197&lt;=Hypothèses!$V$10,Hypothèses!$X$10,IF(DL197&lt;=Hypothèses!$V$11,Hypothèses!$X$11,IF(DL197&lt;=Hypothèses!$V$12,Hypothèses!$X$12,IF(DL197&lt;=Hypothèses!$V$13,Hypothèses!$X$13,IF(DL197&lt;=Hypothèses!$V$14,Hypothèses!$X$14,IF(DL197&lt;=Hypothèses!$V$15,Hypothèses!$X$15,IF(DL197&lt;=Hypothèses!$V$16,Hypothèses!$X$16,IF(DL197&lt;=Hypothèses!$U$17,Hypothèses!$W$17,IF(DL197&lt;=Hypothèses!$U$18,Hypothèses!$W$18,""))))))))))))</f>
        <v>#DIV/0!</v>
      </c>
      <c r="EI197" s="95" t="e">
        <f t="shared" ca="1" si="293"/>
        <v>#DIV/0!</v>
      </c>
      <c r="EJ197" s="101" t="e">
        <f t="shared" si="329"/>
        <v>#N/A</v>
      </c>
      <c r="EK197" s="91" t="e">
        <f t="shared" si="262"/>
        <v>#N/A</v>
      </c>
      <c r="EL197" s="30" t="e">
        <f t="shared" si="312"/>
        <v>#N/A</v>
      </c>
      <c r="EM197" s="30" t="e">
        <f t="shared" si="313"/>
        <v>#N/A</v>
      </c>
      <c r="EN197" s="31" t="e">
        <f>IF(OR(Hypothèses!$B$4=17,Hypothèses!$B$4=18,Hypothèses!$B$4=19,Hypothèses!$B$4=20),
IF($D197="Pressio.",
IF(OR($E197=3,$E197=1,$E197=4),EM197,EL197),
IF($D197="Pénétro.",
IF(OR($E197=3,$E197=1,$E197=4),EM197,EL197))),IF($D197="Pressio.",
IF($E197=3,EM197,EL197),
IF($D197="Pénétro.",
IF($E197=4,EM197,EL197))))</f>
        <v>#N/A</v>
      </c>
      <c r="EO197" s="31" t="e">
        <f>(IF(OR(Hypothèses!$B$4=17,Hypothèses!$B$4=18,Hypothèses!$B$4=19,Hypothèses!$B$4=20),
IF($D197="Pressio.",
IF(OR($E197=3,$E197=1,$E197=4),(PI()*EO$12^2)/4*(EK197*$W197*1000)/($H197*$B$5),(PI()*EO$12^2)/4*(EK197*$W197*1000)/($G197*$B$5)),
IF($D197="Pénétro.",
IF(OR($E197=4,$E197=1,$E197=5),(PI()*EO$12^2)/4*(EK197*$W197*1000)/($H197*$B$5),(PI()*EO$12^2)/4*(EK197*$W197*1000)/($G197*$B$5)))),
IF($D197="Pressio.",
IF($E197=3,(PI()*EO$12^2)/4*(EK197*$W197*1000)/($H197*$B$5),(PI()*EO$12^2)/4*(EK197*$W197*1000)/($G197*$B$5)),
IF($D197="Pénétro.",
IF($E197=4,(PI()*EO$12^2)/4*(EK197*$W197*1000)/($H197*$B$5),(PI()*EO$12^2)/4*(EK197*$W197*1000)/($G197*$B$5))))))/10</f>
        <v>#N/A</v>
      </c>
      <c r="EP197" s="102" t="e">
        <f>(VLOOKUP($B$3,'Coeff EC7'!$T$39:$X$59,2,0)*EN197+VLOOKUP($B$3,'Coeff EC7'!$T$65:$X$85,2,0)*Model0.1C!EO197)/1.1</f>
        <v>#N/A</v>
      </c>
      <c r="EQ197" s="102" t="e">
        <f>(VLOOKUP($B$3,'Coeff EC7'!$T$39:$X$59,3,0)*EN197+VLOOKUP($B$3,'Coeff EC7'!$T$65:$X$85,3,0)*Model0.1C!EO197)/0.9</f>
        <v>#N/A</v>
      </c>
      <c r="ER197" s="102" t="e">
        <f t="shared" si="294"/>
        <v>#N/A</v>
      </c>
      <c r="ES197" s="102" t="e">
        <f t="shared" si="295"/>
        <v>#N/A</v>
      </c>
      <c r="ET197" s="414" t="e">
        <f>IF(ET196=0,0,IF(AND(EP197&gt;charge_ELS_quasi,EQ197&gt;Charge_ELS_freq,ER197&gt;charge_ELU,ES197&gt;charge_ELA,$B197&gt;NDC!$H$22-0.1+MIN(3*$ET$12,1.5)),0,1))</f>
        <v>#N/A</v>
      </c>
      <c r="EU197" s="86" t="b">
        <f t="shared" si="263"/>
        <v>0</v>
      </c>
      <c r="EV197" s="86">
        <f t="shared" si="264"/>
        <v>0.61</v>
      </c>
      <c r="EW197" s="86">
        <f t="shared" si="265"/>
        <v>0.61</v>
      </c>
      <c r="EX197" s="30" t="e">
        <f t="shared" ca="1" si="296"/>
        <v>#DIV/0!</v>
      </c>
      <c r="EY197" s="85" t="e">
        <f ca="1">IF(EE197&lt;=Hypothèses!$V$7,Hypothèses!$W$7,IF(EE197&lt;=Hypothèses!$V$8,Hypothèses!$W$8,IF(EE197&lt;=Hypothèses!$V$9,Hypothèses!$W$9,IF(EE197&lt;=Hypothèses!$V$10,Hypothèses!$W$10,IF(EE197&lt;=Hypothèses!$V$11,Hypothèses!$W$11,IF(EE197&lt;=Hypothèses!$V$12,Hypothèses!$W$12,IF(EE197&lt;=Hypothèses!$V$13,Hypothèses!$W$13,IF(EE197&lt;=Hypothèses!$V$14,Hypothèses!$W$14,IF(EE197&lt;=Hypothèses!$V$15,Hypothèses!$W$15,IF(EE197&lt;=Hypothèses!$V$16,Hypothèses!$W$16,IF(EE197&lt;=Hypothèses!$V$17,Hypothèses!$W$17,IF(EE197&lt;=Hypothèses!$V$18,Hypothèses!$W$18,""))))))))))))</f>
        <v>#DIV/0!</v>
      </c>
      <c r="EZ197" s="87" t="e">
        <f t="shared" ca="1" si="323"/>
        <v>#DIV/0!</v>
      </c>
      <c r="FA197" s="88" t="e">
        <f ca="1">IF(EE197&lt;=Hypothèses!$V$7,Hypothèses!$X$7,IF(EE197&lt;=Hypothèses!$V$8,Hypothèses!$X$8,IF(EE197&lt;=Hypothèses!$V$9,Hypothèses!$X$9,IF(EE197&lt;=Hypothèses!$V$10,Hypothèses!$X$10,IF(EE197&lt;=Hypothèses!$V$11,Hypothèses!$X$11,IF(EE197&lt;=Hypothèses!$V$12,Hypothèses!$X$12,IF(EE197&lt;=Hypothèses!$V$13,Hypothèses!$X$13,IF(EE197&lt;=Hypothèses!$V$14,Hypothèses!$X$14,IF(EE197&lt;=Hypothèses!$V$15,Hypothèses!$X$15,IF(EE197&lt;=Hypothèses!$V$16,Hypothèses!$X$16,IF(EE197&lt;=Hypothèses!$U$17,Hypothèses!$W$17,IF(EE197&lt;=Hypothèses!$U$18,Hypothèses!$W$18,""))))))))))))</f>
        <v>#DIV/0!</v>
      </c>
      <c r="FB197" s="95" t="e">
        <f t="shared" ca="1" si="297"/>
        <v>#DIV/0!</v>
      </c>
      <c r="FC197" s="101" t="e">
        <f t="shared" si="330"/>
        <v>#N/A</v>
      </c>
      <c r="FD197" s="91" t="e">
        <f t="shared" si="266"/>
        <v>#N/A</v>
      </c>
      <c r="FE197" s="30" t="e">
        <f t="shared" si="314"/>
        <v>#N/A</v>
      </c>
      <c r="FF197" s="30" t="e">
        <f t="shared" si="315"/>
        <v>#N/A</v>
      </c>
      <c r="FG197" s="31" t="e">
        <f>IF(OR(Hypothèses!$B$4=17,Hypothèses!$B$4=18,Hypothèses!$B$4=19,Hypothèses!$B$4=20),
IF($D197="Pressio.",
IF(OR($E197=3,$E197=1,$E197=4),FF197,FE197),
IF($D197="Pénétro.",
IF(OR($E197=3,$E197=1,$E197=4),FF197,FE197))),IF($D197="Pressio.",
IF($E197=3,FF197,FE197),
IF($D197="Pénétro.",
IF($E197=4,FF197,FE197))))</f>
        <v>#N/A</v>
      </c>
      <c r="FH197" s="31" t="e">
        <f>(IF(OR(Hypothèses!$B$4=17,Hypothèses!$B$4=18,Hypothèses!$B$4=19,Hypothèses!$B$4=20),
IF($D197="Pressio.",
IF(OR($E197=3,$E197=1,$E197=4),(PI()*FH$12^2)/4*(FD197*$W197*1000)/($H197*$B$5),(PI()*FH$12^2)/4*(FD197*$W197*1000)/($G197*$B$5)),
IF($D197="Pénétro.",
IF(OR($E197=4,$E197=1,$E197=5),(PI()*FH$12^2)/4*(FD197*$W197*1000)/($H197*$B$5),(PI()*FH$12^2)/4*(FD197*$W197*1000)/($G197*$B$5)))),
IF($D197="Pressio.",
IF($E197=3,(PI()*FH$12^2)/4*(FD197*$W197*1000)/($H197*$B$5),(PI()*FH$12^2)/4*(FD197*$W197*1000)/($G197*$B$5)),
IF($D197="Pénétro.",
IF($E197=4,(PI()*FH$12^2)/4*(FD197*$W197*1000)/($H197*$B$5),(PI()*FH$12^2)/4*(FD197*$W197*1000)/($G197*$B$5))))))/10</f>
        <v>#N/A</v>
      </c>
      <c r="FI197" s="102" t="e">
        <f>(VLOOKUP($B$3,'Coeff EC7'!$T$39:$X$59,2,0)*FG197+VLOOKUP($B$3,'Coeff EC7'!$T$65:$X$85,2,0)*Model0.1C!FH197)/1.1</f>
        <v>#N/A</v>
      </c>
      <c r="FJ197" s="102" t="e">
        <f>(VLOOKUP($B$3,'Coeff EC7'!$T$39:$X$59,3,0)*FG197+VLOOKUP($B$3,'Coeff EC7'!$T$65:$X$85,3,0)*Model0.1C!FH197)/0.9</f>
        <v>#N/A</v>
      </c>
      <c r="FK197" s="102" t="e">
        <f t="shared" si="298"/>
        <v>#N/A</v>
      </c>
      <c r="FL197" s="102" t="e">
        <f t="shared" si="299"/>
        <v>#N/A</v>
      </c>
      <c r="FM197" s="414" t="e">
        <f>IF(FM196=0,0,IF(AND(FI197&gt;charge_ELS_quasi,FJ197&gt;Charge_ELS_freq,FK197&gt;charge_ELU,FL197&gt;charge_ELA,$B197&gt;NDC!$H$22-0.1+MIN(3*$FM$12,1.5)),0,1))</f>
        <v>#N/A</v>
      </c>
    </row>
    <row r="198" spans="1:169">
      <c r="A198" s="96">
        <f t="shared" si="267"/>
        <v>81.500000000001052</v>
      </c>
      <c r="B198" s="97">
        <v>18.5</v>
      </c>
      <c r="C198" s="81">
        <f>IF(B198&lt;=Hypothèses!$C$7,Hypothèses!$A$7,IF(B198&lt;=Hypothèses!$C$8,Hypothèses!$A$8,IF(B198&lt;=Hypothèses!$C$9,Hypothèses!$A$9,IF(B198&lt;=Hypothèses!$C$10,Hypothèses!$A$10,IF(B198&lt;=Hypothèses!$C$11,Hypothèses!$A$11,IF(B198&lt;=Hypothèses!$C$12,Hypothèses!$A$12,IF(B198&lt;=Hypothèses!$C$13,Hypothèses!$A$13,IF(B198&lt;=Hypothèses!$C$14,Hypothèses!$A$14,IF(B198&lt;=Hypothèses!$C$15,Hypothèses!$A$15,IF(B198&lt;=Hypothèses!$C$16,Hypothèses!$A$16,IF(B198&lt;=Hypothèses!$C$17,Hypothèses!$A$17,IF(B198&lt;=Hypothèses!$C$18,Hypothèses!$A$18,C197))))))))))))</f>
        <v>11</v>
      </c>
      <c r="D198" s="82" t="str">
        <f>IF(B198&lt;=Hypothèses!$C$7,Hypothèses!$R$7,IF(B198&lt;=Hypothèses!$C$8,Hypothèses!$R$8,IF(B198&lt;=Hypothèses!$C$9,Hypothèses!$R$9,IF(B198&lt;=Hypothèses!$C$10,Hypothèses!$R$10,IF(B198&lt;=Hypothèses!$C$11,Hypothèses!$R$11,IF(B198&lt;=Hypothèses!$C$12,Hypothèses!$R$12,IF(B198&lt;=Hypothèses!$C$13,Hypothèses!$R$13,IF(B198&lt;=Hypothèses!$C$14,Hypothèses!$R$14,IF(B198&lt;=Hypothèses!$C$15,Hypothèses!$R$15,IF(B198&lt;=Hypothèses!$C$16,Hypothèses!$R$16,IF(B198&lt;=Hypothèses!$C$17,Hypothèses!$R$17,IF(B198&lt;=Hypothèses!$C$18,Hypothèses!$R$18,D197))))))))))))</f>
        <v>Pressio.</v>
      </c>
      <c r="E198" s="82" t="e">
        <f>IF(B198&lt;=Hypothèses!$C$7,Hypothèses!$G$7,IF(B198&lt;=Hypothèses!$C$8,Hypothèses!$G$8,IF(B198&lt;=Hypothèses!$C$9,Hypothèses!$G$9,IF(B198&lt;=Hypothèses!$C$10,Hypothèses!$G$10,IF(B198&lt;=Hypothèses!$C$11,Hypothèses!$G$11,IF(B198&lt;=Hypothèses!$C$12,Hypothèses!$G$12,IF(B198&lt;=Hypothèses!$C$13,Hypothèses!$G$13,IF(B198&lt;=Hypothèses!$C$14,Hypothèses!$G$14,IF(B198&lt;=Hypothèses!$C$15,Hypothèses!$G$15,IF(B198&lt;=Hypothèses!$C$16,Hypothèses!$G$16,IF(B198&lt;=Hypothèses!$C$17,Hypothèses!$G$17,IF(B198&lt;=Hypothèses!$C$18,Hypothèses!$G$18,E197))))))))))))</f>
        <v>#N/A</v>
      </c>
      <c r="F198" s="82" t="str">
        <f>IF(B198&lt;=Hypothèses!$C$7,Hypothèses!$F$7,IF(B198&lt;=Hypothèses!$C$8,Hypothèses!$F$8,IF(B198&lt;=Hypothèses!$C$9,Hypothèses!$F$9,IF(B198&lt;=Hypothèses!$C$10,Hypothèses!$F$10,IF(B198&lt;=Hypothèses!$C$11,Hypothèses!$F$11,IF(B198&lt;=Hypothèses!$C$12,Hypothèses!$F$12,IF(B198&lt;=Hypothèses!$C$13,Hypothèses!$F$13,IF(B198&lt;=Hypothèses!$C$14,Hypothèses!$F$14,IF(B198&lt;=Hypothèses!$C$15,Hypothèses!$F$15,IF(B198&lt;=Hypothèses!$C$16,Hypothèses!$F$16,IF(B198&lt;=Hypothèses!$C$17,Hypothèses!$F$17,IF(B198&lt;=Hypothèses!$C$18,Hypothèses!$F$18,F197))))))))))))</f>
        <v/>
      </c>
      <c r="G198" s="91">
        <f t="array" ref="G198">INDEX('Coeff EC7'!$U$7:$X$27,
MATCH(Model0.1C!$B$3,'Coeff EC7'!$T$7:$T$27,0),
MATCH(Model0.1C!$D198&amp;Model0.1C!$B$4,
'Coeff EC7'!$U$6:$X$6&amp;
'Coeff EC7'!$U$5:$X$5,0))</f>
        <v>1.1499999999999999</v>
      </c>
      <c r="H198" s="91">
        <f t="array" ref="H198">INDEX('Coeff EC7'!$Y$7:$AB$27,
MATCH(Model0.1C!$B$3,'Coeff EC7'!$T$7:$T$27,0),
MATCH(Model0.1C!$D198&amp;Model0.1C!$B$4,
'Coeff EC7'!$Y$6:$AB$6&amp;
'Coeff EC7'!$Y$5:$AB$5,0))</f>
        <v>1.4</v>
      </c>
      <c r="I198" s="83" t="e">
        <f>IF(B198&lt;=Hypothèses!$C$7,Hypothèses!$P$7,IF(B198&lt;=Hypothèses!$C$8,Hypothèses!$P$8,IF(B198&lt;=Hypothèses!$C$9,Hypothèses!$P$9,IF(B198&lt;=Hypothèses!$C$10,Hypothèses!$P$10,IF(B198&lt;=Hypothèses!$C$11,Hypothèses!$P$11,IF(B198&lt;=Hypothèses!$C$12,Hypothèses!$P$12,IF(B198&lt;=Hypothèses!$C$13,Hypothèses!$P$13,IF(B198&lt;=Hypothèses!$C$14,Hypothèses!$P$14,IF(B198&lt;=Hypothèses!$C$15,Hypothèses!$P$15,IF(B198&lt;=Hypothèses!$C$16,Hypothèses!$P$16,IF(B198&lt;=Hypothèses!$C$17,Hypothèses!$P$17,IF(B198&lt;=Hypothèses!$C$18,Hypothèses!$P$18,I197))))))))))))</f>
        <v>#N/A</v>
      </c>
      <c r="J198" s="91" t="e">
        <f t="array" ref="J198">INDEX('Coeff EC7'!$D$33:$Q$33,1,MATCH(D198&amp;E198,'Coeff EC7'!$D$31:$Q$31&amp;'Coeff EC7'!$D$32:$Q$32,0))</f>
        <v>#N/A</v>
      </c>
      <c r="K198" s="91" t="e">
        <f t="array" ref="K198">INDEX('Coeff EC7'!$D$34:$Q$34,1,MATCH(D198&amp;E198,'Coeff EC7'!$D$31:$Q$31&amp;'Coeff EC7'!$D$32:$Q$32,0))</f>
        <v>#N/A</v>
      </c>
      <c r="L198" s="91" t="e">
        <f t="array" ref="L198">INDEX('Coeff EC7'!$D$35:$Q$35,1,MATCH(D198&amp;E198,'Coeff EC7'!$D$31:$Q$31&amp;'Coeff EC7'!$D$32:$Q$32,0))</f>
        <v>#N/A</v>
      </c>
      <c r="M198" s="98" t="e">
        <f t="shared" si="231"/>
        <v>#N/A</v>
      </c>
      <c r="N198" s="99" t="e">
        <f t="array" ref="N198">INDEX('Coeff EC7'!$D$7:$Q$27,MATCH($B$3,'Coeff EC7'!$C$7:$C$27,0),MATCH(D198&amp;E198,'Coeff EC7'!$D$5:$Q$5&amp;'Coeff EC7'!$D$6:$Q$6,0))</f>
        <v>#N/A</v>
      </c>
      <c r="O198" s="99" t="e">
        <f t="array" ref="O198">INDEX('Coeff EC7'!$D$41:$Q$61,MATCH($B$3,'Coeff EC7'!$C$41:$C$61,0),MATCH(D198&amp;E198,'Coeff EC7'!$D$39:$Q$39&amp;'Coeff EC7'!$D$40:$Q$40,0))</f>
        <v>#N/A</v>
      </c>
      <c r="P198" s="30" t="e">
        <f t="shared" si="268"/>
        <v>#N/A</v>
      </c>
      <c r="Q198" s="100" t="e">
        <f t="shared" si="233"/>
        <v>#N/A</v>
      </c>
      <c r="R198" s="86" t="b">
        <f t="shared" si="234"/>
        <v>0</v>
      </c>
      <c r="S198" s="86">
        <f t="shared" si="232"/>
        <v>0.5</v>
      </c>
      <c r="T198" s="86">
        <f t="shared" si="235"/>
        <v>0.5</v>
      </c>
      <c r="U198" s="30" t="e">
        <f t="shared" ca="1" si="269"/>
        <v>#DIV/0!</v>
      </c>
      <c r="V198" s="85" t="str">
        <f>IF(B198&lt;=Hypothèses!$V$7,Hypothèses!$W$7,IF(B198&lt;=Hypothèses!$V$8,Hypothèses!$W$8,IF(B198&lt;=Hypothèses!$V$9,Hypothèses!$W$9,IF(B198&lt;=Hypothèses!$V$10,Hypothèses!$W$10,IF(B198&lt;=Hypothèses!$V$11,Hypothèses!$W$11,IF(B198&lt;=Hypothèses!$V$12,Hypothèses!$W$12,IF(B198&lt;=Hypothèses!$V$13,Hypothèses!$W$13,IF(B198&lt;=Hypothèses!$V$14,Hypothèses!$W$14,IF(B198&lt;=Hypothèses!$V$15,Hypothèses!$W$15,IF(B198&lt;=Hypothèses!$V$16,Hypothèses!$W$16,IF(B198&lt;=Hypothèses!$V$17,Hypothèses!$W$17,IF(B198&lt;=Hypothèses!$V$18,Hypothèses!$W$18,""))))))))))))</f>
        <v/>
      </c>
      <c r="W198" s="87" t="e">
        <f t="shared" ca="1" si="316"/>
        <v>#DIV/0!</v>
      </c>
      <c r="X198" s="88" t="str">
        <f>IF(B198&lt;=Hypothèses!$V$7,Hypothèses!$X$7,IF(B198&lt;=Hypothèses!$V$8,Hypothèses!$X$8,IF(B198&lt;=Hypothèses!$V$9,Hypothèses!$X$9,IF(B198&lt;=Hypothèses!$V$10,Hypothèses!$X$10,IF(B198&lt;=Hypothèses!$V$11,Hypothèses!$X$11,IF(B198&lt;=Hypothèses!$V$12,Hypothèses!$X$12,IF(B198&lt;=Hypothèses!$V$13,Hypothèses!$X$13,IF(B198&lt;=Hypothèses!$V$14,Hypothèses!$X$14,IF(B198&lt;=Hypothèses!$V$15,Hypothèses!$X$15,IF(B198&lt;=Hypothèses!$V$16,Hypothèses!$X$16,IF(B198&lt;=Hypothèses!$U$17,Hypothèses!$W$17,IF(B198&lt;=Hypothèses!$U$18,Hypothèses!$W$18,""))))))))))))</f>
        <v/>
      </c>
      <c r="Y198" s="95" t="e">
        <f t="shared" ca="1" si="236"/>
        <v>#DIV/0!</v>
      </c>
      <c r="Z198" s="101" t="e">
        <f t="shared" si="237"/>
        <v>#N/A</v>
      </c>
      <c r="AA198" s="91" t="e">
        <f t="shared" si="238"/>
        <v>#N/A</v>
      </c>
      <c r="AB198" s="30" t="e">
        <f t="shared" si="300"/>
        <v>#N/A</v>
      </c>
      <c r="AC198" s="30" t="e">
        <f t="shared" si="301"/>
        <v>#N/A</v>
      </c>
      <c r="AD198" s="31" t="e">
        <f>IF(OR(Hypothèses!$B$4=17,Hypothèses!$B$4=18,Hypothèses!$B$4=19,Hypothèses!$B$4=20),
IF($D198="Pressio.",
IF(OR($E198=3,$E198=1,$E198=4),AC198,AB198),
IF($D198="Pénétro.",
IF(OR($E198=3,$E198=1,$E198=4),AC198,AB198))),IF($D198="Pressio.",
IF($E198=3,AC198,AB198),
IF($D198="Pénétro.",
IF($E198=4,AC198,AB198))))</f>
        <v>#N/A</v>
      </c>
      <c r="AE198" s="31" t="e">
        <f>(IF(OR(Hypothèses!$B$4=17,Hypothèses!$B$4=18,Hypothèses!$B$4=19,Hypothèses!$B$4=20),
IF($D198="Pressio.",
IF(OR($E198=3,$E198=1,$E198=4),(PI()*AE$12^2)/4*(AA198*$W198*1000)/($H198*$B$5),(PI()*AE$12^2)/4*(AA198*$W198*1000)/($G198*$B$5)),
IF($D198="Pénétro.",
IF(OR($E198=4,$E198=1,$E198=5),(PI()*AE$12^2)/4*(AA198*$W198*1000)/($H198*$B$5),(PI()*AE$12^2)/4*(AA198*$W198*1000)/($G198*$B$5)))),
IF($D198="Pressio.",
IF($E198=3,(PI()*AE$12^2)/4*(AA198*$W198*1000)/($H198*$B$5),(PI()*AE$12^2)/4*(AA198*$W198*1000)/($G198*$B$5)),
IF($D198="Pénétro.",
IF($E198=4,(PI()*AE$12^2)/4*(AA198*$W198*1000)/($H198*$B$5),(PI()*AE$12^2)/4*(AA198*$W198*1000)/($G198*$B$5))))))/10</f>
        <v>#N/A</v>
      </c>
      <c r="AF198" s="102" t="e">
        <f>(VLOOKUP($B$3,'Coeff EC7'!$T$39:$X$59,2,0)*AD198+VLOOKUP($B$3,'Coeff EC7'!$T$65:$X$85,2,0)*Model0.1C!AE198)/1.1</f>
        <v>#N/A</v>
      </c>
      <c r="AG198" s="102" t="e">
        <f>(VLOOKUP($B$3,'Coeff EC7'!$T$39:$X$59,3,0)*AD198+VLOOKUP($B$3,'Coeff EC7'!$T$65:$X$85,3,0)*Model0.1C!AE198)/0.9</f>
        <v>#N/A</v>
      </c>
      <c r="AH198" s="102" t="e">
        <f t="shared" si="239"/>
        <v>#N/A</v>
      </c>
      <c r="AI198" s="102" t="e">
        <f t="shared" si="240"/>
        <v>#N/A</v>
      </c>
      <c r="AJ198" s="414" t="e">
        <f>IF(AJ197=0,0,IF(AND(AF198&gt;charge_ELS_quasi,AG198&gt;Charge_ELS_freq,AH198&gt;charge_ELU,AI198&gt;charge_ELA,$B198&gt;NDC!$H$22-0.1+MIN(3*$AJ$12,1.5)),0,1))</f>
        <v>#N/A</v>
      </c>
      <c r="AK198" s="86" t="b">
        <f t="shared" si="241"/>
        <v>0</v>
      </c>
      <c r="AL198" s="86">
        <f t="shared" si="270"/>
        <v>0.5</v>
      </c>
      <c r="AM198" s="86">
        <f t="shared" si="242"/>
        <v>0.5</v>
      </c>
      <c r="AN198" s="30" t="e">
        <f t="shared" ca="1" si="271"/>
        <v>#DIV/0!</v>
      </c>
      <c r="AO198" s="85" t="e">
        <f ca="1">IF(U198&lt;=Hypothèses!$V$7,Hypothèses!$W$7,IF(U198&lt;=Hypothèses!$V$8,Hypothèses!$W$8,IF(U198&lt;=Hypothèses!$V$9,Hypothèses!$W$9,IF(U198&lt;=Hypothèses!$V$10,Hypothèses!$W$10,IF(U198&lt;=Hypothèses!$V$11,Hypothèses!$W$11,IF(U198&lt;=Hypothèses!$V$12,Hypothèses!$W$12,IF(U198&lt;=Hypothèses!$V$13,Hypothèses!$W$13,IF(U198&lt;=Hypothèses!$V$14,Hypothèses!$W$14,IF(U198&lt;=Hypothèses!$V$15,Hypothèses!$W$15,IF(U198&lt;=Hypothèses!$V$16,Hypothèses!$W$16,IF(U198&lt;=Hypothèses!$V$17,Hypothèses!$W$17,IF(U198&lt;=Hypothèses!$V$18,Hypothèses!$W$18,""))))))))))))</f>
        <v>#DIV/0!</v>
      </c>
      <c r="AP198" s="87" t="e">
        <f t="shared" ca="1" si="317"/>
        <v>#DIV/0!</v>
      </c>
      <c r="AQ198" s="88" t="e">
        <f ca="1">IF(U198&lt;=Hypothèses!$V$7,Hypothèses!$X$7,IF(U198&lt;=Hypothèses!$V$8,Hypothèses!$X$8,IF(U198&lt;=Hypothèses!$V$9,Hypothèses!$X$9,IF(U198&lt;=Hypothèses!$V$10,Hypothèses!$X$10,IF(U198&lt;=Hypothèses!$V$11,Hypothèses!$X$11,IF(U198&lt;=Hypothèses!$V$12,Hypothèses!$X$12,IF(U198&lt;=Hypothèses!$V$13,Hypothèses!$X$13,IF(U198&lt;=Hypothèses!$V$14,Hypothèses!$X$14,IF(U198&lt;=Hypothèses!$V$15,Hypothèses!$X$15,IF(U198&lt;=Hypothèses!$V$16,Hypothèses!$X$16,IF(U198&lt;=Hypothèses!$U$17,Hypothèses!$W$17,IF(U198&lt;=Hypothèses!$U$18,Hypothèses!$W$18,""))))))))))))</f>
        <v>#DIV/0!</v>
      </c>
      <c r="AR198" s="95" t="e">
        <f t="shared" ca="1" si="272"/>
        <v>#DIV/0!</v>
      </c>
      <c r="AS198" s="101" t="e">
        <f t="shared" si="324"/>
        <v>#N/A</v>
      </c>
      <c r="AT198" s="91" t="e">
        <f t="shared" si="243"/>
        <v>#N/A</v>
      </c>
      <c r="AU198" s="30" t="e">
        <f t="shared" si="302"/>
        <v>#N/A</v>
      </c>
      <c r="AV198" s="30" t="e">
        <f t="shared" si="303"/>
        <v>#N/A</v>
      </c>
      <c r="AW198" s="31" t="e">
        <f>IF(OR(Hypothèses!$B$4=17,Hypothèses!$B$4=18,Hypothèses!$B$4=19,Hypothèses!$B$4=20),
IF($D198="Pressio.",
IF(OR($E198=3,$E198=1,$E198=4),AV198,AU198),
IF($D198="Pénétro.",
IF(OR($E198=3,$E198=1,$E198=4),AV198,AU198))),IF($D198="Pressio.",
IF($E198=3,AV198,AU198),
IF($D198="Pénétro.",
IF($E198=4,AV198,AU198))))</f>
        <v>#N/A</v>
      </c>
      <c r="AX198" s="31" t="e">
        <f>(IF(OR(Hypothèses!$B$4=17,Hypothèses!$B$4=18,Hypothèses!$B$4=19,Hypothèses!$B$4=20),
IF($D198="Pressio.",
IF(OR($E198=3,$E198=1,$E198=4),(PI()*AX$12^2)/4*(AT198*$W198*1000)/($H198*$B$5),(PI()*AX$12^2)/4*(AT198*$W198*1000)/($G198*$B$5)),
IF($D198="Pénétro.",
IF(OR($E198=4,$E198=1,$E198=5),(PI()*AX$12^2)/4*(AT198*$W198*1000)/($H198*$B$5),(PI()*AX$12^2)/4*(AT198*$W198*1000)/($G198*$B$5)))),
IF($D198="Pressio.",
IF($E198=3,(PI()*AX$12^2)/4*(AT198*$W198*1000)/($H198*$B$5),(PI()*AX$12^2)/4*(AT198*$W198*1000)/($G198*$B$5)),
IF($D198="Pénétro.",
IF($E198=4,(PI()*AX$12^2)/4*(AT198*$W198*1000)/($H198*$B$5),(PI()*AX$12^2)/4*(AT198*$W198*1000)/($G198*$B$5))))))/10</f>
        <v>#N/A</v>
      </c>
      <c r="AY198" s="102" t="e">
        <f>(VLOOKUP($B$3,'Coeff EC7'!$T$39:$X$59,2,0)*AW198+VLOOKUP($B$3,'Coeff EC7'!$T$65:$X$85,2,0)*Model0.1C!AX198)/1.1</f>
        <v>#N/A</v>
      </c>
      <c r="AZ198" s="102" t="e">
        <f>(VLOOKUP($B$3,'Coeff EC7'!$T$39:$X$59,3,0)*AW198+VLOOKUP($B$3,'Coeff EC7'!$T$65:$X$85,3,0)*Model0.1C!AX198)/0.9</f>
        <v>#N/A</v>
      </c>
      <c r="BA198" s="102" t="e">
        <f t="shared" si="273"/>
        <v>#N/A</v>
      </c>
      <c r="BB198" s="102" t="e">
        <f t="shared" si="274"/>
        <v>#N/A</v>
      </c>
      <c r="BC198" s="414" t="e">
        <f>IF(BC197=0,0,IF(AND(AY198&gt;charge_ELS_quasi,AZ198&gt;Charge_ELS_freq,BA198&gt;charge_ELU,BB198&gt;charge_ELA,$B198&gt;NDC!$H$22-0.1+MIN(3*$BC$12,1.5)),0,1))</f>
        <v>#N/A</v>
      </c>
      <c r="BD198" s="86" t="b">
        <f t="shared" si="244"/>
        <v>0</v>
      </c>
      <c r="BE198" s="86">
        <f t="shared" si="275"/>
        <v>0.5</v>
      </c>
      <c r="BF198" s="86">
        <f t="shared" si="245"/>
        <v>0.5</v>
      </c>
      <c r="BG198" s="30" t="e">
        <f t="shared" ca="1" si="276"/>
        <v>#DIV/0!</v>
      </c>
      <c r="BH198" s="85" t="e">
        <f ca="1">IF(AN198&lt;=Hypothèses!$V$7,Hypothèses!$W$7,IF(AN198&lt;=Hypothèses!$V$8,Hypothèses!$W$8,IF(AN198&lt;=Hypothèses!$V$9,Hypothèses!$W$9,IF(AN198&lt;=Hypothèses!$V$10,Hypothèses!$W$10,IF(AN198&lt;=Hypothèses!$V$11,Hypothèses!$W$11,IF(AN198&lt;=Hypothèses!$V$12,Hypothèses!$W$12,IF(AN198&lt;=Hypothèses!$V$13,Hypothèses!$W$13,IF(AN198&lt;=Hypothèses!$V$14,Hypothèses!$W$14,IF(AN198&lt;=Hypothèses!$V$15,Hypothèses!$W$15,IF(AN198&lt;=Hypothèses!$V$16,Hypothèses!$W$16,IF(AN198&lt;=Hypothèses!$V$17,Hypothèses!$W$17,IF(AN198&lt;=Hypothèses!$V$18,Hypothèses!$W$18,""))))))))))))</f>
        <v>#DIV/0!</v>
      </c>
      <c r="BI198" s="87" t="e">
        <f t="shared" ca="1" si="318"/>
        <v>#DIV/0!</v>
      </c>
      <c r="BJ198" s="88" t="e">
        <f ca="1">IF(AN198&lt;=Hypothèses!$V$7,Hypothèses!$X$7,IF(AN198&lt;=Hypothèses!$V$8,Hypothèses!$X$8,IF(AN198&lt;=Hypothèses!$V$9,Hypothèses!$X$9,IF(AN198&lt;=Hypothèses!$V$10,Hypothèses!$X$10,IF(AN198&lt;=Hypothèses!$V$11,Hypothèses!$X$11,IF(AN198&lt;=Hypothèses!$V$12,Hypothèses!$X$12,IF(AN198&lt;=Hypothèses!$V$13,Hypothèses!$X$13,IF(AN198&lt;=Hypothèses!$V$14,Hypothèses!$X$14,IF(AN198&lt;=Hypothèses!$V$15,Hypothèses!$X$15,IF(AN198&lt;=Hypothèses!$V$16,Hypothèses!$X$16,IF(AN198&lt;=Hypothèses!$U$17,Hypothèses!$W$17,IF(AN198&lt;=Hypothèses!$U$18,Hypothèses!$W$18,""))))))))))))</f>
        <v>#DIV/0!</v>
      </c>
      <c r="BK198" s="95" t="e">
        <f t="shared" ca="1" si="277"/>
        <v>#DIV/0!</v>
      </c>
      <c r="BL198" s="101" t="e">
        <f t="shared" si="325"/>
        <v>#N/A</v>
      </c>
      <c r="BM198" s="91" t="e">
        <f t="shared" si="246"/>
        <v>#N/A</v>
      </c>
      <c r="BN198" s="30" t="e">
        <f t="shared" si="304"/>
        <v>#N/A</v>
      </c>
      <c r="BO198" s="30" t="e">
        <f t="shared" si="305"/>
        <v>#N/A</v>
      </c>
      <c r="BP198" s="31" t="e">
        <f>IF(OR(Hypothèses!$B$4=17,Hypothèses!$B$4=18,Hypothèses!$B$4=19,Hypothèses!$B$4=20),
IF($D198="Pressio.",
IF(OR($E198=3,$E198=1,$E198=4),BO198,BN198),
IF($D198="Pénétro.",
IF(OR($E198=3,$E198=1,$E198=4),BO198,BN198))),IF($D198="Pressio.",
IF($E198=3,BO198,BN198),
IF($D198="Pénétro.",
IF($E198=4,BO198,BN198))))</f>
        <v>#N/A</v>
      </c>
      <c r="BQ198" s="31" t="e">
        <f>(IF(OR(Hypothèses!$B$4=17,Hypothèses!$B$4=18,Hypothèses!$B$4=19,Hypothèses!$B$4=20),
IF($D198="Pressio.",
IF(OR($E198=3,$E198=1,$E198=4),(PI()*BQ$12^2)/4*(BM198*$W198*1000)/($H198*$B$5),(PI()*BQ$12^2)/4*(BM198*$W198*1000)/($G198*$B$5)),
IF($D198="Pénétro.",
IF(OR($E198=4,$E198=1,$E198=5),(PI()*BQ$12^2)/4*(BM198*$W198*1000)/($H198*$B$5),(PI()*BQ$12^2)/4*(BM198*$W198*1000)/($G198*$B$5)))),
IF($D198="Pressio.",
IF($E198=3,(PI()*BQ$12^2)/4*(BM198*$W198*1000)/($H198*$B$5),(PI()*BQ$12^2)/4*(BM198*$W198*1000)/($G198*$B$5)),
IF($D198="Pénétro.",
IF($E198=4,(PI()*BQ$12^2)/4*(BM198*$W198*1000)/($H198*$B$5),(PI()*BQ$12^2)/4*(BM198*$W198*1000)/($G198*$B$5))))))/10</f>
        <v>#N/A</v>
      </c>
      <c r="BR198" s="102" t="e">
        <f>(VLOOKUP($B$3,'Coeff EC7'!$T$39:$X$59,2,0)*BP198+VLOOKUP($B$3,'Coeff EC7'!$T$65:$X$85,2,0)*Model0.1C!BQ198)/1.1</f>
        <v>#N/A</v>
      </c>
      <c r="BS198" s="102" t="e">
        <f>(VLOOKUP($B$3,'Coeff EC7'!$T$39:$X$59,3,0)*BP198+VLOOKUP($B$3,'Coeff EC7'!$T$65:$X$85,3,0)*Model0.1C!BQ198)/0.9</f>
        <v>#N/A</v>
      </c>
      <c r="BT198" s="102" t="e">
        <f t="shared" si="278"/>
        <v>#N/A</v>
      </c>
      <c r="BU198" s="102" t="e">
        <f t="shared" si="279"/>
        <v>#N/A</v>
      </c>
      <c r="BV198" s="414" t="e">
        <f>IF(BV197=0,0,IF(AND(BR198&gt;charge_ELS_quasi,BS198&gt;Charge_ELS_freq,BT198&gt;charge_ELU,BU198&gt;charge_ELA,$B198&gt;NDC!$H$22-0.1+MIN(3*$BV$12,1.5)),0,1))</f>
        <v>#N/A</v>
      </c>
      <c r="BW198" s="86" t="b">
        <f t="shared" si="247"/>
        <v>0</v>
      </c>
      <c r="BX198" s="86">
        <f t="shared" si="248"/>
        <v>0.5</v>
      </c>
      <c r="BY198" s="86">
        <f t="shared" si="249"/>
        <v>0.5</v>
      </c>
      <c r="BZ198" s="30" t="e">
        <f t="shared" ca="1" si="280"/>
        <v>#DIV/0!</v>
      </c>
      <c r="CA198" s="85" t="e">
        <f ca="1">IF(BG198&lt;=Hypothèses!$V$7,Hypothèses!$W$7,IF(BG198&lt;=Hypothèses!$V$8,Hypothèses!$W$8,IF(BG198&lt;=Hypothèses!$V$9,Hypothèses!$W$9,IF(BG198&lt;=Hypothèses!$V$10,Hypothèses!$W$10,IF(BG198&lt;=Hypothèses!$V$11,Hypothèses!$W$11,IF(BG198&lt;=Hypothèses!$V$12,Hypothèses!$W$12,IF(BG198&lt;=Hypothèses!$V$13,Hypothèses!$W$13,IF(BG198&lt;=Hypothèses!$V$14,Hypothèses!$W$14,IF(BG198&lt;=Hypothèses!$V$15,Hypothèses!$W$15,IF(BG198&lt;=Hypothèses!$V$16,Hypothèses!$W$16,IF(BG198&lt;=Hypothèses!$V$17,Hypothèses!$W$17,IF(BG198&lt;=Hypothèses!$V$18,Hypothèses!$W$18,""))))))))))))</f>
        <v>#DIV/0!</v>
      </c>
      <c r="CB198" s="87" t="e">
        <f t="shared" ca="1" si="319"/>
        <v>#DIV/0!</v>
      </c>
      <c r="CC198" s="88" t="e">
        <f ca="1">IF(BG198&lt;=Hypothèses!$V$7,Hypothèses!$X$7,IF(BG198&lt;=Hypothèses!$V$8,Hypothèses!$X$8,IF(BG198&lt;=Hypothèses!$V$9,Hypothèses!$X$9,IF(BG198&lt;=Hypothèses!$V$10,Hypothèses!$X$10,IF(BG198&lt;=Hypothèses!$V$11,Hypothèses!$X$11,IF(BG198&lt;=Hypothèses!$V$12,Hypothèses!$X$12,IF(BG198&lt;=Hypothèses!$V$13,Hypothèses!$X$13,IF(BG198&lt;=Hypothèses!$V$14,Hypothèses!$X$14,IF(BG198&lt;=Hypothèses!$V$15,Hypothèses!$X$15,IF(BG198&lt;=Hypothèses!$V$16,Hypothèses!$X$16,IF(BG198&lt;=Hypothèses!$U$17,Hypothèses!$W$17,IF(BG198&lt;=Hypothèses!$U$18,Hypothèses!$W$18,""))))))))))))</f>
        <v>#DIV/0!</v>
      </c>
      <c r="CD198" s="95" t="e">
        <f t="shared" ca="1" si="281"/>
        <v>#DIV/0!</v>
      </c>
      <c r="CE198" s="101" t="e">
        <f t="shared" si="326"/>
        <v>#N/A</v>
      </c>
      <c r="CF198" s="91" t="e">
        <f t="shared" si="250"/>
        <v>#N/A</v>
      </c>
      <c r="CG198" s="30" t="e">
        <f t="shared" si="306"/>
        <v>#N/A</v>
      </c>
      <c r="CH198" s="30" t="e">
        <f t="shared" si="307"/>
        <v>#N/A</v>
      </c>
      <c r="CI198" s="31" t="e">
        <f>IF(OR(Hypothèses!$B$4=17,Hypothèses!$B$4=18,Hypothèses!$B$4=19,Hypothèses!$B$4=20),
IF($D198="Pressio.",
IF(OR($E198=3,$E198=1,$E198=4),CH198,CG198),
IF($D198="Pénétro.",
IF(OR($E198=3,$E198=1,$E198=4),CH198,CG198))),IF($D198="Pressio.",
IF($E198=3,CH198,CG198),
IF($D198="Pénétro.",
IF($E198=4,CH198,CG198))))</f>
        <v>#N/A</v>
      </c>
      <c r="CJ198" s="31" t="e">
        <f>(IF(OR(Hypothèses!$B$4=17,Hypothèses!$B$4=18,Hypothèses!$B$4=19,Hypothèses!$B$4=20),
IF($D198="Pressio.",
IF(OR($E198=3,$E198=1,$E198=4),(PI()*CJ$12^2)/4*(CF198*$W198*1000)/($H198*$B$5),(PI()*CJ$12^2)/4*(CF198*$W198*1000)/($G198*$B$5)),
IF($D198="Pénétro.",
IF(OR($E198=4,$E198=1,$E198=5),(PI()*CJ$12^2)/4*(CF198*$W198*1000)/($H198*$B$5),(PI()*CJ$12^2)/4*(CF198*$W198*1000)/($G198*$B$5)))),
IF($D198="Pressio.",
IF($E198=3,(PI()*CJ$12^2)/4*(CF198*$W198*1000)/($H198*$B$5),(PI()*CJ$12^2)/4*(CF198*$W198*1000)/($G198*$B$5)),
IF($D198="Pénétro.",
IF($E198=4,(PI()*CJ$12^2)/4*(CF198*$W198*1000)/($H198*$B$5),(PI()*CJ$12^2)/4*(CF198*$W198*1000)/($G198*$B$5))))))/10</f>
        <v>#N/A</v>
      </c>
      <c r="CK198" s="102" t="e">
        <f>(VLOOKUP($B$3,'Coeff EC7'!$T$39:$X$59,2,0)*CI198+VLOOKUP($B$3,'Coeff EC7'!$T$65:$X$85,2,0)*Model0.1C!CJ198)/1.1</f>
        <v>#N/A</v>
      </c>
      <c r="CL198" s="102" t="e">
        <f>(VLOOKUP($B$3,'Coeff EC7'!$T$39:$X$59,3,0)*CI198+VLOOKUP($B$3,'Coeff EC7'!$T$65:$X$85,3,0)*Model0.1C!CJ198)/0.9</f>
        <v>#N/A</v>
      </c>
      <c r="CM198" s="102" t="e">
        <f t="shared" si="282"/>
        <v>#N/A</v>
      </c>
      <c r="CN198" s="102" t="e">
        <f t="shared" si="283"/>
        <v>#N/A</v>
      </c>
      <c r="CO198" s="414" t="e">
        <f>IF(CO197=0,0,IF(AND(CK198&gt;charge_ELS_quasi,CL198&gt;Charge_ELS_freq,CM198&gt;charge_ELU,CN198&gt;charge_ELA,$B198&gt;NDC!$H$22-0.1+MIN(3*$CO$12,1.5)),0,1))</f>
        <v>#N/A</v>
      </c>
      <c r="CP198" s="86" t="b">
        <f t="shared" si="251"/>
        <v>0</v>
      </c>
      <c r="CQ198" s="86">
        <f t="shared" si="252"/>
        <v>0.5</v>
      </c>
      <c r="CR198" s="86">
        <f t="shared" si="253"/>
        <v>0.5</v>
      </c>
      <c r="CS198" s="30" t="e">
        <f t="shared" ca="1" si="284"/>
        <v>#DIV/0!</v>
      </c>
      <c r="CT198" s="85" t="e">
        <f ca="1">IF(BZ198&lt;=Hypothèses!$V$7,Hypothèses!$W$7,IF(BZ198&lt;=Hypothèses!$V$8,Hypothèses!$W$8,IF(BZ198&lt;=Hypothèses!$V$9,Hypothèses!$W$9,IF(BZ198&lt;=Hypothèses!$V$10,Hypothèses!$W$10,IF(BZ198&lt;=Hypothèses!$V$11,Hypothèses!$W$11,IF(BZ198&lt;=Hypothèses!$V$12,Hypothèses!$W$12,IF(BZ198&lt;=Hypothèses!$V$13,Hypothèses!$W$13,IF(BZ198&lt;=Hypothèses!$V$14,Hypothèses!$W$14,IF(BZ198&lt;=Hypothèses!$V$15,Hypothèses!$W$15,IF(BZ198&lt;=Hypothèses!$V$16,Hypothèses!$W$16,IF(BZ198&lt;=Hypothèses!$V$17,Hypothèses!$W$17,IF(BZ198&lt;=Hypothèses!$V$18,Hypothèses!$W$18,""))))))))))))</f>
        <v>#DIV/0!</v>
      </c>
      <c r="CU198" s="87" t="e">
        <f t="shared" ca="1" si="320"/>
        <v>#DIV/0!</v>
      </c>
      <c r="CV198" s="88" t="e">
        <f ca="1">IF(BZ198&lt;=Hypothèses!$V$7,Hypothèses!$X$7,IF(BZ198&lt;=Hypothèses!$V$8,Hypothèses!$X$8,IF(BZ198&lt;=Hypothèses!$V$9,Hypothèses!$X$9,IF(BZ198&lt;=Hypothèses!$V$10,Hypothèses!$X$10,IF(BZ198&lt;=Hypothèses!$V$11,Hypothèses!$X$11,IF(BZ198&lt;=Hypothèses!$V$12,Hypothèses!$X$12,IF(BZ198&lt;=Hypothèses!$V$13,Hypothèses!$X$13,IF(BZ198&lt;=Hypothèses!$V$14,Hypothèses!$X$14,IF(BZ198&lt;=Hypothèses!$V$15,Hypothèses!$X$15,IF(BZ198&lt;=Hypothèses!$V$16,Hypothèses!$X$16,IF(BZ198&lt;=Hypothèses!$U$17,Hypothèses!$W$17,IF(BZ198&lt;=Hypothèses!$U$18,Hypothèses!$W$18,""))))))))))))</f>
        <v>#DIV/0!</v>
      </c>
      <c r="CW198" s="95" t="e">
        <f t="shared" ca="1" si="285"/>
        <v>#DIV/0!</v>
      </c>
      <c r="CX198" s="101" t="e">
        <f t="shared" si="327"/>
        <v>#N/A</v>
      </c>
      <c r="CY198" s="91" t="e">
        <f t="shared" si="254"/>
        <v>#N/A</v>
      </c>
      <c r="CZ198" s="30" t="e">
        <f t="shared" si="308"/>
        <v>#N/A</v>
      </c>
      <c r="DA198" s="30" t="e">
        <f t="shared" si="309"/>
        <v>#N/A</v>
      </c>
      <c r="DB198" s="31" t="e">
        <f>IF(OR(Hypothèses!$B$4=17,Hypothèses!$B$4=18,Hypothèses!$B$4=19,Hypothèses!$B$4=20),
IF($D198="Pressio.",
IF(OR($E198=3,$E198=1,$E198=4),DA198,CZ198),
IF($D198="Pénétro.",
IF(OR($E198=3,$E198=1,$E198=4),DA198,CZ198))),IF($D198="Pressio.",
IF($E198=3,DA198,CZ198),
IF($D198="Pénétro.",
IF($E198=4,DA198,CZ198))))</f>
        <v>#N/A</v>
      </c>
      <c r="DC198" s="31" t="e">
        <f>(IF(OR(Hypothèses!$B$4=17,Hypothèses!$B$4=18,Hypothèses!$B$4=19,Hypothèses!$B$4=20),
IF($D198="Pressio.",
IF(OR($E198=3,$E198=1,$E198=4),(PI()*DC$12^2)/4*(CY198*$W198*1000)/($H198*$B$5),(PI()*DC$12^2)/4*(CY198*$W198*1000)/($G198*$B$5)),
IF($D198="Pénétro.",
IF(OR($E198=4,$E198=1,$E198=5),(PI()*DC$12^2)/4*(CY198*$W198*1000)/($H198*$B$5),(PI()*DC$12^2)/4*(CY198*$W198*1000)/($G198*$B$5)))),
IF($D198="Pressio.",
IF($E198=3,(PI()*DC$12^2)/4*(CY198*$W198*1000)/($H198*$B$5),(PI()*DC$12^2)/4*(CY198*$W198*1000)/($G198*$B$5)),
IF($D198="Pénétro.",
IF($E198=4,(PI()*DC$12^2)/4*(CY198*$W198*1000)/($H198*$B$5),(PI()*DC$12^2)/4*(CY198*$W198*1000)/($G198*$B$5))))))/10</f>
        <v>#N/A</v>
      </c>
      <c r="DD198" s="102" t="e">
        <f>(VLOOKUP($B$3,'Coeff EC7'!$T$39:$X$59,2,0)*DB198+VLOOKUP($B$3,'Coeff EC7'!$T$65:$X$85,2,0)*Model0.1C!DC198)/1.1</f>
        <v>#N/A</v>
      </c>
      <c r="DE198" s="102" t="e">
        <f>(VLOOKUP($B$3,'Coeff EC7'!$T$39:$X$59,3,0)*DB198+VLOOKUP($B$3,'Coeff EC7'!$T$65:$X$85,3,0)*Model0.1C!DC198)/0.9</f>
        <v>#N/A</v>
      </c>
      <c r="DF198" s="102" t="e">
        <f t="shared" si="286"/>
        <v>#N/A</v>
      </c>
      <c r="DG198" s="102" t="e">
        <f t="shared" si="287"/>
        <v>#N/A</v>
      </c>
      <c r="DH198" s="414" t="e">
        <f>IF(DH197=0,0,IF(AND(DD198&gt;charge_ELS_quasi,DE198&gt;Charge_ELS_freq,DF198&gt;charge_ELU,DG198&gt;charge_ELA,$B198&gt;NDC!$H$22-0.1+MIN(3*$DH$12,1.5)),0,1))</f>
        <v>#N/A</v>
      </c>
      <c r="DI198" s="86" t="b">
        <f t="shared" si="255"/>
        <v>0</v>
      </c>
      <c r="DJ198" s="86">
        <f t="shared" si="256"/>
        <v>0.5</v>
      </c>
      <c r="DK198" s="86">
        <f t="shared" si="257"/>
        <v>0.5</v>
      </c>
      <c r="DL198" s="30" t="e">
        <f t="shared" ca="1" si="288"/>
        <v>#DIV/0!</v>
      </c>
      <c r="DM198" s="85" t="e">
        <f ca="1">IF(CS198&lt;=Hypothèses!$V$7,Hypothèses!$W$7,IF(CS198&lt;=Hypothèses!$V$8,Hypothèses!$W$8,IF(CS198&lt;=Hypothèses!$V$9,Hypothèses!$W$9,IF(CS198&lt;=Hypothèses!$V$10,Hypothèses!$W$10,IF(CS198&lt;=Hypothèses!$V$11,Hypothèses!$W$11,IF(CS198&lt;=Hypothèses!$V$12,Hypothèses!$W$12,IF(CS198&lt;=Hypothèses!$V$13,Hypothèses!$W$13,IF(CS198&lt;=Hypothèses!$V$14,Hypothèses!$W$14,IF(CS198&lt;=Hypothèses!$V$15,Hypothèses!$W$15,IF(CS198&lt;=Hypothèses!$V$16,Hypothèses!$W$16,IF(CS198&lt;=Hypothèses!$V$17,Hypothèses!$W$17,IF(CS198&lt;=Hypothèses!$V$18,Hypothèses!$W$18,""))))))))))))</f>
        <v>#DIV/0!</v>
      </c>
      <c r="DN198" s="87" t="e">
        <f t="shared" ca="1" si="321"/>
        <v>#DIV/0!</v>
      </c>
      <c r="DO198" s="88" t="e">
        <f ca="1">IF(CS198&lt;=Hypothèses!$V$7,Hypothèses!$X$7,IF(CS198&lt;=Hypothèses!$V$8,Hypothèses!$X$8,IF(CS198&lt;=Hypothèses!$V$9,Hypothèses!$X$9,IF(CS198&lt;=Hypothèses!$V$10,Hypothèses!$X$10,IF(CS198&lt;=Hypothèses!$V$11,Hypothèses!$X$11,IF(CS198&lt;=Hypothèses!$V$12,Hypothèses!$X$12,IF(CS198&lt;=Hypothèses!$V$13,Hypothèses!$X$13,IF(CS198&lt;=Hypothèses!$V$14,Hypothèses!$X$14,IF(CS198&lt;=Hypothèses!$V$15,Hypothèses!$X$15,IF(CS198&lt;=Hypothèses!$V$16,Hypothèses!$X$16,IF(CS198&lt;=Hypothèses!$U$17,Hypothèses!$W$17,IF(CS198&lt;=Hypothèses!$U$18,Hypothèses!$W$18,""))))))))))))</f>
        <v>#DIV/0!</v>
      </c>
      <c r="DP198" s="95" t="e">
        <f t="shared" ca="1" si="289"/>
        <v>#DIV/0!</v>
      </c>
      <c r="DQ198" s="101" t="e">
        <f t="shared" si="328"/>
        <v>#N/A</v>
      </c>
      <c r="DR198" s="91" t="e">
        <f t="shared" si="258"/>
        <v>#N/A</v>
      </c>
      <c r="DS198" s="30" t="e">
        <f t="shared" si="310"/>
        <v>#N/A</v>
      </c>
      <c r="DT198" s="30" t="e">
        <f t="shared" si="311"/>
        <v>#N/A</v>
      </c>
      <c r="DU198" s="31" t="e">
        <f>IF(OR(Hypothèses!$B$4=17,Hypothèses!$B$4=18,Hypothèses!$B$4=19,Hypothèses!$B$4=20),
IF($D198="Pressio.",
IF(OR($E198=3,$E198=1,$E198=4),DT198,DS198),
IF($D198="Pénétro.",
IF(OR($E198=3,$E198=1,$E198=4),DT198,DS198))),IF($D198="Pressio.",
IF($E198=3,DT198,DS198),
IF($D198="Pénétro.",
IF($E198=4,DT198,DS198))))</f>
        <v>#N/A</v>
      </c>
      <c r="DV198" s="31" t="e">
        <f>(IF(OR(Hypothèses!$B$4=17,Hypothèses!$B$4=18,Hypothèses!$B$4=19,Hypothèses!$B$4=20),
IF($D198="Pressio.",
IF(OR($E198=3,$E198=1,$E198=4),(PI()*DV$12^2)/4*(DR198*$W198*1000)/($H198*$B$5),(PI()*DV$12^2)/4*(DR198*$W198*1000)/($G198*$B$5)),
IF($D198="Pénétro.",
IF(OR($E198=4,$E198=1,$E198=5),(PI()*DV$12^2)/4*(DR198*$W198*1000)/($H198*$B$5),(PI()*DV$12^2)/4*(DR198*$W198*1000)/($G198*$B$5)))),
IF($D198="Pressio.",
IF($E198=3,(PI()*DV$12^2)/4*(DR198*$W198*1000)/($H198*$B$5),(PI()*DV$12^2)/4*(DR198*$W198*1000)/($G198*$B$5)),
IF($D198="Pénétro.",
IF($E198=4,(PI()*DV$12^2)/4*(DR198*$W198*1000)/($H198*$B$5),(PI()*DV$12^2)/4*(DR198*$W198*1000)/($G198*$B$5))))))/10</f>
        <v>#N/A</v>
      </c>
      <c r="DW198" s="102" t="e">
        <f>(VLOOKUP($B$3,'Coeff EC7'!$T$39:$X$59,2,0)*DU198+VLOOKUP($B$3,'Coeff EC7'!$T$65:$X$85,2,0)*Model0.1C!DV198)/1.1</f>
        <v>#N/A</v>
      </c>
      <c r="DX198" s="102" t="e">
        <f>(VLOOKUP($B$3,'Coeff EC7'!$T$39:$X$59,3,0)*DU198+VLOOKUP($B$3,'Coeff EC7'!$T$65:$X$85,3,0)*Model0.1C!DV198)/0.9</f>
        <v>#N/A</v>
      </c>
      <c r="DY198" s="102" t="e">
        <f t="shared" si="290"/>
        <v>#N/A</v>
      </c>
      <c r="DZ198" s="102" t="e">
        <f t="shared" si="291"/>
        <v>#N/A</v>
      </c>
      <c r="EA198" s="414" t="e">
        <f>IF(EA197=0,0,IF(AND(DW198&gt;charge_ELS_quasi,DX198&gt;Charge_ELS_freq,DY198&gt;charge_ELU,DZ198&gt;charge_ELA,$B198&gt;NDC!$H$22-0.1+MIN(3*$EA$12,1.5)),0,1))</f>
        <v>#N/A</v>
      </c>
      <c r="EB198" s="86" t="b">
        <f t="shared" si="259"/>
        <v>0</v>
      </c>
      <c r="EC198" s="418">
        <f t="shared" si="260"/>
        <v>0.51</v>
      </c>
      <c r="ED198" s="86">
        <f t="shared" si="261"/>
        <v>0.51</v>
      </c>
      <c r="EE198" s="30" t="e">
        <f t="shared" ca="1" si="292"/>
        <v>#DIV/0!</v>
      </c>
      <c r="EF198" s="85" t="e">
        <f ca="1">IF(DL198&lt;=Hypothèses!$V$7,Hypothèses!$W$7,IF(DL198&lt;=Hypothèses!$V$8,Hypothèses!$W$8,IF(DL198&lt;=Hypothèses!$V$9,Hypothèses!$W$9,IF(DL198&lt;=Hypothèses!$V$10,Hypothèses!$W$10,IF(DL198&lt;=Hypothèses!$V$11,Hypothèses!$W$11,IF(DL198&lt;=Hypothèses!$V$12,Hypothèses!$W$12,IF(DL198&lt;=Hypothèses!$V$13,Hypothèses!$W$13,IF(DL198&lt;=Hypothèses!$V$14,Hypothèses!$W$14,IF(DL198&lt;=Hypothèses!$V$15,Hypothèses!$W$15,IF(DL198&lt;=Hypothèses!$V$16,Hypothèses!$W$16,IF(DL198&lt;=Hypothèses!$V$17,Hypothèses!$W$17,IF(DL198&lt;=Hypothèses!$V$18,Hypothèses!$W$18,""))))))))))))</f>
        <v>#DIV/0!</v>
      </c>
      <c r="EG198" s="87" t="e">
        <f t="shared" ca="1" si="322"/>
        <v>#DIV/0!</v>
      </c>
      <c r="EH198" s="88" t="e">
        <f ca="1">IF(DL198&lt;=Hypothèses!$V$7,Hypothèses!$X$7,IF(DL198&lt;=Hypothèses!$V$8,Hypothèses!$X$8,IF(DL198&lt;=Hypothèses!$V$9,Hypothèses!$X$9,IF(DL198&lt;=Hypothèses!$V$10,Hypothèses!$X$10,IF(DL198&lt;=Hypothèses!$V$11,Hypothèses!$X$11,IF(DL198&lt;=Hypothèses!$V$12,Hypothèses!$X$12,IF(DL198&lt;=Hypothèses!$V$13,Hypothèses!$X$13,IF(DL198&lt;=Hypothèses!$V$14,Hypothèses!$X$14,IF(DL198&lt;=Hypothèses!$V$15,Hypothèses!$X$15,IF(DL198&lt;=Hypothèses!$V$16,Hypothèses!$X$16,IF(DL198&lt;=Hypothèses!$U$17,Hypothèses!$W$17,IF(DL198&lt;=Hypothèses!$U$18,Hypothèses!$W$18,""))))))))))))</f>
        <v>#DIV/0!</v>
      </c>
      <c r="EI198" s="95" t="e">
        <f t="shared" ca="1" si="293"/>
        <v>#DIV/0!</v>
      </c>
      <c r="EJ198" s="101" t="e">
        <f t="shared" si="329"/>
        <v>#N/A</v>
      </c>
      <c r="EK198" s="91" t="e">
        <f t="shared" si="262"/>
        <v>#N/A</v>
      </c>
      <c r="EL198" s="30" t="e">
        <f t="shared" si="312"/>
        <v>#N/A</v>
      </c>
      <c r="EM198" s="30" t="e">
        <f t="shared" si="313"/>
        <v>#N/A</v>
      </c>
      <c r="EN198" s="31" t="e">
        <f>IF(OR(Hypothèses!$B$4=17,Hypothèses!$B$4=18,Hypothèses!$B$4=19,Hypothèses!$B$4=20),
IF($D198="Pressio.",
IF(OR($E198=3,$E198=1,$E198=4),EM198,EL198),
IF($D198="Pénétro.",
IF(OR($E198=3,$E198=1,$E198=4),EM198,EL198))),IF($D198="Pressio.",
IF($E198=3,EM198,EL198),
IF($D198="Pénétro.",
IF($E198=4,EM198,EL198))))</f>
        <v>#N/A</v>
      </c>
      <c r="EO198" s="31" t="e">
        <f>(IF(OR(Hypothèses!$B$4=17,Hypothèses!$B$4=18,Hypothèses!$B$4=19,Hypothèses!$B$4=20),
IF($D198="Pressio.",
IF(OR($E198=3,$E198=1,$E198=4),(PI()*EO$12^2)/4*(EK198*$W198*1000)/($H198*$B$5),(PI()*EO$12^2)/4*(EK198*$W198*1000)/($G198*$B$5)),
IF($D198="Pénétro.",
IF(OR($E198=4,$E198=1,$E198=5),(PI()*EO$12^2)/4*(EK198*$W198*1000)/($H198*$B$5),(PI()*EO$12^2)/4*(EK198*$W198*1000)/($G198*$B$5)))),
IF($D198="Pressio.",
IF($E198=3,(PI()*EO$12^2)/4*(EK198*$W198*1000)/($H198*$B$5),(PI()*EO$12^2)/4*(EK198*$W198*1000)/($G198*$B$5)),
IF($D198="Pénétro.",
IF($E198=4,(PI()*EO$12^2)/4*(EK198*$W198*1000)/($H198*$B$5),(PI()*EO$12^2)/4*(EK198*$W198*1000)/($G198*$B$5))))))/10</f>
        <v>#N/A</v>
      </c>
      <c r="EP198" s="102" t="e">
        <f>(VLOOKUP($B$3,'Coeff EC7'!$T$39:$X$59,2,0)*EN198+VLOOKUP($B$3,'Coeff EC7'!$T$65:$X$85,2,0)*Model0.1C!EO198)/1.1</f>
        <v>#N/A</v>
      </c>
      <c r="EQ198" s="102" t="e">
        <f>(VLOOKUP($B$3,'Coeff EC7'!$T$39:$X$59,3,0)*EN198+VLOOKUP($B$3,'Coeff EC7'!$T$65:$X$85,3,0)*Model0.1C!EO198)/0.9</f>
        <v>#N/A</v>
      </c>
      <c r="ER198" s="102" t="e">
        <f t="shared" si="294"/>
        <v>#N/A</v>
      </c>
      <c r="ES198" s="102" t="e">
        <f t="shared" si="295"/>
        <v>#N/A</v>
      </c>
      <c r="ET198" s="414" t="e">
        <f>IF(ET197=0,0,IF(AND(EP198&gt;charge_ELS_quasi,EQ198&gt;Charge_ELS_freq,ER198&gt;charge_ELU,ES198&gt;charge_ELA,$B198&gt;NDC!$H$22-0.1+MIN(3*$ET$12,1.5)),0,1))</f>
        <v>#N/A</v>
      </c>
      <c r="EU198" s="86" t="b">
        <f t="shared" si="263"/>
        <v>0</v>
      </c>
      <c r="EV198" s="86">
        <f t="shared" si="264"/>
        <v>0.61</v>
      </c>
      <c r="EW198" s="86">
        <f t="shared" si="265"/>
        <v>0.61</v>
      </c>
      <c r="EX198" s="30" t="e">
        <f t="shared" ca="1" si="296"/>
        <v>#DIV/0!</v>
      </c>
      <c r="EY198" s="85" t="e">
        <f ca="1">IF(EE198&lt;=Hypothèses!$V$7,Hypothèses!$W$7,IF(EE198&lt;=Hypothèses!$V$8,Hypothèses!$W$8,IF(EE198&lt;=Hypothèses!$V$9,Hypothèses!$W$9,IF(EE198&lt;=Hypothèses!$V$10,Hypothèses!$W$10,IF(EE198&lt;=Hypothèses!$V$11,Hypothèses!$W$11,IF(EE198&lt;=Hypothèses!$V$12,Hypothèses!$W$12,IF(EE198&lt;=Hypothèses!$V$13,Hypothèses!$W$13,IF(EE198&lt;=Hypothèses!$V$14,Hypothèses!$W$14,IF(EE198&lt;=Hypothèses!$V$15,Hypothèses!$W$15,IF(EE198&lt;=Hypothèses!$V$16,Hypothèses!$W$16,IF(EE198&lt;=Hypothèses!$V$17,Hypothèses!$W$17,IF(EE198&lt;=Hypothèses!$V$18,Hypothèses!$W$18,""))))))))))))</f>
        <v>#DIV/0!</v>
      </c>
      <c r="EZ198" s="87" t="e">
        <f t="shared" ca="1" si="323"/>
        <v>#DIV/0!</v>
      </c>
      <c r="FA198" s="88" t="e">
        <f ca="1">IF(EE198&lt;=Hypothèses!$V$7,Hypothèses!$X$7,IF(EE198&lt;=Hypothèses!$V$8,Hypothèses!$X$8,IF(EE198&lt;=Hypothèses!$V$9,Hypothèses!$X$9,IF(EE198&lt;=Hypothèses!$V$10,Hypothèses!$X$10,IF(EE198&lt;=Hypothèses!$V$11,Hypothèses!$X$11,IF(EE198&lt;=Hypothèses!$V$12,Hypothèses!$X$12,IF(EE198&lt;=Hypothèses!$V$13,Hypothèses!$X$13,IF(EE198&lt;=Hypothèses!$V$14,Hypothèses!$X$14,IF(EE198&lt;=Hypothèses!$V$15,Hypothèses!$X$15,IF(EE198&lt;=Hypothèses!$V$16,Hypothèses!$X$16,IF(EE198&lt;=Hypothèses!$U$17,Hypothèses!$W$17,IF(EE198&lt;=Hypothèses!$U$18,Hypothèses!$W$18,""))))))))))))</f>
        <v>#DIV/0!</v>
      </c>
      <c r="FB198" s="95" t="e">
        <f t="shared" ca="1" si="297"/>
        <v>#DIV/0!</v>
      </c>
      <c r="FC198" s="101" t="e">
        <f t="shared" si="330"/>
        <v>#N/A</v>
      </c>
      <c r="FD198" s="91" t="e">
        <f t="shared" si="266"/>
        <v>#N/A</v>
      </c>
      <c r="FE198" s="30" t="e">
        <f t="shared" si="314"/>
        <v>#N/A</v>
      </c>
      <c r="FF198" s="30" t="e">
        <f t="shared" si="315"/>
        <v>#N/A</v>
      </c>
      <c r="FG198" s="31" t="e">
        <f>IF(OR(Hypothèses!$B$4=17,Hypothèses!$B$4=18,Hypothèses!$B$4=19,Hypothèses!$B$4=20),
IF($D198="Pressio.",
IF(OR($E198=3,$E198=1,$E198=4),FF198,FE198),
IF($D198="Pénétro.",
IF(OR($E198=3,$E198=1,$E198=4),FF198,FE198))),IF($D198="Pressio.",
IF($E198=3,FF198,FE198),
IF($D198="Pénétro.",
IF($E198=4,FF198,FE198))))</f>
        <v>#N/A</v>
      </c>
      <c r="FH198" s="31" t="e">
        <f>(IF(OR(Hypothèses!$B$4=17,Hypothèses!$B$4=18,Hypothèses!$B$4=19,Hypothèses!$B$4=20),
IF($D198="Pressio.",
IF(OR($E198=3,$E198=1,$E198=4),(PI()*FH$12^2)/4*(FD198*$W198*1000)/($H198*$B$5),(PI()*FH$12^2)/4*(FD198*$W198*1000)/($G198*$B$5)),
IF($D198="Pénétro.",
IF(OR($E198=4,$E198=1,$E198=5),(PI()*FH$12^2)/4*(FD198*$W198*1000)/($H198*$B$5),(PI()*FH$12^2)/4*(FD198*$W198*1000)/($G198*$B$5)))),
IF($D198="Pressio.",
IF($E198=3,(PI()*FH$12^2)/4*(FD198*$W198*1000)/($H198*$B$5),(PI()*FH$12^2)/4*(FD198*$W198*1000)/($G198*$B$5)),
IF($D198="Pénétro.",
IF($E198=4,(PI()*FH$12^2)/4*(FD198*$W198*1000)/($H198*$B$5),(PI()*FH$12^2)/4*(FD198*$W198*1000)/($G198*$B$5))))))/10</f>
        <v>#N/A</v>
      </c>
      <c r="FI198" s="102" t="e">
        <f>(VLOOKUP($B$3,'Coeff EC7'!$T$39:$X$59,2,0)*FG198+VLOOKUP($B$3,'Coeff EC7'!$T$65:$X$85,2,0)*Model0.1C!FH198)/1.1</f>
        <v>#N/A</v>
      </c>
      <c r="FJ198" s="102" t="e">
        <f>(VLOOKUP($B$3,'Coeff EC7'!$T$39:$X$59,3,0)*FG198+VLOOKUP($B$3,'Coeff EC7'!$T$65:$X$85,3,0)*Model0.1C!FH198)/0.9</f>
        <v>#N/A</v>
      </c>
      <c r="FK198" s="102" t="e">
        <f t="shared" si="298"/>
        <v>#N/A</v>
      </c>
      <c r="FL198" s="102" t="e">
        <f t="shared" si="299"/>
        <v>#N/A</v>
      </c>
      <c r="FM198" s="414" t="e">
        <f>IF(FM197=0,0,IF(AND(FI198&gt;charge_ELS_quasi,FJ198&gt;Charge_ELS_freq,FK198&gt;charge_ELU,FL198&gt;charge_ELA,$B198&gt;NDC!$H$22-0.1+MIN(3*$FM$12,1.5)),0,1))</f>
        <v>#N/A</v>
      </c>
    </row>
    <row r="199" spans="1:169">
      <c r="A199" s="96">
        <f t="shared" si="267"/>
        <v>81.400000000001057</v>
      </c>
      <c r="B199" s="97">
        <v>18.600000000000001</v>
      </c>
      <c r="C199" s="81">
        <f>IF(B199&lt;=Hypothèses!$C$7,Hypothèses!$A$7,IF(B199&lt;=Hypothèses!$C$8,Hypothèses!$A$8,IF(B199&lt;=Hypothèses!$C$9,Hypothèses!$A$9,IF(B199&lt;=Hypothèses!$C$10,Hypothèses!$A$10,IF(B199&lt;=Hypothèses!$C$11,Hypothèses!$A$11,IF(B199&lt;=Hypothèses!$C$12,Hypothèses!$A$12,IF(B199&lt;=Hypothèses!$C$13,Hypothèses!$A$13,IF(B199&lt;=Hypothèses!$C$14,Hypothèses!$A$14,IF(B199&lt;=Hypothèses!$C$15,Hypothèses!$A$15,IF(B199&lt;=Hypothèses!$C$16,Hypothèses!$A$16,IF(B199&lt;=Hypothèses!$C$17,Hypothèses!$A$17,IF(B199&lt;=Hypothèses!$C$18,Hypothèses!$A$18,C198))))))))))))</f>
        <v>11</v>
      </c>
      <c r="D199" s="82" t="str">
        <f>IF(B199&lt;=Hypothèses!$C$7,Hypothèses!$R$7,IF(B199&lt;=Hypothèses!$C$8,Hypothèses!$R$8,IF(B199&lt;=Hypothèses!$C$9,Hypothèses!$R$9,IF(B199&lt;=Hypothèses!$C$10,Hypothèses!$R$10,IF(B199&lt;=Hypothèses!$C$11,Hypothèses!$R$11,IF(B199&lt;=Hypothèses!$C$12,Hypothèses!$R$12,IF(B199&lt;=Hypothèses!$C$13,Hypothèses!$R$13,IF(B199&lt;=Hypothèses!$C$14,Hypothèses!$R$14,IF(B199&lt;=Hypothèses!$C$15,Hypothèses!$R$15,IF(B199&lt;=Hypothèses!$C$16,Hypothèses!$R$16,IF(B199&lt;=Hypothèses!$C$17,Hypothèses!$R$17,IF(B199&lt;=Hypothèses!$C$18,Hypothèses!$R$18,D198))))))))))))</f>
        <v>Pressio.</v>
      </c>
      <c r="E199" s="82" t="e">
        <f>IF(B199&lt;=Hypothèses!$C$7,Hypothèses!$G$7,IF(B199&lt;=Hypothèses!$C$8,Hypothèses!$G$8,IF(B199&lt;=Hypothèses!$C$9,Hypothèses!$G$9,IF(B199&lt;=Hypothèses!$C$10,Hypothèses!$G$10,IF(B199&lt;=Hypothèses!$C$11,Hypothèses!$G$11,IF(B199&lt;=Hypothèses!$C$12,Hypothèses!$G$12,IF(B199&lt;=Hypothèses!$C$13,Hypothèses!$G$13,IF(B199&lt;=Hypothèses!$C$14,Hypothèses!$G$14,IF(B199&lt;=Hypothèses!$C$15,Hypothèses!$G$15,IF(B199&lt;=Hypothèses!$C$16,Hypothèses!$G$16,IF(B199&lt;=Hypothèses!$C$17,Hypothèses!$G$17,IF(B199&lt;=Hypothèses!$C$18,Hypothèses!$G$18,E198))))))))))))</f>
        <v>#N/A</v>
      </c>
      <c r="F199" s="82" t="str">
        <f>IF(B199&lt;=Hypothèses!$C$7,Hypothèses!$F$7,IF(B199&lt;=Hypothèses!$C$8,Hypothèses!$F$8,IF(B199&lt;=Hypothèses!$C$9,Hypothèses!$F$9,IF(B199&lt;=Hypothèses!$C$10,Hypothèses!$F$10,IF(B199&lt;=Hypothèses!$C$11,Hypothèses!$F$11,IF(B199&lt;=Hypothèses!$C$12,Hypothèses!$F$12,IF(B199&lt;=Hypothèses!$C$13,Hypothèses!$F$13,IF(B199&lt;=Hypothèses!$C$14,Hypothèses!$F$14,IF(B199&lt;=Hypothèses!$C$15,Hypothèses!$F$15,IF(B199&lt;=Hypothèses!$C$16,Hypothèses!$F$16,IF(B199&lt;=Hypothèses!$C$17,Hypothèses!$F$17,IF(B199&lt;=Hypothèses!$C$18,Hypothèses!$F$18,F198))))))))))))</f>
        <v/>
      </c>
      <c r="G199" s="91">
        <f t="array" ref="G199">INDEX('Coeff EC7'!$U$7:$X$27,
MATCH(Model0.1C!$B$3,'Coeff EC7'!$T$7:$T$27,0),
MATCH(Model0.1C!$D199&amp;Model0.1C!$B$4,
'Coeff EC7'!$U$6:$X$6&amp;
'Coeff EC7'!$U$5:$X$5,0))</f>
        <v>1.1499999999999999</v>
      </c>
      <c r="H199" s="91">
        <f t="array" ref="H199">INDEX('Coeff EC7'!$Y$7:$AB$27,
MATCH(Model0.1C!$B$3,'Coeff EC7'!$T$7:$T$27,0),
MATCH(Model0.1C!$D199&amp;Model0.1C!$B$4,
'Coeff EC7'!$Y$6:$AB$6&amp;
'Coeff EC7'!$Y$5:$AB$5,0))</f>
        <v>1.4</v>
      </c>
      <c r="I199" s="83" t="e">
        <f>IF(B199&lt;=Hypothèses!$C$7,Hypothèses!$P$7,IF(B199&lt;=Hypothèses!$C$8,Hypothèses!$P$8,IF(B199&lt;=Hypothèses!$C$9,Hypothèses!$P$9,IF(B199&lt;=Hypothèses!$C$10,Hypothèses!$P$10,IF(B199&lt;=Hypothèses!$C$11,Hypothèses!$P$11,IF(B199&lt;=Hypothèses!$C$12,Hypothèses!$P$12,IF(B199&lt;=Hypothèses!$C$13,Hypothèses!$P$13,IF(B199&lt;=Hypothèses!$C$14,Hypothèses!$P$14,IF(B199&lt;=Hypothèses!$C$15,Hypothèses!$P$15,IF(B199&lt;=Hypothèses!$C$16,Hypothèses!$P$16,IF(B199&lt;=Hypothèses!$C$17,Hypothèses!$P$17,IF(B199&lt;=Hypothèses!$C$18,Hypothèses!$P$18,I198))))))))))))</f>
        <v>#N/A</v>
      </c>
      <c r="J199" s="91" t="e">
        <f t="array" ref="J199">INDEX('Coeff EC7'!$D$33:$Q$33,1,MATCH(D199&amp;E199,'Coeff EC7'!$D$31:$Q$31&amp;'Coeff EC7'!$D$32:$Q$32,0))</f>
        <v>#N/A</v>
      </c>
      <c r="K199" s="91" t="e">
        <f t="array" ref="K199">INDEX('Coeff EC7'!$D$34:$Q$34,1,MATCH(D199&amp;E199,'Coeff EC7'!$D$31:$Q$31&amp;'Coeff EC7'!$D$32:$Q$32,0))</f>
        <v>#N/A</v>
      </c>
      <c r="L199" s="91" t="e">
        <f t="array" ref="L199">INDEX('Coeff EC7'!$D$35:$Q$35,1,MATCH(D199&amp;E199,'Coeff EC7'!$D$31:$Q$31&amp;'Coeff EC7'!$D$32:$Q$32,0))</f>
        <v>#N/A</v>
      </c>
      <c r="M199" s="98" t="e">
        <f t="shared" si="231"/>
        <v>#N/A</v>
      </c>
      <c r="N199" s="99" t="e">
        <f t="array" ref="N199">INDEX('Coeff EC7'!$D$7:$Q$27,MATCH($B$3,'Coeff EC7'!$C$7:$C$27,0),MATCH(D199&amp;E199,'Coeff EC7'!$D$5:$Q$5&amp;'Coeff EC7'!$D$6:$Q$6,0))</f>
        <v>#N/A</v>
      </c>
      <c r="O199" s="99" t="e">
        <f t="array" ref="O199">INDEX('Coeff EC7'!$D$41:$Q$61,MATCH($B$3,'Coeff EC7'!$C$41:$C$61,0),MATCH(D199&amp;E199,'Coeff EC7'!$D$39:$Q$39&amp;'Coeff EC7'!$D$40:$Q$40,0))</f>
        <v>#N/A</v>
      </c>
      <c r="P199" s="30" t="e">
        <f t="shared" si="268"/>
        <v>#N/A</v>
      </c>
      <c r="Q199" s="100" t="e">
        <f t="shared" si="233"/>
        <v>#N/A</v>
      </c>
      <c r="R199" s="86" t="b">
        <f t="shared" si="234"/>
        <v>0</v>
      </c>
      <c r="S199" s="86">
        <f t="shared" si="232"/>
        <v>0.5</v>
      </c>
      <c r="T199" s="86">
        <f t="shared" si="235"/>
        <v>0.5</v>
      </c>
      <c r="U199" s="30" t="e">
        <f t="shared" ca="1" si="269"/>
        <v>#DIV/0!</v>
      </c>
      <c r="V199" s="85" t="str">
        <f>IF(B199&lt;=Hypothèses!$V$7,Hypothèses!$W$7,IF(B199&lt;=Hypothèses!$V$8,Hypothèses!$W$8,IF(B199&lt;=Hypothèses!$V$9,Hypothèses!$W$9,IF(B199&lt;=Hypothèses!$V$10,Hypothèses!$W$10,IF(B199&lt;=Hypothèses!$V$11,Hypothèses!$W$11,IF(B199&lt;=Hypothèses!$V$12,Hypothèses!$W$12,IF(B199&lt;=Hypothèses!$V$13,Hypothèses!$W$13,IF(B199&lt;=Hypothèses!$V$14,Hypothèses!$W$14,IF(B199&lt;=Hypothèses!$V$15,Hypothèses!$W$15,IF(B199&lt;=Hypothèses!$V$16,Hypothèses!$W$16,IF(B199&lt;=Hypothèses!$V$17,Hypothèses!$W$17,IF(B199&lt;=Hypothèses!$V$18,Hypothèses!$W$18,""))))))))))))</f>
        <v/>
      </c>
      <c r="W199" s="87" t="e">
        <f t="shared" ca="1" si="316"/>
        <v>#DIV/0!</v>
      </c>
      <c r="X199" s="88" t="str">
        <f>IF(B199&lt;=Hypothèses!$V$7,Hypothèses!$X$7,IF(B199&lt;=Hypothèses!$V$8,Hypothèses!$X$8,IF(B199&lt;=Hypothèses!$V$9,Hypothèses!$X$9,IF(B199&lt;=Hypothèses!$V$10,Hypothèses!$X$10,IF(B199&lt;=Hypothèses!$V$11,Hypothèses!$X$11,IF(B199&lt;=Hypothèses!$V$12,Hypothèses!$X$12,IF(B199&lt;=Hypothèses!$V$13,Hypothèses!$X$13,IF(B199&lt;=Hypothèses!$V$14,Hypothèses!$X$14,IF(B199&lt;=Hypothèses!$V$15,Hypothèses!$X$15,IF(B199&lt;=Hypothèses!$V$16,Hypothèses!$X$16,IF(B199&lt;=Hypothèses!$U$17,Hypothèses!$W$17,IF(B199&lt;=Hypothèses!$U$18,Hypothèses!$W$18,""))))))))))))</f>
        <v/>
      </c>
      <c r="Y199" s="95" t="e">
        <f t="shared" ca="1" si="236"/>
        <v>#DIV/0!</v>
      </c>
      <c r="Z199" s="101" t="e">
        <f t="shared" si="237"/>
        <v>#N/A</v>
      </c>
      <c r="AA199" s="91" t="e">
        <f t="shared" si="238"/>
        <v>#N/A</v>
      </c>
      <c r="AB199" s="30" t="e">
        <f t="shared" si="300"/>
        <v>#N/A</v>
      </c>
      <c r="AC199" s="30" t="e">
        <f t="shared" si="301"/>
        <v>#N/A</v>
      </c>
      <c r="AD199" s="31" t="e">
        <f>IF(OR(Hypothèses!$B$4=17,Hypothèses!$B$4=18,Hypothèses!$B$4=19,Hypothèses!$B$4=20),
IF($D199="Pressio.",
IF(OR($E199=3,$E199=1,$E199=4),AC199,AB199),
IF($D199="Pénétro.",
IF(OR($E199=3,$E199=1,$E199=4),AC199,AB199))),IF($D199="Pressio.",
IF($E199=3,AC199,AB199),
IF($D199="Pénétro.",
IF($E199=4,AC199,AB199))))</f>
        <v>#N/A</v>
      </c>
      <c r="AE199" s="31" t="e">
        <f>(IF(OR(Hypothèses!$B$4=17,Hypothèses!$B$4=18,Hypothèses!$B$4=19,Hypothèses!$B$4=20),
IF($D199="Pressio.",
IF(OR($E199=3,$E199=1,$E199=4),(PI()*AE$12^2)/4*(AA199*$W199*1000)/($H199*$B$5),(PI()*AE$12^2)/4*(AA199*$W199*1000)/($G199*$B$5)),
IF($D199="Pénétro.",
IF(OR($E199=4,$E199=1,$E199=5),(PI()*AE$12^2)/4*(AA199*$W199*1000)/($H199*$B$5),(PI()*AE$12^2)/4*(AA199*$W199*1000)/($G199*$B$5)))),
IF($D199="Pressio.",
IF($E199=3,(PI()*AE$12^2)/4*(AA199*$W199*1000)/($H199*$B$5),(PI()*AE$12^2)/4*(AA199*$W199*1000)/($G199*$B$5)),
IF($D199="Pénétro.",
IF($E199=4,(PI()*AE$12^2)/4*(AA199*$W199*1000)/($H199*$B$5),(PI()*AE$12^2)/4*(AA199*$W199*1000)/($G199*$B$5))))))/10</f>
        <v>#N/A</v>
      </c>
      <c r="AF199" s="102" t="e">
        <f>(VLOOKUP($B$3,'Coeff EC7'!$T$39:$X$59,2,0)*AD199+VLOOKUP($B$3,'Coeff EC7'!$T$65:$X$85,2,0)*Model0.1C!AE199)/1.1</f>
        <v>#N/A</v>
      </c>
      <c r="AG199" s="102" t="e">
        <f>(VLOOKUP($B$3,'Coeff EC7'!$T$39:$X$59,3,0)*AD199+VLOOKUP($B$3,'Coeff EC7'!$T$65:$X$85,3,0)*Model0.1C!AE199)/0.9</f>
        <v>#N/A</v>
      </c>
      <c r="AH199" s="102" t="e">
        <f t="shared" si="239"/>
        <v>#N/A</v>
      </c>
      <c r="AI199" s="102" t="e">
        <f t="shared" si="240"/>
        <v>#N/A</v>
      </c>
      <c r="AJ199" s="414" t="e">
        <f>IF(AJ198=0,0,IF(AND(AF199&gt;charge_ELS_quasi,AG199&gt;Charge_ELS_freq,AH199&gt;charge_ELU,AI199&gt;charge_ELA,$B199&gt;NDC!$H$22-0.1+MIN(3*$AJ$12,1.5)),0,1))</f>
        <v>#N/A</v>
      </c>
      <c r="AK199" s="86" t="b">
        <f t="shared" si="241"/>
        <v>0</v>
      </c>
      <c r="AL199" s="86">
        <f t="shared" si="270"/>
        <v>0.5</v>
      </c>
      <c r="AM199" s="86">
        <f t="shared" si="242"/>
        <v>0.5</v>
      </c>
      <c r="AN199" s="30" t="e">
        <f t="shared" ca="1" si="271"/>
        <v>#DIV/0!</v>
      </c>
      <c r="AO199" s="85" t="e">
        <f ca="1">IF(U199&lt;=Hypothèses!$V$7,Hypothèses!$W$7,IF(U199&lt;=Hypothèses!$V$8,Hypothèses!$W$8,IF(U199&lt;=Hypothèses!$V$9,Hypothèses!$W$9,IF(U199&lt;=Hypothèses!$V$10,Hypothèses!$W$10,IF(U199&lt;=Hypothèses!$V$11,Hypothèses!$W$11,IF(U199&lt;=Hypothèses!$V$12,Hypothèses!$W$12,IF(U199&lt;=Hypothèses!$V$13,Hypothèses!$W$13,IF(U199&lt;=Hypothèses!$V$14,Hypothèses!$W$14,IF(U199&lt;=Hypothèses!$V$15,Hypothèses!$W$15,IF(U199&lt;=Hypothèses!$V$16,Hypothèses!$W$16,IF(U199&lt;=Hypothèses!$V$17,Hypothèses!$W$17,IF(U199&lt;=Hypothèses!$V$18,Hypothèses!$W$18,""))))))))))))</f>
        <v>#DIV/0!</v>
      </c>
      <c r="AP199" s="87" t="e">
        <f t="shared" ca="1" si="317"/>
        <v>#DIV/0!</v>
      </c>
      <c r="AQ199" s="88" t="e">
        <f ca="1">IF(U199&lt;=Hypothèses!$V$7,Hypothèses!$X$7,IF(U199&lt;=Hypothèses!$V$8,Hypothèses!$X$8,IF(U199&lt;=Hypothèses!$V$9,Hypothèses!$X$9,IF(U199&lt;=Hypothèses!$V$10,Hypothèses!$X$10,IF(U199&lt;=Hypothèses!$V$11,Hypothèses!$X$11,IF(U199&lt;=Hypothèses!$V$12,Hypothèses!$X$12,IF(U199&lt;=Hypothèses!$V$13,Hypothèses!$X$13,IF(U199&lt;=Hypothèses!$V$14,Hypothèses!$X$14,IF(U199&lt;=Hypothèses!$V$15,Hypothèses!$X$15,IF(U199&lt;=Hypothèses!$V$16,Hypothèses!$X$16,IF(U199&lt;=Hypothèses!$U$17,Hypothèses!$W$17,IF(U199&lt;=Hypothèses!$U$18,Hypothèses!$W$18,""))))))))))))</f>
        <v>#DIV/0!</v>
      </c>
      <c r="AR199" s="95" t="e">
        <f t="shared" ca="1" si="272"/>
        <v>#DIV/0!</v>
      </c>
      <c r="AS199" s="101" t="e">
        <f t="shared" si="324"/>
        <v>#N/A</v>
      </c>
      <c r="AT199" s="91" t="e">
        <f t="shared" si="243"/>
        <v>#N/A</v>
      </c>
      <c r="AU199" s="30" t="e">
        <f t="shared" si="302"/>
        <v>#N/A</v>
      </c>
      <c r="AV199" s="30" t="e">
        <f t="shared" si="303"/>
        <v>#N/A</v>
      </c>
      <c r="AW199" s="31" t="e">
        <f>IF(OR(Hypothèses!$B$4=17,Hypothèses!$B$4=18,Hypothèses!$B$4=19,Hypothèses!$B$4=20),
IF($D199="Pressio.",
IF(OR($E199=3,$E199=1,$E199=4),AV199,AU199),
IF($D199="Pénétro.",
IF(OR($E199=3,$E199=1,$E199=4),AV199,AU199))),IF($D199="Pressio.",
IF($E199=3,AV199,AU199),
IF($D199="Pénétro.",
IF($E199=4,AV199,AU199))))</f>
        <v>#N/A</v>
      </c>
      <c r="AX199" s="31" t="e">
        <f>(IF(OR(Hypothèses!$B$4=17,Hypothèses!$B$4=18,Hypothèses!$B$4=19,Hypothèses!$B$4=20),
IF($D199="Pressio.",
IF(OR($E199=3,$E199=1,$E199=4),(PI()*AX$12^2)/4*(AT199*$W199*1000)/($H199*$B$5),(PI()*AX$12^2)/4*(AT199*$W199*1000)/($G199*$B$5)),
IF($D199="Pénétro.",
IF(OR($E199=4,$E199=1,$E199=5),(PI()*AX$12^2)/4*(AT199*$W199*1000)/($H199*$B$5),(PI()*AX$12^2)/4*(AT199*$W199*1000)/($G199*$B$5)))),
IF($D199="Pressio.",
IF($E199=3,(PI()*AX$12^2)/4*(AT199*$W199*1000)/($H199*$B$5),(PI()*AX$12^2)/4*(AT199*$W199*1000)/($G199*$B$5)),
IF($D199="Pénétro.",
IF($E199=4,(PI()*AX$12^2)/4*(AT199*$W199*1000)/($H199*$B$5),(PI()*AX$12^2)/4*(AT199*$W199*1000)/($G199*$B$5))))))/10</f>
        <v>#N/A</v>
      </c>
      <c r="AY199" s="102" t="e">
        <f>(VLOOKUP($B$3,'Coeff EC7'!$T$39:$X$59,2,0)*AW199+VLOOKUP($B$3,'Coeff EC7'!$T$65:$X$85,2,0)*Model0.1C!AX199)/1.1</f>
        <v>#N/A</v>
      </c>
      <c r="AZ199" s="102" t="e">
        <f>(VLOOKUP($B$3,'Coeff EC7'!$T$39:$X$59,3,0)*AW199+VLOOKUP($B$3,'Coeff EC7'!$T$65:$X$85,3,0)*Model0.1C!AX199)/0.9</f>
        <v>#N/A</v>
      </c>
      <c r="BA199" s="102" t="e">
        <f t="shared" si="273"/>
        <v>#N/A</v>
      </c>
      <c r="BB199" s="102" t="e">
        <f t="shared" si="274"/>
        <v>#N/A</v>
      </c>
      <c r="BC199" s="414" t="e">
        <f>IF(BC198=0,0,IF(AND(AY199&gt;charge_ELS_quasi,AZ199&gt;Charge_ELS_freq,BA199&gt;charge_ELU,BB199&gt;charge_ELA,$B199&gt;NDC!$H$22-0.1+MIN(3*$BC$12,1.5)),0,1))</f>
        <v>#N/A</v>
      </c>
      <c r="BD199" s="86" t="b">
        <f t="shared" si="244"/>
        <v>0</v>
      </c>
      <c r="BE199" s="86">
        <f t="shared" si="275"/>
        <v>0.5</v>
      </c>
      <c r="BF199" s="86">
        <f t="shared" si="245"/>
        <v>0.5</v>
      </c>
      <c r="BG199" s="30" t="e">
        <f t="shared" ca="1" si="276"/>
        <v>#DIV/0!</v>
      </c>
      <c r="BH199" s="85" t="e">
        <f ca="1">IF(AN199&lt;=Hypothèses!$V$7,Hypothèses!$W$7,IF(AN199&lt;=Hypothèses!$V$8,Hypothèses!$W$8,IF(AN199&lt;=Hypothèses!$V$9,Hypothèses!$W$9,IF(AN199&lt;=Hypothèses!$V$10,Hypothèses!$W$10,IF(AN199&lt;=Hypothèses!$V$11,Hypothèses!$W$11,IF(AN199&lt;=Hypothèses!$V$12,Hypothèses!$W$12,IF(AN199&lt;=Hypothèses!$V$13,Hypothèses!$W$13,IF(AN199&lt;=Hypothèses!$V$14,Hypothèses!$W$14,IF(AN199&lt;=Hypothèses!$V$15,Hypothèses!$W$15,IF(AN199&lt;=Hypothèses!$V$16,Hypothèses!$W$16,IF(AN199&lt;=Hypothèses!$V$17,Hypothèses!$W$17,IF(AN199&lt;=Hypothèses!$V$18,Hypothèses!$W$18,""))))))))))))</f>
        <v>#DIV/0!</v>
      </c>
      <c r="BI199" s="87" t="e">
        <f t="shared" ca="1" si="318"/>
        <v>#DIV/0!</v>
      </c>
      <c r="BJ199" s="88" t="e">
        <f ca="1">IF(AN199&lt;=Hypothèses!$V$7,Hypothèses!$X$7,IF(AN199&lt;=Hypothèses!$V$8,Hypothèses!$X$8,IF(AN199&lt;=Hypothèses!$V$9,Hypothèses!$X$9,IF(AN199&lt;=Hypothèses!$V$10,Hypothèses!$X$10,IF(AN199&lt;=Hypothèses!$V$11,Hypothèses!$X$11,IF(AN199&lt;=Hypothèses!$V$12,Hypothèses!$X$12,IF(AN199&lt;=Hypothèses!$V$13,Hypothèses!$X$13,IF(AN199&lt;=Hypothèses!$V$14,Hypothèses!$X$14,IF(AN199&lt;=Hypothèses!$V$15,Hypothèses!$X$15,IF(AN199&lt;=Hypothèses!$V$16,Hypothèses!$X$16,IF(AN199&lt;=Hypothèses!$U$17,Hypothèses!$W$17,IF(AN199&lt;=Hypothèses!$U$18,Hypothèses!$W$18,""))))))))))))</f>
        <v>#DIV/0!</v>
      </c>
      <c r="BK199" s="95" t="e">
        <f t="shared" ca="1" si="277"/>
        <v>#DIV/0!</v>
      </c>
      <c r="BL199" s="101" t="e">
        <f t="shared" si="325"/>
        <v>#N/A</v>
      </c>
      <c r="BM199" s="91" t="e">
        <f t="shared" si="246"/>
        <v>#N/A</v>
      </c>
      <c r="BN199" s="30" t="e">
        <f t="shared" si="304"/>
        <v>#N/A</v>
      </c>
      <c r="BO199" s="30" t="e">
        <f t="shared" si="305"/>
        <v>#N/A</v>
      </c>
      <c r="BP199" s="31" t="e">
        <f>IF(OR(Hypothèses!$B$4=17,Hypothèses!$B$4=18,Hypothèses!$B$4=19,Hypothèses!$B$4=20),
IF($D199="Pressio.",
IF(OR($E199=3,$E199=1,$E199=4),BO199,BN199),
IF($D199="Pénétro.",
IF(OR($E199=3,$E199=1,$E199=4),BO199,BN199))),IF($D199="Pressio.",
IF($E199=3,BO199,BN199),
IF($D199="Pénétro.",
IF($E199=4,BO199,BN199))))</f>
        <v>#N/A</v>
      </c>
      <c r="BQ199" s="31" t="e">
        <f>(IF(OR(Hypothèses!$B$4=17,Hypothèses!$B$4=18,Hypothèses!$B$4=19,Hypothèses!$B$4=20),
IF($D199="Pressio.",
IF(OR($E199=3,$E199=1,$E199=4),(PI()*BQ$12^2)/4*(BM199*$W199*1000)/($H199*$B$5),(PI()*BQ$12^2)/4*(BM199*$W199*1000)/($G199*$B$5)),
IF($D199="Pénétro.",
IF(OR($E199=4,$E199=1,$E199=5),(PI()*BQ$12^2)/4*(BM199*$W199*1000)/($H199*$B$5),(PI()*BQ$12^2)/4*(BM199*$W199*1000)/($G199*$B$5)))),
IF($D199="Pressio.",
IF($E199=3,(PI()*BQ$12^2)/4*(BM199*$W199*1000)/($H199*$B$5),(PI()*BQ$12^2)/4*(BM199*$W199*1000)/($G199*$B$5)),
IF($D199="Pénétro.",
IF($E199=4,(PI()*BQ$12^2)/4*(BM199*$W199*1000)/($H199*$B$5),(PI()*BQ$12^2)/4*(BM199*$W199*1000)/($G199*$B$5))))))/10</f>
        <v>#N/A</v>
      </c>
      <c r="BR199" s="102" t="e">
        <f>(VLOOKUP($B$3,'Coeff EC7'!$T$39:$X$59,2,0)*BP199+VLOOKUP($B$3,'Coeff EC7'!$T$65:$X$85,2,0)*Model0.1C!BQ199)/1.1</f>
        <v>#N/A</v>
      </c>
      <c r="BS199" s="102" t="e">
        <f>(VLOOKUP($B$3,'Coeff EC7'!$T$39:$X$59,3,0)*BP199+VLOOKUP($B$3,'Coeff EC7'!$T$65:$X$85,3,0)*Model0.1C!BQ199)/0.9</f>
        <v>#N/A</v>
      </c>
      <c r="BT199" s="102" t="e">
        <f t="shared" si="278"/>
        <v>#N/A</v>
      </c>
      <c r="BU199" s="102" t="e">
        <f t="shared" si="279"/>
        <v>#N/A</v>
      </c>
      <c r="BV199" s="414" t="e">
        <f>IF(BV198=0,0,IF(AND(BR199&gt;charge_ELS_quasi,BS199&gt;Charge_ELS_freq,BT199&gt;charge_ELU,BU199&gt;charge_ELA,$B199&gt;NDC!$H$22-0.1+MIN(3*$BV$12,1.5)),0,1))</f>
        <v>#N/A</v>
      </c>
      <c r="BW199" s="86" t="b">
        <f t="shared" si="247"/>
        <v>0</v>
      </c>
      <c r="BX199" s="86">
        <f t="shared" si="248"/>
        <v>0.5</v>
      </c>
      <c r="BY199" s="86">
        <f t="shared" si="249"/>
        <v>0.5</v>
      </c>
      <c r="BZ199" s="30" t="e">
        <f t="shared" ca="1" si="280"/>
        <v>#DIV/0!</v>
      </c>
      <c r="CA199" s="85" t="e">
        <f ca="1">IF(BG199&lt;=Hypothèses!$V$7,Hypothèses!$W$7,IF(BG199&lt;=Hypothèses!$V$8,Hypothèses!$W$8,IF(BG199&lt;=Hypothèses!$V$9,Hypothèses!$W$9,IF(BG199&lt;=Hypothèses!$V$10,Hypothèses!$W$10,IF(BG199&lt;=Hypothèses!$V$11,Hypothèses!$W$11,IF(BG199&lt;=Hypothèses!$V$12,Hypothèses!$W$12,IF(BG199&lt;=Hypothèses!$V$13,Hypothèses!$W$13,IF(BG199&lt;=Hypothèses!$V$14,Hypothèses!$W$14,IF(BG199&lt;=Hypothèses!$V$15,Hypothèses!$W$15,IF(BG199&lt;=Hypothèses!$V$16,Hypothèses!$W$16,IF(BG199&lt;=Hypothèses!$V$17,Hypothèses!$W$17,IF(BG199&lt;=Hypothèses!$V$18,Hypothèses!$W$18,""))))))))))))</f>
        <v>#DIV/0!</v>
      </c>
      <c r="CB199" s="87" t="e">
        <f t="shared" ca="1" si="319"/>
        <v>#DIV/0!</v>
      </c>
      <c r="CC199" s="88" t="e">
        <f ca="1">IF(BG199&lt;=Hypothèses!$V$7,Hypothèses!$X$7,IF(BG199&lt;=Hypothèses!$V$8,Hypothèses!$X$8,IF(BG199&lt;=Hypothèses!$V$9,Hypothèses!$X$9,IF(BG199&lt;=Hypothèses!$V$10,Hypothèses!$X$10,IF(BG199&lt;=Hypothèses!$V$11,Hypothèses!$X$11,IF(BG199&lt;=Hypothèses!$V$12,Hypothèses!$X$12,IF(BG199&lt;=Hypothèses!$V$13,Hypothèses!$X$13,IF(BG199&lt;=Hypothèses!$V$14,Hypothèses!$X$14,IF(BG199&lt;=Hypothèses!$V$15,Hypothèses!$X$15,IF(BG199&lt;=Hypothèses!$V$16,Hypothèses!$X$16,IF(BG199&lt;=Hypothèses!$U$17,Hypothèses!$W$17,IF(BG199&lt;=Hypothèses!$U$18,Hypothèses!$W$18,""))))))))))))</f>
        <v>#DIV/0!</v>
      </c>
      <c r="CD199" s="95" t="e">
        <f t="shared" ca="1" si="281"/>
        <v>#DIV/0!</v>
      </c>
      <c r="CE199" s="101" t="e">
        <f t="shared" si="326"/>
        <v>#N/A</v>
      </c>
      <c r="CF199" s="91" t="e">
        <f t="shared" si="250"/>
        <v>#N/A</v>
      </c>
      <c r="CG199" s="30" t="e">
        <f t="shared" si="306"/>
        <v>#N/A</v>
      </c>
      <c r="CH199" s="30" t="e">
        <f t="shared" si="307"/>
        <v>#N/A</v>
      </c>
      <c r="CI199" s="31" t="e">
        <f>IF(OR(Hypothèses!$B$4=17,Hypothèses!$B$4=18,Hypothèses!$B$4=19,Hypothèses!$B$4=20),
IF($D199="Pressio.",
IF(OR($E199=3,$E199=1,$E199=4),CH199,CG199),
IF($D199="Pénétro.",
IF(OR($E199=3,$E199=1,$E199=4),CH199,CG199))),IF($D199="Pressio.",
IF($E199=3,CH199,CG199),
IF($D199="Pénétro.",
IF($E199=4,CH199,CG199))))</f>
        <v>#N/A</v>
      </c>
      <c r="CJ199" s="31" t="e">
        <f>(IF(OR(Hypothèses!$B$4=17,Hypothèses!$B$4=18,Hypothèses!$B$4=19,Hypothèses!$B$4=20),
IF($D199="Pressio.",
IF(OR($E199=3,$E199=1,$E199=4),(PI()*CJ$12^2)/4*(CF199*$W199*1000)/($H199*$B$5),(PI()*CJ$12^2)/4*(CF199*$W199*1000)/($G199*$B$5)),
IF($D199="Pénétro.",
IF(OR($E199=4,$E199=1,$E199=5),(PI()*CJ$12^2)/4*(CF199*$W199*1000)/($H199*$B$5),(PI()*CJ$12^2)/4*(CF199*$W199*1000)/($G199*$B$5)))),
IF($D199="Pressio.",
IF($E199=3,(PI()*CJ$12^2)/4*(CF199*$W199*1000)/($H199*$B$5),(PI()*CJ$12^2)/4*(CF199*$W199*1000)/($G199*$B$5)),
IF($D199="Pénétro.",
IF($E199=4,(PI()*CJ$12^2)/4*(CF199*$W199*1000)/($H199*$B$5),(PI()*CJ$12^2)/4*(CF199*$W199*1000)/($G199*$B$5))))))/10</f>
        <v>#N/A</v>
      </c>
      <c r="CK199" s="102" t="e">
        <f>(VLOOKUP($B$3,'Coeff EC7'!$T$39:$X$59,2,0)*CI199+VLOOKUP($B$3,'Coeff EC7'!$T$65:$X$85,2,0)*Model0.1C!CJ199)/1.1</f>
        <v>#N/A</v>
      </c>
      <c r="CL199" s="102" t="e">
        <f>(VLOOKUP($B$3,'Coeff EC7'!$T$39:$X$59,3,0)*CI199+VLOOKUP($B$3,'Coeff EC7'!$T$65:$X$85,3,0)*Model0.1C!CJ199)/0.9</f>
        <v>#N/A</v>
      </c>
      <c r="CM199" s="102" t="e">
        <f t="shared" si="282"/>
        <v>#N/A</v>
      </c>
      <c r="CN199" s="102" t="e">
        <f t="shared" si="283"/>
        <v>#N/A</v>
      </c>
      <c r="CO199" s="414" t="e">
        <f>IF(CO198=0,0,IF(AND(CK199&gt;charge_ELS_quasi,CL199&gt;Charge_ELS_freq,CM199&gt;charge_ELU,CN199&gt;charge_ELA,$B199&gt;NDC!$H$22-0.1+MIN(3*$CO$12,1.5)),0,1))</f>
        <v>#N/A</v>
      </c>
      <c r="CP199" s="86" t="b">
        <f t="shared" si="251"/>
        <v>0</v>
      </c>
      <c r="CQ199" s="86">
        <f t="shared" si="252"/>
        <v>0.5</v>
      </c>
      <c r="CR199" s="86">
        <f t="shared" si="253"/>
        <v>0.5</v>
      </c>
      <c r="CS199" s="30" t="e">
        <f t="shared" ca="1" si="284"/>
        <v>#DIV/0!</v>
      </c>
      <c r="CT199" s="85" t="e">
        <f ca="1">IF(BZ199&lt;=Hypothèses!$V$7,Hypothèses!$W$7,IF(BZ199&lt;=Hypothèses!$V$8,Hypothèses!$W$8,IF(BZ199&lt;=Hypothèses!$V$9,Hypothèses!$W$9,IF(BZ199&lt;=Hypothèses!$V$10,Hypothèses!$W$10,IF(BZ199&lt;=Hypothèses!$V$11,Hypothèses!$W$11,IF(BZ199&lt;=Hypothèses!$V$12,Hypothèses!$W$12,IF(BZ199&lt;=Hypothèses!$V$13,Hypothèses!$W$13,IF(BZ199&lt;=Hypothèses!$V$14,Hypothèses!$W$14,IF(BZ199&lt;=Hypothèses!$V$15,Hypothèses!$W$15,IF(BZ199&lt;=Hypothèses!$V$16,Hypothèses!$W$16,IF(BZ199&lt;=Hypothèses!$V$17,Hypothèses!$W$17,IF(BZ199&lt;=Hypothèses!$V$18,Hypothèses!$W$18,""))))))))))))</f>
        <v>#DIV/0!</v>
      </c>
      <c r="CU199" s="87" t="e">
        <f t="shared" ca="1" si="320"/>
        <v>#DIV/0!</v>
      </c>
      <c r="CV199" s="88" t="e">
        <f ca="1">IF(BZ199&lt;=Hypothèses!$V$7,Hypothèses!$X$7,IF(BZ199&lt;=Hypothèses!$V$8,Hypothèses!$X$8,IF(BZ199&lt;=Hypothèses!$V$9,Hypothèses!$X$9,IF(BZ199&lt;=Hypothèses!$V$10,Hypothèses!$X$10,IF(BZ199&lt;=Hypothèses!$V$11,Hypothèses!$X$11,IF(BZ199&lt;=Hypothèses!$V$12,Hypothèses!$X$12,IF(BZ199&lt;=Hypothèses!$V$13,Hypothèses!$X$13,IF(BZ199&lt;=Hypothèses!$V$14,Hypothèses!$X$14,IF(BZ199&lt;=Hypothèses!$V$15,Hypothèses!$X$15,IF(BZ199&lt;=Hypothèses!$V$16,Hypothèses!$X$16,IF(BZ199&lt;=Hypothèses!$U$17,Hypothèses!$W$17,IF(BZ199&lt;=Hypothèses!$U$18,Hypothèses!$W$18,""))))))))))))</f>
        <v>#DIV/0!</v>
      </c>
      <c r="CW199" s="95" t="e">
        <f t="shared" ca="1" si="285"/>
        <v>#DIV/0!</v>
      </c>
      <c r="CX199" s="101" t="e">
        <f t="shared" si="327"/>
        <v>#N/A</v>
      </c>
      <c r="CY199" s="91" t="e">
        <f t="shared" si="254"/>
        <v>#N/A</v>
      </c>
      <c r="CZ199" s="30" t="e">
        <f t="shared" si="308"/>
        <v>#N/A</v>
      </c>
      <c r="DA199" s="30" t="e">
        <f t="shared" si="309"/>
        <v>#N/A</v>
      </c>
      <c r="DB199" s="31" t="e">
        <f>IF(OR(Hypothèses!$B$4=17,Hypothèses!$B$4=18,Hypothèses!$B$4=19,Hypothèses!$B$4=20),
IF($D199="Pressio.",
IF(OR($E199=3,$E199=1,$E199=4),DA199,CZ199),
IF($D199="Pénétro.",
IF(OR($E199=3,$E199=1,$E199=4),DA199,CZ199))),IF($D199="Pressio.",
IF($E199=3,DA199,CZ199),
IF($D199="Pénétro.",
IF($E199=4,DA199,CZ199))))</f>
        <v>#N/A</v>
      </c>
      <c r="DC199" s="31" t="e">
        <f>(IF(OR(Hypothèses!$B$4=17,Hypothèses!$B$4=18,Hypothèses!$B$4=19,Hypothèses!$B$4=20),
IF($D199="Pressio.",
IF(OR($E199=3,$E199=1,$E199=4),(PI()*DC$12^2)/4*(CY199*$W199*1000)/($H199*$B$5),(PI()*DC$12^2)/4*(CY199*$W199*1000)/($G199*$B$5)),
IF($D199="Pénétro.",
IF(OR($E199=4,$E199=1,$E199=5),(PI()*DC$12^2)/4*(CY199*$W199*1000)/($H199*$B$5),(PI()*DC$12^2)/4*(CY199*$W199*1000)/($G199*$B$5)))),
IF($D199="Pressio.",
IF($E199=3,(PI()*DC$12^2)/4*(CY199*$W199*1000)/($H199*$B$5),(PI()*DC$12^2)/4*(CY199*$W199*1000)/($G199*$B$5)),
IF($D199="Pénétro.",
IF($E199=4,(PI()*DC$12^2)/4*(CY199*$W199*1000)/($H199*$B$5),(PI()*DC$12^2)/4*(CY199*$W199*1000)/($G199*$B$5))))))/10</f>
        <v>#N/A</v>
      </c>
      <c r="DD199" s="102" t="e">
        <f>(VLOOKUP($B$3,'Coeff EC7'!$T$39:$X$59,2,0)*DB199+VLOOKUP($B$3,'Coeff EC7'!$T$65:$X$85,2,0)*Model0.1C!DC199)/1.1</f>
        <v>#N/A</v>
      </c>
      <c r="DE199" s="102" t="e">
        <f>(VLOOKUP($B$3,'Coeff EC7'!$T$39:$X$59,3,0)*DB199+VLOOKUP($B$3,'Coeff EC7'!$T$65:$X$85,3,0)*Model0.1C!DC199)/0.9</f>
        <v>#N/A</v>
      </c>
      <c r="DF199" s="102" t="e">
        <f t="shared" si="286"/>
        <v>#N/A</v>
      </c>
      <c r="DG199" s="102" t="e">
        <f t="shared" si="287"/>
        <v>#N/A</v>
      </c>
      <c r="DH199" s="414" t="e">
        <f>IF(DH198=0,0,IF(AND(DD199&gt;charge_ELS_quasi,DE199&gt;Charge_ELS_freq,DF199&gt;charge_ELU,DG199&gt;charge_ELA,$B199&gt;NDC!$H$22-0.1+MIN(3*$DH$12,1.5)),0,1))</f>
        <v>#N/A</v>
      </c>
      <c r="DI199" s="86" t="b">
        <f t="shared" si="255"/>
        <v>0</v>
      </c>
      <c r="DJ199" s="86">
        <f t="shared" si="256"/>
        <v>0.5</v>
      </c>
      <c r="DK199" s="86">
        <f t="shared" si="257"/>
        <v>0.5</v>
      </c>
      <c r="DL199" s="30" t="e">
        <f t="shared" ca="1" si="288"/>
        <v>#DIV/0!</v>
      </c>
      <c r="DM199" s="85" t="e">
        <f ca="1">IF(CS199&lt;=Hypothèses!$V$7,Hypothèses!$W$7,IF(CS199&lt;=Hypothèses!$V$8,Hypothèses!$W$8,IF(CS199&lt;=Hypothèses!$V$9,Hypothèses!$W$9,IF(CS199&lt;=Hypothèses!$V$10,Hypothèses!$W$10,IF(CS199&lt;=Hypothèses!$V$11,Hypothèses!$W$11,IF(CS199&lt;=Hypothèses!$V$12,Hypothèses!$W$12,IF(CS199&lt;=Hypothèses!$V$13,Hypothèses!$W$13,IF(CS199&lt;=Hypothèses!$V$14,Hypothèses!$W$14,IF(CS199&lt;=Hypothèses!$V$15,Hypothèses!$W$15,IF(CS199&lt;=Hypothèses!$V$16,Hypothèses!$W$16,IF(CS199&lt;=Hypothèses!$V$17,Hypothèses!$W$17,IF(CS199&lt;=Hypothèses!$V$18,Hypothèses!$W$18,""))))))))))))</f>
        <v>#DIV/0!</v>
      </c>
      <c r="DN199" s="87" t="e">
        <f t="shared" ca="1" si="321"/>
        <v>#DIV/0!</v>
      </c>
      <c r="DO199" s="88" t="e">
        <f ca="1">IF(CS199&lt;=Hypothèses!$V$7,Hypothèses!$X$7,IF(CS199&lt;=Hypothèses!$V$8,Hypothèses!$X$8,IF(CS199&lt;=Hypothèses!$V$9,Hypothèses!$X$9,IF(CS199&lt;=Hypothèses!$V$10,Hypothèses!$X$10,IF(CS199&lt;=Hypothèses!$V$11,Hypothèses!$X$11,IF(CS199&lt;=Hypothèses!$V$12,Hypothèses!$X$12,IF(CS199&lt;=Hypothèses!$V$13,Hypothèses!$X$13,IF(CS199&lt;=Hypothèses!$V$14,Hypothèses!$X$14,IF(CS199&lt;=Hypothèses!$V$15,Hypothèses!$X$15,IF(CS199&lt;=Hypothèses!$V$16,Hypothèses!$X$16,IF(CS199&lt;=Hypothèses!$U$17,Hypothèses!$W$17,IF(CS199&lt;=Hypothèses!$U$18,Hypothèses!$W$18,""))))))))))))</f>
        <v>#DIV/0!</v>
      </c>
      <c r="DP199" s="95" t="e">
        <f t="shared" ca="1" si="289"/>
        <v>#DIV/0!</v>
      </c>
      <c r="DQ199" s="101" t="e">
        <f t="shared" si="328"/>
        <v>#N/A</v>
      </c>
      <c r="DR199" s="91" t="e">
        <f t="shared" si="258"/>
        <v>#N/A</v>
      </c>
      <c r="DS199" s="30" t="e">
        <f t="shared" si="310"/>
        <v>#N/A</v>
      </c>
      <c r="DT199" s="30" t="e">
        <f t="shared" si="311"/>
        <v>#N/A</v>
      </c>
      <c r="DU199" s="31" t="e">
        <f>IF(OR(Hypothèses!$B$4=17,Hypothèses!$B$4=18,Hypothèses!$B$4=19,Hypothèses!$B$4=20),
IF($D199="Pressio.",
IF(OR($E199=3,$E199=1,$E199=4),DT199,DS199),
IF($D199="Pénétro.",
IF(OR($E199=3,$E199=1,$E199=4),DT199,DS199))),IF($D199="Pressio.",
IF($E199=3,DT199,DS199),
IF($D199="Pénétro.",
IF($E199=4,DT199,DS199))))</f>
        <v>#N/A</v>
      </c>
      <c r="DV199" s="31" t="e">
        <f>(IF(OR(Hypothèses!$B$4=17,Hypothèses!$B$4=18,Hypothèses!$B$4=19,Hypothèses!$B$4=20),
IF($D199="Pressio.",
IF(OR($E199=3,$E199=1,$E199=4),(PI()*DV$12^2)/4*(DR199*$W199*1000)/($H199*$B$5),(PI()*DV$12^2)/4*(DR199*$W199*1000)/($G199*$B$5)),
IF($D199="Pénétro.",
IF(OR($E199=4,$E199=1,$E199=5),(PI()*DV$12^2)/4*(DR199*$W199*1000)/($H199*$B$5),(PI()*DV$12^2)/4*(DR199*$W199*1000)/($G199*$B$5)))),
IF($D199="Pressio.",
IF($E199=3,(PI()*DV$12^2)/4*(DR199*$W199*1000)/($H199*$B$5),(PI()*DV$12^2)/4*(DR199*$W199*1000)/($G199*$B$5)),
IF($D199="Pénétro.",
IF($E199=4,(PI()*DV$12^2)/4*(DR199*$W199*1000)/($H199*$B$5),(PI()*DV$12^2)/4*(DR199*$W199*1000)/($G199*$B$5))))))/10</f>
        <v>#N/A</v>
      </c>
      <c r="DW199" s="102" t="e">
        <f>(VLOOKUP($B$3,'Coeff EC7'!$T$39:$X$59,2,0)*DU199+VLOOKUP($B$3,'Coeff EC7'!$T$65:$X$85,2,0)*Model0.1C!DV199)/1.1</f>
        <v>#N/A</v>
      </c>
      <c r="DX199" s="102" t="e">
        <f>(VLOOKUP($B$3,'Coeff EC7'!$T$39:$X$59,3,0)*DU199+VLOOKUP($B$3,'Coeff EC7'!$T$65:$X$85,3,0)*Model0.1C!DV199)/0.9</f>
        <v>#N/A</v>
      </c>
      <c r="DY199" s="102" t="e">
        <f t="shared" si="290"/>
        <v>#N/A</v>
      </c>
      <c r="DZ199" s="102" t="e">
        <f t="shared" si="291"/>
        <v>#N/A</v>
      </c>
      <c r="EA199" s="414" t="e">
        <f>IF(EA198=0,0,IF(AND(DW199&gt;charge_ELS_quasi,DX199&gt;Charge_ELS_freq,DY199&gt;charge_ELU,DZ199&gt;charge_ELA,$B199&gt;NDC!$H$22-0.1+MIN(3*$EA$12,1.5)),0,1))</f>
        <v>#N/A</v>
      </c>
      <c r="EB199" s="86" t="b">
        <f t="shared" si="259"/>
        <v>0</v>
      </c>
      <c r="EC199" s="418">
        <f t="shared" si="260"/>
        <v>0.51</v>
      </c>
      <c r="ED199" s="86">
        <f t="shared" si="261"/>
        <v>0.51</v>
      </c>
      <c r="EE199" s="30" t="e">
        <f t="shared" ca="1" si="292"/>
        <v>#DIV/0!</v>
      </c>
      <c r="EF199" s="85" t="e">
        <f ca="1">IF(DL199&lt;=Hypothèses!$V$7,Hypothèses!$W$7,IF(DL199&lt;=Hypothèses!$V$8,Hypothèses!$W$8,IF(DL199&lt;=Hypothèses!$V$9,Hypothèses!$W$9,IF(DL199&lt;=Hypothèses!$V$10,Hypothèses!$W$10,IF(DL199&lt;=Hypothèses!$V$11,Hypothèses!$W$11,IF(DL199&lt;=Hypothèses!$V$12,Hypothèses!$W$12,IF(DL199&lt;=Hypothèses!$V$13,Hypothèses!$W$13,IF(DL199&lt;=Hypothèses!$V$14,Hypothèses!$W$14,IF(DL199&lt;=Hypothèses!$V$15,Hypothèses!$W$15,IF(DL199&lt;=Hypothèses!$V$16,Hypothèses!$W$16,IF(DL199&lt;=Hypothèses!$V$17,Hypothèses!$W$17,IF(DL199&lt;=Hypothèses!$V$18,Hypothèses!$W$18,""))))))))))))</f>
        <v>#DIV/0!</v>
      </c>
      <c r="EG199" s="87" t="e">
        <f t="shared" ca="1" si="322"/>
        <v>#DIV/0!</v>
      </c>
      <c r="EH199" s="88" t="e">
        <f ca="1">IF(DL199&lt;=Hypothèses!$V$7,Hypothèses!$X$7,IF(DL199&lt;=Hypothèses!$V$8,Hypothèses!$X$8,IF(DL199&lt;=Hypothèses!$V$9,Hypothèses!$X$9,IF(DL199&lt;=Hypothèses!$V$10,Hypothèses!$X$10,IF(DL199&lt;=Hypothèses!$V$11,Hypothèses!$X$11,IF(DL199&lt;=Hypothèses!$V$12,Hypothèses!$X$12,IF(DL199&lt;=Hypothèses!$V$13,Hypothèses!$X$13,IF(DL199&lt;=Hypothèses!$V$14,Hypothèses!$X$14,IF(DL199&lt;=Hypothèses!$V$15,Hypothèses!$X$15,IF(DL199&lt;=Hypothèses!$V$16,Hypothèses!$X$16,IF(DL199&lt;=Hypothèses!$U$17,Hypothèses!$W$17,IF(DL199&lt;=Hypothèses!$U$18,Hypothèses!$W$18,""))))))))))))</f>
        <v>#DIV/0!</v>
      </c>
      <c r="EI199" s="95" t="e">
        <f t="shared" ca="1" si="293"/>
        <v>#DIV/0!</v>
      </c>
      <c r="EJ199" s="101" t="e">
        <f t="shared" si="329"/>
        <v>#N/A</v>
      </c>
      <c r="EK199" s="91" t="e">
        <f t="shared" si="262"/>
        <v>#N/A</v>
      </c>
      <c r="EL199" s="30" t="e">
        <f t="shared" si="312"/>
        <v>#N/A</v>
      </c>
      <c r="EM199" s="30" t="e">
        <f t="shared" si="313"/>
        <v>#N/A</v>
      </c>
      <c r="EN199" s="31" t="e">
        <f>IF(OR(Hypothèses!$B$4=17,Hypothèses!$B$4=18,Hypothèses!$B$4=19,Hypothèses!$B$4=20),
IF($D199="Pressio.",
IF(OR($E199=3,$E199=1,$E199=4),EM199,EL199),
IF($D199="Pénétro.",
IF(OR($E199=3,$E199=1,$E199=4),EM199,EL199))),IF($D199="Pressio.",
IF($E199=3,EM199,EL199),
IF($D199="Pénétro.",
IF($E199=4,EM199,EL199))))</f>
        <v>#N/A</v>
      </c>
      <c r="EO199" s="31" t="e">
        <f>(IF(OR(Hypothèses!$B$4=17,Hypothèses!$B$4=18,Hypothèses!$B$4=19,Hypothèses!$B$4=20),
IF($D199="Pressio.",
IF(OR($E199=3,$E199=1,$E199=4),(PI()*EO$12^2)/4*(EK199*$W199*1000)/($H199*$B$5),(PI()*EO$12^2)/4*(EK199*$W199*1000)/($G199*$B$5)),
IF($D199="Pénétro.",
IF(OR($E199=4,$E199=1,$E199=5),(PI()*EO$12^2)/4*(EK199*$W199*1000)/($H199*$B$5),(PI()*EO$12^2)/4*(EK199*$W199*1000)/($G199*$B$5)))),
IF($D199="Pressio.",
IF($E199=3,(PI()*EO$12^2)/4*(EK199*$W199*1000)/($H199*$B$5),(PI()*EO$12^2)/4*(EK199*$W199*1000)/($G199*$B$5)),
IF($D199="Pénétro.",
IF($E199=4,(PI()*EO$12^2)/4*(EK199*$W199*1000)/($H199*$B$5),(PI()*EO$12^2)/4*(EK199*$W199*1000)/($G199*$B$5))))))/10</f>
        <v>#N/A</v>
      </c>
      <c r="EP199" s="102" t="e">
        <f>(VLOOKUP($B$3,'Coeff EC7'!$T$39:$X$59,2,0)*EN199+VLOOKUP($B$3,'Coeff EC7'!$T$65:$X$85,2,0)*Model0.1C!EO199)/1.1</f>
        <v>#N/A</v>
      </c>
      <c r="EQ199" s="102" t="e">
        <f>(VLOOKUP($B$3,'Coeff EC7'!$T$39:$X$59,3,0)*EN199+VLOOKUP($B$3,'Coeff EC7'!$T$65:$X$85,3,0)*Model0.1C!EO199)/0.9</f>
        <v>#N/A</v>
      </c>
      <c r="ER199" s="102" t="e">
        <f t="shared" si="294"/>
        <v>#N/A</v>
      </c>
      <c r="ES199" s="102" t="e">
        <f t="shared" si="295"/>
        <v>#N/A</v>
      </c>
      <c r="ET199" s="414" t="e">
        <f>IF(ET198=0,0,IF(AND(EP199&gt;charge_ELS_quasi,EQ199&gt;Charge_ELS_freq,ER199&gt;charge_ELU,ES199&gt;charge_ELA,$B199&gt;NDC!$H$22-0.1+MIN(3*$ET$12,1.5)),0,1))</f>
        <v>#N/A</v>
      </c>
      <c r="EU199" s="86" t="b">
        <f t="shared" si="263"/>
        <v>0</v>
      </c>
      <c r="EV199" s="86">
        <f t="shared" si="264"/>
        <v>0.61</v>
      </c>
      <c r="EW199" s="86">
        <f t="shared" si="265"/>
        <v>0.61</v>
      </c>
      <c r="EX199" s="30" t="e">
        <f t="shared" ca="1" si="296"/>
        <v>#DIV/0!</v>
      </c>
      <c r="EY199" s="85" t="e">
        <f ca="1">IF(EE199&lt;=Hypothèses!$V$7,Hypothèses!$W$7,IF(EE199&lt;=Hypothèses!$V$8,Hypothèses!$W$8,IF(EE199&lt;=Hypothèses!$V$9,Hypothèses!$W$9,IF(EE199&lt;=Hypothèses!$V$10,Hypothèses!$W$10,IF(EE199&lt;=Hypothèses!$V$11,Hypothèses!$W$11,IF(EE199&lt;=Hypothèses!$V$12,Hypothèses!$W$12,IF(EE199&lt;=Hypothèses!$V$13,Hypothèses!$W$13,IF(EE199&lt;=Hypothèses!$V$14,Hypothèses!$W$14,IF(EE199&lt;=Hypothèses!$V$15,Hypothèses!$W$15,IF(EE199&lt;=Hypothèses!$V$16,Hypothèses!$W$16,IF(EE199&lt;=Hypothèses!$V$17,Hypothèses!$W$17,IF(EE199&lt;=Hypothèses!$V$18,Hypothèses!$W$18,""))))))))))))</f>
        <v>#DIV/0!</v>
      </c>
      <c r="EZ199" s="87" t="e">
        <f t="shared" ca="1" si="323"/>
        <v>#DIV/0!</v>
      </c>
      <c r="FA199" s="88" t="e">
        <f ca="1">IF(EE199&lt;=Hypothèses!$V$7,Hypothèses!$X$7,IF(EE199&lt;=Hypothèses!$V$8,Hypothèses!$X$8,IF(EE199&lt;=Hypothèses!$V$9,Hypothèses!$X$9,IF(EE199&lt;=Hypothèses!$V$10,Hypothèses!$X$10,IF(EE199&lt;=Hypothèses!$V$11,Hypothèses!$X$11,IF(EE199&lt;=Hypothèses!$V$12,Hypothèses!$X$12,IF(EE199&lt;=Hypothèses!$V$13,Hypothèses!$X$13,IF(EE199&lt;=Hypothèses!$V$14,Hypothèses!$X$14,IF(EE199&lt;=Hypothèses!$V$15,Hypothèses!$X$15,IF(EE199&lt;=Hypothèses!$V$16,Hypothèses!$X$16,IF(EE199&lt;=Hypothèses!$U$17,Hypothèses!$W$17,IF(EE199&lt;=Hypothèses!$U$18,Hypothèses!$W$18,""))))))))))))</f>
        <v>#DIV/0!</v>
      </c>
      <c r="FB199" s="95" t="e">
        <f t="shared" ca="1" si="297"/>
        <v>#DIV/0!</v>
      </c>
      <c r="FC199" s="101" t="e">
        <f t="shared" si="330"/>
        <v>#N/A</v>
      </c>
      <c r="FD199" s="91" t="e">
        <f t="shared" si="266"/>
        <v>#N/A</v>
      </c>
      <c r="FE199" s="30" t="e">
        <f t="shared" si="314"/>
        <v>#N/A</v>
      </c>
      <c r="FF199" s="30" t="e">
        <f t="shared" si="315"/>
        <v>#N/A</v>
      </c>
      <c r="FG199" s="31" t="e">
        <f>IF(OR(Hypothèses!$B$4=17,Hypothèses!$B$4=18,Hypothèses!$B$4=19,Hypothèses!$B$4=20),
IF($D199="Pressio.",
IF(OR($E199=3,$E199=1,$E199=4),FF199,FE199),
IF($D199="Pénétro.",
IF(OR($E199=3,$E199=1,$E199=4),FF199,FE199))),IF($D199="Pressio.",
IF($E199=3,FF199,FE199),
IF($D199="Pénétro.",
IF($E199=4,FF199,FE199))))</f>
        <v>#N/A</v>
      </c>
      <c r="FH199" s="31" t="e">
        <f>(IF(OR(Hypothèses!$B$4=17,Hypothèses!$B$4=18,Hypothèses!$B$4=19,Hypothèses!$B$4=20),
IF($D199="Pressio.",
IF(OR($E199=3,$E199=1,$E199=4),(PI()*FH$12^2)/4*(FD199*$W199*1000)/($H199*$B$5),(PI()*FH$12^2)/4*(FD199*$W199*1000)/($G199*$B$5)),
IF($D199="Pénétro.",
IF(OR($E199=4,$E199=1,$E199=5),(PI()*FH$12^2)/4*(FD199*$W199*1000)/($H199*$B$5),(PI()*FH$12^2)/4*(FD199*$W199*1000)/($G199*$B$5)))),
IF($D199="Pressio.",
IF($E199=3,(PI()*FH$12^2)/4*(FD199*$W199*1000)/($H199*$B$5),(PI()*FH$12^2)/4*(FD199*$W199*1000)/($G199*$B$5)),
IF($D199="Pénétro.",
IF($E199=4,(PI()*FH$12^2)/4*(FD199*$W199*1000)/($H199*$B$5),(PI()*FH$12^2)/4*(FD199*$W199*1000)/($G199*$B$5))))))/10</f>
        <v>#N/A</v>
      </c>
      <c r="FI199" s="102" t="e">
        <f>(VLOOKUP($B$3,'Coeff EC7'!$T$39:$X$59,2,0)*FG199+VLOOKUP($B$3,'Coeff EC7'!$T$65:$X$85,2,0)*Model0.1C!FH199)/1.1</f>
        <v>#N/A</v>
      </c>
      <c r="FJ199" s="102" t="e">
        <f>(VLOOKUP($B$3,'Coeff EC7'!$T$39:$X$59,3,0)*FG199+VLOOKUP($B$3,'Coeff EC7'!$T$65:$X$85,3,0)*Model0.1C!FH199)/0.9</f>
        <v>#N/A</v>
      </c>
      <c r="FK199" s="102" t="e">
        <f t="shared" si="298"/>
        <v>#N/A</v>
      </c>
      <c r="FL199" s="102" t="e">
        <f t="shared" si="299"/>
        <v>#N/A</v>
      </c>
      <c r="FM199" s="414" t="e">
        <f>IF(FM198=0,0,IF(AND(FI199&gt;charge_ELS_quasi,FJ199&gt;Charge_ELS_freq,FK199&gt;charge_ELU,FL199&gt;charge_ELA,$B199&gt;NDC!$H$22-0.1+MIN(3*$FM$12,1.5)),0,1))</f>
        <v>#N/A</v>
      </c>
    </row>
    <row r="200" spans="1:169">
      <c r="A200" s="96">
        <f t="shared" si="267"/>
        <v>81.300000000001063</v>
      </c>
      <c r="B200" s="97">
        <v>18.7</v>
      </c>
      <c r="C200" s="81">
        <f>IF(B200&lt;=Hypothèses!$C$7,Hypothèses!$A$7,IF(B200&lt;=Hypothèses!$C$8,Hypothèses!$A$8,IF(B200&lt;=Hypothèses!$C$9,Hypothèses!$A$9,IF(B200&lt;=Hypothèses!$C$10,Hypothèses!$A$10,IF(B200&lt;=Hypothèses!$C$11,Hypothèses!$A$11,IF(B200&lt;=Hypothèses!$C$12,Hypothèses!$A$12,IF(B200&lt;=Hypothèses!$C$13,Hypothèses!$A$13,IF(B200&lt;=Hypothèses!$C$14,Hypothèses!$A$14,IF(B200&lt;=Hypothèses!$C$15,Hypothèses!$A$15,IF(B200&lt;=Hypothèses!$C$16,Hypothèses!$A$16,IF(B200&lt;=Hypothèses!$C$17,Hypothèses!$A$17,IF(B200&lt;=Hypothèses!$C$18,Hypothèses!$A$18,C199))))))))))))</f>
        <v>11</v>
      </c>
      <c r="D200" s="82" t="str">
        <f>IF(B200&lt;=Hypothèses!$C$7,Hypothèses!$R$7,IF(B200&lt;=Hypothèses!$C$8,Hypothèses!$R$8,IF(B200&lt;=Hypothèses!$C$9,Hypothèses!$R$9,IF(B200&lt;=Hypothèses!$C$10,Hypothèses!$R$10,IF(B200&lt;=Hypothèses!$C$11,Hypothèses!$R$11,IF(B200&lt;=Hypothèses!$C$12,Hypothèses!$R$12,IF(B200&lt;=Hypothèses!$C$13,Hypothèses!$R$13,IF(B200&lt;=Hypothèses!$C$14,Hypothèses!$R$14,IF(B200&lt;=Hypothèses!$C$15,Hypothèses!$R$15,IF(B200&lt;=Hypothèses!$C$16,Hypothèses!$R$16,IF(B200&lt;=Hypothèses!$C$17,Hypothèses!$R$17,IF(B200&lt;=Hypothèses!$C$18,Hypothèses!$R$18,D199))))))))))))</f>
        <v>Pressio.</v>
      </c>
      <c r="E200" s="82" t="e">
        <f>IF(B200&lt;=Hypothèses!$C$7,Hypothèses!$G$7,IF(B200&lt;=Hypothèses!$C$8,Hypothèses!$G$8,IF(B200&lt;=Hypothèses!$C$9,Hypothèses!$G$9,IF(B200&lt;=Hypothèses!$C$10,Hypothèses!$G$10,IF(B200&lt;=Hypothèses!$C$11,Hypothèses!$G$11,IF(B200&lt;=Hypothèses!$C$12,Hypothèses!$G$12,IF(B200&lt;=Hypothèses!$C$13,Hypothèses!$G$13,IF(B200&lt;=Hypothèses!$C$14,Hypothèses!$G$14,IF(B200&lt;=Hypothèses!$C$15,Hypothèses!$G$15,IF(B200&lt;=Hypothèses!$C$16,Hypothèses!$G$16,IF(B200&lt;=Hypothèses!$C$17,Hypothèses!$G$17,IF(B200&lt;=Hypothèses!$C$18,Hypothèses!$G$18,E199))))))))))))</f>
        <v>#N/A</v>
      </c>
      <c r="F200" s="82" t="str">
        <f>IF(B200&lt;=Hypothèses!$C$7,Hypothèses!$F$7,IF(B200&lt;=Hypothèses!$C$8,Hypothèses!$F$8,IF(B200&lt;=Hypothèses!$C$9,Hypothèses!$F$9,IF(B200&lt;=Hypothèses!$C$10,Hypothèses!$F$10,IF(B200&lt;=Hypothèses!$C$11,Hypothèses!$F$11,IF(B200&lt;=Hypothèses!$C$12,Hypothèses!$F$12,IF(B200&lt;=Hypothèses!$C$13,Hypothèses!$F$13,IF(B200&lt;=Hypothèses!$C$14,Hypothèses!$F$14,IF(B200&lt;=Hypothèses!$C$15,Hypothèses!$F$15,IF(B200&lt;=Hypothèses!$C$16,Hypothèses!$F$16,IF(B200&lt;=Hypothèses!$C$17,Hypothèses!$F$17,IF(B200&lt;=Hypothèses!$C$18,Hypothèses!$F$18,F199))))))))))))</f>
        <v/>
      </c>
      <c r="G200" s="91">
        <f t="array" ref="G200">INDEX('Coeff EC7'!$U$7:$X$27,
MATCH(Model0.1C!$B$3,'Coeff EC7'!$T$7:$T$27,0),
MATCH(Model0.1C!$D200&amp;Model0.1C!$B$4,
'Coeff EC7'!$U$6:$X$6&amp;
'Coeff EC7'!$U$5:$X$5,0))</f>
        <v>1.1499999999999999</v>
      </c>
      <c r="H200" s="91">
        <f t="array" ref="H200">INDEX('Coeff EC7'!$Y$7:$AB$27,
MATCH(Model0.1C!$B$3,'Coeff EC7'!$T$7:$T$27,0),
MATCH(Model0.1C!$D200&amp;Model0.1C!$B$4,
'Coeff EC7'!$Y$6:$AB$6&amp;
'Coeff EC7'!$Y$5:$AB$5,0))</f>
        <v>1.4</v>
      </c>
      <c r="I200" s="83" t="e">
        <f>IF(B200&lt;=Hypothèses!$C$7,Hypothèses!$P$7,IF(B200&lt;=Hypothèses!$C$8,Hypothèses!$P$8,IF(B200&lt;=Hypothèses!$C$9,Hypothèses!$P$9,IF(B200&lt;=Hypothèses!$C$10,Hypothèses!$P$10,IF(B200&lt;=Hypothèses!$C$11,Hypothèses!$P$11,IF(B200&lt;=Hypothèses!$C$12,Hypothèses!$P$12,IF(B200&lt;=Hypothèses!$C$13,Hypothèses!$P$13,IF(B200&lt;=Hypothèses!$C$14,Hypothèses!$P$14,IF(B200&lt;=Hypothèses!$C$15,Hypothèses!$P$15,IF(B200&lt;=Hypothèses!$C$16,Hypothèses!$P$16,IF(B200&lt;=Hypothèses!$C$17,Hypothèses!$P$17,IF(B200&lt;=Hypothèses!$C$18,Hypothèses!$P$18,I199))))))))))))</f>
        <v>#N/A</v>
      </c>
      <c r="J200" s="91" t="e">
        <f t="array" ref="J200">INDEX('Coeff EC7'!$D$33:$Q$33,1,MATCH(D200&amp;E200,'Coeff EC7'!$D$31:$Q$31&amp;'Coeff EC7'!$D$32:$Q$32,0))</f>
        <v>#N/A</v>
      </c>
      <c r="K200" s="91" t="e">
        <f t="array" ref="K200">INDEX('Coeff EC7'!$D$34:$Q$34,1,MATCH(D200&amp;E200,'Coeff EC7'!$D$31:$Q$31&amp;'Coeff EC7'!$D$32:$Q$32,0))</f>
        <v>#N/A</v>
      </c>
      <c r="L200" s="91" t="e">
        <f t="array" ref="L200">INDEX('Coeff EC7'!$D$35:$Q$35,1,MATCH(D200&amp;E200,'Coeff EC7'!$D$31:$Q$31&amp;'Coeff EC7'!$D$32:$Q$32,0))</f>
        <v>#N/A</v>
      </c>
      <c r="M200" s="98" t="e">
        <f t="shared" si="231"/>
        <v>#N/A</v>
      </c>
      <c r="N200" s="99" t="e">
        <f t="array" ref="N200">INDEX('Coeff EC7'!$D$7:$Q$27,MATCH($B$3,'Coeff EC7'!$C$7:$C$27,0),MATCH(D200&amp;E200,'Coeff EC7'!$D$5:$Q$5&amp;'Coeff EC7'!$D$6:$Q$6,0))</f>
        <v>#N/A</v>
      </c>
      <c r="O200" s="99" t="e">
        <f t="array" ref="O200">INDEX('Coeff EC7'!$D$41:$Q$61,MATCH($B$3,'Coeff EC7'!$C$41:$C$61,0),MATCH(D200&amp;E200,'Coeff EC7'!$D$39:$Q$39&amp;'Coeff EC7'!$D$40:$Q$40,0))</f>
        <v>#N/A</v>
      </c>
      <c r="P200" s="30" t="e">
        <f t="shared" si="268"/>
        <v>#N/A</v>
      </c>
      <c r="Q200" s="100" t="e">
        <f t="shared" si="233"/>
        <v>#N/A</v>
      </c>
      <c r="R200" s="86" t="b">
        <f t="shared" si="234"/>
        <v>0</v>
      </c>
      <c r="S200" s="86">
        <f t="shared" si="232"/>
        <v>0.5</v>
      </c>
      <c r="T200" s="86">
        <f t="shared" si="235"/>
        <v>0.5</v>
      </c>
      <c r="U200" s="30" t="e">
        <f t="shared" ca="1" si="269"/>
        <v>#DIV/0!</v>
      </c>
      <c r="V200" s="85" t="str">
        <f>IF(B200&lt;=Hypothèses!$V$7,Hypothèses!$W$7,IF(B200&lt;=Hypothèses!$V$8,Hypothèses!$W$8,IF(B200&lt;=Hypothèses!$V$9,Hypothèses!$W$9,IF(B200&lt;=Hypothèses!$V$10,Hypothèses!$W$10,IF(B200&lt;=Hypothèses!$V$11,Hypothèses!$W$11,IF(B200&lt;=Hypothèses!$V$12,Hypothèses!$W$12,IF(B200&lt;=Hypothèses!$V$13,Hypothèses!$W$13,IF(B200&lt;=Hypothèses!$V$14,Hypothèses!$W$14,IF(B200&lt;=Hypothèses!$V$15,Hypothèses!$W$15,IF(B200&lt;=Hypothèses!$V$16,Hypothèses!$W$16,IF(B200&lt;=Hypothèses!$V$17,Hypothèses!$W$17,IF(B200&lt;=Hypothèses!$V$18,Hypothèses!$W$18,""))))))))))))</f>
        <v/>
      </c>
      <c r="W200" s="87" t="e">
        <f t="shared" ca="1" si="316"/>
        <v>#DIV/0!</v>
      </c>
      <c r="X200" s="88" t="str">
        <f>IF(B200&lt;=Hypothèses!$V$7,Hypothèses!$X$7,IF(B200&lt;=Hypothèses!$V$8,Hypothèses!$X$8,IF(B200&lt;=Hypothèses!$V$9,Hypothèses!$X$9,IF(B200&lt;=Hypothèses!$V$10,Hypothèses!$X$10,IF(B200&lt;=Hypothèses!$V$11,Hypothèses!$X$11,IF(B200&lt;=Hypothèses!$V$12,Hypothèses!$X$12,IF(B200&lt;=Hypothèses!$V$13,Hypothèses!$X$13,IF(B200&lt;=Hypothèses!$V$14,Hypothèses!$X$14,IF(B200&lt;=Hypothèses!$V$15,Hypothèses!$X$15,IF(B200&lt;=Hypothèses!$V$16,Hypothèses!$X$16,IF(B200&lt;=Hypothèses!$U$17,Hypothèses!$W$17,IF(B200&lt;=Hypothèses!$U$18,Hypothèses!$W$18,""))))))))))))</f>
        <v/>
      </c>
      <c r="Y200" s="95" t="e">
        <f t="shared" ca="1" si="236"/>
        <v>#DIV/0!</v>
      </c>
      <c r="Z200" s="101" t="e">
        <f t="shared" si="237"/>
        <v>#N/A</v>
      </c>
      <c r="AA200" s="91" t="e">
        <f t="shared" si="238"/>
        <v>#N/A</v>
      </c>
      <c r="AB200" s="30" t="e">
        <f t="shared" si="300"/>
        <v>#N/A</v>
      </c>
      <c r="AC200" s="30" t="e">
        <f t="shared" si="301"/>
        <v>#N/A</v>
      </c>
      <c r="AD200" s="31" t="e">
        <f>IF(OR(Hypothèses!$B$4=17,Hypothèses!$B$4=18,Hypothèses!$B$4=19,Hypothèses!$B$4=20),
IF($D200="Pressio.",
IF(OR($E200=3,$E200=1,$E200=4),AC200,AB200),
IF($D200="Pénétro.",
IF(OR($E200=3,$E200=1,$E200=4),AC200,AB200))),IF($D200="Pressio.",
IF($E200=3,AC200,AB200),
IF($D200="Pénétro.",
IF($E200=4,AC200,AB200))))</f>
        <v>#N/A</v>
      </c>
      <c r="AE200" s="31" t="e">
        <f>(IF(OR(Hypothèses!$B$4=17,Hypothèses!$B$4=18,Hypothèses!$B$4=19,Hypothèses!$B$4=20),
IF($D200="Pressio.",
IF(OR($E200=3,$E200=1,$E200=4),(PI()*AE$12^2)/4*(AA200*$W200*1000)/($H200*$B$5),(PI()*AE$12^2)/4*(AA200*$W200*1000)/($G200*$B$5)),
IF($D200="Pénétro.",
IF(OR($E200=4,$E200=1,$E200=5),(PI()*AE$12^2)/4*(AA200*$W200*1000)/($H200*$B$5),(PI()*AE$12^2)/4*(AA200*$W200*1000)/($G200*$B$5)))),
IF($D200="Pressio.",
IF($E200=3,(PI()*AE$12^2)/4*(AA200*$W200*1000)/($H200*$B$5),(PI()*AE$12^2)/4*(AA200*$W200*1000)/($G200*$B$5)),
IF($D200="Pénétro.",
IF($E200=4,(PI()*AE$12^2)/4*(AA200*$W200*1000)/($H200*$B$5),(PI()*AE$12^2)/4*(AA200*$W200*1000)/($G200*$B$5))))))/10</f>
        <v>#N/A</v>
      </c>
      <c r="AF200" s="102" t="e">
        <f>(VLOOKUP($B$3,'Coeff EC7'!$T$39:$X$59,2,0)*AD200+VLOOKUP($B$3,'Coeff EC7'!$T$65:$X$85,2,0)*Model0.1C!AE200)/1.1</f>
        <v>#N/A</v>
      </c>
      <c r="AG200" s="102" t="e">
        <f>(VLOOKUP($B$3,'Coeff EC7'!$T$39:$X$59,3,0)*AD200+VLOOKUP($B$3,'Coeff EC7'!$T$65:$X$85,3,0)*Model0.1C!AE200)/0.9</f>
        <v>#N/A</v>
      </c>
      <c r="AH200" s="102" t="e">
        <f t="shared" si="239"/>
        <v>#N/A</v>
      </c>
      <c r="AI200" s="102" t="e">
        <f t="shared" si="240"/>
        <v>#N/A</v>
      </c>
      <c r="AJ200" s="414" t="e">
        <f>IF(AJ199=0,0,IF(AND(AF200&gt;charge_ELS_quasi,AG200&gt;Charge_ELS_freq,AH200&gt;charge_ELU,AI200&gt;charge_ELA,$B200&gt;NDC!$H$22-0.1+MIN(3*$AJ$12,1.5)),0,1))</f>
        <v>#N/A</v>
      </c>
      <c r="AK200" s="86" t="b">
        <f t="shared" si="241"/>
        <v>0</v>
      </c>
      <c r="AL200" s="86">
        <f t="shared" si="270"/>
        <v>0.5</v>
      </c>
      <c r="AM200" s="86">
        <f t="shared" si="242"/>
        <v>0.5</v>
      </c>
      <c r="AN200" s="30" t="e">
        <f t="shared" ca="1" si="271"/>
        <v>#DIV/0!</v>
      </c>
      <c r="AO200" s="85" t="e">
        <f ca="1">IF(U200&lt;=Hypothèses!$V$7,Hypothèses!$W$7,IF(U200&lt;=Hypothèses!$V$8,Hypothèses!$W$8,IF(U200&lt;=Hypothèses!$V$9,Hypothèses!$W$9,IF(U200&lt;=Hypothèses!$V$10,Hypothèses!$W$10,IF(U200&lt;=Hypothèses!$V$11,Hypothèses!$W$11,IF(U200&lt;=Hypothèses!$V$12,Hypothèses!$W$12,IF(U200&lt;=Hypothèses!$V$13,Hypothèses!$W$13,IF(U200&lt;=Hypothèses!$V$14,Hypothèses!$W$14,IF(U200&lt;=Hypothèses!$V$15,Hypothèses!$W$15,IF(U200&lt;=Hypothèses!$V$16,Hypothèses!$W$16,IF(U200&lt;=Hypothèses!$V$17,Hypothèses!$W$17,IF(U200&lt;=Hypothèses!$V$18,Hypothèses!$W$18,""))))))))))))</f>
        <v>#DIV/0!</v>
      </c>
      <c r="AP200" s="87" t="e">
        <f t="shared" ca="1" si="317"/>
        <v>#DIV/0!</v>
      </c>
      <c r="AQ200" s="88" t="e">
        <f ca="1">IF(U200&lt;=Hypothèses!$V$7,Hypothèses!$X$7,IF(U200&lt;=Hypothèses!$V$8,Hypothèses!$X$8,IF(U200&lt;=Hypothèses!$V$9,Hypothèses!$X$9,IF(U200&lt;=Hypothèses!$V$10,Hypothèses!$X$10,IF(U200&lt;=Hypothèses!$V$11,Hypothèses!$X$11,IF(U200&lt;=Hypothèses!$V$12,Hypothèses!$X$12,IF(U200&lt;=Hypothèses!$V$13,Hypothèses!$X$13,IF(U200&lt;=Hypothèses!$V$14,Hypothèses!$X$14,IF(U200&lt;=Hypothèses!$V$15,Hypothèses!$X$15,IF(U200&lt;=Hypothèses!$V$16,Hypothèses!$X$16,IF(U200&lt;=Hypothèses!$U$17,Hypothèses!$W$17,IF(U200&lt;=Hypothèses!$U$18,Hypothèses!$W$18,""))))))))))))</f>
        <v>#DIV/0!</v>
      </c>
      <c r="AR200" s="95" t="e">
        <f t="shared" ca="1" si="272"/>
        <v>#DIV/0!</v>
      </c>
      <c r="AS200" s="101" t="e">
        <f t="shared" si="324"/>
        <v>#N/A</v>
      </c>
      <c r="AT200" s="91" t="e">
        <f t="shared" si="243"/>
        <v>#N/A</v>
      </c>
      <c r="AU200" s="30" t="e">
        <f t="shared" si="302"/>
        <v>#N/A</v>
      </c>
      <c r="AV200" s="30" t="e">
        <f t="shared" si="303"/>
        <v>#N/A</v>
      </c>
      <c r="AW200" s="31" t="e">
        <f>IF(OR(Hypothèses!$B$4=17,Hypothèses!$B$4=18,Hypothèses!$B$4=19,Hypothèses!$B$4=20),
IF($D200="Pressio.",
IF(OR($E200=3,$E200=1,$E200=4),AV200,AU200),
IF($D200="Pénétro.",
IF(OR($E200=3,$E200=1,$E200=4),AV200,AU200))),IF($D200="Pressio.",
IF($E200=3,AV200,AU200),
IF($D200="Pénétro.",
IF($E200=4,AV200,AU200))))</f>
        <v>#N/A</v>
      </c>
      <c r="AX200" s="31" t="e">
        <f>(IF(OR(Hypothèses!$B$4=17,Hypothèses!$B$4=18,Hypothèses!$B$4=19,Hypothèses!$B$4=20),
IF($D200="Pressio.",
IF(OR($E200=3,$E200=1,$E200=4),(PI()*AX$12^2)/4*(AT200*$W200*1000)/($H200*$B$5),(PI()*AX$12^2)/4*(AT200*$W200*1000)/($G200*$B$5)),
IF($D200="Pénétro.",
IF(OR($E200=4,$E200=1,$E200=5),(PI()*AX$12^2)/4*(AT200*$W200*1000)/($H200*$B$5),(PI()*AX$12^2)/4*(AT200*$W200*1000)/($G200*$B$5)))),
IF($D200="Pressio.",
IF($E200=3,(PI()*AX$12^2)/4*(AT200*$W200*1000)/($H200*$B$5),(PI()*AX$12^2)/4*(AT200*$W200*1000)/($G200*$B$5)),
IF($D200="Pénétro.",
IF($E200=4,(PI()*AX$12^2)/4*(AT200*$W200*1000)/($H200*$B$5),(PI()*AX$12^2)/4*(AT200*$W200*1000)/($G200*$B$5))))))/10</f>
        <v>#N/A</v>
      </c>
      <c r="AY200" s="102" t="e">
        <f>(VLOOKUP($B$3,'Coeff EC7'!$T$39:$X$59,2,0)*AW200+VLOOKUP($B$3,'Coeff EC7'!$T$65:$X$85,2,0)*Model0.1C!AX200)/1.1</f>
        <v>#N/A</v>
      </c>
      <c r="AZ200" s="102" t="e">
        <f>(VLOOKUP($B$3,'Coeff EC7'!$T$39:$X$59,3,0)*AW200+VLOOKUP($B$3,'Coeff EC7'!$T$65:$X$85,3,0)*Model0.1C!AX200)/0.9</f>
        <v>#N/A</v>
      </c>
      <c r="BA200" s="102" t="e">
        <f t="shared" si="273"/>
        <v>#N/A</v>
      </c>
      <c r="BB200" s="102" t="e">
        <f t="shared" si="274"/>
        <v>#N/A</v>
      </c>
      <c r="BC200" s="414" t="e">
        <f>IF(BC199=0,0,IF(AND(AY200&gt;charge_ELS_quasi,AZ200&gt;Charge_ELS_freq,BA200&gt;charge_ELU,BB200&gt;charge_ELA,$B200&gt;NDC!$H$22-0.1+MIN(3*$BC$12,1.5)),0,1))</f>
        <v>#N/A</v>
      </c>
      <c r="BD200" s="86" t="b">
        <f t="shared" si="244"/>
        <v>0</v>
      </c>
      <c r="BE200" s="86">
        <f t="shared" si="275"/>
        <v>0.5</v>
      </c>
      <c r="BF200" s="86">
        <f t="shared" si="245"/>
        <v>0.5</v>
      </c>
      <c r="BG200" s="30" t="e">
        <f t="shared" ca="1" si="276"/>
        <v>#DIV/0!</v>
      </c>
      <c r="BH200" s="85" t="e">
        <f ca="1">IF(AN200&lt;=Hypothèses!$V$7,Hypothèses!$W$7,IF(AN200&lt;=Hypothèses!$V$8,Hypothèses!$W$8,IF(AN200&lt;=Hypothèses!$V$9,Hypothèses!$W$9,IF(AN200&lt;=Hypothèses!$V$10,Hypothèses!$W$10,IF(AN200&lt;=Hypothèses!$V$11,Hypothèses!$W$11,IF(AN200&lt;=Hypothèses!$V$12,Hypothèses!$W$12,IF(AN200&lt;=Hypothèses!$V$13,Hypothèses!$W$13,IF(AN200&lt;=Hypothèses!$V$14,Hypothèses!$W$14,IF(AN200&lt;=Hypothèses!$V$15,Hypothèses!$W$15,IF(AN200&lt;=Hypothèses!$V$16,Hypothèses!$W$16,IF(AN200&lt;=Hypothèses!$V$17,Hypothèses!$W$17,IF(AN200&lt;=Hypothèses!$V$18,Hypothèses!$W$18,""))))))))))))</f>
        <v>#DIV/0!</v>
      </c>
      <c r="BI200" s="87" t="e">
        <f t="shared" ca="1" si="318"/>
        <v>#DIV/0!</v>
      </c>
      <c r="BJ200" s="88" t="e">
        <f ca="1">IF(AN200&lt;=Hypothèses!$V$7,Hypothèses!$X$7,IF(AN200&lt;=Hypothèses!$V$8,Hypothèses!$X$8,IF(AN200&lt;=Hypothèses!$V$9,Hypothèses!$X$9,IF(AN200&lt;=Hypothèses!$V$10,Hypothèses!$X$10,IF(AN200&lt;=Hypothèses!$V$11,Hypothèses!$X$11,IF(AN200&lt;=Hypothèses!$V$12,Hypothèses!$X$12,IF(AN200&lt;=Hypothèses!$V$13,Hypothèses!$X$13,IF(AN200&lt;=Hypothèses!$V$14,Hypothèses!$X$14,IF(AN200&lt;=Hypothèses!$V$15,Hypothèses!$X$15,IF(AN200&lt;=Hypothèses!$V$16,Hypothèses!$X$16,IF(AN200&lt;=Hypothèses!$U$17,Hypothèses!$W$17,IF(AN200&lt;=Hypothèses!$U$18,Hypothèses!$W$18,""))))))))))))</f>
        <v>#DIV/0!</v>
      </c>
      <c r="BK200" s="95" t="e">
        <f t="shared" ca="1" si="277"/>
        <v>#DIV/0!</v>
      </c>
      <c r="BL200" s="101" t="e">
        <f t="shared" si="325"/>
        <v>#N/A</v>
      </c>
      <c r="BM200" s="91" t="e">
        <f t="shared" si="246"/>
        <v>#N/A</v>
      </c>
      <c r="BN200" s="30" t="e">
        <f t="shared" si="304"/>
        <v>#N/A</v>
      </c>
      <c r="BO200" s="30" t="e">
        <f t="shared" si="305"/>
        <v>#N/A</v>
      </c>
      <c r="BP200" s="31" t="e">
        <f>IF(OR(Hypothèses!$B$4=17,Hypothèses!$B$4=18,Hypothèses!$B$4=19,Hypothèses!$B$4=20),
IF($D200="Pressio.",
IF(OR($E200=3,$E200=1,$E200=4),BO200,BN200),
IF($D200="Pénétro.",
IF(OR($E200=3,$E200=1,$E200=4),BO200,BN200))),IF($D200="Pressio.",
IF($E200=3,BO200,BN200),
IF($D200="Pénétro.",
IF($E200=4,BO200,BN200))))</f>
        <v>#N/A</v>
      </c>
      <c r="BQ200" s="31" t="e">
        <f>(IF(OR(Hypothèses!$B$4=17,Hypothèses!$B$4=18,Hypothèses!$B$4=19,Hypothèses!$B$4=20),
IF($D200="Pressio.",
IF(OR($E200=3,$E200=1,$E200=4),(PI()*BQ$12^2)/4*(BM200*$W200*1000)/($H200*$B$5),(PI()*BQ$12^2)/4*(BM200*$W200*1000)/($G200*$B$5)),
IF($D200="Pénétro.",
IF(OR($E200=4,$E200=1,$E200=5),(PI()*BQ$12^2)/4*(BM200*$W200*1000)/($H200*$B$5),(PI()*BQ$12^2)/4*(BM200*$W200*1000)/($G200*$B$5)))),
IF($D200="Pressio.",
IF($E200=3,(PI()*BQ$12^2)/4*(BM200*$W200*1000)/($H200*$B$5),(PI()*BQ$12^2)/4*(BM200*$W200*1000)/($G200*$B$5)),
IF($D200="Pénétro.",
IF($E200=4,(PI()*BQ$12^2)/4*(BM200*$W200*1000)/($H200*$B$5),(PI()*BQ$12^2)/4*(BM200*$W200*1000)/($G200*$B$5))))))/10</f>
        <v>#N/A</v>
      </c>
      <c r="BR200" s="102" t="e">
        <f>(VLOOKUP($B$3,'Coeff EC7'!$T$39:$X$59,2,0)*BP200+VLOOKUP($B$3,'Coeff EC7'!$T$65:$X$85,2,0)*Model0.1C!BQ200)/1.1</f>
        <v>#N/A</v>
      </c>
      <c r="BS200" s="102" t="e">
        <f>(VLOOKUP($B$3,'Coeff EC7'!$T$39:$X$59,3,0)*BP200+VLOOKUP($B$3,'Coeff EC7'!$T$65:$X$85,3,0)*Model0.1C!BQ200)/0.9</f>
        <v>#N/A</v>
      </c>
      <c r="BT200" s="102" t="e">
        <f t="shared" si="278"/>
        <v>#N/A</v>
      </c>
      <c r="BU200" s="102" t="e">
        <f t="shared" si="279"/>
        <v>#N/A</v>
      </c>
      <c r="BV200" s="414" t="e">
        <f>IF(BV199=0,0,IF(AND(BR200&gt;charge_ELS_quasi,BS200&gt;Charge_ELS_freq,BT200&gt;charge_ELU,BU200&gt;charge_ELA,$B200&gt;NDC!$H$22-0.1+MIN(3*$BV$12,1.5)),0,1))</f>
        <v>#N/A</v>
      </c>
      <c r="BW200" s="86" t="b">
        <f t="shared" si="247"/>
        <v>0</v>
      </c>
      <c r="BX200" s="86">
        <f t="shared" si="248"/>
        <v>0.5</v>
      </c>
      <c r="BY200" s="86">
        <f t="shared" si="249"/>
        <v>0.5</v>
      </c>
      <c r="BZ200" s="30" t="e">
        <f t="shared" ca="1" si="280"/>
        <v>#DIV/0!</v>
      </c>
      <c r="CA200" s="85" t="e">
        <f ca="1">IF(BG200&lt;=Hypothèses!$V$7,Hypothèses!$W$7,IF(BG200&lt;=Hypothèses!$V$8,Hypothèses!$W$8,IF(BG200&lt;=Hypothèses!$V$9,Hypothèses!$W$9,IF(BG200&lt;=Hypothèses!$V$10,Hypothèses!$W$10,IF(BG200&lt;=Hypothèses!$V$11,Hypothèses!$W$11,IF(BG200&lt;=Hypothèses!$V$12,Hypothèses!$W$12,IF(BG200&lt;=Hypothèses!$V$13,Hypothèses!$W$13,IF(BG200&lt;=Hypothèses!$V$14,Hypothèses!$W$14,IF(BG200&lt;=Hypothèses!$V$15,Hypothèses!$W$15,IF(BG200&lt;=Hypothèses!$V$16,Hypothèses!$W$16,IF(BG200&lt;=Hypothèses!$V$17,Hypothèses!$W$17,IF(BG200&lt;=Hypothèses!$V$18,Hypothèses!$W$18,""))))))))))))</f>
        <v>#DIV/0!</v>
      </c>
      <c r="CB200" s="87" t="e">
        <f t="shared" ca="1" si="319"/>
        <v>#DIV/0!</v>
      </c>
      <c r="CC200" s="88" t="e">
        <f ca="1">IF(BG200&lt;=Hypothèses!$V$7,Hypothèses!$X$7,IF(BG200&lt;=Hypothèses!$V$8,Hypothèses!$X$8,IF(BG200&lt;=Hypothèses!$V$9,Hypothèses!$X$9,IF(BG200&lt;=Hypothèses!$V$10,Hypothèses!$X$10,IF(BG200&lt;=Hypothèses!$V$11,Hypothèses!$X$11,IF(BG200&lt;=Hypothèses!$V$12,Hypothèses!$X$12,IF(BG200&lt;=Hypothèses!$V$13,Hypothèses!$X$13,IF(BG200&lt;=Hypothèses!$V$14,Hypothèses!$X$14,IF(BG200&lt;=Hypothèses!$V$15,Hypothèses!$X$15,IF(BG200&lt;=Hypothèses!$V$16,Hypothèses!$X$16,IF(BG200&lt;=Hypothèses!$U$17,Hypothèses!$W$17,IF(BG200&lt;=Hypothèses!$U$18,Hypothèses!$W$18,""))))))))))))</f>
        <v>#DIV/0!</v>
      </c>
      <c r="CD200" s="95" t="e">
        <f t="shared" ca="1" si="281"/>
        <v>#DIV/0!</v>
      </c>
      <c r="CE200" s="101" t="e">
        <f t="shared" si="326"/>
        <v>#N/A</v>
      </c>
      <c r="CF200" s="91" t="e">
        <f t="shared" si="250"/>
        <v>#N/A</v>
      </c>
      <c r="CG200" s="30" t="e">
        <f t="shared" si="306"/>
        <v>#N/A</v>
      </c>
      <c r="CH200" s="30" t="e">
        <f t="shared" si="307"/>
        <v>#N/A</v>
      </c>
      <c r="CI200" s="31" t="e">
        <f>IF(OR(Hypothèses!$B$4=17,Hypothèses!$B$4=18,Hypothèses!$B$4=19,Hypothèses!$B$4=20),
IF($D200="Pressio.",
IF(OR($E200=3,$E200=1,$E200=4),CH200,CG200),
IF($D200="Pénétro.",
IF(OR($E200=3,$E200=1,$E200=4),CH200,CG200))),IF($D200="Pressio.",
IF($E200=3,CH200,CG200),
IF($D200="Pénétro.",
IF($E200=4,CH200,CG200))))</f>
        <v>#N/A</v>
      </c>
      <c r="CJ200" s="31" t="e">
        <f>(IF(OR(Hypothèses!$B$4=17,Hypothèses!$B$4=18,Hypothèses!$B$4=19,Hypothèses!$B$4=20),
IF($D200="Pressio.",
IF(OR($E200=3,$E200=1,$E200=4),(PI()*CJ$12^2)/4*(CF200*$W200*1000)/($H200*$B$5),(PI()*CJ$12^2)/4*(CF200*$W200*1000)/($G200*$B$5)),
IF($D200="Pénétro.",
IF(OR($E200=4,$E200=1,$E200=5),(PI()*CJ$12^2)/4*(CF200*$W200*1000)/($H200*$B$5),(PI()*CJ$12^2)/4*(CF200*$W200*1000)/($G200*$B$5)))),
IF($D200="Pressio.",
IF($E200=3,(PI()*CJ$12^2)/4*(CF200*$W200*1000)/($H200*$B$5),(PI()*CJ$12^2)/4*(CF200*$W200*1000)/($G200*$B$5)),
IF($D200="Pénétro.",
IF($E200=4,(PI()*CJ$12^2)/4*(CF200*$W200*1000)/($H200*$B$5),(PI()*CJ$12^2)/4*(CF200*$W200*1000)/($G200*$B$5))))))/10</f>
        <v>#N/A</v>
      </c>
      <c r="CK200" s="102" t="e">
        <f>(VLOOKUP($B$3,'Coeff EC7'!$T$39:$X$59,2,0)*CI200+VLOOKUP($B$3,'Coeff EC7'!$T$65:$X$85,2,0)*Model0.1C!CJ200)/1.1</f>
        <v>#N/A</v>
      </c>
      <c r="CL200" s="102" t="e">
        <f>(VLOOKUP($B$3,'Coeff EC7'!$T$39:$X$59,3,0)*CI200+VLOOKUP($B$3,'Coeff EC7'!$T$65:$X$85,3,0)*Model0.1C!CJ200)/0.9</f>
        <v>#N/A</v>
      </c>
      <c r="CM200" s="102" t="e">
        <f t="shared" si="282"/>
        <v>#N/A</v>
      </c>
      <c r="CN200" s="102" t="e">
        <f t="shared" si="283"/>
        <v>#N/A</v>
      </c>
      <c r="CO200" s="414" t="e">
        <f>IF(CO199=0,0,IF(AND(CK200&gt;charge_ELS_quasi,CL200&gt;Charge_ELS_freq,CM200&gt;charge_ELU,CN200&gt;charge_ELA,$B200&gt;NDC!$H$22-0.1+MIN(3*$CO$12,1.5)),0,1))</f>
        <v>#N/A</v>
      </c>
      <c r="CP200" s="86" t="b">
        <f t="shared" si="251"/>
        <v>0</v>
      </c>
      <c r="CQ200" s="86">
        <f t="shared" si="252"/>
        <v>0.5</v>
      </c>
      <c r="CR200" s="86">
        <f t="shared" si="253"/>
        <v>0.5</v>
      </c>
      <c r="CS200" s="30" t="e">
        <f t="shared" ca="1" si="284"/>
        <v>#DIV/0!</v>
      </c>
      <c r="CT200" s="85" t="e">
        <f ca="1">IF(BZ200&lt;=Hypothèses!$V$7,Hypothèses!$W$7,IF(BZ200&lt;=Hypothèses!$V$8,Hypothèses!$W$8,IF(BZ200&lt;=Hypothèses!$V$9,Hypothèses!$W$9,IF(BZ200&lt;=Hypothèses!$V$10,Hypothèses!$W$10,IF(BZ200&lt;=Hypothèses!$V$11,Hypothèses!$W$11,IF(BZ200&lt;=Hypothèses!$V$12,Hypothèses!$W$12,IF(BZ200&lt;=Hypothèses!$V$13,Hypothèses!$W$13,IF(BZ200&lt;=Hypothèses!$V$14,Hypothèses!$W$14,IF(BZ200&lt;=Hypothèses!$V$15,Hypothèses!$W$15,IF(BZ200&lt;=Hypothèses!$V$16,Hypothèses!$W$16,IF(BZ200&lt;=Hypothèses!$V$17,Hypothèses!$W$17,IF(BZ200&lt;=Hypothèses!$V$18,Hypothèses!$W$18,""))))))))))))</f>
        <v>#DIV/0!</v>
      </c>
      <c r="CU200" s="87" t="e">
        <f t="shared" ca="1" si="320"/>
        <v>#DIV/0!</v>
      </c>
      <c r="CV200" s="88" t="e">
        <f ca="1">IF(BZ200&lt;=Hypothèses!$V$7,Hypothèses!$X$7,IF(BZ200&lt;=Hypothèses!$V$8,Hypothèses!$X$8,IF(BZ200&lt;=Hypothèses!$V$9,Hypothèses!$X$9,IF(BZ200&lt;=Hypothèses!$V$10,Hypothèses!$X$10,IF(BZ200&lt;=Hypothèses!$V$11,Hypothèses!$X$11,IF(BZ200&lt;=Hypothèses!$V$12,Hypothèses!$X$12,IF(BZ200&lt;=Hypothèses!$V$13,Hypothèses!$X$13,IF(BZ200&lt;=Hypothèses!$V$14,Hypothèses!$X$14,IF(BZ200&lt;=Hypothèses!$V$15,Hypothèses!$X$15,IF(BZ200&lt;=Hypothèses!$V$16,Hypothèses!$X$16,IF(BZ200&lt;=Hypothèses!$U$17,Hypothèses!$W$17,IF(BZ200&lt;=Hypothèses!$U$18,Hypothèses!$W$18,""))))))))))))</f>
        <v>#DIV/0!</v>
      </c>
      <c r="CW200" s="95" t="e">
        <f t="shared" ca="1" si="285"/>
        <v>#DIV/0!</v>
      </c>
      <c r="CX200" s="101" t="e">
        <f t="shared" si="327"/>
        <v>#N/A</v>
      </c>
      <c r="CY200" s="91" t="e">
        <f t="shared" si="254"/>
        <v>#N/A</v>
      </c>
      <c r="CZ200" s="30" t="e">
        <f t="shared" si="308"/>
        <v>#N/A</v>
      </c>
      <c r="DA200" s="30" t="e">
        <f t="shared" si="309"/>
        <v>#N/A</v>
      </c>
      <c r="DB200" s="31" t="e">
        <f>IF(OR(Hypothèses!$B$4=17,Hypothèses!$B$4=18,Hypothèses!$B$4=19,Hypothèses!$B$4=20),
IF($D200="Pressio.",
IF(OR($E200=3,$E200=1,$E200=4),DA200,CZ200),
IF($D200="Pénétro.",
IF(OR($E200=3,$E200=1,$E200=4),DA200,CZ200))),IF($D200="Pressio.",
IF($E200=3,DA200,CZ200),
IF($D200="Pénétro.",
IF($E200=4,DA200,CZ200))))</f>
        <v>#N/A</v>
      </c>
      <c r="DC200" s="31" t="e">
        <f>(IF(OR(Hypothèses!$B$4=17,Hypothèses!$B$4=18,Hypothèses!$B$4=19,Hypothèses!$B$4=20),
IF($D200="Pressio.",
IF(OR($E200=3,$E200=1,$E200=4),(PI()*DC$12^2)/4*(CY200*$W200*1000)/($H200*$B$5),(PI()*DC$12^2)/4*(CY200*$W200*1000)/($G200*$B$5)),
IF($D200="Pénétro.",
IF(OR($E200=4,$E200=1,$E200=5),(PI()*DC$12^2)/4*(CY200*$W200*1000)/($H200*$B$5),(PI()*DC$12^2)/4*(CY200*$W200*1000)/($G200*$B$5)))),
IF($D200="Pressio.",
IF($E200=3,(PI()*DC$12^2)/4*(CY200*$W200*1000)/($H200*$B$5),(PI()*DC$12^2)/4*(CY200*$W200*1000)/($G200*$B$5)),
IF($D200="Pénétro.",
IF($E200=4,(PI()*DC$12^2)/4*(CY200*$W200*1000)/($H200*$B$5),(PI()*DC$12^2)/4*(CY200*$W200*1000)/($G200*$B$5))))))/10</f>
        <v>#N/A</v>
      </c>
      <c r="DD200" s="102" t="e">
        <f>(VLOOKUP($B$3,'Coeff EC7'!$T$39:$X$59,2,0)*DB200+VLOOKUP($B$3,'Coeff EC7'!$T$65:$X$85,2,0)*Model0.1C!DC200)/1.1</f>
        <v>#N/A</v>
      </c>
      <c r="DE200" s="102" t="e">
        <f>(VLOOKUP($B$3,'Coeff EC7'!$T$39:$X$59,3,0)*DB200+VLOOKUP($B$3,'Coeff EC7'!$T$65:$X$85,3,0)*Model0.1C!DC200)/0.9</f>
        <v>#N/A</v>
      </c>
      <c r="DF200" s="102" t="e">
        <f t="shared" si="286"/>
        <v>#N/A</v>
      </c>
      <c r="DG200" s="102" t="e">
        <f t="shared" si="287"/>
        <v>#N/A</v>
      </c>
      <c r="DH200" s="414" t="e">
        <f>IF(DH199=0,0,IF(AND(DD200&gt;charge_ELS_quasi,DE200&gt;Charge_ELS_freq,DF200&gt;charge_ELU,DG200&gt;charge_ELA,$B200&gt;NDC!$H$22-0.1+MIN(3*$DH$12,1.5)),0,1))</f>
        <v>#N/A</v>
      </c>
      <c r="DI200" s="86" t="b">
        <f t="shared" si="255"/>
        <v>0</v>
      </c>
      <c r="DJ200" s="86">
        <f t="shared" si="256"/>
        <v>0.5</v>
      </c>
      <c r="DK200" s="86">
        <f t="shared" si="257"/>
        <v>0.5</v>
      </c>
      <c r="DL200" s="30" t="e">
        <f t="shared" ca="1" si="288"/>
        <v>#DIV/0!</v>
      </c>
      <c r="DM200" s="85" t="e">
        <f ca="1">IF(CS200&lt;=Hypothèses!$V$7,Hypothèses!$W$7,IF(CS200&lt;=Hypothèses!$V$8,Hypothèses!$W$8,IF(CS200&lt;=Hypothèses!$V$9,Hypothèses!$W$9,IF(CS200&lt;=Hypothèses!$V$10,Hypothèses!$W$10,IF(CS200&lt;=Hypothèses!$V$11,Hypothèses!$W$11,IF(CS200&lt;=Hypothèses!$V$12,Hypothèses!$W$12,IF(CS200&lt;=Hypothèses!$V$13,Hypothèses!$W$13,IF(CS200&lt;=Hypothèses!$V$14,Hypothèses!$W$14,IF(CS200&lt;=Hypothèses!$V$15,Hypothèses!$W$15,IF(CS200&lt;=Hypothèses!$V$16,Hypothèses!$W$16,IF(CS200&lt;=Hypothèses!$V$17,Hypothèses!$W$17,IF(CS200&lt;=Hypothèses!$V$18,Hypothèses!$W$18,""))))))))))))</f>
        <v>#DIV/0!</v>
      </c>
      <c r="DN200" s="87" t="e">
        <f t="shared" ca="1" si="321"/>
        <v>#DIV/0!</v>
      </c>
      <c r="DO200" s="88" t="e">
        <f ca="1">IF(CS200&lt;=Hypothèses!$V$7,Hypothèses!$X$7,IF(CS200&lt;=Hypothèses!$V$8,Hypothèses!$X$8,IF(CS200&lt;=Hypothèses!$V$9,Hypothèses!$X$9,IF(CS200&lt;=Hypothèses!$V$10,Hypothèses!$X$10,IF(CS200&lt;=Hypothèses!$V$11,Hypothèses!$X$11,IF(CS200&lt;=Hypothèses!$V$12,Hypothèses!$X$12,IF(CS200&lt;=Hypothèses!$V$13,Hypothèses!$X$13,IF(CS200&lt;=Hypothèses!$V$14,Hypothèses!$X$14,IF(CS200&lt;=Hypothèses!$V$15,Hypothèses!$X$15,IF(CS200&lt;=Hypothèses!$V$16,Hypothèses!$X$16,IF(CS200&lt;=Hypothèses!$U$17,Hypothèses!$W$17,IF(CS200&lt;=Hypothèses!$U$18,Hypothèses!$W$18,""))))))))))))</f>
        <v>#DIV/0!</v>
      </c>
      <c r="DP200" s="95" t="e">
        <f t="shared" ca="1" si="289"/>
        <v>#DIV/0!</v>
      </c>
      <c r="DQ200" s="101" t="e">
        <f t="shared" si="328"/>
        <v>#N/A</v>
      </c>
      <c r="DR200" s="91" t="e">
        <f t="shared" si="258"/>
        <v>#N/A</v>
      </c>
      <c r="DS200" s="30" t="e">
        <f t="shared" si="310"/>
        <v>#N/A</v>
      </c>
      <c r="DT200" s="30" t="e">
        <f t="shared" si="311"/>
        <v>#N/A</v>
      </c>
      <c r="DU200" s="31" t="e">
        <f>IF(OR(Hypothèses!$B$4=17,Hypothèses!$B$4=18,Hypothèses!$B$4=19,Hypothèses!$B$4=20),
IF($D200="Pressio.",
IF(OR($E200=3,$E200=1,$E200=4),DT200,DS200),
IF($D200="Pénétro.",
IF(OR($E200=3,$E200=1,$E200=4),DT200,DS200))),IF($D200="Pressio.",
IF($E200=3,DT200,DS200),
IF($D200="Pénétro.",
IF($E200=4,DT200,DS200))))</f>
        <v>#N/A</v>
      </c>
      <c r="DV200" s="31" t="e">
        <f>(IF(OR(Hypothèses!$B$4=17,Hypothèses!$B$4=18,Hypothèses!$B$4=19,Hypothèses!$B$4=20),
IF($D200="Pressio.",
IF(OR($E200=3,$E200=1,$E200=4),(PI()*DV$12^2)/4*(DR200*$W200*1000)/($H200*$B$5),(PI()*DV$12^2)/4*(DR200*$W200*1000)/($G200*$B$5)),
IF($D200="Pénétro.",
IF(OR($E200=4,$E200=1,$E200=5),(PI()*DV$12^2)/4*(DR200*$W200*1000)/($H200*$B$5),(PI()*DV$12^2)/4*(DR200*$W200*1000)/($G200*$B$5)))),
IF($D200="Pressio.",
IF($E200=3,(PI()*DV$12^2)/4*(DR200*$W200*1000)/($H200*$B$5),(PI()*DV$12^2)/4*(DR200*$W200*1000)/($G200*$B$5)),
IF($D200="Pénétro.",
IF($E200=4,(PI()*DV$12^2)/4*(DR200*$W200*1000)/($H200*$B$5),(PI()*DV$12^2)/4*(DR200*$W200*1000)/($G200*$B$5))))))/10</f>
        <v>#N/A</v>
      </c>
      <c r="DW200" s="102" t="e">
        <f>(VLOOKUP($B$3,'Coeff EC7'!$T$39:$X$59,2,0)*DU200+VLOOKUP($B$3,'Coeff EC7'!$T$65:$X$85,2,0)*Model0.1C!DV200)/1.1</f>
        <v>#N/A</v>
      </c>
      <c r="DX200" s="102" t="e">
        <f>(VLOOKUP($B$3,'Coeff EC7'!$T$39:$X$59,3,0)*DU200+VLOOKUP($B$3,'Coeff EC7'!$T$65:$X$85,3,0)*Model0.1C!DV200)/0.9</f>
        <v>#N/A</v>
      </c>
      <c r="DY200" s="102" t="e">
        <f t="shared" si="290"/>
        <v>#N/A</v>
      </c>
      <c r="DZ200" s="102" t="e">
        <f t="shared" si="291"/>
        <v>#N/A</v>
      </c>
      <c r="EA200" s="414" t="e">
        <f>IF(EA199=0,0,IF(AND(DW200&gt;charge_ELS_quasi,DX200&gt;Charge_ELS_freq,DY200&gt;charge_ELU,DZ200&gt;charge_ELA,$B200&gt;NDC!$H$22-0.1+MIN(3*$EA$12,1.5)),0,1))</f>
        <v>#N/A</v>
      </c>
      <c r="EB200" s="86" t="b">
        <f t="shared" si="259"/>
        <v>0</v>
      </c>
      <c r="EC200" s="418">
        <f t="shared" si="260"/>
        <v>0.51</v>
      </c>
      <c r="ED200" s="86">
        <f t="shared" si="261"/>
        <v>0.51</v>
      </c>
      <c r="EE200" s="30" t="e">
        <f t="shared" ca="1" si="292"/>
        <v>#DIV/0!</v>
      </c>
      <c r="EF200" s="85" t="e">
        <f ca="1">IF(DL200&lt;=Hypothèses!$V$7,Hypothèses!$W$7,IF(DL200&lt;=Hypothèses!$V$8,Hypothèses!$W$8,IF(DL200&lt;=Hypothèses!$V$9,Hypothèses!$W$9,IF(DL200&lt;=Hypothèses!$V$10,Hypothèses!$W$10,IF(DL200&lt;=Hypothèses!$V$11,Hypothèses!$W$11,IF(DL200&lt;=Hypothèses!$V$12,Hypothèses!$W$12,IF(DL200&lt;=Hypothèses!$V$13,Hypothèses!$W$13,IF(DL200&lt;=Hypothèses!$V$14,Hypothèses!$W$14,IF(DL200&lt;=Hypothèses!$V$15,Hypothèses!$W$15,IF(DL200&lt;=Hypothèses!$V$16,Hypothèses!$W$16,IF(DL200&lt;=Hypothèses!$V$17,Hypothèses!$W$17,IF(DL200&lt;=Hypothèses!$V$18,Hypothèses!$W$18,""))))))))))))</f>
        <v>#DIV/0!</v>
      </c>
      <c r="EG200" s="87" t="e">
        <f t="shared" ca="1" si="322"/>
        <v>#DIV/0!</v>
      </c>
      <c r="EH200" s="88" t="e">
        <f ca="1">IF(DL200&lt;=Hypothèses!$V$7,Hypothèses!$X$7,IF(DL200&lt;=Hypothèses!$V$8,Hypothèses!$X$8,IF(DL200&lt;=Hypothèses!$V$9,Hypothèses!$X$9,IF(DL200&lt;=Hypothèses!$V$10,Hypothèses!$X$10,IF(DL200&lt;=Hypothèses!$V$11,Hypothèses!$X$11,IF(DL200&lt;=Hypothèses!$V$12,Hypothèses!$X$12,IF(DL200&lt;=Hypothèses!$V$13,Hypothèses!$X$13,IF(DL200&lt;=Hypothèses!$V$14,Hypothèses!$X$14,IF(DL200&lt;=Hypothèses!$V$15,Hypothèses!$X$15,IF(DL200&lt;=Hypothèses!$V$16,Hypothèses!$X$16,IF(DL200&lt;=Hypothèses!$U$17,Hypothèses!$W$17,IF(DL200&lt;=Hypothèses!$U$18,Hypothèses!$W$18,""))))))))))))</f>
        <v>#DIV/0!</v>
      </c>
      <c r="EI200" s="95" t="e">
        <f t="shared" ca="1" si="293"/>
        <v>#DIV/0!</v>
      </c>
      <c r="EJ200" s="101" t="e">
        <f t="shared" si="329"/>
        <v>#N/A</v>
      </c>
      <c r="EK200" s="91" t="e">
        <f t="shared" si="262"/>
        <v>#N/A</v>
      </c>
      <c r="EL200" s="30" t="e">
        <f t="shared" si="312"/>
        <v>#N/A</v>
      </c>
      <c r="EM200" s="30" t="e">
        <f t="shared" si="313"/>
        <v>#N/A</v>
      </c>
      <c r="EN200" s="31" t="e">
        <f>IF(OR(Hypothèses!$B$4=17,Hypothèses!$B$4=18,Hypothèses!$B$4=19,Hypothèses!$B$4=20),
IF($D200="Pressio.",
IF(OR($E200=3,$E200=1,$E200=4),EM200,EL200),
IF($D200="Pénétro.",
IF(OR($E200=3,$E200=1,$E200=4),EM200,EL200))),IF($D200="Pressio.",
IF($E200=3,EM200,EL200),
IF($D200="Pénétro.",
IF($E200=4,EM200,EL200))))</f>
        <v>#N/A</v>
      </c>
      <c r="EO200" s="31" t="e">
        <f>(IF(OR(Hypothèses!$B$4=17,Hypothèses!$B$4=18,Hypothèses!$B$4=19,Hypothèses!$B$4=20),
IF($D200="Pressio.",
IF(OR($E200=3,$E200=1,$E200=4),(PI()*EO$12^2)/4*(EK200*$W200*1000)/($H200*$B$5),(PI()*EO$12^2)/4*(EK200*$W200*1000)/($G200*$B$5)),
IF($D200="Pénétro.",
IF(OR($E200=4,$E200=1,$E200=5),(PI()*EO$12^2)/4*(EK200*$W200*1000)/($H200*$B$5),(PI()*EO$12^2)/4*(EK200*$W200*1000)/($G200*$B$5)))),
IF($D200="Pressio.",
IF($E200=3,(PI()*EO$12^2)/4*(EK200*$W200*1000)/($H200*$B$5),(PI()*EO$12^2)/4*(EK200*$W200*1000)/($G200*$B$5)),
IF($D200="Pénétro.",
IF($E200=4,(PI()*EO$12^2)/4*(EK200*$W200*1000)/($H200*$B$5),(PI()*EO$12^2)/4*(EK200*$W200*1000)/($G200*$B$5))))))/10</f>
        <v>#N/A</v>
      </c>
      <c r="EP200" s="102" t="e">
        <f>(VLOOKUP($B$3,'Coeff EC7'!$T$39:$X$59,2,0)*EN200+VLOOKUP($B$3,'Coeff EC7'!$T$65:$X$85,2,0)*Model0.1C!EO200)/1.1</f>
        <v>#N/A</v>
      </c>
      <c r="EQ200" s="102" t="e">
        <f>(VLOOKUP($B$3,'Coeff EC7'!$T$39:$X$59,3,0)*EN200+VLOOKUP($B$3,'Coeff EC7'!$T$65:$X$85,3,0)*Model0.1C!EO200)/0.9</f>
        <v>#N/A</v>
      </c>
      <c r="ER200" s="102" t="e">
        <f t="shared" si="294"/>
        <v>#N/A</v>
      </c>
      <c r="ES200" s="102" t="e">
        <f t="shared" si="295"/>
        <v>#N/A</v>
      </c>
      <c r="ET200" s="414" t="e">
        <f>IF(ET199=0,0,IF(AND(EP200&gt;charge_ELS_quasi,EQ200&gt;Charge_ELS_freq,ER200&gt;charge_ELU,ES200&gt;charge_ELA,$B200&gt;NDC!$H$22-0.1+MIN(3*$ET$12,1.5)),0,1))</f>
        <v>#N/A</v>
      </c>
      <c r="EU200" s="86" t="b">
        <f t="shared" si="263"/>
        <v>0</v>
      </c>
      <c r="EV200" s="86">
        <f t="shared" si="264"/>
        <v>0.61</v>
      </c>
      <c r="EW200" s="86">
        <f t="shared" si="265"/>
        <v>0.61</v>
      </c>
      <c r="EX200" s="30" t="e">
        <f t="shared" ca="1" si="296"/>
        <v>#DIV/0!</v>
      </c>
      <c r="EY200" s="85" t="e">
        <f ca="1">IF(EE200&lt;=Hypothèses!$V$7,Hypothèses!$W$7,IF(EE200&lt;=Hypothèses!$V$8,Hypothèses!$W$8,IF(EE200&lt;=Hypothèses!$V$9,Hypothèses!$W$9,IF(EE200&lt;=Hypothèses!$V$10,Hypothèses!$W$10,IF(EE200&lt;=Hypothèses!$V$11,Hypothèses!$W$11,IF(EE200&lt;=Hypothèses!$V$12,Hypothèses!$W$12,IF(EE200&lt;=Hypothèses!$V$13,Hypothèses!$W$13,IF(EE200&lt;=Hypothèses!$V$14,Hypothèses!$W$14,IF(EE200&lt;=Hypothèses!$V$15,Hypothèses!$W$15,IF(EE200&lt;=Hypothèses!$V$16,Hypothèses!$W$16,IF(EE200&lt;=Hypothèses!$V$17,Hypothèses!$W$17,IF(EE200&lt;=Hypothèses!$V$18,Hypothèses!$W$18,""))))))))))))</f>
        <v>#DIV/0!</v>
      </c>
      <c r="EZ200" s="87" t="e">
        <f t="shared" ca="1" si="323"/>
        <v>#DIV/0!</v>
      </c>
      <c r="FA200" s="88" t="e">
        <f ca="1">IF(EE200&lt;=Hypothèses!$V$7,Hypothèses!$X$7,IF(EE200&lt;=Hypothèses!$V$8,Hypothèses!$X$8,IF(EE200&lt;=Hypothèses!$V$9,Hypothèses!$X$9,IF(EE200&lt;=Hypothèses!$V$10,Hypothèses!$X$10,IF(EE200&lt;=Hypothèses!$V$11,Hypothèses!$X$11,IF(EE200&lt;=Hypothèses!$V$12,Hypothèses!$X$12,IF(EE200&lt;=Hypothèses!$V$13,Hypothèses!$X$13,IF(EE200&lt;=Hypothèses!$V$14,Hypothèses!$X$14,IF(EE200&lt;=Hypothèses!$V$15,Hypothèses!$X$15,IF(EE200&lt;=Hypothèses!$V$16,Hypothèses!$X$16,IF(EE200&lt;=Hypothèses!$U$17,Hypothèses!$W$17,IF(EE200&lt;=Hypothèses!$U$18,Hypothèses!$W$18,""))))))))))))</f>
        <v>#DIV/0!</v>
      </c>
      <c r="FB200" s="95" t="e">
        <f t="shared" ca="1" si="297"/>
        <v>#DIV/0!</v>
      </c>
      <c r="FC200" s="101" t="e">
        <f t="shared" si="330"/>
        <v>#N/A</v>
      </c>
      <c r="FD200" s="91" t="e">
        <f t="shared" si="266"/>
        <v>#N/A</v>
      </c>
      <c r="FE200" s="30" t="e">
        <f t="shared" si="314"/>
        <v>#N/A</v>
      </c>
      <c r="FF200" s="30" t="e">
        <f t="shared" si="315"/>
        <v>#N/A</v>
      </c>
      <c r="FG200" s="31" t="e">
        <f>IF(OR(Hypothèses!$B$4=17,Hypothèses!$B$4=18,Hypothèses!$B$4=19,Hypothèses!$B$4=20),
IF($D200="Pressio.",
IF(OR($E200=3,$E200=1,$E200=4),FF200,FE200),
IF($D200="Pénétro.",
IF(OR($E200=3,$E200=1,$E200=4),FF200,FE200))),IF($D200="Pressio.",
IF($E200=3,FF200,FE200),
IF($D200="Pénétro.",
IF($E200=4,FF200,FE200))))</f>
        <v>#N/A</v>
      </c>
      <c r="FH200" s="31" t="e">
        <f>(IF(OR(Hypothèses!$B$4=17,Hypothèses!$B$4=18,Hypothèses!$B$4=19,Hypothèses!$B$4=20),
IF($D200="Pressio.",
IF(OR($E200=3,$E200=1,$E200=4),(PI()*FH$12^2)/4*(FD200*$W200*1000)/($H200*$B$5),(PI()*FH$12^2)/4*(FD200*$W200*1000)/($G200*$B$5)),
IF($D200="Pénétro.",
IF(OR($E200=4,$E200=1,$E200=5),(PI()*FH$12^2)/4*(FD200*$W200*1000)/($H200*$B$5),(PI()*FH$12^2)/4*(FD200*$W200*1000)/($G200*$B$5)))),
IF($D200="Pressio.",
IF($E200=3,(PI()*FH$12^2)/4*(FD200*$W200*1000)/($H200*$B$5),(PI()*FH$12^2)/4*(FD200*$W200*1000)/($G200*$B$5)),
IF($D200="Pénétro.",
IF($E200=4,(PI()*FH$12^2)/4*(FD200*$W200*1000)/($H200*$B$5),(PI()*FH$12^2)/4*(FD200*$W200*1000)/($G200*$B$5))))))/10</f>
        <v>#N/A</v>
      </c>
      <c r="FI200" s="102" t="e">
        <f>(VLOOKUP($B$3,'Coeff EC7'!$T$39:$X$59,2,0)*FG200+VLOOKUP($B$3,'Coeff EC7'!$T$65:$X$85,2,0)*Model0.1C!FH200)/1.1</f>
        <v>#N/A</v>
      </c>
      <c r="FJ200" s="102" t="e">
        <f>(VLOOKUP($B$3,'Coeff EC7'!$T$39:$X$59,3,0)*FG200+VLOOKUP($B$3,'Coeff EC7'!$T$65:$X$85,3,0)*Model0.1C!FH200)/0.9</f>
        <v>#N/A</v>
      </c>
      <c r="FK200" s="102" t="e">
        <f t="shared" si="298"/>
        <v>#N/A</v>
      </c>
      <c r="FL200" s="102" t="e">
        <f t="shared" si="299"/>
        <v>#N/A</v>
      </c>
      <c r="FM200" s="414" t="e">
        <f>IF(FM199=0,0,IF(AND(FI200&gt;charge_ELS_quasi,FJ200&gt;Charge_ELS_freq,FK200&gt;charge_ELU,FL200&gt;charge_ELA,$B200&gt;NDC!$H$22-0.1+MIN(3*$FM$12,1.5)),0,1))</f>
        <v>#N/A</v>
      </c>
    </row>
    <row r="201" spans="1:169">
      <c r="A201" s="96">
        <f t="shared" si="267"/>
        <v>81.200000000001069</v>
      </c>
      <c r="B201" s="97">
        <v>18.8</v>
      </c>
      <c r="C201" s="81">
        <f>IF(B201&lt;=Hypothèses!$C$7,Hypothèses!$A$7,IF(B201&lt;=Hypothèses!$C$8,Hypothèses!$A$8,IF(B201&lt;=Hypothèses!$C$9,Hypothèses!$A$9,IF(B201&lt;=Hypothèses!$C$10,Hypothèses!$A$10,IF(B201&lt;=Hypothèses!$C$11,Hypothèses!$A$11,IF(B201&lt;=Hypothèses!$C$12,Hypothèses!$A$12,IF(B201&lt;=Hypothèses!$C$13,Hypothèses!$A$13,IF(B201&lt;=Hypothèses!$C$14,Hypothèses!$A$14,IF(B201&lt;=Hypothèses!$C$15,Hypothèses!$A$15,IF(B201&lt;=Hypothèses!$C$16,Hypothèses!$A$16,IF(B201&lt;=Hypothèses!$C$17,Hypothèses!$A$17,IF(B201&lt;=Hypothèses!$C$18,Hypothèses!$A$18,C200))))))))))))</f>
        <v>11</v>
      </c>
      <c r="D201" s="82" t="str">
        <f>IF(B201&lt;=Hypothèses!$C$7,Hypothèses!$R$7,IF(B201&lt;=Hypothèses!$C$8,Hypothèses!$R$8,IF(B201&lt;=Hypothèses!$C$9,Hypothèses!$R$9,IF(B201&lt;=Hypothèses!$C$10,Hypothèses!$R$10,IF(B201&lt;=Hypothèses!$C$11,Hypothèses!$R$11,IF(B201&lt;=Hypothèses!$C$12,Hypothèses!$R$12,IF(B201&lt;=Hypothèses!$C$13,Hypothèses!$R$13,IF(B201&lt;=Hypothèses!$C$14,Hypothèses!$R$14,IF(B201&lt;=Hypothèses!$C$15,Hypothèses!$R$15,IF(B201&lt;=Hypothèses!$C$16,Hypothèses!$R$16,IF(B201&lt;=Hypothèses!$C$17,Hypothèses!$R$17,IF(B201&lt;=Hypothèses!$C$18,Hypothèses!$R$18,D200))))))))))))</f>
        <v>Pressio.</v>
      </c>
      <c r="E201" s="82" t="e">
        <f>IF(B201&lt;=Hypothèses!$C$7,Hypothèses!$G$7,IF(B201&lt;=Hypothèses!$C$8,Hypothèses!$G$8,IF(B201&lt;=Hypothèses!$C$9,Hypothèses!$G$9,IF(B201&lt;=Hypothèses!$C$10,Hypothèses!$G$10,IF(B201&lt;=Hypothèses!$C$11,Hypothèses!$G$11,IF(B201&lt;=Hypothèses!$C$12,Hypothèses!$G$12,IF(B201&lt;=Hypothèses!$C$13,Hypothèses!$G$13,IF(B201&lt;=Hypothèses!$C$14,Hypothèses!$G$14,IF(B201&lt;=Hypothèses!$C$15,Hypothèses!$G$15,IF(B201&lt;=Hypothèses!$C$16,Hypothèses!$G$16,IF(B201&lt;=Hypothèses!$C$17,Hypothèses!$G$17,IF(B201&lt;=Hypothèses!$C$18,Hypothèses!$G$18,E200))))))))))))</f>
        <v>#N/A</v>
      </c>
      <c r="F201" s="82" t="str">
        <f>IF(B201&lt;=Hypothèses!$C$7,Hypothèses!$F$7,IF(B201&lt;=Hypothèses!$C$8,Hypothèses!$F$8,IF(B201&lt;=Hypothèses!$C$9,Hypothèses!$F$9,IF(B201&lt;=Hypothèses!$C$10,Hypothèses!$F$10,IF(B201&lt;=Hypothèses!$C$11,Hypothèses!$F$11,IF(B201&lt;=Hypothèses!$C$12,Hypothèses!$F$12,IF(B201&lt;=Hypothèses!$C$13,Hypothèses!$F$13,IF(B201&lt;=Hypothèses!$C$14,Hypothèses!$F$14,IF(B201&lt;=Hypothèses!$C$15,Hypothèses!$F$15,IF(B201&lt;=Hypothèses!$C$16,Hypothèses!$F$16,IF(B201&lt;=Hypothèses!$C$17,Hypothèses!$F$17,IF(B201&lt;=Hypothèses!$C$18,Hypothèses!$F$18,F200))))))))))))</f>
        <v/>
      </c>
      <c r="G201" s="91">
        <f t="array" ref="G201">INDEX('Coeff EC7'!$U$7:$X$27,
MATCH(Model0.1C!$B$3,'Coeff EC7'!$T$7:$T$27,0),
MATCH(Model0.1C!$D201&amp;Model0.1C!$B$4,
'Coeff EC7'!$U$6:$X$6&amp;
'Coeff EC7'!$U$5:$X$5,0))</f>
        <v>1.1499999999999999</v>
      </c>
      <c r="H201" s="91">
        <f t="array" ref="H201">INDEX('Coeff EC7'!$Y$7:$AB$27,
MATCH(Model0.1C!$B$3,'Coeff EC7'!$T$7:$T$27,0),
MATCH(Model0.1C!$D201&amp;Model0.1C!$B$4,
'Coeff EC7'!$Y$6:$AB$6&amp;
'Coeff EC7'!$Y$5:$AB$5,0))</f>
        <v>1.4</v>
      </c>
      <c r="I201" s="83" t="e">
        <f>IF(B201&lt;=Hypothèses!$C$7,Hypothèses!$P$7,IF(B201&lt;=Hypothèses!$C$8,Hypothèses!$P$8,IF(B201&lt;=Hypothèses!$C$9,Hypothèses!$P$9,IF(B201&lt;=Hypothèses!$C$10,Hypothèses!$P$10,IF(B201&lt;=Hypothèses!$C$11,Hypothèses!$P$11,IF(B201&lt;=Hypothèses!$C$12,Hypothèses!$P$12,IF(B201&lt;=Hypothèses!$C$13,Hypothèses!$P$13,IF(B201&lt;=Hypothèses!$C$14,Hypothèses!$P$14,IF(B201&lt;=Hypothèses!$C$15,Hypothèses!$P$15,IF(B201&lt;=Hypothèses!$C$16,Hypothèses!$P$16,IF(B201&lt;=Hypothèses!$C$17,Hypothèses!$P$17,IF(B201&lt;=Hypothèses!$C$18,Hypothèses!$P$18,I200))))))))))))</f>
        <v>#N/A</v>
      </c>
      <c r="J201" s="91" t="e">
        <f t="array" ref="J201">INDEX('Coeff EC7'!$D$33:$Q$33,1,MATCH(D201&amp;E201,'Coeff EC7'!$D$31:$Q$31&amp;'Coeff EC7'!$D$32:$Q$32,0))</f>
        <v>#N/A</v>
      </c>
      <c r="K201" s="91" t="e">
        <f t="array" ref="K201">INDEX('Coeff EC7'!$D$34:$Q$34,1,MATCH(D201&amp;E201,'Coeff EC7'!$D$31:$Q$31&amp;'Coeff EC7'!$D$32:$Q$32,0))</f>
        <v>#N/A</v>
      </c>
      <c r="L201" s="91" t="e">
        <f t="array" ref="L201">INDEX('Coeff EC7'!$D$35:$Q$35,1,MATCH(D201&amp;E201,'Coeff EC7'!$D$31:$Q$31&amp;'Coeff EC7'!$D$32:$Q$32,0))</f>
        <v>#N/A</v>
      </c>
      <c r="M201" s="98" t="e">
        <f t="shared" si="231"/>
        <v>#N/A</v>
      </c>
      <c r="N201" s="99" t="e">
        <f t="array" ref="N201">INDEX('Coeff EC7'!$D$7:$Q$27,MATCH($B$3,'Coeff EC7'!$C$7:$C$27,0),MATCH(D201&amp;E201,'Coeff EC7'!$D$5:$Q$5&amp;'Coeff EC7'!$D$6:$Q$6,0))</f>
        <v>#N/A</v>
      </c>
      <c r="O201" s="99" t="e">
        <f t="array" ref="O201">INDEX('Coeff EC7'!$D$41:$Q$61,MATCH($B$3,'Coeff EC7'!$C$41:$C$61,0),MATCH(D201&amp;E201,'Coeff EC7'!$D$39:$Q$39&amp;'Coeff EC7'!$D$40:$Q$40,0))</f>
        <v>#N/A</v>
      </c>
      <c r="P201" s="30" t="e">
        <f t="shared" si="268"/>
        <v>#N/A</v>
      </c>
      <c r="Q201" s="100" t="e">
        <f t="shared" si="233"/>
        <v>#N/A</v>
      </c>
      <c r="R201" s="86" t="b">
        <f t="shared" si="234"/>
        <v>0</v>
      </c>
      <c r="S201" s="86">
        <f t="shared" si="232"/>
        <v>0.5</v>
      </c>
      <c r="T201" s="86">
        <f t="shared" si="235"/>
        <v>0.5</v>
      </c>
      <c r="U201" s="30" t="e">
        <f t="shared" ca="1" si="269"/>
        <v>#DIV/0!</v>
      </c>
      <c r="V201" s="85" t="str">
        <f>IF(B201&lt;=Hypothèses!$V$7,Hypothèses!$W$7,IF(B201&lt;=Hypothèses!$V$8,Hypothèses!$W$8,IF(B201&lt;=Hypothèses!$V$9,Hypothèses!$W$9,IF(B201&lt;=Hypothèses!$V$10,Hypothèses!$W$10,IF(B201&lt;=Hypothèses!$V$11,Hypothèses!$W$11,IF(B201&lt;=Hypothèses!$V$12,Hypothèses!$W$12,IF(B201&lt;=Hypothèses!$V$13,Hypothèses!$W$13,IF(B201&lt;=Hypothèses!$V$14,Hypothèses!$W$14,IF(B201&lt;=Hypothèses!$V$15,Hypothèses!$W$15,IF(B201&lt;=Hypothèses!$V$16,Hypothèses!$W$16,IF(B201&lt;=Hypothèses!$V$17,Hypothèses!$W$17,IF(B201&lt;=Hypothèses!$V$18,Hypothèses!$W$18,""))))))))))))</f>
        <v/>
      </c>
      <c r="W201" s="87" t="e">
        <f t="shared" ca="1" si="316"/>
        <v>#DIV/0!</v>
      </c>
      <c r="X201" s="88" t="str">
        <f>IF(B201&lt;=Hypothèses!$V$7,Hypothèses!$X$7,IF(B201&lt;=Hypothèses!$V$8,Hypothèses!$X$8,IF(B201&lt;=Hypothèses!$V$9,Hypothèses!$X$9,IF(B201&lt;=Hypothèses!$V$10,Hypothèses!$X$10,IF(B201&lt;=Hypothèses!$V$11,Hypothèses!$X$11,IF(B201&lt;=Hypothèses!$V$12,Hypothèses!$X$12,IF(B201&lt;=Hypothèses!$V$13,Hypothèses!$X$13,IF(B201&lt;=Hypothèses!$V$14,Hypothèses!$X$14,IF(B201&lt;=Hypothèses!$V$15,Hypothèses!$X$15,IF(B201&lt;=Hypothèses!$V$16,Hypothèses!$X$16,IF(B201&lt;=Hypothèses!$U$17,Hypothèses!$W$17,IF(B201&lt;=Hypothèses!$U$18,Hypothèses!$W$18,""))))))))))))</f>
        <v/>
      </c>
      <c r="Y201" s="95" t="e">
        <f t="shared" ca="1" si="236"/>
        <v>#DIV/0!</v>
      </c>
      <c r="Z201" s="101" t="e">
        <f t="shared" si="237"/>
        <v>#N/A</v>
      </c>
      <c r="AA201" s="91" t="e">
        <f t="shared" si="238"/>
        <v>#N/A</v>
      </c>
      <c r="AB201" s="30" t="e">
        <f t="shared" si="300"/>
        <v>#N/A</v>
      </c>
      <c r="AC201" s="30" t="e">
        <f t="shared" si="301"/>
        <v>#N/A</v>
      </c>
      <c r="AD201" s="31" t="e">
        <f>IF(OR(Hypothèses!$B$4=17,Hypothèses!$B$4=18,Hypothèses!$B$4=19,Hypothèses!$B$4=20),
IF($D201="Pressio.",
IF(OR($E201=3,$E201=1,$E201=4),AC201,AB201),
IF($D201="Pénétro.",
IF(OR($E201=3,$E201=1,$E201=4),AC201,AB201))),IF($D201="Pressio.",
IF($E201=3,AC201,AB201),
IF($D201="Pénétro.",
IF($E201=4,AC201,AB201))))</f>
        <v>#N/A</v>
      </c>
      <c r="AE201" s="31" t="e">
        <f>(IF(OR(Hypothèses!$B$4=17,Hypothèses!$B$4=18,Hypothèses!$B$4=19,Hypothèses!$B$4=20),
IF($D201="Pressio.",
IF(OR($E201=3,$E201=1,$E201=4),(PI()*AE$12^2)/4*(AA201*$W201*1000)/($H201*$B$5),(PI()*AE$12^2)/4*(AA201*$W201*1000)/($G201*$B$5)),
IF($D201="Pénétro.",
IF(OR($E201=4,$E201=1,$E201=5),(PI()*AE$12^2)/4*(AA201*$W201*1000)/($H201*$B$5),(PI()*AE$12^2)/4*(AA201*$W201*1000)/($G201*$B$5)))),
IF($D201="Pressio.",
IF($E201=3,(PI()*AE$12^2)/4*(AA201*$W201*1000)/($H201*$B$5),(PI()*AE$12^2)/4*(AA201*$W201*1000)/($G201*$B$5)),
IF($D201="Pénétro.",
IF($E201=4,(PI()*AE$12^2)/4*(AA201*$W201*1000)/($H201*$B$5),(PI()*AE$12^2)/4*(AA201*$W201*1000)/($G201*$B$5))))))/10</f>
        <v>#N/A</v>
      </c>
      <c r="AF201" s="102" t="e">
        <f>(VLOOKUP($B$3,'Coeff EC7'!$T$39:$X$59,2,0)*AD201+VLOOKUP($B$3,'Coeff EC7'!$T$65:$X$85,2,0)*Model0.1C!AE201)/1.1</f>
        <v>#N/A</v>
      </c>
      <c r="AG201" s="102" t="e">
        <f>(VLOOKUP($B$3,'Coeff EC7'!$T$39:$X$59,3,0)*AD201+VLOOKUP($B$3,'Coeff EC7'!$T$65:$X$85,3,0)*Model0.1C!AE201)/0.9</f>
        <v>#N/A</v>
      </c>
      <c r="AH201" s="102" t="e">
        <f t="shared" si="239"/>
        <v>#N/A</v>
      </c>
      <c r="AI201" s="102" t="e">
        <f t="shared" si="240"/>
        <v>#N/A</v>
      </c>
      <c r="AJ201" s="414" t="e">
        <f>IF(AJ200=0,0,IF(AND(AF201&gt;charge_ELS_quasi,AG201&gt;Charge_ELS_freq,AH201&gt;charge_ELU,AI201&gt;charge_ELA,$B201&gt;NDC!$H$22-0.1+MIN(3*$AJ$12,1.5)),0,1))</f>
        <v>#N/A</v>
      </c>
      <c r="AK201" s="86" t="b">
        <f t="shared" si="241"/>
        <v>0</v>
      </c>
      <c r="AL201" s="86">
        <f t="shared" si="270"/>
        <v>0.5</v>
      </c>
      <c r="AM201" s="86">
        <f t="shared" si="242"/>
        <v>0.5</v>
      </c>
      <c r="AN201" s="30" t="e">
        <f t="shared" ca="1" si="271"/>
        <v>#DIV/0!</v>
      </c>
      <c r="AO201" s="85" t="e">
        <f ca="1">IF(U201&lt;=Hypothèses!$V$7,Hypothèses!$W$7,IF(U201&lt;=Hypothèses!$V$8,Hypothèses!$W$8,IF(U201&lt;=Hypothèses!$V$9,Hypothèses!$W$9,IF(U201&lt;=Hypothèses!$V$10,Hypothèses!$W$10,IF(U201&lt;=Hypothèses!$V$11,Hypothèses!$W$11,IF(U201&lt;=Hypothèses!$V$12,Hypothèses!$W$12,IF(U201&lt;=Hypothèses!$V$13,Hypothèses!$W$13,IF(U201&lt;=Hypothèses!$V$14,Hypothèses!$W$14,IF(U201&lt;=Hypothèses!$V$15,Hypothèses!$W$15,IF(U201&lt;=Hypothèses!$V$16,Hypothèses!$W$16,IF(U201&lt;=Hypothèses!$V$17,Hypothèses!$W$17,IF(U201&lt;=Hypothèses!$V$18,Hypothèses!$W$18,""))))))))))))</f>
        <v>#DIV/0!</v>
      </c>
      <c r="AP201" s="87" t="e">
        <f t="shared" ca="1" si="317"/>
        <v>#DIV/0!</v>
      </c>
      <c r="AQ201" s="88" t="e">
        <f ca="1">IF(U201&lt;=Hypothèses!$V$7,Hypothèses!$X$7,IF(U201&lt;=Hypothèses!$V$8,Hypothèses!$X$8,IF(U201&lt;=Hypothèses!$V$9,Hypothèses!$X$9,IF(U201&lt;=Hypothèses!$V$10,Hypothèses!$X$10,IF(U201&lt;=Hypothèses!$V$11,Hypothèses!$X$11,IF(U201&lt;=Hypothèses!$V$12,Hypothèses!$X$12,IF(U201&lt;=Hypothèses!$V$13,Hypothèses!$X$13,IF(U201&lt;=Hypothèses!$V$14,Hypothèses!$X$14,IF(U201&lt;=Hypothèses!$V$15,Hypothèses!$X$15,IF(U201&lt;=Hypothèses!$V$16,Hypothèses!$X$16,IF(U201&lt;=Hypothèses!$U$17,Hypothèses!$W$17,IF(U201&lt;=Hypothèses!$U$18,Hypothèses!$W$18,""))))))))))))</f>
        <v>#DIV/0!</v>
      </c>
      <c r="AR201" s="95" t="e">
        <f t="shared" ca="1" si="272"/>
        <v>#DIV/0!</v>
      </c>
      <c r="AS201" s="101" t="e">
        <f t="shared" si="324"/>
        <v>#N/A</v>
      </c>
      <c r="AT201" s="91" t="e">
        <f t="shared" si="243"/>
        <v>#N/A</v>
      </c>
      <c r="AU201" s="30" t="e">
        <f t="shared" si="302"/>
        <v>#N/A</v>
      </c>
      <c r="AV201" s="30" t="e">
        <f t="shared" si="303"/>
        <v>#N/A</v>
      </c>
      <c r="AW201" s="31" t="e">
        <f>IF(OR(Hypothèses!$B$4=17,Hypothèses!$B$4=18,Hypothèses!$B$4=19,Hypothèses!$B$4=20),
IF($D201="Pressio.",
IF(OR($E201=3,$E201=1,$E201=4),AV201,AU201),
IF($D201="Pénétro.",
IF(OR($E201=3,$E201=1,$E201=4),AV201,AU201))),IF($D201="Pressio.",
IF($E201=3,AV201,AU201),
IF($D201="Pénétro.",
IF($E201=4,AV201,AU201))))</f>
        <v>#N/A</v>
      </c>
      <c r="AX201" s="31" t="e">
        <f>(IF(OR(Hypothèses!$B$4=17,Hypothèses!$B$4=18,Hypothèses!$B$4=19,Hypothèses!$B$4=20),
IF($D201="Pressio.",
IF(OR($E201=3,$E201=1,$E201=4),(PI()*AX$12^2)/4*(AT201*$W201*1000)/($H201*$B$5),(PI()*AX$12^2)/4*(AT201*$W201*1000)/($G201*$B$5)),
IF($D201="Pénétro.",
IF(OR($E201=4,$E201=1,$E201=5),(PI()*AX$12^2)/4*(AT201*$W201*1000)/($H201*$B$5),(PI()*AX$12^2)/4*(AT201*$W201*1000)/($G201*$B$5)))),
IF($D201="Pressio.",
IF($E201=3,(PI()*AX$12^2)/4*(AT201*$W201*1000)/($H201*$B$5),(PI()*AX$12^2)/4*(AT201*$W201*1000)/($G201*$B$5)),
IF($D201="Pénétro.",
IF($E201=4,(PI()*AX$12^2)/4*(AT201*$W201*1000)/($H201*$B$5),(PI()*AX$12^2)/4*(AT201*$W201*1000)/($G201*$B$5))))))/10</f>
        <v>#N/A</v>
      </c>
      <c r="AY201" s="102" t="e">
        <f>(VLOOKUP($B$3,'Coeff EC7'!$T$39:$X$59,2,0)*AW201+VLOOKUP($B$3,'Coeff EC7'!$T$65:$X$85,2,0)*Model0.1C!AX201)/1.1</f>
        <v>#N/A</v>
      </c>
      <c r="AZ201" s="102" t="e">
        <f>(VLOOKUP($B$3,'Coeff EC7'!$T$39:$X$59,3,0)*AW201+VLOOKUP($B$3,'Coeff EC7'!$T$65:$X$85,3,0)*Model0.1C!AX201)/0.9</f>
        <v>#N/A</v>
      </c>
      <c r="BA201" s="102" t="e">
        <f t="shared" si="273"/>
        <v>#N/A</v>
      </c>
      <c r="BB201" s="102" t="e">
        <f t="shared" si="274"/>
        <v>#N/A</v>
      </c>
      <c r="BC201" s="414" t="e">
        <f>IF(BC200=0,0,IF(AND(AY201&gt;charge_ELS_quasi,AZ201&gt;Charge_ELS_freq,BA201&gt;charge_ELU,BB201&gt;charge_ELA,$B201&gt;NDC!$H$22-0.1+MIN(3*$BC$12,1.5)),0,1))</f>
        <v>#N/A</v>
      </c>
      <c r="BD201" s="86" t="b">
        <f t="shared" si="244"/>
        <v>0</v>
      </c>
      <c r="BE201" s="86">
        <f t="shared" si="275"/>
        <v>0.5</v>
      </c>
      <c r="BF201" s="86">
        <f t="shared" si="245"/>
        <v>0.5</v>
      </c>
      <c r="BG201" s="30" t="e">
        <f t="shared" ca="1" si="276"/>
        <v>#DIV/0!</v>
      </c>
      <c r="BH201" s="85" t="e">
        <f ca="1">IF(AN201&lt;=Hypothèses!$V$7,Hypothèses!$W$7,IF(AN201&lt;=Hypothèses!$V$8,Hypothèses!$W$8,IF(AN201&lt;=Hypothèses!$V$9,Hypothèses!$W$9,IF(AN201&lt;=Hypothèses!$V$10,Hypothèses!$W$10,IF(AN201&lt;=Hypothèses!$V$11,Hypothèses!$W$11,IF(AN201&lt;=Hypothèses!$V$12,Hypothèses!$W$12,IF(AN201&lt;=Hypothèses!$V$13,Hypothèses!$W$13,IF(AN201&lt;=Hypothèses!$V$14,Hypothèses!$W$14,IF(AN201&lt;=Hypothèses!$V$15,Hypothèses!$W$15,IF(AN201&lt;=Hypothèses!$V$16,Hypothèses!$W$16,IF(AN201&lt;=Hypothèses!$V$17,Hypothèses!$W$17,IF(AN201&lt;=Hypothèses!$V$18,Hypothèses!$W$18,""))))))))))))</f>
        <v>#DIV/0!</v>
      </c>
      <c r="BI201" s="87" t="e">
        <f t="shared" ca="1" si="318"/>
        <v>#DIV/0!</v>
      </c>
      <c r="BJ201" s="88" t="e">
        <f ca="1">IF(AN201&lt;=Hypothèses!$V$7,Hypothèses!$X$7,IF(AN201&lt;=Hypothèses!$V$8,Hypothèses!$X$8,IF(AN201&lt;=Hypothèses!$V$9,Hypothèses!$X$9,IF(AN201&lt;=Hypothèses!$V$10,Hypothèses!$X$10,IF(AN201&lt;=Hypothèses!$V$11,Hypothèses!$X$11,IF(AN201&lt;=Hypothèses!$V$12,Hypothèses!$X$12,IF(AN201&lt;=Hypothèses!$V$13,Hypothèses!$X$13,IF(AN201&lt;=Hypothèses!$V$14,Hypothèses!$X$14,IF(AN201&lt;=Hypothèses!$V$15,Hypothèses!$X$15,IF(AN201&lt;=Hypothèses!$V$16,Hypothèses!$X$16,IF(AN201&lt;=Hypothèses!$U$17,Hypothèses!$W$17,IF(AN201&lt;=Hypothèses!$U$18,Hypothèses!$W$18,""))))))))))))</f>
        <v>#DIV/0!</v>
      </c>
      <c r="BK201" s="95" t="e">
        <f t="shared" ca="1" si="277"/>
        <v>#DIV/0!</v>
      </c>
      <c r="BL201" s="101" t="e">
        <f t="shared" si="325"/>
        <v>#N/A</v>
      </c>
      <c r="BM201" s="91" t="e">
        <f t="shared" si="246"/>
        <v>#N/A</v>
      </c>
      <c r="BN201" s="30" t="e">
        <f t="shared" si="304"/>
        <v>#N/A</v>
      </c>
      <c r="BO201" s="30" t="e">
        <f t="shared" si="305"/>
        <v>#N/A</v>
      </c>
      <c r="BP201" s="31" t="e">
        <f>IF(OR(Hypothèses!$B$4=17,Hypothèses!$B$4=18,Hypothèses!$B$4=19,Hypothèses!$B$4=20),
IF($D201="Pressio.",
IF(OR($E201=3,$E201=1,$E201=4),BO201,BN201),
IF($D201="Pénétro.",
IF(OR($E201=3,$E201=1,$E201=4),BO201,BN201))),IF($D201="Pressio.",
IF($E201=3,BO201,BN201),
IF($D201="Pénétro.",
IF($E201=4,BO201,BN201))))</f>
        <v>#N/A</v>
      </c>
      <c r="BQ201" s="31" t="e">
        <f>(IF(OR(Hypothèses!$B$4=17,Hypothèses!$B$4=18,Hypothèses!$B$4=19,Hypothèses!$B$4=20),
IF($D201="Pressio.",
IF(OR($E201=3,$E201=1,$E201=4),(PI()*BQ$12^2)/4*(BM201*$W201*1000)/($H201*$B$5),(PI()*BQ$12^2)/4*(BM201*$W201*1000)/($G201*$B$5)),
IF($D201="Pénétro.",
IF(OR($E201=4,$E201=1,$E201=5),(PI()*BQ$12^2)/4*(BM201*$W201*1000)/($H201*$B$5),(PI()*BQ$12^2)/4*(BM201*$W201*1000)/($G201*$B$5)))),
IF($D201="Pressio.",
IF($E201=3,(PI()*BQ$12^2)/4*(BM201*$W201*1000)/($H201*$B$5),(PI()*BQ$12^2)/4*(BM201*$W201*1000)/($G201*$B$5)),
IF($D201="Pénétro.",
IF($E201=4,(PI()*BQ$12^2)/4*(BM201*$W201*1000)/($H201*$B$5),(PI()*BQ$12^2)/4*(BM201*$W201*1000)/($G201*$B$5))))))/10</f>
        <v>#N/A</v>
      </c>
      <c r="BR201" s="102" t="e">
        <f>(VLOOKUP($B$3,'Coeff EC7'!$T$39:$X$59,2,0)*BP201+VLOOKUP($B$3,'Coeff EC7'!$T$65:$X$85,2,0)*Model0.1C!BQ201)/1.1</f>
        <v>#N/A</v>
      </c>
      <c r="BS201" s="102" t="e">
        <f>(VLOOKUP($B$3,'Coeff EC7'!$T$39:$X$59,3,0)*BP201+VLOOKUP($B$3,'Coeff EC7'!$T$65:$X$85,3,0)*Model0.1C!BQ201)/0.9</f>
        <v>#N/A</v>
      </c>
      <c r="BT201" s="102" t="e">
        <f t="shared" si="278"/>
        <v>#N/A</v>
      </c>
      <c r="BU201" s="102" t="e">
        <f t="shared" si="279"/>
        <v>#N/A</v>
      </c>
      <c r="BV201" s="414" t="e">
        <f>IF(BV200=0,0,IF(AND(BR201&gt;charge_ELS_quasi,BS201&gt;Charge_ELS_freq,BT201&gt;charge_ELU,BU201&gt;charge_ELA,$B201&gt;NDC!$H$22-0.1+MIN(3*$BV$12,1.5)),0,1))</f>
        <v>#N/A</v>
      </c>
      <c r="BW201" s="86" t="b">
        <f t="shared" si="247"/>
        <v>0</v>
      </c>
      <c r="BX201" s="86">
        <f t="shared" si="248"/>
        <v>0.5</v>
      </c>
      <c r="BY201" s="86">
        <f t="shared" si="249"/>
        <v>0.5</v>
      </c>
      <c r="BZ201" s="30" t="e">
        <f t="shared" ca="1" si="280"/>
        <v>#DIV/0!</v>
      </c>
      <c r="CA201" s="85" t="e">
        <f ca="1">IF(BG201&lt;=Hypothèses!$V$7,Hypothèses!$W$7,IF(BG201&lt;=Hypothèses!$V$8,Hypothèses!$W$8,IF(BG201&lt;=Hypothèses!$V$9,Hypothèses!$W$9,IF(BG201&lt;=Hypothèses!$V$10,Hypothèses!$W$10,IF(BG201&lt;=Hypothèses!$V$11,Hypothèses!$W$11,IF(BG201&lt;=Hypothèses!$V$12,Hypothèses!$W$12,IF(BG201&lt;=Hypothèses!$V$13,Hypothèses!$W$13,IF(BG201&lt;=Hypothèses!$V$14,Hypothèses!$W$14,IF(BG201&lt;=Hypothèses!$V$15,Hypothèses!$W$15,IF(BG201&lt;=Hypothèses!$V$16,Hypothèses!$W$16,IF(BG201&lt;=Hypothèses!$V$17,Hypothèses!$W$17,IF(BG201&lt;=Hypothèses!$V$18,Hypothèses!$W$18,""))))))))))))</f>
        <v>#DIV/0!</v>
      </c>
      <c r="CB201" s="87" t="e">
        <f t="shared" ca="1" si="319"/>
        <v>#DIV/0!</v>
      </c>
      <c r="CC201" s="88" t="e">
        <f ca="1">IF(BG201&lt;=Hypothèses!$V$7,Hypothèses!$X$7,IF(BG201&lt;=Hypothèses!$V$8,Hypothèses!$X$8,IF(BG201&lt;=Hypothèses!$V$9,Hypothèses!$X$9,IF(BG201&lt;=Hypothèses!$V$10,Hypothèses!$X$10,IF(BG201&lt;=Hypothèses!$V$11,Hypothèses!$X$11,IF(BG201&lt;=Hypothèses!$V$12,Hypothèses!$X$12,IF(BG201&lt;=Hypothèses!$V$13,Hypothèses!$X$13,IF(BG201&lt;=Hypothèses!$V$14,Hypothèses!$X$14,IF(BG201&lt;=Hypothèses!$V$15,Hypothèses!$X$15,IF(BG201&lt;=Hypothèses!$V$16,Hypothèses!$X$16,IF(BG201&lt;=Hypothèses!$U$17,Hypothèses!$W$17,IF(BG201&lt;=Hypothèses!$U$18,Hypothèses!$W$18,""))))))))))))</f>
        <v>#DIV/0!</v>
      </c>
      <c r="CD201" s="95" t="e">
        <f t="shared" ca="1" si="281"/>
        <v>#DIV/0!</v>
      </c>
      <c r="CE201" s="101" t="e">
        <f t="shared" si="326"/>
        <v>#N/A</v>
      </c>
      <c r="CF201" s="91" t="e">
        <f t="shared" si="250"/>
        <v>#N/A</v>
      </c>
      <c r="CG201" s="30" t="e">
        <f t="shared" si="306"/>
        <v>#N/A</v>
      </c>
      <c r="CH201" s="30" t="e">
        <f t="shared" si="307"/>
        <v>#N/A</v>
      </c>
      <c r="CI201" s="31" t="e">
        <f>IF(OR(Hypothèses!$B$4=17,Hypothèses!$B$4=18,Hypothèses!$B$4=19,Hypothèses!$B$4=20),
IF($D201="Pressio.",
IF(OR($E201=3,$E201=1,$E201=4),CH201,CG201),
IF($D201="Pénétro.",
IF(OR($E201=3,$E201=1,$E201=4),CH201,CG201))),IF($D201="Pressio.",
IF($E201=3,CH201,CG201),
IF($D201="Pénétro.",
IF($E201=4,CH201,CG201))))</f>
        <v>#N/A</v>
      </c>
      <c r="CJ201" s="31" t="e">
        <f>(IF(OR(Hypothèses!$B$4=17,Hypothèses!$B$4=18,Hypothèses!$B$4=19,Hypothèses!$B$4=20),
IF($D201="Pressio.",
IF(OR($E201=3,$E201=1,$E201=4),(PI()*CJ$12^2)/4*(CF201*$W201*1000)/($H201*$B$5),(PI()*CJ$12^2)/4*(CF201*$W201*1000)/($G201*$B$5)),
IF($D201="Pénétro.",
IF(OR($E201=4,$E201=1,$E201=5),(PI()*CJ$12^2)/4*(CF201*$W201*1000)/($H201*$B$5),(PI()*CJ$12^2)/4*(CF201*$W201*1000)/($G201*$B$5)))),
IF($D201="Pressio.",
IF($E201=3,(PI()*CJ$12^2)/4*(CF201*$W201*1000)/($H201*$B$5),(PI()*CJ$12^2)/4*(CF201*$W201*1000)/($G201*$B$5)),
IF($D201="Pénétro.",
IF($E201=4,(PI()*CJ$12^2)/4*(CF201*$W201*1000)/($H201*$B$5),(PI()*CJ$12^2)/4*(CF201*$W201*1000)/($G201*$B$5))))))/10</f>
        <v>#N/A</v>
      </c>
      <c r="CK201" s="102" t="e">
        <f>(VLOOKUP($B$3,'Coeff EC7'!$T$39:$X$59,2,0)*CI201+VLOOKUP($B$3,'Coeff EC7'!$T$65:$X$85,2,0)*Model0.1C!CJ201)/1.1</f>
        <v>#N/A</v>
      </c>
      <c r="CL201" s="102" t="e">
        <f>(VLOOKUP($B$3,'Coeff EC7'!$T$39:$X$59,3,0)*CI201+VLOOKUP($B$3,'Coeff EC7'!$T$65:$X$85,3,0)*Model0.1C!CJ201)/0.9</f>
        <v>#N/A</v>
      </c>
      <c r="CM201" s="102" t="e">
        <f t="shared" si="282"/>
        <v>#N/A</v>
      </c>
      <c r="CN201" s="102" t="e">
        <f t="shared" si="283"/>
        <v>#N/A</v>
      </c>
      <c r="CO201" s="414" t="e">
        <f>IF(CO200=0,0,IF(AND(CK201&gt;charge_ELS_quasi,CL201&gt;Charge_ELS_freq,CM201&gt;charge_ELU,CN201&gt;charge_ELA,$B201&gt;NDC!$H$22-0.1+MIN(3*$CO$12,1.5)),0,1))</f>
        <v>#N/A</v>
      </c>
      <c r="CP201" s="86" t="b">
        <f t="shared" si="251"/>
        <v>0</v>
      </c>
      <c r="CQ201" s="86">
        <f t="shared" si="252"/>
        <v>0.5</v>
      </c>
      <c r="CR201" s="86">
        <f t="shared" si="253"/>
        <v>0.5</v>
      </c>
      <c r="CS201" s="30" t="e">
        <f t="shared" ca="1" si="284"/>
        <v>#DIV/0!</v>
      </c>
      <c r="CT201" s="85" t="e">
        <f ca="1">IF(BZ201&lt;=Hypothèses!$V$7,Hypothèses!$W$7,IF(BZ201&lt;=Hypothèses!$V$8,Hypothèses!$W$8,IF(BZ201&lt;=Hypothèses!$V$9,Hypothèses!$W$9,IF(BZ201&lt;=Hypothèses!$V$10,Hypothèses!$W$10,IF(BZ201&lt;=Hypothèses!$V$11,Hypothèses!$W$11,IF(BZ201&lt;=Hypothèses!$V$12,Hypothèses!$W$12,IF(BZ201&lt;=Hypothèses!$V$13,Hypothèses!$W$13,IF(BZ201&lt;=Hypothèses!$V$14,Hypothèses!$W$14,IF(BZ201&lt;=Hypothèses!$V$15,Hypothèses!$W$15,IF(BZ201&lt;=Hypothèses!$V$16,Hypothèses!$W$16,IF(BZ201&lt;=Hypothèses!$V$17,Hypothèses!$W$17,IF(BZ201&lt;=Hypothèses!$V$18,Hypothèses!$W$18,""))))))))))))</f>
        <v>#DIV/0!</v>
      </c>
      <c r="CU201" s="87" t="e">
        <f t="shared" ca="1" si="320"/>
        <v>#DIV/0!</v>
      </c>
      <c r="CV201" s="88" t="e">
        <f ca="1">IF(BZ201&lt;=Hypothèses!$V$7,Hypothèses!$X$7,IF(BZ201&lt;=Hypothèses!$V$8,Hypothèses!$X$8,IF(BZ201&lt;=Hypothèses!$V$9,Hypothèses!$X$9,IF(BZ201&lt;=Hypothèses!$V$10,Hypothèses!$X$10,IF(BZ201&lt;=Hypothèses!$V$11,Hypothèses!$X$11,IF(BZ201&lt;=Hypothèses!$V$12,Hypothèses!$X$12,IF(BZ201&lt;=Hypothèses!$V$13,Hypothèses!$X$13,IF(BZ201&lt;=Hypothèses!$V$14,Hypothèses!$X$14,IF(BZ201&lt;=Hypothèses!$V$15,Hypothèses!$X$15,IF(BZ201&lt;=Hypothèses!$V$16,Hypothèses!$X$16,IF(BZ201&lt;=Hypothèses!$U$17,Hypothèses!$W$17,IF(BZ201&lt;=Hypothèses!$U$18,Hypothèses!$W$18,""))))))))))))</f>
        <v>#DIV/0!</v>
      </c>
      <c r="CW201" s="95" t="e">
        <f t="shared" ca="1" si="285"/>
        <v>#DIV/0!</v>
      </c>
      <c r="CX201" s="101" t="e">
        <f t="shared" si="327"/>
        <v>#N/A</v>
      </c>
      <c r="CY201" s="91" t="e">
        <f t="shared" si="254"/>
        <v>#N/A</v>
      </c>
      <c r="CZ201" s="30" t="e">
        <f t="shared" si="308"/>
        <v>#N/A</v>
      </c>
      <c r="DA201" s="30" t="e">
        <f t="shared" si="309"/>
        <v>#N/A</v>
      </c>
      <c r="DB201" s="31" t="e">
        <f>IF(OR(Hypothèses!$B$4=17,Hypothèses!$B$4=18,Hypothèses!$B$4=19,Hypothèses!$B$4=20),
IF($D201="Pressio.",
IF(OR($E201=3,$E201=1,$E201=4),DA201,CZ201),
IF($D201="Pénétro.",
IF(OR($E201=3,$E201=1,$E201=4),DA201,CZ201))),IF($D201="Pressio.",
IF($E201=3,DA201,CZ201),
IF($D201="Pénétro.",
IF($E201=4,DA201,CZ201))))</f>
        <v>#N/A</v>
      </c>
      <c r="DC201" s="31" t="e">
        <f>(IF(OR(Hypothèses!$B$4=17,Hypothèses!$B$4=18,Hypothèses!$B$4=19,Hypothèses!$B$4=20),
IF($D201="Pressio.",
IF(OR($E201=3,$E201=1,$E201=4),(PI()*DC$12^2)/4*(CY201*$W201*1000)/($H201*$B$5),(PI()*DC$12^2)/4*(CY201*$W201*1000)/($G201*$B$5)),
IF($D201="Pénétro.",
IF(OR($E201=4,$E201=1,$E201=5),(PI()*DC$12^2)/4*(CY201*$W201*1000)/($H201*$B$5),(PI()*DC$12^2)/4*(CY201*$W201*1000)/($G201*$B$5)))),
IF($D201="Pressio.",
IF($E201=3,(PI()*DC$12^2)/4*(CY201*$W201*1000)/($H201*$B$5),(PI()*DC$12^2)/4*(CY201*$W201*1000)/($G201*$B$5)),
IF($D201="Pénétro.",
IF($E201=4,(PI()*DC$12^2)/4*(CY201*$W201*1000)/($H201*$B$5),(PI()*DC$12^2)/4*(CY201*$W201*1000)/($G201*$B$5))))))/10</f>
        <v>#N/A</v>
      </c>
      <c r="DD201" s="102" t="e">
        <f>(VLOOKUP($B$3,'Coeff EC7'!$T$39:$X$59,2,0)*DB201+VLOOKUP($B$3,'Coeff EC7'!$T$65:$X$85,2,0)*Model0.1C!DC201)/1.1</f>
        <v>#N/A</v>
      </c>
      <c r="DE201" s="102" t="e">
        <f>(VLOOKUP($B$3,'Coeff EC7'!$T$39:$X$59,3,0)*DB201+VLOOKUP($B$3,'Coeff EC7'!$T$65:$X$85,3,0)*Model0.1C!DC201)/0.9</f>
        <v>#N/A</v>
      </c>
      <c r="DF201" s="102" t="e">
        <f t="shared" si="286"/>
        <v>#N/A</v>
      </c>
      <c r="DG201" s="102" t="e">
        <f t="shared" si="287"/>
        <v>#N/A</v>
      </c>
      <c r="DH201" s="414" t="e">
        <f>IF(DH200=0,0,IF(AND(DD201&gt;charge_ELS_quasi,DE201&gt;Charge_ELS_freq,DF201&gt;charge_ELU,DG201&gt;charge_ELA,$B201&gt;NDC!$H$22-0.1+MIN(3*$DH$12,1.5)),0,1))</f>
        <v>#N/A</v>
      </c>
      <c r="DI201" s="86" t="b">
        <f t="shared" si="255"/>
        <v>0</v>
      </c>
      <c r="DJ201" s="86">
        <f t="shared" si="256"/>
        <v>0.5</v>
      </c>
      <c r="DK201" s="86">
        <f t="shared" si="257"/>
        <v>0.5</v>
      </c>
      <c r="DL201" s="30" t="e">
        <f t="shared" ca="1" si="288"/>
        <v>#DIV/0!</v>
      </c>
      <c r="DM201" s="85" t="e">
        <f ca="1">IF(CS201&lt;=Hypothèses!$V$7,Hypothèses!$W$7,IF(CS201&lt;=Hypothèses!$V$8,Hypothèses!$W$8,IF(CS201&lt;=Hypothèses!$V$9,Hypothèses!$W$9,IF(CS201&lt;=Hypothèses!$V$10,Hypothèses!$W$10,IF(CS201&lt;=Hypothèses!$V$11,Hypothèses!$W$11,IF(CS201&lt;=Hypothèses!$V$12,Hypothèses!$W$12,IF(CS201&lt;=Hypothèses!$V$13,Hypothèses!$W$13,IF(CS201&lt;=Hypothèses!$V$14,Hypothèses!$W$14,IF(CS201&lt;=Hypothèses!$V$15,Hypothèses!$W$15,IF(CS201&lt;=Hypothèses!$V$16,Hypothèses!$W$16,IF(CS201&lt;=Hypothèses!$V$17,Hypothèses!$W$17,IF(CS201&lt;=Hypothèses!$V$18,Hypothèses!$W$18,""))))))))))))</f>
        <v>#DIV/0!</v>
      </c>
      <c r="DN201" s="87" t="e">
        <f t="shared" ca="1" si="321"/>
        <v>#DIV/0!</v>
      </c>
      <c r="DO201" s="88" t="e">
        <f ca="1">IF(CS201&lt;=Hypothèses!$V$7,Hypothèses!$X$7,IF(CS201&lt;=Hypothèses!$V$8,Hypothèses!$X$8,IF(CS201&lt;=Hypothèses!$V$9,Hypothèses!$X$9,IF(CS201&lt;=Hypothèses!$V$10,Hypothèses!$X$10,IF(CS201&lt;=Hypothèses!$V$11,Hypothèses!$X$11,IF(CS201&lt;=Hypothèses!$V$12,Hypothèses!$X$12,IF(CS201&lt;=Hypothèses!$V$13,Hypothèses!$X$13,IF(CS201&lt;=Hypothèses!$V$14,Hypothèses!$X$14,IF(CS201&lt;=Hypothèses!$V$15,Hypothèses!$X$15,IF(CS201&lt;=Hypothèses!$V$16,Hypothèses!$X$16,IF(CS201&lt;=Hypothèses!$U$17,Hypothèses!$W$17,IF(CS201&lt;=Hypothèses!$U$18,Hypothèses!$W$18,""))))))))))))</f>
        <v>#DIV/0!</v>
      </c>
      <c r="DP201" s="95" t="e">
        <f t="shared" ca="1" si="289"/>
        <v>#DIV/0!</v>
      </c>
      <c r="DQ201" s="101" t="e">
        <f t="shared" si="328"/>
        <v>#N/A</v>
      </c>
      <c r="DR201" s="91" t="e">
        <f t="shared" si="258"/>
        <v>#N/A</v>
      </c>
      <c r="DS201" s="30" t="e">
        <f t="shared" si="310"/>
        <v>#N/A</v>
      </c>
      <c r="DT201" s="30" t="e">
        <f t="shared" si="311"/>
        <v>#N/A</v>
      </c>
      <c r="DU201" s="31" t="e">
        <f>IF(OR(Hypothèses!$B$4=17,Hypothèses!$B$4=18,Hypothèses!$B$4=19,Hypothèses!$B$4=20),
IF($D201="Pressio.",
IF(OR($E201=3,$E201=1,$E201=4),DT201,DS201),
IF($D201="Pénétro.",
IF(OR($E201=3,$E201=1,$E201=4),DT201,DS201))),IF($D201="Pressio.",
IF($E201=3,DT201,DS201),
IF($D201="Pénétro.",
IF($E201=4,DT201,DS201))))</f>
        <v>#N/A</v>
      </c>
      <c r="DV201" s="31" t="e">
        <f>(IF(OR(Hypothèses!$B$4=17,Hypothèses!$B$4=18,Hypothèses!$B$4=19,Hypothèses!$B$4=20),
IF($D201="Pressio.",
IF(OR($E201=3,$E201=1,$E201=4),(PI()*DV$12^2)/4*(DR201*$W201*1000)/($H201*$B$5),(PI()*DV$12^2)/4*(DR201*$W201*1000)/($G201*$B$5)),
IF($D201="Pénétro.",
IF(OR($E201=4,$E201=1,$E201=5),(PI()*DV$12^2)/4*(DR201*$W201*1000)/($H201*$B$5),(PI()*DV$12^2)/4*(DR201*$W201*1000)/($G201*$B$5)))),
IF($D201="Pressio.",
IF($E201=3,(PI()*DV$12^2)/4*(DR201*$W201*1000)/($H201*$B$5),(PI()*DV$12^2)/4*(DR201*$W201*1000)/($G201*$B$5)),
IF($D201="Pénétro.",
IF($E201=4,(PI()*DV$12^2)/4*(DR201*$W201*1000)/($H201*$B$5),(PI()*DV$12^2)/4*(DR201*$W201*1000)/($G201*$B$5))))))/10</f>
        <v>#N/A</v>
      </c>
      <c r="DW201" s="102" t="e">
        <f>(VLOOKUP($B$3,'Coeff EC7'!$T$39:$X$59,2,0)*DU201+VLOOKUP($B$3,'Coeff EC7'!$T$65:$X$85,2,0)*Model0.1C!DV201)/1.1</f>
        <v>#N/A</v>
      </c>
      <c r="DX201" s="102" t="e">
        <f>(VLOOKUP($B$3,'Coeff EC7'!$T$39:$X$59,3,0)*DU201+VLOOKUP($B$3,'Coeff EC7'!$T$65:$X$85,3,0)*Model0.1C!DV201)/0.9</f>
        <v>#N/A</v>
      </c>
      <c r="DY201" s="102" t="e">
        <f t="shared" si="290"/>
        <v>#N/A</v>
      </c>
      <c r="DZ201" s="102" t="e">
        <f t="shared" si="291"/>
        <v>#N/A</v>
      </c>
      <c r="EA201" s="414" t="e">
        <f>IF(EA200=0,0,IF(AND(DW201&gt;charge_ELS_quasi,DX201&gt;Charge_ELS_freq,DY201&gt;charge_ELU,DZ201&gt;charge_ELA,$B201&gt;NDC!$H$22-0.1+MIN(3*$EA$12,1.5)),0,1))</f>
        <v>#N/A</v>
      </c>
      <c r="EB201" s="86" t="b">
        <f t="shared" si="259"/>
        <v>0</v>
      </c>
      <c r="EC201" s="418">
        <f t="shared" si="260"/>
        <v>0.51</v>
      </c>
      <c r="ED201" s="86">
        <f t="shared" si="261"/>
        <v>0.51</v>
      </c>
      <c r="EE201" s="30" t="e">
        <f t="shared" ca="1" si="292"/>
        <v>#DIV/0!</v>
      </c>
      <c r="EF201" s="85" t="e">
        <f ca="1">IF(DL201&lt;=Hypothèses!$V$7,Hypothèses!$W$7,IF(DL201&lt;=Hypothèses!$V$8,Hypothèses!$W$8,IF(DL201&lt;=Hypothèses!$V$9,Hypothèses!$W$9,IF(DL201&lt;=Hypothèses!$V$10,Hypothèses!$W$10,IF(DL201&lt;=Hypothèses!$V$11,Hypothèses!$W$11,IF(DL201&lt;=Hypothèses!$V$12,Hypothèses!$W$12,IF(DL201&lt;=Hypothèses!$V$13,Hypothèses!$W$13,IF(DL201&lt;=Hypothèses!$V$14,Hypothèses!$W$14,IF(DL201&lt;=Hypothèses!$V$15,Hypothèses!$W$15,IF(DL201&lt;=Hypothèses!$V$16,Hypothèses!$W$16,IF(DL201&lt;=Hypothèses!$V$17,Hypothèses!$W$17,IF(DL201&lt;=Hypothèses!$V$18,Hypothèses!$W$18,""))))))))))))</f>
        <v>#DIV/0!</v>
      </c>
      <c r="EG201" s="87" t="e">
        <f t="shared" ca="1" si="322"/>
        <v>#DIV/0!</v>
      </c>
      <c r="EH201" s="88" t="e">
        <f ca="1">IF(DL201&lt;=Hypothèses!$V$7,Hypothèses!$X$7,IF(DL201&lt;=Hypothèses!$V$8,Hypothèses!$X$8,IF(DL201&lt;=Hypothèses!$V$9,Hypothèses!$X$9,IF(DL201&lt;=Hypothèses!$V$10,Hypothèses!$X$10,IF(DL201&lt;=Hypothèses!$V$11,Hypothèses!$X$11,IF(DL201&lt;=Hypothèses!$V$12,Hypothèses!$X$12,IF(DL201&lt;=Hypothèses!$V$13,Hypothèses!$X$13,IF(DL201&lt;=Hypothèses!$V$14,Hypothèses!$X$14,IF(DL201&lt;=Hypothèses!$V$15,Hypothèses!$X$15,IF(DL201&lt;=Hypothèses!$V$16,Hypothèses!$X$16,IF(DL201&lt;=Hypothèses!$U$17,Hypothèses!$W$17,IF(DL201&lt;=Hypothèses!$U$18,Hypothèses!$W$18,""))))))))))))</f>
        <v>#DIV/0!</v>
      </c>
      <c r="EI201" s="95" t="e">
        <f t="shared" ca="1" si="293"/>
        <v>#DIV/0!</v>
      </c>
      <c r="EJ201" s="101" t="e">
        <f t="shared" si="329"/>
        <v>#N/A</v>
      </c>
      <c r="EK201" s="91" t="e">
        <f t="shared" si="262"/>
        <v>#N/A</v>
      </c>
      <c r="EL201" s="30" t="e">
        <f t="shared" si="312"/>
        <v>#N/A</v>
      </c>
      <c r="EM201" s="30" t="e">
        <f t="shared" si="313"/>
        <v>#N/A</v>
      </c>
      <c r="EN201" s="31" t="e">
        <f>IF(OR(Hypothèses!$B$4=17,Hypothèses!$B$4=18,Hypothèses!$B$4=19,Hypothèses!$B$4=20),
IF($D201="Pressio.",
IF(OR($E201=3,$E201=1,$E201=4),EM201,EL201),
IF($D201="Pénétro.",
IF(OR($E201=3,$E201=1,$E201=4),EM201,EL201))),IF($D201="Pressio.",
IF($E201=3,EM201,EL201),
IF($D201="Pénétro.",
IF($E201=4,EM201,EL201))))</f>
        <v>#N/A</v>
      </c>
      <c r="EO201" s="31" t="e">
        <f>(IF(OR(Hypothèses!$B$4=17,Hypothèses!$B$4=18,Hypothèses!$B$4=19,Hypothèses!$B$4=20),
IF($D201="Pressio.",
IF(OR($E201=3,$E201=1,$E201=4),(PI()*EO$12^2)/4*(EK201*$W201*1000)/($H201*$B$5),(PI()*EO$12^2)/4*(EK201*$W201*1000)/($G201*$B$5)),
IF($D201="Pénétro.",
IF(OR($E201=4,$E201=1,$E201=5),(PI()*EO$12^2)/4*(EK201*$W201*1000)/($H201*$B$5),(PI()*EO$12^2)/4*(EK201*$W201*1000)/($G201*$B$5)))),
IF($D201="Pressio.",
IF($E201=3,(PI()*EO$12^2)/4*(EK201*$W201*1000)/($H201*$B$5),(PI()*EO$12^2)/4*(EK201*$W201*1000)/($G201*$B$5)),
IF($D201="Pénétro.",
IF($E201=4,(PI()*EO$12^2)/4*(EK201*$W201*1000)/($H201*$B$5),(PI()*EO$12^2)/4*(EK201*$W201*1000)/($G201*$B$5))))))/10</f>
        <v>#N/A</v>
      </c>
      <c r="EP201" s="102" t="e">
        <f>(VLOOKUP($B$3,'Coeff EC7'!$T$39:$X$59,2,0)*EN201+VLOOKUP($B$3,'Coeff EC7'!$T$65:$X$85,2,0)*Model0.1C!EO201)/1.1</f>
        <v>#N/A</v>
      </c>
      <c r="EQ201" s="102" t="e">
        <f>(VLOOKUP($B$3,'Coeff EC7'!$T$39:$X$59,3,0)*EN201+VLOOKUP($B$3,'Coeff EC7'!$T$65:$X$85,3,0)*Model0.1C!EO201)/0.9</f>
        <v>#N/A</v>
      </c>
      <c r="ER201" s="102" t="e">
        <f t="shared" si="294"/>
        <v>#N/A</v>
      </c>
      <c r="ES201" s="102" t="e">
        <f t="shared" si="295"/>
        <v>#N/A</v>
      </c>
      <c r="ET201" s="414" t="e">
        <f>IF(ET200=0,0,IF(AND(EP201&gt;charge_ELS_quasi,EQ201&gt;Charge_ELS_freq,ER201&gt;charge_ELU,ES201&gt;charge_ELA,$B201&gt;NDC!$H$22-0.1+MIN(3*$ET$12,1.5)),0,1))</f>
        <v>#N/A</v>
      </c>
      <c r="EU201" s="86" t="b">
        <f t="shared" si="263"/>
        <v>0</v>
      </c>
      <c r="EV201" s="86">
        <f t="shared" si="264"/>
        <v>0.61</v>
      </c>
      <c r="EW201" s="86">
        <f t="shared" si="265"/>
        <v>0.61</v>
      </c>
      <c r="EX201" s="30" t="e">
        <f t="shared" ca="1" si="296"/>
        <v>#DIV/0!</v>
      </c>
      <c r="EY201" s="85" t="e">
        <f ca="1">IF(EE201&lt;=Hypothèses!$V$7,Hypothèses!$W$7,IF(EE201&lt;=Hypothèses!$V$8,Hypothèses!$W$8,IF(EE201&lt;=Hypothèses!$V$9,Hypothèses!$W$9,IF(EE201&lt;=Hypothèses!$V$10,Hypothèses!$W$10,IF(EE201&lt;=Hypothèses!$V$11,Hypothèses!$W$11,IF(EE201&lt;=Hypothèses!$V$12,Hypothèses!$W$12,IF(EE201&lt;=Hypothèses!$V$13,Hypothèses!$W$13,IF(EE201&lt;=Hypothèses!$V$14,Hypothèses!$W$14,IF(EE201&lt;=Hypothèses!$V$15,Hypothèses!$W$15,IF(EE201&lt;=Hypothèses!$V$16,Hypothèses!$W$16,IF(EE201&lt;=Hypothèses!$V$17,Hypothèses!$W$17,IF(EE201&lt;=Hypothèses!$V$18,Hypothèses!$W$18,""))))))))))))</f>
        <v>#DIV/0!</v>
      </c>
      <c r="EZ201" s="87" t="e">
        <f t="shared" ca="1" si="323"/>
        <v>#DIV/0!</v>
      </c>
      <c r="FA201" s="88" t="e">
        <f ca="1">IF(EE201&lt;=Hypothèses!$V$7,Hypothèses!$X$7,IF(EE201&lt;=Hypothèses!$V$8,Hypothèses!$X$8,IF(EE201&lt;=Hypothèses!$V$9,Hypothèses!$X$9,IF(EE201&lt;=Hypothèses!$V$10,Hypothèses!$X$10,IF(EE201&lt;=Hypothèses!$V$11,Hypothèses!$X$11,IF(EE201&lt;=Hypothèses!$V$12,Hypothèses!$X$12,IF(EE201&lt;=Hypothèses!$V$13,Hypothèses!$X$13,IF(EE201&lt;=Hypothèses!$V$14,Hypothèses!$X$14,IF(EE201&lt;=Hypothèses!$V$15,Hypothèses!$X$15,IF(EE201&lt;=Hypothèses!$V$16,Hypothèses!$X$16,IF(EE201&lt;=Hypothèses!$U$17,Hypothèses!$W$17,IF(EE201&lt;=Hypothèses!$U$18,Hypothèses!$W$18,""))))))))))))</f>
        <v>#DIV/0!</v>
      </c>
      <c r="FB201" s="95" t="e">
        <f t="shared" ca="1" si="297"/>
        <v>#DIV/0!</v>
      </c>
      <c r="FC201" s="101" t="e">
        <f t="shared" si="330"/>
        <v>#N/A</v>
      </c>
      <c r="FD201" s="91" t="e">
        <f t="shared" si="266"/>
        <v>#N/A</v>
      </c>
      <c r="FE201" s="30" t="e">
        <f t="shared" si="314"/>
        <v>#N/A</v>
      </c>
      <c r="FF201" s="30" t="e">
        <f t="shared" si="315"/>
        <v>#N/A</v>
      </c>
      <c r="FG201" s="31" t="e">
        <f>IF(OR(Hypothèses!$B$4=17,Hypothèses!$B$4=18,Hypothèses!$B$4=19,Hypothèses!$B$4=20),
IF($D201="Pressio.",
IF(OR($E201=3,$E201=1,$E201=4),FF201,FE201),
IF($D201="Pénétro.",
IF(OR($E201=3,$E201=1,$E201=4),FF201,FE201))),IF($D201="Pressio.",
IF($E201=3,FF201,FE201),
IF($D201="Pénétro.",
IF($E201=4,FF201,FE201))))</f>
        <v>#N/A</v>
      </c>
      <c r="FH201" s="31" t="e">
        <f>(IF(OR(Hypothèses!$B$4=17,Hypothèses!$B$4=18,Hypothèses!$B$4=19,Hypothèses!$B$4=20),
IF($D201="Pressio.",
IF(OR($E201=3,$E201=1,$E201=4),(PI()*FH$12^2)/4*(FD201*$W201*1000)/($H201*$B$5),(PI()*FH$12^2)/4*(FD201*$W201*1000)/($G201*$B$5)),
IF($D201="Pénétro.",
IF(OR($E201=4,$E201=1,$E201=5),(PI()*FH$12^2)/4*(FD201*$W201*1000)/($H201*$B$5),(PI()*FH$12^2)/4*(FD201*$W201*1000)/($G201*$B$5)))),
IF($D201="Pressio.",
IF($E201=3,(PI()*FH$12^2)/4*(FD201*$W201*1000)/($H201*$B$5),(PI()*FH$12^2)/4*(FD201*$W201*1000)/($G201*$B$5)),
IF($D201="Pénétro.",
IF($E201=4,(PI()*FH$12^2)/4*(FD201*$W201*1000)/($H201*$B$5),(PI()*FH$12^2)/4*(FD201*$W201*1000)/($G201*$B$5))))))/10</f>
        <v>#N/A</v>
      </c>
      <c r="FI201" s="102" t="e">
        <f>(VLOOKUP($B$3,'Coeff EC7'!$T$39:$X$59,2,0)*FG201+VLOOKUP($B$3,'Coeff EC7'!$T$65:$X$85,2,0)*Model0.1C!FH201)/1.1</f>
        <v>#N/A</v>
      </c>
      <c r="FJ201" s="102" t="e">
        <f>(VLOOKUP($B$3,'Coeff EC7'!$T$39:$X$59,3,0)*FG201+VLOOKUP($B$3,'Coeff EC7'!$T$65:$X$85,3,0)*Model0.1C!FH201)/0.9</f>
        <v>#N/A</v>
      </c>
      <c r="FK201" s="102" t="e">
        <f t="shared" si="298"/>
        <v>#N/A</v>
      </c>
      <c r="FL201" s="102" t="e">
        <f t="shared" si="299"/>
        <v>#N/A</v>
      </c>
      <c r="FM201" s="414" t="e">
        <f>IF(FM200=0,0,IF(AND(FI201&gt;charge_ELS_quasi,FJ201&gt;Charge_ELS_freq,FK201&gt;charge_ELU,FL201&gt;charge_ELA,$B201&gt;NDC!$H$22-0.1+MIN(3*$FM$12,1.5)),0,1))</f>
        <v>#N/A</v>
      </c>
    </row>
    <row r="202" spans="1:169">
      <c r="A202" s="96">
        <f t="shared" si="267"/>
        <v>81.100000000001074</v>
      </c>
      <c r="B202" s="97">
        <v>18.899999999999999</v>
      </c>
      <c r="C202" s="81">
        <f>IF(B202&lt;=Hypothèses!$C$7,Hypothèses!$A$7,IF(B202&lt;=Hypothèses!$C$8,Hypothèses!$A$8,IF(B202&lt;=Hypothèses!$C$9,Hypothèses!$A$9,IF(B202&lt;=Hypothèses!$C$10,Hypothèses!$A$10,IF(B202&lt;=Hypothèses!$C$11,Hypothèses!$A$11,IF(B202&lt;=Hypothèses!$C$12,Hypothèses!$A$12,IF(B202&lt;=Hypothèses!$C$13,Hypothèses!$A$13,IF(B202&lt;=Hypothèses!$C$14,Hypothèses!$A$14,IF(B202&lt;=Hypothèses!$C$15,Hypothèses!$A$15,IF(B202&lt;=Hypothèses!$C$16,Hypothèses!$A$16,IF(B202&lt;=Hypothèses!$C$17,Hypothèses!$A$17,IF(B202&lt;=Hypothèses!$C$18,Hypothèses!$A$18,C201))))))))))))</f>
        <v>11</v>
      </c>
      <c r="D202" s="82" t="str">
        <f>IF(B202&lt;=Hypothèses!$C$7,Hypothèses!$R$7,IF(B202&lt;=Hypothèses!$C$8,Hypothèses!$R$8,IF(B202&lt;=Hypothèses!$C$9,Hypothèses!$R$9,IF(B202&lt;=Hypothèses!$C$10,Hypothèses!$R$10,IF(B202&lt;=Hypothèses!$C$11,Hypothèses!$R$11,IF(B202&lt;=Hypothèses!$C$12,Hypothèses!$R$12,IF(B202&lt;=Hypothèses!$C$13,Hypothèses!$R$13,IF(B202&lt;=Hypothèses!$C$14,Hypothèses!$R$14,IF(B202&lt;=Hypothèses!$C$15,Hypothèses!$R$15,IF(B202&lt;=Hypothèses!$C$16,Hypothèses!$R$16,IF(B202&lt;=Hypothèses!$C$17,Hypothèses!$R$17,IF(B202&lt;=Hypothèses!$C$18,Hypothèses!$R$18,D201))))))))))))</f>
        <v>Pressio.</v>
      </c>
      <c r="E202" s="82" t="e">
        <f>IF(B202&lt;=Hypothèses!$C$7,Hypothèses!$G$7,IF(B202&lt;=Hypothèses!$C$8,Hypothèses!$G$8,IF(B202&lt;=Hypothèses!$C$9,Hypothèses!$G$9,IF(B202&lt;=Hypothèses!$C$10,Hypothèses!$G$10,IF(B202&lt;=Hypothèses!$C$11,Hypothèses!$G$11,IF(B202&lt;=Hypothèses!$C$12,Hypothèses!$G$12,IF(B202&lt;=Hypothèses!$C$13,Hypothèses!$G$13,IF(B202&lt;=Hypothèses!$C$14,Hypothèses!$G$14,IF(B202&lt;=Hypothèses!$C$15,Hypothèses!$G$15,IF(B202&lt;=Hypothèses!$C$16,Hypothèses!$G$16,IF(B202&lt;=Hypothèses!$C$17,Hypothèses!$G$17,IF(B202&lt;=Hypothèses!$C$18,Hypothèses!$G$18,E201))))))))))))</f>
        <v>#N/A</v>
      </c>
      <c r="F202" s="82" t="str">
        <f>IF(B202&lt;=Hypothèses!$C$7,Hypothèses!$F$7,IF(B202&lt;=Hypothèses!$C$8,Hypothèses!$F$8,IF(B202&lt;=Hypothèses!$C$9,Hypothèses!$F$9,IF(B202&lt;=Hypothèses!$C$10,Hypothèses!$F$10,IF(B202&lt;=Hypothèses!$C$11,Hypothèses!$F$11,IF(B202&lt;=Hypothèses!$C$12,Hypothèses!$F$12,IF(B202&lt;=Hypothèses!$C$13,Hypothèses!$F$13,IF(B202&lt;=Hypothèses!$C$14,Hypothèses!$F$14,IF(B202&lt;=Hypothèses!$C$15,Hypothèses!$F$15,IF(B202&lt;=Hypothèses!$C$16,Hypothèses!$F$16,IF(B202&lt;=Hypothèses!$C$17,Hypothèses!$F$17,IF(B202&lt;=Hypothèses!$C$18,Hypothèses!$F$18,F201))))))))))))</f>
        <v/>
      </c>
      <c r="G202" s="91">
        <f t="array" ref="G202">INDEX('Coeff EC7'!$U$7:$X$27,
MATCH(Model0.1C!$B$3,'Coeff EC7'!$T$7:$T$27,0),
MATCH(Model0.1C!$D202&amp;Model0.1C!$B$4,
'Coeff EC7'!$U$6:$X$6&amp;
'Coeff EC7'!$U$5:$X$5,0))</f>
        <v>1.1499999999999999</v>
      </c>
      <c r="H202" s="91">
        <f t="array" ref="H202">INDEX('Coeff EC7'!$Y$7:$AB$27,
MATCH(Model0.1C!$B$3,'Coeff EC7'!$T$7:$T$27,0),
MATCH(Model0.1C!$D202&amp;Model0.1C!$B$4,
'Coeff EC7'!$Y$6:$AB$6&amp;
'Coeff EC7'!$Y$5:$AB$5,0))</f>
        <v>1.4</v>
      </c>
      <c r="I202" s="83" t="e">
        <f>IF(B202&lt;=Hypothèses!$C$7,Hypothèses!$P$7,IF(B202&lt;=Hypothèses!$C$8,Hypothèses!$P$8,IF(B202&lt;=Hypothèses!$C$9,Hypothèses!$P$9,IF(B202&lt;=Hypothèses!$C$10,Hypothèses!$P$10,IF(B202&lt;=Hypothèses!$C$11,Hypothèses!$P$11,IF(B202&lt;=Hypothèses!$C$12,Hypothèses!$P$12,IF(B202&lt;=Hypothèses!$C$13,Hypothèses!$P$13,IF(B202&lt;=Hypothèses!$C$14,Hypothèses!$P$14,IF(B202&lt;=Hypothèses!$C$15,Hypothèses!$P$15,IF(B202&lt;=Hypothèses!$C$16,Hypothèses!$P$16,IF(B202&lt;=Hypothèses!$C$17,Hypothèses!$P$17,IF(B202&lt;=Hypothèses!$C$18,Hypothèses!$P$18,I201))))))))))))</f>
        <v>#N/A</v>
      </c>
      <c r="J202" s="91" t="e">
        <f t="array" ref="J202">INDEX('Coeff EC7'!$D$33:$Q$33,1,MATCH(D202&amp;E202,'Coeff EC7'!$D$31:$Q$31&amp;'Coeff EC7'!$D$32:$Q$32,0))</f>
        <v>#N/A</v>
      </c>
      <c r="K202" s="91" t="e">
        <f t="array" ref="K202">INDEX('Coeff EC7'!$D$34:$Q$34,1,MATCH(D202&amp;E202,'Coeff EC7'!$D$31:$Q$31&amp;'Coeff EC7'!$D$32:$Q$32,0))</f>
        <v>#N/A</v>
      </c>
      <c r="L202" s="91" t="e">
        <f t="array" ref="L202">INDEX('Coeff EC7'!$D$35:$Q$35,1,MATCH(D202&amp;E202,'Coeff EC7'!$D$31:$Q$31&amp;'Coeff EC7'!$D$32:$Q$32,0))</f>
        <v>#N/A</v>
      </c>
      <c r="M202" s="98" t="e">
        <f t="shared" si="231"/>
        <v>#N/A</v>
      </c>
      <c r="N202" s="99" t="e">
        <f t="array" ref="N202">INDEX('Coeff EC7'!$D$7:$Q$27,MATCH($B$3,'Coeff EC7'!$C$7:$C$27,0),MATCH(D202&amp;E202,'Coeff EC7'!$D$5:$Q$5&amp;'Coeff EC7'!$D$6:$Q$6,0))</f>
        <v>#N/A</v>
      </c>
      <c r="O202" s="99" t="e">
        <f t="array" ref="O202">INDEX('Coeff EC7'!$D$41:$Q$61,MATCH($B$3,'Coeff EC7'!$C$41:$C$61,0),MATCH(D202&amp;E202,'Coeff EC7'!$D$39:$Q$39&amp;'Coeff EC7'!$D$40:$Q$40,0))</f>
        <v>#N/A</v>
      </c>
      <c r="P202" s="30" t="e">
        <f t="shared" si="268"/>
        <v>#N/A</v>
      </c>
      <c r="Q202" s="100" t="e">
        <f t="shared" si="233"/>
        <v>#N/A</v>
      </c>
      <c r="R202" s="86" t="b">
        <f t="shared" si="234"/>
        <v>0</v>
      </c>
      <c r="S202" s="86">
        <f t="shared" si="232"/>
        <v>0.5</v>
      </c>
      <c r="T202" s="86">
        <f t="shared" si="235"/>
        <v>0.5</v>
      </c>
      <c r="U202" s="30" t="e">
        <f t="shared" ca="1" si="269"/>
        <v>#DIV/0!</v>
      </c>
      <c r="V202" s="85" t="str">
        <f>IF(B202&lt;=Hypothèses!$V$7,Hypothèses!$W$7,IF(B202&lt;=Hypothèses!$V$8,Hypothèses!$W$8,IF(B202&lt;=Hypothèses!$V$9,Hypothèses!$W$9,IF(B202&lt;=Hypothèses!$V$10,Hypothèses!$W$10,IF(B202&lt;=Hypothèses!$V$11,Hypothèses!$W$11,IF(B202&lt;=Hypothèses!$V$12,Hypothèses!$W$12,IF(B202&lt;=Hypothèses!$V$13,Hypothèses!$W$13,IF(B202&lt;=Hypothèses!$V$14,Hypothèses!$W$14,IF(B202&lt;=Hypothèses!$V$15,Hypothèses!$W$15,IF(B202&lt;=Hypothèses!$V$16,Hypothèses!$W$16,IF(B202&lt;=Hypothèses!$V$17,Hypothèses!$W$17,IF(B202&lt;=Hypothèses!$V$18,Hypothèses!$W$18,""))))))))))))</f>
        <v/>
      </c>
      <c r="W202" s="87" t="e">
        <f t="shared" ca="1" si="316"/>
        <v>#DIV/0!</v>
      </c>
      <c r="X202" s="88" t="str">
        <f>IF(B202&lt;=Hypothèses!$V$7,Hypothèses!$X$7,IF(B202&lt;=Hypothèses!$V$8,Hypothèses!$X$8,IF(B202&lt;=Hypothèses!$V$9,Hypothèses!$X$9,IF(B202&lt;=Hypothèses!$V$10,Hypothèses!$X$10,IF(B202&lt;=Hypothèses!$V$11,Hypothèses!$X$11,IF(B202&lt;=Hypothèses!$V$12,Hypothèses!$X$12,IF(B202&lt;=Hypothèses!$V$13,Hypothèses!$X$13,IF(B202&lt;=Hypothèses!$V$14,Hypothèses!$X$14,IF(B202&lt;=Hypothèses!$V$15,Hypothèses!$X$15,IF(B202&lt;=Hypothèses!$V$16,Hypothèses!$X$16,IF(B202&lt;=Hypothèses!$U$17,Hypothèses!$W$17,IF(B202&lt;=Hypothèses!$U$18,Hypothèses!$W$18,""))))))))))))</f>
        <v/>
      </c>
      <c r="Y202" s="95" t="e">
        <f t="shared" ca="1" si="236"/>
        <v>#DIV/0!</v>
      </c>
      <c r="Z202" s="101" t="e">
        <f t="shared" si="237"/>
        <v>#N/A</v>
      </c>
      <c r="AA202" s="91" t="e">
        <f t="shared" si="238"/>
        <v>#N/A</v>
      </c>
      <c r="AB202" s="30" t="e">
        <f t="shared" si="300"/>
        <v>#N/A</v>
      </c>
      <c r="AC202" s="30" t="e">
        <f t="shared" si="301"/>
        <v>#N/A</v>
      </c>
      <c r="AD202" s="31" t="e">
        <f>IF(OR(Hypothèses!$B$4=17,Hypothèses!$B$4=18,Hypothèses!$B$4=19,Hypothèses!$B$4=20),
IF($D202="Pressio.",
IF(OR($E202=3,$E202=1,$E202=4),AC202,AB202),
IF($D202="Pénétro.",
IF(OR($E202=3,$E202=1,$E202=4),AC202,AB202))),IF($D202="Pressio.",
IF($E202=3,AC202,AB202),
IF($D202="Pénétro.",
IF($E202=4,AC202,AB202))))</f>
        <v>#N/A</v>
      </c>
      <c r="AE202" s="31" t="e">
        <f>(IF(OR(Hypothèses!$B$4=17,Hypothèses!$B$4=18,Hypothèses!$B$4=19,Hypothèses!$B$4=20),
IF($D202="Pressio.",
IF(OR($E202=3,$E202=1,$E202=4),(PI()*AE$12^2)/4*(AA202*$W202*1000)/($H202*$B$5),(PI()*AE$12^2)/4*(AA202*$W202*1000)/($G202*$B$5)),
IF($D202="Pénétro.",
IF(OR($E202=4,$E202=1,$E202=5),(PI()*AE$12^2)/4*(AA202*$W202*1000)/($H202*$B$5),(PI()*AE$12^2)/4*(AA202*$W202*1000)/($G202*$B$5)))),
IF($D202="Pressio.",
IF($E202=3,(PI()*AE$12^2)/4*(AA202*$W202*1000)/($H202*$B$5),(PI()*AE$12^2)/4*(AA202*$W202*1000)/($G202*$B$5)),
IF($D202="Pénétro.",
IF($E202=4,(PI()*AE$12^2)/4*(AA202*$W202*1000)/($H202*$B$5),(PI()*AE$12^2)/4*(AA202*$W202*1000)/($G202*$B$5))))))/10</f>
        <v>#N/A</v>
      </c>
      <c r="AF202" s="102" t="e">
        <f>(VLOOKUP($B$3,'Coeff EC7'!$T$39:$X$59,2,0)*AD202+VLOOKUP($B$3,'Coeff EC7'!$T$65:$X$85,2,0)*Model0.1C!AE202)/1.1</f>
        <v>#N/A</v>
      </c>
      <c r="AG202" s="102" t="e">
        <f>(VLOOKUP($B$3,'Coeff EC7'!$T$39:$X$59,3,0)*AD202+VLOOKUP($B$3,'Coeff EC7'!$T$65:$X$85,3,0)*Model0.1C!AE202)/0.9</f>
        <v>#N/A</v>
      </c>
      <c r="AH202" s="102" t="e">
        <f t="shared" si="239"/>
        <v>#N/A</v>
      </c>
      <c r="AI202" s="102" t="e">
        <f t="shared" si="240"/>
        <v>#N/A</v>
      </c>
      <c r="AJ202" s="414" t="e">
        <f>IF(AJ201=0,0,IF(AND(AF202&gt;charge_ELS_quasi,AG202&gt;Charge_ELS_freq,AH202&gt;charge_ELU,AI202&gt;charge_ELA,$B202&gt;NDC!$H$22-0.1+MIN(3*$AJ$12,1.5)),0,1))</f>
        <v>#N/A</v>
      </c>
      <c r="AK202" s="86" t="b">
        <f t="shared" si="241"/>
        <v>0</v>
      </c>
      <c r="AL202" s="86">
        <f t="shared" si="270"/>
        <v>0.5</v>
      </c>
      <c r="AM202" s="86">
        <f t="shared" si="242"/>
        <v>0.5</v>
      </c>
      <c r="AN202" s="30" t="e">
        <f t="shared" ca="1" si="271"/>
        <v>#DIV/0!</v>
      </c>
      <c r="AO202" s="85" t="e">
        <f ca="1">IF(U202&lt;=Hypothèses!$V$7,Hypothèses!$W$7,IF(U202&lt;=Hypothèses!$V$8,Hypothèses!$W$8,IF(U202&lt;=Hypothèses!$V$9,Hypothèses!$W$9,IF(U202&lt;=Hypothèses!$V$10,Hypothèses!$W$10,IF(U202&lt;=Hypothèses!$V$11,Hypothèses!$W$11,IF(U202&lt;=Hypothèses!$V$12,Hypothèses!$W$12,IF(U202&lt;=Hypothèses!$V$13,Hypothèses!$W$13,IF(U202&lt;=Hypothèses!$V$14,Hypothèses!$W$14,IF(U202&lt;=Hypothèses!$V$15,Hypothèses!$W$15,IF(U202&lt;=Hypothèses!$V$16,Hypothèses!$W$16,IF(U202&lt;=Hypothèses!$V$17,Hypothèses!$W$17,IF(U202&lt;=Hypothèses!$V$18,Hypothèses!$W$18,""))))))))))))</f>
        <v>#DIV/0!</v>
      </c>
      <c r="AP202" s="87" t="e">
        <f t="shared" ca="1" si="317"/>
        <v>#DIV/0!</v>
      </c>
      <c r="AQ202" s="88" t="e">
        <f ca="1">IF(U202&lt;=Hypothèses!$V$7,Hypothèses!$X$7,IF(U202&lt;=Hypothèses!$V$8,Hypothèses!$X$8,IF(U202&lt;=Hypothèses!$V$9,Hypothèses!$X$9,IF(U202&lt;=Hypothèses!$V$10,Hypothèses!$X$10,IF(U202&lt;=Hypothèses!$V$11,Hypothèses!$X$11,IF(U202&lt;=Hypothèses!$V$12,Hypothèses!$X$12,IF(U202&lt;=Hypothèses!$V$13,Hypothèses!$X$13,IF(U202&lt;=Hypothèses!$V$14,Hypothèses!$X$14,IF(U202&lt;=Hypothèses!$V$15,Hypothèses!$X$15,IF(U202&lt;=Hypothèses!$V$16,Hypothèses!$X$16,IF(U202&lt;=Hypothèses!$U$17,Hypothèses!$W$17,IF(U202&lt;=Hypothèses!$U$18,Hypothèses!$W$18,""))))))))))))</f>
        <v>#DIV/0!</v>
      </c>
      <c r="AR202" s="95" t="e">
        <f t="shared" ca="1" si="272"/>
        <v>#DIV/0!</v>
      </c>
      <c r="AS202" s="101" t="e">
        <f t="shared" si="324"/>
        <v>#N/A</v>
      </c>
      <c r="AT202" s="91" t="e">
        <f t="shared" si="243"/>
        <v>#N/A</v>
      </c>
      <c r="AU202" s="30" t="e">
        <f t="shared" si="302"/>
        <v>#N/A</v>
      </c>
      <c r="AV202" s="30" t="e">
        <f t="shared" si="303"/>
        <v>#N/A</v>
      </c>
      <c r="AW202" s="31" t="e">
        <f>IF(OR(Hypothèses!$B$4=17,Hypothèses!$B$4=18,Hypothèses!$B$4=19,Hypothèses!$B$4=20),
IF($D202="Pressio.",
IF(OR($E202=3,$E202=1,$E202=4),AV202,AU202),
IF($D202="Pénétro.",
IF(OR($E202=3,$E202=1,$E202=4),AV202,AU202))),IF($D202="Pressio.",
IF($E202=3,AV202,AU202),
IF($D202="Pénétro.",
IF($E202=4,AV202,AU202))))</f>
        <v>#N/A</v>
      </c>
      <c r="AX202" s="31" t="e">
        <f>(IF(OR(Hypothèses!$B$4=17,Hypothèses!$B$4=18,Hypothèses!$B$4=19,Hypothèses!$B$4=20),
IF($D202="Pressio.",
IF(OR($E202=3,$E202=1,$E202=4),(PI()*AX$12^2)/4*(AT202*$W202*1000)/($H202*$B$5),(PI()*AX$12^2)/4*(AT202*$W202*1000)/($G202*$B$5)),
IF($D202="Pénétro.",
IF(OR($E202=4,$E202=1,$E202=5),(PI()*AX$12^2)/4*(AT202*$W202*1000)/($H202*$B$5),(PI()*AX$12^2)/4*(AT202*$W202*1000)/($G202*$B$5)))),
IF($D202="Pressio.",
IF($E202=3,(PI()*AX$12^2)/4*(AT202*$W202*1000)/($H202*$B$5),(PI()*AX$12^2)/4*(AT202*$W202*1000)/($G202*$B$5)),
IF($D202="Pénétro.",
IF($E202=4,(PI()*AX$12^2)/4*(AT202*$W202*1000)/($H202*$B$5),(PI()*AX$12^2)/4*(AT202*$W202*1000)/($G202*$B$5))))))/10</f>
        <v>#N/A</v>
      </c>
      <c r="AY202" s="102" t="e">
        <f>(VLOOKUP($B$3,'Coeff EC7'!$T$39:$X$59,2,0)*AW202+VLOOKUP($B$3,'Coeff EC7'!$T$65:$X$85,2,0)*Model0.1C!AX202)/1.1</f>
        <v>#N/A</v>
      </c>
      <c r="AZ202" s="102" t="e">
        <f>(VLOOKUP($B$3,'Coeff EC7'!$T$39:$X$59,3,0)*AW202+VLOOKUP($B$3,'Coeff EC7'!$T$65:$X$85,3,0)*Model0.1C!AX202)/0.9</f>
        <v>#N/A</v>
      </c>
      <c r="BA202" s="102" t="e">
        <f t="shared" si="273"/>
        <v>#N/A</v>
      </c>
      <c r="BB202" s="102" t="e">
        <f t="shared" si="274"/>
        <v>#N/A</v>
      </c>
      <c r="BC202" s="414" t="e">
        <f>IF(BC201=0,0,IF(AND(AY202&gt;charge_ELS_quasi,AZ202&gt;Charge_ELS_freq,BA202&gt;charge_ELU,BB202&gt;charge_ELA,$B202&gt;NDC!$H$22-0.1+MIN(3*$BC$12,1.5)),0,1))</f>
        <v>#N/A</v>
      </c>
      <c r="BD202" s="86" t="b">
        <f t="shared" si="244"/>
        <v>0</v>
      </c>
      <c r="BE202" s="86">
        <f t="shared" si="275"/>
        <v>0.5</v>
      </c>
      <c r="BF202" s="86">
        <f t="shared" si="245"/>
        <v>0.5</v>
      </c>
      <c r="BG202" s="30" t="e">
        <f t="shared" ca="1" si="276"/>
        <v>#DIV/0!</v>
      </c>
      <c r="BH202" s="85" t="e">
        <f ca="1">IF(AN202&lt;=Hypothèses!$V$7,Hypothèses!$W$7,IF(AN202&lt;=Hypothèses!$V$8,Hypothèses!$W$8,IF(AN202&lt;=Hypothèses!$V$9,Hypothèses!$W$9,IF(AN202&lt;=Hypothèses!$V$10,Hypothèses!$W$10,IF(AN202&lt;=Hypothèses!$V$11,Hypothèses!$W$11,IF(AN202&lt;=Hypothèses!$V$12,Hypothèses!$W$12,IF(AN202&lt;=Hypothèses!$V$13,Hypothèses!$W$13,IF(AN202&lt;=Hypothèses!$V$14,Hypothèses!$W$14,IF(AN202&lt;=Hypothèses!$V$15,Hypothèses!$W$15,IF(AN202&lt;=Hypothèses!$V$16,Hypothèses!$W$16,IF(AN202&lt;=Hypothèses!$V$17,Hypothèses!$W$17,IF(AN202&lt;=Hypothèses!$V$18,Hypothèses!$W$18,""))))))))))))</f>
        <v>#DIV/0!</v>
      </c>
      <c r="BI202" s="87" t="e">
        <f t="shared" ca="1" si="318"/>
        <v>#DIV/0!</v>
      </c>
      <c r="BJ202" s="88" t="e">
        <f ca="1">IF(AN202&lt;=Hypothèses!$V$7,Hypothèses!$X$7,IF(AN202&lt;=Hypothèses!$V$8,Hypothèses!$X$8,IF(AN202&lt;=Hypothèses!$V$9,Hypothèses!$X$9,IF(AN202&lt;=Hypothèses!$V$10,Hypothèses!$X$10,IF(AN202&lt;=Hypothèses!$V$11,Hypothèses!$X$11,IF(AN202&lt;=Hypothèses!$V$12,Hypothèses!$X$12,IF(AN202&lt;=Hypothèses!$V$13,Hypothèses!$X$13,IF(AN202&lt;=Hypothèses!$V$14,Hypothèses!$X$14,IF(AN202&lt;=Hypothèses!$V$15,Hypothèses!$X$15,IF(AN202&lt;=Hypothèses!$V$16,Hypothèses!$X$16,IF(AN202&lt;=Hypothèses!$U$17,Hypothèses!$W$17,IF(AN202&lt;=Hypothèses!$U$18,Hypothèses!$W$18,""))))))))))))</f>
        <v>#DIV/0!</v>
      </c>
      <c r="BK202" s="95" t="e">
        <f t="shared" ca="1" si="277"/>
        <v>#DIV/0!</v>
      </c>
      <c r="BL202" s="101" t="e">
        <f t="shared" si="325"/>
        <v>#N/A</v>
      </c>
      <c r="BM202" s="91" t="e">
        <f t="shared" si="246"/>
        <v>#N/A</v>
      </c>
      <c r="BN202" s="30" t="e">
        <f t="shared" si="304"/>
        <v>#N/A</v>
      </c>
      <c r="BO202" s="30" t="e">
        <f t="shared" si="305"/>
        <v>#N/A</v>
      </c>
      <c r="BP202" s="31" t="e">
        <f>IF(OR(Hypothèses!$B$4=17,Hypothèses!$B$4=18,Hypothèses!$B$4=19,Hypothèses!$B$4=20),
IF($D202="Pressio.",
IF(OR($E202=3,$E202=1,$E202=4),BO202,BN202),
IF($D202="Pénétro.",
IF(OR($E202=3,$E202=1,$E202=4),BO202,BN202))),IF($D202="Pressio.",
IF($E202=3,BO202,BN202),
IF($D202="Pénétro.",
IF($E202=4,BO202,BN202))))</f>
        <v>#N/A</v>
      </c>
      <c r="BQ202" s="31" t="e">
        <f>(IF(OR(Hypothèses!$B$4=17,Hypothèses!$B$4=18,Hypothèses!$B$4=19,Hypothèses!$B$4=20),
IF($D202="Pressio.",
IF(OR($E202=3,$E202=1,$E202=4),(PI()*BQ$12^2)/4*(BM202*$W202*1000)/($H202*$B$5),(PI()*BQ$12^2)/4*(BM202*$W202*1000)/($G202*$B$5)),
IF($D202="Pénétro.",
IF(OR($E202=4,$E202=1,$E202=5),(PI()*BQ$12^2)/4*(BM202*$W202*1000)/($H202*$B$5),(PI()*BQ$12^2)/4*(BM202*$W202*1000)/($G202*$B$5)))),
IF($D202="Pressio.",
IF($E202=3,(PI()*BQ$12^2)/4*(BM202*$W202*1000)/($H202*$B$5),(PI()*BQ$12^2)/4*(BM202*$W202*1000)/($G202*$B$5)),
IF($D202="Pénétro.",
IF($E202=4,(PI()*BQ$12^2)/4*(BM202*$W202*1000)/($H202*$B$5),(PI()*BQ$12^2)/4*(BM202*$W202*1000)/($G202*$B$5))))))/10</f>
        <v>#N/A</v>
      </c>
      <c r="BR202" s="102" t="e">
        <f>(VLOOKUP($B$3,'Coeff EC7'!$T$39:$X$59,2,0)*BP202+VLOOKUP($B$3,'Coeff EC7'!$T$65:$X$85,2,0)*Model0.1C!BQ202)/1.1</f>
        <v>#N/A</v>
      </c>
      <c r="BS202" s="102" t="e">
        <f>(VLOOKUP($B$3,'Coeff EC7'!$T$39:$X$59,3,0)*BP202+VLOOKUP($B$3,'Coeff EC7'!$T$65:$X$85,3,0)*Model0.1C!BQ202)/0.9</f>
        <v>#N/A</v>
      </c>
      <c r="BT202" s="102" t="e">
        <f t="shared" si="278"/>
        <v>#N/A</v>
      </c>
      <c r="BU202" s="102" t="e">
        <f t="shared" si="279"/>
        <v>#N/A</v>
      </c>
      <c r="BV202" s="414" t="e">
        <f>IF(BV201=0,0,IF(AND(BR202&gt;charge_ELS_quasi,BS202&gt;Charge_ELS_freq,BT202&gt;charge_ELU,BU202&gt;charge_ELA,$B202&gt;NDC!$H$22-0.1+MIN(3*$BV$12,1.5)),0,1))</f>
        <v>#N/A</v>
      </c>
      <c r="BW202" s="86" t="b">
        <f t="shared" si="247"/>
        <v>0</v>
      </c>
      <c r="BX202" s="86">
        <f t="shared" si="248"/>
        <v>0.5</v>
      </c>
      <c r="BY202" s="86">
        <f t="shared" si="249"/>
        <v>0.5</v>
      </c>
      <c r="BZ202" s="30" t="e">
        <f t="shared" ca="1" si="280"/>
        <v>#DIV/0!</v>
      </c>
      <c r="CA202" s="85" t="e">
        <f ca="1">IF(BG202&lt;=Hypothèses!$V$7,Hypothèses!$W$7,IF(BG202&lt;=Hypothèses!$V$8,Hypothèses!$W$8,IF(BG202&lt;=Hypothèses!$V$9,Hypothèses!$W$9,IF(BG202&lt;=Hypothèses!$V$10,Hypothèses!$W$10,IF(BG202&lt;=Hypothèses!$V$11,Hypothèses!$W$11,IF(BG202&lt;=Hypothèses!$V$12,Hypothèses!$W$12,IF(BG202&lt;=Hypothèses!$V$13,Hypothèses!$W$13,IF(BG202&lt;=Hypothèses!$V$14,Hypothèses!$W$14,IF(BG202&lt;=Hypothèses!$V$15,Hypothèses!$W$15,IF(BG202&lt;=Hypothèses!$V$16,Hypothèses!$W$16,IF(BG202&lt;=Hypothèses!$V$17,Hypothèses!$W$17,IF(BG202&lt;=Hypothèses!$V$18,Hypothèses!$W$18,""))))))))))))</f>
        <v>#DIV/0!</v>
      </c>
      <c r="CB202" s="87" t="e">
        <f t="shared" ca="1" si="319"/>
        <v>#DIV/0!</v>
      </c>
      <c r="CC202" s="88" t="e">
        <f ca="1">IF(BG202&lt;=Hypothèses!$V$7,Hypothèses!$X$7,IF(BG202&lt;=Hypothèses!$V$8,Hypothèses!$X$8,IF(BG202&lt;=Hypothèses!$V$9,Hypothèses!$X$9,IF(BG202&lt;=Hypothèses!$V$10,Hypothèses!$X$10,IF(BG202&lt;=Hypothèses!$V$11,Hypothèses!$X$11,IF(BG202&lt;=Hypothèses!$V$12,Hypothèses!$X$12,IF(BG202&lt;=Hypothèses!$V$13,Hypothèses!$X$13,IF(BG202&lt;=Hypothèses!$V$14,Hypothèses!$X$14,IF(BG202&lt;=Hypothèses!$V$15,Hypothèses!$X$15,IF(BG202&lt;=Hypothèses!$V$16,Hypothèses!$X$16,IF(BG202&lt;=Hypothèses!$U$17,Hypothèses!$W$17,IF(BG202&lt;=Hypothèses!$U$18,Hypothèses!$W$18,""))))))))))))</f>
        <v>#DIV/0!</v>
      </c>
      <c r="CD202" s="95" t="e">
        <f t="shared" ca="1" si="281"/>
        <v>#DIV/0!</v>
      </c>
      <c r="CE202" s="101" t="e">
        <f t="shared" si="326"/>
        <v>#N/A</v>
      </c>
      <c r="CF202" s="91" t="e">
        <f t="shared" si="250"/>
        <v>#N/A</v>
      </c>
      <c r="CG202" s="30" t="e">
        <f t="shared" si="306"/>
        <v>#N/A</v>
      </c>
      <c r="CH202" s="30" t="e">
        <f t="shared" si="307"/>
        <v>#N/A</v>
      </c>
      <c r="CI202" s="31" t="e">
        <f>IF(OR(Hypothèses!$B$4=17,Hypothèses!$B$4=18,Hypothèses!$B$4=19,Hypothèses!$B$4=20),
IF($D202="Pressio.",
IF(OR($E202=3,$E202=1,$E202=4),CH202,CG202),
IF($D202="Pénétro.",
IF(OR($E202=3,$E202=1,$E202=4),CH202,CG202))),IF($D202="Pressio.",
IF($E202=3,CH202,CG202),
IF($D202="Pénétro.",
IF($E202=4,CH202,CG202))))</f>
        <v>#N/A</v>
      </c>
      <c r="CJ202" s="31" t="e">
        <f>(IF(OR(Hypothèses!$B$4=17,Hypothèses!$B$4=18,Hypothèses!$B$4=19,Hypothèses!$B$4=20),
IF($D202="Pressio.",
IF(OR($E202=3,$E202=1,$E202=4),(PI()*CJ$12^2)/4*(CF202*$W202*1000)/($H202*$B$5),(PI()*CJ$12^2)/4*(CF202*$W202*1000)/($G202*$B$5)),
IF($D202="Pénétro.",
IF(OR($E202=4,$E202=1,$E202=5),(PI()*CJ$12^2)/4*(CF202*$W202*1000)/($H202*$B$5),(PI()*CJ$12^2)/4*(CF202*$W202*1000)/($G202*$B$5)))),
IF($D202="Pressio.",
IF($E202=3,(PI()*CJ$12^2)/4*(CF202*$W202*1000)/($H202*$B$5),(PI()*CJ$12^2)/4*(CF202*$W202*1000)/($G202*$B$5)),
IF($D202="Pénétro.",
IF($E202=4,(PI()*CJ$12^2)/4*(CF202*$W202*1000)/($H202*$B$5),(PI()*CJ$12^2)/4*(CF202*$W202*1000)/($G202*$B$5))))))/10</f>
        <v>#N/A</v>
      </c>
      <c r="CK202" s="102" t="e">
        <f>(VLOOKUP($B$3,'Coeff EC7'!$T$39:$X$59,2,0)*CI202+VLOOKUP($B$3,'Coeff EC7'!$T$65:$X$85,2,0)*Model0.1C!CJ202)/1.1</f>
        <v>#N/A</v>
      </c>
      <c r="CL202" s="102" t="e">
        <f>(VLOOKUP($B$3,'Coeff EC7'!$T$39:$X$59,3,0)*CI202+VLOOKUP($B$3,'Coeff EC7'!$T$65:$X$85,3,0)*Model0.1C!CJ202)/0.9</f>
        <v>#N/A</v>
      </c>
      <c r="CM202" s="102" t="e">
        <f t="shared" si="282"/>
        <v>#N/A</v>
      </c>
      <c r="CN202" s="102" t="e">
        <f t="shared" si="283"/>
        <v>#N/A</v>
      </c>
      <c r="CO202" s="414" t="e">
        <f>IF(CO201=0,0,IF(AND(CK202&gt;charge_ELS_quasi,CL202&gt;Charge_ELS_freq,CM202&gt;charge_ELU,CN202&gt;charge_ELA,$B202&gt;NDC!$H$22-0.1+MIN(3*$CO$12,1.5)),0,1))</f>
        <v>#N/A</v>
      </c>
      <c r="CP202" s="86" t="b">
        <f t="shared" si="251"/>
        <v>0</v>
      </c>
      <c r="CQ202" s="86">
        <f t="shared" si="252"/>
        <v>0.5</v>
      </c>
      <c r="CR202" s="86">
        <f t="shared" si="253"/>
        <v>0.5</v>
      </c>
      <c r="CS202" s="30" t="e">
        <f t="shared" ca="1" si="284"/>
        <v>#DIV/0!</v>
      </c>
      <c r="CT202" s="85" t="e">
        <f ca="1">IF(BZ202&lt;=Hypothèses!$V$7,Hypothèses!$W$7,IF(BZ202&lt;=Hypothèses!$V$8,Hypothèses!$W$8,IF(BZ202&lt;=Hypothèses!$V$9,Hypothèses!$W$9,IF(BZ202&lt;=Hypothèses!$V$10,Hypothèses!$W$10,IF(BZ202&lt;=Hypothèses!$V$11,Hypothèses!$W$11,IF(BZ202&lt;=Hypothèses!$V$12,Hypothèses!$W$12,IF(BZ202&lt;=Hypothèses!$V$13,Hypothèses!$W$13,IF(BZ202&lt;=Hypothèses!$V$14,Hypothèses!$W$14,IF(BZ202&lt;=Hypothèses!$V$15,Hypothèses!$W$15,IF(BZ202&lt;=Hypothèses!$V$16,Hypothèses!$W$16,IF(BZ202&lt;=Hypothèses!$V$17,Hypothèses!$W$17,IF(BZ202&lt;=Hypothèses!$V$18,Hypothèses!$W$18,""))))))))))))</f>
        <v>#DIV/0!</v>
      </c>
      <c r="CU202" s="87" t="e">
        <f t="shared" ca="1" si="320"/>
        <v>#DIV/0!</v>
      </c>
      <c r="CV202" s="88" t="e">
        <f ca="1">IF(BZ202&lt;=Hypothèses!$V$7,Hypothèses!$X$7,IF(BZ202&lt;=Hypothèses!$V$8,Hypothèses!$X$8,IF(BZ202&lt;=Hypothèses!$V$9,Hypothèses!$X$9,IF(BZ202&lt;=Hypothèses!$V$10,Hypothèses!$X$10,IF(BZ202&lt;=Hypothèses!$V$11,Hypothèses!$X$11,IF(BZ202&lt;=Hypothèses!$V$12,Hypothèses!$X$12,IF(BZ202&lt;=Hypothèses!$V$13,Hypothèses!$X$13,IF(BZ202&lt;=Hypothèses!$V$14,Hypothèses!$X$14,IF(BZ202&lt;=Hypothèses!$V$15,Hypothèses!$X$15,IF(BZ202&lt;=Hypothèses!$V$16,Hypothèses!$X$16,IF(BZ202&lt;=Hypothèses!$U$17,Hypothèses!$W$17,IF(BZ202&lt;=Hypothèses!$U$18,Hypothèses!$W$18,""))))))))))))</f>
        <v>#DIV/0!</v>
      </c>
      <c r="CW202" s="95" t="e">
        <f t="shared" ca="1" si="285"/>
        <v>#DIV/0!</v>
      </c>
      <c r="CX202" s="101" t="e">
        <f t="shared" si="327"/>
        <v>#N/A</v>
      </c>
      <c r="CY202" s="91" t="e">
        <f t="shared" si="254"/>
        <v>#N/A</v>
      </c>
      <c r="CZ202" s="30" t="e">
        <f t="shared" si="308"/>
        <v>#N/A</v>
      </c>
      <c r="DA202" s="30" t="e">
        <f t="shared" si="309"/>
        <v>#N/A</v>
      </c>
      <c r="DB202" s="31" t="e">
        <f>IF(OR(Hypothèses!$B$4=17,Hypothèses!$B$4=18,Hypothèses!$B$4=19,Hypothèses!$B$4=20),
IF($D202="Pressio.",
IF(OR($E202=3,$E202=1,$E202=4),DA202,CZ202),
IF($D202="Pénétro.",
IF(OR($E202=3,$E202=1,$E202=4),DA202,CZ202))),IF($D202="Pressio.",
IF($E202=3,DA202,CZ202),
IF($D202="Pénétro.",
IF($E202=4,DA202,CZ202))))</f>
        <v>#N/A</v>
      </c>
      <c r="DC202" s="31" t="e">
        <f>(IF(OR(Hypothèses!$B$4=17,Hypothèses!$B$4=18,Hypothèses!$B$4=19,Hypothèses!$B$4=20),
IF($D202="Pressio.",
IF(OR($E202=3,$E202=1,$E202=4),(PI()*DC$12^2)/4*(CY202*$W202*1000)/($H202*$B$5),(PI()*DC$12^2)/4*(CY202*$W202*1000)/($G202*$B$5)),
IF($D202="Pénétro.",
IF(OR($E202=4,$E202=1,$E202=5),(PI()*DC$12^2)/4*(CY202*$W202*1000)/($H202*$B$5),(PI()*DC$12^2)/4*(CY202*$W202*1000)/($G202*$B$5)))),
IF($D202="Pressio.",
IF($E202=3,(PI()*DC$12^2)/4*(CY202*$W202*1000)/($H202*$B$5),(PI()*DC$12^2)/4*(CY202*$W202*1000)/($G202*$B$5)),
IF($D202="Pénétro.",
IF($E202=4,(PI()*DC$12^2)/4*(CY202*$W202*1000)/($H202*$B$5),(PI()*DC$12^2)/4*(CY202*$W202*1000)/($G202*$B$5))))))/10</f>
        <v>#N/A</v>
      </c>
      <c r="DD202" s="102" t="e">
        <f>(VLOOKUP($B$3,'Coeff EC7'!$T$39:$X$59,2,0)*DB202+VLOOKUP($B$3,'Coeff EC7'!$T$65:$X$85,2,0)*Model0.1C!DC202)/1.1</f>
        <v>#N/A</v>
      </c>
      <c r="DE202" s="102" t="e">
        <f>(VLOOKUP($B$3,'Coeff EC7'!$T$39:$X$59,3,0)*DB202+VLOOKUP($B$3,'Coeff EC7'!$T$65:$X$85,3,0)*Model0.1C!DC202)/0.9</f>
        <v>#N/A</v>
      </c>
      <c r="DF202" s="102" t="e">
        <f t="shared" si="286"/>
        <v>#N/A</v>
      </c>
      <c r="DG202" s="102" t="e">
        <f t="shared" si="287"/>
        <v>#N/A</v>
      </c>
      <c r="DH202" s="414" t="e">
        <f>IF(DH201=0,0,IF(AND(DD202&gt;charge_ELS_quasi,DE202&gt;Charge_ELS_freq,DF202&gt;charge_ELU,DG202&gt;charge_ELA,$B202&gt;NDC!$H$22-0.1+MIN(3*$DH$12,1.5)),0,1))</f>
        <v>#N/A</v>
      </c>
      <c r="DI202" s="86" t="b">
        <f t="shared" si="255"/>
        <v>0</v>
      </c>
      <c r="DJ202" s="86">
        <f t="shared" si="256"/>
        <v>0.5</v>
      </c>
      <c r="DK202" s="86">
        <f t="shared" si="257"/>
        <v>0.5</v>
      </c>
      <c r="DL202" s="30" t="e">
        <f t="shared" ca="1" si="288"/>
        <v>#DIV/0!</v>
      </c>
      <c r="DM202" s="85" t="e">
        <f ca="1">IF(CS202&lt;=Hypothèses!$V$7,Hypothèses!$W$7,IF(CS202&lt;=Hypothèses!$V$8,Hypothèses!$W$8,IF(CS202&lt;=Hypothèses!$V$9,Hypothèses!$W$9,IF(CS202&lt;=Hypothèses!$V$10,Hypothèses!$W$10,IF(CS202&lt;=Hypothèses!$V$11,Hypothèses!$W$11,IF(CS202&lt;=Hypothèses!$V$12,Hypothèses!$W$12,IF(CS202&lt;=Hypothèses!$V$13,Hypothèses!$W$13,IF(CS202&lt;=Hypothèses!$V$14,Hypothèses!$W$14,IF(CS202&lt;=Hypothèses!$V$15,Hypothèses!$W$15,IF(CS202&lt;=Hypothèses!$V$16,Hypothèses!$W$16,IF(CS202&lt;=Hypothèses!$V$17,Hypothèses!$W$17,IF(CS202&lt;=Hypothèses!$V$18,Hypothèses!$W$18,""))))))))))))</f>
        <v>#DIV/0!</v>
      </c>
      <c r="DN202" s="87" t="e">
        <f t="shared" ca="1" si="321"/>
        <v>#DIV/0!</v>
      </c>
      <c r="DO202" s="88" t="e">
        <f ca="1">IF(CS202&lt;=Hypothèses!$V$7,Hypothèses!$X$7,IF(CS202&lt;=Hypothèses!$V$8,Hypothèses!$X$8,IF(CS202&lt;=Hypothèses!$V$9,Hypothèses!$X$9,IF(CS202&lt;=Hypothèses!$V$10,Hypothèses!$X$10,IF(CS202&lt;=Hypothèses!$V$11,Hypothèses!$X$11,IF(CS202&lt;=Hypothèses!$V$12,Hypothèses!$X$12,IF(CS202&lt;=Hypothèses!$V$13,Hypothèses!$X$13,IF(CS202&lt;=Hypothèses!$V$14,Hypothèses!$X$14,IF(CS202&lt;=Hypothèses!$V$15,Hypothèses!$X$15,IF(CS202&lt;=Hypothèses!$V$16,Hypothèses!$X$16,IF(CS202&lt;=Hypothèses!$U$17,Hypothèses!$W$17,IF(CS202&lt;=Hypothèses!$U$18,Hypothèses!$W$18,""))))))))))))</f>
        <v>#DIV/0!</v>
      </c>
      <c r="DP202" s="95" t="e">
        <f t="shared" ca="1" si="289"/>
        <v>#DIV/0!</v>
      </c>
      <c r="DQ202" s="101" t="e">
        <f t="shared" si="328"/>
        <v>#N/A</v>
      </c>
      <c r="DR202" s="91" t="e">
        <f t="shared" si="258"/>
        <v>#N/A</v>
      </c>
      <c r="DS202" s="30" t="e">
        <f t="shared" si="310"/>
        <v>#N/A</v>
      </c>
      <c r="DT202" s="30" t="e">
        <f t="shared" si="311"/>
        <v>#N/A</v>
      </c>
      <c r="DU202" s="31" t="e">
        <f>IF(OR(Hypothèses!$B$4=17,Hypothèses!$B$4=18,Hypothèses!$B$4=19,Hypothèses!$B$4=20),
IF($D202="Pressio.",
IF(OR($E202=3,$E202=1,$E202=4),DT202,DS202),
IF($D202="Pénétro.",
IF(OR($E202=3,$E202=1,$E202=4),DT202,DS202))),IF($D202="Pressio.",
IF($E202=3,DT202,DS202),
IF($D202="Pénétro.",
IF($E202=4,DT202,DS202))))</f>
        <v>#N/A</v>
      </c>
      <c r="DV202" s="31" t="e">
        <f>(IF(OR(Hypothèses!$B$4=17,Hypothèses!$B$4=18,Hypothèses!$B$4=19,Hypothèses!$B$4=20),
IF($D202="Pressio.",
IF(OR($E202=3,$E202=1,$E202=4),(PI()*DV$12^2)/4*(DR202*$W202*1000)/($H202*$B$5),(PI()*DV$12^2)/4*(DR202*$W202*1000)/($G202*$B$5)),
IF($D202="Pénétro.",
IF(OR($E202=4,$E202=1,$E202=5),(PI()*DV$12^2)/4*(DR202*$W202*1000)/($H202*$B$5),(PI()*DV$12^2)/4*(DR202*$W202*1000)/($G202*$B$5)))),
IF($D202="Pressio.",
IF($E202=3,(PI()*DV$12^2)/4*(DR202*$W202*1000)/($H202*$B$5),(PI()*DV$12^2)/4*(DR202*$W202*1000)/($G202*$B$5)),
IF($D202="Pénétro.",
IF($E202=4,(PI()*DV$12^2)/4*(DR202*$W202*1000)/($H202*$B$5),(PI()*DV$12^2)/4*(DR202*$W202*1000)/($G202*$B$5))))))/10</f>
        <v>#N/A</v>
      </c>
      <c r="DW202" s="102" t="e">
        <f>(VLOOKUP($B$3,'Coeff EC7'!$T$39:$X$59,2,0)*DU202+VLOOKUP($B$3,'Coeff EC7'!$T$65:$X$85,2,0)*Model0.1C!DV202)/1.1</f>
        <v>#N/A</v>
      </c>
      <c r="DX202" s="102" t="e">
        <f>(VLOOKUP($B$3,'Coeff EC7'!$T$39:$X$59,3,0)*DU202+VLOOKUP($B$3,'Coeff EC7'!$T$65:$X$85,3,0)*Model0.1C!DV202)/0.9</f>
        <v>#N/A</v>
      </c>
      <c r="DY202" s="102" t="e">
        <f t="shared" si="290"/>
        <v>#N/A</v>
      </c>
      <c r="DZ202" s="102" t="e">
        <f t="shared" si="291"/>
        <v>#N/A</v>
      </c>
      <c r="EA202" s="414" t="e">
        <f>IF(EA201=0,0,IF(AND(DW202&gt;charge_ELS_quasi,DX202&gt;Charge_ELS_freq,DY202&gt;charge_ELU,DZ202&gt;charge_ELA,$B202&gt;NDC!$H$22-0.1+MIN(3*$EA$12,1.5)),0,1))</f>
        <v>#N/A</v>
      </c>
      <c r="EB202" s="86" t="b">
        <f t="shared" si="259"/>
        <v>0</v>
      </c>
      <c r="EC202" s="418">
        <f t="shared" si="260"/>
        <v>0.51</v>
      </c>
      <c r="ED202" s="86">
        <f t="shared" si="261"/>
        <v>0.51</v>
      </c>
      <c r="EE202" s="30" t="e">
        <f t="shared" ca="1" si="292"/>
        <v>#DIV/0!</v>
      </c>
      <c r="EF202" s="85" t="e">
        <f ca="1">IF(DL202&lt;=Hypothèses!$V$7,Hypothèses!$W$7,IF(DL202&lt;=Hypothèses!$V$8,Hypothèses!$W$8,IF(DL202&lt;=Hypothèses!$V$9,Hypothèses!$W$9,IF(DL202&lt;=Hypothèses!$V$10,Hypothèses!$W$10,IF(DL202&lt;=Hypothèses!$V$11,Hypothèses!$W$11,IF(DL202&lt;=Hypothèses!$V$12,Hypothèses!$W$12,IF(DL202&lt;=Hypothèses!$V$13,Hypothèses!$W$13,IF(DL202&lt;=Hypothèses!$V$14,Hypothèses!$W$14,IF(DL202&lt;=Hypothèses!$V$15,Hypothèses!$W$15,IF(DL202&lt;=Hypothèses!$V$16,Hypothèses!$W$16,IF(DL202&lt;=Hypothèses!$V$17,Hypothèses!$W$17,IF(DL202&lt;=Hypothèses!$V$18,Hypothèses!$W$18,""))))))))))))</f>
        <v>#DIV/0!</v>
      </c>
      <c r="EG202" s="87" t="e">
        <f t="shared" ca="1" si="322"/>
        <v>#DIV/0!</v>
      </c>
      <c r="EH202" s="88" t="e">
        <f ca="1">IF(DL202&lt;=Hypothèses!$V$7,Hypothèses!$X$7,IF(DL202&lt;=Hypothèses!$V$8,Hypothèses!$X$8,IF(DL202&lt;=Hypothèses!$V$9,Hypothèses!$X$9,IF(DL202&lt;=Hypothèses!$V$10,Hypothèses!$X$10,IF(DL202&lt;=Hypothèses!$V$11,Hypothèses!$X$11,IF(DL202&lt;=Hypothèses!$V$12,Hypothèses!$X$12,IF(DL202&lt;=Hypothèses!$V$13,Hypothèses!$X$13,IF(DL202&lt;=Hypothèses!$V$14,Hypothèses!$X$14,IF(DL202&lt;=Hypothèses!$V$15,Hypothèses!$X$15,IF(DL202&lt;=Hypothèses!$V$16,Hypothèses!$X$16,IF(DL202&lt;=Hypothèses!$U$17,Hypothèses!$W$17,IF(DL202&lt;=Hypothèses!$U$18,Hypothèses!$W$18,""))))))))))))</f>
        <v>#DIV/0!</v>
      </c>
      <c r="EI202" s="95" t="e">
        <f t="shared" ca="1" si="293"/>
        <v>#DIV/0!</v>
      </c>
      <c r="EJ202" s="101" t="e">
        <f t="shared" si="329"/>
        <v>#N/A</v>
      </c>
      <c r="EK202" s="91" t="e">
        <f t="shared" si="262"/>
        <v>#N/A</v>
      </c>
      <c r="EL202" s="30" t="e">
        <f t="shared" si="312"/>
        <v>#N/A</v>
      </c>
      <c r="EM202" s="30" t="e">
        <f t="shared" si="313"/>
        <v>#N/A</v>
      </c>
      <c r="EN202" s="31" t="e">
        <f>IF(OR(Hypothèses!$B$4=17,Hypothèses!$B$4=18,Hypothèses!$B$4=19,Hypothèses!$B$4=20),
IF($D202="Pressio.",
IF(OR($E202=3,$E202=1,$E202=4),EM202,EL202),
IF($D202="Pénétro.",
IF(OR($E202=3,$E202=1,$E202=4),EM202,EL202))),IF($D202="Pressio.",
IF($E202=3,EM202,EL202),
IF($D202="Pénétro.",
IF($E202=4,EM202,EL202))))</f>
        <v>#N/A</v>
      </c>
      <c r="EO202" s="31" t="e">
        <f>(IF(OR(Hypothèses!$B$4=17,Hypothèses!$B$4=18,Hypothèses!$B$4=19,Hypothèses!$B$4=20),
IF($D202="Pressio.",
IF(OR($E202=3,$E202=1,$E202=4),(PI()*EO$12^2)/4*(EK202*$W202*1000)/($H202*$B$5),(PI()*EO$12^2)/4*(EK202*$W202*1000)/($G202*$B$5)),
IF($D202="Pénétro.",
IF(OR($E202=4,$E202=1,$E202=5),(PI()*EO$12^2)/4*(EK202*$W202*1000)/($H202*$B$5),(PI()*EO$12^2)/4*(EK202*$W202*1000)/($G202*$B$5)))),
IF($D202="Pressio.",
IF($E202=3,(PI()*EO$12^2)/4*(EK202*$W202*1000)/($H202*$B$5),(PI()*EO$12^2)/4*(EK202*$W202*1000)/($G202*$B$5)),
IF($D202="Pénétro.",
IF($E202=4,(PI()*EO$12^2)/4*(EK202*$W202*1000)/($H202*$B$5),(PI()*EO$12^2)/4*(EK202*$W202*1000)/($G202*$B$5))))))/10</f>
        <v>#N/A</v>
      </c>
      <c r="EP202" s="102" t="e">
        <f>(VLOOKUP($B$3,'Coeff EC7'!$T$39:$X$59,2,0)*EN202+VLOOKUP($B$3,'Coeff EC7'!$T$65:$X$85,2,0)*Model0.1C!EO202)/1.1</f>
        <v>#N/A</v>
      </c>
      <c r="EQ202" s="102" t="e">
        <f>(VLOOKUP($B$3,'Coeff EC7'!$T$39:$X$59,3,0)*EN202+VLOOKUP($B$3,'Coeff EC7'!$T$65:$X$85,3,0)*Model0.1C!EO202)/0.9</f>
        <v>#N/A</v>
      </c>
      <c r="ER202" s="102" t="e">
        <f t="shared" si="294"/>
        <v>#N/A</v>
      </c>
      <c r="ES202" s="102" t="e">
        <f t="shared" si="295"/>
        <v>#N/A</v>
      </c>
      <c r="ET202" s="414" t="e">
        <f>IF(ET201=0,0,IF(AND(EP202&gt;charge_ELS_quasi,EQ202&gt;Charge_ELS_freq,ER202&gt;charge_ELU,ES202&gt;charge_ELA,$B202&gt;NDC!$H$22-0.1+MIN(3*$ET$12,1.5)),0,1))</f>
        <v>#N/A</v>
      </c>
      <c r="EU202" s="86" t="b">
        <f t="shared" si="263"/>
        <v>0</v>
      </c>
      <c r="EV202" s="86">
        <f t="shared" si="264"/>
        <v>0.61</v>
      </c>
      <c r="EW202" s="86">
        <f t="shared" si="265"/>
        <v>0.61</v>
      </c>
      <c r="EX202" s="30" t="e">
        <f t="shared" ca="1" si="296"/>
        <v>#DIV/0!</v>
      </c>
      <c r="EY202" s="85" t="e">
        <f ca="1">IF(EE202&lt;=Hypothèses!$V$7,Hypothèses!$W$7,IF(EE202&lt;=Hypothèses!$V$8,Hypothèses!$W$8,IF(EE202&lt;=Hypothèses!$V$9,Hypothèses!$W$9,IF(EE202&lt;=Hypothèses!$V$10,Hypothèses!$W$10,IF(EE202&lt;=Hypothèses!$V$11,Hypothèses!$W$11,IF(EE202&lt;=Hypothèses!$V$12,Hypothèses!$W$12,IF(EE202&lt;=Hypothèses!$V$13,Hypothèses!$W$13,IF(EE202&lt;=Hypothèses!$V$14,Hypothèses!$W$14,IF(EE202&lt;=Hypothèses!$V$15,Hypothèses!$W$15,IF(EE202&lt;=Hypothèses!$V$16,Hypothèses!$W$16,IF(EE202&lt;=Hypothèses!$V$17,Hypothèses!$W$17,IF(EE202&lt;=Hypothèses!$V$18,Hypothèses!$W$18,""))))))))))))</f>
        <v>#DIV/0!</v>
      </c>
      <c r="EZ202" s="87" t="e">
        <f t="shared" ca="1" si="323"/>
        <v>#DIV/0!</v>
      </c>
      <c r="FA202" s="88" t="e">
        <f ca="1">IF(EE202&lt;=Hypothèses!$V$7,Hypothèses!$X$7,IF(EE202&lt;=Hypothèses!$V$8,Hypothèses!$X$8,IF(EE202&lt;=Hypothèses!$V$9,Hypothèses!$X$9,IF(EE202&lt;=Hypothèses!$V$10,Hypothèses!$X$10,IF(EE202&lt;=Hypothèses!$V$11,Hypothèses!$X$11,IF(EE202&lt;=Hypothèses!$V$12,Hypothèses!$X$12,IF(EE202&lt;=Hypothèses!$V$13,Hypothèses!$X$13,IF(EE202&lt;=Hypothèses!$V$14,Hypothèses!$X$14,IF(EE202&lt;=Hypothèses!$V$15,Hypothèses!$X$15,IF(EE202&lt;=Hypothèses!$V$16,Hypothèses!$X$16,IF(EE202&lt;=Hypothèses!$U$17,Hypothèses!$W$17,IF(EE202&lt;=Hypothèses!$U$18,Hypothèses!$W$18,""))))))))))))</f>
        <v>#DIV/0!</v>
      </c>
      <c r="FB202" s="95" t="e">
        <f t="shared" ca="1" si="297"/>
        <v>#DIV/0!</v>
      </c>
      <c r="FC202" s="101" t="e">
        <f t="shared" si="330"/>
        <v>#N/A</v>
      </c>
      <c r="FD202" s="91" t="e">
        <f t="shared" si="266"/>
        <v>#N/A</v>
      </c>
      <c r="FE202" s="30" t="e">
        <f t="shared" si="314"/>
        <v>#N/A</v>
      </c>
      <c r="FF202" s="30" t="e">
        <f t="shared" si="315"/>
        <v>#N/A</v>
      </c>
      <c r="FG202" s="31" t="e">
        <f>IF(OR(Hypothèses!$B$4=17,Hypothèses!$B$4=18,Hypothèses!$B$4=19,Hypothèses!$B$4=20),
IF($D202="Pressio.",
IF(OR($E202=3,$E202=1,$E202=4),FF202,FE202),
IF($D202="Pénétro.",
IF(OR($E202=3,$E202=1,$E202=4),FF202,FE202))),IF($D202="Pressio.",
IF($E202=3,FF202,FE202),
IF($D202="Pénétro.",
IF($E202=4,FF202,FE202))))</f>
        <v>#N/A</v>
      </c>
      <c r="FH202" s="31" t="e">
        <f>(IF(OR(Hypothèses!$B$4=17,Hypothèses!$B$4=18,Hypothèses!$B$4=19,Hypothèses!$B$4=20),
IF($D202="Pressio.",
IF(OR($E202=3,$E202=1,$E202=4),(PI()*FH$12^2)/4*(FD202*$W202*1000)/($H202*$B$5),(PI()*FH$12^2)/4*(FD202*$W202*1000)/($G202*$B$5)),
IF($D202="Pénétro.",
IF(OR($E202=4,$E202=1,$E202=5),(PI()*FH$12^2)/4*(FD202*$W202*1000)/($H202*$B$5),(PI()*FH$12^2)/4*(FD202*$W202*1000)/($G202*$B$5)))),
IF($D202="Pressio.",
IF($E202=3,(PI()*FH$12^2)/4*(FD202*$W202*1000)/($H202*$B$5),(PI()*FH$12^2)/4*(FD202*$W202*1000)/($G202*$B$5)),
IF($D202="Pénétro.",
IF($E202=4,(PI()*FH$12^2)/4*(FD202*$W202*1000)/($H202*$B$5),(PI()*FH$12^2)/4*(FD202*$W202*1000)/($G202*$B$5))))))/10</f>
        <v>#N/A</v>
      </c>
      <c r="FI202" s="102" t="e">
        <f>(VLOOKUP($B$3,'Coeff EC7'!$T$39:$X$59,2,0)*FG202+VLOOKUP($B$3,'Coeff EC7'!$T$65:$X$85,2,0)*Model0.1C!FH202)/1.1</f>
        <v>#N/A</v>
      </c>
      <c r="FJ202" s="102" t="e">
        <f>(VLOOKUP($B$3,'Coeff EC7'!$T$39:$X$59,3,0)*FG202+VLOOKUP($B$3,'Coeff EC7'!$T$65:$X$85,3,0)*Model0.1C!FH202)/0.9</f>
        <v>#N/A</v>
      </c>
      <c r="FK202" s="102" t="e">
        <f t="shared" si="298"/>
        <v>#N/A</v>
      </c>
      <c r="FL202" s="102" t="e">
        <f t="shared" si="299"/>
        <v>#N/A</v>
      </c>
      <c r="FM202" s="414" t="e">
        <f>IF(FM201=0,0,IF(AND(FI202&gt;charge_ELS_quasi,FJ202&gt;Charge_ELS_freq,FK202&gt;charge_ELU,FL202&gt;charge_ELA,$B202&gt;NDC!$H$22-0.1+MIN(3*$FM$12,1.5)),0,1))</f>
        <v>#N/A</v>
      </c>
    </row>
    <row r="203" spans="1:169">
      <c r="A203" s="96">
        <f t="shared" si="267"/>
        <v>81.00000000000108</v>
      </c>
      <c r="B203" s="97">
        <v>19</v>
      </c>
      <c r="C203" s="81">
        <f>IF(B203&lt;=Hypothèses!$C$7,Hypothèses!$A$7,IF(B203&lt;=Hypothèses!$C$8,Hypothèses!$A$8,IF(B203&lt;=Hypothèses!$C$9,Hypothèses!$A$9,IF(B203&lt;=Hypothèses!$C$10,Hypothèses!$A$10,IF(B203&lt;=Hypothèses!$C$11,Hypothèses!$A$11,IF(B203&lt;=Hypothèses!$C$12,Hypothèses!$A$12,IF(B203&lt;=Hypothèses!$C$13,Hypothèses!$A$13,IF(B203&lt;=Hypothèses!$C$14,Hypothèses!$A$14,IF(B203&lt;=Hypothèses!$C$15,Hypothèses!$A$15,IF(B203&lt;=Hypothèses!$C$16,Hypothèses!$A$16,IF(B203&lt;=Hypothèses!$C$17,Hypothèses!$A$17,IF(B203&lt;=Hypothèses!$C$18,Hypothèses!$A$18,C202))))))))))))</f>
        <v>11</v>
      </c>
      <c r="D203" s="82" t="str">
        <f>IF(B203&lt;=Hypothèses!$C$7,Hypothèses!$R$7,IF(B203&lt;=Hypothèses!$C$8,Hypothèses!$R$8,IF(B203&lt;=Hypothèses!$C$9,Hypothèses!$R$9,IF(B203&lt;=Hypothèses!$C$10,Hypothèses!$R$10,IF(B203&lt;=Hypothèses!$C$11,Hypothèses!$R$11,IF(B203&lt;=Hypothèses!$C$12,Hypothèses!$R$12,IF(B203&lt;=Hypothèses!$C$13,Hypothèses!$R$13,IF(B203&lt;=Hypothèses!$C$14,Hypothèses!$R$14,IF(B203&lt;=Hypothèses!$C$15,Hypothèses!$R$15,IF(B203&lt;=Hypothèses!$C$16,Hypothèses!$R$16,IF(B203&lt;=Hypothèses!$C$17,Hypothèses!$R$17,IF(B203&lt;=Hypothèses!$C$18,Hypothèses!$R$18,D202))))))))))))</f>
        <v>Pressio.</v>
      </c>
      <c r="E203" s="82" t="e">
        <f>IF(B203&lt;=Hypothèses!$C$7,Hypothèses!$G$7,IF(B203&lt;=Hypothèses!$C$8,Hypothèses!$G$8,IF(B203&lt;=Hypothèses!$C$9,Hypothèses!$G$9,IF(B203&lt;=Hypothèses!$C$10,Hypothèses!$G$10,IF(B203&lt;=Hypothèses!$C$11,Hypothèses!$G$11,IF(B203&lt;=Hypothèses!$C$12,Hypothèses!$G$12,IF(B203&lt;=Hypothèses!$C$13,Hypothèses!$G$13,IF(B203&lt;=Hypothèses!$C$14,Hypothèses!$G$14,IF(B203&lt;=Hypothèses!$C$15,Hypothèses!$G$15,IF(B203&lt;=Hypothèses!$C$16,Hypothèses!$G$16,IF(B203&lt;=Hypothèses!$C$17,Hypothèses!$G$17,IF(B203&lt;=Hypothèses!$C$18,Hypothèses!$G$18,E202))))))))))))</f>
        <v>#N/A</v>
      </c>
      <c r="F203" s="82" t="str">
        <f>IF(B203&lt;=Hypothèses!$C$7,Hypothèses!$F$7,IF(B203&lt;=Hypothèses!$C$8,Hypothèses!$F$8,IF(B203&lt;=Hypothèses!$C$9,Hypothèses!$F$9,IF(B203&lt;=Hypothèses!$C$10,Hypothèses!$F$10,IF(B203&lt;=Hypothèses!$C$11,Hypothèses!$F$11,IF(B203&lt;=Hypothèses!$C$12,Hypothèses!$F$12,IF(B203&lt;=Hypothèses!$C$13,Hypothèses!$F$13,IF(B203&lt;=Hypothèses!$C$14,Hypothèses!$F$14,IF(B203&lt;=Hypothèses!$C$15,Hypothèses!$F$15,IF(B203&lt;=Hypothèses!$C$16,Hypothèses!$F$16,IF(B203&lt;=Hypothèses!$C$17,Hypothèses!$F$17,IF(B203&lt;=Hypothèses!$C$18,Hypothèses!$F$18,F202))))))))))))</f>
        <v/>
      </c>
      <c r="G203" s="91">
        <f t="array" ref="G203">INDEX('Coeff EC7'!$U$7:$X$27,
MATCH(Model0.1C!$B$3,'Coeff EC7'!$T$7:$T$27,0),
MATCH(Model0.1C!$D203&amp;Model0.1C!$B$4,
'Coeff EC7'!$U$6:$X$6&amp;
'Coeff EC7'!$U$5:$X$5,0))</f>
        <v>1.1499999999999999</v>
      </c>
      <c r="H203" s="91">
        <f t="array" ref="H203">INDEX('Coeff EC7'!$Y$7:$AB$27,
MATCH(Model0.1C!$B$3,'Coeff EC7'!$T$7:$T$27,0),
MATCH(Model0.1C!$D203&amp;Model0.1C!$B$4,
'Coeff EC7'!$Y$6:$AB$6&amp;
'Coeff EC7'!$Y$5:$AB$5,0))</f>
        <v>1.4</v>
      </c>
      <c r="I203" s="83" t="e">
        <f>IF(B203&lt;=Hypothèses!$C$7,Hypothèses!$P$7,IF(B203&lt;=Hypothèses!$C$8,Hypothèses!$P$8,IF(B203&lt;=Hypothèses!$C$9,Hypothèses!$P$9,IF(B203&lt;=Hypothèses!$C$10,Hypothèses!$P$10,IF(B203&lt;=Hypothèses!$C$11,Hypothèses!$P$11,IF(B203&lt;=Hypothèses!$C$12,Hypothèses!$P$12,IF(B203&lt;=Hypothèses!$C$13,Hypothèses!$P$13,IF(B203&lt;=Hypothèses!$C$14,Hypothèses!$P$14,IF(B203&lt;=Hypothèses!$C$15,Hypothèses!$P$15,IF(B203&lt;=Hypothèses!$C$16,Hypothèses!$P$16,IF(B203&lt;=Hypothèses!$C$17,Hypothèses!$P$17,IF(B203&lt;=Hypothèses!$C$18,Hypothèses!$P$18,I202))))))))))))</f>
        <v>#N/A</v>
      </c>
      <c r="J203" s="91" t="e">
        <f t="array" ref="J203">INDEX('Coeff EC7'!$D$33:$Q$33,1,MATCH(D203&amp;E203,'Coeff EC7'!$D$31:$Q$31&amp;'Coeff EC7'!$D$32:$Q$32,0))</f>
        <v>#N/A</v>
      </c>
      <c r="K203" s="91" t="e">
        <f t="array" ref="K203">INDEX('Coeff EC7'!$D$34:$Q$34,1,MATCH(D203&amp;E203,'Coeff EC7'!$D$31:$Q$31&amp;'Coeff EC7'!$D$32:$Q$32,0))</f>
        <v>#N/A</v>
      </c>
      <c r="L203" s="91" t="e">
        <f t="array" ref="L203">INDEX('Coeff EC7'!$D$35:$Q$35,1,MATCH(D203&amp;E203,'Coeff EC7'!$D$31:$Q$31&amp;'Coeff EC7'!$D$32:$Q$32,0))</f>
        <v>#N/A</v>
      </c>
      <c r="M203" s="98" t="e">
        <f t="shared" si="231"/>
        <v>#N/A</v>
      </c>
      <c r="N203" s="99" t="e">
        <f t="array" ref="N203">INDEX('Coeff EC7'!$D$7:$Q$27,MATCH($B$3,'Coeff EC7'!$C$7:$C$27,0),MATCH(D203&amp;E203,'Coeff EC7'!$D$5:$Q$5&amp;'Coeff EC7'!$D$6:$Q$6,0))</f>
        <v>#N/A</v>
      </c>
      <c r="O203" s="99" t="e">
        <f t="array" ref="O203">INDEX('Coeff EC7'!$D$41:$Q$61,MATCH($B$3,'Coeff EC7'!$C$41:$C$61,0),MATCH(D203&amp;E203,'Coeff EC7'!$D$39:$Q$39&amp;'Coeff EC7'!$D$40:$Q$40,0))</f>
        <v>#N/A</v>
      </c>
      <c r="P203" s="30" t="e">
        <f t="shared" si="268"/>
        <v>#N/A</v>
      </c>
      <c r="Q203" s="100" t="e">
        <f t="shared" si="233"/>
        <v>#N/A</v>
      </c>
      <c r="R203" s="86" t="b">
        <f t="shared" si="234"/>
        <v>0</v>
      </c>
      <c r="S203" s="86">
        <f t="shared" si="232"/>
        <v>0.5</v>
      </c>
      <c r="T203" s="86">
        <f t="shared" si="235"/>
        <v>0.5</v>
      </c>
      <c r="U203" s="30" t="e">
        <f t="shared" ca="1" si="269"/>
        <v>#DIV/0!</v>
      </c>
      <c r="V203" s="85" t="str">
        <f>IF(B203&lt;=Hypothèses!$V$7,Hypothèses!$W$7,IF(B203&lt;=Hypothèses!$V$8,Hypothèses!$W$8,IF(B203&lt;=Hypothèses!$V$9,Hypothèses!$W$9,IF(B203&lt;=Hypothèses!$V$10,Hypothèses!$W$10,IF(B203&lt;=Hypothèses!$V$11,Hypothèses!$W$11,IF(B203&lt;=Hypothèses!$V$12,Hypothèses!$W$12,IF(B203&lt;=Hypothèses!$V$13,Hypothèses!$W$13,IF(B203&lt;=Hypothèses!$V$14,Hypothèses!$W$14,IF(B203&lt;=Hypothèses!$V$15,Hypothèses!$W$15,IF(B203&lt;=Hypothèses!$V$16,Hypothèses!$W$16,IF(B203&lt;=Hypothèses!$V$17,Hypothèses!$W$17,IF(B203&lt;=Hypothèses!$V$18,Hypothèses!$W$18,""))))))))))))</f>
        <v/>
      </c>
      <c r="W203" s="87" t="e">
        <f t="shared" ca="1" si="316"/>
        <v>#DIV/0!</v>
      </c>
      <c r="X203" s="88" t="str">
        <f>IF(B203&lt;=Hypothèses!$V$7,Hypothèses!$X$7,IF(B203&lt;=Hypothèses!$V$8,Hypothèses!$X$8,IF(B203&lt;=Hypothèses!$V$9,Hypothèses!$X$9,IF(B203&lt;=Hypothèses!$V$10,Hypothèses!$X$10,IF(B203&lt;=Hypothèses!$V$11,Hypothèses!$X$11,IF(B203&lt;=Hypothèses!$V$12,Hypothèses!$X$12,IF(B203&lt;=Hypothèses!$V$13,Hypothèses!$X$13,IF(B203&lt;=Hypothèses!$V$14,Hypothèses!$X$14,IF(B203&lt;=Hypothèses!$V$15,Hypothèses!$X$15,IF(B203&lt;=Hypothèses!$V$16,Hypothèses!$X$16,IF(B203&lt;=Hypothèses!$U$17,Hypothèses!$W$17,IF(B203&lt;=Hypothèses!$U$18,Hypothèses!$W$18,""))))))))))))</f>
        <v/>
      </c>
      <c r="Y203" s="95" t="e">
        <f t="shared" ca="1" si="236"/>
        <v>#DIV/0!</v>
      </c>
      <c r="Z203" s="101" t="e">
        <f t="shared" si="237"/>
        <v>#N/A</v>
      </c>
      <c r="AA203" s="91" t="e">
        <f t="shared" si="238"/>
        <v>#N/A</v>
      </c>
      <c r="AB203" s="30" t="e">
        <f t="shared" si="300"/>
        <v>#N/A</v>
      </c>
      <c r="AC203" s="30" t="e">
        <f t="shared" si="301"/>
        <v>#N/A</v>
      </c>
      <c r="AD203" s="31" t="e">
        <f>IF(OR(Hypothèses!$B$4=17,Hypothèses!$B$4=18,Hypothèses!$B$4=19,Hypothèses!$B$4=20),
IF($D203="Pressio.",
IF(OR($E203=3,$E203=1,$E203=4),AC203,AB203),
IF($D203="Pénétro.",
IF(OR($E203=3,$E203=1,$E203=4),AC203,AB203))),IF($D203="Pressio.",
IF($E203=3,AC203,AB203),
IF($D203="Pénétro.",
IF($E203=4,AC203,AB203))))</f>
        <v>#N/A</v>
      </c>
      <c r="AE203" s="31" t="e">
        <f>(IF(OR(Hypothèses!$B$4=17,Hypothèses!$B$4=18,Hypothèses!$B$4=19,Hypothèses!$B$4=20),
IF($D203="Pressio.",
IF(OR($E203=3,$E203=1,$E203=4),(PI()*AE$12^2)/4*(AA203*$W203*1000)/($H203*$B$5),(PI()*AE$12^2)/4*(AA203*$W203*1000)/($G203*$B$5)),
IF($D203="Pénétro.",
IF(OR($E203=4,$E203=1,$E203=5),(PI()*AE$12^2)/4*(AA203*$W203*1000)/($H203*$B$5),(PI()*AE$12^2)/4*(AA203*$W203*1000)/($G203*$B$5)))),
IF($D203="Pressio.",
IF($E203=3,(PI()*AE$12^2)/4*(AA203*$W203*1000)/($H203*$B$5),(PI()*AE$12^2)/4*(AA203*$W203*1000)/($G203*$B$5)),
IF($D203="Pénétro.",
IF($E203=4,(PI()*AE$12^2)/4*(AA203*$W203*1000)/($H203*$B$5),(PI()*AE$12^2)/4*(AA203*$W203*1000)/($G203*$B$5))))))/10</f>
        <v>#N/A</v>
      </c>
      <c r="AF203" s="102" t="e">
        <f>(VLOOKUP($B$3,'Coeff EC7'!$T$39:$X$59,2,0)*AD203+VLOOKUP($B$3,'Coeff EC7'!$T$65:$X$85,2,0)*Model0.1C!AE203)/1.1</f>
        <v>#N/A</v>
      </c>
      <c r="AG203" s="102" t="e">
        <f>(VLOOKUP($B$3,'Coeff EC7'!$T$39:$X$59,3,0)*AD203+VLOOKUP($B$3,'Coeff EC7'!$T$65:$X$85,3,0)*Model0.1C!AE203)/0.9</f>
        <v>#N/A</v>
      </c>
      <c r="AH203" s="102" t="e">
        <f t="shared" si="239"/>
        <v>#N/A</v>
      </c>
      <c r="AI203" s="102" t="e">
        <f t="shared" si="240"/>
        <v>#N/A</v>
      </c>
      <c r="AJ203" s="414" t="e">
        <f>IF(AJ202=0,0,IF(AND(AF203&gt;charge_ELS_quasi,AG203&gt;Charge_ELS_freq,AH203&gt;charge_ELU,AI203&gt;charge_ELA,$B203&gt;NDC!$H$22-0.1+MIN(3*$AJ$12,1.5)),0,1))</f>
        <v>#N/A</v>
      </c>
      <c r="AK203" s="86" t="b">
        <f t="shared" si="241"/>
        <v>0</v>
      </c>
      <c r="AL203" s="86">
        <f t="shared" si="270"/>
        <v>0.5</v>
      </c>
      <c r="AM203" s="86">
        <f t="shared" si="242"/>
        <v>0.5</v>
      </c>
      <c r="AN203" s="30" t="e">
        <f t="shared" ca="1" si="271"/>
        <v>#DIV/0!</v>
      </c>
      <c r="AO203" s="85" t="e">
        <f ca="1">IF(U203&lt;=Hypothèses!$V$7,Hypothèses!$W$7,IF(U203&lt;=Hypothèses!$V$8,Hypothèses!$W$8,IF(U203&lt;=Hypothèses!$V$9,Hypothèses!$W$9,IF(U203&lt;=Hypothèses!$V$10,Hypothèses!$W$10,IF(U203&lt;=Hypothèses!$V$11,Hypothèses!$W$11,IF(U203&lt;=Hypothèses!$V$12,Hypothèses!$W$12,IF(U203&lt;=Hypothèses!$V$13,Hypothèses!$W$13,IF(U203&lt;=Hypothèses!$V$14,Hypothèses!$W$14,IF(U203&lt;=Hypothèses!$V$15,Hypothèses!$W$15,IF(U203&lt;=Hypothèses!$V$16,Hypothèses!$W$16,IF(U203&lt;=Hypothèses!$V$17,Hypothèses!$W$17,IF(U203&lt;=Hypothèses!$V$18,Hypothèses!$W$18,""))))))))))))</f>
        <v>#DIV/0!</v>
      </c>
      <c r="AP203" s="87" t="e">
        <f t="shared" ca="1" si="317"/>
        <v>#DIV/0!</v>
      </c>
      <c r="AQ203" s="88" t="e">
        <f ca="1">IF(U203&lt;=Hypothèses!$V$7,Hypothèses!$X$7,IF(U203&lt;=Hypothèses!$V$8,Hypothèses!$X$8,IF(U203&lt;=Hypothèses!$V$9,Hypothèses!$X$9,IF(U203&lt;=Hypothèses!$V$10,Hypothèses!$X$10,IF(U203&lt;=Hypothèses!$V$11,Hypothèses!$X$11,IF(U203&lt;=Hypothèses!$V$12,Hypothèses!$X$12,IF(U203&lt;=Hypothèses!$V$13,Hypothèses!$X$13,IF(U203&lt;=Hypothèses!$V$14,Hypothèses!$X$14,IF(U203&lt;=Hypothèses!$V$15,Hypothèses!$X$15,IF(U203&lt;=Hypothèses!$V$16,Hypothèses!$X$16,IF(U203&lt;=Hypothèses!$U$17,Hypothèses!$W$17,IF(U203&lt;=Hypothèses!$U$18,Hypothèses!$W$18,""))))))))))))</f>
        <v>#DIV/0!</v>
      </c>
      <c r="AR203" s="95" t="e">
        <f t="shared" ca="1" si="272"/>
        <v>#DIV/0!</v>
      </c>
      <c r="AS203" s="101" t="e">
        <f t="shared" si="324"/>
        <v>#N/A</v>
      </c>
      <c r="AT203" s="91" t="e">
        <f t="shared" si="243"/>
        <v>#N/A</v>
      </c>
      <c r="AU203" s="30" t="e">
        <f t="shared" si="302"/>
        <v>#N/A</v>
      </c>
      <c r="AV203" s="30" t="e">
        <f t="shared" si="303"/>
        <v>#N/A</v>
      </c>
      <c r="AW203" s="31" t="e">
        <f>IF(OR(Hypothèses!$B$4=17,Hypothèses!$B$4=18,Hypothèses!$B$4=19,Hypothèses!$B$4=20),
IF($D203="Pressio.",
IF(OR($E203=3,$E203=1,$E203=4),AV203,AU203),
IF($D203="Pénétro.",
IF(OR($E203=3,$E203=1,$E203=4),AV203,AU203))),IF($D203="Pressio.",
IF($E203=3,AV203,AU203),
IF($D203="Pénétro.",
IF($E203=4,AV203,AU203))))</f>
        <v>#N/A</v>
      </c>
      <c r="AX203" s="31" t="e">
        <f>(IF(OR(Hypothèses!$B$4=17,Hypothèses!$B$4=18,Hypothèses!$B$4=19,Hypothèses!$B$4=20),
IF($D203="Pressio.",
IF(OR($E203=3,$E203=1,$E203=4),(PI()*AX$12^2)/4*(AT203*$W203*1000)/($H203*$B$5),(PI()*AX$12^2)/4*(AT203*$W203*1000)/($G203*$B$5)),
IF($D203="Pénétro.",
IF(OR($E203=4,$E203=1,$E203=5),(PI()*AX$12^2)/4*(AT203*$W203*1000)/($H203*$B$5),(PI()*AX$12^2)/4*(AT203*$W203*1000)/($G203*$B$5)))),
IF($D203="Pressio.",
IF($E203=3,(PI()*AX$12^2)/4*(AT203*$W203*1000)/($H203*$B$5),(PI()*AX$12^2)/4*(AT203*$W203*1000)/($G203*$B$5)),
IF($D203="Pénétro.",
IF($E203=4,(PI()*AX$12^2)/4*(AT203*$W203*1000)/($H203*$B$5),(PI()*AX$12^2)/4*(AT203*$W203*1000)/($G203*$B$5))))))/10</f>
        <v>#N/A</v>
      </c>
      <c r="AY203" s="102" t="e">
        <f>(VLOOKUP($B$3,'Coeff EC7'!$T$39:$X$59,2,0)*AW203+VLOOKUP($B$3,'Coeff EC7'!$T$65:$X$85,2,0)*Model0.1C!AX203)/1.1</f>
        <v>#N/A</v>
      </c>
      <c r="AZ203" s="102" t="e">
        <f>(VLOOKUP($B$3,'Coeff EC7'!$T$39:$X$59,3,0)*AW203+VLOOKUP($B$3,'Coeff EC7'!$T$65:$X$85,3,0)*Model0.1C!AX203)/0.9</f>
        <v>#N/A</v>
      </c>
      <c r="BA203" s="102" t="e">
        <f t="shared" si="273"/>
        <v>#N/A</v>
      </c>
      <c r="BB203" s="102" t="e">
        <f t="shared" si="274"/>
        <v>#N/A</v>
      </c>
      <c r="BC203" s="414" t="e">
        <f>IF(BC202=0,0,IF(AND(AY203&gt;charge_ELS_quasi,AZ203&gt;Charge_ELS_freq,BA203&gt;charge_ELU,BB203&gt;charge_ELA,$B203&gt;NDC!$H$22-0.1+MIN(3*$BC$12,1.5)),0,1))</f>
        <v>#N/A</v>
      </c>
      <c r="BD203" s="86" t="b">
        <f t="shared" si="244"/>
        <v>0</v>
      </c>
      <c r="BE203" s="86">
        <f t="shared" si="275"/>
        <v>0.5</v>
      </c>
      <c r="BF203" s="86">
        <f t="shared" si="245"/>
        <v>0.5</v>
      </c>
      <c r="BG203" s="30" t="e">
        <f t="shared" ca="1" si="276"/>
        <v>#DIV/0!</v>
      </c>
      <c r="BH203" s="85" t="e">
        <f ca="1">IF(AN203&lt;=Hypothèses!$V$7,Hypothèses!$W$7,IF(AN203&lt;=Hypothèses!$V$8,Hypothèses!$W$8,IF(AN203&lt;=Hypothèses!$V$9,Hypothèses!$W$9,IF(AN203&lt;=Hypothèses!$V$10,Hypothèses!$W$10,IF(AN203&lt;=Hypothèses!$V$11,Hypothèses!$W$11,IF(AN203&lt;=Hypothèses!$V$12,Hypothèses!$W$12,IF(AN203&lt;=Hypothèses!$V$13,Hypothèses!$W$13,IF(AN203&lt;=Hypothèses!$V$14,Hypothèses!$W$14,IF(AN203&lt;=Hypothèses!$V$15,Hypothèses!$W$15,IF(AN203&lt;=Hypothèses!$V$16,Hypothèses!$W$16,IF(AN203&lt;=Hypothèses!$V$17,Hypothèses!$W$17,IF(AN203&lt;=Hypothèses!$V$18,Hypothèses!$W$18,""))))))))))))</f>
        <v>#DIV/0!</v>
      </c>
      <c r="BI203" s="87" t="e">
        <f t="shared" ca="1" si="318"/>
        <v>#DIV/0!</v>
      </c>
      <c r="BJ203" s="88" t="e">
        <f ca="1">IF(AN203&lt;=Hypothèses!$V$7,Hypothèses!$X$7,IF(AN203&lt;=Hypothèses!$V$8,Hypothèses!$X$8,IF(AN203&lt;=Hypothèses!$V$9,Hypothèses!$X$9,IF(AN203&lt;=Hypothèses!$V$10,Hypothèses!$X$10,IF(AN203&lt;=Hypothèses!$V$11,Hypothèses!$X$11,IF(AN203&lt;=Hypothèses!$V$12,Hypothèses!$X$12,IF(AN203&lt;=Hypothèses!$V$13,Hypothèses!$X$13,IF(AN203&lt;=Hypothèses!$V$14,Hypothèses!$X$14,IF(AN203&lt;=Hypothèses!$V$15,Hypothèses!$X$15,IF(AN203&lt;=Hypothèses!$V$16,Hypothèses!$X$16,IF(AN203&lt;=Hypothèses!$U$17,Hypothèses!$W$17,IF(AN203&lt;=Hypothèses!$U$18,Hypothèses!$W$18,""))))))))))))</f>
        <v>#DIV/0!</v>
      </c>
      <c r="BK203" s="95" t="e">
        <f t="shared" ca="1" si="277"/>
        <v>#DIV/0!</v>
      </c>
      <c r="BL203" s="101" t="e">
        <f t="shared" si="325"/>
        <v>#N/A</v>
      </c>
      <c r="BM203" s="91" t="e">
        <f t="shared" si="246"/>
        <v>#N/A</v>
      </c>
      <c r="BN203" s="30" t="e">
        <f t="shared" si="304"/>
        <v>#N/A</v>
      </c>
      <c r="BO203" s="30" t="e">
        <f t="shared" si="305"/>
        <v>#N/A</v>
      </c>
      <c r="BP203" s="31" t="e">
        <f>IF(OR(Hypothèses!$B$4=17,Hypothèses!$B$4=18,Hypothèses!$B$4=19,Hypothèses!$B$4=20),
IF($D203="Pressio.",
IF(OR($E203=3,$E203=1,$E203=4),BO203,BN203),
IF($D203="Pénétro.",
IF(OR($E203=3,$E203=1,$E203=4),BO203,BN203))),IF($D203="Pressio.",
IF($E203=3,BO203,BN203),
IF($D203="Pénétro.",
IF($E203=4,BO203,BN203))))</f>
        <v>#N/A</v>
      </c>
      <c r="BQ203" s="31" t="e">
        <f>(IF(OR(Hypothèses!$B$4=17,Hypothèses!$B$4=18,Hypothèses!$B$4=19,Hypothèses!$B$4=20),
IF($D203="Pressio.",
IF(OR($E203=3,$E203=1,$E203=4),(PI()*BQ$12^2)/4*(BM203*$W203*1000)/($H203*$B$5),(PI()*BQ$12^2)/4*(BM203*$W203*1000)/($G203*$B$5)),
IF($D203="Pénétro.",
IF(OR($E203=4,$E203=1,$E203=5),(PI()*BQ$12^2)/4*(BM203*$W203*1000)/($H203*$B$5),(PI()*BQ$12^2)/4*(BM203*$W203*1000)/($G203*$B$5)))),
IF($D203="Pressio.",
IF($E203=3,(PI()*BQ$12^2)/4*(BM203*$W203*1000)/($H203*$B$5),(PI()*BQ$12^2)/4*(BM203*$W203*1000)/($G203*$B$5)),
IF($D203="Pénétro.",
IF($E203=4,(PI()*BQ$12^2)/4*(BM203*$W203*1000)/($H203*$B$5),(PI()*BQ$12^2)/4*(BM203*$W203*1000)/($G203*$B$5))))))/10</f>
        <v>#N/A</v>
      </c>
      <c r="BR203" s="102" t="e">
        <f>(VLOOKUP($B$3,'Coeff EC7'!$T$39:$X$59,2,0)*BP203+VLOOKUP($B$3,'Coeff EC7'!$T$65:$X$85,2,0)*Model0.1C!BQ203)/1.1</f>
        <v>#N/A</v>
      </c>
      <c r="BS203" s="102" t="e">
        <f>(VLOOKUP($B$3,'Coeff EC7'!$T$39:$X$59,3,0)*BP203+VLOOKUP($B$3,'Coeff EC7'!$T$65:$X$85,3,0)*Model0.1C!BQ203)/0.9</f>
        <v>#N/A</v>
      </c>
      <c r="BT203" s="102" t="e">
        <f t="shared" si="278"/>
        <v>#N/A</v>
      </c>
      <c r="BU203" s="102" t="e">
        <f t="shared" si="279"/>
        <v>#N/A</v>
      </c>
      <c r="BV203" s="414" t="e">
        <f>IF(BV202=0,0,IF(AND(BR203&gt;charge_ELS_quasi,BS203&gt;Charge_ELS_freq,BT203&gt;charge_ELU,BU203&gt;charge_ELA,$B203&gt;NDC!$H$22-0.1+MIN(3*$BV$12,1.5)),0,1))</f>
        <v>#N/A</v>
      </c>
      <c r="BW203" s="86" t="b">
        <f t="shared" si="247"/>
        <v>0</v>
      </c>
      <c r="BX203" s="86">
        <f t="shared" si="248"/>
        <v>0.5</v>
      </c>
      <c r="BY203" s="86">
        <f t="shared" si="249"/>
        <v>0.5</v>
      </c>
      <c r="BZ203" s="30" t="e">
        <f t="shared" ca="1" si="280"/>
        <v>#DIV/0!</v>
      </c>
      <c r="CA203" s="85" t="e">
        <f ca="1">IF(BG203&lt;=Hypothèses!$V$7,Hypothèses!$W$7,IF(BG203&lt;=Hypothèses!$V$8,Hypothèses!$W$8,IF(BG203&lt;=Hypothèses!$V$9,Hypothèses!$W$9,IF(BG203&lt;=Hypothèses!$V$10,Hypothèses!$W$10,IF(BG203&lt;=Hypothèses!$V$11,Hypothèses!$W$11,IF(BG203&lt;=Hypothèses!$V$12,Hypothèses!$W$12,IF(BG203&lt;=Hypothèses!$V$13,Hypothèses!$W$13,IF(BG203&lt;=Hypothèses!$V$14,Hypothèses!$W$14,IF(BG203&lt;=Hypothèses!$V$15,Hypothèses!$W$15,IF(BG203&lt;=Hypothèses!$V$16,Hypothèses!$W$16,IF(BG203&lt;=Hypothèses!$V$17,Hypothèses!$W$17,IF(BG203&lt;=Hypothèses!$V$18,Hypothèses!$W$18,""))))))))))))</f>
        <v>#DIV/0!</v>
      </c>
      <c r="CB203" s="87" t="e">
        <f t="shared" ca="1" si="319"/>
        <v>#DIV/0!</v>
      </c>
      <c r="CC203" s="88" t="e">
        <f ca="1">IF(BG203&lt;=Hypothèses!$V$7,Hypothèses!$X$7,IF(BG203&lt;=Hypothèses!$V$8,Hypothèses!$X$8,IF(BG203&lt;=Hypothèses!$V$9,Hypothèses!$X$9,IF(BG203&lt;=Hypothèses!$V$10,Hypothèses!$X$10,IF(BG203&lt;=Hypothèses!$V$11,Hypothèses!$X$11,IF(BG203&lt;=Hypothèses!$V$12,Hypothèses!$X$12,IF(BG203&lt;=Hypothèses!$V$13,Hypothèses!$X$13,IF(BG203&lt;=Hypothèses!$V$14,Hypothèses!$X$14,IF(BG203&lt;=Hypothèses!$V$15,Hypothèses!$X$15,IF(BG203&lt;=Hypothèses!$V$16,Hypothèses!$X$16,IF(BG203&lt;=Hypothèses!$U$17,Hypothèses!$W$17,IF(BG203&lt;=Hypothèses!$U$18,Hypothèses!$W$18,""))))))))))))</f>
        <v>#DIV/0!</v>
      </c>
      <c r="CD203" s="95" t="e">
        <f t="shared" ca="1" si="281"/>
        <v>#DIV/0!</v>
      </c>
      <c r="CE203" s="101" t="e">
        <f t="shared" si="326"/>
        <v>#N/A</v>
      </c>
      <c r="CF203" s="91" t="e">
        <f t="shared" si="250"/>
        <v>#N/A</v>
      </c>
      <c r="CG203" s="30" t="e">
        <f t="shared" si="306"/>
        <v>#N/A</v>
      </c>
      <c r="CH203" s="30" t="e">
        <f t="shared" si="307"/>
        <v>#N/A</v>
      </c>
      <c r="CI203" s="31" t="e">
        <f>IF(OR(Hypothèses!$B$4=17,Hypothèses!$B$4=18,Hypothèses!$B$4=19,Hypothèses!$B$4=20),
IF($D203="Pressio.",
IF(OR($E203=3,$E203=1,$E203=4),CH203,CG203),
IF($D203="Pénétro.",
IF(OR($E203=3,$E203=1,$E203=4),CH203,CG203))),IF($D203="Pressio.",
IF($E203=3,CH203,CG203),
IF($D203="Pénétro.",
IF($E203=4,CH203,CG203))))</f>
        <v>#N/A</v>
      </c>
      <c r="CJ203" s="31" t="e">
        <f>(IF(OR(Hypothèses!$B$4=17,Hypothèses!$B$4=18,Hypothèses!$B$4=19,Hypothèses!$B$4=20),
IF($D203="Pressio.",
IF(OR($E203=3,$E203=1,$E203=4),(PI()*CJ$12^2)/4*(CF203*$W203*1000)/($H203*$B$5),(PI()*CJ$12^2)/4*(CF203*$W203*1000)/($G203*$B$5)),
IF($D203="Pénétro.",
IF(OR($E203=4,$E203=1,$E203=5),(PI()*CJ$12^2)/4*(CF203*$W203*1000)/($H203*$B$5),(PI()*CJ$12^2)/4*(CF203*$W203*1000)/($G203*$B$5)))),
IF($D203="Pressio.",
IF($E203=3,(PI()*CJ$12^2)/4*(CF203*$W203*1000)/($H203*$B$5),(PI()*CJ$12^2)/4*(CF203*$W203*1000)/($G203*$B$5)),
IF($D203="Pénétro.",
IF($E203=4,(PI()*CJ$12^2)/4*(CF203*$W203*1000)/($H203*$B$5),(PI()*CJ$12^2)/4*(CF203*$W203*1000)/($G203*$B$5))))))/10</f>
        <v>#N/A</v>
      </c>
      <c r="CK203" s="102" t="e">
        <f>(VLOOKUP($B$3,'Coeff EC7'!$T$39:$X$59,2,0)*CI203+VLOOKUP($B$3,'Coeff EC7'!$T$65:$X$85,2,0)*Model0.1C!CJ203)/1.1</f>
        <v>#N/A</v>
      </c>
      <c r="CL203" s="102" t="e">
        <f>(VLOOKUP($B$3,'Coeff EC7'!$T$39:$X$59,3,0)*CI203+VLOOKUP($B$3,'Coeff EC7'!$T$65:$X$85,3,0)*Model0.1C!CJ203)/0.9</f>
        <v>#N/A</v>
      </c>
      <c r="CM203" s="102" t="e">
        <f t="shared" si="282"/>
        <v>#N/A</v>
      </c>
      <c r="CN203" s="102" t="e">
        <f t="shared" si="283"/>
        <v>#N/A</v>
      </c>
      <c r="CO203" s="414" t="e">
        <f>IF(CO202=0,0,IF(AND(CK203&gt;charge_ELS_quasi,CL203&gt;Charge_ELS_freq,CM203&gt;charge_ELU,CN203&gt;charge_ELA,$B203&gt;NDC!$H$22-0.1+MIN(3*$CO$12,1.5)),0,1))</f>
        <v>#N/A</v>
      </c>
      <c r="CP203" s="86" t="b">
        <f t="shared" si="251"/>
        <v>0</v>
      </c>
      <c r="CQ203" s="86">
        <f t="shared" si="252"/>
        <v>0.5</v>
      </c>
      <c r="CR203" s="86">
        <f t="shared" si="253"/>
        <v>0.5</v>
      </c>
      <c r="CS203" s="30" t="e">
        <f t="shared" ca="1" si="284"/>
        <v>#DIV/0!</v>
      </c>
      <c r="CT203" s="85" t="e">
        <f ca="1">IF(BZ203&lt;=Hypothèses!$V$7,Hypothèses!$W$7,IF(BZ203&lt;=Hypothèses!$V$8,Hypothèses!$W$8,IF(BZ203&lt;=Hypothèses!$V$9,Hypothèses!$W$9,IF(BZ203&lt;=Hypothèses!$V$10,Hypothèses!$W$10,IF(BZ203&lt;=Hypothèses!$V$11,Hypothèses!$W$11,IF(BZ203&lt;=Hypothèses!$V$12,Hypothèses!$W$12,IF(BZ203&lt;=Hypothèses!$V$13,Hypothèses!$W$13,IF(BZ203&lt;=Hypothèses!$V$14,Hypothèses!$W$14,IF(BZ203&lt;=Hypothèses!$V$15,Hypothèses!$W$15,IF(BZ203&lt;=Hypothèses!$V$16,Hypothèses!$W$16,IF(BZ203&lt;=Hypothèses!$V$17,Hypothèses!$W$17,IF(BZ203&lt;=Hypothèses!$V$18,Hypothèses!$W$18,""))))))))))))</f>
        <v>#DIV/0!</v>
      </c>
      <c r="CU203" s="87" t="e">
        <f t="shared" ca="1" si="320"/>
        <v>#DIV/0!</v>
      </c>
      <c r="CV203" s="88" t="e">
        <f ca="1">IF(BZ203&lt;=Hypothèses!$V$7,Hypothèses!$X$7,IF(BZ203&lt;=Hypothèses!$V$8,Hypothèses!$X$8,IF(BZ203&lt;=Hypothèses!$V$9,Hypothèses!$X$9,IF(BZ203&lt;=Hypothèses!$V$10,Hypothèses!$X$10,IF(BZ203&lt;=Hypothèses!$V$11,Hypothèses!$X$11,IF(BZ203&lt;=Hypothèses!$V$12,Hypothèses!$X$12,IF(BZ203&lt;=Hypothèses!$V$13,Hypothèses!$X$13,IF(BZ203&lt;=Hypothèses!$V$14,Hypothèses!$X$14,IF(BZ203&lt;=Hypothèses!$V$15,Hypothèses!$X$15,IF(BZ203&lt;=Hypothèses!$V$16,Hypothèses!$X$16,IF(BZ203&lt;=Hypothèses!$U$17,Hypothèses!$W$17,IF(BZ203&lt;=Hypothèses!$U$18,Hypothèses!$W$18,""))))))))))))</f>
        <v>#DIV/0!</v>
      </c>
      <c r="CW203" s="95" t="e">
        <f t="shared" ca="1" si="285"/>
        <v>#DIV/0!</v>
      </c>
      <c r="CX203" s="101" t="e">
        <f t="shared" si="327"/>
        <v>#N/A</v>
      </c>
      <c r="CY203" s="91" t="e">
        <f t="shared" si="254"/>
        <v>#N/A</v>
      </c>
      <c r="CZ203" s="30" t="e">
        <f t="shared" si="308"/>
        <v>#N/A</v>
      </c>
      <c r="DA203" s="30" t="e">
        <f t="shared" si="309"/>
        <v>#N/A</v>
      </c>
      <c r="DB203" s="31" t="e">
        <f>IF(OR(Hypothèses!$B$4=17,Hypothèses!$B$4=18,Hypothèses!$B$4=19,Hypothèses!$B$4=20),
IF($D203="Pressio.",
IF(OR($E203=3,$E203=1,$E203=4),DA203,CZ203),
IF($D203="Pénétro.",
IF(OR($E203=3,$E203=1,$E203=4),DA203,CZ203))),IF($D203="Pressio.",
IF($E203=3,DA203,CZ203),
IF($D203="Pénétro.",
IF($E203=4,DA203,CZ203))))</f>
        <v>#N/A</v>
      </c>
      <c r="DC203" s="31" t="e">
        <f>(IF(OR(Hypothèses!$B$4=17,Hypothèses!$B$4=18,Hypothèses!$B$4=19,Hypothèses!$B$4=20),
IF($D203="Pressio.",
IF(OR($E203=3,$E203=1,$E203=4),(PI()*DC$12^2)/4*(CY203*$W203*1000)/($H203*$B$5),(PI()*DC$12^2)/4*(CY203*$W203*1000)/($G203*$B$5)),
IF($D203="Pénétro.",
IF(OR($E203=4,$E203=1,$E203=5),(PI()*DC$12^2)/4*(CY203*$W203*1000)/($H203*$B$5),(PI()*DC$12^2)/4*(CY203*$W203*1000)/($G203*$B$5)))),
IF($D203="Pressio.",
IF($E203=3,(PI()*DC$12^2)/4*(CY203*$W203*1000)/($H203*$B$5),(PI()*DC$12^2)/4*(CY203*$W203*1000)/($G203*$B$5)),
IF($D203="Pénétro.",
IF($E203=4,(PI()*DC$12^2)/4*(CY203*$W203*1000)/($H203*$B$5),(PI()*DC$12^2)/4*(CY203*$W203*1000)/($G203*$B$5))))))/10</f>
        <v>#N/A</v>
      </c>
      <c r="DD203" s="102" t="e">
        <f>(VLOOKUP($B$3,'Coeff EC7'!$T$39:$X$59,2,0)*DB203+VLOOKUP($B$3,'Coeff EC7'!$T$65:$X$85,2,0)*Model0.1C!DC203)/1.1</f>
        <v>#N/A</v>
      </c>
      <c r="DE203" s="102" t="e">
        <f>(VLOOKUP($B$3,'Coeff EC7'!$T$39:$X$59,3,0)*DB203+VLOOKUP($B$3,'Coeff EC7'!$T$65:$X$85,3,0)*Model0.1C!DC203)/0.9</f>
        <v>#N/A</v>
      </c>
      <c r="DF203" s="102" t="e">
        <f t="shared" si="286"/>
        <v>#N/A</v>
      </c>
      <c r="DG203" s="102" t="e">
        <f t="shared" si="287"/>
        <v>#N/A</v>
      </c>
      <c r="DH203" s="414" t="e">
        <f>IF(DH202=0,0,IF(AND(DD203&gt;charge_ELS_quasi,DE203&gt;Charge_ELS_freq,DF203&gt;charge_ELU,DG203&gt;charge_ELA,$B203&gt;NDC!$H$22-0.1+MIN(3*$DH$12,1.5)),0,1))</f>
        <v>#N/A</v>
      </c>
      <c r="DI203" s="86" t="b">
        <f t="shared" si="255"/>
        <v>0</v>
      </c>
      <c r="DJ203" s="86">
        <f t="shared" si="256"/>
        <v>0.5</v>
      </c>
      <c r="DK203" s="86">
        <f t="shared" si="257"/>
        <v>0.5</v>
      </c>
      <c r="DL203" s="30" t="e">
        <f t="shared" ca="1" si="288"/>
        <v>#DIV/0!</v>
      </c>
      <c r="DM203" s="85" t="e">
        <f ca="1">IF(CS203&lt;=Hypothèses!$V$7,Hypothèses!$W$7,IF(CS203&lt;=Hypothèses!$V$8,Hypothèses!$W$8,IF(CS203&lt;=Hypothèses!$V$9,Hypothèses!$W$9,IF(CS203&lt;=Hypothèses!$V$10,Hypothèses!$W$10,IF(CS203&lt;=Hypothèses!$V$11,Hypothèses!$W$11,IF(CS203&lt;=Hypothèses!$V$12,Hypothèses!$W$12,IF(CS203&lt;=Hypothèses!$V$13,Hypothèses!$W$13,IF(CS203&lt;=Hypothèses!$V$14,Hypothèses!$W$14,IF(CS203&lt;=Hypothèses!$V$15,Hypothèses!$W$15,IF(CS203&lt;=Hypothèses!$V$16,Hypothèses!$W$16,IF(CS203&lt;=Hypothèses!$V$17,Hypothèses!$W$17,IF(CS203&lt;=Hypothèses!$V$18,Hypothèses!$W$18,""))))))))))))</f>
        <v>#DIV/0!</v>
      </c>
      <c r="DN203" s="87" t="e">
        <f t="shared" ca="1" si="321"/>
        <v>#DIV/0!</v>
      </c>
      <c r="DO203" s="88" t="e">
        <f ca="1">IF(CS203&lt;=Hypothèses!$V$7,Hypothèses!$X$7,IF(CS203&lt;=Hypothèses!$V$8,Hypothèses!$X$8,IF(CS203&lt;=Hypothèses!$V$9,Hypothèses!$X$9,IF(CS203&lt;=Hypothèses!$V$10,Hypothèses!$X$10,IF(CS203&lt;=Hypothèses!$V$11,Hypothèses!$X$11,IF(CS203&lt;=Hypothèses!$V$12,Hypothèses!$X$12,IF(CS203&lt;=Hypothèses!$V$13,Hypothèses!$X$13,IF(CS203&lt;=Hypothèses!$V$14,Hypothèses!$X$14,IF(CS203&lt;=Hypothèses!$V$15,Hypothèses!$X$15,IF(CS203&lt;=Hypothèses!$V$16,Hypothèses!$X$16,IF(CS203&lt;=Hypothèses!$U$17,Hypothèses!$W$17,IF(CS203&lt;=Hypothèses!$U$18,Hypothèses!$W$18,""))))))))))))</f>
        <v>#DIV/0!</v>
      </c>
      <c r="DP203" s="95" t="e">
        <f t="shared" ca="1" si="289"/>
        <v>#DIV/0!</v>
      </c>
      <c r="DQ203" s="101" t="e">
        <f t="shared" si="328"/>
        <v>#N/A</v>
      </c>
      <c r="DR203" s="91" t="e">
        <f t="shared" si="258"/>
        <v>#N/A</v>
      </c>
      <c r="DS203" s="30" t="e">
        <f t="shared" si="310"/>
        <v>#N/A</v>
      </c>
      <c r="DT203" s="30" t="e">
        <f t="shared" si="311"/>
        <v>#N/A</v>
      </c>
      <c r="DU203" s="31" t="e">
        <f>IF(OR(Hypothèses!$B$4=17,Hypothèses!$B$4=18,Hypothèses!$B$4=19,Hypothèses!$B$4=20),
IF($D203="Pressio.",
IF(OR($E203=3,$E203=1,$E203=4),DT203,DS203),
IF($D203="Pénétro.",
IF(OR($E203=3,$E203=1,$E203=4),DT203,DS203))),IF($D203="Pressio.",
IF($E203=3,DT203,DS203),
IF($D203="Pénétro.",
IF($E203=4,DT203,DS203))))</f>
        <v>#N/A</v>
      </c>
      <c r="DV203" s="31" t="e">
        <f>(IF(OR(Hypothèses!$B$4=17,Hypothèses!$B$4=18,Hypothèses!$B$4=19,Hypothèses!$B$4=20),
IF($D203="Pressio.",
IF(OR($E203=3,$E203=1,$E203=4),(PI()*DV$12^2)/4*(DR203*$W203*1000)/($H203*$B$5),(PI()*DV$12^2)/4*(DR203*$W203*1000)/($G203*$B$5)),
IF($D203="Pénétro.",
IF(OR($E203=4,$E203=1,$E203=5),(PI()*DV$12^2)/4*(DR203*$W203*1000)/($H203*$B$5),(PI()*DV$12^2)/4*(DR203*$W203*1000)/($G203*$B$5)))),
IF($D203="Pressio.",
IF($E203=3,(PI()*DV$12^2)/4*(DR203*$W203*1000)/($H203*$B$5),(PI()*DV$12^2)/4*(DR203*$W203*1000)/($G203*$B$5)),
IF($D203="Pénétro.",
IF($E203=4,(PI()*DV$12^2)/4*(DR203*$W203*1000)/($H203*$B$5),(PI()*DV$12^2)/4*(DR203*$W203*1000)/($G203*$B$5))))))/10</f>
        <v>#N/A</v>
      </c>
      <c r="DW203" s="102" t="e">
        <f>(VLOOKUP($B$3,'Coeff EC7'!$T$39:$X$59,2,0)*DU203+VLOOKUP($B$3,'Coeff EC7'!$T$65:$X$85,2,0)*Model0.1C!DV203)/1.1</f>
        <v>#N/A</v>
      </c>
      <c r="DX203" s="102" t="e">
        <f>(VLOOKUP($B$3,'Coeff EC7'!$T$39:$X$59,3,0)*DU203+VLOOKUP($B$3,'Coeff EC7'!$T$65:$X$85,3,0)*Model0.1C!DV203)/0.9</f>
        <v>#N/A</v>
      </c>
      <c r="DY203" s="102" t="e">
        <f t="shared" si="290"/>
        <v>#N/A</v>
      </c>
      <c r="DZ203" s="102" t="e">
        <f t="shared" si="291"/>
        <v>#N/A</v>
      </c>
      <c r="EA203" s="414" t="e">
        <f>IF(EA202=0,0,IF(AND(DW203&gt;charge_ELS_quasi,DX203&gt;Charge_ELS_freq,DY203&gt;charge_ELU,DZ203&gt;charge_ELA,$B203&gt;NDC!$H$22-0.1+MIN(3*$EA$12,1.5)),0,1))</f>
        <v>#N/A</v>
      </c>
      <c r="EB203" s="86" t="b">
        <f t="shared" si="259"/>
        <v>0</v>
      </c>
      <c r="EC203" s="418">
        <f t="shared" si="260"/>
        <v>0.51</v>
      </c>
      <c r="ED203" s="86">
        <f t="shared" si="261"/>
        <v>0.51</v>
      </c>
      <c r="EE203" s="30" t="e">
        <f t="shared" ca="1" si="292"/>
        <v>#DIV/0!</v>
      </c>
      <c r="EF203" s="85" t="e">
        <f ca="1">IF(DL203&lt;=Hypothèses!$V$7,Hypothèses!$W$7,IF(DL203&lt;=Hypothèses!$V$8,Hypothèses!$W$8,IF(DL203&lt;=Hypothèses!$V$9,Hypothèses!$W$9,IF(DL203&lt;=Hypothèses!$V$10,Hypothèses!$W$10,IF(DL203&lt;=Hypothèses!$V$11,Hypothèses!$W$11,IF(DL203&lt;=Hypothèses!$V$12,Hypothèses!$W$12,IF(DL203&lt;=Hypothèses!$V$13,Hypothèses!$W$13,IF(DL203&lt;=Hypothèses!$V$14,Hypothèses!$W$14,IF(DL203&lt;=Hypothèses!$V$15,Hypothèses!$W$15,IF(DL203&lt;=Hypothèses!$V$16,Hypothèses!$W$16,IF(DL203&lt;=Hypothèses!$V$17,Hypothèses!$W$17,IF(DL203&lt;=Hypothèses!$V$18,Hypothèses!$W$18,""))))))))))))</f>
        <v>#DIV/0!</v>
      </c>
      <c r="EG203" s="87" t="e">
        <f t="shared" ca="1" si="322"/>
        <v>#DIV/0!</v>
      </c>
      <c r="EH203" s="88" t="e">
        <f ca="1">IF(DL203&lt;=Hypothèses!$V$7,Hypothèses!$X$7,IF(DL203&lt;=Hypothèses!$V$8,Hypothèses!$X$8,IF(DL203&lt;=Hypothèses!$V$9,Hypothèses!$X$9,IF(DL203&lt;=Hypothèses!$V$10,Hypothèses!$X$10,IF(DL203&lt;=Hypothèses!$V$11,Hypothèses!$X$11,IF(DL203&lt;=Hypothèses!$V$12,Hypothèses!$X$12,IF(DL203&lt;=Hypothèses!$V$13,Hypothèses!$X$13,IF(DL203&lt;=Hypothèses!$V$14,Hypothèses!$X$14,IF(DL203&lt;=Hypothèses!$V$15,Hypothèses!$X$15,IF(DL203&lt;=Hypothèses!$V$16,Hypothèses!$X$16,IF(DL203&lt;=Hypothèses!$U$17,Hypothèses!$W$17,IF(DL203&lt;=Hypothèses!$U$18,Hypothèses!$W$18,""))))))))))))</f>
        <v>#DIV/0!</v>
      </c>
      <c r="EI203" s="95" t="e">
        <f t="shared" ca="1" si="293"/>
        <v>#DIV/0!</v>
      </c>
      <c r="EJ203" s="101" t="e">
        <f t="shared" si="329"/>
        <v>#N/A</v>
      </c>
      <c r="EK203" s="91" t="e">
        <f t="shared" si="262"/>
        <v>#N/A</v>
      </c>
      <c r="EL203" s="30" t="e">
        <f t="shared" si="312"/>
        <v>#N/A</v>
      </c>
      <c r="EM203" s="30" t="e">
        <f t="shared" si="313"/>
        <v>#N/A</v>
      </c>
      <c r="EN203" s="31" t="e">
        <f>IF(OR(Hypothèses!$B$4=17,Hypothèses!$B$4=18,Hypothèses!$B$4=19,Hypothèses!$B$4=20),
IF($D203="Pressio.",
IF(OR($E203=3,$E203=1,$E203=4),EM203,EL203),
IF($D203="Pénétro.",
IF(OR($E203=3,$E203=1,$E203=4),EM203,EL203))),IF($D203="Pressio.",
IF($E203=3,EM203,EL203),
IF($D203="Pénétro.",
IF($E203=4,EM203,EL203))))</f>
        <v>#N/A</v>
      </c>
      <c r="EO203" s="31" t="e">
        <f>(IF(OR(Hypothèses!$B$4=17,Hypothèses!$B$4=18,Hypothèses!$B$4=19,Hypothèses!$B$4=20),
IF($D203="Pressio.",
IF(OR($E203=3,$E203=1,$E203=4),(PI()*EO$12^2)/4*(EK203*$W203*1000)/($H203*$B$5),(PI()*EO$12^2)/4*(EK203*$W203*1000)/($G203*$B$5)),
IF($D203="Pénétro.",
IF(OR($E203=4,$E203=1,$E203=5),(PI()*EO$12^2)/4*(EK203*$W203*1000)/($H203*$B$5),(PI()*EO$12^2)/4*(EK203*$W203*1000)/($G203*$B$5)))),
IF($D203="Pressio.",
IF($E203=3,(PI()*EO$12^2)/4*(EK203*$W203*1000)/($H203*$B$5),(PI()*EO$12^2)/4*(EK203*$W203*1000)/($G203*$B$5)),
IF($D203="Pénétro.",
IF($E203=4,(PI()*EO$12^2)/4*(EK203*$W203*1000)/($H203*$B$5),(PI()*EO$12^2)/4*(EK203*$W203*1000)/($G203*$B$5))))))/10</f>
        <v>#N/A</v>
      </c>
      <c r="EP203" s="102" t="e">
        <f>(VLOOKUP($B$3,'Coeff EC7'!$T$39:$X$59,2,0)*EN203+VLOOKUP($B$3,'Coeff EC7'!$T$65:$X$85,2,0)*Model0.1C!EO203)/1.1</f>
        <v>#N/A</v>
      </c>
      <c r="EQ203" s="102" t="e">
        <f>(VLOOKUP($B$3,'Coeff EC7'!$T$39:$X$59,3,0)*EN203+VLOOKUP($B$3,'Coeff EC7'!$T$65:$X$85,3,0)*Model0.1C!EO203)/0.9</f>
        <v>#N/A</v>
      </c>
      <c r="ER203" s="102" t="e">
        <f t="shared" si="294"/>
        <v>#N/A</v>
      </c>
      <c r="ES203" s="102" t="e">
        <f t="shared" si="295"/>
        <v>#N/A</v>
      </c>
      <c r="ET203" s="414" t="e">
        <f>IF(ET202=0,0,IF(AND(EP203&gt;charge_ELS_quasi,EQ203&gt;Charge_ELS_freq,ER203&gt;charge_ELU,ES203&gt;charge_ELA,$B203&gt;NDC!$H$22-0.1+MIN(3*$ET$12,1.5)),0,1))</f>
        <v>#N/A</v>
      </c>
      <c r="EU203" s="86" t="b">
        <f t="shared" si="263"/>
        <v>0</v>
      </c>
      <c r="EV203" s="86">
        <f t="shared" si="264"/>
        <v>0.61</v>
      </c>
      <c r="EW203" s="86">
        <f t="shared" si="265"/>
        <v>0.61</v>
      </c>
      <c r="EX203" s="30" t="e">
        <f t="shared" ca="1" si="296"/>
        <v>#DIV/0!</v>
      </c>
      <c r="EY203" s="85" t="e">
        <f ca="1">IF(EE203&lt;=Hypothèses!$V$7,Hypothèses!$W$7,IF(EE203&lt;=Hypothèses!$V$8,Hypothèses!$W$8,IF(EE203&lt;=Hypothèses!$V$9,Hypothèses!$W$9,IF(EE203&lt;=Hypothèses!$V$10,Hypothèses!$W$10,IF(EE203&lt;=Hypothèses!$V$11,Hypothèses!$W$11,IF(EE203&lt;=Hypothèses!$V$12,Hypothèses!$W$12,IF(EE203&lt;=Hypothèses!$V$13,Hypothèses!$W$13,IF(EE203&lt;=Hypothèses!$V$14,Hypothèses!$W$14,IF(EE203&lt;=Hypothèses!$V$15,Hypothèses!$W$15,IF(EE203&lt;=Hypothèses!$V$16,Hypothèses!$W$16,IF(EE203&lt;=Hypothèses!$V$17,Hypothèses!$W$17,IF(EE203&lt;=Hypothèses!$V$18,Hypothèses!$W$18,""))))))))))))</f>
        <v>#DIV/0!</v>
      </c>
      <c r="EZ203" s="87" t="e">
        <f t="shared" ca="1" si="323"/>
        <v>#DIV/0!</v>
      </c>
      <c r="FA203" s="88" t="e">
        <f ca="1">IF(EE203&lt;=Hypothèses!$V$7,Hypothèses!$X$7,IF(EE203&lt;=Hypothèses!$V$8,Hypothèses!$X$8,IF(EE203&lt;=Hypothèses!$V$9,Hypothèses!$X$9,IF(EE203&lt;=Hypothèses!$V$10,Hypothèses!$X$10,IF(EE203&lt;=Hypothèses!$V$11,Hypothèses!$X$11,IF(EE203&lt;=Hypothèses!$V$12,Hypothèses!$X$12,IF(EE203&lt;=Hypothèses!$V$13,Hypothèses!$X$13,IF(EE203&lt;=Hypothèses!$V$14,Hypothèses!$X$14,IF(EE203&lt;=Hypothèses!$V$15,Hypothèses!$X$15,IF(EE203&lt;=Hypothèses!$V$16,Hypothèses!$X$16,IF(EE203&lt;=Hypothèses!$U$17,Hypothèses!$W$17,IF(EE203&lt;=Hypothèses!$U$18,Hypothèses!$W$18,""))))))))))))</f>
        <v>#DIV/0!</v>
      </c>
      <c r="FB203" s="95" t="e">
        <f t="shared" ca="1" si="297"/>
        <v>#DIV/0!</v>
      </c>
      <c r="FC203" s="101" t="e">
        <f t="shared" si="330"/>
        <v>#N/A</v>
      </c>
      <c r="FD203" s="91" t="e">
        <f t="shared" si="266"/>
        <v>#N/A</v>
      </c>
      <c r="FE203" s="30" t="e">
        <f t="shared" si="314"/>
        <v>#N/A</v>
      </c>
      <c r="FF203" s="30" t="e">
        <f t="shared" si="315"/>
        <v>#N/A</v>
      </c>
      <c r="FG203" s="31" t="e">
        <f>IF(OR(Hypothèses!$B$4=17,Hypothèses!$B$4=18,Hypothèses!$B$4=19,Hypothèses!$B$4=20),
IF($D203="Pressio.",
IF(OR($E203=3,$E203=1,$E203=4),FF203,FE203),
IF($D203="Pénétro.",
IF(OR($E203=3,$E203=1,$E203=4),FF203,FE203))),IF($D203="Pressio.",
IF($E203=3,FF203,FE203),
IF($D203="Pénétro.",
IF($E203=4,FF203,FE203))))</f>
        <v>#N/A</v>
      </c>
      <c r="FH203" s="31" t="e">
        <f>(IF(OR(Hypothèses!$B$4=17,Hypothèses!$B$4=18,Hypothèses!$B$4=19,Hypothèses!$B$4=20),
IF($D203="Pressio.",
IF(OR($E203=3,$E203=1,$E203=4),(PI()*FH$12^2)/4*(FD203*$W203*1000)/($H203*$B$5),(PI()*FH$12^2)/4*(FD203*$W203*1000)/($G203*$B$5)),
IF($D203="Pénétro.",
IF(OR($E203=4,$E203=1,$E203=5),(PI()*FH$12^2)/4*(FD203*$W203*1000)/($H203*$B$5),(PI()*FH$12^2)/4*(FD203*$W203*1000)/($G203*$B$5)))),
IF($D203="Pressio.",
IF($E203=3,(PI()*FH$12^2)/4*(FD203*$W203*1000)/($H203*$B$5),(PI()*FH$12^2)/4*(FD203*$W203*1000)/($G203*$B$5)),
IF($D203="Pénétro.",
IF($E203=4,(PI()*FH$12^2)/4*(FD203*$W203*1000)/($H203*$B$5),(PI()*FH$12^2)/4*(FD203*$W203*1000)/($G203*$B$5))))))/10</f>
        <v>#N/A</v>
      </c>
      <c r="FI203" s="102" t="e">
        <f>(VLOOKUP($B$3,'Coeff EC7'!$T$39:$X$59,2,0)*FG203+VLOOKUP($B$3,'Coeff EC7'!$T$65:$X$85,2,0)*Model0.1C!FH203)/1.1</f>
        <v>#N/A</v>
      </c>
      <c r="FJ203" s="102" t="e">
        <f>(VLOOKUP($B$3,'Coeff EC7'!$T$39:$X$59,3,0)*FG203+VLOOKUP($B$3,'Coeff EC7'!$T$65:$X$85,3,0)*Model0.1C!FH203)/0.9</f>
        <v>#N/A</v>
      </c>
      <c r="FK203" s="102" t="e">
        <f t="shared" si="298"/>
        <v>#N/A</v>
      </c>
      <c r="FL203" s="102" t="e">
        <f t="shared" si="299"/>
        <v>#N/A</v>
      </c>
      <c r="FM203" s="414" t="e">
        <f>IF(FM202=0,0,IF(AND(FI203&gt;charge_ELS_quasi,FJ203&gt;Charge_ELS_freq,FK203&gt;charge_ELU,FL203&gt;charge_ELA,$B203&gt;NDC!$H$22-0.1+MIN(3*$FM$12,1.5)),0,1))</f>
        <v>#N/A</v>
      </c>
    </row>
    <row r="204" spans="1:169">
      <c r="A204" s="96">
        <f t="shared" si="267"/>
        <v>80.900000000001086</v>
      </c>
      <c r="B204" s="97">
        <v>19.100000000000001</v>
      </c>
      <c r="C204" s="81">
        <f>IF(B204&lt;=Hypothèses!$C$7,Hypothèses!$A$7,IF(B204&lt;=Hypothèses!$C$8,Hypothèses!$A$8,IF(B204&lt;=Hypothèses!$C$9,Hypothèses!$A$9,IF(B204&lt;=Hypothèses!$C$10,Hypothèses!$A$10,IF(B204&lt;=Hypothèses!$C$11,Hypothèses!$A$11,IF(B204&lt;=Hypothèses!$C$12,Hypothèses!$A$12,IF(B204&lt;=Hypothèses!$C$13,Hypothèses!$A$13,IF(B204&lt;=Hypothèses!$C$14,Hypothèses!$A$14,IF(B204&lt;=Hypothèses!$C$15,Hypothèses!$A$15,IF(B204&lt;=Hypothèses!$C$16,Hypothèses!$A$16,IF(B204&lt;=Hypothèses!$C$17,Hypothèses!$A$17,IF(B204&lt;=Hypothèses!$C$18,Hypothèses!$A$18,C203))))))))))))</f>
        <v>11</v>
      </c>
      <c r="D204" s="82" t="str">
        <f>IF(B204&lt;=Hypothèses!$C$7,Hypothèses!$R$7,IF(B204&lt;=Hypothèses!$C$8,Hypothèses!$R$8,IF(B204&lt;=Hypothèses!$C$9,Hypothèses!$R$9,IF(B204&lt;=Hypothèses!$C$10,Hypothèses!$R$10,IF(B204&lt;=Hypothèses!$C$11,Hypothèses!$R$11,IF(B204&lt;=Hypothèses!$C$12,Hypothèses!$R$12,IF(B204&lt;=Hypothèses!$C$13,Hypothèses!$R$13,IF(B204&lt;=Hypothèses!$C$14,Hypothèses!$R$14,IF(B204&lt;=Hypothèses!$C$15,Hypothèses!$R$15,IF(B204&lt;=Hypothèses!$C$16,Hypothèses!$R$16,IF(B204&lt;=Hypothèses!$C$17,Hypothèses!$R$17,IF(B204&lt;=Hypothèses!$C$18,Hypothèses!$R$18,D203))))))))))))</f>
        <v>Pressio.</v>
      </c>
      <c r="E204" s="82" t="e">
        <f>IF(B204&lt;=Hypothèses!$C$7,Hypothèses!$G$7,IF(B204&lt;=Hypothèses!$C$8,Hypothèses!$G$8,IF(B204&lt;=Hypothèses!$C$9,Hypothèses!$G$9,IF(B204&lt;=Hypothèses!$C$10,Hypothèses!$G$10,IF(B204&lt;=Hypothèses!$C$11,Hypothèses!$G$11,IF(B204&lt;=Hypothèses!$C$12,Hypothèses!$G$12,IF(B204&lt;=Hypothèses!$C$13,Hypothèses!$G$13,IF(B204&lt;=Hypothèses!$C$14,Hypothèses!$G$14,IF(B204&lt;=Hypothèses!$C$15,Hypothèses!$G$15,IF(B204&lt;=Hypothèses!$C$16,Hypothèses!$G$16,IF(B204&lt;=Hypothèses!$C$17,Hypothèses!$G$17,IF(B204&lt;=Hypothèses!$C$18,Hypothèses!$G$18,E203))))))))))))</f>
        <v>#N/A</v>
      </c>
      <c r="F204" s="82" t="str">
        <f>IF(B204&lt;=Hypothèses!$C$7,Hypothèses!$F$7,IF(B204&lt;=Hypothèses!$C$8,Hypothèses!$F$8,IF(B204&lt;=Hypothèses!$C$9,Hypothèses!$F$9,IF(B204&lt;=Hypothèses!$C$10,Hypothèses!$F$10,IF(B204&lt;=Hypothèses!$C$11,Hypothèses!$F$11,IF(B204&lt;=Hypothèses!$C$12,Hypothèses!$F$12,IF(B204&lt;=Hypothèses!$C$13,Hypothèses!$F$13,IF(B204&lt;=Hypothèses!$C$14,Hypothèses!$F$14,IF(B204&lt;=Hypothèses!$C$15,Hypothèses!$F$15,IF(B204&lt;=Hypothèses!$C$16,Hypothèses!$F$16,IF(B204&lt;=Hypothèses!$C$17,Hypothèses!$F$17,IF(B204&lt;=Hypothèses!$C$18,Hypothèses!$F$18,F203))))))))))))</f>
        <v/>
      </c>
      <c r="G204" s="91">
        <f t="array" ref="G204">INDEX('Coeff EC7'!$U$7:$X$27,
MATCH(Model0.1C!$B$3,'Coeff EC7'!$T$7:$T$27,0),
MATCH(Model0.1C!$D204&amp;Model0.1C!$B$4,
'Coeff EC7'!$U$6:$X$6&amp;
'Coeff EC7'!$U$5:$X$5,0))</f>
        <v>1.1499999999999999</v>
      </c>
      <c r="H204" s="91">
        <f t="array" ref="H204">INDEX('Coeff EC7'!$Y$7:$AB$27,
MATCH(Model0.1C!$B$3,'Coeff EC7'!$T$7:$T$27,0),
MATCH(Model0.1C!$D204&amp;Model0.1C!$B$4,
'Coeff EC7'!$Y$6:$AB$6&amp;
'Coeff EC7'!$Y$5:$AB$5,0))</f>
        <v>1.4</v>
      </c>
      <c r="I204" s="83" t="e">
        <f>IF(B204&lt;=Hypothèses!$C$7,Hypothèses!$P$7,IF(B204&lt;=Hypothèses!$C$8,Hypothèses!$P$8,IF(B204&lt;=Hypothèses!$C$9,Hypothèses!$P$9,IF(B204&lt;=Hypothèses!$C$10,Hypothèses!$P$10,IF(B204&lt;=Hypothèses!$C$11,Hypothèses!$P$11,IF(B204&lt;=Hypothèses!$C$12,Hypothèses!$P$12,IF(B204&lt;=Hypothèses!$C$13,Hypothèses!$P$13,IF(B204&lt;=Hypothèses!$C$14,Hypothèses!$P$14,IF(B204&lt;=Hypothèses!$C$15,Hypothèses!$P$15,IF(B204&lt;=Hypothèses!$C$16,Hypothèses!$P$16,IF(B204&lt;=Hypothèses!$C$17,Hypothèses!$P$17,IF(B204&lt;=Hypothèses!$C$18,Hypothèses!$P$18,I203))))))))))))</f>
        <v>#N/A</v>
      </c>
      <c r="J204" s="91" t="e">
        <f t="array" ref="J204">INDEX('Coeff EC7'!$D$33:$Q$33,1,MATCH(D204&amp;E204,'Coeff EC7'!$D$31:$Q$31&amp;'Coeff EC7'!$D$32:$Q$32,0))</f>
        <v>#N/A</v>
      </c>
      <c r="K204" s="91" t="e">
        <f t="array" ref="K204">INDEX('Coeff EC7'!$D$34:$Q$34,1,MATCH(D204&amp;E204,'Coeff EC7'!$D$31:$Q$31&amp;'Coeff EC7'!$D$32:$Q$32,0))</f>
        <v>#N/A</v>
      </c>
      <c r="L204" s="91" t="e">
        <f t="array" ref="L204">INDEX('Coeff EC7'!$D$35:$Q$35,1,MATCH(D204&amp;E204,'Coeff EC7'!$D$31:$Q$31&amp;'Coeff EC7'!$D$32:$Q$32,0))</f>
        <v>#N/A</v>
      </c>
      <c r="M204" s="98" t="e">
        <f t="shared" si="231"/>
        <v>#N/A</v>
      </c>
      <c r="N204" s="99" t="e">
        <f t="array" ref="N204">INDEX('Coeff EC7'!$D$7:$Q$27,MATCH($B$3,'Coeff EC7'!$C$7:$C$27,0),MATCH(D204&amp;E204,'Coeff EC7'!$D$5:$Q$5&amp;'Coeff EC7'!$D$6:$Q$6,0))</f>
        <v>#N/A</v>
      </c>
      <c r="O204" s="99" t="e">
        <f t="array" ref="O204">INDEX('Coeff EC7'!$D$41:$Q$61,MATCH($B$3,'Coeff EC7'!$C$41:$C$61,0),MATCH(D204&amp;E204,'Coeff EC7'!$D$39:$Q$39&amp;'Coeff EC7'!$D$40:$Q$40,0))</f>
        <v>#N/A</v>
      </c>
      <c r="P204" s="30" t="e">
        <f t="shared" si="268"/>
        <v>#N/A</v>
      </c>
      <c r="Q204" s="100" t="e">
        <f t="shared" si="233"/>
        <v>#N/A</v>
      </c>
      <c r="R204" s="86" t="b">
        <f t="shared" si="234"/>
        <v>0</v>
      </c>
      <c r="S204" s="86">
        <f t="shared" si="232"/>
        <v>0.5</v>
      </c>
      <c r="T204" s="86">
        <f t="shared" si="235"/>
        <v>0.5</v>
      </c>
      <c r="U204" s="30" t="e">
        <f t="shared" ca="1" si="269"/>
        <v>#DIV/0!</v>
      </c>
      <c r="V204" s="85" t="str">
        <f>IF(B204&lt;=Hypothèses!$V$7,Hypothèses!$W$7,IF(B204&lt;=Hypothèses!$V$8,Hypothèses!$W$8,IF(B204&lt;=Hypothèses!$V$9,Hypothèses!$W$9,IF(B204&lt;=Hypothèses!$V$10,Hypothèses!$W$10,IF(B204&lt;=Hypothèses!$V$11,Hypothèses!$W$11,IF(B204&lt;=Hypothèses!$V$12,Hypothèses!$W$12,IF(B204&lt;=Hypothèses!$V$13,Hypothèses!$W$13,IF(B204&lt;=Hypothèses!$V$14,Hypothèses!$W$14,IF(B204&lt;=Hypothèses!$V$15,Hypothèses!$W$15,IF(B204&lt;=Hypothèses!$V$16,Hypothèses!$W$16,IF(B204&lt;=Hypothèses!$V$17,Hypothèses!$W$17,IF(B204&lt;=Hypothèses!$V$18,Hypothèses!$W$18,""))))))))))))</f>
        <v/>
      </c>
      <c r="W204" s="87" t="e">
        <f t="shared" ca="1" si="316"/>
        <v>#DIV/0!</v>
      </c>
      <c r="X204" s="88" t="str">
        <f>IF(B204&lt;=Hypothèses!$V$7,Hypothèses!$X$7,IF(B204&lt;=Hypothèses!$V$8,Hypothèses!$X$8,IF(B204&lt;=Hypothèses!$V$9,Hypothèses!$X$9,IF(B204&lt;=Hypothèses!$V$10,Hypothèses!$X$10,IF(B204&lt;=Hypothèses!$V$11,Hypothèses!$X$11,IF(B204&lt;=Hypothèses!$V$12,Hypothèses!$X$12,IF(B204&lt;=Hypothèses!$V$13,Hypothèses!$X$13,IF(B204&lt;=Hypothèses!$V$14,Hypothèses!$X$14,IF(B204&lt;=Hypothèses!$V$15,Hypothèses!$X$15,IF(B204&lt;=Hypothèses!$V$16,Hypothèses!$X$16,IF(B204&lt;=Hypothèses!$U$17,Hypothèses!$W$17,IF(B204&lt;=Hypothèses!$U$18,Hypothèses!$W$18,""))))))))))))</f>
        <v/>
      </c>
      <c r="Y204" s="95" t="e">
        <f t="shared" ca="1" si="236"/>
        <v>#DIV/0!</v>
      </c>
      <c r="Z204" s="101" t="e">
        <f t="shared" si="237"/>
        <v>#N/A</v>
      </c>
      <c r="AA204" s="91" t="e">
        <f t="shared" si="238"/>
        <v>#N/A</v>
      </c>
      <c r="AB204" s="30" t="e">
        <f t="shared" si="300"/>
        <v>#N/A</v>
      </c>
      <c r="AC204" s="30" t="e">
        <f t="shared" si="301"/>
        <v>#N/A</v>
      </c>
      <c r="AD204" s="31" t="e">
        <f>IF(OR(Hypothèses!$B$4=17,Hypothèses!$B$4=18,Hypothèses!$B$4=19,Hypothèses!$B$4=20),
IF($D204="Pressio.",
IF(OR($E204=3,$E204=1,$E204=4),AC204,AB204),
IF($D204="Pénétro.",
IF(OR($E204=3,$E204=1,$E204=4),AC204,AB204))),IF($D204="Pressio.",
IF($E204=3,AC204,AB204),
IF($D204="Pénétro.",
IF($E204=4,AC204,AB204))))</f>
        <v>#N/A</v>
      </c>
      <c r="AE204" s="31" t="e">
        <f>(IF(OR(Hypothèses!$B$4=17,Hypothèses!$B$4=18,Hypothèses!$B$4=19,Hypothèses!$B$4=20),
IF($D204="Pressio.",
IF(OR($E204=3,$E204=1,$E204=4),(PI()*AE$12^2)/4*(AA204*$W204*1000)/($H204*$B$5),(PI()*AE$12^2)/4*(AA204*$W204*1000)/($G204*$B$5)),
IF($D204="Pénétro.",
IF(OR($E204=4,$E204=1,$E204=5),(PI()*AE$12^2)/4*(AA204*$W204*1000)/($H204*$B$5),(PI()*AE$12^2)/4*(AA204*$W204*1000)/($G204*$B$5)))),
IF($D204="Pressio.",
IF($E204=3,(PI()*AE$12^2)/4*(AA204*$W204*1000)/($H204*$B$5),(PI()*AE$12^2)/4*(AA204*$W204*1000)/($G204*$B$5)),
IF($D204="Pénétro.",
IF($E204=4,(PI()*AE$12^2)/4*(AA204*$W204*1000)/($H204*$B$5),(PI()*AE$12^2)/4*(AA204*$W204*1000)/($G204*$B$5))))))/10</f>
        <v>#N/A</v>
      </c>
      <c r="AF204" s="102" t="e">
        <f>(VLOOKUP($B$3,'Coeff EC7'!$T$39:$X$59,2,0)*AD204+VLOOKUP($B$3,'Coeff EC7'!$T$65:$X$85,2,0)*Model0.1C!AE204)/1.1</f>
        <v>#N/A</v>
      </c>
      <c r="AG204" s="102" t="e">
        <f>(VLOOKUP($B$3,'Coeff EC7'!$T$39:$X$59,3,0)*AD204+VLOOKUP($B$3,'Coeff EC7'!$T$65:$X$85,3,0)*Model0.1C!AE204)/0.9</f>
        <v>#N/A</v>
      </c>
      <c r="AH204" s="102" t="e">
        <f t="shared" si="239"/>
        <v>#N/A</v>
      </c>
      <c r="AI204" s="102" t="e">
        <f t="shared" si="240"/>
        <v>#N/A</v>
      </c>
      <c r="AJ204" s="414" t="e">
        <f>IF(AJ203=0,0,IF(AND(AF204&gt;charge_ELS_quasi,AG204&gt;Charge_ELS_freq,AH204&gt;charge_ELU,AI204&gt;charge_ELA,$B204&gt;NDC!$H$22-0.1+MIN(3*$AJ$12,1.5)),0,1))</f>
        <v>#N/A</v>
      </c>
      <c r="AK204" s="86" t="b">
        <f t="shared" si="241"/>
        <v>0</v>
      </c>
      <c r="AL204" s="86">
        <f t="shared" si="270"/>
        <v>0.5</v>
      </c>
      <c r="AM204" s="86">
        <f t="shared" si="242"/>
        <v>0.5</v>
      </c>
      <c r="AN204" s="30" t="e">
        <f t="shared" ca="1" si="271"/>
        <v>#DIV/0!</v>
      </c>
      <c r="AO204" s="85" t="e">
        <f ca="1">IF(U204&lt;=Hypothèses!$V$7,Hypothèses!$W$7,IF(U204&lt;=Hypothèses!$V$8,Hypothèses!$W$8,IF(U204&lt;=Hypothèses!$V$9,Hypothèses!$W$9,IF(U204&lt;=Hypothèses!$V$10,Hypothèses!$W$10,IF(U204&lt;=Hypothèses!$V$11,Hypothèses!$W$11,IF(U204&lt;=Hypothèses!$V$12,Hypothèses!$W$12,IF(U204&lt;=Hypothèses!$V$13,Hypothèses!$W$13,IF(U204&lt;=Hypothèses!$V$14,Hypothèses!$W$14,IF(U204&lt;=Hypothèses!$V$15,Hypothèses!$W$15,IF(U204&lt;=Hypothèses!$V$16,Hypothèses!$W$16,IF(U204&lt;=Hypothèses!$V$17,Hypothèses!$W$17,IF(U204&lt;=Hypothèses!$V$18,Hypothèses!$W$18,""))))))))))))</f>
        <v>#DIV/0!</v>
      </c>
      <c r="AP204" s="87" t="e">
        <f t="shared" ca="1" si="317"/>
        <v>#DIV/0!</v>
      </c>
      <c r="AQ204" s="88" t="e">
        <f ca="1">IF(U204&lt;=Hypothèses!$V$7,Hypothèses!$X$7,IF(U204&lt;=Hypothèses!$V$8,Hypothèses!$X$8,IF(U204&lt;=Hypothèses!$V$9,Hypothèses!$X$9,IF(U204&lt;=Hypothèses!$V$10,Hypothèses!$X$10,IF(U204&lt;=Hypothèses!$V$11,Hypothèses!$X$11,IF(U204&lt;=Hypothèses!$V$12,Hypothèses!$X$12,IF(U204&lt;=Hypothèses!$V$13,Hypothèses!$X$13,IF(U204&lt;=Hypothèses!$V$14,Hypothèses!$X$14,IF(U204&lt;=Hypothèses!$V$15,Hypothèses!$X$15,IF(U204&lt;=Hypothèses!$V$16,Hypothèses!$X$16,IF(U204&lt;=Hypothèses!$U$17,Hypothèses!$W$17,IF(U204&lt;=Hypothèses!$U$18,Hypothèses!$W$18,""))))))))))))</f>
        <v>#DIV/0!</v>
      </c>
      <c r="AR204" s="95" t="e">
        <f t="shared" ca="1" si="272"/>
        <v>#DIV/0!</v>
      </c>
      <c r="AS204" s="101" t="e">
        <f t="shared" si="324"/>
        <v>#N/A</v>
      </c>
      <c r="AT204" s="91" t="e">
        <f t="shared" si="243"/>
        <v>#N/A</v>
      </c>
      <c r="AU204" s="30" t="e">
        <f t="shared" si="302"/>
        <v>#N/A</v>
      </c>
      <c r="AV204" s="30" t="e">
        <f t="shared" si="303"/>
        <v>#N/A</v>
      </c>
      <c r="AW204" s="31" t="e">
        <f>IF(OR(Hypothèses!$B$4=17,Hypothèses!$B$4=18,Hypothèses!$B$4=19,Hypothèses!$B$4=20),
IF($D204="Pressio.",
IF(OR($E204=3,$E204=1,$E204=4),AV204,AU204),
IF($D204="Pénétro.",
IF(OR($E204=3,$E204=1,$E204=4),AV204,AU204))),IF($D204="Pressio.",
IF($E204=3,AV204,AU204),
IF($D204="Pénétro.",
IF($E204=4,AV204,AU204))))</f>
        <v>#N/A</v>
      </c>
      <c r="AX204" s="31" t="e">
        <f>(IF(OR(Hypothèses!$B$4=17,Hypothèses!$B$4=18,Hypothèses!$B$4=19,Hypothèses!$B$4=20),
IF($D204="Pressio.",
IF(OR($E204=3,$E204=1,$E204=4),(PI()*AX$12^2)/4*(AT204*$W204*1000)/($H204*$B$5),(PI()*AX$12^2)/4*(AT204*$W204*1000)/($G204*$B$5)),
IF($D204="Pénétro.",
IF(OR($E204=4,$E204=1,$E204=5),(PI()*AX$12^2)/4*(AT204*$W204*1000)/($H204*$B$5),(PI()*AX$12^2)/4*(AT204*$W204*1000)/($G204*$B$5)))),
IF($D204="Pressio.",
IF($E204=3,(PI()*AX$12^2)/4*(AT204*$W204*1000)/($H204*$B$5),(PI()*AX$12^2)/4*(AT204*$W204*1000)/($G204*$B$5)),
IF($D204="Pénétro.",
IF($E204=4,(PI()*AX$12^2)/4*(AT204*$W204*1000)/($H204*$B$5),(PI()*AX$12^2)/4*(AT204*$W204*1000)/($G204*$B$5))))))/10</f>
        <v>#N/A</v>
      </c>
      <c r="AY204" s="102" t="e">
        <f>(VLOOKUP($B$3,'Coeff EC7'!$T$39:$X$59,2,0)*AW204+VLOOKUP($B$3,'Coeff EC7'!$T$65:$X$85,2,0)*Model0.1C!AX204)/1.1</f>
        <v>#N/A</v>
      </c>
      <c r="AZ204" s="102" t="e">
        <f>(VLOOKUP($B$3,'Coeff EC7'!$T$39:$X$59,3,0)*AW204+VLOOKUP($B$3,'Coeff EC7'!$T$65:$X$85,3,0)*Model0.1C!AX204)/0.9</f>
        <v>#N/A</v>
      </c>
      <c r="BA204" s="102" t="e">
        <f t="shared" si="273"/>
        <v>#N/A</v>
      </c>
      <c r="BB204" s="102" t="e">
        <f t="shared" si="274"/>
        <v>#N/A</v>
      </c>
      <c r="BC204" s="414" t="e">
        <f>IF(BC203=0,0,IF(AND(AY204&gt;charge_ELS_quasi,AZ204&gt;Charge_ELS_freq,BA204&gt;charge_ELU,BB204&gt;charge_ELA,$B204&gt;NDC!$H$22-0.1+MIN(3*$BC$12,1.5)),0,1))</f>
        <v>#N/A</v>
      </c>
      <c r="BD204" s="86" t="b">
        <f t="shared" si="244"/>
        <v>0</v>
      </c>
      <c r="BE204" s="86">
        <f t="shared" si="275"/>
        <v>0.5</v>
      </c>
      <c r="BF204" s="86">
        <f t="shared" si="245"/>
        <v>0.5</v>
      </c>
      <c r="BG204" s="30" t="e">
        <f t="shared" ca="1" si="276"/>
        <v>#DIV/0!</v>
      </c>
      <c r="BH204" s="85" t="e">
        <f ca="1">IF(AN204&lt;=Hypothèses!$V$7,Hypothèses!$W$7,IF(AN204&lt;=Hypothèses!$V$8,Hypothèses!$W$8,IF(AN204&lt;=Hypothèses!$V$9,Hypothèses!$W$9,IF(AN204&lt;=Hypothèses!$V$10,Hypothèses!$W$10,IF(AN204&lt;=Hypothèses!$V$11,Hypothèses!$W$11,IF(AN204&lt;=Hypothèses!$V$12,Hypothèses!$W$12,IF(AN204&lt;=Hypothèses!$V$13,Hypothèses!$W$13,IF(AN204&lt;=Hypothèses!$V$14,Hypothèses!$W$14,IF(AN204&lt;=Hypothèses!$V$15,Hypothèses!$W$15,IF(AN204&lt;=Hypothèses!$V$16,Hypothèses!$W$16,IF(AN204&lt;=Hypothèses!$V$17,Hypothèses!$W$17,IF(AN204&lt;=Hypothèses!$V$18,Hypothèses!$W$18,""))))))))))))</f>
        <v>#DIV/0!</v>
      </c>
      <c r="BI204" s="87" t="e">
        <f t="shared" ca="1" si="318"/>
        <v>#DIV/0!</v>
      </c>
      <c r="BJ204" s="88" t="e">
        <f ca="1">IF(AN204&lt;=Hypothèses!$V$7,Hypothèses!$X$7,IF(AN204&lt;=Hypothèses!$V$8,Hypothèses!$X$8,IF(AN204&lt;=Hypothèses!$V$9,Hypothèses!$X$9,IF(AN204&lt;=Hypothèses!$V$10,Hypothèses!$X$10,IF(AN204&lt;=Hypothèses!$V$11,Hypothèses!$X$11,IF(AN204&lt;=Hypothèses!$V$12,Hypothèses!$X$12,IF(AN204&lt;=Hypothèses!$V$13,Hypothèses!$X$13,IF(AN204&lt;=Hypothèses!$V$14,Hypothèses!$X$14,IF(AN204&lt;=Hypothèses!$V$15,Hypothèses!$X$15,IF(AN204&lt;=Hypothèses!$V$16,Hypothèses!$X$16,IF(AN204&lt;=Hypothèses!$U$17,Hypothèses!$W$17,IF(AN204&lt;=Hypothèses!$U$18,Hypothèses!$W$18,""))))))))))))</f>
        <v>#DIV/0!</v>
      </c>
      <c r="BK204" s="95" t="e">
        <f t="shared" ca="1" si="277"/>
        <v>#DIV/0!</v>
      </c>
      <c r="BL204" s="101" t="e">
        <f t="shared" si="325"/>
        <v>#N/A</v>
      </c>
      <c r="BM204" s="91" t="e">
        <f t="shared" si="246"/>
        <v>#N/A</v>
      </c>
      <c r="BN204" s="30" t="e">
        <f t="shared" si="304"/>
        <v>#N/A</v>
      </c>
      <c r="BO204" s="30" t="e">
        <f t="shared" si="305"/>
        <v>#N/A</v>
      </c>
      <c r="BP204" s="31" t="e">
        <f>IF(OR(Hypothèses!$B$4=17,Hypothèses!$B$4=18,Hypothèses!$B$4=19,Hypothèses!$B$4=20),
IF($D204="Pressio.",
IF(OR($E204=3,$E204=1,$E204=4),BO204,BN204),
IF($D204="Pénétro.",
IF(OR($E204=3,$E204=1,$E204=4),BO204,BN204))),IF($D204="Pressio.",
IF($E204=3,BO204,BN204),
IF($D204="Pénétro.",
IF($E204=4,BO204,BN204))))</f>
        <v>#N/A</v>
      </c>
      <c r="BQ204" s="31" t="e">
        <f>(IF(OR(Hypothèses!$B$4=17,Hypothèses!$B$4=18,Hypothèses!$B$4=19,Hypothèses!$B$4=20),
IF($D204="Pressio.",
IF(OR($E204=3,$E204=1,$E204=4),(PI()*BQ$12^2)/4*(BM204*$W204*1000)/($H204*$B$5),(PI()*BQ$12^2)/4*(BM204*$W204*1000)/($G204*$B$5)),
IF($D204="Pénétro.",
IF(OR($E204=4,$E204=1,$E204=5),(PI()*BQ$12^2)/4*(BM204*$W204*1000)/($H204*$B$5),(PI()*BQ$12^2)/4*(BM204*$W204*1000)/($G204*$B$5)))),
IF($D204="Pressio.",
IF($E204=3,(PI()*BQ$12^2)/4*(BM204*$W204*1000)/($H204*$B$5),(PI()*BQ$12^2)/4*(BM204*$W204*1000)/($G204*$B$5)),
IF($D204="Pénétro.",
IF($E204=4,(PI()*BQ$12^2)/4*(BM204*$W204*1000)/($H204*$B$5),(PI()*BQ$12^2)/4*(BM204*$W204*1000)/($G204*$B$5))))))/10</f>
        <v>#N/A</v>
      </c>
      <c r="BR204" s="102" t="e">
        <f>(VLOOKUP($B$3,'Coeff EC7'!$T$39:$X$59,2,0)*BP204+VLOOKUP($B$3,'Coeff EC7'!$T$65:$X$85,2,0)*Model0.1C!BQ204)/1.1</f>
        <v>#N/A</v>
      </c>
      <c r="BS204" s="102" t="e">
        <f>(VLOOKUP($B$3,'Coeff EC7'!$T$39:$X$59,3,0)*BP204+VLOOKUP($B$3,'Coeff EC7'!$T$65:$X$85,3,0)*Model0.1C!BQ204)/0.9</f>
        <v>#N/A</v>
      </c>
      <c r="BT204" s="102" t="e">
        <f t="shared" si="278"/>
        <v>#N/A</v>
      </c>
      <c r="BU204" s="102" t="e">
        <f t="shared" si="279"/>
        <v>#N/A</v>
      </c>
      <c r="BV204" s="414" t="e">
        <f>IF(BV203=0,0,IF(AND(BR204&gt;charge_ELS_quasi,BS204&gt;Charge_ELS_freq,BT204&gt;charge_ELU,BU204&gt;charge_ELA,$B204&gt;NDC!$H$22-0.1+MIN(3*$BV$12,1.5)),0,1))</f>
        <v>#N/A</v>
      </c>
      <c r="BW204" s="86" t="b">
        <f t="shared" si="247"/>
        <v>0</v>
      </c>
      <c r="BX204" s="86">
        <f t="shared" si="248"/>
        <v>0.5</v>
      </c>
      <c r="BY204" s="86">
        <f t="shared" si="249"/>
        <v>0.5</v>
      </c>
      <c r="BZ204" s="30" t="e">
        <f t="shared" ca="1" si="280"/>
        <v>#DIV/0!</v>
      </c>
      <c r="CA204" s="85" t="e">
        <f ca="1">IF(BG204&lt;=Hypothèses!$V$7,Hypothèses!$W$7,IF(BG204&lt;=Hypothèses!$V$8,Hypothèses!$W$8,IF(BG204&lt;=Hypothèses!$V$9,Hypothèses!$W$9,IF(BG204&lt;=Hypothèses!$V$10,Hypothèses!$W$10,IF(BG204&lt;=Hypothèses!$V$11,Hypothèses!$W$11,IF(BG204&lt;=Hypothèses!$V$12,Hypothèses!$W$12,IF(BG204&lt;=Hypothèses!$V$13,Hypothèses!$W$13,IF(BG204&lt;=Hypothèses!$V$14,Hypothèses!$W$14,IF(BG204&lt;=Hypothèses!$V$15,Hypothèses!$W$15,IF(BG204&lt;=Hypothèses!$V$16,Hypothèses!$W$16,IF(BG204&lt;=Hypothèses!$V$17,Hypothèses!$W$17,IF(BG204&lt;=Hypothèses!$V$18,Hypothèses!$W$18,""))))))))))))</f>
        <v>#DIV/0!</v>
      </c>
      <c r="CB204" s="87" t="e">
        <f t="shared" ca="1" si="319"/>
        <v>#DIV/0!</v>
      </c>
      <c r="CC204" s="88" t="e">
        <f ca="1">IF(BG204&lt;=Hypothèses!$V$7,Hypothèses!$X$7,IF(BG204&lt;=Hypothèses!$V$8,Hypothèses!$X$8,IF(BG204&lt;=Hypothèses!$V$9,Hypothèses!$X$9,IF(BG204&lt;=Hypothèses!$V$10,Hypothèses!$X$10,IF(BG204&lt;=Hypothèses!$V$11,Hypothèses!$X$11,IF(BG204&lt;=Hypothèses!$V$12,Hypothèses!$X$12,IF(BG204&lt;=Hypothèses!$V$13,Hypothèses!$X$13,IF(BG204&lt;=Hypothèses!$V$14,Hypothèses!$X$14,IF(BG204&lt;=Hypothèses!$V$15,Hypothèses!$X$15,IF(BG204&lt;=Hypothèses!$V$16,Hypothèses!$X$16,IF(BG204&lt;=Hypothèses!$U$17,Hypothèses!$W$17,IF(BG204&lt;=Hypothèses!$U$18,Hypothèses!$W$18,""))))))))))))</f>
        <v>#DIV/0!</v>
      </c>
      <c r="CD204" s="95" t="e">
        <f t="shared" ca="1" si="281"/>
        <v>#DIV/0!</v>
      </c>
      <c r="CE204" s="101" t="e">
        <f t="shared" si="326"/>
        <v>#N/A</v>
      </c>
      <c r="CF204" s="91" t="e">
        <f t="shared" si="250"/>
        <v>#N/A</v>
      </c>
      <c r="CG204" s="30" t="e">
        <f t="shared" si="306"/>
        <v>#N/A</v>
      </c>
      <c r="CH204" s="30" t="e">
        <f t="shared" si="307"/>
        <v>#N/A</v>
      </c>
      <c r="CI204" s="31" t="e">
        <f>IF(OR(Hypothèses!$B$4=17,Hypothèses!$B$4=18,Hypothèses!$B$4=19,Hypothèses!$B$4=20),
IF($D204="Pressio.",
IF(OR($E204=3,$E204=1,$E204=4),CH204,CG204),
IF($D204="Pénétro.",
IF(OR($E204=3,$E204=1,$E204=4),CH204,CG204))),IF($D204="Pressio.",
IF($E204=3,CH204,CG204),
IF($D204="Pénétro.",
IF($E204=4,CH204,CG204))))</f>
        <v>#N/A</v>
      </c>
      <c r="CJ204" s="31" t="e">
        <f>(IF(OR(Hypothèses!$B$4=17,Hypothèses!$B$4=18,Hypothèses!$B$4=19,Hypothèses!$B$4=20),
IF($D204="Pressio.",
IF(OR($E204=3,$E204=1,$E204=4),(PI()*CJ$12^2)/4*(CF204*$W204*1000)/($H204*$B$5),(PI()*CJ$12^2)/4*(CF204*$W204*1000)/($G204*$B$5)),
IF($D204="Pénétro.",
IF(OR($E204=4,$E204=1,$E204=5),(PI()*CJ$12^2)/4*(CF204*$W204*1000)/($H204*$B$5),(PI()*CJ$12^2)/4*(CF204*$W204*1000)/($G204*$B$5)))),
IF($D204="Pressio.",
IF($E204=3,(PI()*CJ$12^2)/4*(CF204*$W204*1000)/($H204*$B$5),(PI()*CJ$12^2)/4*(CF204*$W204*1000)/($G204*$B$5)),
IF($D204="Pénétro.",
IF($E204=4,(PI()*CJ$12^2)/4*(CF204*$W204*1000)/($H204*$B$5),(PI()*CJ$12^2)/4*(CF204*$W204*1000)/($G204*$B$5))))))/10</f>
        <v>#N/A</v>
      </c>
      <c r="CK204" s="102" t="e">
        <f>(VLOOKUP($B$3,'Coeff EC7'!$T$39:$X$59,2,0)*CI204+VLOOKUP($B$3,'Coeff EC7'!$T$65:$X$85,2,0)*Model0.1C!CJ204)/1.1</f>
        <v>#N/A</v>
      </c>
      <c r="CL204" s="102" t="e">
        <f>(VLOOKUP($B$3,'Coeff EC7'!$T$39:$X$59,3,0)*CI204+VLOOKUP($B$3,'Coeff EC7'!$T$65:$X$85,3,0)*Model0.1C!CJ204)/0.9</f>
        <v>#N/A</v>
      </c>
      <c r="CM204" s="102" t="e">
        <f t="shared" si="282"/>
        <v>#N/A</v>
      </c>
      <c r="CN204" s="102" t="e">
        <f t="shared" si="283"/>
        <v>#N/A</v>
      </c>
      <c r="CO204" s="414" t="e">
        <f>IF(CO203=0,0,IF(AND(CK204&gt;charge_ELS_quasi,CL204&gt;Charge_ELS_freq,CM204&gt;charge_ELU,CN204&gt;charge_ELA,$B204&gt;NDC!$H$22-0.1+MIN(3*$CO$12,1.5)),0,1))</f>
        <v>#N/A</v>
      </c>
      <c r="CP204" s="86" t="b">
        <f t="shared" si="251"/>
        <v>0</v>
      </c>
      <c r="CQ204" s="86">
        <f t="shared" si="252"/>
        <v>0.5</v>
      </c>
      <c r="CR204" s="86">
        <f t="shared" si="253"/>
        <v>0.5</v>
      </c>
      <c r="CS204" s="30" t="e">
        <f t="shared" ca="1" si="284"/>
        <v>#DIV/0!</v>
      </c>
      <c r="CT204" s="85" t="e">
        <f ca="1">IF(BZ204&lt;=Hypothèses!$V$7,Hypothèses!$W$7,IF(BZ204&lt;=Hypothèses!$V$8,Hypothèses!$W$8,IF(BZ204&lt;=Hypothèses!$V$9,Hypothèses!$W$9,IF(BZ204&lt;=Hypothèses!$V$10,Hypothèses!$W$10,IF(BZ204&lt;=Hypothèses!$V$11,Hypothèses!$W$11,IF(BZ204&lt;=Hypothèses!$V$12,Hypothèses!$W$12,IF(BZ204&lt;=Hypothèses!$V$13,Hypothèses!$W$13,IF(BZ204&lt;=Hypothèses!$V$14,Hypothèses!$W$14,IF(BZ204&lt;=Hypothèses!$V$15,Hypothèses!$W$15,IF(BZ204&lt;=Hypothèses!$V$16,Hypothèses!$W$16,IF(BZ204&lt;=Hypothèses!$V$17,Hypothèses!$W$17,IF(BZ204&lt;=Hypothèses!$V$18,Hypothèses!$W$18,""))))))))))))</f>
        <v>#DIV/0!</v>
      </c>
      <c r="CU204" s="87" t="e">
        <f t="shared" ca="1" si="320"/>
        <v>#DIV/0!</v>
      </c>
      <c r="CV204" s="88" t="e">
        <f ca="1">IF(BZ204&lt;=Hypothèses!$V$7,Hypothèses!$X$7,IF(BZ204&lt;=Hypothèses!$V$8,Hypothèses!$X$8,IF(BZ204&lt;=Hypothèses!$V$9,Hypothèses!$X$9,IF(BZ204&lt;=Hypothèses!$V$10,Hypothèses!$X$10,IF(BZ204&lt;=Hypothèses!$V$11,Hypothèses!$X$11,IF(BZ204&lt;=Hypothèses!$V$12,Hypothèses!$X$12,IF(BZ204&lt;=Hypothèses!$V$13,Hypothèses!$X$13,IF(BZ204&lt;=Hypothèses!$V$14,Hypothèses!$X$14,IF(BZ204&lt;=Hypothèses!$V$15,Hypothèses!$X$15,IF(BZ204&lt;=Hypothèses!$V$16,Hypothèses!$X$16,IF(BZ204&lt;=Hypothèses!$U$17,Hypothèses!$W$17,IF(BZ204&lt;=Hypothèses!$U$18,Hypothèses!$W$18,""))))))))))))</f>
        <v>#DIV/0!</v>
      </c>
      <c r="CW204" s="95" t="e">
        <f t="shared" ca="1" si="285"/>
        <v>#DIV/0!</v>
      </c>
      <c r="CX204" s="101" t="e">
        <f t="shared" si="327"/>
        <v>#N/A</v>
      </c>
      <c r="CY204" s="91" t="e">
        <f t="shared" si="254"/>
        <v>#N/A</v>
      </c>
      <c r="CZ204" s="30" t="e">
        <f t="shared" si="308"/>
        <v>#N/A</v>
      </c>
      <c r="DA204" s="30" t="e">
        <f t="shared" si="309"/>
        <v>#N/A</v>
      </c>
      <c r="DB204" s="31" t="e">
        <f>IF(OR(Hypothèses!$B$4=17,Hypothèses!$B$4=18,Hypothèses!$B$4=19,Hypothèses!$B$4=20),
IF($D204="Pressio.",
IF(OR($E204=3,$E204=1,$E204=4),DA204,CZ204),
IF($D204="Pénétro.",
IF(OR($E204=3,$E204=1,$E204=4),DA204,CZ204))),IF($D204="Pressio.",
IF($E204=3,DA204,CZ204),
IF($D204="Pénétro.",
IF($E204=4,DA204,CZ204))))</f>
        <v>#N/A</v>
      </c>
      <c r="DC204" s="31" t="e">
        <f>(IF(OR(Hypothèses!$B$4=17,Hypothèses!$B$4=18,Hypothèses!$B$4=19,Hypothèses!$B$4=20),
IF($D204="Pressio.",
IF(OR($E204=3,$E204=1,$E204=4),(PI()*DC$12^2)/4*(CY204*$W204*1000)/($H204*$B$5),(PI()*DC$12^2)/4*(CY204*$W204*1000)/($G204*$B$5)),
IF($D204="Pénétro.",
IF(OR($E204=4,$E204=1,$E204=5),(PI()*DC$12^2)/4*(CY204*$W204*1000)/($H204*$B$5),(PI()*DC$12^2)/4*(CY204*$W204*1000)/($G204*$B$5)))),
IF($D204="Pressio.",
IF($E204=3,(PI()*DC$12^2)/4*(CY204*$W204*1000)/($H204*$B$5),(PI()*DC$12^2)/4*(CY204*$W204*1000)/($G204*$B$5)),
IF($D204="Pénétro.",
IF($E204=4,(PI()*DC$12^2)/4*(CY204*$W204*1000)/($H204*$B$5),(PI()*DC$12^2)/4*(CY204*$W204*1000)/($G204*$B$5))))))/10</f>
        <v>#N/A</v>
      </c>
      <c r="DD204" s="102" t="e">
        <f>(VLOOKUP($B$3,'Coeff EC7'!$T$39:$X$59,2,0)*DB204+VLOOKUP($B$3,'Coeff EC7'!$T$65:$X$85,2,0)*Model0.1C!DC204)/1.1</f>
        <v>#N/A</v>
      </c>
      <c r="DE204" s="102" t="e">
        <f>(VLOOKUP($B$3,'Coeff EC7'!$T$39:$X$59,3,0)*DB204+VLOOKUP($B$3,'Coeff EC7'!$T$65:$X$85,3,0)*Model0.1C!DC204)/0.9</f>
        <v>#N/A</v>
      </c>
      <c r="DF204" s="102" t="e">
        <f t="shared" si="286"/>
        <v>#N/A</v>
      </c>
      <c r="DG204" s="102" t="e">
        <f t="shared" si="287"/>
        <v>#N/A</v>
      </c>
      <c r="DH204" s="414" t="e">
        <f>IF(DH203=0,0,IF(AND(DD204&gt;charge_ELS_quasi,DE204&gt;Charge_ELS_freq,DF204&gt;charge_ELU,DG204&gt;charge_ELA,$B204&gt;NDC!$H$22-0.1+MIN(3*$DH$12,1.5)),0,1))</f>
        <v>#N/A</v>
      </c>
      <c r="DI204" s="86" t="b">
        <f t="shared" si="255"/>
        <v>0</v>
      </c>
      <c r="DJ204" s="86">
        <f t="shared" si="256"/>
        <v>0.5</v>
      </c>
      <c r="DK204" s="86">
        <f t="shared" si="257"/>
        <v>0.5</v>
      </c>
      <c r="DL204" s="30" t="e">
        <f t="shared" ca="1" si="288"/>
        <v>#DIV/0!</v>
      </c>
      <c r="DM204" s="85" t="e">
        <f ca="1">IF(CS204&lt;=Hypothèses!$V$7,Hypothèses!$W$7,IF(CS204&lt;=Hypothèses!$V$8,Hypothèses!$W$8,IF(CS204&lt;=Hypothèses!$V$9,Hypothèses!$W$9,IF(CS204&lt;=Hypothèses!$V$10,Hypothèses!$W$10,IF(CS204&lt;=Hypothèses!$V$11,Hypothèses!$W$11,IF(CS204&lt;=Hypothèses!$V$12,Hypothèses!$W$12,IF(CS204&lt;=Hypothèses!$V$13,Hypothèses!$W$13,IF(CS204&lt;=Hypothèses!$V$14,Hypothèses!$W$14,IF(CS204&lt;=Hypothèses!$V$15,Hypothèses!$W$15,IF(CS204&lt;=Hypothèses!$V$16,Hypothèses!$W$16,IF(CS204&lt;=Hypothèses!$V$17,Hypothèses!$W$17,IF(CS204&lt;=Hypothèses!$V$18,Hypothèses!$W$18,""))))))))))))</f>
        <v>#DIV/0!</v>
      </c>
      <c r="DN204" s="87" t="e">
        <f t="shared" ca="1" si="321"/>
        <v>#DIV/0!</v>
      </c>
      <c r="DO204" s="88" t="e">
        <f ca="1">IF(CS204&lt;=Hypothèses!$V$7,Hypothèses!$X$7,IF(CS204&lt;=Hypothèses!$V$8,Hypothèses!$X$8,IF(CS204&lt;=Hypothèses!$V$9,Hypothèses!$X$9,IF(CS204&lt;=Hypothèses!$V$10,Hypothèses!$X$10,IF(CS204&lt;=Hypothèses!$V$11,Hypothèses!$X$11,IF(CS204&lt;=Hypothèses!$V$12,Hypothèses!$X$12,IF(CS204&lt;=Hypothèses!$V$13,Hypothèses!$X$13,IF(CS204&lt;=Hypothèses!$V$14,Hypothèses!$X$14,IF(CS204&lt;=Hypothèses!$V$15,Hypothèses!$X$15,IF(CS204&lt;=Hypothèses!$V$16,Hypothèses!$X$16,IF(CS204&lt;=Hypothèses!$U$17,Hypothèses!$W$17,IF(CS204&lt;=Hypothèses!$U$18,Hypothèses!$W$18,""))))))))))))</f>
        <v>#DIV/0!</v>
      </c>
      <c r="DP204" s="95" t="e">
        <f t="shared" ca="1" si="289"/>
        <v>#DIV/0!</v>
      </c>
      <c r="DQ204" s="101" t="e">
        <f t="shared" si="328"/>
        <v>#N/A</v>
      </c>
      <c r="DR204" s="91" t="e">
        <f t="shared" si="258"/>
        <v>#N/A</v>
      </c>
      <c r="DS204" s="30" t="e">
        <f t="shared" si="310"/>
        <v>#N/A</v>
      </c>
      <c r="DT204" s="30" t="e">
        <f t="shared" si="311"/>
        <v>#N/A</v>
      </c>
      <c r="DU204" s="31" t="e">
        <f>IF(OR(Hypothèses!$B$4=17,Hypothèses!$B$4=18,Hypothèses!$B$4=19,Hypothèses!$B$4=20),
IF($D204="Pressio.",
IF(OR($E204=3,$E204=1,$E204=4),DT204,DS204),
IF($D204="Pénétro.",
IF(OR($E204=3,$E204=1,$E204=4),DT204,DS204))),IF($D204="Pressio.",
IF($E204=3,DT204,DS204),
IF($D204="Pénétro.",
IF($E204=4,DT204,DS204))))</f>
        <v>#N/A</v>
      </c>
      <c r="DV204" s="31" t="e">
        <f>(IF(OR(Hypothèses!$B$4=17,Hypothèses!$B$4=18,Hypothèses!$B$4=19,Hypothèses!$B$4=20),
IF($D204="Pressio.",
IF(OR($E204=3,$E204=1,$E204=4),(PI()*DV$12^2)/4*(DR204*$W204*1000)/($H204*$B$5),(PI()*DV$12^2)/4*(DR204*$W204*1000)/($G204*$B$5)),
IF($D204="Pénétro.",
IF(OR($E204=4,$E204=1,$E204=5),(PI()*DV$12^2)/4*(DR204*$W204*1000)/($H204*$B$5),(PI()*DV$12^2)/4*(DR204*$W204*1000)/($G204*$B$5)))),
IF($D204="Pressio.",
IF($E204=3,(PI()*DV$12^2)/4*(DR204*$W204*1000)/($H204*$B$5),(PI()*DV$12^2)/4*(DR204*$W204*1000)/($G204*$B$5)),
IF($D204="Pénétro.",
IF($E204=4,(PI()*DV$12^2)/4*(DR204*$W204*1000)/($H204*$B$5),(PI()*DV$12^2)/4*(DR204*$W204*1000)/($G204*$B$5))))))/10</f>
        <v>#N/A</v>
      </c>
      <c r="DW204" s="102" t="e">
        <f>(VLOOKUP($B$3,'Coeff EC7'!$T$39:$X$59,2,0)*DU204+VLOOKUP($B$3,'Coeff EC7'!$T$65:$X$85,2,0)*Model0.1C!DV204)/1.1</f>
        <v>#N/A</v>
      </c>
      <c r="DX204" s="102" t="e">
        <f>(VLOOKUP($B$3,'Coeff EC7'!$T$39:$X$59,3,0)*DU204+VLOOKUP($B$3,'Coeff EC7'!$T$65:$X$85,3,0)*Model0.1C!DV204)/0.9</f>
        <v>#N/A</v>
      </c>
      <c r="DY204" s="102" t="e">
        <f t="shared" si="290"/>
        <v>#N/A</v>
      </c>
      <c r="DZ204" s="102" t="e">
        <f t="shared" si="291"/>
        <v>#N/A</v>
      </c>
      <c r="EA204" s="414" t="e">
        <f>IF(EA203=0,0,IF(AND(DW204&gt;charge_ELS_quasi,DX204&gt;Charge_ELS_freq,DY204&gt;charge_ELU,DZ204&gt;charge_ELA,$B204&gt;NDC!$H$22-0.1+MIN(3*$EA$12,1.5)),0,1))</f>
        <v>#N/A</v>
      </c>
      <c r="EB204" s="86" t="b">
        <f t="shared" si="259"/>
        <v>0</v>
      </c>
      <c r="EC204" s="418">
        <f t="shared" si="260"/>
        <v>0.51</v>
      </c>
      <c r="ED204" s="86">
        <f t="shared" si="261"/>
        <v>0.51</v>
      </c>
      <c r="EE204" s="30" t="e">
        <f t="shared" ca="1" si="292"/>
        <v>#DIV/0!</v>
      </c>
      <c r="EF204" s="85" t="e">
        <f ca="1">IF(DL204&lt;=Hypothèses!$V$7,Hypothèses!$W$7,IF(DL204&lt;=Hypothèses!$V$8,Hypothèses!$W$8,IF(DL204&lt;=Hypothèses!$V$9,Hypothèses!$W$9,IF(DL204&lt;=Hypothèses!$V$10,Hypothèses!$W$10,IF(DL204&lt;=Hypothèses!$V$11,Hypothèses!$W$11,IF(DL204&lt;=Hypothèses!$V$12,Hypothèses!$W$12,IF(DL204&lt;=Hypothèses!$V$13,Hypothèses!$W$13,IF(DL204&lt;=Hypothèses!$V$14,Hypothèses!$W$14,IF(DL204&lt;=Hypothèses!$V$15,Hypothèses!$W$15,IF(DL204&lt;=Hypothèses!$V$16,Hypothèses!$W$16,IF(DL204&lt;=Hypothèses!$V$17,Hypothèses!$W$17,IF(DL204&lt;=Hypothèses!$V$18,Hypothèses!$W$18,""))))))))))))</f>
        <v>#DIV/0!</v>
      </c>
      <c r="EG204" s="87" t="e">
        <f t="shared" ca="1" si="322"/>
        <v>#DIV/0!</v>
      </c>
      <c r="EH204" s="88" t="e">
        <f ca="1">IF(DL204&lt;=Hypothèses!$V$7,Hypothèses!$X$7,IF(DL204&lt;=Hypothèses!$V$8,Hypothèses!$X$8,IF(DL204&lt;=Hypothèses!$V$9,Hypothèses!$X$9,IF(DL204&lt;=Hypothèses!$V$10,Hypothèses!$X$10,IF(DL204&lt;=Hypothèses!$V$11,Hypothèses!$X$11,IF(DL204&lt;=Hypothèses!$V$12,Hypothèses!$X$12,IF(DL204&lt;=Hypothèses!$V$13,Hypothèses!$X$13,IF(DL204&lt;=Hypothèses!$V$14,Hypothèses!$X$14,IF(DL204&lt;=Hypothèses!$V$15,Hypothèses!$X$15,IF(DL204&lt;=Hypothèses!$V$16,Hypothèses!$X$16,IF(DL204&lt;=Hypothèses!$U$17,Hypothèses!$W$17,IF(DL204&lt;=Hypothèses!$U$18,Hypothèses!$W$18,""))))))))))))</f>
        <v>#DIV/0!</v>
      </c>
      <c r="EI204" s="95" t="e">
        <f t="shared" ca="1" si="293"/>
        <v>#DIV/0!</v>
      </c>
      <c r="EJ204" s="101" t="e">
        <f t="shared" si="329"/>
        <v>#N/A</v>
      </c>
      <c r="EK204" s="91" t="e">
        <f t="shared" si="262"/>
        <v>#N/A</v>
      </c>
      <c r="EL204" s="30" t="e">
        <f t="shared" si="312"/>
        <v>#N/A</v>
      </c>
      <c r="EM204" s="30" t="e">
        <f t="shared" si="313"/>
        <v>#N/A</v>
      </c>
      <c r="EN204" s="31" t="e">
        <f>IF(OR(Hypothèses!$B$4=17,Hypothèses!$B$4=18,Hypothèses!$B$4=19,Hypothèses!$B$4=20),
IF($D204="Pressio.",
IF(OR($E204=3,$E204=1,$E204=4),EM204,EL204),
IF($D204="Pénétro.",
IF(OR($E204=3,$E204=1,$E204=4),EM204,EL204))),IF($D204="Pressio.",
IF($E204=3,EM204,EL204),
IF($D204="Pénétro.",
IF($E204=4,EM204,EL204))))</f>
        <v>#N/A</v>
      </c>
      <c r="EO204" s="31" t="e">
        <f>(IF(OR(Hypothèses!$B$4=17,Hypothèses!$B$4=18,Hypothèses!$B$4=19,Hypothèses!$B$4=20),
IF($D204="Pressio.",
IF(OR($E204=3,$E204=1,$E204=4),(PI()*EO$12^2)/4*(EK204*$W204*1000)/($H204*$B$5),(PI()*EO$12^2)/4*(EK204*$W204*1000)/($G204*$B$5)),
IF($D204="Pénétro.",
IF(OR($E204=4,$E204=1,$E204=5),(PI()*EO$12^2)/4*(EK204*$W204*1000)/($H204*$B$5),(PI()*EO$12^2)/4*(EK204*$W204*1000)/($G204*$B$5)))),
IF($D204="Pressio.",
IF($E204=3,(PI()*EO$12^2)/4*(EK204*$W204*1000)/($H204*$B$5),(PI()*EO$12^2)/4*(EK204*$W204*1000)/($G204*$B$5)),
IF($D204="Pénétro.",
IF($E204=4,(PI()*EO$12^2)/4*(EK204*$W204*1000)/($H204*$B$5),(PI()*EO$12^2)/4*(EK204*$W204*1000)/($G204*$B$5))))))/10</f>
        <v>#N/A</v>
      </c>
      <c r="EP204" s="102" t="e">
        <f>(VLOOKUP($B$3,'Coeff EC7'!$T$39:$X$59,2,0)*EN204+VLOOKUP($B$3,'Coeff EC7'!$T$65:$X$85,2,0)*Model0.1C!EO204)/1.1</f>
        <v>#N/A</v>
      </c>
      <c r="EQ204" s="102" t="e">
        <f>(VLOOKUP($B$3,'Coeff EC7'!$T$39:$X$59,3,0)*EN204+VLOOKUP($B$3,'Coeff EC7'!$T$65:$X$85,3,0)*Model0.1C!EO204)/0.9</f>
        <v>#N/A</v>
      </c>
      <c r="ER204" s="102" t="e">
        <f t="shared" si="294"/>
        <v>#N/A</v>
      </c>
      <c r="ES204" s="102" t="e">
        <f t="shared" si="295"/>
        <v>#N/A</v>
      </c>
      <c r="ET204" s="414" t="e">
        <f>IF(ET203=0,0,IF(AND(EP204&gt;charge_ELS_quasi,EQ204&gt;Charge_ELS_freq,ER204&gt;charge_ELU,ES204&gt;charge_ELA,$B204&gt;NDC!$H$22-0.1+MIN(3*$ET$12,1.5)),0,1))</f>
        <v>#N/A</v>
      </c>
      <c r="EU204" s="86" t="b">
        <f t="shared" si="263"/>
        <v>0</v>
      </c>
      <c r="EV204" s="86">
        <f t="shared" si="264"/>
        <v>0.61</v>
      </c>
      <c r="EW204" s="86">
        <f t="shared" si="265"/>
        <v>0.61</v>
      </c>
      <c r="EX204" s="30" t="e">
        <f t="shared" ca="1" si="296"/>
        <v>#DIV/0!</v>
      </c>
      <c r="EY204" s="85" t="e">
        <f ca="1">IF(EE204&lt;=Hypothèses!$V$7,Hypothèses!$W$7,IF(EE204&lt;=Hypothèses!$V$8,Hypothèses!$W$8,IF(EE204&lt;=Hypothèses!$V$9,Hypothèses!$W$9,IF(EE204&lt;=Hypothèses!$V$10,Hypothèses!$W$10,IF(EE204&lt;=Hypothèses!$V$11,Hypothèses!$W$11,IF(EE204&lt;=Hypothèses!$V$12,Hypothèses!$W$12,IF(EE204&lt;=Hypothèses!$V$13,Hypothèses!$W$13,IF(EE204&lt;=Hypothèses!$V$14,Hypothèses!$W$14,IF(EE204&lt;=Hypothèses!$V$15,Hypothèses!$W$15,IF(EE204&lt;=Hypothèses!$V$16,Hypothèses!$W$16,IF(EE204&lt;=Hypothèses!$V$17,Hypothèses!$W$17,IF(EE204&lt;=Hypothèses!$V$18,Hypothèses!$W$18,""))))))))))))</f>
        <v>#DIV/0!</v>
      </c>
      <c r="EZ204" s="87" t="e">
        <f t="shared" ca="1" si="323"/>
        <v>#DIV/0!</v>
      </c>
      <c r="FA204" s="88" t="e">
        <f ca="1">IF(EE204&lt;=Hypothèses!$V$7,Hypothèses!$X$7,IF(EE204&lt;=Hypothèses!$V$8,Hypothèses!$X$8,IF(EE204&lt;=Hypothèses!$V$9,Hypothèses!$X$9,IF(EE204&lt;=Hypothèses!$V$10,Hypothèses!$X$10,IF(EE204&lt;=Hypothèses!$V$11,Hypothèses!$X$11,IF(EE204&lt;=Hypothèses!$V$12,Hypothèses!$X$12,IF(EE204&lt;=Hypothèses!$V$13,Hypothèses!$X$13,IF(EE204&lt;=Hypothèses!$V$14,Hypothèses!$X$14,IF(EE204&lt;=Hypothèses!$V$15,Hypothèses!$X$15,IF(EE204&lt;=Hypothèses!$V$16,Hypothèses!$X$16,IF(EE204&lt;=Hypothèses!$U$17,Hypothèses!$W$17,IF(EE204&lt;=Hypothèses!$U$18,Hypothèses!$W$18,""))))))))))))</f>
        <v>#DIV/0!</v>
      </c>
      <c r="FB204" s="95" t="e">
        <f t="shared" ca="1" si="297"/>
        <v>#DIV/0!</v>
      </c>
      <c r="FC204" s="101" t="e">
        <f t="shared" si="330"/>
        <v>#N/A</v>
      </c>
      <c r="FD204" s="91" t="e">
        <f t="shared" si="266"/>
        <v>#N/A</v>
      </c>
      <c r="FE204" s="30" t="e">
        <f t="shared" si="314"/>
        <v>#N/A</v>
      </c>
      <c r="FF204" s="30" t="e">
        <f t="shared" si="315"/>
        <v>#N/A</v>
      </c>
      <c r="FG204" s="31" t="e">
        <f>IF(OR(Hypothèses!$B$4=17,Hypothèses!$B$4=18,Hypothèses!$B$4=19,Hypothèses!$B$4=20),
IF($D204="Pressio.",
IF(OR($E204=3,$E204=1,$E204=4),FF204,FE204),
IF($D204="Pénétro.",
IF(OR($E204=3,$E204=1,$E204=4),FF204,FE204))),IF($D204="Pressio.",
IF($E204=3,FF204,FE204),
IF($D204="Pénétro.",
IF($E204=4,FF204,FE204))))</f>
        <v>#N/A</v>
      </c>
      <c r="FH204" s="31" t="e">
        <f>(IF(OR(Hypothèses!$B$4=17,Hypothèses!$B$4=18,Hypothèses!$B$4=19,Hypothèses!$B$4=20),
IF($D204="Pressio.",
IF(OR($E204=3,$E204=1,$E204=4),(PI()*FH$12^2)/4*(FD204*$W204*1000)/($H204*$B$5),(PI()*FH$12^2)/4*(FD204*$W204*1000)/($G204*$B$5)),
IF($D204="Pénétro.",
IF(OR($E204=4,$E204=1,$E204=5),(PI()*FH$12^2)/4*(FD204*$W204*1000)/($H204*$B$5),(PI()*FH$12^2)/4*(FD204*$W204*1000)/($G204*$B$5)))),
IF($D204="Pressio.",
IF($E204=3,(PI()*FH$12^2)/4*(FD204*$W204*1000)/($H204*$B$5),(PI()*FH$12^2)/4*(FD204*$W204*1000)/($G204*$B$5)),
IF($D204="Pénétro.",
IF($E204=4,(PI()*FH$12^2)/4*(FD204*$W204*1000)/($H204*$B$5),(PI()*FH$12^2)/4*(FD204*$W204*1000)/($G204*$B$5))))))/10</f>
        <v>#N/A</v>
      </c>
      <c r="FI204" s="102" t="e">
        <f>(VLOOKUP($B$3,'Coeff EC7'!$T$39:$X$59,2,0)*FG204+VLOOKUP($B$3,'Coeff EC7'!$T$65:$X$85,2,0)*Model0.1C!FH204)/1.1</f>
        <v>#N/A</v>
      </c>
      <c r="FJ204" s="102" t="e">
        <f>(VLOOKUP($B$3,'Coeff EC7'!$T$39:$X$59,3,0)*FG204+VLOOKUP($B$3,'Coeff EC7'!$T$65:$X$85,3,0)*Model0.1C!FH204)/0.9</f>
        <v>#N/A</v>
      </c>
      <c r="FK204" s="102" t="e">
        <f t="shared" si="298"/>
        <v>#N/A</v>
      </c>
      <c r="FL204" s="102" t="e">
        <f t="shared" si="299"/>
        <v>#N/A</v>
      </c>
      <c r="FM204" s="414" t="e">
        <f>IF(FM203=0,0,IF(AND(FI204&gt;charge_ELS_quasi,FJ204&gt;Charge_ELS_freq,FK204&gt;charge_ELU,FL204&gt;charge_ELA,$B204&gt;NDC!$H$22-0.1+MIN(3*$FM$12,1.5)),0,1))</f>
        <v>#N/A</v>
      </c>
    </row>
    <row r="205" spans="1:169">
      <c r="A205" s="96">
        <f t="shared" si="267"/>
        <v>80.800000000001091</v>
      </c>
      <c r="B205" s="97">
        <v>19.2</v>
      </c>
      <c r="C205" s="81">
        <f>IF(B205&lt;=Hypothèses!$C$7,Hypothèses!$A$7,IF(B205&lt;=Hypothèses!$C$8,Hypothèses!$A$8,IF(B205&lt;=Hypothèses!$C$9,Hypothèses!$A$9,IF(B205&lt;=Hypothèses!$C$10,Hypothèses!$A$10,IF(B205&lt;=Hypothèses!$C$11,Hypothèses!$A$11,IF(B205&lt;=Hypothèses!$C$12,Hypothèses!$A$12,IF(B205&lt;=Hypothèses!$C$13,Hypothèses!$A$13,IF(B205&lt;=Hypothèses!$C$14,Hypothèses!$A$14,IF(B205&lt;=Hypothèses!$C$15,Hypothèses!$A$15,IF(B205&lt;=Hypothèses!$C$16,Hypothèses!$A$16,IF(B205&lt;=Hypothèses!$C$17,Hypothèses!$A$17,IF(B205&lt;=Hypothèses!$C$18,Hypothèses!$A$18,C204))))))))))))</f>
        <v>11</v>
      </c>
      <c r="D205" s="82" t="str">
        <f>IF(B205&lt;=Hypothèses!$C$7,Hypothèses!$R$7,IF(B205&lt;=Hypothèses!$C$8,Hypothèses!$R$8,IF(B205&lt;=Hypothèses!$C$9,Hypothèses!$R$9,IF(B205&lt;=Hypothèses!$C$10,Hypothèses!$R$10,IF(B205&lt;=Hypothèses!$C$11,Hypothèses!$R$11,IF(B205&lt;=Hypothèses!$C$12,Hypothèses!$R$12,IF(B205&lt;=Hypothèses!$C$13,Hypothèses!$R$13,IF(B205&lt;=Hypothèses!$C$14,Hypothèses!$R$14,IF(B205&lt;=Hypothèses!$C$15,Hypothèses!$R$15,IF(B205&lt;=Hypothèses!$C$16,Hypothèses!$R$16,IF(B205&lt;=Hypothèses!$C$17,Hypothèses!$R$17,IF(B205&lt;=Hypothèses!$C$18,Hypothèses!$R$18,D204))))))))))))</f>
        <v>Pressio.</v>
      </c>
      <c r="E205" s="82" t="e">
        <f>IF(B205&lt;=Hypothèses!$C$7,Hypothèses!$G$7,IF(B205&lt;=Hypothèses!$C$8,Hypothèses!$G$8,IF(B205&lt;=Hypothèses!$C$9,Hypothèses!$G$9,IF(B205&lt;=Hypothèses!$C$10,Hypothèses!$G$10,IF(B205&lt;=Hypothèses!$C$11,Hypothèses!$G$11,IF(B205&lt;=Hypothèses!$C$12,Hypothèses!$G$12,IF(B205&lt;=Hypothèses!$C$13,Hypothèses!$G$13,IF(B205&lt;=Hypothèses!$C$14,Hypothèses!$G$14,IF(B205&lt;=Hypothèses!$C$15,Hypothèses!$G$15,IF(B205&lt;=Hypothèses!$C$16,Hypothèses!$G$16,IF(B205&lt;=Hypothèses!$C$17,Hypothèses!$G$17,IF(B205&lt;=Hypothèses!$C$18,Hypothèses!$G$18,E204))))))))))))</f>
        <v>#N/A</v>
      </c>
      <c r="F205" s="82" t="str">
        <f>IF(B205&lt;=Hypothèses!$C$7,Hypothèses!$F$7,IF(B205&lt;=Hypothèses!$C$8,Hypothèses!$F$8,IF(B205&lt;=Hypothèses!$C$9,Hypothèses!$F$9,IF(B205&lt;=Hypothèses!$C$10,Hypothèses!$F$10,IF(B205&lt;=Hypothèses!$C$11,Hypothèses!$F$11,IF(B205&lt;=Hypothèses!$C$12,Hypothèses!$F$12,IF(B205&lt;=Hypothèses!$C$13,Hypothèses!$F$13,IF(B205&lt;=Hypothèses!$C$14,Hypothèses!$F$14,IF(B205&lt;=Hypothèses!$C$15,Hypothèses!$F$15,IF(B205&lt;=Hypothèses!$C$16,Hypothèses!$F$16,IF(B205&lt;=Hypothèses!$C$17,Hypothèses!$F$17,IF(B205&lt;=Hypothèses!$C$18,Hypothèses!$F$18,F204))))))))))))</f>
        <v/>
      </c>
      <c r="G205" s="91">
        <f t="array" ref="G205">INDEX('Coeff EC7'!$U$7:$X$27,
MATCH(Model0.1C!$B$3,'Coeff EC7'!$T$7:$T$27,0),
MATCH(Model0.1C!$D205&amp;Model0.1C!$B$4,
'Coeff EC7'!$U$6:$X$6&amp;
'Coeff EC7'!$U$5:$X$5,0))</f>
        <v>1.1499999999999999</v>
      </c>
      <c r="H205" s="91">
        <f t="array" ref="H205">INDEX('Coeff EC7'!$Y$7:$AB$27,
MATCH(Model0.1C!$B$3,'Coeff EC7'!$T$7:$T$27,0),
MATCH(Model0.1C!$D205&amp;Model0.1C!$B$4,
'Coeff EC7'!$Y$6:$AB$6&amp;
'Coeff EC7'!$Y$5:$AB$5,0))</f>
        <v>1.4</v>
      </c>
      <c r="I205" s="83" t="e">
        <f>IF(B205&lt;=Hypothèses!$C$7,Hypothèses!$P$7,IF(B205&lt;=Hypothèses!$C$8,Hypothèses!$P$8,IF(B205&lt;=Hypothèses!$C$9,Hypothèses!$P$9,IF(B205&lt;=Hypothèses!$C$10,Hypothèses!$P$10,IF(B205&lt;=Hypothèses!$C$11,Hypothèses!$P$11,IF(B205&lt;=Hypothèses!$C$12,Hypothèses!$P$12,IF(B205&lt;=Hypothèses!$C$13,Hypothèses!$P$13,IF(B205&lt;=Hypothèses!$C$14,Hypothèses!$P$14,IF(B205&lt;=Hypothèses!$C$15,Hypothèses!$P$15,IF(B205&lt;=Hypothèses!$C$16,Hypothèses!$P$16,IF(B205&lt;=Hypothèses!$C$17,Hypothèses!$P$17,IF(B205&lt;=Hypothèses!$C$18,Hypothèses!$P$18,I204))))))))))))</f>
        <v>#N/A</v>
      </c>
      <c r="J205" s="91" t="e">
        <f t="array" ref="J205">INDEX('Coeff EC7'!$D$33:$Q$33,1,MATCH(D205&amp;E205,'Coeff EC7'!$D$31:$Q$31&amp;'Coeff EC7'!$D$32:$Q$32,0))</f>
        <v>#N/A</v>
      </c>
      <c r="K205" s="91" t="e">
        <f t="array" ref="K205">INDEX('Coeff EC7'!$D$34:$Q$34,1,MATCH(D205&amp;E205,'Coeff EC7'!$D$31:$Q$31&amp;'Coeff EC7'!$D$32:$Q$32,0))</f>
        <v>#N/A</v>
      </c>
      <c r="L205" s="91" t="e">
        <f t="array" ref="L205">INDEX('Coeff EC7'!$D$35:$Q$35,1,MATCH(D205&amp;E205,'Coeff EC7'!$D$31:$Q$31&amp;'Coeff EC7'!$D$32:$Q$32,0))</f>
        <v>#N/A</v>
      </c>
      <c r="M205" s="98" t="e">
        <f t="shared" ref="M205:M268" si="331">((J205*F205+K205)*(1-(EXP(-L205*F205))))</f>
        <v>#N/A</v>
      </c>
      <c r="N205" s="99" t="e">
        <f t="array" ref="N205">INDEX('Coeff EC7'!$D$7:$Q$27,MATCH($B$3,'Coeff EC7'!$C$7:$C$27,0),MATCH(D205&amp;E205,'Coeff EC7'!$D$5:$Q$5&amp;'Coeff EC7'!$D$6:$Q$6,0))</f>
        <v>#N/A</v>
      </c>
      <c r="O205" s="99" t="e">
        <f t="array" ref="O205">INDEX('Coeff EC7'!$D$41:$Q$61,MATCH($B$3,'Coeff EC7'!$C$41:$C$61,0),MATCH(D205&amp;E205,'Coeff EC7'!$D$39:$Q$39&amp;'Coeff EC7'!$D$40:$Q$40,0))</f>
        <v>#N/A</v>
      </c>
      <c r="P205" s="30" t="e">
        <f t="shared" si="268"/>
        <v>#N/A</v>
      </c>
      <c r="Q205" s="100" t="e">
        <f t="shared" si="233"/>
        <v>#N/A</v>
      </c>
      <c r="R205" s="86" t="b">
        <f t="shared" si="234"/>
        <v>0</v>
      </c>
      <c r="S205" s="86">
        <f t="shared" ref="S205:S268" si="332">MAX($AF$12/2,0.5)</f>
        <v>0.5</v>
      </c>
      <c r="T205" s="86">
        <f t="shared" si="235"/>
        <v>0.5</v>
      </c>
      <c r="U205" s="30" t="e">
        <f t="shared" ca="1" si="269"/>
        <v>#DIV/0!</v>
      </c>
      <c r="V205" s="85" t="str">
        <f>IF(B205&lt;=Hypothèses!$V$7,Hypothèses!$W$7,IF(B205&lt;=Hypothèses!$V$8,Hypothèses!$W$8,IF(B205&lt;=Hypothèses!$V$9,Hypothèses!$W$9,IF(B205&lt;=Hypothèses!$V$10,Hypothèses!$W$10,IF(B205&lt;=Hypothèses!$V$11,Hypothèses!$W$11,IF(B205&lt;=Hypothèses!$V$12,Hypothèses!$W$12,IF(B205&lt;=Hypothèses!$V$13,Hypothèses!$W$13,IF(B205&lt;=Hypothèses!$V$14,Hypothèses!$W$14,IF(B205&lt;=Hypothèses!$V$15,Hypothèses!$W$15,IF(B205&lt;=Hypothèses!$V$16,Hypothèses!$W$16,IF(B205&lt;=Hypothèses!$V$17,Hypothèses!$W$17,IF(B205&lt;=Hypothèses!$V$18,Hypothèses!$W$18,""))))))))))))</f>
        <v/>
      </c>
      <c r="W205" s="87" t="e">
        <f t="shared" ca="1" si="316"/>
        <v>#DIV/0!</v>
      </c>
      <c r="X205" s="88" t="str">
        <f>IF(B205&lt;=Hypothèses!$V$7,Hypothèses!$X$7,IF(B205&lt;=Hypothèses!$V$8,Hypothèses!$X$8,IF(B205&lt;=Hypothèses!$V$9,Hypothèses!$X$9,IF(B205&lt;=Hypothèses!$V$10,Hypothèses!$X$10,IF(B205&lt;=Hypothèses!$V$11,Hypothèses!$X$11,IF(B205&lt;=Hypothèses!$V$12,Hypothèses!$X$12,IF(B205&lt;=Hypothèses!$V$13,Hypothèses!$X$13,IF(B205&lt;=Hypothèses!$V$14,Hypothèses!$X$14,IF(B205&lt;=Hypothèses!$V$15,Hypothèses!$X$15,IF(B205&lt;=Hypothèses!$V$16,Hypothèses!$X$16,IF(B205&lt;=Hypothèses!$U$17,Hypothèses!$W$17,IF(B205&lt;=Hypothèses!$U$18,Hypothèses!$W$18,""))))))))))))</f>
        <v/>
      </c>
      <c r="Y205" s="95" t="e">
        <f t="shared" ca="1" si="236"/>
        <v>#DIV/0!</v>
      </c>
      <c r="Z205" s="101" t="e">
        <f t="shared" si="237"/>
        <v>#N/A</v>
      </c>
      <c r="AA205" s="91" t="e">
        <f t="shared" si="238"/>
        <v>#N/A</v>
      </c>
      <c r="AB205" s="30" t="e">
        <f t="shared" si="300"/>
        <v>#N/A</v>
      </c>
      <c r="AC205" s="30" t="e">
        <f t="shared" si="301"/>
        <v>#N/A</v>
      </c>
      <c r="AD205" s="31" t="e">
        <f>IF(OR(Hypothèses!$B$4=17,Hypothèses!$B$4=18,Hypothèses!$B$4=19,Hypothèses!$B$4=20),
IF($D205="Pressio.",
IF(OR($E205=3,$E205=1,$E205=4),AC205,AB205),
IF($D205="Pénétro.",
IF(OR($E205=3,$E205=1,$E205=4),AC205,AB205))),IF($D205="Pressio.",
IF($E205=3,AC205,AB205),
IF($D205="Pénétro.",
IF($E205=4,AC205,AB205))))</f>
        <v>#N/A</v>
      </c>
      <c r="AE205" s="31" t="e">
        <f>(IF(OR(Hypothèses!$B$4=17,Hypothèses!$B$4=18,Hypothèses!$B$4=19,Hypothèses!$B$4=20),
IF($D205="Pressio.",
IF(OR($E205=3,$E205=1,$E205=4),(PI()*AE$12^2)/4*(AA205*$W205*1000)/($H205*$B$5),(PI()*AE$12^2)/4*(AA205*$W205*1000)/($G205*$B$5)),
IF($D205="Pénétro.",
IF(OR($E205=4,$E205=1,$E205=5),(PI()*AE$12^2)/4*(AA205*$W205*1000)/($H205*$B$5),(PI()*AE$12^2)/4*(AA205*$W205*1000)/($G205*$B$5)))),
IF($D205="Pressio.",
IF($E205=3,(PI()*AE$12^2)/4*(AA205*$W205*1000)/($H205*$B$5),(PI()*AE$12^2)/4*(AA205*$W205*1000)/($G205*$B$5)),
IF($D205="Pénétro.",
IF($E205=4,(PI()*AE$12^2)/4*(AA205*$W205*1000)/($H205*$B$5),(PI()*AE$12^2)/4*(AA205*$W205*1000)/($G205*$B$5))))))/10</f>
        <v>#N/A</v>
      </c>
      <c r="AF205" s="102" t="e">
        <f>(VLOOKUP($B$3,'Coeff EC7'!$T$39:$X$59,2,0)*AD205+VLOOKUP($B$3,'Coeff EC7'!$T$65:$X$85,2,0)*Model0.1C!AE205)/1.1</f>
        <v>#N/A</v>
      </c>
      <c r="AG205" s="102" t="e">
        <f>(VLOOKUP($B$3,'Coeff EC7'!$T$39:$X$59,3,0)*AD205+VLOOKUP($B$3,'Coeff EC7'!$T$65:$X$85,3,0)*Model0.1C!AE205)/0.9</f>
        <v>#N/A</v>
      </c>
      <c r="AH205" s="102" t="e">
        <f t="shared" si="239"/>
        <v>#N/A</v>
      </c>
      <c r="AI205" s="102" t="e">
        <f t="shared" si="240"/>
        <v>#N/A</v>
      </c>
      <c r="AJ205" s="414" t="e">
        <f>IF(AJ204=0,0,IF(AND(AF205&gt;charge_ELS_quasi,AG205&gt;Charge_ELS_freq,AH205&gt;charge_ELU,AI205&gt;charge_ELA,$B205&gt;NDC!$H$22-0.1+MIN(3*$AJ$12,1.5)),0,1))</f>
        <v>#N/A</v>
      </c>
      <c r="AK205" s="86" t="b">
        <f t="shared" si="241"/>
        <v>0</v>
      </c>
      <c r="AL205" s="86">
        <f t="shared" si="270"/>
        <v>0.5</v>
      </c>
      <c r="AM205" s="86">
        <f t="shared" si="242"/>
        <v>0.5</v>
      </c>
      <c r="AN205" s="30" t="e">
        <f t="shared" ca="1" si="271"/>
        <v>#DIV/0!</v>
      </c>
      <c r="AO205" s="85" t="e">
        <f ca="1">IF(U205&lt;=Hypothèses!$V$7,Hypothèses!$W$7,IF(U205&lt;=Hypothèses!$V$8,Hypothèses!$W$8,IF(U205&lt;=Hypothèses!$V$9,Hypothèses!$W$9,IF(U205&lt;=Hypothèses!$V$10,Hypothèses!$W$10,IF(U205&lt;=Hypothèses!$V$11,Hypothèses!$W$11,IF(U205&lt;=Hypothèses!$V$12,Hypothèses!$W$12,IF(U205&lt;=Hypothèses!$V$13,Hypothèses!$W$13,IF(U205&lt;=Hypothèses!$V$14,Hypothèses!$W$14,IF(U205&lt;=Hypothèses!$V$15,Hypothèses!$W$15,IF(U205&lt;=Hypothèses!$V$16,Hypothèses!$W$16,IF(U205&lt;=Hypothèses!$V$17,Hypothèses!$W$17,IF(U205&lt;=Hypothèses!$V$18,Hypothèses!$W$18,""))))))))))))</f>
        <v>#DIV/0!</v>
      </c>
      <c r="AP205" s="87" t="e">
        <f t="shared" ca="1" si="317"/>
        <v>#DIV/0!</v>
      </c>
      <c r="AQ205" s="88" t="e">
        <f ca="1">IF(U205&lt;=Hypothèses!$V$7,Hypothèses!$X$7,IF(U205&lt;=Hypothèses!$V$8,Hypothèses!$X$8,IF(U205&lt;=Hypothèses!$V$9,Hypothèses!$X$9,IF(U205&lt;=Hypothèses!$V$10,Hypothèses!$X$10,IF(U205&lt;=Hypothèses!$V$11,Hypothèses!$X$11,IF(U205&lt;=Hypothèses!$V$12,Hypothèses!$X$12,IF(U205&lt;=Hypothèses!$V$13,Hypothèses!$X$13,IF(U205&lt;=Hypothèses!$V$14,Hypothèses!$X$14,IF(U205&lt;=Hypothèses!$V$15,Hypothèses!$X$15,IF(U205&lt;=Hypothèses!$V$16,Hypothèses!$X$16,IF(U205&lt;=Hypothèses!$U$17,Hypothèses!$W$17,IF(U205&lt;=Hypothèses!$U$18,Hypothèses!$W$18,""))))))))))))</f>
        <v>#DIV/0!</v>
      </c>
      <c r="AR205" s="95" t="e">
        <f t="shared" ca="1" si="272"/>
        <v>#DIV/0!</v>
      </c>
      <c r="AS205" s="101" t="e">
        <f t="shared" si="324"/>
        <v>#N/A</v>
      </c>
      <c r="AT205" s="91" t="e">
        <f t="shared" si="243"/>
        <v>#N/A</v>
      </c>
      <c r="AU205" s="30" t="e">
        <f t="shared" si="302"/>
        <v>#N/A</v>
      </c>
      <c r="AV205" s="30" t="e">
        <f t="shared" si="303"/>
        <v>#N/A</v>
      </c>
      <c r="AW205" s="31" t="e">
        <f>IF(OR(Hypothèses!$B$4=17,Hypothèses!$B$4=18,Hypothèses!$B$4=19,Hypothèses!$B$4=20),
IF($D205="Pressio.",
IF(OR($E205=3,$E205=1,$E205=4),AV205,AU205),
IF($D205="Pénétro.",
IF(OR($E205=3,$E205=1,$E205=4),AV205,AU205))),IF($D205="Pressio.",
IF($E205=3,AV205,AU205),
IF($D205="Pénétro.",
IF($E205=4,AV205,AU205))))</f>
        <v>#N/A</v>
      </c>
      <c r="AX205" s="31" t="e">
        <f>(IF(OR(Hypothèses!$B$4=17,Hypothèses!$B$4=18,Hypothèses!$B$4=19,Hypothèses!$B$4=20),
IF($D205="Pressio.",
IF(OR($E205=3,$E205=1,$E205=4),(PI()*AX$12^2)/4*(AT205*$W205*1000)/($H205*$B$5),(PI()*AX$12^2)/4*(AT205*$W205*1000)/($G205*$B$5)),
IF($D205="Pénétro.",
IF(OR($E205=4,$E205=1,$E205=5),(PI()*AX$12^2)/4*(AT205*$W205*1000)/($H205*$B$5),(PI()*AX$12^2)/4*(AT205*$W205*1000)/($G205*$B$5)))),
IF($D205="Pressio.",
IF($E205=3,(PI()*AX$12^2)/4*(AT205*$W205*1000)/($H205*$B$5),(PI()*AX$12^2)/4*(AT205*$W205*1000)/($G205*$B$5)),
IF($D205="Pénétro.",
IF($E205=4,(PI()*AX$12^2)/4*(AT205*$W205*1000)/($H205*$B$5),(PI()*AX$12^2)/4*(AT205*$W205*1000)/($G205*$B$5))))))/10</f>
        <v>#N/A</v>
      </c>
      <c r="AY205" s="102" t="e">
        <f>(VLOOKUP($B$3,'Coeff EC7'!$T$39:$X$59,2,0)*AW205+VLOOKUP($B$3,'Coeff EC7'!$T$65:$X$85,2,0)*Model0.1C!AX205)/1.1</f>
        <v>#N/A</v>
      </c>
      <c r="AZ205" s="102" t="e">
        <f>(VLOOKUP($B$3,'Coeff EC7'!$T$39:$X$59,3,0)*AW205+VLOOKUP($B$3,'Coeff EC7'!$T$65:$X$85,3,0)*Model0.1C!AX205)/0.9</f>
        <v>#N/A</v>
      </c>
      <c r="BA205" s="102" t="e">
        <f t="shared" si="273"/>
        <v>#N/A</v>
      </c>
      <c r="BB205" s="102" t="e">
        <f t="shared" si="274"/>
        <v>#N/A</v>
      </c>
      <c r="BC205" s="414" t="e">
        <f>IF(BC204=0,0,IF(AND(AY205&gt;charge_ELS_quasi,AZ205&gt;Charge_ELS_freq,BA205&gt;charge_ELU,BB205&gt;charge_ELA,$B205&gt;NDC!$H$22-0.1+MIN(3*$BC$12,1.5)),0,1))</f>
        <v>#N/A</v>
      </c>
      <c r="BD205" s="86" t="b">
        <f t="shared" si="244"/>
        <v>0</v>
      </c>
      <c r="BE205" s="86">
        <f t="shared" si="275"/>
        <v>0.5</v>
      </c>
      <c r="BF205" s="86">
        <f t="shared" si="245"/>
        <v>0.5</v>
      </c>
      <c r="BG205" s="30" t="e">
        <f t="shared" ca="1" si="276"/>
        <v>#DIV/0!</v>
      </c>
      <c r="BH205" s="85" t="e">
        <f ca="1">IF(AN205&lt;=Hypothèses!$V$7,Hypothèses!$W$7,IF(AN205&lt;=Hypothèses!$V$8,Hypothèses!$W$8,IF(AN205&lt;=Hypothèses!$V$9,Hypothèses!$W$9,IF(AN205&lt;=Hypothèses!$V$10,Hypothèses!$W$10,IF(AN205&lt;=Hypothèses!$V$11,Hypothèses!$W$11,IF(AN205&lt;=Hypothèses!$V$12,Hypothèses!$W$12,IF(AN205&lt;=Hypothèses!$V$13,Hypothèses!$W$13,IF(AN205&lt;=Hypothèses!$V$14,Hypothèses!$W$14,IF(AN205&lt;=Hypothèses!$V$15,Hypothèses!$W$15,IF(AN205&lt;=Hypothèses!$V$16,Hypothèses!$W$16,IF(AN205&lt;=Hypothèses!$V$17,Hypothèses!$W$17,IF(AN205&lt;=Hypothèses!$V$18,Hypothèses!$W$18,""))))))))))))</f>
        <v>#DIV/0!</v>
      </c>
      <c r="BI205" s="87" t="e">
        <f t="shared" ca="1" si="318"/>
        <v>#DIV/0!</v>
      </c>
      <c r="BJ205" s="88" t="e">
        <f ca="1">IF(AN205&lt;=Hypothèses!$V$7,Hypothèses!$X$7,IF(AN205&lt;=Hypothèses!$V$8,Hypothèses!$X$8,IF(AN205&lt;=Hypothèses!$V$9,Hypothèses!$X$9,IF(AN205&lt;=Hypothèses!$V$10,Hypothèses!$X$10,IF(AN205&lt;=Hypothèses!$V$11,Hypothèses!$X$11,IF(AN205&lt;=Hypothèses!$V$12,Hypothèses!$X$12,IF(AN205&lt;=Hypothèses!$V$13,Hypothèses!$X$13,IF(AN205&lt;=Hypothèses!$V$14,Hypothèses!$X$14,IF(AN205&lt;=Hypothèses!$V$15,Hypothèses!$X$15,IF(AN205&lt;=Hypothèses!$V$16,Hypothèses!$X$16,IF(AN205&lt;=Hypothèses!$U$17,Hypothèses!$W$17,IF(AN205&lt;=Hypothèses!$U$18,Hypothèses!$W$18,""))))))))))))</f>
        <v>#DIV/0!</v>
      </c>
      <c r="BK205" s="95" t="e">
        <f t="shared" ca="1" si="277"/>
        <v>#DIV/0!</v>
      </c>
      <c r="BL205" s="101" t="e">
        <f t="shared" si="325"/>
        <v>#N/A</v>
      </c>
      <c r="BM205" s="91" t="e">
        <f t="shared" si="246"/>
        <v>#N/A</v>
      </c>
      <c r="BN205" s="30" t="e">
        <f t="shared" si="304"/>
        <v>#N/A</v>
      </c>
      <c r="BO205" s="30" t="e">
        <f t="shared" si="305"/>
        <v>#N/A</v>
      </c>
      <c r="BP205" s="31" t="e">
        <f>IF(OR(Hypothèses!$B$4=17,Hypothèses!$B$4=18,Hypothèses!$B$4=19,Hypothèses!$B$4=20),
IF($D205="Pressio.",
IF(OR($E205=3,$E205=1,$E205=4),BO205,BN205),
IF($D205="Pénétro.",
IF(OR($E205=3,$E205=1,$E205=4),BO205,BN205))),IF($D205="Pressio.",
IF($E205=3,BO205,BN205),
IF($D205="Pénétro.",
IF($E205=4,BO205,BN205))))</f>
        <v>#N/A</v>
      </c>
      <c r="BQ205" s="31" t="e">
        <f>(IF(OR(Hypothèses!$B$4=17,Hypothèses!$B$4=18,Hypothèses!$B$4=19,Hypothèses!$B$4=20),
IF($D205="Pressio.",
IF(OR($E205=3,$E205=1,$E205=4),(PI()*BQ$12^2)/4*(BM205*$W205*1000)/($H205*$B$5),(PI()*BQ$12^2)/4*(BM205*$W205*1000)/($G205*$B$5)),
IF($D205="Pénétro.",
IF(OR($E205=4,$E205=1,$E205=5),(PI()*BQ$12^2)/4*(BM205*$W205*1000)/($H205*$B$5),(PI()*BQ$12^2)/4*(BM205*$W205*1000)/($G205*$B$5)))),
IF($D205="Pressio.",
IF($E205=3,(PI()*BQ$12^2)/4*(BM205*$W205*1000)/($H205*$B$5),(PI()*BQ$12^2)/4*(BM205*$W205*1000)/($G205*$B$5)),
IF($D205="Pénétro.",
IF($E205=4,(PI()*BQ$12^2)/4*(BM205*$W205*1000)/($H205*$B$5),(PI()*BQ$12^2)/4*(BM205*$W205*1000)/($G205*$B$5))))))/10</f>
        <v>#N/A</v>
      </c>
      <c r="BR205" s="102" t="e">
        <f>(VLOOKUP($B$3,'Coeff EC7'!$T$39:$X$59,2,0)*BP205+VLOOKUP($B$3,'Coeff EC7'!$T$65:$X$85,2,0)*Model0.1C!BQ205)/1.1</f>
        <v>#N/A</v>
      </c>
      <c r="BS205" s="102" t="e">
        <f>(VLOOKUP($B$3,'Coeff EC7'!$T$39:$X$59,3,0)*BP205+VLOOKUP($B$3,'Coeff EC7'!$T$65:$X$85,3,0)*Model0.1C!BQ205)/0.9</f>
        <v>#N/A</v>
      </c>
      <c r="BT205" s="102" t="e">
        <f t="shared" si="278"/>
        <v>#N/A</v>
      </c>
      <c r="BU205" s="102" t="e">
        <f t="shared" si="279"/>
        <v>#N/A</v>
      </c>
      <c r="BV205" s="414" t="e">
        <f>IF(BV204=0,0,IF(AND(BR205&gt;charge_ELS_quasi,BS205&gt;Charge_ELS_freq,BT205&gt;charge_ELU,BU205&gt;charge_ELA,$B205&gt;NDC!$H$22-0.1+MIN(3*$BV$12,1.5)),0,1))</f>
        <v>#N/A</v>
      </c>
      <c r="BW205" s="86" t="b">
        <f t="shared" si="247"/>
        <v>0</v>
      </c>
      <c r="BX205" s="86">
        <f t="shared" si="248"/>
        <v>0.5</v>
      </c>
      <c r="BY205" s="86">
        <f t="shared" si="249"/>
        <v>0.5</v>
      </c>
      <c r="BZ205" s="30" t="e">
        <f t="shared" ca="1" si="280"/>
        <v>#DIV/0!</v>
      </c>
      <c r="CA205" s="85" t="e">
        <f ca="1">IF(BG205&lt;=Hypothèses!$V$7,Hypothèses!$W$7,IF(BG205&lt;=Hypothèses!$V$8,Hypothèses!$W$8,IF(BG205&lt;=Hypothèses!$V$9,Hypothèses!$W$9,IF(BG205&lt;=Hypothèses!$V$10,Hypothèses!$W$10,IF(BG205&lt;=Hypothèses!$V$11,Hypothèses!$W$11,IF(BG205&lt;=Hypothèses!$V$12,Hypothèses!$W$12,IF(BG205&lt;=Hypothèses!$V$13,Hypothèses!$W$13,IF(BG205&lt;=Hypothèses!$V$14,Hypothèses!$W$14,IF(BG205&lt;=Hypothèses!$V$15,Hypothèses!$W$15,IF(BG205&lt;=Hypothèses!$V$16,Hypothèses!$W$16,IF(BG205&lt;=Hypothèses!$V$17,Hypothèses!$W$17,IF(BG205&lt;=Hypothèses!$V$18,Hypothèses!$W$18,""))))))))))))</f>
        <v>#DIV/0!</v>
      </c>
      <c r="CB205" s="87" t="e">
        <f t="shared" ca="1" si="319"/>
        <v>#DIV/0!</v>
      </c>
      <c r="CC205" s="88" t="e">
        <f ca="1">IF(BG205&lt;=Hypothèses!$V$7,Hypothèses!$X$7,IF(BG205&lt;=Hypothèses!$V$8,Hypothèses!$X$8,IF(BG205&lt;=Hypothèses!$V$9,Hypothèses!$X$9,IF(BG205&lt;=Hypothèses!$V$10,Hypothèses!$X$10,IF(BG205&lt;=Hypothèses!$V$11,Hypothèses!$X$11,IF(BG205&lt;=Hypothèses!$V$12,Hypothèses!$X$12,IF(BG205&lt;=Hypothèses!$V$13,Hypothèses!$X$13,IF(BG205&lt;=Hypothèses!$V$14,Hypothèses!$X$14,IF(BG205&lt;=Hypothèses!$V$15,Hypothèses!$X$15,IF(BG205&lt;=Hypothèses!$V$16,Hypothèses!$X$16,IF(BG205&lt;=Hypothèses!$U$17,Hypothèses!$W$17,IF(BG205&lt;=Hypothèses!$U$18,Hypothèses!$W$18,""))))))))))))</f>
        <v>#DIV/0!</v>
      </c>
      <c r="CD205" s="95" t="e">
        <f t="shared" ca="1" si="281"/>
        <v>#DIV/0!</v>
      </c>
      <c r="CE205" s="101" t="e">
        <f t="shared" si="326"/>
        <v>#N/A</v>
      </c>
      <c r="CF205" s="91" t="e">
        <f t="shared" si="250"/>
        <v>#N/A</v>
      </c>
      <c r="CG205" s="30" t="e">
        <f t="shared" si="306"/>
        <v>#N/A</v>
      </c>
      <c r="CH205" s="30" t="e">
        <f t="shared" si="307"/>
        <v>#N/A</v>
      </c>
      <c r="CI205" s="31" t="e">
        <f>IF(OR(Hypothèses!$B$4=17,Hypothèses!$B$4=18,Hypothèses!$B$4=19,Hypothèses!$B$4=20),
IF($D205="Pressio.",
IF(OR($E205=3,$E205=1,$E205=4),CH205,CG205),
IF($D205="Pénétro.",
IF(OR($E205=3,$E205=1,$E205=4),CH205,CG205))),IF($D205="Pressio.",
IF($E205=3,CH205,CG205),
IF($D205="Pénétro.",
IF($E205=4,CH205,CG205))))</f>
        <v>#N/A</v>
      </c>
      <c r="CJ205" s="31" t="e">
        <f>(IF(OR(Hypothèses!$B$4=17,Hypothèses!$B$4=18,Hypothèses!$B$4=19,Hypothèses!$B$4=20),
IF($D205="Pressio.",
IF(OR($E205=3,$E205=1,$E205=4),(PI()*CJ$12^2)/4*(CF205*$W205*1000)/($H205*$B$5),(PI()*CJ$12^2)/4*(CF205*$W205*1000)/($G205*$B$5)),
IF($D205="Pénétro.",
IF(OR($E205=4,$E205=1,$E205=5),(PI()*CJ$12^2)/4*(CF205*$W205*1000)/($H205*$B$5),(PI()*CJ$12^2)/4*(CF205*$W205*1000)/($G205*$B$5)))),
IF($D205="Pressio.",
IF($E205=3,(PI()*CJ$12^2)/4*(CF205*$W205*1000)/($H205*$B$5),(PI()*CJ$12^2)/4*(CF205*$W205*1000)/($G205*$B$5)),
IF($D205="Pénétro.",
IF($E205=4,(PI()*CJ$12^2)/4*(CF205*$W205*1000)/($H205*$B$5),(PI()*CJ$12^2)/4*(CF205*$W205*1000)/($G205*$B$5))))))/10</f>
        <v>#N/A</v>
      </c>
      <c r="CK205" s="102" t="e">
        <f>(VLOOKUP($B$3,'Coeff EC7'!$T$39:$X$59,2,0)*CI205+VLOOKUP($B$3,'Coeff EC7'!$T$65:$X$85,2,0)*Model0.1C!CJ205)/1.1</f>
        <v>#N/A</v>
      </c>
      <c r="CL205" s="102" t="e">
        <f>(VLOOKUP($B$3,'Coeff EC7'!$T$39:$X$59,3,0)*CI205+VLOOKUP($B$3,'Coeff EC7'!$T$65:$X$85,3,0)*Model0.1C!CJ205)/0.9</f>
        <v>#N/A</v>
      </c>
      <c r="CM205" s="102" t="e">
        <f t="shared" si="282"/>
        <v>#N/A</v>
      </c>
      <c r="CN205" s="102" t="e">
        <f t="shared" si="283"/>
        <v>#N/A</v>
      </c>
      <c r="CO205" s="414" t="e">
        <f>IF(CO204=0,0,IF(AND(CK205&gt;charge_ELS_quasi,CL205&gt;Charge_ELS_freq,CM205&gt;charge_ELU,CN205&gt;charge_ELA,$B205&gt;NDC!$H$22-0.1+MIN(3*$CO$12,1.5)),0,1))</f>
        <v>#N/A</v>
      </c>
      <c r="CP205" s="86" t="b">
        <f t="shared" si="251"/>
        <v>0</v>
      </c>
      <c r="CQ205" s="86">
        <f t="shared" si="252"/>
        <v>0.5</v>
      </c>
      <c r="CR205" s="86">
        <f t="shared" si="253"/>
        <v>0.5</v>
      </c>
      <c r="CS205" s="30" t="e">
        <f t="shared" ca="1" si="284"/>
        <v>#DIV/0!</v>
      </c>
      <c r="CT205" s="85" t="e">
        <f ca="1">IF(BZ205&lt;=Hypothèses!$V$7,Hypothèses!$W$7,IF(BZ205&lt;=Hypothèses!$V$8,Hypothèses!$W$8,IF(BZ205&lt;=Hypothèses!$V$9,Hypothèses!$W$9,IF(BZ205&lt;=Hypothèses!$V$10,Hypothèses!$W$10,IF(BZ205&lt;=Hypothèses!$V$11,Hypothèses!$W$11,IF(BZ205&lt;=Hypothèses!$V$12,Hypothèses!$W$12,IF(BZ205&lt;=Hypothèses!$V$13,Hypothèses!$W$13,IF(BZ205&lt;=Hypothèses!$V$14,Hypothèses!$W$14,IF(BZ205&lt;=Hypothèses!$V$15,Hypothèses!$W$15,IF(BZ205&lt;=Hypothèses!$V$16,Hypothèses!$W$16,IF(BZ205&lt;=Hypothèses!$V$17,Hypothèses!$W$17,IF(BZ205&lt;=Hypothèses!$V$18,Hypothèses!$W$18,""))))))))))))</f>
        <v>#DIV/0!</v>
      </c>
      <c r="CU205" s="87" t="e">
        <f t="shared" ca="1" si="320"/>
        <v>#DIV/0!</v>
      </c>
      <c r="CV205" s="88" t="e">
        <f ca="1">IF(BZ205&lt;=Hypothèses!$V$7,Hypothèses!$X$7,IF(BZ205&lt;=Hypothèses!$V$8,Hypothèses!$X$8,IF(BZ205&lt;=Hypothèses!$V$9,Hypothèses!$X$9,IF(BZ205&lt;=Hypothèses!$V$10,Hypothèses!$X$10,IF(BZ205&lt;=Hypothèses!$V$11,Hypothèses!$X$11,IF(BZ205&lt;=Hypothèses!$V$12,Hypothèses!$X$12,IF(BZ205&lt;=Hypothèses!$V$13,Hypothèses!$X$13,IF(BZ205&lt;=Hypothèses!$V$14,Hypothèses!$X$14,IF(BZ205&lt;=Hypothèses!$V$15,Hypothèses!$X$15,IF(BZ205&lt;=Hypothèses!$V$16,Hypothèses!$X$16,IF(BZ205&lt;=Hypothèses!$U$17,Hypothèses!$W$17,IF(BZ205&lt;=Hypothèses!$U$18,Hypothèses!$W$18,""))))))))))))</f>
        <v>#DIV/0!</v>
      </c>
      <c r="CW205" s="95" t="e">
        <f t="shared" ca="1" si="285"/>
        <v>#DIV/0!</v>
      </c>
      <c r="CX205" s="101" t="e">
        <f t="shared" si="327"/>
        <v>#N/A</v>
      </c>
      <c r="CY205" s="91" t="e">
        <f t="shared" si="254"/>
        <v>#N/A</v>
      </c>
      <c r="CZ205" s="30" t="e">
        <f t="shared" si="308"/>
        <v>#N/A</v>
      </c>
      <c r="DA205" s="30" t="e">
        <f t="shared" si="309"/>
        <v>#N/A</v>
      </c>
      <c r="DB205" s="31" t="e">
        <f>IF(OR(Hypothèses!$B$4=17,Hypothèses!$B$4=18,Hypothèses!$B$4=19,Hypothèses!$B$4=20),
IF($D205="Pressio.",
IF(OR($E205=3,$E205=1,$E205=4),DA205,CZ205),
IF($D205="Pénétro.",
IF(OR($E205=3,$E205=1,$E205=4),DA205,CZ205))),IF($D205="Pressio.",
IF($E205=3,DA205,CZ205),
IF($D205="Pénétro.",
IF($E205=4,DA205,CZ205))))</f>
        <v>#N/A</v>
      </c>
      <c r="DC205" s="31" t="e">
        <f>(IF(OR(Hypothèses!$B$4=17,Hypothèses!$B$4=18,Hypothèses!$B$4=19,Hypothèses!$B$4=20),
IF($D205="Pressio.",
IF(OR($E205=3,$E205=1,$E205=4),(PI()*DC$12^2)/4*(CY205*$W205*1000)/($H205*$B$5),(PI()*DC$12^2)/4*(CY205*$W205*1000)/($G205*$B$5)),
IF($D205="Pénétro.",
IF(OR($E205=4,$E205=1,$E205=5),(PI()*DC$12^2)/4*(CY205*$W205*1000)/($H205*$B$5),(PI()*DC$12^2)/4*(CY205*$W205*1000)/($G205*$B$5)))),
IF($D205="Pressio.",
IF($E205=3,(PI()*DC$12^2)/4*(CY205*$W205*1000)/($H205*$B$5),(PI()*DC$12^2)/4*(CY205*$W205*1000)/($G205*$B$5)),
IF($D205="Pénétro.",
IF($E205=4,(PI()*DC$12^2)/4*(CY205*$W205*1000)/($H205*$B$5),(PI()*DC$12^2)/4*(CY205*$W205*1000)/($G205*$B$5))))))/10</f>
        <v>#N/A</v>
      </c>
      <c r="DD205" s="102" t="e">
        <f>(VLOOKUP($B$3,'Coeff EC7'!$T$39:$X$59,2,0)*DB205+VLOOKUP($B$3,'Coeff EC7'!$T$65:$X$85,2,0)*Model0.1C!DC205)/1.1</f>
        <v>#N/A</v>
      </c>
      <c r="DE205" s="102" t="e">
        <f>(VLOOKUP($B$3,'Coeff EC7'!$T$39:$X$59,3,0)*DB205+VLOOKUP($B$3,'Coeff EC7'!$T$65:$X$85,3,0)*Model0.1C!DC205)/0.9</f>
        <v>#N/A</v>
      </c>
      <c r="DF205" s="102" t="e">
        <f t="shared" si="286"/>
        <v>#N/A</v>
      </c>
      <c r="DG205" s="102" t="e">
        <f t="shared" si="287"/>
        <v>#N/A</v>
      </c>
      <c r="DH205" s="414" t="e">
        <f>IF(DH204=0,0,IF(AND(DD205&gt;charge_ELS_quasi,DE205&gt;Charge_ELS_freq,DF205&gt;charge_ELU,DG205&gt;charge_ELA,$B205&gt;NDC!$H$22-0.1+MIN(3*$DH$12,1.5)),0,1))</f>
        <v>#N/A</v>
      </c>
      <c r="DI205" s="86" t="b">
        <f t="shared" si="255"/>
        <v>0</v>
      </c>
      <c r="DJ205" s="86">
        <f t="shared" si="256"/>
        <v>0.5</v>
      </c>
      <c r="DK205" s="86">
        <f t="shared" si="257"/>
        <v>0.5</v>
      </c>
      <c r="DL205" s="30" t="e">
        <f t="shared" ca="1" si="288"/>
        <v>#DIV/0!</v>
      </c>
      <c r="DM205" s="85" t="e">
        <f ca="1">IF(CS205&lt;=Hypothèses!$V$7,Hypothèses!$W$7,IF(CS205&lt;=Hypothèses!$V$8,Hypothèses!$W$8,IF(CS205&lt;=Hypothèses!$V$9,Hypothèses!$W$9,IF(CS205&lt;=Hypothèses!$V$10,Hypothèses!$W$10,IF(CS205&lt;=Hypothèses!$V$11,Hypothèses!$W$11,IF(CS205&lt;=Hypothèses!$V$12,Hypothèses!$W$12,IF(CS205&lt;=Hypothèses!$V$13,Hypothèses!$W$13,IF(CS205&lt;=Hypothèses!$V$14,Hypothèses!$W$14,IF(CS205&lt;=Hypothèses!$V$15,Hypothèses!$W$15,IF(CS205&lt;=Hypothèses!$V$16,Hypothèses!$W$16,IF(CS205&lt;=Hypothèses!$V$17,Hypothèses!$W$17,IF(CS205&lt;=Hypothèses!$V$18,Hypothèses!$W$18,""))))))))))))</f>
        <v>#DIV/0!</v>
      </c>
      <c r="DN205" s="87" t="e">
        <f t="shared" ca="1" si="321"/>
        <v>#DIV/0!</v>
      </c>
      <c r="DO205" s="88" t="e">
        <f ca="1">IF(CS205&lt;=Hypothèses!$V$7,Hypothèses!$X$7,IF(CS205&lt;=Hypothèses!$V$8,Hypothèses!$X$8,IF(CS205&lt;=Hypothèses!$V$9,Hypothèses!$X$9,IF(CS205&lt;=Hypothèses!$V$10,Hypothèses!$X$10,IF(CS205&lt;=Hypothèses!$V$11,Hypothèses!$X$11,IF(CS205&lt;=Hypothèses!$V$12,Hypothèses!$X$12,IF(CS205&lt;=Hypothèses!$V$13,Hypothèses!$X$13,IF(CS205&lt;=Hypothèses!$V$14,Hypothèses!$X$14,IF(CS205&lt;=Hypothèses!$V$15,Hypothèses!$X$15,IF(CS205&lt;=Hypothèses!$V$16,Hypothèses!$X$16,IF(CS205&lt;=Hypothèses!$U$17,Hypothèses!$W$17,IF(CS205&lt;=Hypothèses!$U$18,Hypothèses!$W$18,""))))))))))))</f>
        <v>#DIV/0!</v>
      </c>
      <c r="DP205" s="95" t="e">
        <f t="shared" ca="1" si="289"/>
        <v>#DIV/0!</v>
      </c>
      <c r="DQ205" s="101" t="e">
        <f t="shared" si="328"/>
        <v>#N/A</v>
      </c>
      <c r="DR205" s="91" t="e">
        <f t="shared" si="258"/>
        <v>#N/A</v>
      </c>
      <c r="DS205" s="30" t="e">
        <f t="shared" si="310"/>
        <v>#N/A</v>
      </c>
      <c r="DT205" s="30" t="e">
        <f t="shared" si="311"/>
        <v>#N/A</v>
      </c>
      <c r="DU205" s="31" t="e">
        <f>IF(OR(Hypothèses!$B$4=17,Hypothèses!$B$4=18,Hypothèses!$B$4=19,Hypothèses!$B$4=20),
IF($D205="Pressio.",
IF(OR($E205=3,$E205=1,$E205=4),DT205,DS205),
IF($D205="Pénétro.",
IF(OR($E205=3,$E205=1,$E205=4),DT205,DS205))),IF($D205="Pressio.",
IF($E205=3,DT205,DS205),
IF($D205="Pénétro.",
IF($E205=4,DT205,DS205))))</f>
        <v>#N/A</v>
      </c>
      <c r="DV205" s="31" t="e">
        <f>(IF(OR(Hypothèses!$B$4=17,Hypothèses!$B$4=18,Hypothèses!$B$4=19,Hypothèses!$B$4=20),
IF($D205="Pressio.",
IF(OR($E205=3,$E205=1,$E205=4),(PI()*DV$12^2)/4*(DR205*$W205*1000)/($H205*$B$5),(PI()*DV$12^2)/4*(DR205*$W205*1000)/($G205*$B$5)),
IF($D205="Pénétro.",
IF(OR($E205=4,$E205=1,$E205=5),(PI()*DV$12^2)/4*(DR205*$W205*1000)/($H205*$B$5),(PI()*DV$12^2)/4*(DR205*$W205*1000)/($G205*$B$5)))),
IF($D205="Pressio.",
IF($E205=3,(PI()*DV$12^2)/4*(DR205*$W205*1000)/($H205*$B$5),(PI()*DV$12^2)/4*(DR205*$W205*1000)/($G205*$B$5)),
IF($D205="Pénétro.",
IF($E205=4,(PI()*DV$12^2)/4*(DR205*$W205*1000)/($H205*$B$5),(PI()*DV$12^2)/4*(DR205*$W205*1000)/($G205*$B$5))))))/10</f>
        <v>#N/A</v>
      </c>
      <c r="DW205" s="102" t="e">
        <f>(VLOOKUP($B$3,'Coeff EC7'!$T$39:$X$59,2,0)*DU205+VLOOKUP($B$3,'Coeff EC7'!$T$65:$X$85,2,0)*Model0.1C!DV205)/1.1</f>
        <v>#N/A</v>
      </c>
      <c r="DX205" s="102" t="e">
        <f>(VLOOKUP($B$3,'Coeff EC7'!$T$39:$X$59,3,0)*DU205+VLOOKUP($B$3,'Coeff EC7'!$T$65:$X$85,3,0)*Model0.1C!DV205)/0.9</f>
        <v>#N/A</v>
      </c>
      <c r="DY205" s="102" t="e">
        <f t="shared" si="290"/>
        <v>#N/A</v>
      </c>
      <c r="DZ205" s="102" t="e">
        <f t="shared" si="291"/>
        <v>#N/A</v>
      </c>
      <c r="EA205" s="414" t="e">
        <f>IF(EA204=0,0,IF(AND(DW205&gt;charge_ELS_quasi,DX205&gt;Charge_ELS_freq,DY205&gt;charge_ELU,DZ205&gt;charge_ELA,$B205&gt;NDC!$H$22-0.1+MIN(3*$EA$12,1.5)),0,1))</f>
        <v>#N/A</v>
      </c>
      <c r="EB205" s="86" t="b">
        <f t="shared" si="259"/>
        <v>0</v>
      </c>
      <c r="EC205" s="418">
        <f t="shared" si="260"/>
        <v>0.51</v>
      </c>
      <c r="ED205" s="86">
        <f t="shared" si="261"/>
        <v>0.51</v>
      </c>
      <c r="EE205" s="30" t="e">
        <f t="shared" ca="1" si="292"/>
        <v>#DIV/0!</v>
      </c>
      <c r="EF205" s="85" t="e">
        <f ca="1">IF(DL205&lt;=Hypothèses!$V$7,Hypothèses!$W$7,IF(DL205&lt;=Hypothèses!$V$8,Hypothèses!$W$8,IF(DL205&lt;=Hypothèses!$V$9,Hypothèses!$W$9,IF(DL205&lt;=Hypothèses!$V$10,Hypothèses!$W$10,IF(DL205&lt;=Hypothèses!$V$11,Hypothèses!$W$11,IF(DL205&lt;=Hypothèses!$V$12,Hypothèses!$W$12,IF(DL205&lt;=Hypothèses!$V$13,Hypothèses!$W$13,IF(DL205&lt;=Hypothèses!$V$14,Hypothèses!$W$14,IF(DL205&lt;=Hypothèses!$V$15,Hypothèses!$W$15,IF(DL205&lt;=Hypothèses!$V$16,Hypothèses!$W$16,IF(DL205&lt;=Hypothèses!$V$17,Hypothèses!$W$17,IF(DL205&lt;=Hypothèses!$V$18,Hypothèses!$W$18,""))))))))))))</f>
        <v>#DIV/0!</v>
      </c>
      <c r="EG205" s="87" t="e">
        <f t="shared" ca="1" si="322"/>
        <v>#DIV/0!</v>
      </c>
      <c r="EH205" s="88" t="e">
        <f ca="1">IF(DL205&lt;=Hypothèses!$V$7,Hypothèses!$X$7,IF(DL205&lt;=Hypothèses!$V$8,Hypothèses!$X$8,IF(DL205&lt;=Hypothèses!$V$9,Hypothèses!$X$9,IF(DL205&lt;=Hypothèses!$V$10,Hypothèses!$X$10,IF(DL205&lt;=Hypothèses!$V$11,Hypothèses!$X$11,IF(DL205&lt;=Hypothèses!$V$12,Hypothèses!$X$12,IF(DL205&lt;=Hypothèses!$V$13,Hypothèses!$X$13,IF(DL205&lt;=Hypothèses!$V$14,Hypothèses!$X$14,IF(DL205&lt;=Hypothèses!$V$15,Hypothèses!$X$15,IF(DL205&lt;=Hypothèses!$V$16,Hypothèses!$X$16,IF(DL205&lt;=Hypothèses!$U$17,Hypothèses!$W$17,IF(DL205&lt;=Hypothèses!$U$18,Hypothèses!$W$18,""))))))))))))</f>
        <v>#DIV/0!</v>
      </c>
      <c r="EI205" s="95" t="e">
        <f t="shared" ca="1" si="293"/>
        <v>#DIV/0!</v>
      </c>
      <c r="EJ205" s="101" t="e">
        <f t="shared" si="329"/>
        <v>#N/A</v>
      </c>
      <c r="EK205" s="91" t="e">
        <f t="shared" si="262"/>
        <v>#N/A</v>
      </c>
      <c r="EL205" s="30" t="e">
        <f t="shared" si="312"/>
        <v>#N/A</v>
      </c>
      <c r="EM205" s="30" t="e">
        <f t="shared" si="313"/>
        <v>#N/A</v>
      </c>
      <c r="EN205" s="31" t="e">
        <f>IF(OR(Hypothèses!$B$4=17,Hypothèses!$B$4=18,Hypothèses!$B$4=19,Hypothèses!$B$4=20),
IF($D205="Pressio.",
IF(OR($E205=3,$E205=1,$E205=4),EM205,EL205),
IF($D205="Pénétro.",
IF(OR($E205=3,$E205=1,$E205=4),EM205,EL205))),IF($D205="Pressio.",
IF($E205=3,EM205,EL205),
IF($D205="Pénétro.",
IF($E205=4,EM205,EL205))))</f>
        <v>#N/A</v>
      </c>
      <c r="EO205" s="31" t="e">
        <f>(IF(OR(Hypothèses!$B$4=17,Hypothèses!$B$4=18,Hypothèses!$B$4=19,Hypothèses!$B$4=20),
IF($D205="Pressio.",
IF(OR($E205=3,$E205=1,$E205=4),(PI()*EO$12^2)/4*(EK205*$W205*1000)/($H205*$B$5),(PI()*EO$12^2)/4*(EK205*$W205*1000)/($G205*$B$5)),
IF($D205="Pénétro.",
IF(OR($E205=4,$E205=1,$E205=5),(PI()*EO$12^2)/4*(EK205*$W205*1000)/($H205*$B$5),(PI()*EO$12^2)/4*(EK205*$W205*1000)/($G205*$B$5)))),
IF($D205="Pressio.",
IF($E205=3,(PI()*EO$12^2)/4*(EK205*$W205*1000)/($H205*$B$5),(PI()*EO$12^2)/4*(EK205*$W205*1000)/($G205*$B$5)),
IF($D205="Pénétro.",
IF($E205=4,(PI()*EO$12^2)/4*(EK205*$W205*1000)/($H205*$B$5),(PI()*EO$12^2)/4*(EK205*$W205*1000)/($G205*$B$5))))))/10</f>
        <v>#N/A</v>
      </c>
      <c r="EP205" s="102" t="e">
        <f>(VLOOKUP($B$3,'Coeff EC7'!$T$39:$X$59,2,0)*EN205+VLOOKUP($B$3,'Coeff EC7'!$T$65:$X$85,2,0)*Model0.1C!EO205)/1.1</f>
        <v>#N/A</v>
      </c>
      <c r="EQ205" s="102" t="e">
        <f>(VLOOKUP($B$3,'Coeff EC7'!$T$39:$X$59,3,0)*EN205+VLOOKUP($B$3,'Coeff EC7'!$T$65:$X$85,3,0)*Model0.1C!EO205)/0.9</f>
        <v>#N/A</v>
      </c>
      <c r="ER205" s="102" t="e">
        <f t="shared" si="294"/>
        <v>#N/A</v>
      </c>
      <c r="ES205" s="102" t="e">
        <f t="shared" si="295"/>
        <v>#N/A</v>
      </c>
      <c r="ET205" s="414" t="e">
        <f>IF(ET204=0,0,IF(AND(EP205&gt;charge_ELS_quasi,EQ205&gt;Charge_ELS_freq,ER205&gt;charge_ELU,ES205&gt;charge_ELA,$B205&gt;NDC!$H$22-0.1+MIN(3*$ET$12,1.5)),0,1))</f>
        <v>#N/A</v>
      </c>
      <c r="EU205" s="86" t="b">
        <f t="shared" si="263"/>
        <v>0</v>
      </c>
      <c r="EV205" s="86">
        <f t="shared" si="264"/>
        <v>0.61</v>
      </c>
      <c r="EW205" s="86">
        <f t="shared" si="265"/>
        <v>0.61</v>
      </c>
      <c r="EX205" s="30" t="e">
        <f t="shared" ca="1" si="296"/>
        <v>#DIV/0!</v>
      </c>
      <c r="EY205" s="85" t="e">
        <f ca="1">IF(EE205&lt;=Hypothèses!$V$7,Hypothèses!$W$7,IF(EE205&lt;=Hypothèses!$V$8,Hypothèses!$W$8,IF(EE205&lt;=Hypothèses!$V$9,Hypothèses!$W$9,IF(EE205&lt;=Hypothèses!$V$10,Hypothèses!$W$10,IF(EE205&lt;=Hypothèses!$V$11,Hypothèses!$W$11,IF(EE205&lt;=Hypothèses!$V$12,Hypothèses!$W$12,IF(EE205&lt;=Hypothèses!$V$13,Hypothèses!$W$13,IF(EE205&lt;=Hypothèses!$V$14,Hypothèses!$W$14,IF(EE205&lt;=Hypothèses!$V$15,Hypothèses!$W$15,IF(EE205&lt;=Hypothèses!$V$16,Hypothèses!$W$16,IF(EE205&lt;=Hypothèses!$V$17,Hypothèses!$W$17,IF(EE205&lt;=Hypothèses!$V$18,Hypothèses!$W$18,""))))))))))))</f>
        <v>#DIV/0!</v>
      </c>
      <c r="EZ205" s="87" t="e">
        <f t="shared" ca="1" si="323"/>
        <v>#DIV/0!</v>
      </c>
      <c r="FA205" s="88" t="e">
        <f ca="1">IF(EE205&lt;=Hypothèses!$V$7,Hypothèses!$X$7,IF(EE205&lt;=Hypothèses!$V$8,Hypothèses!$X$8,IF(EE205&lt;=Hypothèses!$V$9,Hypothèses!$X$9,IF(EE205&lt;=Hypothèses!$V$10,Hypothèses!$X$10,IF(EE205&lt;=Hypothèses!$V$11,Hypothèses!$X$11,IF(EE205&lt;=Hypothèses!$V$12,Hypothèses!$X$12,IF(EE205&lt;=Hypothèses!$V$13,Hypothèses!$X$13,IF(EE205&lt;=Hypothèses!$V$14,Hypothèses!$X$14,IF(EE205&lt;=Hypothèses!$V$15,Hypothèses!$X$15,IF(EE205&lt;=Hypothèses!$V$16,Hypothèses!$X$16,IF(EE205&lt;=Hypothèses!$U$17,Hypothèses!$W$17,IF(EE205&lt;=Hypothèses!$U$18,Hypothèses!$W$18,""))))))))))))</f>
        <v>#DIV/0!</v>
      </c>
      <c r="FB205" s="95" t="e">
        <f t="shared" ca="1" si="297"/>
        <v>#DIV/0!</v>
      </c>
      <c r="FC205" s="101" t="e">
        <f t="shared" si="330"/>
        <v>#N/A</v>
      </c>
      <c r="FD205" s="91" t="e">
        <f t="shared" si="266"/>
        <v>#N/A</v>
      </c>
      <c r="FE205" s="30" t="e">
        <f t="shared" si="314"/>
        <v>#N/A</v>
      </c>
      <c r="FF205" s="30" t="e">
        <f t="shared" si="315"/>
        <v>#N/A</v>
      </c>
      <c r="FG205" s="31" t="e">
        <f>IF(OR(Hypothèses!$B$4=17,Hypothèses!$B$4=18,Hypothèses!$B$4=19,Hypothèses!$B$4=20),
IF($D205="Pressio.",
IF(OR($E205=3,$E205=1,$E205=4),FF205,FE205),
IF($D205="Pénétro.",
IF(OR($E205=3,$E205=1,$E205=4),FF205,FE205))),IF($D205="Pressio.",
IF($E205=3,FF205,FE205),
IF($D205="Pénétro.",
IF($E205=4,FF205,FE205))))</f>
        <v>#N/A</v>
      </c>
      <c r="FH205" s="31" t="e">
        <f>(IF(OR(Hypothèses!$B$4=17,Hypothèses!$B$4=18,Hypothèses!$B$4=19,Hypothèses!$B$4=20),
IF($D205="Pressio.",
IF(OR($E205=3,$E205=1,$E205=4),(PI()*FH$12^2)/4*(FD205*$W205*1000)/($H205*$B$5),(PI()*FH$12^2)/4*(FD205*$W205*1000)/($G205*$B$5)),
IF($D205="Pénétro.",
IF(OR($E205=4,$E205=1,$E205=5),(PI()*FH$12^2)/4*(FD205*$W205*1000)/($H205*$B$5),(PI()*FH$12^2)/4*(FD205*$W205*1000)/($G205*$B$5)))),
IF($D205="Pressio.",
IF($E205=3,(PI()*FH$12^2)/4*(FD205*$W205*1000)/($H205*$B$5),(PI()*FH$12^2)/4*(FD205*$W205*1000)/($G205*$B$5)),
IF($D205="Pénétro.",
IF($E205=4,(PI()*FH$12^2)/4*(FD205*$W205*1000)/($H205*$B$5),(PI()*FH$12^2)/4*(FD205*$W205*1000)/($G205*$B$5))))))/10</f>
        <v>#N/A</v>
      </c>
      <c r="FI205" s="102" t="e">
        <f>(VLOOKUP($B$3,'Coeff EC7'!$T$39:$X$59,2,0)*FG205+VLOOKUP($B$3,'Coeff EC7'!$T$65:$X$85,2,0)*Model0.1C!FH205)/1.1</f>
        <v>#N/A</v>
      </c>
      <c r="FJ205" s="102" t="e">
        <f>(VLOOKUP($B$3,'Coeff EC7'!$T$39:$X$59,3,0)*FG205+VLOOKUP($B$3,'Coeff EC7'!$T$65:$X$85,3,0)*Model0.1C!FH205)/0.9</f>
        <v>#N/A</v>
      </c>
      <c r="FK205" s="102" t="e">
        <f t="shared" si="298"/>
        <v>#N/A</v>
      </c>
      <c r="FL205" s="102" t="e">
        <f t="shared" si="299"/>
        <v>#N/A</v>
      </c>
      <c r="FM205" s="414" t="e">
        <f>IF(FM204=0,0,IF(AND(FI205&gt;charge_ELS_quasi,FJ205&gt;Charge_ELS_freq,FK205&gt;charge_ELU,FL205&gt;charge_ELA,$B205&gt;NDC!$H$22-0.1+MIN(3*$FM$12,1.5)),0,1))</f>
        <v>#N/A</v>
      </c>
    </row>
    <row r="206" spans="1:169">
      <c r="A206" s="96">
        <f t="shared" si="267"/>
        <v>80.700000000001097</v>
      </c>
      <c r="B206" s="97">
        <v>19.3</v>
      </c>
      <c r="C206" s="81">
        <f>IF(B206&lt;=Hypothèses!$C$7,Hypothèses!$A$7,IF(B206&lt;=Hypothèses!$C$8,Hypothèses!$A$8,IF(B206&lt;=Hypothèses!$C$9,Hypothèses!$A$9,IF(B206&lt;=Hypothèses!$C$10,Hypothèses!$A$10,IF(B206&lt;=Hypothèses!$C$11,Hypothèses!$A$11,IF(B206&lt;=Hypothèses!$C$12,Hypothèses!$A$12,IF(B206&lt;=Hypothèses!$C$13,Hypothèses!$A$13,IF(B206&lt;=Hypothèses!$C$14,Hypothèses!$A$14,IF(B206&lt;=Hypothèses!$C$15,Hypothèses!$A$15,IF(B206&lt;=Hypothèses!$C$16,Hypothèses!$A$16,IF(B206&lt;=Hypothèses!$C$17,Hypothèses!$A$17,IF(B206&lt;=Hypothèses!$C$18,Hypothèses!$A$18,C205))))))))))))</f>
        <v>11</v>
      </c>
      <c r="D206" s="82" t="str">
        <f>IF(B206&lt;=Hypothèses!$C$7,Hypothèses!$R$7,IF(B206&lt;=Hypothèses!$C$8,Hypothèses!$R$8,IF(B206&lt;=Hypothèses!$C$9,Hypothèses!$R$9,IF(B206&lt;=Hypothèses!$C$10,Hypothèses!$R$10,IF(B206&lt;=Hypothèses!$C$11,Hypothèses!$R$11,IF(B206&lt;=Hypothèses!$C$12,Hypothèses!$R$12,IF(B206&lt;=Hypothèses!$C$13,Hypothèses!$R$13,IF(B206&lt;=Hypothèses!$C$14,Hypothèses!$R$14,IF(B206&lt;=Hypothèses!$C$15,Hypothèses!$R$15,IF(B206&lt;=Hypothèses!$C$16,Hypothèses!$R$16,IF(B206&lt;=Hypothèses!$C$17,Hypothèses!$R$17,IF(B206&lt;=Hypothèses!$C$18,Hypothèses!$R$18,D205))))))))))))</f>
        <v>Pressio.</v>
      </c>
      <c r="E206" s="82" t="e">
        <f>IF(B206&lt;=Hypothèses!$C$7,Hypothèses!$G$7,IF(B206&lt;=Hypothèses!$C$8,Hypothèses!$G$8,IF(B206&lt;=Hypothèses!$C$9,Hypothèses!$G$9,IF(B206&lt;=Hypothèses!$C$10,Hypothèses!$G$10,IF(B206&lt;=Hypothèses!$C$11,Hypothèses!$G$11,IF(B206&lt;=Hypothèses!$C$12,Hypothèses!$G$12,IF(B206&lt;=Hypothèses!$C$13,Hypothèses!$G$13,IF(B206&lt;=Hypothèses!$C$14,Hypothèses!$G$14,IF(B206&lt;=Hypothèses!$C$15,Hypothèses!$G$15,IF(B206&lt;=Hypothèses!$C$16,Hypothèses!$G$16,IF(B206&lt;=Hypothèses!$C$17,Hypothèses!$G$17,IF(B206&lt;=Hypothèses!$C$18,Hypothèses!$G$18,E205))))))))))))</f>
        <v>#N/A</v>
      </c>
      <c r="F206" s="82" t="str">
        <f>IF(B206&lt;=Hypothèses!$C$7,Hypothèses!$F$7,IF(B206&lt;=Hypothèses!$C$8,Hypothèses!$F$8,IF(B206&lt;=Hypothèses!$C$9,Hypothèses!$F$9,IF(B206&lt;=Hypothèses!$C$10,Hypothèses!$F$10,IF(B206&lt;=Hypothèses!$C$11,Hypothèses!$F$11,IF(B206&lt;=Hypothèses!$C$12,Hypothèses!$F$12,IF(B206&lt;=Hypothèses!$C$13,Hypothèses!$F$13,IF(B206&lt;=Hypothèses!$C$14,Hypothèses!$F$14,IF(B206&lt;=Hypothèses!$C$15,Hypothèses!$F$15,IF(B206&lt;=Hypothèses!$C$16,Hypothèses!$F$16,IF(B206&lt;=Hypothèses!$C$17,Hypothèses!$F$17,IF(B206&lt;=Hypothèses!$C$18,Hypothèses!$F$18,F205))))))))))))</f>
        <v/>
      </c>
      <c r="G206" s="91">
        <f t="array" ref="G206">INDEX('Coeff EC7'!$U$7:$X$27,
MATCH(Model0.1C!$B$3,'Coeff EC7'!$T$7:$T$27,0),
MATCH(Model0.1C!$D206&amp;Model0.1C!$B$4,
'Coeff EC7'!$U$6:$X$6&amp;
'Coeff EC7'!$U$5:$X$5,0))</f>
        <v>1.1499999999999999</v>
      </c>
      <c r="H206" s="91">
        <f t="array" ref="H206">INDEX('Coeff EC7'!$Y$7:$AB$27,
MATCH(Model0.1C!$B$3,'Coeff EC7'!$T$7:$T$27,0),
MATCH(Model0.1C!$D206&amp;Model0.1C!$B$4,
'Coeff EC7'!$Y$6:$AB$6&amp;
'Coeff EC7'!$Y$5:$AB$5,0))</f>
        <v>1.4</v>
      </c>
      <c r="I206" s="83" t="e">
        <f>IF(B206&lt;=Hypothèses!$C$7,Hypothèses!$P$7,IF(B206&lt;=Hypothèses!$C$8,Hypothèses!$P$8,IF(B206&lt;=Hypothèses!$C$9,Hypothèses!$P$9,IF(B206&lt;=Hypothèses!$C$10,Hypothèses!$P$10,IF(B206&lt;=Hypothèses!$C$11,Hypothèses!$P$11,IF(B206&lt;=Hypothèses!$C$12,Hypothèses!$P$12,IF(B206&lt;=Hypothèses!$C$13,Hypothèses!$P$13,IF(B206&lt;=Hypothèses!$C$14,Hypothèses!$P$14,IF(B206&lt;=Hypothèses!$C$15,Hypothèses!$P$15,IF(B206&lt;=Hypothèses!$C$16,Hypothèses!$P$16,IF(B206&lt;=Hypothèses!$C$17,Hypothèses!$P$17,IF(B206&lt;=Hypothèses!$C$18,Hypothèses!$P$18,I205))))))))))))</f>
        <v>#N/A</v>
      </c>
      <c r="J206" s="91" t="e">
        <f t="array" ref="J206">INDEX('Coeff EC7'!$D$33:$Q$33,1,MATCH(D206&amp;E206,'Coeff EC7'!$D$31:$Q$31&amp;'Coeff EC7'!$D$32:$Q$32,0))</f>
        <v>#N/A</v>
      </c>
      <c r="K206" s="91" t="e">
        <f t="array" ref="K206">INDEX('Coeff EC7'!$D$34:$Q$34,1,MATCH(D206&amp;E206,'Coeff EC7'!$D$31:$Q$31&amp;'Coeff EC7'!$D$32:$Q$32,0))</f>
        <v>#N/A</v>
      </c>
      <c r="L206" s="91" t="e">
        <f t="array" ref="L206">INDEX('Coeff EC7'!$D$35:$Q$35,1,MATCH(D206&amp;E206,'Coeff EC7'!$D$31:$Q$31&amp;'Coeff EC7'!$D$32:$Q$32,0))</f>
        <v>#N/A</v>
      </c>
      <c r="M206" s="98" t="e">
        <f t="shared" si="331"/>
        <v>#N/A</v>
      </c>
      <c r="N206" s="99" t="e">
        <f t="array" ref="N206">INDEX('Coeff EC7'!$D$7:$Q$27,MATCH($B$3,'Coeff EC7'!$C$7:$C$27,0),MATCH(D206&amp;E206,'Coeff EC7'!$D$5:$Q$5&amp;'Coeff EC7'!$D$6:$Q$6,0))</f>
        <v>#N/A</v>
      </c>
      <c r="O206" s="99" t="e">
        <f t="array" ref="O206">INDEX('Coeff EC7'!$D$41:$Q$61,MATCH($B$3,'Coeff EC7'!$C$41:$C$61,0),MATCH(D206&amp;E206,'Coeff EC7'!$D$39:$Q$39&amp;'Coeff EC7'!$D$40:$Q$40,0))</f>
        <v>#N/A</v>
      </c>
      <c r="P206" s="30" t="e">
        <f t="shared" si="268"/>
        <v>#N/A</v>
      </c>
      <c r="Q206" s="100" t="e">
        <f t="shared" ref="Q206:Q269" si="333">MIN(O206,P206)*$B$10</f>
        <v>#N/A</v>
      </c>
      <c r="R206" s="86" t="b">
        <f t="shared" ref="R206:R269" si="334">IF($B206&lt;=$P$4, $B206, IF($B206&lt;=$P$5, $B206-$P$4, IF($B206&lt;=$P$6, $B206-$P$5, IF($B206&lt;=$P$7,$B206-$P$6, IF($B206&lt;=$P$8, $B206-$P$7, IF($B206&lt;=$P$9, $B206-$P$8, IF($B206&lt;=$P$10,$B206-$P$9)))))))</f>
        <v>0</v>
      </c>
      <c r="S206" s="86">
        <f t="shared" si="332"/>
        <v>0.5</v>
      </c>
      <c r="T206" s="86">
        <f t="shared" ref="T206:T269" si="335">MIN(S206,R206)</f>
        <v>0.5</v>
      </c>
      <c r="U206" s="30" t="e">
        <f t="shared" ca="1" si="269"/>
        <v>#DIV/0!</v>
      </c>
      <c r="V206" s="85" t="str">
        <f>IF(B206&lt;=Hypothèses!$V$7,Hypothèses!$W$7,IF(B206&lt;=Hypothèses!$V$8,Hypothèses!$W$8,IF(B206&lt;=Hypothèses!$V$9,Hypothèses!$W$9,IF(B206&lt;=Hypothèses!$V$10,Hypothèses!$W$10,IF(B206&lt;=Hypothèses!$V$11,Hypothèses!$W$11,IF(B206&lt;=Hypothèses!$V$12,Hypothèses!$W$12,IF(B206&lt;=Hypothèses!$V$13,Hypothèses!$W$13,IF(B206&lt;=Hypothèses!$V$14,Hypothèses!$W$14,IF(B206&lt;=Hypothèses!$V$15,Hypothèses!$W$15,IF(B206&lt;=Hypothèses!$V$16,Hypothèses!$W$16,IF(B206&lt;=Hypothèses!$V$17,Hypothèses!$W$17,IF(B206&lt;=Hypothèses!$V$18,Hypothèses!$W$18,""))))))))))))</f>
        <v/>
      </c>
      <c r="W206" s="87" t="e">
        <f t="shared" ca="1" si="316"/>
        <v>#DIV/0!</v>
      </c>
      <c r="X206" s="88" t="str">
        <f>IF(B206&lt;=Hypothèses!$V$7,Hypothèses!$X$7,IF(B206&lt;=Hypothèses!$V$8,Hypothèses!$X$8,IF(B206&lt;=Hypothèses!$V$9,Hypothèses!$X$9,IF(B206&lt;=Hypothèses!$V$10,Hypothèses!$X$10,IF(B206&lt;=Hypothèses!$V$11,Hypothèses!$X$11,IF(B206&lt;=Hypothèses!$V$12,Hypothèses!$X$12,IF(B206&lt;=Hypothèses!$V$13,Hypothèses!$X$13,IF(B206&lt;=Hypothèses!$V$14,Hypothèses!$X$14,IF(B206&lt;=Hypothèses!$V$15,Hypothèses!$X$15,IF(B206&lt;=Hypothèses!$V$16,Hypothèses!$X$16,IF(B206&lt;=Hypothèses!$U$17,Hypothèses!$W$17,IF(B206&lt;=Hypothèses!$U$18,Hypothèses!$W$18,""))))))))))))</f>
        <v/>
      </c>
      <c r="Y206" s="95" t="e">
        <f t="shared" ref="Y206:Y269" ca="1" si="336">IF($B206&lt;10*$AI$12,0.1/W206*SUM(OFFSET(F206,-10*$B206+1,0,10*$B206,1)),0.1/W206*SUM(OFFSET(F206,-100*$AI$12+1,0,100*$AI$12,1)))</f>
        <v>#DIV/0!</v>
      </c>
      <c r="Z206" s="101" t="e">
        <f t="shared" ref="Z206:Z269" si="337">IF($I206=0,0,
IF(Y206&gt;5*AD$12,$I206,
IF($D206="Pressio.",1+($I206-1)*(Y206/AD$12)/5,
IF($D206="Pénétro.",IF($E206=1,0.3+($I206-0.3)*(Y206/AD$12)/5,
IF($E206=2,0.2+($I206-0.2)*(Y206/AD$12)/5,
IF($E206=3,0.1+($I206-0.1)*(Y206/AD$12)/5,
0.15+($I206-0.15)*(Y206/AD$12)/5)))))))</f>
        <v>#N/A</v>
      </c>
      <c r="AA206" s="91" t="e">
        <f t="shared" ref="AA206:AA269" si="338">IF($X206&lt;&gt;"",$X206,Z206)</f>
        <v>#N/A</v>
      </c>
      <c r="AB206" s="30" t="e">
        <f t="shared" si="300"/>
        <v>#N/A</v>
      </c>
      <c r="AC206" s="30" t="e">
        <f t="shared" si="301"/>
        <v>#N/A</v>
      </c>
      <c r="AD206" s="31" t="e">
        <f>IF(OR(Hypothèses!$B$4=17,Hypothèses!$B$4=18,Hypothèses!$B$4=19,Hypothèses!$B$4=20),
IF($D206="Pressio.",
IF(OR($E206=3,$E206=1,$E206=4),AC206,AB206),
IF($D206="Pénétro.",
IF(OR($E206=3,$E206=1,$E206=4),AC206,AB206))),IF($D206="Pressio.",
IF($E206=3,AC206,AB206),
IF($D206="Pénétro.",
IF($E206=4,AC206,AB206))))</f>
        <v>#N/A</v>
      </c>
      <c r="AE206" s="31" t="e">
        <f>(IF(OR(Hypothèses!$B$4=17,Hypothèses!$B$4=18,Hypothèses!$B$4=19,Hypothèses!$B$4=20),
IF($D206="Pressio.",
IF(OR($E206=3,$E206=1,$E206=4),(PI()*AE$12^2)/4*(AA206*$W206*1000)/($H206*$B$5),(PI()*AE$12^2)/4*(AA206*$W206*1000)/($G206*$B$5)),
IF($D206="Pénétro.",
IF(OR($E206=4,$E206=1,$E206=5),(PI()*AE$12^2)/4*(AA206*$W206*1000)/($H206*$B$5),(PI()*AE$12^2)/4*(AA206*$W206*1000)/($G206*$B$5)))),
IF($D206="Pressio.",
IF($E206=3,(PI()*AE$12^2)/4*(AA206*$W206*1000)/($H206*$B$5),(PI()*AE$12^2)/4*(AA206*$W206*1000)/($G206*$B$5)),
IF($D206="Pénétro.",
IF($E206=4,(PI()*AE$12^2)/4*(AA206*$W206*1000)/($H206*$B$5),(PI()*AE$12^2)/4*(AA206*$W206*1000)/($G206*$B$5))))))/10</f>
        <v>#N/A</v>
      </c>
      <c r="AF206" s="102" t="e">
        <f>(VLOOKUP($B$3,'Coeff EC7'!$T$39:$X$59,2,0)*AD206+VLOOKUP($B$3,'Coeff EC7'!$T$65:$X$85,2,0)*Model0.1C!AE206)/1.1</f>
        <v>#N/A</v>
      </c>
      <c r="AG206" s="102" t="e">
        <f>(VLOOKUP($B$3,'Coeff EC7'!$T$39:$X$59,3,0)*AD206+VLOOKUP($B$3,'Coeff EC7'!$T$65:$X$85,3,0)*Model0.1C!AE206)/0.9</f>
        <v>#N/A</v>
      </c>
      <c r="AH206" s="102" t="e">
        <f t="shared" ref="AH206:AH269" si="339">AD206/1.1+AE206/1.1</f>
        <v>#N/A</v>
      </c>
      <c r="AI206" s="102" t="e">
        <f t="shared" ref="AI206:AI269" si="340">AD206+AE206</f>
        <v>#N/A</v>
      </c>
      <c r="AJ206" s="414" t="e">
        <f>IF(AJ205=0,0,IF(AND(AF206&gt;charge_ELS_quasi,AG206&gt;Charge_ELS_freq,AH206&gt;charge_ELU,AI206&gt;charge_ELA,$B206&gt;NDC!$H$22-0.1+MIN(3*$AJ$12,1.5)),0,1))</f>
        <v>#N/A</v>
      </c>
      <c r="AK206" s="86" t="b">
        <f t="shared" ref="AK206:AK269" si="341">IF($B206&lt;=$P$4, $B206, IF($B206&lt;=$P$5, $B206-$P$4, IF($B206&lt;=$P$6, $B206-$P$5, IF($B206&lt;=$P$7,$B206-$P$6, IF($B206&lt;=$P$8, $B206-$P$7, IF($B206&lt;=$P$9, $B206-$P$8, IF($B206&lt;=$P$10,$B206-$P$9)))))))</f>
        <v>0</v>
      </c>
      <c r="AL206" s="86">
        <f t="shared" si="270"/>
        <v>0.5</v>
      </c>
      <c r="AM206" s="86">
        <f t="shared" ref="AM206:AM269" si="342">MIN(AL206,AK206)</f>
        <v>0.5</v>
      </c>
      <c r="AN206" s="30" t="e">
        <f t="shared" ca="1" si="271"/>
        <v>#DIV/0!</v>
      </c>
      <c r="AO206" s="85" t="e">
        <f ca="1">IF(U206&lt;=Hypothèses!$V$7,Hypothèses!$W$7,IF(U206&lt;=Hypothèses!$V$8,Hypothèses!$W$8,IF(U206&lt;=Hypothèses!$V$9,Hypothèses!$W$9,IF(U206&lt;=Hypothèses!$V$10,Hypothèses!$W$10,IF(U206&lt;=Hypothèses!$V$11,Hypothèses!$W$11,IF(U206&lt;=Hypothèses!$V$12,Hypothèses!$W$12,IF(U206&lt;=Hypothèses!$V$13,Hypothèses!$W$13,IF(U206&lt;=Hypothèses!$V$14,Hypothèses!$W$14,IF(U206&lt;=Hypothèses!$V$15,Hypothèses!$W$15,IF(U206&lt;=Hypothèses!$V$16,Hypothèses!$W$16,IF(U206&lt;=Hypothèses!$V$17,Hypothèses!$W$17,IF(U206&lt;=Hypothèses!$V$18,Hypothèses!$W$18,""))))))))))))</f>
        <v>#DIV/0!</v>
      </c>
      <c r="AP206" s="87" t="e">
        <f t="shared" ca="1" si="317"/>
        <v>#DIV/0!</v>
      </c>
      <c r="AQ206" s="88" t="e">
        <f ca="1">IF(U206&lt;=Hypothèses!$V$7,Hypothèses!$X$7,IF(U206&lt;=Hypothèses!$V$8,Hypothèses!$X$8,IF(U206&lt;=Hypothèses!$V$9,Hypothèses!$X$9,IF(U206&lt;=Hypothèses!$V$10,Hypothèses!$X$10,IF(U206&lt;=Hypothèses!$V$11,Hypothèses!$X$11,IF(U206&lt;=Hypothèses!$V$12,Hypothèses!$X$12,IF(U206&lt;=Hypothèses!$V$13,Hypothèses!$X$13,IF(U206&lt;=Hypothèses!$V$14,Hypothèses!$X$14,IF(U206&lt;=Hypothèses!$V$15,Hypothèses!$X$15,IF(U206&lt;=Hypothèses!$V$16,Hypothèses!$X$16,IF(U206&lt;=Hypothèses!$U$17,Hypothèses!$W$17,IF(U206&lt;=Hypothèses!$U$18,Hypothèses!$W$18,""))))))))))))</f>
        <v>#DIV/0!</v>
      </c>
      <c r="AR206" s="95" t="e">
        <f t="shared" ca="1" si="272"/>
        <v>#DIV/0!</v>
      </c>
      <c r="AS206" s="101" t="e">
        <f t="shared" si="324"/>
        <v>#N/A</v>
      </c>
      <c r="AT206" s="91" t="e">
        <f t="shared" ref="AT206:AT269" si="343">IF($X206&lt;&gt;"",$X206,AS206)</f>
        <v>#N/A</v>
      </c>
      <c r="AU206" s="30" t="e">
        <f t="shared" si="302"/>
        <v>#N/A</v>
      </c>
      <c r="AV206" s="30" t="e">
        <f t="shared" si="303"/>
        <v>#N/A</v>
      </c>
      <c r="AW206" s="31" t="e">
        <f>IF(OR(Hypothèses!$B$4=17,Hypothèses!$B$4=18,Hypothèses!$B$4=19,Hypothèses!$B$4=20),
IF($D206="Pressio.",
IF(OR($E206=3,$E206=1,$E206=4),AV206,AU206),
IF($D206="Pénétro.",
IF(OR($E206=3,$E206=1,$E206=4),AV206,AU206))),IF($D206="Pressio.",
IF($E206=3,AV206,AU206),
IF($D206="Pénétro.",
IF($E206=4,AV206,AU206))))</f>
        <v>#N/A</v>
      </c>
      <c r="AX206" s="31" t="e">
        <f>(IF(OR(Hypothèses!$B$4=17,Hypothèses!$B$4=18,Hypothèses!$B$4=19,Hypothèses!$B$4=20),
IF($D206="Pressio.",
IF(OR($E206=3,$E206=1,$E206=4),(PI()*AX$12^2)/4*(AT206*$W206*1000)/($H206*$B$5),(PI()*AX$12^2)/4*(AT206*$W206*1000)/($G206*$B$5)),
IF($D206="Pénétro.",
IF(OR($E206=4,$E206=1,$E206=5),(PI()*AX$12^2)/4*(AT206*$W206*1000)/($H206*$B$5),(PI()*AX$12^2)/4*(AT206*$W206*1000)/($G206*$B$5)))),
IF($D206="Pressio.",
IF($E206=3,(PI()*AX$12^2)/4*(AT206*$W206*1000)/($H206*$B$5),(PI()*AX$12^2)/4*(AT206*$W206*1000)/($G206*$B$5)),
IF($D206="Pénétro.",
IF($E206=4,(PI()*AX$12^2)/4*(AT206*$W206*1000)/($H206*$B$5),(PI()*AX$12^2)/4*(AT206*$W206*1000)/($G206*$B$5))))))/10</f>
        <v>#N/A</v>
      </c>
      <c r="AY206" s="102" t="e">
        <f>(VLOOKUP($B$3,'Coeff EC7'!$T$39:$X$59,2,0)*AW206+VLOOKUP($B$3,'Coeff EC7'!$T$65:$X$85,2,0)*Model0.1C!AX206)/1.1</f>
        <v>#N/A</v>
      </c>
      <c r="AZ206" s="102" t="e">
        <f>(VLOOKUP($B$3,'Coeff EC7'!$T$39:$X$59,3,0)*AW206+VLOOKUP($B$3,'Coeff EC7'!$T$65:$X$85,3,0)*Model0.1C!AX206)/0.9</f>
        <v>#N/A</v>
      </c>
      <c r="BA206" s="102" t="e">
        <f t="shared" si="273"/>
        <v>#N/A</v>
      </c>
      <c r="BB206" s="102" t="e">
        <f t="shared" si="274"/>
        <v>#N/A</v>
      </c>
      <c r="BC206" s="414" t="e">
        <f>IF(BC205=0,0,IF(AND(AY206&gt;charge_ELS_quasi,AZ206&gt;Charge_ELS_freq,BA206&gt;charge_ELU,BB206&gt;charge_ELA,$B206&gt;NDC!$H$22-0.1+MIN(3*$BC$12,1.5)),0,1))</f>
        <v>#N/A</v>
      </c>
      <c r="BD206" s="86" t="b">
        <f t="shared" ref="BD206:BD269" si="344">IF($B206&lt;=$P$4, $B206, IF($B206&lt;=$P$5, $B206-$P$4, IF($B206&lt;=$P$6, $B206-$P$5, IF($B206&lt;=$P$7,$B206-$P$6, IF($B206&lt;=$P$8, $B206-$P$7, IF($B206&lt;=$P$9, $B206-$P$8, IF($B206&lt;=$P$10,$B206-$P$9)))))))</f>
        <v>0</v>
      </c>
      <c r="BE206" s="86">
        <f t="shared" si="275"/>
        <v>0.5</v>
      </c>
      <c r="BF206" s="86">
        <f t="shared" ref="BF206:BF269" si="345">MIN(BE206,BD206)</f>
        <v>0.5</v>
      </c>
      <c r="BG206" s="30" t="e">
        <f t="shared" ca="1" si="276"/>
        <v>#DIV/0!</v>
      </c>
      <c r="BH206" s="85" t="e">
        <f ca="1">IF(AN206&lt;=Hypothèses!$V$7,Hypothèses!$W$7,IF(AN206&lt;=Hypothèses!$V$8,Hypothèses!$W$8,IF(AN206&lt;=Hypothèses!$V$9,Hypothèses!$W$9,IF(AN206&lt;=Hypothèses!$V$10,Hypothèses!$W$10,IF(AN206&lt;=Hypothèses!$V$11,Hypothèses!$W$11,IF(AN206&lt;=Hypothèses!$V$12,Hypothèses!$W$12,IF(AN206&lt;=Hypothèses!$V$13,Hypothèses!$W$13,IF(AN206&lt;=Hypothèses!$V$14,Hypothèses!$W$14,IF(AN206&lt;=Hypothèses!$V$15,Hypothèses!$W$15,IF(AN206&lt;=Hypothèses!$V$16,Hypothèses!$W$16,IF(AN206&lt;=Hypothèses!$V$17,Hypothèses!$W$17,IF(AN206&lt;=Hypothèses!$V$18,Hypothèses!$W$18,""))))))))))))</f>
        <v>#DIV/0!</v>
      </c>
      <c r="BI206" s="87" t="e">
        <f t="shared" ca="1" si="318"/>
        <v>#DIV/0!</v>
      </c>
      <c r="BJ206" s="88" t="e">
        <f ca="1">IF(AN206&lt;=Hypothèses!$V$7,Hypothèses!$X$7,IF(AN206&lt;=Hypothèses!$V$8,Hypothèses!$X$8,IF(AN206&lt;=Hypothèses!$V$9,Hypothèses!$X$9,IF(AN206&lt;=Hypothèses!$V$10,Hypothèses!$X$10,IF(AN206&lt;=Hypothèses!$V$11,Hypothèses!$X$11,IF(AN206&lt;=Hypothèses!$V$12,Hypothèses!$X$12,IF(AN206&lt;=Hypothèses!$V$13,Hypothèses!$X$13,IF(AN206&lt;=Hypothèses!$V$14,Hypothèses!$X$14,IF(AN206&lt;=Hypothèses!$V$15,Hypothèses!$X$15,IF(AN206&lt;=Hypothèses!$V$16,Hypothèses!$X$16,IF(AN206&lt;=Hypothèses!$U$17,Hypothèses!$W$17,IF(AN206&lt;=Hypothèses!$U$18,Hypothèses!$W$18,""))))))))))))</f>
        <v>#DIV/0!</v>
      </c>
      <c r="BK206" s="95" t="e">
        <f t="shared" ca="1" si="277"/>
        <v>#DIV/0!</v>
      </c>
      <c r="BL206" s="101" t="e">
        <f t="shared" si="325"/>
        <v>#N/A</v>
      </c>
      <c r="BM206" s="91" t="e">
        <f t="shared" ref="BM206:BM269" si="346">IF($X206&lt;&gt;"",$X206,BL206)</f>
        <v>#N/A</v>
      </c>
      <c r="BN206" s="30" t="e">
        <f t="shared" si="304"/>
        <v>#N/A</v>
      </c>
      <c r="BO206" s="30" t="e">
        <f t="shared" si="305"/>
        <v>#N/A</v>
      </c>
      <c r="BP206" s="31" t="e">
        <f>IF(OR(Hypothèses!$B$4=17,Hypothèses!$B$4=18,Hypothèses!$B$4=19,Hypothèses!$B$4=20),
IF($D206="Pressio.",
IF(OR($E206=3,$E206=1,$E206=4),BO206,BN206),
IF($D206="Pénétro.",
IF(OR($E206=3,$E206=1,$E206=4),BO206,BN206))),IF($D206="Pressio.",
IF($E206=3,BO206,BN206),
IF($D206="Pénétro.",
IF($E206=4,BO206,BN206))))</f>
        <v>#N/A</v>
      </c>
      <c r="BQ206" s="31" t="e">
        <f>(IF(OR(Hypothèses!$B$4=17,Hypothèses!$B$4=18,Hypothèses!$B$4=19,Hypothèses!$B$4=20),
IF($D206="Pressio.",
IF(OR($E206=3,$E206=1,$E206=4),(PI()*BQ$12^2)/4*(BM206*$W206*1000)/($H206*$B$5),(PI()*BQ$12^2)/4*(BM206*$W206*1000)/($G206*$B$5)),
IF($D206="Pénétro.",
IF(OR($E206=4,$E206=1,$E206=5),(PI()*BQ$12^2)/4*(BM206*$W206*1000)/($H206*$B$5),(PI()*BQ$12^2)/4*(BM206*$W206*1000)/($G206*$B$5)))),
IF($D206="Pressio.",
IF($E206=3,(PI()*BQ$12^2)/4*(BM206*$W206*1000)/($H206*$B$5),(PI()*BQ$12^2)/4*(BM206*$W206*1000)/($G206*$B$5)),
IF($D206="Pénétro.",
IF($E206=4,(PI()*BQ$12^2)/4*(BM206*$W206*1000)/($H206*$B$5),(PI()*BQ$12^2)/4*(BM206*$W206*1000)/($G206*$B$5))))))/10</f>
        <v>#N/A</v>
      </c>
      <c r="BR206" s="102" t="e">
        <f>(VLOOKUP($B$3,'Coeff EC7'!$T$39:$X$59,2,0)*BP206+VLOOKUP($B$3,'Coeff EC7'!$T$65:$X$85,2,0)*Model0.1C!BQ206)/1.1</f>
        <v>#N/A</v>
      </c>
      <c r="BS206" s="102" t="e">
        <f>(VLOOKUP($B$3,'Coeff EC7'!$T$39:$X$59,3,0)*BP206+VLOOKUP($B$3,'Coeff EC7'!$T$65:$X$85,3,0)*Model0.1C!BQ206)/0.9</f>
        <v>#N/A</v>
      </c>
      <c r="BT206" s="102" t="e">
        <f t="shared" si="278"/>
        <v>#N/A</v>
      </c>
      <c r="BU206" s="102" t="e">
        <f t="shared" si="279"/>
        <v>#N/A</v>
      </c>
      <c r="BV206" s="414" t="e">
        <f>IF(BV205=0,0,IF(AND(BR206&gt;charge_ELS_quasi,BS206&gt;Charge_ELS_freq,BT206&gt;charge_ELU,BU206&gt;charge_ELA,$B206&gt;NDC!$H$22-0.1+MIN(3*$BV$12,1.5)),0,1))</f>
        <v>#N/A</v>
      </c>
      <c r="BW206" s="86" t="b">
        <f t="shared" ref="BW206:BW269" si="347">IF($B206&lt;=$P$4, $B206, IF($B206&lt;=$P$5, $B206-$P$4, IF($B206&lt;=$P$6, $B206-$P$5, IF($B206&lt;=$P$7,$B206-$P$6, IF($B206&lt;=$P$8, $B206-$P$7, IF($B206&lt;=$P$9, $B206-$P$8, IF($B206&lt;=$P$10,$B206-$P$9)))))))</f>
        <v>0</v>
      </c>
      <c r="BX206" s="86">
        <f t="shared" ref="BX206:BX269" si="348">MAX($CK$12/2,0.5)</f>
        <v>0.5</v>
      </c>
      <c r="BY206" s="86">
        <f t="shared" ref="BY206:BY269" si="349">MIN(BX206,BW206)</f>
        <v>0.5</v>
      </c>
      <c r="BZ206" s="30" t="e">
        <f t="shared" ca="1" si="280"/>
        <v>#DIV/0!</v>
      </c>
      <c r="CA206" s="85" t="e">
        <f ca="1">IF(BG206&lt;=Hypothèses!$V$7,Hypothèses!$W$7,IF(BG206&lt;=Hypothèses!$V$8,Hypothèses!$W$8,IF(BG206&lt;=Hypothèses!$V$9,Hypothèses!$W$9,IF(BG206&lt;=Hypothèses!$V$10,Hypothèses!$W$10,IF(BG206&lt;=Hypothèses!$V$11,Hypothèses!$W$11,IF(BG206&lt;=Hypothèses!$V$12,Hypothèses!$W$12,IF(BG206&lt;=Hypothèses!$V$13,Hypothèses!$W$13,IF(BG206&lt;=Hypothèses!$V$14,Hypothèses!$W$14,IF(BG206&lt;=Hypothèses!$V$15,Hypothèses!$W$15,IF(BG206&lt;=Hypothèses!$V$16,Hypothèses!$W$16,IF(BG206&lt;=Hypothèses!$V$17,Hypothèses!$W$17,IF(BG206&lt;=Hypothèses!$V$18,Hypothèses!$W$18,""))))))))))))</f>
        <v>#DIV/0!</v>
      </c>
      <c r="CB206" s="87" t="e">
        <f t="shared" ca="1" si="319"/>
        <v>#DIV/0!</v>
      </c>
      <c r="CC206" s="88" t="e">
        <f ca="1">IF(BG206&lt;=Hypothèses!$V$7,Hypothèses!$X$7,IF(BG206&lt;=Hypothèses!$V$8,Hypothèses!$X$8,IF(BG206&lt;=Hypothèses!$V$9,Hypothèses!$X$9,IF(BG206&lt;=Hypothèses!$V$10,Hypothèses!$X$10,IF(BG206&lt;=Hypothèses!$V$11,Hypothèses!$X$11,IF(BG206&lt;=Hypothèses!$V$12,Hypothèses!$X$12,IF(BG206&lt;=Hypothèses!$V$13,Hypothèses!$X$13,IF(BG206&lt;=Hypothèses!$V$14,Hypothèses!$X$14,IF(BG206&lt;=Hypothèses!$V$15,Hypothèses!$X$15,IF(BG206&lt;=Hypothèses!$V$16,Hypothèses!$X$16,IF(BG206&lt;=Hypothèses!$U$17,Hypothèses!$W$17,IF(BG206&lt;=Hypothèses!$U$18,Hypothèses!$W$18,""))))))))))))</f>
        <v>#DIV/0!</v>
      </c>
      <c r="CD206" s="95" t="e">
        <f t="shared" ca="1" si="281"/>
        <v>#DIV/0!</v>
      </c>
      <c r="CE206" s="101" t="e">
        <f t="shared" si="326"/>
        <v>#N/A</v>
      </c>
      <c r="CF206" s="91" t="e">
        <f t="shared" ref="CF206:CF269" si="350">IF($X206&lt;&gt;"",$X206,CE206)</f>
        <v>#N/A</v>
      </c>
      <c r="CG206" s="30" t="e">
        <f t="shared" si="306"/>
        <v>#N/A</v>
      </c>
      <c r="CH206" s="30" t="e">
        <f t="shared" si="307"/>
        <v>#N/A</v>
      </c>
      <c r="CI206" s="31" t="e">
        <f>IF(OR(Hypothèses!$B$4=17,Hypothèses!$B$4=18,Hypothèses!$B$4=19,Hypothèses!$B$4=20),
IF($D206="Pressio.",
IF(OR($E206=3,$E206=1,$E206=4),CH206,CG206),
IF($D206="Pénétro.",
IF(OR($E206=3,$E206=1,$E206=4),CH206,CG206))),IF($D206="Pressio.",
IF($E206=3,CH206,CG206),
IF($D206="Pénétro.",
IF($E206=4,CH206,CG206))))</f>
        <v>#N/A</v>
      </c>
      <c r="CJ206" s="31" t="e">
        <f>(IF(OR(Hypothèses!$B$4=17,Hypothèses!$B$4=18,Hypothèses!$B$4=19,Hypothèses!$B$4=20),
IF($D206="Pressio.",
IF(OR($E206=3,$E206=1,$E206=4),(PI()*CJ$12^2)/4*(CF206*$W206*1000)/($H206*$B$5),(PI()*CJ$12^2)/4*(CF206*$W206*1000)/($G206*$B$5)),
IF($D206="Pénétro.",
IF(OR($E206=4,$E206=1,$E206=5),(PI()*CJ$12^2)/4*(CF206*$W206*1000)/($H206*$B$5),(PI()*CJ$12^2)/4*(CF206*$W206*1000)/($G206*$B$5)))),
IF($D206="Pressio.",
IF($E206=3,(PI()*CJ$12^2)/4*(CF206*$W206*1000)/($H206*$B$5),(PI()*CJ$12^2)/4*(CF206*$W206*1000)/($G206*$B$5)),
IF($D206="Pénétro.",
IF($E206=4,(PI()*CJ$12^2)/4*(CF206*$W206*1000)/($H206*$B$5),(PI()*CJ$12^2)/4*(CF206*$W206*1000)/($G206*$B$5))))))/10</f>
        <v>#N/A</v>
      </c>
      <c r="CK206" s="102" t="e">
        <f>(VLOOKUP($B$3,'Coeff EC7'!$T$39:$X$59,2,0)*CI206+VLOOKUP($B$3,'Coeff EC7'!$T$65:$X$85,2,0)*Model0.1C!CJ206)/1.1</f>
        <v>#N/A</v>
      </c>
      <c r="CL206" s="102" t="e">
        <f>(VLOOKUP($B$3,'Coeff EC7'!$T$39:$X$59,3,0)*CI206+VLOOKUP($B$3,'Coeff EC7'!$T$65:$X$85,3,0)*Model0.1C!CJ206)/0.9</f>
        <v>#N/A</v>
      </c>
      <c r="CM206" s="102" t="e">
        <f t="shared" si="282"/>
        <v>#N/A</v>
      </c>
      <c r="CN206" s="102" t="e">
        <f t="shared" si="283"/>
        <v>#N/A</v>
      </c>
      <c r="CO206" s="414" t="e">
        <f>IF(CO205=0,0,IF(AND(CK206&gt;charge_ELS_quasi,CL206&gt;Charge_ELS_freq,CM206&gt;charge_ELU,CN206&gt;charge_ELA,$B206&gt;NDC!$H$22-0.1+MIN(3*$CO$12,1.5)),0,1))</f>
        <v>#N/A</v>
      </c>
      <c r="CP206" s="86" t="b">
        <f t="shared" ref="CP206:CP269" si="351">IF($B206&lt;=$P$4, $B206, IF($B206&lt;=$P$5, $B206-$P$4, IF($B206&lt;=$P$6, $B206-$P$5, IF($B206&lt;=$P$7,$B206-$P$6, IF($B206&lt;=$P$8, $B206-$P$7, IF($B206&lt;=$P$9, $B206-$P$8, IF($B206&lt;=$P$10,$B206-$P$9)))))))</f>
        <v>0</v>
      </c>
      <c r="CQ206" s="86">
        <f t="shared" ref="CQ206:CQ269" si="352">MAX($DD$12/2,0.5)</f>
        <v>0.5</v>
      </c>
      <c r="CR206" s="86">
        <f t="shared" ref="CR206:CR269" si="353">MIN(CQ206,CP206)</f>
        <v>0.5</v>
      </c>
      <c r="CS206" s="30" t="e">
        <f t="shared" ca="1" si="284"/>
        <v>#DIV/0!</v>
      </c>
      <c r="CT206" s="85" t="e">
        <f ca="1">IF(BZ206&lt;=Hypothèses!$V$7,Hypothèses!$W$7,IF(BZ206&lt;=Hypothèses!$V$8,Hypothèses!$W$8,IF(BZ206&lt;=Hypothèses!$V$9,Hypothèses!$W$9,IF(BZ206&lt;=Hypothèses!$V$10,Hypothèses!$W$10,IF(BZ206&lt;=Hypothèses!$V$11,Hypothèses!$W$11,IF(BZ206&lt;=Hypothèses!$V$12,Hypothèses!$W$12,IF(BZ206&lt;=Hypothèses!$V$13,Hypothèses!$W$13,IF(BZ206&lt;=Hypothèses!$V$14,Hypothèses!$W$14,IF(BZ206&lt;=Hypothèses!$V$15,Hypothèses!$W$15,IF(BZ206&lt;=Hypothèses!$V$16,Hypothèses!$W$16,IF(BZ206&lt;=Hypothèses!$V$17,Hypothèses!$W$17,IF(BZ206&lt;=Hypothèses!$V$18,Hypothèses!$W$18,""))))))))))))</f>
        <v>#DIV/0!</v>
      </c>
      <c r="CU206" s="87" t="e">
        <f t="shared" ca="1" si="320"/>
        <v>#DIV/0!</v>
      </c>
      <c r="CV206" s="88" t="e">
        <f ca="1">IF(BZ206&lt;=Hypothèses!$V$7,Hypothèses!$X$7,IF(BZ206&lt;=Hypothèses!$V$8,Hypothèses!$X$8,IF(BZ206&lt;=Hypothèses!$V$9,Hypothèses!$X$9,IF(BZ206&lt;=Hypothèses!$V$10,Hypothèses!$X$10,IF(BZ206&lt;=Hypothèses!$V$11,Hypothèses!$X$11,IF(BZ206&lt;=Hypothèses!$V$12,Hypothèses!$X$12,IF(BZ206&lt;=Hypothèses!$V$13,Hypothèses!$X$13,IF(BZ206&lt;=Hypothèses!$V$14,Hypothèses!$X$14,IF(BZ206&lt;=Hypothèses!$V$15,Hypothèses!$X$15,IF(BZ206&lt;=Hypothèses!$V$16,Hypothèses!$X$16,IF(BZ206&lt;=Hypothèses!$U$17,Hypothèses!$W$17,IF(BZ206&lt;=Hypothèses!$U$18,Hypothèses!$W$18,""))))))))))))</f>
        <v>#DIV/0!</v>
      </c>
      <c r="CW206" s="95" t="e">
        <f t="shared" ca="1" si="285"/>
        <v>#DIV/0!</v>
      </c>
      <c r="CX206" s="101" t="e">
        <f t="shared" si="327"/>
        <v>#N/A</v>
      </c>
      <c r="CY206" s="91" t="e">
        <f t="shared" ref="CY206:CY269" si="354">IF($X206&lt;&gt;"",$X206,CX206)</f>
        <v>#N/A</v>
      </c>
      <c r="CZ206" s="30" t="e">
        <f t="shared" si="308"/>
        <v>#N/A</v>
      </c>
      <c r="DA206" s="30" t="e">
        <f t="shared" si="309"/>
        <v>#N/A</v>
      </c>
      <c r="DB206" s="31" t="e">
        <f>IF(OR(Hypothèses!$B$4=17,Hypothèses!$B$4=18,Hypothèses!$B$4=19,Hypothèses!$B$4=20),
IF($D206="Pressio.",
IF(OR($E206=3,$E206=1,$E206=4),DA206,CZ206),
IF($D206="Pénétro.",
IF(OR($E206=3,$E206=1,$E206=4),DA206,CZ206))),IF($D206="Pressio.",
IF($E206=3,DA206,CZ206),
IF($D206="Pénétro.",
IF($E206=4,DA206,CZ206))))</f>
        <v>#N/A</v>
      </c>
      <c r="DC206" s="31" t="e">
        <f>(IF(OR(Hypothèses!$B$4=17,Hypothèses!$B$4=18,Hypothèses!$B$4=19,Hypothèses!$B$4=20),
IF($D206="Pressio.",
IF(OR($E206=3,$E206=1,$E206=4),(PI()*DC$12^2)/4*(CY206*$W206*1000)/($H206*$B$5),(PI()*DC$12^2)/4*(CY206*$W206*1000)/($G206*$B$5)),
IF($D206="Pénétro.",
IF(OR($E206=4,$E206=1,$E206=5),(PI()*DC$12^2)/4*(CY206*$W206*1000)/($H206*$B$5),(PI()*DC$12^2)/4*(CY206*$W206*1000)/($G206*$B$5)))),
IF($D206="Pressio.",
IF($E206=3,(PI()*DC$12^2)/4*(CY206*$W206*1000)/($H206*$B$5),(PI()*DC$12^2)/4*(CY206*$W206*1000)/($G206*$B$5)),
IF($D206="Pénétro.",
IF($E206=4,(PI()*DC$12^2)/4*(CY206*$W206*1000)/($H206*$B$5),(PI()*DC$12^2)/4*(CY206*$W206*1000)/($G206*$B$5))))))/10</f>
        <v>#N/A</v>
      </c>
      <c r="DD206" s="102" t="e">
        <f>(VLOOKUP($B$3,'Coeff EC7'!$T$39:$X$59,2,0)*DB206+VLOOKUP($B$3,'Coeff EC7'!$T$65:$X$85,2,0)*Model0.1C!DC206)/1.1</f>
        <v>#N/A</v>
      </c>
      <c r="DE206" s="102" t="e">
        <f>(VLOOKUP($B$3,'Coeff EC7'!$T$39:$X$59,3,0)*DB206+VLOOKUP($B$3,'Coeff EC7'!$T$65:$X$85,3,0)*Model0.1C!DC206)/0.9</f>
        <v>#N/A</v>
      </c>
      <c r="DF206" s="102" t="e">
        <f t="shared" si="286"/>
        <v>#N/A</v>
      </c>
      <c r="DG206" s="102" t="e">
        <f t="shared" si="287"/>
        <v>#N/A</v>
      </c>
      <c r="DH206" s="414" t="e">
        <f>IF(DH205=0,0,IF(AND(DD206&gt;charge_ELS_quasi,DE206&gt;Charge_ELS_freq,DF206&gt;charge_ELU,DG206&gt;charge_ELA,$B206&gt;NDC!$H$22-0.1+MIN(3*$DH$12,1.5)),0,1))</f>
        <v>#N/A</v>
      </c>
      <c r="DI206" s="86" t="b">
        <f t="shared" ref="DI206:DI269" si="355">IF($B206&lt;=$P$4, $B206, IF($B206&lt;=$P$5, $B206-$P$4, IF($B206&lt;=$P$6, $B206-$P$5, IF($B206&lt;=$P$7,$B206-$P$6, IF($B206&lt;=$P$8, $B206-$P$7, IF($B206&lt;=$P$9, $B206-$P$8, IF($B206&lt;=$P$10,$B206-$P$9)))))))</f>
        <v>0</v>
      </c>
      <c r="DJ206" s="86">
        <f t="shared" ref="DJ206:DJ269" si="356">MAX($DW$12/2,0.5)</f>
        <v>0.5</v>
      </c>
      <c r="DK206" s="86">
        <f t="shared" ref="DK206:DK269" si="357">MIN(DJ206,DI206)</f>
        <v>0.5</v>
      </c>
      <c r="DL206" s="30" t="e">
        <f t="shared" ca="1" si="288"/>
        <v>#DIV/0!</v>
      </c>
      <c r="DM206" s="85" t="e">
        <f ca="1">IF(CS206&lt;=Hypothèses!$V$7,Hypothèses!$W$7,IF(CS206&lt;=Hypothèses!$V$8,Hypothèses!$W$8,IF(CS206&lt;=Hypothèses!$V$9,Hypothèses!$W$9,IF(CS206&lt;=Hypothèses!$V$10,Hypothèses!$W$10,IF(CS206&lt;=Hypothèses!$V$11,Hypothèses!$W$11,IF(CS206&lt;=Hypothèses!$V$12,Hypothèses!$W$12,IF(CS206&lt;=Hypothèses!$V$13,Hypothèses!$W$13,IF(CS206&lt;=Hypothèses!$V$14,Hypothèses!$W$14,IF(CS206&lt;=Hypothèses!$V$15,Hypothèses!$W$15,IF(CS206&lt;=Hypothèses!$V$16,Hypothèses!$W$16,IF(CS206&lt;=Hypothèses!$V$17,Hypothèses!$W$17,IF(CS206&lt;=Hypothèses!$V$18,Hypothèses!$W$18,""))))))))))))</f>
        <v>#DIV/0!</v>
      </c>
      <c r="DN206" s="87" t="e">
        <f t="shared" ca="1" si="321"/>
        <v>#DIV/0!</v>
      </c>
      <c r="DO206" s="88" t="e">
        <f ca="1">IF(CS206&lt;=Hypothèses!$V$7,Hypothèses!$X$7,IF(CS206&lt;=Hypothèses!$V$8,Hypothèses!$X$8,IF(CS206&lt;=Hypothèses!$V$9,Hypothèses!$X$9,IF(CS206&lt;=Hypothèses!$V$10,Hypothèses!$X$10,IF(CS206&lt;=Hypothèses!$V$11,Hypothèses!$X$11,IF(CS206&lt;=Hypothèses!$V$12,Hypothèses!$X$12,IF(CS206&lt;=Hypothèses!$V$13,Hypothèses!$X$13,IF(CS206&lt;=Hypothèses!$V$14,Hypothèses!$X$14,IF(CS206&lt;=Hypothèses!$V$15,Hypothèses!$X$15,IF(CS206&lt;=Hypothèses!$V$16,Hypothèses!$X$16,IF(CS206&lt;=Hypothèses!$U$17,Hypothèses!$W$17,IF(CS206&lt;=Hypothèses!$U$18,Hypothèses!$W$18,""))))))))))))</f>
        <v>#DIV/0!</v>
      </c>
      <c r="DP206" s="95" t="e">
        <f t="shared" ca="1" si="289"/>
        <v>#DIV/0!</v>
      </c>
      <c r="DQ206" s="101" t="e">
        <f t="shared" si="328"/>
        <v>#N/A</v>
      </c>
      <c r="DR206" s="91" t="e">
        <f t="shared" ref="DR206:DR269" si="358">IF($X206&lt;&gt;"",$X206,DQ206)</f>
        <v>#N/A</v>
      </c>
      <c r="DS206" s="30" t="e">
        <f t="shared" si="310"/>
        <v>#N/A</v>
      </c>
      <c r="DT206" s="30" t="e">
        <f t="shared" si="311"/>
        <v>#N/A</v>
      </c>
      <c r="DU206" s="31" t="e">
        <f>IF(OR(Hypothèses!$B$4=17,Hypothèses!$B$4=18,Hypothèses!$B$4=19,Hypothèses!$B$4=20),
IF($D206="Pressio.",
IF(OR($E206=3,$E206=1,$E206=4),DT206,DS206),
IF($D206="Pénétro.",
IF(OR($E206=3,$E206=1,$E206=4),DT206,DS206))),IF($D206="Pressio.",
IF($E206=3,DT206,DS206),
IF($D206="Pénétro.",
IF($E206=4,DT206,DS206))))</f>
        <v>#N/A</v>
      </c>
      <c r="DV206" s="31" t="e">
        <f>(IF(OR(Hypothèses!$B$4=17,Hypothèses!$B$4=18,Hypothèses!$B$4=19,Hypothèses!$B$4=20),
IF($D206="Pressio.",
IF(OR($E206=3,$E206=1,$E206=4),(PI()*DV$12^2)/4*(DR206*$W206*1000)/($H206*$B$5),(PI()*DV$12^2)/4*(DR206*$W206*1000)/($G206*$B$5)),
IF($D206="Pénétro.",
IF(OR($E206=4,$E206=1,$E206=5),(PI()*DV$12^2)/4*(DR206*$W206*1000)/($H206*$B$5),(PI()*DV$12^2)/4*(DR206*$W206*1000)/($G206*$B$5)))),
IF($D206="Pressio.",
IF($E206=3,(PI()*DV$12^2)/4*(DR206*$W206*1000)/($H206*$B$5),(PI()*DV$12^2)/4*(DR206*$W206*1000)/($G206*$B$5)),
IF($D206="Pénétro.",
IF($E206=4,(PI()*DV$12^2)/4*(DR206*$W206*1000)/($H206*$B$5),(PI()*DV$12^2)/4*(DR206*$W206*1000)/($G206*$B$5))))))/10</f>
        <v>#N/A</v>
      </c>
      <c r="DW206" s="102" t="e">
        <f>(VLOOKUP($B$3,'Coeff EC7'!$T$39:$X$59,2,0)*DU206+VLOOKUP($B$3,'Coeff EC7'!$T$65:$X$85,2,0)*Model0.1C!DV206)/1.1</f>
        <v>#N/A</v>
      </c>
      <c r="DX206" s="102" t="e">
        <f>(VLOOKUP($B$3,'Coeff EC7'!$T$39:$X$59,3,0)*DU206+VLOOKUP($B$3,'Coeff EC7'!$T$65:$X$85,3,0)*Model0.1C!DV206)/0.9</f>
        <v>#N/A</v>
      </c>
      <c r="DY206" s="102" t="e">
        <f t="shared" si="290"/>
        <v>#N/A</v>
      </c>
      <c r="DZ206" s="102" t="e">
        <f t="shared" si="291"/>
        <v>#N/A</v>
      </c>
      <c r="EA206" s="414" t="e">
        <f>IF(EA205=0,0,IF(AND(DW206&gt;charge_ELS_quasi,DX206&gt;Charge_ELS_freq,DY206&gt;charge_ELU,DZ206&gt;charge_ELA,$B206&gt;NDC!$H$22-0.1+MIN(3*$EA$12,1.5)),0,1))</f>
        <v>#N/A</v>
      </c>
      <c r="EB206" s="86" t="b">
        <f t="shared" ref="EB206:EB269" si="359">IF($B206&lt;=$P$4, $B206, IF($B206&lt;=$P$5, $B206-$P$4, IF($B206&lt;=$P$6, $B206-$P$5, IF($B206&lt;=$P$7,$B206-$P$6, IF($B206&lt;=$P$8, $B206-$P$7, IF($B206&lt;=$P$9, $B206-$P$8, IF($B206&lt;=$P$10,$B206-$P$9)))))))</f>
        <v>0</v>
      </c>
      <c r="EC206" s="418">
        <f t="shared" ref="EC206:EC269" si="360">MAX($EP$12/2,0.5)</f>
        <v>0.51</v>
      </c>
      <c r="ED206" s="86">
        <f t="shared" ref="ED206:ED269" si="361">MIN(EC206,EB206)</f>
        <v>0.51</v>
      </c>
      <c r="EE206" s="30" t="e">
        <f t="shared" ca="1" si="292"/>
        <v>#DIV/0!</v>
      </c>
      <c r="EF206" s="85" t="e">
        <f ca="1">IF(DL206&lt;=Hypothèses!$V$7,Hypothèses!$W$7,IF(DL206&lt;=Hypothèses!$V$8,Hypothèses!$W$8,IF(DL206&lt;=Hypothèses!$V$9,Hypothèses!$W$9,IF(DL206&lt;=Hypothèses!$V$10,Hypothèses!$W$10,IF(DL206&lt;=Hypothèses!$V$11,Hypothèses!$W$11,IF(DL206&lt;=Hypothèses!$V$12,Hypothèses!$W$12,IF(DL206&lt;=Hypothèses!$V$13,Hypothèses!$W$13,IF(DL206&lt;=Hypothèses!$V$14,Hypothèses!$W$14,IF(DL206&lt;=Hypothèses!$V$15,Hypothèses!$W$15,IF(DL206&lt;=Hypothèses!$V$16,Hypothèses!$W$16,IF(DL206&lt;=Hypothèses!$V$17,Hypothèses!$W$17,IF(DL206&lt;=Hypothèses!$V$18,Hypothèses!$W$18,""))))))))))))</f>
        <v>#DIV/0!</v>
      </c>
      <c r="EG206" s="87" t="e">
        <f t="shared" ca="1" si="322"/>
        <v>#DIV/0!</v>
      </c>
      <c r="EH206" s="88" t="e">
        <f ca="1">IF(DL206&lt;=Hypothèses!$V$7,Hypothèses!$X$7,IF(DL206&lt;=Hypothèses!$V$8,Hypothèses!$X$8,IF(DL206&lt;=Hypothèses!$V$9,Hypothèses!$X$9,IF(DL206&lt;=Hypothèses!$V$10,Hypothèses!$X$10,IF(DL206&lt;=Hypothèses!$V$11,Hypothèses!$X$11,IF(DL206&lt;=Hypothèses!$V$12,Hypothèses!$X$12,IF(DL206&lt;=Hypothèses!$V$13,Hypothèses!$X$13,IF(DL206&lt;=Hypothèses!$V$14,Hypothèses!$X$14,IF(DL206&lt;=Hypothèses!$V$15,Hypothèses!$X$15,IF(DL206&lt;=Hypothèses!$V$16,Hypothèses!$X$16,IF(DL206&lt;=Hypothèses!$U$17,Hypothèses!$W$17,IF(DL206&lt;=Hypothèses!$U$18,Hypothèses!$W$18,""))))))))))))</f>
        <v>#DIV/0!</v>
      </c>
      <c r="EI206" s="95" t="e">
        <f t="shared" ca="1" si="293"/>
        <v>#DIV/0!</v>
      </c>
      <c r="EJ206" s="101" t="e">
        <f t="shared" si="329"/>
        <v>#N/A</v>
      </c>
      <c r="EK206" s="91" t="e">
        <f t="shared" ref="EK206:EK269" si="362">IF($X206&lt;&gt;"",$X206,EJ206)</f>
        <v>#N/A</v>
      </c>
      <c r="EL206" s="30" t="e">
        <f t="shared" si="312"/>
        <v>#N/A</v>
      </c>
      <c r="EM206" s="30" t="e">
        <f t="shared" si="313"/>
        <v>#N/A</v>
      </c>
      <c r="EN206" s="31" t="e">
        <f>IF(OR(Hypothèses!$B$4=17,Hypothèses!$B$4=18,Hypothèses!$B$4=19,Hypothèses!$B$4=20),
IF($D206="Pressio.",
IF(OR($E206=3,$E206=1,$E206=4),EM206,EL206),
IF($D206="Pénétro.",
IF(OR($E206=3,$E206=1,$E206=4),EM206,EL206))),IF($D206="Pressio.",
IF($E206=3,EM206,EL206),
IF($D206="Pénétro.",
IF($E206=4,EM206,EL206))))</f>
        <v>#N/A</v>
      </c>
      <c r="EO206" s="31" t="e">
        <f>(IF(OR(Hypothèses!$B$4=17,Hypothèses!$B$4=18,Hypothèses!$B$4=19,Hypothèses!$B$4=20),
IF($D206="Pressio.",
IF(OR($E206=3,$E206=1,$E206=4),(PI()*EO$12^2)/4*(EK206*$W206*1000)/($H206*$B$5),(PI()*EO$12^2)/4*(EK206*$W206*1000)/($G206*$B$5)),
IF($D206="Pénétro.",
IF(OR($E206=4,$E206=1,$E206=5),(PI()*EO$12^2)/4*(EK206*$W206*1000)/($H206*$B$5),(PI()*EO$12^2)/4*(EK206*$W206*1000)/($G206*$B$5)))),
IF($D206="Pressio.",
IF($E206=3,(PI()*EO$12^2)/4*(EK206*$W206*1000)/($H206*$B$5),(PI()*EO$12^2)/4*(EK206*$W206*1000)/($G206*$B$5)),
IF($D206="Pénétro.",
IF($E206=4,(PI()*EO$12^2)/4*(EK206*$W206*1000)/($H206*$B$5),(PI()*EO$12^2)/4*(EK206*$W206*1000)/($G206*$B$5))))))/10</f>
        <v>#N/A</v>
      </c>
      <c r="EP206" s="102" t="e">
        <f>(VLOOKUP($B$3,'Coeff EC7'!$T$39:$X$59,2,0)*EN206+VLOOKUP($B$3,'Coeff EC7'!$T$65:$X$85,2,0)*Model0.1C!EO206)/1.1</f>
        <v>#N/A</v>
      </c>
      <c r="EQ206" s="102" t="e">
        <f>(VLOOKUP($B$3,'Coeff EC7'!$T$39:$X$59,3,0)*EN206+VLOOKUP($B$3,'Coeff EC7'!$T$65:$X$85,3,0)*Model0.1C!EO206)/0.9</f>
        <v>#N/A</v>
      </c>
      <c r="ER206" s="102" t="e">
        <f t="shared" si="294"/>
        <v>#N/A</v>
      </c>
      <c r="ES206" s="102" t="e">
        <f t="shared" si="295"/>
        <v>#N/A</v>
      </c>
      <c r="ET206" s="414" t="e">
        <f>IF(ET205=0,0,IF(AND(EP206&gt;charge_ELS_quasi,EQ206&gt;Charge_ELS_freq,ER206&gt;charge_ELU,ES206&gt;charge_ELA,$B206&gt;NDC!$H$22-0.1+MIN(3*$ET$12,1.5)),0,1))</f>
        <v>#N/A</v>
      </c>
      <c r="EU206" s="86" t="b">
        <f t="shared" ref="EU206:EU269" si="363">IF($B206&lt;=$P$4, $B206, IF($B206&lt;=$P$5, $B206-$P$4, IF($B206&lt;=$P$6, $B206-$P$5, IF($B206&lt;=$P$7,$B206-$P$6, IF($B206&lt;=$P$8, $B206-$P$7, IF($B206&lt;=$P$9, $B206-$P$8, IF($B206&lt;=$P$10,$B206-$P$9)))))))</f>
        <v>0</v>
      </c>
      <c r="EV206" s="86">
        <f t="shared" ref="EV206:EV269" si="364">MAX($FI$12/2,0.5)</f>
        <v>0.61</v>
      </c>
      <c r="EW206" s="86">
        <f t="shared" ref="EW206:EW269" si="365">MIN(EV206,EU206)</f>
        <v>0.61</v>
      </c>
      <c r="EX206" s="30" t="e">
        <f t="shared" ca="1" si="296"/>
        <v>#DIV/0!</v>
      </c>
      <c r="EY206" s="85" t="e">
        <f ca="1">IF(EE206&lt;=Hypothèses!$V$7,Hypothèses!$W$7,IF(EE206&lt;=Hypothèses!$V$8,Hypothèses!$W$8,IF(EE206&lt;=Hypothèses!$V$9,Hypothèses!$W$9,IF(EE206&lt;=Hypothèses!$V$10,Hypothèses!$W$10,IF(EE206&lt;=Hypothèses!$V$11,Hypothèses!$W$11,IF(EE206&lt;=Hypothèses!$V$12,Hypothèses!$W$12,IF(EE206&lt;=Hypothèses!$V$13,Hypothèses!$W$13,IF(EE206&lt;=Hypothèses!$V$14,Hypothèses!$W$14,IF(EE206&lt;=Hypothèses!$V$15,Hypothèses!$W$15,IF(EE206&lt;=Hypothèses!$V$16,Hypothèses!$W$16,IF(EE206&lt;=Hypothèses!$V$17,Hypothèses!$W$17,IF(EE206&lt;=Hypothèses!$V$18,Hypothèses!$W$18,""))))))))))))</f>
        <v>#DIV/0!</v>
      </c>
      <c r="EZ206" s="87" t="e">
        <f t="shared" ca="1" si="323"/>
        <v>#DIV/0!</v>
      </c>
      <c r="FA206" s="88" t="e">
        <f ca="1">IF(EE206&lt;=Hypothèses!$V$7,Hypothèses!$X$7,IF(EE206&lt;=Hypothèses!$V$8,Hypothèses!$X$8,IF(EE206&lt;=Hypothèses!$V$9,Hypothèses!$X$9,IF(EE206&lt;=Hypothèses!$V$10,Hypothèses!$X$10,IF(EE206&lt;=Hypothèses!$V$11,Hypothèses!$X$11,IF(EE206&lt;=Hypothèses!$V$12,Hypothèses!$X$12,IF(EE206&lt;=Hypothèses!$V$13,Hypothèses!$X$13,IF(EE206&lt;=Hypothèses!$V$14,Hypothèses!$X$14,IF(EE206&lt;=Hypothèses!$V$15,Hypothèses!$X$15,IF(EE206&lt;=Hypothèses!$V$16,Hypothèses!$X$16,IF(EE206&lt;=Hypothèses!$U$17,Hypothèses!$W$17,IF(EE206&lt;=Hypothèses!$U$18,Hypothèses!$W$18,""))))))))))))</f>
        <v>#DIV/0!</v>
      </c>
      <c r="FB206" s="95" t="e">
        <f t="shared" ca="1" si="297"/>
        <v>#DIV/0!</v>
      </c>
      <c r="FC206" s="101" t="e">
        <f t="shared" si="330"/>
        <v>#N/A</v>
      </c>
      <c r="FD206" s="91" t="e">
        <f t="shared" ref="FD206:FD269" si="366">IF($X206&lt;&gt;"",$X206,FC206)</f>
        <v>#N/A</v>
      </c>
      <c r="FE206" s="30" t="e">
        <f t="shared" si="314"/>
        <v>#N/A</v>
      </c>
      <c r="FF206" s="30" t="e">
        <f t="shared" si="315"/>
        <v>#N/A</v>
      </c>
      <c r="FG206" s="31" t="e">
        <f>IF(OR(Hypothèses!$B$4=17,Hypothèses!$B$4=18,Hypothèses!$B$4=19,Hypothèses!$B$4=20),
IF($D206="Pressio.",
IF(OR($E206=3,$E206=1,$E206=4),FF206,FE206),
IF($D206="Pénétro.",
IF(OR($E206=3,$E206=1,$E206=4),FF206,FE206))),IF($D206="Pressio.",
IF($E206=3,FF206,FE206),
IF($D206="Pénétro.",
IF($E206=4,FF206,FE206))))</f>
        <v>#N/A</v>
      </c>
      <c r="FH206" s="31" t="e">
        <f>(IF(OR(Hypothèses!$B$4=17,Hypothèses!$B$4=18,Hypothèses!$B$4=19,Hypothèses!$B$4=20),
IF($D206="Pressio.",
IF(OR($E206=3,$E206=1,$E206=4),(PI()*FH$12^2)/4*(FD206*$W206*1000)/($H206*$B$5),(PI()*FH$12^2)/4*(FD206*$W206*1000)/($G206*$B$5)),
IF($D206="Pénétro.",
IF(OR($E206=4,$E206=1,$E206=5),(PI()*FH$12^2)/4*(FD206*$W206*1000)/($H206*$B$5),(PI()*FH$12^2)/4*(FD206*$W206*1000)/($G206*$B$5)))),
IF($D206="Pressio.",
IF($E206=3,(PI()*FH$12^2)/4*(FD206*$W206*1000)/($H206*$B$5),(PI()*FH$12^2)/4*(FD206*$W206*1000)/($G206*$B$5)),
IF($D206="Pénétro.",
IF($E206=4,(PI()*FH$12^2)/4*(FD206*$W206*1000)/($H206*$B$5),(PI()*FH$12^2)/4*(FD206*$W206*1000)/($G206*$B$5))))))/10</f>
        <v>#N/A</v>
      </c>
      <c r="FI206" s="102" t="e">
        <f>(VLOOKUP($B$3,'Coeff EC7'!$T$39:$X$59,2,0)*FG206+VLOOKUP($B$3,'Coeff EC7'!$T$65:$X$85,2,0)*Model0.1C!FH206)/1.1</f>
        <v>#N/A</v>
      </c>
      <c r="FJ206" s="102" t="e">
        <f>(VLOOKUP($B$3,'Coeff EC7'!$T$39:$X$59,3,0)*FG206+VLOOKUP($B$3,'Coeff EC7'!$T$65:$X$85,3,0)*Model0.1C!FH206)/0.9</f>
        <v>#N/A</v>
      </c>
      <c r="FK206" s="102" t="e">
        <f t="shared" si="298"/>
        <v>#N/A</v>
      </c>
      <c r="FL206" s="102" t="e">
        <f t="shared" si="299"/>
        <v>#N/A</v>
      </c>
      <c r="FM206" s="414" t="e">
        <f>IF(FM205=0,0,IF(AND(FI206&gt;charge_ELS_quasi,FJ206&gt;Charge_ELS_freq,FK206&gt;charge_ELU,FL206&gt;charge_ELA,$B206&gt;NDC!$H$22-0.1+MIN(3*$FM$12,1.5)),0,1))</f>
        <v>#N/A</v>
      </c>
    </row>
    <row r="207" spans="1:169">
      <c r="A207" s="96">
        <f t="shared" ref="A207:A270" si="367">A206-0.1</f>
        <v>80.600000000001103</v>
      </c>
      <c r="B207" s="97">
        <v>19.399999999999999</v>
      </c>
      <c r="C207" s="81">
        <f>IF(B207&lt;=Hypothèses!$C$7,Hypothèses!$A$7,IF(B207&lt;=Hypothèses!$C$8,Hypothèses!$A$8,IF(B207&lt;=Hypothèses!$C$9,Hypothèses!$A$9,IF(B207&lt;=Hypothèses!$C$10,Hypothèses!$A$10,IF(B207&lt;=Hypothèses!$C$11,Hypothèses!$A$11,IF(B207&lt;=Hypothèses!$C$12,Hypothèses!$A$12,IF(B207&lt;=Hypothèses!$C$13,Hypothèses!$A$13,IF(B207&lt;=Hypothèses!$C$14,Hypothèses!$A$14,IF(B207&lt;=Hypothèses!$C$15,Hypothèses!$A$15,IF(B207&lt;=Hypothèses!$C$16,Hypothèses!$A$16,IF(B207&lt;=Hypothèses!$C$17,Hypothèses!$A$17,IF(B207&lt;=Hypothèses!$C$18,Hypothèses!$A$18,C206))))))))))))</f>
        <v>11</v>
      </c>
      <c r="D207" s="82" t="str">
        <f>IF(B207&lt;=Hypothèses!$C$7,Hypothèses!$R$7,IF(B207&lt;=Hypothèses!$C$8,Hypothèses!$R$8,IF(B207&lt;=Hypothèses!$C$9,Hypothèses!$R$9,IF(B207&lt;=Hypothèses!$C$10,Hypothèses!$R$10,IF(B207&lt;=Hypothèses!$C$11,Hypothèses!$R$11,IF(B207&lt;=Hypothèses!$C$12,Hypothèses!$R$12,IF(B207&lt;=Hypothèses!$C$13,Hypothèses!$R$13,IF(B207&lt;=Hypothèses!$C$14,Hypothèses!$R$14,IF(B207&lt;=Hypothèses!$C$15,Hypothèses!$R$15,IF(B207&lt;=Hypothèses!$C$16,Hypothèses!$R$16,IF(B207&lt;=Hypothèses!$C$17,Hypothèses!$R$17,IF(B207&lt;=Hypothèses!$C$18,Hypothèses!$R$18,D206))))))))))))</f>
        <v>Pressio.</v>
      </c>
      <c r="E207" s="82" t="e">
        <f>IF(B207&lt;=Hypothèses!$C$7,Hypothèses!$G$7,IF(B207&lt;=Hypothèses!$C$8,Hypothèses!$G$8,IF(B207&lt;=Hypothèses!$C$9,Hypothèses!$G$9,IF(B207&lt;=Hypothèses!$C$10,Hypothèses!$G$10,IF(B207&lt;=Hypothèses!$C$11,Hypothèses!$G$11,IF(B207&lt;=Hypothèses!$C$12,Hypothèses!$G$12,IF(B207&lt;=Hypothèses!$C$13,Hypothèses!$G$13,IF(B207&lt;=Hypothèses!$C$14,Hypothèses!$G$14,IF(B207&lt;=Hypothèses!$C$15,Hypothèses!$G$15,IF(B207&lt;=Hypothèses!$C$16,Hypothèses!$G$16,IF(B207&lt;=Hypothèses!$C$17,Hypothèses!$G$17,IF(B207&lt;=Hypothèses!$C$18,Hypothèses!$G$18,E206))))))))))))</f>
        <v>#N/A</v>
      </c>
      <c r="F207" s="82" t="str">
        <f>IF(B207&lt;=Hypothèses!$C$7,Hypothèses!$F$7,IF(B207&lt;=Hypothèses!$C$8,Hypothèses!$F$8,IF(B207&lt;=Hypothèses!$C$9,Hypothèses!$F$9,IF(B207&lt;=Hypothèses!$C$10,Hypothèses!$F$10,IF(B207&lt;=Hypothèses!$C$11,Hypothèses!$F$11,IF(B207&lt;=Hypothèses!$C$12,Hypothèses!$F$12,IF(B207&lt;=Hypothèses!$C$13,Hypothèses!$F$13,IF(B207&lt;=Hypothèses!$C$14,Hypothèses!$F$14,IF(B207&lt;=Hypothèses!$C$15,Hypothèses!$F$15,IF(B207&lt;=Hypothèses!$C$16,Hypothèses!$F$16,IF(B207&lt;=Hypothèses!$C$17,Hypothèses!$F$17,IF(B207&lt;=Hypothèses!$C$18,Hypothèses!$F$18,F206))))))))))))</f>
        <v/>
      </c>
      <c r="G207" s="91">
        <f t="array" ref="G207">INDEX('Coeff EC7'!$U$7:$X$27,
MATCH(Model0.1C!$B$3,'Coeff EC7'!$T$7:$T$27,0),
MATCH(Model0.1C!$D207&amp;Model0.1C!$B$4,
'Coeff EC7'!$U$6:$X$6&amp;
'Coeff EC7'!$U$5:$X$5,0))</f>
        <v>1.1499999999999999</v>
      </c>
      <c r="H207" s="91">
        <f t="array" ref="H207">INDEX('Coeff EC7'!$Y$7:$AB$27,
MATCH(Model0.1C!$B$3,'Coeff EC7'!$T$7:$T$27,0),
MATCH(Model0.1C!$D207&amp;Model0.1C!$B$4,
'Coeff EC7'!$Y$6:$AB$6&amp;
'Coeff EC7'!$Y$5:$AB$5,0))</f>
        <v>1.4</v>
      </c>
      <c r="I207" s="83" t="e">
        <f>IF(B207&lt;=Hypothèses!$C$7,Hypothèses!$P$7,IF(B207&lt;=Hypothèses!$C$8,Hypothèses!$P$8,IF(B207&lt;=Hypothèses!$C$9,Hypothèses!$P$9,IF(B207&lt;=Hypothèses!$C$10,Hypothèses!$P$10,IF(B207&lt;=Hypothèses!$C$11,Hypothèses!$P$11,IF(B207&lt;=Hypothèses!$C$12,Hypothèses!$P$12,IF(B207&lt;=Hypothèses!$C$13,Hypothèses!$P$13,IF(B207&lt;=Hypothèses!$C$14,Hypothèses!$P$14,IF(B207&lt;=Hypothèses!$C$15,Hypothèses!$P$15,IF(B207&lt;=Hypothèses!$C$16,Hypothèses!$P$16,IF(B207&lt;=Hypothèses!$C$17,Hypothèses!$P$17,IF(B207&lt;=Hypothèses!$C$18,Hypothèses!$P$18,I206))))))))))))</f>
        <v>#N/A</v>
      </c>
      <c r="J207" s="91" t="e">
        <f t="array" ref="J207">INDEX('Coeff EC7'!$D$33:$Q$33,1,MATCH(D207&amp;E207,'Coeff EC7'!$D$31:$Q$31&amp;'Coeff EC7'!$D$32:$Q$32,0))</f>
        <v>#N/A</v>
      </c>
      <c r="K207" s="91" t="e">
        <f t="array" ref="K207">INDEX('Coeff EC7'!$D$34:$Q$34,1,MATCH(D207&amp;E207,'Coeff EC7'!$D$31:$Q$31&amp;'Coeff EC7'!$D$32:$Q$32,0))</f>
        <v>#N/A</v>
      </c>
      <c r="L207" s="91" t="e">
        <f t="array" ref="L207">INDEX('Coeff EC7'!$D$35:$Q$35,1,MATCH(D207&amp;E207,'Coeff EC7'!$D$31:$Q$31&amp;'Coeff EC7'!$D$32:$Q$32,0))</f>
        <v>#N/A</v>
      </c>
      <c r="M207" s="98" t="e">
        <f t="shared" si="331"/>
        <v>#N/A</v>
      </c>
      <c r="N207" s="99" t="e">
        <f t="array" ref="N207">INDEX('Coeff EC7'!$D$7:$Q$27,MATCH($B$3,'Coeff EC7'!$C$7:$C$27,0),MATCH(D207&amp;E207,'Coeff EC7'!$D$5:$Q$5&amp;'Coeff EC7'!$D$6:$Q$6,0))</f>
        <v>#N/A</v>
      </c>
      <c r="O207" s="99" t="e">
        <f t="array" ref="O207">INDEX('Coeff EC7'!$D$41:$Q$61,MATCH($B$3,'Coeff EC7'!$C$41:$C$61,0),MATCH(D207&amp;E207,'Coeff EC7'!$D$39:$Q$39&amp;'Coeff EC7'!$D$40:$Q$40,0))</f>
        <v>#N/A</v>
      </c>
      <c r="P207" s="30" t="e">
        <f t="shared" ref="P207:P270" si="368">N207*M207*1000</f>
        <v>#N/A</v>
      </c>
      <c r="Q207" s="100" t="e">
        <f t="shared" si="333"/>
        <v>#N/A</v>
      </c>
      <c r="R207" s="86" t="b">
        <f t="shared" si="334"/>
        <v>0</v>
      </c>
      <c r="S207" s="86">
        <f t="shared" si="332"/>
        <v>0.5</v>
      </c>
      <c r="T207" s="86">
        <f t="shared" si="335"/>
        <v>0.5</v>
      </c>
      <c r="U207" s="30" t="e">
        <f t="shared" ref="U207:U270" ca="1" si="369">AVERAGE(OFFSET($F207, -10*T207, 0,10*T207, 1), OFFSET($F207, 1, 0, 30*S207, 1))</f>
        <v>#DIV/0!</v>
      </c>
      <c r="V207" s="85" t="str">
        <f>IF(B207&lt;=Hypothèses!$V$7,Hypothèses!$W$7,IF(B207&lt;=Hypothèses!$V$8,Hypothèses!$W$8,IF(B207&lt;=Hypothèses!$V$9,Hypothèses!$W$9,IF(B207&lt;=Hypothèses!$V$10,Hypothèses!$W$10,IF(B207&lt;=Hypothèses!$V$11,Hypothèses!$W$11,IF(B207&lt;=Hypothèses!$V$12,Hypothèses!$W$12,IF(B207&lt;=Hypothèses!$V$13,Hypothèses!$W$13,IF(B207&lt;=Hypothèses!$V$14,Hypothèses!$W$14,IF(B207&lt;=Hypothèses!$V$15,Hypothèses!$W$15,IF(B207&lt;=Hypothèses!$V$16,Hypothèses!$W$16,IF(B207&lt;=Hypothèses!$V$17,Hypothèses!$W$17,IF(B207&lt;=Hypothèses!$V$18,Hypothèses!$W$18,""))))))))))))</f>
        <v/>
      </c>
      <c r="W207" s="87" t="e">
        <f t="shared" ca="1" si="316"/>
        <v>#DIV/0!</v>
      </c>
      <c r="X207" s="88" t="str">
        <f>IF(B207&lt;=Hypothèses!$V$7,Hypothèses!$X$7,IF(B207&lt;=Hypothèses!$V$8,Hypothèses!$X$8,IF(B207&lt;=Hypothèses!$V$9,Hypothèses!$X$9,IF(B207&lt;=Hypothèses!$V$10,Hypothèses!$X$10,IF(B207&lt;=Hypothèses!$V$11,Hypothèses!$X$11,IF(B207&lt;=Hypothèses!$V$12,Hypothèses!$X$12,IF(B207&lt;=Hypothèses!$V$13,Hypothèses!$X$13,IF(B207&lt;=Hypothèses!$V$14,Hypothèses!$X$14,IF(B207&lt;=Hypothèses!$V$15,Hypothèses!$X$15,IF(B207&lt;=Hypothèses!$V$16,Hypothèses!$X$16,IF(B207&lt;=Hypothèses!$U$17,Hypothèses!$W$17,IF(B207&lt;=Hypothèses!$U$18,Hypothèses!$W$18,""))))))))))))</f>
        <v/>
      </c>
      <c r="Y207" s="95" t="e">
        <f t="shared" ca="1" si="336"/>
        <v>#DIV/0!</v>
      </c>
      <c r="Z207" s="101" t="e">
        <f t="shared" si="337"/>
        <v>#N/A</v>
      </c>
      <c r="AA207" s="91" t="e">
        <f t="shared" si="338"/>
        <v>#N/A</v>
      </c>
      <c r="AB207" s="30" t="e">
        <f t="shared" si="300"/>
        <v>#N/A</v>
      </c>
      <c r="AC207" s="30" t="e">
        <f t="shared" si="301"/>
        <v>#N/A</v>
      </c>
      <c r="AD207" s="31" t="e">
        <f>IF(OR(Hypothèses!$B$4=17,Hypothèses!$B$4=18,Hypothèses!$B$4=19,Hypothèses!$B$4=20),
IF($D207="Pressio.",
IF(OR($E207=3,$E207=1,$E207=4),AC207,AB207),
IF($D207="Pénétro.",
IF(OR($E207=3,$E207=1,$E207=4),AC207,AB207))),IF($D207="Pressio.",
IF($E207=3,AC207,AB207),
IF($D207="Pénétro.",
IF($E207=4,AC207,AB207))))</f>
        <v>#N/A</v>
      </c>
      <c r="AE207" s="31" t="e">
        <f>(IF(OR(Hypothèses!$B$4=17,Hypothèses!$B$4=18,Hypothèses!$B$4=19,Hypothèses!$B$4=20),
IF($D207="Pressio.",
IF(OR($E207=3,$E207=1,$E207=4),(PI()*AE$12^2)/4*(AA207*$W207*1000)/($H207*$B$5),(PI()*AE$12^2)/4*(AA207*$W207*1000)/($G207*$B$5)),
IF($D207="Pénétro.",
IF(OR($E207=4,$E207=1,$E207=5),(PI()*AE$12^2)/4*(AA207*$W207*1000)/($H207*$B$5),(PI()*AE$12^2)/4*(AA207*$W207*1000)/($G207*$B$5)))),
IF($D207="Pressio.",
IF($E207=3,(PI()*AE$12^2)/4*(AA207*$W207*1000)/($H207*$B$5),(PI()*AE$12^2)/4*(AA207*$W207*1000)/($G207*$B$5)),
IF($D207="Pénétro.",
IF($E207=4,(PI()*AE$12^2)/4*(AA207*$W207*1000)/($H207*$B$5),(PI()*AE$12^2)/4*(AA207*$W207*1000)/($G207*$B$5))))))/10</f>
        <v>#N/A</v>
      </c>
      <c r="AF207" s="102" t="e">
        <f>(VLOOKUP($B$3,'Coeff EC7'!$T$39:$X$59,2,0)*AD207+VLOOKUP($B$3,'Coeff EC7'!$T$65:$X$85,2,0)*Model0.1C!AE207)/1.1</f>
        <v>#N/A</v>
      </c>
      <c r="AG207" s="102" t="e">
        <f>(VLOOKUP($B$3,'Coeff EC7'!$T$39:$X$59,3,0)*AD207+VLOOKUP($B$3,'Coeff EC7'!$T$65:$X$85,3,0)*Model0.1C!AE207)/0.9</f>
        <v>#N/A</v>
      </c>
      <c r="AH207" s="102" t="e">
        <f t="shared" si="339"/>
        <v>#N/A</v>
      </c>
      <c r="AI207" s="102" t="e">
        <f t="shared" si="340"/>
        <v>#N/A</v>
      </c>
      <c r="AJ207" s="414" t="e">
        <f>IF(AJ206=0,0,IF(AND(AF207&gt;charge_ELS_quasi,AG207&gt;Charge_ELS_freq,AH207&gt;charge_ELU,AI207&gt;charge_ELA,$B207&gt;NDC!$H$22-0.1+MIN(3*$AJ$12,1.5)),0,1))</f>
        <v>#N/A</v>
      </c>
      <c r="AK207" s="86" t="b">
        <f t="shared" si="341"/>
        <v>0</v>
      </c>
      <c r="AL207" s="86">
        <f t="shared" ref="AL207:AL270" si="370">MAX($AY$12/2,0.5)</f>
        <v>0.5</v>
      </c>
      <c r="AM207" s="86">
        <f t="shared" si="342"/>
        <v>0.5</v>
      </c>
      <c r="AN207" s="30" t="e">
        <f t="shared" ref="AN207:AN270" ca="1" si="371">AVERAGE(OFFSET($F207, -10*AM207, 0,10*AM207, 1), OFFSET($F207, 1, 0, 30*AL207, 1))</f>
        <v>#DIV/0!</v>
      </c>
      <c r="AO207" s="85" t="e">
        <f ca="1">IF(U207&lt;=Hypothèses!$V$7,Hypothèses!$W$7,IF(U207&lt;=Hypothèses!$V$8,Hypothèses!$W$8,IF(U207&lt;=Hypothèses!$V$9,Hypothèses!$W$9,IF(U207&lt;=Hypothèses!$V$10,Hypothèses!$W$10,IF(U207&lt;=Hypothèses!$V$11,Hypothèses!$W$11,IF(U207&lt;=Hypothèses!$V$12,Hypothèses!$W$12,IF(U207&lt;=Hypothèses!$V$13,Hypothèses!$W$13,IF(U207&lt;=Hypothèses!$V$14,Hypothèses!$W$14,IF(U207&lt;=Hypothèses!$V$15,Hypothèses!$W$15,IF(U207&lt;=Hypothèses!$V$16,Hypothèses!$W$16,IF(U207&lt;=Hypothèses!$V$17,Hypothèses!$W$17,IF(U207&lt;=Hypothèses!$V$18,Hypothèses!$W$18,""))))))))))))</f>
        <v>#DIV/0!</v>
      </c>
      <c r="AP207" s="87" t="e">
        <f t="shared" ca="1" si="317"/>
        <v>#DIV/0!</v>
      </c>
      <c r="AQ207" s="88" t="e">
        <f ca="1">IF(U207&lt;=Hypothèses!$V$7,Hypothèses!$X$7,IF(U207&lt;=Hypothèses!$V$8,Hypothèses!$X$8,IF(U207&lt;=Hypothèses!$V$9,Hypothèses!$X$9,IF(U207&lt;=Hypothèses!$V$10,Hypothèses!$X$10,IF(U207&lt;=Hypothèses!$V$11,Hypothèses!$X$11,IF(U207&lt;=Hypothèses!$V$12,Hypothèses!$X$12,IF(U207&lt;=Hypothèses!$V$13,Hypothèses!$X$13,IF(U207&lt;=Hypothèses!$V$14,Hypothèses!$X$14,IF(U207&lt;=Hypothèses!$V$15,Hypothèses!$X$15,IF(U207&lt;=Hypothèses!$V$16,Hypothèses!$X$16,IF(U207&lt;=Hypothèses!$U$17,Hypothèses!$W$17,IF(U207&lt;=Hypothèses!$U$18,Hypothèses!$W$18,""))))))))))))</f>
        <v>#DIV/0!</v>
      </c>
      <c r="AR207" s="95" t="e">
        <f t="shared" ref="AR207:AR270" ca="1" si="372">IF($B207&lt;10*$BB$12,0.1/AP207*SUM(OFFSET(F207,-10*$B207+1,0,10*$B207,1)),0.1/AP207*SUM(OFFSET(F207,-100*$BB$12+1,0,100*$BB$12,1)))</f>
        <v>#DIV/0!</v>
      </c>
      <c r="AS207" s="101" t="e">
        <f t="shared" si="324"/>
        <v>#N/A</v>
      </c>
      <c r="AT207" s="91" t="e">
        <f t="shared" si="343"/>
        <v>#N/A</v>
      </c>
      <c r="AU207" s="30" t="e">
        <f t="shared" si="302"/>
        <v>#N/A</v>
      </c>
      <c r="AV207" s="30" t="e">
        <f t="shared" si="303"/>
        <v>#N/A</v>
      </c>
      <c r="AW207" s="31" t="e">
        <f>IF(OR(Hypothèses!$B$4=17,Hypothèses!$B$4=18,Hypothèses!$B$4=19,Hypothèses!$B$4=20),
IF($D207="Pressio.",
IF(OR($E207=3,$E207=1,$E207=4),AV207,AU207),
IF($D207="Pénétro.",
IF(OR($E207=3,$E207=1,$E207=4),AV207,AU207))),IF($D207="Pressio.",
IF($E207=3,AV207,AU207),
IF($D207="Pénétro.",
IF($E207=4,AV207,AU207))))</f>
        <v>#N/A</v>
      </c>
      <c r="AX207" s="31" t="e">
        <f>(IF(OR(Hypothèses!$B$4=17,Hypothèses!$B$4=18,Hypothèses!$B$4=19,Hypothèses!$B$4=20),
IF($D207="Pressio.",
IF(OR($E207=3,$E207=1,$E207=4),(PI()*AX$12^2)/4*(AT207*$W207*1000)/($H207*$B$5),(PI()*AX$12^2)/4*(AT207*$W207*1000)/($G207*$B$5)),
IF($D207="Pénétro.",
IF(OR($E207=4,$E207=1,$E207=5),(PI()*AX$12^2)/4*(AT207*$W207*1000)/($H207*$B$5),(PI()*AX$12^2)/4*(AT207*$W207*1000)/($G207*$B$5)))),
IF($D207="Pressio.",
IF($E207=3,(PI()*AX$12^2)/4*(AT207*$W207*1000)/($H207*$B$5),(PI()*AX$12^2)/4*(AT207*$W207*1000)/($G207*$B$5)),
IF($D207="Pénétro.",
IF($E207=4,(PI()*AX$12^2)/4*(AT207*$W207*1000)/($H207*$B$5),(PI()*AX$12^2)/4*(AT207*$W207*1000)/($G207*$B$5))))))/10</f>
        <v>#N/A</v>
      </c>
      <c r="AY207" s="102" t="e">
        <f>(VLOOKUP($B$3,'Coeff EC7'!$T$39:$X$59,2,0)*AW207+VLOOKUP($B$3,'Coeff EC7'!$T$65:$X$85,2,0)*Model0.1C!AX207)/1.1</f>
        <v>#N/A</v>
      </c>
      <c r="AZ207" s="102" t="e">
        <f>(VLOOKUP($B$3,'Coeff EC7'!$T$39:$X$59,3,0)*AW207+VLOOKUP($B$3,'Coeff EC7'!$T$65:$X$85,3,0)*Model0.1C!AX207)/0.9</f>
        <v>#N/A</v>
      </c>
      <c r="BA207" s="102" t="e">
        <f t="shared" ref="BA207:BA270" si="373">AW207/1.1+AX207/1.1</f>
        <v>#N/A</v>
      </c>
      <c r="BB207" s="102" t="e">
        <f t="shared" ref="BB207:BB270" si="374">AW207+AX207</f>
        <v>#N/A</v>
      </c>
      <c r="BC207" s="414" t="e">
        <f>IF(BC206=0,0,IF(AND(AY207&gt;charge_ELS_quasi,AZ207&gt;Charge_ELS_freq,BA207&gt;charge_ELU,BB207&gt;charge_ELA,$B207&gt;NDC!$H$22-0.1+MIN(3*$BC$12,1.5)),0,1))</f>
        <v>#N/A</v>
      </c>
      <c r="BD207" s="86" t="b">
        <f t="shared" si="344"/>
        <v>0</v>
      </c>
      <c r="BE207" s="86">
        <f t="shared" ref="BE207:BE270" si="375">MAX($BR$12/2,0.5)</f>
        <v>0.5</v>
      </c>
      <c r="BF207" s="86">
        <f t="shared" si="345"/>
        <v>0.5</v>
      </c>
      <c r="BG207" s="30" t="e">
        <f t="shared" ref="BG207:BG270" ca="1" si="376">AVERAGE(OFFSET($F207, -10*BF207, 0,10*BF207, 1), OFFSET($F207, 1, 0, 30*BE207, 1))</f>
        <v>#DIV/0!</v>
      </c>
      <c r="BH207" s="85" t="e">
        <f ca="1">IF(AN207&lt;=Hypothèses!$V$7,Hypothèses!$W$7,IF(AN207&lt;=Hypothèses!$V$8,Hypothèses!$W$8,IF(AN207&lt;=Hypothèses!$V$9,Hypothèses!$W$9,IF(AN207&lt;=Hypothèses!$V$10,Hypothèses!$W$10,IF(AN207&lt;=Hypothèses!$V$11,Hypothèses!$W$11,IF(AN207&lt;=Hypothèses!$V$12,Hypothèses!$W$12,IF(AN207&lt;=Hypothèses!$V$13,Hypothèses!$W$13,IF(AN207&lt;=Hypothèses!$V$14,Hypothèses!$W$14,IF(AN207&lt;=Hypothèses!$V$15,Hypothèses!$W$15,IF(AN207&lt;=Hypothèses!$V$16,Hypothèses!$W$16,IF(AN207&lt;=Hypothèses!$V$17,Hypothèses!$W$17,IF(AN207&lt;=Hypothèses!$V$18,Hypothèses!$W$18,""))))))))))))</f>
        <v>#DIV/0!</v>
      </c>
      <c r="BI207" s="87" t="e">
        <f t="shared" ca="1" si="318"/>
        <v>#DIV/0!</v>
      </c>
      <c r="BJ207" s="88" t="e">
        <f ca="1">IF(AN207&lt;=Hypothèses!$V$7,Hypothèses!$X$7,IF(AN207&lt;=Hypothèses!$V$8,Hypothèses!$X$8,IF(AN207&lt;=Hypothèses!$V$9,Hypothèses!$X$9,IF(AN207&lt;=Hypothèses!$V$10,Hypothèses!$X$10,IF(AN207&lt;=Hypothèses!$V$11,Hypothèses!$X$11,IF(AN207&lt;=Hypothèses!$V$12,Hypothèses!$X$12,IF(AN207&lt;=Hypothèses!$V$13,Hypothèses!$X$13,IF(AN207&lt;=Hypothèses!$V$14,Hypothèses!$X$14,IF(AN207&lt;=Hypothèses!$V$15,Hypothèses!$X$15,IF(AN207&lt;=Hypothèses!$V$16,Hypothèses!$X$16,IF(AN207&lt;=Hypothèses!$U$17,Hypothèses!$W$17,IF(AN207&lt;=Hypothèses!$U$18,Hypothèses!$W$18,""))))))))))))</f>
        <v>#DIV/0!</v>
      </c>
      <c r="BK207" s="95" t="e">
        <f t="shared" ref="BK207:BK270" ca="1" si="377">IF($B207&lt;10*$BU$12,0.1/BI207*SUM(OFFSET(F207,-10*$B207+1,0,10*$B207,1)),0.1/BI207*SUM(OFFSET(F207,-100*$BU$12+1,0,100*$BU$12,1)))</f>
        <v>#DIV/0!</v>
      </c>
      <c r="BL207" s="101" t="e">
        <f t="shared" si="325"/>
        <v>#N/A</v>
      </c>
      <c r="BM207" s="91" t="e">
        <f t="shared" si="346"/>
        <v>#N/A</v>
      </c>
      <c r="BN207" s="30" t="e">
        <f t="shared" si="304"/>
        <v>#N/A</v>
      </c>
      <c r="BO207" s="30" t="e">
        <f t="shared" si="305"/>
        <v>#N/A</v>
      </c>
      <c r="BP207" s="31" t="e">
        <f>IF(OR(Hypothèses!$B$4=17,Hypothèses!$B$4=18,Hypothèses!$B$4=19,Hypothèses!$B$4=20),
IF($D207="Pressio.",
IF(OR($E207=3,$E207=1,$E207=4),BO207,BN207),
IF($D207="Pénétro.",
IF(OR($E207=3,$E207=1,$E207=4),BO207,BN207))),IF($D207="Pressio.",
IF($E207=3,BO207,BN207),
IF($D207="Pénétro.",
IF($E207=4,BO207,BN207))))</f>
        <v>#N/A</v>
      </c>
      <c r="BQ207" s="31" t="e">
        <f>(IF(OR(Hypothèses!$B$4=17,Hypothèses!$B$4=18,Hypothèses!$B$4=19,Hypothèses!$B$4=20),
IF($D207="Pressio.",
IF(OR($E207=3,$E207=1,$E207=4),(PI()*BQ$12^2)/4*(BM207*$W207*1000)/($H207*$B$5),(PI()*BQ$12^2)/4*(BM207*$W207*1000)/($G207*$B$5)),
IF($D207="Pénétro.",
IF(OR($E207=4,$E207=1,$E207=5),(PI()*BQ$12^2)/4*(BM207*$W207*1000)/($H207*$B$5),(PI()*BQ$12^2)/4*(BM207*$W207*1000)/($G207*$B$5)))),
IF($D207="Pressio.",
IF($E207=3,(PI()*BQ$12^2)/4*(BM207*$W207*1000)/($H207*$B$5),(PI()*BQ$12^2)/4*(BM207*$W207*1000)/($G207*$B$5)),
IF($D207="Pénétro.",
IF($E207=4,(PI()*BQ$12^2)/4*(BM207*$W207*1000)/($H207*$B$5),(PI()*BQ$12^2)/4*(BM207*$W207*1000)/($G207*$B$5))))))/10</f>
        <v>#N/A</v>
      </c>
      <c r="BR207" s="102" t="e">
        <f>(VLOOKUP($B$3,'Coeff EC7'!$T$39:$X$59,2,0)*BP207+VLOOKUP($B$3,'Coeff EC7'!$T$65:$X$85,2,0)*Model0.1C!BQ207)/1.1</f>
        <v>#N/A</v>
      </c>
      <c r="BS207" s="102" t="e">
        <f>(VLOOKUP($B$3,'Coeff EC7'!$T$39:$X$59,3,0)*BP207+VLOOKUP($B$3,'Coeff EC7'!$T$65:$X$85,3,0)*Model0.1C!BQ207)/0.9</f>
        <v>#N/A</v>
      </c>
      <c r="BT207" s="102" t="e">
        <f t="shared" ref="BT207:BT270" si="378">BP207/1.1+BQ207/1.1</f>
        <v>#N/A</v>
      </c>
      <c r="BU207" s="102" t="e">
        <f t="shared" ref="BU207:BU270" si="379">BP207+BQ207</f>
        <v>#N/A</v>
      </c>
      <c r="BV207" s="414" t="e">
        <f>IF(BV206=0,0,IF(AND(BR207&gt;charge_ELS_quasi,BS207&gt;Charge_ELS_freq,BT207&gt;charge_ELU,BU207&gt;charge_ELA,$B207&gt;NDC!$H$22-0.1+MIN(3*$BV$12,1.5)),0,1))</f>
        <v>#N/A</v>
      </c>
      <c r="BW207" s="86" t="b">
        <f t="shared" si="347"/>
        <v>0</v>
      </c>
      <c r="BX207" s="86">
        <f t="shared" si="348"/>
        <v>0.5</v>
      </c>
      <c r="BY207" s="86">
        <f t="shared" si="349"/>
        <v>0.5</v>
      </c>
      <c r="BZ207" s="30" t="e">
        <f t="shared" ref="BZ207:BZ270" ca="1" si="380">AVERAGE(OFFSET($F207, -10*BY207, 0,10*BY207, 1), OFFSET($F207, 1, 0, 30*BX207, 1))</f>
        <v>#DIV/0!</v>
      </c>
      <c r="CA207" s="85" t="e">
        <f ca="1">IF(BG207&lt;=Hypothèses!$V$7,Hypothèses!$W$7,IF(BG207&lt;=Hypothèses!$V$8,Hypothèses!$W$8,IF(BG207&lt;=Hypothèses!$V$9,Hypothèses!$W$9,IF(BG207&lt;=Hypothèses!$V$10,Hypothèses!$W$10,IF(BG207&lt;=Hypothèses!$V$11,Hypothèses!$W$11,IF(BG207&lt;=Hypothèses!$V$12,Hypothèses!$W$12,IF(BG207&lt;=Hypothèses!$V$13,Hypothèses!$W$13,IF(BG207&lt;=Hypothèses!$V$14,Hypothèses!$W$14,IF(BG207&lt;=Hypothèses!$V$15,Hypothèses!$W$15,IF(BG207&lt;=Hypothèses!$V$16,Hypothèses!$W$16,IF(BG207&lt;=Hypothèses!$V$17,Hypothèses!$W$17,IF(BG207&lt;=Hypothèses!$V$18,Hypothèses!$W$18,""))))))))))))</f>
        <v>#DIV/0!</v>
      </c>
      <c r="CB207" s="87" t="e">
        <f t="shared" ca="1" si="319"/>
        <v>#DIV/0!</v>
      </c>
      <c r="CC207" s="88" t="e">
        <f ca="1">IF(BG207&lt;=Hypothèses!$V$7,Hypothèses!$X$7,IF(BG207&lt;=Hypothèses!$V$8,Hypothèses!$X$8,IF(BG207&lt;=Hypothèses!$V$9,Hypothèses!$X$9,IF(BG207&lt;=Hypothèses!$V$10,Hypothèses!$X$10,IF(BG207&lt;=Hypothèses!$V$11,Hypothèses!$X$11,IF(BG207&lt;=Hypothèses!$V$12,Hypothèses!$X$12,IF(BG207&lt;=Hypothèses!$V$13,Hypothèses!$X$13,IF(BG207&lt;=Hypothèses!$V$14,Hypothèses!$X$14,IF(BG207&lt;=Hypothèses!$V$15,Hypothèses!$X$15,IF(BG207&lt;=Hypothèses!$V$16,Hypothèses!$X$16,IF(BG207&lt;=Hypothèses!$U$17,Hypothèses!$W$17,IF(BG207&lt;=Hypothèses!$U$18,Hypothèses!$W$18,""))))))))))))</f>
        <v>#DIV/0!</v>
      </c>
      <c r="CD207" s="95" t="e">
        <f t="shared" ref="CD207:CD270" ca="1" si="381">IF($B207&lt;10*$CN$12,0.1/CB207*SUM(OFFSET(F207,-10*$B207+1,0,10*$B207,1)),0.1/CB207*SUM(OFFSET(F207,-100*$CN$12+1,0,100*$CN$12,1)))</f>
        <v>#DIV/0!</v>
      </c>
      <c r="CE207" s="101" t="e">
        <f t="shared" si="326"/>
        <v>#N/A</v>
      </c>
      <c r="CF207" s="91" t="e">
        <f t="shared" si="350"/>
        <v>#N/A</v>
      </c>
      <c r="CG207" s="30" t="e">
        <f t="shared" si="306"/>
        <v>#N/A</v>
      </c>
      <c r="CH207" s="30" t="e">
        <f t="shared" si="307"/>
        <v>#N/A</v>
      </c>
      <c r="CI207" s="31" t="e">
        <f>IF(OR(Hypothèses!$B$4=17,Hypothèses!$B$4=18,Hypothèses!$B$4=19,Hypothèses!$B$4=20),
IF($D207="Pressio.",
IF(OR($E207=3,$E207=1,$E207=4),CH207,CG207),
IF($D207="Pénétro.",
IF(OR($E207=3,$E207=1,$E207=4),CH207,CG207))),IF($D207="Pressio.",
IF($E207=3,CH207,CG207),
IF($D207="Pénétro.",
IF($E207=4,CH207,CG207))))</f>
        <v>#N/A</v>
      </c>
      <c r="CJ207" s="31" t="e">
        <f>(IF(OR(Hypothèses!$B$4=17,Hypothèses!$B$4=18,Hypothèses!$B$4=19,Hypothèses!$B$4=20),
IF($D207="Pressio.",
IF(OR($E207=3,$E207=1,$E207=4),(PI()*CJ$12^2)/4*(CF207*$W207*1000)/($H207*$B$5),(PI()*CJ$12^2)/4*(CF207*$W207*1000)/($G207*$B$5)),
IF($D207="Pénétro.",
IF(OR($E207=4,$E207=1,$E207=5),(PI()*CJ$12^2)/4*(CF207*$W207*1000)/($H207*$B$5),(PI()*CJ$12^2)/4*(CF207*$W207*1000)/($G207*$B$5)))),
IF($D207="Pressio.",
IF($E207=3,(PI()*CJ$12^2)/4*(CF207*$W207*1000)/($H207*$B$5),(PI()*CJ$12^2)/4*(CF207*$W207*1000)/($G207*$B$5)),
IF($D207="Pénétro.",
IF($E207=4,(PI()*CJ$12^2)/4*(CF207*$W207*1000)/($H207*$B$5),(PI()*CJ$12^2)/4*(CF207*$W207*1000)/($G207*$B$5))))))/10</f>
        <v>#N/A</v>
      </c>
      <c r="CK207" s="102" t="e">
        <f>(VLOOKUP($B$3,'Coeff EC7'!$T$39:$X$59,2,0)*CI207+VLOOKUP($B$3,'Coeff EC7'!$T$65:$X$85,2,0)*Model0.1C!CJ207)/1.1</f>
        <v>#N/A</v>
      </c>
      <c r="CL207" s="102" t="e">
        <f>(VLOOKUP($B$3,'Coeff EC7'!$T$39:$X$59,3,0)*CI207+VLOOKUP($B$3,'Coeff EC7'!$T$65:$X$85,3,0)*Model0.1C!CJ207)/0.9</f>
        <v>#N/A</v>
      </c>
      <c r="CM207" s="102" t="e">
        <f t="shared" ref="CM207:CM270" si="382">CI207/1.1+CJ207/1.1</f>
        <v>#N/A</v>
      </c>
      <c r="CN207" s="102" t="e">
        <f t="shared" ref="CN207:CN270" si="383">CI207+CJ207</f>
        <v>#N/A</v>
      </c>
      <c r="CO207" s="414" t="e">
        <f>IF(CO206=0,0,IF(AND(CK207&gt;charge_ELS_quasi,CL207&gt;Charge_ELS_freq,CM207&gt;charge_ELU,CN207&gt;charge_ELA,$B207&gt;NDC!$H$22-0.1+MIN(3*$CO$12,1.5)),0,1))</f>
        <v>#N/A</v>
      </c>
      <c r="CP207" s="86" t="b">
        <f t="shared" si="351"/>
        <v>0</v>
      </c>
      <c r="CQ207" s="86">
        <f t="shared" si="352"/>
        <v>0.5</v>
      </c>
      <c r="CR207" s="86">
        <f t="shared" si="353"/>
        <v>0.5</v>
      </c>
      <c r="CS207" s="30" t="e">
        <f t="shared" ref="CS207:CS270" ca="1" si="384">AVERAGE(OFFSET($F207, -10*CR207, 0,10*CR207, 1), OFFSET($F207, 1, 0, 30*CQ207, 1))</f>
        <v>#DIV/0!</v>
      </c>
      <c r="CT207" s="85" t="e">
        <f ca="1">IF(BZ207&lt;=Hypothèses!$V$7,Hypothèses!$W$7,IF(BZ207&lt;=Hypothèses!$V$8,Hypothèses!$W$8,IF(BZ207&lt;=Hypothèses!$V$9,Hypothèses!$W$9,IF(BZ207&lt;=Hypothèses!$V$10,Hypothèses!$W$10,IF(BZ207&lt;=Hypothèses!$V$11,Hypothèses!$W$11,IF(BZ207&lt;=Hypothèses!$V$12,Hypothèses!$W$12,IF(BZ207&lt;=Hypothèses!$V$13,Hypothèses!$W$13,IF(BZ207&lt;=Hypothèses!$V$14,Hypothèses!$W$14,IF(BZ207&lt;=Hypothèses!$V$15,Hypothèses!$W$15,IF(BZ207&lt;=Hypothèses!$V$16,Hypothèses!$W$16,IF(BZ207&lt;=Hypothèses!$V$17,Hypothèses!$W$17,IF(BZ207&lt;=Hypothèses!$V$18,Hypothèses!$W$18,""))))))))))))</f>
        <v>#DIV/0!</v>
      </c>
      <c r="CU207" s="87" t="e">
        <f t="shared" ca="1" si="320"/>
        <v>#DIV/0!</v>
      </c>
      <c r="CV207" s="88" t="e">
        <f ca="1">IF(BZ207&lt;=Hypothèses!$V$7,Hypothèses!$X$7,IF(BZ207&lt;=Hypothèses!$V$8,Hypothèses!$X$8,IF(BZ207&lt;=Hypothèses!$V$9,Hypothèses!$X$9,IF(BZ207&lt;=Hypothèses!$V$10,Hypothèses!$X$10,IF(BZ207&lt;=Hypothèses!$V$11,Hypothèses!$X$11,IF(BZ207&lt;=Hypothèses!$V$12,Hypothèses!$X$12,IF(BZ207&lt;=Hypothèses!$V$13,Hypothèses!$X$13,IF(BZ207&lt;=Hypothèses!$V$14,Hypothèses!$X$14,IF(BZ207&lt;=Hypothèses!$V$15,Hypothèses!$X$15,IF(BZ207&lt;=Hypothèses!$V$16,Hypothèses!$X$16,IF(BZ207&lt;=Hypothèses!$U$17,Hypothèses!$W$17,IF(BZ207&lt;=Hypothèses!$U$18,Hypothèses!$W$18,""))))))))))))</f>
        <v>#DIV/0!</v>
      </c>
      <c r="CW207" s="95" t="e">
        <f t="shared" ref="CW207:CW270" ca="1" si="385">IF($B207&lt;10*$DG$12,0.1/CU207*SUM(OFFSET(F207,-10*$B207+1,0,10*$B207,1)),0.1/CU207*SUM(OFFSET(F207,-100*$DG$12+1,0,100*$DG$12,1)))</f>
        <v>#DIV/0!</v>
      </c>
      <c r="CX207" s="101" t="e">
        <f t="shared" si="327"/>
        <v>#N/A</v>
      </c>
      <c r="CY207" s="91" t="e">
        <f t="shared" si="354"/>
        <v>#N/A</v>
      </c>
      <c r="CZ207" s="30" t="e">
        <f t="shared" si="308"/>
        <v>#N/A</v>
      </c>
      <c r="DA207" s="30" t="e">
        <f t="shared" si="309"/>
        <v>#N/A</v>
      </c>
      <c r="DB207" s="31" t="e">
        <f>IF(OR(Hypothèses!$B$4=17,Hypothèses!$B$4=18,Hypothèses!$B$4=19,Hypothèses!$B$4=20),
IF($D207="Pressio.",
IF(OR($E207=3,$E207=1,$E207=4),DA207,CZ207),
IF($D207="Pénétro.",
IF(OR($E207=3,$E207=1,$E207=4),DA207,CZ207))),IF($D207="Pressio.",
IF($E207=3,DA207,CZ207),
IF($D207="Pénétro.",
IF($E207=4,DA207,CZ207))))</f>
        <v>#N/A</v>
      </c>
      <c r="DC207" s="31" t="e">
        <f>(IF(OR(Hypothèses!$B$4=17,Hypothèses!$B$4=18,Hypothèses!$B$4=19,Hypothèses!$B$4=20),
IF($D207="Pressio.",
IF(OR($E207=3,$E207=1,$E207=4),(PI()*DC$12^2)/4*(CY207*$W207*1000)/($H207*$B$5),(PI()*DC$12^2)/4*(CY207*$W207*1000)/($G207*$B$5)),
IF($D207="Pénétro.",
IF(OR($E207=4,$E207=1,$E207=5),(PI()*DC$12^2)/4*(CY207*$W207*1000)/($H207*$B$5),(PI()*DC$12^2)/4*(CY207*$W207*1000)/($G207*$B$5)))),
IF($D207="Pressio.",
IF($E207=3,(PI()*DC$12^2)/4*(CY207*$W207*1000)/($H207*$B$5),(PI()*DC$12^2)/4*(CY207*$W207*1000)/($G207*$B$5)),
IF($D207="Pénétro.",
IF($E207=4,(PI()*DC$12^2)/4*(CY207*$W207*1000)/($H207*$B$5),(PI()*DC$12^2)/4*(CY207*$W207*1000)/($G207*$B$5))))))/10</f>
        <v>#N/A</v>
      </c>
      <c r="DD207" s="102" t="e">
        <f>(VLOOKUP($B$3,'Coeff EC7'!$T$39:$X$59,2,0)*DB207+VLOOKUP($B$3,'Coeff EC7'!$T$65:$X$85,2,0)*Model0.1C!DC207)/1.1</f>
        <v>#N/A</v>
      </c>
      <c r="DE207" s="102" t="e">
        <f>(VLOOKUP($B$3,'Coeff EC7'!$T$39:$X$59,3,0)*DB207+VLOOKUP($B$3,'Coeff EC7'!$T$65:$X$85,3,0)*Model0.1C!DC207)/0.9</f>
        <v>#N/A</v>
      </c>
      <c r="DF207" s="102" t="e">
        <f t="shared" ref="DF207:DF270" si="386">DB207/1.1+DC207/1.1</f>
        <v>#N/A</v>
      </c>
      <c r="DG207" s="102" t="e">
        <f t="shared" ref="DG207:DG270" si="387">DB207+DC207</f>
        <v>#N/A</v>
      </c>
      <c r="DH207" s="414" t="e">
        <f>IF(DH206=0,0,IF(AND(DD207&gt;charge_ELS_quasi,DE207&gt;Charge_ELS_freq,DF207&gt;charge_ELU,DG207&gt;charge_ELA,$B207&gt;NDC!$H$22-0.1+MIN(3*$DH$12,1.5)),0,1))</f>
        <v>#N/A</v>
      </c>
      <c r="DI207" s="86" t="b">
        <f t="shared" si="355"/>
        <v>0</v>
      </c>
      <c r="DJ207" s="86">
        <f t="shared" si="356"/>
        <v>0.5</v>
      </c>
      <c r="DK207" s="86">
        <f t="shared" si="357"/>
        <v>0.5</v>
      </c>
      <c r="DL207" s="30" t="e">
        <f t="shared" ref="DL207:DL270" ca="1" si="388">AVERAGE(OFFSET($F207, -10*DK207, 0,10*DK207, 1), OFFSET($F207, 1, 0, 30*DJ207, 1))</f>
        <v>#DIV/0!</v>
      </c>
      <c r="DM207" s="85" t="e">
        <f ca="1">IF(CS207&lt;=Hypothèses!$V$7,Hypothèses!$W$7,IF(CS207&lt;=Hypothèses!$V$8,Hypothèses!$W$8,IF(CS207&lt;=Hypothèses!$V$9,Hypothèses!$W$9,IF(CS207&lt;=Hypothèses!$V$10,Hypothèses!$W$10,IF(CS207&lt;=Hypothèses!$V$11,Hypothèses!$W$11,IF(CS207&lt;=Hypothèses!$V$12,Hypothèses!$W$12,IF(CS207&lt;=Hypothèses!$V$13,Hypothèses!$W$13,IF(CS207&lt;=Hypothèses!$V$14,Hypothèses!$W$14,IF(CS207&lt;=Hypothèses!$V$15,Hypothèses!$W$15,IF(CS207&lt;=Hypothèses!$V$16,Hypothèses!$W$16,IF(CS207&lt;=Hypothèses!$V$17,Hypothèses!$W$17,IF(CS207&lt;=Hypothèses!$V$18,Hypothèses!$W$18,""))))))))))))</f>
        <v>#DIV/0!</v>
      </c>
      <c r="DN207" s="87" t="e">
        <f t="shared" ca="1" si="321"/>
        <v>#DIV/0!</v>
      </c>
      <c r="DO207" s="88" t="e">
        <f ca="1">IF(CS207&lt;=Hypothèses!$V$7,Hypothèses!$X$7,IF(CS207&lt;=Hypothèses!$V$8,Hypothèses!$X$8,IF(CS207&lt;=Hypothèses!$V$9,Hypothèses!$X$9,IF(CS207&lt;=Hypothèses!$V$10,Hypothèses!$X$10,IF(CS207&lt;=Hypothèses!$V$11,Hypothèses!$X$11,IF(CS207&lt;=Hypothèses!$V$12,Hypothèses!$X$12,IF(CS207&lt;=Hypothèses!$V$13,Hypothèses!$X$13,IF(CS207&lt;=Hypothèses!$V$14,Hypothèses!$X$14,IF(CS207&lt;=Hypothèses!$V$15,Hypothèses!$X$15,IF(CS207&lt;=Hypothèses!$V$16,Hypothèses!$X$16,IF(CS207&lt;=Hypothèses!$U$17,Hypothèses!$W$17,IF(CS207&lt;=Hypothèses!$U$18,Hypothèses!$W$18,""))))))))))))</f>
        <v>#DIV/0!</v>
      </c>
      <c r="DP207" s="95" t="e">
        <f t="shared" ref="DP207:DP270" ca="1" si="389">IF($B207&lt;10*$DZ$12,0.1/DN207*SUM(OFFSET(F207,-10*$B207+1,0,10*$B207,1)),0.1/DN207*SUM(OFFSET(F207,-100*$DZ$12+1,0,100*$DZ$12,1)))</f>
        <v>#DIV/0!</v>
      </c>
      <c r="DQ207" s="101" t="e">
        <f t="shared" si="328"/>
        <v>#N/A</v>
      </c>
      <c r="DR207" s="91" t="e">
        <f t="shared" si="358"/>
        <v>#N/A</v>
      </c>
      <c r="DS207" s="30" t="e">
        <f t="shared" si="310"/>
        <v>#N/A</v>
      </c>
      <c r="DT207" s="30" t="e">
        <f t="shared" si="311"/>
        <v>#N/A</v>
      </c>
      <c r="DU207" s="31" t="e">
        <f>IF(OR(Hypothèses!$B$4=17,Hypothèses!$B$4=18,Hypothèses!$B$4=19,Hypothèses!$B$4=20),
IF($D207="Pressio.",
IF(OR($E207=3,$E207=1,$E207=4),DT207,DS207),
IF($D207="Pénétro.",
IF(OR($E207=3,$E207=1,$E207=4),DT207,DS207))),IF($D207="Pressio.",
IF($E207=3,DT207,DS207),
IF($D207="Pénétro.",
IF($E207=4,DT207,DS207))))</f>
        <v>#N/A</v>
      </c>
      <c r="DV207" s="31" t="e">
        <f>(IF(OR(Hypothèses!$B$4=17,Hypothèses!$B$4=18,Hypothèses!$B$4=19,Hypothèses!$B$4=20),
IF($D207="Pressio.",
IF(OR($E207=3,$E207=1,$E207=4),(PI()*DV$12^2)/4*(DR207*$W207*1000)/($H207*$B$5),(PI()*DV$12^2)/4*(DR207*$W207*1000)/($G207*$B$5)),
IF($D207="Pénétro.",
IF(OR($E207=4,$E207=1,$E207=5),(PI()*DV$12^2)/4*(DR207*$W207*1000)/($H207*$B$5),(PI()*DV$12^2)/4*(DR207*$W207*1000)/($G207*$B$5)))),
IF($D207="Pressio.",
IF($E207=3,(PI()*DV$12^2)/4*(DR207*$W207*1000)/($H207*$B$5),(PI()*DV$12^2)/4*(DR207*$W207*1000)/($G207*$B$5)),
IF($D207="Pénétro.",
IF($E207=4,(PI()*DV$12^2)/4*(DR207*$W207*1000)/($H207*$B$5),(PI()*DV$12^2)/4*(DR207*$W207*1000)/($G207*$B$5))))))/10</f>
        <v>#N/A</v>
      </c>
      <c r="DW207" s="102" t="e">
        <f>(VLOOKUP($B$3,'Coeff EC7'!$T$39:$X$59,2,0)*DU207+VLOOKUP($B$3,'Coeff EC7'!$T$65:$X$85,2,0)*Model0.1C!DV207)/1.1</f>
        <v>#N/A</v>
      </c>
      <c r="DX207" s="102" t="e">
        <f>(VLOOKUP($B$3,'Coeff EC7'!$T$39:$X$59,3,0)*DU207+VLOOKUP($B$3,'Coeff EC7'!$T$65:$X$85,3,0)*Model0.1C!DV207)/0.9</f>
        <v>#N/A</v>
      </c>
      <c r="DY207" s="102" t="e">
        <f t="shared" ref="DY207:DY270" si="390">DU207/1.1+DV207/1.1</f>
        <v>#N/A</v>
      </c>
      <c r="DZ207" s="102" t="e">
        <f t="shared" ref="DZ207:DZ270" si="391">DU207+DV207</f>
        <v>#N/A</v>
      </c>
      <c r="EA207" s="414" t="e">
        <f>IF(EA206=0,0,IF(AND(DW207&gt;charge_ELS_quasi,DX207&gt;Charge_ELS_freq,DY207&gt;charge_ELU,DZ207&gt;charge_ELA,$B207&gt;NDC!$H$22-0.1+MIN(3*$EA$12,1.5)),0,1))</f>
        <v>#N/A</v>
      </c>
      <c r="EB207" s="86" t="b">
        <f t="shared" si="359"/>
        <v>0</v>
      </c>
      <c r="EC207" s="418">
        <f t="shared" si="360"/>
        <v>0.51</v>
      </c>
      <c r="ED207" s="86">
        <f t="shared" si="361"/>
        <v>0.51</v>
      </c>
      <c r="EE207" s="30" t="e">
        <f t="shared" ref="EE207:EE270" ca="1" si="392">AVERAGE(OFFSET($F207, -10*ED207, 0,10*ED207, 1), OFFSET($F207, 1, 0, 30*EC207, 1))</f>
        <v>#DIV/0!</v>
      </c>
      <c r="EF207" s="85" t="e">
        <f ca="1">IF(DL207&lt;=Hypothèses!$V$7,Hypothèses!$W$7,IF(DL207&lt;=Hypothèses!$V$8,Hypothèses!$W$8,IF(DL207&lt;=Hypothèses!$V$9,Hypothèses!$W$9,IF(DL207&lt;=Hypothèses!$V$10,Hypothèses!$W$10,IF(DL207&lt;=Hypothèses!$V$11,Hypothèses!$W$11,IF(DL207&lt;=Hypothèses!$V$12,Hypothèses!$W$12,IF(DL207&lt;=Hypothèses!$V$13,Hypothèses!$W$13,IF(DL207&lt;=Hypothèses!$V$14,Hypothèses!$W$14,IF(DL207&lt;=Hypothèses!$V$15,Hypothèses!$W$15,IF(DL207&lt;=Hypothèses!$V$16,Hypothèses!$W$16,IF(DL207&lt;=Hypothèses!$V$17,Hypothèses!$W$17,IF(DL207&lt;=Hypothèses!$V$18,Hypothèses!$W$18,""))))))))))))</f>
        <v>#DIV/0!</v>
      </c>
      <c r="EG207" s="87" t="e">
        <f t="shared" ca="1" si="322"/>
        <v>#DIV/0!</v>
      </c>
      <c r="EH207" s="88" t="e">
        <f ca="1">IF(DL207&lt;=Hypothèses!$V$7,Hypothèses!$X$7,IF(DL207&lt;=Hypothèses!$V$8,Hypothèses!$X$8,IF(DL207&lt;=Hypothèses!$V$9,Hypothèses!$X$9,IF(DL207&lt;=Hypothèses!$V$10,Hypothèses!$X$10,IF(DL207&lt;=Hypothèses!$V$11,Hypothèses!$X$11,IF(DL207&lt;=Hypothèses!$V$12,Hypothèses!$X$12,IF(DL207&lt;=Hypothèses!$V$13,Hypothèses!$X$13,IF(DL207&lt;=Hypothèses!$V$14,Hypothèses!$X$14,IF(DL207&lt;=Hypothèses!$V$15,Hypothèses!$X$15,IF(DL207&lt;=Hypothèses!$V$16,Hypothèses!$X$16,IF(DL207&lt;=Hypothèses!$U$17,Hypothèses!$W$17,IF(DL207&lt;=Hypothèses!$U$18,Hypothèses!$W$18,""))))))))))))</f>
        <v>#DIV/0!</v>
      </c>
      <c r="EI207" s="95" t="e">
        <f t="shared" ref="EI207:EI270" ca="1" si="393">IF($B207&lt;10*$ES$12,0.1/EG207*SUM(OFFSET(F207,-10*$B207+1,0,10*$B207,1)),0.1/EG207*SUM(OFFSET(F207,-100*$ES$12+1,0,100*$ES$12,1)))</f>
        <v>#DIV/0!</v>
      </c>
      <c r="EJ207" s="101" t="e">
        <f t="shared" si="329"/>
        <v>#N/A</v>
      </c>
      <c r="EK207" s="91" t="e">
        <f t="shared" si="362"/>
        <v>#N/A</v>
      </c>
      <c r="EL207" s="30" t="e">
        <f t="shared" si="312"/>
        <v>#N/A</v>
      </c>
      <c r="EM207" s="30" t="e">
        <f t="shared" si="313"/>
        <v>#N/A</v>
      </c>
      <c r="EN207" s="31" t="e">
        <f>IF(OR(Hypothèses!$B$4=17,Hypothèses!$B$4=18,Hypothèses!$B$4=19,Hypothèses!$B$4=20),
IF($D207="Pressio.",
IF(OR($E207=3,$E207=1,$E207=4),EM207,EL207),
IF($D207="Pénétro.",
IF(OR($E207=3,$E207=1,$E207=4),EM207,EL207))),IF($D207="Pressio.",
IF($E207=3,EM207,EL207),
IF($D207="Pénétro.",
IF($E207=4,EM207,EL207))))</f>
        <v>#N/A</v>
      </c>
      <c r="EO207" s="31" t="e">
        <f>(IF(OR(Hypothèses!$B$4=17,Hypothèses!$B$4=18,Hypothèses!$B$4=19,Hypothèses!$B$4=20),
IF($D207="Pressio.",
IF(OR($E207=3,$E207=1,$E207=4),(PI()*EO$12^2)/4*(EK207*$W207*1000)/($H207*$B$5),(PI()*EO$12^2)/4*(EK207*$W207*1000)/($G207*$B$5)),
IF($D207="Pénétro.",
IF(OR($E207=4,$E207=1,$E207=5),(PI()*EO$12^2)/4*(EK207*$W207*1000)/($H207*$B$5),(PI()*EO$12^2)/4*(EK207*$W207*1000)/($G207*$B$5)))),
IF($D207="Pressio.",
IF($E207=3,(PI()*EO$12^2)/4*(EK207*$W207*1000)/($H207*$B$5),(PI()*EO$12^2)/4*(EK207*$W207*1000)/($G207*$B$5)),
IF($D207="Pénétro.",
IF($E207=4,(PI()*EO$12^2)/4*(EK207*$W207*1000)/($H207*$B$5),(PI()*EO$12^2)/4*(EK207*$W207*1000)/($G207*$B$5))))))/10</f>
        <v>#N/A</v>
      </c>
      <c r="EP207" s="102" t="e">
        <f>(VLOOKUP($B$3,'Coeff EC7'!$T$39:$X$59,2,0)*EN207+VLOOKUP($B$3,'Coeff EC7'!$T$65:$X$85,2,0)*Model0.1C!EO207)/1.1</f>
        <v>#N/A</v>
      </c>
      <c r="EQ207" s="102" t="e">
        <f>(VLOOKUP($B$3,'Coeff EC7'!$T$39:$X$59,3,0)*EN207+VLOOKUP($B$3,'Coeff EC7'!$T$65:$X$85,3,0)*Model0.1C!EO207)/0.9</f>
        <v>#N/A</v>
      </c>
      <c r="ER207" s="102" t="e">
        <f t="shared" ref="ER207:ER270" si="394">EN207/1.1+EO207/1.1</f>
        <v>#N/A</v>
      </c>
      <c r="ES207" s="102" t="e">
        <f t="shared" ref="ES207:ES270" si="395">EN207+EO207</f>
        <v>#N/A</v>
      </c>
      <c r="ET207" s="414" t="e">
        <f>IF(ET206=0,0,IF(AND(EP207&gt;charge_ELS_quasi,EQ207&gt;Charge_ELS_freq,ER207&gt;charge_ELU,ES207&gt;charge_ELA,$B207&gt;NDC!$H$22-0.1+MIN(3*$ET$12,1.5)),0,1))</f>
        <v>#N/A</v>
      </c>
      <c r="EU207" s="86" t="b">
        <f t="shared" si="363"/>
        <v>0</v>
      </c>
      <c r="EV207" s="86">
        <f t="shared" si="364"/>
        <v>0.61</v>
      </c>
      <c r="EW207" s="86">
        <f t="shared" si="365"/>
        <v>0.61</v>
      </c>
      <c r="EX207" s="30" t="e">
        <f t="shared" ref="EX207:EX270" ca="1" si="396">AVERAGE(OFFSET($F207, -10*EW207, 0,10*EW207, 1), OFFSET($F207, 1, 0, 30*EV207, 1))</f>
        <v>#DIV/0!</v>
      </c>
      <c r="EY207" s="85" t="e">
        <f ca="1">IF(EE207&lt;=Hypothèses!$V$7,Hypothèses!$W$7,IF(EE207&lt;=Hypothèses!$V$8,Hypothèses!$W$8,IF(EE207&lt;=Hypothèses!$V$9,Hypothèses!$W$9,IF(EE207&lt;=Hypothèses!$V$10,Hypothèses!$W$10,IF(EE207&lt;=Hypothèses!$V$11,Hypothèses!$W$11,IF(EE207&lt;=Hypothèses!$V$12,Hypothèses!$W$12,IF(EE207&lt;=Hypothèses!$V$13,Hypothèses!$W$13,IF(EE207&lt;=Hypothèses!$V$14,Hypothèses!$W$14,IF(EE207&lt;=Hypothèses!$V$15,Hypothèses!$W$15,IF(EE207&lt;=Hypothèses!$V$16,Hypothèses!$W$16,IF(EE207&lt;=Hypothèses!$V$17,Hypothèses!$W$17,IF(EE207&lt;=Hypothèses!$V$18,Hypothèses!$W$18,""))))))))))))</f>
        <v>#DIV/0!</v>
      </c>
      <c r="EZ207" s="87" t="e">
        <f t="shared" ca="1" si="323"/>
        <v>#DIV/0!</v>
      </c>
      <c r="FA207" s="88" t="e">
        <f ca="1">IF(EE207&lt;=Hypothèses!$V$7,Hypothèses!$X$7,IF(EE207&lt;=Hypothèses!$V$8,Hypothèses!$X$8,IF(EE207&lt;=Hypothèses!$V$9,Hypothèses!$X$9,IF(EE207&lt;=Hypothèses!$V$10,Hypothèses!$X$10,IF(EE207&lt;=Hypothèses!$V$11,Hypothèses!$X$11,IF(EE207&lt;=Hypothèses!$V$12,Hypothèses!$X$12,IF(EE207&lt;=Hypothèses!$V$13,Hypothèses!$X$13,IF(EE207&lt;=Hypothèses!$V$14,Hypothèses!$X$14,IF(EE207&lt;=Hypothèses!$V$15,Hypothèses!$X$15,IF(EE207&lt;=Hypothèses!$V$16,Hypothèses!$X$16,IF(EE207&lt;=Hypothèses!$U$17,Hypothèses!$W$17,IF(EE207&lt;=Hypothèses!$U$18,Hypothèses!$W$18,""))))))))))))</f>
        <v>#DIV/0!</v>
      </c>
      <c r="FB207" s="95" t="e">
        <f t="shared" ref="FB207:FB270" ca="1" si="397">IF($B207&lt;10*$FL$12,0.1/EZ207*SUM(OFFSET(F207,-10*$B207+1,0,10*$B207,1)),0.1/EZ207*SUM(OFFSET(F207,-100*$FL$12+1,0,100*$FL$12,1)))</f>
        <v>#DIV/0!</v>
      </c>
      <c r="FC207" s="101" t="e">
        <f t="shared" si="330"/>
        <v>#N/A</v>
      </c>
      <c r="FD207" s="91" t="e">
        <f t="shared" si="366"/>
        <v>#N/A</v>
      </c>
      <c r="FE207" s="30" t="e">
        <f t="shared" si="314"/>
        <v>#N/A</v>
      </c>
      <c r="FF207" s="30" t="e">
        <f t="shared" si="315"/>
        <v>#N/A</v>
      </c>
      <c r="FG207" s="31" t="e">
        <f>IF(OR(Hypothèses!$B$4=17,Hypothèses!$B$4=18,Hypothèses!$B$4=19,Hypothèses!$B$4=20),
IF($D207="Pressio.",
IF(OR($E207=3,$E207=1,$E207=4),FF207,FE207),
IF($D207="Pénétro.",
IF(OR($E207=3,$E207=1,$E207=4),FF207,FE207))),IF($D207="Pressio.",
IF($E207=3,FF207,FE207),
IF($D207="Pénétro.",
IF($E207=4,FF207,FE207))))</f>
        <v>#N/A</v>
      </c>
      <c r="FH207" s="31" t="e">
        <f>(IF(OR(Hypothèses!$B$4=17,Hypothèses!$B$4=18,Hypothèses!$B$4=19,Hypothèses!$B$4=20),
IF($D207="Pressio.",
IF(OR($E207=3,$E207=1,$E207=4),(PI()*FH$12^2)/4*(FD207*$W207*1000)/($H207*$B$5),(PI()*FH$12^2)/4*(FD207*$W207*1000)/($G207*$B$5)),
IF($D207="Pénétro.",
IF(OR($E207=4,$E207=1,$E207=5),(PI()*FH$12^2)/4*(FD207*$W207*1000)/($H207*$B$5),(PI()*FH$12^2)/4*(FD207*$W207*1000)/($G207*$B$5)))),
IF($D207="Pressio.",
IF($E207=3,(PI()*FH$12^2)/4*(FD207*$W207*1000)/($H207*$B$5),(PI()*FH$12^2)/4*(FD207*$W207*1000)/($G207*$B$5)),
IF($D207="Pénétro.",
IF($E207=4,(PI()*FH$12^2)/4*(FD207*$W207*1000)/($H207*$B$5),(PI()*FH$12^2)/4*(FD207*$W207*1000)/($G207*$B$5))))))/10</f>
        <v>#N/A</v>
      </c>
      <c r="FI207" s="102" t="e">
        <f>(VLOOKUP($B$3,'Coeff EC7'!$T$39:$X$59,2,0)*FG207+VLOOKUP($B$3,'Coeff EC7'!$T$65:$X$85,2,0)*Model0.1C!FH207)/1.1</f>
        <v>#N/A</v>
      </c>
      <c r="FJ207" s="102" t="e">
        <f>(VLOOKUP($B$3,'Coeff EC7'!$T$39:$X$59,3,0)*FG207+VLOOKUP($B$3,'Coeff EC7'!$T$65:$X$85,3,0)*Model0.1C!FH207)/0.9</f>
        <v>#N/A</v>
      </c>
      <c r="FK207" s="102" t="e">
        <f t="shared" ref="FK207:FK270" si="398">FG207/1.1+FH207/1.1</f>
        <v>#N/A</v>
      </c>
      <c r="FL207" s="102" t="e">
        <f t="shared" ref="FL207:FL270" si="399">FG207+FH207</f>
        <v>#N/A</v>
      </c>
      <c r="FM207" s="414" t="e">
        <f>IF(FM206=0,0,IF(AND(FI207&gt;charge_ELS_quasi,FJ207&gt;Charge_ELS_freq,FK207&gt;charge_ELU,FL207&gt;charge_ELA,$B207&gt;NDC!$H$22-0.1+MIN(3*$FM$12,1.5)),0,1))</f>
        <v>#N/A</v>
      </c>
    </row>
    <row r="208" spans="1:169">
      <c r="A208" s="96">
        <f t="shared" si="367"/>
        <v>80.500000000001108</v>
      </c>
      <c r="B208" s="97">
        <v>19.5</v>
      </c>
      <c r="C208" s="81">
        <f>IF(B208&lt;=Hypothèses!$C$7,Hypothèses!$A$7,IF(B208&lt;=Hypothèses!$C$8,Hypothèses!$A$8,IF(B208&lt;=Hypothèses!$C$9,Hypothèses!$A$9,IF(B208&lt;=Hypothèses!$C$10,Hypothèses!$A$10,IF(B208&lt;=Hypothèses!$C$11,Hypothèses!$A$11,IF(B208&lt;=Hypothèses!$C$12,Hypothèses!$A$12,IF(B208&lt;=Hypothèses!$C$13,Hypothèses!$A$13,IF(B208&lt;=Hypothèses!$C$14,Hypothèses!$A$14,IF(B208&lt;=Hypothèses!$C$15,Hypothèses!$A$15,IF(B208&lt;=Hypothèses!$C$16,Hypothèses!$A$16,IF(B208&lt;=Hypothèses!$C$17,Hypothèses!$A$17,IF(B208&lt;=Hypothèses!$C$18,Hypothèses!$A$18,C207))))))))))))</f>
        <v>11</v>
      </c>
      <c r="D208" s="82" t="str">
        <f>IF(B208&lt;=Hypothèses!$C$7,Hypothèses!$R$7,IF(B208&lt;=Hypothèses!$C$8,Hypothèses!$R$8,IF(B208&lt;=Hypothèses!$C$9,Hypothèses!$R$9,IF(B208&lt;=Hypothèses!$C$10,Hypothèses!$R$10,IF(B208&lt;=Hypothèses!$C$11,Hypothèses!$R$11,IF(B208&lt;=Hypothèses!$C$12,Hypothèses!$R$12,IF(B208&lt;=Hypothèses!$C$13,Hypothèses!$R$13,IF(B208&lt;=Hypothèses!$C$14,Hypothèses!$R$14,IF(B208&lt;=Hypothèses!$C$15,Hypothèses!$R$15,IF(B208&lt;=Hypothèses!$C$16,Hypothèses!$R$16,IF(B208&lt;=Hypothèses!$C$17,Hypothèses!$R$17,IF(B208&lt;=Hypothèses!$C$18,Hypothèses!$R$18,D207))))))))))))</f>
        <v>Pressio.</v>
      </c>
      <c r="E208" s="82" t="e">
        <f>IF(B208&lt;=Hypothèses!$C$7,Hypothèses!$G$7,IF(B208&lt;=Hypothèses!$C$8,Hypothèses!$G$8,IF(B208&lt;=Hypothèses!$C$9,Hypothèses!$G$9,IF(B208&lt;=Hypothèses!$C$10,Hypothèses!$G$10,IF(B208&lt;=Hypothèses!$C$11,Hypothèses!$G$11,IF(B208&lt;=Hypothèses!$C$12,Hypothèses!$G$12,IF(B208&lt;=Hypothèses!$C$13,Hypothèses!$G$13,IF(B208&lt;=Hypothèses!$C$14,Hypothèses!$G$14,IF(B208&lt;=Hypothèses!$C$15,Hypothèses!$G$15,IF(B208&lt;=Hypothèses!$C$16,Hypothèses!$G$16,IF(B208&lt;=Hypothèses!$C$17,Hypothèses!$G$17,IF(B208&lt;=Hypothèses!$C$18,Hypothèses!$G$18,E207))))))))))))</f>
        <v>#N/A</v>
      </c>
      <c r="F208" s="82" t="str">
        <f>IF(B208&lt;=Hypothèses!$C$7,Hypothèses!$F$7,IF(B208&lt;=Hypothèses!$C$8,Hypothèses!$F$8,IF(B208&lt;=Hypothèses!$C$9,Hypothèses!$F$9,IF(B208&lt;=Hypothèses!$C$10,Hypothèses!$F$10,IF(B208&lt;=Hypothèses!$C$11,Hypothèses!$F$11,IF(B208&lt;=Hypothèses!$C$12,Hypothèses!$F$12,IF(B208&lt;=Hypothèses!$C$13,Hypothèses!$F$13,IF(B208&lt;=Hypothèses!$C$14,Hypothèses!$F$14,IF(B208&lt;=Hypothèses!$C$15,Hypothèses!$F$15,IF(B208&lt;=Hypothèses!$C$16,Hypothèses!$F$16,IF(B208&lt;=Hypothèses!$C$17,Hypothèses!$F$17,IF(B208&lt;=Hypothèses!$C$18,Hypothèses!$F$18,F207))))))))))))</f>
        <v/>
      </c>
      <c r="G208" s="91">
        <f t="array" ref="G208">INDEX('Coeff EC7'!$U$7:$X$27,
MATCH(Model0.1C!$B$3,'Coeff EC7'!$T$7:$T$27,0),
MATCH(Model0.1C!$D208&amp;Model0.1C!$B$4,
'Coeff EC7'!$U$6:$X$6&amp;
'Coeff EC7'!$U$5:$X$5,0))</f>
        <v>1.1499999999999999</v>
      </c>
      <c r="H208" s="91">
        <f t="array" ref="H208">INDEX('Coeff EC7'!$Y$7:$AB$27,
MATCH(Model0.1C!$B$3,'Coeff EC7'!$T$7:$T$27,0),
MATCH(Model0.1C!$D208&amp;Model0.1C!$B$4,
'Coeff EC7'!$Y$6:$AB$6&amp;
'Coeff EC7'!$Y$5:$AB$5,0))</f>
        <v>1.4</v>
      </c>
      <c r="I208" s="83" t="e">
        <f>IF(B208&lt;=Hypothèses!$C$7,Hypothèses!$P$7,IF(B208&lt;=Hypothèses!$C$8,Hypothèses!$P$8,IF(B208&lt;=Hypothèses!$C$9,Hypothèses!$P$9,IF(B208&lt;=Hypothèses!$C$10,Hypothèses!$P$10,IF(B208&lt;=Hypothèses!$C$11,Hypothèses!$P$11,IF(B208&lt;=Hypothèses!$C$12,Hypothèses!$P$12,IF(B208&lt;=Hypothèses!$C$13,Hypothèses!$P$13,IF(B208&lt;=Hypothèses!$C$14,Hypothèses!$P$14,IF(B208&lt;=Hypothèses!$C$15,Hypothèses!$P$15,IF(B208&lt;=Hypothèses!$C$16,Hypothèses!$P$16,IF(B208&lt;=Hypothèses!$C$17,Hypothèses!$P$17,IF(B208&lt;=Hypothèses!$C$18,Hypothèses!$P$18,I207))))))))))))</f>
        <v>#N/A</v>
      </c>
      <c r="J208" s="91" t="e">
        <f t="array" ref="J208">INDEX('Coeff EC7'!$D$33:$Q$33,1,MATCH(D208&amp;E208,'Coeff EC7'!$D$31:$Q$31&amp;'Coeff EC7'!$D$32:$Q$32,0))</f>
        <v>#N/A</v>
      </c>
      <c r="K208" s="91" t="e">
        <f t="array" ref="K208">INDEX('Coeff EC7'!$D$34:$Q$34,1,MATCH(D208&amp;E208,'Coeff EC7'!$D$31:$Q$31&amp;'Coeff EC7'!$D$32:$Q$32,0))</f>
        <v>#N/A</v>
      </c>
      <c r="L208" s="91" t="e">
        <f t="array" ref="L208">INDEX('Coeff EC7'!$D$35:$Q$35,1,MATCH(D208&amp;E208,'Coeff EC7'!$D$31:$Q$31&amp;'Coeff EC7'!$D$32:$Q$32,0))</f>
        <v>#N/A</v>
      </c>
      <c r="M208" s="98" t="e">
        <f t="shared" si="331"/>
        <v>#N/A</v>
      </c>
      <c r="N208" s="99" t="e">
        <f t="array" ref="N208">INDEX('Coeff EC7'!$D$7:$Q$27,MATCH($B$3,'Coeff EC7'!$C$7:$C$27,0),MATCH(D208&amp;E208,'Coeff EC7'!$D$5:$Q$5&amp;'Coeff EC7'!$D$6:$Q$6,0))</f>
        <v>#N/A</v>
      </c>
      <c r="O208" s="99" t="e">
        <f t="array" ref="O208">INDEX('Coeff EC7'!$D$41:$Q$61,MATCH($B$3,'Coeff EC7'!$C$41:$C$61,0),MATCH(D208&amp;E208,'Coeff EC7'!$D$39:$Q$39&amp;'Coeff EC7'!$D$40:$Q$40,0))</f>
        <v>#N/A</v>
      </c>
      <c r="P208" s="30" t="e">
        <f t="shared" si="368"/>
        <v>#N/A</v>
      </c>
      <c r="Q208" s="100" t="e">
        <f t="shared" si="333"/>
        <v>#N/A</v>
      </c>
      <c r="R208" s="86" t="b">
        <f t="shared" si="334"/>
        <v>0</v>
      </c>
      <c r="S208" s="86">
        <f t="shared" si="332"/>
        <v>0.5</v>
      </c>
      <c r="T208" s="86">
        <f t="shared" si="335"/>
        <v>0.5</v>
      </c>
      <c r="U208" s="30" t="e">
        <f t="shared" ca="1" si="369"/>
        <v>#DIV/0!</v>
      </c>
      <c r="V208" s="85" t="str">
        <f>IF(B208&lt;=Hypothèses!$V$7,Hypothèses!$W$7,IF(B208&lt;=Hypothèses!$V$8,Hypothèses!$W$8,IF(B208&lt;=Hypothèses!$V$9,Hypothèses!$W$9,IF(B208&lt;=Hypothèses!$V$10,Hypothèses!$W$10,IF(B208&lt;=Hypothèses!$V$11,Hypothèses!$W$11,IF(B208&lt;=Hypothèses!$V$12,Hypothèses!$W$12,IF(B208&lt;=Hypothèses!$V$13,Hypothèses!$W$13,IF(B208&lt;=Hypothèses!$V$14,Hypothèses!$W$14,IF(B208&lt;=Hypothèses!$V$15,Hypothèses!$W$15,IF(B208&lt;=Hypothèses!$V$16,Hypothèses!$W$16,IF(B208&lt;=Hypothèses!$V$17,Hypothèses!$W$17,IF(B208&lt;=Hypothèses!$V$18,Hypothèses!$W$18,""))))))))))))</f>
        <v/>
      </c>
      <c r="W208" s="87" t="e">
        <f t="shared" ca="1" si="316"/>
        <v>#DIV/0!</v>
      </c>
      <c r="X208" s="88" t="str">
        <f>IF(B208&lt;=Hypothèses!$V$7,Hypothèses!$X$7,IF(B208&lt;=Hypothèses!$V$8,Hypothèses!$X$8,IF(B208&lt;=Hypothèses!$V$9,Hypothèses!$X$9,IF(B208&lt;=Hypothèses!$V$10,Hypothèses!$X$10,IF(B208&lt;=Hypothèses!$V$11,Hypothèses!$X$11,IF(B208&lt;=Hypothèses!$V$12,Hypothèses!$X$12,IF(B208&lt;=Hypothèses!$V$13,Hypothèses!$X$13,IF(B208&lt;=Hypothèses!$V$14,Hypothèses!$X$14,IF(B208&lt;=Hypothèses!$V$15,Hypothèses!$X$15,IF(B208&lt;=Hypothèses!$V$16,Hypothèses!$X$16,IF(B208&lt;=Hypothèses!$U$17,Hypothèses!$W$17,IF(B208&lt;=Hypothèses!$U$18,Hypothèses!$W$18,""))))))))))))</f>
        <v/>
      </c>
      <c r="Y208" s="95" t="e">
        <f t="shared" ca="1" si="336"/>
        <v>#DIV/0!</v>
      </c>
      <c r="Z208" s="101" t="e">
        <f t="shared" si="337"/>
        <v>#N/A</v>
      </c>
      <c r="AA208" s="91" t="e">
        <f t="shared" si="338"/>
        <v>#N/A</v>
      </c>
      <c r="AB208" s="30" t="e">
        <f t="shared" ref="AB208:AB271" si="400">PI()*AB$12*$Q208*($B208-$B207)/($G208*$B$5)/10+AD207</f>
        <v>#N/A</v>
      </c>
      <c r="AC208" s="30" t="e">
        <f t="shared" ref="AC208:AC271" si="401">(PI()*AC$12*$Q208*($B208-$B207))/($H208*$B$5)/10+AD207</f>
        <v>#N/A</v>
      </c>
      <c r="AD208" s="31" t="e">
        <f>IF(OR(Hypothèses!$B$4=17,Hypothèses!$B$4=18,Hypothèses!$B$4=19,Hypothèses!$B$4=20),
IF($D208="Pressio.",
IF(OR($E208=3,$E208=1,$E208=4),AC208,AB208),
IF($D208="Pénétro.",
IF(OR($E208=3,$E208=1,$E208=4),AC208,AB208))),IF($D208="Pressio.",
IF($E208=3,AC208,AB208),
IF($D208="Pénétro.",
IF($E208=4,AC208,AB208))))</f>
        <v>#N/A</v>
      </c>
      <c r="AE208" s="31" t="e">
        <f>(IF(OR(Hypothèses!$B$4=17,Hypothèses!$B$4=18,Hypothèses!$B$4=19,Hypothèses!$B$4=20),
IF($D208="Pressio.",
IF(OR($E208=3,$E208=1,$E208=4),(PI()*AE$12^2)/4*(AA208*$W208*1000)/($H208*$B$5),(PI()*AE$12^2)/4*(AA208*$W208*1000)/($G208*$B$5)),
IF($D208="Pénétro.",
IF(OR($E208=4,$E208=1,$E208=5),(PI()*AE$12^2)/4*(AA208*$W208*1000)/($H208*$B$5),(PI()*AE$12^2)/4*(AA208*$W208*1000)/($G208*$B$5)))),
IF($D208="Pressio.",
IF($E208=3,(PI()*AE$12^2)/4*(AA208*$W208*1000)/($H208*$B$5),(PI()*AE$12^2)/4*(AA208*$W208*1000)/($G208*$B$5)),
IF($D208="Pénétro.",
IF($E208=4,(PI()*AE$12^2)/4*(AA208*$W208*1000)/($H208*$B$5),(PI()*AE$12^2)/4*(AA208*$W208*1000)/($G208*$B$5))))))/10</f>
        <v>#N/A</v>
      </c>
      <c r="AF208" s="102" t="e">
        <f>(VLOOKUP($B$3,'Coeff EC7'!$T$39:$X$59,2,0)*AD208+VLOOKUP($B$3,'Coeff EC7'!$T$65:$X$85,2,0)*Model0.1C!AE208)/1.1</f>
        <v>#N/A</v>
      </c>
      <c r="AG208" s="102" t="e">
        <f>(VLOOKUP($B$3,'Coeff EC7'!$T$39:$X$59,3,0)*AD208+VLOOKUP($B$3,'Coeff EC7'!$T$65:$X$85,3,0)*Model0.1C!AE208)/0.9</f>
        <v>#N/A</v>
      </c>
      <c r="AH208" s="102" t="e">
        <f t="shared" si="339"/>
        <v>#N/A</v>
      </c>
      <c r="AI208" s="102" t="e">
        <f t="shared" si="340"/>
        <v>#N/A</v>
      </c>
      <c r="AJ208" s="414" t="e">
        <f>IF(AJ207=0,0,IF(AND(AF208&gt;charge_ELS_quasi,AG208&gt;Charge_ELS_freq,AH208&gt;charge_ELU,AI208&gt;charge_ELA,$B208&gt;NDC!$H$22-0.1+MIN(3*$AJ$12,1.5)),0,1))</f>
        <v>#N/A</v>
      </c>
      <c r="AK208" s="86" t="b">
        <f t="shared" si="341"/>
        <v>0</v>
      </c>
      <c r="AL208" s="86">
        <f t="shared" si="370"/>
        <v>0.5</v>
      </c>
      <c r="AM208" s="86">
        <f t="shared" si="342"/>
        <v>0.5</v>
      </c>
      <c r="AN208" s="30" t="e">
        <f t="shared" ca="1" si="371"/>
        <v>#DIV/0!</v>
      </c>
      <c r="AO208" s="85" t="e">
        <f ca="1">IF(U208&lt;=Hypothèses!$V$7,Hypothèses!$W$7,IF(U208&lt;=Hypothèses!$V$8,Hypothèses!$W$8,IF(U208&lt;=Hypothèses!$V$9,Hypothèses!$W$9,IF(U208&lt;=Hypothèses!$V$10,Hypothèses!$W$10,IF(U208&lt;=Hypothèses!$V$11,Hypothèses!$W$11,IF(U208&lt;=Hypothèses!$V$12,Hypothèses!$W$12,IF(U208&lt;=Hypothèses!$V$13,Hypothèses!$W$13,IF(U208&lt;=Hypothèses!$V$14,Hypothèses!$W$14,IF(U208&lt;=Hypothèses!$V$15,Hypothèses!$W$15,IF(U208&lt;=Hypothèses!$V$16,Hypothèses!$W$16,IF(U208&lt;=Hypothèses!$V$17,Hypothèses!$W$17,IF(U208&lt;=Hypothèses!$V$18,Hypothèses!$W$18,""))))))))))))</f>
        <v>#DIV/0!</v>
      </c>
      <c r="AP208" s="87" t="e">
        <f t="shared" ca="1" si="317"/>
        <v>#DIV/0!</v>
      </c>
      <c r="AQ208" s="88" t="e">
        <f ca="1">IF(U208&lt;=Hypothèses!$V$7,Hypothèses!$X$7,IF(U208&lt;=Hypothèses!$V$8,Hypothèses!$X$8,IF(U208&lt;=Hypothèses!$V$9,Hypothèses!$X$9,IF(U208&lt;=Hypothèses!$V$10,Hypothèses!$X$10,IF(U208&lt;=Hypothèses!$V$11,Hypothèses!$X$11,IF(U208&lt;=Hypothèses!$V$12,Hypothèses!$X$12,IF(U208&lt;=Hypothèses!$V$13,Hypothèses!$X$13,IF(U208&lt;=Hypothèses!$V$14,Hypothèses!$X$14,IF(U208&lt;=Hypothèses!$V$15,Hypothèses!$X$15,IF(U208&lt;=Hypothèses!$V$16,Hypothèses!$X$16,IF(U208&lt;=Hypothèses!$U$17,Hypothèses!$W$17,IF(U208&lt;=Hypothèses!$U$18,Hypothèses!$W$18,""))))))))))))</f>
        <v>#DIV/0!</v>
      </c>
      <c r="AR208" s="95" t="e">
        <f t="shared" ca="1" si="372"/>
        <v>#DIV/0!</v>
      </c>
      <c r="AS208" s="101" t="e">
        <f t="shared" si="324"/>
        <v>#N/A</v>
      </c>
      <c r="AT208" s="91" t="e">
        <f t="shared" si="343"/>
        <v>#N/A</v>
      </c>
      <c r="AU208" s="30" t="e">
        <f t="shared" ref="AU208:AU271" si="402">PI()*AU$12*$Q208*($B208-$B207)/($G208*$B$5)/10+AW207</f>
        <v>#N/A</v>
      </c>
      <c r="AV208" s="30" t="e">
        <f t="shared" ref="AV208:AV271" si="403">(PI()*AV$12*$Q208*($B208-$B207))/($H208*$B$5)/10+AW207</f>
        <v>#N/A</v>
      </c>
      <c r="AW208" s="31" t="e">
        <f>IF(OR(Hypothèses!$B$4=17,Hypothèses!$B$4=18,Hypothèses!$B$4=19,Hypothèses!$B$4=20),
IF($D208="Pressio.",
IF(OR($E208=3,$E208=1,$E208=4),AV208,AU208),
IF($D208="Pénétro.",
IF(OR($E208=3,$E208=1,$E208=4),AV208,AU208))),IF($D208="Pressio.",
IF($E208=3,AV208,AU208),
IF($D208="Pénétro.",
IF($E208=4,AV208,AU208))))</f>
        <v>#N/A</v>
      </c>
      <c r="AX208" s="31" t="e">
        <f>(IF(OR(Hypothèses!$B$4=17,Hypothèses!$B$4=18,Hypothèses!$B$4=19,Hypothèses!$B$4=20),
IF($D208="Pressio.",
IF(OR($E208=3,$E208=1,$E208=4),(PI()*AX$12^2)/4*(AT208*$W208*1000)/($H208*$B$5),(PI()*AX$12^2)/4*(AT208*$W208*1000)/($G208*$B$5)),
IF($D208="Pénétro.",
IF(OR($E208=4,$E208=1,$E208=5),(PI()*AX$12^2)/4*(AT208*$W208*1000)/($H208*$B$5),(PI()*AX$12^2)/4*(AT208*$W208*1000)/($G208*$B$5)))),
IF($D208="Pressio.",
IF($E208=3,(PI()*AX$12^2)/4*(AT208*$W208*1000)/($H208*$B$5),(PI()*AX$12^2)/4*(AT208*$W208*1000)/($G208*$B$5)),
IF($D208="Pénétro.",
IF($E208=4,(PI()*AX$12^2)/4*(AT208*$W208*1000)/($H208*$B$5),(PI()*AX$12^2)/4*(AT208*$W208*1000)/($G208*$B$5))))))/10</f>
        <v>#N/A</v>
      </c>
      <c r="AY208" s="102" t="e">
        <f>(VLOOKUP($B$3,'Coeff EC7'!$T$39:$X$59,2,0)*AW208+VLOOKUP($B$3,'Coeff EC7'!$T$65:$X$85,2,0)*Model0.1C!AX208)/1.1</f>
        <v>#N/A</v>
      </c>
      <c r="AZ208" s="102" t="e">
        <f>(VLOOKUP($B$3,'Coeff EC7'!$T$39:$X$59,3,0)*AW208+VLOOKUP($B$3,'Coeff EC7'!$T$65:$X$85,3,0)*Model0.1C!AX208)/0.9</f>
        <v>#N/A</v>
      </c>
      <c r="BA208" s="102" t="e">
        <f t="shared" si="373"/>
        <v>#N/A</v>
      </c>
      <c r="BB208" s="102" t="e">
        <f t="shared" si="374"/>
        <v>#N/A</v>
      </c>
      <c r="BC208" s="414" t="e">
        <f>IF(BC207=0,0,IF(AND(AY208&gt;charge_ELS_quasi,AZ208&gt;Charge_ELS_freq,BA208&gt;charge_ELU,BB208&gt;charge_ELA,$B208&gt;NDC!$H$22-0.1+MIN(3*$BC$12,1.5)),0,1))</f>
        <v>#N/A</v>
      </c>
      <c r="BD208" s="86" t="b">
        <f t="shared" si="344"/>
        <v>0</v>
      </c>
      <c r="BE208" s="86">
        <f t="shared" si="375"/>
        <v>0.5</v>
      </c>
      <c r="BF208" s="86">
        <f t="shared" si="345"/>
        <v>0.5</v>
      </c>
      <c r="BG208" s="30" t="e">
        <f t="shared" ca="1" si="376"/>
        <v>#DIV/0!</v>
      </c>
      <c r="BH208" s="85" t="e">
        <f ca="1">IF(AN208&lt;=Hypothèses!$V$7,Hypothèses!$W$7,IF(AN208&lt;=Hypothèses!$V$8,Hypothèses!$W$8,IF(AN208&lt;=Hypothèses!$V$9,Hypothèses!$W$9,IF(AN208&lt;=Hypothèses!$V$10,Hypothèses!$W$10,IF(AN208&lt;=Hypothèses!$V$11,Hypothèses!$W$11,IF(AN208&lt;=Hypothèses!$V$12,Hypothèses!$W$12,IF(AN208&lt;=Hypothèses!$V$13,Hypothèses!$W$13,IF(AN208&lt;=Hypothèses!$V$14,Hypothèses!$W$14,IF(AN208&lt;=Hypothèses!$V$15,Hypothèses!$W$15,IF(AN208&lt;=Hypothèses!$V$16,Hypothèses!$W$16,IF(AN208&lt;=Hypothèses!$V$17,Hypothèses!$W$17,IF(AN208&lt;=Hypothèses!$V$18,Hypothèses!$W$18,""))))))))))))</f>
        <v>#DIV/0!</v>
      </c>
      <c r="BI208" s="87" t="e">
        <f t="shared" ca="1" si="318"/>
        <v>#DIV/0!</v>
      </c>
      <c r="BJ208" s="88" t="e">
        <f ca="1">IF(AN208&lt;=Hypothèses!$V$7,Hypothèses!$X$7,IF(AN208&lt;=Hypothèses!$V$8,Hypothèses!$X$8,IF(AN208&lt;=Hypothèses!$V$9,Hypothèses!$X$9,IF(AN208&lt;=Hypothèses!$V$10,Hypothèses!$X$10,IF(AN208&lt;=Hypothèses!$V$11,Hypothèses!$X$11,IF(AN208&lt;=Hypothèses!$V$12,Hypothèses!$X$12,IF(AN208&lt;=Hypothèses!$V$13,Hypothèses!$X$13,IF(AN208&lt;=Hypothèses!$V$14,Hypothèses!$X$14,IF(AN208&lt;=Hypothèses!$V$15,Hypothèses!$X$15,IF(AN208&lt;=Hypothèses!$V$16,Hypothèses!$X$16,IF(AN208&lt;=Hypothèses!$U$17,Hypothèses!$W$17,IF(AN208&lt;=Hypothèses!$U$18,Hypothèses!$W$18,""))))))))))))</f>
        <v>#DIV/0!</v>
      </c>
      <c r="BK208" s="95" t="e">
        <f t="shared" ca="1" si="377"/>
        <v>#DIV/0!</v>
      </c>
      <c r="BL208" s="101" t="e">
        <f t="shared" si="325"/>
        <v>#N/A</v>
      </c>
      <c r="BM208" s="91" t="e">
        <f t="shared" si="346"/>
        <v>#N/A</v>
      </c>
      <c r="BN208" s="30" t="e">
        <f t="shared" ref="BN208:BN271" si="404">PI()*BN$12*$Q208*($B208-$B207)/($G208*$B$5)/10+BP207</f>
        <v>#N/A</v>
      </c>
      <c r="BO208" s="30" t="e">
        <f t="shared" ref="BO208:BO271" si="405">(PI()*BO$12*$Q208*($B208-$B207))/($H208*$B$5)/10+BP207</f>
        <v>#N/A</v>
      </c>
      <c r="BP208" s="31" t="e">
        <f>IF(OR(Hypothèses!$B$4=17,Hypothèses!$B$4=18,Hypothèses!$B$4=19,Hypothèses!$B$4=20),
IF($D208="Pressio.",
IF(OR($E208=3,$E208=1,$E208=4),BO208,BN208),
IF($D208="Pénétro.",
IF(OR($E208=3,$E208=1,$E208=4),BO208,BN208))),IF($D208="Pressio.",
IF($E208=3,BO208,BN208),
IF($D208="Pénétro.",
IF($E208=4,BO208,BN208))))</f>
        <v>#N/A</v>
      </c>
      <c r="BQ208" s="31" t="e">
        <f>(IF(OR(Hypothèses!$B$4=17,Hypothèses!$B$4=18,Hypothèses!$B$4=19,Hypothèses!$B$4=20),
IF($D208="Pressio.",
IF(OR($E208=3,$E208=1,$E208=4),(PI()*BQ$12^2)/4*(BM208*$W208*1000)/($H208*$B$5),(PI()*BQ$12^2)/4*(BM208*$W208*1000)/($G208*$B$5)),
IF($D208="Pénétro.",
IF(OR($E208=4,$E208=1,$E208=5),(PI()*BQ$12^2)/4*(BM208*$W208*1000)/($H208*$B$5),(PI()*BQ$12^2)/4*(BM208*$W208*1000)/($G208*$B$5)))),
IF($D208="Pressio.",
IF($E208=3,(PI()*BQ$12^2)/4*(BM208*$W208*1000)/($H208*$B$5),(PI()*BQ$12^2)/4*(BM208*$W208*1000)/($G208*$B$5)),
IF($D208="Pénétro.",
IF($E208=4,(PI()*BQ$12^2)/4*(BM208*$W208*1000)/($H208*$B$5),(PI()*BQ$12^2)/4*(BM208*$W208*1000)/($G208*$B$5))))))/10</f>
        <v>#N/A</v>
      </c>
      <c r="BR208" s="102" t="e">
        <f>(VLOOKUP($B$3,'Coeff EC7'!$T$39:$X$59,2,0)*BP208+VLOOKUP($B$3,'Coeff EC7'!$T$65:$X$85,2,0)*Model0.1C!BQ208)/1.1</f>
        <v>#N/A</v>
      </c>
      <c r="BS208" s="102" t="e">
        <f>(VLOOKUP($B$3,'Coeff EC7'!$T$39:$X$59,3,0)*BP208+VLOOKUP($B$3,'Coeff EC7'!$T$65:$X$85,3,0)*Model0.1C!BQ208)/0.9</f>
        <v>#N/A</v>
      </c>
      <c r="BT208" s="102" t="e">
        <f t="shared" si="378"/>
        <v>#N/A</v>
      </c>
      <c r="BU208" s="102" t="e">
        <f t="shared" si="379"/>
        <v>#N/A</v>
      </c>
      <c r="BV208" s="414" t="e">
        <f>IF(BV207=0,0,IF(AND(BR208&gt;charge_ELS_quasi,BS208&gt;Charge_ELS_freq,BT208&gt;charge_ELU,BU208&gt;charge_ELA,$B208&gt;NDC!$H$22-0.1+MIN(3*$BV$12,1.5)),0,1))</f>
        <v>#N/A</v>
      </c>
      <c r="BW208" s="86" t="b">
        <f t="shared" si="347"/>
        <v>0</v>
      </c>
      <c r="BX208" s="86">
        <f t="shared" si="348"/>
        <v>0.5</v>
      </c>
      <c r="BY208" s="86">
        <f t="shared" si="349"/>
        <v>0.5</v>
      </c>
      <c r="BZ208" s="30" t="e">
        <f t="shared" ca="1" si="380"/>
        <v>#DIV/0!</v>
      </c>
      <c r="CA208" s="85" t="e">
        <f ca="1">IF(BG208&lt;=Hypothèses!$V$7,Hypothèses!$W$7,IF(BG208&lt;=Hypothèses!$V$8,Hypothèses!$W$8,IF(BG208&lt;=Hypothèses!$V$9,Hypothèses!$W$9,IF(BG208&lt;=Hypothèses!$V$10,Hypothèses!$W$10,IF(BG208&lt;=Hypothèses!$V$11,Hypothèses!$W$11,IF(BG208&lt;=Hypothèses!$V$12,Hypothèses!$W$12,IF(BG208&lt;=Hypothèses!$V$13,Hypothèses!$W$13,IF(BG208&lt;=Hypothèses!$V$14,Hypothèses!$W$14,IF(BG208&lt;=Hypothèses!$V$15,Hypothèses!$W$15,IF(BG208&lt;=Hypothèses!$V$16,Hypothèses!$W$16,IF(BG208&lt;=Hypothèses!$V$17,Hypothèses!$W$17,IF(BG208&lt;=Hypothèses!$V$18,Hypothèses!$W$18,""))))))))))))</f>
        <v>#DIV/0!</v>
      </c>
      <c r="CB208" s="87" t="e">
        <f t="shared" ca="1" si="319"/>
        <v>#DIV/0!</v>
      </c>
      <c r="CC208" s="88" t="e">
        <f ca="1">IF(BG208&lt;=Hypothèses!$V$7,Hypothèses!$X$7,IF(BG208&lt;=Hypothèses!$V$8,Hypothèses!$X$8,IF(BG208&lt;=Hypothèses!$V$9,Hypothèses!$X$9,IF(BG208&lt;=Hypothèses!$V$10,Hypothèses!$X$10,IF(BG208&lt;=Hypothèses!$V$11,Hypothèses!$X$11,IF(BG208&lt;=Hypothèses!$V$12,Hypothèses!$X$12,IF(BG208&lt;=Hypothèses!$V$13,Hypothèses!$X$13,IF(BG208&lt;=Hypothèses!$V$14,Hypothèses!$X$14,IF(BG208&lt;=Hypothèses!$V$15,Hypothèses!$X$15,IF(BG208&lt;=Hypothèses!$V$16,Hypothèses!$X$16,IF(BG208&lt;=Hypothèses!$U$17,Hypothèses!$W$17,IF(BG208&lt;=Hypothèses!$U$18,Hypothèses!$W$18,""))))))))))))</f>
        <v>#DIV/0!</v>
      </c>
      <c r="CD208" s="95" t="e">
        <f t="shared" ca="1" si="381"/>
        <v>#DIV/0!</v>
      </c>
      <c r="CE208" s="101" t="e">
        <f t="shared" si="326"/>
        <v>#N/A</v>
      </c>
      <c r="CF208" s="91" t="e">
        <f t="shared" si="350"/>
        <v>#N/A</v>
      </c>
      <c r="CG208" s="30" t="e">
        <f t="shared" ref="CG208:CG271" si="406">PI()*CG$12*$Q208*($B208-$B207)/($G208*$B$5)/10+CI207</f>
        <v>#N/A</v>
      </c>
      <c r="CH208" s="30" t="e">
        <f t="shared" ref="CH208:CH271" si="407">(PI()*CH$12*$Q208*($B208-$B207))/($H208*$B$5)/10+CI207</f>
        <v>#N/A</v>
      </c>
      <c r="CI208" s="31" t="e">
        <f>IF(OR(Hypothèses!$B$4=17,Hypothèses!$B$4=18,Hypothèses!$B$4=19,Hypothèses!$B$4=20),
IF($D208="Pressio.",
IF(OR($E208=3,$E208=1,$E208=4),CH208,CG208),
IF($D208="Pénétro.",
IF(OR($E208=3,$E208=1,$E208=4),CH208,CG208))),IF($D208="Pressio.",
IF($E208=3,CH208,CG208),
IF($D208="Pénétro.",
IF($E208=4,CH208,CG208))))</f>
        <v>#N/A</v>
      </c>
      <c r="CJ208" s="31" t="e">
        <f>(IF(OR(Hypothèses!$B$4=17,Hypothèses!$B$4=18,Hypothèses!$B$4=19,Hypothèses!$B$4=20),
IF($D208="Pressio.",
IF(OR($E208=3,$E208=1,$E208=4),(PI()*CJ$12^2)/4*(CF208*$W208*1000)/($H208*$B$5),(PI()*CJ$12^2)/4*(CF208*$W208*1000)/($G208*$B$5)),
IF($D208="Pénétro.",
IF(OR($E208=4,$E208=1,$E208=5),(PI()*CJ$12^2)/4*(CF208*$W208*1000)/($H208*$B$5),(PI()*CJ$12^2)/4*(CF208*$W208*1000)/($G208*$B$5)))),
IF($D208="Pressio.",
IF($E208=3,(PI()*CJ$12^2)/4*(CF208*$W208*1000)/($H208*$B$5),(PI()*CJ$12^2)/4*(CF208*$W208*1000)/($G208*$B$5)),
IF($D208="Pénétro.",
IF($E208=4,(PI()*CJ$12^2)/4*(CF208*$W208*1000)/($H208*$B$5),(PI()*CJ$12^2)/4*(CF208*$W208*1000)/($G208*$B$5))))))/10</f>
        <v>#N/A</v>
      </c>
      <c r="CK208" s="102" t="e">
        <f>(VLOOKUP($B$3,'Coeff EC7'!$T$39:$X$59,2,0)*CI208+VLOOKUP($B$3,'Coeff EC7'!$T$65:$X$85,2,0)*Model0.1C!CJ208)/1.1</f>
        <v>#N/A</v>
      </c>
      <c r="CL208" s="102" t="e">
        <f>(VLOOKUP($B$3,'Coeff EC7'!$T$39:$X$59,3,0)*CI208+VLOOKUP($B$3,'Coeff EC7'!$T$65:$X$85,3,0)*Model0.1C!CJ208)/0.9</f>
        <v>#N/A</v>
      </c>
      <c r="CM208" s="102" t="e">
        <f t="shared" si="382"/>
        <v>#N/A</v>
      </c>
      <c r="CN208" s="102" t="e">
        <f t="shared" si="383"/>
        <v>#N/A</v>
      </c>
      <c r="CO208" s="414" t="e">
        <f>IF(CO207=0,0,IF(AND(CK208&gt;charge_ELS_quasi,CL208&gt;Charge_ELS_freq,CM208&gt;charge_ELU,CN208&gt;charge_ELA,$B208&gt;NDC!$H$22-0.1+MIN(3*$CO$12,1.5)),0,1))</f>
        <v>#N/A</v>
      </c>
      <c r="CP208" s="86" t="b">
        <f t="shared" si="351"/>
        <v>0</v>
      </c>
      <c r="CQ208" s="86">
        <f t="shared" si="352"/>
        <v>0.5</v>
      </c>
      <c r="CR208" s="86">
        <f t="shared" si="353"/>
        <v>0.5</v>
      </c>
      <c r="CS208" s="30" t="e">
        <f t="shared" ca="1" si="384"/>
        <v>#DIV/0!</v>
      </c>
      <c r="CT208" s="85" t="e">
        <f ca="1">IF(BZ208&lt;=Hypothèses!$V$7,Hypothèses!$W$7,IF(BZ208&lt;=Hypothèses!$V$8,Hypothèses!$W$8,IF(BZ208&lt;=Hypothèses!$V$9,Hypothèses!$W$9,IF(BZ208&lt;=Hypothèses!$V$10,Hypothèses!$W$10,IF(BZ208&lt;=Hypothèses!$V$11,Hypothèses!$W$11,IF(BZ208&lt;=Hypothèses!$V$12,Hypothèses!$W$12,IF(BZ208&lt;=Hypothèses!$V$13,Hypothèses!$W$13,IF(BZ208&lt;=Hypothèses!$V$14,Hypothèses!$W$14,IF(BZ208&lt;=Hypothèses!$V$15,Hypothèses!$W$15,IF(BZ208&lt;=Hypothèses!$V$16,Hypothèses!$W$16,IF(BZ208&lt;=Hypothèses!$V$17,Hypothèses!$W$17,IF(BZ208&lt;=Hypothèses!$V$18,Hypothèses!$W$18,""))))))))))))</f>
        <v>#DIV/0!</v>
      </c>
      <c r="CU208" s="87" t="e">
        <f t="shared" ca="1" si="320"/>
        <v>#DIV/0!</v>
      </c>
      <c r="CV208" s="88" t="e">
        <f ca="1">IF(BZ208&lt;=Hypothèses!$V$7,Hypothèses!$X$7,IF(BZ208&lt;=Hypothèses!$V$8,Hypothèses!$X$8,IF(BZ208&lt;=Hypothèses!$V$9,Hypothèses!$X$9,IF(BZ208&lt;=Hypothèses!$V$10,Hypothèses!$X$10,IF(BZ208&lt;=Hypothèses!$V$11,Hypothèses!$X$11,IF(BZ208&lt;=Hypothèses!$V$12,Hypothèses!$X$12,IF(BZ208&lt;=Hypothèses!$V$13,Hypothèses!$X$13,IF(BZ208&lt;=Hypothèses!$V$14,Hypothèses!$X$14,IF(BZ208&lt;=Hypothèses!$V$15,Hypothèses!$X$15,IF(BZ208&lt;=Hypothèses!$V$16,Hypothèses!$X$16,IF(BZ208&lt;=Hypothèses!$U$17,Hypothèses!$W$17,IF(BZ208&lt;=Hypothèses!$U$18,Hypothèses!$W$18,""))))))))))))</f>
        <v>#DIV/0!</v>
      </c>
      <c r="CW208" s="95" t="e">
        <f t="shared" ca="1" si="385"/>
        <v>#DIV/0!</v>
      </c>
      <c r="CX208" s="101" t="e">
        <f t="shared" si="327"/>
        <v>#N/A</v>
      </c>
      <c r="CY208" s="91" t="e">
        <f t="shared" si="354"/>
        <v>#N/A</v>
      </c>
      <c r="CZ208" s="30" t="e">
        <f t="shared" ref="CZ208:CZ271" si="408">PI()*CZ$12*$Q208*($B208-$B207)/($G208*$B$5)/10+DB207</f>
        <v>#N/A</v>
      </c>
      <c r="DA208" s="30" t="e">
        <f t="shared" ref="DA208:DA271" si="409">(PI()*DA$12*$Q208*($B208-$B207))/($H208*$B$5)/10+DB207</f>
        <v>#N/A</v>
      </c>
      <c r="DB208" s="31" t="e">
        <f>IF(OR(Hypothèses!$B$4=17,Hypothèses!$B$4=18,Hypothèses!$B$4=19,Hypothèses!$B$4=20),
IF($D208="Pressio.",
IF(OR($E208=3,$E208=1,$E208=4),DA208,CZ208),
IF($D208="Pénétro.",
IF(OR($E208=3,$E208=1,$E208=4),DA208,CZ208))),IF($D208="Pressio.",
IF($E208=3,DA208,CZ208),
IF($D208="Pénétro.",
IF($E208=4,DA208,CZ208))))</f>
        <v>#N/A</v>
      </c>
      <c r="DC208" s="31" t="e">
        <f>(IF(OR(Hypothèses!$B$4=17,Hypothèses!$B$4=18,Hypothèses!$B$4=19,Hypothèses!$B$4=20),
IF($D208="Pressio.",
IF(OR($E208=3,$E208=1,$E208=4),(PI()*DC$12^2)/4*(CY208*$W208*1000)/($H208*$B$5),(PI()*DC$12^2)/4*(CY208*$W208*1000)/($G208*$B$5)),
IF($D208="Pénétro.",
IF(OR($E208=4,$E208=1,$E208=5),(PI()*DC$12^2)/4*(CY208*$W208*1000)/($H208*$B$5),(PI()*DC$12^2)/4*(CY208*$W208*1000)/($G208*$B$5)))),
IF($D208="Pressio.",
IF($E208=3,(PI()*DC$12^2)/4*(CY208*$W208*1000)/($H208*$B$5),(PI()*DC$12^2)/4*(CY208*$W208*1000)/($G208*$B$5)),
IF($D208="Pénétro.",
IF($E208=4,(PI()*DC$12^2)/4*(CY208*$W208*1000)/($H208*$B$5),(PI()*DC$12^2)/4*(CY208*$W208*1000)/($G208*$B$5))))))/10</f>
        <v>#N/A</v>
      </c>
      <c r="DD208" s="102" t="e">
        <f>(VLOOKUP($B$3,'Coeff EC7'!$T$39:$X$59,2,0)*DB208+VLOOKUP($B$3,'Coeff EC7'!$T$65:$X$85,2,0)*Model0.1C!DC208)/1.1</f>
        <v>#N/A</v>
      </c>
      <c r="DE208" s="102" t="e">
        <f>(VLOOKUP($B$3,'Coeff EC7'!$T$39:$X$59,3,0)*DB208+VLOOKUP($B$3,'Coeff EC7'!$T$65:$X$85,3,0)*Model0.1C!DC208)/0.9</f>
        <v>#N/A</v>
      </c>
      <c r="DF208" s="102" t="e">
        <f t="shared" si="386"/>
        <v>#N/A</v>
      </c>
      <c r="DG208" s="102" t="e">
        <f t="shared" si="387"/>
        <v>#N/A</v>
      </c>
      <c r="DH208" s="414" t="e">
        <f>IF(DH207=0,0,IF(AND(DD208&gt;charge_ELS_quasi,DE208&gt;Charge_ELS_freq,DF208&gt;charge_ELU,DG208&gt;charge_ELA,$B208&gt;NDC!$H$22-0.1+MIN(3*$DH$12,1.5)),0,1))</f>
        <v>#N/A</v>
      </c>
      <c r="DI208" s="86" t="b">
        <f t="shared" si="355"/>
        <v>0</v>
      </c>
      <c r="DJ208" s="86">
        <f t="shared" si="356"/>
        <v>0.5</v>
      </c>
      <c r="DK208" s="86">
        <f t="shared" si="357"/>
        <v>0.5</v>
      </c>
      <c r="DL208" s="30" t="e">
        <f t="shared" ca="1" si="388"/>
        <v>#DIV/0!</v>
      </c>
      <c r="DM208" s="85" t="e">
        <f ca="1">IF(CS208&lt;=Hypothèses!$V$7,Hypothèses!$W$7,IF(CS208&lt;=Hypothèses!$V$8,Hypothèses!$W$8,IF(CS208&lt;=Hypothèses!$V$9,Hypothèses!$W$9,IF(CS208&lt;=Hypothèses!$V$10,Hypothèses!$W$10,IF(CS208&lt;=Hypothèses!$V$11,Hypothèses!$W$11,IF(CS208&lt;=Hypothèses!$V$12,Hypothèses!$W$12,IF(CS208&lt;=Hypothèses!$V$13,Hypothèses!$W$13,IF(CS208&lt;=Hypothèses!$V$14,Hypothèses!$W$14,IF(CS208&lt;=Hypothèses!$V$15,Hypothèses!$W$15,IF(CS208&lt;=Hypothèses!$V$16,Hypothèses!$W$16,IF(CS208&lt;=Hypothèses!$V$17,Hypothèses!$W$17,IF(CS208&lt;=Hypothèses!$V$18,Hypothèses!$W$18,""))))))))))))</f>
        <v>#DIV/0!</v>
      </c>
      <c r="DN208" s="87" t="e">
        <f t="shared" ca="1" si="321"/>
        <v>#DIV/0!</v>
      </c>
      <c r="DO208" s="88" t="e">
        <f ca="1">IF(CS208&lt;=Hypothèses!$V$7,Hypothèses!$X$7,IF(CS208&lt;=Hypothèses!$V$8,Hypothèses!$X$8,IF(CS208&lt;=Hypothèses!$V$9,Hypothèses!$X$9,IF(CS208&lt;=Hypothèses!$V$10,Hypothèses!$X$10,IF(CS208&lt;=Hypothèses!$V$11,Hypothèses!$X$11,IF(CS208&lt;=Hypothèses!$V$12,Hypothèses!$X$12,IF(CS208&lt;=Hypothèses!$V$13,Hypothèses!$X$13,IF(CS208&lt;=Hypothèses!$V$14,Hypothèses!$X$14,IF(CS208&lt;=Hypothèses!$V$15,Hypothèses!$X$15,IF(CS208&lt;=Hypothèses!$V$16,Hypothèses!$X$16,IF(CS208&lt;=Hypothèses!$U$17,Hypothèses!$W$17,IF(CS208&lt;=Hypothèses!$U$18,Hypothèses!$W$18,""))))))))))))</f>
        <v>#DIV/0!</v>
      </c>
      <c r="DP208" s="95" t="e">
        <f t="shared" ca="1" si="389"/>
        <v>#DIV/0!</v>
      </c>
      <c r="DQ208" s="101" t="e">
        <f t="shared" si="328"/>
        <v>#N/A</v>
      </c>
      <c r="DR208" s="91" t="e">
        <f t="shared" si="358"/>
        <v>#N/A</v>
      </c>
      <c r="DS208" s="30" t="e">
        <f t="shared" ref="DS208:DS271" si="410">PI()*DS$12*$Q208*($B208-$B207)/($G208*$B$5)/10+DU207</f>
        <v>#N/A</v>
      </c>
      <c r="DT208" s="30" t="e">
        <f t="shared" ref="DT208:DT271" si="411">(PI()*DT$12*$Q208*($B208-$B207))/($H208*$B$5)/10+DU207</f>
        <v>#N/A</v>
      </c>
      <c r="DU208" s="31" t="e">
        <f>IF(OR(Hypothèses!$B$4=17,Hypothèses!$B$4=18,Hypothèses!$B$4=19,Hypothèses!$B$4=20),
IF($D208="Pressio.",
IF(OR($E208=3,$E208=1,$E208=4),DT208,DS208),
IF($D208="Pénétro.",
IF(OR($E208=3,$E208=1,$E208=4),DT208,DS208))),IF($D208="Pressio.",
IF($E208=3,DT208,DS208),
IF($D208="Pénétro.",
IF($E208=4,DT208,DS208))))</f>
        <v>#N/A</v>
      </c>
      <c r="DV208" s="31" t="e">
        <f>(IF(OR(Hypothèses!$B$4=17,Hypothèses!$B$4=18,Hypothèses!$B$4=19,Hypothèses!$B$4=20),
IF($D208="Pressio.",
IF(OR($E208=3,$E208=1,$E208=4),(PI()*DV$12^2)/4*(DR208*$W208*1000)/($H208*$B$5),(PI()*DV$12^2)/4*(DR208*$W208*1000)/($G208*$B$5)),
IF($D208="Pénétro.",
IF(OR($E208=4,$E208=1,$E208=5),(PI()*DV$12^2)/4*(DR208*$W208*1000)/($H208*$B$5),(PI()*DV$12^2)/4*(DR208*$W208*1000)/($G208*$B$5)))),
IF($D208="Pressio.",
IF($E208=3,(PI()*DV$12^2)/4*(DR208*$W208*1000)/($H208*$B$5),(PI()*DV$12^2)/4*(DR208*$W208*1000)/($G208*$B$5)),
IF($D208="Pénétro.",
IF($E208=4,(PI()*DV$12^2)/4*(DR208*$W208*1000)/($H208*$B$5),(PI()*DV$12^2)/4*(DR208*$W208*1000)/($G208*$B$5))))))/10</f>
        <v>#N/A</v>
      </c>
      <c r="DW208" s="102" t="e">
        <f>(VLOOKUP($B$3,'Coeff EC7'!$T$39:$X$59,2,0)*DU208+VLOOKUP($B$3,'Coeff EC7'!$T$65:$X$85,2,0)*Model0.1C!DV208)/1.1</f>
        <v>#N/A</v>
      </c>
      <c r="DX208" s="102" t="e">
        <f>(VLOOKUP($B$3,'Coeff EC7'!$T$39:$X$59,3,0)*DU208+VLOOKUP($B$3,'Coeff EC7'!$T$65:$X$85,3,0)*Model0.1C!DV208)/0.9</f>
        <v>#N/A</v>
      </c>
      <c r="DY208" s="102" t="e">
        <f t="shared" si="390"/>
        <v>#N/A</v>
      </c>
      <c r="DZ208" s="102" t="e">
        <f t="shared" si="391"/>
        <v>#N/A</v>
      </c>
      <c r="EA208" s="414" t="e">
        <f>IF(EA207=0,0,IF(AND(DW208&gt;charge_ELS_quasi,DX208&gt;Charge_ELS_freq,DY208&gt;charge_ELU,DZ208&gt;charge_ELA,$B208&gt;NDC!$H$22-0.1+MIN(3*$EA$12,1.5)),0,1))</f>
        <v>#N/A</v>
      </c>
      <c r="EB208" s="86" t="b">
        <f t="shared" si="359"/>
        <v>0</v>
      </c>
      <c r="EC208" s="418">
        <f t="shared" si="360"/>
        <v>0.51</v>
      </c>
      <c r="ED208" s="86">
        <f t="shared" si="361"/>
        <v>0.51</v>
      </c>
      <c r="EE208" s="30" t="e">
        <f t="shared" ca="1" si="392"/>
        <v>#DIV/0!</v>
      </c>
      <c r="EF208" s="85" t="e">
        <f ca="1">IF(DL208&lt;=Hypothèses!$V$7,Hypothèses!$W$7,IF(DL208&lt;=Hypothèses!$V$8,Hypothèses!$W$8,IF(DL208&lt;=Hypothèses!$V$9,Hypothèses!$W$9,IF(DL208&lt;=Hypothèses!$V$10,Hypothèses!$W$10,IF(DL208&lt;=Hypothèses!$V$11,Hypothèses!$W$11,IF(DL208&lt;=Hypothèses!$V$12,Hypothèses!$W$12,IF(DL208&lt;=Hypothèses!$V$13,Hypothèses!$W$13,IF(DL208&lt;=Hypothèses!$V$14,Hypothèses!$W$14,IF(DL208&lt;=Hypothèses!$V$15,Hypothèses!$W$15,IF(DL208&lt;=Hypothèses!$V$16,Hypothèses!$W$16,IF(DL208&lt;=Hypothèses!$V$17,Hypothèses!$W$17,IF(DL208&lt;=Hypothèses!$V$18,Hypothèses!$W$18,""))))))))))))</f>
        <v>#DIV/0!</v>
      </c>
      <c r="EG208" s="87" t="e">
        <f t="shared" ca="1" si="322"/>
        <v>#DIV/0!</v>
      </c>
      <c r="EH208" s="88" t="e">
        <f ca="1">IF(DL208&lt;=Hypothèses!$V$7,Hypothèses!$X$7,IF(DL208&lt;=Hypothèses!$V$8,Hypothèses!$X$8,IF(DL208&lt;=Hypothèses!$V$9,Hypothèses!$X$9,IF(DL208&lt;=Hypothèses!$V$10,Hypothèses!$X$10,IF(DL208&lt;=Hypothèses!$V$11,Hypothèses!$X$11,IF(DL208&lt;=Hypothèses!$V$12,Hypothèses!$X$12,IF(DL208&lt;=Hypothèses!$V$13,Hypothèses!$X$13,IF(DL208&lt;=Hypothèses!$V$14,Hypothèses!$X$14,IF(DL208&lt;=Hypothèses!$V$15,Hypothèses!$X$15,IF(DL208&lt;=Hypothèses!$V$16,Hypothèses!$X$16,IF(DL208&lt;=Hypothèses!$U$17,Hypothèses!$W$17,IF(DL208&lt;=Hypothèses!$U$18,Hypothèses!$W$18,""))))))))))))</f>
        <v>#DIV/0!</v>
      </c>
      <c r="EI208" s="95" t="e">
        <f t="shared" ca="1" si="393"/>
        <v>#DIV/0!</v>
      </c>
      <c r="EJ208" s="101" t="e">
        <f t="shared" si="329"/>
        <v>#N/A</v>
      </c>
      <c r="EK208" s="91" t="e">
        <f t="shared" si="362"/>
        <v>#N/A</v>
      </c>
      <c r="EL208" s="30" t="e">
        <f t="shared" ref="EL208:EL271" si="412">PI()*EL$12*$Q208*($B208-$B207)/($G208*$B$5)/10+EN207</f>
        <v>#N/A</v>
      </c>
      <c r="EM208" s="30" t="e">
        <f t="shared" ref="EM208:EM271" si="413">(PI()*EM$12*$Q208*($B208-$B207))/($H208*$B$5)/10+EN207</f>
        <v>#N/A</v>
      </c>
      <c r="EN208" s="31" t="e">
        <f>IF(OR(Hypothèses!$B$4=17,Hypothèses!$B$4=18,Hypothèses!$B$4=19,Hypothèses!$B$4=20),
IF($D208="Pressio.",
IF(OR($E208=3,$E208=1,$E208=4),EM208,EL208),
IF($D208="Pénétro.",
IF(OR($E208=3,$E208=1,$E208=4),EM208,EL208))),IF($D208="Pressio.",
IF($E208=3,EM208,EL208),
IF($D208="Pénétro.",
IF($E208=4,EM208,EL208))))</f>
        <v>#N/A</v>
      </c>
      <c r="EO208" s="31" t="e">
        <f>(IF(OR(Hypothèses!$B$4=17,Hypothèses!$B$4=18,Hypothèses!$B$4=19,Hypothèses!$B$4=20),
IF($D208="Pressio.",
IF(OR($E208=3,$E208=1,$E208=4),(PI()*EO$12^2)/4*(EK208*$W208*1000)/($H208*$B$5),(PI()*EO$12^2)/4*(EK208*$W208*1000)/($G208*$B$5)),
IF($D208="Pénétro.",
IF(OR($E208=4,$E208=1,$E208=5),(PI()*EO$12^2)/4*(EK208*$W208*1000)/($H208*$B$5),(PI()*EO$12^2)/4*(EK208*$W208*1000)/($G208*$B$5)))),
IF($D208="Pressio.",
IF($E208=3,(PI()*EO$12^2)/4*(EK208*$W208*1000)/($H208*$B$5),(PI()*EO$12^2)/4*(EK208*$W208*1000)/($G208*$B$5)),
IF($D208="Pénétro.",
IF($E208=4,(PI()*EO$12^2)/4*(EK208*$W208*1000)/($H208*$B$5),(PI()*EO$12^2)/4*(EK208*$W208*1000)/($G208*$B$5))))))/10</f>
        <v>#N/A</v>
      </c>
      <c r="EP208" s="102" t="e">
        <f>(VLOOKUP($B$3,'Coeff EC7'!$T$39:$X$59,2,0)*EN208+VLOOKUP($B$3,'Coeff EC7'!$T$65:$X$85,2,0)*Model0.1C!EO208)/1.1</f>
        <v>#N/A</v>
      </c>
      <c r="EQ208" s="102" t="e">
        <f>(VLOOKUP($B$3,'Coeff EC7'!$T$39:$X$59,3,0)*EN208+VLOOKUP($B$3,'Coeff EC7'!$T$65:$X$85,3,0)*Model0.1C!EO208)/0.9</f>
        <v>#N/A</v>
      </c>
      <c r="ER208" s="102" t="e">
        <f t="shared" si="394"/>
        <v>#N/A</v>
      </c>
      <c r="ES208" s="102" t="e">
        <f t="shared" si="395"/>
        <v>#N/A</v>
      </c>
      <c r="ET208" s="414" t="e">
        <f>IF(ET207=0,0,IF(AND(EP208&gt;charge_ELS_quasi,EQ208&gt;Charge_ELS_freq,ER208&gt;charge_ELU,ES208&gt;charge_ELA,$B208&gt;NDC!$H$22-0.1+MIN(3*$ET$12,1.5)),0,1))</f>
        <v>#N/A</v>
      </c>
      <c r="EU208" s="86" t="b">
        <f t="shared" si="363"/>
        <v>0</v>
      </c>
      <c r="EV208" s="86">
        <f t="shared" si="364"/>
        <v>0.61</v>
      </c>
      <c r="EW208" s="86">
        <f t="shared" si="365"/>
        <v>0.61</v>
      </c>
      <c r="EX208" s="30" t="e">
        <f t="shared" ca="1" si="396"/>
        <v>#DIV/0!</v>
      </c>
      <c r="EY208" s="85" t="e">
        <f ca="1">IF(EE208&lt;=Hypothèses!$V$7,Hypothèses!$W$7,IF(EE208&lt;=Hypothèses!$V$8,Hypothèses!$W$8,IF(EE208&lt;=Hypothèses!$V$9,Hypothèses!$W$9,IF(EE208&lt;=Hypothèses!$V$10,Hypothèses!$W$10,IF(EE208&lt;=Hypothèses!$V$11,Hypothèses!$W$11,IF(EE208&lt;=Hypothèses!$V$12,Hypothèses!$W$12,IF(EE208&lt;=Hypothèses!$V$13,Hypothèses!$W$13,IF(EE208&lt;=Hypothèses!$V$14,Hypothèses!$W$14,IF(EE208&lt;=Hypothèses!$V$15,Hypothèses!$W$15,IF(EE208&lt;=Hypothèses!$V$16,Hypothèses!$W$16,IF(EE208&lt;=Hypothèses!$V$17,Hypothèses!$W$17,IF(EE208&lt;=Hypothèses!$V$18,Hypothèses!$W$18,""))))))))))))</f>
        <v>#DIV/0!</v>
      </c>
      <c r="EZ208" s="87" t="e">
        <f t="shared" ca="1" si="323"/>
        <v>#DIV/0!</v>
      </c>
      <c r="FA208" s="88" t="e">
        <f ca="1">IF(EE208&lt;=Hypothèses!$V$7,Hypothèses!$X$7,IF(EE208&lt;=Hypothèses!$V$8,Hypothèses!$X$8,IF(EE208&lt;=Hypothèses!$V$9,Hypothèses!$X$9,IF(EE208&lt;=Hypothèses!$V$10,Hypothèses!$X$10,IF(EE208&lt;=Hypothèses!$V$11,Hypothèses!$X$11,IF(EE208&lt;=Hypothèses!$V$12,Hypothèses!$X$12,IF(EE208&lt;=Hypothèses!$V$13,Hypothèses!$X$13,IF(EE208&lt;=Hypothèses!$V$14,Hypothèses!$X$14,IF(EE208&lt;=Hypothèses!$V$15,Hypothèses!$X$15,IF(EE208&lt;=Hypothèses!$V$16,Hypothèses!$X$16,IF(EE208&lt;=Hypothèses!$U$17,Hypothèses!$W$17,IF(EE208&lt;=Hypothèses!$U$18,Hypothèses!$W$18,""))))))))))))</f>
        <v>#DIV/0!</v>
      </c>
      <c r="FB208" s="95" t="e">
        <f t="shared" ca="1" si="397"/>
        <v>#DIV/0!</v>
      </c>
      <c r="FC208" s="101" t="e">
        <f t="shared" si="330"/>
        <v>#N/A</v>
      </c>
      <c r="FD208" s="91" t="e">
        <f t="shared" si="366"/>
        <v>#N/A</v>
      </c>
      <c r="FE208" s="30" t="e">
        <f t="shared" ref="FE208:FE271" si="414">PI()*FE$12*$Q208*($B208-$B207)/($G208*$B$5)/10+FG207</f>
        <v>#N/A</v>
      </c>
      <c r="FF208" s="30" t="e">
        <f t="shared" ref="FF208:FF271" si="415">(PI()*FF$12*$Q208*($B208-$B207))/($H208*$B$5)/10+FG207</f>
        <v>#N/A</v>
      </c>
      <c r="FG208" s="31" t="e">
        <f>IF(OR(Hypothèses!$B$4=17,Hypothèses!$B$4=18,Hypothèses!$B$4=19,Hypothèses!$B$4=20),
IF($D208="Pressio.",
IF(OR($E208=3,$E208=1,$E208=4),FF208,FE208),
IF($D208="Pénétro.",
IF(OR($E208=3,$E208=1,$E208=4),FF208,FE208))),IF($D208="Pressio.",
IF($E208=3,FF208,FE208),
IF($D208="Pénétro.",
IF($E208=4,FF208,FE208))))</f>
        <v>#N/A</v>
      </c>
      <c r="FH208" s="31" t="e">
        <f>(IF(OR(Hypothèses!$B$4=17,Hypothèses!$B$4=18,Hypothèses!$B$4=19,Hypothèses!$B$4=20),
IF($D208="Pressio.",
IF(OR($E208=3,$E208=1,$E208=4),(PI()*FH$12^2)/4*(FD208*$W208*1000)/($H208*$B$5),(PI()*FH$12^2)/4*(FD208*$W208*1000)/($G208*$B$5)),
IF($D208="Pénétro.",
IF(OR($E208=4,$E208=1,$E208=5),(PI()*FH$12^2)/4*(FD208*$W208*1000)/($H208*$B$5),(PI()*FH$12^2)/4*(FD208*$W208*1000)/($G208*$B$5)))),
IF($D208="Pressio.",
IF($E208=3,(PI()*FH$12^2)/4*(FD208*$W208*1000)/($H208*$B$5),(PI()*FH$12^2)/4*(FD208*$W208*1000)/($G208*$B$5)),
IF($D208="Pénétro.",
IF($E208=4,(PI()*FH$12^2)/4*(FD208*$W208*1000)/($H208*$B$5),(PI()*FH$12^2)/4*(FD208*$W208*1000)/($G208*$B$5))))))/10</f>
        <v>#N/A</v>
      </c>
      <c r="FI208" s="102" t="e">
        <f>(VLOOKUP($B$3,'Coeff EC7'!$T$39:$X$59,2,0)*FG208+VLOOKUP($B$3,'Coeff EC7'!$T$65:$X$85,2,0)*Model0.1C!FH208)/1.1</f>
        <v>#N/A</v>
      </c>
      <c r="FJ208" s="102" t="e">
        <f>(VLOOKUP($B$3,'Coeff EC7'!$T$39:$X$59,3,0)*FG208+VLOOKUP($B$3,'Coeff EC7'!$T$65:$X$85,3,0)*Model0.1C!FH208)/0.9</f>
        <v>#N/A</v>
      </c>
      <c r="FK208" s="102" t="e">
        <f t="shared" si="398"/>
        <v>#N/A</v>
      </c>
      <c r="FL208" s="102" t="e">
        <f t="shared" si="399"/>
        <v>#N/A</v>
      </c>
      <c r="FM208" s="414" t="e">
        <f>IF(FM207=0,0,IF(AND(FI208&gt;charge_ELS_quasi,FJ208&gt;Charge_ELS_freq,FK208&gt;charge_ELU,FL208&gt;charge_ELA,$B208&gt;NDC!$H$22-0.1+MIN(3*$FM$12,1.5)),0,1))</f>
        <v>#N/A</v>
      </c>
    </row>
    <row r="209" spans="1:169">
      <c r="A209" s="96">
        <f t="shared" si="367"/>
        <v>80.400000000001114</v>
      </c>
      <c r="B209" s="97">
        <v>19.600000000000001</v>
      </c>
      <c r="C209" s="81">
        <f>IF(B209&lt;=Hypothèses!$C$7,Hypothèses!$A$7,IF(B209&lt;=Hypothèses!$C$8,Hypothèses!$A$8,IF(B209&lt;=Hypothèses!$C$9,Hypothèses!$A$9,IF(B209&lt;=Hypothèses!$C$10,Hypothèses!$A$10,IF(B209&lt;=Hypothèses!$C$11,Hypothèses!$A$11,IF(B209&lt;=Hypothèses!$C$12,Hypothèses!$A$12,IF(B209&lt;=Hypothèses!$C$13,Hypothèses!$A$13,IF(B209&lt;=Hypothèses!$C$14,Hypothèses!$A$14,IF(B209&lt;=Hypothèses!$C$15,Hypothèses!$A$15,IF(B209&lt;=Hypothèses!$C$16,Hypothèses!$A$16,IF(B209&lt;=Hypothèses!$C$17,Hypothèses!$A$17,IF(B209&lt;=Hypothèses!$C$18,Hypothèses!$A$18,C208))))))))))))</f>
        <v>11</v>
      </c>
      <c r="D209" s="82" t="str">
        <f>IF(B209&lt;=Hypothèses!$C$7,Hypothèses!$R$7,IF(B209&lt;=Hypothèses!$C$8,Hypothèses!$R$8,IF(B209&lt;=Hypothèses!$C$9,Hypothèses!$R$9,IF(B209&lt;=Hypothèses!$C$10,Hypothèses!$R$10,IF(B209&lt;=Hypothèses!$C$11,Hypothèses!$R$11,IF(B209&lt;=Hypothèses!$C$12,Hypothèses!$R$12,IF(B209&lt;=Hypothèses!$C$13,Hypothèses!$R$13,IF(B209&lt;=Hypothèses!$C$14,Hypothèses!$R$14,IF(B209&lt;=Hypothèses!$C$15,Hypothèses!$R$15,IF(B209&lt;=Hypothèses!$C$16,Hypothèses!$R$16,IF(B209&lt;=Hypothèses!$C$17,Hypothèses!$R$17,IF(B209&lt;=Hypothèses!$C$18,Hypothèses!$R$18,D208))))))))))))</f>
        <v>Pressio.</v>
      </c>
      <c r="E209" s="82" t="e">
        <f>IF(B209&lt;=Hypothèses!$C$7,Hypothèses!$G$7,IF(B209&lt;=Hypothèses!$C$8,Hypothèses!$G$8,IF(B209&lt;=Hypothèses!$C$9,Hypothèses!$G$9,IF(B209&lt;=Hypothèses!$C$10,Hypothèses!$G$10,IF(B209&lt;=Hypothèses!$C$11,Hypothèses!$G$11,IF(B209&lt;=Hypothèses!$C$12,Hypothèses!$G$12,IF(B209&lt;=Hypothèses!$C$13,Hypothèses!$G$13,IF(B209&lt;=Hypothèses!$C$14,Hypothèses!$G$14,IF(B209&lt;=Hypothèses!$C$15,Hypothèses!$G$15,IF(B209&lt;=Hypothèses!$C$16,Hypothèses!$G$16,IF(B209&lt;=Hypothèses!$C$17,Hypothèses!$G$17,IF(B209&lt;=Hypothèses!$C$18,Hypothèses!$G$18,E208))))))))))))</f>
        <v>#N/A</v>
      </c>
      <c r="F209" s="82" t="str">
        <f>IF(B209&lt;=Hypothèses!$C$7,Hypothèses!$F$7,IF(B209&lt;=Hypothèses!$C$8,Hypothèses!$F$8,IF(B209&lt;=Hypothèses!$C$9,Hypothèses!$F$9,IF(B209&lt;=Hypothèses!$C$10,Hypothèses!$F$10,IF(B209&lt;=Hypothèses!$C$11,Hypothèses!$F$11,IF(B209&lt;=Hypothèses!$C$12,Hypothèses!$F$12,IF(B209&lt;=Hypothèses!$C$13,Hypothèses!$F$13,IF(B209&lt;=Hypothèses!$C$14,Hypothèses!$F$14,IF(B209&lt;=Hypothèses!$C$15,Hypothèses!$F$15,IF(B209&lt;=Hypothèses!$C$16,Hypothèses!$F$16,IF(B209&lt;=Hypothèses!$C$17,Hypothèses!$F$17,IF(B209&lt;=Hypothèses!$C$18,Hypothèses!$F$18,F208))))))))))))</f>
        <v/>
      </c>
      <c r="G209" s="91">
        <f t="array" ref="G209">INDEX('Coeff EC7'!$U$7:$X$27,
MATCH(Model0.1C!$B$3,'Coeff EC7'!$T$7:$T$27,0),
MATCH(Model0.1C!$D209&amp;Model0.1C!$B$4,
'Coeff EC7'!$U$6:$X$6&amp;
'Coeff EC7'!$U$5:$X$5,0))</f>
        <v>1.1499999999999999</v>
      </c>
      <c r="H209" s="91">
        <f t="array" ref="H209">INDEX('Coeff EC7'!$Y$7:$AB$27,
MATCH(Model0.1C!$B$3,'Coeff EC7'!$T$7:$T$27,0),
MATCH(Model0.1C!$D209&amp;Model0.1C!$B$4,
'Coeff EC7'!$Y$6:$AB$6&amp;
'Coeff EC7'!$Y$5:$AB$5,0))</f>
        <v>1.4</v>
      </c>
      <c r="I209" s="83" t="e">
        <f>IF(B209&lt;=Hypothèses!$C$7,Hypothèses!$P$7,IF(B209&lt;=Hypothèses!$C$8,Hypothèses!$P$8,IF(B209&lt;=Hypothèses!$C$9,Hypothèses!$P$9,IF(B209&lt;=Hypothèses!$C$10,Hypothèses!$P$10,IF(B209&lt;=Hypothèses!$C$11,Hypothèses!$P$11,IF(B209&lt;=Hypothèses!$C$12,Hypothèses!$P$12,IF(B209&lt;=Hypothèses!$C$13,Hypothèses!$P$13,IF(B209&lt;=Hypothèses!$C$14,Hypothèses!$P$14,IF(B209&lt;=Hypothèses!$C$15,Hypothèses!$P$15,IF(B209&lt;=Hypothèses!$C$16,Hypothèses!$P$16,IF(B209&lt;=Hypothèses!$C$17,Hypothèses!$P$17,IF(B209&lt;=Hypothèses!$C$18,Hypothèses!$P$18,I208))))))))))))</f>
        <v>#N/A</v>
      </c>
      <c r="J209" s="91" t="e">
        <f t="array" ref="J209">INDEX('Coeff EC7'!$D$33:$Q$33,1,MATCH(D209&amp;E209,'Coeff EC7'!$D$31:$Q$31&amp;'Coeff EC7'!$D$32:$Q$32,0))</f>
        <v>#N/A</v>
      </c>
      <c r="K209" s="91" t="e">
        <f t="array" ref="K209">INDEX('Coeff EC7'!$D$34:$Q$34,1,MATCH(D209&amp;E209,'Coeff EC7'!$D$31:$Q$31&amp;'Coeff EC7'!$D$32:$Q$32,0))</f>
        <v>#N/A</v>
      </c>
      <c r="L209" s="91" t="e">
        <f t="array" ref="L209">INDEX('Coeff EC7'!$D$35:$Q$35,1,MATCH(D209&amp;E209,'Coeff EC7'!$D$31:$Q$31&amp;'Coeff EC7'!$D$32:$Q$32,0))</f>
        <v>#N/A</v>
      </c>
      <c r="M209" s="98" t="e">
        <f t="shared" si="331"/>
        <v>#N/A</v>
      </c>
      <c r="N209" s="99" t="e">
        <f t="array" ref="N209">INDEX('Coeff EC7'!$D$7:$Q$27,MATCH($B$3,'Coeff EC7'!$C$7:$C$27,0),MATCH(D209&amp;E209,'Coeff EC7'!$D$5:$Q$5&amp;'Coeff EC7'!$D$6:$Q$6,0))</f>
        <v>#N/A</v>
      </c>
      <c r="O209" s="99" t="e">
        <f t="array" ref="O209">INDEX('Coeff EC7'!$D$41:$Q$61,MATCH($B$3,'Coeff EC7'!$C$41:$C$61,0),MATCH(D209&amp;E209,'Coeff EC7'!$D$39:$Q$39&amp;'Coeff EC7'!$D$40:$Q$40,0))</f>
        <v>#N/A</v>
      </c>
      <c r="P209" s="30" t="e">
        <f t="shared" si="368"/>
        <v>#N/A</v>
      </c>
      <c r="Q209" s="100" t="e">
        <f t="shared" si="333"/>
        <v>#N/A</v>
      </c>
      <c r="R209" s="86" t="b">
        <f t="shared" si="334"/>
        <v>0</v>
      </c>
      <c r="S209" s="86">
        <f t="shared" si="332"/>
        <v>0.5</v>
      </c>
      <c r="T209" s="86">
        <f t="shared" si="335"/>
        <v>0.5</v>
      </c>
      <c r="U209" s="30" t="e">
        <f t="shared" ca="1" si="369"/>
        <v>#DIV/0!</v>
      </c>
      <c r="V209" s="85" t="str">
        <f>IF(B209&lt;=Hypothèses!$V$7,Hypothèses!$W$7,IF(B209&lt;=Hypothèses!$V$8,Hypothèses!$W$8,IF(B209&lt;=Hypothèses!$V$9,Hypothèses!$W$9,IF(B209&lt;=Hypothèses!$V$10,Hypothèses!$W$10,IF(B209&lt;=Hypothèses!$V$11,Hypothèses!$W$11,IF(B209&lt;=Hypothèses!$V$12,Hypothèses!$W$12,IF(B209&lt;=Hypothèses!$V$13,Hypothèses!$W$13,IF(B209&lt;=Hypothèses!$V$14,Hypothèses!$W$14,IF(B209&lt;=Hypothèses!$V$15,Hypothèses!$W$15,IF(B209&lt;=Hypothèses!$V$16,Hypothèses!$W$16,IF(B209&lt;=Hypothèses!$V$17,Hypothèses!$W$17,IF(B209&lt;=Hypothèses!$V$18,Hypothèses!$W$18,""))))))))))))</f>
        <v/>
      </c>
      <c r="W209" s="87" t="e">
        <f t="shared" ref="W209:W272" ca="1" si="416">IF(V209&lt;&gt;"",V209,U209)</f>
        <v>#DIV/0!</v>
      </c>
      <c r="X209" s="88" t="str">
        <f>IF(B209&lt;=Hypothèses!$V$7,Hypothèses!$X$7,IF(B209&lt;=Hypothèses!$V$8,Hypothèses!$X$8,IF(B209&lt;=Hypothèses!$V$9,Hypothèses!$X$9,IF(B209&lt;=Hypothèses!$V$10,Hypothèses!$X$10,IF(B209&lt;=Hypothèses!$V$11,Hypothèses!$X$11,IF(B209&lt;=Hypothèses!$V$12,Hypothèses!$X$12,IF(B209&lt;=Hypothèses!$V$13,Hypothèses!$X$13,IF(B209&lt;=Hypothèses!$V$14,Hypothèses!$X$14,IF(B209&lt;=Hypothèses!$V$15,Hypothèses!$X$15,IF(B209&lt;=Hypothèses!$V$16,Hypothèses!$X$16,IF(B209&lt;=Hypothèses!$U$17,Hypothèses!$W$17,IF(B209&lt;=Hypothèses!$U$18,Hypothèses!$W$18,""))))))))))))</f>
        <v/>
      </c>
      <c r="Y209" s="95" t="e">
        <f t="shared" ca="1" si="336"/>
        <v>#DIV/0!</v>
      </c>
      <c r="Z209" s="101" t="e">
        <f t="shared" si="337"/>
        <v>#N/A</v>
      </c>
      <c r="AA209" s="91" t="e">
        <f t="shared" si="338"/>
        <v>#N/A</v>
      </c>
      <c r="AB209" s="30" t="e">
        <f t="shared" si="400"/>
        <v>#N/A</v>
      </c>
      <c r="AC209" s="30" t="e">
        <f t="shared" si="401"/>
        <v>#N/A</v>
      </c>
      <c r="AD209" s="31" t="e">
        <f>IF(OR(Hypothèses!$B$4=17,Hypothèses!$B$4=18,Hypothèses!$B$4=19,Hypothèses!$B$4=20),
IF($D209="Pressio.",
IF(OR($E209=3,$E209=1,$E209=4),AC209,AB209),
IF($D209="Pénétro.",
IF(OR($E209=3,$E209=1,$E209=4),AC209,AB209))),IF($D209="Pressio.",
IF($E209=3,AC209,AB209),
IF($D209="Pénétro.",
IF($E209=4,AC209,AB209))))</f>
        <v>#N/A</v>
      </c>
      <c r="AE209" s="31" t="e">
        <f>(IF(OR(Hypothèses!$B$4=17,Hypothèses!$B$4=18,Hypothèses!$B$4=19,Hypothèses!$B$4=20),
IF($D209="Pressio.",
IF(OR($E209=3,$E209=1,$E209=4),(PI()*AE$12^2)/4*(AA209*$W209*1000)/($H209*$B$5),(PI()*AE$12^2)/4*(AA209*$W209*1000)/($G209*$B$5)),
IF($D209="Pénétro.",
IF(OR($E209=4,$E209=1,$E209=5),(PI()*AE$12^2)/4*(AA209*$W209*1000)/($H209*$B$5),(PI()*AE$12^2)/4*(AA209*$W209*1000)/($G209*$B$5)))),
IF($D209="Pressio.",
IF($E209=3,(PI()*AE$12^2)/4*(AA209*$W209*1000)/($H209*$B$5),(PI()*AE$12^2)/4*(AA209*$W209*1000)/($G209*$B$5)),
IF($D209="Pénétro.",
IF($E209=4,(PI()*AE$12^2)/4*(AA209*$W209*1000)/($H209*$B$5),(PI()*AE$12^2)/4*(AA209*$W209*1000)/($G209*$B$5))))))/10</f>
        <v>#N/A</v>
      </c>
      <c r="AF209" s="102" t="e">
        <f>(VLOOKUP($B$3,'Coeff EC7'!$T$39:$X$59,2,0)*AD209+VLOOKUP($B$3,'Coeff EC7'!$T$65:$X$85,2,0)*Model0.1C!AE209)/1.1</f>
        <v>#N/A</v>
      </c>
      <c r="AG209" s="102" t="e">
        <f>(VLOOKUP($B$3,'Coeff EC7'!$T$39:$X$59,3,0)*AD209+VLOOKUP($B$3,'Coeff EC7'!$T$65:$X$85,3,0)*Model0.1C!AE209)/0.9</f>
        <v>#N/A</v>
      </c>
      <c r="AH209" s="102" t="e">
        <f t="shared" si="339"/>
        <v>#N/A</v>
      </c>
      <c r="AI209" s="102" t="e">
        <f t="shared" si="340"/>
        <v>#N/A</v>
      </c>
      <c r="AJ209" s="414" t="e">
        <f>IF(AJ208=0,0,IF(AND(AF209&gt;charge_ELS_quasi,AG209&gt;Charge_ELS_freq,AH209&gt;charge_ELU,AI209&gt;charge_ELA,$B209&gt;NDC!$H$22-0.1+MIN(3*$AJ$12,1.5)),0,1))</f>
        <v>#N/A</v>
      </c>
      <c r="AK209" s="86" t="b">
        <f t="shared" si="341"/>
        <v>0</v>
      </c>
      <c r="AL209" s="86">
        <f t="shared" si="370"/>
        <v>0.5</v>
      </c>
      <c r="AM209" s="86">
        <f t="shared" si="342"/>
        <v>0.5</v>
      </c>
      <c r="AN209" s="30" t="e">
        <f t="shared" ca="1" si="371"/>
        <v>#DIV/0!</v>
      </c>
      <c r="AO209" s="85" t="e">
        <f ca="1">IF(U209&lt;=Hypothèses!$V$7,Hypothèses!$W$7,IF(U209&lt;=Hypothèses!$V$8,Hypothèses!$W$8,IF(U209&lt;=Hypothèses!$V$9,Hypothèses!$W$9,IF(U209&lt;=Hypothèses!$V$10,Hypothèses!$W$10,IF(U209&lt;=Hypothèses!$V$11,Hypothèses!$W$11,IF(U209&lt;=Hypothèses!$V$12,Hypothèses!$W$12,IF(U209&lt;=Hypothèses!$V$13,Hypothèses!$W$13,IF(U209&lt;=Hypothèses!$V$14,Hypothèses!$W$14,IF(U209&lt;=Hypothèses!$V$15,Hypothèses!$W$15,IF(U209&lt;=Hypothèses!$V$16,Hypothèses!$W$16,IF(U209&lt;=Hypothèses!$V$17,Hypothèses!$W$17,IF(U209&lt;=Hypothèses!$V$18,Hypothèses!$W$18,""))))))))))))</f>
        <v>#DIV/0!</v>
      </c>
      <c r="AP209" s="87" t="e">
        <f t="shared" ref="AP209:AP272" ca="1" si="417">IF(AO209&lt;&gt;"",AO209,AN209)</f>
        <v>#DIV/0!</v>
      </c>
      <c r="AQ209" s="88" t="e">
        <f ca="1">IF(U209&lt;=Hypothèses!$V$7,Hypothèses!$X$7,IF(U209&lt;=Hypothèses!$V$8,Hypothèses!$X$8,IF(U209&lt;=Hypothèses!$V$9,Hypothèses!$X$9,IF(U209&lt;=Hypothèses!$V$10,Hypothèses!$X$10,IF(U209&lt;=Hypothèses!$V$11,Hypothèses!$X$11,IF(U209&lt;=Hypothèses!$V$12,Hypothèses!$X$12,IF(U209&lt;=Hypothèses!$V$13,Hypothèses!$X$13,IF(U209&lt;=Hypothèses!$V$14,Hypothèses!$X$14,IF(U209&lt;=Hypothèses!$V$15,Hypothèses!$X$15,IF(U209&lt;=Hypothèses!$V$16,Hypothèses!$X$16,IF(U209&lt;=Hypothèses!$U$17,Hypothèses!$W$17,IF(U209&lt;=Hypothèses!$U$18,Hypothèses!$W$18,""))))))))))))</f>
        <v>#DIV/0!</v>
      </c>
      <c r="AR209" s="95" t="e">
        <f t="shared" ca="1" si="372"/>
        <v>#DIV/0!</v>
      </c>
      <c r="AS209" s="101" t="e">
        <f t="shared" si="324"/>
        <v>#N/A</v>
      </c>
      <c r="AT209" s="91" t="e">
        <f t="shared" si="343"/>
        <v>#N/A</v>
      </c>
      <c r="AU209" s="30" t="e">
        <f t="shared" si="402"/>
        <v>#N/A</v>
      </c>
      <c r="AV209" s="30" t="e">
        <f t="shared" si="403"/>
        <v>#N/A</v>
      </c>
      <c r="AW209" s="31" t="e">
        <f>IF(OR(Hypothèses!$B$4=17,Hypothèses!$B$4=18,Hypothèses!$B$4=19,Hypothèses!$B$4=20),
IF($D209="Pressio.",
IF(OR($E209=3,$E209=1,$E209=4),AV209,AU209),
IF($D209="Pénétro.",
IF(OR($E209=3,$E209=1,$E209=4),AV209,AU209))),IF($D209="Pressio.",
IF($E209=3,AV209,AU209),
IF($D209="Pénétro.",
IF($E209=4,AV209,AU209))))</f>
        <v>#N/A</v>
      </c>
      <c r="AX209" s="31" t="e">
        <f>(IF(OR(Hypothèses!$B$4=17,Hypothèses!$B$4=18,Hypothèses!$B$4=19,Hypothèses!$B$4=20),
IF($D209="Pressio.",
IF(OR($E209=3,$E209=1,$E209=4),(PI()*AX$12^2)/4*(AT209*$W209*1000)/($H209*$B$5),(PI()*AX$12^2)/4*(AT209*$W209*1000)/($G209*$B$5)),
IF($D209="Pénétro.",
IF(OR($E209=4,$E209=1,$E209=5),(PI()*AX$12^2)/4*(AT209*$W209*1000)/($H209*$B$5),(PI()*AX$12^2)/4*(AT209*$W209*1000)/($G209*$B$5)))),
IF($D209="Pressio.",
IF($E209=3,(PI()*AX$12^2)/4*(AT209*$W209*1000)/($H209*$B$5),(PI()*AX$12^2)/4*(AT209*$W209*1000)/($G209*$B$5)),
IF($D209="Pénétro.",
IF($E209=4,(PI()*AX$12^2)/4*(AT209*$W209*1000)/($H209*$B$5),(PI()*AX$12^2)/4*(AT209*$W209*1000)/($G209*$B$5))))))/10</f>
        <v>#N/A</v>
      </c>
      <c r="AY209" s="102" t="e">
        <f>(VLOOKUP($B$3,'Coeff EC7'!$T$39:$X$59,2,0)*AW209+VLOOKUP($B$3,'Coeff EC7'!$T$65:$X$85,2,0)*Model0.1C!AX209)/1.1</f>
        <v>#N/A</v>
      </c>
      <c r="AZ209" s="102" t="e">
        <f>(VLOOKUP($B$3,'Coeff EC7'!$T$39:$X$59,3,0)*AW209+VLOOKUP($B$3,'Coeff EC7'!$T$65:$X$85,3,0)*Model0.1C!AX209)/0.9</f>
        <v>#N/A</v>
      </c>
      <c r="BA209" s="102" t="e">
        <f t="shared" si="373"/>
        <v>#N/A</v>
      </c>
      <c r="BB209" s="102" t="e">
        <f t="shared" si="374"/>
        <v>#N/A</v>
      </c>
      <c r="BC209" s="414" t="e">
        <f>IF(BC208=0,0,IF(AND(AY209&gt;charge_ELS_quasi,AZ209&gt;Charge_ELS_freq,BA209&gt;charge_ELU,BB209&gt;charge_ELA,$B209&gt;NDC!$H$22-0.1+MIN(3*$BC$12,1.5)),0,1))</f>
        <v>#N/A</v>
      </c>
      <c r="BD209" s="86" t="b">
        <f t="shared" si="344"/>
        <v>0</v>
      </c>
      <c r="BE209" s="86">
        <f t="shared" si="375"/>
        <v>0.5</v>
      </c>
      <c r="BF209" s="86">
        <f t="shared" si="345"/>
        <v>0.5</v>
      </c>
      <c r="BG209" s="30" t="e">
        <f t="shared" ca="1" si="376"/>
        <v>#DIV/0!</v>
      </c>
      <c r="BH209" s="85" t="e">
        <f ca="1">IF(AN209&lt;=Hypothèses!$V$7,Hypothèses!$W$7,IF(AN209&lt;=Hypothèses!$V$8,Hypothèses!$W$8,IF(AN209&lt;=Hypothèses!$V$9,Hypothèses!$W$9,IF(AN209&lt;=Hypothèses!$V$10,Hypothèses!$W$10,IF(AN209&lt;=Hypothèses!$V$11,Hypothèses!$W$11,IF(AN209&lt;=Hypothèses!$V$12,Hypothèses!$W$12,IF(AN209&lt;=Hypothèses!$V$13,Hypothèses!$W$13,IF(AN209&lt;=Hypothèses!$V$14,Hypothèses!$W$14,IF(AN209&lt;=Hypothèses!$V$15,Hypothèses!$W$15,IF(AN209&lt;=Hypothèses!$V$16,Hypothèses!$W$16,IF(AN209&lt;=Hypothèses!$V$17,Hypothèses!$W$17,IF(AN209&lt;=Hypothèses!$V$18,Hypothèses!$W$18,""))))))))))))</f>
        <v>#DIV/0!</v>
      </c>
      <c r="BI209" s="87" t="e">
        <f t="shared" ref="BI209:BI272" ca="1" si="418">IF(BH209&lt;&gt;"",BH209,BG209)</f>
        <v>#DIV/0!</v>
      </c>
      <c r="BJ209" s="88" t="e">
        <f ca="1">IF(AN209&lt;=Hypothèses!$V$7,Hypothèses!$X$7,IF(AN209&lt;=Hypothèses!$V$8,Hypothèses!$X$8,IF(AN209&lt;=Hypothèses!$V$9,Hypothèses!$X$9,IF(AN209&lt;=Hypothèses!$V$10,Hypothèses!$X$10,IF(AN209&lt;=Hypothèses!$V$11,Hypothèses!$X$11,IF(AN209&lt;=Hypothèses!$V$12,Hypothèses!$X$12,IF(AN209&lt;=Hypothèses!$V$13,Hypothèses!$X$13,IF(AN209&lt;=Hypothèses!$V$14,Hypothèses!$X$14,IF(AN209&lt;=Hypothèses!$V$15,Hypothèses!$X$15,IF(AN209&lt;=Hypothèses!$V$16,Hypothèses!$X$16,IF(AN209&lt;=Hypothèses!$U$17,Hypothèses!$W$17,IF(AN209&lt;=Hypothèses!$U$18,Hypothèses!$W$18,""))))))))))))</f>
        <v>#DIV/0!</v>
      </c>
      <c r="BK209" s="95" t="e">
        <f t="shared" ca="1" si="377"/>
        <v>#DIV/0!</v>
      </c>
      <c r="BL209" s="101" t="e">
        <f t="shared" si="325"/>
        <v>#N/A</v>
      </c>
      <c r="BM209" s="91" t="e">
        <f t="shared" si="346"/>
        <v>#N/A</v>
      </c>
      <c r="BN209" s="30" t="e">
        <f t="shared" si="404"/>
        <v>#N/A</v>
      </c>
      <c r="BO209" s="30" t="e">
        <f t="shared" si="405"/>
        <v>#N/A</v>
      </c>
      <c r="BP209" s="31" t="e">
        <f>IF(OR(Hypothèses!$B$4=17,Hypothèses!$B$4=18,Hypothèses!$B$4=19,Hypothèses!$B$4=20),
IF($D209="Pressio.",
IF(OR($E209=3,$E209=1,$E209=4),BO209,BN209),
IF($D209="Pénétro.",
IF(OR($E209=3,$E209=1,$E209=4),BO209,BN209))),IF($D209="Pressio.",
IF($E209=3,BO209,BN209),
IF($D209="Pénétro.",
IF($E209=4,BO209,BN209))))</f>
        <v>#N/A</v>
      </c>
      <c r="BQ209" s="31" t="e">
        <f>(IF(OR(Hypothèses!$B$4=17,Hypothèses!$B$4=18,Hypothèses!$B$4=19,Hypothèses!$B$4=20),
IF($D209="Pressio.",
IF(OR($E209=3,$E209=1,$E209=4),(PI()*BQ$12^2)/4*(BM209*$W209*1000)/($H209*$B$5),(PI()*BQ$12^2)/4*(BM209*$W209*1000)/($G209*$B$5)),
IF($D209="Pénétro.",
IF(OR($E209=4,$E209=1,$E209=5),(PI()*BQ$12^2)/4*(BM209*$W209*1000)/($H209*$B$5),(PI()*BQ$12^2)/4*(BM209*$W209*1000)/($G209*$B$5)))),
IF($D209="Pressio.",
IF($E209=3,(PI()*BQ$12^2)/4*(BM209*$W209*1000)/($H209*$B$5),(PI()*BQ$12^2)/4*(BM209*$W209*1000)/($G209*$B$5)),
IF($D209="Pénétro.",
IF($E209=4,(PI()*BQ$12^2)/4*(BM209*$W209*1000)/($H209*$B$5),(PI()*BQ$12^2)/4*(BM209*$W209*1000)/($G209*$B$5))))))/10</f>
        <v>#N/A</v>
      </c>
      <c r="BR209" s="102" t="e">
        <f>(VLOOKUP($B$3,'Coeff EC7'!$T$39:$X$59,2,0)*BP209+VLOOKUP($B$3,'Coeff EC7'!$T$65:$X$85,2,0)*Model0.1C!BQ209)/1.1</f>
        <v>#N/A</v>
      </c>
      <c r="BS209" s="102" t="e">
        <f>(VLOOKUP($B$3,'Coeff EC7'!$T$39:$X$59,3,0)*BP209+VLOOKUP($B$3,'Coeff EC7'!$T$65:$X$85,3,0)*Model0.1C!BQ209)/0.9</f>
        <v>#N/A</v>
      </c>
      <c r="BT209" s="102" t="e">
        <f t="shared" si="378"/>
        <v>#N/A</v>
      </c>
      <c r="BU209" s="102" t="e">
        <f t="shared" si="379"/>
        <v>#N/A</v>
      </c>
      <c r="BV209" s="414" t="e">
        <f>IF(BV208=0,0,IF(AND(BR209&gt;charge_ELS_quasi,BS209&gt;Charge_ELS_freq,BT209&gt;charge_ELU,BU209&gt;charge_ELA,$B209&gt;NDC!$H$22-0.1+MIN(3*$BV$12,1.5)),0,1))</f>
        <v>#N/A</v>
      </c>
      <c r="BW209" s="86" t="b">
        <f t="shared" si="347"/>
        <v>0</v>
      </c>
      <c r="BX209" s="86">
        <f t="shared" si="348"/>
        <v>0.5</v>
      </c>
      <c r="BY209" s="86">
        <f t="shared" si="349"/>
        <v>0.5</v>
      </c>
      <c r="BZ209" s="30" t="e">
        <f t="shared" ca="1" si="380"/>
        <v>#DIV/0!</v>
      </c>
      <c r="CA209" s="85" t="e">
        <f ca="1">IF(BG209&lt;=Hypothèses!$V$7,Hypothèses!$W$7,IF(BG209&lt;=Hypothèses!$V$8,Hypothèses!$W$8,IF(BG209&lt;=Hypothèses!$V$9,Hypothèses!$W$9,IF(BG209&lt;=Hypothèses!$V$10,Hypothèses!$W$10,IF(BG209&lt;=Hypothèses!$V$11,Hypothèses!$W$11,IF(BG209&lt;=Hypothèses!$V$12,Hypothèses!$W$12,IF(BG209&lt;=Hypothèses!$V$13,Hypothèses!$W$13,IF(BG209&lt;=Hypothèses!$V$14,Hypothèses!$W$14,IF(BG209&lt;=Hypothèses!$V$15,Hypothèses!$W$15,IF(BG209&lt;=Hypothèses!$V$16,Hypothèses!$W$16,IF(BG209&lt;=Hypothèses!$V$17,Hypothèses!$W$17,IF(BG209&lt;=Hypothèses!$V$18,Hypothèses!$W$18,""))))))))))))</f>
        <v>#DIV/0!</v>
      </c>
      <c r="CB209" s="87" t="e">
        <f t="shared" ref="CB209:CB272" ca="1" si="419">IF(CA209&lt;&gt;"",CA209,BZ209)</f>
        <v>#DIV/0!</v>
      </c>
      <c r="CC209" s="88" t="e">
        <f ca="1">IF(BG209&lt;=Hypothèses!$V$7,Hypothèses!$X$7,IF(BG209&lt;=Hypothèses!$V$8,Hypothèses!$X$8,IF(BG209&lt;=Hypothèses!$V$9,Hypothèses!$X$9,IF(BG209&lt;=Hypothèses!$V$10,Hypothèses!$X$10,IF(BG209&lt;=Hypothèses!$V$11,Hypothèses!$X$11,IF(BG209&lt;=Hypothèses!$V$12,Hypothèses!$X$12,IF(BG209&lt;=Hypothèses!$V$13,Hypothèses!$X$13,IF(BG209&lt;=Hypothèses!$V$14,Hypothèses!$X$14,IF(BG209&lt;=Hypothèses!$V$15,Hypothèses!$X$15,IF(BG209&lt;=Hypothèses!$V$16,Hypothèses!$X$16,IF(BG209&lt;=Hypothèses!$U$17,Hypothèses!$W$17,IF(BG209&lt;=Hypothèses!$U$18,Hypothèses!$W$18,""))))))))))))</f>
        <v>#DIV/0!</v>
      </c>
      <c r="CD209" s="95" t="e">
        <f t="shared" ca="1" si="381"/>
        <v>#DIV/0!</v>
      </c>
      <c r="CE209" s="101" t="e">
        <f t="shared" si="326"/>
        <v>#N/A</v>
      </c>
      <c r="CF209" s="91" t="e">
        <f t="shared" si="350"/>
        <v>#N/A</v>
      </c>
      <c r="CG209" s="30" t="e">
        <f t="shared" si="406"/>
        <v>#N/A</v>
      </c>
      <c r="CH209" s="30" t="e">
        <f t="shared" si="407"/>
        <v>#N/A</v>
      </c>
      <c r="CI209" s="31" t="e">
        <f>IF(OR(Hypothèses!$B$4=17,Hypothèses!$B$4=18,Hypothèses!$B$4=19,Hypothèses!$B$4=20),
IF($D209="Pressio.",
IF(OR($E209=3,$E209=1,$E209=4),CH209,CG209),
IF($D209="Pénétro.",
IF(OR($E209=3,$E209=1,$E209=4),CH209,CG209))),IF($D209="Pressio.",
IF($E209=3,CH209,CG209),
IF($D209="Pénétro.",
IF($E209=4,CH209,CG209))))</f>
        <v>#N/A</v>
      </c>
      <c r="CJ209" s="31" t="e">
        <f>(IF(OR(Hypothèses!$B$4=17,Hypothèses!$B$4=18,Hypothèses!$B$4=19,Hypothèses!$B$4=20),
IF($D209="Pressio.",
IF(OR($E209=3,$E209=1,$E209=4),(PI()*CJ$12^2)/4*(CF209*$W209*1000)/($H209*$B$5),(PI()*CJ$12^2)/4*(CF209*$W209*1000)/($G209*$B$5)),
IF($D209="Pénétro.",
IF(OR($E209=4,$E209=1,$E209=5),(PI()*CJ$12^2)/4*(CF209*$W209*1000)/($H209*$B$5),(PI()*CJ$12^2)/4*(CF209*$W209*1000)/($G209*$B$5)))),
IF($D209="Pressio.",
IF($E209=3,(PI()*CJ$12^2)/4*(CF209*$W209*1000)/($H209*$B$5),(PI()*CJ$12^2)/4*(CF209*$W209*1000)/($G209*$B$5)),
IF($D209="Pénétro.",
IF($E209=4,(PI()*CJ$12^2)/4*(CF209*$W209*1000)/($H209*$B$5),(PI()*CJ$12^2)/4*(CF209*$W209*1000)/($G209*$B$5))))))/10</f>
        <v>#N/A</v>
      </c>
      <c r="CK209" s="102" t="e">
        <f>(VLOOKUP($B$3,'Coeff EC7'!$T$39:$X$59,2,0)*CI209+VLOOKUP($B$3,'Coeff EC7'!$T$65:$X$85,2,0)*Model0.1C!CJ209)/1.1</f>
        <v>#N/A</v>
      </c>
      <c r="CL209" s="102" t="e">
        <f>(VLOOKUP($B$3,'Coeff EC7'!$T$39:$X$59,3,0)*CI209+VLOOKUP($B$3,'Coeff EC7'!$T$65:$X$85,3,0)*Model0.1C!CJ209)/0.9</f>
        <v>#N/A</v>
      </c>
      <c r="CM209" s="102" t="e">
        <f t="shared" si="382"/>
        <v>#N/A</v>
      </c>
      <c r="CN209" s="102" t="e">
        <f t="shared" si="383"/>
        <v>#N/A</v>
      </c>
      <c r="CO209" s="414" t="e">
        <f>IF(CO208=0,0,IF(AND(CK209&gt;charge_ELS_quasi,CL209&gt;Charge_ELS_freq,CM209&gt;charge_ELU,CN209&gt;charge_ELA,$B209&gt;NDC!$H$22-0.1+MIN(3*$CO$12,1.5)),0,1))</f>
        <v>#N/A</v>
      </c>
      <c r="CP209" s="86" t="b">
        <f t="shared" si="351"/>
        <v>0</v>
      </c>
      <c r="CQ209" s="86">
        <f t="shared" si="352"/>
        <v>0.5</v>
      </c>
      <c r="CR209" s="86">
        <f t="shared" si="353"/>
        <v>0.5</v>
      </c>
      <c r="CS209" s="30" t="e">
        <f t="shared" ca="1" si="384"/>
        <v>#DIV/0!</v>
      </c>
      <c r="CT209" s="85" t="e">
        <f ca="1">IF(BZ209&lt;=Hypothèses!$V$7,Hypothèses!$W$7,IF(BZ209&lt;=Hypothèses!$V$8,Hypothèses!$W$8,IF(BZ209&lt;=Hypothèses!$V$9,Hypothèses!$W$9,IF(BZ209&lt;=Hypothèses!$V$10,Hypothèses!$W$10,IF(BZ209&lt;=Hypothèses!$V$11,Hypothèses!$W$11,IF(BZ209&lt;=Hypothèses!$V$12,Hypothèses!$W$12,IF(BZ209&lt;=Hypothèses!$V$13,Hypothèses!$W$13,IF(BZ209&lt;=Hypothèses!$V$14,Hypothèses!$W$14,IF(BZ209&lt;=Hypothèses!$V$15,Hypothèses!$W$15,IF(BZ209&lt;=Hypothèses!$V$16,Hypothèses!$W$16,IF(BZ209&lt;=Hypothèses!$V$17,Hypothèses!$W$17,IF(BZ209&lt;=Hypothèses!$V$18,Hypothèses!$W$18,""))))))))))))</f>
        <v>#DIV/0!</v>
      </c>
      <c r="CU209" s="87" t="e">
        <f t="shared" ref="CU209:CU272" ca="1" si="420">IF(CT209&lt;&gt;"",CT209,CS209)</f>
        <v>#DIV/0!</v>
      </c>
      <c r="CV209" s="88" t="e">
        <f ca="1">IF(BZ209&lt;=Hypothèses!$V$7,Hypothèses!$X$7,IF(BZ209&lt;=Hypothèses!$V$8,Hypothèses!$X$8,IF(BZ209&lt;=Hypothèses!$V$9,Hypothèses!$X$9,IF(BZ209&lt;=Hypothèses!$V$10,Hypothèses!$X$10,IF(BZ209&lt;=Hypothèses!$V$11,Hypothèses!$X$11,IF(BZ209&lt;=Hypothèses!$V$12,Hypothèses!$X$12,IF(BZ209&lt;=Hypothèses!$V$13,Hypothèses!$X$13,IF(BZ209&lt;=Hypothèses!$V$14,Hypothèses!$X$14,IF(BZ209&lt;=Hypothèses!$V$15,Hypothèses!$X$15,IF(BZ209&lt;=Hypothèses!$V$16,Hypothèses!$X$16,IF(BZ209&lt;=Hypothèses!$U$17,Hypothèses!$W$17,IF(BZ209&lt;=Hypothèses!$U$18,Hypothèses!$W$18,""))))))))))))</f>
        <v>#DIV/0!</v>
      </c>
      <c r="CW209" s="95" t="e">
        <f t="shared" ca="1" si="385"/>
        <v>#DIV/0!</v>
      </c>
      <c r="CX209" s="101" t="e">
        <f t="shared" si="327"/>
        <v>#N/A</v>
      </c>
      <c r="CY209" s="91" t="e">
        <f t="shared" si="354"/>
        <v>#N/A</v>
      </c>
      <c r="CZ209" s="30" t="e">
        <f t="shared" si="408"/>
        <v>#N/A</v>
      </c>
      <c r="DA209" s="30" t="e">
        <f t="shared" si="409"/>
        <v>#N/A</v>
      </c>
      <c r="DB209" s="31" t="e">
        <f>IF(OR(Hypothèses!$B$4=17,Hypothèses!$B$4=18,Hypothèses!$B$4=19,Hypothèses!$B$4=20),
IF($D209="Pressio.",
IF(OR($E209=3,$E209=1,$E209=4),DA209,CZ209),
IF($D209="Pénétro.",
IF(OR($E209=3,$E209=1,$E209=4),DA209,CZ209))),IF($D209="Pressio.",
IF($E209=3,DA209,CZ209),
IF($D209="Pénétro.",
IF($E209=4,DA209,CZ209))))</f>
        <v>#N/A</v>
      </c>
      <c r="DC209" s="31" t="e">
        <f>(IF(OR(Hypothèses!$B$4=17,Hypothèses!$B$4=18,Hypothèses!$B$4=19,Hypothèses!$B$4=20),
IF($D209="Pressio.",
IF(OR($E209=3,$E209=1,$E209=4),(PI()*DC$12^2)/4*(CY209*$W209*1000)/($H209*$B$5),(PI()*DC$12^2)/4*(CY209*$W209*1000)/($G209*$B$5)),
IF($D209="Pénétro.",
IF(OR($E209=4,$E209=1,$E209=5),(PI()*DC$12^2)/4*(CY209*$W209*1000)/($H209*$B$5),(PI()*DC$12^2)/4*(CY209*$W209*1000)/($G209*$B$5)))),
IF($D209="Pressio.",
IF($E209=3,(PI()*DC$12^2)/4*(CY209*$W209*1000)/($H209*$B$5),(PI()*DC$12^2)/4*(CY209*$W209*1000)/($G209*$B$5)),
IF($D209="Pénétro.",
IF($E209=4,(PI()*DC$12^2)/4*(CY209*$W209*1000)/($H209*$B$5),(PI()*DC$12^2)/4*(CY209*$W209*1000)/($G209*$B$5))))))/10</f>
        <v>#N/A</v>
      </c>
      <c r="DD209" s="102" t="e">
        <f>(VLOOKUP($B$3,'Coeff EC7'!$T$39:$X$59,2,0)*DB209+VLOOKUP($B$3,'Coeff EC7'!$T$65:$X$85,2,0)*Model0.1C!DC209)/1.1</f>
        <v>#N/A</v>
      </c>
      <c r="DE209" s="102" t="e">
        <f>(VLOOKUP($B$3,'Coeff EC7'!$T$39:$X$59,3,0)*DB209+VLOOKUP($B$3,'Coeff EC7'!$T$65:$X$85,3,0)*Model0.1C!DC209)/0.9</f>
        <v>#N/A</v>
      </c>
      <c r="DF209" s="102" t="e">
        <f t="shared" si="386"/>
        <v>#N/A</v>
      </c>
      <c r="DG209" s="102" t="e">
        <f t="shared" si="387"/>
        <v>#N/A</v>
      </c>
      <c r="DH209" s="414" t="e">
        <f>IF(DH208=0,0,IF(AND(DD209&gt;charge_ELS_quasi,DE209&gt;Charge_ELS_freq,DF209&gt;charge_ELU,DG209&gt;charge_ELA,$B209&gt;NDC!$H$22-0.1+MIN(3*$DH$12,1.5)),0,1))</f>
        <v>#N/A</v>
      </c>
      <c r="DI209" s="86" t="b">
        <f t="shared" si="355"/>
        <v>0</v>
      </c>
      <c r="DJ209" s="86">
        <f t="shared" si="356"/>
        <v>0.5</v>
      </c>
      <c r="DK209" s="86">
        <f t="shared" si="357"/>
        <v>0.5</v>
      </c>
      <c r="DL209" s="30" t="e">
        <f t="shared" ca="1" si="388"/>
        <v>#DIV/0!</v>
      </c>
      <c r="DM209" s="85" t="e">
        <f ca="1">IF(CS209&lt;=Hypothèses!$V$7,Hypothèses!$W$7,IF(CS209&lt;=Hypothèses!$V$8,Hypothèses!$W$8,IF(CS209&lt;=Hypothèses!$V$9,Hypothèses!$W$9,IF(CS209&lt;=Hypothèses!$V$10,Hypothèses!$W$10,IF(CS209&lt;=Hypothèses!$V$11,Hypothèses!$W$11,IF(CS209&lt;=Hypothèses!$V$12,Hypothèses!$W$12,IF(CS209&lt;=Hypothèses!$V$13,Hypothèses!$W$13,IF(CS209&lt;=Hypothèses!$V$14,Hypothèses!$W$14,IF(CS209&lt;=Hypothèses!$V$15,Hypothèses!$W$15,IF(CS209&lt;=Hypothèses!$V$16,Hypothèses!$W$16,IF(CS209&lt;=Hypothèses!$V$17,Hypothèses!$W$17,IF(CS209&lt;=Hypothèses!$V$18,Hypothèses!$W$18,""))))))))))))</f>
        <v>#DIV/0!</v>
      </c>
      <c r="DN209" s="87" t="e">
        <f t="shared" ref="DN209:DN272" ca="1" si="421">IF(DM209&lt;&gt;"",DM209,DL209)</f>
        <v>#DIV/0!</v>
      </c>
      <c r="DO209" s="88" t="e">
        <f ca="1">IF(CS209&lt;=Hypothèses!$V$7,Hypothèses!$X$7,IF(CS209&lt;=Hypothèses!$V$8,Hypothèses!$X$8,IF(CS209&lt;=Hypothèses!$V$9,Hypothèses!$X$9,IF(CS209&lt;=Hypothèses!$V$10,Hypothèses!$X$10,IF(CS209&lt;=Hypothèses!$V$11,Hypothèses!$X$11,IF(CS209&lt;=Hypothèses!$V$12,Hypothèses!$X$12,IF(CS209&lt;=Hypothèses!$V$13,Hypothèses!$X$13,IF(CS209&lt;=Hypothèses!$V$14,Hypothèses!$X$14,IF(CS209&lt;=Hypothèses!$V$15,Hypothèses!$X$15,IF(CS209&lt;=Hypothèses!$V$16,Hypothèses!$X$16,IF(CS209&lt;=Hypothèses!$U$17,Hypothèses!$W$17,IF(CS209&lt;=Hypothèses!$U$18,Hypothèses!$W$18,""))))))))))))</f>
        <v>#DIV/0!</v>
      </c>
      <c r="DP209" s="95" t="e">
        <f t="shared" ca="1" si="389"/>
        <v>#DIV/0!</v>
      </c>
      <c r="DQ209" s="101" t="e">
        <f t="shared" si="328"/>
        <v>#N/A</v>
      </c>
      <c r="DR209" s="91" t="e">
        <f t="shared" si="358"/>
        <v>#N/A</v>
      </c>
      <c r="DS209" s="30" t="e">
        <f t="shared" si="410"/>
        <v>#N/A</v>
      </c>
      <c r="DT209" s="30" t="e">
        <f t="shared" si="411"/>
        <v>#N/A</v>
      </c>
      <c r="DU209" s="31" t="e">
        <f>IF(OR(Hypothèses!$B$4=17,Hypothèses!$B$4=18,Hypothèses!$B$4=19,Hypothèses!$B$4=20),
IF($D209="Pressio.",
IF(OR($E209=3,$E209=1,$E209=4),DT209,DS209),
IF($D209="Pénétro.",
IF(OR($E209=3,$E209=1,$E209=4),DT209,DS209))),IF($D209="Pressio.",
IF($E209=3,DT209,DS209),
IF($D209="Pénétro.",
IF($E209=4,DT209,DS209))))</f>
        <v>#N/A</v>
      </c>
      <c r="DV209" s="31" t="e">
        <f>(IF(OR(Hypothèses!$B$4=17,Hypothèses!$B$4=18,Hypothèses!$B$4=19,Hypothèses!$B$4=20),
IF($D209="Pressio.",
IF(OR($E209=3,$E209=1,$E209=4),(PI()*DV$12^2)/4*(DR209*$W209*1000)/($H209*$B$5),(PI()*DV$12^2)/4*(DR209*$W209*1000)/($G209*$B$5)),
IF($D209="Pénétro.",
IF(OR($E209=4,$E209=1,$E209=5),(PI()*DV$12^2)/4*(DR209*$W209*1000)/($H209*$B$5),(PI()*DV$12^2)/4*(DR209*$W209*1000)/($G209*$B$5)))),
IF($D209="Pressio.",
IF($E209=3,(PI()*DV$12^2)/4*(DR209*$W209*1000)/($H209*$B$5),(PI()*DV$12^2)/4*(DR209*$W209*1000)/($G209*$B$5)),
IF($D209="Pénétro.",
IF($E209=4,(PI()*DV$12^2)/4*(DR209*$W209*1000)/($H209*$B$5),(PI()*DV$12^2)/4*(DR209*$W209*1000)/($G209*$B$5))))))/10</f>
        <v>#N/A</v>
      </c>
      <c r="DW209" s="102" t="e">
        <f>(VLOOKUP($B$3,'Coeff EC7'!$T$39:$X$59,2,0)*DU209+VLOOKUP($B$3,'Coeff EC7'!$T$65:$X$85,2,0)*Model0.1C!DV209)/1.1</f>
        <v>#N/A</v>
      </c>
      <c r="DX209" s="102" t="e">
        <f>(VLOOKUP($B$3,'Coeff EC7'!$T$39:$X$59,3,0)*DU209+VLOOKUP($B$3,'Coeff EC7'!$T$65:$X$85,3,0)*Model0.1C!DV209)/0.9</f>
        <v>#N/A</v>
      </c>
      <c r="DY209" s="102" t="e">
        <f t="shared" si="390"/>
        <v>#N/A</v>
      </c>
      <c r="DZ209" s="102" t="e">
        <f t="shared" si="391"/>
        <v>#N/A</v>
      </c>
      <c r="EA209" s="414" t="e">
        <f>IF(EA208=0,0,IF(AND(DW209&gt;charge_ELS_quasi,DX209&gt;Charge_ELS_freq,DY209&gt;charge_ELU,DZ209&gt;charge_ELA,$B209&gt;NDC!$H$22-0.1+MIN(3*$EA$12,1.5)),0,1))</f>
        <v>#N/A</v>
      </c>
      <c r="EB209" s="86" t="b">
        <f t="shared" si="359"/>
        <v>0</v>
      </c>
      <c r="EC209" s="418">
        <f t="shared" si="360"/>
        <v>0.51</v>
      </c>
      <c r="ED209" s="86">
        <f t="shared" si="361"/>
        <v>0.51</v>
      </c>
      <c r="EE209" s="30" t="e">
        <f t="shared" ca="1" si="392"/>
        <v>#DIV/0!</v>
      </c>
      <c r="EF209" s="85" t="e">
        <f ca="1">IF(DL209&lt;=Hypothèses!$V$7,Hypothèses!$W$7,IF(DL209&lt;=Hypothèses!$V$8,Hypothèses!$W$8,IF(DL209&lt;=Hypothèses!$V$9,Hypothèses!$W$9,IF(DL209&lt;=Hypothèses!$V$10,Hypothèses!$W$10,IF(DL209&lt;=Hypothèses!$V$11,Hypothèses!$W$11,IF(DL209&lt;=Hypothèses!$V$12,Hypothèses!$W$12,IF(DL209&lt;=Hypothèses!$V$13,Hypothèses!$W$13,IF(DL209&lt;=Hypothèses!$V$14,Hypothèses!$W$14,IF(DL209&lt;=Hypothèses!$V$15,Hypothèses!$W$15,IF(DL209&lt;=Hypothèses!$V$16,Hypothèses!$W$16,IF(DL209&lt;=Hypothèses!$V$17,Hypothèses!$W$17,IF(DL209&lt;=Hypothèses!$V$18,Hypothèses!$W$18,""))))))))))))</f>
        <v>#DIV/0!</v>
      </c>
      <c r="EG209" s="87" t="e">
        <f t="shared" ref="EG209:EG272" ca="1" si="422">IF(EF209&lt;&gt;"",EF209,EE209)</f>
        <v>#DIV/0!</v>
      </c>
      <c r="EH209" s="88" t="e">
        <f ca="1">IF(DL209&lt;=Hypothèses!$V$7,Hypothèses!$X$7,IF(DL209&lt;=Hypothèses!$V$8,Hypothèses!$X$8,IF(DL209&lt;=Hypothèses!$V$9,Hypothèses!$X$9,IF(DL209&lt;=Hypothèses!$V$10,Hypothèses!$X$10,IF(DL209&lt;=Hypothèses!$V$11,Hypothèses!$X$11,IF(DL209&lt;=Hypothèses!$V$12,Hypothèses!$X$12,IF(DL209&lt;=Hypothèses!$V$13,Hypothèses!$X$13,IF(DL209&lt;=Hypothèses!$V$14,Hypothèses!$X$14,IF(DL209&lt;=Hypothèses!$V$15,Hypothèses!$X$15,IF(DL209&lt;=Hypothèses!$V$16,Hypothèses!$X$16,IF(DL209&lt;=Hypothèses!$U$17,Hypothèses!$W$17,IF(DL209&lt;=Hypothèses!$U$18,Hypothèses!$W$18,""))))))))))))</f>
        <v>#DIV/0!</v>
      </c>
      <c r="EI209" s="95" t="e">
        <f t="shared" ca="1" si="393"/>
        <v>#DIV/0!</v>
      </c>
      <c r="EJ209" s="101" t="e">
        <f t="shared" si="329"/>
        <v>#N/A</v>
      </c>
      <c r="EK209" s="91" t="e">
        <f t="shared" si="362"/>
        <v>#N/A</v>
      </c>
      <c r="EL209" s="30" t="e">
        <f t="shared" si="412"/>
        <v>#N/A</v>
      </c>
      <c r="EM209" s="30" t="e">
        <f t="shared" si="413"/>
        <v>#N/A</v>
      </c>
      <c r="EN209" s="31" t="e">
        <f>IF(OR(Hypothèses!$B$4=17,Hypothèses!$B$4=18,Hypothèses!$B$4=19,Hypothèses!$B$4=20),
IF($D209="Pressio.",
IF(OR($E209=3,$E209=1,$E209=4),EM209,EL209),
IF($D209="Pénétro.",
IF(OR($E209=3,$E209=1,$E209=4),EM209,EL209))),IF($D209="Pressio.",
IF($E209=3,EM209,EL209),
IF($D209="Pénétro.",
IF($E209=4,EM209,EL209))))</f>
        <v>#N/A</v>
      </c>
      <c r="EO209" s="31" t="e">
        <f>(IF(OR(Hypothèses!$B$4=17,Hypothèses!$B$4=18,Hypothèses!$B$4=19,Hypothèses!$B$4=20),
IF($D209="Pressio.",
IF(OR($E209=3,$E209=1,$E209=4),(PI()*EO$12^2)/4*(EK209*$W209*1000)/($H209*$B$5),(PI()*EO$12^2)/4*(EK209*$W209*1000)/($G209*$B$5)),
IF($D209="Pénétro.",
IF(OR($E209=4,$E209=1,$E209=5),(PI()*EO$12^2)/4*(EK209*$W209*1000)/($H209*$B$5),(PI()*EO$12^2)/4*(EK209*$W209*1000)/($G209*$B$5)))),
IF($D209="Pressio.",
IF($E209=3,(PI()*EO$12^2)/4*(EK209*$W209*1000)/($H209*$B$5),(PI()*EO$12^2)/4*(EK209*$W209*1000)/($G209*$B$5)),
IF($D209="Pénétro.",
IF($E209=4,(PI()*EO$12^2)/4*(EK209*$W209*1000)/($H209*$B$5),(PI()*EO$12^2)/4*(EK209*$W209*1000)/($G209*$B$5))))))/10</f>
        <v>#N/A</v>
      </c>
      <c r="EP209" s="102" t="e">
        <f>(VLOOKUP($B$3,'Coeff EC7'!$T$39:$X$59,2,0)*EN209+VLOOKUP($B$3,'Coeff EC7'!$T$65:$X$85,2,0)*Model0.1C!EO209)/1.1</f>
        <v>#N/A</v>
      </c>
      <c r="EQ209" s="102" t="e">
        <f>(VLOOKUP($B$3,'Coeff EC7'!$T$39:$X$59,3,0)*EN209+VLOOKUP($B$3,'Coeff EC7'!$T$65:$X$85,3,0)*Model0.1C!EO209)/0.9</f>
        <v>#N/A</v>
      </c>
      <c r="ER209" s="102" t="e">
        <f t="shared" si="394"/>
        <v>#N/A</v>
      </c>
      <c r="ES209" s="102" t="e">
        <f t="shared" si="395"/>
        <v>#N/A</v>
      </c>
      <c r="ET209" s="414" t="e">
        <f>IF(ET208=0,0,IF(AND(EP209&gt;charge_ELS_quasi,EQ209&gt;Charge_ELS_freq,ER209&gt;charge_ELU,ES209&gt;charge_ELA,$B209&gt;NDC!$H$22-0.1+MIN(3*$ET$12,1.5)),0,1))</f>
        <v>#N/A</v>
      </c>
      <c r="EU209" s="86" t="b">
        <f t="shared" si="363"/>
        <v>0</v>
      </c>
      <c r="EV209" s="86">
        <f t="shared" si="364"/>
        <v>0.61</v>
      </c>
      <c r="EW209" s="86">
        <f t="shared" si="365"/>
        <v>0.61</v>
      </c>
      <c r="EX209" s="30" t="e">
        <f t="shared" ca="1" si="396"/>
        <v>#DIV/0!</v>
      </c>
      <c r="EY209" s="85" t="e">
        <f ca="1">IF(EE209&lt;=Hypothèses!$V$7,Hypothèses!$W$7,IF(EE209&lt;=Hypothèses!$V$8,Hypothèses!$W$8,IF(EE209&lt;=Hypothèses!$V$9,Hypothèses!$W$9,IF(EE209&lt;=Hypothèses!$V$10,Hypothèses!$W$10,IF(EE209&lt;=Hypothèses!$V$11,Hypothèses!$W$11,IF(EE209&lt;=Hypothèses!$V$12,Hypothèses!$W$12,IF(EE209&lt;=Hypothèses!$V$13,Hypothèses!$W$13,IF(EE209&lt;=Hypothèses!$V$14,Hypothèses!$W$14,IF(EE209&lt;=Hypothèses!$V$15,Hypothèses!$W$15,IF(EE209&lt;=Hypothèses!$V$16,Hypothèses!$W$16,IF(EE209&lt;=Hypothèses!$V$17,Hypothèses!$W$17,IF(EE209&lt;=Hypothèses!$V$18,Hypothèses!$W$18,""))))))))))))</f>
        <v>#DIV/0!</v>
      </c>
      <c r="EZ209" s="87" t="e">
        <f t="shared" ref="EZ209:EZ272" ca="1" si="423">IF(EY209&lt;&gt;"",EY209,EX209)</f>
        <v>#DIV/0!</v>
      </c>
      <c r="FA209" s="88" t="e">
        <f ca="1">IF(EE209&lt;=Hypothèses!$V$7,Hypothèses!$X$7,IF(EE209&lt;=Hypothèses!$V$8,Hypothèses!$X$8,IF(EE209&lt;=Hypothèses!$V$9,Hypothèses!$X$9,IF(EE209&lt;=Hypothèses!$V$10,Hypothèses!$X$10,IF(EE209&lt;=Hypothèses!$V$11,Hypothèses!$X$11,IF(EE209&lt;=Hypothèses!$V$12,Hypothèses!$X$12,IF(EE209&lt;=Hypothèses!$V$13,Hypothèses!$X$13,IF(EE209&lt;=Hypothèses!$V$14,Hypothèses!$X$14,IF(EE209&lt;=Hypothèses!$V$15,Hypothèses!$X$15,IF(EE209&lt;=Hypothèses!$V$16,Hypothèses!$X$16,IF(EE209&lt;=Hypothèses!$U$17,Hypothèses!$W$17,IF(EE209&lt;=Hypothèses!$U$18,Hypothèses!$W$18,""))))))))))))</f>
        <v>#DIV/0!</v>
      </c>
      <c r="FB209" s="95" t="e">
        <f t="shared" ca="1" si="397"/>
        <v>#DIV/0!</v>
      </c>
      <c r="FC209" s="101" t="e">
        <f t="shared" si="330"/>
        <v>#N/A</v>
      </c>
      <c r="FD209" s="91" t="e">
        <f t="shared" si="366"/>
        <v>#N/A</v>
      </c>
      <c r="FE209" s="30" t="e">
        <f t="shared" si="414"/>
        <v>#N/A</v>
      </c>
      <c r="FF209" s="30" t="e">
        <f t="shared" si="415"/>
        <v>#N/A</v>
      </c>
      <c r="FG209" s="31" t="e">
        <f>IF(OR(Hypothèses!$B$4=17,Hypothèses!$B$4=18,Hypothèses!$B$4=19,Hypothèses!$B$4=20),
IF($D209="Pressio.",
IF(OR($E209=3,$E209=1,$E209=4),FF209,FE209),
IF($D209="Pénétro.",
IF(OR($E209=3,$E209=1,$E209=4),FF209,FE209))),IF($D209="Pressio.",
IF($E209=3,FF209,FE209),
IF($D209="Pénétro.",
IF($E209=4,FF209,FE209))))</f>
        <v>#N/A</v>
      </c>
      <c r="FH209" s="31" t="e">
        <f>(IF(OR(Hypothèses!$B$4=17,Hypothèses!$B$4=18,Hypothèses!$B$4=19,Hypothèses!$B$4=20),
IF($D209="Pressio.",
IF(OR($E209=3,$E209=1,$E209=4),(PI()*FH$12^2)/4*(FD209*$W209*1000)/($H209*$B$5),(PI()*FH$12^2)/4*(FD209*$W209*1000)/($G209*$B$5)),
IF($D209="Pénétro.",
IF(OR($E209=4,$E209=1,$E209=5),(PI()*FH$12^2)/4*(FD209*$W209*1000)/($H209*$B$5),(PI()*FH$12^2)/4*(FD209*$W209*1000)/($G209*$B$5)))),
IF($D209="Pressio.",
IF($E209=3,(PI()*FH$12^2)/4*(FD209*$W209*1000)/($H209*$B$5),(PI()*FH$12^2)/4*(FD209*$W209*1000)/($G209*$B$5)),
IF($D209="Pénétro.",
IF($E209=4,(PI()*FH$12^2)/4*(FD209*$W209*1000)/($H209*$B$5),(PI()*FH$12^2)/4*(FD209*$W209*1000)/($G209*$B$5))))))/10</f>
        <v>#N/A</v>
      </c>
      <c r="FI209" s="102" t="e">
        <f>(VLOOKUP($B$3,'Coeff EC7'!$T$39:$X$59,2,0)*FG209+VLOOKUP($B$3,'Coeff EC7'!$T$65:$X$85,2,0)*Model0.1C!FH209)/1.1</f>
        <v>#N/A</v>
      </c>
      <c r="FJ209" s="102" t="e">
        <f>(VLOOKUP($B$3,'Coeff EC7'!$T$39:$X$59,3,0)*FG209+VLOOKUP($B$3,'Coeff EC7'!$T$65:$X$85,3,0)*Model0.1C!FH209)/0.9</f>
        <v>#N/A</v>
      </c>
      <c r="FK209" s="102" t="e">
        <f t="shared" si="398"/>
        <v>#N/A</v>
      </c>
      <c r="FL209" s="102" t="e">
        <f t="shared" si="399"/>
        <v>#N/A</v>
      </c>
      <c r="FM209" s="414" t="e">
        <f>IF(FM208=0,0,IF(AND(FI209&gt;charge_ELS_quasi,FJ209&gt;Charge_ELS_freq,FK209&gt;charge_ELU,FL209&gt;charge_ELA,$B209&gt;NDC!$H$22-0.1+MIN(3*$FM$12,1.5)),0,1))</f>
        <v>#N/A</v>
      </c>
    </row>
    <row r="210" spans="1:169">
      <c r="A210" s="96">
        <f t="shared" si="367"/>
        <v>80.30000000000112</v>
      </c>
      <c r="B210" s="97">
        <v>19.7</v>
      </c>
      <c r="C210" s="81">
        <f>IF(B210&lt;=Hypothèses!$C$7,Hypothèses!$A$7,IF(B210&lt;=Hypothèses!$C$8,Hypothèses!$A$8,IF(B210&lt;=Hypothèses!$C$9,Hypothèses!$A$9,IF(B210&lt;=Hypothèses!$C$10,Hypothèses!$A$10,IF(B210&lt;=Hypothèses!$C$11,Hypothèses!$A$11,IF(B210&lt;=Hypothèses!$C$12,Hypothèses!$A$12,IF(B210&lt;=Hypothèses!$C$13,Hypothèses!$A$13,IF(B210&lt;=Hypothèses!$C$14,Hypothèses!$A$14,IF(B210&lt;=Hypothèses!$C$15,Hypothèses!$A$15,IF(B210&lt;=Hypothèses!$C$16,Hypothèses!$A$16,IF(B210&lt;=Hypothèses!$C$17,Hypothèses!$A$17,IF(B210&lt;=Hypothèses!$C$18,Hypothèses!$A$18,C209))))))))))))</f>
        <v>11</v>
      </c>
      <c r="D210" s="82" t="str">
        <f>IF(B210&lt;=Hypothèses!$C$7,Hypothèses!$R$7,IF(B210&lt;=Hypothèses!$C$8,Hypothèses!$R$8,IF(B210&lt;=Hypothèses!$C$9,Hypothèses!$R$9,IF(B210&lt;=Hypothèses!$C$10,Hypothèses!$R$10,IF(B210&lt;=Hypothèses!$C$11,Hypothèses!$R$11,IF(B210&lt;=Hypothèses!$C$12,Hypothèses!$R$12,IF(B210&lt;=Hypothèses!$C$13,Hypothèses!$R$13,IF(B210&lt;=Hypothèses!$C$14,Hypothèses!$R$14,IF(B210&lt;=Hypothèses!$C$15,Hypothèses!$R$15,IF(B210&lt;=Hypothèses!$C$16,Hypothèses!$R$16,IF(B210&lt;=Hypothèses!$C$17,Hypothèses!$R$17,IF(B210&lt;=Hypothèses!$C$18,Hypothèses!$R$18,D209))))))))))))</f>
        <v>Pressio.</v>
      </c>
      <c r="E210" s="82" t="e">
        <f>IF(B210&lt;=Hypothèses!$C$7,Hypothèses!$G$7,IF(B210&lt;=Hypothèses!$C$8,Hypothèses!$G$8,IF(B210&lt;=Hypothèses!$C$9,Hypothèses!$G$9,IF(B210&lt;=Hypothèses!$C$10,Hypothèses!$G$10,IF(B210&lt;=Hypothèses!$C$11,Hypothèses!$G$11,IF(B210&lt;=Hypothèses!$C$12,Hypothèses!$G$12,IF(B210&lt;=Hypothèses!$C$13,Hypothèses!$G$13,IF(B210&lt;=Hypothèses!$C$14,Hypothèses!$G$14,IF(B210&lt;=Hypothèses!$C$15,Hypothèses!$G$15,IF(B210&lt;=Hypothèses!$C$16,Hypothèses!$G$16,IF(B210&lt;=Hypothèses!$C$17,Hypothèses!$G$17,IF(B210&lt;=Hypothèses!$C$18,Hypothèses!$G$18,E209))))))))))))</f>
        <v>#N/A</v>
      </c>
      <c r="F210" s="82" t="str">
        <f>IF(B210&lt;=Hypothèses!$C$7,Hypothèses!$F$7,IF(B210&lt;=Hypothèses!$C$8,Hypothèses!$F$8,IF(B210&lt;=Hypothèses!$C$9,Hypothèses!$F$9,IF(B210&lt;=Hypothèses!$C$10,Hypothèses!$F$10,IF(B210&lt;=Hypothèses!$C$11,Hypothèses!$F$11,IF(B210&lt;=Hypothèses!$C$12,Hypothèses!$F$12,IF(B210&lt;=Hypothèses!$C$13,Hypothèses!$F$13,IF(B210&lt;=Hypothèses!$C$14,Hypothèses!$F$14,IF(B210&lt;=Hypothèses!$C$15,Hypothèses!$F$15,IF(B210&lt;=Hypothèses!$C$16,Hypothèses!$F$16,IF(B210&lt;=Hypothèses!$C$17,Hypothèses!$F$17,IF(B210&lt;=Hypothèses!$C$18,Hypothèses!$F$18,F209))))))))))))</f>
        <v/>
      </c>
      <c r="G210" s="91">
        <f t="array" ref="G210">INDEX('Coeff EC7'!$U$7:$X$27,
MATCH(Model0.1C!$B$3,'Coeff EC7'!$T$7:$T$27,0),
MATCH(Model0.1C!$D210&amp;Model0.1C!$B$4,
'Coeff EC7'!$U$6:$X$6&amp;
'Coeff EC7'!$U$5:$X$5,0))</f>
        <v>1.1499999999999999</v>
      </c>
      <c r="H210" s="91">
        <f t="array" ref="H210">INDEX('Coeff EC7'!$Y$7:$AB$27,
MATCH(Model0.1C!$B$3,'Coeff EC7'!$T$7:$T$27,0),
MATCH(Model0.1C!$D210&amp;Model0.1C!$B$4,
'Coeff EC7'!$Y$6:$AB$6&amp;
'Coeff EC7'!$Y$5:$AB$5,0))</f>
        <v>1.4</v>
      </c>
      <c r="I210" s="83" t="e">
        <f>IF(B210&lt;=Hypothèses!$C$7,Hypothèses!$P$7,IF(B210&lt;=Hypothèses!$C$8,Hypothèses!$P$8,IF(B210&lt;=Hypothèses!$C$9,Hypothèses!$P$9,IF(B210&lt;=Hypothèses!$C$10,Hypothèses!$P$10,IF(B210&lt;=Hypothèses!$C$11,Hypothèses!$P$11,IF(B210&lt;=Hypothèses!$C$12,Hypothèses!$P$12,IF(B210&lt;=Hypothèses!$C$13,Hypothèses!$P$13,IF(B210&lt;=Hypothèses!$C$14,Hypothèses!$P$14,IF(B210&lt;=Hypothèses!$C$15,Hypothèses!$P$15,IF(B210&lt;=Hypothèses!$C$16,Hypothèses!$P$16,IF(B210&lt;=Hypothèses!$C$17,Hypothèses!$P$17,IF(B210&lt;=Hypothèses!$C$18,Hypothèses!$P$18,I209))))))))))))</f>
        <v>#N/A</v>
      </c>
      <c r="J210" s="91" t="e">
        <f t="array" ref="J210">INDEX('Coeff EC7'!$D$33:$Q$33,1,MATCH(D210&amp;E210,'Coeff EC7'!$D$31:$Q$31&amp;'Coeff EC7'!$D$32:$Q$32,0))</f>
        <v>#N/A</v>
      </c>
      <c r="K210" s="91" t="e">
        <f t="array" ref="K210">INDEX('Coeff EC7'!$D$34:$Q$34,1,MATCH(D210&amp;E210,'Coeff EC7'!$D$31:$Q$31&amp;'Coeff EC7'!$D$32:$Q$32,0))</f>
        <v>#N/A</v>
      </c>
      <c r="L210" s="91" t="e">
        <f t="array" ref="L210">INDEX('Coeff EC7'!$D$35:$Q$35,1,MATCH(D210&amp;E210,'Coeff EC7'!$D$31:$Q$31&amp;'Coeff EC7'!$D$32:$Q$32,0))</f>
        <v>#N/A</v>
      </c>
      <c r="M210" s="98" t="e">
        <f t="shared" si="331"/>
        <v>#N/A</v>
      </c>
      <c r="N210" s="99" t="e">
        <f t="array" ref="N210">INDEX('Coeff EC7'!$D$7:$Q$27,MATCH($B$3,'Coeff EC7'!$C$7:$C$27,0),MATCH(D210&amp;E210,'Coeff EC7'!$D$5:$Q$5&amp;'Coeff EC7'!$D$6:$Q$6,0))</f>
        <v>#N/A</v>
      </c>
      <c r="O210" s="99" t="e">
        <f t="array" ref="O210">INDEX('Coeff EC7'!$D$41:$Q$61,MATCH($B$3,'Coeff EC7'!$C$41:$C$61,0),MATCH(D210&amp;E210,'Coeff EC7'!$D$39:$Q$39&amp;'Coeff EC7'!$D$40:$Q$40,0))</f>
        <v>#N/A</v>
      </c>
      <c r="P210" s="30" t="e">
        <f t="shared" si="368"/>
        <v>#N/A</v>
      </c>
      <c r="Q210" s="100" t="e">
        <f t="shared" si="333"/>
        <v>#N/A</v>
      </c>
      <c r="R210" s="86" t="b">
        <f t="shared" si="334"/>
        <v>0</v>
      </c>
      <c r="S210" s="86">
        <f t="shared" si="332"/>
        <v>0.5</v>
      </c>
      <c r="T210" s="86">
        <f t="shared" si="335"/>
        <v>0.5</v>
      </c>
      <c r="U210" s="30" t="e">
        <f t="shared" ca="1" si="369"/>
        <v>#DIV/0!</v>
      </c>
      <c r="V210" s="85" t="str">
        <f>IF(B210&lt;=Hypothèses!$V$7,Hypothèses!$W$7,IF(B210&lt;=Hypothèses!$V$8,Hypothèses!$W$8,IF(B210&lt;=Hypothèses!$V$9,Hypothèses!$W$9,IF(B210&lt;=Hypothèses!$V$10,Hypothèses!$W$10,IF(B210&lt;=Hypothèses!$V$11,Hypothèses!$W$11,IF(B210&lt;=Hypothèses!$V$12,Hypothèses!$W$12,IF(B210&lt;=Hypothèses!$V$13,Hypothèses!$W$13,IF(B210&lt;=Hypothèses!$V$14,Hypothèses!$W$14,IF(B210&lt;=Hypothèses!$V$15,Hypothèses!$W$15,IF(B210&lt;=Hypothèses!$V$16,Hypothèses!$W$16,IF(B210&lt;=Hypothèses!$V$17,Hypothèses!$W$17,IF(B210&lt;=Hypothèses!$V$18,Hypothèses!$W$18,""))))))))))))</f>
        <v/>
      </c>
      <c r="W210" s="87" t="e">
        <f t="shared" ca="1" si="416"/>
        <v>#DIV/0!</v>
      </c>
      <c r="X210" s="88" t="str">
        <f>IF(B210&lt;=Hypothèses!$V$7,Hypothèses!$X$7,IF(B210&lt;=Hypothèses!$V$8,Hypothèses!$X$8,IF(B210&lt;=Hypothèses!$V$9,Hypothèses!$X$9,IF(B210&lt;=Hypothèses!$V$10,Hypothèses!$X$10,IF(B210&lt;=Hypothèses!$V$11,Hypothèses!$X$11,IF(B210&lt;=Hypothèses!$V$12,Hypothèses!$X$12,IF(B210&lt;=Hypothèses!$V$13,Hypothèses!$X$13,IF(B210&lt;=Hypothèses!$V$14,Hypothèses!$X$14,IF(B210&lt;=Hypothèses!$V$15,Hypothèses!$X$15,IF(B210&lt;=Hypothèses!$V$16,Hypothèses!$X$16,IF(B210&lt;=Hypothèses!$U$17,Hypothèses!$W$17,IF(B210&lt;=Hypothèses!$U$18,Hypothèses!$W$18,""))))))))))))</f>
        <v/>
      </c>
      <c r="Y210" s="95" t="e">
        <f t="shared" ca="1" si="336"/>
        <v>#DIV/0!</v>
      </c>
      <c r="Z210" s="101" t="e">
        <f t="shared" si="337"/>
        <v>#N/A</v>
      </c>
      <c r="AA210" s="91" t="e">
        <f t="shared" si="338"/>
        <v>#N/A</v>
      </c>
      <c r="AB210" s="30" t="e">
        <f t="shared" si="400"/>
        <v>#N/A</v>
      </c>
      <c r="AC210" s="30" t="e">
        <f t="shared" si="401"/>
        <v>#N/A</v>
      </c>
      <c r="AD210" s="31" t="e">
        <f>IF(OR(Hypothèses!$B$4=17,Hypothèses!$B$4=18,Hypothèses!$B$4=19,Hypothèses!$B$4=20),
IF($D210="Pressio.",
IF(OR($E210=3,$E210=1,$E210=4),AC210,AB210),
IF($D210="Pénétro.",
IF(OR($E210=3,$E210=1,$E210=4),AC210,AB210))),IF($D210="Pressio.",
IF($E210=3,AC210,AB210),
IF($D210="Pénétro.",
IF($E210=4,AC210,AB210))))</f>
        <v>#N/A</v>
      </c>
      <c r="AE210" s="31" t="e">
        <f>(IF(OR(Hypothèses!$B$4=17,Hypothèses!$B$4=18,Hypothèses!$B$4=19,Hypothèses!$B$4=20),
IF($D210="Pressio.",
IF(OR($E210=3,$E210=1,$E210=4),(PI()*AE$12^2)/4*(AA210*$W210*1000)/($H210*$B$5),(PI()*AE$12^2)/4*(AA210*$W210*1000)/($G210*$B$5)),
IF($D210="Pénétro.",
IF(OR($E210=4,$E210=1,$E210=5),(PI()*AE$12^2)/4*(AA210*$W210*1000)/($H210*$B$5),(PI()*AE$12^2)/4*(AA210*$W210*1000)/($G210*$B$5)))),
IF($D210="Pressio.",
IF($E210=3,(PI()*AE$12^2)/4*(AA210*$W210*1000)/($H210*$B$5),(PI()*AE$12^2)/4*(AA210*$W210*1000)/($G210*$B$5)),
IF($D210="Pénétro.",
IF($E210=4,(PI()*AE$12^2)/4*(AA210*$W210*1000)/($H210*$B$5),(PI()*AE$12^2)/4*(AA210*$W210*1000)/($G210*$B$5))))))/10</f>
        <v>#N/A</v>
      </c>
      <c r="AF210" s="102" t="e">
        <f>(VLOOKUP($B$3,'Coeff EC7'!$T$39:$X$59,2,0)*AD210+VLOOKUP($B$3,'Coeff EC7'!$T$65:$X$85,2,0)*Model0.1C!AE210)/1.1</f>
        <v>#N/A</v>
      </c>
      <c r="AG210" s="102" t="e">
        <f>(VLOOKUP($B$3,'Coeff EC7'!$T$39:$X$59,3,0)*AD210+VLOOKUP($B$3,'Coeff EC7'!$T$65:$X$85,3,0)*Model0.1C!AE210)/0.9</f>
        <v>#N/A</v>
      </c>
      <c r="AH210" s="102" t="e">
        <f t="shared" si="339"/>
        <v>#N/A</v>
      </c>
      <c r="AI210" s="102" t="e">
        <f t="shared" si="340"/>
        <v>#N/A</v>
      </c>
      <c r="AJ210" s="414" t="e">
        <f>IF(AJ209=0,0,IF(AND(AF210&gt;charge_ELS_quasi,AG210&gt;Charge_ELS_freq,AH210&gt;charge_ELU,AI210&gt;charge_ELA,$B210&gt;NDC!$H$22-0.1+MIN(3*$AJ$12,1.5)),0,1))</f>
        <v>#N/A</v>
      </c>
      <c r="AK210" s="86" t="b">
        <f t="shared" si="341"/>
        <v>0</v>
      </c>
      <c r="AL210" s="86">
        <f t="shared" si="370"/>
        <v>0.5</v>
      </c>
      <c r="AM210" s="86">
        <f t="shared" si="342"/>
        <v>0.5</v>
      </c>
      <c r="AN210" s="30" t="e">
        <f t="shared" ca="1" si="371"/>
        <v>#DIV/0!</v>
      </c>
      <c r="AO210" s="85" t="e">
        <f ca="1">IF(U210&lt;=Hypothèses!$V$7,Hypothèses!$W$7,IF(U210&lt;=Hypothèses!$V$8,Hypothèses!$W$8,IF(U210&lt;=Hypothèses!$V$9,Hypothèses!$W$9,IF(U210&lt;=Hypothèses!$V$10,Hypothèses!$W$10,IF(U210&lt;=Hypothèses!$V$11,Hypothèses!$W$11,IF(U210&lt;=Hypothèses!$V$12,Hypothèses!$W$12,IF(U210&lt;=Hypothèses!$V$13,Hypothèses!$W$13,IF(U210&lt;=Hypothèses!$V$14,Hypothèses!$W$14,IF(U210&lt;=Hypothèses!$V$15,Hypothèses!$W$15,IF(U210&lt;=Hypothèses!$V$16,Hypothèses!$W$16,IF(U210&lt;=Hypothèses!$V$17,Hypothèses!$W$17,IF(U210&lt;=Hypothèses!$V$18,Hypothèses!$W$18,""))))))))))))</f>
        <v>#DIV/0!</v>
      </c>
      <c r="AP210" s="87" t="e">
        <f t="shared" ca="1" si="417"/>
        <v>#DIV/0!</v>
      </c>
      <c r="AQ210" s="88" t="e">
        <f ca="1">IF(U210&lt;=Hypothèses!$V$7,Hypothèses!$X$7,IF(U210&lt;=Hypothèses!$V$8,Hypothèses!$X$8,IF(U210&lt;=Hypothèses!$V$9,Hypothèses!$X$9,IF(U210&lt;=Hypothèses!$V$10,Hypothèses!$X$10,IF(U210&lt;=Hypothèses!$V$11,Hypothèses!$X$11,IF(U210&lt;=Hypothèses!$V$12,Hypothèses!$X$12,IF(U210&lt;=Hypothèses!$V$13,Hypothèses!$X$13,IF(U210&lt;=Hypothèses!$V$14,Hypothèses!$X$14,IF(U210&lt;=Hypothèses!$V$15,Hypothèses!$X$15,IF(U210&lt;=Hypothèses!$V$16,Hypothèses!$X$16,IF(U210&lt;=Hypothèses!$U$17,Hypothèses!$W$17,IF(U210&lt;=Hypothèses!$U$18,Hypothèses!$W$18,""))))))))))))</f>
        <v>#DIV/0!</v>
      </c>
      <c r="AR210" s="95" t="e">
        <f t="shared" ca="1" si="372"/>
        <v>#DIV/0!</v>
      </c>
      <c r="AS210" s="101" t="e">
        <f t="shared" ref="AS210:AS273" si="424">IF($I210=0,0,
IF(AR210&gt;5*AW$12,$I210,
IF($D210="Pressio.",1+($I210-1)*(AR210/AW$12)/5,
IF($D210="Pénétro.",IF($E210=1,0.3+($I210-0.3)*(AR210/AW$12)/5,
IF($E210=2,0.2+($I210-0.2)*(AR210/AW$12)/5,
IF($E210=3,0.1+($I210-0.1)*(AR210/AW$12)/5,
0.15+($I210-0.15)*(AR210/AW$12)/5)))))))</f>
        <v>#N/A</v>
      </c>
      <c r="AT210" s="91" t="e">
        <f t="shared" si="343"/>
        <v>#N/A</v>
      </c>
      <c r="AU210" s="30" t="e">
        <f t="shared" si="402"/>
        <v>#N/A</v>
      </c>
      <c r="AV210" s="30" t="e">
        <f t="shared" si="403"/>
        <v>#N/A</v>
      </c>
      <c r="AW210" s="31" t="e">
        <f>IF(OR(Hypothèses!$B$4=17,Hypothèses!$B$4=18,Hypothèses!$B$4=19,Hypothèses!$B$4=20),
IF($D210="Pressio.",
IF(OR($E210=3,$E210=1,$E210=4),AV210,AU210),
IF($D210="Pénétro.",
IF(OR($E210=3,$E210=1,$E210=4),AV210,AU210))),IF($D210="Pressio.",
IF($E210=3,AV210,AU210),
IF($D210="Pénétro.",
IF($E210=4,AV210,AU210))))</f>
        <v>#N/A</v>
      </c>
      <c r="AX210" s="31" t="e">
        <f>(IF(OR(Hypothèses!$B$4=17,Hypothèses!$B$4=18,Hypothèses!$B$4=19,Hypothèses!$B$4=20),
IF($D210="Pressio.",
IF(OR($E210=3,$E210=1,$E210=4),(PI()*AX$12^2)/4*(AT210*$W210*1000)/($H210*$B$5),(PI()*AX$12^2)/4*(AT210*$W210*1000)/($G210*$B$5)),
IF($D210="Pénétro.",
IF(OR($E210=4,$E210=1,$E210=5),(PI()*AX$12^2)/4*(AT210*$W210*1000)/($H210*$B$5),(PI()*AX$12^2)/4*(AT210*$W210*1000)/($G210*$B$5)))),
IF($D210="Pressio.",
IF($E210=3,(PI()*AX$12^2)/4*(AT210*$W210*1000)/($H210*$B$5),(PI()*AX$12^2)/4*(AT210*$W210*1000)/($G210*$B$5)),
IF($D210="Pénétro.",
IF($E210=4,(PI()*AX$12^2)/4*(AT210*$W210*1000)/($H210*$B$5),(PI()*AX$12^2)/4*(AT210*$W210*1000)/($G210*$B$5))))))/10</f>
        <v>#N/A</v>
      </c>
      <c r="AY210" s="102" t="e">
        <f>(VLOOKUP($B$3,'Coeff EC7'!$T$39:$X$59,2,0)*AW210+VLOOKUP($B$3,'Coeff EC7'!$T$65:$X$85,2,0)*Model0.1C!AX210)/1.1</f>
        <v>#N/A</v>
      </c>
      <c r="AZ210" s="102" t="e">
        <f>(VLOOKUP($B$3,'Coeff EC7'!$T$39:$X$59,3,0)*AW210+VLOOKUP($B$3,'Coeff EC7'!$T$65:$X$85,3,0)*Model0.1C!AX210)/0.9</f>
        <v>#N/A</v>
      </c>
      <c r="BA210" s="102" t="e">
        <f t="shared" si="373"/>
        <v>#N/A</v>
      </c>
      <c r="BB210" s="102" t="e">
        <f t="shared" si="374"/>
        <v>#N/A</v>
      </c>
      <c r="BC210" s="414" t="e">
        <f>IF(BC209=0,0,IF(AND(AY210&gt;charge_ELS_quasi,AZ210&gt;Charge_ELS_freq,BA210&gt;charge_ELU,BB210&gt;charge_ELA,$B210&gt;NDC!$H$22-0.1+MIN(3*$BC$12,1.5)),0,1))</f>
        <v>#N/A</v>
      </c>
      <c r="BD210" s="86" t="b">
        <f t="shared" si="344"/>
        <v>0</v>
      </c>
      <c r="BE210" s="86">
        <f t="shared" si="375"/>
        <v>0.5</v>
      </c>
      <c r="BF210" s="86">
        <f t="shared" si="345"/>
        <v>0.5</v>
      </c>
      <c r="BG210" s="30" t="e">
        <f t="shared" ca="1" si="376"/>
        <v>#DIV/0!</v>
      </c>
      <c r="BH210" s="85" t="e">
        <f ca="1">IF(AN210&lt;=Hypothèses!$V$7,Hypothèses!$W$7,IF(AN210&lt;=Hypothèses!$V$8,Hypothèses!$W$8,IF(AN210&lt;=Hypothèses!$V$9,Hypothèses!$W$9,IF(AN210&lt;=Hypothèses!$V$10,Hypothèses!$W$10,IF(AN210&lt;=Hypothèses!$V$11,Hypothèses!$W$11,IF(AN210&lt;=Hypothèses!$V$12,Hypothèses!$W$12,IF(AN210&lt;=Hypothèses!$V$13,Hypothèses!$W$13,IF(AN210&lt;=Hypothèses!$V$14,Hypothèses!$W$14,IF(AN210&lt;=Hypothèses!$V$15,Hypothèses!$W$15,IF(AN210&lt;=Hypothèses!$V$16,Hypothèses!$W$16,IF(AN210&lt;=Hypothèses!$V$17,Hypothèses!$W$17,IF(AN210&lt;=Hypothèses!$V$18,Hypothèses!$W$18,""))))))))))))</f>
        <v>#DIV/0!</v>
      </c>
      <c r="BI210" s="87" t="e">
        <f t="shared" ca="1" si="418"/>
        <v>#DIV/0!</v>
      </c>
      <c r="BJ210" s="88" t="e">
        <f ca="1">IF(AN210&lt;=Hypothèses!$V$7,Hypothèses!$X$7,IF(AN210&lt;=Hypothèses!$V$8,Hypothèses!$X$8,IF(AN210&lt;=Hypothèses!$V$9,Hypothèses!$X$9,IF(AN210&lt;=Hypothèses!$V$10,Hypothèses!$X$10,IF(AN210&lt;=Hypothèses!$V$11,Hypothèses!$X$11,IF(AN210&lt;=Hypothèses!$V$12,Hypothèses!$X$12,IF(AN210&lt;=Hypothèses!$V$13,Hypothèses!$X$13,IF(AN210&lt;=Hypothèses!$V$14,Hypothèses!$X$14,IF(AN210&lt;=Hypothèses!$V$15,Hypothèses!$X$15,IF(AN210&lt;=Hypothèses!$V$16,Hypothèses!$X$16,IF(AN210&lt;=Hypothèses!$U$17,Hypothèses!$W$17,IF(AN210&lt;=Hypothèses!$U$18,Hypothèses!$W$18,""))))))))))))</f>
        <v>#DIV/0!</v>
      </c>
      <c r="BK210" s="95" t="e">
        <f t="shared" ca="1" si="377"/>
        <v>#DIV/0!</v>
      </c>
      <c r="BL210" s="101" t="e">
        <f t="shared" ref="BL210:BL273" si="425">IF($I210=0,0,
IF(BK210&gt;5*BP$12,$I210,
IF($D210="Pressio.",1+($I210-1)*(BK210/BP$12)/5,
IF($D210="Pénétro.",IF($E210=1,0.3+($I210-0.3)*(BK210/BP$12)/5,
IF($E210=2,0.2+($I210-0.2)*(BK210/BP$12)/5,
IF($E210=3,0.1+($I210-0.1)*(BK210/BP$12)/5,
0.15+($I210-0.15)*(BK210/BP$12)/5)))))))</f>
        <v>#N/A</v>
      </c>
      <c r="BM210" s="91" t="e">
        <f t="shared" si="346"/>
        <v>#N/A</v>
      </c>
      <c r="BN210" s="30" t="e">
        <f t="shared" si="404"/>
        <v>#N/A</v>
      </c>
      <c r="BO210" s="30" t="e">
        <f t="shared" si="405"/>
        <v>#N/A</v>
      </c>
      <c r="BP210" s="31" t="e">
        <f>IF(OR(Hypothèses!$B$4=17,Hypothèses!$B$4=18,Hypothèses!$B$4=19,Hypothèses!$B$4=20),
IF($D210="Pressio.",
IF(OR($E210=3,$E210=1,$E210=4),BO210,BN210),
IF($D210="Pénétro.",
IF(OR($E210=3,$E210=1,$E210=4),BO210,BN210))),IF($D210="Pressio.",
IF($E210=3,BO210,BN210),
IF($D210="Pénétro.",
IF($E210=4,BO210,BN210))))</f>
        <v>#N/A</v>
      </c>
      <c r="BQ210" s="31" t="e">
        <f>(IF(OR(Hypothèses!$B$4=17,Hypothèses!$B$4=18,Hypothèses!$B$4=19,Hypothèses!$B$4=20),
IF($D210="Pressio.",
IF(OR($E210=3,$E210=1,$E210=4),(PI()*BQ$12^2)/4*(BM210*$W210*1000)/($H210*$B$5),(PI()*BQ$12^2)/4*(BM210*$W210*1000)/($G210*$B$5)),
IF($D210="Pénétro.",
IF(OR($E210=4,$E210=1,$E210=5),(PI()*BQ$12^2)/4*(BM210*$W210*1000)/($H210*$B$5),(PI()*BQ$12^2)/4*(BM210*$W210*1000)/($G210*$B$5)))),
IF($D210="Pressio.",
IF($E210=3,(PI()*BQ$12^2)/4*(BM210*$W210*1000)/($H210*$B$5),(PI()*BQ$12^2)/4*(BM210*$W210*1000)/($G210*$B$5)),
IF($D210="Pénétro.",
IF($E210=4,(PI()*BQ$12^2)/4*(BM210*$W210*1000)/($H210*$B$5),(PI()*BQ$12^2)/4*(BM210*$W210*1000)/($G210*$B$5))))))/10</f>
        <v>#N/A</v>
      </c>
      <c r="BR210" s="102" t="e">
        <f>(VLOOKUP($B$3,'Coeff EC7'!$T$39:$X$59,2,0)*BP210+VLOOKUP($B$3,'Coeff EC7'!$T$65:$X$85,2,0)*Model0.1C!BQ210)/1.1</f>
        <v>#N/A</v>
      </c>
      <c r="BS210" s="102" t="e">
        <f>(VLOOKUP($B$3,'Coeff EC7'!$T$39:$X$59,3,0)*BP210+VLOOKUP($B$3,'Coeff EC7'!$T$65:$X$85,3,0)*Model0.1C!BQ210)/0.9</f>
        <v>#N/A</v>
      </c>
      <c r="BT210" s="102" t="e">
        <f t="shared" si="378"/>
        <v>#N/A</v>
      </c>
      <c r="BU210" s="102" t="e">
        <f t="shared" si="379"/>
        <v>#N/A</v>
      </c>
      <c r="BV210" s="414" t="e">
        <f>IF(BV209=0,0,IF(AND(BR210&gt;charge_ELS_quasi,BS210&gt;Charge_ELS_freq,BT210&gt;charge_ELU,BU210&gt;charge_ELA,$B210&gt;NDC!$H$22-0.1+MIN(3*$BV$12,1.5)),0,1))</f>
        <v>#N/A</v>
      </c>
      <c r="BW210" s="86" t="b">
        <f t="shared" si="347"/>
        <v>0</v>
      </c>
      <c r="BX210" s="86">
        <f t="shared" si="348"/>
        <v>0.5</v>
      </c>
      <c r="BY210" s="86">
        <f t="shared" si="349"/>
        <v>0.5</v>
      </c>
      <c r="BZ210" s="30" t="e">
        <f t="shared" ca="1" si="380"/>
        <v>#DIV/0!</v>
      </c>
      <c r="CA210" s="85" t="e">
        <f ca="1">IF(BG210&lt;=Hypothèses!$V$7,Hypothèses!$W$7,IF(BG210&lt;=Hypothèses!$V$8,Hypothèses!$W$8,IF(BG210&lt;=Hypothèses!$V$9,Hypothèses!$W$9,IF(BG210&lt;=Hypothèses!$V$10,Hypothèses!$W$10,IF(BG210&lt;=Hypothèses!$V$11,Hypothèses!$W$11,IF(BG210&lt;=Hypothèses!$V$12,Hypothèses!$W$12,IF(BG210&lt;=Hypothèses!$V$13,Hypothèses!$W$13,IF(BG210&lt;=Hypothèses!$V$14,Hypothèses!$W$14,IF(BG210&lt;=Hypothèses!$V$15,Hypothèses!$W$15,IF(BG210&lt;=Hypothèses!$V$16,Hypothèses!$W$16,IF(BG210&lt;=Hypothèses!$V$17,Hypothèses!$W$17,IF(BG210&lt;=Hypothèses!$V$18,Hypothèses!$W$18,""))))))))))))</f>
        <v>#DIV/0!</v>
      </c>
      <c r="CB210" s="87" t="e">
        <f t="shared" ca="1" si="419"/>
        <v>#DIV/0!</v>
      </c>
      <c r="CC210" s="88" t="e">
        <f ca="1">IF(BG210&lt;=Hypothèses!$V$7,Hypothèses!$X$7,IF(BG210&lt;=Hypothèses!$V$8,Hypothèses!$X$8,IF(BG210&lt;=Hypothèses!$V$9,Hypothèses!$X$9,IF(BG210&lt;=Hypothèses!$V$10,Hypothèses!$X$10,IF(BG210&lt;=Hypothèses!$V$11,Hypothèses!$X$11,IF(BG210&lt;=Hypothèses!$V$12,Hypothèses!$X$12,IF(BG210&lt;=Hypothèses!$V$13,Hypothèses!$X$13,IF(BG210&lt;=Hypothèses!$V$14,Hypothèses!$X$14,IF(BG210&lt;=Hypothèses!$V$15,Hypothèses!$X$15,IF(BG210&lt;=Hypothèses!$V$16,Hypothèses!$X$16,IF(BG210&lt;=Hypothèses!$U$17,Hypothèses!$W$17,IF(BG210&lt;=Hypothèses!$U$18,Hypothèses!$W$18,""))))))))))))</f>
        <v>#DIV/0!</v>
      </c>
      <c r="CD210" s="95" t="e">
        <f t="shared" ca="1" si="381"/>
        <v>#DIV/0!</v>
      </c>
      <c r="CE210" s="101" t="e">
        <f t="shared" ref="CE210:CE273" si="426">IF($I210=0,0,
IF(CD210&gt;5*CI$12,$I210,
IF($D210="Pressio.",1+($I210-1)*(CD210/CI$12)/5,
IF($D210="Pénétro.",IF($E210=1,0.3+($I210-0.3)*(CD210/CI$12)/5,
IF($E210=2,0.2+($I210-0.2)*(CD210/CI$12)/5,
IF($E210=3,0.1+($I210-0.1)*(CD210/CI$12)/5,
0.15+($I210-0.15)*(CD210/CI$12)/5)))))))</f>
        <v>#N/A</v>
      </c>
      <c r="CF210" s="91" t="e">
        <f t="shared" si="350"/>
        <v>#N/A</v>
      </c>
      <c r="CG210" s="30" t="e">
        <f t="shared" si="406"/>
        <v>#N/A</v>
      </c>
      <c r="CH210" s="30" t="e">
        <f t="shared" si="407"/>
        <v>#N/A</v>
      </c>
      <c r="CI210" s="31" t="e">
        <f>IF(OR(Hypothèses!$B$4=17,Hypothèses!$B$4=18,Hypothèses!$B$4=19,Hypothèses!$B$4=20),
IF($D210="Pressio.",
IF(OR($E210=3,$E210=1,$E210=4),CH210,CG210),
IF($D210="Pénétro.",
IF(OR($E210=3,$E210=1,$E210=4),CH210,CG210))),IF($D210="Pressio.",
IF($E210=3,CH210,CG210),
IF($D210="Pénétro.",
IF($E210=4,CH210,CG210))))</f>
        <v>#N/A</v>
      </c>
      <c r="CJ210" s="31" t="e">
        <f>(IF(OR(Hypothèses!$B$4=17,Hypothèses!$B$4=18,Hypothèses!$B$4=19,Hypothèses!$B$4=20),
IF($D210="Pressio.",
IF(OR($E210=3,$E210=1,$E210=4),(PI()*CJ$12^2)/4*(CF210*$W210*1000)/($H210*$B$5),(PI()*CJ$12^2)/4*(CF210*$W210*1000)/($G210*$B$5)),
IF($D210="Pénétro.",
IF(OR($E210=4,$E210=1,$E210=5),(PI()*CJ$12^2)/4*(CF210*$W210*1000)/($H210*$B$5),(PI()*CJ$12^2)/4*(CF210*$W210*1000)/($G210*$B$5)))),
IF($D210="Pressio.",
IF($E210=3,(PI()*CJ$12^2)/4*(CF210*$W210*1000)/($H210*$B$5),(PI()*CJ$12^2)/4*(CF210*$W210*1000)/($G210*$B$5)),
IF($D210="Pénétro.",
IF($E210=4,(PI()*CJ$12^2)/4*(CF210*$W210*1000)/($H210*$B$5),(PI()*CJ$12^2)/4*(CF210*$W210*1000)/($G210*$B$5))))))/10</f>
        <v>#N/A</v>
      </c>
      <c r="CK210" s="102" t="e">
        <f>(VLOOKUP($B$3,'Coeff EC7'!$T$39:$X$59,2,0)*CI210+VLOOKUP($B$3,'Coeff EC7'!$T$65:$X$85,2,0)*Model0.1C!CJ210)/1.1</f>
        <v>#N/A</v>
      </c>
      <c r="CL210" s="102" t="e">
        <f>(VLOOKUP($B$3,'Coeff EC7'!$T$39:$X$59,3,0)*CI210+VLOOKUP($B$3,'Coeff EC7'!$T$65:$X$85,3,0)*Model0.1C!CJ210)/0.9</f>
        <v>#N/A</v>
      </c>
      <c r="CM210" s="102" t="e">
        <f t="shared" si="382"/>
        <v>#N/A</v>
      </c>
      <c r="CN210" s="102" t="e">
        <f t="shared" si="383"/>
        <v>#N/A</v>
      </c>
      <c r="CO210" s="414" t="e">
        <f>IF(CO209=0,0,IF(AND(CK210&gt;charge_ELS_quasi,CL210&gt;Charge_ELS_freq,CM210&gt;charge_ELU,CN210&gt;charge_ELA,$B210&gt;NDC!$H$22-0.1+MIN(3*$CO$12,1.5)),0,1))</f>
        <v>#N/A</v>
      </c>
      <c r="CP210" s="86" t="b">
        <f t="shared" si="351"/>
        <v>0</v>
      </c>
      <c r="CQ210" s="86">
        <f t="shared" si="352"/>
        <v>0.5</v>
      </c>
      <c r="CR210" s="86">
        <f t="shared" si="353"/>
        <v>0.5</v>
      </c>
      <c r="CS210" s="30" t="e">
        <f t="shared" ca="1" si="384"/>
        <v>#DIV/0!</v>
      </c>
      <c r="CT210" s="85" t="e">
        <f ca="1">IF(BZ210&lt;=Hypothèses!$V$7,Hypothèses!$W$7,IF(BZ210&lt;=Hypothèses!$V$8,Hypothèses!$W$8,IF(BZ210&lt;=Hypothèses!$V$9,Hypothèses!$W$9,IF(BZ210&lt;=Hypothèses!$V$10,Hypothèses!$W$10,IF(BZ210&lt;=Hypothèses!$V$11,Hypothèses!$W$11,IF(BZ210&lt;=Hypothèses!$V$12,Hypothèses!$W$12,IF(BZ210&lt;=Hypothèses!$V$13,Hypothèses!$W$13,IF(BZ210&lt;=Hypothèses!$V$14,Hypothèses!$W$14,IF(BZ210&lt;=Hypothèses!$V$15,Hypothèses!$W$15,IF(BZ210&lt;=Hypothèses!$V$16,Hypothèses!$W$16,IF(BZ210&lt;=Hypothèses!$V$17,Hypothèses!$W$17,IF(BZ210&lt;=Hypothèses!$V$18,Hypothèses!$W$18,""))))))))))))</f>
        <v>#DIV/0!</v>
      </c>
      <c r="CU210" s="87" t="e">
        <f t="shared" ca="1" si="420"/>
        <v>#DIV/0!</v>
      </c>
      <c r="CV210" s="88" t="e">
        <f ca="1">IF(BZ210&lt;=Hypothèses!$V$7,Hypothèses!$X$7,IF(BZ210&lt;=Hypothèses!$V$8,Hypothèses!$X$8,IF(BZ210&lt;=Hypothèses!$V$9,Hypothèses!$X$9,IF(BZ210&lt;=Hypothèses!$V$10,Hypothèses!$X$10,IF(BZ210&lt;=Hypothèses!$V$11,Hypothèses!$X$11,IF(BZ210&lt;=Hypothèses!$V$12,Hypothèses!$X$12,IF(BZ210&lt;=Hypothèses!$V$13,Hypothèses!$X$13,IF(BZ210&lt;=Hypothèses!$V$14,Hypothèses!$X$14,IF(BZ210&lt;=Hypothèses!$V$15,Hypothèses!$X$15,IF(BZ210&lt;=Hypothèses!$V$16,Hypothèses!$X$16,IF(BZ210&lt;=Hypothèses!$U$17,Hypothèses!$W$17,IF(BZ210&lt;=Hypothèses!$U$18,Hypothèses!$W$18,""))))))))))))</f>
        <v>#DIV/0!</v>
      </c>
      <c r="CW210" s="95" t="e">
        <f t="shared" ca="1" si="385"/>
        <v>#DIV/0!</v>
      </c>
      <c r="CX210" s="101" t="e">
        <f t="shared" ref="CX210:CX273" si="427">IF($I210=0,0,
IF(CW210&gt;5*DB$12,$I210,
IF($D210="Pressio.",1+($I210-1)*(CW210/DB$12)/5,
IF($D210="Pénétro.",IF($E210=1,0.3+($I210-0.3)*(CW210/DB$12)/5,
IF($E210=2,0.2+($I210-0.2)*(CW210/DB$12)/5,
IF($E210=3,0.1+($I210-0.1)*(CW210/DB$12)/5,
0.15+($I210-0.15)*(CW210/DB$12)/5)))))))</f>
        <v>#N/A</v>
      </c>
      <c r="CY210" s="91" t="e">
        <f t="shared" si="354"/>
        <v>#N/A</v>
      </c>
      <c r="CZ210" s="30" t="e">
        <f t="shared" si="408"/>
        <v>#N/A</v>
      </c>
      <c r="DA210" s="30" t="e">
        <f t="shared" si="409"/>
        <v>#N/A</v>
      </c>
      <c r="DB210" s="31" t="e">
        <f>IF(OR(Hypothèses!$B$4=17,Hypothèses!$B$4=18,Hypothèses!$B$4=19,Hypothèses!$B$4=20),
IF($D210="Pressio.",
IF(OR($E210=3,$E210=1,$E210=4),DA210,CZ210),
IF($D210="Pénétro.",
IF(OR($E210=3,$E210=1,$E210=4),DA210,CZ210))),IF($D210="Pressio.",
IF($E210=3,DA210,CZ210),
IF($D210="Pénétro.",
IF($E210=4,DA210,CZ210))))</f>
        <v>#N/A</v>
      </c>
      <c r="DC210" s="31" t="e">
        <f>(IF(OR(Hypothèses!$B$4=17,Hypothèses!$B$4=18,Hypothèses!$B$4=19,Hypothèses!$B$4=20),
IF($D210="Pressio.",
IF(OR($E210=3,$E210=1,$E210=4),(PI()*DC$12^2)/4*(CY210*$W210*1000)/($H210*$B$5),(PI()*DC$12^2)/4*(CY210*$W210*1000)/($G210*$B$5)),
IF($D210="Pénétro.",
IF(OR($E210=4,$E210=1,$E210=5),(PI()*DC$12^2)/4*(CY210*$W210*1000)/($H210*$B$5),(PI()*DC$12^2)/4*(CY210*$W210*1000)/($G210*$B$5)))),
IF($D210="Pressio.",
IF($E210=3,(PI()*DC$12^2)/4*(CY210*$W210*1000)/($H210*$B$5),(PI()*DC$12^2)/4*(CY210*$W210*1000)/($G210*$B$5)),
IF($D210="Pénétro.",
IF($E210=4,(PI()*DC$12^2)/4*(CY210*$W210*1000)/($H210*$B$5),(PI()*DC$12^2)/4*(CY210*$W210*1000)/($G210*$B$5))))))/10</f>
        <v>#N/A</v>
      </c>
      <c r="DD210" s="102" t="e">
        <f>(VLOOKUP($B$3,'Coeff EC7'!$T$39:$X$59,2,0)*DB210+VLOOKUP($B$3,'Coeff EC7'!$T$65:$X$85,2,0)*Model0.1C!DC210)/1.1</f>
        <v>#N/A</v>
      </c>
      <c r="DE210" s="102" t="e">
        <f>(VLOOKUP($B$3,'Coeff EC7'!$T$39:$X$59,3,0)*DB210+VLOOKUP($B$3,'Coeff EC7'!$T$65:$X$85,3,0)*Model0.1C!DC210)/0.9</f>
        <v>#N/A</v>
      </c>
      <c r="DF210" s="102" t="e">
        <f t="shared" si="386"/>
        <v>#N/A</v>
      </c>
      <c r="DG210" s="102" t="e">
        <f t="shared" si="387"/>
        <v>#N/A</v>
      </c>
      <c r="DH210" s="414" t="e">
        <f>IF(DH209=0,0,IF(AND(DD210&gt;charge_ELS_quasi,DE210&gt;Charge_ELS_freq,DF210&gt;charge_ELU,DG210&gt;charge_ELA,$B210&gt;NDC!$H$22-0.1+MIN(3*$DH$12,1.5)),0,1))</f>
        <v>#N/A</v>
      </c>
      <c r="DI210" s="86" t="b">
        <f t="shared" si="355"/>
        <v>0</v>
      </c>
      <c r="DJ210" s="86">
        <f t="shared" si="356"/>
        <v>0.5</v>
      </c>
      <c r="DK210" s="86">
        <f t="shared" si="357"/>
        <v>0.5</v>
      </c>
      <c r="DL210" s="30" t="e">
        <f t="shared" ca="1" si="388"/>
        <v>#DIV/0!</v>
      </c>
      <c r="DM210" s="85" t="e">
        <f ca="1">IF(CS210&lt;=Hypothèses!$V$7,Hypothèses!$W$7,IF(CS210&lt;=Hypothèses!$V$8,Hypothèses!$W$8,IF(CS210&lt;=Hypothèses!$V$9,Hypothèses!$W$9,IF(CS210&lt;=Hypothèses!$V$10,Hypothèses!$W$10,IF(CS210&lt;=Hypothèses!$V$11,Hypothèses!$W$11,IF(CS210&lt;=Hypothèses!$V$12,Hypothèses!$W$12,IF(CS210&lt;=Hypothèses!$V$13,Hypothèses!$W$13,IF(CS210&lt;=Hypothèses!$V$14,Hypothèses!$W$14,IF(CS210&lt;=Hypothèses!$V$15,Hypothèses!$W$15,IF(CS210&lt;=Hypothèses!$V$16,Hypothèses!$W$16,IF(CS210&lt;=Hypothèses!$V$17,Hypothèses!$W$17,IF(CS210&lt;=Hypothèses!$V$18,Hypothèses!$W$18,""))))))))))))</f>
        <v>#DIV/0!</v>
      </c>
      <c r="DN210" s="87" t="e">
        <f t="shared" ca="1" si="421"/>
        <v>#DIV/0!</v>
      </c>
      <c r="DO210" s="88" t="e">
        <f ca="1">IF(CS210&lt;=Hypothèses!$V$7,Hypothèses!$X$7,IF(CS210&lt;=Hypothèses!$V$8,Hypothèses!$X$8,IF(CS210&lt;=Hypothèses!$V$9,Hypothèses!$X$9,IF(CS210&lt;=Hypothèses!$V$10,Hypothèses!$X$10,IF(CS210&lt;=Hypothèses!$V$11,Hypothèses!$X$11,IF(CS210&lt;=Hypothèses!$V$12,Hypothèses!$X$12,IF(CS210&lt;=Hypothèses!$V$13,Hypothèses!$X$13,IF(CS210&lt;=Hypothèses!$V$14,Hypothèses!$X$14,IF(CS210&lt;=Hypothèses!$V$15,Hypothèses!$X$15,IF(CS210&lt;=Hypothèses!$V$16,Hypothèses!$X$16,IF(CS210&lt;=Hypothèses!$U$17,Hypothèses!$W$17,IF(CS210&lt;=Hypothèses!$U$18,Hypothèses!$W$18,""))))))))))))</f>
        <v>#DIV/0!</v>
      </c>
      <c r="DP210" s="95" t="e">
        <f t="shared" ca="1" si="389"/>
        <v>#DIV/0!</v>
      </c>
      <c r="DQ210" s="101" t="e">
        <f t="shared" ref="DQ210:DQ273" si="428">IF($I210=0,0,
IF(DP210&gt;5*DU$12,$I210,
IF($D210="Pressio.",1+($I210-1)*(DP210/DU$12)/5,
IF($D210="Pénétro.",IF($E210=1,0.3+($I210-0.3)*(DP210/DU$12)/5,
IF($E210=2,0.2+($I210-0.2)*(DP210/DU$12)/5,
IF($E210=3,0.1+($I210-0.1)*(DP210/DU$12)/5,
0.15+($I210-0.15)*(DP210/DU$12)/5)))))))</f>
        <v>#N/A</v>
      </c>
      <c r="DR210" s="91" t="e">
        <f t="shared" si="358"/>
        <v>#N/A</v>
      </c>
      <c r="DS210" s="30" t="e">
        <f t="shared" si="410"/>
        <v>#N/A</v>
      </c>
      <c r="DT210" s="30" t="e">
        <f t="shared" si="411"/>
        <v>#N/A</v>
      </c>
      <c r="DU210" s="31" t="e">
        <f>IF(OR(Hypothèses!$B$4=17,Hypothèses!$B$4=18,Hypothèses!$B$4=19,Hypothèses!$B$4=20),
IF($D210="Pressio.",
IF(OR($E210=3,$E210=1,$E210=4),DT210,DS210),
IF($D210="Pénétro.",
IF(OR($E210=3,$E210=1,$E210=4),DT210,DS210))),IF($D210="Pressio.",
IF($E210=3,DT210,DS210),
IF($D210="Pénétro.",
IF($E210=4,DT210,DS210))))</f>
        <v>#N/A</v>
      </c>
      <c r="DV210" s="31" t="e">
        <f>(IF(OR(Hypothèses!$B$4=17,Hypothèses!$B$4=18,Hypothèses!$B$4=19,Hypothèses!$B$4=20),
IF($D210="Pressio.",
IF(OR($E210=3,$E210=1,$E210=4),(PI()*DV$12^2)/4*(DR210*$W210*1000)/($H210*$B$5),(PI()*DV$12^2)/4*(DR210*$W210*1000)/($G210*$B$5)),
IF($D210="Pénétro.",
IF(OR($E210=4,$E210=1,$E210=5),(PI()*DV$12^2)/4*(DR210*$W210*1000)/($H210*$B$5),(PI()*DV$12^2)/4*(DR210*$W210*1000)/($G210*$B$5)))),
IF($D210="Pressio.",
IF($E210=3,(PI()*DV$12^2)/4*(DR210*$W210*1000)/($H210*$B$5),(PI()*DV$12^2)/4*(DR210*$W210*1000)/($G210*$B$5)),
IF($D210="Pénétro.",
IF($E210=4,(PI()*DV$12^2)/4*(DR210*$W210*1000)/($H210*$B$5),(PI()*DV$12^2)/4*(DR210*$W210*1000)/($G210*$B$5))))))/10</f>
        <v>#N/A</v>
      </c>
      <c r="DW210" s="102" t="e">
        <f>(VLOOKUP($B$3,'Coeff EC7'!$T$39:$X$59,2,0)*DU210+VLOOKUP($B$3,'Coeff EC7'!$T$65:$X$85,2,0)*Model0.1C!DV210)/1.1</f>
        <v>#N/A</v>
      </c>
      <c r="DX210" s="102" t="e">
        <f>(VLOOKUP($B$3,'Coeff EC7'!$T$39:$X$59,3,0)*DU210+VLOOKUP($B$3,'Coeff EC7'!$T$65:$X$85,3,0)*Model0.1C!DV210)/0.9</f>
        <v>#N/A</v>
      </c>
      <c r="DY210" s="102" t="e">
        <f t="shared" si="390"/>
        <v>#N/A</v>
      </c>
      <c r="DZ210" s="102" t="e">
        <f t="shared" si="391"/>
        <v>#N/A</v>
      </c>
      <c r="EA210" s="414" t="e">
        <f>IF(EA209=0,0,IF(AND(DW210&gt;charge_ELS_quasi,DX210&gt;Charge_ELS_freq,DY210&gt;charge_ELU,DZ210&gt;charge_ELA,$B210&gt;NDC!$H$22-0.1+MIN(3*$EA$12,1.5)),0,1))</f>
        <v>#N/A</v>
      </c>
      <c r="EB210" s="86" t="b">
        <f t="shared" si="359"/>
        <v>0</v>
      </c>
      <c r="EC210" s="418">
        <f t="shared" si="360"/>
        <v>0.51</v>
      </c>
      <c r="ED210" s="86">
        <f t="shared" si="361"/>
        <v>0.51</v>
      </c>
      <c r="EE210" s="30" t="e">
        <f t="shared" ca="1" si="392"/>
        <v>#DIV/0!</v>
      </c>
      <c r="EF210" s="85" t="e">
        <f ca="1">IF(DL210&lt;=Hypothèses!$V$7,Hypothèses!$W$7,IF(DL210&lt;=Hypothèses!$V$8,Hypothèses!$W$8,IF(DL210&lt;=Hypothèses!$V$9,Hypothèses!$W$9,IF(DL210&lt;=Hypothèses!$V$10,Hypothèses!$W$10,IF(DL210&lt;=Hypothèses!$V$11,Hypothèses!$W$11,IF(DL210&lt;=Hypothèses!$V$12,Hypothèses!$W$12,IF(DL210&lt;=Hypothèses!$V$13,Hypothèses!$W$13,IF(DL210&lt;=Hypothèses!$V$14,Hypothèses!$W$14,IF(DL210&lt;=Hypothèses!$V$15,Hypothèses!$W$15,IF(DL210&lt;=Hypothèses!$V$16,Hypothèses!$W$16,IF(DL210&lt;=Hypothèses!$V$17,Hypothèses!$W$17,IF(DL210&lt;=Hypothèses!$V$18,Hypothèses!$W$18,""))))))))))))</f>
        <v>#DIV/0!</v>
      </c>
      <c r="EG210" s="87" t="e">
        <f t="shared" ca="1" si="422"/>
        <v>#DIV/0!</v>
      </c>
      <c r="EH210" s="88" t="e">
        <f ca="1">IF(DL210&lt;=Hypothèses!$V$7,Hypothèses!$X$7,IF(DL210&lt;=Hypothèses!$V$8,Hypothèses!$X$8,IF(DL210&lt;=Hypothèses!$V$9,Hypothèses!$X$9,IF(DL210&lt;=Hypothèses!$V$10,Hypothèses!$X$10,IF(DL210&lt;=Hypothèses!$V$11,Hypothèses!$X$11,IF(DL210&lt;=Hypothèses!$V$12,Hypothèses!$X$12,IF(DL210&lt;=Hypothèses!$V$13,Hypothèses!$X$13,IF(DL210&lt;=Hypothèses!$V$14,Hypothèses!$X$14,IF(DL210&lt;=Hypothèses!$V$15,Hypothèses!$X$15,IF(DL210&lt;=Hypothèses!$V$16,Hypothèses!$X$16,IF(DL210&lt;=Hypothèses!$U$17,Hypothèses!$W$17,IF(DL210&lt;=Hypothèses!$U$18,Hypothèses!$W$18,""))))))))))))</f>
        <v>#DIV/0!</v>
      </c>
      <c r="EI210" s="95" t="e">
        <f t="shared" ca="1" si="393"/>
        <v>#DIV/0!</v>
      </c>
      <c r="EJ210" s="101" t="e">
        <f t="shared" ref="EJ210:EJ273" si="429">IF($I210=0,0,
IF(EI210&gt;5*EN$12,$I210,
IF($D210="Pressio.",1+($I210-1)*(EI210/EN$12)/5,
IF($D210="Pénétro.",IF($E210=1,0.3+($I210-0.3)*(EI210/EN$12)/5,
IF($E210=2,0.2+($I210-0.2)*(EI210/EN$12)/5,
IF($E210=3,0.1+($I210-0.1)*(EI210/EN$12)/5,
0.15+($I210-0.15)*(EI210/EN$12)/5)))))))</f>
        <v>#N/A</v>
      </c>
      <c r="EK210" s="91" t="e">
        <f t="shared" si="362"/>
        <v>#N/A</v>
      </c>
      <c r="EL210" s="30" t="e">
        <f t="shared" si="412"/>
        <v>#N/A</v>
      </c>
      <c r="EM210" s="30" t="e">
        <f t="shared" si="413"/>
        <v>#N/A</v>
      </c>
      <c r="EN210" s="31" t="e">
        <f>IF(OR(Hypothèses!$B$4=17,Hypothèses!$B$4=18,Hypothèses!$B$4=19,Hypothèses!$B$4=20),
IF($D210="Pressio.",
IF(OR($E210=3,$E210=1,$E210=4),EM210,EL210),
IF($D210="Pénétro.",
IF(OR($E210=3,$E210=1,$E210=4),EM210,EL210))),IF($D210="Pressio.",
IF($E210=3,EM210,EL210),
IF($D210="Pénétro.",
IF($E210=4,EM210,EL210))))</f>
        <v>#N/A</v>
      </c>
      <c r="EO210" s="31" t="e">
        <f>(IF(OR(Hypothèses!$B$4=17,Hypothèses!$B$4=18,Hypothèses!$B$4=19,Hypothèses!$B$4=20),
IF($D210="Pressio.",
IF(OR($E210=3,$E210=1,$E210=4),(PI()*EO$12^2)/4*(EK210*$W210*1000)/($H210*$B$5),(PI()*EO$12^2)/4*(EK210*$W210*1000)/($G210*$B$5)),
IF($D210="Pénétro.",
IF(OR($E210=4,$E210=1,$E210=5),(PI()*EO$12^2)/4*(EK210*$W210*1000)/($H210*$B$5),(PI()*EO$12^2)/4*(EK210*$W210*1000)/($G210*$B$5)))),
IF($D210="Pressio.",
IF($E210=3,(PI()*EO$12^2)/4*(EK210*$W210*1000)/($H210*$B$5),(PI()*EO$12^2)/4*(EK210*$W210*1000)/($G210*$B$5)),
IF($D210="Pénétro.",
IF($E210=4,(PI()*EO$12^2)/4*(EK210*$W210*1000)/($H210*$B$5),(PI()*EO$12^2)/4*(EK210*$W210*1000)/($G210*$B$5))))))/10</f>
        <v>#N/A</v>
      </c>
      <c r="EP210" s="102" t="e">
        <f>(VLOOKUP($B$3,'Coeff EC7'!$T$39:$X$59,2,0)*EN210+VLOOKUP($B$3,'Coeff EC7'!$T$65:$X$85,2,0)*Model0.1C!EO210)/1.1</f>
        <v>#N/A</v>
      </c>
      <c r="EQ210" s="102" t="e">
        <f>(VLOOKUP($B$3,'Coeff EC7'!$T$39:$X$59,3,0)*EN210+VLOOKUP($B$3,'Coeff EC7'!$T$65:$X$85,3,0)*Model0.1C!EO210)/0.9</f>
        <v>#N/A</v>
      </c>
      <c r="ER210" s="102" t="e">
        <f t="shared" si="394"/>
        <v>#N/A</v>
      </c>
      <c r="ES210" s="102" t="e">
        <f t="shared" si="395"/>
        <v>#N/A</v>
      </c>
      <c r="ET210" s="414" t="e">
        <f>IF(ET209=0,0,IF(AND(EP210&gt;charge_ELS_quasi,EQ210&gt;Charge_ELS_freq,ER210&gt;charge_ELU,ES210&gt;charge_ELA,$B210&gt;NDC!$H$22-0.1+MIN(3*$ET$12,1.5)),0,1))</f>
        <v>#N/A</v>
      </c>
      <c r="EU210" s="86" t="b">
        <f t="shared" si="363"/>
        <v>0</v>
      </c>
      <c r="EV210" s="86">
        <f t="shared" si="364"/>
        <v>0.61</v>
      </c>
      <c r="EW210" s="86">
        <f t="shared" si="365"/>
        <v>0.61</v>
      </c>
      <c r="EX210" s="30" t="e">
        <f t="shared" ca="1" si="396"/>
        <v>#DIV/0!</v>
      </c>
      <c r="EY210" s="85" t="e">
        <f ca="1">IF(EE210&lt;=Hypothèses!$V$7,Hypothèses!$W$7,IF(EE210&lt;=Hypothèses!$V$8,Hypothèses!$W$8,IF(EE210&lt;=Hypothèses!$V$9,Hypothèses!$W$9,IF(EE210&lt;=Hypothèses!$V$10,Hypothèses!$W$10,IF(EE210&lt;=Hypothèses!$V$11,Hypothèses!$W$11,IF(EE210&lt;=Hypothèses!$V$12,Hypothèses!$W$12,IF(EE210&lt;=Hypothèses!$V$13,Hypothèses!$W$13,IF(EE210&lt;=Hypothèses!$V$14,Hypothèses!$W$14,IF(EE210&lt;=Hypothèses!$V$15,Hypothèses!$W$15,IF(EE210&lt;=Hypothèses!$V$16,Hypothèses!$W$16,IF(EE210&lt;=Hypothèses!$V$17,Hypothèses!$W$17,IF(EE210&lt;=Hypothèses!$V$18,Hypothèses!$W$18,""))))))))))))</f>
        <v>#DIV/0!</v>
      </c>
      <c r="EZ210" s="87" t="e">
        <f t="shared" ca="1" si="423"/>
        <v>#DIV/0!</v>
      </c>
      <c r="FA210" s="88" t="e">
        <f ca="1">IF(EE210&lt;=Hypothèses!$V$7,Hypothèses!$X$7,IF(EE210&lt;=Hypothèses!$V$8,Hypothèses!$X$8,IF(EE210&lt;=Hypothèses!$V$9,Hypothèses!$X$9,IF(EE210&lt;=Hypothèses!$V$10,Hypothèses!$X$10,IF(EE210&lt;=Hypothèses!$V$11,Hypothèses!$X$11,IF(EE210&lt;=Hypothèses!$V$12,Hypothèses!$X$12,IF(EE210&lt;=Hypothèses!$V$13,Hypothèses!$X$13,IF(EE210&lt;=Hypothèses!$V$14,Hypothèses!$X$14,IF(EE210&lt;=Hypothèses!$V$15,Hypothèses!$X$15,IF(EE210&lt;=Hypothèses!$V$16,Hypothèses!$X$16,IF(EE210&lt;=Hypothèses!$U$17,Hypothèses!$W$17,IF(EE210&lt;=Hypothèses!$U$18,Hypothèses!$W$18,""))))))))))))</f>
        <v>#DIV/0!</v>
      </c>
      <c r="FB210" s="95" t="e">
        <f t="shared" ca="1" si="397"/>
        <v>#DIV/0!</v>
      </c>
      <c r="FC210" s="101" t="e">
        <f t="shared" ref="FC210:FC273" si="430">IF($I210=0,0,
IF(FB210&gt;5*FG$12,$I210,
IF($D210="Pressio.",1+($I210-1)*(FB210/FG$12)/5,
IF($D210="Pénétro.",IF($E210=1,0.3+($I210-0.3)*(FB210/FG$12)/5,
IF($E210=2,0.2+($I210-0.2)*(FB210/FG$12)/5,
IF($E210=3,0.1+($I210-0.1)*(FB210/FG$12)/5,
0.15+($I210-0.15)*(FB210/FG$12)/5)))))))</f>
        <v>#N/A</v>
      </c>
      <c r="FD210" s="91" t="e">
        <f t="shared" si="366"/>
        <v>#N/A</v>
      </c>
      <c r="FE210" s="30" t="e">
        <f t="shared" si="414"/>
        <v>#N/A</v>
      </c>
      <c r="FF210" s="30" t="e">
        <f t="shared" si="415"/>
        <v>#N/A</v>
      </c>
      <c r="FG210" s="31" t="e">
        <f>IF(OR(Hypothèses!$B$4=17,Hypothèses!$B$4=18,Hypothèses!$B$4=19,Hypothèses!$B$4=20),
IF($D210="Pressio.",
IF(OR($E210=3,$E210=1,$E210=4),FF210,FE210),
IF($D210="Pénétro.",
IF(OR($E210=3,$E210=1,$E210=4),FF210,FE210))),IF($D210="Pressio.",
IF($E210=3,FF210,FE210),
IF($D210="Pénétro.",
IF($E210=4,FF210,FE210))))</f>
        <v>#N/A</v>
      </c>
      <c r="FH210" s="31" t="e">
        <f>(IF(OR(Hypothèses!$B$4=17,Hypothèses!$B$4=18,Hypothèses!$B$4=19,Hypothèses!$B$4=20),
IF($D210="Pressio.",
IF(OR($E210=3,$E210=1,$E210=4),(PI()*FH$12^2)/4*(FD210*$W210*1000)/($H210*$B$5),(PI()*FH$12^2)/4*(FD210*$W210*1000)/($G210*$B$5)),
IF($D210="Pénétro.",
IF(OR($E210=4,$E210=1,$E210=5),(PI()*FH$12^2)/4*(FD210*$W210*1000)/($H210*$B$5),(PI()*FH$12^2)/4*(FD210*$W210*1000)/($G210*$B$5)))),
IF($D210="Pressio.",
IF($E210=3,(PI()*FH$12^2)/4*(FD210*$W210*1000)/($H210*$B$5),(PI()*FH$12^2)/4*(FD210*$W210*1000)/($G210*$B$5)),
IF($D210="Pénétro.",
IF($E210=4,(PI()*FH$12^2)/4*(FD210*$W210*1000)/($H210*$B$5),(PI()*FH$12^2)/4*(FD210*$W210*1000)/($G210*$B$5))))))/10</f>
        <v>#N/A</v>
      </c>
      <c r="FI210" s="102" t="e">
        <f>(VLOOKUP($B$3,'Coeff EC7'!$T$39:$X$59,2,0)*FG210+VLOOKUP($B$3,'Coeff EC7'!$T$65:$X$85,2,0)*Model0.1C!FH210)/1.1</f>
        <v>#N/A</v>
      </c>
      <c r="FJ210" s="102" t="e">
        <f>(VLOOKUP($B$3,'Coeff EC7'!$T$39:$X$59,3,0)*FG210+VLOOKUP($B$3,'Coeff EC7'!$T$65:$X$85,3,0)*Model0.1C!FH210)/0.9</f>
        <v>#N/A</v>
      </c>
      <c r="FK210" s="102" t="e">
        <f t="shared" si="398"/>
        <v>#N/A</v>
      </c>
      <c r="FL210" s="102" t="e">
        <f t="shared" si="399"/>
        <v>#N/A</v>
      </c>
      <c r="FM210" s="414" t="e">
        <f>IF(FM209=0,0,IF(AND(FI210&gt;charge_ELS_quasi,FJ210&gt;Charge_ELS_freq,FK210&gt;charge_ELU,FL210&gt;charge_ELA,$B210&gt;NDC!$H$22-0.1+MIN(3*$FM$12,1.5)),0,1))</f>
        <v>#N/A</v>
      </c>
    </row>
    <row r="211" spans="1:169">
      <c r="A211" s="96">
        <f t="shared" si="367"/>
        <v>80.200000000001125</v>
      </c>
      <c r="B211" s="97">
        <v>19.8</v>
      </c>
      <c r="C211" s="81">
        <f>IF(B211&lt;=Hypothèses!$C$7,Hypothèses!$A$7,IF(B211&lt;=Hypothèses!$C$8,Hypothèses!$A$8,IF(B211&lt;=Hypothèses!$C$9,Hypothèses!$A$9,IF(B211&lt;=Hypothèses!$C$10,Hypothèses!$A$10,IF(B211&lt;=Hypothèses!$C$11,Hypothèses!$A$11,IF(B211&lt;=Hypothèses!$C$12,Hypothèses!$A$12,IF(B211&lt;=Hypothèses!$C$13,Hypothèses!$A$13,IF(B211&lt;=Hypothèses!$C$14,Hypothèses!$A$14,IF(B211&lt;=Hypothèses!$C$15,Hypothèses!$A$15,IF(B211&lt;=Hypothèses!$C$16,Hypothèses!$A$16,IF(B211&lt;=Hypothèses!$C$17,Hypothèses!$A$17,IF(B211&lt;=Hypothèses!$C$18,Hypothèses!$A$18,C210))))))))))))</f>
        <v>11</v>
      </c>
      <c r="D211" s="82" t="str">
        <f>IF(B211&lt;=Hypothèses!$C$7,Hypothèses!$R$7,IF(B211&lt;=Hypothèses!$C$8,Hypothèses!$R$8,IF(B211&lt;=Hypothèses!$C$9,Hypothèses!$R$9,IF(B211&lt;=Hypothèses!$C$10,Hypothèses!$R$10,IF(B211&lt;=Hypothèses!$C$11,Hypothèses!$R$11,IF(B211&lt;=Hypothèses!$C$12,Hypothèses!$R$12,IF(B211&lt;=Hypothèses!$C$13,Hypothèses!$R$13,IF(B211&lt;=Hypothèses!$C$14,Hypothèses!$R$14,IF(B211&lt;=Hypothèses!$C$15,Hypothèses!$R$15,IF(B211&lt;=Hypothèses!$C$16,Hypothèses!$R$16,IF(B211&lt;=Hypothèses!$C$17,Hypothèses!$R$17,IF(B211&lt;=Hypothèses!$C$18,Hypothèses!$R$18,D210))))))))))))</f>
        <v>Pressio.</v>
      </c>
      <c r="E211" s="82" t="e">
        <f>IF(B211&lt;=Hypothèses!$C$7,Hypothèses!$G$7,IF(B211&lt;=Hypothèses!$C$8,Hypothèses!$G$8,IF(B211&lt;=Hypothèses!$C$9,Hypothèses!$G$9,IF(B211&lt;=Hypothèses!$C$10,Hypothèses!$G$10,IF(B211&lt;=Hypothèses!$C$11,Hypothèses!$G$11,IF(B211&lt;=Hypothèses!$C$12,Hypothèses!$G$12,IF(B211&lt;=Hypothèses!$C$13,Hypothèses!$G$13,IF(B211&lt;=Hypothèses!$C$14,Hypothèses!$G$14,IF(B211&lt;=Hypothèses!$C$15,Hypothèses!$G$15,IF(B211&lt;=Hypothèses!$C$16,Hypothèses!$G$16,IF(B211&lt;=Hypothèses!$C$17,Hypothèses!$G$17,IF(B211&lt;=Hypothèses!$C$18,Hypothèses!$G$18,E210))))))))))))</f>
        <v>#N/A</v>
      </c>
      <c r="F211" s="82" t="str">
        <f>IF(B211&lt;=Hypothèses!$C$7,Hypothèses!$F$7,IF(B211&lt;=Hypothèses!$C$8,Hypothèses!$F$8,IF(B211&lt;=Hypothèses!$C$9,Hypothèses!$F$9,IF(B211&lt;=Hypothèses!$C$10,Hypothèses!$F$10,IF(B211&lt;=Hypothèses!$C$11,Hypothèses!$F$11,IF(B211&lt;=Hypothèses!$C$12,Hypothèses!$F$12,IF(B211&lt;=Hypothèses!$C$13,Hypothèses!$F$13,IF(B211&lt;=Hypothèses!$C$14,Hypothèses!$F$14,IF(B211&lt;=Hypothèses!$C$15,Hypothèses!$F$15,IF(B211&lt;=Hypothèses!$C$16,Hypothèses!$F$16,IF(B211&lt;=Hypothèses!$C$17,Hypothèses!$F$17,IF(B211&lt;=Hypothèses!$C$18,Hypothèses!$F$18,F210))))))))))))</f>
        <v/>
      </c>
      <c r="G211" s="91">
        <f t="array" ref="G211">INDEX('Coeff EC7'!$U$7:$X$27,
MATCH(Model0.1C!$B$3,'Coeff EC7'!$T$7:$T$27,0),
MATCH(Model0.1C!$D211&amp;Model0.1C!$B$4,
'Coeff EC7'!$U$6:$X$6&amp;
'Coeff EC7'!$U$5:$X$5,0))</f>
        <v>1.1499999999999999</v>
      </c>
      <c r="H211" s="91">
        <f t="array" ref="H211">INDEX('Coeff EC7'!$Y$7:$AB$27,
MATCH(Model0.1C!$B$3,'Coeff EC7'!$T$7:$T$27,0),
MATCH(Model0.1C!$D211&amp;Model0.1C!$B$4,
'Coeff EC7'!$Y$6:$AB$6&amp;
'Coeff EC7'!$Y$5:$AB$5,0))</f>
        <v>1.4</v>
      </c>
      <c r="I211" s="83" t="e">
        <f>IF(B211&lt;=Hypothèses!$C$7,Hypothèses!$P$7,IF(B211&lt;=Hypothèses!$C$8,Hypothèses!$P$8,IF(B211&lt;=Hypothèses!$C$9,Hypothèses!$P$9,IF(B211&lt;=Hypothèses!$C$10,Hypothèses!$P$10,IF(B211&lt;=Hypothèses!$C$11,Hypothèses!$P$11,IF(B211&lt;=Hypothèses!$C$12,Hypothèses!$P$12,IF(B211&lt;=Hypothèses!$C$13,Hypothèses!$P$13,IF(B211&lt;=Hypothèses!$C$14,Hypothèses!$P$14,IF(B211&lt;=Hypothèses!$C$15,Hypothèses!$P$15,IF(B211&lt;=Hypothèses!$C$16,Hypothèses!$P$16,IF(B211&lt;=Hypothèses!$C$17,Hypothèses!$P$17,IF(B211&lt;=Hypothèses!$C$18,Hypothèses!$P$18,I210))))))))))))</f>
        <v>#N/A</v>
      </c>
      <c r="J211" s="91" t="e">
        <f t="array" ref="J211">INDEX('Coeff EC7'!$D$33:$Q$33,1,MATCH(D211&amp;E211,'Coeff EC7'!$D$31:$Q$31&amp;'Coeff EC7'!$D$32:$Q$32,0))</f>
        <v>#N/A</v>
      </c>
      <c r="K211" s="91" t="e">
        <f t="array" ref="K211">INDEX('Coeff EC7'!$D$34:$Q$34,1,MATCH(D211&amp;E211,'Coeff EC7'!$D$31:$Q$31&amp;'Coeff EC7'!$D$32:$Q$32,0))</f>
        <v>#N/A</v>
      </c>
      <c r="L211" s="91" t="e">
        <f t="array" ref="L211">INDEX('Coeff EC7'!$D$35:$Q$35,1,MATCH(D211&amp;E211,'Coeff EC7'!$D$31:$Q$31&amp;'Coeff EC7'!$D$32:$Q$32,0))</f>
        <v>#N/A</v>
      </c>
      <c r="M211" s="98" t="e">
        <f t="shared" si="331"/>
        <v>#N/A</v>
      </c>
      <c r="N211" s="99" t="e">
        <f t="array" ref="N211">INDEX('Coeff EC7'!$D$7:$Q$27,MATCH($B$3,'Coeff EC7'!$C$7:$C$27,0),MATCH(D211&amp;E211,'Coeff EC7'!$D$5:$Q$5&amp;'Coeff EC7'!$D$6:$Q$6,0))</f>
        <v>#N/A</v>
      </c>
      <c r="O211" s="99" t="e">
        <f t="array" ref="O211">INDEX('Coeff EC7'!$D$41:$Q$61,MATCH($B$3,'Coeff EC7'!$C$41:$C$61,0),MATCH(D211&amp;E211,'Coeff EC7'!$D$39:$Q$39&amp;'Coeff EC7'!$D$40:$Q$40,0))</f>
        <v>#N/A</v>
      </c>
      <c r="P211" s="30" t="e">
        <f t="shared" si="368"/>
        <v>#N/A</v>
      </c>
      <c r="Q211" s="100" t="e">
        <f t="shared" si="333"/>
        <v>#N/A</v>
      </c>
      <c r="R211" s="86" t="b">
        <f t="shared" si="334"/>
        <v>0</v>
      </c>
      <c r="S211" s="86">
        <f t="shared" si="332"/>
        <v>0.5</v>
      </c>
      <c r="T211" s="86">
        <f t="shared" si="335"/>
        <v>0.5</v>
      </c>
      <c r="U211" s="30" t="e">
        <f t="shared" ca="1" si="369"/>
        <v>#DIV/0!</v>
      </c>
      <c r="V211" s="85" t="str">
        <f>IF(B211&lt;=Hypothèses!$V$7,Hypothèses!$W$7,IF(B211&lt;=Hypothèses!$V$8,Hypothèses!$W$8,IF(B211&lt;=Hypothèses!$V$9,Hypothèses!$W$9,IF(B211&lt;=Hypothèses!$V$10,Hypothèses!$W$10,IF(B211&lt;=Hypothèses!$V$11,Hypothèses!$W$11,IF(B211&lt;=Hypothèses!$V$12,Hypothèses!$W$12,IF(B211&lt;=Hypothèses!$V$13,Hypothèses!$W$13,IF(B211&lt;=Hypothèses!$V$14,Hypothèses!$W$14,IF(B211&lt;=Hypothèses!$V$15,Hypothèses!$W$15,IF(B211&lt;=Hypothèses!$V$16,Hypothèses!$W$16,IF(B211&lt;=Hypothèses!$V$17,Hypothèses!$W$17,IF(B211&lt;=Hypothèses!$V$18,Hypothèses!$W$18,""))))))))))))</f>
        <v/>
      </c>
      <c r="W211" s="87" t="e">
        <f t="shared" ca="1" si="416"/>
        <v>#DIV/0!</v>
      </c>
      <c r="X211" s="88" t="str">
        <f>IF(B211&lt;=Hypothèses!$V$7,Hypothèses!$X$7,IF(B211&lt;=Hypothèses!$V$8,Hypothèses!$X$8,IF(B211&lt;=Hypothèses!$V$9,Hypothèses!$X$9,IF(B211&lt;=Hypothèses!$V$10,Hypothèses!$X$10,IF(B211&lt;=Hypothèses!$V$11,Hypothèses!$X$11,IF(B211&lt;=Hypothèses!$V$12,Hypothèses!$X$12,IF(B211&lt;=Hypothèses!$V$13,Hypothèses!$X$13,IF(B211&lt;=Hypothèses!$V$14,Hypothèses!$X$14,IF(B211&lt;=Hypothèses!$V$15,Hypothèses!$X$15,IF(B211&lt;=Hypothèses!$V$16,Hypothèses!$X$16,IF(B211&lt;=Hypothèses!$U$17,Hypothèses!$W$17,IF(B211&lt;=Hypothèses!$U$18,Hypothèses!$W$18,""))))))))))))</f>
        <v/>
      </c>
      <c r="Y211" s="95" t="e">
        <f t="shared" ca="1" si="336"/>
        <v>#DIV/0!</v>
      </c>
      <c r="Z211" s="101" t="e">
        <f t="shared" si="337"/>
        <v>#N/A</v>
      </c>
      <c r="AA211" s="91" t="e">
        <f t="shared" si="338"/>
        <v>#N/A</v>
      </c>
      <c r="AB211" s="30" t="e">
        <f t="shared" si="400"/>
        <v>#N/A</v>
      </c>
      <c r="AC211" s="30" t="e">
        <f t="shared" si="401"/>
        <v>#N/A</v>
      </c>
      <c r="AD211" s="31" t="e">
        <f>IF(OR(Hypothèses!$B$4=17,Hypothèses!$B$4=18,Hypothèses!$B$4=19,Hypothèses!$B$4=20),
IF($D211="Pressio.",
IF(OR($E211=3,$E211=1,$E211=4),AC211,AB211),
IF($D211="Pénétro.",
IF(OR($E211=3,$E211=1,$E211=4),AC211,AB211))),IF($D211="Pressio.",
IF($E211=3,AC211,AB211),
IF($D211="Pénétro.",
IF($E211=4,AC211,AB211))))</f>
        <v>#N/A</v>
      </c>
      <c r="AE211" s="31" t="e">
        <f>(IF(OR(Hypothèses!$B$4=17,Hypothèses!$B$4=18,Hypothèses!$B$4=19,Hypothèses!$B$4=20),
IF($D211="Pressio.",
IF(OR($E211=3,$E211=1,$E211=4),(PI()*AE$12^2)/4*(AA211*$W211*1000)/($H211*$B$5),(PI()*AE$12^2)/4*(AA211*$W211*1000)/($G211*$B$5)),
IF($D211="Pénétro.",
IF(OR($E211=4,$E211=1,$E211=5),(PI()*AE$12^2)/4*(AA211*$W211*1000)/($H211*$B$5),(PI()*AE$12^2)/4*(AA211*$W211*1000)/($G211*$B$5)))),
IF($D211="Pressio.",
IF($E211=3,(PI()*AE$12^2)/4*(AA211*$W211*1000)/($H211*$B$5),(PI()*AE$12^2)/4*(AA211*$W211*1000)/($G211*$B$5)),
IF($D211="Pénétro.",
IF($E211=4,(PI()*AE$12^2)/4*(AA211*$W211*1000)/($H211*$B$5),(PI()*AE$12^2)/4*(AA211*$W211*1000)/($G211*$B$5))))))/10</f>
        <v>#N/A</v>
      </c>
      <c r="AF211" s="102" t="e">
        <f>(VLOOKUP($B$3,'Coeff EC7'!$T$39:$X$59,2,0)*AD211+VLOOKUP($B$3,'Coeff EC7'!$T$65:$X$85,2,0)*Model0.1C!AE211)/1.1</f>
        <v>#N/A</v>
      </c>
      <c r="AG211" s="102" t="e">
        <f>(VLOOKUP($B$3,'Coeff EC7'!$T$39:$X$59,3,0)*AD211+VLOOKUP($B$3,'Coeff EC7'!$T$65:$X$85,3,0)*Model0.1C!AE211)/0.9</f>
        <v>#N/A</v>
      </c>
      <c r="AH211" s="102" t="e">
        <f t="shared" si="339"/>
        <v>#N/A</v>
      </c>
      <c r="AI211" s="102" t="e">
        <f t="shared" si="340"/>
        <v>#N/A</v>
      </c>
      <c r="AJ211" s="414" t="e">
        <f>IF(AJ210=0,0,IF(AND(AF211&gt;charge_ELS_quasi,AG211&gt;Charge_ELS_freq,AH211&gt;charge_ELU,AI211&gt;charge_ELA,$B211&gt;NDC!$H$22-0.1+MIN(3*$AJ$12,1.5)),0,1))</f>
        <v>#N/A</v>
      </c>
      <c r="AK211" s="86" t="b">
        <f t="shared" si="341"/>
        <v>0</v>
      </c>
      <c r="AL211" s="86">
        <f t="shared" si="370"/>
        <v>0.5</v>
      </c>
      <c r="AM211" s="86">
        <f t="shared" si="342"/>
        <v>0.5</v>
      </c>
      <c r="AN211" s="30" t="e">
        <f t="shared" ca="1" si="371"/>
        <v>#DIV/0!</v>
      </c>
      <c r="AO211" s="85" t="e">
        <f ca="1">IF(U211&lt;=Hypothèses!$V$7,Hypothèses!$W$7,IF(U211&lt;=Hypothèses!$V$8,Hypothèses!$W$8,IF(U211&lt;=Hypothèses!$V$9,Hypothèses!$W$9,IF(U211&lt;=Hypothèses!$V$10,Hypothèses!$W$10,IF(U211&lt;=Hypothèses!$V$11,Hypothèses!$W$11,IF(U211&lt;=Hypothèses!$V$12,Hypothèses!$W$12,IF(U211&lt;=Hypothèses!$V$13,Hypothèses!$W$13,IF(U211&lt;=Hypothèses!$V$14,Hypothèses!$W$14,IF(U211&lt;=Hypothèses!$V$15,Hypothèses!$W$15,IF(U211&lt;=Hypothèses!$V$16,Hypothèses!$W$16,IF(U211&lt;=Hypothèses!$V$17,Hypothèses!$W$17,IF(U211&lt;=Hypothèses!$V$18,Hypothèses!$W$18,""))))))))))))</f>
        <v>#DIV/0!</v>
      </c>
      <c r="AP211" s="87" t="e">
        <f t="shared" ca="1" si="417"/>
        <v>#DIV/0!</v>
      </c>
      <c r="AQ211" s="88" t="e">
        <f ca="1">IF(U211&lt;=Hypothèses!$V$7,Hypothèses!$X$7,IF(U211&lt;=Hypothèses!$V$8,Hypothèses!$X$8,IF(U211&lt;=Hypothèses!$V$9,Hypothèses!$X$9,IF(U211&lt;=Hypothèses!$V$10,Hypothèses!$X$10,IF(U211&lt;=Hypothèses!$V$11,Hypothèses!$X$11,IF(U211&lt;=Hypothèses!$V$12,Hypothèses!$X$12,IF(U211&lt;=Hypothèses!$V$13,Hypothèses!$X$13,IF(U211&lt;=Hypothèses!$V$14,Hypothèses!$X$14,IF(U211&lt;=Hypothèses!$V$15,Hypothèses!$X$15,IF(U211&lt;=Hypothèses!$V$16,Hypothèses!$X$16,IF(U211&lt;=Hypothèses!$U$17,Hypothèses!$W$17,IF(U211&lt;=Hypothèses!$U$18,Hypothèses!$W$18,""))))))))))))</f>
        <v>#DIV/0!</v>
      </c>
      <c r="AR211" s="95" t="e">
        <f t="shared" ca="1" si="372"/>
        <v>#DIV/0!</v>
      </c>
      <c r="AS211" s="101" t="e">
        <f t="shared" si="424"/>
        <v>#N/A</v>
      </c>
      <c r="AT211" s="91" t="e">
        <f t="shared" si="343"/>
        <v>#N/A</v>
      </c>
      <c r="AU211" s="30" t="e">
        <f t="shared" si="402"/>
        <v>#N/A</v>
      </c>
      <c r="AV211" s="30" t="e">
        <f t="shared" si="403"/>
        <v>#N/A</v>
      </c>
      <c r="AW211" s="31" t="e">
        <f>IF(OR(Hypothèses!$B$4=17,Hypothèses!$B$4=18,Hypothèses!$B$4=19,Hypothèses!$B$4=20),
IF($D211="Pressio.",
IF(OR($E211=3,$E211=1,$E211=4),AV211,AU211),
IF($D211="Pénétro.",
IF(OR($E211=3,$E211=1,$E211=4),AV211,AU211))),IF($D211="Pressio.",
IF($E211=3,AV211,AU211),
IF($D211="Pénétro.",
IF($E211=4,AV211,AU211))))</f>
        <v>#N/A</v>
      </c>
      <c r="AX211" s="31" t="e">
        <f>(IF(OR(Hypothèses!$B$4=17,Hypothèses!$B$4=18,Hypothèses!$B$4=19,Hypothèses!$B$4=20),
IF($D211="Pressio.",
IF(OR($E211=3,$E211=1,$E211=4),(PI()*AX$12^2)/4*(AT211*$W211*1000)/($H211*$B$5),(PI()*AX$12^2)/4*(AT211*$W211*1000)/($G211*$B$5)),
IF($D211="Pénétro.",
IF(OR($E211=4,$E211=1,$E211=5),(PI()*AX$12^2)/4*(AT211*$W211*1000)/($H211*$B$5),(PI()*AX$12^2)/4*(AT211*$W211*1000)/($G211*$B$5)))),
IF($D211="Pressio.",
IF($E211=3,(PI()*AX$12^2)/4*(AT211*$W211*1000)/($H211*$B$5),(PI()*AX$12^2)/4*(AT211*$W211*1000)/($G211*$B$5)),
IF($D211="Pénétro.",
IF($E211=4,(PI()*AX$12^2)/4*(AT211*$W211*1000)/($H211*$B$5),(PI()*AX$12^2)/4*(AT211*$W211*1000)/($G211*$B$5))))))/10</f>
        <v>#N/A</v>
      </c>
      <c r="AY211" s="102" t="e">
        <f>(VLOOKUP($B$3,'Coeff EC7'!$T$39:$X$59,2,0)*AW211+VLOOKUP($B$3,'Coeff EC7'!$T$65:$X$85,2,0)*Model0.1C!AX211)/1.1</f>
        <v>#N/A</v>
      </c>
      <c r="AZ211" s="102" t="e">
        <f>(VLOOKUP($B$3,'Coeff EC7'!$T$39:$X$59,3,0)*AW211+VLOOKUP($B$3,'Coeff EC7'!$T$65:$X$85,3,0)*Model0.1C!AX211)/0.9</f>
        <v>#N/A</v>
      </c>
      <c r="BA211" s="102" t="e">
        <f t="shared" si="373"/>
        <v>#N/A</v>
      </c>
      <c r="BB211" s="102" t="e">
        <f t="shared" si="374"/>
        <v>#N/A</v>
      </c>
      <c r="BC211" s="414" t="e">
        <f>IF(BC210=0,0,IF(AND(AY211&gt;charge_ELS_quasi,AZ211&gt;Charge_ELS_freq,BA211&gt;charge_ELU,BB211&gt;charge_ELA,$B211&gt;NDC!$H$22-0.1+MIN(3*$BC$12,1.5)),0,1))</f>
        <v>#N/A</v>
      </c>
      <c r="BD211" s="86" t="b">
        <f t="shared" si="344"/>
        <v>0</v>
      </c>
      <c r="BE211" s="86">
        <f t="shared" si="375"/>
        <v>0.5</v>
      </c>
      <c r="BF211" s="86">
        <f t="shared" si="345"/>
        <v>0.5</v>
      </c>
      <c r="BG211" s="30" t="e">
        <f t="shared" ca="1" si="376"/>
        <v>#DIV/0!</v>
      </c>
      <c r="BH211" s="85" t="e">
        <f ca="1">IF(AN211&lt;=Hypothèses!$V$7,Hypothèses!$W$7,IF(AN211&lt;=Hypothèses!$V$8,Hypothèses!$W$8,IF(AN211&lt;=Hypothèses!$V$9,Hypothèses!$W$9,IF(AN211&lt;=Hypothèses!$V$10,Hypothèses!$W$10,IF(AN211&lt;=Hypothèses!$V$11,Hypothèses!$W$11,IF(AN211&lt;=Hypothèses!$V$12,Hypothèses!$W$12,IF(AN211&lt;=Hypothèses!$V$13,Hypothèses!$W$13,IF(AN211&lt;=Hypothèses!$V$14,Hypothèses!$W$14,IF(AN211&lt;=Hypothèses!$V$15,Hypothèses!$W$15,IF(AN211&lt;=Hypothèses!$V$16,Hypothèses!$W$16,IF(AN211&lt;=Hypothèses!$V$17,Hypothèses!$W$17,IF(AN211&lt;=Hypothèses!$V$18,Hypothèses!$W$18,""))))))))))))</f>
        <v>#DIV/0!</v>
      </c>
      <c r="BI211" s="87" t="e">
        <f t="shared" ca="1" si="418"/>
        <v>#DIV/0!</v>
      </c>
      <c r="BJ211" s="88" t="e">
        <f ca="1">IF(AN211&lt;=Hypothèses!$V$7,Hypothèses!$X$7,IF(AN211&lt;=Hypothèses!$V$8,Hypothèses!$X$8,IF(AN211&lt;=Hypothèses!$V$9,Hypothèses!$X$9,IF(AN211&lt;=Hypothèses!$V$10,Hypothèses!$X$10,IF(AN211&lt;=Hypothèses!$V$11,Hypothèses!$X$11,IF(AN211&lt;=Hypothèses!$V$12,Hypothèses!$X$12,IF(AN211&lt;=Hypothèses!$V$13,Hypothèses!$X$13,IF(AN211&lt;=Hypothèses!$V$14,Hypothèses!$X$14,IF(AN211&lt;=Hypothèses!$V$15,Hypothèses!$X$15,IF(AN211&lt;=Hypothèses!$V$16,Hypothèses!$X$16,IF(AN211&lt;=Hypothèses!$U$17,Hypothèses!$W$17,IF(AN211&lt;=Hypothèses!$U$18,Hypothèses!$W$18,""))))))))))))</f>
        <v>#DIV/0!</v>
      </c>
      <c r="BK211" s="95" t="e">
        <f t="shared" ca="1" si="377"/>
        <v>#DIV/0!</v>
      </c>
      <c r="BL211" s="101" t="e">
        <f t="shared" si="425"/>
        <v>#N/A</v>
      </c>
      <c r="BM211" s="91" t="e">
        <f t="shared" si="346"/>
        <v>#N/A</v>
      </c>
      <c r="BN211" s="30" t="e">
        <f t="shared" si="404"/>
        <v>#N/A</v>
      </c>
      <c r="BO211" s="30" t="e">
        <f t="shared" si="405"/>
        <v>#N/A</v>
      </c>
      <c r="BP211" s="31" t="e">
        <f>IF(OR(Hypothèses!$B$4=17,Hypothèses!$B$4=18,Hypothèses!$B$4=19,Hypothèses!$B$4=20),
IF($D211="Pressio.",
IF(OR($E211=3,$E211=1,$E211=4),BO211,BN211),
IF($D211="Pénétro.",
IF(OR($E211=3,$E211=1,$E211=4),BO211,BN211))),IF($D211="Pressio.",
IF($E211=3,BO211,BN211),
IF($D211="Pénétro.",
IF($E211=4,BO211,BN211))))</f>
        <v>#N/A</v>
      </c>
      <c r="BQ211" s="31" t="e">
        <f>(IF(OR(Hypothèses!$B$4=17,Hypothèses!$B$4=18,Hypothèses!$B$4=19,Hypothèses!$B$4=20),
IF($D211="Pressio.",
IF(OR($E211=3,$E211=1,$E211=4),(PI()*BQ$12^2)/4*(BM211*$W211*1000)/($H211*$B$5),(PI()*BQ$12^2)/4*(BM211*$W211*1000)/($G211*$B$5)),
IF($D211="Pénétro.",
IF(OR($E211=4,$E211=1,$E211=5),(PI()*BQ$12^2)/4*(BM211*$W211*1000)/($H211*$B$5),(PI()*BQ$12^2)/4*(BM211*$W211*1000)/($G211*$B$5)))),
IF($D211="Pressio.",
IF($E211=3,(PI()*BQ$12^2)/4*(BM211*$W211*1000)/($H211*$B$5),(PI()*BQ$12^2)/4*(BM211*$W211*1000)/($G211*$B$5)),
IF($D211="Pénétro.",
IF($E211=4,(PI()*BQ$12^2)/4*(BM211*$W211*1000)/($H211*$B$5),(PI()*BQ$12^2)/4*(BM211*$W211*1000)/($G211*$B$5))))))/10</f>
        <v>#N/A</v>
      </c>
      <c r="BR211" s="102" t="e">
        <f>(VLOOKUP($B$3,'Coeff EC7'!$T$39:$X$59,2,0)*BP211+VLOOKUP($B$3,'Coeff EC7'!$T$65:$X$85,2,0)*Model0.1C!BQ211)/1.1</f>
        <v>#N/A</v>
      </c>
      <c r="BS211" s="102" t="e">
        <f>(VLOOKUP($B$3,'Coeff EC7'!$T$39:$X$59,3,0)*BP211+VLOOKUP($B$3,'Coeff EC7'!$T$65:$X$85,3,0)*Model0.1C!BQ211)/0.9</f>
        <v>#N/A</v>
      </c>
      <c r="BT211" s="102" t="e">
        <f t="shared" si="378"/>
        <v>#N/A</v>
      </c>
      <c r="BU211" s="102" t="e">
        <f t="shared" si="379"/>
        <v>#N/A</v>
      </c>
      <c r="BV211" s="414" t="e">
        <f>IF(BV210=0,0,IF(AND(BR211&gt;charge_ELS_quasi,BS211&gt;Charge_ELS_freq,BT211&gt;charge_ELU,BU211&gt;charge_ELA,$B211&gt;NDC!$H$22-0.1+MIN(3*$BV$12,1.5)),0,1))</f>
        <v>#N/A</v>
      </c>
      <c r="BW211" s="86" t="b">
        <f t="shared" si="347"/>
        <v>0</v>
      </c>
      <c r="BX211" s="86">
        <f t="shared" si="348"/>
        <v>0.5</v>
      </c>
      <c r="BY211" s="86">
        <f t="shared" si="349"/>
        <v>0.5</v>
      </c>
      <c r="BZ211" s="30" t="e">
        <f t="shared" ca="1" si="380"/>
        <v>#DIV/0!</v>
      </c>
      <c r="CA211" s="85" t="e">
        <f ca="1">IF(BG211&lt;=Hypothèses!$V$7,Hypothèses!$W$7,IF(BG211&lt;=Hypothèses!$V$8,Hypothèses!$W$8,IF(BG211&lt;=Hypothèses!$V$9,Hypothèses!$W$9,IF(BG211&lt;=Hypothèses!$V$10,Hypothèses!$W$10,IF(BG211&lt;=Hypothèses!$V$11,Hypothèses!$W$11,IF(BG211&lt;=Hypothèses!$V$12,Hypothèses!$W$12,IF(BG211&lt;=Hypothèses!$V$13,Hypothèses!$W$13,IF(BG211&lt;=Hypothèses!$V$14,Hypothèses!$W$14,IF(BG211&lt;=Hypothèses!$V$15,Hypothèses!$W$15,IF(BG211&lt;=Hypothèses!$V$16,Hypothèses!$W$16,IF(BG211&lt;=Hypothèses!$V$17,Hypothèses!$W$17,IF(BG211&lt;=Hypothèses!$V$18,Hypothèses!$W$18,""))))))))))))</f>
        <v>#DIV/0!</v>
      </c>
      <c r="CB211" s="87" t="e">
        <f t="shared" ca="1" si="419"/>
        <v>#DIV/0!</v>
      </c>
      <c r="CC211" s="88" t="e">
        <f ca="1">IF(BG211&lt;=Hypothèses!$V$7,Hypothèses!$X$7,IF(BG211&lt;=Hypothèses!$V$8,Hypothèses!$X$8,IF(BG211&lt;=Hypothèses!$V$9,Hypothèses!$X$9,IF(BG211&lt;=Hypothèses!$V$10,Hypothèses!$X$10,IF(BG211&lt;=Hypothèses!$V$11,Hypothèses!$X$11,IF(BG211&lt;=Hypothèses!$V$12,Hypothèses!$X$12,IF(BG211&lt;=Hypothèses!$V$13,Hypothèses!$X$13,IF(BG211&lt;=Hypothèses!$V$14,Hypothèses!$X$14,IF(BG211&lt;=Hypothèses!$V$15,Hypothèses!$X$15,IF(BG211&lt;=Hypothèses!$V$16,Hypothèses!$X$16,IF(BG211&lt;=Hypothèses!$U$17,Hypothèses!$W$17,IF(BG211&lt;=Hypothèses!$U$18,Hypothèses!$W$18,""))))))))))))</f>
        <v>#DIV/0!</v>
      </c>
      <c r="CD211" s="95" t="e">
        <f t="shared" ca="1" si="381"/>
        <v>#DIV/0!</v>
      </c>
      <c r="CE211" s="101" t="e">
        <f t="shared" si="426"/>
        <v>#N/A</v>
      </c>
      <c r="CF211" s="91" t="e">
        <f t="shared" si="350"/>
        <v>#N/A</v>
      </c>
      <c r="CG211" s="30" t="e">
        <f t="shared" si="406"/>
        <v>#N/A</v>
      </c>
      <c r="CH211" s="30" t="e">
        <f t="shared" si="407"/>
        <v>#N/A</v>
      </c>
      <c r="CI211" s="31" t="e">
        <f>IF(OR(Hypothèses!$B$4=17,Hypothèses!$B$4=18,Hypothèses!$B$4=19,Hypothèses!$B$4=20),
IF($D211="Pressio.",
IF(OR($E211=3,$E211=1,$E211=4),CH211,CG211),
IF($D211="Pénétro.",
IF(OR($E211=3,$E211=1,$E211=4),CH211,CG211))),IF($D211="Pressio.",
IF($E211=3,CH211,CG211),
IF($D211="Pénétro.",
IF($E211=4,CH211,CG211))))</f>
        <v>#N/A</v>
      </c>
      <c r="CJ211" s="31" t="e">
        <f>(IF(OR(Hypothèses!$B$4=17,Hypothèses!$B$4=18,Hypothèses!$B$4=19,Hypothèses!$B$4=20),
IF($D211="Pressio.",
IF(OR($E211=3,$E211=1,$E211=4),(PI()*CJ$12^2)/4*(CF211*$W211*1000)/($H211*$B$5),(PI()*CJ$12^2)/4*(CF211*$W211*1000)/($G211*$B$5)),
IF($D211="Pénétro.",
IF(OR($E211=4,$E211=1,$E211=5),(PI()*CJ$12^2)/4*(CF211*$W211*1000)/($H211*$B$5),(PI()*CJ$12^2)/4*(CF211*$W211*1000)/($G211*$B$5)))),
IF($D211="Pressio.",
IF($E211=3,(PI()*CJ$12^2)/4*(CF211*$W211*1000)/($H211*$B$5),(PI()*CJ$12^2)/4*(CF211*$W211*1000)/($G211*$B$5)),
IF($D211="Pénétro.",
IF($E211=4,(PI()*CJ$12^2)/4*(CF211*$W211*1000)/($H211*$B$5),(PI()*CJ$12^2)/4*(CF211*$W211*1000)/($G211*$B$5))))))/10</f>
        <v>#N/A</v>
      </c>
      <c r="CK211" s="102" t="e">
        <f>(VLOOKUP($B$3,'Coeff EC7'!$T$39:$X$59,2,0)*CI211+VLOOKUP($B$3,'Coeff EC7'!$T$65:$X$85,2,0)*Model0.1C!CJ211)/1.1</f>
        <v>#N/A</v>
      </c>
      <c r="CL211" s="102" t="e">
        <f>(VLOOKUP($B$3,'Coeff EC7'!$T$39:$X$59,3,0)*CI211+VLOOKUP($B$3,'Coeff EC7'!$T$65:$X$85,3,0)*Model0.1C!CJ211)/0.9</f>
        <v>#N/A</v>
      </c>
      <c r="CM211" s="102" t="e">
        <f t="shared" si="382"/>
        <v>#N/A</v>
      </c>
      <c r="CN211" s="102" t="e">
        <f t="shared" si="383"/>
        <v>#N/A</v>
      </c>
      <c r="CO211" s="414" t="e">
        <f>IF(CO210=0,0,IF(AND(CK211&gt;charge_ELS_quasi,CL211&gt;Charge_ELS_freq,CM211&gt;charge_ELU,CN211&gt;charge_ELA,$B211&gt;NDC!$H$22-0.1+MIN(3*$CO$12,1.5)),0,1))</f>
        <v>#N/A</v>
      </c>
      <c r="CP211" s="86" t="b">
        <f t="shared" si="351"/>
        <v>0</v>
      </c>
      <c r="CQ211" s="86">
        <f t="shared" si="352"/>
        <v>0.5</v>
      </c>
      <c r="CR211" s="86">
        <f t="shared" si="353"/>
        <v>0.5</v>
      </c>
      <c r="CS211" s="30" t="e">
        <f t="shared" ca="1" si="384"/>
        <v>#DIV/0!</v>
      </c>
      <c r="CT211" s="85" t="e">
        <f ca="1">IF(BZ211&lt;=Hypothèses!$V$7,Hypothèses!$W$7,IF(BZ211&lt;=Hypothèses!$V$8,Hypothèses!$W$8,IF(BZ211&lt;=Hypothèses!$V$9,Hypothèses!$W$9,IF(BZ211&lt;=Hypothèses!$V$10,Hypothèses!$W$10,IF(BZ211&lt;=Hypothèses!$V$11,Hypothèses!$W$11,IF(BZ211&lt;=Hypothèses!$V$12,Hypothèses!$W$12,IF(BZ211&lt;=Hypothèses!$V$13,Hypothèses!$W$13,IF(BZ211&lt;=Hypothèses!$V$14,Hypothèses!$W$14,IF(BZ211&lt;=Hypothèses!$V$15,Hypothèses!$W$15,IF(BZ211&lt;=Hypothèses!$V$16,Hypothèses!$W$16,IF(BZ211&lt;=Hypothèses!$V$17,Hypothèses!$W$17,IF(BZ211&lt;=Hypothèses!$V$18,Hypothèses!$W$18,""))))))))))))</f>
        <v>#DIV/0!</v>
      </c>
      <c r="CU211" s="87" t="e">
        <f t="shared" ca="1" si="420"/>
        <v>#DIV/0!</v>
      </c>
      <c r="CV211" s="88" t="e">
        <f ca="1">IF(BZ211&lt;=Hypothèses!$V$7,Hypothèses!$X$7,IF(BZ211&lt;=Hypothèses!$V$8,Hypothèses!$X$8,IF(BZ211&lt;=Hypothèses!$V$9,Hypothèses!$X$9,IF(BZ211&lt;=Hypothèses!$V$10,Hypothèses!$X$10,IF(BZ211&lt;=Hypothèses!$V$11,Hypothèses!$X$11,IF(BZ211&lt;=Hypothèses!$V$12,Hypothèses!$X$12,IF(BZ211&lt;=Hypothèses!$V$13,Hypothèses!$X$13,IF(BZ211&lt;=Hypothèses!$V$14,Hypothèses!$X$14,IF(BZ211&lt;=Hypothèses!$V$15,Hypothèses!$X$15,IF(BZ211&lt;=Hypothèses!$V$16,Hypothèses!$X$16,IF(BZ211&lt;=Hypothèses!$U$17,Hypothèses!$W$17,IF(BZ211&lt;=Hypothèses!$U$18,Hypothèses!$W$18,""))))))))))))</f>
        <v>#DIV/0!</v>
      </c>
      <c r="CW211" s="95" t="e">
        <f t="shared" ca="1" si="385"/>
        <v>#DIV/0!</v>
      </c>
      <c r="CX211" s="101" t="e">
        <f t="shared" si="427"/>
        <v>#N/A</v>
      </c>
      <c r="CY211" s="91" t="e">
        <f t="shared" si="354"/>
        <v>#N/A</v>
      </c>
      <c r="CZ211" s="30" t="e">
        <f t="shared" si="408"/>
        <v>#N/A</v>
      </c>
      <c r="DA211" s="30" t="e">
        <f t="shared" si="409"/>
        <v>#N/A</v>
      </c>
      <c r="DB211" s="31" t="e">
        <f>IF(OR(Hypothèses!$B$4=17,Hypothèses!$B$4=18,Hypothèses!$B$4=19,Hypothèses!$B$4=20),
IF($D211="Pressio.",
IF(OR($E211=3,$E211=1,$E211=4),DA211,CZ211),
IF($D211="Pénétro.",
IF(OR($E211=3,$E211=1,$E211=4),DA211,CZ211))),IF($D211="Pressio.",
IF($E211=3,DA211,CZ211),
IF($D211="Pénétro.",
IF($E211=4,DA211,CZ211))))</f>
        <v>#N/A</v>
      </c>
      <c r="DC211" s="31" t="e">
        <f>(IF(OR(Hypothèses!$B$4=17,Hypothèses!$B$4=18,Hypothèses!$B$4=19,Hypothèses!$B$4=20),
IF($D211="Pressio.",
IF(OR($E211=3,$E211=1,$E211=4),(PI()*DC$12^2)/4*(CY211*$W211*1000)/($H211*$B$5),(PI()*DC$12^2)/4*(CY211*$W211*1000)/($G211*$B$5)),
IF($D211="Pénétro.",
IF(OR($E211=4,$E211=1,$E211=5),(PI()*DC$12^2)/4*(CY211*$W211*1000)/($H211*$B$5),(PI()*DC$12^2)/4*(CY211*$W211*1000)/($G211*$B$5)))),
IF($D211="Pressio.",
IF($E211=3,(PI()*DC$12^2)/4*(CY211*$W211*1000)/($H211*$B$5),(PI()*DC$12^2)/4*(CY211*$W211*1000)/($G211*$B$5)),
IF($D211="Pénétro.",
IF($E211=4,(PI()*DC$12^2)/4*(CY211*$W211*1000)/($H211*$B$5),(PI()*DC$12^2)/4*(CY211*$W211*1000)/($G211*$B$5))))))/10</f>
        <v>#N/A</v>
      </c>
      <c r="DD211" s="102" t="e">
        <f>(VLOOKUP($B$3,'Coeff EC7'!$T$39:$X$59,2,0)*DB211+VLOOKUP($B$3,'Coeff EC7'!$T$65:$X$85,2,0)*Model0.1C!DC211)/1.1</f>
        <v>#N/A</v>
      </c>
      <c r="DE211" s="102" t="e">
        <f>(VLOOKUP($B$3,'Coeff EC7'!$T$39:$X$59,3,0)*DB211+VLOOKUP($B$3,'Coeff EC7'!$T$65:$X$85,3,0)*Model0.1C!DC211)/0.9</f>
        <v>#N/A</v>
      </c>
      <c r="DF211" s="102" t="e">
        <f t="shared" si="386"/>
        <v>#N/A</v>
      </c>
      <c r="DG211" s="102" t="e">
        <f t="shared" si="387"/>
        <v>#N/A</v>
      </c>
      <c r="DH211" s="414" t="e">
        <f>IF(DH210=0,0,IF(AND(DD211&gt;charge_ELS_quasi,DE211&gt;Charge_ELS_freq,DF211&gt;charge_ELU,DG211&gt;charge_ELA,$B211&gt;NDC!$H$22-0.1+MIN(3*$DH$12,1.5)),0,1))</f>
        <v>#N/A</v>
      </c>
      <c r="DI211" s="86" t="b">
        <f t="shared" si="355"/>
        <v>0</v>
      </c>
      <c r="DJ211" s="86">
        <f t="shared" si="356"/>
        <v>0.5</v>
      </c>
      <c r="DK211" s="86">
        <f t="shared" si="357"/>
        <v>0.5</v>
      </c>
      <c r="DL211" s="30" t="e">
        <f t="shared" ca="1" si="388"/>
        <v>#DIV/0!</v>
      </c>
      <c r="DM211" s="85" t="e">
        <f ca="1">IF(CS211&lt;=Hypothèses!$V$7,Hypothèses!$W$7,IF(CS211&lt;=Hypothèses!$V$8,Hypothèses!$W$8,IF(CS211&lt;=Hypothèses!$V$9,Hypothèses!$W$9,IF(CS211&lt;=Hypothèses!$V$10,Hypothèses!$W$10,IF(CS211&lt;=Hypothèses!$V$11,Hypothèses!$W$11,IF(CS211&lt;=Hypothèses!$V$12,Hypothèses!$W$12,IF(CS211&lt;=Hypothèses!$V$13,Hypothèses!$W$13,IF(CS211&lt;=Hypothèses!$V$14,Hypothèses!$W$14,IF(CS211&lt;=Hypothèses!$V$15,Hypothèses!$W$15,IF(CS211&lt;=Hypothèses!$V$16,Hypothèses!$W$16,IF(CS211&lt;=Hypothèses!$V$17,Hypothèses!$W$17,IF(CS211&lt;=Hypothèses!$V$18,Hypothèses!$W$18,""))))))))))))</f>
        <v>#DIV/0!</v>
      </c>
      <c r="DN211" s="87" t="e">
        <f t="shared" ca="1" si="421"/>
        <v>#DIV/0!</v>
      </c>
      <c r="DO211" s="88" t="e">
        <f ca="1">IF(CS211&lt;=Hypothèses!$V$7,Hypothèses!$X$7,IF(CS211&lt;=Hypothèses!$V$8,Hypothèses!$X$8,IF(CS211&lt;=Hypothèses!$V$9,Hypothèses!$X$9,IF(CS211&lt;=Hypothèses!$V$10,Hypothèses!$X$10,IF(CS211&lt;=Hypothèses!$V$11,Hypothèses!$X$11,IF(CS211&lt;=Hypothèses!$V$12,Hypothèses!$X$12,IF(CS211&lt;=Hypothèses!$V$13,Hypothèses!$X$13,IF(CS211&lt;=Hypothèses!$V$14,Hypothèses!$X$14,IF(CS211&lt;=Hypothèses!$V$15,Hypothèses!$X$15,IF(CS211&lt;=Hypothèses!$V$16,Hypothèses!$X$16,IF(CS211&lt;=Hypothèses!$U$17,Hypothèses!$W$17,IF(CS211&lt;=Hypothèses!$U$18,Hypothèses!$W$18,""))))))))))))</f>
        <v>#DIV/0!</v>
      </c>
      <c r="DP211" s="95" t="e">
        <f t="shared" ca="1" si="389"/>
        <v>#DIV/0!</v>
      </c>
      <c r="DQ211" s="101" t="e">
        <f t="shared" si="428"/>
        <v>#N/A</v>
      </c>
      <c r="DR211" s="91" t="e">
        <f t="shared" si="358"/>
        <v>#N/A</v>
      </c>
      <c r="DS211" s="30" t="e">
        <f t="shared" si="410"/>
        <v>#N/A</v>
      </c>
      <c r="DT211" s="30" t="e">
        <f t="shared" si="411"/>
        <v>#N/A</v>
      </c>
      <c r="DU211" s="31" t="e">
        <f>IF(OR(Hypothèses!$B$4=17,Hypothèses!$B$4=18,Hypothèses!$B$4=19,Hypothèses!$B$4=20),
IF($D211="Pressio.",
IF(OR($E211=3,$E211=1,$E211=4),DT211,DS211),
IF($D211="Pénétro.",
IF(OR($E211=3,$E211=1,$E211=4),DT211,DS211))),IF($D211="Pressio.",
IF($E211=3,DT211,DS211),
IF($D211="Pénétro.",
IF($E211=4,DT211,DS211))))</f>
        <v>#N/A</v>
      </c>
      <c r="DV211" s="31" t="e">
        <f>(IF(OR(Hypothèses!$B$4=17,Hypothèses!$B$4=18,Hypothèses!$B$4=19,Hypothèses!$B$4=20),
IF($D211="Pressio.",
IF(OR($E211=3,$E211=1,$E211=4),(PI()*DV$12^2)/4*(DR211*$W211*1000)/($H211*$B$5),(PI()*DV$12^2)/4*(DR211*$W211*1000)/($G211*$B$5)),
IF($D211="Pénétro.",
IF(OR($E211=4,$E211=1,$E211=5),(PI()*DV$12^2)/4*(DR211*$W211*1000)/($H211*$B$5),(PI()*DV$12^2)/4*(DR211*$W211*1000)/($G211*$B$5)))),
IF($D211="Pressio.",
IF($E211=3,(PI()*DV$12^2)/4*(DR211*$W211*1000)/($H211*$B$5),(PI()*DV$12^2)/4*(DR211*$W211*1000)/($G211*$B$5)),
IF($D211="Pénétro.",
IF($E211=4,(PI()*DV$12^2)/4*(DR211*$W211*1000)/($H211*$B$5),(PI()*DV$12^2)/4*(DR211*$W211*1000)/($G211*$B$5))))))/10</f>
        <v>#N/A</v>
      </c>
      <c r="DW211" s="102" t="e">
        <f>(VLOOKUP($B$3,'Coeff EC7'!$T$39:$X$59,2,0)*DU211+VLOOKUP($B$3,'Coeff EC7'!$T$65:$X$85,2,0)*Model0.1C!DV211)/1.1</f>
        <v>#N/A</v>
      </c>
      <c r="DX211" s="102" t="e">
        <f>(VLOOKUP($B$3,'Coeff EC7'!$T$39:$X$59,3,0)*DU211+VLOOKUP($B$3,'Coeff EC7'!$T$65:$X$85,3,0)*Model0.1C!DV211)/0.9</f>
        <v>#N/A</v>
      </c>
      <c r="DY211" s="102" t="e">
        <f t="shared" si="390"/>
        <v>#N/A</v>
      </c>
      <c r="DZ211" s="102" t="e">
        <f t="shared" si="391"/>
        <v>#N/A</v>
      </c>
      <c r="EA211" s="414" t="e">
        <f>IF(EA210=0,0,IF(AND(DW211&gt;charge_ELS_quasi,DX211&gt;Charge_ELS_freq,DY211&gt;charge_ELU,DZ211&gt;charge_ELA,$B211&gt;NDC!$H$22-0.1+MIN(3*$EA$12,1.5)),0,1))</f>
        <v>#N/A</v>
      </c>
      <c r="EB211" s="86" t="b">
        <f t="shared" si="359"/>
        <v>0</v>
      </c>
      <c r="EC211" s="418">
        <f t="shared" si="360"/>
        <v>0.51</v>
      </c>
      <c r="ED211" s="86">
        <f t="shared" si="361"/>
        <v>0.51</v>
      </c>
      <c r="EE211" s="30" t="e">
        <f t="shared" ca="1" si="392"/>
        <v>#DIV/0!</v>
      </c>
      <c r="EF211" s="85" t="e">
        <f ca="1">IF(DL211&lt;=Hypothèses!$V$7,Hypothèses!$W$7,IF(DL211&lt;=Hypothèses!$V$8,Hypothèses!$W$8,IF(DL211&lt;=Hypothèses!$V$9,Hypothèses!$W$9,IF(DL211&lt;=Hypothèses!$V$10,Hypothèses!$W$10,IF(DL211&lt;=Hypothèses!$V$11,Hypothèses!$W$11,IF(DL211&lt;=Hypothèses!$V$12,Hypothèses!$W$12,IF(DL211&lt;=Hypothèses!$V$13,Hypothèses!$W$13,IF(DL211&lt;=Hypothèses!$V$14,Hypothèses!$W$14,IF(DL211&lt;=Hypothèses!$V$15,Hypothèses!$W$15,IF(DL211&lt;=Hypothèses!$V$16,Hypothèses!$W$16,IF(DL211&lt;=Hypothèses!$V$17,Hypothèses!$W$17,IF(DL211&lt;=Hypothèses!$V$18,Hypothèses!$W$18,""))))))))))))</f>
        <v>#DIV/0!</v>
      </c>
      <c r="EG211" s="87" t="e">
        <f t="shared" ca="1" si="422"/>
        <v>#DIV/0!</v>
      </c>
      <c r="EH211" s="88" t="e">
        <f ca="1">IF(DL211&lt;=Hypothèses!$V$7,Hypothèses!$X$7,IF(DL211&lt;=Hypothèses!$V$8,Hypothèses!$X$8,IF(DL211&lt;=Hypothèses!$V$9,Hypothèses!$X$9,IF(DL211&lt;=Hypothèses!$V$10,Hypothèses!$X$10,IF(DL211&lt;=Hypothèses!$V$11,Hypothèses!$X$11,IF(DL211&lt;=Hypothèses!$V$12,Hypothèses!$X$12,IF(DL211&lt;=Hypothèses!$V$13,Hypothèses!$X$13,IF(DL211&lt;=Hypothèses!$V$14,Hypothèses!$X$14,IF(DL211&lt;=Hypothèses!$V$15,Hypothèses!$X$15,IF(DL211&lt;=Hypothèses!$V$16,Hypothèses!$X$16,IF(DL211&lt;=Hypothèses!$U$17,Hypothèses!$W$17,IF(DL211&lt;=Hypothèses!$U$18,Hypothèses!$W$18,""))))))))))))</f>
        <v>#DIV/0!</v>
      </c>
      <c r="EI211" s="95" t="e">
        <f t="shared" ca="1" si="393"/>
        <v>#DIV/0!</v>
      </c>
      <c r="EJ211" s="101" t="e">
        <f t="shared" si="429"/>
        <v>#N/A</v>
      </c>
      <c r="EK211" s="91" t="e">
        <f t="shared" si="362"/>
        <v>#N/A</v>
      </c>
      <c r="EL211" s="30" t="e">
        <f t="shared" si="412"/>
        <v>#N/A</v>
      </c>
      <c r="EM211" s="30" t="e">
        <f t="shared" si="413"/>
        <v>#N/A</v>
      </c>
      <c r="EN211" s="31" t="e">
        <f>IF(OR(Hypothèses!$B$4=17,Hypothèses!$B$4=18,Hypothèses!$B$4=19,Hypothèses!$B$4=20),
IF($D211="Pressio.",
IF(OR($E211=3,$E211=1,$E211=4),EM211,EL211),
IF($D211="Pénétro.",
IF(OR($E211=3,$E211=1,$E211=4),EM211,EL211))),IF($D211="Pressio.",
IF($E211=3,EM211,EL211),
IF($D211="Pénétro.",
IF($E211=4,EM211,EL211))))</f>
        <v>#N/A</v>
      </c>
      <c r="EO211" s="31" t="e">
        <f>(IF(OR(Hypothèses!$B$4=17,Hypothèses!$B$4=18,Hypothèses!$B$4=19,Hypothèses!$B$4=20),
IF($D211="Pressio.",
IF(OR($E211=3,$E211=1,$E211=4),(PI()*EO$12^2)/4*(EK211*$W211*1000)/($H211*$B$5),(PI()*EO$12^2)/4*(EK211*$W211*1000)/($G211*$B$5)),
IF($D211="Pénétro.",
IF(OR($E211=4,$E211=1,$E211=5),(PI()*EO$12^2)/4*(EK211*$W211*1000)/($H211*$B$5),(PI()*EO$12^2)/4*(EK211*$W211*1000)/($G211*$B$5)))),
IF($D211="Pressio.",
IF($E211=3,(PI()*EO$12^2)/4*(EK211*$W211*1000)/($H211*$B$5),(PI()*EO$12^2)/4*(EK211*$W211*1000)/($G211*$B$5)),
IF($D211="Pénétro.",
IF($E211=4,(PI()*EO$12^2)/4*(EK211*$W211*1000)/($H211*$B$5),(PI()*EO$12^2)/4*(EK211*$W211*1000)/($G211*$B$5))))))/10</f>
        <v>#N/A</v>
      </c>
      <c r="EP211" s="102" t="e">
        <f>(VLOOKUP($B$3,'Coeff EC7'!$T$39:$X$59,2,0)*EN211+VLOOKUP($B$3,'Coeff EC7'!$T$65:$X$85,2,0)*Model0.1C!EO211)/1.1</f>
        <v>#N/A</v>
      </c>
      <c r="EQ211" s="102" t="e">
        <f>(VLOOKUP($B$3,'Coeff EC7'!$T$39:$X$59,3,0)*EN211+VLOOKUP($B$3,'Coeff EC7'!$T$65:$X$85,3,0)*Model0.1C!EO211)/0.9</f>
        <v>#N/A</v>
      </c>
      <c r="ER211" s="102" t="e">
        <f t="shared" si="394"/>
        <v>#N/A</v>
      </c>
      <c r="ES211" s="102" t="e">
        <f t="shared" si="395"/>
        <v>#N/A</v>
      </c>
      <c r="ET211" s="414" t="e">
        <f>IF(ET210=0,0,IF(AND(EP211&gt;charge_ELS_quasi,EQ211&gt;Charge_ELS_freq,ER211&gt;charge_ELU,ES211&gt;charge_ELA,$B211&gt;NDC!$H$22-0.1+MIN(3*$ET$12,1.5)),0,1))</f>
        <v>#N/A</v>
      </c>
      <c r="EU211" s="86" t="b">
        <f t="shared" si="363"/>
        <v>0</v>
      </c>
      <c r="EV211" s="86">
        <f t="shared" si="364"/>
        <v>0.61</v>
      </c>
      <c r="EW211" s="86">
        <f t="shared" si="365"/>
        <v>0.61</v>
      </c>
      <c r="EX211" s="30" t="e">
        <f t="shared" ca="1" si="396"/>
        <v>#DIV/0!</v>
      </c>
      <c r="EY211" s="85" t="e">
        <f ca="1">IF(EE211&lt;=Hypothèses!$V$7,Hypothèses!$W$7,IF(EE211&lt;=Hypothèses!$V$8,Hypothèses!$W$8,IF(EE211&lt;=Hypothèses!$V$9,Hypothèses!$W$9,IF(EE211&lt;=Hypothèses!$V$10,Hypothèses!$W$10,IF(EE211&lt;=Hypothèses!$V$11,Hypothèses!$W$11,IF(EE211&lt;=Hypothèses!$V$12,Hypothèses!$W$12,IF(EE211&lt;=Hypothèses!$V$13,Hypothèses!$W$13,IF(EE211&lt;=Hypothèses!$V$14,Hypothèses!$W$14,IF(EE211&lt;=Hypothèses!$V$15,Hypothèses!$W$15,IF(EE211&lt;=Hypothèses!$V$16,Hypothèses!$W$16,IF(EE211&lt;=Hypothèses!$V$17,Hypothèses!$W$17,IF(EE211&lt;=Hypothèses!$V$18,Hypothèses!$W$18,""))))))))))))</f>
        <v>#DIV/0!</v>
      </c>
      <c r="EZ211" s="87" t="e">
        <f t="shared" ca="1" si="423"/>
        <v>#DIV/0!</v>
      </c>
      <c r="FA211" s="88" t="e">
        <f ca="1">IF(EE211&lt;=Hypothèses!$V$7,Hypothèses!$X$7,IF(EE211&lt;=Hypothèses!$V$8,Hypothèses!$X$8,IF(EE211&lt;=Hypothèses!$V$9,Hypothèses!$X$9,IF(EE211&lt;=Hypothèses!$V$10,Hypothèses!$X$10,IF(EE211&lt;=Hypothèses!$V$11,Hypothèses!$X$11,IF(EE211&lt;=Hypothèses!$V$12,Hypothèses!$X$12,IF(EE211&lt;=Hypothèses!$V$13,Hypothèses!$X$13,IF(EE211&lt;=Hypothèses!$V$14,Hypothèses!$X$14,IF(EE211&lt;=Hypothèses!$V$15,Hypothèses!$X$15,IF(EE211&lt;=Hypothèses!$V$16,Hypothèses!$X$16,IF(EE211&lt;=Hypothèses!$U$17,Hypothèses!$W$17,IF(EE211&lt;=Hypothèses!$U$18,Hypothèses!$W$18,""))))))))))))</f>
        <v>#DIV/0!</v>
      </c>
      <c r="FB211" s="95" t="e">
        <f t="shared" ca="1" si="397"/>
        <v>#DIV/0!</v>
      </c>
      <c r="FC211" s="101" t="e">
        <f t="shared" si="430"/>
        <v>#N/A</v>
      </c>
      <c r="FD211" s="91" t="e">
        <f t="shared" si="366"/>
        <v>#N/A</v>
      </c>
      <c r="FE211" s="30" t="e">
        <f t="shared" si="414"/>
        <v>#N/A</v>
      </c>
      <c r="FF211" s="30" t="e">
        <f t="shared" si="415"/>
        <v>#N/A</v>
      </c>
      <c r="FG211" s="31" t="e">
        <f>IF(OR(Hypothèses!$B$4=17,Hypothèses!$B$4=18,Hypothèses!$B$4=19,Hypothèses!$B$4=20),
IF($D211="Pressio.",
IF(OR($E211=3,$E211=1,$E211=4),FF211,FE211),
IF($D211="Pénétro.",
IF(OR($E211=3,$E211=1,$E211=4),FF211,FE211))),IF($D211="Pressio.",
IF($E211=3,FF211,FE211),
IF($D211="Pénétro.",
IF($E211=4,FF211,FE211))))</f>
        <v>#N/A</v>
      </c>
      <c r="FH211" s="31" t="e">
        <f>(IF(OR(Hypothèses!$B$4=17,Hypothèses!$B$4=18,Hypothèses!$B$4=19,Hypothèses!$B$4=20),
IF($D211="Pressio.",
IF(OR($E211=3,$E211=1,$E211=4),(PI()*FH$12^2)/4*(FD211*$W211*1000)/($H211*$B$5),(PI()*FH$12^2)/4*(FD211*$W211*1000)/($G211*$B$5)),
IF($D211="Pénétro.",
IF(OR($E211=4,$E211=1,$E211=5),(PI()*FH$12^2)/4*(FD211*$W211*1000)/($H211*$B$5),(PI()*FH$12^2)/4*(FD211*$W211*1000)/($G211*$B$5)))),
IF($D211="Pressio.",
IF($E211=3,(PI()*FH$12^2)/4*(FD211*$W211*1000)/($H211*$B$5),(PI()*FH$12^2)/4*(FD211*$W211*1000)/($G211*$B$5)),
IF($D211="Pénétro.",
IF($E211=4,(PI()*FH$12^2)/4*(FD211*$W211*1000)/($H211*$B$5),(PI()*FH$12^2)/4*(FD211*$W211*1000)/($G211*$B$5))))))/10</f>
        <v>#N/A</v>
      </c>
      <c r="FI211" s="102" t="e">
        <f>(VLOOKUP($B$3,'Coeff EC7'!$T$39:$X$59,2,0)*FG211+VLOOKUP($B$3,'Coeff EC7'!$T$65:$X$85,2,0)*Model0.1C!FH211)/1.1</f>
        <v>#N/A</v>
      </c>
      <c r="FJ211" s="102" t="e">
        <f>(VLOOKUP($B$3,'Coeff EC7'!$T$39:$X$59,3,0)*FG211+VLOOKUP($B$3,'Coeff EC7'!$T$65:$X$85,3,0)*Model0.1C!FH211)/0.9</f>
        <v>#N/A</v>
      </c>
      <c r="FK211" s="102" t="e">
        <f t="shared" si="398"/>
        <v>#N/A</v>
      </c>
      <c r="FL211" s="102" t="e">
        <f t="shared" si="399"/>
        <v>#N/A</v>
      </c>
      <c r="FM211" s="414" t="e">
        <f>IF(FM210=0,0,IF(AND(FI211&gt;charge_ELS_quasi,FJ211&gt;Charge_ELS_freq,FK211&gt;charge_ELU,FL211&gt;charge_ELA,$B211&gt;NDC!$H$22-0.1+MIN(3*$FM$12,1.5)),0,1))</f>
        <v>#N/A</v>
      </c>
    </row>
    <row r="212" spans="1:169">
      <c r="A212" s="96">
        <f t="shared" si="367"/>
        <v>80.100000000001131</v>
      </c>
      <c r="B212" s="97">
        <v>19.899999999999999</v>
      </c>
      <c r="C212" s="81">
        <f>IF(B212&lt;=Hypothèses!$C$7,Hypothèses!$A$7,IF(B212&lt;=Hypothèses!$C$8,Hypothèses!$A$8,IF(B212&lt;=Hypothèses!$C$9,Hypothèses!$A$9,IF(B212&lt;=Hypothèses!$C$10,Hypothèses!$A$10,IF(B212&lt;=Hypothèses!$C$11,Hypothèses!$A$11,IF(B212&lt;=Hypothèses!$C$12,Hypothèses!$A$12,IF(B212&lt;=Hypothèses!$C$13,Hypothèses!$A$13,IF(B212&lt;=Hypothèses!$C$14,Hypothèses!$A$14,IF(B212&lt;=Hypothèses!$C$15,Hypothèses!$A$15,IF(B212&lt;=Hypothèses!$C$16,Hypothèses!$A$16,IF(B212&lt;=Hypothèses!$C$17,Hypothèses!$A$17,IF(B212&lt;=Hypothèses!$C$18,Hypothèses!$A$18,C211))))))))))))</f>
        <v>11</v>
      </c>
      <c r="D212" s="82" t="str">
        <f>IF(B212&lt;=Hypothèses!$C$7,Hypothèses!$R$7,IF(B212&lt;=Hypothèses!$C$8,Hypothèses!$R$8,IF(B212&lt;=Hypothèses!$C$9,Hypothèses!$R$9,IF(B212&lt;=Hypothèses!$C$10,Hypothèses!$R$10,IF(B212&lt;=Hypothèses!$C$11,Hypothèses!$R$11,IF(B212&lt;=Hypothèses!$C$12,Hypothèses!$R$12,IF(B212&lt;=Hypothèses!$C$13,Hypothèses!$R$13,IF(B212&lt;=Hypothèses!$C$14,Hypothèses!$R$14,IF(B212&lt;=Hypothèses!$C$15,Hypothèses!$R$15,IF(B212&lt;=Hypothèses!$C$16,Hypothèses!$R$16,IF(B212&lt;=Hypothèses!$C$17,Hypothèses!$R$17,IF(B212&lt;=Hypothèses!$C$18,Hypothèses!$R$18,D211))))))))))))</f>
        <v>Pressio.</v>
      </c>
      <c r="E212" s="82" t="e">
        <f>IF(B212&lt;=Hypothèses!$C$7,Hypothèses!$G$7,IF(B212&lt;=Hypothèses!$C$8,Hypothèses!$G$8,IF(B212&lt;=Hypothèses!$C$9,Hypothèses!$G$9,IF(B212&lt;=Hypothèses!$C$10,Hypothèses!$G$10,IF(B212&lt;=Hypothèses!$C$11,Hypothèses!$G$11,IF(B212&lt;=Hypothèses!$C$12,Hypothèses!$G$12,IF(B212&lt;=Hypothèses!$C$13,Hypothèses!$G$13,IF(B212&lt;=Hypothèses!$C$14,Hypothèses!$G$14,IF(B212&lt;=Hypothèses!$C$15,Hypothèses!$G$15,IF(B212&lt;=Hypothèses!$C$16,Hypothèses!$G$16,IF(B212&lt;=Hypothèses!$C$17,Hypothèses!$G$17,IF(B212&lt;=Hypothèses!$C$18,Hypothèses!$G$18,E211))))))))))))</f>
        <v>#N/A</v>
      </c>
      <c r="F212" s="82" t="str">
        <f>IF(B212&lt;=Hypothèses!$C$7,Hypothèses!$F$7,IF(B212&lt;=Hypothèses!$C$8,Hypothèses!$F$8,IF(B212&lt;=Hypothèses!$C$9,Hypothèses!$F$9,IF(B212&lt;=Hypothèses!$C$10,Hypothèses!$F$10,IF(B212&lt;=Hypothèses!$C$11,Hypothèses!$F$11,IF(B212&lt;=Hypothèses!$C$12,Hypothèses!$F$12,IF(B212&lt;=Hypothèses!$C$13,Hypothèses!$F$13,IF(B212&lt;=Hypothèses!$C$14,Hypothèses!$F$14,IF(B212&lt;=Hypothèses!$C$15,Hypothèses!$F$15,IF(B212&lt;=Hypothèses!$C$16,Hypothèses!$F$16,IF(B212&lt;=Hypothèses!$C$17,Hypothèses!$F$17,IF(B212&lt;=Hypothèses!$C$18,Hypothèses!$F$18,F211))))))))))))</f>
        <v/>
      </c>
      <c r="G212" s="91">
        <f t="array" ref="G212">INDEX('Coeff EC7'!$U$7:$X$27,
MATCH(Model0.1C!$B$3,'Coeff EC7'!$T$7:$T$27,0),
MATCH(Model0.1C!$D212&amp;Model0.1C!$B$4,
'Coeff EC7'!$U$6:$X$6&amp;
'Coeff EC7'!$U$5:$X$5,0))</f>
        <v>1.1499999999999999</v>
      </c>
      <c r="H212" s="91">
        <f t="array" ref="H212">INDEX('Coeff EC7'!$Y$7:$AB$27,
MATCH(Model0.1C!$B$3,'Coeff EC7'!$T$7:$T$27,0),
MATCH(Model0.1C!$D212&amp;Model0.1C!$B$4,
'Coeff EC7'!$Y$6:$AB$6&amp;
'Coeff EC7'!$Y$5:$AB$5,0))</f>
        <v>1.4</v>
      </c>
      <c r="I212" s="83" t="e">
        <f>IF(B212&lt;=Hypothèses!$C$7,Hypothèses!$P$7,IF(B212&lt;=Hypothèses!$C$8,Hypothèses!$P$8,IF(B212&lt;=Hypothèses!$C$9,Hypothèses!$P$9,IF(B212&lt;=Hypothèses!$C$10,Hypothèses!$P$10,IF(B212&lt;=Hypothèses!$C$11,Hypothèses!$P$11,IF(B212&lt;=Hypothèses!$C$12,Hypothèses!$P$12,IF(B212&lt;=Hypothèses!$C$13,Hypothèses!$P$13,IF(B212&lt;=Hypothèses!$C$14,Hypothèses!$P$14,IF(B212&lt;=Hypothèses!$C$15,Hypothèses!$P$15,IF(B212&lt;=Hypothèses!$C$16,Hypothèses!$P$16,IF(B212&lt;=Hypothèses!$C$17,Hypothèses!$P$17,IF(B212&lt;=Hypothèses!$C$18,Hypothèses!$P$18,I211))))))))))))</f>
        <v>#N/A</v>
      </c>
      <c r="J212" s="91" t="e">
        <f t="array" ref="J212">INDEX('Coeff EC7'!$D$33:$Q$33,1,MATCH(D212&amp;E212,'Coeff EC7'!$D$31:$Q$31&amp;'Coeff EC7'!$D$32:$Q$32,0))</f>
        <v>#N/A</v>
      </c>
      <c r="K212" s="91" t="e">
        <f t="array" ref="K212">INDEX('Coeff EC7'!$D$34:$Q$34,1,MATCH(D212&amp;E212,'Coeff EC7'!$D$31:$Q$31&amp;'Coeff EC7'!$D$32:$Q$32,0))</f>
        <v>#N/A</v>
      </c>
      <c r="L212" s="91" t="e">
        <f t="array" ref="L212">INDEX('Coeff EC7'!$D$35:$Q$35,1,MATCH(D212&amp;E212,'Coeff EC7'!$D$31:$Q$31&amp;'Coeff EC7'!$D$32:$Q$32,0))</f>
        <v>#N/A</v>
      </c>
      <c r="M212" s="98" t="e">
        <f t="shared" si="331"/>
        <v>#N/A</v>
      </c>
      <c r="N212" s="99" t="e">
        <f t="array" ref="N212">INDEX('Coeff EC7'!$D$7:$Q$27,MATCH($B$3,'Coeff EC7'!$C$7:$C$27,0),MATCH(D212&amp;E212,'Coeff EC7'!$D$5:$Q$5&amp;'Coeff EC7'!$D$6:$Q$6,0))</f>
        <v>#N/A</v>
      </c>
      <c r="O212" s="99" t="e">
        <f t="array" ref="O212">INDEX('Coeff EC7'!$D$41:$Q$61,MATCH($B$3,'Coeff EC7'!$C$41:$C$61,0),MATCH(D212&amp;E212,'Coeff EC7'!$D$39:$Q$39&amp;'Coeff EC7'!$D$40:$Q$40,0))</f>
        <v>#N/A</v>
      </c>
      <c r="P212" s="30" t="e">
        <f t="shared" si="368"/>
        <v>#N/A</v>
      </c>
      <c r="Q212" s="100" t="e">
        <f t="shared" si="333"/>
        <v>#N/A</v>
      </c>
      <c r="R212" s="86" t="b">
        <f t="shared" si="334"/>
        <v>0</v>
      </c>
      <c r="S212" s="86">
        <f t="shared" si="332"/>
        <v>0.5</v>
      </c>
      <c r="T212" s="86">
        <f t="shared" si="335"/>
        <v>0.5</v>
      </c>
      <c r="U212" s="30" t="e">
        <f t="shared" ca="1" si="369"/>
        <v>#DIV/0!</v>
      </c>
      <c r="V212" s="85" t="str">
        <f>IF(B212&lt;=Hypothèses!$V$7,Hypothèses!$W$7,IF(B212&lt;=Hypothèses!$V$8,Hypothèses!$W$8,IF(B212&lt;=Hypothèses!$V$9,Hypothèses!$W$9,IF(B212&lt;=Hypothèses!$V$10,Hypothèses!$W$10,IF(B212&lt;=Hypothèses!$V$11,Hypothèses!$W$11,IF(B212&lt;=Hypothèses!$V$12,Hypothèses!$W$12,IF(B212&lt;=Hypothèses!$V$13,Hypothèses!$W$13,IF(B212&lt;=Hypothèses!$V$14,Hypothèses!$W$14,IF(B212&lt;=Hypothèses!$V$15,Hypothèses!$W$15,IF(B212&lt;=Hypothèses!$V$16,Hypothèses!$W$16,IF(B212&lt;=Hypothèses!$V$17,Hypothèses!$W$17,IF(B212&lt;=Hypothèses!$V$18,Hypothèses!$W$18,""))))))))))))</f>
        <v/>
      </c>
      <c r="W212" s="87" t="e">
        <f t="shared" ca="1" si="416"/>
        <v>#DIV/0!</v>
      </c>
      <c r="X212" s="88" t="str">
        <f>IF(B212&lt;=Hypothèses!$V$7,Hypothèses!$X$7,IF(B212&lt;=Hypothèses!$V$8,Hypothèses!$X$8,IF(B212&lt;=Hypothèses!$V$9,Hypothèses!$X$9,IF(B212&lt;=Hypothèses!$V$10,Hypothèses!$X$10,IF(B212&lt;=Hypothèses!$V$11,Hypothèses!$X$11,IF(B212&lt;=Hypothèses!$V$12,Hypothèses!$X$12,IF(B212&lt;=Hypothèses!$V$13,Hypothèses!$X$13,IF(B212&lt;=Hypothèses!$V$14,Hypothèses!$X$14,IF(B212&lt;=Hypothèses!$V$15,Hypothèses!$X$15,IF(B212&lt;=Hypothèses!$V$16,Hypothèses!$X$16,IF(B212&lt;=Hypothèses!$U$17,Hypothèses!$W$17,IF(B212&lt;=Hypothèses!$U$18,Hypothèses!$W$18,""))))))))))))</f>
        <v/>
      </c>
      <c r="Y212" s="95" t="e">
        <f t="shared" ca="1" si="336"/>
        <v>#DIV/0!</v>
      </c>
      <c r="Z212" s="101" t="e">
        <f t="shared" si="337"/>
        <v>#N/A</v>
      </c>
      <c r="AA212" s="91" t="e">
        <f t="shared" si="338"/>
        <v>#N/A</v>
      </c>
      <c r="AB212" s="30" t="e">
        <f t="shared" si="400"/>
        <v>#N/A</v>
      </c>
      <c r="AC212" s="30" t="e">
        <f t="shared" si="401"/>
        <v>#N/A</v>
      </c>
      <c r="AD212" s="31" t="e">
        <f>IF(OR(Hypothèses!$B$4=17,Hypothèses!$B$4=18,Hypothèses!$B$4=19,Hypothèses!$B$4=20),
IF($D212="Pressio.",
IF(OR($E212=3,$E212=1,$E212=4),AC212,AB212),
IF($D212="Pénétro.",
IF(OR($E212=3,$E212=1,$E212=4),AC212,AB212))),IF($D212="Pressio.",
IF($E212=3,AC212,AB212),
IF($D212="Pénétro.",
IF($E212=4,AC212,AB212))))</f>
        <v>#N/A</v>
      </c>
      <c r="AE212" s="31" t="e">
        <f>(IF(OR(Hypothèses!$B$4=17,Hypothèses!$B$4=18,Hypothèses!$B$4=19,Hypothèses!$B$4=20),
IF($D212="Pressio.",
IF(OR($E212=3,$E212=1,$E212=4),(PI()*AE$12^2)/4*(AA212*$W212*1000)/($H212*$B$5),(PI()*AE$12^2)/4*(AA212*$W212*1000)/($G212*$B$5)),
IF($D212="Pénétro.",
IF(OR($E212=4,$E212=1,$E212=5),(PI()*AE$12^2)/4*(AA212*$W212*1000)/($H212*$B$5),(PI()*AE$12^2)/4*(AA212*$W212*1000)/($G212*$B$5)))),
IF($D212="Pressio.",
IF($E212=3,(PI()*AE$12^2)/4*(AA212*$W212*1000)/($H212*$B$5),(PI()*AE$12^2)/4*(AA212*$W212*1000)/($G212*$B$5)),
IF($D212="Pénétro.",
IF($E212=4,(PI()*AE$12^2)/4*(AA212*$W212*1000)/($H212*$B$5),(PI()*AE$12^2)/4*(AA212*$W212*1000)/($G212*$B$5))))))/10</f>
        <v>#N/A</v>
      </c>
      <c r="AF212" s="102" t="e">
        <f>(VLOOKUP($B$3,'Coeff EC7'!$T$39:$X$59,2,0)*AD212+VLOOKUP($B$3,'Coeff EC7'!$T$65:$X$85,2,0)*Model0.1C!AE212)/1.1</f>
        <v>#N/A</v>
      </c>
      <c r="AG212" s="102" t="e">
        <f>(VLOOKUP($B$3,'Coeff EC7'!$T$39:$X$59,3,0)*AD212+VLOOKUP($B$3,'Coeff EC7'!$T$65:$X$85,3,0)*Model0.1C!AE212)/0.9</f>
        <v>#N/A</v>
      </c>
      <c r="AH212" s="102" t="e">
        <f t="shared" si="339"/>
        <v>#N/A</v>
      </c>
      <c r="AI212" s="102" t="e">
        <f t="shared" si="340"/>
        <v>#N/A</v>
      </c>
      <c r="AJ212" s="414" t="e">
        <f>IF(AJ211=0,0,IF(AND(AF212&gt;charge_ELS_quasi,AG212&gt;Charge_ELS_freq,AH212&gt;charge_ELU,AI212&gt;charge_ELA,$B212&gt;NDC!$H$22-0.1+MIN(3*$AJ$12,1.5)),0,1))</f>
        <v>#N/A</v>
      </c>
      <c r="AK212" s="86" t="b">
        <f t="shared" si="341"/>
        <v>0</v>
      </c>
      <c r="AL212" s="86">
        <f t="shared" si="370"/>
        <v>0.5</v>
      </c>
      <c r="AM212" s="86">
        <f t="shared" si="342"/>
        <v>0.5</v>
      </c>
      <c r="AN212" s="30" t="e">
        <f t="shared" ca="1" si="371"/>
        <v>#DIV/0!</v>
      </c>
      <c r="AO212" s="85" t="e">
        <f ca="1">IF(U212&lt;=Hypothèses!$V$7,Hypothèses!$W$7,IF(U212&lt;=Hypothèses!$V$8,Hypothèses!$W$8,IF(U212&lt;=Hypothèses!$V$9,Hypothèses!$W$9,IF(U212&lt;=Hypothèses!$V$10,Hypothèses!$W$10,IF(U212&lt;=Hypothèses!$V$11,Hypothèses!$W$11,IF(U212&lt;=Hypothèses!$V$12,Hypothèses!$W$12,IF(U212&lt;=Hypothèses!$V$13,Hypothèses!$W$13,IF(U212&lt;=Hypothèses!$V$14,Hypothèses!$W$14,IF(U212&lt;=Hypothèses!$V$15,Hypothèses!$W$15,IF(U212&lt;=Hypothèses!$V$16,Hypothèses!$W$16,IF(U212&lt;=Hypothèses!$V$17,Hypothèses!$W$17,IF(U212&lt;=Hypothèses!$V$18,Hypothèses!$W$18,""))))))))))))</f>
        <v>#DIV/0!</v>
      </c>
      <c r="AP212" s="87" t="e">
        <f t="shared" ca="1" si="417"/>
        <v>#DIV/0!</v>
      </c>
      <c r="AQ212" s="88" t="e">
        <f ca="1">IF(U212&lt;=Hypothèses!$V$7,Hypothèses!$X$7,IF(U212&lt;=Hypothèses!$V$8,Hypothèses!$X$8,IF(U212&lt;=Hypothèses!$V$9,Hypothèses!$X$9,IF(U212&lt;=Hypothèses!$V$10,Hypothèses!$X$10,IF(U212&lt;=Hypothèses!$V$11,Hypothèses!$X$11,IF(U212&lt;=Hypothèses!$V$12,Hypothèses!$X$12,IF(U212&lt;=Hypothèses!$V$13,Hypothèses!$X$13,IF(U212&lt;=Hypothèses!$V$14,Hypothèses!$X$14,IF(U212&lt;=Hypothèses!$V$15,Hypothèses!$X$15,IF(U212&lt;=Hypothèses!$V$16,Hypothèses!$X$16,IF(U212&lt;=Hypothèses!$U$17,Hypothèses!$W$17,IF(U212&lt;=Hypothèses!$U$18,Hypothèses!$W$18,""))))))))))))</f>
        <v>#DIV/0!</v>
      </c>
      <c r="AR212" s="95" t="e">
        <f t="shared" ca="1" si="372"/>
        <v>#DIV/0!</v>
      </c>
      <c r="AS212" s="101" t="e">
        <f t="shared" si="424"/>
        <v>#N/A</v>
      </c>
      <c r="AT212" s="91" t="e">
        <f t="shared" si="343"/>
        <v>#N/A</v>
      </c>
      <c r="AU212" s="30" t="e">
        <f t="shared" si="402"/>
        <v>#N/A</v>
      </c>
      <c r="AV212" s="30" t="e">
        <f t="shared" si="403"/>
        <v>#N/A</v>
      </c>
      <c r="AW212" s="31" t="e">
        <f>IF(OR(Hypothèses!$B$4=17,Hypothèses!$B$4=18,Hypothèses!$B$4=19,Hypothèses!$B$4=20),
IF($D212="Pressio.",
IF(OR($E212=3,$E212=1,$E212=4),AV212,AU212),
IF($D212="Pénétro.",
IF(OR($E212=3,$E212=1,$E212=4),AV212,AU212))),IF($D212="Pressio.",
IF($E212=3,AV212,AU212),
IF($D212="Pénétro.",
IF($E212=4,AV212,AU212))))</f>
        <v>#N/A</v>
      </c>
      <c r="AX212" s="31" t="e">
        <f>(IF(OR(Hypothèses!$B$4=17,Hypothèses!$B$4=18,Hypothèses!$B$4=19,Hypothèses!$B$4=20),
IF($D212="Pressio.",
IF(OR($E212=3,$E212=1,$E212=4),(PI()*AX$12^2)/4*(AT212*$W212*1000)/($H212*$B$5),(PI()*AX$12^2)/4*(AT212*$W212*1000)/($G212*$B$5)),
IF($D212="Pénétro.",
IF(OR($E212=4,$E212=1,$E212=5),(PI()*AX$12^2)/4*(AT212*$W212*1000)/($H212*$B$5),(PI()*AX$12^2)/4*(AT212*$W212*1000)/($G212*$B$5)))),
IF($D212="Pressio.",
IF($E212=3,(PI()*AX$12^2)/4*(AT212*$W212*1000)/($H212*$B$5),(PI()*AX$12^2)/4*(AT212*$W212*1000)/($G212*$B$5)),
IF($D212="Pénétro.",
IF($E212=4,(PI()*AX$12^2)/4*(AT212*$W212*1000)/($H212*$B$5),(PI()*AX$12^2)/4*(AT212*$W212*1000)/($G212*$B$5))))))/10</f>
        <v>#N/A</v>
      </c>
      <c r="AY212" s="102" t="e">
        <f>(VLOOKUP($B$3,'Coeff EC7'!$T$39:$X$59,2,0)*AW212+VLOOKUP($B$3,'Coeff EC7'!$T$65:$X$85,2,0)*Model0.1C!AX212)/1.1</f>
        <v>#N/A</v>
      </c>
      <c r="AZ212" s="102" t="e">
        <f>(VLOOKUP($B$3,'Coeff EC7'!$T$39:$X$59,3,0)*AW212+VLOOKUP($B$3,'Coeff EC7'!$T$65:$X$85,3,0)*Model0.1C!AX212)/0.9</f>
        <v>#N/A</v>
      </c>
      <c r="BA212" s="102" t="e">
        <f t="shared" si="373"/>
        <v>#N/A</v>
      </c>
      <c r="BB212" s="102" t="e">
        <f t="shared" si="374"/>
        <v>#N/A</v>
      </c>
      <c r="BC212" s="414" t="e">
        <f>IF(BC211=0,0,IF(AND(AY212&gt;charge_ELS_quasi,AZ212&gt;Charge_ELS_freq,BA212&gt;charge_ELU,BB212&gt;charge_ELA,$B212&gt;NDC!$H$22-0.1+MIN(3*$BC$12,1.5)),0,1))</f>
        <v>#N/A</v>
      </c>
      <c r="BD212" s="86" t="b">
        <f t="shared" si="344"/>
        <v>0</v>
      </c>
      <c r="BE212" s="86">
        <f t="shared" si="375"/>
        <v>0.5</v>
      </c>
      <c r="BF212" s="86">
        <f t="shared" si="345"/>
        <v>0.5</v>
      </c>
      <c r="BG212" s="30" t="e">
        <f t="shared" ca="1" si="376"/>
        <v>#DIV/0!</v>
      </c>
      <c r="BH212" s="85" t="e">
        <f ca="1">IF(AN212&lt;=Hypothèses!$V$7,Hypothèses!$W$7,IF(AN212&lt;=Hypothèses!$V$8,Hypothèses!$W$8,IF(AN212&lt;=Hypothèses!$V$9,Hypothèses!$W$9,IF(AN212&lt;=Hypothèses!$V$10,Hypothèses!$W$10,IF(AN212&lt;=Hypothèses!$V$11,Hypothèses!$W$11,IF(AN212&lt;=Hypothèses!$V$12,Hypothèses!$W$12,IF(AN212&lt;=Hypothèses!$V$13,Hypothèses!$W$13,IF(AN212&lt;=Hypothèses!$V$14,Hypothèses!$W$14,IF(AN212&lt;=Hypothèses!$V$15,Hypothèses!$W$15,IF(AN212&lt;=Hypothèses!$V$16,Hypothèses!$W$16,IF(AN212&lt;=Hypothèses!$V$17,Hypothèses!$W$17,IF(AN212&lt;=Hypothèses!$V$18,Hypothèses!$W$18,""))))))))))))</f>
        <v>#DIV/0!</v>
      </c>
      <c r="BI212" s="87" t="e">
        <f t="shared" ca="1" si="418"/>
        <v>#DIV/0!</v>
      </c>
      <c r="BJ212" s="88" t="e">
        <f ca="1">IF(AN212&lt;=Hypothèses!$V$7,Hypothèses!$X$7,IF(AN212&lt;=Hypothèses!$V$8,Hypothèses!$X$8,IF(AN212&lt;=Hypothèses!$V$9,Hypothèses!$X$9,IF(AN212&lt;=Hypothèses!$V$10,Hypothèses!$X$10,IF(AN212&lt;=Hypothèses!$V$11,Hypothèses!$X$11,IF(AN212&lt;=Hypothèses!$V$12,Hypothèses!$X$12,IF(AN212&lt;=Hypothèses!$V$13,Hypothèses!$X$13,IF(AN212&lt;=Hypothèses!$V$14,Hypothèses!$X$14,IF(AN212&lt;=Hypothèses!$V$15,Hypothèses!$X$15,IF(AN212&lt;=Hypothèses!$V$16,Hypothèses!$X$16,IF(AN212&lt;=Hypothèses!$U$17,Hypothèses!$W$17,IF(AN212&lt;=Hypothèses!$U$18,Hypothèses!$W$18,""))))))))))))</f>
        <v>#DIV/0!</v>
      </c>
      <c r="BK212" s="95" t="e">
        <f t="shared" ca="1" si="377"/>
        <v>#DIV/0!</v>
      </c>
      <c r="BL212" s="101" t="e">
        <f t="shared" si="425"/>
        <v>#N/A</v>
      </c>
      <c r="BM212" s="91" t="e">
        <f t="shared" si="346"/>
        <v>#N/A</v>
      </c>
      <c r="BN212" s="30" t="e">
        <f t="shared" si="404"/>
        <v>#N/A</v>
      </c>
      <c r="BO212" s="30" t="e">
        <f t="shared" si="405"/>
        <v>#N/A</v>
      </c>
      <c r="BP212" s="31" t="e">
        <f>IF(OR(Hypothèses!$B$4=17,Hypothèses!$B$4=18,Hypothèses!$B$4=19,Hypothèses!$B$4=20),
IF($D212="Pressio.",
IF(OR($E212=3,$E212=1,$E212=4),BO212,BN212),
IF($D212="Pénétro.",
IF(OR($E212=3,$E212=1,$E212=4),BO212,BN212))),IF($D212="Pressio.",
IF($E212=3,BO212,BN212),
IF($D212="Pénétro.",
IF($E212=4,BO212,BN212))))</f>
        <v>#N/A</v>
      </c>
      <c r="BQ212" s="31" t="e">
        <f>(IF(OR(Hypothèses!$B$4=17,Hypothèses!$B$4=18,Hypothèses!$B$4=19,Hypothèses!$B$4=20),
IF($D212="Pressio.",
IF(OR($E212=3,$E212=1,$E212=4),(PI()*BQ$12^2)/4*(BM212*$W212*1000)/($H212*$B$5),(PI()*BQ$12^2)/4*(BM212*$W212*1000)/($G212*$B$5)),
IF($D212="Pénétro.",
IF(OR($E212=4,$E212=1,$E212=5),(PI()*BQ$12^2)/4*(BM212*$W212*1000)/($H212*$B$5),(PI()*BQ$12^2)/4*(BM212*$W212*1000)/($G212*$B$5)))),
IF($D212="Pressio.",
IF($E212=3,(PI()*BQ$12^2)/4*(BM212*$W212*1000)/($H212*$B$5),(PI()*BQ$12^2)/4*(BM212*$W212*1000)/($G212*$B$5)),
IF($D212="Pénétro.",
IF($E212=4,(PI()*BQ$12^2)/4*(BM212*$W212*1000)/($H212*$B$5),(PI()*BQ$12^2)/4*(BM212*$W212*1000)/($G212*$B$5))))))/10</f>
        <v>#N/A</v>
      </c>
      <c r="BR212" s="102" t="e">
        <f>(VLOOKUP($B$3,'Coeff EC7'!$T$39:$X$59,2,0)*BP212+VLOOKUP($B$3,'Coeff EC7'!$T$65:$X$85,2,0)*Model0.1C!BQ212)/1.1</f>
        <v>#N/A</v>
      </c>
      <c r="BS212" s="102" t="e">
        <f>(VLOOKUP($B$3,'Coeff EC7'!$T$39:$X$59,3,0)*BP212+VLOOKUP($B$3,'Coeff EC7'!$T$65:$X$85,3,0)*Model0.1C!BQ212)/0.9</f>
        <v>#N/A</v>
      </c>
      <c r="BT212" s="102" t="e">
        <f t="shared" si="378"/>
        <v>#N/A</v>
      </c>
      <c r="BU212" s="102" t="e">
        <f t="shared" si="379"/>
        <v>#N/A</v>
      </c>
      <c r="BV212" s="414" t="e">
        <f>IF(BV211=0,0,IF(AND(BR212&gt;charge_ELS_quasi,BS212&gt;Charge_ELS_freq,BT212&gt;charge_ELU,BU212&gt;charge_ELA,$B212&gt;NDC!$H$22-0.1+MIN(3*$BV$12,1.5)),0,1))</f>
        <v>#N/A</v>
      </c>
      <c r="BW212" s="86" t="b">
        <f t="shared" si="347"/>
        <v>0</v>
      </c>
      <c r="BX212" s="86">
        <f t="shared" si="348"/>
        <v>0.5</v>
      </c>
      <c r="BY212" s="86">
        <f t="shared" si="349"/>
        <v>0.5</v>
      </c>
      <c r="BZ212" s="30" t="e">
        <f t="shared" ca="1" si="380"/>
        <v>#DIV/0!</v>
      </c>
      <c r="CA212" s="85" t="e">
        <f ca="1">IF(BG212&lt;=Hypothèses!$V$7,Hypothèses!$W$7,IF(BG212&lt;=Hypothèses!$V$8,Hypothèses!$W$8,IF(BG212&lt;=Hypothèses!$V$9,Hypothèses!$W$9,IF(BG212&lt;=Hypothèses!$V$10,Hypothèses!$W$10,IF(BG212&lt;=Hypothèses!$V$11,Hypothèses!$W$11,IF(BG212&lt;=Hypothèses!$V$12,Hypothèses!$W$12,IF(BG212&lt;=Hypothèses!$V$13,Hypothèses!$W$13,IF(BG212&lt;=Hypothèses!$V$14,Hypothèses!$W$14,IF(BG212&lt;=Hypothèses!$V$15,Hypothèses!$W$15,IF(BG212&lt;=Hypothèses!$V$16,Hypothèses!$W$16,IF(BG212&lt;=Hypothèses!$V$17,Hypothèses!$W$17,IF(BG212&lt;=Hypothèses!$V$18,Hypothèses!$W$18,""))))))))))))</f>
        <v>#DIV/0!</v>
      </c>
      <c r="CB212" s="87" t="e">
        <f t="shared" ca="1" si="419"/>
        <v>#DIV/0!</v>
      </c>
      <c r="CC212" s="88" t="e">
        <f ca="1">IF(BG212&lt;=Hypothèses!$V$7,Hypothèses!$X$7,IF(BG212&lt;=Hypothèses!$V$8,Hypothèses!$X$8,IF(BG212&lt;=Hypothèses!$V$9,Hypothèses!$X$9,IF(BG212&lt;=Hypothèses!$V$10,Hypothèses!$X$10,IF(BG212&lt;=Hypothèses!$V$11,Hypothèses!$X$11,IF(BG212&lt;=Hypothèses!$V$12,Hypothèses!$X$12,IF(BG212&lt;=Hypothèses!$V$13,Hypothèses!$X$13,IF(BG212&lt;=Hypothèses!$V$14,Hypothèses!$X$14,IF(BG212&lt;=Hypothèses!$V$15,Hypothèses!$X$15,IF(BG212&lt;=Hypothèses!$V$16,Hypothèses!$X$16,IF(BG212&lt;=Hypothèses!$U$17,Hypothèses!$W$17,IF(BG212&lt;=Hypothèses!$U$18,Hypothèses!$W$18,""))))))))))))</f>
        <v>#DIV/0!</v>
      </c>
      <c r="CD212" s="95" t="e">
        <f t="shared" ca="1" si="381"/>
        <v>#DIV/0!</v>
      </c>
      <c r="CE212" s="101" t="e">
        <f t="shared" si="426"/>
        <v>#N/A</v>
      </c>
      <c r="CF212" s="91" t="e">
        <f t="shared" si="350"/>
        <v>#N/A</v>
      </c>
      <c r="CG212" s="30" t="e">
        <f t="shared" si="406"/>
        <v>#N/A</v>
      </c>
      <c r="CH212" s="30" t="e">
        <f t="shared" si="407"/>
        <v>#N/A</v>
      </c>
      <c r="CI212" s="31" t="e">
        <f>IF(OR(Hypothèses!$B$4=17,Hypothèses!$B$4=18,Hypothèses!$B$4=19,Hypothèses!$B$4=20),
IF($D212="Pressio.",
IF(OR($E212=3,$E212=1,$E212=4),CH212,CG212),
IF($D212="Pénétro.",
IF(OR($E212=3,$E212=1,$E212=4),CH212,CG212))),IF($D212="Pressio.",
IF($E212=3,CH212,CG212),
IF($D212="Pénétro.",
IF($E212=4,CH212,CG212))))</f>
        <v>#N/A</v>
      </c>
      <c r="CJ212" s="31" t="e">
        <f>(IF(OR(Hypothèses!$B$4=17,Hypothèses!$B$4=18,Hypothèses!$B$4=19,Hypothèses!$B$4=20),
IF($D212="Pressio.",
IF(OR($E212=3,$E212=1,$E212=4),(PI()*CJ$12^2)/4*(CF212*$W212*1000)/($H212*$B$5),(PI()*CJ$12^2)/4*(CF212*$W212*1000)/($G212*$B$5)),
IF($D212="Pénétro.",
IF(OR($E212=4,$E212=1,$E212=5),(PI()*CJ$12^2)/4*(CF212*$W212*1000)/($H212*$B$5),(PI()*CJ$12^2)/4*(CF212*$W212*1000)/($G212*$B$5)))),
IF($D212="Pressio.",
IF($E212=3,(PI()*CJ$12^2)/4*(CF212*$W212*1000)/($H212*$B$5),(PI()*CJ$12^2)/4*(CF212*$W212*1000)/($G212*$B$5)),
IF($D212="Pénétro.",
IF($E212=4,(PI()*CJ$12^2)/4*(CF212*$W212*1000)/($H212*$B$5),(PI()*CJ$12^2)/4*(CF212*$W212*1000)/($G212*$B$5))))))/10</f>
        <v>#N/A</v>
      </c>
      <c r="CK212" s="102" t="e">
        <f>(VLOOKUP($B$3,'Coeff EC7'!$T$39:$X$59,2,0)*CI212+VLOOKUP($B$3,'Coeff EC7'!$T$65:$X$85,2,0)*Model0.1C!CJ212)/1.1</f>
        <v>#N/A</v>
      </c>
      <c r="CL212" s="102" t="e">
        <f>(VLOOKUP($B$3,'Coeff EC7'!$T$39:$X$59,3,0)*CI212+VLOOKUP($B$3,'Coeff EC7'!$T$65:$X$85,3,0)*Model0.1C!CJ212)/0.9</f>
        <v>#N/A</v>
      </c>
      <c r="CM212" s="102" t="e">
        <f t="shared" si="382"/>
        <v>#N/A</v>
      </c>
      <c r="CN212" s="102" t="e">
        <f t="shared" si="383"/>
        <v>#N/A</v>
      </c>
      <c r="CO212" s="414" t="e">
        <f>IF(CO211=0,0,IF(AND(CK212&gt;charge_ELS_quasi,CL212&gt;Charge_ELS_freq,CM212&gt;charge_ELU,CN212&gt;charge_ELA,$B212&gt;NDC!$H$22-0.1+MIN(3*$CO$12,1.5)),0,1))</f>
        <v>#N/A</v>
      </c>
      <c r="CP212" s="86" t="b">
        <f t="shared" si="351"/>
        <v>0</v>
      </c>
      <c r="CQ212" s="86">
        <f t="shared" si="352"/>
        <v>0.5</v>
      </c>
      <c r="CR212" s="86">
        <f t="shared" si="353"/>
        <v>0.5</v>
      </c>
      <c r="CS212" s="30" t="e">
        <f t="shared" ca="1" si="384"/>
        <v>#DIV/0!</v>
      </c>
      <c r="CT212" s="85" t="e">
        <f ca="1">IF(BZ212&lt;=Hypothèses!$V$7,Hypothèses!$W$7,IF(BZ212&lt;=Hypothèses!$V$8,Hypothèses!$W$8,IF(BZ212&lt;=Hypothèses!$V$9,Hypothèses!$W$9,IF(BZ212&lt;=Hypothèses!$V$10,Hypothèses!$W$10,IF(BZ212&lt;=Hypothèses!$V$11,Hypothèses!$W$11,IF(BZ212&lt;=Hypothèses!$V$12,Hypothèses!$W$12,IF(BZ212&lt;=Hypothèses!$V$13,Hypothèses!$W$13,IF(BZ212&lt;=Hypothèses!$V$14,Hypothèses!$W$14,IF(BZ212&lt;=Hypothèses!$V$15,Hypothèses!$W$15,IF(BZ212&lt;=Hypothèses!$V$16,Hypothèses!$W$16,IF(BZ212&lt;=Hypothèses!$V$17,Hypothèses!$W$17,IF(BZ212&lt;=Hypothèses!$V$18,Hypothèses!$W$18,""))))))))))))</f>
        <v>#DIV/0!</v>
      </c>
      <c r="CU212" s="87" t="e">
        <f t="shared" ca="1" si="420"/>
        <v>#DIV/0!</v>
      </c>
      <c r="CV212" s="88" t="e">
        <f ca="1">IF(BZ212&lt;=Hypothèses!$V$7,Hypothèses!$X$7,IF(BZ212&lt;=Hypothèses!$V$8,Hypothèses!$X$8,IF(BZ212&lt;=Hypothèses!$V$9,Hypothèses!$X$9,IF(BZ212&lt;=Hypothèses!$V$10,Hypothèses!$X$10,IF(BZ212&lt;=Hypothèses!$V$11,Hypothèses!$X$11,IF(BZ212&lt;=Hypothèses!$V$12,Hypothèses!$X$12,IF(BZ212&lt;=Hypothèses!$V$13,Hypothèses!$X$13,IF(BZ212&lt;=Hypothèses!$V$14,Hypothèses!$X$14,IF(BZ212&lt;=Hypothèses!$V$15,Hypothèses!$X$15,IF(BZ212&lt;=Hypothèses!$V$16,Hypothèses!$X$16,IF(BZ212&lt;=Hypothèses!$U$17,Hypothèses!$W$17,IF(BZ212&lt;=Hypothèses!$U$18,Hypothèses!$W$18,""))))))))))))</f>
        <v>#DIV/0!</v>
      </c>
      <c r="CW212" s="95" t="e">
        <f t="shared" ca="1" si="385"/>
        <v>#DIV/0!</v>
      </c>
      <c r="CX212" s="101" t="e">
        <f t="shared" si="427"/>
        <v>#N/A</v>
      </c>
      <c r="CY212" s="91" t="e">
        <f t="shared" si="354"/>
        <v>#N/A</v>
      </c>
      <c r="CZ212" s="30" t="e">
        <f t="shared" si="408"/>
        <v>#N/A</v>
      </c>
      <c r="DA212" s="30" t="e">
        <f t="shared" si="409"/>
        <v>#N/A</v>
      </c>
      <c r="DB212" s="31" t="e">
        <f>IF(OR(Hypothèses!$B$4=17,Hypothèses!$B$4=18,Hypothèses!$B$4=19,Hypothèses!$B$4=20),
IF($D212="Pressio.",
IF(OR($E212=3,$E212=1,$E212=4),DA212,CZ212),
IF($D212="Pénétro.",
IF(OR($E212=3,$E212=1,$E212=4),DA212,CZ212))),IF($D212="Pressio.",
IF($E212=3,DA212,CZ212),
IF($D212="Pénétro.",
IF($E212=4,DA212,CZ212))))</f>
        <v>#N/A</v>
      </c>
      <c r="DC212" s="31" t="e">
        <f>(IF(OR(Hypothèses!$B$4=17,Hypothèses!$B$4=18,Hypothèses!$B$4=19,Hypothèses!$B$4=20),
IF($D212="Pressio.",
IF(OR($E212=3,$E212=1,$E212=4),(PI()*DC$12^2)/4*(CY212*$W212*1000)/($H212*$B$5),(PI()*DC$12^2)/4*(CY212*$W212*1000)/($G212*$B$5)),
IF($D212="Pénétro.",
IF(OR($E212=4,$E212=1,$E212=5),(PI()*DC$12^2)/4*(CY212*$W212*1000)/($H212*$B$5),(PI()*DC$12^2)/4*(CY212*$W212*1000)/($G212*$B$5)))),
IF($D212="Pressio.",
IF($E212=3,(PI()*DC$12^2)/4*(CY212*$W212*1000)/($H212*$B$5),(PI()*DC$12^2)/4*(CY212*$W212*1000)/($G212*$B$5)),
IF($D212="Pénétro.",
IF($E212=4,(PI()*DC$12^2)/4*(CY212*$W212*1000)/($H212*$B$5),(PI()*DC$12^2)/4*(CY212*$W212*1000)/($G212*$B$5))))))/10</f>
        <v>#N/A</v>
      </c>
      <c r="DD212" s="102" t="e">
        <f>(VLOOKUP($B$3,'Coeff EC7'!$T$39:$X$59,2,0)*DB212+VLOOKUP($B$3,'Coeff EC7'!$T$65:$X$85,2,0)*Model0.1C!DC212)/1.1</f>
        <v>#N/A</v>
      </c>
      <c r="DE212" s="102" t="e">
        <f>(VLOOKUP($B$3,'Coeff EC7'!$T$39:$X$59,3,0)*DB212+VLOOKUP($B$3,'Coeff EC7'!$T$65:$X$85,3,0)*Model0.1C!DC212)/0.9</f>
        <v>#N/A</v>
      </c>
      <c r="DF212" s="102" t="e">
        <f t="shared" si="386"/>
        <v>#N/A</v>
      </c>
      <c r="DG212" s="102" t="e">
        <f t="shared" si="387"/>
        <v>#N/A</v>
      </c>
      <c r="DH212" s="414" t="e">
        <f>IF(DH211=0,0,IF(AND(DD212&gt;charge_ELS_quasi,DE212&gt;Charge_ELS_freq,DF212&gt;charge_ELU,DG212&gt;charge_ELA,$B212&gt;NDC!$H$22-0.1+MIN(3*$DH$12,1.5)),0,1))</f>
        <v>#N/A</v>
      </c>
      <c r="DI212" s="86" t="b">
        <f t="shared" si="355"/>
        <v>0</v>
      </c>
      <c r="DJ212" s="86">
        <f t="shared" si="356"/>
        <v>0.5</v>
      </c>
      <c r="DK212" s="86">
        <f t="shared" si="357"/>
        <v>0.5</v>
      </c>
      <c r="DL212" s="30" t="e">
        <f t="shared" ca="1" si="388"/>
        <v>#DIV/0!</v>
      </c>
      <c r="DM212" s="85" t="e">
        <f ca="1">IF(CS212&lt;=Hypothèses!$V$7,Hypothèses!$W$7,IF(CS212&lt;=Hypothèses!$V$8,Hypothèses!$W$8,IF(CS212&lt;=Hypothèses!$V$9,Hypothèses!$W$9,IF(CS212&lt;=Hypothèses!$V$10,Hypothèses!$W$10,IF(CS212&lt;=Hypothèses!$V$11,Hypothèses!$W$11,IF(CS212&lt;=Hypothèses!$V$12,Hypothèses!$W$12,IF(CS212&lt;=Hypothèses!$V$13,Hypothèses!$W$13,IF(CS212&lt;=Hypothèses!$V$14,Hypothèses!$W$14,IF(CS212&lt;=Hypothèses!$V$15,Hypothèses!$W$15,IF(CS212&lt;=Hypothèses!$V$16,Hypothèses!$W$16,IF(CS212&lt;=Hypothèses!$V$17,Hypothèses!$W$17,IF(CS212&lt;=Hypothèses!$V$18,Hypothèses!$W$18,""))))))))))))</f>
        <v>#DIV/0!</v>
      </c>
      <c r="DN212" s="87" t="e">
        <f t="shared" ca="1" si="421"/>
        <v>#DIV/0!</v>
      </c>
      <c r="DO212" s="88" t="e">
        <f ca="1">IF(CS212&lt;=Hypothèses!$V$7,Hypothèses!$X$7,IF(CS212&lt;=Hypothèses!$V$8,Hypothèses!$X$8,IF(CS212&lt;=Hypothèses!$V$9,Hypothèses!$X$9,IF(CS212&lt;=Hypothèses!$V$10,Hypothèses!$X$10,IF(CS212&lt;=Hypothèses!$V$11,Hypothèses!$X$11,IF(CS212&lt;=Hypothèses!$V$12,Hypothèses!$X$12,IF(CS212&lt;=Hypothèses!$V$13,Hypothèses!$X$13,IF(CS212&lt;=Hypothèses!$V$14,Hypothèses!$X$14,IF(CS212&lt;=Hypothèses!$V$15,Hypothèses!$X$15,IF(CS212&lt;=Hypothèses!$V$16,Hypothèses!$X$16,IF(CS212&lt;=Hypothèses!$U$17,Hypothèses!$W$17,IF(CS212&lt;=Hypothèses!$U$18,Hypothèses!$W$18,""))))))))))))</f>
        <v>#DIV/0!</v>
      </c>
      <c r="DP212" s="95" t="e">
        <f t="shared" ca="1" si="389"/>
        <v>#DIV/0!</v>
      </c>
      <c r="DQ212" s="101" t="e">
        <f t="shared" si="428"/>
        <v>#N/A</v>
      </c>
      <c r="DR212" s="91" t="e">
        <f t="shared" si="358"/>
        <v>#N/A</v>
      </c>
      <c r="DS212" s="30" t="e">
        <f t="shared" si="410"/>
        <v>#N/A</v>
      </c>
      <c r="DT212" s="30" t="e">
        <f t="shared" si="411"/>
        <v>#N/A</v>
      </c>
      <c r="DU212" s="31" t="e">
        <f>IF(OR(Hypothèses!$B$4=17,Hypothèses!$B$4=18,Hypothèses!$B$4=19,Hypothèses!$B$4=20),
IF($D212="Pressio.",
IF(OR($E212=3,$E212=1,$E212=4),DT212,DS212),
IF($D212="Pénétro.",
IF(OR($E212=3,$E212=1,$E212=4),DT212,DS212))),IF($D212="Pressio.",
IF($E212=3,DT212,DS212),
IF($D212="Pénétro.",
IF($E212=4,DT212,DS212))))</f>
        <v>#N/A</v>
      </c>
      <c r="DV212" s="31" t="e">
        <f>(IF(OR(Hypothèses!$B$4=17,Hypothèses!$B$4=18,Hypothèses!$B$4=19,Hypothèses!$B$4=20),
IF($D212="Pressio.",
IF(OR($E212=3,$E212=1,$E212=4),(PI()*DV$12^2)/4*(DR212*$W212*1000)/($H212*$B$5),(PI()*DV$12^2)/4*(DR212*$W212*1000)/($G212*$B$5)),
IF($D212="Pénétro.",
IF(OR($E212=4,$E212=1,$E212=5),(PI()*DV$12^2)/4*(DR212*$W212*1000)/($H212*$B$5),(PI()*DV$12^2)/4*(DR212*$W212*1000)/($G212*$B$5)))),
IF($D212="Pressio.",
IF($E212=3,(PI()*DV$12^2)/4*(DR212*$W212*1000)/($H212*$B$5),(PI()*DV$12^2)/4*(DR212*$W212*1000)/($G212*$B$5)),
IF($D212="Pénétro.",
IF($E212=4,(PI()*DV$12^2)/4*(DR212*$W212*1000)/($H212*$B$5),(PI()*DV$12^2)/4*(DR212*$W212*1000)/($G212*$B$5))))))/10</f>
        <v>#N/A</v>
      </c>
      <c r="DW212" s="102" t="e">
        <f>(VLOOKUP($B$3,'Coeff EC7'!$T$39:$X$59,2,0)*DU212+VLOOKUP($B$3,'Coeff EC7'!$T$65:$X$85,2,0)*Model0.1C!DV212)/1.1</f>
        <v>#N/A</v>
      </c>
      <c r="DX212" s="102" t="e">
        <f>(VLOOKUP($B$3,'Coeff EC7'!$T$39:$X$59,3,0)*DU212+VLOOKUP($B$3,'Coeff EC7'!$T$65:$X$85,3,0)*Model0.1C!DV212)/0.9</f>
        <v>#N/A</v>
      </c>
      <c r="DY212" s="102" t="e">
        <f t="shared" si="390"/>
        <v>#N/A</v>
      </c>
      <c r="DZ212" s="102" t="e">
        <f t="shared" si="391"/>
        <v>#N/A</v>
      </c>
      <c r="EA212" s="414" t="e">
        <f>IF(EA211=0,0,IF(AND(DW212&gt;charge_ELS_quasi,DX212&gt;Charge_ELS_freq,DY212&gt;charge_ELU,DZ212&gt;charge_ELA,$B212&gt;NDC!$H$22-0.1+MIN(3*$EA$12,1.5)),0,1))</f>
        <v>#N/A</v>
      </c>
      <c r="EB212" s="86" t="b">
        <f t="shared" si="359"/>
        <v>0</v>
      </c>
      <c r="EC212" s="418">
        <f t="shared" si="360"/>
        <v>0.51</v>
      </c>
      <c r="ED212" s="86">
        <f t="shared" si="361"/>
        <v>0.51</v>
      </c>
      <c r="EE212" s="30" t="e">
        <f t="shared" ca="1" si="392"/>
        <v>#DIV/0!</v>
      </c>
      <c r="EF212" s="85" t="e">
        <f ca="1">IF(DL212&lt;=Hypothèses!$V$7,Hypothèses!$W$7,IF(DL212&lt;=Hypothèses!$V$8,Hypothèses!$W$8,IF(DL212&lt;=Hypothèses!$V$9,Hypothèses!$W$9,IF(DL212&lt;=Hypothèses!$V$10,Hypothèses!$W$10,IF(DL212&lt;=Hypothèses!$V$11,Hypothèses!$W$11,IF(DL212&lt;=Hypothèses!$V$12,Hypothèses!$W$12,IF(DL212&lt;=Hypothèses!$V$13,Hypothèses!$W$13,IF(DL212&lt;=Hypothèses!$V$14,Hypothèses!$W$14,IF(DL212&lt;=Hypothèses!$V$15,Hypothèses!$W$15,IF(DL212&lt;=Hypothèses!$V$16,Hypothèses!$W$16,IF(DL212&lt;=Hypothèses!$V$17,Hypothèses!$W$17,IF(DL212&lt;=Hypothèses!$V$18,Hypothèses!$W$18,""))))))))))))</f>
        <v>#DIV/0!</v>
      </c>
      <c r="EG212" s="87" t="e">
        <f t="shared" ca="1" si="422"/>
        <v>#DIV/0!</v>
      </c>
      <c r="EH212" s="88" t="e">
        <f ca="1">IF(DL212&lt;=Hypothèses!$V$7,Hypothèses!$X$7,IF(DL212&lt;=Hypothèses!$V$8,Hypothèses!$X$8,IF(DL212&lt;=Hypothèses!$V$9,Hypothèses!$X$9,IF(DL212&lt;=Hypothèses!$V$10,Hypothèses!$X$10,IF(DL212&lt;=Hypothèses!$V$11,Hypothèses!$X$11,IF(DL212&lt;=Hypothèses!$V$12,Hypothèses!$X$12,IF(DL212&lt;=Hypothèses!$V$13,Hypothèses!$X$13,IF(DL212&lt;=Hypothèses!$V$14,Hypothèses!$X$14,IF(DL212&lt;=Hypothèses!$V$15,Hypothèses!$X$15,IF(DL212&lt;=Hypothèses!$V$16,Hypothèses!$X$16,IF(DL212&lt;=Hypothèses!$U$17,Hypothèses!$W$17,IF(DL212&lt;=Hypothèses!$U$18,Hypothèses!$W$18,""))))))))))))</f>
        <v>#DIV/0!</v>
      </c>
      <c r="EI212" s="95" t="e">
        <f t="shared" ca="1" si="393"/>
        <v>#DIV/0!</v>
      </c>
      <c r="EJ212" s="101" t="e">
        <f t="shared" si="429"/>
        <v>#N/A</v>
      </c>
      <c r="EK212" s="91" t="e">
        <f t="shared" si="362"/>
        <v>#N/A</v>
      </c>
      <c r="EL212" s="30" t="e">
        <f t="shared" si="412"/>
        <v>#N/A</v>
      </c>
      <c r="EM212" s="30" t="e">
        <f t="shared" si="413"/>
        <v>#N/A</v>
      </c>
      <c r="EN212" s="31" t="e">
        <f>IF(OR(Hypothèses!$B$4=17,Hypothèses!$B$4=18,Hypothèses!$B$4=19,Hypothèses!$B$4=20),
IF($D212="Pressio.",
IF(OR($E212=3,$E212=1,$E212=4),EM212,EL212),
IF($D212="Pénétro.",
IF(OR($E212=3,$E212=1,$E212=4),EM212,EL212))),IF($D212="Pressio.",
IF($E212=3,EM212,EL212),
IF($D212="Pénétro.",
IF($E212=4,EM212,EL212))))</f>
        <v>#N/A</v>
      </c>
      <c r="EO212" s="31" t="e">
        <f>(IF(OR(Hypothèses!$B$4=17,Hypothèses!$B$4=18,Hypothèses!$B$4=19,Hypothèses!$B$4=20),
IF($D212="Pressio.",
IF(OR($E212=3,$E212=1,$E212=4),(PI()*EO$12^2)/4*(EK212*$W212*1000)/($H212*$B$5),(PI()*EO$12^2)/4*(EK212*$W212*1000)/($G212*$B$5)),
IF($D212="Pénétro.",
IF(OR($E212=4,$E212=1,$E212=5),(PI()*EO$12^2)/4*(EK212*$W212*1000)/($H212*$B$5),(PI()*EO$12^2)/4*(EK212*$W212*1000)/($G212*$B$5)))),
IF($D212="Pressio.",
IF($E212=3,(PI()*EO$12^2)/4*(EK212*$W212*1000)/($H212*$B$5),(PI()*EO$12^2)/4*(EK212*$W212*1000)/($G212*$B$5)),
IF($D212="Pénétro.",
IF($E212=4,(PI()*EO$12^2)/4*(EK212*$W212*1000)/($H212*$B$5),(PI()*EO$12^2)/4*(EK212*$W212*1000)/($G212*$B$5))))))/10</f>
        <v>#N/A</v>
      </c>
      <c r="EP212" s="102" t="e">
        <f>(VLOOKUP($B$3,'Coeff EC7'!$T$39:$X$59,2,0)*EN212+VLOOKUP($B$3,'Coeff EC7'!$T$65:$X$85,2,0)*Model0.1C!EO212)/1.1</f>
        <v>#N/A</v>
      </c>
      <c r="EQ212" s="102" t="e">
        <f>(VLOOKUP($B$3,'Coeff EC7'!$T$39:$X$59,3,0)*EN212+VLOOKUP($B$3,'Coeff EC7'!$T$65:$X$85,3,0)*Model0.1C!EO212)/0.9</f>
        <v>#N/A</v>
      </c>
      <c r="ER212" s="102" t="e">
        <f t="shared" si="394"/>
        <v>#N/A</v>
      </c>
      <c r="ES212" s="102" t="e">
        <f t="shared" si="395"/>
        <v>#N/A</v>
      </c>
      <c r="ET212" s="414" t="e">
        <f>IF(ET211=0,0,IF(AND(EP212&gt;charge_ELS_quasi,EQ212&gt;Charge_ELS_freq,ER212&gt;charge_ELU,ES212&gt;charge_ELA,$B212&gt;NDC!$H$22-0.1+MIN(3*$ET$12,1.5)),0,1))</f>
        <v>#N/A</v>
      </c>
      <c r="EU212" s="86" t="b">
        <f t="shared" si="363"/>
        <v>0</v>
      </c>
      <c r="EV212" s="86">
        <f t="shared" si="364"/>
        <v>0.61</v>
      </c>
      <c r="EW212" s="86">
        <f t="shared" si="365"/>
        <v>0.61</v>
      </c>
      <c r="EX212" s="30" t="e">
        <f t="shared" ca="1" si="396"/>
        <v>#DIV/0!</v>
      </c>
      <c r="EY212" s="85" t="e">
        <f ca="1">IF(EE212&lt;=Hypothèses!$V$7,Hypothèses!$W$7,IF(EE212&lt;=Hypothèses!$V$8,Hypothèses!$W$8,IF(EE212&lt;=Hypothèses!$V$9,Hypothèses!$W$9,IF(EE212&lt;=Hypothèses!$V$10,Hypothèses!$W$10,IF(EE212&lt;=Hypothèses!$V$11,Hypothèses!$W$11,IF(EE212&lt;=Hypothèses!$V$12,Hypothèses!$W$12,IF(EE212&lt;=Hypothèses!$V$13,Hypothèses!$W$13,IF(EE212&lt;=Hypothèses!$V$14,Hypothèses!$W$14,IF(EE212&lt;=Hypothèses!$V$15,Hypothèses!$W$15,IF(EE212&lt;=Hypothèses!$V$16,Hypothèses!$W$16,IF(EE212&lt;=Hypothèses!$V$17,Hypothèses!$W$17,IF(EE212&lt;=Hypothèses!$V$18,Hypothèses!$W$18,""))))))))))))</f>
        <v>#DIV/0!</v>
      </c>
      <c r="EZ212" s="87" t="e">
        <f t="shared" ca="1" si="423"/>
        <v>#DIV/0!</v>
      </c>
      <c r="FA212" s="88" t="e">
        <f ca="1">IF(EE212&lt;=Hypothèses!$V$7,Hypothèses!$X$7,IF(EE212&lt;=Hypothèses!$V$8,Hypothèses!$X$8,IF(EE212&lt;=Hypothèses!$V$9,Hypothèses!$X$9,IF(EE212&lt;=Hypothèses!$V$10,Hypothèses!$X$10,IF(EE212&lt;=Hypothèses!$V$11,Hypothèses!$X$11,IF(EE212&lt;=Hypothèses!$V$12,Hypothèses!$X$12,IF(EE212&lt;=Hypothèses!$V$13,Hypothèses!$X$13,IF(EE212&lt;=Hypothèses!$V$14,Hypothèses!$X$14,IF(EE212&lt;=Hypothèses!$V$15,Hypothèses!$X$15,IF(EE212&lt;=Hypothèses!$V$16,Hypothèses!$X$16,IF(EE212&lt;=Hypothèses!$U$17,Hypothèses!$W$17,IF(EE212&lt;=Hypothèses!$U$18,Hypothèses!$W$18,""))))))))))))</f>
        <v>#DIV/0!</v>
      </c>
      <c r="FB212" s="95" t="e">
        <f t="shared" ca="1" si="397"/>
        <v>#DIV/0!</v>
      </c>
      <c r="FC212" s="101" t="e">
        <f t="shared" si="430"/>
        <v>#N/A</v>
      </c>
      <c r="FD212" s="91" t="e">
        <f t="shared" si="366"/>
        <v>#N/A</v>
      </c>
      <c r="FE212" s="30" t="e">
        <f t="shared" si="414"/>
        <v>#N/A</v>
      </c>
      <c r="FF212" s="30" t="e">
        <f t="shared" si="415"/>
        <v>#N/A</v>
      </c>
      <c r="FG212" s="31" t="e">
        <f>IF(OR(Hypothèses!$B$4=17,Hypothèses!$B$4=18,Hypothèses!$B$4=19,Hypothèses!$B$4=20),
IF($D212="Pressio.",
IF(OR($E212=3,$E212=1,$E212=4),FF212,FE212),
IF($D212="Pénétro.",
IF(OR($E212=3,$E212=1,$E212=4),FF212,FE212))),IF($D212="Pressio.",
IF($E212=3,FF212,FE212),
IF($D212="Pénétro.",
IF($E212=4,FF212,FE212))))</f>
        <v>#N/A</v>
      </c>
      <c r="FH212" s="31" t="e">
        <f>(IF(OR(Hypothèses!$B$4=17,Hypothèses!$B$4=18,Hypothèses!$B$4=19,Hypothèses!$B$4=20),
IF($D212="Pressio.",
IF(OR($E212=3,$E212=1,$E212=4),(PI()*FH$12^2)/4*(FD212*$W212*1000)/($H212*$B$5),(PI()*FH$12^2)/4*(FD212*$W212*1000)/($G212*$B$5)),
IF($D212="Pénétro.",
IF(OR($E212=4,$E212=1,$E212=5),(PI()*FH$12^2)/4*(FD212*$W212*1000)/($H212*$B$5),(PI()*FH$12^2)/4*(FD212*$W212*1000)/($G212*$B$5)))),
IF($D212="Pressio.",
IF($E212=3,(PI()*FH$12^2)/4*(FD212*$W212*1000)/($H212*$B$5),(PI()*FH$12^2)/4*(FD212*$W212*1000)/($G212*$B$5)),
IF($D212="Pénétro.",
IF($E212=4,(PI()*FH$12^2)/4*(FD212*$W212*1000)/($H212*$B$5),(PI()*FH$12^2)/4*(FD212*$W212*1000)/($G212*$B$5))))))/10</f>
        <v>#N/A</v>
      </c>
      <c r="FI212" s="102" t="e">
        <f>(VLOOKUP($B$3,'Coeff EC7'!$T$39:$X$59,2,0)*FG212+VLOOKUP($B$3,'Coeff EC7'!$T$65:$X$85,2,0)*Model0.1C!FH212)/1.1</f>
        <v>#N/A</v>
      </c>
      <c r="FJ212" s="102" t="e">
        <f>(VLOOKUP($B$3,'Coeff EC7'!$T$39:$X$59,3,0)*FG212+VLOOKUP($B$3,'Coeff EC7'!$T$65:$X$85,3,0)*Model0.1C!FH212)/0.9</f>
        <v>#N/A</v>
      </c>
      <c r="FK212" s="102" t="e">
        <f t="shared" si="398"/>
        <v>#N/A</v>
      </c>
      <c r="FL212" s="102" t="e">
        <f t="shared" si="399"/>
        <v>#N/A</v>
      </c>
      <c r="FM212" s="414" t="e">
        <f>IF(FM211=0,0,IF(AND(FI212&gt;charge_ELS_quasi,FJ212&gt;Charge_ELS_freq,FK212&gt;charge_ELU,FL212&gt;charge_ELA,$B212&gt;NDC!$H$22-0.1+MIN(3*$FM$12,1.5)),0,1))</f>
        <v>#N/A</v>
      </c>
    </row>
    <row r="213" spans="1:169">
      <c r="A213" s="96">
        <f t="shared" si="367"/>
        <v>80.000000000001137</v>
      </c>
      <c r="B213" s="97">
        <v>20</v>
      </c>
      <c r="C213" s="81">
        <f>IF(B213&lt;=Hypothèses!$C$7,Hypothèses!$A$7,IF(B213&lt;=Hypothèses!$C$8,Hypothèses!$A$8,IF(B213&lt;=Hypothèses!$C$9,Hypothèses!$A$9,IF(B213&lt;=Hypothèses!$C$10,Hypothèses!$A$10,IF(B213&lt;=Hypothèses!$C$11,Hypothèses!$A$11,IF(B213&lt;=Hypothèses!$C$12,Hypothèses!$A$12,IF(B213&lt;=Hypothèses!$C$13,Hypothèses!$A$13,IF(B213&lt;=Hypothèses!$C$14,Hypothèses!$A$14,IF(B213&lt;=Hypothèses!$C$15,Hypothèses!$A$15,IF(B213&lt;=Hypothèses!$C$16,Hypothèses!$A$16,IF(B213&lt;=Hypothèses!$C$17,Hypothèses!$A$17,IF(B213&lt;=Hypothèses!$C$18,Hypothèses!$A$18,C212))))))))))))</f>
        <v>11</v>
      </c>
      <c r="D213" s="82" t="str">
        <f>IF(B213&lt;=Hypothèses!$C$7,Hypothèses!$R$7,IF(B213&lt;=Hypothèses!$C$8,Hypothèses!$R$8,IF(B213&lt;=Hypothèses!$C$9,Hypothèses!$R$9,IF(B213&lt;=Hypothèses!$C$10,Hypothèses!$R$10,IF(B213&lt;=Hypothèses!$C$11,Hypothèses!$R$11,IF(B213&lt;=Hypothèses!$C$12,Hypothèses!$R$12,IF(B213&lt;=Hypothèses!$C$13,Hypothèses!$R$13,IF(B213&lt;=Hypothèses!$C$14,Hypothèses!$R$14,IF(B213&lt;=Hypothèses!$C$15,Hypothèses!$R$15,IF(B213&lt;=Hypothèses!$C$16,Hypothèses!$R$16,IF(B213&lt;=Hypothèses!$C$17,Hypothèses!$R$17,IF(B213&lt;=Hypothèses!$C$18,Hypothèses!$R$18,D212))))))))))))</f>
        <v>Pressio.</v>
      </c>
      <c r="E213" s="82" t="e">
        <f>IF(B213&lt;=Hypothèses!$C$7,Hypothèses!$G$7,IF(B213&lt;=Hypothèses!$C$8,Hypothèses!$G$8,IF(B213&lt;=Hypothèses!$C$9,Hypothèses!$G$9,IF(B213&lt;=Hypothèses!$C$10,Hypothèses!$G$10,IF(B213&lt;=Hypothèses!$C$11,Hypothèses!$G$11,IF(B213&lt;=Hypothèses!$C$12,Hypothèses!$G$12,IF(B213&lt;=Hypothèses!$C$13,Hypothèses!$G$13,IF(B213&lt;=Hypothèses!$C$14,Hypothèses!$G$14,IF(B213&lt;=Hypothèses!$C$15,Hypothèses!$G$15,IF(B213&lt;=Hypothèses!$C$16,Hypothèses!$G$16,IF(B213&lt;=Hypothèses!$C$17,Hypothèses!$G$17,IF(B213&lt;=Hypothèses!$C$18,Hypothèses!$G$18,E212))))))))))))</f>
        <v>#N/A</v>
      </c>
      <c r="F213" s="82" t="str">
        <f>IF(B213&lt;=Hypothèses!$C$7,Hypothèses!$F$7,IF(B213&lt;=Hypothèses!$C$8,Hypothèses!$F$8,IF(B213&lt;=Hypothèses!$C$9,Hypothèses!$F$9,IF(B213&lt;=Hypothèses!$C$10,Hypothèses!$F$10,IF(B213&lt;=Hypothèses!$C$11,Hypothèses!$F$11,IF(B213&lt;=Hypothèses!$C$12,Hypothèses!$F$12,IF(B213&lt;=Hypothèses!$C$13,Hypothèses!$F$13,IF(B213&lt;=Hypothèses!$C$14,Hypothèses!$F$14,IF(B213&lt;=Hypothèses!$C$15,Hypothèses!$F$15,IF(B213&lt;=Hypothèses!$C$16,Hypothèses!$F$16,IF(B213&lt;=Hypothèses!$C$17,Hypothèses!$F$17,IF(B213&lt;=Hypothèses!$C$18,Hypothèses!$F$18,F212))))))))))))</f>
        <v/>
      </c>
      <c r="G213" s="91">
        <f t="array" ref="G213">INDEX('Coeff EC7'!$U$7:$X$27,
MATCH(Model0.1C!$B$3,'Coeff EC7'!$T$7:$T$27,0),
MATCH(Model0.1C!$D213&amp;Model0.1C!$B$4,
'Coeff EC7'!$U$6:$X$6&amp;
'Coeff EC7'!$U$5:$X$5,0))</f>
        <v>1.1499999999999999</v>
      </c>
      <c r="H213" s="91">
        <f t="array" ref="H213">INDEX('Coeff EC7'!$Y$7:$AB$27,
MATCH(Model0.1C!$B$3,'Coeff EC7'!$T$7:$T$27,0),
MATCH(Model0.1C!$D213&amp;Model0.1C!$B$4,
'Coeff EC7'!$Y$6:$AB$6&amp;
'Coeff EC7'!$Y$5:$AB$5,0))</f>
        <v>1.4</v>
      </c>
      <c r="I213" s="83" t="e">
        <f>IF(B213&lt;=Hypothèses!$C$7,Hypothèses!$P$7,IF(B213&lt;=Hypothèses!$C$8,Hypothèses!$P$8,IF(B213&lt;=Hypothèses!$C$9,Hypothèses!$P$9,IF(B213&lt;=Hypothèses!$C$10,Hypothèses!$P$10,IF(B213&lt;=Hypothèses!$C$11,Hypothèses!$P$11,IF(B213&lt;=Hypothèses!$C$12,Hypothèses!$P$12,IF(B213&lt;=Hypothèses!$C$13,Hypothèses!$P$13,IF(B213&lt;=Hypothèses!$C$14,Hypothèses!$P$14,IF(B213&lt;=Hypothèses!$C$15,Hypothèses!$P$15,IF(B213&lt;=Hypothèses!$C$16,Hypothèses!$P$16,IF(B213&lt;=Hypothèses!$C$17,Hypothèses!$P$17,IF(B213&lt;=Hypothèses!$C$18,Hypothèses!$P$18,I212))))))))))))</f>
        <v>#N/A</v>
      </c>
      <c r="J213" s="91" t="e">
        <f t="array" ref="J213">INDEX('Coeff EC7'!$D$33:$Q$33,1,MATCH(D213&amp;E213,'Coeff EC7'!$D$31:$Q$31&amp;'Coeff EC7'!$D$32:$Q$32,0))</f>
        <v>#N/A</v>
      </c>
      <c r="K213" s="91" t="e">
        <f t="array" ref="K213">INDEX('Coeff EC7'!$D$34:$Q$34,1,MATCH(D213&amp;E213,'Coeff EC7'!$D$31:$Q$31&amp;'Coeff EC7'!$D$32:$Q$32,0))</f>
        <v>#N/A</v>
      </c>
      <c r="L213" s="91" t="e">
        <f t="array" ref="L213">INDEX('Coeff EC7'!$D$35:$Q$35,1,MATCH(D213&amp;E213,'Coeff EC7'!$D$31:$Q$31&amp;'Coeff EC7'!$D$32:$Q$32,0))</f>
        <v>#N/A</v>
      </c>
      <c r="M213" s="98" t="e">
        <f t="shared" si="331"/>
        <v>#N/A</v>
      </c>
      <c r="N213" s="99" t="e">
        <f t="array" ref="N213">INDEX('Coeff EC7'!$D$7:$Q$27,MATCH($B$3,'Coeff EC7'!$C$7:$C$27,0),MATCH(D213&amp;E213,'Coeff EC7'!$D$5:$Q$5&amp;'Coeff EC7'!$D$6:$Q$6,0))</f>
        <v>#N/A</v>
      </c>
      <c r="O213" s="99" t="e">
        <f t="array" ref="O213">INDEX('Coeff EC7'!$D$41:$Q$61,MATCH($B$3,'Coeff EC7'!$C$41:$C$61,0),MATCH(D213&amp;E213,'Coeff EC7'!$D$39:$Q$39&amp;'Coeff EC7'!$D$40:$Q$40,0))</f>
        <v>#N/A</v>
      </c>
      <c r="P213" s="30" t="e">
        <f t="shared" si="368"/>
        <v>#N/A</v>
      </c>
      <c r="Q213" s="100" t="e">
        <f t="shared" si="333"/>
        <v>#N/A</v>
      </c>
      <c r="R213" s="86" t="b">
        <f t="shared" si="334"/>
        <v>0</v>
      </c>
      <c r="S213" s="86">
        <f t="shared" si="332"/>
        <v>0.5</v>
      </c>
      <c r="T213" s="86">
        <f t="shared" si="335"/>
        <v>0.5</v>
      </c>
      <c r="U213" s="30" t="e">
        <f t="shared" ca="1" si="369"/>
        <v>#DIV/0!</v>
      </c>
      <c r="V213" s="85" t="str">
        <f>IF(B213&lt;=Hypothèses!$V$7,Hypothèses!$W$7,IF(B213&lt;=Hypothèses!$V$8,Hypothèses!$W$8,IF(B213&lt;=Hypothèses!$V$9,Hypothèses!$W$9,IF(B213&lt;=Hypothèses!$V$10,Hypothèses!$W$10,IF(B213&lt;=Hypothèses!$V$11,Hypothèses!$W$11,IF(B213&lt;=Hypothèses!$V$12,Hypothèses!$W$12,IF(B213&lt;=Hypothèses!$V$13,Hypothèses!$W$13,IF(B213&lt;=Hypothèses!$V$14,Hypothèses!$W$14,IF(B213&lt;=Hypothèses!$V$15,Hypothèses!$W$15,IF(B213&lt;=Hypothèses!$V$16,Hypothèses!$W$16,IF(B213&lt;=Hypothèses!$V$17,Hypothèses!$W$17,IF(B213&lt;=Hypothèses!$V$18,Hypothèses!$W$18,""))))))))))))</f>
        <v/>
      </c>
      <c r="W213" s="87" t="e">
        <f t="shared" ca="1" si="416"/>
        <v>#DIV/0!</v>
      </c>
      <c r="X213" s="88" t="str">
        <f>IF(B213&lt;=Hypothèses!$V$7,Hypothèses!$X$7,IF(B213&lt;=Hypothèses!$V$8,Hypothèses!$X$8,IF(B213&lt;=Hypothèses!$V$9,Hypothèses!$X$9,IF(B213&lt;=Hypothèses!$V$10,Hypothèses!$X$10,IF(B213&lt;=Hypothèses!$V$11,Hypothèses!$X$11,IF(B213&lt;=Hypothèses!$V$12,Hypothèses!$X$12,IF(B213&lt;=Hypothèses!$V$13,Hypothèses!$X$13,IF(B213&lt;=Hypothèses!$V$14,Hypothèses!$X$14,IF(B213&lt;=Hypothèses!$V$15,Hypothèses!$X$15,IF(B213&lt;=Hypothèses!$V$16,Hypothèses!$X$16,IF(B213&lt;=Hypothèses!$U$17,Hypothèses!$W$17,IF(B213&lt;=Hypothèses!$U$18,Hypothèses!$W$18,""))))))))))))</f>
        <v/>
      </c>
      <c r="Y213" s="95" t="e">
        <f t="shared" ca="1" si="336"/>
        <v>#DIV/0!</v>
      </c>
      <c r="Z213" s="101" t="e">
        <f t="shared" si="337"/>
        <v>#N/A</v>
      </c>
      <c r="AA213" s="91" t="e">
        <f t="shared" si="338"/>
        <v>#N/A</v>
      </c>
      <c r="AB213" s="30" t="e">
        <f t="shared" si="400"/>
        <v>#N/A</v>
      </c>
      <c r="AC213" s="30" t="e">
        <f t="shared" si="401"/>
        <v>#N/A</v>
      </c>
      <c r="AD213" s="31" t="e">
        <f>IF(OR(Hypothèses!$B$4=17,Hypothèses!$B$4=18,Hypothèses!$B$4=19,Hypothèses!$B$4=20),
IF($D213="Pressio.",
IF(OR($E213=3,$E213=1,$E213=4),AC213,AB213),
IF($D213="Pénétro.",
IF(OR($E213=3,$E213=1,$E213=4),AC213,AB213))),IF($D213="Pressio.",
IF($E213=3,AC213,AB213),
IF($D213="Pénétro.",
IF($E213=4,AC213,AB213))))</f>
        <v>#N/A</v>
      </c>
      <c r="AE213" s="31" t="e">
        <f>(IF(OR(Hypothèses!$B$4=17,Hypothèses!$B$4=18,Hypothèses!$B$4=19,Hypothèses!$B$4=20),
IF($D213="Pressio.",
IF(OR($E213=3,$E213=1,$E213=4),(PI()*AE$12^2)/4*(AA213*$W213*1000)/($H213*$B$5),(PI()*AE$12^2)/4*(AA213*$W213*1000)/($G213*$B$5)),
IF($D213="Pénétro.",
IF(OR($E213=4,$E213=1,$E213=5),(PI()*AE$12^2)/4*(AA213*$W213*1000)/($H213*$B$5),(PI()*AE$12^2)/4*(AA213*$W213*1000)/($G213*$B$5)))),
IF($D213="Pressio.",
IF($E213=3,(PI()*AE$12^2)/4*(AA213*$W213*1000)/($H213*$B$5),(PI()*AE$12^2)/4*(AA213*$W213*1000)/($G213*$B$5)),
IF($D213="Pénétro.",
IF($E213=4,(PI()*AE$12^2)/4*(AA213*$W213*1000)/($H213*$B$5),(PI()*AE$12^2)/4*(AA213*$W213*1000)/($G213*$B$5))))))/10</f>
        <v>#N/A</v>
      </c>
      <c r="AF213" s="102" t="e">
        <f>(VLOOKUP($B$3,'Coeff EC7'!$T$39:$X$59,2,0)*AD213+VLOOKUP($B$3,'Coeff EC7'!$T$65:$X$85,2,0)*Model0.1C!AE213)/1.1</f>
        <v>#N/A</v>
      </c>
      <c r="AG213" s="102" t="e">
        <f>(VLOOKUP($B$3,'Coeff EC7'!$T$39:$X$59,3,0)*AD213+VLOOKUP($B$3,'Coeff EC7'!$T$65:$X$85,3,0)*Model0.1C!AE213)/0.9</f>
        <v>#N/A</v>
      </c>
      <c r="AH213" s="102" t="e">
        <f t="shared" si="339"/>
        <v>#N/A</v>
      </c>
      <c r="AI213" s="102" t="e">
        <f t="shared" si="340"/>
        <v>#N/A</v>
      </c>
      <c r="AJ213" s="414" t="e">
        <f>IF(AJ212=0,0,IF(AND(AF213&gt;charge_ELS_quasi,AG213&gt;Charge_ELS_freq,AH213&gt;charge_ELU,AI213&gt;charge_ELA,$B213&gt;NDC!$H$22-0.1+MIN(3*$AJ$12,1.5)),0,1))</f>
        <v>#N/A</v>
      </c>
      <c r="AK213" s="86" t="b">
        <f t="shared" si="341"/>
        <v>0</v>
      </c>
      <c r="AL213" s="86">
        <f t="shared" si="370"/>
        <v>0.5</v>
      </c>
      <c r="AM213" s="86">
        <f t="shared" si="342"/>
        <v>0.5</v>
      </c>
      <c r="AN213" s="30" t="e">
        <f t="shared" ca="1" si="371"/>
        <v>#DIV/0!</v>
      </c>
      <c r="AO213" s="85" t="e">
        <f ca="1">IF(U213&lt;=Hypothèses!$V$7,Hypothèses!$W$7,IF(U213&lt;=Hypothèses!$V$8,Hypothèses!$W$8,IF(U213&lt;=Hypothèses!$V$9,Hypothèses!$W$9,IF(U213&lt;=Hypothèses!$V$10,Hypothèses!$W$10,IF(U213&lt;=Hypothèses!$V$11,Hypothèses!$W$11,IF(U213&lt;=Hypothèses!$V$12,Hypothèses!$W$12,IF(U213&lt;=Hypothèses!$V$13,Hypothèses!$W$13,IF(U213&lt;=Hypothèses!$V$14,Hypothèses!$W$14,IF(U213&lt;=Hypothèses!$V$15,Hypothèses!$W$15,IF(U213&lt;=Hypothèses!$V$16,Hypothèses!$W$16,IF(U213&lt;=Hypothèses!$V$17,Hypothèses!$W$17,IF(U213&lt;=Hypothèses!$V$18,Hypothèses!$W$18,""))))))))))))</f>
        <v>#DIV/0!</v>
      </c>
      <c r="AP213" s="87" t="e">
        <f t="shared" ca="1" si="417"/>
        <v>#DIV/0!</v>
      </c>
      <c r="AQ213" s="88" t="e">
        <f ca="1">IF(U213&lt;=Hypothèses!$V$7,Hypothèses!$X$7,IF(U213&lt;=Hypothèses!$V$8,Hypothèses!$X$8,IF(U213&lt;=Hypothèses!$V$9,Hypothèses!$X$9,IF(U213&lt;=Hypothèses!$V$10,Hypothèses!$X$10,IF(U213&lt;=Hypothèses!$V$11,Hypothèses!$X$11,IF(U213&lt;=Hypothèses!$V$12,Hypothèses!$X$12,IF(U213&lt;=Hypothèses!$V$13,Hypothèses!$X$13,IF(U213&lt;=Hypothèses!$V$14,Hypothèses!$X$14,IF(U213&lt;=Hypothèses!$V$15,Hypothèses!$X$15,IF(U213&lt;=Hypothèses!$V$16,Hypothèses!$X$16,IF(U213&lt;=Hypothèses!$U$17,Hypothèses!$W$17,IF(U213&lt;=Hypothèses!$U$18,Hypothèses!$W$18,""))))))))))))</f>
        <v>#DIV/0!</v>
      </c>
      <c r="AR213" s="95" t="e">
        <f t="shared" ca="1" si="372"/>
        <v>#DIV/0!</v>
      </c>
      <c r="AS213" s="101" t="e">
        <f t="shared" si="424"/>
        <v>#N/A</v>
      </c>
      <c r="AT213" s="91" t="e">
        <f t="shared" si="343"/>
        <v>#N/A</v>
      </c>
      <c r="AU213" s="30" t="e">
        <f t="shared" si="402"/>
        <v>#N/A</v>
      </c>
      <c r="AV213" s="30" t="e">
        <f t="shared" si="403"/>
        <v>#N/A</v>
      </c>
      <c r="AW213" s="31" t="e">
        <f>IF(OR(Hypothèses!$B$4=17,Hypothèses!$B$4=18,Hypothèses!$B$4=19,Hypothèses!$B$4=20),
IF($D213="Pressio.",
IF(OR($E213=3,$E213=1,$E213=4),AV213,AU213),
IF($D213="Pénétro.",
IF(OR($E213=3,$E213=1,$E213=4),AV213,AU213))),IF($D213="Pressio.",
IF($E213=3,AV213,AU213),
IF($D213="Pénétro.",
IF($E213=4,AV213,AU213))))</f>
        <v>#N/A</v>
      </c>
      <c r="AX213" s="31" t="e">
        <f>(IF(OR(Hypothèses!$B$4=17,Hypothèses!$B$4=18,Hypothèses!$B$4=19,Hypothèses!$B$4=20),
IF($D213="Pressio.",
IF(OR($E213=3,$E213=1,$E213=4),(PI()*AX$12^2)/4*(AT213*$W213*1000)/($H213*$B$5),(PI()*AX$12^2)/4*(AT213*$W213*1000)/($G213*$B$5)),
IF($D213="Pénétro.",
IF(OR($E213=4,$E213=1,$E213=5),(PI()*AX$12^2)/4*(AT213*$W213*1000)/($H213*$B$5),(PI()*AX$12^2)/4*(AT213*$W213*1000)/($G213*$B$5)))),
IF($D213="Pressio.",
IF($E213=3,(PI()*AX$12^2)/4*(AT213*$W213*1000)/($H213*$B$5),(PI()*AX$12^2)/4*(AT213*$W213*1000)/($G213*$B$5)),
IF($D213="Pénétro.",
IF($E213=4,(PI()*AX$12^2)/4*(AT213*$W213*1000)/($H213*$B$5),(PI()*AX$12^2)/4*(AT213*$W213*1000)/($G213*$B$5))))))/10</f>
        <v>#N/A</v>
      </c>
      <c r="AY213" s="102" t="e">
        <f>(VLOOKUP($B$3,'Coeff EC7'!$T$39:$X$59,2,0)*AW213+VLOOKUP($B$3,'Coeff EC7'!$T$65:$X$85,2,0)*Model0.1C!AX213)/1.1</f>
        <v>#N/A</v>
      </c>
      <c r="AZ213" s="102" t="e">
        <f>(VLOOKUP($B$3,'Coeff EC7'!$T$39:$X$59,3,0)*AW213+VLOOKUP($B$3,'Coeff EC7'!$T$65:$X$85,3,0)*Model0.1C!AX213)/0.9</f>
        <v>#N/A</v>
      </c>
      <c r="BA213" s="102" t="e">
        <f t="shared" si="373"/>
        <v>#N/A</v>
      </c>
      <c r="BB213" s="102" t="e">
        <f t="shared" si="374"/>
        <v>#N/A</v>
      </c>
      <c r="BC213" s="414" t="e">
        <f>IF(BC212=0,0,IF(AND(AY213&gt;charge_ELS_quasi,AZ213&gt;Charge_ELS_freq,BA213&gt;charge_ELU,BB213&gt;charge_ELA,$B213&gt;NDC!$H$22-0.1+MIN(3*$BC$12,1.5)),0,1))</f>
        <v>#N/A</v>
      </c>
      <c r="BD213" s="86" t="b">
        <f t="shared" si="344"/>
        <v>0</v>
      </c>
      <c r="BE213" s="86">
        <f t="shared" si="375"/>
        <v>0.5</v>
      </c>
      <c r="BF213" s="86">
        <f t="shared" si="345"/>
        <v>0.5</v>
      </c>
      <c r="BG213" s="30" t="e">
        <f t="shared" ca="1" si="376"/>
        <v>#DIV/0!</v>
      </c>
      <c r="BH213" s="85" t="e">
        <f ca="1">IF(AN213&lt;=Hypothèses!$V$7,Hypothèses!$W$7,IF(AN213&lt;=Hypothèses!$V$8,Hypothèses!$W$8,IF(AN213&lt;=Hypothèses!$V$9,Hypothèses!$W$9,IF(AN213&lt;=Hypothèses!$V$10,Hypothèses!$W$10,IF(AN213&lt;=Hypothèses!$V$11,Hypothèses!$W$11,IF(AN213&lt;=Hypothèses!$V$12,Hypothèses!$W$12,IF(AN213&lt;=Hypothèses!$V$13,Hypothèses!$W$13,IF(AN213&lt;=Hypothèses!$V$14,Hypothèses!$W$14,IF(AN213&lt;=Hypothèses!$V$15,Hypothèses!$W$15,IF(AN213&lt;=Hypothèses!$V$16,Hypothèses!$W$16,IF(AN213&lt;=Hypothèses!$V$17,Hypothèses!$W$17,IF(AN213&lt;=Hypothèses!$V$18,Hypothèses!$W$18,""))))))))))))</f>
        <v>#DIV/0!</v>
      </c>
      <c r="BI213" s="87" t="e">
        <f t="shared" ca="1" si="418"/>
        <v>#DIV/0!</v>
      </c>
      <c r="BJ213" s="88" t="e">
        <f ca="1">IF(AN213&lt;=Hypothèses!$V$7,Hypothèses!$X$7,IF(AN213&lt;=Hypothèses!$V$8,Hypothèses!$X$8,IF(AN213&lt;=Hypothèses!$V$9,Hypothèses!$X$9,IF(AN213&lt;=Hypothèses!$V$10,Hypothèses!$X$10,IF(AN213&lt;=Hypothèses!$V$11,Hypothèses!$X$11,IF(AN213&lt;=Hypothèses!$V$12,Hypothèses!$X$12,IF(AN213&lt;=Hypothèses!$V$13,Hypothèses!$X$13,IF(AN213&lt;=Hypothèses!$V$14,Hypothèses!$X$14,IF(AN213&lt;=Hypothèses!$V$15,Hypothèses!$X$15,IF(AN213&lt;=Hypothèses!$V$16,Hypothèses!$X$16,IF(AN213&lt;=Hypothèses!$U$17,Hypothèses!$W$17,IF(AN213&lt;=Hypothèses!$U$18,Hypothèses!$W$18,""))))))))))))</f>
        <v>#DIV/0!</v>
      </c>
      <c r="BK213" s="95" t="e">
        <f t="shared" ca="1" si="377"/>
        <v>#DIV/0!</v>
      </c>
      <c r="BL213" s="101" t="e">
        <f t="shared" si="425"/>
        <v>#N/A</v>
      </c>
      <c r="BM213" s="91" t="e">
        <f t="shared" si="346"/>
        <v>#N/A</v>
      </c>
      <c r="BN213" s="30" t="e">
        <f t="shared" si="404"/>
        <v>#N/A</v>
      </c>
      <c r="BO213" s="30" t="e">
        <f t="shared" si="405"/>
        <v>#N/A</v>
      </c>
      <c r="BP213" s="31" t="e">
        <f>IF(OR(Hypothèses!$B$4=17,Hypothèses!$B$4=18,Hypothèses!$B$4=19,Hypothèses!$B$4=20),
IF($D213="Pressio.",
IF(OR($E213=3,$E213=1,$E213=4),BO213,BN213),
IF($D213="Pénétro.",
IF(OR($E213=3,$E213=1,$E213=4),BO213,BN213))),IF($D213="Pressio.",
IF($E213=3,BO213,BN213),
IF($D213="Pénétro.",
IF($E213=4,BO213,BN213))))</f>
        <v>#N/A</v>
      </c>
      <c r="BQ213" s="31" t="e">
        <f>(IF(OR(Hypothèses!$B$4=17,Hypothèses!$B$4=18,Hypothèses!$B$4=19,Hypothèses!$B$4=20),
IF($D213="Pressio.",
IF(OR($E213=3,$E213=1,$E213=4),(PI()*BQ$12^2)/4*(BM213*$W213*1000)/($H213*$B$5),(PI()*BQ$12^2)/4*(BM213*$W213*1000)/($G213*$B$5)),
IF($D213="Pénétro.",
IF(OR($E213=4,$E213=1,$E213=5),(PI()*BQ$12^2)/4*(BM213*$W213*1000)/($H213*$B$5),(PI()*BQ$12^2)/4*(BM213*$W213*1000)/($G213*$B$5)))),
IF($D213="Pressio.",
IF($E213=3,(PI()*BQ$12^2)/4*(BM213*$W213*1000)/($H213*$B$5),(PI()*BQ$12^2)/4*(BM213*$W213*1000)/($G213*$B$5)),
IF($D213="Pénétro.",
IF($E213=4,(PI()*BQ$12^2)/4*(BM213*$W213*1000)/($H213*$B$5),(PI()*BQ$12^2)/4*(BM213*$W213*1000)/($G213*$B$5))))))/10</f>
        <v>#N/A</v>
      </c>
      <c r="BR213" s="102" t="e">
        <f>(VLOOKUP($B$3,'Coeff EC7'!$T$39:$X$59,2,0)*BP213+VLOOKUP($B$3,'Coeff EC7'!$T$65:$X$85,2,0)*Model0.1C!BQ213)/1.1</f>
        <v>#N/A</v>
      </c>
      <c r="BS213" s="102" t="e">
        <f>(VLOOKUP($B$3,'Coeff EC7'!$T$39:$X$59,3,0)*BP213+VLOOKUP($B$3,'Coeff EC7'!$T$65:$X$85,3,0)*Model0.1C!BQ213)/0.9</f>
        <v>#N/A</v>
      </c>
      <c r="BT213" s="102" t="e">
        <f t="shared" si="378"/>
        <v>#N/A</v>
      </c>
      <c r="BU213" s="102" t="e">
        <f t="shared" si="379"/>
        <v>#N/A</v>
      </c>
      <c r="BV213" s="414" t="e">
        <f>IF(BV212=0,0,IF(AND(BR213&gt;charge_ELS_quasi,BS213&gt;Charge_ELS_freq,BT213&gt;charge_ELU,BU213&gt;charge_ELA,$B213&gt;NDC!$H$22-0.1+MIN(3*$BV$12,1.5)),0,1))</f>
        <v>#N/A</v>
      </c>
      <c r="BW213" s="86" t="b">
        <f t="shared" si="347"/>
        <v>0</v>
      </c>
      <c r="BX213" s="86">
        <f t="shared" si="348"/>
        <v>0.5</v>
      </c>
      <c r="BY213" s="86">
        <f t="shared" si="349"/>
        <v>0.5</v>
      </c>
      <c r="BZ213" s="30" t="e">
        <f t="shared" ca="1" si="380"/>
        <v>#DIV/0!</v>
      </c>
      <c r="CA213" s="85" t="e">
        <f ca="1">IF(BG213&lt;=Hypothèses!$V$7,Hypothèses!$W$7,IF(BG213&lt;=Hypothèses!$V$8,Hypothèses!$W$8,IF(BG213&lt;=Hypothèses!$V$9,Hypothèses!$W$9,IF(BG213&lt;=Hypothèses!$V$10,Hypothèses!$W$10,IF(BG213&lt;=Hypothèses!$V$11,Hypothèses!$W$11,IF(BG213&lt;=Hypothèses!$V$12,Hypothèses!$W$12,IF(BG213&lt;=Hypothèses!$V$13,Hypothèses!$W$13,IF(BG213&lt;=Hypothèses!$V$14,Hypothèses!$W$14,IF(BG213&lt;=Hypothèses!$V$15,Hypothèses!$W$15,IF(BG213&lt;=Hypothèses!$V$16,Hypothèses!$W$16,IF(BG213&lt;=Hypothèses!$V$17,Hypothèses!$W$17,IF(BG213&lt;=Hypothèses!$V$18,Hypothèses!$W$18,""))))))))))))</f>
        <v>#DIV/0!</v>
      </c>
      <c r="CB213" s="87" t="e">
        <f t="shared" ca="1" si="419"/>
        <v>#DIV/0!</v>
      </c>
      <c r="CC213" s="88" t="e">
        <f ca="1">IF(BG213&lt;=Hypothèses!$V$7,Hypothèses!$X$7,IF(BG213&lt;=Hypothèses!$V$8,Hypothèses!$X$8,IF(BG213&lt;=Hypothèses!$V$9,Hypothèses!$X$9,IF(BG213&lt;=Hypothèses!$V$10,Hypothèses!$X$10,IF(BG213&lt;=Hypothèses!$V$11,Hypothèses!$X$11,IF(BG213&lt;=Hypothèses!$V$12,Hypothèses!$X$12,IF(BG213&lt;=Hypothèses!$V$13,Hypothèses!$X$13,IF(BG213&lt;=Hypothèses!$V$14,Hypothèses!$X$14,IF(BG213&lt;=Hypothèses!$V$15,Hypothèses!$X$15,IF(BG213&lt;=Hypothèses!$V$16,Hypothèses!$X$16,IF(BG213&lt;=Hypothèses!$U$17,Hypothèses!$W$17,IF(BG213&lt;=Hypothèses!$U$18,Hypothèses!$W$18,""))))))))))))</f>
        <v>#DIV/0!</v>
      </c>
      <c r="CD213" s="95" t="e">
        <f t="shared" ca="1" si="381"/>
        <v>#DIV/0!</v>
      </c>
      <c r="CE213" s="101" t="e">
        <f t="shared" si="426"/>
        <v>#N/A</v>
      </c>
      <c r="CF213" s="91" t="e">
        <f t="shared" si="350"/>
        <v>#N/A</v>
      </c>
      <c r="CG213" s="30" t="e">
        <f t="shared" si="406"/>
        <v>#N/A</v>
      </c>
      <c r="CH213" s="30" t="e">
        <f t="shared" si="407"/>
        <v>#N/A</v>
      </c>
      <c r="CI213" s="31" t="e">
        <f>IF(OR(Hypothèses!$B$4=17,Hypothèses!$B$4=18,Hypothèses!$B$4=19,Hypothèses!$B$4=20),
IF($D213="Pressio.",
IF(OR($E213=3,$E213=1,$E213=4),CH213,CG213),
IF($D213="Pénétro.",
IF(OR($E213=3,$E213=1,$E213=4),CH213,CG213))),IF($D213="Pressio.",
IF($E213=3,CH213,CG213),
IF($D213="Pénétro.",
IF($E213=4,CH213,CG213))))</f>
        <v>#N/A</v>
      </c>
      <c r="CJ213" s="31" t="e">
        <f>(IF(OR(Hypothèses!$B$4=17,Hypothèses!$B$4=18,Hypothèses!$B$4=19,Hypothèses!$B$4=20),
IF($D213="Pressio.",
IF(OR($E213=3,$E213=1,$E213=4),(PI()*CJ$12^2)/4*(CF213*$W213*1000)/($H213*$B$5),(PI()*CJ$12^2)/4*(CF213*$W213*1000)/($G213*$B$5)),
IF($D213="Pénétro.",
IF(OR($E213=4,$E213=1,$E213=5),(PI()*CJ$12^2)/4*(CF213*$W213*1000)/($H213*$B$5),(PI()*CJ$12^2)/4*(CF213*$W213*1000)/($G213*$B$5)))),
IF($D213="Pressio.",
IF($E213=3,(PI()*CJ$12^2)/4*(CF213*$W213*1000)/($H213*$B$5),(PI()*CJ$12^2)/4*(CF213*$W213*1000)/($G213*$B$5)),
IF($D213="Pénétro.",
IF($E213=4,(PI()*CJ$12^2)/4*(CF213*$W213*1000)/($H213*$B$5),(PI()*CJ$12^2)/4*(CF213*$W213*1000)/($G213*$B$5))))))/10</f>
        <v>#N/A</v>
      </c>
      <c r="CK213" s="102" t="e">
        <f>(VLOOKUP($B$3,'Coeff EC7'!$T$39:$X$59,2,0)*CI213+VLOOKUP($B$3,'Coeff EC7'!$T$65:$X$85,2,0)*Model0.1C!CJ213)/1.1</f>
        <v>#N/A</v>
      </c>
      <c r="CL213" s="102" t="e">
        <f>(VLOOKUP($B$3,'Coeff EC7'!$T$39:$X$59,3,0)*CI213+VLOOKUP($B$3,'Coeff EC7'!$T$65:$X$85,3,0)*Model0.1C!CJ213)/0.9</f>
        <v>#N/A</v>
      </c>
      <c r="CM213" s="102" t="e">
        <f t="shared" si="382"/>
        <v>#N/A</v>
      </c>
      <c r="CN213" s="102" t="e">
        <f t="shared" si="383"/>
        <v>#N/A</v>
      </c>
      <c r="CO213" s="414" t="e">
        <f>IF(CO212=0,0,IF(AND(CK213&gt;charge_ELS_quasi,CL213&gt;Charge_ELS_freq,CM213&gt;charge_ELU,CN213&gt;charge_ELA,$B213&gt;NDC!$H$22-0.1+MIN(3*$CO$12,1.5)),0,1))</f>
        <v>#N/A</v>
      </c>
      <c r="CP213" s="86" t="b">
        <f t="shared" si="351"/>
        <v>0</v>
      </c>
      <c r="CQ213" s="86">
        <f t="shared" si="352"/>
        <v>0.5</v>
      </c>
      <c r="CR213" s="86">
        <f t="shared" si="353"/>
        <v>0.5</v>
      </c>
      <c r="CS213" s="30" t="e">
        <f t="shared" ca="1" si="384"/>
        <v>#DIV/0!</v>
      </c>
      <c r="CT213" s="85" t="e">
        <f ca="1">IF(BZ213&lt;=Hypothèses!$V$7,Hypothèses!$W$7,IF(BZ213&lt;=Hypothèses!$V$8,Hypothèses!$W$8,IF(BZ213&lt;=Hypothèses!$V$9,Hypothèses!$W$9,IF(BZ213&lt;=Hypothèses!$V$10,Hypothèses!$W$10,IF(BZ213&lt;=Hypothèses!$V$11,Hypothèses!$W$11,IF(BZ213&lt;=Hypothèses!$V$12,Hypothèses!$W$12,IF(BZ213&lt;=Hypothèses!$V$13,Hypothèses!$W$13,IF(BZ213&lt;=Hypothèses!$V$14,Hypothèses!$W$14,IF(BZ213&lt;=Hypothèses!$V$15,Hypothèses!$W$15,IF(BZ213&lt;=Hypothèses!$V$16,Hypothèses!$W$16,IF(BZ213&lt;=Hypothèses!$V$17,Hypothèses!$W$17,IF(BZ213&lt;=Hypothèses!$V$18,Hypothèses!$W$18,""))))))))))))</f>
        <v>#DIV/0!</v>
      </c>
      <c r="CU213" s="87" t="e">
        <f t="shared" ca="1" si="420"/>
        <v>#DIV/0!</v>
      </c>
      <c r="CV213" s="88" t="e">
        <f ca="1">IF(BZ213&lt;=Hypothèses!$V$7,Hypothèses!$X$7,IF(BZ213&lt;=Hypothèses!$V$8,Hypothèses!$X$8,IF(BZ213&lt;=Hypothèses!$V$9,Hypothèses!$X$9,IF(BZ213&lt;=Hypothèses!$V$10,Hypothèses!$X$10,IF(BZ213&lt;=Hypothèses!$V$11,Hypothèses!$X$11,IF(BZ213&lt;=Hypothèses!$V$12,Hypothèses!$X$12,IF(BZ213&lt;=Hypothèses!$V$13,Hypothèses!$X$13,IF(BZ213&lt;=Hypothèses!$V$14,Hypothèses!$X$14,IF(BZ213&lt;=Hypothèses!$V$15,Hypothèses!$X$15,IF(BZ213&lt;=Hypothèses!$V$16,Hypothèses!$X$16,IF(BZ213&lt;=Hypothèses!$U$17,Hypothèses!$W$17,IF(BZ213&lt;=Hypothèses!$U$18,Hypothèses!$W$18,""))))))))))))</f>
        <v>#DIV/0!</v>
      </c>
      <c r="CW213" s="95" t="e">
        <f t="shared" ca="1" si="385"/>
        <v>#DIV/0!</v>
      </c>
      <c r="CX213" s="101" t="e">
        <f t="shared" si="427"/>
        <v>#N/A</v>
      </c>
      <c r="CY213" s="91" t="e">
        <f t="shared" si="354"/>
        <v>#N/A</v>
      </c>
      <c r="CZ213" s="30" t="e">
        <f t="shared" si="408"/>
        <v>#N/A</v>
      </c>
      <c r="DA213" s="30" t="e">
        <f t="shared" si="409"/>
        <v>#N/A</v>
      </c>
      <c r="DB213" s="31" t="e">
        <f>IF(OR(Hypothèses!$B$4=17,Hypothèses!$B$4=18,Hypothèses!$B$4=19,Hypothèses!$B$4=20),
IF($D213="Pressio.",
IF(OR($E213=3,$E213=1,$E213=4),DA213,CZ213),
IF($D213="Pénétro.",
IF(OR($E213=3,$E213=1,$E213=4),DA213,CZ213))),IF($D213="Pressio.",
IF($E213=3,DA213,CZ213),
IF($D213="Pénétro.",
IF($E213=4,DA213,CZ213))))</f>
        <v>#N/A</v>
      </c>
      <c r="DC213" s="31" t="e">
        <f>(IF(OR(Hypothèses!$B$4=17,Hypothèses!$B$4=18,Hypothèses!$B$4=19,Hypothèses!$B$4=20),
IF($D213="Pressio.",
IF(OR($E213=3,$E213=1,$E213=4),(PI()*DC$12^2)/4*(CY213*$W213*1000)/($H213*$B$5),(PI()*DC$12^2)/4*(CY213*$W213*1000)/($G213*$B$5)),
IF($D213="Pénétro.",
IF(OR($E213=4,$E213=1,$E213=5),(PI()*DC$12^2)/4*(CY213*$W213*1000)/($H213*$B$5),(PI()*DC$12^2)/4*(CY213*$W213*1000)/($G213*$B$5)))),
IF($D213="Pressio.",
IF($E213=3,(PI()*DC$12^2)/4*(CY213*$W213*1000)/($H213*$B$5),(PI()*DC$12^2)/4*(CY213*$W213*1000)/($G213*$B$5)),
IF($D213="Pénétro.",
IF($E213=4,(PI()*DC$12^2)/4*(CY213*$W213*1000)/($H213*$B$5),(PI()*DC$12^2)/4*(CY213*$W213*1000)/($G213*$B$5))))))/10</f>
        <v>#N/A</v>
      </c>
      <c r="DD213" s="102" t="e">
        <f>(VLOOKUP($B$3,'Coeff EC7'!$T$39:$X$59,2,0)*DB213+VLOOKUP($B$3,'Coeff EC7'!$T$65:$X$85,2,0)*Model0.1C!DC213)/1.1</f>
        <v>#N/A</v>
      </c>
      <c r="DE213" s="102" t="e">
        <f>(VLOOKUP($B$3,'Coeff EC7'!$T$39:$X$59,3,0)*DB213+VLOOKUP($B$3,'Coeff EC7'!$T$65:$X$85,3,0)*Model0.1C!DC213)/0.9</f>
        <v>#N/A</v>
      </c>
      <c r="DF213" s="102" t="e">
        <f t="shared" si="386"/>
        <v>#N/A</v>
      </c>
      <c r="DG213" s="102" t="e">
        <f t="shared" si="387"/>
        <v>#N/A</v>
      </c>
      <c r="DH213" s="414" t="e">
        <f>IF(DH212=0,0,IF(AND(DD213&gt;charge_ELS_quasi,DE213&gt;Charge_ELS_freq,DF213&gt;charge_ELU,DG213&gt;charge_ELA,$B213&gt;NDC!$H$22-0.1+MIN(3*$DH$12,1.5)),0,1))</f>
        <v>#N/A</v>
      </c>
      <c r="DI213" s="86" t="b">
        <f t="shared" si="355"/>
        <v>0</v>
      </c>
      <c r="DJ213" s="86">
        <f t="shared" si="356"/>
        <v>0.5</v>
      </c>
      <c r="DK213" s="86">
        <f t="shared" si="357"/>
        <v>0.5</v>
      </c>
      <c r="DL213" s="30" t="e">
        <f t="shared" ca="1" si="388"/>
        <v>#DIV/0!</v>
      </c>
      <c r="DM213" s="85" t="e">
        <f ca="1">IF(CS213&lt;=Hypothèses!$V$7,Hypothèses!$W$7,IF(CS213&lt;=Hypothèses!$V$8,Hypothèses!$W$8,IF(CS213&lt;=Hypothèses!$V$9,Hypothèses!$W$9,IF(CS213&lt;=Hypothèses!$V$10,Hypothèses!$W$10,IF(CS213&lt;=Hypothèses!$V$11,Hypothèses!$W$11,IF(CS213&lt;=Hypothèses!$V$12,Hypothèses!$W$12,IF(CS213&lt;=Hypothèses!$V$13,Hypothèses!$W$13,IF(CS213&lt;=Hypothèses!$V$14,Hypothèses!$W$14,IF(CS213&lt;=Hypothèses!$V$15,Hypothèses!$W$15,IF(CS213&lt;=Hypothèses!$V$16,Hypothèses!$W$16,IF(CS213&lt;=Hypothèses!$V$17,Hypothèses!$W$17,IF(CS213&lt;=Hypothèses!$V$18,Hypothèses!$W$18,""))))))))))))</f>
        <v>#DIV/0!</v>
      </c>
      <c r="DN213" s="87" t="e">
        <f t="shared" ca="1" si="421"/>
        <v>#DIV/0!</v>
      </c>
      <c r="DO213" s="88" t="e">
        <f ca="1">IF(CS213&lt;=Hypothèses!$V$7,Hypothèses!$X$7,IF(CS213&lt;=Hypothèses!$V$8,Hypothèses!$X$8,IF(CS213&lt;=Hypothèses!$V$9,Hypothèses!$X$9,IF(CS213&lt;=Hypothèses!$V$10,Hypothèses!$X$10,IF(CS213&lt;=Hypothèses!$V$11,Hypothèses!$X$11,IF(CS213&lt;=Hypothèses!$V$12,Hypothèses!$X$12,IF(CS213&lt;=Hypothèses!$V$13,Hypothèses!$X$13,IF(CS213&lt;=Hypothèses!$V$14,Hypothèses!$X$14,IF(CS213&lt;=Hypothèses!$V$15,Hypothèses!$X$15,IF(CS213&lt;=Hypothèses!$V$16,Hypothèses!$X$16,IF(CS213&lt;=Hypothèses!$U$17,Hypothèses!$W$17,IF(CS213&lt;=Hypothèses!$U$18,Hypothèses!$W$18,""))))))))))))</f>
        <v>#DIV/0!</v>
      </c>
      <c r="DP213" s="95" t="e">
        <f t="shared" ca="1" si="389"/>
        <v>#DIV/0!</v>
      </c>
      <c r="DQ213" s="101" t="e">
        <f t="shared" si="428"/>
        <v>#N/A</v>
      </c>
      <c r="DR213" s="91" t="e">
        <f t="shared" si="358"/>
        <v>#N/A</v>
      </c>
      <c r="DS213" s="30" t="e">
        <f t="shared" si="410"/>
        <v>#N/A</v>
      </c>
      <c r="DT213" s="30" t="e">
        <f t="shared" si="411"/>
        <v>#N/A</v>
      </c>
      <c r="DU213" s="31" t="e">
        <f>IF(OR(Hypothèses!$B$4=17,Hypothèses!$B$4=18,Hypothèses!$B$4=19,Hypothèses!$B$4=20),
IF($D213="Pressio.",
IF(OR($E213=3,$E213=1,$E213=4),DT213,DS213),
IF($D213="Pénétro.",
IF(OR($E213=3,$E213=1,$E213=4),DT213,DS213))),IF($D213="Pressio.",
IF($E213=3,DT213,DS213),
IF($D213="Pénétro.",
IF($E213=4,DT213,DS213))))</f>
        <v>#N/A</v>
      </c>
      <c r="DV213" s="31" t="e">
        <f>(IF(OR(Hypothèses!$B$4=17,Hypothèses!$B$4=18,Hypothèses!$B$4=19,Hypothèses!$B$4=20),
IF($D213="Pressio.",
IF(OR($E213=3,$E213=1,$E213=4),(PI()*DV$12^2)/4*(DR213*$W213*1000)/($H213*$B$5),(PI()*DV$12^2)/4*(DR213*$W213*1000)/($G213*$B$5)),
IF($D213="Pénétro.",
IF(OR($E213=4,$E213=1,$E213=5),(PI()*DV$12^2)/4*(DR213*$W213*1000)/($H213*$B$5),(PI()*DV$12^2)/4*(DR213*$W213*1000)/($G213*$B$5)))),
IF($D213="Pressio.",
IF($E213=3,(PI()*DV$12^2)/4*(DR213*$W213*1000)/($H213*$B$5),(PI()*DV$12^2)/4*(DR213*$W213*1000)/($G213*$B$5)),
IF($D213="Pénétro.",
IF($E213=4,(PI()*DV$12^2)/4*(DR213*$W213*1000)/($H213*$B$5),(PI()*DV$12^2)/4*(DR213*$W213*1000)/($G213*$B$5))))))/10</f>
        <v>#N/A</v>
      </c>
      <c r="DW213" s="102" t="e">
        <f>(VLOOKUP($B$3,'Coeff EC7'!$T$39:$X$59,2,0)*DU213+VLOOKUP($B$3,'Coeff EC7'!$T$65:$X$85,2,0)*Model0.1C!DV213)/1.1</f>
        <v>#N/A</v>
      </c>
      <c r="DX213" s="102" t="e">
        <f>(VLOOKUP($B$3,'Coeff EC7'!$T$39:$X$59,3,0)*DU213+VLOOKUP($B$3,'Coeff EC7'!$T$65:$X$85,3,0)*Model0.1C!DV213)/0.9</f>
        <v>#N/A</v>
      </c>
      <c r="DY213" s="102" t="e">
        <f t="shared" si="390"/>
        <v>#N/A</v>
      </c>
      <c r="DZ213" s="102" t="e">
        <f t="shared" si="391"/>
        <v>#N/A</v>
      </c>
      <c r="EA213" s="414" t="e">
        <f>IF(EA212=0,0,IF(AND(DW213&gt;charge_ELS_quasi,DX213&gt;Charge_ELS_freq,DY213&gt;charge_ELU,DZ213&gt;charge_ELA,$B213&gt;NDC!$H$22-0.1+MIN(3*$EA$12,1.5)),0,1))</f>
        <v>#N/A</v>
      </c>
      <c r="EB213" s="86" t="b">
        <f t="shared" si="359"/>
        <v>0</v>
      </c>
      <c r="EC213" s="418">
        <f t="shared" si="360"/>
        <v>0.51</v>
      </c>
      <c r="ED213" s="86">
        <f t="shared" si="361"/>
        <v>0.51</v>
      </c>
      <c r="EE213" s="30" t="e">
        <f t="shared" ca="1" si="392"/>
        <v>#DIV/0!</v>
      </c>
      <c r="EF213" s="85" t="e">
        <f ca="1">IF(DL213&lt;=Hypothèses!$V$7,Hypothèses!$W$7,IF(DL213&lt;=Hypothèses!$V$8,Hypothèses!$W$8,IF(DL213&lt;=Hypothèses!$V$9,Hypothèses!$W$9,IF(DL213&lt;=Hypothèses!$V$10,Hypothèses!$W$10,IF(DL213&lt;=Hypothèses!$V$11,Hypothèses!$W$11,IF(DL213&lt;=Hypothèses!$V$12,Hypothèses!$W$12,IF(DL213&lt;=Hypothèses!$V$13,Hypothèses!$W$13,IF(DL213&lt;=Hypothèses!$V$14,Hypothèses!$W$14,IF(DL213&lt;=Hypothèses!$V$15,Hypothèses!$W$15,IF(DL213&lt;=Hypothèses!$V$16,Hypothèses!$W$16,IF(DL213&lt;=Hypothèses!$V$17,Hypothèses!$W$17,IF(DL213&lt;=Hypothèses!$V$18,Hypothèses!$W$18,""))))))))))))</f>
        <v>#DIV/0!</v>
      </c>
      <c r="EG213" s="87" t="e">
        <f t="shared" ca="1" si="422"/>
        <v>#DIV/0!</v>
      </c>
      <c r="EH213" s="88" t="e">
        <f ca="1">IF(DL213&lt;=Hypothèses!$V$7,Hypothèses!$X$7,IF(DL213&lt;=Hypothèses!$V$8,Hypothèses!$X$8,IF(DL213&lt;=Hypothèses!$V$9,Hypothèses!$X$9,IF(DL213&lt;=Hypothèses!$V$10,Hypothèses!$X$10,IF(DL213&lt;=Hypothèses!$V$11,Hypothèses!$X$11,IF(DL213&lt;=Hypothèses!$V$12,Hypothèses!$X$12,IF(DL213&lt;=Hypothèses!$V$13,Hypothèses!$X$13,IF(DL213&lt;=Hypothèses!$V$14,Hypothèses!$X$14,IF(DL213&lt;=Hypothèses!$V$15,Hypothèses!$X$15,IF(DL213&lt;=Hypothèses!$V$16,Hypothèses!$X$16,IF(DL213&lt;=Hypothèses!$U$17,Hypothèses!$W$17,IF(DL213&lt;=Hypothèses!$U$18,Hypothèses!$W$18,""))))))))))))</f>
        <v>#DIV/0!</v>
      </c>
      <c r="EI213" s="95" t="e">
        <f t="shared" ca="1" si="393"/>
        <v>#DIV/0!</v>
      </c>
      <c r="EJ213" s="101" t="e">
        <f t="shared" si="429"/>
        <v>#N/A</v>
      </c>
      <c r="EK213" s="91" t="e">
        <f t="shared" si="362"/>
        <v>#N/A</v>
      </c>
      <c r="EL213" s="30" t="e">
        <f t="shared" si="412"/>
        <v>#N/A</v>
      </c>
      <c r="EM213" s="30" t="e">
        <f t="shared" si="413"/>
        <v>#N/A</v>
      </c>
      <c r="EN213" s="31" t="e">
        <f>IF(OR(Hypothèses!$B$4=17,Hypothèses!$B$4=18,Hypothèses!$B$4=19,Hypothèses!$B$4=20),
IF($D213="Pressio.",
IF(OR($E213=3,$E213=1,$E213=4),EM213,EL213),
IF($D213="Pénétro.",
IF(OR($E213=3,$E213=1,$E213=4),EM213,EL213))),IF($D213="Pressio.",
IF($E213=3,EM213,EL213),
IF($D213="Pénétro.",
IF($E213=4,EM213,EL213))))</f>
        <v>#N/A</v>
      </c>
      <c r="EO213" s="31" t="e">
        <f>(IF(OR(Hypothèses!$B$4=17,Hypothèses!$B$4=18,Hypothèses!$B$4=19,Hypothèses!$B$4=20),
IF($D213="Pressio.",
IF(OR($E213=3,$E213=1,$E213=4),(PI()*EO$12^2)/4*(EK213*$W213*1000)/($H213*$B$5),(PI()*EO$12^2)/4*(EK213*$W213*1000)/($G213*$B$5)),
IF($D213="Pénétro.",
IF(OR($E213=4,$E213=1,$E213=5),(PI()*EO$12^2)/4*(EK213*$W213*1000)/($H213*$B$5),(PI()*EO$12^2)/4*(EK213*$W213*1000)/($G213*$B$5)))),
IF($D213="Pressio.",
IF($E213=3,(PI()*EO$12^2)/4*(EK213*$W213*1000)/($H213*$B$5),(PI()*EO$12^2)/4*(EK213*$W213*1000)/($G213*$B$5)),
IF($D213="Pénétro.",
IF($E213=4,(PI()*EO$12^2)/4*(EK213*$W213*1000)/($H213*$B$5),(PI()*EO$12^2)/4*(EK213*$W213*1000)/($G213*$B$5))))))/10</f>
        <v>#N/A</v>
      </c>
      <c r="EP213" s="102" t="e">
        <f>(VLOOKUP($B$3,'Coeff EC7'!$T$39:$X$59,2,0)*EN213+VLOOKUP($B$3,'Coeff EC7'!$T$65:$X$85,2,0)*Model0.1C!EO213)/1.1</f>
        <v>#N/A</v>
      </c>
      <c r="EQ213" s="102" t="e">
        <f>(VLOOKUP($B$3,'Coeff EC7'!$T$39:$X$59,3,0)*EN213+VLOOKUP($B$3,'Coeff EC7'!$T$65:$X$85,3,0)*Model0.1C!EO213)/0.9</f>
        <v>#N/A</v>
      </c>
      <c r="ER213" s="102" t="e">
        <f t="shared" si="394"/>
        <v>#N/A</v>
      </c>
      <c r="ES213" s="102" t="e">
        <f t="shared" si="395"/>
        <v>#N/A</v>
      </c>
      <c r="ET213" s="414" t="e">
        <f>IF(ET212=0,0,IF(AND(EP213&gt;charge_ELS_quasi,EQ213&gt;Charge_ELS_freq,ER213&gt;charge_ELU,ES213&gt;charge_ELA,$B213&gt;NDC!$H$22-0.1+MIN(3*$ET$12,1.5)),0,1))</f>
        <v>#N/A</v>
      </c>
      <c r="EU213" s="86" t="b">
        <f t="shared" si="363"/>
        <v>0</v>
      </c>
      <c r="EV213" s="86">
        <f t="shared" si="364"/>
        <v>0.61</v>
      </c>
      <c r="EW213" s="86">
        <f t="shared" si="365"/>
        <v>0.61</v>
      </c>
      <c r="EX213" s="30" t="e">
        <f t="shared" ca="1" si="396"/>
        <v>#DIV/0!</v>
      </c>
      <c r="EY213" s="85" t="e">
        <f ca="1">IF(EE213&lt;=Hypothèses!$V$7,Hypothèses!$W$7,IF(EE213&lt;=Hypothèses!$V$8,Hypothèses!$W$8,IF(EE213&lt;=Hypothèses!$V$9,Hypothèses!$W$9,IF(EE213&lt;=Hypothèses!$V$10,Hypothèses!$W$10,IF(EE213&lt;=Hypothèses!$V$11,Hypothèses!$W$11,IF(EE213&lt;=Hypothèses!$V$12,Hypothèses!$W$12,IF(EE213&lt;=Hypothèses!$V$13,Hypothèses!$W$13,IF(EE213&lt;=Hypothèses!$V$14,Hypothèses!$W$14,IF(EE213&lt;=Hypothèses!$V$15,Hypothèses!$W$15,IF(EE213&lt;=Hypothèses!$V$16,Hypothèses!$W$16,IF(EE213&lt;=Hypothèses!$V$17,Hypothèses!$W$17,IF(EE213&lt;=Hypothèses!$V$18,Hypothèses!$W$18,""))))))))))))</f>
        <v>#DIV/0!</v>
      </c>
      <c r="EZ213" s="87" t="e">
        <f t="shared" ca="1" si="423"/>
        <v>#DIV/0!</v>
      </c>
      <c r="FA213" s="88" t="e">
        <f ca="1">IF(EE213&lt;=Hypothèses!$V$7,Hypothèses!$X$7,IF(EE213&lt;=Hypothèses!$V$8,Hypothèses!$X$8,IF(EE213&lt;=Hypothèses!$V$9,Hypothèses!$X$9,IF(EE213&lt;=Hypothèses!$V$10,Hypothèses!$X$10,IF(EE213&lt;=Hypothèses!$V$11,Hypothèses!$X$11,IF(EE213&lt;=Hypothèses!$V$12,Hypothèses!$X$12,IF(EE213&lt;=Hypothèses!$V$13,Hypothèses!$X$13,IF(EE213&lt;=Hypothèses!$V$14,Hypothèses!$X$14,IF(EE213&lt;=Hypothèses!$V$15,Hypothèses!$X$15,IF(EE213&lt;=Hypothèses!$V$16,Hypothèses!$X$16,IF(EE213&lt;=Hypothèses!$U$17,Hypothèses!$W$17,IF(EE213&lt;=Hypothèses!$U$18,Hypothèses!$W$18,""))))))))))))</f>
        <v>#DIV/0!</v>
      </c>
      <c r="FB213" s="95" t="e">
        <f t="shared" ca="1" si="397"/>
        <v>#DIV/0!</v>
      </c>
      <c r="FC213" s="101" t="e">
        <f t="shared" si="430"/>
        <v>#N/A</v>
      </c>
      <c r="FD213" s="91" t="e">
        <f t="shared" si="366"/>
        <v>#N/A</v>
      </c>
      <c r="FE213" s="30" t="e">
        <f t="shared" si="414"/>
        <v>#N/A</v>
      </c>
      <c r="FF213" s="30" t="e">
        <f t="shared" si="415"/>
        <v>#N/A</v>
      </c>
      <c r="FG213" s="31" t="e">
        <f>IF(OR(Hypothèses!$B$4=17,Hypothèses!$B$4=18,Hypothèses!$B$4=19,Hypothèses!$B$4=20),
IF($D213="Pressio.",
IF(OR($E213=3,$E213=1,$E213=4),FF213,FE213),
IF($D213="Pénétro.",
IF(OR($E213=3,$E213=1,$E213=4),FF213,FE213))),IF($D213="Pressio.",
IF($E213=3,FF213,FE213),
IF($D213="Pénétro.",
IF($E213=4,FF213,FE213))))</f>
        <v>#N/A</v>
      </c>
      <c r="FH213" s="31" t="e">
        <f>(IF(OR(Hypothèses!$B$4=17,Hypothèses!$B$4=18,Hypothèses!$B$4=19,Hypothèses!$B$4=20),
IF($D213="Pressio.",
IF(OR($E213=3,$E213=1,$E213=4),(PI()*FH$12^2)/4*(FD213*$W213*1000)/($H213*$B$5),(PI()*FH$12^2)/4*(FD213*$W213*1000)/($G213*$B$5)),
IF($D213="Pénétro.",
IF(OR($E213=4,$E213=1,$E213=5),(PI()*FH$12^2)/4*(FD213*$W213*1000)/($H213*$B$5),(PI()*FH$12^2)/4*(FD213*$W213*1000)/($G213*$B$5)))),
IF($D213="Pressio.",
IF($E213=3,(PI()*FH$12^2)/4*(FD213*$W213*1000)/($H213*$B$5),(PI()*FH$12^2)/4*(FD213*$W213*1000)/($G213*$B$5)),
IF($D213="Pénétro.",
IF($E213=4,(PI()*FH$12^2)/4*(FD213*$W213*1000)/($H213*$B$5),(PI()*FH$12^2)/4*(FD213*$W213*1000)/($G213*$B$5))))))/10</f>
        <v>#N/A</v>
      </c>
      <c r="FI213" s="102" t="e">
        <f>(VLOOKUP($B$3,'Coeff EC7'!$T$39:$X$59,2,0)*FG213+VLOOKUP($B$3,'Coeff EC7'!$T$65:$X$85,2,0)*Model0.1C!FH213)/1.1</f>
        <v>#N/A</v>
      </c>
      <c r="FJ213" s="102" t="e">
        <f>(VLOOKUP($B$3,'Coeff EC7'!$T$39:$X$59,3,0)*FG213+VLOOKUP($B$3,'Coeff EC7'!$T$65:$X$85,3,0)*Model0.1C!FH213)/0.9</f>
        <v>#N/A</v>
      </c>
      <c r="FK213" s="102" t="e">
        <f t="shared" si="398"/>
        <v>#N/A</v>
      </c>
      <c r="FL213" s="102" t="e">
        <f t="shared" si="399"/>
        <v>#N/A</v>
      </c>
      <c r="FM213" s="414" t="e">
        <f>IF(FM212=0,0,IF(AND(FI213&gt;charge_ELS_quasi,FJ213&gt;Charge_ELS_freq,FK213&gt;charge_ELU,FL213&gt;charge_ELA,$B213&gt;NDC!$H$22-0.1+MIN(3*$FM$12,1.5)),0,1))</f>
        <v>#N/A</v>
      </c>
    </row>
    <row r="214" spans="1:169">
      <c r="A214" s="96">
        <f t="shared" si="367"/>
        <v>79.900000000001143</v>
      </c>
      <c r="B214" s="97">
        <v>20.100000000000001</v>
      </c>
      <c r="C214" s="81">
        <f>IF(B214&lt;=Hypothèses!$C$7,Hypothèses!$A$7,IF(B214&lt;=Hypothèses!$C$8,Hypothèses!$A$8,IF(B214&lt;=Hypothèses!$C$9,Hypothèses!$A$9,IF(B214&lt;=Hypothèses!$C$10,Hypothèses!$A$10,IF(B214&lt;=Hypothèses!$C$11,Hypothèses!$A$11,IF(B214&lt;=Hypothèses!$C$12,Hypothèses!$A$12,IF(B214&lt;=Hypothèses!$C$13,Hypothèses!$A$13,IF(B214&lt;=Hypothèses!$C$14,Hypothèses!$A$14,IF(B214&lt;=Hypothèses!$C$15,Hypothèses!$A$15,IF(B214&lt;=Hypothèses!$C$16,Hypothèses!$A$16,IF(B214&lt;=Hypothèses!$C$17,Hypothèses!$A$17,IF(B214&lt;=Hypothèses!$C$18,Hypothèses!$A$18,C213))))))))))))</f>
        <v>11</v>
      </c>
      <c r="D214" s="82" t="str">
        <f>IF(B214&lt;=Hypothèses!$C$7,Hypothèses!$R$7,IF(B214&lt;=Hypothèses!$C$8,Hypothèses!$R$8,IF(B214&lt;=Hypothèses!$C$9,Hypothèses!$R$9,IF(B214&lt;=Hypothèses!$C$10,Hypothèses!$R$10,IF(B214&lt;=Hypothèses!$C$11,Hypothèses!$R$11,IF(B214&lt;=Hypothèses!$C$12,Hypothèses!$R$12,IF(B214&lt;=Hypothèses!$C$13,Hypothèses!$R$13,IF(B214&lt;=Hypothèses!$C$14,Hypothèses!$R$14,IF(B214&lt;=Hypothèses!$C$15,Hypothèses!$R$15,IF(B214&lt;=Hypothèses!$C$16,Hypothèses!$R$16,IF(B214&lt;=Hypothèses!$C$17,Hypothèses!$R$17,IF(B214&lt;=Hypothèses!$C$18,Hypothèses!$R$18,D213))))))))))))</f>
        <v>Pressio.</v>
      </c>
      <c r="E214" s="82" t="e">
        <f>IF(B214&lt;=Hypothèses!$C$7,Hypothèses!$G$7,IF(B214&lt;=Hypothèses!$C$8,Hypothèses!$G$8,IF(B214&lt;=Hypothèses!$C$9,Hypothèses!$G$9,IF(B214&lt;=Hypothèses!$C$10,Hypothèses!$G$10,IF(B214&lt;=Hypothèses!$C$11,Hypothèses!$G$11,IF(B214&lt;=Hypothèses!$C$12,Hypothèses!$G$12,IF(B214&lt;=Hypothèses!$C$13,Hypothèses!$G$13,IF(B214&lt;=Hypothèses!$C$14,Hypothèses!$G$14,IF(B214&lt;=Hypothèses!$C$15,Hypothèses!$G$15,IF(B214&lt;=Hypothèses!$C$16,Hypothèses!$G$16,IF(B214&lt;=Hypothèses!$C$17,Hypothèses!$G$17,IF(B214&lt;=Hypothèses!$C$18,Hypothèses!$G$18,E213))))))))))))</f>
        <v>#N/A</v>
      </c>
      <c r="F214" s="82" t="str">
        <f>IF(B214&lt;=Hypothèses!$C$7,Hypothèses!$F$7,IF(B214&lt;=Hypothèses!$C$8,Hypothèses!$F$8,IF(B214&lt;=Hypothèses!$C$9,Hypothèses!$F$9,IF(B214&lt;=Hypothèses!$C$10,Hypothèses!$F$10,IF(B214&lt;=Hypothèses!$C$11,Hypothèses!$F$11,IF(B214&lt;=Hypothèses!$C$12,Hypothèses!$F$12,IF(B214&lt;=Hypothèses!$C$13,Hypothèses!$F$13,IF(B214&lt;=Hypothèses!$C$14,Hypothèses!$F$14,IF(B214&lt;=Hypothèses!$C$15,Hypothèses!$F$15,IF(B214&lt;=Hypothèses!$C$16,Hypothèses!$F$16,IF(B214&lt;=Hypothèses!$C$17,Hypothèses!$F$17,IF(B214&lt;=Hypothèses!$C$18,Hypothèses!$F$18,F213))))))))))))</f>
        <v/>
      </c>
      <c r="G214" s="91">
        <f t="array" ref="G214">INDEX('Coeff EC7'!$U$7:$X$27,
MATCH(Model0.1C!$B$3,'Coeff EC7'!$T$7:$T$27,0),
MATCH(Model0.1C!$D214&amp;Model0.1C!$B$4,
'Coeff EC7'!$U$6:$X$6&amp;
'Coeff EC7'!$U$5:$X$5,0))</f>
        <v>1.1499999999999999</v>
      </c>
      <c r="H214" s="91">
        <f t="array" ref="H214">INDEX('Coeff EC7'!$Y$7:$AB$27,
MATCH(Model0.1C!$B$3,'Coeff EC7'!$T$7:$T$27,0),
MATCH(Model0.1C!$D214&amp;Model0.1C!$B$4,
'Coeff EC7'!$Y$6:$AB$6&amp;
'Coeff EC7'!$Y$5:$AB$5,0))</f>
        <v>1.4</v>
      </c>
      <c r="I214" s="83" t="e">
        <f>IF(B214&lt;=Hypothèses!$C$7,Hypothèses!$P$7,IF(B214&lt;=Hypothèses!$C$8,Hypothèses!$P$8,IF(B214&lt;=Hypothèses!$C$9,Hypothèses!$P$9,IF(B214&lt;=Hypothèses!$C$10,Hypothèses!$P$10,IF(B214&lt;=Hypothèses!$C$11,Hypothèses!$P$11,IF(B214&lt;=Hypothèses!$C$12,Hypothèses!$P$12,IF(B214&lt;=Hypothèses!$C$13,Hypothèses!$P$13,IF(B214&lt;=Hypothèses!$C$14,Hypothèses!$P$14,IF(B214&lt;=Hypothèses!$C$15,Hypothèses!$P$15,IF(B214&lt;=Hypothèses!$C$16,Hypothèses!$P$16,IF(B214&lt;=Hypothèses!$C$17,Hypothèses!$P$17,IF(B214&lt;=Hypothèses!$C$18,Hypothèses!$P$18,I213))))))))))))</f>
        <v>#N/A</v>
      </c>
      <c r="J214" s="91" t="e">
        <f t="array" ref="J214">INDEX('Coeff EC7'!$D$33:$Q$33,1,MATCH(D214&amp;E214,'Coeff EC7'!$D$31:$Q$31&amp;'Coeff EC7'!$D$32:$Q$32,0))</f>
        <v>#N/A</v>
      </c>
      <c r="K214" s="91" t="e">
        <f t="array" ref="K214">INDEX('Coeff EC7'!$D$34:$Q$34,1,MATCH(D214&amp;E214,'Coeff EC7'!$D$31:$Q$31&amp;'Coeff EC7'!$D$32:$Q$32,0))</f>
        <v>#N/A</v>
      </c>
      <c r="L214" s="91" t="e">
        <f t="array" ref="L214">INDEX('Coeff EC7'!$D$35:$Q$35,1,MATCH(D214&amp;E214,'Coeff EC7'!$D$31:$Q$31&amp;'Coeff EC7'!$D$32:$Q$32,0))</f>
        <v>#N/A</v>
      </c>
      <c r="M214" s="98" t="e">
        <f t="shared" si="331"/>
        <v>#N/A</v>
      </c>
      <c r="N214" s="99" t="e">
        <f t="array" ref="N214">INDEX('Coeff EC7'!$D$7:$Q$27,MATCH($B$3,'Coeff EC7'!$C$7:$C$27,0),MATCH(D214&amp;E214,'Coeff EC7'!$D$5:$Q$5&amp;'Coeff EC7'!$D$6:$Q$6,0))</f>
        <v>#N/A</v>
      </c>
      <c r="O214" s="99" t="e">
        <f t="array" ref="O214">INDEX('Coeff EC7'!$D$41:$Q$61,MATCH($B$3,'Coeff EC7'!$C$41:$C$61,0),MATCH(D214&amp;E214,'Coeff EC7'!$D$39:$Q$39&amp;'Coeff EC7'!$D$40:$Q$40,0))</f>
        <v>#N/A</v>
      </c>
      <c r="P214" s="30" t="e">
        <f t="shared" si="368"/>
        <v>#N/A</v>
      </c>
      <c r="Q214" s="100" t="e">
        <f t="shared" si="333"/>
        <v>#N/A</v>
      </c>
      <c r="R214" s="86" t="b">
        <f t="shared" si="334"/>
        <v>0</v>
      </c>
      <c r="S214" s="86">
        <f t="shared" si="332"/>
        <v>0.5</v>
      </c>
      <c r="T214" s="86">
        <f t="shared" si="335"/>
        <v>0.5</v>
      </c>
      <c r="U214" s="30" t="e">
        <f t="shared" ca="1" si="369"/>
        <v>#DIV/0!</v>
      </c>
      <c r="V214" s="85" t="str">
        <f>IF(B214&lt;=Hypothèses!$V$7,Hypothèses!$W$7,IF(B214&lt;=Hypothèses!$V$8,Hypothèses!$W$8,IF(B214&lt;=Hypothèses!$V$9,Hypothèses!$W$9,IF(B214&lt;=Hypothèses!$V$10,Hypothèses!$W$10,IF(B214&lt;=Hypothèses!$V$11,Hypothèses!$W$11,IF(B214&lt;=Hypothèses!$V$12,Hypothèses!$W$12,IF(B214&lt;=Hypothèses!$V$13,Hypothèses!$W$13,IF(B214&lt;=Hypothèses!$V$14,Hypothèses!$W$14,IF(B214&lt;=Hypothèses!$V$15,Hypothèses!$W$15,IF(B214&lt;=Hypothèses!$V$16,Hypothèses!$W$16,IF(B214&lt;=Hypothèses!$V$17,Hypothèses!$W$17,IF(B214&lt;=Hypothèses!$V$18,Hypothèses!$W$18,""))))))))))))</f>
        <v/>
      </c>
      <c r="W214" s="87" t="e">
        <f t="shared" ca="1" si="416"/>
        <v>#DIV/0!</v>
      </c>
      <c r="X214" s="88" t="str">
        <f>IF(B214&lt;=Hypothèses!$V$7,Hypothèses!$X$7,IF(B214&lt;=Hypothèses!$V$8,Hypothèses!$X$8,IF(B214&lt;=Hypothèses!$V$9,Hypothèses!$X$9,IF(B214&lt;=Hypothèses!$V$10,Hypothèses!$X$10,IF(B214&lt;=Hypothèses!$V$11,Hypothèses!$X$11,IF(B214&lt;=Hypothèses!$V$12,Hypothèses!$X$12,IF(B214&lt;=Hypothèses!$V$13,Hypothèses!$X$13,IF(B214&lt;=Hypothèses!$V$14,Hypothèses!$X$14,IF(B214&lt;=Hypothèses!$V$15,Hypothèses!$X$15,IF(B214&lt;=Hypothèses!$V$16,Hypothèses!$X$16,IF(B214&lt;=Hypothèses!$U$17,Hypothèses!$W$17,IF(B214&lt;=Hypothèses!$U$18,Hypothèses!$W$18,""))))))))))))</f>
        <v/>
      </c>
      <c r="Y214" s="95" t="e">
        <f t="shared" ca="1" si="336"/>
        <v>#DIV/0!</v>
      </c>
      <c r="Z214" s="101" t="e">
        <f t="shared" si="337"/>
        <v>#N/A</v>
      </c>
      <c r="AA214" s="91" t="e">
        <f t="shared" si="338"/>
        <v>#N/A</v>
      </c>
      <c r="AB214" s="30" t="e">
        <f t="shared" si="400"/>
        <v>#N/A</v>
      </c>
      <c r="AC214" s="30" t="e">
        <f t="shared" si="401"/>
        <v>#N/A</v>
      </c>
      <c r="AD214" s="31" t="e">
        <f>IF(OR(Hypothèses!$B$4=17,Hypothèses!$B$4=18,Hypothèses!$B$4=19,Hypothèses!$B$4=20),
IF($D214="Pressio.",
IF(OR($E214=3,$E214=1,$E214=4),AC214,AB214),
IF($D214="Pénétro.",
IF(OR($E214=3,$E214=1,$E214=4),AC214,AB214))),IF($D214="Pressio.",
IF($E214=3,AC214,AB214),
IF($D214="Pénétro.",
IF($E214=4,AC214,AB214))))</f>
        <v>#N/A</v>
      </c>
      <c r="AE214" s="31" t="e">
        <f>(IF(OR(Hypothèses!$B$4=17,Hypothèses!$B$4=18,Hypothèses!$B$4=19,Hypothèses!$B$4=20),
IF($D214="Pressio.",
IF(OR($E214=3,$E214=1,$E214=4),(PI()*AE$12^2)/4*(AA214*$W214*1000)/($H214*$B$5),(PI()*AE$12^2)/4*(AA214*$W214*1000)/($G214*$B$5)),
IF($D214="Pénétro.",
IF(OR($E214=4,$E214=1,$E214=5),(PI()*AE$12^2)/4*(AA214*$W214*1000)/($H214*$B$5),(PI()*AE$12^2)/4*(AA214*$W214*1000)/($G214*$B$5)))),
IF($D214="Pressio.",
IF($E214=3,(PI()*AE$12^2)/4*(AA214*$W214*1000)/($H214*$B$5),(PI()*AE$12^2)/4*(AA214*$W214*1000)/($G214*$B$5)),
IF($D214="Pénétro.",
IF($E214=4,(PI()*AE$12^2)/4*(AA214*$W214*1000)/($H214*$B$5),(PI()*AE$12^2)/4*(AA214*$W214*1000)/($G214*$B$5))))))/10</f>
        <v>#N/A</v>
      </c>
      <c r="AF214" s="102" t="e">
        <f>(VLOOKUP($B$3,'Coeff EC7'!$T$39:$X$59,2,0)*AD214+VLOOKUP($B$3,'Coeff EC7'!$T$65:$X$85,2,0)*Model0.1C!AE214)/1.1</f>
        <v>#N/A</v>
      </c>
      <c r="AG214" s="102" t="e">
        <f>(VLOOKUP($B$3,'Coeff EC7'!$T$39:$X$59,3,0)*AD214+VLOOKUP($B$3,'Coeff EC7'!$T$65:$X$85,3,0)*Model0.1C!AE214)/0.9</f>
        <v>#N/A</v>
      </c>
      <c r="AH214" s="102" t="e">
        <f t="shared" si="339"/>
        <v>#N/A</v>
      </c>
      <c r="AI214" s="102" t="e">
        <f t="shared" si="340"/>
        <v>#N/A</v>
      </c>
      <c r="AJ214" s="414" t="e">
        <f>IF(AJ213=0,0,IF(AND(AF214&gt;charge_ELS_quasi,AG214&gt;Charge_ELS_freq,AH214&gt;charge_ELU,AI214&gt;charge_ELA,$B214&gt;NDC!$H$22-0.1+MIN(3*$AJ$12,1.5)),0,1))</f>
        <v>#N/A</v>
      </c>
      <c r="AK214" s="86" t="b">
        <f t="shared" si="341"/>
        <v>0</v>
      </c>
      <c r="AL214" s="86">
        <f t="shared" si="370"/>
        <v>0.5</v>
      </c>
      <c r="AM214" s="86">
        <f t="shared" si="342"/>
        <v>0.5</v>
      </c>
      <c r="AN214" s="30" t="e">
        <f t="shared" ca="1" si="371"/>
        <v>#DIV/0!</v>
      </c>
      <c r="AO214" s="85" t="e">
        <f ca="1">IF(U214&lt;=Hypothèses!$V$7,Hypothèses!$W$7,IF(U214&lt;=Hypothèses!$V$8,Hypothèses!$W$8,IF(U214&lt;=Hypothèses!$V$9,Hypothèses!$W$9,IF(U214&lt;=Hypothèses!$V$10,Hypothèses!$W$10,IF(U214&lt;=Hypothèses!$V$11,Hypothèses!$W$11,IF(U214&lt;=Hypothèses!$V$12,Hypothèses!$W$12,IF(U214&lt;=Hypothèses!$V$13,Hypothèses!$W$13,IF(U214&lt;=Hypothèses!$V$14,Hypothèses!$W$14,IF(U214&lt;=Hypothèses!$V$15,Hypothèses!$W$15,IF(U214&lt;=Hypothèses!$V$16,Hypothèses!$W$16,IF(U214&lt;=Hypothèses!$V$17,Hypothèses!$W$17,IF(U214&lt;=Hypothèses!$V$18,Hypothèses!$W$18,""))))))))))))</f>
        <v>#DIV/0!</v>
      </c>
      <c r="AP214" s="87" t="e">
        <f t="shared" ca="1" si="417"/>
        <v>#DIV/0!</v>
      </c>
      <c r="AQ214" s="88" t="e">
        <f ca="1">IF(U214&lt;=Hypothèses!$V$7,Hypothèses!$X$7,IF(U214&lt;=Hypothèses!$V$8,Hypothèses!$X$8,IF(U214&lt;=Hypothèses!$V$9,Hypothèses!$X$9,IF(U214&lt;=Hypothèses!$V$10,Hypothèses!$X$10,IF(U214&lt;=Hypothèses!$V$11,Hypothèses!$X$11,IF(U214&lt;=Hypothèses!$V$12,Hypothèses!$X$12,IF(U214&lt;=Hypothèses!$V$13,Hypothèses!$X$13,IF(U214&lt;=Hypothèses!$V$14,Hypothèses!$X$14,IF(U214&lt;=Hypothèses!$V$15,Hypothèses!$X$15,IF(U214&lt;=Hypothèses!$V$16,Hypothèses!$X$16,IF(U214&lt;=Hypothèses!$U$17,Hypothèses!$W$17,IF(U214&lt;=Hypothèses!$U$18,Hypothèses!$W$18,""))))))))))))</f>
        <v>#DIV/0!</v>
      </c>
      <c r="AR214" s="95" t="e">
        <f t="shared" ca="1" si="372"/>
        <v>#DIV/0!</v>
      </c>
      <c r="AS214" s="101" t="e">
        <f t="shared" si="424"/>
        <v>#N/A</v>
      </c>
      <c r="AT214" s="91" t="e">
        <f t="shared" si="343"/>
        <v>#N/A</v>
      </c>
      <c r="AU214" s="30" t="e">
        <f t="shared" si="402"/>
        <v>#N/A</v>
      </c>
      <c r="AV214" s="30" t="e">
        <f t="shared" si="403"/>
        <v>#N/A</v>
      </c>
      <c r="AW214" s="31" t="e">
        <f>IF(OR(Hypothèses!$B$4=17,Hypothèses!$B$4=18,Hypothèses!$B$4=19,Hypothèses!$B$4=20),
IF($D214="Pressio.",
IF(OR($E214=3,$E214=1,$E214=4),AV214,AU214),
IF($D214="Pénétro.",
IF(OR($E214=3,$E214=1,$E214=4),AV214,AU214))),IF($D214="Pressio.",
IF($E214=3,AV214,AU214),
IF($D214="Pénétro.",
IF($E214=4,AV214,AU214))))</f>
        <v>#N/A</v>
      </c>
      <c r="AX214" s="31" t="e">
        <f>(IF(OR(Hypothèses!$B$4=17,Hypothèses!$B$4=18,Hypothèses!$B$4=19,Hypothèses!$B$4=20),
IF($D214="Pressio.",
IF(OR($E214=3,$E214=1,$E214=4),(PI()*AX$12^2)/4*(AT214*$W214*1000)/($H214*$B$5),(PI()*AX$12^2)/4*(AT214*$W214*1000)/($G214*$B$5)),
IF($D214="Pénétro.",
IF(OR($E214=4,$E214=1,$E214=5),(PI()*AX$12^2)/4*(AT214*$W214*1000)/($H214*$B$5),(PI()*AX$12^2)/4*(AT214*$W214*1000)/($G214*$B$5)))),
IF($D214="Pressio.",
IF($E214=3,(PI()*AX$12^2)/4*(AT214*$W214*1000)/($H214*$B$5),(PI()*AX$12^2)/4*(AT214*$W214*1000)/($G214*$B$5)),
IF($D214="Pénétro.",
IF($E214=4,(PI()*AX$12^2)/4*(AT214*$W214*1000)/($H214*$B$5),(PI()*AX$12^2)/4*(AT214*$W214*1000)/($G214*$B$5))))))/10</f>
        <v>#N/A</v>
      </c>
      <c r="AY214" s="102" t="e">
        <f>(VLOOKUP($B$3,'Coeff EC7'!$T$39:$X$59,2,0)*AW214+VLOOKUP($B$3,'Coeff EC7'!$T$65:$X$85,2,0)*Model0.1C!AX214)/1.1</f>
        <v>#N/A</v>
      </c>
      <c r="AZ214" s="102" t="e">
        <f>(VLOOKUP($B$3,'Coeff EC7'!$T$39:$X$59,3,0)*AW214+VLOOKUP($B$3,'Coeff EC7'!$T$65:$X$85,3,0)*Model0.1C!AX214)/0.9</f>
        <v>#N/A</v>
      </c>
      <c r="BA214" s="102" t="e">
        <f t="shared" si="373"/>
        <v>#N/A</v>
      </c>
      <c r="BB214" s="102" t="e">
        <f t="shared" si="374"/>
        <v>#N/A</v>
      </c>
      <c r="BC214" s="414" t="e">
        <f>IF(BC213=0,0,IF(AND(AY214&gt;charge_ELS_quasi,AZ214&gt;Charge_ELS_freq,BA214&gt;charge_ELU,BB214&gt;charge_ELA,$B214&gt;NDC!$H$22-0.1+MIN(3*$BC$12,1.5)),0,1))</f>
        <v>#N/A</v>
      </c>
      <c r="BD214" s="86" t="b">
        <f t="shared" si="344"/>
        <v>0</v>
      </c>
      <c r="BE214" s="86">
        <f t="shared" si="375"/>
        <v>0.5</v>
      </c>
      <c r="BF214" s="86">
        <f t="shared" si="345"/>
        <v>0.5</v>
      </c>
      <c r="BG214" s="30" t="e">
        <f t="shared" ca="1" si="376"/>
        <v>#DIV/0!</v>
      </c>
      <c r="BH214" s="85" t="e">
        <f ca="1">IF(AN214&lt;=Hypothèses!$V$7,Hypothèses!$W$7,IF(AN214&lt;=Hypothèses!$V$8,Hypothèses!$W$8,IF(AN214&lt;=Hypothèses!$V$9,Hypothèses!$W$9,IF(AN214&lt;=Hypothèses!$V$10,Hypothèses!$W$10,IF(AN214&lt;=Hypothèses!$V$11,Hypothèses!$W$11,IF(AN214&lt;=Hypothèses!$V$12,Hypothèses!$W$12,IF(AN214&lt;=Hypothèses!$V$13,Hypothèses!$W$13,IF(AN214&lt;=Hypothèses!$V$14,Hypothèses!$W$14,IF(AN214&lt;=Hypothèses!$V$15,Hypothèses!$W$15,IF(AN214&lt;=Hypothèses!$V$16,Hypothèses!$W$16,IF(AN214&lt;=Hypothèses!$V$17,Hypothèses!$W$17,IF(AN214&lt;=Hypothèses!$V$18,Hypothèses!$W$18,""))))))))))))</f>
        <v>#DIV/0!</v>
      </c>
      <c r="BI214" s="87" t="e">
        <f t="shared" ca="1" si="418"/>
        <v>#DIV/0!</v>
      </c>
      <c r="BJ214" s="88" t="e">
        <f ca="1">IF(AN214&lt;=Hypothèses!$V$7,Hypothèses!$X$7,IF(AN214&lt;=Hypothèses!$V$8,Hypothèses!$X$8,IF(AN214&lt;=Hypothèses!$V$9,Hypothèses!$X$9,IF(AN214&lt;=Hypothèses!$V$10,Hypothèses!$X$10,IF(AN214&lt;=Hypothèses!$V$11,Hypothèses!$X$11,IF(AN214&lt;=Hypothèses!$V$12,Hypothèses!$X$12,IF(AN214&lt;=Hypothèses!$V$13,Hypothèses!$X$13,IF(AN214&lt;=Hypothèses!$V$14,Hypothèses!$X$14,IF(AN214&lt;=Hypothèses!$V$15,Hypothèses!$X$15,IF(AN214&lt;=Hypothèses!$V$16,Hypothèses!$X$16,IF(AN214&lt;=Hypothèses!$U$17,Hypothèses!$W$17,IF(AN214&lt;=Hypothèses!$U$18,Hypothèses!$W$18,""))))))))))))</f>
        <v>#DIV/0!</v>
      </c>
      <c r="BK214" s="95" t="e">
        <f t="shared" ca="1" si="377"/>
        <v>#DIV/0!</v>
      </c>
      <c r="BL214" s="101" t="e">
        <f t="shared" si="425"/>
        <v>#N/A</v>
      </c>
      <c r="BM214" s="91" t="e">
        <f t="shared" si="346"/>
        <v>#N/A</v>
      </c>
      <c r="BN214" s="30" t="e">
        <f t="shared" si="404"/>
        <v>#N/A</v>
      </c>
      <c r="BO214" s="30" t="e">
        <f t="shared" si="405"/>
        <v>#N/A</v>
      </c>
      <c r="BP214" s="31" t="e">
        <f>IF(OR(Hypothèses!$B$4=17,Hypothèses!$B$4=18,Hypothèses!$B$4=19,Hypothèses!$B$4=20),
IF($D214="Pressio.",
IF(OR($E214=3,$E214=1,$E214=4),BO214,BN214),
IF($D214="Pénétro.",
IF(OR($E214=3,$E214=1,$E214=4),BO214,BN214))),IF($D214="Pressio.",
IF($E214=3,BO214,BN214),
IF($D214="Pénétro.",
IF($E214=4,BO214,BN214))))</f>
        <v>#N/A</v>
      </c>
      <c r="BQ214" s="31" t="e">
        <f>(IF(OR(Hypothèses!$B$4=17,Hypothèses!$B$4=18,Hypothèses!$B$4=19,Hypothèses!$B$4=20),
IF($D214="Pressio.",
IF(OR($E214=3,$E214=1,$E214=4),(PI()*BQ$12^2)/4*(BM214*$W214*1000)/($H214*$B$5),(PI()*BQ$12^2)/4*(BM214*$W214*1000)/($G214*$B$5)),
IF($D214="Pénétro.",
IF(OR($E214=4,$E214=1,$E214=5),(PI()*BQ$12^2)/4*(BM214*$W214*1000)/($H214*$B$5),(PI()*BQ$12^2)/4*(BM214*$W214*1000)/($G214*$B$5)))),
IF($D214="Pressio.",
IF($E214=3,(PI()*BQ$12^2)/4*(BM214*$W214*1000)/($H214*$B$5),(PI()*BQ$12^2)/4*(BM214*$W214*1000)/($G214*$B$5)),
IF($D214="Pénétro.",
IF($E214=4,(PI()*BQ$12^2)/4*(BM214*$W214*1000)/($H214*$B$5),(PI()*BQ$12^2)/4*(BM214*$W214*1000)/($G214*$B$5))))))/10</f>
        <v>#N/A</v>
      </c>
      <c r="BR214" s="102" t="e">
        <f>(VLOOKUP($B$3,'Coeff EC7'!$T$39:$X$59,2,0)*BP214+VLOOKUP($B$3,'Coeff EC7'!$T$65:$X$85,2,0)*Model0.1C!BQ214)/1.1</f>
        <v>#N/A</v>
      </c>
      <c r="BS214" s="102" t="e">
        <f>(VLOOKUP($B$3,'Coeff EC7'!$T$39:$X$59,3,0)*BP214+VLOOKUP($B$3,'Coeff EC7'!$T$65:$X$85,3,0)*Model0.1C!BQ214)/0.9</f>
        <v>#N/A</v>
      </c>
      <c r="BT214" s="102" t="e">
        <f t="shared" si="378"/>
        <v>#N/A</v>
      </c>
      <c r="BU214" s="102" t="e">
        <f t="shared" si="379"/>
        <v>#N/A</v>
      </c>
      <c r="BV214" s="414" t="e">
        <f>IF(BV213=0,0,IF(AND(BR214&gt;charge_ELS_quasi,BS214&gt;Charge_ELS_freq,BT214&gt;charge_ELU,BU214&gt;charge_ELA,$B214&gt;NDC!$H$22-0.1+MIN(3*$BV$12,1.5)),0,1))</f>
        <v>#N/A</v>
      </c>
      <c r="BW214" s="86" t="b">
        <f t="shared" si="347"/>
        <v>0</v>
      </c>
      <c r="BX214" s="86">
        <f t="shared" si="348"/>
        <v>0.5</v>
      </c>
      <c r="BY214" s="86">
        <f t="shared" si="349"/>
        <v>0.5</v>
      </c>
      <c r="BZ214" s="30" t="e">
        <f t="shared" ca="1" si="380"/>
        <v>#DIV/0!</v>
      </c>
      <c r="CA214" s="85" t="e">
        <f ca="1">IF(BG214&lt;=Hypothèses!$V$7,Hypothèses!$W$7,IF(BG214&lt;=Hypothèses!$V$8,Hypothèses!$W$8,IF(BG214&lt;=Hypothèses!$V$9,Hypothèses!$W$9,IF(BG214&lt;=Hypothèses!$V$10,Hypothèses!$W$10,IF(BG214&lt;=Hypothèses!$V$11,Hypothèses!$W$11,IF(BG214&lt;=Hypothèses!$V$12,Hypothèses!$W$12,IF(BG214&lt;=Hypothèses!$V$13,Hypothèses!$W$13,IF(BG214&lt;=Hypothèses!$V$14,Hypothèses!$W$14,IF(BG214&lt;=Hypothèses!$V$15,Hypothèses!$W$15,IF(BG214&lt;=Hypothèses!$V$16,Hypothèses!$W$16,IF(BG214&lt;=Hypothèses!$V$17,Hypothèses!$W$17,IF(BG214&lt;=Hypothèses!$V$18,Hypothèses!$W$18,""))))))))))))</f>
        <v>#DIV/0!</v>
      </c>
      <c r="CB214" s="87" t="e">
        <f t="shared" ca="1" si="419"/>
        <v>#DIV/0!</v>
      </c>
      <c r="CC214" s="88" t="e">
        <f ca="1">IF(BG214&lt;=Hypothèses!$V$7,Hypothèses!$X$7,IF(BG214&lt;=Hypothèses!$V$8,Hypothèses!$X$8,IF(BG214&lt;=Hypothèses!$V$9,Hypothèses!$X$9,IF(BG214&lt;=Hypothèses!$V$10,Hypothèses!$X$10,IF(BG214&lt;=Hypothèses!$V$11,Hypothèses!$X$11,IF(BG214&lt;=Hypothèses!$V$12,Hypothèses!$X$12,IF(BG214&lt;=Hypothèses!$V$13,Hypothèses!$X$13,IF(BG214&lt;=Hypothèses!$V$14,Hypothèses!$X$14,IF(BG214&lt;=Hypothèses!$V$15,Hypothèses!$X$15,IF(BG214&lt;=Hypothèses!$V$16,Hypothèses!$X$16,IF(BG214&lt;=Hypothèses!$U$17,Hypothèses!$W$17,IF(BG214&lt;=Hypothèses!$U$18,Hypothèses!$W$18,""))))))))))))</f>
        <v>#DIV/0!</v>
      </c>
      <c r="CD214" s="95" t="e">
        <f t="shared" ca="1" si="381"/>
        <v>#DIV/0!</v>
      </c>
      <c r="CE214" s="101" t="e">
        <f t="shared" si="426"/>
        <v>#N/A</v>
      </c>
      <c r="CF214" s="91" t="e">
        <f t="shared" si="350"/>
        <v>#N/A</v>
      </c>
      <c r="CG214" s="30" t="e">
        <f t="shared" si="406"/>
        <v>#N/A</v>
      </c>
      <c r="CH214" s="30" t="e">
        <f t="shared" si="407"/>
        <v>#N/A</v>
      </c>
      <c r="CI214" s="31" t="e">
        <f>IF(OR(Hypothèses!$B$4=17,Hypothèses!$B$4=18,Hypothèses!$B$4=19,Hypothèses!$B$4=20),
IF($D214="Pressio.",
IF(OR($E214=3,$E214=1,$E214=4),CH214,CG214),
IF($D214="Pénétro.",
IF(OR($E214=3,$E214=1,$E214=4),CH214,CG214))),IF($D214="Pressio.",
IF($E214=3,CH214,CG214),
IF($D214="Pénétro.",
IF($E214=4,CH214,CG214))))</f>
        <v>#N/A</v>
      </c>
      <c r="CJ214" s="31" t="e">
        <f>(IF(OR(Hypothèses!$B$4=17,Hypothèses!$B$4=18,Hypothèses!$B$4=19,Hypothèses!$B$4=20),
IF($D214="Pressio.",
IF(OR($E214=3,$E214=1,$E214=4),(PI()*CJ$12^2)/4*(CF214*$W214*1000)/($H214*$B$5),(PI()*CJ$12^2)/4*(CF214*$W214*1000)/($G214*$B$5)),
IF($D214="Pénétro.",
IF(OR($E214=4,$E214=1,$E214=5),(PI()*CJ$12^2)/4*(CF214*$W214*1000)/($H214*$B$5),(PI()*CJ$12^2)/4*(CF214*$W214*1000)/($G214*$B$5)))),
IF($D214="Pressio.",
IF($E214=3,(PI()*CJ$12^2)/4*(CF214*$W214*1000)/($H214*$B$5),(PI()*CJ$12^2)/4*(CF214*$W214*1000)/($G214*$B$5)),
IF($D214="Pénétro.",
IF($E214=4,(PI()*CJ$12^2)/4*(CF214*$W214*1000)/($H214*$B$5),(PI()*CJ$12^2)/4*(CF214*$W214*1000)/($G214*$B$5))))))/10</f>
        <v>#N/A</v>
      </c>
      <c r="CK214" s="102" t="e">
        <f>(VLOOKUP($B$3,'Coeff EC7'!$T$39:$X$59,2,0)*CI214+VLOOKUP($B$3,'Coeff EC7'!$T$65:$X$85,2,0)*Model0.1C!CJ214)/1.1</f>
        <v>#N/A</v>
      </c>
      <c r="CL214" s="102" t="e">
        <f>(VLOOKUP($B$3,'Coeff EC7'!$T$39:$X$59,3,0)*CI214+VLOOKUP($B$3,'Coeff EC7'!$T$65:$X$85,3,0)*Model0.1C!CJ214)/0.9</f>
        <v>#N/A</v>
      </c>
      <c r="CM214" s="102" t="e">
        <f t="shared" si="382"/>
        <v>#N/A</v>
      </c>
      <c r="CN214" s="102" t="e">
        <f t="shared" si="383"/>
        <v>#N/A</v>
      </c>
      <c r="CO214" s="414" t="e">
        <f>IF(CO213=0,0,IF(AND(CK214&gt;charge_ELS_quasi,CL214&gt;Charge_ELS_freq,CM214&gt;charge_ELU,CN214&gt;charge_ELA,$B214&gt;NDC!$H$22-0.1+MIN(3*$CO$12,1.5)),0,1))</f>
        <v>#N/A</v>
      </c>
      <c r="CP214" s="86" t="b">
        <f t="shared" si="351"/>
        <v>0</v>
      </c>
      <c r="CQ214" s="86">
        <f t="shared" si="352"/>
        <v>0.5</v>
      </c>
      <c r="CR214" s="86">
        <f t="shared" si="353"/>
        <v>0.5</v>
      </c>
      <c r="CS214" s="30" t="e">
        <f t="shared" ca="1" si="384"/>
        <v>#DIV/0!</v>
      </c>
      <c r="CT214" s="85" t="e">
        <f ca="1">IF(BZ214&lt;=Hypothèses!$V$7,Hypothèses!$W$7,IF(BZ214&lt;=Hypothèses!$V$8,Hypothèses!$W$8,IF(BZ214&lt;=Hypothèses!$V$9,Hypothèses!$W$9,IF(BZ214&lt;=Hypothèses!$V$10,Hypothèses!$W$10,IF(BZ214&lt;=Hypothèses!$V$11,Hypothèses!$W$11,IF(BZ214&lt;=Hypothèses!$V$12,Hypothèses!$W$12,IF(BZ214&lt;=Hypothèses!$V$13,Hypothèses!$W$13,IF(BZ214&lt;=Hypothèses!$V$14,Hypothèses!$W$14,IF(BZ214&lt;=Hypothèses!$V$15,Hypothèses!$W$15,IF(BZ214&lt;=Hypothèses!$V$16,Hypothèses!$W$16,IF(BZ214&lt;=Hypothèses!$V$17,Hypothèses!$W$17,IF(BZ214&lt;=Hypothèses!$V$18,Hypothèses!$W$18,""))))))))))))</f>
        <v>#DIV/0!</v>
      </c>
      <c r="CU214" s="87" t="e">
        <f t="shared" ca="1" si="420"/>
        <v>#DIV/0!</v>
      </c>
      <c r="CV214" s="88" t="e">
        <f ca="1">IF(BZ214&lt;=Hypothèses!$V$7,Hypothèses!$X$7,IF(BZ214&lt;=Hypothèses!$V$8,Hypothèses!$X$8,IF(BZ214&lt;=Hypothèses!$V$9,Hypothèses!$X$9,IF(BZ214&lt;=Hypothèses!$V$10,Hypothèses!$X$10,IF(BZ214&lt;=Hypothèses!$V$11,Hypothèses!$X$11,IF(BZ214&lt;=Hypothèses!$V$12,Hypothèses!$X$12,IF(BZ214&lt;=Hypothèses!$V$13,Hypothèses!$X$13,IF(BZ214&lt;=Hypothèses!$V$14,Hypothèses!$X$14,IF(BZ214&lt;=Hypothèses!$V$15,Hypothèses!$X$15,IF(BZ214&lt;=Hypothèses!$V$16,Hypothèses!$X$16,IF(BZ214&lt;=Hypothèses!$U$17,Hypothèses!$W$17,IF(BZ214&lt;=Hypothèses!$U$18,Hypothèses!$W$18,""))))))))))))</f>
        <v>#DIV/0!</v>
      </c>
      <c r="CW214" s="95" t="e">
        <f t="shared" ca="1" si="385"/>
        <v>#DIV/0!</v>
      </c>
      <c r="CX214" s="101" t="e">
        <f t="shared" si="427"/>
        <v>#N/A</v>
      </c>
      <c r="CY214" s="91" t="e">
        <f t="shared" si="354"/>
        <v>#N/A</v>
      </c>
      <c r="CZ214" s="30" t="e">
        <f t="shared" si="408"/>
        <v>#N/A</v>
      </c>
      <c r="DA214" s="30" t="e">
        <f t="shared" si="409"/>
        <v>#N/A</v>
      </c>
      <c r="DB214" s="31" t="e">
        <f>IF(OR(Hypothèses!$B$4=17,Hypothèses!$B$4=18,Hypothèses!$B$4=19,Hypothèses!$B$4=20),
IF($D214="Pressio.",
IF(OR($E214=3,$E214=1,$E214=4),DA214,CZ214),
IF($D214="Pénétro.",
IF(OR($E214=3,$E214=1,$E214=4),DA214,CZ214))),IF($D214="Pressio.",
IF($E214=3,DA214,CZ214),
IF($D214="Pénétro.",
IF($E214=4,DA214,CZ214))))</f>
        <v>#N/A</v>
      </c>
      <c r="DC214" s="31" t="e">
        <f>(IF(OR(Hypothèses!$B$4=17,Hypothèses!$B$4=18,Hypothèses!$B$4=19,Hypothèses!$B$4=20),
IF($D214="Pressio.",
IF(OR($E214=3,$E214=1,$E214=4),(PI()*DC$12^2)/4*(CY214*$W214*1000)/($H214*$B$5),(PI()*DC$12^2)/4*(CY214*$W214*1000)/($G214*$B$5)),
IF($D214="Pénétro.",
IF(OR($E214=4,$E214=1,$E214=5),(PI()*DC$12^2)/4*(CY214*$W214*1000)/($H214*$B$5),(PI()*DC$12^2)/4*(CY214*$W214*1000)/($G214*$B$5)))),
IF($D214="Pressio.",
IF($E214=3,(PI()*DC$12^2)/4*(CY214*$W214*1000)/($H214*$B$5),(PI()*DC$12^2)/4*(CY214*$W214*1000)/($G214*$B$5)),
IF($D214="Pénétro.",
IF($E214=4,(PI()*DC$12^2)/4*(CY214*$W214*1000)/($H214*$B$5),(PI()*DC$12^2)/4*(CY214*$W214*1000)/($G214*$B$5))))))/10</f>
        <v>#N/A</v>
      </c>
      <c r="DD214" s="102" t="e">
        <f>(VLOOKUP($B$3,'Coeff EC7'!$T$39:$X$59,2,0)*DB214+VLOOKUP($B$3,'Coeff EC7'!$T$65:$X$85,2,0)*Model0.1C!DC214)/1.1</f>
        <v>#N/A</v>
      </c>
      <c r="DE214" s="102" t="e">
        <f>(VLOOKUP($B$3,'Coeff EC7'!$T$39:$X$59,3,0)*DB214+VLOOKUP($B$3,'Coeff EC7'!$T$65:$X$85,3,0)*Model0.1C!DC214)/0.9</f>
        <v>#N/A</v>
      </c>
      <c r="DF214" s="102" t="e">
        <f t="shared" si="386"/>
        <v>#N/A</v>
      </c>
      <c r="DG214" s="102" t="e">
        <f t="shared" si="387"/>
        <v>#N/A</v>
      </c>
      <c r="DH214" s="414" t="e">
        <f>IF(DH213=0,0,IF(AND(DD214&gt;charge_ELS_quasi,DE214&gt;Charge_ELS_freq,DF214&gt;charge_ELU,DG214&gt;charge_ELA,$B214&gt;NDC!$H$22-0.1+MIN(3*$DH$12,1.5)),0,1))</f>
        <v>#N/A</v>
      </c>
      <c r="DI214" s="86" t="b">
        <f t="shared" si="355"/>
        <v>0</v>
      </c>
      <c r="DJ214" s="86">
        <f t="shared" si="356"/>
        <v>0.5</v>
      </c>
      <c r="DK214" s="86">
        <f t="shared" si="357"/>
        <v>0.5</v>
      </c>
      <c r="DL214" s="30" t="e">
        <f t="shared" ca="1" si="388"/>
        <v>#DIV/0!</v>
      </c>
      <c r="DM214" s="85" t="e">
        <f ca="1">IF(CS214&lt;=Hypothèses!$V$7,Hypothèses!$W$7,IF(CS214&lt;=Hypothèses!$V$8,Hypothèses!$W$8,IF(CS214&lt;=Hypothèses!$V$9,Hypothèses!$W$9,IF(CS214&lt;=Hypothèses!$V$10,Hypothèses!$W$10,IF(CS214&lt;=Hypothèses!$V$11,Hypothèses!$W$11,IF(CS214&lt;=Hypothèses!$V$12,Hypothèses!$W$12,IF(CS214&lt;=Hypothèses!$V$13,Hypothèses!$W$13,IF(CS214&lt;=Hypothèses!$V$14,Hypothèses!$W$14,IF(CS214&lt;=Hypothèses!$V$15,Hypothèses!$W$15,IF(CS214&lt;=Hypothèses!$V$16,Hypothèses!$W$16,IF(CS214&lt;=Hypothèses!$V$17,Hypothèses!$W$17,IF(CS214&lt;=Hypothèses!$V$18,Hypothèses!$W$18,""))))))))))))</f>
        <v>#DIV/0!</v>
      </c>
      <c r="DN214" s="87" t="e">
        <f t="shared" ca="1" si="421"/>
        <v>#DIV/0!</v>
      </c>
      <c r="DO214" s="88" t="e">
        <f ca="1">IF(CS214&lt;=Hypothèses!$V$7,Hypothèses!$X$7,IF(CS214&lt;=Hypothèses!$V$8,Hypothèses!$X$8,IF(CS214&lt;=Hypothèses!$V$9,Hypothèses!$X$9,IF(CS214&lt;=Hypothèses!$V$10,Hypothèses!$X$10,IF(CS214&lt;=Hypothèses!$V$11,Hypothèses!$X$11,IF(CS214&lt;=Hypothèses!$V$12,Hypothèses!$X$12,IF(CS214&lt;=Hypothèses!$V$13,Hypothèses!$X$13,IF(CS214&lt;=Hypothèses!$V$14,Hypothèses!$X$14,IF(CS214&lt;=Hypothèses!$V$15,Hypothèses!$X$15,IF(CS214&lt;=Hypothèses!$V$16,Hypothèses!$X$16,IF(CS214&lt;=Hypothèses!$U$17,Hypothèses!$W$17,IF(CS214&lt;=Hypothèses!$U$18,Hypothèses!$W$18,""))))))))))))</f>
        <v>#DIV/0!</v>
      </c>
      <c r="DP214" s="95" t="e">
        <f t="shared" ca="1" si="389"/>
        <v>#DIV/0!</v>
      </c>
      <c r="DQ214" s="101" t="e">
        <f t="shared" si="428"/>
        <v>#N/A</v>
      </c>
      <c r="DR214" s="91" t="e">
        <f t="shared" si="358"/>
        <v>#N/A</v>
      </c>
      <c r="DS214" s="30" t="e">
        <f t="shared" si="410"/>
        <v>#N/A</v>
      </c>
      <c r="DT214" s="30" t="e">
        <f t="shared" si="411"/>
        <v>#N/A</v>
      </c>
      <c r="DU214" s="31" t="e">
        <f>IF(OR(Hypothèses!$B$4=17,Hypothèses!$B$4=18,Hypothèses!$B$4=19,Hypothèses!$B$4=20),
IF($D214="Pressio.",
IF(OR($E214=3,$E214=1,$E214=4),DT214,DS214),
IF($D214="Pénétro.",
IF(OR($E214=3,$E214=1,$E214=4),DT214,DS214))),IF($D214="Pressio.",
IF($E214=3,DT214,DS214),
IF($D214="Pénétro.",
IF($E214=4,DT214,DS214))))</f>
        <v>#N/A</v>
      </c>
      <c r="DV214" s="31" t="e">
        <f>(IF(OR(Hypothèses!$B$4=17,Hypothèses!$B$4=18,Hypothèses!$B$4=19,Hypothèses!$B$4=20),
IF($D214="Pressio.",
IF(OR($E214=3,$E214=1,$E214=4),(PI()*DV$12^2)/4*(DR214*$W214*1000)/($H214*$B$5),(PI()*DV$12^2)/4*(DR214*$W214*1000)/($G214*$B$5)),
IF($D214="Pénétro.",
IF(OR($E214=4,$E214=1,$E214=5),(PI()*DV$12^2)/4*(DR214*$W214*1000)/($H214*$B$5),(PI()*DV$12^2)/4*(DR214*$W214*1000)/($G214*$B$5)))),
IF($D214="Pressio.",
IF($E214=3,(PI()*DV$12^2)/4*(DR214*$W214*1000)/($H214*$B$5),(PI()*DV$12^2)/4*(DR214*$W214*1000)/($G214*$B$5)),
IF($D214="Pénétro.",
IF($E214=4,(PI()*DV$12^2)/4*(DR214*$W214*1000)/($H214*$B$5),(PI()*DV$12^2)/4*(DR214*$W214*1000)/($G214*$B$5))))))/10</f>
        <v>#N/A</v>
      </c>
      <c r="DW214" s="102" t="e">
        <f>(VLOOKUP($B$3,'Coeff EC7'!$T$39:$X$59,2,0)*DU214+VLOOKUP($B$3,'Coeff EC7'!$T$65:$X$85,2,0)*Model0.1C!DV214)/1.1</f>
        <v>#N/A</v>
      </c>
      <c r="DX214" s="102" t="e">
        <f>(VLOOKUP($B$3,'Coeff EC7'!$T$39:$X$59,3,0)*DU214+VLOOKUP($B$3,'Coeff EC7'!$T$65:$X$85,3,0)*Model0.1C!DV214)/0.9</f>
        <v>#N/A</v>
      </c>
      <c r="DY214" s="102" t="e">
        <f t="shared" si="390"/>
        <v>#N/A</v>
      </c>
      <c r="DZ214" s="102" t="e">
        <f t="shared" si="391"/>
        <v>#N/A</v>
      </c>
      <c r="EA214" s="414" t="e">
        <f>IF(EA213=0,0,IF(AND(DW214&gt;charge_ELS_quasi,DX214&gt;Charge_ELS_freq,DY214&gt;charge_ELU,DZ214&gt;charge_ELA,$B214&gt;NDC!$H$22-0.1+MIN(3*$EA$12,1.5)),0,1))</f>
        <v>#N/A</v>
      </c>
      <c r="EB214" s="86" t="b">
        <f t="shared" si="359"/>
        <v>0</v>
      </c>
      <c r="EC214" s="418">
        <f t="shared" si="360"/>
        <v>0.51</v>
      </c>
      <c r="ED214" s="86">
        <f t="shared" si="361"/>
        <v>0.51</v>
      </c>
      <c r="EE214" s="30" t="e">
        <f t="shared" ca="1" si="392"/>
        <v>#DIV/0!</v>
      </c>
      <c r="EF214" s="85" t="e">
        <f ca="1">IF(DL214&lt;=Hypothèses!$V$7,Hypothèses!$W$7,IF(DL214&lt;=Hypothèses!$V$8,Hypothèses!$W$8,IF(DL214&lt;=Hypothèses!$V$9,Hypothèses!$W$9,IF(DL214&lt;=Hypothèses!$V$10,Hypothèses!$W$10,IF(DL214&lt;=Hypothèses!$V$11,Hypothèses!$W$11,IF(DL214&lt;=Hypothèses!$V$12,Hypothèses!$W$12,IF(DL214&lt;=Hypothèses!$V$13,Hypothèses!$W$13,IF(DL214&lt;=Hypothèses!$V$14,Hypothèses!$W$14,IF(DL214&lt;=Hypothèses!$V$15,Hypothèses!$W$15,IF(DL214&lt;=Hypothèses!$V$16,Hypothèses!$W$16,IF(DL214&lt;=Hypothèses!$V$17,Hypothèses!$W$17,IF(DL214&lt;=Hypothèses!$V$18,Hypothèses!$W$18,""))))))))))))</f>
        <v>#DIV/0!</v>
      </c>
      <c r="EG214" s="87" t="e">
        <f t="shared" ca="1" si="422"/>
        <v>#DIV/0!</v>
      </c>
      <c r="EH214" s="88" t="e">
        <f ca="1">IF(DL214&lt;=Hypothèses!$V$7,Hypothèses!$X$7,IF(DL214&lt;=Hypothèses!$V$8,Hypothèses!$X$8,IF(DL214&lt;=Hypothèses!$V$9,Hypothèses!$X$9,IF(DL214&lt;=Hypothèses!$V$10,Hypothèses!$X$10,IF(DL214&lt;=Hypothèses!$V$11,Hypothèses!$X$11,IF(DL214&lt;=Hypothèses!$V$12,Hypothèses!$X$12,IF(DL214&lt;=Hypothèses!$V$13,Hypothèses!$X$13,IF(DL214&lt;=Hypothèses!$V$14,Hypothèses!$X$14,IF(DL214&lt;=Hypothèses!$V$15,Hypothèses!$X$15,IF(DL214&lt;=Hypothèses!$V$16,Hypothèses!$X$16,IF(DL214&lt;=Hypothèses!$U$17,Hypothèses!$W$17,IF(DL214&lt;=Hypothèses!$U$18,Hypothèses!$W$18,""))))))))))))</f>
        <v>#DIV/0!</v>
      </c>
      <c r="EI214" s="95" t="e">
        <f t="shared" ca="1" si="393"/>
        <v>#DIV/0!</v>
      </c>
      <c r="EJ214" s="101" t="e">
        <f t="shared" si="429"/>
        <v>#N/A</v>
      </c>
      <c r="EK214" s="91" t="e">
        <f t="shared" si="362"/>
        <v>#N/A</v>
      </c>
      <c r="EL214" s="30" t="e">
        <f t="shared" si="412"/>
        <v>#N/A</v>
      </c>
      <c r="EM214" s="30" t="e">
        <f t="shared" si="413"/>
        <v>#N/A</v>
      </c>
      <c r="EN214" s="31" t="e">
        <f>IF(OR(Hypothèses!$B$4=17,Hypothèses!$B$4=18,Hypothèses!$B$4=19,Hypothèses!$B$4=20),
IF($D214="Pressio.",
IF(OR($E214=3,$E214=1,$E214=4),EM214,EL214),
IF($D214="Pénétro.",
IF(OR($E214=3,$E214=1,$E214=4),EM214,EL214))),IF($D214="Pressio.",
IF($E214=3,EM214,EL214),
IF($D214="Pénétro.",
IF($E214=4,EM214,EL214))))</f>
        <v>#N/A</v>
      </c>
      <c r="EO214" s="31" t="e">
        <f>(IF(OR(Hypothèses!$B$4=17,Hypothèses!$B$4=18,Hypothèses!$B$4=19,Hypothèses!$B$4=20),
IF($D214="Pressio.",
IF(OR($E214=3,$E214=1,$E214=4),(PI()*EO$12^2)/4*(EK214*$W214*1000)/($H214*$B$5),(PI()*EO$12^2)/4*(EK214*$W214*1000)/($G214*$B$5)),
IF($D214="Pénétro.",
IF(OR($E214=4,$E214=1,$E214=5),(PI()*EO$12^2)/4*(EK214*$W214*1000)/($H214*$B$5),(PI()*EO$12^2)/4*(EK214*$W214*1000)/($G214*$B$5)))),
IF($D214="Pressio.",
IF($E214=3,(PI()*EO$12^2)/4*(EK214*$W214*1000)/($H214*$B$5),(PI()*EO$12^2)/4*(EK214*$W214*1000)/($G214*$B$5)),
IF($D214="Pénétro.",
IF($E214=4,(PI()*EO$12^2)/4*(EK214*$W214*1000)/($H214*$B$5),(PI()*EO$12^2)/4*(EK214*$W214*1000)/($G214*$B$5))))))/10</f>
        <v>#N/A</v>
      </c>
      <c r="EP214" s="102" t="e">
        <f>(VLOOKUP($B$3,'Coeff EC7'!$T$39:$X$59,2,0)*EN214+VLOOKUP($B$3,'Coeff EC7'!$T$65:$X$85,2,0)*Model0.1C!EO214)/1.1</f>
        <v>#N/A</v>
      </c>
      <c r="EQ214" s="102" t="e">
        <f>(VLOOKUP($B$3,'Coeff EC7'!$T$39:$X$59,3,0)*EN214+VLOOKUP($B$3,'Coeff EC7'!$T$65:$X$85,3,0)*Model0.1C!EO214)/0.9</f>
        <v>#N/A</v>
      </c>
      <c r="ER214" s="102" t="e">
        <f t="shared" si="394"/>
        <v>#N/A</v>
      </c>
      <c r="ES214" s="102" t="e">
        <f t="shared" si="395"/>
        <v>#N/A</v>
      </c>
      <c r="ET214" s="414" t="e">
        <f>IF(ET213=0,0,IF(AND(EP214&gt;charge_ELS_quasi,EQ214&gt;Charge_ELS_freq,ER214&gt;charge_ELU,ES214&gt;charge_ELA,$B214&gt;NDC!$H$22-0.1+MIN(3*$ET$12,1.5)),0,1))</f>
        <v>#N/A</v>
      </c>
      <c r="EU214" s="86" t="b">
        <f t="shared" si="363"/>
        <v>0</v>
      </c>
      <c r="EV214" s="86">
        <f t="shared" si="364"/>
        <v>0.61</v>
      </c>
      <c r="EW214" s="86">
        <f t="shared" si="365"/>
        <v>0.61</v>
      </c>
      <c r="EX214" s="30" t="e">
        <f t="shared" ca="1" si="396"/>
        <v>#DIV/0!</v>
      </c>
      <c r="EY214" s="85" t="e">
        <f ca="1">IF(EE214&lt;=Hypothèses!$V$7,Hypothèses!$W$7,IF(EE214&lt;=Hypothèses!$V$8,Hypothèses!$W$8,IF(EE214&lt;=Hypothèses!$V$9,Hypothèses!$W$9,IF(EE214&lt;=Hypothèses!$V$10,Hypothèses!$W$10,IF(EE214&lt;=Hypothèses!$V$11,Hypothèses!$W$11,IF(EE214&lt;=Hypothèses!$V$12,Hypothèses!$W$12,IF(EE214&lt;=Hypothèses!$V$13,Hypothèses!$W$13,IF(EE214&lt;=Hypothèses!$V$14,Hypothèses!$W$14,IF(EE214&lt;=Hypothèses!$V$15,Hypothèses!$W$15,IF(EE214&lt;=Hypothèses!$V$16,Hypothèses!$W$16,IF(EE214&lt;=Hypothèses!$V$17,Hypothèses!$W$17,IF(EE214&lt;=Hypothèses!$V$18,Hypothèses!$W$18,""))))))))))))</f>
        <v>#DIV/0!</v>
      </c>
      <c r="EZ214" s="87" t="e">
        <f t="shared" ca="1" si="423"/>
        <v>#DIV/0!</v>
      </c>
      <c r="FA214" s="88" t="e">
        <f ca="1">IF(EE214&lt;=Hypothèses!$V$7,Hypothèses!$X$7,IF(EE214&lt;=Hypothèses!$V$8,Hypothèses!$X$8,IF(EE214&lt;=Hypothèses!$V$9,Hypothèses!$X$9,IF(EE214&lt;=Hypothèses!$V$10,Hypothèses!$X$10,IF(EE214&lt;=Hypothèses!$V$11,Hypothèses!$X$11,IF(EE214&lt;=Hypothèses!$V$12,Hypothèses!$X$12,IF(EE214&lt;=Hypothèses!$V$13,Hypothèses!$X$13,IF(EE214&lt;=Hypothèses!$V$14,Hypothèses!$X$14,IF(EE214&lt;=Hypothèses!$V$15,Hypothèses!$X$15,IF(EE214&lt;=Hypothèses!$V$16,Hypothèses!$X$16,IF(EE214&lt;=Hypothèses!$U$17,Hypothèses!$W$17,IF(EE214&lt;=Hypothèses!$U$18,Hypothèses!$W$18,""))))))))))))</f>
        <v>#DIV/0!</v>
      </c>
      <c r="FB214" s="95" t="e">
        <f t="shared" ca="1" si="397"/>
        <v>#DIV/0!</v>
      </c>
      <c r="FC214" s="101" t="e">
        <f t="shared" si="430"/>
        <v>#N/A</v>
      </c>
      <c r="FD214" s="91" t="e">
        <f t="shared" si="366"/>
        <v>#N/A</v>
      </c>
      <c r="FE214" s="30" t="e">
        <f t="shared" si="414"/>
        <v>#N/A</v>
      </c>
      <c r="FF214" s="30" t="e">
        <f t="shared" si="415"/>
        <v>#N/A</v>
      </c>
      <c r="FG214" s="31" t="e">
        <f>IF(OR(Hypothèses!$B$4=17,Hypothèses!$B$4=18,Hypothèses!$B$4=19,Hypothèses!$B$4=20),
IF($D214="Pressio.",
IF(OR($E214=3,$E214=1,$E214=4),FF214,FE214),
IF($D214="Pénétro.",
IF(OR($E214=3,$E214=1,$E214=4),FF214,FE214))),IF($D214="Pressio.",
IF($E214=3,FF214,FE214),
IF($D214="Pénétro.",
IF($E214=4,FF214,FE214))))</f>
        <v>#N/A</v>
      </c>
      <c r="FH214" s="31" t="e">
        <f>(IF(OR(Hypothèses!$B$4=17,Hypothèses!$B$4=18,Hypothèses!$B$4=19,Hypothèses!$B$4=20),
IF($D214="Pressio.",
IF(OR($E214=3,$E214=1,$E214=4),(PI()*FH$12^2)/4*(FD214*$W214*1000)/($H214*$B$5),(PI()*FH$12^2)/4*(FD214*$W214*1000)/($G214*$B$5)),
IF($D214="Pénétro.",
IF(OR($E214=4,$E214=1,$E214=5),(PI()*FH$12^2)/4*(FD214*$W214*1000)/($H214*$B$5),(PI()*FH$12^2)/4*(FD214*$W214*1000)/($G214*$B$5)))),
IF($D214="Pressio.",
IF($E214=3,(PI()*FH$12^2)/4*(FD214*$W214*1000)/($H214*$B$5),(PI()*FH$12^2)/4*(FD214*$W214*1000)/($G214*$B$5)),
IF($D214="Pénétro.",
IF($E214=4,(PI()*FH$12^2)/4*(FD214*$W214*1000)/($H214*$B$5),(PI()*FH$12^2)/4*(FD214*$W214*1000)/($G214*$B$5))))))/10</f>
        <v>#N/A</v>
      </c>
      <c r="FI214" s="102" t="e">
        <f>(VLOOKUP($B$3,'Coeff EC7'!$T$39:$X$59,2,0)*FG214+VLOOKUP($B$3,'Coeff EC7'!$T$65:$X$85,2,0)*Model0.1C!FH214)/1.1</f>
        <v>#N/A</v>
      </c>
      <c r="FJ214" s="102" t="e">
        <f>(VLOOKUP($B$3,'Coeff EC7'!$T$39:$X$59,3,0)*FG214+VLOOKUP($B$3,'Coeff EC7'!$T$65:$X$85,3,0)*Model0.1C!FH214)/0.9</f>
        <v>#N/A</v>
      </c>
      <c r="FK214" s="102" t="e">
        <f t="shared" si="398"/>
        <v>#N/A</v>
      </c>
      <c r="FL214" s="102" t="e">
        <f t="shared" si="399"/>
        <v>#N/A</v>
      </c>
      <c r="FM214" s="414" t="e">
        <f>IF(FM213=0,0,IF(AND(FI214&gt;charge_ELS_quasi,FJ214&gt;Charge_ELS_freq,FK214&gt;charge_ELU,FL214&gt;charge_ELA,$B214&gt;NDC!$H$22-0.1+MIN(3*$FM$12,1.5)),0,1))</f>
        <v>#N/A</v>
      </c>
    </row>
    <row r="215" spans="1:169">
      <c r="A215" s="96">
        <f t="shared" si="367"/>
        <v>79.800000000001148</v>
      </c>
      <c r="B215" s="97">
        <v>20.2</v>
      </c>
      <c r="C215" s="81">
        <f>IF(B215&lt;=Hypothèses!$C$7,Hypothèses!$A$7,IF(B215&lt;=Hypothèses!$C$8,Hypothèses!$A$8,IF(B215&lt;=Hypothèses!$C$9,Hypothèses!$A$9,IF(B215&lt;=Hypothèses!$C$10,Hypothèses!$A$10,IF(B215&lt;=Hypothèses!$C$11,Hypothèses!$A$11,IF(B215&lt;=Hypothèses!$C$12,Hypothèses!$A$12,IF(B215&lt;=Hypothèses!$C$13,Hypothèses!$A$13,IF(B215&lt;=Hypothèses!$C$14,Hypothèses!$A$14,IF(B215&lt;=Hypothèses!$C$15,Hypothèses!$A$15,IF(B215&lt;=Hypothèses!$C$16,Hypothèses!$A$16,IF(B215&lt;=Hypothèses!$C$17,Hypothèses!$A$17,IF(B215&lt;=Hypothèses!$C$18,Hypothèses!$A$18,C214))))))))))))</f>
        <v>11</v>
      </c>
      <c r="D215" s="82" t="str">
        <f>IF(B215&lt;=Hypothèses!$C$7,Hypothèses!$R$7,IF(B215&lt;=Hypothèses!$C$8,Hypothèses!$R$8,IF(B215&lt;=Hypothèses!$C$9,Hypothèses!$R$9,IF(B215&lt;=Hypothèses!$C$10,Hypothèses!$R$10,IF(B215&lt;=Hypothèses!$C$11,Hypothèses!$R$11,IF(B215&lt;=Hypothèses!$C$12,Hypothèses!$R$12,IF(B215&lt;=Hypothèses!$C$13,Hypothèses!$R$13,IF(B215&lt;=Hypothèses!$C$14,Hypothèses!$R$14,IF(B215&lt;=Hypothèses!$C$15,Hypothèses!$R$15,IF(B215&lt;=Hypothèses!$C$16,Hypothèses!$R$16,IF(B215&lt;=Hypothèses!$C$17,Hypothèses!$R$17,IF(B215&lt;=Hypothèses!$C$18,Hypothèses!$R$18,D214))))))))))))</f>
        <v>Pressio.</v>
      </c>
      <c r="E215" s="82" t="e">
        <f>IF(B215&lt;=Hypothèses!$C$7,Hypothèses!$G$7,IF(B215&lt;=Hypothèses!$C$8,Hypothèses!$G$8,IF(B215&lt;=Hypothèses!$C$9,Hypothèses!$G$9,IF(B215&lt;=Hypothèses!$C$10,Hypothèses!$G$10,IF(B215&lt;=Hypothèses!$C$11,Hypothèses!$G$11,IF(B215&lt;=Hypothèses!$C$12,Hypothèses!$G$12,IF(B215&lt;=Hypothèses!$C$13,Hypothèses!$G$13,IF(B215&lt;=Hypothèses!$C$14,Hypothèses!$G$14,IF(B215&lt;=Hypothèses!$C$15,Hypothèses!$G$15,IF(B215&lt;=Hypothèses!$C$16,Hypothèses!$G$16,IF(B215&lt;=Hypothèses!$C$17,Hypothèses!$G$17,IF(B215&lt;=Hypothèses!$C$18,Hypothèses!$G$18,E214))))))))))))</f>
        <v>#N/A</v>
      </c>
      <c r="F215" s="82" t="str">
        <f>IF(B215&lt;=Hypothèses!$C$7,Hypothèses!$F$7,IF(B215&lt;=Hypothèses!$C$8,Hypothèses!$F$8,IF(B215&lt;=Hypothèses!$C$9,Hypothèses!$F$9,IF(B215&lt;=Hypothèses!$C$10,Hypothèses!$F$10,IF(B215&lt;=Hypothèses!$C$11,Hypothèses!$F$11,IF(B215&lt;=Hypothèses!$C$12,Hypothèses!$F$12,IF(B215&lt;=Hypothèses!$C$13,Hypothèses!$F$13,IF(B215&lt;=Hypothèses!$C$14,Hypothèses!$F$14,IF(B215&lt;=Hypothèses!$C$15,Hypothèses!$F$15,IF(B215&lt;=Hypothèses!$C$16,Hypothèses!$F$16,IF(B215&lt;=Hypothèses!$C$17,Hypothèses!$F$17,IF(B215&lt;=Hypothèses!$C$18,Hypothèses!$F$18,F214))))))))))))</f>
        <v/>
      </c>
      <c r="G215" s="91">
        <f t="array" ref="G215">INDEX('Coeff EC7'!$U$7:$X$27,
MATCH(Model0.1C!$B$3,'Coeff EC7'!$T$7:$T$27,0),
MATCH(Model0.1C!$D215&amp;Model0.1C!$B$4,
'Coeff EC7'!$U$6:$X$6&amp;
'Coeff EC7'!$U$5:$X$5,0))</f>
        <v>1.1499999999999999</v>
      </c>
      <c r="H215" s="91">
        <f t="array" ref="H215">INDEX('Coeff EC7'!$Y$7:$AB$27,
MATCH(Model0.1C!$B$3,'Coeff EC7'!$T$7:$T$27,0),
MATCH(Model0.1C!$D215&amp;Model0.1C!$B$4,
'Coeff EC7'!$Y$6:$AB$6&amp;
'Coeff EC7'!$Y$5:$AB$5,0))</f>
        <v>1.4</v>
      </c>
      <c r="I215" s="83" t="e">
        <f>IF(B215&lt;=Hypothèses!$C$7,Hypothèses!$P$7,IF(B215&lt;=Hypothèses!$C$8,Hypothèses!$P$8,IF(B215&lt;=Hypothèses!$C$9,Hypothèses!$P$9,IF(B215&lt;=Hypothèses!$C$10,Hypothèses!$P$10,IF(B215&lt;=Hypothèses!$C$11,Hypothèses!$P$11,IF(B215&lt;=Hypothèses!$C$12,Hypothèses!$P$12,IF(B215&lt;=Hypothèses!$C$13,Hypothèses!$P$13,IF(B215&lt;=Hypothèses!$C$14,Hypothèses!$P$14,IF(B215&lt;=Hypothèses!$C$15,Hypothèses!$P$15,IF(B215&lt;=Hypothèses!$C$16,Hypothèses!$P$16,IF(B215&lt;=Hypothèses!$C$17,Hypothèses!$P$17,IF(B215&lt;=Hypothèses!$C$18,Hypothèses!$P$18,I214))))))))))))</f>
        <v>#N/A</v>
      </c>
      <c r="J215" s="91" t="e">
        <f t="array" ref="J215">INDEX('Coeff EC7'!$D$33:$Q$33,1,MATCH(D215&amp;E215,'Coeff EC7'!$D$31:$Q$31&amp;'Coeff EC7'!$D$32:$Q$32,0))</f>
        <v>#N/A</v>
      </c>
      <c r="K215" s="91" t="e">
        <f t="array" ref="K215">INDEX('Coeff EC7'!$D$34:$Q$34,1,MATCH(D215&amp;E215,'Coeff EC7'!$D$31:$Q$31&amp;'Coeff EC7'!$D$32:$Q$32,0))</f>
        <v>#N/A</v>
      </c>
      <c r="L215" s="91" t="e">
        <f t="array" ref="L215">INDEX('Coeff EC7'!$D$35:$Q$35,1,MATCH(D215&amp;E215,'Coeff EC7'!$D$31:$Q$31&amp;'Coeff EC7'!$D$32:$Q$32,0))</f>
        <v>#N/A</v>
      </c>
      <c r="M215" s="98" t="e">
        <f t="shared" si="331"/>
        <v>#N/A</v>
      </c>
      <c r="N215" s="99" t="e">
        <f t="array" ref="N215">INDEX('Coeff EC7'!$D$7:$Q$27,MATCH($B$3,'Coeff EC7'!$C$7:$C$27,0),MATCH(D215&amp;E215,'Coeff EC7'!$D$5:$Q$5&amp;'Coeff EC7'!$D$6:$Q$6,0))</f>
        <v>#N/A</v>
      </c>
      <c r="O215" s="99" t="e">
        <f t="array" ref="O215">INDEX('Coeff EC7'!$D$41:$Q$61,MATCH($B$3,'Coeff EC7'!$C$41:$C$61,0),MATCH(D215&amp;E215,'Coeff EC7'!$D$39:$Q$39&amp;'Coeff EC7'!$D$40:$Q$40,0))</f>
        <v>#N/A</v>
      </c>
      <c r="P215" s="30" t="e">
        <f t="shared" si="368"/>
        <v>#N/A</v>
      </c>
      <c r="Q215" s="100" t="e">
        <f t="shared" si="333"/>
        <v>#N/A</v>
      </c>
      <c r="R215" s="86" t="b">
        <f t="shared" si="334"/>
        <v>0</v>
      </c>
      <c r="S215" s="86">
        <f t="shared" si="332"/>
        <v>0.5</v>
      </c>
      <c r="T215" s="86">
        <f t="shared" si="335"/>
        <v>0.5</v>
      </c>
      <c r="U215" s="30" t="e">
        <f t="shared" ca="1" si="369"/>
        <v>#DIV/0!</v>
      </c>
      <c r="V215" s="85" t="str">
        <f>IF(B215&lt;=Hypothèses!$V$7,Hypothèses!$W$7,IF(B215&lt;=Hypothèses!$V$8,Hypothèses!$W$8,IF(B215&lt;=Hypothèses!$V$9,Hypothèses!$W$9,IF(B215&lt;=Hypothèses!$V$10,Hypothèses!$W$10,IF(B215&lt;=Hypothèses!$V$11,Hypothèses!$W$11,IF(B215&lt;=Hypothèses!$V$12,Hypothèses!$W$12,IF(B215&lt;=Hypothèses!$V$13,Hypothèses!$W$13,IF(B215&lt;=Hypothèses!$V$14,Hypothèses!$W$14,IF(B215&lt;=Hypothèses!$V$15,Hypothèses!$W$15,IF(B215&lt;=Hypothèses!$V$16,Hypothèses!$W$16,IF(B215&lt;=Hypothèses!$V$17,Hypothèses!$W$17,IF(B215&lt;=Hypothèses!$V$18,Hypothèses!$W$18,""))))))))))))</f>
        <v/>
      </c>
      <c r="W215" s="87" t="e">
        <f t="shared" ca="1" si="416"/>
        <v>#DIV/0!</v>
      </c>
      <c r="X215" s="88" t="str">
        <f>IF(B215&lt;=Hypothèses!$V$7,Hypothèses!$X$7,IF(B215&lt;=Hypothèses!$V$8,Hypothèses!$X$8,IF(B215&lt;=Hypothèses!$V$9,Hypothèses!$X$9,IF(B215&lt;=Hypothèses!$V$10,Hypothèses!$X$10,IF(B215&lt;=Hypothèses!$V$11,Hypothèses!$X$11,IF(B215&lt;=Hypothèses!$V$12,Hypothèses!$X$12,IF(B215&lt;=Hypothèses!$V$13,Hypothèses!$X$13,IF(B215&lt;=Hypothèses!$V$14,Hypothèses!$X$14,IF(B215&lt;=Hypothèses!$V$15,Hypothèses!$X$15,IF(B215&lt;=Hypothèses!$V$16,Hypothèses!$X$16,IF(B215&lt;=Hypothèses!$U$17,Hypothèses!$W$17,IF(B215&lt;=Hypothèses!$U$18,Hypothèses!$W$18,""))))))))))))</f>
        <v/>
      </c>
      <c r="Y215" s="95" t="e">
        <f t="shared" ca="1" si="336"/>
        <v>#DIV/0!</v>
      </c>
      <c r="Z215" s="101" t="e">
        <f t="shared" si="337"/>
        <v>#N/A</v>
      </c>
      <c r="AA215" s="91" t="e">
        <f t="shared" si="338"/>
        <v>#N/A</v>
      </c>
      <c r="AB215" s="30" t="e">
        <f t="shared" si="400"/>
        <v>#N/A</v>
      </c>
      <c r="AC215" s="30" t="e">
        <f t="shared" si="401"/>
        <v>#N/A</v>
      </c>
      <c r="AD215" s="31" t="e">
        <f>IF(OR(Hypothèses!$B$4=17,Hypothèses!$B$4=18,Hypothèses!$B$4=19,Hypothèses!$B$4=20),
IF($D215="Pressio.",
IF(OR($E215=3,$E215=1,$E215=4),AC215,AB215),
IF($D215="Pénétro.",
IF(OR($E215=3,$E215=1,$E215=4),AC215,AB215))),IF($D215="Pressio.",
IF($E215=3,AC215,AB215),
IF($D215="Pénétro.",
IF($E215=4,AC215,AB215))))</f>
        <v>#N/A</v>
      </c>
      <c r="AE215" s="31" t="e">
        <f>(IF(OR(Hypothèses!$B$4=17,Hypothèses!$B$4=18,Hypothèses!$B$4=19,Hypothèses!$B$4=20),
IF($D215="Pressio.",
IF(OR($E215=3,$E215=1,$E215=4),(PI()*AE$12^2)/4*(AA215*$W215*1000)/($H215*$B$5),(PI()*AE$12^2)/4*(AA215*$W215*1000)/($G215*$B$5)),
IF($D215="Pénétro.",
IF(OR($E215=4,$E215=1,$E215=5),(PI()*AE$12^2)/4*(AA215*$W215*1000)/($H215*$B$5),(PI()*AE$12^2)/4*(AA215*$W215*1000)/($G215*$B$5)))),
IF($D215="Pressio.",
IF($E215=3,(PI()*AE$12^2)/4*(AA215*$W215*1000)/($H215*$B$5),(PI()*AE$12^2)/4*(AA215*$W215*1000)/($G215*$B$5)),
IF($D215="Pénétro.",
IF($E215=4,(PI()*AE$12^2)/4*(AA215*$W215*1000)/($H215*$B$5),(PI()*AE$12^2)/4*(AA215*$W215*1000)/($G215*$B$5))))))/10</f>
        <v>#N/A</v>
      </c>
      <c r="AF215" s="102" t="e">
        <f>(VLOOKUP($B$3,'Coeff EC7'!$T$39:$X$59,2,0)*AD215+VLOOKUP($B$3,'Coeff EC7'!$T$65:$X$85,2,0)*Model0.1C!AE215)/1.1</f>
        <v>#N/A</v>
      </c>
      <c r="AG215" s="102" t="e">
        <f>(VLOOKUP($B$3,'Coeff EC7'!$T$39:$X$59,3,0)*AD215+VLOOKUP($B$3,'Coeff EC7'!$T$65:$X$85,3,0)*Model0.1C!AE215)/0.9</f>
        <v>#N/A</v>
      </c>
      <c r="AH215" s="102" t="e">
        <f t="shared" si="339"/>
        <v>#N/A</v>
      </c>
      <c r="AI215" s="102" t="e">
        <f t="shared" si="340"/>
        <v>#N/A</v>
      </c>
      <c r="AJ215" s="414" t="e">
        <f>IF(AJ214=0,0,IF(AND(AF215&gt;charge_ELS_quasi,AG215&gt;Charge_ELS_freq,AH215&gt;charge_ELU,AI215&gt;charge_ELA,$B215&gt;NDC!$H$22-0.1+MIN(3*$AJ$12,1.5)),0,1))</f>
        <v>#N/A</v>
      </c>
      <c r="AK215" s="86" t="b">
        <f t="shared" si="341"/>
        <v>0</v>
      </c>
      <c r="AL215" s="86">
        <f t="shared" si="370"/>
        <v>0.5</v>
      </c>
      <c r="AM215" s="86">
        <f t="shared" si="342"/>
        <v>0.5</v>
      </c>
      <c r="AN215" s="30" t="e">
        <f t="shared" ca="1" si="371"/>
        <v>#DIV/0!</v>
      </c>
      <c r="AO215" s="85" t="e">
        <f ca="1">IF(U215&lt;=Hypothèses!$V$7,Hypothèses!$W$7,IF(U215&lt;=Hypothèses!$V$8,Hypothèses!$W$8,IF(U215&lt;=Hypothèses!$V$9,Hypothèses!$W$9,IF(U215&lt;=Hypothèses!$V$10,Hypothèses!$W$10,IF(U215&lt;=Hypothèses!$V$11,Hypothèses!$W$11,IF(U215&lt;=Hypothèses!$V$12,Hypothèses!$W$12,IF(U215&lt;=Hypothèses!$V$13,Hypothèses!$W$13,IF(U215&lt;=Hypothèses!$V$14,Hypothèses!$W$14,IF(U215&lt;=Hypothèses!$V$15,Hypothèses!$W$15,IF(U215&lt;=Hypothèses!$V$16,Hypothèses!$W$16,IF(U215&lt;=Hypothèses!$V$17,Hypothèses!$W$17,IF(U215&lt;=Hypothèses!$V$18,Hypothèses!$W$18,""))))))))))))</f>
        <v>#DIV/0!</v>
      </c>
      <c r="AP215" s="87" t="e">
        <f t="shared" ca="1" si="417"/>
        <v>#DIV/0!</v>
      </c>
      <c r="AQ215" s="88" t="e">
        <f ca="1">IF(U215&lt;=Hypothèses!$V$7,Hypothèses!$X$7,IF(U215&lt;=Hypothèses!$V$8,Hypothèses!$X$8,IF(U215&lt;=Hypothèses!$V$9,Hypothèses!$X$9,IF(U215&lt;=Hypothèses!$V$10,Hypothèses!$X$10,IF(U215&lt;=Hypothèses!$V$11,Hypothèses!$X$11,IF(U215&lt;=Hypothèses!$V$12,Hypothèses!$X$12,IF(U215&lt;=Hypothèses!$V$13,Hypothèses!$X$13,IF(U215&lt;=Hypothèses!$V$14,Hypothèses!$X$14,IF(U215&lt;=Hypothèses!$V$15,Hypothèses!$X$15,IF(U215&lt;=Hypothèses!$V$16,Hypothèses!$X$16,IF(U215&lt;=Hypothèses!$U$17,Hypothèses!$W$17,IF(U215&lt;=Hypothèses!$U$18,Hypothèses!$W$18,""))))))))))))</f>
        <v>#DIV/0!</v>
      </c>
      <c r="AR215" s="95" t="e">
        <f t="shared" ca="1" si="372"/>
        <v>#DIV/0!</v>
      </c>
      <c r="AS215" s="101" t="e">
        <f t="shared" si="424"/>
        <v>#N/A</v>
      </c>
      <c r="AT215" s="91" t="e">
        <f t="shared" si="343"/>
        <v>#N/A</v>
      </c>
      <c r="AU215" s="30" t="e">
        <f t="shared" si="402"/>
        <v>#N/A</v>
      </c>
      <c r="AV215" s="30" t="e">
        <f t="shared" si="403"/>
        <v>#N/A</v>
      </c>
      <c r="AW215" s="31" t="e">
        <f>IF(OR(Hypothèses!$B$4=17,Hypothèses!$B$4=18,Hypothèses!$B$4=19,Hypothèses!$B$4=20),
IF($D215="Pressio.",
IF(OR($E215=3,$E215=1,$E215=4),AV215,AU215),
IF($D215="Pénétro.",
IF(OR($E215=3,$E215=1,$E215=4),AV215,AU215))),IF($D215="Pressio.",
IF($E215=3,AV215,AU215),
IF($D215="Pénétro.",
IF($E215=4,AV215,AU215))))</f>
        <v>#N/A</v>
      </c>
      <c r="AX215" s="31" t="e">
        <f>(IF(OR(Hypothèses!$B$4=17,Hypothèses!$B$4=18,Hypothèses!$B$4=19,Hypothèses!$B$4=20),
IF($D215="Pressio.",
IF(OR($E215=3,$E215=1,$E215=4),(PI()*AX$12^2)/4*(AT215*$W215*1000)/($H215*$B$5),(PI()*AX$12^2)/4*(AT215*$W215*1000)/($G215*$B$5)),
IF($D215="Pénétro.",
IF(OR($E215=4,$E215=1,$E215=5),(PI()*AX$12^2)/4*(AT215*$W215*1000)/($H215*$B$5),(PI()*AX$12^2)/4*(AT215*$W215*1000)/($G215*$B$5)))),
IF($D215="Pressio.",
IF($E215=3,(PI()*AX$12^2)/4*(AT215*$W215*1000)/($H215*$B$5),(PI()*AX$12^2)/4*(AT215*$W215*1000)/($G215*$B$5)),
IF($D215="Pénétro.",
IF($E215=4,(PI()*AX$12^2)/4*(AT215*$W215*1000)/($H215*$B$5),(PI()*AX$12^2)/4*(AT215*$W215*1000)/($G215*$B$5))))))/10</f>
        <v>#N/A</v>
      </c>
      <c r="AY215" s="102" t="e">
        <f>(VLOOKUP($B$3,'Coeff EC7'!$T$39:$X$59,2,0)*AW215+VLOOKUP($B$3,'Coeff EC7'!$T$65:$X$85,2,0)*Model0.1C!AX215)/1.1</f>
        <v>#N/A</v>
      </c>
      <c r="AZ215" s="102" t="e">
        <f>(VLOOKUP($B$3,'Coeff EC7'!$T$39:$X$59,3,0)*AW215+VLOOKUP($B$3,'Coeff EC7'!$T$65:$X$85,3,0)*Model0.1C!AX215)/0.9</f>
        <v>#N/A</v>
      </c>
      <c r="BA215" s="102" t="e">
        <f t="shared" si="373"/>
        <v>#N/A</v>
      </c>
      <c r="BB215" s="102" t="e">
        <f t="shared" si="374"/>
        <v>#N/A</v>
      </c>
      <c r="BC215" s="414" t="e">
        <f>IF(BC214=0,0,IF(AND(AY215&gt;charge_ELS_quasi,AZ215&gt;Charge_ELS_freq,BA215&gt;charge_ELU,BB215&gt;charge_ELA,$B215&gt;NDC!$H$22-0.1+MIN(3*$BC$12,1.5)),0,1))</f>
        <v>#N/A</v>
      </c>
      <c r="BD215" s="86" t="b">
        <f t="shared" si="344"/>
        <v>0</v>
      </c>
      <c r="BE215" s="86">
        <f t="shared" si="375"/>
        <v>0.5</v>
      </c>
      <c r="BF215" s="86">
        <f t="shared" si="345"/>
        <v>0.5</v>
      </c>
      <c r="BG215" s="30" t="e">
        <f t="shared" ca="1" si="376"/>
        <v>#DIV/0!</v>
      </c>
      <c r="BH215" s="85" t="e">
        <f ca="1">IF(AN215&lt;=Hypothèses!$V$7,Hypothèses!$W$7,IF(AN215&lt;=Hypothèses!$V$8,Hypothèses!$W$8,IF(AN215&lt;=Hypothèses!$V$9,Hypothèses!$W$9,IF(AN215&lt;=Hypothèses!$V$10,Hypothèses!$W$10,IF(AN215&lt;=Hypothèses!$V$11,Hypothèses!$W$11,IF(AN215&lt;=Hypothèses!$V$12,Hypothèses!$W$12,IF(AN215&lt;=Hypothèses!$V$13,Hypothèses!$W$13,IF(AN215&lt;=Hypothèses!$V$14,Hypothèses!$W$14,IF(AN215&lt;=Hypothèses!$V$15,Hypothèses!$W$15,IF(AN215&lt;=Hypothèses!$V$16,Hypothèses!$W$16,IF(AN215&lt;=Hypothèses!$V$17,Hypothèses!$W$17,IF(AN215&lt;=Hypothèses!$V$18,Hypothèses!$W$18,""))))))))))))</f>
        <v>#DIV/0!</v>
      </c>
      <c r="BI215" s="87" t="e">
        <f t="shared" ca="1" si="418"/>
        <v>#DIV/0!</v>
      </c>
      <c r="BJ215" s="88" t="e">
        <f ca="1">IF(AN215&lt;=Hypothèses!$V$7,Hypothèses!$X$7,IF(AN215&lt;=Hypothèses!$V$8,Hypothèses!$X$8,IF(AN215&lt;=Hypothèses!$V$9,Hypothèses!$X$9,IF(AN215&lt;=Hypothèses!$V$10,Hypothèses!$X$10,IF(AN215&lt;=Hypothèses!$V$11,Hypothèses!$X$11,IF(AN215&lt;=Hypothèses!$V$12,Hypothèses!$X$12,IF(AN215&lt;=Hypothèses!$V$13,Hypothèses!$X$13,IF(AN215&lt;=Hypothèses!$V$14,Hypothèses!$X$14,IF(AN215&lt;=Hypothèses!$V$15,Hypothèses!$X$15,IF(AN215&lt;=Hypothèses!$V$16,Hypothèses!$X$16,IF(AN215&lt;=Hypothèses!$U$17,Hypothèses!$W$17,IF(AN215&lt;=Hypothèses!$U$18,Hypothèses!$W$18,""))))))))))))</f>
        <v>#DIV/0!</v>
      </c>
      <c r="BK215" s="95" t="e">
        <f t="shared" ca="1" si="377"/>
        <v>#DIV/0!</v>
      </c>
      <c r="BL215" s="101" t="e">
        <f t="shared" si="425"/>
        <v>#N/A</v>
      </c>
      <c r="BM215" s="91" t="e">
        <f t="shared" si="346"/>
        <v>#N/A</v>
      </c>
      <c r="BN215" s="30" t="e">
        <f t="shared" si="404"/>
        <v>#N/A</v>
      </c>
      <c r="BO215" s="30" t="e">
        <f t="shared" si="405"/>
        <v>#N/A</v>
      </c>
      <c r="BP215" s="31" t="e">
        <f>IF(OR(Hypothèses!$B$4=17,Hypothèses!$B$4=18,Hypothèses!$B$4=19,Hypothèses!$B$4=20),
IF($D215="Pressio.",
IF(OR($E215=3,$E215=1,$E215=4),BO215,BN215),
IF($D215="Pénétro.",
IF(OR($E215=3,$E215=1,$E215=4),BO215,BN215))),IF($D215="Pressio.",
IF($E215=3,BO215,BN215),
IF($D215="Pénétro.",
IF($E215=4,BO215,BN215))))</f>
        <v>#N/A</v>
      </c>
      <c r="BQ215" s="31" t="e">
        <f>(IF(OR(Hypothèses!$B$4=17,Hypothèses!$B$4=18,Hypothèses!$B$4=19,Hypothèses!$B$4=20),
IF($D215="Pressio.",
IF(OR($E215=3,$E215=1,$E215=4),(PI()*BQ$12^2)/4*(BM215*$W215*1000)/($H215*$B$5),(PI()*BQ$12^2)/4*(BM215*$W215*1000)/($G215*$B$5)),
IF($D215="Pénétro.",
IF(OR($E215=4,$E215=1,$E215=5),(PI()*BQ$12^2)/4*(BM215*$W215*1000)/($H215*$B$5),(PI()*BQ$12^2)/4*(BM215*$W215*1000)/($G215*$B$5)))),
IF($D215="Pressio.",
IF($E215=3,(PI()*BQ$12^2)/4*(BM215*$W215*1000)/($H215*$B$5),(PI()*BQ$12^2)/4*(BM215*$W215*1000)/($G215*$B$5)),
IF($D215="Pénétro.",
IF($E215=4,(PI()*BQ$12^2)/4*(BM215*$W215*1000)/($H215*$B$5),(PI()*BQ$12^2)/4*(BM215*$W215*1000)/($G215*$B$5))))))/10</f>
        <v>#N/A</v>
      </c>
      <c r="BR215" s="102" t="e">
        <f>(VLOOKUP($B$3,'Coeff EC7'!$T$39:$X$59,2,0)*BP215+VLOOKUP($B$3,'Coeff EC7'!$T$65:$X$85,2,0)*Model0.1C!BQ215)/1.1</f>
        <v>#N/A</v>
      </c>
      <c r="BS215" s="102" t="e">
        <f>(VLOOKUP($B$3,'Coeff EC7'!$T$39:$X$59,3,0)*BP215+VLOOKUP($B$3,'Coeff EC7'!$T$65:$X$85,3,0)*Model0.1C!BQ215)/0.9</f>
        <v>#N/A</v>
      </c>
      <c r="BT215" s="102" t="e">
        <f t="shared" si="378"/>
        <v>#N/A</v>
      </c>
      <c r="BU215" s="102" t="e">
        <f t="shared" si="379"/>
        <v>#N/A</v>
      </c>
      <c r="BV215" s="414" t="e">
        <f>IF(BV214=0,0,IF(AND(BR215&gt;charge_ELS_quasi,BS215&gt;Charge_ELS_freq,BT215&gt;charge_ELU,BU215&gt;charge_ELA,$B215&gt;NDC!$H$22-0.1+MIN(3*$BV$12,1.5)),0,1))</f>
        <v>#N/A</v>
      </c>
      <c r="BW215" s="86" t="b">
        <f t="shared" si="347"/>
        <v>0</v>
      </c>
      <c r="BX215" s="86">
        <f t="shared" si="348"/>
        <v>0.5</v>
      </c>
      <c r="BY215" s="86">
        <f t="shared" si="349"/>
        <v>0.5</v>
      </c>
      <c r="BZ215" s="30" t="e">
        <f t="shared" ca="1" si="380"/>
        <v>#DIV/0!</v>
      </c>
      <c r="CA215" s="85" t="e">
        <f ca="1">IF(BG215&lt;=Hypothèses!$V$7,Hypothèses!$W$7,IF(BG215&lt;=Hypothèses!$V$8,Hypothèses!$W$8,IF(BG215&lt;=Hypothèses!$V$9,Hypothèses!$W$9,IF(BG215&lt;=Hypothèses!$V$10,Hypothèses!$W$10,IF(BG215&lt;=Hypothèses!$V$11,Hypothèses!$W$11,IF(BG215&lt;=Hypothèses!$V$12,Hypothèses!$W$12,IF(BG215&lt;=Hypothèses!$V$13,Hypothèses!$W$13,IF(BG215&lt;=Hypothèses!$V$14,Hypothèses!$W$14,IF(BG215&lt;=Hypothèses!$V$15,Hypothèses!$W$15,IF(BG215&lt;=Hypothèses!$V$16,Hypothèses!$W$16,IF(BG215&lt;=Hypothèses!$V$17,Hypothèses!$W$17,IF(BG215&lt;=Hypothèses!$V$18,Hypothèses!$W$18,""))))))))))))</f>
        <v>#DIV/0!</v>
      </c>
      <c r="CB215" s="87" t="e">
        <f t="shared" ca="1" si="419"/>
        <v>#DIV/0!</v>
      </c>
      <c r="CC215" s="88" t="e">
        <f ca="1">IF(BG215&lt;=Hypothèses!$V$7,Hypothèses!$X$7,IF(BG215&lt;=Hypothèses!$V$8,Hypothèses!$X$8,IF(BG215&lt;=Hypothèses!$V$9,Hypothèses!$X$9,IF(BG215&lt;=Hypothèses!$V$10,Hypothèses!$X$10,IF(BG215&lt;=Hypothèses!$V$11,Hypothèses!$X$11,IF(BG215&lt;=Hypothèses!$V$12,Hypothèses!$X$12,IF(BG215&lt;=Hypothèses!$V$13,Hypothèses!$X$13,IF(BG215&lt;=Hypothèses!$V$14,Hypothèses!$X$14,IF(BG215&lt;=Hypothèses!$V$15,Hypothèses!$X$15,IF(BG215&lt;=Hypothèses!$V$16,Hypothèses!$X$16,IF(BG215&lt;=Hypothèses!$U$17,Hypothèses!$W$17,IF(BG215&lt;=Hypothèses!$U$18,Hypothèses!$W$18,""))))))))))))</f>
        <v>#DIV/0!</v>
      </c>
      <c r="CD215" s="95" t="e">
        <f t="shared" ca="1" si="381"/>
        <v>#DIV/0!</v>
      </c>
      <c r="CE215" s="101" t="e">
        <f t="shared" si="426"/>
        <v>#N/A</v>
      </c>
      <c r="CF215" s="91" t="e">
        <f t="shared" si="350"/>
        <v>#N/A</v>
      </c>
      <c r="CG215" s="30" t="e">
        <f t="shared" si="406"/>
        <v>#N/A</v>
      </c>
      <c r="CH215" s="30" t="e">
        <f t="shared" si="407"/>
        <v>#N/A</v>
      </c>
      <c r="CI215" s="31" t="e">
        <f>IF(OR(Hypothèses!$B$4=17,Hypothèses!$B$4=18,Hypothèses!$B$4=19,Hypothèses!$B$4=20),
IF($D215="Pressio.",
IF(OR($E215=3,$E215=1,$E215=4),CH215,CG215),
IF($D215="Pénétro.",
IF(OR($E215=3,$E215=1,$E215=4),CH215,CG215))),IF($D215="Pressio.",
IF($E215=3,CH215,CG215),
IF($D215="Pénétro.",
IF($E215=4,CH215,CG215))))</f>
        <v>#N/A</v>
      </c>
      <c r="CJ215" s="31" t="e">
        <f>(IF(OR(Hypothèses!$B$4=17,Hypothèses!$B$4=18,Hypothèses!$B$4=19,Hypothèses!$B$4=20),
IF($D215="Pressio.",
IF(OR($E215=3,$E215=1,$E215=4),(PI()*CJ$12^2)/4*(CF215*$W215*1000)/($H215*$B$5),(PI()*CJ$12^2)/4*(CF215*$W215*1000)/($G215*$B$5)),
IF($D215="Pénétro.",
IF(OR($E215=4,$E215=1,$E215=5),(PI()*CJ$12^2)/4*(CF215*$W215*1000)/($H215*$B$5),(PI()*CJ$12^2)/4*(CF215*$W215*1000)/($G215*$B$5)))),
IF($D215="Pressio.",
IF($E215=3,(PI()*CJ$12^2)/4*(CF215*$W215*1000)/($H215*$B$5),(PI()*CJ$12^2)/4*(CF215*$W215*1000)/($G215*$B$5)),
IF($D215="Pénétro.",
IF($E215=4,(PI()*CJ$12^2)/4*(CF215*$W215*1000)/($H215*$B$5),(PI()*CJ$12^2)/4*(CF215*$W215*1000)/($G215*$B$5))))))/10</f>
        <v>#N/A</v>
      </c>
      <c r="CK215" s="102" t="e">
        <f>(VLOOKUP($B$3,'Coeff EC7'!$T$39:$X$59,2,0)*CI215+VLOOKUP($B$3,'Coeff EC7'!$T$65:$X$85,2,0)*Model0.1C!CJ215)/1.1</f>
        <v>#N/A</v>
      </c>
      <c r="CL215" s="102" t="e">
        <f>(VLOOKUP($B$3,'Coeff EC7'!$T$39:$X$59,3,0)*CI215+VLOOKUP($B$3,'Coeff EC7'!$T$65:$X$85,3,0)*Model0.1C!CJ215)/0.9</f>
        <v>#N/A</v>
      </c>
      <c r="CM215" s="102" t="e">
        <f t="shared" si="382"/>
        <v>#N/A</v>
      </c>
      <c r="CN215" s="102" t="e">
        <f t="shared" si="383"/>
        <v>#N/A</v>
      </c>
      <c r="CO215" s="414" t="e">
        <f>IF(CO214=0,0,IF(AND(CK215&gt;charge_ELS_quasi,CL215&gt;Charge_ELS_freq,CM215&gt;charge_ELU,CN215&gt;charge_ELA,$B215&gt;NDC!$H$22-0.1+MIN(3*$CO$12,1.5)),0,1))</f>
        <v>#N/A</v>
      </c>
      <c r="CP215" s="86" t="b">
        <f t="shared" si="351"/>
        <v>0</v>
      </c>
      <c r="CQ215" s="86">
        <f t="shared" si="352"/>
        <v>0.5</v>
      </c>
      <c r="CR215" s="86">
        <f t="shared" si="353"/>
        <v>0.5</v>
      </c>
      <c r="CS215" s="30" t="e">
        <f t="shared" ca="1" si="384"/>
        <v>#DIV/0!</v>
      </c>
      <c r="CT215" s="85" t="e">
        <f ca="1">IF(BZ215&lt;=Hypothèses!$V$7,Hypothèses!$W$7,IF(BZ215&lt;=Hypothèses!$V$8,Hypothèses!$W$8,IF(BZ215&lt;=Hypothèses!$V$9,Hypothèses!$W$9,IF(BZ215&lt;=Hypothèses!$V$10,Hypothèses!$W$10,IF(BZ215&lt;=Hypothèses!$V$11,Hypothèses!$W$11,IF(BZ215&lt;=Hypothèses!$V$12,Hypothèses!$W$12,IF(BZ215&lt;=Hypothèses!$V$13,Hypothèses!$W$13,IF(BZ215&lt;=Hypothèses!$V$14,Hypothèses!$W$14,IF(BZ215&lt;=Hypothèses!$V$15,Hypothèses!$W$15,IF(BZ215&lt;=Hypothèses!$V$16,Hypothèses!$W$16,IF(BZ215&lt;=Hypothèses!$V$17,Hypothèses!$W$17,IF(BZ215&lt;=Hypothèses!$V$18,Hypothèses!$W$18,""))))))))))))</f>
        <v>#DIV/0!</v>
      </c>
      <c r="CU215" s="87" t="e">
        <f t="shared" ca="1" si="420"/>
        <v>#DIV/0!</v>
      </c>
      <c r="CV215" s="88" t="e">
        <f ca="1">IF(BZ215&lt;=Hypothèses!$V$7,Hypothèses!$X$7,IF(BZ215&lt;=Hypothèses!$V$8,Hypothèses!$X$8,IF(BZ215&lt;=Hypothèses!$V$9,Hypothèses!$X$9,IF(BZ215&lt;=Hypothèses!$V$10,Hypothèses!$X$10,IF(BZ215&lt;=Hypothèses!$V$11,Hypothèses!$X$11,IF(BZ215&lt;=Hypothèses!$V$12,Hypothèses!$X$12,IF(BZ215&lt;=Hypothèses!$V$13,Hypothèses!$X$13,IF(BZ215&lt;=Hypothèses!$V$14,Hypothèses!$X$14,IF(BZ215&lt;=Hypothèses!$V$15,Hypothèses!$X$15,IF(BZ215&lt;=Hypothèses!$V$16,Hypothèses!$X$16,IF(BZ215&lt;=Hypothèses!$U$17,Hypothèses!$W$17,IF(BZ215&lt;=Hypothèses!$U$18,Hypothèses!$W$18,""))))))))))))</f>
        <v>#DIV/0!</v>
      </c>
      <c r="CW215" s="95" t="e">
        <f t="shared" ca="1" si="385"/>
        <v>#DIV/0!</v>
      </c>
      <c r="CX215" s="101" t="e">
        <f t="shared" si="427"/>
        <v>#N/A</v>
      </c>
      <c r="CY215" s="91" t="e">
        <f t="shared" si="354"/>
        <v>#N/A</v>
      </c>
      <c r="CZ215" s="30" t="e">
        <f t="shared" si="408"/>
        <v>#N/A</v>
      </c>
      <c r="DA215" s="30" t="e">
        <f t="shared" si="409"/>
        <v>#N/A</v>
      </c>
      <c r="DB215" s="31" t="e">
        <f>IF(OR(Hypothèses!$B$4=17,Hypothèses!$B$4=18,Hypothèses!$B$4=19,Hypothèses!$B$4=20),
IF($D215="Pressio.",
IF(OR($E215=3,$E215=1,$E215=4),DA215,CZ215),
IF($D215="Pénétro.",
IF(OR($E215=3,$E215=1,$E215=4),DA215,CZ215))),IF($D215="Pressio.",
IF($E215=3,DA215,CZ215),
IF($D215="Pénétro.",
IF($E215=4,DA215,CZ215))))</f>
        <v>#N/A</v>
      </c>
      <c r="DC215" s="31" t="e">
        <f>(IF(OR(Hypothèses!$B$4=17,Hypothèses!$B$4=18,Hypothèses!$B$4=19,Hypothèses!$B$4=20),
IF($D215="Pressio.",
IF(OR($E215=3,$E215=1,$E215=4),(PI()*DC$12^2)/4*(CY215*$W215*1000)/($H215*$B$5),(PI()*DC$12^2)/4*(CY215*$W215*1000)/($G215*$B$5)),
IF($D215="Pénétro.",
IF(OR($E215=4,$E215=1,$E215=5),(PI()*DC$12^2)/4*(CY215*$W215*1000)/($H215*$B$5),(PI()*DC$12^2)/4*(CY215*$W215*1000)/($G215*$B$5)))),
IF($D215="Pressio.",
IF($E215=3,(PI()*DC$12^2)/4*(CY215*$W215*1000)/($H215*$B$5),(PI()*DC$12^2)/4*(CY215*$W215*1000)/($G215*$B$5)),
IF($D215="Pénétro.",
IF($E215=4,(PI()*DC$12^2)/4*(CY215*$W215*1000)/($H215*$B$5),(PI()*DC$12^2)/4*(CY215*$W215*1000)/($G215*$B$5))))))/10</f>
        <v>#N/A</v>
      </c>
      <c r="DD215" s="102" t="e">
        <f>(VLOOKUP($B$3,'Coeff EC7'!$T$39:$X$59,2,0)*DB215+VLOOKUP($B$3,'Coeff EC7'!$T$65:$X$85,2,0)*Model0.1C!DC215)/1.1</f>
        <v>#N/A</v>
      </c>
      <c r="DE215" s="102" t="e">
        <f>(VLOOKUP($B$3,'Coeff EC7'!$T$39:$X$59,3,0)*DB215+VLOOKUP($B$3,'Coeff EC7'!$T$65:$X$85,3,0)*Model0.1C!DC215)/0.9</f>
        <v>#N/A</v>
      </c>
      <c r="DF215" s="102" t="e">
        <f t="shared" si="386"/>
        <v>#N/A</v>
      </c>
      <c r="DG215" s="102" t="e">
        <f t="shared" si="387"/>
        <v>#N/A</v>
      </c>
      <c r="DH215" s="414" t="e">
        <f>IF(DH214=0,0,IF(AND(DD215&gt;charge_ELS_quasi,DE215&gt;Charge_ELS_freq,DF215&gt;charge_ELU,DG215&gt;charge_ELA,$B215&gt;NDC!$H$22-0.1+MIN(3*$DH$12,1.5)),0,1))</f>
        <v>#N/A</v>
      </c>
      <c r="DI215" s="86" t="b">
        <f t="shared" si="355"/>
        <v>0</v>
      </c>
      <c r="DJ215" s="86">
        <f t="shared" si="356"/>
        <v>0.5</v>
      </c>
      <c r="DK215" s="86">
        <f t="shared" si="357"/>
        <v>0.5</v>
      </c>
      <c r="DL215" s="30" t="e">
        <f t="shared" ca="1" si="388"/>
        <v>#DIV/0!</v>
      </c>
      <c r="DM215" s="85" t="e">
        <f ca="1">IF(CS215&lt;=Hypothèses!$V$7,Hypothèses!$W$7,IF(CS215&lt;=Hypothèses!$V$8,Hypothèses!$W$8,IF(CS215&lt;=Hypothèses!$V$9,Hypothèses!$W$9,IF(CS215&lt;=Hypothèses!$V$10,Hypothèses!$W$10,IF(CS215&lt;=Hypothèses!$V$11,Hypothèses!$W$11,IF(CS215&lt;=Hypothèses!$V$12,Hypothèses!$W$12,IF(CS215&lt;=Hypothèses!$V$13,Hypothèses!$W$13,IF(CS215&lt;=Hypothèses!$V$14,Hypothèses!$W$14,IF(CS215&lt;=Hypothèses!$V$15,Hypothèses!$W$15,IF(CS215&lt;=Hypothèses!$V$16,Hypothèses!$W$16,IF(CS215&lt;=Hypothèses!$V$17,Hypothèses!$W$17,IF(CS215&lt;=Hypothèses!$V$18,Hypothèses!$W$18,""))))))))))))</f>
        <v>#DIV/0!</v>
      </c>
      <c r="DN215" s="87" t="e">
        <f t="shared" ca="1" si="421"/>
        <v>#DIV/0!</v>
      </c>
      <c r="DO215" s="88" t="e">
        <f ca="1">IF(CS215&lt;=Hypothèses!$V$7,Hypothèses!$X$7,IF(CS215&lt;=Hypothèses!$V$8,Hypothèses!$X$8,IF(CS215&lt;=Hypothèses!$V$9,Hypothèses!$X$9,IF(CS215&lt;=Hypothèses!$V$10,Hypothèses!$X$10,IF(CS215&lt;=Hypothèses!$V$11,Hypothèses!$X$11,IF(CS215&lt;=Hypothèses!$V$12,Hypothèses!$X$12,IF(CS215&lt;=Hypothèses!$V$13,Hypothèses!$X$13,IF(CS215&lt;=Hypothèses!$V$14,Hypothèses!$X$14,IF(CS215&lt;=Hypothèses!$V$15,Hypothèses!$X$15,IF(CS215&lt;=Hypothèses!$V$16,Hypothèses!$X$16,IF(CS215&lt;=Hypothèses!$U$17,Hypothèses!$W$17,IF(CS215&lt;=Hypothèses!$U$18,Hypothèses!$W$18,""))))))))))))</f>
        <v>#DIV/0!</v>
      </c>
      <c r="DP215" s="95" t="e">
        <f t="shared" ca="1" si="389"/>
        <v>#DIV/0!</v>
      </c>
      <c r="DQ215" s="101" t="e">
        <f t="shared" si="428"/>
        <v>#N/A</v>
      </c>
      <c r="DR215" s="91" t="e">
        <f t="shared" si="358"/>
        <v>#N/A</v>
      </c>
      <c r="DS215" s="30" t="e">
        <f t="shared" si="410"/>
        <v>#N/A</v>
      </c>
      <c r="DT215" s="30" t="e">
        <f t="shared" si="411"/>
        <v>#N/A</v>
      </c>
      <c r="DU215" s="31" t="e">
        <f>IF(OR(Hypothèses!$B$4=17,Hypothèses!$B$4=18,Hypothèses!$B$4=19,Hypothèses!$B$4=20),
IF($D215="Pressio.",
IF(OR($E215=3,$E215=1,$E215=4),DT215,DS215),
IF($D215="Pénétro.",
IF(OR($E215=3,$E215=1,$E215=4),DT215,DS215))),IF($D215="Pressio.",
IF($E215=3,DT215,DS215),
IF($D215="Pénétro.",
IF($E215=4,DT215,DS215))))</f>
        <v>#N/A</v>
      </c>
      <c r="DV215" s="31" t="e">
        <f>(IF(OR(Hypothèses!$B$4=17,Hypothèses!$B$4=18,Hypothèses!$B$4=19,Hypothèses!$B$4=20),
IF($D215="Pressio.",
IF(OR($E215=3,$E215=1,$E215=4),(PI()*DV$12^2)/4*(DR215*$W215*1000)/($H215*$B$5),(PI()*DV$12^2)/4*(DR215*$W215*1000)/($G215*$B$5)),
IF($D215="Pénétro.",
IF(OR($E215=4,$E215=1,$E215=5),(PI()*DV$12^2)/4*(DR215*$W215*1000)/($H215*$B$5),(PI()*DV$12^2)/4*(DR215*$W215*1000)/($G215*$B$5)))),
IF($D215="Pressio.",
IF($E215=3,(PI()*DV$12^2)/4*(DR215*$W215*1000)/($H215*$B$5),(PI()*DV$12^2)/4*(DR215*$W215*1000)/($G215*$B$5)),
IF($D215="Pénétro.",
IF($E215=4,(PI()*DV$12^2)/4*(DR215*$W215*1000)/($H215*$B$5),(PI()*DV$12^2)/4*(DR215*$W215*1000)/($G215*$B$5))))))/10</f>
        <v>#N/A</v>
      </c>
      <c r="DW215" s="102" t="e">
        <f>(VLOOKUP($B$3,'Coeff EC7'!$T$39:$X$59,2,0)*DU215+VLOOKUP($B$3,'Coeff EC7'!$T$65:$X$85,2,0)*Model0.1C!DV215)/1.1</f>
        <v>#N/A</v>
      </c>
      <c r="DX215" s="102" t="e">
        <f>(VLOOKUP($B$3,'Coeff EC7'!$T$39:$X$59,3,0)*DU215+VLOOKUP($B$3,'Coeff EC7'!$T$65:$X$85,3,0)*Model0.1C!DV215)/0.9</f>
        <v>#N/A</v>
      </c>
      <c r="DY215" s="102" t="e">
        <f t="shared" si="390"/>
        <v>#N/A</v>
      </c>
      <c r="DZ215" s="102" t="e">
        <f t="shared" si="391"/>
        <v>#N/A</v>
      </c>
      <c r="EA215" s="414" t="e">
        <f>IF(EA214=0,0,IF(AND(DW215&gt;charge_ELS_quasi,DX215&gt;Charge_ELS_freq,DY215&gt;charge_ELU,DZ215&gt;charge_ELA,$B215&gt;NDC!$H$22-0.1+MIN(3*$EA$12,1.5)),0,1))</f>
        <v>#N/A</v>
      </c>
      <c r="EB215" s="86" t="b">
        <f t="shared" si="359"/>
        <v>0</v>
      </c>
      <c r="EC215" s="418">
        <f t="shared" si="360"/>
        <v>0.51</v>
      </c>
      <c r="ED215" s="86">
        <f t="shared" si="361"/>
        <v>0.51</v>
      </c>
      <c r="EE215" s="30" t="e">
        <f t="shared" ca="1" si="392"/>
        <v>#DIV/0!</v>
      </c>
      <c r="EF215" s="85" t="e">
        <f ca="1">IF(DL215&lt;=Hypothèses!$V$7,Hypothèses!$W$7,IF(DL215&lt;=Hypothèses!$V$8,Hypothèses!$W$8,IF(DL215&lt;=Hypothèses!$V$9,Hypothèses!$W$9,IF(DL215&lt;=Hypothèses!$V$10,Hypothèses!$W$10,IF(DL215&lt;=Hypothèses!$V$11,Hypothèses!$W$11,IF(DL215&lt;=Hypothèses!$V$12,Hypothèses!$W$12,IF(DL215&lt;=Hypothèses!$V$13,Hypothèses!$W$13,IF(DL215&lt;=Hypothèses!$V$14,Hypothèses!$W$14,IF(DL215&lt;=Hypothèses!$V$15,Hypothèses!$W$15,IF(DL215&lt;=Hypothèses!$V$16,Hypothèses!$W$16,IF(DL215&lt;=Hypothèses!$V$17,Hypothèses!$W$17,IF(DL215&lt;=Hypothèses!$V$18,Hypothèses!$W$18,""))))))))))))</f>
        <v>#DIV/0!</v>
      </c>
      <c r="EG215" s="87" t="e">
        <f t="shared" ca="1" si="422"/>
        <v>#DIV/0!</v>
      </c>
      <c r="EH215" s="88" t="e">
        <f ca="1">IF(DL215&lt;=Hypothèses!$V$7,Hypothèses!$X$7,IF(DL215&lt;=Hypothèses!$V$8,Hypothèses!$X$8,IF(DL215&lt;=Hypothèses!$V$9,Hypothèses!$X$9,IF(DL215&lt;=Hypothèses!$V$10,Hypothèses!$X$10,IF(DL215&lt;=Hypothèses!$V$11,Hypothèses!$X$11,IF(DL215&lt;=Hypothèses!$V$12,Hypothèses!$X$12,IF(DL215&lt;=Hypothèses!$V$13,Hypothèses!$X$13,IF(DL215&lt;=Hypothèses!$V$14,Hypothèses!$X$14,IF(DL215&lt;=Hypothèses!$V$15,Hypothèses!$X$15,IF(DL215&lt;=Hypothèses!$V$16,Hypothèses!$X$16,IF(DL215&lt;=Hypothèses!$U$17,Hypothèses!$W$17,IF(DL215&lt;=Hypothèses!$U$18,Hypothèses!$W$18,""))))))))))))</f>
        <v>#DIV/0!</v>
      </c>
      <c r="EI215" s="95" t="e">
        <f t="shared" ca="1" si="393"/>
        <v>#DIV/0!</v>
      </c>
      <c r="EJ215" s="101" t="e">
        <f t="shared" si="429"/>
        <v>#N/A</v>
      </c>
      <c r="EK215" s="91" t="e">
        <f t="shared" si="362"/>
        <v>#N/A</v>
      </c>
      <c r="EL215" s="30" t="e">
        <f t="shared" si="412"/>
        <v>#N/A</v>
      </c>
      <c r="EM215" s="30" t="e">
        <f t="shared" si="413"/>
        <v>#N/A</v>
      </c>
      <c r="EN215" s="31" t="e">
        <f>IF(OR(Hypothèses!$B$4=17,Hypothèses!$B$4=18,Hypothèses!$B$4=19,Hypothèses!$B$4=20),
IF($D215="Pressio.",
IF(OR($E215=3,$E215=1,$E215=4),EM215,EL215),
IF($D215="Pénétro.",
IF(OR($E215=3,$E215=1,$E215=4),EM215,EL215))),IF($D215="Pressio.",
IF($E215=3,EM215,EL215),
IF($D215="Pénétro.",
IF($E215=4,EM215,EL215))))</f>
        <v>#N/A</v>
      </c>
      <c r="EO215" s="31" t="e">
        <f>(IF(OR(Hypothèses!$B$4=17,Hypothèses!$B$4=18,Hypothèses!$B$4=19,Hypothèses!$B$4=20),
IF($D215="Pressio.",
IF(OR($E215=3,$E215=1,$E215=4),(PI()*EO$12^2)/4*(EK215*$W215*1000)/($H215*$B$5),(PI()*EO$12^2)/4*(EK215*$W215*1000)/($G215*$B$5)),
IF($D215="Pénétro.",
IF(OR($E215=4,$E215=1,$E215=5),(PI()*EO$12^2)/4*(EK215*$W215*1000)/($H215*$B$5),(PI()*EO$12^2)/4*(EK215*$W215*1000)/($G215*$B$5)))),
IF($D215="Pressio.",
IF($E215=3,(PI()*EO$12^2)/4*(EK215*$W215*1000)/($H215*$B$5),(PI()*EO$12^2)/4*(EK215*$W215*1000)/($G215*$B$5)),
IF($D215="Pénétro.",
IF($E215=4,(PI()*EO$12^2)/4*(EK215*$W215*1000)/($H215*$B$5),(PI()*EO$12^2)/4*(EK215*$W215*1000)/($G215*$B$5))))))/10</f>
        <v>#N/A</v>
      </c>
      <c r="EP215" s="102" t="e">
        <f>(VLOOKUP($B$3,'Coeff EC7'!$T$39:$X$59,2,0)*EN215+VLOOKUP($B$3,'Coeff EC7'!$T$65:$X$85,2,0)*Model0.1C!EO215)/1.1</f>
        <v>#N/A</v>
      </c>
      <c r="EQ215" s="102" t="e">
        <f>(VLOOKUP($B$3,'Coeff EC7'!$T$39:$X$59,3,0)*EN215+VLOOKUP($B$3,'Coeff EC7'!$T$65:$X$85,3,0)*Model0.1C!EO215)/0.9</f>
        <v>#N/A</v>
      </c>
      <c r="ER215" s="102" t="e">
        <f t="shared" si="394"/>
        <v>#N/A</v>
      </c>
      <c r="ES215" s="102" t="e">
        <f t="shared" si="395"/>
        <v>#N/A</v>
      </c>
      <c r="ET215" s="414" t="e">
        <f>IF(ET214=0,0,IF(AND(EP215&gt;charge_ELS_quasi,EQ215&gt;Charge_ELS_freq,ER215&gt;charge_ELU,ES215&gt;charge_ELA,$B215&gt;NDC!$H$22-0.1+MIN(3*$ET$12,1.5)),0,1))</f>
        <v>#N/A</v>
      </c>
      <c r="EU215" s="86" t="b">
        <f t="shared" si="363"/>
        <v>0</v>
      </c>
      <c r="EV215" s="86">
        <f t="shared" si="364"/>
        <v>0.61</v>
      </c>
      <c r="EW215" s="86">
        <f t="shared" si="365"/>
        <v>0.61</v>
      </c>
      <c r="EX215" s="30" t="e">
        <f t="shared" ca="1" si="396"/>
        <v>#DIV/0!</v>
      </c>
      <c r="EY215" s="85" t="e">
        <f ca="1">IF(EE215&lt;=Hypothèses!$V$7,Hypothèses!$W$7,IF(EE215&lt;=Hypothèses!$V$8,Hypothèses!$W$8,IF(EE215&lt;=Hypothèses!$V$9,Hypothèses!$W$9,IF(EE215&lt;=Hypothèses!$V$10,Hypothèses!$W$10,IF(EE215&lt;=Hypothèses!$V$11,Hypothèses!$W$11,IF(EE215&lt;=Hypothèses!$V$12,Hypothèses!$W$12,IF(EE215&lt;=Hypothèses!$V$13,Hypothèses!$W$13,IF(EE215&lt;=Hypothèses!$V$14,Hypothèses!$W$14,IF(EE215&lt;=Hypothèses!$V$15,Hypothèses!$W$15,IF(EE215&lt;=Hypothèses!$V$16,Hypothèses!$W$16,IF(EE215&lt;=Hypothèses!$V$17,Hypothèses!$W$17,IF(EE215&lt;=Hypothèses!$V$18,Hypothèses!$W$18,""))))))))))))</f>
        <v>#DIV/0!</v>
      </c>
      <c r="EZ215" s="87" t="e">
        <f t="shared" ca="1" si="423"/>
        <v>#DIV/0!</v>
      </c>
      <c r="FA215" s="88" t="e">
        <f ca="1">IF(EE215&lt;=Hypothèses!$V$7,Hypothèses!$X$7,IF(EE215&lt;=Hypothèses!$V$8,Hypothèses!$X$8,IF(EE215&lt;=Hypothèses!$V$9,Hypothèses!$X$9,IF(EE215&lt;=Hypothèses!$V$10,Hypothèses!$X$10,IF(EE215&lt;=Hypothèses!$V$11,Hypothèses!$X$11,IF(EE215&lt;=Hypothèses!$V$12,Hypothèses!$X$12,IF(EE215&lt;=Hypothèses!$V$13,Hypothèses!$X$13,IF(EE215&lt;=Hypothèses!$V$14,Hypothèses!$X$14,IF(EE215&lt;=Hypothèses!$V$15,Hypothèses!$X$15,IF(EE215&lt;=Hypothèses!$V$16,Hypothèses!$X$16,IF(EE215&lt;=Hypothèses!$U$17,Hypothèses!$W$17,IF(EE215&lt;=Hypothèses!$U$18,Hypothèses!$W$18,""))))))))))))</f>
        <v>#DIV/0!</v>
      </c>
      <c r="FB215" s="95" t="e">
        <f t="shared" ca="1" si="397"/>
        <v>#DIV/0!</v>
      </c>
      <c r="FC215" s="101" t="e">
        <f t="shared" si="430"/>
        <v>#N/A</v>
      </c>
      <c r="FD215" s="91" t="e">
        <f t="shared" si="366"/>
        <v>#N/A</v>
      </c>
      <c r="FE215" s="30" t="e">
        <f t="shared" si="414"/>
        <v>#N/A</v>
      </c>
      <c r="FF215" s="30" t="e">
        <f t="shared" si="415"/>
        <v>#N/A</v>
      </c>
      <c r="FG215" s="31" t="e">
        <f>IF(OR(Hypothèses!$B$4=17,Hypothèses!$B$4=18,Hypothèses!$B$4=19,Hypothèses!$B$4=20),
IF($D215="Pressio.",
IF(OR($E215=3,$E215=1,$E215=4),FF215,FE215),
IF($D215="Pénétro.",
IF(OR($E215=3,$E215=1,$E215=4),FF215,FE215))),IF($D215="Pressio.",
IF($E215=3,FF215,FE215),
IF($D215="Pénétro.",
IF($E215=4,FF215,FE215))))</f>
        <v>#N/A</v>
      </c>
      <c r="FH215" s="31" t="e">
        <f>(IF(OR(Hypothèses!$B$4=17,Hypothèses!$B$4=18,Hypothèses!$B$4=19,Hypothèses!$B$4=20),
IF($D215="Pressio.",
IF(OR($E215=3,$E215=1,$E215=4),(PI()*FH$12^2)/4*(FD215*$W215*1000)/($H215*$B$5),(PI()*FH$12^2)/4*(FD215*$W215*1000)/($G215*$B$5)),
IF($D215="Pénétro.",
IF(OR($E215=4,$E215=1,$E215=5),(PI()*FH$12^2)/4*(FD215*$W215*1000)/($H215*$B$5),(PI()*FH$12^2)/4*(FD215*$W215*1000)/($G215*$B$5)))),
IF($D215="Pressio.",
IF($E215=3,(PI()*FH$12^2)/4*(FD215*$W215*1000)/($H215*$B$5),(PI()*FH$12^2)/4*(FD215*$W215*1000)/($G215*$B$5)),
IF($D215="Pénétro.",
IF($E215=4,(PI()*FH$12^2)/4*(FD215*$W215*1000)/($H215*$B$5),(PI()*FH$12^2)/4*(FD215*$W215*1000)/($G215*$B$5))))))/10</f>
        <v>#N/A</v>
      </c>
      <c r="FI215" s="102" t="e">
        <f>(VLOOKUP($B$3,'Coeff EC7'!$T$39:$X$59,2,0)*FG215+VLOOKUP($B$3,'Coeff EC7'!$T$65:$X$85,2,0)*Model0.1C!FH215)/1.1</f>
        <v>#N/A</v>
      </c>
      <c r="FJ215" s="102" t="e">
        <f>(VLOOKUP($B$3,'Coeff EC7'!$T$39:$X$59,3,0)*FG215+VLOOKUP($B$3,'Coeff EC7'!$T$65:$X$85,3,0)*Model0.1C!FH215)/0.9</f>
        <v>#N/A</v>
      </c>
      <c r="FK215" s="102" t="e">
        <f t="shared" si="398"/>
        <v>#N/A</v>
      </c>
      <c r="FL215" s="102" t="e">
        <f t="shared" si="399"/>
        <v>#N/A</v>
      </c>
      <c r="FM215" s="414" t="e">
        <f>IF(FM214=0,0,IF(AND(FI215&gt;charge_ELS_quasi,FJ215&gt;Charge_ELS_freq,FK215&gt;charge_ELU,FL215&gt;charge_ELA,$B215&gt;NDC!$H$22-0.1+MIN(3*$FM$12,1.5)),0,1))</f>
        <v>#N/A</v>
      </c>
    </row>
    <row r="216" spans="1:169">
      <c r="A216" s="96">
        <f t="shared" si="367"/>
        <v>79.700000000001154</v>
      </c>
      <c r="B216" s="97">
        <v>20.3</v>
      </c>
      <c r="C216" s="81">
        <f>IF(B216&lt;=Hypothèses!$C$7,Hypothèses!$A$7,IF(B216&lt;=Hypothèses!$C$8,Hypothèses!$A$8,IF(B216&lt;=Hypothèses!$C$9,Hypothèses!$A$9,IF(B216&lt;=Hypothèses!$C$10,Hypothèses!$A$10,IF(B216&lt;=Hypothèses!$C$11,Hypothèses!$A$11,IF(B216&lt;=Hypothèses!$C$12,Hypothèses!$A$12,IF(B216&lt;=Hypothèses!$C$13,Hypothèses!$A$13,IF(B216&lt;=Hypothèses!$C$14,Hypothèses!$A$14,IF(B216&lt;=Hypothèses!$C$15,Hypothèses!$A$15,IF(B216&lt;=Hypothèses!$C$16,Hypothèses!$A$16,IF(B216&lt;=Hypothèses!$C$17,Hypothèses!$A$17,IF(B216&lt;=Hypothèses!$C$18,Hypothèses!$A$18,C215))))))))))))</f>
        <v>11</v>
      </c>
      <c r="D216" s="82" t="str">
        <f>IF(B216&lt;=Hypothèses!$C$7,Hypothèses!$R$7,IF(B216&lt;=Hypothèses!$C$8,Hypothèses!$R$8,IF(B216&lt;=Hypothèses!$C$9,Hypothèses!$R$9,IF(B216&lt;=Hypothèses!$C$10,Hypothèses!$R$10,IF(B216&lt;=Hypothèses!$C$11,Hypothèses!$R$11,IF(B216&lt;=Hypothèses!$C$12,Hypothèses!$R$12,IF(B216&lt;=Hypothèses!$C$13,Hypothèses!$R$13,IF(B216&lt;=Hypothèses!$C$14,Hypothèses!$R$14,IF(B216&lt;=Hypothèses!$C$15,Hypothèses!$R$15,IF(B216&lt;=Hypothèses!$C$16,Hypothèses!$R$16,IF(B216&lt;=Hypothèses!$C$17,Hypothèses!$R$17,IF(B216&lt;=Hypothèses!$C$18,Hypothèses!$R$18,D215))))))))))))</f>
        <v>Pressio.</v>
      </c>
      <c r="E216" s="82" t="e">
        <f>IF(B216&lt;=Hypothèses!$C$7,Hypothèses!$G$7,IF(B216&lt;=Hypothèses!$C$8,Hypothèses!$G$8,IF(B216&lt;=Hypothèses!$C$9,Hypothèses!$G$9,IF(B216&lt;=Hypothèses!$C$10,Hypothèses!$G$10,IF(B216&lt;=Hypothèses!$C$11,Hypothèses!$G$11,IF(B216&lt;=Hypothèses!$C$12,Hypothèses!$G$12,IF(B216&lt;=Hypothèses!$C$13,Hypothèses!$G$13,IF(B216&lt;=Hypothèses!$C$14,Hypothèses!$G$14,IF(B216&lt;=Hypothèses!$C$15,Hypothèses!$G$15,IF(B216&lt;=Hypothèses!$C$16,Hypothèses!$G$16,IF(B216&lt;=Hypothèses!$C$17,Hypothèses!$G$17,IF(B216&lt;=Hypothèses!$C$18,Hypothèses!$G$18,E215))))))))))))</f>
        <v>#N/A</v>
      </c>
      <c r="F216" s="82" t="str">
        <f>IF(B216&lt;=Hypothèses!$C$7,Hypothèses!$F$7,IF(B216&lt;=Hypothèses!$C$8,Hypothèses!$F$8,IF(B216&lt;=Hypothèses!$C$9,Hypothèses!$F$9,IF(B216&lt;=Hypothèses!$C$10,Hypothèses!$F$10,IF(B216&lt;=Hypothèses!$C$11,Hypothèses!$F$11,IF(B216&lt;=Hypothèses!$C$12,Hypothèses!$F$12,IF(B216&lt;=Hypothèses!$C$13,Hypothèses!$F$13,IF(B216&lt;=Hypothèses!$C$14,Hypothèses!$F$14,IF(B216&lt;=Hypothèses!$C$15,Hypothèses!$F$15,IF(B216&lt;=Hypothèses!$C$16,Hypothèses!$F$16,IF(B216&lt;=Hypothèses!$C$17,Hypothèses!$F$17,IF(B216&lt;=Hypothèses!$C$18,Hypothèses!$F$18,F215))))))))))))</f>
        <v/>
      </c>
      <c r="G216" s="91">
        <f t="array" ref="G216">INDEX('Coeff EC7'!$U$7:$X$27,
MATCH(Model0.1C!$B$3,'Coeff EC7'!$T$7:$T$27,0),
MATCH(Model0.1C!$D216&amp;Model0.1C!$B$4,
'Coeff EC7'!$U$6:$X$6&amp;
'Coeff EC7'!$U$5:$X$5,0))</f>
        <v>1.1499999999999999</v>
      </c>
      <c r="H216" s="91">
        <f t="array" ref="H216">INDEX('Coeff EC7'!$Y$7:$AB$27,
MATCH(Model0.1C!$B$3,'Coeff EC7'!$T$7:$T$27,0),
MATCH(Model0.1C!$D216&amp;Model0.1C!$B$4,
'Coeff EC7'!$Y$6:$AB$6&amp;
'Coeff EC7'!$Y$5:$AB$5,0))</f>
        <v>1.4</v>
      </c>
      <c r="I216" s="83" t="e">
        <f>IF(B216&lt;=Hypothèses!$C$7,Hypothèses!$P$7,IF(B216&lt;=Hypothèses!$C$8,Hypothèses!$P$8,IF(B216&lt;=Hypothèses!$C$9,Hypothèses!$P$9,IF(B216&lt;=Hypothèses!$C$10,Hypothèses!$P$10,IF(B216&lt;=Hypothèses!$C$11,Hypothèses!$P$11,IF(B216&lt;=Hypothèses!$C$12,Hypothèses!$P$12,IF(B216&lt;=Hypothèses!$C$13,Hypothèses!$P$13,IF(B216&lt;=Hypothèses!$C$14,Hypothèses!$P$14,IF(B216&lt;=Hypothèses!$C$15,Hypothèses!$P$15,IF(B216&lt;=Hypothèses!$C$16,Hypothèses!$P$16,IF(B216&lt;=Hypothèses!$C$17,Hypothèses!$P$17,IF(B216&lt;=Hypothèses!$C$18,Hypothèses!$P$18,I215))))))))))))</f>
        <v>#N/A</v>
      </c>
      <c r="J216" s="91" t="e">
        <f t="array" ref="J216">INDEX('Coeff EC7'!$D$33:$Q$33,1,MATCH(D216&amp;E216,'Coeff EC7'!$D$31:$Q$31&amp;'Coeff EC7'!$D$32:$Q$32,0))</f>
        <v>#N/A</v>
      </c>
      <c r="K216" s="91" t="e">
        <f t="array" ref="K216">INDEX('Coeff EC7'!$D$34:$Q$34,1,MATCH(D216&amp;E216,'Coeff EC7'!$D$31:$Q$31&amp;'Coeff EC7'!$D$32:$Q$32,0))</f>
        <v>#N/A</v>
      </c>
      <c r="L216" s="91" t="e">
        <f t="array" ref="L216">INDEX('Coeff EC7'!$D$35:$Q$35,1,MATCH(D216&amp;E216,'Coeff EC7'!$D$31:$Q$31&amp;'Coeff EC7'!$D$32:$Q$32,0))</f>
        <v>#N/A</v>
      </c>
      <c r="M216" s="98" t="e">
        <f t="shared" si="331"/>
        <v>#N/A</v>
      </c>
      <c r="N216" s="99" t="e">
        <f t="array" ref="N216">INDEX('Coeff EC7'!$D$7:$Q$27,MATCH($B$3,'Coeff EC7'!$C$7:$C$27,0),MATCH(D216&amp;E216,'Coeff EC7'!$D$5:$Q$5&amp;'Coeff EC7'!$D$6:$Q$6,0))</f>
        <v>#N/A</v>
      </c>
      <c r="O216" s="99" t="e">
        <f t="array" ref="O216">INDEX('Coeff EC7'!$D$41:$Q$61,MATCH($B$3,'Coeff EC7'!$C$41:$C$61,0),MATCH(D216&amp;E216,'Coeff EC7'!$D$39:$Q$39&amp;'Coeff EC7'!$D$40:$Q$40,0))</f>
        <v>#N/A</v>
      </c>
      <c r="P216" s="30" t="e">
        <f t="shared" si="368"/>
        <v>#N/A</v>
      </c>
      <c r="Q216" s="100" t="e">
        <f t="shared" si="333"/>
        <v>#N/A</v>
      </c>
      <c r="R216" s="86" t="b">
        <f t="shared" si="334"/>
        <v>0</v>
      </c>
      <c r="S216" s="86">
        <f t="shared" si="332"/>
        <v>0.5</v>
      </c>
      <c r="T216" s="86">
        <f t="shared" si="335"/>
        <v>0.5</v>
      </c>
      <c r="U216" s="30" t="e">
        <f t="shared" ca="1" si="369"/>
        <v>#DIV/0!</v>
      </c>
      <c r="V216" s="85" t="str">
        <f>IF(B216&lt;=Hypothèses!$V$7,Hypothèses!$W$7,IF(B216&lt;=Hypothèses!$V$8,Hypothèses!$W$8,IF(B216&lt;=Hypothèses!$V$9,Hypothèses!$W$9,IF(B216&lt;=Hypothèses!$V$10,Hypothèses!$W$10,IF(B216&lt;=Hypothèses!$V$11,Hypothèses!$W$11,IF(B216&lt;=Hypothèses!$V$12,Hypothèses!$W$12,IF(B216&lt;=Hypothèses!$V$13,Hypothèses!$W$13,IF(B216&lt;=Hypothèses!$V$14,Hypothèses!$W$14,IF(B216&lt;=Hypothèses!$V$15,Hypothèses!$W$15,IF(B216&lt;=Hypothèses!$V$16,Hypothèses!$W$16,IF(B216&lt;=Hypothèses!$V$17,Hypothèses!$W$17,IF(B216&lt;=Hypothèses!$V$18,Hypothèses!$W$18,""))))))))))))</f>
        <v/>
      </c>
      <c r="W216" s="87" t="e">
        <f t="shared" ca="1" si="416"/>
        <v>#DIV/0!</v>
      </c>
      <c r="X216" s="88" t="str">
        <f>IF(B216&lt;=Hypothèses!$V$7,Hypothèses!$X$7,IF(B216&lt;=Hypothèses!$V$8,Hypothèses!$X$8,IF(B216&lt;=Hypothèses!$V$9,Hypothèses!$X$9,IF(B216&lt;=Hypothèses!$V$10,Hypothèses!$X$10,IF(B216&lt;=Hypothèses!$V$11,Hypothèses!$X$11,IF(B216&lt;=Hypothèses!$V$12,Hypothèses!$X$12,IF(B216&lt;=Hypothèses!$V$13,Hypothèses!$X$13,IF(B216&lt;=Hypothèses!$V$14,Hypothèses!$X$14,IF(B216&lt;=Hypothèses!$V$15,Hypothèses!$X$15,IF(B216&lt;=Hypothèses!$V$16,Hypothèses!$X$16,IF(B216&lt;=Hypothèses!$U$17,Hypothèses!$W$17,IF(B216&lt;=Hypothèses!$U$18,Hypothèses!$W$18,""))))))))))))</f>
        <v/>
      </c>
      <c r="Y216" s="95" t="e">
        <f t="shared" ca="1" si="336"/>
        <v>#DIV/0!</v>
      </c>
      <c r="Z216" s="101" t="e">
        <f t="shared" si="337"/>
        <v>#N/A</v>
      </c>
      <c r="AA216" s="91" t="e">
        <f t="shared" si="338"/>
        <v>#N/A</v>
      </c>
      <c r="AB216" s="30" t="e">
        <f t="shared" si="400"/>
        <v>#N/A</v>
      </c>
      <c r="AC216" s="30" t="e">
        <f t="shared" si="401"/>
        <v>#N/A</v>
      </c>
      <c r="AD216" s="31" t="e">
        <f>IF(OR(Hypothèses!$B$4=17,Hypothèses!$B$4=18,Hypothèses!$B$4=19,Hypothèses!$B$4=20),
IF($D216="Pressio.",
IF(OR($E216=3,$E216=1,$E216=4),AC216,AB216),
IF($D216="Pénétro.",
IF(OR($E216=3,$E216=1,$E216=4),AC216,AB216))),IF($D216="Pressio.",
IF($E216=3,AC216,AB216),
IF($D216="Pénétro.",
IF($E216=4,AC216,AB216))))</f>
        <v>#N/A</v>
      </c>
      <c r="AE216" s="31" t="e">
        <f>(IF(OR(Hypothèses!$B$4=17,Hypothèses!$B$4=18,Hypothèses!$B$4=19,Hypothèses!$B$4=20),
IF($D216="Pressio.",
IF(OR($E216=3,$E216=1,$E216=4),(PI()*AE$12^2)/4*(AA216*$W216*1000)/($H216*$B$5),(PI()*AE$12^2)/4*(AA216*$W216*1000)/($G216*$B$5)),
IF($D216="Pénétro.",
IF(OR($E216=4,$E216=1,$E216=5),(PI()*AE$12^2)/4*(AA216*$W216*1000)/($H216*$B$5),(PI()*AE$12^2)/4*(AA216*$W216*1000)/($G216*$B$5)))),
IF($D216="Pressio.",
IF($E216=3,(PI()*AE$12^2)/4*(AA216*$W216*1000)/($H216*$B$5),(PI()*AE$12^2)/4*(AA216*$W216*1000)/($G216*$B$5)),
IF($D216="Pénétro.",
IF($E216=4,(PI()*AE$12^2)/4*(AA216*$W216*1000)/($H216*$B$5),(PI()*AE$12^2)/4*(AA216*$W216*1000)/($G216*$B$5))))))/10</f>
        <v>#N/A</v>
      </c>
      <c r="AF216" s="102" t="e">
        <f>(VLOOKUP($B$3,'Coeff EC7'!$T$39:$X$59,2,0)*AD216+VLOOKUP($B$3,'Coeff EC7'!$T$65:$X$85,2,0)*Model0.1C!AE216)/1.1</f>
        <v>#N/A</v>
      </c>
      <c r="AG216" s="102" t="e">
        <f>(VLOOKUP($B$3,'Coeff EC7'!$T$39:$X$59,3,0)*AD216+VLOOKUP($B$3,'Coeff EC7'!$T$65:$X$85,3,0)*Model0.1C!AE216)/0.9</f>
        <v>#N/A</v>
      </c>
      <c r="AH216" s="102" t="e">
        <f t="shared" si="339"/>
        <v>#N/A</v>
      </c>
      <c r="AI216" s="102" t="e">
        <f t="shared" si="340"/>
        <v>#N/A</v>
      </c>
      <c r="AJ216" s="414" t="e">
        <f>IF(AJ215=0,0,IF(AND(AF216&gt;charge_ELS_quasi,AG216&gt;Charge_ELS_freq,AH216&gt;charge_ELU,AI216&gt;charge_ELA,$B216&gt;NDC!$H$22-0.1+MIN(3*$AJ$12,1.5)),0,1))</f>
        <v>#N/A</v>
      </c>
      <c r="AK216" s="86" t="b">
        <f t="shared" si="341"/>
        <v>0</v>
      </c>
      <c r="AL216" s="86">
        <f t="shared" si="370"/>
        <v>0.5</v>
      </c>
      <c r="AM216" s="86">
        <f t="shared" si="342"/>
        <v>0.5</v>
      </c>
      <c r="AN216" s="30" t="e">
        <f t="shared" ca="1" si="371"/>
        <v>#DIV/0!</v>
      </c>
      <c r="AO216" s="85" t="e">
        <f ca="1">IF(U216&lt;=Hypothèses!$V$7,Hypothèses!$W$7,IF(U216&lt;=Hypothèses!$V$8,Hypothèses!$W$8,IF(U216&lt;=Hypothèses!$V$9,Hypothèses!$W$9,IF(U216&lt;=Hypothèses!$V$10,Hypothèses!$W$10,IF(U216&lt;=Hypothèses!$V$11,Hypothèses!$W$11,IF(U216&lt;=Hypothèses!$V$12,Hypothèses!$W$12,IF(U216&lt;=Hypothèses!$V$13,Hypothèses!$W$13,IF(U216&lt;=Hypothèses!$V$14,Hypothèses!$W$14,IF(U216&lt;=Hypothèses!$V$15,Hypothèses!$W$15,IF(U216&lt;=Hypothèses!$V$16,Hypothèses!$W$16,IF(U216&lt;=Hypothèses!$V$17,Hypothèses!$W$17,IF(U216&lt;=Hypothèses!$V$18,Hypothèses!$W$18,""))))))))))))</f>
        <v>#DIV/0!</v>
      </c>
      <c r="AP216" s="87" t="e">
        <f t="shared" ca="1" si="417"/>
        <v>#DIV/0!</v>
      </c>
      <c r="AQ216" s="88" t="e">
        <f ca="1">IF(U216&lt;=Hypothèses!$V$7,Hypothèses!$X$7,IF(U216&lt;=Hypothèses!$V$8,Hypothèses!$X$8,IF(U216&lt;=Hypothèses!$V$9,Hypothèses!$X$9,IF(U216&lt;=Hypothèses!$V$10,Hypothèses!$X$10,IF(U216&lt;=Hypothèses!$V$11,Hypothèses!$X$11,IF(U216&lt;=Hypothèses!$V$12,Hypothèses!$X$12,IF(U216&lt;=Hypothèses!$V$13,Hypothèses!$X$13,IF(U216&lt;=Hypothèses!$V$14,Hypothèses!$X$14,IF(U216&lt;=Hypothèses!$V$15,Hypothèses!$X$15,IF(U216&lt;=Hypothèses!$V$16,Hypothèses!$X$16,IF(U216&lt;=Hypothèses!$U$17,Hypothèses!$W$17,IF(U216&lt;=Hypothèses!$U$18,Hypothèses!$W$18,""))))))))))))</f>
        <v>#DIV/0!</v>
      </c>
      <c r="AR216" s="95" t="e">
        <f t="shared" ca="1" si="372"/>
        <v>#DIV/0!</v>
      </c>
      <c r="AS216" s="101" t="e">
        <f t="shared" si="424"/>
        <v>#N/A</v>
      </c>
      <c r="AT216" s="91" t="e">
        <f t="shared" si="343"/>
        <v>#N/A</v>
      </c>
      <c r="AU216" s="30" t="e">
        <f t="shared" si="402"/>
        <v>#N/A</v>
      </c>
      <c r="AV216" s="30" t="e">
        <f t="shared" si="403"/>
        <v>#N/A</v>
      </c>
      <c r="AW216" s="31" t="e">
        <f>IF(OR(Hypothèses!$B$4=17,Hypothèses!$B$4=18,Hypothèses!$B$4=19,Hypothèses!$B$4=20),
IF($D216="Pressio.",
IF(OR($E216=3,$E216=1,$E216=4),AV216,AU216),
IF($D216="Pénétro.",
IF(OR($E216=3,$E216=1,$E216=4),AV216,AU216))),IF($D216="Pressio.",
IF($E216=3,AV216,AU216),
IF($D216="Pénétro.",
IF($E216=4,AV216,AU216))))</f>
        <v>#N/A</v>
      </c>
      <c r="AX216" s="31" t="e">
        <f>(IF(OR(Hypothèses!$B$4=17,Hypothèses!$B$4=18,Hypothèses!$B$4=19,Hypothèses!$B$4=20),
IF($D216="Pressio.",
IF(OR($E216=3,$E216=1,$E216=4),(PI()*AX$12^2)/4*(AT216*$W216*1000)/($H216*$B$5),(PI()*AX$12^2)/4*(AT216*$W216*1000)/($G216*$B$5)),
IF($D216="Pénétro.",
IF(OR($E216=4,$E216=1,$E216=5),(PI()*AX$12^2)/4*(AT216*$W216*1000)/($H216*$B$5),(PI()*AX$12^2)/4*(AT216*$W216*1000)/($G216*$B$5)))),
IF($D216="Pressio.",
IF($E216=3,(PI()*AX$12^2)/4*(AT216*$W216*1000)/($H216*$B$5),(PI()*AX$12^2)/4*(AT216*$W216*1000)/($G216*$B$5)),
IF($D216="Pénétro.",
IF($E216=4,(PI()*AX$12^2)/4*(AT216*$W216*1000)/($H216*$B$5),(PI()*AX$12^2)/4*(AT216*$W216*1000)/($G216*$B$5))))))/10</f>
        <v>#N/A</v>
      </c>
      <c r="AY216" s="102" t="e">
        <f>(VLOOKUP($B$3,'Coeff EC7'!$T$39:$X$59,2,0)*AW216+VLOOKUP($B$3,'Coeff EC7'!$T$65:$X$85,2,0)*Model0.1C!AX216)/1.1</f>
        <v>#N/A</v>
      </c>
      <c r="AZ216" s="102" t="e">
        <f>(VLOOKUP($B$3,'Coeff EC7'!$T$39:$X$59,3,0)*AW216+VLOOKUP($B$3,'Coeff EC7'!$T$65:$X$85,3,0)*Model0.1C!AX216)/0.9</f>
        <v>#N/A</v>
      </c>
      <c r="BA216" s="102" t="e">
        <f t="shared" si="373"/>
        <v>#N/A</v>
      </c>
      <c r="BB216" s="102" t="e">
        <f t="shared" si="374"/>
        <v>#N/A</v>
      </c>
      <c r="BC216" s="414" t="e">
        <f>IF(BC215=0,0,IF(AND(AY216&gt;charge_ELS_quasi,AZ216&gt;Charge_ELS_freq,BA216&gt;charge_ELU,BB216&gt;charge_ELA,$B216&gt;NDC!$H$22-0.1+MIN(3*$BC$12,1.5)),0,1))</f>
        <v>#N/A</v>
      </c>
      <c r="BD216" s="86" t="b">
        <f t="shared" si="344"/>
        <v>0</v>
      </c>
      <c r="BE216" s="86">
        <f t="shared" si="375"/>
        <v>0.5</v>
      </c>
      <c r="BF216" s="86">
        <f t="shared" si="345"/>
        <v>0.5</v>
      </c>
      <c r="BG216" s="30" t="e">
        <f t="shared" ca="1" si="376"/>
        <v>#DIV/0!</v>
      </c>
      <c r="BH216" s="85" t="e">
        <f ca="1">IF(AN216&lt;=Hypothèses!$V$7,Hypothèses!$W$7,IF(AN216&lt;=Hypothèses!$V$8,Hypothèses!$W$8,IF(AN216&lt;=Hypothèses!$V$9,Hypothèses!$W$9,IF(AN216&lt;=Hypothèses!$V$10,Hypothèses!$W$10,IF(AN216&lt;=Hypothèses!$V$11,Hypothèses!$W$11,IF(AN216&lt;=Hypothèses!$V$12,Hypothèses!$W$12,IF(AN216&lt;=Hypothèses!$V$13,Hypothèses!$W$13,IF(AN216&lt;=Hypothèses!$V$14,Hypothèses!$W$14,IF(AN216&lt;=Hypothèses!$V$15,Hypothèses!$W$15,IF(AN216&lt;=Hypothèses!$V$16,Hypothèses!$W$16,IF(AN216&lt;=Hypothèses!$V$17,Hypothèses!$W$17,IF(AN216&lt;=Hypothèses!$V$18,Hypothèses!$W$18,""))))))))))))</f>
        <v>#DIV/0!</v>
      </c>
      <c r="BI216" s="87" t="e">
        <f t="shared" ca="1" si="418"/>
        <v>#DIV/0!</v>
      </c>
      <c r="BJ216" s="88" t="e">
        <f ca="1">IF(AN216&lt;=Hypothèses!$V$7,Hypothèses!$X$7,IF(AN216&lt;=Hypothèses!$V$8,Hypothèses!$X$8,IF(AN216&lt;=Hypothèses!$V$9,Hypothèses!$X$9,IF(AN216&lt;=Hypothèses!$V$10,Hypothèses!$X$10,IF(AN216&lt;=Hypothèses!$V$11,Hypothèses!$X$11,IF(AN216&lt;=Hypothèses!$V$12,Hypothèses!$X$12,IF(AN216&lt;=Hypothèses!$V$13,Hypothèses!$X$13,IF(AN216&lt;=Hypothèses!$V$14,Hypothèses!$X$14,IF(AN216&lt;=Hypothèses!$V$15,Hypothèses!$X$15,IF(AN216&lt;=Hypothèses!$V$16,Hypothèses!$X$16,IF(AN216&lt;=Hypothèses!$U$17,Hypothèses!$W$17,IF(AN216&lt;=Hypothèses!$U$18,Hypothèses!$W$18,""))))))))))))</f>
        <v>#DIV/0!</v>
      </c>
      <c r="BK216" s="95" t="e">
        <f t="shared" ca="1" si="377"/>
        <v>#DIV/0!</v>
      </c>
      <c r="BL216" s="101" t="e">
        <f t="shared" si="425"/>
        <v>#N/A</v>
      </c>
      <c r="BM216" s="91" t="e">
        <f t="shared" si="346"/>
        <v>#N/A</v>
      </c>
      <c r="BN216" s="30" t="e">
        <f t="shared" si="404"/>
        <v>#N/A</v>
      </c>
      <c r="BO216" s="30" t="e">
        <f t="shared" si="405"/>
        <v>#N/A</v>
      </c>
      <c r="BP216" s="31" t="e">
        <f>IF(OR(Hypothèses!$B$4=17,Hypothèses!$B$4=18,Hypothèses!$B$4=19,Hypothèses!$B$4=20),
IF($D216="Pressio.",
IF(OR($E216=3,$E216=1,$E216=4),BO216,BN216),
IF($D216="Pénétro.",
IF(OR($E216=3,$E216=1,$E216=4),BO216,BN216))),IF($D216="Pressio.",
IF($E216=3,BO216,BN216),
IF($D216="Pénétro.",
IF($E216=4,BO216,BN216))))</f>
        <v>#N/A</v>
      </c>
      <c r="BQ216" s="31" t="e">
        <f>(IF(OR(Hypothèses!$B$4=17,Hypothèses!$B$4=18,Hypothèses!$B$4=19,Hypothèses!$B$4=20),
IF($D216="Pressio.",
IF(OR($E216=3,$E216=1,$E216=4),(PI()*BQ$12^2)/4*(BM216*$W216*1000)/($H216*$B$5),(PI()*BQ$12^2)/4*(BM216*$W216*1000)/($G216*$B$5)),
IF($D216="Pénétro.",
IF(OR($E216=4,$E216=1,$E216=5),(PI()*BQ$12^2)/4*(BM216*$W216*1000)/($H216*$B$5),(PI()*BQ$12^2)/4*(BM216*$W216*1000)/($G216*$B$5)))),
IF($D216="Pressio.",
IF($E216=3,(PI()*BQ$12^2)/4*(BM216*$W216*1000)/($H216*$B$5),(PI()*BQ$12^2)/4*(BM216*$W216*1000)/($G216*$B$5)),
IF($D216="Pénétro.",
IF($E216=4,(PI()*BQ$12^2)/4*(BM216*$W216*1000)/($H216*$B$5),(PI()*BQ$12^2)/4*(BM216*$W216*1000)/($G216*$B$5))))))/10</f>
        <v>#N/A</v>
      </c>
      <c r="BR216" s="102" t="e">
        <f>(VLOOKUP($B$3,'Coeff EC7'!$T$39:$X$59,2,0)*BP216+VLOOKUP($B$3,'Coeff EC7'!$T$65:$X$85,2,0)*Model0.1C!BQ216)/1.1</f>
        <v>#N/A</v>
      </c>
      <c r="BS216" s="102" t="e">
        <f>(VLOOKUP($B$3,'Coeff EC7'!$T$39:$X$59,3,0)*BP216+VLOOKUP($B$3,'Coeff EC7'!$T$65:$X$85,3,0)*Model0.1C!BQ216)/0.9</f>
        <v>#N/A</v>
      </c>
      <c r="BT216" s="102" t="e">
        <f t="shared" si="378"/>
        <v>#N/A</v>
      </c>
      <c r="BU216" s="102" t="e">
        <f t="shared" si="379"/>
        <v>#N/A</v>
      </c>
      <c r="BV216" s="414" t="e">
        <f>IF(BV215=0,0,IF(AND(BR216&gt;charge_ELS_quasi,BS216&gt;Charge_ELS_freq,BT216&gt;charge_ELU,BU216&gt;charge_ELA,$B216&gt;NDC!$H$22-0.1+MIN(3*$BV$12,1.5)),0,1))</f>
        <v>#N/A</v>
      </c>
      <c r="BW216" s="86" t="b">
        <f t="shared" si="347"/>
        <v>0</v>
      </c>
      <c r="BX216" s="86">
        <f t="shared" si="348"/>
        <v>0.5</v>
      </c>
      <c r="BY216" s="86">
        <f t="shared" si="349"/>
        <v>0.5</v>
      </c>
      <c r="BZ216" s="30" t="e">
        <f t="shared" ca="1" si="380"/>
        <v>#DIV/0!</v>
      </c>
      <c r="CA216" s="85" t="e">
        <f ca="1">IF(BG216&lt;=Hypothèses!$V$7,Hypothèses!$W$7,IF(BG216&lt;=Hypothèses!$V$8,Hypothèses!$W$8,IF(BG216&lt;=Hypothèses!$V$9,Hypothèses!$W$9,IF(BG216&lt;=Hypothèses!$V$10,Hypothèses!$W$10,IF(BG216&lt;=Hypothèses!$V$11,Hypothèses!$W$11,IF(BG216&lt;=Hypothèses!$V$12,Hypothèses!$W$12,IF(BG216&lt;=Hypothèses!$V$13,Hypothèses!$W$13,IF(BG216&lt;=Hypothèses!$V$14,Hypothèses!$W$14,IF(BG216&lt;=Hypothèses!$V$15,Hypothèses!$W$15,IF(BG216&lt;=Hypothèses!$V$16,Hypothèses!$W$16,IF(BG216&lt;=Hypothèses!$V$17,Hypothèses!$W$17,IF(BG216&lt;=Hypothèses!$V$18,Hypothèses!$W$18,""))))))))))))</f>
        <v>#DIV/0!</v>
      </c>
      <c r="CB216" s="87" t="e">
        <f t="shared" ca="1" si="419"/>
        <v>#DIV/0!</v>
      </c>
      <c r="CC216" s="88" t="e">
        <f ca="1">IF(BG216&lt;=Hypothèses!$V$7,Hypothèses!$X$7,IF(BG216&lt;=Hypothèses!$V$8,Hypothèses!$X$8,IF(BG216&lt;=Hypothèses!$V$9,Hypothèses!$X$9,IF(BG216&lt;=Hypothèses!$V$10,Hypothèses!$X$10,IF(BG216&lt;=Hypothèses!$V$11,Hypothèses!$X$11,IF(BG216&lt;=Hypothèses!$V$12,Hypothèses!$X$12,IF(BG216&lt;=Hypothèses!$V$13,Hypothèses!$X$13,IF(BG216&lt;=Hypothèses!$V$14,Hypothèses!$X$14,IF(BG216&lt;=Hypothèses!$V$15,Hypothèses!$X$15,IF(BG216&lt;=Hypothèses!$V$16,Hypothèses!$X$16,IF(BG216&lt;=Hypothèses!$U$17,Hypothèses!$W$17,IF(BG216&lt;=Hypothèses!$U$18,Hypothèses!$W$18,""))))))))))))</f>
        <v>#DIV/0!</v>
      </c>
      <c r="CD216" s="95" t="e">
        <f t="shared" ca="1" si="381"/>
        <v>#DIV/0!</v>
      </c>
      <c r="CE216" s="101" t="e">
        <f t="shared" si="426"/>
        <v>#N/A</v>
      </c>
      <c r="CF216" s="91" t="e">
        <f t="shared" si="350"/>
        <v>#N/A</v>
      </c>
      <c r="CG216" s="30" t="e">
        <f t="shared" si="406"/>
        <v>#N/A</v>
      </c>
      <c r="CH216" s="30" t="e">
        <f t="shared" si="407"/>
        <v>#N/A</v>
      </c>
      <c r="CI216" s="31" t="e">
        <f>IF(OR(Hypothèses!$B$4=17,Hypothèses!$B$4=18,Hypothèses!$B$4=19,Hypothèses!$B$4=20),
IF($D216="Pressio.",
IF(OR($E216=3,$E216=1,$E216=4),CH216,CG216),
IF($D216="Pénétro.",
IF(OR($E216=3,$E216=1,$E216=4),CH216,CG216))),IF($D216="Pressio.",
IF($E216=3,CH216,CG216),
IF($D216="Pénétro.",
IF($E216=4,CH216,CG216))))</f>
        <v>#N/A</v>
      </c>
      <c r="CJ216" s="31" t="e">
        <f>(IF(OR(Hypothèses!$B$4=17,Hypothèses!$B$4=18,Hypothèses!$B$4=19,Hypothèses!$B$4=20),
IF($D216="Pressio.",
IF(OR($E216=3,$E216=1,$E216=4),(PI()*CJ$12^2)/4*(CF216*$W216*1000)/($H216*$B$5),(PI()*CJ$12^2)/4*(CF216*$W216*1000)/($G216*$B$5)),
IF($D216="Pénétro.",
IF(OR($E216=4,$E216=1,$E216=5),(PI()*CJ$12^2)/4*(CF216*$W216*1000)/($H216*$B$5),(PI()*CJ$12^2)/4*(CF216*$W216*1000)/($G216*$B$5)))),
IF($D216="Pressio.",
IF($E216=3,(PI()*CJ$12^2)/4*(CF216*$W216*1000)/($H216*$B$5),(PI()*CJ$12^2)/4*(CF216*$W216*1000)/($G216*$B$5)),
IF($D216="Pénétro.",
IF($E216=4,(PI()*CJ$12^2)/4*(CF216*$W216*1000)/($H216*$B$5),(PI()*CJ$12^2)/4*(CF216*$W216*1000)/($G216*$B$5))))))/10</f>
        <v>#N/A</v>
      </c>
      <c r="CK216" s="102" t="e">
        <f>(VLOOKUP($B$3,'Coeff EC7'!$T$39:$X$59,2,0)*CI216+VLOOKUP($B$3,'Coeff EC7'!$T$65:$X$85,2,0)*Model0.1C!CJ216)/1.1</f>
        <v>#N/A</v>
      </c>
      <c r="CL216" s="102" t="e">
        <f>(VLOOKUP($B$3,'Coeff EC7'!$T$39:$X$59,3,0)*CI216+VLOOKUP($B$3,'Coeff EC7'!$T$65:$X$85,3,0)*Model0.1C!CJ216)/0.9</f>
        <v>#N/A</v>
      </c>
      <c r="CM216" s="102" t="e">
        <f t="shared" si="382"/>
        <v>#N/A</v>
      </c>
      <c r="CN216" s="102" t="e">
        <f t="shared" si="383"/>
        <v>#N/A</v>
      </c>
      <c r="CO216" s="414" t="e">
        <f>IF(CO215=0,0,IF(AND(CK216&gt;charge_ELS_quasi,CL216&gt;Charge_ELS_freq,CM216&gt;charge_ELU,CN216&gt;charge_ELA,$B216&gt;NDC!$H$22-0.1+MIN(3*$CO$12,1.5)),0,1))</f>
        <v>#N/A</v>
      </c>
      <c r="CP216" s="86" t="b">
        <f t="shared" si="351"/>
        <v>0</v>
      </c>
      <c r="CQ216" s="86">
        <f t="shared" si="352"/>
        <v>0.5</v>
      </c>
      <c r="CR216" s="86">
        <f t="shared" si="353"/>
        <v>0.5</v>
      </c>
      <c r="CS216" s="30" t="e">
        <f t="shared" ca="1" si="384"/>
        <v>#DIV/0!</v>
      </c>
      <c r="CT216" s="85" t="e">
        <f ca="1">IF(BZ216&lt;=Hypothèses!$V$7,Hypothèses!$W$7,IF(BZ216&lt;=Hypothèses!$V$8,Hypothèses!$W$8,IF(BZ216&lt;=Hypothèses!$V$9,Hypothèses!$W$9,IF(BZ216&lt;=Hypothèses!$V$10,Hypothèses!$W$10,IF(BZ216&lt;=Hypothèses!$V$11,Hypothèses!$W$11,IF(BZ216&lt;=Hypothèses!$V$12,Hypothèses!$W$12,IF(BZ216&lt;=Hypothèses!$V$13,Hypothèses!$W$13,IF(BZ216&lt;=Hypothèses!$V$14,Hypothèses!$W$14,IF(BZ216&lt;=Hypothèses!$V$15,Hypothèses!$W$15,IF(BZ216&lt;=Hypothèses!$V$16,Hypothèses!$W$16,IF(BZ216&lt;=Hypothèses!$V$17,Hypothèses!$W$17,IF(BZ216&lt;=Hypothèses!$V$18,Hypothèses!$W$18,""))))))))))))</f>
        <v>#DIV/0!</v>
      </c>
      <c r="CU216" s="87" t="e">
        <f t="shared" ca="1" si="420"/>
        <v>#DIV/0!</v>
      </c>
      <c r="CV216" s="88" t="e">
        <f ca="1">IF(BZ216&lt;=Hypothèses!$V$7,Hypothèses!$X$7,IF(BZ216&lt;=Hypothèses!$V$8,Hypothèses!$X$8,IF(BZ216&lt;=Hypothèses!$V$9,Hypothèses!$X$9,IF(BZ216&lt;=Hypothèses!$V$10,Hypothèses!$X$10,IF(BZ216&lt;=Hypothèses!$V$11,Hypothèses!$X$11,IF(BZ216&lt;=Hypothèses!$V$12,Hypothèses!$X$12,IF(BZ216&lt;=Hypothèses!$V$13,Hypothèses!$X$13,IF(BZ216&lt;=Hypothèses!$V$14,Hypothèses!$X$14,IF(BZ216&lt;=Hypothèses!$V$15,Hypothèses!$X$15,IF(BZ216&lt;=Hypothèses!$V$16,Hypothèses!$X$16,IF(BZ216&lt;=Hypothèses!$U$17,Hypothèses!$W$17,IF(BZ216&lt;=Hypothèses!$U$18,Hypothèses!$W$18,""))))))))))))</f>
        <v>#DIV/0!</v>
      </c>
      <c r="CW216" s="95" t="e">
        <f t="shared" ca="1" si="385"/>
        <v>#DIV/0!</v>
      </c>
      <c r="CX216" s="101" t="e">
        <f t="shared" si="427"/>
        <v>#N/A</v>
      </c>
      <c r="CY216" s="91" t="e">
        <f t="shared" si="354"/>
        <v>#N/A</v>
      </c>
      <c r="CZ216" s="30" t="e">
        <f t="shared" si="408"/>
        <v>#N/A</v>
      </c>
      <c r="DA216" s="30" t="e">
        <f t="shared" si="409"/>
        <v>#N/A</v>
      </c>
      <c r="DB216" s="31" t="e">
        <f>IF(OR(Hypothèses!$B$4=17,Hypothèses!$B$4=18,Hypothèses!$B$4=19,Hypothèses!$B$4=20),
IF($D216="Pressio.",
IF(OR($E216=3,$E216=1,$E216=4),DA216,CZ216),
IF($D216="Pénétro.",
IF(OR($E216=3,$E216=1,$E216=4),DA216,CZ216))),IF($D216="Pressio.",
IF($E216=3,DA216,CZ216),
IF($D216="Pénétro.",
IF($E216=4,DA216,CZ216))))</f>
        <v>#N/A</v>
      </c>
      <c r="DC216" s="31" t="e">
        <f>(IF(OR(Hypothèses!$B$4=17,Hypothèses!$B$4=18,Hypothèses!$B$4=19,Hypothèses!$B$4=20),
IF($D216="Pressio.",
IF(OR($E216=3,$E216=1,$E216=4),(PI()*DC$12^2)/4*(CY216*$W216*1000)/($H216*$B$5),(PI()*DC$12^2)/4*(CY216*$W216*1000)/($G216*$B$5)),
IF($D216="Pénétro.",
IF(OR($E216=4,$E216=1,$E216=5),(PI()*DC$12^2)/4*(CY216*$W216*1000)/($H216*$B$5),(PI()*DC$12^2)/4*(CY216*$W216*1000)/($G216*$B$5)))),
IF($D216="Pressio.",
IF($E216=3,(PI()*DC$12^2)/4*(CY216*$W216*1000)/($H216*$B$5),(PI()*DC$12^2)/4*(CY216*$W216*1000)/($G216*$B$5)),
IF($D216="Pénétro.",
IF($E216=4,(PI()*DC$12^2)/4*(CY216*$W216*1000)/($H216*$B$5),(PI()*DC$12^2)/4*(CY216*$W216*1000)/($G216*$B$5))))))/10</f>
        <v>#N/A</v>
      </c>
      <c r="DD216" s="102" t="e">
        <f>(VLOOKUP($B$3,'Coeff EC7'!$T$39:$X$59,2,0)*DB216+VLOOKUP($B$3,'Coeff EC7'!$T$65:$X$85,2,0)*Model0.1C!DC216)/1.1</f>
        <v>#N/A</v>
      </c>
      <c r="DE216" s="102" t="e">
        <f>(VLOOKUP($B$3,'Coeff EC7'!$T$39:$X$59,3,0)*DB216+VLOOKUP($B$3,'Coeff EC7'!$T$65:$X$85,3,0)*Model0.1C!DC216)/0.9</f>
        <v>#N/A</v>
      </c>
      <c r="DF216" s="102" t="e">
        <f t="shared" si="386"/>
        <v>#N/A</v>
      </c>
      <c r="DG216" s="102" t="e">
        <f t="shared" si="387"/>
        <v>#N/A</v>
      </c>
      <c r="DH216" s="414" t="e">
        <f>IF(DH215=0,0,IF(AND(DD216&gt;charge_ELS_quasi,DE216&gt;Charge_ELS_freq,DF216&gt;charge_ELU,DG216&gt;charge_ELA,$B216&gt;NDC!$H$22-0.1+MIN(3*$DH$12,1.5)),0,1))</f>
        <v>#N/A</v>
      </c>
      <c r="DI216" s="86" t="b">
        <f t="shared" si="355"/>
        <v>0</v>
      </c>
      <c r="DJ216" s="86">
        <f t="shared" si="356"/>
        <v>0.5</v>
      </c>
      <c r="DK216" s="86">
        <f t="shared" si="357"/>
        <v>0.5</v>
      </c>
      <c r="DL216" s="30" t="e">
        <f t="shared" ca="1" si="388"/>
        <v>#DIV/0!</v>
      </c>
      <c r="DM216" s="85" t="e">
        <f ca="1">IF(CS216&lt;=Hypothèses!$V$7,Hypothèses!$W$7,IF(CS216&lt;=Hypothèses!$V$8,Hypothèses!$W$8,IF(CS216&lt;=Hypothèses!$V$9,Hypothèses!$W$9,IF(CS216&lt;=Hypothèses!$V$10,Hypothèses!$W$10,IF(CS216&lt;=Hypothèses!$V$11,Hypothèses!$W$11,IF(CS216&lt;=Hypothèses!$V$12,Hypothèses!$W$12,IF(CS216&lt;=Hypothèses!$V$13,Hypothèses!$W$13,IF(CS216&lt;=Hypothèses!$V$14,Hypothèses!$W$14,IF(CS216&lt;=Hypothèses!$V$15,Hypothèses!$W$15,IF(CS216&lt;=Hypothèses!$V$16,Hypothèses!$W$16,IF(CS216&lt;=Hypothèses!$V$17,Hypothèses!$W$17,IF(CS216&lt;=Hypothèses!$V$18,Hypothèses!$W$18,""))))))))))))</f>
        <v>#DIV/0!</v>
      </c>
      <c r="DN216" s="87" t="e">
        <f t="shared" ca="1" si="421"/>
        <v>#DIV/0!</v>
      </c>
      <c r="DO216" s="88" t="e">
        <f ca="1">IF(CS216&lt;=Hypothèses!$V$7,Hypothèses!$X$7,IF(CS216&lt;=Hypothèses!$V$8,Hypothèses!$X$8,IF(CS216&lt;=Hypothèses!$V$9,Hypothèses!$X$9,IF(CS216&lt;=Hypothèses!$V$10,Hypothèses!$X$10,IF(CS216&lt;=Hypothèses!$V$11,Hypothèses!$X$11,IF(CS216&lt;=Hypothèses!$V$12,Hypothèses!$X$12,IF(CS216&lt;=Hypothèses!$V$13,Hypothèses!$X$13,IF(CS216&lt;=Hypothèses!$V$14,Hypothèses!$X$14,IF(CS216&lt;=Hypothèses!$V$15,Hypothèses!$X$15,IF(CS216&lt;=Hypothèses!$V$16,Hypothèses!$X$16,IF(CS216&lt;=Hypothèses!$U$17,Hypothèses!$W$17,IF(CS216&lt;=Hypothèses!$U$18,Hypothèses!$W$18,""))))))))))))</f>
        <v>#DIV/0!</v>
      </c>
      <c r="DP216" s="95" t="e">
        <f t="shared" ca="1" si="389"/>
        <v>#DIV/0!</v>
      </c>
      <c r="DQ216" s="101" t="e">
        <f t="shared" si="428"/>
        <v>#N/A</v>
      </c>
      <c r="DR216" s="91" t="e">
        <f t="shared" si="358"/>
        <v>#N/A</v>
      </c>
      <c r="DS216" s="30" t="e">
        <f t="shared" si="410"/>
        <v>#N/A</v>
      </c>
      <c r="DT216" s="30" t="e">
        <f t="shared" si="411"/>
        <v>#N/A</v>
      </c>
      <c r="DU216" s="31" t="e">
        <f>IF(OR(Hypothèses!$B$4=17,Hypothèses!$B$4=18,Hypothèses!$B$4=19,Hypothèses!$B$4=20),
IF($D216="Pressio.",
IF(OR($E216=3,$E216=1,$E216=4),DT216,DS216),
IF($D216="Pénétro.",
IF(OR($E216=3,$E216=1,$E216=4),DT216,DS216))),IF($D216="Pressio.",
IF($E216=3,DT216,DS216),
IF($D216="Pénétro.",
IF($E216=4,DT216,DS216))))</f>
        <v>#N/A</v>
      </c>
      <c r="DV216" s="31" t="e">
        <f>(IF(OR(Hypothèses!$B$4=17,Hypothèses!$B$4=18,Hypothèses!$B$4=19,Hypothèses!$B$4=20),
IF($D216="Pressio.",
IF(OR($E216=3,$E216=1,$E216=4),(PI()*DV$12^2)/4*(DR216*$W216*1000)/($H216*$B$5),(PI()*DV$12^2)/4*(DR216*$W216*1000)/($G216*$B$5)),
IF($D216="Pénétro.",
IF(OR($E216=4,$E216=1,$E216=5),(PI()*DV$12^2)/4*(DR216*$W216*1000)/($H216*$B$5),(PI()*DV$12^2)/4*(DR216*$W216*1000)/($G216*$B$5)))),
IF($D216="Pressio.",
IF($E216=3,(PI()*DV$12^2)/4*(DR216*$W216*1000)/($H216*$B$5),(PI()*DV$12^2)/4*(DR216*$W216*1000)/($G216*$B$5)),
IF($D216="Pénétro.",
IF($E216=4,(PI()*DV$12^2)/4*(DR216*$W216*1000)/($H216*$B$5),(PI()*DV$12^2)/4*(DR216*$W216*1000)/($G216*$B$5))))))/10</f>
        <v>#N/A</v>
      </c>
      <c r="DW216" s="102" t="e">
        <f>(VLOOKUP($B$3,'Coeff EC7'!$T$39:$X$59,2,0)*DU216+VLOOKUP($B$3,'Coeff EC7'!$T$65:$X$85,2,0)*Model0.1C!DV216)/1.1</f>
        <v>#N/A</v>
      </c>
      <c r="DX216" s="102" t="e">
        <f>(VLOOKUP($B$3,'Coeff EC7'!$T$39:$X$59,3,0)*DU216+VLOOKUP($B$3,'Coeff EC7'!$T$65:$X$85,3,0)*Model0.1C!DV216)/0.9</f>
        <v>#N/A</v>
      </c>
      <c r="DY216" s="102" t="e">
        <f t="shared" si="390"/>
        <v>#N/A</v>
      </c>
      <c r="DZ216" s="102" t="e">
        <f t="shared" si="391"/>
        <v>#N/A</v>
      </c>
      <c r="EA216" s="414" t="e">
        <f>IF(EA215=0,0,IF(AND(DW216&gt;charge_ELS_quasi,DX216&gt;Charge_ELS_freq,DY216&gt;charge_ELU,DZ216&gt;charge_ELA,$B216&gt;NDC!$H$22-0.1+MIN(3*$EA$12,1.5)),0,1))</f>
        <v>#N/A</v>
      </c>
      <c r="EB216" s="86" t="b">
        <f t="shared" si="359"/>
        <v>0</v>
      </c>
      <c r="EC216" s="418">
        <f t="shared" si="360"/>
        <v>0.51</v>
      </c>
      <c r="ED216" s="86">
        <f t="shared" si="361"/>
        <v>0.51</v>
      </c>
      <c r="EE216" s="30" t="e">
        <f t="shared" ca="1" si="392"/>
        <v>#DIV/0!</v>
      </c>
      <c r="EF216" s="85" t="e">
        <f ca="1">IF(DL216&lt;=Hypothèses!$V$7,Hypothèses!$W$7,IF(DL216&lt;=Hypothèses!$V$8,Hypothèses!$W$8,IF(DL216&lt;=Hypothèses!$V$9,Hypothèses!$W$9,IF(DL216&lt;=Hypothèses!$V$10,Hypothèses!$W$10,IF(DL216&lt;=Hypothèses!$V$11,Hypothèses!$W$11,IF(DL216&lt;=Hypothèses!$V$12,Hypothèses!$W$12,IF(DL216&lt;=Hypothèses!$V$13,Hypothèses!$W$13,IF(DL216&lt;=Hypothèses!$V$14,Hypothèses!$W$14,IF(DL216&lt;=Hypothèses!$V$15,Hypothèses!$W$15,IF(DL216&lt;=Hypothèses!$V$16,Hypothèses!$W$16,IF(DL216&lt;=Hypothèses!$V$17,Hypothèses!$W$17,IF(DL216&lt;=Hypothèses!$V$18,Hypothèses!$W$18,""))))))))))))</f>
        <v>#DIV/0!</v>
      </c>
      <c r="EG216" s="87" t="e">
        <f t="shared" ca="1" si="422"/>
        <v>#DIV/0!</v>
      </c>
      <c r="EH216" s="88" t="e">
        <f ca="1">IF(DL216&lt;=Hypothèses!$V$7,Hypothèses!$X$7,IF(DL216&lt;=Hypothèses!$V$8,Hypothèses!$X$8,IF(DL216&lt;=Hypothèses!$V$9,Hypothèses!$X$9,IF(DL216&lt;=Hypothèses!$V$10,Hypothèses!$X$10,IF(DL216&lt;=Hypothèses!$V$11,Hypothèses!$X$11,IF(DL216&lt;=Hypothèses!$V$12,Hypothèses!$X$12,IF(DL216&lt;=Hypothèses!$V$13,Hypothèses!$X$13,IF(DL216&lt;=Hypothèses!$V$14,Hypothèses!$X$14,IF(DL216&lt;=Hypothèses!$V$15,Hypothèses!$X$15,IF(DL216&lt;=Hypothèses!$V$16,Hypothèses!$X$16,IF(DL216&lt;=Hypothèses!$U$17,Hypothèses!$W$17,IF(DL216&lt;=Hypothèses!$U$18,Hypothèses!$W$18,""))))))))))))</f>
        <v>#DIV/0!</v>
      </c>
      <c r="EI216" s="95" t="e">
        <f t="shared" ca="1" si="393"/>
        <v>#DIV/0!</v>
      </c>
      <c r="EJ216" s="101" t="e">
        <f t="shared" si="429"/>
        <v>#N/A</v>
      </c>
      <c r="EK216" s="91" t="e">
        <f t="shared" si="362"/>
        <v>#N/A</v>
      </c>
      <c r="EL216" s="30" t="e">
        <f t="shared" si="412"/>
        <v>#N/A</v>
      </c>
      <c r="EM216" s="30" t="e">
        <f t="shared" si="413"/>
        <v>#N/A</v>
      </c>
      <c r="EN216" s="31" t="e">
        <f>IF(OR(Hypothèses!$B$4=17,Hypothèses!$B$4=18,Hypothèses!$B$4=19,Hypothèses!$B$4=20),
IF($D216="Pressio.",
IF(OR($E216=3,$E216=1,$E216=4),EM216,EL216),
IF($D216="Pénétro.",
IF(OR($E216=3,$E216=1,$E216=4),EM216,EL216))),IF($D216="Pressio.",
IF($E216=3,EM216,EL216),
IF($D216="Pénétro.",
IF($E216=4,EM216,EL216))))</f>
        <v>#N/A</v>
      </c>
      <c r="EO216" s="31" t="e">
        <f>(IF(OR(Hypothèses!$B$4=17,Hypothèses!$B$4=18,Hypothèses!$B$4=19,Hypothèses!$B$4=20),
IF($D216="Pressio.",
IF(OR($E216=3,$E216=1,$E216=4),(PI()*EO$12^2)/4*(EK216*$W216*1000)/($H216*$B$5),(PI()*EO$12^2)/4*(EK216*$W216*1000)/($G216*$B$5)),
IF($D216="Pénétro.",
IF(OR($E216=4,$E216=1,$E216=5),(PI()*EO$12^2)/4*(EK216*$W216*1000)/($H216*$B$5),(PI()*EO$12^2)/4*(EK216*$W216*1000)/($G216*$B$5)))),
IF($D216="Pressio.",
IF($E216=3,(PI()*EO$12^2)/4*(EK216*$W216*1000)/($H216*$B$5),(PI()*EO$12^2)/4*(EK216*$W216*1000)/($G216*$B$5)),
IF($D216="Pénétro.",
IF($E216=4,(PI()*EO$12^2)/4*(EK216*$W216*1000)/($H216*$B$5),(PI()*EO$12^2)/4*(EK216*$W216*1000)/($G216*$B$5))))))/10</f>
        <v>#N/A</v>
      </c>
      <c r="EP216" s="102" t="e">
        <f>(VLOOKUP($B$3,'Coeff EC7'!$T$39:$X$59,2,0)*EN216+VLOOKUP($B$3,'Coeff EC7'!$T$65:$X$85,2,0)*Model0.1C!EO216)/1.1</f>
        <v>#N/A</v>
      </c>
      <c r="EQ216" s="102" t="e">
        <f>(VLOOKUP($B$3,'Coeff EC7'!$T$39:$X$59,3,0)*EN216+VLOOKUP($B$3,'Coeff EC7'!$T$65:$X$85,3,0)*Model0.1C!EO216)/0.9</f>
        <v>#N/A</v>
      </c>
      <c r="ER216" s="102" t="e">
        <f t="shared" si="394"/>
        <v>#N/A</v>
      </c>
      <c r="ES216" s="102" t="e">
        <f t="shared" si="395"/>
        <v>#N/A</v>
      </c>
      <c r="ET216" s="414" t="e">
        <f>IF(ET215=0,0,IF(AND(EP216&gt;charge_ELS_quasi,EQ216&gt;Charge_ELS_freq,ER216&gt;charge_ELU,ES216&gt;charge_ELA,$B216&gt;NDC!$H$22-0.1+MIN(3*$ET$12,1.5)),0,1))</f>
        <v>#N/A</v>
      </c>
      <c r="EU216" s="86" t="b">
        <f t="shared" si="363"/>
        <v>0</v>
      </c>
      <c r="EV216" s="86">
        <f t="shared" si="364"/>
        <v>0.61</v>
      </c>
      <c r="EW216" s="86">
        <f t="shared" si="365"/>
        <v>0.61</v>
      </c>
      <c r="EX216" s="30" t="e">
        <f t="shared" ca="1" si="396"/>
        <v>#DIV/0!</v>
      </c>
      <c r="EY216" s="85" t="e">
        <f ca="1">IF(EE216&lt;=Hypothèses!$V$7,Hypothèses!$W$7,IF(EE216&lt;=Hypothèses!$V$8,Hypothèses!$W$8,IF(EE216&lt;=Hypothèses!$V$9,Hypothèses!$W$9,IF(EE216&lt;=Hypothèses!$V$10,Hypothèses!$W$10,IF(EE216&lt;=Hypothèses!$V$11,Hypothèses!$W$11,IF(EE216&lt;=Hypothèses!$V$12,Hypothèses!$W$12,IF(EE216&lt;=Hypothèses!$V$13,Hypothèses!$W$13,IF(EE216&lt;=Hypothèses!$V$14,Hypothèses!$W$14,IF(EE216&lt;=Hypothèses!$V$15,Hypothèses!$W$15,IF(EE216&lt;=Hypothèses!$V$16,Hypothèses!$W$16,IF(EE216&lt;=Hypothèses!$V$17,Hypothèses!$W$17,IF(EE216&lt;=Hypothèses!$V$18,Hypothèses!$W$18,""))))))))))))</f>
        <v>#DIV/0!</v>
      </c>
      <c r="EZ216" s="87" t="e">
        <f t="shared" ca="1" si="423"/>
        <v>#DIV/0!</v>
      </c>
      <c r="FA216" s="88" t="e">
        <f ca="1">IF(EE216&lt;=Hypothèses!$V$7,Hypothèses!$X$7,IF(EE216&lt;=Hypothèses!$V$8,Hypothèses!$X$8,IF(EE216&lt;=Hypothèses!$V$9,Hypothèses!$X$9,IF(EE216&lt;=Hypothèses!$V$10,Hypothèses!$X$10,IF(EE216&lt;=Hypothèses!$V$11,Hypothèses!$X$11,IF(EE216&lt;=Hypothèses!$V$12,Hypothèses!$X$12,IF(EE216&lt;=Hypothèses!$V$13,Hypothèses!$X$13,IF(EE216&lt;=Hypothèses!$V$14,Hypothèses!$X$14,IF(EE216&lt;=Hypothèses!$V$15,Hypothèses!$X$15,IF(EE216&lt;=Hypothèses!$V$16,Hypothèses!$X$16,IF(EE216&lt;=Hypothèses!$U$17,Hypothèses!$W$17,IF(EE216&lt;=Hypothèses!$U$18,Hypothèses!$W$18,""))))))))))))</f>
        <v>#DIV/0!</v>
      </c>
      <c r="FB216" s="95" t="e">
        <f t="shared" ca="1" si="397"/>
        <v>#DIV/0!</v>
      </c>
      <c r="FC216" s="101" t="e">
        <f t="shared" si="430"/>
        <v>#N/A</v>
      </c>
      <c r="FD216" s="91" t="e">
        <f t="shared" si="366"/>
        <v>#N/A</v>
      </c>
      <c r="FE216" s="30" t="e">
        <f t="shared" si="414"/>
        <v>#N/A</v>
      </c>
      <c r="FF216" s="30" t="e">
        <f t="shared" si="415"/>
        <v>#N/A</v>
      </c>
      <c r="FG216" s="31" t="e">
        <f>IF(OR(Hypothèses!$B$4=17,Hypothèses!$B$4=18,Hypothèses!$B$4=19,Hypothèses!$B$4=20),
IF($D216="Pressio.",
IF(OR($E216=3,$E216=1,$E216=4),FF216,FE216),
IF($D216="Pénétro.",
IF(OR($E216=3,$E216=1,$E216=4),FF216,FE216))),IF($D216="Pressio.",
IF($E216=3,FF216,FE216),
IF($D216="Pénétro.",
IF($E216=4,FF216,FE216))))</f>
        <v>#N/A</v>
      </c>
      <c r="FH216" s="31" t="e">
        <f>(IF(OR(Hypothèses!$B$4=17,Hypothèses!$B$4=18,Hypothèses!$B$4=19,Hypothèses!$B$4=20),
IF($D216="Pressio.",
IF(OR($E216=3,$E216=1,$E216=4),(PI()*FH$12^2)/4*(FD216*$W216*1000)/($H216*$B$5),(PI()*FH$12^2)/4*(FD216*$W216*1000)/($G216*$B$5)),
IF($D216="Pénétro.",
IF(OR($E216=4,$E216=1,$E216=5),(PI()*FH$12^2)/4*(FD216*$W216*1000)/($H216*$B$5),(PI()*FH$12^2)/4*(FD216*$W216*1000)/($G216*$B$5)))),
IF($D216="Pressio.",
IF($E216=3,(PI()*FH$12^2)/4*(FD216*$W216*1000)/($H216*$B$5),(PI()*FH$12^2)/4*(FD216*$W216*1000)/($G216*$B$5)),
IF($D216="Pénétro.",
IF($E216=4,(PI()*FH$12^2)/4*(FD216*$W216*1000)/($H216*$B$5),(PI()*FH$12^2)/4*(FD216*$W216*1000)/($G216*$B$5))))))/10</f>
        <v>#N/A</v>
      </c>
      <c r="FI216" s="102" t="e">
        <f>(VLOOKUP($B$3,'Coeff EC7'!$T$39:$X$59,2,0)*FG216+VLOOKUP($B$3,'Coeff EC7'!$T$65:$X$85,2,0)*Model0.1C!FH216)/1.1</f>
        <v>#N/A</v>
      </c>
      <c r="FJ216" s="102" t="e">
        <f>(VLOOKUP($B$3,'Coeff EC7'!$T$39:$X$59,3,0)*FG216+VLOOKUP($B$3,'Coeff EC7'!$T$65:$X$85,3,0)*Model0.1C!FH216)/0.9</f>
        <v>#N/A</v>
      </c>
      <c r="FK216" s="102" t="e">
        <f t="shared" si="398"/>
        <v>#N/A</v>
      </c>
      <c r="FL216" s="102" t="e">
        <f t="shared" si="399"/>
        <v>#N/A</v>
      </c>
      <c r="FM216" s="414" t="e">
        <f>IF(FM215=0,0,IF(AND(FI216&gt;charge_ELS_quasi,FJ216&gt;Charge_ELS_freq,FK216&gt;charge_ELU,FL216&gt;charge_ELA,$B216&gt;NDC!$H$22-0.1+MIN(3*$FM$12,1.5)),0,1))</f>
        <v>#N/A</v>
      </c>
    </row>
    <row r="217" spans="1:169">
      <c r="A217" s="96">
        <f t="shared" si="367"/>
        <v>79.60000000000116</v>
      </c>
      <c r="B217" s="97">
        <v>20.399999999999999</v>
      </c>
      <c r="C217" s="81">
        <f>IF(B217&lt;=Hypothèses!$C$7,Hypothèses!$A$7,IF(B217&lt;=Hypothèses!$C$8,Hypothèses!$A$8,IF(B217&lt;=Hypothèses!$C$9,Hypothèses!$A$9,IF(B217&lt;=Hypothèses!$C$10,Hypothèses!$A$10,IF(B217&lt;=Hypothèses!$C$11,Hypothèses!$A$11,IF(B217&lt;=Hypothèses!$C$12,Hypothèses!$A$12,IF(B217&lt;=Hypothèses!$C$13,Hypothèses!$A$13,IF(B217&lt;=Hypothèses!$C$14,Hypothèses!$A$14,IF(B217&lt;=Hypothèses!$C$15,Hypothèses!$A$15,IF(B217&lt;=Hypothèses!$C$16,Hypothèses!$A$16,IF(B217&lt;=Hypothèses!$C$17,Hypothèses!$A$17,IF(B217&lt;=Hypothèses!$C$18,Hypothèses!$A$18,C216))))))))))))</f>
        <v>11</v>
      </c>
      <c r="D217" s="82" t="str">
        <f>IF(B217&lt;=Hypothèses!$C$7,Hypothèses!$R$7,IF(B217&lt;=Hypothèses!$C$8,Hypothèses!$R$8,IF(B217&lt;=Hypothèses!$C$9,Hypothèses!$R$9,IF(B217&lt;=Hypothèses!$C$10,Hypothèses!$R$10,IF(B217&lt;=Hypothèses!$C$11,Hypothèses!$R$11,IF(B217&lt;=Hypothèses!$C$12,Hypothèses!$R$12,IF(B217&lt;=Hypothèses!$C$13,Hypothèses!$R$13,IF(B217&lt;=Hypothèses!$C$14,Hypothèses!$R$14,IF(B217&lt;=Hypothèses!$C$15,Hypothèses!$R$15,IF(B217&lt;=Hypothèses!$C$16,Hypothèses!$R$16,IF(B217&lt;=Hypothèses!$C$17,Hypothèses!$R$17,IF(B217&lt;=Hypothèses!$C$18,Hypothèses!$R$18,D216))))))))))))</f>
        <v>Pressio.</v>
      </c>
      <c r="E217" s="82" t="e">
        <f>IF(B217&lt;=Hypothèses!$C$7,Hypothèses!$G$7,IF(B217&lt;=Hypothèses!$C$8,Hypothèses!$G$8,IF(B217&lt;=Hypothèses!$C$9,Hypothèses!$G$9,IF(B217&lt;=Hypothèses!$C$10,Hypothèses!$G$10,IF(B217&lt;=Hypothèses!$C$11,Hypothèses!$G$11,IF(B217&lt;=Hypothèses!$C$12,Hypothèses!$G$12,IF(B217&lt;=Hypothèses!$C$13,Hypothèses!$G$13,IF(B217&lt;=Hypothèses!$C$14,Hypothèses!$G$14,IF(B217&lt;=Hypothèses!$C$15,Hypothèses!$G$15,IF(B217&lt;=Hypothèses!$C$16,Hypothèses!$G$16,IF(B217&lt;=Hypothèses!$C$17,Hypothèses!$G$17,IF(B217&lt;=Hypothèses!$C$18,Hypothèses!$G$18,E216))))))))))))</f>
        <v>#N/A</v>
      </c>
      <c r="F217" s="82" t="str">
        <f>IF(B217&lt;=Hypothèses!$C$7,Hypothèses!$F$7,IF(B217&lt;=Hypothèses!$C$8,Hypothèses!$F$8,IF(B217&lt;=Hypothèses!$C$9,Hypothèses!$F$9,IF(B217&lt;=Hypothèses!$C$10,Hypothèses!$F$10,IF(B217&lt;=Hypothèses!$C$11,Hypothèses!$F$11,IF(B217&lt;=Hypothèses!$C$12,Hypothèses!$F$12,IF(B217&lt;=Hypothèses!$C$13,Hypothèses!$F$13,IF(B217&lt;=Hypothèses!$C$14,Hypothèses!$F$14,IF(B217&lt;=Hypothèses!$C$15,Hypothèses!$F$15,IF(B217&lt;=Hypothèses!$C$16,Hypothèses!$F$16,IF(B217&lt;=Hypothèses!$C$17,Hypothèses!$F$17,IF(B217&lt;=Hypothèses!$C$18,Hypothèses!$F$18,F216))))))))))))</f>
        <v/>
      </c>
      <c r="G217" s="91">
        <f t="array" ref="G217">INDEX('Coeff EC7'!$U$7:$X$27,
MATCH(Model0.1C!$B$3,'Coeff EC7'!$T$7:$T$27,0),
MATCH(Model0.1C!$D217&amp;Model0.1C!$B$4,
'Coeff EC7'!$U$6:$X$6&amp;
'Coeff EC7'!$U$5:$X$5,0))</f>
        <v>1.1499999999999999</v>
      </c>
      <c r="H217" s="91">
        <f t="array" ref="H217">INDEX('Coeff EC7'!$Y$7:$AB$27,
MATCH(Model0.1C!$B$3,'Coeff EC7'!$T$7:$T$27,0),
MATCH(Model0.1C!$D217&amp;Model0.1C!$B$4,
'Coeff EC7'!$Y$6:$AB$6&amp;
'Coeff EC7'!$Y$5:$AB$5,0))</f>
        <v>1.4</v>
      </c>
      <c r="I217" s="83" t="e">
        <f>IF(B217&lt;=Hypothèses!$C$7,Hypothèses!$P$7,IF(B217&lt;=Hypothèses!$C$8,Hypothèses!$P$8,IF(B217&lt;=Hypothèses!$C$9,Hypothèses!$P$9,IF(B217&lt;=Hypothèses!$C$10,Hypothèses!$P$10,IF(B217&lt;=Hypothèses!$C$11,Hypothèses!$P$11,IF(B217&lt;=Hypothèses!$C$12,Hypothèses!$P$12,IF(B217&lt;=Hypothèses!$C$13,Hypothèses!$P$13,IF(B217&lt;=Hypothèses!$C$14,Hypothèses!$P$14,IF(B217&lt;=Hypothèses!$C$15,Hypothèses!$P$15,IF(B217&lt;=Hypothèses!$C$16,Hypothèses!$P$16,IF(B217&lt;=Hypothèses!$C$17,Hypothèses!$P$17,IF(B217&lt;=Hypothèses!$C$18,Hypothèses!$P$18,I216))))))))))))</f>
        <v>#N/A</v>
      </c>
      <c r="J217" s="91" t="e">
        <f t="array" ref="J217">INDEX('Coeff EC7'!$D$33:$Q$33,1,MATCH(D217&amp;E217,'Coeff EC7'!$D$31:$Q$31&amp;'Coeff EC7'!$D$32:$Q$32,0))</f>
        <v>#N/A</v>
      </c>
      <c r="K217" s="91" t="e">
        <f t="array" ref="K217">INDEX('Coeff EC7'!$D$34:$Q$34,1,MATCH(D217&amp;E217,'Coeff EC7'!$D$31:$Q$31&amp;'Coeff EC7'!$D$32:$Q$32,0))</f>
        <v>#N/A</v>
      </c>
      <c r="L217" s="91" t="e">
        <f t="array" ref="L217">INDEX('Coeff EC7'!$D$35:$Q$35,1,MATCH(D217&amp;E217,'Coeff EC7'!$D$31:$Q$31&amp;'Coeff EC7'!$D$32:$Q$32,0))</f>
        <v>#N/A</v>
      </c>
      <c r="M217" s="98" t="e">
        <f t="shared" si="331"/>
        <v>#N/A</v>
      </c>
      <c r="N217" s="99" t="e">
        <f t="array" ref="N217">INDEX('Coeff EC7'!$D$7:$Q$27,MATCH($B$3,'Coeff EC7'!$C$7:$C$27,0),MATCH(D217&amp;E217,'Coeff EC7'!$D$5:$Q$5&amp;'Coeff EC7'!$D$6:$Q$6,0))</f>
        <v>#N/A</v>
      </c>
      <c r="O217" s="99" t="e">
        <f t="array" ref="O217">INDEX('Coeff EC7'!$D$41:$Q$61,MATCH($B$3,'Coeff EC7'!$C$41:$C$61,0),MATCH(D217&amp;E217,'Coeff EC7'!$D$39:$Q$39&amp;'Coeff EC7'!$D$40:$Q$40,0))</f>
        <v>#N/A</v>
      </c>
      <c r="P217" s="30" t="e">
        <f t="shared" si="368"/>
        <v>#N/A</v>
      </c>
      <c r="Q217" s="100" t="e">
        <f t="shared" si="333"/>
        <v>#N/A</v>
      </c>
      <c r="R217" s="86" t="b">
        <f t="shared" si="334"/>
        <v>0</v>
      </c>
      <c r="S217" s="86">
        <f t="shared" si="332"/>
        <v>0.5</v>
      </c>
      <c r="T217" s="86">
        <f t="shared" si="335"/>
        <v>0.5</v>
      </c>
      <c r="U217" s="30" t="e">
        <f t="shared" ca="1" si="369"/>
        <v>#DIV/0!</v>
      </c>
      <c r="V217" s="85" t="str">
        <f>IF(B217&lt;=Hypothèses!$V$7,Hypothèses!$W$7,IF(B217&lt;=Hypothèses!$V$8,Hypothèses!$W$8,IF(B217&lt;=Hypothèses!$V$9,Hypothèses!$W$9,IF(B217&lt;=Hypothèses!$V$10,Hypothèses!$W$10,IF(B217&lt;=Hypothèses!$V$11,Hypothèses!$W$11,IF(B217&lt;=Hypothèses!$V$12,Hypothèses!$W$12,IF(B217&lt;=Hypothèses!$V$13,Hypothèses!$W$13,IF(B217&lt;=Hypothèses!$V$14,Hypothèses!$W$14,IF(B217&lt;=Hypothèses!$V$15,Hypothèses!$W$15,IF(B217&lt;=Hypothèses!$V$16,Hypothèses!$W$16,IF(B217&lt;=Hypothèses!$V$17,Hypothèses!$W$17,IF(B217&lt;=Hypothèses!$V$18,Hypothèses!$W$18,""))))))))))))</f>
        <v/>
      </c>
      <c r="W217" s="87" t="e">
        <f t="shared" ca="1" si="416"/>
        <v>#DIV/0!</v>
      </c>
      <c r="X217" s="88" t="str">
        <f>IF(B217&lt;=Hypothèses!$V$7,Hypothèses!$X$7,IF(B217&lt;=Hypothèses!$V$8,Hypothèses!$X$8,IF(B217&lt;=Hypothèses!$V$9,Hypothèses!$X$9,IF(B217&lt;=Hypothèses!$V$10,Hypothèses!$X$10,IF(B217&lt;=Hypothèses!$V$11,Hypothèses!$X$11,IF(B217&lt;=Hypothèses!$V$12,Hypothèses!$X$12,IF(B217&lt;=Hypothèses!$V$13,Hypothèses!$X$13,IF(B217&lt;=Hypothèses!$V$14,Hypothèses!$X$14,IF(B217&lt;=Hypothèses!$V$15,Hypothèses!$X$15,IF(B217&lt;=Hypothèses!$V$16,Hypothèses!$X$16,IF(B217&lt;=Hypothèses!$U$17,Hypothèses!$W$17,IF(B217&lt;=Hypothèses!$U$18,Hypothèses!$W$18,""))))))))))))</f>
        <v/>
      </c>
      <c r="Y217" s="95" t="e">
        <f t="shared" ca="1" si="336"/>
        <v>#DIV/0!</v>
      </c>
      <c r="Z217" s="101" t="e">
        <f t="shared" si="337"/>
        <v>#N/A</v>
      </c>
      <c r="AA217" s="91" t="e">
        <f t="shared" si="338"/>
        <v>#N/A</v>
      </c>
      <c r="AB217" s="30" t="e">
        <f t="shared" si="400"/>
        <v>#N/A</v>
      </c>
      <c r="AC217" s="30" t="e">
        <f t="shared" si="401"/>
        <v>#N/A</v>
      </c>
      <c r="AD217" s="31" t="e">
        <f>IF(OR(Hypothèses!$B$4=17,Hypothèses!$B$4=18,Hypothèses!$B$4=19,Hypothèses!$B$4=20),
IF($D217="Pressio.",
IF(OR($E217=3,$E217=1,$E217=4),AC217,AB217),
IF($D217="Pénétro.",
IF(OR($E217=3,$E217=1,$E217=4),AC217,AB217))),IF($D217="Pressio.",
IF($E217=3,AC217,AB217),
IF($D217="Pénétro.",
IF($E217=4,AC217,AB217))))</f>
        <v>#N/A</v>
      </c>
      <c r="AE217" s="31" t="e">
        <f>(IF(OR(Hypothèses!$B$4=17,Hypothèses!$B$4=18,Hypothèses!$B$4=19,Hypothèses!$B$4=20),
IF($D217="Pressio.",
IF(OR($E217=3,$E217=1,$E217=4),(PI()*AE$12^2)/4*(AA217*$W217*1000)/($H217*$B$5),(PI()*AE$12^2)/4*(AA217*$W217*1000)/($G217*$B$5)),
IF($D217="Pénétro.",
IF(OR($E217=4,$E217=1,$E217=5),(PI()*AE$12^2)/4*(AA217*$W217*1000)/($H217*$B$5),(PI()*AE$12^2)/4*(AA217*$W217*1000)/($G217*$B$5)))),
IF($D217="Pressio.",
IF($E217=3,(PI()*AE$12^2)/4*(AA217*$W217*1000)/($H217*$B$5),(PI()*AE$12^2)/4*(AA217*$W217*1000)/($G217*$B$5)),
IF($D217="Pénétro.",
IF($E217=4,(PI()*AE$12^2)/4*(AA217*$W217*1000)/($H217*$B$5),(PI()*AE$12^2)/4*(AA217*$W217*1000)/($G217*$B$5))))))/10</f>
        <v>#N/A</v>
      </c>
      <c r="AF217" s="102" t="e">
        <f>(VLOOKUP($B$3,'Coeff EC7'!$T$39:$X$59,2,0)*AD217+VLOOKUP($B$3,'Coeff EC7'!$T$65:$X$85,2,0)*Model0.1C!AE217)/1.1</f>
        <v>#N/A</v>
      </c>
      <c r="AG217" s="102" t="e">
        <f>(VLOOKUP($B$3,'Coeff EC7'!$T$39:$X$59,3,0)*AD217+VLOOKUP($B$3,'Coeff EC7'!$T$65:$X$85,3,0)*Model0.1C!AE217)/0.9</f>
        <v>#N/A</v>
      </c>
      <c r="AH217" s="102" t="e">
        <f t="shared" si="339"/>
        <v>#N/A</v>
      </c>
      <c r="AI217" s="102" t="e">
        <f t="shared" si="340"/>
        <v>#N/A</v>
      </c>
      <c r="AJ217" s="414" t="e">
        <f>IF(AJ216=0,0,IF(AND(AF217&gt;charge_ELS_quasi,AG217&gt;Charge_ELS_freq,AH217&gt;charge_ELU,AI217&gt;charge_ELA,$B217&gt;NDC!$H$22-0.1+MIN(3*$AJ$12,1.5)),0,1))</f>
        <v>#N/A</v>
      </c>
      <c r="AK217" s="86" t="b">
        <f t="shared" si="341"/>
        <v>0</v>
      </c>
      <c r="AL217" s="86">
        <f t="shared" si="370"/>
        <v>0.5</v>
      </c>
      <c r="AM217" s="86">
        <f t="shared" si="342"/>
        <v>0.5</v>
      </c>
      <c r="AN217" s="30" t="e">
        <f t="shared" ca="1" si="371"/>
        <v>#DIV/0!</v>
      </c>
      <c r="AO217" s="85" t="e">
        <f ca="1">IF(U217&lt;=Hypothèses!$V$7,Hypothèses!$W$7,IF(U217&lt;=Hypothèses!$V$8,Hypothèses!$W$8,IF(U217&lt;=Hypothèses!$V$9,Hypothèses!$W$9,IF(U217&lt;=Hypothèses!$V$10,Hypothèses!$W$10,IF(U217&lt;=Hypothèses!$V$11,Hypothèses!$W$11,IF(U217&lt;=Hypothèses!$V$12,Hypothèses!$W$12,IF(U217&lt;=Hypothèses!$V$13,Hypothèses!$W$13,IF(U217&lt;=Hypothèses!$V$14,Hypothèses!$W$14,IF(U217&lt;=Hypothèses!$V$15,Hypothèses!$W$15,IF(U217&lt;=Hypothèses!$V$16,Hypothèses!$W$16,IF(U217&lt;=Hypothèses!$V$17,Hypothèses!$W$17,IF(U217&lt;=Hypothèses!$V$18,Hypothèses!$W$18,""))))))))))))</f>
        <v>#DIV/0!</v>
      </c>
      <c r="AP217" s="87" t="e">
        <f t="shared" ca="1" si="417"/>
        <v>#DIV/0!</v>
      </c>
      <c r="AQ217" s="88" t="e">
        <f ca="1">IF(U217&lt;=Hypothèses!$V$7,Hypothèses!$X$7,IF(U217&lt;=Hypothèses!$V$8,Hypothèses!$X$8,IF(U217&lt;=Hypothèses!$V$9,Hypothèses!$X$9,IF(U217&lt;=Hypothèses!$V$10,Hypothèses!$X$10,IF(U217&lt;=Hypothèses!$V$11,Hypothèses!$X$11,IF(U217&lt;=Hypothèses!$V$12,Hypothèses!$X$12,IF(U217&lt;=Hypothèses!$V$13,Hypothèses!$X$13,IF(U217&lt;=Hypothèses!$V$14,Hypothèses!$X$14,IF(U217&lt;=Hypothèses!$V$15,Hypothèses!$X$15,IF(U217&lt;=Hypothèses!$V$16,Hypothèses!$X$16,IF(U217&lt;=Hypothèses!$U$17,Hypothèses!$W$17,IF(U217&lt;=Hypothèses!$U$18,Hypothèses!$W$18,""))))))))))))</f>
        <v>#DIV/0!</v>
      </c>
      <c r="AR217" s="95" t="e">
        <f t="shared" ca="1" si="372"/>
        <v>#DIV/0!</v>
      </c>
      <c r="AS217" s="101" t="e">
        <f t="shared" si="424"/>
        <v>#N/A</v>
      </c>
      <c r="AT217" s="91" t="e">
        <f t="shared" si="343"/>
        <v>#N/A</v>
      </c>
      <c r="AU217" s="30" t="e">
        <f t="shared" si="402"/>
        <v>#N/A</v>
      </c>
      <c r="AV217" s="30" t="e">
        <f t="shared" si="403"/>
        <v>#N/A</v>
      </c>
      <c r="AW217" s="31" t="e">
        <f>IF(OR(Hypothèses!$B$4=17,Hypothèses!$B$4=18,Hypothèses!$B$4=19,Hypothèses!$B$4=20),
IF($D217="Pressio.",
IF(OR($E217=3,$E217=1,$E217=4),AV217,AU217),
IF($D217="Pénétro.",
IF(OR($E217=3,$E217=1,$E217=4),AV217,AU217))),IF($D217="Pressio.",
IF($E217=3,AV217,AU217),
IF($D217="Pénétro.",
IF($E217=4,AV217,AU217))))</f>
        <v>#N/A</v>
      </c>
      <c r="AX217" s="31" t="e">
        <f>(IF(OR(Hypothèses!$B$4=17,Hypothèses!$B$4=18,Hypothèses!$B$4=19,Hypothèses!$B$4=20),
IF($D217="Pressio.",
IF(OR($E217=3,$E217=1,$E217=4),(PI()*AX$12^2)/4*(AT217*$W217*1000)/($H217*$B$5),(PI()*AX$12^2)/4*(AT217*$W217*1000)/($G217*$B$5)),
IF($D217="Pénétro.",
IF(OR($E217=4,$E217=1,$E217=5),(PI()*AX$12^2)/4*(AT217*$W217*1000)/($H217*$B$5),(PI()*AX$12^2)/4*(AT217*$W217*1000)/($G217*$B$5)))),
IF($D217="Pressio.",
IF($E217=3,(PI()*AX$12^2)/4*(AT217*$W217*1000)/($H217*$B$5),(PI()*AX$12^2)/4*(AT217*$W217*1000)/($G217*$B$5)),
IF($D217="Pénétro.",
IF($E217=4,(PI()*AX$12^2)/4*(AT217*$W217*1000)/($H217*$B$5),(PI()*AX$12^2)/4*(AT217*$W217*1000)/($G217*$B$5))))))/10</f>
        <v>#N/A</v>
      </c>
      <c r="AY217" s="102" t="e">
        <f>(VLOOKUP($B$3,'Coeff EC7'!$T$39:$X$59,2,0)*AW217+VLOOKUP($B$3,'Coeff EC7'!$T$65:$X$85,2,0)*Model0.1C!AX217)/1.1</f>
        <v>#N/A</v>
      </c>
      <c r="AZ217" s="102" t="e">
        <f>(VLOOKUP($B$3,'Coeff EC7'!$T$39:$X$59,3,0)*AW217+VLOOKUP($B$3,'Coeff EC7'!$T$65:$X$85,3,0)*Model0.1C!AX217)/0.9</f>
        <v>#N/A</v>
      </c>
      <c r="BA217" s="102" t="e">
        <f t="shared" si="373"/>
        <v>#N/A</v>
      </c>
      <c r="BB217" s="102" t="e">
        <f t="shared" si="374"/>
        <v>#N/A</v>
      </c>
      <c r="BC217" s="414" t="e">
        <f>IF(BC216=0,0,IF(AND(AY217&gt;charge_ELS_quasi,AZ217&gt;Charge_ELS_freq,BA217&gt;charge_ELU,BB217&gt;charge_ELA,$B217&gt;NDC!$H$22-0.1+MIN(3*$BC$12,1.5)),0,1))</f>
        <v>#N/A</v>
      </c>
      <c r="BD217" s="86" t="b">
        <f t="shared" si="344"/>
        <v>0</v>
      </c>
      <c r="BE217" s="86">
        <f t="shared" si="375"/>
        <v>0.5</v>
      </c>
      <c r="BF217" s="86">
        <f t="shared" si="345"/>
        <v>0.5</v>
      </c>
      <c r="BG217" s="30" t="e">
        <f t="shared" ca="1" si="376"/>
        <v>#DIV/0!</v>
      </c>
      <c r="BH217" s="85" t="e">
        <f ca="1">IF(AN217&lt;=Hypothèses!$V$7,Hypothèses!$W$7,IF(AN217&lt;=Hypothèses!$V$8,Hypothèses!$W$8,IF(AN217&lt;=Hypothèses!$V$9,Hypothèses!$W$9,IF(AN217&lt;=Hypothèses!$V$10,Hypothèses!$W$10,IF(AN217&lt;=Hypothèses!$V$11,Hypothèses!$W$11,IF(AN217&lt;=Hypothèses!$V$12,Hypothèses!$W$12,IF(AN217&lt;=Hypothèses!$V$13,Hypothèses!$W$13,IF(AN217&lt;=Hypothèses!$V$14,Hypothèses!$W$14,IF(AN217&lt;=Hypothèses!$V$15,Hypothèses!$W$15,IF(AN217&lt;=Hypothèses!$V$16,Hypothèses!$W$16,IF(AN217&lt;=Hypothèses!$V$17,Hypothèses!$W$17,IF(AN217&lt;=Hypothèses!$V$18,Hypothèses!$W$18,""))))))))))))</f>
        <v>#DIV/0!</v>
      </c>
      <c r="BI217" s="87" t="e">
        <f t="shared" ca="1" si="418"/>
        <v>#DIV/0!</v>
      </c>
      <c r="BJ217" s="88" t="e">
        <f ca="1">IF(AN217&lt;=Hypothèses!$V$7,Hypothèses!$X$7,IF(AN217&lt;=Hypothèses!$V$8,Hypothèses!$X$8,IF(AN217&lt;=Hypothèses!$V$9,Hypothèses!$X$9,IF(AN217&lt;=Hypothèses!$V$10,Hypothèses!$X$10,IF(AN217&lt;=Hypothèses!$V$11,Hypothèses!$X$11,IF(AN217&lt;=Hypothèses!$V$12,Hypothèses!$X$12,IF(AN217&lt;=Hypothèses!$V$13,Hypothèses!$X$13,IF(AN217&lt;=Hypothèses!$V$14,Hypothèses!$X$14,IF(AN217&lt;=Hypothèses!$V$15,Hypothèses!$X$15,IF(AN217&lt;=Hypothèses!$V$16,Hypothèses!$X$16,IF(AN217&lt;=Hypothèses!$U$17,Hypothèses!$W$17,IF(AN217&lt;=Hypothèses!$U$18,Hypothèses!$W$18,""))))))))))))</f>
        <v>#DIV/0!</v>
      </c>
      <c r="BK217" s="95" t="e">
        <f t="shared" ca="1" si="377"/>
        <v>#DIV/0!</v>
      </c>
      <c r="BL217" s="101" t="e">
        <f t="shared" si="425"/>
        <v>#N/A</v>
      </c>
      <c r="BM217" s="91" t="e">
        <f t="shared" si="346"/>
        <v>#N/A</v>
      </c>
      <c r="BN217" s="30" t="e">
        <f t="shared" si="404"/>
        <v>#N/A</v>
      </c>
      <c r="BO217" s="30" t="e">
        <f t="shared" si="405"/>
        <v>#N/A</v>
      </c>
      <c r="BP217" s="31" t="e">
        <f>IF(OR(Hypothèses!$B$4=17,Hypothèses!$B$4=18,Hypothèses!$B$4=19,Hypothèses!$B$4=20),
IF($D217="Pressio.",
IF(OR($E217=3,$E217=1,$E217=4),BO217,BN217),
IF($D217="Pénétro.",
IF(OR($E217=3,$E217=1,$E217=4),BO217,BN217))),IF($D217="Pressio.",
IF($E217=3,BO217,BN217),
IF($D217="Pénétro.",
IF($E217=4,BO217,BN217))))</f>
        <v>#N/A</v>
      </c>
      <c r="BQ217" s="31" t="e">
        <f>(IF(OR(Hypothèses!$B$4=17,Hypothèses!$B$4=18,Hypothèses!$B$4=19,Hypothèses!$B$4=20),
IF($D217="Pressio.",
IF(OR($E217=3,$E217=1,$E217=4),(PI()*BQ$12^2)/4*(BM217*$W217*1000)/($H217*$B$5),(PI()*BQ$12^2)/4*(BM217*$W217*1000)/($G217*$B$5)),
IF($D217="Pénétro.",
IF(OR($E217=4,$E217=1,$E217=5),(PI()*BQ$12^2)/4*(BM217*$W217*1000)/($H217*$B$5),(PI()*BQ$12^2)/4*(BM217*$W217*1000)/($G217*$B$5)))),
IF($D217="Pressio.",
IF($E217=3,(PI()*BQ$12^2)/4*(BM217*$W217*1000)/($H217*$B$5),(PI()*BQ$12^2)/4*(BM217*$W217*1000)/($G217*$B$5)),
IF($D217="Pénétro.",
IF($E217=4,(PI()*BQ$12^2)/4*(BM217*$W217*1000)/($H217*$B$5),(PI()*BQ$12^2)/4*(BM217*$W217*1000)/($G217*$B$5))))))/10</f>
        <v>#N/A</v>
      </c>
      <c r="BR217" s="102" t="e">
        <f>(VLOOKUP($B$3,'Coeff EC7'!$T$39:$X$59,2,0)*BP217+VLOOKUP($B$3,'Coeff EC7'!$T$65:$X$85,2,0)*Model0.1C!BQ217)/1.1</f>
        <v>#N/A</v>
      </c>
      <c r="BS217" s="102" t="e">
        <f>(VLOOKUP($B$3,'Coeff EC7'!$T$39:$X$59,3,0)*BP217+VLOOKUP($B$3,'Coeff EC7'!$T$65:$X$85,3,0)*Model0.1C!BQ217)/0.9</f>
        <v>#N/A</v>
      </c>
      <c r="BT217" s="102" t="e">
        <f t="shared" si="378"/>
        <v>#N/A</v>
      </c>
      <c r="BU217" s="102" t="e">
        <f t="shared" si="379"/>
        <v>#N/A</v>
      </c>
      <c r="BV217" s="414" t="e">
        <f>IF(BV216=0,0,IF(AND(BR217&gt;charge_ELS_quasi,BS217&gt;Charge_ELS_freq,BT217&gt;charge_ELU,BU217&gt;charge_ELA,$B217&gt;NDC!$H$22-0.1+MIN(3*$BV$12,1.5)),0,1))</f>
        <v>#N/A</v>
      </c>
      <c r="BW217" s="86" t="b">
        <f t="shared" si="347"/>
        <v>0</v>
      </c>
      <c r="BX217" s="86">
        <f t="shared" si="348"/>
        <v>0.5</v>
      </c>
      <c r="BY217" s="86">
        <f t="shared" si="349"/>
        <v>0.5</v>
      </c>
      <c r="BZ217" s="30" t="e">
        <f t="shared" ca="1" si="380"/>
        <v>#DIV/0!</v>
      </c>
      <c r="CA217" s="85" t="e">
        <f ca="1">IF(BG217&lt;=Hypothèses!$V$7,Hypothèses!$W$7,IF(BG217&lt;=Hypothèses!$V$8,Hypothèses!$W$8,IF(BG217&lt;=Hypothèses!$V$9,Hypothèses!$W$9,IF(BG217&lt;=Hypothèses!$V$10,Hypothèses!$W$10,IF(BG217&lt;=Hypothèses!$V$11,Hypothèses!$W$11,IF(BG217&lt;=Hypothèses!$V$12,Hypothèses!$W$12,IF(BG217&lt;=Hypothèses!$V$13,Hypothèses!$W$13,IF(BG217&lt;=Hypothèses!$V$14,Hypothèses!$W$14,IF(BG217&lt;=Hypothèses!$V$15,Hypothèses!$W$15,IF(BG217&lt;=Hypothèses!$V$16,Hypothèses!$W$16,IF(BG217&lt;=Hypothèses!$V$17,Hypothèses!$W$17,IF(BG217&lt;=Hypothèses!$V$18,Hypothèses!$W$18,""))))))))))))</f>
        <v>#DIV/0!</v>
      </c>
      <c r="CB217" s="87" t="e">
        <f t="shared" ca="1" si="419"/>
        <v>#DIV/0!</v>
      </c>
      <c r="CC217" s="88" t="e">
        <f ca="1">IF(BG217&lt;=Hypothèses!$V$7,Hypothèses!$X$7,IF(BG217&lt;=Hypothèses!$V$8,Hypothèses!$X$8,IF(BG217&lt;=Hypothèses!$V$9,Hypothèses!$X$9,IF(BG217&lt;=Hypothèses!$V$10,Hypothèses!$X$10,IF(BG217&lt;=Hypothèses!$V$11,Hypothèses!$X$11,IF(BG217&lt;=Hypothèses!$V$12,Hypothèses!$X$12,IF(BG217&lt;=Hypothèses!$V$13,Hypothèses!$X$13,IF(BG217&lt;=Hypothèses!$V$14,Hypothèses!$X$14,IF(BG217&lt;=Hypothèses!$V$15,Hypothèses!$X$15,IF(BG217&lt;=Hypothèses!$V$16,Hypothèses!$X$16,IF(BG217&lt;=Hypothèses!$U$17,Hypothèses!$W$17,IF(BG217&lt;=Hypothèses!$U$18,Hypothèses!$W$18,""))))))))))))</f>
        <v>#DIV/0!</v>
      </c>
      <c r="CD217" s="95" t="e">
        <f t="shared" ca="1" si="381"/>
        <v>#DIV/0!</v>
      </c>
      <c r="CE217" s="101" t="e">
        <f t="shared" si="426"/>
        <v>#N/A</v>
      </c>
      <c r="CF217" s="91" t="e">
        <f t="shared" si="350"/>
        <v>#N/A</v>
      </c>
      <c r="CG217" s="30" t="e">
        <f t="shared" si="406"/>
        <v>#N/A</v>
      </c>
      <c r="CH217" s="30" t="e">
        <f t="shared" si="407"/>
        <v>#N/A</v>
      </c>
      <c r="CI217" s="31" t="e">
        <f>IF(OR(Hypothèses!$B$4=17,Hypothèses!$B$4=18,Hypothèses!$B$4=19,Hypothèses!$B$4=20),
IF($D217="Pressio.",
IF(OR($E217=3,$E217=1,$E217=4),CH217,CG217),
IF($D217="Pénétro.",
IF(OR($E217=3,$E217=1,$E217=4),CH217,CG217))),IF($D217="Pressio.",
IF($E217=3,CH217,CG217),
IF($D217="Pénétro.",
IF($E217=4,CH217,CG217))))</f>
        <v>#N/A</v>
      </c>
      <c r="CJ217" s="31" t="e">
        <f>(IF(OR(Hypothèses!$B$4=17,Hypothèses!$B$4=18,Hypothèses!$B$4=19,Hypothèses!$B$4=20),
IF($D217="Pressio.",
IF(OR($E217=3,$E217=1,$E217=4),(PI()*CJ$12^2)/4*(CF217*$W217*1000)/($H217*$B$5),(PI()*CJ$12^2)/4*(CF217*$W217*1000)/($G217*$B$5)),
IF($D217="Pénétro.",
IF(OR($E217=4,$E217=1,$E217=5),(PI()*CJ$12^2)/4*(CF217*$W217*1000)/($H217*$B$5),(PI()*CJ$12^2)/4*(CF217*$W217*1000)/($G217*$B$5)))),
IF($D217="Pressio.",
IF($E217=3,(PI()*CJ$12^2)/4*(CF217*$W217*1000)/($H217*$B$5),(PI()*CJ$12^2)/4*(CF217*$W217*1000)/($G217*$B$5)),
IF($D217="Pénétro.",
IF($E217=4,(PI()*CJ$12^2)/4*(CF217*$W217*1000)/($H217*$B$5),(PI()*CJ$12^2)/4*(CF217*$W217*1000)/($G217*$B$5))))))/10</f>
        <v>#N/A</v>
      </c>
      <c r="CK217" s="102" t="e">
        <f>(VLOOKUP($B$3,'Coeff EC7'!$T$39:$X$59,2,0)*CI217+VLOOKUP($B$3,'Coeff EC7'!$T$65:$X$85,2,0)*Model0.1C!CJ217)/1.1</f>
        <v>#N/A</v>
      </c>
      <c r="CL217" s="102" t="e">
        <f>(VLOOKUP($B$3,'Coeff EC7'!$T$39:$X$59,3,0)*CI217+VLOOKUP($B$3,'Coeff EC7'!$T$65:$X$85,3,0)*Model0.1C!CJ217)/0.9</f>
        <v>#N/A</v>
      </c>
      <c r="CM217" s="102" t="e">
        <f t="shared" si="382"/>
        <v>#N/A</v>
      </c>
      <c r="CN217" s="102" t="e">
        <f t="shared" si="383"/>
        <v>#N/A</v>
      </c>
      <c r="CO217" s="414" t="e">
        <f>IF(CO216=0,0,IF(AND(CK217&gt;charge_ELS_quasi,CL217&gt;Charge_ELS_freq,CM217&gt;charge_ELU,CN217&gt;charge_ELA,$B217&gt;NDC!$H$22-0.1+MIN(3*$CO$12,1.5)),0,1))</f>
        <v>#N/A</v>
      </c>
      <c r="CP217" s="86" t="b">
        <f t="shared" si="351"/>
        <v>0</v>
      </c>
      <c r="CQ217" s="86">
        <f t="shared" si="352"/>
        <v>0.5</v>
      </c>
      <c r="CR217" s="86">
        <f t="shared" si="353"/>
        <v>0.5</v>
      </c>
      <c r="CS217" s="30" t="e">
        <f t="shared" ca="1" si="384"/>
        <v>#DIV/0!</v>
      </c>
      <c r="CT217" s="85" t="e">
        <f ca="1">IF(BZ217&lt;=Hypothèses!$V$7,Hypothèses!$W$7,IF(BZ217&lt;=Hypothèses!$V$8,Hypothèses!$W$8,IF(BZ217&lt;=Hypothèses!$V$9,Hypothèses!$W$9,IF(BZ217&lt;=Hypothèses!$V$10,Hypothèses!$W$10,IF(BZ217&lt;=Hypothèses!$V$11,Hypothèses!$W$11,IF(BZ217&lt;=Hypothèses!$V$12,Hypothèses!$W$12,IF(BZ217&lt;=Hypothèses!$V$13,Hypothèses!$W$13,IF(BZ217&lt;=Hypothèses!$V$14,Hypothèses!$W$14,IF(BZ217&lt;=Hypothèses!$V$15,Hypothèses!$W$15,IF(BZ217&lt;=Hypothèses!$V$16,Hypothèses!$W$16,IF(BZ217&lt;=Hypothèses!$V$17,Hypothèses!$W$17,IF(BZ217&lt;=Hypothèses!$V$18,Hypothèses!$W$18,""))))))))))))</f>
        <v>#DIV/0!</v>
      </c>
      <c r="CU217" s="87" t="e">
        <f t="shared" ca="1" si="420"/>
        <v>#DIV/0!</v>
      </c>
      <c r="CV217" s="88" t="e">
        <f ca="1">IF(BZ217&lt;=Hypothèses!$V$7,Hypothèses!$X$7,IF(BZ217&lt;=Hypothèses!$V$8,Hypothèses!$X$8,IF(BZ217&lt;=Hypothèses!$V$9,Hypothèses!$X$9,IF(BZ217&lt;=Hypothèses!$V$10,Hypothèses!$X$10,IF(BZ217&lt;=Hypothèses!$V$11,Hypothèses!$X$11,IF(BZ217&lt;=Hypothèses!$V$12,Hypothèses!$X$12,IF(BZ217&lt;=Hypothèses!$V$13,Hypothèses!$X$13,IF(BZ217&lt;=Hypothèses!$V$14,Hypothèses!$X$14,IF(BZ217&lt;=Hypothèses!$V$15,Hypothèses!$X$15,IF(BZ217&lt;=Hypothèses!$V$16,Hypothèses!$X$16,IF(BZ217&lt;=Hypothèses!$U$17,Hypothèses!$W$17,IF(BZ217&lt;=Hypothèses!$U$18,Hypothèses!$W$18,""))))))))))))</f>
        <v>#DIV/0!</v>
      </c>
      <c r="CW217" s="95" t="e">
        <f t="shared" ca="1" si="385"/>
        <v>#DIV/0!</v>
      </c>
      <c r="CX217" s="101" t="e">
        <f t="shared" si="427"/>
        <v>#N/A</v>
      </c>
      <c r="CY217" s="91" t="e">
        <f t="shared" si="354"/>
        <v>#N/A</v>
      </c>
      <c r="CZ217" s="30" t="e">
        <f t="shared" si="408"/>
        <v>#N/A</v>
      </c>
      <c r="DA217" s="30" t="e">
        <f t="shared" si="409"/>
        <v>#N/A</v>
      </c>
      <c r="DB217" s="31" t="e">
        <f>IF(OR(Hypothèses!$B$4=17,Hypothèses!$B$4=18,Hypothèses!$B$4=19,Hypothèses!$B$4=20),
IF($D217="Pressio.",
IF(OR($E217=3,$E217=1,$E217=4),DA217,CZ217),
IF($D217="Pénétro.",
IF(OR($E217=3,$E217=1,$E217=4),DA217,CZ217))),IF($D217="Pressio.",
IF($E217=3,DA217,CZ217),
IF($D217="Pénétro.",
IF($E217=4,DA217,CZ217))))</f>
        <v>#N/A</v>
      </c>
      <c r="DC217" s="31" t="e">
        <f>(IF(OR(Hypothèses!$B$4=17,Hypothèses!$B$4=18,Hypothèses!$B$4=19,Hypothèses!$B$4=20),
IF($D217="Pressio.",
IF(OR($E217=3,$E217=1,$E217=4),(PI()*DC$12^2)/4*(CY217*$W217*1000)/($H217*$B$5),(PI()*DC$12^2)/4*(CY217*$W217*1000)/($G217*$B$5)),
IF($D217="Pénétro.",
IF(OR($E217=4,$E217=1,$E217=5),(PI()*DC$12^2)/4*(CY217*$W217*1000)/($H217*$B$5),(PI()*DC$12^2)/4*(CY217*$W217*1000)/($G217*$B$5)))),
IF($D217="Pressio.",
IF($E217=3,(PI()*DC$12^2)/4*(CY217*$W217*1000)/($H217*$B$5),(PI()*DC$12^2)/4*(CY217*$W217*1000)/($G217*$B$5)),
IF($D217="Pénétro.",
IF($E217=4,(PI()*DC$12^2)/4*(CY217*$W217*1000)/($H217*$B$5),(PI()*DC$12^2)/4*(CY217*$W217*1000)/($G217*$B$5))))))/10</f>
        <v>#N/A</v>
      </c>
      <c r="DD217" s="102" t="e">
        <f>(VLOOKUP($B$3,'Coeff EC7'!$T$39:$X$59,2,0)*DB217+VLOOKUP($B$3,'Coeff EC7'!$T$65:$X$85,2,0)*Model0.1C!DC217)/1.1</f>
        <v>#N/A</v>
      </c>
      <c r="DE217" s="102" t="e">
        <f>(VLOOKUP($B$3,'Coeff EC7'!$T$39:$X$59,3,0)*DB217+VLOOKUP($B$3,'Coeff EC7'!$T$65:$X$85,3,0)*Model0.1C!DC217)/0.9</f>
        <v>#N/A</v>
      </c>
      <c r="DF217" s="102" t="e">
        <f t="shared" si="386"/>
        <v>#N/A</v>
      </c>
      <c r="DG217" s="102" t="e">
        <f t="shared" si="387"/>
        <v>#N/A</v>
      </c>
      <c r="DH217" s="414" t="e">
        <f>IF(DH216=0,0,IF(AND(DD217&gt;charge_ELS_quasi,DE217&gt;Charge_ELS_freq,DF217&gt;charge_ELU,DG217&gt;charge_ELA,$B217&gt;NDC!$H$22-0.1+MIN(3*$DH$12,1.5)),0,1))</f>
        <v>#N/A</v>
      </c>
      <c r="DI217" s="86" t="b">
        <f t="shared" si="355"/>
        <v>0</v>
      </c>
      <c r="DJ217" s="86">
        <f t="shared" si="356"/>
        <v>0.5</v>
      </c>
      <c r="DK217" s="86">
        <f t="shared" si="357"/>
        <v>0.5</v>
      </c>
      <c r="DL217" s="30" t="e">
        <f t="shared" ca="1" si="388"/>
        <v>#DIV/0!</v>
      </c>
      <c r="DM217" s="85" t="e">
        <f ca="1">IF(CS217&lt;=Hypothèses!$V$7,Hypothèses!$W$7,IF(CS217&lt;=Hypothèses!$V$8,Hypothèses!$W$8,IF(CS217&lt;=Hypothèses!$V$9,Hypothèses!$W$9,IF(CS217&lt;=Hypothèses!$V$10,Hypothèses!$W$10,IF(CS217&lt;=Hypothèses!$V$11,Hypothèses!$W$11,IF(CS217&lt;=Hypothèses!$V$12,Hypothèses!$W$12,IF(CS217&lt;=Hypothèses!$V$13,Hypothèses!$W$13,IF(CS217&lt;=Hypothèses!$V$14,Hypothèses!$W$14,IF(CS217&lt;=Hypothèses!$V$15,Hypothèses!$W$15,IF(CS217&lt;=Hypothèses!$V$16,Hypothèses!$W$16,IF(CS217&lt;=Hypothèses!$V$17,Hypothèses!$W$17,IF(CS217&lt;=Hypothèses!$V$18,Hypothèses!$W$18,""))))))))))))</f>
        <v>#DIV/0!</v>
      </c>
      <c r="DN217" s="87" t="e">
        <f t="shared" ca="1" si="421"/>
        <v>#DIV/0!</v>
      </c>
      <c r="DO217" s="88" t="e">
        <f ca="1">IF(CS217&lt;=Hypothèses!$V$7,Hypothèses!$X$7,IF(CS217&lt;=Hypothèses!$V$8,Hypothèses!$X$8,IF(CS217&lt;=Hypothèses!$V$9,Hypothèses!$X$9,IF(CS217&lt;=Hypothèses!$V$10,Hypothèses!$X$10,IF(CS217&lt;=Hypothèses!$V$11,Hypothèses!$X$11,IF(CS217&lt;=Hypothèses!$V$12,Hypothèses!$X$12,IF(CS217&lt;=Hypothèses!$V$13,Hypothèses!$X$13,IF(CS217&lt;=Hypothèses!$V$14,Hypothèses!$X$14,IF(CS217&lt;=Hypothèses!$V$15,Hypothèses!$X$15,IF(CS217&lt;=Hypothèses!$V$16,Hypothèses!$X$16,IF(CS217&lt;=Hypothèses!$U$17,Hypothèses!$W$17,IF(CS217&lt;=Hypothèses!$U$18,Hypothèses!$W$18,""))))))))))))</f>
        <v>#DIV/0!</v>
      </c>
      <c r="DP217" s="95" t="e">
        <f t="shared" ca="1" si="389"/>
        <v>#DIV/0!</v>
      </c>
      <c r="DQ217" s="101" t="e">
        <f t="shared" si="428"/>
        <v>#N/A</v>
      </c>
      <c r="DR217" s="91" t="e">
        <f t="shared" si="358"/>
        <v>#N/A</v>
      </c>
      <c r="DS217" s="30" t="e">
        <f t="shared" si="410"/>
        <v>#N/A</v>
      </c>
      <c r="DT217" s="30" t="e">
        <f t="shared" si="411"/>
        <v>#N/A</v>
      </c>
      <c r="DU217" s="31" t="e">
        <f>IF(OR(Hypothèses!$B$4=17,Hypothèses!$B$4=18,Hypothèses!$B$4=19,Hypothèses!$B$4=20),
IF($D217="Pressio.",
IF(OR($E217=3,$E217=1,$E217=4),DT217,DS217),
IF($D217="Pénétro.",
IF(OR($E217=3,$E217=1,$E217=4),DT217,DS217))),IF($D217="Pressio.",
IF($E217=3,DT217,DS217),
IF($D217="Pénétro.",
IF($E217=4,DT217,DS217))))</f>
        <v>#N/A</v>
      </c>
      <c r="DV217" s="31" t="e">
        <f>(IF(OR(Hypothèses!$B$4=17,Hypothèses!$B$4=18,Hypothèses!$B$4=19,Hypothèses!$B$4=20),
IF($D217="Pressio.",
IF(OR($E217=3,$E217=1,$E217=4),(PI()*DV$12^2)/4*(DR217*$W217*1000)/($H217*$B$5),(PI()*DV$12^2)/4*(DR217*$W217*1000)/($G217*$B$5)),
IF($D217="Pénétro.",
IF(OR($E217=4,$E217=1,$E217=5),(PI()*DV$12^2)/4*(DR217*$W217*1000)/($H217*$B$5),(PI()*DV$12^2)/4*(DR217*$W217*1000)/($G217*$B$5)))),
IF($D217="Pressio.",
IF($E217=3,(PI()*DV$12^2)/4*(DR217*$W217*1000)/($H217*$B$5),(PI()*DV$12^2)/4*(DR217*$W217*1000)/($G217*$B$5)),
IF($D217="Pénétro.",
IF($E217=4,(PI()*DV$12^2)/4*(DR217*$W217*1000)/($H217*$B$5),(PI()*DV$12^2)/4*(DR217*$W217*1000)/($G217*$B$5))))))/10</f>
        <v>#N/A</v>
      </c>
      <c r="DW217" s="102" t="e">
        <f>(VLOOKUP($B$3,'Coeff EC7'!$T$39:$X$59,2,0)*DU217+VLOOKUP($B$3,'Coeff EC7'!$T$65:$X$85,2,0)*Model0.1C!DV217)/1.1</f>
        <v>#N/A</v>
      </c>
      <c r="DX217" s="102" t="e">
        <f>(VLOOKUP($B$3,'Coeff EC7'!$T$39:$X$59,3,0)*DU217+VLOOKUP($B$3,'Coeff EC7'!$T$65:$X$85,3,0)*Model0.1C!DV217)/0.9</f>
        <v>#N/A</v>
      </c>
      <c r="DY217" s="102" t="e">
        <f t="shared" si="390"/>
        <v>#N/A</v>
      </c>
      <c r="DZ217" s="102" t="e">
        <f t="shared" si="391"/>
        <v>#N/A</v>
      </c>
      <c r="EA217" s="414" t="e">
        <f>IF(EA216=0,0,IF(AND(DW217&gt;charge_ELS_quasi,DX217&gt;Charge_ELS_freq,DY217&gt;charge_ELU,DZ217&gt;charge_ELA,$B217&gt;NDC!$H$22-0.1+MIN(3*$EA$12,1.5)),0,1))</f>
        <v>#N/A</v>
      </c>
      <c r="EB217" s="86" t="b">
        <f t="shared" si="359"/>
        <v>0</v>
      </c>
      <c r="EC217" s="418">
        <f t="shared" si="360"/>
        <v>0.51</v>
      </c>
      <c r="ED217" s="86">
        <f t="shared" si="361"/>
        <v>0.51</v>
      </c>
      <c r="EE217" s="30" t="e">
        <f t="shared" ca="1" si="392"/>
        <v>#DIV/0!</v>
      </c>
      <c r="EF217" s="85" t="e">
        <f ca="1">IF(DL217&lt;=Hypothèses!$V$7,Hypothèses!$W$7,IF(DL217&lt;=Hypothèses!$V$8,Hypothèses!$W$8,IF(DL217&lt;=Hypothèses!$V$9,Hypothèses!$W$9,IF(DL217&lt;=Hypothèses!$V$10,Hypothèses!$W$10,IF(DL217&lt;=Hypothèses!$V$11,Hypothèses!$W$11,IF(DL217&lt;=Hypothèses!$V$12,Hypothèses!$W$12,IF(DL217&lt;=Hypothèses!$V$13,Hypothèses!$W$13,IF(DL217&lt;=Hypothèses!$V$14,Hypothèses!$W$14,IF(DL217&lt;=Hypothèses!$V$15,Hypothèses!$W$15,IF(DL217&lt;=Hypothèses!$V$16,Hypothèses!$W$16,IF(DL217&lt;=Hypothèses!$V$17,Hypothèses!$W$17,IF(DL217&lt;=Hypothèses!$V$18,Hypothèses!$W$18,""))))))))))))</f>
        <v>#DIV/0!</v>
      </c>
      <c r="EG217" s="87" t="e">
        <f t="shared" ca="1" si="422"/>
        <v>#DIV/0!</v>
      </c>
      <c r="EH217" s="88" t="e">
        <f ca="1">IF(DL217&lt;=Hypothèses!$V$7,Hypothèses!$X$7,IF(DL217&lt;=Hypothèses!$V$8,Hypothèses!$X$8,IF(DL217&lt;=Hypothèses!$V$9,Hypothèses!$X$9,IF(DL217&lt;=Hypothèses!$V$10,Hypothèses!$X$10,IF(DL217&lt;=Hypothèses!$V$11,Hypothèses!$X$11,IF(DL217&lt;=Hypothèses!$V$12,Hypothèses!$X$12,IF(DL217&lt;=Hypothèses!$V$13,Hypothèses!$X$13,IF(DL217&lt;=Hypothèses!$V$14,Hypothèses!$X$14,IF(DL217&lt;=Hypothèses!$V$15,Hypothèses!$X$15,IF(DL217&lt;=Hypothèses!$V$16,Hypothèses!$X$16,IF(DL217&lt;=Hypothèses!$U$17,Hypothèses!$W$17,IF(DL217&lt;=Hypothèses!$U$18,Hypothèses!$W$18,""))))))))))))</f>
        <v>#DIV/0!</v>
      </c>
      <c r="EI217" s="95" t="e">
        <f t="shared" ca="1" si="393"/>
        <v>#DIV/0!</v>
      </c>
      <c r="EJ217" s="101" t="e">
        <f t="shared" si="429"/>
        <v>#N/A</v>
      </c>
      <c r="EK217" s="91" t="e">
        <f t="shared" si="362"/>
        <v>#N/A</v>
      </c>
      <c r="EL217" s="30" t="e">
        <f t="shared" si="412"/>
        <v>#N/A</v>
      </c>
      <c r="EM217" s="30" t="e">
        <f t="shared" si="413"/>
        <v>#N/A</v>
      </c>
      <c r="EN217" s="31" t="e">
        <f>IF(OR(Hypothèses!$B$4=17,Hypothèses!$B$4=18,Hypothèses!$B$4=19,Hypothèses!$B$4=20),
IF($D217="Pressio.",
IF(OR($E217=3,$E217=1,$E217=4),EM217,EL217),
IF($D217="Pénétro.",
IF(OR($E217=3,$E217=1,$E217=4),EM217,EL217))),IF($D217="Pressio.",
IF($E217=3,EM217,EL217),
IF($D217="Pénétro.",
IF($E217=4,EM217,EL217))))</f>
        <v>#N/A</v>
      </c>
      <c r="EO217" s="31" t="e">
        <f>(IF(OR(Hypothèses!$B$4=17,Hypothèses!$B$4=18,Hypothèses!$B$4=19,Hypothèses!$B$4=20),
IF($D217="Pressio.",
IF(OR($E217=3,$E217=1,$E217=4),(PI()*EO$12^2)/4*(EK217*$W217*1000)/($H217*$B$5),(PI()*EO$12^2)/4*(EK217*$W217*1000)/($G217*$B$5)),
IF($D217="Pénétro.",
IF(OR($E217=4,$E217=1,$E217=5),(PI()*EO$12^2)/4*(EK217*$W217*1000)/($H217*$B$5),(PI()*EO$12^2)/4*(EK217*$W217*1000)/($G217*$B$5)))),
IF($D217="Pressio.",
IF($E217=3,(PI()*EO$12^2)/4*(EK217*$W217*1000)/($H217*$B$5),(PI()*EO$12^2)/4*(EK217*$W217*1000)/($G217*$B$5)),
IF($D217="Pénétro.",
IF($E217=4,(PI()*EO$12^2)/4*(EK217*$W217*1000)/($H217*$B$5),(PI()*EO$12^2)/4*(EK217*$W217*1000)/($G217*$B$5))))))/10</f>
        <v>#N/A</v>
      </c>
      <c r="EP217" s="102" t="e">
        <f>(VLOOKUP($B$3,'Coeff EC7'!$T$39:$X$59,2,0)*EN217+VLOOKUP($B$3,'Coeff EC7'!$T$65:$X$85,2,0)*Model0.1C!EO217)/1.1</f>
        <v>#N/A</v>
      </c>
      <c r="EQ217" s="102" t="e">
        <f>(VLOOKUP($B$3,'Coeff EC7'!$T$39:$X$59,3,0)*EN217+VLOOKUP($B$3,'Coeff EC7'!$T$65:$X$85,3,0)*Model0.1C!EO217)/0.9</f>
        <v>#N/A</v>
      </c>
      <c r="ER217" s="102" t="e">
        <f t="shared" si="394"/>
        <v>#N/A</v>
      </c>
      <c r="ES217" s="102" t="e">
        <f t="shared" si="395"/>
        <v>#N/A</v>
      </c>
      <c r="ET217" s="414" t="e">
        <f>IF(ET216=0,0,IF(AND(EP217&gt;charge_ELS_quasi,EQ217&gt;Charge_ELS_freq,ER217&gt;charge_ELU,ES217&gt;charge_ELA,$B217&gt;NDC!$H$22-0.1+MIN(3*$ET$12,1.5)),0,1))</f>
        <v>#N/A</v>
      </c>
      <c r="EU217" s="86" t="b">
        <f t="shared" si="363"/>
        <v>0</v>
      </c>
      <c r="EV217" s="86">
        <f t="shared" si="364"/>
        <v>0.61</v>
      </c>
      <c r="EW217" s="86">
        <f t="shared" si="365"/>
        <v>0.61</v>
      </c>
      <c r="EX217" s="30" t="e">
        <f t="shared" ca="1" si="396"/>
        <v>#DIV/0!</v>
      </c>
      <c r="EY217" s="85" t="e">
        <f ca="1">IF(EE217&lt;=Hypothèses!$V$7,Hypothèses!$W$7,IF(EE217&lt;=Hypothèses!$V$8,Hypothèses!$W$8,IF(EE217&lt;=Hypothèses!$V$9,Hypothèses!$W$9,IF(EE217&lt;=Hypothèses!$V$10,Hypothèses!$W$10,IF(EE217&lt;=Hypothèses!$V$11,Hypothèses!$W$11,IF(EE217&lt;=Hypothèses!$V$12,Hypothèses!$W$12,IF(EE217&lt;=Hypothèses!$V$13,Hypothèses!$W$13,IF(EE217&lt;=Hypothèses!$V$14,Hypothèses!$W$14,IF(EE217&lt;=Hypothèses!$V$15,Hypothèses!$W$15,IF(EE217&lt;=Hypothèses!$V$16,Hypothèses!$W$16,IF(EE217&lt;=Hypothèses!$V$17,Hypothèses!$W$17,IF(EE217&lt;=Hypothèses!$V$18,Hypothèses!$W$18,""))))))))))))</f>
        <v>#DIV/0!</v>
      </c>
      <c r="EZ217" s="87" t="e">
        <f t="shared" ca="1" si="423"/>
        <v>#DIV/0!</v>
      </c>
      <c r="FA217" s="88" t="e">
        <f ca="1">IF(EE217&lt;=Hypothèses!$V$7,Hypothèses!$X$7,IF(EE217&lt;=Hypothèses!$V$8,Hypothèses!$X$8,IF(EE217&lt;=Hypothèses!$V$9,Hypothèses!$X$9,IF(EE217&lt;=Hypothèses!$V$10,Hypothèses!$X$10,IF(EE217&lt;=Hypothèses!$V$11,Hypothèses!$X$11,IF(EE217&lt;=Hypothèses!$V$12,Hypothèses!$X$12,IF(EE217&lt;=Hypothèses!$V$13,Hypothèses!$X$13,IF(EE217&lt;=Hypothèses!$V$14,Hypothèses!$X$14,IF(EE217&lt;=Hypothèses!$V$15,Hypothèses!$X$15,IF(EE217&lt;=Hypothèses!$V$16,Hypothèses!$X$16,IF(EE217&lt;=Hypothèses!$U$17,Hypothèses!$W$17,IF(EE217&lt;=Hypothèses!$U$18,Hypothèses!$W$18,""))))))))))))</f>
        <v>#DIV/0!</v>
      </c>
      <c r="FB217" s="95" t="e">
        <f t="shared" ca="1" si="397"/>
        <v>#DIV/0!</v>
      </c>
      <c r="FC217" s="101" t="e">
        <f t="shared" si="430"/>
        <v>#N/A</v>
      </c>
      <c r="FD217" s="91" t="e">
        <f t="shared" si="366"/>
        <v>#N/A</v>
      </c>
      <c r="FE217" s="30" t="e">
        <f t="shared" si="414"/>
        <v>#N/A</v>
      </c>
      <c r="FF217" s="30" t="e">
        <f t="shared" si="415"/>
        <v>#N/A</v>
      </c>
      <c r="FG217" s="31" t="e">
        <f>IF(OR(Hypothèses!$B$4=17,Hypothèses!$B$4=18,Hypothèses!$B$4=19,Hypothèses!$B$4=20),
IF($D217="Pressio.",
IF(OR($E217=3,$E217=1,$E217=4),FF217,FE217),
IF($D217="Pénétro.",
IF(OR($E217=3,$E217=1,$E217=4),FF217,FE217))),IF($D217="Pressio.",
IF($E217=3,FF217,FE217),
IF($D217="Pénétro.",
IF($E217=4,FF217,FE217))))</f>
        <v>#N/A</v>
      </c>
      <c r="FH217" s="31" t="e">
        <f>(IF(OR(Hypothèses!$B$4=17,Hypothèses!$B$4=18,Hypothèses!$B$4=19,Hypothèses!$B$4=20),
IF($D217="Pressio.",
IF(OR($E217=3,$E217=1,$E217=4),(PI()*FH$12^2)/4*(FD217*$W217*1000)/($H217*$B$5),(PI()*FH$12^2)/4*(FD217*$W217*1000)/($G217*$B$5)),
IF($D217="Pénétro.",
IF(OR($E217=4,$E217=1,$E217=5),(PI()*FH$12^2)/4*(FD217*$W217*1000)/($H217*$B$5),(PI()*FH$12^2)/4*(FD217*$W217*1000)/($G217*$B$5)))),
IF($D217="Pressio.",
IF($E217=3,(PI()*FH$12^2)/4*(FD217*$W217*1000)/($H217*$B$5),(PI()*FH$12^2)/4*(FD217*$W217*1000)/($G217*$B$5)),
IF($D217="Pénétro.",
IF($E217=4,(PI()*FH$12^2)/4*(FD217*$W217*1000)/($H217*$B$5),(PI()*FH$12^2)/4*(FD217*$W217*1000)/($G217*$B$5))))))/10</f>
        <v>#N/A</v>
      </c>
      <c r="FI217" s="102" t="e">
        <f>(VLOOKUP($B$3,'Coeff EC7'!$T$39:$X$59,2,0)*FG217+VLOOKUP($B$3,'Coeff EC7'!$T$65:$X$85,2,0)*Model0.1C!FH217)/1.1</f>
        <v>#N/A</v>
      </c>
      <c r="FJ217" s="102" t="e">
        <f>(VLOOKUP($B$3,'Coeff EC7'!$T$39:$X$59,3,0)*FG217+VLOOKUP($B$3,'Coeff EC7'!$T$65:$X$85,3,0)*Model0.1C!FH217)/0.9</f>
        <v>#N/A</v>
      </c>
      <c r="FK217" s="102" t="e">
        <f t="shared" si="398"/>
        <v>#N/A</v>
      </c>
      <c r="FL217" s="102" t="e">
        <f t="shared" si="399"/>
        <v>#N/A</v>
      </c>
      <c r="FM217" s="414" t="e">
        <f>IF(FM216=0,0,IF(AND(FI217&gt;charge_ELS_quasi,FJ217&gt;Charge_ELS_freq,FK217&gt;charge_ELU,FL217&gt;charge_ELA,$B217&gt;NDC!$H$22-0.1+MIN(3*$FM$12,1.5)),0,1))</f>
        <v>#N/A</v>
      </c>
    </row>
    <row r="218" spans="1:169">
      <c r="A218" s="96">
        <f t="shared" si="367"/>
        <v>79.500000000001165</v>
      </c>
      <c r="B218" s="97">
        <v>20.5</v>
      </c>
      <c r="C218" s="81">
        <f>IF(B218&lt;=Hypothèses!$C$7,Hypothèses!$A$7,IF(B218&lt;=Hypothèses!$C$8,Hypothèses!$A$8,IF(B218&lt;=Hypothèses!$C$9,Hypothèses!$A$9,IF(B218&lt;=Hypothèses!$C$10,Hypothèses!$A$10,IF(B218&lt;=Hypothèses!$C$11,Hypothèses!$A$11,IF(B218&lt;=Hypothèses!$C$12,Hypothèses!$A$12,IF(B218&lt;=Hypothèses!$C$13,Hypothèses!$A$13,IF(B218&lt;=Hypothèses!$C$14,Hypothèses!$A$14,IF(B218&lt;=Hypothèses!$C$15,Hypothèses!$A$15,IF(B218&lt;=Hypothèses!$C$16,Hypothèses!$A$16,IF(B218&lt;=Hypothèses!$C$17,Hypothèses!$A$17,IF(B218&lt;=Hypothèses!$C$18,Hypothèses!$A$18,C217))))))))))))</f>
        <v>11</v>
      </c>
      <c r="D218" s="82" t="str">
        <f>IF(B218&lt;=Hypothèses!$C$7,Hypothèses!$R$7,IF(B218&lt;=Hypothèses!$C$8,Hypothèses!$R$8,IF(B218&lt;=Hypothèses!$C$9,Hypothèses!$R$9,IF(B218&lt;=Hypothèses!$C$10,Hypothèses!$R$10,IF(B218&lt;=Hypothèses!$C$11,Hypothèses!$R$11,IF(B218&lt;=Hypothèses!$C$12,Hypothèses!$R$12,IF(B218&lt;=Hypothèses!$C$13,Hypothèses!$R$13,IF(B218&lt;=Hypothèses!$C$14,Hypothèses!$R$14,IF(B218&lt;=Hypothèses!$C$15,Hypothèses!$R$15,IF(B218&lt;=Hypothèses!$C$16,Hypothèses!$R$16,IF(B218&lt;=Hypothèses!$C$17,Hypothèses!$R$17,IF(B218&lt;=Hypothèses!$C$18,Hypothèses!$R$18,D217))))))))))))</f>
        <v>Pressio.</v>
      </c>
      <c r="E218" s="82" t="e">
        <f>IF(B218&lt;=Hypothèses!$C$7,Hypothèses!$G$7,IF(B218&lt;=Hypothèses!$C$8,Hypothèses!$G$8,IF(B218&lt;=Hypothèses!$C$9,Hypothèses!$G$9,IF(B218&lt;=Hypothèses!$C$10,Hypothèses!$G$10,IF(B218&lt;=Hypothèses!$C$11,Hypothèses!$G$11,IF(B218&lt;=Hypothèses!$C$12,Hypothèses!$G$12,IF(B218&lt;=Hypothèses!$C$13,Hypothèses!$G$13,IF(B218&lt;=Hypothèses!$C$14,Hypothèses!$G$14,IF(B218&lt;=Hypothèses!$C$15,Hypothèses!$G$15,IF(B218&lt;=Hypothèses!$C$16,Hypothèses!$G$16,IF(B218&lt;=Hypothèses!$C$17,Hypothèses!$G$17,IF(B218&lt;=Hypothèses!$C$18,Hypothèses!$G$18,E217))))))))))))</f>
        <v>#N/A</v>
      </c>
      <c r="F218" s="82" t="str">
        <f>IF(B218&lt;=Hypothèses!$C$7,Hypothèses!$F$7,IF(B218&lt;=Hypothèses!$C$8,Hypothèses!$F$8,IF(B218&lt;=Hypothèses!$C$9,Hypothèses!$F$9,IF(B218&lt;=Hypothèses!$C$10,Hypothèses!$F$10,IF(B218&lt;=Hypothèses!$C$11,Hypothèses!$F$11,IF(B218&lt;=Hypothèses!$C$12,Hypothèses!$F$12,IF(B218&lt;=Hypothèses!$C$13,Hypothèses!$F$13,IF(B218&lt;=Hypothèses!$C$14,Hypothèses!$F$14,IF(B218&lt;=Hypothèses!$C$15,Hypothèses!$F$15,IF(B218&lt;=Hypothèses!$C$16,Hypothèses!$F$16,IF(B218&lt;=Hypothèses!$C$17,Hypothèses!$F$17,IF(B218&lt;=Hypothèses!$C$18,Hypothèses!$F$18,F217))))))))))))</f>
        <v/>
      </c>
      <c r="G218" s="91">
        <f t="array" ref="G218">INDEX('Coeff EC7'!$U$7:$X$27,
MATCH(Model0.1C!$B$3,'Coeff EC7'!$T$7:$T$27,0),
MATCH(Model0.1C!$D218&amp;Model0.1C!$B$4,
'Coeff EC7'!$U$6:$X$6&amp;
'Coeff EC7'!$U$5:$X$5,0))</f>
        <v>1.1499999999999999</v>
      </c>
      <c r="H218" s="91">
        <f t="array" ref="H218">INDEX('Coeff EC7'!$Y$7:$AB$27,
MATCH(Model0.1C!$B$3,'Coeff EC7'!$T$7:$T$27,0),
MATCH(Model0.1C!$D218&amp;Model0.1C!$B$4,
'Coeff EC7'!$Y$6:$AB$6&amp;
'Coeff EC7'!$Y$5:$AB$5,0))</f>
        <v>1.4</v>
      </c>
      <c r="I218" s="83" t="e">
        <f>IF(B218&lt;=Hypothèses!$C$7,Hypothèses!$P$7,IF(B218&lt;=Hypothèses!$C$8,Hypothèses!$P$8,IF(B218&lt;=Hypothèses!$C$9,Hypothèses!$P$9,IF(B218&lt;=Hypothèses!$C$10,Hypothèses!$P$10,IF(B218&lt;=Hypothèses!$C$11,Hypothèses!$P$11,IF(B218&lt;=Hypothèses!$C$12,Hypothèses!$P$12,IF(B218&lt;=Hypothèses!$C$13,Hypothèses!$P$13,IF(B218&lt;=Hypothèses!$C$14,Hypothèses!$P$14,IF(B218&lt;=Hypothèses!$C$15,Hypothèses!$P$15,IF(B218&lt;=Hypothèses!$C$16,Hypothèses!$P$16,IF(B218&lt;=Hypothèses!$C$17,Hypothèses!$P$17,IF(B218&lt;=Hypothèses!$C$18,Hypothèses!$P$18,I217))))))))))))</f>
        <v>#N/A</v>
      </c>
      <c r="J218" s="91" t="e">
        <f t="array" ref="J218">INDEX('Coeff EC7'!$D$33:$Q$33,1,MATCH(D218&amp;E218,'Coeff EC7'!$D$31:$Q$31&amp;'Coeff EC7'!$D$32:$Q$32,0))</f>
        <v>#N/A</v>
      </c>
      <c r="K218" s="91" t="e">
        <f t="array" ref="K218">INDEX('Coeff EC7'!$D$34:$Q$34,1,MATCH(D218&amp;E218,'Coeff EC7'!$D$31:$Q$31&amp;'Coeff EC7'!$D$32:$Q$32,0))</f>
        <v>#N/A</v>
      </c>
      <c r="L218" s="91" t="e">
        <f t="array" ref="L218">INDEX('Coeff EC7'!$D$35:$Q$35,1,MATCH(D218&amp;E218,'Coeff EC7'!$D$31:$Q$31&amp;'Coeff EC7'!$D$32:$Q$32,0))</f>
        <v>#N/A</v>
      </c>
      <c r="M218" s="98" t="e">
        <f t="shared" si="331"/>
        <v>#N/A</v>
      </c>
      <c r="N218" s="99" t="e">
        <f t="array" ref="N218">INDEX('Coeff EC7'!$D$7:$Q$27,MATCH($B$3,'Coeff EC7'!$C$7:$C$27,0),MATCH(D218&amp;E218,'Coeff EC7'!$D$5:$Q$5&amp;'Coeff EC7'!$D$6:$Q$6,0))</f>
        <v>#N/A</v>
      </c>
      <c r="O218" s="99" t="e">
        <f t="array" ref="O218">INDEX('Coeff EC7'!$D$41:$Q$61,MATCH($B$3,'Coeff EC7'!$C$41:$C$61,0),MATCH(D218&amp;E218,'Coeff EC7'!$D$39:$Q$39&amp;'Coeff EC7'!$D$40:$Q$40,0))</f>
        <v>#N/A</v>
      </c>
      <c r="P218" s="30" t="e">
        <f t="shared" si="368"/>
        <v>#N/A</v>
      </c>
      <c r="Q218" s="100" t="e">
        <f t="shared" si="333"/>
        <v>#N/A</v>
      </c>
      <c r="R218" s="86" t="b">
        <f t="shared" si="334"/>
        <v>0</v>
      </c>
      <c r="S218" s="86">
        <f t="shared" si="332"/>
        <v>0.5</v>
      </c>
      <c r="T218" s="86">
        <f t="shared" si="335"/>
        <v>0.5</v>
      </c>
      <c r="U218" s="30" t="e">
        <f t="shared" ca="1" si="369"/>
        <v>#DIV/0!</v>
      </c>
      <c r="V218" s="85" t="str">
        <f>IF(B218&lt;=Hypothèses!$V$7,Hypothèses!$W$7,IF(B218&lt;=Hypothèses!$V$8,Hypothèses!$W$8,IF(B218&lt;=Hypothèses!$V$9,Hypothèses!$W$9,IF(B218&lt;=Hypothèses!$V$10,Hypothèses!$W$10,IF(B218&lt;=Hypothèses!$V$11,Hypothèses!$W$11,IF(B218&lt;=Hypothèses!$V$12,Hypothèses!$W$12,IF(B218&lt;=Hypothèses!$V$13,Hypothèses!$W$13,IF(B218&lt;=Hypothèses!$V$14,Hypothèses!$W$14,IF(B218&lt;=Hypothèses!$V$15,Hypothèses!$W$15,IF(B218&lt;=Hypothèses!$V$16,Hypothèses!$W$16,IF(B218&lt;=Hypothèses!$V$17,Hypothèses!$W$17,IF(B218&lt;=Hypothèses!$V$18,Hypothèses!$W$18,""))))))))))))</f>
        <v/>
      </c>
      <c r="W218" s="87" t="e">
        <f t="shared" ca="1" si="416"/>
        <v>#DIV/0!</v>
      </c>
      <c r="X218" s="88" t="str">
        <f>IF(B218&lt;=Hypothèses!$V$7,Hypothèses!$X$7,IF(B218&lt;=Hypothèses!$V$8,Hypothèses!$X$8,IF(B218&lt;=Hypothèses!$V$9,Hypothèses!$X$9,IF(B218&lt;=Hypothèses!$V$10,Hypothèses!$X$10,IF(B218&lt;=Hypothèses!$V$11,Hypothèses!$X$11,IF(B218&lt;=Hypothèses!$V$12,Hypothèses!$X$12,IF(B218&lt;=Hypothèses!$V$13,Hypothèses!$X$13,IF(B218&lt;=Hypothèses!$V$14,Hypothèses!$X$14,IF(B218&lt;=Hypothèses!$V$15,Hypothèses!$X$15,IF(B218&lt;=Hypothèses!$V$16,Hypothèses!$X$16,IF(B218&lt;=Hypothèses!$U$17,Hypothèses!$W$17,IF(B218&lt;=Hypothèses!$U$18,Hypothèses!$W$18,""))))))))))))</f>
        <v/>
      </c>
      <c r="Y218" s="95" t="e">
        <f t="shared" ca="1" si="336"/>
        <v>#DIV/0!</v>
      </c>
      <c r="Z218" s="101" t="e">
        <f t="shared" si="337"/>
        <v>#N/A</v>
      </c>
      <c r="AA218" s="91" t="e">
        <f t="shared" si="338"/>
        <v>#N/A</v>
      </c>
      <c r="AB218" s="30" t="e">
        <f t="shared" si="400"/>
        <v>#N/A</v>
      </c>
      <c r="AC218" s="30" t="e">
        <f t="shared" si="401"/>
        <v>#N/A</v>
      </c>
      <c r="AD218" s="31" t="e">
        <f>IF(OR(Hypothèses!$B$4=17,Hypothèses!$B$4=18,Hypothèses!$B$4=19,Hypothèses!$B$4=20),
IF($D218="Pressio.",
IF(OR($E218=3,$E218=1,$E218=4),AC218,AB218),
IF($D218="Pénétro.",
IF(OR($E218=3,$E218=1,$E218=4),AC218,AB218))),IF($D218="Pressio.",
IF($E218=3,AC218,AB218),
IF($D218="Pénétro.",
IF($E218=4,AC218,AB218))))</f>
        <v>#N/A</v>
      </c>
      <c r="AE218" s="31" t="e">
        <f>(IF(OR(Hypothèses!$B$4=17,Hypothèses!$B$4=18,Hypothèses!$B$4=19,Hypothèses!$B$4=20),
IF($D218="Pressio.",
IF(OR($E218=3,$E218=1,$E218=4),(PI()*AE$12^2)/4*(AA218*$W218*1000)/($H218*$B$5),(PI()*AE$12^2)/4*(AA218*$W218*1000)/($G218*$B$5)),
IF($D218="Pénétro.",
IF(OR($E218=4,$E218=1,$E218=5),(PI()*AE$12^2)/4*(AA218*$W218*1000)/($H218*$B$5),(PI()*AE$12^2)/4*(AA218*$W218*1000)/($G218*$B$5)))),
IF($D218="Pressio.",
IF($E218=3,(PI()*AE$12^2)/4*(AA218*$W218*1000)/($H218*$B$5),(PI()*AE$12^2)/4*(AA218*$W218*1000)/($G218*$B$5)),
IF($D218="Pénétro.",
IF($E218=4,(PI()*AE$12^2)/4*(AA218*$W218*1000)/($H218*$B$5),(PI()*AE$12^2)/4*(AA218*$W218*1000)/($G218*$B$5))))))/10</f>
        <v>#N/A</v>
      </c>
      <c r="AF218" s="102" t="e">
        <f>(VLOOKUP($B$3,'Coeff EC7'!$T$39:$X$59,2,0)*AD218+VLOOKUP($B$3,'Coeff EC7'!$T$65:$X$85,2,0)*Model0.1C!AE218)/1.1</f>
        <v>#N/A</v>
      </c>
      <c r="AG218" s="102" t="e">
        <f>(VLOOKUP($B$3,'Coeff EC7'!$T$39:$X$59,3,0)*AD218+VLOOKUP($B$3,'Coeff EC7'!$T$65:$X$85,3,0)*Model0.1C!AE218)/0.9</f>
        <v>#N/A</v>
      </c>
      <c r="AH218" s="102" t="e">
        <f t="shared" si="339"/>
        <v>#N/A</v>
      </c>
      <c r="AI218" s="102" t="e">
        <f t="shared" si="340"/>
        <v>#N/A</v>
      </c>
      <c r="AJ218" s="414" t="e">
        <f>IF(AJ217=0,0,IF(AND(AF218&gt;charge_ELS_quasi,AG218&gt;Charge_ELS_freq,AH218&gt;charge_ELU,AI218&gt;charge_ELA,$B218&gt;NDC!$H$22-0.1+MIN(3*$AJ$12,1.5)),0,1))</f>
        <v>#N/A</v>
      </c>
      <c r="AK218" s="86" t="b">
        <f t="shared" si="341"/>
        <v>0</v>
      </c>
      <c r="AL218" s="86">
        <f t="shared" si="370"/>
        <v>0.5</v>
      </c>
      <c r="AM218" s="86">
        <f t="shared" si="342"/>
        <v>0.5</v>
      </c>
      <c r="AN218" s="30" t="e">
        <f t="shared" ca="1" si="371"/>
        <v>#DIV/0!</v>
      </c>
      <c r="AO218" s="85" t="e">
        <f ca="1">IF(U218&lt;=Hypothèses!$V$7,Hypothèses!$W$7,IF(U218&lt;=Hypothèses!$V$8,Hypothèses!$W$8,IF(U218&lt;=Hypothèses!$V$9,Hypothèses!$W$9,IF(U218&lt;=Hypothèses!$V$10,Hypothèses!$W$10,IF(U218&lt;=Hypothèses!$V$11,Hypothèses!$W$11,IF(U218&lt;=Hypothèses!$V$12,Hypothèses!$W$12,IF(U218&lt;=Hypothèses!$V$13,Hypothèses!$W$13,IF(U218&lt;=Hypothèses!$V$14,Hypothèses!$W$14,IF(U218&lt;=Hypothèses!$V$15,Hypothèses!$W$15,IF(U218&lt;=Hypothèses!$V$16,Hypothèses!$W$16,IF(U218&lt;=Hypothèses!$V$17,Hypothèses!$W$17,IF(U218&lt;=Hypothèses!$V$18,Hypothèses!$W$18,""))))))))))))</f>
        <v>#DIV/0!</v>
      </c>
      <c r="AP218" s="87" t="e">
        <f t="shared" ca="1" si="417"/>
        <v>#DIV/0!</v>
      </c>
      <c r="AQ218" s="88" t="e">
        <f ca="1">IF(U218&lt;=Hypothèses!$V$7,Hypothèses!$X$7,IF(U218&lt;=Hypothèses!$V$8,Hypothèses!$X$8,IF(U218&lt;=Hypothèses!$V$9,Hypothèses!$X$9,IF(U218&lt;=Hypothèses!$V$10,Hypothèses!$X$10,IF(U218&lt;=Hypothèses!$V$11,Hypothèses!$X$11,IF(U218&lt;=Hypothèses!$V$12,Hypothèses!$X$12,IF(U218&lt;=Hypothèses!$V$13,Hypothèses!$X$13,IF(U218&lt;=Hypothèses!$V$14,Hypothèses!$X$14,IF(U218&lt;=Hypothèses!$V$15,Hypothèses!$X$15,IF(U218&lt;=Hypothèses!$V$16,Hypothèses!$X$16,IF(U218&lt;=Hypothèses!$U$17,Hypothèses!$W$17,IF(U218&lt;=Hypothèses!$U$18,Hypothèses!$W$18,""))))))))))))</f>
        <v>#DIV/0!</v>
      </c>
      <c r="AR218" s="95" t="e">
        <f t="shared" ca="1" si="372"/>
        <v>#DIV/0!</v>
      </c>
      <c r="AS218" s="101" t="e">
        <f t="shared" si="424"/>
        <v>#N/A</v>
      </c>
      <c r="AT218" s="91" t="e">
        <f t="shared" si="343"/>
        <v>#N/A</v>
      </c>
      <c r="AU218" s="30" t="e">
        <f t="shared" si="402"/>
        <v>#N/A</v>
      </c>
      <c r="AV218" s="30" t="e">
        <f t="shared" si="403"/>
        <v>#N/A</v>
      </c>
      <c r="AW218" s="31" t="e">
        <f>IF(OR(Hypothèses!$B$4=17,Hypothèses!$B$4=18,Hypothèses!$B$4=19,Hypothèses!$B$4=20),
IF($D218="Pressio.",
IF(OR($E218=3,$E218=1,$E218=4),AV218,AU218),
IF($D218="Pénétro.",
IF(OR($E218=3,$E218=1,$E218=4),AV218,AU218))),IF($D218="Pressio.",
IF($E218=3,AV218,AU218),
IF($D218="Pénétro.",
IF($E218=4,AV218,AU218))))</f>
        <v>#N/A</v>
      </c>
      <c r="AX218" s="31" t="e">
        <f>(IF(OR(Hypothèses!$B$4=17,Hypothèses!$B$4=18,Hypothèses!$B$4=19,Hypothèses!$B$4=20),
IF($D218="Pressio.",
IF(OR($E218=3,$E218=1,$E218=4),(PI()*AX$12^2)/4*(AT218*$W218*1000)/($H218*$B$5),(PI()*AX$12^2)/4*(AT218*$W218*1000)/($G218*$B$5)),
IF($D218="Pénétro.",
IF(OR($E218=4,$E218=1,$E218=5),(PI()*AX$12^2)/4*(AT218*$W218*1000)/($H218*$B$5),(PI()*AX$12^2)/4*(AT218*$W218*1000)/($G218*$B$5)))),
IF($D218="Pressio.",
IF($E218=3,(PI()*AX$12^2)/4*(AT218*$W218*1000)/($H218*$B$5),(PI()*AX$12^2)/4*(AT218*$W218*1000)/($G218*$B$5)),
IF($D218="Pénétro.",
IF($E218=4,(PI()*AX$12^2)/4*(AT218*$W218*1000)/($H218*$B$5),(PI()*AX$12^2)/4*(AT218*$W218*1000)/($G218*$B$5))))))/10</f>
        <v>#N/A</v>
      </c>
      <c r="AY218" s="102" t="e">
        <f>(VLOOKUP($B$3,'Coeff EC7'!$T$39:$X$59,2,0)*AW218+VLOOKUP($B$3,'Coeff EC7'!$T$65:$X$85,2,0)*Model0.1C!AX218)/1.1</f>
        <v>#N/A</v>
      </c>
      <c r="AZ218" s="102" t="e">
        <f>(VLOOKUP($B$3,'Coeff EC7'!$T$39:$X$59,3,0)*AW218+VLOOKUP($B$3,'Coeff EC7'!$T$65:$X$85,3,0)*Model0.1C!AX218)/0.9</f>
        <v>#N/A</v>
      </c>
      <c r="BA218" s="102" t="e">
        <f t="shared" si="373"/>
        <v>#N/A</v>
      </c>
      <c r="BB218" s="102" t="e">
        <f t="shared" si="374"/>
        <v>#N/A</v>
      </c>
      <c r="BC218" s="414" t="e">
        <f>IF(BC217=0,0,IF(AND(AY218&gt;charge_ELS_quasi,AZ218&gt;Charge_ELS_freq,BA218&gt;charge_ELU,BB218&gt;charge_ELA,$B218&gt;NDC!$H$22-0.1+MIN(3*$BC$12,1.5)),0,1))</f>
        <v>#N/A</v>
      </c>
      <c r="BD218" s="86" t="b">
        <f t="shared" si="344"/>
        <v>0</v>
      </c>
      <c r="BE218" s="86">
        <f t="shared" si="375"/>
        <v>0.5</v>
      </c>
      <c r="BF218" s="86">
        <f t="shared" si="345"/>
        <v>0.5</v>
      </c>
      <c r="BG218" s="30" t="e">
        <f t="shared" ca="1" si="376"/>
        <v>#DIV/0!</v>
      </c>
      <c r="BH218" s="85" t="e">
        <f ca="1">IF(AN218&lt;=Hypothèses!$V$7,Hypothèses!$W$7,IF(AN218&lt;=Hypothèses!$V$8,Hypothèses!$W$8,IF(AN218&lt;=Hypothèses!$V$9,Hypothèses!$W$9,IF(AN218&lt;=Hypothèses!$V$10,Hypothèses!$W$10,IF(AN218&lt;=Hypothèses!$V$11,Hypothèses!$W$11,IF(AN218&lt;=Hypothèses!$V$12,Hypothèses!$W$12,IF(AN218&lt;=Hypothèses!$V$13,Hypothèses!$W$13,IF(AN218&lt;=Hypothèses!$V$14,Hypothèses!$W$14,IF(AN218&lt;=Hypothèses!$V$15,Hypothèses!$W$15,IF(AN218&lt;=Hypothèses!$V$16,Hypothèses!$W$16,IF(AN218&lt;=Hypothèses!$V$17,Hypothèses!$W$17,IF(AN218&lt;=Hypothèses!$V$18,Hypothèses!$W$18,""))))))))))))</f>
        <v>#DIV/0!</v>
      </c>
      <c r="BI218" s="87" t="e">
        <f t="shared" ca="1" si="418"/>
        <v>#DIV/0!</v>
      </c>
      <c r="BJ218" s="88" t="e">
        <f ca="1">IF(AN218&lt;=Hypothèses!$V$7,Hypothèses!$X$7,IF(AN218&lt;=Hypothèses!$V$8,Hypothèses!$X$8,IF(AN218&lt;=Hypothèses!$V$9,Hypothèses!$X$9,IF(AN218&lt;=Hypothèses!$V$10,Hypothèses!$X$10,IF(AN218&lt;=Hypothèses!$V$11,Hypothèses!$X$11,IF(AN218&lt;=Hypothèses!$V$12,Hypothèses!$X$12,IF(AN218&lt;=Hypothèses!$V$13,Hypothèses!$X$13,IF(AN218&lt;=Hypothèses!$V$14,Hypothèses!$X$14,IF(AN218&lt;=Hypothèses!$V$15,Hypothèses!$X$15,IF(AN218&lt;=Hypothèses!$V$16,Hypothèses!$X$16,IF(AN218&lt;=Hypothèses!$U$17,Hypothèses!$W$17,IF(AN218&lt;=Hypothèses!$U$18,Hypothèses!$W$18,""))))))))))))</f>
        <v>#DIV/0!</v>
      </c>
      <c r="BK218" s="95" t="e">
        <f t="shared" ca="1" si="377"/>
        <v>#DIV/0!</v>
      </c>
      <c r="BL218" s="101" t="e">
        <f t="shared" si="425"/>
        <v>#N/A</v>
      </c>
      <c r="BM218" s="91" t="e">
        <f t="shared" si="346"/>
        <v>#N/A</v>
      </c>
      <c r="BN218" s="30" t="e">
        <f t="shared" si="404"/>
        <v>#N/A</v>
      </c>
      <c r="BO218" s="30" t="e">
        <f t="shared" si="405"/>
        <v>#N/A</v>
      </c>
      <c r="BP218" s="31" t="e">
        <f>IF(OR(Hypothèses!$B$4=17,Hypothèses!$B$4=18,Hypothèses!$B$4=19,Hypothèses!$B$4=20),
IF($D218="Pressio.",
IF(OR($E218=3,$E218=1,$E218=4),BO218,BN218),
IF($D218="Pénétro.",
IF(OR($E218=3,$E218=1,$E218=4),BO218,BN218))),IF($D218="Pressio.",
IF($E218=3,BO218,BN218),
IF($D218="Pénétro.",
IF($E218=4,BO218,BN218))))</f>
        <v>#N/A</v>
      </c>
      <c r="BQ218" s="31" t="e">
        <f>(IF(OR(Hypothèses!$B$4=17,Hypothèses!$B$4=18,Hypothèses!$B$4=19,Hypothèses!$B$4=20),
IF($D218="Pressio.",
IF(OR($E218=3,$E218=1,$E218=4),(PI()*BQ$12^2)/4*(BM218*$W218*1000)/($H218*$B$5),(PI()*BQ$12^2)/4*(BM218*$W218*1000)/($G218*$B$5)),
IF($D218="Pénétro.",
IF(OR($E218=4,$E218=1,$E218=5),(PI()*BQ$12^2)/4*(BM218*$W218*1000)/($H218*$B$5),(PI()*BQ$12^2)/4*(BM218*$W218*1000)/($G218*$B$5)))),
IF($D218="Pressio.",
IF($E218=3,(PI()*BQ$12^2)/4*(BM218*$W218*1000)/($H218*$B$5),(PI()*BQ$12^2)/4*(BM218*$W218*1000)/($G218*$B$5)),
IF($D218="Pénétro.",
IF($E218=4,(PI()*BQ$12^2)/4*(BM218*$W218*1000)/($H218*$B$5),(PI()*BQ$12^2)/4*(BM218*$W218*1000)/($G218*$B$5))))))/10</f>
        <v>#N/A</v>
      </c>
      <c r="BR218" s="102" t="e">
        <f>(VLOOKUP($B$3,'Coeff EC7'!$T$39:$X$59,2,0)*BP218+VLOOKUP($B$3,'Coeff EC7'!$T$65:$X$85,2,0)*Model0.1C!BQ218)/1.1</f>
        <v>#N/A</v>
      </c>
      <c r="BS218" s="102" t="e">
        <f>(VLOOKUP($B$3,'Coeff EC7'!$T$39:$X$59,3,0)*BP218+VLOOKUP($B$3,'Coeff EC7'!$T$65:$X$85,3,0)*Model0.1C!BQ218)/0.9</f>
        <v>#N/A</v>
      </c>
      <c r="BT218" s="102" t="e">
        <f t="shared" si="378"/>
        <v>#N/A</v>
      </c>
      <c r="BU218" s="102" t="e">
        <f t="shared" si="379"/>
        <v>#N/A</v>
      </c>
      <c r="BV218" s="414" t="e">
        <f>IF(BV217=0,0,IF(AND(BR218&gt;charge_ELS_quasi,BS218&gt;Charge_ELS_freq,BT218&gt;charge_ELU,BU218&gt;charge_ELA,$B218&gt;NDC!$H$22-0.1+MIN(3*$BV$12,1.5)),0,1))</f>
        <v>#N/A</v>
      </c>
      <c r="BW218" s="86" t="b">
        <f t="shared" si="347"/>
        <v>0</v>
      </c>
      <c r="BX218" s="86">
        <f t="shared" si="348"/>
        <v>0.5</v>
      </c>
      <c r="BY218" s="86">
        <f t="shared" si="349"/>
        <v>0.5</v>
      </c>
      <c r="BZ218" s="30" t="e">
        <f t="shared" ca="1" si="380"/>
        <v>#DIV/0!</v>
      </c>
      <c r="CA218" s="85" t="e">
        <f ca="1">IF(BG218&lt;=Hypothèses!$V$7,Hypothèses!$W$7,IF(BG218&lt;=Hypothèses!$V$8,Hypothèses!$W$8,IF(BG218&lt;=Hypothèses!$V$9,Hypothèses!$W$9,IF(BG218&lt;=Hypothèses!$V$10,Hypothèses!$W$10,IF(BG218&lt;=Hypothèses!$V$11,Hypothèses!$W$11,IF(BG218&lt;=Hypothèses!$V$12,Hypothèses!$W$12,IF(BG218&lt;=Hypothèses!$V$13,Hypothèses!$W$13,IF(BG218&lt;=Hypothèses!$V$14,Hypothèses!$W$14,IF(BG218&lt;=Hypothèses!$V$15,Hypothèses!$W$15,IF(BG218&lt;=Hypothèses!$V$16,Hypothèses!$W$16,IF(BG218&lt;=Hypothèses!$V$17,Hypothèses!$W$17,IF(BG218&lt;=Hypothèses!$V$18,Hypothèses!$W$18,""))))))))))))</f>
        <v>#DIV/0!</v>
      </c>
      <c r="CB218" s="87" t="e">
        <f t="shared" ca="1" si="419"/>
        <v>#DIV/0!</v>
      </c>
      <c r="CC218" s="88" t="e">
        <f ca="1">IF(BG218&lt;=Hypothèses!$V$7,Hypothèses!$X$7,IF(BG218&lt;=Hypothèses!$V$8,Hypothèses!$X$8,IF(BG218&lt;=Hypothèses!$V$9,Hypothèses!$X$9,IF(BG218&lt;=Hypothèses!$V$10,Hypothèses!$X$10,IF(BG218&lt;=Hypothèses!$V$11,Hypothèses!$X$11,IF(BG218&lt;=Hypothèses!$V$12,Hypothèses!$X$12,IF(BG218&lt;=Hypothèses!$V$13,Hypothèses!$X$13,IF(BG218&lt;=Hypothèses!$V$14,Hypothèses!$X$14,IF(BG218&lt;=Hypothèses!$V$15,Hypothèses!$X$15,IF(BG218&lt;=Hypothèses!$V$16,Hypothèses!$X$16,IF(BG218&lt;=Hypothèses!$U$17,Hypothèses!$W$17,IF(BG218&lt;=Hypothèses!$U$18,Hypothèses!$W$18,""))))))))))))</f>
        <v>#DIV/0!</v>
      </c>
      <c r="CD218" s="95" t="e">
        <f t="shared" ca="1" si="381"/>
        <v>#DIV/0!</v>
      </c>
      <c r="CE218" s="101" t="e">
        <f t="shared" si="426"/>
        <v>#N/A</v>
      </c>
      <c r="CF218" s="91" t="e">
        <f t="shared" si="350"/>
        <v>#N/A</v>
      </c>
      <c r="CG218" s="30" t="e">
        <f t="shared" si="406"/>
        <v>#N/A</v>
      </c>
      <c r="CH218" s="30" t="e">
        <f t="shared" si="407"/>
        <v>#N/A</v>
      </c>
      <c r="CI218" s="31" t="e">
        <f>IF(OR(Hypothèses!$B$4=17,Hypothèses!$B$4=18,Hypothèses!$B$4=19,Hypothèses!$B$4=20),
IF($D218="Pressio.",
IF(OR($E218=3,$E218=1,$E218=4),CH218,CG218),
IF($D218="Pénétro.",
IF(OR($E218=3,$E218=1,$E218=4),CH218,CG218))),IF($D218="Pressio.",
IF($E218=3,CH218,CG218),
IF($D218="Pénétro.",
IF($E218=4,CH218,CG218))))</f>
        <v>#N/A</v>
      </c>
      <c r="CJ218" s="31" t="e">
        <f>(IF(OR(Hypothèses!$B$4=17,Hypothèses!$B$4=18,Hypothèses!$B$4=19,Hypothèses!$B$4=20),
IF($D218="Pressio.",
IF(OR($E218=3,$E218=1,$E218=4),(PI()*CJ$12^2)/4*(CF218*$W218*1000)/($H218*$B$5),(PI()*CJ$12^2)/4*(CF218*$W218*1000)/($G218*$B$5)),
IF($D218="Pénétro.",
IF(OR($E218=4,$E218=1,$E218=5),(PI()*CJ$12^2)/4*(CF218*$W218*1000)/($H218*$B$5),(PI()*CJ$12^2)/4*(CF218*$W218*1000)/($G218*$B$5)))),
IF($D218="Pressio.",
IF($E218=3,(PI()*CJ$12^2)/4*(CF218*$W218*1000)/($H218*$B$5),(PI()*CJ$12^2)/4*(CF218*$W218*1000)/($G218*$B$5)),
IF($D218="Pénétro.",
IF($E218=4,(PI()*CJ$12^2)/4*(CF218*$W218*1000)/($H218*$B$5),(PI()*CJ$12^2)/4*(CF218*$W218*1000)/($G218*$B$5))))))/10</f>
        <v>#N/A</v>
      </c>
      <c r="CK218" s="102" t="e">
        <f>(VLOOKUP($B$3,'Coeff EC7'!$T$39:$X$59,2,0)*CI218+VLOOKUP($B$3,'Coeff EC7'!$T$65:$X$85,2,0)*Model0.1C!CJ218)/1.1</f>
        <v>#N/A</v>
      </c>
      <c r="CL218" s="102" t="e">
        <f>(VLOOKUP($B$3,'Coeff EC7'!$T$39:$X$59,3,0)*CI218+VLOOKUP($B$3,'Coeff EC7'!$T$65:$X$85,3,0)*Model0.1C!CJ218)/0.9</f>
        <v>#N/A</v>
      </c>
      <c r="CM218" s="102" t="e">
        <f t="shared" si="382"/>
        <v>#N/A</v>
      </c>
      <c r="CN218" s="102" t="e">
        <f t="shared" si="383"/>
        <v>#N/A</v>
      </c>
      <c r="CO218" s="414" t="e">
        <f>IF(CO217=0,0,IF(AND(CK218&gt;charge_ELS_quasi,CL218&gt;Charge_ELS_freq,CM218&gt;charge_ELU,CN218&gt;charge_ELA,$B218&gt;NDC!$H$22-0.1+MIN(3*$CO$12,1.5)),0,1))</f>
        <v>#N/A</v>
      </c>
      <c r="CP218" s="86" t="b">
        <f t="shared" si="351"/>
        <v>0</v>
      </c>
      <c r="CQ218" s="86">
        <f t="shared" si="352"/>
        <v>0.5</v>
      </c>
      <c r="CR218" s="86">
        <f t="shared" si="353"/>
        <v>0.5</v>
      </c>
      <c r="CS218" s="30" t="e">
        <f t="shared" ca="1" si="384"/>
        <v>#DIV/0!</v>
      </c>
      <c r="CT218" s="85" t="e">
        <f ca="1">IF(BZ218&lt;=Hypothèses!$V$7,Hypothèses!$W$7,IF(BZ218&lt;=Hypothèses!$V$8,Hypothèses!$W$8,IF(BZ218&lt;=Hypothèses!$V$9,Hypothèses!$W$9,IF(BZ218&lt;=Hypothèses!$V$10,Hypothèses!$W$10,IF(BZ218&lt;=Hypothèses!$V$11,Hypothèses!$W$11,IF(BZ218&lt;=Hypothèses!$V$12,Hypothèses!$W$12,IF(BZ218&lt;=Hypothèses!$V$13,Hypothèses!$W$13,IF(BZ218&lt;=Hypothèses!$V$14,Hypothèses!$W$14,IF(BZ218&lt;=Hypothèses!$V$15,Hypothèses!$W$15,IF(BZ218&lt;=Hypothèses!$V$16,Hypothèses!$W$16,IF(BZ218&lt;=Hypothèses!$V$17,Hypothèses!$W$17,IF(BZ218&lt;=Hypothèses!$V$18,Hypothèses!$W$18,""))))))))))))</f>
        <v>#DIV/0!</v>
      </c>
      <c r="CU218" s="87" t="e">
        <f t="shared" ca="1" si="420"/>
        <v>#DIV/0!</v>
      </c>
      <c r="CV218" s="88" t="e">
        <f ca="1">IF(BZ218&lt;=Hypothèses!$V$7,Hypothèses!$X$7,IF(BZ218&lt;=Hypothèses!$V$8,Hypothèses!$X$8,IF(BZ218&lt;=Hypothèses!$V$9,Hypothèses!$X$9,IF(BZ218&lt;=Hypothèses!$V$10,Hypothèses!$X$10,IF(BZ218&lt;=Hypothèses!$V$11,Hypothèses!$X$11,IF(BZ218&lt;=Hypothèses!$V$12,Hypothèses!$X$12,IF(BZ218&lt;=Hypothèses!$V$13,Hypothèses!$X$13,IF(BZ218&lt;=Hypothèses!$V$14,Hypothèses!$X$14,IF(BZ218&lt;=Hypothèses!$V$15,Hypothèses!$X$15,IF(BZ218&lt;=Hypothèses!$V$16,Hypothèses!$X$16,IF(BZ218&lt;=Hypothèses!$U$17,Hypothèses!$W$17,IF(BZ218&lt;=Hypothèses!$U$18,Hypothèses!$W$18,""))))))))))))</f>
        <v>#DIV/0!</v>
      </c>
      <c r="CW218" s="95" t="e">
        <f t="shared" ca="1" si="385"/>
        <v>#DIV/0!</v>
      </c>
      <c r="CX218" s="101" t="e">
        <f t="shared" si="427"/>
        <v>#N/A</v>
      </c>
      <c r="CY218" s="91" t="e">
        <f t="shared" si="354"/>
        <v>#N/A</v>
      </c>
      <c r="CZ218" s="30" t="e">
        <f t="shared" si="408"/>
        <v>#N/A</v>
      </c>
      <c r="DA218" s="30" t="e">
        <f t="shared" si="409"/>
        <v>#N/A</v>
      </c>
      <c r="DB218" s="31" t="e">
        <f>IF(OR(Hypothèses!$B$4=17,Hypothèses!$B$4=18,Hypothèses!$B$4=19,Hypothèses!$B$4=20),
IF($D218="Pressio.",
IF(OR($E218=3,$E218=1,$E218=4),DA218,CZ218),
IF($D218="Pénétro.",
IF(OR($E218=3,$E218=1,$E218=4),DA218,CZ218))),IF($D218="Pressio.",
IF($E218=3,DA218,CZ218),
IF($D218="Pénétro.",
IF($E218=4,DA218,CZ218))))</f>
        <v>#N/A</v>
      </c>
      <c r="DC218" s="31" t="e">
        <f>(IF(OR(Hypothèses!$B$4=17,Hypothèses!$B$4=18,Hypothèses!$B$4=19,Hypothèses!$B$4=20),
IF($D218="Pressio.",
IF(OR($E218=3,$E218=1,$E218=4),(PI()*DC$12^2)/4*(CY218*$W218*1000)/($H218*$B$5),(PI()*DC$12^2)/4*(CY218*$W218*1000)/($G218*$B$5)),
IF($D218="Pénétro.",
IF(OR($E218=4,$E218=1,$E218=5),(PI()*DC$12^2)/4*(CY218*$W218*1000)/($H218*$B$5),(PI()*DC$12^2)/4*(CY218*$W218*1000)/($G218*$B$5)))),
IF($D218="Pressio.",
IF($E218=3,(PI()*DC$12^2)/4*(CY218*$W218*1000)/($H218*$B$5),(PI()*DC$12^2)/4*(CY218*$W218*1000)/($G218*$B$5)),
IF($D218="Pénétro.",
IF($E218=4,(PI()*DC$12^2)/4*(CY218*$W218*1000)/($H218*$B$5),(PI()*DC$12^2)/4*(CY218*$W218*1000)/($G218*$B$5))))))/10</f>
        <v>#N/A</v>
      </c>
      <c r="DD218" s="102" t="e">
        <f>(VLOOKUP($B$3,'Coeff EC7'!$T$39:$X$59,2,0)*DB218+VLOOKUP($B$3,'Coeff EC7'!$T$65:$X$85,2,0)*Model0.1C!DC218)/1.1</f>
        <v>#N/A</v>
      </c>
      <c r="DE218" s="102" t="e">
        <f>(VLOOKUP($B$3,'Coeff EC7'!$T$39:$X$59,3,0)*DB218+VLOOKUP($B$3,'Coeff EC7'!$T$65:$X$85,3,0)*Model0.1C!DC218)/0.9</f>
        <v>#N/A</v>
      </c>
      <c r="DF218" s="102" t="e">
        <f t="shared" si="386"/>
        <v>#N/A</v>
      </c>
      <c r="DG218" s="102" t="e">
        <f t="shared" si="387"/>
        <v>#N/A</v>
      </c>
      <c r="DH218" s="414" t="e">
        <f>IF(DH217=0,0,IF(AND(DD218&gt;charge_ELS_quasi,DE218&gt;Charge_ELS_freq,DF218&gt;charge_ELU,DG218&gt;charge_ELA,$B218&gt;NDC!$H$22-0.1+MIN(3*$DH$12,1.5)),0,1))</f>
        <v>#N/A</v>
      </c>
      <c r="DI218" s="86" t="b">
        <f t="shared" si="355"/>
        <v>0</v>
      </c>
      <c r="DJ218" s="86">
        <f t="shared" si="356"/>
        <v>0.5</v>
      </c>
      <c r="DK218" s="86">
        <f t="shared" si="357"/>
        <v>0.5</v>
      </c>
      <c r="DL218" s="30" t="e">
        <f t="shared" ca="1" si="388"/>
        <v>#DIV/0!</v>
      </c>
      <c r="DM218" s="85" t="e">
        <f ca="1">IF(CS218&lt;=Hypothèses!$V$7,Hypothèses!$W$7,IF(CS218&lt;=Hypothèses!$V$8,Hypothèses!$W$8,IF(CS218&lt;=Hypothèses!$V$9,Hypothèses!$W$9,IF(CS218&lt;=Hypothèses!$V$10,Hypothèses!$W$10,IF(CS218&lt;=Hypothèses!$V$11,Hypothèses!$W$11,IF(CS218&lt;=Hypothèses!$V$12,Hypothèses!$W$12,IF(CS218&lt;=Hypothèses!$V$13,Hypothèses!$W$13,IF(CS218&lt;=Hypothèses!$V$14,Hypothèses!$W$14,IF(CS218&lt;=Hypothèses!$V$15,Hypothèses!$W$15,IF(CS218&lt;=Hypothèses!$V$16,Hypothèses!$W$16,IF(CS218&lt;=Hypothèses!$V$17,Hypothèses!$W$17,IF(CS218&lt;=Hypothèses!$V$18,Hypothèses!$W$18,""))))))))))))</f>
        <v>#DIV/0!</v>
      </c>
      <c r="DN218" s="87" t="e">
        <f t="shared" ca="1" si="421"/>
        <v>#DIV/0!</v>
      </c>
      <c r="DO218" s="88" t="e">
        <f ca="1">IF(CS218&lt;=Hypothèses!$V$7,Hypothèses!$X$7,IF(CS218&lt;=Hypothèses!$V$8,Hypothèses!$X$8,IF(CS218&lt;=Hypothèses!$V$9,Hypothèses!$X$9,IF(CS218&lt;=Hypothèses!$V$10,Hypothèses!$X$10,IF(CS218&lt;=Hypothèses!$V$11,Hypothèses!$X$11,IF(CS218&lt;=Hypothèses!$V$12,Hypothèses!$X$12,IF(CS218&lt;=Hypothèses!$V$13,Hypothèses!$X$13,IF(CS218&lt;=Hypothèses!$V$14,Hypothèses!$X$14,IF(CS218&lt;=Hypothèses!$V$15,Hypothèses!$X$15,IF(CS218&lt;=Hypothèses!$V$16,Hypothèses!$X$16,IF(CS218&lt;=Hypothèses!$U$17,Hypothèses!$W$17,IF(CS218&lt;=Hypothèses!$U$18,Hypothèses!$W$18,""))))))))))))</f>
        <v>#DIV/0!</v>
      </c>
      <c r="DP218" s="95" t="e">
        <f t="shared" ca="1" si="389"/>
        <v>#DIV/0!</v>
      </c>
      <c r="DQ218" s="101" t="e">
        <f t="shared" si="428"/>
        <v>#N/A</v>
      </c>
      <c r="DR218" s="91" t="e">
        <f t="shared" si="358"/>
        <v>#N/A</v>
      </c>
      <c r="DS218" s="30" t="e">
        <f t="shared" si="410"/>
        <v>#N/A</v>
      </c>
      <c r="DT218" s="30" t="e">
        <f t="shared" si="411"/>
        <v>#N/A</v>
      </c>
      <c r="DU218" s="31" t="e">
        <f>IF(OR(Hypothèses!$B$4=17,Hypothèses!$B$4=18,Hypothèses!$B$4=19,Hypothèses!$B$4=20),
IF($D218="Pressio.",
IF(OR($E218=3,$E218=1,$E218=4),DT218,DS218),
IF($D218="Pénétro.",
IF(OR($E218=3,$E218=1,$E218=4),DT218,DS218))),IF($D218="Pressio.",
IF($E218=3,DT218,DS218),
IF($D218="Pénétro.",
IF($E218=4,DT218,DS218))))</f>
        <v>#N/A</v>
      </c>
      <c r="DV218" s="31" t="e">
        <f>(IF(OR(Hypothèses!$B$4=17,Hypothèses!$B$4=18,Hypothèses!$B$4=19,Hypothèses!$B$4=20),
IF($D218="Pressio.",
IF(OR($E218=3,$E218=1,$E218=4),(PI()*DV$12^2)/4*(DR218*$W218*1000)/($H218*$B$5),(PI()*DV$12^2)/4*(DR218*$W218*1000)/($G218*$B$5)),
IF($D218="Pénétro.",
IF(OR($E218=4,$E218=1,$E218=5),(PI()*DV$12^2)/4*(DR218*$W218*1000)/($H218*$B$5),(PI()*DV$12^2)/4*(DR218*$W218*1000)/($G218*$B$5)))),
IF($D218="Pressio.",
IF($E218=3,(PI()*DV$12^2)/4*(DR218*$W218*1000)/($H218*$B$5),(PI()*DV$12^2)/4*(DR218*$W218*1000)/($G218*$B$5)),
IF($D218="Pénétro.",
IF($E218=4,(PI()*DV$12^2)/4*(DR218*$W218*1000)/($H218*$B$5),(PI()*DV$12^2)/4*(DR218*$W218*1000)/($G218*$B$5))))))/10</f>
        <v>#N/A</v>
      </c>
      <c r="DW218" s="102" t="e">
        <f>(VLOOKUP($B$3,'Coeff EC7'!$T$39:$X$59,2,0)*DU218+VLOOKUP($B$3,'Coeff EC7'!$T$65:$X$85,2,0)*Model0.1C!DV218)/1.1</f>
        <v>#N/A</v>
      </c>
      <c r="DX218" s="102" t="e">
        <f>(VLOOKUP($B$3,'Coeff EC7'!$T$39:$X$59,3,0)*DU218+VLOOKUP($B$3,'Coeff EC7'!$T$65:$X$85,3,0)*Model0.1C!DV218)/0.9</f>
        <v>#N/A</v>
      </c>
      <c r="DY218" s="102" t="e">
        <f t="shared" si="390"/>
        <v>#N/A</v>
      </c>
      <c r="DZ218" s="102" t="e">
        <f t="shared" si="391"/>
        <v>#N/A</v>
      </c>
      <c r="EA218" s="414" t="e">
        <f>IF(EA217=0,0,IF(AND(DW218&gt;charge_ELS_quasi,DX218&gt;Charge_ELS_freq,DY218&gt;charge_ELU,DZ218&gt;charge_ELA,$B218&gt;NDC!$H$22-0.1+MIN(3*$EA$12,1.5)),0,1))</f>
        <v>#N/A</v>
      </c>
      <c r="EB218" s="86" t="b">
        <f t="shared" si="359"/>
        <v>0</v>
      </c>
      <c r="EC218" s="418">
        <f t="shared" si="360"/>
        <v>0.51</v>
      </c>
      <c r="ED218" s="86">
        <f t="shared" si="361"/>
        <v>0.51</v>
      </c>
      <c r="EE218" s="30" t="e">
        <f t="shared" ca="1" si="392"/>
        <v>#DIV/0!</v>
      </c>
      <c r="EF218" s="85" t="e">
        <f ca="1">IF(DL218&lt;=Hypothèses!$V$7,Hypothèses!$W$7,IF(DL218&lt;=Hypothèses!$V$8,Hypothèses!$W$8,IF(DL218&lt;=Hypothèses!$V$9,Hypothèses!$W$9,IF(DL218&lt;=Hypothèses!$V$10,Hypothèses!$W$10,IF(DL218&lt;=Hypothèses!$V$11,Hypothèses!$W$11,IF(DL218&lt;=Hypothèses!$V$12,Hypothèses!$W$12,IF(DL218&lt;=Hypothèses!$V$13,Hypothèses!$W$13,IF(DL218&lt;=Hypothèses!$V$14,Hypothèses!$W$14,IF(DL218&lt;=Hypothèses!$V$15,Hypothèses!$W$15,IF(DL218&lt;=Hypothèses!$V$16,Hypothèses!$W$16,IF(DL218&lt;=Hypothèses!$V$17,Hypothèses!$W$17,IF(DL218&lt;=Hypothèses!$V$18,Hypothèses!$W$18,""))))))))))))</f>
        <v>#DIV/0!</v>
      </c>
      <c r="EG218" s="87" t="e">
        <f t="shared" ca="1" si="422"/>
        <v>#DIV/0!</v>
      </c>
      <c r="EH218" s="88" t="e">
        <f ca="1">IF(DL218&lt;=Hypothèses!$V$7,Hypothèses!$X$7,IF(DL218&lt;=Hypothèses!$V$8,Hypothèses!$X$8,IF(DL218&lt;=Hypothèses!$V$9,Hypothèses!$X$9,IF(DL218&lt;=Hypothèses!$V$10,Hypothèses!$X$10,IF(DL218&lt;=Hypothèses!$V$11,Hypothèses!$X$11,IF(DL218&lt;=Hypothèses!$V$12,Hypothèses!$X$12,IF(DL218&lt;=Hypothèses!$V$13,Hypothèses!$X$13,IF(DL218&lt;=Hypothèses!$V$14,Hypothèses!$X$14,IF(DL218&lt;=Hypothèses!$V$15,Hypothèses!$X$15,IF(DL218&lt;=Hypothèses!$V$16,Hypothèses!$X$16,IF(DL218&lt;=Hypothèses!$U$17,Hypothèses!$W$17,IF(DL218&lt;=Hypothèses!$U$18,Hypothèses!$W$18,""))))))))))))</f>
        <v>#DIV/0!</v>
      </c>
      <c r="EI218" s="95" t="e">
        <f t="shared" ca="1" si="393"/>
        <v>#DIV/0!</v>
      </c>
      <c r="EJ218" s="101" t="e">
        <f t="shared" si="429"/>
        <v>#N/A</v>
      </c>
      <c r="EK218" s="91" t="e">
        <f t="shared" si="362"/>
        <v>#N/A</v>
      </c>
      <c r="EL218" s="30" t="e">
        <f t="shared" si="412"/>
        <v>#N/A</v>
      </c>
      <c r="EM218" s="30" t="e">
        <f t="shared" si="413"/>
        <v>#N/A</v>
      </c>
      <c r="EN218" s="31" t="e">
        <f>IF(OR(Hypothèses!$B$4=17,Hypothèses!$B$4=18,Hypothèses!$B$4=19,Hypothèses!$B$4=20),
IF($D218="Pressio.",
IF(OR($E218=3,$E218=1,$E218=4),EM218,EL218),
IF($D218="Pénétro.",
IF(OR($E218=3,$E218=1,$E218=4),EM218,EL218))),IF($D218="Pressio.",
IF($E218=3,EM218,EL218),
IF($D218="Pénétro.",
IF($E218=4,EM218,EL218))))</f>
        <v>#N/A</v>
      </c>
      <c r="EO218" s="31" t="e">
        <f>(IF(OR(Hypothèses!$B$4=17,Hypothèses!$B$4=18,Hypothèses!$B$4=19,Hypothèses!$B$4=20),
IF($D218="Pressio.",
IF(OR($E218=3,$E218=1,$E218=4),(PI()*EO$12^2)/4*(EK218*$W218*1000)/($H218*$B$5),(PI()*EO$12^2)/4*(EK218*$W218*1000)/($G218*$B$5)),
IF($D218="Pénétro.",
IF(OR($E218=4,$E218=1,$E218=5),(PI()*EO$12^2)/4*(EK218*$W218*1000)/($H218*$B$5),(PI()*EO$12^2)/4*(EK218*$W218*1000)/($G218*$B$5)))),
IF($D218="Pressio.",
IF($E218=3,(PI()*EO$12^2)/4*(EK218*$W218*1000)/($H218*$B$5),(PI()*EO$12^2)/4*(EK218*$W218*1000)/($G218*$B$5)),
IF($D218="Pénétro.",
IF($E218=4,(PI()*EO$12^2)/4*(EK218*$W218*1000)/($H218*$B$5),(PI()*EO$12^2)/4*(EK218*$W218*1000)/($G218*$B$5))))))/10</f>
        <v>#N/A</v>
      </c>
      <c r="EP218" s="102" t="e">
        <f>(VLOOKUP($B$3,'Coeff EC7'!$T$39:$X$59,2,0)*EN218+VLOOKUP($B$3,'Coeff EC7'!$T$65:$X$85,2,0)*Model0.1C!EO218)/1.1</f>
        <v>#N/A</v>
      </c>
      <c r="EQ218" s="102" t="e">
        <f>(VLOOKUP($B$3,'Coeff EC7'!$T$39:$X$59,3,0)*EN218+VLOOKUP($B$3,'Coeff EC7'!$T$65:$X$85,3,0)*Model0.1C!EO218)/0.9</f>
        <v>#N/A</v>
      </c>
      <c r="ER218" s="102" t="e">
        <f t="shared" si="394"/>
        <v>#N/A</v>
      </c>
      <c r="ES218" s="102" t="e">
        <f t="shared" si="395"/>
        <v>#N/A</v>
      </c>
      <c r="ET218" s="414" t="e">
        <f>IF(ET217=0,0,IF(AND(EP218&gt;charge_ELS_quasi,EQ218&gt;Charge_ELS_freq,ER218&gt;charge_ELU,ES218&gt;charge_ELA,$B218&gt;NDC!$H$22-0.1+MIN(3*$ET$12,1.5)),0,1))</f>
        <v>#N/A</v>
      </c>
      <c r="EU218" s="86" t="b">
        <f t="shared" si="363"/>
        <v>0</v>
      </c>
      <c r="EV218" s="86">
        <f t="shared" si="364"/>
        <v>0.61</v>
      </c>
      <c r="EW218" s="86">
        <f t="shared" si="365"/>
        <v>0.61</v>
      </c>
      <c r="EX218" s="30" t="e">
        <f t="shared" ca="1" si="396"/>
        <v>#DIV/0!</v>
      </c>
      <c r="EY218" s="85" t="e">
        <f ca="1">IF(EE218&lt;=Hypothèses!$V$7,Hypothèses!$W$7,IF(EE218&lt;=Hypothèses!$V$8,Hypothèses!$W$8,IF(EE218&lt;=Hypothèses!$V$9,Hypothèses!$W$9,IF(EE218&lt;=Hypothèses!$V$10,Hypothèses!$W$10,IF(EE218&lt;=Hypothèses!$V$11,Hypothèses!$W$11,IF(EE218&lt;=Hypothèses!$V$12,Hypothèses!$W$12,IF(EE218&lt;=Hypothèses!$V$13,Hypothèses!$W$13,IF(EE218&lt;=Hypothèses!$V$14,Hypothèses!$W$14,IF(EE218&lt;=Hypothèses!$V$15,Hypothèses!$W$15,IF(EE218&lt;=Hypothèses!$V$16,Hypothèses!$W$16,IF(EE218&lt;=Hypothèses!$V$17,Hypothèses!$W$17,IF(EE218&lt;=Hypothèses!$V$18,Hypothèses!$W$18,""))))))))))))</f>
        <v>#DIV/0!</v>
      </c>
      <c r="EZ218" s="87" t="e">
        <f t="shared" ca="1" si="423"/>
        <v>#DIV/0!</v>
      </c>
      <c r="FA218" s="88" t="e">
        <f ca="1">IF(EE218&lt;=Hypothèses!$V$7,Hypothèses!$X$7,IF(EE218&lt;=Hypothèses!$V$8,Hypothèses!$X$8,IF(EE218&lt;=Hypothèses!$V$9,Hypothèses!$X$9,IF(EE218&lt;=Hypothèses!$V$10,Hypothèses!$X$10,IF(EE218&lt;=Hypothèses!$V$11,Hypothèses!$X$11,IF(EE218&lt;=Hypothèses!$V$12,Hypothèses!$X$12,IF(EE218&lt;=Hypothèses!$V$13,Hypothèses!$X$13,IF(EE218&lt;=Hypothèses!$V$14,Hypothèses!$X$14,IF(EE218&lt;=Hypothèses!$V$15,Hypothèses!$X$15,IF(EE218&lt;=Hypothèses!$V$16,Hypothèses!$X$16,IF(EE218&lt;=Hypothèses!$U$17,Hypothèses!$W$17,IF(EE218&lt;=Hypothèses!$U$18,Hypothèses!$W$18,""))))))))))))</f>
        <v>#DIV/0!</v>
      </c>
      <c r="FB218" s="95" t="e">
        <f t="shared" ca="1" si="397"/>
        <v>#DIV/0!</v>
      </c>
      <c r="FC218" s="101" t="e">
        <f t="shared" si="430"/>
        <v>#N/A</v>
      </c>
      <c r="FD218" s="91" t="e">
        <f t="shared" si="366"/>
        <v>#N/A</v>
      </c>
      <c r="FE218" s="30" t="e">
        <f t="shared" si="414"/>
        <v>#N/A</v>
      </c>
      <c r="FF218" s="30" t="e">
        <f t="shared" si="415"/>
        <v>#N/A</v>
      </c>
      <c r="FG218" s="31" t="e">
        <f>IF(OR(Hypothèses!$B$4=17,Hypothèses!$B$4=18,Hypothèses!$B$4=19,Hypothèses!$B$4=20),
IF($D218="Pressio.",
IF(OR($E218=3,$E218=1,$E218=4),FF218,FE218),
IF($D218="Pénétro.",
IF(OR($E218=3,$E218=1,$E218=4),FF218,FE218))),IF($D218="Pressio.",
IF($E218=3,FF218,FE218),
IF($D218="Pénétro.",
IF($E218=4,FF218,FE218))))</f>
        <v>#N/A</v>
      </c>
      <c r="FH218" s="31" t="e">
        <f>(IF(OR(Hypothèses!$B$4=17,Hypothèses!$B$4=18,Hypothèses!$B$4=19,Hypothèses!$B$4=20),
IF($D218="Pressio.",
IF(OR($E218=3,$E218=1,$E218=4),(PI()*FH$12^2)/4*(FD218*$W218*1000)/($H218*$B$5),(PI()*FH$12^2)/4*(FD218*$W218*1000)/($G218*$B$5)),
IF($D218="Pénétro.",
IF(OR($E218=4,$E218=1,$E218=5),(PI()*FH$12^2)/4*(FD218*$W218*1000)/($H218*$B$5),(PI()*FH$12^2)/4*(FD218*$W218*1000)/($G218*$B$5)))),
IF($D218="Pressio.",
IF($E218=3,(PI()*FH$12^2)/4*(FD218*$W218*1000)/($H218*$B$5),(PI()*FH$12^2)/4*(FD218*$W218*1000)/($G218*$B$5)),
IF($D218="Pénétro.",
IF($E218=4,(PI()*FH$12^2)/4*(FD218*$W218*1000)/($H218*$B$5),(PI()*FH$12^2)/4*(FD218*$W218*1000)/($G218*$B$5))))))/10</f>
        <v>#N/A</v>
      </c>
      <c r="FI218" s="102" t="e">
        <f>(VLOOKUP($B$3,'Coeff EC7'!$T$39:$X$59,2,0)*FG218+VLOOKUP($B$3,'Coeff EC7'!$T$65:$X$85,2,0)*Model0.1C!FH218)/1.1</f>
        <v>#N/A</v>
      </c>
      <c r="FJ218" s="102" t="e">
        <f>(VLOOKUP($B$3,'Coeff EC7'!$T$39:$X$59,3,0)*FG218+VLOOKUP($B$3,'Coeff EC7'!$T$65:$X$85,3,0)*Model0.1C!FH218)/0.9</f>
        <v>#N/A</v>
      </c>
      <c r="FK218" s="102" t="e">
        <f t="shared" si="398"/>
        <v>#N/A</v>
      </c>
      <c r="FL218" s="102" t="e">
        <f t="shared" si="399"/>
        <v>#N/A</v>
      </c>
      <c r="FM218" s="414" t="e">
        <f>IF(FM217=0,0,IF(AND(FI218&gt;charge_ELS_quasi,FJ218&gt;Charge_ELS_freq,FK218&gt;charge_ELU,FL218&gt;charge_ELA,$B218&gt;NDC!$H$22-0.1+MIN(3*$FM$12,1.5)),0,1))</f>
        <v>#N/A</v>
      </c>
    </row>
    <row r="219" spans="1:169">
      <c r="A219" s="96">
        <f t="shared" si="367"/>
        <v>79.400000000001171</v>
      </c>
      <c r="B219" s="97">
        <v>20.6</v>
      </c>
      <c r="C219" s="81">
        <f>IF(B219&lt;=Hypothèses!$C$7,Hypothèses!$A$7,IF(B219&lt;=Hypothèses!$C$8,Hypothèses!$A$8,IF(B219&lt;=Hypothèses!$C$9,Hypothèses!$A$9,IF(B219&lt;=Hypothèses!$C$10,Hypothèses!$A$10,IF(B219&lt;=Hypothèses!$C$11,Hypothèses!$A$11,IF(B219&lt;=Hypothèses!$C$12,Hypothèses!$A$12,IF(B219&lt;=Hypothèses!$C$13,Hypothèses!$A$13,IF(B219&lt;=Hypothèses!$C$14,Hypothèses!$A$14,IF(B219&lt;=Hypothèses!$C$15,Hypothèses!$A$15,IF(B219&lt;=Hypothèses!$C$16,Hypothèses!$A$16,IF(B219&lt;=Hypothèses!$C$17,Hypothèses!$A$17,IF(B219&lt;=Hypothèses!$C$18,Hypothèses!$A$18,C218))))))))))))</f>
        <v>11</v>
      </c>
      <c r="D219" s="82" t="str">
        <f>IF(B219&lt;=Hypothèses!$C$7,Hypothèses!$R$7,IF(B219&lt;=Hypothèses!$C$8,Hypothèses!$R$8,IF(B219&lt;=Hypothèses!$C$9,Hypothèses!$R$9,IF(B219&lt;=Hypothèses!$C$10,Hypothèses!$R$10,IF(B219&lt;=Hypothèses!$C$11,Hypothèses!$R$11,IF(B219&lt;=Hypothèses!$C$12,Hypothèses!$R$12,IF(B219&lt;=Hypothèses!$C$13,Hypothèses!$R$13,IF(B219&lt;=Hypothèses!$C$14,Hypothèses!$R$14,IF(B219&lt;=Hypothèses!$C$15,Hypothèses!$R$15,IF(B219&lt;=Hypothèses!$C$16,Hypothèses!$R$16,IF(B219&lt;=Hypothèses!$C$17,Hypothèses!$R$17,IF(B219&lt;=Hypothèses!$C$18,Hypothèses!$R$18,D218))))))))))))</f>
        <v>Pressio.</v>
      </c>
      <c r="E219" s="82" t="e">
        <f>IF(B219&lt;=Hypothèses!$C$7,Hypothèses!$G$7,IF(B219&lt;=Hypothèses!$C$8,Hypothèses!$G$8,IF(B219&lt;=Hypothèses!$C$9,Hypothèses!$G$9,IF(B219&lt;=Hypothèses!$C$10,Hypothèses!$G$10,IF(B219&lt;=Hypothèses!$C$11,Hypothèses!$G$11,IF(B219&lt;=Hypothèses!$C$12,Hypothèses!$G$12,IF(B219&lt;=Hypothèses!$C$13,Hypothèses!$G$13,IF(B219&lt;=Hypothèses!$C$14,Hypothèses!$G$14,IF(B219&lt;=Hypothèses!$C$15,Hypothèses!$G$15,IF(B219&lt;=Hypothèses!$C$16,Hypothèses!$G$16,IF(B219&lt;=Hypothèses!$C$17,Hypothèses!$G$17,IF(B219&lt;=Hypothèses!$C$18,Hypothèses!$G$18,E218))))))))))))</f>
        <v>#N/A</v>
      </c>
      <c r="F219" s="82" t="str">
        <f>IF(B219&lt;=Hypothèses!$C$7,Hypothèses!$F$7,IF(B219&lt;=Hypothèses!$C$8,Hypothèses!$F$8,IF(B219&lt;=Hypothèses!$C$9,Hypothèses!$F$9,IF(B219&lt;=Hypothèses!$C$10,Hypothèses!$F$10,IF(B219&lt;=Hypothèses!$C$11,Hypothèses!$F$11,IF(B219&lt;=Hypothèses!$C$12,Hypothèses!$F$12,IF(B219&lt;=Hypothèses!$C$13,Hypothèses!$F$13,IF(B219&lt;=Hypothèses!$C$14,Hypothèses!$F$14,IF(B219&lt;=Hypothèses!$C$15,Hypothèses!$F$15,IF(B219&lt;=Hypothèses!$C$16,Hypothèses!$F$16,IF(B219&lt;=Hypothèses!$C$17,Hypothèses!$F$17,IF(B219&lt;=Hypothèses!$C$18,Hypothèses!$F$18,F218))))))))))))</f>
        <v/>
      </c>
      <c r="G219" s="91">
        <f t="array" ref="G219">INDEX('Coeff EC7'!$U$7:$X$27,
MATCH(Model0.1C!$B$3,'Coeff EC7'!$T$7:$T$27,0),
MATCH(Model0.1C!$D219&amp;Model0.1C!$B$4,
'Coeff EC7'!$U$6:$X$6&amp;
'Coeff EC7'!$U$5:$X$5,0))</f>
        <v>1.1499999999999999</v>
      </c>
      <c r="H219" s="91">
        <f t="array" ref="H219">INDEX('Coeff EC7'!$Y$7:$AB$27,
MATCH(Model0.1C!$B$3,'Coeff EC7'!$T$7:$T$27,0),
MATCH(Model0.1C!$D219&amp;Model0.1C!$B$4,
'Coeff EC7'!$Y$6:$AB$6&amp;
'Coeff EC7'!$Y$5:$AB$5,0))</f>
        <v>1.4</v>
      </c>
      <c r="I219" s="83" t="e">
        <f>IF(B219&lt;=Hypothèses!$C$7,Hypothèses!$P$7,IF(B219&lt;=Hypothèses!$C$8,Hypothèses!$P$8,IF(B219&lt;=Hypothèses!$C$9,Hypothèses!$P$9,IF(B219&lt;=Hypothèses!$C$10,Hypothèses!$P$10,IF(B219&lt;=Hypothèses!$C$11,Hypothèses!$P$11,IF(B219&lt;=Hypothèses!$C$12,Hypothèses!$P$12,IF(B219&lt;=Hypothèses!$C$13,Hypothèses!$P$13,IF(B219&lt;=Hypothèses!$C$14,Hypothèses!$P$14,IF(B219&lt;=Hypothèses!$C$15,Hypothèses!$P$15,IF(B219&lt;=Hypothèses!$C$16,Hypothèses!$P$16,IF(B219&lt;=Hypothèses!$C$17,Hypothèses!$P$17,IF(B219&lt;=Hypothèses!$C$18,Hypothèses!$P$18,I218))))))))))))</f>
        <v>#N/A</v>
      </c>
      <c r="J219" s="91" t="e">
        <f t="array" ref="J219">INDEX('Coeff EC7'!$D$33:$Q$33,1,MATCH(D219&amp;E219,'Coeff EC7'!$D$31:$Q$31&amp;'Coeff EC7'!$D$32:$Q$32,0))</f>
        <v>#N/A</v>
      </c>
      <c r="K219" s="91" t="e">
        <f t="array" ref="K219">INDEX('Coeff EC7'!$D$34:$Q$34,1,MATCH(D219&amp;E219,'Coeff EC7'!$D$31:$Q$31&amp;'Coeff EC7'!$D$32:$Q$32,0))</f>
        <v>#N/A</v>
      </c>
      <c r="L219" s="91" t="e">
        <f t="array" ref="L219">INDEX('Coeff EC7'!$D$35:$Q$35,1,MATCH(D219&amp;E219,'Coeff EC7'!$D$31:$Q$31&amp;'Coeff EC7'!$D$32:$Q$32,0))</f>
        <v>#N/A</v>
      </c>
      <c r="M219" s="98" t="e">
        <f t="shared" si="331"/>
        <v>#N/A</v>
      </c>
      <c r="N219" s="99" t="e">
        <f t="array" ref="N219">INDEX('Coeff EC7'!$D$7:$Q$27,MATCH($B$3,'Coeff EC7'!$C$7:$C$27,0),MATCH(D219&amp;E219,'Coeff EC7'!$D$5:$Q$5&amp;'Coeff EC7'!$D$6:$Q$6,0))</f>
        <v>#N/A</v>
      </c>
      <c r="O219" s="99" t="e">
        <f t="array" ref="O219">INDEX('Coeff EC7'!$D$41:$Q$61,MATCH($B$3,'Coeff EC7'!$C$41:$C$61,0),MATCH(D219&amp;E219,'Coeff EC7'!$D$39:$Q$39&amp;'Coeff EC7'!$D$40:$Q$40,0))</f>
        <v>#N/A</v>
      </c>
      <c r="P219" s="30" t="e">
        <f t="shared" si="368"/>
        <v>#N/A</v>
      </c>
      <c r="Q219" s="100" t="e">
        <f t="shared" si="333"/>
        <v>#N/A</v>
      </c>
      <c r="R219" s="86" t="b">
        <f t="shared" si="334"/>
        <v>0</v>
      </c>
      <c r="S219" s="86">
        <f t="shared" si="332"/>
        <v>0.5</v>
      </c>
      <c r="T219" s="86">
        <f t="shared" si="335"/>
        <v>0.5</v>
      </c>
      <c r="U219" s="30" t="e">
        <f t="shared" ca="1" si="369"/>
        <v>#DIV/0!</v>
      </c>
      <c r="V219" s="85" t="str">
        <f>IF(B219&lt;=Hypothèses!$V$7,Hypothèses!$W$7,IF(B219&lt;=Hypothèses!$V$8,Hypothèses!$W$8,IF(B219&lt;=Hypothèses!$V$9,Hypothèses!$W$9,IF(B219&lt;=Hypothèses!$V$10,Hypothèses!$W$10,IF(B219&lt;=Hypothèses!$V$11,Hypothèses!$W$11,IF(B219&lt;=Hypothèses!$V$12,Hypothèses!$W$12,IF(B219&lt;=Hypothèses!$V$13,Hypothèses!$W$13,IF(B219&lt;=Hypothèses!$V$14,Hypothèses!$W$14,IF(B219&lt;=Hypothèses!$V$15,Hypothèses!$W$15,IF(B219&lt;=Hypothèses!$V$16,Hypothèses!$W$16,IF(B219&lt;=Hypothèses!$V$17,Hypothèses!$W$17,IF(B219&lt;=Hypothèses!$V$18,Hypothèses!$W$18,""))))))))))))</f>
        <v/>
      </c>
      <c r="W219" s="87" t="e">
        <f t="shared" ca="1" si="416"/>
        <v>#DIV/0!</v>
      </c>
      <c r="X219" s="88" t="str">
        <f>IF(B219&lt;=Hypothèses!$V$7,Hypothèses!$X$7,IF(B219&lt;=Hypothèses!$V$8,Hypothèses!$X$8,IF(B219&lt;=Hypothèses!$V$9,Hypothèses!$X$9,IF(B219&lt;=Hypothèses!$V$10,Hypothèses!$X$10,IF(B219&lt;=Hypothèses!$V$11,Hypothèses!$X$11,IF(B219&lt;=Hypothèses!$V$12,Hypothèses!$X$12,IF(B219&lt;=Hypothèses!$V$13,Hypothèses!$X$13,IF(B219&lt;=Hypothèses!$V$14,Hypothèses!$X$14,IF(B219&lt;=Hypothèses!$V$15,Hypothèses!$X$15,IF(B219&lt;=Hypothèses!$V$16,Hypothèses!$X$16,IF(B219&lt;=Hypothèses!$U$17,Hypothèses!$W$17,IF(B219&lt;=Hypothèses!$U$18,Hypothèses!$W$18,""))))))))))))</f>
        <v/>
      </c>
      <c r="Y219" s="95" t="e">
        <f t="shared" ca="1" si="336"/>
        <v>#DIV/0!</v>
      </c>
      <c r="Z219" s="101" t="e">
        <f t="shared" si="337"/>
        <v>#N/A</v>
      </c>
      <c r="AA219" s="91" t="e">
        <f t="shared" si="338"/>
        <v>#N/A</v>
      </c>
      <c r="AB219" s="30" t="e">
        <f t="shared" si="400"/>
        <v>#N/A</v>
      </c>
      <c r="AC219" s="30" t="e">
        <f t="shared" si="401"/>
        <v>#N/A</v>
      </c>
      <c r="AD219" s="31" t="e">
        <f>IF(OR(Hypothèses!$B$4=17,Hypothèses!$B$4=18,Hypothèses!$B$4=19,Hypothèses!$B$4=20),
IF($D219="Pressio.",
IF(OR($E219=3,$E219=1,$E219=4),AC219,AB219),
IF($D219="Pénétro.",
IF(OR($E219=3,$E219=1,$E219=4),AC219,AB219))),IF($D219="Pressio.",
IF($E219=3,AC219,AB219),
IF($D219="Pénétro.",
IF($E219=4,AC219,AB219))))</f>
        <v>#N/A</v>
      </c>
      <c r="AE219" s="31" t="e">
        <f>(IF(OR(Hypothèses!$B$4=17,Hypothèses!$B$4=18,Hypothèses!$B$4=19,Hypothèses!$B$4=20),
IF($D219="Pressio.",
IF(OR($E219=3,$E219=1,$E219=4),(PI()*AE$12^2)/4*(AA219*$W219*1000)/($H219*$B$5),(PI()*AE$12^2)/4*(AA219*$W219*1000)/($G219*$B$5)),
IF($D219="Pénétro.",
IF(OR($E219=4,$E219=1,$E219=5),(PI()*AE$12^2)/4*(AA219*$W219*1000)/($H219*$B$5),(PI()*AE$12^2)/4*(AA219*$W219*1000)/($G219*$B$5)))),
IF($D219="Pressio.",
IF($E219=3,(PI()*AE$12^2)/4*(AA219*$W219*1000)/($H219*$B$5),(PI()*AE$12^2)/4*(AA219*$W219*1000)/($G219*$B$5)),
IF($D219="Pénétro.",
IF($E219=4,(PI()*AE$12^2)/4*(AA219*$W219*1000)/($H219*$B$5),(PI()*AE$12^2)/4*(AA219*$W219*1000)/($G219*$B$5))))))/10</f>
        <v>#N/A</v>
      </c>
      <c r="AF219" s="102" t="e">
        <f>(VLOOKUP($B$3,'Coeff EC7'!$T$39:$X$59,2,0)*AD219+VLOOKUP($B$3,'Coeff EC7'!$T$65:$X$85,2,0)*Model0.1C!AE219)/1.1</f>
        <v>#N/A</v>
      </c>
      <c r="AG219" s="102" t="e">
        <f>(VLOOKUP($B$3,'Coeff EC7'!$T$39:$X$59,3,0)*AD219+VLOOKUP($B$3,'Coeff EC7'!$T$65:$X$85,3,0)*Model0.1C!AE219)/0.9</f>
        <v>#N/A</v>
      </c>
      <c r="AH219" s="102" t="e">
        <f t="shared" si="339"/>
        <v>#N/A</v>
      </c>
      <c r="AI219" s="102" t="e">
        <f t="shared" si="340"/>
        <v>#N/A</v>
      </c>
      <c r="AJ219" s="414" t="e">
        <f>IF(AJ218=0,0,IF(AND(AF219&gt;charge_ELS_quasi,AG219&gt;Charge_ELS_freq,AH219&gt;charge_ELU,AI219&gt;charge_ELA,$B219&gt;NDC!$H$22-0.1+MIN(3*$AJ$12,1.5)),0,1))</f>
        <v>#N/A</v>
      </c>
      <c r="AK219" s="86" t="b">
        <f t="shared" si="341"/>
        <v>0</v>
      </c>
      <c r="AL219" s="86">
        <f t="shared" si="370"/>
        <v>0.5</v>
      </c>
      <c r="AM219" s="86">
        <f t="shared" si="342"/>
        <v>0.5</v>
      </c>
      <c r="AN219" s="30" t="e">
        <f t="shared" ca="1" si="371"/>
        <v>#DIV/0!</v>
      </c>
      <c r="AO219" s="85" t="e">
        <f ca="1">IF(U219&lt;=Hypothèses!$V$7,Hypothèses!$W$7,IF(U219&lt;=Hypothèses!$V$8,Hypothèses!$W$8,IF(U219&lt;=Hypothèses!$V$9,Hypothèses!$W$9,IF(U219&lt;=Hypothèses!$V$10,Hypothèses!$W$10,IF(U219&lt;=Hypothèses!$V$11,Hypothèses!$W$11,IF(U219&lt;=Hypothèses!$V$12,Hypothèses!$W$12,IF(U219&lt;=Hypothèses!$V$13,Hypothèses!$W$13,IF(U219&lt;=Hypothèses!$V$14,Hypothèses!$W$14,IF(U219&lt;=Hypothèses!$V$15,Hypothèses!$W$15,IF(U219&lt;=Hypothèses!$V$16,Hypothèses!$W$16,IF(U219&lt;=Hypothèses!$V$17,Hypothèses!$W$17,IF(U219&lt;=Hypothèses!$V$18,Hypothèses!$W$18,""))))))))))))</f>
        <v>#DIV/0!</v>
      </c>
      <c r="AP219" s="87" t="e">
        <f t="shared" ca="1" si="417"/>
        <v>#DIV/0!</v>
      </c>
      <c r="AQ219" s="88" t="e">
        <f ca="1">IF(U219&lt;=Hypothèses!$V$7,Hypothèses!$X$7,IF(U219&lt;=Hypothèses!$V$8,Hypothèses!$X$8,IF(U219&lt;=Hypothèses!$V$9,Hypothèses!$X$9,IF(U219&lt;=Hypothèses!$V$10,Hypothèses!$X$10,IF(U219&lt;=Hypothèses!$V$11,Hypothèses!$X$11,IF(U219&lt;=Hypothèses!$V$12,Hypothèses!$X$12,IF(U219&lt;=Hypothèses!$V$13,Hypothèses!$X$13,IF(U219&lt;=Hypothèses!$V$14,Hypothèses!$X$14,IF(U219&lt;=Hypothèses!$V$15,Hypothèses!$X$15,IF(U219&lt;=Hypothèses!$V$16,Hypothèses!$X$16,IF(U219&lt;=Hypothèses!$U$17,Hypothèses!$W$17,IF(U219&lt;=Hypothèses!$U$18,Hypothèses!$W$18,""))))))))))))</f>
        <v>#DIV/0!</v>
      </c>
      <c r="AR219" s="95" t="e">
        <f t="shared" ca="1" si="372"/>
        <v>#DIV/0!</v>
      </c>
      <c r="AS219" s="101" t="e">
        <f t="shared" si="424"/>
        <v>#N/A</v>
      </c>
      <c r="AT219" s="91" t="e">
        <f t="shared" si="343"/>
        <v>#N/A</v>
      </c>
      <c r="AU219" s="30" t="e">
        <f t="shared" si="402"/>
        <v>#N/A</v>
      </c>
      <c r="AV219" s="30" t="e">
        <f t="shared" si="403"/>
        <v>#N/A</v>
      </c>
      <c r="AW219" s="31" t="e">
        <f>IF(OR(Hypothèses!$B$4=17,Hypothèses!$B$4=18,Hypothèses!$B$4=19,Hypothèses!$B$4=20),
IF($D219="Pressio.",
IF(OR($E219=3,$E219=1,$E219=4),AV219,AU219),
IF($D219="Pénétro.",
IF(OR($E219=3,$E219=1,$E219=4),AV219,AU219))),IF($D219="Pressio.",
IF($E219=3,AV219,AU219),
IF($D219="Pénétro.",
IF($E219=4,AV219,AU219))))</f>
        <v>#N/A</v>
      </c>
      <c r="AX219" s="31" t="e">
        <f>(IF(OR(Hypothèses!$B$4=17,Hypothèses!$B$4=18,Hypothèses!$B$4=19,Hypothèses!$B$4=20),
IF($D219="Pressio.",
IF(OR($E219=3,$E219=1,$E219=4),(PI()*AX$12^2)/4*(AT219*$W219*1000)/($H219*$B$5),(PI()*AX$12^2)/4*(AT219*$W219*1000)/($G219*$B$5)),
IF($D219="Pénétro.",
IF(OR($E219=4,$E219=1,$E219=5),(PI()*AX$12^2)/4*(AT219*$W219*1000)/($H219*$B$5),(PI()*AX$12^2)/4*(AT219*$W219*1000)/($G219*$B$5)))),
IF($D219="Pressio.",
IF($E219=3,(PI()*AX$12^2)/4*(AT219*$W219*1000)/($H219*$B$5),(PI()*AX$12^2)/4*(AT219*$W219*1000)/($G219*$B$5)),
IF($D219="Pénétro.",
IF($E219=4,(PI()*AX$12^2)/4*(AT219*$W219*1000)/($H219*$B$5),(PI()*AX$12^2)/4*(AT219*$W219*1000)/($G219*$B$5))))))/10</f>
        <v>#N/A</v>
      </c>
      <c r="AY219" s="102" t="e">
        <f>(VLOOKUP($B$3,'Coeff EC7'!$T$39:$X$59,2,0)*AW219+VLOOKUP($B$3,'Coeff EC7'!$T$65:$X$85,2,0)*Model0.1C!AX219)/1.1</f>
        <v>#N/A</v>
      </c>
      <c r="AZ219" s="102" t="e">
        <f>(VLOOKUP($B$3,'Coeff EC7'!$T$39:$X$59,3,0)*AW219+VLOOKUP($B$3,'Coeff EC7'!$T$65:$X$85,3,0)*Model0.1C!AX219)/0.9</f>
        <v>#N/A</v>
      </c>
      <c r="BA219" s="102" t="e">
        <f t="shared" si="373"/>
        <v>#N/A</v>
      </c>
      <c r="BB219" s="102" t="e">
        <f t="shared" si="374"/>
        <v>#N/A</v>
      </c>
      <c r="BC219" s="414" t="e">
        <f>IF(BC218=0,0,IF(AND(AY219&gt;charge_ELS_quasi,AZ219&gt;Charge_ELS_freq,BA219&gt;charge_ELU,BB219&gt;charge_ELA,$B219&gt;NDC!$H$22-0.1+MIN(3*$BC$12,1.5)),0,1))</f>
        <v>#N/A</v>
      </c>
      <c r="BD219" s="86" t="b">
        <f t="shared" si="344"/>
        <v>0</v>
      </c>
      <c r="BE219" s="86">
        <f t="shared" si="375"/>
        <v>0.5</v>
      </c>
      <c r="BF219" s="86">
        <f t="shared" si="345"/>
        <v>0.5</v>
      </c>
      <c r="BG219" s="30" t="e">
        <f t="shared" ca="1" si="376"/>
        <v>#DIV/0!</v>
      </c>
      <c r="BH219" s="85" t="e">
        <f ca="1">IF(AN219&lt;=Hypothèses!$V$7,Hypothèses!$W$7,IF(AN219&lt;=Hypothèses!$V$8,Hypothèses!$W$8,IF(AN219&lt;=Hypothèses!$V$9,Hypothèses!$W$9,IF(AN219&lt;=Hypothèses!$V$10,Hypothèses!$W$10,IF(AN219&lt;=Hypothèses!$V$11,Hypothèses!$W$11,IF(AN219&lt;=Hypothèses!$V$12,Hypothèses!$W$12,IF(AN219&lt;=Hypothèses!$V$13,Hypothèses!$W$13,IF(AN219&lt;=Hypothèses!$V$14,Hypothèses!$W$14,IF(AN219&lt;=Hypothèses!$V$15,Hypothèses!$W$15,IF(AN219&lt;=Hypothèses!$V$16,Hypothèses!$W$16,IF(AN219&lt;=Hypothèses!$V$17,Hypothèses!$W$17,IF(AN219&lt;=Hypothèses!$V$18,Hypothèses!$W$18,""))))))))))))</f>
        <v>#DIV/0!</v>
      </c>
      <c r="BI219" s="87" t="e">
        <f t="shared" ca="1" si="418"/>
        <v>#DIV/0!</v>
      </c>
      <c r="BJ219" s="88" t="e">
        <f ca="1">IF(AN219&lt;=Hypothèses!$V$7,Hypothèses!$X$7,IF(AN219&lt;=Hypothèses!$V$8,Hypothèses!$X$8,IF(AN219&lt;=Hypothèses!$V$9,Hypothèses!$X$9,IF(AN219&lt;=Hypothèses!$V$10,Hypothèses!$X$10,IF(AN219&lt;=Hypothèses!$V$11,Hypothèses!$X$11,IF(AN219&lt;=Hypothèses!$V$12,Hypothèses!$X$12,IF(AN219&lt;=Hypothèses!$V$13,Hypothèses!$X$13,IF(AN219&lt;=Hypothèses!$V$14,Hypothèses!$X$14,IF(AN219&lt;=Hypothèses!$V$15,Hypothèses!$X$15,IF(AN219&lt;=Hypothèses!$V$16,Hypothèses!$X$16,IF(AN219&lt;=Hypothèses!$U$17,Hypothèses!$W$17,IF(AN219&lt;=Hypothèses!$U$18,Hypothèses!$W$18,""))))))))))))</f>
        <v>#DIV/0!</v>
      </c>
      <c r="BK219" s="95" t="e">
        <f t="shared" ca="1" si="377"/>
        <v>#DIV/0!</v>
      </c>
      <c r="BL219" s="101" t="e">
        <f t="shared" si="425"/>
        <v>#N/A</v>
      </c>
      <c r="BM219" s="91" t="e">
        <f t="shared" si="346"/>
        <v>#N/A</v>
      </c>
      <c r="BN219" s="30" t="e">
        <f t="shared" si="404"/>
        <v>#N/A</v>
      </c>
      <c r="BO219" s="30" t="e">
        <f t="shared" si="405"/>
        <v>#N/A</v>
      </c>
      <c r="BP219" s="31" t="e">
        <f>IF(OR(Hypothèses!$B$4=17,Hypothèses!$B$4=18,Hypothèses!$B$4=19,Hypothèses!$B$4=20),
IF($D219="Pressio.",
IF(OR($E219=3,$E219=1,$E219=4),BO219,BN219),
IF($D219="Pénétro.",
IF(OR($E219=3,$E219=1,$E219=4),BO219,BN219))),IF($D219="Pressio.",
IF($E219=3,BO219,BN219),
IF($D219="Pénétro.",
IF($E219=4,BO219,BN219))))</f>
        <v>#N/A</v>
      </c>
      <c r="BQ219" s="31" t="e">
        <f>(IF(OR(Hypothèses!$B$4=17,Hypothèses!$B$4=18,Hypothèses!$B$4=19,Hypothèses!$B$4=20),
IF($D219="Pressio.",
IF(OR($E219=3,$E219=1,$E219=4),(PI()*BQ$12^2)/4*(BM219*$W219*1000)/($H219*$B$5),(PI()*BQ$12^2)/4*(BM219*$W219*1000)/($G219*$B$5)),
IF($D219="Pénétro.",
IF(OR($E219=4,$E219=1,$E219=5),(PI()*BQ$12^2)/4*(BM219*$W219*1000)/($H219*$B$5),(PI()*BQ$12^2)/4*(BM219*$W219*1000)/($G219*$B$5)))),
IF($D219="Pressio.",
IF($E219=3,(PI()*BQ$12^2)/4*(BM219*$W219*1000)/($H219*$B$5),(PI()*BQ$12^2)/4*(BM219*$W219*1000)/($G219*$B$5)),
IF($D219="Pénétro.",
IF($E219=4,(PI()*BQ$12^2)/4*(BM219*$W219*1000)/($H219*$B$5),(PI()*BQ$12^2)/4*(BM219*$W219*1000)/($G219*$B$5))))))/10</f>
        <v>#N/A</v>
      </c>
      <c r="BR219" s="102" t="e">
        <f>(VLOOKUP($B$3,'Coeff EC7'!$T$39:$X$59,2,0)*BP219+VLOOKUP($B$3,'Coeff EC7'!$T$65:$X$85,2,0)*Model0.1C!BQ219)/1.1</f>
        <v>#N/A</v>
      </c>
      <c r="BS219" s="102" t="e">
        <f>(VLOOKUP($B$3,'Coeff EC7'!$T$39:$X$59,3,0)*BP219+VLOOKUP($B$3,'Coeff EC7'!$T$65:$X$85,3,0)*Model0.1C!BQ219)/0.9</f>
        <v>#N/A</v>
      </c>
      <c r="BT219" s="102" t="e">
        <f t="shared" si="378"/>
        <v>#N/A</v>
      </c>
      <c r="BU219" s="102" t="e">
        <f t="shared" si="379"/>
        <v>#N/A</v>
      </c>
      <c r="BV219" s="414" t="e">
        <f>IF(BV218=0,0,IF(AND(BR219&gt;charge_ELS_quasi,BS219&gt;Charge_ELS_freq,BT219&gt;charge_ELU,BU219&gt;charge_ELA,$B219&gt;NDC!$H$22-0.1+MIN(3*$BV$12,1.5)),0,1))</f>
        <v>#N/A</v>
      </c>
      <c r="BW219" s="86" t="b">
        <f t="shared" si="347"/>
        <v>0</v>
      </c>
      <c r="BX219" s="86">
        <f t="shared" si="348"/>
        <v>0.5</v>
      </c>
      <c r="BY219" s="86">
        <f t="shared" si="349"/>
        <v>0.5</v>
      </c>
      <c r="BZ219" s="30" t="e">
        <f t="shared" ca="1" si="380"/>
        <v>#DIV/0!</v>
      </c>
      <c r="CA219" s="85" t="e">
        <f ca="1">IF(BG219&lt;=Hypothèses!$V$7,Hypothèses!$W$7,IF(BG219&lt;=Hypothèses!$V$8,Hypothèses!$W$8,IF(BG219&lt;=Hypothèses!$V$9,Hypothèses!$W$9,IF(BG219&lt;=Hypothèses!$V$10,Hypothèses!$W$10,IF(BG219&lt;=Hypothèses!$V$11,Hypothèses!$W$11,IF(BG219&lt;=Hypothèses!$V$12,Hypothèses!$W$12,IF(BG219&lt;=Hypothèses!$V$13,Hypothèses!$W$13,IF(BG219&lt;=Hypothèses!$V$14,Hypothèses!$W$14,IF(BG219&lt;=Hypothèses!$V$15,Hypothèses!$W$15,IF(BG219&lt;=Hypothèses!$V$16,Hypothèses!$W$16,IF(BG219&lt;=Hypothèses!$V$17,Hypothèses!$W$17,IF(BG219&lt;=Hypothèses!$V$18,Hypothèses!$W$18,""))))))))))))</f>
        <v>#DIV/0!</v>
      </c>
      <c r="CB219" s="87" t="e">
        <f t="shared" ca="1" si="419"/>
        <v>#DIV/0!</v>
      </c>
      <c r="CC219" s="88" t="e">
        <f ca="1">IF(BG219&lt;=Hypothèses!$V$7,Hypothèses!$X$7,IF(BG219&lt;=Hypothèses!$V$8,Hypothèses!$X$8,IF(BG219&lt;=Hypothèses!$V$9,Hypothèses!$X$9,IF(BG219&lt;=Hypothèses!$V$10,Hypothèses!$X$10,IF(BG219&lt;=Hypothèses!$V$11,Hypothèses!$X$11,IF(BG219&lt;=Hypothèses!$V$12,Hypothèses!$X$12,IF(BG219&lt;=Hypothèses!$V$13,Hypothèses!$X$13,IF(BG219&lt;=Hypothèses!$V$14,Hypothèses!$X$14,IF(BG219&lt;=Hypothèses!$V$15,Hypothèses!$X$15,IF(BG219&lt;=Hypothèses!$V$16,Hypothèses!$X$16,IF(BG219&lt;=Hypothèses!$U$17,Hypothèses!$W$17,IF(BG219&lt;=Hypothèses!$U$18,Hypothèses!$W$18,""))))))))))))</f>
        <v>#DIV/0!</v>
      </c>
      <c r="CD219" s="95" t="e">
        <f t="shared" ca="1" si="381"/>
        <v>#DIV/0!</v>
      </c>
      <c r="CE219" s="101" t="e">
        <f t="shared" si="426"/>
        <v>#N/A</v>
      </c>
      <c r="CF219" s="91" t="e">
        <f t="shared" si="350"/>
        <v>#N/A</v>
      </c>
      <c r="CG219" s="30" t="e">
        <f t="shared" si="406"/>
        <v>#N/A</v>
      </c>
      <c r="CH219" s="30" t="e">
        <f t="shared" si="407"/>
        <v>#N/A</v>
      </c>
      <c r="CI219" s="31" t="e">
        <f>IF(OR(Hypothèses!$B$4=17,Hypothèses!$B$4=18,Hypothèses!$B$4=19,Hypothèses!$B$4=20),
IF($D219="Pressio.",
IF(OR($E219=3,$E219=1,$E219=4),CH219,CG219),
IF($D219="Pénétro.",
IF(OR($E219=3,$E219=1,$E219=4),CH219,CG219))),IF($D219="Pressio.",
IF($E219=3,CH219,CG219),
IF($D219="Pénétro.",
IF($E219=4,CH219,CG219))))</f>
        <v>#N/A</v>
      </c>
      <c r="CJ219" s="31" t="e">
        <f>(IF(OR(Hypothèses!$B$4=17,Hypothèses!$B$4=18,Hypothèses!$B$4=19,Hypothèses!$B$4=20),
IF($D219="Pressio.",
IF(OR($E219=3,$E219=1,$E219=4),(PI()*CJ$12^2)/4*(CF219*$W219*1000)/($H219*$B$5),(PI()*CJ$12^2)/4*(CF219*$W219*1000)/($G219*$B$5)),
IF($D219="Pénétro.",
IF(OR($E219=4,$E219=1,$E219=5),(PI()*CJ$12^2)/4*(CF219*$W219*1000)/($H219*$B$5),(PI()*CJ$12^2)/4*(CF219*$W219*1000)/($G219*$B$5)))),
IF($D219="Pressio.",
IF($E219=3,(PI()*CJ$12^2)/4*(CF219*$W219*1000)/($H219*$B$5),(PI()*CJ$12^2)/4*(CF219*$W219*1000)/($G219*$B$5)),
IF($D219="Pénétro.",
IF($E219=4,(PI()*CJ$12^2)/4*(CF219*$W219*1000)/($H219*$B$5),(PI()*CJ$12^2)/4*(CF219*$W219*1000)/($G219*$B$5))))))/10</f>
        <v>#N/A</v>
      </c>
      <c r="CK219" s="102" t="e">
        <f>(VLOOKUP($B$3,'Coeff EC7'!$T$39:$X$59,2,0)*CI219+VLOOKUP($B$3,'Coeff EC7'!$T$65:$X$85,2,0)*Model0.1C!CJ219)/1.1</f>
        <v>#N/A</v>
      </c>
      <c r="CL219" s="102" t="e">
        <f>(VLOOKUP($B$3,'Coeff EC7'!$T$39:$X$59,3,0)*CI219+VLOOKUP($B$3,'Coeff EC7'!$T$65:$X$85,3,0)*Model0.1C!CJ219)/0.9</f>
        <v>#N/A</v>
      </c>
      <c r="CM219" s="102" t="e">
        <f t="shared" si="382"/>
        <v>#N/A</v>
      </c>
      <c r="CN219" s="102" t="e">
        <f t="shared" si="383"/>
        <v>#N/A</v>
      </c>
      <c r="CO219" s="414" t="e">
        <f>IF(CO218=0,0,IF(AND(CK219&gt;charge_ELS_quasi,CL219&gt;Charge_ELS_freq,CM219&gt;charge_ELU,CN219&gt;charge_ELA,$B219&gt;NDC!$H$22-0.1+MIN(3*$CO$12,1.5)),0,1))</f>
        <v>#N/A</v>
      </c>
      <c r="CP219" s="86" t="b">
        <f t="shared" si="351"/>
        <v>0</v>
      </c>
      <c r="CQ219" s="86">
        <f t="shared" si="352"/>
        <v>0.5</v>
      </c>
      <c r="CR219" s="86">
        <f t="shared" si="353"/>
        <v>0.5</v>
      </c>
      <c r="CS219" s="30" t="e">
        <f t="shared" ca="1" si="384"/>
        <v>#DIV/0!</v>
      </c>
      <c r="CT219" s="85" t="e">
        <f ca="1">IF(BZ219&lt;=Hypothèses!$V$7,Hypothèses!$W$7,IF(BZ219&lt;=Hypothèses!$V$8,Hypothèses!$W$8,IF(BZ219&lt;=Hypothèses!$V$9,Hypothèses!$W$9,IF(BZ219&lt;=Hypothèses!$V$10,Hypothèses!$W$10,IF(BZ219&lt;=Hypothèses!$V$11,Hypothèses!$W$11,IF(BZ219&lt;=Hypothèses!$V$12,Hypothèses!$W$12,IF(BZ219&lt;=Hypothèses!$V$13,Hypothèses!$W$13,IF(BZ219&lt;=Hypothèses!$V$14,Hypothèses!$W$14,IF(BZ219&lt;=Hypothèses!$V$15,Hypothèses!$W$15,IF(BZ219&lt;=Hypothèses!$V$16,Hypothèses!$W$16,IF(BZ219&lt;=Hypothèses!$V$17,Hypothèses!$W$17,IF(BZ219&lt;=Hypothèses!$V$18,Hypothèses!$W$18,""))))))))))))</f>
        <v>#DIV/0!</v>
      </c>
      <c r="CU219" s="87" t="e">
        <f t="shared" ca="1" si="420"/>
        <v>#DIV/0!</v>
      </c>
      <c r="CV219" s="88" t="e">
        <f ca="1">IF(BZ219&lt;=Hypothèses!$V$7,Hypothèses!$X$7,IF(BZ219&lt;=Hypothèses!$V$8,Hypothèses!$X$8,IF(BZ219&lt;=Hypothèses!$V$9,Hypothèses!$X$9,IF(BZ219&lt;=Hypothèses!$V$10,Hypothèses!$X$10,IF(BZ219&lt;=Hypothèses!$V$11,Hypothèses!$X$11,IF(BZ219&lt;=Hypothèses!$V$12,Hypothèses!$X$12,IF(BZ219&lt;=Hypothèses!$V$13,Hypothèses!$X$13,IF(BZ219&lt;=Hypothèses!$V$14,Hypothèses!$X$14,IF(BZ219&lt;=Hypothèses!$V$15,Hypothèses!$X$15,IF(BZ219&lt;=Hypothèses!$V$16,Hypothèses!$X$16,IF(BZ219&lt;=Hypothèses!$U$17,Hypothèses!$W$17,IF(BZ219&lt;=Hypothèses!$U$18,Hypothèses!$W$18,""))))))))))))</f>
        <v>#DIV/0!</v>
      </c>
      <c r="CW219" s="95" t="e">
        <f t="shared" ca="1" si="385"/>
        <v>#DIV/0!</v>
      </c>
      <c r="CX219" s="101" t="e">
        <f t="shared" si="427"/>
        <v>#N/A</v>
      </c>
      <c r="CY219" s="91" t="e">
        <f t="shared" si="354"/>
        <v>#N/A</v>
      </c>
      <c r="CZ219" s="30" t="e">
        <f t="shared" si="408"/>
        <v>#N/A</v>
      </c>
      <c r="DA219" s="30" t="e">
        <f t="shared" si="409"/>
        <v>#N/A</v>
      </c>
      <c r="DB219" s="31" t="e">
        <f>IF(OR(Hypothèses!$B$4=17,Hypothèses!$B$4=18,Hypothèses!$B$4=19,Hypothèses!$B$4=20),
IF($D219="Pressio.",
IF(OR($E219=3,$E219=1,$E219=4),DA219,CZ219),
IF($D219="Pénétro.",
IF(OR($E219=3,$E219=1,$E219=4),DA219,CZ219))),IF($D219="Pressio.",
IF($E219=3,DA219,CZ219),
IF($D219="Pénétro.",
IF($E219=4,DA219,CZ219))))</f>
        <v>#N/A</v>
      </c>
      <c r="DC219" s="31" t="e">
        <f>(IF(OR(Hypothèses!$B$4=17,Hypothèses!$B$4=18,Hypothèses!$B$4=19,Hypothèses!$B$4=20),
IF($D219="Pressio.",
IF(OR($E219=3,$E219=1,$E219=4),(PI()*DC$12^2)/4*(CY219*$W219*1000)/($H219*$B$5),(PI()*DC$12^2)/4*(CY219*$W219*1000)/($G219*$B$5)),
IF($D219="Pénétro.",
IF(OR($E219=4,$E219=1,$E219=5),(PI()*DC$12^2)/4*(CY219*$W219*1000)/($H219*$B$5),(PI()*DC$12^2)/4*(CY219*$W219*1000)/($G219*$B$5)))),
IF($D219="Pressio.",
IF($E219=3,(PI()*DC$12^2)/4*(CY219*$W219*1000)/($H219*$B$5),(PI()*DC$12^2)/4*(CY219*$W219*1000)/($G219*$B$5)),
IF($D219="Pénétro.",
IF($E219=4,(PI()*DC$12^2)/4*(CY219*$W219*1000)/($H219*$B$5),(PI()*DC$12^2)/4*(CY219*$W219*1000)/($G219*$B$5))))))/10</f>
        <v>#N/A</v>
      </c>
      <c r="DD219" s="102" t="e">
        <f>(VLOOKUP($B$3,'Coeff EC7'!$T$39:$X$59,2,0)*DB219+VLOOKUP($B$3,'Coeff EC7'!$T$65:$X$85,2,0)*Model0.1C!DC219)/1.1</f>
        <v>#N/A</v>
      </c>
      <c r="DE219" s="102" t="e">
        <f>(VLOOKUP($B$3,'Coeff EC7'!$T$39:$X$59,3,0)*DB219+VLOOKUP($B$3,'Coeff EC7'!$T$65:$X$85,3,0)*Model0.1C!DC219)/0.9</f>
        <v>#N/A</v>
      </c>
      <c r="DF219" s="102" t="e">
        <f t="shared" si="386"/>
        <v>#N/A</v>
      </c>
      <c r="DG219" s="102" t="e">
        <f t="shared" si="387"/>
        <v>#N/A</v>
      </c>
      <c r="DH219" s="414" t="e">
        <f>IF(DH218=0,0,IF(AND(DD219&gt;charge_ELS_quasi,DE219&gt;Charge_ELS_freq,DF219&gt;charge_ELU,DG219&gt;charge_ELA,$B219&gt;NDC!$H$22-0.1+MIN(3*$DH$12,1.5)),0,1))</f>
        <v>#N/A</v>
      </c>
      <c r="DI219" s="86" t="b">
        <f t="shared" si="355"/>
        <v>0</v>
      </c>
      <c r="DJ219" s="86">
        <f t="shared" si="356"/>
        <v>0.5</v>
      </c>
      <c r="DK219" s="86">
        <f t="shared" si="357"/>
        <v>0.5</v>
      </c>
      <c r="DL219" s="30" t="e">
        <f t="shared" ca="1" si="388"/>
        <v>#DIV/0!</v>
      </c>
      <c r="DM219" s="85" t="e">
        <f ca="1">IF(CS219&lt;=Hypothèses!$V$7,Hypothèses!$W$7,IF(CS219&lt;=Hypothèses!$V$8,Hypothèses!$W$8,IF(CS219&lt;=Hypothèses!$V$9,Hypothèses!$W$9,IF(CS219&lt;=Hypothèses!$V$10,Hypothèses!$W$10,IF(CS219&lt;=Hypothèses!$V$11,Hypothèses!$W$11,IF(CS219&lt;=Hypothèses!$V$12,Hypothèses!$W$12,IF(CS219&lt;=Hypothèses!$V$13,Hypothèses!$W$13,IF(CS219&lt;=Hypothèses!$V$14,Hypothèses!$W$14,IF(CS219&lt;=Hypothèses!$V$15,Hypothèses!$W$15,IF(CS219&lt;=Hypothèses!$V$16,Hypothèses!$W$16,IF(CS219&lt;=Hypothèses!$V$17,Hypothèses!$W$17,IF(CS219&lt;=Hypothèses!$V$18,Hypothèses!$W$18,""))))))))))))</f>
        <v>#DIV/0!</v>
      </c>
      <c r="DN219" s="87" t="e">
        <f t="shared" ca="1" si="421"/>
        <v>#DIV/0!</v>
      </c>
      <c r="DO219" s="88" t="e">
        <f ca="1">IF(CS219&lt;=Hypothèses!$V$7,Hypothèses!$X$7,IF(CS219&lt;=Hypothèses!$V$8,Hypothèses!$X$8,IF(CS219&lt;=Hypothèses!$V$9,Hypothèses!$X$9,IF(CS219&lt;=Hypothèses!$V$10,Hypothèses!$X$10,IF(CS219&lt;=Hypothèses!$V$11,Hypothèses!$X$11,IF(CS219&lt;=Hypothèses!$V$12,Hypothèses!$X$12,IF(CS219&lt;=Hypothèses!$V$13,Hypothèses!$X$13,IF(CS219&lt;=Hypothèses!$V$14,Hypothèses!$X$14,IF(CS219&lt;=Hypothèses!$V$15,Hypothèses!$X$15,IF(CS219&lt;=Hypothèses!$V$16,Hypothèses!$X$16,IF(CS219&lt;=Hypothèses!$U$17,Hypothèses!$W$17,IF(CS219&lt;=Hypothèses!$U$18,Hypothèses!$W$18,""))))))))))))</f>
        <v>#DIV/0!</v>
      </c>
      <c r="DP219" s="95" t="e">
        <f t="shared" ca="1" si="389"/>
        <v>#DIV/0!</v>
      </c>
      <c r="DQ219" s="101" t="e">
        <f t="shared" si="428"/>
        <v>#N/A</v>
      </c>
      <c r="DR219" s="91" t="e">
        <f t="shared" si="358"/>
        <v>#N/A</v>
      </c>
      <c r="DS219" s="30" t="e">
        <f t="shared" si="410"/>
        <v>#N/A</v>
      </c>
      <c r="DT219" s="30" t="e">
        <f t="shared" si="411"/>
        <v>#N/A</v>
      </c>
      <c r="DU219" s="31" t="e">
        <f>IF(OR(Hypothèses!$B$4=17,Hypothèses!$B$4=18,Hypothèses!$B$4=19,Hypothèses!$B$4=20),
IF($D219="Pressio.",
IF(OR($E219=3,$E219=1,$E219=4),DT219,DS219),
IF($D219="Pénétro.",
IF(OR($E219=3,$E219=1,$E219=4),DT219,DS219))),IF($D219="Pressio.",
IF($E219=3,DT219,DS219),
IF($D219="Pénétro.",
IF($E219=4,DT219,DS219))))</f>
        <v>#N/A</v>
      </c>
      <c r="DV219" s="31" t="e">
        <f>(IF(OR(Hypothèses!$B$4=17,Hypothèses!$B$4=18,Hypothèses!$B$4=19,Hypothèses!$B$4=20),
IF($D219="Pressio.",
IF(OR($E219=3,$E219=1,$E219=4),(PI()*DV$12^2)/4*(DR219*$W219*1000)/($H219*$B$5),(PI()*DV$12^2)/4*(DR219*$W219*1000)/($G219*$B$5)),
IF($D219="Pénétro.",
IF(OR($E219=4,$E219=1,$E219=5),(PI()*DV$12^2)/4*(DR219*$W219*1000)/($H219*$B$5),(PI()*DV$12^2)/4*(DR219*$W219*1000)/($G219*$B$5)))),
IF($D219="Pressio.",
IF($E219=3,(PI()*DV$12^2)/4*(DR219*$W219*1000)/($H219*$B$5),(PI()*DV$12^2)/4*(DR219*$W219*1000)/($G219*$B$5)),
IF($D219="Pénétro.",
IF($E219=4,(PI()*DV$12^2)/4*(DR219*$W219*1000)/($H219*$B$5),(PI()*DV$12^2)/4*(DR219*$W219*1000)/($G219*$B$5))))))/10</f>
        <v>#N/A</v>
      </c>
      <c r="DW219" s="102" t="e">
        <f>(VLOOKUP($B$3,'Coeff EC7'!$T$39:$X$59,2,0)*DU219+VLOOKUP($B$3,'Coeff EC7'!$T$65:$X$85,2,0)*Model0.1C!DV219)/1.1</f>
        <v>#N/A</v>
      </c>
      <c r="DX219" s="102" t="e">
        <f>(VLOOKUP($B$3,'Coeff EC7'!$T$39:$X$59,3,0)*DU219+VLOOKUP($B$3,'Coeff EC7'!$T$65:$X$85,3,0)*Model0.1C!DV219)/0.9</f>
        <v>#N/A</v>
      </c>
      <c r="DY219" s="102" t="e">
        <f t="shared" si="390"/>
        <v>#N/A</v>
      </c>
      <c r="DZ219" s="102" t="e">
        <f t="shared" si="391"/>
        <v>#N/A</v>
      </c>
      <c r="EA219" s="414" t="e">
        <f>IF(EA218=0,0,IF(AND(DW219&gt;charge_ELS_quasi,DX219&gt;Charge_ELS_freq,DY219&gt;charge_ELU,DZ219&gt;charge_ELA,$B219&gt;NDC!$H$22-0.1+MIN(3*$EA$12,1.5)),0,1))</f>
        <v>#N/A</v>
      </c>
      <c r="EB219" s="86" t="b">
        <f t="shared" si="359"/>
        <v>0</v>
      </c>
      <c r="EC219" s="418">
        <f t="shared" si="360"/>
        <v>0.51</v>
      </c>
      <c r="ED219" s="86">
        <f t="shared" si="361"/>
        <v>0.51</v>
      </c>
      <c r="EE219" s="30" t="e">
        <f t="shared" ca="1" si="392"/>
        <v>#DIV/0!</v>
      </c>
      <c r="EF219" s="85" t="e">
        <f ca="1">IF(DL219&lt;=Hypothèses!$V$7,Hypothèses!$W$7,IF(DL219&lt;=Hypothèses!$V$8,Hypothèses!$W$8,IF(DL219&lt;=Hypothèses!$V$9,Hypothèses!$W$9,IF(DL219&lt;=Hypothèses!$V$10,Hypothèses!$W$10,IF(DL219&lt;=Hypothèses!$V$11,Hypothèses!$W$11,IF(DL219&lt;=Hypothèses!$V$12,Hypothèses!$W$12,IF(DL219&lt;=Hypothèses!$V$13,Hypothèses!$W$13,IF(DL219&lt;=Hypothèses!$V$14,Hypothèses!$W$14,IF(DL219&lt;=Hypothèses!$V$15,Hypothèses!$W$15,IF(DL219&lt;=Hypothèses!$V$16,Hypothèses!$W$16,IF(DL219&lt;=Hypothèses!$V$17,Hypothèses!$W$17,IF(DL219&lt;=Hypothèses!$V$18,Hypothèses!$W$18,""))))))))))))</f>
        <v>#DIV/0!</v>
      </c>
      <c r="EG219" s="87" t="e">
        <f t="shared" ca="1" si="422"/>
        <v>#DIV/0!</v>
      </c>
      <c r="EH219" s="88" t="e">
        <f ca="1">IF(DL219&lt;=Hypothèses!$V$7,Hypothèses!$X$7,IF(DL219&lt;=Hypothèses!$V$8,Hypothèses!$X$8,IF(DL219&lt;=Hypothèses!$V$9,Hypothèses!$X$9,IF(DL219&lt;=Hypothèses!$V$10,Hypothèses!$X$10,IF(DL219&lt;=Hypothèses!$V$11,Hypothèses!$X$11,IF(DL219&lt;=Hypothèses!$V$12,Hypothèses!$X$12,IF(DL219&lt;=Hypothèses!$V$13,Hypothèses!$X$13,IF(DL219&lt;=Hypothèses!$V$14,Hypothèses!$X$14,IF(DL219&lt;=Hypothèses!$V$15,Hypothèses!$X$15,IF(DL219&lt;=Hypothèses!$V$16,Hypothèses!$X$16,IF(DL219&lt;=Hypothèses!$U$17,Hypothèses!$W$17,IF(DL219&lt;=Hypothèses!$U$18,Hypothèses!$W$18,""))))))))))))</f>
        <v>#DIV/0!</v>
      </c>
      <c r="EI219" s="95" t="e">
        <f t="shared" ca="1" si="393"/>
        <v>#DIV/0!</v>
      </c>
      <c r="EJ219" s="101" t="e">
        <f t="shared" si="429"/>
        <v>#N/A</v>
      </c>
      <c r="EK219" s="91" t="e">
        <f t="shared" si="362"/>
        <v>#N/A</v>
      </c>
      <c r="EL219" s="30" t="e">
        <f t="shared" si="412"/>
        <v>#N/A</v>
      </c>
      <c r="EM219" s="30" t="e">
        <f t="shared" si="413"/>
        <v>#N/A</v>
      </c>
      <c r="EN219" s="31" t="e">
        <f>IF(OR(Hypothèses!$B$4=17,Hypothèses!$B$4=18,Hypothèses!$B$4=19,Hypothèses!$B$4=20),
IF($D219="Pressio.",
IF(OR($E219=3,$E219=1,$E219=4),EM219,EL219),
IF($D219="Pénétro.",
IF(OR($E219=3,$E219=1,$E219=4),EM219,EL219))),IF($D219="Pressio.",
IF($E219=3,EM219,EL219),
IF($D219="Pénétro.",
IF($E219=4,EM219,EL219))))</f>
        <v>#N/A</v>
      </c>
      <c r="EO219" s="31" t="e">
        <f>(IF(OR(Hypothèses!$B$4=17,Hypothèses!$B$4=18,Hypothèses!$B$4=19,Hypothèses!$B$4=20),
IF($D219="Pressio.",
IF(OR($E219=3,$E219=1,$E219=4),(PI()*EO$12^2)/4*(EK219*$W219*1000)/($H219*$B$5),(PI()*EO$12^2)/4*(EK219*$W219*1000)/($G219*$B$5)),
IF($D219="Pénétro.",
IF(OR($E219=4,$E219=1,$E219=5),(PI()*EO$12^2)/4*(EK219*$W219*1000)/($H219*$B$5),(PI()*EO$12^2)/4*(EK219*$W219*1000)/($G219*$B$5)))),
IF($D219="Pressio.",
IF($E219=3,(PI()*EO$12^2)/4*(EK219*$W219*1000)/($H219*$B$5),(PI()*EO$12^2)/4*(EK219*$W219*1000)/($G219*$B$5)),
IF($D219="Pénétro.",
IF($E219=4,(PI()*EO$12^2)/4*(EK219*$W219*1000)/($H219*$B$5),(PI()*EO$12^2)/4*(EK219*$W219*1000)/($G219*$B$5))))))/10</f>
        <v>#N/A</v>
      </c>
      <c r="EP219" s="102" t="e">
        <f>(VLOOKUP($B$3,'Coeff EC7'!$T$39:$X$59,2,0)*EN219+VLOOKUP($B$3,'Coeff EC7'!$T$65:$X$85,2,0)*Model0.1C!EO219)/1.1</f>
        <v>#N/A</v>
      </c>
      <c r="EQ219" s="102" t="e">
        <f>(VLOOKUP($B$3,'Coeff EC7'!$T$39:$X$59,3,0)*EN219+VLOOKUP($B$3,'Coeff EC7'!$T$65:$X$85,3,0)*Model0.1C!EO219)/0.9</f>
        <v>#N/A</v>
      </c>
      <c r="ER219" s="102" t="e">
        <f t="shared" si="394"/>
        <v>#N/A</v>
      </c>
      <c r="ES219" s="102" t="e">
        <f t="shared" si="395"/>
        <v>#N/A</v>
      </c>
      <c r="ET219" s="414" t="e">
        <f>IF(ET218=0,0,IF(AND(EP219&gt;charge_ELS_quasi,EQ219&gt;Charge_ELS_freq,ER219&gt;charge_ELU,ES219&gt;charge_ELA,$B219&gt;NDC!$H$22-0.1+MIN(3*$ET$12,1.5)),0,1))</f>
        <v>#N/A</v>
      </c>
      <c r="EU219" s="86" t="b">
        <f t="shared" si="363"/>
        <v>0</v>
      </c>
      <c r="EV219" s="86">
        <f t="shared" si="364"/>
        <v>0.61</v>
      </c>
      <c r="EW219" s="86">
        <f t="shared" si="365"/>
        <v>0.61</v>
      </c>
      <c r="EX219" s="30" t="e">
        <f t="shared" ca="1" si="396"/>
        <v>#DIV/0!</v>
      </c>
      <c r="EY219" s="85" t="e">
        <f ca="1">IF(EE219&lt;=Hypothèses!$V$7,Hypothèses!$W$7,IF(EE219&lt;=Hypothèses!$V$8,Hypothèses!$W$8,IF(EE219&lt;=Hypothèses!$V$9,Hypothèses!$W$9,IF(EE219&lt;=Hypothèses!$V$10,Hypothèses!$W$10,IF(EE219&lt;=Hypothèses!$V$11,Hypothèses!$W$11,IF(EE219&lt;=Hypothèses!$V$12,Hypothèses!$W$12,IF(EE219&lt;=Hypothèses!$V$13,Hypothèses!$W$13,IF(EE219&lt;=Hypothèses!$V$14,Hypothèses!$W$14,IF(EE219&lt;=Hypothèses!$V$15,Hypothèses!$W$15,IF(EE219&lt;=Hypothèses!$V$16,Hypothèses!$W$16,IF(EE219&lt;=Hypothèses!$V$17,Hypothèses!$W$17,IF(EE219&lt;=Hypothèses!$V$18,Hypothèses!$W$18,""))))))))))))</f>
        <v>#DIV/0!</v>
      </c>
      <c r="EZ219" s="87" t="e">
        <f t="shared" ca="1" si="423"/>
        <v>#DIV/0!</v>
      </c>
      <c r="FA219" s="88" t="e">
        <f ca="1">IF(EE219&lt;=Hypothèses!$V$7,Hypothèses!$X$7,IF(EE219&lt;=Hypothèses!$V$8,Hypothèses!$X$8,IF(EE219&lt;=Hypothèses!$V$9,Hypothèses!$X$9,IF(EE219&lt;=Hypothèses!$V$10,Hypothèses!$X$10,IF(EE219&lt;=Hypothèses!$V$11,Hypothèses!$X$11,IF(EE219&lt;=Hypothèses!$V$12,Hypothèses!$X$12,IF(EE219&lt;=Hypothèses!$V$13,Hypothèses!$X$13,IF(EE219&lt;=Hypothèses!$V$14,Hypothèses!$X$14,IF(EE219&lt;=Hypothèses!$V$15,Hypothèses!$X$15,IF(EE219&lt;=Hypothèses!$V$16,Hypothèses!$X$16,IF(EE219&lt;=Hypothèses!$U$17,Hypothèses!$W$17,IF(EE219&lt;=Hypothèses!$U$18,Hypothèses!$W$18,""))))))))))))</f>
        <v>#DIV/0!</v>
      </c>
      <c r="FB219" s="95" t="e">
        <f t="shared" ca="1" si="397"/>
        <v>#DIV/0!</v>
      </c>
      <c r="FC219" s="101" t="e">
        <f t="shared" si="430"/>
        <v>#N/A</v>
      </c>
      <c r="FD219" s="91" t="e">
        <f t="shared" si="366"/>
        <v>#N/A</v>
      </c>
      <c r="FE219" s="30" t="e">
        <f t="shared" si="414"/>
        <v>#N/A</v>
      </c>
      <c r="FF219" s="30" t="e">
        <f t="shared" si="415"/>
        <v>#N/A</v>
      </c>
      <c r="FG219" s="31" t="e">
        <f>IF(OR(Hypothèses!$B$4=17,Hypothèses!$B$4=18,Hypothèses!$B$4=19,Hypothèses!$B$4=20),
IF($D219="Pressio.",
IF(OR($E219=3,$E219=1,$E219=4),FF219,FE219),
IF($D219="Pénétro.",
IF(OR($E219=3,$E219=1,$E219=4),FF219,FE219))),IF($D219="Pressio.",
IF($E219=3,FF219,FE219),
IF($D219="Pénétro.",
IF($E219=4,FF219,FE219))))</f>
        <v>#N/A</v>
      </c>
      <c r="FH219" s="31" t="e">
        <f>(IF(OR(Hypothèses!$B$4=17,Hypothèses!$B$4=18,Hypothèses!$B$4=19,Hypothèses!$B$4=20),
IF($D219="Pressio.",
IF(OR($E219=3,$E219=1,$E219=4),(PI()*FH$12^2)/4*(FD219*$W219*1000)/($H219*$B$5),(PI()*FH$12^2)/4*(FD219*$W219*1000)/($G219*$B$5)),
IF($D219="Pénétro.",
IF(OR($E219=4,$E219=1,$E219=5),(PI()*FH$12^2)/4*(FD219*$W219*1000)/($H219*$B$5),(PI()*FH$12^2)/4*(FD219*$W219*1000)/($G219*$B$5)))),
IF($D219="Pressio.",
IF($E219=3,(PI()*FH$12^2)/4*(FD219*$W219*1000)/($H219*$B$5),(PI()*FH$12^2)/4*(FD219*$W219*1000)/($G219*$B$5)),
IF($D219="Pénétro.",
IF($E219=4,(PI()*FH$12^2)/4*(FD219*$W219*1000)/($H219*$B$5),(PI()*FH$12^2)/4*(FD219*$W219*1000)/($G219*$B$5))))))/10</f>
        <v>#N/A</v>
      </c>
      <c r="FI219" s="102" t="e">
        <f>(VLOOKUP($B$3,'Coeff EC7'!$T$39:$X$59,2,0)*FG219+VLOOKUP($B$3,'Coeff EC7'!$T$65:$X$85,2,0)*Model0.1C!FH219)/1.1</f>
        <v>#N/A</v>
      </c>
      <c r="FJ219" s="102" t="e">
        <f>(VLOOKUP($B$3,'Coeff EC7'!$T$39:$X$59,3,0)*FG219+VLOOKUP($B$3,'Coeff EC7'!$T$65:$X$85,3,0)*Model0.1C!FH219)/0.9</f>
        <v>#N/A</v>
      </c>
      <c r="FK219" s="102" t="e">
        <f t="shared" si="398"/>
        <v>#N/A</v>
      </c>
      <c r="FL219" s="102" t="e">
        <f t="shared" si="399"/>
        <v>#N/A</v>
      </c>
      <c r="FM219" s="414" t="e">
        <f>IF(FM218=0,0,IF(AND(FI219&gt;charge_ELS_quasi,FJ219&gt;Charge_ELS_freq,FK219&gt;charge_ELU,FL219&gt;charge_ELA,$B219&gt;NDC!$H$22-0.1+MIN(3*$FM$12,1.5)),0,1))</f>
        <v>#N/A</v>
      </c>
    </row>
    <row r="220" spans="1:169">
      <c r="A220" s="96">
        <f t="shared" si="367"/>
        <v>79.300000000001177</v>
      </c>
      <c r="B220" s="97">
        <v>20.7</v>
      </c>
      <c r="C220" s="81">
        <f>IF(B220&lt;=Hypothèses!$C$7,Hypothèses!$A$7,IF(B220&lt;=Hypothèses!$C$8,Hypothèses!$A$8,IF(B220&lt;=Hypothèses!$C$9,Hypothèses!$A$9,IF(B220&lt;=Hypothèses!$C$10,Hypothèses!$A$10,IF(B220&lt;=Hypothèses!$C$11,Hypothèses!$A$11,IF(B220&lt;=Hypothèses!$C$12,Hypothèses!$A$12,IF(B220&lt;=Hypothèses!$C$13,Hypothèses!$A$13,IF(B220&lt;=Hypothèses!$C$14,Hypothèses!$A$14,IF(B220&lt;=Hypothèses!$C$15,Hypothèses!$A$15,IF(B220&lt;=Hypothèses!$C$16,Hypothèses!$A$16,IF(B220&lt;=Hypothèses!$C$17,Hypothèses!$A$17,IF(B220&lt;=Hypothèses!$C$18,Hypothèses!$A$18,C219))))))))))))</f>
        <v>11</v>
      </c>
      <c r="D220" s="82" t="str">
        <f>IF(B220&lt;=Hypothèses!$C$7,Hypothèses!$R$7,IF(B220&lt;=Hypothèses!$C$8,Hypothèses!$R$8,IF(B220&lt;=Hypothèses!$C$9,Hypothèses!$R$9,IF(B220&lt;=Hypothèses!$C$10,Hypothèses!$R$10,IF(B220&lt;=Hypothèses!$C$11,Hypothèses!$R$11,IF(B220&lt;=Hypothèses!$C$12,Hypothèses!$R$12,IF(B220&lt;=Hypothèses!$C$13,Hypothèses!$R$13,IF(B220&lt;=Hypothèses!$C$14,Hypothèses!$R$14,IF(B220&lt;=Hypothèses!$C$15,Hypothèses!$R$15,IF(B220&lt;=Hypothèses!$C$16,Hypothèses!$R$16,IF(B220&lt;=Hypothèses!$C$17,Hypothèses!$R$17,IF(B220&lt;=Hypothèses!$C$18,Hypothèses!$R$18,D219))))))))))))</f>
        <v>Pressio.</v>
      </c>
      <c r="E220" s="82" t="e">
        <f>IF(B220&lt;=Hypothèses!$C$7,Hypothèses!$G$7,IF(B220&lt;=Hypothèses!$C$8,Hypothèses!$G$8,IF(B220&lt;=Hypothèses!$C$9,Hypothèses!$G$9,IF(B220&lt;=Hypothèses!$C$10,Hypothèses!$G$10,IF(B220&lt;=Hypothèses!$C$11,Hypothèses!$G$11,IF(B220&lt;=Hypothèses!$C$12,Hypothèses!$G$12,IF(B220&lt;=Hypothèses!$C$13,Hypothèses!$G$13,IF(B220&lt;=Hypothèses!$C$14,Hypothèses!$G$14,IF(B220&lt;=Hypothèses!$C$15,Hypothèses!$G$15,IF(B220&lt;=Hypothèses!$C$16,Hypothèses!$G$16,IF(B220&lt;=Hypothèses!$C$17,Hypothèses!$G$17,IF(B220&lt;=Hypothèses!$C$18,Hypothèses!$G$18,E219))))))))))))</f>
        <v>#N/A</v>
      </c>
      <c r="F220" s="82" t="str">
        <f>IF(B220&lt;=Hypothèses!$C$7,Hypothèses!$F$7,IF(B220&lt;=Hypothèses!$C$8,Hypothèses!$F$8,IF(B220&lt;=Hypothèses!$C$9,Hypothèses!$F$9,IF(B220&lt;=Hypothèses!$C$10,Hypothèses!$F$10,IF(B220&lt;=Hypothèses!$C$11,Hypothèses!$F$11,IF(B220&lt;=Hypothèses!$C$12,Hypothèses!$F$12,IF(B220&lt;=Hypothèses!$C$13,Hypothèses!$F$13,IF(B220&lt;=Hypothèses!$C$14,Hypothèses!$F$14,IF(B220&lt;=Hypothèses!$C$15,Hypothèses!$F$15,IF(B220&lt;=Hypothèses!$C$16,Hypothèses!$F$16,IF(B220&lt;=Hypothèses!$C$17,Hypothèses!$F$17,IF(B220&lt;=Hypothèses!$C$18,Hypothèses!$F$18,F219))))))))))))</f>
        <v/>
      </c>
      <c r="G220" s="91">
        <f t="array" ref="G220">INDEX('Coeff EC7'!$U$7:$X$27,
MATCH(Model0.1C!$B$3,'Coeff EC7'!$T$7:$T$27,0),
MATCH(Model0.1C!$D220&amp;Model0.1C!$B$4,
'Coeff EC7'!$U$6:$X$6&amp;
'Coeff EC7'!$U$5:$X$5,0))</f>
        <v>1.1499999999999999</v>
      </c>
      <c r="H220" s="91">
        <f t="array" ref="H220">INDEX('Coeff EC7'!$Y$7:$AB$27,
MATCH(Model0.1C!$B$3,'Coeff EC7'!$T$7:$T$27,0),
MATCH(Model0.1C!$D220&amp;Model0.1C!$B$4,
'Coeff EC7'!$Y$6:$AB$6&amp;
'Coeff EC7'!$Y$5:$AB$5,0))</f>
        <v>1.4</v>
      </c>
      <c r="I220" s="83" t="e">
        <f>IF(B220&lt;=Hypothèses!$C$7,Hypothèses!$P$7,IF(B220&lt;=Hypothèses!$C$8,Hypothèses!$P$8,IF(B220&lt;=Hypothèses!$C$9,Hypothèses!$P$9,IF(B220&lt;=Hypothèses!$C$10,Hypothèses!$P$10,IF(B220&lt;=Hypothèses!$C$11,Hypothèses!$P$11,IF(B220&lt;=Hypothèses!$C$12,Hypothèses!$P$12,IF(B220&lt;=Hypothèses!$C$13,Hypothèses!$P$13,IF(B220&lt;=Hypothèses!$C$14,Hypothèses!$P$14,IF(B220&lt;=Hypothèses!$C$15,Hypothèses!$P$15,IF(B220&lt;=Hypothèses!$C$16,Hypothèses!$P$16,IF(B220&lt;=Hypothèses!$C$17,Hypothèses!$P$17,IF(B220&lt;=Hypothèses!$C$18,Hypothèses!$P$18,I219))))))))))))</f>
        <v>#N/A</v>
      </c>
      <c r="J220" s="91" t="e">
        <f t="array" ref="J220">INDEX('Coeff EC7'!$D$33:$Q$33,1,MATCH(D220&amp;E220,'Coeff EC7'!$D$31:$Q$31&amp;'Coeff EC7'!$D$32:$Q$32,0))</f>
        <v>#N/A</v>
      </c>
      <c r="K220" s="91" t="e">
        <f t="array" ref="K220">INDEX('Coeff EC7'!$D$34:$Q$34,1,MATCH(D220&amp;E220,'Coeff EC7'!$D$31:$Q$31&amp;'Coeff EC7'!$D$32:$Q$32,0))</f>
        <v>#N/A</v>
      </c>
      <c r="L220" s="91" t="e">
        <f t="array" ref="L220">INDEX('Coeff EC7'!$D$35:$Q$35,1,MATCH(D220&amp;E220,'Coeff EC7'!$D$31:$Q$31&amp;'Coeff EC7'!$D$32:$Q$32,0))</f>
        <v>#N/A</v>
      </c>
      <c r="M220" s="98" t="e">
        <f t="shared" si="331"/>
        <v>#N/A</v>
      </c>
      <c r="N220" s="99" t="e">
        <f t="array" ref="N220">INDEX('Coeff EC7'!$D$7:$Q$27,MATCH($B$3,'Coeff EC7'!$C$7:$C$27,0),MATCH(D220&amp;E220,'Coeff EC7'!$D$5:$Q$5&amp;'Coeff EC7'!$D$6:$Q$6,0))</f>
        <v>#N/A</v>
      </c>
      <c r="O220" s="99" t="e">
        <f t="array" ref="O220">INDEX('Coeff EC7'!$D$41:$Q$61,MATCH($B$3,'Coeff EC7'!$C$41:$C$61,0),MATCH(D220&amp;E220,'Coeff EC7'!$D$39:$Q$39&amp;'Coeff EC7'!$D$40:$Q$40,0))</f>
        <v>#N/A</v>
      </c>
      <c r="P220" s="30" t="e">
        <f t="shared" si="368"/>
        <v>#N/A</v>
      </c>
      <c r="Q220" s="100" t="e">
        <f t="shared" si="333"/>
        <v>#N/A</v>
      </c>
      <c r="R220" s="86" t="b">
        <f t="shared" si="334"/>
        <v>0</v>
      </c>
      <c r="S220" s="86">
        <f t="shared" si="332"/>
        <v>0.5</v>
      </c>
      <c r="T220" s="86">
        <f t="shared" si="335"/>
        <v>0.5</v>
      </c>
      <c r="U220" s="30" t="e">
        <f t="shared" ca="1" si="369"/>
        <v>#DIV/0!</v>
      </c>
      <c r="V220" s="85" t="str">
        <f>IF(B220&lt;=Hypothèses!$V$7,Hypothèses!$W$7,IF(B220&lt;=Hypothèses!$V$8,Hypothèses!$W$8,IF(B220&lt;=Hypothèses!$V$9,Hypothèses!$W$9,IF(B220&lt;=Hypothèses!$V$10,Hypothèses!$W$10,IF(B220&lt;=Hypothèses!$V$11,Hypothèses!$W$11,IF(B220&lt;=Hypothèses!$V$12,Hypothèses!$W$12,IF(B220&lt;=Hypothèses!$V$13,Hypothèses!$W$13,IF(B220&lt;=Hypothèses!$V$14,Hypothèses!$W$14,IF(B220&lt;=Hypothèses!$V$15,Hypothèses!$W$15,IF(B220&lt;=Hypothèses!$V$16,Hypothèses!$W$16,IF(B220&lt;=Hypothèses!$V$17,Hypothèses!$W$17,IF(B220&lt;=Hypothèses!$V$18,Hypothèses!$W$18,""))))))))))))</f>
        <v/>
      </c>
      <c r="W220" s="87" t="e">
        <f t="shared" ca="1" si="416"/>
        <v>#DIV/0!</v>
      </c>
      <c r="X220" s="88" t="str">
        <f>IF(B220&lt;=Hypothèses!$V$7,Hypothèses!$X$7,IF(B220&lt;=Hypothèses!$V$8,Hypothèses!$X$8,IF(B220&lt;=Hypothèses!$V$9,Hypothèses!$X$9,IF(B220&lt;=Hypothèses!$V$10,Hypothèses!$X$10,IF(B220&lt;=Hypothèses!$V$11,Hypothèses!$X$11,IF(B220&lt;=Hypothèses!$V$12,Hypothèses!$X$12,IF(B220&lt;=Hypothèses!$V$13,Hypothèses!$X$13,IF(B220&lt;=Hypothèses!$V$14,Hypothèses!$X$14,IF(B220&lt;=Hypothèses!$V$15,Hypothèses!$X$15,IF(B220&lt;=Hypothèses!$V$16,Hypothèses!$X$16,IF(B220&lt;=Hypothèses!$U$17,Hypothèses!$W$17,IF(B220&lt;=Hypothèses!$U$18,Hypothèses!$W$18,""))))))))))))</f>
        <v/>
      </c>
      <c r="Y220" s="95" t="e">
        <f t="shared" ca="1" si="336"/>
        <v>#DIV/0!</v>
      </c>
      <c r="Z220" s="101" t="e">
        <f t="shared" si="337"/>
        <v>#N/A</v>
      </c>
      <c r="AA220" s="91" t="e">
        <f t="shared" si="338"/>
        <v>#N/A</v>
      </c>
      <c r="AB220" s="30" t="e">
        <f t="shared" si="400"/>
        <v>#N/A</v>
      </c>
      <c r="AC220" s="30" t="e">
        <f t="shared" si="401"/>
        <v>#N/A</v>
      </c>
      <c r="AD220" s="31" t="e">
        <f>IF(OR(Hypothèses!$B$4=17,Hypothèses!$B$4=18,Hypothèses!$B$4=19,Hypothèses!$B$4=20),
IF($D220="Pressio.",
IF(OR($E220=3,$E220=1,$E220=4),AC220,AB220),
IF($D220="Pénétro.",
IF(OR($E220=3,$E220=1,$E220=4),AC220,AB220))),IF($D220="Pressio.",
IF($E220=3,AC220,AB220),
IF($D220="Pénétro.",
IF($E220=4,AC220,AB220))))</f>
        <v>#N/A</v>
      </c>
      <c r="AE220" s="31" t="e">
        <f>(IF(OR(Hypothèses!$B$4=17,Hypothèses!$B$4=18,Hypothèses!$B$4=19,Hypothèses!$B$4=20),
IF($D220="Pressio.",
IF(OR($E220=3,$E220=1,$E220=4),(PI()*AE$12^2)/4*(AA220*$W220*1000)/($H220*$B$5),(PI()*AE$12^2)/4*(AA220*$W220*1000)/($G220*$B$5)),
IF($D220="Pénétro.",
IF(OR($E220=4,$E220=1,$E220=5),(PI()*AE$12^2)/4*(AA220*$W220*1000)/($H220*$B$5),(PI()*AE$12^2)/4*(AA220*$W220*1000)/($G220*$B$5)))),
IF($D220="Pressio.",
IF($E220=3,(PI()*AE$12^2)/4*(AA220*$W220*1000)/($H220*$B$5),(PI()*AE$12^2)/4*(AA220*$W220*1000)/($G220*$B$5)),
IF($D220="Pénétro.",
IF($E220=4,(PI()*AE$12^2)/4*(AA220*$W220*1000)/($H220*$B$5),(PI()*AE$12^2)/4*(AA220*$W220*1000)/($G220*$B$5))))))/10</f>
        <v>#N/A</v>
      </c>
      <c r="AF220" s="102" t="e">
        <f>(VLOOKUP($B$3,'Coeff EC7'!$T$39:$X$59,2,0)*AD220+VLOOKUP($B$3,'Coeff EC7'!$T$65:$X$85,2,0)*Model0.1C!AE220)/1.1</f>
        <v>#N/A</v>
      </c>
      <c r="AG220" s="102" t="e">
        <f>(VLOOKUP($B$3,'Coeff EC7'!$T$39:$X$59,3,0)*AD220+VLOOKUP($B$3,'Coeff EC7'!$T$65:$X$85,3,0)*Model0.1C!AE220)/0.9</f>
        <v>#N/A</v>
      </c>
      <c r="AH220" s="102" t="e">
        <f t="shared" si="339"/>
        <v>#N/A</v>
      </c>
      <c r="AI220" s="102" t="e">
        <f t="shared" si="340"/>
        <v>#N/A</v>
      </c>
      <c r="AJ220" s="414" t="e">
        <f>IF(AJ219=0,0,IF(AND(AF220&gt;charge_ELS_quasi,AG220&gt;Charge_ELS_freq,AH220&gt;charge_ELU,AI220&gt;charge_ELA,$B220&gt;NDC!$H$22-0.1+MIN(3*$AJ$12,1.5)),0,1))</f>
        <v>#N/A</v>
      </c>
      <c r="AK220" s="86" t="b">
        <f t="shared" si="341"/>
        <v>0</v>
      </c>
      <c r="AL220" s="86">
        <f t="shared" si="370"/>
        <v>0.5</v>
      </c>
      <c r="AM220" s="86">
        <f t="shared" si="342"/>
        <v>0.5</v>
      </c>
      <c r="AN220" s="30" t="e">
        <f t="shared" ca="1" si="371"/>
        <v>#DIV/0!</v>
      </c>
      <c r="AO220" s="85" t="e">
        <f ca="1">IF(U220&lt;=Hypothèses!$V$7,Hypothèses!$W$7,IF(U220&lt;=Hypothèses!$V$8,Hypothèses!$W$8,IF(U220&lt;=Hypothèses!$V$9,Hypothèses!$W$9,IF(U220&lt;=Hypothèses!$V$10,Hypothèses!$W$10,IF(U220&lt;=Hypothèses!$V$11,Hypothèses!$W$11,IF(U220&lt;=Hypothèses!$V$12,Hypothèses!$W$12,IF(U220&lt;=Hypothèses!$V$13,Hypothèses!$W$13,IF(U220&lt;=Hypothèses!$V$14,Hypothèses!$W$14,IF(U220&lt;=Hypothèses!$V$15,Hypothèses!$W$15,IF(U220&lt;=Hypothèses!$V$16,Hypothèses!$W$16,IF(U220&lt;=Hypothèses!$V$17,Hypothèses!$W$17,IF(U220&lt;=Hypothèses!$V$18,Hypothèses!$W$18,""))))))))))))</f>
        <v>#DIV/0!</v>
      </c>
      <c r="AP220" s="87" t="e">
        <f t="shared" ca="1" si="417"/>
        <v>#DIV/0!</v>
      </c>
      <c r="AQ220" s="88" t="e">
        <f ca="1">IF(U220&lt;=Hypothèses!$V$7,Hypothèses!$X$7,IF(U220&lt;=Hypothèses!$V$8,Hypothèses!$X$8,IF(U220&lt;=Hypothèses!$V$9,Hypothèses!$X$9,IF(U220&lt;=Hypothèses!$V$10,Hypothèses!$X$10,IF(U220&lt;=Hypothèses!$V$11,Hypothèses!$X$11,IF(U220&lt;=Hypothèses!$V$12,Hypothèses!$X$12,IF(U220&lt;=Hypothèses!$V$13,Hypothèses!$X$13,IF(U220&lt;=Hypothèses!$V$14,Hypothèses!$X$14,IF(U220&lt;=Hypothèses!$V$15,Hypothèses!$X$15,IF(U220&lt;=Hypothèses!$V$16,Hypothèses!$X$16,IF(U220&lt;=Hypothèses!$U$17,Hypothèses!$W$17,IF(U220&lt;=Hypothèses!$U$18,Hypothèses!$W$18,""))))))))))))</f>
        <v>#DIV/0!</v>
      </c>
      <c r="AR220" s="95" t="e">
        <f t="shared" ca="1" si="372"/>
        <v>#DIV/0!</v>
      </c>
      <c r="AS220" s="101" t="e">
        <f t="shared" si="424"/>
        <v>#N/A</v>
      </c>
      <c r="AT220" s="91" t="e">
        <f t="shared" si="343"/>
        <v>#N/A</v>
      </c>
      <c r="AU220" s="30" t="e">
        <f t="shared" si="402"/>
        <v>#N/A</v>
      </c>
      <c r="AV220" s="30" t="e">
        <f t="shared" si="403"/>
        <v>#N/A</v>
      </c>
      <c r="AW220" s="31" t="e">
        <f>IF(OR(Hypothèses!$B$4=17,Hypothèses!$B$4=18,Hypothèses!$B$4=19,Hypothèses!$B$4=20),
IF($D220="Pressio.",
IF(OR($E220=3,$E220=1,$E220=4),AV220,AU220),
IF($D220="Pénétro.",
IF(OR($E220=3,$E220=1,$E220=4),AV220,AU220))),IF($D220="Pressio.",
IF($E220=3,AV220,AU220),
IF($D220="Pénétro.",
IF($E220=4,AV220,AU220))))</f>
        <v>#N/A</v>
      </c>
      <c r="AX220" s="31" t="e">
        <f>(IF(OR(Hypothèses!$B$4=17,Hypothèses!$B$4=18,Hypothèses!$B$4=19,Hypothèses!$B$4=20),
IF($D220="Pressio.",
IF(OR($E220=3,$E220=1,$E220=4),(PI()*AX$12^2)/4*(AT220*$W220*1000)/($H220*$B$5),(PI()*AX$12^2)/4*(AT220*$W220*1000)/($G220*$B$5)),
IF($D220="Pénétro.",
IF(OR($E220=4,$E220=1,$E220=5),(PI()*AX$12^2)/4*(AT220*$W220*1000)/($H220*$B$5),(PI()*AX$12^2)/4*(AT220*$W220*1000)/($G220*$B$5)))),
IF($D220="Pressio.",
IF($E220=3,(PI()*AX$12^2)/4*(AT220*$W220*1000)/($H220*$B$5),(PI()*AX$12^2)/4*(AT220*$W220*1000)/($G220*$B$5)),
IF($D220="Pénétro.",
IF($E220=4,(PI()*AX$12^2)/4*(AT220*$W220*1000)/($H220*$B$5),(PI()*AX$12^2)/4*(AT220*$W220*1000)/($G220*$B$5))))))/10</f>
        <v>#N/A</v>
      </c>
      <c r="AY220" s="102" t="e">
        <f>(VLOOKUP($B$3,'Coeff EC7'!$T$39:$X$59,2,0)*AW220+VLOOKUP($B$3,'Coeff EC7'!$T$65:$X$85,2,0)*Model0.1C!AX220)/1.1</f>
        <v>#N/A</v>
      </c>
      <c r="AZ220" s="102" t="e">
        <f>(VLOOKUP($B$3,'Coeff EC7'!$T$39:$X$59,3,0)*AW220+VLOOKUP($B$3,'Coeff EC7'!$T$65:$X$85,3,0)*Model0.1C!AX220)/0.9</f>
        <v>#N/A</v>
      </c>
      <c r="BA220" s="102" t="e">
        <f t="shared" si="373"/>
        <v>#N/A</v>
      </c>
      <c r="BB220" s="102" t="e">
        <f t="shared" si="374"/>
        <v>#N/A</v>
      </c>
      <c r="BC220" s="414" t="e">
        <f>IF(BC219=0,0,IF(AND(AY220&gt;charge_ELS_quasi,AZ220&gt;Charge_ELS_freq,BA220&gt;charge_ELU,BB220&gt;charge_ELA,$B220&gt;NDC!$H$22-0.1+MIN(3*$BC$12,1.5)),0,1))</f>
        <v>#N/A</v>
      </c>
      <c r="BD220" s="86" t="b">
        <f t="shared" si="344"/>
        <v>0</v>
      </c>
      <c r="BE220" s="86">
        <f t="shared" si="375"/>
        <v>0.5</v>
      </c>
      <c r="BF220" s="86">
        <f t="shared" si="345"/>
        <v>0.5</v>
      </c>
      <c r="BG220" s="30" t="e">
        <f t="shared" ca="1" si="376"/>
        <v>#DIV/0!</v>
      </c>
      <c r="BH220" s="85" t="e">
        <f ca="1">IF(AN220&lt;=Hypothèses!$V$7,Hypothèses!$W$7,IF(AN220&lt;=Hypothèses!$V$8,Hypothèses!$W$8,IF(AN220&lt;=Hypothèses!$V$9,Hypothèses!$W$9,IF(AN220&lt;=Hypothèses!$V$10,Hypothèses!$W$10,IF(AN220&lt;=Hypothèses!$V$11,Hypothèses!$W$11,IF(AN220&lt;=Hypothèses!$V$12,Hypothèses!$W$12,IF(AN220&lt;=Hypothèses!$V$13,Hypothèses!$W$13,IF(AN220&lt;=Hypothèses!$V$14,Hypothèses!$W$14,IF(AN220&lt;=Hypothèses!$V$15,Hypothèses!$W$15,IF(AN220&lt;=Hypothèses!$V$16,Hypothèses!$W$16,IF(AN220&lt;=Hypothèses!$V$17,Hypothèses!$W$17,IF(AN220&lt;=Hypothèses!$V$18,Hypothèses!$W$18,""))))))))))))</f>
        <v>#DIV/0!</v>
      </c>
      <c r="BI220" s="87" t="e">
        <f t="shared" ca="1" si="418"/>
        <v>#DIV/0!</v>
      </c>
      <c r="BJ220" s="88" t="e">
        <f ca="1">IF(AN220&lt;=Hypothèses!$V$7,Hypothèses!$X$7,IF(AN220&lt;=Hypothèses!$V$8,Hypothèses!$X$8,IF(AN220&lt;=Hypothèses!$V$9,Hypothèses!$X$9,IF(AN220&lt;=Hypothèses!$V$10,Hypothèses!$X$10,IF(AN220&lt;=Hypothèses!$V$11,Hypothèses!$X$11,IF(AN220&lt;=Hypothèses!$V$12,Hypothèses!$X$12,IF(AN220&lt;=Hypothèses!$V$13,Hypothèses!$X$13,IF(AN220&lt;=Hypothèses!$V$14,Hypothèses!$X$14,IF(AN220&lt;=Hypothèses!$V$15,Hypothèses!$X$15,IF(AN220&lt;=Hypothèses!$V$16,Hypothèses!$X$16,IF(AN220&lt;=Hypothèses!$U$17,Hypothèses!$W$17,IF(AN220&lt;=Hypothèses!$U$18,Hypothèses!$W$18,""))))))))))))</f>
        <v>#DIV/0!</v>
      </c>
      <c r="BK220" s="95" t="e">
        <f t="shared" ca="1" si="377"/>
        <v>#DIV/0!</v>
      </c>
      <c r="BL220" s="101" t="e">
        <f t="shared" si="425"/>
        <v>#N/A</v>
      </c>
      <c r="BM220" s="91" t="e">
        <f t="shared" si="346"/>
        <v>#N/A</v>
      </c>
      <c r="BN220" s="30" t="e">
        <f t="shared" si="404"/>
        <v>#N/A</v>
      </c>
      <c r="BO220" s="30" t="e">
        <f t="shared" si="405"/>
        <v>#N/A</v>
      </c>
      <c r="BP220" s="31" t="e">
        <f>IF(OR(Hypothèses!$B$4=17,Hypothèses!$B$4=18,Hypothèses!$B$4=19,Hypothèses!$B$4=20),
IF($D220="Pressio.",
IF(OR($E220=3,$E220=1,$E220=4),BO220,BN220),
IF($D220="Pénétro.",
IF(OR($E220=3,$E220=1,$E220=4),BO220,BN220))),IF($D220="Pressio.",
IF($E220=3,BO220,BN220),
IF($D220="Pénétro.",
IF($E220=4,BO220,BN220))))</f>
        <v>#N/A</v>
      </c>
      <c r="BQ220" s="31" t="e">
        <f>(IF(OR(Hypothèses!$B$4=17,Hypothèses!$B$4=18,Hypothèses!$B$4=19,Hypothèses!$B$4=20),
IF($D220="Pressio.",
IF(OR($E220=3,$E220=1,$E220=4),(PI()*BQ$12^2)/4*(BM220*$W220*1000)/($H220*$B$5),(PI()*BQ$12^2)/4*(BM220*$W220*1000)/($G220*$B$5)),
IF($D220="Pénétro.",
IF(OR($E220=4,$E220=1,$E220=5),(PI()*BQ$12^2)/4*(BM220*$W220*1000)/($H220*$B$5),(PI()*BQ$12^2)/4*(BM220*$W220*1000)/($G220*$B$5)))),
IF($D220="Pressio.",
IF($E220=3,(PI()*BQ$12^2)/4*(BM220*$W220*1000)/($H220*$B$5),(PI()*BQ$12^2)/4*(BM220*$W220*1000)/($G220*$B$5)),
IF($D220="Pénétro.",
IF($E220=4,(PI()*BQ$12^2)/4*(BM220*$W220*1000)/($H220*$B$5),(PI()*BQ$12^2)/4*(BM220*$W220*1000)/($G220*$B$5))))))/10</f>
        <v>#N/A</v>
      </c>
      <c r="BR220" s="102" t="e">
        <f>(VLOOKUP($B$3,'Coeff EC7'!$T$39:$X$59,2,0)*BP220+VLOOKUP($B$3,'Coeff EC7'!$T$65:$X$85,2,0)*Model0.1C!BQ220)/1.1</f>
        <v>#N/A</v>
      </c>
      <c r="BS220" s="102" t="e">
        <f>(VLOOKUP($B$3,'Coeff EC7'!$T$39:$X$59,3,0)*BP220+VLOOKUP($B$3,'Coeff EC7'!$T$65:$X$85,3,0)*Model0.1C!BQ220)/0.9</f>
        <v>#N/A</v>
      </c>
      <c r="BT220" s="102" t="e">
        <f t="shared" si="378"/>
        <v>#N/A</v>
      </c>
      <c r="BU220" s="102" t="e">
        <f t="shared" si="379"/>
        <v>#N/A</v>
      </c>
      <c r="BV220" s="414" t="e">
        <f>IF(BV219=0,0,IF(AND(BR220&gt;charge_ELS_quasi,BS220&gt;Charge_ELS_freq,BT220&gt;charge_ELU,BU220&gt;charge_ELA,$B220&gt;NDC!$H$22-0.1+MIN(3*$BV$12,1.5)),0,1))</f>
        <v>#N/A</v>
      </c>
      <c r="BW220" s="86" t="b">
        <f t="shared" si="347"/>
        <v>0</v>
      </c>
      <c r="BX220" s="86">
        <f t="shared" si="348"/>
        <v>0.5</v>
      </c>
      <c r="BY220" s="86">
        <f t="shared" si="349"/>
        <v>0.5</v>
      </c>
      <c r="BZ220" s="30" t="e">
        <f t="shared" ca="1" si="380"/>
        <v>#DIV/0!</v>
      </c>
      <c r="CA220" s="85" t="e">
        <f ca="1">IF(BG220&lt;=Hypothèses!$V$7,Hypothèses!$W$7,IF(BG220&lt;=Hypothèses!$V$8,Hypothèses!$W$8,IF(BG220&lt;=Hypothèses!$V$9,Hypothèses!$W$9,IF(BG220&lt;=Hypothèses!$V$10,Hypothèses!$W$10,IF(BG220&lt;=Hypothèses!$V$11,Hypothèses!$W$11,IF(BG220&lt;=Hypothèses!$V$12,Hypothèses!$W$12,IF(BG220&lt;=Hypothèses!$V$13,Hypothèses!$W$13,IF(BG220&lt;=Hypothèses!$V$14,Hypothèses!$W$14,IF(BG220&lt;=Hypothèses!$V$15,Hypothèses!$W$15,IF(BG220&lt;=Hypothèses!$V$16,Hypothèses!$W$16,IF(BG220&lt;=Hypothèses!$V$17,Hypothèses!$W$17,IF(BG220&lt;=Hypothèses!$V$18,Hypothèses!$W$18,""))))))))))))</f>
        <v>#DIV/0!</v>
      </c>
      <c r="CB220" s="87" t="e">
        <f t="shared" ca="1" si="419"/>
        <v>#DIV/0!</v>
      </c>
      <c r="CC220" s="88" t="e">
        <f ca="1">IF(BG220&lt;=Hypothèses!$V$7,Hypothèses!$X$7,IF(BG220&lt;=Hypothèses!$V$8,Hypothèses!$X$8,IF(BG220&lt;=Hypothèses!$V$9,Hypothèses!$X$9,IF(BG220&lt;=Hypothèses!$V$10,Hypothèses!$X$10,IF(BG220&lt;=Hypothèses!$V$11,Hypothèses!$X$11,IF(BG220&lt;=Hypothèses!$V$12,Hypothèses!$X$12,IF(BG220&lt;=Hypothèses!$V$13,Hypothèses!$X$13,IF(BG220&lt;=Hypothèses!$V$14,Hypothèses!$X$14,IF(BG220&lt;=Hypothèses!$V$15,Hypothèses!$X$15,IF(BG220&lt;=Hypothèses!$V$16,Hypothèses!$X$16,IF(BG220&lt;=Hypothèses!$U$17,Hypothèses!$W$17,IF(BG220&lt;=Hypothèses!$U$18,Hypothèses!$W$18,""))))))))))))</f>
        <v>#DIV/0!</v>
      </c>
      <c r="CD220" s="95" t="e">
        <f t="shared" ca="1" si="381"/>
        <v>#DIV/0!</v>
      </c>
      <c r="CE220" s="101" t="e">
        <f t="shared" si="426"/>
        <v>#N/A</v>
      </c>
      <c r="CF220" s="91" t="e">
        <f t="shared" si="350"/>
        <v>#N/A</v>
      </c>
      <c r="CG220" s="30" t="e">
        <f t="shared" si="406"/>
        <v>#N/A</v>
      </c>
      <c r="CH220" s="30" t="e">
        <f t="shared" si="407"/>
        <v>#N/A</v>
      </c>
      <c r="CI220" s="31" t="e">
        <f>IF(OR(Hypothèses!$B$4=17,Hypothèses!$B$4=18,Hypothèses!$B$4=19,Hypothèses!$B$4=20),
IF($D220="Pressio.",
IF(OR($E220=3,$E220=1,$E220=4),CH220,CG220),
IF($D220="Pénétro.",
IF(OR($E220=3,$E220=1,$E220=4),CH220,CG220))),IF($D220="Pressio.",
IF($E220=3,CH220,CG220),
IF($D220="Pénétro.",
IF($E220=4,CH220,CG220))))</f>
        <v>#N/A</v>
      </c>
      <c r="CJ220" s="31" t="e">
        <f>(IF(OR(Hypothèses!$B$4=17,Hypothèses!$B$4=18,Hypothèses!$B$4=19,Hypothèses!$B$4=20),
IF($D220="Pressio.",
IF(OR($E220=3,$E220=1,$E220=4),(PI()*CJ$12^2)/4*(CF220*$W220*1000)/($H220*$B$5),(PI()*CJ$12^2)/4*(CF220*$W220*1000)/($G220*$B$5)),
IF($D220="Pénétro.",
IF(OR($E220=4,$E220=1,$E220=5),(PI()*CJ$12^2)/4*(CF220*$W220*1000)/($H220*$B$5),(PI()*CJ$12^2)/4*(CF220*$W220*1000)/($G220*$B$5)))),
IF($D220="Pressio.",
IF($E220=3,(PI()*CJ$12^2)/4*(CF220*$W220*1000)/($H220*$B$5),(PI()*CJ$12^2)/4*(CF220*$W220*1000)/($G220*$B$5)),
IF($D220="Pénétro.",
IF($E220=4,(PI()*CJ$12^2)/4*(CF220*$W220*1000)/($H220*$B$5),(PI()*CJ$12^2)/4*(CF220*$W220*1000)/($G220*$B$5))))))/10</f>
        <v>#N/A</v>
      </c>
      <c r="CK220" s="102" t="e">
        <f>(VLOOKUP($B$3,'Coeff EC7'!$T$39:$X$59,2,0)*CI220+VLOOKUP($B$3,'Coeff EC7'!$T$65:$X$85,2,0)*Model0.1C!CJ220)/1.1</f>
        <v>#N/A</v>
      </c>
      <c r="CL220" s="102" t="e">
        <f>(VLOOKUP($B$3,'Coeff EC7'!$T$39:$X$59,3,0)*CI220+VLOOKUP($B$3,'Coeff EC7'!$T$65:$X$85,3,0)*Model0.1C!CJ220)/0.9</f>
        <v>#N/A</v>
      </c>
      <c r="CM220" s="102" t="e">
        <f t="shared" si="382"/>
        <v>#N/A</v>
      </c>
      <c r="CN220" s="102" t="e">
        <f t="shared" si="383"/>
        <v>#N/A</v>
      </c>
      <c r="CO220" s="414" t="e">
        <f>IF(CO219=0,0,IF(AND(CK220&gt;charge_ELS_quasi,CL220&gt;Charge_ELS_freq,CM220&gt;charge_ELU,CN220&gt;charge_ELA,$B220&gt;NDC!$H$22-0.1+MIN(3*$CO$12,1.5)),0,1))</f>
        <v>#N/A</v>
      </c>
      <c r="CP220" s="86" t="b">
        <f t="shared" si="351"/>
        <v>0</v>
      </c>
      <c r="CQ220" s="86">
        <f t="shared" si="352"/>
        <v>0.5</v>
      </c>
      <c r="CR220" s="86">
        <f t="shared" si="353"/>
        <v>0.5</v>
      </c>
      <c r="CS220" s="30" t="e">
        <f t="shared" ca="1" si="384"/>
        <v>#DIV/0!</v>
      </c>
      <c r="CT220" s="85" t="e">
        <f ca="1">IF(BZ220&lt;=Hypothèses!$V$7,Hypothèses!$W$7,IF(BZ220&lt;=Hypothèses!$V$8,Hypothèses!$W$8,IF(BZ220&lt;=Hypothèses!$V$9,Hypothèses!$W$9,IF(BZ220&lt;=Hypothèses!$V$10,Hypothèses!$W$10,IF(BZ220&lt;=Hypothèses!$V$11,Hypothèses!$W$11,IF(BZ220&lt;=Hypothèses!$V$12,Hypothèses!$W$12,IF(BZ220&lt;=Hypothèses!$V$13,Hypothèses!$W$13,IF(BZ220&lt;=Hypothèses!$V$14,Hypothèses!$W$14,IF(BZ220&lt;=Hypothèses!$V$15,Hypothèses!$W$15,IF(BZ220&lt;=Hypothèses!$V$16,Hypothèses!$W$16,IF(BZ220&lt;=Hypothèses!$V$17,Hypothèses!$W$17,IF(BZ220&lt;=Hypothèses!$V$18,Hypothèses!$W$18,""))))))))))))</f>
        <v>#DIV/0!</v>
      </c>
      <c r="CU220" s="87" t="e">
        <f t="shared" ca="1" si="420"/>
        <v>#DIV/0!</v>
      </c>
      <c r="CV220" s="88" t="e">
        <f ca="1">IF(BZ220&lt;=Hypothèses!$V$7,Hypothèses!$X$7,IF(BZ220&lt;=Hypothèses!$V$8,Hypothèses!$X$8,IF(BZ220&lt;=Hypothèses!$V$9,Hypothèses!$X$9,IF(BZ220&lt;=Hypothèses!$V$10,Hypothèses!$X$10,IF(BZ220&lt;=Hypothèses!$V$11,Hypothèses!$X$11,IF(BZ220&lt;=Hypothèses!$V$12,Hypothèses!$X$12,IF(BZ220&lt;=Hypothèses!$V$13,Hypothèses!$X$13,IF(BZ220&lt;=Hypothèses!$V$14,Hypothèses!$X$14,IF(BZ220&lt;=Hypothèses!$V$15,Hypothèses!$X$15,IF(BZ220&lt;=Hypothèses!$V$16,Hypothèses!$X$16,IF(BZ220&lt;=Hypothèses!$U$17,Hypothèses!$W$17,IF(BZ220&lt;=Hypothèses!$U$18,Hypothèses!$W$18,""))))))))))))</f>
        <v>#DIV/0!</v>
      </c>
      <c r="CW220" s="95" t="e">
        <f t="shared" ca="1" si="385"/>
        <v>#DIV/0!</v>
      </c>
      <c r="CX220" s="101" t="e">
        <f t="shared" si="427"/>
        <v>#N/A</v>
      </c>
      <c r="CY220" s="91" t="e">
        <f t="shared" si="354"/>
        <v>#N/A</v>
      </c>
      <c r="CZ220" s="30" t="e">
        <f t="shared" si="408"/>
        <v>#N/A</v>
      </c>
      <c r="DA220" s="30" t="e">
        <f t="shared" si="409"/>
        <v>#N/A</v>
      </c>
      <c r="DB220" s="31" t="e">
        <f>IF(OR(Hypothèses!$B$4=17,Hypothèses!$B$4=18,Hypothèses!$B$4=19,Hypothèses!$B$4=20),
IF($D220="Pressio.",
IF(OR($E220=3,$E220=1,$E220=4),DA220,CZ220),
IF($D220="Pénétro.",
IF(OR($E220=3,$E220=1,$E220=4),DA220,CZ220))),IF($D220="Pressio.",
IF($E220=3,DA220,CZ220),
IF($D220="Pénétro.",
IF($E220=4,DA220,CZ220))))</f>
        <v>#N/A</v>
      </c>
      <c r="DC220" s="31" t="e">
        <f>(IF(OR(Hypothèses!$B$4=17,Hypothèses!$B$4=18,Hypothèses!$B$4=19,Hypothèses!$B$4=20),
IF($D220="Pressio.",
IF(OR($E220=3,$E220=1,$E220=4),(PI()*DC$12^2)/4*(CY220*$W220*1000)/($H220*$B$5),(PI()*DC$12^2)/4*(CY220*$W220*1000)/($G220*$B$5)),
IF($D220="Pénétro.",
IF(OR($E220=4,$E220=1,$E220=5),(PI()*DC$12^2)/4*(CY220*$W220*1000)/($H220*$B$5),(PI()*DC$12^2)/4*(CY220*$W220*1000)/($G220*$B$5)))),
IF($D220="Pressio.",
IF($E220=3,(PI()*DC$12^2)/4*(CY220*$W220*1000)/($H220*$B$5),(PI()*DC$12^2)/4*(CY220*$W220*1000)/($G220*$B$5)),
IF($D220="Pénétro.",
IF($E220=4,(PI()*DC$12^2)/4*(CY220*$W220*1000)/($H220*$B$5),(PI()*DC$12^2)/4*(CY220*$W220*1000)/($G220*$B$5))))))/10</f>
        <v>#N/A</v>
      </c>
      <c r="DD220" s="102" t="e">
        <f>(VLOOKUP($B$3,'Coeff EC7'!$T$39:$X$59,2,0)*DB220+VLOOKUP($B$3,'Coeff EC7'!$T$65:$X$85,2,0)*Model0.1C!DC220)/1.1</f>
        <v>#N/A</v>
      </c>
      <c r="DE220" s="102" t="e">
        <f>(VLOOKUP($B$3,'Coeff EC7'!$T$39:$X$59,3,0)*DB220+VLOOKUP($B$3,'Coeff EC7'!$T$65:$X$85,3,0)*Model0.1C!DC220)/0.9</f>
        <v>#N/A</v>
      </c>
      <c r="DF220" s="102" t="e">
        <f t="shared" si="386"/>
        <v>#N/A</v>
      </c>
      <c r="DG220" s="102" t="e">
        <f t="shared" si="387"/>
        <v>#N/A</v>
      </c>
      <c r="DH220" s="414" t="e">
        <f>IF(DH219=0,0,IF(AND(DD220&gt;charge_ELS_quasi,DE220&gt;Charge_ELS_freq,DF220&gt;charge_ELU,DG220&gt;charge_ELA,$B220&gt;NDC!$H$22-0.1+MIN(3*$DH$12,1.5)),0,1))</f>
        <v>#N/A</v>
      </c>
      <c r="DI220" s="86" t="b">
        <f t="shared" si="355"/>
        <v>0</v>
      </c>
      <c r="DJ220" s="86">
        <f t="shared" si="356"/>
        <v>0.5</v>
      </c>
      <c r="DK220" s="86">
        <f t="shared" si="357"/>
        <v>0.5</v>
      </c>
      <c r="DL220" s="30" t="e">
        <f t="shared" ca="1" si="388"/>
        <v>#DIV/0!</v>
      </c>
      <c r="DM220" s="85" t="e">
        <f ca="1">IF(CS220&lt;=Hypothèses!$V$7,Hypothèses!$W$7,IF(CS220&lt;=Hypothèses!$V$8,Hypothèses!$W$8,IF(CS220&lt;=Hypothèses!$V$9,Hypothèses!$W$9,IF(CS220&lt;=Hypothèses!$V$10,Hypothèses!$W$10,IF(CS220&lt;=Hypothèses!$V$11,Hypothèses!$W$11,IF(CS220&lt;=Hypothèses!$V$12,Hypothèses!$W$12,IF(CS220&lt;=Hypothèses!$V$13,Hypothèses!$W$13,IF(CS220&lt;=Hypothèses!$V$14,Hypothèses!$W$14,IF(CS220&lt;=Hypothèses!$V$15,Hypothèses!$W$15,IF(CS220&lt;=Hypothèses!$V$16,Hypothèses!$W$16,IF(CS220&lt;=Hypothèses!$V$17,Hypothèses!$W$17,IF(CS220&lt;=Hypothèses!$V$18,Hypothèses!$W$18,""))))))))))))</f>
        <v>#DIV/0!</v>
      </c>
      <c r="DN220" s="87" t="e">
        <f t="shared" ca="1" si="421"/>
        <v>#DIV/0!</v>
      </c>
      <c r="DO220" s="88" t="e">
        <f ca="1">IF(CS220&lt;=Hypothèses!$V$7,Hypothèses!$X$7,IF(CS220&lt;=Hypothèses!$V$8,Hypothèses!$X$8,IF(CS220&lt;=Hypothèses!$V$9,Hypothèses!$X$9,IF(CS220&lt;=Hypothèses!$V$10,Hypothèses!$X$10,IF(CS220&lt;=Hypothèses!$V$11,Hypothèses!$X$11,IF(CS220&lt;=Hypothèses!$V$12,Hypothèses!$X$12,IF(CS220&lt;=Hypothèses!$V$13,Hypothèses!$X$13,IF(CS220&lt;=Hypothèses!$V$14,Hypothèses!$X$14,IF(CS220&lt;=Hypothèses!$V$15,Hypothèses!$X$15,IF(CS220&lt;=Hypothèses!$V$16,Hypothèses!$X$16,IF(CS220&lt;=Hypothèses!$U$17,Hypothèses!$W$17,IF(CS220&lt;=Hypothèses!$U$18,Hypothèses!$W$18,""))))))))))))</f>
        <v>#DIV/0!</v>
      </c>
      <c r="DP220" s="95" t="e">
        <f t="shared" ca="1" si="389"/>
        <v>#DIV/0!</v>
      </c>
      <c r="DQ220" s="101" t="e">
        <f t="shared" si="428"/>
        <v>#N/A</v>
      </c>
      <c r="DR220" s="91" t="e">
        <f t="shared" si="358"/>
        <v>#N/A</v>
      </c>
      <c r="DS220" s="30" t="e">
        <f t="shared" si="410"/>
        <v>#N/A</v>
      </c>
      <c r="DT220" s="30" t="e">
        <f t="shared" si="411"/>
        <v>#N/A</v>
      </c>
      <c r="DU220" s="31" t="e">
        <f>IF(OR(Hypothèses!$B$4=17,Hypothèses!$B$4=18,Hypothèses!$B$4=19,Hypothèses!$B$4=20),
IF($D220="Pressio.",
IF(OR($E220=3,$E220=1,$E220=4),DT220,DS220),
IF($D220="Pénétro.",
IF(OR($E220=3,$E220=1,$E220=4),DT220,DS220))),IF($D220="Pressio.",
IF($E220=3,DT220,DS220),
IF($D220="Pénétro.",
IF($E220=4,DT220,DS220))))</f>
        <v>#N/A</v>
      </c>
      <c r="DV220" s="31" t="e">
        <f>(IF(OR(Hypothèses!$B$4=17,Hypothèses!$B$4=18,Hypothèses!$B$4=19,Hypothèses!$B$4=20),
IF($D220="Pressio.",
IF(OR($E220=3,$E220=1,$E220=4),(PI()*DV$12^2)/4*(DR220*$W220*1000)/($H220*$B$5),(PI()*DV$12^2)/4*(DR220*$W220*1000)/($G220*$B$5)),
IF($D220="Pénétro.",
IF(OR($E220=4,$E220=1,$E220=5),(PI()*DV$12^2)/4*(DR220*$W220*1000)/($H220*$B$5),(PI()*DV$12^2)/4*(DR220*$W220*1000)/($G220*$B$5)))),
IF($D220="Pressio.",
IF($E220=3,(PI()*DV$12^2)/4*(DR220*$W220*1000)/($H220*$B$5),(PI()*DV$12^2)/4*(DR220*$W220*1000)/($G220*$B$5)),
IF($D220="Pénétro.",
IF($E220=4,(PI()*DV$12^2)/4*(DR220*$W220*1000)/($H220*$B$5),(PI()*DV$12^2)/4*(DR220*$W220*1000)/($G220*$B$5))))))/10</f>
        <v>#N/A</v>
      </c>
      <c r="DW220" s="102" t="e">
        <f>(VLOOKUP($B$3,'Coeff EC7'!$T$39:$X$59,2,0)*DU220+VLOOKUP($B$3,'Coeff EC7'!$T$65:$X$85,2,0)*Model0.1C!DV220)/1.1</f>
        <v>#N/A</v>
      </c>
      <c r="DX220" s="102" t="e">
        <f>(VLOOKUP($B$3,'Coeff EC7'!$T$39:$X$59,3,0)*DU220+VLOOKUP($B$3,'Coeff EC7'!$T$65:$X$85,3,0)*Model0.1C!DV220)/0.9</f>
        <v>#N/A</v>
      </c>
      <c r="DY220" s="102" t="e">
        <f t="shared" si="390"/>
        <v>#N/A</v>
      </c>
      <c r="DZ220" s="102" t="e">
        <f t="shared" si="391"/>
        <v>#N/A</v>
      </c>
      <c r="EA220" s="414" t="e">
        <f>IF(EA219=0,0,IF(AND(DW220&gt;charge_ELS_quasi,DX220&gt;Charge_ELS_freq,DY220&gt;charge_ELU,DZ220&gt;charge_ELA,$B220&gt;NDC!$H$22-0.1+MIN(3*$EA$12,1.5)),0,1))</f>
        <v>#N/A</v>
      </c>
      <c r="EB220" s="86" t="b">
        <f t="shared" si="359"/>
        <v>0</v>
      </c>
      <c r="EC220" s="418">
        <f t="shared" si="360"/>
        <v>0.51</v>
      </c>
      <c r="ED220" s="86">
        <f t="shared" si="361"/>
        <v>0.51</v>
      </c>
      <c r="EE220" s="30" t="e">
        <f t="shared" ca="1" si="392"/>
        <v>#DIV/0!</v>
      </c>
      <c r="EF220" s="85" t="e">
        <f ca="1">IF(DL220&lt;=Hypothèses!$V$7,Hypothèses!$W$7,IF(DL220&lt;=Hypothèses!$V$8,Hypothèses!$W$8,IF(DL220&lt;=Hypothèses!$V$9,Hypothèses!$W$9,IF(DL220&lt;=Hypothèses!$V$10,Hypothèses!$W$10,IF(DL220&lt;=Hypothèses!$V$11,Hypothèses!$W$11,IF(DL220&lt;=Hypothèses!$V$12,Hypothèses!$W$12,IF(DL220&lt;=Hypothèses!$V$13,Hypothèses!$W$13,IF(DL220&lt;=Hypothèses!$V$14,Hypothèses!$W$14,IF(DL220&lt;=Hypothèses!$V$15,Hypothèses!$W$15,IF(DL220&lt;=Hypothèses!$V$16,Hypothèses!$W$16,IF(DL220&lt;=Hypothèses!$V$17,Hypothèses!$W$17,IF(DL220&lt;=Hypothèses!$V$18,Hypothèses!$W$18,""))))))))))))</f>
        <v>#DIV/0!</v>
      </c>
      <c r="EG220" s="87" t="e">
        <f t="shared" ca="1" si="422"/>
        <v>#DIV/0!</v>
      </c>
      <c r="EH220" s="88" t="e">
        <f ca="1">IF(DL220&lt;=Hypothèses!$V$7,Hypothèses!$X$7,IF(DL220&lt;=Hypothèses!$V$8,Hypothèses!$X$8,IF(DL220&lt;=Hypothèses!$V$9,Hypothèses!$X$9,IF(DL220&lt;=Hypothèses!$V$10,Hypothèses!$X$10,IF(DL220&lt;=Hypothèses!$V$11,Hypothèses!$X$11,IF(DL220&lt;=Hypothèses!$V$12,Hypothèses!$X$12,IF(DL220&lt;=Hypothèses!$V$13,Hypothèses!$X$13,IF(DL220&lt;=Hypothèses!$V$14,Hypothèses!$X$14,IF(DL220&lt;=Hypothèses!$V$15,Hypothèses!$X$15,IF(DL220&lt;=Hypothèses!$V$16,Hypothèses!$X$16,IF(DL220&lt;=Hypothèses!$U$17,Hypothèses!$W$17,IF(DL220&lt;=Hypothèses!$U$18,Hypothèses!$W$18,""))))))))))))</f>
        <v>#DIV/0!</v>
      </c>
      <c r="EI220" s="95" t="e">
        <f t="shared" ca="1" si="393"/>
        <v>#DIV/0!</v>
      </c>
      <c r="EJ220" s="101" t="e">
        <f t="shared" si="429"/>
        <v>#N/A</v>
      </c>
      <c r="EK220" s="91" t="e">
        <f t="shared" si="362"/>
        <v>#N/A</v>
      </c>
      <c r="EL220" s="30" t="e">
        <f t="shared" si="412"/>
        <v>#N/A</v>
      </c>
      <c r="EM220" s="30" t="e">
        <f t="shared" si="413"/>
        <v>#N/A</v>
      </c>
      <c r="EN220" s="31" t="e">
        <f>IF(OR(Hypothèses!$B$4=17,Hypothèses!$B$4=18,Hypothèses!$B$4=19,Hypothèses!$B$4=20),
IF($D220="Pressio.",
IF(OR($E220=3,$E220=1,$E220=4),EM220,EL220),
IF($D220="Pénétro.",
IF(OR($E220=3,$E220=1,$E220=4),EM220,EL220))),IF($D220="Pressio.",
IF($E220=3,EM220,EL220),
IF($D220="Pénétro.",
IF($E220=4,EM220,EL220))))</f>
        <v>#N/A</v>
      </c>
      <c r="EO220" s="31" t="e">
        <f>(IF(OR(Hypothèses!$B$4=17,Hypothèses!$B$4=18,Hypothèses!$B$4=19,Hypothèses!$B$4=20),
IF($D220="Pressio.",
IF(OR($E220=3,$E220=1,$E220=4),(PI()*EO$12^2)/4*(EK220*$W220*1000)/($H220*$B$5),(PI()*EO$12^2)/4*(EK220*$W220*1000)/($G220*$B$5)),
IF($D220="Pénétro.",
IF(OR($E220=4,$E220=1,$E220=5),(PI()*EO$12^2)/4*(EK220*$W220*1000)/($H220*$B$5),(PI()*EO$12^2)/4*(EK220*$W220*1000)/($G220*$B$5)))),
IF($D220="Pressio.",
IF($E220=3,(PI()*EO$12^2)/4*(EK220*$W220*1000)/($H220*$B$5),(PI()*EO$12^2)/4*(EK220*$W220*1000)/($G220*$B$5)),
IF($D220="Pénétro.",
IF($E220=4,(PI()*EO$12^2)/4*(EK220*$W220*1000)/($H220*$B$5),(PI()*EO$12^2)/4*(EK220*$W220*1000)/($G220*$B$5))))))/10</f>
        <v>#N/A</v>
      </c>
      <c r="EP220" s="102" t="e">
        <f>(VLOOKUP($B$3,'Coeff EC7'!$T$39:$X$59,2,0)*EN220+VLOOKUP($B$3,'Coeff EC7'!$T$65:$X$85,2,0)*Model0.1C!EO220)/1.1</f>
        <v>#N/A</v>
      </c>
      <c r="EQ220" s="102" t="e">
        <f>(VLOOKUP($B$3,'Coeff EC7'!$T$39:$X$59,3,0)*EN220+VLOOKUP($B$3,'Coeff EC7'!$T$65:$X$85,3,0)*Model0.1C!EO220)/0.9</f>
        <v>#N/A</v>
      </c>
      <c r="ER220" s="102" t="e">
        <f t="shared" si="394"/>
        <v>#N/A</v>
      </c>
      <c r="ES220" s="102" t="e">
        <f t="shared" si="395"/>
        <v>#N/A</v>
      </c>
      <c r="ET220" s="414" t="e">
        <f>IF(ET219=0,0,IF(AND(EP220&gt;charge_ELS_quasi,EQ220&gt;Charge_ELS_freq,ER220&gt;charge_ELU,ES220&gt;charge_ELA,$B220&gt;NDC!$H$22-0.1+MIN(3*$ET$12,1.5)),0,1))</f>
        <v>#N/A</v>
      </c>
      <c r="EU220" s="86" t="b">
        <f t="shared" si="363"/>
        <v>0</v>
      </c>
      <c r="EV220" s="86">
        <f t="shared" si="364"/>
        <v>0.61</v>
      </c>
      <c r="EW220" s="86">
        <f t="shared" si="365"/>
        <v>0.61</v>
      </c>
      <c r="EX220" s="30" t="e">
        <f t="shared" ca="1" si="396"/>
        <v>#DIV/0!</v>
      </c>
      <c r="EY220" s="85" t="e">
        <f ca="1">IF(EE220&lt;=Hypothèses!$V$7,Hypothèses!$W$7,IF(EE220&lt;=Hypothèses!$V$8,Hypothèses!$W$8,IF(EE220&lt;=Hypothèses!$V$9,Hypothèses!$W$9,IF(EE220&lt;=Hypothèses!$V$10,Hypothèses!$W$10,IF(EE220&lt;=Hypothèses!$V$11,Hypothèses!$W$11,IF(EE220&lt;=Hypothèses!$V$12,Hypothèses!$W$12,IF(EE220&lt;=Hypothèses!$V$13,Hypothèses!$W$13,IF(EE220&lt;=Hypothèses!$V$14,Hypothèses!$W$14,IF(EE220&lt;=Hypothèses!$V$15,Hypothèses!$W$15,IF(EE220&lt;=Hypothèses!$V$16,Hypothèses!$W$16,IF(EE220&lt;=Hypothèses!$V$17,Hypothèses!$W$17,IF(EE220&lt;=Hypothèses!$V$18,Hypothèses!$W$18,""))))))))))))</f>
        <v>#DIV/0!</v>
      </c>
      <c r="EZ220" s="87" t="e">
        <f t="shared" ca="1" si="423"/>
        <v>#DIV/0!</v>
      </c>
      <c r="FA220" s="88" t="e">
        <f ca="1">IF(EE220&lt;=Hypothèses!$V$7,Hypothèses!$X$7,IF(EE220&lt;=Hypothèses!$V$8,Hypothèses!$X$8,IF(EE220&lt;=Hypothèses!$V$9,Hypothèses!$X$9,IF(EE220&lt;=Hypothèses!$V$10,Hypothèses!$X$10,IF(EE220&lt;=Hypothèses!$V$11,Hypothèses!$X$11,IF(EE220&lt;=Hypothèses!$V$12,Hypothèses!$X$12,IF(EE220&lt;=Hypothèses!$V$13,Hypothèses!$X$13,IF(EE220&lt;=Hypothèses!$V$14,Hypothèses!$X$14,IF(EE220&lt;=Hypothèses!$V$15,Hypothèses!$X$15,IF(EE220&lt;=Hypothèses!$V$16,Hypothèses!$X$16,IF(EE220&lt;=Hypothèses!$U$17,Hypothèses!$W$17,IF(EE220&lt;=Hypothèses!$U$18,Hypothèses!$W$18,""))))))))))))</f>
        <v>#DIV/0!</v>
      </c>
      <c r="FB220" s="95" t="e">
        <f t="shared" ca="1" si="397"/>
        <v>#DIV/0!</v>
      </c>
      <c r="FC220" s="101" t="e">
        <f t="shared" si="430"/>
        <v>#N/A</v>
      </c>
      <c r="FD220" s="91" t="e">
        <f t="shared" si="366"/>
        <v>#N/A</v>
      </c>
      <c r="FE220" s="30" t="e">
        <f t="shared" si="414"/>
        <v>#N/A</v>
      </c>
      <c r="FF220" s="30" t="e">
        <f t="shared" si="415"/>
        <v>#N/A</v>
      </c>
      <c r="FG220" s="31" t="e">
        <f>IF(OR(Hypothèses!$B$4=17,Hypothèses!$B$4=18,Hypothèses!$B$4=19,Hypothèses!$B$4=20),
IF($D220="Pressio.",
IF(OR($E220=3,$E220=1,$E220=4),FF220,FE220),
IF($D220="Pénétro.",
IF(OR($E220=3,$E220=1,$E220=4),FF220,FE220))),IF($D220="Pressio.",
IF($E220=3,FF220,FE220),
IF($D220="Pénétro.",
IF($E220=4,FF220,FE220))))</f>
        <v>#N/A</v>
      </c>
      <c r="FH220" s="31" t="e">
        <f>(IF(OR(Hypothèses!$B$4=17,Hypothèses!$B$4=18,Hypothèses!$B$4=19,Hypothèses!$B$4=20),
IF($D220="Pressio.",
IF(OR($E220=3,$E220=1,$E220=4),(PI()*FH$12^2)/4*(FD220*$W220*1000)/($H220*$B$5),(PI()*FH$12^2)/4*(FD220*$W220*1000)/($G220*$B$5)),
IF($D220="Pénétro.",
IF(OR($E220=4,$E220=1,$E220=5),(PI()*FH$12^2)/4*(FD220*$W220*1000)/($H220*$B$5),(PI()*FH$12^2)/4*(FD220*$W220*1000)/($G220*$B$5)))),
IF($D220="Pressio.",
IF($E220=3,(PI()*FH$12^2)/4*(FD220*$W220*1000)/($H220*$B$5),(PI()*FH$12^2)/4*(FD220*$W220*1000)/($G220*$B$5)),
IF($D220="Pénétro.",
IF($E220=4,(PI()*FH$12^2)/4*(FD220*$W220*1000)/($H220*$B$5),(PI()*FH$12^2)/4*(FD220*$W220*1000)/($G220*$B$5))))))/10</f>
        <v>#N/A</v>
      </c>
      <c r="FI220" s="102" t="e">
        <f>(VLOOKUP($B$3,'Coeff EC7'!$T$39:$X$59,2,0)*FG220+VLOOKUP($B$3,'Coeff EC7'!$T$65:$X$85,2,0)*Model0.1C!FH220)/1.1</f>
        <v>#N/A</v>
      </c>
      <c r="FJ220" s="102" t="e">
        <f>(VLOOKUP($B$3,'Coeff EC7'!$T$39:$X$59,3,0)*FG220+VLOOKUP($B$3,'Coeff EC7'!$T$65:$X$85,3,0)*Model0.1C!FH220)/0.9</f>
        <v>#N/A</v>
      </c>
      <c r="FK220" s="102" t="e">
        <f t="shared" si="398"/>
        <v>#N/A</v>
      </c>
      <c r="FL220" s="102" t="e">
        <f t="shared" si="399"/>
        <v>#N/A</v>
      </c>
      <c r="FM220" s="414" t="e">
        <f>IF(FM219=0,0,IF(AND(FI220&gt;charge_ELS_quasi,FJ220&gt;Charge_ELS_freq,FK220&gt;charge_ELU,FL220&gt;charge_ELA,$B220&gt;NDC!$H$22-0.1+MIN(3*$FM$12,1.5)),0,1))</f>
        <v>#N/A</v>
      </c>
    </row>
    <row r="221" spans="1:169">
      <c r="A221" s="96">
        <f t="shared" si="367"/>
        <v>79.200000000001182</v>
      </c>
      <c r="B221" s="97">
        <v>20.8</v>
      </c>
      <c r="C221" s="81">
        <f>IF(B221&lt;=Hypothèses!$C$7,Hypothèses!$A$7,IF(B221&lt;=Hypothèses!$C$8,Hypothèses!$A$8,IF(B221&lt;=Hypothèses!$C$9,Hypothèses!$A$9,IF(B221&lt;=Hypothèses!$C$10,Hypothèses!$A$10,IF(B221&lt;=Hypothèses!$C$11,Hypothèses!$A$11,IF(B221&lt;=Hypothèses!$C$12,Hypothèses!$A$12,IF(B221&lt;=Hypothèses!$C$13,Hypothèses!$A$13,IF(B221&lt;=Hypothèses!$C$14,Hypothèses!$A$14,IF(B221&lt;=Hypothèses!$C$15,Hypothèses!$A$15,IF(B221&lt;=Hypothèses!$C$16,Hypothèses!$A$16,IF(B221&lt;=Hypothèses!$C$17,Hypothèses!$A$17,IF(B221&lt;=Hypothèses!$C$18,Hypothèses!$A$18,C220))))))))))))</f>
        <v>11</v>
      </c>
      <c r="D221" s="82" t="str">
        <f>IF(B221&lt;=Hypothèses!$C$7,Hypothèses!$R$7,IF(B221&lt;=Hypothèses!$C$8,Hypothèses!$R$8,IF(B221&lt;=Hypothèses!$C$9,Hypothèses!$R$9,IF(B221&lt;=Hypothèses!$C$10,Hypothèses!$R$10,IF(B221&lt;=Hypothèses!$C$11,Hypothèses!$R$11,IF(B221&lt;=Hypothèses!$C$12,Hypothèses!$R$12,IF(B221&lt;=Hypothèses!$C$13,Hypothèses!$R$13,IF(B221&lt;=Hypothèses!$C$14,Hypothèses!$R$14,IF(B221&lt;=Hypothèses!$C$15,Hypothèses!$R$15,IF(B221&lt;=Hypothèses!$C$16,Hypothèses!$R$16,IF(B221&lt;=Hypothèses!$C$17,Hypothèses!$R$17,IF(B221&lt;=Hypothèses!$C$18,Hypothèses!$R$18,D220))))))))))))</f>
        <v>Pressio.</v>
      </c>
      <c r="E221" s="82" t="e">
        <f>IF(B221&lt;=Hypothèses!$C$7,Hypothèses!$G$7,IF(B221&lt;=Hypothèses!$C$8,Hypothèses!$G$8,IF(B221&lt;=Hypothèses!$C$9,Hypothèses!$G$9,IF(B221&lt;=Hypothèses!$C$10,Hypothèses!$G$10,IF(B221&lt;=Hypothèses!$C$11,Hypothèses!$G$11,IF(B221&lt;=Hypothèses!$C$12,Hypothèses!$G$12,IF(B221&lt;=Hypothèses!$C$13,Hypothèses!$G$13,IF(B221&lt;=Hypothèses!$C$14,Hypothèses!$G$14,IF(B221&lt;=Hypothèses!$C$15,Hypothèses!$G$15,IF(B221&lt;=Hypothèses!$C$16,Hypothèses!$G$16,IF(B221&lt;=Hypothèses!$C$17,Hypothèses!$G$17,IF(B221&lt;=Hypothèses!$C$18,Hypothèses!$G$18,E220))))))))))))</f>
        <v>#N/A</v>
      </c>
      <c r="F221" s="82" t="str">
        <f>IF(B221&lt;=Hypothèses!$C$7,Hypothèses!$F$7,IF(B221&lt;=Hypothèses!$C$8,Hypothèses!$F$8,IF(B221&lt;=Hypothèses!$C$9,Hypothèses!$F$9,IF(B221&lt;=Hypothèses!$C$10,Hypothèses!$F$10,IF(B221&lt;=Hypothèses!$C$11,Hypothèses!$F$11,IF(B221&lt;=Hypothèses!$C$12,Hypothèses!$F$12,IF(B221&lt;=Hypothèses!$C$13,Hypothèses!$F$13,IF(B221&lt;=Hypothèses!$C$14,Hypothèses!$F$14,IF(B221&lt;=Hypothèses!$C$15,Hypothèses!$F$15,IF(B221&lt;=Hypothèses!$C$16,Hypothèses!$F$16,IF(B221&lt;=Hypothèses!$C$17,Hypothèses!$F$17,IF(B221&lt;=Hypothèses!$C$18,Hypothèses!$F$18,F220))))))))))))</f>
        <v/>
      </c>
      <c r="G221" s="91">
        <f t="array" ref="G221">INDEX('Coeff EC7'!$U$7:$X$27,
MATCH(Model0.1C!$B$3,'Coeff EC7'!$T$7:$T$27,0),
MATCH(Model0.1C!$D221&amp;Model0.1C!$B$4,
'Coeff EC7'!$U$6:$X$6&amp;
'Coeff EC7'!$U$5:$X$5,0))</f>
        <v>1.1499999999999999</v>
      </c>
      <c r="H221" s="91">
        <f t="array" ref="H221">INDEX('Coeff EC7'!$Y$7:$AB$27,
MATCH(Model0.1C!$B$3,'Coeff EC7'!$T$7:$T$27,0),
MATCH(Model0.1C!$D221&amp;Model0.1C!$B$4,
'Coeff EC7'!$Y$6:$AB$6&amp;
'Coeff EC7'!$Y$5:$AB$5,0))</f>
        <v>1.4</v>
      </c>
      <c r="I221" s="83" t="e">
        <f>IF(B221&lt;=Hypothèses!$C$7,Hypothèses!$P$7,IF(B221&lt;=Hypothèses!$C$8,Hypothèses!$P$8,IF(B221&lt;=Hypothèses!$C$9,Hypothèses!$P$9,IF(B221&lt;=Hypothèses!$C$10,Hypothèses!$P$10,IF(B221&lt;=Hypothèses!$C$11,Hypothèses!$P$11,IF(B221&lt;=Hypothèses!$C$12,Hypothèses!$P$12,IF(B221&lt;=Hypothèses!$C$13,Hypothèses!$P$13,IF(B221&lt;=Hypothèses!$C$14,Hypothèses!$P$14,IF(B221&lt;=Hypothèses!$C$15,Hypothèses!$P$15,IF(B221&lt;=Hypothèses!$C$16,Hypothèses!$P$16,IF(B221&lt;=Hypothèses!$C$17,Hypothèses!$P$17,IF(B221&lt;=Hypothèses!$C$18,Hypothèses!$P$18,I220))))))))))))</f>
        <v>#N/A</v>
      </c>
      <c r="J221" s="91" t="e">
        <f t="array" ref="J221">INDEX('Coeff EC7'!$D$33:$Q$33,1,MATCH(D221&amp;E221,'Coeff EC7'!$D$31:$Q$31&amp;'Coeff EC7'!$D$32:$Q$32,0))</f>
        <v>#N/A</v>
      </c>
      <c r="K221" s="91" t="e">
        <f t="array" ref="K221">INDEX('Coeff EC7'!$D$34:$Q$34,1,MATCH(D221&amp;E221,'Coeff EC7'!$D$31:$Q$31&amp;'Coeff EC7'!$D$32:$Q$32,0))</f>
        <v>#N/A</v>
      </c>
      <c r="L221" s="91" t="e">
        <f t="array" ref="L221">INDEX('Coeff EC7'!$D$35:$Q$35,1,MATCH(D221&amp;E221,'Coeff EC7'!$D$31:$Q$31&amp;'Coeff EC7'!$D$32:$Q$32,0))</f>
        <v>#N/A</v>
      </c>
      <c r="M221" s="98" t="e">
        <f t="shared" si="331"/>
        <v>#N/A</v>
      </c>
      <c r="N221" s="99" t="e">
        <f t="array" ref="N221">INDEX('Coeff EC7'!$D$7:$Q$27,MATCH($B$3,'Coeff EC7'!$C$7:$C$27,0),MATCH(D221&amp;E221,'Coeff EC7'!$D$5:$Q$5&amp;'Coeff EC7'!$D$6:$Q$6,0))</f>
        <v>#N/A</v>
      </c>
      <c r="O221" s="99" t="e">
        <f t="array" ref="O221">INDEX('Coeff EC7'!$D$41:$Q$61,MATCH($B$3,'Coeff EC7'!$C$41:$C$61,0),MATCH(D221&amp;E221,'Coeff EC7'!$D$39:$Q$39&amp;'Coeff EC7'!$D$40:$Q$40,0))</f>
        <v>#N/A</v>
      </c>
      <c r="P221" s="30" t="e">
        <f t="shared" si="368"/>
        <v>#N/A</v>
      </c>
      <c r="Q221" s="100" t="e">
        <f t="shared" si="333"/>
        <v>#N/A</v>
      </c>
      <c r="R221" s="86" t="b">
        <f t="shared" si="334"/>
        <v>0</v>
      </c>
      <c r="S221" s="86">
        <f t="shared" si="332"/>
        <v>0.5</v>
      </c>
      <c r="T221" s="86">
        <f t="shared" si="335"/>
        <v>0.5</v>
      </c>
      <c r="U221" s="30" t="e">
        <f t="shared" ca="1" si="369"/>
        <v>#DIV/0!</v>
      </c>
      <c r="V221" s="85" t="str">
        <f>IF(B221&lt;=Hypothèses!$V$7,Hypothèses!$W$7,IF(B221&lt;=Hypothèses!$V$8,Hypothèses!$W$8,IF(B221&lt;=Hypothèses!$V$9,Hypothèses!$W$9,IF(B221&lt;=Hypothèses!$V$10,Hypothèses!$W$10,IF(B221&lt;=Hypothèses!$V$11,Hypothèses!$W$11,IF(B221&lt;=Hypothèses!$V$12,Hypothèses!$W$12,IF(B221&lt;=Hypothèses!$V$13,Hypothèses!$W$13,IF(B221&lt;=Hypothèses!$V$14,Hypothèses!$W$14,IF(B221&lt;=Hypothèses!$V$15,Hypothèses!$W$15,IF(B221&lt;=Hypothèses!$V$16,Hypothèses!$W$16,IF(B221&lt;=Hypothèses!$V$17,Hypothèses!$W$17,IF(B221&lt;=Hypothèses!$V$18,Hypothèses!$W$18,""))))))))))))</f>
        <v/>
      </c>
      <c r="W221" s="87" t="e">
        <f t="shared" ca="1" si="416"/>
        <v>#DIV/0!</v>
      </c>
      <c r="X221" s="88" t="str">
        <f>IF(B221&lt;=Hypothèses!$V$7,Hypothèses!$X$7,IF(B221&lt;=Hypothèses!$V$8,Hypothèses!$X$8,IF(B221&lt;=Hypothèses!$V$9,Hypothèses!$X$9,IF(B221&lt;=Hypothèses!$V$10,Hypothèses!$X$10,IF(B221&lt;=Hypothèses!$V$11,Hypothèses!$X$11,IF(B221&lt;=Hypothèses!$V$12,Hypothèses!$X$12,IF(B221&lt;=Hypothèses!$V$13,Hypothèses!$X$13,IF(B221&lt;=Hypothèses!$V$14,Hypothèses!$X$14,IF(B221&lt;=Hypothèses!$V$15,Hypothèses!$X$15,IF(B221&lt;=Hypothèses!$V$16,Hypothèses!$X$16,IF(B221&lt;=Hypothèses!$U$17,Hypothèses!$W$17,IF(B221&lt;=Hypothèses!$U$18,Hypothèses!$W$18,""))))))))))))</f>
        <v/>
      </c>
      <c r="Y221" s="95" t="e">
        <f t="shared" ca="1" si="336"/>
        <v>#DIV/0!</v>
      </c>
      <c r="Z221" s="101" t="e">
        <f t="shared" si="337"/>
        <v>#N/A</v>
      </c>
      <c r="AA221" s="91" t="e">
        <f t="shared" si="338"/>
        <v>#N/A</v>
      </c>
      <c r="AB221" s="30" t="e">
        <f t="shared" si="400"/>
        <v>#N/A</v>
      </c>
      <c r="AC221" s="30" t="e">
        <f t="shared" si="401"/>
        <v>#N/A</v>
      </c>
      <c r="AD221" s="31" t="e">
        <f>IF(OR(Hypothèses!$B$4=17,Hypothèses!$B$4=18,Hypothèses!$B$4=19,Hypothèses!$B$4=20),
IF($D221="Pressio.",
IF(OR($E221=3,$E221=1,$E221=4),AC221,AB221),
IF($D221="Pénétro.",
IF(OR($E221=3,$E221=1,$E221=4),AC221,AB221))),IF($D221="Pressio.",
IF($E221=3,AC221,AB221),
IF($D221="Pénétro.",
IF($E221=4,AC221,AB221))))</f>
        <v>#N/A</v>
      </c>
      <c r="AE221" s="31" t="e">
        <f>(IF(OR(Hypothèses!$B$4=17,Hypothèses!$B$4=18,Hypothèses!$B$4=19,Hypothèses!$B$4=20),
IF($D221="Pressio.",
IF(OR($E221=3,$E221=1,$E221=4),(PI()*AE$12^2)/4*(AA221*$W221*1000)/($H221*$B$5),(PI()*AE$12^2)/4*(AA221*$W221*1000)/($G221*$B$5)),
IF($D221="Pénétro.",
IF(OR($E221=4,$E221=1,$E221=5),(PI()*AE$12^2)/4*(AA221*$W221*1000)/($H221*$B$5),(PI()*AE$12^2)/4*(AA221*$W221*1000)/($G221*$B$5)))),
IF($D221="Pressio.",
IF($E221=3,(PI()*AE$12^2)/4*(AA221*$W221*1000)/($H221*$B$5),(PI()*AE$12^2)/4*(AA221*$W221*1000)/($G221*$B$5)),
IF($D221="Pénétro.",
IF($E221=4,(PI()*AE$12^2)/4*(AA221*$W221*1000)/($H221*$B$5),(PI()*AE$12^2)/4*(AA221*$W221*1000)/($G221*$B$5))))))/10</f>
        <v>#N/A</v>
      </c>
      <c r="AF221" s="102" t="e">
        <f>(VLOOKUP($B$3,'Coeff EC7'!$T$39:$X$59,2,0)*AD221+VLOOKUP($B$3,'Coeff EC7'!$T$65:$X$85,2,0)*Model0.1C!AE221)/1.1</f>
        <v>#N/A</v>
      </c>
      <c r="AG221" s="102" t="e">
        <f>(VLOOKUP($B$3,'Coeff EC7'!$T$39:$X$59,3,0)*AD221+VLOOKUP($B$3,'Coeff EC7'!$T$65:$X$85,3,0)*Model0.1C!AE221)/0.9</f>
        <v>#N/A</v>
      </c>
      <c r="AH221" s="102" t="e">
        <f t="shared" si="339"/>
        <v>#N/A</v>
      </c>
      <c r="AI221" s="102" t="e">
        <f t="shared" si="340"/>
        <v>#N/A</v>
      </c>
      <c r="AJ221" s="414" t="e">
        <f>IF(AJ220=0,0,IF(AND(AF221&gt;charge_ELS_quasi,AG221&gt;Charge_ELS_freq,AH221&gt;charge_ELU,AI221&gt;charge_ELA,$B221&gt;NDC!$H$22-0.1+MIN(3*$AJ$12,1.5)),0,1))</f>
        <v>#N/A</v>
      </c>
      <c r="AK221" s="86" t="b">
        <f t="shared" si="341"/>
        <v>0</v>
      </c>
      <c r="AL221" s="86">
        <f t="shared" si="370"/>
        <v>0.5</v>
      </c>
      <c r="AM221" s="86">
        <f t="shared" si="342"/>
        <v>0.5</v>
      </c>
      <c r="AN221" s="30" t="e">
        <f t="shared" ca="1" si="371"/>
        <v>#DIV/0!</v>
      </c>
      <c r="AO221" s="85" t="e">
        <f ca="1">IF(U221&lt;=Hypothèses!$V$7,Hypothèses!$W$7,IF(U221&lt;=Hypothèses!$V$8,Hypothèses!$W$8,IF(U221&lt;=Hypothèses!$V$9,Hypothèses!$W$9,IF(U221&lt;=Hypothèses!$V$10,Hypothèses!$W$10,IF(U221&lt;=Hypothèses!$V$11,Hypothèses!$W$11,IF(U221&lt;=Hypothèses!$V$12,Hypothèses!$W$12,IF(U221&lt;=Hypothèses!$V$13,Hypothèses!$W$13,IF(U221&lt;=Hypothèses!$V$14,Hypothèses!$W$14,IF(U221&lt;=Hypothèses!$V$15,Hypothèses!$W$15,IF(U221&lt;=Hypothèses!$V$16,Hypothèses!$W$16,IF(U221&lt;=Hypothèses!$V$17,Hypothèses!$W$17,IF(U221&lt;=Hypothèses!$V$18,Hypothèses!$W$18,""))))))))))))</f>
        <v>#DIV/0!</v>
      </c>
      <c r="AP221" s="87" t="e">
        <f t="shared" ca="1" si="417"/>
        <v>#DIV/0!</v>
      </c>
      <c r="AQ221" s="88" t="e">
        <f ca="1">IF(U221&lt;=Hypothèses!$V$7,Hypothèses!$X$7,IF(U221&lt;=Hypothèses!$V$8,Hypothèses!$X$8,IF(U221&lt;=Hypothèses!$V$9,Hypothèses!$X$9,IF(U221&lt;=Hypothèses!$V$10,Hypothèses!$X$10,IF(U221&lt;=Hypothèses!$V$11,Hypothèses!$X$11,IF(U221&lt;=Hypothèses!$V$12,Hypothèses!$X$12,IF(U221&lt;=Hypothèses!$V$13,Hypothèses!$X$13,IF(U221&lt;=Hypothèses!$V$14,Hypothèses!$X$14,IF(U221&lt;=Hypothèses!$V$15,Hypothèses!$X$15,IF(U221&lt;=Hypothèses!$V$16,Hypothèses!$X$16,IF(U221&lt;=Hypothèses!$U$17,Hypothèses!$W$17,IF(U221&lt;=Hypothèses!$U$18,Hypothèses!$W$18,""))))))))))))</f>
        <v>#DIV/0!</v>
      </c>
      <c r="AR221" s="95" t="e">
        <f t="shared" ca="1" si="372"/>
        <v>#DIV/0!</v>
      </c>
      <c r="AS221" s="101" t="e">
        <f t="shared" si="424"/>
        <v>#N/A</v>
      </c>
      <c r="AT221" s="91" t="e">
        <f t="shared" si="343"/>
        <v>#N/A</v>
      </c>
      <c r="AU221" s="30" t="e">
        <f t="shared" si="402"/>
        <v>#N/A</v>
      </c>
      <c r="AV221" s="30" t="e">
        <f t="shared" si="403"/>
        <v>#N/A</v>
      </c>
      <c r="AW221" s="31" t="e">
        <f>IF(OR(Hypothèses!$B$4=17,Hypothèses!$B$4=18,Hypothèses!$B$4=19,Hypothèses!$B$4=20),
IF($D221="Pressio.",
IF(OR($E221=3,$E221=1,$E221=4),AV221,AU221),
IF($D221="Pénétro.",
IF(OR($E221=3,$E221=1,$E221=4),AV221,AU221))),IF($D221="Pressio.",
IF($E221=3,AV221,AU221),
IF($D221="Pénétro.",
IF($E221=4,AV221,AU221))))</f>
        <v>#N/A</v>
      </c>
      <c r="AX221" s="31" t="e">
        <f>(IF(OR(Hypothèses!$B$4=17,Hypothèses!$B$4=18,Hypothèses!$B$4=19,Hypothèses!$B$4=20),
IF($D221="Pressio.",
IF(OR($E221=3,$E221=1,$E221=4),(PI()*AX$12^2)/4*(AT221*$W221*1000)/($H221*$B$5),(PI()*AX$12^2)/4*(AT221*$W221*1000)/($G221*$B$5)),
IF($D221="Pénétro.",
IF(OR($E221=4,$E221=1,$E221=5),(PI()*AX$12^2)/4*(AT221*$W221*1000)/($H221*$B$5),(PI()*AX$12^2)/4*(AT221*$W221*1000)/($G221*$B$5)))),
IF($D221="Pressio.",
IF($E221=3,(PI()*AX$12^2)/4*(AT221*$W221*1000)/($H221*$B$5),(PI()*AX$12^2)/4*(AT221*$W221*1000)/($G221*$B$5)),
IF($D221="Pénétro.",
IF($E221=4,(PI()*AX$12^2)/4*(AT221*$W221*1000)/($H221*$B$5),(PI()*AX$12^2)/4*(AT221*$W221*1000)/($G221*$B$5))))))/10</f>
        <v>#N/A</v>
      </c>
      <c r="AY221" s="102" t="e">
        <f>(VLOOKUP($B$3,'Coeff EC7'!$T$39:$X$59,2,0)*AW221+VLOOKUP($B$3,'Coeff EC7'!$T$65:$X$85,2,0)*Model0.1C!AX221)/1.1</f>
        <v>#N/A</v>
      </c>
      <c r="AZ221" s="102" t="e">
        <f>(VLOOKUP($B$3,'Coeff EC7'!$T$39:$X$59,3,0)*AW221+VLOOKUP($B$3,'Coeff EC7'!$T$65:$X$85,3,0)*Model0.1C!AX221)/0.9</f>
        <v>#N/A</v>
      </c>
      <c r="BA221" s="102" t="e">
        <f t="shared" si="373"/>
        <v>#N/A</v>
      </c>
      <c r="BB221" s="102" t="e">
        <f t="shared" si="374"/>
        <v>#N/A</v>
      </c>
      <c r="BC221" s="414" t="e">
        <f>IF(BC220=0,0,IF(AND(AY221&gt;charge_ELS_quasi,AZ221&gt;Charge_ELS_freq,BA221&gt;charge_ELU,BB221&gt;charge_ELA,$B221&gt;NDC!$H$22-0.1+MIN(3*$BC$12,1.5)),0,1))</f>
        <v>#N/A</v>
      </c>
      <c r="BD221" s="86" t="b">
        <f t="shared" si="344"/>
        <v>0</v>
      </c>
      <c r="BE221" s="86">
        <f t="shared" si="375"/>
        <v>0.5</v>
      </c>
      <c r="BF221" s="86">
        <f t="shared" si="345"/>
        <v>0.5</v>
      </c>
      <c r="BG221" s="30" t="e">
        <f t="shared" ca="1" si="376"/>
        <v>#DIV/0!</v>
      </c>
      <c r="BH221" s="85" t="e">
        <f ca="1">IF(AN221&lt;=Hypothèses!$V$7,Hypothèses!$W$7,IF(AN221&lt;=Hypothèses!$V$8,Hypothèses!$W$8,IF(AN221&lt;=Hypothèses!$V$9,Hypothèses!$W$9,IF(AN221&lt;=Hypothèses!$V$10,Hypothèses!$W$10,IF(AN221&lt;=Hypothèses!$V$11,Hypothèses!$W$11,IF(AN221&lt;=Hypothèses!$V$12,Hypothèses!$W$12,IF(AN221&lt;=Hypothèses!$V$13,Hypothèses!$W$13,IF(AN221&lt;=Hypothèses!$V$14,Hypothèses!$W$14,IF(AN221&lt;=Hypothèses!$V$15,Hypothèses!$W$15,IF(AN221&lt;=Hypothèses!$V$16,Hypothèses!$W$16,IF(AN221&lt;=Hypothèses!$V$17,Hypothèses!$W$17,IF(AN221&lt;=Hypothèses!$V$18,Hypothèses!$W$18,""))))))))))))</f>
        <v>#DIV/0!</v>
      </c>
      <c r="BI221" s="87" t="e">
        <f t="shared" ca="1" si="418"/>
        <v>#DIV/0!</v>
      </c>
      <c r="BJ221" s="88" t="e">
        <f ca="1">IF(AN221&lt;=Hypothèses!$V$7,Hypothèses!$X$7,IF(AN221&lt;=Hypothèses!$V$8,Hypothèses!$X$8,IF(AN221&lt;=Hypothèses!$V$9,Hypothèses!$X$9,IF(AN221&lt;=Hypothèses!$V$10,Hypothèses!$X$10,IF(AN221&lt;=Hypothèses!$V$11,Hypothèses!$X$11,IF(AN221&lt;=Hypothèses!$V$12,Hypothèses!$X$12,IF(AN221&lt;=Hypothèses!$V$13,Hypothèses!$X$13,IF(AN221&lt;=Hypothèses!$V$14,Hypothèses!$X$14,IF(AN221&lt;=Hypothèses!$V$15,Hypothèses!$X$15,IF(AN221&lt;=Hypothèses!$V$16,Hypothèses!$X$16,IF(AN221&lt;=Hypothèses!$U$17,Hypothèses!$W$17,IF(AN221&lt;=Hypothèses!$U$18,Hypothèses!$W$18,""))))))))))))</f>
        <v>#DIV/0!</v>
      </c>
      <c r="BK221" s="95" t="e">
        <f t="shared" ca="1" si="377"/>
        <v>#DIV/0!</v>
      </c>
      <c r="BL221" s="101" t="e">
        <f t="shared" si="425"/>
        <v>#N/A</v>
      </c>
      <c r="BM221" s="91" t="e">
        <f t="shared" si="346"/>
        <v>#N/A</v>
      </c>
      <c r="BN221" s="30" t="e">
        <f t="shared" si="404"/>
        <v>#N/A</v>
      </c>
      <c r="BO221" s="30" t="e">
        <f t="shared" si="405"/>
        <v>#N/A</v>
      </c>
      <c r="BP221" s="31" t="e">
        <f>IF(OR(Hypothèses!$B$4=17,Hypothèses!$B$4=18,Hypothèses!$B$4=19,Hypothèses!$B$4=20),
IF($D221="Pressio.",
IF(OR($E221=3,$E221=1,$E221=4),BO221,BN221),
IF($D221="Pénétro.",
IF(OR($E221=3,$E221=1,$E221=4),BO221,BN221))),IF($D221="Pressio.",
IF($E221=3,BO221,BN221),
IF($D221="Pénétro.",
IF($E221=4,BO221,BN221))))</f>
        <v>#N/A</v>
      </c>
      <c r="BQ221" s="31" t="e">
        <f>(IF(OR(Hypothèses!$B$4=17,Hypothèses!$B$4=18,Hypothèses!$B$4=19,Hypothèses!$B$4=20),
IF($D221="Pressio.",
IF(OR($E221=3,$E221=1,$E221=4),(PI()*BQ$12^2)/4*(BM221*$W221*1000)/($H221*$B$5),(PI()*BQ$12^2)/4*(BM221*$W221*1000)/($G221*$B$5)),
IF($D221="Pénétro.",
IF(OR($E221=4,$E221=1,$E221=5),(PI()*BQ$12^2)/4*(BM221*$W221*1000)/($H221*$B$5),(PI()*BQ$12^2)/4*(BM221*$W221*1000)/($G221*$B$5)))),
IF($D221="Pressio.",
IF($E221=3,(PI()*BQ$12^2)/4*(BM221*$W221*1000)/($H221*$B$5),(PI()*BQ$12^2)/4*(BM221*$W221*1000)/($G221*$B$5)),
IF($D221="Pénétro.",
IF($E221=4,(PI()*BQ$12^2)/4*(BM221*$W221*1000)/($H221*$B$5),(PI()*BQ$12^2)/4*(BM221*$W221*1000)/($G221*$B$5))))))/10</f>
        <v>#N/A</v>
      </c>
      <c r="BR221" s="102" t="e">
        <f>(VLOOKUP($B$3,'Coeff EC7'!$T$39:$X$59,2,0)*BP221+VLOOKUP($B$3,'Coeff EC7'!$T$65:$X$85,2,0)*Model0.1C!BQ221)/1.1</f>
        <v>#N/A</v>
      </c>
      <c r="BS221" s="102" t="e">
        <f>(VLOOKUP($B$3,'Coeff EC7'!$T$39:$X$59,3,0)*BP221+VLOOKUP($B$3,'Coeff EC7'!$T$65:$X$85,3,0)*Model0.1C!BQ221)/0.9</f>
        <v>#N/A</v>
      </c>
      <c r="BT221" s="102" t="e">
        <f t="shared" si="378"/>
        <v>#N/A</v>
      </c>
      <c r="BU221" s="102" t="e">
        <f t="shared" si="379"/>
        <v>#N/A</v>
      </c>
      <c r="BV221" s="414" t="e">
        <f>IF(BV220=0,0,IF(AND(BR221&gt;charge_ELS_quasi,BS221&gt;Charge_ELS_freq,BT221&gt;charge_ELU,BU221&gt;charge_ELA,$B221&gt;NDC!$H$22-0.1+MIN(3*$BV$12,1.5)),0,1))</f>
        <v>#N/A</v>
      </c>
      <c r="BW221" s="86" t="b">
        <f t="shared" si="347"/>
        <v>0</v>
      </c>
      <c r="BX221" s="86">
        <f t="shared" si="348"/>
        <v>0.5</v>
      </c>
      <c r="BY221" s="86">
        <f t="shared" si="349"/>
        <v>0.5</v>
      </c>
      <c r="BZ221" s="30" t="e">
        <f t="shared" ca="1" si="380"/>
        <v>#DIV/0!</v>
      </c>
      <c r="CA221" s="85" t="e">
        <f ca="1">IF(BG221&lt;=Hypothèses!$V$7,Hypothèses!$W$7,IF(BG221&lt;=Hypothèses!$V$8,Hypothèses!$W$8,IF(BG221&lt;=Hypothèses!$V$9,Hypothèses!$W$9,IF(BG221&lt;=Hypothèses!$V$10,Hypothèses!$W$10,IF(BG221&lt;=Hypothèses!$V$11,Hypothèses!$W$11,IF(BG221&lt;=Hypothèses!$V$12,Hypothèses!$W$12,IF(BG221&lt;=Hypothèses!$V$13,Hypothèses!$W$13,IF(BG221&lt;=Hypothèses!$V$14,Hypothèses!$W$14,IF(BG221&lt;=Hypothèses!$V$15,Hypothèses!$W$15,IF(BG221&lt;=Hypothèses!$V$16,Hypothèses!$W$16,IF(BG221&lt;=Hypothèses!$V$17,Hypothèses!$W$17,IF(BG221&lt;=Hypothèses!$V$18,Hypothèses!$W$18,""))))))))))))</f>
        <v>#DIV/0!</v>
      </c>
      <c r="CB221" s="87" t="e">
        <f t="shared" ca="1" si="419"/>
        <v>#DIV/0!</v>
      </c>
      <c r="CC221" s="88" t="e">
        <f ca="1">IF(BG221&lt;=Hypothèses!$V$7,Hypothèses!$X$7,IF(BG221&lt;=Hypothèses!$V$8,Hypothèses!$X$8,IF(BG221&lt;=Hypothèses!$V$9,Hypothèses!$X$9,IF(BG221&lt;=Hypothèses!$V$10,Hypothèses!$X$10,IF(BG221&lt;=Hypothèses!$V$11,Hypothèses!$X$11,IF(BG221&lt;=Hypothèses!$V$12,Hypothèses!$X$12,IF(BG221&lt;=Hypothèses!$V$13,Hypothèses!$X$13,IF(BG221&lt;=Hypothèses!$V$14,Hypothèses!$X$14,IF(BG221&lt;=Hypothèses!$V$15,Hypothèses!$X$15,IF(BG221&lt;=Hypothèses!$V$16,Hypothèses!$X$16,IF(BG221&lt;=Hypothèses!$U$17,Hypothèses!$W$17,IF(BG221&lt;=Hypothèses!$U$18,Hypothèses!$W$18,""))))))))))))</f>
        <v>#DIV/0!</v>
      </c>
      <c r="CD221" s="95" t="e">
        <f t="shared" ca="1" si="381"/>
        <v>#DIV/0!</v>
      </c>
      <c r="CE221" s="101" t="e">
        <f t="shared" si="426"/>
        <v>#N/A</v>
      </c>
      <c r="CF221" s="91" t="e">
        <f t="shared" si="350"/>
        <v>#N/A</v>
      </c>
      <c r="CG221" s="30" t="e">
        <f t="shared" si="406"/>
        <v>#N/A</v>
      </c>
      <c r="CH221" s="30" t="e">
        <f t="shared" si="407"/>
        <v>#N/A</v>
      </c>
      <c r="CI221" s="31" t="e">
        <f>IF(OR(Hypothèses!$B$4=17,Hypothèses!$B$4=18,Hypothèses!$B$4=19,Hypothèses!$B$4=20),
IF($D221="Pressio.",
IF(OR($E221=3,$E221=1,$E221=4),CH221,CG221),
IF($D221="Pénétro.",
IF(OR($E221=3,$E221=1,$E221=4),CH221,CG221))),IF($D221="Pressio.",
IF($E221=3,CH221,CG221),
IF($D221="Pénétro.",
IF($E221=4,CH221,CG221))))</f>
        <v>#N/A</v>
      </c>
      <c r="CJ221" s="31" t="e">
        <f>(IF(OR(Hypothèses!$B$4=17,Hypothèses!$B$4=18,Hypothèses!$B$4=19,Hypothèses!$B$4=20),
IF($D221="Pressio.",
IF(OR($E221=3,$E221=1,$E221=4),(PI()*CJ$12^2)/4*(CF221*$W221*1000)/($H221*$B$5),(PI()*CJ$12^2)/4*(CF221*$W221*1000)/($G221*$B$5)),
IF($D221="Pénétro.",
IF(OR($E221=4,$E221=1,$E221=5),(PI()*CJ$12^2)/4*(CF221*$W221*1000)/($H221*$B$5),(PI()*CJ$12^2)/4*(CF221*$W221*1000)/($G221*$B$5)))),
IF($D221="Pressio.",
IF($E221=3,(PI()*CJ$12^2)/4*(CF221*$W221*1000)/($H221*$B$5),(PI()*CJ$12^2)/4*(CF221*$W221*1000)/($G221*$B$5)),
IF($D221="Pénétro.",
IF($E221=4,(PI()*CJ$12^2)/4*(CF221*$W221*1000)/($H221*$B$5),(PI()*CJ$12^2)/4*(CF221*$W221*1000)/($G221*$B$5))))))/10</f>
        <v>#N/A</v>
      </c>
      <c r="CK221" s="102" t="e">
        <f>(VLOOKUP($B$3,'Coeff EC7'!$T$39:$X$59,2,0)*CI221+VLOOKUP($B$3,'Coeff EC7'!$T$65:$X$85,2,0)*Model0.1C!CJ221)/1.1</f>
        <v>#N/A</v>
      </c>
      <c r="CL221" s="102" t="e">
        <f>(VLOOKUP($B$3,'Coeff EC7'!$T$39:$X$59,3,0)*CI221+VLOOKUP($B$3,'Coeff EC7'!$T$65:$X$85,3,0)*Model0.1C!CJ221)/0.9</f>
        <v>#N/A</v>
      </c>
      <c r="CM221" s="102" t="e">
        <f t="shared" si="382"/>
        <v>#N/A</v>
      </c>
      <c r="CN221" s="102" t="e">
        <f t="shared" si="383"/>
        <v>#N/A</v>
      </c>
      <c r="CO221" s="414" t="e">
        <f>IF(CO220=0,0,IF(AND(CK221&gt;charge_ELS_quasi,CL221&gt;Charge_ELS_freq,CM221&gt;charge_ELU,CN221&gt;charge_ELA,$B221&gt;NDC!$H$22-0.1+MIN(3*$CO$12,1.5)),0,1))</f>
        <v>#N/A</v>
      </c>
      <c r="CP221" s="86" t="b">
        <f t="shared" si="351"/>
        <v>0</v>
      </c>
      <c r="CQ221" s="86">
        <f t="shared" si="352"/>
        <v>0.5</v>
      </c>
      <c r="CR221" s="86">
        <f t="shared" si="353"/>
        <v>0.5</v>
      </c>
      <c r="CS221" s="30" t="e">
        <f t="shared" ca="1" si="384"/>
        <v>#DIV/0!</v>
      </c>
      <c r="CT221" s="85" t="e">
        <f ca="1">IF(BZ221&lt;=Hypothèses!$V$7,Hypothèses!$W$7,IF(BZ221&lt;=Hypothèses!$V$8,Hypothèses!$W$8,IF(BZ221&lt;=Hypothèses!$V$9,Hypothèses!$W$9,IF(BZ221&lt;=Hypothèses!$V$10,Hypothèses!$W$10,IF(BZ221&lt;=Hypothèses!$V$11,Hypothèses!$W$11,IF(BZ221&lt;=Hypothèses!$V$12,Hypothèses!$W$12,IF(BZ221&lt;=Hypothèses!$V$13,Hypothèses!$W$13,IF(BZ221&lt;=Hypothèses!$V$14,Hypothèses!$W$14,IF(BZ221&lt;=Hypothèses!$V$15,Hypothèses!$W$15,IF(BZ221&lt;=Hypothèses!$V$16,Hypothèses!$W$16,IF(BZ221&lt;=Hypothèses!$V$17,Hypothèses!$W$17,IF(BZ221&lt;=Hypothèses!$V$18,Hypothèses!$W$18,""))))))))))))</f>
        <v>#DIV/0!</v>
      </c>
      <c r="CU221" s="87" t="e">
        <f t="shared" ca="1" si="420"/>
        <v>#DIV/0!</v>
      </c>
      <c r="CV221" s="88" t="e">
        <f ca="1">IF(BZ221&lt;=Hypothèses!$V$7,Hypothèses!$X$7,IF(BZ221&lt;=Hypothèses!$V$8,Hypothèses!$X$8,IF(BZ221&lt;=Hypothèses!$V$9,Hypothèses!$X$9,IF(BZ221&lt;=Hypothèses!$V$10,Hypothèses!$X$10,IF(BZ221&lt;=Hypothèses!$V$11,Hypothèses!$X$11,IF(BZ221&lt;=Hypothèses!$V$12,Hypothèses!$X$12,IF(BZ221&lt;=Hypothèses!$V$13,Hypothèses!$X$13,IF(BZ221&lt;=Hypothèses!$V$14,Hypothèses!$X$14,IF(BZ221&lt;=Hypothèses!$V$15,Hypothèses!$X$15,IF(BZ221&lt;=Hypothèses!$V$16,Hypothèses!$X$16,IF(BZ221&lt;=Hypothèses!$U$17,Hypothèses!$W$17,IF(BZ221&lt;=Hypothèses!$U$18,Hypothèses!$W$18,""))))))))))))</f>
        <v>#DIV/0!</v>
      </c>
      <c r="CW221" s="95" t="e">
        <f t="shared" ca="1" si="385"/>
        <v>#DIV/0!</v>
      </c>
      <c r="CX221" s="101" t="e">
        <f t="shared" si="427"/>
        <v>#N/A</v>
      </c>
      <c r="CY221" s="91" t="e">
        <f t="shared" si="354"/>
        <v>#N/A</v>
      </c>
      <c r="CZ221" s="30" t="e">
        <f t="shared" si="408"/>
        <v>#N/A</v>
      </c>
      <c r="DA221" s="30" t="e">
        <f t="shared" si="409"/>
        <v>#N/A</v>
      </c>
      <c r="DB221" s="31" t="e">
        <f>IF(OR(Hypothèses!$B$4=17,Hypothèses!$B$4=18,Hypothèses!$B$4=19,Hypothèses!$B$4=20),
IF($D221="Pressio.",
IF(OR($E221=3,$E221=1,$E221=4),DA221,CZ221),
IF($D221="Pénétro.",
IF(OR($E221=3,$E221=1,$E221=4),DA221,CZ221))),IF($D221="Pressio.",
IF($E221=3,DA221,CZ221),
IF($D221="Pénétro.",
IF($E221=4,DA221,CZ221))))</f>
        <v>#N/A</v>
      </c>
      <c r="DC221" s="31" t="e">
        <f>(IF(OR(Hypothèses!$B$4=17,Hypothèses!$B$4=18,Hypothèses!$B$4=19,Hypothèses!$B$4=20),
IF($D221="Pressio.",
IF(OR($E221=3,$E221=1,$E221=4),(PI()*DC$12^2)/4*(CY221*$W221*1000)/($H221*$B$5),(PI()*DC$12^2)/4*(CY221*$W221*1000)/($G221*$B$5)),
IF($D221="Pénétro.",
IF(OR($E221=4,$E221=1,$E221=5),(PI()*DC$12^2)/4*(CY221*$W221*1000)/($H221*$B$5),(PI()*DC$12^2)/4*(CY221*$W221*1000)/($G221*$B$5)))),
IF($D221="Pressio.",
IF($E221=3,(PI()*DC$12^2)/4*(CY221*$W221*1000)/($H221*$B$5),(PI()*DC$12^2)/4*(CY221*$W221*1000)/($G221*$B$5)),
IF($D221="Pénétro.",
IF($E221=4,(PI()*DC$12^2)/4*(CY221*$W221*1000)/($H221*$B$5),(PI()*DC$12^2)/4*(CY221*$W221*1000)/($G221*$B$5))))))/10</f>
        <v>#N/A</v>
      </c>
      <c r="DD221" s="102" t="e">
        <f>(VLOOKUP($B$3,'Coeff EC7'!$T$39:$X$59,2,0)*DB221+VLOOKUP($B$3,'Coeff EC7'!$T$65:$X$85,2,0)*Model0.1C!DC221)/1.1</f>
        <v>#N/A</v>
      </c>
      <c r="DE221" s="102" t="e">
        <f>(VLOOKUP($B$3,'Coeff EC7'!$T$39:$X$59,3,0)*DB221+VLOOKUP($B$3,'Coeff EC7'!$T$65:$X$85,3,0)*Model0.1C!DC221)/0.9</f>
        <v>#N/A</v>
      </c>
      <c r="DF221" s="102" t="e">
        <f t="shared" si="386"/>
        <v>#N/A</v>
      </c>
      <c r="DG221" s="102" t="e">
        <f t="shared" si="387"/>
        <v>#N/A</v>
      </c>
      <c r="DH221" s="414" t="e">
        <f>IF(DH220=0,0,IF(AND(DD221&gt;charge_ELS_quasi,DE221&gt;Charge_ELS_freq,DF221&gt;charge_ELU,DG221&gt;charge_ELA,$B221&gt;NDC!$H$22-0.1+MIN(3*$DH$12,1.5)),0,1))</f>
        <v>#N/A</v>
      </c>
      <c r="DI221" s="86" t="b">
        <f t="shared" si="355"/>
        <v>0</v>
      </c>
      <c r="DJ221" s="86">
        <f t="shared" si="356"/>
        <v>0.5</v>
      </c>
      <c r="DK221" s="86">
        <f t="shared" si="357"/>
        <v>0.5</v>
      </c>
      <c r="DL221" s="30" t="e">
        <f t="shared" ca="1" si="388"/>
        <v>#DIV/0!</v>
      </c>
      <c r="DM221" s="85" t="e">
        <f ca="1">IF(CS221&lt;=Hypothèses!$V$7,Hypothèses!$W$7,IF(CS221&lt;=Hypothèses!$V$8,Hypothèses!$W$8,IF(CS221&lt;=Hypothèses!$V$9,Hypothèses!$W$9,IF(CS221&lt;=Hypothèses!$V$10,Hypothèses!$W$10,IF(CS221&lt;=Hypothèses!$V$11,Hypothèses!$W$11,IF(CS221&lt;=Hypothèses!$V$12,Hypothèses!$W$12,IF(CS221&lt;=Hypothèses!$V$13,Hypothèses!$W$13,IF(CS221&lt;=Hypothèses!$V$14,Hypothèses!$W$14,IF(CS221&lt;=Hypothèses!$V$15,Hypothèses!$W$15,IF(CS221&lt;=Hypothèses!$V$16,Hypothèses!$W$16,IF(CS221&lt;=Hypothèses!$V$17,Hypothèses!$W$17,IF(CS221&lt;=Hypothèses!$V$18,Hypothèses!$W$18,""))))))))))))</f>
        <v>#DIV/0!</v>
      </c>
      <c r="DN221" s="87" t="e">
        <f t="shared" ca="1" si="421"/>
        <v>#DIV/0!</v>
      </c>
      <c r="DO221" s="88" t="e">
        <f ca="1">IF(CS221&lt;=Hypothèses!$V$7,Hypothèses!$X$7,IF(CS221&lt;=Hypothèses!$V$8,Hypothèses!$X$8,IF(CS221&lt;=Hypothèses!$V$9,Hypothèses!$X$9,IF(CS221&lt;=Hypothèses!$V$10,Hypothèses!$X$10,IF(CS221&lt;=Hypothèses!$V$11,Hypothèses!$X$11,IF(CS221&lt;=Hypothèses!$V$12,Hypothèses!$X$12,IF(CS221&lt;=Hypothèses!$V$13,Hypothèses!$X$13,IF(CS221&lt;=Hypothèses!$V$14,Hypothèses!$X$14,IF(CS221&lt;=Hypothèses!$V$15,Hypothèses!$X$15,IF(CS221&lt;=Hypothèses!$V$16,Hypothèses!$X$16,IF(CS221&lt;=Hypothèses!$U$17,Hypothèses!$W$17,IF(CS221&lt;=Hypothèses!$U$18,Hypothèses!$W$18,""))))))))))))</f>
        <v>#DIV/0!</v>
      </c>
      <c r="DP221" s="95" t="e">
        <f t="shared" ca="1" si="389"/>
        <v>#DIV/0!</v>
      </c>
      <c r="DQ221" s="101" t="e">
        <f t="shared" si="428"/>
        <v>#N/A</v>
      </c>
      <c r="DR221" s="91" t="e">
        <f t="shared" si="358"/>
        <v>#N/A</v>
      </c>
      <c r="DS221" s="30" t="e">
        <f t="shared" si="410"/>
        <v>#N/A</v>
      </c>
      <c r="DT221" s="30" t="e">
        <f t="shared" si="411"/>
        <v>#N/A</v>
      </c>
      <c r="DU221" s="31" t="e">
        <f>IF(OR(Hypothèses!$B$4=17,Hypothèses!$B$4=18,Hypothèses!$B$4=19,Hypothèses!$B$4=20),
IF($D221="Pressio.",
IF(OR($E221=3,$E221=1,$E221=4),DT221,DS221),
IF($D221="Pénétro.",
IF(OR($E221=3,$E221=1,$E221=4),DT221,DS221))),IF($D221="Pressio.",
IF($E221=3,DT221,DS221),
IF($D221="Pénétro.",
IF($E221=4,DT221,DS221))))</f>
        <v>#N/A</v>
      </c>
      <c r="DV221" s="31" t="e">
        <f>(IF(OR(Hypothèses!$B$4=17,Hypothèses!$B$4=18,Hypothèses!$B$4=19,Hypothèses!$B$4=20),
IF($D221="Pressio.",
IF(OR($E221=3,$E221=1,$E221=4),(PI()*DV$12^2)/4*(DR221*$W221*1000)/($H221*$B$5),(PI()*DV$12^2)/4*(DR221*$W221*1000)/($G221*$B$5)),
IF($D221="Pénétro.",
IF(OR($E221=4,$E221=1,$E221=5),(PI()*DV$12^2)/4*(DR221*$W221*1000)/($H221*$B$5),(PI()*DV$12^2)/4*(DR221*$W221*1000)/($G221*$B$5)))),
IF($D221="Pressio.",
IF($E221=3,(PI()*DV$12^2)/4*(DR221*$W221*1000)/($H221*$B$5),(PI()*DV$12^2)/4*(DR221*$W221*1000)/($G221*$B$5)),
IF($D221="Pénétro.",
IF($E221=4,(PI()*DV$12^2)/4*(DR221*$W221*1000)/($H221*$B$5),(PI()*DV$12^2)/4*(DR221*$W221*1000)/($G221*$B$5))))))/10</f>
        <v>#N/A</v>
      </c>
      <c r="DW221" s="102" t="e">
        <f>(VLOOKUP($B$3,'Coeff EC7'!$T$39:$X$59,2,0)*DU221+VLOOKUP($B$3,'Coeff EC7'!$T$65:$X$85,2,0)*Model0.1C!DV221)/1.1</f>
        <v>#N/A</v>
      </c>
      <c r="DX221" s="102" t="e">
        <f>(VLOOKUP($B$3,'Coeff EC7'!$T$39:$X$59,3,0)*DU221+VLOOKUP($B$3,'Coeff EC7'!$T$65:$X$85,3,0)*Model0.1C!DV221)/0.9</f>
        <v>#N/A</v>
      </c>
      <c r="DY221" s="102" t="e">
        <f t="shared" si="390"/>
        <v>#N/A</v>
      </c>
      <c r="DZ221" s="102" t="e">
        <f t="shared" si="391"/>
        <v>#N/A</v>
      </c>
      <c r="EA221" s="414" t="e">
        <f>IF(EA220=0,0,IF(AND(DW221&gt;charge_ELS_quasi,DX221&gt;Charge_ELS_freq,DY221&gt;charge_ELU,DZ221&gt;charge_ELA,$B221&gt;NDC!$H$22-0.1+MIN(3*$EA$12,1.5)),0,1))</f>
        <v>#N/A</v>
      </c>
      <c r="EB221" s="86" t="b">
        <f t="shared" si="359"/>
        <v>0</v>
      </c>
      <c r="EC221" s="418">
        <f t="shared" si="360"/>
        <v>0.51</v>
      </c>
      <c r="ED221" s="86">
        <f t="shared" si="361"/>
        <v>0.51</v>
      </c>
      <c r="EE221" s="30" t="e">
        <f t="shared" ca="1" si="392"/>
        <v>#DIV/0!</v>
      </c>
      <c r="EF221" s="85" t="e">
        <f ca="1">IF(DL221&lt;=Hypothèses!$V$7,Hypothèses!$W$7,IF(DL221&lt;=Hypothèses!$V$8,Hypothèses!$W$8,IF(DL221&lt;=Hypothèses!$V$9,Hypothèses!$W$9,IF(DL221&lt;=Hypothèses!$V$10,Hypothèses!$W$10,IF(DL221&lt;=Hypothèses!$V$11,Hypothèses!$W$11,IF(DL221&lt;=Hypothèses!$V$12,Hypothèses!$W$12,IF(DL221&lt;=Hypothèses!$V$13,Hypothèses!$W$13,IF(DL221&lt;=Hypothèses!$V$14,Hypothèses!$W$14,IF(DL221&lt;=Hypothèses!$V$15,Hypothèses!$W$15,IF(DL221&lt;=Hypothèses!$V$16,Hypothèses!$W$16,IF(DL221&lt;=Hypothèses!$V$17,Hypothèses!$W$17,IF(DL221&lt;=Hypothèses!$V$18,Hypothèses!$W$18,""))))))))))))</f>
        <v>#DIV/0!</v>
      </c>
      <c r="EG221" s="87" t="e">
        <f t="shared" ca="1" si="422"/>
        <v>#DIV/0!</v>
      </c>
      <c r="EH221" s="88" t="e">
        <f ca="1">IF(DL221&lt;=Hypothèses!$V$7,Hypothèses!$X$7,IF(DL221&lt;=Hypothèses!$V$8,Hypothèses!$X$8,IF(DL221&lt;=Hypothèses!$V$9,Hypothèses!$X$9,IF(DL221&lt;=Hypothèses!$V$10,Hypothèses!$X$10,IF(DL221&lt;=Hypothèses!$V$11,Hypothèses!$X$11,IF(DL221&lt;=Hypothèses!$V$12,Hypothèses!$X$12,IF(DL221&lt;=Hypothèses!$V$13,Hypothèses!$X$13,IF(DL221&lt;=Hypothèses!$V$14,Hypothèses!$X$14,IF(DL221&lt;=Hypothèses!$V$15,Hypothèses!$X$15,IF(DL221&lt;=Hypothèses!$V$16,Hypothèses!$X$16,IF(DL221&lt;=Hypothèses!$U$17,Hypothèses!$W$17,IF(DL221&lt;=Hypothèses!$U$18,Hypothèses!$W$18,""))))))))))))</f>
        <v>#DIV/0!</v>
      </c>
      <c r="EI221" s="95" t="e">
        <f t="shared" ca="1" si="393"/>
        <v>#DIV/0!</v>
      </c>
      <c r="EJ221" s="101" t="e">
        <f t="shared" si="429"/>
        <v>#N/A</v>
      </c>
      <c r="EK221" s="91" t="e">
        <f t="shared" si="362"/>
        <v>#N/A</v>
      </c>
      <c r="EL221" s="30" t="e">
        <f t="shared" si="412"/>
        <v>#N/A</v>
      </c>
      <c r="EM221" s="30" t="e">
        <f t="shared" si="413"/>
        <v>#N/A</v>
      </c>
      <c r="EN221" s="31" t="e">
        <f>IF(OR(Hypothèses!$B$4=17,Hypothèses!$B$4=18,Hypothèses!$B$4=19,Hypothèses!$B$4=20),
IF($D221="Pressio.",
IF(OR($E221=3,$E221=1,$E221=4),EM221,EL221),
IF($D221="Pénétro.",
IF(OR($E221=3,$E221=1,$E221=4),EM221,EL221))),IF($D221="Pressio.",
IF($E221=3,EM221,EL221),
IF($D221="Pénétro.",
IF($E221=4,EM221,EL221))))</f>
        <v>#N/A</v>
      </c>
      <c r="EO221" s="31" t="e">
        <f>(IF(OR(Hypothèses!$B$4=17,Hypothèses!$B$4=18,Hypothèses!$B$4=19,Hypothèses!$B$4=20),
IF($D221="Pressio.",
IF(OR($E221=3,$E221=1,$E221=4),(PI()*EO$12^2)/4*(EK221*$W221*1000)/($H221*$B$5),(PI()*EO$12^2)/4*(EK221*$W221*1000)/($G221*$B$5)),
IF($D221="Pénétro.",
IF(OR($E221=4,$E221=1,$E221=5),(PI()*EO$12^2)/4*(EK221*$W221*1000)/($H221*$B$5),(PI()*EO$12^2)/4*(EK221*$W221*1000)/($G221*$B$5)))),
IF($D221="Pressio.",
IF($E221=3,(PI()*EO$12^2)/4*(EK221*$W221*1000)/($H221*$B$5),(PI()*EO$12^2)/4*(EK221*$W221*1000)/($G221*$B$5)),
IF($D221="Pénétro.",
IF($E221=4,(PI()*EO$12^2)/4*(EK221*$W221*1000)/($H221*$B$5),(PI()*EO$12^2)/4*(EK221*$W221*1000)/($G221*$B$5))))))/10</f>
        <v>#N/A</v>
      </c>
      <c r="EP221" s="102" t="e">
        <f>(VLOOKUP($B$3,'Coeff EC7'!$T$39:$X$59,2,0)*EN221+VLOOKUP($B$3,'Coeff EC7'!$T$65:$X$85,2,0)*Model0.1C!EO221)/1.1</f>
        <v>#N/A</v>
      </c>
      <c r="EQ221" s="102" t="e">
        <f>(VLOOKUP($B$3,'Coeff EC7'!$T$39:$X$59,3,0)*EN221+VLOOKUP($B$3,'Coeff EC7'!$T$65:$X$85,3,0)*Model0.1C!EO221)/0.9</f>
        <v>#N/A</v>
      </c>
      <c r="ER221" s="102" t="e">
        <f t="shared" si="394"/>
        <v>#N/A</v>
      </c>
      <c r="ES221" s="102" t="e">
        <f t="shared" si="395"/>
        <v>#N/A</v>
      </c>
      <c r="ET221" s="414" t="e">
        <f>IF(ET220=0,0,IF(AND(EP221&gt;charge_ELS_quasi,EQ221&gt;Charge_ELS_freq,ER221&gt;charge_ELU,ES221&gt;charge_ELA,$B221&gt;NDC!$H$22-0.1+MIN(3*$ET$12,1.5)),0,1))</f>
        <v>#N/A</v>
      </c>
      <c r="EU221" s="86" t="b">
        <f t="shared" si="363"/>
        <v>0</v>
      </c>
      <c r="EV221" s="86">
        <f t="shared" si="364"/>
        <v>0.61</v>
      </c>
      <c r="EW221" s="86">
        <f t="shared" si="365"/>
        <v>0.61</v>
      </c>
      <c r="EX221" s="30" t="e">
        <f t="shared" ca="1" si="396"/>
        <v>#DIV/0!</v>
      </c>
      <c r="EY221" s="85" t="e">
        <f ca="1">IF(EE221&lt;=Hypothèses!$V$7,Hypothèses!$W$7,IF(EE221&lt;=Hypothèses!$V$8,Hypothèses!$W$8,IF(EE221&lt;=Hypothèses!$V$9,Hypothèses!$W$9,IF(EE221&lt;=Hypothèses!$V$10,Hypothèses!$W$10,IF(EE221&lt;=Hypothèses!$V$11,Hypothèses!$W$11,IF(EE221&lt;=Hypothèses!$V$12,Hypothèses!$W$12,IF(EE221&lt;=Hypothèses!$V$13,Hypothèses!$W$13,IF(EE221&lt;=Hypothèses!$V$14,Hypothèses!$W$14,IF(EE221&lt;=Hypothèses!$V$15,Hypothèses!$W$15,IF(EE221&lt;=Hypothèses!$V$16,Hypothèses!$W$16,IF(EE221&lt;=Hypothèses!$V$17,Hypothèses!$W$17,IF(EE221&lt;=Hypothèses!$V$18,Hypothèses!$W$18,""))))))))))))</f>
        <v>#DIV/0!</v>
      </c>
      <c r="EZ221" s="87" t="e">
        <f t="shared" ca="1" si="423"/>
        <v>#DIV/0!</v>
      </c>
      <c r="FA221" s="88" t="e">
        <f ca="1">IF(EE221&lt;=Hypothèses!$V$7,Hypothèses!$X$7,IF(EE221&lt;=Hypothèses!$V$8,Hypothèses!$X$8,IF(EE221&lt;=Hypothèses!$V$9,Hypothèses!$X$9,IF(EE221&lt;=Hypothèses!$V$10,Hypothèses!$X$10,IF(EE221&lt;=Hypothèses!$V$11,Hypothèses!$X$11,IF(EE221&lt;=Hypothèses!$V$12,Hypothèses!$X$12,IF(EE221&lt;=Hypothèses!$V$13,Hypothèses!$X$13,IF(EE221&lt;=Hypothèses!$V$14,Hypothèses!$X$14,IF(EE221&lt;=Hypothèses!$V$15,Hypothèses!$X$15,IF(EE221&lt;=Hypothèses!$V$16,Hypothèses!$X$16,IF(EE221&lt;=Hypothèses!$U$17,Hypothèses!$W$17,IF(EE221&lt;=Hypothèses!$U$18,Hypothèses!$W$18,""))))))))))))</f>
        <v>#DIV/0!</v>
      </c>
      <c r="FB221" s="95" t="e">
        <f t="shared" ca="1" si="397"/>
        <v>#DIV/0!</v>
      </c>
      <c r="FC221" s="101" t="e">
        <f t="shared" si="430"/>
        <v>#N/A</v>
      </c>
      <c r="FD221" s="91" t="e">
        <f t="shared" si="366"/>
        <v>#N/A</v>
      </c>
      <c r="FE221" s="30" t="e">
        <f t="shared" si="414"/>
        <v>#N/A</v>
      </c>
      <c r="FF221" s="30" t="e">
        <f t="shared" si="415"/>
        <v>#N/A</v>
      </c>
      <c r="FG221" s="31" t="e">
        <f>IF(OR(Hypothèses!$B$4=17,Hypothèses!$B$4=18,Hypothèses!$B$4=19,Hypothèses!$B$4=20),
IF($D221="Pressio.",
IF(OR($E221=3,$E221=1,$E221=4),FF221,FE221),
IF($D221="Pénétro.",
IF(OR($E221=3,$E221=1,$E221=4),FF221,FE221))),IF($D221="Pressio.",
IF($E221=3,FF221,FE221),
IF($D221="Pénétro.",
IF($E221=4,FF221,FE221))))</f>
        <v>#N/A</v>
      </c>
      <c r="FH221" s="31" t="e">
        <f>(IF(OR(Hypothèses!$B$4=17,Hypothèses!$B$4=18,Hypothèses!$B$4=19,Hypothèses!$B$4=20),
IF($D221="Pressio.",
IF(OR($E221=3,$E221=1,$E221=4),(PI()*FH$12^2)/4*(FD221*$W221*1000)/($H221*$B$5),(PI()*FH$12^2)/4*(FD221*$W221*1000)/($G221*$B$5)),
IF($D221="Pénétro.",
IF(OR($E221=4,$E221=1,$E221=5),(PI()*FH$12^2)/4*(FD221*$W221*1000)/($H221*$B$5),(PI()*FH$12^2)/4*(FD221*$W221*1000)/($G221*$B$5)))),
IF($D221="Pressio.",
IF($E221=3,(PI()*FH$12^2)/4*(FD221*$W221*1000)/($H221*$B$5),(PI()*FH$12^2)/4*(FD221*$W221*1000)/($G221*$B$5)),
IF($D221="Pénétro.",
IF($E221=4,(PI()*FH$12^2)/4*(FD221*$W221*1000)/($H221*$B$5),(PI()*FH$12^2)/4*(FD221*$W221*1000)/($G221*$B$5))))))/10</f>
        <v>#N/A</v>
      </c>
      <c r="FI221" s="102" t="e">
        <f>(VLOOKUP($B$3,'Coeff EC7'!$T$39:$X$59,2,0)*FG221+VLOOKUP($B$3,'Coeff EC7'!$T$65:$X$85,2,0)*Model0.1C!FH221)/1.1</f>
        <v>#N/A</v>
      </c>
      <c r="FJ221" s="102" t="e">
        <f>(VLOOKUP($B$3,'Coeff EC7'!$T$39:$X$59,3,0)*FG221+VLOOKUP($B$3,'Coeff EC7'!$T$65:$X$85,3,0)*Model0.1C!FH221)/0.9</f>
        <v>#N/A</v>
      </c>
      <c r="FK221" s="102" t="e">
        <f t="shared" si="398"/>
        <v>#N/A</v>
      </c>
      <c r="FL221" s="102" t="e">
        <f t="shared" si="399"/>
        <v>#N/A</v>
      </c>
      <c r="FM221" s="414" t="e">
        <f>IF(FM220=0,0,IF(AND(FI221&gt;charge_ELS_quasi,FJ221&gt;Charge_ELS_freq,FK221&gt;charge_ELU,FL221&gt;charge_ELA,$B221&gt;NDC!$H$22-0.1+MIN(3*$FM$12,1.5)),0,1))</f>
        <v>#N/A</v>
      </c>
    </row>
    <row r="222" spans="1:169">
      <c r="A222" s="96">
        <f t="shared" si="367"/>
        <v>79.100000000001188</v>
      </c>
      <c r="B222" s="97">
        <v>20.9</v>
      </c>
      <c r="C222" s="81">
        <f>IF(B222&lt;=Hypothèses!$C$7,Hypothèses!$A$7,IF(B222&lt;=Hypothèses!$C$8,Hypothèses!$A$8,IF(B222&lt;=Hypothèses!$C$9,Hypothèses!$A$9,IF(B222&lt;=Hypothèses!$C$10,Hypothèses!$A$10,IF(B222&lt;=Hypothèses!$C$11,Hypothèses!$A$11,IF(B222&lt;=Hypothèses!$C$12,Hypothèses!$A$12,IF(B222&lt;=Hypothèses!$C$13,Hypothèses!$A$13,IF(B222&lt;=Hypothèses!$C$14,Hypothèses!$A$14,IF(B222&lt;=Hypothèses!$C$15,Hypothèses!$A$15,IF(B222&lt;=Hypothèses!$C$16,Hypothèses!$A$16,IF(B222&lt;=Hypothèses!$C$17,Hypothèses!$A$17,IF(B222&lt;=Hypothèses!$C$18,Hypothèses!$A$18,C221))))))))))))</f>
        <v>11</v>
      </c>
      <c r="D222" s="82" t="str">
        <f>IF(B222&lt;=Hypothèses!$C$7,Hypothèses!$R$7,IF(B222&lt;=Hypothèses!$C$8,Hypothèses!$R$8,IF(B222&lt;=Hypothèses!$C$9,Hypothèses!$R$9,IF(B222&lt;=Hypothèses!$C$10,Hypothèses!$R$10,IF(B222&lt;=Hypothèses!$C$11,Hypothèses!$R$11,IF(B222&lt;=Hypothèses!$C$12,Hypothèses!$R$12,IF(B222&lt;=Hypothèses!$C$13,Hypothèses!$R$13,IF(B222&lt;=Hypothèses!$C$14,Hypothèses!$R$14,IF(B222&lt;=Hypothèses!$C$15,Hypothèses!$R$15,IF(B222&lt;=Hypothèses!$C$16,Hypothèses!$R$16,IF(B222&lt;=Hypothèses!$C$17,Hypothèses!$R$17,IF(B222&lt;=Hypothèses!$C$18,Hypothèses!$R$18,D221))))))))))))</f>
        <v>Pressio.</v>
      </c>
      <c r="E222" s="82" t="e">
        <f>IF(B222&lt;=Hypothèses!$C$7,Hypothèses!$G$7,IF(B222&lt;=Hypothèses!$C$8,Hypothèses!$G$8,IF(B222&lt;=Hypothèses!$C$9,Hypothèses!$G$9,IF(B222&lt;=Hypothèses!$C$10,Hypothèses!$G$10,IF(B222&lt;=Hypothèses!$C$11,Hypothèses!$G$11,IF(B222&lt;=Hypothèses!$C$12,Hypothèses!$G$12,IF(B222&lt;=Hypothèses!$C$13,Hypothèses!$G$13,IF(B222&lt;=Hypothèses!$C$14,Hypothèses!$G$14,IF(B222&lt;=Hypothèses!$C$15,Hypothèses!$G$15,IF(B222&lt;=Hypothèses!$C$16,Hypothèses!$G$16,IF(B222&lt;=Hypothèses!$C$17,Hypothèses!$G$17,IF(B222&lt;=Hypothèses!$C$18,Hypothèses!$G$18,E221))))))))))))</f>
        <v>#N/A</v>
      </c>
      <c r="F222" s="82" t="str">
        <f>IF(B222&lt;=Hypothèses!$C$7,Hypothèses!$F$7,IF(B222&lt;=Hypothèses!$C$8,Hypothèses!$F$8,IF(B222&lt;=Hypothèses!$C$9,Hypothèses!$F$9,IF(B222&lt;=Hypothèses!$C$10,Hypothèses!$F$10,IF(B222&lt;=Hypothèses!$C$11,Hypothèses!$F$11,IF(B222&lt;=Hypothèses!$C$12,Hypothèses!$F$12,IF(B222&lt;=Hypothèses!$C$13,Hypothèses!$F$13,IF(B222&lt;=Hypothèses!$C$14,Hypothèses!$F$14,IF(B222&lt;=Hypothèses!$C$15,Hypothèses!$F$15,IF(B222&lt;=Hypothèses!$C$16,Hypothèses!$F$16,IF(B222&lt;=Hypothèses!$C$17,Hypothèses!$F$17,IF(B222&lt;=Hypothèses!$C$18,Hypothèses!$F$18,F221))))))))))))</f>
        <v/>
      </c>
      <c r="G222" s="91">
        <f t="array" ref="G222">INDEX('Coeff EC7'!$U$7:$X$27,
MATCH(Model0.1C!$B$3,'Coeff EC7'!$T$7:$T$27,0),
MATCH(Model0.1C!$D222&amp;Model0.1C!$B$4,
'Coeff EC7'!$U$6:$X$6&amp;
'Coeff EC7'!$U$5:$X$5,0))</f>
        <v>1.1499999999999999</v>
      </c>
      <c r="H222" s="91">
        <f t="array" ref="H222">INDEX('Coeff EC7'!$Y$7:$AB$27,
MATCH(Model0.1C!$B$3,'Coeff EC7'!$T$7:$T$27,0),
MATCH(Model0.1C!$D222&amp;Model0.1C!$B$4,
'Coeff EC7'!$Y$6:$AB$6&amp;
'Coeff EC7'!$Y$5:$AB$5,0))</f>
        <v>1.4</v>
      </c>
      <c r="I222" s="83" t="e">
        <f>IF(B222&lt;=Hypothèses!$C$7,Hypothèses!$P$7,IF(B222&lt;=Hypothèses!$C$8,Hypothèses!$P$8,IF(B222&lt;=Hypothèses!$C$9,Hypothèses!$P$9,IF(B222&lt;=Hypothèses!$C$10,Hypothèses!$P$10,IF(B222&lt;=Hypothèses!$C$11,Hypothèses!$P$11,IF(B222&lt;=Hypothèses!$C$12,Hypothèses!$P$12,IF(B222&lt;=Hypothèses!$C$13,Hypothèses!$P$13,IF(B222&lt;=Hypothèses!$C$14,Hypothèses!$P$14,IF(B222&lt;=Hypothèses!$C$15,Hypothèses!$P$15,IF(B222&lt;=Hypothèses!$C$16,Hypothèses!$P$16,IF(B222&lt;=Hypothèses!$C$17,Hypothèses!$P$17,IF(B222&lt;=Hypothèses!$C$18,Hypothèses!$P$18,I221))))))))))))</f>
        <v>#N/A</v>
      </c>
      <c r="J222" s="91" t="e">
        <f t="array" ref="J222">INDEX('Coeff EC7'!$D$33:$Q$33,1,MATCH(D222&amp;E222,'Coeff EC7'!$D$31:$Q$31&amp;'Coeff EC7'!$D$32:$Q$32,0))</f>
        <v>#N/A</v>
      </c>
      <c r="K222" s="91" t="e">
        <f t="array" ref="K222">INDEX('Coeff EC7'!$D$34:$Q$34,1,MATCH(D222&amp;E222,'Coeff EC7'!$D$31:$Q$31&amp;'Coeff EC7'!$D$32:$Q$32,0))</f>
        <v>#N/A</v>
      </c>
      <c r="L222" s="91" t="e">
        <f t="array" ref="L222">INDEX('Coeff EC7'!$D$35:$Q$35,1,MATCH(D222&amp;E222,'Coeff EC7'!$D$31:$Q$31&amp;'Coeff EC7'!$D$32:$Q$32,0))</f>
        <v>#N/A</v>
      </c>
      <c r="M222" s="98" t="e">
        <f t="shared" si="331"/>
        <v>#N/A</v>
      </c>
      <c r="N222" s="99" t="e">
        <f t="array" ref="N222">INDEX('Coeff EC7'!$D$7:$Q$27,MATCH($B$3,'Coeff EC7'!$C$7:$C$27,0),MATCH(D222&amp;E222,'Coeff EC7'!$D$5:$Q$5&amp;'Coeff EC7'!$D$6:$Q$6,0))</f>
        <v>#N/A</v>
      </c>
      <c r="O222" s="99" t="e">
        <f t="array" ref="O222">INDEX('Coeff EC7'!$D$41:$Q$61,MATCH($B$3,'Coeff EC7'!$C$41:$C$61,0),MATCH(D222&amp;E222,'Coeff EC7'!$D$39:$Q$39&amp;'Coeff EC7'!$D$40:$Q$40,0))</f>
        <v>#N/A</v>
      </c>
      <c r="P222" s="30" t="e">
        <f t="shared" si="368"/>
        <v>#N/A</v>
      </c>
      <c r="Q222" s="100" t="e">
        <f t="shared" si="333"/>
        <v>#N/A</v>
      </c>
      <c r="R222" s="86" t="b">
        <f t="shared" si="334"/>
        <v>0</v>
      </c>
      <c r="S222" s="86">
        <f t="shared" si="332"/>
        <v>0.5</v>
      </c>
      <c r="T222" s="86">
        <f t="shared" si="335"/>
        <v>0.5</v>
      </c>
      <c r="U222" s="30" t="e">
        <f t="shared" ca="1" si="369"/>
        <v>#DIV/0!</v>
      </c>
      <c r="V222" s="85" t="str">
        <f>IF(B222&lt;=Hypothèses!$V$7,Hypothèses!$W$7,IF(B222&lt;=Hypothèses!$V$8,Hypothèses!$W$8,IF(B222&lt;=Hypothèses!$V$9,Hypothèses!$W$9,IF(B222&lt;=Hypothèses!$V$10,Hypothèses!$W$10,IF(B222&lt;=Hypothèses!$V$11,Hypothèses!$W$11,IF(B222&lt;=Hypothèses!$V$12,Hypothèses!$W$12,IF(B222&lt;=Hypothèses!$V$13,Hypothèses!$W$13,IF(B222&lt;=Hypothèses!$V$14,Hypothèses!$W$14,IF(B222&lt;=Hypothèses!$V$15,Hypothèses!$W$15,IF(B222&lt;=Hypothèses!$V$16,Hypothèses!$W$16,IF(B222&lt;=Hypothèses!$V$17,Hypothèses!$W$17,IF(B222&lt;=Hypothèses!$V$18,Hypothèses!$W$18,""))))))))))))</f>
        <v/>
      </c>
      <c r="W222" s="87" t="e">
        <f t="shared" ca="1" si="416"/>
        <v>#DIV/0!</v>
      </c>
      <c r="X222" s="88" t="str">
        <f>IF(B222&lt;=Hypothèses!$V$7,Hypothèses!$X$7,IF(B222&lt;=Hypothèses!$V$8,Hypothèses!$X$8,IF(B222&lt;=Hypothèses!$V$9,Hypothèses!$X$9,IF(B222&lt;=Hypothèses!$V$10,Hypothèses!$X$10,IF(B222&lt;=Hypothèses!$V$11,Hypothèses!$X$11,IF(B222&lt;=Hypothèses!$V$12,Hypothèses!$X$12,IF(B222&lt;=Hypothèses!$V$13,Hypothèses!$X$13,IF(B222&lt;=Hypothèses!$V$14,Hypothèses!$X$14,IF(B222&lt;=Hypothèses!$V$15,Hypothèses!$X$15,IF(B222&lt;=Hypothèses!$V$16,Hypothèses!$X$16,IF(B222&lt;=Hypothèses!$U$17,Hypothèses!$W$17,IF(B222&lt;=Hypothèses!$U$18,Hypothèses!$W$18,""))))))))))))</f>
        <v/>
      </c>
      <c r="Y222" s="95" t="e">
        <f t="shared" ca="1" si="336"/>
        <v>#DIV/0!</v>
      </c>
      <c r="Z222" s="101" t="e">
        <f t="shared" si="337"/>
        <v>#N/A</v>
      </c>
      <c r="AA222" s="91" t="e">
        <f t="shared" si="338"/>
        <v>#N/A</v>
      </c>
      <c r="AB222" s="30" t="e">
        <f t="shared" si="400"/>
        <v>#N/A</v>
      </c>
      <c r="AC222" s="30" t="e">
        <f t="shared" si="401"/>
        <v>#N/A</v>
      </c>
      <c r="AD222" s="31" t="e">
        <f>IF(OR(Hypothèses!$B$4=17,Hypothèses!$B$4=18,Hypothèses!$B$4=19,Hypothèses!$B$4=20),
IF($D222="Pressio.",
IF(OR($E222=3,$E222=1,$E222=4),AC222,AB222),
IF($D222="Pénétro.",
IF(OR($E222=3,$E222=1,$E222=4),AC222,AB222))),IF($D222="Pressio.",
IF($E222=3,AC222,AB222),
IF($D222="Pénétro.",
IF($E222=4,AC222,AB222))))</f>
        <v>#N/A</v>
      </c>
      <c r="AE222" s="31" t="e">
        <f>(IF(OR(Hypothèses!$B$4=17,Hypothèses!$B$4=18,Hypothèses!$B$4=19,Hypothèses!$B$4=20),
IF($D222="Pressio.",
IF(OR($E222=3,$E222=1,$E222=4),(PI()*AE$12^2)/4*(AA222*$W222*1000)/($H222*$B$5),(PI()*AE$12^2)/4*(AA222*$W222*1000)/($G222*$B$5)),
IF($D222="Pénétro.",
IF(OR($E222=4,$E222=1,$E222=5),(PI()*AE$12^2)/4*(AA222*$W222*1000)/($H222*$B$5),(PI()*AE$12^2)/4*(AA222*$W222*1000)/($G222*$B$5)))),
IF($D222="Pressio.",
IF($E222=3,(PI()*AE$12^2)/4*(AA222*$W222*1000)/($H222*$B$5),(PI()*AE$12^2)/4*(AA222*$W222*1000)/($G222*$B$5)),
IF($D222="Pénétro.",
IF($E222=4,(PI()*AE$12^2)/4*(AA222*$W222*1000)/($H222*$B$5),(PI()*AE$12^2)/4*(AA222*$W222*1000)/($G222*$B$5))))))/10</f>
        <v>#N/A</v>
      </c>
      <c r="AF222" s="102" t="e">
        <f>(VLOOKUP($B$3,'Coeff EC7'!$T$39:$X$59,2,0)*AD222+VLOOKUP($B$3,'Coeff EC7'!$T$65:$X$85,2,0)*Model0.1C!AE222)/1.1</f>
        <v>#N/A</v>
      </c>
      <c r="AG222" s="102" t="e">
        <f>(VLOOKUP($B$3,'Coeff EC7'!$T$39:$X$59,3,0)*AD222+VLOOKUP($B$3,'Coeff EC7'!$T$65:$X$85,3,0)*Model0.1C!AE222)/0.9</f>
        <v>#N/A</v>
      </c>
      <c r="AH222" s="102" t="e">
        <f t="shared" si="339"/>
        <v>#N/A</v>
      </c>
      <c r="AI222" s="102" t="e">
        <f t="shared" si="340"/>
        <v>#N/A</v>
      </c>
      <c r="AJ222" s="414" t="e">
        <f>IF(AJ221=0,0,IF(AND(AF222&gt;charge_ELS_quasi,AG222&gt;Charge_ELS_freq,AH222&gt;charge_ELU,AI222&gt;charge_ELA,$B222&gt;NDC!$H$22-0.1+MIN(3*$AJ$12,1.5)),0,1))</f>
        <v>#N/A</v>
      </c>
      <c r="AK222" s="86" t="b">
        <f t="shared" si="341"/>
        <v>0</v>
      </c>
      <c r="AL222" s="86">
        <f t="shared" si="370"/>
        <v>0.5</v>
      </c>
      <c r="AM222" s="86">
        <f t="shared" si="342"/>
        <v>0.5</v>
      </c>
      <c r="AN222" s="30" t="e">
        <f t="shared" ca="1" si="371"/>
        <v>#DIV/0!</v>
      </c>
      <c r="AO222" s="85" t="e">
        <f ca="1">IF(U222&lt;=Hypothèses!$V$7,Hypothèses!$W$7,IF(U222&lt;=Hypothèses!$V$8,Hypothèses!$W$8,IF(U222&lt;=Hypothèses!$V$9,Hypothèses!$W$9,IF(U222&lt;=Hypothèses!$V$10,Hypothèses!$W$10,IF(U222&lt;=Hypothèses!$V$11,Hypothèses!$W$11,IF(U222&lt;=Hypothèses!$V$12,Hypothèses!$W$12,IF(U222&lt;=Hypothèses!$V$13,Hypothèses!$W$13,IF(U222&lt;=Hypothèses!$V$14,Hypothèses!$W$14,IF(U222&lt;=Hypothèses!$V$15,Hypothèses!$W$15,IF(U222&lt;=Hypothèses!$V$16,Hypothèses!$W$16,IF(U222&lt;=Hypothèses!$V$17,Hypothèses!$W$17,IF(U222&lt;=Hypothèses!$V$18,Hypothèses!$W$18,""))))))))))))</f>
        <v>#DIV/0!</v>
      </c>
      <c r="AP222" s="87" t="e">
        <f t="shared" ca="1" si="417"/>
        <v>#DIV/0!</v>
      </c>
      <c r="AQ222" s="88" t="e">
        <f ca="1">IF(U222&lt;=Hypothèses!$V$7,Hypothèses!$X$7,IF(U222&lt;=Hypothèses!$V$8,Hypothèses!$X$8,IF(U222&lt;=Hypothèses!$V$9,Hypothèses!$X$9,IF(U222&lt;=Hypothèses!$V$10,Hypothèses!$X$10,IF(U222&lt;=Hypothèses!$V$11,Hypothèses!$X$11,IF(U222&lt;=Hypothèses!$V$12,Hypothèses!$X$12,IF(U222&lt;=Hypothèses!$V$13,Hypothèses!$X$13,IF(U222&lt;=Hypothèses!$V$14,Hypothèses!$X$14,IF(U222&lt;=Hypothèses!$V$15,Hypothèses!$X$15,IF(U222&lt;=Hypothèses!$V$16,Hypothèses!$X$16,IF(U222&lt;=Hypothèses!$U$17,Hypothèses!$W$17,IF(U222&lt;=Hypothèses!$U$18,Hypothèses!$W$18,""))))))))))))</f>
        <v>#DIV/0!</v>
      </c>
      <c r="AR222" s="95" t="e">
        <f t="shared" ca="1" si="372"/>
        <v>#DIV/0!</v>
      </c>
      <c r="AS222" s="101" t="e">
        <f t="shared" si="424"/>
        <v>#N/A</v>
      </c>
      <c r="AT222" s="91" t="e">
        <f t="shared" si="343"/>
        <v>#N/A</v>
      </c>
      <c r="AU222" s="30" t="e">
        <f t="shared" si="402"/>
        <v>#N/A</v>
      </c>
      <c r="AV222" s="30" t="e">
        <f t="shared" si="403"/>
        <v>#N/A</v>
      </c>
      <c r="AW222" s="31" t="e">
        <f>IF(OR(Hypothèses!$B$4=17,Hypothèses!$B$4=18,Hypothèses!$B$4=19,Hypothèses!$B$4=20),
IF($D222="Pressio.",
IF(OR($E222=3,$E222=1,$E222=4),AV222,AU222),
IF($D222="Pénétro.",
IF(OR($E222=3,$E222=1,$E222=4),AV222,AU222))),IF($D222="Pressio.",
IF($E222=3,AV222,AU222),
IF($D222="Pénétro.",
IF($E222=4,AV222,AU222))))</f>
        <v>#N/A</v>
      </c>
      <c r="AX222" s="31" t="e">
        <f>(IF(OR(Hypothèses!$B$4=17,Hypothèses!$B$4=18,Hypothèses!$B$4=19,Hypothèses!$B$4=20),
IF($D222="Pressio.",
IF(OR($E222=3,$E222=1,$E222=4),(PI()*AX$12^2)/4*(AT222*$W222*1000)/($H222*$B$5),(PI()*AX$12^2)/4*(AT222*$W222*1000)/($G222*$B$5)),
IF($D222="Pénétro.",
IF(OR($E222=4,$E222=1,$E222=5),(PI()*AX$12^2)/4*(AT222*$W222*1000)/($H222*$B$5),(PI()*AX$12^2)/4*(AT222*$W222*1000)/($G222*$B$5)))),
IF($D222="Pressio.",
IF($E222=3,(PI()*AX$12^2)/4*(AT222*$W222*1000)/($H222*$B$5),(PI()*AX$12^2)/4*(AT222*$W222*1000)/($G222*$B$5)),
IF($D222="Pénétro.",
IF($E222=4,(PI()*AX$12^2)/4*(AT222*$W222*1000)/($H222*$B$5),(PI()*AX$12^2)/4*(AT222*$W222*1000)/($G222*$B$5))))))/10</f>
        <v>#N/A</v>
      </c>
      <c r="AY222" s="102" t="e">
        <f>(VLOOKUP($B$3,'Coeff EC7'!$T$39:$X$59,2,0)*AW222+VLOOKUP($B$3,'Coeff EC7'!$T$65:$X$85,2,0)*Model0.1C!AX222)/1.1</f>
        <v>#N/A</v>
      </c>
      <c r="AZ222" s="102" t="e">
        <f>(VLOOKUP($B$3,'Coeff EC7'!$T$39:$X$59,3,0)*AW222+VLOOKUP($B$3,'Coeff EC7'!$T$65:$X$85,3,0)*Model0.1C!AX222)/0.9</f>
        <v>#N/A</v>
      </c>
      <c r="BA222" s="102" t="e">
        <f t="shared" si="373"/>
        <v>#N/A</v>
      </c>
      <c r="BB222" s="102" t="e">
        <f t="shared" si="374"/>
        <v>#N/A</v>
      </c>
      <c r="BC222" s="414" t="e">
        <f>IF(BC221=0,0,IF(AND(AY222&gt;charge_ELS_quasi,AZ222&gt;Charge_ELS_freq,BA222&gt;charge_ELU,BB222&gt;charge_ELA,$B222&gt;NDC!$H$22-0.1+MIN(3*$BC$12,1.5)),0,1))</f>
        <v>#N/A</v>
      </c>
      <c r="BD222" s="86" t="b">
        <f t="shared" si="344"/>
        <v>0</v>
      </c>
      <c r="BE222" s="86">
        <f t="shared" si="375"/>
        <v>0.5</v>
      </c>
      <c r="BF222" s="86">
        <f t="shared" si="345"/>
        <v>0.5</v>
      </c>
      <c r="BG222" s="30" t="e">
        <f t="shared" ca="1" si="376"/>
        <v>#DIV/0!</v>
      </c>
      <c r="BH222" s="85" t="e">
        <f ca="1">IF(AN222&lt;=Hypothèses!$V$7,Hypothèses!$W$7,IF(AN222&lt;=Hypothèses!$V$8,Hypothèses!$W$8,IF(AN222&lt;=Hypothèses!$V$9,Hypothèses!$W$9,IF(AN222&lt;=Hypothèses!$V$10,Hypothèses!$W$10,IF(AN222&lt;=Hypothèses!$V$11,Hypothèses!$W$11,IF(AN222&lt;=Hypothèses!$V$12,Hypothèses!$W$12,IF(AN222&lt;=Hypothèses!$V$13,Hypothèses!$W$13,IF(AN222&lt;=Hypothèses!$V$14,Hypothèses!$W$14,IF(AN222&lt;=Hypothèses!$V$15,Hypothèses!$W$15,IF(AN222&lt;=Hypothèses!$V$16,Hypothèses!$W$16,IF(AN222&lt;=Hypothèses!$V$17,Hypothèses!$W$17,IF(AN222&lt;=Hypothèses!$V$18,Hypothèses!$W$18,""))))))))))))</f>
        <v>#DIV/0!</v>
      </c>
      <c r="BI222" s="87" t="e">
        <f t="shared" ca="1" si="418"/>
        <v>#DIV/0!</v>
      </c>
      <c r="BJ222" s="88" t="e">
        <f ca="1">IF(AN222&lt;=Hypothèses!$V$7,Hypothèses!$X$7,IF(AN222&lt;=Hypothèses!$V$8,Hypothèses!$X$8,IF(AN222&lt;=Hypothèses!$V$9,Hypothèses!$X$9,IF(AN222&lt;=Hypothèses!$V$10,Hypothèses!$X$10,IF(AN222&lt;=Hypothèses!$V$11,Hypothèses!$X$11,IF(AN222&lt;=Hypothèses!$V$12,Hypothèses!$X$12,IF(AN222&lt;=Hypothèses!$V$13,Hypothèses!$X$13,IF(AN222&lt;=Hypothèses!$V$14,Hypothèses!$X$14,IF(AN222&lt;=Hypothèses!$V$15,Hypothèses!$X$15,IF(AN222&lt;=Hypothèses!$V$16,Hypothèses!$X$16,IF(AN222&lt;=Hypothèses!$U$17,Hypothèses!$W$17,IF(AN222&lt;=Hypothèses!$U$18,Hypothèses!$W$18,""))))))))))))</f>
        <v>#DIV/0!</v>
      </c>
      <c r="BK222" s="95" t="e">
        <f t="shared" ca="1" si="377"/>
        <v>#DIV/0!</v>
      </c>
      <c r="BL222" s="101" t="e">
        <f t="shared" si="425"/>
        <v>#N/A</v>
      </c>
      <c r="BM222" s="91" t="e">
        <f t="shared" si="346"/>
        <v>#N/A</v>
      </c>
      <c r="BN222" s="30" t="e">
        <f t="shared" si="404"/>
        <v>#N/A</v>
      </c>
      <c r="BO222" s="30" t="e">
        <f t="shared" si="405"/>
        <v>#N/A</v>
      </c>
      <c r="BP222" s="31" t="e">
        <f>IF(OR(Hypothèses!$B$4=17,Hypothèses!$B$4=18,Hypothèses!$B$4=19,Hypothèses!$B$4=20),
IF($D222="Pressio.",
IF(OR($E222=3,$E222=1,$E222=4),BO222,BN222),
IF($D222="Pénétro.",
IF(OR($E222=3,$E222=1,$E222=4),BO222,BN222))),IF($D222="Pressio.",
IF($E222=3,BO222,BN222),
IF($D222="Pénétro.",
IF($E222=4,BO222,BN222))))</f>
        <v>#N/A</v>
      </c>
      <c r="BQ222" s="31" t="e">
        <f>(IF(OR(Hypothèses!$B$4=17,Hypothèses!$B$4=18,Hypothèses!$B$4=19,Hypothèses!$B$4=20),
IF($D222="Pressio.",
IF(OR($E222=3,$E222=1,$E222=4),(PI()*BQ$12^2)/4*(BM222*$W222*1000)/($H222*$B$5),(PI()*BQ$12^2)/4*(BM222*$W222*1000)/($G222*$B$5)),
IF($D222="Pénétro.",
IF(OR($E222=4,$E222=1,$E222=5),(PI()*BQ$12^2)/4*(BM222*$W222*1000)/($H222*$B$5),(PI()*BQ$12^2)/4*(BM222*$W222*1000)/($G222*$B$5)))),
IF($D222="Pressio.",
IF($E222=3,(PI()*BQ$12^2)/4*(BM222*$W222*1000)/($H222*$B$5),(PI()*BQ$12^2)/4*(BM222*$W222*1000)/($G222*$B$5)),
IF($D222="Pénétro.",
IF($E222=4,(PI()*BQ$12^2)/4*(BM222*$W222*1000)/($H222*$B$5),(PI()*BQ$12^2)/4*(BM222*$W222*1000)/($G222*$B$5))))))/10</f>
        <v>#N/A</v>
      </c>
      <c r="BR222" s="102" t="e">
        <f>(VLOOKUP($B$3,'Coeff EC7'!$T$39:$X$59,2,0)*BP222+VLOOKUP($B$3,'Coeff EC7'!$T$65:$X$85,2,0)*Model0.1C!BQ222)/1.1</f>
        <v>#N/A</v>
      </c>
      <c r="BS222" s="102" t="e">
        <f>(VLOOKUP($B$3,'Coeff EC7'!$T$39:$X$59,3,0)*BP222+VLOOKUP($B$3,'Coeff EC7'!$T$65:$X$85,3,0)*Model0.1C!BQ222)/0.9</f>
        <v>#N/A</v>
      </c>
      <c r="BT222" s="102" t="e">
        <f t="shared" si="378"/>
        <v>#N/A</v>
      </c>
      <c r="BU222" s="102" t="e">
        <f t="shared" si="379"/>
        <v>#N/A</v>
      </c>
      <c r="BV222" s="414" t="e">
        <f>IF(BV221=0,0,IF(AND(BR222&gt;charge_ELS_quasi,BS222&gt;Charge_ELS_freq,BT222&gt;charge_ELU,BU222&gt;charge_ELA,$B222&gt;NDC!$H$22-0.1+MIN(3*$BV$12,1.5)),0,1))</f>
        <v>#N/A</v>
      </c>
      <c r="BW222" s="86" t="b">
        <f t="shared" si="347"/>
        <v>0</v>
      </c>
      <c r="BX222" s="86">
        <f t="shared" si="348"/>
        <v>0.5</v>
      </c>
      <c r="BY222" s="86">
        <f t="shared" si="349"/>
        <v>0.5</v>
      </c>
      <c r="BZ222" s="30" t="e">
        <f t="shared" ca="1" si="380"/>
        <v>#DIV/0!</v>
      </c>
      <c r="CA222" s="85" t="e">
        <f ca="1">IF(BG222&lt;=Hypothèses!$V$7,Hypothèses!$W$7,IF(BG222&lt;=Hypothèses!$V$8,Hypothèses!$W$8,IF(BG222&lt;=Hypothèses!$V$9,Hypothèses!$W$9,IF(BG222&lt;=Hypothèses!$V$10,Hypothèses!$W$10,IF(BG222&lt;=Hypothèses!$V$11,Hypothèses!$W$11,IF(BG222&lt;=Hypothèses!$V$12,Hypothèses!$W$12,IF(BG222&lt;=Hypothèses!$V$13,Hypothèses!$W$13,IF(BG222&lt;=Hypothèses!$V$14,Hypothèses!$W$14,IF(BG222&lt;=Hypothèses!$V$15,Hypothèses!$W$15,IF(BG222&lt;=Hypothèses!$V$16,Hypothèses!$W$16,IF(BG222&lt;=Hypothèses!$V$17,Hypothèses!$W$17,IF(BG222&lt;=Hypothèses!$V$18,Hypothèses!$W$18,""))))))))))))</f>
        <v>#DIV/0!</v>
      </c>
      <c r="CB222" s="87" t="e">
        <f t="shared" ca="1" si="419"/>
        <v>#DIV/0!</v>
      </c>
      <c r="CC222" s="88" t="e">
        <f ca="1">IF(BG222&lt;=Hypothèses!$V$7,Hypothèses!$X$7,IF(BG222&lt;=Hypothèses!$V$8,Hypothèses!$X$8,IF(BG222&lt;=Hypothèses!$V$9,Hypothèses!$X$9,IF(BG222&lt;=Hypothèses!$V$10,Hypothèses!$X$10,IF(BG222&lt;=Hypothèses!$V$11,Hypothèses!$X$11,IF(BG222&lt;=Hypothèses!$V$12,Hypothèses!$X$12,IF(BG222&lt;=Hypothèses!$V$13,Hypothèses!$X$13,IF(BG222&lt;=Hypothèses!$V$14,Hypothèses!$X$14,IF(BG222&lt;=Hypothèses!$V$15,Hypothèses!$X$15,IF(BG222&lt;=Hypothèses!$V$16,Hypothèses!$X$16,IF(BG222&lt;=Hypothèses!$U$17,Hypothèses!$W$17,IF(BG222&lt;=Hypothèses!$U$18,Hypothèses!$W$18,""))))))))))))</f>
        <v>#DIV/0!</v>
      </c>
      <c r="CD222" s="95" t="e">
        <f t="shared" ca="1" si="381"/>
        <v>#DIV/0!</v>
      </c>
      <c r="CE222" s="101" t="e">
        <f t="shared" si="426"/>
        <v>#N/A</v>
      </c>
      <c r="CF222" s="91" t="e">
        <f t="shared" si="350"/>
        <v>#N/A</v>
      </c>
      <c r="CG222" s="30" t="e">
        <f t="shared" si="406"/>
        <v>#N/A</v>
      </c>
      <c r="CH222" s="30" t="e">
        <f t="shared" si="407"/>
        <v>#N/A</v>
      </c>
      <c r="CI222" s="31" t="e">
        <f>IF(OR(Hypothèses!$B$4=17,Hypothèses!$B$4=18,Hypothèses!$B$4=19,Hypothèses!$B$4=20),
IF($D222="Pressio.",
IF(OR($E222=3,$E222=1,$E222=4),CH222,CG222),
IF($D222="Pénétro.",
IF(OR($E222=3,$E222=1,$E222=4),CH222,CG222))),IF($D222="Pressio.",
IF($E222=3,CH222,CG222),
IF($D222="Pénétro.",
IF($E222=4,CH222,CG222))))</f>
        <v>#N/A</v>
      </c>
      <c r="CJ222" s="31" t="e">
        <f>(IF(OR(Hypothèses!$B$4=17,Hypothèses!$B$4=18,Hypothèses!$B$4=19,Hypothèses!$B$4=20),
IF($D222="Pressio.",
IF(OR($E222=3,$E222=1,$E222=4),(PI()*CJ$12^2)/4*(CF222*$W222*1000)/($H222*$B$5),(PI()*CJ$12^2)/4*(CF222*$W222*1000)/($G222*$B$5)),
IF($D222="Pénétro.",
IF(OR($E222=4,$E222=1,$E222=5),(PI()*CJ$12^2)/4*(CF222*$W222*1000)/($H222*$B$5),(PI()*CJ$12^2)/4*(CF222*$W222*1000)/($G222*$B$5)))),
IF($D222="Pressio.",
IF($E222=3,(PI()*CJ$12^2)/4*(CF222*$W222*1000)/($H222*$B$5),(PI()*CJ$12^2)/4*(CF222*$W222*1000)/($G222*$B$5)),
IF($D222="Pénétro.",
IF($E222=4,(PI()*CJ$12^2)/4*(CF222*$W222*1000)/($H222*$B$5),(PI()*CJ$12^2)/4*(CF222*$W222*1000)/($G222*$B$5))))))/10</f>
        <v>#N/A</v>
      </c>
      <c r="CK222" s="102" t="e">
        <f>(VLOOKUP($B$3,'Coeff EC7'!$T$39:$X$59,2,0)*CI222+VLOOKUP($B$3,'Coeff EC7'!$T$65:$X$85,2,0)*Model0.1C!CJ222)/1.1</f>
        <v>#N/A</v>
      </c>
      <c r="CL222" s="102" t="e">
        <f>(VLOOKUP($B$3,'Coeff EC7'!$T$39:$X$59,3,0)*CI222+VLOOKUP($B$3,'Coeff EC7'!$T$65:$X$85,3,0)*Model0.1C!CJ222)/0.9</f>
        <v>#N/A</v>
      </c>
      <c r="CM222" s="102" t="e">
        <f t="shared" si="382"/>
        <v>#N/A</v>
      </c>
      <c r="CN222" s="102" t="e">
        <f t="shared" si="383"/>
        <v>#N/A</v>
      </c>
      <c r="CO222" s="414" t="e">
        <f>IF(CO221=0,0,IF(AND(CK222&gt;charge_ELS_quasi,CL222&gt;Charge_ELS_freq,CM222&gt;charge_ELU,CN222&gt;charge_ELA,$B222&gt;NDC!$H$22-0.1+MIN(3*$CO$12,1.5)),0,1))</f>
        <v>#N/A</v>
      </c>
      <c r="CP222" s="86" t="b">
        <f t="shared" si="351"/>
        <v>0</v>
      </c>
      <c r="CQ222" s="86">
        <f t="shared" si="352"/>
        <v>0.5</v>
      </c>
      <c r="CR222" s="86">
        <f t="shared" si="353"/>
        <v>0.5</v>
      </c>
      <c r="CS222" s="30" t="e">
        <f t="shared" ca="1" si="384"/>
        <v>#DIV/0!</v>
      </c>
      <c r="CT222" s="85" t="e">
        <f ca="1">IF(BZ222&lt;=Hypothèses!$V$7,Hypothèses!$W$7,IF(BZ222&lt;=Hypothèses!$V$8,Hypothèses!$W$8,IF(BZ222&lt;=Hypothèses!$V$9,Hypothèses!$W$9,IF(BZ222&lt;=Hypothèses!$V$10,Hypothèses!$W$10,IF(BZ222&lt;=Hypothèses!$V$11,Hypothèses!$W$11,IF(BZ222&lt;=Hypothèses!$V$12,Hypothèses!$W$12,IF(BZ222&lt;=Hypothèses!$V$13,Hypothèses!$W$13,IF(BZ222&lt;=Hypothèses!$V$14,Hypothèses!$W$14,IF(BZ222&lt;=Hypothèses!$V$15,Hypothèses!$W$15,IF(BZ222&lt;=Hypothèses!$V$16,Hypothèses!$W$16,IF(BZ222&lt;=Hypothèses!$V$17,Hypothèses!$W$17,IF(BZ222&lt;=Hypothèses!$V$18,Hypothèses!$W$18,""))))))))))))</f>
        <v>#DIV/0!</v>
      </c>
      <c r="CU222" s="87" t="e">
        <f t="shared" ca="1" si="420"/>
        <v>#DIV/0!</v>
      </c>
      <c r="CV222" s="88" t="e">
        <f ca="1">IF(BZ222&lt;=Hypothèses!$V$7,Hypothèses!$X$7,IF(BZ222&lt;=Hypothèses!$V$8,Hypothèses!$X$8,IF(BZ222&lt;=Hypothèses!$V$9,Hypothèses!$X$9,IF(BZ222&lt;=Hypothèses!$V$10,Hypothèses!$X$10,IF(BZ222&lt;=Hypothèses!$V$11,Hypothèses!$X$11,IF(BZ222&lt;=Hypothèses!$V$12,Hypothèses!$X$12,IF(BZ222&lt;=Hypothèses!$V$13,Hypothèses!$X$13,IF(BZ222&lt;=Hypothèses!$V$14,Hypothèses!$X$14,IF(BZ222&lt;=Hypothèses!$V$15,Hypothèses!$X$15,IF(BZ222&lt;=Hypothèses!$V$16,Hypothèses!$X$16,IF(BZ222&lt;=Hypothèses!$U$17,Hypothèses!$W$17,IF(BZ222&lt;=Hypothèses!$U$18,Hypothèses!$W$18,""))))))))))))</f>
        <v>#DIV/0!</v>
      </c>
      <c r="CW222" s="95" t="e">
        <f t="shared" ca="1" si="385"/>
        <v>#DIV/0!</v>
      </c>
      <c r="CX222" s="101" t="e">
        <f t="shared" si="427"/>
        <v>#N/A</v>
      </c>
      <c r="CY222" s="91" t="e">
        <f t="shared" si="354"/>
        <v>#N/A</v>
      </c>
      <c r="CZ222" s="30" t="e">
        <f t="shared" si="408"/>
        <v>#N/A</v>
      </c>
      <c r="DA222" s="30" t="e">
        <f t="shared" si="409"/>
        <v>#N/A</v>
      </c>
      <c r="DB222" s="31" t="e">
        <f>IF(OR(Hypothèses!$B$4=17,Hypothèses!$B$4=18,Hypothèses!$B$4=19,Hypothèses!$B$4=20),
IF($D222="Pressio.",
IF(OR($E222=3,$E222=1,$E222=4),DA222,CZ222),
IF($D222="Pénétro.",
IF(OR($E222=3,$E222=1,$E222=4),DA222,CZ222))),IF($D222="Pressio.",
IF($E222=3,DA222,CZ222),
IF($D222="Pénétro.",
IF($E222=4,DA222,CZ222))))</f>
        <v>#N/A</v>
      </c>
      <c r="DC222" s="31" t="e">
        <f>(IF(OR(Hypothèses!$B$4=17,Hypothèses!$B$4=18,Hypothèses!$B$4=19,Hypothèses!$B$4=20),
IF($D222="Pressio.",
IF(OR($E222=3,$E222=1,$E222=4),(PI()*DC$12^2)/4*(CY222*$W222*1000)/($H222*$B$5),(PI()*DC$12^2)/4*(CY222*$W222*1000)/($G222*$B$5)),
IF($D222="Pénétro.",
IF(OR($E222=4,$E222=1,$E222=5),(PI()*DC$12^2)/4*(CY222*$W222*1000)/($H222*$B$5),(PI()*DC$12^2)/4*(CY222*$W222*1000)/($G222*$B$5)))),
IF($D222="Pressio.",
IF($E222=3,(PI()*DC$12^2)/4*(CY222*$W222*1000)/($H222*$B$5),(PI()*DC$12^2)/4*(CY222*$W222*1000)/($G222*$B$5)),
IF($D222="Pénétro.",
IF($E222=4,(PI()*DC$12^2)/4*(CY222*$W222*1000)/($H222*$B$5),(PI()*DC$12^2)/4*(CY222*$W222*1000)/($G222*$B$5))))))/10</f>
        <v>#N/A</v>
      </c>
      <c r="DD222" s="102" t="e">
        <f>(VLOOKUP($B$3,'Coeff EC7'!$T$39:$X$59,2,0)*DB222+VLOOKUP($B$3,'Coeff EC7'!$T$65:$X$85,2,0)*Model0.1C!DC222)/1.1</f>
        <v>#N/A</v>
      </c>
      <c r="DE222" s="102" t="e">
        <f>(VLOOKUP($B$3,'Coeff EC7'!$T$39:$X$59,3,0)*DB222+VLOOKUP($B$3,'Coeff EC7'!$T$65:$X$85,3,0)*Model0.1C!DC222)/0.9</f>
        <v>#N/A</v>
      </c>
      <c r="DF222" s="102" t="e">
        <f t="shared" si="386"/>
        <v>#N/A</v>
      </c>
      <c r="DG222" s="102" t="e">
        <f t="shared" si="387"/>
        <v>#N/A</v>
      </c>
      <c r="DH222" s="414" t="e">
        <f>IF(DH221=0,0,IF(AND(DD222&gt;charge_ELS_quasi,DE222&gt;Charge_ELS_freq,DF222&gt;charge_ELU,DG222&gt;charge_ELA,$B222&gt;NDC!$H$22-0.1+MIN(3*$DH$12,1.5)),0,1))</f>
        <v>#N/A</v>
      </c>
      <c r="DI222" s="86" t="b">
        <f t="shared" si="355"/>
        <v>0</v>
      </c>
      <c r="DJ222" s="86">
        <f t="shared" si="356"/>
        <v>0.5</v>
      </c>
      <c r="DK222" s="86">
        <f t="shared" si="357"/>
        <v>0.5</v>
      </c>
      <c r="DL222" s="30" t="e">
        <f t="shared" ca="1" si="388"/>
        <v>#DIV/0!</v>
      </c>
      <c r="DM222" s="85" t="e">
        <f ca="1">IF(CS222&lt;=Hypothèses!$V$7,Hypothèses!$W$7,IF(CS222&lt;=Hypothèses!$V$8,Hypothèses!$W$8,IF(CS222&lt;=Hypothèses!$V$9,Hypothèses!$W$9,IF(CS222&lt;=Hypothèses!$V$10,Hypothèses!$W$10,IF(CS222&lt;=Hypothèses!$V$11,Hypothèses!$W$11,IF(CS222&lt;=Hypothèses!$V$12,Hypothèses!$W$12,IF(CS222&lt;=Hypothèses!$V$13,Hypothèses!$W$13,IF(CS222&lt;=Hypothèses!$V$14,Hypothèses!$W$14,IF(CS222&lt;=Hypothèses!$V$15,Hypothèses!$W$15,IF(CS222&lt;=Hypothèses!$V$16,Hypothèses!$W$16,IF(CS222&lt;=Hypothèses!$V$17,Hypothèses!$W$17,IF(CS222&lt;=Hypothèses!$V$18,Hypothèses!$W$18,""))))))))))))</f>
        <v>#DIV/0!</v>
      </c>
      <c r="DN222" s="87" t="e">
        <f t="shared" ca="1" si="421"/>
        <v>#DIV/0!</v>
      </c>
      <c r="DO222" s="88" t="e">
        <f ca="1">IF(CS222&lt;=Hypothèses!$V$7,Hypothèses!$X$7,IF(CS222&lt;=Hypothèses!$V$8,Hypothèses!$X$8,IF(CS222&lt;=Hypothèses!$V$9,Hypothèses!$X$9,IF(CS222&lt;=Hypothèses!$V$10,Hypothèses!$X$10,IF(CS222&lt;=Hypothèses!$V$11,Hypothèses!$X$11,IF(CS222&lt;=Hypothèses!$V$12,Hypothèses!$X$12,IF(CS222&lt;=Hypothèses!$V$13,Hypothèses!$X$13,IF(CS222&lt;=Hypothèses!$V$14,Hypothèses!$X$14,IF(CS222&lt;=Hypothèses!$V$15,Hypothèses!$X$15,IF(CS222&lt;=Hypothèses!$V$16,Hypothèses!$X$16,IF(CS222&lt;=Hypothèses!$U$17,Hypothèses!$W$17,IF(CS222&lt;=Hypothèses!$U$18,Hypothèses!$W$18,""))))))))))))</f>
        <v>#DIV/0!</v>
      </c>
      <c r="DP222" s="95" t="e">
        <f t="shared" ca="1" si="389"/>
        <v>#DIV/0!</v>
      </c>
      <c r="DQ222" s="101" t="e">
        <f t="shared" si="428"/>
        <v>#N/A</v>
      </c>
      <c r="DR222" s="91" t="e">
        <f t="shared" si="358"/>
        <v>#N/A</v>
      </c>
      <c r="DS222" s="30" t="e">
        <f t="shared" si="410"/>
        <v>#N/A</v>
      </c>
      <c r="DT222" s="30" t="e">
        <f t="shared" si="411"/>
        <v>#N/A</v>
      </c>
      <c r="DU222" s="31" t="e">
        <f>IF(OR(Hypothèses!$B$4=17,Hypothèses!$B$4=18,Hypothèses!$B$4=19,Hypothèses!$B$4=20),
IF($D222="Pressio.",
IF(OR($E222=3,$E222=1,$E222=4),DT222,DS222),
IF($D222="Pénétro.",
IF(OR($E222=3,$E222=1,$E222=4),DT222,DS222))),IF($D222="Pressio.",
IF($E222=3,DT222,DS222),
IF($D222="Pénétro.",
IF($E222=4,DT222,DS222))))</f>
        <v>#N/A</v>
      </c>
      <c r="DV222" s="31" t="e">
        <f>(IF(OR(Hypothèses!$B$4=17,Hypothèses!$B$4=18,Hypothèses!$B$4=19,Hypothèses!$B$4=20),
IF($D222="Pressio.",
IF(OR($E222=3,$E222=1,$E222=4),(PI()*DV$12^2)/4*(DR222*$W222*1000)/($H222*$B$5),(PI()*DV$12^2)/4*(DR222*$W222*1000)/($G222*$B$5)),
IF($D222="Pénétro.",
IF(OR($E222=4,$E222=1,$E222=5),(PI()*DV$12^2)/4*(DR222*$W222*1000)/($H222*$B$5),(PI()*DV$12^2)/4*(DR222*$W222*1000)/($G222*$B$5)))),
IF($D222="Pressio.",
IF($E222=3,(PI()*DV$12^2)/4*(DR222*$W222*1000)/($H222*$B$5),(PI()*DV$12^2)/4*(DR222*$W222*1000)/($G222*$B$5)),
IF($D222="Pénétro.",
IF($E222=4,(PI()*DV$12^2)/4*(DR222*$W222*1000)/($H222*$B$5),(PI()*DV$12^2)/4*(DR222*$W222*1000)/($G222*$B$5))))))/10</f>
        <v>#N/A</v>
      </c>
      <c r="DW222" s="102" t="e">
        <f>(VLOOKUP($B$3,'Coeff EC7'!$T$39:$X$59,2,0)*DU222+VLOOKUP($B$3,'Coeff EC7'!$T$65:$X$85,2,0)*Model0.1C!DV222)/1.1</f>
        <v>#N/A</v>
      </c>
      <c r="DX222" s="102" t="e">
        <f>(VLOOKUP($B$3,'Coeff EC7'!$T$39:$X$59,3,0)*DU222+VLOOKUP($B$3,'Coeff EC7'!$T$65:$X$85,3,0)*Model0.1C!DV222)/0.9</f>
        <v>#N/A</v>
      </c>
      <c r="DY222" s="102" t="e">
        <f t="shared" si="390"/>
        <v>#N/A</v>
      </c>
      <c r="DZ222" s="102" t="e">
        <f t="shared" si="391"/>
        <v>#N/A</v>
      </c>
      <c r="EA222" s="414" t="e">
        <f>IF(EA221=0,0,IF(AND(DW222&gt;charge_ELS_quasi,DX222&gt;Charge_ELS_freq,DY222&gt;charge_ELU,DZ222&gt;charge_ELA,$B222&gt;NDC!$H$22-0.1+MIN(3*$EA$12,1.5)),0,1))</f>
        <v>#N/A</v>
      </c>
      <c r="EB222" s="86" t="b">
        <f t="shared" si="359"/>
        <v>0</v>
      </c>
      <c r="EC222" s="418">
        <f t="shared" si="360"/>
        <v>0.51</v>
      </c>
      <c r="ED222" s="86">
        <f t="shared" si="361"/>
        <v>0.51</v>
      </c>
      <c r="EE222" s="30" t="e">
        <f t="shared" ca="1" si="392"/>
        <v>#DIV/0!</v>
      </c>
      <c r="EF222" s="85" t="e">
        <f ca="1">IF(DL222&lt;=Hypothèses!$V$7,Hypothèses!$W$7,IF(DL222&lt;=Hypothèses!$V$8,Hypothèses!$W$8,IF(DL222&lt;=Hypothèses!$V$9,Hypothèses!$W$9,IF(DL222&lt;=Hypothèses!$V$10,Hypothèses!$W$10,IF(DL222&lt;=Hypothèses!$V$11,Hypothèses!$W$11,IF(DL222&lt;=Hypothèses!$V$12,Hypothèses!$W$12,IF(DL222&lt;=Hypothèses!$V$13,Hypothèses!$W$13,IF(DL222&lt;=Hypothèses!$V$14,Hypothèses!$W$14,IF(DL222&lt;=Hypothèses!$V$15,Hypothèses!$W$15,IF(DL222&lt;=Hypothèses!$V$16,Hypothèses!$W$16,IF(DL222&lt;=Hypothèses!$V$17,Hypothèses!$W$17,IF(DL222&lt;=Hypothèses!$V$18,Hypothèses!$W$18,""))))))))))))</f>
        <v>#DIV/0!</v>
      </c>
      <c r="EG222" s="87" t="e">
        <f t="shared" ca="1" si="422"/>
        <v>#DIV/0!</v>
      </c>
      <c r="EH222" s="88" t="e">
        <f ca="1">IF(DL222&lt;=Hypothèses!$V$7,Hypothèses!$X$7,IF(DL222&lt;=Hypothèses!$V$8,Hypothèses!$X$8,IF(DL222&lt;=Hypothèses!$V$9,Hypothèses!$X$9,IF(DL222&lt;=Hypothèses!$V$10,Hypothèses!$X$10,IF(DL222&lt;=Hypothèses!$V$11,Hypothèses!$X$11,IF(DL222&lt;=Hypothèses!$V$12,Hypothèses!$X$12,IF(DL222&lt;=Hypothèses!$V$13,Hypothèses!$X$13,IF(DL222&lt;=Hypothèses!$V$14,Hypothèses!$X$14,IF(DL222&lt;=Hypothèses!$V$15,Hypothèses!$X$15,IF(DL222&lt;=Hypothèses!$V$16,Hypothèses!$X$16,IF(DL222&lt;=Hypothèses!$U$17,Hypothèses!$W$17,IF(DL222&lt;=Hypothèses!$U$18,Hypothèses!$W$18,""))))))))))))</f>
        <v>#DIV/0!</v>
      </c>
      <c r="EI222" s="95" t="e">
        <f t="shared" ca="1" si="393"/>
        <v>#DIV/0!</v>
      </c>
      <c r="EJ222" s="101" t="e">
        <f t="shared" si="429"/>
        <v>#N/A</v>
      </c>
      <c r="EK222" s="91" t="e">
        <f t="shared" si="362"/>
        <v>#N/A</v>
      </c>
      <c r="EL222" s="30" t="e">
        <f t="shared" si="412"/>
        <v>#N/A</v>
      </c>
      <c r="EM222" s="30" t="e">
        <f t="shared" si="413"/>
        <v>#N/A</v>
      </c>
      <c r="EN222" s="31" t="e">
        <f>IF(OR(Hypothèses!$B$4=17,Hypothèses!$B$4=18,Hypothèses!$B$4=19,Hypothèses!$B$4=20),
IF($D222="Pressio.",
IF(OR($E222=3,$E222=1,$E222=4),EM222,EL222),
IF($D222="Pénétro.",
IF(OR($E222=3,$E222=1,$E222=4),EM222,EL222))),IF($D222="Pressio.",
IF($E222=3,EM222,EL222),
IF($D222="Pénétro.",
IF($E222=4,EM222,EL222))))</f>
        <v>#N/A</v>
      </c>
      <c r="EO222" s="31" t="e">
        <f>(IF(OR(Hypothèses!$B$4=17,Hypothèses!$B$4=18,Hypothèses!$B$4=19,Hypothèses!$B$4=20),
IF($D222="Pressio.",
IF(OR($E222=3,$E222=1,$E222=4),(PI()*EO$12^2)/4*(EK222*$W222*1000)/($H222*$B$5),(PI()*EO$12^2)/4*(EK222*$W222*1000)/($G222*$B$5)),
IF($D222="Pénétro.",
IF(OR($E222=4,$E222=1,$E222=5),(PI()*EO$12^2)/4*(EK222*$W222*1000)/($H222*$B$5),(PI()*EO$12^2)/4*(EK222*$W222*1000)/($G222*$B$5)))),
IF($D222="Pressio.",
IF($E222=3,(PI()*EO$12^2)/4*(EK222*$W222*1000)/($H222*$B$5),(PI()*EO$12^2)/4*(EK222*$W222*1000)/($G222*$B$5)),
IF($D222="Pénétro.",
IF($E222=4,(PI()*EO$12^2)/4*(EK222*$W222*1000)/($H222*$B$5),(PI()*EO$12^2)/4*(EK222*$W222*1000)/($G222*$B$5))))))/10</f>
        <v>#N/A</v>
      </c>
      <c r="EP222" s="102" t="e">
        <f>(VLOOKUP($B$3,'Coeff EC7'!$T$39:$X$59,2,0)*EN222+VLOOKUP($B$3,'Coeff EC7'!$T$65:$X$85,2,0)*Model0.1C!EO222)/1.1</f>
        <v>#N/A</v>
      </c>
      <c r="EQ222" s="102" t="e">
        <f>(VLOOKUP($B$3,'Coeff EC7'!$T$39:$X$59,3,0)*EN222+VLOOKUP($B$3,'Coeff EC7'!$T$65:$X$85,3,0)*Model0.1C!EO222)/0.9</f>
        <v>#N/A</v>
      </c>
      <c r="ER222" s="102" t="e">
        <f t="shared" si="394"/>
        <v>#N/A</v>
      </c>
      <c r="ES222" s="102" t="e">
        <f t="shared" si="395"/>
        <v>#N/A</v>
      </c>
      <c r="ET222" s="414" t="e">
        <f>IF(ET221=0,0,IF(AND(EP222&gt;charge_ELS_quasi,EQ222&gt;Charge_ELS_freq,ER222&gt;charge_ELU,ES222&gt;charge_ELA,$B222&gt;NDC!$H$22-0.1+MIN(3*$ET$12,1.5)),0,1))</f>
        <v>#N/A</v>
      </c>
      <c r="EU222" s="86" t="b">
        <f t="shared" si="363"/>
        <v>0</v>
      </c>
      <c r="EV222" s="86">
        <f t="shared" si="364"/>
        <v>0.61</v>
      </c>
      <c r="EW222" s="86">
        <f t="shared" si="365"/>
        <v>0.61</v>
      </c>
      <c r="EX222" s="30" t="e">
        <f t="shared" ca="1" si="396"/>
        <v>#DIV/0!</v>
      </c>
      <c r="EY222" s="85" t="e">
        <f ca="1">IF(EE222&lt;=Hypothèses!$V$7,Hypothèses!$W$7,IF(EE222&lt;=Hypothèses!$V$8,Hypothèses!$W$8,IF(EE222&lt;=Hypothèses!$V$9,Hypothèses!$W$9,IF(EE222&lt;=Hypothèses!$V$10,Hypothèses!$W$10,IF(EE222&lt;=Hypothèses!$V$11,Hypothèses!$W$11,IF(EE222&lt;=Hypothèses!$V$12,Hypothèses!$W$12,IF(EE222&lt;=Hypothèses!$V$13,Hypothèses!$W$13,IF(EE222&lt;=Hypothèses!$V$14,Hypothèses!$W$14,IF(EE222&lt;=Hypothèses!$V$15,Hypothèses!$W$15,IF(EE222&lt;=Hypothèses!$V$16,Hypothèses!$W$16,IF(EE222&lt;=Hypothèses!$V$17,Hypothèses!$W$17,IF(EE222&lt;=Hypothèses!$V$18,Hypothèses!$W$18,""))))))))))))</f>
        <v>#DIV/0!</v>
      </c>
      <c r="EZ222" s="87" t="e">
        <f t="shared" ca="1" si="423"/>
        <v>#DIV/0!</v>
      </c>
      <c r="FA222" s="88" t="e">
        <f ca="1">IF(EE222&lt;=Hypothèses!$V$7,Hypothèses!$X$7,IF(EE222&lt;=Hypothèses!$V$8,Hypothèses!$X$8,IF(EE222&lt;=Hypothèses!$V$9,Hypothèses!$X$9,IF(EE222&lt;=Hypothèses!$V$10,Hypothèses!$X$10,IF(EE222&lt;=Hypothèses!$V$11,Hypothèses!$X$11,IF(EE222&lt;=Hypothèses!$V$12,Hypothèses!$X$12,IF(EE222&lt;=Hypothèses!$V$13,Hypothèses!$X$13,IF(EE222&lt;=Hypothèses!$V$14,Hypothèses!$X$14,IF(EE222&lt;=Hypothèses!$V$15,Hypothèses!$X$15,IF(EE222&lt;=Hypothèses!$V$16,Hypothèses!$X$16,IF(EE222&lt;=Hypothèses!$U$17,Hypothèses!$W$17,IF(EE222&lt;=Hypothèses!$U$18,Hypothèses!$W$18,""))))))))))))</f>
        <v>#DIV/0!</v>
      </c>
      <c r="FB222" s="95" t="e">
        <f t="shared" ca="1" si="397"/>
        <v>#DIV/0!</v>
      </c>
      <c r="FC222" s="101" t="e">
        <f t="shared" si="430"/>
        <v>#N/A</v>
      </c>
      <c r="FD222" s="91" t="e">
        <f t="shared" si="366"/>
        <v>#N/A</v>
      </c>
      <c r="FE222" s="30" t="e">
        <f t="shared" si="414"/>
        <v>#N/A</v>
      </c>
      <c r="FF222" s="30" t="e">
        <f t="shared" si="415"/>
        <v>#N/A</v>
      </c>
      <c r="FG222" s="31" t="e">
        <f>IF(OR(Hypothèses!$B$4=17,Hypothèses!$B$4=18,Hypothèses!$B$4=19,Hypothèses!$B$4=20),
IF($D222="Pressio.",
IF(OR($E222=3,$E222=1,$E222=4),FF222,FE222),
IF($D222="Pénétro.",
IF(OR($E222=3,$E222=1,$E222=4),FF222,FE222))),IF($D222="Pressio.",
IF($E222=3,FF222,FE222),
IF($D222="Pénétro.",
IF($E222=4,FF222,FE222))))</f>
        <v>#N/A</v>
      </c>
      <c r="FH222" s="31" t="e">
        <f>(IF(OR(Hypothèses!$B$4=17,Hypothèses!$B$4=18,Hypothèses!$B$4=19,Hypothèses!$B$4=20),
IF($D222="Pressio.",
IF(OR($E222=3,$E222=1,$E222=4),(PI()*FH$12^2)/4*(FD222*$W222*1000)/($H222*$B$5),(PI()*FH$12^2)/4*(FD222*$W222*1000)/($G222*$B$5)),
IF($D222="Pénétro.",
IF(OR($E222=4,$E222=1,$E222=5),(PI()*FH$12^2)/4*(FD222*$W222*1000)/($H222*$B$5),(PI()*FH$12^2)/4*(FD222*$W222*1000)/($G222*$B$5)))),
IF($D222="Pressio.",
IF($E222=3,(PI()*FH$12^2)/4*(FD222*$W222*1000)/($H222*$B$5),(PI()*FH$12^2)/4*(FD222*$W222*1000)/($G222*$B$5)),
IF($D222="Pénétro.",
IF($E222=4,(PI()*FH$12^2)/4*(FD222*$W222*1000)/($H222*$B$5),(PI()*FH$12^2)/4*(FD222*$W222*1000)/($G222*$B$5))))))/10</f>
        <v>#N/A</v>
      </c>
      <c r="FI222" s="102" t="e">
        <f>(VLOOKUP($B$3,'Coeff EC7'!$T$39:$X$59,2,0)*FG222+VLOOKUP($B$3,'Coeff EC7'!$T$65:$X$85,2,0)*Model0.1C!FH222)/1.1</f>
        <v>#N/A</v>
      </c>
      <c r="FJ222" s="102" t="e">
        <f>(VLOOKUP($B$3,'Coeff EC7'!$T$39:$X$59,3,0)*FG222+VLOOKUP($B$3,'Coeff EC7'!$T$65:$X$85,3,0)*Model0.1C!FH222)/0.9</f>
        <v>#N/A</v>
      </c>
      <c r="FK222" s="102" t="e">
        <f t="shared" si="398"/>
        <v>#N/A</v>
      </c>
      <c r="FL222" s="102" t="e">
        <f t="shared" si="399"/>
        <v>#N/A</v>
      </c>
      <c r="FM222" s="414" t="e">
        <f>IF(FM221=0,0,IF(AND(FI222&gt;charge_ELS_quasi,FJ222&gt;Charge_ELS_freq,FK222&gt;charge_ELU,FL222&gt;charge_ELA,$B222&gt;NDC!$H$22-0.1+MIN(3*$FM$12,1.5)),0,1))</f>
        <v>#N/A</v>
      </c>
    </row>
    <row r="223" spans="1:169">
      <c r="A223" s="96">
        <f t="shared" si="367"/>
        <v>79.000000000001194</v>
      </c>
      <c r="B223" s="97">
        <v>21</v>
      </c>
      <c r="C223" s="81">
        <f>IF(B223&lt;=Hypothèses!$C$7,Hypothèses!$A$7,IF(B223&lt;=Hypothèses!$C$8,Hypothèses!$A$8,IF(B223&lt;=Hypothèses!$C$9,Hypothèses!$A$9,IF(B223&lt;=Hypothèses!$C$10,Hypothèses!$A$10,IF(B223&lt;=Hypothèses!$C$11,Hypothèses!$A$11,IF(B223&lt;=Hypothèses!$C$12,Hypothèses!$A$12,IF(B223&lt;=Hypothèses!$C$13,Hypothèses!$A$13,IF(B223&lt;=Hypothèses!$C$14,Hypothèses!$A$14,IF(B223&lt;=Hypothèses!$C$15,Hypothèses!$A$15,IF(B223&lt;=Hypothèses!$C$16,Hypothèses!$A$16,IF(B223&lt;=Hypothèses!$C$17,Hypothèses!$A$17,IF(B223&lt;=Hypothèses!$C$18,Hypothèses!$A$18,C222))))))))))))</f>
        <v>11</v>
      </c>
      <c r="D223" s="82" t="str">
        <f>IF(B223&lt;=Hypothèses!$C$7,Hypothèses!$R$7,IF(B223&lt;=Hypothèses!$C$8,Hypothèses!$R$8,IF(B223&lt;=Hypothèses!$C$9,Hypothèses!$R$9,IF(B223&lt;=Hypothèses!$C$10,Hypothèses!$R$10,IF(B223&lt;=Hypothèses!$C$11,Hypothèses!$R$11,IF(B223&lt;=Hypothèses!$C$12,Hypothèses!$R$12,IF(B223&lt;=Hypothèses!$C$13,Hypothèses!$R$13,IF(B223&lt;=Hypothèses!$C$14,Hypothèses!$R$14,IF(B223&lt;=Hypothèses!$C$15,Hypothèses!$R$15,IF(B223&lt;=Hypothèses!$C$16,Hypothèses!$R$16,IF(B223&lt;=Hypothèses!$C$17,Hypothèses!$R$17,IF(B223&lt;=Hypothèses!$C$18,Hypothèses!$R$18,D222))))))))))))</f>
        <v>Pressio.</v>
      </c>
      <c r="E223" s="82" t="e">
        <f>IF(B223&lt;=Hypothèses!$C$7,Hypothèses!$G$7,IF(B223&lt;=Hypothèses!$C$8,Hypothèses!$G$8,IF(B223&lt;=Hypothèses!$C$9,Hypothèses!$G$9,IF(B223&lt;=Hypothèses!$C$10,Hypothèses!$G$10,IF(B223&lt;=Hypothèses!$C$11,Hypothèses!$G$11,IF(B223&lt;=Hypothèses!$C$12,Hypothèses!$G$12,IF(B223&lt;=Hypothèses!$C$13,Hypothèses!$G$13,IF(B223&lt;=Hypothèses!$C$14,Hypothèses!$G$14,IF(B223&lt;=Hypothèses!$C$15,Hypothèses!$G$15,IF(B223&lt;=Hypothèses!$C$16,Hypothèses!$G$16,IF(B223&lt;=Hypothèses!$C$17,Hypothèses!$G$17,IF(B223&lt;=Hypothèses!$C$18,Hypothèses!$G$18,E222))))))))))))</f>
        <v>#N/A</v>
      </c>
      <c r="F223" s="82" t="str">
        <f>IF(B223&lt;=Hypothèses!$C$7,Hypothèses!$F$7,IF(B223&lt;=Hypothèses!$C$8,Hypothèses!$F$8,IF(B223&lt;=Hypothèses!$C$9,Hypothèses!$F$9,IF(B223&lt;=Hypothèses!$C$10,Hypothèses!$F$10,IF(B223&lt;=Hypothèses!$C$11,Hypothèses!$F$11,IF(B223&lt;=Hypothèses!$C$12,Hypothèses!$F$12,IF(B223&lt;=Hypothèses!$C$13,Hypothèses!$F$13,IF(B223&lt;=Hypothèses!$C$14,Hypothèses!$F$14,IF(B223&lt;=Hypothèses!$C$15,Hypothèses!$F$15,IF(B223&lt;=Hypothèses!$C$16,Hypothèses!$F$16,IF(B223&lt;=Hypothèses!$C$17,Hypothèses!$F$17,IF(B223&lt;=Hypothèses!$C$18,Hypothèses!$F$18,F222))))))))))))</f>
        <v/>
      </c>
      <c r="G223" s="91">
        <f t="array" ref="G223">INDEX('Coeff EC7'!$U$7:$X$27,
MATCH(Model0.1C!$B$3,'Coeff EC7'!$T$7:$T$27,0),
MATCH(Model0.1C!$D223&amp;Model0.1C!$B$4,
'Coeff EC7'!$U$6:$X$6&amp;
'Coeff EC7'!$U$5:$X$5,0))</f>
        <v>1.1499999999999999</v>
      </c>
      <c r="H223" s="91">
        <f t="array" ref="H223">INDEX('Coeff EC7'!$Y$7:$AB$27,
MATCH(Model0.1C!$B$3,'Coeff EC7'!$T$7:$T$27,0),
MATCH(Model0.1C!$D223&amp;Model0.1C!$B$4,
'Coeff EC7'!$Y$6:$AB$6&amp;
'Coeff EC7'!$Y$5:$AB$5,0))</f>
        <v>1.4</v>
      </c>
      <c r="I223" s="83" t="e">
        <f>IF(B223&lt;=Hypothèses!$C$7,Hypothèses!$P$7,IF(B223&lt;=Hypothèses!$C$8,Hypothèses!$P$8,IF(B223&lt;=Hypothèses!$C$9,Hypothèses!$P$9,IF(B223&lt;=Hypothèses!$C$10,Hypothèses!$P$10,IF(B223&lt;=Hypothèses!$C$11,Hypothèses!$P$11,IF(B223&lt;=Hypothèses!$C$12,Hypothèses!$P$12,IF(B223&lt;=Hypothèses!$C$13,Hypothèses!$P$13,IF(B223&lt;=Hypothèses!$C$14,Hypothèses!$P$14,IF(B223&lt;=Hypothèses!$C$15,Hypothèses!$P$15,IF(B223&lt;=Hypothèses!$C$16,Hypothèses!$P$16,IF(B223&lt;=Hypothèses!$C$17,Hypothèses!$P$17,IF(B223&lt;=Hypothèses!$C$18,Hypothèses!$P$18,I222))))))))))))</f>
        <v>#N/A</v>
      </c>
      <c r="J223" s="91" t="e">
        <f t="array" ref="J223">INDEX('Coeff EC7'!$D$33:$Q$33,1,MATCH(D223&amp;E223,'Coeff EC7'!$D$31:$Q$31&amp;'Coeff EC7'!$D$32:$Q$32,0))</f>
        <v>#N/A</v>
      </c>
      <c r="K223" s="91" t="e">
        <f t="array" ref="K223">INDEX('Coeff EC7'!$D$34:$Q$34,1,MATCH(D223&amp;E223,'Coeff EC7'!$D$31:$Q$31&amp;'Coeff EC7'!$D$32:$Q$32,0))</f>
        <v>#N/A</v>
      </c>
      <c r="L223" s="91" t="e">
        <f t="array" ref="L223">INDEX('Coeff EC7'!$D$35:$Q$35,1,MATCH(D223&amp;E223,'Coeff EC7'!$D$31:$Q$31&amp;'Coeff EC7'!$D$32:$Q$32,0))</f>
        <v>#N/A</v>
      </c>
      <c r="M223" s="98" t="e">
        <f t="shared" si="331"/>
        <v>#N/A</v>
      </c>
      <c r="N223" s="99" t="e">
        <f t="array" ref="N223">INDEX('Coeff EC7'!$D$7:$Q$27,MATCH($B$3,'Coeff EC7'!$C$7:$C$27,0),MATCH(D223&amp;E223,'Coeff EC7'!$D$5:$Q$5&amp;'Coeff EC7'!$D$6:$Q$6,0))</f>
        <v>#N/A</v>
      </c>
      <c r="O223" s="99" t="e">
        <f t="array" ref="O223">INDEX('Coeff EC7'!$D$41:$Q$61,MATCH($B$3,'Coeff EC7'!$C$41:$C$61,0),MATCH(D223&amp;E223,'Coeff EC7'!$D$39:$Q$39&amp;'Coeff EC7'!$D$40:$Q$40,0))</f>
        <v>#N/A</v>
      </c>
      <c r="P223" s="30" t="e">
        <f t="shared" si="368"/>
        <v>#N/A</v>
      </c>
      <c r="Q223" s="100" t="e">
        <f t="shared" si="333"/>
        <v>#N/A</v>
      </c>
      <c r="R223" s="86" t="b">
        <f t="shared" si="334"/>
        <v>0</v>
      </c>
      <c r="S223" s="86">
        <f t="shared" si="332"/>
        <v>0.5</v>
      </c>
      <c r="T223" s="86">
        <f t="shared" si="335"/>
        <v>0.5</v>
      </c>
      <c r="U223" s="30" t="e">
        <f t="shared" ca="1" si="369"/>
        <v>#DIV/0!</v>
      </c>
      <c r="V223" s="85" t="str">
        <f>IF(B223&lt;=Hypothèses!$V$7,Hypothèses!$W$7,IF(B223&lt;=Hypothèses!$V$8,Hypothèses!$W$8,IF(B223&lt;=Hypothèses!$V$9,Hypothèses!$W$9,IF(B223&lt;=Hypothèses!$V$10,Hypothèses!$W$10,IF(B223&lt;=Hypothèses!$V$11,Hypothèses!$W$11,IF(B223&lt;=Hypothèses!$V$12,Hypothèses!$W$12,IF(B223&lt;=Hypothèses!$V$13,Hypothèses!$W$13,IF(B223&lt;=Hypothèses!$V$14,Hypothèses!$W$14,IF(B223&lt;=Hypothèses!$V$15,Hypothèses!$W$15,IF(B223&lt;=Hypothèses!$V$16,Hypothèses!$W$16,IF(B223&lt;=Hypothèses!$V$17,Hypothèses!$W$17,IF(B223&lt;=Hypothèses!$V$18,Hypothèses!$W$18,""))))))))))))</f>
        <v/>
      </c>
      <c r="W223" s="87" t="e">
        <f t="shared" ca="1" si="416"/>
        <v>#DIV/0!</v>
      </c>
      <c r="X223" s="88" t="str">
        <f>IF(B223&lt;=Hypothèses!$V$7,Hypothèses!$X$7,IF(B223&lt;=Hypothèses!$V$8,Hypothèses!$X$8,IF(B223&lt;=Hypothèses!$V$9,Hypothèses!$X$9,IF(B223&lt;=Hypothèses!$V$10,Hypothèses!$X$10,IF(B223&lt;=Hypothèses!$V$11,Hypothèses!$X$11,IF(B223&lt;=Hypothèses!$V$12,Hypothèses!$X$12,IF(B223&lt;=Hypothèses!$V$13,Hypothèses!$X$13,IF(B223&lt;=Hypothèses!$V$14,Hypothèses!$X$14,IF(B223&lt;=Hypothèses!$V$15,Hypothèses!$X$15,IF(B223&lt;=Hypothèses!$V$16,Hypothèses!$X$16,IF(B223&lt;=Hypothèses!$U$17,Hypothèses!$W$17,IF(B223&lt;=Hypothèses!$U$18,Hypothèses!$W$18,""))))))))))))</f>
        <v/>
      </c>
      <c r="Y223" s="95" t="e">
        <f t="shared" ca="1" si="336"/>
        <v>#DIV/0!</v>
      </c>
      <c r="Z223" s="101" t="e">
        <f t="shared" si="337"/>
        <v>#N/A</v>
      </c>
      <c r="AA223" s="91" t="e">
        <f t="shared" si="338"/>
        <v>#N/A</v>
      </c>
      <c r="AB223" s="30" t="e">
        <f t="shared" si="400"/>
        <v>#N/A</v>
      </c>
      <c r="AC223" s="30" t="e">
        <f t="shared" si="401"/>
        <v>#N/A</v>
      </c>
      <c r="AD223" s="31" t="e">
        <f>IF(OR(Hypothèses!$B$4=17,Hypothèses!$B$4=18,Hypothèses!$B$4=19,Hypothèses!$B$4=20),
IF($D223="Pressio.",
IF(OR($E223=3,$E223=1,$E223=4),AC223,AB223),
IF($D223="Pénétro.",
IF(OR($E223=3,$E223=1,$E223=4),AC223,AB223))),IF($D223="Pressio.",
IF($E223=3,AC223,AB223),
IF($D223="Pénétro.",
IF($E223=4,AC223,AB223))))</f>
        <v>#N/A</v>
      </c>
      <c r="AE223" s="31" t="e">
        <f>(IF(OR(Hypothèses!$B$4=17,Hypothèses!$B$4=18,Hypothèses!$B$4=19,Hypothèses!$B$4=20),
IF($D223="Pressio.",
IF(OR($E223=3,$E223=1,$E223=4),(PI()*AE$12^2)/4*(AA223*$W223*1000)/($H223*$B$5),(PI()*AE$12^2)/4*(AA223*$W223*1000)/($G223*$B$5)),
IF($D223="Pénétro.",
IF(OR($E223=4,$E223=1,$E223=5),(PI()*AE$12^2)/4*(AA223*$W223*1000)/($H223*$B$5),(PI()*AE$12^2)/4*(AA223*$W223*1000)/($G223*$B$5)))),
IF($D223="Pressio.",
IF($E223=3,(PI()*AE$12^2)/4*(AA223*$W223*1000)/($H223*$B$5),(PI()*AE$12^2)/4*(AA223*$W223*1000)/($G223*$B$5)),
IF($D223="Pénétro.",
IF($E223=4,(PI()*AE$12^2)/4*(AA223*$W223*1000)/($H223*$B$5),(PI()*AE$12^2)/4*(AA223*$W223*1000)/($G223*$B$5))))))/10</f>
        <v>#N/A</v>
      </c>
      <c r="AF223" s="102" t="e">
        <f>(VLOOKUP($B$3,'Coeff EC7'!$T$39:$X$59,2,0)*AD223+VLOOKUP($B$3,'Coeff EC7'!$T$65:$X$85,2,0)*Model0.1C!AE223)/1.1</f>
        <v>#N/A</v>
      </c>
      <c r="AG223" s="102" t="e">
        <f>(VLOOKUP($B$3,'Coeff EC7'!$T$39:$X$59,3,0)*AD223+VLOOKUP($B$3,'Coeff EC7'!$T$65:$X$85,3,0)*Model0.1C!AE223)/0.9</f>
        <v>#N/A</v>
      </c>
      <c r="AH223" s="102" t="e">
        <f t="shared" si="339"/>
        <v>#N/A</v>
      </c>
      <c r="AI223" s="102" t="e">
        <f t="shared" si="340"/>
        <v>#N/A</v>
      </c>
      <c r="AJ223" s="414" t="e">
        <f>IF(AJ222=0,0,IF(AND(AF223&gt;charge_ELS_quasi,AG223&gt;Charge_ELS_freq,AH223&gt;charge_ELU,AI223&gt;charge_ELA,$B223&gt;NDC!$H$22-0.1+MIN(3*$AJ$12,1.5)),0,1))</f>
        <v>#N/A</v>
      </c>
      <c r="AK223" s="86" t="b">
        <f t="shared" si="341"/>
        <v>0</v>
      </c>
      <c r="AL223" s="86">
        <f t="shared" si="370"/>
        <v>0.5</v>
      </c>
      <c r="AM223" s="86">
        <f t="shared" si="342"/>
        <v>0.5</v>
      </c>
      <c r="AN223" s="30" t="e">
        <f t="shared" ca="1" si="371"/>
        <v>#DIV/0!</v>
      </c>
      <c r="AO223" s="85" t="e">
        <f ca="1">IF(U223&lt;=Hypothèses!$V$7,Hypothèses!$W$7,IF(U223&lt;=Hypothèses!$V$8,Hypothèses!$W$8,IF(U223&lt;=Hypothèses!$V$9,Hypothèses!$W$9,IF(U223&lt;=Hypothèses!$V$10,Hypothèses!$W$10,IF(U223&lt;=Hypothèses!$V$11,Hypothèses!$W$11,IF(U223&lt;=Hypothèses!$V$12,Hypothèses!$W$12,IF(U223&lt;=Hypothèses!$V$13,Hypothèses!$W$13,IF(U223&lt;=Hypothèses!$V$14,Hypothèses!$W$14,IF(U223&lt;=Hypothèses!$V$15,Hypothèses!$W$15,IF(U223&lt;=Hypothèses!$V$16,Hypothèses!$W$16,IF(U223&lt;=Hypothèses!$V$17,Hypothèses!$W$17,IF(U223&lt;=Hypothèses!$V$18,Hypothèses!$W$18,""))))))))))))</f>
        <v>#DIV/0!</v>
      </c>
      <c r="AP223" s="87" t="e">
        <f t="shared" ca="1" si="417"/>
        <v>#DIV/0!</v>
      </c>
      <c r="AQ223" s="88" t="e">
        <f ca="1">IF(U223&lt;=Hypothèses!$V$7,Hypothèses!$X$7,IF(U223&lt;=Hypothèses!$V$8,Hypothèses!$X$8,IF(U223&lt;=Hypothèses!$V$9,Hypothèses!$X$9,IF(U223&lt;=Hypothèses!$V$10,Hypothèses!$X$10,IF(U223&lt;=Hypothèses!$V$11,Hypothèses!$X$11,IF(U223&lt;=Hypothèses!$V$12,Hypothèses!$X$12,IF(U223&lt;=Hypothèses!$V$13,Hypothèses!$X$13,IF(U223&lt;=Hypothèses!$V$14,Hypothèses!$X$14,IF(U223&lt;=Hypothèses!$V$15,Hypothèses!$X$15,IF(U223&lt;=Hypothèses!$V$16,Hypothèses!$X$16,IF(U223&lt;=Hypothèses!$U$17,Hypothèses!$W$17,IF(U223&lt;=Hypothèses!$U$18,Hypothèses!$W$18,""))))))))))))</f>
        <v>#DIV/0!</v>
      </c>
      <c r="AR223" s="95" t="e">
        <f t="shared" ca="1" si="372"/>
        <v>#DIV/0!</v>
      </c>
      <c r="AS223" s="101" t="e">
        <f t="shared" si="424"/>
        <v>#N/A</v>
      </c>
      <c r="AT223" s="91" t="e">
        <f t="shared" si="343"/>
        <v>#N/A</v>
      </c>
      <c r="AU223" s="30" t="e">
        <f t="shared" si="402"/>
        <v>#N/A</v>
      </c>
      <c r="AV223" s="30" t="e">
        <f t="shared" si="403"/>
        <v>#N/A</v>
      </c>
      <c r="AW223" s="31" t="e">
        <f>IF(OR(Hypothèses!$B$4=17,Hypothèses!$B$4=18,Hypothèses!$B$4=19,Hypothèses!$B$4=20),
IF($D223="Pressio.",
IF(OR($E223=3,$E223=1,$E223=4),AV223,AU223),
IF($D223="Pénétro.",
IF(OR($E223=3,$E223=1,$E223=4),AV223,AU223))),IF($D223="Pressio.",
IF($E223=3,AV223,AU223),
IF($D223="Pénétro.",
IF($E223=4,AV223,AU223))))</f>
        <v>#N/A</v>
      </c>
      <c r="AX223" s="31" t="e">
        <f>(IF(OR(Hypothèses!$B$4=17,Hypothèses!$B$4=18,Hypothèses!$B$4=19,Hypothèses!$B$4=20),
IF($D223="Pressio.",
IF(OR($E223=3,$E223=1,$E223=4),(PI()*AX$12^2)/4*(AT223*$W223*1000)/($H223*$B$5),(PI()*AX$12^2)/4*(AT223*$W223*1000)/($G223*$B$5)),
IF($D223="Pénétro.",
IF(OR($E223=4,$E223=1,$E223=5),(PI()*AX$12^2)/4*(AT223*$W223*1000)/($H223*$B$5),(PI()*AX$12^2)/4*(AT223*$W223*1000)/($G223*$B$5)))),
IF($D223="Pressio.",
IF($E223=3,(PI()*AX$12^2)/4*(AT223*$W223*1000)/($H223*$B$5),(PI()*AX$12^2)/4*(AT223*$W223*1000)/($G223*$B$5)),
IF($D223="Pénétro.",
IF($E223=4,(PI()*AX$12^2)/4*(AT223*$W223*1000)/($H223*$B$5),(PI()*AX$12^2)/4*(AT223*$W223*1000)/($G223*$B$5))))))/10</f>
        <v>#N/A</v>
      </c>
      <c r="AY223" s="102" t="e">
        <f>(VLOOKUP($B$3,'Coeff EC7'!$T$39:$X$59,2,0)*AW223+VLOOKUP($B$3,'Coeff EC7'!$T$65:$X$85,2,0)*Model0.1C!AX223)/1.1</f>
        <v>#N/A</v>
      </c>
      <c r="AZ223" s="102" t="e">
        <f>(VLOOKUP($B$3,'Coeff EC7'!$T$39:$X$59,3,0)*AW223+VLOOKUP($B$3,'Coeff EC7'!$T$65:$X$85,3,0)*Model0.1C!AX223)/0.9</f>
        <v>#N/A</v>
      </c>
      <c r="BA223" s="102" t="e">
        <f t="shared" si="373"/>
        <v>#N/A</v>
      </c>
      <c r="BB223" s="102" t="e">
        <f t="shared" si="374"/>
        <v>#N/A</v>
      </c>
      <c r="BC223" s="414" t="e">
        <f>IF(BC222=0,0,IF(AND(AY223&gt;charge_ELS_quasi,AZ223&gt;Charge_ELS_freq,BA223&gt;charge_ELU,BB223&gt;charge_ELA,$B223&gt;NDC!$H$22-0.1+MIN(3*$BC$12,1.5)),0,1))</f>
        <v>#N/A</v>
      </c>
      <c r="BD223" s="86" t="b">
        <f t="shared" si="344"/>
        <v>0</v>
      </c>
      <c r="BE223" s="86">
        <f t="shared" si="375"/>
        <v>0.5</v>
      </c>
      <c r="BF223" s="86">
        <f t="shared" si="345"/>
        <v>0.5</v>
      </c>
      <c r="BG223" s="30" t="e">
        <f t="shared" ca="1" si="376"/>
        <v>#DIV/0!</v>
      </c>
      <c r="BH223" s="85" t="e">
        <f ca="1">IF(AN223&lt;=Hypothèses!$V$7,Hypothèses!$W$7,IF(AN223&lt;=Hypothèses!$V$8,Hypothèses!$W$8,IF(AN223&lt;=Hypothèses!$V$9,Hypothèses!$W$9,IF(AN223&lt;=Hypothèses!$V$10,Hypothèses!$W$10,IF(AN223&lt;=Hypothèses!$V$11,Hypothèses!$W$11,IF(AN223&lt;=Hypothèses!$V$12,Hypothèses!$W$12,IF(AN223&lt;=Hypothèses!$V$13,Hypothèses!$W$13,IF(AN223&lt;=Hypothèses!$V$14,Hypothèses!$W$14,IF(AN223&lt;=Hypothèses!$V$15,Hypothèses!$W$15,IF(AN223&lt;=Hypothèses!$V$16,Hypothèses!$W$16,IF(AN223&lt;=Hypothèses!$V$17,Hypothèses!$W$17,IF(AN223&lt;=Hypothèses!$V$18,Hypothèses!$W$18,""))))))))))))</f>
        <v>#DIV/0!</v>
      </c>
      <c r="BI223" s="87" t="e">
        <f t="shared" ca="1" si="418"/>
        <v>#DIV/0!</v>
      </c>
      <c r="BJ223" s="88" t="e">
        <f ca="1">IF(AN223&lt;=Hypothèses!$V$7,Hypothèses!$X$7,IF(AN223&lt;=Hypothèses!$V$8,Hypothèses!$X$8,IF(AN223&lt;=Hypothèses!$V$9,Hypothèses!$X$9,IF(AN223&lt;=Hypothèses!$V$10,Hypothèses!$X$10,IF(AN223&lt;=Hypothèses!$V$11,Hypothèses!$X$11,IF(AN223&lt;=Hypothèses!$V$12,Hypothèses!$X$12,IF(AN223&lt;=Hypothèses!$V$13,Hypothèses!$X$13,IF(AN223&lt;=Hypothèses!$V$14,Hypothèses!$X$14,IF(AN223&lt;=Hypothèses!$V$15,Hypothèses!$X$15,IF(AN223&lt;=Hypothèses!$V$16,Hypothèses!$X$16,IF(AN223&lt;=Hypothèses!$U$17,Hypothèses!$W$17,IF(AN223&lt;=Hypothèses!$U$18,Hypothèses!$W$18,""))))))))))))</f>
        <v>#DIV/0!</v>
      </c>
      <c r="BK223" s="95" t="e">
        <f t="shared" ca="1" si="377"/>
        <v>#DIV/0!</v>
      </c>
      <c r="BL223" s="101" t="e">
        <f t="shared" si="425"/>
        <v>#N/A</v>
      </c>
      <c r="BM223" s="91" t="e">
        <f t="shared" si="346"/>
        <v>#N/A</v>
      </c>
      <c r="BN223" s="30" t="e">
        <f t="shared" si="404"/>
        <v>#N/A</v>
      </c>
      <c r="BO223" s="30" t="e">
        <f t="shared" si="405"/>
        <v>#N/A</v>
      </c>
      <c r="BP223" s="31" t="e">
        <f>IF(OR(Hypothèses!$B$4=17,Hypothèses!$B$4=18,Hypothèses!$B$4=19,Hypothèses!$B$4=20),
IF($D223="Pressio.",
IF(OR($E223=3,$E223=1,$E223=4),BO223,BN223),
IF($D223="Pénétro.",
IF(OR($E223=3,$E223=1,$E223=4),BO223,BN223))),IF($D223="Pressio.",
IF($E223=3,BO223,BN223),
IF($D223="Pénétro.",
IF($E223=4,BO223,BN223))))</f>
        <v>#N/A</v>
      </c>
      <c r="BQ223" s="31" t="e">
        <f>(IF(OR(Hypothèses!$B$4=17,Hypothèses!$B$4=18,Hypothèses!$B$4=19,Hypothèses!$B$4=20),
IF($D223="Pressio.",
IF(OR($E223=3,$E223=1,$E223=4),(PI()*BQ$12^2)/4*(BM223*$W223*1000)/($H223*$B$5),(PI()*BQ$12^2)/4*(BM223*$W223*1000)/($G223*$B$5)),
IF($D223="Pénétro.",
IF(OR($E223=4,$E223=1,$E223=5),(PI()*BQ$12^2)/4*(BM223*$W223*1000)/($H223*$B$5),(PI()*BQ$12^2)/4*(BM223*$W223*1000)/($G223*$B$5)))),
IF($D223="Pressio.",
IF($E223=3,(PI()*BQ$12^2)/4*(BM223*$W223*1000)/($H223*$B$5),(PI()*BQ$12^2)/4*(BM223*$W223*1000)/($G223*$B$5)),
IF($D223="Pénétro.",
IF($E223=4,(PI()*BQ$12^2)/4*(BM223*$W223*1000)/($H223*$B$5),(PI()*BQ$12^2)/4*(BM223*$W223*1000)/($G223*$B$5))))))/10</f>
        <v>#N/A</v>
      </c>
      <c r="BR223" s="102" t="e">
        <f>(VLOOKUP($B$3,'Coeff EC7'!$T$39:$X$59,2,0)*BP223+VLOOKUP($B$3,'Coeff EC7'!$T$65:$X$85,2,0)*Model0.1C!BQ223)/1.1</f>
        <v>#N/A</v>
      </c>
      <c r="BS223" s="102" t="e">
        <f>(VLOOKUP($B$3,'Coeff EC7'!$T$39:$X$59,3,0)*BP223+VLOOKUP($B$3,'Coeff EC7'!$T$65:$X$85,3,0)*Model0.1C!BQ223)/0.9</f>
        <v>#N/A</v>
      </c>
      <c r="BT223" s="102" t="e">
        <f t="shared" si="378"/>
        <v>#N/A</v>
      </c>
      <c r="BU223" s="102" t="e">
        <f t="shared" si="379"/>
        <v>#N/A</v>
      </c>
      <c r="BV223" s="414" t="e">
        <f>IF(BV222=0,0,IF(AND(BR223&gt;charge_ELS_quasi,BS223&gt;Charge_ELS_freq,BT223&gt;charge_ELU,BU223&gt;charge_ELA,$B223&gt;NDC!$H$22-0.1+MIN(3*$BV$12,1.5)),0,1))</f>
        <v>#N/A</v>
      </c>
      <c r="BW223" s="86" t="b">
        <f t="shared" si="347"/>
        <v>0</v>
      </c>
      <c r="BX223" s="86">
        <f t="shared" si="348"/>
        <v>0.5</v>
      </c>
      <c r="BY223" s="86">
        <f t="shared" si="349"/>
        <v>0.5</v>
      </c>
      <c r="BZ223" s="30" t="e">
        <f t="shared" ca="1" si="380"/>
        <v>#DIV/0!</v>
      </c>
      <c r="CA223" s="85" t="e">
        <f ca="1">IF(BG223&lt;=Hypothèses!$V$7,Hypothèses!$W$7,IF(BG223&lt;=Hypothèses!$V$8,Hypothèses!$W$8,IF(BG223&lt;=Hypothèses!$V$9,Hypothèses!$W$9,IF(BG223&lt;=Hypothèses!$V$10,Hypothèses!$W$10,IF(BG223&lt;=Hypothèses!$V$11,Hypothèses!$W$11,IF(BG223&lt;=Hypothèses!$V$12,Hypothèses!$W$12,IF(BG223&lt;=Hypothèses!$V$13,Hypothèses!$W$13,IF(BG223&lt;=Hypothèses!$V$14,Hypothèses!$W$14,IF(BG223&lt;=Hypothèses!$V$15,Hypothèses!$W$15,IF(BG223&lt;=Hypothèses!$V$16,Hypothèses!$W$16,IF(BG223&lt;=Hypothèses!$V$17,Hypothèses!$W$17,IF(BG223&lt;=Hypothèses!$V$18,Hypothèses!$W$18,""))))))))))))</f>
        <v>#DIV/0!</v>
      </c>
      <c r="CB223" s="87" t="e">
        <f t="shared" ca="1" si="419"/>
        <v>#DIV/0!</v>
      </c>
      <c r="CC223" s="88" t="e">
        <f ca="1">IF(BG223&lt;=Hypothèses!$V$7,Hypothèses!$X$7,IF(BG223&lt;=Hypothèses!$V$8,Hypothèses!$X$8,IF(BG223&lt;=Hypothèses!$V$9,Hypothèses!$X$9,IF(BG223&lt;=Hypothèses!$V$10,Hypothèses!$X$10,IF(BG223&lt;=Hypothèses!$V$11,Hypothèses!$X$11,IF(BG223&lt;=Hypothèses!$V$12,Hypothèses!$X$12,IF(BG223&lt;=Hypothèses!$V$13,Hypothèses!$X$13,IF(BG223&lt;=Hypothèses!$V$14,Hypothèses!$X$14,IF(BG223&lt;=Hypothèses!$V$15,Hypothèses!$X$15,IF(BG223&lt;=Hypothèses!$V$16,Hypothèses!$X$16,IF(BG223&lt;=Hypothèses!$U$17,Hypothèses!$W$17,IF(BG223&lt;=Hypothèses!$U$18,Hypothèses!$W$18,""))))))))))))</f>
        <v>#DIV/0!</v>
      </c>
      <c r="CD223" s="95" t="e">
        <f t="shared" ca="1" si="381"/>
        <v>#DIV/0!</v>
      </c>
      <c r="CE223" s="101" t="e">
        <f t="shared" si="426"/>
        <v>#N/A</v>
      </c>
      <c r="CF223" s="91" t="e">
        <f t="shared" si="350"/>
        <v>#N/A</v>
      </c>
      <c r="CG223" s="30" t="e">
        <f t="shared" si="406"/>
        <v>#N/A</v>
      </c>
      <c r="CH223" s="30" t="e">
        <f t="shared" si="407"/>
        <v>#N/A</v>
      </c>
      <c r="CI223" s="31" t="e">
        <f>IF(OR(Hypothèses!$B$4=17,Hypothèses!$B$4=18,Hypothèses!$B$4=19,Hypothèses!$B$4=20),
IF($D223="Pressio.",
IF(OR($E223=3,$E223=1,$E223=4),CH223,CG223),
IF($D223="Pénétro.",
IF(OR($E223=3,$E223=1,$E223=4),CH223,CG223))),IF($D223="Pressio.",
IF($E223=3,CH223,CG223),
IF($D223="Pénétro.",
IF($E223=4,CH223,CG223))))</f>
        <v>#N/A</v>
      </c>
      <c r="CJ223" s="31" t="e">
        <f>(IF(OR(Hypothèses!$B$4=17,Hypothèses!$B$4=18,Hypothèses!$B$4=19,Hypothèses!$B$4=20),
IF($D223="Pressio.",
IF(OR($E223=3,$E223=1,$E223=4),(PI()*CJ$12^2)/4*(CF223*$W223*1000)/($H223*$B$5),(PI()*CJ$12^2)/4*(CF223*$W223*1000)/($G223*$B$5)),
IF($D223="Pénétro.",
IF(OR($E223=4,$E223=1,$E223=5),(PI()*CJ$12^2)/4*(CF223*$W223*1000)/($H223*$B$5),(PI()*CJ$12^2)/4*(CF223*$W223*1000)/($G223*$B$5)))),
IF($D223="Pressio.",
IF($E223=3,(PI()*CJ$12^2)/4*(CF223*$W223*1000)/($H223*$B$5),(PI()*CJ$12^2)/4*(CF223*$W223*1000)/($G223*$B$5)),
IF($D223="Pénétro.",
IF($E223=4,(PI()*CJ$12^2)/4*(CF223*$W223*1000)/($H223*$B$5),(PI()*CJ$12^2)/4*(CF223*$W223*1000)/($G223*$B$5))))))/10</f>
        <v>#N/A</v>
      </c>
      <c r="CK223" s="102" t="e">
        <f>(VLOOKUP($B$3,'Coeff EC7'!$T$39:$X$59,2,0)*CI223+VLOOKUP($B$3,'Coeff EC7'!$T$65:$X$85,2,0)*Model0.1C!CJ223)/1.1</f>
        <v>#N/A</v>
      </c>
      <c r="CL223" s="102" t="e">
        <f>(VLOOKUP($B$3,'Coeff EC7'!$T$39:$X$59,3,0)*CI223+VLOOKUP($B$3,'Coeff EC7'!$T$65:$X$85,3,0)*Model0.1C!CJ223)/0.9</f>
        <v>#N/A</v>
      </c>
      <c r="CM223" s="102" t="e">
        <f t="shared" si="382"/>
        <v>#N/A</v>
      </c>
      <c r="CN223" s="102" t="e">
        <f t="shared" si="383"/>
        <v>#N/A</v>
      </c>
      <c r="CO223" s="414" t="e">
        <f>IF(CO222=0,0,IF(AND(CK223&gt;charge_ELS_quasi,CL223&gt;Charge_ELS_freq,CM223&gt;charge_ELU,CN223&gt;charge_ELA,$B223&gt;NDC!$H$22-0.1+MIN(3*$CO$12,1.5)),0,1))</f>
        <v>#N/A</v>
      </c>
      <c r="CP223" s="86" t="b">
        <f t="shared" si="351"/>
        <v>0</v>
      </c>
      <c r="CQ223" s="86">
        <f t="shared" si="352"/>
        <v>0.5</v>
      </c>
      <c r="CR223" s="86">
        <f t="shared" si="353"/>
        <v>0.5</v>
      </c>
      <c r="CS223" s="30" t="e">
        <f t="shared" ca="1" si="384"/>
        <v>#DIV/0!</v>
      </c>
      <c r="CT223" s="85" t="e">
        <f ca="1">IF(BZ223&lt;=Hypothèses!$V$7,Hypothèses!$W$7,IF(BZ223&lt;=Hypothèses!$V$8,Hypothèses!$W$8,IF(BZ223&lt;=Hypothèses!$V$9,Hypothèses!$W$9,IF(BZ223&lt;=Hypothèses!$V$10,Hypothèses!$W$10,IF(BZ223&lt;=Hypothèses!$V$11,Hypothèses!$W$11,IF(BZ223&lt;=Hypothèses!$V$12,Hypothèses!$W$12,IF(BZ223&lt;=Hypothèses!$V$13,Hypothèses!$W$13,IF(BZ223&lt;=Hypothèses!$V$14,Hypothèses!$W$14,IF(BZ223&lt;=Hypothèses!$V$15,Hypothèses!$W$15,IF(BZ223&lt;=Hypothèses!$V$16,Hypothèses!$W$16,IF(BZ223&lt;=Hypothèses!$V$17,Hypothèses!$W$17,IF(BZ223&lt;=Hypothèses!$V$18,Hypothèses!$W$18,""))))))))))))</f>
        <v>#DIV/0!</v>
      </c>
      <c r="CU223" s="87" t="e">
        <f t="shared" ca="1" si="420"/>
        <v>#DIV/0!</v>
      </c>
      <c r="CV223" s="88" t="e">
        <f ca="1">IF(BZ223&lt;=Hypothèses!$V$7,Hypothèses!$X$7,IF(BZ223&lt;=Hypothèses!$V$8,Hypothèses!$X$8,IF(BZ223&lt;=Hypothèses!$V$9,Hypothèses!$X$9,IF(BZ223&lt;=Hypothèses!$V$10,Hypothèses!$X$10,IF(BZ223&lt;=Hypothèses!$V$11,Hypothèses!$X$11,IF(BZ223&lt;=Hypothèses!$V$12,Hypothèses!$X$12,IF(BZ223&lt;=Hypothèses!$V$13,Hypothèses!$X$13,IF(BZ223&lt;=Hypothèses!$V$14,Hypothèses!$X$14,IF(BZ223&lt;=Hypothèses!$V$15,Hypothèses!$X$15,IF(BZ223&lt;=Hypothèses!$V$16,Hypothèses!$X$16,IF(BZ223&lt;=Hypothèses!$U$17,Hypothèses!$W$17,IF(BZ223&lt;=Hypothèses!$U$18,Hypothèses!$W$18,""))))))))))))</f>
        <v>#DIV/0!</v>
      </c>
      <c r="CW223" s="95" t="e">
        <f t="shared" ca="1" si="385"/>
        <v>#DIV/0!</v>
      </c>
      <c r="CX223" s="101" t="e">
        <f t="shared" si="427"/>
        <v>#N/A</v>
      </c>
      <c r="CY223" s="91" t="e">
        <f t="shared" si="354"/>
        <v>#N/A</v>
      </c>
      <c r="CZ223" s="30" t="e">
        <f t="shared" si="408"/>
        <v>#N/A</v>
      </c>
      <c r="DA223" s="30" t="e">
        <f t="shared" si="409"/>
        <v>#N/A</v>
      </c>
      <c r="DB223" s="31" t="e">
        <f>IF(OR(Hypothèses!$B$4=17,Hypothèses!$B$4=18,Hypothèses!$B$4=19,Hypothèses!$B$4=20),
IF($D223="Pressio.",
IF(OR($E223=3,$E223=1,$E223=4),DA223,CZ223),
IF($D223="Pénétro.",
IF(OR($E223=3,$E223=1,$E223=4),DA223,CZ223))),IF($D223="Pressio.",
IF($E223=3,DA223,CZ223),
IF($D223="Pénétro.",
IF($E223=4,DA223,CZ223))))</f>
        <v>#N/A</v>
      </c>
      <c r="DC223" s="31" t="e">
        <f>(IF(OR(Hypothèses!$B$4=17,Hypothèses!$B$4=18,Hypothèses!$B$4=19,Hypothèses!$B$4=20),
IF($D223="Pressio.",
IF(OR($E223=3,$E223=1,$E223=4),(PI()*DC$12^2)/4*(CY223*$W223*1000)/($H223*$B$5),(PI()*DC$12^2)/4*(CY223*$W223*1000)/($G223*$B$5)),
IF($D223="Pénétro.",
IF(OR($E223=4,$E223=1,$E223=5),(PI()*DC$12^2)/4*(CY223*$W223*1000)/($H223*$B$5),(PI()*DC$12^2)/4*(CY223*$W223*1000)/($G223*$B$5)))),
IF($D223="Pressio.",
IF($E223=3,(PI()*DC$12^2)/4*(CY223*$W223*1000)/($H223*$B$5),(PI()*DC$12^2)/4*(CY223*$W223*1000)/($G223*$B$5)),
IF($D223="Pénétro.",
IF($E223=4,(PI()*DC$12^2)/4*(CY223*$W223*1000)/($H223*$B$5),(PI()*DC$12^2)/4*(CY223*$W223*1000)/($G223*$B$5))))))/10</f>
        <v>#N/A</v>
      </c>
      <c r="DD223" s="102" t="e">
        <f>(VLOOKUP($B$3,'Coeff EC7'!$T$39:$X$59,2,0)*DB223+VLOOKUP($B$3,'Coeff EC7'!$T$65:$X$85,2,0)*Model0.1C!DC223)/1.1</f>
        <v>#N/A</v>
      </c>
      <c r="DE223" s="102" t="e">
        <f>(VLOOKUP($B$3,'Coeff EC7'!$T$39:$X$59,3,0)*DB223+VLOOKUP($B$3,'Coeff EC7'!$T$65:$X$85,3,0)*Model0.1C!DC223)/0.9</f>
        <v>#N/A</v>
      </c>
      <c r="DF223" s="102" t="e">
        <f t="shared" si="386"/>
        <v>#N/A</v>
      </c>
      <c r="DG223" s="102" t="e">
        <f t="shared" si="387"/>
        <v>#N/A</v>
      </c>
      <c r="DH223" s="414" t="e">
        <f>IF(DH222=0,0,IF(AND(DD223&gt;charge_ELS_quasi,DE223&gt;Charge_ELS_freq,DF223&gt;charge_ELU,DG223&gt;charge_ELA,$B223&gt;NDC!$H$22-0.1+MIN(3*$DH$12,1.5)),0,1))</f>
        <v>#N/A</v>
      </c>
      <c r="DI223" s="86" t="b">
        <f t="shared" si="355"/>
        <v>0</v>
      </c>
      <c r="DJ223" s="86">
        <f t="shared" si="356"/>
        <v>0.5</v>
      </c>
      <c r="DK223" s="86">
        <f t="shared" si="357"/>
        <v>0.5</v>
      </c>
      <c r="DL223" s="30" t="e">
        <f t="shared" ca="1" si="388"/>
        <v>#DIV/0!</v>
      </c>
      <c r="DM223" s="85" t="e">
        <f ca="1">IF(CS223&lt;=Hypothèses!$V$7,Hypothèses!$W$7,IF(CS223&lt;=Hypothèses!$V$8,Hypothèses!$W$8,IF(CS223&lt;=Hypothèses!$V$9,Hypothèses!$W$9,IF(CS223&lt;=Hypothèses!$V$10,Hypothèses!$W$10,IF(CS223&lt;=Hypothèses!$V$11,Hypothèses!$W$11,IF(CS223&lt;=Hypothèses!$V$12,Hypothèses!$W$12,IF(CS223&lt;=Hypothèses!$V$13,Hypothèses!$W$13,IF(CS223&lt;=Hypothèses!$V$14,Hypothèses!$W$14,IF(CS223&lt;=Hypothèses!$V$15,Hypothèses!$W$15,IF(CS223&lt;=Hypothèses!$V$16,Hypothèses!$W$16,IF(CS223&lt;=Hypothèses!$V$17,Hypothèses!$W$17,IF(CS223&lt;=Hypothèses!$V$18,Hypothèses!$W$18,""))))))))))))</f>
        <v>#DIV/0!</v>
      </c>
      <c r="DN223" s="87" t="e">
        <f t="shared" ca="1" si="421"/>
        <v>#DIV/0!</v>
      </c>
      <c r="DO223" s="88" t="e">
        <f ca="1">IF(CS223&lt;=Hypothèses!$V$7,Hypothèses!$X$7,IF(CS223&lt;=Hypothèses!$V$8,Hypothèses!$X$8,IF(CS223&lt;=Hypothèses!$V$9,Hypothèses!$X$9,IF(CS223&lt;=Hypothèses!$V$10,Hypothèses!$X$10,IF(CS223&lt;=Hypothèses!$V$11,Hypothèses!$X$11,IF(CS223&lt;=Hypothèses!$V$12,Hypothèses!$X$12,IF(CS223&lt;=Hypothèses!$V$13,Hypothèses!$X$13,IF(CS223&lt;=Hypothèses!$V$14,Hypothèses!$X$14,IF(CS223&lt;=Hypothèses!$V$15,Hypothèses!$X$15,IF(CS223&lt;=Hypothèses!$V$16,Hypothèses!$X$16,IF(CS223&lt;=Hypothèses!$U$17,Hypothèses!$W$17,IF(CS223&lt;=Hypothèses!$U$18,Hypothèses!$W$18,""))))))))))))</f>
        <v>#DIV/0!</v>
      </c>
      <c r="DP223" s="95" t="e">
        <f t="shared" ca="1" si="389"/>
        <v>#DIV/0!</v>
      </c>
      <c r="DQ223" s="101" t="e">
        <f t="shared" si="428"/>
        <v>#N/A</v>
      </c>
      <c r="DR223" s="91" t="e">
        <f t="shared" si="358"/>
        <v>#N/A</v>
      </c>
      <c r="DS223" s="30" t="e">
        <f t="shared" si="410"/>
        <v>#N/A</v>
      </c>
      <c r="DT223" s="30" t="e">
        <f t="shared" si="411"/>
        <v>#N/A</v>
      </c>
      <c r="DU223" s="31" t="e">
        <f>IF(OR(Hypothèses!$B$4=17,Hypothèses!$B$4=18,Hypothèses!$B$4=19,Hypothèses!$B$4=20),
IF($D223="Pressio.",
IF(OR($E223=3,$E223=1,$E223=4),DT223,DS223),
IF($D223="Pénétro.",
IF(OR($E223=3,$E223=1,$E223=4),DT223,DS223))),IF($D223="Pressio.",
IF($E223=3,DT223,DS223),
IF($D223="Pénétro.",
IF($E223=4,DT223,DS223))))</f>
        <v>#N/A</v>
      </c>
      <c r="DV223" s="31" t="e">
        <f>(IF(OR(Hypothèses!$B$4=17,Hypothèses!$B$4=18,Hypothèses!$B$4=19,Hypothèses!$B$4=20),
IF($D223="Pressio.",
IF(OR($E223=3,$E223=1,$E223=4),(PI()*DV$12^2)/4*(DR223*$W223*1000)/($H223*$B$5),(PI()*DV$12^2)/4*(DR223*$W223*1000)/($G223*$B$5)),
IF($D223="Pénétro.",
IF(OR($E223=4,$E223=1,$E223=5),(PI()*DV$12^2)/4*(DR223*$W223*1000)/($H223*$B$5),(PI()*DV$12^2)/4*(DR223*$W223*1000)/($G223*$B$5)))),
IF($D223="Pressio.",
IF($E223=3,(PI()*DV$12^2)/4*(DR223*$W223*1000)/($H223*$B$5),(PI()*DV$12^2)/4*(DR223*$W223*1000)/($G223*$B$5)),
IF($D223="Pénétro.",
IF($E223=4,(PI()*DV$12^2)/4*(DR223*$W223*1000)/($H223*$B$5),(PI()*DV$12^2)/4*(DR223*$W223*1000)/($G223*$B$5))))))/10</f>
        <v>#N/A</v>
      </c>
      <c r="DW223" s="102" t="e">
        <f>(VLOOKUP($B$3,'Coeff EC7'!$T$39:$X$59,2,0)*DU223+VLOOKUP($B$3,'Coeff EC7'!$T$65:$X$85,2,0)*Model0.1C!DV223)/1.1</f>
        <v>#N/A</v>
      </c>
      <c r="DX223" s="102" t="e">
        <f>(VLOOKUP($B$3,'Coeff EC7'!$T$39:$X$59,3,0)*DU223+VLOOKUP($B$3,'Coeff EC7'!$T$65:$X$85,3,0)*Model0.1C!DV223)/0.9</f>
        <v>#N/A</v>
      </c>
      <c r="DY223" s="102" t="e">
        <f t="shared" si="390"/>
        <v>#N/A</v>
      </c>
      <c r="DZ223" s="102" t="e">
        <f t="shared" si="391"/>
        <v>#N/A</v>
      </c>
      <c r="EA223" s="414" t="e">
        <f>IF(EA222=0,0,IF(AND(DW223&gt;charge_ELS_quasi,DX223&gt;Charge_ELS_freq,DY223&gt;charge_ELU,DZ223&gt;charge_ELA,$B223&gt;NDC!$H$22-0.1+MIN(3*$EA$12,1.5)),0,1))</f>
        <v>#N/A</v>
      </c>
      <c r="EB223" s="86" t="b">
        <f t="shared" si="359"/>
        <v>0</v>
      </c>
      <c r="EC223" s="418">
        <f t="shared" si="360"/>
        <v>0.51</v>
      </c>
      <c r="ED223" s="86">
        <f t="shared" si="361"/>
        <v>0.51</v>
      </c>
      <c r="EE223" s="30" t="e">
        <f t="shared" ca="1" si="392"/>
        <v>#DIV/0!</v>
      </c>
      <c r="EF223" s="85" t="e">
        <f ca="1">IF(DL223&lt;=Hypothèses!$V$7,Hypothèses!$W$7,IF(DL223&lt;=Hypothèses!$V$8,Hypothèses!$W$8,IF(DL223&lt;=Hypothèses!$V$9,Hypothèses!$W$9,IF(DL223&lt;=Hypothèses!$V$10,Hypothèses!$W$10,IF(DL223&lt;=Hypothèses!$V$11,Hypothèses!$W$11,IF(DL223&lt;=Hypothèses!$V$12,Hypothèses!$W$12,IF(DL223&lt;=Hypothèses!$V$13,Hypothèses!$W$13,IF(DL223&lt;=Hypothèses!$V$14,Hypothèses!$W$14,IF(DL223&lt;=Hypothèses!$V$15,Hypothèses!$W$15,IF(DL223&lt;=Hypothèses!$V$16,Hypothèses!$W$16,IF(DL223&lt;=Hypothèses!$V$17,Hypothèses!$W$17,IF(DL223&lt;=Hypothèses!$V$18,Hypothèses!$W$18,""))))))))))))</f>
        <v>#DIV/0!</v>
      </c>
      <c r="EG223" s="87" t="e">
        <f t="shared" ca="1" si="422"/>
        <v>#DIV/0!</v>
      </c>
      <c r="EH223" s="88" t="e">
        <f ca="1">IF(DL223&lt;=Hypothèses!$V$7,Hypothèses!$X$7,IF(DL223&lt;=Hypothèses!$V$8,Hypothèses!$X$8,IF(DL223&lt;=Hypothèses!$V$9,Hypothèses!$X$9,IF(DL223&lt;=Hypothèses!$V$10,Hypothèses!$X$10,IF(DL223&lt;=Hypothèses!$V$11,Hypothèses!$X$11,IF(DL223&lt;=Hypothèses!$V$12,Hypothèses!$X$12,IF(DL223&lt;=Hypothèses!$V$13,Hypothèses!$X$13,IF(DL223&lt;=Hypothèses!$V$14,Hypothèses!$X$14,IF(DL223&lt;=Hypothèses!$V$15,Hypothèses!$X$15,IF(DL223&lt;=Hypothèses!$V$16,Hypothèses!$X$16,IF(DL223&lt;=Hypothèses!$U$17,Hypothèses!$W$17,IF(DL223&lt;=Hypothèses!$U$18,Hypothèses!$W$18,""))))))))))))</f>
        <v>#DIV/0!</v>
      </c>
      <c r="EI223" s="95" t="e">
        <f t="shared" ca="1" si="393"/>
        <v>#DIV/0!</v>
      </c>
      <c r="EJ223" s="101" t="e">
        <f t="shared" si="429"/>
        <v>#N/A</v>
      </c>
      <c r="EK223" s="91" t="e">
        <f t="shared" si="362"/>
        <v>#N/A</v>
      </c>
      <c r="EL223" s="30" t="e">
        <f t="shared" si="412"/>
        <v>#N/A</v>
      </c>
      <c r="EM223" s="30" t="e">
        <f t="shared" si="413"/>
        <v>#N/A</v>
      </c>
      <c r="EN223" s="31" t="e">
        <f>IF(OR(Hypothèses!$B$4=17,Hypothèses!$B$4=18,Hypothèses!$B$4=19,Hypothèses!$B$4=20),
IF($D223="Pressio.",
IF(OR($E223=3,$E223=1,$E223=4),EM223,EL223),
IF($D223="Pénétro.",
IF(OR($E223=3,$E223=1,$E223=4),EM223,EL223))),IF($D223="Pressio.",
IF($E223=3,EM223,EL223),
IF($D223="Pénétro.",
IF($E223=4,EM223,EL223))))</f>
        <v>#N/A</v>
      </c>
      <c r="EO223" s="31" t="e">
        <f>(IF(OR(Hypothèses!$B$4=17,Hypothèses!$B$4=18,Hypothèses!$B$4=19,Hypothèses!$B$4=20),
IF($D223="Pressio.",
IF(OR($E223=3,$E223=1,$E223=4),(PI()*EO$12^2)/4*(EK223*$W223*1000)/($H223*$B$5),(PI()*EO$12^2)/4*(EK223*$W223*1000)/($G223*$B$5)),
IF($D223="Pénétro.",
IF(OR($E223=4,$E223=1,$E223=5),(PI()*EO$12^2)/4*(EK223*$W223*1000)/($H223*$B$5),(PI()*EO$12^2)/4*(EK223*$W223*1000)/($G223*$B$5)))),
IF($D223="Pressio.",
IF($E223=3,(PI()*EO$12^2)/4*(EK223*$W223*1000)/($H223*$B$5),(PI()*EO$12^2)/4*(EK223*$W223*1000)/($G223*$B$5)),
IF($D223="Pénétro.",
IF($E223=4,(PI()*EO$12^2)/4*(EK223*$W223*1000)/($H223*$B$5),(PI()*EO$12^2)/4*(EK223*$W223*1000)/($G223*$B$5))))))/10</f>
        <v>#N/A</v>
      </c>
      <c r="EP223" s="102" t="e">
        <f>(VLOOKUP($B$3,'Coeff EC7'!$T$39:$X$59,2,0)*EN223+VLOOKUP($B$3,'Coeff EC7'!$T$65:$X$85,2,0)*Model0.1C!EO223)/1.1</f>
        <v>#N/A</v>
      </c>
      <c r="EQ223" s="102" t="e">
        <f>(VLOOKUP($B$3,'Coeff EC7'!$T$39:$X$59,3,0)*EN223+VLOOKUP($B$3,'Coeff EC7'!$T$65:$X$85,3,0)*Model0.1C!EO223)/0.9</f>
        <v>#N/A</v>
      </c>
      <c r="ER223" s="102" t="e">
        <f t="shared" si="394"/>
        <v>#N/A</v>
      </c>
      <c r="ES223" s="102" t="e">
        <f t="shared" si="395"/>
        <v>#N/A</v>
      </c>
      <c r="ET223" s="414" t="e">
        <f>IF(ET222=0,0,IF(AND(EP223&gt;charge_ELS_quasi,EQ223&gt;Charge_ELS_freq,ER223&gt;charge_ELU,ES223&gt;charge_ELA,$B223&gt;NDC!$H$22-0.1+MIN(3*$ET$12,1.5)),0,1))</f>
        <v>#N/A</v>
      </c>
      <c r="EU223" s="86" t="b">
        <f t="shared" si="363"/>
        <v>0</v>
      </c>
      <c r="EV223" s="86">
        <f t="shared" si="364"/>
        <v>0.61</v>
      </c>
      <c r="EW223" s="86">
        <f t="shared" si="365"/>
        <v>0.61</v>
      </c>
      <c r="EX223" s="30" t="e">
        <f t="shared" ca="1" si="396"/>
        <v>#DIV/0!</v>
      </c>
      <c r="EY223" s="85" t="e">
        <f ca="1">IF(EE223&lt;=Hypothèses!$V$7,Hypothèses!$W$7,IF(EE223&lt;=Hypothèses!$V$8,Hypothèses!$W$8,IF(EE223&lt;=Hypothèses!$V$9,Hypothèses!$W$9,IF(EE223&lt;=Hypothèses!$V$10,Hypothèses!$W$10,IF(EE223&lt;=Hypothèses!$V$11,Hypothèses!$W$11,IF(EE223&lt;=Hypothèses!$V$12,Hypothèses!$W$12,IF(EE223&lt;=Hypothèses!$V$13,Hypothèses!$W$13,IF(EE223&lt;=Hypothèses!$V$14,Hypothèses!$W$14,IF(EE223&lt;=Hypothèses!$V$15,Hypothèses!$W$15,IF(EE223&lt;=Hypothèses!$V$16,Hypothèses!$W$16,IF(EE223&lt;=Hypothèses!$V$17,Hypothèses!$W$17,IF(EE223&lt;=Hypothèses!$V$18,Hypothèses!$W$18,""))))))))))))</f>
        <v>#DIV/0!</v>
      </c>
      <c r="EZ223" s="87" t="e">
        <f t="shared" ca="1" si="423"/>
        <v>#DIV/0!</v>
      </c>
      <c r="FA223" s="88" t="e">
        <f ca="1">IF(EE223&lt;=Hypothèses!$V$7,Hypothèses!$X$7,IF(EE223&lt;=Hypothèses!$V$8,Hypothèses!$X$8,IF(EE223&lt;=Hypothèses!$V$9,Hypothèses!$X$9,IF(EE223&lt;=Hypothèses!$V$10,Hypothèses!$X$10,IF(EE223&lt;=Hypothèses!$V$11,Hypothèses!$X$11,IF(EE223&lt;=Hypothèses!$V$12,Hypothèses!$X$12,IF(EE223&lt;=Hypothèses!$V$13,Hypothèses!$X$13,IF(EE223&lt;=Hypothèses!$V$14,Hypothèses!$X$14,IF(EE223&lt;=Hypothèses!$V$15,Hypothèses!$X$15,IF(EE223&lt;=Hypothèses!$V$16,Hypothèses!$X$16,IF(EE223&lt;=Hypothèses!$U$17,Hypothèses!$W$17,IF(EE223&lt;=Hypothèses!$U$18,Hypothèses!$W$18,""))))))))))))</f>
        <v>#DIV/0!</v>
      </c>
      <c r="FB223" s="95" t="e">
        <f t="shared" ca="1" si="397"/>
        <v>#DIV/0!</v>
      </c>
      <c r="FC223" s="101" t="e">
        <f t="shared" si="430"/>
        <v>#N/A</v>
      </c>
      <c r="FD223" s="91" t="e">
        <f t="shared" si="366"/>
        <v>#N/A</v>
      </c>
      <c r="FE223" s="30" t="e">
        <f t="shared" si="414"/>
        <v>#N/A</v>
      </c>
      <c r="FF223" s="30" t="e">
        <f t="shared" si="415"/>
        <v>#N/A</v>
      </c>
      <c r="FG223" s="31" t="e">
        <f>IF(OR(Hypothèses!$B$4=17,Hypothèses!$B$4=18,Hypothèses!$B$4=19,Hypothèses!$B$4=20),
IF($D223="Pressio.",
IF(OR($E223=3,$E223=1,$E223=4),FF223,FE223),
IF($D223="Pénétro.",
IF(OR($E223=3,$E223=1,$E223=4),FF223,FE223))),IF($D223="Pressio.",
IF($E223=3,FF223,FE223),
IF($D223="Pénétro.",
IF($E223=4,FF223,FE223))))</f>
        <v>#N/A</v>
      </c>
      <c r="FH223" s="31" t="e">
        <f>(IF(OR(Hypothèses!$B$4=17,Hypothèses!$B$4=18,Hypothèses!$B$4=19,Hypothèses!$B$4=20),
IF($D223="Pressio.",
IF(OR($E223=3,$E223=1,$E223=4),(PI()*FH$12^2)/4*(FD223*$W223*1000)/($H223*$B$5),(PI()*FH$12^2)/4*(FD223*$W223*1000)/($G223*$B$5)),
IF($D223="Pénétro.",
IF(OR($E223=4,$E223=1,$E223=5),(PI()*FH$12^2)/4*(FD223*$W223*1000)/($H223*$B$5),(PI()*FH$12^2)/4*(FD223*$W223*1000)/($G223*$B$5)))),
IF($D223="Pressio.",
IF($E223=3,(PI()*FH$12^2)/4*(FD223*$W223*1000)/($H223*$B$5),(PI()*FH$12^2)/4*(FD223*$W223*1000)/($G223*$B$5)),
IF($D223="Pénétro.",
IF($E223=4,(PI()*FH$12^2)/4*(FD223*$W223*1000)/($H223*$B$5),(PI()*FH$12^2)/4*(FD223*$W223*1000)/($G223*$B$5))))))/10</f>
        <v>#N/A</v>
      </c>
      <c r="FI223" s="102" t="e">
        <f>(VLOOKUP($B$3,'Coeff EC7'!$T$39:$X$59,2,0)*FG223+VLOOKUP($B$3,'Coeff EC7'!$T$65:$X$85,2,0)*Model0.1C!FH223)/1.1</f>
        <v>#N/A</v>
      </c>
      <c r="FJ223" s="102" t="e">
        <f>(VLOOKUP($B$3,'Coeff EC7'!$T$39:$X$59,3,0)*FG223+VLOOKUP($B$3,'Coeff EC7'!$T$65:$X$85,3,0)*Model0.1C!FH223)/0.9</f>
        <v>#N/A</v>
      </c>
      <c r="FK223" s="102" t="e">
        <f t="shared" si="398"/>
        <v>#N/A</v>
      </c>
      <c r="FL223" s="102" t="e">
        <f t="shared" si="399"/>
        <v>#N/A</v>
      </c>
      <c r="FM223" s="414" t="e">
        <f>IF(FM222=0,0,IF(AND(FI223&gt;charge_ELS_quasi,FJ223&gt;Charge_ELS_freq,FK223&gt;charge_ELU,FL223&gt;charge_ELA,$B223&gt;NDC!$H$22-0.1+MIN(3*$FM$12,1.5)),0,1))</f>
        <v>#N/A</v>
      </c>
    </row>
    <row r="224" spans="1:169">
      <c r="A224" s="96">
        <f t="shared" si="367"/>
        <v>78.900000000001199</v>
      </c>
      <c r="B224" s="97">
        <v>21.1</v>
      </c>
      <c r="C224" s="81">
        <f>IF(B224&lt;=Hypothèses!$C$7,Hypothèses!$A$7,IF(B224&lt;=Hypothèses!$C$8,Hypothèses!$A$8,IF(B224&lt;=Hypothèses!$C$9,Hypothèses!$A$9,IF(B224&lt;=Hypothèses!$C$10,Hypothèses!$A$10,IF(B224&lt;=Hypothèses!$C$11,Hypothèses!$A$11,IF(B224&lt;=Hypothèses!$C$12,Hypothèses!$A$12,IF(B224&lt;=Hypothèses!$C$13,Hypothèses!$A$13,IF(B224&lt;=Hypothèses!$C$14,Hypothèses!$A$14,IF(B224&lt;=Hypothèses!$C$15,Hypothèses!$A$15,IF(B224&lt;=Hypothèses!$C$16,Hypothèses!$A$16,IF(B224&lt;=Hypothèses!$C$17,Hypothèses!$A$17,IF(B224&lt;=Hypothèses!$C$18,Hypothèses!$A$18,C223))))))))))))</f>
        <v>11</v>
      </c>
      <c r="D224" s="82" t="str">
        <f>IF(B224&lt;=Hypothèses!$C$7,Hypothèses!$R$7,IF(B224&lt;=Hypothèses!$C$8,Hypothèses!$R$8,IF(B224&lt;=Hypothèses!$C$9,Hypothèses!$R$9,IF(B224&lt;=Hypothèses!$C$10,Hypothèses!$R$10,IF(B224&lt;=Hypothèses!$C$11,Hypothèses!$R$11,IF(B224&lt;=Hypothèses!$C$12,Hypothèses!$R$12,IF(B224&lt;=Hypothèses!$C$13,Hypothèses!$R$13,IF(B224&lt;=Hypothèses!$C$14,Hypothèses!$R$14,IF(B224&lt;=Hypothèses!$C$15,Hypothèses!$R$15,IF(B224&lt;=Hypothèses!$C$16,Hypothèses!$R$16,IF(B224&lt;=Hypothèses!$C$17,Hypothèses!$R$17,IF(B224&lt;=Hypothèses!$C$18,Hypothèses!$R$18,D223))))))))))))</f>
        <v>Pressio.</v>
      </c>
      <c r="E224" s="82" t="e">
        <f>IF(B224&lt;=Hypothèses!$C$7,Hypothèses!$G$7,IF(B224&lt;=Hypothèses!$C$8,Hypothèses!$G$8,IF(B224&lt;=Hypothèses!$C$9,Hypothèses!$G$9,IF(B224&lt;=Hypothèses!$C$10,Hypothèses!$G$10,IF(B224&lt;=Hypothèses!$C$11,Hypothèses!$G$11,IF(B224&lt;=Hypothèses!$C$12,Hypothèses!$G$12,IF(B224&lt;=Hypothèses!$C$13,Hypothèses!$G$13,IF(B224&lt;=Hypothèses!$C$14,Hypothèses!$G$14,IF(B224&lt;=Hypothèses!$C$15,Hypothèses!$G$15,IF(B224&lt;=Hypothèses!$C$16,Hypothèses!$G$16,IF(B224&lt;=Hypothèses!$C$17,Hypothèses!$G$17,IF(B224&lt;=Hypothèses!$C$18,Hypothèses!$G$18,E223))))))))))))</f>
        <v>#N/A</v>
      </c>
      <c r="F224" s="82" t="str">
        <f>IF(B224&lt;=Hypothèses!$C$7,Hypothèses!$F$7,IF(B224&lt;=Hypothèses!$C$8,Hypothèses!$F$8,IF(B224&lt;=Hypothèses!$C$9,Hypothèses!$F$9,IF(B224&lt;=Hypothèses!$C$10,Hypothèses!$F$10,IF(B224&lt;=Hypothèses!$C$11,Hypothèses!$F$11,IF(B224&lt;=Hypothèses!$C$12,Hypothèses!$F$12,IF(B224&lt;=Hypothèses!$C$13,Hypothèses!$F$13,IF(B224&lt;=Hypothèses!$C$14,Hypothèses!$F$14,IF(B224&lt;=Hypothèses!$C$15,Hypothèses!$F$15,IF(B224&lt;=Hypothèses!$C$16,Hypothèses!$F$16,IF(B224&lt;=Hypothèses!$C$17,Hypothèses!$F$17,IF(B224&lt;=Hypothèses!$C$18,Hypothèses!$F$18,F223))))))))))))</f>
        <v/>
      </c>
      <c r="G224" s="91">
        <f t="array" ref="G224">INDEX('Coeff EC7'!$U$7:$X$27,
MATCH(Model0.1C!$B$3,'Coeff EC7'!$T$7:$T$27,0),
MATCH(Model0.1C!$D224&amp;Model0.1C!$B$4,
'Coeff EC7'!$U$6:$X$6&amp;
'Coeff EC7'!$U$5:$X$5,0))</f>
        <v>1.1499999999999999</v>
      </c>
      <c r="H224" s="91">
        <f t="array" ref="H224">INDEX('Coeff EC7'!$Y$7:$AB$27,
MATCH(Model0.1C!$B$3,'Coeff EC7'!$T$7:$T$27,0),
MATCH(Model0.1C!$D224&amp;Model0.1C!$B$4,
'Coeff EC7'!$Y$6:$AB$6&amp;
'Coeff EC7'!$Y$5:$AB$5,0))</f>
        <v>1.4</v>
      </c>
      <c r="I224" s="83" t="e">
        <f>IF(B224&lt;=Hypothèses!$C$7,Hypothèses!$P$7,IF(B224&lt;=Hypothèses!$C$8,Hypothèses!$P$8,IF(B224&lt;=Hypothèses!$C$9,Hypothèses!$P$9,IF(B224&lt;=Hypothèses!$C$10,Hypothèses!$P$10,IF(B224&lt;=Hypothèses!$C$11,Hypothèses!$P$11,IF(B224&lt;=Hypothèses!$C$12,Hypothèses!$P$12,IF(B224&lt;=Hypothèses!$C$13,Hypothèses!$P$13,IF(B224&lt;=Hypothèses!$C$14,Hypothèses!$P$14,IF(B224&lt;=Hypothèses!$C$15,Hypothèses!$P$15,IF(B224&lt;=Hypothèses!$C$16,Hypothèses!$P$16,IF(B224&lt;=Hypothèses!$C$17,Hypothèses!$P$17,IF(B224&lt;=Hypothèses!$C$18,Hypothèses!$P$18,I223))))))))))))</f>
        <v>#N/A</v>
      </c>
      <c r="J224" s="91" t="e">
        <f t="array" ref="J224">INDEX('Coeff EC7'!$D$33:$Q$33,1,MATCH(D224&amp;E224,'Coeff EC7'!$D$31:$Q$31&amp;'Coeff EC7'!$D$32:$Q$32,0))</f>
        <v>#N/A</v>
      </c>
      <c r="K224" s="91" t="e">
        <f t="array" ref="K224">INDEX('Coeff EC7'!$D$34:$Q$34,1,MATCH(D224&amp;E224,'Coeff EC7'!$D$31:$Q$31&amp;'Coeff EC7'!$D$32:$Q$32,0))</f>
        <v>#N/A</v>
      </c>
      <c r="L224" s="91" t="e">
        <f t="array" ref="L224">INDEX('Coeff EC7'!$D$35:$Q$35,1,MATCH(D224&amp;E224,'Coeff EC7'!$D$31:$Q$31&amp;'Coeff EC7'!$D$32:$Q$32,0))</f>
        <v>#N/A</v>
      </c>
      <c r="M224" s="98" t="e">
        <f t="shared" si="331"/>
        <v>#N/A</v>
      </c>
      <c r="N224" s="99" t="e">
        <f t="array" ref="N224">INDEX('Coeff EC7'!$D$7:$Q$27,MATCH($B$3,'Coeff EC7'!$C$7:$C$27,0),MATCH(D224&amp;E224,'Coeff EC7'!$D$5:$Q$5&amp;'Coeff EC7'!$D$6:$Q$6,0))</f>
        <v>#N/A</v>
      </c>
      <c r="O224" s="99" t="e">
        <f t="array" ref="O224">INDEX('Coeff EC7'!$D$41:$Q$61,MATCH($B$3,'Coeff EC7'!$C$41:$C$61,0),MATCH(D224&amp;E224,'Coeff EC7'!$D$39:$Q$39&amp;'Coeff EC7'!$D$40:$Q$40,0))</f>
        <v>#N/A</v>
      </c>
      <c r="P224" s="30" t="e">
        <f t="shared" si="368"/>
        <v>#N/A</v>
      </c>
      <c r="Q224" s="100" t="e">
        <f t="shared" si="333"/>
        <v>#N/A</v>
      </c>
      <c r="R224" s="86" t="b">
        <f t="shared" si="334"/>
        <v>0</v>
      </c>
      <c r="S224" s="86">
        <f t="shared" si="332"/>
        <v>0.5</v>
      </c>
      <c r="T224" s="86">
        <f t="shared" si="335"/>
        <v>0.5</v>
      </c>
      <c r="U224" s="30" t="e">
        <f t="shared" ca="1" si="369"/>
        <v>#DIV/0!</v>
      </c>
      <c r="V224" s="85" t="str">
        <f>IF(B224&lt;=Hypothèses!$V$7,Hypothèses!$W$7,IF(B224&lt;=Hypothèses!$V$8,Hypothèses!$W$8,IF(B224&lt;=Hypothèses!$V$9,Hypothèses!$W$9,IF(B224&lt;=Hypothèses!$V$10,Hypothèses!$W$10,IF(B224&lt;=Hypothèses!$V$11,Hypothèses!$W$11,IF(B224&lt;=Hypothèses!$V$12,Hypothèses!$W$12,IF(B224&lt;=Hypothèses!$V$13,Hypothèses!$W$13,IF(B224&lt;=Hypothèses!$V$14,Hypothèses!$W$14,IF(B224&lt;=Hypothèses!$V$15,Hypothèses!$W$15,IF(B224&lt;=Hypothèses!$V$16,Hypothèses!$W$16,IF(B224&lt;=Hypothèses!$V$17,Hypothèses!$W$17,IF(B224&lt;=Hypothèses!$V$18,Hypothèses!$W$18,""))))))))))))</f>
        <v/>
      </c>
      <c r="W224" s="87" t="e">
        <f t="shared" ca="1" si="416"/>
        <v>#DIV/0!</v>
      </c>
      <c r="X224" s="88" t="str">
        <f>IF(B224&lt;=Hypothèses!$V$7,Hypothèses!$X$7,IF(B224&lt;=Hypothèses!$V$8,Hypothèses!$X$8,IF(B224&lt;=Hypothèses!$V$9,Hypothèses!$X$9,IF(B224&lt;=Hypothèses!$V$10,Hypothèses!$X$10,IF(B224&lt;=Hypothèses!$V$11,Hypothèses!$X$11,IF(B224&lt;=Hypothèses!$V$12,Hypothèses!$X$12,IF(B224&lt;=Hypothèses!$V$13,Hypothèses!$X$13,IF(B224&lt;=Hypothèses!$V$14,Hypothèses!$X$14,IF(B224&lt;=Hypothèses!$V$15,Hypothèses!$X$15,IF(B224&lt;=Hypothèses!$V$16,Hypothèses!$X$16,IF(B224&lt;=Hypothèses!$U$17,Hypothèses!$W$17,IF(B224&lt;=Hypothèses!$U$18,Hypothèses!$W$18,""))))))))))))</f>
        <v/>
      </c>
      <c r="Y224" s="95" t="e">
        <f t="shared" ca="1" si="336"/>
        <v>#DIV/0!</v>
      </c>
      <c r="Z224" s="101" t="e">
        <f t="shared" si="337"/>
        <v>#N/A</v>
      </c>
      <c r="AA224" s="91" t="e">
        <f t="shared" si="338"/>
        <v>#N/A</v>
      </c>
      <c r="AB224" s="30" t="e">
        <f t="shared" si="400"/>
        <v>#N/A</v>
      </c>
      <c r="AC224" s="30" t="e">
        <f t="shared" si="401"/>
        <v>#N/A</v>
      </c>
      <c r="AD224" s="31" t="e">
        <f>IF(OR(Hypothèses!$B$4=17,Hypothèses!$B$4=18,Hypothèses!$B$4=19,Hypothèses!$B$4=20),
IF($D224="Pressio.",
IF(OR($E224=3,$E224=1,$E224=4),AC224,AB224),
IF($D224="Pénétro.",
IF(OR($E224=3,$E224=1,$E224=4),AC224,AB224))),IF($D224="Pressio.",
IF($E224=3,AC224,AB224),
IF($D224="Pénétro.",
IF($E224=4,AC224,AB224))))</f>
        <v>#N/A</v>
      </c>
      <c r="AE224" s="31" t="e">
        <f>(IF(OR(Hypothèses!$B$4=17,Hypothèses!$B$4=18,Hypothèses!$B$4=19,Hypothèses!$B$4=20),
IF($D224="Pressio.",
IF(OR($E224=3,$E224=1,$E224=4),(PI()*AE$12^2)/4*(AA224*$W224*1000)/($H224*$B$5),(PI()*AE$12^2)/4*(AA224*$W224*1000)/($G224*$B$5)),
IF($D224="Pénétro.",
IF(OR($E224=4,$E224=1,$E224=5),(PI()*AE$12^2)/4*(AA224*$W224*1000)/($H224*$B$5),(PI()*AE$12^2)/4*(AA224*$W224*1000)/($G224*$B$5)))),
IF($D224="Pressio.",
IF($E224=3,(PI()*AE$12^2)/4*(AA224*$W224*1000)/($H224*$B$5),(PI()*AE$12^2)/4*(AA224*$W224*1000)/($G224*$B$5)),
IF($D224="Pénétro.",
IF($E224=4,(PI()*AE$12^2)/4*(AA224*$W224*1000)/($H224*$B$5),(PI()*AE$12^2)/4*(AA224*$W224*1000)/($G224*$B$5))))))/10</f>
        <v>#N/A</v>
      </c>
      <c r="AF224" s="102" t="e">
        <f>(VLOOKUP($B$3,'Coeff EC7'!$T$39:$X$59,2,0)*AD224+VLOOKUP($B$3,'Coeff EC7'!$T$65:$X$85,2,0)*Model0.1C!AE224)/1.1</f>
        <v>#N/A</v>
      </c>
      <c r="AG224" s="102" t="e">
        <f>(VLOOKUP($B$3,'Coeff EC7'!$T$39:$X$59,3,0)*AD224+VLOOKUP($B$3,'Coeff EC7'!$T$65:$X$85,3,0)*Model0.1C!AE224)/0.9</f>
        <v>#N/A</v>
      </c>
      <c r="AH224" s="102" t="e">
        <f t="shared" si="339"/>
        <v>#N/A</v>
      </c>
      <c r="AI224" s="102" t="e">
        <f t="shared" si="340"/>
        <v>#N/A</v>
      </c>
      <c r="AJ224" s="414" t="e">
        <f>IF(AJ223=0,0,IF(AND(AF224&gt;charge_ELS_quasi,AG224&gt;Charge_ELS_freq,AH224&gt;charge_ELU,AI224&gt;charge_ELA,$B224&gt;NDC!$H$22-0.1+MIN(3*$AJ$12,1.5)),0,1))</f>
        <v>#N/A</v>
      </c>
      <c r="AK224" s="86" t="b">
        <f t="shared" si="341"/>
        <v>0</v>
      </c>
      <c r="AL224" s="86">
        <f t="shared" si="370"/>
        <v>0.5</v>
      </c>
      <c r="AM224" s="86">
        <f t="shared" si="342"/>
        <v>0.5</v>
      </c>
      <c r="AN224" s="30" t="e">
        <f t="shared" ca="1" si="371"/>
        <v>#DIV/0!</v>
      </c>
      <c r="AO224" s="85" t="e">
        <f ca="1">IF(U224&lt;=Hypothèses!$V$7,Hypothèses!$W$7,IF(U224&lt;=Hypothèses!$V$8,Hypothèses!$W$8,IF(U224&lt;=Hypothèses!$V$9,Hypothèses!$W$9,IF(U224&lt;=Hypothèses!$V$10,Hypothèses!$W$10,IF(U224&lt;=Hypothèses!$V$11,Hypothèses!$W$11,IF(U224&lt;=Hypothèses!$V$12,Hypothèses!$W$12,IF(U224&lt;=Hypothèses!$V$13,Hypothèses!$W$13,IF(U224&lt;=Hypothèses!$V$14,Hypothèses!$W$14,IF(U224&lt;=Hypothèses!$V$15,Hypothèses!$W$15,IF(U224&lt;=Hypothèses!$V$16,Hypothèses!$W$16,IF(U224&lt;=Hypothèses!$V$17,Hypothèses!$W$17,IF(U224&lt;=Hypothèses!$V$18,Hypothèses!$W$18,""))))))))))))</f>
        <v>#DIV/0!</v>
      </c>
      <c r="AP224" s="87" t="e">
        <f t="shared" ca="1" si="417"/>
        <v>#DIV/0!</v>
      </c>
      <c r="AQ224" s="88" t="e">
        <f ca="1">IF(U224&lt;=Hypothèses!$V$7,Hypothèses!$X$7,IF(U224&lt;=Hypothèses!$V$8,Hypothèses!$X$8,IF(U224&lt;=Hypothèses!$V$9,Hypothèses!$X$9,IF(U224&lt;=Hypothèses!$V$10,Hypothèses!$X$10,IF(U224&lt;=Hypothèses!$V$11,Hypothèses!$X$11,IF(U224&lt;=Hypothèses!$V$12,Hypothèses!$X$12,IF(U224&lt;=Hypothèses!$V$13,Hypothèses!$X$13,IF(U224&lt;=Hypothèses!$V$14,Hypothèses!$X$14,IF(U224&lt;=Hypothèses!$V$15,Hypothèses!$X$15,IF(U224&lt;=Hypothèses!$V$16,Hypothèses!$X$16,IF(U224&lt;=Hypothèses!$U$17,Hypothèses!$W$17,IF(U224&lt;=Hypothèses!$U$18,Hypothèses!$W$18,""))))))))))))</f>
        <v>#DIV/0!</v>
      </c>
      <c r="AR224" s="95" t="e">
        <f t="shared" ca="1" si="372"/>
        <v>#DIV/0!</v>
      </c>
      <c r="AS224" s="101" t="e">
        <f t="shared" si="424"/>
        <v>#N/A</v>
      </c>
      <c r="AT224" s="91" t="e">
        <f t="shared" si="343"/>
        <v>#N/A</v>
      </c>
      <c r="AU224" s="30" t="e">
        <f t="shared" si="402"/>
        <v>#N/A</v>
      </c>
      <c r="AV224" s="30" t="e">
        <f t="shared" si="403"/>
        <v>#N/A</v>
      </c>
      <c r="AW224" s="31" t="e">
        <f>IF(OR(Hypothèses!$B$4=17,Hypothèses!$B$4=18,Hypothèses!$B$4=19,Hypothèses!$B$4=20),
IF($D224="Pressio.",
IF(OR($E224=3,$E224=1,$E224=4),AV224,AU224),
IF($D224="Pénétro.",
IF(OR($E224=3,$E224=1,$E224=4),AV224,AU224))),IF($D224="Pressio.",
IF($E224=3,AV224,AU224),
IF($D224="Pénétro.",
IF($E224=4,AV224,AU224))))</f>
        <v>#N/A</v>
      </c>
      <c r="AX224" s="31" t="e">
        <f>(IF(OR(Hypothèses!$B$4=17,Hypothèses!$B$4=18,Hypothèses!$B$4=19,Hypothèses!$B$4=20),
IF($D224="Pressio.",
IF(OR($E224=3,$E224=1,$E224=4),(PI()*AX$12^2)/4*(AT224*$W224*1000)/($H224*$B$5),(PI()*AX$12^2)/4*(AT224*$W224*1000)/($G224*$B$5)),
IF($D224="Pénétro.",
IF(OR($E224=4,$E224=1,$E224=5),(PI()*AX$12^2)/4*(AT224*$W224*1000)/($H224*$B$5),(PI()*AX$12^2)/4*(AT224*$W224*1000)/($G224*$B$5)))),
IF($D224="Pressio.",
IF($E224=3,(PI()*AX$12^2)/4*(AT224*$W224*1000)/($H224*$B$5),(PI()*AX$12^2)/4*(AT224*$W224*1000)/($G224*$B$5)),
IF($D224="Pénétro.",
IF($E224=4,(PI()*AX$12^2)/4*(AT224*$W224*1000)/($H224*$B$5),(PI()*AX$12^2)/4*(AT224*$W224*1000)/($G224*$B$5))))))/10</f>
        <v>#N/A</v>
      </c>
      <c r="AY224" s="102" t="e">
        <f>(VLOOKUP($B$3,'Coeff EC7'!$T$39:$X$59,2,0)*AW224+VLOOKUP($B$3,'Coeff EC7'!$T$65:$X$85,2,0)*Model0.1C!AX224)/1.1</f>
        <v>#N/A</v>
      </c>
      <c r="AZ224" s="102" t="e">
        <f>(VLOOKUP($B$3,'Coeff EC7'!$T$39:$X$59,3,0)*AW224+VLOOKUP($B$3,'Coeff EC7'!$T$65:$X$85,3,0)*Model0.1C!AX224)/0.9</f>
        <v>#N/A</v>
      </c>
      <c r="BA224" s="102" t="e">
        <f t="shared" si="373"/>
        <v>#N/A</v>
      </c>
      <c r="BB224" s="102" t="e">
        <f t="shared" si="374"/>
        <v>#N/A</v>
      </c>
      <c r="BC224" s="414" t="e">
        <f>IF(BC223=0,0,IF(AND(AY224&gt;charge_ELS_quasi,AZ224&gt;Charge_ELS_freq,BA224&gt;charge_ELU,BB224&gt;charge_ELA,$B224&gt;NDC!$H$22-0.1+MIN(3*$BC$12,1.5)),0,1))</f>
        <v>#N/A</v>
      </c>
      <c r="BD224" s="86" t="b">
        <f t="shared" si="344"/>
        <v>0</v>
      </c>
      <c r="BE224" s="86">
        <f t="shared" si="375"/>
        <v>0.5</v>
      </c>
      <c r="BF224" s="86">
        <f t="shared" si="345"/>
        <v>0.5</v>
      </c>
      <c r="BG224" s="30" t="e">
        <f t="shared" ca="1" si="376"/>
        <v>#DIV/0!</v>
      </c>
      <c r="BH224" s="85" t="e">
        <f ca="1">IF(AN224&lt;=Hypothèses!$V$7,Hypothèses!$W$7,IF(AN224&lt;=Hypothèses!$V$8,Hypothèses!$W$8,IF(AN224&lt;=Hypothèses!$V$9,Hypothèses!$W$9,IF(AN224&lt;=Hypothèses!$V$10,Hypothèses!$W$10,IF(AN224&lt;=Hypothèses!$V$11,Hypothèses!$W$11,IF(AN224&lt;=Hypothèses!$V$12,Hypothèses!$W$12,IF(AN224&lt;=Hypothèses!$V$13,Hypothèses!$W$13,IF(AN224&lt;=Hypothèses!$V$14,Hypothèses!$W$14,IF(AN224&lt;=Hypothèses!$V$15,Hypothèses!$W$15,IF(AN224&lt;=Hypothèses!$V$16,Hypothèses!$W$16,IF(AN224&lt;=Hypothèses!$V$17,Hypothèses!$W$17,IF(AN224&lt;=Hypothèses!$V$18,Hypothèses!$W$18,""))))))))))))</f>
        <v>#DIV/0!</v>
      </c>
      <c r="BI224" s="87" t="e">
        <f t="shared" ca="1" si="418"/>
        <v>#DIV/0!</v>
      </c>
      <c r="BJ224" s="88" t="e">
        <f ca="1">IF(AN224&lt;=Hypothèses!$V$7,Hypothèses!$X$7,IF(AN224&lt;=Hypothèses!$V$8,Hypothèses!$X$8,IF(AN224&lt;=Hypothèses!$V$9,Hypothèses!$X$9,IF(AN224&lt;=Hypothèses!$V$10,Hypothèses!$X$10,IF(AN224&lt;=Hypothèses!$V$11,Hypothèses!$X$11,IF(AN224&lt;=Hypothèses!$V$12,Hypothèses!$X$12,IF(AN224&lt;=Hypothèses!$V$13,Hypothèses!$X$13,IF(AN224&lt;=Hypothèses!$V$14,Hypothèses!$X$14,IF(AN224&lt;=Hypothèses!$V$15,Hypothèses!$X$15,IF(AN224&lt;=Hypothèses!$V$16,Hypothèses!$X$16,IF(AN224&lt;=Hypothèses!$U$17,Hypothèses!$W$17,IF(AN224&lt;=Hypothèses!$U$18,Hypothèses!$W$18,""))))))))))))</f>
        <v>#DIV/0!</v>
      </c>
      <c r="BK224" s="95" t="e">
        <f t="shared" ca="1" si="377"/>
        <v>#DIV/0!</v>
      </c>
      <c r="BL224" s="101" t="e">
        <f t="shared" si="425"/>
        <v>#N/A</v>
      </c>
      <c r="BM224" s="91" t="e">
        <f t="shared" si="346"/>
        <v>#N/A</v>
      </c>
      <c r="BN224" s="30" t="e">
        <f t="shared" si="404"/>
        <v>#N/A</v>
      </c>
      <c r="BO224" s="30" t="e">
        <f t="shared" si="405"/>
        <v>#N/A</v>
      </c>
      <c r="BP224" s="31" t="e">
        <f>IF(OR(Hypothèses!$B$4=17,Hypothèses!$B$4=18,Hypothèses!$B$4=19,Hypothèses!$B$4=20),
IF($D224="Pressio.",
IF(OR($E224=3,$E224=1,$E224=4),BO224,BN224),
IF($D224="Pénétro.",
IF(OR($E224=3,$E224=1,$E224=4),BO224,BN224))),IF($D224="Pressio.",
IF($E224=3,BO224,BN224),
IF($D224="Pénétro.",
IF($E224=4,BO224,BN224))))</f>
        <v>#N/A</v>
      </c>
      <c r="BQ224" s="31" t="e">
        <f>(IF(OR(Hypothèses!$B$4=17,Hypothèses!$B$4=18,Hypothèses!$B$4=19,Hypothèses!$B$4=20),
IF($D224="Pressio.",
IF(OR($E224=3,$E224=1,$E224=4),(PI()*BQ$12^2)/4*(BM224*$W224*1000)/($H224*$B$5),(PI()*BQ$12^2)/4*(BM224*$W224*1000)/($G224*$B$5)),
IF($D224="Pénétro.",
IF(OR($E224=4,$E224=1,$E224=5),(PI()*BQ$12^2)/4*(BM224*$W224*1000)/($H224*$B$5),(PI()*BQ$12^2)/4*(BM224*$W224*1000)/($G224*$B$5)))),
IF($D224="Pressio.",
IF($E224=3,(PI()*BQ$12^2)/4*(BM224*$W224*1000)/($H224*$B$5),(PI()*BQ$12^2)/4*(BM224*$W224*1000)/($G224*$B$5)),
IF($D224="Pénétro.",
IF($E224=4,(PI()*BQ$12^2)/4*(BM224*$W224*1000)/($H224*$B$5),(PI()*BQ$12^2)/4*(BM224*$W224*1000)/($G224*$B$5))))))/10</f>
        <v>#N/A</v>
      </c>
      <c r="BR224" s="102" t="e">
        <f>(VLOOKUP($B$3,'Coeff EC7'!$T$39:$X$59,2,0)*BP224+VLOOKUP($B$3,'Coeff EC7'!$T$65:$X$85,2,0)*Model0.1C!BQ224)/1.1</f>
        <v>#N/A</v>
      </c>
      <c r="BS224" s="102" t="e">
        <f>(VLOOKUP($B$3,'Coeff EC7'!$T$39:$X$59,3,0)*BP224+VLOOKUP($B$3,'Coeff EC7'!$T$65:$X$85,3,0)*Model0.1C!BQ224)/0.9</f>
        <v>#N/A</v>
      </c>
      <c r="BT224" s="102" t="e">
        <f t="shared" si="378"/>
        <v>#N/A</v>
      </c>
      <c r="BU224" s="102" t="e">
        <f t="shared" si="379"/>
        <v>#N/A</v>
      </c>
      <c r="BV224" s="414" t="e">
        <f>IF(BV223=0,0,IF(AND(BR224&gt;charge_ELS_quasi,BS224&gt;Charge_ELS_freq,BT224&gt;charge_ELU,BU224&gt;charge_ELA,$B224&gt;NDC!$H$22-0.1+MIN(3*$BV$12,1.5)),0,1))</f>
        <v>#N/A</v>
      </c>
      <c r="BW224" s="86" t="b">
        <f t="shared" si="347"/>
        <v>0</v>
      </c>
      <c r="BX224" s="86">
        <f t="shared" si="348"/>
        <v>0.5</v>
      </c>
      <c r="BY224" s="86">
        <f t="shared" si="349"/>
        <v>0.5</v>
      </c>
      <c r="BZ224" s="30" t="e">
        <f t="shared" ca="1" si="380"/>
        <v>#DIV/0!</v>
      </c>
      <c r="CA224" s="85" t="e">
        <f ca="1">IF(BG224&lt;=Hypothèses!$V$7,Hypothèses!$W$7,IF(BG224&lt;=Hypothèses!$V$8,Hypothèses!$W$8,IF(BG224&lt;=Hypothèses!$V$9,Hypothèses!$W$9,IF(BG224&lt;=Hypothèses!$V$10,Hypothèses!$W$10,IF(BG224&lt;=Hypothèses!$V$11,Hypothèses!$W$11,IF(BG224&lt;=Hypothèses!$V$12,Hypothèses!$W$12,IF(BG224&lt;=Hypothèses!$V$13,Hypothèses!$W$13,IF(BG224&lt;=Hypothèses!$V$14,Hypothèses!$W$14,IF(BG224&lt;=Hypothèses!$V$15,Hypothèses!$W$15,IF(BG224&lt;=Hypothèses!$V$16,Hypothèses!$W$16,IF(BG224&lt;=Hypothèses!$V$17,Hypothèses!$W$17,IF(BG224&lt;=Hypothèses!$V$18,Hypothèses!$W$18,""))))))))))))</f>
        <v>#DIV/0!</v>
      </c>
      <c r="CB224" s="87" t="e">
        <f t="shared" ca="1" si="419"/>
        <v>#DIV/0!</v>
      </c>
      <c r="CC224" s="88" t="e">
        <f ca="1">IF(BG224&lt;=Hypothèses!$V$7,Hypothèses!$X$7,IF(BG224&lt;=Hypothèses!$V$8,Hypothèses!$X$8,IF(BG224&lt;=Hypothèses!$V$9,Hypothèses!$X$9,IF(BG224&lt;=Hypothèses!$V$10,Hypothèses!$X$10,IF(BG224&lt;=Hypothèses!$V$11,Hypothèses!$X$11,IF(BG224&lt;=Hypothèses!$V$12,Hypothèses!$X$12,IF(BG224&lt;=Hypothèses!$V$13,Hypothèses!$X$13,IF(BG224&lt;=Hypothèses!$V$14,Hypothèses!$X$14,IF(BG224&lt;=Hypothèses!$V$15,Hypothèses!$X$15,IF(BG224&lt;=Hypothèses!$V$16,Hypothèses!$X$16,IF(BG224&lt;=Hypothèses!$U$17,Hypothèses!$W$17,IF(BG224&lt;=Hypothèses!$U$18,Hypothèses!$W$18,""))))))))))))</f>
        <v>#DIV/0!</v>
      </c>
      <c r="CD224" s="95" t="e">
        <f t="shared" ca="1" si="381"/>
        <v>#DIV/0!</v>
      </c>
      <c r="CE224" s="101" t="e">
        <f t="shared" si="426"/>
        <v>#N/A</v>
      </c>
      <c r="CF224" s="91" t="e">
        <f t="shared" si="350"/>
        <v>#N/A</v>
      </c>
      <c r="CG224" s="30" t="e">
        <f t="shared" si="406"/>
        <v>#N/A</v>
      </c>
      <c r="CH224" s="30" t="e">
        <f t="shared" si="407"/>
        <v>#N/A</v>
      </c>
      <c r="CI224" s="31" t="e">
        <f>IF(OR(Hypothèses!$B$4=17,Hypothèses!$B$4=18,Hypothèses!$B$4=19,Hypothèses!$B$4=20),
IF($D224="Pressio.",
IF(OR($E224=3,$E224=1,$E224=4),CH224,CG224),
IF($D224="Pénétro.",
IF(OR($E224=3,$E224=1,$E224=4),CH224,CG224))),IF($D224="Pressio.",
IF($E224=3,CH224,CG224),
IF($D224="Pénétro.",
IF($E224=4,CH224,CG224))))</f>
        <v>#N/A</v>
      </c>
      <c r="CJ224" s="31" t="e">
        <f>(IF(OR(Hypothèses!$B$4=17,Hypothèses!$B$4=18,Hypothèses!$B$4=19,Hypothèses!$B$4=20),
IF($D224="Pressio.",
IF(OR($E224=3,$E224=1,$E224=4),(PI()*CJ$12^2)/4*(CF224*$W224*1000)/($H224*$B$5),(PI()*CJ$12^2)/4*(CF224*$W224*1000)/($G224*$B$5)),
IF($D224="Pénétro.",
IF(OR($E224=4,$E224=1,$E224=5),(PI()*CJ$12^2)/4*(CF224*$W224*1000)/($H224*$B$5),(PI()*CJ$12^2)/4*(CF224*$W224*1000)/($G224*$B$5)))),
IF($D224="Pressio.",
IF($E224=3,(PI()*CJ$12^2)/4*(CF224*$W224*1000)/($H224*$B$5),(PI()*CJ$12^2)/4*(CF224*$W224*1000)/($G224*$B$5)),
IF($D224="Pénétro.",
IF($E224=4,(PI()*CJ$12^2)/4*(CF224*$W224*1000)/($H224*$B$5),(PI()*CJ$12^2)/4*(CF224*$W224*1000)/($G224*$B$5))))))/10</f>
        <v>#N/A</v>
      </c>
      <c r="CK224" s="102" t="e">
        <f>(VLOOKUP($B$3,'Coeff EC7'!$T$39:$X$59,2,0)*CI224+VLOOKUP($B$3,'Coeff EC7'!$T$65:$X$85,2,0)*Model0.1C!CJ224)/1.1</f>
        <v>#N/A</v>
      </c>
      <c r="CL224" s="102" t="e">
        <f>(VLOOKUP($B$3,'Coeff EC7'!$T$39:$X$59,3,0)*CI224+VLOOKUP($B$3,'Coeff EC7'!$T$65:$X$85,3,0)*Model0.1C!CJ224)/0.9</f>
        <v>#N/A</v>
      </c>
      <c r="CM224" s="102" t="e">
        <f t="shared" si="382"/>
        <v>#N/A</v>
      </c>
      <c r="CN224" s="102" t="e">
        <f t="shared" si="383"/>
        <v>#N/A</v>
      </c>
      <c r="CO224" s="414" t="e">
        <f>IF(CO223=0,0,IF(AND(CK224&gt;charge_ELS_quasi,CL224&gt;Charge_ELS_freq,CM224&gt;charge_ELU,CN224&gt;charge_ELA,$B224&gt;NDC!$H$22-0.1+MIN(3*$CO$12,1.5)),0,1))</f>
        <v>#N/A</v>
      </c>
      <c r="CP224" s="86" t="b">
        <f t="shared" si="351"/>
        <v>0</v>
      </c>
      <c r="CQ224" s="86">
        <f t="shared" si="352"/>
        <v>0.5</v>
      </c>
      <c r="CR224" s="86">
        <f t="shared" si="353"/>
        <v>0.5</v>
      </c>
      <c r="CS224" s="30" t="e">
        <f t="shared" ca="1" si="384"/>
        <v>#DIV/0!</v>
      </c>
      <c r="CT224" s="85" t="e">
        <f ca="1">IF(BZ224&lt;=Hypothèses!$V$7,Hypothèses!$W$7,IF(BZ224&lt;=Hypothèses!$V$8,Hypothèses!$W$8,IF(BZ224&lt;=Hypothèses!$V$9,Hypothèses!$W$9,IF(BZ224&lt;=Hypothèses!$V$10,Hypothèses!$W$10,IF(BZ224&lt;=Hypothèses!$V$11,Hypothèses!$W$11,IF(BZ224&lt;=Hypothèses!$V$12,Hypothèses!$W$12,IF(BZ224&lt;=Hypothèses!$V$13,Hypothèses!$W$13,IF(BZ224&lt;=Hypothèses!$V$14,Hypothèses!$W$14,IF(BZ224&lt;=Hypothèses!$V$15,Hypothèses!$W$15,IF(BZ224&lt;=Hypothèses!$V$16,Hypothèses!$W$16,IF(BZ224&lt;=Hypothèses!$V$17,Hypothèses!$W$17,IF(BZ224&lt;=Hypothèses!$V$18,Hypothèses!$W$18,""))))))))))))</f>
        <v>#DIV/0!</v>
      </c>
      <c r="CU224" s="87" t="e">
        <f t="shared" ca="1" si="420"/>
        <v>#DIV/0!</v>
      </c>
      <c r="CV224" s="88" t="e">
        <f ca="1">IF(BZ224&lt;=Hypothèses!$V$7,Hypothèses!$X$7,IF(BZ224&lt;=Hypothèses!$V$8,Hypothèses!$X$8,IF(BZ224&lt;=Hypothèses!$V$9,Hypothèses!$X$9,IF(BZ224&lt;=Hypothèses!$V$10,Hypothèses!$X$10,IF(BZ224&lt;=Hypothèses!$V$11,Hypothèses!$X$11,IF(BZ224&lt;=Hypothèses!$V$12,Hypothèses!$X$12,IF(BZ224&lt;=Hypothèses!$V$13,Hypothèses!$X$13,IF(BZ224&lt;=Hypothèses!$V$14,Hypothèses!$X$14,IF(BZ224&lt;=Hypothèses!$V$15,Hypothèses!$X$15,IF(BZ224&lt;=Hypothèses!$V$16,Hypothèses!$X$16,IF(BZ224&lt;=Hypothèses!$U$17,Hypothèses!$W$17,IF(BZ224&lt;=Hypothèses!$U$18,Hypothèses!$W$18,""))))))))))))</f>
        <v>#DIV/0!</v>
      </c>
      <c r="CW224" s="95" t="e">
        <f t="shared" ca="1" si="385"/>
        <v>#DIV/0!</v>
      </c>
      <c r="CX224" s="101" t="e">
        <f t="shared" si="427"/>
        <v>#N/A</v>
      </c>
      <c r="CY224" s="91" t="e">
        <f t="shared" si="354"/>
        <v>#N/A</v>
      </c>
      <c r="CZ224" s="30" t="e">
        <f t="shared" si="408"/>
        <v>#N/A</v>
      </c>
      <c r="DA224" s="30" t="e">
        <f t="shared" si="409"/>
        <v>#N/A</v>
      </c>
      <c r="DB224" s="31" t="e">
        <f>IF(OR(Hypothèses!$B$4=17,Hypothèses!$B$4=18,Hypothèses!$B$4=19,Hypothèses!$B$4=20),
IF($D224="Pressio.",
IF(OR($E224=3,$E224=1,$E224=4),DA224,CZ224),
IF($D224="Pénétro.",
IF(OR($E224=3,$E224=1,$E224=4),DA224,CZ224))),IF($D224="Pressio.",
IF($E224=3,DA224,CZ224),
IF($D224="Pénétro.",
IF($E224=4,DA224,CZ224))))</f>
        <v>#N/A</v>
      </c>
      <c r="DC224" s="31" t="e">
        <f>(IF(OR(Hypothèses!$B$4=17,Hypothèses!$B$4=18,Hypothèses!$B$4=19,Hypothèses!$B$4=20),
IF($D224="Pressio.",
IF(OR($E224=3,$E224=1,$E224=4),(PI()*DC$12^2)/4*(CY224*$W224*1000)/($H224*$B$5),(PI()*DC$12^2)/4*(CY224*$W224*1000)/($G224*$B$5)),
IF($D224="Pénétro.",
IF(OR($E224=4,$E224=1,$E224=5),(PI()*DC$12^2)/4*(CY224*$W224*1000)/($H224*$B$5),(PI()*DC$12^2)/4*(CY224*$W224*1000)/($G224*$B$5)))),
IF($D224="Pressio.",
IF($E224=3,(PI()*DC$12^2)/4*(CY224*$W224*1000)/($H224*$B$5),(PI()*DC$12^2)/4*(CY224*$W224*1000)/($G224*$B$5)),
IF($D224="Pénétro.",
IF($E224=4,(PI()*DC$12^2)/4*(CY224*$W224*1000)/($H224*$B$5),(PI()*DC$12^2)/4*(CY224*$W224*1000)/($G224*$B$5))))))/10</f>
        <v>#N/A</v>
      </c>
      <c r="DD224" s="102" t="e">
        <f>(VLOOKUP($B$3,'Coeff EC7'!$T$39:$X$59,2,0)*DB224+VLOOKUP($B$3,'Coeff EC7'!$T$65:$X$85,2,0)*Model0.1C!DC224)/1.1</f>
        <v>#N/A</v>
      </c>
      <c r="DE224" s="102" t="e">
        <f>(VLOOKUP($B$3,'Coeff EC7'!$T$39:$X$59,3,0)*DB224+VLOOKUP($B$3,'Coeff EC7'!$T$65:$X$85,3,0)*Model0.1C!DC224)/0.9</f>
        <v>#N/A</v>
      </c>
      <c r="DF224" s="102" t="e">
        <f t="shared" si="386"/>
        <v>#N/A</v>
      </c>
      <c r="DG224" s="102" t="e">
        <f t="shared" si="387"/>
        <v>#N/A</v>
      </c>
      <c r="DH224" s="414" t="e">
        <f>IF(DH223=0,0,IF(AND(DD224&gt;charge_ELS_quasi,DE224&gt;Charge_ELS_freq,DF224&gt;charge_ELU,DG224&gt;charge_ELA,$B224&gt;NDC!$H$22-0.1+MIN(3*$DH$12,1.5)),0,1))</f>
        <v>#N/A</v>
      </c>
      <c r="DI224" s="86" t="b">
        <f t="shared" si="355"/>
        <v>0</v>
      </c>
      <c r="DJ224" s="86">
        <f t="shared" si="356"/>
        <v>0.5</v>
      </c>
      <c r="DK224" s="86">
        <f t="shared" si="357"/>
        <v>0.5</v>
      </c>
      <c r="DL224" s="30" t="e">
        <f t="shared" ca="1" si="388"/>
        <v>#DIV/0!</v>
      </c>
      <c r="DM224" s="85" t="e">
        <f ca="1">IF(CS224&lt;=Hypothèses!$V$7,Hypothèses!$W$7,IF(CS224&lt;=Hypothèses!$V$8,Hypothèses!$W$8,IF(CS224&lt;=Hypothèses!$V$9,Hypothèses!$W$9,IF(CS224&lt;=Hypothèses!$V$10,Hypothèses!$W$10,IF(CS224&lt;=Hypothèses!$V$11,Hypothèses!$W$11,IF(CS224&lt;=Hypothèses!$V$12,Hypothèses!$W$12,IF(CS224&lt;=Hypothèses!$V$13,Hypothèses!$W$13,IF(CS224&lt;=Hypothèses!$V$14,Hypothèses!$W$14,IF(CS224&lt;=Hypothèses!$V$15,Hypothèses!$W$15,IF(CS224&lt;=Hypothèses!$V$16,Hypothèses!$W$16,IF(CS224&lt;=Hypothèses!$V$17,Hypothèses!$W$17,IF(CS224&lt;=Hypothèses!$V$18,Hypothèses!$W$18,""))))))))))))</f>
        <v>#DIV/0!</v>
      </c>
      <c r="DN224" s="87" t="e">
        <f t="shared" ca="1" si="421"/>
        <v>#DIV/0!</v>
      </c>
      <c r="DO224" s="88" t="e">
        <f ca="1">IF(CS224&lt;=Hypothèses!$V$7,Hypothèses!$X$7,IF(CS224&lt;=Hypothèses!$V$8,Hypothèses!$X$8,IF(CS224&lt;=Hypothèses!$V$9,Hypothèses!$X$9,IF(CS224&lt;=Hypothèses!$V$10,Hypothèses!$X$10,IF(CS224&lt;=Hypothèses!$V$11,Hypothèses!$X$11,IF(CS224&lt;=Hypothèses!$V$12,Hypothèses!$X$12,IF(CS224&lt;=Hypothèses!$V$13,Hypothèses!$X$13,IF(CS224&lt;=Hypothèses!$V$14,Hypothèses!$X$14,IF(CS224&lt;=Hypothèses!$V$15,Hypothèses!$X$15,IF(CS224&lt;=Hypothèses!$V$16,Hypothèses!$X$16,IF(CS224&lt;=Hypothèses!$U$17,Hypothèses!$W$17,IF(CS224&lt;=Hypothèses!$U$18,Hypothèses!$W$18,""))))))))))))</f>
        <v>#DIV/0!</v>
      </c>
      <c r="DP224" s="95" t="e">
        <f t="shared" ca="1" si="389"/>
        <v>#DIV/0!</v>
      </c>
      <c r="DQ224" s="101" t="e">
        <f t="shared" si="428"/>
        <v>#N/A</v>
      </c>
      <c r="DR224" s="91" t="e">
        <f t="shared" si="358"/>
        <v>#N/A</v>
      </c>
      <c r="DS224" s="30" t="e">
        <f t="shared" si="410"/>
        <v>#N/A</v>
      </c>
      <c r="DT224" s="30" t="e">
        <f t="shared" si="411"/>
        <v>#N/A</v>
      </c>
      <c r="DU224" s="31" t="e">
        <f>IF(OR(Hypothèses!$B$4=17,Hypothèses!$B$4=18,Hypothèses!$B$4=19,Hypothèses!$B$4=20),
IF($D224="Pressio.",
IF(OR($E224=3,$E224=1,$E224=4),DT224,DS224),
IF($D224="Pénétro.",
IF(OR($E224=3,$E224=1,$E224=4),DT224,DS224))),IF($D224="Pressio.",
IF($E224=3,DT224,DS224),
IF($D224="Pénétro.",
IF($E224=4,DT224,DS224))))</f>
        <v>#N/A</v>
      </c>
      <c r="DV224" s="31" t="e">
        <f>(IF(OR(Hypothèses!$B$4=17,Hypothèses!$B$4=18,Hypothèses!$B$4=19,Hypothèses!$B$4=20),
IF($D224="Pressio.",
IF(OR($E224=3,$E224=1,$E224=4),(PI()*DV$12^2)/4*(DR224*$W224*1000)/($H224*$B$5),(PI()*DV$12^2)/4*(DR224*$W224*1000)/($G224*$B$5)),
IF($D224="Pénétro.",
IF(OR($E224=4,$E224=1,$E224=5),(PI()*DV$12^2)/4*(DR224*$W224*1000)/($H224*$B$5),(PI()*DV$12^2)/4*(DR224*$W224*1000)/($G224*$B$5)))),
IF($D224="Pressio.",
IF($E224=3,(PI()*DV$12^2)/4*(DR224*$W224*1000)/($H224*$B$5),(PI()*DV$12^2)/4*(DR224*$W224*1000)/($G224*$B$5)),
IF($D224="Pénétro.",
IF($E224=4,(PI()*DV$12^2)/4*(DR224*$W224*1000)/($H224*$B$5),(PI()*DV$12^2)/4*(DR224*$W224*1000)/($G224*$B$5))))))/10</f>
        <v>#N/A</v>
      </c>
      <c r="DW224" s="102" t="e">
        <f>(VLOOKUP($B$3,'Coeff EC7'!$T$39:$X$59,2,0)*DU224+VLOOKUP($B$3,'Coeff EC7'!$T$65:$X$85,2,0)*Model0.1C!DV224)/1.1</f>
        <v>#N/A</v>
      </c>
      <c r="DX224" s="102" t="e">
        <f>(VLOOKUP($B$3,'Coeff EC7'!$T$39:$X$59,3,0)*DU224+VLOOKUP($B$3,'Coeff EC7'!$T$65:$X$85,3,0)*Model0.1C!DV224)/0.9</f>
        <v>#N/A</v>
      </c>
      <c r="DY224" s="102" t="e">
        <f t="shared" si="390"/>
        <v>#N/A</v>
      </c>
      <c r="DZ224" s="102" t="e">
        <f t="shared" si="391"/>
        <v>#N/A</v>
      </c>
      <c r="EA224" s="414" t="e">
        <f>IF(EA223=0,0,IF(AND(DW224&gt;charge_ELS_quasi,DX224&gt;Charge_ELS_freq,DY224&gt;charge_ELU,DZ224&gt;charge_ELA,$B224&gt;NDC!$H$22-0.1+MIN(3*$EA$12,1.5)),0,1))</f>
        <v>#N/A</v>
      </c>
      <c r="EB224" s="86" t="b">
        <f t="shared" si="359"/>
        <v>0</v>
      </c>
      <c r="EC224" s="418">
        <f t="shared" si="360"/>
        <v>0.51</v>
      </c>
      <c r="ED224" s="86">
        <f t="shared" si="361"/>
        <v>0.51</v>
      </c>
      <c r="EE224" s="30" t="e">
        <f t="shared" ca="1" si="392"/>
        <v>#DIV/0!</v>
      </c>
      <c r="EF224" s="85" t="e">
        <f ca="1">IF(DL224&lt;=Hypothèses!$V$7,Hypothèses!$W$7,IF(DL224&lt;=Hypothèses!$V$8,Hypothèses!$W$8,IF(DL224&lt;=Hypothèses!$V$9,Hypothèses!$W$9,IF(DL224&lt;=Hypothèses!$V$10,Hypothèses!$W$10,IF(DL224&lt;=Hypothèses!$V$11,Hypothèses!$W$11,IF(DL224&lt;=Hypothèses!$V$12,Hypothèses!$W$12,IF(DL224&lt;=Hypothèses!$V$13,Hypothèses!$W$13,IF(DL224&lt;=Hypothèses!$V$14,Hypothèses!$W$14,IF(DL224&lt;=Hypothèses!$V$15,Hypothèses!$W$15,IF(DL224&lt;=Hypothèses!$V$16,Hypothèses!$W$16,IF(DL224&lt;=Hypothèses!$V$17,Hypothèses!$W$17,IF(DL224&lt;=Hypothèses!$V$18,Hypothèses!$W$18,""))))))))))))</f>
        <v>#DIV/0!</v>
      </c>
      <c r="EG224" s="87" t="e">
        <f t="shared" ca="1" si="422"/>
        <v>#DIV/0!</v>
      </c>
      <c r="EH224" s="88" t="e">
        <f ca="1">IF(DL224&lt;=Hypothèses!$V$7,Hypothèses!$X$7,IF(DL224&lt;=Hypothèses!$V$8,Hypothèses!$X$8,IF(DL224&lt;=Hypothèses!$V$9,Hypothèses!$X$9,IF(DL224&lt;=Hypothèses!$V$10,Hypothèses!$X$10,IF(DL224&lt;=Hypothèses!$V$11,Hypothèses!$X$11,IF(DL224&lt;=Hypothèses!$V$12,Hypothèses!$X$12,IF(DL224&lt;=Hypothèses!$V$13,Hypothèses!$X$13,IF(DL224&lt;=Hypothèses!$V$14,Hypothèses!$X$14,IF(DL224&lt;=Hypothèses!$V$15,Hypothèses!$X$15,IF(DL224&lt;=Hypothèses!$V$16,Hypothèses!$X$16,IF(DL224&lt;=Hypothèses!$U$17,Hypothèses!$W$17,IF(DL224&lt;=Hypothèses!$U$18,Hypothèses!$W$18,""))))))))))))</f>
        <v>#DIV/0!</v>
      </c>
      <c r="EI224" s="95" t="e">
        <f t="shared" ca="1" si="393"/>
        <v>#DIV/0!</v>
      </c>
      <c r="EJ224" s="101" t="e">
        <f t="shared" si="429"/>
        <v>#N/A</v>
      </c>
      <c r="EK224" s="91" t="e">
        <f t="shared" si="362"/>
        <v>#N/A</v>
      </c>
      <c r="EL224" s="30" t="e">
        <f t="shared" si="412"/>
        <v>#N/A</v>
      </c>
      <c r="EM224" s="30" t="e">
        <f t="shared" si="413"/>
        <v>#N/A</v>
      </c>
      <c r="EN224" s="31" t="e">
        <f>IF(OR(Hypothèses!$B$4=17,Hypothèses!$B$4=18,Hypothèses!$B$4=19,Hypothèses!$B$4=20),
IF($D224="Pressio.",
IF(OR($E224=3,$E224=1,$E224=4),EM224,EL224),
IF($D224="Pénétro.",
IF(OR($E224=3,$E224=1,$E224=4),EM224,EL224))),IF($D224="Pressio.",
IF($E224=3,EM224,EL224),
IF($D224="Pénétro.",
IF($E224=4,EM224,EL224))))</f>
        <v>#N/A</v>
      </c>
      <c r="EO224" s="31" t="e">
        <f>(IF(OR(Hypothèses!$B$4=17,Hypothèses!$B$4=18,Hypothèses!$B$4=19,Hypothèses!$B$4=20),
IF($D224="Pressio.",
IF(OR($E224=3,$E224=1,$E224=4),(PI()*EO$12^2)/4*(EK224*$W224*1000)/($H224*$B$5),(PI()*EO$12^2)/4*(EK224*$W224*1000)/($G224*$B$5)),
IF($D224="Pénétro.",
IF(OR($E224=4,$E224=1,$E224=5),(PI()*EO$12^2)/4*(EK224*$W224*1000)/($H224*$B$5),(PI()*EO$12^2)/4*(EK224*$W224*1000)/($G224*$B$5)))),
IF($D224="Pressio.",
IF($E224=3,(PI()*EO$12^2)/4*(EK224*$W224*1000)/($H224*$B$5),(PI()*EO$12^2)/4*(EK224*$W224*1000)/($G224*$B$5)),
IF($D224="Pénétro.",
IF($E224=4,(PI()*EO$12^2)/4*(EK224*$W224*1000)/($H224*$B$5),(PI()*EO$12^2)/4*(EK224*$W224*1000)/($G224*$B$5))))))/10</f>
        <v>#N/A</v>
      </c>
      <c r="EP224" s="102" t="e">
        <f>(VLOOKUP($B$3,'Coeff EC7'!$T$39:$X$59,2,0)*EN224+VLOOKUP($B$3,'Coeff EC7'!$T$65:$X$85,2,0)*Model0.1C!EO224)/1.1</f>
        <v>#N/A</v>
      </c>
      <c r="EQ224" s="102" t="e">
        <f>(VLOOKUP($B$3,'Coeff EC7'!$T$39:$X$59,3,0)*EN224+VLOOKUP($B$3,'Coeff EC7'!$T$65:$X$85,3,0)*Model0.1C!EO224)/0.9</f>
        <v>#N/A</v>
      </c>
      <c r="ER224" s="102" t="e">
        <f t="shared" si="394"/>
        <v>#N/A</v>
      </c>
      <c r="ES224" s="102" t="e">
        <f t="shared" si="395"/>
        <v>#N/A</v>
      </c>
      <c r="ET224" s="414" t="e">
        <f>IF(ET223=0,0,IF(AND(EP224&gt;charge_ELS_quasi,EQ224&gt;Charge_ELS_freq,ER224&gt;charge_ELU,ES224&gt;charge_ELA,$B224&gt;NDC!$H$22-0.1+MIN(3*$ET$12,1.5)),0,1))</f>
        <v>#N/A</v>
      </c>
      <c r="EU224" s="86" t="b">
        <f t="shared" si="363"/>
        <v>0</v>
      </c>
      <c r="EV224" s="86">
        <f t="shared" si="364"/>
        <v>0.61</v>
      </c>
      <c r="EW224" s="86">
        <f t="shared" si="365"/>
        <v>0.61</v>
      </c>
      <c r="EX224" s="30" t="e">
        <f t="shared" ca="1" si="396"/>
        <v>#DIV/0!</v>
      </c>
      <c r="EY224" s="85" t="e">
        <f ca="1">IF(EE224&lt;=Hypothèses!$V$7,Hypothèses!$W$7,IF(EE224&lt;=Hypothèses!$V$8,Hypothèses!$W$8,IF(EE224&lt;=Hypothèses!$V$9,Hypothèses!$W$9,IF(EE224&lt;=Hypothèses!$V$10,Hypothèses!$W$10,IF(EE224&lt;=Hypothèses!$V$11,Hypothèses!$W$11,IF(EE224&lt;=Hypothèses!$V$12,Hypothèses!$W$12,IF(EE224&lt;=Hypothèses!$V$13,Hypothèses!$W$13,IF(EE224&lt;=Hypothèses!$V$14,Hypothèses!$W$14,IF(EE224&lt;=Hypothèses!$V$15,Hypothèses!$W$15,IF(EE224&lt;=Hypothèses!$V$16,Hypothèses!$W$16,IF(EE224&lt;=Hypothèses!$V$17,Hypothèses!$W$17,IF(EE224&lt;=Hypothèses!$V$18,Hypothèses!$W$18,""))))))))))))</f>
        <v>#DIV/0!</v>
      </c>
      <c r="EZ224" s="87" t="e">
        <f t="shared" ca="1" si="423"/>
        <v>#DIV/0!</v>
      </c>
      <c r="FA224" s="88" t="e">
        <f ca="1">IF(EE224&lt;=Hypothèses!$V$7,Hypothèses!$X$7,IF(EE224&lt;=Hypothèses!$V$8,Hypothèses!$X$8,IF(EE224&lt;=Hypothèses!$V$9,Hypothèses!$X$9,IF(EE224&lt;=Hypothèses!$V$10,Hypothèses!$X$10,IF(EE224&lt;=Hypothèses!$V$11,Hypothèses!$X$11,IF(EE224&lt;=Hypothèses!$V$12,Hypothèses!$X$12,IF(EE224&lt;=Hypothèses!$V$13,Hypothèses!$X$13,IF(EE224&lt;=Hypothèses!$V$14,Hypothèses!$X$14,IF(EE224&lt;=Hypothèses!$V$15,Hypothèses!$X$15,IF(EE224&lt;=Hypothèses!$V$16,Hypothèses!$X$16,IF(EE224&lt;=Hypothèses!$U$17,Hypothèses!$W$17,IF(EE224&lt;=Hypothèses!$U$18,Hypothèses!$W$18,""))))))))))))</f>
        <v>#DIV/0!</v>
      </c>
      <c r="FB224" s="95" t="e">
        <f t="shared" ca="1" si="397"/>
        <v>#DIV/0!</v>
      </c>
      <c r="FC224" s="101" t="e">
        <f t="shared" si="430"/>
        <v>#N/A</v>
      </c>
      <c r="FD224" s="91" t="e">
        <f t="shared" si="366"/>
        <v>#N/A</v>
      </c>
      <c r="FE224" s="30" t="e">
        <f t="shared" si="414"/>
        <v>#N/A</v>
      </c>
      <c r="FF224" s="30" t="e">
        <f t="shared" si="415"/>
        <v>#N/A</v>
      </c>
      <c r="FG224" s="31" t="e">
        <f>IF(OR(Hypothèses!$B$4=17,Hypothèses!$B$4=18,Hypothèses!$B$4=19,Hypothèses!$B$4=20),
IF($D224="Pressio.",
IF(OR($E224=3,$E224=1,$E224=4),FF224,FE224),
IF($D224="Pénétro.",
IF(OR($E224=3,$E224=1,$E224=4),FF224,FE224))),IF($D224="Pressio.",
IF($E224=3,FF224,FE224),
IF($D224="Pénétro.",
IF($E224=4,FF224,FE224))))</f>
        <v>#N/A</v>
      </c>
      <c r="FH224" s="31" t="e">
        <f>(IF(OR(Hypothèses!$B$4=17,Hypothèses!$B$4=18,Hypothèses!$B$4=19,Hypothèses!$B$4=20),
IF($D224="Pressio.",
IF(OR($E224=3,$E224=1,$E224=4),(PI()*FH$12^2)/4*(FD224*$W224*1000)/($H224*$B$5),(PI()*FH$12^2)/4*(FD224*$W224*1000)/($G224*$B$5)),
IF($D224="Pénétro.",
IF(OR($E224=4,$E224=1,$E224=5),(PI()*FH$12^2)/4*(FD224*$W224*1000)/($H224*$B$5),(PI()*FH$12^2)/4*(FD224*$W224*1000)/($G224*$B$5)))),
IF($D224="Pressio.",
IF($E224=3,(PI()*FH$12^2)/4*(FD224*$W224*1000)/($H224*$B$5),(PI()*FH$12^2)/4*(FD224*$W224*1000)/($G224*$B$5)),
IF($D224="Pénétro.",
IF($E224=4,(PI()*FH$12^2)/4*(FD224*$W224*1000)/($H224*$B$5),(PI()*FH$12^2)/4*(FD224*$W224*1000)/($G224*$B$5))))))/10</f>
        <v>#N/A</v>
      </c>
      <c r="FI224" s="102" t="e">
        <f>(VLOOKUP($B$3,'Coeff EC7'!$T$39:$X$59,2,0)*FG224+VLOOKUP($B$3,'Coeff EC7'!$T$65:$X$85,2,0)*Model0.1C!FH224)/1.1</f>
        <v>#N/A</v>
      </c>
      <c r="FJ224" s="102" t="e">
        <f>(VLOOKUP($B$3,'Coeff EC7'!$T$39:$X$59,3,0)*FG224+VLOOKUP($B$3,'Coeff EC7'!$T$65:$X$85,3,0)*Model0.1C!FH224)/0.9</f>
        <v>#N/A</v>
      </c>
      <c r="FK224" s="102" t="e">
        <f t="shared" si="398"/>
        <v>#N/A</v>
      </c>
      <c r="FL224" s="102" t="e">
        <f t="shared" si="399"/>
        <v>#N/A</v>
      </c>
      <c r="FM224" s="414" t="e">
        <f>IF(FM223=0,0,IF(AND(FI224&gt;charge_ELS_quasi,FJ224&gt;Charge_ELS_freq,FK224&gt;charge_ELU,FL224&gt;charge_ELA,$B224&gt;NDC!$H$22-0.1+MIN(3*$FM$12,1.5)),0,1))</f>
        <v>#N/A</v>
      </c>
    </row>
    <row r="225" spans="1:169">
      <c r="A225" s="96">
        <f t="shared" si="367"/>
        <v>78.800000000001205</v>
      </c>
      <c r="B225" s="97">
        <v>21.2</v>
      </c>
      <c r="C225" s="81">
        <f>IF(B225&lt;=Hypothèses!$C$7,Hypothèses!$A$7,IF(B225&lt;=Hypothèses!$C$8,Hypothèses!$A$8,IF(B225&lt;=Hypothèses!$C$9,Hypothèses!$A$9,IF(B225&lt;=Hypothèses!$C$10,Hypothèses!$A$10,IF(B225&lt;=Hypothèses!$C$11,Hypothèses!$A$11,IF(B225&lt;=Hypothèses!$C$12,Hypothèses!$A$12,IF(B225&lt;=Hypothèses!$C$13,Hypothèses!$A$13,IF(B225&lt;=Hypothèses!$C$14,Hypothèses!$A$14,IF(B225&lt;=Hypothèses!$C$15,Hypothèses!$A$15,IF(B225&lt;=Hypothèses!$C$16,Hypothèses!$A$16,IF(B225&lt;=Hypothèses!$C$17,Hypothèses!$A$17,IF(B225&lt;=Hypothèses!$C$18,Hypothèses!$A$18,C224))))))))))))</f>
        <v>11</v>
      </c>
      <c r="D225" s="82" t="str">
        <f>IF(B225&lt;=Hypothèses!$C$7,Hypothèses!$R$7,IF(B225&lt;=Hypothèses!$C$8,Hypothèses!$R$8,IF(B225&lt;=Hypothèses!$C$9,Hypothèses!$R$9,IF(B225&lt;=Hypothèses!$C$10,Hypothèses!$R$10,IF(B225&lt;=Hypothèses!$C$11,Hypothèses!$R$11,IF(B225&lt;=Hypothèses!$C$12,Hypothèses!$R$12,IF(B225&lt;=Hypothèses!$C$13,Hypothèses!$R$13,IF(B225&lt;=Hypothèses!$C$14,Hypothèses!$R$14,IF(B225&lt;=Hypothèses!$C$15,Hypothèses!$R$15,IF(B225&lt;=Hypothèses!$C$16,Hypothèses!$R$16,IF(B225&lt;=Hypothèses!$C$17,Hypothèses!$R$17,IF(B225&lt;=Hypothèses!$C$18,Hypothèses!$R$18,D224))))))))))))</f>
        <v>Pressio.</v>
      </c>
      <c r="E225" s="82" t="e">
        <f>IF(B225&lt;=Hypothèses!$C$7,Hypothèses!$G$7,IF(B225&lt;=Hypothèses!$C$8,Hypothèses!$G$8,IF(B225&lt;=Hypothèses!$C$9,Hypothèses!$G$9,IF(B225&lt;=Hypothèses!$C$10,Hypothèses!$G$10,IF(B225&lt;=Hypothèses!$C$11,Hypothèses!$G$11,IF(B225&lt;=Hypothèses!$C$12,Hypothèses!$G$12,IF(B225&lt;=Hypothèses!$C$13,Hypothèses!$G$13,IF(B225&lt;=Hypothèses!$C$14,Hypothèses!$G$14,IF(B225&lt;=Hypothèses!$C$15,Hypothèses!$G$15,IF(B225&lt;=Hypothèses!$C$16,Hypothèses!$G$16,IF(B225&lt;=Hypothèses!$C$17,Hypothèses!$G$17,IF(B225&lt;=Hypothèses!$C$18,Hypothèses!$G$18,E224))))))))))))</f>
        <v>#N/A</v>
      </c>
      <c r="F225" s="82" t="str">
        <f>IF(B225&lt;=Hypothèses!$C$7,Hypothèses!$F$7,IF(B225&lt;=Hypothèses!$C$8,Hypothèses!$F$8,IF(B225&lt;=Hypothèses!$C$9,Hypothèses!$F$9,IF(B225&lt;=Hypothèses!$C$10,Hypothèses!$F$10,IF(B225&lt;=Hypothèses!$C$11,Hypothèses!$F$11,IF(B225&lt;=Hypothèses!$C$12,Hypothèses!$F$12,IF(B225&lt;=Hypothèses!$C$13,Hypothèses!$F$13,IF(B225&lt;=Hypothèses!$C$14,Hypothèses!$F$14,IF(B225&lt;=Hypothèses!$C$15,Hypothèses!$F$15,IF(B225&lt;=Hypothèses!$C$16,Hypothèses!$F$16,IF(B225&lt;=Hypothèses!$C$17,Hypothèses!$F$17,IF(B225&lt;=Hypothèses!$C$18,Hypothèses!$F$18,F224))))))))))))</f>
        <v/>
      </c>
      <c r="G225" s="91">
        <f t="array" ref="G225">INDEX('Coeff EC7'!$U$7:$X$27,
MATCH(Model0.1C!$B$3,'Coeff EC7'!$T$7:$T$27,0),
MATCH(Model0.1C!$D225&amp;Model0.1C!$B$4,
'Coeff EC7'!$U$6:$X$6&amp;
'Coeff EC7'!$U$5:$X$5,0))</f>
        <v>1.1499999999999999</v>
      </c>
      <c r="H225" s="91">
        <f t="array" ref="H225">INDEX('Coeff EC7'!$Y$7:$AB$27,
MATCH(Model0.1C!$B$3,'Coeff EC7'!$T$7:$T$27,0),
MATCH(Model0.1C!$D225&amp;Model0.1C!$B$4,
'Coeff EC7'!$Y$6:$AB$6&amp;
'Coeff EC7'!$Y$5:$AB$5,0))</f>
        <v>1.4</v>
      </c>
      <c r="I225" s="83" t="e">
        <f>IF(B225&lt;=Hypothèses!$C$7,Hypothèses!$P$7,IF(B225&lt;=Hypothèses!$C$8,Hypothèses!$P$8,IF(B225&lt;=Hypothèses!$C$9,Hypothèses!$P$9,IF(B225&lt;=Hypothèses!$C$10,Hypothèses!$P$10,IF(B225&lt;=Hypothèses!$C$11,Hypothèses!$P$11,IF(B225&lt;=Hypothèses!$C$12,Hypothèses!$P$12,IF(B225&lt;=Hypothèses!$C$13,Hypothèses!$P$13,IF(B225&lt;=Hypothèses!$C$14,Hypothèses!$P$14,IF(B225&lt;=Hypothèses!$C$15,Hypothèses!$P$15,IF(B225&lt;=Hypothèses!$C$16,Hypothèses!$P$16,IF(B225&lt;=Hypothèses!$C$17,Hypothèses!$P$17,IF(B225&lt;=Hypothèses!$C$18,Hypothèses!$P$18,I224))))))))))))</f>
        <v>#N/A</v>
      </c>
      <c r="J225" s="91" t="e">
        <f t="array" ref="J225">INDEX('Coeff EC7'!$D$33:$Q$33,1,MATCH(D225&amp;E225,'Coeff EC7'!$D$31:$Q$31&amp;'Coeff EC7'!$D$32:$Q$32,0))</f>
        <v>#N/A</v>
      </c>
      <c r="K225" s="91" t="e">
        <f t="array" ref="K225">INDEX('Coeff EC7'!$D$34:$Q$34,1,MATCH(D225&amp;E225,'Coeff EC7'!$D$31:$Q$31&amp;'Coeff EC7'!$D$32:$Q$32,0))</f>
        <v>#N/A</v>
      </c>
      <c r="L225" s="91" t="e">
        <f t="array" ref="L225">INDEX('Coeff EC7'!$D$35:$Q$35,1,MATCH(D225&amp;E225,'Coeff EC7'!$D$31:$Q$31&amp;'Coeff EC7'!$D$32:$Q$32,0))</f>
        <v>#N/A</v>
      </c>
      <c r="M225" s="98" t="e">
        <f t="shared" si="331"/>
        <v>#N/A</v>
      </c>
      <c r="N225" s="99" t="e">
        <f t="array" ref="N225">INDEX('Coeff EC7'!$D$7:$Q$27,MATCH($B$3,'Coeff EC7'!$C$7:$C$27,0),MATCH(D225&amp;E225,'Coeff EC7'!$D$5:$Q$5&amp;'Coeff EC7'!$D$6:$Q$6,0))</f>
        <v>#N/A</v>
      </c>
      <c r="O225" s="99" t="e">
        <f t="array" ref="O225">INDEX('Coeff EC7'!$D$41:$Q$61,MATCH($B$3,'Coeff EC7'!$C$41:$C$61,0),MATCH(D225&amp;E225,'Coeff EC7'!$D$39:$Q$39&amp;'Coeff EC7'!$D$40:$Q$40,0))</f>
        <v>#N/A</v>
      </c>
      <c r="P225" s="30" t="e">
        <f t="shared" si="368"/>
        <v>#N/A</v>
      </c>
      <c r="Q225" s="100" t="e">
        <f t="shared" si="333"/>
        <v>#N/A</v>
      </c>
      <c r="R225" s="86" t="b">
        <f t="shared" si="334"/>
        <v>0</v>
      </c>
      <c r="S225" s="86">
        <f t="shared" si="332"/>
        <v>0.5</v>
      </c>
      <c r="T225" s="86">
        <f t="shared" si="335"/>
        <v>0.5</v>
      </c>
      <c r="U225" s="30" t="e">
        <f t="shared" ca="1" si="369"/>
        <v>#DIV/0!</v>
      </c>
      <c r="V225" s="85" t="str">
        <f>IF(B225&lt;=Hypothèses!$V$7,Hypothèses!$W$7,IF(B225&lt;=Hypothèses!$V$8,Hypothèses!$W$8,IF(B225&lt;=Hypothèses!$V$9,Hypothèses!$W$9,IF(B225&lt;=Hypothèses!$V$10,Hypothèses!$W$10,IF(B225&lt;=Hypothèses!$V$11,Hypothèses!$W$11,IF(B225&lt;=Hypothèses!$V$12,Hypothèses!$W$12,IF(B225&lt;=Hypothèses!$V$13,Hypothèses!$W$13,IF(B225&lt;=Hypothèses!$V$14,Hypothèses!$W$14,IF(B225&lt;=Hypothèses!$V$15,Hypothèses!$W$15,IF(B225&lt;=Hypothèses!$V$16,Hypothèses!$W$16,IF(B225&lt;=Hypothèses!$V$17,Hypothèses!$W$17,IF(B225&lt;=Hypothèses!$V$18,Hypothèses!$W$18,""))))))))))))</f>
        <v/>
      </c>
      <c r="W225" s="87" t="e">
        <f t="shared" ca="1" si="416"/>
        <v>#DIV/0!</v>
      </c>
      <c r="X225" s="88" t="str">
        <f>IF(B225&lt;=Hypothèses!$V$7,Hypothèses!$X$7,IF(B225&lt;=Hypothèses!$V$8,Hypothèses!$X$8,IF(B225&lt;=Hypothèses!$V$9,Hypothèses!$X$9,IF(B225&lt;=Hypothèses!$V$10,Hypothèses!$X$10,IF(B225&lt;=Hypothèses!$V$11,Hypothèses!$X$11,IF(B225&lt;=Hypothèses!$V$12,Hypothèses!$X$12,IF(B225&lt;=Hypothèses!$V$13,Hypothèses!$X$13,IF(B225&lt;=Hypothèses!$V$14,Hypothèses!$X$14,IF(B225&lt;=Hypothèses!$V$15,Hypothèses!$X$15,IF(B225&lt;=Hypothèses!$V$16,Hypothèses!$X$16,IF(B225&lt;=Hypothèses!$U$17,Hypothèses!$W$17,IF(B225&lt;=Hypothèses!$U$18,Hypothèses!$W$18,""))))))))))))</f>
        <v/>
      </c>
      <c r="Y225" s="95" t="e">
        <f t="shared" ca="1" si="336"/>
        <v>#DIV/0!</v>
      </c>
      <c r="Z225" s="101" t="e">
        <f t="shared" si="337"/>
        <v>#N/A</v>
      </c>
      <c r="AA225" s="91" t="e">
        <f t="shared" si="338"/>
        <v>#N/A</v>
      </c>
      <c r="AB225" s="30" t="e">
        <f t="shared" si="400"/>
        <v>#N/A</v>
      </c>
      <c r="AC225" s="30" t="e">
        <f t="shared" si="401"/>
        <v>#N/A</v>
      </c>
      <c r="AD225" s="31" t="e">
        <f>IF(OR(Hypothèses!$B$4=17,Hypothèses!$B$4=18,Hypothèses!$B$4=19,Hypothèses!$B$4=20),
IF($D225="Pressio.",
IF(OR($E225=3,$E225=1,$E225=4),AC225,AB225),
IF($D225="Pénétro.",
IF(OR($E225=3,$E225=1,$E225=4),AC225,AB225))),IF($D225="Pressio.",
IF($E225=3,AC225,AB225),
IF($D225="Pénétro.",
IF($E225=4,AC225,AB225))))</f>
        <v>#N/A</v>
      </c>
      <c r="AE225" s="31" t="e">
        <f>(IF(OR(Hypothèses!$B$4=17,Hypothèses!$B$4=18,Hypothèses!$B$4=19,Hypothèses!$B$4=20),
IF($D225="Pressio.",
IF(OR($E225=3,$E225=1,$E225=4),(PI()*AE$12^2)/4*(AA225*$W225*1000)/($H225*$B$5),(PI()*AE$12^2)/4*(AA225*$W225*1000)/($G225*$B$5)),
IF($D225="Pénétro.",
IF(OR($E225=4,$E225=1,$E225=5),(PI()*AE$12^2)/4*(AA225*$W225*1000)/($H225*$B$5),(PI()*AE$12^2)/4*(AA225*$W225*1000)/($G225*$B$5)))),
IF($D225="Pressio.",
IF($E225=3,(PI()*AE$12^2)/4*(AA225*$W225*1000)/($H225*$B$5),(PI()*AE$12^2)/4*(AA225*$W225*1000)/($G225*$B$5)),
IF($D225="Pénétro.",
IF($E225=4,(PI()*AE$12^2)/4*(AA225*$W225*1000)/($H225*$B$5),(PI()*AE$12^2)/4*(AA225*$W225*1000)/($G225*$B$5))))))/10</f>
        <v>#N/A</v>
      </c>
      <c r="AF225" s="102" t="e">
        <f>(VLOOKUP($B$3,'Coeff EC7'!$T$39:$X$59,2,0)*AD225+VLOOKUP($B$3,'Coeff EC7'!$T$65:$X$85,2,0)*Model0.1C!AE225)/1.1</f>
        <v>#N/A</v>
      </c>
      <c r="AG225" s="102" t="e">
        <f>(VLOOKUP($B$3,'Coeff EC7'!$T$39:$X$59,3,0)*AD225+VLOOKUP($B$3,'Coeff EC7'!$T$65:$X$85,3,0)*Model0.1C!AE225)/0.9</f>
        <v>#N/A</v>
      </c>
      <c r="AH225" s="102" t="e">
        <f t="shared" si="339"/>
        <v>#N/A</v>
      </c>
      <c r="AI225" s="102" t="e">
        <f t="shared" si="340"/>
        <v>#N/A</v>
      </c>
      <c r="AJ225" s="414" t="e">
        <f>IF(AJ224=0,0,IF(AND(AF225&gt;charge_ELS_quasi,AG225&gt;Charge_ELS_freq,AH225&gt;charge_ELU,AI225&gt;charge_ELA,$B225&gt;NDC!$H$22-0.1+MIN(3*$AJ$12,1.5)),0,1))</f>
        <v>#N/A</v>
      </c>
      <c r="AK225" s="86" t="b">
        <f t="shared" si="341"/>
        <v>0</v>
      </c>
      <c r="AL225" s="86">
        <f t="shared" si="370"/>
        <v>0.5</v>
      </c>
      <c r="AM225" s="86">
        <f t="shared" si="342"/>
        <v>0.5</v>
      </c>
      <c r="AN225" s="30" t="e">
        <f t="shared" ca="1" si="371"/>
        <v>#DIV/0!</v>
      </c>
      <c r="AO225" s="85" t="e">
        <f ca="1">IF(U225&lt;=Hypothèses!$V$7,Hypothèses!$W$7,IF(U225&lt;=Hypothèses!$V$8,Hypothèses!$W$8,IF(U225&lt;=Hypothèses!$V$9,Hypothèses!$W$9,IF(U225&lt;=Hypothèses!$V$10,Hypothèses!$W$10,IF(U225&lt;=Hypothèses!$V$11,Hypothèses!$W$11,IF(U225&lt;=Hypothèses!$V$12,Hypothèses!$W$12,IF(U225&lt;=Hypothèses!$V$13,Hypothèses!$W$13,IF(U225&lt;=Hypothèses!$V$14,Hypothèses!$W$14,IF(U225&lt;=Hypothèses!$V$15,Hypothèses!$W$15,IF(U225&lt;=Hypothèses!$V$16,Hypothèses!$W$16,IF(U225&lt;=Hypothèses!$V$17,Hypothèses!$W$17,IF(U225&lt;=Hypothèses!$V$18,Hypothèses!$W$18,""))))))))))))</f>
        <v>#DIV/0!</v>
      </c>
      <c r="AP225" s="87" t="e">
        <f t="shared" ca="1" si="417"/>
        <v>#DIV/0!</v>
      </c>
      <c r="AQ225" s="88" t="e">
        <f ca="1">IF(U225&lt;=Hypothèses!$V$7,Hypothèses!$X$7,IF(U225&lt;=Hypothèses!$V$8,Hypothèses!$X$8,IF(U225&lt;=Hypothèses!$V$9,Hypothèses!$X$9,IF(U225&lt;=Hypothèses!$V$10,Hypothèses!$X$10,IF(U225&lt;=Hypothèses!$V$11,Hypothèses!$X$11,IF(U225&lt;=Hypothèses!$V$12,Hypothèses!$X$12,IF(U225&lt;=Hypothèses!$V$13,Hypothèses!$X$13,IF(U225&lt;=Hypothèses!$V$14,Hypothèses!$X$14,IF(U225&lt;=Hypothèses!$V$15,Hypothèses!$X$15,IF(U225&lt;=Hypothèses!$V$16,Hypothèses!$X$16,IF(U225&lt;=Hypothèses!$U$17,Hypothèses!$W$17,IF(U225&lt;=Hypothèses!$U$18,Hypothèses!$W$18,""))))))))))))</f>
        <v>#DIV/0!</v>
      </c>
      <c r="AR225" s="95" t="e">
        <f t="shared" ca="1" si="372"/>
        <v>#DIV/0!</v>
      </c>
      <c r="AS225" s="101" t="e">
        <f t="shared" si="424"/>
        <v>#N/A</v>
      </c>
      <c r="AT225" s="91" t="e">
        <f t="shared" si="343"/>
        <v>#N/A</v>
      </c>
      <c r="AU225" s="30" t="e">
        <f t="shared" si="402"/>
        <v>#N/A</v>
      </c>
      <c r="AV225" s="30" t="e">
        <f t="shared" si="403"/>
        <v>#N/A</v>
      </c>
      <c r="AW225" s="31" t="e">
        <f>IF(OR(Hypothèses!$B$4=17,Hypothèses!$B$4=18,Hypothèses!$B$4=19,Hypothèses!$B$4=20),
IF($D225="Pressio.",
IF(OR($E225=3,$E225=1,$E225=4),AV225,AU225),
IF($D225="Pénétro.",
IF(OR($E225=3,$E225=1,$E225=4),AV225,AU225))),IF($D225="Pressio.",
IF($E225=3,AV225,AU225),
IF($D225="Pénétro.",
IF($E225=4,AV225,AU225))))</f>
        <v>#N/A</v>
      </c>
      <c r="AX225" s="31" t="e">
        <f>(IF(OR(Hypothèses!$B$4=17,Hypothèses!$B$4=18,Hypothèses!$B$4=19,Hypothèses!$B$4=20),
IF($D225="Pressio.",
IF(OR($E225=3,$E225=1,$E225=4),(PI()*AX$12^2)/4*(AT225*$W225*1000)/($H225*$B$5),(PI()*AX$12^2)/4*(AT225*$W225*1000)/($G225*$B$5)),
IF($D225="Pénétro.",
IF(OR($E225=4,$E225=1,$E225=5),(PI()*AX$12^2)/4*(AT225*$W225*1000)/($H225*$B$5),(PI()*AX$12^2)/4*(AT225*$W225*1000)/($G225*$B$5)))),
IF($D225="Pressio.",
IF($E225=3,(PI()*AX$12^2)/4*(AT225*$W225*1000)/($H225*$B$5),(PI()*AX$12^2)/4*(AT225*$W225*1000)/($G225*$B$5)),
IF($D225="Pénétro.",
IF($E225=4,(PI()*AX$12^2)/4*(AT225*$W225*1000)/($H225*$B$5),(PI()*AX$12^2)/4*(AT225*$W225*1000)/($G225*$B$5))))))/10</f>
        <v>#N/A</v>
      </c>
      <c r="AY225" s="102" t="e">
        <f>(VLOOKUP($B$3,'Coeff EC7'!$T$39:$X$59,2,0)*AW225+VLOOKUP($B$3,'Coeff EC7'!$T$65:$X$85,2,0)*Model0.1C!AX225)/1.1</f>
        <v>#N/A</v>
      </c>
      <c r="AZ225" s="102" t="e">
        <f>(VLOOKUP($B$3,'Coeff EC7'!$T$39:$X$59,3,0)*AW225+VLOOKUP($B$3,'Coeff EC7'!$T$65:$X$85,3,0)*Model0.1C!AX225)/0.9</f>
        <v>#N/A</v>
      </c>
      <c r="BA225" s="102" t="e">
        <f t="shared" si="373"/>
        <v>#N/A</v>
      </c>
      <c r="BB225" s="102" t="e">
        <f t="shared" si="374"/>
        <v>#N/A</v>
      </c>
      <c r="BC225" s="414" t="e">
        <f>IF(BC224=0,0,IF(AND(AY225&gt;charge_ELS_quasi,AZ225&gt;Charge_ELS_freq,BA225&gt;charge_ELU,BB225&gt;charge_ELA,$B225&gt;NDC!$H$22-0.1+MIN(3*$BC$12,1.5)),0,1))</f>
        <v>#N/A</v>
      </c>
      <c r="BD225" s="86" t="b">
        <f t="shared" si="344"/>
        <v>0</v>
      </c>
      <c r="BE225" s="86">
        <f t="shared" si="375"/>
        <v>0.5</v>
      </c>
      <c r="BF225" s="86">
        <f t="shared" si="345"/>
        <v>0.5</v>
      </c>
      <c r="BG225" s="30" t="e">
        <f t="shared" ca="1" si="376"/>
        <v>#DIV/0!</v>
      </c>
      <c r="BH225" s="85" t="e">
        <f ca="1">IF(AN225&lt;=Hypothèses!$V$7,Hypothèses!$W$7,IF(AN225&lt;=Hypothèses!$V$8,Hypothèses!$W$8,IF(AN225&lt;=Hypothèses!$V$9,Hypothèses!$W$9,IF(AN225&lt;=Hypothèses!$V$10,Hypothèses!$W$10,IF(AN225&lt;=Hypothèses!$V$11,Hypothèses!$W$11,IF(AN225&lt;=Hypothèses!$V$12,Hypothèses!$W$12,IF(AN225&lt;=Hypothèses!$V$13,Hypothèses!$W$13,IF(AN225&lt;=Hypothèses!$V$14,Hypothèses!$W$14,IF(AN225&lt;=Hypothèses!$V$15,Hypothèses!$W$15,IF(AN225&lt;=Hypothèses!$V$16,Hypothèses!$W$16,IF(AN225&lt;=Hypothèses!$V$17,Hypothèses!$W$17,IF(AN225&lt;=Hypothèses!$V$18,Hypothèses!$W$18,""))))))))))))</f>
        <v>#DIV/0!</v>
      </c>
      <c r="BI225" s="87" t="e">
        <f t="shared" ca="1" si="418"/>
        <v>#DIV/0!</v>
      </c>
      <c r="BJ225" s="88" t="e">
        <f ca="1">IF(AN225&lt;=Hypothèses!$V$7,Hypothèses!$X$7,IF(AN225&lt;=Hypothèses!$V$8,Hypothèses!$X$8,IF(AN225&lt;=Hypothèses!$V$9,Hypothèses!$X$9,IF(AN225&lt;=Hypothèses!$V$10,Hypothèses!$X$10,IF(AN225&lt;=Hypothèses!$V$11,Hypothèses!$X$11,IF(AN225&lt;=Hypothèses!$V$12,Hypothèses!$X$12,IF(AN225&lt;=Hypothèses!$V$13,Hypothèses!$X$13,IF(AN225&lt;=Hypothèses!$V$14,Hypothèses!$X$14,IF(AN225&lt;=Hypothèses!$V$15,Hypothèses!$X$15,IF(AN225&lt;=Hypothèses!$V$16,Hypothèses!$X$16,IF(AN225&lt;=Hypothèses!$U$17,Hypothèses!$W$17,IF(AN225&lt;=Hypothèses!$U$18,Hypothèses!$W$18,""))))))))))))</f>
        <v>#DIV/0!</v>
      </c>
      <c r="BK225" s="95" t="e">
        <f t="shared" ca="1" si="377"/>
        <v>#DIV/0!</v>
      </c>
      <c r="BL225" s="101" t="e">
        <f t="shared" si="425"/>
        <v>#N/A</v>
      </c>
      <c r="BM225" s="91" t="e">
        <f t="shared" si="346"/>
        <v>#N/A</v>
      </c>
      <c r="BN225" s="30" t="e">
        <f t="shared" si="404"/>
        <v>#N/A</v>
      </c>
      <c r="BO225" s="30" t="e">
        <f t="shared" si="405"/>
        <v>#N/A</v>
      </c>
      <c r="BP225" s="31" t="e">
        <f>IF(OR(Hypothèses!$B$4=17,Hypothèses!$B$4=18,Hypothèses!$B$4=19,Hypothèses!$B$4=20),
IF($D225="Pressio.",
IF(OR($E225=3,$E225=1,$E225=4),BO225,BN225),
IF($D225="Pénétro.",
IF(OR($E225=3,$E225=1,$E225=4),BO225,BN225))),IF($D225="Pressio.",
IF($E225=3,BO225,BN225),
IF($D225="Pénétro.",
IF($E225=4,BO225,BN225))))</f>
        <v>#N/A</v>
      </c>
      <c r="BQ225" s="31" t="e">
        <f>(IF(OR(Hypothèses!$B$4=17,Hypothèses!$B$4=18,Hypothèses!$B$4=19,Hypothèses!$B$4=20),
IF($D225="Pressio.",
IF(OR($E225=3,$E225=1,$E225=4),(PI()*BQ$12^2)/4*(BM225*$W225*1000)/($H225*$B$5),(PI()*BQ$12^2)/4*(BM225*$W225*1000)/($G225*$B$5)),
IF($D225="Pénétro.",
IF(OR($E225=4,$E225=1,$E225=5),(PI()*BQ$12^2)/4*(BM225*$W225*1000)/($H225*$B$5),(PI()*BQ$12^2)/4*(BM225*$W225*1000)/($G225*$B$5)))),
IF($D225="Pressio.",
IF($E225=3,(PI()*BQ$12^2)/4*(BM225*$W225*1000)/($H225*$B$5),(PI()*BQ$12^2)/4*(BM225*$W225*1000)/($G225*$B$5)),
IF($D225="Pénétro.",
IF($E225=4,(PI()*BQ$12^2)/4*(BM225*$W225*1000)/($H225*$B$5),(PI()*BQ$12^2)/4*(BM225*$W225*1000)/($G225*$B$5))))))/10</f>
        <v>#N/A</v>
      </c>
      <c r="BR225" s="102" t="e">
        <f>(VLOOKUP($B$3,'Coeff EC7'!$T$39:$X$59,2,0)*BP225+VLOOKUP($B$3,'Coeff EC7'!$T$65:$X$85,2,0)*Model0.1C!BQ225)/1.1</f>
        <v>#N/A</v>
      </c>
      <c r="BS225" s="102" t="e">
        <f>(VLOOKUP($B$3,'Coeff EC7'!$T$39:$X$59,3,0)*BP225+VLOOKUP($B$3,'Coeff EC7'!$T$65:$X$85,3,0)*Model0.1C!BQ225)/0.9</f>
        <v>#N/A</v>
      </c>
      <c r="BT225" s="102" t="e">
        <f t="shared" si="378"/>
        <v>#N/A</v>
      </c>
      <c r="BU225" s="102" t="e">
        <f t="shared" si="379"/>
        <v>#N/A</v>
      </c>
      <c r="BV225" s="414" t="e">
        <f>IF(BV224=0,0,IF(AND(BR225&gt;charge_ELS_quasi,BS225&gt;Charge_ELS_freq,BT225&gt;charge_ELU,BU225&gt;charge_ELA,$B225&gt;NDC!$H$22-0.1+MIN(3*$BV$12,1.5)),0,1))</f>
        <v>#N/A</v>
      </c>
      <c r="BW225" s="86" t="b">
        <f t="shared" si="347"/>
        <v>0</v>
      </c>
      <c r="BX225" s="86">
        <f t="shared" si="348"/>
        <v>0.5</v>
      </c>
      <c r="BY225" s="86">
        <f t="shared" si="349"/>
        <v>0.5</v>
      </c>
      <c r="BZ225" s="30" t="e">
        <f t="shared" ca="1" si="380"/>
        <v>#DIV/0!</v>
      </c>
      <c r="CA225" s="85" t="e">
        <f ca="1">IF(BG225&lt;=Hypothèses!$V$7,Hypothèses!$W$7,IF(BG225&lt;=Hypothèses!$V$8,Hypothèses!$W$8,IF(BG225&lt;=Hypothèses!$V$9,Hypothèses!$W$9,IF(BG225&lt;=Hypothèses!$V$10,Hypothèses!$W$10,IF(BG225&lt;=Hypothèses!$V$11,Hypothèses!$W$11,IF(BG225&lt;=Hypothèses!$V$12,Hypothèses!$W$12,IF(BG225&lt;=Hypothèses!$V$13,Hypothèses!$W$13,IF(BG225&lt;=Hypothèses!$V$14,Hypothèses!$W$14,IF(BG225&lt;=Hypothèses!$V$15,Hypothèses!$W$15,IF(BG225&lt;=Hypothèses!$V$16,Hypothèses!$W$16,IF(BG225&lt;=Hypothèses!$V$17,Hypothèses!$W$17,IF(BG225&lt;=Hypothèses!$V$18,Hypothèses!$W$18,""))))))))))))</f>
        <v>#DIV/0!</v>
      </c>
      <c r="CB225" s="87" t="e">
        <f t="shared" ca="1" si="419"/>
        <v>#DIV/0!</v>
      </c>
      <c r="CC225" s="88" t="e">
        <f ca="1">IF(BG225&lt;=Hypothèses!$V$7,Hypothèses!$X$7,IF(BG225&lt;=Hypothèses!$V$8,Hypothèses!$X$8,IF(BG225&lt;=Hypothèses!$V$9,Hypothèses!$X$9,IF(BG225&lt;=Hypothèses!$V$10,Hypothèses!$X$10,IF(BG225&lt;=Hypothèses!$V$11,Hypothèses!$X$11,IF(BG225&lt;=Hypothèses!$V$12,Hypothèses!$X$12,IF(BG225&lt;=Hypothèses!$V$13,Hypothèses!$X$13,IF(BG225&lt;=Hypothèses!$V$14,Hypothèses!$X$14,IF(BG225&lt;=Hypothèses!$V$15,Hypothèses!$X$15,IF(BG225&lt;=Hypothèses!$V$16,Hypothèses!$X$16,IF(BG225&lt;=Hypothèses!$U$17,Hypothèses!$W$17,IF(BG225&lt;=Hypothèses!$U$18,Hypothèses!$W$18,""))))))))))))</f>
        <v>#DIV/0!</v>
      </c>
      <c r="CD225" s="95" t="e">
        <f t="shared" ca="1" si="381"/>
        <v>#DIV/0!</v>
      </c>
      <c r="CE225" s="101" t="e">
        <f t="shared" si="426"/>
        <v>#N/A</v>
      </c>
      <c r="CF225" s="91" t="e">
        <f t="shared" si="350"/>
        <v>#N/A</v>
      </c>
      <c r="CG225" s="30" t="e">
        <f t="shared" si="406"/>
        <v>#N/A</v>
      </c>
      <c r="CH225" s="30" t="e">
        <f t="shared" si="407"/>
        <v>#N/A</v>
      </c>
      <c r="CI225" s="31" t="e">
        <f>IF(OR(Hypothèses!$B$4=17,Hypothèses!$B$4=18,Hypothèses!$B$4=19,Hypothèses!$B$4=20),
IF($D225="Pressio.",
IF(OR($E225=3,$E225=1,$E225=4),CH225,CG225),
IF($D225="Pénétro.",
IF(OR($E225=3,$E225=1,$E225=4),CH225,CG225))),IF($D225="Pressio.",
IF($E225=3,CH225,CG225),
IF($D225="Pénétro.",
IF($E225=4,CH225,CG225))))</f>
        <v>#N/A</v>
      </c>
      <c r="CJ225" s="31" t="e">
        <f>(IF(OR(Hypothèses!$B$4=17,Hypothèses!$B$4=18,Hypothèses!$B$4=19,Hypothèses!$B$4=20),
IF($D225="Pressio.",
IF(OR($E225=3,$E225=1,$E225=4),(PI()*CJ$12^2)/4*(CF225*$W225*1000)/($H225*$B$5),(PI()*CJ$12^2)/4*(CF225*$W225*1000)/($G225*$B$5)),
IF($D225="Pénétro.",
IF(OR($E225=4,$E225=1,$E225=5),(PI()*CJ$12^2)/4*(CF225*$W225*1000)/($H225*$B$5),(PI()*CJ$12^2)/4*(CF225*$W225*1000)/($G225*$B$5)))),
IF($D225="Pressio.",
IF($E225=3,(PI()*CJ$12^2)/4*(CF225*$W225*1000)/($H225*$B$5),(PI()*CJ$12^2)/4*(CF225*$W225*1000)/($G225*$B$5)),
IF($D225="Pénétro.",
IF($E225=4,(PI()*CJ$12^2)/4*(CF225*$W225*1000)/($H225*$B$5),(PI()*CJ$12^2)/4*(CF225*$W225*1000)/($G225*$B$5))))))/10</f>
        <v>#N/A</v>
      </c>
      <c r="CK225" s="102" t="e">
        <f>(VLOOKUP($B$3,'Coeff EC7'!$T$39:$X$59,2,0)*CI225+VLOOKUP($B$3,'Coeff EC7'!$T$65:$X$85,2,0)*Model0.1C!CJ225)/1.1</f>
        <v>#N/A</v>
      </c>
      <c r="CL225" s="102" t="e">
        <f>(VLOOKUP($B$3,'Coeff EC7'!$T$39:$X$59,3,0)*CI225+VLOOKUP($B$3,'Coeff EC7'!$T$65:$X$85,3,0)*Model0.1C!CJ225)/0.9</f>
        <v>#N/A</v>
      </c>
      <c r="CM225" s="102" t="e">
        <f t="shared" si="382"/>
        <v>#N/A</v>
      </c>
      <c r="CN225" s="102" t="e">
        <f t="shared" si="383"/>
        <v>#N/A</v>
      </c>
      <c r="CO225" s="414" t="e">
        <f>IF(CO224=0,0,IF(AND(CK225&gt;charge_ELS_quasi,CL225&gt;Charge_ELS_freq,CM225&gt;charge_ELU,CN225&gt;charge_ELA,$B225&gt;NDC!$H$22-0.1+MIN(3*$CO$12,1.5)),0,1))</f>
        <v>#N/A</v>
      </c>
      <c r="CP225" s="86" t="b">
        <f t="shared" si="351"/>
        <v>0</v>
      </c>
      <c r="CQ225" s="86">
        <f t="shared" si="352"/>
        <v>0.5</v>
      </c>
      <c r="CR225" s="86">
        <f t="shared" si="353"/>
        <v>0.5</v>
      </c>
      <c r="CS225" s="30" t="e">
        <f t="shared" ca="1" si="384"/>
        <v>#DIV/0!</v>
      </c>
      <c r="CT225" s="85" t="e">
        <f ca="1">IF(BZ225&lt;=Hypothèses!$V$7,Hypothèses!$W$7,IF(BZ225&lt;=Hypothèses!$V$8,Hypothèses!$W$8,IF(BZ225&lt;=Hypothèses!$V$9,Hypothèses!$W$9,IF(BZ225&lt;=Hypothèses!$V$10,Hypothèses!$W$10,IF(BZ225&lt;=Hypothèses!$V$11,Hypothèses!$W$11,IF(BZ225&lt;=Hypothèses!$V$12,Hypothèses!$W$12,IF(BZ225&lt;=Hypothèses!$V$13,Hypothèses!$W$13,IF(BZ225&lt;=Hypothèses!$V$14,Hypothèses!$W$14,IF(BZ225&lt;=Hypothèses!$V$15,Hypothèses!$W$15,IF(BZ225&lt;=Hypothèses!$V$16,Hypothèses!$W$16,IF(BZ225&lt;=Hypothèses!$V$17,Hypothèses!$W$17,IF(BZ225&lt;=Hypothèses!$V$18,Hypothèses!$W$18,""))))))))))))</f>
        <v>#DIV/0!</v>
      </c>
      <c r="CU225" s="87" t="e">
        <f t="shared" ca="1" si="420"/>
        <v>#DIV/0!</v>
      </c>
      <c r="CV225" s="88" t="e">
        <f ca="1">IF(BZ225&lt;=Hypothèses!$V$7,Hypothèses!$X$7,IF(BZ225&lt;=Hypothèses!$V$8,Hypothèses!$X$8,IF(BZ225&lt;=Hypothèses!$V$9,Hypothèses!$X$9,IF(BZ225&lt;=Hypothèses!$V$10,Hypothèses!$X$10,IF(BZ225&lt;=Hypothèses!$V$11,Hypothèses!$X$11,IF(BZ225&lt;=Hypothèses!$V$12,Hypothèses!$X$12,IF(BZ225&lt;=Hypothèses!$V$13,Hypothèses!$X$13,IF(BZ225&lt;=Hypothèses!$V$14,Hypothèses!$X$14,IF(BZ225&lt;=Hypothèses!$V$15,Hypothèses!$X$15,IF(BZ225&lt;=Hypothèses!$V$16,Hypothèses!$X$16,IF(BZ225&lt;=Hypothèses!$U$17,Hypothèses!$W$17,IF(BZ225&lt;=Hypothèses!$U$18,Hypothèses!$W$18,""))))))))))))</f>
        <v>#DIV/0!</v>
      </c>
      <c r="CW225" s="95" t="e">
        <f t="shared" ca="1" si="385"/>
        <v>#DIV/0!</v>
      </c>
      <c r="CX225" s="101" t="e">
        <f t="shared" si="427"/>
        <v>#N/A</v>
      </c>
      <c r="CY225" s="91" t="e">
        <f t="shared" si="354"/>
        <v>#N/A</v>
      </c>
      <c r="CZ225" s="30" t="e">
        <f t="shared" si="408"/>
        <v>#N/A</v>
      </c>
      <c r="DA225" s="30" t="e">
        <f t="shared" si="409"/>
        <v>#N/A</v>
      </c>
      <c r="DB225" s="31" t="e">
        <f>IF(OR(Hypothèses!$B$4=17,Hypothèses!$B$4=18,Hypothèses!$B$4=19,Hypothèses!$B$4=20),
IF($D225="Pressio.",
IF(OR($E225=3,$E225=1,$E225=4),DA225,CZ225),
IF($D225="Pénétro.",
IF(OR($E225=3,$E225=1,$E225=4),DA225,CZ225))),IF($D225="Pressio.",
IF($E225=3,DA225,CZ225),
IF($D225="Pénétro.",
IF($E225=4,DA225,CZ225))))</f>
        <v>#N/A</v>
      </c>
      <c r="DC225" s="31" t="e">
        <f>(IF(OR(Hypothèses!$B$4=17,Hypothèses!$B$4=18,Hypothèses!$B$4=19,Hypothèses!$B$4=20),
IF($D225="Pressio.",
IF(OR($E225=3,$E225=1,$E225=4),(PI()*DC$12^2)/4*(CY225*$W225*1000)/($H225*$B$5),(PI()*DC$12^2)/4*(CY225*$W225*1000)/($G225*$B$5)),
IF($D225="Pénétro.",
IF(OR($E225=4,$E225=1,$E225=5),(PI()*DC$12^2)/4*(CY225*$W225*1000)/($H225*$B$5),(PI()*DC$12^2)/4*(CY225*$W225*1000)/($G225*$B$5)))),
IF($D225="Pressio.",
IF($E225=3,(PI()*DC$12^2)/4*(CY225*$W225*1000)/($H225*$B$5),(PI()*DC$12^2)/4*(CY225*$W225*1000)/($G225*$B$5)),
IF($D225="Pénétro.",
IF($E225=4,(PI()*DC$12^2)/4*(CY225*$W225*1000)/($H225*$B$5),(PI()*DC$12^2)/4*(CY225*$W225*1000)/($G225*$B$5))))))/10</f>
        <v>#N/A</v>
      </c>
      <c r="DD225" s="102" t="e">
        <f>(VLOOKUP($B$3,'Coeff EC7'!$T$39:$X$59,2,0)*DB225+VLOOKUP($B$3,'Coeff EC7'!$T$65:$X$85,2,0)*Model0.1C!DC225)/1.1</f>
        <v>#N/A</v>
      </c>
      <c r="DE225" s="102" t="e">
        <f>(VLOOKUP($B$3,'Coeff EC7'!$T$39:$X$59,3,0)*DB225+VLOOKUP($B$3,'Coeff EC7'!$T$65:$X$85,3,0)*Model0.1C!DC225)/0.9</f>
        <v>#N/A</v>
      </c>
      <c r="DF225" s="102" t="e">
        <f t="shared" si="386"/>
        <v>#N/A</v>
      </c>
      <c r="DG225" s="102" t="e">
        <f t="shared" si="387"/>
        <v>#N/A</v>
      </c>
      <c r="DH225" s="414" t="e">
        <f>IF(DH224=0,0,IF(AND(DD225&gt;charge_ELS_quasi,DE225&gt;Charge_ELS_freq,DF225&gt;charge_ELU,DG225&gt;charge_ELA,$B225&gt;NDC!$H$22-0.1+MIN(3*$DH$12,1.5)),0,1))</f>
        <v>#N/A</v>
      </c>
      <c r="DI225" s="86" t="b">
        <f t="shared" si="355"/>
        <v>0</v>
      </c>
      <c r="DJ225" s="86">
        <f t="shared" si="356"/>
        <v>0.5</v>
      </c>
      <c r="DK225" s="86">
        <f t="shared" si="357"/>
        <v>0.5</v>
      </c>
      <c r="DL225" s="30" t="e">
        <f t="shared" ca="1" si="388"/>
        <v>#DIV/0!</v>
      </c>
      <c r="DM225" s="85" t="e">
        <f ca="1">IF(CS225&lt;=Hypothèses!$V$7,Hypothèses!$W$7,IF(CS225&lt;=Hypothèses!$V$8,Hypothèses!$W$8,IF(CS225&lt;=Hypothèses!$V$9,Hypothèses!$W$9,IF(CS225&lt;=Hypothèses!$V$10,Hypothèses!$W$10,IF(CS225&lt;=Hypothèses!$V$11,Hypothèses!$W$11,IF(CS225&lt;=Hypothèses!$V$12,Hypothèses!$W$12,IF(CS225&lt;=Hypothèses!$V$13,Hypothèses!$W$13,IF(CS225&lt;=Hypothèses!$V$14,Hypothèses!$W$14,IF(CS225&lt;=Hypothèses!$V$15,Hypothèses!$W$15,IF(CS225&lt;=Hypothèses!$V$16,Hypothèses!$W$16,IF(CS225&lt;=Hypothèses!$V$17,Hypothèses!$W$17,IF(CS225&lt;=Hypothèses!$V$18,Hypothèses!$W$18,""))))))))))))</f>
        <v>#DIV/0!</v>
      </c>
      <c r="DN225" s="87" t="e">
        <f t="shared" ca="1" si="421"/>
        <v>#DIV/0!</v>
      </c>
      <c r="DO225" s="88" t="e">
        <f ca="1">IF(CS225&lt;=Hypothèses!$V$7,Hypothèses!$X$7,IF(CS225&lt;=Hypothèses!$V$8,Hypothèses!$X$8,IF(CS225&lt;=Hypothèses!$V$9,Hypothèses!$X$9,IF(CS225&lt;=Hypothèses!$V$10,Hypothèses!$X$10,IF(CS225&lt;=Hypothèses!$V$11,Hypothèses!$X$11,IF(CS225&lt;=Hypothèses!$V$12,Hypothèses!$X$12,IF(CS225&lt;=Hypothèses!$V$13,Hypothèses!$X$13,IF(CS225&lt;=Hypothèses!$V$14,Hypothèses!$X$14,IF(CS225&lt;=Hypothèses!$V$15,Hypothèses!$X$15,IF(CS225&lt;=Hypothèses!$V$16,Hypothèses!$X$16,IF(CS225&lt;=Hypothèses!$U$17,Hypothèses!$W$17,IF(CS225&lt;=Hypothèses!$U$18,Hypothèses!$W$18,""))))))))))))</f>
        <v>#DIV/0!</v>
      </c>
      <c r="DP225" s="95" t="e">
        <f t="shared" ca="1" si="389"/>
        <v>#DIV/0!</v>
      </c>
      <c r="DQ225" s="101" t="e">
        <f t="shared" si="428"/>
        <v>#N/A</v>
      </c>
      <c r="DR225" s="91" t="e">
        <f t="shared" si="358"/>
        <v>#N/A</v>
      </c>
      <c r="DS225" s="30" t="e">
        <f t="shared" si="410"/>
        <v>#N/A</v>
      </c>
      <c r="DT225" s="30" t="e">
        <f t="shared" si="411"/>
        <v>#N/A</v>
      </c>
      <c r="DU225" s="31" t="e">
        <f>IF(OR(Hypothèses!$B$4=17,Hypothèses!$B$4=18,Hypothèses!$B$4=19,Hypothèses!$B$4=20),
IF($D225="Pressio.",
IF(OR($E225=3,$E225=1,$E225=4),DT225,DS225),
IF($D225="Pénétro.",
IF(OR($E225=3,$E225=1,$E225=4),DT225,DS225))),IF($D225="Pressio.",
IF($E225=3,DT225,DS225),
IF($D225="Pénétro.",
IF($E225=4,DT225,DS225))))</f>
        <v>#N/A</v>
      </c>
      <c r="DV225" s="31" t="e">
        <f>(IF(OR(Hypothèses!$B$4=17,Hypothèses!$B$4=18,Hypothèses!$B$4=19,Hypothèses!$B$4=20),
IF($D225="Pressio.",
IF(OR($E225=3,$E225=1,$E225=4),(PI()*DV$12^2)/4*(DR225*$W225*1000)/($H225*$B$5),(PI()*DV$12^2)/4*(DR225*$W225*1000)/($G225*$B$5)),
IF($D225="Pénétro.",
IF(OR($E225=4,$E225=1,$E225=5),(PI()*DV$12^2)/4*(DR225*$W225*1000)/($H225*$B$5),(PI()*DV$12^2)/4*(DR225*$W225*1000)/($G225*$B$5)))),
IF($D225="Pressio.",
IF($E225=3,(PI()*DV$12^2)/4*(DR225*$W225*1000)/($H225*$B$5),(PI()*DV$12^2)/4*(DR225*$W225*1000)/($G225*$B$5)),
IF($D225="Pénétro.",
IF($E225=4,(PI()*DV$12^2)/4*(DR225*$W225*1000)/($H225*$B$5),(PI()*DV$12^2)/4*(DR225*$W225*1000)/($G225*$B$5))))))/10</f>
        <v>#N/A</v>
      </c>
      <c r="DW225" s="102" t="e">
        <f>(VLOOKUP($B$3,'Coeff EC7'!$T$39:$X$59,2,0)*DU225+VLOOKUP($B$3,'Coeff EC7'!$T$65:$X$85,2,0)*Model0.1C!DV225)/1.1</f>
        <v>#N/A</v>
      </c>
      <c r="DX225" s="102" t="e">
        <f>(VLOOKUP($B$3,'Coeff EC7'!$T$39:$X$59,3,0)*DU225+VLOOKUP($B$3,'Coeff EC7'!$T$65:$X$85,3,0)*Model0.1C!DV225)/0.9</f>
        <v>#N/A</v>
      </c>
      <c r="DY225" s="102" t="e">
        <f t="shared" si="390"/>
        <v>#N/A</v>
      </c>
      <c r="DZ225" s="102" t="e">
        <f t="shared" si="391"/>
        <v>#N/A</v>
      </c>
      <c r="EA225" s="414" t="e">
        <f>IF(EA224=0,0,IF(AND(DW225&gt;charge_ELS_quasi,DX225&gt;Charge_ELS_freq,DY225&gt;charge_ELU,DZ225&gt;charge_ELA,$B225&gt;NDC!$H$22-0.1+MIN(3*$EA$12,1.5)),0,1))</f>
        <v>#N/A</v>
      </c>
      <c r="EB225" s="86" t="b">
        <f t="shared" si="359"/>
        <v>0</v>
      </c>
      <c r="EC225" s="418">
        <f t="shared" si="360"/>
        <v>0.51</v>
      </c>
      <c r="ED225" s="86">
        <f t="shared" si="361"/>
        <v>0.51</v>
      </c>
      <c r="EE225" s="30" t="e">
        <f t="shared" ca="1" si="392"/>
        <v>#DIV/0!</v>
      </c>
      <c r="EF225" s="85" t="e">
        <f ca="1">IF(DL225&lt;=Hypothèses!$V$7,Hypothèses!$W$7,IF(DL225&lt;=Hypothèses!$V$8,Hypothèses!$W$8,IF(DL225&lt;=Hypothèses!$V$9,Hypothèses!$W$9,IF(DL225&lt;=Hypothèses!$V$10,Hypothèses!$W$10,IF(DL225&lt;=Hypothèses!$V$11,Hypothèses!$W$11,IF(DL225&lt;=Hypothèses!$V$12,Hypothèses!$W$12,IF(DL225&lt;=Hypothèses!$V$13,Hypothèses!$W$13,IF(DL225&lt;=Hypothèses!$V$14,Hypothèses!$W$14,IF(DL225&lt;=Hypothèses!$V$15,Hypothèses!$W$15,IF(DL225&lt;=Hypothèses!$V$16,Hypothèses!$W$16,IF(DL225&lt;=Hypothèses!$V$17,Hypothèses!$W$17,IF(DL225&lt;=Hypothèses!$V$18,Hypothèses!$W$18,""))))))))))))</f>
        <v>#DIV/0!</v>
      </c>
      <c r="EG225" s="87" t="e">
        <f t="shared" ca="1" si="422"/>
        <v>#DIV/0!</v>
      </c>
      <c r="EH225" s="88" t="e">
        <f ca="1">IF(DL225&lt;=Hypothèses!$V$7,Hypothèses!$X$7,IF(DL225&lt;=Hypothèses!$V$8,Hypothèses!$X$8,IF(DL225&lt;=Hypothèses!$V$9,Hypothèses!$X$9,IF(DL225&lt;=Hypothèses!$V$10,Hypothèses!$X$10,IF(DL225&lt;=Hypothèses!$V$11,Hypothèses!$X$11,IF(DL225&lt;=Hypothèses!$V$12,Hypothèses!$X$12,IF(DL225&lt;=Hypothèses!$V$13,Hypothèses!$X$13,IF(DL225&lt;=Hypothèses!$V$14,Hypothèses!$X$14,IF(DL225&lt;=Hypothèses!$V$15,Hypothèses!$X$15,IF(DL225&lt;=Hypothèses!$V$16,Hypothèses!$X$16,IF(DL225&lt;=Hypothèses!$U$17,Hypothèses!$W$17,IF(DL225&lt;=Hypothèses!$U$18,Hypothèses!$W$18,""))))))))))))</f>
        <v>#DIV/0!</v>
      </c>
      <c r="EI225" s="95" t="e">
        <f t="shared" ca="1" si="393"/>
        <v>#DIV/0!</v>
      </c>
      <c r="EJ225" s="101" t="e">
        <f t="shared" si="429"/>
        <v>#N/A</v>
      </c>
      <c r="EK225" s="91" t="e">
        <f t="shared" si="362"/>
        <v>#N/A</v>
      </c>
      <c r="EL225" s="30" t="e">
        <f t="shared" si="412"/>
        <v>#N/A</v>
      </c>
      <c r="EM225" s="30" t="e">
        <f t="shared" si="413"/>
        <v>#N/A</v>
      </c>
      <c r="EN225" s="31" t="e">
        <f>IF(OR(Hypothèses!$B$4=17,Hypothèses!$B$4=18,Hypothèses!$B$4=19,Hypothèses!$B$4=20),
IF($D225="Pressio.",
IF(OR($E225=3,$E225=1,$E225=4),EM225,EL225),
IF($D225="Pénétro.",
IF(OR($E225=3,$E225=1,$E225=4),EM225,EL225))),IF($D225="Pressio.",
IF($E225=3,EM225,EL225),
IF($D225="Pénétro.",
IF($E225=4,EM225,EL225))))</f>
        <v>#N/A</v>
      </c>
      <c r="EO225" s="31" t="e">
        <f>(IF(OR(Hypothèses!$B$4=17,Hypothèses!$B$4=18,Hypothèses!$B$4=19,Hypothèses!$B$4=20),
IF($D225="Pressio.",
IF(OR($E225=3,$E225=1,$E225=4),(PI()*EO$12^2)/4*(EK225*$W225*1000)/($H225*$B$5),(PI()*EO$12^2)/4*(EK225*$W225*1000)/($G225*$B$5)),
IF($D225="Pénétro.",
IF(OR($E225=4,$E225=1,$E225=5),(PI()*EO$12^2)/4*(EK225*$W225*1000)/($H225*$B$5),(PI()*EO$12^2)/4*(EK225*$W225*1000)/($G225*$B$5)))),
IF($D225="Pressio.",
IF($E225=3,(PI()*EO$12^2)/4*(EK225*$W225*1000)/($H225*$B$5),(PI()*EO$12^2)/4*(EK225*$W225*1000)/($G225*$B$5)),
IF($D225="Pénétro.",
IF($E225=4,(PI()*EO$12^2)/4*(EK225*$W225*1000)/($H225*$B$5),(PI()*EO$12^2)/4*(EK225*$W225*1000)/($G225*$B$5))))))/10</f>
        <v>#N/A</v>
      </c>
      <c r="EP225" s="102" t="e">
        <f>(VLOOKUP($B$3,'Coeff EC7'!$T$39:$X$59,2,0)*EN225+VLOOKUP($B$3,'Coeff EC7'!$T$65:$X$85,2,0)*Model0.1C!EO225)/1.1</f>
        <v>#N/A</v>
      </c>
      <c r="EQ225" s="102" t="e">
        <f>(VLOOKUP($B$3,'Coeff EC7'!$T$39:$X$59,3,0)*EN225+VLOOKUP($B$3,'Coeff EC7'!$T$65:$X$85,3,0)*Model0.1C!EO225)/0.9</f>
        <v>#N/A</v>
      </c>
      <c r="ER225" s="102" t="e">
        <f t="shared" si="394"/>
        <v>#N/A</v>
      </c>
      <c r="ES225" s="102" t="e">
        <f t="shared" si="395"/>
        <v>#N/A</v>
      </c>
      <c r="ET225" s="414" t="e">
        <f>IF(ET224=0,0,IF(AND(EP225&gt;charge_ELS_quasi,EQ225&gt;Charge_ELS_freq,ER225&gt;charge_ELU,ES225&gt;charge_ELA,$B225&gt;NDC!$H$22-0.1+MIN(3*$ET$12,1.5)),0,1))</f>
        <v>#N/A</v>
      </c>
      <c r="EU225" s="86" t="b">
        <f t="shared" si="363"/>
        <v>0</v>
      </c>
      <c r="EV225" s="86">
        <f t="shared" si="364"/>
        <v>0.61</v>
      </c>
      <c r="EW225" s="86">
        <f t="shared" si="365"/>
        <v>0.61</v>
      </c>
      <c r="EX225" s="30" t="e">
        <f t="shared" ca="1" si="396"/>
        <v>#DIV/0!</v>
      </c>
      <c r="EY225" s="85" t="e">
        <f ca="1">IF(EE225&lt;=Hypothèses!$V$7,Hypothèses!$W$7,IF(EE225&lt;=Hypothèses!$V$8,Hypothèses!$W$8,IF(EE225&lt;=Hypothèses!$V$9,Hypothèses!$W$9,IF(EE225&lt;=Hypothèses!$V$10,Hypothèses!$W$10,IF(EE225&lt;=Hypothèses!$V$11,Hypothèses!$W$11,IF(EE225&lt;=Hypothèses!$V$12,Hypothèses!$W$12,IF(EE225&lt;=Hypothèses!$V$13,Hypothèses!$W$13,IF(EE225&lt;=Hypothèses!$V$14,Hypothèses!$W$14,IF(EE225&lt;=Hypothèses!$V$15,Hypothèses!$W$15,IF(EE225&lt;=Hypothèses!$V$16,Hypothèses!$W$16,IF(EE225&lt;=Hypothèses!$V$17,Hypothèses!$W$17,IF(EE225&lt;=Hypothèses!$V$18,Hypothèses!$W$18,""))))))))))))</f>
        <v>#DIV/0!</v>
      </c>
      <c r="EZ225" s="87" t="e">
        <f t="shared" ca="1" si="423"/>
        <v>#DIV/0!</v>
      </c>
      <c r="FA225" s="88" t="e">
        <f ca="1">IF(EE225&lt;=Hypothèses!$V$7,Hypothèses!$X$7,IF(EE225&lt;=Hypothèses!$V$8,Hypothèses!$X$8,IF(EE225&lt;=Hypothèses!$V$9,Hypothèses!$X$9,IF(EE225&lt;=Hypothèses!$V$10,Hypothèses!$X$10,IF(EE225&lt;=Hypothèses!$V$11,Hypothèses!$X$11,IF(EE225&lt;=Hypothèses!$V$12,Hypothèses!$X$12,IF(EE225&lt;=Hypothèses!$V$13,Hypothèses!$X$13,IF(EE225&lt;=Hypothèses!$V$14,Hypothèses!$X$14,IF(EE225&lt;=Hypothèses!$V$15,Hypothèses!$X$15,IF(EE225&lt;=Hypothèses!$V$16,Hypothèses!$X$16,IF(EE225&lt;=Hypothèses!$U$17,Hypothèses!$W$17,IF(EE225&lt;=Hypothèses!$U$18,Hypothèses!$W$18,""))))))))))))</f>
        <v>#DIV/0!</v>
      </c>
      <c r="FB225" s="95" t="e">
        <f t="shared" ca="1" si="397"/>
        <v>#DIV/0!</v>
      </c>
      <c r="FC225" s="101" t="e">
        <f t="shared" si="430"/>
        <v>#N/A</v>
      </c>
      <c r="FD225" s="91" t="e">
        <f t="shared" si="366"/>
        <v>#N/A</v>
      </c>
      <c r="FE225" s="30" t="e">
        <f t="shared" si="414"/>
        <v>#N/A</v>
      </c>
      <c r="FF225" s="30" t="e">
        <f t="shared" si="415"/>
        <v>#N/A</v>
      </c>
      <c r="FG225" s="31" t="e">
        <f>IF(OR(Hypothèses!$B$4=17,Hypothèses!$B$4=18,Hypothèses!$B$4=19,Hypothèses!$B$4=20),
IF($D225="Pressio.",
IF(OR($E225=3,$E225=1,$E225=4),FF225,FE225),
IF($D225="Pénétro.",
IF(OR($E225=3,$E225=1,$E225=4),FF225,FE225))),IF($D225="Pressio.",
IF($E225=3,FF225,FE225),
IF($D225="Pénétro.",
IF($E225=4,FF225,FE225))))</f>
        <v>#N/A</v>
      </c>
      <c r="FH225" s="31" t="e">
        <f>(IF(OR(Hypothèses!$B$4=17,Hypothèses!$B$4=18,Hypothèses!$B$4=19,Hypothèses!$B$4=20),
IF($D225="Pressio.",
IF(OR($E225=3,$E225=1,$E225=4),(PI()*FH$12^2)/4*(FD225*$W225*1000)/($H225*$B$5),(PI()*FH$12^2)/4*(FD225*$W225*1000)/($G225*$B$5)),
IF($D225="Pénétro.",
IF(OR($E225=4,$E225=1,$E225=5),(PI()*FH$12^2)/4*(FD225*$W225*1000)/($H225*$B$5),(PI()*FH$12^2)/4*(FD225*$W225*1000)/($G225*$B$5)))),
IF($D225="Pressio.",
IF($E225=3,(PI()*FH$12^2)/4*(FD225*$W225*1000)/($H225*$B$5),(PI()*FH$12^2)/4*(FD225*$W225*1000)/($G225*$B$5)),
IF($D225="Pénétro.",
IF($E225=4,(PI()*FH$12^2)/4*(FD225*$W225*1000)/($H225*$B$5),(PI()*FH$12^2)/4*(FD225*$W225*1000)/($G225*$B$5))))))/10</f>
        <v>#N/A</v>
      </c>
      <c r="FI225" s="102" t="e">
        <f>(VLOOKUP($B$3,'Coeff EC7'!$T$39:$X$59,2,0)*FG225+VLOOKUP($B$3,'Coeff EC7'!$T$65:$X$85,2,0)*Model0.1C!FH225)/1.1</f>
        <v>#N/A</v>
      </c>
      <c r="FJ225" s="102" t="e">
        <f>(VLOOKUP($B$3,'Coeff EC7'!$T$39:$X$59,3,0)*FG225+VLOOKUP($B$3,'Coeff EC7'!$T$65:$X$85,3,0)*Model0.1C!FH225)/0.9</f>
        <v>#N/A</v>
      </c>
      <c r="FK225" s="102" t="e">
        <f t="shared" si="398"/>
        <v>#N/A</v>
      </c>
      <c r="FL225" s="102" t="e">
        <f t="shared" si="399"/>
        <v>#N/A</v>
      </c>
      <c r="FM225" s="414" t="e">
        <f>IF(FM224=0,0,IF(AND(FI225&gt;charge_ELS_quasi,FJ225&gt;Charge_ELS_freq,FK225&gt;charge_ELU,FL225&gt;charge_ELA,$B225&gt;NDC!$H$22-0.1+MIN(3*$FM$12,1.5)),0,1))</f>
        <v>#N/A</v>
      </c>
    </row>
    <row r="226" spans="1:169">
      <c r="A226" s="96">
        <f t="shared" si="367"/>
        <v>78.700000000001211</v>
      </c>
      <c r="B226" s="97">
        <v>21.3</v>
      </c>
      <c r="C226" s="81">
        <f>IF(B226&lt;=Hypothèses!$C$7,Hypothèses!$A$7,IF(B226&lt;=Hypothèses!$C$8,Hypothèses!$A$8,IF(B226&lt;=Hypothèses!$C$9,Hypothèses!$A$9,IF(B226&lt;=Hypothèses!$C$10,Hypothèses!$A$10,IF(B226&lt;=Hypothèses!$C$11,Hypothèses!$A$11,IF(B226&lt;=Hypothèses!$C$12,Hypothèses!$A$12,IF(B226&lt;=Hypothèses!$C$13,Hypothèses!$A$13,IF(B226&lt;=Hypothèses!$C$14,Hypothèses!$A$14,IF(B226&lt;=Hypothèses!$C$15,Hypothèses!$A$15,IF(B226&lt;=Hypothèses!$C$16,Hypothèses!$A$16,IF(B226&lt;=Hypothèses!$C$17,Hypothèses!$A$17,IF(B226&lt;=Hypothèses!$C$18,Hypothèses!$A$18,C225))))))))))))</f>
        <v>11</v>
      </c>
      <c r="D226" s="82" t="str">
        <f>IF(B226&lt;=Hypothèses!$C$7,Hypothèses!$R$7,IF(B226&lt;=Hypothèses!$C$8,Hypothèses!$R$8,IF(B226&lt;=Hypothèses!$C$9,Hypothèses!$R$9,IF(B226&lt;=Hypothèses!$C$10,Hypothèses!$R$10,IF(B226&lt;=Hypothèses!$C$11,Hypothèses!$R$11,IF(B226&lt;=Hypothèses!$C$12,Hypothèses!$R$12,IF(B226&lt;=Hypothèses!$C$13,Hypothèses!$R$13,IF(B226&lt;=Hypothèses!$C$14,Hypothèses!$R$14,IF(B226&lt;=Hypothèses!$C$15,Hypothèses!$R$15,IF(B226&lt;=Hypothèses!$C$16,Hypothèses!$R$16,IF(B226&lt;=Hypothèses!$C$17,Hypothèses!$R$17,IF(B226&lt;=Hypothèses!$C$18,Hypothèses!$R$18,D225))))))))))))</f>
        <v>Pressio.</v>
      </c>
      <c r="E226" s="82" t="e">
        <f>IF(B226&lt;=Hypothèses!$C$7,Hypothèses!$G$7,IF(B226&lt;=Hypothèses!$C$8,Hypothèses!$G$8,IF(B226&lt;=Hypothèses!$C$9,Hypothèses!$G$9,IF(B226&lt;=Hypothèses!$C$10,Hypothèses!$G$10,IF(B226&lt;=Hypothèses!$C$11,Hypothèses!$G$11,IF(B226&lt;=Hypothèses!$C$12,Hypothèses!$G$12,IF(B226&lt;=Hypothèses!$C$13,Hypothèses!$G$13,IF(B226&lt;=Hypothèses!$C$14,Hypothèses!$G$14,IF(B226&lt;=Hypothèses!$C$15,Hypothèses!$G$15,IF(B226&lt;=Hypothèses!$C$16,Hypothèses!$G$16,IF(B226&lt;=Hypothèses!$C$17,Hypothèses!$G$17,IF(B226&lt;=Hypothèses!$C$18,Hypothèses!$G$18,E225))))))))))))</f>
        <v>#N/A</v>
      </c>
      <c r="F226" s="82" t="str">
        <f>IF(B226&lt;=Hypothèses!$C$7,Hypothèses!$F$7,IF(B226&lt;=Hypothèses!$C$8,Hypothèses!$F$8,IF(B226&lt;=Hypothèses!$C$9,Hypothèses!$F$9,IF(B226&lt;=Hypothèses!$C$10,Hypothèses!$F$10,IF(B226&lt;=Hypothèses!$C$11,Hypothèses!$F$11,IF(B226&lt;=Hypothèses!$C$12,Hypothèses!$F$12,IF(B226&lt;=Hypothèses!$C$13,Hypothèses!$F$13,IF(B226&lt;=Hypothèses!$C$14,Hypothèses!$F$14,IF(B226&lt;=Hypothèses!$C$15,Hypothèses!$F$15,IF(B226&lt;=Hypothèses!$C$16,Hypothèses!$F$16,IF(B226&lt;=Hypothèses!$C$17,Hypothèses!$F$17,IF(B226&lt;=Hypothèses!$C$18,Hypothèses!$F$18,F225))))))))))))</f>
        <v/>
      </c>
      <c r="G226" s="91">
        <f t="array" ref="G226">INDEX('Coeff EC7'!$U$7:$X$27,
MATCH(Model0.1C!$B$3,'Coeff EC7'!$T$7:$T$27,0),
MATCH(Model0.1C!$D226&amp;Model0.1C!$B$4,
'Coeff EC7'!$U$6:$X$6&amp;
'Coeff EC7'!$U$5:$X$5,0))</f>
        <v>1.1499999999999999</v>
      </c>
      <c r="H226" s="91">
        <f t="array" ref="H226">INDEX('Coeff EC7'!$Y$7:$AB$27,
MATCH(Model0.1C!$B$3,'Coeff EC7'!$T$7:$T$27,0),
MATCH(Model0.1C!$D226&amp;Model0.1C!$B$4,
'Coeff EC7'!$Y$6:$AB$6&amp;
'Coeff EC7'!$Y$5:$AB$5,0))</f>
        <v>1.4</v>
      </c>
      <c r="I226" s="83" t="e">
        <f>IF(B226&lt;=Hypothèses!$C$7,Hypothèses!$P$7,IF(B226&lt;=Hypothèses!$C$8,Hypothèses!$P$8,IF(B226&lt;=Hypothèses!$C$9,Hypothèses!$P$9,IF(B226&lt;=Hypothèses!$C$10,Hypothèses!$P$10,IF(B226&lt;=Hypothèses!$C$11,Hypothèses!$P$11,IF(B226&lt;=Hypothèses!$C$12,Hypothèses!$P$12,IF(B226&lt;=Hypothèses!$C$13,Hypothèses!$P$13,IF(B226&lt;=Hypothèses!$C$14,Hypothèses!$P$14,IF(B226&lt;=Hypothèses!$C$15,Hypothèses!$P$15,IF(B226&lt;=Hypothèses!$C$16,Hypothèses!$P$16,IF(B226&lt;=Hypothèses!$C$17,Hypothèses!$P$17,IF(B226&lt;=Hypothèses!$C$18,Hypothèses!$P$18,I225))))))))))))</f>
        <v>#N/A</v>
      </c>
      <c r="J226" s="91" t="e">
        <f t="array" ref="J226">INDEX('Coeff EC7'!$D$33:$Q$33,1,MATCH(D226&amp;E226,'Coeff EC7'!$D$31:$Q$31&amp;'Coeff EC7'!$D$32:$Q$32,0))</f>
        <v>#N/A</v>
      </c>
      <c r="K226" s="91" t="e">
        <f t="array" ref="K226">INDEX('Coeff EC7'!$D$34:$Q$34,1,MATCH(D226&amp;E226,'Coeff EC7'!$D$31:$Q$31&amp;'Coeff EC7'!$D$32:$Q$32,0))</f>
        <v>#N/A</v>
      </c>
      <c r="L226" s="91" t="e">
        <f t="array" ref="L226">INDEX('Coeff EC7'!$D$35:$Q$35,1,MATCH(D226&amp;E226,'Coeff EC7'!$D$31:$Q$31&amp;'Coeff EC7'!$D$32:$Q$32,0))</f>
        <v>#N/A</v>
      </c>
      <c r="M226" s="98" t="e">
        <f t="shared" si="331"/>
        <v>#N/A</v>
      </c>
      <c r="N226" s="99" t="e">
        <f t="array" ref="N226">INDEX('Coeff EC7'!$D$7:$Q$27,MATCH($B$3,'Coeff EC7'!$C$7:$C$27,0),MATCH(D226&amp;E226,'Coeff EC7'!$D$5:$Q$5&amp;'Coeff EC7'!$D$6:$Q$6,0))</f>
        <v>#N/A</v>
      </c>
      <c r="O226" s="99" t="e">
        <f t="array" ref="O226">INDEX('Coeff EC7'!$D$41:$Q$61,MATCH($B$3,'Coeff EC7'!$C$41:$C$61,0),MATCH(D226&amp;E226,'Coeff EC7'!$D$39:$Q$39&amp;'Coeff EC7'!$D$40:$Q$40,0))</f>
        <v>#N/A</v>
      </c>
      <c r="P226" s="30" t="e">
        <f t="shared" si="368"/>
        <v>#N/A</v>
      </c>
      <c r="Q226" s="100" t="e">
        <f t="shared" si="333"/>
        <v>#N/A</v>
      </c>
      <c r="R226" s="86" t="b">
        <f t="shared" si="334"/>
        <v>0</v>
      </c>
      <c r="S226" s="86">
        <f t="shared" si="332"/>
        <v>0.5</v>
      </c>
      <c r="T226" s="86">
        <f t="shared" si="335"/>
        <v>0.5</v>
      </c>
      <c r="U226" s="30" t="e">
        <f t="shared" ca="1" si="369"/>
        <v>#DIV/0!</v>
      </c>
      <c r="V226" s="85" t="str">
        <f>IF(B226&lt;=Hypothèses!$V$7,Hypothèses!$W$7,IF(B226&lt;=Hypothèses!$V$8,Hypothèses!$W$8,IF(B226&lt;=Hypothèses!$V$9,Hypothèses!$W$9,IF(B226&lt;=Hypothèses!$V$10,Hypothèses!$W$10,IF(B226&lt;=Hypothèses!$V$11,Hypothèses!$W$11,IF(B226&lt;=Hypothèses!$V$12,Hypothèses!$W$12,IF(B226&lt;=Hypothèses!$V$13,Hypothèses!$W$13,IF(B226&lt;=Hypothèses!$V$14,Hypothèses!$W$14,IF(B226&lt;=Hypothèses!$V$15,Hypothèses!$W$15,IF(B226&lt;=Hypothèses!$V$16,Hypothèses!$W$16,IF(B226&lt;=Hypothèses!$V$17,Hypothèses!$W$17,IF(B226&lt;=Hypothèses!$V$18,Hypothèses!$W$18,""))))))))))))</f>
        <v/>
      </c>
      <c r="W226" s="87" t="e">
        <f t="shared" ca="1" si="416"/>
        <v>#DIV/0!</v>
      </c>
      <c r="X226" s="88" t="str">
        <f>IF(B226&lt;=Hypothèses!$V$7,Hypothèses!$X$7,IF(B226&lt;=Hypothèses!$V$8,Hypothèses!$X$8,IF(B226&lt;=Hypothèses!$V$9,Hypothèses!$X$9,IF(B226&lt;=Hypothèses!$V$10,Hypothèses!$X$10,IF(B226&lt;=Hypothèses!$V$11,Hypothèses!$X$11,IF(B226&lt;=Hypothèses!$V$12,Hypothèses!$X$12,IF(B226&lt;=Hypothèses!$V$13,Hypothèses!$X$13,IF(B226&lt;=Hypothèses!$V$14,Hypothèses!$X$14,IF(B226&lt;=Hypothèses!$V$15,Hypothèses!$X$15,IF(B226&lt;=Hypothèses!$V$16,Hypothèses!$X$16,IF(B226&lt;=Hypothèses!$U$17,Hypothèses!$W$17,IF(B226&lt;=Hypothèses!$U$18,Hypothèses!$W$18,""))))))))))))</f>
        <v/>
      </c>
      <c r="Y226" s="95" t="e">
        <f t="shared" ca="1" si="336"/>
        <v>#DIV/0!</v>
      </c>
      <c r="Z226" s="101" t="e">
        <f t="shared" si="337"/>
        <v>#N/A</v>
      </c>
      <c r="AA226" s="91" t="e">
        <f t="shared" si="338"/>
        <v>#N/A</v>
      </c>
      <c r="AB226" s="30" t="e">
        <f t="shared" si="400"/>
        <v>#N/A</v>
      </c>
      <c r="AC226" s="30" t="e">
        <f t="shared" si="401"/>
        <v>#N/A</v>
      </c>
      <c r="AD226" s="31" t="e">
        <f>IF(OR(Hypothèses!$B$4=17,Hypothèses!$B$4=18,Hypothèses!$B$4=19,Hypothèses!$B$4=20),
IF($D226="Pressio.",
IF(OR($E226=3,$E226=1,$E226=4),AC226,AB226),
IF($D226="Pénétro.",
IF(OR($E226=3,$E226=1,$E226=4),AC226,AB226))),IF($D226="Pressio.",
IF($E226=3,AC226,AB226),
IF($D226="Pénétro.",
IF($E226=4,AC226,AB226))))</f>
        <v>#N/A</v>
      </c>
      <c r="AE226" s="31" t="e">
        <f>(IF(OR(Hypothèses!$B$4=17,Hypothèses!$B$4=18,Hypothèses!$B$4=19,Hypothèses!$B$4=20),
IF($D226="Pressio.",
IF(OR($E226=3,$E226=1,$E226=4),(PI()*AE$12^2)/4*(AA226*$W226*1000)/($H226*$B$5),(PI()*AE$12^2)/4*(AA226*$W226*1000)/($G226*$B$5)),
IF($D226="Pénétro.",
IF(OR($E226=4,$E226=1,$E226=5),(PI()*AE$12^2)/4*(AA226*$W226*1000)/($H226*$B$5),(PI()*AE$12^2)/4*(AA226*$W226*1000)/($G226*$B$5)))),
IF($D226="Pressio.",
IF($E226=3,(PI()*AE$12^2)/4*(AA226*$W226*1000)/($H226*$B$5),(PI()*AE$12^2)/4*(AA226*$W226*1000)/($G226*$B$5)),
IF($D226="Pénétro.",
IF($E226=4,(PI()*AE$12^2)/4*(AA226*$W226*1000)/($H226*$B$5),(PI()*AE$12^2)/4*(AA226*$W226*1000)/($G226*$B$5))))))/10</f>
        <v>#N/A</v>
      </c>
      <c r="AF226" s="102" t="e">
        <f>(VLOOKUP($B$3,'Coeff EC7'!$T$39:$X$59,2,0)*AD226+VLOOKUP($B$3,'Coeff EC7'!$T$65:$X$85,2,0)*Model0.1C!AE226)/1.1</f>
        <v>#N/A</v>
      </c>
      <c r="AG226" s="102" t="e">
        <f>(VLOOKUP($B$3,'Coeff EC7'!$T$39:$X$59,3,0)*AD226+VLOOKUP($B$3,'Coeff EC7'!$T$65:$X$85,3,0)*Model0.1C!AE226)/0.9</f>
        <v>#N/A</v>
      </c>
      <c r="AH226" s="102" t="e">
        <f t="shared" si="339"/>
        <v>#N/A</v>
      </c>
      <c r="AI226" s="102" t="e">
        <f t="shared" si="340"/>
        <v>#N/A</v>
      </c>
      <c r="AJ226" s="414" t="e">
        <f>IF(AJ225=0,0,IF(AND(AF226&gt;charge_ELS_quasi,AG226&gt;Charge_ELS_freq,AH226&gt;charge_ELU,AI226&gt;charge_ELA,$B226&gt;NDC!$H$22-0.1+MIN(3*$AJ$12,1.5)),0,1))</f>
        <v>#N/A</v>
      </c>
      <c r="AK226" s="86" t="b">
        <f t="shared" si="341"/>
        <v>0</v>
      </c>
      <c r="AL226" s="86">
        <f t="shared" si="370"/>
        <v>0.5</v>
      </c>
      <c r="AM226" s="86">
        <f t="shared" si="342"/>
        <v>0.5</v>
      </c>
      <c r="AN226" s="30" t="e">
        <f t="shared" ca="1" si="371"/>
        <v>#DIV/0!</v>
      </c>
      <c r="AO226" s="85" t="e">
        <f ca="1">IF(U226&lt;=Hypothèses!$V$7,Hypothèses!$W$7,IF(U226&lt;=Hypothèses!$V$8,Hypothèses!$W$8,IF(U226&lt;=Hypothèses!$V$9,Hypothèses!$W$9,IF(U226&lt;=Hypothèses!$V$10,Hypothèses!$W$10,IF(U226&lt;=Hypothèses!$V$11,Hypothèses!$W$11,IF(U226&lt;=Hypothèses!$V$12,Hypothèses!$W$12,IF(U226&lt;=Hypothèses!$V$13,Hypothèses!$W$13,IF(U226&lt;=Hypothèses!$V$14,Hypothèses!$W$14,IF(U226&lt;=Hypothèses!$V$15,Hypothèses!$W$15,IF(U226&lt;=Hypothèses!$V$16,Hypothèses!$W$16,IF(U226&lt;=Hypothèses!$V$17,Hypothèses!$W$17,IF(U226&lt;=Hypothèses!$V$18,Hypothèses!$W$18,""))))))))))))</f>
        <v>#DIV/0!</v>
      </c>
      <c r="AP226" s="87" t="e">
        <f t="shared" ca="1" si="417"/>
        <v>#DIV/0!</v>
      </c>
      <c r="AQ226" s="88" t="e">
        <f ca="1">IF(U226&lt;=Hypothèses!$V$7,Hypothèses!$X$7,IF(U226&lt;=Hypothèses!$V$8,Hypothèses!$X$8,IF(U226&lt;=Hypothèses!$V$9,Hypothèses!$X$9,IF(U226&lt;=Hypothèses!$V$10,Hypothèses!$X$10,IF(U226&lt;=Hypothèses!$V$11,Hypothèses!$X$11,IF(U226&lt;=Hypothèses!$V$12,Hypothèses!$X$12,IF(U226&lt;=Hypothèses!$V$13,Hypothèses!$X$13,IF(U226&lt;=Hypothèses!$V$14,Hypothèses!$X$14,IF(U226&lt;=Hypothèses!$V$15,Hypothèses!$X$15,IF(U226&lt;=Hypothèses!$V$16,Hypothèses!$X$16,IF(U226&lt;=Hypothèses!$U$17,Hypothèses!$W$17,IF(U226&lt;=Hypothèses!$U$18,Hypothèses!$W$18,""))))))))))))</f>
        <v>#DIV/0!</v>
      </c>
      <c r="AR226" s="95" t="e">
        <f t="shared" ca="1" si="372"/>
        <v>#DIV/0!</v>
      </c>
      <c r="AS226" s="101" t="e">
        <f t="shared" si="424"/>
        <v>#N/A</v>
      </c>
      <c r="AT226" s="91" t="e">
        <f t="shared" si="343"/>
        <v>#N/A</v>
      </c>
      <c r="AU226" s="30" t="e">
        <f t="shared" si="402"/>
        <v>#N/A</v>
      </c>
      <c r="AV226" s="30" t="e">
        <f t="shared" si="403"/>
        <v>#N/A</v>
      </c>
      <c r="AW226" s="31" t="e">
        <f>IF(OR(Hypothèses!$B$4=17,Hypothèses!$B$4=18,Hypothèses!$B$4=19,Hypothèses!$B$4=20),
IF($D226="Pressio.",
IF(OR($E226=3,$E226=1,$E226=4),AV226,AU226),
IF($D226="Pénétro.",
IF(OR($E226=3,$E226=1,$E226=4),AV226,AU226))),IF($D226="Pressio.",
IF($E226=3,AV226,AU226),
IF($D226="Pénétro.",
IF($E226=4,AV226,AU226))))</f>
        <v>#N/A</v>
      </c>
      <c r="AX226" s="31" t="e">
        <f>(IF(OR(Hypothèses!$B$4=17,Hypothèses!$B$4=18,Hypothèses!$B$4=19,Hypothèses!$B$4=20),
IF($D226="Pressio.",
IF(OR($E226=3,$E226=1,$E226=4),(PI()*AX$12^2)/4*(AT226*$W226*1000)/($H226*$B$5),(PI()*AX$12^2)/4*(AT226*$W226*1000)/($G226*$B$5)),
IF($D226="Pénétro.",
IF(OR($E226=4,$E226=1,$E226=5),(PI()*AX$12^2)/4*(AT226*$W226*1000)/($H226*$B$5),(PI()*AX$12^2)/4*(AT226*$W226*1000)/($G226*$B$5)))),
IF($D226="Pressio.",
IF($E226=3,(PI()*AX$12^2)/4*(AT226*$W226*1000)/($H226*$B$5),(PI()*AX$12^2)/4*(AT226*$W226*1000)/($G226*$B$5)),
IF($D226="Pénétro.",
IF($E226=4,(PI()*AX$12^2)/4*(AT226*$W226*1000)/($H226*$B$5),(PI()*AX$12^2)/4*(AT226*$W226*1000)/($G226*$B$5))))))/10</f>
        <v>#N/A</v>
      </c>
      <c r="AY226" s="102" t="e">
        <f>(VLOOKUP($B$3,'Coeff EC7'!$T$39:$X$59,2,0)*AW226+VLOOKUP($B$3,'Coeff EC7'!$T$65:$X$85,2,0)*Model0.1C!AX226)/1.1</f>
        <v>#N/A</v>
      </c>
      <c r="AZ226" s="102" t="e">
        <f>(VLOOKUP($B$3,'Coeff EC7'!$T$39:$X$59,3,0)*AW226+VLOOKUP($B$3,'Coeff EC7'!$T$65:$X$85,3,0)*Model0.1C!AX226)/0.9</f>
        <v>#N/A</v>
      </c>
      <c r="BA226" s="102" t="e">
        <f t="shared" si="373"/>
        <v>#N/A</v>
      </c>
      <c r="BB226" s="102" t="e">
        <f t="shared" si="374"/>
        <v>#N/A</v>
      </c>
      <c r="BC226" s="414" t="e">
        <f>IF(BC225=0,0,IF(AND(AY226&gt;charge_ELS_quasi,AZ226&gt;Charge_ELS_freq,BA226&gt;charge_ELU,BB226&gt;charge_ELA,$B226&gt;NDC!$H$22-0.1+MIN(3*$BC$12,1.5)),0,1))</f>
        <v>#N/A</v>
      </c>
      <c r="BD226" s="86" t="b">
        <f t="shared" si="344"/>
        <v>0</v>
      </c>
      <c r="BE226" s="86">
        <f t="shared" si="375"/>
        <v>0.5</v>
      </c>
      <c r="BF226" s="86">
        <f t="shared" si="345"/>
        <v>0.5</v>
      </c>
      <c r="BG226" s="30" t="e">
        <f t="shared" ca="1" si="376"/>
        <v>#DIV/0!</v>
      </c>
      <c r="BH226" s="85" t="e">
        <f ca="1">IF(AN226&lt;=Hypothèses!$V$7,Hypothèses!$W$7,IF(AN226&lt;=Hypothèses!$V$8,Hypothèses!$W$8,IF(AN226&lt;=Hypothèses!$V$9,Hypothèses!$W$9,IF(AN226&lt;=Hypothèses!$V$10,Hypothèses!$W$10,IF(AN226&lt;=Hypothèses!$V$11,Hypothèses!$W$11,IF(AN226&lt;=Hypothèses!$V$12,Hypothèses!$W$12,IF(AN226&lt;=Hypothèses!$V$13,Hypothèses!$W$13,IF(AN226&lt;=Hypothèses!$V$14,Hypothèses!$W$14,IF(AN226&lt;=Hypothèses!$V$15,Hypothèses!$W$15,IF(AN226&lt;=Hypothèses!$V$16,Hypothèses!$W$16,IF(AN226&lt;=Hypothèses!$V$17,Hypothèses!$W$17,IF(AN226&lt;=Hypothèses!$V$18,Hypothèses!$W$18,""))))))))))))</f>
        <v>#DIV/0!</v>
      </c>
      <c r="BI226" s="87" t="e">
        <f t="shared" ca="1" si="418"/>
        <v>#DIV/0!</v>
      </c>
      <c r="BJ226" s="88" t="e">
        <f ca="1">IF(AN226&lt;=Hypothèses!$V$7,Hypothèses!$X$7,IF(AN226&lt;=Hypothèses!$V$8,Hypothèses!$X$8,IF(AN226&lt;=Hypothèses!$V$9,Hypothèses!$X$9,IF(AN226&lt;=Hypothèses!$V$10,Hypothèses!$X$10,IF(AN226&lt;=Hypothèses!$V$11,Hypothèses!$X$11,IF(AN226&lt;=Hypothèses!$V$12,Hypothèses!$X$12,IF(AN226&lt;=Hypothèses!$V$13,Hypothèses!$X$13,IF(AN226&lt;=Hypothèses!$V$14,Hypothèses!$X$14,IF(AN226&lt;=Hypothèses!$V$15,Hypothèses!$X$15,IF(AN226&lt;=Hypothèses!$V$16,Hypothèses!$X$16,IF(AN226&lt;=Hypothèses!$U$17,Hypothèses!$W$17,IF(AN226&lt;=Hypothèses!$U$18,Hypothèses!$W$18,""))))))))))))</f>
        <v>#DIV/0!</v>
      </c>
      <c r="BK226" s="95" t="e">
        <f t="shared" ca="1" si="377"/>
        <v>#DIV/0!</v>
      </c>
      <c r="BL226" s="101" t="e">
        <f t="shared" si="425"/>
        <v>#N/A</v>
      </c>
      <c r="BM226" s="91" t="e">
        <f t="shared" si="346"/>
        <v>#N/A</v>
      </c>
      <c r="BN226" s="30" t="e">
        <f t="shared" si="404"/>
        <v>#N/A</v>
      </c>
      <c r="BO226" s="30" t="e">
        <f t="shared" si="405"/>
        <v>#N/A</v>
      </c>
      <c r="BP226" s="31" t="e">
        <f>IF(OR(Hypothèses!$B$4=17,Hypothèses!$B$4=18,Hypothèses!$B$4=19,Hypothèses!$B$4=20),
IF($D226="Pressio.",
IF(OR($E226=3,$E226=1,$E226=4),BO226,BN226),
IF($D226="Pénétro.",
IF(OR($E226=3,$E226=1,$E226=4),BO226,BN226))),IF($D226="Pressio.",
IF($E226=3,BO226,BN226),
IF($D226="Pénétro.",
IF($E226=4,BO226,BN226))))</f>
        <v>#N/A</v>
      </c>
      <c r="BQ226" s="31" t="e">
        <f>(IF(OR(Hypothèses!$B$4=17,Hypothèses!$B$4=18,Hypothèses!$B$4=19,Hypothèses!$B$4=20),
IF($D226="Pressio.",
IF(OR($E226=3,$E226=1,$E226=4),(PI()*BQ$12^2)/4*(BM226*$W226*1000)/($H226*$B$5),(PI()*BQ$12^2)/4*(BM226*$W226*1000)/($G226*$B$5)),
IF($D226="Pénétro.",
IF(OR($E226=4,$E226=1,$E226=5),(PI()*BQ$12^2)/4*(BM226*$W226*1000)/($H226*$B$5),(PI()*BQ$12^2)/4*(BM226*$W226*1000)/($G226*$B$5)))),
IF($D226="Pressio.",
IF($E226=3,(PI()*BQ$12^2)/4*(BM226*$W226*1000)/($H226*$B$5),(PI()*BQ$12^2)/4*(BM226*$W226*1000)/($G226*$B$5)),
IF($D226="Pénétro.",
IF($E226=4,(PI()*BQ$12^2)/4*(BM226*$W226*1000)/($H226*$B$5),(PI()*BQ$12^2)/4*(BM226*$W226*1000)/($G226*$B$5))))))/10</f>
        <v>#N/A</v>
      </c>
      <c r="BR226" s="102" t="e">
        <f>(VLOOKUP($B$3,'Coeff EC7'!$T$39:$X$59,2,0)*BP226+VLOOKUP($B$3,'Coeff EC7'!$T$65:$X$85,2,0)*Model0.1C!BQ226)/1.1</f>
        <v>#N/A</v>
      </c>
      <c r="BS226" s="102" t="e">
        <f>(VLOOKUP($B$3,'Coeff EC7'!$T$39:$X$59,3,0)*BP226+VLOOKUP($B$3,'Coeff EC7'!$T$65:$X$85,3,0)*Model0.1C!BQ226)/0.9</f>
        <v>#N/A</v>
      </c>
      <c r="BT226" s="102" t="e">
        <f t="shared" si="378"/>
        <v>#N/A</v>
      </c>
      <c r="BU226" s="102" t="e">
        <f t="shared" si="379"/>
        <v>#N/A</v>
      </c>
      <c r="BV226" s="414" t="e">
        <f>IF(BV225=0,0,IF(AND(BR226&gt;charge_ELS_quasi,BS226&gt;Charge_ELS_freq,BT226&gt;charge_ELU,BU226&gt;charge_ELA,$B226&gt;NDC!$H$22-0.1+MIN(3*$BV$12,1.5)),0,1))</f>
        <v>#N/A</v>
      </c>
      <c r="BW226" s="86" t="b">
        <f t="shared" si="347"/>
        <v>0</v>
      </c>
      <c r="BX226" s="86">
        <f t="shared" si="348"/>
        <v>0.5</v>
      </c>
      <c r="BY226" s="86">
        <f t="shared" si="349"/>
        <v>0.5</v>
      </c>
      <c r="BZ226" s="30" t="e">
        <f t="shared" ca="1" si="380"/>
        <v>#DIV/0!</v>
      </c>
      <c r="CA226" s="85" t="e">
        <f ca="1">IF(BG226&lt;=Hypothèses!$V$7,Hypothèses!$W$7,IF(BG226&lt;=Hypothèses!$V$8,Hypothèses!$W$8,IF(BG226&lt;=Hypothèses!$V$9,Hypothèses!$W$9,IF(BG226&lt;=Hypothèses!$V$10,Hypothèses!$W$10,IF(BG226&lt;=Hypothèses!$V$11,Hypothèses!$W$11,IF(BG226&lt;=Hypothèses!$V$12,Hypothèses!$W$12,IF(BG226&lt;=Hypothèses!$V$13,Hypothèses!$W$13,IF(BG226&lt;=Hypothèses!$V$14,Hypothèses!$W$14,IF(BG226&lt;=Hypothèses!$V$15,Hypothèses!$W$15,IF(BG226&lt;=Hypothèses!$V$16,Hypothèses!$W$16,IF(BG226&lt;=Hypothèses!$V$17,Hypothèses!$W$17,IF(BG226&lt;=Hypothèses!$V$18,Hypothèses!$W$18,""))))))))))))</f>
        <v>#DIV/0!</v>
      </c>
      <c r="CB226" s="87" t="e">
        <f t="shared" ca="1" si="419"/>
        <v>#DIV/0!</v>
      </c>
      <c r="CC226" s="88" t="e">
        <f ca="1">IF(BG226&lt;=Hypothèses!$V$7,Hypothèses!$X$7,IF(BG226&lt;=Hypothèses!$V$8,Hypothèses!$X$8,IF(BG226&lt;=Hypothèses!$V$9,Hypothèses!$X$9,IF(BG226&lt;=Hypothèses!$V$10,Hypothèses!$X$10,IF(BG226&lt;=Hypothèses!$V$11,Hypothèses!$X$11,IF(BG226&lt;=Hypothèses!$V$12,Hypothèses!$X$12,IF(BG226&lt;=Hypothèses!$V$13,Hypothèses!$X$13,IF(BG226&lt;=Hypothèses!$V$14,Hypothèses!$X$14,IF(BG226&lt;=Hypothèses!$V$15,Hypothèses!$X$15,IF(BG226&lt;=Hypothèses!$V$16,Hypothèses!$X$16,IF(BG226&lt;=Hypothèses!$U$17,Hypothèses!$W$17,IF(BG226&lt;=Hypothèses!$U$18,Hypothèses!$W$18,""))))))))))))</f>
        <v>#DIV/0!</v>
      </c>
      <c r="CD226" s="95" t="e">
        <f t="shared" ca="1" si="381"/>
        <v>#DIV/0!</v>
      </c>
      <c r="CE226" s="101" t="e">
        <f t="shared" si="426"/>
        <v>#N/A</v>
      </c>
      <c r="CF226" s="91" t="e">
        <f t="shared" si="350"/>
        <v>#N/A</v>
      </c>
      <c r="CG226" s="30" t="e">
        <f t="shared" si="406"/>
        <v>#N/A</v>
      </c>
      <c r="CH226" s="30" t="e">
        <f t="shared" si="407"/>
        <v>#N/A</v>
      </c>
      <c r="CI226" s="31" t="e">
        <f>IF(OR(Hypothèses!$B$4=17,Hypothèses!$B$4=18,Hypothèses!$B$4=19,Hypothèses!$B$4=20),
IF($D226="Pressio.",
IF(OR($E226=3,$E226=1,$E226=4),CH226,CG226),
IF($D226="Pénétro.",
IF(OR($E226=3,$E226=1,$E226=4),CH226,CG226))),IF($D226="Pressio.",
IF($E226=3,CH226,CG226),
IF($D226="Pénétro.",
IF($E226=4,CH226,CG226))))</f>
        <v>#N/A</v>
      </c>
      <c r="CJ226" s="31" t="e">
        <f>(IF(OR(Hypothèses!$B$4=17,Hypothèses!$B$4=18,Hypothèses!$B$4=19,Hypothèses!$B$4=20),
IF($D226="Pressio.",
IF(OR($E226=3,$E226=1,$E226=4),(PI()*CJ$12^2)/4*(CF226*$W226*1000)/($H226*$B$5),(PI()*CJ$12^2)/4*(CF226*$W226*1000)/($G226*$B$5)),
IF($D226="Pénétro.",
IF(OR($E226=4,$E226=1,$E226=5),(PI()*CJ$12^2)/4*(CF226*$W226*1000)/($H226*$B$5),(PI()*CJ$12^2)/4*(CF226*$W226*1000)/($G226*$B$5)))),
IF($D226="Pressio.",
IF($E226=3,(PI()*CJ$12^2)/4*(CF226*$W226*1000)/($H226*$B$5),(PI()*CJ$12^2)/4*(CF226*$W226*1000)/($G226*$B$5)),
IF($D226="Pénétro.",
IF($E226=4,(PI()*CJ$12^2)/4*(CF226*$W226*1000)/($H226*$B$5),(PI()*CJ$12^2)/4*(CF226*$W226*1000)/($G226*$B$5))))))/10</f>
        <v>#N/A</v>
      </c>
      <c r="CK226" s="102" t="e">
        <f>(VLOOKUP($B$3,'Coeff EC7'!$T$39:$X$59,2,0)*CI226+VLOOKUP($B$3,'Coeff EC7'!$T$65:$X$85,2,0)*Model0.1C!CJ226)/1.1</f>
        <v>#N/A</v>
      </c>
      <c r="CL226" s="102" t="e">
        <f>(VLOOKUP($B$3,'Coeff EC7'!$T$39:$X$59,3,0)*CI226+VLOOKUP($B$3,'Coeff EC7'!$T$65:$X$85,3,0)*Model0.1C!CJ226)/0.9</f>
        <v>#N/A</v>
      </c>
      <c r="CM226" s="102" t="e">
        <f t="shared" si="382"/>
        <v>#N/A</v>
      </c>
      <c r="CN226" s="102" t="e">
        <f t="shared" si="383"/>
        <v>#N/A</v>
      </c>
      <c r="CO226" s="414" t="e">
        <f>IF(CO225=0,0,IF(AND(CK226&gt;charge_ELS_quasi,CL226&gt;Charge_ELS_freq,CM226&gt;charge_ELU,CN226&gt;charge_ELA,$B226&gt;NDC!$H$22-0.1+MIN(3*$CO$12,1.5)),0,1))</f>
        <v>#N/A</v>
      </c>
      <c r="CP226" s="86" t="b">
        <f t="shared" si="351"/>
        <v>0</v>
      </c>
      <c r="CQ226" s="86">
        <f t="shared" si="352"/>
        <v>0.5</v>
      </c>
      <c r="CR226" s="86">
        <f t="shared" si="353"/>
        <v>0.5</v>
      </c>
      <c r="CS226" s="30" t="e">
        <f t="shared" ca="1" si="384"/>
        <v>#DIV/0!</v>
      </c>
      <c r="CT226" s="85" t="e">
        <f ca="1">IF(BZ226&lt;=Hypothèses!$V$7,Hypothèses!$W$7,IF(BZ226&lt;=Hypothèses!$V$8,Hypothèses!$W$8,IF(BZ226&lt;=Hypothèses!$V$9,Hypothèses!$W$9,IF(BZ226&lt;=Hypothèses!$V$10,Hypothèses!$W$10,IF(BZ226&lt;=Hypothèses!$V$11,Hypothèses!$W$11,IF(BZ226&lt;=Hypothèses!$V$12,Hypothèses!$W$12,IF(BZ226&lt;=Hypothèses!$V$13,Hypothèses!$W$13,IF(BZ226&lt;=Hypothèses!$V$14,Hypothèses!$W$14,IF(BZ226&lt;=Hypothèses!$V$15,Hypothèses!$W$15,IF(BZ226&lt;=Hypothèses!$V$16,Hypothèses!$W$16,IF(BZ226&lt;=Hypothèses!$V$17,Hypothèses!$W$17,IF(BZ226&lt;=Hypothèses!$V$18,Hypothèses!$W$18,""))))))))))))</f>
        <v>#DIV/0!</v>
      </c>
      <c r="CU226" s="87" t="e">
        <f t="shared" ca="1" si="420"/>
        <v>#DIV/0!</v>
      </c>
      <c r="CV226" s="88" t="e">
        <f ca="1">IF(BZ226&lt;=Hypothèses!$V$7,Hypothèses!$X$7,IF(BZ226&lt;=Hypothèses!$V$8,Hypothèses!$X$8,IF(BZ226&lt;=Hypothèses!$V$9,Hypothèses!$X$9,IF(BZ226&lt;=Hypothèses!$V$10,Hypothèses!$X$10,IF(BZ226&lt;=Hypothèses!$V$11,Hypothèses!$X$11,IF(BZ226&lt;=Hypothèses!$V$12,Hypothèses!$X$12,IF(BZ226&lt;=Hypothèses!$V$13,Hypothèses!$X$13,IF(BZ226&lt;=Hypothèses!$V$14,Hypothèses!$X$14,IF(BZ226&lt;=Hypothèses!$V$15,Hypothèses!$X$15,IF(BZ226&lt;=Hypothèses!$V$16,Hypothèses!$X$16,IF(BZ226&lt;=Hypothèses!$U$17,Hypothèses!$W$17,IF(BZ226&lt;=Hypothèses!$U$18,Hypothèses!$W$18,""))))))))))))</f>
        <v>#DIV/0!</v>
      </c>
      <c r="CW226" s="95" t="e">
        <f t="shared" ca="1" si="385"/>
        <v>#DIV/0!</v>
      </c>
      <c r="CX226" s="101" t="e">
        <f t="shared" si="427"/>
        <v>#N/A</v>
      </c>
      <c r="CY226" s="91" t="e">
        <f t="shared" si="354"/>
        <v>#N/A</v>
      </c>
      <c r="CZ226" s="30" t="e">
        <f t="shared" si="408"/>
        <v>#N/A</v>
      </c>
      <c r="DA226" s="30" t="e">
        <f t="shared" si="409"/>
        <v>#N/A</v>
      </c>
      <c r="DB226" s="31" t="e">
        <f>IF(OR(Hypothèses!$B$4=17,Hypothèses!$B$4=18,Hypothèses!$B$4=19,Hypothèses!$B$4=20),
IF($D226="Pressio.",
IF(OR($E226=3,$E226=1,$E226=4),DA226,CZ226),
IF($D226="Pénétro.",
IF(OR($E226=3,$E226=1,$E226=4),DA226,CZ226))),IF($D226="Pressio.",
IF($E226=3,DA226,CZ226),
IF($D226="Pénétro.",
IF($E226=4,DA226,CZ226))))</f>
        <v>#N/A</v>
      </c>
      <c r="DC226" s="31" t="e">
        <f>(IF(OR(Hypothèses!$B$4=17,Hypothèses!$B$4=18,Hypothèses!$B$4=19,Hypothèses!$B$4=20),
IF($D226="Pressio.",
IF(OR($E226=3,$E226=1,$E226=4),(PI()*DC$12^2)/4*(CY226*$W226*1000)/($H226*$B$5),(PI()*DC$12^2)/4*(CY226*$W226*1000)/($G226*$B$5)),
IF($D226="Pénétro.",
IF(OR($E226=4,$E226=1,$E226=5),(PI()*DC$12^2)/4*(CY226*$W226*1000)/($H226*$B$5),(PI()*DC$12^2)/4*(CY226*$W226*1000)/($G226*$B$5)))),
IF($D226="Pressio.",
IF($E226=3,(PI()*DC$12^2)/4*(CY226*$W226*1000)/($H226*$B$5),(PI()*DC$12^2)/4*(CY226*$W226*1000)/($G226*$B$5)),
IF($D226="Pénétro.",
IF($E226=4,(PI()*DC$12^2)/4*(CY226*$W226*1000)/($H226*$B$5),(PI()*DC$12^2)/4*(CY226*$W226*1000)/($G226*$B$5))))))/10</f>
        <v>#N/A</v>
      </c>
      <c r="DD226" s="102" t="e">
        <f>(VLOOKUP($B$3,'Coeff EC7'!$T$39:$X$59,2,0)*DB226+VLOOKUP($B$3,'Coeff EC7'!$T$65:$X$85,2,0)*Model0.1C!DC226)/1.1</f>
        <v>#N/A</v>
      </c>
      <c r="DE226" s="102" t="e">
        <f>(VLOOKUP($B$3,'Coeff EC7'!$T$39:$X$59,3,0)*DB226+VLOOKUP($B$3,'Coeff EC7'!$T$65:$X$85,3,0)*Model0.1C!DC226)/0.9</f>
        <v>#N/A</v>
      </c>
      <c r="DF226" s="102" t="e">
        <f t="shared" si="386"/>
        <v>#N/A</v>
      </c>
      <c r="DG226" s="102" t="e">
        <f t="shared" si="387"/>
        <v>#N/A</v>
      </c>
      <c r="DH226" s="414" t="e">
        <f>IF(DH225=0,0,IF(AND(DD226&gt;charge_ELS_quasi,DE226&gt;Charge_ELS_freq,DF226&gt;charge_ELU,DG226&gt;charge_ELA,$B226&gt;NDC!$H$22-0.1+MIN(3*$DH$12,1.5)),0,1))</f>
        <v>#N/A</v>
      </c>
      <c r="DI226" s="86" t="b">
        <f t="shared" si="355"/>
        <v>0</v>
      </c>
      <c r="DJ226" s="86">
        <f t="shared" si="356"/>
        <v>0.5</v>
      </c>
      <c r="DK226" s="86">
        <f t="shared" si="357"/>
        <v>0.5</v>
      </c>
      <c r="DL226" s="30" t="e">
        <f t="shared" ca="1" si="388"/>
        <v>#DIV/0!</v>
      </c>
      <c r="DM226" s="85" t="e">
        <f ca="1">IF(CS226&lt;=Hypothèses!$V$7,Hypothèses!$W$7,IF(CS226&lt;=Hypothèses!$V$8,Hypothèses!$W$8,IF(CS226&lt;=Hypothèses!$V$9,Hypothèses!$W$9,IF(CS226&lt;=Hypothèses!$V$10,Hypothèses!$W$10,IF(CS226&lt;=Hypothèses!$V$11,Hypothèses!$W$11,IF(CS226&lt;=Hypothèses!$V$12,Hypothèses!$W$12,IF(CS226&lt;=Hypothèses!$V$13,Hypothèses!$W$13,IF(CS226&lt;=Hypothèses!$V$14,Hypothèses!$W$14,IF(CS226&lt;=Hypothèses!$V$15,Hypothèses!$W$15,IF(CS226&lt;=Hypothèses!$V$16,Hypothèses!$W$16,IF(CS226&lt;=Hypothèses!$V$17,Hypothèses!$W$17,IF(CS226&lt;=Hypothèses!$V$18,Hypothèses!$W$18,""))))))))))))</f>
        <v>#DIV/0!</v>
      </c>
      <c r="DN226" s="87" t="e">
        <f t="shared" ca="1" si="421"/>
        <v>#DIV/0!</v>
      </c>
      <c r="DO226" s="88" t="e">
        <f ca="1">IF(CS226&lt;=Hypothèses!$V$7,Hypothèses!$X$7,IF(CS226&lt;=Hypothèses!$V$8,Hypothèses!$X$8,IF(CS226&lt;=Hypothèses!$V$9,Hypothèses!$X$9,IF(CS226&lt;=Hypothèses!$V$10,Hypothèses!$X$10,IF(CS226&lt;=Hypothèses!$V$11,Hypothèses!$X$11,IF(CS226&lt;=Hypothèses!$V$12,Hypothèses!$X$12,IF(CS226&lt;=Hypothèses!$V$13,Hypothèses!$X$13,IF(CS226&lt;=Hypothèses!$V$14,Hypothèses!$X$14,IF(CS226&lt;=Hypothèses!$V$15,Hypothèses!$X$15,IF(CS226&lt;=Hypothèses!$V$16,Hypothèses!$X$16,IF(CS226&lt;=Hypothèses!$U$17,Hypothèses!$W$17,IF(CS226&lt;=Hypothèses!$U$18,Hypothèses!$W$18,""))))))))))))</f>
        <v>#DIV/0!</v>
      </c>
      <c r="DP226" s="95" t="e">
        <f t="shared" ca="1" si="389"/>
        <v>#DIV/0!</v>
      </c>
      <c r="DQ226" s="101" t="e">
        <f t="shared" si="428"/>
        <v>#N/A</v>
      </c>
      <c r="DR226" s="91" t="e">
        <f t="shared" si="358"/>
        <v>#N/A</v>
      </c>
      <c r="DS226" s="30" t="e">
        <f t="shared" si="410"/>
        <v>#N/A</v>
      </c>
      <c r="DT226" s="30" t="e">
        <f t="shared" si="411"/>
        <v>#N/A</v>
      </c>
      <c r="DU226" s="31" t="e">
        <f>IF(OR(Hypothèses!$B$4=17,Hypothèses!$B$4=18,Hypothèses!$B$4=19,Hypothèses!$B$4=20),
IF($D226="Pressio.",
IF(OR($E226=3,$E226=1,$E226=4),DT226,DS226),
IF($D226="Pénétro.",
IF(OR($E226=3,$E226=1,$E226=4),DT226,DS226))),IF($D226="Pressio.",
IF($E226=3,DT226,DS226),
IF($D226="Pénétro.",
IF($E226=4,DT226,DS226))))</f>
        <v>#N/A</v>
      </c>
      <c r="DV226" s="31" t="e">
        <f>(IF(OR(Hypothèses!$B$4=17,Hypothèses!$B$4=18,Hypothèses!$B$4=19,Hypothèses!$B$4=20),
IF($D226="Pressio.",
IF(OR($E226=3,$E226=1,$E226=4),(PI()*DV$12^2)/4*(DR226*$W226*1000)/($H226*$B$5),(PI()*DV$12^2)/4*(DR226*$W226*1000)/($G226*$B$5)),
IF($D226="Pénétro.",
IF(OR($E226=4,$E226=1,$E226=5),(PI()*DV$12^2)/4*(DR226*$W226*1000)/($H226*$B$5),(PI()*DV$12^2)/4*(DR226*$W226*1000)/($G226*$B$5)))),
IF($D226="Pressio.",
IF($E226=3,(PI()*DV$12^2)/4*(DR226*$W226*1000)/($H226*$B$5),(PI()*DV$12^2)/4*(DR226*$W226*1000)/($G226*$B$5)),
IF($D226="Pénétro.",
IF($E226=4,(PI()*DV$12^2)/4*(DR226*$W226*1000)/($H226*$B$5),(PI()*DV$12^2)/4*(DR226*$W226*1000)/($G226*$B$5))))))/10</f>
        <v>#N/A</v>
      </c>
      <c r="DW226" s="102" t="e">
        <f>(VLOOKUP($B$3,'Coeff EC7'!$T$39:$X$59,2,0)*DU226+VLOOKUP($B$3,'Coeff EC7'!$T$65:$X$85,2,0)*Model0.1C!DV226)/1.1</f>
        <v>#N/A</v>
      </c>
      <c r="DX226" s="102" t="e">
        <f>(VLOOKUP($B$3,'Coeff EC7'!$T$39:$X$59,3,0)*DU226+VLOOKUP($B$3,'Coeff EC7'!$T$65:$X$85,3,0)*Model0.1C!DV226)/0.9</f>
        <v>#N/A</v>
      </c>
      <c r="DY226" s="102" t="e">
        <f t="shared" si="390"/>
        <v>#N/A</v>
      </c>
      <c r="DZ226" s="102" t="e">
        <f t="shared" si="391"/>
        <v>#N/A</v>
      </c>
      <c r="EA226" s="414" t="e">
        <f>IF(EA225=0,0,IF(AND(DW226&gt;charge_ELS_quasi,DX226&gt;Charge_ELS_freq,DY226&gt;charge_ELU,DZ226&gt;charge_ELA,$B226&gt;NDC!$H$22-0.1+MIN(3*$EA$12,1.5)),0,1))</f>
        <v>#N/A</v>
      </c>
      <c r="EB226" s="86" t="b">
        <f t="shared" si="359"/>
        <v>0</v>
      </c>
      <c r="EC226" s="418">
        <f t="shared" si="360"/>
        <v>0.51</v>
      </c>
      <c r="ED226" s="86">
        <f t="shared" si="361"/>
        <v>0.51</v>
      </c>
      <c r="EE226" s="30" t="e">
        <f t="shared" ca="1" si="392"/>
        <v>#DIV/0!</v>
      </c>
      <c r="EF226" s="85" t="e">
        <f ca="1">IF(DL226&lt;=Hypothèses!$V$7,Hypothèses!$W$7,IF(DL226&lt;=Hypothèses!$V$8,Hypothèses!$W$8,IF(DL226&lt;=Hypothèses!$V$9,Hypothèses!$W$9,IF(DL226&lt;=Hypothèses!$V$10,Hypothèses!$W$10,IF(DL226&lt;=Hypothèses!$V$11,Hypothèses!$W$11,IF(DL226&lt;=Hypothèses!$V$12,Hypothèses!$W$12,IF(DL226&lt;=Hypothèses!$V$13,Hypothèses!$W$13,IF(DL226&lt;=Hypothèses!$V$14,Hypothèses!$W$14,IF(DL226&lt;=Hypothèses!$V$15,Hypothèses!$W$15,IF(DL226&lt;=Hypothèses!$V$16,Hypothèses!$W$16,IF(DL226&lt;=Hypothèses!$V$17,Hypothèses!$W$17,IF(DL226&lt;=Hypothèses!$V$18,Hypothèses!$W$18,""))))))))))))</f>
        <v>#DIV/0!</v>
      </c>
      <c r="EG226" s="87" t="e">
        <f t="shared" ca="1" si="422"/>
        <v>#DIV/0!</v>
      </c>
      <c r="EH226" s="88" t="e">
        <f ca="1">IF(DL226&lt;=Hypothèses!$V$7,Hypothèses!$X$7,IF(DL226&lt;=Hypothèses!$V$8,Hypothèses!$X$8,IF(DL226&lt;=Hypothèses!$V$9,Hypothèses!$X$9,IF(DL226&lt;=Hypothèses!$V$10,Hypothèses!$X$10,IF(DL226&lt;=Hypothèses!$V$11,Hypothèses!$X$11,IF(DL226&lt;=Hypothèses!$V$12,Hypothèses!$X$12,IF(DL226&lt;=Hypothèses!$V$13,Hypothèses!$X$13,IF(DL226&lt;=Hypothèses!$V$14,Hypothèses!$X$14,IF(DL226&lt;=Hypothèses!$V$15,Hypothèses!$X$15,IF(DL226&lt;=Hypothèses!$V$16,Hypothèses!$X$16,IF(DL226&lt;=Hypothèses!$U$17,Hypothèses!$W$17,IF(DL226&lt;=Hypothèses!$U$18,Hypothèses!$W$18,""))))))))))))</f>
        <v>#DIV/0!</v>
      </c>
      <c r="EI226" s="95" t="e">
        <f t="shared" ca="1" si="393"/>
        <v>#DIV/0!</v>
      </c>
      <c r="EJ226" s="101" t="e">
        <f t="shared" si="429"/>
        <v>#N/A</v>
      </c>
      <c r="EK226" s="91" t="e">
        <f t="shared" si="362"/>
        <v>#N/A</v>
      </c>
      <c r="EL226" s="30" t="e">
        <f t="shared" si="412"/>
        <v>#N/A</v>
      </c>
      <c r="EM226" s="30" t="e">
        <f t="shared" si="413"/>
        <v>#N/A</v>
      </c>
      <c r="EN226" s="31" t="e">
        <f>IF(OR(Hypothèses!$B$4=17,Hypothèses!$B$4=18,Hypothèses!$B$4=19,Hypothèses!$B$4=20),
IF($D226="Pressio.",
IF(OR($E226=3,$E226=1,$E226=4),EM226,EL226),
IF($D226="Pénétro.",
IF(OR($E226=3,$E226=1,$E226=4),EM226,EL226))),IF($D226="Pressio.",
IF($E226=3,EM226,EL226),
IF($D226="Pénétro.",
IF($E226=4,EM226,EL226))))</f>
        <v>#N/A</v>
      </c>
      <c r="EO226" s="31" t="e">
        <f>(IF(OR(Hypothèses!$B$4=17,Hypothèses!$B$4=18,Hypothèses!$B$4=19,Hypothèses!$B$4=20),
IF($D226="Pressio.",
IF(OR($E226=3,$E226=1,$E226=4),(PI()*EO$12^2)/4*(EK226*$W226*1000)/($H226*$B$5),(PI()*EO$12^2)/4*(EK226*$W226*1000)/($G226*$B$5)),
IF($D226="Pénétro.",
IF(OR($E226=4,$E226=1,$E226=5),(PI()*EO$12^2)/4*(EK226*$W226*1000)/($H226*$B$5),(PI()*EO$12^2)/4*(EK226*$W226*1000)/($G226*$B$5)))),
IF($D226="Pressio.",
IF($E226=3,(PI()*EO$12^2)/4*(EK226*$W226*1000)/($H226*$B$5),(PI()*EO$12^2)/4*(EK226*$W226*1000)/($G226*$B$5)),
IF($D226="Pénétro.",
IF($E226=4,(PI()*EO$12^2)/4*(EK226*$W226*1000)/($H226*$B$5),(PI()*EO$12^2)/4*(EK226*$W226*1000)/($G226*$B$5))))))/10</f>
        <v>#N/A</v>
      </c>
      <c r="EP226" s="102" t="e">
        <f>(VLOOKUP($B$3,'Coeff EC7'!$T$39:$X$59,2,0)*EN226+VLOOKUP($B$3,'Coeff EC7'!$T$65:$X$85,2,0)*Model0.1C!EO226)/1.1</f>
        <v>#N/A</v>
      </c>
      <c r="EQ226" s="102" t="e">
        <f>(VLOOKUP($B$3,'Coeff EC7'!$T$39:$X$59,3,0)*EN226+VLOOKUP($B$3,'Coeff EC7'!$T$65:$X$85,3,0)*Model0.1C!EO226)/0.9</f>
        <v>#N/A</v>
      </c>
      <c r="ER226" s="102" t="e">
        <f t="shared" si="394"/>
        <v>#N/A</v>
      </c>
      <c r="ES226" s="102" t="e">
        <f t="shared" si="395"/>
        <v>#N/A</v>
      </c>
      <c r="ET226" s="414" t="e">
        <f>IF(ET225=0,0,IF(AND(EP226&gt;charge_ELS_quasi,EQ226&gt;Charge_ELS_freq,ER226&gt;charge_ELU,ES226&gt;charge_ELA,$B226&gt;NDC!$H$22-0.1+MIN(3*$ET$12,1.5)),0,1))</f>
        <v>#N/A</v>
      </c>
      <c r="EU226" s="86" t="b">
        <f t="shared" si="363"/>
        <v>0</v>
      </c>
      <c r="EV226" s="86">
        <f t="shared" si="364"/>
        <v>0.61</v>
      </c>
      <c r="EW226" s="86">
        <f t="shared" si="365"/>
        <v>0.61</v>
      </c>
      <c r="EX226" s="30" t="e">
        <f t="shared" ca="1" si="396"/>
        <v>#DIV/0!</v>
      </c>
      <c r="EY226" s="85" t="e">
        <f ca="1">IF(EE226&lt;=Hypothèses!$V$7,Hypothèses!$W$7,IF(EE226&lt;=Hypothèses!$V$8,Hypothèses!$W$8,IF(EE226&lt;=Hypothèses!$V$9,Hypothèses!$W$9,IF(EE226&lt;=Hypothèses!$V$10,Hypothèses!$W$10,IF(EE226&lt;=Hypothèses!$V$11,Hypothèses!$W$11,IF(EE226&lt;=Hypothèses!$V$12,Hypothèses!$W$12,IF(EE226&lt;=Hypothèses!$V$13,Hypothèses!$W$13,IF(EE226&lt;=Hypothèses!$V$14,Hypothèses!$W$14,IF(EE226&lt;=Hypothèses!$V$15,Hypothèses!$W$15,IF(EE226&lt;=Hypothèses!$V$16,Hypothèses!$W$16,IF(EE226&lt;=Hypothèses!$V$17,Hypothèses!$W$17,IF(EE226&lt;=Hypothèses!$V$18,Hypothèses!$W$18,""))))))))))))</f>
        <v>#DIV/0!</v>
      </c>
      <c r="EZ226" s="87" t="e">
        <f t="shared" ca="1" si="423"/>
        <v>#DIV/0!</v>
      </c>
      <c r="FA226" s="88" t="e">
        <f ca="1">IF(EE226&lt;=Hypothèses!$V$7,Hypothèses!$X$7,IF(EE226&lt;=Hypothèses!$V$8,Hypothèses!$X$8,IF(EE226&lt;=Hypothèses!$V$9,Hypothèses!$X$9,IF(EE226&lt;=Hypothèses!$V$10,Hypothèses!$X$10,IF(EE226&lt;=Hypothèses!$V$11,Hypothèses!$X$11,IF(EE226&lt;=Hypothèses!$V$12,Hypothèses!$X$12,IF(EE226&lt;=Hypothèses!$V$13,Hypothèses!$X$13,IF(EE226&lt;=Hypothèses!$V$14,Hypothèses!$X$14,IF(EE226&lt;=Hypothèses!$V$15,Hypothèses!$X$15,IF(EE226&lt;=Hypothèses!$V$16,Hypothèses!$X$16,IF(EE226&lt;=Hypothèses!$U$17,Hypothèses!$W$17,IF(EE226&lt;=Hypothèses!$U$18,Hypothèses!$W$18,""))))))))))))</f>
        <v>#DIV/0!</v>
      </c>
      <c r="FB226" s="95" t="e">
        <f t="shared" ca="1" si="397"/>
        <v>#DIV/0!</v>
      </c>
      <c r="FC226" s="101" t="e">
        <f t="shared" si="430"/>
        <v>#N/A</v>
      </c>
      <c r="FD226" s="91" t="e">
        <f t="shared" si="366"/>
        <v>#N/A</v>
      </c>
      <c r="FE226" s="30" t="e">
        <f t="shared" si="414"/>
        <v>#N/A</v>
      </c>
      <c r="FF226" s="30" t="e">
        <f t="shared" si="415"/>
        <v>#N/A</v>
      </c>
      <c r="FG226" s="31" t="e">
        <f>IF(OR(Hypothèses!$B$4=17,Hypothèses!$B$4=18,Hypothèses!$B$4=19,Hypothèses!$B$4=20),
IF($D226="Pressio.",
IF(OR($E226=3,$E226=1,$E226=4),FF226,FE226),
IF($D226="Pénétro.",
IF(OR($E226=3,$E226=1,$E226=4),FF226,FE226))),IF($D226="Pressio.",
IF($E226=3,FF226,FE226),
IF($D226="Pénétro.",
IF($E226=4,FF226,FE226))))</f>
        <v>#N/A</v>
      </c>
      <c r="FH226" s="31" t="e">
        <f>(IF(OR(Hypothèses!$B$4=17,Hypothèses!$B$4=18,Hypothèses!$B$4=19,Hypothèses!$B$4=20),
IF($D226="Pressio.",
IF(OR($E226=3,$E226=1,$E226=4),(PI()*FH$12^2)/4*(FD226*$W226*1000)/($H226*$B$5),(PI()*FH$12^2)/4*(FD226*$W226*1000)/($G226*$B$5)),
IF($D226="Pénétro.",
IF(OR($E226=4,$E226=1,$E226=5),(PI()*FH$12^2)/4*(FD226*$W226*1000)/($H226*$B$5),(PI()*FH$12^2)/4*(FD226*$W226*1000)/($G226*$B$5)))),
IF($D226="Pressio.",
IF($E226=3,(PI()*FH$12^2)/4*(FD226*$W226*1000)/($H226*$B$5),(PI()*FH$12^2)/4*(FD226*$W226*1000)/($G226*$B$5)),
IF($D226="Pénétro.",
IF($E226=4,(PI()*FH$12^2)/4*(FD226*$W226*1000)/($H226*$B$5),(PI()*FH$12^2)/4*(FD226*$W226*1000)/($G226*$B$5))))))/10</f>
        <v>#N/A</v>
      </c>
      <c r="FI226" s="102" t="e">
        <f>(VLOOKUP($B$3,'Coeff EC7'!$T$39:$X$59,2,0)*FG226+VLOOKUP($B$3,'Coeff EC7'!$T$65:$X$85,2,0)*Model0.1C!FH226)/1.1</f>
        <v>#N/A</v>
      </c>
      <c r="FJ226" s="102" t="e">
        <f>(VLOOKUP($B$3,'Coeff EC7'!$T$39:$X$59,3,0)*FG226+VLOOKUP($B$3,'Coeff EC7'!$T$65:$X$85,3,0)*Model0.1C!FH226)/0.9</f>
        <v>#N/A</v>
      </c>
      <c r="FK226" s="102" t="e">
        <f t="shared" si="398"/>
        <v>#N/A</v>
      </c>
      <c r="FL226" s="102" t="e">
        <f t="shared" si="399"/>
        <v>#N/A</v>
      </c>
      <c r="FM226" s="414" t="e">
        <f>IF(FM225=0,0,IF(AND(FI226&gt;charge_ELS_quasi,FJ226&gt;Charge_ELS_freq,FK226&gt;charge_ELU,FL226&gt;charge_ELA,$B226&gt;NDC!$H$22-0.1+MIN(3*$FM$12,1.5)),0,1))</f>
        <v>#N/A</v>
      </c>
    </row>
    <row r="227" spans="1:169">
      <c r="A227" s="96">
        <f t="shared" si="367"/>
        <v>78.600000000001216</v>
      </c>
      <c r="B227" s="97">
        <v>21.4</v>
      </c>
      <c r="C227" s="81">
        <f>IF(B227&lt;=Hypothèses!$C$7,Hypothèses!$A$7,IF(B227&lt;=Hypothèses!$C$8,Hypothèses!$A$8,IF(B227&lt;=Hypothèses!$C$9,Hypothèses!$A$9,IF(B227&lt;=Hypothèses!$C$10,Hypothèses!$A$10,IF(B227&lt;=Hypothèses!$C$11,Hypothèses!$A$11,IF(B227&lt;=Hypothèses!$C$12,Hypothèses!$A$12,IF(B227&lt;=Hypothèses!$C$13,Hypothèses!$A$13,IF(B227&lt;=Hypothèses!$C$14,Hypothèses!$A$14,IF(B227&lt;=Hypothèses!$C$15,Hypothèses!$A$15,IF(B227&lt;=Hypothèses!$C$16,Hypothèses!$A$16,IF(B227&lt;=Hypothèses!$C$17,Hypothèses!$A$17,IF(B227&lt;=Hypothèses!$C$18,Hypothèses!$A$18,C226))))))))))))</f>
        <v>11</v>
      </c>
      <c r="D227" s="82" t="str">
        <f>IF(B227&lt;=Hypothèses!$C$7,Hypothèses!$R$7,IF(B227&lt;=Hypothèses!$C$8,Hypothèses!$R$8,IF(B227&lt;=Hypothèses!$C$9,Hypothèses!$R$9,IF(B227&lt;=Hypothèses!$C$10,Hypothèses!$R$10,IF(B227&lt;=Hypothèses!$C$11,Hypothèses!$R$11,IF(B227&lt;=Hypothèses!$C$12,Hypothèses!$R$12,IF(B227&lt;=Hypothèses!$C$13,Hypothèses!$R$13,IF(B227&lt;=Hypothèses!$C$14,Hypothèses!$R$14,IF(B227&lt;=Hypothèses!$C$15,Hypothèses!$R$15,IF(B227&lt;=Hypothèses!$C$16,Hypothèses!$R$16,IF(B227&lt;=Hypothèses!$C$17,Hypothèses!$R$17,IF(B227&lt;=Hypothèses!$C$18,Hypothèses!$R$18,D226))))))))))))</f>
        <v>Pressio.</v>
      </c>
      <c r="E227" s="82" t="e">
        <f>IF(B227&lt;=Hypothèses!$C$7,Hypothèses!$G$7,IF(B227&lt;=Hypothèses!$C$8,Hypothèses!$G$8,IF(B227&lt;=Hypothèses!$C$9,Hypothèses!$G$9,IF(B227&lt;=Hypothèses!$C$10,Hypothèses!$G$10,IF(B227&lt;=Hypothèses!$C$11,Hypothèses!$G$11,IF(B227&lt;=Hypothèses!$C$12,Hypothèses!$G$12,IF(B227&lt;=Hypothèses!$C$13,Hypothèses!$G$13,IF(B227&lt;=Hypothèses!$C$14,Hypothèses!$G$14,IF(B227&lt;=Hypothèses!$C$15,Hypothèses!$G$15,IF(B227&lt;=Hypothèses!$C$16,Hypothèses!$G$16,IF(B227&lt;=Hypothèses!$C$17,Hypothèses!$G$17,IF(B227&lt;=Hypothèses!$C$18,Hypothèses!$G$18,E226))))))))))))</f>
        <v>#N/A</v>
      </c>
      <c r="F227" s="82" t="str">
        <f>IF(B227&lt;=Hypothèses!$C$7,Hypothèses!$F$7,IF(B227&lt;=Hypothèses!$C$8,Hypothèses!$F$8,IF(B227&lt;=Hypothèses!$C$9,Hypothèses!$F$9,IF(B227&lt;=Hypothèses!$C$10,Hypothèses!$F$10,IF(B227&lt;=Hypothèses!$C$11,Hypothèses!$F$11,IF(B227&lt;=Hypothèses!$C$12,Hypothèses!$F$12,IF(B227&lt;=Hypothèses!$C$13,Hypothèses!$F$13,IF(B227&lt;=Hypothèses!$C$14,Hypothèses!$F$14,IF(B227&lt;=Hypothèses!$C$15,Hypothèses!$F$15,IF(B227&lt;=Hypothèses!$C$16,Hypothèses!$F$16,IF(B227&lt;=Hypothèses!$C$17,Hypothèses!$F$17,IF(B227&lt;=Hypothèses!$C$18,Hypothèses!$F$18,F226))))))))))))</f>
        <v/>
      </c>
      <c r="G227" s="91">
        <f t="array" ref="G227">INDEX('Coeff EC7'!$U$7:$X$27,
MATCH(Model0.1C!$B$3,'Coeff EC7'!$T$7:$T$27,0),
MATCH(Model0.1C!$D227&amp;Model0.1C!$B$4,
'Coeff EC7'!$U$6:$X$6&amp;
'Coeff EC7'!$U$5:$X$5,0))</f>
        <v>1.1499999999999999</v>
      </c>
      <c r="H227" s="91">
        <f t="array" ref="H227">INDEX('Coeff EC7'!$Y$7:$AB$27,
MATCH(Model0.1C!$B$3,'Coeff EC7'!$T$7:$T$27,0),
MATCH(Model0.1C!$D227&amp;Model0.1C!$B$4,
'Coeff EC7'!$Y$6:$AB$6&amp;
'Coeff EC7'!$Y$5:$AB$5,0))</f>
        <v>1.4</v>
      </c>
      <c r="I227" s="83" t="e">
        <f>IF(B227&lt;=Hypothèses!$C$7,Hypothèses!$P$7,IF(B227&lt;=Hypothèses!$C$8,Hypothèses!$P$8,IF(B227&lt;=Hypothèses!$C$9,Hypothèses!$P$9,IF(B227&lt;=Hypothèses!$C$10,Hypothèses!$P$10,IF(B227&lt;=Hypothèses!$C$11,Hypothèses!$P$11,IF(B227&lt;=Hypothèses!$C$12,Hypothèses!$P$12,IF(B227&lt;=Hypothèses!$C$13,Hypothèses!$P$13,IF(B227&lt;=Hypothèses!$C$14,Hypothèses!$P$14,IF(B227&lt;=Hypothèses!$C$15,Hypothèses!$P$15,IF(B227&lt;=Hypothèses!$C$16,Hypothèses!$P$16,IF(B227&lt;=Hypothèses!$C$17,Hypothèses!$P$17,IF(B227&lt;=Hypothèses!$C$18,Hypothèses!$P$18,I226))))))))))))</f>
        <v>#N/A</v>
      </c>
      <c r="J227" s="91" t="e">
        <f t="array" ref="J227">INDEX('Coeff EC7'!$D$33:$Q$33,1,MATCH(D227&amp;E227,'Coeff EC7'!$D$31:$Q$31&amp;'Coeff EC7'!$D$32:$Q$32,0))</f>
        <v>#N/A</v>
      </c>
      <c r="K227" s="91" t="e">
        <f t="array" ref="K227">INDEX('Coeff EC7'!$D$34:$Q$34,1,MATCH(D227&amp;E227,'Coeff EC7'!$D$31:$Q$31&amp;'Coeff EC7'!$D$32:$Q$32,0))</f>
        <v>#N/A</v>
      </c>
      <c r="L227" s="91" t="e">
        <f t="array" ref="L227">INDEX('Coeff EC7'!$D$35:$Q$35,1,MATCH(D227&amp;E227,'Coeff EC7'!$D$31:$Q$31&amp;'Coeff EC7'!$D$32:$Q$32,0))</f>
        <v>#N/A</v>
      </c>
      <c r="M227" s="98" t="e">
        <f t="shared" si="331"/>
        <v>#N/A</v>
      </c>
      <c r="N227" s="99" t="e">
        <f t="array" ref="N227">INDEX('Coeff EC7'!$D$7:$Q$27,MATCH($B$3,'Coeff EC7'!$C$7:$C$27,0),MATCH(D227&amp;E227,'Coeff EC7'!$D$5:$Q$5&amp;'Coeff EC7'!$D$6:$Q$6,0))</f>
        <v>#N/A</v>
      </c>
      <c r="O227" s="99" t="e">
        <f t="array" ref="O227">INDEX('Coeff EC7'!$D$41:$Q$61,MATCH($B$3,'Coeff EC7'!$C$41:$C$61,0),MATCH(D227&amp;E227,'Coeff EC7'!$D$39:$Q$39&amp;'Coeff EC7'!$D$40:$Q$40,0))</f>
        <v>#N/A</v>
      </c>
      <c r="P227" s="30" t="e">
        <f t="shared" si="368"/>
        <v>#N/A</v>
      </c>
      <c r="Q227" s="100" t="e">
        <f t="shared" si="333"/>
        <v>#N/A</v>
      </c>
      <c r="R227" s="86" t="b">
        <f t="shared" si="334"/>
        <v>0</v>
      </c>
      <c r="S227" s="86">
        <f t="shared" si="332"/>
        <v>0.5</v>
      </c>
      <c r="T227" s="86">
        <f t="shared" si="335"/>
        <v>0.5</v>
      </c>
      <c r="U227" s="30" t="e">
        <f t="shared" ca="1" si="369"/>
        <v>#DIV/0!</v>
      </c>
      <c r="V227" s="85" t="str">
        <f>IF(B227&lt;=Hypothèses!$V$7,Hypothèses!$W$7,IF(B227&lt;=Hypothèses!$V$8,Hypothèses!$W$8,IF(B227&lt;=Hypothèses!$V$9,Hypothèses!$W$9,IF(B227&lt;=Hypothèses!$V$10,Hypothèses!$W$10,IF(B227&lt;=Hypothèses!$V$11,Hypothèses!$W$11,IF(B227&lt;=Hypothèses!$V$12,Hypothèses!$W$12,IF(B227&lt;=Hypothèses!$V$13,Hypothèses!$W$13,IF(B227&lt;=Hypothèses!$V$14,Hypothèses!$W$14,IF(B227&lt;=Hypothèses!$V$15,Hypothèses!$W$15,IF(B227&lt;=Hypothèses!$V$16,Hypothèses!$W$16,IF(B227&lt;=Hypothèses!$V$17,Hypothèses!$W$17,IF(B227&lt;=Hypothèses!$V$18,Hypothèses!$W$18,""))))))))))))</f>
        <v/>
      </c>
      <c r="W227" s="87" t="e">
        <f t="shared" ca="1" si="416"/>
        <v>#DIV/0!</v>
      </c>
      <c r="X227" s="88" t="str">
        <f>IF(B227&lt;=Hypothèses!$V$7,Hypothèses!$X$7,IF(B227&lt;=Hypothèses!$V$8,Hypothèses!$X$8,IF(B227&lt;=Hypothèses!$V$9,Hypothèses!$X$9,IF(B227&lt;=Hypothèses!$V$10,Hypothèses!$X$10,IF(B227&lt;=Hypothèses!$V$11,Hypothèses!$X$11,IF(B227&lt;=Hypothèses!$V$12,Hypothèses!$X$12,IF(B227&lt;=Hypothèses!$V$13,Hypothèses!$X$13,IF(B227&lt;=Hypothèses!$V$14,Hypothèses!$X$14,IF(B227&lt;=Hypothèses!$V$15,Hypothèses!$X$15,IF(B227&lt;=Hypothèses!$V$16,Hypothèses!$X$16,IF(B227&lt;=Hypothèses!$U$17,Hypothèses!$W$17,IF(B227&lt;=Hypothèses!$U$18,Hypothèses!$W$18,""))))))))))))</f>
        <v/>
      </c>
      <c r="Y227" s="95" t="e">
        <f t="shared" ca="1" si="336"/>
        <v>#DIV/0!</v>
      </c>
      <c r="Z227" s="101" t="e">
        <f t="shared" si="337"/>
        <v>#N/A</v>
      </c>
      <c r="AA227" s="91" t="e">
        <f t="shared" si="338"/>
        <v>#N/A</v>
      </c>
      <c r="AB227" s="30" t="e">
        <f t="shared" si="400"/>
        <v>#N/A</v>
      </c>
      <c r="AC227" s="30" t="e">
        <f t="shared" si="401"/>
        <v>#N/A</v>
      </c>
      <c r="AD227" s="31" t="e">
        <f>IF(OR(Hypothèses!$B$4=17,Hypothèses!$B$4=18,Hypothèses!$B$4=19,Hypothèses!$B$4=20),
IF($D227="Pressio.",
IF(OR($E227=3,$E227=1,$E227=4),AC227,AB227),
IF($D227="Pénétro.",
IF(OR($E227=3,$E227=1,$E227=4),AC227,AB227))),IF($D227="Pressio.",
IF($E227=3,AC227,AB227),
IF($D227="Pénétro.",
IF($E227=4,AC227,AB227))))</f>
        <v>#N/A</v>
      </c>
      <c r="AE227" s="31" t="e">
        <f>(IF(OR(Hypothèses!$B$4=17,Hypothèses!$B$4=18,Hypothèses!$B$4=19,Hypothèses!$B$4=20),
IF($D227="Pressio.",
IF(OR($E227=3,$E227=1,$E227=4),(PI()*AE$12^2)/4*(AA227*$W227*1000)/($H227*$B$5),(PI()*AE$12^2)/4*(AA227*$W227*1000)/($G227*$B$5)),
IF($D227="Pénétro.",
IF(OR($E227=4,$E227=1,$E227=5),(PI()*AE$12^2)/4*(AA227*$W227*1000)/($H227*$B$5),(PI()*AE$12^2)/4*(AA227*$W227*1000)/($G227*$B$5)))),
IF($D227="Pressio.",
IF($E227=3,(PI()*AE$12^2)/4*(AA227*$W227*1000)/($H227*$B$5),(PI()*AE$12^2)/4*(AA227*$W227*1000)/($G227*$B$5)),
IF($D227="Pénétro.",
IF($E227=4,(PI()*AE$12^2)/4*(AA227*$W227*1000)/($H227*$B$5),(PI()*AE$12^2)/4*(AA227*$W227*1000)/($G227*$B$5))))))/10</f>
        <v>#N/A</v>
      </c>
      <c r="AF227" s="102" t="e">
        <f>(VLOOKUP($B$3,'Coeff EC7'!$T$39:$X$59,2,0)*AD227+VLOOKUP($B$3,'Coeff EC7'!$T$65:$X$85,2,0)*Model0.1C!AE227)/1.1</f>
        <v>#N/A</v>
      </c>
      <c r="AG227" s="102" t="e">
        <f>(VLOOKUP($B$3,'Coeff EC7'!$T$39:$X$59,3,0)*AD227+VLOOKUP($B$3,'Coeff EC7'!$T$65:$X$85,3,0)*Model0.1C!AE227)/0.9</f>
        <v>#N/A</v>
      </c>
      <c r="AH227" s="102" t="e">
        <f t="shared" si="339"/>
        <v>#N/A</v>
      </c>
      <c r="AI227" s="102" t="e">
        <f t="shared" si="340"/>
        <v>#N/A</v>
      </c>
      <c r="AJ227" s="414" t="e">
        <f>IF(AJ226=0,0,IF(AND(AF227&gt;charge_ELS_quasi,AG227&gt;Charge_ELS_freq,AH227&gt;charge_ELU,AI227&gt;charge_ELA,$B227&gt;NDC!$H$22-0.1+MIN(3*$AJ$12,1.5)),0,1))</f>
        <v>#N/A</v>
      </c>
      <c r="AK227" s="86" t="b">
        <f t="shared" si="341"/>
        <v>0</v>
      </c>
      <c r="AL227" s="86">
        <f t="shared" si="370"/>
        <v>0.5</v>
      </c>
      <c r="AM227" s="86">
        <f t="shared" si="342"/>
        <v>0.5</v>
      </c>
      <c r="AN227" s="30" t="e">
        <f t="shared" ca="1" si="371"/>
        <v>#DIV/0!</v>
      </c>
      <c r="AO227" s="85" t="e">
        <f ca="1">IF(U227&lt;=Hypothèses!$V$7,Hypothèses!$W$7,IF(U227&lt;=Hypothèses!$V$8,Hypothèses!$W$8,IF(U227&lt;=Hypothèses!$V$9,Hypothèses!$W$9,IF(U227&lt;=Hypothèses!$V$10,Hypothèses!$W$10,IF(U227&lt;=Hypothèses!$V$11,Hypothèses!$W$11,IF(U227&lt;=Hypothèses!$V$12,Hypothèses!$W$12,IF(U227&lt;=Hypothèses!$V$13,Hypothèses!$W$13,IF(U227&lt;=Hypothèses!$V$14,Hypothèses!$W$14,IF(U227&lt;=Hypothèses!$V$15,Hypothèses!$W$15,IF(U227&lt;=Hypothèses!$V$16,Hypothèses!$W$16,IF(U227&lt;=Hypothèses!$V$17,Hypothèses!$W$17,IF(U227&lt;=Hypothèses!$V$18,Hypothèses!$W$18,""))))))))))))</f>
        <v>#DIV/0!</v>
      </c>
      <c r="AP227" s="87" t="e">
        <f t="shared" ca="1" si="417"/>
        <v>#DIV/0!</v>
      </c>
      <c r="AQ227" s="88" t="e">
        <f ca="1">IF(U227&lt;=Hypothèses!$V$7,Hypothèses!$X$7,IF(U227&lt;=Hypothèses!$V$8,Hypothèses!$X$8,IF(U227&lt;=Hypothèses!$V$9,Hypothèses!$X$9,IF(U227&lt;=Hypothèses!$V$10,Hypothèses!$X$10,IF(U227&lt;=Hypothèses!$V$11,Hypothèses!$X$11,IF(U227&lt;=Hypothèses!$V$12,Hypothèses!$X$12,IF(U227&lt;=Hypothèses!$V$13,Hypothèses!$X$13,IF(U227&lt;=Hypothèses!$V$14,Hypothèses!$X$14,IF(U227&lt;=Hypothèses!$V$15,Hypothèses!$X$15,IF(U227&lt;=Hypothèses!$V$16,Hypothèses!$X$16,IF(U227&lt;=Hypothèses!$U$17,Hypothèses!$W$17,IF(U227&lt;=Hypothèses!$U$18,Hypothèses!$W$18,""))))))))))))</f>
        <v>#DIV/0!</v>
      </c>
      <c r="AR227" s="95" t="e">
        <f t="shared" ca="1" si="372"/>
        <v>#DIV/0!</v>
      </c>
      <c r="AS227" s="101" t="e">
        <f t="shared" si="424"/>
        <v>#N/A</v>
      </c>
      <c r="AT227" s="91" t="e">
        <f t="shared" si="343"/>
        <v>#N/A</v>
      </c>
      <c r="AU227" s="30" t="e">
        <f t="shared" si="402"/>
        <v>#N/A</v>
      </c>
      <c r="AV227" s="30" t="e">
        <f t="shared" si="403"/>
        <v>#N/A</v>
      </c>
      <c r="AW227" s="31" t="e">
        <f>IF(OR(Hypothèses!$B$4=17,Hypothèses!$B$4=18,Hypothèses!$B$4=19,Hypothèses!$B$4=20),
IF($D227="Pressio.",
IF(OR($E227=3,$E227=1,$E227=4),AV227,AU227),
IF($D227="Pénétro.",
IF(OR($E227=3,$E227=1,$E227=4),AV227,AU227))),IF($D227="Pressio.",
IF($E227=3,AV227,AU227),
IF($D227="Pénétro.",
IF($E227=4,AV227,AU227))))</f>
        <v>#N/A</v>
      </c>
      <c r="AX227" s="31" t="e">
        <f>(IF(OR(Hypothèses!$B$4=17,Hypothèses!$B$4=18,Hypothèses!$B$4=19,Hypothèses!$B$4=20),
IF($D227="Pressio.",
IF(OR($E227=3,$E227=1,$E227=4),(PI()*AX$12^2)/4*(AT227*$W227*1000)/($H227*$B$5),(PI()*AX$12^2)/4*(AT227*$W227*1000)/($G227*$B$5)),
IF($D227="Pénétro.",
IF(OR($E227=4,$E227=1,$E227=5),(PI()*AX$12^2)/4*(AT227*$W227*1000)/($H227*$B$5),(PI()*AX$12^2)/4*(AT227*$W227*1000)/($G227*$B$5)))),
IF($D227="Pressio.",
IF($E227=3,(PI()*AX$12^2)/4*(AT227*$W227*1000)/($H227*$B$5),(PI()*AX$12^2)/4*(AT227*$W227*1000)/($G227*$B$5)),
IF($D227="Pénétro.",
IF($E227=4,(PI()*AX$12^2)/4*(AT227*$W227*1000)/($H227*$B$5),(PI()*AX$12^2)/4*(AT227*$W227*1000)/($G227*$B$5))))))/10</f>
        <v>#N/A</v>
      </c>
      <c r="AY227" s="102" t="e">
        <f>(VLOOKUP($B$3,'Coeff EC7'!$T$39:$X$59,2,0)*AW227+VLOOKUP($B$3,'Coeff EC7'!$T$65:$X$85,2,0)*Model0.1C!AX227)/1.1</f>
        <v>#N/A</v>
      </c>
      <c r="AZ227" s="102" t="e">
        <f>(VLOOKUP($B$3,'Coeff EC7'!$T$39:$X$59,3,0)*AW227+VLOOKUP($B$3,'Coeff EC7'!$T$65:$X$85,3,0)*Model0.1C!AX227)/0.9</f>
        <v>#N/A</v>
      </c>
      <c r="BA227" s="102" t="e">
        <f t="shared" si="373"/>
        <v>#N/A</v>
      </c>
      <c r="BB227" s="102" t="e">
        <f t="shared" si="374"/>
        <v>#N/A</v>
      </c>
      <c r="BC227" s="414" t="e">
        <f>IF(BC226=0,0,IF(AND(AY227&gt;charge_ELS_quasi,AZ227&gt;Charge_ELS_freq,BA227&gt;charge_ELU,BB227&gt;charge_ELA,$B227&gt;NDC!$H$22-0.1+MIN(3*$BC$12,1.5)),0,1))</f>
        <v>#N/A</v>
      </c>
      <c r="BD227" s="86" t="b">
        <f t="shared" si="344"/>
        <v>0</v>
      </c>
      <c r="BE227" s="86">
        <f t="shared" si="375"/>
        <v>0.5</v>
      </c>
      <c r="BF227" s="86">
        <f t="shared" si="345"/>
        <v>0.5</v>
      </c>
      <c r="BG227" s="30" t="e">
        <f t="shared" ca="1" si="376"/>
        <v>#DIV/0!</v>
      </c>
      <c r="BH227" s="85" t="e">
        <f ca="1">IF(AN227&lt;=Hypothèses!$V$7,Hypothèses!$W$7,IF(AN227&lt;=Hypothèses!$V$8,Hypothèses!$W$8,IF(AN227&lt;=Hypothèses!$V$9,Hypothèses!$W$9,IF(AN227&lt;=Hypothèses!$V$10,Hypothèses!$W$10,IF(AN227&lt;=Hypothèses!$V$11,Hypothèses!$W$11,IF(AN227&lt;=Hypothèses!$V$12,Hypothèses!$W$12,IF(AN227&lt;=Hypothèses!$V$13,Hypothèses!$W$13,IF(AN227&lt;=Hypothèses!$V$14,Hypothèses!$W$14,IF(AN227&lt;=Hypothèses!$V$15,Hypothèses!$W$15,IF(AN227&lt;=Hypothèses!$V$16,Hypothèses!$W$16,IF(AN227&lt;=Hypothèses!$V$17,Hypothèses!$W$17,IF(AN227&lt;=Hypothèses!$V$18,Hypothèses!$W$18,""))))))))))))</f>
        <v>#DIV/0!</v>
      </c>
      <c r="BI227" s="87" t="e">
        <f t="shared" ca="1" si="418"/>
        <v>#DIV/0!</v>
      </c>
      <c r="BJ227" s="88" t="e">
        <f ca="1">IF(AN227&lt;=Hypothèses!$V$7,Hypothèses!$X$7,IF(AN227&lt;=Hypothèses!$V$8,Hypothèses!$X$8,IF(AN227&lt;=Hypothèses!$V$9,Hypothèses!$X$9,IF(AN227&lt;=Hypothèses!$V$10,Hypothèses!$X$10,IF(AN227&lt;=Hypothèses!$V$11,Hypothèses!$X$11,IF(AN227&lt;=Hypothèses!$V$12,Hypothèses!$X$12,IF(AN227&lt;=Hypothèses!$V$13,Hypothèses!$X$13,IF(AN227&lt;=Hypothèses!$V$14,Hypothèses!$X$14,IF(AN227&lt;=Hypothèses!$V$15,Hypothèses!$X$15,IF(AN227&lt;=Hypothèses!$V$16,Hypothèses!$X$16,IF(AN227&lt;=Hypothèses!$U$17,Hypothèses!$W$17,IF(AN227&lt;=Hypothèses!$U$18,Hypothèses!$W$18,""))))))))))))</f>
        <v>#DIV/0!</v>
      </c>
      <c r="BK227" s="95" t="e">
        <f t="shared" ca="1" si="377"/>
        <v>#DIV/0!</v>
      </c>
      <c r="BL227" s="101" t="e">
        <f t="shared" si="425"/>
        <v>#N/A</v>
      </c>
      <c r="BM227" s="91" t="e">
        <f t="shared" si="346"/>
        <v>#N/A</v>
      </c>
      <c r="BN227" s="30" t="e">
        <f t="shared" si="404"/>
        <v>#N/A</v>
      </c>
      <c r="BO227" s="30" t="e">
        <f t="shared" si="405"/>
        <v>#N/A</v>
      </c>
      <c r="BP227" s="31" t="e">
        <f>IF(OR(Hypothèses!$B$4=17,Hypothèses!$B$4=18,Hypothèses!$B$4=19,Hypothèses!$B$4=20),
IF($D227="Pressio.",
IF(OR($E227=3,$E227=1,$E227=4),BO227,BN227),
IF($D227="Pénétro.",
IF(OR($E227=3,$E227=1,$E227=4),BO227,BN227))),IF($D227="Pressio.",
IF($E227=3,BO227,BN227),
IF($D227="Pénétro.",
IF($E227=4,BO227,BN227))))</f>
        <v>#N/A</v>
      </c>
      <c r="BQ227" s="31" t="e">
        <f>(IF(OR(Hypothèses!$B$4=17,Hypothèses!$B$4=18,Hypothèses!$B$4=19,Hypothèses!$B$4=20),
IF($D227="Pressio.",
IF(OR($E227=3,$E227=1,$E227=4),(PI()*BQ$12^2)/4*(BM227*$W227*1000)/($H227*$B$5),(PI()*BQ$12^2)/4*(BM227*$W227*1000)/($G227*$B$5)),
IF($D227="Pénétro.",
IF(OR($E227=4,$E227=1,$E227=5),(PI()*BQ$12^2)/4*(BM227*$W227*1000)/($H227*$B$5),(PI()*BQ$12^2)/4*(BM227*$W227*1000)/($G227*$B$5)))),
IF($D227="Pressio.",
IF($E227=3,(PI()*BQ$12^2)/4*(BM227*$W227*1000)/($H227*$B$5),(PI()*BQ$12^2)/4*(BM227*$W227*1000)/($G227*$B$5)),
IF($D227="Pénétro.",
IF($E227=4,(PI()*BQ$12^2)/4*(BM227*$W227*1000)/($H227*$B$5),(PI()*BQ$12^2)/4*(BM227*$W227*1000)/($G227*$B$5))))))/10</f>
        <v>#N/A</v>
      </c>
      <c r="BR227" s="102" t="e">
        <f>(VLOOKUP($B$3,'Coeff EC7'!$T$39:$X$59,2,0)*BP227+VLOOKUP($B$3,'Coeff EC7'!$T$65:$X$85,2,0)*Model0.1C!BQ227)/1.1</f>
        <v>#N/A</v>
      </c>
      <c r="BS227" s="102" t="e">
        <f>(VLOOKUP($B$3,'Coeff EC7'!$T$39:$X$59,3,0)*BP227+VLOOKUP($B$3,'Coeff EC7'!$T$65:$X$85,3,0)*Model0.1C!BQ227)/0.9</f>
        <v>#N/A</v>
      </c>
      <c r="BT227" s="102" t="e">
        <f t="shared" si="378"/>
        <v>#N/A</v>
      </c>
      <c r="BU227" s="102" t="e">
        <f t="shared" si="379"/>
        <v>#N/A</v>
      </c>
      <c r="BV227" s="414" t="e">
        <f>IF(BV226=0,0,IF(AND(BR227&gt;charge_ELS_quasi,BS227&gt;Charge_ELS_freq,BT227&gt;charge_ELU,BU227&gt;charge_ELA,$B227&gt;NDC!$H$22-0.1+MIN(3*$BV$12,1.5)),0,1))</f>
        <v>#N/A</v>
      </c>
      <c r="BW227" s="86" t="b">
        <f t="shared" si="347"/>
        <v>0</v>
      </c>
      <c r="BX227" s="86">
        <f t="shared" si="348"/>
        <v>0.5</v>
      </c>
      <c r="BY227" s="86">
        <f t="shared" si="349"/>
        <v>0.5</v>
      </c>
      <c r="BZ227" s="30" t="e">
        <f t="shared" ca="1" si="380"/>
        <v>#DIV/0!</v>
      </c>
      <c r="CA227" s="85" t="e">
        <f ca="1">IF(BG227&lt;=Hypothèses!$V$7,Hypothèses!$W$7,IF(BG227&lt;=Hypothèses!$V$8,Hypothèses!$W$8,IF(BG227&lt;=Hypothèses!$V$9,Hypothèses!$W$9,IF(BG227&lt;=Hypothèses!$V$10,Hypothèses!$W$10,IF(BG227&lt;=Hypothèses!$V$11,Hypothèses!$W$11,IF(BG227&lt;=Hypothèses!$V$12,Hypothèses!$W$12,IF(BG227&lt;=Hypothèses!$V$13,Hypothèses!$W$13,IF(BG227&lt;=Hypothèses!$V$14,Hypothèses!$W$14,IF(BG227&lt;=Hypothèses!$V$15,Hypothèses!$W$15,IF(BG227&lt;=Hypothèses!$V$16,Hypothèses!$W$16,IF(BG227&lt;=Hypothèses!$V$17,Hypothèses!$W$17,IF(BG227&lt;=Hypothèses!$V$18,Hypothèses!$W$18,""))))))))))))</f>
        <v>#DIV/0!</v>
      </c>
      <c r="CB227" s="87" t="e">
        <f t="shared" ca="1" si="419"/>
        <v>#DIV/0!</v>
      </c>
      <c r="CC227" s="88" t="e">
        <f ca="1">IF(BG227&lt;=Hypothèses!$V$7,Hypothèses!$X$7,IF(BG227&lt;=Hypothèses!$V$8,Hypothèses!$X$8,IF(BG227&lt;=Hypothèses!$V$9,Hypothèses!$X$9,IF(BG227&lt;=Hypothèses!$V$10,Hypothèses!$X$10,IF(BG227&lt;=Hypothèses!$V$11,Hypothèses!$X$11,IF(BG227&lt;=Hypothèses!$V$12,Hypothèses!$X$12,IF(BG227&lt;=Hypothèses!$V$13,Hypothèses!$X$13,IF(BG227&lt;=Hypothèses!$V$14,Hypothèses!$X$14,IF(BG227&lt;=Hypothèses!$V$15,Hypothèses!$X$15,IF(BG227&lt;=Hypothèses!$V$16,Hypothèses!$X$16,IF(BG227&lt;=Hypothèses!$U$17,Hypothèses!$W$17,IF(BG227&lt;=Hypothèses!$U$18,Hypothèses!$W$18,""))))))))))))</f>
        <v>#DIV/0!</v>
      </c>
      <c r="CD227" s="95" t="e">
        <f t="shared" ca="1" si="381"/>
        <v>#DIV/0!</v>
      </c>
      <c r="CE227" s="101" t="e">
        <f t="shared" si="426"/>
        <v>#N/A</v>
      </c>
      <c r="CF227" s="91" t="e">
        <f t="shared" si="350"/>
        <v>#N/A</v>
      </c>
      <c r="CG227" s="30" t="e">
        <f t="shared" si="406"/>
        <v>#N/A</v>
      </c>
      <c r="CH227" s="30" t="e">
        <f t="shared" si="407"/>
        <v>#N/A</v>
      </c>
      <c r="CI227" s="31" t="e">
        <f>IF(OR(Hypothèses!$B$4=17,Hypothèses!$B$4=18,Hypothèses!$B$4=19,Hypothèses!$B$4=20),
IF($D227="Pressio.",
IF(OR($E227=3,$E227=1,$E227=4),CH227,CG227),
IF($D227="Pénétro.",
IF(OR($E227=3,$E227=1,$E227=4),CH227,CG227))),IF($D227="Pressio.",
IF($E227=3,CH227,CG227),
IF($D227="Pénétro.",
IF($E227=4,CH227,CG227))))</f>
        <v>#N/A</v>
      </c>
      <c r="CJ227" s="31" t="e">
        <f>(IF(OR(Hypothèses!$B$4=17,Hypothèses!$B$4=18,Hypothèses!$B$4=19,Hypothèses!$B$4=20),
IF($D227="Pressio.",
IF(OR($E227=3,$E227=1,$E227=4),(PI()*CJ$12^2)/4*(CF227*$W227*1000)/($H227*$B$5),(PI()*CJ$12^2)/4*(CF227*$W227*1000)/($G227*$B$5)),
IF($D227="Pénétro.",
IF(OR($E227=4,$E227=1,$E227=5),(PI()*CJ$12^2)/4*(CF227*$W227*1000)/($H227*$B$5),(PI()*CJ$12^2)/4*(CF227*$W227*1000)/($G227*$B$5)))),
IF($D227="Pressio.",
IF($E227=3,(PI()*CJ$12^2)/4*(CF227*$W227*1000)/($H227*$B$5),(PI()*CJ$12^2)/4*(CF227*$W227*1000)/($G227*$B$5)),
IF($D227="Pénétro.",
IF($E227=4,(PI()*CJ$12^2)/4*(CF227*$W227*1000)/($H227*$B$5),(PI()*CJ$12^2)/4*(CF227*$W227*1000)/($G227*$B$5))))))/10</f>
        <v>#N/A</v>
      </c>
      <c r="CK227" s="102" t="e">
        <f>(VLOOKUP($B$3,'Coeff EC7'!$T$39:$X$59,2,0)*CI227+VLOOKUP($B$3,'Coeff EC7'!$T$65:$X$85,2,0)*Model0.1C!CJ227)/1.1</f>
        <v>#N/A</v>
      </c>
      <c r="CL227" s="102" t="e">
        <f>(VLOOKUP($B$3,'Coeff EC7'!$T$39:$X$59,3,0)*CI227+VLOOKUP($B$3,'Coeff EC7'!$T$65:$X$85,3,0)*Model0.1C!CJ227)/0.9</f>
        <v>#N/A</v>
      </c>
      <c r="CM227" s="102" t="e">
        <f t="shared" si="382"/>
        <v>#N/A</v>
      </c>
      <c r="CN227" s="102" t="e">
        <f t="shared" si="383"/>
        <v>#N/A</v>
      </c>
      <c r="CO227" s="414" t="e">
        <f>IF(CO226=0,0,IF(AND(CK227&gt;charge_ELS_quasi,CL227&gt;Charge_ELS_freq,CM227&gt;charge_ELU,CN227&gt;charge_ELA,$B227&gt;NDC!$H$22-0.1+MIN(3*$CO$12,1.5)),0,1))</f>
        <v>#N/A</v>
      </c>
      <c r="CP227" s="86" t="b">
        <f t="shared" si="351"/>
        <v>0</v>
      </c>
      <c r="CQ227" s="86">
        <f t="shared" si="352"/>
        <v>0.5</v>
      </c>
      <c r="CR227" s="86">
        <f t="shared" si="353"/>
        <v>0.5</v>
      </c>
      <c r="CS227" s="30" t="e">
        <f t="shared" ca="1" si="384"/>
        <v>#DIV/0!</v>
      </c>
      <c r="CT227" s="85" t="e">
        <f ca="1">IF(BZ227&lt;=Hypothèses!$V$7,Hypothèses!$W$7,IF(BZ227&lt;=Hypothèses!$V$8,Hypothèses!$W$8,IF(BZ227&lt;=Hypothèses!$V$9,Hypothèses!$W$9,IF(BZ227&lt;=Hypothèses!$V$10,Hypothèses!$W$10,IF(BZ227&lt;=Hypothèses!$V$11,Hypothèses!$W$11,IF(BZ227&lt;=Hypothèses!$V$12,Hypothèses!$W$12,IF(BZ227&lt;=Hypothèses!$V$13,Hypothèses!$W$13,IF(BZ227&lt;=Hypothèses!$V$14,Hypothèses!$W$14,IF(BZ227&lt;=Hypothèses!$V$15,Hypothèses!$W$15,IF(BZ227&lt;=Hypothèses!$V$16,Hypothèses!$W$16,IF(BZ227&lt;=Hypothèses!$V$17,Hypothèses!$W$17,IF(BZ227&lt;=Hypothèses!$V$18,Hypothèses!$W$18,""))))))))))))</f>
        <v>#DIV/0!</v>
      </c>
      <c r="CU227" s="87" t="e">
        <f t="shared" ca="1" si="420"/>
        <v>#DIV/0!</v>
      </c>
      <c r="CV227" s="88" t="e">
        <f ca="1">IF(BZ227&lt;=Hypothèses!$V$7,Hypothèses!$X$7,IF(BZ227&lt;=Hypothèses!$V$8,Hypothèses!$X$8,IF(BZ227&lt;=Hypothèses!$V$9,Hypothèses!$X$9,IF(BZ227&lt;=Hypothèses!$V$10,Hypothèses!$X$10,IF(BZ227&lt;=Hypothèses!$V$11,Hypothèses!$X$11,IF(BZ227&lt;=Hypothèses!$V$12,Hypothèses!$X$12,IF(BZ227&lt;=Hypothèses!$V$13,Hypothèses!$X$13,IF(BZ227&lt;=Hypothèses!$V$14,Hypothèses!$X$14,IF(BZ227&lt;=Hypothèses!$V$15,Hypothèses!$X$15,IF(BZ227&lt;=Hypothèses!$V$16,Hypothèses!$X$16,IF(BZ227&lt;=Hypothèses!$U$17,Hypothèses!$W$17,IF(BZ227&lt;=Hypothèses!$U$18,Hypothèses!$W$18,""))))))))))))</f>
        <v>#DIV/0!</v>
      </c>
      <c r="CW227" s="95" t="e">
        <f t="shared" ca="1" si="385"/>
        <v>#DIV/0!</v>
      </c>
      <c r="CX227" s="101" t="e">
        <f t="shared" si="427"/>
        <v>#N/A</v>
      </c>
      <c r="CY227" s="91" t="e">
        <f t="shared" si="354"/>
        <v>#N/A</v>
      </c>
      <c r="CZ227" s="30" t="e">
        <f t="shared" si="408"/>
        <v>#N/A</v>
      </c>
      <c r="DA227" s="30" t="e">
        <f t="shared" si="409"/>
        <v>#N/A</v>
      </c>
      <c r="DB227" s="31" t="e">
        <f>IF(OR(Hypothèses!$B$4=17,Hypothèses!$B$4=18,Hypothèses!$B$4=19,Hypothèses!$B$4=20),
IF($D227="Pressio.",
IF(OR($E227=3,$E227=1,$E227=4),DA227,CZ227),
IF($D227="Pénétro.",
IF(OR($E227=3,$E227=1,$E227=4),DA227,CZ227))),IF($D227="Pressio.",
IF($E227=3,DA227,CZ227),
IF($D227="Pénétro.",
IF($E227=4,DA227,CZ227))))</f>
        <v>#N/A</v>
      </c>
      <c r="DC227" s="31" t="e">
        <f>(IF(OR(Hypothèses!$B$4=17,Hypothèses!$B$4=18,Hypothèses!$B$4=19,Hypothèses!$B$4=20),
IF($D227="Pressio.",
IF(OR($E227=3,$E227=1,$E227=4),(PI()*DC$12^2)/4*(CY227*$W227*1000)/($H227*$B$5),(PI()*DC$12^2)/4*(CY227*$W227*1000)/($G227*$B$5)),
IF($D227="Pénétro.",
IF(OR($E227=4,$E227=1,$E227=5),(PI()*DC$12^2)/4*(CY227*$W227*1000)/($H227*$B$5),(PI()*DC$12^2)/4*(CY227*$W227*1000)/($G227*$B$5)))),
IF($D227="Pressio.",
IF($E227=3,(PI()*DC$12^2)/4*(CY227*$W227*1000)/($H227*$B$5),(PI()*DC$12^2)/4*(CY227*$W227*1000)/($G227*$B$5)),
IF($D227="Pénétro.",
IF($E227=4,(PI()*DC$12^2)/4*(CY227*$W227*1000)/($H227*$B$5),(PI()*DC$12^2)/4*(CY227*$W227*1000)/($G227*$B$5))))))/10</f>
        <v>#N/A</v>
      </c>
      <c r="DD227" s="102" t="e">
        <f>(VLOOKUP($B$3,'Coeff EC7'!$T$39:$X$59,2,0)*DB227+VLOOKUP($B$3,'Coeff EC7'!$T$65:$X$85,2,0)*Model0.1C!DC227)/1.1</f>
        <v>#N/A</v>
      </c>
      <c r="DE227" s="102" t="e">
        <f>(VLOOKUP($B$3,'Coeff EC7'!$T$39:$X$59,3,0)*DB227+VLOOKUP($B$3,'Coeff EC7'!$T$65:$X$85,3,0)*Model0.1C!DC227)/0.9</f>
        <v>#N/A</v>
      </c>
      <c r="DF227" s="102" t="e">
        <f t="shared" si="386"/>
        <v>#N/A</v>
      </c>
      <c r="DG227" s="102" t="e">
        <f t="shared" si="387"/>
        <v>#N/A</v>
      </c>
      <c r="DH227" s="414" t="e">
        <f>IF(DH226=0,0,IF(AND(DD227&gt;charge_ELS_quasi,DE227&gt;Charge_ELS_freq,DF227&gt;charge_ELU,DG227&gt;charge_ELA,$B227&gt;NDC!$H$22-0.1+MIN(3*$DH$12,1.5)),0,1))</f>
        <v>#N/A</v>
      </c>
      <c r="DI227" s="86" t="b">
        <f t="shared" si="355"/>
        <v>0</v>
      </c>
      <c r="DJ227" s="86">
        <f t="shared" si="356"/>
        <v>0.5</v>
      </c>
      <c r="DK227" s="86">
        <f t="shared" si="357"/>
        <v>0.5</v>
      </c>
      <c r="DL227" s="30" t="e">
        <f t="shared" ca="1" si="388"/>
        <v>#DIV/0!</v>
      </c>
      <c r="DM227" s="85" t="e">
        <f ca="1">IF(CS227&lt;=Hypothèses!$V$7,Hypothèses!$W$7,IF(CS227&lt;=Hypothèses!$V$8,Hypothèses!$W$8,IF(CS227&lt;=Hypothèses!$V$9,Hypothèses!$W$9,IF(CS227&lt;=Hypothèses!$V$10,Hypothèses!$W$10,IF(CS227&lt;=Hypothèses!$V$11,Hypothèses!$W$11,IF(CS227&lt;=Hypothèses!$V$12,Hypothèses!$W$12,IF(CS227&lt;=Hypothèses!$V$13,Hypothèses!$W$13,IF(CS227&lt;=Hypothèses!$V$14,Hypothèses!$W$14,IF(CS227&lt;=Hypothèses!$V$15,Hypothèses!$W$15,IF(CS227&lt;=Hypothèses!$V$16,Hypothèses!$W$16,IF(CS227&lt;=Hypothèses!$V$17,Hypothèses!$W$17,IF(CS227&lt;=Hypothèses!$V$18,Hypothèses!$W$18,""))))))))))))</f>
        <v>#DIV/0!</v>
      </c>
      <c r="DN227" s="87" t="e">
        <f t="shared" ca="1" si="421"/>
        <v>#DIV/0!</v>
      </c>
      <c r="DO227" s="88" t="e">
        <f ca="1">IF(CS227&lt;=Hypothèses!$V$7,Hypothèses!$X$7,IF(CS227&lt;=Hypothèses!$V$8,Hypothèses!$X$8,IF(CS227&lt;=Hypothèses!$V$9,Hypothèses!$X$9,IF(CS227&lt;=Hypothèses!$V$10,Hypothèses!$X$10,IF(CS227&lt;=Hypothèses!$V$11,Hypothèses!$X$11,IF(CS227&lt;=Hypothèses!$V$12,Hypothèses!$X$12,IF(CS227&lt;=Hypothèses!$V$13,Hypothèses!$X$13,IF(CS227&lt;=Hypothèses!$V$14,Hypothèses!$X$14,IF(CS227&lt;=Hypothèses!$V$15,Hypothèses!$X$15,IF(CS227&lt;=Hypothèses!$V$16,Hypothèses!$X$16,IF(CS227&lt;=Hypothèses!$U$17,Hypothèses!$W$17,IF(CS227&lt;=Hypothèses!$U$18,Hypothèses!$W$18,""))))))))))))</f>
        <v>#DIV/0!</v>
      </c>
      <c r="DP227" s="95" t="e">
        <f t="shared" ca="1" si="389"/>
        <v>#DIV/0!</v>
      </c>
      <c r="DQ227" s="101" t="e">
        <f t="shared" si="428"/>
        <v>#N/A</v>
      </c>
      <c r="DR227" s="91" t="e">
        <f t="shared" si="358"/>
        <v>#N/A</v>
      </c>
      <c r="DS227" s="30" t="e">
        <f t="shared" si="410"/>
        <v>#N/A</v>
      </c>
      <c r="DT227" s="30" t="e">
        <f t="shared" si="411"/>
        <v>#N/A</v>
      </c>
      <c r="DU227" s="31" t="e">
        <f>IF(OR(Hypothèses!$B$4=17,Hypothèses!$B$4=18,Hypothèses!$B$4=19,Hypothèses!$B$4=20),
IF($D227="Pressio.",
IF(OR($E227=3,$E227=1,$E227=4),DT227,DS227),
IF($D227="Pénétro.",
IF(OR($E227=3,$E227=1,$E227=4),DT227,DS227))),IF($D227="Pressio.",
IF($E227=3,DT227,DS227),
IF($D227="Pénétro.",
IF($E227=4,DT227,DS227))))</f>
        <v>#N/A</v>
      </c>
      <c r="DV227" s="31" t="e">
        <f>(IF(OR(Hypothèses!$B$4=17,Hypothèses!$B$4=18,Hypothèses!$B$4=19,Hypothèses!$B$4=20),
IF($D227="Pressio.",
IF(OR($E227=3,$E227=1,$E227=4),(PI()*DV$12^2)/4*(DR227*$W227*1000)/($H227*$B$5),(PI()*DV$12^2)/4*(DR227*$W227*1000)/($G227*$B$5)),
IF($D227="Pénétro.",
IF(OR($E227=4,$E227=1,$E227=5),(PI()*DV$12^2)/4*(DR227*$W227*1000)/($H227*$B$5),(PI()*DV$12^2)/4*(DR227*$W227*1000)/($G227*$B$5)))),
IF($D227="Pressio.",
IF($E227=3,(PI()*DV$12^2)/4*(DR227*$W227*1000)/($H227*$B$5),(PI()*DV$12^2)/4*(DR227*$W227*1000)/($G227*$B$5)),
IF($D227="Pénétro.",
IF($E227=4,(PI()*DV$12^2)/4*(DR227*$W227*1000)/($H227*$B$5),(PI()*DV$12^2)/4*(DR227*$W227*1000)/($G227*$B$5))))))/10</f>
        <v>#N/A</v>
      </c>
      <c r="DW227" s="102" t="e">
        <f>(VLOOKUP($B$3,'Coeff EC7'!$T$39:$X$59,2,0)*DU227+VLOOKUP($B$3,'Coeff EC7'!$T$65:$X$85,2,0)*Model0.1C!DV227)/1.1</f>
        <v>#N/A</v>
      </c>
      <c r="DX227" s="102" t="e">
        <f>(VLOOKUP($B$3,'Coeff EC7'!$T$39:$X$59,3,0)*DU227+VLOOKUP($B$3,'Coeff EC7'!$T$65:$X$85,3,0)*Model0.1C!DV227)/0.9</f>
        <v>#N/A</v>
      </c>
      <c r="DY227" s="102" t="e">
        <f t="shared" si="390"/>
        <v>#N/A</v>
      </c>
      <c r="DZ227" s="102" t="e">
        <f t="shared" si="391"/>
        <v>#N/A</v>
      </c>
      <c r="EA227" s="414" t="e">
        <f>IF(EA226=0,0,IF(AND(DW227&gt;charge_ELS_quasi,DX227&gt;Charge_ELS_freq,DY227&gt;charge_ELU,DZ227&gt;charge_ELA,$B227&gt;NDC!$H$22-0.1+MIN(3*$EA$12,1.5)),0,1))</f>
        <v>#N/A</v>
      </c>
      <c r="EB227" s="86" t="b">
        <f t="shared" si="359"/>
        <v>0</v>
      </c>
      <c r="EC227" s="418">
        <f t="shared" si="360"/>
        <v>0.51</v>
      </c>
      <c r="ED227" s="86">
        <f t="shared" si="361"/>
        <v>0.51</v>
      </c>
      <c r="EE227" s="30" t="e">
        <f t="shared" ca="1" si="392"/>
        <v>#DIV/0!</v>
      </c>
      <c r="EF227" s="85" t="e">
        <f ca="1">IF(DL227&lt;=Hypothèses!$V$7,Hypothèses!$W$7,IF(DL227&lt;=Hypothèses!$V$8,Hypothèses!$W$8,IF(DL227&lt;=Hypothèses!$V$9,Hypothèses!$W$9,IF(DL227&lt;=Hypothèses!$V$10,Hypothèses!$W$10,IF(DL227&lt;=Hypothèses!$V$11,Hypothèses!$W$11,IF(DL227&lt;=Hypothèses!$V$12,Hypothèses!$W$12,IF(DL227&lt;=Hypothèses!$V$13,Hypothèses!$W$13,IF(DL227&lt;=Hypothèses!$V$14,Hypothèses!$W$14,IF(DL227&lt;=Hypothèses!$V$15,Hypothèses!$W$15,IF(DL227&lt;=Hypothèses!$V$16,Hypothèses!$W$16,IF(DL227&lt;=Hypothèses!$V$17,Hypothèses!$W$17,IF(DL227&lt;=Hypothèses!$V$18,Hypothèses!$W$18,""))))))))))))</f>
        <v>#DIV/0!</v>
      </c>
      <c r="EG227" s="87" t="e">
        <f t="shared" ca="1" si="422"/>
        <v>#DIV/0!</v>
      </c>
      <c r="EH227" s="88" t="e">
        <f ca="1">IF(DL227&lt;=Hypothèses!$V$7,Hypothèses!$X$7,IF(DL227&lt;=Hypothèses!$V$8,Hypothèses!$X$8,IF(DL227&lt;=Hypothèses!$V$9,Hypothèses!$X$9,IF(DL227&lt;=Hypothèses!$V$10,Hypothèses!$X$10,IF(DL227&lt;=Hypothèses!$V$11,Hypothèses!$X$11,IF(DL227&lt;=Hypothèses!$V$12,Hypothèses!$X$12,IF(DL227&lt;=Hypothèses!$V$13,Hypothèses!$X$13,IF(DL227&lt;=Hypothèses!$V$14,Hypothèses!$X$14,IF(DL227&lt;=Hypothèses!$V$15,Hypothèses!$X$15,IF(DL227&lt;=Hypothèses!$V$16,Hypothèses!$X$16,IF(DL227&lt;=Hypothèses!$U$17,Hypothèses!$W$17,IF(DL227&lt;=Hypothèses!$U$18,Hypothèses!$W$18,""))))))))))))</f>
        <v>#DIV/0!</v>
      </c>
      <c r="EI227" s="95" t="e">
        <f t="shared" ca="1" si="393"/>
        <v>#DIV/0!</v>
      </c>
      <c r="EJ227" s="101" t="e">
        <f t="shared" si="429"/>
        <v>#N/A</v>
      </c>
      <c r="EK227" s="91" t="e">
        <f t="shared" si="362"/>
        <v>#N/A</v>
      </c>
      <c r="EL227" s="30" t="e">
        <f t="shared" si="412"/>
        <v>#N/A</v>
      </c>
      <c r="EM227" s="30" t="e">
        <f t="shared" si="413"/>
        <v>#N/A</v>
      </c>
      <c r="EN227" s="31" t="e">
        <f>IF(OR(Hypothèses!$B$4=17,Hypothèses!$B$4=18,Hypothèses!$B$4=19,Hypothèses!$B$4=20),
IF($D227="Pressio.",
IF(OR($E227=3,$E227=1,$E227=4),EM227,EL227),
IF($D227="Pénétro.",
IF(OR($E227=3,$E227=1,$E227=4),EM227,EL227))),IF($D227="Pressio.",
IF($E227=3,EM227,EL227),
IF($D227="Pénétro.",
IF($E227=4,EM227,EL227))))</f>
        <v>#N/A</v>
      </c>
      <c r="EO227" s="31" t="e">
        <f>(IF(OR(Hypothèses!$B$4=17,Hypothèses!$B$4=18,Hypothèses!$B$4=19,Hypothèses!$B$4=20),
IF($D227="Pressio.",
IF(OR($E227=3,$E227=1,$E227=4),(PI()*EO$12^2)/4*(EK227*$W227*1000)/($H227*$B$5),(PI()*EO$12^2)/4*(EK227*$W227*1000)/($G227*$B$5)),
IF($D227="Pénétro.",
IF(OR($E227=4,$E227=1,$E227=5),(PI()*EO$12^2)/4*(EK227*$W227*1000)/($H227*$B$5),(PI()*EO$12^2)/4*(EK227*$W227*1000)/($G227*$B$5)))),
IF($D227="Pressio.",
IF($E227=3,(PI()*EO$12^2)/4*(EK227*$W227*1000)/($H227*$B$5),(PI()*EO$12^2)/4*(EK227*$W227*1000)/($G227*$B$5)),
IF($D227="Pénétro.",
IF($E227=4,(PI()*EO$12^2)/4*(EK227*$W227*1000)/($H227*$B$5),(PI()*EO$12^2)/4*(EK227*$W227*1000)/($G227*$B$5))))))/10</f>
        <v>#N/A</v>
      </c>
      <c r="EP227" s="102" t="e">
        <f>(VLOOKUP($B$3,'Coeff EC7'!$T$39:$X$59,2,0)*EN227+VLOOKUP($B$3,'Coeff EC7'!$T$65:$X$85,2,0)*Model0.1C!EO227)/1.1</f>
        <v>#N/A</v>
      </c>
      <c r="EQ227" s="102" t="e">
        <f>(VLOOKUP($B$3,'Coeff EC7'!$T$39:$X$59,3,0)*EN227+VLOOKUP($B$3,'Coeff EC7'!$T$65:$X$85,3,0)*Model0.1C!EO227)/0.9</f>
        <v>#N/A</v>
      </c>
      <c r="ER227" s="102" t="e">
        <f t="shared" si="394"/>
        <v>#N/A</v>
      </c>
      <c r="ES227" s="102" t="e">
        <f t="shared" si="395"/>
        <v>#N/A</v>
      </c>
      <c r="ET227" s="414" t="e">
        <f>IF(ET226=0,0,IF(AND(EP227&gt;charge_ELS_quasi,EQ227&gt;Charge_ELS_freq,ER227&gt;charge_ELU,ES227&gt;charge_ELA,$B227&gt;NDC!$H$22-0.1+MIN(3*$ET$12,1.5)),0,1))</f>
        <v>#N/A</v>
      </c>
      <c r="EU227" s="86" t="b">
        <f t="shared" si="363"/>
        <v>0</v>
      </c>
      <c r="EV227" s="86">
        <f t="shared" si="364"/>
        <v>0.61</v>
      </c>
      <c r="EW227" s="86">
        <f t="shared" si="365"/>
        <v>0.61</v>
      </c>
      <c r="EX227" s="30" t="e">
        <f t="shared" ca="1" si="396"/>
        <v>#DIV/0!</v>
      </c>
      <c r="EY227" s="85" t="e">
        <f ca="1">IF(EE227&lt;=Hypothèses!$V$7,Hypothèses!$W$7,IF(EE227&lt;=Hypothèses!$V$8,Hypothèses!$W$8,IF(EE227&lt;=Hypothèses!$V$9,Hypothèses!$W$9,IF(EE227&lt;=Hypothèses!$V$10,Hypothèses!$W$10,IF(EE227&lt;=Hypothèses!$V$11,Hypothèses!$W$11,IF(EE227&lt;=Hypothèses!$V$12,Hypothèses!$W$12,IF(EE227&lt;=Hypothèses!$V$13,Hypothèses!$W$13,IF(EE227&lt;=Hypothèses!$V$14,Hypothèses!$W$14,IF(EE227&lt;=Hypothèses!$V$15,Hypothèses!$W$15,IF(EE227&lt;=Hypothèses!$V$16,Hypothèses!$W$16,IF(EE227&lt;=Hypothèses!$V$17,Hypothèses!$W$17,IF(EE227&lt;=Hypothèses!$V$18,Hypothèses!$W$18,""))))))))))))</f>
        <v>#DIV/0!</v>
      </c>
      <c r="EZ227" s="87" t="e">
        <f t="shared" ca="1" si="423"/>
        <v>#DIV/0!</v>
      </c>
      <c r="FA227" s="88" t="e">
        <f ca="1">IF(EE227&lt;=Hypothèses!$V$7,Hypothèses!$X$7,IF(EE227&lt;=Hypothèses!$V$8,Hypothèses!$X$8,IF(EE227&lt;=Hypothèses!$V$9,Hypothèses!$X$9,IF(EE227&lt;=Hypothèses!$V$10,Hypothèses!$X$10,IF(EE227&lt;=Hypothèses!$V$11,Hypothèses!$X$11,IF(EE227&lt;=Hypothèses!$V$12,Hypothèses!$X$12,IF(EE227&lt;=Hypothèses!$V$13,Hypothèses!$X$13,IF(EE227&lt;=Hypothèses!$V$14,Hypothèses!$X$14,IF(EE227&lt;=Hypothèses!$V$15,Hypothèses!$X$15,IF(EE227&lt;=Hypothèses!$V$16,Hypothèses!$X$16,IF(EE227&lt;=Hypothèses!$U$17,Hypothèses!$W$17,IF(EE227&lt;=Hypothèses!$U$18,Hypothèses!$W$18,""))))))))))))</f>
        <v>#DIV/0!</v>
      </c>
      <c r="FB227" s="95" t="e">
        <f t="shared" ca="1" si="397"/>
        <v>#DIV/0!</v>
      </c>
      <c r="FC227" s="101" t="e">
        <f t="shared" si="430"/>
        <v>#N/A</v>
      </c>
      <c r="FD227" s="91" t="e">
        <f t="shared" si="366"/>
        <v>#N/A</v>
      </c>
      <c r="FE227" s="30" t="e">
        <f t="shared" si="414"/>
        <v>#N/A</v>
      </c>
      <c r="FF227" s="30" t="e">
        <f t="shared" si="415"/>
        <v>#N/A</v>
      </c>
      <c r="FG227" s="31" t="e">
        <f>IF(OR(Hypothèses!$B$4=17,Hypothèses!$B$4=18,Hypothèses!$B$4=19,Hypothèses!$B$4=20),
IF($D227="Pressio.",
IF(OR($E227=3,$E227=1,$E227=4),FF227,FE227),
IF($D227="Pénétro.",
IF(OR($E227=3,$E227=1,$E227=4),FF227,FE227))),IF($D227="Pressio.",
IF($E227=3,FF227,FE227),
IF($D227="Pénétro.",
IF($E227=4,FF227,FE227))))</f>
        <v>#N/A</v>
      </c>
      <c r="FH227" s="31" t="e">
        <f>(IF(OR(Hypothèses!$B$4=17,Hypothèses!$B$4=18,Hypothèses!$B$4=19,Hypothèses!$B$4=20),
IF($D227="Pressio.",
IF(OR($E227=3,$E227=1,$E227=4),(PI()*FH$12^2)/4*(FD227*$W227*1000)/($H227*$B$5),(PI()*FH$12^2)/4*(FD227*$W227*1000)/($G227*$B$5)),
IF($D227="Pénétro.",
IF(OR($E227=4,$E227=1,$E227=5),(PI()*FH$12^2)/4*(FD227*$W227*1000)/($H227*$B$5),(PI()*FH$12^2)/4*(FD227*$W227*1000)/($G227*$B$5)))),
IF($D227="Pressio.",
IF($E227=3,(PI()*FH$12^2)/4*(FD227*$W227*1000)/($H227*$B$5),(PI()*FH$12^2)/4*(FD227*$W227*1000)/($G227*$B$5)),
IF($D227="Pénétro.",
IF($E227=4,(PI()*FH$12^2)/4*(FD227*$W227*1000)/($H227*$B$5),(PI()*FH$12^2)/4*(FD227*$W227*1000)/($G227*$B$5))))))/10</f>
        <v>#N/A</v>
      </c>
      <c r="FI227" s="102" t="e">
        <f>(VLOOKUP($B$3,'Coeff EC7'!$T$39:$X$59,2,0)*FG227+VLOOKUP($B$3,'Coeff EC7'!$T$65:$X$85,2,0)*Model0.1C!FH227)/1.1</f>
        <v>#N/A</v>
      </c>
      <c r="FJ227" s="102" t="e">
        <f>(VLOOKUP($B$3,'Coeff EC7'!$T$39:$X$59,3,0)*FG227+VLOOKUP($B$3,'Coeff EC7'!$T$65:$X$85,3,0)*Model0.1C!FH227)/0.9</f>
        <v>#N/A</v>
      </c>
      <c r="FK227" s="102" t="e">
        <f t="shared" si="398"/>
        <v>#N/A</v>
      </c>
      <c r="FL227" s="102" t="e">
        <f t="shared" si="399"/>
        <v>#N/A</v>
      </c>
      <c r="FM227" s="414" t="e">
        <f>IF(FM226=0,0,IF(AND(FI227&gt;charge_ELS_quasi,FJ227&gt;Charge_ELS_freq,FK227&gt;charge_ELU,FL227&gt;charge_ELA,$B227&gt;NDC!$H$22-0.1+MIN(3*$FM$12,1.5)),0,1))</f>
        <v>#N/A</v>
      </c>
    </row>
    <row r="228" spans="1:169">
      <c r="A228" s="96">
        <f t="shared" si="367"/>
        <v>78.500000000001222</v>
      </c>
      <c r="B228" s="97">
        <v>21.5</v>
      </c>
      <c r="C228" s="81">
        <f>IF(B228&lt;=Hypothèses!$C$7,Hypothèses!$A$7,IF(B228&lt;=Hypothèses!$C$8,Hypothèses!$A$8,IF(B228&lt;=Hypothèses!$C$9,Hypothèses!$A$9,IF(B228&lt;=Hypothèses!$C$10,Hypothèses!$A$10,IF(B228&lt;=Hypothèses!$C$11,Hypothèses!$A$11,IF(B228&lt;=Hypothèses!$C$12,Hypothèses!$A$12,IF(B228&lt;=Hypothèses!$C$13,Hypothèses!$A$13,IF(B228&lt;=Hypothèses!$C$14,Hypothèses!$A$14,IF(B228&lt;=Hypothèses!$C$15,Hypothèses!$A$15,IF(B228&lt;=Hypothèses!$C$16,Hypothèses!$A$16,IF(B228&lt;=Hypothèses!$C$17,Hypothèses!$A$17,IF(B228&lt;=Hypothèses!$C$18,Hypothèses!$A$18,C227))))))))))))</f>
        <v>11</v>
      </c>
      <c r="D228" s="82" t="str">
        <f>IF(B228&lt;=Hypothèses!$C$7,Hypothèses!$R$7,IF(B228&lt;=Hypothèses!$C$8,Hypothèses!$R$8,IF(B228&lt;=Hypothèses!$C$9,Hypothèses!$R$9,IF(B228&lt;=Hypothèses!$C$10,Hypothèses!$R$10,IF(B228&lt;=Hypothèses!$C$11,Hypothèses!$R$11,IF(B228&lt;=Hypothèses!$C$12,Hypothèses!$R$12,IF(B228&lt;=Hypothèses!$C$13,Hypothèses!$R$13,IF(B228&lt;=Hypothèses!$C$14,Hypothèses!$R$14,IF(B228&lt;=Hypothèses!$C$15,Hypothèses!$R$15,IF(B228&lt;=Hypothèses!$C$16,Hypothèses!$R$16,IF(B228&lt;=Hypothèses!$C$17,Hypothèses!$R$17,IF(B228&lt;=Hypothèses!$C$18,Hypothèses!$R$18,D227))))))))))))</f>
        <v>Pressio.</v>
      </c>
      <c r="E228" s="82" t="e">
        <f>IF(B228&lt;=Hypothèses!$C$7,Hypothèses!$G$7,IF(B228&lt;=Hypothèses!$C$8,Hypothèses!$G$8,IF(B228&lt;=Hypothèses!$C$9,Hypothèses!$G$9,IF(B228&lt;=Hypothèses!$C$10,Hypothèses!$G$10,IF(B228&lt;=Hypothèses!$C$11,Hypothèses!$G$11,IF(B228&lt;=Hypothèses!$C$12,Hypothèses!$G$12,IF(B228&lt;=Hypothèses!$C$13,Hypothèses!$G$13,IF(B228&lt;=Hypothèses!$C$14,Hypothèses!$G$14,IF(B228&lt;=Hypothèses!$C$15,Hypothèses!$G$15,IF(B228&lt;=Hypothèses!$C$16,Hypothèses!$G$16,IF(B228&lt;=Hypothèses!$C$17,Hypothèses!$G$17,IF(B228&lt;=Hypothèses!$C$18,Hypothèses!$G$18,E227))))))))))))</f>
        <v>#N/A</v>
      </c>
      <c r="F228" s="82" t="str">
        <f>IF(B228&lt;=Hypothèses!$C$7,Hypothèses!$F$7,IF(B228&lt;=Hypothèses!$C$8,Hypothèses!$F$8,IF(B228&lt;=Hypothèses!$C$9,Hypothèses!$F$9,IF(B228&lt;=Hypothèses!$C$10,Hypothèses!$F$10,IF(B228&lt;=Hypothèses!$C$11,Hypothèses!$F$11,IF(B228&lt;=Hypothèses!$C$12,Hypothèses!$F$12,IF(B228&lt;=Hypothèses!$C$13,Hypothèses!$F$13,IF(B228&lt;=Hypothèses!$C$14,Hypothèses!$F$14,IF(B228&lt;=Hypothèses!$C$15,Hypothèses!$F$15,IF(B228&lt;=Hypothèses!$C$16,Hypothèses!$F$16,IF(B228&lt;=Hypothèses!$C$17,Hypothèses!$F$17,IF(B228&lt;=Hypothèses!$C$18,Hypothèses!$F$18,F227))))))))))))</f>
        <v/>
      </c>
      <c r="G228" s="91">
        <f t="array" ref="G228">INDEX('Coeff EC7'!$U$7:$X$27,
MATCH(Model0.1C!$B$3,'Coeff EC7'!$T$7:$T$27,0),
MATCH(Model0.1C!$D228&amp;Model0.1C!$B$4,
'Coeff EC7'!$U$6:$X$6&amp;
'Coeff EC7'!$U$5:$X$5,0))</f>
        <v>1.1499999999999999</v>
      </c>
      <c r="H228" s="91">
        <f t="array" ref="H228">INDEX('Coeff EC7'!$Y$7:$AB$27,
MATCH(Model0.1C!$B$3,'Coeff EC7'!$T$7:$T$27,0),
MATCH(Model0.1C!$D228&amp;Model0.1C!$B$4,
'Coeff EC7'!$Y$6:$AB$6&amp;
'Coeff EC7'!$Y$5:$AB$5,0))</f>
        <v>1.4</v>
      </c>
      <c r="I228" s="83" t="e">
        <f>IF(B228&lt;=Hypothèses!$C$7,Hypothèses!$P$7,IF(B228&lt;=Hypothèses!$C$8,Hypothèses!$P$8,IF(B228&lt;=Hypothèses!$C$9,Hypothèses!$P$9,IF(B228&lt;=Hypothèses!$C$10,Hypothèses!$P$10,IF(B228&lt;=Hypothèses!$C$11,Hypothèses!$P$11,IF(B228&lt;=Hypothèses!$C$12,Hypothèses!$P$12,IF(B228&lt;=Hypothèses!$C$13,Hypothèses!$P$13,IF(B228&lt;=Hypothèses!$C$14,Hypothèses!$P$14,IF(B228&lt;=Hypothèses!$C$15,Hypothèses!$P$15,IF(B228&lt;=Hypothèses!$C$16,Hypothèses!$P$16,IF(B228&lt;=Hypothèses!$C$17,Hypothèses!$P$17,IF(B228&lt;=Hypothèses!$C$18,Hypothèses!$P$18,I227))))))))))))</f>
        <v>#N/A</v>
      </c>
      <c r="J228" s="91" t="e">
        <f t="array" ref="J228">INDEX('Coeff EC7'!$D$33:$Q$33,1,MATCH(D228&amp;E228,'Coeff EC7'!$D$31:$Q$31&amp;'Coeff EC7'!$D$32:$Q$32,0))</f>
        <v>#N/A</v>
      </c>
      <c r="K228" s="91" t="e">
        <f t="array" ref="K228">INDEX('Coeff EC7'!$D$34:$Q$34,1,MATCH(D228&amp;E228,'Coeff EC7'!$D$31:$Q$31&amp;'Coeff EC7'!$D$32:$Q$32,0))</f>
        <v>#N/A</v>
      </c>
      <c r="L228" s="91" t="e">
        <f t="array" ref="L228">INDEX('Coeff EC7'!$D$35:$Q$35,1,MATCH(D228&amp;E228,'Coeff EC7'!$D$31:$Q$31&amp;'Coeff EC7'!$D$32:$Q$32,0))</f>
        <v>#N/A</v>
      </c>
      <c r="M228" s="98" t="e">
        <f t="shared" si="331"/>
        <v>#N/A</v>
      </c>
      <c r="N228" s="99" t="e">
        <f t="array" ref="N228">INDEX('Coeff EC7'!$D$7:$Q$27,MATCH($B$3,'Coeff EC7'!$C$7:$C$27,0),MATCH(D228&amp;E228,'Coeff EC7'!$D$5:$Q$5&amp;'Coeff EC7'!$D$6:$Q$6,0))</f>
        <v>#N/A</v>
      </c>
      <c r="O228" s="99" t="e">
        <f t="array" ref="O228">INDEX('Coeff EC7'!$D$41:$Q$61,MATCH($B$3,'Coeff EC7'!$C$41:$C$61,0),MATCH(D228&amp;E228,'Coeff EC7'!$D$39:$Q$39&amp;'Coeff EC7'!$D$40:$Q$40,0))</f>
        <v>#N/A</v>
      </c>
      <c r="P228" s="30" t="e">
        <f t="shared" si="368"/>
        <v>#N/A</v>
      </c>
      <c r="Q228" s="100" t="e">
        <f t="shared" si="333"/>
        <v>#N/A</v>
      </c>
      <c r="R228" s="86" t="b">
        <f t="shared" si="334"/>
        <v>0</v>
      </c>
      <c r="S228" s="86">
        <f t="shared" si="332"/>
        <v>0.5</v>
      </c>
      <c r="T228" s="86">
        <f t="shared" si="335"/>
        <v>0.5</v>
      </c>
      <c r="U228" s="30" t="e">
        <f t="shared" ca="1" si="369"/>
        <v>#DIV/0!</v>
      </c>
      <c r="V228" s="85" t="str">
        <f>IF(B228&lt;=Hypothèses!$V$7,Hypothèses!$W$7,IF(B228&lt;=Hypothèses!$V$8,Hypothèses!$W$8,IF(B228&lt;=Hypothèses!$V$9,Hypothèses!$W$9,IF(B228&lt;=Hypothèses!$V$10,Hypothèses!$W$10,IF(B228&lt;=Hypothèses!$V$11,Hypothèses!$W$11,IF(B228&lt;=Hypothèses!$V$12,Hypothèses!$W$12,IF(B228&lt;=Hypothèses!$V$13,Hypothèses!$W$13,IF(B228&lt;=Hypothèses!$V$14,Hypothèses!$W$14,IF(B228&lt;=Hypothèses!$V$15,Hypothèses!$W$15,IF(B228&lt;=Hypothèses!$V$16,Hypothèses!$W$16,IF(B228&lt;=Hypothèses!$V$17,Hypothèses!$W$17,IF(B228&lt;=Hypothèses!$V$18,Hypothèses!$W$18,""))))))))))))</f>
        <v/>
      </c>
      <c r="W228" s="87" t="e">
        <f t="shared" ca="1" si="416"/>
        <v>#DIV/0!</v>
      </c>
      <c r="X228" s="88" t="str">
        <f>IF(B228&lt;=Hypothèses!$V$7,Hypothèses!$X$7,IF(B228&lt;=Hypothèses!$V$8,Hypothèses!$X$8,IF(B228&lt;=Hypothèses!$V$9,Hypothèses!$X$9,IF(B228&lt;=Hypothèses!$V$10,Hypothèses!$X$10,IF(B228&lt;=Hypothèses!$V$11,Hypothèses!$X$11,IF(B228&lt;=Hypothèses!$V$12,Hypothèses!$X$12,IF(B228&lt;=Hypothèses!$V$13,Hypothèses!$X$13,IF(B228&lt;=Hypothèses!$V$14,Hypothèses!$X$14,IF(B228&lt;=Hypothèses!$V$15,Hypothèses!$X$15,IF(B228&lt;=Hypothèses!$V$16,Hypothèses!$X$16,IF(B228&lt;=Hypothèses!$U$17,Hypothèses!$W$17,IF(B228&lt;=Hypothèses!$U$18,Hypothèses!$W$18,""))))))))))))</f>
        <v/>
      </c>
      <c r="Y228" s="95" t="e">
        <f t="shared" ca="1" si="336"/>
        <v>#DIV/0!</v>
      </c>
      <c r="Z228" s="101" t="e">
        <f t="shared" si="337"/>
        <v>#N/A</v>
      </c>
      <c r="AA228" s="91" t="e">
        <f t="shared" si="338"/>
        <v>#N/A</v>
      </c>
      <c r="AB228" s="30" t="e">
        <f t="shared" si="400"/>
        <v>#N/A</v>
      </c>
      <c r="AC228" s="30" t="e">
        <f t="shared" si="401"/>
        <v>#N/A</v>
      </c>
      <c r="AD228" s="31" t="e">
        <f>IF(OR(Hypothèses!$B$4=17,Hypothèses!$B$4=18,Hypothèses!$B$4=19,Hypothèses!$B$4=20),
IF($D228="Pressio.",
IF(OR($E228=3,$E228=1,$E228=4),AC228,AB228),
IF($D228="Pénétro.",
IF(OR($E228=3,$E228=1,$E228=4),AC228,AB228))),IF($D228="Pressio.",
IF($E228=3,AC228,AB228),
IF($D228="Pénétro.",
IF($E228=4,AC228,AB228))))</f>
        <v>#N/A</v>
      </c>
      <c r="AE228" s="31" t="e">
        <f>(IF(OR(Hypothèses!$B$4=17,Hypothèses!$B$4=18,Hypothèses!$B$4=19,Hypothèses!$B$4=20),
IF($D228="Pressio.",
IF(OR($E228=3,$E228=1,$E228=4),(PI()*AE$12^2)/4*(AA228*$W228*1000)/($H228*$B$5),(PI()*AE$12^2)/4*(AA228*$W228*1000)/($G228*$B$5)),
IF($D228="Pénétro.",
IF(OR($E228=4,$E228=1,$E228=5),(PI()*AE$12^2)/4*(AA228*$W228*1000)/($H228*$B$5),(PI()*AE$12^2)/4*(AA228*$W228*1000)/($G228*$B$5)))),
IF($D228="Pressio.",
IF($E228=3,(PI()*AE$12^2)/4*(AA228*$W228*1000)/($H228*$B$5),(PI()*AE$12^2)/4*(AA228*$W228*1000)/($G228*$B$5)),
IF($D228="Pénétro.",
IF($E228=4,(PI()*AE$12^2)/4*(AA228*$W228*1000)/($H228*$B$5),(PI()*AE$12^2)/4*(AA228*$W228*1000)/($G228*$B$5))))))/10</f>
        <v>#N/A</v>
      </c>
      <c r="AF228" s="102" t="e">
        <f>(VLOOKUP($B$3,'Coeff EC7'!$T$39:$X$59,2,0)*AD228+VLOOKUP($B$3,'Coeff EC7'!$T$65:$X$85,2,0)*Model0.1C!AE228)/1.1</f>
        <v>#N/A</v>
      </c>
      <c r="AG228" s="102" t="e">
        <f>(VLOOKUP($B$3,'Coeff EC7'!$T$39:$X$59,3,0)*AD228+VLOOKUP($B$3,'Coeff EC7'!$T$65:$X$85,3,0)*Model0.1C!AE228)/0.9</f>
        <v>#N/A</v>
      </c>
      <c r="AH228" s="102" t="e">
        <f t="shared" si="339"/>
        <v>#N/A</v>
      </c>
      <c r="AI228" s="102" t="e">
        <f t="shared" si="340"/>
        <v>#N/A</v>
      </c>
      <c r="AJ228" s="414" t="e">
        <f>IF(AJ227=0,0,IF(AND(AF228&gt;charge_ELS_quasi,AG228&gt;Charge_ELS_freq,AH228&gt;charge_ELU,AI228&gt;charge_ELA,$B228&gt;NDC!$H$22-0.1+MIN(3*$AJ$12,1.5)),0,1))</f>
        <v>#N/A</v>
      </c>
      <c r="AK228" s="86" t="b">
        <f t="shared" si="341"/>
        <v>0</v>
      </c>
      <c r="AL228" s="86">
        <f t="shared" si="370"/>
        <v>0.5</v>
      </c>
      <c r="AM228" s="86">
        <f t="shared" si="342"/>
        <v>0.5</v>
      </c>
      <c r="AN228" s="30" t="e">
        <f t="shared" ca="1" si="371"/>
        <v>#DIV/0!</v>
      </c>
      <c r="AO228" s="85" t="e">
        <f ca="1">IF(U228&lt;=Hypothèses!$V$7,Hypothèses!$W$7,IF(U228&lt;=Hypothèses!$V$8,Hypothèses!$W$8,IF(U228&lt;=Hypothèses!$V$9,Hypothèses!$W$9,IF(U228&lt;=Hypothèses!$V$10,Hypothèses!$W$10,IF(U228&lt;=Hypothèses!$V$11,Hypothèses!$W$11,IF(U228&lt;=Hypothèses!$V$12,Hypothèses!$W$12,IF(U228&lt;=Hypothèses!$V$13,Hypothèses!$W$13,IF(U228&lt;=Hypothèses!$V$14,Hypothèses!$W$14,IF(U228&lt;=Hypothèses!$V$15,Hypothèses!$W$15,IF(U228&lt;=Hypothèses!$V$16,Hypothèses!$W$16,IF(U228&lt;=Hypothèses!$V$17,Hypothèses!$W$17,IF(U228&lt;=Hypothèses!$V$18,Hypothèses!$W$18,""))))))))))))</f>
        <v>#DIV/0!</v>
      </c>
      <c r="AP228" s="87" t="e">
        <f t="shared" ca="1" si="417"/>
        <v>#DIV/0!</v>
      </c>
      <c r="AQ228" s="88" t="e">
        <f ca="1">IF(U228&lt;=Hypothèses!$V$7,Hypothèses!$X$7,IF(U228&lt;=Hypothèses!$V$8,Hypothèses!$X$8,IF(U228&lt;=Hypothèses!$V$9,Hypothèses!$X$9,IF(U228&lt;=Hypothèses!$V$10,Hypothèses!$X$10,IF(U228&lt;=Hypothèses!$V$11,Hypothèses!$X$11,IF(U228&lt;=Hypothèses!$V$12,Hypothèses!$X$12,IF(U228&lt;=Hypothèses!$V$13,Hypothèses!$X$13,IF(U228&lt;=Hypothèses!$V$14,Hypothèses!$X$14,IF(U228&lt;=Hypothèses!$V$15,Hypothèses!$X$15,IF(U228&lt;=Hypothèses!$V$16,Hypothèses!$X$16,IF(U228&lt;=Hypothèses!$U$17,Hypothèses!$W$17,IF(U228&lt;=Hypothèses!$U$18,Hypothèses!$W$18,""))))))))))))</f>
        <v>#DIV/0!</v>
      </c>
      <c r="AR228" s="95" t="e">
        <f t="shared" ca="1" si="372"/>
        <v>#DIV/0!</v>
      </c>
      <c r="AS228" s="101" t="e">
        <f t="shared" si="424"/>
        <v>#N/A</v>
      </c>
      <c r="AT228" s="91" t="e">
        <f t="shared" si="343"/>
        <v>#N/A</v>
      </c>
      <c r="AU228" s="30" t="e">
        <f t="shared" si="402"/>
        <v>#N/A</v>
      </c>
      <c r="AV228" s="30" t="e">
        <f t="shared" si="403"/>
        <v>#N/A</v>
      </c>
      <c r="AW228" s="31" t="e">
        <f>IF(OR(Hypothèses!$B$4=17,Hypothèses!$B$4=18,Hypothèses!$B$4=19,Hypothèses!$B$4=20),
IF($D228="Pressio.",
IF(OR($E228=3,$E228=1,$E228=4),AV228,AU228),
IF($D228="Pénétro.",
IF(OR($E228=3,$E228=1,$E228=4),AV228,AU228))),IF($D228="Pressio.",
IF($E228=3,AV228,AU228),
IF($D228="Pénétro.",
IF($E228=4,AV228,AU228))))</f>
        <v>#N/A</v>
      </c>
      <c r="AX228" s="31" t="e">
        <f>(IF(OR(Hypothèses!$B$4=17,Hypothèses!$B$4=18,Hypothèses!$B$4=19,Hypothèses!$B$4=20),
IF($D228="Pressio.",
IF(OR($E228=3,$E228=1,$E228=4),(PI()*AX$12^2)/4*(AT228*$W228*1000)/($H228*$B$5),(PI()*AX$12^2)/4*(AT228*$W228*1000)/($G228*$B$5)),
IF($D228="Pénétro.",
IF(OR($E228=4,$E228=1,$E228=5),(PI()*AX$12^2)/4*(AT228*$W228*1000)/($H228*$B$5),(PI()*AX$12^2)/4*(AT228*$W228*1000)/($G228*$B$5)))),
IF($D228="Pressio.",
IF($E228=3,(PI()*AX$12^2)/4*(AT228*$W228*1000)/($H228*$B$5),(PI()*AX$12^2)/4*(AT228*$W228*1000)/($G228*$B$5)),
IF($D228="Pénétro.",
IF($E228=4,(PI()*AX$12^2)/4*(AT228*$W228*1000)/($H228*$B$5),(PI()*AX$12^2)/4*(AT228*$W228*1000)/($G228*$B$5))))))/10</f>
        <v>#N/A</v>
      </c>
      <c r="AY228" s="102" t="e">
        <f>(VLOOKUP($B$3,'Coeff EC7'!$T$39:$X$59,2,0)*AW228+VLOOKUP($B$3,'Coeff EC7'!$T$65:$X$85,2,0)*Model0.1C!AX228)/1.1</f>
        <v>#N/A</v>
      </c>
      <c r="AZ228" s="102" t="e">
        <f>(VLOOKUP($B$3,'Coeff EC7'!$T$39:$X$59,3,0)*AW228+VLOOKUP($B$3,'Coeff EC7'!$T$65:$X$85,3,0)*Model0.1C!AX228)/0.9</f>
        <v>#N/A</v>
      </c>
      <c r="BA228" s="102" t="e">
        <f t="shared" si="373"/>
        <v>#N/A</v>
      </c>
      <c r="BB228" s="102" t="e">
        <f t="shared" si="374"/>
        <v>#N/A</v>
      </c>
      <c r="BC228" s="414" t="e">
        <f>IF(BC227=0,0,IF(AND(AY228&gt;charge_ELS_quasi,AZ228&gt;Charge_ELS_freq,BA228&gt;charge_ELU,BB228&gt;charge_ELA,$B228&gt;NDC!$H$22-0.1+MIN(3*$BC$12,1.5)),0,1))</f>
        <v>#N/A</v>
      </c>
      <c r="BD228" s="86" t="b">
        <f t="shared" si="344"/>
        <v>0</v>
      </c>
      <c r="BE228" s="86">
        <f t="shared" si="375"/>
        <v>0.5</v>
      </c>
      <c r="BF228" s="86">
        <f t="shared" si="345"/>
        <v>0.5</v>
      </c>
      <c r="BG228" s="30" t="e">
        <f t="shared" ca="1" si="376"/>
        <v>#DIV/0!</v>
      </c>
      <c r="BH228" s="85" t="e">
        <f ca="1">IF(AN228&lt;=Hypothèses!$V$7,Hypothèses!$W$7,IF(AN228&lt;=Hypothèses!$V$8,Hypothèses!$W$8,IF(AN228&lt;=Hypothèses!$V$9,Hypothèses!$W$9,IF(AN228&lt;=Hypothèses!$V$10,Hypothèses!$W$10,IF(AN228&lt;=Hypothèses!$V$11,Hypothèses!$W$11,IF(AN228&lt;=Hypothèses!$V$12,Hypothèses!$W$12,IF(AN228&lt;=Hypothèses!$V$13,Hypothèses!$W$13,IF(AN228&lt;=Hypothèses!$V$14,Hypothèses!$W$14,IF(AN228&lt;=Hypothèses!$V$15,Hypothèses!$W$15,IF(AN228&lt;=Hypothèses!$V$16,Hypothèses!$W$16,IF(AN228&lt;=Hypothèses!$V$17,Hypothèses!$W$17,IF(AN228&lt;=Hypothèses!$V$18,Hypothèses!$W$18,""))))))))))))</f>
        <v>#DIV/0!</v>
      </c>
      <c r="BI228" s="87" t="e">
        <f t="shared" ca="1" si="418"/>
        <v>#DIV/0!</v>
      </c>
      <c r="BJ228" s="88" t="e">
        <f ca="1">IF(AN228&lt;=Hypothèses!$V$7,Hypothèses!$X$7,IF(AN228&lt;=Hypothèses!$V$8,Hypothèses!$X$8,IF(AN228&lt;=Hypothèses!$V$9,Hypothèses!$X$9,IF(AN228&lt;=Hypothèses!$V$10,Hypothèses!$X$10,IF(AN228&lt;=Hypothèses!$V$11,Hypothèses!$X$11,IF(AN228&lt;=Hypothèses!$V$12,Hypothèses!$X$12,IF(AN228&lt;=Hypothèses!$V$13,Hypothèses!$X$13,IF(AN228&lt;=Hypothèses!$V$14,Hypothèses!$X$14,IF(AN228&lt;=Hypothèses!$V$15,Hypothèses!$X$15,IF(AN228&lt;=Hypothèses!$V$16,Hypothèses!$X$16,IF(AN228&lt;=Hypothèses!$U$17,Hypothèses!$W$17,IF(AN228&lt;=Hypothèses!$U$18,Hypothèses!$W$18,""))))))))))))</f>
        <v>#DIV/0!</v>
      </c>
      <c r="BK228" s="95" t="e">
        <f t="shared" ca="1" si="377"/>
        <v>#DIV/0!</v>
      </c>
      <c r="BL228" s="101" t="e">
        <f t="shared" si="425"/>
        <v>#N/A</v>
      </c>
      <c r="BM228" s="91" t="e">
        <f t="shared" si="346"/>
        <v>#N/A</v>
      </c>
      <c r="BN228" s="30" t="e">
        <f t="shared" si="404"/>
        <v>#N/A</v>
      </c>
      <c r="BO228" s="30" t="e">
        <f t="shared" si="405"/>
        <v>#N/A</v>
      </c>
      <c r="BP228" s="31" t="e">
        <f>IF(OR(Hypothèses!$B$4=17,Hypothèses!$B$4=18,Hypothèses!$B$4=19,Hypothèses!$B$4=20),
IF($D228="Pressio.",
IF(OR($E228=3,$E228=1,$E228=4),BO228,BN228),
IF($D228="Pénétro.",
IF(OR($E228=3,$E228=1,$E228=4),BO228,BN228))),IF($D228="Pressio.",
IF($E228=3,BO228,BN228),
IF($D228="Pénétro.",
IF($E228=4,BO228,BN228))))</f>
        <v>#N/A</v>
      </c>
      <c r="BQ228" s="31" t="e">
        <f>(IF(OR(Hypothèses!$B$4=17,Hypothèses!$B$4=18,Hypothèses!$B$4=19,Hypothèses!$B$4=20),
IF($D228="Pressio.",
IF(OR($E228=3,$E228=1,$E228=4),(PI()*BQ$12^2)/4*(BM228*$W228*1000)/($H228*$B$5),(PI()*BQ$12^2)/4*(BM228*$W228*1000)/($G228*$B$5)),
IF($D228="Pénétro.",
IF(OR($E228=4,$E228=1,$E228=5),(PI()*BQ$12^2)/4*(BM228*$W228*1000)/($H228*$B$5),(PI()*BQ$12^2)/4*(BM228*$W228*1000)/($G228*$B$5)))),
IF($D228="Pressio.",
IF($E228=3,(PI()*BQ$12^2)/4*(BM228*$W228*1000)/($H228*$B$5),(PI()*BQ$12^2)/4*(BM228*$W228*1000)/($G228*$B$5)),
IF($D228="Pénétro.",
IF($E228=4,(PI()*BQ$12^2)/4*(BM228*$W228*1000)/($H228*$B$5),(PI()*BQ$12^2)/4*(BM228*$W228*1000)/($G228*$B$5))))))/10</f>
        <v>#N/A</v>
      </c>
      <c r="BR228" s="102" t="e">
        <f>(VLOOKUP($B$3,'Coeff EC7'!$T$39:$X$59,2,0)*BP228+VLOOKUP($B$3,'Coeff EC7'!$T$65:$X$85,2,0)*Model0.1C!BQ228)/1.1</f>
        <v>#N/A</v>
      </c>
      <c r="BS228" s="102" t="e">
        <f>(VLOOKUP($B$3,'Coeff EC7'!$T$39:$X$59,3,0)*BP228+VLOOKUP($B$3,'Coeff EC7'!$T$65:$X$85,3,0)*Model0.1C!BQ228)/0.9</f>
        <v>#N/A</v>
      </c>
      <c r="BT228" s="102" t="e">
        <f t="shared" si="378"/>
        <v>#N/A</v>
      </c>
      <c r="BU228" s="102" t="e">
        <f t="shared" si="379"/>
        <v>#N/A</v>
      </c>
      <c r="BV228" s="414" t="e">
        <f>IF(BV227=0,0,IF(AND(BR228&gt;charge_ELS_quasi,BS228&gt;Charge_ELS_freq,BT228&gt;charge_ELU,BU228&gt;charge_ELA,$B228&gt;NDC!$H$22-0.1+MIN(3*$BV$12,1.5)),0,1))</f>
        <v>#N/A</v>
      </c>
      <c r="BW228" s="86" t="b">
        <f t="shared" si="347"/>
        <v>0</v>
      </c>
      <c r="BX228" s="86">
        <f t="shared" si="348"/>
        <v>0.5</v>
      </c>
      <c r="BY228" s="86">
        <f t="shared" si="349"/>
        <v>0.5</v>
      </c>
      <c r="BZ228" s="30" t="e">
        <f t="shared" ca="1" si="380"/>
        <v>#DIV/0!</v>
      </c>
      <c r="CA228" s="85" t="e">
        <f ca="1">IF(BG228&lt;=Hypothèses!$V$7,Hypothèses!$W$7,IF(BG228&lt;=Hypothèses!$V$8,Hypothèses!$W$8,IF(BG228&lt;=Hypothèses!$V$9,Hypothèses!$W$9,IF(BG228&lt;=Hypothèses!$V$10,Hypothèses!$W$10,IF(BG228&lt;=Hypothèses!$V$11,Hypothèses!$W$11,IF(BG228&lt;=Hypothèses!$V$12,Hypothèses!$W$12,IF(BG228&lt;=Hypothèses!$V$13,Hypothèses!$W$13,IF(BG228&lt;=Hypothèses!$V$14,Hypothèses!$W$14,IF(BG228&lt;=Hypothèses!$V$15,Hypothèses!$W$15,IF(BG228&lt;=Hypothèses!$V$16,Hypothèses!$W$16,IF(BG228&lt;=Hypothèses!$V$17,Hypothèses!$W$17,IF(BG228&lt;=Hypothèses!$V$18,Hypothèses!$W$18,""))))))))))))</f>
        <v>#DIV/0!</v>
      </c>
      <c r="CB228" s="87" t="e">
        <f t="shared" ca="1" si="419"/>
        <v>#DIV/0!</v>
      </c>
      <c r="CC228" s="88" t="e">
        <f ca="1">IF(BG228&lt;=Hypothèses!$V$7,Hypothèses!$X$7,IF(BG228&lt;=Hypothèses!$V$8,Hypothèses!$X$8,IF(BG228&lt;=Hypothèses!$V$9,Hypothèses!$X$9,IF(BG228&lt;=Hypothèses!$V$10,Hypothèses!$X$10,IF(BG228&lt;=Hypothèses!$V$11,Hypothèses!$X$11,IF(BG228&lt;=Hypothèses!$V$12,Hypothèses!$X$12,IF(BG228&lt;=Hypothèses!$V$13,Hypothèses!$X$13,IF(BG228&lt;=Hypothèses!$V$14,Hypothèses!$X$14,IF(BG228&lt;=Hypothèses!$V$15,Hypothèses!$X$15,IF(BG228&lt;=Hypothèses!$V$16,Hypothèses!$X$16,IF(BG228&lt;=Hypothèses!$U$17,Hypothèses!$W$17,IF(BG228&lt;=Hypothèses!$U$18,Hypothèses!$W$18,""))))))))))))</f>
        <v>#DIV/0!</v>
      </c>
      <c r="CD228" s="95" t="e">
        <f t="shared" ca="1" si="381"/>
        <v>#DIV/0!</v>
      </c>
      <c r="CE228" s="101" t="e">
        <f t="shared" si="426"/>
        <v>#N/A</v>
      </c>
      <c r="CF228" s="91" t="e">
        <f t="shared" si="350"/>
        <v>#N/A</v>
      </c>
      <c r="CG228" s="30" t="e">
        <f t="shared" si="406"/>
        <v>#N/A</v>
      </c>
      <c r="CH228" s="30" t="e">
        <f t="shared" si="407"/>
        <v>#N/A</v>
      </c>
      <c r="CI228" s="31" t="e">
        <f>IF(OR(Hypothèses!$B$4=17,Hypothèses!$B$4=18,Hypothèses!$B$4=19,Hypothèses!$B$4=20),
IF($D228="Pressio.",
IF(OR($E228=3,$E228=1,$E228=4),CH228,CG228),
IF($D228="Pénétro.",
IF(OR($E228=3,$E228=1,$E228=4),CH228,CG228))),IF($D228="Pressio.",
IF($E228=3,CH228,CG228),
IF($D228="Pénétro.",
IF($E228=4,CH228,CG228))))</f>
        <v>#N/A</v>
      </c>
      <c r="CJ228" s="31" t="e">
        <f>(IF(OR(Hypothèses!$B$4=17,Hypothèses!$B$4=18,Hypothèses!$B$4=19,Hypothèses!$B$4=20),
IF($D228="Pressio.",
IF(OR($E228=3,$E228=1,$E228=4),(PI()*CJ$12^2)/4*(CF228*$W228*1000)/($H228*$B$5),(PI()*CJ$12^2)/4*(CF228*$W228*1000)/($G228*$B$5)),
IF($D228="Pénétro.",
IF(OR($E228=4,$E228=1,$E228=5),(PI()*CJ$12^2)/4*(CF228*$W228*1000)/($H228*$B$5),(PI()*CJ$12^2)/4*(CF228*$W228*1000)/($G228*$B$5)))),
IF($D228="Pressio.",
IF($E228=3,(PI()*CJ$12^2)/4*(CF228*$W228*1000)/($H228*$B$5),(PI()*CJ$12^2)/4*(CF228*$W228*1000)/($G228*$B$5)),
IF($D228="Pénétro.",
IF($E228=4,(PI()*CJ$12^2)/4*(CF228*$W228*1000)/($H228*$B$5),(PI()*CJ$12^2)/4*(CF228*$W228*1000)/($G228*$B$5))))))/10</f>
        <v>#N/A</v>
      </c>
      <c r="CK228" s="102" t="e">
        <f>(VLOOKUP($B$3,'Coeff EC7'!$T$39:$X$59,2,0)*CI228+VLOOKUP($B$3,'Coeff EC7'!$T$65:$X$85,2,0)*Model0.1C!CJ228)/1.1</f>
        <v>#N/A</v>
      </c>
      <c r="CL228" s="102" t="e">
        <f>(VLOOKUP($B$3,'Coeff EC7'!$T$39:$X$59,3,0)*CI228+VLOOKUP($B$3,'Coeff EC7'!$T$65:$X$85,3,0)*Model0.1C!CJ228)/0.9</f>
        <v>#N/A</v>
      </c>
      <c r="CM228" s="102" t="e">
        <f t="shared" si="382"/>
        <v>#N/A</v>
      </c>
      <c r="CN228" s="102" t="e">
        <f t="shared" si="383"/>
        <v>#N/A</v>
      </c>
      <c r="CO228" s="414" t="e">
        <f>IF(CO227=0,0,IF(AND(CK228&gt;charge_ELS_quasi,CL228&gt;Charge_ELS_freq,CM228&gt;charge_ELU,CN228&gt;charge_ELA,$B228&gt;NDC!$H$22-0.1+MIN(3*$CO$12,1.5)),0,1))</f>
        <v>#N/A</v>
      </c>
      <c r="CP228" s="86" t="b">
        <f t="shared" si="351"/>
        <v>0</v>
      </c>
      <c r="CQ228" s="86">
        <f t="shared" si="352"/>
        <v>0.5</v>
      </c>
      <c r="CR228" s="86">
        <f t="shared" si="353"/>
        <v>0.5</v>
      </c>
      <c r="CS228" s="30" t="e">
        <f t="shared" ca="1" si="384"/>
        <v>#DIV/0!</v>
      </c>
      <c r="CT228" s="85" t="e">
        <f ca="1">IF(BZ228&lt;=Hypothèses!$V$7,Hypothèses!$W$7,IF(BZ228&lt;=Hypothèses!$V$8,Hypothèses!$W$8,IF(BZ228&lt;=Hypothèses!$V$9,Hypothèses!$W$9,IF(BZ228&lt;=Hypothèses!$V$10,Hypothèses!$W$10,IF(BZ228&lt;=Hypothèses!$V$11,Hypothèses!$W$11,IF(BZ228&lt;=Hypothèses!$V$12,Hypothèses!$W$12,IF(BZ228&lt;=Hypothèses!$V$13,Hypothèses!$W$13,IF(BZ228&lt;=Hypothèses!$V$14,Hypothèses!$W$14,IF(BZ228&lt;=Hypothèses!$V$15,Hypothèses!$W$15,IF(BZ228&lt;=Hypothèses!$V$16,Hypothèses!$W$16,IF(BZ228&lt;=Hypothèses!$V$17,Hypothèses!$W$17,IF(BZ228&lt;=Hypothèses!$V$18,Hypothèses!$W$18,""))))))))))))</f>
        <v>#DIV/0!</v>
      </c>
      <c r="CU228" s="87" t="e">
        <f t="shared" ca="1" si="420"/>
        <v>#DIV/0!</v>
      </c>
      <c r="CV228" s="88" t="e">
        <f ca="1">IF(BZ228&lt;=Hypothèses!$V$7,Hypothèses!$X$7,IF(BZ228&lt;=Hypothèses!$V$8,Hypothèses!$X$8,IF(BZ228&lt;=Hypothèses!$V$9,Hypothèses!$X$9,IF(BZ228&lt;=Hypothèses!$V$10,Hypothèses!$X$10,IF(BZ228&lt;=Hypothèses!$V$11,Hypothèses!$X$11,IF(BZ228&lt;=Hypothèses!$V$12,Hypothèses!$X$12,IF(BZ228&lt;=Hypothèses!$V$13,Hypothèses!$X$13,IF(BZ228&lt;=Hypothèses!$V$14,Hypothèses!$X$14,IF(BZ228&lt;=Hypothèses!$V$15,Hypothèses!$X$15,IF(BZ228&lt;=Hypothèses!$V$16,Hypothèses!$X$16,IF(BZ228&lt;=Hypothèses!$U$17,Hypothèses!$W$17,IF(BZ228&lt;=Hypothèses!$U$18,Hypothèses!$W$18,""))))))))))))</f>
        <v>#DIV/0!</v>
      </c>
      <c r="CW228" s="95" t="e">
        <f t="shared" ca="1" si="385"/>
        <v>#DIV/0!</v>
      </c>
      <c r="CX228" s="101" t="e">
        <f t="shared" si="427"/>
        <v>#N/A</v>
      </c>
      <c r="CY228" s="91" t="e">
        <f t="shared" si="354"/>
        <v>#N/A</v>
      </c>
      <c r="CZ228" s="30" t="e">
        <f t="shared" si="408"/>
        <v>#N/A</v>
      </c>
      <c r="DA228" s="30" t="e">
        <f t="shared" si="409"/>
        <v>#N/A</v>
      </c>
      <c r="DB228" s="31" t="e">
        <f>IF(OR(Hypothèses!$B$4=17,Hypothèses!$B$4=18,Hypothèses!$B$4=19,Hypothèses!$B$4=20),
IF($D228="Pressio.",
IF(OR($E228=3,$E228=1,$E228=4),DA228,CZ228),
IF($D228="Pénétro.",
IF(OR($E228=3,$E228=1,$E228=4),DA228,CZ228))),IF($D228="Pressio.",
IF($E228=3,DA228,CZ228),
IF($D228="Pénétro.",
IF($E228=4,DA228,CZ228))))</f>
        <v>#N/A</v>
      </c>
      <c r="DC228" s="31" t="e">
        <f>(IF(OR(Hypothèses!$B$4=17,Hypothèses!$B$4=18,Hypothèses!$B$4=19,Hypothèses!$B$4=20),
IF($D228="Pressio.",
IF(OR($E228=3,$E228=1,$E228=4),(PI()*DC$12^2)/4*(CY228*$W228*1000)/($H228*$B$5),(PI()*DC$12^2)/4*(CY228*$W228*1000)/($G228*$B$5)),
IF($D228="Pénétro.",
IF(OR($E228=4,$E228=1,$E228=5),(PI()*DC$12^2)/4*(CY228*$W228*1000)/($H228*$B$5),(PI()*DC$12^2)/4*(CY228*$W228*1000)/($G228*$B$5)))),
IF($D228="Pressio.",
IF($E228=3,(PI()*DC$12^2)/4*(CY228*$W228*1000)/($H228*$B$5),(PI()*DC$12^2)/4*(CY228*$W228*1000)/($G228*$B$5)),
IF($D228="Pénétro.",
IF($E228=4,(PI()*DC$12^2)/4*(CY228*$W228*1000)/($H228*$B$5),(PI()*DC$12^2)/4*(CY228*$W228*1000)/($G228*$B$5))))))/10</f>
        <v>#N/A</v>
      </c>
      <c r="DD228" s="102" t="e">
        <f>(VLOOKUP($B$3,'Coeff EC7'!$T$39:$X$59,2,0)*DB228+VLOOKUP($B$3,'Coeff EC7'!$T$65:$X$85,2,0)*Model0.1C!DC228)/1.1</f>
        <v>#N/A</v>
      </c>
      <c r="DE228" s="102" t="e">
        <f>(VLOOKUP($B$3,'Coeff EC7'!$T$39:$X$59,3,0)*DB228+VLOOKUP($B$3,'Coeff EC7'!$T$65:$X$85,3,0)*Model0.1C!DC228)/0.9</f>
        <v>#N/A</v>
      </c>
      <c r="DF228" s="102" t="e">
        <f t="shared" si="386"/>
        <v>#N/A</v>
      </c>
      <c r="DG228" s="102" t="e">
        <f t="shared" si="387"/>
        <v>#N/A</v>
      </c>
      <c r="DH228" s="414" t="e">
        <f>IF(DH227=0,0,IF(AND(DD228&gt;charge_ELS_quasi,DE228&gt;Charge_ELS_freq,DF228&gt;charge_ELU,DG228&gt;charge_ELA,$B228&gt;NDC!$H$22-0.1+MIN(3*$DH$12,1.5)),0,1))</f>
        <v>#N/A</v>
      </c>
      <c r="DI228" s="86" t="b">
        <f t="shared" si="355"/>
        <v>0</v>
      </c>
      <c r="DJ228" s="86">
        <f t="shared" si="356"/>
        <v>0.5</v>
      </c>
      <c r="DK228" s="86">
        <f t="shared" si="357"/>
        <v>0.5</v>
      </c>
      <c r="DL228" s="30" t="e">
        <f t="shared" ca="1" si="388"/>
        <v>#DIV/0!</v>
      </c>
      <c r="DM228" s="85" t="e">
        <f ca="1">IF(CS228&lt;=Hypothèses!$V$7,Hypothèses!$W$7,IF(CS228&lt;=Hypothèses!$V$8,Hypothèses!$W$8,IF(CS228&lt;=Hypothèses!$V$9,Hypothèses!$W$9,IF(CS228&lt;=Hypothèses!$V$10,Hypothèses!$W$10,IF(CS228&lt;=Hypothèses!$V$11,Hypothèses!$W$11,IF(CS228&lt;=Hypothèses!$V$12,Hypothèses!$W$12,IF(CS228&lt;=Hypothèses!$V$13,Hypothèses!$W$13,IF(CS228&lt;=Hypothèses!$V$14,Hypothèses!$W$14,IF(CS228&lt;=Hypothèses!$V$15,Hypothèses!$W$15,IF(CS228&lt;=Hypothèses!$V$16,Hypothèses!$W$16,IF(CS228&lt;=Hypothèses!$V$17,Hypothèses!$W$17,IF(CS228&lt;=Hypothèses!$V$18,Hypothèses!$W$18,""))))))))))))</f>
        <v>#DIV/0!</v>
      </c>
      <c r="DN228" s="87" t="e">
        <f t="shared" ca="1" si="421"/>
        <v>#DIV/0!</v>
      </c>
      <c r="DO228" s="88" t="e">
        <f ca="1">IF(CS228&lt;=Hypothèses!$V$7,Hypothèses!$X$7,IF(CS228&lt;=Hypothèses!$V$8,Hypothèses!$X$8,IF(CS228&lt;=Hypothèses!$V$9,Hypothèses!$X$9,IF(CS228&lt;=Hypothèses!$V$10,Hypothèses!$X$10,IF(CS228&lt;=Hypothèses!$V$11,Hypothèses!$X$11,IF(CS228&lt;=Hypothèses!$V$12,Hypothèses!$X$12,IF(CS228&lt;=Hypothèses!$V$13,Hypothèses!$X$13,IF(CS228&lt;=Hypothèses!$V$14,Hypothèses!$X$14,IF(CS228&lt;=Hypothèses!$V$15,Hypothèses!$X$15,IF(CS228&lt;=Hypothèses!$V$16,Hypothèses!$X$16,IF(CS228&lt;=Hypothèses!$U$17,Hypothèses!$W$17,IF(CS228&lt;=Hypothèses!$U$18,Hypothèses!$W$18,""))))))))))))</f>
        <v>#DIV/0!</v>
      </c>
      <c r="DP228" s="95" t="e">
        <f t="shared" ca="1" si="389"/>
        <v>#DIV/0!</v>
      </c>
      <c r="DQ228" s="101" t="e">
        <f t="shared" si="428"/>
        <v>#N/A</v>
      </c>
      <c r="DR228" s="91" t="e">
        <f t="shared" si="358"/>
        <v>#N/A</v>
      </c>
      <c r="DS228" s="30" t="e">
        <f t="shared" si="410"/>
        <v>#N/A</v>
      </c>
      <c r="DT228" s="30" t="e">
        <f t="shared" si="411"/>
        <v>#N/A</v>
      </c>
      <c r="DU228" s="31" t="e">
        <f>IF(OR(Hypothèses!$B$4=17,Hypothèses!$B$4=18,Hypothèses!$B$4=19,Hypothèses!$B$4=20),
IF($D228="Pressio.",
IF(OR($E228=3,$E228=1,$E228=4),DT228,DS228),
IF($D228="Pénétro.",
IF(OR($E228=3,$E228=1,$E228=4),DT228,DS228))),IF($D228="Pressio.",
IF($E228=3,DT228,DS228),
IF($D228="Pénétro.",
IF($E228=4,DT228,DS228))))</f>
        <v>#N/A</v>
      </c>
      <c r="DV228" s="31" t="e">
        <f>(IF(OR(Hypothèses!$B$4=17,Hypothèses!$B$4=18,Hypothèses!$B$4=19,Hypothèses!$B$4=20),
IF($D228="Pressio.",
IF(OR($E228=3,$E228=1,$E228=4),(PI()*DV$12^2)/4*(DR228*$W228*1000)/($H228*$B$5),(PI()*DV$12^2)/4*(DR228*$W228*1000)/($G228*$B$5)),
IF($D228="Pénétro.",
IF(OR($E228=4,$E228=1,$E228=5),(PI()*DV$12^2)/4*(DR228*$W228*1000)/($H228*$B$5),(PI()*DV$12^2)/4*(DR228*$W228*1000)/($G228*$B$5)))),
IF($D228="Pressio.",
IF($E228=3,(PI()*DV$12^2)/4*(DR228*$W228*1000)/($H228*$B$5),(PI()*DV$12^2)/4*(DR228*$W228*1000)/($G228*$B$5)),
IF($D228="Pénétro.",
IF($E228=4,(PI()*DV$12^2)/4*(DR228*$W228*1000)/($H228*$B$5),(PI()*DV$12^2)/4*(DR228*$W228*1000)/($G228*$B$5))))))/10</f>
        <v>#N/A</v>
      </c>
      <c r="DW228" s="102" t="e">
        <f>(VLOOKUP($B$3,'Coeff EC7'!$T$39:$X$59,2,0)*DU228+VLOOKUP($B$3,'Coeff EC7'!$T$65:$X$85,2,0)*Model0.1C!DV228)/1.1</f>
        <v>#N/A</v>
      </c>
      <c r="DX228" s="102" t="e">
        <f>(VLOOKUP($B$3,'Coeff EC7'!$T$39:$X$59,3,0)*DU228+VLOOKUP($B$3,'Coeff EC7'!$T$65:$X$85,3,0)*Model0.1C!DV228)/0.9</f>
        <v>#N/A</v>
      </c>
      <c r="DY228" s="102" t="e">
        <f t="shared" si="390"/>
        <v>#N/A</v>
      </c>
      <c r="DZ228" s="102" t="e">
        <f t="shared" si="391"/>
        <v>#N/A</v>
      </c>
      <c r="EA228" s="414" t="e">
        <f>IF(EA227=0,0,IF(AND(DW228&gt;charge_ELS_quasi,DX228&gt;Charge_ELS_freq,DY228&gt;charge_ELU,DZ228&gt;charge_ELA,$B228&gt;NDC!$H$22-0.1+MIN(3*$EA$12,1.5)),0,1))</f>
        <v>#N/A</v>
      </c>
      <c r="EB228" s="86" t="b">
        <f t="shared" si="359"/>
        <v>0</v>
      </c>
      <c r="EC228" s="418">
        <f t="shared" si="360"/>
        <v>0.51</v>
      </c>
      <c r="ED228" s="86">
        <f t="shared" si="361"/>
        <v>0.51</v>
      </c>
      <c r="EE228" s="30" t="e">
        <f t="shared" ca="1" si="392"/>
        <v>#DIV/0!</v>
      </c>
      <c r="EF228" s="85" t="e">
        <f ca="1">IF(DL228&lt;=Hypothèses!$V$7,Hypothèses!$W$7,IF(DL228&lt;=Hypothèses!$V$8,Hypothèses!$W$8,IF(DL228&lt;=Hypothèses!$V$9,Hypothèses!$W$9,IF(DL228&lt;=Hypothèses!$V$10,Hypothèses!$W$10,IF(DL228&lt;=Hypothèses!$V$11,Hypothèses!$W$11,IF(DL228&lt;=Hypothèses!$V$12,Hypothèses!$W$12,IF(DL228&lt;=Hypothèses!$V$13,Hypothèses!$W$13,IF(DL228&lt;=Hypothèses!$V$14,Hypothèses!$W$14,IF(DL228&lt;=Hypothèses!$V$15,Hypothèses!$W$15,IF(DL228&lt;=Hypothèses!$V$16,Hypothèses!$W$16,IF(DL228&lt;=Hypothèses!$V$17,Hypothèses!$W$17,IF(DL228&lt;=Hypothèses!$V$18,Hypothèses!$W$18,""))))))))))))</f>
        <v>#DIV/0!</v>
      </c>
      <c r="EG228" s="87" t="e">
        <f t="shared" ca="1" si="422"/>
        <v>#DIV/0!</v>
      </c>
      <c r="EH228" s="88" t="e">
        <f ca="1">IF(DL228&lt;=Hypothèses!$V$7,Hypothèses!$X$7,IF(DL228&lt;=Hypothèses!$V$8,Hypothèses!$X$8,IF(DL228&lt;=Hypothèses!$V$9,Hypothèses!$X$9,IF(DL228&lt;=Hypothèses!$V$10,Hypothèses!$X$10,IF(DL228&lt;=Hypothèses!$V$11,Hypothèses!$X$11,IF(DL228&lt;=Hypothèses!$V$12,Hypothèses!$X$12,IF(DL228&lt;=Hypothèses!$V$13,Hypothèses!$X$13,IF(DL228&lt;=Hypothèses!$V$14,Hypothèses!$X$14,IF(DL228&lt;=Hypothèses!$V$15,Hypothèses!$X$15,IF(DL228&lt;=Hypothèses!$V$16,Hypothèses!$X$16,IF(DL228&lt;=Hypothèses!$U$17,Hypothèses!$W$17,IF(DL228&lt;=Hypothèses!$U$18,Hypothèses!$W$18,""))))))))))))</f>
        <v>#DIV/0!</v>
      </c>
      <c r="EI228" s="95" t="e">
        <f t="shared" ca="1" si="393"/>
        <v>#DIV/0!</v>
      </c>
      <c r="EJ228" s="101" t="e">
        <f t="shared" si="429"/>
        <v>#N/A</v>
      </c>
      <c r="EK228" s="91" t="e">
        <f t="shared" si="362"/>
        <v>#N/A</v>
      </c>
      <c r="EL228" s="30" t="e">
        <f t="shared" si="412"/>
        <v>#N/A</v>
      </c>
      <c r="EM228" s="30" t="e">
        <f t="shared" si="413"/>
        <v>#N/A</v>
      </c>
      <c r="EN228" s="31" t="e">
        <f>IF(OR(Hypothèses!$B$4=17,Hypothèses!$B$4=18,Hypothèses!$B$4=19,Hypothèses!$B$4=20),
IF($D228="Pressio.",
IF(OR($E228=3,$E228=1,$E228=4),EM228,EL228),
IF($D228="Pénétro.",
IF(OR($E228=3,$E228=1,$E228=4),EM228,EL228))),IF($D228="Pressio.",
IF($E228=3,EM228,EL228),
IF($D228="Pénétro.",
IF($E228=4,EM228,EL228))))</f>
        <v>#N/A</v>
      </c>
      <c r="EO228" s="31" t="e">
        <f>(IF(OR(Hypothèses!$B$4=17,Hypothèses!$B$4=18,Hypothèses!$B$4=19,Hypothèses!$B$4=20),
IF($D228="Pressio.",
IF(OR($E228=3,$E228=1,$E228=4),(PI()*EO$12^2)/4*(EK228*$W228*1000)/($H228*$B$5),(PI()*EO$12^2)/4*(EK228*$W228*1000)/($G228*$B$5)),
IF($D228="Pénétro.",
IF(OR($E228=4,$E228=1,$E228=5),(PI()*EO$12^2)/4*(EK228*$W228*1000)/($H228*$B$5),(PI()*EO$12^2)/4*(EK228*$W228*1000)/($G228*$B$5)))),
IF($D228="Pressio.",
IF($E228=3,(PI()*EO$12^2)/4*(EK228*$W228*1000)/($H228*$B$5),(PI()*EO$12^2)/4*(EK228*$W228*1000)/($G228*$B$5)),
IF($D228="Pénétro.",
IF($E228=4,(PI()*EO$12^2)/4*(EK228*$W228*1000)/($H228*$B$5),(PI()*EO$12^2)/4*(EK228*$W228*1000)/($G228*$B$5))))))/10</f>
        <v>#N/A</v>
      </c>
      <c r="EP228" s="102" t="e">
        <f>(VLOOKUP($B$3,'Coeff EC7'!$T$39:$X$59,2,0)*EN228+VLOOKUP($B$3,'Coeff EC7'!$T$65:$X$85,2,0)*Model0.1C!EO228)/1.1</f>
        <v>#N/A</v>
      </c>
      <c r="EQ228" s="102" t="e">
        <f>(VLOOKUP($B$3,'Coeff EC7'!$T$39:$X$59,3,0)*EN228+VLOOKUP($B$3,'Coeff EC7'!$T$65:$X$85,3,0)*Model0.1C!EO228)/0.9</f>
        <v>#N/A</v>
      </c>
      <c r="ER228" s="102" t="e">
        <f t="shared" si="394"/>
        <v>#N/A</v>
      </c>
      <c r="ES228" s="102" t="e">
        <f t="shared" si="395"/>
        <v>#N/A</v>
      </c>
      <c r="ET228" s="414" t="e">
        <f>IF(ET227=0,0,IF(AND(EP228&gt;charge_ELS_quasi,EQ228&gt;Charge_ELS_freq,ER228&gt;charge_ELU,ES228&gt;charge_ELA,$B228&gt;NDC!$H$22-0.1+MIN(3*$ET$12,1.5)),0,1))</f>
        <v>#N/A</v>
      </c>
      <c r="EU228" s="86" t="b">
        <f t="shared" si="363"/>
        <v>0</v>
      </c>
      <c r="EV228" s="86">
        <f t="shared" si="364"/>
        <v>0.61</v>
      </c>
      <c r="EW228" s="86">
        <f t="shared" si="365"/>
        <v>0.61</v>
      </c>
      <c r="EX228" s="30" t="e">
        <f t="shared" ca="1" si="396"/>
        <v>#DIV/0!</v>
      </c>
      <c r="EY228" s="85" t="e">
        <f ca="1">IF(EE228&lt;=Hypothèses!$V$7,Hypothèses!$W$7,IF(EE228&lt;=Hypothèses!$V$8,Hypothèses!$W$8,IF(EE228&lt;=Hypothèses!$V$9,Hypothèses!$W$9,IF(EE228&lt;=Hypothèses!$V$10,Hypothèses!$W$10,IF(EE228&lt;=Hypothèses!$V$11,Hypothèses!$W$11,IF(EE228&lt;=Hypothèses!$V$12,Hypothèses!$W$12,IF(EE228&lt;=Hypothèses!$V$13,Hypothèses!$W$13,IF(EE228&lt;=Hypothèses!$V$14,Hypothèses!$W$14,IF(EE228&lt;=Hypothèses!$V$15,Hypothèses!$W$15,IF(EE228&lt;=Hypothèses!$V$16,Hypothèses!$W$16,IF(EE228&lt;=Hypothèses!$V$17,Hypothèses!$W$17,IF(EE228&lt;=Hypothèses!$V$18,Hypothèses!$W$18,""))))))))))))</f>
        <v>#DIV/0!</v>
      </c>
      <c r="EZ228" s="87" t="e">
        <f t="shared" ca="1" si="423"/>
        <v>#DIV/0!</v>
      </c>
      <c r="FA228" s="88" t="e">
        <f ca="1">IF(EE228&lt;=Hypothèses!$V$7,Hypothèses!$X$7,IF(EE228&lt;=Hypothèses!$V$8,Hypothèses!$X$8,IF(EE228&lt;=Hypothèses!$V$9,Hypothèses!$X$9,IF(EE228&lt;=Hypothèses!$V$10,Hypothèses!$X$10,IF(EE228&lt;=Hypothèses!$V$11,Hypothèses!$X$11,IF(EE228&lt;=Hypothèses!$V$12,Hypothèses!$X$12,IF(EE228&lt;=Hypothèses!$V$13,Hypothèses!$X$13,IF(EE228&lt;=Hypothèses!$V$14,Hypothèses!$X$14,IF(EE228&lt;=Hypothèses!$V$15,Hypothèses!$X$15,IF(EE228&lt;=Hypothèses!$V$16,Hypothèses!$X$16,IF(EE228&lt;=Hypothèses!$U$17,Hypothèses!$W$17,IF(EE228&lt;=Hypothèses!$U$18,Hypothèses!$W$18,""))))))))))))</f>
        <v>#DIV/0!</v>
      </c>
      <c r="FB228" s="95" t="e">
        <f t="shared" ca="1" si="397"/>
        <v>#DIV/0!</v>
      </c>
      <c r="FC228" s="101" t="e">
        <f t="shared" si="430"/>
        <v>#N/A</v>
      </c>
      <c r="FD228" s="91" t="e">
        <f t="shared" si="366"/>
        <v>#N/A</v>
      </c>
      <c r="FE228" s="30" t="e">
        <f t="shared" si="414"/>
        <v>#N/A</v>
      </c>
      <c r="FF228" s="30" t="e">
        <f t="shared" si="415"/>
        <v>#N/A</v>
      </c>
      <c r="FG228" s="31" t="e">
        <f>IF(OR(Hypothèses!$B$4=17,Hypothèses!$B$4=18,Hypothèses!$B$4=19,Hypothèses!$B$4=20),
IF($D228="Pressio.",
IF(OR($E228=3,$E228=1,$E228=4),FF228,FE228),
IF($D228="Pénétro.",
IF(OR($E228=3,$E228=1,$E228=4),FF228,FE228))),IF($D228="Pressio.",
IF($E228=3,FF228,FE228),
IF($D228="Pénétro.",
IF($E228=4,FF228,FE228))))</f>
        <v>#N/A</v>
      </c>
      <c r="FH228" s="31" t="e">
        <f>(IF(OR(Hypothèses!$B$4=17,Hypothèses!$B$4=18,Hypothèses!$B$4=19,Hypothèses!$B$4=20),
IF($D228="Pressio.",
IF(OR($E228=3,$E228=1,$E228=4),(PI()*FH$12^2)/4*(FD228*$W228*1000)/($H228*$B$5),(PI()*FH$12^2)/4*(FD228*$W228*1000)/($G228*$B$5)),
IF($D228="Pénétro.",
IF(OR($E228=4,$E228=1,$E228=5),(PI()*FH$12^2)/4*(FD228*$W228*1000)/($H228*$B$5),(PI()*FH$12^2)/4*(FD228*$W228*1000)/($G228*$B$5)))),
IF($D228="Pressio.",
IF($E228=3,(PI()*FH$12^2)/4*(FD228*$W228*1000)/($H228*$B$5),(PI()*FH$12^2)/4*(FD228*$W228*1000)/($G228*$B$5)),
IF($D228="Pénétro.",
IF($E228=4,(PI()*FH$12^2)/4*(FD228*$W228*1000)/($H228*$B$5),(PI()*FH$12^2)/4*(FD228*$W228*1000)/($G228*$B$5))))))/10</f>
        <v>#N/A</v>
      </c>
      <c r="FI228" s="102" t="e">
        <f>(VLOOKUP($B$3,'Coeff EC7'!$T$39:$X$59,2,0)*FG228+VLOOKUP($B$3,'Coeff EC7'!$T$65:$X$85,2,0)*Model0.1C!FH228)/1.1</f>
        <v>#N/A</v>
      </c>
      <c r="FJ228" s="102" t="e">
        <f>(VLOOKUP($B$3,'Coeff EC7'!$T$39:$X$59,3,0)*FG228+VLOOKUP($B$3,'Coeff EC7'!$T$65:$X$85,3,0)*Model0.1C!FH228)/0.9</f>
        <v>#N/A</v>
      </c>
      <c r="FK228" s="102" t="e">
        <f t="shared" si="398"/>
        <v>#N/A</v>
      </c>
      <c r="FL228" s="102" t="e">
        <f t="shared" si="399"/>
        <v>#N/A</v>
      </c>
      <c r="FM228" s="414" t="e">
        <f>IF(FM227=0,0,IF(AND(FI228&gt;charge_ELS_quasi,FJ228&gt;Charge_ELS_freq,FK228&gt;charge_ELU,FL228&gt;charge_ELA,$B228&gt;NDC!$H$22-0.1+MIN(3*$FM$12,1.5)),0,1))</f>
        <v>#N/A</v>
      </c>
    </row>
    <row r="229" spans="1:169">
      <c r="A229" s="96">
        <f t="shared" si="367"/>
        <v>78.400000000001228</v>
      </c>
      <c r="B229" s="97">
        <v>21.6</v>
      </c>
      <c r="C229" s="81">
        <f>IF(B229&lt;=Hypothèses!$C$7,Hypothèses!$A$7,IF(B229&lt;=Hypothèses!$C$8,Hypothèses!$A$8,IF(B229&lt;=Hypothèses!$C$9,Hypothèses!$A$9,IF(B229&lt;=Hypothèses!$C$10,Hypothèses!$A$10,IF(B229&lt;=Hypothèses!$C$11,Hypothèses!$A$11,IF(B229&lt;=Hypothèses!$C$12,Hypothèses!$A$12,IF(B229&lt;=Hypothèses!$C$13,Hypothèses!$A$13,IF(B229&lt;=Hypothèses!$C$14,Hypothèses!$A$14,IF(B229&lt;=Hypothèses!$C$15,Hypothèses!$A$15,IF(B229&lt;=Hypothèses!$C$16,Hypothèses!$A$16,IF(B229&lt;=Hypothèses!$C$17,Hypothèses!$A$17,IF(B229&lt;=Hypothèses!$C$18,Hypothèses!$A$18,C228))))))))))))</f>
        <v>11</v>
      </c>
      <c r="D229" s="82" t="str">
        <f>IF(B229&lt;=Hypothèses!$C$7,Hypothèses!$R$7,IF(B229&lt;=Hypothèses!$C$8,Hypothèses!$R$8,IF(B229&lt;=Hypothèses!$C$9,Hypothèses!$R$9,IF(B229&lt;=Hypothèses!$C$10,Hypothèses!$R$10,IF(B229&lt;=Hypothèses!$C$11,Hypothèses!$R$11,IF(B229&lt;=Hypothèses!$C$12,Hypothèses!$R$12,IF(B229&lt;=Hypothèses!$C$13,Hypothèses!$R$13,IF(B229&lt;=Hypothèses!$C$14,Hypothèses!$R$14,IF(B229&lt;=Hypothèses!$C$15,Hypothèses!$R$15,IF(B229&lt;=Hypothèses!$C$16,Hypothèses!$R$16,IF(B229&lt;=Hypothèses!$C$17,Hypothèses!$R$17,IF(B229&lt;=Hypothèses!$C$18,Hypothèses!$R$18,D228))))))))))))</f>
        <v>Pressio.</v>
      </c>
      <c r="E229" s="82" t="e">
        <f>IF(B229&lt;=Hypothèses!$C$7,Hypothèses!$G$7,IF(B229&lt;=Hypothèses!$C$8,Hypothèses!$G$8,IF(B229&lt;=Hypothèses!$C$9,Hypothèses!$G$9,IF(B229&lt;=Hypothèses!$C$10,Hypothèses!$G$10,IF(B229&lt;=Hypothèses!$C$11,Hypothèses!$G$11,IF(B229&lt;=Hypothèses!$C$12,Hypothèses!$G$12,IF(B229&lt;=Hypothèses!$C$13,Hypothèses!$G$13,IF(B229&lt;=Hypothèses!$C$14,Hypothèses!$G$14,IF(B229&lt;=Hypothèses!$C$15,Hypothèses!$G$15,IF(B229&lt;=Hypothèses!$C$16,Hypothèses!$G$16,IF(B229&lt;=Hypothèses!$C$17,Hypothèses!$G$17,IF(B229&lt;=Hypothèses!$C$18,Hypothèses!$G$18,E228))))))))))))</f>
        <v>#N/A</v>
      </c>
      <c r="F229" s="82" t="str">
        <f>IF(B229&lt;=Hypothèses!$C$7,Hypothèses!$F$7,IF(B229&lt;=Hypothèses!$C$8,Hypothèses!$F$8,IF(B229&lt;=Hypothèses!$C$9,Hypothèses!$F$9,IF(B229&lt;=Hypothèses!$C$10,Hypothèses!$F$10,IF(B229&lt;=Hypothèses!$C$11,Hypothèses!$F$11,IF(B229&lt;=Hypothèses!$C$12,Hypothèses!$F$12,IF(B229&lt;=Hypothèses!$C$13,Hypothèses!$F$13,IF(B229&lt;=Hypothèses!$C$14,Hypothèses!$F$14,IF(B229&lt;=Hypothèses!$C$15,Hypothèses!$F$15,IF(B229&lt;=Hypothèses!$C$16,Hypothèses!$F$16,IF(B229&lt;=Hypothèses!$C$17,Hypothèses!$F$17,IF(B229&lt;=Hypothèses!$C$18,Hypothèses!$F$18,F228))))))))))))</f>
        <v/>
      </c>
      <c r="G229" s="91">
        <f t="array" ref="G229">INDEX('Coeff EC7'!$U$7:$X$27,
MATCH(Model0.1C!$B$3,'Coeff EC7'!$T$7:$T$27,0),
MATCH(Model0.1C!$D229&amp;Model0.1C!$B$4,
'Coeff EC7'!$U$6:$X$6&amp;
'Coeff EC7'!$U$5:$X$5,0))</f>
        <v>1.1499999999999999</v>
      </c>
      <c r="H229" s="91">
        <f t="array" ref="H229">INDEX('Coeff EC7'!$Y$7:$AB$27,
MATCH(Model0.1C!$B$3,'Coeff EC7'!$T$7:$T$27,0),
MATCH(Model0.1C!$D229&amp;Model0.1C!$B$4,
'Coeff EC7'!$Y$6:$AB$6&amp;
'Coeff EC7'!$Y$5:$AB$5,0))</f>
        <v>1.4</v>
      </c>
      <c r="I229" s="83" t="e">
        <f>IF(B229&lt;=Hypothèses!$C$7,Hypothèses!$P$7,IF(B229&lt;=Hypothèses!$C$8,Hypothèses!$P$8,IF(B229&lt;=Hypothèses!$C$9,Hypothèses!$P$9,IF(B229&lt;=Hypothèses!$C$10,Hypothèses!$P$10,IF(B229&lt;=Hypothèses!$C$11,Hypothèses!$P$11,IF(B229&lt;=Hypothèses!$C$12,Hypothèses!$P$12,IF(B229&lt;=Hypothèses!$C$13,Hypothèses!$P$13,IF(B229&lt;=Hypothèses!$C$14,Hypothèses!$P$14,IF(B229&lt;=Hypothèses!$C$15,Hypothèses!$P$15,IF(B229&lt;=Hypothèses!$C$16,Hypothèses!$P$16,IF(B229&lt;=Hypothèses!$C$17,Hypothèses!$P$17,IF(B229&lt;=Hypothèses!$C$18,Hypothèses!$P$18,I228))))))))))))</f>
        <v>#N/A</v>
      </c>
      <c r="J229" s="91" t="e">
        <f t="array" ref="J229">INDEX('Coeff EC7'!$D$33:$Q$33,1,MATCH(D229&amp;E229,'Coeff EC7'!$D$31:$Q$31&amp;'Coeff EC7'!$D$32:$Q$32,0))</f>
        <v>#N/A</v>
      </c>
      <c r="K229" s="91" t="e">
        <f t="array" ref="K229">INDEX('Coeff EC7'!$D$34:$Q$34,1,MATCH(D229&amp;E229,'Coeff EC7'!$D$31:$Q$31&amp;'Coeff EC7'!$D$32:$Q$32,0))</f>
        <v>#N/A</v>
      </c>
      <c r="L229" s="91" t="e">
        <f t="array" ref="L229">INDEX('Coeff EC7'!$D$35:$Q$35,1,MATCH(D229&amp;E229,'Coeff EC7'!$D$31:$Q$31&amp;'Coeff EC7'!$D$32:$Q$32,0))</f>
        <v>#N/A</v>
      </c>
      <c r="M229" s="98" t="e">
        <f t="shared" si="331"/>
        <v>#N/A</v>
      </c>
      <c r="N229" s="99" t="e">
        <f t="array" ref="N229">INDEX('Coeff EC7'!$D$7:$Q$27,MATCH($B$3,'Coeff EC7'!$C$7:$C$27,0),MATCH(D229&amp;E229,'Coeff EC7'!$D$5:$Q$5&amp;'Coeff EC7'!$D$6:$Q$6,0))</f>
        <v>#N/A</v>
      </c>
      <c r="O229" s="99" t="e">
        <f t="array" ref="O229">INDEX('Coeff EC7'!$D$41:$Q$61,MATCH($B$3,'Coeff EC7'!$C$41:$C$61,0),MATCH(D229&amp;E229,'Coeff EC7'!$D$39:$Q$39&amp;'Coeff EC7'!$D$40:$Q$40,0))</f>
        <v>#N/A</v>
      </c>
      <c r="P229" s="30" t="e">
        <f t="shared" si="368"/>
        <v>#N/A</v>
      </c>
      <c r="Q229" s="100" t="e">
        <f t="shared" si="333"/>
        <v>#N/A</v>
      </c>
      <c r="R229" s="86" t="b">
        <f t="shared" si="334"/>
        <v>0</v>
      </c>
      <c r="S229" s="86">
        <f t="shared" si="332"/>
        <v>0.5</v>
      </c>
      <c r="T229" s="86">
        <f t="shared" si="335"/>
        <v>0.5</v>
      </c>
      <c r="U229" s="30" t="e">
        <f t="shared" ca="1" si="369"/>
        <v>#DIV/0!</v>
      </c>
      <c r="V229" s="85" t="str">
        <f>IF(B229&lt;=Hypothèses!$V$7,Hypothèses!$W$7,IF(B229&lt;=Hypothèses!$V$8,Hypothèses!$W$8,IF(B229&lt;=Hypothèses!$V$9,Hypothèses!$W$9,IF(B229&lt;=Hypothèses!$V$10,Hypothèses!$W$10,IF(B229&lt;=Hypothèses!$V$11,Hypothèses!$W$11,IF(B229&lt;=Hypothèses!$V$12,Hypothèses!$W$12,IF(B229&lt;=Hypothèses!$V$13,Hypothèses!$W$13,IF(B229&lt;=Hypothèses!$V$14,Hypothèses!$W$14,IF(B229&lt;=Hypothèses!$V$15,Hypothèses!$W$15,IF(B229&lt;=Hypothèses!$V$16,Hypothèses!$W$16,IF(B229&lt;=Hypothèses!$V$17,Hypothèses!$W$17,IF(B229&lt;=Hypothèses!$V$18,Hypothèses!$W$18,""))))))))))))</f>
        <v/>
      </c>
      <c r="W229" s="87" t="e">
        <f t="shared" ca="1" si="416"/>
        <v>#DIV/0!</v>
      </c>
      <c r="X229" s="88" t="str">
        <f>IF(B229&lt;=Hypothèses!$V$7,Hypothèses!$X$7,IF(B229&lt;=Hypothèses!$V$8,Hypothèses!$X$8,IF(B229&lt;=Hypothèses!$V$9,Hypothèses!$X$9,IF(B229&lt;=Hypothèses!$V$10,Hypothèses!$X$10,IF(B229&lt;=Hypothèses!$V$11,Hypothèses!$X$11,IF(B229&lt;=Hypothèses!$V$12,Hypothèses!$X$12,IF(B229&lt;=Hypothèses!$V$13,Hypothèses!$X$13,IF(B229&lt;=Hypothèses!$V$14,Hypothèses!$X$14,IF(B229&lt;=Hypothèses!$V$15,Hypothèses!$X$15,IF(B229&lt;=Hypothèses!$V$16,Hypothèses!$X$16,IF(B229&lt;=Hypothèses!$U$17,Hypothèses!$W$17,IF(B229&lt;=Hypothèses!$U$18,Hypothèses!$W$18,""))))))))))))</f>
        <v/>
      </c>
      <c r="Y229" s="95" t="e">
        <f t="shared" ca="1" si="336"/>
        <v>#DIV/0!</v>
      </c>
      <c r="Z229" s="101" t="e">
        <f t="shared" si="337"/>
        <v>#N/A</v>
      </c>
      <c r="AA229" s="91" t="e">
        <f t="shared" si="338"/>
        <v>#N/A</v>
      </c>
      <c r="AB229" s="30" t="e">
        <f t="shared" si="400"/>
        <v>#N/A</v>
      </c>
      <c r="AC229" s="30" t="e">
        <f t="shared" si="401"/>
        <v>#N/A</v>
      </c>
      <c r="AD229" s="31" t="e">
        <f>IF(OR(Hypothèses!$B$4=17,Hypothèses!$B$4=18,Hypothèses!$B$4=19,Hypothèses!$B$4=20),
IF($D229="Pressio.",
IF(OR($E229=3,$E229=1,$E229=4),AC229,AB229),
IF($D229="Pénétro.",
IF(OR($E229=3,$E229=1,$E229=4),AC229,AB229))),IF($D229="Pressio.",
IF($E229=3,AC229,AB229),
IF($D229="Pénétro.",
IF($E229=4,AC229,AB229))))</f>
        <v>#N/A</v>
      </c>
      <c r="AE229" s="31" t="e">
        <f>(IF(OR(Hypothèses!$B$4=17,Hypothèses!$B$4=18,Hypothèses!$B$4=19,Hypothèses!$B$4=20),
IF($D229="Pressio.",
IF(OR($E229=3,$E229=1,$E229=4),(PI()*AE$12^2)/4*(AA229*$W229*1000)/($H229*$B$5),(PI()*AE$12^2)/4*(AA229*$W229*1000)/($G229*$B$5)),
IF($D229="Pénétro.",
IF(OR($E229=4,$E229=1,$E229=5),(PI()*AE$12^2)/4*(AA229*$W229*1000)/($H229*$B$5),(PI()*AE$12^2)/4*(AA229*$W229*1000)/($G229*$B$5)))),
IF($D229="Pressio.",
IF($E229=3,(PI()*AE$12^2)/4*(AA229*$W229*1000)/($H229*$B$5),(PI()*AE$12^2)/4*(AA229*$W229*1000)/($G229*$B$5)),
IF($D229="Pénétro.",
IF($E229=4,(PI()*AE$12^2)/4*(AA229*$W229*1000)/($H229*$B$5),(PI()*AE$12^2)/4*(AA229*$W229*1000)/($G229*$B$5))))))/10</f>
        <v>#N/A</v>
      </c>
      <c r="AF229" s="102" t="e">
        <f>(VLOOKUP($B$3,'Coeff EC7'!$T$39:$X$59,2,0)*AD229+VLOOKUP($B$3,'Coeff EC7'!$T$65:$X$85,2,0)*Model0.1C!AE229)/1.1</f>
        <v>#N/A</v>
      </c>
      <c r="AG229" s="102" t="e">
        <f>(VLOOKUP($B$3,'Coeff EC7'!$T$39:$X$59,3,0)*AD229+VLOOKUP($B$3,'Coeff EC7'!$T$65:$X$85,3,0)*Model0.1C!AE229)/0.9</f>
        <v>#N/A</v>
      </c>
      <c r="AH229" s="102" t="e">
        <f t="shared" si="339"/>
        <v>#N/A</v>
      </c>
      <c r="AI229" s="102" t="e">
        <f t="shared" si="340"/>
        <v>#N/A</v>
      </c>
      <c r="AJ229" s="414" t="e">
        <f>IF(AJ228=0,0,IF(AND(AF229&gt;charge_ELS_quasi,AG229&gt;Charge_ELS_freq,AH229&gt;charge_ELU,AI229&gt;charge_ELA,$B229&gt;NDC!$H$22-0.1+MIN(3*$AJ$12,1.5)),0,1))</f>
        <v>#N/A</v>
      </c>
      <c r="AK229" s="86" t="b">
        <f t="shared" si="341"/>
        <v>0</v>
      </c>
      <c r="AL229" s="86">
        <f t="shared" si="370"/>
        <v>0.5</v>
      </c>
      <c r="AM229" s="86">
        <f t="shared" si="342"/>
        <v>0.5</v>
      </c>
      <c r="AN229" s="30" t="e">
        <f t="shared" ca="1" si="371"/>
        <v>#DIV/0!</v>
      </c>
      <c r="AO229" s="85" t="e">
        <f ca="1">IF(U229&lt;=Hypothèses!$V$7,Hypothèses!$W$7,IF(U229&lt;=Hypothèses!$V$8,Hypothèses!$W$8,IF(U229&lt;=Hypothèses!$V$9,Hypothèses!$W$9,IF(U229&lt;=Hypothèses!$V$10,Hypothèses!$W$10,IF(U229&lt;=Hypothèses!$V$11,Hypothèses!$W$11,IF(U229&lt;=Hypothèses!$V$12,Hypothèses!$W$12,IF(U229&lt;=Hypothèses!$V$13,Hypothèses!$W$13,IF(U229&lt;=Hypothèses!$V$14,Hypothèses!$W$14,IF(U229&lt;=Hypothèses!$V$15,Hypothèses!$W$15,IF(U229&lt;=Hypothèses!$V$16,Hypothèses!$W$16,IF(U229&lt;=Hypothèses!$V$17,Hypothèses!$W$17,IF(U229&lt;=Hypothèses!$V$18,Hypothèses!$W$18,""))))))))))))</f>
        <v>#DIV/0!</v>
      </c>
      <c r="AP229" s="87" t="e">
        <f t="shared" ca="1" si="417"/>
        <v>#DIV/0!</v>
      </c>
      <c r="AQ229" s="88" t="e">
        <f ca="1">IF(U229&lt;=Hypothèses!$V$7,Hypothèses!$X$7,IF(U229&lt;=Hypothèses!$V$8,Hypothèses!$X$8,IF(U229&lt;=Hypothèses!$V$9,Hypothèses!$X$9,IF(U229&lt;=Hypothèses!$V$10,Hypothèses!$X$10,IF(U229&lt;=Hypothèses!$V$11,Hypothèses!$X$11,IF(U229&lt;=Hypothèses!$V$12,Hypothèses!$X$12,IF(U229&lt;=Hypothèses!$V$13,Hypothèses!$X$13,IF(U229&lt;=Hypothèses!$V$14,Hypothèses!$X$14,IF(U229&lt;=Hypothèses!$V$15,Hypothèses!$X$15,IF(U229&lt;=Hypothèses!$V$16,Hypothèses!$X$16,IF(U229&lt;=Hypothèses!$U$17,Hypothèses!$W$17,IF(U229&lt;=Hypothèses!$U$18,Hypothèses!$W$18,""))))))))))))</f>
        <v>#DIV/0!</v>
      </c>
      <c r="AR229" s="95" t="e">
        <f t="shared" ca="1" si="372"/>
        <v>#DIV/0!</v>
      </c>
      <c r="AS229" s="101" t="e">
        <f t="shared" si="424"/>
        <v>#N/A</v>
      </c>
      <c r="AT229" s="91" t="e">
        <f t="shared" si="343"/>
        <v>#N/A</v>
      </c>
      <c r="AU229" s="30" t="e">
        <f t="shared" si="402"/>
        <v>#N/A</v>
      </c>
      <c r="AV229" s="30" t="e">
        <f t="shared" si="403"/>
        <v>#N/A</v>
      </c>
      <c r="AW229" s="31" t="e">
        <f>IF(OR(Hypothèses!$B$4=17,Hypothèses!$B$4=18,Hypothèses!$B$4=19,Hypothèses!$B$4=20),
IF($D229="Pressio.",
IF(OR($E229=3,$E229=1,$E229=4),AV229,AU229),
IF($D229="Pénétro.",
IF(OR($E229=3,$E229=1,$E229=4),AV229,AU229))),IF($D229="Pressio.",
IF($E229=3,AV229,AU229),
IF($D229="Pénétro.",
IF($E229=4,AV229,AU229))))</f>
        <v>#N/A</v>
      </c>
      <c r="AX229" s="31" t="e">
        <f>(IF(OR(Hypothèses!$B$4=17,Hypothèses!$B$4=18,Hypothèses!$B$4=19,Hypothèses!$B$4=20),
IF($D229="Pressio.",
IF(OR($E229=3,$E229=1,$E229=4),(PI()*AX$12^2)/4*(AT229*$W229*1000)/($H229*$B$5),(PI()*AX$12^2)/4*(AT229*$W229*1000)/($G229*$B$5)),
IF($D229="Pénétro.",
IF(OR($E229=4,$E229=1,$E229=5),(PI()*AX$12^2)/4*(AT229*$W229*1000)/($H229*$B$5),(PI()*AX$12^2)/4*(AT229*$W229*1000)/($G229*$B$5)))),
IF($D229="Pressio.",
IF($E229=3,(PI()*AX$12^2)/4*(AT229*$W229*1000)/($H229*$B$5),(PI()*AX$12^2)/4*(AT229*$W229*1000)/($G229*$B$5)),
IF($D229="Pénétro.",
IF($E229=4,(PI()*AX$12^2)/4*(AT229*$W229*1000)/($H229*$B$5),(PI()*AX$12^2)/4*(AT229*$W229*1000)/($G229*$B$5))))))/10</f>
        <v>#N/A</v>
      </c>
      <c r="AY229" s="102" t="e">
        <f>(VLOOKUP($B$3,'Coeff EC7'!$T$39:$X$59,2,0)*AW229+VLOOKUP($B$3,'Coeff EC7'!$T$65:$X$85,2,0)*Model0.1C!AX229)/1.1</f>
        <v>#N/A</v>
      </c>
      <c r="AZ229" s="102" t="e">
        <f>(VLOOKUP($B$3,'Coeff EC7'!$T$39:$X$59,3,0)*AW229+VLOOKUP($B$3,'Coeff EC7'!$T$65:$X$85,3,0)*Model0.1C!AX229)/0.9</f>
        <v>#N/A</v>
      </c>
      <c r="BA229" s="102" t="e">
        <f t="shared" si="373"/>
        <v>#N/A</v>
      </c>
      <c r="BB229" s="102" t="e">
        <f t="shared" si="374"/>
        <v>#N/A</v>
      </c>
      <c r="BC229" s="414" t="e">
        <f>IF(BC228=0,0,IF(AND(AY229&gt;charge_ELS_quasi,AZ229&gt;Charge_ELS_freq,BA229&gt;charge_ELU,BB229&gt;charge_ELA,$B229&gt;NDC!$H$22-0.1+MIN(3*$BC$12,1.5)),0,1))</f>
        <v>#N/A</v>
      </c>
      <c r="BD229" s="86" t="b">
        <f t="shared" si="344"/>
        <v>0</v>
      </c>
      <c r="BE229" s="86">
        <f t="shared" si="375"/>
        <v>0.5</v>
      </c>
      <c r="BF229" s="86">
        <f t="shared" si="345"/>
        <v>0.5</v>
      </c>
      <c r="BG229" s="30" t="e">
        <f t="shared" ca="1" si="376"/>
        <v>#DIV/0!</v>
      </c>
      <c r="BH229" s="85" t="e">
        <f ca="1">IF(AN229&lt;=Hypothèses!$V$7,Hypothèses!$W$7,IF(AN229&lt;=Hypothèses!$V$8,Hypothèses!$W$8,IF(AN229&lt;=Hypothèses!$V$9,Hypothèses!$W$9,IF(AN229&lt;=Hypothèses!$V$10,Hypothèses!$W$10,IF(AN229&lt;=Hypothèses!$V$11,Hypothèses!$W$11,IF(AN229&lt;=Hypothèses!$V$12,Hypothèses!$W$12,IF(AN229&lt;=Hypothèses!$V$13,Hypothèses!$W$13,IF(AN229&lt;=Hypothèses!$V$14,Hypothèses!$W$14,IF(AN229&lt;=Hypothèses!$V$15,Hypothèses!$W$15,IF(AN229&lt;=Hypothèses!$V$16,Hypothèses!$W$16,IF(AN229&lt;=Hypothèses!$V$17,Hypothèses!$W$17,IF(AN229&lt;=Hypothèses!$V$18,Hypothèses!$W$18,""))))))))))))</f>
        <v>#DIV/0!</v>
      </c>
      <c r="BI229" s="87" t="e">
        <f t="shared" ca="1" si="418"/>
        <v>#DIV/0!</v>
      </c>
      <c r="BJ229" s="88" t="e">
        <f ca="1">IF(AN229&lt;=Hypothèses!$V$7,Hypothèses!$X$7,IF(AN229&lt;=Hypothèses!$V$8,Hypothèses!$X$8,IF(AN229&lt;=Hypothèses!$V$9,Hypothèses!$X$9,IF(AN229&lt;=Hypothèses!$V$10,Hypothèses!$X$10,IF(AN229&lt;=Hypothèses!$V$11,Hypothèses!$X$11,IF(AN229&lt;=Hypothèses!$V$12,Hypothèses!$X$12,IF(AN229&lt;=Hypothèses!$V$13,Hypothèses!$X$13,IF(AN229&lt;=Hypothèses!$V$14,Hypothèses!$X$14,IF(AN229&lt;=Hypothèses!$V$15,Hypothèses!$X$15,IF(AN229&lt;=Hypothèses!$V$16,Hypothèses!$X$16,IF(AN229&lt;=Hypothèses!$U$17,Hypothèses!$W$17,IF(AN229&lt;=Hypothèses!$U$18,Hypothèses!$W$18,""))))))))))))</f>
        <v>#DIV/0!</v>
      </c>
      <c r="BK229" s="95" t="e">
        <f t="shared" ca="1" si="377"/>
        <v>#DIV/0!</v>
      </c>
      <c r="BL229" s="101" t="e">
        <f t="shared" si="425"/>
        <v>#N/A</v>
      </c>
      <c r="BM229" s="91" t="e">
        <f t="shared" si="346"/>
        <v>#N/A</v>
      </c>
      <c r="BN229" s="30" t="e">
        <f t="shared" si="404"/>
        <v>#N/A</v>
      </c>
      <c r="BO229" s="30" t="e">
        <f t="shared" si="405"/>
        <v>#N/A</v>
      </c>
      <c r="BP229" s="31" t="e">
        <f>IF(OR(Hypothèses!$B$4=17,Hypothèses!$B$4=18,Hypothèses!$B$4=19,Hypothèses!$B$4=20),
IF($D229="Pressio.",
IF(OR($E229=3,$E229=1,$E229=4),BO229,BN229),
IF($D229="Pénétro.",
IF(OR($E229=3,$E229=1,$E229=4),BO229,BN229))),IF($D229="Pressio.",
IF($E229=3,BO229,BN229),
IF($D229="Pénétro.",
IF($E229=4,BO229,BN229))))</f>
        <v>#N/A</v>
      </c>
      <c r="BQ229" s="31" t="e">
        <f>(IF(OR(Hypothèses!$B$4=17,Hypothèses!$B$4=18,Hypothèses!$B$4=19,Hypothèses!$B$4=20),
IF($D229="Pressio.",
IF(OR($E229=3,$E229=1,$E229=4),(PI()*BQ$12^2)/4*(BM229*$W229*1000)/($H229*$B$5),(PI()*BQ$12^2)/4*(BM229*$W229*1000)/($G229*$B$5)),
IF($D229="Pénétro.",
IF(OR($E229=4,$E229=1,$E229=5),(PI()*BQ$12^2)/4*(BM229*$W229*1000)/($H229*$B$5),(PI()*BQ$12^2)/4*(BM229*$W229*1000)/($G229*$B$5)))),
IF($D229="Pressio.",
IF($E229=3,(PI()*BQ$12^2)/4*(BM229*$W229*1000)/($H229*$B$5),(PI()*BQ$12^2)/4*(BM229*$W229*1000)/($G229*$B$5)),
IF($D229="Pénétro.",
IF($E229=4,(PI()*BQ$12^2)/4*(BM229*$W229*1000)/($H229*$B$5),(PI()*BQ$12^2)/4*(BM229*$W229*1000)/($G229*$B$5))))))/10</f>
        <v>#N/A</v>
      </c>
      <c r="BR229" s="102" t="e">
        <f>(VLOOKUP($B$3,'Coeff EC7'!$T$39:$X$59,2,0)*BP229+VLOOKUP($B$3,'Coeff EC7'!$T$65:$X$85,2,0)*Model0.1C!BQ229)/1.1</f>
        <v>#N/A</v>
      </c>
      <c r="BS229" s="102" t="e">
        <f>(VLOOKUP($B$3,'Coeff EC7'!$T$39:$X$59,3,0)*BP229+VLOOKUP($B$3,'Coeff EC7'!$T$65:$X$85,3,0)*Model0.1C!BQ229)/0.9</f>
        <v>#N/A</v>
      </c>
      <c r="BT229" s="102" t="e">
        <f t="shared" si="378"/>
        <v>#N/A</v>
      </c>
      <c r="BU229" s="102" t="e">
        <f t="shared" si="379"/>
        <v>#N/A</v>
      </c>
      <c r="BV229" s="414" t="e">
        <f>IF(BV228=0,0,IF(AND(BR229&gt;charge_ELS_quasi,BS229&gt;Charge_ELS_freq,BT229&gt;charge_ELU,BU229&gt;charge_ELA,$B229&gt;NDC!$H$22-0.1+MIN(3*$BV$12,1.5)),0,1))</f>
        <v>#N/A</v>
      </c>
      <c r="BW229" s="86" t="b">
        <f t="shared" si="347"/>
        <v>0</v>
      </c>
      <c r="BX229" s="86">
        <f t="shared" si="348"/>
        <v>0.5</v>
      </c>
      <c r="BY229" s="86">
        <f t="shared" si="349"/>
        <v>0.5</v>
      </c>
      <c r="BZ229" s="30" t="e">
        <f t="shared" ca="1" si="380"/>
        <v>#DIV/0!</v>
      </c>
      <c r="CA229" s="85" t="e">
        <f ca="1">IF(BG229&lt;=Hypothèses!$V$7,Hypothèses!$W$7,IF(BG229&lt;=Hypothèses!$V$8,Hypothèses!$W$8,IF(BG229&lt;=Hypothèses!$V$9,Hypothèses!$W$9,IF(BG229&lt;=Hypothèses!$V$10,Hypothèses!$W$10,IF(BG229&lt;=Hypothèses!$V$11,Hypothèses!$W$11,IF(BG229&lt;=Hypothèses!$V$12,Hypothèses!$W$12,IF(BG229&lt;=Hypothèses!$V$13,Hypothèses!$W$13,IF(BG229&lt;=Hypothèses!$V$14,Hypothèses!$W$14,IF(BG229&lt;=Hypothèses!$V$15,Hypothèses!$W$15,IF(BG229&lt;=Hypothèses!$V$16,Hypothèses!$W$16,IF(BG229&lt;=Hypothèses!$V$17,Hypothèses!$W$17,IF(BG229&lt;=Hypothèses!$V$18,Hypothèses!$W$18,""))))))))))))</f>
        <v>#DIV/0!</v>
      </c>
      <c r="CB229" s="87" t="e">
        <f t="shared" ca="1" si="419"/>
        <v>#DIV/0!</v>
      </c>
      <c r="CC229" s="88" t="e">
        <f ca="1">IF(BG229&lt;=Hypothèses!$V$7,Hypothèses!$X$7,IF(BG229&lt;=Hypothèses!$V$8,Hypothèses!$X$8,IF(BG229&lt;=Hypothèses!$V$9,Hypothèses!$X$9,IF(BG229&lt;=Hypothèses!$V$10,Hypothèses!$X$10,IF(BG229&lt;=Hypothèses!$V$11,Hypothèses!$X$11,IF(BG229&lt;=Hypothèses!$V$12,Hypothèses!$X$12,IF(BG229&lt;=Hypothèses!$V$13,Hypothèses!$X$13,IF(BG229&lt;=Hypothèses!$V$14,Hypothèses!$X$14,IF(BG229&lt;=Hypothèses!$V$15,Hypothèses!$X$15,IF(BG229&lt;=Hypothèses!$V$16,Hypothèses!$X$16,IF(BG229&lt;=Hypothèses!$U$17,Hypothèses!$W$17,IF(BG229&lt;=Hypothèses!$U$18,Hypothèses!$W$18,""))))))))))))</f>
        <v>#DIV/0!</v>
      </c>
      <c r="CD229" s="95" t="e">
        <f t="shared" ca="1" si="381"/>
        <v>#DIV/0!</v>
      </c>
      <c r="CE229" s="101" t="e">
        <f t="shared" si="426"/>
        <v>#N/A</v>
      </c>
      <c r="CF229" s="91" t="e">
        <f t="shared" si="350"/>
        <v>#N/A</v>
      </c>
      <c r="CG229" s="30" t="e">
        <f t="shared" si="406"/>
        <v>#N/A</v>
      </c>
      <c r="CH229" s="30" t="e">
        <f t="shared" si="407"/>
        <v>#N/A</v>
      </c>
      <c r="CI229" s="31" t="e">
        <f>IF(OR(Hypothèses!$B$4=17,Hypothèses!$B$4=18,Hypothèses!$B$4=19,Hypothèses!$B$4=20),
IF($D229="Pressio.",
IF(OR($E229=3,$E229=1,$E229=4),CH229,CG229),
IF($D229="Pénétro.",
IF(OR($E229=3,$E229=1,$E229=4),CH229,CG229))),IF($D229="Pressio.",
IF($E229=3,CH229,CG229),
IF($D229="Pénétro.",
IF($E229=4,CH229,CG229))))</f>
        <v>#N/A</v>
      </c>
      <c r="CJ229" s="31" t="e">
        <f>(IF(OR(Hypothèses!$B$4=17,Hypothèses!$B$4=18,Hypothèses!$B$4=19,Hypothèses!$B$4=20),
IF($D229="Pressio.",
IF(OR($E229=3,$E229=1,$E229=4),(PI()*CJ$12^2)/4*(CF229*$W229*1000)/($H229*$B$5),(PI()*CJ$12^2)/4*(CF229*$W229*1000)/($G229*$B$5)),
IF($D229="Pénétro.",
IF(OR($E229=4,$E229=1,$E229=5),(PI()*CJ$12^2)/4*(CF229*$W229*1000)/($H229*$B$5),(PI()*CJ$12^2)/4*(CF229*$W229*1000)/($G229*$B$5)))),
IF($D229="Pressio.",
IF($E229=3,(PI()*CJ$12^2)/4*(CF229*$W229*1000)/($H229*$B$5),(PI()*CJ$12^2)/4*(CF229*$W229*1000)/($G229*$B$5)),
IF($D229="Pénétro.",
IF($E229=4,(PI()*CJ$12^2)/4*(CF229*$W229*1000)/($H229*$B$5),(PI()*CJ$12^2)/4*(CF229*$W229*1000)/($G229*$B$5))))))/10</f>
        <v>#N/A</v>
      </c>
      <c r="CK229" s="102" t="e">
        <f>(VLOOKUP($B$3,'Coeff EC7'!$T$39:$X$59,2,0)*CI229+VLOOKUP($B$3,'Coeff EC7'!$T$65:$X$85,2,0)*Model0.1C!CJ229)/1.1</f>
        <v>#N/A</v>
      </c>
      <c r="CL229" s="102" t="e">
        <f>(VLOOKUP($B$3,'Coeff EC7'!$T$39:$X$59,3,0)*CI229+VLOOKUP($B$3,'Coeff EC7'!$T$65:$X$85,3,0)*Model0.1C!CJ229)/0.9</f>
        <v>#N/A</v>
      </c>
      <c r="CM229" s="102" t="e">
        <f t="shared" si="382"/>
        <v>#N/A</v>
      </c>
      <c r="CN229" s="102" t="e">
        <f t="shared" si="383"/>
        <v>#N/A</v>
      </c>
      <c r="CO229" s="414" t="e">
        <f>IF(CO228=0,0,IF(AND(CK229&gt;charge_ELS_quasi,CL229&gt;Charge_ELS_freq,CM229&gt;charge_ELU,CN229&gt;charge_ELA,$B229&gt;NDC!$H$22-0.1+MIN(3*$CO$12,1.5)),0,1))</f>
        <v>#N/A</v>
      </c>
      <c r="CP229" s="86" t="b">
        <f t="shared" si="351"/>
        <v>0</v>
      </c>
      <c r="CQ229" s="86">
        <f t="shared" si="352"/>
        <v>0.5</v>
      </c>
      <c r="CR229" s="86">
        <f t="shared" si="353"/>
        <v>0.5</v>
      </c>
      <c r="CS229" s="30" t="e">
        <f t="shared" ca="1" si="384"/>
        <v>#DIV/0!</v>
      </c>
      <c r="CT229" s="85" t="e">
        <f ca="1">IF(BZ229&lt;=Hypothèses!$V$7,Hypothèses!$W$7,IF(BZ229&lt;=Hypothèses!$V$8,Hypothèses!$W$8,IF(BZ229&lt;=Hypothèses!$V$9,Hypothèses!$W$9,IF(BZ229&lt;=Hypothèses!$V$10,Hypothèses!$W$10,IF(BZ229&lt;=Hypothèses!$V$11,Hypothèses!$W$11,IF(BZ229&lt;=Hypothèses!$V$12,Hypothèses!$W$12,IF(BZ229&lt;=Hypothèses!$V$13,Hypothèses!$W$13,IF(BZ229&lt;=Hypothèses!$V$14,Hypothèses!$W$14,IF(BZ229&lt;=Hypothèses!$V$15,Hypothèses!$W$15,IF(BZ229&lt;=Hypothèses!$V$16,Hypothèses!$W$16,IF(BZ229&lt;=Hypothèses!$V$17,Hypothèses!$W$17,IF(BZ229&lt;=Hypothèses!$V$18,Hypothèses!$W$18,""))))))))))))</f>
        <v>#DIV/0!</v>
      </c>
      <c r="CU229" s="87" t="e">
        <f t="shared" ca="1" si="420"/>
        <v>#DIV/0!</v>
      </c>
      <c r="CV229" s="88" t="e">
        <f ca="1">IF(BZ229&lt;=Hypothèses!$V$7,Hypothèses!$X$7,IF(BZ229&lt;=Hypothèses!$V$8,Hypothèses!$X$8,IF(BZ229&lt;=Hypothèses!$V$9,Hypothèses!$X$9,IF(BZ229&lt;=Hypothèses!$V$10,Hypothèses!$X$10,IF(BZ229&lt;=Hypothèses!$V$11,Hypothèses!$X$11,IF(BZ229&lt;=Hypothèses!$V$12,Hypothèses!$X$12,IF(BZ229&lt;=Hypothèses!$V$13,Hypothèses!$X$13,IF(BZ229&lt;=Hypothèses!$V$14,Hypothèses!$X$14,IF(BZ229&lt;=Hypothèses!$V$15,Hypothèses!$X$15,IF(BZ229&lt;=Hypothèses!$V$16,Hypothèses!$X$16,IF(BZ229&lt;=Hypothèses!$U$17,Hypothèses!$W$17,IF(BZ229&lt;=Hypothèses!$U$18,Hypothèses!$W$18,""))))))))))))</f>
        <v>#DIV/0!</v>
      </c>
      <c r="CW229" s="95" t="e">
        <f t="shared" ca="1" si="385"/>
        <v>#DIV/0!</v>
      </c>
      <c r="CX229" s="101" t="e">
        <f t="shared" si="427"/>
        <v>#N/A</v>
      </c>
      <c r="CY229" s="91" t="e">
        <f t="shared" si="354"/>
        <v>#N/A</v>
      </c>
      <c r="CZ229" s="30" t="e">
        <f t="shared" si="408"/>
        <v>#N/A</v>
      </c>
      <c r="DA229" s="30" t="e">
        <f t="shared" si="409"/>
        <v>#N/A</v>
      </c>
      <c r="DB229" s="31" t="e">
        <f>IF(OR(Hypothèses!$B$4=17,Hypothèses!$B$4=18,Hypothèses!$B$4=19,Hypothèses!$B$4=20),
IF($D229="Pressio.",
IF(OR($E229=3,$E229=1,$E229=4),DA229,CZ229),
IF($D229="Pénétro.",
IF(OR($E229=3,$E229=1,$E229=4),DA229,CZ229))),IF($D229="Pressio.",
IF($E229=3,DA229,CZ229),
IF($D229="Pénétro.",
IF($E229=4,DA229,CZ229))))</f>
        <v>#N/A</v>
      </c>
      <c r="DC229" s="31" t="e">
        <f>(IF(OR(Hypothèses!$B$4=17,Hypothèses!$B$4=18,Hypothèses!$B$4=19,Hypothèses!$B$4=20),
IF($D229="Pressio.",
IF(OR($E229=3,$E229=1,$E229=4),(PI()*DC$12^2)/4*(CY229*$W229*1000)/($H229*$B$5),(PI()*DC$12^2)/4*(CY229*$W229*1000)/($G229*$B$5)),
IF($D229="Pénétro.",
IF(OR($E229=4,$E229=1,$E229=5),(PI()*DC$12^2)/4*(CY229*$W229*1000)/($H229*$B$5),(PI()*DC$12^2)/4*(CY229*$W229*1000)/($G229*$B$5)))),
IF($D229="Pressio.",
IF($E229=3,(PI()*DC$12^2)/4*(CY229*$W229*1000)/($H229*$B$5),(PI()*DC$12^2)/4*(CY229*$W229*1000)/($G229*$B$5)),
IF($D229="Pénétro.",
IF($E229=4,(PI()*DC$12^2)/4*(CY229*$W229*1000)/($H229*$B$5),(PI()*DC$12^2)/4*(CY229*$W229*1000)/($G229*$B$5))))))/10</f>
        <v>#N/A</v>
      </c>
      <c r="DD229" s="102" t="e">
        <f>(VLOOKUP($B$3,'Coeff EC7'!$T$39:$X$59,2,0)*DB229+VLOOKUP($B$3,'Coeff EC7'!$T$65:$X$85,2,0)*Model0.1C!DC229)/1.1</f>
        <v>#N/A</v>
      </c>
      <c r="DE229" s="102" t="e">
        <f>(VLOOKUP($B$3,'Coeff EC7'!$T$39:$X$59,3,0)*DB229+VLOOKUP($B$3,'Coeff EC7'!$T$65:$X$85,3,0)*Model0.1C!DC229)/0.9</f>
        <v>#N/A</v>
      </c>
      <c r="DF229" s="102" t="e">
        <f t="shared" si="386"/>
        <v>#N/A</v>
      </c>
      <c r="DG229" s="102" t="e">
        <f t="shared" si="387"/>
        <v>#N/A</v>
      </c>
      <c r="DH229" s="414" t="e">
        <f>IF(DH228=0,0,IF(AND(DD229&gt;charge_ELS_quasi,DE229&gt;Charge_ELS_freq,DF229&gt;charge_ELU,DG229&gt;charge_ELA,$B229&gt;NDC!$H$22-0.1+MIN(3*$DH$12,1.5)),0,1))</f>
        <v>#N/A</v>
      </c>
      <c r="DI229" s="86" t="b">
        <f t="shared" si="355"/>
        <v>0</v>
      </c>
      <c r="DJ229" s="86">
        <f t="shared" si="356"/>
        <v>0.5</v>
      </c>
      <c r="DK229" s="86">
        <f t="shared" si="357"/>
        <v>0.5</v>
      </c>
      <c r="DL229" s="30" t="e">
        <f t="shared" ca="1" si="388"/>
        <v>#DIV/0!</v>
      </c>
      <c r="DM229" s="85" t="e">
        <f ca="1">IF(CS229&lt;=Hypothèses!$V$7,Hypothèses!$W$7,IF(CS229&lt;=Hypothèses!$V$8,Hypothèses!$W$8,IF(CS229&lt;=Hypothèses!$V$9,Hypothèses!$W$9,IF(CS229&lt;=Hypothèses!$V$10,Hypothèses!$W$10,IF(CS229&lt;=Hypothèses!$V$11,Hypothèses!$W$11,IF(CS229&lt;=Hypothèses!$V$12,Hypothèses!$W$12,IF(CS229&lt;=Hypothèses!$V$13,Hypothèses!$W$13,IF(CS229&lt;=Hypothèses!$V$14,Hypothèses!$W$14,IF(CS229&lt;=Hypothèses!$V$15,Hypothèses!$W$15,IF(CS229&lt;=Hypothèses!$V$16,Hypothèses!$W$16,IF(CS229&lt;=Hypothèses!$V$17,Hypothèses!$W$17,IF(CS229&lt;=Hypothèses!$V$18,Hypothèses!$W$18,""))))))))))))</f>
        <v>#DIV/0!</v>
      </c>
      <c r="DN229" s="87" t="e">
        <f t="shared" ca="1" si="421"/>
        <v>#DIV/0!</v>
      </c>
      <c r="DO229" s="88" t="e">
        <f ca="1">IF(CS229&lt;=Hypothèses!$V$7,Hypothèses!$X$7,IF(CS229&lt;=Hypothèses!$V$8,Hypothèses!$X$8,IF(CS229&lt;=Hypothèses!$V$9,Hypothèses!$X$9,IF(CS229&lt;=Hypothèses!$V$10,Hypothèses!$X$10,IF(CS229&lt;=Hypothèses!$V$11,Hypothèses!$X$11,IF(CS229&lt;=Hypothèses!$V$12,Hypothèses!$X$12,IF(CS229&lt;=Hypothèses!$V$13,Hypothèses!$X$13,IF(CS229&lt;=Hypothèses!$V$14,Hypothèses!$X$14,IF(CS229&lt;=Hypothèses!$V$15,Hypothèses!$X$15,IF(CS229&lt;=Hypothèses!$V$16,Hypothèses!$X$16,IF(CS229&lt;=Hypothèses!$U$17,Hypothèses!$W$17,IF(CS229&lt;=Hypothèses!$U$18,Hypothèses!$W$18,""))))))))))))</f>
        <v>#DIV/0!</v>
      </c>
      <c r="DP229" s="95" t="e">
        <f t="shared" ca="1" si="389"/>
        <v>#DIV/0!</v>
      </c>
      <c r="DQ229" s="101" t="e">
        <f t="shared" si="428"/>
        <v>#N/A</v>
      </c>
      <c r="DR229" s="91" t="e">
        <f t="shared" si="358"/>
        <v>#N/A</v>
      </c>
      <c r="DS229" s="30" t="e">
        <f t="shared" si="410"/>
        <v>#N/A</v>
      </c>
      <c r="DT229" s="30" t="e">
        <f t="shared" si="411"/>
        <v>#N/A</v>
      </c>
      <c r="DU229" s="31" t="e">
        <f>IF(OR(Hypothèses!$B$4=17,Hypothèses!$B$4=18,Hypothèses!$B$4=19,Hypothèses!$B$4=20),
IF($D229="Pressio.",
IF(OR($E229=3,$E229=1,$E229=4),DT229,DS229),
IF($D229="Pénétro.",
IF(OR($E229=3,$E229=1,$E229=4),DT229,DS229))),IF($D229="Pressio.",
IF($E229=3,DT229,DS229),
IF($D229="Pénétro.",
IF($E229=4,DT229,DS229))))</f>
        <v>#N/A</v>
      </c>
      <c r="DV229" s="31" t="e">
        <f>(IF(OR(Hypothèses!$B$4=17,Hypothèses!$B$4=18,Hypothèses!$B$4=19,Hypothèses!$B$4=20),
IF($D229="Pressio.",
IF(OR($E229=3,$E229=1,$E229=4),(PI()*DV$12^2)/4*(DR229*$W229*1000)/($H229*$B$5),(PI()*DV$12^2)/4*(DR229*$W229*1000)/($G229*$B$5)),
IF($D229="Pénétro.",
IF(OR($E229=4,$E229=1,$E229=5),(PI()*DV$12^2)/4*(DR229*$W229*1000)/($H229*$B$5),(PI()*DV$12^2)/4*(DR229*$W229*1000)/($G229*$B$5)))),
IF($D229="Pressio.",
IF($E229=3,(PI()*DV$12^2)/4*(DR229*$W229*1000)/($H229*$B$5),(PI()*DV$12^2)/4*(DR229*$W229*1000)/($G229*$B$5)),
IF($D229="Pénétro.",
IF($E229=4,(PI()*DV$12^2)/4*(DR229*$W229*1000)/($H229*$B$5),(PI()*DV$12^2)/4*(DR229*$W229*1000)/($G229*$B$5))))))/10</f>
        <v>#N/A</v>
      </c>
      <c r="DW229" s="102" t="e">
        <f>(VLOOKUP($B$3,'Coeff EC7'!$T$39:$X$59,2,0)*DU229+VLOOKUP($B$3,'Coeff EC7'!$T$65:$X$85,2,0)*Model0.1C!DV229)/1.1</f>
        <v>#N/A</v>
      </c>
      <c r="DX229" s="102" t="e">
        <f>(VLOOKUP($B$3,'Coeff EC7'!$T$39:$X$59,3,0)*DU229+VLOOKUP($B$3,'Coeff EC7'!$T$65:$X$85,3,0)*Model0.1C!DV229)/0.9</f>
        <v>#N/A</v>
      </c>
      <c r="DY229" s="102" t="e">
        <f t="shared" si="390"/>
        <v>#N/A</v>
      </c>
      <c r="DZ229" s="102" t="e">
        <f t="shared" si="391"/>
        <v>#N/A</v>
      </c>
      <c r="EA229" s="414" t="e">
        <f>IF(EA228=0,0,IF(AND(DW229&gt;charge_ELS_quasi,DX229&gt;Charge_ELS_freq,DY229&gt;charge_ELU,DZ229&gt;charge_ELA,$B229&gt;NDC!$H$22-0.1+MIN(3*$EA$12,1.5)),0,1))</f>
        <v>#N/A</v>
      </c>
      <c r="EB229" s="86" t="b">
        <f t="shared" si="359"/>
        <v>0</v>
      </c>
      <c r="EC229" s="418">
        <f t="shared" si="360"/>
        <v>0.51</v>
      </c>
      <c r="ED229" s="86">
        <f t="shared" si="361"/>
        <v>0.51</v>
      </c>
      <c r="EE229" s="30" t="e">
        <f t="shared" ca="1" si="392"/>
        <v>#DIV/0!</v>
      </c>
      <c r="EF229" s="85" t="e">
        <f ca="1">IF(DL229&lt;=Hypothèses!$V$7,Hypothèses!$W$7,IF(DL229&lt;=Hypothèses!$V$8,Hypothèses!$W$8,IF(DL229&lt;=Hypothèses!$V$9,Hypothèses!$W$9,IF(DL229&lt;=Hypothèses!$V$10,Hypothèses!$W$10,IF(DL229&lt;=Hypothèses!$V$11,Hypothèses!$W$11,IF(DL229&lt;=Hypothèses!$V$12,Hypothèses!$W$12,IF(DL229&lt;=Hypothèses!$V$13,Hypothèses!$W$13,IF(DL229&lt;=Hypothèses!$V$14,Hypothèses!$W$14,IF(DL229&lt;=Hypothèses!$V$15,Hypothèses!$W$15,IF(DL229&lt;=Hypothèses!$V$16,Hypothèses!$W$16,IF(DL229&lt;=Hypothèses!$V$17,Hypothèses!$W$17,IF(DL229&lt;=Hypothèses!$V$18,Hypothèses!$W$18,""))))))))))))</f>
        <v>#DIV/0!</v>
      </c>
      <c r="EG229" s="87" t="e">
        <f t="shared" ca="1" si="422"/>
        <v>#DIV/0!</v>
      </c>
      <c r="EH229" s="88" t="e">
        <f ca="1">IF(DL229&lt;=Hypothèses!$V$7,Hypothèses!$X$7,IF(DL229&lt;=Hypothèses!$V$8,Hypothèses!$X$8,IF(DL229&lt;=Hypothèses!$V$9,Hypothèses!$X$9,IF(DL229&lt;=Hypothèses!$V$10,Hypothèses!$X$10,IF(DL229&lt;=Hypothèses!$V$11,Hypothèses!$X$11,IF(DL229&lt;=Hypothèses!$V$12,Hypothèses!$X$12,IF(DL229&lt;=Hypothèses!$V$13,Hypothèses!$X$13,IF(DL229&lt;=Hypothèses!$V$14,Hypothèses!$X$14,IF(DL229&lt;=Hypothèses!$V$15,Hypothèses!$X$15,IF(DL229&lt;=Hypothèses!$V$16,Hypothèses!$X$16,IF(DL229&lt;=Hypothèses!$U$17,Hypothèses!$W$17,IF(DL229&lt;=Hypothèses!$U$18,Hypothèses!$W$18,""))))))))))))</f>
        <v>#DIV/0!</v>
      </c>
      <c r="EI229" s="95" t="e">
        <f t="shared" ca="1" si="393"/>
        <v>#DIV/0!</v>
      </c>
      <c r="EJ229" s="101" t="e">
        <f t="shared" si="429"/>
        <v>#N/A</v>
      </c>
      <c r="EK229" s="91" t="e">
        <f t="shared" si="362"/>
        <v>#N/A</v>
      </c>
      <c r="EL229" s="30" t="e">
        <f t="shared" si="412"/>
        <v>#N/A</v>
      </c>
      <c r="EM229" s="30" t="e">
        <f t="shared" si="413"/>
        <v>#N/A</v>
      </c>
      <c r="EN229" s="31" t="e">
        <f>IF(OR(Hypothèses!$B$4=17,Hypothèses!$B$4=18,Hypothèses!$B$4=19,Hypothèses!$B$4=20),
IF($D229="Pressio.",
IF(OR($E229=3,$E229=1,$E229=4),EM229,EL229),
IF($D229="Pénétro.",
IF(OR($E229=3,$E229=1,$E229=4),EM229,EL229))),IF($D229="Pressio.",
IF($E229=3,EM229,EL229),
IF($D229="Pénétro.",
IF($E229=4,EM229,EL229))))</f>
        <v>#N/A</v>
      </c>
      <c r="EO229" s="31" t="e">
        <f>(IF(OR(Hypothèses!$B$4=17,Hypothèses!$B$4=18,Hypothèses!$B$4=19,Hypothèses!$B$4=20),
IF($D229="Pressio.",
IF(OR($E229=3,$E229=1,$E229=4),(PI()*EO$12^2)/4*(EK229*$W229*1000)/($H229*$B$5),(PI()*EO$12^2)/4*(EK229*$W229*1000)/($G229*$B$5)),
IF($D229="Pénétro.",
IF(OR($E229=4,$E229=1,$E229=5),(PI()*EO$12^2)/4*(EK229*$W229*1000)/($H229*$B$5),(PI()*EO$12^2)/4*(EK229*$W229*1000)/($G229*$B$5)))),
IF($D229="Pressio.",
IF($E229=3,(PI()*EO$12^2)/4*(EK229*$W229*1000)/($H229*$B$5),(PI()*EO$12^2)/4*(EK229*$W229*1000)/($G229*$B$5)),
IF($D229="Pénétro.",
IF($E229=4,(PI()*EO$12^2)/4*(EK229*$W229*1000)/($H229*$B$5),(PI()*EO$12^2)/4*(EK229*$W229*1000)/($G229*$B$5))))))/10</f>
        <v>#N/A</v>
      </c>
      <c r="EP229" s="102" t="e">
        <f>(VLOOKUP($B$3,'Coeff EC7'!$T$39:$X$59,2,0)*EN229+VLOOKUP($B$3,'Coeff EC7'!$T$65:$X$85,2,0)*Model0.1C!EO229)/1.1</f>
        <v>#N/A</v>
      </c>
      <c r="EQ229" s="102" t="e">
        <f>(VLOOKUP($B$3,'Coeff EC7'!$T$39:$X$59,3,0)*EN229+VLOOKUP($B$3,'Coeff EC7'!$T$65:$X$85,3,0)*Model0.1C!EO229)/0.9</f>
        <v>#N/A</v>
      </c>
      <c r="ER229" s="102" t="e">
        <f t="shared" si="394"/>
        <v>#N/A</v>
      </c>
      <c r="ES229" s="102" t="e">
        <f t="shared" si="395"/>
        <v>#N/A</v>
      </c>
      <c r="ET229" s="414" t="e">
        <f>IF(ET228=0,0,IF(AND(EP229&gt;charge_ELS_quasi,EQ229&gt;Charge_ELS_freq,ER229&gt;charge_ELU,ES229&gt;charge_ELA,$B229&gt;NDC!$H$22-0.1+MIN(3*$ET$12,1.5)),0,1))</f>
        <v>#N/A</v>
      </c>
      <c r="EU229" s="86" t="b">
        <f t="shared" si="363"/>
        <v>0</v>
      </c>
      <c r="EV229" s="86">
        <f t="shared" si="364"/>
        <v>0.61</v>
      </c>
      <c r="EW229" s="86">
        <f t="shared" si="365"/>
        <v>0.61</v>
      </c>
      <c r="EX229" s="30" t="e">
        <f t="shared" ca="1" si="396"/>
        <v>#DIV/0!</v>
      </c>
      <c r="EY229" s="85" t="e">
        <f ca="1">IF(EE229&lt;=Hypothèses!$V$7,Hypothèses!$W$7,IF(EE229&lt;=Hypothèses!$V$8,Hypothèses!$W$8,IF(EE229&lt;=Hypothèses!$V$9,Hypothèses!$W$9,IF(EE229&lt;=Hypothèses!$V$10,Hypothèses!$W$10,IF(EE229&lt;=Hypothèses!$V$11,Hypothèses!$W$11,IF(EE229&lt;=Hypothèses!$V$12,Hypothèses!$W$12,IF(EE229&lt;=Hypothèses!$V$13,Hypothèses!$W$13,IF(EE229&lt;=Hypothèses!$V$14,Hypothèses!$W$14,IF(EE229&lt;=Hypothèses!$V$15,Hypothèses!$W$15,IF(EE229&lt;=Hypothèses!$V$16,Hypothèses!$W$16,IF(EE229&lt;=Hypothèses!$V$17,Hypothèses!$W$17,IF(EE229&lt;=Hypothèses!$V$18,Hypothèses!$W$18,""))))))))))))</f>
        <v>#DIV/0!</v>
      </c>
      <c r="EZ229" s="87" t="e">
        <f t="shared" ca="1" si="423"/>
        <v>#DIV/0!</v>
      </c>
      <c r="FA229" s="88" t="e">
        <f ca="1">IF(EE229&lt;=Hypothèses!$V$7,Hypothèses!$X$7,IF(EE229&lt;=Hypothèses!$V$8,Hypothèses!$X$8,IF(EE229&lt;=Hypothèses!$V$9,Hypothèses!$X$9,IF(EE229&lt;=Hypothèses!$V$10,Hypothèses!$X$10,IF(EE229&lt;=Hypothèses!$V$11,Hypothèses!$X$11,IF(EE229&lt;=Hypothèses!$V$12,Hypothèses!$X$12,IF(EE229&lt;=Hypothèses!$V$13,Hypothèses!$X$13,IF(EE229&lt;=Hypothèses!$V$14,Hypothèses!$X$14,IF(EE229&lt;=Hypothèses!$V$15,Hypothèses!$X$15,IF(EE229&lt;=Hypothèses!$V$16,Hypothèses!$X$16,IF(EE229&lt;=Hypothèses!$U$17,Hypothèses!$W$17,IF(EE229&lt;=Hypothèses!$U$18,Hypothèses!$W$18,""))))))))))))</f>
        <v>#DIV/0!</v>
      </c>
      <c r="FB229" s="95" t="e">
        <f t="shared" ca="1" si="397"/>
        <v>#DIV/0!</v>
      </c>
      <c r="FC229" s="101" t="e">
        <f t="shared" si="430"/>
        <v>#N/A</v>
      </c>
      <c r="FD229" s="91" t="e">
        <f t="shared" si="366"/>
        <v>#N/A</v>
      </c>
      <c r="FE229" s="30" t="e">
        <f t="shared" si="414"/>
        <v>#N/A</v>
      </c>
      <c r="FF229" s="30" t="e">
        <f t="shared" si="415"/>
        <v>#N/A</v>
      </c>
      <c r="FG229" s="31" t="e">
        <f>IF(OR(Hypothèses!$B$4=17,Hypothèses!$B$4=18,Hypothèses!$B$4=19,Hypothèses!$B$4=20),
IF($D229="Pressio.",
IF(OR($E229=3,$E229=1,$E229=4),FF229,FE229),
IF($D229="Pénétro.",
IF(OR($E229=3,$E229=1,$E229=4),FF229,FE229))),IF($D229="Pressio.",
IF($E229=3,FF229,FE229),
IF($D229="Pénétro.",
IF($E229=4,FF229,FE229))))</f>
        <v>#N/A</v>
      </c>
      <c r="FH229" s="31" t="e">
        <f>(IF(OR(Hypothèses!$B$4=17,Hypothèses!$B$4=18,Hypothèses!$B$4=19,Hypothèses!$B$4=20),
IF($D229="Pressio.",
IF(OR($E229=3,$E229=1,$E229=4),(PI()*FH$12^2)/4*(FD229*$W229*1000)/($H229*$B$5),(PI()*FH$12^2)/4*(FD229*$W229*1000)/($G229*$B$5)),
IF($D229="Pénétro.",
IF(OR($E229=4,$E229=1,$E229=5),(PI()*FH$12^2)/4*(FD229*$W229*1000)/($H229*$B$5),(PI()*FH$12^2)/4*(FD229*$W229*1000)/($G229*$B$5)))),
IF($D229="Pressio.",
IF($E229=3,(PI()*FH$12^2)/4*(FD229*$W229*1000)/($H229*$B$5),(PI()*FH$12^2)/4*(FD229*$W229*1000)/($G229*$B$5)),
IF($D229="Pénétro.",
IF($E229=4,(PI()*FH$12^2)/4*(FD229*$W229*1000)/($H229*$B$5),(PI()*FH$12^2)/4*(FD229*$W229*1000)/($G229*$B$5))))))/10</f>
        <v>#N/A</v>
      </c>
      <c r="FI229" s="102" t="e">
        <f>(VLOOKUP($B$3,'Coeff EC7'!$T$39:$X$59,2,0)*FG229+VLOOKUP($B$3,'Coeff EC7'!$T$65:$X$85,2,0)*Model0.1C!FH229)/1.1</f>
        <v>#N/A</v>
      </c>
      <c r="FJ229" s="102" t="e">
        <f>(VLOOKUP($B$3,'Coeff EC7'!$T$39:$X$59,3,0)*FG229+VLOOKUP($B$3,'Coeff EC7'!$T$65:$X$85,3,0)*Model0.1C!FH229)/0.9</f>
        <v>#N/A</v>
      </c>
      <c r="FK229" s="102" t="e">
        <f t="shared" si="398"/>
        <v>#N/A</v>
      </c>
      <c r="FL229" s="102" t="e">
        <f t="shared" si="399"/>
        <v>#N/A</v>
      </c>
      <c r="FM229" s="414" t="e">
        <f>IF(FM228=0,0,IF(AND(FI229&gt;charge_ELS_quasi,FJ229&gt;Charge_ELS_freq,FK229&gt;charge_ELU,FL229&gt;charge_ELA,$B229&gt;NDC!$H$22-0.1+MIN(3*$FM$12,1.5)),0,1))</f>
        <v>#N/A</v>
      </c>
    </row>
    <row r="230" spans="1:169">
      <c r="A230" s="96">
        <f t="shared" si="367"/>
        <v>78.300000000001234</v>
      </c>
      <c r="B230" s="97">
        <v>21.7</v>
      </c>
      <c r="C230" s="81">
        <f>IF(B230&lt;=Hypothèses!$C$7,Hypothèses!$A$7,IF(B230&lt;=Hypothèses!$C$8,Hypothèses!$A$8,IF(B230&lt;=Hypothèses!$C$9,Hypothèses!$A$9,IF(B230&lt;=Hypothèses!$C$10,Hypothèses!$A$10,IF(B230&lt;=Hypothèses!$C$11,Hypothèses!$A$11,IF(B230&lt;=Hypothèses!$C$12,Hypothèses!$A$12,IF(B230&lt;=Hypothèses!$C$13,Hypothèses!$A$13,IF(B230&lt;=Hypothèses!$C$14,Hypothèses!$A$14,IF(B230&lt;=Hypothèses!$C$15,Hypothèses!$A$15,IF(B230&lt;=Hypothèses!$C$16,Hypothèses!$A$16,IF(B230&lt;=Hypothèses!$C$17,Hypothèses!$A$17,IF(B230&lt;=Hypothèses!$C$18,Hypothèses!$A$18,C229))))))))))))</f>
        <v>11</v>
      </c>
      <c r="D230" s="82" t="str">
        <f>IF(B230&lt;=Hypothèses!$C$7,Hypothèses!$R$7,IF(B230&lt;=Hypothèses!$C$8,Hypothèses!$R$8,IF(B230&lt;=Hypothèses!$C$9,Hypothèses!$R$9,IF(B230&lt;=Hypothèses!$C$10,Hypothèses!$R$10,IF(B230&lt;=Hypothèses!$C$11,Hypothèses!$R$11,IF(B230&lt;=Hypothèses!$C$12,Hypothèses!$R$12,IF(B230&lt;=Hypothèses!$C$13,Hypothèses!$R$13,IF(B230&lt;=Hypothèses!$C$14,Hypothèses!$R$14,IF(B230&lt;=Hypothèses!$C$15,Hypothèses!$R$15,IF(B230&lt;=Hypothèses!$C$16,Hypothèses!$R$16,IF(B230&lt;=Hypothèses!$C$17,Hypothèses!$R$17,IF(B230&lt;=Hypothèses!$C$18,Hypothèses!$R$18,D229))))))))))))</f>
        <v>Pressio.</v>
      </c>
      <c r="E230" s="82" t="e">
        <f>IF(B230&lt;=Hypothèses!$C$7,Hypothèses!$G$7,IF(B230&lt;=Hypothèses!$C$8,Hypothèses!$G$8,IF(B230&lt;=Hypothèses!$C$9,Hypothèses!$G$9,IF(B230&lt;=Hypothèses!$C$10,Hypothèses!$G$10,IF(B230&lt;=Hypothèses!$C$11,Hypothèses!$G$11,IF(B230&lt;=Hypothèses!$C$12,Hypothèses!$G$12,IF(B230&lt;=Hypothèses!$C$13,Hypothèses!$G$13,IF(B230&lt;=Hypothèses!$C$14,Hypothèses!$G$14,IF(B230&lt;=Hypothèses!$C$15,Hypothèses!$G$15,IF(B230&lt;=Hypothèses!$C$16,Hypothèses!$G$16,IF(B230&lt;=Hypothèses!$C$17,Hypothèses!$G$17,IF(B230&lt;=Hypothèses!$C$18,Hypothèses!$G$18,E229))))))))))))</f>
        <v>#N/A</v>
      </c>
      <c r="F230" s="82" t="str">
        <f>IF(B230&lt;=Hypothèses!$C$7,Hypothèses!$F$7,IF(B230&lt;=Hypothèses!$C$8,Hypothèses!$F$8,IF(B230&lt;=Hypothèses!$C$9,Hypothèses!$F$9,IF(B230&lt;=Hypothèses!$C$10,Hypothèses!$F$10,IF(B230&lt;=Hypothèses!$C$11,Hypothèses!$F$11,IF(B230&lt;=Hypothèses!$C$12,Hypothèses!$F$12,IF(B230&lt;=Hypothèses!$C$13,Hypothèses!$F$13,IF(B230&lt;=Hypothèses!$C$14,Hypothèses!$F$14,IF(B230&lt;=Hypothèses!$C$15,Hypothèses!$F$15,IF(B230&lt;=Hypothèses!$C$16,Hypothèses!$F$16,IF(B230&lt;=Hypothèses!$C$17,Hypothèses!$F$17,IF(B230&lt;=Hypothèses!$C$18,Hypothèses!$F$18,F229))))))))))))</f>
        <v/>
      </c>
      <c r="G230" s="91">
        <f t="array" ref="G230">INDEX('Coeff EC7'!$U$7:$X$27,
MATCH(Model0.1C!$B$3,'Coeff EC7'!$T$7:$T$27,0),
MATCH(Model0.1C!$D230&amp;Model0.1C!$B$4,
'Coeff EC7'!$U$6:$X$6&amp;
'Coeff EC7'!$U$5:$X$5,0))</f>
        <v>1.1499999999999999</v>
      </c>
      <c r="H230" s="91">
        <f t="array" ref="H230">INDEX('Coeff EC7'!$Y$7:$AB$27,
MATCH(Model0.1C!$B$3,'Coeff EC7'!$T$7:$T$27,0),
MATCH(Model0.1C!$D230&amp;Model0.1C!$B$4,
'Coeff EC7'!$Y$6:$AB$6&amp;
'Coeff EC7'!$Y$5:$AB$5,0))</f>
        <v>1.4</v>
      </c>
      <c r="I230" s="83" t="e">
        <f>IF(B230&lt;=Hypothèses!$C$7,Hypothèses!$P$7,IF(B230&lt;=Hypothèses!$C$8,Hypothèses!$P$8,IF(B230&lt;=Hypothèses!$C$9,Hypothèses!$P$9,IF(B230&lt;=Hypothèses!$C$10,Hypothèses!$P$10,IF(B230&lt;=Hypothèses!$C$11,Hypothèses!$P$11,IF(B230&lt;=Hypothèses!$C$12,Hypothèses!$P$12,IF(B230&lt;=Hypothèses!$C$13,Hypothèses!$P$13,IF(B230&lt;=Hypothèses!$C$14,Hypothèses!$P$14,IF(B230&lt;=Hypothèses!$C$15,Hypothèses!$P$15,IF(B230&lt;=Hypothèses!$C$16,Hypothèses!$P$16,IF(B230&lt;=Hypothèses!$C$17,Hypothèses!$P$17,IF(B230&lt;=Hypothèses!$C$18,Hypothèses!$P$18,I229))))))))))))</f>
        <v>#N/A</v>
      </c>
      <c r="J230" s="91" t="e">
        <f t="array" ref="J230">INDEX('Coeff EC7'!$D$33:$Q$33,1,MATCH(D230&amp;E230,'Coeff EC7'!$D$31:$Q$31&amp;'Coeff EC7'!$D$32:$Q$32,0))</f>
        <v>#N/A</v>
      </c>
      <c r="K230" s="91" t="e">
        <f t="array" ref="K230">INDEX('Coeff EC7'!$D$34:$Q$34,1,MATCH(D230&amp;E230,'Coeff EC7'!$D$31:$Q$31&amp;'Coeff EC7'!$D$32:$Q$32,0))</f>
        <v>#N/A</v>
      </c>
      <c r="L230" s="91" t="e">
        <f t="array" ref="L230">INDEX('Coeff EC7'!$D$35:$Q$35,1,MATCH(D230&amp;E230,'Coeff EC7'!$D$31:$Q$31&amp;'Coeff EC7'!$D$32:$Q$32,0))</f>
        <v>#N/A</v>
      </c>
      <c r="M230" s="98" t="e">
        <f t="shared" si="331"/>
        <v>#N/A</v>
      </c>
      <c r="N230" s="99" t="e">
        <f t="array" ref="N230">INDEX('Coeff EC7'!$D$7:$Q$27,MATCH($B$3,'Coeff EC7'!$C$7:$C$27,0),MATCH(D230&amp;E230,'Coeff EC7'!$D$5:$Q$5&amp;'Coeff EC7'!$D$6:$Q$6,0))</f>
        <v>#N/A</v>
      </c>
      <c r="O230" s="99" t="e">
        <f t="array" ref="O230">INDEX('Coeff EC7'!$D$41:$Q$61,MATCH($B$3,'Coeff EC7'!$C$41:$C$61,0),MATCH(D230&amp;E230,'Coeff EC7'!$D$39:$Q$39&amp;'Coeff EC7'!$D$40:$Q$40,0))</f>
        <v>#N/A</v>
      </c>
      <c r="P230" s="30" t="e">
        <f t="shared" si="368"/>
        <v>#N/A</v>
      </c>
      <c r="Q230" s="100" t="e">
        <f t="shared" si="333"/>
        <v>#N/A</v>
      </c>
      <c r="R230" s="86" t="b">
        <f t="shared" si="334"/>
        <v>0</v>
      </c>
      <c r="S230" s="86">
        <f t="shared" si="332"/>
        <v>0.5</v>
      </c>
      <c r="T230" s="86">
        <f t="shared" si="335"/>
        <v>0.5</v>
      </c>
      <c r="U230" s="30" t="e">
        <f t="shared" ca="1" si="369"/>
        <v>#DIV/0!</v>
      </c>
      <c r="V230" s="85" t="str">
        <f>IF(B230&lt;=Hypothèses!$V$7,Hypothèses!$W$7,IF(B230&lt;=Hypothèses!$V$8,Hypothèses!$W$8,IF(B230&lt;=Hypothèses!$V$9,Hypothèses!$W$9,IF(B230&lt;=Hypothèses!$V$10,Hypothèses!$W$10,IF(B230&lt;=Hypothèses!$V$11,Hypothèses!$W$11,IF(B230&lt;=Hypothèses!$V$12,Hypothèses!$W$12,IF(B230&lt;=Hypothèses!$V$13,Hypothèses!$W$13,IF(B230&lt;=Hypothèses!$V$14,Hypothèses!$W$14,IF(B230&lt;=Hypothèses!$V$15,Hypothèses!$W$15,IF(B230&lt;=Hypothèses!$V$16,Hypothèses!$W$16,IF(B230&lt;=Hypothèses!$V$17,Hypothèses!$W$17,IF(B230&lt;=Hypothèses!$V$18,Hypothèses!$W$18,""))))))))))))</f>
        <v/>
      </c>
      <c r="W230" s="87" t="e">
        <f t="shared" ca="1" si="416"/>
        <v>#DIV/0!</v>
      </c>
      <c r="X230" s="88" t="str">
        <f>IF(B230&lt;=Hypothèses!$V$7,Hypothèses!$X$7,IF(B230&lt;=Hypothèses!$V$8,Hypothèses!$X$8,IF(B230&lt;=Hypothèses!$V$9,Hypothèses!$X$9,IF(B230&lt;=Hypothèses!$V$10,Hypothèses!$X$10,IF(B230&lt;=Hypothèses!$V$11,Hypothèses!$X$11,IF(B230&lt;=Hypothèses!$V$12,Hypothèses!$X$12,IF(B230&lt;=Hypothèses!$V$13,Hypothèses!$X$13,IF(B230&lt;=Hypothèses!$V$14,Hypothèses!$X$14,IF(B230&lt;=Hypothèses!$V$15,Hypothèses!$X$15,IF(B230&lt;=Hypothèses!$V$16,Hypothèses!$X$16,IF(B230&lt;=Hypothèses!$U$17,Hypothèses!$W$17,IF(B230&lt;=Hypothèses!$U$18,Hypothèses!$W$18,""))))))))))))</f>
        <v/>
      </c>
      <c r="Y230" s="95" t="e">
        <f t="shared" ca="1" si="336"/>
        <v>#DIV/0!</v>
      </c>
      <c r="Z230" s="101" t="e">
        <f t="shared" si="337"/>
        <v>#N/A</v>
      </c>
      <c r="AA230" s="91" t="e">
        <f t="shared" si="338"/>
        <v>#N/A</v>
      </c>
      <c r="AB230" s="30" t="e">
        <f t="shared" si="400"/>
        <v>#N/A</v>
      </c>
      <c r="AC230" s="30" t="e">
        <f t="shared" si="401"/>
        <v>#N/A</v>
      </c>
      <c r="AD230" s="31" t="e">
        <f>IF(OR(Hypothèses!$B$4=17,Hypothèses!$B$4=18,Hypothèses!$B$4=19,Hypothèses!$B$4=20),
IF($D230="Pressio.",
IF(OR($E230=3,$E230=1,$E230=4),AC230,AB230),
IF($D230="Pénétro.",
IF(OR($E230=3,$E230=1,$E230=4),AC230,AB230))),IF($D230="Pressio.",
IF($E230=3,AC230,AB230),
IF($D230="Pénétro.",
IF($E230=4,AC230,AB230))))</f>
        <v>#N/A</v>
      </c>
      <c r="AE230" s="31" t="e">
        <f>(IF(OR(Hypothèses!$B$4=17,Hypothèses!$B$4=18,Hypothèses!$B$4=19,Hypothèses!$B$4=20),
IF($D230="Pressio.",
IF(OR($E230=3,$E230=1,$E230=4),(PI()*AE$12^2)/4*(AA230*$W230*1000)/($H230*$B$5),(PI()*AE$12^2)/4*(AA230*$W230*1000)/($G230*$B$5)),
IF($D230="Pénétro.",
IF(OR($E230=4,$E230=1,$E230=5),(PI()*AE$12^2)/4*(AA230*$W230*1000)/($H230*$B$5),(PI()*AE$12^2)/4*(AA230*$W230*1000)/($G230*$B$5)))),
IF($D230="Pressio.",
IF($E230=3,(PI()*AE$12^2)/4*(AA230*$W230*1000)/($H230*$B$5),(PI()*AE$12^2)/4*(AA230*$W230*1000)/($G230*$B$5)),
IF($D230="Pénétro.",
IF($E230=4,(PI()*AE$12^2)/4*(AA230*$W230*1000)/($H230*$B$5),(PI()*AE$12^2)/4*(AA230*$W230*1000)/($G230*$B$5))))))/10</f>
        <v>#N/A</v>
      </c>
      <c r="AF230" s="102" t="e">
        <f>(VLOOKUP($B$3,'Coeff EC7'!$T$39:$X$59,2,0)*AD230+VLOOKUP($B$3,'Coeff EC7'!$T$65:$X$85,2,0)*Model0.1C!AE230)/1.1</f>
        <v>#N/A</v>
      </c>
      <c r="AG230" s="102" t="e">
        <f>(VLOOKUP($B$3,'Coeff EC7'!$T$39:$X$59,3,0)*AD230+VLOOKUP($B$3,'Coeff EC7'!$T$65:$X$85,3,0)*Model0.1C!AE230)/0.9</f>
        <v>#N/A</v>
      </c>
      <c r="AH230" s="102" t="e">
        <f t="shared" si="339"/>
        <v>#N/A</v>
      </c>
      <c r="AI230" s="102" t="e">
        <f t="shared" si="340"/>
        <v>#N/A</v>
      </c>
      <c r="AJ230" s="414" t="e">
        <f>IF(AJ229=0,0,IF(AND(AF230&gt;charge_ELS_quasi,AG230&gt;Charge_ELS_freq,AH230&gt;charge_ELU,AI230&gt;charge_ELA,$B230&gt;NDC!$H$22-0.1+MIN(3*$AJ$12,1.5)),0,1))</f>
        <v>#N/A</v>
      </c>
      <c r="AK230" s="86" t="b">
        <f t="shared" si="341"/>
        <v>0</v>
      </c>
      <c r="AL230" s="86">
        <f t="shared" si="370"/>
        <v>0.5</v>
      </c>
      <c r="AM230" s="86">
        <f t="shared" si="342"/>
        <v>0.5</v>
      </c>
      <c r="AN230" s="30" t="e">
        <f t="shared" ca="1" si="371"/>
        <v>#DIV/0!</v>
      </c>
      <c r="AO230" s="85" t="e">
        <f ca="1">IF(U230&lt;=Hypothèses!$V$7,Hypothèses!$W$7,IF(U230&lt;=Hypothèses!$V$8,Hypothèses!$W$8,IF(U230&lt;=Hypothèses!$V$9,Hypothèses!$W$9,IF(U230&lt;=Hypothèses!$V$10,Hypothèses!$W$10,IF(U230&lt;=Hypothèses!$V$11,Hypothèses!$W$11,IF(U230&lt;=Hypothèses!$V$12,Hypothèses!$W$12,IF(U230&lt;=Hypothèses!$V$13,Hypothèses!$W$13,IF(U230&lt;=Hypothèses!$V$14,Hypothèses!$W$14,IF(U230&lt;=Hypothèses!$V$15,Hypothèses!$W$15,IF(U230&lt;=Hypothèses!$V$16,Hypothèses!$W$16,IF(U230&lt;=Hypothèses!$V$17,Hypothèses!$W$17,IF(U230&lt;=Hypothèses!$V$18,Hypothèses!$W$18,""))))))))))))</f>
        <v>#DIV/0!</v>
      </c>
      <c r="AP230" s="87" t="e">
        <f t="shared" ca="1" si="417"/>
        <v>#DIV/0!</v>
      </c>
      <c r="AQ230" s="88" t="e">
        <f ca="1">IF(U230&lt;=Hypothèses!$V$7,Hypothèses!$X$7,IF(U230&lt;=Hypothèses!$V$8,Hypothèses!$X$8,IF(U230&lt;=Hypothèses!$V$9,Hypothèses!$X$9,IF(U230&lt;=Hypothèses!$V$10,Hypothèses!$X$10,IF(U230&lt;=Hypothèses!$V$11,Hypothèses!$X$11,IF(U230&lt;=Hypothèses!$V$12,Hypothèses!$X$12,IF(U230&lt;=Hypothèses!$V$13,Hypothèses!$X$13,IF(U230&lt;=Hypothèses!$V$14,Hypothèses!$X$14,IF(U230&lt;=Hypothèses!$V$15,Hypothèses!$X$15,IF(U230&lt;=Hypothèses!$V$16,Hypothèses!$X$16,IF(U230&lt;=Hypothèses!$U$17,Hypothèses!$W$17,IF(U230&lt;=Hypothèses!$U$18,Hypothèses!$W$18,""))))))))))))</f>
        <v>#DIV/0!</v>
      </c>
      <c r="AR230" s="95" t="e">
        <f t="shared" ca="1" si="372"/>
        <v>#DIV/0!</v>
      </c>
      <c r="AS230" s="101" t="e">
        <f t="shared" si="424"/>
        <v>#N/A</v>
      </c>
      <c r="AT230" s="91" t="e">
        <f t="shared" si="343"/>
        <v>#N/A</v>
      </c>
      <c r="AU230" s="30" t="e">
        <f t="shared" si="402"/>
        <v>#N/A</v>
      </c>
      <c r="AV230" s="30" t="e">
        <f t="shared" si="403"/>
        <v>#N/A</v>
      </c>
      <c r="AW230" s="31" t="e">
        <f>IF(OR(Hypothèses!$B$4=17,Hypothèses!$B$4=18,Hypothèses!$B$4=19,Hypothèses!$B$4=20),
IF($D230="Pressio.",
IF(OR($E230=3,$E230=1,$E230=4),AV230,AU230),
IF($D230="Pénétro.",
IF(OR($E230=3,$E230=1,$E230=4),AV230,AU230))),IF($D230="Pressio.",
IF($E230=3,AV230,AU230),
IF($D230="Pénétro.",
IF($E230=4,AV230,AU230))))</f>
        <v>#N/A</v>
      </c>
      <c r="AX230" s="31" t="e">
        <f>(IF(OR(Hypothèses!$B$4=17,Hypothèses!$B$4=18,Hypothèses!$B$4=19,Hypothèses!$B$4=20),
IF($D230="Pressio.",
IF(OR($E230=3,$E230=1,$E230=4),(PI()*AX$12^2)/4*(AT230*$W230*1000)/($H230*$B$5),(PI()*AX$12^2)/4*(AT230*$W230*1000)/($G230*$B$5)),
IF($D230="Pénétro.",
IF(OR($E230=4,$E230=1,$E230=5),(PI()*AX$12^2)/4*(AT230*$W230*1000)/($H230*$B$5),(PI()*AX$12^2)/4*(AT230*$W230*1000)/($G230*$B$5)))),
IF($D230="Pressio.",
IF($E230=3,(PI()*AX$12^2)/4*(AT230*$W230*1000)/($H230*$B$5),(PI()*AX$12^2)/4*(AT230*$W230*1000)/($G230*$B$5)),
IF($D230="Pénétro.",
IF($E230=4,(PI()*AX$12^2)/4*(AT230*$W230*1000)/($H230*$B$5),(PI()*AX$12^2)/4*(AT230*$W230*1000)/($G230*$B$5))))))/10</f>
        <v>#N/A</v>
      </c>
      <c r="AY230" s="102" t="e">
        <f>(VLOOKUP($B$3,'Coeff EC7'!$T$39:$X$59,2,0)*AW230+VLOOKUP($B$3,'Coeff EC7'!$T$65:$X$85,2,0)*Model0.1C!AX230)/1.1</f>
        <v>#N/A</v>
      </c>
      <c r="AZ230" s="102" t="e">
        <f>(VLOOKUP($B$3,'Coeff EC7'!$T$39:$X$59,3,0)*AW230+VLOOKUP($B$3,'Coeff EC7'!$T$65:$X$85,3,0)*Model0.1C!AX230)/0.9</f>
        <v>#N/A</v>
      </c>
      <c r="BA230" s="102" t="e">
        <f t="shared" si="373"/>
        <v>#N/A</v>
      </c>
      <c r="BB230" s="102" t="e">
        <f t="shared" si="374"/>
        <v>#N/A</v>
      </c>
      <c r="BC230" s="414" t="e">
        <f>IF(BC229=0,0,IF(AND(AY230&gt;charge_ELS_quasi,AZ230&gt;Charge_ELS_freq,BA230&gt;charge_ELU,BB230&gt;charge_ELA,$B230&gt;NDC!$H$22-0.1+MIN(3*$BC$12,1.5)),0,1))</f>
        <v>#N/A</v>
      </c>
      <c r="BD230" s="86" t="b">
        <f t="shared" si="344"/>
        <v>0</v>
      </c>
      <c r="BE230" s="86">
        <f t="shared" si="375"/>
        <v>0.5</v>
      </c>
      <c r="BF230" s="86">
        <f t="shared" si="345"/>
        <v>0.5</v>
      </c>
      <c r="BG230" s="30" t="e">
        <f t="shared" ca="1" si="376"/>
        <v>#DIV/0!</v>
      </c>
      <c r="BH230" s="85" t="e">
        <f ca="1">IF(AN230&lt;=Hypothèses!$V$7,Hypothèses!$W$7,IF(AN230&lt;=Hypothèses!$V$8,Hypothèses!$W$8,IF(AN230&lt;=Hypothèses!$V$9,Hypothèses!$W$9,IF(AN230&lt;=Hypothèses!$V$10,Hypothèses!$W$10,IF(AN230&lt;=Hypothèses!$V$11,Hypothèses!$W$11,IF(AN230&lt;=Hypothèses!$V$12,Hypothèses!$W$12,IF(AN230&lt;=Hypothèses!$V$13,Hypothèses!$W$13,IF(AN230&lt;=Hypothèses!$V$14,Hypothèses!$W$14,IF(AN230&lt;=Hypothèses!$V$15,Hypothèses!$W$15,IF(AN230&lt;=Hypothèses!$V$16,Hypothèses!$W$16,IF(AN230&lt;=Hypothèses!$V$17,Hypothèses!$W$17,IF(AN230&lt;=Hypothèses!$V$18,Hypothèses!$W$18,""))))))))))))</f>
        <v>#DIV/0!</v>
      </c>
      <c r="BI230" s="87" t="e">
        <f t="shared" ca="1" si="418"/>
        <v>#DIV/0!</v>
      </c>
      <c r="BJ230" s="88" t="e">
        <f ca="1">IF(AN230&lt;=Hypothèses!$V$7,Hypothèses!$X$7,IF(AN230&lt;=Hypothèses!$V$8,Hypothèses!$X$8,IF(AN230&lt;=Hypothèses!$V$9,Hypothèses!$X$9,IF(AN230&lt;=Hypothèses!$V$10,Hypothèses!$X$10,IF(AN230&lt;=Hypothèses!$V$11,Hypothèses!$X$11,IF(AN230&lt;=Hypothèses!$V$12,Hypothèses!$X$12,IF(AN230&lt;=Hypothèses!$V$13,Hypothèses!$X$13,IF(AN230&lt;=Hypothèses!$V$14,Hypothèses!$X$14,IF(AN230&lt;=Hypothèses!$V$15,Hypothèses!$X$15,IF(AN230&lt;=Hypothèses!$V$16,Hypothèses!$X$16,IF(AN230&lt;=Hypothèses!$U$17,Hypothèses!$W$17,IF(AN230&lt;=Hypothèses!$U$18,Hypothèses!$W$18,""))))))))))))</f>
        <v>#DIV/0!</v>
      </c>
      <c r="BK230" s="95" t="e">
        <f t="shared" ca="1" si="377"/>
        <v>#DIV/0!</v>
      </c>
      <c r="BL230" s="101" t="e">
        <f t="shared" si="425"/>
        <v>#N/A</v>
      </c>
      <c r="BM230" s="91" t="e">
        <f t="shared" si="346"/>
        <v>#N/A</v>
      </c>
      <c r="BN230" s="30" t="e">
        <f t="shared" si="404"/>
        <v>#N/A</v>
      </c>
      <c r="BO230" s="30" t="e">
        <f t="shared" si="405"/>
        <v>#N/A</v>
      </c>
      <c r="BP230" s="31" t="e">
        <f>IF(OR(Hypothèses!$B$4=17,Hypothèses!$B$4=18,Hypothèses!$B$4=19,Hypothèses!$B$4=20),
IF($D230="Pressio.",
IF(OR($E230=3,$E230=1,$E230=4),BO230,BN230),
IF($D230="Pénétro.",
IF(OR($E230=3,$E230=1,$E230=4),BO230,BN230))),IF($D230="Pressio.",
IF($E230=3,BO230,BN230),
IF($D230="Pénétro.",
IF($E230=4,BO230,BN230))))</f>
        <v>#N/A</v>
      </c>
      <c r="BQ230" s="31" t="e">
        <f>(IF(OR(Hypothèses!$B$4=17,Hypothèses!$B$4=18,Hypothèses!$B$4=19,Hypothèses!$B$4=20),
IF($D230="Pressio.",
IF(OR($E230=3,$E230=1,$E230=4),(PI()*BQ$12^2)/4*(BM230*$W230*1000)/($H230*$B$5),(PI()*BQ$12^2)/4*(BM230*$W230*1000)/($G230*$B$5)),
IF($D230="Pénétro.",
IF(OR($E230=4,$E230=1,$E230=5),(PI()*BQ$12^2)/4*(BM230*$W230*1000)/($H230*$B$5),(PI()*BQ$12^2)/4*(BM230*$W230*1000)/($G230*$B$5)))),
IF($D230="Pressio.",
IF($E230=3,(PI()*BQ$12^2)/4*(BM230*$W230*1000)/($H230*$B$5),(PI()*BQ$12^2)/4*(BM230*$W230*1000)/($G230*$B$5)),
IF($D230="Pénétro.",
IF($E230=4,(PI()*BQ$12^2)/4*(BM230*$W230*1000)/($H230*$B$5),(PI()*BQ$12^2)/4*(BM230*$W230*1000)/($G230*$B$5))))))/10</f>
        <v>#N/A</v>
      </c>
      <c r="BR230" s="102" t="e">
        <f>(VLOOKUP($B$3,'Coeff EC7'!$T$39:$X$59,2,0)*BP230+VLOOKUP($B$3,'Coeff EC7'!$T$65:$X$85,2,0)*Model0.1C!BQ230)/1.1</f>
        <v>#N/A</v>
      </c>
      <c r="BS230" s="102" t="e">
        <f>(VLOOKUP($B$3,'Coeff EC7'!$T$39:$X$59,3,0)*BP230+VLOOKUP($B$3,'Coeff EC7'!$T$65:$X$85,3,0)*Model0.1C!BQ230)/0.9</f>
        <v>#N/A</v>
      </c>
      <c r="BT230" s="102" t="e">
        <f t="shared" si="378"/>
        <v>#N/A</v>
      </c>
      <c r="BU230" s="102" t="e">
        <f t="shared" si="379"/>
        <v>#N/A</v>
      </c>
      <c r="BV230" s="414" t="e">
        <f>IF(BV229=0,0,IF(AND(BR230&gt;charge_ELS_quasi,BS230&gt;Charge_ELS_freq,BT230&gt;charge_ELU,BU230&gt;charge_ELA,$B230&gt;NDC!$H$22-0.1+MIN(3*$BV$12,1.5)),0,1))</f>
        <v>#N/A</v>
      </c>
      <c r="BW230" s="86" t="b">
        <f t="shared" si="347"/>
        <v>0</v>
      </c>
      <c r="BX230" s="86">
        <f t="shared" si="348"/>
        <v>0.5</v>
      </c>
      <c r="BY230" s="86">
        <f t="shared" si="349"/>
        <v>0.5</v>
      </c>
      <c r="BZ230" s="30" t="e">
        <f t="shared" ca="1" si="380"/>
        <v>#DIV/0!</v>
      </c>
      <c r="CA230" s="85" t="e">
        <f ca="1">IF(BG230&lt;=Hypothèses!$V$7,Hypothèses!$W$7,IF(BG230&lt;=Hypothèses!$V$8,Hypothèses!$W$8,IF(BG230&lt;=Hypothèses!$V$9,Hypothèses!$W$9,IF(BG230&lt;=Hypothèses!$V$10,Hypothèses!$W$10,IF(BG230&lt;=Hypothèses!$V$11,Hypothèses!$W$11,IF(BG230&lt;=Hypothèses!$V$12,Hypothèses!$W$12,IF(BG230&lt;=Hypothèses!$V$13,Hypothèses!$W$13,IF(BG230&lt;=Hypothèses!$V$14,Hypothèses!$W$14,IF(BG230&lt;=Hypothèses!$V$15,Hypothèses!$W$15,IF(BG230&lt;=Hypothèses!$V$16,Hypothèses!$W$16,IF(BG230&lt;=Hypothèses!$V$17,Hypothèses!$W$17,IF(BG230&lt;=Hypothèses!$V$18,Hypothèses!$W$18,""))))))))))))</f>
        <v>#DIV/0!</v>
      </c>
      <c r="CB230" s="87" t="e">
        <f t="shared" ca="1" si="419"/>
        <v>#DIV/0!</v>
      </c>
      <c r="CC230" s="88" t="e">
        <f ca="1">IF(BG230&lt;=Hypothèses!$V$7,Hypothèses!$X$7,IF(BG230&lt;=Hypothèses!$V$8,Hypothèses!$X$8,IF(BG230&lt;=Hypothèses!$V$9,Hypothèses!$X$9,IF(BG230&lt;=Hypothèses!$V$10,Hypothèses!$X$10,IF(BG230&lt;=Hypothèses!$V$11,Hypothèses!$X$11,IF(BG230&lt;=Hypothèses!$V$12,Hypothèses!$X$12,IF(BG230&lt;=Hypothèses!$V$13,Hypothèses!$X$13,IF(BG230&lt;=Hypothèses!$V$14,Hypothèses!$X$14,IF(BG230&lt;=Hypothèses!$V$15,Hypothèses!$X$15,IF(BG230&lt;=Hypothèses!$V$16,Hypothèses!$X$16,IF(BG230&lt;=Hypothèses!$U$17,Hypothèses!$W$17,IF(BG230&lt;=Hypothèses!$U$18,Hypothèses!$W$18,""))))))))))))</f>
        <v>#DIV/0!</v>
      </c>
      <c r="CD230" s="95" t="e">
        <f t="shared" ca="1" si="381"/>
        <v>#DIV/0!</v>
      </c>
      <c r="CE230" s="101" t="e">
        <f t="shared" si="426"/>
        <v>#N/A</v>
      </c>
      <c r="CF230" s="91" t="e">
        <f t="shared" si="350"/>
        <v>#N/A</v>
      </c>
      <c r="CG230" s="30" t="e">
        <f t="shared" si="406"/>
        <v>#N/A</v>
      </c>
      <c r="CH230" s="30" t="e">
        <f t="shared" si="407"/>
        <v>#N/A</v>
      </c>
      <c r="CI230" s="31" t="e">
        <f>IF(OR(Hypothèses!$B$4=17,Hypothèses!$B$4=18,Hypothèses!$B$4=19,Hypothèses!$B$4=20),
IF($D230="Pressio.",
IF(OR($E230=3,$E230=1,$E230=4),CH230,CG230),
IF($D230="Pénétro.",
IF(OR($E230=3,$E230=1,$E230=4),CH230,CG230))),IF($D230="Pressio.",
IF($E230=3,CH230,CG230),
IF($D230="Pénétro.",
IF($E230=4,CH230,CG230))))</f>
        <v>#N/A</v>
      </c>
      <c r="CJ230" s="31" t="e">
        <f>(IF(OR(Hypothèses!$B$4=17,Hypothèses!$B$4=18,Hypothèses!$B$4=19,Hypothèses!$B$4=20),
IF($D230="Pressio.",
IF(OR($E230=3,$E230=1,$E230=4),(PI()*CJ$12^2)/4*(CF230*$W230*1000)/($H230*$B$5),(PI()*CJ$12^2)/4*(CF230*$W230*1000)/($G230*$B$5)),
IF($D230="Pénétro.",
IF(OR($E230=4,$E230=1,$E230=5),(PI()*CJ$12^2)/4*(CF230*$W230*1000)/($H230*$B$5),(PI()*CJ$12^2)/4*(CF230*$W230*1000)/($G230*$B$5)))),
IF($D230="Pressio.",
IF($E230=3,(PI()*CJ$12^2)/4*(CF230*$W230*1000)/($H230*$B$5),(PI()*CJ$12^2)/4*(CF230*$W230*1000)/($G230*$B$5)),
IF($D230="Pénétro.",
IF($E230=4,(PI()*CJ$12^2)/4*(CF230*$W230*1000)/($H230*$B$5),(PI()*CJ$12^2)/4*(CF230*$W230*1000)/($G230*$B$5))))))/10</f>
        <v>#N/A</v>
      </c>
      <c r="CK230" s="102" t="e">
        <f>(VLOOKUP($B$3,'Coeff EC7'!$T$39:$X$59,2,0)*CI230+VLOOKUP($B$3,'Coeff EC7'!$T$65:$X$85,2,0)*Model0.1C!CJ230)/1.1</f>
        <v>#N/A</v>
      </c>
      <c r="CL230" s="102" t="e">
        <f>(VLOOKUP($B$3,'Coeff EC7'!$T$39:$X$59,3,0)*CI230+VLOOKUP($B$3,'Coeff EC7'!$T$65:$X$85,3,0)*Model0.1C!CJ230)/0.9</f>
        <v>#N/A</v>
      </c>
      <c r="CM230" s="102" t="e">
        <f t="shared" si="382"/>
        <v>#N/A</v>
      </c>
      <c r="CN230" s="102" t="e">
        <f t="shared" si="383"/>
        <v>#N/A</v>
      </c>
      <c r="CO230" s="414" t="e">
        <f>IF(CO229=0,0,IF(AND(CK230&gt;charge_ELS_quasi,CL230&gt;Charge_ELS_freq,CM230&gt;charge_ELU,CN230&gt;charge_ELA,$B230&gt;NDC!$H$22-0.1+MIN(3*$CO$12,1.5)),0,1))</f>
        <v>#N/A</v>
      </c>
      <c r="CP230" s="86" t="b">
        <f t="shared" si="351"/>
        <v>0</v>
      </c>
      <c r="CQ230" s="86">
        <f t="shared" si="352"/>
        <v>0.5</v>
      </c>
      <c r="CR230" s="86">
        <f t="shared" si="353"/>
        <v>0.5</v>
      </c>
      <c r="CS230" s="30" t="e">
        <f t="shared" ca="1" si="384"/>
        <v>#DIV/0!</v>
      </c>
      <c r="CT230" s="85" t="e">
        <f ca="1">IF(BZ230&lt;=Hypothèses!$V$7,Hypothèses!$W$7,IF(BZ230&lt;=Hypothèses!$V$8,Hypothèses!$W$8,IF(BZ230&lt;=Hypothèses!$V$9,Hypothèses!$W$9,IF(BZ230&lt;=Hypothèses!$V$10,Hypothèses!$W$10,IF(BZ230&lt;=Hypothèses!$V$11,Hypothèses!$W$11,IF(BZ230&lt;=Hypothèses!$V$12,Hypothèses!$W$12,IF(BZ230&lt;=Hypothèses!$V$13,Hypothèses!$W$13,IF(BZ230&lt;=Hypothèses!$V$14,Hypothèses!$W$14,IF(BZ230&lt;=Hypothèses!$V$15,Hypothèses!$W$15,IF(BZ230&lt;=Hypothèses!$V$16,Hypothèses!$W$16,IF(BZ230&lt;=Hypothèses!$V$17,Hypothèses!$W$17,IF(BZ230&lt;=Hypothèses!$V$18,Hypothèses!$W$18,""))))))))))))</f>
        <v>#DIV/0!</v>
      </c>
      <c r="CU230" s="87" t="e">
        <f t="shared" ca="1" si="420"/>
        <v>#DIV/0!</v>
      </c>
      <c r="CV230" s="88" t="e">
        <f ca="1">IF(BZ230&lt;=Hypothèses!$V$7,Hypothèses!$X$7,IF(BZ230&lt;=Hypothèses!$V$8,Hypothèses!$X$8,IF(BZ230&lt;=Hypothèses!$V$9,Hypothèses!$X$9,IF(BZ230&lt;=Hypothèses!$V$10,Hypothèses!$X$10,IF(BZ230&lt;=Hypothèses!$V$11,Hypothèses!$X$11,IF(BZ230&lt;=Hypothèses!$V$12,Hypothèses!$X$12,IF(BZ230&lt;=Hypothèses!$V$13,Hypothèses!$X$13,IF(BZ230&lt;=Hypothèses!$V$14,Hypothèses!$X$14,IF(BZ230&lt;=Hypothèses!$V$15,Hypothèses!$X$15,IF(BZ230&lt;=Hypothèses!$V$16,Hypothèses!$X$16,IF(BZ230&lt;=Hypothèses!$U$17,Hypothèses!$W$17,IF(BZ230&lt;=Hypothèses!$U$18,Hypothèses!$W$18,""))))))))))))</f>
        <v>#DIV/0!</v>
      </c>
      <c r="CW230" s="95" t="e">
        <f t="shared" ca="1" si="385"/>
        <v>#DIV/0!</v>
      </c>
      <c r="CX230" s="101" t="e">
        <f t="shared" si="427"/>
        <v>#N/A</v>
      </c>
      <c r="CY230" s="91" t="e">
        <f t="shared" si="354"/>
        <v>#N/A</v>
      </c>
      <c r="CZ230" s="30" t="e">
        <f t="shared" si="408"/>
        <v>#N/A</v>
      </c>
      <c r="DA230" s="30" t="e">
        <f t="shared" si="409"/>
        <v>#N/A</v>
      </c>
      <c r="DB230" s="31" t="e">
        <f>IF(OR(Hypothèses!$B$4=17,Hypothèses!$B$4=18,Hypothèses!$B$4=19,Hypothèses!$B$4=20),
IF($D230="Pressio.",
IF(OR($E230=3,$E230=1,$E230=4),DA230,CZ230),
IF($D230="Pénétro.",
IF(OR($E230=3,$E230=1,$E230=4),DA230,CZ230))),IF($D230="Pressio.",
IF($E230=3,DA230,CZ230),
IF($D230="Pénétro.",
IF($E230=4,DA230,CZ230))))</f>
        <v>#N/A</v>
      </c>
      <c r="DC230" s="31" t="e">
        <f>(IF(OR(Hypothèses!$B$4=17,Hypothèses!$B$4=18,Hypothèses!$B$4=19,Hypothèses!$B$4=20),
IF($D230="Pressio.",
IF(OR($E230=3,$E230=1,$E230=4),(PI()*DC$12^2)/4*(CY230*$W230*1000)/($H230*$B$5),(PI()*DC$12^2)/4*(CY230*$W230*1000)/($G230*$B$5)),
IF($D230="Pénétro.",
IF(OR($E230=4,$E230=1,$E230=5),(PI()*DC$12^2)/4*(CY230*$W230*1000)/($H230*$B$5),(PI()*DC$12^2)/4*(CY230*$W230*1000)/($G230*$B$5)))),
IF($D230="Pressio.",
IF($E230=3,(PI()*DC$12^2)/4*(CY230*$W230*1000)/($H230*$B$5),(PI()*DC$12^2)/4*(CY230*$W230*1000)/($G230*$B$5)),
IF($D230="Pénétro.",
IF($E230=4,(PI()*DC$12^2)/4*(CY230*$W230*1000)/($H230*$B$5),(PI()*DC$12^2)/4*(CY230*$W230*1000)/($G230*$B$5))))))/10</f>
        <v>#N/A</v>
      </c>
      <c r="DD230" s="102" t="e">
        <f>(VLOOKUP($B$3,'Coeff EC7'!$T$39:$X$59,2,0)*DB230+VLOOKUP($B$3,'Coeff EC7'!$T$65:$X$85,2,0)*Model0.1C!DC230)/1.1</f>
        <v>#N/A</v>
      </c>
      <c r="DE230" s="102" t="e">
        <f>(VLOOKUP($B$3,'Coeff EC7'!$T$39:$X$59,3,0)*DB230+VLOOKUP($B$3,'Coeff EC7'!$T$65:$X$85,3,0)*Model0.1C!DC230)/0.9</f>
        <v>#N/A</v>
      </c>
      <c r="DF230" s="102" t="e">
        <f t="shared" si="386"/>
        <v>#N/A</v>
      </c>
      <c r="DG230" s="102" t="e">
        <f t="shared" si="387"/>
        <v>#N/A</v>
      </c>
      <c r="DH230" s="414" t="e">
        <f>IF(DH229=0,0,IF(AND(DD230&gt;charge_ELS_quasi,DE230&gt;Charge_ELS_freq,DF230&gt;charge_ELU,DG230&gt;charge_ELA,$B230&gt;NDC!$H$22-0.1+MIN(3*$DH$12,1.5)),0,1))</f>
        <v>#N/A</v>
      </c>
      <c r="DI230" s="86" t="b">
        <f t="shared" si="355"/>
        <v>0</v>
      </c>
      <c r="DJ230" s="86">
        <f t="shared" si="356"/>
        <v>0.5</v>
      </c>
      <c r="DK230" s="86">
        <f t="shared" si="357"/>
        <v>0.5</v>
      </c>
      <c r="DL230" s="30" t="e">
        <f t="shared" ca="1" si="388"/>
        <v>#DIV/0!</v>
      </c>
      <c r="DM230" s="85" t="e">
        <f ca="1">IF(CS230&lt;=Hypothèses!$V$7,Hypothèses!$W$7,IF(CS230&lt;=Hypothèses!$V$8,Hypothèses!$W$8,IF(CS230&lt;=Hypothèses!$V$9,Hypothèses!$W$9,IF(CS230&lt;=Hypothèses!$V$10,Hypothèses!$W$10,IF(CS230&lt;=Hypothèses!$V$11,Hypothèses!$W$11,IF(CS230&lt;=Hypothèses!$V$12,Hypothèses!$W$12,IF(CS230&lt;=Hypothèses!$V$13,Hypothèses!$W$13,IF(CS230&lt;=Hypothèses!$V$14,Hypothèses!$W$14,IF(CS230&lt;=Hypothèses!$V$15,Hypothèses!$W$15,IF(CS230&lt;=Hypothèses!$V$16,Hypothèses!$W$16,IF(CS230&lt;=Hypothèses!$V$17,Hypothèses!$W$17,IF(CS230&lt;=Hypothèses!$V$18,Hypothèses!$W$18,""))))))))))))</f>
        <v>#DIV/0!</v>
      </c>
      <c r="DN230" s="87" t="e">
        <f t="shared" ca="1" si="421"/>
        <v>#DIV/0!</v>
      </c>
      <c r="DO230" s="88" t="e">
        <f ca="1">IF(CS230&lt;=Hypothèses!$V$7,Hypothèses!$X$7,IF(CS230&lt;=Hypothèses!$V$8,Hypothèses!$X$8,IF(CS230&lt;=Hypothèses!$V$9,Hypothèses!$X$9,IF(CS230&lt;=Hypothèses!$V$10,Hypothèses!$X$10,IF(CS230&lt;=Hypothèses!$V$11,Hypothèses!$X$11,IF(CS230&lt;=Hypothèses!$V$12,Hypothèses!$X$12,IF(CS230&lt;=Hypothèses!$V$13,Hypothèses!$X$13,IF(CS230&lt;=Hypothèses!$V$14,Hypothèses!$X$14,IF(CS230&lt;=Hypothèses!$V$15,Hypothèses!$X$15,IF(CS230&lt;=Hypothèses!$V$16,Hypothèses!$X$16,IF(CS230&lt;=Hypothèses!$U$17,Hypothèses!$W$17,IF(CS230&lt;=Hypothèses!$U$18,Hypothèses!$W$18,""))))))))))))</f>
        <v>#DIV/0!</v>
      </c>
      <c r="DP230" s="95" t="e">
        <f t="shared" ca="1" si="389"/>
        <v>#DIV/0!</v>
      </c>
      <c r="DQ230" s="101" t="e">
        <f t="shared" si="428"/>
        <v>#N/A</v>
      </c>
      <c r="DR230" s="91" t="e">
        <f t="shared" si="358"/>
        <v>#N/A</v>
      </c>
      <c r="DS230" s="30" t="e">
        <f t="shared" si="410"/>
        <v>#N/A</v>
      </c>
      <c r="DT230" s="30" t="e">
        <f t="shared" si="411"/>
        <v>#N/A</v>
      </c>
      <c r="DU230" s="31" t="e">
        <f>IF(OR(Hypothèses!$B$4=17,Hypothèses!$B$4=18,Hypothèses!$B$4=19,Hypothèses!$B$4=20),
IF($D230="Pressio.",
IF(OR($E230=3,$E230=1,$E230=4),DT230,DS230),
IF($D230="Pénétro.",
IF(OR($E230=3,$E230=1,$E230=4),DT230,DS230))),IF($D230="Pressio.",
IF($E230=3,DT230,DS230),
IF($D230="Pénétro.",
IF($E230=4,DT230,DS230))))</f>
        <v>#N/A</v>
      </c>
      <c r="DV230" s="31" t="e">
        <f>(IF(OR(Hypothèses!$B$4=17,Hypothèses!$B$4=18,Hypothèses!$B$4=19,Hypothèses!$B$4=20),
IF($D230="Pressio.",
IF(OR($E230=3,$E230=1,$E230=4),(PI()*DV$12^2)/4*(DR230*$W230*1000)/($H230*$B$5),(PI()*DV$12^2)/4*(DR230*$W230*1000)/($G230*$B$5)),
IF($D230="Pénétro.",
IF(OR($E230=4,$E230=1,$E230=5),(PI()*DV$12^2)/4*(DR230*$W230*1000)/($H230*$B$5),(PI()*DV$12^2)/4*(DR230*$W230*1000)/($G230*$B$5)))),
IF($D230="Pressio.",
IF($E230=3,(PI()*DV$12^2)/4*(DR230*$W230*1000)/($H230*$B$5),(PI()*DV$12^2)/4*(DR230*$W230*1000)/($G230*$B$5)),
IF($D230="Pénétro.",
IF($E230=4,(PI()*DV$12^2)/4*(DR230*$W230*1000)/($H230*$B$5),(PI()*DV$12^2)/4*(DR230*$W230*1000)/($G230*$B$5))))))/10</f>
        <v>#N/A</v>
      </c>
      <c r="DW230" s="102" t="e">
        <f>(VLOOKUP($B$3,'Coeff EC7'!$T$39:$X$59,2,0)*DU230+VLOOKUP($B$3,'Coeff EC7'!$T$65:$X$85,2,0)*Model0.1C!DV230)/1.1</f>
        <v>#N/A</v>
      </c>
      <c r="DX230" s="102" t="e">
        <f>(VLOOKUP($B$3,'Coeff EC7'!$T$39:$X$59,3,0)*DU230+VLOOKUP($B$3,'Coeff EC7'!$T$65:$X$85,3,0)*Model0.1C!DV230)/0.9</f>
        <v>#N/A</v>
      </c>
      <c r="DY230" s="102" t="e">
        <f t="shared" si="390"/>
        <v>#N/A</v>
      </c>
      <c r="DZ230" s="102" t="e">
        <f t="shared" si="391"/>
        <v>#N/A</v>
      </c>
      <c r="EA230" s="414" t="e">
        <f>IF(EA229=0,0,IF(AND(DW230&gt;charge_ELS_quasi,DX230&gt;Charge_ELS_freq,DY230&gt;charge_ELU,DZ230&gt;charge_ELA,$B230&gt;NDC!$H$22-0.1+MIN(3*$EA$12,1.5)),0,1))</f>
        <v>#N/A</v>
      </c>
      <c r="EB230" s="86" t="b">
        <f t="shared" si="359"/>
        <v>0</v>
      </c>
      <c r="EC230" s="418">
        <f t="shared" si="360"/>
        <v>0.51</v>
      </c>
      <c r="ED230" s="86">
        <f t="shared" si="361"/>
        <v>0.51</v>
      </c>
      <c r="EE230" s="30" t="e">
        <f t="shared" ca="1" si="392"/>
        <v>#DIV/0!</v>
      </c>
      <c r="EF230" s="85" t="e">
        <f ca="1">IF(DL230&lt;=Hypothèses!$V$7,Hypothèses!$W$7,IF(DL230&lt;=Hypothèses!$V$8,Hypothèses!$W$8,IF(DL230&lt;=Hypothèses!$V$9,Hypothèses!$W$9,IF(DL230&lt;=Hypothèses!$V$10,Hypothèses!$W$10,IF(DL230&lt;=Hypothèses!$V$11,Hypothèses!$W$11,IF(DL230&lt;=Hypothèses!$V$12,Hypothèses!$W$12,IF(DL230&lt;=Hypothèses!$V$13,Hypothèses!$W$13,IF(DL230&lt;=Hypothèses!$V$14,Hypothèses!$W$14,IF(DL230&lt;=Hypothèses!$V$15,Hypothèses!$W$15,IF(DL230&lt;=Hypothèses!$V$16,Hypothèses!$W$16,IF(DL230&lt;=Hypothèses!$V$17,Hypothèses!$W$17,IF(DL230&lt;=Hypothèses!$V$18,Hypothèses!$W$18,""))))))))))))</f>
        <v>#DIV/0!</v>
      </c>
      <c r="EG230" s="87" t="e">
        <f t="shared" ca="1" si="422"/>
        <v>#DIV/0!</v>
      </c>
      <c r="EH230" s="88" t="e">
        <f ca="1">IF(DL230&lt;=Hypothèses!$V$7,Hypothèses!$X$7,IF(DL230&lt;=Hypothèses!$V$8,Hypothèses!$X$8,IF(DL230&lt;=Hypothèses!$V$9,Hypothèses!$X$9,IF(DL230&lt;=Hypothèses!$V$10,Hypothèses!$X$10,IF(DL230&lt;=Hypothèses!$V$11,Hypothèses!$X$11,IF(DL230&lt;=Hypothèses!$V$12,Hypothèses!$X$12,IF(DL230&lt;=Hypothèses!$V$13,Hypothèses!$X$13,IF(DL230&lt;=Hypothèses!$V$14,Hypothèses!$X$14,IF(DL230&lt;=Hypothèses!$V$15,Hypothèses!$X$15,IF(DL230&lt;=Hypothèses!$V$16,Hypothèses!$X$16,IF(DL230&lt;=Hypothèses!$U$17,Hypothèses!$W$17,IF(DL230&lt;=Hypothèses!$U$18,Hypothèses!$W$18,""))))))))))))</f>
        <v>#DIV/0!</v>
      </c>
      <c r="EI230" s="95" t="e">
        <f t="shared" ca="1" si="393"/>
        <v>#DIV/0!</v>
      </c>
      <c r="EJ230" s="101" t="e">
        <f t="shared" si="429"/>
        <v>#N/A</v>
      </c>
      <c r="EK230" s="91" t="e">
        <f t="shared" si="362"/>
        <v>#N/A</v>
      </c>
      <c r="EL230" s="30" t="e">
        <f t="shared" si="412"/>
        <v>#N/A</v>
      </c>
      <c r="EM230" s="30" t="e">
        <f t="shared" si="413"/>
        <v>#N/A</v>
      </c>
      <c r="EN230" s="31" t="e">
        <f>IF(OR(Hypothèses!$B$4=17,Hypothèses!$B$4=18,Hypothèses!$B$4=19,Hypothèses!$B$4=20),
IF($D230="Pressio.",
IF(OR($E230=3,$E230=1,$E230=4),EM230,EL230),
IF($D230="Pénétro.",
IF(OR($E230=3,$E230=1,$E230=4),EM230,EL230))),IF($D230="Pressio.",
IF($E230=3,EM230,EL230),
IF($D230="Pénétro.",
IF($E230=4,EM230,EL230))))</f>
        <v>#N/A</v>
      </c>
      <c r="EO230" s="31" t="e">
        <f>(IF(OR(Hypothèses!$B$4=17,Hypothèses!$B$4=18,Hypothèses!$B$4=19,Hypothèses!$B$4=20),
IF($D230="Pressio.",
IF(OR($E230=3,$E230=1,$E230=4),(PI()*EO$12^2)/4*(EK230*$W230*1000)/($H230*$B$5),(PI()*EO$12^2)/4*(EK230*$W230*1000)/($G230*$B$5)),
IF($D230="Pénétro.",
IF(OR($E230=4,$E230=1,$E230=5),(PI()*EO$12^2)/4*(EK230*$W230*1000)/($H230*$B$5),(PI()*EO$12^2)/4*(EK230*$W230*1000)/($G230*$B$5)))),
IF($D230="Pressio.",
IF($E230=3,(PI()*EO$12^2)/4*(EK230*$W230*1000)/($H230*$B$5),(PI()*EO$12^2)/4*(EK230*$W230*1000)/($G230*$B$5)),
IF($D230="Pénétro.",
IF($E230=4,(PI()*EO$12^2)/4*(EK230*$W230*1000)/($H230*$B$5),(PI()*EO$12^2)/4*(EK230*$W230*1000)/($G230*$B$5))))))/10</f>
        <v>#N/A</v>
      </c>
      <c r="EP230" s="102" t="e">
        <f>(VLOOKUP($B$3,'Coeff EC7'!$T$39:$X$59,2,0)*EN230+VLOOKUP($B$3,'Coeff EC7'!$T$65:$X$85,2,0)*Model0.1C!EO230)/1.1</f>
        <v>#N/A</v>
      </c>
      <c r="EQ230" s="102" t="e">
        <f>(VLOOKUP($B$3,'Coeff EC7'!$T$39:$X$59,3,0)*EN230+VLOOKUP($B$3,'Coeff EC7'!$T$65:$X$85,3,0)*Model0.1C!EO230)/0.9</f>
        <v>#N/A</v>
      </c>
      <c r="ER230" s="102" t="e">
        <f t="shared" si="394"/>
        <v>#N/A</v>
      </c>
      <c r="ES230" s="102" t="e">
        <f t="shared" si="395"/>
        <v>#N/A</v>
      </c>
      <c r="ET230" s="414" t="e">
        <f>IF(ET229=0,0,IF(AND(EP230&gt;charge_ELS_quasi,EQ230&gt;Charge_ELS_freq,ER230&gt;charge_ELU,ES230&gt;charge_ELA,$B230&gt;NDC!$H$22-0.1+MIN(3*$ET$12,1.5)),0,1))</f>
        <v>#N/A</v>
      </c>
      <c r="EU230" s="86" t="b">
        <f t="shared" si="363"/>
        <v>0</v>
      </c>
      <c r="EV230" s="86">
        <f t="shared" si="364"/>
        <v>0.61</v>
      </c>
      <c r="EW230" s="86">
        <f t="shared" si="365"/>
        <v>0.61</v>
      </c>
      <c r="EX230" s="30" t="e">
        <f t="shared" ca="1" si="396"/>
        <v>#DIV/0!</v>
      </c>
      <c r="EY230" s="85" t="e">
        <f ca="1">IF(EE230&lt;=Hypothèses!$V$7,Hypothèses!$W$7,IF(EE230&lt;=Hypothèses!$V$8,Hypothèses!$W$8,IF(EE230&lt;=Hypothèses!$V$9,Hypothèses!$W$9,IF(EE230&lt;=Hypothèses!$V$10,Hypothèses!$W$10,IF(EE230&lt;=Hypothèses!$V$11,Hypothèses!$W$11,IF(EE230&lt;=Hypothèses!$V$12,Hypothèses!$W$12,IF(EE230&lt;=Hypothèses!$V$13,Hypothèses!$W$13,IF(EE230&lt;=Hypothèses!$V$14,Hypothèses!$W$14,IF(EE230&lt;=Hypothèses!$V$15,Hypothèses!$W$15,IF(EE230&lt;=Hypothèses!$V$16,Hypothèses!$W$16,IF(EE230&lt;=Hypothèses!$V$17,Hypothèses!$W$17,IF(EE230&lt;=Hypothèses!$V$18,Hypothèses!$W$18,""))))))))))))</f>
        <v>#DIV/0!</v>
      </c>
      <c r="EZ230" s="87" t="e">
        <f t="shared" ca="1" si="423"/>
        <v>#DIV/0!</v>
      </c>
      <c r="FA230" s="88" t="e">
        <f ca="1">IF(EE230&lt;=Hypothèses!$V$7,Hypothèses!$X$7,IF(EE230&lt;=Hypothèses!$V$8,Hypothèses!$X$8,IF(EE230&lt;=Hypothèses!$V$9,Hypothèses!$X$9,IF(EE230&lt;=Hypothèses!$V$10,Hypothèses!$X$10,IF(EE230&lt;=Hypothèses!$V$11,Hypothèses!$X$11,IF(EE230&lt;=Hypothèses!$V$12,Hypothèses!$X$12,IF(EE230&lt;=Hypothèses!$V$13,Hypothèses!$X$13,IF(EE230&lt;=Hypothèses!$V$14,Hypothèses!$X$14,IF(EE230&lt;=Hypothèses!$V$15,Hypothèses!$X$15,IF(EE230&lt;=Hypothèses!$V$16,Hypothèses!$X$16,IF(EE230&lt;=Hypothèses!$U$17,Hypothèses!$W$17,IF(EE230&lt;=Hypothèses!$U$18,Hypothèses!$W$18,""))))))))))))</f>
        <v>#DIV/0!</v>
      </c>
      <c r="FB230" s="95" t="e">
        <f t="shared" ca="1" si="397"/>
        <v>#DIV/0!</v>
      </c>
      <c r="FC230" s="101" t="e">
        <f t="shared" si="430"/>
        <v>#N/A</v>
      </c>
      <c r="FD230" s="91" t="e">
        <f t="shared" si="366"/>
        <v>#N/A</v>
      </c>
      <c r="FE230" s="30" t="e">
        <f t="shared" si="414"/>
        <v>#N/A</v>
      </c>
      <c r="FF230" s="30" t="e">
        <f t="shared" si="415"/>
        <v>#N/A</v>
      </c>
      <c r="FG230" s="31" t="e">
        <f>IF(OR(Hypothèses!$B$4=17,Hypothèses!$B$4=18,Hypothèses!$B$4=19,Hypothèses!$B$4=20),
IF($D230="Pressio.",
IF(OR($E230=3,$E230=1,$E230=4),FF230,FE230),
IF($D230="Pénétro.",
IF(OR($E230=3,$E230=1,$E230=4),FF230,FE230))),IF($D230="Pressio.",
IF($E230=3,FF230,FE230),
IF($D230="Pénétro.",
IF($E230=4,FF230,FE230))))</f>
        <v>#N/A</v>
      </c>
      <c r="FH230" s="31" t="e">
        <f>(IF(OR(Hypothèses!$B$4=17,Hypothèses!$B$4=18,Hypothèses!$B$4=19,Hypothèses!$B$4=20),
IF($D230="Pressio.",
IF(OR($E230=3,$E230=1,$E230=4),(PI()*FH$12^2)/4*(FD230*$W230*1000)/($H230*$B$5),(PI()*FH$12^2)/4*(FD230*$W230*1000)/($G230*$B$5)),
IF($D230="Pénétro.",
IF(OR($E230=4,$E230=1,$E230=5),(PI()*FH$12^2)/4*(FD230*$W230*1000)/($H230*$B$5),(PI()*FH$12^2)/4*(FD230*$W230*1000)/($G230*$B$5)))),
IF($D230="Pressio.",
IF($E230=3,(PI()*FH$12^2)/4*(FD230*$W230*1000)/($H230*$B$5),(PI()*FH$12^2)/4*(FD230*$W230*1000)/($G230*$B$5)),
IF($D230="Pénétro.",
IF($E230=4,(PI()*FH$12^2)/4*(FD230*$W230*1000)/($H230*$B$5),(PI()*FH$12^2)/4*(FD230*$W230*1000)/($G230*$B$5))))))/10</f>
        <v>#N/A</v>
      </c>
      <c r="FI230" s="102" t="e">
        <f>(VLOOKUP($B$3,'Coeff EC7'!$T$39:$X$59,2,0)*FG230+VLOOKUP($B$3,'Coeff EC7'!$T$65:$X$85,2,0)*Model0.1C!FH230)/1.1</f>
        <v>#N/A</v>
      </c>
      <c r="FJ230" s="102" t="e">
        <f>(VLOOKUP($B$3,'Coeff EC7'!$T$39:$X$59,3,0)*FG230+VLOOKUP($B$3,'Coeff EC7'!$T$65:$X$85,3,0)*Model0.1C!FH230)/0.9</f>
        <v>#N/A</v>
      </c>
      <c r="FK230" s="102" t="e">
        <f t="shared" si="398"/>
        <v>#N/A</v>
      </c>
      <c r="FL230" s="102" t="e">
        <f t="shared" si="399"/>
        <v>#N/A</v>
      </c>
      <c r="FM230" s="414" t="e">
        <f>IF(FM229=0,0,IF(AND(FI230&gt;charge_ELS_quasi,FJ230&gt;Charge_ELS_freq,FK230&gt;charge_ELU,FL230&gt;charge_ELA,$B230&gt;NDC!$H$22-0.1+MIN(3*$FM$12,1.5)),0,1))</f>
        <v>#N/A</v>
      </c>
    </row>
    <row r="231" spans="1:169">
      <c r="A231" s="96">
        <f t="shared" si="367"/>
        <v>78.200000000001239</v>
      </c>
      <c r="B231" s="97">
        <v>21.8</v>
      </c>
      <c r="C231" s="81">
        <f>IF(B231&lt;=Hypothèses!$C$7,Hypothèses!$A$7,IF(B231&lt;=Hypothèses!$C$8,Hypothèses!$A$8,IF(B231&lt;=Hypothèses!$C$9,Hypothèses!$A$9,IF(B231&lt;=Hypothèses!$C$10,Hypothèses!$A$10,IF(B231&lt;=Hypothèses!$C$11,Hypothèses!$A$11,IF(B231&lt;=Hypothèses!$C$12,Hypothèses!$A$12,IF(B231&lt;=Hypothèses!$C$13,Hypothèses!$A$13,IF(B231&lt;=Hypothèses!$C$14,Hypothèses!$A$14,IF(B231&lt;=Hypothèses!$C$15,Hypothèses!$A$15,IF(B231&lt;=Hypothèses!$C$16,Hypothèses!$A$16,IF(B231&lt;=Hypothèses!$C$17,Hypothèses!$A$17,IF(B231&lt;=Hypothèses!$C$18,Hypothèses!$A$18,C230))))))))))))</f>
        <v>11</v>
      </c>
      <c r="D231" s="82" t="str">
        <f>IF(B231&lt;=Hypothèses!$C$7,Hypothèses!$R$7,IF(B231&lt;=Hypothèses!$C$8,Hypothèses!$R$8,IF(B231&lt;=Hypothèses!$C$9,Hypothèses!$R$9,IF(B231&lt;=Hypothèses!$C$10,Hypothèses!$R$10,IF(B231&lt;=Hypothèses!$C$11,Hypothèses!$R$11,IF(B231&lt;=Hypothèses!$C$12,Hypothèses!$R$12,IF(B231&lt;=Hypothèses!$C$13,Hypothèses!$R$13,IF(B231&lt;=Hypothèses!$C$14,Hypothèses!$R$14,IF(B231&lt;=Hypothèses!$C$15,Hypothèses!$R$15,IF(B231&lt;=Hypothèses!$C$16,Hypothèses!$R$16,IF(B231&lt;=Hypothèses!$C$17,Hypothèses!$R$17,IF(B231&lt;=Hypothèses!$C$18,Hypothèses!$R$18,D230))))))))))))</f>
        <v>Pressio.</v>
      </c>
      <c r="E231" s="82" t="e">
        <f>IF(B231&lt;=Hypothèses!$C$7,Hypothèses!$G$7,IF(B231&lt;=Hypothèses!$C$8,Hypothèses!$G$8,IF(B231&lt;=Hypothèses!$C$9,Hypothèses!$G$9,IF(B231&lt;=Hypothèses!$C$10,Hypothèses!$G$10,IF(B231&lt;=Hypothèses!$C$11,Hypothèses!$G$11,IF(B231&lt;=Hypothèses!$C$12,Hypothèses!$G$12,IF(B231&lt;=Hypothèses!$C$13,Hypothèses!$G$13,IF(B231&lt;=Hypothèses!$C$14,Hypothèses!$G$14,IF(B231&lt;=Hypothèses!$C$15,Hypothèses!$G$15,IF(B231&lt;=Hypothèses!$C$16,Hypothèses!$G$16,IF(B231&lt;=Hypothèses!$C$17,Hypothèses!$G$17,IF(B231&lt;=Hypothèses!$C$18,Hypothèses!$G$18,E230))))))))))))</f>
        <v>#N/A</v>
      </c>
      <c r="F231" s="82" t="str">
        <f>IF(B231&lt;=Hypothèses!$C$7,Hypothèses!$F$7,IF(B231&lt;=Hypothèses!$C$8,Hypothèses!$F$8,IF(B231&lt;=Hypothèses!$C$9,Hypothèses!$F$9,IF(B231&lt;=Hypothèses!$C$10,Hypothèses!$F$10,IF(B231&lt;=Hypothèses!$C$11,Hypothèses!$F$11,IF(B231&lt;=Hypothèses!$C$12,Hypothèses!$F$12,IF(B231&lt;=Hypothèses!$C$13,Hypothèses!$F$13,IF(B231&lt;=Hypothèses!$C$14,Hypothèses!$F$14,IF(B231&lt;=Hypothèses!$C$15,Hypothèses!$F$15,IF(B231&lt;=Hypothèses!$C$16,Hypothèses!$F$16,IF(B231&lt;=Hypothèses!$C$17,Hypothèses!$F$17,IF(B231&lt;=Hypothèses!$C$18,Hypothèses!$F$18,F230))))))))))))</f>
        <v/>
      </c>
      <c r="G231" s="91">
        <f t="array" ref="G231">INDEX('Coeff EC7'!$U$7:$X$27,
MATCH(Model0.1C!$B$3,'Coeff EC7'!$T$7:$T$27,0),
MATCH(Model0.1C!$D231&amp;Model0.1C!$B$4,
'Coeff EC7'!$U$6:$X$6&amp;
'Coeff EC7'!$U$5:$X$5,0))</f>
        <v>1.1499999999999999</v>
      </c>
      <c r="H231" s="91">
        <f t="array" ref="H231">INDEX('Coeff EC7'!$Y$7:$AB$27,
MATCH(Model0.1C!$B$3,'Coeff EC7'!$T$7:$T$27,0),
MATCH(Model0.1C!$D231&amp;Model0.1C!$B$4,
'Coeff EC7'!$Y$6:$AB$6&amp;
'Coeff EC7'!$Y$5:$AB$5,0))</f>
        <v>1.4</v>
      </c>
      <c r="I231" s="83" t="e">
        <f>IF(B231&lt;=Hypothèses!$C$7,Hypothèses!$P$7,IF(B231&lt;=Hypothèses!$C$8,Hypothèses!$P$8,IF(B231&lt;=Hypothèses!$C$9,Hypothèses!$P$9,IF(B231&lt;=Hypothèses!$C$10,Hypothèses!$P$10,IF(B231&lt;=Hypothèses!$C$11,Hypothèses!$P$11,IF(B231&lt;=Hypothèses!$C$12,Hypothèses!$P$12,IF(B231&lt;=Hypothèses!$C$13,Hypothèses!$P$13,IF(B231&lt;=Hypothèses!$C$14,Hypothèses!$P$14,IF(B231&lt;=Hypothèses!$C$15,Hypothèses!$P$15,IF(B231&lt;=Hypothèses!$C$16,Hypothèses!$P$16,IF(B231&lt;=Hypothèses!$C$17,Hypothèses!$P$17,IF(B231&lt;=Hypothèses!$C$18,Hypothèses!$P$18,I230))))))))))))</f>
        <v>#N/A</v>
      </c>
      <c r="J231" s="91" t="e">
        <f t="array" ref="J231">INDEX('Coeff EC7'!$D$33:$Q$33,1,MATCH(D231&amp;E231,'Coeff EC7'!$D$31:$Q$31&amp;'Coeff EC7'!$D$32:$Q$32,0))</f>
        <v>#N/A</v>
      </c>
      <c r="K231" s="91" t="e">
        <f t="array" ref="K231">INDEX('Coeff EC7'!$D$34:$Q$34,1,MATCH(D231&amp;E231,'Coeff EC7'!$D$31:$Q$31&amp;'Coeff EC7'!$D$32:$Q$32,0))</f>
        <v>#N/A</v>
      </c>
      <c r="L231" s="91" t="e">
        <f t="array" ref="L231">INDEX('Coeff EC7'!$D$35:$Q$35,1,MATCH(D231&amp;E231,'Coeff EC7'!$D$31:$Q$31&amp;'Coeff EC7'!$D$32:$Q$32,0))</f>
        <v>#N/A</v>
      </c>
      <c r="M231" s="98" t="e">
        <f t="shared" si="331"/>
        <v>#N/A</v>
      </c>
      <c r="N231" s="99" t="e">
        <f t="array" ref="N231">INDEX('Coeff EC7'!$D$7:$Q$27,MATCH($B$3,'Coeff EC7'!$C$7:$C$27,0),MATCH(D231&amp;E231,'Coeff EC7'!$D$5:$Q$5&amp;'Coeff EC7'!$D$6:$Q$6,0))</f>
        <v>#N/A</v>
      </c>
      <c r="O231" s="99" t="e">
        <f t="array" ref="O231">INDEX('Coeff EC7'!$D$41:$Q$61,MATCH($B$3,'Coeff EC7'!$C$41:$C$61,0),MATCH(D231&amp;E231,'Coeff EC7'!$D$39:$Q$39&amp;'Coeff EC7'!$D$40:$Q$40,0))</f>
        <v>#N/A</v>
      </c>
      <c r="P231" s="30" t="e">
        <f t="shared" si="368"/>
        <v>#N/A</v>
      </c>
      <c r="Q231" s="100" t="e">
        <f t="shared" si="333"/>
        <v>#N/A</v>
      </c>
      <c r="R231" s="86" t="b">
        <f t="shared" si="334"/>
        <v>0</v>
      </c>
      <c r="S231" s="86">
        <f t="shared" si="332"/>
        <v>0.5</v>
      </c>
      <c r="T231" s="86">
        <f t="shared" si="335"/>
        <v>0.5</v>
      </c>
      <c r="U231" s="30" t="e">
        <f t="shared" ca="1" si="369"/>
        <v>#DIV/0!</v>
      </c>
      <c r="V231" s="85" t="str">
        <f>IF(B231&lt;=Hypothèses!$V$7,Hypothèses!$W$7,IF(B231&lt;=Hypothèses!$V$8,Hypothèses!$W$8,IF(B231&lt;=Hypothèses!$V$9,Hypothèses!$W$9,IF(B231&lt;=Hypothèses!$V$10,Hypothèses!$W$10,IF(B231&lt;=Hypothèses!$V$11,Hypothèses!$W$11,IF(B231&lt;=Hypothèses!$V$12,Hypothèses!$W$12,IF(B231&lt;=Hypothèses!$V$13,Hypothèses!$W$13,IF(B231&lt;=Hypothèses!$V$14,Hypothèses!$W$14,IF(B231&lt;=Hypothèses!$V$15,Hypothèses!$W$15,IF(B231&lt;=Hypothèses!$V$16,Hypothèses!$W$16,IF(B231&lt;=Hypothèses!$V$17,Hypothèses!$W$17,IF(B231&lt;=Hypothèses!$V$18,Hypothèses!$W$18,""))))))))))))</f>
        <v/>
      </c>
      <c r="W231" s="87" t="e">
        <f t="shared" ca="1" si="416"/>
        <v>#DIV/0!</v>
      </c>
      <c r="X231" s="88" t="str">
        <f>IF(B231&lt;=Hypothèses!$V$7,Hypothèses!$X$7,IF(B231&lt;=Hypothèses!$V$8,Hypothèses!$X$8,IF(B231&lt;=Hypothèses!$V$9,Hypothèses!$X$9,IF(B231&lt;=Hypothèses!$V$10,Hypothèses!$X$10,IF(B231&lt;=Hypothèses!$V$11,Hypothèses!$X$11,IF(B231&lt;=Hypothèses!$V$12,Hypothèses!$X$12,IF(B231&lt;=Hypothèses!$V$13,Hypothèses!$X$13,IF(B231&lt;=Hypothèses!$V$14,Hypothèses!$X$14,IF(B231&lt;=Hypothèses!$V$15,Hypothèses!$X$15,IF(B231&lt;=Hypothèses!$V$16,Hypothèses!$X$16,IF(B231&lt;=Hypothèses!$U$17,Hypothèses!$W$17,IF(B231&lt;=Hypothèses!$U$18,Hypothèses!$W$18,""))))))))))))</f>
        <v/>
      </c>
      <c r="Y231" s="95" t="e">
        <f t="shared" ca="1" si="336"/>
        <v>#DIV/0!</v>
      </c>
      <c r="Z231" s="101" t="e">
        <f t="shared" si="337"/>
        <v>#N/A</v>
      </c>
      <c r="AA231" s="91" t="e">
        <f t="shared" si="338"/>
        <v>#N/A</v>
      </c>
      <c r="AB231" s="30" t="e">
        <f t="shared" si="400"/>
        <v>#N/A</v>
      </c>
      <c r="AC231" s="30" t="e">
        <f t="shared" si="401"/>
        <v>#N/A</v>
      </c>
      <c r="AD231" s="31" t="e">
        <f>IF(OR(Hypothèses!$B$4=17,Hypothèses!$B$4=18,Hypothèses!$B$4=19,Hypothèses!$B$4=20),
IF($D231="Pressio.",
IF(OR($E231=3,$E231=1,$E231=4),AC231,AB231),
IF($D231="Pénétro.",
IF(OR($E231=3,$E231=1,$E231=4),AC231,AB231))),IF($D231="Pressio.",
IF($E231=3,AC231,AB231),
IF($D231="Pénétro.",
IF($E231=4,AC231,AB231))))</f>
        <v>#N/A</v>
      </c>
      <c r="AE231" s="31" t="e">
        <f>(IF(OR(Hypothèses!$B$4=17,Hypothèses!$B$4=18,Hypothèses!$B$4=19,Hypothèses!$B$4=20),
IF($D231="Pressio.",
IF(OR($E231=3,$E231=1,$E231=4),(PI()*AE$12^2)/4*(AA231*$W231*1000)/($H231*$B$5),(PI()*AE$12^2)/4*(AA231*$W231*1000)/($G231*$B$5)),
IF($D231="Pénétro.",
IF(OR($E231=4,$E231=1,$E231=5),(PI()*AE$12^2)/4*(AA231*$W231*1000)/($H231*$B$5),(PI()*AE$12^2)/4*(AA231*$W231*1000)/($G231*$B$5)))),
IF($D231="Pressio.",
IF($E231=3,(PI()*AE$12^2)/4*(AA231*$W231*1000)/($H231*$B$5),(PI()*AE$12^2)/4*(AA231*$W231*1000)/($G231*$B$5)),
IF($D231="Pénétro.",
IF($E231=4,(PI()*AE$12^2)/4*(AA231*$W231*1000)/($H231*$B$5),(PI()*AE$12^2)/4*(AA231*$W231*1000)/($G231*$B$5))))))/10</f>
        <v>#N/A</v>
      </c>
      <c r="AF231" s="102" t="e">
        <f>(VLOOKUP($B$3,'Coeff EC7'!$T$39:$X$59,2,0)*AD231+VLOOKUP($B$3,'Coeff EC7'!$T$65:$X$85,2,0)*Model0.1C!AE231)/1.1</f>
        <v>#N/A</v>
      </c>
      <c r="AG231" s="102" t="e">
        <f>(VLOOKUP($B$3,'Coeff EC7'!$T$39:$X$59,3,0)*AD231+VLOOKUP($B$3,'Coeff EC7'!$T$65:$X$85,3,0)*Model0.1C!AE231)/0.9</f>
        <v>#N/A</v>
      </c>
      <c r="AH231" s="102" t="e">
        <f t="shared" si="339"/>
        <v>#N/A</v>
      </c>
      <c r="AI231" s="102" t="e">
        <f t="shared" si="340"/>
        <v>#N/A</v>
      </c>
      <c r="AJ231" s="414" t="e">
        <f>IF(AJ230=0,0,IF(AND(AF231&gt;charge_ELS_quasi,AG231&gt;Charge_ELS_freq,AH231&gt;charge_ELU,AI231&gt;charge_ELA,$B231&gt;NDC!$H$22-0.1+MIN(3*$AJ$12,1.5)),0,1))</f>
        <v>#N/A</v>
      </c>
      <c r="AK231" s="86" t="b">
        <f t="shared" si="341"/>
        <v>0</v>
      </c>
      <c r="AL231" s="86">
        <f t="shared" si="370"/>
        <v>0.5</v>
      </c>
      <c r="AM231" s="86">
        <f t="shared" si="342"/>
        <v>0.5</v>
      </c>
      <c r="AN231" s="30" t="e">
        <f t="shared" ca="1" si="371"/>
        <v>#DIV/0!</v>
      </c>
      <c r="AO231" s="85" t="e">
        <f ca="1">IF(U231&lt;=Hypothèses!$V$7,Hypothèses!$W$7,IF(U231&lt;=Hypothèses!$V$8,Hypothèses!$W$8,IF(U231&lt;=Hypothèses!$V$9,Hypothèses!$W$9,IF(U231&lt;=Hypothèses!$V$10,Hypothèses!$W$10,IF(U231&lt;=Hypothèses!$V$11,Hypothèses!$W$11,IF(U231&lt;=Hypothèses!$V$12,Hypothèses!$W$12,IF(U231&lt;=Hypothèses!$V$13,Hypothèses!$W$13,IF(U231&lt;=Hypothèses!$V$14,Hypothèses!$W$14,IF(U231&lt;=Hypothèses!$V$15,Hypothèses!$W$15,IF(U231&lt;=Hypothèses!$V$16,Hypothèses!$W$16,IF(U231&lt;=Hypothèses!$V$17,Hypothèses!$W$17,IF(U231&lt;=Hypothèses!$V$18,Hypothèses!$W$18,""))))))))))))</f>
        <v>#DIV/0!</v>
      </c>
      <c r="AP231" s="87" t="e">
        <f t="shared" ca="1" si="417"/>
        <v>#DIV/0!</v>
      </c>
      <c r="AQ231" s="88" t="e">
        <f ca="1">IF(U231&lt;=Hypothèses!$V$7,Hypothèses!$X$7,IF(U231&lt;=Hypothèses!$V$8,Hypothèses!$X$8,IF(U231&lt;=Hypothèses!$V$9,Hypothèses!$X$9,IF(U231&lt;=Hypothèses!$V$10,Hypothèses!$X$10,IF(U231&lt;=Hypothèses!$V$11,Hypothèses!$X$11,IF(U231&lt;=Hypothèses!$V$12,Hypothèses!$X$12,IF(U231&lt;=Hypothèses!$V$13,Hypothèses!$X$13,IF(U231&lt;=Hypothèses!$V$14,Hypothèses!$X$14,IF(U231&lt;=Hypothèses!$V$15,Hypothèses!$X$15,IF(U231&lt;=Hypothèses!$V$16,Hypothèses!$X$16,IF(U231&lt;=Hypothèses!$U$17,Hypothèses!$W$17,IF(U231&lt;=Hypothèses!$U$18,Hypothèses!$W$18,""))))))))))))</f>
        <v>#DIV/0!</v>
      </c>
      <c r="AR231" s="95" t="e">
        <f t="shared" ca="1" si="372"/>
        <v>#DIV/0!</v>
      </c>
      <c r="AS231" s="101" t="e">
        <f t="shared" si="424"/>
        <v>#N/A</v>
      </c>
      <c r="AT231" s="91" t="e">
        <f t="shared" si="343"/>
        <v>#N/A</v>
      </c>
      <c r="AU231" s="30" t="e">
        <f t="shared" si="402"/>
        <v>#N/A</v>
      </c>
      <c r="AV231" s="30" t="e">
        <f t="shared" si="403"/>
        <v>#N/A</v>
      </c>
      <c r="AW231" s="31" t="e">
        <f>IF(OR(Hypothèses!$B$4=17,Hypothèses!$B$4=18,Hypothèses!$B$4=19,Hypothèses!$B$4=20),
IF($D231="Pressio.",
IF(OR($E231=3,$E231=1,$E231=4),AV231,AU231),
IF($D231="Pénétro.",
IF(OR($E231=3,$E231=1,$E231=4),AV231,AU231))),IF($D231="Pressio.",
IF($E231=3,AV231,AU231),
IF($D231="Pénétro.",
IF($E231=4,AV231,AU231))))</f>
        <v>#N/A</v>
      </c>
      <c r="AX231" s="31" t="e">
        <f>(IF(OR(Hypothèses!$B$4=17,Hypothèses!$B$4=18,Hypothèses!$B$4=19,Hypothèses!$B$4=20),
IF($D231="Pressio.",
IF(OR($E231=3,$E231=1,$E231=4),(PI()*AX$12^2)/4*(AT231*$W231*1000)/($H231*$B$5),(PI()*AX$12^2)/4*(AT231*$W231*1000)/($G231*$B$5)),
IF($D231="Pénétro.",
IF(OR($E231=4,$E231=1,$E231=5),(PI()*AX$12^2)/4*(AT231*$W231*1000)/($H231*$B$5),(PI()*AX$12^2)/4*(AT231*$W231*1000)/($G231*$B$5)))),
IF($D231="Pressio.",
IF($E231=3,(PI()*AX$12^2)/4*(AT231*$W231*1000)/($H231*$B$5),(PI()*AX$12^2)/4*(AT231*$W231*1000)/($G231*$B$5)),
IF($D231="Pénétro.",
IF($E231=4,(PI()*AX$12^2)/4*(AT231*$W231*1000)/($H231*$B$5),(PI()*AX$12^2)/4*(AT231*$W231*1000)/($G231*$B$5))))))/10</f>
        <v>#N/A</v>
      </c>
      <c r="AY231" s="102" t="e">
        <f>(VLOOKUP($B$3,'Coeff EC7'!$T$39:$X$59,2,0)*AW231+VLOOKUP($B$3,'Coeff EC7'!$T$65:$X$85,2,0)*Model0.1C!AX231)/1.1</f>
        <v>#N/A</v>
      </c>
      <c r="AZ231" s="102" t="e">
        <f>(VLOOKUP($B$3,'Coeff EC7'!$T$39:$X$59,3,0)*AW231+VLOOKUP($B$3,'Coeff EC7'!$T$65:$X$85,3,0)*Model0.1C!AX231)/0.9</f>
        <v>#N/A</v>
      </c>
      <c r="BA231" s="102" t="e">
        <f t="shared" si="373"/>
        <v>#N/A</v>
      </c>
      <c r="BB231" s="102" t="e">
        <f t="shared" si="374"/>
        <v>#N/A</v>
      </c>
      <c r="BC231" s="414" t="e">
        <f>IF(BC230=0,0,IF(AND(AY231&gt;charge_ELS_quasi,AZ231&gt;Charge_ELS_freq,BA231&gt;charge_ELU,BB231&gt;charge_ELA,$B231&gt;NDC!$H$22-0.1+MIN(3*$BC$12,1.5)),0,1))</f>
        <v>#N/A</v>
      </c>
      <c r="BD231" s="86" t="b">
        <f t="shared" si="344"/>
        <v>0</v>
      </c>
      <c r="BE231" s="86">
        <f t="shared" si="375"/>
        <v>0.5</v>
      </c>
      <c r="BF231" s="86">
        <f t="shared" si="345"/>
        <v>0.5</v>
      </c>
      <c r="BG231" s="30" t="e">
        <f t="shared" ca="1" si="376"/>
        <v>#DIV/0!</v>
      </c>
      <c r="BH231" s="85" t="e">
        <f ca="1">IF(AN231&lt;=Hypothèses!$V$7,Hypothèses!$W$7,IF(AN231&lt;=Hypothèses!$V$8,Hypothèses!$W$8,IF(AN231&lt;=Hypothèses!$V$9,Hypothèses!$W$9,IF(AN231&lt;=Hypothèses!$V$10,Hypothèses!$W$10,IF(AN231&lt;=Hypothèses!$V$11,Hypothèses!$W$11,IF(AN231&lt;=Hypothèses!$V$12,Hypothèses!$W$12,IF(AN231&lt;=Hypothèses!$V$13,Hypothèses!$W$13,IF(AN231&lt;=Hypothèses!$V$14,Hypothèses!$W$14,IF(AN231&lt;=Hypothèses!$V$15,Hypothèses!$W$15,IF(AN231&lt;=Hypothèses!$V$16,Hypothèses!$W$16,IF(AN231&lt;=Hypothèses!$V$17,Hypothèses!$W$17,IF(AN231&lt;=Hypothèses!$V$18,Hypothèses!$W$18,""))))))))))))</f>
        <v>#DIV/0!</v>
      </c>
      <c r="BI231" s="87" t="e">
        <f t="shared" ca="1" si="418"/>
        <v>#DIV/0!</v>
      </c>
      <c r="BJ231" s="88" t="e">
        <f ca="1">IF(AN231&lt;=Hypothèses!$V$7,Hypothèses!$X$7,IF(AN231&lt;=Hypothèses!$V$8,Hypothèses!$X$8,IF(AN231&lt;=Hypothèses!$V$9,Hypothèses!$X$9,IF(AN231&lt;=Hypothèses!$V$10,Hypothèses!$X$10,IF(AN231&lt;=Hypothèses!$V$11,Hypothèses!$X$11,IF(AN231&lt;=Hypothèses!$V$12,Hypothèses!$X$12,IF(AN231&lt;=Hypothèses!$V$13,Hypothèses!$X$13,IF(AN231&lt;=Hypothèses!$V$14,Hypothèses!$X$14,IF(AN231&lt;=Hypothèses!$V$15,Hypothèses!$X$15,IF(AN231&lt;=Hypothèses!$V$16,Hypothèses!$X$16,IF(AN231&lt;=Hypothèses!$U$17,Hypothèses!$W$17,IF(AN231&lt;=Hypothèses!$U$18,Hypothèses!$W$18,""))))))))))))</f>
        <v>#DIV/0!</v>
      </c>
      <c r="BK231" s="95" t="e">
        <f t="shared" ca="1" si="377"/>
        <v>#DIV/0!</v>
      </c>
      <c r="BL231" s="101" t="e">
        <f t="shared" si="425"/>
        <v>#N/A</v>
      </c>
      <c r="BM231" s="91" t="e">
        <f t="shared" si="346"/>
        <v>#N/A</v>
      </c>
      <c r="BN231" s="30" t="e">
        <f t="shared" si="404"/>
        <v>#N/A</v>
      </c>
      <c r="BO231" s="30" t="e">
        <f t="shared" si="405"/>
        <v>#N/A</v>
      </c>
      <c r="BP231" s="31" t="e">
        <f>IF(OR(Hypothèses!$B$4=17,Hypothèses!$B$4=18,Hypothèses!$B$4=19,Hypothèses!$B$4=20),
IF($D231="Pressio.",
IF(OR($E231=3,$E231=1,$E231=4),BO231,BN231),
IF($D231="Pénétro.",
IF(OR($E231=3,$E231=1,$E231=4),BO231,BN231))),IF($D231="Pressio.",
IF($E231=3,BO231,BN231),
IF($D231="Pénétro.",
IF($E231=4,BO231,BN231))))</f>
        <v>#N/A</v>
      </c>
      <c r="BQ231" s="31" t="e">
        <f>(IF(OR(Hypothèses!$B$4=17,Hypothèses!$B$4=18,Hypothèses!$B$4=19,Hypothèses!$B$4=20),
IF($D231="Pressio.",
IF(OR($E231=3,$E231=1,$E231=4),(PI()*BQ$12^2)/4*(BM231*$W231*1000)/($H231*$B$5),(PI()*BQ$12^2)/4*(BM231*$W231*1000)/($G231*$B$5)),
IF($D231="Pénétro.",
IF(OR($E231=4,$E231=1,$E231=5),(PI()*BQ$12^2)/4*(BM231*$W231*1000)/($H231*$B$5),(PI()*BQ$12^2)/4*(BM231*$W231*1000)/($G231*$B$5)))),
IF($D231="Pressio.",
IF($E231=3,(PI()*BQ$12^2)/4*(BM231*$W231*1000)/($H231*$B$5),(PI()*BQ$12^2)/4*(BM231*$W231*1000)/($G231*$B$5)),
IF($D231="Pénétro.",
IF($E231=4,(PI()*BQ$12^2)/4*(BM231*$W231*1000)/($H231*$B$5),(PI()*BQ$12^2)/4*(BM231*$W231*1000)/($G231*$B$5))))))/10</f>
        <v>#N/A</v>
      </c>
      <c r="BR231" s="102" t="e">
        <f>(VLOOKUP($B$3,'Coeff EC7'!$T$39:$X$59,2,0)*BP231+VLOOKUP($B$3,'Coeff EC7'!$T$65:$X$85,2,0)*Model0.1C!BQ231)/1.1</f>
        <v>#N/A</v>
      </c>
      <c r="BS231" s="102" t="e">
        <f>(VLOOKUP($B$3,'Coeff EC7'!$T$39:$X$59,3,0)*BP231+VLOOKUP($B$3,'Coeff EC7'!$T$65:$X$85,3,0)*Model0.1C!BQ231)/0.9</f>
        <v>#N/A</v>
      </c>
      <c r="BT231" s="102" t="e">
        <f t="shared" si="378"/>
        <v>#N/A</v>
      </c>
      <c r="BU231" s="102" t="e">
        <f t="shared" si="379"/>
        <v>#N/A</v>
      </c>
      <c r="BV231" s="414" t="e">
        <f>IF(BV230=0,0,IF(AND(BR231&gt;charge_ELS_quasi,BS231&gt;Charge_ELS_freq,BT231&gt;charge_ELU,BU231&gt;charge_ELA,$B231&gt;NDC!$H$22-0.1+MIN(3*$BV$12,1.5)),0,1))</f>
        <v>#N/A</v>
      </c>
      <c r="BW231" s="86" t="b">
        <f t="shared" si="347"/>
        <v>0</v>
      </c>
      <c r="BX231" s="86">
        <f t="shared" si="348"/>
        <v>0.5</v>
      </c>
      <c r="BY231" s="86">
        <f t="shared" si="349"/>
        <v>0.5</v>
      </c>
      <c r="BZ231" s="30" t="e">
        <f t="shared" ca="1" si="380"/>
        <v>#DIV/0!</v>
      </c>
      <c r="CA231" s="85" t="e">
        <f ca="1">IF(BG231&lt;=Hypothèses!$V$7,Hypothèses!$W$7,IF(BG231&lt;=Hypothèses!$V$8,Hypothèses!$W$8,IF(BG231&lt;=Hypothèses!$V$9,Hypothèses!$W$9,IF(BG231&lt;=Hypothèses!$V$10,Hypothèses!$W$10,IF(BG231&lt;=Hypothèses!$V$11,Hypothèses!$W$11,IF(BG231&lt;=Hypothèses!$V$12,Hypothèses!$W$12,IF(BG231&lt;=Hypothèses!$V$13,Hypothèses!$W$13,IF(BG231&lt;=Hypothèses!$V$14,Hypothèses!$W$14,IF(BG231&lt;=Hypothèses!$V$15,Hypothèses!$W$15,IF(BG231&lt;=Hypothèses!$V$16,Hypothèses!$W$16,IF(BG231&lt;=Hypothèses!$V$17,Hypothèses!$W$17,IF(BG231&lt;=Hypothèses!$V$18,Hypothèses!$W$18,""))))))))))))</f>
        <v>#DIV/0!</v>
      </c>
      <c r="CB231" s="87" t="e">
        <f t="shared" ca="1" si="419"/>
        <v>#DIV/0!</v>
      </c>
      <c r="CC231" s="88" t="e">
        <f ca="1">IF(BG231&lt;=Hypothèses!$V$7,Hypothèses!$X$7,IF(BG231&lt;=Hypothèses!$V$8,Hypothèses!$X$8,IF(BG231&lt;=Hypothèses!$V$9,Hypothèses!$X$9,IF(BG231&lt;=Hypothèses!$V$10,Hypothèses!$X$10,IF(BG231&lt;=Hypothèses!$V$11,Hypothèses!$X$11,IF(BG231&lt;=Hypothèses!$V$12,Hypothèses!$X$12,IF(BG231&lt;=Hypothèses!$V$13,Hypothèses!$X$13,IF(BG231&lt;=Hypothèses!$V$14,Hypothèses!$X$14,IF(BG231&lt;=Hypothèses!$V$15,Hypothèses!$X$15,IF(BG231&lt;=Hypothèses!$V$16,Hypothèses!$X$16,IF(BG231&lt;=Hypothèses!$U$17,Hypothèses!$W$17,IF(BG231&lt;=Hypothèses!$U$18,Hypothèses!$W$18,""))))))))))))</f>
        <v>#DIV/0!</v>
      </c>
      <c r="CD231" s="95" t="e">
        <f t="shared" ca="1" si="381"/>
        <v>#DIV/0!</v>
      </c>
      <c r="CE231" s="101" t="e">
        <f t="shared" si="426"/>
        <v>#N/A</v>
      </c>
      <c r="CF231" s="91" t="e">
        <f t="shared" si="350"/>
        <v>#N/A</v>
      </c>
      <c r="CG231" s="30" t="e">
        <f t="shared" si="406"/>
        <v>#N/A</v>
      </c>
      <c r="CH231" s="30" t="e">
        <f t="shared" si="407"/>
        <v>#N/A</v>
      </c>
      <c r="CI231" s="31" t="e">
        <f>IF(OR(Hypothèses!$B$4=17,Hypothèses!$B$4=18,Hypothèses!$B$4=19,Hypothèses!$B$4=20),
IF($D231="Pressio.",
IF(OR($E231=3,$E231=1,$E231=4),CH231,CG231),
IF($D231="Pénétro.",
IF(OR($E231=3,$E231=1,$E231=4),CH231,CG231))),IF($D231="Pressio.",
IF($E231=3,CH231,CG231),
IF($D231="Pénétro.",
IF($E231=4,CH231,CG231))))</f>
        <v>#N/A</v>
      </c>
      <c r="CJ231" s="31" t="e">
        <f>(IF(OR(Hypothèses!$B$4=17,Hypothèses!$B$4=18,Hypothèses!$B$4=19,Hypothèses!$B$4=20),
IF($D231="Pressio.",
IF(OR($E231=3,$E231=1,$E231=4),(PI()*CJ$12^2)/4*(CF231*$W231*1000)/($H231*$B$5),(PI()*CJ$12^2)/4*(CF231*$W231*1000)/($G231*$B$5)),
IF($D231="Pénétro.",
IF(OR($E231=4,$E231=1,$E231=5),(PI()*CJ$12^2)/4*(CF231*$W231*1000)/($H231*$B$5),(PI()*CJ$12^2)/4*(CF231*$W231*1000)/($G231*$B$5)))),
IF($D231="Pressio.",
IF($E231=3,(PI()*CJ$12^2)/4*(CF231*$W231*1000)/($H231*$B$5),(PI()*CJ$12^2)/4*(CF231*$W231*1000)/($G231*$B$5)),
IF($D231="Pénétro.",
IF($E231=4,(PI()*CJ$12^2)/4*(CF231*$W231*1000)/($H231*$B$5),(PI()*CJ$12^2)/4*(CF231*$W231*1000)/($G231*$B$5))))))/10</f>
        <v>#N/A</v>
      </c>
      <c r="CK231" s="102" t="e">
        <f>(VLOOKUP($B$3,'Coeff EC7'!$T$39:$X$59,2,0)*CI231+VLOOKUP($B$3,'Coeff EC7'!$T$65:$X$85,2,0)*Model0.1C!CJ231)/1.1</f>
        <v>#N/A</v>
      </c>
      <c r="CL231" s="102" t="e">
        <f>(VLOOKUP($B$3,'Coeff EC7'!$T$39:$X$59,3,0)*CI231+VLOOKUP($B$3,'Coeff EC7'!$T$65:$X$85,3,0)*Model0.1C!CJ231)/0.9</f>
        <v>#N/A</v>
      </c>
      <c r="CM231" s="102" t="e">
        <f t="shared" si="382"/>
        <v>#N/A</v>
      </c>
      <c r="CN231" s="102" t="e">
        <f t="shared" si="383"/>
        <v>#N/A</v>
      </c>
      <c r="CO231" s="414" t="e">
        <f>IF(CO230=0,0,IF(AND(CK231&gt;charge_ELS_quasi,CL231&gt;Charge_ELS_freq,CM231&gt;charge_ELU,CN231&gt;charge_ELA,$B231&gt;NDC!$H$22-0.1+MIN(3*$CO$12,1.5)),0,1))</f>
        <v>#N/A</v>
      </c>
      <c r="CP231" s="86" t="b">
        <f t="shared" si="351"/>
        <v>0</v>
      </c>
      <c r="CQ231" s="86">
        <f t="shared" si="352"/>
        <v>0.5</v>
      </c>
      <c r="CR231" s="86">
        <f t="shared" si="353"/>
        <v>0.5</v>
      </c>
      <c r="CS231" s="30" t="e">
        <f t="shared" ca="1" si="384"/>
        <v>#DIV/0!</v>
      </c>
      <c r="CT231" s="85" t="e">
        <f ca="1">IF(BZ231&lt;=Hypothèses!$V$7,Hypothèses!$W$7,IF(BZ231&lt;=Hypothèses!$V$8,Hypothèses!$W$8,IF(BZ231&lt;=Hypothèses!$V$9,Hypothèses!$W$9,IF(BZ231&lt;=Hypothèses!$V$10,Hypothèses!$W$10,IF(BZ231&lt;=Hypothèses!$V$11,Hypothèses!$W$11,IF(BZ231&lt;=Hypothèses!$V$12,Hypothèses!$W$12,IF(BZ231&lt;=Hypothèses!$V$13,Hypothèses!$W$13,IF(BZ231&lt;=Hypothèses!$V$14,Hypothèses!$W$14,IF(BZ231&lt;=Hypothèses!$V$15,Hypothèses!$W$15,IF(BZ231&lt;=Hypothèses!$V$16,Hypothèses!$W$16,IF(BZ231&lt;=Hypothèses!$V$17,Hypothèses!$W$17,IF(BZ231&lt;=Hypothèses!$V$18,Hypothèses!$W$18,""))))))))))))</f>
        <v>#DIV/0!</v>
      </c>
      <c r="CU231" s="87" t="e">
        <f t="shared" ca="1" si="420"/>
        <v>#DIV/0!</v>
      </c>
      <c r="CV231" s="88" t="e">
        <f ca="1">IF(BZ231&lt;=Hypothèses!$V$7,Hypothèses!$X$7,IF(BZ231&lt;=Hypothèses!$V$8,Hypothèses!$X$8,IF(BZ231&lt;=Hypothèses!$V$9,Hypothèses!$X$9,IF(BZ231&lt;=Hypothèses!$V$10,Hypothèses!$X$10,IF(BZ231&lt;=Hypothèses!$V$11,Hypothèses!$X$11,IF(BZ231&lt;=Hypothèses!$V$12,Hypothèses!$X$12,IF(BZ231&lt;=Hypothèses!$V$13,Hypothèses!$X$13,IF(BZ231&lt;=Hypothèses!$V$14,Hypothèses!$X$14,IF(BZ231&lt;=Hypothèses!$V$15,Hypothèses!$X$15,IF(BZ231&lt;=Hypothèses!$V$16,Hypothèses!$X$16,IF(BZ231&lt;=Hypothèses!$U$17,Hypothèses!$W$17,IF(BZ231&lt;=Hypothèses!$U$18,Hypothèses!$W$18,""))))))))))))</f>
        <v>#DIV/0!</v>
      </c>
      <c r="CW231" s="95" t="e">
        <f t="shared" ca="1" si="385"/>
        <v>#DIV/0!</v>
      </c>
      <c r="CX231" s="101" t="e">
        <f t="shared" si="427"/>
        <v>#N/A</v>
      </c>
      <c r="CY231" s="91" t="e">
        <f t="shared" si="354"/>
        <v>#N/A</v>
      </c>
      <c r="CZ231" s="30" t="e">
        <f t="shared" si="408"/>
        <v>#N/A</v>
      </c>
      <c r="DA231" s="30" t="e">
        <f t="shared" si="409"/>
        <v>#N/A</v>
      </c>
      <c r="DB231" s="31" t="e">
        <f>IF(OR(Hypothèses!$B$4=17,Hypothèses!$B$4=18,Hypothèses!$B$4=19,Hypothèses!$B$4=20),
IF($D231="Pressio.",
IF(OR($E231=3,$E231=1,$E231=4),DA231,CZ231),
IF($D231="Pénétro.",
IF(OR($E231=3,$E231=1,$E231=4),DA231,CZ231))),IF($D231="Pressio.",
IF($E231=3,DA231,CZ231),
IF($D231="Pénétro.",
IF($E231=4,DA231,CZ231))))</f>
        <v>#N/A</v>
      </c>
      <c r="DC231" s="31" t="e">
        <f>(IF(OR(Hypothèses!$B$4=17,Hypothèses!$B$4=18,Hypothèses!$B$4=19,Hypothèses!$B$4=20),
IF($D231="Pressio.",
IF(OR($E231=3,$E231=1,$E231=4),(PI()*DC$12^2)/4*(CY231*$W231*1000)/($H231*$B$5),(PI()*DC$12^2)/4*(CY231*$W231*1000)/($G231*$B$5)),
IF($D231="Pénétro.",
IF(OR($E231=4,$E231=1,$E231=5),(PI()*DC$12^2)/4*(CY231*$W231*1000)/($H231*$B$5),(PI()*DC$12^2)/4*(CY231*$W231*1000)/($G231*$B$5)))),
IF($D231="Pressio.",
IF($E231=3,(PI()*DC$12^2)/4*(CY231*$W231*1000)/($H231*$B$5),(PI()*DC$12^2)/4*(CY231*$W231*1000)/($G231*$B$5)),
IF($D231="Pénétro.",
IF($E231=4,(PI()*DC$12^2)/4*(CY231*$W231*1000)/($H231*$B$5),(PI()*DC$12^2)/4*(CY231*$W231*1000)/($G231*$B$5))))))/10</f>
        <v>#N/A</v>
      </c>
      <c r="DD231" s="102" t="e">
        <f>(VLOOKUP($B$3,'Coeff EC7'!$T$39:$X$59,2,0)*DB231+VLOOKUP($B$3,'Coeff EC7'!$T$65:$X$85,2,0)*Model0.1C!DC231)/1.1</f>
        <v>#N/A</v>
      </c>
      <c r="DE231" s="102" t="e">
        <f>(VLOOKUP($B$3,'Coeff EC7'!$T$39:$X$59,3,0)*DB231+VLOOKUP($B$3,'Coeff EC7'!$T$65:$X$85,3,0)*Model0.1C!DC231)/0.9</f>
        <v>#N/A</v>
      </c>
      <c r="DF231" s="102" t="e">
        <f t="shared" si="386"/>
        <v>#N/A</v>
      </c>
      <c r="DG231" s="102" t="e">
        <f t="shared" si="387"/>
        <v>#N/A</v>
      </c>
      <c r="DH231" s="414" t="e">
        <f>IF(DH230=0,0,IF(AND(DD231&gt;charge_ELS_quasi,DE231&gt;Charge_ELS_freq,DF231&gt;charge_ELU,DG231&gt;charge_ELA,$B231&gt;NDC!$H$22-0.1+MIN(3*$DH$12,1.5)),0,1))</f>
        <v>#N/A</v>
      </c>
      <c r="DI231" s="86" t="b">
        <f t="shared" si="355"/>
        <v>0</v>
      </c>
      <c r="DJ231" s="86">
        <f t="shared" si="356"/>
        <v>0.5</v>
      </c>
      <c r="DK231" s="86">
        <f t="shared" si="357"/>
        <v>0.5</v>
      </c>
      <c r="DL231" s="30" t="e">
        <f t="shared" ca="1" si="388"/>
        <v>#DIV/0!</v>
      </c>
      <c r="DM231" s="85" t="e">
        <f ca="1">IF(CS231&lt;=Hypothèses!$V$7,Hypothèses!$W$7,IF(CS231&lt;=Hypothèses!$V$8,Hypothèses!$W$8,IF(CS231&lt;=Hypothèses!$V$9,Hypothèses!$W$9,IF(CS231&lt;=Hypothèses!$V$10,Hypothèses!$W$10,IF(CS231&lt;=Hypothèses!$V$11,Hypothèses!$W$11,IF(CS231&lt;=Hypothèses!$V$12,Hypothèses!$W$12,IF(CS231&lt;=Hypothèses!$V$13,Hypothèses!$W$13,IF(CS231&lt;=Hypothèses!$V$14,Hypothèses!$W$14,IF(CS231&lt;=Hypothèses!$V$15,Hypothèses!$W$15,IF(CS231&lt;=Hypothèses!$V$16,Hypothèses!$W$16,IF(CS231&lt;=Hypothèses!$V$17,Hypothèses!$W$17,IF(CS231&lt;=Hypothèses!$V$18,Hypothèses!$W$18,""))))))))))))</f>
        <v>#DIV/0!</v>
      </c>
      <c r="DN231" s="87" t="e">
        <f t="shared" ca="1" si="421"/>
        <v>#DIV/0!</v>
      </c>
      <c r="DO231" s="88" t="e">
        <f ca="1">IF(CS231&lt;=Hypothèses!$V$7,Hypothèses!$X$7,IF(CS231&lt;=Hypothèses!$V$8,Hypothèses!$X$8,IF(CS231&lt;=Hypothèses!$V$9,Hypothèses!$X$9,IF(CS231&lt;=Hypothèses!$V$10,Hypothèses!$X$10,IF(CS231&lt;=Hypothèses!$V$11,Hypothèses!$X$11,IF(CS231&lt;=Hypothèses!$V$12,Hypothèses!$X$12,IF(CS231&lt;=Hypothèses!$V$13,Hypothèses!$X$13,IF(CS231&lt;=Hypothèses!$V$14,Hypothèses!$X$14,IF(CS231&lt;=Hypothèses!$V$15,Hypothèses!$X$15,IF(CS231&lt;=Hypothèses!$V$16,Hypothèses!$X$16,IF(CS231&lt;=Hypothèses!$U$17,Hypothèses!$W$17,IF(CS231&lt;=Hypothèses!$U$18,Hypothèses!$W$18,""))))))))))))</f>
        <v>#DIV/0!</v>
      </c>
      <c r="DP231" s="95" t="e">
        <f t="shared" ca="1" si="389"/>
        <v>#DIV/0!</v>
      </c>
      <c r="DQ231" s="101" t="e">
        <f t="shared" si="428"/>
        <v>#N/A</v>
      </c>
      <c r="DR231" s="91" t="e">
        <f t="shared" si="358"/>
        <v>#N/A</v>
      </c>
      <c r="DS231" s="30" t="e">
        <f t="shared" si="410"/>
        <v>#N/A</v>
      </c>
      <c r="DT231" s="30" t="e">
        <f t="shared" si="411"/>
        <v>#N/A</v>
      </c>
      <c r="DU231" s="31" t="e">
        <f>IF(OR(Hypothèses!$B$4=17,Hypothèses!$B$4=18,Hypothèses!$B$4=19,Hypothèses!$B$4=20),
IF($D231="Pressio.",
IF(OR($E231=3,$E231=1,$E231=4),DT231,DS231),
IF($D231="Pénétro.",
IF(OR($E231=3,$E231=1,$E231=4),DT231,DS231))),IF($D231="Pressio.",
IF($E231=3,DT231,DS231),
IF($D231="Pénétro.",
IF($E231=4,DT231,DS231))))</f>
        <v>#N/A</v>
      </c>
      <c r="DV231" s="31" t="e">
        <f>(IF(OR(Hypothèses!$B$4=17,Hypothèses!$B$4=18,Hypothèses!$B$4=19,Hypothèses!$B$4=20),
IF($D231="Pressio.",
IF(OR($E231=3,$E231=1,$E231=4),(PI()*DV$12^2)/4*(DR231*$W231*1000)/($H231*$B$5),(PI()*DV$12^2)/4*(DR231*$W231*1000)/($G231*$B$5)),
IF($D231="Pénétro.",
IF(OR($E231=4,$E231=1,$E231=5),(PI()*DV$12^2)/4*(DR231*$W231*1000)/($H231*$B$5),(PI()*DV$12^2)/4*(DR231*$W231*1000)/($G231*$B$5)))),
IF($D231="Pressio.",
IF($E231=3,(PI()*DV$12^2)/4*(DR231*$W231*1000)/($H231*$B$5),(PI()*DV$12^2)/4*(DR231*$W231*1000)/($G231*$B$5)),
IF($D231="Pénétro.",
IF($E231=4,(PI()*DV$12^2)/4*(DR231*$W231*1000)/($H231*$B$5),(PI()*DV$12^2)/4*(DR231*$W231*1000)/($G231*$B$5))))))/10</f>
        <v>#N/A</v>
      </c>
      <c r="DW231" s="102" t="e">
        <f>(VLOOKUP($B$3,'Coeff EC7'!$T$39:$X$59,2,0)*DU231+VLOOKUP($B$3,'Coeff EC7'!$T$65:$X$85,2,0)*Model0.1C!DV231)/1.1</f>
        <v>#N/A</v>
      </c>
      <c r="DX231" s="102" t="e">
        <f>(VLOOKUP($B$3,'Coeff EC7'!$T$39:$X$59,3,0)*DU231+VLOOKUP($B$3,'Coeff EC7'!$T$65:$X$85,3,0)*Model0.1C!DV231)/0.9</f>
        <v>#N/A</v>
      </c>
      <c r="DY231" s="102" t="e">
        <f t="shared" si="390"/>
        <v>#N/A</v>
      </c>
      <c r="DZ231" s="102" t="e">
        <f t="shared" si="391"/>
        <v>#N/A</v>
      </c>
      <c r="EA231" s="414" t="e">
        <f>IF(EA230=0,0,IF(AND(DW231&gt;charge_ELS_quasi,DX231&gt;Charge_ELS_freq,DY231&gt;charge_ELU,DZ231&gt;charge_ELA,$B231&gt;NDC!$H$22-0.1+MIN(3*$EA$12,1.5)),0,1))</f>
        <v>#N/A</v>
      </c>
      <c r="EB231" s="86" t="b">
        <f t="shared" si="359"/>
        <v>0</v>
      </c>
      <c r="EC231" s="418">
        <f t="shared" si="360"/>
        <v>0.51</v>
      </c>
      <c r="ED231" s="86">
        <f t="shared" si="361"/>
        <v>0.51</v>
      </c>
      <c r="EE231" s="30" t="e">
        <f t="shared" ca="1" si="392"/>
        <v>#DIV/0!</v>
      </c>
      <c r="EF231" s="85" t="e">
        <f ca="1">IF(DL231&lt;=Hypothèses!$V$7,Hypothèses!$W$7,IF(DL231&lt;=Hypothèses!$V$8,Hypothèses!$W$8,IF(DL231&lt;=Hypothèses!$V$9,Hypothèses!$W$9,IF(DL231&lt;=Hypothèses!$V$10,Hypothèses!$W$10,IF(DL231&lt;=Hypothèses!$V$11,Hypothèses!$W$11,IF(DL231&lt;=Hypothèses!$V$12,Hypothèses!$W$12,IF(DL231&lt;=Hypothèses!$V$13,Hypothèses!$W$13,IF(DL231&lt;=Hypothèses!$V$14,Hypothèses!$W$14,IF(DL231&lt;=Hypothèses!$V$15,Hypothèses!$W$15,IF(DL231&lt;=Hypothèses!$V$16,Hypothèses!$W$16,IF(DL231&lt;=Hypothèses!$V$17,Hypothèses!$W$17,IF(DL231&lt;=Hypothèses!$V$18,Hypothèses!$W$18,""))))))))))))</f>
        <v>#DIV/0!</v>
      </c>
      <c r="EG231" s="87" t="e">
        <f t="shared" ca="1" si="422"/>
        <v>#DIV/0!</v>
      </c>
      <c r="EH231" s="88" t="e">
        <f ca="1">IF(DL231&lt;=Hypothèses!$V$7,Hypothèses!$X$7,IF(DL231&lt;=Hypothèses!$V$8,Hypothèses!$X$8,IF(DL231&lt;=Hypothèses!$V$9,Hypothèses!$X$9,IF(DL231&lt;=Hypothèses!$V$10,Hypothèses!$X$10,IF(DL231&lt;=Hypothèses!$V$11,Hypothèses!$X$11,IF(DL231&lt;=Hypothèses!$V$12,Hypothèses!$X$12,IF(DL231&lt;=Hypothèses!$V$13,Hypothèses!$X$13,IF(DL231&lt;=Hypothèses!$V$14,Hypothèses!$X$14,IF(DL231&lt;=Hypothèses!$V$15,Hypothèses!$X$15,IF(DL231&lt;=Hypothèses!$V$16,Hypothèses!$X$16,IF(DL231&lt;=Hypothèses!$U$17,Hypothèses!$W$17,IF(DL231&lt;=Hypothèses!$U$18,Hypothèses!$W$18,""))))))))))))</f>
        <v>#DIV/0!</v>
      </c>
      <c r="EI231" s="95" t="e">
        <f t="shared" ca="1" si="393"/>
        <v>#DIV/0!</v>
      </c>
      <c r="EJ231" s="101" t="e">
        <f t="shared" si="429"/>
        <v>#N/A</v>
      </c>
      <c r="EK231" s="91" t="e">
        <f t="shared" si="362"/>
        <v>#N/A</v>
      </c>
      <c r="EL231" s="30" t="e">
        <f t="shared" si="412"/>
        <v>#N/A</v>
      </c>
      <c r="EM231" s="30" t="e">
        <f t="shared" si="413"/>
        <v>#N/A</v>
      </c>
      <c r="EN231" s="31" t="e">
        <f>IF(OR(Hypothèses!$B$4=17,Hypothèses!$B$4=18,Hypothèses!$B$4=19,Hypothèses!$B$4=20),
IF($D231="Pressio.",
IF(OR($E231=3,$E231=1,$E231=4),EM231,EL231),
IF($D231="Pénétro.",
IF(OR($E231=3,$E231=1,$E231=4),EM231,EL231))),IF($D231="Pressio.",
IF($E231=3,EM231,EL231),
IF($D231="Pénétro.",
IF($E231=4,EM231,EL231))))</f>
        <v>#N/A</v>
      </c>
      <c r="EO231" s="31" t="e">
        <f>(IF(OR(Hypothèses!$B$4=17,Hypothèses!$B$4=18,Hypothèses!$B$4=19,Hypothèses!$B$4=20),
IF($D231="Pressio.",
IF(OR($E231=3,$E231=1,$E231=4),(PI()*EO$12^2)/4*(EK231*$W231*1000)/($H231*$B$5),(PI()*EO$12^2)/4*(EK231*$W231*1000)/($G231*$B$5)),
IF($D231="Pénétro.",
IF(OR($E231=4,$E231=1,$E231=5),(PI()*EO$12^2)/4*(EK231*$W231*1000)/($H231*$B$5),(PI()*EO$12^2)/4*(EK231*$W231*1000)/($G231*$B$5)))),
IF($D231="Pressio.",
IF($E231=3,(PI()*EO$12^2)/4*(EK231*$W231*1000)/($H231*$B$5),(PI()*EO$12^2)/4*(EK231*$W231*1000)/($G231*$B$5)),
IF($D231="Pénétro.",
IF($E231=4,(PI()*EO$12^2)/4*(EK231*$W231*1000)/($H231*$B$5),(PI()*EO$12^2)/4*(EK231*$W231*1000)/($G231*$B$5))))))/10</f>
        <v>#N/A</v>
      </c>
      <c r="EP231" s="102" t="e">
        <f>(VLOOKUP($B$3,'Coeff EC7'!$T$39:$X$59,2,0)*EN231+VLOOKUP($B$3,'Coeff EC7'!$T$65:$X$85,2,0)*Model0.1C!EO231)/1.1</f>
        <v>#N/A</v>
      </c>
      <c r="EQ231" s="102" t="e">
        <f>(VLOOKUP($B$3,'Coeff EC7'!$T$39:$X$59,3,0)*EN231+VLOOKUP($B$3,'Coeff EC7'!$T$65:$X$85,3,0)*Model0.1C!EO231)/0.9</f>
        <v>#N/A</v>
      </c>
      <c r="ER231" s="102" t="e">
        <f t="shared" si="394"/>
        <v>#N/A</v>
      </c>
      <c r="ES231" s="102" t="e">
        <f t="shared" si="395"/>
        <v>#N/A</v>
      </c>
      <c r="ET231" s="414" t="e">
        <f>IF(ET230=0,0,IF(AND(EP231&gt;charge_ELS_quasi,EQ231&gt;Charge_ELS_freq,ER231&gt;charge_ELU,ES231&gt;charge_ELA,$B231&gt;NDC!$H$22-0.1+MIN(3*$ET$12,1.5)),0,1))</f>
        <v>#N/A</v>
      </c>
      <c r="EU231" s="86" t="b">
        <f t="shared" si="363"/>
        <v>0</v>
      </c>
      <c r="EV231" s="86">
        <f t="shared" si="364"/>
        <v>0.61</v>
      </c>
      <c r="EW231" s="86">
        <f t="shared" si="365"/>
        <v>0.61</v>
      </c>
      <c r="EX231" s="30" t="e">
        <f t="shared" ca="1" si="396"/>
        <v>#DIV/0!</v>
      </c>
      <c r="EY231" s="85" t="e">
        <f ca="1">IF(EE231&lt;=Hypothèses!$V$7,Hypothèses!$W$7,IF(EE231&lt;=Hypothèses!$V$8,Hypothèses!$W$8,IF(EE231&lt;=Hypothèses!$V$9,Hypothèses!$W$9,IF(EE231&lt;=Hypothèses!$V$10,Hypothèses!$W$10,IF(EE231&lt;=Hypothèses!$V$11,Hypothèses!$W$11,IF(EE231&lt;=Hypothèses!$V$12,Hypothèses!$W$12,IF(EE231&lt;=Hypothèses!$V$13,Hypothèses!$W$13,IF(EE231&lt;=Hypothèses!$V$14,Hypothèses!$W$14,IF(EE231&lt;=Hypothèses!$V$15,Hypothèses!$W$15,IF(EE231&lt;=Hypothèses!$V$16,Hypothèses!$W$16,IF(EE231&lt;=Hypothèses!$V$17,Hypothèses!$W$17,IF(EE231&lt;=Hypothèses!$V$18,Hypothèses!$W$18,""))))))))))))</f>
        <v>#DIV/0!</v>
      </c>
      <c r="EZ231" s="87" t="e">
        <f t="shared" ca="1" si="423"/>
        <v>#DIV/0!</v>
      </c>
      <c r="FA231" s="88" t="e">
        <f ca="1">IF(EE231&lt;=Hypothèses!$V$7,Hypothèses!$X$7,IF(EE231&lt;=Hypothèses!$V$8,Hypothèses!$X$8,IF(EE231&lt;=Hypothèses!$V$9,Hypothèses!$X$9,IF(EE231&lt;=Hypothèses!$V$10,Hypothèses!$X$10,IF(EE231&lt;=Hypothèses!$V$11,Hypothèses!$X$11,IF(EE231&lt;=Hypothèses!$V$12,Hypothèses!$X$12,IF(EE231&lt;=Hypothèses!$V$13,Hypothèses!$X$13,IF(EE231&lt;=Hypothèses!$V$14,Hypothèses!$X$14,IF(EE231&lt;=Hypothèses!$V$15,Hypothèses!$X$15,IF(EE231&lt;=Hypothèses!$V$16,Hypothèses!$X$16,IF(EE231&lt;=Hypothèses!$U$17,Hypothèses!$W$17,IF(EE231&lt;=Hypothèses!$U$18,Hypothèses!$W$18,""))))))))))))</f>
        <v>#DIV/0!</v>
      </c>
      <c r="FB231" s="95" t="e">
        <f t="shared" ca="1" si="397"/>
        <v>#DIV/0!</v>
      </c>
      <c r="FC231" s="101" t="e">
        <f t="shared" si="430"/>
        <v>#N/A</v>
      </c>
      <c r="FD231" s="91" t="e">
        <f t="shared" si="366"/>
        <v>#N/A</v>
      </c>
      <c r="FE231" s="30" t="e">
        <f t="shared" si="414"/>
        <v>#N/A</v>
      </c>
      <c r="FF231" s="30" t="e">
        <f t="shared" si="415"/>
        <v>#N/A</v>
      </c>
      <c r="FG231" s="31" t="e">
        <f>IF(OR(Hypothèses!$B$4=17,Hypothèses!$B$4=18,Hypothèses!$B$4=19,Hypothèses!$B$4=20),
IF($D231="Pressio.",
IF(OR($E231=3,$E231=1,$E231=4),FF231,FE231),
IF($D231="Pénétro.",
IF(OR($E231=3,$E231=1,$E231=4),FF231,FE231))),IF($D231="Pressio.",
IF($E231=3,FF231,FE231),
IF($D231="Pénétro.",
IF($E231=4,FF231,FE231))))</f>
        <v>#N/A</v>
      </c>
      <c r="FH231" s="31" t="e">
        <f>(IF(OR(Hypothèses!$B$4=17,Hypothèses!$B$4=18,Hypothèses!$B$4=19,Hypothèses!$B$4=20),
IF($D231="Pressio.",
IF(OR($E231=3,$E231=1,$E231=4),(PI()*FH$12^2)/4*(FD231*$W231*1000)/($H231*$B$5),(PI()*FH$12^2)/4*(FD231*$W231*1000)/($G231*$B$5)),
IF($D231="Pénétro.",
IF(OR($E231=4,$E231=1,$E231=5),(PI()*FH$12^2)/4*(FD231*$W231*1000)/($H231*$B$5),(PI()*FH$12^2)/4*(FD231*$W231*1000)/($G231*$B$5)))),
IF($D231="Pressio.",
IF($E231=3,(PI()*FH$12^2)/4*(FD231*$W231*1000)/($H231*$B$5),(PI()*FH$12^2)/4*(FD231*$W231*1000)/($G231*$B$5)),
IF($D231="Pénétro.",
IF($E231=4,(PI()*FH$12^2)/4*(FD231*$W231*1000)/($H231*$B$5),(PI()*FH$12^2)/4*(FD231*$W231*1000)/($G231*$B$5))))))/10</f>
        <v>#N/A</v>
      </c>
      <c r="FI231" s="102" t="e">
        <f>(VLOOKUP($B$3,'Coeff EC7'!$T$39:$X$59,2,0)*FG231+VLOOKUP($B$3,'Coeff EC7'!$T$65:$X$85,2,0)*Model0.1C!FH231)/1.1</f>
        <v>#N/A</v>
      </c>
      <c r="FJ231" s="102" t="e">
        <f>(VLOOKUP($B$3,'Coeff EC7'!$T$39:$X$59,3,0)*FG231+VLOOKUP($B$3,'Coeff EC7'!$T$65:$X$85,3,0)*Model0.1C!FH231)/0.9</f>
        <v>#N/A</v>
      </c>
      <c r="FK231" s="102" t="e">
        <f t="shared" si="398"/>
        <v>#N/A</v>
      </c>
      <c r="FL231" s="102" t="e">
        <f t="shared" si="399"/>
        <v>#N/A</v>
      </c>
      <c r="FM231" s="414" t="e">
        <f>IF(FM230=0,0,IF(AND(FI231&gt;charge_ELS_quasi,FJ231&gt;Charge_ELS_freq,FK231&gt;charge_ELU,FL231&gt;charge_ELA,$B231&gt;NDC!$H$22-0.1+MIN(3*$FM$12,1.5)),0,1))</f>
        <v>#N/A</v>
      </c>
    </row>
    <row r="232" spans="1:169">
      <c r="A232" s="96">
        <f t="shared" si="367"/>
        <v>78.100000000001245</v>
      </c>
      <c r="B232" s="97">
        <v>21.9</v>
      </c>
      <c r="C232" s="81">
        <f>IF(B232&lt;=Hypothèses!$C$7,Hypothèses!$A$7,IF(B232&lt;=Hypothèses!$C$8,Hypothèses!$A$8,IF(B232&lt;=Hypothèses!$C$9,Hypothèses!$A$9,IF(B232&lt;=Hypothèses!$C$10,Hypothèses!$A$10,IF(B232&lt;=Hypothèses!$C$11,Hypothèses!$A$11,IF(B232&lt;=Hypothèses!$C$12,Hypothèses!$A$12,IF(B232&lt;=Hypothèses!$C$13,Hypothèses!$A$13,IF(B232&lt;=Hypothèses!$C$14,Hypothèses!$A$14,IF(B232&lt;=Hypothèses!$C$15,Hypothèses!$A$15,IF(B232&lt;=Hypothèses!$C$16,Hypothèses!$A$16,IF(B232&lt;=Hypothèses!$C$17,Hypothèses!$A$17,IF(B232&lt;=Hypothèses!$C$18,Hypothèses!$A$18,C231))))))))))))</f>
        <v>11</v>
      </c>
      <c r="D232" s="82" t="str">
        <f>IF(B232&lt;=Hypothèses!$C$7,Hypothèses!$R$7,IF(B232&lt;=Hypothèses!$C$8,Hypothèses!$R$8,IF(B232&lt;=Hypothèses!$C$9,Hypothèses!$R$9,IF(B232&lt;=Hypothèses!$C$10,Hypothèses!$R$10,IF(B232&lt;=Hypothèses!$C$11,Hypothèses!$R$11,IF(B232&lt;=Hypothèses!$C$12,Hypothèses!$R$12,IF(B232&lt;=Hypothèses!$C$13,Hypothèses!$R$13,IF(B232&lt;=Hypothèses!$C$14,Hypothèses!$R$14,IF(B232&lt;=Hypothèses!$C$15,Hypothèses!$R$15,IF(B232&lt;=Hypothèses!$C$16,Hypothèses!$R$16,IF(B232&lt;=Hypothèses!$C$17,Hypothèses!$R$17,IF(B232&lt;=Hypothèses!$C$18,Hypothèses!$R$18,D231))))))))))))</f>
        <v>Pressio.</v>
      </c>
      <c r="E232" s="82" t="e">
        <f>IF(B232&lt;=Hypothèses!$C$7,Hypothèses!$G$7,IF(B232&lt;=Hypothèses!$C$8,Hypothèses!$G$8,IF(B232&lt;=Hypothèses!$C$9,Hypothèses!$G$9,IF(B232&lt;=Hypothèses!$C$10,Hypothèses!$G$10,IF(B232&lt;=Hypothèses!$C$11,Hypothèses!$G$11,IF(B232&lt;=Hypothèses!$C$12,Hypothèses!$G$12,IF(B232&lt;=Hypothèses!$C$13,Hypothèses!$G$13,IF(B232&lt;=Hypothèses!$C$14,Hypothèses!$G$14,IF(B232&lt;=Hypothèses!$C$15,Hypothèses!$G$15,IF(B232&lt;=Hypothèses!$C$16,Hypothèses!$G$16,IF(B232&lt;=Hypothèses!$C$17,Hypothèses!$G$17,IF(B232&lt;=Hypothèses!$C$18,Hypothèses!$G$18,E231))))))))))))</f>
        <v>#N/A</v>
      </c>
      <c r="F232" s="82" t="str">
        <f>IF(B232&lt;=Hypothèses!$C$7,Hypothèses!$F$7,IF(B232&lt;=Hypothèses!$C$8,Hypothèses!$F$8,IF(B232&lt;=Hypothèses!$C$9,Hypothèses!$F$9,IF(B232&lt;=Hypothèses!$C$10,Hypothèses!$F$10,IF(B232&lt;=Hypothèses!$C$11,Hypothèses!$F$11,IF(B232&lt;=Hypothèses!$C$12,Hypothèses!$F$12,IF(B232&lt;=Hypothèses!$C$13,Hypothèses!$F$13,IF(B232&lt;=Hypothèses!$C$14,Hypothèses!$F$14,IF(B232&lt;=Hypothèses!$C$15,Hypothèses!$F$15,IF(B232&lt;=Hypothèses!$C$16,Hypothèses!$F$16,IF(B232&lt;=Hypothèses!$C$17,Hypothèses!$F$17,IF(B232&lt;=Hypothèses!$C$18,Hypothèses!$F$18,F231))))))))))))</f>
        <v/>
      </c>
      <c r="G232" s="91">
        <f t="array" ref="G232">INDEX('Coeff EC7'!$U$7:$X$27,
MATCH(Model0.1C!$B$3,'Coeff EC7'!$T$7:$T$27,0),
MATCH(Model0.1C!$D232&amp;Model0.1C!$B$4,
'Coeff EC7'!$U$6:$X$6&amp;
'Coeff EC7'!$U$5:$X$5,0))</f>
        <v>1.1499999999999999</v>
      </c>
      <c r="H232" s="91">
        <f t="array" ref="H232">INDEX('Coeff EC7'!$Y$7:$AB$27,
MATCH(Model0.1C!$B$3,'Coeff EC7'!$T$7:$T$27,0),
MATCH(Model0.1C!$D232&amp;Model0.1C!$B$4,
'Coeff EC7'!$Y$6:$AB$6&amp;
'Coeff EC7'!$Y$5:$AB$5,0))</f>
        <v>1.4</v>
      </c>
      <c r="I232" s="83" t="e">
        <f>IF(B232&lt;=Hypothèses!$C$7,Hypothèses!$P$7,IF(B232&lt;=Hypothèses!$C$8,Hypothèses!$P$8,IF(B232&lt;=Hypothèses!$C$9,Hypothèses!$P$9,IF(B232&lt;=Hypothèses!$C$10,Hypothèses!$P$10,IF(B232&lt;=Hypothèses!$C$11,Hypothèses!$P$11,IF(B232&lt;=Hypothèses!$C$12,Hypothèses!$P$12,IF(B232&lt;=Hypothèses!$C$13,Hypothèses!$P$13,IF(B232&lt;=Hypothèses!$C$14,Hypothèses!$P$14,IF(B232&lt;=Hypothèses!$C$15,Hypothèses!$P$15,IF(B232&lt;=Hypothèses!$C$16,Hypothèses!$P$16,IF(B232&lt;=Hypothèses!$C$17,Hypothèses!$P$17,IF(B232&lt;=Hypothèses!$C$18,Hypothèses!$P$18,I231))))))))))))</f>
        <v>#N/A</v>
      </c>
      <c r="J232" s="91" t="e">
        <f t="array" ref="J232">INDEX('Coeff EC7'!$D$33:$Q$33,1,MATCH(D232&amp;E232,'Coeff EC7'!$D$31:$Q$31&amp;'Coeff EC7'!$D$32:$Q$32,0))</f>
        <v>#N/A</v>
      </c>
      <c r="K232" s="91" t="e">
        <f t="array" ref="K232">INDEX('Coeff EC7'!$D$34:$Q$34,1,MATCH(D232&amp;E232,'Coeff EC7'!$D$31:$Q$31&amp;'Coeff EC7'!$D$32:$Q$32,0))</f>
        <v>#N/A</v>
      </c>
      <c r="L232" s="91" t="e">
        <f t="array" ref="L232">INDEX('Coeff EC7'!$D$35:$Q$35,1,MATCH(D232&amp;E232,'Coeff EC7'!$D$31:$Q$31&amp;'Coeff EC7'!$D$32:$Q$32,0))</f>
        <v>#N/A</v>
      </c>
      <c r="M232" s="98" t="e">
        <f t="shared" si="331"/>
        <v>#N/A</v>
      </c>
      <c r="N232" s="99" t="e">
        <f t="array" ref="N232">INDEX('Coeff EC7'!$D$7:$Q$27,MATCH($B$3,'Coeff EC7'!$C$7:$C$27,0),MATCH(D232&amp;E232,'Coeff EC7'!$D$5:$Q$5&amp;'Coeff EC7'!$D$6:$Q$6,0))</f>
        <v>#N/A</v>
      </c>
      <c r="O232" s="99" t="e">
        <f t="array" ref="O232">INDEX('Coeff EC7'!$D$41:$Q$61,MATCH($B$3,'Coeff EC7'!$C$41:$C$61,0),MATCH(D232&amp;E232,'Coeff EC7'!$D$39:$Q$39&amp;'Coeff EC7'!$D$40:$Q$40,0))</f>
        <v>#N/A</v>
      </c>
      <c r="P232" s="30" t="e">
        <f t="shared" si="368"/>
        <v>#N/A</v>
      </c>
      <c r="Q232" s="100" t="e">
        <f t="shared" si="333"/>
        <v>#N/A</v>
      </c>
      <c r="R232" s="86" t="b">
        <f t="shared" si="334"/>
        <v>0</v>
      </c>
      <c r="S232" s="86">
        <f t="shared" si="332"/>
        <v>0.5</v>
      </c>
      <c r="T232" s="86">
        <f t="shared" si="335"/>
        <v>0.5</v>
      </c>
      <c r="U232" s="30" t="e">
        <f t="shared" ca="1" si="369"/>
        <v>#DIV/0!</v>
      </c>
      <c r="V232" s="85" t="str">
        <f>IF(B232&lt;=Hypothèses!$V$7,Hypothèses!$W$7,IF(B232&lt;=Hypothèses!$V$8,Hypothèses!$W$8,IF(B232&lt;=Hypothèses!$V$9,Hypothèses!$W$9,IF(B232&lt;=Hypothèses!$V$10,Hypothèses!$W$10,IF(B232&lt;=Hypothèses!$V$11,Hypothèses!$W$11,IF(B232&lt;=Hypothèses!$V$12,Hypothèses!$W$12,IF(B232&lt;=Hypothèses!$V$13,Hypothèses!$W$13,IF(B232&lt;=Hypothèses!$V$14,Hypothèses!$W$14,IF(B232&lt;=Hypothèses!$V$15,Hypothèses!$W$15,IF(B232&lt;=Hypothèses!$V$16,Hypothèses!$W$16,IF(B232&lt;=Hypothèses!$V$17,Hypothèses!$W$17,IF(B232&lt;=Hypothèses!$V$18,Hypothèses!$W$18,""))))))))))))</f>
        <v/>
      </c>
      <c r="W232" s="87" t="e">
        <f t="shared" ca="1" si="416"/>
        <v>#DIV/0!</v>
      </c>
      <c r="X232" s="88" t="str">
        <f>IF(B232&lt;=Hypothèses!$V$7,Hypothèses!$X$7,IF(B232&lt;=Hypothèses!$V$8,Hypothèses!$X$8,IF(B232&lt;=Hypothèses!$V$9,Hypothèses!$X$9,IF(B232&lt;=Hypothèses!$V$10,Hypothèses!$X$10,IF(B232&lt;=Hypothèses!$V$11,Hypothèses!$X$11,IF(B232&lt;=Hypothèses!$V$12,Hypothèses!$X$12,IF(B232&lt;=Hypothèses!$V$13,Hypothèses!$X$13,IF(B232&lt;=Hypothèses!$V$14,Hypothèses!$X$14,IF(B232&lt;=Hypothèses!$V$15,Hypothèses!$X$15,IF(B232&lt;=Hypothèses!$V$16,Hypothèses!$X$16,IF(B232&lt;=Hypothèses!$U$17,Hypothèses!$W$17,IF(B232&lt;=Hypothèses!$U$18,Hypothèses!$W$18,""))))))))))))</f>
        <v/>
      </c>
      <c r="Y232" s="95" t="e">
        <f t="shared" ca="1" si="336"/>
        <v>#DIV/0!</v>
      </c>
      <c r="Z232" s="101" t="e">
        <f t="shared" si="337"/>
        <v>#N/A</v>
      </c>
      <c r="AA232" s="91" t="e">
        <f t="shared" si="338"/>
        <v>#N/A</v>
      </c>
      <c r="AB232" s="30" t="e">
        <f t="shared" si="400"/>
        <v>#N/A</v>
      </c>
      <c r="AC232" s="30" t="e">
        <f t="shared" si="401"/>
        <v>#N/A</v>
      </c>
      <c r="AD232" s="31" t="e">
        <f>IF(OR(Hypothèses!$B$4=17,Hypothèses!$B$4=18,Hypothèses!$B$4=19,Hypothèses!$B$4=20),
IF($D232="Pressio.",
IF(OR($E232=3,$E232=1,$E232=4),AC232,AB232),
IF($D232="Pénétro.",
IF(OR($E232=3,$E232=1,$E232=4),AC232,AB232))),IF($D232="Pressio.",
IF($E232=3,AC232,AB232),
IF($D232="Pénétro.",
IF($E232=4,AC232,AB232))))</f>
        <v>#N/A</v>
      </c>
      <c r="AE232" s="31" t="e">
        <f>(IF(OR(Hypothèses!$B$4=17,Hypothèses!$B$4=18,Hypothèses!$B$4=19,Hypothèses!$B$4=20),
IF($D232="Pressio.",
IF(OR($E232=3,$E232=1,$E232=4),(PI()*AE$12^2)/4*(AA232*$W232*1000)/($H232*$B$5),(PI()*AE$12^2)/4*(AA232*$W232*1000)/($G232*$B$5)),
IF($D232="Pénétro.",
IF(OR($E232=4,$E232=1,$E232=5),(PI()*AE$12^2)/4*(AA232*$W232*1000)/($H232*$B$5),(PI()*AE$12^2)/4*(AA232*$W232*1000)/($G232*$B$5)))),
IF($D232="Pressio.",
IF($E232=3,(PI()*AE$12^2)/4*(AA232*$W232*1000)/($H232*$B$5),(PI()*AE$12^2)/4*(AA232*$W232*1000)/($G232*$B$5)),
IF($D232="Pénétro.",
IF($E232=4,(PI()*AE$12^2)/4*(AA232*$W232*1000)/($H232*$B$5),(PI()*AE$12^2)/4*(AA232*$W232*1000)/($G232*$B$5))))))/10</f>
        <v>#N/A</v>
      </c>
      <c r="AF232" s="102" t="e">
        <f>(VLOOKUP($B$3,'Coeff EC7'!$T$39:$X$59,2,0)*AD232+VLOOKUP($B$3,'Coeff EC7'!$T$65:$X$85,2,0)*Model0.1C!AE232)/1.1</f>
        <v>#N/A</v>
      </c>
      <c r="AG232" s="102" t="e">
        <f>(VLOOKUP($B$3,'Coeff EC7'!$T$39:$X$59,3,0)*AD232+VLOOKUP($B$3,'Coeff EC7'!$T$65:$X$85,3,0)*Model0.1C!AE232)/0.9</f>
        <v>#N/A</v>
      </c>
      <c r="AH232" s="102" t="e">
        <f t="shared" si="339"/>
        <v>#N/A</v>
      </c>
      <c r="AI232" s="102" t="e">
        <f t="shared" si="340"/>
        <v>#N/A</v>
      </c>
      <c r="AJ232" s="414" t="e">
        <f>IF(AJ231=0,0,IF(AND(AF232&gt;charge_ELS_quasi,AG232&gt;Charge_ELS_freq,AH232&gt;charge_ELU,AI232&gt;charge_ELA,$B232&gt;NDC!$H$22-0.1+MIN(3*$AJ$12,1.5)),0,1))</f>
        <v>#N/A</v>
      </c>
      <c r="AK232" s="86" t="b">
        <f t="shared" si="341"/>
        <v>0</v>
      </c>
      <c r="AL232" s="86">
        <f t="shared" si="370"/>
        <v>0.5</v>
      </c>
      <c r="AM232" s="86">
        <f t="shared" si="342"/>
        <v>0.5</v>
      </c>
      <c r="AN232" s="30" t="e">
        <f t="shared" ca="1" si="371"/>
        <v>#DIV/0!</v>
      </c>
      <c r="AO232" s="85" t="e">
        <f ca="1">IF(U232&lt;=Hypothèses!$V$7,Hypothèses!$W$7,IF(U232&lt;=Hypothèses!$V$8,Hypothèses!$W$8,IF(U232&lt;=Hypothèses!$V$9,Hypothèses!$W$9,IF(U232&lt;=Hypothèses!$V$10,Hypothèses!$W$10,IF(U232&lt;=Hypothèses!$V$11,Hypothèses!$W$11,IF(U232&lt;=Hypothèses!$V$12,Hypothèses!$W$12,IF(U232&lt;=Hypothèses!$V$13,Hypothèses!$W$13,IF(U232&lt;=Hypothèses!$V$14,Hypothèses!$W$14,IF(U232&lt;=Hypothèses!$V$15,Hypothèses!$W$15,IF(U232&lt;=Hypothèses!$V$16,Hypothèses!$W$16,IF(U232&lt;=Hypothèses!$V$17,Hypothèses!$W$17,IF(U232&lt;=Hypothèses!$V$18,Hypothèses!$W$18,""))))))))))))</f>
        <v>#DIV/0!</v>
      </c>
      <c r="AP232" s="87" t="e">
        <f t="shared" ca="1" si="417"/>
        <v>#DIV/0!</v>
      </c>
      <c r="AQ232" s="88" t="e">
        <f ca="1">IF(U232&lt;=Hypothèses!$V$7,Hypothèses!$X$7,IF(U232&lt;=Hypothèses!$V$8,Hypothèses!$X$8,IF(U232&lt;=Hypothèses!$V$9,Hypothèses!$X$9,IF(U232&lt;=Hypothèses!$V$10,Hypothèses!$X$10,IF(U232&lt;=Hypothèses!$V$11,Hypothèses!$X$11,IF(U232&lt;=Hypothèses!$V$12,Hypothèses!$X$12,IF(U232&lt;=Hypothèses!$V$13,Hypothèses!$X$13,IF(U232&lt;=Hypothèses!$V$14,Hypothèses!$X$14,IF(U232&lt;=Hypothèses!$V$15,Hypothèses!$X$15,IF(U232&lt;=Hypothèses!$V$16,Hypothèses!$X$16,IF(U232&lt;=Hypothèses!$U$17,Hypothèses!$W$17,IF(U232&lt;=Hypothèses!$U$18,Hypothèses!$W$18,""))))))))))))</f>
        <v>#DIV/0!</v>
      </c>
      <c r="AR232" s="95" t="e">
        <f t="shared" ca="1" si="372"/>
        <v>#DIV/0!</v>
      </c>
      <c r="AS232" s="101" t="e">
        <f t="shared" si="424"/>
        <v>#N/A</v>
      </c>
      <c r="AT232" s="91" t="e">
        <f t="shared" si="343"/>
        <v>#N/A</v>
      </c>
      <c r="AU232" s="30" t="e">
        <f t="shared" si="402"/>
        <v>#N/A</v>
      </c>
      <c r="AV232" s="30" t="e">
        <f t="shared" si="403"/>
        <v>#N/A</v>
      </c>
      <c r="AW232" s="31" t="e">
        <f>IF(OR(Hypothèses!$B$4=17,Hypothèses!$B$4=18,Hypothèses!$B$4=19,Hypothèses!$B$4=20),
IF($D232="Pressio.",
IF(OR($E232=3,$E232=1,$E232=4),AV232,AU232),
IF($D232="Pénétro.",
IF(OR($E232=3,$E232=1,$E232=4),AV232,AU232))),IF($D232="Pressio.",
IF($E232=3,AV232,AU232),
IF($D232="Pénétro.",
IF($E232=4,AV232,AU232))))</f>
        <v>#N/A</v>
      </c>
      <c r="AX232" s="31" t="e">
        <f>(IF(OR(Hypothèses!$B$4=17,Hypothèses!$B$4=18,Hypothèses!$B$4=19,Hypothèses!$B$4=20),
IF($D232="Pressio.",
IF(OR($E232=3,$E232=1,$E232=4),(PI()*AX$12^2)/4*(AT232*$W232*1000)/($H232*$B$5),(PI()*AX$12^2)/4*(AT232*$W232*1000)/($G232*$B$5)),
IF($D232="Pénétro.",
IF(OR($E232=4,$E232=1,$E232=5),(PI()*AX$12^2)/4*(AT232*$W232*1000)/($H232*$B$5),(PI()*AX$12^2)/4*(AT232*$W232*1000)/($G232*$B$5)))),
IF($D232="Pressio.",
IF($E232=3,(PI()*AX$12^2)/4*(AT232*$W232*1000)/($H232*$B$5),(PI()*AX$12^2)/4*(AT232*$W232*1000)/($G232*$B$5)),
IF($D232="Pénétro.",
IF($E232=4,(PI()*AX$12^2)/4*(AT232*$W232*1000)/($H232*$B$5),(PI()*AX$12^2)/4*(AT232*$W232*1000)/($G232*$B$5))))))/10</f>
        <v>#N/A</v>
      </c>
      <c r="AY232" s="102" t="e">
        <f>(VLOOKUP($B$3,'Coeff EC7'!$T$39:$X$59,2,0)*AW232+VLOOKUP($B$3,'Coeff EC7'!$T$65:$X$85,2,0)*Model0.1C!AX232)/1.1</f>
        <v>#N/A</v>
      </c>
      <c r="AZ232" s="102" t="e">
        <f>(VLOOKUP($B$3,'Coeff EC7'!$T$39:$X$59,3,0)*AW232+VLOOKUP($B$3,'Coeff EC7'!$T$65:$X$85,3,0)*Model0.1C!AX232)/0.9</f>
        <v>#N/A</v>
      </c>
      <c r="BA232" s="102" t="e">
        <f t="shared" si="373"/>
        <v>#N/A</v>
      </c>
      <c r="BB232" s="102" t="e">
        <f t="shared" si="374"/>
        <v>#N/A</v>
      </c>
      <c r="BC232" s="414" t="e">
        <f>IF(BC231=0,0,IF(AND(AY232&gt;charge_ELS_quasi,AZ232&gt;Charge_ELS_freq,BA232&gt;charge_ELU,BB232&gt;charge_ELA,$B232&gt;NDC!$H$22-0.1+MIN(3*$BC$12,1.5)),0,1))</f>
        <v>#N/A</v>
      </c>
      <c r="BD232" s="86" t="b">
        <f t="shared" si="344"/>
        <v>0</v>
      </c>
      <c r="BE232" s="86">
        <f t="shared" si="375"/>
        <v>0.5</v>
      </c>
      <c r="BF232" s="86">
        <f t="shared" si="345"/>
        <v>0.5</v>
      </c>
      <c r="BG232" s="30" t="e">
        <f t="shared" ca="1" si="376"/>
        <v>#DIV/0!</v>
      </c>
      <c r="BH232" s="85" t="e">
        <f ca="1">IF(AN232&lt;=Hypothèses!$V$7,Hypothèses!$W$7,IF(AN232&lt;=Hypothèses!$V$8,Hypothèses!$W$8,IF(AN232&lt;=Hypothèses!$V$9,Hypothèses!$W$9,IF(AN232&lt;=Hypothèses!$V$10,Hypothèses!$W$10,IF(AN232&lt;=Hypothèses!$V$11,Hypothèses!$W$11,IF(AN232&lt;=Hypothèses!$V$12,Hypothèses!$W$12,IF(AN232&lt;=Hypothèses!$V$13,Hypothèses!$W$13,IF(AN232&lt;=Hypothèses!$V$14,Hypothèses!$W$14,IF(AN232&lt;=Hypothèses!$V$15,Hypothèses!$W$15,IF(AN232&lt;=Hypothèses!$V$16,Hypothèses!$W$16,IF(AN232&lt;=Hypothèses!$V$17,Hypothèses!$W$17,IF(AN232&lt;=Hypothèses!$V$18,Hypothèses!$W$18,""))))))))))))</f>
        <v>#DIV/0!</v>
      </c>
      <c r="BI232" s="87" t="e">
        <f t="shared" ca="1" si="418"/>
        <v>#DIV/0!</v>
      </c>
      <c r="BJ232" s="88" t="e">
        <f ca="1">IF(AN232&lt;=Hypothèses!$V$7,Hypothèses!$X$7,IF(AN232&lt;=Hypothèses!$V$8,Hypothèses!$X$8,IF(AN232&lt;=Hypothèses!$V$9,Hypothèses!$X$9,IF(AN232&lt;=Hypothèses!$V$10,Hypothèses!$X$10,IF(AN232&lt;=Hypothèses!$V$11,Hypothèses!$X$11,IF(AN232&lt;=Hypothèses!$V$12,Hypothèses!$X$12,IF(AN232&lt;=Hypothèses!$V$13,Hypothèses!$X$13,IF(AN232&lt;=Hypothèses!$V$14,Hypothèses!$X$14,IF(AN232&lt;=Hypothèses!$V$15,Hypothèses!$X$15,IF(AN232&lt;=Hypothèses!$V$16,Hypothèses!$X$16,IF(AN232&lt;=Hypothèses!$U$17,Hypothèses!$W$17,IF(AN232&lt;=Hypothèses!$U$18,Hypothèses!$W$18,""))))))))))))</f>
        <v>#DIV/0!</v>
      </c>
      <c r="BK232" s="95" t="e">
        <f t="shared" ca="1" si="377"/>
        <v>#DIV/0!</v>
      </c>
      <c r="BL232" s="101" t="e">
        <f t="shared" si="425"/>
        <v>#N/A</v>
      </c>
      <c r="BM232" s="91" t="e">
        <f t="shared" si="346"/>
        <v>#N/A</v>
      </c>
      <c r="BN232" s="30" t="e">
        <f t="shared" si="404"/>
        <v>#N/A</v>
      </c>
      <c r="BO232" s="30" t="e">
        <f t="shared" si="405"/>
        <v>#N/A</v>
      </c>
      <c r="BP232" s="31" t="e">
        <f>IF(OR(Hypothèses!$B$4=17,Hypothèses!$B$4=18,Hypothèses!$B$4=19,Hypothèses!$B$4=20),
IF($D232="Pressio.",
IF(OR($E232=3,$E232=1,$E232=4),BO232,BN232),
IF($D232="Pénétro.",
IF(OR($E232=3,$E232=1,$E232=4),BO232,BN232))),IF($D232="Pressio.",
IF($E232=3,BO232,BN232),
IF($D232="Pénétro.",
IF($E232=4,BO232,BN232))))</f>
        <v>#N/A</v>
      </c>
      <c r="BQ232" s="31" t="e">
        <f>(IF(OR(Hypothèses!$B$4=17,Hypothèses!$B$4=18,Hypothèses!$B$4=19,Hypothèses!$B$4=20),
IF($D232="Pressio.",
IF(OR($E232=3,$E232=1,$E232=4),(PI()*BQ$12^2)/4*(BM232*$W232*1000)/($H232*$B$5),(PI()*BQ$12^2)/4*(BM232*$W232*1000)/($G232*$B$5)),
IF($D232="Pénétro.",
IF(OR($E232=4,$E232=1,$E232=5),(PI()*BQ$12^2)/4*(BM232*$W232*1000)/($H232*$B$5),(PI()*BQ$12^2)/4*(BM232*$W232*1000)/($G232*$B$5)))),
IF($D232="Pressio.",
IF($E232=3,(PI()*BQ$12^2)/4*(BM232*$W232*1000)/($H232*$B$5),(PI()*BQ$12^2)/4*(BM232*$W232*1000)/($G232*$B$5)),
IF($D232="Pénétro.",
IF($E232=4,(PI()*BQ$12^2)/4*(BM232*$W232*1000)/($H232*$B$5),(PI()*BQ$12^2)/4*(BM232*$W232*1000)/($G232*$B$5))))))/10</f>
        <v>#N/A</v>
      </c>
      <c r="BR232" s="102" t="e">
        <f>(VLOOKUP($B$3,'Coeff EC7'!$T$39:$X$59,2,0)*BP232+VLOOKUP($B$3,'Coeff EC7'!$T$65:$X$85,2,0)*Model0.1C!BQ232)/1.1</f>
        <v>#N/A</v>
      </c>
      <c r="BS232" s="102" t="e">
        <f>(VLOOKUP($B$3,'Coeff EC7'!$T$39:$X$59,3,0)*BP232+VLOOKUP($B$3,'Coeff EC7'!$T$65:$X$85,3,0)*Model0.1C!BQ232)/0.9</f>
        <v>#N/A</v>
      </c>
      <c r="BT232" s="102" t="e">
        <f t="shared" si="378"/>
        <v>#N/A</v>
      </c>
      <c r="BU232" s="102" t="e">
        <f t="shared" si="379"/>
        <v>#N/A</v>
      </c>
      <c r="BV232" s="414" t="e">
        <f>IF(BV231=0,0,IF(AND(BR232&gt;charge_ELS_quasi,BS232&gt;Charge_ELS_freq,BT232&gt;charge_ELU,BU232&gt;charge_ELA,$B232&gt;NDC!$H$22-0.1+MIN(3*$BV$12,1.5)),0,1))</f>
        <v>#N/A</v>
      </c>
      <c r="BW232" s="86" t="b">
        <f t="shared" si="347"/>
        <v>0</v>
      </c>
      <c r="BX232" s="86">
        <f t="shared" si="348"/>
        <v>0.5</v>
      </c>
      <c r="BY232" s="86">
        <f t="shared" si="349"/>
        <v>0.5</v>
      </c>
      <c r="BZ232" s="30" t="e">
        <f t="shared" ca="1" si="380"/>
        <v>#DIV/0!</v>
      </c>
      <c r="CA232" s="85" t="e">
        <f ca="1">IF(BG232&lt;=Hypothèses!$V$7,Hypothèses!$W$7,IF(BG232&lt;=Hypothèses!$V$8,Hypothèses!$W$8,IF(BG232&lt;=Hypothèses!$V$9,Hypothèses!$W$9,IF(BG232&lt;=Hypothèses!$V$10,Hypothèses!$W$10,IF(BG232&lt;=Hypothèses!$V$11,Hypothèses!$W$11,IF(BG232&lt;=Hypothèses!$V$12,Hypothèses!$W$12,IF(BG232&lt;=Hypothèses!$V$13,Hypothèses!$W$13,IF(BG232&lt;=Hypothèses!$V$14,Hypothèses!$W$14,IF(BG232&lt;=Hypothèses!$V$15,Hypothèses!$W$15,IF(BG232&lt;=Hypothèses!$V$16,Hypothèses!$W$16,IF(BG232&lt;=Hypothèses!$V$17,Hypothèses!$W$17,IF(BG232&lt;=Hypothèses!$V$18,Hypothèses!$W$18,""))))))))))))</f>
        <v>#DIV/0!</v>
      </c>
      <c r="CB232" s="87" t="e">
        <f t="shared" ca="1" si="419"/>
        <v>#DIV/0!</v>
      </c>
      <c r="CC232" s="88" t="e">
        <f ca="1">IF(BG232&lt;=Hypothèses!$V$7,Hypothèses!$X$7,IF(BG232&lt;=Hypothèses!$V$8,Hypothèses!$X$8,IF(BG232&lt;=Hypothèses!$V$9,Hypothèses!$X$9,IF(BG232&lt;=Hypothèses!$V$10,Hypothèses!$X$10,IF(BG232&lt;=Hypothèses!$V$11,Hypothèses!$X$11,IF(BG232&lt;=Hypothèses!$V$12,Hypothèses!$X$12,IF(BG232&lt;=Hypothèses!$V$13,Hypothèses!$X$13,IF(BG232&lt;=Hypothèses!$V$14,Hypothèses!$X$14,IF(BG232&lt;=Hypothèses!$V$15,Hypothèses!$X$15,IF(BG232&lt;=Hypothèses!$V$16,Hypothèses!$X$16,IF(BG232&lt;=Hypothèses!$U$17,Hypothèses!$W$17,IF(BG232&lt;=Hypothèses!$U$18,Hypothèses!$W$18,""))))))))))))</f>
        <v>#DIV/0!</v>
      </c>
      <c r="CD232" s="95" t="e">
        <f t="shared" ca="1" si="381"/>
        <v>#DIV/0!</v>
      </c>
      <c r="CE232" s="101" t="e">
        <f t="shared" si="426"/>
        <v>#N/A</v>
      </c>
      <c r="CF232" s="91" t="e">
        <f t="shared" si="350"/>
        <v>#N/A</v>
      </c>
      <c r="CG232" s="30" t="e">
        <f t="shared" si="406"/>
        <v>#N/A</v>
      </c>
      <c r="CH232" s="30" t="e">
        <f t="shared" si="407"/>
        <v>#N/A</v>
      </c>
      <c r="CI232" s="31" t="e">
        <f>IF(OR(Hypothèses!$B$4=17,Hypothèses!$B$4=18,Hypothèses!$B$4=19,Hypothèses!$B$4=20),
IF($D232="Pressio.",
IF(OR($E232=3,$E232=1,$E232=4),CH232,CG232),
IF($D232="Pénétro.",
IF(OR($E232=3,$E232=1,$E232=4),CH232,CG232))),IF($D232="Pressio.",
IF($E232=3,CH232,CG232),
IF($D232="Pénétro.",
IF($E232=4,CH232,CG232))))</f>
        <v>#N/A</v>
      </c>
      <c r="CJ232" s="31" t="e">
        <f>(IF(OR(Hypothèses!$B$4=17,Hypothèses!$B$4=18,Hypothèses!$B$4=19,Hypothèses!$B$4=20),
IF($D232="Pressio.",
IF(OR($E232=3,$E232=1,$E232=4),(PI()*CJ$12^2)/4*(CF232*$W232*1000)/($H232*$B$5),(PI()*CJ$12^2)/4*(CF232*$W232*1000)/($G232*$B$5)),
IF($D232="Pénétro.",
IF(OR($E232=4,$E232=1,$E232=5),(PI()*CJ$12^2)/4*(CF232*$W232*1000)/($H232*$B$5),(PI()*CJ$12^2)/4*(CF232*$W232*1000)/($G232*$B$5)))),
IF($D232="Pressio.",
IF($E232=3,(PI()*CJ$12^2)/4*(CF232*$W232*1000)/($H232*$B$5),(PI()*CJ$12^2)/4*(CF232*$W232*1000)/($G232*$B$5)),
IF($D232="Pénétro.",
IF($E232=4,(PI()*CJ$12^2)/4*(CF232*$W232*1000)/($H232*$B$5),(PI()*CJ$12^2)/4*(CF232*$W232*1000)/($G232*$B$5))))))/10</f>
        <v>#N/A</v>
      </c>
      <c r="CK232" s="102" t="e">
        <f>(VLOOKUP($B$3,'Coeff EC7'!$T$39:$X$59,2,0)*CI232+VLOOKUP($B$3,'Coeff EC7'!$T$65:$X$85,2,0)*Model0.1C!CJ232)/1.1</f>
        <v>#N/A</v>
      </c>
      <c r="CL232" s="102" t="e">
        <f>(VLOOKUP($B$3,'Coeff EC7'!$T$39:$X$59,3,0)*CI232+VLOOKUP($B$3,'Coeff EC7'!$T$65:$X$85,3,0)*Model0.1C!CJ232)/0.9</f>
        <v>#N/A</v>
      </c>
      <c r="CM232" s="102" t="e">
        <f t="shared" si="382"/>
        <v>#N/A</v>
      </c>
      <c r="CN232" s="102" t="e">
        <f t="shared" si="383"/>
        <v>#N/A</v>
      </c>
      <c r="CO232" s="414" t="e">
        <f>IF(CO231=0,0,IF(AND(CK232&gt;charge_ELS_quasi,CL232&gt;Charge_ELS_freq,CM232&gt;charge_ELU,CN232&gt;charge_ELA,$B232&gt;NDC!$H$22-0.1+MIN(3*$CO$12,1.5)),0,1))</f>
        <v>#N/A</v>
      </c>
      <c r="CP232" s="86" t="b">
        <f t="shared" si="351"/>
        <v>0</v>
      </c>
      <c r="CQ232" s="86">
        <f t="shared" si="352"/>
        <v>0.5</v>
      </c>
      <c r="CR232" s="86">
        <f t="shared" si="353"/>
        <v>0.5</v>
      </c>
      <c r="CS232" s="30" t="e">
        <f t="shared" ca="1" si="384"/>
        <v>#DIV/0!</v>
      </c>
      <c r="CT232" s="85" t="e">
        <f ca="1">IF(BZ232&lt;=Hypothèses!$V$7,Hypothèses!$W$7,IF(BZ232&lt;=Hypothèses!$V$8,Hypothèses!$W$8,IF(BZ232&lt;=Hypothèses!$V$9,Hypothèses!$W$9,IF(BZ232&lt;=Hypothèses!$V$10,Hypothèses!$W$10,IF(BZ232&lt;=Hypothèses!$V$11,Hypothèses!$W$11,IF(BZ232&lt;=Hypothèses!$V$12,Hypothèses!$W$12,IF(BZ232&lt;=Hypothèses!$V$13,Hypothèses!$W$13,IF(BZ232&lt;=Hypothèses!$V$14,Hypothèses!$W$14,IF(BZ232&lt;=Hypothèses!$V$15,Hypothèses!$W$15,IF(BZ232&lt;=Hypothèses!$V$16,Hypothèses!$W$16,IF(BZ232&lt;=Hypothèses!$V$17,Hypothèses!$W$17,IF(BZ232&lt;=Hypothèses!$V$18,Hypothèses!$W$18,""))))))))))))</f>
        <v>#DIV/0!</v>
      </c>
      <c r="CU232" s="87" t="e">
        <f t="shared" ca="1" si="420"/>
        <v>#DIV/0!</v>
      </c>
      <c r="CV232" s="88" t="e">
        <f ca="1">IF(BZ232&lt;=Hypothèses!$V$7,Hypothèses!$X$7,IF(BZ232&lt;=Hypothèses!$V$8,Hypothèses!$X$8,IF(BZ232&lt;=Hypothèses!$V$9,Hypothèses!$X$9,IF(BZ232&lt;=Hypothèses!$V$10,Hypothèses!$X$10,IF(BZ232&lt;=Hypothèses!$V$11,Hypothèses!$X$11,IF(BZ232&lt;=Hypothèses!$V$12,Hypothèses!$X$12,IF(BZ232&lt;=Hypothèses!$V$13,Hypothèses!$X$13,IF(BZ232&lt;=Hypothèses!$V$14,Hypothèses!$X$14,IF(BZ232&lt;=Hypothèses!$V$15,Hypothèses!$X$15,IF(BZ232&lt;=Hypothèses!$V$16,Hypothèses!$X$16,IF(BZ232&lt;=Hypothèses!$U$17,Hypothèses!$W$17,IF(BZ232&lt;=Hypothèses!$U$18,Hypothèses!$W$18,""))))))))))))</f>
        <v>#DIV/0!</v>
      </c>
      <c r="CW232" s="95" t="e">
        <f t="shared" ca="1" si="385"/>
        <v>#DIV/0!</v>
      </c>
      <c r="CX232" s="101" t="e">
        <f t="shared" si="427"/>
        <v>#N/A</v>
      </c>
      <c r="CY232" s="91" t="e">
        <f t="shared" si="354"/>
        <v>#N/A</v>
      </c>
      <c r="CZ232" s="30" t="e">
        <f t="shared" si="408"/>
        <v>#N/A</v>
      </c>
      <c r="DA232" s="30" t="e">
        <f t="shared" si="409"/>
        <v>#N/A</v>
      </c>
      <c r="DB232" s="31" t="e">
        <f>IF(OR(Hypothèses!$B$4=17,Hypothèses!$B$4=18,Hypothèses!$B$4=19,Hypothèses!$B$4=20),
IF($D232="Pressio.",
IF(OR($E232=3,$E232=1,$E232=4),DA232,CZ232),
IF($D232="Pénétro.",
IF(OR($E232=3,$E232=1,$E232=4),DA232,CZ232))),IF($D232="Pressio.",
IF($E232=3,DA232,CZ232),
IF($D232="Pénétro.",
IF($E232=4,DA232,CZ232))))</f>
        <v>#N/A</v>
      </c>
      <c r="DC232" s="31" t="e">
        <f>(IF(OR(Hypothèses!$B$4=17,Hypothèses!$B$4=18,Hypothèses!$B$4=19,Hypothèses!$B$4=20),
IF($D232="Pressio.",
IF(OR($E232=3,$E232=1,$E232=4),(PI()*DC$12^2)/4*(CY232*$W232*1000)/($H232*$B$5),(PI()*DC$12^2)/4*(CY232*$W232*1000)/($G232*$B$5)),
IF($D232="Pénétro.",
IF(OR($E232=4,$E232=1,$E232=5),(PI()*DC$12^2)/4*(CY232*$W232*1000)/($H232*$B$5),(PI()*DC$12^2)/4*(CY232*$W232*1000)/($G232*$B$5)))),
IF($D232="Pressio.",
IF($E232=3,(PI()*DC$12^2)/4*(CY232*$W232*1000)/($H232*$B$5),(PI()*DC$12^2)/4*(CY232*$W232*1000)/($G232*$B$5)),
IF($D232="Pénétro.",
IF($E232=4,(PI()*DC$12^2)/4*(CY232*$W232*1000)/($H232*$B$5),(PI()*DC$12^2)/4*(CY232*$W232*1000)/($G232*$B$5))))))/10</f>
        <v>#N/A</v>
      </c>
      <c r="DD232" s="102" t="e">
        <f>(VLOOKUP($B$3,'Coeff EC7'!$T$39:$X$59,2,0)*DB232+VLOOKUP($B$3,'Coeff EC7'!$T$65:$X$85,2,0)*Model0.1C!DC232)/1.1</f>
        <v>#N/A</v>
      </c>
      <c r="DE232" s="102" t="e">
        <f>(VLOOKUP($B$3,'Coeff EC7'!$T$39:$X$59,3,0)*DB232+VLOOKUP($B$3,'Coeff EC7'!$T$65:$X$85,3,0)*Model0.1C!DC232)/0.9</f>
        <v>#N/A</v>
      </c>
      <c r="DF232" s="102" t="e">
        <f t="shared" si="386"/>
        <v>#N/A</v>
      </c>
      <c r="DG232" s="102" t="e">
        <f t="shared" si="387"/>
        <v>#N/A</v>
      </c>
      <c r="DH232" s="414" t="e">
        <f>IF(DH231=0,0,IF(AND(DD232&gt;charge_ELS_quasi,DE232&gt;Charge_ELS_freq,DF232&gt;charge_ELU,DG232&gt;charge_ELA,$B232&gt;NDC!$H$22-0.1+MIN(3*$DH$12,1.5)),0,1))</f>
        <v>#N/A</v>
      </c>
      <c r="DI232" s="86" t="b">
        <f t="shared" si="355"/>
        <v>0</v>
      </c>
      <c r="DJ232" s="86">
        <f t="shared" si="356"/>
        <v>0.5</v>
      </c>
      <c r="DK232" s="86">
        <f t="shared" si="357"/>
        <v>0.5</v>
      </c>
      <c r="DL232" s="30" t="e">
        <f t="shared" ca="1" si="388"/>
        <v>#DIV/0!</v>
      </c>
      <c r="DM232" s="85" t="e">
        <f ca="1">IF(CS232&lt;=Hypothèses!$V$7,Hypothèses!$W$7,IF(CS232&lt;=Hypothèses!$V$8,Hypothèses!$W$8,IF(CS232&lt;=Hypothèses!$V$9,Hypothèses!$W$9,IF(CS232&lt;=Hypothèses!$V$10,Hypothèses!$W$10,IF(CS232&lt;=Hypothèses!$V$11,Hypothèses!$W$11,IF(CS232&lt;=Hypothèses!$V$12,Hypothèses!$W$12,IF(CS232&lt;=Hypothèses!$V$13,Hypothèses!$W$13,IF(CS232&lt;=Hypothèses!$V$14,Hypothèses!$W$14,IF(CS232&lt;=Hypothèses!$V$15,Hypothèses!$W$15,IF(CS232&lt;=Hypothèses!$V$16,Hypothèses!$W$16,IF(CS232&lt;=Hypothèses!$V$17,Hypothèses!$W$17,IF(CS232&lt;=Hypothèses!$V$18,Hypothèses!$W$18,""))))))))))))</f>
        <v>#DIV/0!</v>
      </c>
      <c r="DN232" s="87" t="e">
        <f t="shared" ca="1" si="421"/>
        <v>#DIV/0!</v>
      </c>
      <c r="DO232" s="88" t="e">
        <f ca="1">IF(CS232&lt;=Hypothèses!$V$7,Hypothèses!$X$7,IF(CS232&lt;=Hypothèses!$V$8,Hypothèses!$X$8,IF(CS232&lt;=Hypothèses!$V$9,Hypothèses!$X$9,IF(CS232&lt;=Hypothèses!$V$10,Hypothèses!$X$10,IF(CS232&lt;=Hypothèses!$V$11,Hypothèses!$X$11,IF(CS232&lt;=Hypothèses!$V$12,Hypothèses!$X$12,IF(CS232&lt;=Hypothèses!$V$13,Hypothèses!$X$13,IF(CS232&lt;=Hypothèses!$V$14,Hypothèses!$X$14,IF(CS232&lt;=Hypothèses!$V$15,Hypothèses!$X$15,IF(CS232&lt;=Hypothèses!$V$16,Hypothèses!$X$16,IF(CS232&lt;=Hypothèses!$U$17,Hypothèses!$W$17,IF(CS232&lt;=Hypothèses!$U$18,Hypothèses!$W$18,""))))))))))))</f>
        <v>#DIV/0!</v>
      </c>
      <c r="DP232" s="95" t="e">
        <f t="shared" ca="1" si="389"/>
        <v>#DIV/0!</v>
      </c>
      <c r="DQ232" s="101" t="e">
        <f t="shared" si="428"/>
        <v>#N/A</v>
      </c>
      <c r="DR232" s="91" t="e">
        <f t="shared" si="358"/>
        <v>#N/A</v>
      </c>
      <c r="DS232" s="30" t="e">
        <f t="shared" si="410"/>
        <v>#N/A</v>
      </c>
      <c r="DT232" s="30" t="e">
        <f t="shared" si="411"/>
        <v>#N/A</v>
      </c>
      <c r="DU232" s="31" t="e">
        <f>IF(OR(Hypothèses!$B$4=17,Hypothèses!$B$4=18,Hypothèses!$B$4=19,Hypothèses!$B$4=20),
IF($D232="Pressio.",
IF(OR($E232=3,$E232=1,$E232=4),DT232,DS232),
IF($D232="Pénétro.",
IF(OR($E232=3,$E232=1,$E232=4),DT232,DS232))),IF($D232="Pressio.",
IF($E232=3,DT232,DS232),
IF($D232="Pénétro.",
IF($E232=4,DT232,DS232))))</f>
        <v>#N/A</v>
      </c>
      <c r="DV232" s="31" t="e">
        <f>(IF(OR(Hypothèses!$B$4=17,Hypothèses!$B$4=18,Hypothèses!$B$4=19,Hypothèses!$B$4=20),
IF($D232="Pressio.",
IF(OR($E232=3,$E232=1,$E232=4),(PI()*DV$12^2)/4*(DR232*$W232*1000)/($H232*$B$5),(PI()*DV$12^2)/4*(DR232*$W232*1000)/($G232*$B$5)),
IF($D232="Pénétro.",
IF(OR($E232=4,$E232=1,$E232=5),(PI()*DV$12^2)/4*(DR232*$W232*1000)/($H232*$B$5),(PI()*DV$12^2)/4*(DR232*$W232*1000)/($G232*$B$5)))),
IF($D232="Pressio.",
IF($E232=3,(PI()*DV$12^2)/4*(DR232*$W232*1000)/($H232*$B$5),(PI()*DV$12^2)/4*(DR232*$W232*1000)/($G232*$B$5)),
IF($D232="Pénétro.",
IF($E232=4,(PI()*DV$12^2)/4*(DR232*$W232*1000)/($H232*$B$5),(PI()*DV$12^2)/4*(DR232*$W232*1000)/($G232*$B$5))))))/10</f>
        <v>#N/A</v>
      </c>
      <c r="DW232" s="102" t="e">
        <f>(VLOOKUP($B$3,'Coeff EC7'!$T$39:$X$59,2,0)*DU232+VLOOKUP($B$3,'Coeff EC7'!$T$65:$X$85,2,0)*Model0.1C!DV232)/1.1</f>
        <v>#N/A</v>
      </c>
      <c r="DX232" s="102" t="e">
        <f>(VLOOKUP($B$3,'Coeff EC7'!$T$39:$X$59,3,0)*DU232+VLOOKUP($B$3,'Coeff EC7'!$T$65:$X$85,3,0)*Model0.1C!DV232)/0.9</f>
        <v>#N/A</v>
      </c>
      <c r="DY232" s="102" t="e">
        <f t="shared" si="390"/>
        <v>#N/A</v>
      </c>
      <c r="DZ232" s="102" t="e">
        <f t="shared" si="391"/>
        <v>#N/A</v>
      </c>
      <c r="EA232" s="414" t="e">
        <f>IF(EA231=0,0,IF(AND(DW232&gt;charge_ELS_quasi,DX232&gt;Charge_ELS_freq,DY232&gt;charge_ELU,DZ232&gt;charge_ELA,$B232&gt;NDC!$H$22-0.1+MIN(3*$EA$12,1.5)),0,1))</f>
        <v>#N/A</v>
      </c>
      <c r="EB232" s="86" t="b">
        <f t="shared" si="359"/>
        <v>0</v>
      </c>
      <c r="EC232" s="418">
        <f t="shared" si="360"/>
        <v>0.51</v>
      </c>
      <c r="ED232" s="86">
        <f t="shared" si="361"/>
        <v>0.51</v>
      </c>
      <c r="EE232" s="30" t="e">
        <f t="shared" ca="1" si="392"/>
        <v>#DIV/0!</v>
      </c>
      <c r="EF232" s="85" t="e">
        <f ca="1">IF(DL232&lt;=Hypothèses!$V$7,Hypothèses!$W$7,IF(DL232&lt;=Hypothèses!$V$8,Hypothèses!$W$8,IF(DL232&lt;=Hypothèses!$V$9,Hypothèses!$W$9,IF(DL232&lt;=Hypothèses!$V$10,Hypothèses!$W$10,IF(DL232&lt;=Hypothèses!$V$11,Hypothèses!$W$11,IF(DL232&lt;=Hypothèses!$V$12,Hypothèses!$W$12,IF(DL232&lt;=Hypothèses!$V$13,Hypothèses!$W$13,IF(DL232&lt;=Hypothèses!$V$14,Hypothèses!$W$14,IF(DL232&lt;=Hypothèses!$V$15,Hypothèses!$W$15,IF(DL232&lt;=Hypothèses!$V$16,Hypothèses!$W$16,IF(DL232&lt;=Hypothèses!$V$17,Hypothèses!$W$17,IF(DL232&lt;=Hypothèses!$V$18,Hypothèses!$W$18,""))))))))))))</f>
        <v>#DIV/0!</v>
      </c>
      <c r="EG232" s="87" t="e">
        <f t="shared" ca="1" si="422"/>
        <v>#DIV/0!</v>
      </c>
      <c r="EH232" s="88" t="e">
        <f ca="1">IF(DL232&lt;=Hypothèses!$V$7,Hypothèses!$X$7,IF(DL232&lt;=Hypothèses!$V$8,Hypothèses!$X$8,IF(DL232&lt;=Hypothèses!$V$9,Hypothèses!$X$9,IF(DL232&lt;=Hypothèses!$V$10,Hypothèses!$X$10,IF(DL232&lt;=Hypothèses!$V$11,Hypothèses!$X$11,IF(DL232&lt;=Hypothèses!$V$12,Hypothèses!$X$12,IF(DL232&lt;=Hypothèses!$V$13,Hypothèses!$X$13,IF(DL232&lt;=Hypothèses!$V$14,Hypothèses!$X$14,IF(DL232&lt;=Hypothèses!$V$15,Hypothèses!$X$15,IF(DL232&lt;=Hypothèses!$V$16,Hypothèses!$X$16,IF(DL232&lt;=Hypothèses!$U$17,Hypothèses!$W$17,IF(DL232&lt;=Hypothèses!$U$18,Hypothèses!$W$18,""))))))))))))</f>
        <v>#DIV/0!</v>
      </c>
      <c r="EI232" s="95" t="e">
        <f t="shared" ca="1" si="393"/>
        <v>#DIV/0!</v>
      </c>
      <c r="EJ232" s="101" t="e">
        <f t="shared" si="429"/>
        <v>#N/A</v>
      </c>
      <c r="EK232" s="91" t="e">
        <f t="shared" si="362"/>
        <v>#N/A</v>
      </c>
      <c r="EL232" s="30" t="e">
        <f t="shared" si="412"/>
        <v>#N/A</v>
      </c>
      <c r="EM232" s="30" t="e">
        <f t="shared" si="413"/>
        <v>#N/A</v>
      </c>
      <c r="EN232" s="31" t="e">
        <f>IF(OR(Hypothèses!$B$4=17,Hypothèses!$B$4=18,Hypothèses!$B$4=19,Hypothèses!$B$4=20),
IF($D232="Pressio.",
IF(OR($E232=3,$E232=1,$E232=4),EM232,EL232),
IF($D232="Pénétro.",
IF(OR($E232=3,$E232=1,$E232=4),EM232,EL232))),IF($D232="Pressio.",
IF($E232=3,EM232,EL232),
IF($D232="Pénétro.",
IF($E232=4,EM232,EL232))))</f>
        <v>#N/A</v>
      </c>
      <c r="EO232" s="31" t="e">
        <f>(IF(OR(Hypothèses!$B$4=17,Hypothèses!$B$4=18,Hypothèses!$B$4=19,Hypothèses!$B$4=20),
IF($D232="Pressio.",
IF(OR($E232=3,$E232=1,$E232=4),(PI()*EO$12^2)/4*(EK232*$W232*1000)/($H232*$B$5),(PI()*EO$12^2)/4*(EK232*$W232*1000)/($G232*$B$5)),
IF($D232="Pénétro.",
IF(OR($E232=4,$E232=1,$E232=5),(PI()*EO$12^2)/4*(EK232*$W232*1000)/($H232*$B$5),(PI()*EO$12^2)/4*(EK232*$W232*1000)/($G232*$B$5)))),
IF($D232="Pressio.",
IF($E232=3,(PI()*EO$12^2)/4*(EK232*$W232*1000)/($H232*$B$5),(PI()*EO$12^2)/4*(EK232*$W232*1000)/($G232*$B$5)),
IF($D232="Pénétro.",
IF($E232=4,(PI()*EO$12^2)/4*(EK232*$W232*1000)/($H232*$B$5),(PI()*EO$12^2)/4*(EK232*$W232*1000)/($G232*$B$5))))))/10</f>
        <v>#N/A</v>
      </c>
      <c r="EP232" s="102" t="e">
        <f>(VLOOKUP($B$3,'Coeff EC7'!$T$39:$X$59,2,0)*EN232+VLOOKUP($B$3,'Coeff EC7'!$T$65:$X$85,2,0)*Model0.1C!EO232)/1.1</f>
        <v>#N/A</v>
      </c>
      <c r="EQ232" s="102" t="e">
        <f>(VLOOKUP($B$3,'Coeff EC7'!$T$39:$X$59,3,0)*EN232+VLOOKUP($B$3,'Coeff EC7'!$T$65:$X$85,3,0)*Model0.1C!EO232)/0.9</f>
        <v>#N/A</v>
      </c>
      <c r="ER232" s="102" t="e">
        <f t="shared" si="394"/>
        <v>#N/A</v>
      </c>
      <c r="ES232" s="102" t="e">
        <f t="shared" si="395"/>
        <v>#N/A</v>
      </c>
      <c r="ET232" s="414" t="e">
        <f>IF(ET231=0,0,IF(AND(EP232&gt;charge_ELS_quasi,EQ232&gt;Charge_ELS_freq,ER232&gt;charge_ELU,ES232&gt;charge_ELA,$B232&gt;NDC!$H$22-0.1+MIN(3*$ET$12,1.5)),0,1))</f>
        <v>#N/A</v>
      </c>
      <c r="EU232" s="86" t="b">
        <f t="shared" si="363"/>
        <v>0</v>
      </c>
      <c r="EV232" s="86">
        <f t="shared" si="364"/>
        <v>0.61</v>
      </c>
      <c r="EW232" s="86">
        <f t="shared" si="365"/>
        <v>0.61</v>
      </c>
      <c r="EX232" s="30" t="e">
        <f t="shared" ca="1" si="396"/>
        <v>#DIV/0!</v>
      </c>
      <c r="EY232" s="85" t="e">
        <f ca="1">IF(EE232&lt;=Hypothèses!$V$7,Hypothèses!$W$7,IF(EE232&lt;=Hypothèses!$V$8,Hypothèses!$W$8,IF(EE232&lt;=Hypothèses!$V$9,Hypothèses!$W$9,IF(EE232&lt;=Hypothèses!$V$10,Hypothèses!$W$10,IF(EE232&lt;=Hypothèses!$V$11,Hypothèses!$W$11,IF(EE232&lt;=Hypothèses!$V$12,Hypothèses!$W$12,IF(EE232&lt;=Hypothèses!$V$13,Hypothèses!$W$13,IF(EE232&lt;=Hypothèses!$V$14,Hypothèses!$W$14,IF(EE232&lt;=Hypothèses!$V$15,Hypothèses!$W$15,IF(EE232&lt;=Hypothèses!$V$16,Hypothèses!$W$16,IF(EE232&lt;=Hypothèses!$V$17,Hypothèses!$W$17,IF(EE232&lt;=Hypothèses!$V$18,Hypothèses!$W$18,""))))))))))))</f>
        <v>#DIV/0!</v>
      </c>
      <c r="EZ232" s="87" t="e">
        <f t="shared" ca="1" si="423"/>
        <v>#DIV/0!</v>
      </c>
      <c r="FA232" s="88" t="e">
        <f ca="1">IF(EE232&lt;=Hypothèses!$V$7,Hypothèses!$X$7,IF(EE232&lt;=Hypothèses!$V$8,Hypothèses!$X$8,IF(EE232&lt;=Hypothèses!$V$9,Hypothèses!$X$9,IF(EE232&lt;=Hypothèses!$V$10,Hypothèses!$X$10,IF(EE232&lt;=Hypothèses!$V$11,Hypothèses!$X$11,IF(EE232&lt;=Hypothèses!$V$12,Hypothèses!$X$12,IF(EE232&lt;=Hypothèses!$V$13,Hypothèses!$X$13,IF(EE232&lt;=Hypothèses!$V$14,Hypothèses!$X$14,IF(EE232&lt;=Hypothèses!$V$15,Hypothèses!$X$15,IF(EE232&lt;=Hypothèses!$V$16,Hypothèses!$X$16,IF(EE232&lt;=Hypothèses!$U$17,Hypothèses!$W$17,IF(EE232&lt;=Hypothèses!$U$18,Hypothèses!$W$18,""))))))))))))</f>
        <v>#DIV/0!</v>
      </c>
      <c r="FB232" s="95" t="e">
        <f t="shared" ca="1" si="397"/>
        <v>#DIV/0!</v>
      </c>
      <c r="FC232" s="101" t="e">
        <f t="shared" si="430"/>
        <v>#N/A</v>
      </c>
      <c r="FD232" s="91" t="e">
        <f t="shared" si="366"/>
        <v>#N/A</v>
      </c>
      <c r="FE232" s="30" t="e">
        <f t="shared" si="414"/>
        <v>#N/A</v>
      </c>
      <c r="FF232" s="30" t="e">
        <f t="shared" si="415"/>
        <v>#N/A</v>
      </c>
      <c r="FG232" s="31" t="e">
        <f>IF(OR(Hypothèses!$B$4=17,Hypothèses!$B$4=18,Hypothèses!$B$4=19,Hypothèses!$B$4=20),
IF($D232="Pressio.",
IF(OR($E232=3,$E232=1,$E232=4),FF232,FE232),
IF($D232="Pénétro.",
IF(OR($E232=3,$E232=1,$E232=4),FF232,FE232))),IF($D232="Pressio.",
IF($E232=3,FF232,FE232),
IF($D232="Pénétro.",
IF($E232=4,FF232,FE232))))</f>
        <v>#N/A</v>
      </c>
      <c r="FH232" s="31" t="e">
        <f>(IF(OR(Hypothèses!$B$4=17,Hypothèses!$B$4=18,Hypothèses!$B$4=19,Hypothèses!$B$4=20),
IF($D232="Pressio.",
IF(OR($E232=3,$E232=1,$E232=4),(PI()*FH$12^2)/4*(FD232*$W232*1000)/($H232*$B$5),(PI()*FH$12^2)/4*(FD232*$W232*1000)/($G232*$B$5)),
IF($D232="Pénétro.",
IF(OR($E232=4,$E232=1,$E232=5),(PI()*FH$12^2)/4*(FD232*$W232*1000)/($H232*$B$5),(PI()*FH$12^2)/4*(FD232*$W232*1000)/($G232*$B$5)))),
IF($D232="Pressio.",
IF($E232=3,(PI()*FH$12^2)/4*(FD232*$W232*1000)/($H232*$B$5),(PI()*FH$12^2)/4*(FD232*$W232*1000)/($G232*$B$5)),
IF($D232="Pénétro.",
IF($E232=4,(PI()*FH$12^2)/4*(FD232*$W232*1000)/($H232*$B$5),(PI()*FH$12^2)/4*(FD232*$W232*1000)/($G232*$B$5))))))/10</f>
        <v>#N/A</v>
      </c>
      <c r="FI232" s="102" t="e">
        <f>(VLOOKUP($B$3,'Coeff EC7'!$T$39:$X$59,2,0)*FG232+VLOOKUP($B$3,'Coeff EC7'!$T$65:$X$85,2,0)*Model0.1C!FH232)/1.1</f>
        <v>#N/A</v>
      </c>
      <c r="FJ232" s="102" t="e">
        <f>(VLOOKUP($B$3,'Coeff EC7'!$T$39:$X$59,3,0)*FG232+VLOOKUP($B$3,'Coeff EC7'!$T$65:$X$85,3,0)*Model0.1C!FH232)/0.9</f>
        <v>#N/A</v>
      </c>
      <c r="FK232" s="102" t="e">
        <f t="shared" si="398"/>
        <v>#N/A</v>
      </c>
      <c r="FL232" s="102" t="e">
        <f t="shared" si="399"/>
        <v>#N/A</v>
      </c>
      <c r="FM232" s="414" t="e">
        <f>IF(FM231=0,0,IF(AND(FI232&gt;charge_ELS_quasi,FJ232&gt;Charge_ELS_freq,FK232&gt;charge_ELU,FL232&gt;charge_ELA,$B232&gt;NDC!$H$22-0.1+MIN(3*$FM$12,1.5)),0,1))</f>
        <v>#N/A</v>
      </c>
    </row>
    <row r="233" spans="1:169">
      <c r="A233" s="96">
        <f t="shared" si="367"/>
        <v>78.000000000001251</v>
      </c>
      <c r="B233" s="97">
        <v>22</v>
      </c>
      <c r="C233" s="81">
        <f>IF(B233&lt;=Hypothèses!$C$7,Hypothèses!$A$7,IF(B233&lt;=Hypothèses!$C$8,Hypothèses!$A$8,IF(B233&lt;=Hypothèses!$C$9,Hypothèses!$A$9,IF(B233&lt;=Hypothèses!$C$10,Hypothèses!$A$10,IF(B233&lt;=Hypothèses!$C$11,Hypothèses!$A$11,IF(B233&lt;=Hypothèses!$C$12,Hypothèses!$A$12,IF(B233&lt;=Hypothèses!$C$13,Hypothèses!$A$13,IF(B233&lt;=Hypothèses!$C$14,Hypothèses!$A$14,IF(B233&lt;=Hypothèses!$C$15,Hypothèses!$A$15,IF(B233&lt;=Hypothèses!$C$16,Hypothèses!$A$16,IF(B233&lt;=Hypothèses!$C$17,Hypothèses!$A$17,IF(B233&lt;=Hypothèses!$C$18,Hypothèses!$A$18,C232))))))))))))</f>
        <v>11</v>
      </c>
      <c r="D233" s="82" t="str">
        <f>IF(B233&lt;=Hypothèses!$C$7,Hypothèses!$R$7,IF(B233&lt;=Hypothèses!$C$8,Hypothèses!$R$8,IF(B233&lt;=Hypothèses!$C$9,Hypothèses!$R$9,IF(B233&lt;=Hypothèses!$C$10,Hypothèses!$R$10,IF(B233&lt;=Hypothèses!$C$11,Hypothèses!$R$11,IF(B233&lt;=Hypothèses!$C$12,Hypothèses!$R$12,IF(B233&lt;=Hypothèses!$C$13,Hypothèses!$R$13,IF(B233&lt;=Hypothèses!$C$14,Hypothèses!$R$14,IF(B233&lt;=Hypothèses!$C$15,Hypothèses!$R$15,IF(B233&lt;=Hypothèses!$C$16,Hypothèses!$R$16,IF(B233&lt;=Hypothèses!$C$17,Hypothèses!$R$17,IF(B233&lt;=Hypothèses!$C$18,Hypothèses!$R$18,D232))))))))))))</f>
        <v>Pressio.</v>
      </c>
      <c r="E233" s="82" t="e">
        <f>IF(B233&lt;=Hypothèses!$C$7,Hypothèses!$G$7,IF(B233&lt;=Hypothèses!$C$8,Hypothèses!$G$8,IF(B233&lt;=Hypothèses!$C$9,Hypothèses!$G$9,IF(B233&lt;=Hypothèses!$C$10,Hypothèses!$G$10,IF(B233&lt;=Hypothèses!$C$11,Hypothèses!$G$11,IF(B233&lt;=Hypothèses!$C$12,Hypothèses!$G$12,IF(B233&lt;=Hypothèses!$C$13,Hypothèses!$G$13,IF(B233&lt;=Hypothèses!$C$14,Hypothèses!$G$14,IF(B233&lt;=Hypothèses!$C$15,Hypothèses!$G$15,IF(B233&lt;=Hypothèses!$C$16,Hypothèses!$G$16,IF(B233&lt;=Hypothèses!$C$17,Hypothèses!$G$17,IF(B233&lt;=Hypothèses!$C$18,Hypothèses!$G$18,E232))))))))))))</f>
        <v>#N/A</v>
      </c>
      <c r="F233" s="82" t="str">
        <f>IF(B233&lt;=Hypothèses!$C$7,Hypothèses!$F$7,IF(B233&lt;=Hypothèses!$C$8,Hypothèses!$F$8,IF(B233&lt;=Hypothèses!$C$9,Hypothèses!$F$9,IF(B233&lt;=Hypothèses!$C$10,Hypothèses!$F$10,IF(B233&lt;=Hypothèses!$C$11,Hypothèses!$F$11,IF(B233&lt;=Hypothèses!$C$12,Hypothèses!$F$12,IF(B233&lt;=Hypothèses!$C$13,Hypothèses!$F$13,IF(B233&lt;=Hypothèses!$C$14,Hypothèses!$F$14,IF(B233&lt;=Hypothèses!$C$15,Hypothèses!$F$15,IF(B233&lt;=Hypothèses!$C$16,Hypothèses!$F$16,IF(B233&lt;=Hypothèses!$C$17,Hypothèses!$F$17,IF(B233&lt;=Hypothèses!$C$18,Hypothèses!$F$18,F232))))))))))))</f>
        <v/>
      </c>
      <c r="G233" s="91">
        <f t="array" ref="G233">INDEX('Coeff EC7'!$U$7:$X$27,
MATCH(Model0.1C!$B$3,'Coeff EC7'!$T$7:$T$27,0),
MATCH(Model0.1C!$D233&amp;Model0.1C!$B$4,
'Coeff EC7'!$U$6:$X$6&amp;
'Coeff EC7'!$U$5:$X$5,0))</f>
        <v>1.1499999999999999</v>
      </c>
      <c r="H233" s="91">
        <f t="array" ref="H233">INDEX('Coeff EC7'!$Y$7:$AB$27,
MATCH(Model0.1C!$B$3,'Coeff EC7'!$T$7:$T$27,0),
MATCH(Model0.1C!$D233&amp;Model0.1C!$B$4,
'Coeff EC7'!$Y$6:$AB$6&amp;
'Coeff EC7'!$Y$5:$AB$5,0))</f>
        <v>1.4</v>
      </c>
      <c r="I233" s="83" t="e">
        <f>IF(B233&lt;=Hypothèses!$C$7,Hypothèses!$P$7,IF(B233&lt;=Hypothèses!$C$8,Hypothèses!$P$8,IF(B233&lt;=Hypothèses!$C$9,Hypothèses!$P$9,IF(B233&lt;=Hypothèses!$C$10,Hypothèses!$P$10,IF(B233&lt;=Hypothèses!$C$11,Hypothèses!$P$11,IF(B233&lt;=Hypothèses!$C$12,Hypothèses!$P$12,IF(B233&lt;=Hypothèses!$C$13,Hypothèses!$P$13,IF(B233&lt;=Hypothèses!$C$14,Hypothèses!$P$14,IF(B233&lt;=Hypothèses!$C$15,Hypothèses!$P$15,IF(B233&lt;=Hypothèses!$C$16,Hypothèses!$P$16,IF(B233&lt;=Hypothèses!$C$17,Hypothèses!$P$17,IF(B233&lt;=Hypothèses!$C$18,Hypothèses!$P$18,I232))))))))))))</f>
        <v>#N/A</v>
      </c>
      <c r="J233" s="91" t="e">
        <f t="array" ref="J233">INDEX('Coeff EC7'!$D$33:$Q$33,1,MATCH(D233&amp;E233,'Coeff EC7'!$D$31:$Q$31&amp;'Coeff EC7'!$D$32:$Q$32,0))</f>
        <v>#N/A</v>
      </c>
      <c r="K233" s="91" t="e">
        <f t="array" ref="K233">INDEX('Coeff EC7'!$D$34:$Q$34,1,MATCH(D233&amp;E233,'Coeff EC7'!$D$31:$Q$31&amp;'Coeff EC7'!$D$32:$Q$32,0))</f>
        <v>#N/A</v>
      </c>
      <c r="L233" s="91" t="e">
        <f t="array" ref="L233">INDEX('Coeff EC7'!$D$35:$Q$35,1,MATCH(D233&amp;E233,'Coeff EC7'!$D$31:$Q$31&amp;'Coeff EC7'!$D$32:$Q$32,0))</f>
        <v>#N/A</v>
      </c>
      <c r="M233" s="98" t="e">
        <f t="shared" si="331"/>
        <v>#N/A</v>
      </c>
      <c r="N233" s="99" t="e">
        <f t="array" ref="N233">INDEX('Coeff EC7'!$D$7:$Q$27,MATCH($B$3,'Coeff EC7'!$C$7:$C$27,0),MATCH(D233&amp;E233,'Coeff EC7'!$D$5:$Q$5&amp;'Coeff EC7'!$D$6:$Q$6,0))</f>
        <v>#N/A</v>
      </c>
      <c r="O233" s="99" t="e">
        <f t="array" ref="O233">INDEX('Coeff EC7'!$D$41:$Q$61,MATCH($B$3,'Coeff EC7'!$C$41:$C$61,0),MATCH(D233&amp;E233,'Coeff EC7'!$D$39:$Q$39&amp;'Coeff EC7'!$D$40:$Q$40,0))</f>
        <v>#N/A</v>
      </c>
      <c r="P233" s="30" t="e">
        <f t="shared" si="368"/>
        <v>#N/A</v>
      </c>
      <c r="Q233" s="100" t="e">
        <f t="shared" si="333"/>
        <v>#N/A</v>
      </c>
      <c r="R233" s="86" t="b">
        <f t="shared" si="334"/>
        <v>0</v>
      </c>
      <c r="S233" s="86">
        <f t="shared" si="332"/>
        <v>0.5</v>
      </c>
      <c r="T233" s="86">
        <f t="shared" si="335"/>
        <v>0.5</v>
      </c>
      <c r="U233" s="30" t="e">
        <f t="shared" ca="1" si="369"/>
        <v>#DIV/0!</v>
      </c>
      <c r="V233" s="85" t="str">
        <f>IF(B233&lt;=Hypothèses!$V$7,Hypothèses!$W$7,IF(B233&lt;=Hypothèses!$V$8,Hypothèses!$W$8,IF(B233&lt;=Hypothèses!$V$9,Hypothèses!$W$9,IF(B233&lt;=Hypothèses!$V$10,Hypothèses!$W$10,IF(B233&lt;=Hypothèses!$V$11,Hypothèses!$W$11,IF(B233&lt;=Hypothèses!$V$12,Hypothèses!$W$12,IF(B233&lt;=Hypothèses!$V$13,Hypothèses!$W$13,IF(B233&lt;=Hypothèses!$V$14,Hypothèses!$W$14,IF(B233&lt;=Hypothèses!$V$15,Hypothèses!$W$15,IF(B233&lt;=Hypothèses!$V$16,Hypothèses!$W$16,IF(B233&lt;=Hypothèses!$V$17,Hypothèses!$W$17,IF(B233&lt;=Hypothèses!$V$18,Hypothèses!$W$18,""))))))))))))</f>
        <v/>
      </c>
      <c r="W233" s="87" t="e">
        <f t="shared" ca="1" si="416"/>
        <v>#DIV/0!</v>
      </c>
      <c r="X233" s="88" t="str">
        <f>IF(B233&lt;=Hypothèses!$V$7,Hypothèses!$X$7,IF(B233&lt;=Hypothèses!$V$8,Hypothèses!$X$8,IF(B233&lt;=Hypothèses!$V$9,Hypothèses!$X$9,IF(B233&lt;=Hypothèses!$V$10,Hypothèses!$X$10,IF(B233&lt;=Hypothèses!$V$11,Hypothèses!$X$11,IF(B233&lt;=Hypothèses!$V$12,Hypothèses!$X$12,IF(B233&lt;=Hypothèses!$V$13,Hypothèses!$X$13,IF(B233&lt;=Hypothèses!$V$14,Hypothèses!$X$14,IF(B233&lt;=Hypothèses!$V$15,Hypothèses!$X$15,IF(B233&lt;=Hypothèses!$V$16,Hypothèses!$X$16,IF(B233&lt;=Hypothèses!$U$17,Hypothèses!$W$17,IF(B233&lt;=Hypothèses!$U$18,Hypothèses!$W$18,""))))))))))))</f>
        <v/>
      </c>
      <c r="Y233" s="95" t="e">
        <f t="shared" ca="1" si="336"/>
        <v>#DIV/0!</v>
      </c>
      <c r="Z233" s="101" t="e">
        <f t="shared" si="337"/>
        <v>#N/A</v>
      </c>
      <c r="AA233" s="91" t="e">
        <f t="shared" si="338"/>
        <v>#N/A</v>
      </c>
      <c r="AB233" s="30" t="e">
        <f t="shared" si="400"/>
        <v>#N/A</v>
      </c>
      <c r="AC233" s="30" t="e">
        <f t="shared" si="401"/>
        <v>#N/A</v>
      </c>
      <c r="AD233" s="31" t="e">
        <f>IF(OR(Hypothèses!$B$4=17,Hypothèses!$B$4=18,Hypothèses!$B$4=19,Hypothèses!$B$4=20),
IF($D233="Pressio.",
IF(OR($E233=3,$E233=1,$E233=4),AC233,AB233),
IF($D233="Pénétro.",
IF(OR($E233=3,$E233=1,$E233=4),AC233,AB233))),IF($D233="Pressio.",
IF($E233=3,AC233,AB233),
IF($D233="Pénétro.",
IF($E233=4,AC233,AB233))))</f>
        <v>#N/A</v>
      </c>
      <c r="AE233" s="31" t="e">
        <f>(IF(OR(Hypothèses!$B$4=17,Hypothèses!$B$4=18,Hypothèses!$B$4=19,Hypothèses!$B$4=20),
IF($D233="Pressio.",
IF(OR($E233=3,$E233=1,$E233=4),(PI()*AE$12^2)/4*(AA233*$W233*1000)/($H233*$B$5),(PI()*AE$12^2)/4*(AA233*$W233*1000)/($G233*$B$5)),
IF($D233="Pénétro.",
IF(OR($E233=4,$E233=1,$E233=5),(PI()*AE$12^2)/4*(AA233*$W233*1000)/($H233*$B$5),(PI()*AE$12^2)/4*(AA233*$W233*1000)/($G233*$B$5)))),
IF($D233="Pressio.",
IF($E233=3,(PI()*AE$12^2)/4*(AA233*$W233*1000)/($H233*$B$5),(PI()*AE$12^2)/4*(AA233*$W233*1000)/($G233*$B$5)),
IF($D233="Pénétro.",
IF($E233=4,(PI()*AE$12^2)/4*(AA233*$W233*1000)/($H233*$B$5),(PI()*AE$12^2)/4*(AA233*$W233*1000)/($G233*$B$5))))))/10</f>
        <v>#N/A</v>
      </c>
      <c r="AF233" s="102" t="e">
        <f>(VLOOKUP($B$3,'Coeff EC7'!$T$39:$X$59,2,0)*AD233+VLOOKUP($B$3,'Coeff EC7'!$T$65:$X$85,2,0)*Model0.1C!AE233)/1.1</f>
        <v>#N/A</v>
      </c>
      <c r="AG233" s="102" t="e">
        <f>(VLOOKUP($B$3,'Coeff EC7'!$T$39:$X$59,3,0)*AD233+VLOOKUP($B$3,'Coeff EC7'!$T$65:$X$85,3,0)*Model0.1C!AE233)/0.9</f>
        <v>#N/A</v>
      </c>
      <c r="AH233" s="102" t="e">
        <f t="shared" si="339"/>
        <v>#N/A</v>
      </c>
      <c r="AI233" s="102" t="e">
        <f t="shared" si="340"/>
        <v>#N/A</v>
      </c>
      <c r="AJ233" s="414" t="e">
        <f>IF(AJ232=0,0,IF(AND(AF233&gt;charge_ELS_quasi,AG233&gt;Charge_ELS_freq,AH233&gt;charge_ELU,AI233&gt;charge_ELA,$B233&gt;NDC!$H$22-0.1+MIN(3*$AJ$12,1.5)),0,1))</f>
        <v>#N/A</v>
      </c>
      <c r="AK233" s="86" t="b">
        <f t="shared" si="341"/>
        <v>0</v>
      </c>
      <c r="AL233" s="86">
        <f t="shared" si="370"/>
        <v>0.5</v>
      </c>
      <c r="AM233" s="86">
        <f t="shared" si="342"/>
        <v>0.5</v>
      </c>
      <c r="AN233" s="30" t="e">
        <f t="shared" ca="1" si="371"/>
        <v>#DIV/0!</v>
      </c>
      <c r="AO233" s="85" t="e">
        <f ca="1">IF(U233&lt;=Hypothèses!$V$7,Hypothèses!$W$7,IF(U233&lt;=Hypothèses!$V$8,Hypothèses!$W$8,IF(U233&lt;=Hypothèses!$V$9,Hypothèses!$W$9,IF(U233&lt;=Hypothèses!$V$10,Hypothèses!$W$10,IF(U233&lt;=Hypothèses!$V$11,Hypothèses!$W$11,IF(U233&lt;=Hypothèses!$V$12,Hypothèses!$W$12,IF(U233&lt;=Hypothèses!$V$13,Hypothèses!$W$13,IF(U233&lt;=Hypothèses!$V$14,Hypothèses!$W$14,IF(U233&lt;=Hypothèses!$V$15,Hypothèses!$W$15,IF(U233&lt;=Hypothèses!$V$16,Hypothèses!$W$16,IF(U233&lt;=Hypothèses!$V$17,Hypothèses!$W$17,IF(U233&lt;=Hypothèses!$V$18,Hypothèses!$W$18,""))))))))))))</f>
        <v>#DIV/0!</v>
      </c>
      <c r="AP233" s="87" t="e">
        <f t="shared" ca="1" si="417"/>
        <v>#DIV/0!</v>
      </c>
      <c r="AQ233" s="88" t="e">
        <f ca="1">IF(U233&lt;=Hypothèses!$V$7,Hypothèses!$X$7,IF(U233&lt;=Hypothèses!$V$8,Hypothèses!$X$8,IF(U233&lt;=Hypothèses!$V$9,Hypothèses!$X$9,IF(U233&lt;=Hypothèses!$V$10,Hypothèses!$X$10,IF(U233&lt;=Hypothèses!$V$11,Hypothèses!$X$11,IF(U233&lt;=Hypothèses!$V$12,Hypothèses!$X$12,IF(U233&lt;=Hypothèses!$V$13,Hypothèses!$X$13,IF(U233&lt;=Hypothèses!$V$14,Hypothèses!$X$14,IF(U233&lt;=Hypothèses!$V$15,Hypothèses!$X$15,IF(U233&lt;=Hypothèses!$V$16,Hypothèses!$X$16,IF(U233&lt;=Hypothèses!$U$17,Hypothèses!$W$17,IF(U233&lt;=Hypothèses!$U$18,Hypothèses!$W$18,""))))))))))))</f>
        <v>#DIV/0!</v>
      </c>
      <c r="AR233" s="95" t="e">
        <f t="shared" ca="1" si="372"/>
        <v>#DIV/0!</v>
      </c>
      <c r="AS233" s="101" t="e">
        <f t="shared" si="424"/>
        <v>#N/A</v>
      </c>
      <c r="AT233" s="91" t="e">
        <f t="shared" si="343"/>
        <v>#N/A</v>
      </c>
      <c r="AU233" s="30" t="e">
        <f t="shared" si="402"/>
        <v>#N/A</v>
      </c>
      <c r="AV233" s="30" t="e">
        <f t="shared" si="403"/>
        <v>#N/A</v>
      </c>
      <c r="AW233" s="31" t="e">
        <f>IF(OR(Hypothèses!$B$4=17,Hypothèses!$B$4=18,Hypothèses!$B$4=19,Hypothèses!$B$4=20),
IF($D233="Pressio.",
IF(OR($E233=3,$E233=1,$E233=4),AV233,AU233),
IF($D233="Pénétro.",
IF(OR($E233=3,$E233=1,$E233=4),AV233,AU233))),IF($D233="Pressio.",
IF($E233=3,AV233,AU233),
IF($D233="Pénétro.",
IF($E233=4,AV233,AU233))))</f>
        <v>#N/A</v>
      </c>
      <c r="AX233" s="31" t="e">
        <f>(IF(OR(Hypothèses!$B$4=17,Hypothèses!$B$4=18,Hypothèses!$B$4=19,Hypothèses!$B$4=20),
IF($D233="Pressio.",
IF(OR($E233=3,$E233=1,$E233=4),(PI()*AX$12^2)/4*(AT233*$W233*1000)/($H233*$B$5),(PI()*AX$12^2)/4*(AT233*$W233*1000)/($G233*$B$5)),
IF($D233="Pénétro.",
IF(OR($E233=4,$E233=1,$E233=5),(PI()*AX$12^2)/4*(AT233*$W233*1000)/($H233*$B$5),(PI()*AX$12^2)/4*(AT233*$W233*1000)/($G233*$B$5)))),
IF($D233="Pressio.",
IF($E233=3,(PI()*AX$12^2)/4*(AT233*$W233*1000)/($H233*$B$5),(PI()*AX$12^2)/4*(AT233*$W233*1000)/($G233*$B$5)),
IF($D233="Pénétro.",
IF($E233=4,(PI()*AX$12^2)/4*(AT233*$W233*1000)/($H233*$B$5),(PI()*AX$12^2)/4*(AT233*$W233*1000)/($G233*$B$5))))))/10</f>
        <v>#N/A</v>
      </c>
      <c r="AY233" s="102" t="e">
        <f>(VLOOKUP($B$3,'Coeff EC7'!$T$39:$X$59,2,0)*AW233+VLOOKUP($B$3,'Coeff EC7'!$T$65:$X$85,2,0)*Model0.1C!AX233)/1.1</f>
        <v>#N/A</v>
      </c>
      <c r="AZ233" s="102" t="e">
        <f>(VLOOKUP($B$3,'Coeff EC7'!$T$39:$X$59,3,0)*AW233+VLOOKUP($B$3,'Coeff EC7'!$T$65:$X$85,3,0)*Model0.1C!AX233)/0.9</f>
        <v>#N/A</v>
      </c>
      <c r="BA233" s="102" t="e">
        <f t="shared" si="373"/>
        <v>#N/A</v>
      </c>
      <c r="BB233" s="102" t="e">
        <f t="shared" si="374"/>
        <v>#N/A</v>
      </c>
      <c r="BC233" s="414" t="e">
        <f>IF(BC232=0,0,IF(AND(AY233&gt;charge_ELS_quasi,AZ233&gt;Charge_ELS_freq,BA233&gt;charge_ELU,BB233&gt;charge_ELA,$B233&gt;NDC!$H$22-0.1+MIN(3*$BC$12,1.5)),0,1))</f>
        <v>#N/A</v>
      </c>
      <c r="BD233" s="86" t="b">
        <f t="shared" si="344"/>
        <v>0</v>
      </c>
      <c r="BE233" s="86">
        <f t="shared" si="375"/>
        <v>0.5</v>
      </c>
      <c r="BF233" s="86">
        <f t="shared" si="345"/>
        <v>0.5</v>
      </c>
      <c r="BG233" s="30" t="e">
        <f t="shared" ca="1" si="376"/>
        <v>#DIV/0!</v>
      </c>
      <c r="BH233" s="85" t="e">
        <f ca="1">IF(AN233&lt;=Hypothèses!$V$7,Hypothèses!$W$7,IF(AN233&lt;=Hypothèses!$V$8,Hypothèses!$W$8,IF(AN233&lt;=Hypothèses!$V$9,Hypothèses!$W$9,IF(AN233&lt;=Hypothèses!$V$10,Hypothèses!$W$10,IF(AN233&lt;=Hypothèses!$V$11,Hypothèses!$W$11,IF(AN233&lt;=Hypothèses!$V$12,Hypothèses!$W$12,IF(AN233&lt;=Hypothèses!$V$13,Hypothèses!$W$13,IF(AN233&lt;=Hypothèses!$V$14,Hypothèses!$W$14,IF(AN233&lt;=Hypothèses!$V$15,Hypothèses!$W$15,IF(AN233&lt;=Hypothèses!$V$16,Hypothèses!$W$16,IF(AN233&lt;=Hypothèses!$V$17,Hypothèses!$W$17,IF(AN233&lt;=Hypothèses!$V$18,Hypothèses!$W$18,""))))))))))))</f>
        <v>#DIV/0!</v>
      </c>
      <c r="BI233" s="87" t="e">
        <f t="shared" ca="1" si="418"/>
        <v>#DIV/0!</v>
      </c>
      <c r="BJ233" s="88" t="e">
        <f ca="1">IF(AN233&lt;=Hypothèses!$V$7,Hypothèses!$X$7,IF(AN233&lt;=Hypothèses!$V$8,Hypothèses!$X$8,IF(AN233&lt;=Hypothèses!$V$9,Hypothèses!$X$9,IF(AN233&lt;=Hypothèses!$V$10,Hypothèses!$X$10,IF(AN233&lt;=Hypothèses!$V$11,Hypothèses!$X$11,IF(AN233&lt;=Hypothèses!$V$12,Hypothèses!$X$12,IF(AN233&lt;=Hypothèses!$V$13,Hypothèses!$X$13,IF(AN233&lt;=Hypothèses!$V$14,Hypothèses!$X$14,IF(AN233&lt;=Hypothèses!$V$15,Hypothèses!$X$15,IF(AN233&lt;=Hypothèses!$V$16,Hypothèses!$X$16,IF(AN233&lt;=Hypothèses!$U$17,Hypothèses!$W$17,IF(AN233&lt;=Hypothèses!$U$18,Hypothèses!$W$18,""))))))))))))</f>
        <v>#DIV/0!</v>
      </c>
      <c r="BK233" s="95" t="e">
        <f t="shared" ca="1" si="377"/>
        <v>#DIV/0!</v>
      </c>
      <c r="BL233" s="101" t="e">
        <f t="shared" si="425"/>
        <v>#N/A</v>
      </c>
      <c r="BM233" s="91" t="e">
        <f t="shared" si="346"/>
        <v>#N/A</v>
      </c>
      <c r="BN233" s="30" t="e">
        <f t="shared" si="404"/>
        <v>#N/A</v>
      </c>
      <c r="BO233" s="30" t="e">
        <f t="shared" si="405"/>
        <v>#N/A</v>
      </c>
      <c r="BP233" s="31" t="e">
        <f>IF(OR(Hypothèses!$B$4=17,Hypothèses!$B$4=18,Hypothèses!$B$4=19,Hypothèses!$B$4=20),
IF($D233="Pressio.",
IF(OR($E233=3,$E233=1,$E233=4),BO233,BN233),
IF($D233="Pénétro.",
IF(OR($E233=3,$E233=1,$E233=4),BO233,BN233))),IF($D233="Pressio.",
IF($E233=3,BO233,BN233),
IF($D233="Pénétro.",
IF($E233=4,BO233,BN233))))</f>
        <v>#N/A</v>
      </c>
      <c r="BQ233" s="31" t="e">
        <f>(IF(OR(Hypothèses!$B$4=17,Hypothèses!$B$4=18,Hypothèses!$B$4=19,Hypothèses!$B$4=20),
IF($D233="Pressio.",
IF(OR($E233=3,$E233=1,$E233=4),(PI()*BQ$12^2)/4*(BM233*$W233*1000)/($H233*$B$5),(PI()*BQ$12^2)/4*(BM233*$W233*1000)/($G233*$B$5)),
IF($D233="Pénétro.",
IF(OR($E233=4,$E233=1,$E233=5),(PI()*BQ$12^2)/4*(BM233*$W233*1000)/($H233*$B$5),(PI()*BQ$12^2)/4*(BM233*$W233*1000)/($G233*$B$5)))),
IF($D233="Pressio.",
IF($E233=3,(PI()*BQ$12^2)/4*(BM233*$W233*1000)/($H233*$B$5),(PI()*BQ$12^2)/4*(BM233*$W233*1000)/($G233*$B$5)),
IF($D233="Pénétro.",
IF($E233=4,(PI()*BQ$12^2)/4*(BM233*$W233*1000)/($H233*$B$5),(PI()*BQ$12^2)/4*(BM233*$W233*1000)/($G233*$B$5))))))/10</f>
        <v>#N/A</v>
      </c>
      <c r="BR233" s="102" t="e">
        <f>(VLOOKUP($B$3,'Coeff EC7'!$T$39:$X$59,2,0)*BP233+VLOOKUP($B$3,'Coeff EC7'!$T$65:$X$85,2,0)*Model0.1C!BQ233)/1.1</f>
        <v>#N/A</v>
      </c>
      <c r="BS233" s="102" t="e">
        <f>(VLOOKUP($B$3,'Coeff EC7'!$T$39:$X$59,3,0)*BP233+VLOOKUP($B$3,'Coeff EC7'!$T$65:$X$85,3,0)*Model0.1C!BQ233)/0.9</f>
        <v>#N/A</v>
      </c>
      <c r="BT233" s="102" t="e">
        <f t="shared" si="378"/>
        <v>#N/A</v>
      </c>
      <c r="BU233" s="102" t="e">
        <f t="shared" si="379"/>
        <v>#N/A</v>
      </c>
      <c r="BV233" s="414" t="e">
        <f>IF(BV232=0,0,IF(AND(BR233&gt;charge_ELS_quasi,BS233&gt;Charge_ELS_freq,BT233&gt;charge_ELU,BU233&gt;charge_ELA,$B233&gt;NDC!$H$22-0.1+MIN(3*$BV$12,1.5)),0,1))</f>
        <v>#N/A</v>
      </c>
      <c r="BW233" s="86" t="b">
        <f t="shared" si="347"/>
        <v>0</v>
      </c>
      <c r="BX233" s="86">
        <f t="shared" si="348"/>
        <v>0.5</v>
      </c>
      <c r="BY233" s="86">
        <f t="shared" si="349"/>
        <v>0.5</v>
      </c>
      <c r="BZ233" s="30" t="e">
        <f t="shared" ca="1" si="380"/>
        <v>#DIV/0!</v>
      </c>
      <c r="CA233" s="85" t="e">
        <f ca="1">IF(BG233&lt;=Hypothèses!$V$7,Hypothèses!$W$7,IF(BG233&lt;=Hypothèses!$V$8,Hypothèses!$W$8,IF(BG233&lt;=Hypothèses!$V$9,Hypothèses!$W$9,IF(BG233&lt;=Hypothèses!$V$10,Hypothèses!$W$10,IF(BG233&lt;=Hypothèses!$V$11,Hypothèses!$W$11,IF(BG233&lt;=Hypothèses!$V$12,Hypothèses!$W$12,IF(BG233&lt;=Hypothèses!$V$13,Hypothèses!$W$13,IF(BG233&lt;=Hypothèses!$V$14,Hypothèses!$W$14,IF(BG233&lt;=Hypothèses!$V$15,Hypothèses!$W$15,IF(BG233&lt;=Hypothèses!$V$16,Hypothèses!$W$16,IF(BG233&lt;=Hypothèses!$V$17,Hypothèses!$W$17,IF(BG233&lt;=Hypothèses!$V$18,Hypothèses!$W$18,""))))))))))))</f>
        <v>#DIV/0!</v>
      </c>
      <c r="CB233" s="87" t="e">
        <f t="shared" ca="1" si="419"/>
        <v>#DIV/0!</v>
      </c>
      <c r="CC233" s="88" t="e">
        <f ca="1">IF(BG233&lt;=Hypothèses!$V$7,Hypothèses!$X$7,IF(BG233&lt;=Hypothèses!$V$8,Hypothèses!$X$8,IF(BG233&lt;=Hypothèses!$V$9,Hypothèses!$X$9,IF(BG233&lt;=Hypothèses!$V$10,Hypothèses!$X$10,IF(BG233&lt;=Hypothèses!$V$11,Hypothèses!$X$11,IF(BG233&lt;=Hypothèses!$V$12,Hypothèses!$X$12,IF(BG233&lt;=Hypothèses!$V$13,Hypothèses!$X$13,IF(BG233&lt;=Hypothèses!$V$14,Hypothèses!$X$14,IF(BG233&lt;=Hypothèses!$V$15,Hypothèses!$X$15,IF(BG233&lt;=Hypothèses!$V$16,Hypothèses!$X$16,IF(BG233&lt;=Hypothèses!$U$17,Hypothèses!$W$17,IF(BG233&lt;=Hypothèses!$U$18,Hypothèses!$W$18,""))))))))))))</f>
        <v>#DIV/0!</v>
      </c>
      <c r="CD233" s="95" t="e">
        <f t="shared" ca="1" si="381"/>
        <v>#DIV/0!</v>
      </c>
      <c r="CE233" s="101" t="e">
        <f t="shared" si="426"/>
        <v>#N/A</v>
      </c>
      <c r="CF233" s="91" t="e">
        <f t="shared" si="350"/>
        <v>#N/A</v>
      </c>
      <c r="CG233" s="30" t="e">
        <f t="shared" si="406"/>
        <v>#N/A</v>
      </c>
      <c r="CH233" s="30" t="e">
        <f t="shared" si="407"/>
        <v>#N/A</v>
      </c>
      <c r="CI233" s="31" t="e">
        <f>IF(OR(Hypothèses!$B$4=17,Hypothèses!$B$4=18,Hypothèses!$B$4=19,Hypothèses!$B$4=20),
IF($D233="Pressio.",
IF(OR($E233=3,$E233=1,$E233=4),CH233,CG233),
IF($D233="Pénétro.",
IF(OR($E233=3,$E233=1,$E233=4),CH233,CG233))),IF($D233="Pressio.",
IF($E233=3,CH233,CG233),
IF($D233="Pénétro.",
IF($E233=4,CH233,CG233))))</f>
        <v>#N/A</v>
      </c>
      <c r="CJ233" s="31" t="e">
        <f>(IF(OR(Hypothèses!$B$4=17,Hypothèses!$B$4=18,Hypothèses!$B$4=19,Hypothèses!$B$4=20),
IF($D233="Pressio.",
IF(OR($E233=3,$E233=1,$E233=4),(PI()*CJ$12^2)/4*(CF233*$W233*1000)/($H233*$B$5),(PI()*CJ$12^2)/4*(CF233*$W233*1000)/($G233*$B$5)),
IF($D233="Pénétro.",
IF(OR($E233=4,$E233=1,$E233=5),(PI()*CJ$12^2)/4*(CF233*$W233*1000)/($H233*$B$5),(PI()*CJ$12^2)/4*(CF233*$W233*1000)/($G233*$B$5)))),
IF($D233="Pressio.",
IF($E233=3,(PI()*CJ$12^2)/4*(CF233*$W233*1000)/($H233*$B$5),(PI()*CJ$12^2)/4*(CF233*$W233*1000)/($G233*$B$5)),
IF($D233="Pénétro.",
IF($E233=4,(PI()*CJ$12^2)/4*(CF233*$W233*1000)/($H233*$B$5),(PI()*CJ$12^2)/4*(CF233*$W233*1000)/($G233*$B$5))))))/10</f>
        <v>#N/A</v>
      </c>
      <c r="CK233" s="102" t="e">
        <f>(VLOOKUP($B$3,'Coeff EC7'!$T$39:$X$59,2,0)*CI233+VLOOKUP($B$3,'Coeff EC7'!$T$65:$X$85,2,0)*Model0.1C!CJ233)/1.1</f>
        <v>#N/A</v>
      </c>
      <c r="CL233" s="102" t="e">
        <f>(VLOOKUP($B$3,'Coeff EC7'!$T$39:$X$59,3,0)*CI233+VLOOKUP($B$3,'Coeff EC7'!$T$65:$X$85,3,0)*Model0.1C!CJ233)/0.9</f>
        <v>#N/A</v>
      </c>
      <c r="CM233" s="102" t="e">
        <f t="shared" si="382"/>
        <v>#N/A</v>
      </c>
      <c r="CN233" s="102" t="e">
        <f t="shared" si="383"/>
        <v>#N/A</v>
      </c>
      <c r="CO233" s="414" t="e">
        <f>IF(CO232=0,0,IF(AND(CK233&gt;charge_ELS_quasi,CL233&gt;Charge_ELS_freq,CM233&gt;charge_ELU,CN233&gt;charge_ELA,$B233&gt;NDC!$H$22-0.1+MIN(3*$CO$12,1.5)),0,1))</f>
        <v>#N/A</v>
      </c>
      <c r="CP233" s="86" t="b">
        <f t="shared" si="351"/>
        <v>0</v>
      </c>
      <c r="CQ233" s="86">
        <f t="shared" si="352"/>
        <v>0.5</v>
      </c>
      <c r="CR233" s="86">
        <f t="shared" si="353"/>
        <v>0.5</v>
      </c>
      <c r="CS233" s="30" t="e">
        <f t="shared" ca="1" si="384"/>
        <v>#DIV/0!</v>
      </c>
      <c r="CT233" s="85" t="e">
        <f ca="1">IF(BZ233&lt;=Hypothèses!$V$7,Hypothèses!$W$7,IF(BZ233&lt;=Hypothèses!$V$8,Hypothèses!$W$8,IF(BZ233&lt;=Hypothèses!$V$9,Hypothèses!$W$9,IF(BZ233&lt;=Hypothèses!$V$10,Hypothèses!$W$10,IF(BZ233&lt;=Hypothèses!$V$11,Hypothèses!$W$11,IF(BZ233&lt;=Hypothèses!$V$12,Hypothèses!$W$12,IF(BZ233&lt;=Hypothèses!$V$13,Hypothèses!$W$13,IF(BZ233&lt;=Hypothèses!$V$14,Hypothèses!$W$14,IF(BZ233&lt;=Hypothèses!$V$15,Hypothèses!$W$15,IF(BZ233&lt;=Hypothèses!$V$16,Hypothèses!$W$16,IF(BZ233&lt;=Hypothèses!$V$17,Hypothèses!$W$17,IF(BZ233&lt;=Hypothèses!$V$18,Hypothèses!$W$18,""))))))))))))</f>
        <v>#DIV/0!</v>
      </c>
      <c r="CU233" s="87" t="e">
        <f t="shared" ca="1" si="420"/>
        <v>#DIV/0!</v>
      </c>
      <c r="CV233" s="88" t="e">
        <f ca="1">IF(BZ233&lt;=Hypothèses!$V$7,Hypothèses!$X$7,IF(BZ233&lt;=Hypothèses!$V$8,Hypothèses!$X$8,IF(BZ233&lt;=Hypothèses!$V$9,Hypothèses!$X$9,IF(BZ233&lt;=Hypothèses!$V$10,Hypothèses!$X$10,IF(BZ233&lt;=Hypothèses!$V$11,Hypothèses!$X$11,IF(BZ233&lt;=Hypothèses!$V$12,Hypothèses!$X$12,IF(BZ233&lt;=Hypothèses!$V$13,Hypothèses!$X$13,IF(BZ233&lt;=Hypothèses!$V$14,Hypothèses!$X$14,IF(BZ233&lt;=Hypothèses!$V$15,Hypothèses!$X$15,IF(BZ233&lt;=Hypothèses!$V$16,Hypothèses!$X$16,IF(BZ233&lt;=Hypothèses!$U$17,Hypothèses!$W$17,IF(BZ233&lt;=Hypothèses!$U$18,Hypothèses!$W$18,""))))))))))))</f>
        <v>#DIV/0!</v>
      </c>
      <c r="CW233" s="95" t="e">
        <f t="shared" ca="1" si="385"/>
        <v>#DIV/0!</v>
      </c>
      <c r="CX233" s="101" t="e">
        <f t="shared" si="427"/>
        <v>#N/A</v>
      </c>
      <c r="CY233" s="91" t="e">
        <f t="shared" si="354"/>
        <v>#N/A</v>
      </c>
      <c r="CZ233" s="30" t="e">
        <f t="shared" si="408"/>
        <v>#N/A</v>
      </c>
      <c r="DA233" s="30" t="e">
        <f t="shared" si="409"/>
        <v>#N/A</v>
      </c>
      <c r="DB233" s="31" t="e">
        <f>IF(OR(Hypothèses!$B$4=17,Hypothèses!$B$4=18,Hypothèses!$B$4=19,Hypothèses!$B$4=20),
IF($D233="Pressio.",
IF(OR($E233=3,$E233=1,$E233=4),DA233,CZ233),
IF($D233="Pénétro.",
IF(OR($E233=3,$E233=1,$E233=4),DA233,CZ233))),IF($D233="Pressio.",
IF($E233=3,DA233,CZ233),
IF($D233="Pénétro.",
IF($E233=4,DA233,CZ233))))</f>
        <v>#N/A</v>
      </c>
      <c r="DC233" s="31" t="e">
        <f>(IF(OR(Hypothèses!$B$4=17,Hypothèses!$B$4=18,Hypothèses!$B$4=19,Hypothèses!$B$4=20),
IF($D233="Pressio.",
IF(OR($E233=3,$E233=1,$E233=4),(PI()*DC$12^2)/4*(CY233*$W233*1000)/($H233*$B$5),(PI()*DC$12^2)/4*(CY233*$W233*1000)/($G233*$B$5)),
IF($D233="Pénétro.",
IF(OR($E233=4,$E233=1,$E233=5),(PI()*DC$12^2)/4*(CY233*$W233*1000)/($H233*$B$5),(PI()*DC$12^2)/4*(CY233*$W233*1000)/($G233*$B$5)))),
IF($D233="Pressio.",
IF($E233=3,(PI()*DC$12^2)/4*(CY233*$W233*1000)/($H233*$B$5),(PI()*DC$12^2)/4*(CY233*$W233*1000)/($G233*$B$5)),
IF($D233="Pénétro.",
IF($E233=4,(PI()*DC$12^2)/4*(CY233*$W233*1000)/($H233*$B$5),(PI()*DC$12^2)/4*(CY233*$W233*1000)/($G233*$B$5))))))/10</f>
        <v>#N/A</v>
      </c>
      <c r="DD233" s="102" t="e">
        <f>(VLOOKUP($B$3,'Coeff EC7'!$T$39:$X$59,2,0)*DB233+VLOOKUP($B$3,'Coeff EC7'!$T$65:$X$85,2,0)*Model0.1C!DC233)/1.1</f>
        <v>#N/A</v>
      </c>
      <c r="DE233" s="102" t="e">
        <f>(VLOOKUP($B$3,'Coeff EC7'!$T$39:$X$59,3,0)*DB233+VLOOKUP($B$3,'Coeff EC7'!$T$65:$X$85,3,0)*Model0.1C!DC233)/0.9</f>
        <v>#N/A</v>
      </c>
      <c r="DF233" s="102" t="e">
        <f t="shared" si="386"/>
        <v>#N/A</v>
      </c>
      <c r="DG233" s="102" t="e">
        <f t="shared" si="387"/>
        <v>#N/A</v>
      </c>
      <c r="DH233" s="414" t="e">
        <f>IF(DH232=0,0,IF(AND(DD233&gt;charge_ELS_quasi,DE233&gt;Charge_ELS_freq,DF233&gt;charge_ELU,DG233&gt;charge_ELA,$B233&gt;NDC!$H$22-0.1+MIN(3*$DH$12,1.5)),0,1))</f>
        <v>#N/A</v>
      </c>
      <c r="DI233" s="86" t="b">
        <f t="shared" si="355"/>
        <v>0</v>
      </c>
      <c r="DJ233" s="86">
        <f t="shared" si="356"/>
        <v>0.5</v>
      </c>
      <c r="DK233" s="86">
        <f t="shared" si="357"/>
        <v>0.5</v>
      </c>
      <c r="DL233" s="30" t="e">
        <f t="shared" ca="1" si="388"/>
        <v>#DIV/0!</v>
      </c>
      <c r="DM233" s="85" t="e">
        <f ca="1">IF(CS233&lt;=Hypothèses!$V$7,Hypothèses!$W$7,IF(CS233&lt;=Hypothèses!$V$8,Hypothèses!$W$8,IF(CS233&lt;=Hypothèses!$V$9,Hypothèses!$W$9,IF(CS233&lt;=Hypothèses!$V$10,Hypothèses!$W$10,IF(CS233&lt;=Hypothèses!$V$11,Hypothèses!$W$11,IF(CS233&lt;=Hypothèses!$V$12,Hypothèses!$W$12,IF(CS233&lt;=Hypothèses!$V$13,Hypothèses!$W$13,IF(CS233&lt;=Hypothèses!$V$14,Hypothèses!$W$14,IF(CS233&lt;=Hypothèses!$V$15,Hypothèses!$W$15,IF(CS233&lt;=Hypothèses!$V$16,Hypothèses!$W$16,IF(CS233&lt;=Hypothèses!$V$17,Hypothèses!$W$17,IF(CS233&lt;=Hypothèses!$V$18,Hypothèses!$W$18,""))))))))))))</f>
        <v>#DIV/0!</v>
      </c>
      <c r="DN233" s="87" t="e">
        <f t="shared" ca="1" si="421"/>
        <v>#DIV/0!</v>
      </c>
      <c r="DO233" s="88" t="e">
        <f ca="1">IF(CS233&lt;=Hypothèses!$V$7,Hypothèses!$X$7,IF(CS233&lt;=Hypothèses!$V$8,Hypothèses!$X$8,IF(CS233&lt;=Hypothèses!$V$9,Hypothèses!$X$9,IF(CS233&lt;=Hypothèses!$V$10,Hypothèses!$X$10,IF(CS233&lt;=Hypothèses!$V$11,Hypothèses!$X$11,IF(CS233&lt;=Hypothèses!$V$12,Hypothèses!$X$12,IF(CS233&lt;=Hypothèses!$V$13,Hypothèses!$X$13,IF(CS233&lt;=Hypothèses!$V$14,Hypothèses!$X$14,IF(CS233&lt;=Hypothèses!$V$15,Hypothèses!$X$15,IF(CS233&lt;=Hypothèses!$V$16,Hypothèses!$X$16,IF(CS233&lt;=Hypothèses!$U$17,Hypothèses!$W$17,IF(CS233&lt;=Hypothèses!$U$18,Hypothèses!$W$18,""))))))))))))</f>
        <v>#DIV/0!</v>
      </c>
      <c r="DP233" s="95" t="e">
        <f t="shared" ca="1" si="389"/>
        <v>#DIV/0!</v>
      </c>
      <c r="DQ233" s="101" t="e">
        <f t="shared" si="428"/>
        <v>#N/A</v>
      </c>
      <c r="DR233" s="91" t="e">
        <f t="shared" si="358"/>
        <v>#N/A</v>
      </c>
      <c r="DS233" s="30" t="e">
        <f t="shared" si="410"/>
        <v>#N/A</v>
      </c>
      <c r="DT233" s="30" t="e">
        <f t="shared" si="411"/>
        <v>#N/A</v>
      </c>
      <c r="DU233" s="31" t="e">
        <f>IF(OR(Hypothèses!$B$4=17,Hypothèses!$B$4=18,Hypothèses!$B$4=19,Hypothèses!$B$4=20),
IF($D233="Pressio.",
IF(OR($E233=3,$E233=1,$E233=4),DT233,DS233),
IF($D233="Pénétro.",
IF(OR($E233=3,$E233=1,$E233=4),DT233,DS233))),IF($D233="Pressio.",
IF($E233=3,DT233,DS233),
IF($D233="Pénétro.",
IF($E233=4,DT233,DS233))))</f>
        <v>#N/A</v>
      </c>
      <c r="DV233" s="31" t="e">
        <f>(IF(OR(Hypothèses!$B$4=17,Hypothèses!$B$4=18,Hypothèses!$B$4=19,Hypothèses!$B$4=20),
IF($D233="Pressio.",
IF(OR($E233=3,$E233=1,$E233=4),(PI()*DV$12^2)/4*(DR233*$W233*1000)/($H233*$B$5),(PI()*DV$12^2)/4*(DR233*$W233*1000)/($G233*$B$5)),
IF($D233="Pénétro.",
IF(OR($E233=4,$E233=1,$E233=5),(PI()*DV$12^2)/4*(DR233*$W233*1000)/($H233*$B$5),(PI()*DV$12^2)/4*(DR233*$W233*1000)/($G233*$B$5)))),
IF($D233="Pressio.",
IF($E233=3,(PI()*DV$12^2)/4*(DR233*$W233*1000)/($H233*$B$5),(PI()*DV$12^2)/4*(DR233*$W233*1000)/($G233*$B$5)),
IF($D233="Pénétro.",
IF($E233=4,(PI()*DV$12^2)/4*(DR233*$W233*1000)/($H233*$B$5),(PI()*DV$12^2)/4*(DR233*$W233*1000)/($G233*$B$5))))))/10</f>
        <v>#N/A</v>
      </c>
      <c r="DW233" s="102" t="e">
        <f>(VLOOKUP($B$3,'Coeff EC7'!$T$39:$X$59,2,0)*DU233+VLOOKUP($B$3,'Coeff EC7'!$T$65:$X$85,2,0)*Model0.1C!DV233)/1.1</f>
        <v>#N/A</v>
      </c>
      <c r="DX233" s="102" t="e">
        <f>(VLOOKUP($B$3,'Coeff EC7'!$T$39:$X$59,3,0)*DU233+VLOOKUP($B$3,'Coeff EC7'!$T$65:$X$85,3,0)*Model0.1C!DV233)/0.9</f>
        <v>#N/A</v>
      </c>
      <c r="DY233" s="102" t="e">
        <f t="shared" si="390"/>
        <v>#N/A</v>
      </c>
      <c r="DZ233" s="102" t="e">
        <f t="shared" si="391"/>
        <v>#N/A</v>
      </c>
      <c r="EA233" s="414" t="e">
        <f>IF(EA232=0,0,IF(AND(DW233&gt;charge_ELS_quasi,DX233&gt;Charge_ELS_freq,DY233&gt;charge_ELU,DZ233&gt;charge_ELA,$B233&gt;NDC!$H$22-0.1+MIN(3*$EA$12,1.5)),0,1))</f>
        <v>#N/A</v>
      </c>
      <c r="EB233" s="86" t="b">
        <f t="shared" si="359"/>
        <v>0</v>
      </c>
      <c r="EC233" s="418">
        <f t="shared" si="360"/>
        <v>0.51</v>
      </c>
      <c r="ED233" s="86">
        <f t="shared" si="361"/>
        <v>0.51</v>
      </c>
      <c r="EE233" s="30" t="e">
        <f t="shared" ca="1" si="392"/>
        <v>#DIV/0!</v>
      </c>
      <c r="EF233" s="85" t="e">
        <f ca="1">IF(DL233&lt;=Hypothèses!$V$7,Hypothèses!$W$7,IF(DL233&lt;=Hypothèses!$V$8,Hypothèses!$W$8,IF(DL233&lt;=Hypothèses!$V$9,Hypothèses!$W$9,IF(DL233&lt;=Hypothèses!$V$10,Hypothèses!$W$10,IF(DL233&lt;=Hypothèses!$V$11,Hypothèses!$W$11,IF(DL233&lt;=Hypothèses!$V$12,Hypothèses!$W$12,IF(DL233&lt;=Hypothèses!$V$13,Hypothèses!$W$13,IF(DL233&lt;=Hypothèses!$V$14,Hypothèses!$W$14,IF(DL233&lt;=Hypothèses!$V$15,Hypothèses!$W$15,IF(DL233&lt;=Hypothèses!$V$16,Hypothèses!$W$16,IF(DL233&lt;=Hypothèses!$V$17,Hypothèses!$W$17,IF(DL233&lt;=Hypothèses!$V$18,Hypothèses!$W$18,""))))))))))))</f>
        <v>#DIV/0!</v>
      </c>
      <c r="EG233" s="87" t="e">
        <f t="shared" ca="1" si="422"/>
        <v>#DIV/0!</v>
      </c>
      <c r="EH233" s="88" t="e">
        <f ca="1">IF(DL233&lt;=Hypothèses!$V$7,Hypothèses!$X$7,IF(DL233&lt;=Hypothèses!$V$8,Hypothèses!$X$8,IF(DL233&lt;=Hypothèses!$V$9,Hypothèses!$X$9,IF(DL233&lt;=Hypothèses!$V$10,Hypothèses!$X$10,IF(DL233&lt;=Hypothèses!$V$11,Hypothèses!$X$11,IF(DL233&lt;=Hypothèses!$V$12,Hypothèses!$X$12,IF(DL233&lt;=Hypothèses!$V$13,Hypothèses!$X$13,IF(DL233&lt;=Hypothèses!$V$14,Hypothèses!$X$14,IF(DL233&lt;=Hypothèses!$V$15,Hypothèses!$X$15,IF(DL233&lt;=Hypothèses!$V$16,Hypothèses!$X$16,IF(DL233&lt;=Hypothèses!$U$17,Hypothèses!$W$17,IF(DL233&lt;=Hypothèses!$U$18,Hypothèses!$W$18,""))))))))))))</f>
        <v>#DIV/0!</v>
      </c>
      <c r="EI233" s="95" t="e">
        <f t="shared" ca="1" si="393"/>
        <v>#DIV/0!</v>
      </c>
      <c r="EJ233" s="101" t="e">
        <f t="shared" si="429"/>
        <v>#N/A</v>
      </c>
      <c r="EK233" s="91" t="e">
        <f t="shared" si="362"/>
        <v>#N/A</v>
      </c>
      <c r="EL233" s="30" t="e">
        <f t="shared" si="412"/>
        <v>#N/A</v>
      </c>
      <c r="EM233" s="30" t="e">
        <f t="shared" si="413"/>
        <v>#N/A</v>
      </c>
      <c r="EN233" s="31" t="e">
        <f>IF(OR(Hypothèses!$B$4=17,Hypothèses!$B$4=18,Hypothèses!$B$4=19,Hypothèses!$B$4=20),
IF($D233="Pressio.",
IF(OR($E233=3,$E233=1,$E233=4),EM233,EL233),
IF($D233="Pénétro.",
IF(OR($E233=3,$E233=1,$E233=4),EM233,EL233))),IF($D233="Pressio.",
IF($E233=3,EM233,EL233),
IF($D233="Pénétro.",
IF($E233=4,EM233,EL233))))</f>
        <v>#N/A</v>
      </c>
      <c r="EO233" s="31" t="e">
        <f>(IF(OR(Hypothèses!$B$4=17,Hypothèses!$B$4=18,Hypothèses!$B$4=19,Hypothèses!$B$4=20),
IF($D233="Pressio.",
IF(OR($E233=3,$E233=1,$E233=4),(PI()*EO$12^2)/4*(EK233*$W233*1000)/($H233*$B$5),(PI()*EO$12^2)/4*(EK233*$W233*1000)/($G233*$B$5)),
IF($D233="Pénétro.",
IF(OR($E233=4,$E233=1,$E233=5),(PI()*EO$12^2)/4*(EK233*$W233*1000)/($H233*$B$5),(PI()*EO$12^2)/4*(EK233*$W233*1000)/($G233*$B$5)))),
IF($D233="Pressio.",
IF($E233=3,(PI()*EO$12^2)/4*(EK233*$W233*1000)/($H233*$B$5),(PI()*EO$12^2)/4*(EK233*$W233*1000)/($G233*$B$5)),
IF($D233="Pénétro.",
IF($E233=4,(PI()*EO$12^2)/4*(EK233*$W233*1000)/($H233*$B$5),(PI()*EO$12^2)/4*(EK233*$W233*1000)/($G233*$B$5))))))/10</f>
        <v>#N/A</v>
      </c>
      <c r="EP233" s="102" t="e">
        <f>(VLOOKUP($B$3,'Coeff EC7'!$T$39:$X$59,2,0)*EN233+VLOOKUP($B$3,'Coeff EC7'!$T$65:$X$85,2,0)*Model0.1C!EO233)/1.1</f>
        <v>#N/A</v>
      </c>
      <c r="EQ233" s="102" t="e">
        <f>(VLOOKUP($B$3,'Coeff EC7'!$T$39:$X$59,3,0)*EN233+VLOOKUP($B$3,'Coeff EC7'!$T$65:$X$85,3,0)*Model0.1C!EO233)/0.9</f>
        <v>#N/A</v>
      </c>
      <c r="ER233" s="102" t="e">
        <f t="shared" si="394"/>
        <v>#N/A</v>
      </c>
      <c r="ES233" s="102" t="e">
        <f t="shared" si="395"/>
        <v>#N/A</v>
      </c>
      <c r="ET233" s="414" t="e">
        <f>IF(ET232=0,0,IF(AND(EP233&gt;charge_ELS_quasi,EQ233&gt;Charge_ELS_freq,ER233&gt;charge_ELU,ES233&gt;charge_ELA,$B233&gt;NDC!$H$22-0.1+MIN(3*$ET$12,1.5)),0,1))</f>
        <v>#N/A</v>
      </c>
      <c r="EU233" s="86" t="b">
        <f t="shared" si="363"/>
        <v>0</v>
      </c>
      <c r="EV233" s="86">
        <f t="shared" si="364"/>
        <v>0.61</v>
      </c>
      <c r="EW233" s="86">
        <f t="shared" si="365"/>
        <v>0.61</v>
      </c>
      <c r="EX233" s="30" t="e">
        <f t="shared" ca="1" si="396"/>
        <v>#DIV/0!</v>
      </c>
      <c r="EY233" s="85" t="e">
        <f ca="1">IF(EE233&lt;=Hypothèses!$V$7,Hypothèses!$W$7,IF(EE233&lt;=Hypothèses!$V$8,Hypothèses!$W$8,IF(EE233&lt;=Hypothèses!$V$9,Hypothèses!$W$9,IF(EE233&lt;=Hypothèses!$V$10,Hypothèses!$W$10,IF(EE233&lt;=Hypothèses!$V$11,Hypothèses!$W$11,IF(EE233&lt;=Hypothèses!$V$12,Hypothèses!$W$12,IF(EE233&lt;=Hypothèses!$V$13,Hypothèses!$W$13,IF(EE233&lt;=Hypothèses!$V$14,Hypothèses!$W$14,IF(EE233&lt;=Hypothèses!$V$15,Hypothèses!$W$15,IF(EE233&lt;=Hypothèses!$V$16,Hypothèses!$W$16,IF(EE233&lt;=Hypothèses!$V$17,Hypothèses!$W$17,IF(EE233&lt;=Hypothèses!$V$18,Hypothèses!$W$18,""))))))))))))</f>
        <v>#DIV/0!</v>
      </c>
      <c r="EZ233" s="87" t="e">
        <f t="shared" ca="1" si="423"/>
        <v>#DIV/0!</v>
      </c>
      <c r="FA233" s="88" t="e">
        <f ca="1">IF(EE233&lt;=Hypothèses!$V$7,Hypothèses!$X$7,IF(EE233&lt;=Hypothèses!$V$8,Hypothèses!$X$8,IF(EE233&lt;=Hypothèses!$V$9,Hypothèses!$X$9,IF(EE233&lt;=Hypothèses!$V$10,Hypothèses!$X$10,IF(EE233&lt;=Hypothèses!$V$11,Hypothèses!$X$11,IF(EE233&lt;=Hypothèses!$V$12,Hypothèses!$X$12,IF(EE233&lt;=Hypothèses!$V$13,Hypothèses!$X$13,IF(EE233&lt;=Hypothèses!$V$14,Hypothèses!$X$14,IF(EE233&lt;=Hypothèses!$V$15,Hypothèses!$X$15,IF(EE233&lt;=Hypothèses!$V$16,Hypothèses!$X$16,IF(EE233&lt;=Hypothèses!$U$17,Hypothèses!$W$17,IF(EE233&lt;=Hypothèses!$U$18,Hypothèses!$W$18,""))))))))))))</f>
        <v>#DIV/0!</v>
      </c>
      <c r="FB233" s="95" t="e">
        <f t="shared" ca="1" si="397"/>
        <v>#DIV/0!</v>
      </c>
      <c r="FC233" s="101" t="e">
        <f t="shared" si="430"/>
        <v>#N/A</v>
      </c>
      <c r="FD233" s="91" t="e">
        <f t="shared" si="366"/>
        <v>#N/A</v>
      </c>
      <c r="FE233" s="30" t="e">
        <f t="shared" si="414"/>
        <v>#N/A</v>
      </c>
      <c r="FF233" s="30" t="e">
        <f t="shared" si="415"/>
        <v>#N/A</v>
      </c>
      <c r="FG233" s="31" t="e">
        <f>IF(OR(Hypothèses!$B$4=17,Hypothèses!$B$4=18,Hypothèses!$B$4=19,Hypothèses!$B$4=20),
IF($D233="Pressio.",
IF(OR($E233=3,$E233=1,$E233=4),FF233,FE233),
IF($D233="Pénétro.",
IF(OR($E233=3,$E233=1,$E233=4),FF233,FE233))),IF($D233="Pressio.",
IF($E233=3,FF233,FE233),
IF($D233="Pénétro.",
IF($E233=4,FF233,FE233))))</f>
        <v>#N/A</v>
      </c>
      <c r="FH233" s="31" t="e">
        <f>(IF(OR(Hypothèses!$B$4=17,Hypothèses!$B$4=18,Hypothèses!$B$4=19,Hypothèses!$B$4=20),
IF($D233="Pressio.",
IF(OR($E233=3,$E233=1,$E233=4),(PI()*FH$12^2)/4*(FD233*$W233*1000)/($H233*$B$5),(PI()*FH$12^2)/4*(FD233*$W233*1000)/($G233*$B$5)),
IF($D233="Pénétro.",
IF(OR($E233=4,$E233=1,$E233=5),(PI()*FH$12^2)/4*(FD233*$W233*1000)/($H233*$B$5),(PI()*FH$12^2)/4*(FD233*$W233*1000)/($G233*$B$5)))),
IF($D233="Pressio.",
IF($E233=3,(PI()*FH$12^2)/4*(FD233*$W233*1000)/($H233*$B$5),(PI()*FH$12^2)/4*(FD233*$W233*1000)/($G233*$B$5)),
IF($D233="Pénétro.",
IF($E233=4,(PI()*FH$12^2)/4*(FD233*$W233*1000)/($H233*$B$5),(PI()*FH$12^2)/4*(FD233*$W233*1000)/($G233*$B$5))))))/10</f>
        <v>#N/A</v>
      </c>
      <c r="FI233" s="102" t="e">
        <f>(VLOOKUP($B$3,'Coeff EC7'!$T$39:$X$59,2,0)*FG233+VLOOKUP($B$3,'Coeff EC7'!$T$65:$X$85,2,0)*Model0.1C!FH233)/1.1</f>
        <v>#N/A</v>
      </c>
      <c r="FJ233" s="102" t="e">
        <f>(VLOOKUP($B$3,'Coeff EC7'!$T$39:$X$59,3,0)*FG233+VLOOKUP($B$3,'Coeff EC7'!$T$65:$X$85,3,0)*Model0.1C!FH233)/0.9</f>
        <v>#N/A</v>
      </c>
      <c r="FK233" s="102" t="e">
        <f t="shared" si="398"/>
        <v>#N/A</v>
      </c>
      <c r="FL233" s="102" t="e">
        <f t="shared" si="399"/>
        <v>#N/A</v>
      </c>
      <c r="FM233" s="414" t="e">
        <f>IF(FM232=0,0,IF(AND(FI233&gt;charge_ELS_quasi,FJ233&gt;Charge_ELS_freq,FK233&gt;charge_ELU,FL233&gt;charge_ELA,$B233&gt;NDC!$H$22-0.1+MIN(3*$FM$12,1.5)),0,1))</f>
        <v>#N/A</v>
      </c>
    </row>
    <row r="234" spans="1:169">
      <c r="A234" s="96">
        <f t="shared" si="367"/>
        <v>77.900000000001256</v>
      </c>
      <c r="B234" s="97">
        <v>22.1</v>
      </c>
      <c r="C234" s="81">
        <f>IF(B234&lt;=Hypothèses!$C$7,Hypothèses!$A$7,IF(B234&lt;=Hypothèses!$C$8,Hypothèses!$A$8,IF(B234&lt;=Hypothèses!$C$9,Hypothèses!$A$9,IF(B234&lt;=Hypothèses!$C$10,Hypothèses!$A$10,IF(B234&lt;=Hypothèses!$C$11,Hypothèses!$A$11,IF(B234&lt;=Hypothèses!$C$12,Hypothèses!$A$12,IF(B234&lt;=Hypothèses!$C$13,Hypothèses!$A$13,IF(B234&lt;=Hypothèses!$C$14,Hypothèses!$A$14,IF(B234&lt;=Hypothèses!$C$15,Hypothèses!$A$15,IF(B234&lt;=Hypothèses!$C$16,Hypothèses!$A$16,IF(B234&lt;=Hypothèses!$C$17,Hypothèses!$A$17,IF(B234&lt;=Hypothèses!$C$18,Hypothèses!$A$18,C233))))))))))))</f>
        <v>11</v>
      </c>
      <c r="D234" s="82" t="str">
        <f>IF(B234&lt;=Hypothèses!$C$7,Hypothèses!$R$7,IF(B234&lt;=Hypothèses!$C$8,Hypothèses!$R$8,IF(B234&lt;=Hypothèses!$C$9,Hypothèses!$R$9,IF(B234&lt;=Hypothèses!$C$10,Hypothèses!$R$10,IF(B234&lt;=Hypothèses!$C$11,Hypothèses!$R$11,IF(B234&lt;=Hypothèses!$C$12,Hypothèses!$R$12,IF(B234&lt;=Hypothèses!$C$13,Hypothèses!$R$13,IF(B234&lt;=Hypothèses!$C$14,Hypothèses!$R$14,IF(B234&lt;=Hypothèses!$C$15,Hypothèses!$R$15,IF(B234&lt;=Hypothèses!$C$16,Hypothèses!$R$16,IF(B234&lt;=Hypothèses!$C$17,Hypothèses!$R$17,IF(B234&lt;=Hypothèses!$C$18,Hypothèses!$R$18,D233))))))))))))</f>
        <v>Pressio.</v>
      </c>
      <c r="E234" s="82" t="e">
        <f>IF(B234&lt;=Hypothèses!$C$7,Hypothèses!$G$7,IF(B234&lt;=Hypothèses!$C$8,Hypothèses!$G$8,IF(B234&lt;=Hypothèses!$C$9,Hypothèses!$G$9,IF(B234&lt;=Hypothèses!$C$10,Hypothèses!$G$10,IF(B234&lt;=Hypothèses!$C$11,Hypothèses!$G$11,IF(B234&lt;=Hypothèses!$C$12,Hypothèses!$G$12,IF(B234&lt;=Hypothèses!$C$13,Hypothèses!$G$13,IF(B234&lt;=Hypothèses!$C$14,Hypothèses!$G$14,IF(B234&lt;=Hypothèses!$C$15,Hypothèses!$G$15,IF(B234&lt;=Hypothèses!$C$16,Hypothèses!$G$16,IF(B234&lt;=Hypothèses!$C$17,Hypothèses!$G$17,IF(B234&lt;=Hypothèses!$C$18,Hypothèses!$G$18,E233))))))))))))</f>
        <v>#N/A</v>
      </c>
      <c r="F234" s="82" t="str">
        <f>IF(B234&lt;=Hypothèses!$C$7,Hypothèses!$F$7,IF(B234&lt;=Hypothèses!$C$8,Hypothèses!$F$8,IF(B234&lt;=Hypothèses!$C$9,Hypothèses!$F$9,IF(B234&lt;=Hypothèses!$C$10,Hypothèses!$F$10,IF(B234&lt;=Hypothèses!$C$11,Hypothèses!$F$11,IF(B234&lt;=Hypothèses!$C$12,Hypothèses!$F$12,IF(B234&lt;=Hypothèses!$C$13,Hypothèses!$F$13,IF(B234&lt;=Hypothèses!$C$14,Hypothèses!$F$14,IF(B234&lt;=Hypothèses!$C$15,Hypothèses!$F$15,IF(B234&lt;=Hypothèses!$C$16,Hypothèses!$F$16,IF(B234&lt;=Hypothèses!$C$17,Hypothèses!$F$17,IF(B234&lt;=Hypothèses!$C$18,Hypothèses!$F$18,F233))))))))))))</f>
        <v/>
      </c>
      <c r="G234" s="91">
        <f t="array" ref="G234">INDEX('Coeff EC7'!$U$7:$X$27,
MATCH(Model0.1C!$B$3,'Coeff EC7'!$T$7:$T$27,0),
MATCH(Model0.1C!$D234&amp;Model0.1C!$B$4,
'Coeff EC7'!$U$6:$X$6&amp;
'Coeff EC7'!$U$5:$X$5,0))</f>
        <v>1.1499999999999999</v>
      </c>
      <c r="H234" s="91">
        <f t="array" ref="H234">INDEX('Coeff EC7'!$Y$7:$AB$27,
MATCH(Model0.1C!$B$3,'Coeff EC7'!$T$7:$T$27,0),
MATCH(Model0.1C!$D234&amp;Model0.1C!$B$4,
'Coeff EC7'!$Y$6:$AB$6&amp;
'Coeff EC7'!$Y$5:$AB$5,0))</f>
        <v>1.4</v>
      </c>
      <c r="I234" s="83" t="e">
        <f>IF(B234&lt;=Hypothèses!$C$7,Hypothèses!$P$7,IF(B234&lt;=Hypothèses!$C$8,Hypothèses!$P$8,IF(B234&lt;=Hypothèses!$C$9,Hypothèses!$P$9,IF(B234&lt;=Hypothèses!$C$10,Hypothèses!$P$10,IF(B234&lt;=Hypothèses!$C$11,Hypothèses!$P$11,IF(B234&lt;=Hypothèses!$C$12,Hypothèses!$P$12,IF(B234&lt;=Hypothèses!$C$13,Hypothèses!$P$13,IF(B234&lt;=Hypothèses!$C$14,Hypothèses!$P$14,IF(B234&lt;=Hypothèses!$C$15,Hypothèses!$P$15,IF(B234&lt;=Hypothèses!$C$16,Hypothèses!$P$16,IF(B234&lt;=Hypothèses!$C$17,Hypothèses!$P$17,IF(B234&lt;=Hypothèses!$C$18,Hypothèses!$P$18,I233))))))))))))</f>
        <v>#N/A</v>
      </c>
      <c r="J234" s="91" t="e">
        <f t="array" ref="J234">INDEX('Coeff EC7'!$D$33:$Q$33,1,MATCH(D234&amp;E234,'Coeff EC7'!$D$31:$Q$31&amp;'Coeff EC7'!$D$32:$Q$32,0))</f>
        <v>#N/A</v>
      </c>
      <c r="K234" s="91" t="e">
        <f t="array" ref="K234">INDEX('Coeff EC7'!$D$34:$Q$34,1,MATCH(D234&amp;E234,'Coeff EC7'!$D$31:$Q$31&amp;'Coeff EC7'!$D$32:$Q$32,0))</f>
        <v>#N/A</v>
      </c>
      <c r="L234" s="91" t="e">
        <f t="array" ref="L234">INDEX('Coeff EC7'!$D$35:$Q$35,1,MATCH(D234&amp;E234,'Coeff EC7'!$D$31:$Q$31&amp;'Coeff EC7'!$D$32:$Q$32,0))</f>
        <v>#N/A</v>
      </c>
      <c r="M234" s="98" t="e">
        <f t="shared" si="331"/>
        <v>#N/A</v>
      </c>
      <c r="N234" s="99" t="e">
        <f t="array" ref="N234">INDEX('Coeff EC7'!$D$7:$Q$27,MATCH($B$3,'Coeff EC7'!$C$7:$C$27,0),MATCH(D234&amp;E234,'Coeff EC7'!$D$5:$Q$5&amp;'Coeff EC7'!$D$6:$Q$6,0))</f>
        <v>#N/A</v>
      </c>
      <c r="O234" s="99" t="e">
        <f t="array" ref="O234">INDEX('Coeff EC7'!$D$41:$Q$61,MATCH($B$3,'Coeff EC7'!$C$41:$C$61,0),MATCH(D234&amp;E234,'Coeff EC7'!$D$39:$Q$39&amp;'Coeff EC7'!$D$40:$Q$40,0))</f>
        <v>#N/A</v>
      </c>
      <c r="P234" s="30" t="e">
        <f t="shared" si="368"/>
        <v>#N/A</v>
      </c>
      <c r="Q234" s="100" t="e">
        <f t="shared" si="333"/>
        <v>#N/A</v>
      </c>
      <c r="R234" s="86" t="b">
        <f t="shared" si="334"/>
        <v>0</v>
      </c>
      <c r="S234" s="86">
        <f t="shared" si="332"/>
        <v>0.5</v>
      </c>
      <c r="T234" s="86">
        <f t="shared" si="335"/>
        <v>0.5</v>
      </c>
      <c r="U234" s="30" t="e">
        <f t="shared" ca="1" si="369"/>
        <v>#DIV/0!</v>
      </c>
      <c r="V234" s="85" t="str">
        <f>IF(B234&lt;=Hypothèses!$V$7,Hypothèses!$W$7,IF(B234&lt;=Hypothèses!$V$8,Hypothèses!$W$8,IF(B234&lt;=Hypothèses!$V$9,Hypothèses!$W$9,IF(B234&lt;=Hypothèses!$V$10,Hypothèses!$W$10,IF(B234&lt;=Hypothèses!$V$11,Hypothèses!$W$11,IF(B234&lt;=Hypothèses!$V$12,Hypothèses!$W$12,IF(B234&lt;=Hypothèses!$V$13,Hypothèses!$W$13,IF(B234&lt;=Hypothèses!$V$14,Hypothèses!$W$14,IF(B234&lt;=Hypothèses!$V$15,Hypothèses!$W$15,IF(B234&lt;=Hypothèses!$V$16,Hypothèses!$W$16,IF(B234&lt;=Hypothèses!$V$17,Hypothèses!$W$17,IF(B234&lt;=Hypothèses!$V$18,Hypothèses!$W$18,""))))))))))))</f>
        <v/>
      </c>
      <c r="W234" s="87" t="e">
        <f t="shared" ca="1" si="416"/>
        <v>#DIV/0!</v>
      </c>
      <c r="X234" s="88" t="str">
        <f>IF(B234&lt;=Hypothèses!$V$7,Hypothèses!$X$7,IF(B234&lt;=Hypothèses!$V$8,Hypothèses!$X$8,IF(B234&lt;=Hypothèses!$V$9,Hypothèses!$X$9,IF(B234&lt;=Hypothèses!$V$10,Hypothèses!$X$10,IF(B234&lt;=Hypothèses!$V$11,Hypothèses!$X$11,IF(B234&lt;=Hypothèses!$V$12,Hypothèses!$X$12,IF(B234&lt;=Hypothèses!$V$13,Hypothèses!$X$13,IF(B234&lt;=Hypothèses!$V$14,Hypothèses!$X$14,IF(B234&lt;=Hypothèses!$V$15,Hypothèses!$X$15,IF(B234&lt;=Hypothèses!$V$16,Hypothèses!$X$16,IF(B234&lt;=Hypothèses!$U$17,Hypothèses!$W$17,IF(B234&lt;=Hypothèses!$U$18,Hypothèses!$W$18,""))))))))))))</f>
        <v/>
      </c>
      <c r="Y234" s="95" t="e">
        <f t="shared" ca="1" si="336"/>
        <v>#DIV/0!</v>
      </c>
      <c r="Z234" s="101" t="e">
        <f t="shared" si="337"/>
        <v>#N/A</v>
      </c>
      <c r="AA234" s="91" t="e">
        <f t="shared" si="338"/>
        <v>#N/A</v>
      </c>
      <c r="AB234" s="30" t="e">
        <f t="shared" si="400"/>
        <v>#N/A</v>
      </c>
      <c r="AC234" s="30" t="e">
        <f t="shared" si="401"/>
        <v>#N/A</v>
      </c>
      <c r="AD234" s="31" t="e">
        <f>IF(OR(Hypothèses!$B$4=17,Hypothèses!$B$4=18,Hypothèses!$B$4=19,Hypothèses!$B$4=20),
IF($D234="Pressio.",
IF(OR($E234=3,$E234=1,$E234=4),AC234,AB234),
IF($D234="Pénétro.",
IF(OR($E234=3,$E234=1,$E234=4),AC234,AB234))),IF($D234="Pressio.",
IF($E234=3,AC234,AB234),
IF($D234="Pénétro.",
IF($E234=4,AC234,AB234))))</f>
        <v>#N/A</v>
      </c>
      <c r="AE234" s="31" t="e">
        <f>(IF(OR(Hypothèses!$B$4=17,Hypothèses!$B$4=18,Hypothèses!$B$4=19,Hypothèses!$B$4=20),
IF($D234="Pressio.",
IF(OR($E234=3,$E234=1,$E234=4),(PI()*AE$12^2)/4*(AA234*$W234*1000)/($H234*$B$5),(PI()*AE$12^2)/4*(AA234*$W234*1000)/($G234*$B$5)),
IF($D234="Pénétro.",
IF(OR($E234=4,$E234=1,$E234=5),(PI()*AE$12^2)/4*(AA234*$W234*1000)/($H234*$B$5),(PI()*AE$12^2)/4*(AA234*$W234*1000)/($G234*$B$5)))),
IF($D234="Pressio.",
IF($E234=3,(PI()*AE$12^2)/4*(AA234*$W234*1000)/($H234*$B$5),(PI()*AE$12^2)/4*(AA234*$W234*1000)/($G234*$B$5)),
IF($D234="Pénétro.",
IF($E234=4,(PI()*AE$12^2)/4*(AA234*$W234*1000)/($H234*$B$5),(PI()*AE$12^2)/4*(AA234*$W234*1000)/($G234*$B$5))))))/10</f>
        <v>#N/A</v>
      </c>
      <c r="AF234" s="102" t="e">
        <f>(VLOOKUP($B$3,'Coeff EC7'!$T$39:$X$59,2,0)*AD234+VLOOKUP($B$3,'Coeff EC7'!$T$65:$X$85,2,0)*Model0.1C!AE234)/1.1</f>
        <v>#N/A</v>
      </c>
      <c r="AG234" s="102" t="e">
        <f>(VLOOKUP($B$3,'Coeff EC7'!$T$39:$X$59,3,0)*AD234+VLOOKUP($B$3,'Coeff EC7'!$T$65:$X$85,3,0)*Model0.1C!AE234)/0.9</f>
        <v>#N/A</v>
      </c>
      <c r="AH234" s="102" t="e">
        <f t="shared" si="339"/>
        <v>#N/A</v>
      </c>
      <c r="AI234" s="102" t="e">
        <f t="shared" si="340"/>
        <v>#N/A</v>
      </c>
      <c r="AJ234" s="414" t="e">
        <f>IF(AJ233=0,0,IF(AND(AF234&gt;charge_ELS_quasi,AG234&gt;Charge_ELS_freq,AH234&gt;charge_ELU,AI234&gt;charge_ELA,$B234&gt;NDC!$H$22-0.1+MIN(3*$AJ$12,1.5)),0,1))</f>
        <v>#N/A</v>
      </c>
      <c r="AK234" s="86" t="b">
        <f t="shared" si="341"/>
        <v>0</v>
      </c>
      <c r="AL234" s="86">
        <f t="shared" si="370"/>
        <v>0.5</v>
      </c>
      <c r="AM234" s="86">
        <f t="shared" si="342"/>
        <v>0.5</v>
      </c>
      <c r="AN234" s="30" t="e">
        <f t="shared" ca="1" si="371"/>
        <v>#DIV/0!</v>
      </c>
      <c r="AO234" s="85" t="e">
        <f ca="1">IF(U234&lt;=Hypothèses!$V$7,Hypothèses!$W$7,IF(U234&lt;=Hypothèses!$V$8,Hypothèses!$W$8,IF(U234&lt;=Hypothèses!$V$9,Hypothèses!$W$9,IF(U234&lt;=Hypothèses!$V$10,Hypothèses!$W$10,IF(U234&lt;=Hypothèses!$V$11,Hypothèses!$W$11,IF(U234&lt;=Hypothèses!$V$12,Hypothèses!$W$12,IF(U234&lt;=Hypothèses!$V$13,Hypothèses!$W$13,IF(U234&lt;=Hypothèses!$V$14,Hypothèses!$W$14,IF(U234&lt;=Hypothèses!$V$15,Hypothèses!$W$15,IF(U234&lt;=Hypothèses!$V$16,Hypothèses!$W$16,IF(U234&lt;=Hypothèses!$V$17,Hypothèses!$W$17,IF(U234&lt;=Hypothèses!$V$18,Hypothèses!$W$18,""))))))))))))</f>
        <v>#DIV/0!</v>
      </c>
      <c r="AP234" s="87" t="e">
        <f t="shared" ca="1" si="417"/>
        <v>#DIV/0!</v>
      </c>
      <c r="AQ234" s="88" t="e">
        <f ca="1">IF(U234&lt;=Hypothèses!$V$7,Hypothèses!$X$7,IF(U234&lt;=Hypothèses!$V$8,Hypothèses!$X$8,IF(U234&lt;=Hypothèses!$V$9,Hypothèses!$X$9,IF(U234&lt;=Hypothèses!$V$10,Hypothèses!$X$10,IF(U234&lt;=Hypothèses!$V$11,Hypothèses!$X$11,IF(U234&lt;=Hypothèses!$V$12,Hypothèses!$X$12,IF(U234&lt;=Hypothèses!$V$13,Hypothèses!$X$13,IF(U234&lt;=Hypothèses!$V$14,Hypothèses!$X$14,IF(U234&lt;=Hypothèses!$V$15,Hypothèses!$X$15,IF(U234&lt;=Hypothèses!$V$16,Hypothèses!$X$16,IF(U234&lt;=Hypothèses!$U$17,Hypothèses!$W$17,IF(U234&lt;=Hypothèses!$U$18,Hypothèses!$W$18,""))))))))))))</f>
        <v>#DIV/0!</v>
      </c>
      <c r="AR234" s="95" t="e">
        <f t="shared" ca="1" si="372"/>
        <v>#DIV/0!</v>
      </c>
      <c r="AS234" s="101" t="e">
        <f t="shared" si="424"/>
        <v>#N/A</v>
      </c>
      <c r="AT234" s="91" t="e">
        <f t="shared" si="343"/>
        <v>#N/A</v>
      </c>
      <c r="AU234" s="30" t="e">
        <f t="shared" si="402"/>
        <v>#N/A</v>
      </c>
      <c r="AV234" s="30" t="e">
        <f t="shared" si="403"/>
        <v>#N/A</v>
      </c>
      <c r="AW234" s="31" t="e">
        <f>IF(OR(Hypothèses!$B$4=17,Hypothèses!$B$4=18,Hypothèses!$B$4=19,Hypothèses!$B$4=20),
IF($D234="Pressio.",
IF(OR($E234=3,$E234=1,$E234=4),AV234,AU234),
IF($D234="Pénétro.",
IF(OR($E234=3,$E234=1,$E234=4),AV234,AU234))),IF($D234="Pressio.",
IF($E234=3,AV234,AU234),
IF($D234="Pénétro.",
IF($E234=4,AV234,AU234))))</f>
        <v>#N/A</v>
      </c>
      <c r="AX234" s="31" t="e">
        <f>(IF(OR(Hypothèses!$B$4=17,Hypothèses!$B$4=18,Hypothèses!$B$4=19,Hypothèses!$B$4=20),
IF($D234="Pressio.",
IF(OR($E234=3,$E234=1,$E234=4),(PI()*AX$12^2)/4*(AT234*$W234*1000)/($H234*$B$5),(PI()*AX$12^2)/4*(AT234*$W234*1000)/($G234*$B$5)),
IF($D234="Pénétro.",
IF(OR($E234=4,$E234=1,$E234=5),(PI()*AX$12^2)/4*(AT234*$W234*1000)/($H234*$B$5),(PI()*AX$12^2)/4*(AT234*$W234*1000)/($G234*$B$5)))),
IF($D234="Pressio.",
IF($E234=3,(PI()*AX$12^2)/4*(AT234*$W234*1000)/($H234*$B$5),(PI()*AX$12^2)/4*(AT234*$W234*1000)/($G234*$B$5)),
IF($D234="Pénétro.",
IF($E234=4,(PI()*AX$12^2)/4*(AT234*$W234*1000)/($H234*$B$5),(PI()*AX$12^2)/4*(AT234*$W234*1000)/($G234*$B$5))))))/10</f>
        <v>#N/A</v>
      </c>
      <c r="AY234" s="102" t="e">
        <f>(VLOOKUP($B$3,'Coeff EC7'!$T$39:$X$59,2,0)*AW234+VLOOKUP($B$3,'Coeff EC7'!$T$65:$X$85,2,0)*Model0.1C!AX234)/1.1</f>
        <v>#N/A</v>
      </c>
      <c r="AZ234" s="102" t="e">
        <f>(VLOOKUP($B$3,'Coeff EC7'!$T$39:$X$59,3,0)*AW234+VLOOKUP($B$3,'Coeff EC7'!$T$65:$X$85,3,0)*Model0.1C!AX234)/0.9</f>
        <v>#N/A</v>
      </c>
      <c r="BA234" s="102" t="e">
        <f t="shared" si="373"/>
        <v>#N/A</v>
      </c>
      <c r="BB234" s="102" t="e">
        <f t="shared" si="374"/>
        <v>#N/A</v>
      </c>
      <c r="BC234" s="414" t="e">
        <f>IF(BC233=0,0,IF(AND(AY234&gt;charge_ELS_quasi,AZ234&gt;Charge_ELS_freq,BA234&gt;charge_ELU,BB234&gt;charge_ELA,$B234&gt;NDC!$H$22-0.1+MIN(3*$BC$12,1.5)),0,1))</f>
        <v>#N/A</v>
      </c>
      <c r="BD234" s="86" t="b">
        <f t="shared" si="344"/>
        <v>0</v>
      </c>
      <c r="BE234" s="86">
        <f t="shared" si="375"/>
        <v>0.5</v>
      </c>
      <c r="BF234" s="86">
        <f t="shared" si="345"/>
        <v>0.5</v>
      </c>
      <c r="BG234" s="30" t="e">
        <f t="shared" ca="1" si="376"/>
        <v>#DIV/0!</v>
      </c>
      <c r="BH234" s="85" t="e">
        <f ca="1">IF(AN234&lt;=Hypothèses!$V$7,Hypothèses!$W$7,IF(AN234&lt;=Hypothèses!$V$8,Hypothèses!$W$8,IF(AN234&lt;=Hypothèses!$V$9,Hypothèses!$W$9,IF(AN234&lt;=Hypothèses!$V$10,Hypothèses!$W$10,IF(AN234&lt;=Hypothèses!$V$11,Hypothèses!$W$11,IF(AN234&lt;=Hypothèses!$V$12,Hypothèses!$W$12,IF(AN234&lt;=Hypothèses!$V$13,Hypothèses!$W$13,IF(AN234&lt;=Hypothèses!$V$14,Hypothèses!$W$14,IF(AN234&lt;=Hypothèses!$V$15,Hypothèses!$W$15,IF(AN234&lt;=Hypothèses!$V$16,Hypothèses!$W$16,IF(AN234&lt;=Hypothèses!$V$17,Hypothèses!$W$17,IF(AN234&lt;=Hypothèses!$V$18,Hypothèses!$W$18,""))))))))))))</f>
        <v>#DIV/0!</v>
      </c>
      <c r="BI234" s="87" t="e">
        <f t="shared" ca="1" si="418"/>
        <v>#DIV/0!</v>
      </c>
      <c r="BJ234" s="88" t="e">
        <f ca="1">IF(AN234&lt;=Hypothèses!$V$7,Hypothèses!$X$7,IF(AN234&lt;=Hypothèses!$V$8,Hypothèses!$X$8,IF(AN234&lt;=Hypothèses!$V$9,Hypothèses!$X$9,IF(AN234&lt;=Hypothèses!$V$10,Hypothèses!$X$10,IF(AN234&lt;=Hypothèses!$V$11,Hypothèses!$X$11,IF(AN234&lt;=Hypothèses!$V$12,Hypothèses!$X$12,IF(AN234&lt;=Hypothèses!$V$13,Hypothèses!$X$13,IF(AN234&lt;=Hypothèses!$V$14,Hypothèses!$X$14,IF(AN234&lt;=Hypothèses!$V$15,Hypothèses!$X$15,IF(AN234&lt;=Hypothèses!$V$16,Hypothèses!$X$16,IF(AN234&lt;=Hypothèses!$U$17,Hypothèses!$W$17,IF(AN234&lt;=Hypothèses!$U$18,Hypothèses!$W$18,""))))))))))))</f>
        <v>#DIV/0!</v>
      </c>
      <c r="BK234" s="95" t="e">
        <f t="shared" ca="1" si="377"/>
        <v>#DIV/0!</v>
      </c>
      <c r="BL234" s="101" t="e">
        <f t="shared" si="425"/>
        <v>#N/A</v>
      </c>
      <c r="BM234" s="91" t="e">
        <f t="shared" si="346"/>
        <v>#N/A</v>
      </c>
      <c r="BN234" s="30" t="e">
        <f t="shared" si="404"/>
        <v>#N/A</v>
      </c>
      <c r="BO234" s="30" t="e">
        <f t="shared" si="405"/>
        <v>#N/A</v>
      </c>
      <c r="BP234" s="31" t="e">
        <f>IF(OR(Hypothèses!$B$4=17,Hypothèses!$B$4=18,Hypothèses!$B$4=19,Hypothèses!$B$4=20),
IF($D234="Pressio.",
IF(OR($E234=3,$E234=1,$E234=4),BO234,BN234),
IF($D234="Pénétro.",
IF(OR($E234=3,$E234=1,$E234=4),BO234,BN234))),IF($D234="Pressio.",
IF($E234=3,BO234,BN234),
IF($D234="Pénétro.",
IF($E234=4,BO234,BN234))))</f>
        <v>#N/A</v>
      </c>
      <c r="BQ234" s="31" t="e">
        <f>(IF(OR(Hypothèses!$B$4=17,Hypothèses!$B$4=18,Hypothèses!$B$4=19,Hypothèses!$B$4=20),
IF($D234="Pressio.",
IF(OR($E234=3,$E234=1,$E234=4),(PI()*BQ$12^2)/4*(BM234*$W234*1000)/($H234*$B$5),(PI()*BQ$12^2)/4*(BM234*$W234*1000)/($G234*$B$5)),
IF($D234="Pénétro.",
IF(OR($E234=4,$E234=1,$E234=5),(PI()*BQ$12^2)/4*(BM234*$W234*1000)/($H234*$B$5),(PI()*BQ$12^2)/4*(BM234*$W234*1000)/($G234*$B$5)))),
IF($D234="Pressio.",
IF($E234=3,(PI()*BQ$12^2)/4*(BM234*$W234*1000)/($H234*$B$5),(PI()*BQ$12^2)/4*(BM234*$W234*1000)/($G234*$B$5)),
IF($D234="Pénétro.",
IF($E234=4,(PI()*BQ$12^2)/4*(BM234*$W234*1000)/($H234*$B$5),(PI()*BQ$12^2)/4*(BM234*$W234*1000)/($G234*$B$5))))))/10</f>
        <v>#N/A</v>
      </c>
      <c r="BR234" s="102" t="e">
        <f>(VLOOKUP($B$3,'Coeff EC7'!$T$39:$X$59,2,0)*BP234+VLOOKUP($B$3,'Coeff EC7'!$T$65:$X$85,2,0)*Model0.1C!BQ234)/1.1</f>
        <v>#N/A</v>
      </c>
      <c r="BS234" s="102" t="e">
        <f>(VLOOKUP($B$3,'Coeff EC7'!$T$39:$X$59,3,0)*BP234+VLOOKUP($B$3,'Coeff EC7'!$T$65:$X$85,3,0)*Model0.1C!BQ234)/0.9</f>
        <v>#N/A</v>
      </c>
      <c r="BT234" s="102" t="e">
        <f t="shared" si="378"/>
        <v>#N/A</v>
      </c>
      <c r="BU234" s="102" t="e">
        <f t="shared" si="379"/>
        <v>#N/A</v>
      </c>
      <c r="BV234" s="414" t="e">
        <f>IF(BV233=0,0,IF(AND(BR234&gt;charge_ELS_quasi,BS234&gt;Charge_ELS_freq,BT234&gt;charge_ELU,BU234&gt;charge_ELA,$B234&gt;NDC!$H$22-0.1+MIN(3*$BV$12,1.5)),0,1))</f>
        <v>#N/A</v>
      </c>
      <c r="BW234" s="86" t="b">
        <f t="shared" si="347"/>
        <v>0</v>
      </c>
      <c r="BX234" s="86">
        <f t="shared" si="348"/>
        <v>0.5</v>
      </c>
      <c r="BY234" s="86">
        <f t="shared" si="349"/>
        <v>0.5</v>
      </c>
      <c r="BZ234" s="30" t="e">
        <f t="shared" ca="1" si="380"/>
        <v>#DIV/0!</v>
      </c>
      <c r="CA234" s="85" t="e">
        <f ca="1">IF(BG234&lt;=Hypothèses!$V$7,Hypothèses!$W$7,IF(BG234&lt;=Hypothèses!$V$8,Hypothèses!$W$8,IF(BG234&lt;=Hypothèses!$V$9,Hypothèses!$W$9,IF(BG234&lt;=Hypothèses!$V$10,Hypothèses!$W$10,IF(BG234&lt;=Hypothèses!$V$11,Hypothèses!$W$11,IF(BG234&lt;=Hypothèses!$V$12,Hypothèses!$W$12,IF(BG234&lt;=Hypothèses!$V$13,Hypothèses!$W$13,IF(BG234&lt;=Hypothèses!$V$14,Hypothèses!$W$14,IF(BG234&lt;=Hypothèses!$V$15,Hypothèses!$W$15,IF(BG234&lt;=Hypothèses!$V$16,Hypothèses!$W$16,IF(BG234&lt;=Hypothèses!$V$17,Hypothèses!$W$17,IF(BG234&lt;=Hypothèses!$V$18,Hypothèses!$W$18,""))))))))))))</f>
        <v>#DIV/0!</v>
      </c>
      <c r="CB234" s="87" t="e">
        <f t="shared" ca="1" si="419"/>
        <v>#DIV/0!</v>
      </c>
      <c r="CC234" s="88" t="e">
        <f ca="1">IF(BG234&lt;=Hypothèses!$V$7,Hypothèses!$X$7,IF(BG234&lt;=Hypothèses!$V$8,Hypothèses!$X$8,IF(BG234&lt;=Hypothèses!$V$9,Hypothèses!$X$9,IF(BG234&lt;=Hypothèses!$V$10,Hypothèses!$X$10,IF(BG234&lt;=Hypothèses!$V$11,Hypothèses!$X$11,IF(BG234&lt;=Hypothèses!$V$12,Hypothèses!$X$12,IF(BG234&lt;=Hypothèses!$V$13,Hypothèses!$X$13,IF(BG234&lt;=Hypothèses!$V$14,Hypothèses!$X$14,IF(BG234&lt;=Hypothèses!$V$15,Hypothèses!$X$15,IF(BG234&lt;=Hypothèses!$V$16,Hypothèses!$X$16,IF(BG234&lt;=Hypothèses!$U$17,Hypothèses!$W$17,IF(BG234&lt;=Hypothèses!$U$18,Hypothèses!$W$18,""))))))))))))</f>
        <v>#DIV/0!</v>
      </c>
      <c r="CD234" s="95" t="e">
        <f t="shared" ca="1" si="381"/>
        <v>#DIV/0!</v>
      </c>
      <c r="CE234" s="101" t="e">
        <f t="shared" si="426"/>
        <v>#N/A</v>
      </c>
      <c r="CF234" s="91" t="e">
        <f t="shared" si="350"/>
        <v>#N/A</v>
      </c>
      <c r="CG234" s="30" t="e">
        <f t="shared" si="406"/>
        <v>#N/A</v>
      </c>
      <c r="CH234" s="30" t="e">
        <f t="shared" si="407"/>
        <v>#N/A</v>
      </c>
      <c r="CI234" s="31" t="e">
        <f>IF(OR(Hypothèses!$B$4=17,Hypothèses!$B$4=18,Hypothèses!$B$4=19,Hypothèses!$B$4=20),
IF($D234="Pressio.",
IF(OR($E234=3,$E234=1,$E234=4),CH234,CG234),
IF($D234="Pénétro.",
IF(OR($E234=3,$E234=1,$E234=4),CH234,CG234))),IF($D234="Pressio.",
IF($E234=3,CH234,CG234),
IF($D234="Pénétro.",
IF($E234=4,CH234,CG234))))</f>
        <v>#N/A</v>
      </c>
      <c r="CJ234" s="31" t="e">
        <f>(IF(OR(Hypothèses!$B$4=17,Hypothèses!$B$4=18,Hypothèses!$B$4=19,Hypothèses!$B$4=20),
IF($D234="Pressio.",
IF(OR($E234=3,$E234=1,$E234=4),(PI()*CJ$12^2)/4*(CF234*$W234*1000)/($H234*$B$5),(PI()*CJ$12^2)/4*(CF234*$W234*1000)/($G234*$B$5)),
IF($D234="Pénétro.",
IF(OR($E234=4,$E234=1,$E234=5),(PI()*CJ$12^2)/4*(CF234*$W234*1000)/($H234*$B$5),(PI()*CJ$12^2)/4*(CF234*$W234*1000)/($G234*$B$5)))),
IF($D234="Pressio.",
IF($E234=3,(PI()*CJ$12^2)/4*(CF234*$W234*1000)/($H234*$B$5),(PI()*CJ$12^2)/4*(CF234*$W234*1000)/($G234*$B$5)),
IF($D234="Pénétro.",
IF($E234=4,(PI()*CJ$12^2)/4*(CF234*$W234*1000)/($H234*$B$5),(PI()*CJ$12^2)/4*(CF234*$W234*1000)/($G234*$B$5))))))/10</f>
        <v>#N/A</v>
      </c>
      <c r="CK234" s="102" t="e">
        <f>(VLOOKUP($B$3,'Coeff EC7'!$T$39:$X$59,2,0)*CI234+VLOOKUP($B$3,'Coeff EC7'!$T$65:$X$85,2,0)*Model0.1C!CJ234)/1.1</f>
        <v>#N/A</v>
      </c>
      <c r="CL234" s="102" t="e">
        <f>(VLOOKUP($B$3,'Coeff EC7'!$T$39:$X$59,3,0)*CI234+VLOOKUP($B$3,'Coeff EC7'!$T$65:$X$85,3,0)*Model0.1C!CJ234)/0.9</f>
        <v>#N/A</v>
      </c>
      <c r="CM234" s="102" t="e">
        <f t="shared" si="382"/>
        <v>#N/A</v>
      </c>
      <c r="CN234" s="102" t="e">
        <f t="shared" si="383"/>
        <v>#N/A</v>
      </c>
      <c r="CO234" s="414" t="e">
        <f>IF(CO233=0,0,IF(AND(CK234&gt;charge_ELS_quasi,CL234&gt;Charge_ELS_freq,CM234&gt;charge_ELU,CN234&gt;charge_ELA,$B234&gt;NDC!$H$22-0.1+MIN(3*$CO$12,1.5)),0,1))</f>
        <v>#N/A</v>
      </c>
      <c r="CP234" s="86" t="b">
        <f t="shared" si="351"/>
        <v>0</v>
      </c>
      <c r="CQ234" s="86">
        <f t="shared" si="352"/>
        <v>0.5</v>
      </c>
      <c r="CR234" s="86">
        <f t="shared" si="353"/>
        <v>0.5</v>
      </c>
      <c r="CS234" s="30" t="e">
        <f t="shared" ca="1" si="384"/>
        <v>#DIV/0!</v>
      </c>
      <c r="CT234" s="85" t="e">
        <f ca="1">IF(BZ234&lt;=Hypothèses!$V$7,Hypothèses!$W$7,IF(BZ234&lt;=Hypothèses!$V$8,Hypothèses!$W$8,IF(BZ234&lt;=Hypothèses!$V$9,Hypothèses!$W$9,IF(BZ234&lt;=Hypothèses!$V$10,Hypothèses!$W$10,IF(BZ234&lt;=Hypothèses!$V$11,Hypothèses!$W$11,IF(BZ234&lt;=Hypothèses!$V$12,Hypothèses!$W$12,IF(BZ234&lt;=Hypothèses!$V$13,Hypothèses!$W$13,IF(BZ234&lt;=Hypothèses!$V$14,Hypothèses!$W$14,IF(BZ234&lt;=Hypothèses!$V$15,Hypothèses!$W$15,IF(BZ234&lt;=Hypothèses!$V$16,Hypothèses!$W$16,IF(BZ234&lt;=Hypothèses!$V$17,Hypothèses!$W$17,IF(BZ234&lt;=Hypothèses!$V$18,Hypothèses!$W$18,""))))))))))))</f>
        <v>#DIV/0!</v>
      </c>
      <c r="CU234" s="87" t="e">
        <f t="shared" ca="1" si="420"/>
        <v>#DIV/0!</v>
      </c>
      <c r="CV234" s="88" t="e">
        <f ca="1">IF(BZ234&lt;=Hypothèses!$V$7,Hypothèses!$X$7,IF(BZ234&lt;=Hypothèses!$V$8,Hypothèses!$X$8,IF(BZ234&lt;=Hypothèses!$V$9,Hypothèses!$X$9,IF(BZ234&lt;=Hypothèses!$V$10,Hypothèses!$X$10,IF(BZ234&lt;=Hypothèses!$V$11,Hypothèses!$X$11,IF(BZ234&lt;=Hypothèses!$V$12,Hypothèses!$X$12,IF(BZ234&lt;=Hypothèses!$V$13,Hypothèses!$X$13,IF(BZ234&lt;=Hypothèses!$V$14,Hypothèses!$X$14,IF(BZ234&lt;=Hypothèses!$V$15,Hypothèses!$X$15,IF(BZ234&lt;=Hypothèses!$V$16,Hypothèses!$X$16,IF(BZ234&lt;=Hypothèses!$U$17,Hypothèses!$W$17,IF(BZ234&lt;=Hypothèses!$U$18,Hypothèses!$W$18,""))))))))))))</f>
        <v>#DIV/0!</v>
      </c>
      <c r="CW234" s="95" t="e">
        <f t="shared" ca="1" si="385"/>
        <v>#DIV/0!</v>
      </c>
      <c r="CX234" s="101" t="e">
        <f t="shared" si="427"/>
        <v>#N/A</v>
      </c>
      <c r="CY234" s="91" t="e">
        <f t="shared" si="354"/>
        <v>#N/A</v>
      </c>
      <c r="CZ234" s="30" t="e">
        <f t="shared" si="408"/>
        <v>#N/A</v>
      </c>
      <c r="DA234" s="30" t="e">
        <f t="shared" si="409"/>
        <v>#N/A</v>
      </c>
      <c r="DB234" s="31" t="e">
        <f>IF(OR(Hypothèses!$B$4=17,Hypothèses!$B$4=18,Hypothèses!$B$4=19,Hypothèses!$B$4=20),
IF($D234="Pressio.",
IF(OR($E234=3,$E234=1,$E234=4),DA234,CZ234),
IF($D234="Pénétro.",
IF(OR($E234=3,$E234=1,$E234=4),DA234,CZ234))),IF($D234="Pressio.",
IF($E234=3,DA234,CZ234),
IF($D234="Pénétro.",
IF($E234=4,DA234,CZ234))))</f>
        <v>#N/A</v>
      </c>
      <c r="DC234" s="31" t="e">
        <f>(IF(OR(Hypothèses!$B$4=17,Hypothèses!$B$4=18,Hypothèses!$B$4=19,Hypothèses!$B$4=20),
IF($D234="Pressio.",
IF(OR($E234=3,$E234=1,$E234=4),(PI()*DC$12^2)/4*(CY234*$W234*1000)/($H234*$B$5),(PI()*DC$12^2)/4*(CY234*$W234*1000)/($G234*$B$5)),
IF($D234="Pénétro.",
IF(OR($E234=4,$E234=1,$E234=5),(PI()*DC$12^2)/4*(CY234*$W234*1000)/($H234*$B$5),(PI()*DC$12^2)/4*(CY234*$W234*1000)/($G234*$B$5)))),
IF($D234="Pressio.",
IF($E234=3,(PI()*DC$12^2)/4*(CY234*$W234*1000)/($H234*$B$5),(PI()*DC$12^2)/4*(CY234*$W234*1000)/($G234*$B$5)),
IF($D234="Pénétro.",
IF($E234=4,(PI()*DC$12^2)/4*(CY234*$W234*1000)/($H234*$B$5),(PI()*DC$12^2)/4*(CY234*$W234*1000)/($G234*$B$5))))))/10</f>
        <v>#N/A</v>
      </c>
      <c r="DD234" s="102" t="e">
        <f>(VLOOKUP($B$3,'Coeff EC7'!$T$39:$X$59,2,0)*DB234+VLOOKUP($B$3,'Coeff EC7'!$T$65:$X$85,2,0)*Model0.1C!DC234)/1.1</f>
        <v>#N/A</v>
      </c>
      <c r="DE234" s="102" t="e">
        <f>(VLOOKUP($B$3,'Coeff EC7'!$T$39:$X$59,3,0)*DB234+VLOOKUP($B$3,'Coeff EC7'!$T$65:$X$85,3,0)*Model0.1C!DC234)/0.9</f>
        <v>#N/A</v>
      </c>
      <c r="DF234" s="102" t="e">
        <f t="shared" si="386"/>
        <v>#N/A</v>
      </c>
      <c r="DG234" s="102" t="e">
        <f t="shared" si="387"/>
        <v>#N/A</v>
      </c>
      <c r="DH234" s="414" t="e">
        <f>IF(DH233=0,0,IF(AND(DD234&gt;charge_ELS_quasi,DE234&gt;Charge_ELS_freq,DF234&gt;charge_ELU,DG234&gt;charge_ELA,$B234&gt;NDC!$H$22-0.1+MIN(3*$DH$12,1.5)),0,1))</f>
        <v>#N/A</v>
      </c>
      <c r="DI234" s="86" t="b">
        <f t="shared" si="355"/>
        <v>0</v>
      </c>
      <c r="DJ234" s="86">
        <f t="shared" si="356"/>
        <v>0.5</v>
      </c>
      <c r="DK234" s="86">
        <f t="shared" si="357"/>
        <v>0.5</v>
      </c>
      <c r="DL234" s="30" t="e">
        <f t="shared" ca="1" si="388"/>
        <v>#DIV/0!</v>
      </c>
      <c r="DM234" s="85" t="e">
        <f ca="1">IF(CS234&lt;=Hypothèses!$V$7,Hypothèses!$W$7,IF(CS234&lt;=Hypothèses!$V$8,Hypothèses!$W$8,IF(CS234&lt;=Hypothèses!$V$9,Hypothèses!$W$9,IF(CS234&lt;=Hypothèses!$V$10,Hypothèses!$W$10,IF(CS234&lt;=Hypothèses!$V$11,Hypothèses!$W$11,IF(CS234&lt;=Hypothèses!$V$12,Hypothèses!$W$12,IF(CS234&lt;=Hypothèses!$V$13,Hypothèses!$W$13,IF(CS234&lt;=Hypothèses!$V$14,Hypothèses!$W$14,IF(CS234&lt;=Hypothèses!$V$15,Hypothèses!$W$15,IF(CS234&lt;=Hypothèses!$V$16,Hypothèses!$W$16,IF(CS234&lt;=Hypothèses!$V$17,Hypothèses!$W$17,IF(CS234&lt;=Hypothèses!$V$18,Hypothèses!$W$18,""))))))))))))</f>
        <v>#DIV/0!</v>
      </c>
      <c r="DN234" s="87" t="e">
        <f t="shared" ca="1" si="421"/>
        <v>#DIV/0!</v>
      </c>
      <c r="DO234" s="88" t="e">
        <f ca="1">IF(CS234&lt;=Hypothèses!$V$7,Hypothèses!$X$7,IF(CS234&lt;=Hypothèses!$V$8,Hypothèses!$X$8,IF(CS234&lt;=Hypothèses!$V$9,Hypothèses!$X$9,IF(CS234&lt;=Hypothèses!$V$10,Hypothèses!$X$10,IF(CS234&lt;=Hypothèses!$V$11,Hypothèses!$X$11,IF(CS234&lt;=Hypothèses!$V$12,Hypothèses!$X$12,IF(CS234&lt;=Hypothèses!$V$13,Hypothèses!$X$13,IF(CS234&lt;=Hypothèses!$V$14,Hypothèses!$X$14,IF(CS234&lt;=Hypothèses!$V$15,Hypothèses!$X$15,IF(CS234&lt;=Hypothèses!$V$16,Hypothèses!$X$16,IF(CS234&lt;=Hypothèses!$U$17,Hypothèses!$W$17,IF(CS234&lt;=Hypothèses!$U$18,Hypothèses!$W$18,""))))))))))))</f>
        <v>#DIV/0!</v>
      </c>
      <c r="DP234" s="95" t="e">
        <f t="shared" ca="1" si="389"/>
        <v>#DIV/0!</v>
      </c>
      <c r="DQ234" s="101" t="e">
        <f t="shared" si="428"/>
        <v>#N/A</v>
      </c>
      <c r="DR234" s="91" t="e">
        <f t="shared" si="358"/>
        <v>#N/A</v>
      </c>
      <c r="DS234" s="30" t="e">
        <f t="shared" si="410"/>
        <v>#N/A</v>
      </c>
      <c r="DT234" s="30" t="e">
        <f t="shared" si="411"/>
        <v>#N/A</v>
      </c>
      <c r="DU234" s="31" t="e">
        <f>IF(OR(Hypothèses!$B$4=17,Hypothèses!$B$4=18,Hypothèses!$B$4=19,Hypothèses!$B$4=20),
IF($D234="Pressio.",
IF(OR($E234=3,$E234=1,$E234=4),DT234,DS234),
IF($D234="Pénétro.",
IF(OR($E234=3,$E234=1,$E234=4),DT234,DS234))),IF($D234="Pressio.",
IF($E234=3,DT234,DS234),
IF($D234="Pénétro.",
IF($E234=4,DT234,DS234))))</f>
        <v>#N/A</v>
      </c>
      <c r="DV234" s="31" t="e">
        <f>(IF(OR(Hypothèses!$B$4=17,Hypothèses!$B$4=18,Hypothèses!$B$4=19,Hypothèses!$B$4=20),
IF($D234="Pressio.",
IF(OR($E234=3,$E234=1,$E234=4),(PI()*DV$12^2)/4*(DR234*$W234*1000)/($H234*$B$5),(PI()*DV$12^2)/4*(DR234*$W234*1000)/($G234*$B$5)),
IF($D234="Pénétro.",
IF(OR($E234=4,$E234=1,$E234=5),(PI()*DV$12^2)/4*(DR234*$W234*1000)/($H234*$B$5),(PI()*DV$12^2)/4*(DR234*$W234*1000)/($G234*$B$5)))),
IF($D234="Pressio.",
IF($E234=3,(PI()*DV$12^2)/4*(DR234*$W234*1000)/($H234*$B$5),(PI()*DV$12^2)/4*(DR234*$W234*1000)/($G234*$B$5)),
IF($D234="Pénétro.",
IF($E234=4,(PI()*DV$12^2)/4*(DR234*$W234*1000)/($H234*$B$5),(PI()*DV$12^2)/4*(DR234*$W234*1000)/($G234*$B$5))))))/10</f>
        <v>#N/A</v>
      </c>
      <c r="DW234" s="102" t="e">
        <f>(VLOOKUP($B$3,'Coeff EC7'!$T$39:$X$59,2,0)*DU234+VLOOKUP($B$3,'Coeff EC7'!$T$65:$X$85,2,0)*Model0.1C!DV234)/1.1</f>
        <v>#N/A</v>
      </c>
      <c r="DX234" s="102" t="e">
        <f>(VLOOKUP($B$3,'Coeff EC7'!$T$39:$X$59,3,0)*DU234+VLOOKUP($B$3,'Coeff EC7'!$T$65:$X$85,3,0)*Model0.1C!DV234)/0.9</f>
        <v>#N/A</v>
      </c>
      <c r="DY234" s="102" t="e">
        <f t="shared" si="390"/>
        <v>#N/A</v>
      </c>
      <c r="DZ234" s="102" t="e">
        <f t="shared" si="391"/>
        <v>#N/A</v>
      </c>
      <c r="EA234" s="414" t="e">
        <f>IF(EA233=0,0,IF(AND(DW234&gt;charge_ELS_quasi,DX234&gt;Charge_ELS_freq,DY234&gt;charge_ELU,DZ234&gt;charge_ELA,$B234&gt;NDC!$H$22-0.1+MIN(3*$EA$12,1.5)),0,1))</f>
        <v>#N/A</v>
      </c>
      <c r="EB234" s="86" t="b">
        <f t="shared" si="359"/>
        <v>0</v>
      </c>
      <c r="EC234" s="418">
        <f t="shared" si="360"/>
        <v>0.51</v>
      </c>
      <c r="ED234" s="86">
        <f t="shared" si="361"/>
        <v>0.51</v>
      </c>
      <c r="EE234" s="30" t="e">
        <f t="shared" ca="1" si="392"/>
        <v>#DIV/0!</v>
      </c>
      <c r="EF234" s="85" t="e">
        <f ca="1">IF(DL234&lt;=Hypothèses!$V$7,Hypothèses!$W$7,IF(DL234&lt;=Hypothèses!$V$8,Hypothèses!$W$8,IF(DL234&lt;=Hypothèses!$V$9,Hypothèses!$W$9,IF(DL234&lt;=Hypothèses!$V$10,Hypothèses!$W$10,IF(DL234&lt;=Hypothèses!$V$11,Hypothèses!$W$11,IF(DL234&lt;=Hypothèses!$V$12,Hypothèses!$W$12,IF(DL234&lt;=Hypothèses!$V$13,Hypothèses!$W$13,IF(DL234&lt;=Hypothèses!$V$14,Hypothèses!$W$14,IF(DL234&lt;=Hypothèses!$V$15,Hypothèses!$W$15,IF(DL234&lt;=Hypothèses!$V$16,Hypothèses!$W$16,IF(DL234&lt;=Hypothèses!$V$17,Hypothèses!$W$17,IF(DL234&lt;=Hypothèses!$V$18,Hypothèses!$W$18,""))))))))))))</f>
        <v>#DIV/0!</v>
      </c>
      <c r="EG234" s="87" t="e">
        <f t="shared" ca="1" si="422"/>
        <v>#DIV/0!</v>
      </c>
      <c r="EH234" s="88" t="e">
        <f ca="1">IF(DL234&lt;=Hypothèses!$V$7,Hypothèses!$X$7,IF(DL234&lt;=Hypothèses!$V$8,Hypothèses!$X$8,IF(DL234&lt;=Hypothèses!$V$9,Hypothèses!$X$9,IF(DL234&lt;=Hypothèses!$V$10,Hypothèses!$X$10,IF(DL234&lt;=Hypothèses!$V$11,Hypothèses!$X$11,IF(DL234&lt;=Hypothèses!$V$12,Hypothèses!$X$12,IF(DL234&lt;=Hypothèses!$V$13,Hypothèses!$X$13,IF(DL234&lt;=Hypothèses!$V$14,Hypothèses!$X$14,IF(DL234&lt;=Hypothèses!$V$15,Hypothèses!$X$15,IF(DL234&lt;=Hypothèses!$V$16,Hypothèses!$X$16,IF(DL234&lt;=Hypothèses!$U$17,Hypothèses!$W$17,IF(DL234&lt;=Hypothèses!$U$18,Hypothèses!$W$18,""))))))))))))</f>
        <v>#DIV/0!</v>
      </c>
      <c r="EI234" s="95" t="e">
        <f t="shared" ca="1" si="393"/>
        <v>#DIV/0!</v>
      </c>
      <c r="EJ234" s="101" t="e">
        <f t="shared" si="429"/>
        <v>#N/A</v>
      </c>
      <c r="EK234" s="91" t="e">
        <f t="shared" si="362"/>
        <v>#N/A</v>
      </c>
      <c r="EL234" s="30" t="e">
        <f t="shared" si="412"/>
        <v>#N/A</v>
      </c>
      <c r="EM234" s="30" t="e">
        <f t="shared" si="413"/>
        <v>#N/A</v>
      </c>
      <c r="EN234" s="31" t="e">
        <f>IF(OR(Hypothèses!$B$4=17,Hypothèses!$B$4=18,Hypothèses!$B$4=19,Hypothèses!$B$4=20),
IF($D234="Pressio.",
IF(OR($E234=3,$E234=1,$E234=4),EM234,EL234),
IF($D234="Pénétro.",
IF(OR($E234=3,$E234=1,$E234=4),EM234,EL234))),IF($D234="Pressio.",
IF($E234=3,EM234,EL234),
IF($D234="Pénétro.",
IF($E234=4,EM234,EL234))))</f>
        <v>#N/A</v>
      </c>
      <c r="EO234" s="31" t="e">
        <f>(IF(OR(Hypothèses!$B$4=17,Hypothèses!$B$4=18,Hypothèses!$B$4=19,Hypothèses!$B$4=20),
IF($D234="Pressio.",
IF(OR($E234=3,$E234=1,$E234=4),(PI()*EO$12^2)/4*(EK234*$W234*1000)/($H234*$B$5),(PI()*EO$12^2)/4*(EK234*$W234*1000)/($G234*$B$5)),
IF($D234="Pénétro.",
IF(OR($E234=4,$E234=1,$E234=5),(PI()*EO$12^2)/4*(EK234*$W234*1000)/($H234*$B$5),(PI()*EO$12^2)/4*(EK234*$W234*1000)/($G234*$B$5)))),
IF($D234="Pressio.",
IF($E234=3,(PI()*EO$12^2)/4*(EK234*$W234*1000)/($H234*$B$5),(PI()*EO$12^2)/4*(EK234*$W234*1000)/($G234*$B$5)),
IF($D234="Pénétro.",
IF($E234=4,(PI()*EO$12^2)/4*(EK234*$W234*1000)/($H234*$B$5),(PI()*EO$12^2)/4*(EK234*$W234*1000)/($G234*$B$5))))))/10</f>
        <v>#N/A</v>
      </c>
      <c r="EP234" s="102" t="e">
        <f>(VLOOKUP($B$3,'Coeff EC7'!$T$39:$X$59,2,0)*EN234+VLOOKUP($B$3,'Coeff EC7'!$T$65:$X$85,2,0)*Model0.1C!EO234)/1.1</f>
        <v>#N/A</v>
      </c>
      <c r="EQ234" s="102" t="e">
        <f>(VLOOKUP($B$3,'Coeff EC7'!$T$39:$X$59,3,0)*EN234+VLOOKUP($B$3,'Coeff EC7'!$T$65:$X$85,3,0)*Model0.1C!EO234)/0.9</f>
        <v>#N/A</v>
      </c>
      <c r="ER234" s="102" t="e">
        <f t="shared" si="394"/>
        <v>#N/A</v>
      </c>
      <c r="ES234" s="102" t="e">
        <f t="shared" si="395"/>
        <v>#N/A</v>
      </c>
      <c r="ET234" s="414" t="e">
        <f>IF(ET233=0,0,IF(AND(EP234&gt;charge_ELS_quasi,EQ234&gt;Charge_ELS_freq,ER234&gt;charge_ELU,ES234&gt;charge_ELA,$B234&gt;NDC!$H$22-0.1+MIN(3*$ET$12,1.5)),0,1))</f>
        <v>#N/A</v>
      </c>
      <c r="EU234" s="86" t="b">
        <f t="shared" si="363"/>
        <v>0</v>
      </c>
      <c r="EV234" s="86">
        <f t="shared" si="364"/>
        <v>0.61</v>
      </c>
      <c r="EW234" s="86">
        <f t="shared" si="365"/>
        <v>0.61</v>
      </c>
      <c r="EX234" s="30" t="e">
        <f t="shared" ca="1" si="396"/>
        <v>#DIV/0!</v>
      </c>
      <c r="EY234" s="85" t="e">
        <f ca="1">IF(EE234&lt;=Hypothèses!$V$7,Hypothèses!$W$7,IF(EE234&lt;=Hypothèses!$V$8,Hypothèses!$W$8,IF(EE234&lt;=Hypothèses!$V$9,Hypothèses!$W$9,IF(EE234&lt;=Hypothèses!$V$10,Hypothèses!$W$10,IF(EE234&lt;=Hypothèses!$V$11,Hypothèses!$W$11,IF(EE234&lt;=Hypothèses!$V$12,Hypothèses!$W$12,IF(EE234&lt;=Hypothèses!$V$13,Hypothèses!$W$13,IF(EE234&lt;=Hypothèses!$V$14,Hypothèses!$W$14,IF(EE234&lt;=Hypothèses!$V$15,Hypothèses!$W$15,IF(EE234&lt;=Hypothèses!$V$16,Hypothèses!$W$16,IF(EE234&lt;=Hypothèses!$V$17,Hypothèses!$W$17,IF(EE234&lt;=Hypothèses!$V$18,Hypothèses!$W$18,""))))))))))))</f>
        <v>#DIV/0!</v>
      </c>
      <c r="EZ234" s="87" t="e">
        <f t="shared" ca="1" si="423"/>
        <v>#DIV/0!</v>
      </c>
      <c r="FA234" s="88" t="e">
        <f ca="1">IF(EE234&lt;=Hypothèses!$V$7,Hypothèses!$X$7,IF(EE234&lt;=Hypothèses!$V$8,Hypothèses!$X$8,IF(EE234&lt;=Hypothèses!$V$9,Hypothèses!$X$9,IF(EE234&lt;=Hypothèses!$V$10,Hypothèses!$X$10,IF(EE234&lt;=Hypothèses!$V$11,Hypothèses!$X$11,IF(EE234&lt;=Hypothèses!$V$12,Hypothèses!$X$12,IF(EE234&lt;=Hypothèses!$V$13,Hypothèses!$X$13,IF(EE234&lt;=Hypothèses!$V$14,Hypothèses!$X$14,IF(EE234&lt;=Hypothèses!$V$15,Hypothèses!$X$15,IF(EE234&lt;=Hypothèses!$V$16,Hypothèses!$X$16,IF(EE234&lt;=Hypothèses!$U$17,Hypothèses!$W$17,IF(EE234&lt;=Hypothèses!$U$18,Hypothèses!$W$18,""))))))))))))</f>
        <v>#DIV/0!</v>
      </c>
      <c r="FB234" s="95" t="e">
        <f t="shared" ca="1" si="397"/>
        <v>#DIV/0!</v>
      </c>
      <c r="FC234" s="101" t="e">
        <f t="shared" si="430"/>
        <v>#N/A</v>
      </c>
      <c r="FD234" s="91" t="e">
        <f t="shared" si="366"/>
        <v>#N/A</v>
      </c>
      <c r="FE234" s="30" t="e">
        <f t="shared" si="414"/>
        <v>#N/A</v>
      </c>
      <c r="FF234" s="30" t="e">
        <f t="shared" si="415"/>
        <v>#N/A</v>
      </c>
      <c r="FG234" s="31" t="e">
        <f>IF(OR(Hypothèses!$B$4=17,Hypothèses!$B$4=18,Hypothèses!$B$4=19,Hypothèses!$B$4=20),
IF($D234="Pressio.",
IF(OR($E234=3,$E234=1,$E234=4),FF234,FE234),
IF($D234="Pénétro.",
IF(OR($E234=3,$E234=1,$E234=4),FF234,FE234))),IF($D234="Pressio.",
IF($E234=3,FF234,FE234),
IF($D234="Pénétro.",
IF($E234=4,FF234,FE234))))</f>
        <v>#N/A</v>
      </c>
      <c r="FH234" s="31" t="e">
        <f>(IF(OR(Hypothèses!$B$4=17,Hypothèses!$B$4=18,Hypothèses!$B$4=19,Hypothèses!$B$4=20),
IF($D234="Pressio.",
IF(OR($E234=3,$E234=1,$E234=4),(PI()*FH$12^2)/4*(FD234*$W234*1000)/($H234*$B$5),(PI()*FH$12^2)/4*(FD234*$W234*1000)/($G234*$B$5)),
IF($D234="Pénétro.",
IF(OR($E234=4,$E234=1,$E234=5),(PI()*FH$12^2)/4*(FD234*$W234*1000)/($H234*$B$5),(PI()*FH$12^2)/4*(FD234*$W234*1000)/($G234*$B$5)))),
IF($D234="Pressio.",
IF($E234=3,(PI()*FH$12^2)/4*(FD234*$W234*1000)/($H234*$B$5),(PI()*FH$12^2)/4*(FD234*$W234*1000)/($G234*$B$5)),
IF($D234="Pénétro.",
IF($E234=4,(PI()*FH$12^2)/4*(FD234*$W234*1000)/($H234*$B$5),(PI()*FH$12^2)/4*(FD234*$W234*1000)/($G234*$B$5))))))/10</f>
        <v>#N/A</v>
      </c>
      <c r="FI234" s="102" t="e">
        <f>(VLOOKUP($B$3,'Coeff EC7'!$T$39:$X$59,2,0)*FG234+VLOOKUP($B$3,'Coeff EC7'!$T$65:$X$85,2,0)*Model0.1C!FH234)/1.1</f>
        <v>#N/A</v>
      </c>
      <c r="FJ234" s="102" t="e">
        <f>(VLOOKUP($B$3,'Coeff EC7'!$T$39:$X$59,3,0)*FG234+VLOOKUP($B$3,'Coeff EC7'!$T$65:$X$85,3,0)*Model0.1C!FH234)/0.9</f>
        <v>#N/A</v>
      </c>
      <c r="FK234" s="102" t="e">
        <f t="shared" si="398"/>
        <v>#N/A</v>
      </c>
      <c r="FL234" s="102" t="e">
        <f t="shared" si="399"/>
        <v>#N/A</v>
      </c>
      <c r="FM234" s="414" t="e">
        <f>IF(FM233=0,0,IF(AND(FI234&gt;charge_ELS_quasi,FJ234&gt;Charge_ELS_freq,FK234&gt;charge_ELU,FL234&gt;charge_ELA,$B234&gt;NDC!$H$22-0.1+MIN(3*$FM$12,1.5)),0,1))</f>
        <v>#N/A</v>
      </c>
    </row>
    <row r="235" spans="1:169">
      <c r="A235" s="96">
        <f t="shared" si="367"/>
        <v>77.800000000001262</v>
      </c>
      <c r="B235" s="97">
        <v>22.2</v>
      </c>
      <c r="C235" s="81">
        <f>IF(B235&lt;=Hypothèses!$C$7,Hypothèses!$A$7,IF(B235&lt;=Hypothèses!$C$8,Hypothèses!$A$8,IF(B235&lt;=Hypothèses!$C$9,Hypothèses!$A$9,IF(B235&lt;=Hypothèses!$C$10,Hypothèses!$A$10,IF(B235&lt;=Hypothèses!$C$11,Hypothèses!$A$11,IF(B235&lt;=Hypothèses!$C$12,Hypothèses!$A$12,IF(B235&lt;=Hypothèses!$C$13,Hypothèses!$A$13,IF(B235&lt;=Hypothèses!$C$14,Hypothèses!$A$14,IF(B235&lt;=Hypothèses!$C$15,Hypothèses!$A$15,IF(B235&lt;=Hypothèses!$C$16,Hypothèses!$A$16,IF(B235&lt;=Hypothèses!$C$17,Hypothèses!$A$17,IF(B235&lt;=Hypothèses!$C$18,Hypothèses!$A$18,C234))))))))))))</f>
        <v>11</v>
      </c>
      <c r="D235" s="82" t="str">
        <f>IF(B235&lt;=Hypothèses!$C$7,Hypothèses!$R$7,IF(B235&lt;=Hypothèses!$C$8,Hypothèses!$R$8,IF(B235&lt;=Hypothèses!$C$9,Hypothèses!$R$9,IF(B235&lt;=Hypothèses!$C$10,Hypothèses!$R$10,IF(B235&lt;=Hypothèses!$C$11,Hypothèses!$R$11,IF(B235&lt;=Hypothèses!$C$12,Hypothèses!$R$12,IF(B235&lt;=Hypothèses!$C$13,Hypothèses!$R$13,IF(B235&lt;=Hypothèses!$C$14,Hypothèses!$R$14,IF(B235&lt;=Hypothèses!$C$15,Hypothèses!$R$15,IF(B235&lt;=Hypothèses!$C$16,Hypothèses!$R$16,IF(B235&lt;=Hypothèses!$C$17,Hypothèses!$R$17,IF(B235&lt;=Hypothèses!$C$18,Hypothèses!$R$18,D234))))))))))))</f>
        <v>Pressio.</v>
      </c>
      <c r="E235" s="82" t="e">
        <f>IF(B235&lt;=Hypothèses!$C$7,Hypothèses!$G$7,IF(B235&lt;=Hypothèses!$C$8,Hypothèses!$G$8,IF(B235&lt;=Hypothèses!$C$9,Hypothèses!$G$9,IF(B235&lt;=Hypothèses!$C$10,Hypothèses!$G$10,IF(B235&lt;=Hypothèses!$C$11,Hypothèses!$G$11,IF(B235&lt;=Hypothèses!$C$12,Hypothèses!$G$12,IF(B235&lt;=Hypothèses!$C$13,Hypothèses!$G$13,IF(B235&lt;=Hypothèses!$C$14,Hypothèses!$G$14,IF(B235&lt;=Hypothèses!$C$15,Hypothèses!$G$15,IF(B235&lt;=Hypothèses!$C$16,Hypothèses!$G$16,IF(B235&lt;=Hypothèses!$C$17,Hypothèses!$G$17,IF(B235&lt;=Hypothèses!$C$18,Hypothèses!$G$18,E234))))))))))))</f>
        <v>#N/A</v>
      </c>
      <c r="F235" s="82" t="str">
        <f>IF(B235&lt;=Hypothèses!$C$7,Hypothèses!$F$7,IF(B235&lt;=Hypothèses!$C$8,Hypothèses!$F$8,IF(B235&lt;=Hypothèses!$C$9,Hypothèses!$F$9,IF(B235&lt;=Hypothèses!$C$10,Hypothèses!$F$10,IF(B235&lt;=Hypothèses!$C$11,Hypothèses!$F$11,IF(B235&lt;=Hypothèses!$C$12,Hypothèses!$F$12,IF(B235&lt;=Hypothèses!$C$13,Hypothèses!$F$13,IF(B235&lt;=Hypothèses!$C$14,Hypothèses!$F$14,IF(B235&lt;=Hypothèses!$C$15,Hypothèses!$F$15,IF(B235&lt;=Hypothèses!$C$16,Hypothèses!$F$16,IF(B235&lt;=Hypothèses!$C$17,Hypothèses!$F$17,IF(B235&lt;=Hypothèses!$C$18,Hypothèses!$F$18,F234))))))))))))</f>
        <v/>
      </c>
      <c r="G235" s="91">
        <f t="array" ref="G235">INDEX('Coeff EC7'!$U$7:$X$27,
MATCH(Model0.1C!$B$3,'Coeff EC7'!$T$7:$T$27,0),
MATCH(Model0.1C!$D235&amp;Model0.1C!$B$4,
'Coeff EC7'!$U$6:$X$6&amp;
'Coeff EC7'!$U$5:$X$5,0))</f>
        <v>1.1499999999999999</v>
      </c>
      <c r="H235" s="91">
        <f t="array" ref="H235">INDEX('Coeff EC7'!$Y$7:$AB$27,
MATCH(Model0.1C!$B$3,'Coeff EC7'!$T$7:$T$27,0),
MATCH(Model0.1C!$D235&amp;Model0.1C!$B$4,
'Coeff EC7'!$Y$6:$AB$6&amp;
'Coeff EC7'!$Y$5:$AB$5,0))</f>
        <v>1.4</v>
      </c>
      <c r="I235" s="83" t="e">
        <f>IF(B235&lt;=Hypothèses!$C$7,Hypothèses!$P$7,IF(B235&lt;=Hypothèses!$C$8,Hypothèses!$P$8,IF(B235&lt;=Hypothèses!$C$9,Hypothèses!$P$9,IF(B235&lt;=Hypothèses!$C$10,Hypothèses!$P$10,IF(B235&lt;=Hypothèses!$C$11,Hypothèses!$P$11,IF(B235&lt;=Hypothèses!$C$12,Hypothèses!$P$12,IF(B235&lt;=Hypothèses!$C$13,Hypothèses!$P$13,IF(B235&lt;=Hypothèses!$C$14,Hypothèses!$P$14,IF(B235&lt;=Hypothèses!$C$15,Hypothèses!$P$15,IF(B235&lt;=Hypothèses!$C$16,Hypothèses!$P$16,IF(B235&lt;=Hypothèses!$C$17,Hypothèses!$P$17,IF(B235&lt;=Hypothèses!$C$18,Hypothèses!$P$18,I234))))))))))))</f>
        <v>#N/A</v>
      </c>
      <c r="J235" s="91" t="e">
        <f t="array" ref="J235">INDEX('Coeff EC7'!$D$33:$Q$33,1,MATCH(D235&amp;E235,'Coeff EC7'!$D$31:$Q$31&amp;'Coeff EC7'!$D$32:$Q$32,0))</f>
        <v>#N/A</v>
      </c>
      <c r="K235" s="91" t="e">
        <f t="array" ref="K235">INDEX('Coeff EC7'!$D$34:$Q$34,1,MATCH(D235&amp;E235,'Coeff EC7'!$D$31:$Q$31&amp;'Coeff EC7'!$D$32:$Q$32,0))</f>
        <v>#N/A</v>
      </c>
      <c r="L235" s="91" t="e">
        <f t="array" ref="L235">INDEX('Coeff EC7'!$D$35:$Q$35,1,MATCH(D235&amp;E235,'Coeff EC7'!$D$31:$Q$31&amp;'Coeff EC7'!$D$32:$Q$32,0))</f>
        <v>#N/A</v>
      </c>
      <c r="M235" s="98" t="e">
        <f t="shared" si="331"/>
        <v>#N/A</v>
      </c>
      <c r="N235" s="99" t="e">
        <f t="array" ref="N235">INDEX('Coeff EC7'!$D$7:$Q$27,MATCH($B$3,'Coeff EC7'!$C$7:$C$27,0),MATCH(D235&amp;E235,'Coeff EC7'!$D$5:$Q$5&amp;'Coeff EC7'!$D$6:$Q$6,0))</f>
        <v>#N/A</v>
      </c>
      <c r="O235" s="99" t="e">
        <f t="array" ref="O235">INDEX('Coeff EC7'!$D$41:$Q$61,MATCH($B$3,'Coeff EC7'!$C$41:$C$61,0),MATCH(D235&amp;E235,'Coeff EC7'!$D$39:$Q$39&amp;'Coeff EC7'!$D$40:$Q$40,0))</f>
        <v>#N/A</v>
      </c>
      <c r="P235" s="30" t="e">
        <f t="shared" si="368"/>
        <v>#N/A</v>
      </c>
      <c r="Q235" s="100" t="e">
        <f t="shared" si="333"/>
        <v>#N/A</v>
      </c>
      <c r="R235" s="86" t="b">
        <f t="shared" si="334"/>
        <v>0</v>
      </c>
      <c r="S235" s="86">
        <f t="shared" si="332"/>
        <v>0.5</v>
      </c>
      <c r="T235" s="86">
        <f t="shared" si="335"/>
        <v>0.5</v>
      </c>
      <c r="U235" s="30" t="e">
        <f t="shared" ca="1" si="369"/>
        <v>#DIV/0!</v>
      </c>
      <c r="V235" s="85" t="str">
        <f>IF(B235&lt;=Hypothèses!$V$7,Hypothèses!$W$7,IF(B235&lt;=Hypothèses!$V$8,Hypothèses!$W$8,IF(B235&lt;=Hypothèses!$V$9,Hypothèses!$W$9,IF(B235&lt;=Hypothèses!$V$10,Hypothèses!$W$10,IF(B235&lt;=Hypothèses!$V$11,Hypothèses!$W$11,IF(B235&lt;=Hypothèses!$V$12,Hypothèses!$W$12,IF(B235&lt;=Hypothèses!$V$13,Hypothèses!$W$13,IF(B235&lt;=Hypothèses!$V$14,Hypothèses!$W$14,IF(B235&lt;=Hypothèses!$V$15,Hypothèses!$W$15,IF(B235&lt;=Hypothèses!$V$16,Hypothèses!$W$16,IF(B235&lt;=Hypothèses!$V$17,Hypothèses!$W$17,IF(B235&lt;=Hypothèses!$V$18,Hypothèses!$W$18,""))))))))))))</f>
        <v/>
      </c>
      <c r="W235" s="87" t="e">
        <f t="shared" ca="1" si="416"/>
        <v>#DIV/0!</v>
      </c>
      <c r="X235" s="88" t="str">
        <f>IF(B235&lt;=Hypothèses!$V$7,Hypothèses!$X$7,IF(B235&lt;=Hypothèses!$V$8,Hypothèses!$X$8,IF(B235&lt;=Hypothèses!$V$9,Hypothèses!$X$9,IF(B235&lt;=Hypothèses!$V$10,Hypothèses!$X$10,IF(B235&lt;=Hypothèses!$V$11,Hypothèses!$X$11,IF(B235&lt;=Hypothèses!$V$12,Hypothèses!$X$12,IF(B235&lt;=Hypothèses!$V$13,Hypothèses!$X$13,IF(B235&lt;=Hypothèses!$V$14,Hypothèses!$X$14,IF(B235&lt;=Hypothèses!$V$15,Hypothèses!$X$15,IF(B235&lt;=Hypothèses!$V$16,Hypothèses!$X$16,IF(B235&lt;=Hypothèses!$U$17,Hypothèses!$W$17,IF(B235&lt;=Hypothèses!$U$18,Hypothèses!$W$18,""))))))))))))</f>
        <v/>
      </c>
      <c r="Y235" s="95" t="e">
        <f t="shared" ca="1" si="336"/>
        <v>#DIV/0!</v>
      </c>
      <c r="Z235" s="101" t="e">
        <f t="shared" si="337"/>
        <v>#N/A</v>
      </c>
      <c r="AA235" s="91" t="e">
        <f t="shared" si="338"/>
        <v>#N/A</v>
      </c>
      <c r="AB235" s="30" t="e">
        <f t="shared" si="400"/>
        <v>#N/A</v>
      </c>
      <c r="AC235" s="30" t="e">
        <f t="shared" si="401"/>
        <v>#N/A</v>
      </c>
      <c r="AD235" s="31" t="e">
        <f>IF(OR(Hypothèses!$B$4=17,Hypothèses!$B$4=18,Hypothèses!$B$4=19,Hypothèses!$B$4=20),
IF($D235="Pressio.",
IF(OR($E235=3,$E235=1,$E235=4),AC235,AB235),
IF($D235="Pénétro.",
IF(OR($E235=3,$E235=1,$E235=4),AC235,AB235))),IF($D235="Pressio.",
IF($E235=3,AC235,AB235),
IF($D235="Pénétro.",
IF($E235=4,AC235,AB235))))</f>
        <v>#N/A</v>
      </c>
      <c r="AE235" s="31" t="e">
        <f>(IF(OR(Hypothèses!$B$4=17,Hypothèses!$B$4=18,Hypothèses!$B$4=19,Hypothèses!$B$4=20),
IF($D235="Pressio.",
IF(OR($E235=3,$E235=1,$E235=4),(PI()*AE$12^2)/4*(AA235*$W235*1000)/($H235*$B$5),(PI()*AE$12^2)/4*(AA235*$W235*1000)/($G235*$B$5)),
IF($D235="Pénétro.",
IF(OR($E235=4,$E235=1,$E235=5),(PI()*AE$12^2)/4*(AA235*$W235*1000)/($H235*$B$5),(PI()*AE$12^2)/4*(AA235*$W235*1000)/($G235*$B$5)))),
IF($D235="Pressio.",
IF($E235=3,(PI()*AE$12^2)/4*(AA235*$W235*1000)/($H235*$B$5),(PI()*AE$12^2)/4*(AA235*$W235*1000)/($G235*$B$5)),
IF($D235="Pénétro.",
IF($E235=4,(PI()*AE$12^2)/4*(AA235*$W235*1000)/($H235*$B$5),(PI()*AE$12^2)/4*(AA235*$W235*1000)/($G235*$B$5))))))/10</f>
        <v>#N/A</v>
      </c>
      <c r="AF235" s="102" t="e">
        <f>(VLOOKUP($B$3,'Coeff EC7'!$T$39:$X$59,2,0)*AD235+VLOOKUP($B$3,'Coeff EC7'!$T$65:$X$85,2,0)*Model0.1C!AE235)/1.1</f>
        <v>#N/A</v>
      </c>
      <c r="AG235" s="102" t="e">
        <f>(VLOOKUP($B$3,'Coeff EC7'!$T$39:$X$59,3,0)*AD235+VLOOKUP($B$3,'Coeff EC7'!$T$65:$X$85,3,0)*Model0.1C!AE235)/0.9</f>
        <v>#N/A</v>
      </c>
      <c r="AH235" s="102" t="e">
        <f t="shared" si="339"/>
        <v>#N/A</v>
      </c>
      <c r="AI235" s="102" t="e">
        <f t="shared" si="340"/>
        <v>#N/A</v>
      </c>
      <c r="AJ235" s="414" t="e">
        <f>IF(AJ234=0,0,IF(AND(AF235&gt;charge_ELS_quasi,AG235&gt;Charge_ELS_freq,AH235&gt;charge_ELU,AI235&gt;charge_ELA,$B235&gt;NDC!$H$22-0.1+MIN(3*$AJ$12,1.5)),0,1))</f>
        <v>#N/A</v>
      </c>
      <c r="AK235" s="86" t="b">
        <f t="shared" si="341"/>
        <v>0</v>
      </c>
      <c r="AL235" s="86">
        <f t="shared" si="370"/>
        <v>0.5</v>
      </c>
      <c r="AM235" s="86">
        <f t="shared" si="342"/>
        <v>0.5</v>
      </c>
      <c r="AN235" s="30" t="e">
        <f t="shared" ca="1" si="371"/>
        <v>#DIV/0!</v>
      </c>
      <c r="AO235" s="85" t="e">
        <f ca="1">IF(U235&lt;=Hypothèses!$V$7,Hypothèses!$W$7,IF(U235&lt;=Hypothèses!$V$8,Hypothèses!$W$8,IF(U235&lt;=Hypothèses!$V$9,Hypothèses!$W$9,IF(U235&lt;=Hypothèses!$V$10,Hypothèses!$W$10,IF(U235&lt;=Hypothèses!$V$11,Hypothèses!$W$11,IF(U235&lt;=Hypothèses!$V$12,Hypothèses!$W$12,IF(U235&lt;=Hypothèses!$V$13,Hypothèses!$W$13,IF(U235&lt;=Hypothèses!$V$14,Hypothèses!$W$14,IF(U235&lt;=Hypothèses!$V$15,Hypothèses!$W$15,IF(U235&lt;=Hypothèses!$V$16,Hypothèses!$W$16,IF(U235&lt;=Hypothèses!$V$17,Hypothèses!$W$17,IF(U235&lt;=Hypothèses!$V$18,Hypothèses!$W$18,""))))))))))))</f>
        <v>#DIV/0!</v>
      </c>
      <c r="AP235" s="87" t="e">
        <f t="shared" ca="1" si="417"/>
        <v>#DIV/0!</v>
      </c>
      <c r="AQ235" s="88" t="e">
        <f ca="1">IF(U235&lt;=Hypothèses!$V$7,Hypothèses!$X$7,IF(U235&lt;=Hypothèses!$V$8,Hypothèses!$X$8,IF(U235&lt;=Hypothèses!$V$9,Hypothèses!$X$9,IF(U235&lt;=Hypothèses!$V$10,Hypothèses!$X$10,IF(U235&lt;=Hypothèses!$V$11,Hypothèses!$X$11,IF(U235&lt;=Hypothèses!$V$12,Hypothèses!$X$12,IF(U235&lt;=Hypothèses!$V$13,Hypothèses!$X$13,IF(U235&lt;=Hypothèses!$V$14,Hypothèses!$X$14,IF(U235&lt;=Hypothèses!$V$15,Hypothèses!$X$15,IF(U235&lt;=Hypothèses!$V$16,Hypothèses!$X$16,IF(U235&lt;=Hypothèses!$U$17,Hypothèses!$W$17,IF(U235&lt;=Hypothèses!$U$18,Hypothèses!$W$18,""))))))))))))</f>
        <v>#DIV/0!</v>
      </c>
      <c r="AR235" s="95" t="e">
        <f t="shared" ca="1" si="372"/>
        <v>#DIV/0!</v>
      </c>
      <c r="AS235" s="101" t="e">
        <f t="shared" si="424"/>
        <v>#N/A</v>
      </c>
      <c r="AT235" s="91" t="e">
        <f t="shared" si="343"/>
        <v>#N/A</v>
      </c>
      <c r="AU235" s="30" t="e">
        <f t="shared" si="402"/>
        <v>#N/A</v>
      </c>
      <c r="AV235" s="30" t="e">
        <f t="shared" si="403"/>
        <v>#N/A</v>
      </c>
      <c r="AW235" s="31" t="e">
        <f>IF(OR(Hypothèses!$B$4=17,Hypothèses!$B$4=18,Hypothèses!$B$4=19,Hypothèses!$B$4=20),
IF($D235="Pressio.",
IF(OR($E235=3,$E235=1,$E235=4),AV235,AU235),
IF($D235="Pénétro.",
IF(OR($E235=3,$E235=1,$E235=4),AV235,AU235))),IF($D235="Pressio.",
IF($E235=3,AV235,AU235),
IF($D235="Pénétro.",
IF($E235=4,AV235,AU235))))</f>
        <v>#N/A</v>
      </c>
      <c r="AX235" s="31" t="e">
        <f>(IF(OR(Hypothèses!$B$4=17,Hypothèses!$B$4=18,Hypothèses!$B$4=19,Hypothèses!$B$4=20),
IF($D235="Pressio.",
IF(OR($E235=3,$E235=1,$E235=4),(PI()*AX$12^2)/4*(AT235*$W235*1000)/($H235*$B$5),(PI()*AX$12^2)/4*(AT235*$W235*1000)/($G235*$B$5)),
IF($D235="Pénétro.",
IF(OR($E235=4,$E235=1,$E235=5),(PI()*AX$12^2)/4*(AT235*$W235*1000)/($H235*$B$5),(PI()*AX$12^2)/4*(AT235*$W235*1000)/($G235*$B$5)))),
IF($D235="Pressio.",
IF($E235=3,(PI()*AX$12^2)/4*(AT235*$W235*1000)/($H235*$B$5),(PI()*AX$12^2)/4*(AT235*$W235*1000)/($G235*$B$5)),
IF($D235="Pénétro.",
IF($E235=4,(PI()*AX$12^2)/4*(AT235*$W235*1000)/($H235*$B$5),(PI()*AX$12^2)/4*(AT235*$W235*1000)/($G235*$B$5))))))/10</f>
        <v>#N/A</v>
      </c>
      <c r="AY235" s="102" t="e">
        <f>(VLOOKUP($B$3,'Coeff EC7'!$T$39:$X$59,2,0)*AW235+VLOOKUP($B$3,'Coeff EC7'!$T$65:$X$85,2,0)*Model0.1C!AX235)/1.1</f>
        <v>#N/A</v>
      </c>
      <c r="AZ235" s="102" t="e">
        <f>(VLOOKUP($B$3,'Coeff EC7'!$T$39:$X$59,3,0)*AW235+VLOOKUP($B$3,'Coeff EC7'!$T$65:$X$85,3,0)*Model0.1C!AX235)/0.9</f>
        <v>#N/A</v>
      </c>
      <c r="BA235" s="102" t="e">
        <f t="shared" si="373"/>
        <v>#N/A</v>
      </c>
      <c r="BB235" s="102" t="e">
        <f t="shared" si="374"/>
        <v>#N/A</v>
      </c>
      <c r="BC235" s="414" t="e">
        <f>IF(BC234=0,0,IF(AND(AY235&gt;charge_ELS_quasi,AZ235&gt;Charge_ELS_freq,BA235&gt;charge_ELU,BB235&gt;charge_ELA,$B235&gt;NDC!$H$22-0.1+MIN(3*$BC$12,1.5)),0,1))</f>
        <v>#N/A</v>
      </c>
      <c r="BD235" s="86" t="b">
        <f t="shared" si="344"/>
        <v>0</v>
      </c>
      <c r="BE235" s="86">
        <f t="shared" si="375"/>
        <v>0.5</v>
      </c>
      <c r="BF235" s="86">
        <f t="shared" si="345"/>
        <v>0.5</v>
      </c>
      <c r="BG235" s="30" t="e">
        <f t="shared" ca="1" si="376"/>
        <v>#DIV/0!</v>
      </c>
      <c r="BH235" s="85" t="e">
        <f ca="1">IF(AN235&lt;=Hypothèses!$V$7,Hypothèses!$W$7,IF(AN235&lt;=Hypothèses!$V$8,Hypothèses!$W$8,IF(AN235&lt;=Hypothèses!$V$9,Hypothèses!$W$9,IF(AN235&lt;=Hypothèses!$V$10,Hypothèses!$W$10,IF(AN235&lt;=Hypothèses!$V$11,Hypothèses!$W$11,IF(AN235&lt;=Hypothèses!$V$12,Hypothèses!$W$12,IF(AN235&lt;=Hypothèses!$V$13,Hypothèses!$W$13,IF(AN235&lt;=Hypothèses!$V$14,Hypothèses!$W$14,IF(AN235&lt;=Hypothèses!$V$15,Hypothèses!$W$15,IF(AN235&lt;=Hypothèses!$V$16,Hypothèses!$W$16,IF(AN235&lt;=Hypothèses!$V$17,Hypothèses!$W$17,IF(AN235&lt;=Hypothèses!$V$18,Hypothèses!$W$18,""))))))))))))</f>
        <v>#DIV/0!</v>
      </c>
      <c r="BI235" s="87" t="e">
        <f t="shared" ca="1" si="418"/>
        <v>#DIV/0!</v>
      </c>
      <c r="BJ235" s="88" t="e">
        <f ca="1">IF(AN235&lt;=Hypothèses!$V$7,Hypothèses!$X$7,IF(AN235&lt;=Hypothèses!$V$8,Hypothèses!$X$8,IF(AN235&lt;=Hypothèses!$V$9,Hypothèses!$X$9,IF(AN235&lt;=Hypothèses!$V$10,Hypothèses!$X$10,IF(AN235&lt;=Hypothèses!$V$11,Hypothèses!$X$11,IF(AN235&lt;=Hypothèses!$V$12,Hypothèses!$X$12,IF(AN235&lt;=Hypothèses!$V$13,Hypothèses!$X$13,IF(AN235&lt;=Hypothèses!$V$14,Hypothèses!$X$14,IF(AN235&lt;=Hypothèses!$V$15,Hypothèses!$X$15,IF(AN235&lt;=Hypothèses!$V$16,Hypothèses!$X$16,IF(AN235&lt;=Hypothèses!$U$17,Hypothèses!$W$17,IF(AN235&lt;=Hypothèses!$U$18,Hypothèses!$W$18,""))))))))))))</f>
        <v>#DIV/0!</v>
      </c>
      <c r="BK235" s="95" t="e">
        <f t="shared" ca="1" si="377"/>
        <v>#DIV/0!</v>
      </c>
      <c r="BL235" s="101" t="e">
        <f t="shared" si="425"/>
        <v>#N/A</v>
      </c>
      <c r="BM235" s="91" t="e">
        <f t="shared" si="346"/>
        <v>#N/A</v>
      </c>
      <c r="BN235" s="30" t="e">
        <f t="shared" si="404"/>
        <v>#N/A</v>
      </c>
      <c r="BO235" s="30" t="e">
        <f t="shared" si="405"/>
        <v>#N/A</v>
      </c>
      <c r="BP235" s="31" t="e">
        <f>IF(OR(Hypothèses!$B$4=17,Hypothèses!$B$4=18,Hypothèses!$B$4=19,Hypothèses!$B$4=20),
IF($D235="Pressio.",
IF(OR($E235=3,$E235=1,$E235=4),BO235,BN235),
IF($D235="Pénétro.",
IF(OR($E235=3,$E235=1,$E235=4),BO235,BN235))),IF($D235="Pressio.",
IF($E235=3,BO235,BN235),
IF($D235="Pénétro.",
IF($E235=4,BO235,BN235))))</f>
        <v>#N/A</v>
      </c>
      <c r="BQ235" s="31" t="e">
        <f>(IF(OR(Hypothèses!$B$4=17,Hypothèses!$B$4=18,Hypothèses!$B$4=19,Hypothèses!$B$4=20),
IF($D235="Pressio.",
IF(OR($E235=3,$E235=1,$E235=4),(PI()*BQ$12^2)/4*(BM235*$W235*1000)/($H235*$B$5),(PI()*BQ$12^2)/4*(BM235*$W235*1000)/($G235*$B$5)),
IF($D235="Pénétro.",
IF(OR($E235=4,$E235=1,$E235=5),(PI()*BQ$12^2)/4*(BM235*$W235*1000)/($H235*$B$5),(PI()*BQ$12^2)/4*(BM235*$W235*1000)/($G235*$B$5)))),
IF($D235="Pressio.",
IF($E235=3,(PI()*BQ$12^2)/4*(BM235*$W235*1000)/($H235*$B$5),(PI()*BQ$12^2)/4*(BM235*$W235*1000)/($G235*$B$5)),
IF($D235="Pénétro.",
IF($E235=4,(PI()*BQ$12^2)/4*(BM235*$W235*1000)/($H235*$B$5),(PI()*BQ$12^2)/4*(BM235*$W235*1000)/($G235*$B$5))))))/10</f>
        <v>#N/A</v>
      </c>
      <c r="BR235" s="102" t="e">
        <f>(VLOOKUP($B$3,'Coeff EC7'!$T$39:$X$59,2,0)*BP235+VLOOKUP($B$3,'Coeff EC7'!$T$65:$X$85,2,0)*Model0.1C!BQ235)/1.1</f>
        <v>#N/A</v>
      </c>
      <c r="BS235" s="102" t="e">
        <f>(VLOOKUP($B$3,'Coeff EC7'!$T$39:$X$59,3,0)*BP235+VLOOKUP($B$3,'Coeff EC7'!$T$65:$X$85,3,0)*Model0.1C!BQ235)/0.9</f>
        <v>#N/A</v>
      </c>
      <c r="BT235" s="102" t="e">
        <f t="shared" si="378"/>
        <v>#N/A</v>
      </c>
      <c r="BU235" s="102" t="e">
        <f t="shared" si="379"/>
        <v>#N/A</v>
      </c>
      <c r="BV235" s="414" t="e">
        <f>IF(BV234=0,0,IF(AND(BR235&gt;charge_ELS_quasi,BS235&gt;Charge_ELS_freq,BT235&gt;charge_ELU,BU235&gt;charge_ELA,$B235&gt;NDC!$H$22-0.1+MIN(3*$BV$12,1.5)),0,1))</f>
        <v>#N/A</v>
      </c>
      <c r="BW235" s="86" t="b">
        <f t="shared" si="347"/>
        <v>0</v>
      </c>
      <c r="BX235" s="86">
        <f t="shared" si="348"/>
        <v>0.5</v>
      </c>
      <c r="BY235" s="86">
        <f t="shared" si="349"/>
        <v>0.5</v>
      </c>
      <c r="BZ235" s="30" t="e">
        <f t="shared" ca="1" si="380"/>
        <v>#DIV/0!</v>
      </c>
      <c r="CA235" s="85" t="e">
        <f ca="1">IF(BG235&lt;=Hypothèses!$V$7,Hypothèses!$W$7,IF(BG235&lt;=Hypothèses!$V$8,Hypothèses!$W$8,IF(BG235&lt;=Hypothèses!$V$9,Hypothèses!$W$9,IF(BG235&lt;=Hypothèses!$V$10,Hypothèses!$W$10,IF(BG235&lt;=Hypothèses!$V$11,Hypothèses!$W$11,IF(BG235&lt;=Hypothèses!$V$12,Hypothèses!$W$12,IF(BG235&lt;=Hypothèses!$V$13,Hypothèses!$W$13,IF(BG235&lt;=Hypothèses!$V$14,Hypothèses!$W$14,IF(BG235&lt;=Hypothèses!$V$15,Hypothèses!$W$15,IF(BG235&lt;=Hypothèses!$V$16,Hypothèses!$W$16,IF(BG235&lt;=Hypothèses!$V$17,Hypothèses!$W$17,IF(BG235&lt;=Hypothèses!$V$18,Hypothèses!$W$18,""))))))))))))</f>
        <v>#DIV/0!</v>
      </c>
      <c r="CB235" s="87" t="e">
        <f t="shared" ca="1" si="419"/>
        <v>#DIV/0!</v>
      </c>
      <c r="CC235" s="88" t="e">
        <f ca="1">IF(BG235&lt;=Hypothèses!$V$7,Hypothèses!$X$7,IF(BG235&lt;=Hypothèses!$V$8,Hypothèses!$X$8,IF(BG235&lt;=Hypothèses!$V$9,Hypothèses!$X$9,IF(BG235&lt;=Hypothèses!$V$10,Hypothèses!$X$10,IF(BG235&lt;=Hypothèses!$V$11,Hypothèses!$X$11,IF(BG235&lt;=Hypothèses!$V$12,Hypothèses!$X$12,IF(BG235&lt;=Hypothèses!$V$13,Hypothèses!$X$13,IF(BG235&lt;=Hypothèses!$V$14,Hypothèses!$X$14,IF(BG235&lt;=Hypothèses!$V$15,Hypothèses!$X$15,IF(BG235&lt;=Hypothèses!$V$16,Hypothèses!$X$16,IF(BG235&lt;=Hypothèses!$U$17,Hypothèses!$W$17,IF(BG235&lt;=Hypothèses!$U$18,Hypothèses!$W$18,""))))))))))))</f>
        <v>#DIV/0!</v>
      </c>
      <c r="CD235" s="95" t="e">
        <f t="shared" ca="1" si="381"/>
        <v>#DIV/0!</v>
      </c>
      <c r="CE235" s="101" t="e">
        <f t="shared" si="426"/>
        <v>#N/A</v>
      </c>
      <c r="CF235" s="91" t="e">
        <f t="shared" si="350"/>
        <v>#N/A</v>
      </c>
      <c r="CG235" s="30" t="e">
        <f t="shared" si="406"/>
        <v>#N/A</v>
      </c>
      <c r="CH235" s="30" t="e">
        <f t="shared" si="407"/>
        <v>#N/A</v>
      </c>
      <c r="CI235" s="31" t="e">
        <f>IF(OR(Hypothèses!$B$4=17,Hypothèses!$B$4=18,Hypothèses!$B$4=19,Hypothèses!$B$4=20),
IF($D235="Pressio.",
IF(OR($E235=3,$E235=1,$E235=4),CH235,CG235),
IF($D235="Pénétro.",
IF(OR($E235=3,$E235=1,$E235=4),CH235,CG235))),IF($D235="Pressio.",
IF($E235=3,CH235,CG235),
IF($D235="Pénétro.",
IF($E235=4,CH235,CG235))))</f>
        <v>#N/A</v>
      </c>
      <c r="CJ235" s="31" t="e">
        <f>(IF(OR(Hypothèses!$B$4=17,Hypothèses!$B$4=18,Hypothèses!$B$4=19,Hypothèses!$B$4=20),
IF($D235="Pressio.",
IF(OR($E235=3,$E235=1,$E235=4),(PI()*CJ$12^2)/4*(CF235*$W235*1000)/($H235*$B$5),(PI()*CJ$12^2)/4*(CF235*$W235*1000)/($G235*$B$5)),
IF($D235="Pénétro.",
IF(OR($E235=4,$E235=1,$E235=5),(PI()*CJ$12^2)/4*(CF235*$W235*1000)/($H235*$B$5),(PI()*CJ$12^2)/4*(CF235*$W235*1000)/($G235*$B$5)))),
IF($D235="Pressio.",
IF($E235=3,(PI()*CJ$12^2)/4*(CF235*$W235*1000)/($H235*$B$5),(PI()*CJ$12^2)/4*(CF235*$W235*1000)/($G235*$B$5)),
IF($D235="Pénétro.",
IF($E235=4,(PI()*CJ$12^2)/4*(CF235*$W235*1000)/($H235*$B$5),(PI()*CJ$12^2)/4*(CF235*$W235*1000)/($G235*$B$5))))))/10</f>
        <v>#N/A</v>
      </c>
      <c r="CK235" s="102" t="e">
        <f>(VLOOKUP($B$3,'Coeff EC7'!$T$39:$X$59,2,0)*CI235+VLOOKUP($B$3,'Coeff EC7'!$T$65:$X$85,2,0)*Model0.1C!CJ235)/1.1</f>
        <v>#N/A</v>
      </c>
      <c r="CL235" s="102" t="e">
        <f>(VLOOKUP($B$3,'Coeff EC7'!$T$39:$X$59,3,0)*CI235+VLOOKUP($B$3,'Coeff EC7'!$T$65:$X$85,3,0)*Model0.1C!CJ235)/0.9</f>
        <v>#N/A</v>
      </c>
      <c r="CM235" s="102" t="e">
        <f t="shared" si="382"/>
        <v>#N/A</v>
      </c>
      <c r="CN235" s="102" t="e">
        <f t="shared" si="383"/>
        <v>#N/A</v>
      </c>
      <c r="CO235" s="414" t="e">
        <f>IF(CO234=0,0,IF(AND(CK235&gt;charge_ELS_quasi,CL235&gt;Charge_ELS_freq,CM235&gt;charge_ELU,CN235&gt;charge_ELA,$B235&gt;NDC!$H$22-0.1+MIN(3*$CO$12,1.5)),0,1))</f>
        <v>#N/A</v>
      </c>
      <c r="CP235" s="86" t="b">
        <f t="shared" si="351"/>
        <v>0</v>
      </c>
      <c r="CQ235" s="86">
        <f t="shared" si="352"/>
        <v>0.5</v>
      </c>
      <c r="CR235" s="86">
        <f t="shared" si="353"/>
        <v>0.5</v>
      </c>
      <c r="CS235" s="30" t="e">
        <f t="shared" ca="1" si="384"/>
        <v>#DIV/0!</v>
      </c>
      <c r="CT235" s="85" t="e">
        <f ca="1">IF(BZ235&lt;=Hypothèses!$V$7,Hypothèses!$W$7,IF(BZ235&lt;=Hypothèses!$V$8,Hypothèses!$W$8,IF(BZ235&lt;=Hypothèses!$V$9,Hypothèses!$W$9,IF(BZ235&lt;=Hypothèses!$V$10,Hypothèses!$W$10,IF(BZ235&lt;=Hypothèses!$V$11,Hypothèses!$W$11,IF(BZ235&lt;=Hypothèses!$V$12,Hypothèses!$W$12,IF(BZ235&lt;=Hypothèses!$V$13,Hypothèses!$W$13,IF(BZ235&lt;=Hypothèses!$V$14,Hypothèses!$W$14,IF(BZ235&lt;=Hypothèses!$V$15,Hypothèses!$W$15,IF(BZ235&lt;=Hypothèses!$V$16,Hypothèses!$W$16,IF(BZ235&lt;=Hypothèses!$V$17,Hypothèses!$W$17,IF(BZ235&lt;=Hypothèses!$V$18,Hypothèses!$W$18,""))))))))))))</f>
        <v>#DIV/0!</v>
      </c>
      <c r="CU235" s="87" t="e">
        <f t="shared" ca="1" si="420"/>
        <v>#DIV/0!</v>
      </c>
      <c r="CV235" s="88" t="e">
        <f ca="1">IF(BZ235&lt;=Hypothèses!$V$7,Hypothèses!$X$7,IF(BZ235&lt;=Hypothèses!$V$8,Hypothèses!$X$8,IF(BZ235&lt;=Hypothèses!$V$9,Hypothèses!$X$9,IF(BZ235&lt;=Hypothèses!$V$10,Hypothèses!$X$10,IF(BZ235&lt;=Hypothèses!$V$11,Hypothèses!$X$11,IF(BZ235&lt;=Hypothèses!$V$12,Hypothèses!$X$12,IF(BZ235&lt;=Hypothèses!$V$13,Hypothèses!$X$13,IF(BZ235&lt;=Hypothèses!$V$14,Hypothèses!$X$14,IF(BZ235&lt;=Hypothèses!$V$15,Hypothèses!$X$15,IF(BZ235&lt;=Hypothèses!$V$16,Hypothèses!$X$16,IF(BZ235&lt;=Hypothèses!$U$17,Hypothèses!$W$17,IF(BZ235&lt;=Hypothèses!$U$18,Hypothèses!$W$18,""))))))))))))</f>
        <v>#DIV/0!</v>
      </c>
      <c r="CW235" s="95" t="e">
        <f t="shared" ca="1" si="385"/>
        <v>#DIV/0!</v>
      </c>
      <c r="CX235" s="101" t="e">
        <f t="shared" si="427"/>
        <v>#N/A</v>
      </c>
      <c r="CY235" s="91" t="e">
        <f t="shared" si="354"/>
        <v>#N/A</v>
      </c>
      <c r="CZ235" s="30" t="e">
        <f t="shared" si="408"/>
        <v>#N/A</v>
      </c>
      <c r="DA235" s="30" t="e">
        <f t="shared" si="409"/>
        <v>#N/A</v>
      </c>
      <c r="DB235" s="31" t="e">
        <f>IF(OR(Hypothèses!$B$4=17,Hypothèses!$B$4=18,Hypothèses!$B$4=19,Hypothèses!$B$4=20),
IF($D235="Pressio.",
IF(OR($E235=3,$E235=1,$E235=4),DA235,CZ235),
IF($D235="Pénétro.",
IF(OR($E235=3,$E235=1,$E235=4),DA235,CZ235))),IF($D235="Pressio.",
IF($E235=3,DA235,CZ235),
IF($D235="Pénétro.",
IF($E235=4,DA235,CZ235))))</f>
        <v>#N/A</v>
      </c>
      <c r="DC235" s="31" t="e">
        <f>(IF(OR(Hypothèses!$B$4=17,Hypothèses!$B$4=18,Hypothèses!$B$4=19,Hypothèses!$B$4=20),
IF($D235="Pressio.",
IF(OR($E235=3,$E235=1,$E235=4),(PI()*DC$12^2)/4*(CY235*$W235*1000)/($H235*$B$5),(PI()*DC$12^2)/4*(CY235*$W235*1000)/($G235*$B$5)),
IF($D235="Pénétro.",
IF(OR($E235=4,$E235=1,$E235=5),(PI()*DC$12^2)/4*(CY235*$W235*1000)/($H235*$B$5),(PI()*DC$12^2)/4*(CY235*$W235*1000)/($G235*$B$5)))),
IF($D235="Pressio.",
IF($E235=3,(PI()*DC$12^2)/4*(CY235*$W235*1000)/($H235*$B$5),(PI()*DC$12^2)/4*(CY235*$W235*1000)/($G235*$B$5)),
IF($D235="Pénétro.",
IF($E235=4,(PI()*DC$12^2)/4*(CY235*$W235*1000)/($H235*$B$5),(PI()*DC$12^2)/4*(CY235*$W235*1000)/($G235*$B$5))))))/10</f>
        <v>#N/A</v>
      </c>
      <c r="DD235" s="102" t="e">
        <f>(VLOOKUP($B$3,'Coeff EC7'!$T$39:$X$59,2,0)*DB235+VLOOKUP($B$3,'Coeff EC7'!$T$65:$X$85,2,0)*Model0.1C!DC235)/1.1</f>
        <v>#N/A</v>
      </c>
      <c r="DE235" s="102" t="e">
        <f>(VLOOKUP($B$3,'Coeff EC7'!$T$39:$X$59,3,0)*DB235+VLOOKUP($B$3,'Coeff EC7'!$T$65:$X$85,3,0)*Model0.1C!DC235)/0.9</f>
        <v>#N/A</v>
      </c>
      <c r="DF235" s="102" t="e">
        <f t="shared" si="386"/>
        <v>#N/A</v>
      </c>
      <c r="DG235" s="102" t="e">
        <f t="shared" si="387"/>
        <v>#N/A</v>
      </c>
      <c r="DH235" s="414" t="e">
        <f>IF(DH234=0,0,IF(AND(DD235&gt;charge_ELS_quasi,DE235&gt;Charge_ELS_freq,DF235&gt;charge_ELU,DG235&gt;charge_ELA,$B235&gt;NDC!$H$22-0.1+MIN(3*$DH$12,1.5)),0,1))</f>
        <v>#N/A</v>
      </c>
      <c r="DI235" s="86" t="b">
        <f t="shared" si="355"/>
        <v>0</v>
      </c>
      <c r="DJ235" s="86">
        <f t="shared" si="356"/>
        <v>0.5</v>
      </c>
      <c r="DK235" s="86">
        <f t="shared" si="357"/>
        <v>0.5</v>
      </c>
      <c r="DL235" s="30" t="e">
        <f t="shared" ca="1" si="388"/>
        <v>#DIV/0!</v>
      </c>
      <c r="DM235" s="85" t="e">
        <f ca="1">IF(CS235&lt;=Hypothèses!$V$7,Hypothèses!$W$7,IF(CS235&lt;=Hypothèses!$V$8,Hypothèses!$W$8,IF(CS235&lt;=Hypothèses!$V$9,Hypothèses!$W$9,IF(CS235&lt;=Hypothèses!$V$10,Hypothèses!$W$10,IF(CS235&lt;=Hypothèses!$V$11,Hypothèses!$W$11,IF(CS235&lt;=Hypothèses!$V$12,Hypothèses!$W$12,IF(CS235&lt;=Hypothèses!$V$13,Hypothèses!$W$13,IF(CS235&lt;=Hypothèses!$V$14,Hypothèses!$W$14,IF(CS235&lt;=Hypothèses!$V$15,Hypothèses!$W$15,IF(CS235&lt;=Hypothèses!$V$16,Hypothèses!$W$16,IF(CS235&lt;=Hypothèses!$V$17,Hypothèses!$W$17,IF(CS235&lt;=Hypothèses!$V$18,Hypothèses!$W$18,""))))))))))))</f>
        <v>#DIV/0!</v>
      </c>
      <c r="DN235" s="87" t="e">
        <f t="shared" ca="1" si="421"/>
        <v>#DIV/0!</v>
      </c>
      <c r="DO235" s="88" t="e">
        <f ca="1">IF(CS235&lt;=Hypothèses!$V$7,Hypothèses!$X$7,IF(CS235&lt;=Hypothèses!$V$8,Hypothèses!$X$8,IF(CS235&lt;=Hypothèses!$V$9,Hypothèses!$X$9,IF(CS235&lt;=Hypothèses!$V$10,Hypothèses!$X$10,IF(CS235&lt;=Hypothèses!$V$11,Hypothèses!$X$11,IF(CS235&lt;=Hypothèses!$V$12,Hypothèses!$X$12,IF(CS235&lt;=Hypothèses!$V$13,Hypothèses!$X$13,IF(CS235&lt;=Hypothèses!$V$14,Hypothèses!$X$14,IF(CS235&lt;=Hypothèses!$V$15,Hypothèses!$X$15,IF(CS235&lt;=Hypothèses!$V$16,Hypothèses!$X$16,IF(CS235&lt;=Hypothèses!$U$17,Hypothèses!$W$17,IF(CS235&lt;=Hypothèses!$U$18,Hypothèses!$W$18,""))))))))))))</f>
        <v>#DIV/0!</v>
      </c>
      <c r="DP235" s="95" t="e">
        <f t="shared" ca="1" si="389"/>
        <v>#DIV/0!</v>
      </c>
      <c r="DQ235" s="101" t="e">
        <f t="shared" si="428"/>
        <v>#N/A</v>
      </c>
      <c r="DR235" s="91" t="e">
        <f t="shared" si="358"/>
        <v>#N/A</v>
      </c>
      <c r="DS235" s="30" t="e">
        <f t="shared" si="410"/>
        <v>#N/A</v>
      </c>
      <c r="DT235" s="30" t="e">
        <f t="shared" si="411"/>
        <v>#N/A</v>
      </c>
      <c r="DU235" s="31" t="e">
        <f>IF(OR(Hypothèses!$B$4=17,Hypothèses!$B$4=18,Hypothèses!$B$4=19,Hypothèses!$B$4=20),
IF($D235="Pressio.",
IF(OR($E235=3,$E235=1,$E235=4),DT235,DS235),
IF($D235="Pénétro.",
IF(OR($E235=3,$E235=1,$E235=4),DT235,DS235))),IF($D235="Pressio.",
IF($E235=3,DT235,DS235),
IF($D235="Pénétro.",
IF($E235=4,DT235,DS235))))</f>
        <v>#N/A</v>
      </c>
      <c r="DV235" s="31" t="e">
        <f>(IF(OR(Hypothèses!$B$4=17,Hypothèses!$B$4=18,Hypothèses!$B$4=19,Hypothèses!$B$4=20),
IF($D235="Pressio.",
IF(OR($E235=3,$E235=1,$E235=4),(PI()*DV$12^2)/4*(DR235*$W235*1000)/($H235*$B$5),(PI()*DV$12^2)/4*(DR235*$W235*1000)/($G235*$B$5)),
IF($D235="Pénétro.",
IF(OR($E235=4,$E235=1,$E235=5),(PI()*DV$12^2)/4*(DR235*$W235*1000)/($H235*$B$5),(PI()*DV$12^2)/4*(DR235*$W235*1000)/($G235*$B$5)))),
IF($D235="Pressio.",
IF($E235=3,(PI()*DV$12^2)/4*(DR235*$W235*1000)/($H235*$B$5),(PI()*DV$12^2)/4*(DR235*$W235*1000)/($G235*$B$5)),
IF($D235="Pénétro.",
IF($E235=4,(PI()*DV$12^2)/4*(DR235*$W235*1000)/($H235*$B$5),(PI()*DV$12^2)/4*(DR235*$W235*1000)/($G235*$B$5))))))/10</f>
        <v>#N/A</v>
      </c>
      <c r="DW235" s="102" t="e">
        <f>(VLOOKUP($B$3,'Coeff EC7'!$T$39:$X$59,2,0)*DU235+VLOOKUP($B$3,'Coeff EC7'!$T$65:$X$85,2,0)*Model0.1C!DV235)/1.1</f>
        <v>#N/A</v>
      </c>
      <c r="DX235" s="102" t="e">
        <f>(VLOOKUP($B$3,'Coeff EC7'!$T$39:$X$59,3,0)*DU235+VLOOKUP($B$3,'Coeff EC7'!$T$65:$X$85,3,0)*Model0.1C!DV235)/0.9</f>
        <v>#N/A</v>
      </c>
      <c r="DY235" s="102" t="e">
        <f t="shared" si="390"/>
        <v>#N/A</v>
      </c>
      <c r="DZ235" s="102" t="e">
        <f t="shared" si="391"/>
        <v>#N/A</v>
      </c>
      <c r="EA235" s="414" t="e">
        <f>IF(EA234=0,0,IF(AND(DW235&gt;charge_ELS_quasi,DX235&gt;Charge_ELS_freq,DY235&gt;charge_ELU,DZ235&gt;charge_ELA,$B235&gt;NDC!$H$22-0.1+MIN(3*$EA$12,1.5)),0,1))</f>
        <v>#N/A</v>
      </c>
      <c r="EB235" s="86" t="b">
        <f t="shared" si="359"/>
        <v>0</v>
      </c>
      <c r="EC235" s="418">
        <f t="shared" si="360"/>
        <v>0.51</v>
      </c>
      <c r="ED235" s="86">
        <f t="shared" si="361"/>
        <v>0.51</v>
      </c>
      <c r="EE235" s="30" t="e">
        <f t="shared" ca="1" si="392"/>
        <v>#DIV/0!</v>
      </c>
      <c r="EF235" s="85" t="e">
        <f ca="1">IF(DL235&lt;=Hypothèses!$V$7,Hypothèses!$W$7,IF(DL235&lt;=Hypothèses!$V$8,Hypothèses!$W$8,IF(DL235&lt;=Hypothèses!$V$9,Hypothèses!$W$9,IF(DL235&lt;=Hypothèses!$V$10,Hypothèses!$W$10,IF(DL235&lt;=Hypothèses!$V$11,Hypothèses!$W$11,IF(DL235&lt;=Hypothèses!$V$12,Hypothèses!$W$12,IF(DL235&lt;=Hypothèses!$V$13,Hypothèses!$W$13,IF(DL235&lt;=Hypothèses!$V$14,Hypothèses!$W$14,IF(DL235&lt;=Hypothèses!$V$15,Hypothèses!$W$15,IF(DL235&lt;=Hypothèses!$V$16,Hypothèses!$W$16,IF(DL235&lt;=Hypothèses!$V$17,Hypothèses!$W$17,IF(DL235&lt;=Hypothèses!$V$18,Hypothèses!$W$18,""))))))))))))</f>
        <v>#DIV/0!</v>
      </c>
      <c r="EG235" s="87" t="e">
        <f t="shared" ca="1" si="422"/>
        <v>#DIV/0!</v>
      </c>
      <c r="EH235" s="88" t="e">
        <f ca="1">IF(DL235&lt;=Hypothèses!$V$7,Hypothèses!$X$7,IF(DL235&lt;=Hypothèses!$V$8,Hypothèses!$X$8,IF(DL235&lt;=Hypothèses!$V$9,Hypothèses!$X$9,IF(DL235&lt;=Hypothèses!$V$10,Hypothèses!$X$10,IF(DL235&lt;=Hypothèses!$V$11,Hypothèses!$X$11,IF(DL235&lt;=Hypothèses!$V$12,Hypothèses!$X$12,IF(DL235&lt;=Hypothèses!$V$13,Hypothèses!$X$13,IF(DL235&lt;=Hypothèses!$V$14,Hypothèses!$X$14,IF(DL235&lt;=Hypothèses!$V$15,Hypothèses!$X$15,IF(DL235&lt;=Hypothèses!$V$16,Hypothèses!$X$16,IF(DL235&lt;=Hypothèses!$U$17,Hypothèses!$W$17,IF(DL235&lt;=Hypothèses!$U$18,Hypothèses!$W$18,""))))))))))))</f>
        <v>#DIV/0!</v>
      </c>
      <c r="EI235" s="95" t="e">
        <f t="shared" ca="1" si="393"/>
        <v>#DIV/0!</v>
      </c>
      <c r="EJ235" s="101" t="e">
        <f t="shared" si="429"/>
        <v>#N/A</v>
      </c>
      <c r="EK235" s="91" t="e">
        <f t="shared" si="362"/>
        <v>#N/A</v>
      </c>
      <c r="EL235" s="30" t="e">
        <f t="shared" si="412"/>
        <v>#N/A</v>
      </c>
      <c r="EM235" s="30" t="e">
        <f t="shared" si="413"/>
        <v>#N/A</v>
      </c>
      <c r="EN235" s="31" t="e">
        <f>IF(OR(Hypothèses!$B$4=17,Hypothèses!$B$4=18,Hypothèses!$B$4=19,Hypothèses!$B$4=20),
IF($D235="Pressio.",
IF(OR($E235=3,$E235=1,$E235=4),EM235,EL235),
IF($D235="Pénétro.",
IF(OR($E235=3,$E235=1,$E235=4),EM235,EL235))),IF($D235="Pressio.",
IF($E235=3,EM235,EL235),
IF($D235="Pénétro.",
IF($E235=4,EM235,EL235))))</f>
        <v>#N/A</v>
      </c>
      <c r="EO235" s="31" t="e">
        <f>(IF(OR(Hypothèses!$B$4=17,Hypothèses!$B$4=18,Hypothèses!$B$4=19,Hypothèses!$B$4=20),
IF($D235="Pressio.",
IF(OR($E235=3,$E235=1,$E235=4),(PI()*EO$12^2)/4*(EK235*$W235*1000)/($H235*$B$5),(PI()*EO$12^2)/4*(EK235*$W235*1000)/($G235*$B$5)),
IF($D235="Pénétro.",
IF(OR($E235=4,$E235=1,$E235=5),(PI()*EO$12^2)/4*(EK235*$W235*1000)/($H235*$B$5),(PI()*EO$12^2)/4*(EK235*$W235*1000)/($G235*$B$5)))),
IF($D235="Pressio.",
IF($E235=3,(PI()*EO$12^2)/4*(EK235*$W235*1000)/($H235*$B$5),(PI()*EO$12^2)/4*(EK235*$W235*1000)/($G235*$B$5)),
IF($D235="Pénétro.",
IF($E235=4,(PI()*EO$12^2)/4*(EK235*$W235*1000)/($H235*$B$5),(PI()*EO$12^2)/4*(EK235*$W235*1000)/($G235*$B$5))))))/10</f>
        <v>#N/A</v>
      </c>
      <c r="EP235" s="102" t="e">
        <f>(VLOOKUP($B$3,'Coeff EC7'!$T$39:$X$59,2,0)*EN235+VLOOKUP($B$3,'Coeff EC7'!$T$65:$X$85,2,0)*Model0.1C!EO235)/1.1</f>
        <v>#N/A</v>
      </c>
      <c r="EQ235" s="102" t="e">
        <f>(VLOOKUP($B$3,'Coeff EC7'!$T$39:$X$59,3,0)*EN235+VLOOKUP($B$3,'Coeff EC7'!$T$65:$X$85,3,0)*Model0.1C!EO235)/0.9</f>
        <v>#N/A</v>
      </c>
      <c r="ER235" s="102" t="e">
        <f t="shared" si="394"/>
        <v>#N/A</v>
      </c>
      <c r="ES235" s="102" t="e">
        <f t="shared" si="395"/>
        <v>#N/A</v>
      </c>
      <c r="ET235" s="414" t="e">
        <f>IF(ET234=0,0,IF(AND(EP235&gt;charge_ELS_quasi,EQ235&gt;Charge_ELS_freq,ER235&gt;charge_ELU,ES235&gt;charge_ELA,$B235&gt;NDC!$H$22-0.1+MIN(3*$ET$12,1.5)),0,1))</f>
        <v>#N/A</v>
      </c>
      <c r="EU235" s="86" t="b">
        <f t="shared" si="363"/>
        <v>0</v>
      </c>
      <c r="EV235" s="86">
        <f t="shared" si="364"/>
        <v>0.61</v>
      </c>
      <c r="EW235" s="86">
        <f t="shared" si="365"/>
        <v>0.61</v>
      </c>
      <c r="EX235" s="30" t="e">
        <f t="shared" ca="1" si="396"/>
        <v>#DIV/0!</v>
      </c>
      <c r="EY235" s="85" t="e">
        <f ca="1">IF(EE235&lt;=Hypothèses!$V$7,Hypothèses!$W$7,IF(EE235&lt;=Hypothèses!$V$8,Hypothèses!$W$8,IF(EE235&lt;=Hypothèses!$V$9,Hypothèses!$W$9,IF(EE235&lt;=Hypothèses!$V$10,Hypothèses!$W$10,IF(EE235&lt;=Hypothèses!$V$11,Hypothèses!$W$11,IF(EE235&lt;=Hypothèses!$V$12,Hypothèses!$W$12,IF(EE235&lt;=Hypothèses!$V$13,Hypothèses!$W$13,IF(EE235&lt;=Hypothèses!$V$14,Hypothèses!$W$14,IF(EE235&lt;=Hypothèses!$V$15,Hypothèses!$W$15,IF(EE235&lt;=Hypothèses!$V$16,Hypothèses!$W$16,IF(EE235&lt;=Hypothèses!$V$17,Hypothèses!$W$17,IF(EE235&lt;=Hypothèses!$V$18,Hypothèses!$W$18,""))))))))))))</f>
        <v>#DIV/0!</v>
      </c>
      <c r="EZ235" s="87" t="e">
        <f t="shared" ca="1" si="423"/>
        <v>#DIV/0!</v>
      </c>
      <c r="FA235" s="88" t="e">
        <f ca="1">IF(EE235&lt;=Hypothèses!$V$7,Hypothèses!$X$7,IF(EE235&lt;=Hypothèses!$V$8,Hypothèses!$X$8,IF(EE235&lt;=Hypothèses!$V$9,Hypothèses!$X$9,IF(EE235&lt;=Hypothèses!$V$10,Hypothèses!$X$10,IF(EE235&lt;=Hypothèses!$V$11,Hypothèses!$X$11,IF(EE235&lt;=Hypothèses!$V$12,Hypothèses!$X$12,IF(EE235&lt;=Hypothèses!$V$13,Hypothèses!$X$13,IF(EE235&lt;=Hypothèses!$V$14,Hypothèses!$X$14,IF(EE235&lt;=Hypothèses!$V$15,Hypothèses!$X$15,IF(EE235&lt;=Hypothèses!$V$16,Hypothèses!$X$16,IF(EE235&lt;=Hypothèses!$U$17,Hypothèses!$W$17,IF(EE235&lt;=Hypothèses!$U$18,Hypothèses!$W$18,""))))))))))))</f>
        <v>#DIV/0!</v>
      </c>
      <c r="FB235" s="95" t="e">
        <f t="shared" ca="1" si="397"/>
        <v>#DIV/0!</v>
      </c>
      <c r="FC235" s="101" t="e">
        <f t="shared" si="430"/>
        <v>#N/A</v>
      </c>
      <c r="FD235" s="91" t="e">
        <f t="shared" si="366"/>
        <v>#N/A</v>
      </c>
      <c r="FE235" s="30" t="e">
        <f t="shared" si="414"/>
        <v>#N/A</v>
      </c>
      <c r="FF235" s="30" t="e">
        <f t="shared" si="415"/>
        <v>#N/A</v>
      </c>
      <c r="FG235" s="31" t="e">
        <f>IF(OR(Hypothèses!$B$4=17,Hypothèses!$B$4=18,Hypothèses!$B$4=19,Hypothèses!$B$4=20),
IF($D235="Pressio.",
IF(OR($E235=3,$E235=1,$E235=4),FF235,FE235),
IF($D235="Pénétro.",
IF(OR($E235=3,$E235=1,$E235=4),FF235,FE235))),IF($D235="Pressio.",
IF($E235=3,FF235,FE235),
IF($D235="Pénétro.",
IF($E235=4,FF235,FE235))))</f>
        <v>#N/A</v>
      </c>
      <c r="FH235" s="31" t="e">
        <f>(IF(OR(Hypothèses!$B$4=17,Hypothèses!$B$4=18,Hypothèses!$B$4=19,Hypothèses!$B$4=20),
IF($D235="Pressio.",
IF(OR($E235=3,$E235=1,$E235=4),(PI()*FH$12^2)/4*(FD235*$W235*1000)/($H235*$B$5),(PI()*FH$12^2)/4*(FD235*$W235*1000)/($G235*$B$5)),
IF($D235="Pénétro.",
IF(OR($E235=4,$E235=1,$E235=5),(PI()*FH$12^2)/4*(FD235*$W235*1000)/($H235*$B$5),(PI()*FH$12^2)/4*(FD235*$W235*1000)/($G235*$B$5)))),
IF($D235="Pressio.",
IF($E235=3,(PI()*FH$12^2)/4*(FD235*$W235*1000)/($H235*$B$5),(PI()*FH$12^2)/4*(FD235*$W235*1000)/($G235*$B$5)),
IF($D235="Pénétro.",
IF($E235=4,(PI()*FH$12^2)/4*(FD235*$W235*1000)/($H235*$B$5),(PI()*FH$12^2)/4*(FD235*$W235*1000)/($G235*$B$5))))))/10</f>
        <v>#N/A</v>
      </c>
      <c r="FI235" s="102" t="e">
        <f>(VLOOKUP($B$3,'Coeff EC7'!$T$39:$X$59,2,0)*FG235+VLOOKUP($B$3,'Coeff EC7'!$T$65:$X$85,2,0)*Model0.1C!FH235)/1.1</f>
        <v>#N/A</v>
      </c>
      <c r="FJ235" s="102" t="e">
        <f>(VLOOKUP($B$3,'Coeff EC7'!$T$39:$X$59,3,0)*FG235+VLOOKUP($B$3,'Coeff EC7'!$T$65:$X$85,3,0)*Model0.1C!FH235)/0.9</f>
        <v>#N/A</v>
      </c>
      <c r="FK235" s="102" t="e">
        <f t="shared" si="398"/>
        <v>#N/A</v>
      </c>
      <c r="FL235" s="102" t="e">
        <f t="shared" si="399"/>
        <v>#N/A</v>
      </c>
      <c r="FM235" s="414" t="e">
        <f>IF(FM234=0,0,IF(AND(FI235&gt;charge_ELS_quasi,FJ235&gt;Charge_ELS_freq,FK235&gt;charge_ELU,FL235&gt;charge_ELA,$B235&gt;NDC!$H$22-0.1+MIN(3*$FM$12,1.5)),0,1))</f>
        <v>#N/A</v>
      </c>
    </row>
    <row r="236" spans="1:169">
      <c r="A236" s="96">
        <f t="shared" si="367"/>
        <v>77.700000000001268</v>
      </c>
      <c r="B236" s="97">
        <v>22.3</v>
      </c>
      <c r="C236" s="81">
        <f>IF(B236&lt;=Hypothèses!$C$7,Hypothèses!$A$7,IF(B236&lt;=Hypothèses!$C$8,Hypothèses!$A$8,IF(B236&lt;=Hypothèses!$C$9,Hypothèses!$A$9,IF(B236&lt;=Hypothèses!$C$10,Hypothèses!$A$10,IF(B236&lt;=Hypothèses!$C$11,Hypothèses!$A$11,IF(B236&lt;=Hypothèses!$C$12,Hypothèses!$A$12,IF(B236&lt;=Hypothèses!$C$13,Hypothèses!$A$13,IF(B236&lt;=Hypothèses!$C$14,Hypothèses!$A$14,IF(B236&lt;=Hypothèses!$C$15,Hypothèses!$A$15,IF(B236&lt;=Hypothèses!$C$16,Hypothèses!$A$16,IF(B236&lt;=Hypothèses!$C$17,Hypothèses!$A$17,IF(B236&lt;=Hypothèses!$C$18,Hypothèses!$A$18,C235))))))))))))</f>
        <v>11</v>
      </c>
      <c r="D236" s="82" t="str">
        <f>IF(B236&lt;=Hypothèses!$C$7,Hypothèses!$R$7,IF(B236&lt;=Hypothèses!$C$8,Hypothèses!$R$8,IF(B236&lt;=Hypothèses!$C$9,Hypothèses!$R$9,IF(B236&lt;=Hypothèses!$C$10,Hypothèses!$R$10,IF(B236&lt;=Hypothèses!$C$11,Hypothèses!$R$11,IF(B236&lt;=Hypothèses!$C$12,Hypothèses!$R$12,IF(B236&lt;=Hypothèses!$C$13,Hypothèses!$R$13,IF(B236&lt;=Hypothèses!$C$14,Hypothèses!$R$14,IF(B236&lt;=Hypothèses!$C$15,Hypothèses!$R$15,IF(B236&lt;=Hypothèses!$C$16,Hypothèses!$R$16,IF(B236&lt;=Hypothèses!$C$17,Hypothèses!$R$17,IF(B236&lt;=Hypothèses!$C$18,Hypothèses!$R$18,D235))))))))))))</f>
        <v>Pressio.</v>
      </c>
      <c r="E236" s="82" t="e">
        <f>IF(B236&lt;=Hypothèses!$C$7,Hypothèses!$G$7,IF(B236&lt;=Hypothèses!$C$8,Hypothèses!$G$8,IF(B236&lt;=Hypothèses!$C$9,Hypothèses!$G$9,IF(B236&lt;=Hypothèses!$C$10,Hypothèses!$G$10,IF(B236&lt;=Hypothèses!$C$11,Hypothèses!$G$11,IF(B236&lt;=Hypothèses!$C$12,Hypothèses!$G$12,IF(B236&lt;=Hypothèses!$C$13,Hypothèses!$G$13,IF(B236&lt;=Hypothèses!$C$14,Hypothèses!$G$14,IF(B236&lt;=Hypothèses!$C$15,Hypothèses!$G$15,IF(B236&lt;=Hypothèses!$C$16,Hypothèses!$G$16,IF(B236&lt;=Hypothèses!$C$17,Hypothèses!$G$17,IF(B236&lt;=Hypothèses!$C$18,Hypothèses!$G$18,E235))))))))))))</f>
        <v>#N/A</v>
      </c>
      <c r="F236" s="82" t="str">
        <f>IF(B236&lt;=Hypothèses!$C$7,Hypothèses!$F$7,IF(B236&lt;=Hypothèses!$C$8,Hypothèses!$F$8,IF(B236&lt;=Hypothèses!$C$9,Hypothèses!$F$9,IF(B236&lt;=Hypothèses!$C$10,Hypothèses!$F$10,IF(B236&lt;=Hypothèses!$C$11,Hypothèses!$F$11,IF(B236&lt;=Hypothèses!$C$12,Hypothèses!$F$12,IF(B236&lt;=Hypothèses!$C$13,Hypothèses!$F$13,IF(B236&lt;=Hypothèses!$C$14,Hypothèses!$F$14,IF(B236&lt;=Hypothèses!$C$15,Hypothèses!$F$15,IF(B236&lt;=Hypothèses!$C$16,Hypothèses!$F$16,IF(B236&lt;=Hypothèses!$C$17,Hypothèses!$F$17,IF(B236&lt;=Hypothèses!$C$18,Hypothèses!$F$18,F235))))))))))))</f>
        <v/>
      </c>
      <c r="G236" s="91">
        <f t="array" ref="G236">INDEX('Coeff EC7'!$U$7:$X$27,
MATCH(Model0.1C!$B$3,'Coeff EC7'!$T$7:$T$27,0),
MATCH(Model0.1C!$D236&amp;Model0.1C!$B$4,
'Coeff EC7'!$U$6:$X$6&amp;
'Coeff EC7'!$U$5:$X$5,0))</f>
        <v>1.1499999999999999</v>
      </c>
      <c r="H236" s="91">
        <f t="array" ref="H236">INDEX('Coeff EC7'!$Y$7:$AB$27,
MATCH(Model0.1C!$B$3,'Coeff EC7'!$T$7:$T$27,0),
MATCH(Model0.1C!$D236&amp;Model0.1C!$B$4,
'Coeff EC7'!$Y$6:$AB$6&amp;
'Coeff EC7'!$Y$5:$AB$5,0))</f>
        <v>1.4</v>
      </c>
      <c r="I236" s="83" t="e">
        <f>IF(B236&lt;=Hypothèses!$C$7,Hypothèses!$P$7,IF(B236&lt;=Hypothèses!$C$8,Hypothèses!$P$8,IF(B236&lt;=Hypothèses!$C$9,Hypothèses!$P$9,IF(B236&lt;=Hypothèses!$C$10,Hypothèses!$P$10,IF(B236&lt;=Hypothèses!$C$11,Hypothèses!$P$11,IF(B236&lt;=Hypothèses!$C$12,Hypothèses!$P$12,IF(B236&lt;=Hypothèses!$C$13,Hypothèses!$P$13,IF(B236&lt;=Hypothèses!$C$14,Hypothèses!$P$14,IF(B236&lt;=Hypothèses!$C$15,Hypothèses!$P$15,IF(B236&lt;=Hypothèses!$C$16,Hypothèses!$P$16,IF(B236&lt;=Hypothèses!$C$17,Hypothèses!$P$17,IF(B236&lt;=Hypothèses!$C$18,Hypothèses!$P$18,I235))))))))))))</f>
        <v>#N/A</v>
      </c>
      <c r="J236" s="91" t="e">
        <f t="array" ref="J236">INDEX('Coeff EC7'!$D$33:$Q$33,1,MATCH(D236&amp;E236,'Coeff EC7'!$D$31:$Q$31&amp;'Coeff EC7'!$D$32:$Q$32,0))</f>
        <v>#N/A</v>
      </c>
      <c r="K236" s="91" t="e">
        <f t="array" ref="K236">INDEX('Coeff EC7'!$D$34:$Q$34,1,MATCH(D236&amp;E236,'Coeff EC7'!$D$31:$Q$31&amp;'Coeff EC7'!$D$32:$Q$32,0))</f>
        <v>#N/A</v>
      </c>
      <c r="L236" s="91" t="e">
        <f t="array" ref="L236">INDEX('Coeff EC7'!$D$35:$Q$35,1,MATCH(D236&amp;E236,'Coeff EC7'!$D$31:$Q$31&amp;'Coeff EC7'!$D$32:$Q$32,0))</f>
        <v>#N/A</v>
      </c>
      <c r="M236" s="98" t="e">
        <f t="shared" si="331"/>
        <v>#N/A</v>
      </c>
      <c r="N236" s="99" t="e">
        <f t="array" ref="N236">INDEX('Coeff EC7'!$D$7:$Q$27,MATCH($B$3,'Coeff EC7'!$C$7:$C$27,0),MATCH(D236&amp;E236,'Coeff EC7'!$D$5:$Q$5&amp;'Coeff EC7'!$D$6:$Q$6,0))</f>
        <v>#N/A</v>
      </c>
      <c r="O236" s="99" t="e">
        <f t="array" ref="O236">INDEX('Coeff EC7'!$D$41:$Q$61,MATCH($B$3,'Coeff EC7'!$C$41:$C$61,0),MATCH(D236&amp;E236,'Coeff EC7'!$D$39:$Q$39&amp;'Coeff EC7'!$D$40:$Q$40,0))</f>
        <v>#N/A</v>
      </c>
      <c r="P236" s="30" t="e">
        <f t="shared" si="368"/>
        <v>#N/A</v>
      </c>
      <c r="Q236" s="100" t="e">
        <f t="shared" si="333"/>
        <v>#N/A</v>
      </c>
      <c r="R236" s="86" t="b">
        <f t="shared" si="334"/>
        <v>0</v>
      </c>
      <c r="S236" s="86">
        <f t="shared" si="332"/>
        <v>0.5</v>
      </c>
      <c r="T236" s="86">
        <f t="shared" si="335"/>
        <v>0.5</v>
      </c>
      <c r="U236" s="30" t="e">
        <f t="shared" ca="1" si="369"/>
        <v>#DIV/0!</v>
      </c>
      <c r="V236" s="85" t="str">
        <f>IF(B236&lt;=Hypothèses!$V$7,Hypothèses!$W$7,IF(B236&lt;=Hypothèses!$V$8,Hypothèses!$W$8,IF(B236&lt;=Hypothèses!$V$9,Hypothèses!$W$9,IF(B236&lt;=Hypothèses!$V$10,Hypothèses!$W$10,IF(B236&lt;=Hypothèses!$V$11,Hypothèses!$W$11,IF(B236&lt;=Hypothèses!$V$12,Hypothèses!$W$12,IF(B236&lt;=Hypothèses!$V$13,Hypothèses!$W$13,IF(B236&lt;=Hypothèses!$V$14,Hypothèses!$W$14,IF(B236&lt;=Hypothèses!$V$15,Hypothèses!$W$15,IF(B236&lt;=Hypothèses!$V$16,Hypothèses!$W$16,IF(B236&lt;=Hypothèses!$V$17,Hypothèses!$W$17,IF(B236&lt;=Hypothèses!$V$18,Hypothèses!$W$18,""))))))))))))</f>
        <v/>
      </c>
      <c r="W236" s="87" t="e">
        <f t="shared" ca="1" si="416"/>
        <v>#DIV/0!</v>
      </c>
      <c r="X236" s="88" t="str">
        <f>IF(B236&lt;=Hypothèses!$V$7,Hypothèses!$X$7,IF(B236&lt;=Hypothèses!$V$8,Hypothèses!$X$8,IF(B236&lt;=Hypothèses!$V$9,Hypothèses!$X$9,IF(B236&lt;=Hypothèses!$V$10,Hypothèses!$X$10,IF(B236&lt;=Hypothèses!$V$11,Hypothèses!$X$11,IF(B236&lt;=Hypothèses!$V$12,Hypothèses!$X$12,IF(B236&lt;=Hypothèses!$V$13,Hypothèses!$X$13,IF(B236&lt;=Hypothèses!$V$14,Hypothèses!$X$14,IF(B236&lt;=Hypothèses!$V$15,Hypothèses!$X$15,IF(B236&lt;=Hypothèses!$V$16,Hypothèses!$X$16,IF(B236&lt;=Hypothèses!$U$17,Hypothèses!$W$17,IF(B236&lt;=Hypothèses!$U$18,Hypothèses!$W$18,""))))))))))))</f>
        <v/>
      </c>
      <c r="Y236" s="95" t="e">
        <f t="shared" ca="1" si="336"/>
        <v>#DIV/0!</v>
      </c>
      <c r="Z236" s="101" t="e">
        <f t="shared" si="337"/>
        <v>#N/A</v>
      </c>
      <c r="AA236" s="91" t="e">
        <f t="shared" si="338"/>
        <v>#N/A</v>
      </c>
      <c r="AB236" s="30" t="e">
        <f t="shared" si="400"/>
        <v>#N/A</v>
      </c>
      <c r="AC236" s="30" t="e">
        <f t="shared" si="401"/>
        <v>#N/A</v>
      </c>
      <c r="AD236" s="31" t="e">
        <f>IF(OR(Hypothèses!$B$4=17,Hypothèses!$B$4=18,Hypothèses!$B$4=19,Hypothèses!$B$4=20),
IF($D236="Pressio.",
IF(OR($E236=3,$E236=1,$E236=4),AC236,AB236),
IF($D236="Pénétro.",
IF(OR($E236=3,$E236=1,$E236=4),AC236,AB236))),IF($D236="Pressio.",
IF($E236=3,AC236,AB236),
IF($D236="Pénétro.",
IF($E236=4,AC236,AB236))))</f>
        <v>#N/A</v>
      </c>
      <c r="AE236" s="31" t="e">
        <f>(IF(OR(Hypothèses!$B$4=17,Hypothèses!$B$4=18,Hypothèses!$B$4=19,Hypothèses!$B$4=20),
IF($D236="Pressio.",
IF(OR($E236=3,$E236=1,$E236=4),(PI()*AE$12^2)/4*(AA236*$W236*1000)/($H236*$B$5),(PI()*AE$12^2)/4*(AA236*$W236*1000)/($G236*$B$5)),
IF($D236="Pénétro.",
IF(OR($E236=4,$E236=1,$E236=5),(PI()*AE$12^2)/4*(AA236*$W236*1000)/($H236*$B$5),(PI()*AE$12^2)/4*(AA236*$W236*1000)/($G236*$B$5)))),
IF($D236="Pressio.",
IF($E236=3,(PI()*AE$12^2)/4*(AA236*$W236*1000)/($H236*$B$5),(PI()*AE$12^2)/4*(AA236*$W236*1000)/($G236*$B$5)),
IF($D236="Pénétro.",
IF($E236=4,(PI()*AE$12^2)/4*(AA236*$W236*1000)/($H236*$B$5),(PI()*AE$12^2)/4*(AA236*$W236*1000)/($G236*$B$5))))))/10</f>
        <v>#N/A</v>
      </c>
      <c r="AF236" s="102" t="e">
        <f>(VLOOKUP($B$3,'Coeff EC7'!$T$39:$X$59,2,0)*AD236+VLOOKUP($B$3,'Coeff EC7'!$T$65:$X$85,2,0)*Model0.1C!AE236)/1.1</f>
        <v>#N/A</v>
      </c>
      <c r="AG236" s="102" t="e">
        <f>(VLOOKUP($B$3,'Coeff EC7'!$T$39:$X$59,3,0)*AD236+VLOOKUP($B$3,'Coeff EC7'!$T$65:$X$85,3,0)*Model0.1C!AE236)/0.9</f>
        <v>#N/A</v>
      </c>
      <c r="AH236" s="102" t="e">
        <f t="shared" si="339"/>
        <v>#N/A</v>
      </c>
      <c r="AI236" s="102" t="e">
        <f t="shared" si="340"/>
        <v>#N/A</v>
      </c>
      <c r="AJ236" s="414" t="e">
        <f>IF(AJ235=0,0,IF(AND(AF236&gt;charge_ELS_quasi,AG236&gt;Charge_ELS_freq,AH236&gt;charge_ELU,AI236&gt;charge_ELA,$B236&gt;NDC!$H$22-0.1+MIN(3*$AJ$12,1.5)),0,1))</f>
        <v>#N/A</v>
      </c>
      <c r="AK236" s="86" t="b">
        <f t="shared" si="341"/>
        <v>0</v>
      </c>
      <c r="AL236" s="86">
        <f t="shared" si="370"/>
        <v>0.5</v>
      </c>
      <c r="AM236" s="86">
        <f t="shared" si="342"/>
        <v>0.5</v>
      </c>
      <c r="AN236" s="30" t="e">
        <f t="shared" ca="1" si="371"/>
        <v>#DIV/0!</v>
      </c>
      <c r="AO236" s="85" t="e">
        <f ca="1">IF(U236&lt;=Hypothèses!$V$7,Hypothèses!$W$7,IF(U236&lt;=Hypothèses!$V$8,Hypothèses!$W$8,IF(U236&lt;=Hypothèses!$V$9,Hypothèses!$W$9,IF(U236&lt;=Hypothèses!$V$10,Hypothèses!$W$10,IF(U236&lt;=Hypothèses!$V$11,Hypothèses!$W$11,IF(U236&lt;=Hypothèses!$V$12,Hypothèses!$W$12,IF(U236&lt;=Hypothèses!$V$13,Hypothèses!$W$13,IF(U236&lt;=Hypothèses!$V$14,Hypothèses!$W$14,IF(U236&lt;=Hypothèses!$V$15,Hypothèses!$W$15,IF(U236&lt;=Hypothèses!$V$16,Hypothèses!$W$16,IF(U236&lt;=Hypothèses!$V$17,Hypothèses!$W$17,IF(U236&lt;=Hypothèses!$V$18,Hypothèses!$W$18,""))))))))))))</f>
        <v>#DIV/0!</v>
      </c>
      <c r="AP236" s="87" t="e">
        <f t="shared" ca="1" si="417"/>
        <v>#DIV/0!</v>
      </c>
      <c r="AQ236" s="88" t="e">
        <f ca="1">IF(U236&lt;=Hypothèses!$V$7,Hypothèses!$X$7,IF(U236&lt;=Hypothèses!$V$8,Hypothèses!$X$8,IF(U236&lt;=Hypothèses!$V$9,Hypothèses!$X$9,IF(U236&lt;=Hypothèses!$V$10,Hypothèses!$X$10,IF(U236&lt;=Hypothèses!$V$11,Hypothèses!$X$11,IF(U236&lt;=Hypothèses!$V$12,Hypothèses!$X$12,IF(U236&lt;=Hypothèses!$V$13,Hypothèses!$X$13,IF(U236&lt;=Hypothèses!$V$14,Hypothèses!$X$14,IF(U236&lt;=Hypothèses!$V$15,Hypothèses!$X$15,IF(U236&lt;=Hypothèses!$V$16,Hypothèses!$X$16,IF(U236&lt;=Hypothèses!$U$17,Hypothèses!$W$17,IF(U236&lt;=Hypothèses!$U$18,Hypothèses!$W$18,""))))))))))))</f>
        <v>#DIV/0!</v>
      </c>
      <c r="AR236" s="95" t="e">
        <f t="shared" ca="1" si="372"/>
        <v>#DIV/0!</v>
      </c>
      <c r="AS236" s="101" t="e">
        <f t="shared" si="424"/>
        <v>#N/A</v>
      </c>
      <c r="AT236" s="91" t="e">
        <f t="shared" si="343"/>
        <v>#N/A</v>
      </c>
      <c r="AU236" s="30" t="e">
        <f t="shared" si="402"/>
        <v>#N/A</v>
      </c>
      <c r="AV236" s="30" t="e">
        <f t="shared" si="403"/>
        <v>#N/A</v>
      </c>
      <c r="AW236" s="31" t="e">
        <f>IF(OR(Hypothèses!$B$4=17,Hypothèses!$B$4=18,Hypothèses!$B$4=19,Hypothèses!$B$4=20),
IF($D236="Pressio.",
IF(OR($E236=3,$E236=1,$E236=4),AV236,AU236),
IF($D236="Pénétro.",
IF(OR($E236=3,$E236=1,$E236=4),AV236,AU236))),IF($D236="Pressio.",
IF($E236=3,AV236,AU236),
IF($D236="Pénétro.",
IF($E236=4,AV236,AU236))))</f>
        <v>#N/A</v>
      </c>
      <c r="AX236" s="31" t="e">
        <f>(IF(OR(Hypothèses!$B$4=17,Hypothèses!$B$4=18,Hypothèses!$B$4=19,Hypothèses!$B$4=20),
IF($D236="Pressio.",
IF(OR($E236=3,$E236=1,$E236=4),(PI()*AX$12^2)/4*(AT236*$W236*1000)/($H236*$B$5),(PI()*AX$12^2)/4*(AT236*$W236*1000)/($G236*$B$5)),
IF($D236="Pénétro.",
IF(OR($E236=4,$E236=1,$E236=5),(PI()*AX$12^2)/4*(AT236*$W236*1000)/($H236*$B$5),(PI()*AX$12^2)/4*(AT236*$W236*1000)/($G236*$B$5)))),
IF($D236="Pressio.",
IF($E236=3,(PI()*AX$12^2)/4*(AT236*$W236*1000)/($H236*$B$5),(PI()*AX$12^2)/4*(AT236*$W236*1000)/($G236*$B$5)),
IF($D236="Pénétro.",
IF($E236=4,(PI()*AX$12^2)/4*(AT236*$W236*1000)/($H236*$B$5),(PI()*AX$12^2)/4*(AT236*$W236*1000)/($G236*$B$5))))))/10</f>
        <v>#N/A</v>
      </c>
      <c r="AY236" s="102" t="e">
        <f>(VLOOKUP($B$3,'Coeff EC7'!$T$39:$X$59,2,0)*AW236+VLOOKUP($B$3,'Coeff EC7'!$T$65:$X$85,2,0)*Model0.1C!AX236)/1.1</f>
        <v>#N/A</v>
      </c>
      <c r="AZ236" s="102" t="e">
        <f>(VLOOKUP($B$3,'Coeff EC7'!$T$39:$X$59,3,0)*AW236+VLOOKUP($B$3,'Coeff EC7'!$T$65:$X$85,3,0)*Model0.1C!AX236)/0.9</f>
        <v>#N/A</v>
      </c>
      <c r="BA236" s="102" t="e">
        <f t="shared" si="373"/>
        <v>#N/A</v>
      </c>
      <c r="BB236" s="102" t="e">
        <f t="shared" si="374"/>
        <v>#N/A</v>
      </c>
      <c r="BC236" s="414" t="e">
        <f>IF(BC235=0,0,IF(AND(AY236&gt;charge_ELS_quasi,AZ236&gt;Charge_ELS_freq,BA236&gt;charge_ELU,BB236&gt;charge_ELA,$B236&gt;NDC!$H$22-0.1+MIN(3*$BC$12,1.5)),0,1))</f>
        <v>#N/A</v>
      </c>
      <c r="BD236" s="86" t="b">
        <f t="shared" si="344"/>
        <v>0</v>
      </c>
      <c r="BE236" s="86">
        <f t="shared" si="375"/>
        <v>0.5</v>
      </c>
      <c r="BF236" s="86">
        <f t="shared" si="345"/>
        <v>0.5</v>
      </c>
      <c r="BG236" s="30" t="e">
        <f t="shared" ca="1" si="376"/>
        <v>#DIV/0!</v>
      </c>
      <c r="BH236" s="85" t="e">
        <f ca="1">IF(AN236&lt;=Hypothèses!$V$7,Hypothèses!$W$7,IF(AN236&lt;=Hypothèses!$V$8,Hypothèses!$W$8,IF(AN236&lt;=Hypothèses!$V$9,Hypothèses!$W$9,IF(AN236&lt;=Hypothèses!$V$10,Hypothèses!$W$10,IF(AN236&lt;=Hypothèses!$V$11,Hypothèses!$W$11,IF(AN236&lt;=Hypothèses!$V$12,Hypothèses!$W$12,IF(AN236&lt;=Hypothèses!$V$13,Hypothèses!$W$13,IF(AN236&lt;=Hypothèses!$V$14,Hypothèses!$W$14,IF(AN236&lt;=Hypothèses!$V$15,Hypothèses!$W$15,IF(AN236&lt;=Hypothèses!$V$16,Hypothèses!$W$16,IF(AN236&lt;=Hypothèses!$V$17,Hypothèses!$W$17,IF(AN236&lt;=Hypothèses!$V$18,Hypothèses!$W$18,""))))))))))))</f>
        <v>#DIV/0!</v>
      </c>
      <c r="BI236" s="87" t="e">
        <f t="shared" ca="1" si="418"/>
        <v>#DIV/0!</v>
      </c>
      <c r="BJ236" s="88" t="e">
        <f ca="1">IF(AN236&lt;=Hypothèses!$V$7,Hypothèses!$X$7,IF(AN236&lt;=Hypothèses!$V$8,Hypothèses!$X$8,IF(AN236&lt;=Hypothèses!$V$9,Hypothèses!$X$9,IF(AN236&lt;=Hypothèses!$V$10,Hypothèses!$X$10,IF(AN236&lt;=Hypothèses!$V$11,Hypothèses!$X$11,IF(AN236&lt;=Hypothèses!$V$12,Hypothèses!$X$12,IF(AN236&lt;=Hypothèses!$V$13,Hypothèses!$X$13,IF(AN236&lt;=Hypothèses!$V$14,Hypothèses!$X$14,IF(AN236&lt;=Hypothèses!$V$15,Hypothèses!$X$15,IF(AN236&lt;=Hypothèses!$V$16,Hypothèses!$X$16,IF(AN236&lt;=Hypothèses!$U$17,Hypothèses!$W$17,IF(AN236&lt;=Hypothèses!$U$18,Hypothèses!$W$18,""))))))))))))</f>
        <v>#DIV/0!</v>
      </c>
      <c r="BK236" s="95" t="e">
        <f t="shared" ca="1" si="377"/>
        <v>#DIV/0!</v>
      </c>
      <c r="BL236" s="101" t="e">
        <f t="shared" si="425"/>
        <v>#N/A</v>
      </c>
      <c r="BM236" s="91" t="e">
        <f t="shared" si="346"/>
        <v>#N/A</v>
      </c>
      <c r="BN236" s="30" t="e">
        <f t="shared" si="404"/>
        <v>#N/A</v>
      </c>
      <c r="BO236" s="30" t="e">
        <f t="shared" si="405"/>
        <v>#N/A</v>
      </c>
      <c r="BP236" s="31" t="e">
        <f>IF(OR(Hypothèses!$B$4=17,Hypothèses!$B$4=18,Hypothèses!$B$4=19,Hypothèses!$B$4=20),
IF($D236="Pressio.",
IF(OR($E236=3,$E236=1,$E236=4),BO236,BN236),
IF($D236="Pénétro.",
IF(OR($E236=3,$E236=1,$E236=4),BO236,BN236))),IF($D236="Pressio.",
IF($E236=3,BO236,BN236),
IF($D236="Pénétro.",
IF($E236=4,BO236,BN236))))</f>
        <v>#N/A</v>
      </c>
      <c r="BQ236" s="31" t="e">
        <f>(IF(OR(Hypothèses!$B$4=17,Hypothèses!$B$4=18,Hypothèses!$B$4=19,Hypothèses!$B$4=20),
IF($D236="Pressio.",
IF(OR($E236=3,$E236=1,$E236=4),(PI()*BQ$12^2)/4*(BM236*$W236*1000)/($H236*$B$5),(PI()*BQ$12^2)/4*(BM236*$W236*1000)/($G236*$B$5)),
IF($D236="Pénétro.",
IF(OR($E236=4,$E236=1,$E236=5),(PI()*BQ$12^2)/4*(BM236*$W236*1000)/($H236*$B$5),(PI()*BQ$12^2)/4*(BM236*$W236*1000)/($G236*$B$5)))),
IF($D236="Pressio.",
IF($E236=3,(PI()*BQ$12^2)/4*(BM236*$W236*1000)/($H236*$B$5),(PI()*BQ$12^2)/4*(BM236*$W236*1000)/($G236*$B$5)),
IF($D236="Pénétro.",
IF($E236=4,(PI()*BQ$12^2)/4*(BM236*$W236*1000)/($H236*$B$5),(PI()*BQ$12^2)/4*(BM236*$W236*1000)/($G236*$B$5))))))/10</f>
        <v>#N/A</v>
      </c>
      <c r="BR236" s="102" t="e">
        <f>(VLOOKUP($B$3,'Coeff EC7'!$T$39:$X$59,2,0)*BP236+VLOOKUP($B$3,'Coeff EC7'!$T$65:$X$85,2,0)*Model0.1C!BQ236)/1.1</f>
        <v>#N/A</v>
      </c>
      <c r="BS236" s="102" t="e">
        <f>(VLOOKUP($B$3,'Coeff EC7'!$T$39:$X$59,3,0)*BP236+VLOOKUP($B$3,'Coeff EC7'!$T$65:$X$85,3,0)*Model0.1C!BQ236)/0.9</f>
        <v>#N/A</v>
      </c>
      <c r="BT236" s="102" t="e">
        <f t="shared" si="378"/>
        <v>#N/A</v>
      </c>
      <c r="BU236" s="102" t="e">
        <f t="shared" si="379"/>
        <v>#N/A</v>
      </c>
      <c r="BV236" s="414" t="e">
        <f>IF(BV235=0,0,IF(AND(BR236&gt;charge_ELS_quasi,BS236&gt;Charge_ELS_freq,BT236&gt;charge_ELU,BU236&gt;charge_ELA,$B236&gt;NDC!$H$22-0.1+MIN(3*$BV$12,1.5)),0,1))</f>
        <v>#N/A</v>
      </c>
      <c r="BW236" s="86" t="b">
        <f t="shared" si="347"/>
        <v>0</v>
      </c>
      <c r="BX236" s="86">
        <f t="shared" si="348"/>
        <v>0.5</v>
      </c>
      <c r="BY236" s="86">
        <f t="shared" si="349"/>
        <v>0.5</v>
      </c>
      <c r="BZ236" s="30" t="e">
        <f t="shared" ca="1" si="380"/>
        <v>#DIV/0!</v>
      </c>
      <c r="CA236" s="85" t="e">
        <f ca="1">IF(BG236&lt;=Hypothèses!$V$7,Hypothèses!$W$7,IF(BG236&lt;=Hypothèses!$V$8,Hypothèses!$W$8,IF(BG236&lt;=Hypothèses!$V$9,Hypothèses!$W$9,IF(BG236&lt;=Hypothèses!$V$10,Hypothèses!$W$10,IF(BG236&lt;=Hypothèses!$V$11,Hypothèses!$W$11,IF(BG236&lt;=Hypothèses!$V$12,Hypothèses!$W$12,IF(BG236&lt;=Hypothèses!$V$13,Hypothèses!$W$13,IF(BG236&lt;=Hypothèses!$V$14,Hypothèses!$W$14,IF(BG236&lt;=Hypothèses!$V$15,Hypothèses!$W$15,IF(BG236&lt;=Hypothèses!$V$16,Hypothèses!$W$16,IF(BG236&lt;=Hypothèses!$V$17,Hypothèses!$W$17,IF(BG236&lt;=Hypothèses!$V$18,Hypothèses!$W$18,""))))))))))))</f>
        <v>#DIV/0!</v>
      </c>
      <c r="CB236" s="87" t="e">
        <f t="shared" ca="1" si="419"/>
        <v>#DIV/0!</v>
      </c>
      <c r="CC236" s="88" t="e">
        <f ca="1">IF(BG236&lt;=Hypothèses!$V$7,Hypothèses!$X$7,IF(BG236&lt;=Hypothèses!$V$8,Hypothèses!$X$8,IF(BG236&lt;=Hypothèses!$V$9,Hypothèses!$X$9,IF(BG236&lt;=Hypothèses!$V$10,Hypothèses!$X$10,IF(BG236&lt;=Hypothèses!$V$11,Hypothèses!$X$11,IF(BG236&lt;=Hypothèses!$V$12,Hypothèses!$X$12,IF(BG236&lt;=Hypothèses!$V$13,Hypothèses!$X$13,IF(BG236&lt;=Hypothèses!$V$14,Hypothèses!$X$14,IF(BG236&lt;=Hypothèses!$V$15,Hypothèses!$X$15,IF(BG236&lt;=Hypothèses!$V$16,Hypothèses!$X$16,IF(BG236&lt;=Hypothèses!$U$17,Hypothèses!$W$17,IF(BG236&lt;=Hypothèses!$U$18,Hypothèses!$W$18,""))))))))))))</f>
        <v>#DIV/0!</v>
      </c>
      <c r="CD236" s="95" t="e">
        <f t="shared" ca="1" si="381"/>
        <v>#DIV/0!</v>
      </c>
      <c r="CE236" s="101" t="e">
        <f t="shared" si="426"/>
        <v>#N/A</v>
      </c>
      <c r="CF236" s="91" t="e">
        <f t="shared" si="350"/>
        <v>#N/A</v>
      </c>
      <c r="CG236" s="30" t="e">
        <f t="shared" si="406"/>
        <v>#N/A</v>
      </c>
      <c r="CH236" s="30" t="e">
        <f t="shared" si="407"/>
        <v>#N/A</v>
      </c>
      <c r="CI236" s="31" t="e">
        <f>IF(OR(Hypothèses!$B$4=17,Hypothèses!$B$4=18,Hypothèses!$B$4=19,Hypothèses!$B$4=20),
IF($D236="Pressio.",
IF(OR($E236=3,$E236=1,$E236=4),CH236,CG236),
IF($D236="Pénétro.",
IF(OR($E236=3,$E236=1,$E236=4),CH236,CG236))),IF($D236="Pressio.",
IF($E236=3,CH236,CG236),
IF($D236="Pénétro.",
IF($E236=4,CH236,CG236))))</f>
        <v>#N/A</v>
      </c>
      <c r="CJ236" s="31" t="e">
        <f>(IF(OR(Hypothèses!$B$4=17,Hypothèses!$B$4=18,Hypothèses!$B$4=19,Hypothèses!$B$4=20),
IF($D236="Pressio.",
IF(OR($E236=3,$E236=1,$E236=4),(PI()*CJ$12^2)/4*(CF236*$W236*1000)/($H236*$B$5),(PI()*CJ$12^2)/4*(CF236*$W236*1000)/($G236*$B$5)),
IF($D236="Pénétro.",
IF(OR($E236=4,$E236=1,$E236=5),(PI()*CJ$12^2)/4*(CF236*$W236*1000)/($H236*$B$5),(PI()*CJ$12^2)/4*(CF236*$W236*1000)/($G236*$B$5)))),
IF($D236="Pressio.",
IF($E236=3,(PI()*CJ$12^2)/4*(CF236*$W236*1000)/($H236*$B$5),(PI()*CJ$12^2)/4*(CF236*$W236*1000)/($G236*$B$5)),
IF($D236="Pénétro.",
IF($E236=4,(PI()*CJ$12^2)/4*(CF236*$W236*1000)/($H236*$B$5),(PI()*CJ$12^2)/4*(CF236*$W236*1000)/($G236*$B$5))))))/10</f>
        <v>#N/A</v>
      </c>
      <c r="CK236" s="102" t="e">
        <f>(VLOOKUP($B$3,'Coeff EC7'!$T$39:$X$59,2,0)*CI236+VLOOKUP($B$3,'Coeff EC7'!$T$65:$X$85,2,0)*Model0.1C!CJ236)/1.1</f>
        <v>#N/A</v>
      </c>
      <c r="CL236" s="102" t="e">
        <f>(VLOOKUP($B$3,'Coeff EC7'!$T$39:$X$59,3,0)*CI236+VLOOKUP($B$3,'Coeff EC7'!$T$65:$X$85,3,0)*Model0.1C!CJ236)/0.9</f>
        <v>#N/A</v>
      </c>
      <c r="CM236" s="102" t="e">
        <f t="shared" si="382"/>
        <v>#N/A</v>
      </c>
      <c r="CN236" s="102" t="e">
        <f t="shared" si="383"/>
        <v>#N/A</v>
      </c>
      <c r="CO236" s="414" t="e">
        <f>IF(CO235=0,0,IF(AND(CK236&gt;charge_ELS_quasi,CL236&gt;Charge_ELS_freq,CM236&gt;charge_ELU,CN236&gt;charge_ELA,$B236&gt;NDC!$H$22-0.1+MIN(3*$CO$12,1.5)),0,1))</f>
        <v>#N/A</v>
      </c>
      <c r="CP236" s="86" t="b">
        <f t="shared" si="351"/>
        <v>0</v>
      </c>
      <c r="CQ236" s="86">
        <f t="shared" si="352"/>
        <v>0.5</v>
      </c>
      <c r="CR236" s="86">
        <f t="shared" si="353"/>
        <v>0.5</v>
      </c>
      <c r="CS236" s="30" t="e">
        <f t="shared" ca="1" si="384"/>
        <v>#DIV/0!</v>
      </c>
      <c r="CT236" s="85" t="e">
        <f ca="1">IF(BZ236&lt;=Hypothèses!$V$7,Hypothèses!$W$7,IF(BZ236&lt;=Hypothèses!$V$8,Hypothèses!$W$8,IF(BZ236&lt;=Hypothèses!$V$9,Hypothèses!$W$9,IF(BZ236&lt;=Hypothèses!$V$10,Hypothèses!$W$10,IF(BZ236&lt;=Hypothèses!$V$11,Hypothèses!$W$11,IF(BZ236&lt;=Hypothèses!$V$12,Hypothèses!$W$12,IF(BZ236&lt;=Hypothèses!$V$13,Hypothèses!$W$13,IF(BZ236&lt;=Hypothèses!$V$14,Hypothèses!$W$14,IF(BZ236&lt;=Hypothèses!$V$15,Hypothèses!$W$15,IF(BZ236&lt;=Hypothèses!$V$16,Hypothèses!$W$16,IF(BZ236&lt;=Hypothèses!$V$17,Hypothèses!$W$17,IF(BZ236&lt;=Hypothèses!$V$18,Hypothèses!$W$18,""))))))))))))</f>
        <v>#DIV/0!</v>
      </c>
      <c r="CU236" s="87" t="e">
        <f t="shared" ca="1" si="420"/>
        <v>#DIV/0!</v>
      </c>
      <c r="CV236" s="88" t="e">
        <f ca="1">IF(BZ236&lt;=Hypothèses!$V$7,Hypothèses!$X$7,IF(BZ236&lt;=Hypothèses!$V$8,Hypothèses!$X$8,IF(BZ236&lt;=Hypothèses!$V$9,Hypothèses!$X$9,IF(BZ236&lt;=Hypothèses!$V$10,Hypothèses!$X$10,IF(BZ236&lt;=Hypothèses!$V$11,Hypothèses!$X$11,IF(BZ236&lt;=Hypothèses!$V$12,Hypothèses!$X$12,IF(BZ236&lt;=Hypothèses!$V$13,Hypothèses!$X$13,IF(BZ236&lt;=Hypothèses!$V$14,Hypothèses!$X$14,IF(BZ236&lt;=Hypothèses!$V$15,Hypothèses!$X$15,IF(BZ236&lt;=Hypothèses!$V$16,Hypothèses!$X$16,IF(BZ236&lt;=Hypothèses!$U$17,Hypothèses!$W$17,IF(BZ236&lt;=Hypothèses!$U$18,Hypothèses!$W$18,""))))))))))))</f>
        <v>#DIV/0!</v>
      </c>
      <c r="CW236" s="95" t="e">
        <f t="shared" ca="1" si="385"/>
        <v>#DIV/0!</v>
      </c>
      <c r="CX236" s="101" t="e">
        <f t="shared" si="427"/>
        <v>#N/A</v>
      </c>
      <c r="CY236" s="91" t="e">
        <f t="shared" si="354"/>
        <v>#N/A</v>
      </c>
      <c r="CZ236" s="30" t="e">
        <f t="shared" si="408"/>
        <v>#N/A</v>
      </c>
      <c r="DA236" s="30" t="e">
        <f t="shared" si="409"/>
        <v>#N/A</v>
      </c>
      <c r="DB236" s="31" t="e">
        <f>IF(OR(Hypothèses!$B$4=17,Hypothèses!$B$4=18,Hypothèses!$B$4=19,Hypothèses!$B$4=20),
IF($D236="Pressio.",
IF(OR($E236=3,$E236=1,$E236=4),DA236,CZ236),
IF($D236="Pénétro.",
IF(OR($E236=3,$E236=1,$E236=4),DA236,CZ236))),IF($D236="Pressio.",
IF($E236=3,DA236,CZ236),
IF($D236="Pénétro.",
IF($E236=4,DA236,CZ236))))</f>
        <v>#N/A</v>
      </c>
      <c r="DC236" s="31" t="e">
        <f>(IF(OR(Hypothèses!$B$4=17,Hypothèses!$B$4=18,Hypothèses!$B$4=19,Hypothèses!$B$4=20),
IF($D236="Pressio.",
IF(OR($E236=3,$E236=1,$E236=4),(PI()*DC$12^2)/4*(CY236*$W236*1000)/($H236*$B$5),(PI()*DC$12^2)/4*(CY236*$W236*1000)/($G236*$B$5)),
IF($D236="Pénétro.",
IF(OR($E236=4,$E236=1,$E236=5),(PI()*DC$12^2)/4*(CY236*$W236*1000)/($H236*$B$5),(PI()*DC$12^2)/4*(CY236*$W236*1000)/($G236*$B$5)))),
IF($D236="Pressio.",
IF($E236=3,(PI()*DC$12^2)/4*(CY236*$W236*1000)/($H236*$B$5),(PI()*DC$12^2)/4*(CY236*$W236*1000)/($G236*$B$5)),
IF($D236="Pénétro.",
IF($E236=4,(PI()*DC$12^2)/4*(CY236*$W236*1000)/($H236*$B$5),(PI()*DC$12^2)/4*(CY236*$W236*1000)/($G236*$B$5))))))/10</f>
        <v>#N/A</v>
      </c>
      <c r="DD236" s="102" t="e">
        <f>(VLOOKUP($B$3,'Coeff EC7'!$T$39:$X$59,2,0)*DB236+VLOOKUP($B$3,'Coeff EC7'!$T$65:$X$85,2,0)*Model0.1C!DC236)/1.1</f>
        <v>#N/A</v>
      </c>
      <c r="DE236" s="102" t="e">
        <f>(VLOOKUP($B$3,'Coeff EC7'!$T$39:$X$59,3,0)*DB236+VLOOKUP($B$3,'Coeff EC7'!$T$65:$X$85,3,0)*Model0.1C!DC236)/0.9</f>
        <v>#N/A</v>
      </c>
      <c r="DF236" s="102" t="e">
        <f t="shared" si="386"/>
        <v>#N/A</v>
      </c>
      <c r="DG236" s="102" t="e">
        <f t="shared" si="387"/>
        <v>#N/A</v>
      </c>
      <c r="DH236" s="414" t="e">
        <f>IF(DH235=0,0,IF(AND(DD236&gt;charge_ELS_quasi,DE236&gt;Charge_ELS_freq,DF236&gt;charge_ELU,DG236&gt;charge_ELA,$B236&gt;NDC!$H$22-0.1+MIN(3*$DH$12,1.5)),0,1))</f>
        <v>#N/A</v>
      </c>
      <c r="DI236" s="86" t="b">
        <f t="shared" si="355"/>
        <v>0</v>
      </c>
      <c r="DJ236" s="86">
        <f t="shared" si="356"/>
        <v>0.5</v>
      </c>
      <c r="DK236" s="86">
        <f t="shared" si="357"/>
        <v>0.5</v>
      </c>
      <c r="DL236" s="30" t="e">
        <f t="shared" ca="1" si="388"/>
        <v>#DIV/0!</v>
      </c>
      <c r="DM236" s="85" t="e">
        <f ca="1">IF(CS236&lt;=Hypothèses!$V$7,Hypothèses!$W$7,IF(CS236&lt;=Hypothèses!$V$8,Hypothèses!$W$8,IF(CS236&lt;=Hypothèses!$V$9,Hypothèses!$W$9,IF(CS236&lt;=Hypothèses!$V$10,Hypothèses!$W$10,IF(CS236&lt;=Hypothèses!$V$11,Hypothèses!$W$11,IF(CS236&lt;=Hypothèses!$V$12,Hypothèses!$W$12,IF(CS236&lt;=Hypothèses!$V$13,Hypothèses!$W$13,IF(CS236&lt;=Hypothèses!$V$14,Hypothèses!$W$14,IF(CS236&lt;=Hypothèses!$V$15,Hypothèses!$W$15,IF(CS236&lt;=Hypothèses!$V$16,Hypothèses!$W$16,IF(CS236&lt;=Hypothèses!$V$17,Hypothèses!$W$17,IF(CS236&lt;=Hypothèses!$V$18,Hypothèses!$W$18,""))))))))))))</f>
        <v>#DIV/0!</v>
      </c>
      <c r="DN236" s="87" t="e">
        <f t="shared" ca="1" si="421"/>
        <v>#DIV/0!</v>
      </c>
      <c r="DO236" s="88" t="e">
        <f ca="1">IF(CS236&lt;=Hypothèses!$V$7,Hypothèses!$X$7,IF(CS236&lt;=Hypothèses!$V$8,Hypothèses!$X$8,IF(CS236&lt;=Hypothèses!$V$9,Hypothèses!$X$9,IF(CS236&lt;=Hypothèses!$V$10,Hypothèses!$X$10,IF(CS236&lt;=Hypothèses!$V$11,Hypothèses!$X$11,IF(CS236&lt;=Hypothèses!$V$12,Hypothèses!$X$12,IF(CS236&lt;=Hypothèses!$V$13,Hypothèses!$X$13,IF(CS236&lt;=Hypothèses!$V$14,Hypothèses!$X$14,IF(CS236&lt;=Hypothèses!$V$15,Hypothèses!$X$15,IF(CS236&lt;=Hypothèses!$V$16,Hypothèses!$X$16,IF(CS236&lt;=Hypothèses!$U$17,Hypothèses!$W$17,IF(CS236&lt;=Hypothèses!$U$18,Hypothèses!$W$18,""))))))))))))</f>
        <v>#DIV/0!</v>
      </c>
      <c r="DP236" s="95" t="e">
        <f t="shared" ca="1" si="389"/>
        <v>#DIV/0!</v>
      </c>
      <c r="DQ236" s="101" t="e">
        <f t="shared" si="428"/>
        <v>#N/A</v>
      </c>
      <c r="DR236" s="91" t="e">
        <f t="shared" si="358"/>
        <v>#N/A</v>
      </c>
      <c r="DS236" s="30" t="e">
        <f t="shared" si="410"/>
        <v>#N/A</v>
      </c>
      <c r="DT236" s="30" t="e">
        <f t="shared" si="411"/>
        <v>#N/A</v>
      </c>
      <c r="DU236" s="31" t="e">
        <f>IF(OR(Hypothèses!$B$4=17,Hypothèses!$B$4=18,Hypothèses!$B$4=19,Hypothèses!$B$4=20),
IF($D236="Pressio.",
IF(OR($E236=3,$E236=1,$E236=4),DT236,DS236),
IF($D236="Pénétro.",
IF(OR($E236=3,$E236=1,$E236=4),DT236,DS236))),IF($D236="Pressio.",
IF($E236=3,DT236,DS236),
IF($D236="Pénétro.",
IF($E236=4,DT236,DS236))))</f>
        <v>#N/A</v>
      </c>
      <c r="DV236" s="31" t="e">
        <f>(IF(OR(Hypothèses!$B$4=17,Hypothèses!$B$4=18,Hypothèses!$B$4=19,Hypothèses!$B$4=20),
IF($D236="Pressio.",
IF(OR($E236=3,$E236=1,$E236=4),(PI()*DV$12^2)/4*(DR236*$W236*1000)/($H236*$B$5),(PI()*DV$12^2)/4*(DR236*$W236*1000)/($G236*$B$5)),
IF($D236="Pénétro.",
IF(OR($E236=4,$E236=1,$E236=5),(PI()*DV$12^2)/4*(DR236*$W236*1000)/($H236*$B$5),(PI()*DV$12^2)/4*(DR236*$W236*1000)/($G236*$B$5)))),
IF($D236="Pressio.",
IF($E236=3,(PI()*DV$12^2)/4*(DR236*$W236*1000)/($H236*$B$5),(PI()*DV$12^2)/4*(DR236*$W236*1000)/($G236*$B$5)),
IF($D236="Pénétro.",
IF($E236=4,(PI()*DV$12^2)/4*(DR236*$W236*1000)/($H236*$B$5),(PI()*DV$12^2)/4*(DR236*$W236*1000)/($G236*$B$5))))))/10</f>
        <v>#N/A</v>
      </c>
      <c r="DW236" s="102" t="e">
        <f>(VLOOKUP($B$3,'Coeff EC7'!$T$39:$X$59,2,0)*DU236+VLOOKUP($B$3,'Coeff EC7'!$T$65:$X$85,2,0)*Model0.1C!DV236)/1.1</f>
        <v>#N/A</v>
      </c>
      <c r="DX236" s="102" t="e">
        <f>(VLOOKUP($B$3,'Coeff EC7'!$T$39:$X$59,3,0)*DU236+VLOOKUP($B$3,'Coeff EC7'!$T$65:$X$85,3,0)*Model0.1C!DV236)/0.9</f>
        <v>#N/A</v>
      </c>
      <c r="DY236" s="102" t="e">
        <f t="shared" si="390"/>
        <v>#N/A</v>
      </c>
      <c r="DZ236" s="102" t="e">
        <f t="shared" si="391"/>
        <v>#N/A</v>
      </c>
      <c r="EA236" s="414" t="e">
        <f>IF(EA235=0,0,IF(AND(DW236&gt;charge_ELS_quasi,DX236&gt;Charge_ELS_freq,DY236&gt;charge_ELU,DZ236&gt;charge_ELA,$B236&gt;NDC!$H$22-0.1+MIN(3*$EA$12,1.5)),0,1))</f>
        <v>#N/A</v>
      </c>
      <c r="EB236" s="86" t="b">
        <f t="shared" si="359"/>
        <v>0</v>
      </c>
      <c r="EC236" s="418">
        <f t="shared" si="360"/>
        <v>0.51</v>
      </c>
      <c r="ED236" s="86">
        <f t="shared" si="361"/>
        <v>0.51</v>
      </c>
      <c r="EE236" s="30" t="e">
        <f t="shared" ca="1" si="392"/>
        <v>#DIV/0!</v>
      </c>
      <c r="EF236" s="85" t="e">
        <f ca="1">IF(DL236&lt;=Hypothèses!$V$7,Hypothèses!$W$7,IF(DL236&lt;=Hypothèses!$V$8,Hypothèses!$W$8,IF(DL236&lt;=Hypothèses!$V$9,Hypothèses!$W$9,IF(DL236&lt;=Hypothèses!$V$10,Hypothèses!$W$10,IF(DL236&lt;=Hypothèses!$V$11,Hypothèses!$W$11,IF(DL236&lt;=Hypothèses!$V$12,Hypothèses!$W$12,IF(DL236&lt;=Hypothèses!$V$13,Hypothèses!$W$13,IF(DL236&lt;=Hypothèses!$V$14,Hypothèses!$W$14,IF(DL236&lt;=Hypothèses!$V$15,Hypothèses!$W$15,IF(DL236&lt;=Hypothèses!$V$16,Hypothèses!$W$16,IF(DL236&lt;=Hypothèses!$V$17,Hypothèses!$W$17,IF(DL236&lt;=Hypothèses!$V$18,Hypothèses!$W$18,""))))))))))))</f>
        <v>#DIV/0!</v>
      </c>
      <c r="EG236" s="87" t="e">
        <f t="shared" ca="1" si="422"/>
        <v>#DIV/0!</v>
      </c>
      <c r="EH236" s="88" t="e">
        <f ca="1">IF(DL236&lt;=Hypothèses!$V$7,Hypothèses!$X$7,IF(DL236&lt;=Hypothèses!$V$8,Hypothèses!$X$8,IF(DL236&lt;=Hypothèses!$V$9,Hypothèses!$X$9,IF(DL236&lt;=Hypothèses!$V$10,Hypothèses!$X$10,IF(DL236&lt;=Hypothèses!$V$11,Hypothèses!$X$11,IF(DL236&lt;=Hypothèses!$V$12,Hypothèses!$X$12,IF(DL236&lt;=Hypothèses!$V$13,Hypothèses!$X$13,IF(DL236&lt;=Hypothèses!$V$14,Hypothèses!$X$14,IF(DL236&lt;=Hypothèses!$V$15,Hypothèses!$X$15,IF(DL236&lt;=Hypothèses!$V$16,Hypothèses!$X$16,IF(DL236&lt;=Hypothèses!$U$17,Hypothèses!$W$17,IF(DL236&lt;=Hypothèses!$U$18,Hypothèses!$W$18,""))))))))))))</f>
        <v>#DIV/0!</v>
      </c>
      <c r="EI236" s="95" t="e">
        <f t="shared" ca="1" si="393"/>
        <v>#DIV/0!</v>
      </c>
      <c r="EJ236" s="101" t="e">
        <f t="shared" si="429"/>
        <v>#N/A</v>
      </c>
      <c r="EK236" s="91" t="e">
        <f t="shared" si="362"/>
        <v>#N/A</v>
      </c>
      <c r="EL236" s="30" t="e">
        <f t="shared" si="412"/>
        <v>#N/A</v>
      </c>
      <c r="EM236" s="30" t="e">
        <f t="shared" si="413"/>
        <v>#N/A</v>
      </c>
      <c r="EN236" s="31" t="e">
        <f>IF(OR(Hypothèses!$B$4=17,Hypothèses!$B$4=18,Hypothèses!$B$4=19,Hypothèses!$B$4=20),
IF($D236="Pressio.",
IF(OR($E236=3,$E236=1,$E236=4),EM236,EL236),
IF($D236="Pénétro.",
IF(OR($E236=3,$E236=1,$E236=4),EM236,EL236))),IF($D236="Pressio.",
IF($E236=3,EM236,EL236),
IF($D236="Pénétro.",
IF($E236=4,EM236,EL236))))</f>
        <v>#N/A</v>
      </c>
      <c r="EO236" s="31" t="e">
        <f>(IF(OR(Hypothèses!$B$4=17,Hypothèses!$B$4=18,Hypothèses!$B$4=19,Hypothèses!$B$4=20),
IF($D236="Pressio.",
IF(OR($E236=3,$E236=1,$E236=4),(PI()*EO$12^2)/4*(EK236*$W236*1000)/($H236*$B$5),(PI()*EO$12^2)/4*(EK236*$W236*1000)/($G236*$B$5)),
IF($D236="Pénétro.",
IF(OR($E236=4,$E236=1,$E236=5),(PI()*EO$12^2)/4*(EK236*$W236*1000)/($H236*$B$5),(PI()*EO$12^2)/4*(EK236*$W236*1000)/($G236*$B$5)))),
IF($D236="Pressio.",
IF($E236=3,(PI()*EO$12^2)/4*(EK236*$W236*1000)/($H236*$B$5),(PI()*EO$12^2)/4*(EK236*$W236*1000)/($G236*$B$5)),
IF($D236="Pénétro.",
IF($E236=4,(PI()*EO$12^2)/4*(EK236*$W236*1000)/($H236*$B$5),(PI()*EO$12^2)/4*(EK236*$W236*1000)/($G236*$B$5))))))/10</f>
        <v>#N/A</v>
      </c>
      <c r="EP236" s="102" t="e">
        <f>(VLOOKUP($B$3,'Coeff EC7'!$T$39:$X$59,2,0)*EN236+VLOOKUP($B$3,'Coeff EC7'!$T$65:$X$85,2,0)*Model0.1C!EO236)/1.1</f>
        <v>#N/A</v>
      </c>
      <c r="EQ236" s="102" t="e">
        <f>(VLOOKUP($B$3,'Coeff EC7'!$T$39:$X$59,3,0)*EN236+VLOOKUP($B$3,'Coeff EC7'!$T$65:$X$85,3,0)*Model0.1C!EO236)/0.9</f>
        <v>#N/A</v>
      </c>
      <c r="ER236" s="102" t="e">
        <f t="shared" si="394"/>
        <v>#N/A</v>
      </c>
      <c r="ES236" s="102" t="e">
        <f t="shared" si="395"/>
        <v>#N/A</v>
      </c>
      <c r="ET236" s="414" t="e">
        <f>IF(ET235=0,0,IF(AND(EP236&gt;charge_ELS_quasi,EQ236&gt;Charge_ELS_freq,ER236&gt;charge_ELU,ES236&gt;charge_ELA,$B236&gt;NDC!$H$22-0.1+MIN(3*$ET$12,1.5)),0,1))</f>
        <v>#N/A</v>
      </c>
      <c r="EU236" s="86" t="b">
        <f t="shared" si="363"/>
        <v>0</v>
      </c>
      <c r="EV236" s="86">
        <f t="shared" si="364"/>
        <v>0.61</v>
      </c>
      <c r="EW236" s="86">
        <f t="shared" si="365"/>
        <v>0.61</v>
      </c>
      <c r="EX236" s="30" t="e">
        <f t="shared" ca="1" si="396"/>
        <v>#DIV/0!</v>
      </c>
      <c r="EY236" s="85" t="e">
        <f ca="1">IF(EE236&lt;=Hypothèses!$V$7,Hypothèses!$W$7,IF(EE236&lt;=Hypothèses!$V$8,Hypothèses!$W$8,IF(EE236&lt;=Hypothèses!$V$9,Hypothèses!$W$9,IF(EE236&lt;=Hypothèses!$V$10,Hypothèses!$W$10,IF(EE236&lt;=Hypothèses!$V$11,Hypothèses!$W$11,IF(EE236&lt;=Hypothèses!$V$12,Hypothèses!$W$12,IF(EE236&lt;=Hypothèses!$V$13,Hypothèses!$W$13,IF(EE236&lt;=Hypothèses!$V$14,Hypothèses!$W$14,IF(EE236&lt;=Hypothèses!$V$15,Hypothèses!$W$15,IF(EE236&lt;=Hypothèses!$V$16,Hypothèses!$W$16,IF(EE236&lt;=Hypothèses!$V$17,Hypothèses!$W$17,IF(EE236&lt;=Hypothèses!$V$18,Hypothèses!$W$18,""))))))))))))</f>
        <v>#DIV/0!</v>
      </c>
      <c r="EZ236" s="87" t="e">
        <f t="shared" ca="1" si="423"/>
        <v>#DIV/0!</v>
      </c>
      <c r="FA236" s="88" t="e">
        <f ca="1">IF(EE236&lt;=Hypothèses!$V$7,Hypothèses!$X$7,IF(EE236&lt;=Hypothèses!$V$8,Hypothèses!$X$8,IF(EE236&lt;=Hypothèses!$V$9,Hypothèses!$X$9,IF(EE236&lt;=Hypothèses!$V$10,Hypothèses!$X$10,IF(EE236&lt;=Hypothèses!$V$11,Hypothèses!$X$11,IF(EE236&lt;=Hypothèses!$V$12,Hypothèses!$X$12,IF(EE236&lt;=Hypothèses!$V$13,Hypothèses!$X$13,IF(EE236&lt;=Hypothèses!$V$14,Hypothèses!$X$14,IF(EE236&lt;=Hypothèses!$V$15,Hypothèses!$X$15,IF(EE236&lt;=Hypothèses!$V$16,Hypothèses!$X$16,IF(EE236&lt;=Hypothèses!$U$17,Hypothèses!$W$17,IF(EE236&lt;=Hypothèses!$U$18,Hypothèses!$W$18,""))))))))))))</f>
        <v>#DIV/0!</v>
      </c>
      <c r="FB236" s="95" t="e">
        <f t="shared" ca="1" si="397"/>
        <v>#DIV/0!</v>
      </c>
      <c r="FC236" s="101" t="e">
        <f t="shared" si="430"/>
        <v>#N/A</v>
      </c>
      <c r="FD236" s="91" t="e">
        <f t="shared" si="366"/>
        <v>#N/A</v>
      </c>
      <c r="FE236" s="30" t="e">
        <f t="shared" si="414"/>
        <v>#N/A</v>
      </c>
      <c r="FF236" s="30" t="e">
        <f t="shared" si="415"/>
        <v>#N/A</v>
      </c>
      <c r="FG236" s="31" t="e">
        <f>IF(OR(Hypothèses!$B$4=17,Hypothèses!$B$4=18,Hypothèses!$B$4=19,Hypothèses!$B$4=20),
IF($D236="Pressio.",
IF(OR($E236=3,$E236=1,$E236=4),FF236,FE236),
IF($D236="Pénétro.",
IF(OR($E236=3,$E236=1,$E236=4),FF236,FE236))),IF($D236="Pressio.",
IF($E236=3,FF236,FE236),
IF($D236="Pénétro.",
IF($E236=4,FF236,FE236))))</f>
        <v>#N/A</v>
      </c>
      <c r="FH236" s="31" t="e">
        <f>(IF(OR(Hypothèses!$B$4=17,Hypothèses!$B$4=18,Hypothèses!$B$4=19,Hypothèses!$B$4=20),
IF($D236="Pressio.",
IF(OR($E236=3,$E236=1,$E236=4),(PI()*FH$12^2)/4*(FD236*$W236*1000)/($H236*$B$5),(PI()*FH$12^2)/4*(FD236*$W236*1000)/($G236*$B$5)),
IF($D236="Pénétro.",
IF(OR($E236=4,$E236=1,$E236=5),(PI()*FH$12^2)/4*(FD236*$W236*1000)/($H236*$B$5),(PI()*FH$12^2)/4*(FD236*$W236*1000)/($G236*$B$5)))),
IF($D236="Pressio.",
IF($E236=3,(PI()*FH$12^2)/4*(FD236*$W236*1000)/($H236*$B$5),(PI()*FH$12^2)/4*(FD236*$W236*1000)/($G236*$B$5)),
IF($D236="Pénétro.",
IF($E236=4,(PI()*FH$12^2)/4*(FD236*$W236*1000)/($H236*$B$5),(PI()*FH$12^2)/4*(FD236*$W236*1000)/($G236*$B$5))))))/10</f>
        <v>#N/A</v>
      </c>
      <c r="FI236" s="102" t="e">
        <f>(VLOOKUP($B$3,'Coeff EC7'!$T$39:$X$59,2,0)*FG236+VLOOKUP($B$3,'Coeff EC7'!$T$65:$X$85,2,0)*Model0.1C!FH236)/1.1</f>
        <v>#N/A</v>
      </c>
      <c r="FJ236" s="102" t="e">
        <f>(VLOOKUP($B$3,'Coeff EC7'!$T$39:$X$59,3,0)*FG236+VLOOKUP($B$3,'Coeff EC7'!$T$65:$X$85,3,0)*Model0.1C!FH236)/0.9</f>
        <v>#N/A</v>
      </c>
      <c r="FK236" s="102" t="e">
        <f t="shared" si="398"/>
        <v>#N/A</v>
      </c>
      <c r="FL236" s="102" t="e">
        <f t="shared" si="399"/>
        <v>#N/A</v>
      </c>
      <c r="FM236" s="414" t="e">
        <f>IF(FM235=0,0,IF(AND(FI236&gt;charge_ELS_quasi,FJ236&gt;Charge_ELS_freq,FK236&gt;charge_ELU,FL236&gt;charge_ELA,$B236&gt;NDC!$H$22-0.1+MIN(3*$FM$12,1.5)),0,1))</f>
        <v>#N/A</v>
      </c>
    </row>
    <row r="237" spans="1:169">
      <c r="A237" s="96">
        <f t="shared" si="367"/>
        <v>77.600000000001273</v>
      </c>
      <c r="B237" s="97">
        <v>22.4</v>
      </c>
      <c r="C237" s="81">
        <f>IF(B237&lt;=Hypothèses!$C$7,Hypothèses!$A$7,IF(B237&lt;=Hypothèses!$C$8,Hypothèses!$A$8,IF(B237&lt;=Hypothèses!$C$9,Hypothèses!$A$9,IF(B237&lt;=Hypothèses!$C$10,Hypothèses!$A$10,IF(B237&lt;=Hypothèses!$C$11,Hypothèses!$A$11,IF(B237&lt;=Hypothèses!$C$12,Hypothèses!$A$12,IF(B237&lt;=Hypothèses!$C$13,Hypothèses!$A$13,IF(B237&lt;=Hypothèses!$C$14,Hypothèses!$A$14,IF(B237&lt;=Hypothèses!$C$15,Hypothèses!$A$15,IF(B237&lt;=Hypothèses!$C$16,Hypothèses!$A$16,IF(B237&lt;=Hypothèses!$C$17,Hypothèses!$A$17,IF(B237&lt;=Hypothèses!$C$18,Hypothèses!$A$18,C236))))))))))))</f>
        <v>11</v>
      </c>
      <c r="D237" s="82" t="str">
        <f>IF(B237&lt;=Hypothèses!$C$7,Hypothèses!$R$7,IF(B237&lt;=Hypothèses!$C$8,Hypothèses!$R$8,IF(B237&lt;=Hypothèses!$C$9,Hypothèses!$R$9,IF(B237&lt;=Hypothèses!$C$10,Hypothèses!$R$10,IF(B237&lt;=Hypothèses!$C$11,Hypothèses!$R$11,IF(B237&lt;=Hypothèses!$C$12,Hypothèses!$R$12,IF(B237&lt;=Hypothèses!$C$13,Hypothèses!$R$13,IF(B237&lt;=Hypothèses!$C$14,Hypothèses!$R$14,IF(B237&lt;=Hypothèses!$C$15,Hypothèses!$R$15,IF(B237&lt;=Hypothèses!$C$16,Hypothèses!$R$16,IF(B237&lt;=Hypothèses!$C$17,Hypothèses!$R$17,IF(B237&lt;=Hypothèses!$C$18,Hypothèses!$R$18,D236))))))))))))</f>
        <v>Pressio.</v>
      </c>
      <c r="E237" s="82" t="e">
        <f>IF(B237&lt;=Hypothèses!$C$7,Hypothèses!$G$7,IF(B237&lt;=Hypothèses!$C$8,Hypothèses!$G$8,IF(B237&lt;=Hypothèses!$C$9,Hypothèses!$G$9,IF(B237&lt;=Hypothèses!$C$10,Hypothèses!$G$10,IF(B237&lt;=Hypothèses!$C$11,Hypothèses!$G$11,IF(B237&lt;=Hypothèses!$C$12,Hypothèses!$G$12,IF(B237&lt;=Hypothèses!$C$13,Hypothèses!$G$13,IF(B237&lt;=Hypothèses!$C$14,Hypothèses!$G$14,IF(B237&lt;=Hypothèses!$C$15,Hypothèses!$G$15,IF(B237&lt;=Hypothèses!$C$16,Hypothèses!$G$16,IF(B237&lt;=Hypothèses!$C$17,Hypothèses!$G$17,IF(B237&lt;=Hypothèses!$C$18,Hypothèses!$G$18,E236))))))))))))</f>
        <v>#N/A</v>
      </c>
      <c r="F237" s="82" t="str">
        <f>IF(B237&lt;=Hypothèses!$C$7,Hypothèses!$F$7,IF(B237&lt;=Hypothèses!$C$8,Hypothèses!$F$8,IF(B237&lt;=Hypothèses!$C$9,Hypothèses!$F$9,IF(B237&lt;=Hypothèses!$C$10,Hypothèses!$F$10,IF(B237&lt;=Hypothèses!$C$11,Hypothèses!$F$11,IF(B237&lt;=Hypothèses!$C$12,Hypothèses!$F$12,IF(B237&lt;=Hypothèses!$C$13,Hypothèses!$F$13,IF(B237&lt;=Hypothèses!$C$14,Hypothèses!$F$14,IF(B237&lt;=Hypothèses!$C$15,Hypothèses!$F$15,IF(B237&lt;=Hypothèses!$C$16,Hypothèses!$F$16,IF(B237&lt;=Hypothèses!$C$17,Hypothèses!$F$17,IF(B237&lt;=Hypothèses!$C$18,Hypothèses!$F$18,F236))))))))))))</f>
        <v/>
      </c>
      <c r="G237" s="91">
        <f t="array" ref="G237">INDEX('Coeff EC7'!$U$7:$X$27,
MATCH(Model0.1C!$B$3,'Coeff EC7'!$T$7:$T$27,0),
MATCH(Model0.1C!$D237&amp;Model0.1C!$B$4,
'Coeff EC7'!$U$6:$X$6&amp;
'Coeff EC7'!$U$5:$X$5,0))</f>
        <v>1.1499999999999999</v>
      </c>
      <c r="H237" s="91">
        <f t="array" ref="H237">INDEX('Coeff EC7'!$Y$7:$AB$27,
MATCH(Model0.1C!$B$3,'Coeff EC7'!$T$7:$T$27,0),
MATCH(Model0.1C!$D237&amp;Model0.1C!$B$4,
'Coeff EC7'!$Y$6:$AB$6&amp;
'Coeff EC7'!$Y$5:$AB$5,0))</f>
        <v>1.4</v>
      </c>
      <c r="I237" s="83" t="e">
        <f>IF(B237&lt;=Hypothèses!$C$7,Hypothèses!$P$7,IF(B237&lt;=Hypothèses!$C$8,Hypothèses!$P$8,IF(B237&lt;=Hypothèses!$C$9,Hypothèses!$P$9,IF(B237&lt;=Hypothèses!$C$10,Hypothèses!$P$10,IF(B237&lt;=Hypothèses!$C$11,Hypothèses!$P$11,IF(B237&lt;=Hypothèses!$C$12,Hypothèses!$P$12,IF(B237&lt;=Hypothèses!$C$13,Hypothèses!$P$13,IF(B237&lt;=Hypothèses!$C$14,Hypothèses!$P$14,IF(B237&lt;=Hypothèses!$C$15,Hypothèses!$P$15,IF(B237&lt;=Hypothèses!$C$16,Hypothèses!$P$16,IF(B237&lt;=Hypothèses!$C$17,Hypothèses!$P$17,IF(B237&lt;=Hypothèses!$C$18,Hypothèses!$P$18,I236))))))))))))</f>
        <v>#N/A</v>
      </c>
      <c r="J237" s="91" t="e">
        <f t="array" ref="J237">INDEX('Coeff EC7'!$D$33:$Q$33,1,MATCH(D237&amp;E237,'Coeff EC7'!$D$31:$Q$31&amp;'Coeff EC7'!$D$32:$Q$32,0))</f>
        <v>#N/A</v>
      </c>
      <c r="K237" s="91" t="e">
        <f t="array" ref="K237">INDEX('Coeff EC7'!$D$34:$Q$34,1,MATCH(D237&amp;E237,'Coeff EC7'!$D$31:$Q$31&amp;'Coeff EC7'!$D$32:$Q$32,0))</f>
        <v>#N/A</v>
      </c>
      <c r="L237" s="91" t="e">
        <f t="array" ref="L237">INDEX('Coeff EC7'!$D$35:$Q$35,1,MATCH(D237&amp;E237,'Coeff EC7'!$D$31:$Q$31&amp;'Coeff EC7'!$D$32:$Q$32,0))</f>
        <v>#N/A</v>
      </c>
      <c r="M237" s="98" t="e">
        <f t="shared" si="331"/>
        <v>#N/A</v>
      </c>
      <c r="N237" s="99" t="e">
        <f t="array" ref="N237">INDEX('Coeff EC7'!$D$7:$Q$27,MATCH($B$3,'Coeff EC7'!$C$7:$C$27,0),MATCH(D237&amp;E237,'Coeff EC7'!$D$5:$Q$5&amp;'Coeff EC7'!$D$6:$Q$6,0))</f>
        <v>#N/A</v>
      </c>
      <c r="O237" s="99" t="e">
        <f t="array" ref="O237">INDEX('Coeff EC7'!$D$41:$Q$61,MATCH($B$3,'Coeff EC7'!$C$41:$C$61,0),MATCH(D237&amp;E237,'Coeff EC7'!$D$39:$Q$39&amp;'Coeff EC7'!$D$40:$Q$40,0))</f>
        <v>#N/A</v>
      </c>
      <c r="P237" s="30" t="e">
        <f t="shared" si="368"/>
        <v>#N/A</v>
      </c>
      <c r="Q237" s="100" t="e">
        <f t="shared" si="333"/>
        <v>#N/A</v>
      </c>
      <c r="R237" s="86" t="b">
        <f t="shared" si="334"/>
        <v>0</v>
      </c>
      <c r="S237" s="86">
        <f t="shared" si="332"/>
        <v>0.5</v>
      </c>
      <c r="T237" s="86">
        <f t="shared" si="335"/>
        <v>0.5</v>
      </c>
      <c r="U237" s="30" t="e">
        <f t="shared" ca="1" si="369"/>
        <v>#DIV/0!</v>
      </c>
      <c r="V237" s="85" t="str">
        <f>IF(B237&lt;=Hypothèses!$V$7,Hypothèses!$W$7,IF(B237&lt;=Hypothèses!$V$8,Hypothèses!$W$8,IF(B237&lt;=Hypothèses!$V$9,Hypothèses!$W$9,IF(B237&lt;=Hypothèses!$V$10,Hypothèses!$W$10,IF(B237&lt;=Hypothèses!$V$11,Hypothèses!$W$11,IF(B237&lt;=Hypothèses!$V$12,Hypothèses!$W$12,IF(B237&lt;=Hypothèses!$V$13,Hypothèses!$W$13,IF(B237&lt;=Hypothèses!$V$14,Hypothèses!$W$14,IF(B237&lt;=Hypothèses!$V$15,Hypothèses!$W$15,IF(B237&lt;=Hypothèses!$V$16,Hypothèses!$W$16,IF(B237&lt;=Hypothèses!$V$17,Hypothèses!$W$17,IF(B237&lt;=Hypothèses!$V$18,Hypothèses!$W$18,""))))))))))))</f>
        <v/>
      </c>
      <c r="W237" s="87" t="e">
        <f t="shared" ca="1" si="416"/>
        <v>#DIV/0!</v>
      </c>
      <c r="X237" s="88" t="str">
        <f>IF(B237&lt;=Hypothèses!$V$7,Hypothèses!$X$7,IF(B237&lt;=Hypothèses!$V$8,Hypothèses!$X$8,IF(B237&lt;=Hypothèses!$V$9,Hypothèses!$X$9,IF(B237&lt;=Hypothèses!$V$10,Hypothèses!$X$10,IF(B237&lt;=Hypothèses!$V$11,Hypothèses!$X$11,IF(B237&lt;=Hypothèses!$V$12,Hypothèses!$X$12,IF(B237&lt;=Hypothèses!$V$13,Hypothèses!$X$13,IF(B237&lt;=Hypothèses!$V$14,Hypothèses!$X$14,IF(B237&lt;=Hypothèses!$V$15,Hypothèses!$X$15,IF(B237&lt;=Hypothèses!$V$16,Hypothèses!$X$16,IF(B237&lt;=Hypothèses!$U$17,Hypothèses!$W$17,IF(B237&lt;=Hypothèses!$U$18,Hypothèses!$W$18,""))))))))))))</f>
        <v/>
      </c>
      <c r="Y237" s="95" t="e">
        <f t="shared" ca="1" si="336"/>
        <v>#DIV/0!</v>
      </c>
      <c r="Z237" s="101" t="e">
        <f t="shared" si="337"/>
        <v>#N/A</v>
      </c>
      <c r="AA237" s="91" t="e">
        <f t="shared" si="338"/>
        <v>#N/A</v>
      </c>
      <c r="AB237" s="30" t="e">
        <f t="shared" si="400"/>
        <v>#N/A</v>
      </c>
      <c r="AC237" s="30" t="e">
        <f t="shared" si="401"/>
        <v>#N/A</v>
      </c>
      <c r="AD237" s="31" t="e">
        <f>IF(OR(Hypothèses!$B$4=17,Hypothèses!$B$4=18,Hypothèses!$B$4=19,Hypothèses!$B$4=20),
IF($D237="Pressio.",
IF(OR($E237=3,$E237=1,$E237=4),AC237,AB237),
IF($D237="Pénétro.",
IF(OR($E237=3,$E237=1,$E237=4),AC237,AB237))),IF($D237="Pressio.",
IF($E237=3,AC237,AB237),
IF($D237="Pénétro.",
IF($E237=4,AC237,AB237))))</f>
        <v>#N/A</v>
      </c>
      <c r="AE237" s="31" t="e">
        <f>(IF(OR(Hypothèses!$B$4=17,Hypothèses!$B$4=18,Hypothèses!$B$4=19,Hypothèses!$B$4=20),
IF($D237="Pressio.",
IF(OR($E237=3,$E237=1,$E237=4),(PI()*AE$12^2)/4*(AA237*$W237*1000)/($H237*$B$5),(PI()*AE$12^2)/4*(AA237*$W237*1000)/($G237*$B$5)),
IF($D237="Pénétro.",
IF(OR($E237=4,$E237=1,$E237=5),(PI()*AE$12^2)/4*(AA237*$W237*1000)/($H237*$B$5),(PI()*AE$12^2)/4*(AA237*$W237*1000)/($G237*$B$5)))),
IF($D237="Pressio.",
IF($E237=3,(PI()*AE$12^2)/4*(AA237*$W237*1000)/($H237*$B$5),(PI()*AE$12^2)/4*(AA237*$W237*1000)/($G237*$B$5)),
IF($D237="Pénétro.",
IF($E237=4,(PI()*AE$12^2)/4*(AA237*$W237*1000)/($H237*$B$5),(PI()*AE$12^2)/4*(AA237*$W237*1000)/($G237*$B$5))))))/10</f>
        <v>#N/A</v>
      </c>
      <c r="AF237" s="102" t="e">
        <f>(VLOOKUP($B$3,'Coeff EC7'!$T$39:$X$59,2,0)*AD237+VLOOKUP($B$3,'Coeff EC7'!$T$65:$X$85,2,0)*Model0.1C!AE237)/1.1</f>
        <v>#N/A</v>
      </c>
      <c r="AG237" s="102" t="e">
        <f>(VLOOKUP($B$3,'Coeff EC7'!$T$39:$X$59,3,0)*AD237+VLOOKUP($B$3,'Coeff EC7'!$T$65:$X$85,3,0)*Model0.1C!AE237)/0.9</f>
        <v>#N/A</v>
      </c>
      <c r="AH237" s="102" t="e">
        <f t="shared" si="339"/>
        <v>#N/A</v>
      </c>
      <c r="AI237" s="102" t="e">
        <f t="shared" si="340"/>
        <v>#N/A</v>
      </c>
      <c r="AJ237" s="414" t="e">
        <f>IF(AJ236=0,0,IF(AND(AF237&gt;charge_ELS_quasi,AG237&gt;Charge_ELS_freq,AH237&gt;charge_ELU,AI237&gt;charge_ELA,$B237&gt;NDC!$H$22-0.1+MIN(3*$AJ$12,1.5)),0,1))</f>
        <v>#N/A</v>
      </c>
      <c r="AK237" s="86" t="b">
        <f t="shared" si="341"/>
        <v>0</v>
      </c>
      <c r="AL237" s="86">
        <f t="shared" si="370"/>
        <v>0.5</v>
      </c>
      <c r="AM237" s="86">
        <f t="shared" si="342"/>
        <v>0.5</v>
      </c>
      <c r="AN237" s="30" t="e">
        <f t="shared" ca="1" si="371"/>
        <v>#DIV/0!</v>
      </c>
      <c r="AO237" s="85" t="e">
        <f ca="1">IF(U237&lt;=Hypothèses!$V$7,Hypothèses!$W$7,IF(U237&lt;=Hypothèses!$V$8,Hypothèses!$W$8,IF(U237&lt;=Hypothèses!$V$9,Hypothèses!$W$9,IF(U237&lt;=Hypothèses!$V$10,Hypothèses!$W$10,IF(U237&lt;=Hypothèses!$V$11,Hypothèses!$W$11,IF(U237&lt;=Hypothèses!$V$12,Hypothèses!$W$12,IF(U237&lt;=Hypothèses!$V$13,Hypothèses!$W$13,IF(U237&lt;=Hypothèses!$V$14,Hypothèses!$W$14,IF(U237&lt;=Hypothèses!$V$15,Hypothèses!$W$15,IF(U237&lt;=Hypothèses!$V$16,Hypothèses!$W$16,IF(U237&lt;=Hypothèses!$V$17,Hypothèses!$W$17,IF(U237&lt;=Hypothèses!$V$18,Hypothèses!$W$18,""))))))))))))</f>
        <v>#DIV/0!</v>
      </c>
      <c r="AP237" s="87" t="e">
        <f t="shared" ca="1" si="417"/>
        <v>#DIV/0!</v>
      </c>
      <c r="AQ237" s="88" t="e">
        <f ca="1">IF(U237&lt;=Hypothèses!$V$7,Hypothèses!$X$7,IF(U237&lt;=Hypothèses!$V$8,Hypothèses!$X$8,IF(U237&lt;=Hypothèses!$V$9,Hypothèses!$X$9,IF(U237&lt;=Hypothèses!$V$10,Hypothèses!$X$10,IF(U237&lt;=Hypothèses!$V$11,Hypothèses!$X$11,IF(U237&lt;=Hypothèses!$V$12,Hypothèses!$X$12,IF(U237&lt;=Hypothèses!$V$13,Hypothèses!$X$13,IF(U237&lt;=Hypothèses!$V$14,Hypothèses!$X$14,IF(U237&lt;=Hypothèses!$V$15,Hypothèses!$X$15,IF(U237&lt;=Hypothèses!$V$16,Hypothèses!$X$16,IF(U237&lt;=Hypothèses!$U$17,Hypothèses!$W$17,IF(U237&lt;=Hypothèses!$U$18,Hypothèses!$W$18,""))))))))))))</f>
        <v>#DIV/0!</v>
      </c>
      <c r="AR237" s="95" t="e">
        <f t="shared" ca="1" si="372"/>
        <v>#DIV/0!</v>
      </c>
      <c r="AS237" s="101" t="e">
        <f t="shared" si="424"/>
        <v>#N/A</v>
      </c>
      <c r="AT237" s="91" t="e">
        <f t="shared" si="343"/>
        <v>#N/A</v>
      </c>
      <c r="AU237" s="30" t="e">
        <f t="shared" si="402"/>
        <v>#N/A</v>
      </c>
      <c r="AV237" s="30" t="e">
        <f t="shared" si="403"/>
        <v>#N/A</v>
      </c>
      <c r="AW237" s="31" t="e">
        <f>IF(OR(Hypothèses!$B$4=17,Hypothèses!$B$4=18,Hypothèses!$B$4=19,Hypothèses!$B$4=20),
IF($D237="Pressio.",
IF(OR($E237=3,$E237=1,$E237=4),AV237,AU237),
IF($D237="Pénétro.",
IF(OR($E237=3,$E237=1,$E237=4),AV237,AU237))),IF($D237="Pressio.",
IF($E237=3,AV237,AU237),
IF($D237="Pénétro.",
IF($E237=4,AV237,AU237))))</f>
        <v>#N/A</v>
      </c>
      <c r="AX237" s="31" t="e">
        <f>(IF(OR(Hypothèses!$B$4=17,Hypothèses!$B$4=18,Hypothèses!$B$4=19,Hypothèses!$B$4=20),
IF($D237="Pressio.",
IF(OR($E237=3,$E237=1,$E237=4),(PI()*AX$12^2)/4*(AT237*$W237*1000)/($H237*$B$5),(PI()*AX$12^2)/4*(AT237*$W237*1000)/($G237*$B$5)),
IF($D237="Pénétro.",
IF(OR($E237=4,$E237=1,$E237=5),(PI()*AX$12^2)/4*(AT237*$W237*1000)/($H237*$B$5),(PI()*AX$12^2)/4*(AT237*$W237*1000)/($G237*$B$5)))),
IF($D237="Pressio.",
IF($E237=3,(PI()*AX$12^2)/4*(AT237*$W237*1000)/($H237*$B$5),(PI()*AX$12^2)/4*(AT237*$W237*1000)/($G237*$B$5)),
IF($D237="Pénétro.",
IF($E237=4,(PI()*AX$12^2)/4*(AT237*$W237*1000)/($H237*$B$5),(PI()*AX$12^2)/4*(AT237*$W237*1000)/($G237*$B$5))))))/10</f>
        <v>#N/A</v>
      </c>
      <c r="AY237" s="102" t="e">
        <f>(VLOOKUP($B$3,'Coeff EC7'!$T$39:$X$59,2,0)*AW237+VLOOKUP($B$3,'Coeff EC7'!$T$65:$X$85,2,0)*Model0.1C!AX237)/1.1</f>
        <v>#N/A</v>
      </c>
      <c r="AZ237" s="102" t="e">
        <f>(VLOOKUP($B$3,'Coeff EC7'!$T$39:$X$59,3,0)*AW237+VLOOKUP($B$3,'Coeff EC7'!$T$65:$X$85,3,0)*Model0.1C!AX237)/0.9</f>
        <v>#N/A</v>
      </c>
      <c r="BA237" s="102" t="e">
        <f t="shared" si="373"/>
        <v>#N/A</v>
      </c>
      <c r="BB237" s="102" t="e">
        <f t="shared" si="374"/>
        <v>#N/A</v>
      </c>
      <c r="BC237" s="414" t="e">
        <f>IF(BC236=0,0,IF(AND(AY237&gt;charge_ELS_quasi,AZ237&gt;Charge_ELS_freq,BA237&gt;charge_ELU,BB237&gt;charge_ELA,$B237&gt;NDC!$H$22-0.1+MIN(3*$BC$12,1.5)),0,1))</f>
        <v>#N/A</v>
      </c>
      <c r="BD237" s="86" t="b">
        <f t="shared" si="344"/>
        <v>0</v>
      </c>
      <c r="BE237" s="86">
        <f t="shared" si="375"/>
        <v>0.5</v>
      </c>
      <c r="BF237" s="86">
        <f t="shared" si="345"/>
        <v>0.5</v>
      </c>
      <c r="BG237" s="30" t="e">
        <f t="shared" ca="1" si="376"/>
        <v>#DIV/0!</v>
      </c>
      <c r="BH237" s="85" t="e">
        <f ca="1">IF(AN237&lt;=Hypothèses!$V$7,Hypothèses!$W$7,IF(AN237&lt;=Hypothèses!$V$8,Hypothèses!$W$8,IF(AN237&lt;=Hypothèses!$V$9,Hypothèses!$W$9,IF(AN237&lt;=Hypothèses!$V$10,Hypothèses!$W$10,IF(AN237&lt;=Hypothèses!$V$11,Hypothèses!$W$11,IF(AN237&lt;=Hypothèses!$V$12,Hypothèses!$W$12,IF(AN237&lt;=Hypothèses!$V$13,Hypothèses!$W$13,IF(AN237&lt;=Hypothèses!$V$14,Hypothèses!$W$14,IF(AN237&lt;=Hypothèses!$V$15,Hypothèses!$W$15,IF(AN237&lt;=Hypothèses!$V$16,Hypothèses!$W$16,IF(AN237&lt;=Hypothèses!$V$17,Hypothèses!$W$17,IF(AN237&lt;=Hypothèses!$V$18,Hypothèses!$W$18,""))))))))))))</f>
        <v>#DIV/0!</v>
      </c>
      <c r="BI237" s="87" t="e">
        <f t="shared" ca="1" si="418"/>
        <v>#DIV/0!</v>
      </c>
      <c r="BJ237" s="88" t="e">
        <f ca="1">IF(AN237&lt;=Hypothèses!$V$7,Hypothèses!$X$7,IF(AN237&lt;=Hypothèses!$V$8,Hypothèses!$X$8,IF(AN237&lt;=Hypothèses!$V$9,Hypothèses!$X$9,IF(AN237&lt;=Hypothèses!$V$10,Hypothèses!$X$10,IF(AN237&lt;=Hypothèses!$V$11,Hypothèses!$X$11,IF(AN237&lt;=Hypothèses!$V$12,Hypothèses!$X$12,IF(AN237&lt;=Hypothèses!$V$13,Hypothèses!$X$13,IF(AN237&lt;=Hypothèses!$V$14,Hypothèses!$X$14,IF(AN237&lt;=Hypothèses!$V$15,Hypothèses!$X$15,IF(AN237&lt;=Hypothèses!$V$16,Hypothèses!$X$16,IF(AN237&lt;=Hypothèses!$U$17,Hypothèses!$W$17,IF(AN237&lt;=Hypothèses!$U$18,Hypothèses!$W$18,""))))))))))))</f>
        <v>#DIV/0!</v>
      </c>
      <c r="BK237" s="95" t="e">
        <f t="shared" ca="1" si="377"/>
        <v>#DIV/0!</v>
      </c>
      <c r="BL237" s="101" t="e">
        <f t="shared" si="425"/>
        <v>#N/A</v>
      </c>
      <c r="BM237" s="91" t="e">
        <f t="shared" si="346"/>
        <v>#N/A</v>
      </c>
      <c r="BN237" s="30" t="e">
        <f t="shared" si="404"/>
        <v>#N/A</v>
      </c>
      <c r="BO237" s="30" t="e">
        <f t="shared" si="405"/>
        <v>#N/A</v>
      </c>
      <c r="BP237" s="31" t="e">
        <f>IF(OR(Hypothèses!$B$4=17,Hypothèses!$B$4=18,Hypothèses!$B$4=19,Hypothèses!$B$4=20),
IF($D237="Pressio.",
IF(OR($E237=3,$E237=1,$E237=4),BO237,BN237),
IF($D237="Pénétro.",
IF(OR($E237=3,$E237=1,$E237=4),BO237,BN237))),IF($D237="Pressio.",
IF($E237=3,BO237,BN237),
IF($D237="Pénétro.",
IF($E237=4,BO237,BN237))))</f>
        <v>#N/A</v>
      </c>
      <c r="BQ237" s="31" t="e">
        <f>(IF(OR(Hypothèses!$B$4=17,Hypothèses!$B$4=18,Hypothèses!$B$4=19,Hypothèses!$B$4=20),
IF($D237="Pressio.",
IF(OR($E237=3,$E237=1,$E237=4),(PI()*BQ$12^2)/4*(BM237*$W237*1000)/($H237*$B$5),(PI()*BQ$12^2)/4*(BM237*$W237*1000)/($G237*$B$5)),
IF($D237="Pénétro.",
IF(OR($E237=4,$E237=1,$E237=5),(PI()*BQ$12^2)/4*(BM237*$W237*1000)/($H237*$B$5),(PI()*BQ$12^2)/4*(BM237*$W237*1000)/($G237*$B$5)))),
IF($D237="Pressio.",
IF($E237=3,(PI()*BQ$12^2)/4*(BM237*$W237*1000)/($H237*$B$5),(PI()*BQ$12^2)/4*(BM237*$W237*1000)/($G237*$B$5)),
IF($D237="Pénétro.",
IF($E237=4,(PI()*BQ$12^2)/4*(BM237*$W237*1000)/($H237*$B$5),(PI()*BQ$12^2)/4*(BM237*$W237*1000)/($G237*$B$5))))))/10</f>
        <v>#N/A</v>
      </c>
      <c r="BR237" s="102" t="e">
        <f>(VLOOKUP($B$3,'Coeff EC7'!$T$39:$X$59,2,0)*BP237+VLOOKUP($B$3,'Coeff EC7'!$T$65:$X$85,2,0)*Model0.1C!BQ237)/1.1</f>
        <v>#N/A</v>
      </c>
      <c r="BS237" s="102" t="e">
        <f>(VLOOKUP($B$3,'Coeff EC7'!$T$39:$X$59,3,0)*BP237+VLOOKUP($B$3,'Coeff EC7'!$T$65:$X$85,3,0)*Model0.1C!BQ237)/0.9</f>
        <v>#N/A</v>
      </c>
      <c r="BT237" s="102" t="e">
        <f t="shared" si="378"/>
        <v>#N/A</v>
      </c>
      <c r="BU237" s="102" t="e">
        <f t="shared" si="379"/>
        <v>#N/A</v>
      </c>
      <c r="BV237" s="414" t="e">
        <f>IF(BV236=0,0,IF(AND(BR237&gt;charge_ELS_quasi,BS237&gt;Charge_ELS_freq,BT237&gt;charge_ELU,BU237&gt;charge_ELA,$B237&gt;NDC!$H$22-0.1+MIN(3*$BV$12,1.5)),0,1))</f>
        <v>#N/A</v>
      </c>
      <c r="BW237" s="86" t="b">
        <f t="shared" si="347"/>
        <v>0</v>
      </c>
      <c r="BX237" s="86">
        <f t="shared" si="348"/>
        <v>0.5</v>
      </c>
      <c r="BY237" s="86">
        <f t="shared" si="349"/>
        <v>0.5</v>
      </c>
      <c r="BZ237" s="30" t="e">
        <f t="shared" ca="1" si="380"/>
        <v>#DIV/0!</v>
      </c>
      <c r="CA237" s="85" t="e">
        <f ca="1">IF(BG237&lt;=Hypothèses!$V$7,Hypothèses!$W$7,IF(BG237&lt;=Hypothèses!$V$8,Hypothèses!$W$8,IF(BG237&lt;=Hypothèses!$V$9,Hypothèses!$W$9,IF(BG237&lt;=Hypothèses!$V$10,Hypothèses!$W$10,IF(BG237&lt;=Hypothèses!$V$11,Hypothèses!$W$11,IF(BG237&lt;=Hypothèses!$V$12,Hypothèses!$W$12,IF(BG237&lt;=Hypothèses!$V$13,Hypothèses!$W$13,IF(BG237&lt;=Hypothèses!$V$14,Hypothèses!$W$14,IF(BG237&lt;=Hypothèses!$V$15,Hypothèses!$W$15,IF(BG237&lt;=Hypothèses!$V$16,Hypothèses!$W$16,IF(BG237&lt;=Hypothèses!$V$17,Hypothèses!$W$17,IF(BG237&lt;=Hypothèses!$V$18,Hypothèses!$W$18,""))))))))))))</f>
        <v>#DIV/0!</v>
      </c>
      <c r="CB237" s="87" t="e">
        <f t="shared" ca="1" si="419"/>
        <v>#DIV/0!</v>
      </c>
      <c r="CC237" s="88" t="e">
        <f ca="1">IF(BG237&lt;=Hypothèses!$V$7,Hypothèses!$X$7,IF(BG237&lt;=Hypothèses!$V$8,Hypothèses!$X$8,IF(BG237&lt;=Hypothèses!$V$9,Hypothèses!$X$9,IF(BG237&lt;=Hypothèses!$V$10,Hypothèses!$X$10,IF(BG237&lt;=Hypothèses!$V$11,Hypothèses!$X$11,IF(BG237&lt;=Hypothèses!$V$12,Hypothèses!$X$12,IF(BG237&lt;=Hypothèses!$V$13,Hypothèses!$X$13,IF(BG237&lt;=Hypothèses!$V$14,Hypothèses!$X$14,IF(BG237&lt;=Hypothèses!$V$15,Hypothèses!$X$15,IF(BG237&lt;=Hypothèses!$V$16,Hypothèses!$X$16,IF(BG237&lt;=Hypothèses!$U$17,Hypothèses!$W$17,IF(BG237&lt;=Hypothèses!$U$18,Hypothèses!$W$18,""))))))))))))</f>
        <v>#DIV/0!</v>
      </c>
      <c r="CD237" s="95" t="e">
        <f t="shared" ca="1" si="381"/>
        <v>#DIV/0!</v>
      </c>
      <c r="CE237" s="101" t="e">
        <f t="shared" si="426"/>
        <v>#N/A</v>
      </c>
      <c r="CF237" s="91" t="e">
        <f t="shared" si="350"/>
        <v>#N/A</v>
      </c>
      <c r="CG237" s="30" t="e">
        <f t="shared" si="406"/>
        <v>#N/A</v>
      </c>
      <c r="CH237" s="30" t="e">
        <f t="shared" si="407"/>
        <v>#N/A</v>
      </c>
      <c r="CI237" s="31" t="e">
        <f>IF(OR(Hypothèses!$B$4=17,Hypothèses!$B$4=18,Hypothèses!$B$4=19,Hypothèses!$B$4=20),
IF($D237="Pressio.",
IF(OR($E237=3,$E237=1,$E237=4),CH237,CG237),
IF($D237="Pénétro.",
IF(OR($E237=3,$E237=1,$E237=4),CH237,CG237))),IF($D237="Pressio.",
IF($E237=3,CH237,CG237),
IF($D237="Pénétro.",
IF($E237=4,CH237,CG237))))</f>
        <v>#N/A</v>
      </c>
      <c r="CJ237" s="31" t="e">
        <f>(IF(OR(Hypothèses!$B$4=17,Hypothèses!$B$4=18,Hypothèses!$B$4=19,Hypothèses!$B$4=20),
IF($D237="Pressio.",
IF(OR($E237=3,$E237=1,$E237=4),(PI()*CJ$12^2)/4*(CF237*$W237*1000)/($H237*$B$5),(PI()*CJ$12^2)/4*(CF237*$W237*1000)/($G237*$B$5)),
IF($D237="Pénétro.",
IF(OR($E237=4,$E237=1,$E237=5),(PI()*CJ$12^2)/4*(CF237*$W237*1000)/($H237*$B$5),(PI()*CJ$12^2)/4*(CF237*$W237*1000)/($G237*$B$5)))),
IF($D237="Pressio.",
IF($E237=3,(PI()*CJ$12^2)/4*(CF237*$W237*1000)/($H237*$B$5),(PI()*CJ$12^2)/4*(CF237*$W237*1000)/($G237*$B$5)),
IF($D237="Pénétro.",
IF($E237=4,(PI()*CJ$12^2)/4*(CF237*$W237*1000)/($H237*$B$5),(PI()*CJ$12^2)/4*(CF237*$W237*1000)/($G237*$B$5))))))/10</f>
        <v>#N/A</v>
      </c>
      <c r="CK237" s="102" t="e">
        <f>(VLOOKUP($B$3,'Coeff EC7'!$T$39:$X$59,2,0)*CI237+VLOOKUP($B$3,'Coeff EC7'!$T$65:$X$85,2,0)*Model0.1C!CJ237)/1.1</f>
        <v>#N/A</v>
      </c>
      <c r="CL237" s="102" t="e">
        <f>(VLOOKUP($B$3,'Coeff EC7'!$T$39:$X$59,3,0)*CI237+VLOOKUP($B$3,'Coeff EC7'!$T$65:$X$85,3,0)*Model0.1C!CJ237)/0.9</f>
        <v>#N/A</v>
      </c>
      <c r="CM237" s="102" t="e">
        <f t="shared" si="382"/>
        <v>#N/A</v>
      </c>
      <c r="CN237" s="102" t="e">
        <f t="shared" si="383"/>
        <v>#N/A</v>
      </c>
      <c r="CO237" s="414" t="e">
        <f>IF(CO236=0,0,IF(AND(CK237&gt;charge_ELS_quasi,CL237&gt;Charge_ELS_freq,CM237&gt;charge_ELU,CN237&gt;charge_ELA,$B237&gt;NDC!$H$22-0.1+MIN(3*$CO$12,1.5)),0,1))</f>
        <v>#N/A</v>
      </c>
      <c r="CP237" s="86" t="b">
        <f t="shared" si="351"/>
        <v>0</v>
      </c>
      <c r="CQ237" s="86">
        <f t="shared" si="352"/>
        <v>0.5</v>
      </c>
      <c r="CR237" s="86">
        <f t="shared" si="353"/>
        <v>0.5</v>
      </c>
      <c r="CS237" s="30" t="e">
        <f t="shared" ca="1" si="384"/>
        <v>#DIV/0!</v>
      </c>
      <c r="CT237" s="85" t="e">
        <f ca="1">IF(BZ237&lt;=Hypothèses!$V$7,Hypothèses!$W$7,IF(BZ237&lt;=Hypothèses!$V$8,Hypothèses!$W$8,IF(BZ237&lt;=Hypothèses!$V$9,Hypothèses!$W$9,IF(BZ237&lt;=Hypothèses!$V$10,Hypothèses!$W$10,IF(BZ237&lt;=Hypothèses!$V$11,Hypothèses!$W$11,IF(BZ237&lt;=Hypothèses!$V$12,Hypothèses!$W$12,IF(BZ237&lt;=Hypothèses!$V$13,Hypothèses!$W$13,IF(BZ237&lt;=Hypothèses!$V$14,Hypothèses!$W$14,IF(BZ237&lt;=Hypothèses!$V$15,Hypothèses!$W$15,IF(BZ237&lt;=Hypothèses!$V$16,Hypothèses!$W$16,IF(BZ237&lt;=Hypothèses!$V$17,Hypothèses!$W$17,IF(BZ237&lt;=Hypothèses!$V$18,Hypothèses!$W$18,""))))))))))))</f>
        <v>#DIV/0!</v>
      </c>
      <c r="CU237" s="87" t="e">
        <f t="shared" ca="1" si="420"/>
        <v>#DIV/0!</v>
      </c>
      <c r="CV237" s="88" t="e">
        <f ca="1">IF(BZ237&lt;=Hypothèses!$V$7,Hypothèses!$X$7,IF(BZ237&lt;=Hypothèses!$V$8,Hypothèses!$X$8,IF(BZ237&lt;=Hypothèses!$V$9,Hypothèses!$X$9,IF(BZ237&lt;=Hypothèses!$V$10,Hypothèses!$X$10,IF(BZ237&lt;=Hypothèses!$V$11,Hypothèses!$X$11,IF(BZ237&lt;=Hypothèses!$V$12,Hypothèses!$X$12,IF(BZ237&lt;=Hypothèses!$V$13,Hypothèses!$X$13,IF(BZ237&lt;=Hypothèses!$V$14,Hypothèses!$X$14,IF(BZ237&lt;=Hypothèses!$V$15,Hypothèses!$X$15,IF(BZ237&lt;=Hypothèses!$V$16,Hypothèses!$X$16,IF(BZ237&lt;=Hypothèses!$U$17,Hypothèses!$W$17,IF(BZ237&lt;=Hypothèses!$U$18,Hypothèses!$W$18,""))))))))))))</f>
        <v>#DIV/0!</v>
      </c>
      <c r="CW237" s="95" t="e">
        <f t="shared" ca="1" si="385"/>
        <v>#DIV/0!</v>
      </c>
      <c r="CX237" s="101" t="e">
        <f t="shared" si="427"/>
        <v>#N/A</v>
      </c>
      <c r="CY237" s="91" t="e">
        <f t="shared" si="354"/>
        <v>#N/A</v>
      </c>
      <c r="CZ237" s="30" t="e">
        <f t="shared" si="408"/>
        <v>#N/A</v>
      </c>
      <c r="DA237" s="30" t="e">
        <f t="shared" si="409"/>
        <v>#N/A</v>
      </c>
      <c r="DB237" s="31" t="e">
        <f>IF(OR(Hypothèses!$B$4=17,Hypothèses!$B$4=18,Hypothèses!$B$4=19,Hypothèses!$B$4=20),
IF($D237="Pressio.",
IF(OR($E237=3,$E237=1,$E237=4),DA237,CZ237),
IF($D237="Pénétro.",
IF(OR($E237=3,$E237=1,$E237=4),DA237,CZ237))),IF($D237="Pressio.",
IF($E237=3,DA237,CZ237),
IF($D237="Pénétro.",
IF($E237=4,DA237,CZ237))))</f>
        <v>#N/A</v>
      </c>
      <c r="DC237" s="31" t="e">
        <f>(IF(OR(Hypothèses!$B$4=17,Hypothèses!$B$4=18,Hypothèses!$B$4=19,Hypothèses!$B$4=20),
IF($D237="Pressio.",
IF(OR($E237=3,$E237=1,$E237=4),(PI()*DC$12^2)/4*(CY237*$W237*1000)/($H237*$B$5),(PI()*DC$12^2)/4*(CY237*$W237*1000)/($G237*$B$5)),
IF($D237="Pénétro.",
IF(OR($E237=4,$E237=1,$E237=5),(PI()*DC$12^2)/4*(CY237*$W237*1000)/($H237*$B$5),(PI()*DC$12^2)/4*(CY237*$W237*1000)/($G237*$B$5)))),
IF($D237="Pressio.",
IF($E237=3,(PI()*DC$12^2)/4*(CY237*$W237*1000)/($H237*$B$5),(PI()*DC$12^2)/4*(CY237*$W237*1000)/($G237*$B$5)),
IF($D237="Pénétro.",
IF($E237=4,(PI()*DC$12^2)/4*(CY237*$W237*1000)/($H237*$B$5),(PI()*DC$12^2)/4*(CY237*$W237*1000)/($G237*$B$5))))))/10</f>
        <v>#N/A</v>
      </c>
      <c r="DD237" s="102" t="e">
        <f>(VLOOKUP($B$3,'Coeff EC7'!$T$39:$X$59,2,0)*DB237+VLOOKUP($B$3,'Coeff EC7'!$T$65:$X$85,2,0)*Model0.1C!DC237)/1.1</f>
        <v>#N/A</v>
      </c>
      <c r="DE237" s="102" t="e">
        <f>(VLOOKUP($B$3,'Coeff EC7'!$T$39:$X$59,3,0)*DB237+VLOOKUP($B$3,'Coeff EC7'!$T$65:$X$85,3,0)*Model0.1C!DC237)/0.9</f>
        <v>#N/A</v>
      </c>
      <c r="DF237" s="102" t="e">
        <f t="shared" si="386"/>
        <v>#N/A</v>
      </c>
      <c r="DG237" s="102" t="e">
        <f t="shared" si="387"/>
        <v>#N/A</v>
      </c>
      <c r="DH237" s="414" t="e">
        <f>IF(DH236=0,0,IF(AND(DD237&gt;charge_ELS_quasi,DE237&gt;Charge_ELS_freq,DF237&gt;charge_ELU,DG237&gt;charge_ELA,$B237&gt;NDC!$H$22-0.1+MIN(3*$DH$12,1.5)),0,1))</f>
        <v>#N/A</v>
      </c>
      <c r="DI237" s="86" t="b">
        <f t="shared" si="355"/>
        <v>0</v>
      </c>
      <c r="DJ237" s="86">
        <f t="shared" si="356"/>
        <v>0.5</v>
      </c>
      <c r="DK237" s="86">
        <f t="shared" si="357"/>
        <v>0.5</v>
      </c>
      <c r="DL237" s="30" t="e">
        <f t="shared" ca="1" si="388"/>
        <v>#DIV/0!</v>
      </c>
      <c r="DM237" s="85" t="e">
        <f ca="1">IF(CS237&lt;=Hypothèses!$V$7,Hypothèses!$W$7,IF(CS237&lt;=Hypothèses!$V$8,Hypothèses!$W$8,IF(CS237&lt;=Hypothèses!$V$9,Hypothèses!$W$9,IF(CS237&lt;=Hypothèses!$V$10,Hypothèses!$W$10,IF(CS237&lt;=Hypothèses!$V$11,Hypothèses!$W$11,IF(CS237&lt;=Hypothèses!$V$12,Hypothèses!$W$12,IF(CS237&lt;=Hypothèses!$V$13,Hypothèses!$W$13,IF(CS237&lt;=Hypothèses!$V$14,Hypothèses!$W$14,IF(CS237&lt;=Hypothèses!$V$15,Hypothèses!$W$15,IF(CS237&lt;=Hypothèses!$V$16,Hypothèses!$W$16,IF(CS237&lt;=Hypothèses!$V$17,Hypothèses!$W$17,IF(CS237&lt;=Hypothèses!$V$18,Hypothèses!$W$18,""))))))))))))</f>
        <v>#DIV/0!</v>
      </c>
      <c r="DN237" s="87" t="e">
        <f t="shared" ca="1" si="421"/>
        <v>#DIV/0!</v>
      </c>
      <c r="DO237" s="88" t="e">
        <f ca="1">IF(CS237&lt;=Hypothèses!$V$7,Hypothèses!$X$7,IF(CS237&lt;=Hypothèses!$V$8,Hypothèses!$X$8,IF(CS237&lt;=Hypothèses!$V$9,Hypothèses!$X$9,IF(CS237&lt;=Hypothèses!$V$10,Hypothèses!$X$10,IF(CS237&lt;=Hypothèses!$V$11,Hypothèses!$X$11,IF(CS237&lt;=Hypothèses!$V$12,Hypothèses!$X$12,IF(CS237&lt;=Hypothèses!$V$13,Hypothèses!$X$13,IF(CS237&lt;=Hypothèses!$V$14,Hypothèses!$X$14,IF(CS237&lt;=Hypothèses!$V$15,Hypothèses!$X$15,IF(CS237&lt;=Hypothèses!$V$16,Hypothèses!$X$16,IF(CS237&lt;=Hypothèses!$U$17,Hypothèses!$W$17,IF(CS237&lt;=Hypothèses!$U$18,Hypothèses!$W$18,""))))))))))))</f>
        <v>#DIV/0!</v>
      </c>
      <c r="DP237" s="95" t="e">
        <f t="shared" ca="1" si="389"/>
        <v>#DIV/0!</v>
      </c>
      <c r="DQ237" s="101" t="e">
        <f t="shared" si="428"/>
        <v>#N/A</v>
      </c>
      <c r="DR237" s="91" t="e">
        <f t="shared" si="358"/>
        <v>#N/A</v>
      </c>
      <c r="DS237" s="30" t="e">
        <f t="shared" si="410"/>
        <v>#N/A</v>
      </c>
      <c r="DT237" s="30" t="e">
        <f t="shared" si="411"/>
        <v>#N/A</v>
      </c>
      <c r="DU237" s="31" t="e">
        <f>IF(OR(Hypothèses!$B$4=17,Hypothèses!$B$4=18,Hypothèses!$B$4=19,Hypothèses!$B$4=20),
IF($D237="Pressio.",
IF(OR($E237=3,$E237=1,$E237=4),DT237,DS237),
IF($D237="Pénétro.",
IF(OR($E237=3,$E237=1,$E237=4),DT237,DS237))),IF($D237="Pressio.",
IF($E237=3,DT237,DS237),
IF($D237="Pénétro.",
IF($E237=4,DT237,DS237))))</f>
        <v>#N/A</v>
      </c>
      <c r="DV237" s="31" t="e">
        <f>(IF(OR(Hypothèses!$B$4=17,Hypothèses!$B$4=18,Hypothèses!$B$4=19,Hypothèses!$B$4=20),
IF($D237="Pressio.",
IF(OR($E237=3,$E237=1,$E237=4),(PI()*DV$12^2)/4*(DR237*$W237*1000)/($H237*$B$5),(PI()*DV$12^2)/4*(DR237*$W237*1000)/($G237*$B$5)),
IF($D237="Pénétro.",
IF(OR($E237=4,$E237=1,$E237=5),(PI()*DV$12^2)/4*(DR237*$W237*1000)/($H237*$B$5),(PI()*DV$12^2)/4*(DR237*$W237*1000)/($G237*$B$5)))),
IF($D237="Pressio.",
IF($E237=3,(PI()*DV$12^2)/4*(DR237*$W237*1000)/($H237*$B$5),(PI()*DV$12^2)/4*(DR237*$W237*1000)/($G237*$B$5)),
IF($D237="Pénétro.",
IF($E237=4,(PI()*DV$12^2)/4*(DR237*$W237*1000)/($H237*$B$5),(PI()*DV$12^2)/4*(DR237*$W237*1000)/($G237*$B$5))))))/10</f>
        <v>#N/A</v>
      </c>
      <c r="DW237" s="102" t="e">
        <f>(VLOOKUP($B$3,'Coeff EC7'!$T$39:$X$59,2,0)*DU237+VLOOKUP($B$3,'Coeff EC7'!$T$65:$X$85,2,0)*Model0.1C!DV237)/1.1</f>
        <v>#N/A</v>
      </c>
      <c r="DX237" s="102" t="e">
        <f>(VLOOKUP($B$3,'Coeff EC7'!$T$39:$X$59,3,0)*DU237+VLOOKUP($B$3,'Coeff EC7'!$T$65:$X$85,3,0)*Model0.1C!DV237)/0.9</f>
        <v>#N/A</v>
      </c>
      <c r="DY237" s="102" t="e">
        <f t="shared" si="390"/>
        <v>#N/A</v>
      </c>
      <c r="DZ237" s="102" t="e">
        <f t="shared" si="391"/>
        <v>#N/A</v>
      </c>
      <c r="EA237" s="414" t="e">
        <f>IF(EA236=0,0,IF(AND(DW237&gt;charge_ELS_quasi,DX237&gt;Charge_ELS_freq,DY237&gt;charge_ELU,DZ237&gt;charge_ELA,$B237&gt;NDC!$H$22-0.1+MIN(3*$EA$12,1.5)),0,1))</f>
        <v>#N/A</v>
      </c>
      <c r="EB237" s="86" t="b">
        <f t="shared" si="359"/>
        <v>0</v>
      </c>
      <c r="EC237" s="418">
        <f t="shared" si="360"/>
        <v>0.51</v>
      </c>
      <c r="ED237" s="86">
        <f t="shared" si="361"/>
        <v>0.51</v>
      </c>
      <c r="EE237" s="30" t="e">
        <f t="shared" ca="1" si="392"/>
        <v>#DIV/0!</v>
      </c>
      <c r="EF237" s="85" t="e">
        <f ca="1">IF(DL237&lt;=Hypothèses!$V$7,Hypothèses!$W$7,IF(DL237&lt;=Hypothèses!$V$8,Hypothèses!$W$8,IF(DL237&lt;=Hypothèses!$V$9,Hypothèses!$W$9,IF(DL237&lt;=Hypothèses!$V$10,Hypothèses!$W$10,IF(DL237&lt;=Hypothèses!$V$11,Hypothèses!$W$11,IF(DL237&lt;=Hypothèses!$V$12,Hypothèses!$W$12,IF(DL237&lt;=Hypothèses!$V$13,Hypothèses!$W$13,IF(DL237&lt;=Hypothèses!$V$14,Hypothèses!$W$14,IF(DL237&lt;=Hypothèses!$V$15,Hypothèses!$W$15,IF(DL237&lt;=Hypothèses!$V$16,Hypothèses!$W$16,IF(DL237&lt;=Hypothèses!$V$17,Hypothèses!$W$17,IF(DL237&lt;=Hypothèses!$V$18,Hypothèses!$W$18,""))))))))))))</f>
        <v>#DIV/0!</v>
      </c>
      <c r="EG237" s="87" t="e">
        <f t="shared" ca="1" si="422"/>
        <v>#DIV/0!</v>
      </c>
      <c r="EH237" s="88" t="e">
        <f ca="1">IF(DL237&lt;=Hypothèses!$V$7,Hypothèses!$X$7,IF(DL237&lt;=Hypothèses!$V$8,Hypothèses!$X$8,IF(DL237&lt;=Hypothèses!$V$9,Hypothèses!$X$9,IF(DL237&lt;=Hypothèses!$V$10,Hypothèses!$X$10,IF(DL237&lt;=Hypothèses!$V$11,Hypothèses!$X$11,IF(DL237&lt;=Hypothèses!$V$12,Hypothèses!$X$12,IF(DL237&lt;=Hypothèses!$V$13,Hypothèses!$X$13,IF(DL237&lt;=Hypothèses!$V$14,Hypothèses!$X$14,IF(DL237&lt;=Hypothèses!$V$15,Hypothèses!$X$15,IF(DL237&lt;=Hypothèses!$V$16,Hypothèses!$X$16,IF(DL237&lt;=Hypothèses!$U$17,Hypothèses!$W$17,IF(DL237&lt;=Hypothèses!$U$18,Hypothèses!$W$18,""))))))))))))</f>
        <v>#DIV/0!</v>
      </c>
      <c r="EI237" s="95" t="e">
        <f t="shared" ca="1" si="393"/>
        <v>#DIV/0!</v>
      </c>
      <c r="EJ237" s="101" t="e">
        <f t="shared" si="429"/>
        <v>#N/A</v>
      </c>
      <c r="EK237" s="91" t="e">
        <f t="shared" si="362"/>
        <v>#N/A</v>
      </c>
      <c r="EL237" s="30" t="e">
        <f t="shared" si="412"/>
        <v>#N/A</v>
      </c>
      <c r="EM237" s="30" t="e">
        <f t="shared" si="413"/>
        <v>#N/A</v>
      </c>
      <c r="EN237" s="31" t="e">
        <f>IF(OR(Hypothèses!$B$4=17,Hypothèses!$B$4=18,Hypothèses!$B$4=19,Hypothèses!$B$4=20),
IF($D237="Pressio.",
IF(OR($E237=3,$E237=1,$E237=4),EM237,EL237),
IF($D237="Pénétro.",
IF(OR($E237=3,$E237=1,$E237=4),EM237,EL237))),IF($D237="Pressio.",
IF($E237=3,EM237,EL237),
IF($D237="Pénétro.",
IF($E237=4,EM237,EL237))))</f>
        <v>#N/A</v>
      </c>
      <c r="EO237" s="31" t="e">
        <f>(IF(OR(Hypothèses!$B$4=17,Hypothèses!$B$4=18,Hypothèses!$B$4=19,Hypothèses!$B$4=20),
IF($D237="Pressio.",
IF(OR($E237=3,$E237=1,$E237=4),(PI()*EO$12^2)/4*(EK237*$W237*1000)/($H237*$B$5),(PI()*EO$12^2)/4*(EK237*$W237*1000)/($G237*$B$5)),
IF($D237="Pénétro.",
IF(OR($E237=4,$E237=1,$E237=5),(PI()*EO$12^2)/4*(EK237*$W237*1000)/($H237*$B$5),(PI()*EO$12^2)/4*(EK237*$W237*1000)/($G237*$B$5)))),
IF($D237="Pressio.",
IF($E237=3,(PI()*EO$12^2)/4*(EK237*$W237*1000)/($H237*$B$5),(PI()*EO$12^2)/4*(EK237*$W237*1000)/($G237*$B$5)),
IF($D237="Pénétro.",
IF($E237=4,(PI()*EO$12^2)/4*(EK237*$W237*1000)/($H237*$B$5),(PI()*EO$12^2)/4*(EK237*$W237*1000)/($G237*$B$5))))))/10</f>
        <v>#N/A</v>
      </c>
      <c r="EP237" s="102" t="e">
        <f>(VLOOKUP($B$3,'Coeff EC7'!$T$39:$X$59,2,0)*EN237+VLOOKUP($B$3,'Coeff EC7'!$T$65:$X$85,2,0)*Model0.1C!EO237)/1.1</f>
        <v>#N/A</v>
      </c>
      <c r="EQ237" s="102" t="e">
        <f>(VLOOKUP($B$3,'Coeff EC7'!$T$39:$X$59,3,0)*EN237+VLOOKUP($B$3,'Coeff EC7'!$T$65:$X$85,3,0)*Model0.1C!EO237)/0.9</f>
        <v>#N/A</v>
      </c>
      <c r="ER237" s="102" t="e">
        <f t="shared" si="394"/>
        <v>#N/A</v>
      </c>
      <c r="ES237" s="102" t="e">
        <f t="shared" si="395"/>
        <v>#N/A</v>
      </c>
      <c r="ET237" s="414" t="e">
        <f>IF(ET236=0,0,IF(AND(EP237&gt;charge_ELS_quasi,EQ237&gt;Charge_ELS_freq,ER237&gt;charge_ELU,ES237&gt;charge_ELA,$B237&gt;NDC!$H$22-0.1+MIN(3*$ET$12,1.5)),0,1))</f>
        <v>#N/A</v>
      </c>
      <c r="EU237" s="86" t="b">
        <f t="shared" si="363"/>
        <v>0</v>
      </c>
      <c r="EV237" s="86">
        <f t="shared" si="364"/>
        <v>0.61</v>
      </c>
      <c r="EW237" s="86">
        <f t="shared" si="365"/>
        <v>0.61</v>
      </c>
      <c r="EX237" s="30" t="e">
        <f t="shared" ca="1" si="396"/>
        <v>#DIV/0!</v>
      </c>
      <c r="EY237" s="85" t="e">
        <f ca="1">IF(EE237&lt;=Hypothèses!$V$7,Hypothèses!$W$7,IF(EE237&lt;=Hypothèses!$V$8,Hypothèses!$W$8,IF(EE237&lt;=Hypothèses!$V$9,Hypothèses!$W$9,IF(EE237&lt;=Hypothèses!$V$10,Hypothèses!$W$10,IF(EE237&lt;=Hypothèses!$V$11,Hypothèses!$W$11,IF(EE237&lt;=Hypothèses!$V$12,Hypothèses!$W$12,IF(EE237&lt;=Hypothèses!$V$13,Hypothèses!$W$13,IF(EE237&lt;=Hypothèses!$V$14,Hypothèses!$W$14,IF(EE237&lt;=Hypothèses!$V$15,Hypothèses!$W$15,IF(EE237&lt;=Hypothèses!$V$16,Hypothèses!$W$16,IF(EE237&lt;=Hypothèses!$V$17,Hypothèses!$W$17,IF(EE237&lt;=Hypothèses!$V$18,Hypothèses!$W$18,""))))))))))))</f>
        <v>#DIV/0!</v>
      </c>
      <c r="EZ237" s="87" t="e">
        <f t="shared" ca="1" si="423"/>
        <v>#DIV/0!</v>
      </c>
      <c r="FA237" s="88" t="e">
        <f ca="1">IF(EE237&lt;=Hypothèses!$V$7,Hypothèses!$X$7,IF(EE237&lt;=Hypothèses!$V$8,Hypothèses!$X$8,IF(EE237&lt;=Hypothèses!$V$9,Hypothèses!$X$9,IF(EE237&lt;=Hypothèses!$V$10,Hypothèses!$X$10,IF(EE237&lt;=Hypothèses!$V$11,Hypothèses!$X$11,IF(EE237&lt;=Hypothèses!$V$12,Hypothèses!$X$12,IF(EE237&lt;=Hypothèses!$V$13,Hypothèses!$X$13,IF(EE237&lt;=Hypothèses!$V$14,Hypothèses!$X$14,IF(EE237&lt;=Hypothèses!$V$15,Hypothèses!$X$15,IF(EE237&lt;=Hypothèses!$V$16,Hypothèses!$X$16,IF(EE237&lt;=Hypothèses!$U$17,Hypothèses!$W$17,IF(EE237&lt;=Hypothèses!$U$18,Hypothèses!$W$18,""))))))))))))</f>
        <v>#DIV/0!</v>
      </c>
      <c r="FB237" s="95" t="e">
        <f t="shared" ca="1" si="397"/>
        <v>#DIV/0!</v>
      </c>
      <c r="FC237" s="101" t="e">
        <f t="shared" si="430"/>
        <v>#N/A</v>
      </c>
      <c r="FD237" s="91" t="e">
        <f t="shared" si="366"/>
        <v>#N/A</v>
      </c>
      <c r="FE237" s="30" t="e">
        <f t="shared" si="414"/>
        <v>#N/A</v>
      </c>
      <c r="FF237" s="30" t="e">
        <f t="shared" si="415"/>
        <v>#N/A</v>
      </c>
      <c r="FG237" s="31" t="e">
        <f>IF(OR(Hypothèses!$B$4=17,Hypothèses!$B$4=18,Hypothèses!$B$4=19,Hypothèses!$B$4=20),
IF($D237="Pressio.",
IF(OR($E237=3,$E237=1,$E237=4),FF237,FE237),
IF($D237="Pénétro.",
IF(OR($E237=3,$E237=1,$E237=4),FF237,FE237))),IF($D237="Pressio.",
IF($E237=3,FF237,FE237),
IF($D237="Pénétro.",
IF($E237=4,FF237,FE237))))</f>
        <v>#N/A</v>
      </c>
      <c r="FH237" s="31" t="e">
        <f>(IF(OR(Hypothèses!$B$4=17,Hypothèses!$B$4=18,Hypothèses!$B$4=19,Hypothèses!$B$4=20),
IF($D237="Pressio.",
IF(OR($E237=3,$E237=1,$E237=4),(PI()*FH$12^2)/4*(FD237*$W237*1000)/($H237*$B$5),(PI()*FH$12^2)/4*(FD237*$W237*1000)/($G237*$B$5)),
IF($D237="Pénétro.",
IF(OR($E237=4,$E237=1,$E237=5),(PI()*FH$12^2)/4*(FD237*$W237*1000)/($H237*$B$5),(PI()*FH$12^2)/4*(FD237*$W237*1000)/($G237*$B$5)))),
IF($D237="Pressio.",
IF($E237=3,(PI()*FH$12^2)/4*(FD237*$W237*1000)/($H237*$B$5),(PI()*FH$12^2)/4*(FD237*$W237*1000)/($G237*$B$5)),
IF($D237="Pénétro.",
IF($E237=4,(PI()*FH$12^2)/4*(FD237*$W237*1000)/($H237*$B$5),(PI()*FH$12^2)/4*(FD237*$W237*1000)/($G237*$B$5))))))/10</f>
        <v>#N/A</v>
      </c>
      <c r="FI237" s="102" t="e">
        <f>(VLOOKUP($B$3,'Coeff EC7'!$T$39:$X$59,2,0)*FG237+VLOOKUP($B$3,'Coeff EC7'!$T$65:$X$85,2,0)*Model0.1C!FH237)/1.1</f>
        <v>#N/A</v>
      </c>
      <c r="FJ237" s="102" t="e">
        <f>(VLOOKUP($B$3,'Coeff EC7'!$T$39:$X$59,3,0)*FG237+VLOOKUP($B$3,'Coeff EC7'!$T$65:$X$85,3,0)*Model0.1C!FH237)/0.9</f>
        <v>#N/A</v>
      </c>
      <c r="FK237" s="102" t="e">
        <f t="shared" si="398"/>
        <v>#N/A</v>
      </c>
      <c r="FL237" s="102" t="e">
        <f t="shared" si="399"/>
        <v>#N/A</v>
      </c>
      <c r="FM237" s="414" t="e">
        <f>IF(FM236=0,0,IF(AND(FI237&gt;charge_ELS_quasi,FJ237&gt;Charge_ELS_freq,FK237&gt;charge_ELU,FL237&gt;charge_ELA,$B237&gt;NDC!$H$22-0.1+MIN(3*$FM$12,1.5)),0,1))</f>
        <v>#N/A</v>
      </c>
    </row>
    <row r="238" spans="1:169">
      <c r="A238" s="96">
        <f t="shared" si="367"/>
        <v>77.500000000001279</v>
      </c>
      <c r="B238" s="97">
        <v>22.5</v>
      </c>
      <c r="C238" s="81">
        <f>IF(B238&lt;=Hypothèses!$C$7,Hypothèses!$A$7,IF(B238&lt;=Hypothèses!$C$8,Hypothèses!$A$8,IF(B238&lt;=Hypothèses!$C$9,Hypothèses!$A$9,IF(B238&lt;=Hypothèses!$C$10,Hypothèses!$A$10,IF(B238&lt;=Hypothèses!$C$11,Hypothèses!$A$11,IF(B238&lt;=Hypothèses!$C$12,Hypothèses!$A$12,IF(B238&lt;=Hypothèses!$C$13,Hypothèses!$A$13,IF(B238&lt;=Hypothèses!$C$14,Hypothèses!$A$14,IF(B238&lt;=Hypothèses!$C$15,Hypothèses!$A$15,IF(B238&lt;=Hypothèses!$C$16,Hypothèses!$A$16,IF(B238&lt;=Hypothèses!$C$17,Hypothèses!$A$17,IF(B238&lt;=Hypothèses!$C$18,Hypothèses!$A$18,C237))))))))))))</f>
        <v>11</v>
      </c>
      <c r="D238" s="82" t="str">
        <f>IF(B238&lt;=Hypothèses!$C$7,Hypothèses!$R$7,IF(B238&lt;=Hypothèses!$C$8,Hypothèses!$R$8,IF(B238&lt;=Hypothèses!$C$9,Hypothèses!$R$9,IF(B238&lt;=Hypothèses!$C$10,Hypothèses!$R$10,IF(B238&lt;=Hypothèses!$C$11,Hypothèses!$R$11,IF(B238&lt;=Hypothèses!$C$12,Hypothèses!$R$12,IF(B238&lt;=Hypothèses!$C$13,Hypothèses!$R$13,IF(B238&lt;=Hypothèses!$C$14,Hypothèses!$R$14,IF(B238&lt;=Hypothèses!$C$15,Hypothèses!$R$15,IF(B238&lt;=Hypothèses!$C$16,Hypothèses!$R$16,IF(B238&lt;=Hypothèses!$C$17,Hypothèses!$R$17,IF(B238&lt;=Hypothèses!$C$18,Hypothèses!$R$18,D237))))))))))))</f>
        <v>Pressio.</v>
      </c>
      <c r="E238" s="82" t="e">
        <f>IF(B238&lt;=Hypothèses!$C$7,Hypothèses!$G$7,IF(B238&lt;=Hypothèses!$C$8,Hypothèses!$G$8,IF(B238&lt;=Hypothèses!$C$9,Hypothèses!$G$9,IF(B238&lt;=Hypothèses!$C$10,Hypothèses!$G$10,IF(B238&lt;=Hypothèses!$C$11,Hypothèses!$G$11,IF(B238&lt;=Hypothèses!$C$12,Hypothèses!$G$12,IF(B238&lt;=Hypothèses!$C$13,Hypothèses!$G$13,IF(B238&lt;=Hypothèses!$C$14,Hypothèses!$G$14,IF(B238&lt;=Hypothèses!$C$15,Hypothèses!$G$15,IF(B238&lt;=Hypothèses!$C$16,Hypothèses!$G$16,IF(B238&lt;=Hypothèses!$C$17,Hypothèses!$G$17,IF(B238&lt;=Hypothèses!$C$18,Hypothèses!$G$18,E237))))))))))))</f>
        <v>#N/A</v>
      </c>
      <c r="F238" s="82" t="str">
        <f>IF(B238&lt;=Hypothèses!$C$7,Hypothèses!$F$7,IF(B238&lt;=Hypothèses!$C$8,Hypothèses!$F$8,IF(B238&lt;=Hypothèses!$C$9,Hypothèses!$F$9,IF(B238&lt;=Hypothèses!$C$10,Hypothèses!$F$10,IF(B238&lt;=Hypothèses!$C$11,Hypothèses!$F$11,IF(B238&lt;=Hypothèses!$C$12,Hypothèses!$F$12,IF(B238&lt;=Hypothèses!$C$13,Hypothèses!$F$13,IF(B238&lt;=Hypothèses!$C$14,Hypothèses!$F$14,IF(B238&lt;=Hypothèses!$C$15,Hypothèses!$F$15,IF(B238&lt;=Hypothèses!$C$16,Hypothèses!$F$16,IF(B238&lt;=Hypothèses!$C$17,Hypothèses!$F$17,IF(B238&lt;=Hypothèses!$C$18,Hypothèses!$F$18,F237))))))))))))</f>
        <v/>
      </c>
      <c r="G238" s="91">
        <f t="array" ref="G238">INDEX('Coeff EC7'!$U$7:$X$27,
MATCH(Model0.1C!$B$3,'Coeff EC7'!$T$7:$T$27,0),
MATCH(Model0.1C!$D238&amp;Model0.1C!$B$4,
'Coeff EC7'!$U$6:$X$6&amp;
'Coeff EC7'!$U$5:$X$5,0))</f>
        <v>1.1499999999999999</v>
      </c>
      <c r="H238" s="91">
        <f t="array" ref="H238">INDEX('Coeff EC7'!$Y$7:$AB$27,
MATCH(Model0.1C!$B$3,'Coeff EC7'!$T$7:$T$27,0),
MATCH(Model0.1C!$D238&amp;Model0.1C!$B$4,
'Coeff EC7'!$Y$6:$AB$6&amp;
'Coeff EC7'!$Y$5:$AB$5,0))</f>
        <v>1.4</v>
      </c>
      <c r="I238" s="83" t="e">
        <f>IF(B238&lt;=Hypothèses!$C$7,Hypothèses!$P$7,IF(B238&lt;=Hypothèses!$C$8,Hypothèses!$P$8,IF(B238&lt;=Hypothèses!$C$9,Hypothèses!$P$9,IF(B238&lt;=Hypothèses!$C$10,Hypothèses!$P$10,IF(B238&lt;=Hypothèses!$C$11,Hypothèses!$P$11,IF(B238&lt;=Hypothèses!$C$12,Hypothèses!$P$12,IF(B238&lt;=Hypothèses!$C$13,Hypothèses!$P$13,IF(B238&lt;=Hypothèses!$C$14,Hypothèses!$P$14,IF(B238&lt;=Hypothèses!$C$15,Hypothèses!$P$15,IF(B238&lt;=Hypothèses!$C$16,Hypothèses!$P$16,IF(B238&lt;=Hypothèses!$C$17,Hypothèses!$P$17,IF(B238&lt;=Hypothèses!$C$18,Hypothèses!$P$18,I237))))))))))))</f>
        <v>#N/A</v>
      </c>
      <c r="J238" s="91" t="e">
        <f t="array" ref="J238">INDEX('Coeff EC7'!$D$33:$Q$33,1,MATCH(D238&amp;E238,'Coeff EC7'!$D$31:$Q$31&amp;'Coeff EC7'!$D$32:$Q$32,0))</f>
        <v>#N/A</v>
      </c>
      <c r="K238" s="91" t="e">
        <f t="array" ref="K238">INDEX('Coeff EC7'!$D$34:$Q$34,1,MATCH(D238&amp;E238,'Coeff EC7'!$D$31:$Q$31&amp;'Coeff EC7'!$D$32:$Q$32,0))</f>
        <v>#N/A</v>
      </c>
      <c r="L238" s="91" t="e">
        <f t="array" ref="L238">INDEX('Coeff EC7'!$D$35:$Q$35,1,MATCH(D238&amp;E238,'Coeff EC7'!$D$31:$Q$31&amp;'Coeff EC7'!$D$32:$Q$32,0))</f>
        <v>#N/A</v>
      </c>
      <c r="M238" s="98" t="e">
        <f t="shared" si="331"/>
        <v>#N/A</v>
      </c>
      <c r="N238" s="99" t="e">
        <f t="array" ref="N238">INDEX('Coeff EC7'!$D$7:$Q$27,MATCH($B$3,'Coeff EC7'!$C$7:$C$27,0),MATCH(D238&amp;E238,'Coeff EC7'!$D$5:$Q$5&amp;'Coeff EC7'!$D$6:$Q$6,0))</f>
        <v>#N/A</v>
      </c>
      <c r="O238" s="99" t="e">
        <f t="array" ref="O238">INDEX('Coeff EC7'!$D$41:$Q$61,MATCH($B$3,'Coeff EC7'!$C$41:$C$61,0),MATCH(D238&amp;E238,'Coeff EC7'!$D$39:$Q$39&amp;'Coeff EC7'!$D$40:$Q$40,0))</f>
        <v>#N/A</v>
      </c>
      <c r="P238" s="30" t="e">
        <f t="shared" si="368"/>
        <v>#N/A</v>
      </c>
      <c r="Q238" s="100" t="e">
        <f t="shared" si="333"/>
        <v>#N/A</v>
      </c>
      <c r="R238" s="86" t="b">
        <f t="shared" si="334"/>
        <v>0</v>
      </c>
      <c r="S238" s="86">
        <f t="shared" si="332"/>
        <v>0.5</v>
      </c>
      <c r="T238" s="86">
        <f t="shared" si="335"/>
        <v>0.5</v>
      </c>
      <c r="U238" s="30" t="e">
        <f t="shared" ca="1" si="369"/>
        <v>#DIV/0!</v>
      </c>
      <c r="V238" s="85" t="str">
        <f>IF(B238&lt;=Hypothèses!$V$7,Hypothèses!$W$7,IF(B238&lt;=Hypothèses!$V$8,Hypothèses!$W$8,IF(B238&lt;=Hypothèses!$V$9,Hypothèses!$W$9,IF(B238&lt;=Hypothèses!$V$10,Hypothèses!$W$10,IF(B238&lt;=Hypothèses!$V$11,Hypothèses!$W$11,IF(B238&lt;=Hypothèses!$V$12,Hypothèses!$W$12,IF(B238&lt;=Hypothèses!$V$13,Hypothèses!$W$13,IF(B238&lt;=Hypothèses!$V$14,Hypothèses!$W$14,IF(B238&lt;=Hypothèses!$V$15,Hypothèses!$W$15,IF(B238&lt;=Hypothèses!$V$16,Hypothèses!$W$16,IF(B238&lt;=Hypothèses!$V$17,Hypothèses!$W$17,IF(B238&lt;=Hypothèses!$V$18,Hypothèses!$W$18,""))))))))))))</f>
        <v/>
      </c>
      <c r="W238" s="87" t="e">
        <f t="shared" ca="1" si="416"/>
        <v>#DIV/0!</v>
      </c>
      <c r="X238" s="88" t="str">
        <f>IF(B238&lt;=Hypothèses!$V$7,Hypothèses!$X$7,IF(B238&lt;=Hypothèses!$V$8,Hypothèses!$X$8,IF(B238&lt;=Hypothèses!$V$9,Hypothèses!$X$9,IF(B238&lt;=Hypothèses!$V$10,Hypothèses!$X$10,IF(B238&lt;=Hypothèses!$V$11,Hypothèses!$X$11,IF(B238&lt;=Hypothèses!$V$12,Hypothèses!$X$12,IF(B238&lt;=Hypothèses!$V$13,Hypothèses!$X$13,IF(B238&lt;=Hypothèses!$V$14,Hypothèses!$X$14,IF(B238&lt;=Hypothèses!$V$15,Hypothèses!$X$15,IF(B238&lt;=Hypothèses!$V$16,Hypothèses!$X$16,IF(B238&lt;=Hypothèses!$U$17,Hypothèses!$W$17,IF(B238&lt;=Hypothèses!$U$18,Hypothèses!$W$18,""))))))))))))</f>
        <v/>
      </c>
      <c r="Y238" s="95" t="e">
        <f t="shared" ca="1" si="336"/>
        <v>#DIV/0!</v>
      </c>
      <c r="Z238" s="101" t="e">
        <f t="shared" si="337"/>
        <v>#N/A</v>
      </c>
      <c r="AA238" s="91" t="e">
        <f t="shared" si="338"/>
        <v>#N/A</v>
      </c>
      <c r="AB238" s="30" t="e">
        <f t="shared" si="400"/>
        <v>#N/A</v>
      </c>
      <c r="AC238" s="30" t="e">
        <f t="shared" si="401"/>
        <v>#N/A</v>
      </c>
      <c r="AD238" s="31" t="e">
        <f>IF(OR(Hypothèses!$B$4=17,Hypothèses!$B$4=18,Hypothèses!$B$4=19,Hypothèses!$B$4=20),
IF($D238="Pressio.",
IF(OR($E238=3,$E238=1,$E238=4),AC238,AB238),
IF($D238="Pénétro.",
IF(OR($E238=3,$E238=1,$E238=4),AC238,AB238))),IF($D238="Pressio.",
IF($E238=3,AC238,AB238),
IF($D238="Pénétro.",
IF($E238=4,AC238,AB238))))</f>
        <v>#N/A</v>
      </c>
      <c r="AE238" s="31" t="e">
        <f>(IF(OR(Hypothèses!$B$4=17,Hypothèses!$B$4=18,Hypothèses!$B$4=19,Hypothèses!$B$4=20),
IF($D238="Pressio.",
IF(OR($E238=3,$E238=1,$E238=4),(PI()*AE$12^2)/4*(AA238*$W238*1000)/($H238*$B$5),(PI()*AE$12^2)/4*(AA238*$W238*1000)/($G238*$B$5)),
IF($D238="Pénétro.",
IF(OR($E238=4,$E238=1,$E238=5),(PI()*AE$12^2)/4*(AA238*$W238*1000)/($H238*$B$5),(PI()*AE$12^2)/4*(AA238*$W238*1000)/($G238*$B$5)))),
IF($D238="Pressio.",
IF($E238=3,(PI()*AE$12^2)/4*(AA238*$W238*1000)/($H238*$B$5),(PI()*AE$12^2)/4*(AA238*$W238*1000)/($G238*$B$5)),
IF($D238="Pénétro.",
IF($E238=4,(PI()*AE$12^2)/4*(AA238*$W238*1000)/($H238*$B$5),(PI()*AE$12^2)/4*(AA238*$W238*1000)/($G238*$B$5))))))/10</f>
        <v>#N/A</v>
      </c>
      <c r="AF238" s="102" t="e">
        <f>(VLOOKUP($B$3,'Coeff EC7'!$T$39:$X$59,2,0)*AD238+VLOOKUP($B$3,'Coeff EC7'!$T$65:$X$85,2,0)*Model0.1C!AE238)/1.1</f>
        <v>#N/A</v>
      </c>
      <c r="AG238" s="102" t="e">
        <f>(VLOOKUP($B$3,'Coeff EC7'!$T$39:$X$59,3,0)*AD238+VLOOKUP($B$3,'Coeff EC7'!$T$65:$X$85,3,0)*Model0.1C!AE238)/0.9</f>
        <v>#N/A</v>
      </c>
      <c r="AH238" s="102" t="e">
        <f t="shared" si="339"/>
        <v>#N/A</v>
      </c>
      <c r="AI238" s="102" t="e">
        <f t="shared" si="340"/>
        <v>#N/A</v>
      </c>
      <c r="AJ238" s="414" t="e">
        <f>IF(AJ237=0,0,IF(AND(AF238&gt;charge_ELS_quasi,AG238&gt;Charge_ELS_freq,AH238&gt;charge_ELU,AI238&gt;charge_ELA,$B238&gt;NDC!$H$22-0.1+MIN(3*$AJ$12,1.5)),0,1))</f>
        <v>#N/A</v>
      </c>
      <c r="AK238" s="86" t="b">
        <f t="shared" si="341"/>
        <v>0</v>
      </c>
      <c r="AL238" s="86">
        <f t="shared" si="370"/>
        <v>0.5</v>
      </c>
      <c r="AM238" s="86">
        <f t="shared" si="342"/>
        <v>0.5</v>
      </c>
      <c r="AN238" s="30" t="e">
        <f t="shared" ca="1" si="371"/>
        <v>#DIV/0!</v>
      </c>
      <c r="AO238" s="85" t="e">
        <f ca="1">IF(U238&lt;=Hypothèses!$V$7,Hypothèses!$W$7,IF(U238&lt;=Hypothèses!$V$8,Hypothèses!$W$8,IF(U238&lt;=Hypothèses!$V$9,Hypothèses!$W$9,IF(U238&lt;=Hypothèses!$V$10,Hypothèses!$W$10,IF(U238&lt;=Hypothèses!$V$11,Hypothèses!$W$11,IF(U238&lt;=Hypothèses!$V$12,Hypothèses!$W$12,IF(U238&lt;=Hypothèses!$V$13,Hypothèses!$W$13,IF(U238&lt;=Hypothèses!$V$14,Hypothèses!$W$14,IF(U238&lt;=Hypothèses!$V$15,Hypothèses!$W$15,IF(U238&lt;=Hypothèses!$V$16,Hypothèses!$W$16,IF(U238&lt;=Hypothèses!$V$17,Hypothèses!$W$17,IF(U238&lt;=Hypothèses!$V$18,Hypothèses!$W$18,""))))))))))))</f>
        <v>#DIV/0!</v>
      </c>
      <c r="AP238" s="87" t="e">
        <f t="shared" ca="1" si="417"/>
        <v>#DIV/0!</v>
      </c>
      <c r="AQ238" s="88" t="e">
        <f ca="1">IF(U238&lt;=Hypothèses!$V$7,Hypothèses!$X$7,IF(U238&lt;=Hypothèses!$V$8,Hypothèses!$X$8,IF(U238&lt;=Hypothèses!$V$9,Hypothèses!$X$9,IF(U238&lt;=Hypothèses!$V$10,Hypothèses!$X$10,IF(U238&lt;=Hypothèses!$V$11,Hypothèses!$X$11,IF(U238&lt;=Hypothèses!$V$12,Hypothèses!$X$12,IF(U238&lt;=Hypothèses!$V$13,Hypothèses!$X$13,IF(U238&lt;=Hypothèses!$V$14,Hypothèses!$X$14,IF(U238&lt;=Hypothèses!$V$15,Hypothèses!$X$15,IF(U238&lt;=Hypothèses!$V$16,Hypothèses!$X$16,IF(U238&lt;=Hypothèses!$U$17,Hypothèses!$W$17,IF(U238&lt;=Hypothèses!$U$18,Hypothèses!$W$18,""))))))))))))</f>
        <v>#DIV/0!</v>
      </c>
      <c r="AR238" s="95" t="e">
        <f t="shared" ca="1" si="372"/>
        <v>#DIV/0!</v>
      </c>
      <c r="AS238" s="101" t="e">
        <f t="shared" si="424"/>
        <v>#N/A</v>
      </c>
      <c r="AT238" s="91" t="e">
        <f t="shared" si="343"/>
        <v>#N/A</v>
      </c>
      <c r="AU238" s="30" t="e">
        <f t="shared" si="402"/>
        <v>#N/A</v>
      </c>
      <c r="AV238" s="30" t="e">
        <f t="shared" si="403"/>
        <v>#N/A</v>
      </c>
      <c r="AW238" s="31" t="e">
        <f>IF(OR(Hypothèses!$B$4=17,Hypothèses!$B$4=18,Hypothèses!$B$4=19,Hypothèses!$B$4=20),
IF($D238="Pressio.",
IF(OR($E238=3,$E238=1,$E238=4),AV238,AU238),
IF($D238="Pénétro.",
IF(OR($E238=3,$E238=1,$E238=4),AV238,AU238))),IF($D238="Pressio.",
IF($E238=3,AV238,AU238),
IF($D238="Pénétro.",
IF($E238=4,AV238,AU238))))</f>
        <v>#N/A</v>
      </c>
      <c r="AX238" s="31" t="e">
        <f>(IF(OR(Hypothèses!$B$4=17,Hypothèses!$B$4=18,Hypothèses!$B$4=19,Hypothèses!$B$4=20),
IF($D238="Pressio.",
IF(OR($E238=3,$E238=1,$E238=4),(PI()*AX$12^2)/4*(AT238*$W238*1000)/($H238*$B$5),(PI()*AX$12^2)/4*(AT238*$W238*1000)/($G238*$B$5)),
IF($D238="Pénétro.",
IF(OR($E238=4,$E238=1,$E238=5),(PI()*AX$12^2)/4*(AT238*$W238*1000)/($H238*$B$5),(PI()*AX$12^2)/4*(AT238*$W238*1000)/($G238*$B$5)))),
IF($D238="Pressio.",
IF($E238=3,(PI()*AX$12^2)/4*(AT238*$W238*1000)/($H238*$B$5),(PI()*AX$12^2)/4*(AT238*$W238*1000)/($G238*$B$5)),
IF($D238="Pénétro.",
IF($E238=4,(PI()*AX$12^2)/4*(AT238*$W238*1000)/($H238*$B$5),(PI()*AX$12^2)/4*(AT238*$W238*1000)/($G238*$B$5))))))/10</f>
        <v>#N/A</v>
      </c>
      <c r="AY238" s="102" t="e">
        <f>(VLOOKUP($B$3,'Coeff EC7'!$T$39:$X$59,2,0)*AW238+VLOOKUP($B$3,'Coeff EC7'!$T$65:$X$85,2,0)*Model0.1C!AX238)/1.1</f>
        <v>#N/A</v>
      </c>
      <c r="AZ238" s="102" t="e">
        <f>(VLOOKUP($B$3,'Coeff EC7'!$T$39:$X$59,3,0)*AW238+VLOOKUP($B$3,'Coeff EC7'!$T$65:$X$85,3,0)*Model0.1C!AX238)/0.9</f>
        <v>#N/A</v>
      </c>
      <c r="BA238" s="102" t="e">
        <f t="shared" si="373"/>
        <v>#N/A</v>
      </c>
      <c r="BB238" s="102" t="e">
        <f t="shared" si="374"/>
        <v>#N/A</v>
      </c>
      <c r="BC238" s="414" t="e">
        <f>IF(BC237=0,0,IF(AND(AY238&gt;charge_ELS_quasi,AZ238&gt;Charge_ELS_freq,BA238&gt;charge_ELU,BB238&gt;charge_ELA,$B238&gt;NDC!$H$22-0.1+MIN(3*$BC$12,1.5)),0,1))</f>
        <v>#N/A</v>
      </c>
      <c r="BD238" s="86" t="b">
        <f t="shared" si="344"/>
        <v>0</v>
      </c>
      <c r="BE238" s="86">
        <f t="shared" si="375"/>
        <v>0.5</v>
      </c>
      <c r="BF238" s="86">
        <f t="shared" si="345"/>
        <v>0.5</v>
      </c>
      <c r="BG238" s="30" t="e">
        <f t="shared" ca="1" si="376"/>
        <v>#DIV/0!</v>
      </c>
      <c r="BH238" s="85" t="e">
        <f ca="1">IF(AN238&lt;=Hypothèses!$V$7,Hypothèses!$W$7,IF(AN238&lt;=Hypothèses!$V$8,Hypothèses!$W$8,IF(AN238&lt;=Hypothèses!$V$9,Hypothèses!$W$9,IF(AN238&lt;=Hypothèses!$V$10,Hypothèses!$W$10,IF(AN238&lt;=Hypothèses!$V$11,Hypothèses!$W$11,IF(AN238&lt;=Hypothèses!$V$12,Hypothèses!$W$12,IF(AN238&lt;=Hypothèses!$V$13,Hypothèses!$W$13,IF(AN238&lt;=Hypothèses!$V$14,Hypothèses!$W$14,IF(AN238&lt;=Hypothèses!$V$15,Hypothèses!$W$15,IF(AN238&lt;=Hypothèses!$V$16,Hypothèses!$W$16,IF(AN238&lt;=Hypothèses!$V$17,Hypothèses!$W$17,IF(AN238&lt;=Hypothèses!$V$18,Hypothèses!$W$18,""))))))))))))</f>
        <v>#DIV/0!</v>
      </c>
      <c r="BI238" s="87" t="e">
        <f t="shared" ca="1" si="418"/>
        <v>#DIV/0!</v>
      </c>
      <c r="BJ238" s="88" t="e">
        <f ca="1">IF(AN238&lt;=Hypothèses!$V$7,Hypothèses!$X$7,IF(AN238&lt;=Hypothèses!$V$8,Hypothèses!$X$8,IF(AN238&lt;=Hypothèses!$V$9,Hypothèses!$X$9,IF(AN238&lt;=Hypothèses!$V$10,Hypothèses!$X$10,IF(AN238&lt;=Hypothèses!$V$11,Hypothèses!$X$11,IF(AN238&lt;=Hypothèses!$V$12,Hypothèses!$X$12,IF(AN238&lt;=Hypothèses!$V$13,Hypothèses!$X$13,IF(AN238&lt;=Hypothèses!$V$14,Hypothèses!$X$14,IF(AN238&lt;=Hypothèses!$V$15,Hypothèses!$X$15,IF(AN238&lt;=Hypothèses!$V$16,Hypothèses!$X$16,IF(AN238&lt;=Hypothèses!$U$17,Hypothèses!$W$17,IF(AN238&lt;=Hypothèses!$U$18,Hypothèses!$W$18,""))))))))))))</f>
        <v>#DIV/0!</v>
      </c>
      <c r="BK238" s="95" t="e">
        <f t="shared" ca="1" si="377"/>
        <v>#DIV/0!</v>
      </c>
      <c r="BL238" s="101" t="e">
        <f t="shared" si="425"/>
        <v>#N/A</v>
      </c>
      <c r="BM238" s="91" t="e">
        <f t="shared" si="346"/>
        <v>#N/A</v>
      </c>
      <c r="BN238" s="30" t="e">
        <f t="shared" si="404"/>
        <v>#N/A</v>
      </c>
      <c r="BO238" s="30" t="e">
        <f t="shared" si="405"/>
        <v>#N/A</v>
      </c>
      <c r="BP238" s="31" t="e">
        <f>IF(OR(Hypothèses!$B$4=17,Hypothèses!$B$4=18,Hypothèses!$B$4=19,Hypothèses!$B$4=20),
IF($D238="Pressio.",
IF(OR($E238=3,$E238=1,$E238=4),BO238,BN238),
IF($D238="Pénétro.",
IF(OR($E238=3,$E238=1,$E238=4),BO238,BN238))),IF($D238="Pressio.",
IF($E238=3,BO238,BN238),
IF($D238="Pénétro.",
IF($E238=4,BO238,BN238))))</f>
        <v>#N/A</v>
      </c>
      <c r="BQ238" s="31" t="e">
        <f>(IF(OR(Hypothèses!$B$4=17,Hypothèses!$B$4=18,Hypothèses!$B$4=19,Hypothèses!$B$4=20),
IF($D238="Pressio.",
IF(OR($E238=3,$E238=1,$E238=4),(PI()*BQ$12^2)/4*(BM238*$W238*1000)/($H238*$B$5),(PI()*BQ$12^2)/4*(BM238*$W238*1000)/($G238*$B$5)),
IF($D238="Pénétro.",
IF(OR($E238=4,$E238=1,$E238=5),(PI()*BQ$12^2)/4*(BM238*$W238*1000)/($H238*$B$5),(PI()*BQ$12^2)/4*(BM238*$W238*1000)/($G238*$B$5)))),
IF($D238="Pressio.",
IF($E238=3,(PI()*BQ$12^2)/4*(BM238*$W238*1000)/($H238*$B$5),(PI()*BQ$12^2)/4*(BM238*$W238*1000)/($G238*$B$5)),
IF($D238="Pénétro.",
IF($E238=4,(PI()*BQ$12^2)/4*(BM238*$W238*1000)/($H238*$B$5),(PI()*BQ$12^2)/4*(BM238*$W238*1000)/($G238*$B$5))))))/10</f>
        <v>#N/A</v>
      </c>
      <c r="BR238" s="102" t="e">
        <f>(VLOOKUP($B$3,'Coeff EC7'!$T$39:$X$59,2,0)*BP238+VLOOKUP($B$3,'Coeff EC7'!$T$65:$X$85,2,0)*Model0.1C!BQ238)/1.1</f>
        <v>#N/A</v>
      </c>
      <c r="BS238" s="102" t="e">
        <f>(VLOOKUP($B$3,'Coeff EC7'!$T$39:$X$59,3,0)*BP238+VLOOKUP($B$3,'Coeff EC7'!$T$65:$X$85,3,0)*Model0.1C!BQ238)/0.9</f>
        <v>#N/A</v>
      </c>
      <c r="BT238" s="102" t="e">
        <f t="shared" si="378"/>
        <v>#N/A</v>
      </c>
      <c r="BU238" s="102" t="e">
        <f t="shared" si="379"/>
        <v>#N/A</v>
      </c>
      <c r="BV238" s="414" t="e">
        <f>IF(BV237=0,0,IF(AND(BR238&gt;charge_ELS_quasi,BS238&gt;Charge_ELS_freq,BT238&gt;charge_ELU,BU238&gt;charge_ELA,$B238&gt;NDC!$H$22-0.1+MIN(3*$BV$12,1.5)),0,1))</f>
        <v>#N/A</v>
      </c>
      <c r="BW238" s="86" t="b">
        <f t="shared" si="347"/>
        <v>0</v>
      </c>
      <c r="BX238" s="86">
        <f t="shared" si="348"/>
        <v>0.5</v>
      </c>
      <c r="BY238" s="86">
        <f t="shared" si="349"/>
        <v>0.5</v>
      </c>
      <c r="BZ238" s="30" t="e">
        <f t="shared" ca="1" si="380"/>
        <v>#DIV/0!</v>
      </c>
      <c r="CA238" s="85" t="e">
        <f ca="1">IF(BG238&lt;=Hypothèses!$V$7,Hypothèses!$W$7,IF(BG238&lt;=Hypothèses!$V$8,Hypothèses!$W$8,IF(BG238&lt;=Hypothèses!$V$9,Hypothèses!$W$9,IF(BG238&lt;=Hypothèses!$V$10,Hypothèses!$W$10,IF(BG238&lt;=Hypothèses!$V$11,Hypothèses!$W$11,IF(BG238&lt;=Hypothèses!$V$12,Hypothèses!$W$12,IF(BG238&lt;=Hypothèses!$V$13,Hypothèses!$W$13,IF(BG238&lt;=Hypothèses!$V$14,Hypothèses!$W$14,IF(BG238&lt;=Hypothèses!$V$15,Hypothèses!$W$15,IF(BG238&lt;=Hypothèses!$V$16,Hypothèses!$W$16,IF(BG238&lt;=Hypothèses!$V$17,Hypothèses!$W$17,IF(BG238&lt;=Hypothèses!$V$18,Hypothèses!$W$18,""))))))))))))</f>
        <v>#DIV/0!</v>
      </c>
      <c r="CB238" s="87" t="e">
        <f t="shared" ca="1" si="419"/>
        <v>#DIV/0!</v>
      </c>
      <c r="CC238" s="88" t="e">
        <f ca="1">IF(BG238&lt;=Hypothèses!$V$7,Hypothèses!$X$7,IF(BG238&lt;=Hypothèses!$V$8,Hypothèses!$X$8,IF(BG238&lt;=Hypothèses!$V$9,Hypothèses!$X$9,IF(BG238&lt;=Hypothèses!$V$10,Hypothèses!$X$10,IF(BG238&lt;=Hypothèses!$V$11,Hypothèses!$X$11,IF(BG238&lt;=Hypothèses!$V$12,Hypothèses!$X$12,IF(BG238&lt;=Hypothèses!$V$13,Hypothèses!$X$13,IF(BG238&lt;=Hypothèses!$V$14,Hypothèses!$X$14,IF(BG238&lt;=Hypothèses!$V$15,Hypothèses!$X$15,IF(BG238&lt;=Hypothèses!$V$16,Hypothèses!$X$16,IF(BG238&lt;=Hypothèses!$U$17,Hypothèses!$W$17,IF(BG238&lt;=Hypothèses!$U$18,Hypothèses!$W$18,""))))))))))))</f>
        <v>#DIV/0!</v>
      </c>
      <c r="CD238" s="95" t="e">
        <f t="shared" ca="1" si="381"/>
        <v>#DIV/0!</v>
      </c>
      <c r="CE238" s="101" t="e">
        <f t="shared" si="426"/>
        <v>#N/A</v>
      </c>
      <c r="CF238" s="91" t="e">
        <f t="shared" si="350"/>
        <v>#N/A</v>
      </c>
      <c r="CG238" s="30" t="e">
        <f t="shared" si="406"/>
        <v>#N/A</v>
      </c>
      <c r="CH238" s="30" t="e">
        <f t="shared" si="407"/>
        <v>#N/A</v>
      </c>
      <c r="CI238" s="31" t="e">
        <f>IF(OR(Hypothèses!$B$4=17,Hypothèses!$B$4=18,Hypothèses!$B$4=19,Hypothèses!$B$4=20),
IF($D238="Pressio.",
IF(OR($E238=3,$E238=1,$E238=4),CH238,CG238),
IF($D238="Pénétro.",
IF(OR($E238=3,$E238=1,$E238=4),CH238,CG238))),IF($D238="Pressio.",
IF($E238=3,CH238,CG238),
IF($D238="Pénétro.",
IF($E238=4,CH238,CG238))))</f>
        <v>#N/A</v>
      </c>
      <c r="CJ238" s="31" t="e">
        <f>(IF(OR(Hypothèses!$B$4=17,Hypothèses!$B$4=18,Hypothèses!$B$4=19,Hypothèses!$B$4=20),
IF($D238="Pressio.",
IF(OR($E238=3,$E238=1,$E238=4),(PI()*CJ$12^2)/4*(CF238*$W238*1000)/($H238*$B$5),(PI()*CJ$12^2)/4*(CF238*$W238*1000)/($G238*$B$5)),
IF($D238="Pénétro.",
IF(OR($E238=4,$E238=1,$E238=5),(PI()*CJ$12^2)/4*(CF238*$W238*1000)/($H238*$B$5),(PI()*CJ$12^2)/4*(CF238*$W238*1000)/($G238*$B$5)))),
IF($D238="Pressio.",
IF($E238=3,(PI()*CJ$12^2)/4*(CF238*$W238*1000)/($H238*$B$5),(PI()*CJ$12^2)/4*(CF238*$W238*1000)/($G238*$B$5)),
IF($D238="Pénétro.",
IF($E238=4,(PI()*CJ$12^2)/4*(CF238*$W238*1000)/($H238*$B$5),(PI()*CJ$12^2)/4*(CF238*$W238*1000)/($G238*$B$5))))))/10</f>
        <v>#N/A</v>
      </c>
      <c r="CK238" s="102" t="e">
        <f>(VLOOKUP($B$3,'Coeff EC7'!$T$39:$X$59,2,0)*CI238+VLOOKUP($B$3,'Coeff EC7'!$T$65:$X$85,2,0)*Model0.1C!CJ238)/1.1</f>
        <v>#N/A</v>
      </c>
      <c r="CL238" s="102" t="e">
        <f>(VLOOKUP($B$3,'Coeff EC7'!$T$39:$X$59,3,0)*CI238+VLOOKUP($B$3,'Coeff EC7'!$T$65:$X$85,3,0)*Model0.1C!CJ238)/0.9</f>
        <v>#N/A</v>
      </c>
      <c r="CM238" s="102" t="e">
        <f t="shared" si="382"/>
        <v>#N/A</v>
      </c>
      <c r="CN238" s="102" t="e">
        <f t="shared" si="383"/>
        <v>#N/A</v>
      </c>
      <c r="CO238" s="414" t="e">
        <f>IF(CO237=0,0,IF(AND(CK238&gt;charge_ELS_quasi,CL238&gt;Charge_ELS_freq,CM238&gt;charge_ELU,CN238&gt;charge_ELA,$B238&gt;NDC!$H$22-0.1+MIN(3*$CO$12,1.5)),0,1))</f>
        <v>#N/A</v>
      </c>
      <c r="CP238" s="86" t="b">
        <f t="shared" si="351"/>
        <v>0</v>
      </c>
      <c r="CQ238" s="86">
        <f t="shared" si="352"/>
        <v>0.5</v>
      </c>
      <c r="CR238" s="86">
        <f t="shared" si="353"/>
        <v>0.5</v>
      </c>
      <c r="CS238" s="30" t="e">
        <f t="shared" ca="1" si="384"/>
        <v>#DIV/0!</v>
      </c>
      <c r="CT238" s="85" t="e">
        <f ca="1">IF(BZ238&lt;=Hypothèses!$V$7,Hypothèses!$W$7,IF(BZ238&lt;=Hypothèses!$V$8,Hypothèses!$W$8,IF(BZ238&lt;=Hypothèses!$V$9,Hypothèses!$W$9,IF(BZ238&lt;=Hypothèses!$V$10,Hypothèses!$W$10,IF(BZ238&lt;=Hypothèses!$V$11,Hypothèses!$W$11,IF(BZ238&lt;=Hypothèses!$V$12,Hypothèses!$W$12,IF(BZ238&lt;=Hypothèses!$V$13,Hypothèses!$W$13,IF(BZ238&lt;=Hypothèses!$V$14,Hypothèses!$W$14,IF(BZ238&lt;=Hypothèses!$V$15,Hypothèses!$W$15,IF(BZ238&lt;=Hypothèses!$V$16,Hypothèses!$W$16,IF(BZ238&lt;=Hypothèses!$V$17,Hypothèses!$W$17,IF(BZ238&lt;=Hypothèses!$V$18,Hypothèses!$W$18,""))))))))))))</f>
        <v>#DIV/0!</v>
      </c>
      <c r="CU238" s="87" t="e">
        <f t="shared" ca="1" si="420"/>
        <v>#DIV/0!</v>
      </c>
      <c r="CV238" s="88" t="e">
        <f ca="1">IF(BZ238&lt;=Hypothèses!$V$7,Hypothèses!$X$7,IF(BZ238&lt;=Hypothèses!$V$8,Hypothèses!$X$8,IF(BZ238&lt;=Hypothèses!$V$9,Hypothèses!$X$9,IF(BZ238&lt;=Hypothèses!$V$10,Hypothèses!$X$10,IF(BZ238&lt;=Hypothèses!$V$11,Hypothèses!$X$11,IF(BZ238&lt;=Hypothèses!$V$12,Hypothèses!$X$12,IF(BZ238&lt;=Hypothèses!$V$13,Hypothèses!$X$13,IF(BZ238&lt;=Hypothèses!$V$14,Hypothèses!$X$14,IF(BZ238&lt;=Hypothèses!$V$15,Hypothèses!$X$15,IF(BZ238&lt;=Hypothèses!$V$16,Hypothèses!$X$16,IF(BZ238&lt;=Hypothèses!$U$17,Hypothèses!$W$17,IF(BZ238&lt;=Hypothèses!$U$18,Hypothèses!$W$18,""))))))))))))</f>
        <v>#DIV/0!</v>
      </c>
      <c r="CW238" s="95" t="e">
        <f t="shared" ca="1" si="385"/>
        <v>#DIV/0!</v>
      </c>
      <c r="CX238" s="101" t="e">
        <f t="shared" si="427"/>
        <v>#N/A</v>
      </c>
      <c r="CY238" s="91" t="e">
        <f t="shared" si="354"/>
        <v>#N/A</v>
      </c>
      <c r="CZ238" s="30" t="e">
        <f t="shared" si="408"/>
        <v>#N/A</v>
      </c>
      <c r="DA238" s="30" t="e">
        <f t="shared" si="409"/>
        <v>#N/A</v>
      </c>
      <c r="DB238" s="31" t="e">
        <f>IF(OR(Hypothèses!$B$4=17,Hypothèses!$B$4=18,Hypothèses!$B$4=19,Hypothèses!$B$4=20),
IF($D238="Pressio.",
IF(OR($E238=3,$E238=1,$E238=4),DA238,CZ238),
IF($D238="Pénétro.",
IF(OR($E238=3,$E238=1,$E238=4),DA238,CZ238))),IF($D238="Pressio.",
IF($E238=3,DA238,CZ238),
IF($D238="Pénétro.",
IF($E238=4,DA238,CZ238))))</f>
        <v>#N/A</v>
      </c>
      <c r="DC238" s="31" t="e">
        <f>(IF(OR(Hypothèses!$B$4=17,Hypothèses!$B$4=18,Hypothèses!$B$4=19,Hypothèses!$B$4=20),
IF($D238="Pressio.",
IF(OR($E238=3,$E238=1,$E238=4),(PI()*DC$12^2)/4*(CY238*$W238*1000)/($H238*$B$5),(PI()*DC$12^2)/4*(CY238*$W238*1000)/($G238*$B$5)),
IF($D238="Pénétro.",
IF(OR($E238=4,$E238=1,$E238=5),(PI()*DC$12^2)/4*(CY238*$W238*1000)/($H238*$B$5),(PI()*DC$12^2)/4*(CY238*$W238*1000)/($G238*$B$5)))),
IF($D238="Pressio.",
IF($E238=3,(PI()*DC$12^2)/4*(CY238*$W238*1000)/($H238*$B$5),(PI()*DC$12^2)/4*(CY238*$W238*1000)/($G238*$B$5)),
IF($D238="Pénétro.",
IF($E238=4,(PI()*DC$12^2)/4*(CY238*$W238*1000)/($H238*$B$5),(PI()*DC$12^2)/4*(CY238*$W238*1000)/($G238*$B$5))))))/10</f>
        <v>#N/A</v>
      </c>
      <c r="DD238" s="102" t="e">
        <f>(VLOOKUP($B$3,'Coeff EC7'!$T$39:$X$59,2,0)*DB238+VLOOKUP($B$3,'Coeff EC7'!$T$65:$X$85,2,0)*Model0.1C!DC238)/1.1</f>
        <v>#N/A</v>
      </c>
      <c r="DE238" s="102" t="e">
        <f>(VLOOKUP($B$3,'Coeff EC7'!$T$39:$X$59,3,0)*DB238+VLOOKUP($B$3,'Coeff EC7'!$T$65:$X$85,3,0)*Model0.1C!DC238)/0.9</f>
        <v>#N/A</v>
      </c>
      <c r="DF238" s="102" t="e">
        <f t="shared" si="386"/>
        <v>#N/A</v>
      </c>
      <c r="DG238" s="102" t="e">
        <f t="shared" si="387"/>
        <v>#N/A</v>
      </c>
      <c r="DH238" s="414" t="e">
        <f>IF(DH237=0,0,IF(AND(DD238&gt;charge_ELS_quasi,DE238&gt;Charge_ELS_freq,DF238&gt;charge_ELU,DG238&gt;charge_ELA,$B238&gt;NDC!$H$22-0.1+MIN(3*$DH$12,1.5)),0,1))</f>
        <v>#N/A</v>
      </c>
      <c r="DI238" s="86" t="b">
        <f t="shared" si="355"/>
        <v>0</v>
      </c>
      <c r="DJ238" s="86">
        <f t="shared" si="356"/>
        <v>0.5</v>
      </c>
      <c r="DK238" s="86">
        <f t="shared" si="357"/>
        <v>0.5</v>
      </c>
      <c r="DL238" s="30" t="e">
        <f t="shared" ca="1" si="388"/>
        <v>#DIV/0!</v>
      </c>
      <c r="DM238" s="85" t="e">
        <f ca="1">IF(CS238&lt;=Hypothèses!$V$7,Hypothèses!$W$7,IF(CS238&lt;=Hypothèses!$V$8,Hypothèses!$W$8,IF(CS238&lt;=Hypothèses!$V$9,Hypothèses!$W$9,IF(CS238&lt;=Hypothèses!$V$10,Hypothèses!$W$10,IF(CS238&lt;=Hypothèses!$V$11,Hypothèses!$W$11,IF(CS238&lt;=Hypothèses!$V$12,Hypothèses!$W$12,IF(CS238&lt;=Hypothèses!$V$13,Hypothèses!$W$13,IF(CS238&lt;=Hypothèses!$V$14,Hypothèses!$W$14,IF(CS238&lt;=Hypothèses!$V$15,Hypothèses!$W$15,IF(CS238&lt;=Hypothèses!$V$16,Hypothèses!$W$16,IF(CS238&lt;=Hypothèses!$V$17,Hypothèses!$W$17,IF(CS238&lt;=Hypothèses!$V$18,Hypothèses!$W$18,""))))))))))))</f>
        <v>#DIV/0!</v>
      </c>
      <c r="DN238" s="87" t="e">
        <f t="shared" ca="1" si="421"/>
        <v>#DIV/0!</v>
      </c>
      <c r="DO238" s="88" t="e">
        <f ca="1">IF(CS238&lt;=Hypothèses!$V$7,Hypothèses!$X$7,IF(CS238&lt;=Hypothèses!$V$8,Hypothèses!$X$8,IF(CS238&lt;=Hypothèses!$V$9,Hypothèses!$X$9,IF(CS238&lt;=Hypothèses!$V$10,Hypothèses!$X$10,IF(CS238&lt;=Hypothèses!$V$11,Hypothèses!$X$11,IF(CS238&lt;=Hypothèses!$V$12,Hypothèses!$X$12,IF(CS238&lt;=Hypothèses!$V$13,Hypothèses!$X$13,IF(CS238&lt;=Hypothèses!$V$14,Hypothèses!$X$14,IF(CS238&lt;=Hypothèses!$V$15,Hypothèses!$X$15,IF(CS238&lt;=Hypothèses!$V$16,Hypothèses!$X$16,IF(CS238&lt;=Hypothèses!$U$17,Hypothèses!$W$17,IF(CS238&lt;=Hypothèses!$U$18,Hypothèses!$W$18,""))))))))))))</f>
        <v>#DIV/0!</v>
      </c>
      <c r="DP238" s="95" t="e">
        <f t="shared" ca="1" si="389"/>
        <v>#DIV/0!</v>
      </c>
      <c r="DQ238" s="101" t="e">
        <f t="shared" si="428"/>
        <v>#N/A</v>
      </c>
      <c r="DR238" s="91" t="e">
        <f t="shared" si="358"/>
        <v>#N/A</v>
      </c>
      <c r="DS238" s="30" t="e">
        <f t="shared" si="410"/>
        <v>#N/A</v>
      </c>
      <c r="DT238" s="30" t="e">
        <f t="shared" si="411"/>
        <v>#N/A</v>
      </c>
      <c r="DU238" s="31" t="e">
        <f>IF(OR(Hypothèses!$B$4=17,Hypothèses!$B$4=18,Hypothèses!$B$4=19,Hypothèses!$B$4=20),
IF($D238="Pressio.",
IF(OR($E238=3,$E238=1,$E238=4),DT238,DS238),
IF($D238="Pénétro.",
IF(OR($E238=3,$E238=1,$E238=4),DT238,DS238))),IF($D238="Pressio.",
IF($E238=3,DT238,DS238),
IF($D238="Pénétro.",
IF($E238=4,DT238,DS238))))</f>
        <v>#N/A</v>
      </c>
      <c r="DV238" s="31" t="e">
        <f>(IF(OR(Hypothèses!$B$4=17,Hypothèses!$B$4=18,Hypothèses!$B$4=19,Hypothèses!$B$4=20),
IF($D238="Pressio.",
IF(OR($E238=3,$E238=1,$E238=4),(PI()*DV$12^2)/4*(DR238*$W238*1000)/($H238*$B$5),(PI()*DV$12^2)/4*(DR238*$W238*1000)/($G238*$B$5)),
IF($D238="Pénétro.",
IF(OR($E238=4,$E238=1,$E238=5),(PI()*DV$12^2)/4*(DR238*$W238*1000)/($H238*$B$5),(PI()*DV$12^2)/4*(DR238*$W238*1000)/($G238*$B$5)))),
IF($D238="Pressio.",
IF($E238=3,(PI()*DV$12^2)/4*(DR238*$W238*1000)/($H238*$B$5),(PI()*DV$12^2)/4*(DR238*$W238*1000)/($G238*$B$5)),
IF($D238="Pénétro.",
IF($E238=4,(PI()*DV$12^2)/4*(DR238*$W238*1000)/($H238*$B$5),(PI()*DV$12^2)/4*(DR238*$W238*1000)/($G238*$B$5))))))/10</f>
        <v>#N/A</v>
      </c>
      <c r="DW238" s="102" t="e">
        <f>(VLOOKUP($B$3,'Coeff EC7'!$T$39:$X$59,2,0)*DU238+VLOOKUP($B$3,'Coeff EC7'!$T$65:$X$85,2,0)*Model0.1C!DV238)/1.1</f>
        <v>#N/A</v>
      </c>
      <c r="DX238" s="102" t="e">
        <f>(VLOOKUP($B$3,'Coeff EC7'!$T$39:$X$59,3,0)*DU238+VLOOKUP($B$3,'Coeff EC7'!$T$65:$X$85,3,0)*Model0.1C!DV238)/0.9</f>
        <v>#N/A</v>
      </c>
      <c r="DY238" s="102" t="e">
        <f t="shared" si="390"/>
        <v>#N/A</v>
      </c>
      <c r="DZ238" s="102" t="e">
        <f t="shared" si="391"/>
        <v>#N/A</v>
      </c>
      <c r="EA238" s="414" t="e">
        <f>IF(EA237=0,0,IF(AND(DW238&gt;charge_ELS_quasi,DX238&gt;Charge_ELS_freq,DY238&gt;charge_ELU,DZ238&gt;charge_ELA,$B238&gt;NDC!$H$22-0.1+MIN(3*$EA$12,1.5)),0,1))</f>
        <v>#N/A</v>
      </c>
      <c r="EB238" s="86" t="b">
        <f t="shared" si="359"/>
        <v>0</v>
      </c>
      <c r="EC238" s="418">
        <f t="shared" si="360"/>
        <v>0.51</v>
      </c>
      <c r="ED238" s="86">
        <f t="shared" si="361"/>
        <v>0.51</v>
      </c>
      <c r="EE238" s="30" t="e">
        <f t="shared" ca="1" si="392"/>
        <v>#DIV/0!</v>
      </c>
      <c r="EF238" s="85" t="e">
        <f ca="1">IF(DL238&lt;=Hypothèses!$V$7,Hypothèses!$W$7,IF(DL238&lt;=Hypothèses!$V$8,Hypothèses!$W$8,IF(DL238&lt;=Hypothèses!$V$9,Hypothèses!$W$9,IF(DL238&lt;=Hypothèses!$V$10,Hypothèses!$W$10,IF(DL238&lt;=Hypothèses!$V$11,Hypothèses!$W$11,IF(DL238&lt;=Hypothèses!$V$12,Hypothèses!$W$12,IF(DL238&lt;=Hypothèses!$V$13,Hypothèses!$W$13,IF(DL238&lt;=Hypothèses!$V$14,Hypothèses!$W$14,IF(DL238&lt;=Hypothèses!$V$15,Hypothèses!$W$15,IF(DL238&lt;=Hypothèses!$V$16,Hypothèses!$W$16,IF(DL238&lt;=Hypothèses!$V$17,Hypothèses!$W$17,IF(DL238&lt;=Hypothèses!$V$18,Hypothèses!$W$18,""))))))))))))</f>
        <v>#DIV/0!</v>
      </c>
      <c r="EG238" s="87" t="e">
        <f t="shared" ca="1" si="422"/>
        <v>#DIV/0!</v>
      </c>
      <c r="EH238" s="88" t="e">
        <f ca="1">IF(DL238&lt;=Hypothèses!$V$7,Hypothèses!$X$7,IF(DL238&lt;=Hypothèses!$V$8,Hypothèses!$X$8,IF(DL238&lt;=Hypothèses!$V$9,Hypothèses!$X$9,IF(DL238&lt;=Hypothèses!$V$10,Hypothèses!$X$10,IF(DL238&lt;=Hypothèses!$V$11,Hypothèses!$X$11,IF(DL238&lt;=Hypothèses!$V$12,Hypothèses!$X$12,IF(DL238&lt;=Hypothèses!$V$13,Hypothèses!$X$13,IF(DL238&lt;=Hypothèses!$V$14,Hypothèses!$X$14,IF(DL238&lt;=Hypothèses!$V$15,Hypothèses!$X$15,IF(DL238&lt;=Hypothèses!$V$16,Hypothèses!$X$16,IF(DL238&lt;=Hypothèses!$U$17,Hypothèses!$W$17,IF(DL238&lt;=Hypothèses!$U$18,Hypothèses!$W$18,""))))))))))))</f>
        <v>#DIV/0!</v>
      </c>
      <c r="EI238" s="95" t="e">
        <f t="shared" ca="1" si="393"/>
        <v>#DIV/0!</v>
      </c>
      <c r="EJ238" s="101" t="e">
        <f t="shared" si="429"/>
        <v>#N/A</v>
      </c>
      <c r="EK238" s="91" t="e">
        <f t="shared" si="362"/>
        <v>#N/A</v>
      </c>
      <c r="EL238" s="30" t="e">
        <f t="shared" si="412"/>
        <v>#N/A</v>
      </c>
      <c r="EM238" s="30" t="e">
        <f t="shared" si="413"/>
        <v>#N/A</v>
      </c>
      <c r="EN238" s="31" t="e">
        <f>IF(OR(Hypothèses!$B$4=17,Hypothèses!$B$4=18,Hypothèses!$B$4=19,Hypothèses!$B$4=20),
IF($D238="Pressio.",
IF(OR($E238=3,$E238=1,$E238=4),EM238,EL238),
IF($D238="Pénétro.",
IF(OR($E238=3,$E238=1,$E238=4),EM238,EL238))),IF($D238="Pressio.",
IF($E238=3,EM238,EL238),
IF($D238="Pénétro.",
IF($E238=4,EM238,EL238))))</f>
        <v>#N/A</v>
      </c>
      <c r="EO238" s="31" t="e">
        <f>(IF(OR(Hypothèses!$B$4=17,Hypothèses!$B$4=18,Hypothèses!$B$4=19,Hypothèses!$B$4=20),
IF($D238="Pressio.",
IF(OR($E238=3,$E238=1,$E238=4),(PI()*EO$12^2)/4*(EK238*$W238*1000)/($H238*$B$5),(PI()*EO$12^2)/4*(EK238*$W238*1000)/($G238*$B$5)),
IF($D238="Pénétro.",
IF(OR($E238=4,$E238=1,$E238=5),(PI()*EO$12^2)/4*(EK238*$W238*1000)/($H238*$B$5),(PI()*EO$12^2)/4*(EK238*$W238*1000)/($G238*$B$5)))),
IF($D238="Pressio.",
IF($E238=3,(PI()*EO$12^2)/4*(EK238*$W238*1000)/($H238*$B$5),(PI()*EO$12^2)/4*(EK238*$W238*1000)/($G238*$B$5)),
IF($D238="Pénétro.",
IF($E238=4,(PI()*EO$12^2)/4*(EK238*$W238*1000)/($H238*$B$5),(PI()*EO$12^2)/4*(EK238*$W238*1000)/($G238*$B$5))))))/10</f>
        <v>#N/A</v>
      </c>
      <c r="EP238" s="102" t="e">
        <f>(VLOOKUP($B$3,'Coeff EC7'!$T$39:$X$59,2,0)*EN238+VLOOKUP($B$3,'Coeff EC7'!$T$65:$X$85,2,0)*Model0.1C!EO238)/1.1</f>
        <v>#N/A</v>
      </c>
      <c r="EQ238" s="102" t="e">
        <f>(VLOOKUP($B$3,'Coeff EC7'!$T$39:$X$59,3,0)*EN238+VLOOKUP($B$3,'Coeff EC7'!$T$65:$X$85,3,0)*Model0.1C!EO238)/0.9</f>
        <v>#N/A</v>
      </c>
      <c r="ER238" s="102" t="e">
        <f t="shared" si="394"/>
        <v>#N/A</v>
      </c>
      <c r="ES238" s="102" t="e">
        <f t="shared" si="395"/>
        <v>#N/A</v>
      </c>
      <c r="ET238" s="414" t="e">
        <f>IF(ET237=0,0,IF(AND(EP238&gt;charge_ELS_quasi,EQ238&gt;Charge_ELS_freq,ER238&gt;charge_ELU,ES238&gt;charge_ELA,$B238&gt;NDC!$H$22-0.1+MIN(3*$ET$12,1.5)),0,1))</f>
        <v>#N/A</v>
      </c>
      <c r="EU238" s="86" t="b">
        <f t="shared" si="363"/>
        <v>0</v>
      </c>
      <c r="EV238" s="86">
        <f t="shared" si="364"/>
        <v>0.61</v>
      </c>
      <c r="EW238" s="86">
        <f t="shared" si="365"/>
        <v>0.61</v>
      </c>
      <c r="EX238" s="30" t="e">
        <f t="shared" ca="1" si="396"/>
        <v>#DIV/0!</v>
      </c>
      <c r="EY238" s="85" t="e">
        <f ca="1">IF(EE238&lt;=Hypothèses!$V$7,Hypothèses!$W$7,IF(EE238&lt;=Hypothèses!$V$8,Hypothèses!$W$8,IF(EE238&lt;=Hypothèses!$V$9,Hypothèses!$W$9,IF(EE238&lt;=Hypothèses!$V$10,Hypothèses!$W$10,IF(EE238&lt;=Hypothèses!$V$11,Hypothèses!$W$11,IF(EE238&lt;=Hypothèses!$V$12,Hypothèses!$W$12,IF(EE238&lt;=Hypothèses!$V$13,Hypothèses!$W$13,IF(EE238&lt;=Hypothèses!$V$14,Hypothèses!$W$14,IF(EE238&lt;=Hypothèses!$V$15,Hypothèses!$W$15,IF(EE238&lt;=Hypothèses!$V$16,Hypothèses!$W$16,IF(EE238&lt;=Hypothèses!$V$17,Hypothèses!$W$17,IF(EE238&lt;=Hypothèses!$V$18,Hypothèses!$W$18,""))))))))))))</f>
        <v>#DIV/0!</v>
      </c>
      <c r="EZ238" s="87" t="e">
        <f t="shared" ca="1" si="423"/>
        <v>#DIV/0!</v>
      </c>
      <c r="FA238" s="88" t="e">
        <f ca="1">IF(EE238&lt;=Hypothèses!$V$7,Hypothèses!$X$7,IF(EE238&lt;=Hypothèses!$V$8,Hypothèses!$X$8,IF(EE238&lt;=Hypothèses!$V$9,Hypothèses!$X$9,IF(EE238&lt;=Hypothèses!$V$10,Hypothèses!$X$10,IF(EE238&lt;=Hypothèses!$V$11,Hypothèses!$X$11,IF(EE238&lt;=Hypothèses!$V$12,Hypothèses!$X$12,IF(EE238&lt;=Hypothèses!$V$13,Hypothèses!$X$13,IF(EE238&lt;=Hypothèses!$V$14,Hypothèses!$X$14,IF(EE238&lt;=Hypothèses!$V$15,Hypothèses!$X$15,IF(EE238&lt;=Hypothèses!$V$16,Hypothèses!$X$16,IF(EE238&lt;=Hypothèses!$U$17,Hypothèses!$W$17,IF(EE238&lt;=Hypothèses!$U$18,Hypothèses!$W$18,""))))))))))))</f>
        <v>#DIV/0!</v>
      </c>
      <c r="FB238" s="95" t="e">
        <f t="shared" ca="1" si="397"/>
        <v>#DIV/0!</v>
      </c>
      <c r="FC238" s="101" t="e">
        <f t="shared" si="430"/>
        <v>#N/A</v>
      </c>
      <c r="FD238" s="91" t="e">
        <f t="shared" si="366"/>
        <v>#N/A</v>
      </c>
      <c r="FE238" s="30" t="e">
        <f t="shared" si="414"/>
        <v>#N/A</v>
      </c>
      <c r="FF238" s="30" t="e">
        <f t="shared" si="415"/>
        <v>#N/A</v>
      </c>
      <c r="FG238" s="31" t="e">
        <f>IF(OR(Hypothèses!$B$4=17,Hypothèses!$B$4=18,Hypothèses!$B$4=19,Hypothèses!$B$4=20),
IF($D238="Pressio.",
IF(OR($E238=3,$E238=1,$E238=4),FF238,FE238),
IF($D238="Pénétro.",
IF(OR($E238=3,$E238=1,$E238=4),FF238,FE238))),IF($D238="Pressio.",
IF($E238=3,FF238,FE238),
IF($D238="Pénétro.",
IF($E238=4,FF238,FE238))))</f>
        <v>#N/A</v>
      </c>
      <c r="FH238" s="31" t="e">
        <f>(IF(OR(Hypothèses!$B$4=17,Hypothèses!$B$4=18,Hypothèses!$B$4=19,Hypothèses!$B$4=20),
IF($D238="Pressio.",
IF(OR($E238=3,$E238=1,$E238=4),(PI()*FH$12^2)/4*(FD238*$W238*1000)/($H238*$B$5),(PI()*FH$12^2)/4*(FD238*$W238*1000)/($G238*$B$5)),
IF($D238="Pénétro.",
IF(OR($E238=4,$E238=1,$E238=5),(PI()*FH$12^2)/4*(FD238*$W238*1000)/($H238*$B$5),(PI()*FH$12^2)/4*(FD238*$W238*1000)/($G238*$B$5)))),
IF($D238="Pressio.",
IF($E238=3,(PI()*FH$12^2)/4*(FD238*$W238*1000)/($H238*$B$5),(PI()*FH$12^2)/4*(FD238*$W238*1000)/($G238*$B$5)),
IF($D238="Pénétro.",
IF($E238=4,(PI()*FH$12^2)/4*(FD238*$W238*1000)/($H238*$B$5),(PI()*FH$12^2)/4*(FD238*$W238*1000)/($G238*$B$5))))))/10</f>
        <v>#N/A</v>
      </c>
      <c r="FI238" s="102" t="e">
        <f>(VLOOKUP($B$3,'Coeff EC7'!$T$39:$X$59,2,0)*FG238+VLOOKUP($B$3,'Coeff EC7'!$T$65:$X$85,2,0)*Model0.1C!FH238)/1.1</f>
        <v>#N/A</v>
      </c>
      <c r="FJ238" s="102" t="e">
        <f>(VLOOKUP($B$3,'Coeff EC7'!$T$39:$X$59,3,0)*FG238+VLOOKUP($B$3,'Coeff EC7'!$T$65:$X$85,3,0)*Model0.1C!FH238)/0.9</f>
        <v>#N/A</v>
      </c>
      <c r="FK238" s="102" t="e">
        <f t="shared" si="398"/>
        <v>#N/A</v>
      </c>
      <c r="FL238" s="102" t="e">
        <f t="shared" si="399"/>
        <v>#N/A</v>
      </c>
      <c r="FM238" s="414" t="e">
        <f>IF(FM237=0,0,IF(AND(FI238&gt;charge_ELS_quasi,FJ238&gt;Charge_ELS_freq,FK238&gt;charge_ELU,FL238&gt;charge_ELA,$B238&gt;NDC!$H$22-0.1+MIN(3*$FM$12,1.5)),0,1))</f>
        <v>#N/A</v>
      </c>
    </row>
    <row r="239" spans="1:169">
      <c r="A239" s="96">
        <f t="shared" si="367"/>
        <v>77.400000000001285</v>
      </c>
      <c r="B239" s="97">
        <v>22.6</v>
      </c>
      <c r="C239" s="81">
        <f>IF(B239&lt;=Hypothèses!$C$7,Hypothèses!$A$7,IF(B239&lt;=Hypothèses!$C$8,Hypothèses!$A$8,IF(B239&lt;=Hypothèses!$C$9,Hypothèses!$A$9,IF(B239&lt;=Hypothèses!$C$10,Hypothèses!$A$10,IF(B239&lt;=Hypothèses!$C$11,Hypothèses!$A$11,IF(B239&lt;=Hypothèses!$C$12,Hypothèses!$A$12,IF(B239&lt;=Hypothèses!$C$13,Hypothèses!$A$13,IF(B239&lt;=Hypothèses!$C$14,Hypothèses!$A$14,IF(B239&lt;=Hypothèses!$C$15,Hypothèses!$A$15,IF(B239&lt;=Hypothèses!$C$16,Hypothèses!$A$16,IF(B239&lt;=Hypothèses!$C$17,Hypothèses!$A$17,IF(B239&lt;=Hypothèses!$C$18,Hypothèses!$A$18,C238))))))))))))</f>
        <v>11</v>
      </c>
      <c r="D239" s="82" t="str">
        <f>IF(B239&lt;=Hypothèses!$C$7,Hypothèses!$R$7,IF(B239&lt;=Hypothèses!$C$8,Hypothèses!$R$8,IF(B239&lt;=Hypothèses!$C$9,Hypothèses!$R$9,IF(B239&lt;=Hypothèses!$C$10,Hypothèses!$R$10,IF(B239&lt;=Hypothèses!$C$11,Hypothèses!$R$11,IF(B239&lt;=Hypothèses!$C$12,Hypothèses!$R$12,IF(B239&lt;=Hypothèses!$C$13,Hypothèses!$R$13,IF(B239&lt;=Hypothèses!$C$14,Hypothèses!$R$14,IF(B239&lt;=Hypothèses!$C$15,Hypothèses!$R$15,IF(B239&lt;=Hypothèses!$C$16,Hypothèses!$R$16,IF(B239&lt;=Hypothèses!$C$17,Hypothèses!$R$17,IF(B239&lt;=Hypothèses!$C$18,Hypothèses!$R$18,D238))))))))))))</f>
        <v>Pressio.</v>
      </c>
      <c r="E239" s="82" t="e">
        <f>IF(B239&lt;=Hypothèses!$C$7,Hypothèses!$G$7,IF(B239&lt;=Hypothèses!$C$8,Hypothèses!$G$8,IF(B239&lt;=Hypothèses!$C$9,Hypothèses!$G$9,IF(B239&lt;=Hypothèses!$C$10,Hypothèses!$G$10,IF(B239&lt;=Hypothèses!$C$11,Hypothèses!$G$11,IF(B239&lt;=Hypothèses!$C$12,Hypothèses!$G$12,IF(B239&lt;=Hypothèses!$C$13,Hypothèses!$G$13,IF(B239&lt;=Hypothèses!$C$14,Hypothèses!$G$14,IF(B239&lt;=Hypothèses!$C$15,Hypothèses!$G$15,IF(B239&lt;=Hypothèses!$C$16,Hypothèses!$G$16,IF(B239&lt;=Hypothèses!$C$17,Hypothèses!$G$17,IF(B239&lt;=Hypothèses!$C$18,Hypothèses!$G$18,E238))))))))))))</f>
        <v>#N/A</v>
      </c>
      <c r="F239" s="82" t="str">
        <f>IF(B239&lt;=Hypothèses!$C$7,Hypothèses!$F$7,IF(B239&lt;=Hypothèses!$C$8,Hypothèses!$F$8,IF(B239&lt;=Hypothèses!$C$9,Hypothèses!$F$9,IF(B239&lt;=Hypothèses!$C$10,Hypothèses!$F$10,IF(B239&lt;=Hypothèses!$C$11,Hypothèses!$F$11,IF(B239&lt;=Hypothèses!$C$12,Hypothèses!$F$12,IF(B239&lt;=Hypothèses!$C$13,Hypothèses!$F$13,IF(B239&lt;=Hypothèses!$C$14,Hypothèses!$F$14,IF(B239&lt;=Hypothèses!$C$15,Hypothèses!$F$15,IF(B239&lt;=Hypothèses!$C$16,Hypothèses!$F$16,IF(B239&lt;=Hypothèses!$C$17,Hypothèses!$F$17,IF(B239&lt;=Hypothèses!$C$18,Hypothèses!$F$18,F238))))))))))))</f>
        <v/>
      </c>
      <c r="G239" s="91">
        <f t="array" ref="G239">INDEX('Coeff EC7'!$U$7:$X$27,
MATCH(Model0.1C!$B$3,'Coeff EC7'!$T$7:$T$27,0),
MATCH(Model0.1C!$D239&amp;Model0.1C!$B$4,
'Coeff EC7'!$U$6:$X$6&amp;
'Coeff EC7'!$U$5:$X$5,0))</f>
        <v>1.1499999999999999</v>
      </c>
      <c r="H239" s="91">
        <f t="array" ref="H239">INDEX('Coeff EC7'!$Y$7:$AB$27,
MATCH(Model0.1C!$B$3,'Coeff EC7'!$T$7:$T$27,0),
MATCH(Model0.1C!$D239&amp;Model0.1C!$B$4,
'Coeff EC7'!$Y$6:$AB$6&amp;
'Coeff EC7'!$Y$5:$AB$5,0))</f>
        <v>1.4</v>
      </c>
      <c r="I239" s="83" t="e">
        <f>IF(B239&lt;=Hypothèses!$C$7,Hypothèses!$P$7,IF(B239&lt;=Hypothèses!$C$8,Hypothèses!$P$8,IF(B239&lt;=Hypothèses!$C$9,Hypothèses!$P$9,IF(B239&lt;=Hypothèses!$C$10,Hypothèses!$P$10,IF(B239&lt;=Hypothèses!$C$11,Hypothèses!$P$11,IF(B239&lt;=Hypothèses!$C$12,Hypothèses!$P$12,IF(B239&lt;=Hypothèses!$C$13,Hypothèses!$P$13,IF(B239&lt;=Hypothèses!$C$14,Hypothèses!$P$14,IF(B239&lt;=Hypothèses!$C$15,Hypothèses!$P$15,IF(B239&lt;=Hypothèses!$C$16,Hypothèses!$P$16,IF(B239&lt;=Hypothèses!$C$17,Hypothèses!$P$17,IF(B239&lt;=Hypothèses!$C$18,Hypothèses!$P$18,I238))))))))))))</f>
        <v>#N/A</v>
      </c>
      <c r="J239" s="91" t="e">
        <f t="array" ref="J239">INDEX('Coeff EC7'!$D$33:$Q$33,1,MATCH(D239&amp;E239,'Coeff EC7'!$D$31:$Q$31&amp;'Coeff EC7'!$D$32:$Q$32,0))</f>
        <v>#N/A</v>
      </c>
      <c r="K239" s="91" t="e">
        <f t="array" ref="K239">INDEX('Coeff EC7'!$D$34:$Q$34,1,MATCH(D239&amp;E239,'Coeff EC7'!$D$31:$Q$31&amp;'Coeff EC7'!$D$32:$Q$32,0))</f>
        <v>#N/A</v>
      </c>
      <c r="L239" s="91" t="e">
        <f t="array" ref="L239">INDEX('Coeff EC7'!$D$35:$Q$35,1,MATCH(D239&amp;E239,'Coeff EC7'!$D$31:$Q$31&amp;'Coeff EC7'!$D$32:$Q$32,0))</f>
        <v>#N/A</v>
      </c>
      <c r="M239" s="98" t="e">
        <f t="shared" si="331"/>
        <v>#N/A</v>
      </c>
      <c r="N239" s="99" t="e">
        <f t="array" ref="N239">INDEX('Coeff EC7'!$D$7:$Q$27,MATCH($B$3,'Coeff EC7'!$C$7:$C$27,0),MATCH(D239&amp;E239,'Coeff EC7'!$D$5:$Q$5&amp;'Coeff EC7'!$D$6:$Q$6,0))</f>
        <v>#N/A</v>
      </c>
      <c r="O239" s="99" t="e">
        <f t="array" ref="O239">INDEX('Coeff EC7'!$D$41:$Q$61,MATCH($B$3,'Coeff EC7'!$C$41:$C$61,0),MATCH(D239&amp;E239,'Coeff EC7'!$D$39:$Q$39&amp;'Coeff EC7'!$D$40:$Q$40,0))</f>
        <v>#N/A</v>
      </c>
      <c r="P239" s="30" t="e">
        <f t="shared" si="368"/>
        <v>#N/A</v>
      </c>
      <c r="Q239" s="100" t="e">
        <f t="shared" si="333"/>
        <v>#N/A</v>
      </c>
      <c r="R239" s="86" t="b">
        <f t="shared" si="334"/>
        <v>0</v>
      </c>
      <c r="S239" s="86">
        <f t="shared" si="332"/>
        <v>0.5</v>
      </c>
      <c r="T239" s="86">
        <f t="shared" si="335"/>
        <v>0.5</v>
      </c>
      <c r="U239" s="30" t="e">
        <f t="shared" ca="1" si="369"/>
        <v>#DIV/0!</v>
      </c>
      <c r="V239" s="85" t="str">
        <f>IF(B239&lt;=Hypothèses!$V$7,Hypothèses!$W$7,IF(B239&lt;=Hypothèses!$V$8,Hypothèses!$W$8,IF(B239&lt;=Hypothèses!$V$9,Hypothèses!$W$9,IF(B239&lt;=Hypothèses!$V$10,Hypothèses!$W$10,IF(B239&lt;=Hypothèses!$V$11,Hypothèses!$W$11,IF(B239&lt;=Hypothèses!$V$12,Hypothèses!$W$12,IF(B239&lt;=Hypothèses!$V$13,Hypothèses!$W$13,IF(B239&lt;=Hypothèses!$V$14,Hypothèses!$W$14,IF(B239&lt;=Hypothèses!$V$15,Hypothèses!$W$15,IF(B239&lt;=Hypothèses!$V$16,Hypothèses!$W$16,IF(B239&lt;=Hypothèses!$V$17,Hypothèses!$W$17,IF(B239&lt;=Hypothèses!$V$18,Hypothèses!$W$18,""))))))))))))</f>
        <v/>
      </c>
      <c r="W239" s="87" t="e">
        <f t="shared" ca="1" si="416"/>
        <v>#DIV/0!</v>
      </c>
      <c r="X239" s="88" t="str">
        <f>IF(B239&lt;=Hypothèses!$V$7,Hypothèses!$X$7,IF(B239&lt;=Hypothèses!$V$8,Hypothèses!$X$8,IF(B239&lt;=Hypothèses!$V$9,Hypothèses!$X$9,IF(B239&lt;=Hypothèses!$V$10,Hypothèses!$X$10,IF(B239&lt;=Hypothèses!$V$11,Hypothèses!$X$11,IF(B239&lt;=Hypothèses!$V$12,Hypothèses!$X$12,IF(B239&lt;=Hypothèses!$V$13,Hypothèses!$X$13,IF(B239&lt;=Hypothèses!$V$14,Hypothèses!$X$14,IF(B239&lt;=Hypothèses!$V$15,Hypothèses!$X$15,IF(B239&lt;=Hypothèses!$V$16,Hypothèses!$X$16,IF(B239&lt;=Hypothèses!$U$17,Hypothèses!$W$17,IF(B239&lt;=Hypothèses!$U$18,Hypothèses!$W$18,""))))))))))))</f>
        <v/>
      </c>
      <c r="Y239" s="95" t="e">
        <f t="shared" ca="1" si="336"/>
        <v>#DIV/0!</v>
      </c>
      <c r="Z239" s="101" t="e">
        <f t="shared" si="337"/>
        <v>#N/A</v>
      </c>
      <c r="AA239" s="91" t="e">
        <f t="shared" si="338"/>
        <v>#N/A</v>
      </c>
      <c r="AB239" s="30" t="e">
        <f t="shared" si="400"/>
        <v>#N/A</v>
      </c>
      <c r="AC239" s="30" t="e">
        <f t="shared" si="401"/>
        <v>#N/A</v>
      </c>
      <c r="AD239" s="31" t="e">
        <f>IF(OR(Hypothèses!$B$4=17,Hypothèses!$B$4=18,Hypothèses!$B$4=19,Hypothèses!$B$4=20),
IF($D239="Pressio.",
IF(OR($E239=3,$E239=1,$E239=4),AC239,AB239),
IF($D239="Pénétro.",
IF(OR($E239=3,$E239=1,$E239=4),AC239,AB239))),IF($D239="Pressio.",
IF($E239=3,AC239,AB239),
IF($D239="Pénétro.",
IF($E239=4,AC239,AB239))))</f>
        <v>#N/A</v>
      </c>
      <c r="AE239" s="31" t="e">
        <f>(IF(OR(Hypothèses!$B$4=17,Hypothèses!$B$4=18,Hypothèses!$B$4=19,Hypothèses!$B$4=20),
IF($D239="Pressio.",
IF(OR($E239=3,$E239=1,$E239=4),(PI()*AE$12^2)/4*(AA239*$W239*1000)/($H239*$B$5),(PI()*AE$12^2)/4*(AA239*$W239*1000)/($G239*$B$5)),
IF($D239="Pénétro.",
IF(OR($E239=4,$E239=1,$E239=5),(PI()*AE$12^2)/4*(AA239*$W239*1000)/($H239*$B$5),(PI()*AE$12^2)/4*(AA239*$W239*1000)/($G239*$B$5)))),
IF($D239="Pressio.",
IF($E239=3,(PI()*AE$12^2)/4*(AA239*$W239*1000)/($H239*$B$5),(PI()*AE$12^2)/4*(AA239*$W239*1000)/($G239*$B$5)),
IF($D239="Pénétro.",
IF($E239=4,(PI()*AE$12^2)/4*(AA239*$W239*1000)/($H239*$B$5),(PI()*AE$12^2)/4*(AA239*$W239*1000)/($G239*$B$5))))))/10</f>
        <v>#N/A</v>
      </c>
      <c r="AF239" s="102" t="e">
        <f>(VLOOKUP($B$3,'Coeff EC7'!$T$39:$X$59,2,0)*AD239+VLOOKUP($B$3,'Coeff EC7'!$T$65:$X$85,2,0)*Model0.1C!AE239)/1.1</f>
        <v>#N/A</v>
      </c>
      <c r="AG239" s="102" t="e">
        <f>(VLOOKUP($B$3,'Coeff EC7'!$T$39:$X$59,3,0)*AD239+VLOOKUP($B$3,'Coeff EC7'!$T$65:$X$85,3,0)*Model0.1C!AE239)/0.9</f>
        <v>#N/A</v>
      </c>
      <c r="AH239" s="102" t="e">
        <f t="shared" si="339"/>
        <v>#N/A</v>
      </c>
      <c r="AI239" s="102" t="e">
        <f t="shared" si="340"/>
        <v>#N/A</v>
      </c>
      <c r="AJ239" s="414" t="e">
        <f>IF(AJ238=0,0,IF(AND(AF239&gt;charge_ELS_quasi,AG239&gt;Charge_ELS_freq,AH239&gt;charge_ELU,AI239&gt;charge_ELA,$B239&gt;NDC!$H$22-0.1+MIN(3*$AJ$12,1.5)),0,1))</f>
        <v>#N/A</v>
      </c>
      <c r="AK239" s="86" t="b">
        <f t="shared" si="341"/>
        <v>0</v>
      </c>
      <c r="AL239" s="86">
        <f t="shared" si="370"/>
        <v>0.5</v>
      </c>
      <c r="AM239" s="86">
        <f t="shared" si="342"/>
        <v>0.5</v>
      </c>
      <c r="AN239" s="30" t="e">
        <f t="shared" ca="1" si="371"/>
        <v>#DIV/0!</v>
      </c>
      <c r="AO239" s="85" t="e">
        <f ca="1">IF(U239&lt;=Hypothèses!$V$7,Hypothèses!$W$7,IF(U239&lt;=Hypothèses!$V$8,Hypothèses!$W$8,IF(U239&lt;=Hypothèses!$V$9,Hypothèses!$W$9,IF(U239&lt;=Hypothèses!$V$10,Hypothèses!$W$10,IF(U239&lt;=Hypothèses!$V$11,Hypothèses!$W$11,IF(U239&lt;=Hypothèses!$V$12,Hypothèses!$W$12,IF(U239&lt;=Hypothèses!$V$13,Hypothèses!$W$13,IF(U239&lt;=Hypothèses!$V$14,Hypothèses!$W$14,IF(U239&lt;=Hypothèses!$V$15,Hypothèses!$W$15,IF(U239&lt;=Hypothèses!$V$16,Hypothèses!$W$16,IF(U239&lt;=Hypothèses!$V$17,Hypothèses!$W$17,IF(U239&lt;=Hypothèses!$V$18,Hypothèses!$W$18,""))))))))))))</f>
        <v>#DIV/0!</v>
      </c>
      <c r="AP239" s="87" t="e">
        <f t="shared" ca="1" si="417"/>
        <v>#DIV/0!</v>
      </c>
      <c r="AQ239" s="88" t="e">
        <f ca="1">IF(U239&lt;=Hypothèses!$V$7,Hypothèses!$X$7,IF(U239&lt;=Hypothèses!$V$8,Hypothèses!$X$8,IF(U239&lt;=Hypothèses!$V$9,Hypothèses!$X$9,IF(U239&lt;=Hypothèses!$V$10,Hypothèses!$X$10,IF(U239&lt;=Hypothèses!$V$11,Hypothèses!$X$11,IF(U239&lt;=Hypothèses!$V$12,Hypothèses!$X$12,IF(U239&lt;=Hypothèses!$V$13,Hypothèses!$X$13,IF(U239&lt;=Hypothèses!$V$14,Hypothèses!$X$14,IF(U239&lt;=Hypothèses!$V$15,Hypothèses!$X$15,IF(U239&lt;=Hypothèses!$V$16,Hypothèses!$X$16,IF(U239&lt;=Hypothèses!$U$17,Hypothèses!$W$17,IF(U239&lt;=Hypothèses!$U$18,Hypothèses!$W$18,""))))))))))))</f>
        <v>#DIV/0!</v>
      </c>
      <c r="AR239" s="95" t="e">
        <f t="shared" ca="1" si="372"/>
        <v>#DIV/0!</v>
      </c>
      <c r="AS239" s="101" t="e">
        <f t="shared" si="424"/>
        <v>#N/A</v>
      </c>
      <c r="AT239" s="91" t="e">
        <f t="shared" si="343"/>
        <v>#N/A</v>
      </c>
      <c r="AU239" s="30" t="e">
        <f t="shared" si="402"/>
        <v>#N/A</v>
      </c>
      <c r="AV239" s="30" t="e">
        <f t="shared" si="403"/>
        <v>#N/A</v>
      </c>
      <c r="AW239" s="31" t="e">
        <f>IF(OR(Hypothèses!$B$4=17,Hypothèses!$B$4=18,Hypothèses!$B$4=19,Hypothèses!$B$4=20),
IF($D239="Pressio.",
IF(OR($E239=3,$E239=1,$E239=4),AV239,AU239),
IF($D239="Pénétro.",
IF(OR($E239=3,$E239=1,$E239=4),AV239,AU239))),IF($D239="Pressio.",
IF($E239=3,AV239,AU239),
IF($D239="Pénétro.",
IF($E239=4,AV239,AU239))))</f>
        <v>#N/A</v>
      </c>
      <c r="AX239" s="31" t="e">
        <f>(IF(OR(Hypothèses!$B$4=17,Hypothèses!$B$4=18,Hypothèses!$B$4=19,Hypothèses!$B$4=20),
IF($D239="Pressio.",
IF(OR($E239=3,$E239=1,$E239=4),(PI()*AX$12^2)/4*(AT239*$W239*1000)/($H239*$B$5),(PI()*AX$12^2)/4*(AT239*$W239*1000)/($G239*$B$5)),
IF($D239="Pénétro.",
IF(OR($E239=4,$E239=1,$E239=5),(PI()*AX$12^2)/4*(AT239*$W239*1000)/($H239*$B$5),(PI()*AX$12^2)/4*(AT239*$W239*1000)/($G239*$B$5)))),
IF($D239="Pressio.",
IF($E239=3,(PI()*AX$12^2)/4*(AT239*$W239*1000)/($H239*$B$5),(PI()*AX$12^2)/4*(AT239*$W239*1000)/($G239*$B$5)),
IF($D239="Pénétro.",
IF($E239=4,(PI()*AX$12^2)/4*(AT239*$W239*1000)/($H239*$B$5),(PI()*AX$12^2)/4*(AT239*$W239*1000)/($G239*$B$5))))))/10</f>
        <v>#N/A</v>
      </c>
      <c r="AY239" s="102" t="e">
        <f>(VLOOKUP($B$3,'Coeff EC7'!$T$39:$X$59,2,0)*AW239+VLOOKUP($B$3,'Coeff EC7'!$T$65:$X$85,2,0)*Model0.1C!AX239)/1.1</f>
        <v>#N/A</v>
      </c>
      <c r="AZ239" s="102" t="e">
        <f>(VLOOKUP($B$3,'Coeff EC7'!$T$39:$X$59,3,0)*AW239+VLOOKUP($B$3,'Coeff EC7'!$T$65:$X$85,3,0)*Model0.1C!AX239)/0.9</f>
        <v>#N/A</v>
      </c>
      <c r="BA239" s="102" t="e">
        <f t="shared" si="373"/>
        <v>#N/A</v>
      </c>
      <c r="BB239" s="102" t="e">
        <f t="shared" si="374"/>
        <v>#N/A</v>
      </c>
      <c r="BC239" s="414" t="e">
        <f>IF(BC238=0,0,IF(AND(AY239&gt;charge_ELS_quasi,AZ239&gt;Charge_ELS_freq,BA239&gt;charge_ELU,BB239&gt;charge_ELA,$B239&gt;NDC!$H$22-0.1+MIN(3*$BC$12,1.5)),0,1))</f>
        <v>#N/A</v>
      </c>
      <c r="BD239" s="86" t="b">
        <f t="shared" si="344"/>
        <v>0</v>
      </c>
      <c r="BE239" s="86">
        <f t="shared" si="375"/>
        <v>0.5</v>
      </c>
      <c r="BF239" s="86">
        <f t="shared" si="345"/>
        <v>0.5</v>
      </c>
      <c r="BG239" s="30" t="e">
        <f t="shared" ca="1" si="376"/>
        <v>#DIV/0!</v>
      </c>
      <c r="BH239" s="85" t="e">
        <f ca="1">IF(AN239&lt;=Hypothèses!$V$7,Hypothèses!$W$7,IF(AN239&lt;=Hypothèses!$V$8,Hypothèses!$W$8,IF(AN239&lt;=Hypothèses!$V$9,Hypothèses!$W$9,IF(AN239&lt;=Hypothèses!$V$10,Hypothèses!$W$10,IF(AN239&lt;=Hypothèses!$V$11,Hypothèses!$W$11,IF(AN239&lt;=Hypothèses!$V$12,Hypothèses!$W$12,IF(AN239&lt;=Hypothèses!$V$13,Hypothèses!$W$13,IF(AN239&lt;=Hypothèses!$V$14,Hypothèses!$W$14,IF(AN239&lt;=Hypothèses!$V$15,Hypothèses!$W$15,IF(AN239&lt;=Hypothèses!$V$16,Hypothèses!$W$16,IF(AN239&lt;=Hypothèses!$V$17,Hypothèses!$W$17,IF(AN239&lt;=Hypothèses!$V$18,Hypothèses!$W$18,""))))))))))))</f>
        <v>#DIV/0!</v>
      </c>
      <c r="BI239" s="87" t="e">
        <f t="shared" ca="1" si="418"/>
        <v>#DIV/0!</v>
      </c>
      <c r="BJ239" s="88" t="e">
        <f ca="1">IF(AN239&lt;=Hypothèses!$V$7,Hypothèses!$X$7,IF(AN239&lt;=Hypothèses!$V$8,Hypothèses!$X$8,IF(AN239&lt;=Hypothèses!$V$9,Hypothèses!$X$9,IF(AN239&lt;=Hypothèses!$V$10,Hypothèses!$X$10,IF(AN239&lt;=Hypothèses!$V$11,Hypothèses!$X$11,IF(AN239&lt;=Hypothèses!$V$12,Hypothèses!$X$12,IF(AN239&lt;=Hypothèses!$V$13,Hypothèses!$X$13,IF(AN239&lt;=Hypothèses!$V$14,Hypothèses!$X$14,IF(AN239&lt;=Hypothèses!$V$15,Hypothèses!$X$15,IF(AN239&lt;=Hypothèses!$V$16,Hypothèses!$X$16,IF(AN239&lt;=Hypothèses!$U$17,Hypothèses!$W$17,IF(AN239&lt;=Hypothèses!$U$18,Hypothèses!$W$18,""))))))))))))</f>
        <v>#DIV/0!</v>
      </c>
      <c r="BK239" s="95" t="e">
        <f t="shared" ca="1" si="377"/>
        <v>#DIV/0!</v>
      </c>
      <c r="BL239" s="101" t="e">
        <f t="shared" si="425"/>
        <v>#N/A</v>
      </c>
      <c r="BM239" s="91" t="e">
        <f t="shared" si="346"/>
        <v>#N/A</v>
      </c>
      <c r="BN239" s="30" t="e">
        <f t="shared" si="404"/>
        <v>#N/A</v>
      </c>
      <c r="BO239" s="30" t="e">
        <f t="shared" si="405"/>
        <v>#N/A</v>
      </c>
      <c r="BP239" s="31" t="e">
        <f>IF(OR(Hypothèses!$B$4=17,Hypothèses!$B$4=18,Hypothèses!$B$4=19,Hypothèses!$B$4=20),
IF($D239="Pressio.",
IF(OR($E239=3,$E239=1,$E239=4),BO239,BN239),
IF($D239="Pénétro.",
IF(OR($E239=3,$E239=1,$E239=4),BO239,BN239))),IF($D239="Pressio.",
IF($E239=3,BO239,BN239),
IF($D239="Pénétro.",
IF($E239=4,BO239,BN239))))</f>
        <v>#N/A</v>
      </c>
      <c r="BQ239" s="31" t="e">
        <f>(IF(OR(Hypothèses!$B$4=17,Hypothèses!$B$4=18,Hypothèses!$B$4=19,Hypothèses!$B$4=20),
IF($D239="Pressio.",
IF(OR($E239=3,$E239=1,$E239=4),(PI()*BQ$12^2)/4*(BM239*$W239*1000)/($H239*$B$5),(PI()*BQ$12^2)/4*(BM239*$W239*1000)/($G239*$B$5)),
IF($D239="Pénétro.",
IF(OR($E239=4,$E239=1,$E239=5),(PI()*BQ$12^2)/4*(BM239*$W239*1000)/($H239*$B$5),(PI()*BQ$12^2)/4*(BM239*$W239*1000)/($G239*$B$5)))),
IF($D239="Pressio.",
IF($E239=3,(PI()*BQ$12^2)/4*(BM239*$W239*1000)/($H239*$B$5),(PI()*BQ$12^2)/4*(BM239*$W239*1000)/($G239*$B$5)),
IF($D239="Pénétro.",
IF($E239=4,(PI()*BQ$12^2)/4*(BM239*$W239*1000)/($H239*$B$5),(PI()*BQ$12^2)/4*(BM239*$W239*1000)/($G239*$B$5))))))/10</f>
        <v>#N/A</v>
      </c>
      <c r="BR239" s="102" t="e">
        <f>(VLOOKUP($B$3,'Coeff EC7'!$T$39:$X$59,2,0)*BP239+VLOOKUP($B$3,'Coeff EC7'!$T$65:$X$85,2,0)*Model0.1C!BQ239)/1.1</f>
        <v>#N/A</v>
      </c>
      <c r="BS239" s="102" t="e">
        <f>(VLOOKUP($B$3,'Coeff EC7'!$T$39:$X$59,3,0)*BP239+VLOOKUP($B$3,'Coeff EC7'!$T$65:$X$85,3,0)*Model0.1C!BQ239)/0.9</f>
        <v>#N/A</v>
      </c>
      <c r="BT239" s="102" t="e">
        <f t="shared" si="378"/>
        <v>#N/A</v>
      </c>
      <c r="BU239" s="102" t="e">
        <f t="shared" si="379"/>
        <v>#N/A</v>
      </c>
      <c r="BV239" s="414" t="e">
        <f>IF(BV238=0,0,IF(AND(BR239&gt;charge_ELS_quasi,BS239&gt;Charge_ELS_freq,BT239&gt;charge_ELU,BU239&gt;charge_ELA,$B239&gt;NDC!$H$22-0.1+MIN(3*$BV$12,1.5)),0,1))</f>
        <v>#N/A</v>
      </c>
      <c r="BW239" s="86" t="b">
        <f t="shared" si="347"/>
        <v>0</v>
      </c>
      <c r="BX239" s="86">
        <f t="shared" si="348"/>
        <v>0.5</v>
      </c>
      <c r="BY239" s="86">
        <f t="shared" si="349"/>
        <v>0.5</v>
      </c>
      <c r="BZ239" s="30" t="e">
        <f t="shared" ca="1" si="380"/>
        <v>#DIV/0!</v>
      </c>
      <c r="CA239" s="85" t="e">
        <f ca="1">IF(BG239&lt;=Hypothèses!$V$7,Hypothèses!$W$7,IF(BG239&lt;=Hypothèses!$V$8,Hypothèses!$W$8,IF(BG239&lt;=Hypothèses!$V$9,Hypothèses!$W$9,IF(BG239&lt;=Hypothèses!$V$10,Hypothèses!$W$10,IF(BG239&lt;=Hypothèses!$V$11,Hypothèses!$W$11,IF(BG239&lt;=Hypothèses!$V$12,Hypothèses!$W$12,IF(BG239&lt;=Hypothèses!$V$13,Hypothèses!$W$13,IF(BG239&lt;=Hypothèses!$V$14,Hypothèses!$W$14,IF(BG239&lt;=Hypothèses!$V$15,Hypothèses!$W$15,IF(BG239&lt;=Hypothèses!$V$16,Hypothèses!$W$16,IF(BG239&lt;=Hypothèses!$V$17,Hypothèses!$W$17,IF(BG239&lt;=Hypothèses!$V$18,Hypothèses!$W$18,""))))))))))))</f>
        <v>#DIV/0!</v>
      </c>
      <c r="CB239" s="87" t="e">
        <f t="shared" ca="1" si="419"/>
        <v>#DIV/0!</v>
      </c>
      <c r="CC239" s="88" t="e">
        <f ca="1">IF(BG239&lt;=Hypothèses!$V$7,Hypothèses!$X$7,IF(BG239&lt;=Hypothèses!$V$8,Hypothèses!$X$8,IF(BG239&lt;=Hypothèses!$V$9,Hypothèses!$X$9,IF(BG239&lt;=Hypothèses!$V$10,Hypothèses!$X$10,IF(BG239&lt;=Hypothèses!$V$11,Hypothèses!$X$11,IF(BG239&lt;=Hypothèses!$V$12,Hypothèses!$X$12,IF(BG239&lt;=Hypothèses!$V$13,Hypothèses!$X$13,IF(BG239&lt;=Hypothèses!$V$14,Hypothèses!$X$14,IF(BG239&lt;=Hypothèses!$V$15,Hypothèses!$X$15,IF(BG239&lt;=Hypothèses!$V$16,Hypothèses!$X$16,IF(BG239&lt;=Hypothèses!$U$17,Hypothèses!$W$17,IF(BG239&lt;=Hypothèses!$U$18,Hypothèses!$W$18,""))))))))))))</f>
        <v>#DIV/0!</v>
      </c>
      <c r="CD239" s="95" t="e">
        <f t="shared" ca="1" si="381"/>
        <v>#DIV/0!</v>
      </c>
      <c r="CE239" s="101" t="e">
        <f t="shared" si="426"/>
        <v>#N/A</v>
      </c>
      <c r="CF239" s="91" t="e">
        <f t="shared" si="350"/>
        <v>#N/A</v>
      </c>
      <c r="CG239" s="30" t="e">
        <f t="shared" si="406"/>
        <v>#N/A</v>
      </c>
      <c r="CH239" s="30" t="e">
        <f t="shared" si="407"/>
        <v>#N/A</v>
      </c>
      <c r="CI239" s="31" t="e">
        <f>IF(OR(Hypothèses!$B$4=17,Hypothèses!$B$4=18,Hypothèses!$B$4=19,Hypothèses!$B$4=20),
IF($D239="Pressio.",
IF(OR($E239=3,$E239=1,$E239=4),CH239,CG239),
IF($D239="Pénétro.",
IF(OR($E239=3,$E239=1,$E239=4),CH239,CG239))),IF($D239="Pressio.",
IF($E239=3,CH239,CG239),
IF($D239="Pénétro.",
IF($E239=4,CH239,CG239))))</f>
        <v>#N/A</v>
      </c>
      <c r="CJ239" s="31" t="e">
        <f>(IF(OR(Hypothèses!$B$4=17,Hypothèses!$B$4=18,Hypothèses!$B$4=19,Hypothèses!$B$4=20),
IF($D239="Pressio.",
IF(OR($E239=3,$E239=1,$E239=4),(PI()*CJ$12^2)/4*(CF239*$W239*1000)/($H239*$B$5),(PI()*CJ$12^2)/4*(CF239*$W239*1000)/($G239*$B$5)),
IF($D239="Pénétro.",
IF(OR($E239=4,$E239=1,$E239=5),(PI()*CJ$12^2)/4*(CF239*$W239*1000)/($H239*$B$5),(PI()*CJ$12^2)/4*(CF239*$W239*1000)/($G239*$B$5)))),
IF($D239="Pressio.",
IF($E239=3,(PI()*CJ$12^2)/4*(CF239*$W239*1000)/($H239*$B$5),(PI()*CJ$12^2)/4*(CF239*$W239*1000)/($G239*$B$5)),
IF($D239="Pénétro.",
IF($E239=4,(PI()*CJ$12^2)/4*(CF239*$W239*1000)/($H239*$B$5),(PI()*CJ$12^2)/4*(CF239*$W239*1000)/($G239*$B$5))))))/10</f>
        <v>#N/A</v>
      </c>
      <c r="CK239" s="102" t="e">
        <f>(VLOOKUP($B$3,'Coeff EC7'!$T$39:$X$59,2,0)*CI239+VLOOKUP($B$3,'Coeff EC7'!$T$65:$X$85,2,0)*Model0.1C!CJ239)/1.1</f>
        <v>#N/A</v>
      </c>
      <c r="CL239" s="102" t="e">
        <f>(VLOOKUP($B$3,'Coeff EC7'!$T$39:$X$59,3,0)*CI239+VLOOKUP($B$3,'Coeff EC7'!$T$65:$X$85,3,0)*Model0.1C!CJ239)/0.9</f>
        <v>#N/A</v>
      </c>
      <c r="CM239" s="102" t="e">
        <f t="shared" si="382"/>
        <v>#N/A</v>
      </c>
      <c r="CN239" s="102" t="e">
        <f t="shared" si="383"/>
        <v>#N/A</v>
      </c>
      <c r="CO239" s="414" t="e">
        <f>IF(CO238=0,0,IF(AND(CK239&gt;charge_ELS_quasi,CL239&gt;Charge_ELS_freq,CM239&gt;charge_ELU,CN239&gt;charge_ELA,$B239&gt;NDC!$H$22-0.1+MIN(3*$CO$12,1.5)),0,1))</f>
        <v>#N/A</v>
      </c>
      <c r="CP239" s="86" t="b">
        <f t="shared" si="351"/>
        <v>0</v>
      </c>
      <c r="CQ239" s="86">
        <f t="shared" si="352"/>
        <v>0.5</v>
      </c>
      <c r="CR239" s="86">
        <f t="shared" si="353"/>
        <v>0.5</v>
      </c>
      <c r="CS239" s="30" t="e">
        <f t="shared" ca="1" si="384"/>
        <v>#DIV/0!</v>
      </c>
      <c r="CT239" s="85" t="e">
        <f ca="1">IF(BZ239&lt;=Hypothèses!$V$7,Hypothèses!$W$7,IF(BZ239&lt;=Hypothèses!$V$8,Hypothèses!$W$8,IF(BZ239&lt;=Hypothèses!$V$9,Hypothèses!$W$9,IF(BZ239&lt;=Hypothèses!$V$10,Hypothèses!$W$10,IF(BZ239&lt;=Hypothèses!$V$11,Hypothèses!$W$11,IF(BZ239&lt;=Hypothèses!$V$12,Hypothèses!$W$12,IF(BZ239&lt;=Hypothèses!$V$13,Hypothèses!$W$13,IF(BZ239&lt;=Hypothèses!$V$14,Hypothèses!$W$14,IF(BZ239&lt;=Hypothèses!$V$15,Hypothèses!$W$15,IF(BZ239&lt;=Hypothèses!$V$16,Hypothèses!$W$16,IF(BZ239&lt;=Hypothèses!$V$17,Hypothèses!$W$17,IF(BZ239&lt;=Hypothèses!$V$18,Hypothèses!$W$18,""))))))))))))</f>
        <v>#DIV/0!</v>
      </c>
      <c r="CU239" s="87" t="e">
        <f t="shared" ca="1" si="420"/>
        <v>#DIV/0!</v>
      </c>
      <c r="CV239" s="88" t="e">
        <f ca="1">IF(BZ239&lt;=Hypothèses!$V$7,Hypothèses!$X$7,IF(BZ239&lt;=Hypothèses!$V$8,Hypothèses!$X$8,IF(BZ239&lt;=Hypothèses!$V$9,Hypothèses!$X$9,IF(BZ239&lt;=Hypothèses!$V$10,Hypothèses!$X$10,IF(BZ239&lt;=Hypothèses!$V$11,Hypothèses!$X$11,IF(BZ239&lt;=Hypothèses!$V$12,Hypothèses!$X$12,IF(BZ239&lt;=Hypothèses!$V$13,Hypothèses!$X$13,IF(BZ239&lt;=Hypothèses!$V$14,Hypothèses!$X$14,IF(BZ239&lt;=Hypothèses!$V$15,Hypothèses!$X$15,IF(BZ239&lt;=Hypothèses!$V$16,Hypothèses!$X$16,IF(BZ239&lt;=Hypothèses!$U$17,Hypothèses!$W$17,IF(BZ239&lt;=Hypothèses!$U$18,Hypothèses!$W$18,""))))))))))))</f>
        <v>#DIV/0!</v>
      </c>
      <c r="CW239" s="95" t="e">
        <f t="shared" ca="1" si="385"/>
        <v>#DIV/0!</v>
      </c>
      <c r="CX239" s="101" t="e">
        <f t="shared" si="427"/>
        <v>#N/A</v>
      </c>
      <c r="CY239" s="91" t="e">
        <f t="shared" si="354"/>
        <v>#N/A</v>
      </c>
      <c r="CZ239" s="30" t="e">
        <f t="shared" si="408"/>
        <v>#N/A</v>
      </c>
      <c r="DA239" s="30" t="e">
        <f t="shared" si="409"/>
        <v>#N/A</v>
      </c>
      <c r="DB239" s="31" t="e">
        <f>IF(OR(Hypothèses!$B$4=17,Hypothèses!$B$4=18,Hypothèses!$B$4=19,Hypothèses!$B$4=20),
IF($D239="Pressio.",
IF(OR($E239=3,$E239=1,$E239=4),DA239,CZ239),
IF($D239="Pénétro.",
IF(OR($E239=3,$E239=1,$E239=4),DA239,CZ239))),IF($D239="Pressio.",
IF($E239=3,DA239,CZ239),
IF($D239="Pénétro.",
IF($E239=4,DA239,CZ239))))</f>
        <v>#N/A</v>
      </c>
      <c r="DC239" s="31" t="e">
        <f>(IF(OR(Hypothèses!$B$4=17,Hypothèses!$B$4=18,Hypothèses!$B$4=19,Hypothèses!$B$4=20),
IF($D239="Pressio.",
IF(OR($E239=3,$E239=1,$E239=4),(PI()*DC$12^2)/4*(CY239*$W239*1000)/($H239*$B$5),(PI()*DC$12^2)/4*(CY239*$W239*1000)/($G239*$B$5)),
IF($D239="Pénétro.",
IF(OR($E239=4,$E239=1,$E239=5),(PI()*DC$12^2)/4*(CY239*$W239*1000)/($H239*$B$5),(PI()*DC$12^2)/4*(CY239*$W239*1000)/($G239*$B$5)))),
IF($D239="Pressio.",
IF($E239=3,(PI()*DC$12^2)/4*(CY239*$W239*1000)/($H239*$B$5),(PI()*DC$12^2)/4*(CY239*$W239*1000)/($G239*$B$5)),
IF($D239="Pénétro.",
IF($E239=4,(PI()*DC$12^2)/4*(CY239*$W239*1000)/($H239*$B$5),(PI()*DC$12^2)/4*(CY239*$W239*1000)/($G239*$B$5))))))/10</f>
        <v>#N/A</v>
      </c>
      <c r="DD239" s="102" t="e">
        <f>(VLOOKUP($B$3,'Coeff EC7'!$T$39:$X$59,2,0)*DB239+VLOOKUP($B$3,'Coeff EC7'!$T$65:$X$85,2,0)*Model0.1C!DC239)/1.1</f>
        <v>#N/A</v>
      </c>
      <c r="DE239" s="102" t="e">
        <f>(VLOOKUP($B$3,'Coeff EC7'!$T$39:$X$59,3,0)*DB239+VLOOKUP($B$3,'Coeff EC7'!$T$65:$X$85,3,0)*Model0.1C!DC239)/0.9</f>
        <v>#N/A</v>
      </c>
      <c r="DF239" s="102" t="e">
        <f t="shared" si="386"/>
        <v>#N/A</v>
      </c>
      <c r="DG239" s="102" t="e">
        <f t="shared" si="387"/>
        <v>#N/A</v>
      </c>
      <c r="DH239" s="414" t="e">
        <f>IF(DH238=0,0,IF(AND(DD239&gt;charge_ELS_quasi,DE239&gt;Charge_ELS_freq,DF239&gt;charge_ELU,DG239&gt;charge_ELA,$B239&gt;NDC!$H$22-0.1+MIN(3*$DH$12,1.5)),0,1))</f>
        <v>#N/A</v>
      </c>
      <c r="DI239" s="86" t="b">
        <f t="shared" si="355"/>
        <v>0</v>
      </c>
      <c r="DJ239" s="86">
        <f t="shared" si="356"/>
        <v>0.5</v>
      </c>
      <c r="DK239" s="86">
        <f t="shared" si="357"/>
        <v>0.5</v>
      </c>
      <c r="DL239" s="30" t="e">
        <f t="shared" ca="1" si="388"/>
        <v>#DIV/0!</v>
      </c>
      <c r="DM239" s="85" t="e">
        <f ca="1">IF(CS239&lt;=Hypothèses!$V$7,Hypothèses!$W$7,IF(CS239&lt;=Hypothèses!$V$8,Hypothèses!$W$8,IF(CS239&lt;=Hypothèses!$V$9,Hypothèses!$W$9,IF(CS239&lt;=Hypothèses!$V$10,Hypothèses!$W$10,IF(CS239&lt;=Hypothèses!$V$11,Hypothèses!$W$11,IF(CS239&lt;=Hypothèses!$V$12,Hypothèses!$W$12,IF(CS239&lt;=Hypothèses!$V$13,Hypothèses!$W$13,IF(CS239&lt;=Hypothèses!$V$14,Hypothèses!$W$14,IF(CS239&lt;=Hypothèses!$V$15,Hypothèses!$W$15,IF(CS239&lt;=Hypothèses!$V$16,Hypothèses!$W$16,IF(CS239&lt;=Hypothèses!$V$17,Hypothèses!$W$17,IF(CS239&lt;=Hypothèses!$V$18,Hypothèses!$W$18,""))))))))))))</f>
        <v>#DIV/0!</v>
      </c>
      <c r="DN239" s="87" t="e">
        <f t="shared" ca="1" si="421"/>
        <v>#DIV/0!</v>
      </c>
      <c r="DO239" s="88" t="e">
        <f ca="1">IF(CS239&lt;=Hypothèses!$V$7,Hypothèses!$X$7,IF(CS239&lt;=Hypothèses!$V$8,Hypothèses!$X$8,IF(CS239&lt;=Hypothèses!$V$9,Hypothèses!$X$9,IF(CS239&lt;=Hypothèses!$V$10,Hypothèses!$X$10,IF(CS239&lt;=Hypothèses!$V$11,Hypothèses!$X$11,IF(CS239&lt;=Hypothèses!$V$12,Hypothèses!$X$12,IF(CS239&lt;=Hypothèses!$V$13,Hypothèses!$X$13,IF(CS239&lt;=Hypothèses!$V$14,Hypothèses!$X$14,IF(CS239&lt;=Hypothèses!$V$15,Hypothèses!$X$15,IF(CS239&lt;=Hypothèses!$V$16,Hypothèses!$X$16,IF(CS239&lt;=Hypothèses!$U$17,Hypothèses!$W$17,IF(CS239&lt;=Hypothèses!$U$18,Hypothèses!$W$18,""))))))))))))</f>
        <v>#DIV/0!</v>
      </c>
      <c r="DP239" s="95" t="e">
        <f t="shared" ca="1" si="389"/>
        <v>#DIV/0!</v>
      </c>
      <c r="DQ239" s="101" t="e">
        <f t="shared" si="428"/>
        <v>#N/A</v>
      </c>
      <c r="DR239" s="91" t="e">
        <f t="shared" si="358"/>
        <v>#N/A</v>
      </c>
      <c r="DS239" s="30" t="e">
        <f t="shared" si="410"/>
        <v>#N/A</v>
      </c>
      <c r="DT239" s="30" t="e">
        <f t="shared" si="411"/>
        <v>#N/A</v>
      </c>
      <c r="DU239" s="31" t="e">
        <f>IF(OR(Hypothèses!$B$4=17,Hypothèses!$B$4=18,Hypothèses!$B$4=19,Hypothèses!$B$4=20),
IF($D239="Pressio.",
IF(OR($E239=3,$E239=1,$E239=4),DT239,DS239),
IF($D239="Pénétro.",
IF(OR($E239=3,$E239=1,$E239=4),DT239,DS239))),IF($D239="Pressio.",
IF($E239=3,DT239,DS239),
IF($D239="Pénétro.",
IF($E239=4,DT239,DS239))))</f>
        <v>#N/A</v>
      </c>
      <c r="DV239" s="31" t="e">
        <f>(IF(OR(Hypothèses!$B$4=17,Hypothèses!$B$4=18,Hypothèses!$B$4=19,Hypothèses!$B$4=20),
IF($D239="Pressio.",
IF(OR($E239=3,$E239=1,$E239=4),(PI()*DV$12^2)/4*(DR239*$W239*1000)/($H239*$B$5),(PI()*DV$12^2)/4*(DR239*$W239*1000)/($G239*$B$5)),
IF($D239="Pénétro.",
IF(OR($E239=4,$E239=1,$E239=5),(PI()*DV$12^2)/4*(DR239*$W239*1000)/($H239*$B$5),(PI()*DV$12^2)/4*(DR239*$W239*1000)/($G239*$B$5)))),
IF($D239="Pressio.",
IF($E239=3,(PI()*DV$12^2)/4*(DR239*$W239*1000)/($H239*$B$5),(PI()*DV$12^2)/4*(DR239*$W239*1000)/($G239*$B$5)),
IF($D239="Pénétro.",
IF($E239=4,(PI()*DV$12^2)/4*(DR239*$W239*1000)/($H239*$B$5),(PI()*DV$12^2)/4*(DR239*$W239*1000)/($G239*$B$5))))))/10</f>
        <v>#N/A</v>
      </c>
      <c r="DW239" s="102" t="e">
        <f>(VLOOKUP($B$3,'Coeff EC7'!$T$39:$X$59,2,0)*DU239+VLOOKUP($B$3,'Coeff EC7'!$T$65:$X$85,2,0)*Model0.1C!DV239)/1.1</f>
        <v>#N/A</v>
      </c>
      <c r="DX239" s="102" t="e">
        <f>(VLOOKUP($B$3,'Coeff EC7'!$T$39:$X$59,3,0)*DU239+VLOOKUP($B$3,'Coeff EC7'!$T$65:$X$85,3,0)*Model0.1C!DV239)/0.9</f>
        <v>#N/A</v>
      </c>
      <c r="DY239" s="102" t="e">
        <f t="shared" si="390"/>
        <v>#N/A</v>
      </c>
      <c r="DZ239" s="102" t="e">
        <f t="shared" si="391"/>
        <v>#N/A</v>
      </c>
      <c r="EA239" s="414" t="e">
        <f>IF(EA238=0,0,IF(AND(DW239&gt;charge_ELS_quasi,DX239&gt;Charge_ELS_freq,DY239&gt;charge_ELU,DZ239&gt;charge_ELA,$B239&gt;NDC!$H$22-0.1+MIN(3*$EA$12,1.5)),0,1))</f>
        <v>#N/A</v>
      </c>
      <c r="EB239" s="86" t="b">
        <f t="shared" si="359"/>
        <v>0</v>
      </c>
      <c r="EC239" s="418">
        <f t="shared" si="360"/>
        <v>0.51</v>
      </c>
      <c r="ED239" s="86">
        <f t="shared" si="361"/>
        <v>0.51</v>
      </c>
      <c r="EE239" s="30" t="e">
        <f t="shared" ca="1" si="392"/>
        <v>#DIV/0!</v>
      </c>
      <c r="EF239" s="85" t="e">
        <f ca="1">IF(DL239&lt;=Hypothèses!$V$7,Hypothèses!$W$7,IF(DL239&lt;=Hypothèses!$V$8,Hypothèses!$W$8,IF(DL239&lt;=Hypothèses!$V$9,Hypothèses!$W$9,IF(DL239&lt;=Hypothèses!$V$10,Hypothèses!$W$10,IF(DL239&lt;=Hypothèses!$V$11,Hypothèses!$W$11,IF(DL239&lt;=Hypothèses!$V$12,Hypothèses!$W$12,IF(DL239&lt;=Hypothèses!$V$13,Hypothèses!$W$13,IF(DL239&lt;=Hypothèses!$V$14,Hypothèses!$W$14,IF(DL239&lt;=Hypothèses!$V$15,Hypothèses!$W$15,IF(DL239&lt;=Hypothèses!$V$16,Hypothèses!$W$16,IF(DL239&lt;=Hypothèses!$V$17,Hypothèses!$W$17,IF(DL239&lt;=Hypothèses!$V$18,Hypothèses!$W$18,""))))))))))))</f>
        <v>#DIV/0!</v>
      </c>
      <c r="EG239" s="87" t="e">
        <f t="shared" ca="1" si="422"/>
        <v>#DIV/0!</v>
      </c>
      <c r="EH239" s="88" t="e">
        <f ca="1">IF(DL239&lt;=Hypothèses!$V$7,Hypothèses!$X$7,IF(DL239&lt;=Hypothèses!$V$8,Hypothèses!$X$8,IF(DL239&lt;=Hypothèses!$V$9,Hypothèses!$X$9,IF(DL239&lt;=Hypothèses!$V$10,Hypothèses!$X$10,IF(DL239&lt;=Hypothèses!$V$11,Hypothèses!$X$11,IF(DL239&lt;=Hypothèses!$V$12,Hypothèses!$X$12,IF(DL239&lt;=Hypothèses!$V$13,Hypothèses!$X$13,IF(DL239&lt;=Hypothèses!$V$14,Hypothèses!$X$14,IF(DL239&lt;=Hypothèses!$V$15,Hypothèses!$X$15,IF(DL239&lt;=Hypothèses!$V$16,Hypothèses!$X$16,IF(DL239&lt;=Hypothèses!$U$17,Hypothèses!$W$17,IF(DL239&lt;=Hypothèses!$U$18,Hypothèses!$W$18,""))))))))))))</f>
        <v>#DIV/0!</v>
      </c>
      <c r="EI239" s="95" t="e">
        <f t="shared" ca="1" si="393"/>
        <v>#DIV/0!</v>
      </c>
      <c r="EJ239" s="101" t="e">
        <f t="shared" si="429"/>
        <v>#N/A</v>
      </c>
      <c r="EK239" s="91" t="e">
        <f t="shared" si="362"/>
        <v>#N/A</v>
      </c>
      <c r="EL239" s="30" t="e">
        <f t="shared" si="412"/>
        <v>#N/A</v>
      </c>
      <c r="EM239" s="30" t="e">
        <f t="shared" si="413"/>
        <v>#N/A</v>
      </c>
      <c r="EN239" s="31" t="e">
        <f>IF(OR(Hypothèses!$B$4=17,Hypothèses!$B$4=18,Hypothèses!$B$4=19,Hypothèses!$B$4=20),
IF($D239="Pressio.",
IF(OR($E239=3,$E239=1,$E239=4),EM239,EL239),
IF($D239="Pénétro.",
IF(OR($E239=3,$E239=1,$E239=4),EM239,EL239))),IF($D239="Pressio.",
IF($E239=3,EM239,EL239),
IF($D239="Pénétro.",
IF($E239=4,EM239,EL239))))</f>
        <v>#N/A</v>
      </c>
      <c r="EO239" s="31" t="e">
        <f>(IF(OR(Hypothèses!$B$4=17,Hypothèses!$B$4=18,Hypothèses!$B$4=19,Hypothèses!$B$4=20),
IF($D239="Pressio.",
IF(OR($E239=3,$E239=1,$E239=4),(PI()*EO$12^2)/4*(EK239*$W239*1000)/($H239*$B$5),(PI()*EO$12^2)/4*(EK239*$W239*1000)/($G239*$B$5)),
IF($D239="Pénétro.",
IF(OR($E239=4,$E239=1,$E239=5),(PI()*EO$12^2)/4*(EK239*$W239*1000)/($H239*$B$5),(PI()*EO$12^2)/4*(EK239*$W239*1000)/($G239*$B$5)))),
IF($D239="Pressio.",
IF($E239=3,(PI()*EO$12^2)/4*(EK239*$W239*1000)/($H239*$B$5),(PI()*EO$12^2)/4*(EK239*$W239*1000)/($G239*$B$5)),
IF($D239="Pénétro.",
IF($E239=4,(PI()*EO$12^2)/4*(EK239*$W239*1000)/($H239*$B$5),(PI()*EO$12^2)/4*(EK239*$W239*1000)/($G239*$B$5))))))/10</f>
        <v>#N/A</v>
      </c>
      <c r="EP239" s="102" t="e">
        <f>(VLOOKUP($B$3,'Coeff EC7'!$T$39:$X$59,2,0)*EN239+VLOOKUP($B$3,'Coeff EC7'!$T$65:$X$85,2,0)*Model0.1C!EO239)/1.1</f>
        <v>#N/A</v>
      </c>
      <c r="EQ239" s="102" t="e">
        <f>(VLOOKUP($B$3,'Coeff EC7'!$T$39:$X$59,3,0)*EN239+VLOOKUP($B$3,'Coeff EC7'!$T$65:$X$85,3,0)*Model0.1C!EO239)/0.9</f>
        <v>#N/A</v>
      </c>
      <c r="ER239" s="102" t="e">
        <f t="shared" si="394"/>
        <v>#N/A</v>
      </c>
      <c r="ES239" s="102" t="e">
        <f t="shared" si="395"/>
        <v>#N/A</v>
      </c>
      <c r="ET239" s="414" t="e">
        <f>IF(ET238=0,0,IF(AND(EP239&gt;charge_ELS_quasi,EQ239&gt;Charge_ELS_freq,ER239&gt;charge_ELU,ES239&gt;charge_ELA,$B239&gt;NDC!$H$22-0.1+MIN(3*$ET$12,1.5)),0,1))</f>
        <v>#N/A</v>
      </c>
      <c r="EU239" s="86" t="b">
        <f t="shared" si="363"/>
        <v>0</v>
      </c>
      <c r="EV239" s="86">
        <f t="shared" si="364"/>
        <v>0.61</v>
      </c>
      <c r="EW239" s="86">
        <f t="shared" si="365"/>
        <v>0.61</v>
      </c>
      <c r="EX239" s="30" t="e">
        <f t="shared" ca="1" si="396"/>
        <v>#DIV/0!</v>
      </c>
      <c r="EY239" s="85" t="e">
        <f ca="1">IF(EE239&lt;=Hypothèses!$V$7,Hypothèses!$W$7,IF(EE239&lt;=Hypothèses!$V$8,Hypothèses!$W$8,IF(EE239&lt;=Hypothèses!$V$9,Hypothèses!$W$9,IF(EE239&lt;=Hypothèses!$V$10,Hypothèses!$W$10,IF(EE239&lt;=Hypothèses!$V$11,Hypothèses!$W$11,IF(EE239&lt;=Hypothèses!$V$12,Hypothèses!$W$12,IF(EE239&lt;=Hypothèses!$V$13,Hypothèses!$W$13,IF(EE239&lt;=Hypothèses!$V$14,Hypothèses!$W$14,IF(EE239&lt;=Hypothèses!$V$15,Hypothèses!$W$15,IF(EE239&lt;=Hypothèses!$V$16,Hypothèses!$W$16,IF(EE239&lt;=Hypothèses!$V$17,Hypothèses!$W$17,IF(EE239&lt;=Hypothèses!$V$18,Hypothèses!$W$18,""))))))))))))</f>
        <v>#DIV/0!</v>
      </c>
      <c r="EZ239" s="87" t="e">
        <f t="shared" ca="1" si="423"/>
        <v>#DIV/0!</v>
      </c>
      <c r="FA239" s="88" t="e">
        <f ca="1">IF(EE239&lt;=Hypothèses!$V$7,Hypothèses!$X$7,IF(EE239&lt;=Hypothèses!$V$8,Hypothèses!$X$8,IF(EE239&lt;=Hypothèses!$V$9,Hypothèses!$X$9,IF(EE239&lt;=Hypothèses!$V$10,Hypothèses!$X$10,IF(EE239&lt;=Hypothèses!$V$11,Hypothèses!$X$11,IF(EE239&lt;=Hypothèses!$V$12,Hypothèses!$X$12,IF(EE239&lt;=Hypothèses!$V$13,Hypothèses!$X$13,IF(EE239&lt;=Hypothèses!$V$14,Hypothèses!$X$14,IF(EE239&lt;=Hypothèses!$V$15,Hypothèses!$X$15,IF(EE239&lt;=Hypothèses!$V$16,Hypothèses!$X$16,IF(EE239&lt;=Hypothèses!$U$17,Hypothèses!$W$17,IF(EE239&lt;=Hypothèses!$U$18,Hypothèses!$W$18,""))))))))))))</f>
        <v>#DIV/0!</v>
      </c>
      <c r="FB239" s="95" t="e">
        <f t="shared" ca="1" si="397"/>
        <v>#DIV/0!</v>
      </c>
      <c r="FC239" s="101" t="e">
        <f t="shared" si="430"/>
        <v>#N/A</v>
      </c>
      <c r="FD239" s="91" t="e">
        <f t="shared" si="366"/>
        <v>#N/A</v>
      </c>
      <c r="FE239" s="30" t="e">
        <f t="shared" si="414"/>
        <v>#N/A</v>
      </c>
      <c r="FF239" s="30" t="e">
        <f t="shared" si="415"/>
        <v>#N/A</v>
      </c>
      <c r="FG239" s="31" t="e">
        <f>IF(OR(Hypothèses!$B$4=17,Hypothèses!$B$4=18,Hypothèses!$B$4=19,Hypothèses!$B$4=20),
IF($D239="Pressio.",
IF(OR($E239=3,$E239=1,$E239=4),FF239,FE239),
IF($D239="Pénétro.",
IF(OR($E239=3,$E239=1,$E239=4),FF239,FE239))),IF($D239="Pressio.",
IF($E239=3,FF239,FE239),
IF($D239="Pénétro.",
IF($E239=4,FF239,FE239))))</f>
        <v>#N/A</v>
      </c>
      <c r="FH239" s="31" t="e">
        <f>(IF(OR(Hypothèses!$B$4=17,Hypothèses!$B$4=18,Hypothèses!$B$4=19,Hypothèses!$B$4=20),
IF($D239="Pressio.",
IF(OR($E239=3,$E239=1,$E239=4),(PI()*FH$12^2)/4*(FD239*$W239*1000)/($H239*$B$5),(PI()*FH$12^2)/4*(FD239*$W239*1000)/($G239*$B$5)),
IF($D239="Pénétro.",
IF(OR($E239=4,$E239=1,$E239=5),(PI()*FH$12^2)/4*(FD239*$W239*1000)/($H239*$B$5),(PI()*FH$12^2)/4*(FD239*$W239*1000)/($G239*$B$5)))),
IF($D239="Pressio.",
IF($E239=3,(PI()*FH$12^2)/4*(FD239*$W239*1000)/($H239*$B$5),(PI()*FH$12^2)/4*(FD239*$W239*1000)/($G239*$B$5)),
IF($D239="Pénétro.",
IF($E239=4,(PI()*FH$12^2)/4*(FD239*$W239*1000)/($H239*$B$5),(PI()*FH$12^2)/4*(FD239*$W239*1000)/($G239*$B$5))))))/10</f>
        <v>#N/A</v>
      </c>
      <c r="FI239" s="102" t="e">
        <f>(VLOOKUP($B$3,'Coeff EC7'!$T$39:$X$59,2,0)*FG239+VLOOKUP($B$3,'Coeff EC7'!$T$65:$X$85,2,0)*Model0.1C!FH239)/1.1</f>
        <v>#N/A</v>
      </c>
      <c r="FJ239" s="102" t="e">
        <f>(VLOOKUP($B$3,'Coeff EC7'!$T$39:$X$59,3,0)*FG239+VLOOKUP($B$3,'Coeff EC7'!$T$65:$X$85,3,0)*Model0.1C!FH239)/0.9</f>
        <v>#N/A</v>
      </c>
      <c r="FK239" s="102" t="e">
        <f t="shared" si="398"/>
        <v>#N/A</v>
      </c>
      <c r="FL239" s="102" t="e">
        <f t="shared" si="399"/>
        <v>#N/A</v>
      </c>
      <c r="FM239" s="414" t="e">
        <f>IF(FM238=0,0,IF(AND(FI239&gt;charge_ELS_quasi,FJ239&gt;Charge_ELS_freq,FK239&gt;charge_ELU,FL239&gt;charge_ELA,$B239&gt;NDC!$H$22-0.1+MIN(3*$FM$12,1.5)),0,1))</f>
        <v>#N/A</v>
      </c>
    </row>
    <row r="240" spans="1:169">
      <c r="A240" s="96">
        <f t="shared" si="367"/>
        <v>77.30000000000129</v>
      </c>
      <c r="B240" s="97">
        <v>22.7</v>
      </c>
      <c r="C240" s="81">
        <f>IF(B240&lt;=Hypothèses!$C$7,Hypothèses!$A$7,IF(B240&lt;=Hypothèses!$C$8,Hypothèses!$A$8,IF(B240&lt;=Hypothèses!$C$9,Hypothèses!$A$9,IF(B240&lt;=Hypothèses!$C$10,Hypothèses!$A$10,IF(B240&lt;=Hypothèses!$C$11,Hypothèses!$A$11,IF(B240&lt;=Hypothèses!$C$12,Hypothèses!$A$12,IF(B240&lt;=Hypothèses!$C$13,Hypothèses!$A$13,IF(B240&lt;=Hypothèses!$C$14,Hypothèses!$A$14,IF(B240&lt;=Hypothèses!$C$15,Hypothèses!$A$15,IF(B240&lt;=Hypothèses!$C$16,Hypothèses!$A$16,IF(B240&lt;=Hypothèses!$C$17,Hypothèses!$A$17,IF(B240&lt;=Hypothèses!$C$18,Hypothèses!$A$18,C239))))))))))))</f>
        <v>11</v>
      </c>
      <c r="D240" s="82" t="str">
        <f>IF(B240&lt;=Hypothèses!$C$7,Hypothèses!$R$7,IF(B240&lt;=Hypothèses!$C$8,Hypothèses!$R$8,IF(B240&lt;=Hypothèses!$C$9,Hypothèses!$R$9,IF(B240&lt;=Hypothèses!$C$10,Hypothèses!$R$10,IF(B240&lt;=Hypothèses!$C$11,Hypothèses!$R$11,IF(B240&lt;=Hypothèses!$C$12,Hypothèses!$R$12,IF(B240&lt;=Hypothèses!$C$13,Hypothèses!$R$13,IF(B240&lt;=Hypothèses!$C$14,Hypothèses!$R$14,IF(B240&lt;=Hypothèses!$C$15,Hypothèses!$R$15,IF(B240&lt;=Hypothèses!$C$16,Hypothèses!$R$16,IF(B240&lt;=Hypothèses!$C$17,Hypothèses!$R$17,IF(B240&lt;=Hypothèses!$C$18,Hypothèses!$R$18,D239))))))))))))</f>
        <v>Pressio.</v>
      </c>
      <c r="E240" s="82" t="e">
        <f>IF(B240&lt;=Hypothèses!$C$7,Hypothèses!$G$7,IF(B240&lt;=Hypothèses!$C$8,Hypothèses!$G$8,IF(B240&lt;=Hypothèses!$C$9,Hypothèses!$G$9,IF(B240&lt;=Hypothèses!$C$10,Hypothèses!$G$10,IF(B240&lt;=Hypothèses!$C$11,Hypothèses!$G$11,IF(B240&lt;=Hypothèses!$C$12,Hypothèses!$G$12,IF(B240&lt;=Hypothèses!$C$13,Hypothèses!$G$13,IF(B240&lt;=Hypothèses!$C$14,Hypothèses!$G$14,IF(B240&lt;=Hypothèses!$C$15,Hypothèses!$G$15,IF(B240&lt;=Hypothèses!$C$16,Hypothèses!$G$16,IF(B240&lt;=Hypothèses!$C$17,Hypothèses!$G$17,IF(B240&lt;=Hypothèses!$C$18,Hypothèses!$G$18,E239))))))))))))</f>
        <v>#N/A</v>
      </c>
      <c r="F240" s="82" t="str">
        <f>IF(B240&lt;=Hypothèses!$C$7,Hypothèses!$F$7,IF(B240&lt;=Hypothèses!$C$8,Hypothèses!$F$8,IF(B240&lt;=Hypothèses!$C$9,Hypothèses!$F$9,IF(B240&lt;=Hypothèses!$C$10,Hypothèses!$F$10,IF(B240&lt;=Hypothèses!$C$11,Hypothèses!$F$11,IF(B240&lt;=Hypothèses!$C$12,Hypothèses!$F$12,IF(B240&lt;=Hypothèses!$C$13,Hypothèses!$F$13,IF(B240&lt;=Hypothèses!$C$14,Hypothèses!$F$14,IF(B240&lt;=Hypothèses!$C$15,Hypothèses!$F$15,IF(B240&lt;=Hypothèses!$C$16,Hypothèses!$F$16,IF(B240&lt;=Hypothèses!$C$17,Hypothèses!$F$17,IF(B240&lt;=Hypothèses!$C$18,Hypothèses!$F$18,F239))))))))))))</f>
        <v/>
      </c>
      <c r="G240" s="91">
        <f t="array" ref="G240">INDEX('Coeff EC7'!$U$7:$X$27,
MATCH(Model0.1C!$B$3,'Coeff EC7'!$T$7:$T$27,0),
MATCH(Model0.1C!$D240&amp;Model0.1C!$B$4,
'Coeff EC7'!$U$6:$X$6&amp;
'Coeff EC7'!$U$5:$X$5,0))</f>
        <v>1.1499999999999999</v>
      </c>
      <c r="H240" s="91">
        <f t="array" ref="H240">INDEX('Coeff EC7'!$Y$7:$AB$27,
MATCH(Model0.1C!$B$3,'Coeff EC7'!$T$7:$T$27,0),
MATCH(Model0.1C!$D240&amp;Model0.1C!$B$4,
'Coeff EC7'!$Y$6:$AB$6&amp;
'Coeff EC7'!$Y$5:$AB$5,0))</f>
        <v>1.4</v>
      </c>
      <c r="I240" s="83" t="e">
        <f>IF(B240&lt;=Hypothèses!$C$7,Hypothèses!$P$7,IF(B240&lt;=Hypothèses!$C$8,Hypothèses!$P$8,IF(B240&lt;=Hypothèses!$C$9,Hypothèses!$P$9,IF(B240&lt;=Hypothèses!$C$10,Hypothèses!$P$10,IF(B240&lt;=Hypothèses!$C$11,Hypothèses!$P$11,IF(B240&lt;=Hypothèses!$C$12,Hypothèses!$P$12,IF(B240&lt;=Hypothèses!$C$13,Hypothèses!$P$13,IF(B240&lt;=Hypothèses!$C$14,Hypothèses!$P$14,IF(B240&lt;=Hypothèses!$C$15,Hypothèses!$P$15,IF(B240&lt;=Hypothèses!$C$16,Hypothèses!$P$16,IF(B240&lt;=Hypothèses!$C$17,Hypothèses!$P$17,IF(B240&lt;=Hypothèses!$C$18,Hypothèses!$P$18,I239))))))))))))</f>
        <v>#N/A</v>
      </c>
      <c r="J240" s="91" t="e">
        <f t="array" ref="J240">INDEX('Coeff EC7'!$D$33:$Q$33,1,MATCH(D240&amp;E240,'Coeff EC7'!$D$31:$Q$31&amp;'Coeff EC7'!$D$32:$Q$32,0))</f>
        <v>#N/A</v>
      </c>
      <c r="K240" s="91" t="e">
        <f t="array" ref="K240">INDEX('Coeff EC7'!$D$34:$Q$34,1,MATCH(D240&amp;E240,'Coeff EC7'!$D$31:$Q$31&amp;'Coeff EC7'!$D$32:$Q$32,0))</f>
        <v>#N/A</v>
      </c>
      <c r="L240" s="91" t="e">
        <f t="array" ref="L240">INDEX('Coeff EC7'!$D$35:$Q$35,1,MATCH(D240&amp;E240,'Coeff EC7'!$D$31:$Q$31&amp;'Coeff EC7'!$D$32:$Q$32,0))</f>
        <v>#N/A</v>
      </c>
      <c r="M240" s="98" t="e">
        <f t="shared" si="331"/>
        <v>#N/A</v>
      </c>
      <c r="N240" s="99" t="e">
        <f t="array" ref="N240">INDEX('Coeff EC7'!$D$7:$Q$27,MATCH($B$3,'Coeff EC7'!$C$7:$C$27,0),MATCH(D240&amp;E240,'Coeff EC7'!$D$5:$Q$5&amp;'Coeff EC7'!$D$6:$Q$6,0))</f>
        <v>#N/A</v>
      </c>
      <c r="O240" s="99" t="e">
        <f t="array" ref="O240">INDEX('Coeff EC7'!$D$41:$Q$61,MATCH($B$3,'Coeff EC7'!$C$41:$C$61,0),MATCH(D240&amp;E240,'Coeff EC7'!$D$39:$Q$39&amp;'Coeff EC7'!$D$40:$Q$40,0))</f>
        <v>#N/A</v>
      </c>
      <c r="P240" s="30" t="e">
        <f t="shared" si="368"/>
        <v>#N/A</v>
      </c>
      <c r="Q240" s="100" t="e">
        <f t="shared" si="333"/>
        <v>#N/A</v>
      </c>
      <c r="R240" s="86" t="b">
        <f t="shared" si="334"/>
        <v>0</v>
      </c>
      <c r="S240" s="86">
        <f t="shared" si="332"/>
        <v>0.5</v>
      </c>
      <c r="T240" s="86">
        <f t="shared" si="335"/>
        <v>0.5</v>
      </c>
      <c r="U240" s="30" t="e">
        <f t="shared" ca="1" si="369"/>
        <v>#DIV/0!</v>
      </c>
      <c r="V240" s="85" t="str">
        <f>IF(B240&lt;=Hypothèses!$V$7,Hypothèses!$W$7,IF(B240&lt;=Hypothèses!$V$8,Hypothèses!$W$8,IF(B240&lt;=Hypothèses!$V$9,Hypothèses!$W$9,IF(B240&lt;=Hypothèses!$V$10,Hypothèses!$W$10,IF(B240&lt;=Hypothèses!$V$11,Hypothèses!$W$11,IF(B240&lt;=Hypothèses!$V$12,Hypothèses!$W$12,IF(B240&lt;=Hypothèses!$V$13,Hypothèses!$W$13,IF(B240&lt;=Hypothèses!$V$14,Hypothèses!$W$14,IF(B240&lt;=Hypothèses!$V$15,Hypothèses!$W$15,IF(B240&lt;=Hypothèses!$V$16,Hypothèses!$W$16,IF(B240&lt;=Hypothèses!$V$17,Hypothèses!$W$17,IF(B240&lt;=Hypothèses!$V$18,Hypothèses!$W$18,""))))))))))))</f>
        <v/>
      </c>
      <c r="W240" s="87" t="e">
        <f t="shared" ca="1" si="416"/>
        <v>#DIV/0!</v>
      </c>
      <c r="X240" s="88" t="str">
        <f>IF(B240&lt;=Hypothèses!$V$7,Hypothèses!$X$7,IF(B240&lt;=Hypothèses!$V$8,Hypothèses!$X$8,IF(B240&lt;=Hypothèses!$V$9,Hypothèses!$X$9,IF(B240&lt;=Hypothèses!$V$10,Hypothèses!$X$10,IF(B240&lt;=Hypothèses!$V$11,Hypothèses!$X$11,IF(B240&lt;=Hypothèses!$V$12,Hypothèses!$X$12,IF(B240&lt;=Hypothèses!$V$13,Hypothèses!$X$13,IF(B240&lt;=Hypothèses!$V$14,Hypothèses!$X$14,IF(B240&lt;=Hypothèses!$V$15,Hypothèses!$X$15,IF(B240&lt;=Hypothèses!$V$16,Hypothèses!$X$16,IF(B240&lt;=Hypothèses!$U$17,Hypothèses!$W$17,IF(B240&lt;=Hypothèses!$U$18,Hypothèses!$W$18,""))))))))))))</f>
        <v/>
      </c>
      <c r="Y240" s="95" t="e">
        <f t="shared" ca="1" si="336"/>
        <v>#DIV/0!</v>
      </c>
      <c r="Z240" s="101" t="e">
        <f t="shared" si="337"/>
        <v>#N/A</v>
      </c>
      <c r="AA240" s="91" t="e">
        <f t="shared" si="338"/>
        <v>#N/A</v>
      </c>
      <c r="AB240" s="30" t="e">
        <f t="shared" si="400"/>
        <v>#N/A</v>
      </c>
      <c r="AC240" s="30" t="e">
        <f t="shared" si="401"/>
        <v>#N/A</v>
      </c>
      <c r="AD240" s="31" t="e">
        <f>IF(OR(Hypothèses!$B$4=17,Hypothèses!$B$4=18,Hypothèses!$B$4=19,Hypothèses!$B$4=20),
IF($D240="Pressio.",
IF(OR($E240=3,$E240=1,$E240=4),AC240,AB240),
IF($D240="Pénétro.",
IF(OR($E240=3,$E240=1,$E240=4),AC240,AB240))),IF($D240="Pressio.",
IF($E240=3,AC240,AB240),
IF($D240="Pénétro.",
IF($E240=4,AC240,AB240))))</f>
        <v>#N/A</v>
      </c>
      <c r="AE240" s="31" t="e">
        <f>(IF(OR(Hypothèses!$B$4=17,Hypothèses!$B$4=18,Hypothèses!$B$4=19,Hypothèses!$B$4=20),
IF($D240="Pressio.",
IF(OR($E240=3,$E240=1,$E240=4),(PI()*AE$12^2)/4*(AA240*$W240*1000)/($H240*$B$5),(PI()*AE$12^2)/4*(AA240*$W240*1000)/($G240*$B$5)),
IF($D240="Pénétro.",
IF(OR($E240=4,$E240=1,$E240=5),(PI()*AE$12^2)/4*(AA240*$W240*1000)/($H240*$B$5),(PI()*AE$12^2)/4*(AA240*$W240*1000)/($G240*$B$5)))),
IF($D240="Pressio.",
IF($E240=3,(PI()*AE$12^2)/4*(AA240*$W240*1000)/($H240*$B$5),(PI()*AE$12^2)/4*(AA240*$W240*1000)/($G240*$B$5)),
IF($D240="Pénétro.",
IF($E240=4,(PI()*AE$12^2)/4*(AA240*$W240*1000)/($H240*$B$5),(PI()*AE$12^2)/4*(AA240*$W240*1000)/($G240*$B$5))))))/10</f>
        <v>#N/A</v>
      </c>
      <c r="AF240" s="102" t="e">
        <f>(VLOOKUP($B$3,'Coeff EC7'!$T$39:$X$59,2,0)*AD240+VLOOKUP($B$3,'Coeff EC7'!$T$65:$X$85,2,0)*Model0.1C!AE240)/1.1</f>
        <v>#N/A</v>
      </c>
      <c r="AG240" s="102" t="e">
        <f>(VLOOKUP($B$3,'Coeff EC7'!$T$39:$X$59,3,0)*AD240+VLOOKUP($B$3,'Coeff EC7'!$T$65:$X$85,3,0)*Model0.1C!AE240)/0.9</f>
        <v>#N/A</v>
      </c>
      <c r="AH240" s="102" t="e">
        <f t="shared" si="339"/>
        <v>#N/A</v>
      </c>
      <c r="AI240" s="102" t="e">
        <f t="shared" si="340"/>
        <v>#N/A</v>
      </c>
      <c r="AJ240" s="414" t="e">
        <f>IF(AJ239=0,0,IF(AND(AF240&gt;charge_ELS_quasi,AG240&gt;Charge_ELS_freq,AH240&gt;charge_ELU,AI240&gt;charge_ELA,$B240&gt;NDC!$H$22-0.1+MIN(3*$AJ$12,1.5)),0,1))</f>
        <v>#N/A</v>
      </c>
      <c r="AK240" s="86" t="b">
        <f t="shared" si="341"/>
        <v>0</v>
      </c>
      <c r="AL240" s="86">
        <f t="shared" si="370"/>
        <v>0.5</v>
      </c>
      <c r="AM240" s="86">
        <f t="shared" si="342"/>
        <v>0.5</v>
      </c>
      <c r="AN240" s="30" t="e">
        <f t="shared" ca="1" si="371"/>
        <v>#DIV/0!</v>
      </c>
      <c r="AO240" s="85" t="e">
        <f ca="1">IF(U240&lt;=Hypothèses!$V$7,Hypothèses!$W$7,IF(U240&lt;=Hypothèses!$V$8,Hypothèses!$W$8,IF(U240&lt;=Hypothèses!$V$9,Hypothèses!$W$9,IF(U240&lt;=Hypothèses!$V$10,Hypothèses!$W$10,IF(U240&lt;=Hypothèses!$V$11,Hypothèses!$W$11,IF(U240&lt;=Hypothèses!$V$12,Hypothèses!$W$12,IF(U240&lt;=Hypothèses!$V$13,Hypothèses!$W$13,IF(U240&lt;=Hypothèses!$V$14,Hypothèses!$W$14,IF(U240&lt;=Hypothèses!$V$15,Hypothèses!$W$15,IF(U240&lt;=Hypothèses!$V$16,Hypothèses!$W$16,IF(U240&lt;=Hypothèses!$V$17,Hypothèses!$W$17,IF(U240&lt;=Hypothèses!$V$18,Hypothèses!$W$18,""))))))))))))</f>
        <v>#DIV/0!</v>
      </c>
      <c r="AP240" s="87" t="e">
        <f t="shared" ca="1" si="417"/>
        <v>#DIV/0!</v>
      </c>
      <c r="AQ240" s="88" t="e">
        <f ca="1">IF(U240&lt;=Hypothèses!$V$7,Hypothèses!$X$7,IF(U240&lt;=Hypothèses!$V$8,Hypothèses!$X$8,IF(U240&lt;=Hypothèses!$V$9,Hypothèses!$X$9,IF(U240&lt;=Hypothèses!$V$10,Hypothèses!$X$10,IF(U240&lt;=Hypothèses!$V$11,Hypothèses!$X$11,IF(U240&lt;=Hypothèses!$V$12,Hypothèses!$X$12,IF(U240&lt;=Hypothèses!$V$13,Hypothèses!$X$13,IF(U240&lt;=Hypothèses!$V$14,Hypothèses!$X$14,IF(U240&lt;=Hypothèses!$V$15,Hypothèses!$X$15,IF(U240&lt;=Hypothèses!$V$16,Hypothèses!$X$16,IF(U240&lt;=Hypothèses!$U$17,Hypothèses!$W$17,IF(U240&lt;=Hypothèses!$U$18,Hypothèses!$W$18,""))))))))))))</f>
        <v>#DIV/0!</v>
      </c>
      <c r="AR240" s="95" t="e">
        <f t="shared" ca="1" si="372"/>
        <v>#DIV/0!</v>
      </c>
      <c r="AS240" s="101" t="e">
        <f t="shared" si="424"/>
        <v>#N/A</v>
      </c>
      <c r="AT240" s="91" t="e">
        <f t="shared" si="343"/>
        <v>#N/A</v>
      </c>
      <c r="AU240" s="30" t="e">
        <f t="shared" si="402"/>
        <v>#N/A</v>
      </c>
      <c r="AV240" s="30" t="e">
        <f t="shared" si="403"/>
        <v>#N/A</v>
      </c>
      <c r="AW240" s="31" t="e">
        <f>IF(OR(Hypothèses!$B$4=17,Hypothèses!$B$4=18,Hypothèses!$B$4=19,Hypothèses!$B$4=20),
IF($D240="Pressio.",
IF(OR($E240=3,$E240=1,$E240=4),AV240,AU240),
IF($D240="Pénétro.",
IF(OR($E240=3,$E240=1,$E240=4),AV240,AU240))),IF($D240="Pressio.",
IF($E240=3,AV240,AU240),
IF($D240="Pénétro.",
IF($E240=4,AV240,AU240))))</f>
        <v>#N/A</v>
      </c>
      <c r="AX240" s="31" t="e">
        <f>(IF(OR(Hypothèses!$B$4=17,Hypothèses!$B$4=18,Hypothèses!$B$4=19,Hypothèses!$B$4=20),
IF($D240="Pressio.",
IF(OR($E240=3,$E240=1,$E240=4),(PI()*AX$12^2)/4*(AT240*$W240*1000)/($H240*$B$5),(PI()*AX$12^2)/4*(AT240*$W240*1000)/($G240*$B$5)),
IF($D240="Pénétro.",
IF(OR($E240=4,$E240=1,$E240=5),(PI()*AX$12^2)/4*(AT240*$W240*1000)/($H240*$B$5),(PI()*AX$12^2)/4*(AT240*$W240*1000)/($G240*$B$5)))),
IF($D240="Pressio.",
IF($E240=3,(PI()*AX$12^2)/4*(AT240*$W240*1000)/($H240*$B$5),(PI()*AX$12^2)/4*(AT240*$W240*1000)/($G240*$B$5)),
IF($D240="Pénétro.",
IF($E240=4,(PI()*AX$12^2)/4*(AT240*$W240*1000)/($H240*$B$5),(PI()*AX$12^2)/4*(AT240*$W240*1000)/($G240*$B$5))))))/10</f>
        <v>#N/A</v>
      </c>
      <c r="AY240" s="102" t="e">
        <f>(VLOOKUP($B$3,'Coeff EC7'!$T$39:$X$59,2,0)*AW240+VLOOKUP($B$3,'Coeff EC7'!$T$65:$X$85,2,0)*Model0.1C!AX240)/1.1</f>
        <v>#N/A</v>
      </c>
      <c r="AZ240" s="102" t="e">
        <f>(VLOOKUP($B$3,'Coeff EC7'!$T$39:$X$59,3,0)*AW240+VLOOKUP($B$3,'Coeff EC7'!$T$65:$X$85,3,0)*Model0.1C!AX240)/0.9</f>
        <v>#N/A</v>
      </c>
      <c r="BA240" s="102" t="e">
        <f t="shared" si="373"/>
        <v>#N/A</v>
      </c>
      <c r="BB240" s="102" t="e">
        <f t="shared" si="374"/>
        <v>#N/A</v>
      </c>
      <c r="BC240" s="414" t="e">
        <f>IF(BC239=0,0,IF(AND(AY240&gt;charge_ELS_quasi,AZ240&gt;Charge_ELS_freq,BA240&gt;charge_ELU,BB240&gt;charge_ELA,$B240&gt;NDC!$H$22-0.1+MIN(3*$BC$12,1.5)),0,1))</f>
        <v>#N/A</v>
      </c>
      <c r="BD240" s="86" t="b">
        <f t="shared" si="344"/>
        <v>0</v>
      </c>
      <c r="BE240" s="86">
        <f t="shared" si="375"/>
        <v>0.5</v>
      </c>
      <c r="BF240" s="86">
        <f t="shared" si="345"/>
        <v>0.5</v>
      </c>
      <c r="BG240" s="30" t="e">
        <f t="shared" ca="1" si="376"/>
        <v>#DIV/0!</v>
      </c>
      <c r="BH240" s="85" t="e">
        <f ca="1">IF(AN240&lt;=Hypothèses!$V$7,Hypothèses!$W$7,IF(AN240&lt;=Hypothèses!$V$8,Hypothèses!$W$8,IF(AN240&lt;=Hypothèses!$V$9,Hypothèses!$W$9,IF(AN240&lt;=Hypothèses!$V$10,Hypothèses!$W$10,IF(AN240&lt;=Hypothèses!$V$11,Hypothèses!$W$11,IF(AN240&lt;=Hypothèses!$V$12,Hypothèses!$W$12,IF(AN240&lt;=Hypothèses!$V$13,Hypothèses!$W$13,IF(AN240&lt;=Hypothèses!$V$14,Hypothèses!$W$14,IF(AN240&lt;=Hypothèses!$V$15,Hypothèses!$W$15,IF(AN240&lt;=Hypothèses!$V$16,Hypothèses!$W$16,IF(AN240&lt;=Hypothèses!$V$17,Hypothèses!$W$17,IF(AN240&lt;=Hypothèses!$V$18,Hypothèses!$W$18,""))))))))))))</f>
        <v>#DIV/0!</v>
      </c>
      <c r="BI240" s="87" t="e">
        <f t="shared" ca="1" si="418"/>
        <v>#DIV/0!</v>
      </c>
      <c r="BJ240" s="88" t="e">
        <f ca="1">IF(AN240&lt;=Hypothèses!$V$7,Hypothèses!$X$7,IF(AN240&lt;=Hypothèses!$V$8,Hypothèses!$X$8,IF(AN240&lt;=Hypothèses!$V$9,Hypothèses!$X$9,IF(AN240&lt;=Hypothèses!$V$10,Hypothèses!$X$10,IF(AN240&lt;=Hypothèses!$V$11,Hypothèses!$X$11,IF(AN240&lt;=Hypothèses!$V$12,Hypothèses!$X$12,IF(AN240&lt;=Hypothèses!$V$13,Hypothèses!$X$13,IF(AN240&lt;=Hypothèses!$V$14,Hypothèses!$X$14,IF(AN240&lt;=Hypothèses!$V$15,Hypothèses!$X$15,IF(AN240&lt;=Hypothèses!$V$16,Hypothèses!$X$16,IF(AN240&lt;=Hypothèses!$U$17,Hypothèses!$W$17,IF(AN240&lt;=Hypothèses!$U$18,Hypothèses!$W$18,""))))))))))))</f>
        <v>#DIV/0!</v>
      </c>
      <c r="BK240" s="95" t="e">
        <f t="shared" ca="1" si="377"/>
        <v>#DIV/0!</v>
      </c>
      <c r="BL240" s="101" t="e">
        <f t="shared" si="425"/>
        <v>#N/A</v>
      </c>
      <c r="BM240" s="91" t="e">
        <f t="shared" si="346"/>
        <v>#N/A</v>
      </c>
      <c r="BN240" s="30" t="e">
        <f t="shared" si="404"/>
        <v>#N/A</v>
      </c>
      <c r="BO240" s="30" t="e">
        <f t="shared" si="405"/>
        <v>#N/A</v>
      </c>
      <c r="BP240" s="31" t="e">
        <f>IF(OR(Hypothèses!$B$4=17,Hypothèses!$B$4=18,Hypothèses!$B$4=19,Hypothèses!$B$4=20),
IF($D240="Pressio.",
IF(OR($E240=3,$E240=1,$E240=4),BO240,BN240),
IF($D240="Pénétro.",
IF(OR($E240=3,$E240=1,$E240=4),BO240,BN240))),IF($D240="Pressio.",
IF($E240=3,BO240,BN240),
IF($D240="Pénétro.",
IF($E240=4,BO240,BN240))))</f>
        <v>#N/A</v>
      </c>
      <c r="BQ240" s="31" t="e">
        <f>(IF(OR(Hypothèses!$B$4=17,Hypothèses!$B$4=18,Hypothèses!$B$4=19,Hypothèses!$B$4=20),
IF($D240="Pressio.",
IF(OR($E240=3,$E240=1,$E240=4),(PI()*BQ$12^2)/4*(BM240*$W240*1000)/($H240*$B$5),(PI()*BQ$12^2)/4*(BM240*$W240*1000)/($G240*$B$5)),
IF($D240="Pénétro.",
IF(OR($E240=4,$E240=1,$E240=5),(PI()*BQ$12^2)/4*(BM240*$W240*1000)/($H240*$B$5),(PI()*BQ$12^2)/4*(BM240*$W240*1000)/($G240*$B$5)))),
IF($D240="Pressio.",
IF($E240=3,(PI()*BQ$12^2)/4*(BM240*$W240*1000)/($H240*$B$5),(PI()*BQ$12^2)/4*(BM240*$W240*1000)/($G240*$B$5)),
IF($D240="Pénétro.",
IF($E240=4,(PI()*BQ$12^2)/4*(BM240*$W240*1000)/($H240*$B$5),(PI()*BQ$12^2)/4*(BM240*$W240*1000)/($G240*$B$5))))))/10</f>
        <v>#N/A</v>
      </c>
      <c r="BR240" s="102" t="e">
        <f>(VLOOKUP($B$3,'Coeff EC7'!$T$39:$X$59,2,0)*BP240+VLOOKUP($B$3,'Coeff EC7'!$T$65:$X$85,2,0)*Model0.1C!BQ240)/1.1</f>
        <v>#N/A</v>
      </c>
      <c r="BS240" s="102" t="e">
        <f>(VLOOKUP($B$3,'Coeff EC7'!$T$39:$X$59,3,0)*BP240+VLOOKUP($B$3,'Coeff EC7'!$T$65:$X$85,3,0)*Model0.1C!BQ240)/0.9</f>
        <v>#N/A</v>
      </c>
      <c r="BT240" s="102" t="e">
        <f t="shared" si="378"/>
        <v>#N/A</v>
      </c>
      <c r="BU240" s="102" t="e">
        <f t="shared" si="379"/>
        <v>#N/A</v>
      </c>
      <c r="BV240" s="414" t="e">
        <f>IF(BV239=0,0,IF(AND(BR240&gt;charge_ELS_quasi,BS240&gt;Charge_ELS_freq,BT240&gt;charge_ELU,BU240&gt;charge_ELA,$B240&gt;NDC!$H$22-0.1+MIN(3*$BV$12,1.5)),0,1))</f>
        <v>#N/A</v>
      </c>
      <c r="BW240" s="86" t="b">
        <f t="shared" si="347"/>
        <v>0</v>
      </c>
      <c r="BX240" s="86">
        <f t="shared" si="348"/>
        <v>0.5</v>
      </c>
      <c r="BY240" s="86">
        <f t="shared" si="349"/>
        <v>0.5</v>
      </c>
      <c r="BZ240" s="30" t="e">
        <f t="shared" ca="1" si="380"/>
        <v>#DIV/0!</v>
      </c>
      <c r="CA240" s="85" t="e">
        <f ca="1">IF(BG240&lt;=Hypothèses!$V$7,Hypothèses!$W$7,IF(BG240&lt;=Hypothèses!$V$8,Hypothèses!$W$8,IF(BG240&lt;=Hypothèses!$V$9,Hypothèses!$W$9,IF(BG240&lt;=Hypothèses!$V$10,Hypothèses!$W$10,IF(BG240&lt;=Hypothèses!$V$11,Hypothèses!$W$11,IF(BG240&lt;=Hypothèses!$V$12,Hypothèses!$W$12,IF(BG240&lt;=Hypothèses!$V$13,Hypothèses!$W$13,IF(BG240&lt;=Hypothèses!$V$14,Hypothèses!$W$14,IF(BG240&lt;=Hypothèses!$V$15,Hypothèses!$W$15,IF(BG240&lt;=Hypothèses!$V$16,Hypothèses!$W$16,IF(BG240&lt;=Hypothèses!$V$17,Hypothèses!$W$17,IF(BG240&lt;=Hypothèses!$V$18,Hypothèses!$W$18,""))))))))))))</f>
        <v>#DIV/0!</v>
      </c>
      <c r="CB240" s="87" t="e">
        <f t="shared" ca="1" si="419"/>
        <v>#DIV/0!</v>
      </c>
      <c r="CC240" s="88" t="e">
        <f ca="1">IF(BG240&lt;=Hypothèses!$V$7,Hypothèses!$X$7,IF(BG240&lt;=Hypothèses!$V$8,Hypothèses!$X$8,IF(BG240&lt;=Hypothèses!$V$9,Hypothèses!$X$9,IF(BG240&lt;=Hypothèses!$V$10,Hypothèses!$X$10,IF(BG240&lt;=Hypothèses!$V$11,Hypothèses!$X$11,IF(BG240&lt;=Hypothèses!$V$12,Hypothèses!$X$12,IF(BG240&lt;=Hypothèses!$V$13,Hypothèses!$X$13,IF(BG240&lt;=Hypothèses!$V$14,Hypothèses!$X$14,IF(BG240&lt;=Hypothèses!$V$15,Hypothèses!$X$15,IF(BG240&lt;=Hypothèses!$V$16,Hypothèses!$X$16,IF(BG240&lt;=Hypothèses!$U$17,Hypothèses!$W$17,IF(BG240&lt;=Hypothèses!$U$18,Hypothèses!$W$18,""))))))))))))</f>
        <v>#DIV/0!</v>
      </c>
      <c r="CD240" s="95" t="e">
        <f t="shared" ca="1" si="381"/>
        <v>#DIV/0!</v>
      </c>
      <c r="CE240" s="101" t="e">
        <f t="shared" si="426"/>
        <v>#N/A</v>
      </c>
      <c r="CF240" s="91" t="e">
        <f t="shared" si="350"/>
        <v>#N/A</v>
      </c>
      <c r="CG240" s="30" t="e">
        <f t="shared" si="406"/>
        <v>#N/A</v>
      </c>
      <c r="CH240" s="30" t="e">
        <f t="shared" si="407"/>
        <v>#N/A</v>
      </c>
      <c r="CI240" s="31" t="e">
        <f>IF(OR(Hypothèses!$B$4=17,Hypothèses!$B$4=18,Hypothèses!$B$4=19,Hypothèses!$B$4=20),
IF($D240="Pressio.",
IF(OR($E240=3,$E240=1,$E240=4),CH240,CG240),
IF($D240="Pénétro.",
IF(OR($E240=3,$E240=1,$E240=4),CH240,CG240))),IF($D240="Pressio.",
IF($E240=3,CH240,CG240),
IF($D240="Pénétro.",
IF($E240=4,CH240,CG240))))</f>
        <v>#N/A</v>
      </c>
      <c r="CJ240" s="31" t="e">
        <f>(IF(OR(Hypothèses!$B$4=17,Hypothèses!$B$4=18,Hypothèses!$B$4=19,Hypothèses!$B$4=20),
IF($D240="Pressio.",
IF(OR($E240=3,$E240=1,$E240=4),(PI()*CJ$12^2)/4*(CF240*$W240*1000)/($H240*$B$5),(PI()*CJ$12^2)/4*(CF240*$W240*1000)/($G240*$B$5)),
IF($D240="Pénétro.",
IF(OR($E240=4,$E240=1,$E240=5),(PI()*CJ$12^2)/4*(CF240*$W240*1000)/($H240*$B$5),(PI()*CJ$12^2)/4*(CF240*$W240*1000)/($G240*$B$5)))),
IF($D240="Pressio.",
IF($E240=3,(PI()*CJ$12^2)/4*(CF240*$W240*1000)/($H240*$B$5),(PI()*CJ$12^2)/4*(CF240*$W240*1000)/($G240*$B$5)),
IF($D240="Pénétro.",
IF($E240=4,(PI()*CJ$12^2)/4*(CF240*$W240*1000)/($H240*$B$5),(PI()*CJ$12^2)/4*(CF240*$W240*1000)/($G240*$B$5))))))/10</f>
        <v>#N/A</v>
      </c>
      <c r="CK240" s="102" t="e">
        <f>(VLOOKUP($B$3,'Coeff EC7'!$T$39:$X$59,2,0)*CI240+VLOOKUP($B$3,'Coeff EC7'!$T$65:$X$85,2,0)*Model0.1C!CJ240)/1.1</f>
        <v>#N/A</v>
      </c>
      <c r="CL240" s="102" t="e">
        <f>(VLOOKUP($B$3,'Coeff EC7'!$T$39:$X$59,3,0)*CI240+VLOOKUP($B$3,'Coeff EC7'!$T$65:$X$85,3,0)*Model0.1C!CJ240)/0.9</f>
        <v>#N/A</v>
      </c>
      <c r="CM240" s="102" t="e">
        <f t="shared" si="382"/>
        <v>#N/A</v>
      </c>
      <c r="CN240" s="102" t="e">
        <f t="shared" si="383"/>
        <v>#N/A</v>
      </c>
      <c r="CO240" s="414" t="e">
        <f>IF(CO239=0,0,IF(AND(CK240&gt;charge_ELS_quasi,CL240&gt;Charge_ELS_freq,CM240&gt;charge_ELU,CN240&gt;charge_ELA,$B240&gt;NDC!$H$22-0.1+MIN(3*$CO$12,1.5)),0,1))</f>
        <v>#N/A</v>
      </c>
      <c r="CP240" s="86" t="b">
        <f t="shared" si="351"/>
        <v>0</v>
      </c>
      <c r="CQ240" s="86">
        <f t="shared" si="352"/>
        <v>0.5</v>
      </c>
      <c r="CR240" s="86">
        <f t="shared" si="353"/>
        <v>0.5</v>
      </c>
      <c r="CS240" s="30" t="e">
        <f t="shared" ca="1" si="384"/>
        <v>#DIV/0!</v>
      </c>
      <c r="CT240" s="85" t="e">
        <f ca="1">IF(BZ240&lt;=Hypothèses!$V$7,Hypothèses!$W$7,IF(BZ240&lt;=Hypothèses!$V$8,Hypothèses!$W$8,IF(BZ240&lt;=Hypothèses!$V$9,Hypothèses!$W$9,IF(BZ240&lt;=Hypothèses!$V$10,Hypothèses!$W$10,IF(BZ240&lt;=Hypothèses!$V$11,Hypothèses!$W$11,IF(BZ240&lt;=Hypothèses!$V$12,Hypothèses!$W$12,IF(BZ240&lt;=Hypothèses!$V$13,Hypothèses!$W$13,IF(BZ240&lt;=Hypothèses!$V$14,Hypothèses!$W$14,IF(BZ240&lt;=Hypothèses!$V$15,Hypothèses!$W$15,IF(BZ240&lt;=Hypothèses!$V$16,Hypothèses!$W$16,IF(BZ240&lt;=Hypothèses!$V$17,Hypothèses!$W$17,IF(BZ240&lt;=Hypothèses!$V$18,Hypothèses!$W$18,""))))))))))))</f>
        <v>#DIV/0!</v>
      </c>
      <c r="CU240" s="87" t="e">
        <f t="shared" ca="1" si="420"/>
        <v>#DIV/0!</v>
      </c>
      <c r="CV240" s="88" t="e">
        <f ca="1">IF(BZ240&lt;=Hypothèses!$V$7,Hypothèses!$X$7,IF(BZ240&lt;=Hypothèses!$V$8,Hypothèses!$X$8,IF(BZ240&lt;=Hypothèses!$V$9,Hypothèses!$X$9,IF(BZ240&lt;=Hypothèses!$V$10,Hypothèses!$X$10,IF(BZ240&lt;=Hypothèses!$V$11,Hypothèses!$X$11,IF(BZ240&lt;=Hypothèses!$V$12,Hypothèses!$X$12,IF(BZ240&lt;=Hypothèses!$V$13,Hypothèses!$X$13,IF(BZ240&lt;=Hypothèses!$V$14,Hypothèses!$X$14,IF(BZ240&lt;=Hypothèses!$V$15,Hypothèses!$X$15,IF(BZ240&lt;=Hypothèses!$V$16,Hypothèses!$X$16,IF(BZ240&lt;=Hypothèses!$U$17,Hypothèses!$W$17,IF(BZ240&lt;=Hypothèses!$U$18,Hypothèses!$W$18,""))))))))))))</f>
        <v>#DIV/0!</v>
      </c>
      <c r="CW240" s="95" t="e">
        <f t="shared" ca="1" si="385"/>
        <v>#DIV/0!</v>
      </c>
      <c r="CX240" s="101" t="e">
        <f t="shared" si="427"/>
        <v>#N/A</v>
      </c>
      <c r="CY240" s="91" t="e">
        <f t="shared" si="354"/>
        <v>#N/A</v>
      </c>
      <c r="CZ240" s="30" t="e">
        <f t="shared" si="408"/>
        <v>#N/A</v>
      </c>
      <c r="DA240" s="30" t="e">
        <f t="shared" si="409"/>
        <v>#N/A</v>
      </c>
      <c r="DB240" s="31" t="e">
        <f>IF(OR(Hypothèses!$B$4=17,Hypothèses!$B$4=18,Hypothèses!$B$4=19,Hypothèses!$B$4=20),
IF($D240="Pressio.",
IF(OR($E240=3,$E240=1,$E240=4),DA240,CZ240),
IF($D240="Pénétro.",
IF(OR($E240=3,$E240=1,$E240=4),DA240,CZ240))),IF($D240="Pressio.",
IF($E240=3,DA240,CZ240),
IF($D240="Pénétro.",
IF($E240=4,DA240,CZ240))))</f>
        <v>#N/A</v>
      </c>
      <c r="DC240" s="31" t="e">
        <f>(IF(OR(Hypothèses!$B$4=17,Hypothèses!$B$4=18,Hypothèses!$B$4=19,Hypothèses!$B$4=20),
IF($D240="Pressio.",
IF(OR($E240=3,$E240=1,$E240=4),(PI()*DC$12^2)/4*(CY240*$W240*1000)/($H240*$B$5),(PI()*DC$12^2)/4*(CY240*$W240*1000)/($G240*$B$5)),
IF($D240="Pénétro.",
IF(OR($E240=4,$E240=1,$E240=5),(PI()*DC$12^2)/4*(CY240*$W240*1000)/($H240*$B$5),(PI()*DC$12^2)/4*(CY240*$W240*1000)/($G240*$B$5)))),
IF($D240="Pressio.",
IF($E240=3,(PI()*DC$12^2)/4*(CY240*$W240*1000)/($H240*$B$5),(PI()*DC$12^2)/4*(CY240*$W240*1000)/($G240*$B$5)),
IF($D240="Pénétro.",
IF($E240=4,(PI()*DC$12^2)/4*(CY240*$W240*1000)/($H240*$B$5),(PI()*DC$12^2)/4*(CY240*$W240*1000)/($G240*$B$5))))))/10</f>
        <v>#N/A</v>
      </c>
      <c r="DD240" s="102" t="e">
        <f>(VLOOKUP($B$3,'Coeff EC7'!$T$39:$X$59,2,0)*DB240+VLOOKUP($B$3,'Coeff EC7'!$T$65:$X$85,2,0)*Model0.1C!DC240)/1.1</f>
        <v>#N/A</v>
      </c>
      <c r="DE240" s="102" t="e">
        <f>(VLOOKUP($B$3,'Coeff EC7'!$T$39:$X$59,3,0)*DB240+VLOOKUP($B$3,'Coeff EC7'!$T$65:$X$85,3,0)*Model0.1C!DC240)/0.9</f>
        <v>#N/A</v>
      </c>
      <c r="DF240" s="102" t="e">
        <f t="shared" si="386"/>
        <v>#N/A</v>
      </c>
      <c r="DG240" s="102" t="e">
        <f t="shared" si="387"/>
        <v>#N/A</v>
      </c>
      <c r="DH240" s="414" t="e">
        <f>IF(DH239=0,0,IF(AND(DD240&gt;charge_ELS_quasi,DE240&gt;Charge_ELS_freq,DF240&gt;charge_ELU,DG240&gt;charge_ELA,$B240&gt;NDC!$H$22-0.1+MIN(3*$DH$12,1.5)),0,1))</f>
        <v>#N/A</v>
      </c>
      <c r="DI240" s="86" t="b">
        <f t="shared" si="355"/>
        <v>0</v>
      </c>
      <c r="DJ240" s="86">
        <f t="shared" si="356"/>
        <v>0.5</v>
      </c>
      <c r="DK240" s="86">
        <f t="shared" si="357"/>
        <v>0.5</v>
      </c>
      <c r="DL240" s="30" t="e">
        <f t="shared" ca="1" si="388"/>
        <v>#DIV/0!</v>
      </c>
      <c r="DM240" s="85" t="e">
        <f ca="1">IF(CS240&lt;=Hypothèses!$V$7,Hypothèses!$W$7,IF(CS240&lt;=Hypothèses!$V$8,Hypothèses!$W$8,IF(CS240&lt;=Hypothèses!$V$9,Hypothèses!$W$9,IF(CS240&lt;=Hypothèses!$V$10,Hypothèses!$W$10,IF(CS240&lt;=Hypothèses!$V$11,Hypothèses!$W$11,IF(CS240&lt;=Hypothèses!$V$12,Hypothèses!$W$12,IF(CS240&lt;=Hypothèses!$V$13,Hypothèses!$W$13,IF(CS240&lt;=Hypothèses!$V$14,Hypothèses!$W$14,IF(CS240&lt;=Hypothèses!$V$15,Hypothèses!$W$15,IF(CS240&lt;=Hypothèses!$V$16,Hypothèses!$W$16,IF(CS240&lt;=Hypothèses!$V$17,Hypothèses!$W$17,IF(CS240&lt;=Hypothèses!$V$18,Hypothèses!$W$18,""))))))))))))</f>
        <v>#DIV/0!</v>
      </c>
      <c r="DN240" s="87" t="e">
        <f t="shared" ca="1" si="421"/>
        <v>#DIV/0!</v>
      </c>
      <c r="DO240" s="88" t="e">
        <f ca="1">IF(CS240&lt;=Hypothèses!$V$7,Hypothèses!$X$7,IF(CS240&lt;=Hypothèses!$V$8,Hypothèses!$X$8,IF(CS240&lt;=Hypothèses!$V$9,Hypothèses!$X$9,IF(CS240&lt;=Hypothèses!$V$10,Hypothèses!$X$10,IF(CS240&lt;=Hypothèses!$V$11,Hypothèses!$X$11,IF(CS240&lt;=Hypothèses!$V$12,Hypothèses!$X$12,IF(CS240&lt;=Hypothèses!$V$13,Hypothèses!$X$13,IF(CS240&lt;=Hypothèses!$V$14,Hypothèses!$X$14,IF(CS240&lt;=Hypothèses!$V$15,Hypothèses!$X$15,IF(CS240&lt;=Hypothèses!$V$16,Hypothèses!$X$16,IF(CS240&lt;=Hypothèses!$U$17,Hypothèses!$W$17,IF(CS240&lt;=Hypothèses!$U$18,Hypothèses!$W$18,""))))))))))))</f>
        <v>#DIV/0!</v>
      </c>
      <c r="DP240" s="95" t="e">
        <f t="shared" ca="1" si="389"/>
        <v>#DIV/0!</v>
      </c>
      <c r="DQ240" s="101" t="e">
        <f t="shared" si="428"/>
        <v>#N/A</v>
      </c>
      <c r="DR240" s="91" t="e">
        <f t="shared" si="358"/>
        <v>#N/A</v>
      </c>
      <c r="DS240" s="30" t="e">
        <f t="shared" si="410"/>
        <v>#N/A</v>
      </c>
      <c r="DT240" s="30" t="e">
        <f t="shared" si="411"/>
        <v>#N/A</v>
      </c>
      <c r="DU240" s="31" t="e">
        <f>IF(OR(Hypothèses!$B$4=17,Hypothèses!$B$4=18,Hypothèses!$B$4=19,Hypothèses!$B$4=20),
IF($D240="Pressio.",
IF(OR($E240=3,$E240=1,$E240=4),DT240,DS240),
IF($D240="Pénétro.",
IF(OR($E240=3,$E240=1,$E240=4),DT240,DS240))),IF($D240="Pressio.",
IF($E240=3,DT240,DS240),
IF($D240="Pénétro.",
IF($E240=4,DT240,DS240))))</f>
        <v>#N/A</v>
      </c>
      <c r="DV240" s="31" t="e">
        <f>(IF(OR(Hypothèses!$B$4=17,Hypothèses!$B$4=18,Hypothèses!$B$4=19,Hypothèses!$B$4=20),
IF($D240="Pressio.",
IF(OR($E240=3,$E240=1,$E240=4),(PI()*DV$12^2)/4*(DR240*$W240*1000)/($H240*$B$5),(PI()*DV$12^2)/4*(DR240*$W240*1000)/($G240*$B$5)),
IF($D240="Pénétro.",
IF(OR($E240=4,$E240=1,$E240=5),(PI()*DV$12^2)/4*(DR240*$W240*1000)/($H240*$B$5),(PI()*DV$12^2)/4*(DR240*$W240*1000)/($G240*$B$5)))),
IF($D240="Pressio.",
IF($E240=3,(PI()*DV$12^2)/4*(DR240*$W240*1000)/($H240*$B$5),(PI()*DV$12^2)/4*(DR240*$W240*1000)/($G240*$B$5)),
IF($D240="Pénétro.",
IF($E240=4,(PI()*DV$12^2)/4*(DR240*$W240*1000)/($H240*$B$5),(PI()*DV$12^2)/4*(DR240*$W240*1000)/($G240*$B$5))))))/10</f>
        <v>#N/A</v>
      </c>
      <c r="DW240" s="102" t="e">
        <f>(VLOOKUP($B$3,'Coeff EC7'!$T$39:$X$59,2,0)*DU240+VLOOKUP($B$3,'Coeff EC7'!$T$65:$X$85,2,0)*Model0.1C!DV240)/1.1</f>
        <v>#N/A</v>
      </c>
      <c r="DX240" s="102" t="e">
        <f>(VLOOKUP($B$3,'Coeff EC7'!$T$39:$X$59,3,0)*DU240+VLOOKUP($B$3,'Coeff EC7'!$T$65:$X$85,3,0)*Model0.1C!DV240)/0.9</f>
        <v>#N/A</v>
      </c>
      <c r="DY240" s="102" t="e">
        <f t="shared" si="390"/>
        <v>#N/A</v>
      </c>
      <c r="DZ240" s="102" t="e">
        <f t="shared" si="391"/>
        <v>#N/A</v>
      </c>
      <c r="EA240" s="414" t="e">
        <f>IF(EA239=0,0,IF(AND(DW240&gt;charge_ELS_quasi,DX240&gt;Charge_ELS_freq,DY240&gt;charge_ELU,DZ240&gt;charge_ELA,$B240&gt;NDC!$H$22-0.1+MIN(3*$EA$12,1.5)),0,1))</f>
        <v>#N/A</v>
      </c>
      <c r="EB240" s="86" t="b">
        <f t="shared" si="359"/>
        <v>0</v>
      </c>
      <c r="EC240" s="418">
        <f t="shared" si="360"/>
        <v>0.51</v>
      </c>
      <c r="ED240" s="86">
        <f t="shared" si="361"/>
        <v>0.51</v>
      </c>
      <c r="EE240" s="30" t="e">
        <f t="shared" ca="1" si="392"/>
        <v>#DIV/0!</v>
      </c>
      <c r="EF240" s="85" t="e">
        <f ca="1">IF(DL240&lt;=Hypothèses!$V$7,Hypothèses!$W$7,IF(DL240&lt;=Hypothèses!$V$8,Hypothèses!$W$8,IF(DL240&lt;=Hypothèses!$V$9,Hypothèses!$W$9,IF(DL240&lt;=Hypothèses!$V$10,Hypothèses!$W$10,IF(DL240&lt;=Hypothèses!$V$11,Hypothèses!$W$11,IF(DL240&lt;=Hypothèses!$V$12,Hypothèses!$W$12,IF(DL240&lt;=Hypothèses!$V$13,Hypothèses!$W$13,IF(DL240&lt;=Hypothèses!$V$14,Hypothèses!$W$14,IF(DL240&lt;=Hypothèses!$V$15,Hypothèses!$W$15,IF(DL240&lt;=Hypothèses!$V$16,Hypothèses!$W$16,IF(DL240&lt;=Hypothèses!$V$17,Hypothèses!$W$17,IF(DL240&lt;=Hypothèses!$V$18,Hypothèses!$W$18,""))))))))))))</f>
        <v>#DIV/0!</v>
      </c>
      <c r="EG240" s="87" t="e">
        <f t="shared" ca="1" si="422"/>
        <v>#DIV/0!</v>
      </c>
      <c r="EH240" s="88" t="e">
        <f ca="1">IF(DL240&lt;=Hypothèses!$V$7,Hypothèses!$X$7,IF(DL240&lt;=Hypothèses!$V$8,Hypothèses!$X$8,IF(DL240&lt;=Hypothèses!$V$9,Hypothèses!$X$9,IF(DL240&lt;=Hypothèses!$V$10,Hypothèses!$X$10,IF(DL240&lt;=Hypothèses!$V$11,Hypothèses!$X$11,IF(DL240&lt;=Hypothèses!$V$12,Hypothèses!$X$12,IF(DL240&lt;=Hypothèses!$V$13,Hypothèses!$X$13,IF(DL240&lt;=Hypothèses!$V$14,Hypothèses!$X$14,IF(DL240&lt;=Hypothèses!$V$15,Hypothèses!$X$15,IF(DL240&lt;=Hypothèses!$V$16,Hypothèses!$X$16,IF(DL240&lt;=Hypothèses!$U$17,Hypothèses!$W$17,IF(DL240&lt;=Hypothèses!$U$18,Hypothèses!$W$18,""))))))))))))</f>
        <v>#DIV/0!</v>
      </c>
      <c r="EI240" s="95" t="e">
        <f t="shared" ca="1" si="393"/>
        <v>#DIV/0!</v>
      </c>
      <c r="EJ240" s="101" t="e">
        <f t="shared" si="429"/>
        <v>#N/A</v>
      </c>
      <c r="EK240" s="91" t="e">
        <f t="shared" si="362"/>
        <v>#N/A</v>
      </c>
      <c r="EL240" s="30" t="e">
        <f t="shared" si="412"/>
        <v>#N/A</v>
      </c>
      <c r="EM240" s="30" t="e">
        <f t="shared" si="413"/>
        <v>#N/A</v>
      </c>
      <c r="EN240" s="31" t="e">
        <f>IF(OR(Hypothèses!$B$4=17,Hypothèses!$B$4=18,Hypothèses!$B$4=19,Hypothèses!$B$4=20),
IF($D240="Pressio.",
IF(OR($E240=3,$E240=1,$E240=4),EM240,EL240),
IF($D240="Pénétro.",
IF(OR($E240=3,$E240=1,$E240=4),EM240,EL240))),IF($D240="Pressio.",
IF($E240=3,EM240,EL240),
IF($D240="Pénétro.",
IF($E240=4,EM240,EL240))))</f>
        <v>#N/A</v>
      </c>
      <c r="EO240" s="31" t="e">
        <f>(IF(OR(Hypothèses!$B$4=17,Hypothèses!$B$4=18,Hypothèses!$B$4=19,Hypothèses!$B$4=20),
IF($D240="Pressio.",
IF(OR($E240=3,$E240=1,$E240=4),(PI()*EO$12^2)/4*(EK240*$W240*1000)/($H240*$B$5),(PI()*EO$12^2)/4*(EK240*$W240*1000)/($G240*$B$5)),
IF($D240="Pénétro.",
IF(OR($E240=4,$E240=1,$E240=5),(PI()*EO$12^2)/4*(EK240*$W240*1000)/($H240*$B$5),(PI()*EO$12^2)/4*(EK240*$W240*1000)/($G240*$B$5)))),
IF($D240="Pressio.",
IF($E240=3,(PI()*EO$12^2)/4*(EK240*$W240*1000)/($H240*$B$5),(PI()*EO$12^2)/4*(EK240*$W240*1000)/($G240*$B$5)),
IF($D240="Pénétro.",
IF($E240=4,(PI()*EO$12^2)/4*(EK240*$W240*1000)/($H240*$B$5),(PI()*EO$12^2)/4*(EK240*$W240*1000)/($G240*$B$5))))))/10</f>
        <v>#N/A</v>
      </c>
      <c r="EP240" s="102" t="e">
        <f>(VLOOKUP($B$3,'Coeff EC7'!$T$39:$X$59,2,0)*EN240+VLOOKUP($B$3,'Coeff EC7'!$T$65:$X$85,2,0)*Model0.1C!EO240)/1.1</f>
        <v>#N/A</v>
      </c>
      <c r="EQ240" s="102" t="e">
        <f>(VLOOKUP($B$3,'Coeff EC7'!$T$39:$X$59,3,0)*EN240+VLOOKUP($B$3,'Coeff EC7'!$T$65:$X$85,3,0)*Model0.1C!EO240)/0.9</f>
        <v>#N/A</v>
      </c>
      <c r="ER240" s="102" t="e">
        <f t="shared" si="394"/>
        <v>#N/A</v>
      </c>
      <c r="ES240" s="102" t="e">
        <f t="shared" si="395"/>
        <v>#N/A</v>
      </c>
      <c r="ET240" s="414" t="e">
        <f>IF(ET239=0,0,IF(AND(EP240&gt;charge_ELS_quasi,EQ240&gt;Charge_ELS_freq,ER240&gt;charge_ELU,ES240&gt;charge_ELA,$B240&gt;NDC!$H$22-0.1+MIN(3*$ET$12,1.5)),0,1))</f>
        <v>#N/A</v>
      </c>
      <c r="EU240" s="86" t="b">
        <f t="shared" si="363"/>
        <v>0</v>
      </c>
      <c r="EV240" s="86">
        <f t="shared" si="364"/>
        <v>0.61</v>
      </c>
      <c r="EW240" s="86">
        <f t="shared" si="365"/>
        <v>0.61</v>
      </c>
      <c r="EX240" s="30" t="e">
        <f t="shared" ca="1" si="396"/>
        <v>#DIV/0!</v>
      </c>
      <c r="EY240" s="85" t="e">
        <f ca="1">IF(EE240&lt;=Hypothèses!$V$7,Hypothèses!$W$7,IF(EE240&lt;=Hypothèses!$V$8,Hypothèses!$W$8,IF(EE240&lt;=Hypothèses!$V$9,Hypothèses!$W$9,IF(EE240&lt;=Hypothèses!$V$10,Hypothèses!$W$10,IF(EE240&lt;=Hypothèses!$V$11,Hypothèses!$W$11,IF(EE240&lt;=Hypothèses!$V$12,Hypothèses!$W$12,IF(EE240&lt;=Hypothèses!$V$13,Hypothèses!$W$13,IF(EE240&lt;=Hypothèses!$V$14,Hypothèses!$W$14,IF(EE240&lt;=Hypothèses!$V$15,Hypothèses!$W$15,IF(EE240&lt;=Hypothèses!$V$16,Hypothèses!$W$16,IF(EE240&lt;=Hypothèses!$V$17,Hypothèses!$W$17,IF(EE240&lt;=Hypothèses!$V$18,Hypothèses!$W$18,""))))))))))))</f>
        <v>#DIV/0!</v>
      </c>
      <c r="EZ240" s="87" t="e">
        <f t="shared" ca="1" si="423"/>
        <v>#DIV/0!</v>
      </c>
      <c r="FA240" s="88" t="e">
        <f ca="1">IF(EE240&lt;=Hypothèses!$V$7,Hypothèses!$X$7,IF(EE240&lt;=Hypothèses!$V$8,Hypothèses!$X$8,IF(EE240&lt;=Hypothèses!$V$9,Hypothèses!$X$9,IF(EE240&lt;=Hypothèses!$V$10,Hypothèses!$X$10,IF(EE240&lt;=Hypothèses!$V$11,Hypothèses!$X$11,IF(EE240&lt;=Hypothèses!$V$12,Hypothèses!$X$12,IF(EE240&lt;=Hypothèses!$V$13,Hypothèses!$X$13,IF(EE240&lt;=Hypothèses!$V$14,Hypothèses!$X$14,IF(EE240&lt;=Hypothèses!$V$15,Hypothèses!$X$15,IF(EE240&lt;=Hypothèses!$V$16,Hypothèses!$X$16,IF(EE240&lt;=Hypothèses!$U$17,Hypothèses!$W$17,IF(EE240&lt;=Hypothèses!$U$18,Hypothèses!$W$18,""))))))))))))</f>
        <v>#DIV/0!</v>
      </c>
      <c r="FB240" s="95" t="e">
        <f t="shared" ca="1" si="397"/>
        <v>#DIV/0!</v>
      </c>
      <c r="FC240" s="101" t="e">
        <f t="shared" si="430"/>
        <v>#N/A</v>
      </c>
      <c r="FD240" s="91" t="e">
        <f t="shared" si="366"/>
        <v>#N/A</v>
      </c>
      <c r="FE240" s="30" t="e">
        <f t="shared" si="414"/>
        <v>#N/A</v>
      </c>
      <c r="FF240" s="30" t="e">
        <f t="shared" si="415"/>
        <v>#N/A</v>
      </c>
      <c r="FG240" s="31" t="e">
        <f>IF(OR(Hypothèses!$B$4=17,Hypothèses!$B$4=18,Hypothèses!$B$4=19,Hypothèses!$B$4=20),
IF($D240="Pressio.",
IF(OR($E240=3,$E240=1,$E240=4),FF240,FE240),
IF($D240="Pénétro.",
IF(OR($E240=3,$E240=1,$E240=4),FF240,FE240))),IF($D240="Pressio.",
IF($E240=3,FF240,FE240),
IF($D240="Pénétro.",
IF($E240=4,FF240,FE240))))</f>
        <v>#N/A</v>
      </c>
      <c r="FH240" s="31" t="e">
        <f>(IF(OR(Hypothèses!$B$4=17,Hypothèses!$B$4=18,Hypothèses!$B$4=19,Hypothèses!$B$4=20),
IF($D240="Pressio.",
IF(OR($E240=3,$E240=1,$E240=4),(PI()*FH$12^2)/4*(FD240*$W240*1000)/($H240*$B$5),(PI()*FH$12^2)/4*(FD240*$W240*1000)/($G240*$B$5)),
IF($D240="Pénétro.",
IF(OR($E240=4,$E240=1,$E240=5),(PI()*FH$12^2)/4*(FD240*$W240*1000)/($H240*$B$5),(PI()*FH$12^2)/4*(FD240*$W240*1000)/($G240*$B$5)))),
IF($D240="Pressio.",
IF($E240=3,(PI()*FH$12^2)/4*(FD240*$W240*1000)/($H240*$B$5),(PI()*FH$12^2)/4*(FD240*$W240*1000)/($G240*$B$5)),
IF($D240="Pénétro.",
IF($E240=4,(PI()*FH$12^2)/4*(FD240*$W240*1000)/($H240*$B$5),(PI()*FH$12^2)/4*(FD240*$W240*1000)/($G240*$B$5))))))/10</f>
        <v>#N/A</v>
      </c>
      <c r="FI240" s="102" t="e">
        <f>(VLOOKUP($B$3,'Coeff EC7'!$T$39:$X$59,2,0)*FG240+VLOOKUP($B$3,'Coeff EC7'!$T$65:$X$85,2,0)*Model0.1C!FH240)/1.1</f>
        <v>#N/A</v>
      </c>
      <c r="FJ240" s="102" t="e">
        <f>(VLOOKUP($B$3,'Coeff EC7'!$T$39:$X$59,3,0)*FG240+VLOOKUP($B$3,'Coeff EC7'!$T$65:$X$85,3,0)*Model0.1C!FH240)/0.9</f>
        <v>#N/A</v>
      </c>
      <c r="FK240" s="102" t="e">
        <f t="shared" si="398"/>
        <v>#N/A</v>
      </c>
      <c r="FL240" s="102" t="e">
        <f t="shared" si="399"/>
        <v>#N/A</v>
      </c>
      <c r="FM240" s="414" t="e">
        <f>IF(FM239=0,0,IF(AND(FI240&gt;charge_ELS_quasi,FJ240&gt;Charge_ELS_freq,FK240&gt;charge_ELU,FL240&gt;charge_ELA,$B240&gt;NDC!$H$22-0.1+MIN(3*$FM$12,1.5)),0,1))</f>
        <v>#N/A</v>
      </c>
    </row>
    <row r="241" spans="1:169">
      <c r="A241" s="96">
        <f t="shared" si="367"/>
        <v>77.200000000001296</v>
      </c>
      <c r="B241" s="97">
        <v>22.8</v>
      </c>
      <c r="C241" s="81">
        <f>IF(B241&lt;=Hypothèses!$C$7,Hypothèses!$A$7,IF(B241&lt;=Hypothèses!$C$8,Hypothèses!$A$8,IF(B241&lt;=Hypothèses!$C$9,Hypothèses!$A$9,IF(B241&lt;=Hypothèses!$C$10,Hypothèses!$A$10,IF(B241&lt;=Hypothèses!$C$11,Hypothèses!$A$11,IF(B241&lt;=Hypothèses!$C$12,Hypothèses!$A$12,IF(B241&lt;=Hypothèses!$C$13,Hypothèses!$A$13,IF(B241&lt;=Hypothèses!$C$14,Hypothèses!$A$14,IF(B241&lt;=Hypothèses!$C$15,Hypothèses!$A$15,IF(B241&lt;=Hypothèses!$C$16,Hypothèses!$A$16,IF(B241&lt;=Hypothèses!$C$17,Hypothèses!$A$17,IF(B241&lt;=Hypothèses!$C$18,Hypothèses!$A$18,C240))))))))))))</f>
        <v>11</v>
      </c>
      <c r="D241" s="82" t="str">
        <f>IF(B241&lt;=Hypothèses!$C$7,Hypothèses!$R$7,IF(B241&lt;=Hypothèses!$C$8,Hypothèses!$R$8,IF(B241&lt;=Hypothèses!$C$9,Hypothèses!$R$9,IF(B241&lt;=Hypothèses!$C$10,Hypothèses!$R$10,IF(B241&lt;=Hypothèses!$C$11,Hypothèses!$R$11,IF(B241&lt;=Hypothèses!$C$12,Hypothèses!$R$12,IF(B241&lt;=Hypothèses!$C$13,Hypothèses!$R$13,IF(B241&lt;=Hypothèses!$C$14,Hypothèses!$R$14,IF(B241&lt;=Hypothèses!$C$15,Hypothèses!$R$15,IF(B241&lt;=Hypothèses!$C$16,Hypothèses!$R$16,IF(B241&lt;=Hypothèses!$C$17,Hypothèses!$R$17,IF(B241&lt;=Hypothèses!$C$18,Hypothèses!$R$18,D240))))))))))))</f>
        <v>Pressio.</v>
      </c>
      <c r="E241" s="82" t="e">
        <f>IF(B241&lt;=Hypothèses!$C$7,Hypothèses!$G$7,IF(B241&lt;=Hypothèses!$C$8,Hypothèses!$G$8,IF(B241&lt;=Hypothèses!$C$9,Hypothèses!$G$9,IF(B241&lt;=Hypothèses!$C$10,Hypothèses!$G$10,IF(B241&lt;=Hypothèses!$C$11,Hypothèses!$G$11,IF(B241&lt;=Hypothèses!$C$12,Hypothèses!$G$12,IF(B241&lt;=Hypothèses!$C$13,Hypothèses!$G$13,IF(B241&lt;=Hypothèses!$C$14,Hypothèses!$G$14,IF(B241&lt;=Hypothèses!$C$15,Hypothèses!$G$15,IF(B241&lt;=Hypothèses!$C$16,Hypothèses!$G$16,IF(B241&lt;=Hypothèses!$C$17,Hypothèses!$G$17,IF(B241&lt;=Hypothèses!$C$18,Hypothèses!$G$18,E240))))))))))))</f>
        <v>#N/A</v>
      </c>
      <c r="F241" s="82" t="str">
        <f>IF(B241&lt;=Hypothèses!$C$7,Hypothèses!$F$7,IF(B241&lt;=Hypothèses!$C$8,Hypothèses!$F$8,IF(B241&lt;=Hypothèses!$C$9,Hypothèses!$F$9,IF(B241&lt;=Hypothèses!$C$10,Hypothèses!$F$10,IF(B241&lt;=Hypothèses!$C$11,Hypothèses!$F$11,IF(B241&lt;=Hypothèses!$C$12,Hypothèses!$F$12,IF(B241&lt;=Hypothèses!$C$13,Hypothèses!$F$13,IF(B241&lt;=Hypothèses!$C$14,Hypothèses!$F$14,IF(B241&lt;=Hypothèses!$C$15,Hypothèses!$F$15,IF(B241&lt;=Hypothèses!$C$16,Hypothèses!$F$16,IF(B241&lt;=Hypothèses!$C$17,Hypothèses!$F$17,IF(B241&lt;=Hypothèses!$C$18,Hypothèses!$F$18,F240))))))))))))</f>
        <v/>
      </c>
      <c r="G241" s="91">
        <f t="array" ref="G241">INDEX('Coeff EC7'!$U$7:$X$27,
MATCH(Model0.1C!$B$3,'Coeff EC7'!$T$7:$T$27,0),
MATCH(Model0.1C!$D241&amp;Model0.1C!$B$4,
'Coeff EC7'!$U$6:$X$6&amp;
'Coeff EC7'!$U$5:$X$5,0))</f>
        <v>1.1499999999999999</v>
      </c>
      <c r="H241" s="91">
        <f t="array" ref="H241">INDEX('Coeff EC7'!$Y$7:$AB$27,
MATCH(Model0.1C!$B$3,'Coeff EC7'!$T$7:$T$27,0),
MATCH(Model0.1C!$D241&amp;Model0.1C!$B$4,
'Coeff EC7'!$Y$6:$AB$6&amp;
'Coeff EC7'!$Y$5:$AB$5,0))</f>
        <v>1.4</v>
      </c>
      <c r="I241" s="83" t="e">
        <f>IF(B241&lt;=Hypothèses!$C$7,Hypothèses!$P$7,IF(B241&lt;=Hypothèses!$C$8,Hypothèses!$P$8,IF(B241&lt;=Hypothèses!$C$9,Hypothèses!$P$9,IF(B241&lt;=Hypothèses!$C$10,Hypothèses!$P$10,IF(B241&lt;=Hypothèses!$C$11,Hypothèses!$P$11,IF(B241&lt;=Hypothèses!$C$12,Hypothèses!$P$12,IF(B241&lt;=Hypothèses!$C$13,Hypothèses!$P$13,IF(B241&lt;=Hypothèses!$C$14,Hypothèses!$P$14,IF(B241&lt;=Hypothèses!$C$15,Hypothèses!$P$15,IF(B241&lt;=Hypothèses!$C$16,Hypothèses!$P$16,IF(B241&lt;=Hypothèses!$C$17,Hypothèses!$P$17,IF(B241&lt;=Hypothèses!$C$18,Hypothèses!$P$18,I240))))))))))))</f>
        <v>#N/A</v>
      </c>
      <c r="J241" s="91" t="e">
        <f t="array" ref="J241">INDEX('Coeff EC7'!$D$33:$Q$33,1,MATCH(D241&amp;E241,'Coeff EC7'!$D$31:$Q$31&amp;'Coeff EC7'!$D$32:$Q$32,0))</f>
        <v>#N/A</v>
      </c>
      <c r="K241" s="91" t="e">
        <f t="array" ref="K241">INDEX('Coeff EC7'!$D$34:$Q$34,1,MATCH(D241&amp;E241,'Coeff EC7'!$D$31:$Q$31&amp;'Coeff EC7'!$D$32:$Q$32,0))</f>
        <v>#N/A</v>
      </c>
      <c r="L241" s="91" t="e">
        <f t="array" ref="L241">INDEX('Coeff EC7'!$D$35:$Q$35,1,MATCH(D241&amp;E241,'Coeff EC7'!$D$31:$Q$31&amp;'Coeff EC7'!$D$32:$Q$32,0))</f>
        <v>#N/A</v>
      </c>
      <c r="M241" s="98" t="e">
        <f t="shared" si="331"/>
        <v>#N/A</v>
      </c>
      <c r="N241" s="99" t="e">
        <f t="array" ref="N241">INDEX('Coeff EC7'!$D$7:$Q$27,MATCH($B$3,'Coeff EC7'!$C$7:$C$27,0),MATCH(D241&amp;E241,'Coeff EC7'!$D$5:$Q$5&amp;'Coeff EC7'!$D$6:$Q$6,0))</f>
        <v>#N/A</v>
      </c>
      <c r="O241" s="99" t="e">
        <f t="array" ref="O241">INDEX('Coeff EC7'!$D$41:$Q$61,MATCH($B$3,'Coeff EC7'!$C$41:$C$61,0),MATCH(D241&amp;E241,'Coeff EC7'!$D$39:$Q$39&amp;'Coeff EC7'!$D$40:$Q$40,0))</f>
        <v>#N/A</v>
      </c>
      <c r="P241" s="30" t="e">
        <f t="shared" si="368"/>
        <v>#N/A</v>
      </c>
      <c r="Q241" s="100" t="e">
        <f t="shared" si="333"/>
        <v>#N/A</v>
      </c>
      <c r="R241" s="86" t="b">
        <f t="shared" si="334"/>
        <v>0</v>
      </c>
      <c r="S241" s="86">
        <f t="shared" si="332"/>
        <v>0.5</v>
      </c>
      <c r="T241" s="86">
        <f t="shared" si="335"/>
        <v>0.5</v>
      </c>
      <c r="U241" s="30" t="e">
        <f t="shared" ca="1" si="369"/>
        <v>#DIV/0!</v>
      </c>
      <c r="V241" s="85" t="str">
        <f>IF(B241&lt;=Hypothèses!$V$7,Hypothèses!$W$7,IF(B241&lt;=Hypothèses!$V$8,Hypothèses!$W$8,IF(B241&lt;=Hypothèses!$V$9,Hypothèses!$W$9,IF(B241&lt;=Hypothèses!$V$10,Hypothèses!$W$10,IF(B241&lt;=Hypothèses!$V$11,Hypothèses!$W$11,IF(B241&lt;=Hypothèses!$V$12,Hypothèses!$W$12,IF(B241&lt;=Hypothèses!$V$13,Hypothèses!$W$13,IF(B241&lt;=Hypothèses!$V$14,Hypothèses!$W$14,IF(B241&lt;=Hypothèses!$V$15,Hypothèses!$W$15,IF(B241&lt;=Hypothèses!$V$16,Hypothèses!$W$16,IF(B241&lt;=Hypothèses!$V$17,Hypothèses!$W$17,IF(B241&lt;=Hypothèses!$V$18,Hypothèses!$W$18,""))))))))))))</f>
        <v/>
      </c>
      <c r="W241" s="87" t="e">
        <f t="shared" ca="1" si="416"/>
        <v>#DIV/0!</v>
      </c>
      <c r="X241" s="88" t="str">
        <f>IF(B241&lt;=Hypothèses!$V$7,Hypothèses!$X$7,IF(B241&lt;=Hypothèses!$V$8,Hypothèses!$X$8,IF(B241&lt;=Hypothèses!$V$9,Hypothèses!$X$9,IF(B241&lt;=Hypothèses!$V$10,Hypothèses!$X$10,IF(B241&lt;=Hypothèses!$V$11,Hypothèses!$X$11,IF(B241&lt;=Hypothèses!$V$12,Hypothèses!$X$12,IF(B241&lt;=Hypothèses!$V$13,Hypothèses!$X$13,IF(B241&lt;=Hypothèses!$V$14,Hypothèses!$X$14,IF(B241&lt;=Hypothèses!$V$15,Hypothèses!$X$15,IF(B241&lt;=Hypothèses!$V$16,Hypothèses!$X$16,IF(B241&lt;=Hypothèses!$U$17,Hypothèses!$W$17,IF(B241&lt;=Hypothèses!$U$18,Hypothèses!$W$18,""))))))))))))</f>
        <v/>
      </c>
      <c r="Y241" s="95" t="e">
        <f t="shared" ca="1" si="336"/>
        <v>#DIV/0!</v>
      </c>
      <c r="Z241" s="101" t="e">
        <f t="shared" si="337"/>
        <v>#N/A</v>
      </c>
      <c r="AA241" s="91" t="e">
        <f t="shared" si="338"/>
        <v>#N/A</v>
      </c>
      <c r="AB241" s="30" t="e">
        <f t="shared" si="400"/>
        <v>#N/A</v>
      </c>
      <c r="AC241" s="30" t="e">
        <f t="shared" si="401"/>
        <v>#N/A</v>
      </c>
      <c r="AD241" s="31" t="e">
        <f>IF(OR(Hypothèses!$B$4=17,Hypothèses!$B$4=18,Hypothèses!$B$4=19,Hypothèses!$B$4=20),
IF($D241="Pressio.",
IF(OR($E241=3,$E241=1,$E241=4),AC241,AB241),
IF($D241="Pénétro.",
IF(OR($E241=3,$E241=1,$E241=4),AC241,AB241))),IF($D241="Pressio.",
IF($E241=3,AC241,AB241),
IF($D241="Pénétro.",
IF($E241=4,AC241,AB241))))</f>
        <v>#N/A</v>
      </c>
      <c r="AE241" s="31" t="e">
        <f>(IF(OR(Hypothèses!$B$4=17,Hypothèses!$B$4=18,Hypothèses!$B$4=19,Hypothèses!$B$4=20),
IF($D241="Pressio.",
IF(OR($E241=3,$E241=1,$E241=4),(PI()*AE$12^2)/4*(AA241*$W241*1000)/($H241*$B$5),(PI()*AE$12^2)/4*(AA241*$W241*1000)/($G241*$B$5)),
IF($D241="Pénétro.",
IF(OR($E241=4,$E241=1,$E241=5),(PI()*AE$12^2)/4*(AA241*$W241*1000)/($H241*$B$5),(PI()*AE$12^2)/4*(AA241*$W241*1000)/($G241*$B$5)))),
IF($D241="Pressio.",
IF($E241=3,(PI()*AE$12^2)/4*(AA241*$W241*1000)/($H241*$B$5),(PI()*AE$12^2)/4*(AA241*$W241*1000)/($G241*$B$5)),
IF($D241="Pénétro.",
IF($E241=4,(PI()*AE$12^2)/4*(AA241*$W241*1000)/($H241*$B$5),(PI()*AE$12^2)/4*(AA241*$W241*1000)/($G241*$B$5))))))/10</f>
        <v>#N/A</v>
      </c>
      <c r="AF241" s="102" t="e">
        <f>(VLOOKUP($B$3,'Coeff EC7'!$T$39:$X$59,2,0)*AD241+VLOOKUP($B$3,'Coeff EC7'!$T$65:$X$85,2,0)*Model0.1C!AE241)/1.1</f>
        <v>#N/A</v>
      </c>
      <c r="AG241" s="102" t="e">
        <f>(VLOOKUP($B$3,'Coeff EC7'!$T$39:$X$59,3,0)*AD241+VLOOKUP($B$3,'Coeff EC7'!$T$65:$X$85,3,0)*Model0.1C!AE241)/0.9</f>
        <v>#N/A</v>
      </c>
      <c r="AH241" s="102" t="e">
        <f t="shared" si="339"/>
        <v>#N/A</v>
      </c>
      <c r="AI241" s="102" t="e">
        <f t="shared" si="340"/>
        <v>#N/A</v>
      </c>
      <c r="AJ241" s="414" t="e">
        <f>IF(AJ240=0,0,IF(AND(AF241&gt;charge_ELS_quasi,AG241&gt;Charge_ELS_freq,AH241&gt;charge_ELU,AI241&gt;charge_ELA,$B241&gt;NDC!$H$22-0.1+MIN(3*$AJ$12,1.5)),0,1))</f>
        <v>#N/A</v>
      </c>
      <c r="AK241" s="86" t="b">
        <f t="shared" si="341"/>
        <v>0</v>
      </c>
      <c r="AL241" s="86">
        <f t="shared" si="370"/>
        <v>0.5</v>
      </c>
      <c r="AM241" s="86">
        <f t="shared" si="342"/>
        <v>0.5</v>
      </c>
      <c r="AN241" s="30" t="e">
        <f t="shared" ca="1" si="371"/>
        <v>#DIV/0!</v>
      </c>
      <c r="AO241" s="85" t="e">
        <f ca="1">IF(U241&lt;=Hypothèses!$V$7,Hypothèses!$W$7,IF(U241&lt;=Hypothèses!$V$8,Hypothèses!$W$8,IF(U241&lt;=Hypothèses!$V$9,Hypothèses!$W$9,IF(U241&lt;=Hypothèses!$V$10,Hypothèses!$W$10,IF(U241&lt;=Hypothèses!$V$11,Hypothèses!$W$11,IF(U241&lt;=Hypothèses!$V$12,Hypothèses!$W$12,IF(U241&lt;=Hypothèses!$V$13,Hypothèses!$W$13,IF(U241&lt;=Hypothèses!$V$14,Hypothèses!$W$14,IF(U241&lt;=Hypothèses!$V$15,Hypothèses!$W$15,IF(U241&lt;=Hypothèses!$V$16,Hypothèses!$W$16,IF(U241&lt;=Hypothèses!$V$17,Hypothèses!$W$17,IF(U241&lt;=Hypothèses!$V$18,Hypothèses!$W$18,""))))))))))))</f>
        <v>#DIV/0!</v>
      </c>
      <c r="AP241" s="87" t="e">
        <f t="shared" ca="1" si="417"/>
        <v>#DIV/0!</v>
      </c>
      <c r="AQ241" s="88" t="e">
        <f ca="1">IF(U241&lt;=Hypothèses!$V$7,Hypothèses!$X$7,IF(U241&lt;=Hypothèses!$V$8,Hypothèses!$X$8,IF(U241&lt;=Hypothèses!$V$9,Hypothèses!$X$9,IF(U241&lt;=Hypothèses!$V$10,Hypothèses!$X$10,IF(U241&lt;=Hypothèses!$V$11,Hypothèses!$X$11,IF(U241&lt;=Hypothèses!$V$12,Hypothèses!$X$12,IF(U241&lt;=Hypothèses!$V$13,Hypothèses!$X$13,IF(U241&lt;=Hypothèses!$V$14,Hypothèses!$X$14,IF(U241&lt;=Hypothèses!$V$15,Hypothèses!$X$15,IF(U241&lt;=Hypothèses!$V$16,Hypothèses!$X$16,IF(U241&lt;=Hypothèses!$U$17,Hypothèses!$W$17,IF(U241&lt;=Hypothèses!$U$18,Hypothèses!$W$18,""))))))))))))</f>
        <v>#DIV/0!</v>
      </c>
      <c r="AR241" s="95" t="e">
        <f t="shared" ca="1" si="372"/>
        <v>#DIV/0!</v>
      </c>
      <c r="AS241" s="101" t="e">
        <f t="shared" si="424"/>
        <v>#N/A</v>
      </c>
      <c r="AT241" s="91" t="e">
        <f t="shared" si="343"/>
        <v>#N/A</v>
      </c>
      <c r="AU241" s="30" t="e">
        <f t="shared" si="402"/>
        <v>#N/A</v>
      </c>
      <c r="AV241" s="30" t="e">
        <f t="shared" si="403"/>
        <v>#N/A</v>
      </c>
      <c r="AW241" s="31" t="e">
        <f>IF(OR(Hypothèses!$B$4=17,Hypothèses!$B$4=18,Hypothèses!$B$4=19,Hypothèses!$B$4=20),
IF($D241="Pressio.",
IF(OR($E241=3,$E241=1,$E241=4),AV241,AU241),
IF($D241="Pénétro.",
IF(OR($E241=3,$E241=1,$E241=4),AV241,AU241))),IF($D241="Pressio.",
IF($E241=3,AV241,AU241),
IF($D241="Pénétro.",
IF($E241=4,AV241,AU241))))</f>
        <v>#N/A</v>
      </c>
      <c r="AX241" s="31" t="e">
        <f>(IF(OR(Hypothèses!$B$4=17,Hypothèses!$B$4=18,Hypothèses!$B$4=19,Hypothèses!$B$4=20),
IF($D241="Pressio.",
IF(OR($E241=3,$E241=1,$E241=4),(PI()*AX$12^2)/4*(AT241*$W241*1000)/($H241*$B$5),(PI()*AX$12^2)/4*(AT241*$W241*1000)/($G241*$B$5)),
IF($D241="Pénétro.",
IF(OR($E241=4,$E241=1,$E241=5),(PI()*AX$12^2)/4*(AT241*$W241*1000)/($H241*$B$5),(PI()*AX$12^2)/4*(AT241*$W241*1000)/($G241*$B$5)))),
IF($D241="Pressio.",
IF($E241=3,(PI()*AX$12^2)/4*(AT241*$W241*1000)/($H241*$B$5),(PI()*AX$12^2)/4*(AT241*$W241*1000)/($G241*$B$5)),
IF($D241="Pénétro.",
IF($E241=4,(PI()*AX$12^2)/4*(AT241*$W241*1000)/($H241*$B$5),(PI()*AX$12^2)/4*(AT241*$W241*1000)/($G241*$B$5))))))/10</f>
        <v>#N/A</v>
      </c>
      <c r="AY241" s="102" t="e">
        <f>(VLOOKUP($B$3,'Coeff EC7'!$T$39:$X$59,2,0)*AW241+VLOOKUP($B$3,'Coeff EC7'!$T$65:$X$85,2,0)*Model0.1C!AX241)/1.1</f>
        <v>#N/A</v>
      </c>
      <c r="AZ241" s="102" t="e">
        <f>(VLOOKUP($B$3,'Coeff EC7'!$T$39:$X$59,3,0)*AW241+VLOOKUP($B$3,'Coeff EC7'!$T$65:$X$85,3,0)*Model0.1C!AX241)/0.9</f>
        <v>#N/A</v>
      </c>
      <c r="BA241" s="102" t="e">
        <f t="shared" si="373"/>
        <v>#N/A</v>
      </c>
      <c r="BB241" s="102" t="e">
        <f t="shared" si="374"/>
        <v>#N/A</v>
      </c>
      <c r="BC241" s="414" t="e">
        <f>IF(BC240=0,0,IF(AND(AY241&gt;charge_ELS_quasi,AZ241&gt;Charge_ELS_freq,BA241&gt;charge_ELU,BB241&gt;charge_ELA,$B241&gt;NDC!$H$22-0.1+MIN(3*$BC$12,1.5)),0,1))</f>
        <v>#N/A</v>
      </c>
      <c r="BD241" s="86" t="b">
        <f t="shared" si="344"/>
        <v>0</v>
      </c>
      <c r="BE241" s="86">
        <f t="shared" si="375"/>
        <v>0.5</v>
      </c>
      <c r="BF241" s="86">
        <f t="shared" si="345"/>
        <v>0.5</v>
      </c>
      <c r="BG241" s="30" t="e">
        <f t="shared" ca="1" si="376"/>
        <v>#DIV/0!</v>
      </c>
      <c r="BH241" s="85" t="e">
        <f ca="1">IF(AN241&lt;=Hypothèses!$V$7,Hypothèses!$W$7,IF(AN241&lt;=Hypothèses!$V$8,Hypothèses!$W$8,IF(AN241&lt;=Hypothèses!$V$9,Hypothèses!$W$9,IF(AN241&lt;=Hypothèses!$V$10,Hypothèses!$W$10,IF(AN241&lt;=Hypothèses!$V$11,Hypothèses!$W$11,IF(AN241&lt;=Hypothèses!$V$12,Hypothèses!$W$12,IF(AN241&lt;=Hypothèses!$V$13,Hypothèses!$W$13,IF(AN241&lt;=Hypothèses!$V$14,Hypothèses!$W$14,IF(AN241&lt;=Hypothèses!$V$15,Hypothèses!$W$15,IF(AN241&lt;=Hypothèses!$V$16,Hypothèses!$W$16,IF(AN241&lt;=Hypothèses!$V$17,Hypothèses!$W$17,IF(AN241&lt;=Hypothèses!$V$18,Hypothèses!$W$18,""))))))))))))</f>
        <v>#DIV/0!</v>
      </c>
      <c r="BI241" s="87" t="e">
        <f t="shared" ca="1" si="418"/>
        <v>#DIV/0!</v>
      </c>
      <c r="BJ241" s="88" t="e">
        <f ca="1">IF(AN241&lt;=Hypothèses!$V$7,Hypothèses!$X$7,IF(AN241&lt;=Hypothèses!$V$8,Hypothèses!$X$8,IF(AN241&lt;=Hypothèses!$V$9,Hypothèses!$X$9,IF(AN241&lt;=Hypothèses!$V$10,Hypothèses!$X$10,IF(AN241&lt;=Hypothèses!$V$11,Hypothèses!$X$11,IF(AN241&lt;=Hypothèses!$V$12,Hypothèses!$X$12,IF(AN241&lt;=Hypothèses!$V$13,Hypothèses!$X$13,IF(AN241&lt;=Hypothèses!$V$14,Hypothèses!$X$14,IF(AN241&lt;=Hypothèses!$V$15,Hypothèses!$X$15,IF(AN241&lt;=Hypothèses!$V$16,Hypothèses!$X$16,IF(AN241&lt;=Hypothèses!$U$17,Hypothèses!$W$17,IF(AN241&lt;=Hypothèses!$U$18,Hypothèses!$W$18,""))))))))))))</f>
        <v>#DIV/0!</v>
      </c>
      <c r="BK241" s="95" t="e">
        <f t="shared" ca="1" si="377"/>
        <v>#DIV/0!</v>
      </c>
      <c r="BL241" s="101" t="e">
        <f t="shared" si="425"/>
        <v>#N/A</v>
      </c>
      <c r="BM241" s="91" t="e">
        <f t="shared" si="346"/>
        <v>#N/A</v>
      </c>
      <c r="BN241" s="30" t="e">
        <f t="shared" si="404"/>
        <v>#N/A</v>
      </c>
      <c r="BO241" s="30" t="e">
        <f t="shared" si="405"/>
        <v>#N/A</v>
      </c>
      <c r="BP241" s="31" t="e">
        <f>IF(OR(Hypothèses!$B$4=17,Hypothèses!$B$4=18,Hypothèses!$B$4=19,Hypothèses!$B$4=20),
IF($D241="Pressio.",
IF(OR($E241=3,$E241=1,$E241=4),BO241,BN241),
IF($D241="Pénétro.",
IF(OR($E241=3,$E241=1,$E241=4),BO241,BN241))),IF($D241="Pressio.",
IF($E241=3,BO241,BN241),
IF($D241="Pénétro.",
IF($E241=4,BO241,BN241))))</f>
        <v>#N/A</v>
      </c>
      <c r="BQ241" s="31" t="e">
        <f>(IF(OR(Hypothèses!$B$4=17,Hypothèses!$B$4=18,Hypothèses!$B$4=19,Hypothèses!$B$4=20),
IF($D241="Pressio.",
IF(OR($E241=3,$E241=1,$E241=4),(PI()*BQ$12^2)/4*(BM241*$W241*1000)/($H241*$B$5),(PI()*BQ$12^2)/4*(BM241*$W241*1000)/($G241*$B$5)),
IF($D241="Pénétro.",
IF(OR($E241=4,$E241=1,$E241=5),(PI()*BQ$12^2)/4*(BM241*$W241*1000)/($H241*$B$5),(PI()*BQ$12^2)/4*(BM241*$W241*1000)/($G241*$B$5)))),
IF($D241="Pressio.",
IF($E241=3,(PI()*BQ$12^2)/4*(BM241*$W241*1000)/($H241*$B$5),(PI()*BQ$12^2)/4*(BM241*$W241*1000)/($G241*$B$5)),
IF($D241="Pénétro.",
IF($E241=4,(PI()*BQ$12^2)/4*(BM241*$W241*1000)/($H241*$B$5),(PI()*BQ$12^2)/4*(BM241*$W241*1000)/($G241*$B$5))))))/10</f>
        <v>#N/A</v>
      </c>
      <c r="BR241" s="102" t="e">
        <f>(VLOOKUP($B$3,'Coeff EC7'!$T$39:$X$59,2,0)*BP241+VLOOKUP($B$3,'Coeff EC7'!$T$65:$X$85,2,0)*Model0.1C!BQ241)/1.1</f>
        <v>#N/A</v>
      </c>
      <c r="BS241" s="102" t="e">
        <f>(VLOOKUP($B$3,'Coeff EC7'!$T$39:$X$59,3,0)*BP241+VLOOKUP($B$3,'Coeff EC7'!$T$65:$X$85,3,0)*Model0.1C!BQ241)/0.9</f>
        <v>#N/A</v>
      </c>
      <c r="BT241" s="102" t="e">
        <f t="shared" si="378"/>
        <v>#N/A</v>
      </c>
      <c r="BU241" s="102" t="e">
        <f t="shared" si="379"/>
        <v>#N/A</v>
      </c>
      <c r="BV241" s="414" t="e">
        <f>IF(BV240=0,0,IF(AND(BR241&gt;charge_ELS_quasi,BS241&gt;Charge_ELS_freq,BT241&gt;charge_ELU,BU241&gt;charge_ELA,$B241&gt;NDC!$H$22-0.1+MIN(3*$BV$12,1.5)),0,1))</f>
        <v>#N/A</v>
      </c>
      <c r="BW241" s="86" t="b">
        <f t="shared" si="347"/>
        <v>0</v>
      </c>
      <c r="BX241" s="86">
        <f t="shared" si="348"/>
        <v>0.5</v>
      </c>
      <c r="BY241" s="86">
        <f t="shared" si="349"/>
        <v>0.5</v>
      </c>
      <c r="BZ241" s="30" t="e">
        <f t="shared" ca="1" si="380"/>
        <v>#DIV/0!</v>
      </c>
      <c r="CA241" s="85" t="e">
        <f ca="1">IF(BG241&lt;=Hypothèses!$V$7,Hypothèses!$W$7,IF(BG241&lt;=Hypothèses!$V$8,Hypothèses!$W$8,IF(BG241&lt;=Hypothèses!$V$9,Hypothèses!$W$9,IF(BG241&lt;=Hypothèses!$V$10,Hypothèses!$W$10,IF(BG241&lt;=Hypothèses!$V$11,Hypothèses!$W$11,IF(BG241&lt;=Hypothèses!$V$12,Hypothèses!$W$12,IF(BG241&lt;=Hypothèses!$V$13,Hypothèses!$W$13,IF(BG241&lt;=Hypothèses!$V$14,Hypothèses!$W$14,IF(BG241&lt;=Hypothèses!$V$15,Hypothèses!$W$15,IF(BG241&lt;=Hypothèses!$V$16,Hypothèses!$W$16,IF(BG241&lt;=Hypothèses!$V$17,Hypothèses!$W$17,IF(BG241&lt;=Hypothèses!$V$18,Hypothèses!$W$18,""))))))))))))</f>
        <v>#DIV/0!</v>
      </c>
      <c r="CB241" s="87" t="e">
        <f t="shared" ca="1" si="419"/>
        <v>#DIV/0!</v>
      </c>
      <c r="CC241" s="88" t="e">
        <f ca="1">IF(BG241&lt;=Hypothèses!$V$7,Hypothèses!$X$7,IF(BG241&lt;=Hypothèses!$V$8,Hypothèses!$X$8,IF(BG241&lt;=Hypothèses!$V$9,Hypothèses!$X$9,IF(BG241&lt;=Hypothèses!$V$10,Hypothèses!$X$10,IF(BG241&lt;=Hypothèses!$V$11,Hypothèses!$X$11,IF(BG241&lt;=Hypothèses!$V$12,Hypothèses!$X$12,IF(BG241&lt;=Hypothèses!$V$13,Hypothèses!$X$13,IF(BG241&lt;=Hypothèses!$V$14,Hypothèses!$X$14,IF(BG241&lt;=Hypothèses!$V$15,Hypothèses!$X$15,IF(BG241&lt;=Hypothèses!$V$16,Hypothèses!$X$16,IF(BG241&lt;=Hypothèses!$U$17,Hypothèses!$W$17,IF(BG241&lt;=Hypothèses!$U$18,Hypothèses!$W$18,""))))))))))))</f>
        <v>#DIV/0!</v>
      </c>
      <c r="CD241" s="95" t="e">
        <f t="shared" ca="1" si="381"/>
        <v>#DIV/0!</v>
      </c>
      <c r="CE241" s="101" t="e">
        <f t="shared" si="426"/>
        <v>#N/A</v>
      </c>
      <c r="CF241" s="91" t="e">
        <f t="shared" si="350"/>
        <v>#N/A</v>
      </c>
      <c r="CG241" s="30" t="e">
        <f t="shared" si="406"/>
        <v>#N/A</v>
      </c>
      <c r="CH241" s="30" t="e">
        <f t="shared" si="407"/>
        <v>#N/A</v>
      </c>
      <c r="CI241" s="31" t="e">
        <f>IF(OR(Hypothèses!$B$4=17,Hypothèses!$B$4=18,Hypothèses!$B$4=19,Hypothèses!$B$4=20),
IF($D241="Pressio.",
IF(OR($E241=3,$E241=1,$E241=4),CH241,CG241),
IF($D241="Pénétro.",
IF(OR($E241=3,$E241=1,$E241=4),CH241,CG241))),IF($D241="Pressio.",
IF($E241=3,CH241,CG241),
IF($D241="Pénétro.",
IF($E241=4,CH241,CG241))))</f>
        <v>#N/A</v>
      </c>
      <c r="CJ241" s="31" t="e">
        <f>(IF(OR(Hypothèses!$B$4=17,Hypothèses!$B$4=18,Hypothèses!$B$4=19,Hypothèses!$B$4=20),
IF($D241="Pressio.",
IF(OR($E241=3,$E241=1,$E241=4),(PI()*CJ$12^2)/4*(CF241*$W241*1000)/($H241*$B$5),(PI()*CJ$12^2)/4*(CF241*$W241*1000)/($G241*$B$5)),
IF($D241="Pénétro.",
IF(OR($E241=4,$E241=1,$E241=5),(PI()*CJ$12^2)/4*(CF241*$W241*1000)/($H241*$B$5),(PI()*CJ$12^2)/4*(CF241*$W241*1000)/($G241*$B$5)))),
IF($D241="Pressio.",
IF($E241=3,(PI()*CJ$12^2)/4*(CF241*$W241*1000)/($H241*$B$5),(PI()*CJ$12^2)/4*(CF241*$W241*1000)/($G241*$B$5)),
IF($D241="Pénétro.",
IF($E241=4,(PI()*CJ$12^2)/4*(CF241*$W241*1000)/($H241*$B$5),(PI()*CJ$12^2)/4*(CF241*$W241*1000)/($G241*$B$5))))))/10</f>
        <v>#N/A</v>
      </c>
      <c r="CK241" s="102" t="e">
        <f>(VLOOKUP($B$3,'Coeff EC7'!$T$39:$X$59,2,0)*CI241+VLOOKUP($B$3,'Coeff EC7'!$T$65:$X$85,2,0)*Model0.1C!CJ241)/1.1</f>
        <v>#N/A</v>
      </c>
      <c r="CL241" s="102" t="e">
        <f>(VLOOKUP($B$3,'Coeff EC7'!$T$39:$X$59,3,0)*CI241+VLOOKUP($B$3,'Coeff EC7'!$T$65:$X$85,3,0)*Model0.1C!CJ241)/0.9</f>
        <v>#N/A</v>
      </c>
      <c r="CM241" s="102" t="e">
        <f t="shared" si="382"/>
        <v>#N/A</v>
      </c>
      <c r="CN241" s="102" t="e">
        <f t="shared" si="383"/>
        <v>#N/A</v>
      </c>
      <c r="CO241" s="414" t="e">
        <f>IF(CO240=0,0,IF(AND(CK241&gt;charge_ELS_quasi,CL241&gt;Charge_ELS_freq,CM241&gt;charge_ELU,CN241&gt;charge_ELA,$B241&gt;NDC!$H$22-0.1+MIN(3*$CO$12,1.5)),0,1))</f>
        <v>#N/A</v>
      </c>
      <c r="CP241" s="86" t="b">
        <f t="shared" si="351"/>
        <v>0</v>
      </c>
      <c r="CQ241" s="86">
        <f t="shared" si="352"/>
        <v>0.5</v>
      </c>
      <c r="CR241" s="86">
        <f t="shared" si="353"/>
        <v>0.5</v>
      </c>
      <c r="CS241" s="30" t="e">
        <f t="shared" ca="1" si="384"/>
        <v>#DIV/0!</v>
      </c>
      <c r="CT241" s="85" t="e">
        <f ca="1">IF(BZ241&lt;=Hypothèses!$V$7,Hypothèses!$W$7,IF(BZ241&lt;=Hypothèses!$V$8,Hypothèses!$W$8,IF(BZ241&lt;=Hypothèses!$V$9,Hypothèses!$W$9,IF(BZ241&lt;=Hypothèses!$V$10,Hypothèses!$W$10,IF(BZ241&lt;=Hypothèses!$V$11,Hypothèses!$W$11,IF(BZ241&lt;=Hypothèses!$V$12,Hypothèses!$W$12,IF(BZ241&lt;=Hypothèses!$V$13,Hypothèses!$W$13,IF(BZ241&lt;=Hypothèses!$V$14,Hypothèses!$W$14,IF(BZ241&lt;=Hypothèses!$V$15,Hypothèses!$W$15,IF(BZ241&lt;=Hypothèses!$V$16,Hypothèses!$W$16,IF(BZ241&lt;=Hypothèses!$V$17,Hypothèses!$W$17,IF(BZ241&lt;=Hypothèses!$V$18,Hypothèses!$W$18,""))))))))))))</f>
        <v>#DIV/0!</v>
      </c>
      <c r="CU241" s="87" t="e">
        <f t="shared" ca="1" si="420"/>
        <v>#DIV/0!</v>
      </c>
      <c r="CV241" s="88" t="e">
        <f ca="1">IF(BZ241&lt;=Hypothèses!$V$7,Hypothèses!$X$7,IF(BZ241&lt;=Hypothèses!$V$8,Hypothèses!$X$8,IF(BZ241&lt;=Hypothèses!$V$9,Hypothèses!$X$9,IF(BZ241&lt;=Hypothèses!$V$10,Hypothèses!$X$10,IF(BZ241&lt;=Hypothèses!$V$11,Hypothèses!$X$11,IF(BZ241&lt;=Hypothèses!$V$12,Hypothèses!$X$12,IF(BZ241&lt;=Hypothèses!$V$13,Hypothèses!$X$13,IF(BZ241&lt;=Hypothèses!$V$14,Hypothèses!$X$14,IF(BZ241&lt;=Hypothèses!$V$15,Hypothèses!$X$15,IF(BZ241&lt;=Hypothèses!$V$16,Hypothèses!$X$16,IF(BZ241&lt;=Hypothèses!$U$17,Hypothèses!$W$17,IF(BZ241&lt;=Hypothèses!$U$18,Hypothèses!$W$18,""))))))))))))</f>
        <v>#DIV/0!</v>
      </c>
      <c r="CW241" s="95" t="e">
        <f t="shared" ca="1" si="385"/>
        <v>#DIV/0!</v>
      </c>
      <c r="CX241" s="101" t="e">
        <f t="shared" si="427"/>
        <v>#N/A</v>
      </c>
      <c r="CY241" s="91" t="e">
        <f t="shared" si="354"/>
        <v>#N/A</v>
      </c>
      <c r="CZ241" s="30" t="e">
        <f t="shared" si="408"/>
        <v>#N/A</v>
      </c>
      <c r="DA241" s="30" t="e">
        <f t="shared" si="409"/>
        <v>#N/A</v>
      </c>
      <c r="DB241" s="31" t="e">
        <f>IF(OR(Hypothèses!$B$4=17,Hypothèses!$B$4=18,Hypothèses!$B$4=19,Hypothèses!$B$4=20),
IF($D241="Pressio.",
IF(OR($E241=3,$E241=1,$E241=4),DA241,CZ241),
IF($D241="Pénétro.",
IF(OR($E241=3,$E241=1,$E241=4),DA241,CZ241))),IF($D241="Pressio.",
IF($E241=3,DA241,CZ241),
IF($D241="Pénétro.",
IF($E241=4,DA241,CZ241))))</f>
        <v>#N/A</v>
      </c>
      <c r="DC241" s="31" t="e">
        <f>(IF(OR(Hypothèses!$B$4=17,Hypothèses!$B$4=18,Hypothèses!$B$4=19,Hypothèses!$B$4=20),
IF($D241="Pressio.",
IF(OR($E241=3,$E241=1,$E241=4),(PI()*DC$12^2)/4*(CY241*$W241*1000)/($H241*$B$5),(PI()*DC$12^2)/4*(CY241*$W241*1000)/($G241*$B$5)),
IF($D241="Pénétro.",
IF(OR($E241=4,$E241=1,$E241=5),(PI()*DC$12^2)/4*(CY241*$W241*1000)/($H241*$B$5),(PI()*DC$12^2)/4*(CY241*$W241*1000)/($G241*$B$5)))),
IF($D241="Pressio.",
IF($E241=3,(PI()*DC$12^2)/4*(CY241*$W241*1000)/($H241*$B$5),(PI()*DC$12^2)/4*(CY241*$W241*1000)/($G241*$B$5)),
IF($D241="Pénétro.",
IF($E241=4,(PI()*DC$12^2)/4*(CY241*$W241*1000)/($H241*$B$5),(PI()*DC$12^2)/4*(CY241*$W241*1000)/($G241*$B$5))))))/10</f>
        <v>#N/A</v>
      </c>
      <c r="DD241" s="102" t="e">
        <f>(VLOOKUP($B$3,'Coeff EC7'!$T$39:$X$59,2,0)*DB241+VLOOKUP($B$3,'Coeff EC7'!$T$65:$X$85,2,0)*Model0.1C!DC241)/1.1</f>
        <v>#N/A</v>
      </c>
      <c r="DE241" s="102" t="e">
        <f>(VLOOKUP($B$3,'Coeff EC7'!$T$39:$X$59,3,0)*DB241+VLOOKUP($B$3,'Coeff EC7'!$T$65:$X$85,3,0)*Model0.1C!DC241)/0.9</f>
        <v>#N/A</v>
      </c>
      <c r="DF241" s="102" t="e">
        <f t="shared" si="386"/>
        <v>#N/A</v>
      </c>
      <c r="DG241" s="102" t="e">
        <f t="shared" si="387"/>
        <v>#N/A</v>
      </c>
      <c r="DH241" s="414" t="e">
        <f>IF(DH240=0,0,IF(AND(DD241&gt;charge_ELS_quasi,DE241&gt;Charge_ELS_freq,DF241&gt;charge_ELU,DG241&gt;charge_ELA,$B241&gt;NDC!$H$22-0.1+MIN(3*$DH$12,1.5)),0,1))</f>
        <v>#N/A</v>
      </c>
      <c r="DI241" s="86" t="b">
        <f t="shared" si="355"/>
        <v>0</v>
      </c>
      <c r="DJ241" s="86">
        <f t="shared" si="356"/>
        <v>0.5</v>
      </c>
      <c r="DK241" s="86">
        <f t="shared" si="357"/>
        <v>0.5</v>
      </c>
      <c r="DL241" s="30" t="e">
        <f t="shared" ca="1" si="388"/>
        <v>#DIV/0!</v>
      </c>
      <c r="DM241" s="85" t="e">
        <f ca="1">IF(CS241&lt;=Hypothèses!$V$7,Hypothèses!$W$7,IF(CS241&lt;=Hypothèses!$V$8,Hypothèses!$W$8,IF(CS241&lt;=Hypothèses!$V$9,Hypothèses!$W$9,IF(CS241&lt;=Hypothèses!$V$10,Hypothèses!$W$10,IF(CS241&lt;=Hypothèses!$V$11,Hypothèses!$W$11,IF(CS241&lt;=Hypothèses!$V$12,Hypothèses!$W$12,IF(CS241&lt;=Hypothèses!$V$13,Hypothèses!$W$13,IF(CS241&lt;=Hypothèses!$V$14,Hypothèses!$W$14,IF(CS241&lt;=Hypothèses!$V$15,Hypothèses!$W$15,IF(CS241&lt;=Hypothèses!$V$16,Hypothèses!$W$16,IF(CS241&lt;=Hypothèses!$V$17,Hypothèses!$W$17,IF(CS241&lt;=Hypothèses!$V$18,Hypothèses!$W$18,""))))))))))))</f>
        <v>#DIV/0!</v>
      </c>
      <c r="DN241" s="87" t="e">
        <f t="shared" ca="1" si="421"/>
        <v>#DIV/0!</v>
      </c>
      <c r="DO241" s="88" t="e">
        <f ca="1">IF(CS241&lt;=Hypothèses!$V$7,Hypothèses!$X$7,IF(CS241&lt;=Hypothèses!$V$8,Hypothèses!$X$8,IF(CS241&lt;=Hypothèses!$V$9,Hypothèses!$X$9,IF(CS241&lt;=Hypothèses!$V$10,Hypothèses!$X$10,IF(CS241&lt;=Hypothèses!$V$11,Hypothèses!$X$11,IF(CS241&lt;=Hypothèses!$V$12,Hypothèses!$X$12,IF(CS241&lt;=Hypothèses!$V$13,Hypothèses!$X$13,IF(CS241&lt;=Hypothèses!$V$14,Hypothèses!$X$14,IF(CS241&lt;=Hypothèses!$V$15,Hypothèses!$X$15,IF(CS241&lt;=Hypothèses!$V$16,Hypothèses!$X$16,IF(CS241&lt;=Hypothèses!$U$17,Hypothèses!$W$17,IF(CS241&lt;=Hypothèses!$U$18,Hypothèses!$W$18,""))))))))))))</f>
        <v>#DIV/0!</v>
      </c>
      <c r="DP241" s="95" t="e">
        <f t="shared" ca="1" si="389"/>
        <v>#DIV/0!</v>
      </c>
      <c r="DQ241" s="101" t="e">
        <f t="shared" si="428"/>
        <v>#N/A</v>
      </c>
      <c r="DR241" s="91" t="e">
        <f t="shared" si="358"/>
        <v>#N/A</v>
      </c>
      <c r="DS241" s="30" t="e">
        <f t="shared" si="410"/>
        <v>#N/A</v>
      </c>
      <c r="DT241" s="30" t="e">
        <f t="shared" si="411"/>
        <v>#N/A</v>
      </c>
      <c r="DU241" s="31" t="e">
        <f>IF(OR(Hypothèses!$B$4=17,Hypothèses!$B$4=18,Hypothèses!$B$4=19,Hypothèses!$B$4=20),
IF($D241="Pressio.",
IF(OR($E241=3,$E241=1,$E241=4),DT241,DS241),
IF($D241="Pénétro.",
IF(OR($E241=3,$E241=1,$E241=4),DT241,DS241))),IF($D241="Pressio.",
IF($E241=3,DT241,DS241),
IF($D241="Pénétro.",
IF($E241=4,DT241,DS241))))</f>
        <v>#N/A</v>
      </c>
      <c r="DV241" s="31" t="e">
        <f>(IF(OR(Hypothèses!$B$4=17,Hypothèses!$B$4=18,Hypothèses!$B$4=19,Hypothèses!$B$4=20),
IF($D241="Pressio.",
IF(OR($E241=3,$E241=1,$E241=4),(PI()*DV$12^2)/4*(DR241*$W241*1000)/($H241*$B$5),(PI()*DV$12^2)/4*(DR241*$W241*1000)/($G241*$B$5)),
IF($D241="Pénétro.",
IF(OR($E241=4,$E241=1,$E241=5),(PI()*DV$12^2)/4*(DR241*$W241*1000)/($H241*$B$5),(PI()*DV$12^2)/4*(DR241*$W241*1000)/($G241*$B$5)))),
IF($D241="Pressio.",
IF($E241=3,(PI()*DV$12^2)/4*(DR241*$W241*1000)/($H241*$B$5),(PI()*DV$12^2)/4*(DR241*$W241*1000)/($G241*$B$5)),
IF($D241="Pénétro.",
IF($E241=4,(PI()*DV$12^2)/4*(DR241*$W241*1000)/($H241*$B$5),(PI()*DV$12^2)/4*(DR241*$W241*1000)/($G241*$B$5))))))/10</f>
        <v>#N/A</v>
      </c>
      <c r="DW241" s="102" t="e">
        <f>(VLOOKUP($B$3,'Coeff EC7'!$T$39:$X$59,2,0)*DU241+VLOOKUP($B$3,'Coeff EC7'!$T$65:$X$85,2,0)*Model0.1C!DV241)/1.1</f>
        <v>#N/A</v>
      </c>
      <c r="DX241" s="102" t="e">
        <f>(VLOOKUP($B$3,'Coeff EC7'!$T$39:$X$59,3,0)*DU241+VLOOKUP($B$3,'Coeff EC7'!$T$65:$X$85,3,0)*Model0.1C!DV241)/0.9</f>
        <v>#N/A</v>
      </c>
      <c r="DY241" s="102" t="e">
        <f t="shared" si="390"/>
        <v>#N/A</v>
      </c>
      <c r="DZ241" s="102" t="e">
        <f t="shared" si="391"/>
        <v>#N/A</v>
      </c>
      <c r="EA241" s="414" t="e">
        <f>IF(EA240=0,0,IF(AND(DW241&gt;charge_ELS_quasi,DX241&gt;Charge_ELS_freq,DY241&gt;charge_ELU,DZ241&gt;charge_ELA,$B241&gt;NDC!$H$22-0.1+MIN(3*$EA$12,1.5)),0,1))</f>
        <v>#N/A</v>
      </c>
      <c r="EB241" s="86" t="b">
        <f t="shared" si="359"/>
        <v>0</v>
      </c>
      <c r="EC241" s="418">
        <f t="shared" si="360"/>
        <v>0.51</v>
      </c>
      <c r="ED241" s="86">
        <f t="shared" si="361"/>
        <v>0.51</v>
      </c>
      <c r="EE241" s="30" t="e">
        <f t="shared" ca="1" si="392"/>
        <v>#DIV/0!</v>
      </c>
      <c r="EF241" s="85" t="e">
        <f ca="1">IF(DL241&lt;=Hypothèses!$V$7,Hypothèses!$W$7,IF(DL241&lt;=Hypothèses!$V$8,Hypothèses!$W$8,IF(DL241&lt;=Hypothèses!$V$9,Hypothèses!$W$9,IF(DL241&lt;=Hypothèses!$V$10,Hypothèses!$W$10,IF(DL241&lt;=Hypothèses!$V$11,Hypothèses!$W$11,IF(DL241&lt;=Hypothèses!$V$12,Hypothèses!$W$12,IF(DL241&lt;=Hypothèses!$V$13,Hypothèses!$W$13,IF(DL241&lt;=Hypothèses!$V$14,Hypothèses!$W$14,IF(DL241&lt;=Hypothèses!$V$15,Hypothèses!$W$15,IF(DL241&lt;=Hypothèses!$V$16,Hypothèses!$W$16,IF(DL241&lt;=Hypothèses!$V$17,Hypothèses!$W$17,IF(DL241&lt;=Hypothèses!$V$18,Hypothèses!$W$18,""))))))))))))</f>
        <v>#DIV/0!</v>
      </c>
      <c r="EG241" s="87" t="e">
        <f t="shared" ca="1" si="422"/>
        <v>#DIV/0!</v>
      </c>
      <c r="EH241" s="88" t="e">
        <f ca="1">IF(DL241&lt;=Hypothèses!$V$7,Hypothèses!$X$7,IF(DL241&lt;=Hypothèses!$V$8,Hypothèses!$X$8,IF(DL241&lt;=Hypothèses!$V$9,Hypothèses!$X$9,IF(DL241&lt;=Hypothèses!$V$10,Hypothèses!$X$10,IF(DL241&lt;=Hypothèses!$V$11,Hypothèses!$X$11,IF(DL241&lt;=Hypothèses!$V$12,Hypothèses!$X$12,IF(DL241&lt;=Hypothèses!$V$13,Hypothèses!$X$13,IF(DL241&lt;=Hypothèses!$V$14,Hypothèses!$X$14,IF(DL241&lt;=Hypothèses!$V$15,Hypothèses!$X$15,IF(DL241&lt;=Hypothèses!$V$16,Hypothèses!$X$16,IF(DL241&lt;=Hypothèses!$U$17,Hypothèses!$W$17,IF(DL241&lt;=Hypothèses!$U$18,Hypothèses!$W$18,""))))))))))))</f>
        <v>#DIV/0!</v>
      </c>
      <c r="EI241" s="95" t="e">
        <f t="shared" ca="1" si="393"/>
        <v>#DIV/0!</v>
      </c>
      <c r="EJ241" s="101" t="e">
        <f t="shared" si="429"/>
        <v>#N/A</v>
      </c>
      <c r="EK241" s="91" t="e">
        <f t="shared" si="362"/>
        <v>#N/A</v>
      </c>
      <c r="EL241" s="30" t="e">
        <f t="shared" si="412"/>
        <v>#N/A</v>
      </c>
      <c r="EM241" s="30" t="e">
        <f t="shared" si="413"/>
        <v>#N/A</v>
      </c>
      <c r="EN241" s="31" t="e">
        <f>IF(OR(Hypothèses!$B$4=17,Hypothèses!$B$4=18,Hypothèses!$B$4=19,Hypothèses!$B$4=20),
IF($D241="Pressio.",
IF(OR($E241=3,$E241=1,$E241=4),EM241,EL241),
IF($D241="Pénétro.",
IF(OR($E241=3,$E241=1,$E241=4),EM241,EL241))),IF($D241="Pressio.",
IF($E241=3,EM241,EL241),
IF($D241="Pénétro.",
IF($E241=4,EM241,EL241))))</f>
        <v>#N/A</v>
      </c>
      <c r="EO241" s="31" t="e">
        <f>(IF(OR(Hypothèses!$B$4=17,Hypothèses!$B$4=18,Hypothèses!$B$4=19,Hypothèses!$B$4=20),
IF($D241="Pressio.",
IF(OR($E241=3,$E241=1,$E241=4),(PI()*EO$12^2)/4*(EK241*$W241*1000)/($H241*$B$5),(PI()*EO$12^2)/4*(EK241*$W241*1000)/($G241*$B$5)),
IF($D241="Pénétro.",
IF(OR($E241=4,$E241=1,$E241=5),(PI()*EO$12^2)/4*(EK241*$W241*1000)/($H241*$B$5),(PI()*EO$12^2)/4*(EK241*$W241*1000)/($G241*$B$5)))),
IF($D241="Pressio.",
IF($E241=3,(PI()*EO$12^2)/4*(EK241*$W241*1000)/($H241*$B$5),(PI()*EO$12^2)/4*(EK241*$W241*1000)/($G241*$B$5)),
IF($D241="Pénétro.",
IF($E241=4,(PI()*EO$12^2)/4*(EK241*$W241*1000)/($H241*$B$5),(PI()*EO$12^2)/4*(EK241*$W241*1000)/($G241*$B$5))))))/10</f>
        <v>#N/A</v>
      </c>
      <c r="EP241" s="102" t="e">
        <f>(VLOOKUP($B$3,'Coeff EC7'!$T$39:$X$59,2,0)*EN241+VLOOKUP($B$3,'Coeff EC7'!$T$65:$X$85,2,0)*Model0.1C!EO241)/1.1</f>
        <v>#N/A</v>
      </c>
      <c r="EQ241" s="102" t="e">
        <f>(VLOOKUP($B$3,'Coeff EC7'!$T$39:$X$59,3,0)*EN241+VLOOKUP($B$3,'Coeff EC7'!$T$65:$X$85,3,0)*Model0.1C!EO241)/0.9</f>
        <v>#N/A</v>
      </c>
      <c r="ER241" s="102" t="e">
        <f t="shared" si="394"/>
        <v>#N/A</v>
      </c>
      <c r="ES241" s="102" t="e">
        <f t="shared" si="395"/>
        <v>#N/A</v>
      </c>
      <c r="ET241" s="414" t="e">
        <f>IF(ET240=0,0,IF(AND(EP241&gt;charge_ELS_quasi,EQ241&gt;Charge_ELS_freq,ER241&gt;charge_ELU,ES241&gt;charge_ELA,$B241&gt;NDC!$H$22-0.1+MIN(3*$ET$12,1.5)),0,1))</f>
        <v>#N/A</v>
      </c>
      <c r="EU241" s="86" t="b">
        <f t="shared" si="363"/>
        <v>0</v>
      </c>
      <c r="EV241" s="86">
        <f t="shared" si="364"/>
        <v>0.61</v>
      </c>
      <c r="EW241" s="86">
        <f t="shared" si="365"/>
        <v>0.61</v>
      </c>
      <c r="EX241" s="30" t="e">
        <f t="shared" ca="1" si="396"/>
        <v>#DIV/0!</v>
      </c>
      <c r="EY241" s="85" t="e">
        <f ca="1">IF(EE241&lt;=Hypothèses!$V$7,Hypothèses!$W$7,IF(EE241&lt;=Hypothèses!$V$8,Hypothèses!$W$8,IF(EE241&lt;=Hypothèses!$V$9,Hypothèses!$W$9,IF(EE241&lt;=Hypothèses!$V$10,Hypothèses!$W$10,IF(EE241&lt;=Hypothèses!$V$11,Hypothèses!$W$11,IF(EE241&lt;=Hypothèses!$V$12,Hypothèses!$W$12,IF(EE241&lt;=Hypothèses!$V$13,Hypothèses!$W$13,IF(EE241&lt;=Hypothèses!$V$14,Hypothèses!$W$14,IF(EE241&lt;=Hypothèses!$V$15,Hypothèses!$W$15,IF(EE241&lt;=Hypothèses!$V$16,Hypothèses!$W$16,IF(EE241&lt;=Hypothèses!$V$17,Hypothèses!$W$17,IF(EE241&lt;=Hypothèses!$V$18,Hypothèses!$W$18,""))))))))))))</f>
        <v>#DIV/0!</v>
      </c>
      <c r="EZ241" s="87" t="e">
        <f t="shared" ca="1" si="423"/>
        <v>#DIV/0!</v>
      </c>
      <c r="FA241" s="88" t="e">
        <f ca="1">IF(EE241&lt;=Hypothèses!$V$7,Hypothèses!$X$7,IF(EE241&lt;=Hypothèses!$V$8,Hypothèses!$X$8,IF(EE241&lt;=Hypothèses!$V$9,Hypothèses!$X$9,IF(EE241&lt;=Hypothèses!$V$10,Hypothèses!$X$10,IF(EE241&lt;=Hypothèses!$V$11,Hypothèses!$X$11,IF(EE241&lt;=Hypothèses!$V$12,Hypothèses!$X$12,IF(EE241&lt;=Hypothèses!$V$13,Hypothèses!$X$13,IF(EE241&lt;=Hypothèses!$V$14,Hypothèses!$X$14,IF(EE241&lt;=Hypothèses!$V$15,Hypothèses!$X$15,IF(EE241&lt;=Hypothèses!$V$16,Hypothèses!$X$16,IF(EE241&lt;=Hypothèses!$U$17,Hypothèses!$W$17,IF(EE241&lt;=Hypothèses!$U$18,Hypothèses!$W$18,""))))))))))))</f>
        <v>#DIV/0!</v>
      </c>
      <c r="FB241" s="95" t="e">
        <f t="shared" ca="1" si="397"/>
        <v>#DIV/0!</v>
      </c>
      <c r="FC241" s="101" t="e">
        <f t="shared" si="430"/>
        <v>#N/A</v>
      </c>
      <c r="FD241" s="91" t="e">
        <f t="shared" si="366"/>
        <v>#N/A</v>
      </c>
      <c r="FE241" s="30" t="e">
        <f t="shared" si="414"/>
        <v>#N/A</v>
      </c>
      <c r="FF241" s="30" t="e">
        <f t="shared" si="415"/>
        <v>#N/A</v>
      </c>
      <c r="FG241" s="31" t="e">
        <f>IF(OR(Hypothèses!$B$4=17,Hypothèses!$B$4=18,Hypothèses!$B$4=19,Hypothèses!$B$4=20),
IF($D241="Pressio.",
IF(OR($E241=3,$E241=1,$E241=4),FF241,FE241),
IF($D241="Pénétro.",
IF(OR($E241=3,$E241=1,$E241=4),FF241,FE241))),IF($D241="Pressio.",
IF($E241=3,FF241,FE241),
IF($D241="Pénétro.",
IF($E241=4,FF241,FE241))))</f>
        <v>#N/A</v>
      </c>
      <c r="FH241" s="31" t="e">
        <f>(IF(OR(Hypothèses!$B$4=17,Hypothèses!$B$4=18,Hypothèses!$B$4=19,Hypothèses!$B$4=20),
IF($D241="Pressio.",
IF(OR($E241=3,$E241=1,$E241=4),(PI()*FH$12^2)/4*(FD241*$W241*1000)/($H241*$B$5),(PI()*FH$12^2)/4*(FD241*$W241*1000)/($G241*$B$5)),
IF($D241="Pénétro.",
IF(OR($E241=4,$E241=1,$E241=5),(PI()*FH$12^2)/4*(FD241*$W241*1000)/($H241*$B$5),(PI()*FH$12^2)/4*(FD241*$W241*1000)/($G241*$B$5)))),
IF($D241="Pressio.",
IF($E241=3,(PI()*FH$12^2)/4*(FD241*$W241*1000)/($H241*$B$5),(PI()*FH$12^2)/4*(FD241*$W241*1000)/($G241*$B$5)),
IF($D241="Pénétro.",
IF($E241=4,(PI()*FH$12^2)/4*(FD241*$W241*1000)/($H241*$B$5),(PI()*FH$12^2)/4*(FD241*$W241*1000)/($G241*$B$5))))))/10</f>
        <v>#N/A</v>
      </c>
      <c r="FI241" s="102" t="e">
        <f>(VLOOKUP($B$3,'Coeff EC7'!$T$39:$X$59,2,0)*FG241+VLOOKUP($B$3,'Coeff EC7'!$T$65:$X$85,2,0)*Model0.1C!FH241)/1.1</f>
        <v>#N/A</v>
      </c>
      <c r="FJ241" s="102" t="e">
        <f>(VLOOKUP($B$3,'Coeff EC7'!$T$39:$X$59,3,0)*FG241+VLOOKUP($B$3,'Coeff EC7'!$T$65:$X$85,3,0)*Model0.1C!FH241)/0.9</f>
        <v>#N/A</v>
      </c>
      <c r="FK241" s="102" t="e">
        <f t="shared" si="398"/>
        <v>#N/A</v>
      </c>
      <c r="FL241" s="102" t="e">
        <f t="shared" si="399"/>
        <v>#N/A</v>
      </c>
      <c r="FM241" s="414" t="e">
        <f>IF(FM240=0,0,IF(AND(FI241&gt;charge_ELS_quasi,FJ241&gt;Charge_ELS_freq,FK241&gt;charge_ELU,FL241&gt;charge_ELA,$B241&gt;NDC!$H$22-0.1+MIN(3*$FM$12,1.5)),0,1))</f>
        <v>#N/A</v>
      </c>
    </row>
    <row r="242" spans="1:169">
      <c r="A242" s="96">
        <f t="shared" si="367"/>
        <v>77.100000000001302</v>
      </c>
      <c r="B242" s="97">
        <v>22.9</v>
      </c>
      <c r="C242" s="81">
        <f>IF(B242&lt;=Hypothèses!$C$7,Hypothèses!$A$7,IF(B242&lt;=Hypothèses!$C$8,Hypothèses!$A$8,IF(B242&lt;=Hypothèses!$C$9,Hypothèses!$A$9,IF(B242&lt;=Hypothèses!$C$10,Hypothèses!$A$10,IF(B242&lt;=Hypothèses!$C$11,Hypothèses!$A$11,IF(B242&lt;=Hypothèses!$C$12,Hypothèses!$A$12,IF(B242&lt;=Hypothèses!$C$13,Hypothèses!$A$13,IF(B242&lt;=Hypothèses!$C$14,Hypothèses!$A$14,IF(B242&lt;=Hypothèses!$C$15,Hypothèses!$A$15,IF(B242&lt;=Hypothèses!$C$16,Hypothèses!$A$16,IF(B242&lt;=Hypothèses!$C$17,Hypothèses!$A$17,IF(B242&lt;=Hypothèses!$C$18,Hypothèses!$A$18,C241))))))))))))</f>
        <v>11</v>
      </c>
      <c r="D242" s="82" t="str">
        <f>IF(B242&lt;=Hypothèses!$C$7,Hypothèses!$R$7,IF(B242&lt;=Hypothèses!$C$8,Hypothèses!$R$8,IF(B242&lt;=Hypothèses!$C$9,Hypothèses!$R$9,IF(B242&lt;=Hypothèses!$C$10,Hypothèses!$R$10,IF(B242&lt;=Hypothèses!$C$11,Hypothèses!$R$11,IF(B242&lt;=Hypothèses!$C$12,Hypothèses!$R$12,IF(B242&lt;=Hypothèses!$C$13,Hypothèses!$R$13,IF(B242&lt;=Hypothèses!$C$14,Hypothèses!$R$14,IF(B242&lt;=Hypothèses!$C$15,Hypothèses!$R$15,IF(B242&lt;=Hypothèses!$C$16,Hypothèses!$R$16,IF(B242&lt;=Hypothèses!$C$17,Hypothèses!$R$17,IF(B242&lt;=Hypothèses!$C$18,Hypothèses!$R$18,D241))))))))))))</f>
        <v>Pressio.</v>
      </c>
      <c r="E242" s="82" t="e">
        <f>IF(B242&lt;=Hypothèses!$C$7,Hypothèses!$G$7,IF(B242&lt;=Hypothèses!$C$8,Hypothèses!$G$8,IF(B242&lt;=Hypothèses!$C$9,Hypothèses!$G$9,IF(B242&lt;=Hypothèses!$C$10,Hypothèses!$G$10,IF(B242&lt;=Hypothèses!$C$11,Hypothèses!$G$11,IF(B242&lt;=Hypothèses!$C$12,Hypothèses!$G$12,IF(B242&lt;=Hypothèses!$C$13,Hypothèses!$G$13,IF(B242&lt;=Hypothèses!$C$14,Hypothèses!$G$14,IF(B242&lt;=Hypothèses!$C$15,Hypothèses!$G$15,IF(B242&lt;=Hypothèses!$C$16,Hypothèses!$G$16,IF(B242&lt;=Hypothèses!$C$17,Hypothèses!$G$17,IF(B242&lt;=Hypothèses!$C$18,Hypothèses!$G$18,E241))))))))))))</f>
        <v>#N/A</v>
      </c>
      <c r="F242" s="82" t="str">
        <f>IF(B242&lt;=Hypothèses!$C$7,Hypothèses!$F$7,IF(B242&lt;=Hypothèses!$C$8,Hypothèses!$F$8,IF(B242&lt;=Hypothèses!$C$9,Hypothèses!$F$9,IF(B242&lt;=Hypothèses!$C$10,Hypothèses!$F$10,IF(B242&lt;=Hypothèses!$C$11,Hypothèses!$F$11,IF(B242&lt;=Hypothèses!$C$12,Hypothèses!$F$12,IF(B242&lt;=Hypothèses!$C$13,Hypothèses!$F$13,IF(B242&lt;=Hypothèses!$C$14,Hypothèses!$F$14,IF(B242&lt;=Hypothèses!$C$15,Hypothèses!$F$15,IF(B242&lt;=Hypothèses!$C$16,Hypothèses!$F$16,IF(B242&lt;=Hypothèses!$C$17,Hypothèses!$F$17,IF(B242&lt;=Hypothèses!$C$18,Hypothèses!$F$18,F241))))))))))))</f>
        <v/>
      </c>
      <c r="G242" s="91">
        <f t="array" ref="G242">INDEX('Coeff EC7'!$U$7:$X$27,
MATCH(Model0.1C!$B$3,'Coeff EC7'!$T$7:$T$27,0),
MATCH(Model0.1C!$D242&amp;Model0.1C!$B$4,
'Coeff EC7'!$U$6:$X$6&amp;
'Coeff EC7'!$U$5:$X$5,0))</f>
        <v>1.1499999999999999</v>
      </c>
      <c r="H242" s="91">
        <f t="array" ref="H242">INDEX('Coeff EC7'!$Y$7:$AB$27,
MATCH(Model0.1C!$B$3,'Coeff EC7'!$T$7:$T$27,0),
MATCH(Model0.1C!$D242&amp;Model0.1C!$B$4,
'Coeff EC7'!$Y$6:$AB$6&amp;
'Coeff EC7'!$Y$5:$AB$5,0))</f>
        <v>1.4</v>
      </c>
      <c r="I242" s="83" t="e">
        <f>IF(B242&lt;=Hypothèses!$C$7,Hypothèses!$P$7,IF(B242&lt;=Hypothèses!$C$8,Hypothèses!$P$8,IF(B242&lt;=Hypothèses!$C$9,Hypothèses!$P$9,IF(B242&lt;=Hypothèses!$C$10,Hypothèses!$P$10,IF(B242&lt;=Hypothèses!$C$11,Hypothèses!$P$11,IF(B242&lt;=Hypothèses!$C$12,Hypothèses!$P$12,IF(B242&lt;=Hypothèses!$C$13,Hypothèses!$P$13,IF(B242&lt;=Hypothèses!$C$14,Hypothèses!$P$14,IF(B242&lt;=Hypothèses!$C$15,Hypothèses!$P$15,IF(B242&lt;=Hypothèses!$C$16,Hypothèses!$P$16,IF(B242&lt;=Hypothèses!$C$17,Hypothèses!$P$17,IF(B242&lt;=Hypothèses!$C$18,Hypothèses!$P$18,I241))))))))))))</f>
        <v>#N/A</v>
      </c>
      <c r="J242" s="91" t="e">
        <f t="array" ref="J242">INDEX('Coeff EC7'!$D$33:$Q$33,1,MATCH(D242&amp;E242,'Coeff EC7'!$D$31:$Q$31&amp;'Coeff EC7'!$D$32:$Q$32,0))</f>
        <v>#N/A</v>
      </c>
      <c r="K242" s="91" t="e">
        <f t="array" ref="K242">INDEX('Coeff EC7'!$D$34:$Q$34,1,MATCH(D242&amp;E242,'Coeff EC7'!$D$31:$Q$31&amp;'Coeff EC7'!$D$32:$Q$32,0))</f>
        <v>#N/A</v>
      </c>
      <c r="L242" s="91" t="e">
        <f t="array" ref="L242">INDEX('Coeff EC7'!$D$35:$Q$35,1,MATCH(D242&amp;E242,'Coeff EC7'!$D$31:$Q$31&amp;'Coeff EC7'!$D$32:$Q$32,0))</f>
        <v>#N/A</v>
      </c>
      <c r="M242" s="98" t="e">
        <f t="shared" si="331"/>
        <v>#N/A</v>
      </c>
      <c r="N242" s="99" t="e">
        <f t="array" ref="N242">INDEX('Coeff EC7'!$D$7:$Q$27,MATCH($B$3,'Coeff EC7'!$C$7:$C$27,0),MATCH(D242&amp;E242,'Coeff EC7'!$D$5:$Q$5&amp;'Coeff EC7'!$D$6:$Q$6,0))</f>
        <v>#N/A</v>
      </c>
      <c r="O242" s="99" t="e">
        <f t="array" ref="O242">INDEX('Coeff EC7'!$D$41:$Q$61,MATCH($B$3,'Coeff EC7'!$C$41:$C$61,0),MATCH(D242&amp;E242,'Coeff EC7'!$D$39:$Q$39&amp;'Coeff EC7'!$D$40:$Q$40,0))</f>
        <v>#N/A</v>
      </c>
      <c r="P242" s="30" t="e">
        <f t="shared" si="368"/>
        <v>#N/A</v>
      </c>
      <c r="Q242" s="100" t="e">
        <f t="shared" si="333"/>
        <v>#N/A</v>
      </c>
      <c r="R242" s="86" t="b">
        <f t="shared" si="334"/>
        <v>0</v>
      </c>
      <c r="S242" s="86">
        <f t="shared" si="332"/>
        <v>0.5</v>
      </c>
      <c r="T242" s="86">
        <f t="shared" si="335"/>
        <v>0.5</v>
      </c>
      <c r="U242" s="30" t="e">
        <f t="shared" ca="1" si="369"/>
        <v>#DIV/0!</v>
      </c>
      <c r="V242" s="85" t="str">
        <f>IF(B242&lt;=Hypothèses!$V$7,Hypothèses!$W$7,IF(B242&lt;=Hypothèses!$V$8,Hypothèses!$W$8,IF(B242&lt;=Hypothèses!$V$9,Hypothèses!$W$9,IF(B242&lt;=Hypothèses!$V$10,Hypothèses!$W$10,IF(B242&lt;=Hypothèses!$V$11,Hypothèses!$W$11,IF(B242&lt;=Hypothèses!$V$12,Hypothèses!$W$12,IF(B242&lt;=Hypothèses!$V$13,Hypothèses!$W$13,IF(B242&lt;=Hypothèses!$V$14,Hypothèses!$W$14,IF(B242&lt;=Hypothèses!$V$15,Hypothèses!$W$15,IF(B242&lt;=Hypothèses!$V$16,Hypothèses!$W$16,IF(B242&lt;=Hypothèses!$V$17,Hypothèses!$W$17,IF(B242&lt;=Hypothèses!$V$18,Hypothèses!$W$18,""))))))))))))</f>
        <v/>
      </c>
      <c r="W242" s="87" t="e">
        <f t="shared" ca="1" si="416"/>
        <v>#DIV/0!</v>
      </c>
      <c r="X242" s="88" t="str">
        <f>IF(B242&lt;=Hypothèses!$V$7,Hypothèses!$X$7,IF(B242&lt;=Hypothèses!$V$8,Hypothèses!$X$8,IF(B242&lt;=Hypothèses!$V$9,Hypothèses!$X$9,IF(B242&lt;=Hypothèses!$V$10,Hypothèses!$X$10,IF(B242&lt;=Hypothèses!$V$11,Hypothèses!$X$11,IF(B242&lt;=Hypothèses!$V$12,Hypothèses!$X$12,IF(B242&lt;=Hypothèses!$V$13,Hypothèses!$X$13,IF(B242&lt;=Hypothèses!$V$14,Hypothèses!$X$14,IF(B242&lt;=Hypothèses!$V$15,Hypothèses!$X$15,IF(B242&lt;=Hypothèses!$V$16,Hypothèses!$X$16,IF(B242&lt;=Hypothèses!$U$17,Hypothèses!$W$17,IF(B242&lt;=Hypothèses!$U$18,Hypothèses!$W$18,""))))))))))))</f>
        <v/>
      </c>
      <c r="Y242" s="95" t="e">
        <f t="shared" ca="1" si="336"/>
        <v>#DIV/0!</v>
      </c>
      <c r="Z242" s="101" t="e">
        <f t="shared" si="337"/>
        <v>#N/A</v>
      </c>
      <c r="AA242" s="91" t="e">
        <f t="shared" si="338"/>
        <v>#N/A</v>
      </c>
      <c r="AB242" s="30" t="e">
        <f t="shared" si="400"/>
        <v>#N/A</v>
      </c>
      <c r="AC242" s="30" t="e">
        <f t="shared" si="401"/>
        <v>#N/A</v>
      </c>
      <c r="AD242" s="31" t="e">
        <f>IF(OR(Hypothèses!$B$4=17,Hypothèses!$B$4=18,Hypothèses!$B$4=19,Hypothèses!$B$4=20),
IF($D242="Pressio.",
IF(OR($E242=3,$E242=1,$E242=4),AC242,AB242),
IF($D242="Pénétro.",
IF(OR($E242=3,$E242=1,$E242=4),AC242,AB242))),IF($D242="Pressio.",
IF($E242=3,AC242,AB242),
IF($D242="Pénétro.",
IF($E242=4,AC242,AB242))))</f>
        <v>#N/A</v>
      </c>
      <c r="AE242" s="31" t="e">
        <f>(IF(OR(Hypothèses!$B$4=17,Hypothèses!$B$4=18,Hypothèses!$B$4=19,Hypothèses!$B$4=20),
IF($D242="Pressio.",
IF(OR($E242=3,$E242=1,$E242=4),(PI()*AE$12^2)/4*(AA242*$W242*1000)/($H242*$B$5),(PI()*AE$12^2)/4*(AA242*$W242*1000)/($G242*$B$5)),
IF($D242="Pénétro.",
IF(OR($E242=4,$E242=1,$E242=5),(PI()*AE$12^2)/4*(AA242*$W242*1000)/($H242*$B$5),(PI()*AE$12^2)/4*(AA242*$W242*1000)/($G242*$B$5)))),
IF($D242="Pressio.",
IF($E242=3,(PI()*AE$12^2)/4*(AA242*$W242*1000)/($H242*$B$5),(PI()*AE$12^2)/4*(AA242*$W242*1000)/($G242*$B$5)),
IF($D242="Pénétro.",
IF($E242=4,(PI()*AE$12^2)/4*(AA242*$W242*1000)/($H242*$B$5),(PI()*AE$12^2)/4*(AA242*$W242*1000)/($G242*$B$5))))))/10</f>
        <v>#N/A</v>
      </c>
      <c r="AF242" s="102" t="e">
        <f>(VLOOKUP($B$3,'Coeff EC7'!$T$39:$X$59,2,0)*AD242+VLOOKUP($B$3,'Coeff EC7'!$T$65:$X$85,2,0)*Model0.1C!AE242)/1.1</f>
        <v>#N/A</v>
      </c>
      <c r="AG242" s="102" t="e">
        <f>(VLOOKUP($B$3,'Coeff EC7'!$T$39:$X$59,3,0)*AD242+VLOOKUP($B$3,'Coeff EC7'!$T$65:$X$85,3,0)*Model0.1C!AE242)/0.9</f>
        <v>#N/A</v>
      </c>
      <c r="AH242" s="102" t="e">
        <f t="shared" si="339"/>
        <v>#N/A</v>
      </c>
      <c r="AI242" s="102" t="e">
        <f t="shared" si="340"/>
        <v>#N/A</v>
      </c>
      <c r="AJ242" s="414" t="e">
        <f>IF(AJ241=0,0,IF(AND(AF242&gt;charge_ELS_quasi,AG242&gt;Charge_ELS_freq,AH242&gt;charge_ELU,AI242&gt;charge_ELA,$B242&gt;NDC!$H$22-0.1+MIN(3*$AJ$12,1.5)),0,1))</f>
        <v>#N/A</v>
      </c>
      <c r="AK242" s="86" t="b">
        <f t="shared" si="341"/>
        <v>0</v>
      </c>
      <c r="AL242" s="86">
        <f t="shared" si="370"/>
        <v>0.5</v>
      </c>
      <c r="AM242" s="86">
        <f t="shared" si="342"/>
        <v>0.5</v>
      </c>
      <c r="AN242" s="30" t="e">
        <f t="shared" ca="1" si="371"/>
        <v>#DIV/0!</v>
      </c>
      <c r="AO242" s="85" t="e">
        <f ca="1">IF(U242&lt;=Hypothèses!$V$7,Hypothèses!$W$7,IF(U242&lt;=Hypothèses!$V$8,Hypothèses!$W$8,IF(U242&lt;=Hypothèses!$V$9,Hypothèses!$W$9,IF(U242&lt;=Hypothèses!$V$10,Hypothèses!$W$10,IF(U242&lt;=Hypothèses!$V$11,Hypothèses!$W$11,IF(U242&lt;=Hypothèses!$V$12,Hypothèses!$W$12,IF(U242&lt;=Hypothèses!$V$13,Hypothèses!$W$13,IF(U242&lt;=Hypothèses!$V$14,Hypothèses!$W$14,IF(U242&lt;=Hypothèses!$V$15,Hypothèses!$W$15,IF(U242&lt;=Hypothèses!$V$16,Hypothèses!$W$16,IF(U242&lt;=Hypothèses!$V$17,Hypothèses!$W$17,IF(U242&lt;=Hypothèses!$V$18,Hypothèses!$W$18,""))))))))))))</f>
        <v>#DIV/0!</v>
      </c>
      <c r="AP242" s="87" t="e">
        <f t="shared" ca="1" si="417"/>
        <v>#DIV/0!</v>
      </c>
      <c r="AQ242" s="88" t="e">
        <f ca="1">IF(U242&lt;=Hypothèses!$V$7,Hypothèses!$X$7,IF(U242&lt;=Hypothèses!$V$8,Hypothèses!$X$8,IF(U242&lt;=Hypothèses!$V$9,Hypothèses!$X$9,IF(U242&lt;=Hypothèses!$V$10,Hypothèses!$X$10,IF(U242&lt;=Hypothèses!$V$11,Hypothèses!$X$11,IF(U242&lt;=Hypothèses!$V$12,Hypothèses!$X$12,IF(U242&lt;=Hypothèses!$V$13,Hypothèses!$X$13,IF(U242&lt;=Hypothèses!$V$14,Hypothèses!$X$14,IF(U242&lt;=Hypothèses!$V$15,Hypothèses!$X$15,IF(U242&lt;=Hypothèses!$V$16,Hypothèses!$X$16,IF(U242&lt;=Hypothèses!$U$17,Hypothèses!$W$17,IF(U242&lt;=Hypothèses!$U$18,Hypothèses!$W$18,""))))))))))))</f>
        <v>#DIV/0!</v>
      </c>
      <c r="AR242" s="95" t="e">
        <f t="shared" ca="1" si="372"/>
        <v>#DIV/0!</v>
      </c>
      <c r="AS242" s="101" t="e">
        <f t="shared" si="424"/>
        <v>#N/A</v>
      </c>
      <c r="AT242" s="91" t="e">
        <f t="shared" si="343"/>
        <v>#N/A</v>
      </c>
      <c r="AU242" s="30" t="e">
        <f t="shared" si="402"/>
        <v>#N/A</v>
      </c>
      <c r="AV242" s="30" t="e">
        <f t="shared" si="403"/>
        <v>#N/A</v>
      </c>
      <c r="AW242" s="31" t="e">
        <f>IF(OR(Hypothèses!$B$4=17,Hypothèses!$B$4=18,Hypothèses!$B$4=19,Hypothèses!$B$4=20),
IF($D242="Pressio.",
IF(OR($E242=3,$E242=1,$E242=4),AV242,AU242),
IF($D242="Pénétro.",
IF(OR($E242=3,$E242=1,$E242=4),AV242,AU242))),IF($D242="Pressio.",
IF($E242=3,AV242,AU242),
IF($D242="Pénétro.",
IF($E242=4,AV242,AU242))))</f>
        <v>#N/A</v>
      </c>
      <c r="AX242" s="31" t="e">
        <f>(IF(OR(Hypothèses!$B$4=17,Hypothèses!$B$4=18,Hypothèses!$B$4=19,Hypothèses!$B$4=20),
IF($D242="Pressio.",
IF(OR($E242=3,$E242=1,$E242=4),(PI()*AX$12^2)/4*(AT242*$W242*1000)/($H242*$B$5),(PI()*AX$12^2)/4*(AT242*$W242*1000)/($G242*$B$5)),
IF($D242="Pénétro.",
IF(OR($E242=4,$E242=1,$E242=5),(PI()*AX$12^2)/4*(AT242*$W242*1000)/($H242*$B$5),(PI()*AX$12^2)/4*(AT242*$W242*1000)/($G242*$B$5)))),
IF($D242="Pressio.",
IF($E242=3,(PI()*AX$12^2)/4*(AT242*$W242*1000)/($H242*$B$5),(PI()*AX$12^2)/4*(AT242*$W242*1000)/($G242*$B$5)),
IF($D242="Pénétro.",
IF($E242=4,(PI()*AX$12^2)/4*(AT242*$W242*1000)/($H242*$B$5),(PI()*AX$12^2)/4*(AT242*$W242*1000)/($G242*$B$5))))))/10</f>
        <v>#N/A</v>
      </c>
      <c r="AY242" s="102" t="e">
        <f>(VLOOKUP($B$3,'Coeff EC7'!$T$39:$X$59,2,0)*AW242+VLOOKUP($B$3,'Coeff EC7'!$T$65:$X$85,2,0)*Model0.1C!AX242)/1.1</f>
        <v>#N/A</v>
      </c>
      <c r="AZ242" s="102" t="e">
        <f>(VLOOKUP($B$3,'Coeff EC7'!$T$39:$X$59,3,0)*AW242+VLOOKUP($B$3,'Coeff EC7'!$T$65:$X$85,3,0)*Model0.1C!AX242)/0.9</f>
        <v>#N/A</v>
      </c>
      <c r="BA242" s="102" t="e">
        <f t="shared" si="373"/>
        <v>#N/A</v>
      </c>
      <c r="BB242" s="102" t="e">
        <f t="shared" si="374"/>
        <v>#N/A</v>
      </c>
      <c r="BC242" s="414" t="e">
        <f>IF(BC241=0,0,IF(AND(AY242&gt;charge_ELS_quasi,AZ242&gt;Charge_ELS_freq,BA242&gt;charge_ELU,BB242&gt;charge_ELA,$B242&gt;NDC!$H$22-0.1+MIN(3*$BC$12,1.5)),0,1))</f>
        <v>#N/A</v>
      </c>
      <c r="BD242" s="86" t="b">
        <f t="shared" si="344"/>
        <v>0</v>
      </c>
      <c r="BE242" s="86">
        <f t="shared" si="375"/>
        <v>0.5</v>
      </c>
      <c r="BF242" s="86">
        <f t="shared" si="345"/>
        <v>0.5</v>
      </c>
      <c r="BG242" s="30" t="e">
        <f t="shared" ca="1" si="376"/>
        <v>#DIV/0!</v>
      </c>
      <c r="BH242" s="85" t="e">
        <f ca="1">IF(AN242&lt;=Hypothèses!$V$7,Hypothèses!$W$7,IF(AN242&lt;=Hypothèses!$V$8,Hypothèses!$W$8,IF(AN242&lt;=Hypothèses!$V$9,Hypothèses!$W$9,IF(AN242&lt;=Hypothèses!$V$10,Hypothèses!$W$10,IF(AN242&lt;=Hypothèses!$V$11,Hypothèses!$W$11,IF(AN242&lt;=Hypothèses!$V$12,Hypothèses!$W$12,IF(AN242&lt;=Hypothèses!$V$13,Hypothèses!$W$13,IF(AN242&lt;=Hypothèses!$V$14,Hypothèses!$W$14,IF(AN242&lt;=Hypothèses!$V$15,Hypothèses!$W$15,IF(AN242&lt;=Hypothèses!$V$16,Hypothèses!$W$16,IF(AN242&lt;=Hypothèses!$V$17,Hypothèses!$W$17,IF(AN242&lt;=Hypothèses!$V$18,Hypothèses!$W$18,""))))))))))))</f>
        <v>#DIV/0!</v>
      </c>
      <c r="BI242" s="87" t="e">
        <f t="shared" ca="1" si="418"/>
        <v>#DIV/0!</v>
      </c>
      <c r="BJ242" s="88" t="e">
        <f ca="1">IF(AN242&lt;=Hypothèses!$V$7,Hypothèses!$X$7,IF(AN242&lt;=Hypothèses!$V$8,Hypothèses!$X$8,IF(AN242&lt;=Hypothèses!$V$9,Hypothèses!$X$9,IF(AN242&lt;=Hypothèses!$V$10,Hypothèses!$X$10,IF(AN242&lt;=Hypothèses!$V$11,Hypothèses!$X$11,IF(AN242&lt;=Hypothèses!$V$12,Hypothèses!$X$12,IF(AN242&lt;=Hypothèses!$V$13,Hypothèses!$X$13,IF(AN242&lt;=Hypothèses!$V$14,Hypothèses!$X$14,IF(AN242&lt;=Hypothèses!$V$15,Hypothèses!$X$15,IF(AN242&lt;=Hypothèses!$V$16,Hypothèses!$X$16,IF(AN242&lt;=Hypothèses!$U$17,Hypothèses!$W$17,IF(AN242&lt;=Hypothèses!$U$18,Hypothèses!$W$18,""))))))))))))</f>
        <v>#DIV/0!</v>
      </c>
      <c r="BK242" s="95" t="e">
        <f t="shared" ca="1" si="377"/>
        <v>#DIV/0!</v>
      </c>
      <c r="BL242" s="101" t="e">
        <f t="shared" si="425"/>
        <v>#N/A</v>
      </c>
      <c r="BM242" s="91" t="e">
        <f t="shared" si="346"/>
        <v>#N/A</v>
      </c>
      <c r="BN242" s="30" t="e">
        <f t="shared" si="404"/>
        <v>#N/A</v>
      </c>
      <c r="BO242" s="30" t="e">
        <f t="shared" si="405"/>
        <v>#N/A</v>
      </c>
      <c r="BP242" s="31" t="e">
        <f>IF(OR(Hypothèses!$B$4=17,Hypothèses!$B$4=18,Hypothèses!$B$4=19,Hypothèses!$B$4=20),
IF($D242="Pressio.",
IF(OR($E242=3,$E242=1,$E242=4),BO242,BN242),
IF($D242="Pénétro.",
IF(OR($E242=3,$E242=1,$E242=4),BO242,BN242))),IF($D242="Pressio.",
IF($E242=3,BO242,BN242),
IF($D242="Pénétro.",
IF($E242=4,BO242,BN242))))</f>
        <v>#N/A</v>
      </c>
      <c r="BQ242" s="31" t="e">
        <f>(IF(OR(Hypothèses!$B$4=17,Hypothèses!$B$4=18,Hypothèses!$B$4=19,Hypothèses!$B$4=20),
IF($D242="Pressio.",
IF(OR($E242=3,$E242=1,$E242=4),(PI()*BQ$12^2)/4*(BM242*$W242*1000)/($H242*$B$5),(PI()*BQ$12^2)/4*(BM242*$W242*1000)/($G242*$B$5)),
IF($D242="Pénétro.",
IF(OR($E242=4,$E242=1,$E242=5),(PI()*BQ$12^2)/4*(BM242*$W242*1000)/($H242*$B$5),(PI()*BQ$12^2)/4*(BM242*$W242*1000)/($G242*$B$5)))),
IF($D242="Pressio.",
IF($E242=3,(PI()*BQ$12^2)/4*(BM242*$W242*1000)/($H242*$B$5),(PI()*BQ$12^2)/4*(BM242*$W242*1000)/($G242*$B$5)),
IF($D242="Pénétro.",
IF($E242=4,(PI()*BQ$12^2)/4*(BM242*$W242*1000)/($H242*$B$5),(PI()*BQ$12^2)/4*(BM242*$W242*1000)/($G242*$B$5))))))/10</f>
        <v>#N/A</v>
      </c>
      <c r="BR242" s="102" t="e">
        <f>(VLOOKUP($B$3,'Coeff EC7'!$T$39:$X$59,2,0)*BP242+VLOOKUP($B$3,'Coeff EC7'!$T$65:$X$85,2,0)*Model0.1C!BQ242)/1.1</f>
        <v>#N/A</v>
      </c>
      <c r="BS242" s="102" t="e">
        <f>(VLOOKUP($B$3,'Coeff EC7'!$T$39:$X$59,3,0)*BP242+VLOOKUP($B$3,'Coeff EC7'!$T$65:$X$85,3,0)*Model0.1C!BQ242)/0.9</f>
        <v>#N/A</v>
      </c>
      <c r="BT242" s="102" t="e">
        <f t="shared" si="378"/>
        <v>#N/A</v>
      </c>
      <c r="BU242" s="102" t="e">
        <f t="shared" si="379"/>
        <v>#N/A</v>
      </c>
      <c r="BV242" s="414" t="e">
        <f>IF(BV241=0,0,IF(AND(BR242&gt;charge_ELS_quasi,BS242&gt;Charge_ELS_freq,BT242&gt;charge_ELU,BU242&gt;charge_ELA,$B242&gt;NDC!$H$22-0.1+MIN(3*$BV$12,1.5)),0,1))</f>
        <v>#N/A</v>
      </c>
      <c r="BW242" s="86" t="b">
        <f t="shared" si="347"/>
        <v>0</v>
      </c>
      <c r="BX242" s="86">
        <f t="shared" si="348"/>
        <v>0.5</v>
      </c>
      <c r="BY242" s="86">
        <f t="shared" si="349"/>
        <v>0.5</v>
      </c>
      <c r="BZ242" s="30" t="e">
        <f t="shared" ca="1" si="380"/>
        <v>#DIV/0!</v>
      </c>
      <c r="CA242" s="85" t="e">
        <f ca="1">IF(BG242&lt;=Hypothèses!$V$7,Hypothèses!$W$7,IF(BG242&lt;=Hypothèses!$V$8,Hypothèses!$W$8,IF(BG242&lt;=Hypothèses!$V$9,Hypothèses!$W$9,IF(BG242&lt;=Hypothèses!$V$10,Hypothèses!$W$10,IF(BG242&lt;=Hypothèses!$V$11,Hypothèses!$W$11,IF(BG242&lt;=Hypothèses!$V$12,Hypothèses!$W$12,IF(BG242&lt;=Hypothèses!$V$13,Hypothèses!$W$13,IF(BG242&lt;=Hypothèses!$V$14,Hypothèses!$W$14,IF(BG242&lt;=Hypothèses!$V$15,Hypothèses!$W$15,IF(BG242&lt;=Hypothèses!$V$16,Hypothèses!$W$16,IF(BG242&lt;=Hypothèses!$V$17,Hypothèses!$W$17,IF(BG242&lt;=Hypothèses!$V$18,Hypothèses!$W$18,""))))))))))))</f>
        <v>#DIV/0!</v>
      </c>
      <c r="CB242" s="87" t="e">
        <f t="shared" ca="1" si="419"/>
        <v>#DIV/0!</v>
      </c>
      <c r="CC242" s="88" t="e">
        <f ca="1">IF(BG242&lt;=Hypothèses!$V$7,Hypothèses!$X$7,IF(BG242&lt;=Hypothèses!$V$8,Hypothèses!$X$8,IF(BG242&lt;=Hypothèses!$V$9,Hypothèses!$X$9,IF(BG242&lt;=Hypothèses!$V$10,Hypothèses!$X$10,IF(BG242&lt;=Hypothèses!$V$11,Hypothèses!$X$11,IF(BG242&lt;=Hypothèses!$V$12,Hypothèses!$X$12,IF(BG242&lt;=Hypothèses!$V$13,Hypothèses!$X$13,IF(BG242&lt;=Hypothèses!$V$14,Hypothèses!$X$14,IF(BG242&lt;=Hypothèses!$V$15,Hypothèses!$X$15,IF(BG242&lt;=Hypothèses!$V$16,Hypothèses!$X$16,IF(BG242&lt;=Hypothèses!$U$17,Hypothèses!$W$17,IF(BG242&lt;=Hypothèses!$U$18,Hypothèses!$W$18,""))))))))))))</f>
        <v>#DIV/0!</v>
      </c>
      <c r="CD242" s="95" t="e">
        <f t="shared" ca="1" si="381"/>
        <v>#DIV/0!</v>
      </c>
      <c r="CE242" s="101" t="e">
        <f t="shared" si="426"/>
        <v>#N/A</v>
      </c>
      <c r="CF242" s="91" t="e">
        <f t="shared" si="350"/>
        <v>#N/A</v>
      </c>
      <c r="CG242" s="30" t="e">
        <f t="shared" si="406"/>
        <v>#N/A</v>
      </c>
      <c r="CH242" s="30" t="e">
        <f t="shared" si="407"/>
        <v>#N/A</v>
      </c>
      <c r="CI242" s="31" t="e">
        <f>IF(OR(Hypothèses!$B$4=17,Hypothèses!$B$4=18,Hypothèses!$B$4=19,Hypothèses!$B$4=20),
IF($D242="Pressio.",
IF(OR($E242=3,$E242=1,$E242=4),CH242,CG242),
IF($D242="Pénétro.",
IF(OR($E242=3,$E242=1,$E242=4),CH242,CG242))),IF($D242="Pressio.",
IF($E242=3,CH242,CG242),
IF($D242="Pénétro.",
IF($E242=4,CH242,CG242))))</f>
        <v>#N/A</v>
      </c>
      <c r="CJ242" s="31" t="e">
        <f>(IF(OR(Hypothèses!$B$4=17,Hypothèses!$B$4=18,Hypothèses!$B$4=19,Hypothèses!$B$4=20),
IF($D242="Pressio.",
IF(OR($E242=3,$E242=1,$E242=4),(PI()*CJ$12^2)/4*(CF242*$W242*1000)/($H242*$B$5),(PI()*CJ$12^2)/4*(CF242*$W242*1000)/($G242*$B$5)),
IF($D242="Pénétro.",
IF(OR($E242=4,$E242=1,$E242=5),(PI()*CJ$12^2)/4*(CF242*$W242*1000)/($H242*$B$5),(PI()*CJ$12^2)/4*(CF242*$W242*1000)/($G242*$B$5)))),
IF($D242="Pressio.",
IF($E242=3,(PI()*CJ$12^2)/4*(CF242*$W242*1000)/($H242*$B$5),(PI()*CJ$12^2)/4*(CF242*$W242*1000)/($G242*$B$5)),
IF($D242="Pénétro.",
IF($E242=4,(PI()*CJ$12^2)/4*(CF242*$W242*1000)/($H242*$B$5),(PI()*CJ$12^2)/4*(CF242*$W242*1000)/($G242*$B$5))))))/10</f>
        <v>#N/A</v>
      </c>
      <c r="CK242" s="102" t="e">
        <f>(VLOOKUP($B$3,'Coeff EC7'!$T$39:$X$59,2,0)*CI242+VLOOKUP($B$3,'Coeff EC7'!$T$65:$X$85,2,0)*Model0.1C!CJ242)/1.1</f>
        <v>#N/A</v>
      </c>
      <c r="CL242" s="102" t="e">
        <f>(VLOOKUP($B$3,'Coeff EC7'!$T$39:$X$59,3,0)*CI242+VLOOKUP($B$3,'Coeff EC7'!$T$65:$X$85,3,0)*Model0.1C!CJ242)/0.9</f>
        <v>#N/A</v>
      </c>
      <c r="CM242" s="102" t="e">
        <f t="shared" si="382"/>
        <v>#N/A</v>
      </c>
      <c r="CN242" s="102" t="e">
        <f t="shared" si="383"/>
        <v>#N/A</v>
      </c>
      <c r="CO242" s="414" t="e">
        <f>IF(CO241=0,0,IF(AND(CK242&gt;charge_ELS_quasi,CL242&gt;Charge_ELS_freq,CM242&gt;charge_ELU,CN242&gt;charge_ELA,$B242&gt;NDC!$H$22-0.1+MIN(3*$CO$12,1.5)),0,1))</f>
        <v>#N/A</v>
      </c>
      <c r="CP242" s="86" t="b">
        <f t="shared" si="351"/>
        <v>0</v>
      </c>
      <c r="CQ242" s="86">
        <f t="shared" si="352"/>
        <v>0.5</v>
      </c>
      <c r="CR242" s="86">
        <f t="shared" si="353"/>
        <v>0.5</v>
      </c>
      <c r="CS242" s="30" t="e">
        <f t="shared" ca="1" si="384"/>
        <v>#DIV/0!</v>
      </c>
      <c r="CT242" s="85" t="e">
        <f ca="1">IF(BZ242&lt;=Hypothèses!$V$7,Hypothèses!$W$7,IF(BZ242&lt;=Hypothèses!$V$8,Hypothèses!$W$8,IF(BZ242&lt;=Hypothèses!$V$9,Hypothèses!$W$9,IF(BZ242&lt;=Hypothèses!$V$10,Hypothèses!$W$10,IF(BZ242&lt;=Hypothèses!$V$11,Hypothèses!$W$11,IF(BZ242&lt;=Hypothèses!$V$12,Hypothèses!$W$12,IF(BZ242&lt;=Hypothèses!$V$13,Hypothèses!$W$13,IF(BZ242&lt;=Hypothèses!$V$14,Hypothèses!$W$14,IF(BZ242&lt;=Hypothèses!$V$15,Hypothèses!$W$15,IF(BZ242&lt;=Hypothèses!$V$16,Hypothèses!$W$16,IF(BZ242&lt;=Hypothèses!$V$17,Hypothèses!$W$17,IF(BZ242&lt;=Hypothèses!$V$18,Hypothèses!$W$18,""))))))))))))</f>
        <v>#DIV/0!</v>
      </c>
      <c r="CU242" s="87" t="e">
        <f t="shared" ca="1" si="420"/>
        <v>#DIV/0!</v>
      </c>
      <c r="CV242" s="88" t="e">
        <f ca="1">IF(BZ242&lt;=Hypothèses!$V$7,Hypothèses!$X$7,IF(BZ242&lt;=Hypothèses!$V$8,Hypothèses!$X$8,IF(BZ242&lt;=Hypothèses!$V$9,Hypothèses!$X$9,IF(BZ242&lt;=Hypothèses!$V$10,Hypothèses!$X$10,IF(BZ242&lt;=Hypothèses!$V$11,Hypothèses!$X$11,IF(BZ242&lt;=Hypothèses!$V$12,Hypothèses!$X$12,IF(BZ242&lt;=Hypothèses!$V$13,Hypothèses!$X$13,IF(BZ242&lt;=Hypothèses!$V$14,Hypothèses!$X$14,IF(BZ242&lt;=Hypothèses!$V$15,Hypothèses!$X$15,IF(BZ242&lt;=Hypothèses!$V$16,Hypothèses!$X$16,IF(BZ242&lt;=Hypothèses!$U$17,Hypothèses!$W$17,IF(BZ242&lt;=Hypothèses!$U$18,Hypothèses!$W$18,""))))))))))))</f>
        <v>#DIV/0!</v>
      </c>
      <c r="CW242" s="95" t="e">
        <f t="shared" ca="1" si="385"/>
        <v>#DIV/0!</v>
      </c>
      <c r="CX242" s="101" t="e">
        <f t="shared" si="427"/>
        <v>#N/A</v>
      </c>
      <c r="CY242" s="91" t="e">
        <f t="shared" si="354"/>
        <v>#N/A</v>
      </c>
      <c r="CZ242" s="30" t="e">
        <f t="shared" si="408"/>
        <v>#N/A</v>
      </c>
      <c r="DA242" s="30" t="e">
        <f t="shared" si="409"/>
        <v>#N/A</v>
      </c>
      <c r="DB242" s="31" t="e">
        <f>IF(OR(Hypothèses!$B$4=17,Hypothèses!$B$4=18,Hypothèses!$B$4=19,Hypothèses!$B$4=20),
IF($D242="Pressio.",
IF(OR($E242=3,$E242=1,$E242=4),DA242,CZ242),
IF($D242="Pénétro.",
IF(OR($E242=3,$E242=1,$E242=4),DA242,CZ242))),IF($D242="Pressio.",
IF($E242=3,DA242,CZ242),
IF($D242="Pénétro.",
IF($E242=4,DA242,CZ242))))</f>
        <v>#N/A</v>
      </c>
      <c r="DC242" s="31" t="e">
        <f>(IF(OR(Hypothèses!$B$4=17,Hypothèses!$B$4=18,Hypothèses!$B$4=19,Hypothèses!$B$4=20),
IF($D242="Pressio.",
IF(OR($E242=3,$E242=1,$E242=4),(PI()*DC$12^2)/4*(CY242*$W242*1000)/($H242*$B$5),(PI()*DC$12^2)/4*(CY242*$W242*1000)/($G242*$B$5)),
IF($D242="Pénétro.",
IF(OR($E242=4,$E242=1,$E242=5),(PI()*DC$12^2)/4*(CY242*$W242*1000)/($H242*$B$5),(PI()*DC$12^2)/4*(CY242*$W242*1000)/($G242*$B$5)))),
IF($D242="Pressio.",
IF($E242=3,(PI()*DC$12^2)/4*(CY242*$W242*1000)/($H242*$B$5),(PI()*DC$12^2)/4*(CY242*$W242*1000)/($G242*$B$5)),
IF($D242="Pénétro.",
IF($E242=4,(PI()*DC$12^2)/4*(CY242*$W242*1000)/($H242*$B$5),(PI()*DC$12^2)/4*(CY242*$W242*1000)/($G242*$B$5))))))/10</f>
        <v>#N/A</v>
      </c>
      <c r="DD242" s="102" t="e">
        <f>(VLOOKUP($B$3,'Coeff EC7'!$T$39:$X$59,2,0)*DB242+VLOOKUP($B$3,'Coeff EC7'!$T$65:$X$85,2,0)*Model0.1C!DC242)/1.1</f>
        <v>#N/A</v>
      </c>
      <c r="DE242" s="102" t="e">
        <f>(VLOOKUP($B$3,'Coeff EC7'!$T$39:$X$59,3,0)*DB242+VLOOKUP($B$3,'Coeff EC7'!$T$65:$X$85,3,0)*Model0.1C!DC242)/0.9</f>
        <v>#N/A</v>
      </c>
      <c r="DF242" s="102" t="e">
        <f t="shared" si="386"/>
        <v>#N/A</v>
      </c>
      <c r="DG242" s="102" t="e">
        <f t="shared" si="387"/>
        <v>#N/A</v>
      </c>
      <c r="DH242" s="414" t="e">
        <f>IF(DH241=0,0,IF(AND(DD242&gt;charge_ELS_quasi,DE242&gt;Charge_ELS_freq,DF242&gt;charge_ELU,DG242&gt;charge_ELA,$B242&gt;NDC!$H$22-0.1+MIN(3*$DH$12,1.5)),0,1))</f>
        <v>#N/A</v>
      </c>
      <c r="DI242" s="86" t="b">
        <f t="shared" si="355"/>
        <v>0</v>
      </c>
      <c r="DJ242" s="86">
        <f t="shared" si="356"/>
        <v>0.5</v>
      </c>
      <c r="DK242" s="86">
        <f t="shared" si="357"/>
        <v>0.5</v>
      </c>
      <c r="DL242" s="30" t="e">
        <f t="shared" ca="1" si="388"/>
        <v>#DIV/0!</v>
      </c>
      <c r="DM242" s="85" t="e">
        <f ca="1">IF(CS242&lt;=Hypothèses!$V$7,Hypothèses!$W$7,IF(CS242&lt;=Hypothèses!$V$8,Hypothèses!$W$8,IF(CS242&lt;=Hypothèses!$V$9,Hypothèses!$W$9,IF(CS242&lt;=Hypothèses!$V$10,Hypothèses!$W$10,IF(CS242&lt;=Hypothèses!$V$11,Hypothèses!$W$11,IF(CS242&lt;=Hypothèses!$V$12,Hypothèses!$W$12,IF(CS242&lt;=Hypothèses!$V$13,Hypothèses!$W$13,IF(CS242&lt;=Hypothèses!$V$14,Hypothèses!$W$14,IF(CS242&lt;=Hypothèses!$V$15,Hypothèses!$W$15,IF(CS242&lt;=Hypothèses!$V$16,Hypothèses!$W$16,IF(CS242&lt;=Hypothèses!$V$17,Hypothèses!$W$17,IF(CS242&lt;=Hypothèses!$V$18,Hypothèses!$W$18,""))))))))))))</f>
        <v>#DIV/0!</v>
      </c>
      <c r="DN242" s="87" t="e">
        <f t="shared" ca="1" si="421"/>
        <v>#DIV/0!</v>
      </c>
      <c r="DO242" s="88" t="e">
        <f ca="1">IF(CS242&lt;=Hypothèses!$V$7,Hypothèses!$X$7,IF(CS242&lt;=Hypothèses!$V$8,Hypothèses!$X$8,IF(CS242&lt;=Hypothèses!$V$9,Hypothèses!$X$9,IF(CS242&lt;=Hypothèses!$V$10,Hypothèses!$X$10,IF(CS242&lt;=Hypothèses!$V$11,Hypothèses!$X$11,IF(CS242&lt;=Hypothèses!$V$12,Hypothèses!$X$12,IF(CS242&lt;=Hypothèses!$V$13,Hypothèses!$X$13,IF(CS242&lt;=Hypothèses!$V$14,Hypothèses!$X$14,IF(CS242&lt;=Hypothèses!$V$15,Hypothèses!$X$15,IF(CS242&lt;=Hypothèses!$V$16,Hypothèses!$X$16,IF(CS242&lt;=Hypothèses!$U$17,Hypothèses!$W$17,IF(CS242&lt;=Hypothèses!$U$18,Hypothèses!$W$18,""))))))))))))</f>
        <v>#DIV/0!</v>
      </c>
      <c r="DP242" s="95" t="e">
        <f t="shared" ca="1" si="389"/>
        <v>#DIV/0!</v>
      </c>
      <c r="DQ242" s="101" t="e">
        <f t="shared" si="428"/>
        <v>#N/A</v>
      </c>
      <c r="DR242" s="91" t="e">
        <f t="shared" si="358"/>
        <v>#N/A</v>
      </c>
      <c r="DS242" s="30" t="e">
        <f t="shared" si="410"/>
        <v>#N/A</v>
      </c>
      <c r="DT242" s="30" t="e">
        <f t="shared" si="411"/>
        <v>#N/A</v>
      </c>
      <c r="DU242" s="31" t="e">
        <f>IF(OR(Hypothèses!$B$4=17,Hypothèses!$B$4=18,Hypothèses!$B$4=19,Hypothèses!$B$4=20),
IF($D242="Pressio.",
IF(OR($E242=3,$E242=1,$E242=4),DT242,DS242),
IF($D242="Pénétro.",
IF(OR($E242=3,$E242=1,$E242=4),DT242,DS242))),IF($D242="Pressio.",
IF($E242=3,DT242,DS242),
IF($D242="Pénétro.",
IF($E242=4,DT242,DS242))))</f>
        <v>#N/A</v>
      </c>
      <c r="DV242" s="31" t="e">
        <f>(IF(OR(Hypothèses!$B$4=17,Hypothèses!$B$4=18,Hypothèses!$B$4=19,Hypothèses!$B$4=20),
IF($D242="Pressio.",
IF(OR($E242=3,$E242=1,$E242=4),(PI()*DV$12^2)/4*(DR242*$W242*1000)/($H242*$B$5),(PI()*DV$12^2)/4*(DR242*$W242*1000)/($G242*$B$5)),
IF($D242="Pénétro.",
IF(OR($E242=4,$E242=1,$E242=5),(PI()*DV$12^2)/4*(DR242*$W242*1000)/($H242*$B$5),(PI()*DV$12^2)/4*(DR242*$W242*1000)/($G242*$B$5)))),
IF($D242="Pressio.",
IF($E242=3,(PI()*DV$12^2)/4*(DR242*$W242*1000)/($H242*$B$5),(PI()*DV$12^2)/4*(DR242*$W242*1000)/($G242*$B$5)),
IF($D242="Pénétro.",
IF($E242=4,(PI()*DV$12^2)/4*(DR242*$W242*1000)/($H242*$B$5),(PI()*DV$12^2)/4*(DR242*$W242*1000)/($G242*$B$5))))))/10</f>
        <v>#N/A</v>
      </c>
      <c r="DW242" s="102" t="e">
        <f>(VLOOKUP($B$3,'Coeff EC7'!$T$39:$X$59,2,0)*DU242+VLOOKUP($B$3,'Coeff EC7'!$T$65:$X$85,2,0)*Model0.1C!DV242)/1.1</f>
        <v>#N/A</v>
      </c>
      <c r="DX242" s="102" t="e">
        <f>(VLOOKUP($B$3,'Coeff EC7'!$T$39:$X$59,3,0)*DU242+VLOOKUP($B$3,'Coeff EC7'!$T$65:$X$85,3,0)*Model0.1C!DV242)/0.9</f>
        <v>#N/A</v>
      </c>
      <c r="DY242" s="102" t="e">
        <f t="shared" si="390"/>
        <v>#N/A</v>
      </c>
      <c r="DZ242" s="102" t="e">
        <f t="shared" si="391"/>
        <v>#N/A</v>
      </c>
      <c r="EA242" s="414" t="e">
        <f>IF(EA241=0,0,IF(AND(DW242&gt;charge_ELS_quasi,DX242&gt;Charge_ELS_freq,DY242&gt;charge_ELU,DZ242&gt;charge_ELA,$B242&gt;NDC!$H$22-0.1+MIN(3*$EA$12,1.5)),0,1))</f>
        <v>#N/A</v>
      </c>
      <c r="EB242" s="86" t="b">
        <f t="shared" si="359"/>
        <v>0</v>
      </c>
      <c r="EC242" s="418">
        <f t="shared" si="360"/>
        <v>0.51</v>
      </c>
      <c r="ED242" s="86">
        <f t="shared" si="361"/>
        <v>0.51</v>
      </c>
      <c r="EE242" s="30" t="e">
        <f t="shared" ca="1" si="392"/>
        <v>#DIV/0!</v>
      </c>
      <c r="EF242" s="85" t="e">
        <f ca="1">IF(DL242&lt;=Hypothèses!$V$7,Hypothèses!$W$7,IF(DL242&lt;=Hypothèses!$V$8,Hypothèses!$W$8,IF(DL242&lt;=Hypothèses!$V$9,Hypothèses!$W$9,IF(DL242&lt;=Hypothèses!$V$10,Hypothèses!$W$10,IF(DL242&lt;=Hypothèses!$V$11,Hypothèses!$W$11,IF(DL242&lt;=Hypothèses!$V$12,Hypothèses!$W$12,IF(DL242&lt;=Hypothèses!$V$13,Hypothèses!$W$13,IF(DL242&lt;=Hypothèses!$V$14,Hypothèses!$W$14,IF(DL242&lt;=Hypothèses!$V$15,Hypothèses!$W$15,IF(DL242&lt;=Hypothèses!$V$16,Hypothèses!$W$16,IF(DL242&lt;=Hypothèses!$V$17,Hypothèses!$W$17,IF(DL242&lt;=Hypothèses!$V$18,Hypothèses!$W$18,""))))))))))))</f>
        <v>#DIV/0!</v>
      </c>
      <c r="EG242" s="87" t="e">
        <f t="shared" ca="1" si="422"/>
        <v>#DIV/0!</v>
      </c>
      <c r="EH242" s="88" t="e">
        <f ca="1">IF(DL242&lt;=Hypothèses!$V$7,Hypothèses!$X$7,IF(DL242&lt;=Hypothèses!$V$8,Hypothèses!$X$8,IF(DL242&lt;=Hypothèses!$V$9,Hypothèses!$X$9,IF(DL242&lt;=Hypothèses!$V$10,Hypothèses!$X$10,IF(DL242&lt;=Hypothèses!$V$11,Hypothèses!$X$11,IF(DL242&lt;=Hypothèses!$V$12,Hypothèses!$X$12,IF(DL242&lt;=Hypothèses!$V$13,Hypothèses!$X$13,IF(DL242&lt;=Hypothèses!$V$14,Hypothèses!$X$14,IF(DL242&lt;=Hypothèses!$V$15,Hypothèses!$X$15,IF(DL242&lt;=Hypothèses!$V$16,Hypothèses!$X$16,IF(DL242&lt;=Hypothèses!$U$17,Hypothèses!$W$17,IF(DL242&lt;=Hypothèses!$U$18,Hypothèses!$W$18,""))))))))))))</f>
        <v>#DIV/0!</v>
      </c>
      <c r="EI242" s="95" t="e">
        <f t="shared" ca="1" si="393"/>
        <v>#DIV/0!</v>
      </c>
      <c r="EJ242" s="101" t="e">
        <f t="shared" si="429"/>
        <v>#N/A</v>
      </c>
      <c r="EK242" s="91" t="e">
        <f t="shared" si="362"/>
        <v>#N/A</v>
      </c>
      <c r="EL242" s="30" t="e">
        <f t="shared" si="412"/>
        <v>#N/A</v>
      </c>
      <c r="EM242" s="30" t="e">
        <f t="shared" si="413"/>
        <v>#N/A</v>
      </c>
      <c r="EN242" s="31" t="e">
        <f>IF(OR(Hypothèses!$B$4=17,Hypothèses!$B$4=18,Hypothèses!$B$4=19,Hypothèses!$B$4=20),
IF($D242="Pressio.",
IF(OR($E242=3,$E242=1,$E242=4),EM242,EL242),
IF($D242="Pénétro.",
IF(OR($E242=3,$E242=1,$E242=4),EM242,EL242))),IF($D242="Pressio.",
IF($E242=3,EM242,EL242),
IF($D242="Pénétro.",
IF($E242=4,EM242,EL242))))</f>
        <v>#N/A</v>
      </c>
      <c r="EO242" s="31" t="e">
        <f>(IF(OR(Hypothèses!$B$4=17,Hypothèses!$B$4=18,Hypothèses!$B$4=19,Hypothèses!$B$4=20),
IF($D242="Pressio.",
IF(OR($E242=3,$E242=1,$E242=4),(PI()*EO$12^2)/4*(EK242*$W242*1000)/($H242*$B$5),(PI()*EO$12^2)/4*(EK242*$W242*1000)/($G242*$B$5)),
IF($D242="Pénétro.",
IF(OR($E242=4,$E242=1,$E242=5),(PI()*EO$12^2)/4*(EK242*$W242*1000)/($H242*$B$5),(PI()*EO$12^2)/4*(EK242*$W242*1000)/($G242*$B$5)))),
IF($D242="Pressio.",
IF($E242=3,(PI()*EO$12^2)/4*(EK242*$W242*1000)/($H242*$B$5),(PI()*EO$12^2)/4*(EK242*$W242*1000)/($G242*$B$5)),
IF($D242="Pénétro.",
IF($E242=4,(PI()*EO$12^2)/4*(EK242*$W242*1000)/($H242*$B$5),(PI()*EO$12^2)/4*(EK242*$W242*1000)/($G242*$B$5))))))/10</f>
        <v>#N/A</v>
      </c>
      <c r="EP242" s="102" t="e">
        <f>(VLOOKUP($B$3,'Coeff EC7'!$T$39:$X$59,2,0)*EN242+VLOOKUP($B$3,'Coeff EC7'!$T$65:$X$85,2,0)*Model0.1C!EO242)/1.1</f>
        <v>#N/A</v>
      </c>
      <c r="EQ242" s="102" t="e">
        <f>(VLOOKUP($B$3,'Coeff EC7'!$T$39:$X$59,3,0)*EN242+VLOOKUP($B$3,'Coeff EC7'!$T$65:$X$85,3,0)*Model0.1C!EO242)/0.9</f>
        <v>#N/A</v>
      </c>
      <c r="ER242" s="102" t="e">
        <f t="shared" si="394"/>
        <v>#N/A</v>
      </c>
      <c r="ES242" s="102" t="e">
        <f t="shared" si="395"/>
        <v>#N/A</v>
      </c>
      <c r="ET242" s="414" t="e">
        <f>IF(ET241=0,0,IF(AND(EP242&gt;charge_ELS_quasi,EQ242&gt;Charge_ELS_freq,ER242&gt;charge_ELU,ES242&gt;charge_ELA,$B242&gt;NDC!$H$22-0.1+MIN(3*$ET$12,1.5)),0,1))</f>
        <v>#N/A</v>
      </c>
      <c r="EU242" s="86" t="b">
        <f t="shared" si="363"/>
        <v>0</v>
      </c>
      <c r="EV242" s="86">
        <f t="shared" si="364"/>
        <v>0.61</v>
      </c>
      <c r="EW242" s="86">
        <f t="shared" si="365"/>
        <v>0.61</v>
      </c>
      <c r="EX242" s="30" t="e">
        <f t="shared" ca="1" si="396"/>
        <v>#DIV/0!</v>
      </c>
      <c r="EY242" s="85" t="e">
        <f ca="1">IF(EE242&lt;=Hypothèses!$V$7,Hypothèses!$W$7,IF(EE242&lt;=Hypothèses!$V$8,Hypothèses!$W$8,IF(EE242&lt;=Hypothèses!$V$9,Hypothèses!$W$9,IF(EE242&lt;=Hypothèses!$V$10,Hypothèses!$W$10,IF(EE242&lt;=Hypothèses!$V$11,Hypothèses!$W$11,IF(EE242&lt;=Hypothèses!$V$12,Hypothèses!$W$12,IF(EE242&lt;=Hypothèses!$V$13,Hypothèses!$W$13,IF(EE242&lt;=Hypothèses!$V$14,Hypothèses!$W$14,IF(EE242&lt;=Hypothèses!$V$15,Hypothèses!$W$15,IF(EE242&lt;=Hypothèses!$V$16,Hypothèses!$W$16,IF(EE242&lt;=Hypothèses!$V$17,Hypothèses!$W$17,IF(EE242&lt;=Hypothèses!$V$18,Hypothèses!$W$18,""))))))))))))</f>
        <v>#DIV/0!</v>
      </c>
      <c r="EZ242" s="87" t="e">
        <f t="shared" ca="1" si="423"/>
        <v>#DIV/0!</v>
      </c>
      <c r="FA242" s="88" t="e">
        <f ca="1">IF(EE242&lt;=Hypothèses!$V$7,Hypothèses!$X$7,IF(EE242&lt;=Hypothèses!$V$8,Hypothèses!$X$8,IF(EE242&lt;=Hypothèses!$V$9,Hypothèses!$X$9,IF(EE242&lt;=Hypothèses!$V$10,Hypothèses!$X$10,IF(EE242&lt;=Hypothèses!$V$11,Hypothèses!$X$11,IF(EE242&lt;=Hypothèses!$V$12,Hypothèses!$X$12,IF(EE242&lt;=Hypothèses!$V$13,Hypothèses!$X$13,IF(EE242&lt;=Hypothèses!$V$14,Hypothèses!$X$14,IF(EE242&lt;=Hypothèses!$V$15,Hypothèses!$X$15,IF(EE242&lt;=Hypothèses!$V$16,Hypothèses!$X$16,IF(EE242&lt;=Hypothèses!$U$17,Hypothèses!$W$17,IF(EE242&lt;=Hypothèses!$U$18,Hypothèses!$W$18,""))))))))))))</f>
        <v>#DIV/0!</v>
      </c>
      <c r="FB242" s="95" t="e">
        <f t="shared" ca="1" si="397"/>
        <v>#DIV/0!</v>
      </c>
      <c r="FC242" s="101" t="e">
        <f t="shared" si="430"/>
        <v>#N/A</v>
      </c>
      <c r="FD242" s="91" t="e">
        <f t="shared" si="366"/>
        <v>#N/A</v>
      </c>
      <c r="FE242" s="30" t="e">
        <f t="shared" si="414"/>
        <v>#N/A</v>
      </c>
      <c r="FF242" s="30" t="e">
        <f t="shared" si="415"/>
        <v>#N/A</v>
      </c>
      <c r="FG242" s="31" t="e">
        <f>IF(OR(Hypothèses!$B$4=17,Hypothèses!$B$4=18,Hypothèses!$B$4=19,Hypothèses!$B$4=20),
IF($D242="Pressio.",
IF(OR($E242=3,$E242=1,$E242=4),FF242,FE242),
IF($D242="Pénétro.",
IF(OR($E242=3,$E242=1,$E242=4),FF242,FE242))),IF($D242="Pressio.",
IF($E242=3,FF242,FE242),
IF($D242="Pénétro.",
IF($E242=4,FF242,FE242))))</f>
        <v>#N/A</v>
      </c>
      <c r="FH242" s="31" t="e">
        <f>(IF(OR(Hypothèses!$B$4=17,Hypothèses!$B$4=18,Hypothèses!$B$4=19,Hypothèses!$B$4=20),
IF($D242="Pressio.",
IF(OR($E242=3,$E242=1,$E242=4),(PI()*FH$12^2)/4*(FD242*$W242*1000)/($H242*$B$5),(PI()*FH$12^2)/4*(FD242*$W242*1000)/($G242*$B$5)),
IF($D242="Pénétro.",
IF(OR($E242=4,$E242=1,$E242=5),(PI()*FH$12^2)/4*(FD242*$W242*1000)/($H242*$B$5),(PI()*FH$12^2)/4*(FD242*$W242*1000)/($G242*$B$5)))),
IF($D242="Pressio.",
IF($E242=3,(PI()*FH$12^2)/4*(FD242*$W242*1000)/($H242*$B$5),(PI()*FH$12^2)/4*(FD242*$W242*1000)/($G242*$B$5)),
IF($D242="Pénétro.",
IF($E242=4,(PI()*FH$12^2)/4*(FD242*$W242*1000)/($H242*$B$5),(PI()*FH$12^2)/4*(FD242*$W242*1000)/($G242*$B$5))))))/10</f>
        <v>#N/A</v>
      </c>
      <c r="FI242" s="102" t="e">
        <f>(VLOOKUP($B$3,'Coeff EC7'!$T$39:$X$59,2,0)*FG242+VLOOKUP($B$3,'Coeff EC7'!$T$65:$X$85,2,0)*Model0.1C!FH242)/1.1</f>
        <v>#N/A</v>
      </c>
      <c r="FJ242" s="102" t="e">
        <f>(VLOOKUP($B$3,'Coeff EC7'!$T$39:$X$59,3,0)*FG242+VLOOKUP($B$3,'Coeff EC7'!$T$65:$X$85,3,0)*Model0.1C!FH242)/0.9</f>
        <v>#N/A</v>
      </c>
      <c r="FK242" s="102" t="e">
        <f t="shared" si="398"/>
        <v>#N/A</v>
      </c>
      <c r="FL242" s="102" t="e">
        <f t="shared" si="399"/>
        <v>#N/A</v>
      </c>
      <c r="FM242" s="414" t="e">
        <f>IF(FM241=0,0,IF(AND(FI242&gt;charge_ELS_quasi,FJ242&gt;Charge_ELS_freq,FK242&gt;charge_ELU,FL242&gt;charge_ELA,$B242&gt;NDC!$H$22-0.1+MIN(3*$FM$12,1.5)),0,1))</f>
        <v>#N/A</v>
      </c>
    </row>
    <row r="243" spans="1:169">
      <c r="A243" s="96">
        <f t="shared" si="367"/>
        <v>77.000000000001307</v>
      </c>
      <c r="B243" s="97">
        <v>23</v>
      </c>
      <c r="C243" s="81">
        <f>IF(B243&lt;=Hypothèses!$C$7,Hypothèses!$A$7,IF(B243&lt;=Hypothèses!$C$8,Hypothèses!$A$8,IF(B243&lt;=Hypothèses!$C$9,Hypothèses!$A$9,IF(B243&lt;=Hypothèses!$C$10,Hypothèses!$A$10,IF(B243&lt;=Hypothèses!$C$11,Hypothèses!$A$11,IF(B243&lt;=Hypothèses!$C$12,Hypothèses!$A$12,IF(B243&lt;=Hypothèses!$C$13,Hypothèses!$A$13,IF(B243&lt;=Hypothèses!$C$14,Hypothèses!$A$14,IF(B243&lt;=Hypothèses!$C$15,Hypothèses!$A$15,IF(B243&lt;=Hypothèses!$C$16,Hypothèses!$A$16,IF(B243&lt;=Hypothèses!$C$17,Hypothèses!$A$17,IF(B243&lt;=Hypothèses!$C$18,Hypothèses!$A$18,C242))))))))))))</f>
        <v>11</v>
      </c>
      <c r="D243" s="82" t="str">
        <f>IF(B243&lt;=Hypothèses!$C$7,Hypothèses!$R$7,IF(B243&lt;=Hypothèses!$C$8,Hypothèses!$R$8,IF(B243&lt;=Hypothèses!$C$9,Hypothèses!$R$9,IF(B243&lt;=Hypothèses!$C$10,Hypothèses!$R$10,IF(B243&lt;=Hypothèses!$C$11,Hypothèses!$R$11,IF(B243&lt;=Hypothèses!$C$12,Hypothèses!$R$12,IF(B243&lt;=Hypothèses!$C$13,Hypothèses!$R$13,IF(B243&lt;=Hypothèses!$C$14,Hypothèses!$R$14,IF(B243&lt;=Hypothèses!$C$15,Hypothèses!$R$15,IF(B243&lt;=Hypothèses!$C$16,Hypothèses!$R$16,IF(B243&lt;=Hypothèses!$C$17,Hypothèses!$R$17,IF(B243&lt;=Hypothèses!$C$18,Hypothèses!$R$18,D242))))))))))))</f>
        <v>Pressio.</v>
      </c>
      <c r="E243" s="82" t="e">
        <f>IF(B243&lt;=Hypothèses!$C$7,Hypothèses!$G$7,IF(B243&lt;=Hypothèses!$C$8,Hypothèses!$G$8,IF(B243&lt;=Hypothèses!$C$9,Hypothèses!$G$9,IF(B243&lt;=Hypothèses!$C$10,Hypothèses!$G$10,IF(B243&lt;=Hypothèses!$C$11,Hypothèses!$G$11,IF(B243&lt;=Hypothèses!$C$12,Hypothèses!$G$12,IF(B243&lt;=Hypothèses!$C$13,Hypothèses!$G$13,IF(B243&lt;=Hypothèses!$C$14,Hypothèses!$G$14,IF(B243&lt;=Hypothèses!$C$15,Hypothèses!$G$15,IF(B243&lt;=Hypothèses!$C$16,Hypothèses!$G$16,IF(B243&lt;=Hypothèses!$C$17,Hypothèses!$G$17,IF(B243&lt;=Hypothèses!$C$18,Hypothèses!$G$18,E242))))))))))))</f>
        <v>#N/A</v>
      </c>
      <c r="F243" s="82" t="str">
        <f>IF(B243&lt;=Hypothèses!$C$7,Hypothèses!$F$7,IF(B243&lt;=Hypothèses!$C$8,Hypothèses!$F$8,IF(B243&lt;=Hypothèses!$C$9,Hypothèses!$F$9,IF(B243&lt;=Hypothèses!$C$10,Hypothèses!$F$10,IF(B243&lt;=Hypothèses!$C$11,Hypothèses!$F$11,IF(B243&lt;=Hypothèses!$C$12,Hypothèses!$F$12,IF(B243&lt;=Hypothèses!$C$13,Hypothèses!$F$13,IF(B243&lt;=Hypothèses!$C$14,Hypothèses!$F$14,IF(B243&lt;=Hypothèses!$C$15,Hypothèses!$F$15,IF(B243&lt;=Hypothèses!$C$16,Hypothèses!$F$16,IF(B243&lt;=Hypothèses!$C$17,Hypothèses!$F$17,IF(B243&lt;=Hypothèses!$C$18,Hypothèses!$F$18,F242))))))))))))</f>
        <v/>
      </c>
      <c r="G243" s="91">
        <f t="array" ref="G243">INDEX('Coeff EC7'!$U$7:$X$27,
MATCH(Model0.1C!$B$3,'Coeff EC7'!$T$7:$T$27,0),
MATCH(Model0.1C!$D243&amp;Model0.1C!$B$4,
'Coeff EC7'!$U$6:$X$6&amp;
'Coeff EC7'!$U$5:$X$5,0))</f>
        <v>1.1499999999999999</v>
      </c>
      <c r="H243" s="91">
        <f t="array" ref="H243">INDEX('Coeff EC7'!$Y$7:$AB$27,
MATCH(Model0.1C!$B$3,'Coeff EC7'!$T$7:$T$27,0),
MATCH(Model0.1C!$D243&amp;Model0.1C!$B$4,
'Coeff EC7'!$Y$6:$AB$6&amp;
'Coeff EC7'!$Y$5:$AB$5,0))</f>
        <v>1.4</v>
      </c>
      <c r="I243" s="83" t="e">
        <f>IF(B243&lt;=Hypothèses!$C$7,Hypothèses!$P$7,IF(B243&lt;=Hypothèses!$C$8,Hypothèses!$P$8,IF(B243&lt;=Hypothèses!$C$9,Hypothèses!$P$9,IF(B243&lt;=Hypothèses!$C$10,Hypothèses!$P$10,IF(B243&lt;=Hypothèses!$C$11,Hypothèses!$P$11,IF(B243&lt;=Hypothèses!$C$12,Hypothèses!$P$12,IF(B243&lt;=Hypothèses!$C$13,Hypothèses!$P$13,IF(B243&lt;=Hypothèses!$C$14,Hypothèses!$P$14,IF(B243&lt;=Hypothèses!$C$15,Hypothèses!$P$15,IF(B243&lt;=Hypothèses!$C$16,Hypothèses!$P$16,IF(B243&lt;=Hypothèses!$C$17,Hypothèses!$P$17,IF(B243&lt;=Hypothèses!$C$18,Hypothèses!$P$18,I242))))))))))))</f>
        <v>#N/A</v>
      </c>
      <c r="J243" s="91" t="e">
        <f t="array" ref="J243">INDEX('Coeff EC7'!$D$33:$Q$33,1,MATCH(D243&amp;E243,'Coeff EC7'!$D$31:$Q$31&amp;'Coeff EC7'!$D$32:$Q$32,0))</f>
        <v>#N/A</v>
      </c>
      <c r="K243" s="91" t="e">
        <f t="array" ref="K243">INDEX('Coeff EC7'!$D$34:$Q$34,1,MATCH(D243&amp;E243,'Coeff EC7'!$D$31:$Q$31&amp;'Coeff EC7'!$D$32:$Q$32,0))</f>
        <v>#N/A</v>
      </c>
      <c r="L243" s="91" t="e">
        <f t="array" ref="L243">INDEX('Coeff EC7'!$D$35:$Q$35,1,MATCH(D243&amp;E243,'Coeff EC7'!$D$31:$Q$31&amp;'Coeff EC7'!$D$32:$Q$32,0))</f>
        <v>#N/A</v>
      </c>
      <c r="M243" s="98" t="e">
        <f t="shared" si="331"/>
        <v>#N/A</v>
      </c>
      <c r="N243" s="99" t="e">
        <f t="array" ref="N243">INDEX('Coeff EC7'!$D$7:$Q$27,MATCH($B$3,'Coeff EC7'!$C$7:$C$27,0),MATCH(D243&amp;E243,'Coeff EC7'!$D$5:$Q$5&amp;'Coeff EC7'!$D$6:$Q$6,0))</f>
        <v>#N/A</v>
      </c>
      <c r="O243" s="99" t="e">
        <f t="array" ref="O243">INDEX('Coeff EC7'!$D$41:$Q$61,MATCH($B$3,'Coeff EC7'!$C$41:$C$61,0),MATCH(D243&amp;E243,'Coeff EC7'!$D$39:$Q$39&amp;'Coeff EC7'!$D$40:$Q$40,0))</f>
        <v>#N/A</v>
      </c>
      <c r="P243" s="30" t="e">
        <f t="shared" si="368"/>
        <v>#N/A</v>
      </c>
      <c r="Q243" s="100" t="e">
        <f t="shared" si="333"/>
        <v>#N/A</v>
      </c>
      <c r="R243" s="86" t="b">
        <f t="shared" si="334"/>
        <v>0</v>
      </c>
      <c r="S243" s="86">
        <f t="shared" si="332"/>
        <v>0.5</v>
      </c>
      <c r="T243" s="86">
        <f t="shared" si="335"/>
        <v>0.5</v>
      </c>
      <c r="U243" s="30" t="e">
        <f t="shared" ca="1" si="369"/>
        <v>#DIV/0!</v>
      </c>
      <c r="V243" s="85" t="str">
        <f>IF(B243&lt;=Hypothèses!$V$7,Hypothèses!$W$7,IF(B243&lt;=Hypothèses!$V$8,Hypothèses!$W$8,IF(B243&lt;=Hypothèses!$V$9,Hypothèses!$W$9,IF(B243&lt;=Hypothèses!$V$10,Hypothèses!$W$10,IF(B243&lt;=Hypothèses!$V$11,Hypothèses!$W$11,IF(B243&lt;=Hypothèses!$V$12,Hypothèses!$W$12,IF(B243&lt;=Hypothèses!$V$13,Hypothèses!$W$13,IF(B243&lt;=Hypothèses!$V$14,Hypothèses!$W$14,IF(B243&lt;=Hypothèses!$V$15,Hypothèses!$W$15,IF(B243&lt;=Hypothèses!$V$16,Hypothèses!$W$16,IF(B243&lt;=Hypothèses!$V$17,Hypothèses!$W$17,IF(B243&lt;=Hypothèses!$V$18,Hypothèses!$W$18,""))))))))))))</f>
        <v/>
      </c>
      <c r="W243" s="87" t="e">
        <f t="shared" ca="1" si="416"/>
        <v>#DIV/0!</v>
      </c>
      <c r="X243" s="88" t="str">
        <f>IF(B243&lt;=Hypothèses!$V$7,Hypothèses!$X$7,IF(B243&lt;=Hypothèses!$V$8,Hypothèses!$X$8,IF(B243&lt;=Hypothèses!$V$9,Hypothèses!$X$9,IF(B243&lt;=Hypothèses!$V$10,Hypothèses!$X$10,IF(B243&lt;=Hypothèses!$V$11,Hypothèses!$X$11,IF(B243&lt;=Hypothèses!$V$12,Hypothèses!$X$12,IF(B243&lt;=Hypothèses!$V$13,Hypothèses!$X$13,IF(B243&lt;=Hypothèses!$V$14,Hypothèses!$X$14,IF(B243&lt;=Hypothèses!$V$15,Hypothèses!$X$15,IF(B243&lt;=Hypothèses!$V$16,Hypothèses!$X$16,IF(B243&lt;=Hypothèses!$U$17,Hypothèses!$W$17,IF(B243&lt;=Hypothèses!$U$18,Hypothèses!$W$18,""))))))))))))</f>
        <v/>
      </c>
      <c r="Y243" s="95" t="e">
        <f t="shared" ca="1" si="336"/>
        <v>#DIV/0!</v>
      </c>
      <c r="Z243" s="101" t="e">
        <f t="shared" si="337"/>
        <v>#N/A</v>
      </c>
      <c r="AA243" s="91" t="e">
        <f t="shared" si="338"/>
        <v>#N/A</v>
      </c>
      <c r="AB243" s="30" t="e">
        <f t="shared" si="400"/>
        <v>#N/A</v>
      </c>
      <c r="AC243" s="30" t="e">
        <f t="shared" si="401"/>
        <v>#N/A</v>
      </c>
      <c r="AD243" s="31" t="e">
        <f>IF(OR(Hypothèses!$B$4=17,Hypothèses!$B$4=18,Hypothèses!$B$4=19,Hypothèses!$B$4=20),
IF($D243="Pressio.",
IF(OR($E243=3,$E243=1,$E243=4),AC243,AB243),
IF($D243="Pénétro.",
IF(OR($E243=3,$E243=1,$E243=4),AC243,AB243))),IF($D243="Pressio.",
IF($E243=3,AC243,AB243),
IF($D243="Pénétro.",
IF($E243=4,AC243,AB243))))</f>
        <v>#N/A</v>
      </c>
      <c r="AE243" s="31" t="e">
        <f>(IF(OR(Hypothèses!$B$4=17,Hypothèses!$B$4=18,Hypothèses!$B$4=19,Hypothèses!$B$4=20),
IF($D243="Pressio.",
IF(OR($E243=3,$E243=1,$E243=4),(PI()*AE$12^2)/4*(AA243*$W243*1000)/($H243*$B$5),(PI()*AE$12^2)/4*(AA243*$W243*1000)/($G243*$B$5)),
IF($D243="Pénétro.",
IF(OR($E243=4,$E243=1,$E243=5),(PI()*AE$12^2)/4*(AA243*$W243*1000)/($H243*$B$5),(PI()*AE$12^2)/4*(AA243*$W243*1000)/($G243*$B$5)))),
IF($D243="Pressio.",
IF($E243=3,(PI()*AE$12^2)/4*(AA243*$W243*1000)/($H243*$B$5),(PI()*AE$12^2)/4*(AA243*$W243*1000)/($G243*$B$5)),
IF($D243="Pénétro.",
IF($E243=4,(PI()*AE$12^2)/4*(AA243*$W243*1000)/($H243*$B$5),(PI()*AE$12^2)/4*(AA243*$W243*1000)/($G243*$B$5))))))/10</f>
        <v>#N/A</v>
      </c>
      <c r="AF243" s="102" t="e">
        <f>(VLOOKUP($B$3,'Coeff EC7'!$T$39:$X$59,2,0)*AD243+VLOOKUP($B$3,'Coeff EC7'!$T$65:$X$85,2,0)*Model0.1C!AE243)/1.1</f>
        <v>#N/A</v>
      </c>
      <c r="AG243" s="102" t="e">
        <f>(VLOOKUP($B$3,'Coeff EC7'!$T$39:$X$59,3,0)*AD243+VLOOKUP($B$3,'Coeff EC7'!$T$65:$X$85,3,0)*Model0.1C!AE243)/0.9</f>
        <v>#N/A</v>
      </c>
      <c r="AH243" s="102" t="e">
        <f t="shared" si="339"/>
        <v>#N/A</v>
      </c>
      <c r="AI243" s="102" t="e">
        <f t="shared" si="340"/>
        <v>#N/A</v>
      </c>
      <c r="AJ243" s="414" t="e">
        <f>IF(AJ242=0,0,IF(AND(AF243&gt;charge_ELS_quasi,AG243&gt;Charge_ELS_freq,AH243&gt;charge_ELU,AI243&gt;charge_ELA,$B243&gt;NDC!$H$22-0.1+MIN(3*$AJ$12,1.5)),0,1))</f>
        <v>#N/A</v>
      </c>
      <c r="AK243" s="86" t="b">
        <f t="shared" si="341"/>
        <v>0</v>
      </c>
      <c r="AL243" s="86">
        <f t="shared" si="370"/>
        <v>0.5</v>
      </c>
      <c r="AM243" s="86">
        <f t="shared" si="342"/>
        <v>0.5</v>
      </c>
      <c r="AN243" s="30" t="e">
        <f t="shared" ca="1" si="371"/>
        <v>#DIV/0!</v>
      </c>
      <c r="AO243" s="85" t="e">
        <f ca="1">IF(U243&lt;=Hypothèses!$V$7,Hypothèses!$W$7,IF(U243&lt;=Hypothèses!$V$8,Hypothèses!$W$8,IF(U243&lt;=Hypothèses!$V$9,Hypothèses!$W$9,IF(U243&lt;=Hypothèses!$V$10,Hypothèses!$W$10,IF(U243&lt;=Hypothèses!$V$11,Hypothèses!$W$11,IF(U243&lt;=Hypothèses!$V$12,Hypothèses!$W$12,IF(U243&lt;=Hypothèses!$V$13,Hypothèses!$W$13,IF(U243&lt;=Hypothèses!$V$14,Hypothèses!$W$14,IF(U243&lt;=Hypothèses!$V$15,Hypothèses!$W$15,IF(U243&lt;=Hypothèses!$V$16,Hypothèses!$W$16,IF(U243&lt;=Hypothèses!$V$17,Hypothèses!$W$17,IF(U243&lt;=Hypothèses!$V$18,Hypothèses!$W$18,""))))))))))))</f>
        <v>#DIV/0!</v>
      </c>
      <c r="AP243" s="87" t="e">
        <f t="shared" ca="1" si="417"/>
        <v>#DIV/0!</v>
      </c>
      <c r="AQ243" s="88" t="e">
        <f ca="1">IF(U243&lt;=Hypothèses!$V$7,Hypothèses!$X$7,IF(U243&lt;=Hypothèses!$V$8,Hypothèses!$X$8,IF(U243&lt;=Hypothèses!$V$9,Hypothèses!$X$9,IF(U243&lt;=Hypothèses!$V$10,Hypothèses!$X$10,IF(U243&lt;=Hypothèses!$V$11,Hypothèses!$X$11,IF(U243&lt;=Hypothèses!$V$12,Hypothèses!$X$12,IF(U243&lt;=Hypothèses!$V$13,Hypothèses!$X$13,IF(U243&lt;=Hypothèses!$V$14,Hypothèses!$X$14,IF(U243&lt;=Hypothèses!$V$15,Hypothèses!$X$15,IF(U243&lt;=Hypothèses!$V$16,Hypothèses!$X$16,IF(U243&lt;=Hypothèses!$U$17,Hypothèses!$W$17,IF(U243&lt;=Hypothèses!$U$18,Hypothèses!$W$18,""))))))))))))</f>
        <v>#DIV/0!</v>
      </c>
      <c r="AR243" s="95" t="e">
        <f t="shared" ca="1" si="372"/>
        <v>#DIV/0!</v>
      </c>
      <c r="AS243" s="101" t="e">
        <f t="shared" si="424"/>
        <v>#N/A</v>
      </c>
      <c r="AT243" s="91" t="e">
        <f t="shared" si="343"/>
        <v>#N/A</v>
      </c>
      <c r="AU243" s="30" t="e">
        <f t="shared" si="402"/>
        <v>#N/A</v>
      </c>
      <c r="AV243" s="30" t="e">
        <f t="shared" si="403"/>
        <v>#N/A</v>
      </c>
      <c r="AW243" s="31" t="e">
        <f>IF(OR(Hypothèses!$B$4=17,Hypothèses!$B$4=18,Hypothèses!$B$4=19,Hypothèses!$B$4=20),
IF($D243="Pressio.",
IF(OR($E243=3,$E243=1,$E243=4),AV243,AU243),
IF($D243="Pénétro.",
IF(OR($E243=3,$E243=1,$E243=4),AV243,AU243))),IF($D243="Pressio.",
IF($E243=3,AV243,AU243),
IF($D243="Pénétro.",
IF($E243=4,AV243,AU243))))</f>
        <v>#N/A</v>
      </c>
      <c r="AX243" s="31" t="e">
        <f>(IF(OR(Hypothèses!$B$4=17,Hypothèses!$B$4=18,Hypothèses!$B$4=19,Hypothèses!$B$4=20),
IF($D243="Pressio.",
IF(OR($E243=3,$E243=1,$E243=4),(PI()*AX$12^2)/4*(AT243*$W243*1000)/($H243*$B$5),(PI()*AX$12^2)/4*(AT243*$W243*1000)/($G243*$B$5)),
IF($D243="Pénétro.",
IF(OR($E243=4,$E243=1,$E243=5),(PI()*AX$12^2)/4*(AT243*$W243*1000)/($H243*$B$5),(PI()*AX$12^2)/4*(AT243*$W243*1000)/($G243*$B$5)))),
IF($D243="Pressio.",
IF($E243=3,(PI()*AX$12^2)/4*(AT243*$W243*1000)/($H243*$B$5),(PI()*AX$12^2)/4*(AT243*$W243*1000)/($G243*$B$5)),
IF($D243="Pénétro.",
IF($E243=4,(PI()*AX$12^2)/4*(AT243*$W243*1000)/($H243*$B$5),(PI()*AX$12^2)/4*(AT243*$W243*1000)/($G243*$B$5))))))/10</f>
        <v>#N/A</v>
      </c>
      <c r="AY243" s="102" t="e">
        <f>(VLOOKUP($B$3,'Coeff EC7'!$T$39:$X$59,2,0)*AW243+VLOOKUP($B$3,'Coeff EC7'!$T$65:$X$85,2,0)*Model0.1C!AX243)/1.1</f>
        <v>#N/A</v>
      </c>
      <c r="AZ243" s="102" t="e">
        <f>(VLOOKUP($B$3,'Coeff EC7'!$T$39:$X$59,3,0)*AW243+VLOOKUP($B$3,'Coeff EC7'!$T$65:$X$85,3,0)*Model0.1C!AX243)/0.9</f>
        <v>#N/A</v>
      </c>
      <c r="BA243" s="102" t="e">
        <f t="shared" si="373"/>
        <v>#N/A</v>
      </c>
      <c r="BB243" s="102" t="e">
        <f t="shared" si="374"/>
        <v>#N/A</v>
      </c>
      <c r="BC243" s="414" t="e">
        <f>IF(BC242=0,0,IF(AND(AY243&gt;charge_ELS_quasi,AZ243&gt;Charge_ELS_freq,BA243&gt;charge_ELU,BB243&gt;charge_ELA,$B243&gt;NDC!$H$22-0.1+MIN(3*$BC$12,1.5)),0,1))</f>
        <v>#N/A</v>
      </c>
      <c r="BD243" s="86" t="b">
        <f t="shared" si="344"/>
        <v>0</v>
      </c>
      <c r="BE243" s="86">
        <f t="shared" si="375"/>
        <v>0.5</v>
      </c>
      <c r="BF243" s="86">
        <f t="shared" si="345"/>
        <v>0.5</v>
      </c>
      <c r="BG243" s="30" t="e">
        <f t="shared" ca="1" si="376"/>
        <v>#DIV/0!</v>
      </c>
      <c r="BH243" s="85" t="e">
        <f ca="1">IF(AN243&lt;=Hypothèses!$V$7,Hypothèses!$W$7,IF(AN243&lt;=Hypothèses!$V$8,Hypothèses!$W$8,IF(AN243&lt;=Hypothèses!$V$9,Hypothèses!$W$9,IF(AN243&lt;=Hypothèses!$V$10,Hypothèses!$W$10,IF(AN243&lt;=Hypothèses!$V$11,Hypothèses!$W$11,IF(AN243&lt;=Hypothèses!$V$12,Hypothèses!$W$12,IF(AN243&lt;=Hypothèses!$V$13,Hypothèses!$W$13,IF(AN243&lt;=Hypothèses!$V$14,Hypothèses!$W$14,IF(AN243&lt;=Hypothèses!$V$15,Hypothèses!$W$15,IF(AN243&lt;=Hypothèses!$V$16,Hypothèses!$W$16,IF(AN243&lt;=Hypothèses!$V$17,Hypothèses!$W$17,IF(AN243&lt;=Hypothèses!$V$18,Hypothèses!$W$18,""))))))))))))</f>
        <v>#DIV/0!</v>
      </c>
      <c r="BI243" s="87" t="e">
        <f t="shared" ca="1" si="418"/>
        <v>#DIV/0!</v>
      </c>
      <c r="BJ243" s="88" t="e">
        <f ca="1">IF(AN243&lt;=Hypothèses!$V$7,Hypothèses!$X$7,IF(AN243&lt;=Hypothèses!$V$8,Hypothèses!$X$8,IF(AN243&lt;=Hypothèses!$V$9,Hypothèses!$X$9,IF(AN243&lt;=Hypothèses!$V$10,Hypothèses!$X$10,IF(AN243&lt;=Hypothèses!$V$11,Hypothèses!$X$11,IF(AN243&lt;=Hypothèses!$V$12,Hypothèses!$X$12,IF(AN243&lt;=Hypothèses!$V$13,Hypothèses!$X$13,IF(AN243&lt;=Hypothèses!$V$14,Hypothèses!$X$14,IF(AN243&lt;=Hypothèses!$V$15,Hypothèses!$X$15,IF(AN243&lt;=Hypothèses!$V$16,Hypothèses!$X$16,IF(AN243&lt;=Hypothèses!$U$17,Hypothèses!$W$17,IF(AN243&lt;=Hypothèses!$U$18,Hypothèses!$W$18,""))))))))))))</f>
        <v>#DIV/0!</v>
      </c>
      <c r="BK243" s="95" t="e">
        <f t="shared" ca="1" si="377"/>
        <v>#DIV/0!</v>
      </c>
      <c r="BL243" s="101" t="e">
        <f t="shared" si="425"/>
        <v>#N/A</v>
      </c>
      <c r="BM243" s="91" t="e">
        <f t="shared" si="346"/>
        <v>#N/A</v>
      </c>
      <c r="BN243" s="30" t="e">
        <f t="shared" si="404"/>
        <v>#N/A</v>
      </c>
      <c r="BO243" s="30" t="e">
        <f t="shared" si="405"/>
        <v>#N/A</v>
      </c>
      <c r="BP243" s="31" t="e">
        <f>IF(OR(Hypothèses!$B$4=17,Hypothèses!$B$4=18,Hypothèses!$B$4=19,Hypothèses!$B$4=20),
IF($D243="Pressio.",
IF(OR($E243=3,$E243=1,$E243=4),BO243,BN243),
IF($D243="Pénétro.",
IF(OR($E243=3,$E243=1,$E243=4),BO243,BN243))),IF($D243="Pressio.",
IF($E243=3,BO243,BN243),
IF($D243="Pénétro.",
IF($E243=4,BO243,BN243))))</f>
        <v>#N/A</v>
      </c>
      <c r="BQ243" s="31" t="e">
        <f>(IF(OR(Hypothèses!$B$4=17,Hypothèses!$B$4=18,Hypothèses!$B$4=19,Hypothèses!$B$4=20),
IF($D243="Pressio.",
IF(OR($E243=3,$E243=1,$E243=4),(PI()*BQ$12^2)/4*(BM243*$W243*1000)/($H243*$B$5),(PI()*BQ$12^2)/4*(BM243*$W243*1000)/($G243*$B$5)),
IF($D243="Pénétro.",
IF(OR($E243=4,$E243=1,$E243=5),(PI()*BQ$12^2)/4*(BM243*$W243*1000)/($H243*$B$5),(PI()*BQ$12^2)/4*(BM243*$W243*1000)/($G243*$B$5)))),
IF($D243="Pressio.",
IF($E243=3,(PI()*BQ$12^2)/4*(BM243*$W243*1000)/($H243*$B$5),(PI()*BQ$12^2)/4*(BM243*$W243*1000)/($G243*$B$5)),
IF($D243="Pénétro.",
IF($E243=4,(PI()*BQ$12^2)/4*(BM243*$W243*1000)/($H243*$B$5),(PI()*BQ$12^2)/4*(BM243*$W243*1000)/($G243*$B$5))))))/10</f>
        <v>#N/A</v>
      </c>
      <c r="BR243" s="102" t="e">
        <f>(VLOOKUP($B$3,'Coeff EC7'!$T$39:$X$59,2,0)*BP243+VLOOKUP($B$3,'Coeff EC7'!$T$65:$X$85,2,0)*Model0.1C!BQ243)/1.1</f>
        <v>#N/A</v>
      </c>
      <c r="BS243" s="102" t="e">
        <f>(VLOOKUP($B$3,'Coeff EC7'!$T$39:$X$59,3,0)*BP243+VLOOKUP($B$3,'Coeff EC7'!$T$65:$X$85,3,0)*Model0.1C!BQ243)/0.9</f>
        <v>#N/A</v>
      </c>
      <c r="BT243" s="102" t="e">
        <f t="shared" si="378"/>
        <v>#N/A</v>
      </c>
      <c r="BU243" s="102" t="e">
        <f t="shared" si="379"/>
        <v>#N/A</v>
      </c>
      <c r="BV243" s="414" t="e">
        <f>IF(BV242=0,0,IF(AND(BR243&gt;charge_ELS_quasi,BS243&gt;Charge_ELS_freq,BT243&gt;charge_ELU,BU243&gt;charge_ELA,$B243&gt;NDC!$H$22-0.1+MIN(3*$BV$12,1.5)),0,1))</f>
        <v>#N/A</v>
      </c>
      <c r="BW243" s="86" t="b">
        <f t="shared" si="347"/>
        <v>0</v>
      </c>
      <c r="BX243" s="86">
        <f t="shared" si="348"/>
        <v>0.5</v>
      </c>
      <c r="BY243" s="86">
        <f t="shared" si="349"/>
        <v>0.5</v>
      </c>
      <c r="BZ243" s="30" t="e">
        <f t="shared" ca="1" si="380"/>
        <v>#DIV/0!</v>
      </c>
      <c r="CA243" s="85" t="e">
        <f ca="1">IF(BG243&lt;=Hypothèses!$V$7,Hypothèses!$W$7,IF(BG243&lt;=Hypothèses!$V$8,Hypothèses!$W$8,IF(BG243&lt;=Hypothèses!$V$9,Hypothèses!$W$9,IF(BG243&lt;=Hypothèses!$V$10,Hypothèses!$W$10,IF(BG243&lt;=Hypothèses!$V$11,Hypothèses!$W$11,IF(BG243&lt;=Hypothèses!$V$12,Hypothèses!$W$12,IF(BG243&lt;=Hypothèses!$V$13,Hypothèses!$W$13,IF(BG243&lt;=Hypothèses!$V$14,Hypothèses!$W$14,IF(BG243&lt;=Hypothèses!$V$15,Hypothèses!$W$15,IF(BG243&lt;=Hypothèses!$V$16,Hypothèses!$W$16,IF(BG243&lt;=Hypothèses!$V$17,Hypothèses!$W$17,IF(BG243&lt;=Hypothèses!$V$18,Hypothèses!$W$18,""))))))))))))</f>
        <v>#DIV/0!</v>
      </c>
      <c r="CB243" s="87" t="e">
        <f t="shared" ca="1" si="419"/>
        <v>#DIV/0!</v>
      </c>
      <c r="CC243" s="88" t="e">
        <f ca="1">IF(BG243&lt;=Hypothèses!$V$7,Hypothèses!$X$7,IF(BG243&lt;=Hypothèses!$V$8,Hypothèses!$X$8,IF(BG243&lt;=Hypothèses!$V$9,Hypothèses!$X$9,IF(BG243&lt;=Hypothèses!$V$10,Hypothèses!$X$10,IF(BG243&lt;=Hypothèses!$V$11,Hypothèses!$X$11,IF(BG243&lt;=Hypothèses!$V$12,Hypothèses!$X$12,IF(BG243&lt;=Hypothèses!$V$13,Hypothèses!$X$13,IF(BG243&lt;=Hypothèses!$V$14,Hypothèses!$X$14,IF(BG243&lt;=Hypothèses!$V$15,Hypothèses!$X$15,IF(BG243&lt;=Hypothèses!$V$16,Hypothèses!$X$16,IF(BG243&lt;=Hypothèses!$U$17,Hypothèses!$W$17,IF(BG243&lt;=Hypothèses!$U$18,Hypothèses!$W$18,""))))))))))))</f>
        <v>#DIV/0!</v>
      </c>
      <c r="CD243" s="95" t="e">
        <f t="shared" ca="1" si="381"/>
        <v>#DIV/0!</v>
      </c>
      <c r="CE243" s="101" t="e">
        <f t="shared" si="426"/>
        <v>#N/A</v>
      </c>
      <c r="CF243" s="91" t="e">
        <f t="shared" si="350"/>
        <v>#N/A</v>
      </c>
      <c r="CG243" s="30" t="e">
        <f t="shared" si="406"/>
        <v>#N/A</v>
      </c>
      <c r="CH243" s="30" t="e">
        <f t="shared" si="407"/>
        <v>#N/A</v>
      </c>
      <c r="CI243" s="31" t="e">
        <f>IF(OR(Hypothèses!$B$4=17,Hypothèses!$B$4=18,Hypothèses!$B$4=19,Hypothèses!$B$4=20),
IF($D243="Pressio.",
IF(OR($E243=3,$E243=1,$E243=4),CH243,CG243),
IF($D243="Pénétro.",
IF(OR($E243=3,$E243=1,$E243=4),CH243,CG243))),IF($D243="Pressio.",
IF($E243=3,CH243,CG243),
IF($D243="Pénétro.",
IF($E243=4,CH243,CG243))))</f>
        <v>#N/A</v>
      </c>
      <c r="CJ243" s="31" t="e">
        <f>(IF(OR(Hypothèses!$B$4=17,Hypothèses!$B$4=18,Hypothèses!$B$4=19,Hypothèses!$B$4=20),
IF($D243="Pressio.",
IF(OR($E243=3,$E243=1,$E243=4),(PI()*CJ$12^2)/4*(CF243*$W243*1000)/($H243*$B$5),(PI()*CJ$12^2)/4*(CF243*$W243*1000)/($G243*$B$5)),
IF($D243="Pénétro.",
IF(OR($E243=4,$E243=1,$E243=5),(PI()*CJ$12^2)/4*(CF243*$W243*1000)/($H243*$B$5),(PI()*CJ$12^2)/4*(CF243*$W243*1000)/($G243*$B$5)))),
IF($D243="Pressio.",
IF($E243=3,(PI()*CJ$12^2)/4*(CF243*$W243*1000)/($H243*$B$5),(PI()*CJ$12^2)/4*(CF243*$W243*1000)/($G243*$B$5)),
IF($D243="Pénétro.",
IF($E243=4,(PI()*CJ$12^2)/4*(CF243*$W243*1000)/($H243*$B$5),(PI()*CJ$12^2)/4*(CF243*$W243*1000)/($G243*$B$5))))))/10</f>
        <v>#N/A</v>
      </c>
      <c r="CK243" s="102" t="e">
        <f>(VLOOKUP($B$3,'Coeff EC7'!$T$39:$X$59,2,0)*CI243+VLOOKUP($B$3,'Coeff EC7'!$T$65:$X$85,2,0)*Model0.1C!CJ243)/1.1</f>
        <v>#N/A</v>
      </c>
      <c r="CL243" s="102" t="e">
        <f>(VLOOKUP($B$3,'Coeff EC7'!$T$39:$X$59,3,0)*CI243+VLOOKUP($B$3,'Coeff EC7'!$T$65:$X$85,3,0)*Model0.1C!CJ243)/0.9</f>
        <v>#N/A</v>
      </c>
      <c r="CM243" s="102" t="e">
        <f t="shared" si="382"/>
        <v>#N/A</v>
      </c>
      <c r="CN243" s="102" t="e">
        <f t="shared" si="383"/>
        <v>#N/A</v>
      </c>
      <c r="CO243" s="414" t="e">
        <f>IF(CO242=0,0,IF(AND(CK243&gt;charge_ELS_quasi,CL243&gt;Charge_ELS_freq,CM243&gt;charge_ELU,CN243&gt;charge_ELA,$B243&gt;NDC!$H$22-0.1+MIN(3*$CO$12,1.5)),0,1))</f>
        <v>#N/A</v>
      </c>
      <c r="CP243" s="86" t="b">
        <f t="shared" si="351"/>
        <v>0</v>
      </c>
      <c r="CQ243" s="86">
        <f t="shared" si="352"/>
        <v>0.5</v>
      </c>
      <c r="CR243" s="86">
        <f t="shared" si="353"/>
        <v>0.5</v>
      </c>
      <c r="CS243" s="30" t="e">
        <f t="shared" ca="1" si="384"/>
        <v>#DIV/0!</v>
      </c>
      <c r="CT243" s="85" t="e">
        <f ca="1">IF(BZ243&lt;=Hypothèses!$V$7,Hypothèses!$W$7,IF(BZ243&lt;=Hypothèses!$V$8,Hypothèses!$W$8,IF(BZ243&lt;=Hypothèses!$V$9,Hypothèses!$W$9,IF(BZ243&lt;=Hypothèses!$V$10,Hypothèses!$W$10,IF(BZ243&lt;=Hypothèses!$V$11,Hypothèses!$W$11,IF(BZ243&lt;=Hypothèses!$V$12,Hypothèses!$W$12,IF(BZ243&lt;=Hypothèses!$V$13,Hypothèses!$W$13,IF(BZ243&lt;=Hypothèses!$V$14,Hypothèses!$W$14,IF(BZ243&lt;=Hypothèses!$V$15,Hypothèses!$W$15,IF(BZ243&lt;=Hypothèses!$V$16,Hypothèses!$W$16,IF(BZ243&lt;=Hypothèses!$V$17,Hypothèses!$W$17,IF(BZ243&lt;=Hypothèses!$V$18,Hypothèses!$W$18,""))))))))))))</f>
        <v>#DIV/0!</v>
      </c>
      <c r="CU243" s="87" t="e">
        <f t="shared" ca="1" si="420"/>
        <v>#DIV/0!</v>
      </c>
      <c r="CV243" s="88" t="e">
        <f ca="1">IF(BZ243&lt;=Hypothèses!$V$7,Hypothèses!$X$7,IF(BZ243&lt;=Hypothèses!$V$8,Hypothèses!$X$8,IF(BZ243&lt;=Hypothèses!$V$9,Hypothèses!$X$9,IF(BZ243&lt;=Hypothèses!$V$10,Hypothèses!$X$10,IF(BZ243&lt;=Hypothèses!$V$11,Hypothèses!$X$11,IF(BZ243&lt;=Hypothèses!$V$12,Hypothèses!$X$12,IF(BZ243&lt;=Hypothèses!$V$13,Hypothèses!$X$13,IF(BZ243&lt;=Hypothèses!$V$14,Hypothèses!$X$14,IF(BZ243&lt;=Hypothèses!$V$15,Hypothèses!$X$15,IF(BZ243&lt;=Hypothèses!$V$16,Hypothèses!$X$16,IF(BZ243&lt;=Hypothèses!$U$17,Hypothèses!$W$17,IF(BZ243&lt;=Hypothèses!$U$18,Hypothèses!$W$18,""))))))))))))</f>
        <v>#DIV/0!</v>
      </c>
      <c r="CW243" s="95" t="e">
        <f t="shared" ca="1" si="385"/>
        <v>#DIV/0!</v>
      </c>
      <c r="CX243" s="101" t="e">
        <f t="shared" si="427"/>
        <v>#N/A</v>
      </c>
      <c r="CY243" s="91" t="e">
        <f t="shared" si="354"/>
        <v>#N/A</v>
      </c>
      <c r="CZ243" s="30" t="e">
        <f t="shared" si="408"/>
        <v>#N/A</v>
      </c>
      <c r="DA243" s="30" t="e">
        <f t="shared" si="409"/>
        <v>#N/A</v>
      </c>
      <c r="DB243" s="31" t="e">
        <f>IF(OR(Hypothèses!$B$4=17,Hypothèses!$B$4=18,Hypothèses!$B$4=19,Hypothèses!$B$4=20),
IF($D243="Pressio.",
IF(OR($E243=3,$E243=1,$E243=4),DA243,CZ243),
IF($D243="Pénétro.",
IF(OR($E243=3,$E243=1,$E243=4),DA243,CZ243))),IF($D243="Pressio.",
IF($E243=3,DA243,CZ243),
IF($D243="Pénétro.",
IF($E243=4,DA243,CZ243))))</f>
        <v>#N/A</v>
      </c>
      <c r="DC243" s="31" t="e">
        <f>(IF(OR(Hypothèses!$B$4=17,Hypothèses!$B$4=18,Hypothèses!$B$4=19,Hypothèses!$B$4=20),
IF($D243="Pressio.",
IF(OR($E243=3,$E243=1,$E243=4),(PI()*DC$12^2)/4*(CY243*$W243*1000)/($H243*$B$5),(PI()*DC$12^2)/4*(CY243*$W243*1000)/($G243*$B$5)),
IF($D243="Pénétro.",
IF(OR($E243=4,$E243=1,$E243=5),(PI()*DC$12^2)/4*(CY243*$W243*1000)/($H243*$B$5),(PI()*DC$12^2)/4*(CY243*$W243*1000)/($G243*$B$5)))),
IF($D243="Pressio.",
IF($E243=3,(PI()*DC$12^2)/4*(CY243*$W243*1000)/($H243*$B$5),(PI()*DC$12^2)/4*(CY243*$W243*1000)/($G243*$B$5)),
IF($D243="Pénétro.",
IF($E243=4,(PI()*DC$12^2)/4*(CY243*$W243*1000)/($H243*$B$5),(PI()*DC$12^2)/4*(CY243*$W243*1000)/($G243*$B$5))))))/10</f>
        <v>#N/A</v>
      </c>
      <c r="DD243" s="102" t="e">
        <f>(VLOOKUP($B$3,'Coeff EC7'!$T$39:$X$59,2,0)*DB243+VLOOKUP($B$3,'Coeff EC7'!$T$65:$X$85,2,0)*Model0.1C!DC243)/1.1</f>
        <v>#N/A</v>
      </c>
      <c r="DE243" s="102" t="e">
        <f>(VLOOKUP($B$3,'Coeff EC7'!$T$39:$X$59,3,0)*DB243+VLOOKUP($B$3,'Coeff EC7'!$T$65:$X$85,3,0)*Model0.1C!DC243)/0.9</f>
        <v>#N/A</v>
      </c>
      <c r="DF243" s="102" t="e">
        <f t="shared" si="386"/>
        <v>#N/A</v>
      </c>
      <c r="DG243" s="102" t="e">
        <f t="shared" si="387"/>
        <v>#N/A</v>
      </c>
      <c r="DH243" s="414" t="e">
        <f>IF(DH242=0,0,IF(AND(DD243&gt;charge_ELS_quasi,DE243&gt;Charge_ELS_freq,DF243&gt;charge_ELU,DG243&gt;charge_ELA,$B243&gt;NDC!$H$22-0.1+MIN(3*$DH$12,1.5)),0,1))</f>
        <v>#N/A</v>
      </c>
      <c r="DI243" s="86" t="b">
        <f t="shared" si="355"/>
        <v>0</v>
      </c>
      <c r="DJ243" s="86">
        <f t="shared" si="356"/>
        <v>0.5</v>
      </c>
      <c r="DK243" s="86">
        <f t="shared" si="357"/>
        <v>0.5</v>
      </c>
      <c r="DL243" s="30" t="e">
        <f t="shared" ca="1" si="388"/>
        <v>#DIV/0!</v>
      </c>
      <c r="DM243" s="85" t="e">
        <f ca="1">IF(CS243&lt;=Hypothèses!$V$7,Hypothèses!$W$7,IF(CS243&lt;=Hypothèses!$V$8,Hypothèses!$W$8,IF(CS243&lt;=Hypothèses!$V$9,Hypothèses!$W$9,IF(CS243&lt;=Hypothèses!$V$10,Hypothèses!$W$10,IF(CS243&lt;=Hypothèses!$V$11,Hypothèses!$W$11,IF(CS243&lt;=Hypothèses!$V$12,Hypothèses!$W$12,IF(CS243&lt;=Hypothèses!$V$13,Hypothèses!$W$13,IF(CS243&lt;=Hypothèses!$V$14,Hypothèses!$W$14,IF(CS243&lt;=Hypothèses!$V$15,Hypothèses!$W$15,IF(CS243&lt;=Hypothèses!$V$16,Hypothèses!$W$16,IF(CS243&lt;=Hypothèses!$V$17,Hypothèses!$W$17,IF(CS243&lt;=Hypothèses!$V$18,Hypothèses!$W$18,""))))))))))))</f>
        <v>#DIV/0!</v>
      </c>
      <c r="DN243" s="87" t="e">
        <f t="shared" ca="1" si="421"/>
        <v>#DIV/0!</v>
      </c>
      <c r="DO243" s="88" t="e">
        <f ca="1">IF(CS243&lt;=Hypothèses!$V$7,Hypothèses!$X$7,IF(CS243&lt;=Hypothèses!$V$8,Hypothèses!$X$8,IF(CS243&lt;=Hypothèses!$V$9,Hypothèses!$X$9,IF(CS243&lt;=Hypothèses!$V$10,Hypothèses!$X$10,IF(CS243&lt;=Hypothèses!$V$11,Hypothèses!$X$11,IF(CS243&lt;=Hypothèses!$V$12,Hypothèses!$X$12,IF(CS243&lt;=Hypothèses!$V$13,Hypothèses!$X$13,IF(CS243&lt;=Hypothèses!$V$14,Hypothèses!$X$14,IF(CS243&lt;=Hypothèses!$V$15,Hypothèses!$X$15,IF(CS243&lt;=Hypothèses!$V$16,Hypothèses!$X$16,IF(CS243&lt;=Hypothèses!$U$17,Hypothèses!$W$17,IF(CS243&lt;=Hypothèses!$U$18,Hypothèses!$W$18,""))))))))))))</f>
        <v>#DIV/0!</v>
      </c>
      <c r="DP243" s="95" t="e">
        <f t="shared" ca="1" si="389"/>
        <v>#DIV/0!</v>
      </c>
      <c r="DQ243" s="101" t="e">
        <f t="shared" si="428"/>
        <v>#N/A</v>
      </c>
      <c r="DR243" s="91" t="e">
        <f t="shared" si="358"/>
        <v>#N/A</v>
      </c>
      <c r="DS243" s="30" t="e">
        <f t="shared" si="410"/>
        <v>#N/A</v>
      </c>
      <c r="DT243" s="30" t="e">
        <f t="shared" si="411"/>
        <v>#N/A</v>
      </c>
      <c r="DU243" s="31" t="e">
        <f>IF(OR(Hypothèses!$B$4=17,Hypothèses!$B$4=18,Hypothèses!$B$4=19,Hypothèses!$B$4=20),
IF($D243="Pressio.",
IF(OR($E243=3,$E243=1,$E243=4),DT243,DS243),
IF($D243="Pénétro.",
IF(OR($E243=3,$E243=1,$E243=4),DT243,DS243))),IF($D243="Pressio.",
IF($E243=3,DT243,DS243),
IF($D243="Pénétro.",
IF($E243=4,DT243,DS243))))</f>
        <v>#N/A</v>
      </c>
      <c r="DV243" s="31" t="e">
        <f>(IF(OR(Hypothèses!$B$4=17,Hypothèses!$B$4=18,Hypothèses!$B$4=19,Hypothèses!$B$4=20),
IF($D243="Pressio.",
IF(OR($E243=3,$E243=1,$E243=4),(PI()*DV$12^2)/4*(DR243*$W243*1000)/($H243*$B$5),(PI()*DV$12^2)/4*(DR243*$W243*1000)/($G243*$B$5)),
IF($D243="Pénétro.",
IF(OR($E243=4,$E243=1,$E243=5),(PI()*DV$12^2)/4*(DR243*$W243*1000)/($H243*$B$5),(PI()*DV$12^2)/4*(DR243*$W243*1000)/($G243*$B$5)))),
IF($D243="Pressio.",
IF($E243=3,(PI()*DV$12^2)/4*(DR243*$W243*1000)/($H243*$B$5),(PI()*DV$12^2)/4*(DR243*$W243*1000)/($G243*$B$5)),
IF($D243="Pénétro.",
IF($E243=4,(PI()*DV$12^2)/4*(DR243*$W243*1000)/($H243*$B$5),(PI()*DV$12^2)/4*(DR243*$W243*1000)/($G243*$B$5))))))/10</f>
        <v>#N/A</v>
      </c>
      <c r="DW243" s="102" t="e">
        <f>(VLOOKUP($B$3,'Coeff EC7'!$T$39:$X$59,2,0)*DU243+VLOOKUP($B$3,'Coeff EC7'!$T$65:$X$85,2,0)*Model0.1C!DV243)/1.1</f>
        <v>#N/A</v>
      </c>
      <c r="DX243" s="102" t="e">
        <f>(VLOOKUP($B$3,'Coeff EC7'!$T$39:$X$59,3,0)*DU243+VLOOKUP($B$3,'Coeff EC7'!$T$65:$X$85,3,0)*Model0.1C!DV243)/0.9</f>
        <v>#N/A</v>
      </c>
      <c r="DY243" s="102" t="e">
        <f t="shared" si="390"/>
        <v>#N/A</v>
      </c>
      <c r="DZ243" s="102" t="e">
        <f t="shared" si="391"/>
        <v>#N/A</v>
      </c>
      <c r="EA243" s="414" t="e">
        <f>IF(EA242=0,0,IF(AND(DW243&gt;charge_ELS_quasi,DX243&gt;Charge_ELS_freq,DY243&gt;charge_ELU,DZ243&gt;charge_ELA,$B243&gt;NDC!$H$22-0.1+MIN(3*$EA$12,1.5)),0,1))</f>
        <v>#N/A</v>
      </c>
      <c r="EB243" s="86" t="b">
        <f t="shared" si="359"/>
        <v>0</v>
      </c>
      <c r="EC243" s="418">
        <f t="shared" si="360"/>
        <v>0.51</v>
      </c>
      <c r="ED243" s="86">
        <f t="shared" si="361"/>
        <v>0.51</v>
      </c>
      <c r="EE243" s="30" t="e">
        <f t="shared" ca="1" si="392"/>
        <v>#DIV/0!</v>
      </c>
      <c r="EF243" s="85" t="e">
        <f ca="1">IF(DL243&lt;=Hypothèses!$V$7,Hypothèses!$W$7,IF(DL243&lt;=Hypothèses!$V$8,Hypothèses!$W$8,IF(DL243&lt;=Hypothèses!$V$9,Hypothèses!$W$9,IF(DL243&lt;=Hypothèses!$V$10,Hypothèses!$W$10,IF(DL243&lt;=Hypothèses!$V$11,Hypothèses!$W$11,IF(DL243&lt;=Hypothèses!$V$12,Hypothèses!$W$12,IF(DL243&lt;=Hypothèses!$V$13,Hypothèses!$W$13,IF(DL243&lt;=Hypothèses!$V$14,Hypothèses!$W$14,IF(DL243&lt;=Hypothèses!$V$15,Hypothèses!$W$15,IF(DL243&lt;=Hypothèses!$V$16,Hypothèses!$W$16,IF(DL243&lt;=Hypothèses!$V$17,Hypothèses!$W$17,IF(DL243&lt;=Hypothèses!$V$18,Hypothèses!$W$18,""))))))))))))</f>
        <v>#DIV/0!</v>
      </c>
      <c r="EG243" s="87" t="e">
        <f t="shared" ca="1" si="422"/>
        <v>#DIV/0!</v>
      </c>
      <c r="EH243" s="88" t="e">
        <f ca="1">IF(DL243&lt;=Hypothèses!$V$7,Hypothèses!$X$7,IF(DL243&lt;=Hypothèses!$V$8,Hypothèses!$X$8,IF(DL243&lt;=Hypothèses!$V$9,Hypothèses!$X$9,IF(DL243&lt;=Hypothèses!$V$10,Hypothèses!$X$10,IF(DL243&lt;=Hypothèses!$V$11,Hypothèses!$X$11,IF(DL243&lt;=Hypothèses!$V$12,Hypothèses!$X$12,IF(DL243&lt;=Hypothèses!$V$13,Hypothèses!$X$13,IF(DL243&lt;=Hypothèses!$V$14,Hypothèses!$X$14,IF(DL243&lt;=Hypothèses!$V$15,Hypothèses!$X$15,IF(DL243&lt;=Hypothèses!$V$16,Hypothèses!$X$16,IF(DL243&lt;=Hypothèses!$U$17,Hypothèses!$W$17,IF(DL243&lt;=Hypothèses!$U$18,Hypothèses!$W$18,""))))))))))))</f>
        <v>#DIV/0!</v>
      </c>
      <c r="EI243" s="95" t="e">
        <f t="shared" ca="1" si="393"/>
        <v>#DIV/0!</v>
      </c>
      <c r="EJ243" s="101" t="e">
        <f t="shared" si="429"/>
        <v>#N/A</v>
      </c>
      <c r="EK243" s="91" t="e">
        <f t="shared" si="362"/>
        <v>#N/A</v>
      </c>
      <c r="EL243" s="30" t="e">
        <f t="shared" si="412"/>
        <v>#N/A</v>
      </c>
      <c r="EM243" s="30" t="e">
        <f t="shared" si="413"/>
        <v>#N/A</v>
      </c>
      <c r="EN243" s="31" t="e">
        <f>IF(OR(Hypothèses!$B$4=17,Hypothèses!$B$4=18,Hypothèses!$B$4=19,Hypothèses!$B$4=20),
IF($D243="Pressio.",
IF(OR($E243=3,$E243=1,$E243=4),EM243,EL243),
IF($D243="Pénétro.",
IF(OR($E243=3,$E243=1,$E243=4),EM243,EL243))),IF($D243="Pressio.",
IF($E243=3,EM243,EL243),
IF($D243="Pénétro.",
IF($E243=4,EM243,EL243))))</f>
        <v>#N/A</v>
      </c>
      <c r="EO243" s="31" t="e">
        <f>(IF(OR(Hypothèses!$B$4=17,Hypothèses!$B$4=18,Hypothèses!$B$4=19,Hypothèses!$B$4=20),
IF($D243="Pressio.",
IF(OR($E243=3,$E243=1,$E243=4),(PI()*EO$12^2)/4*(EK243*$W243*1000)/($H243*$B$5),(PI()*EO$12^2)/4*(EK243*$W243*1000)/($G243*$B$5)),
IF($D243="Pénétro.",
IF(OR($E243=4,$E243=1,$E243=5),(PI()*EO$12^2)/4*(EK243*$W243*1000)/($H243*$B$5),(PI()*EO$12^2)/4*(EK243*$W243*1000)/($G243*$B$5)))),
IF($D243="Pressio.",
IF($E243=3,(PI()*EO$12^2)/4*(EK243*$W243*1000)/($H243*$B$5),(PI()*EO$12^2)/4*(EK243*$W243*1000)/($G243*$B$5)),
IF($D243="Pénétro.",
IF($E243=4,(PI()*EO$12^2)/4*(EK243*$W243*1000)/($H243*$B$5),(PI()*EO$12^2)/4*(EK243*$W243*1000)/($G243*$B$5))))))/10</f>
        <v>#N/A</v>
      </c>
      <c r="EP243" s="102" t="e">
        <f>(VLOOKUP($B$3,'Coeff EC7'!$T$39:$X$59,2,0)*EN243+VLOOKUP($B$3,'Coeff EC7'!$T$65:$X$85,2,0)*Model0.1C!EO243)/1.1</f>
        <v>#N/A</v>
      </c>
      <c r="EQ243" s="102" t="e">
        <f>(VLOOKUP($B$3,'Coeff EC7'!$T$39:$X$59,3,0)*EN243+VLOOKUP($B$3,'Coeff EC7'!$T$65:$X$85,3,0)*Model0.1C!EO243)/0.9</f>
        <v>#N/A</v>
      </c>
      <c r="ER243" s="102" t="e">
        <f t="shared" si="394"/>
        <v>#N/A</v>
      </c>
      <c r="ES243" s="102" t="e">
        <f t="shared" si="395"/>
        <v>#N/A</v>
      </c>
      <c r="ET243" s="414" t="e">
        <f>IF(ET242=0,0,IF(AND(EP243&gt;charge_ELS_quasi,EQ243&gt;Charge_ELS_freq,ER243&gt;charge_ELU,ES243&gt;charge_ELA,$B243&gt;NDC!$H$22-0.1+MIN(3*$ET$12,1.5)),0,1))</f>
        <v>#N/A</v>
      </c>
      <c r="EU243" s="86" t="b">
        <f t="shared" si="363"/>
        <v>0</v>
      </c>
      <c r="EV243" s="86">
        <f t="shared" si="364"/>
        <v>0.61</v>
      </c>
      <c r="EW243" s="86">
        <f t="shared" si="365"/>
        <v>0.61</v>
      </c>
      <c r="EX243" s="30" t="e">
        <f t="shared" ca="1" si="396"/>
        <v>#DIV/0!</v>
      </c>
      <c r="EY243" s="85" t="e">
        <f ca="1">IF(EE243&lt;=Hypothèses!$V$7,Hypothèses!$W$7,IF(EE243&lt;=Hypothèses!$V$8,Hypothèses!$W$8,IF(EE243&lt;=Hypothèses!$V$9,Hypothèses!$W$9,IF(EE243&lt;=Hypothèses!$V$10,Hypothèses!$W$10,IF(EE243&lt;=Hypothèses!$V$11,Hypothèses!$W$11,IF(EE243&lt;=Hypothèses!$V$12,Hypothèses!$W$12,IF(EE243&lt;=Hypothèses!$V$13,Hypothèses!$W$13,IF(EE243&lt;=Hypothèses!$V$14,Hypothèses!$W$14,IF(EE243&lt;=Hypothèses!$V$15,Hypothèses!$W$15,IF(EE243&lt;=Hypothèses!$V$16,Hypothèses!$W$16,IF(EE243&lt;=Hypothèses!$V$17,Hypothèses!$W$17,IF(EE243&lt;=Hypothèses!$V$18,Hypothèses!$W$18,""))))))))))))</f>
        <v>#DIV/0!</v>
      </c>
      <c r="EZ243" s="87" t="e">
        <f t="shared" ca="1" si="423"/>
        <v>#DIV/0!</v>
      </c>
      <c r="FA243" s="88" t="e">
        <f ca="1">IF(EE243&lt;=Hypothèses!$V$7,Hypothèses!$X$7,IF(EE243&lt;=Hypothèses!$V$8,Hypothèses!$X$8,IF(EE243&lt;=Hypothèses!$V$9,Hypothèses!$X$9,IF(EE243&lt;=Hypothèses!$V$10,Hypothèses!$X$10,IF(EE243&lt;=Hypothèses!$V$11,Hypothèses!$X$11,IF(EE243&lt;=Hypothèses!$V$12,Hypothèses!$X$12,IF(EE243&lt;=Hypothèses!$V$13,Hypothèses!$X$13,IF(EE243&lt;=Hypothèses!$V$14,Hypothèses!$X$14,IF(EE243&lt;=Hypothèses!$V$15,Hypothèses!$X$15,IF(EE243&lt;=Hypothèses!$V$16,Hypothèses!$X$16,IF(EE243&lt;=Hypothèses!$U$17,Hypothèses!$W$17,IF(EE243&lt;=Hypothèses!$U$18,Hypothèses!$W$18,""))))))))))))</f>
        <v>#DIV/0!</v>
      </c>
      <c r="FB243" s="95" t="e">
        <f t="shared" ca="1" si="397"/>
        <v>#DIV/0!</v>
      </c>
      <c r="FC243" s="101" t="e">
        <f t="shared" si="430"/>
        <v>#N/A</v>
      </c>
      <c r="FD243" s="91" t="e">
        <f t="shared" si="366"/>
        <v>#N/A</v>
      </c>
      <c r="FE243" s="30" t="e">
        <f t="shared" si="414"/>
        <v>#N/A</v>
      </c>
      <c r="FF243" s="30" t="e">
        <f t="shared" si="415"/>
        <v>#N/A</v>
      </c>
      <c r="FG243" s="31" t="e">
        <f>IF(OR(Hypothèses!$B$4=17,Hypothèses!$B$4=18,Hypothèses!$B$4=19,Hypothèses!$B$4=20),
IF($D243="Pressio.",
IF(OR($E243=3,$E243=1,$E243=4),FF243,FE243),
IF($D243="Pénétro.",
IF(OR($E243=3,$E243=1,$E243=4),FF243,FE243))),IF($D243="Pressio.",
IF($E243=3,FF243,FE243),
IF($D243="Pénétro.",
IF($E243=4,FF243,FE243))))</f>
        <v>#N/A</v>
      </c>
      <c r="FH243" s="31" t="e">
        <f>(IF(OR(Hypothèses!$B$4=17,Hypothèses!$B$4=18,Hypothèses!$B$4=19,Hypothèses!$B$4=20),
IF($D243="Pressio.",
IF(OR($E243=3,$E243=1,$E243=4),(PI()*FH$12^2)/4*(FD243*$W243*1000)/($H243*$B$5),(PI()*FH$12^2)/4*(FD243*$W243*1000)/($G243*$B$5)),
IF($D243="Pénétro.",
IF(OR($E243=4,$E243=1,$E243=5),(PI()*FH$12^2)/4*(FD243*$W243*1000)/($H243*$B$5),(PI()*FH$12^2)/4*(FD243*$W243*1000)/($G243*$B$5)))),
IF($D243="Pressio.",
IF($E243=3,(PI()*FH$12^2)/4*(FD243*$W243*1000)/($H243*$B$5),(PI()*FH$12^2)/4*(FD243*$W243*1000)/($G243*$B$5)),
IF($D243="Pénétro.",
IF($E243=4,(PI()*FH$12^2)/4*(FD243*$W243*1000)/($H243*$B$5),(PI()*FH$12^2)/4*(FD243*$W243*1000)/($G243*$B$5))))))/10</f>
        <v>#N/A</v>
      </c>
      <c r="FI243" s="102" t="e">
        <f>(VLOOKUP($B$3,'Coeff EC7'!$T$39:$X$59,2,0)*FG243+VLOOKUP($B$3,'Coeff EC7'!$T$65:$X$85,2,0)*Model0.1C!FH243)/1.1</f>
        <v>#N/A</v>
      </c>
      <c r="FJ243" s="102" t="e">
        <f>(VLOOKUP($B$3,'Coeff EC7'!$T$39:$X$59,3,0)*FG243+VLOOKUP($B$3,'Coeff EC7'!$T$65:$X$85,3,0)*Model0.1C!FH243)/0.9</f>
        <v>#N/A</v>
      </c>
      <c r="FK243" s="102" t="e">
        <f t="shared" si="398"/>
        <v>#N/A</v>
      </c>
      <c r="FL243" s="102" t="e">
        <f t="shared" si="399"/>
        <v>#N/A</v>
      </c>
      <c r="FM243" s="414" t="e">
        <f>IF(FM242=0,0,IF(AND(FI243&gt;charge_ELS_quasi,FJ243&gt;Charge_ELS_freq,FK243&gt;charge_ELU,FL243&gt;charge_ELA,$B243&gt;NDC!$H$22-0.1+MIN(3*$FM$12,1.5)),0,1))</f>
        <v>#N/A</v>
      </c>
    </row>
    <row r="244" spans="1:169">
      <c r="A244" s="96">
        <f t="shared" si="367"/>
        <v>76.900000000001313</v>
      </c>
      <c r="B244" s="97">
        <v>23.1</v>
      </c>
      <c r="C244" s="81">
        <f>IF(B244&lt;=Hypothèses!$C$7,Hypothèses!$A$7,IF(B244&lt;=Hypothèses!$C$8,Hypothèses!$A$8,IF(B244&lt;=Hypothèses!$C$9,Hypothèses!$A$9,IF(B244&lt;=Hypothèses!$C$10,Hypothèses!$A$10,IF(B244&lt;=Hypothèses!$C$11,Hypothèses!$A$11,IF(B244&lt;=Hypothèses!$C$12,Hypothèses!$A$12,IF(B244&lt;=Hypothèses!$C$13,Hypothèses!$A$13,IF(B244&lt;=Hypothèses!$C$14,Hypothèses!$A$14,IF(B244&lt;=Hypothèses!$C$15,Hypothèses!$A$15,IF(B244&lt;=Hypothèses!$C$16,Hypothèses!$A$16,IF(B244&lt;=Hypothèses!$C$17,Hypothèses!$A$17,IF(B244&lt;=Hypothèses!$C$18,Hypothèses!$A$18,C243))))))))))))</f>
        <v>11</v>
      </c>
      <c r="D244" s="82" t="str">
        <f>IF(B244&lt;=Hypothèses!$C$7,Hypothèses!$R$7,IF(B244&lt;=Hypothèses!$C$8,Hypothèses!$R$8,IF(B244&lt;=Hypothèses!$C$9,Hypothèses!$R$9,IF(B244&lt;=Hypothèses!$C$10,Hypothèses!$R$10,IF(B244&lt;=Hypothèses!$C$11,Hypothèses!$R$11,IF(B244&lt;=Hypothèses!$C$12,Hypothèses!$R$12,IF(B244&lt;=Hypothèses!$C$13,Hypothèses!$R$13,IF(B244&lt;=Hypothèses!$C$14,Hypothèses!$R$14,IF(B244&lt;=Hypothèses!$C$15,Hypothèses!$R$15,IF(B244&lt;=Hypothèses!$C$16,Hypothèses!$R$16,IF(B244&lt;=Hypothèses!$C$17,Hypothèses!$R$17,IF(B244&lt;=Hypothèses!$C$18,Hypothèses!$R$18,D243))))))))))))</f>
        <v>Pressio.</v>
      </c>
      <c r="E244" s="82" t="e">
        <f>IF(B244&lt;=Hypothèses!$C$7,Hypothèses!$G$7,IF(B244&lt;=Hypothèses!$C$8,Hypothèses!$G$8,IF(B244&lt;=Hypothèses!$C$9,Hypothèses!$G$9,IF(B244&lt;=Hypothèses!$C$10,Hypothèses!$G$10,IF(B244&lt;=Hypothèses!$C$11,Hypothèses!$G$11,IF(B244&lt;=Hypothèses!$C$12,Hypothèses!$G$12,IF(B244&lt;=Hypothèses!$C$13,Hypothèses!$G$13,IF(B244&lt;=Hypothèses!$C$14,Hypothèses!$G$14,IF(B244&lt;=Hypothèses!$C$15,Hypothèses!$G$15,IF(B244&lt;=Hypothèses!$C$16,Hypothèses!$G$16,IF(B244&lt;=Hypothèses!$C$17,Hypothèses!$G$17,IF(B244&lt;=Hypothèses!$C$18,Hypothèses!$G$18,E243))))))))))))</f>
        <v>#N/A</v>
      </c>
      <c r="F244" s="82" t="str">
        <f>IF(B244&lt;=Hypothèses!$C$7,Hypothèses!$F$7,IF(B244&lt;=Hypothèses!$C$8,Hypothèses!$F$8,IF(B244&lt;=Hypothèses!$C$9,Hypothèses!$F$9,IF(B244&lt;=Hypothèses!$C$10,Hypothèses!$F$10,IF(B244&lt;=Hypothèses!$C$11,Hypothèses!$F$11,IF(B244&lt;=Hypothèses!$C$12,Hypothèses!$F$12,IF(B244&lt;=Hypothèses!$C$13,Hypothèses!$F$13,IF(B244&lt;=Hypothèses!$C$14,Hypothèses!$F$14,IF(B244&lt;=Hypothèses!$C$15,Hypothèses!$F$15,IF(B244&lt;=Hypothèses!$C$16,Hypothèses!$F$16,IF(B244&lt;=Hypothèses!$C$17,Hypothèses!$F$17,IF(B244&lt;=Hypothèses!$C$18,Hypothèses!$F$18,F243))))))))))))</f>
        <v/>
      </c>
      <c r="G244" s="91">
        <f t="array" ref="G244">INDEX('Coeff EC7'!$U$7:$X$27,
MATCH(Model0.1C!$B$3,'Coeff EC7'!$T$7:$T$27,0),
MATCH(Model0.1C!$D244&amp;Model0.1C!$B$4,
'Coeff EC7'!$U$6:$X$6&amp;
'Coeff EC7'!$U$5:$X$5,0))</f>
        <v>1.1499999999999999</v>
      </c>
      <c r="H244" s="91">
        <f t="array" ref="H244">INDEX('Coeff EC7'!$Y$7:$AB$27,
MATCH(Model0.1C!$B$3,'Coeff EC7'!$T$7:$T$27,0),
MATCH(Model0.1C!$D244&amp;Model0.1C!$B$4,
'Coeff EC7'!$Y$6:$AB$6&amp;
'Coeff EC7'!$Y$5:$AB$5,0))</f>
        <v>1.4</v>
      </c>
      <c r="I244" s="83" t="e">
        <f>IF(B244&lt;=Hypothèses!$C$7,Hypothèses!$P$7,IF(B244&lt;=Hypothèses!$C$8,Hypothèses!$P$8,IF(B244&lt;=Hypothèses!$C$9,Hypothèses!$P$9,IF(B244&lt;=Hypothèses!$C$10,Hypothèses!$P$10,IF(B244&lt;=Hypothèses!$C$11,Hypothèses!$P$11,IF(B244&lt;=Hypothèses!$C$12,Hypothèses!$P$12,IF(B244&lt;=Hypothèses!$C$13,Hypothèses!$P$13,IF(B244&lt;=Hypothèses!$C$14,Hypothèses!$P$14,IF(B244&lt;=Hypothèses!$C$15,Hypothèses!$P$15,IF(B244&lt;=Hypothèses!$C$16,Hypothèses!$P$16,IF(B244&lt;=Hypothèses!$C$17,Hypothèses!$P$17,IF(B244&lt;=Hypothèses!$C$18,Hypothèses!$P$18,I243))))))))))))</f>
        <v>#N/A</v>
      </c>
      <c r="J244" s="91" t="e">
        <f t="array" ref="J244">INDEX('Coeff EC7'!$D$33:$Q$33,1,MATCH(D244&amp;E244,'Coeff EC7'!$D$31:$Q$31&amp;'Coeff EC7'!$D$32:$Q$32,0))</f>
        <v>#N/A</v>
      </c>
      <c r="K244" s="91" t="e">
        <f t="array" ref="K244">INDEX('Coeff EC7'!$D$34:$Q$34,1,MATCH(D244&amp;E244,'Coeff EC7'!$D$31:$Q$31&amp;'Coeff EC7'!$D$32:$Q$32,0))</f>
        <v>#N/A</v>
      </c>
      <c r="L244" s="91" t="e">
        <f t="array" ref="L244">INDEX('Coeff EC7'!$D$35:$Q$35,1,MATCH(D244&amp;E244,'Coeff EC7'!$D$31:$Q$31&amp;'Coeff EC7'!$D$32:$Q$32,0))</f>
        <v>#N/A</v>
      </c>
      <c r="M244" s="98" t="e">
        <f t="shared" si="331"/>
        <v>#N/A</v>
      </c>
      <c r="N244" s="99" t="e">
        <f t="array" ref="N244">INDEX('Coeff EC7'!$D$7:$Q$27,MATCH($B$3,'Coeff EC7'!$C$7:$C$27,0),MATCH(D244&amp;E244,'Coeff EC7'!$D$5:$Q$5&amp;'Coeff EC7'!$D$6:$Q$6,0))</f>
        <v>#N/A</v>
      </c>
      <c r="O244" s="99" t="e">
        <f t="array" ref="O244">INDEX('Coeff EC7'!$D$41:$Q$61,MATCH($B$3,'Coeff EC7'!$C$41:$C$61,0),MATCH(D244&amp;E244,'Coeff EC7'!$D$39:$Q$39&amp;'Coeff EC7'!$D$40:$Q$40,0))</f>
        <v>#N/A</v>
      </c>
      <c r="P244" s="30" t="e">
        <f t="shared" si="368"/>
        <v>#N/A</v>
      </c>
      <c r="Q244" s="100" t="e">
        <f t="shared" si="333"/>
        <v>#N/A</v>
      </c>
      <c r="R244" s="86" t="b">
        <f t="shared" si="334"/>
        <v>0</v>
      </c>
      <c r="S244" s="86">
        <f t="shared" si="332"/>
        <v>0.5</v>
      </c>
      <c r="T244" s="86">
        <f t="shared" si="335"/>
        <v>0.5</v>
      </c>
      <c r="U244" s="30" t="e">
        <f t="shared" ca="1" si="369"/>
        <v>#DIV/0!</v>
      </c>
      <c r="V244" s="85" t="str">
        <f>IF(B244&lt;=Hypothèses!$V$7,Hypothèses!$W$7,IF(B244&lt;=Hypothèses!$V$8,Hypothèses!$W$8,IF(B244&lt;=Hypothèses!$V$9,Hypothèses!$W$9,IF(B244&lt;=Hypothèses!$V$10,Hypothèses!$W$10,IF(B244&lt;=Hypothèses!$V$11,Hypothèses!$W$11,IF(B244&lt;=Hypothèses!$V$12,Hypothèses!$W$12,IF(B244&lt;=Hypothèses!$V$13,Hypothèses!$W$13,IF(B244&lt;=Hypothèses!$V$14,Hypothèses!$W$14,IF(B244&lt;=Hypothèses!$V$15,Hypothèses!$W$15,IF(B244&lt;=Hypothèses!$V$16,Hypothèses!$W$16,IF(B244&lt;=Hypothèses!$V$17,Hypothèses!$W$17,IF(B244&lt;=Hypothèses!$V$18,Hypothèses!$W$18,""))))))))))))</f>
        <v/>
      </c>
      <c r="W244" s="87" t="e">
        <f t="shared" ca="1" si="416"/>
        <v>#DIV/0!</v>
      </c>
      <c r="X244" s="88" t="str">
        <f>IF(B244&lt;=Hypothèses!$V$7,Hypothèses!$X$7,IF(B244&lt;=Hypothèses!$V$8,Hypothèses!$X$8,IF(B244&lt;=Hypothèses!$V$9,Hypothèses!$X$9,IF(B244&lt;=Hypothèses!$V$10,Hypothèses!$X$10,IF(B244&lt;=Hypothèses!$V$11,Hypothèses!$X$11,IF(B244&lt;=Hypothèses!$V$12,Hypothèses!$X$12,IF(B244&lt;=Hypothèses!$V$13,Hypothèses!$X$13,IF(B244&lt;=Hypothèses!$V$14,Hypothèses!$X$14,IF(B244&lt;=Hypothèses!$V$15,Hypothèses!$X$15,IF(B244&lt;=Hypothèses!$V$16,Hypothèses!$X$16,IF(B244&lt;=Hypothèses!$U$17,Hypothèses!$W$17,IF(B244&lt;=Hypothèses!$U$18,Hypothèses!$W$18,""))))))))))))</f>
        <v/>
      </c>
      <c r="Y244" s="95" t="e">
        <f t="shared" ca="1" si="336"/>
        <v>#DIV/0!</v>
      </c>
      <c r="Z244" s="101" t="e">
        <f t="shared" si="337"/>
        <v>#N/A</v>
      </c>
      <c r="AA244" s="91" t="e">
        <f t="shared" si="338"/>
        <v>#N/A</v>
      </c>
      <c r="AB244" s="30" t="e">
        <f t="shared" si="400"/>
        <v>#N/A</v>
      </c>
      <c r="AC244" s="30" t="e">
        <f t="shared" si="401"/>
        <v>#N/A</v>
      </c>
      <c r="AD244" s="31" t="e">
        <f>IF(OR(Hypothèses!$B$4=17,Hypothèses!$B$4=18,Hypothèses!$B$4=19,Hypothèses!$B$4=20),
IF($D244="Pressio.",
IF(OR($E244=3,$E244=1,$E244=4),AC244,AB244),
IF($D244="Pénétro.",
IF(OR($E244=3,$E244=1,$E244=4),AC244,AB244))),IF($D244="Pressio.",
IF($E244=3,AC244,AB244),
IF($D244="Pénétro.",
IF($E244=4,AC244,AB244))))</f>
        <v>#N/A</v>
      </c>
      <c r="AE244" s="31" t="e">
        <f>(IF(OR(Hypothèses!$B$4=17,Hypothèses!$B$4=18,Hypothèses!$B$4=19,Hypothèses!$B$4=20),
IF($D244="Pressio.",
IF(OR($E244=3,$E244=1,$E244=4),(PI()*AE$12^2)/4*(AA244*$W244*1000)/($H244*$B$5),(PI()*AE$12^2)/4*(AA244*$W244*1000)/($G244*$B$5)),
IF($D244="Pénétro.",
IF(OR($E244=4,$E244=1,$E244=5),(PI()*AE$12^2)/4*(AA244*$W244*1000)/($H244*$B$5),(PI()*AE$12^2)/4*(AA244*$W244*1000)/($G244*$B$5)))),
IF($D244="Pressio.",
IF($E244=3,(PI()*AE$12^2)/4*(AA244*$W244*1000)/($H244*$B$5),(PI()*AE$12^2)/4*(AA244*$W244*1000)/($G244*$B$5)),
IF($D244="Pénétro.",
IF($E244=4,(PI()*AE$12^2)/4*(AA244*$W244*1000)/($H244*$B$5),(PI()*AE$12^2)/4*(AA244*$W244*1000)/($G244*$B$5))))))/10</f>
        <v>#N/A</v>
      </c>
      <c r="AF244" s="102" t="e">
        <f>(VLOOKUP($B$3,'Coeff EC7'!$T$39:$X$59,2,0)*AD244+VLOOKUP($B$3,'Coeff EC7'!$T$65:$X$85,2,0)*Model0.1C!AE244)/1.1</f>
        <v>#N/A</v>
      </c>
      <c r="AG244" s="102" t="e">
        <f>(VLOOKUP($B$3,'Coeff EC7'!$T$39:$X$59,3,0)*AD244+VLOOKUP($B$3,'Coeff EC7'!$T$65:$X$85,3,0)*Model0.1C!AE244)/0.9</f>
        <v>#N/A</v>
      </c>
      <c r="AH244" s="102" t="e">
        <f t="shared" si="339"/>
        <v>#N/A</v>
      </c>
      <c r="AI244" s="102" t="e">
        <f t="shared" si="340"/>
        <v>#N/A</v>
      </c>
      <c r="AJ244" s="414" t="e">
        <f>IF(AJ243=0,0,IF(AND(AF244&gt;charge_ELS_quasi,AG244&gt;Charge_ELS_freq,AH244&gt;charge_ELU,AI244&gt;charge_ELA,$B244&gt;NDC!$H$22-0.1+MIN(3*$AJ$12,1.5)),0,1))</f>
        <v>#N/A</v>
      </c>
      <c r="AK244" s="86" t="b">
        <f t="shared" si="341"/>
        <v>0</v>
      </c>
      <c r="AL244" s="86">
        <f t="shared" si="370"/>
        <v>0.5</v>
      </c>
      <c r="AM244" s="86">
        <f t="shared" si="342"/>
        <v>0.5</v>
      </c>
      <c r="AN244" s="30" t="e">
        <f t="shared" ca="1" si="371"/>
        <v>#DIV/0!</v>
      </c>
      <c r="AO244" s="85" t="e">
        <f ca="1">IF(U244&lt;=Hypothèses!$V$7,Hypothèses!$W$7,IF(U244&lt;=Hypothèses!$V$8,Hypothèses!$W$8,IF(U244&lt;=Hypothèses!$V$9,Hypothèses!$W$9,IF(U244&lt;=Hypothèses!$V$10,Hypothèses!$W$10,IF(U244&lt;=Hypothèses!$V$11,Hypothèses!$W$11,IF(U244&lt;=Hypothèses!$V$12,Hypothèses!$W$12,IF(U244&lt;=Hypothèses!$V$13,Hypothèses!$W$13,IF(U244&lt;=Hypothèses!$V$14,Hypothèses!$W$14,IF(U244&lt;=Hypothèses!$V$15,Hypothèses!$W$15,IF(U244&lt;=Hypothèses!$V$16,Hypothèses!$W$16,IF(U244&lt;=Hypothèses!$V$17,Hypothèses!$W$17,IF(U244&lt;=Hypothèses!$V$18,Hypothèses!$W$18,""))))))))))))</f>
        <v>#DIV/0!</v>
      </c>
      <c r="AP244" s="87" t="e">
        <f t="shared" ca="1" si="417"/>
        <v>#DIV/0!</v>
      </c>
      <c r="AQ244" s="88" t="e">
        <f ca="1">IF(U244&lt;=Hypothèses!$V$7,Hypothèses!$X$7,IF(U244&lt;=Hypothèses!$V$8,Hypothèses!$X$8,IF(U244&lt;=Hypothèses!$V$9,Hypothèses!$X$9,IF(U244&lt;=Hypothèses!$V$10,Hypothèses!$X$10,IF(U244&lt;=Hypothèses!$V$11,Hypothèses!$X$11,IF(U244&lt;=Hypothèses!$V$12,Hypothèses!$X$12,IF(U244&lt;=Hypothèses!$V$13,Hypothèses!$X$13,IF(U244&lt;=Hypothèses!$V$14,Hypothèses!$X$14,IF(U244&lt;=Hypothèses!$V$15,Hypothèses!$X$15,IF(U244&lt;=Hypothèses!$V$16,Hypothèses!$X$16,IF(U244&lt;=Hypothèses!$U$17,Hypothèses!$W$17,IF(U244&lt;=Hypothèses!$U$18,Hypothèses!$W$18,""))))))))))))</f>
        <v>#DIV/0!</v>
      </c>
      <c r="AR244" s="95" t="e">
        <f t="shared" ca="1" si="372"/>
        <v>#DIV/0!</v>
      </c>
      <c r="AS244" s="101" t="e">
        <f t="shared" si="424"/>
        <v>#N/A</v>
      </c>
      <c r="AT244" s="91" t="e">
        <f t="shared" si="343"/>
        <v>#N/A</v>
      </c>
      <c r="AU244" s="30" t="e">
        <f t="shared" si="402"/>
        <v>#N/A</v>
      </c>
      <c r="AV244" s="30" t="e">
        <f t="shared" si="403"/>
        <v>#N/A</v>
      </c>
      <c r="AW244" s="31" t="e">
        <f>IF(OR(Hypothèses!$B$4=17,Hypothèses!$B$4=18,Hypothèses!$B$4=19,Hypothèses!$B$4=20),
IF($D244="Pressio.",
IF(OR($E244=3,$E244=1,$E244=4),AV244,AU244),
IF($D244="Pénétro.",
IF(OR($E244=3,$E244=1,$E244=4),AV244,AU244))),IF($D244="Pressio.",
IF($E244=3,AV244,AU244),
IF($D244="Pénétro.",
IF($E244=4,AV244,AU244))))</f>
        <v>#N/A</v>
      </c>
      <c r="AX244" s="31" t="e">
        <f>(IF(OR(Hypothèses!$B$4=17,Hypothèses!$B$4=18,Hypothèses!$B$4=19,Hypothèses!$B$4=20),
IF($D244="Pressio.",
IF(OR($E244=3,$E244=1,$E244=4),(PI()*AX$12^2)/4*(AT244*$W244*1000)/($H244*$B$5),(PI()*AX$12^2)/4*(AT244*$W244*1000)/($G244*$B$5)),
IF($D244="Pénétro.",
IF(OR($E244=4,$E244=1,$E244=5),(PI()*AX$12^2)/4*(AT244*$W244*1000)/($H244*$B$5),(PI()*AX$12^2)/4*(AT244*$W244*1000)/($G244*$B$5)))),
IF($D244="Pressio.",
IF($E244=3,(PI()*AX$12^2)/4*(AT244*$W244*1000)/($H244*$B$5),(PI()*AX$12^2)/4*(AT244*$W244*1000)/($G244*$B$5)),
IF($D244="Pénétro.",
IF($E244=4,(PI()*AX$12^2)/4*(AT244*$W244*1000)/($H244*$B$5),(PI()*AX$12^2)/4*(AT244*$W244*1000)/($G244*$B$5))))))/10</f>
        <v>#N/A</v>
      </c>
      <c r="AY244" s="102" t="e">
        <f>(VLOOKUP($B$3,'Coeff EC7'!$T$39:$X$59,2,0)*AW244+VLOOKUP($B$3,'Coeff EC7'!$T$65:$X$85,2,0)*Model0.1C!AX244)/1.1</f>
        <v>#N/A</v>
      </c>
      <c r="AZ244" s="102" t="e">
        <f>(VLOOKUP($B$3,'Coeff EC7'!$T$39:$X$59,3,0)*AW244+VLOOKUP($B$3,'Coeff EC7'!$T$65:$X$85,3,0)*Model0.1C!AX244)/0.9</f>
        <v>#N/A</v>
      </c>
      <c r="BA244" s="102" t="e">
        <f t="shared" si="373"/>
        <v>#N/A</v>
      </c>
      <c r="BB244" s="102" t="e">
        <f t="shared" si="374"/>
        <v>#N/A</v>
      </c>
      <c r="BC244" s="414" t="e">
        <f>IF(BC243=0,0,IF(AND(AY244&gt;charge_ELS_quasi,AZ244&gt;Charge_ELS_freq,BA244&gt;charge_ELU,BB244&gt;charge_ELA,$B244&gt;NDC!$H$22-0.1+MIN(3*$BC$12,1.5)),0,1))</f>
        <v>#N/A</v>
      </c>
      <c r="BD244" s="86" t="b">
        <f t="shared" si="344"/>
        <v>0</v>
      </c>
      <c r="BE244" s="86">
        <f t="shared" si="375"/>
        <v>0.5</v>
      </c>
      <c r="BF244" s="86">
        <f t="shared" si="345"/>
        <v>0.5</v>
      </c>
      <c r="BG244" s="30" t="e">
        <f t="shared" ca="1" si="376"/>
        <v>#DIV/0!</v>
      </c>
      <c r="BH244" s="85" t="e">
        <f ca="1">IF(AN244&lt;=Hypothèses!$V$7,Hypothèses!$W$7,IF(AN244&lt;=Hypothèses!$V$8,Hypothèses!$W$8,IF(AN244&lt;=Hypothèses!$V$9,Hypothèses!$W$9,IF(AN244&lt;=Hypothèses!$V$10,Hypothèses!$W$10,IF(AN244&lt;=Hypothèses!$V$11,Hypothèses!$W$11,IF(AN244&lt;=Hypothèses!$V$12,Hypothèses!$W$12,IF(AN244&lt;=Hypothèses!$V$13,Hypothèses!$W$13,IF(AN244&lt;=Hypothèses!$V$14,Hypothèses!$W$14,IF(AN244&lt;=Hypothèses!$V$15,Hypothèses!$W$15,IF(AN244&lt;=Hypothèses!$V$16,Hypothèses!$W$16,IF(AN244&lt;=Hypothèses!$V$17,Hypothèses!$W$17,IF(AN244&lt;=Hypothèses!$V$18,Hypothèses!$W$18,""))))))))))))</f>
        <v>#DIV/0!</v>
      </c>
      <c r="BI244" s="87" t="e">
        <f t="shared" ca="1" si="418"/>
        <v>#DIV/0!</v>
      </c>
      <c r="BJ244" s="88" t="e">
        <f ca="1">IF(AN244&lt;=Hypothèses!$V$7,Hypothèses!$X$7,IF(AN244&lt;=Hypothèses!$V$8,Hypothèses!$X$8,IF(AN244&lt;=Hypothèses!$V$9,Hypothèses!$X$9,IF(AN244&lt;=Hypothèses!$V$10,Hypothèses!$X$10,IF(AN244&lt;=Hypothèses!$V$11,Hypothèses!$X$11,IF(AN244&lt;=Hypothèses!$V$12,Hypothèses!$X$12,IF(AN244&lt;=Hypothèses!$V$13,Hypothèses!$X$13,IF(AN244&lt;=Hypothèses!$V$14,Hypothèses!$X$14,IF(AN244&lt;=Hypothèses!$V$15,Hypothèses!$X$15,IF(AN244&lt;=Hypothèses!$V$16,Hypothèses!$X$16,IF(AN244&lt;=Hypothèses!$U$17,Hypothèses!$W$17,IF(AN244&lt;=Hypothèses!$U$18,Hypothèses!$W$18,""))))))))))))</f>
        <v>#DIV/0!</v>
      </c>
      <c r="BK244" s="95" t="e">
        <f t="shared" ca="1" si="377"/>
        <v>#DIV/0!</v>
      </c>
      <c r="BL244" s="101" t="e">
        <f t="shared" si="425"/>
        <v>#N/A</v>
      </c>
      <c r="BM244" s="91" t="e">
        <f t="shared" si="346"/>
        <v>#N/A</v>
      </c>
      <c r="BN244" s="30" t="e">
        <f t="shared" si="404"/>
        <v>#N/A</v>
      </c>
      <c r="BO244" s="30" t="e">
        <f t="shared" si="405"/>
        <v>#N/A</v>
      </c>
      <c r="BP244" s="31" t="e">
        <f>IF(OR(Hypothèses!$B$4=17,Hypothèses!$B$4=18,Hypothèses!$B$4=19,Hypothèses!$B$4=20),
IF($D244="Pressio.",
IF(OR($E244=3,$E244=1,$E244=4),BO244,BN244),
IF($D244="Pénétro.",
IF(OR($E244=3,$E244=1,$E244=4),BO244,BN244))),IF($D244="Pressio.",
IF($E244=3,BO244,BN244),
IF($D244="Pénétro.",
IF($E244=4,BO244,BN244))))</f>
        <v>#N/A</v>
      </c>
      <c r="BQ244" s="31" t="e">
        <f>(IF(OR(Hypothèses!$B$4=17,Hypothèses!$B$4=18,Hypothèses!$B$4=19,Hypothèses!$B$4=20),
IF($D244="Pressio.",
IF(OR($E244=3,$E244=1,$E244=4),(PI()*BQ$12^2)/4*(BM244*$W244*1000)/($H244*$B$5),(PI()*BQ$12^2)/4*(BM244*$W244*1000)/($G244*$B$5)),
IF($D244="Pénétro.",
IF(OR($E244=4,$E244=1,$E244=5),(PI()*BQ$12^2)/4*(BM244*$W244*1000)/($H244*$B$5),(PI()*BQ$12^2)/4*(BM244*$W244*1000)/($G244*$B$5)))),
IF($D244="Pressio.",
IF($E244=3,(PI()*BQ$12^2)/4*(BM244*$W244*1000)/($H244*$B$5),(PI()*BQ$12^2)/4*(BM244*$W244*1000)/($G244*$B$5)),
IF($D244="Pénétro.",
IF($E244=4,(PI()*BQ$12^2)/4*(BM244*$W244*1000)/($H244*$B$5),(PI()*BQ$12^2)/4*(BM244*$W244*1000)/($G244*$B$5))))))/10</f>
        <v>#N/A</v>
      </c>
      <c r="BR244" s="102" t="e">
        <f>(VLOOKUP($B$3,'Coeff EC7'!$T$39:$X$59,2,0)*BP244+VLOOKUP($B$3,'Coeff EC7'!$T$65:$X$85,2,0)*Model0.1C!BQ244)/1.1</f>
        <v>#N/A</v>
      </c>
      <c r="BS244" s="102" t="e">
        <f>(VLOOKUP($B$3,'Coeff EC7'!$T$39:$X$59,3,0)*BP244+VLOOKUP($B$3,'Coeff EC7'!$T$65:$X$85,3,0)*Model0.1C!BQ244)/0.9</f>
        <v>#N/A</v>
      </c>
      <c r="BT244" s="102" t="e">
        <f t="shared" si="378"/>
        <v>#N/A</v>
      </c>
      <c r="BU244" s="102" t="e">
        <f t="shared" si="379"/>
        <v>#N/A</v>
      </c>
      <c r="BV244" s="414" t="e">
        <f>IF(BV243=0,0,IF(AND(BR244&gt;charge_ELS_quasi,BS244&gt;Charge_ELS_freq,BT244&gt;charge_ELU,BU244&gt;charge_ELA,$B244&gt;NDC!$H$22-0.1+MIN(3*$BV$12,1.5)),0,1))</f>
        <v>#N/A</v>
      </c>
      <c r="BW244" s="86" t="b">
        <f t="shared" si="347"/>
        <v>0</v>
      </c>
      <c r="BX244" s="86">
        <f t="shared" si="348"/>
        <v>0.5</v>
      </c>
      <c r="BY244" s="86">
        <f t="shared" si="349"/>
        <v>0.5</v>
      </c>
      <c r="BZ244" s="30" t="e">
        <f t="shared" ca="1" si="380"/>
        <v>#DIV/0!</v>
      </c>
      <c r="CA244" s="85" t="e">
        <f ca="1">IF(BG244&lt;=Hypothèses!$V$7,Hypothèses!$W$7,IF(BG244&lt;=Hypothèses!$V$8,Hypothèses!$W$8,IF(BG244&lt;=Hypothèses!$V$9,Hypothèses!$W$9,IF(BG244&lt;=Hypothèses!$V$10,Hypothèses!$W$10,IF(BG244&lt;=Hypothèses!$V$11,Hypothèses!$W$11,IF(BG244&lt;=Hypothèses!$V$12,Hypothèses!$W$12,IF(BG244&lt;=Hypothèses!$V$13,Hypothèses!$W$13,IF(BG244&lt;=Hypothèses!$V$14,Hypothèses!$W$14,IF(BG244&lt;=Hypothèses!$V$15,Hypothèses!$W$15,IF(BG244&lt;=Hypothèses!$V$16,Hypothèses!$W$16,IF(BG244&lt;=Hypothèses!$V$17,Hypothèses!$W$17,IF(BG244&lt;=Hypothèses!$V$18,Hypothèses!$W$18,""))))))))))))</f>
        <v>#DIV/0!</v>
      </c>
      <c r="CB244" s="87" t="e">
        <f t="shared" ca="1" si="419"/>
        <v>#DIV/0!</v>
      </c>
      <c r="CC244" s="88" t="e">
        <f ca="1">IF(BG244&lt;=Hypothèses!$V$7,Hypothèses!$X$7,IF(BG244&lt;=Hypothèses!$V$8,Hypothèses!$X$8,IF(BG244&lt;=Hypothèses!$V$9,Hypothèses!$X$9,IF(BG244&lt;=Hypothèses!$V$10,Hypothèses!$X$10,IF(BG244&lt;=Hypothèses!$V$11,Hypothèses!$X$11,IF(BG244&lt;=Hypothèses!$V$12,Hypothèses!$X$12,IF(BG244&lt;=Hypothèses!$V$13,Hypothèses!$X$13,IF(BG244&lt;=Hypothèses!$V$14,Hypothèses!$X$14,IF(BG244&lt;=Hypothèses!$V$15,Hypothèses!$X$15,IF(BG244&lt;=Hypothèses!$V$16,Hypothèses!$X$16,IF(BG244&lt;=Hypothèses!$U$17,Hypothèses!$W$17,IF(BG244&lt;=Hypothèses!$U$18,Hypothèses!$W$18,""))))))))))))</f>
        <v>#DIV/0!</v>
      </c>
      <c r="CD244" s="95" t="e">
        <f t="shared" ca="1" si="381"/>
        <v>#DIV/0!</v>
      </c>
      <c r="CE244" s="101" t="e">
        <f t="shared" si="426"/>
        <v>#N/A</v>
      </c>
      <c r="CF244" s="91" t="e">
        <f t="shared" si="350"/>
        <v>#N/A</v>
      </c>
      <c r="CG244" s="30" t="e">
        <f t="shared" si="406"/>
        <v>#N/A</v>
      </c>
      <c r="CH244" s="30" t="e">
        <f t="shared" si="407"/>
        <v>#N/A</v>
      </c>
      <c r="CI244" s="31" t="e">
        <f>IF(OR(Hypothèses!$B$4=17,Hypothèses!$B$4=18,Hypothèses!$B$4=19,Hypothèses!$B$4=20),
IF($D244="Pressio.",
IF(OR($E244=3,$E244=1,$E244=4),CH244,CG244),
IF($D244="Pénétro.",
IF(OR($E244=3,$E244=1,$E244=4),CH244,CG244))),IF($D244="Pressio.",
IF($E244=3,CH244,CG244),
IF($D244="Pénétro.",
IF($E244=4,CH244,CG244))))</f>
        <v>#N/A</v>
      </c>
      <c r="CJ244" s="31" t="e">
        <f>(IF(OR(Hypothèses!$B$4=17,Hypothèses!$B$4=18,Hypothèses!$B$4=19,Hypothèses!$B$4=20),
IF($D244="Pressio.",
IF(OR($E244=3,$E244=1,$E244=4),(PI()*CJ$12^2)/4*(CF244*$W244*1000)/($H244*$B$5),(PI()*CJ$12^2)/4*(CF244*$W244*1000)/($G244*$B$5)),
IF($D244="Pénétro.",
IF(OR($E244=4,$E244=1,$E244=5),(PI()*CJ$12^2)/4*(CF244*$W244*1000)/($H244*$B$5),(PI()*CJ$12^2)/4*(CF244*$W244*1000)/($G244*$B$5)))),
IF($D244="Pressio.",
IF($E244=3,(PI()*CJ$12^2)/4*(CF244*$W244*1000)/($H244*$B$5),(PI()*CJ$12^2)/4*(CF244*$W244*1000)/($G244*$B$5)),
IF($D244="Pénétro.",
IF($E244=4,(PI()*CJ$12^2)/4*(CF244*$W244*1000)/($H244*$B$5),(PI()*CJ$12^2)/4*(CF244*$W244*1000)/($G244*$B$5))))))/10</f>
        <v>#N/A</v>
      </c>
      <c r="CK244" s="102" t="e">
        <f>(VLOOKUP($B$3,'Coeff EC7'!$T$39:$X$59,2,0)*CI244+VLOOKUP($B$3,'Coeff EC7'!$T$65:$X$85,2,0)*Model0.1C!CJ244)/1.1</f>
        <v>#N/A</v>
      </c>
      <c r="CL244" s="102" t="e">
        <f>(VLOOKUP($B$3,'Coeff EC7'!$T$39:$X$59,3,0)*CI244+VLOOKUP($B$3,'Coeff EC7'!$T$65:$X$85,3,0)*Model0.1C!CJ244)/0.9</f>
        <v>#N/A</v>
      </c>
      <c r="CM244" s="102" t="e">
        <f t="shared" si="382"/>
        <v>#N/A</v>
      </c>
      <c r="CN244" s="102" t="e">
        <f t="shared" si="383"/>
        <v>#N/A</v>
      </c>
      <c r="CO244" s="414" t="e">
        <f>IF(CO243=0,0,IF(AND(CK244&gt;charge_ELS_quasi,CL244&gt;Charge_ELS_freq,CM244&gt;charge_ELU,CN244&gt;charge_ELA,$B244&gt;NDC!$H$22-0.1+MIN(3*$CO$12,1.5)),0,1))</f>
        <v>#N/A</v>
      </c>
      <c r="CP244" s="86" t="b">
        <f t="shared" si="351"/>
        <v>0</v>
      </c>
      <c r="CQ244" s="86">
        <f t="shared" si="352"/>
        <v>0.5</v>
      </c>
      <c r="CR244" s="86">
        <f t="shared" si="353"/>
        <v>0.5</v>
      </c>
      <c r="CS244" s="30" t="e">
        <f t="shared" ca="1" si="384"/>
        <v>#DIV/0!</v>
      </c>
      <c r="CT244" s="85" t="e">
        <f ca="1">IF(BZ244&lt;=Hypothèses!$V$7,Hypothèses!$W$7,IF(BZ244&lt;=Hypothèses!$V$8,Hypothèses!$W$8,IF(BZ244&lt;=Hypothèses!$V$9,Hypothèses!$W$9,IF(BZ244&lt;=Hypothèses!$V$10,Hypothèses!$W$10,IF(BZ244&lt;=Hypothèses!$V$11,Hypothèses!$W$11,IF(BZ244&lt;=Hypothèses!$V$12,Hypothèses!$W$12,IF(BZ244&lt;=Hypothèses!$V$13,Hypothèses!$W$13,IF(BZ244&lt;=Hypothèses!$V$14,Hypothèses!$W$14,IF(BZ244&lt;=Hypothèses!$V$15,Hypothèses!$W$15,IF(BZ244&lt;=Hypothèses!$V$16,Hypothèses!$W$16,IF(BZ244&lt;=Hypothèses!$V$17,Hypothèses!$W$17,IF(BZ244&lt;=Hypothèses!$V$18,Hypothèses!$W$18,""))))))))))))</f>
        <v>#DIV/0!</v>
      </c>
      <c r="CU244" s="87" t="e">
        <f t="shared" ca="1" si="420"/>
        <v>#DIV/0!</v>
      </c>
      <c r="CV244" s="88" t="e">
        <f ca="1">IF(BZ244&lt;=Hypothèses!$V$7,Hypothèses!$X$7,IF(BZ244&lt;=Hypothèses!$V$8,Hypothèses!$X$8,IF(BZ244&lt;=Hypothèses!$V$9,Hypothèses!$X$9,IF(BZ244&lt;=Hypothèses!$V$10,Hypothèses!$X$10,IF(BZ244&lt;=Hypothèses!$V$11,Hypothèses!$X$11,IF(BZ244&lt;=Hypothèses!$V$12,Hypothèses!$X$12,IF(BZ244&lt;=Hypothèses!$V$13,Hypothèses!$X$13,IF(BZ244&lt;=Hypothèses!$V$14,Hypothèses!$X$14,IF(BZ244&lt;=Hypothèses!$V$15,Hypothèses!$X$15,IF(BZ244&lt;=Hypothèses!$V$16,Hypothèses!$X$16,IF(BZ244&lt;=Hypothèses!$U$17,Hypothèses!$W$17,IF(BZ244&lt;=Hypothèses!$U$18,Hypothèses!$W$18,""))))))))))))</f>
        <v>#DIV/0!</v>
      </c>
      <c r="CW244" s="95" t="e">
        <f t="shared" ca="1" si="385"/>
        <v>#DIV/0!</v>
      </c>
      <c r="CX244" s="101" t="e">
        <f t="shared" si="427"/>
        <v>#N/A</v>
      </c>
      <c r="CY244" s="91" t="e">
        <f t="shared" si="354"/>
        <v>#N/A</v>
      </c>
      <c r="CZ244" s="30" t="e">
        <f t="shared" si="408"/>
        <v>#N/A</v>
      </c>
      <c r="DA244" s="30" t="e">
        <f t="shared" si="409"/>
        <v>#N/A</v>
      </c>
      <c r="DB244" s="31" t="e">
        <f>IF(OR(Hypothèses!$B$4=17,Hypothèses!$B$4=18,Hypothèses!$B$4=19,Hypothèses!$B$4=20),
IF($D244="Pressio.",
IF(OR($E244=3,$E244=1,$E244=4),DA244,CZ244),
IF($D244="Pénétro.",
IF(OR($E244=3,$E244=1,$E244=4),DA244,CZ244))),IF($D244="Pressio.",
IF($E244=3,DA244,CZ244),
IF($D244="Pénétro.",
IF($E244=4,DA244,CZ244))))</f>
        <v>#N/A</v>
      </c>
      <c r="DC244" s="31" t="e">
        <f>(IF(OR(Hypothèses!$B$4=17,Hypothèses!$B$4=18,Hypothèses!$B$4=19,Hypothèses!$B$4=20),
IF($D244="Pressio.",
IF(OR($E244=3,$E244=1,$E244=4),(PI()*DC$12^2)/4*(CY244*$W244*1000)/($H244*$B$5),(PI()*DC$12^2)/4*(CY244*$W244*1000)/($G244*$B$5)),
IF($D244="Pénétro.",
IF(OR($E244=4,$E244=1,$E244=5),(PI()*DC$12^2)/4*(CY244*$W244*1000)/($H244*$B$5),(PI()*DC$12^2)/4*(CY244*$W244*1000)/($G244*$B$5)))),
IF($D244="Pressio.",
IF($E244=3,(PI()*DC$12^2)/4*(CY244*$W244*1000)/($H244*$B$5),(PI()*DC$12^2)/4*(CY244*$W244*1000)/($G244*$B$5)),
IF($D244="Pénétro.",
IF($E244=4,(PI()*DC$12^2)/4*(CY244*$W244*1000)/($H244*$B$5),(PI()*DC$12^2)/4*(CY244*$W244*1000)/($G244*$B$5))))))/10</f>
        <v>#N/A</v>
      </c>
      <c r="DD244" s="102" t="e">
        <f>(VLOOKUP($B$3,'Coeff EC7'!$T$39:$X$59,2,0)*DB244+VLOOKUP($B$3,'Coeff EC7'!$T$65:$X$85,2,0)*Model0.1C!DC244)/1.1</f>
        <v>#N/A</v>
      </c>
      <c r="DE244" s="102" t="e">
        <f>(VLOOKUP($B$3,'Coeff EC7'!$T$39:$X$59,3,0)*DB244+VLOOKUP($B$3,'Coeff EC7'!$T$65:$X$85,3,0)*Model0.1C!DC244)/0.9</f>
        <v>#N/A</v>
      </c>
      <c r="DF244" s="102" t="e">
        <f t="shared" si="386"/>
        <v>#N/A</v>
      </c>
      <c r="DG244" s="102" t="e">
        <f t="shared" si="387"/>
        <v>#N/A</v>
      </c>
      <c r="DH244" s="414" t="e">
        <f>IF(DH243=0,0,IF(AND(DD244&gt;charge_ELS_quasi,DE244&gt;Charge_ELS_freq,DF244&gt;charge_ELU,DG244&gt;charge_ELA,$B244&gt;NDC!$H$22-0.1+MIN(3*$DH$12,1.5)),0,1))</f>
        <v>#N/A</v>
      </c>
      <c r="DI244" s="86" t="b">
        <f t="shared" si="355"/>
        <v>0</v>
      </c>
      <c r="DJ244" s="86">
        <f t="shared" si="356"/>
        <v>0.5</v>
      </c>
      <c r="DK244" s="86">
        <f t="shared" si="357"/>
        <v>0.5</v>
      </c>
      <c r="DL244" s="30" t="e">
        <f t="shared" ca="1" si="388"/>
        <v>#DIV/0!</v>
      </c>
      <c r="DM244" s="85" t="e">
        <f ca="1">IF(CS244&lt;=Hypothèses!$V$7,Hypothèses!$W$7,IF(CS244&lt;=Hypothèses!$V$8,Hypothèses!$W$8,IF(CS244&lt;=Hypothèses!$V$9,Hypothèses!$W$9,IF(CS244&lt;=Hypothèses!$V$10,Hypothèses!$W$10,IF(CS244&lt;=Hypothèses!$V$11,Hypothèses!$W$11,IF(CS244&lt;=Hypothèses!$V$12,Hypothèses!$W$12,IF(CS244&lt;=Hypothèses!$V$13,Hypothèses!$W$13,IF(CS244&lt;=Hypothèses!$V$14,Hypothèses!$W$14,IF(CS244&lt;=Hypothèses!$V$15,Hypothèses!$W$15,IF(CS244&lt;=Hypothèses!$V$16,Hypothèses!$W$16,IF(CS244&lt;=Hypothèses!$V$17,Hypothèses!$W$17,IF(CS244&lt;=Hypothèses!$V$18,Hypothèses!$W$18,""))))))))))))</f>
        <v>#DIV/0!</v>
      </c>
      <c r="DN244" s="87" t="e">
        <f t="shared" ca="1" si="421"/>
        <v>#DIV/0!</v>
      </c>
      <c r="DO244" s="88" t="e">
        <f ca="1">IF(CS244&lt;=Hypothèses!$V$7,Hypothèses!$X$7,IF(CS244&lt;=Hypothèses!$V$8,Hypothèses!$X$8,IF(CS244&lt;=Hypothèses!$V$9,Hypothèses!$X$9,IF(CS244&lt;=Hypothèses!$V$10,Hypothèses!$X$10,IF(CS244&lt;=Hypothèses!$V$11,Hypothèses!$X$11,IF(CS244&lt;=Hypothèses!$V$12,Hypothèses!$X$12,IF(CS244&lt;=Hypothèses!$V$13,Hypothèses!$X$13,IF(CS244&lt;=Hypothèses!$V$14,Hypothèses!$X$14,IF(CS244&lt;=Hypothèses!$V$15,Hypothèses!$X$15,IF(CS244&lt;=Hypothèses!$V$16,Hypothèses!$X$16,IF(CS244&lt;=Hypothèses!$U$17,Hypothèses!$W$17,IF(CS244&lt;=Hypothèses!$U$18,Hypothèses!$W$18,""))))))))))))</f>
        <v>#DIV/0!</v>
      </c>
      <c r="DP244" s="95" t="e">
        <f t="shared" ca="1" si="389"/>
        <v>#DIV/0!</v>
      </c>
      <c r="DQ244" s="101" t="e">
        <f t="shared" si="428"/>
        <v>#N/A</v>
      </c>
      <c r="DR244" s="91" t="e">
        <f t="shared" si="358"/>
        <v>#N/A</v>
      </c>
      <c r="DS244" s="30" t="e">
        <f t="shared" si="410"/>
        <v>#N/A</v>
      </c>
      <c r="DT244" s="30" t="e">
        <f t="shared" si="411"/>
        <v>#N/A</v>
      </c>
      <c r="DU244" s="31" t="e">
        <f>IF(OR(Hypothèses!$B$4=17,Hypothèses!$B$4=18,Hypothèses!$B$4=19,Hypothèses!$B$4=20),
IF($D244="Pressio.",
IF(OR($E244=3,$E244=1,$E244=4),DT244,DS244),
IF($D244="Pénétro.",
IF(OR($E244=3,$E244=1,$E244=4),DT244,DS244))),IF($D244="Pressio.",
IF($E244=3,DT244,DS244),
IF($D244="Pénétro.",
IF($E244=4,DT244,DS244))))</f>
        <v>#N/A</v>
      </c>
      <c r="DV244" s="31" t="e">
        <f>(IF(OR(Hypothèses!$B$4=17,Hypothèses!$B$4=18,Hypothèses!$B$4=19,Hypothèses!$B$4=20),
IF($D244="Pressio.",
IF(OR($E244=3,$E244=1,$E244=4),(PI()*DV$12^2)/4*(DR244*$W244*1000)/($H244*$B$5),(PI()*DV$12^2)/4*(DR244*$W244*1000)/($G244*$B$5)),
IF($D244="Pénétro.",
IF(OR($E244=4,$E244=1,$E244=5),(PI()*DV$12^2)/4*(DR244*$W244*1000)/($H244*$B$5),(PI()*DV$12^2)/4*(DR244*$W244*1000)/($G244*$B$5)))),
IF($D244="Pressio.",
IF($E244=3,(PI()*DV$12^2)/4*(DR244*$W244*1000)/($H244*$B$5),(PI()*DV$12^2)/4*(DR244*$W244*1000)/($G244*$B$5)),
IF($D244="Pénétro.",
IF($E244=4,(PI()*DV$12^2)/4*(DR244*$W244*1000)/($H244*$B$5),(PI()*DV$12^2)/4*(DR244*$W244*1000)/($G244*$B$5))))))/10</f>
        <v>#N/A</v>
      </c>
      <c r="DW244" s="102" t="e">
        <f>(VLOOKUP($B$3,'Coeff EC7'!$T$39:$X$59,2,0)*DU244+VLOOKUP($B$3,'Coeff EC7'!$T$65:$X$85,2,0)*Model0.1C!DV244)/1.1</f>
        <v>#N/A</v>
      </c>
      <c r="DX244" s="102" t="e">
        <f>(VLOOKUP($B$3,'Coeff EC7'!$T$39:$X$59,3,0)*DU244+VLOOKUP($B$3,'Coeff EC7'!$T$65:$X$85,3,0)*Model0.1C!DV244)/0.9</f>
        <v>#N/A</v>
      </c>
      <c r="DY244" s="102" t="e">
        <f t="shared" si="390"/>
        <v>#N/A</v>
      </c>
      <c r="DZ244" s="102" t="e">
        <f t="shared" si="391"/>
        <v>#N/A</v>
      </c>
      <c r="EA244" s="414" t="e">
        <f>IF(EA243=0,0,IF(AND(DW244&gt;charge_ELS_quasi,DX244&gt;Charge_ELS_freq,DY244&gt;charge_ELU,DZ244&gt;charge_ELA,$B244&gt;NDC!$H$22-0.1+MIN(3*$EA$12,1.5)),0,1))</f>
        <v>#N/A</v>
      </c>
      <c r="EB244" s="86" t="b">
        <f t="shared" si="359"/>
        <v>0</v>
      </c>
      <c r="EC244" s="418">
        <f t="shared" si="360"/>
        <v>0.51</v>
      </c>
      <c r="ED244" s="86">
        <f t="shared" si="361"/>
        <v>0.51</v>
      </c>
      <c r="EE244" s="30" t="e">
        <f t="shared" ca="1" si="392"/>
        <v>#DIV/0!</v>
      </c>
      <c r="EF244" s="85" t="e">
        <f ca="1">IF(DL244&lt;=Hypothèses!$V$7,Hypothèses!$W$7,IF(DL244&lt;=Hypothèses!$V$8,Hypothèses!$W$8,IF(DL244&lt;=Hypothèses!$V$9,Hypothèses!$W$9,IF(DL244&lt;=Hypothèses!$V$10,Hypothèses!$W$10,IF(DL244&lt;=Hypothèses!$V$11,Hypothèses!$W$11,IF(DL244&lt;=Hypothèses!$V$12,Hypothèses!$W$12,IF(DL244&lt;=Hypothèses!$V$13,Hypothèses!$W$13,IF(DL244&lt;=Hypothèses!$V$14,Hypothèses!$W$14,IF(DL244&lt;=Hypothèses!$V$15,Hypothèses!$W$15,IF(DL244&lt;=Hypothèses!$V$16,Hypothèses!$W$16,IF(DL244&lt;=Hypothèses!$V$17,Hypothèses!$W$17,IF(DL244&lt;=Hypothèses!$V$18,Hypothèses!$W$18,""))))))))))))</f>
        <v>#DIV/0!</v>
      </c>
      <c r="EG244" s="87" t="e">
        <f t="shared" ca="1" si="422"/>
        <v>#DIV/0!</v>
      </c>
      <c r="EH244" s="88" t="e">
        <f ca="1">IF(DL244&lt;=Hypothèses!$V$7,Hypothèses!$X$7,IF(DL244&lt;=Hypothèses!$V$8,Hypothèses!$X$8,IF(DL244&lt;=Hypothèses!$V$9,Hypothèses!$X$9,IF(DL244&lt;=Hypothèses!$V$10,Hypothèses!$X$10,IF(DL244&lt;=Hypothèses!$V$11,Hypothèses!$X$11,IF(DL244&lt;=Hypothèses!$V$12,Hypothèses!$X$12,IF(DL244&lt;=Hypothèses!$V$13,Hypothèses!$X$13,IF(DL244&lt;=Hypothèses!$V$14,Hypothèses!$X$14,IF(DL244&lt;=Hypothèses!$V$15,Hypothèses!$X$15,IF(DL244&lt;=Hypothèses!$V$16,Hypothèses!$X$16,IF(DL244&lt;=Hypothèses!$U$17,Hypothèses!$W$17,IF(DL244&lt;=Hypothèses!$U$18,Hypothèses!$W$18,""))))))))))))</f>
        <v>#DIV/0!</v>
      </c>
      <c r="EI244" s="95" t="e">
        <f t="shared" ca="1" si="393"/>
        <v>#DIV/0!</v>
      </c>
      <c r="EJ244" s="101" t="e">
        <f t="shared" si="429"/>
        <v>#N/A</v>
      </c>
      <c r="EK244" s="91" t="e">
        <f t="shared" si="362"/>
        <v>#N/A</v>
      </c>
      <c r="EL244" s="30" t="e">
        <f t="shared" si="412"/>
        <v>#N/A</v>
      </c>
      <c r="EM244" s="30" t="e">
        <f t="shared" si="413"/>
        <v>#N/A</v>
      </c>
      <c r="EN244" s="31" t="e">
        <f>IF(OR(Hypothèses!$B$4=17,Hypothèses!$B$4=18,Hypothèses!$B$4=19,Hypothèses!$B$4=20),
IF($D244="Pressio.",
IF(OR($E244=3,$E244=1,$E244=4),EM244,EL244),
IF($D244="Pénétro.",
IF(OR($E244=3,$E244=1,$E244=4),EM244,EL244))),IF($D244="Pressio.",
IF($E244=3,EM244,EL244),
IF($D244="Pénétro.",
IF($E244=4,EM244,EL244))))</f>
        <v>#N/A</v>
      </c>
      <c r="EO244" s="31" t="e">
        <f>(IF(OR(Hypothèses!$B$4=17,Hypothèses!$B$4=18,Hypothèses!$B$4=19,Hypothèses!$B$4=20),
IF($D244="Pressio.",
IF(OR($E244=3,$E244=1,$E244=4),(PI()*EO$12^2)/4*(EK244*$W244*1000)/($H244*$B$5),(PI()*EO$12^2)/4*(EK244*$W244*1000)/($G244*$B$5)),
IF($D244="Pénétro.",
IF(OR($E244=4,$E244=1,$E244=5),(PI()*EO$12^2)/4*(EK244*$W244*1000)/($H244*$B$5),(PI()*EO$12^2)/4*(EK244*$W244*1000)/($G244*$B$5)))),
IF($D244="Pressio.",
IF($E244=3,(PI()*EO$12^2)/4*(EK244*$W244*1000)/($H244*$B$5),(PI()*EO$12^2)/4*(EK244*$W244*1000)/($G244*$B$5)),
IF($D244="Pénétro.",
IF($E244=4,(PI()*EO$12^2)/4*(EK244*$W244*1000)/($H244*$B$5),(PI()*EO$12^2)/4*(EK244*$W244*1000)/($G244*$B$5))))))/10</f>
        <v>#N/A</v>
      </c>
      <c r="EP244" s="102" t="e">
        <f>(VLOOKUP($B$3,'Coeff EC7'!$T$39:$X$59,2,0)*EN244+VLOOKUP($B$3,'Coeff EC7'!$T$65:$X$85,2,0)*Model0.1C!EO244)/1.1</f>
        <v>#N/A</v>
      </c>
      <c r="EQ244" s="102" t="e">
        <f>(VLOOKUP($B$3,'Coeff EC7'!$T$39:$X$59,3,0)*EN244+VLOOKUP($B$3,'Coeff EC7'!$T$65:$X$85,3,0)*Model0.1C!EO244)/0.9</f>
        <v>#N/A</v>
      </c>
      <c r="ER244" s="102" t="e">
        <f t="shared" si="394"/>
        <v>#N/A</v>
      </c>
      <c r="ES244" s="102" t="e">
        <f t="shared" si="395"/>
        <v>#N/A</v>
      </c>
      <c r="ET244" s="414" t="e">
        <f>IF(ET243=0,0,IF(AND(EP244&gt;charge_ELS_quasi,EQ244&gt;Charge_ELS_freq,ER244&gt;charge_ELU,ES244&gt;charge_ELA,$B244&gt;NDC!$H$22-0.1+MIN(3*$ET$12,1.5)),0,1))</f>
        <v>#N/A</v>
      </c>
      <c r="EU244" s="86" t="b">
        <f t="shared" si="363"/>
        <v>0</v>
      </c>
      <c r="EV244" s="86">
        <f t="shared" si="364"/>
        <v>0.61</v>
      </c>
      <c r="EW244" s="86">
        <f t="shared" si="365"/>
        <v>0.61</v>
      </c>
      <c r="EX244" s="30" t="e">
        <f t="shared" ca="1" si="396"/>
        <v>#DIV/0!</v>
      </c>
      <c r="EY244" s="85" t="e">
        <f ca="1">IF(EE244&lt;=Hypothèses!$V$7,Hypothèses!$W$7,IF(EE244&lt;=Hypothèses!$V$8,Hypothèses!$W$8,IF(EE244&lt;=Hypothèses!$V$9,Hypothèses!$W$9,IF(EE244&lt;=Hypothèses!$V$10,Hypothèses!$W$10,IF(EE244&lt;=Hypothèses!$V$11,Hypothèses!$W$11,IF(EE244&lt;=Hypothèses!$V$12,Hypothèses!$W$12,IF(EE244&lt;=Hypothèses!$V$13,Hypothèses!$W$13,IF(EE244&lt;=Hypothèses!$V$14,Hypothèses!$W$14,IF(EE244&lt;=Hypothèses!$V$15,Hypothèses!$W$15,IF(EE244&lt;=Hypothèses!$V$16,Hypothèses!$W$16,IF(EE244&lt;=Hypothèses!$V$17,Hypothèses!$W$17,IF(EE244&lt;=Hypothèses!$V$18,Hypothèses!$W$18,""))))))))))))</f>
        <v>#DIV/0!</v>
      </c>
      <c r="EZ244" s="87" t="e">
        <f t="shared" ca="1" si="423"/>
        <v>#DIV/0!</v>
      </c>
      <c r="FA244" s="88" t="e">
        <f ca="1">IF(EE244&lt;=Hypothèses!$V$7,Hypothèses!$X$7,IF(EE244&lt;=Hypothèses!$V$8,Hypothèses!$X$8,IF(EE244&lt;=Hypothèses!$V$9,Hypothèses!$X$9,IF(EE244&lt;=Hypothèses!$V$10,Hypothèses!$X$10,IF(EE244&lt;=Hypothèses!$V$11,Hypothèses!$X$11,IF(EE244&lt;=Hypothèses!$V$12,Hypothèses!$X$12,IF(EE244&lt;=Hypothèses!$V$13,Hypothèses!$X$13,IF(EE244&lt;=Hypothèses!$V$14,Hypothèses!$X$14,IF(EE244&lt;=Hypothèses!$V$15,Hypothèses!$X$15,IF(EE244&lt;=Hypothèses!$V$16,Hypothèses!$X$16,IF(EE244&lt;=Hypothèses!$U$17,Hypothèses!$W$17,IF(EE244&lt;=Hypothèses!$U$18,Hypothèses!$W$18,""))))))))))))</f>
        <v>#DIV/0!</v>
      </c>
      <c r="FB244" s="95" t="e">
        <f t="shared" ca="1" si="397"/>
        <v>#DIV/0!</v>
      </c>
      <c r="FC244" s="101" t="e">
        <f t="shared" si="430"/>
        <v>#N/A</v>
      </c>
      <c r="FD244" s="91" t="e">
        <f t="shared" si="366"/>
        <v>#N/A</v>
      </c>
      <c r="FE244" s="30" t="e">
        <f t="shared" si="414"/>
        <v>#N/A</v>
      </c>
      <c r="FF244" s="30" t="e">
        <f t="shared" si="415"/>
        <v>#N/A</v>
      </c>
      <c r="FG244" s="31" t="e">
        <f>IF(OR(Hypothèses!$B$4=17,Hypothèses!$B$4=18,Hypothèses!$B$4=19,Hypothèses!$B$4=20),
IF($D244="Pressio.",
IF(OR($E244=3,$E244=1,$E244=4),FF244,FE244),
IF($D244="Pénétro.",
IF(OR($E244=3,$E244=1,$E244=4),FF244,FE244))),IF($D244="Pressio.",
IF($E244=3,FF244,FE244),
IF($D244="Pénétro.",
IF($E244=4,FF244,FE244))))</f>
        <v>#N/A</v>
      </c>
      <c r="FH244" s="31" t="e">
        <f>(IF(OR(Hypothèses!$B$4=17,Hypothèses!$B$4=18,Hypothèses!$B$4=19,Hypothèses!$B$4=20),
IF($D244="Pressio.",
IF(OR($E244=3,$E244=1,$E244=4),(PI()*FH$12^2)/4*(FD244*$W244*1000)/($H244*$B$5),(PI()*FH$12^2)/4*(FD244*$W244*1000)/($G244*$B$5)),
IF($D244="Pénétro.",
IF(OR($E244=4,$E244=1,$E244=5),(PI()*FH$12^2)/4*(FD244*$W244*1000)/($H244*$B$5),(PI()*FH$12^2)/4*(FD244*$W244*1000)/($G244*$B$5)))),
IF($D244="Pressio.",
IF($E244=3,(PI()*FH$12^2)/4*(FD244*$W244*1000)/($H244*$B$5),(PI()*FH$12^2)/4*(FD244*$W244*1000)/($G244*$B$5)),
IF($D244="Pénétro.",
IF($E244=4,(PI()*FH$12^2)/4*(FD244*$W244*1000)/($H244*$B$5),(PI()*FH$12^2)/4*(FD244*$W244*1000)/($G244*$B$5))))))/10</f>
        <v>#N/A</v>
      </c>
      <c r="FI244" s="102" t="e">
        <f>(VLOOKUP($B$3,'Coeff EC7'!$T$39:$X$59,2,0)*FG244+VLOOKUP($B$3,'Coeff EC7'!$T$65:$X$85,2,0)*Model0.1C!FH244)/1.1</f>
        <v>#N/A</v>
      </c>
      <c r="FJ244" s="102" t="e">
        <f>(VLOOKUP($B$3,'Coeff EC7'!$T$39:$X$59,3,0)*FG244+VLOOKUP($B$3,'Coeff EC7'!$T$65:$X$85,3,0)*Model0.1C!FH244)/0.9</f>
        <v>#N/A</v>
      </c>
      <c r="FK244" s="102" t="e">
        <f t="shared" si="398"/>
        <v>#N/A</v>
      </c>
      <c r="FL244" s="102" t="e">
        <f t="shared" si="399"/>
        <v>#N/A</v>
      </c>
      <c r="FM244" s="414" t="e">
        <f>IF(FM243=0,0,IF(AND(FI244&gt;charge_ELS_quasi,FJ244&gt;Charge_ELS_freq,FK244&gt;charge_ELU,FL244&gt;charge_ELA,$B244&gt;NDC!$H$22-0.1+MIN(3*$FM$12,1.5)),0,1))</f>
        <v>#N/A</v>
      </c>
    </row>
    <row r="245" spans="1:169">
      <c r="A245" s="96">
        <f t="shared" si="367"/>
        <v>76.800000000001319</v>
      </c>
      <c r="B245" s="97">
        <v>23.2</v>
      </c>
      <c r="C245" s="81">
        <f>IF(B245&lt;=Hypothèses!$C$7,Hypothèses!$A$7,IF(B245&lt;=Hypothèses!$C$8,Hypothèses!$A$8,IF(B245&lt;=Hypothèses!$C$9,Hypothèses!$A$9,IF(B245&lt;=Hypothèses!$C$10,Hypothèses!$A$10,IF(B245&lt;=Hypothèses!$C$11,Hypothèses!$A$11,IF(B245&lt;=Hypothèses!$C$12,Hypothèses!$A$12,IF(B245&lt;=Hypothèses!$C$13,Hypothèses!$A$13,IF(B245&lt;=Hypothèses!$C$14,Hypothèses!$A$14,IF(B245&lt;=Hypothèses!$C$15,Hypothèses!$A$15,IF(B245&lt;=Hypothèses!$C$16,Hypothèses!$A$16,IF(B245&lt;=Hypothèses!$C$17,Hypothèses!$A$17,IF(B245&lt;=Hypothèses!$C$18,Hypothèses!$A$18,C244))))))))))))</f>
        <v>11</v>
      </c>
      <c r="D245" s="82" t="str">
        <f>IF(B245&lt;=Hypothèses!$C$7,Hypothèses!$R$7,IF(B245&lt;=Hypothèses!$C$8,Hypothèses!$R$8,IF(B245&lt;=Hypothèses!$C$9,Hypothèses!$R$9,IF(B245&lt;=Hypothèses!$C$10,Hypothèses!$R$10,IF(B245&lt;=Hypothèses!$C$11,Hypothèses!$R$11,IF(B245&lt;=Hypothèses!$C$12,Hypothèses!$R$12,IF(B245&lt;=Hypothèses!$C$13,Hypothèses!$R$13,IF(B245&lt;=Hypothèses!$C$14,Hypothèses!$R$14,IF(B245&lt;=Hypothèses!$C$15,Hypothèses!$R$15,IF(B245&lt;=Hypothèses!$C$16,Hypothèses!$R$16,IF(B245&lt;=Hypothèses!$C$17,Hypothèses!$R$17,IF(B245&lt;=Hypothèses!$C$18,Hypothèses!$R$18,D244))))))))))))</f>
        <v>Pressio.</v>
      </c>
      <c r="E245" s="82" t="e">
        <f>IF(B245&lt;=Hypothèses!$C$7,Hypothèses!$G$7,IF(B245&lt;=Hypothèses!$C$8,Hypothèses!$G$8,IF(B245&lt;=Hypothèses!$C$9,Hypothèses!$G$9,IF(B245&lt;=Hypothèses!$C$10,Hypothèses!$G$10,IF(B245&lt;=Hypothèses!$C$11,Hypothèses!$G$11,IF(B245&lt;=Hypothèses!$C$12,Hypothèses!$G$12,IF(B245&lt;=Hypothèses!$C$13,Hypothèses!$G$13,IF(B245&lt;=Hypothèses!$C$14,Hypothèses!$G$14,IF(B245&lt;=Hypothèses!$C$15,Hypothèses!$G$15,IF(B245&lt;=Hypothèses!$C$16,Hypothèses!$G$16,IF(B245&lt;=Hypothèses!$C$17,Hypothèses!$G$17,IF(B245&lt;=Hypothèses!$C$18,Hypothèses!$G$18,E244))))))))))))</f>
        <v>#N/A</v>
      </c>
      <c r="F245" s="82" t="str">
        <f>IF(B245&lt;=Hypothèses!$C$7,Hypothèses!$F$7,IF(B245&lt;=Hypothèses!$C$8,Hypothèses!$F$8,IF(B245&lt;=Hypothèses!$C$9,Hypothèses!$F$9,IF(B245&lt;=Hypothèses!$C$10,Hypothèses!$F$10,IF(B245&lt;=Hypothèses!$C$11,Hypothèses!$F$11,IF(B245&lt;=Hypothèses!$C$12,Hypothèses!$F$12,IF(B245&lt;=Hypothèses!$C$13,Hypothèses!$F$13,IF(B245&lt;=Hypothèses!$C$14,Hypothèses!$F$14,IF(B245&lt;=Hypothèses!$C$15,Hypothèses!$F$15,IF(B245&lt;=Hypothèses!$C$16,Hypothèses!$F$16,IF(B245&lt;=Hypothèses!$C$17,Hypothèses!$F$17,IF(B245&lt;=Hypothèses!$C$18,Hypothèses!$F$18,F244))))))))))))</f>
        <v/>
      </c>
      <c r="G245" s="91">
        <f t="array" ref="G245">INDEX('Coeff EC7'!$U$7:$X$27,
MATCH(Model0.1C!$B$3,'Coeff EC7'!$T$7:$T$27,0),
MATCH(Model0.1C!$D245&amp;Model0.1C!$B$4,
'Coeff EC7'!$U$6:$X$6&amp;
'Coeff EC7'!$U$5:$X$5,0))</f>
        <v>1.1499999999999999</v>
      </c>
      <c r="H245" s="91">
        <f t="array" ref="H245">INDEX('Coeff EC7'!$Y$7:$AB$27,
MATCH(Model0.1C!$B$3,'Coeff EC7'!$T$7:$T$27,0),
MATCH(Model0.1C!$D245&amp;Model0.1C!$B$4,
'Coeff EC7'!$Y$6:$AB$6&amp;
'Coeff EC7'!$Y$5:$AB$5,0))</f>
        <v>1.4</v>
      </c>
      <c r="I245" s="83" t="e">
        <f>IF(B245&lt;=Hypothèses!$C$7,Hypothèses!$P$7,IF(B245&lt;=Hypothèses!$C$8,Hypothèses!$P$8,IF(B245&lt;=Hypothèses!$C$9,Hypothèses!$P$9,IF(B245&lt;=Hypothèses!$C$10,Hypothèses!$P$10,IF(B245&lt;=Hypothèses!$C$11,Hypothèses!$P$11,IF(B245&lt;=Hypothèses!$C$12,Hypothèses!$P$12,IF(B245&lt;=Hypothèses!$C$13,Hypothèses!$P$13,IF(B245&lt;=Hypothèses!$C$14,Hypothèses!$P$14,IF(B245&lt;=Hypothèses!$C$15,Hypothèses!$P$15,IF(B245&lt;=Hypothèses!$C$16,Hypothèses!$P$16,IF(B245&lt;=Hypothèses!$C$17,Hypothèses!$P$17,IF(B245&lt;=Hypothèses!$C$18,Hypothèses!$P$18,I244))))))))))))</f>
        <v>#N/A</v>
      </c>
      <c r="J245" s="91" t="e">
        <f t="array" ref="J245">INDEX('Coeff EC7'!$D$33:$Q$33,1,MATCH(D245&amp;E245,'Coeff EC7'!$D$31:$Q$31&amp;'Coeff EC7'!$D$32:$Q$32,0))</f>
        <v>#N/A</v>
      </c>
      <c r="K245" s="91" t="e">
        <f t="array" ref="K245">INDEX('Coeff EC7'!$D$34:$Q$34,1,MATCH(D245&amp;E245,'Coeff EC7'!$D$31:$Q$31&amp;'Coeff EC7'!$D$32:$Q$32,0))</f>
        <v>#N/A</v>
      </c>
      <c r="L245" s="91" t="e">
        <f t="array" ref="L245">INDEX('Coeff EC7'!$D$35:$Q$35,1,MATCH(D245&amp;E245,'Coeff EC7'!$D$31:$Q$31&amp;'Coeff EC7'!$D$32:$Q$32,0))</f>
        <v>#N/A</v>
      </c>
      <c r="M245" s="98" t="e">
        <f t="shared" si="331"/>
        <v>#N/A</v>
      </c>
      <c r="N245" s="99" t="e">
        <f t="array" ref="N245">INDEX('Coeff EC7'!$D$7:$Q$27,MATCH($B$3,'Coeff EC7'!$C$7:$C$27,0),MATCH(D245&amp;E245,'Coeff EC7'!$D$5:$Q$5&amp;'Coeff EC7'!$D$6:$Q$6,0))</f>
        <v>#N/A</v>
      </c>
      <c r="O245" s="99" t="e">
        <f t="array" ref="O245">INDEX('Coeff EC7'!$D$41:$Q$61,MATCH($B$3,'Coeff EC7'!$C$41:$C$61,0),MATCH(D245&amp;E245,'Coeff EC7'!$D$39:$Q$39&amp;'Coeff EC7'!$D$40:$Q$40,0))</f>
        <v>#N/A</v>
      </c>
      <c r="P245" s="30" t="e">
        <f t="shared" si="368"/>
        <v>#N/A</v>
      </c>
      <c r="Q245" s="100" t="e">
        <f t="shared" si="333"/>
        <v>#N/A</v>
      </c>
      <c r="R245" s="86" t="b">
        <f t="shared" si="334"/>
        <v>0</v>
      </c>
      <c r="S245" s="86">
        <f t="shared" si="332"/>
        <v>0.5</v>
      </c>
      <c r="T245" s="86">
        <f t="shared" si="335"/>
        <v>0.5</v>
      </c>
      <c r="U245" s="30" t="e">
        <f t="shared" ca="1" si="369"/>
        <v>#DIV/0!</v>
      </c>
      <c r="V245" s="85" t="str">
        <f>IF(B245&lt;=Hypothèses!$V$7,Hypothèses!$W$7,IF(B245&lt;=Hypothèses!$V$8,Hypothèses!$W$8,IF(B245&lt;=Hypothèses!$V$9,Hypothèses!$W$9,IF(B245&lt;=Hypothèses!$V$10,Hypothèses!$W$10,IF(B245&lt;=Hypothèses!$V$11,Hypothèses!$W$11,IF(B245&lt;=Hypothèses!$V$12,Hypothèses!$W$12,IF(B245&lt;=Hypothèses!$V$13,Hypothèses!$W$13,IF(B245&lt;=Hypothèses!$V$14,Hypothèses!$W$14,IF(B245&lt;=Hypothèses!$V$15,Hypothèses!$W$15,IF(B245&lt;=Hypothèses!$V$16,Hypothèses!$W$16,IF(B245&lt;=Hypothèses!$V$17,Hypothèses!$W$17,IF(B245&lt;=Hypothèses!$V$18,Hypothèses!$W$18,""))))))))))))</f>
        <v/>
      </c>
      <c r="W245" s="87" t="e">
        <f t="shared" ca="1" si="416"/>
        <v>#DIV/0!</v>
      </c>
      <c r="X245" s="88" t="str">
        <f>IF(B245&lt;=Hypothèses!$V$7,Hypothèses!$X$7,IF(B245&lt;=Hypothèses!$V$8,Hypothèses!$X$8,IF(B245&lt;=Hypothèses!$V$9,Hypothèses!$X$9,IF(B245&lt;=Hypothèses!$V$10,Hypothèses!$X$10,IF(B245&lt;=Hypothèses!$V$11,Hypothèses!$X$11,IF(B245&lt;=Hypothèses!$V$12,Hypothèses!$X$12,IF(B245&lt;=Hypothèses!$V$13,Hypothèses!$X$13,IF(B245&lt;=Hypothèses!$V$14,Hypothèses!$X$14,IF(B245&lt;=Hypothèses!$V$15,Hypothèses!$X$15,IF(B245&lt;=Hypothèses!$V$16,Hypothèses!$X$16,IF(B245&lt;=Hypothèses!$U$17,Hypothèses!$W$17,IF(B245&lt;=Hypothèses!$U$18,Hypothèses!$W$18,""))))))))))))</f>
        <v/>
      </c>
      <c r="Y245" s="95" t="e">
        <f t="shared" ca="1" si="336"/>
        <v>#DIV/0!</v>
      </c>
      <c r="Z245" s="101" t="e">
        <f t="shared" si="337"/>
        <v>#N/A</v>
      </c>
      <c r="AA245" s="91" t="e">
        <f t="shared" si="338"/>
        <v>#N/A</v>
      </c>
      <c r="AB245" s="30" t="e">
        <f t="shared" si="400"/>
        <v>#N/A</v>
      </c>
      <c r="AC245" s="30" t="e">
        <f t="shared" si="401"/>
        <v>#N/A</v>
      </c>
      <c r="AD245" s="31" t="e">
        <f>IF(OR(Hypothèses!$B$4=17,Hypothèses!$B$4=18,Hypothèses!$B$4=19,Hypothèses!$B$4=20),
IF($D245="Pressio.",
IF(OR($E245=3,$E245=1,$E245=4),AC245,AB245),
IF($D245="Pénétro.",
IF(OR($E245=3,$E245=1,$E245=4),AC245,AB245))),IF($D245="Pressio.",
IF($E245=3,AC245,AB245),
IF($D245="Pénétro.",
IF($E245=4,AC245,AB245))))</f>
        <v>#N/A</v>
      </c>
      <c r="AE245" s="31" t="e">
        <f>(IF(OR(Hypothèses!$B$4=17,Hypothèses!$B$4=18,Hypothèses!$B$4=19,Hypothèses!$B$4=20),
IF($D245="Pressio.",
IF(OR($E245=3,$E245=1,$E245=4),(PI()*AE$12^2)/4*(AA245*$W245*1000)/($H245*$B$5),(PI()*AE$12^2)/4*(AA245*$W245*1000)/($G245*$B$5)),
IF($D245="Pénétro.",
IF(OR($E245=4,$E245=1,$E245=5),(PI()*AE$12^2)/4*(AA245*$W245*1000)/($H245*$B$5),(PI()*AE$12^2)/4*(AA245*$W245*1000)/($G245*$B$5)))),
IF($D245="Pressio.",
IF($E245=3,(PI()*AE$12^2)/4*(AA245*$W245*1000)/($H245*$B$5),(PI()*AE$12^2)/4*(AA245*$W245*1000)/($G245*$B$5)),
IF($D245="Pénétro.",
IF($E245=4,(PI()*AE$12^2)/4*(AA245*$W245*1000)/($H245*$B$5),(PI()*AE$12^2)/4*(AA245*$W245*1000)/($G245*$B$5))))))/10</f>
        <v>#N/A</v>
      </c>
      <c r="AF245" s="102" t="e">
        <f>(VLOOKUP($B$3,'Coeff EC7'!$T$39:$X$59,2,0)*AD245+VLOOKUP($B$3,'Coeff EC7'!$T$65:$X$85,2,0)*Model0.1C!AE245)/1.1</f>
        <v>#N/A</v>
      </c>
      <c r="AG245" s="102" t="e">
        <f>(VLOOKUP($B$3,'Coeff EC7'!$T$39:$X$59,3,0)*AD245+VLOOKUP($B$3,'Coeff EC7'!$T$65:$X$85,3,0)*Model0.1C!AE245)/0.9</f>
        <v>#N/A</v>
      </c>
      <c r="AH245" s="102" t="e">
        <f t="shared" si="339"/>
        <v>#N/A</v>
      </c>
      <c r="AI245" s="102" t="e">
        <f t="shared" si="340"/>
        <v>#N/A</v>
      </c>
      <c r="AJ245" s="414" t="e">
        <f>IF(AJ244=0,0,IF(AND(AF245&gt;charge_ELS_quasi,AG245&gt;Charge_ELS_freq,AH245&gt;charge_ELU,AI245&gt;charge_ELA,$B245&gt;NDC!$H$22-0.1+MIN(3*$AJ$12,1.5)),0,1))</f>
        <v>#N/A</v>
      </c>
      <c r="AK245" s="86" t="b">
        <f t="shared" si="341"/>
        <v>0</v>
      </c>
      <c r="AL245" s="86">
        <f t="shared" si="370"/>
        <v>0.5</v>
      </c>
      <c r="AM245" s="86">
        <f t="shared" si="342"/>
        <v>0.5</v>
      </c>
      <c r="AN245" s="30" t="e">
        <f t="shared" ca="1" si="371"/>
        <v>#DIV/0!</v>
      </c>
      <c r="AO245" s="85" t="e">
        <f ca="1">IF(U245&lt;=Hypothèses!$V$7,Hypothèses!$W$7,IF(U245&lt;=Hypothèses!$V$8,Hypothèses!$W$8,IF(U245&lt;=Hypothèses!$V$9,Hypothèses!$W$9,IF(U245&lt;=Hypothèses!$V$10,Hypothèses!$W$10,IF(U245&lt;=Hypothèses!$V$11,Hypothèses!$W$11,IF(U245&lt;=Hypothèses!$V$12,Hypothèses!$W$12,IF(U245&lt;=Hypothèses!$V$13,Hypothèses!$W$13,IF(U245&lt;=Hypothèses!$V$14,Hypothèses!$W$14,IF(U245&lt;=Hypothèses!$V$15,Hypothèses!$W$15,IF(U245&lt;=Hypothèses!$V$16,Hypothèses!$W$16,IF(U245&lt;=Hypothèses!$V$17,Hypothèses!$W$17,IF(U245&lt;=Hypothèses!$V$18,Hypothèses!$W$18,""))))))))))))</f>
        <v>#DIV/0!</v>
      </c>
      <c r="AP245" s="87" t="e">
        <f t="shared" ca="1" si="417"/>
        <v>#DIV/0!</v>
      </c>
      <c r="AQ245" s="88" t="e">
        <f ca="1">IF(U245&lt;=Hypothèses!$V$7,Hypothèses!$X$7,IF(U245&lt;=Hypothèses!$V$8,Hypothèses!$X$8,IF(U245&lt;=Hypothèses!$V$9,Hypothèses!$X$9,IF(U245&lt;=Hypothèses!$V$10,Hypothèses!$X$10,IF(U245&lt;=Hypothèses!$V$11,Hypothèses!$X$11,IF(U245&lt;=Hypothèses!$V$12,Hypothèses!$X$12,IF(U245&lt;=Hypothèses!$V$13,Hypothèses!$X$13,IF(U245&lt;=Hypothèses!$V$14,Hypothèses!$X$14,IF(U245&lt;=Hypothèses!$V$15,Hypothèses!$X$15,IF(U245&lt;=Hypothèses!$V$16,Hypothèses!$X$16,IF(U245&lt;=Hypothèses!$U$17,Hypothèses!$W$17,IF(U245&lt;=Hypothèses!$U$18,Hypothèses!$W$18,""))))))))))))</f>
        <v>#DIV/0!</v>
      </c>
      <c r="AR245" s="95" t="e">
        <f t="shared" ca="1" si="372"/>
        <v>#DIV/0!</v>
      </c>
      <c r="AS245" s="101" t="e">
        <f t="shared" si="424"/>
        <v>#N/A</v>
      </c>
      <c r="AT245" s="91" t="e">
        <f t="shared" si="343"/>
        <v>#N/A</v>
      </c>
      <c r="AU245" s="30" t="e">
        <f t="shared" si="402"/>
        <v>#N/A</v>
      </c>
      <c r="AV245" s="30" t="e">
        <f t="shared" si="403"/>
        <v>#N/A</v>
      </c>
      <c r="AW245" s="31" t="e">
        <f>IF(OR(Hypothèses!$B$4=17,Hypothèses!$B$4=18,Hypothèses!$B$4=19,Hypothèses!$B$4=20),
IF($D245="Pressio.",
IF(OR($E245=3,$E245=1,$E245=4),AV245,AU245),
IF($D245="Pénétro.",
IF(OR($E245=3,$E245=1,$E245=4),AV245,AU245))),IF($D245="Pressio.",
IF($E245=3,AV245,AU245),
IF($D245="Pénétro.",
IF($E245=4,AV245,AU245))))</f>
        <v>#N/A</v>
      </c>
      <c r="AX245" s="31" t="e">
        <f>(IF(OR(Hypothèses!$B$4=17,Hypothèses!$B$4=18,Hypothèses!$B$4=19,Hypothèses!$B$4=20),
IF($D245="Pressio.",
IF(OR($E245=3,$E245=1,$E245=4),(PI()*AX$12^2)/4*(AT245*$W245*1000)/($H245*$B$5),(PI()*AX$12^2)/4*(AT245*$W245*1000)/($G245*$B$5)),
IF($D245="Pénétro.",
IF(OR($E245=4,$E245=1,$E245=5),(PI()*AX$12^2)/4*(AT245*$W245*1000)/($H245*$B$5),(PI()*AX$12^2)/4*(AT245*$W245*1000)/($G245*$B$5)))),
IF($D245="Pressio.",
IF($E245=3,(PI()*AX$12^2)/4*(AT245*$W245*1000)/($H245*$B$5),(PI()*AX$12^2)/4*(AT245*$W245*1000)/($G245*$B$5)),
IF($D245="Pénétro.",
IF($E245=4,(PI()*AX$12^2)/4*(AT245*$W245*1000)/($H245*$B$5),(PI()*AX$12^2)/4*(AT245*$W245*1000)/($G245*$B$5))))))/10</f>
        <v>#N/A</v>
      </c>
      <c r="AY245" s="102" t="e">
        <f>(VLOOKUP($B$3,'Coeff EC7'!$T$39:$X$59,2,0)*AW245+VLOOKUP($B$3,'Coeff EC7'!$T$65:$X$85,2,0)*Model0.1C!AX245)/1.1</f>
        <v>#N/A</v>
      </c>
      <c r="AZ245" s="102" t="e">
        <f>(VLOOKUP($B$3,'Coeff EC7'!$T$39:$X$59,3,0)*AW245+VLOOKUP($B$3,'Coeff EC7'!$T$65:$X$85,3,0)*Model0.1C!AX245)/0.9</f>
        <v>#N/A</v>
      </c>
      <c r="BA245" s="102" t="e">
        <f t="shared" si="373"/>
        <v>#N/A</v>
      </c>
      <c r="BB245" s="102" t="e">
        <f t="shared" si="374"/>
        <v>#N/A</v>
      </c>
      <c r="BC245" s="414" t="e">
        <f>IF(BC244=0,0,IF(AND(AY245&gt;charge_ELS_quasi,AZ245&gt;Charge_ELS_freq,BA245&gt;charge_ELU,BB245&gt;charge_ELA,$B245&gt;NDC!$H$22-0.1+MIN(3*$BC$12,1.5)),0,1))</f>
        <v>#N/A</v>
      </c>
      <c r="BD245" s="86" t="b">
        <f t="shared" si="344"/>
        <v>0</v>
      </c>
      <c r="BE245" s="86">
        <f t="shared" si="375"/>
        <v>0.5</v>
      </c>
      <c r="BF245" s="86">
        <f t="shared" si="345"/>
        <v>0.5</v>
      </c>
      <c r="BG245" s="30" t="e">
        <f t="shared" ca="1" si="376"/>
        <v>#DIV/0!</v>
      </c>
      <c r="BH245" s="85" t="e">
        <f ca="1">IF(AN245&lt;=Hypothèses!$V$7,Hypothèses!$W$7,IF(AN245&lt;=Hypothèses!$V$8,Hypothèses!$W$8,IF(AN245&lt;=Hypothèses!$V$9,Hypothèses!$W$9,IF(AN245&lt;=Hypothèses!$V$10,Hypothèses!$W$10,IF(AN245&lt;=Hypothèses!$V$11,Hypothèses!$W$11,IF(AN245&lt;=Hypothèses!$V$12,Hypothèses!$W$12,IF(AN245&lt;=Hypothèses!$V$13,Hypothèses!$W$13,IF(AN245&lt;=Hypothèses!$V$14,Hypothèses!$W$14,IF(AN245&lt;=Hypothèses!$V$15,Hypothèses!$W$15,IF(AN245&lt;=Hypothèses!$V$16,Hypothèses!$W$16,IF(AN245&lt;=Hypothèses!$V$17,Hypothèses!$W$17,IF(AN245&lt;=Hypothèses!$V$18,Hypothèses!$W$18,""))))))))))))</f>
        <v>#DIV/0!</v>
      </c>
      <c r="BI245" s="87" t="e">
        <f t="shared" ca="1" si="418"/>
        <v>#DIV/0!</v>
      </c>
      <c r="BJ245" s="88" t="e">
        <f ca="1">IF(AN245&lt;=Hypothèses!$V$7,Hypothèses!$X$7,IF(AN245&lt;=Hypothèses!$V$8,Hypothèses!$X$8,IF(AN245&lt;=Hypothèses!$V$9,Hypothèses!$X$9,IF(AN245&lt;=Hypothèses!$V$10,Hypothèses!$X$10,IF(AN245&lt;=Hypothèses!$V$11,Hypothèses!$X$11,IF(AN245&lt;=Hypothèses!$V$12,Hypothèses!$X$12,IF(AN245&lt;=Hypothèses!$V$13,Hypothèses!$X$13,IF(AN245&lt;=Hypothèses!$V$14,Hypothèses!$X$14,IF(AN245&lt;=Hypothèses!$V$15,Hypothèses!$X$15,IF(AN245&lt;=Hypothèses!$V$16,Hypothèses!$X$16,IF(AN245&lt;=Hypothèses!$U$17,Hypothèses!$W$17,IF(AN245&lt;=Hypothèses!$U$18,Hypothèses!$W$18,""))))))))))))</f>
        <v>#DIV/0!</v>
      </c>
      <c r="BK245" s="95" t="e">
        <f t="shared" ca="1" si="377"/>
        <v>#DIV/0!</v>
      </c>
      <c r="BL245" s="101" t="e">
        <f t="shared" si="425"/>
        <v>#N/A</v>
      </c>
      <c r="BM245" s="91" t="e">
        <f t="shared" si="346"/>
        <v>#N/A</v>
      </c>
      <c r="BN245" s="30" t="e">
        <f t="shared" si="404"/>
        <v>#N/A</v>
      </c>
      <c r="BO245" s="30" t="e">
        <f t="shared" si="405"/>
        <v>#N/A</v>
      </c>
      <c r="BP245" s="31" t="e">
        <f>IF(OR(Hypothèses!$B$4=17,Hypothèses!$B$4=18,Hypothèses!$B$4=19,Hypothèses!$B$4=20),
IF($D245="Pressio.",
IF(OR($E245=3,$E245=1,$E245=4),BO245,BN245),
IF($D245="Pénétro.",
IF(OR($E245=3,$E245=1,$E245=4),BO245,BN245))),IF($D245="Pressio.",
IF($E245=3,BO245,BN245),
IF($D245="Pénétro.",
IF($E245=4,BO245,BN245))))</f>
        <v>#N/A</v>
      </c>
      <c r="BQ245" s="31" t="e">
        <f>(IF(OR(Hypothèses!$B$4=17,Hypothèses!$B$4=18,Hypothèses!$B$4=19,Hypothèses!$B$4=20),
IF($D245="Pressio.",
IF(OR($E245=3,$E245=1,$E245=4),(PI()*BQ$12^2)/4*(BM245*$W245*1000)/($H245*$B$5),(PI()*BQ$12^2)/4*(BM245*$W245*1000)/($G245*$B$5)),
IF($D245="Pénétro.",
IF(OR($E245=4,$E245=1,$E245=5),(PI()*BQ$12^2)/4*(BM245*$W245*1000)/($H245*$B$5),(PI()*BQ$12^2)/4*(BM245*$W245*1000)/($G245*$B$5)))),
IF($D245="Pressio.",
IF($E245=3,(PI()*BQ$12^2)/4*(BM245*$W245*1000)/($H245*$B$5),(PI()*BQ$12^2)/4*(BM245*$W245*1000)/($G245*$B$5)),
IF($D245="Pénétro.",
IF($E245=4,(PI()*BQ$12^2)/4*(BM245*$W245*1000)/($H245*$B$5),(PI()*BQ$12^2)/4*(BM245*$W245*1000)/($G245*$B$5))))))/10</f>
        <v>#N/A</v>
      </c>
      <c r="BR245" s="102" t="e">
        <f>(VLOOKUP($B$3,'Coeff EC7'!$T$39:$X$59,2,0)*BP245+VLOOKUP($B$3,'Coeff EC7'!$T$65:$X$85,2,0)*Model0.1C!BQ245)/1.1</f>
        <v>#N/A</v>
      </c>
      <c r="BS245" s="102" t="e">
        <f>(VLOOKUP($B$3,'Coeff EC7'!$T$39:$X$59,3,0)*BP245+VLOOKUP($B$3,'Coeff EC7'!$T$65:$X$85,3,0)*Model0.1C!BQ245)/0.9</f>
        <v>#N/A</v>
      </c>
      <c r="BT245" s="102" t="e">
        <f t="shared" si="378"/>
        <v>#N/A</v>
      </c>
      <c r="BU245" s="102" t="e">
        <f t="shared" si="379"/>
        <v>#N/A</v>
      </c>
      <c r="BV245" s="414" t="e">
        <f>IF(BV244=0,0,IF(AND(BR245&gt;charge_ELS_quasi,BS245&gt;Charge_ELS_freq,BT245&gt;charge_ELU,BU245&gt;charge_ELA,$B245&gt;NDC!$H$22-0.1+MIN(3*$BV$12,1.5)),0,1))</f>
        <v>#N/A</v>
      </c>
      <c r="BW245" s="86" t="b">
        <f t="shared" si="347"/>
        <v>0</v>
      </c>
      <c r="BX245" s="86">
        <f t="shared" si="348"/>
        <v>0.5</v>
      </c>
      <c r="BY245" s="86">
        <f t="shared" si="349"/>
        <v>0.5</v>
      </c>
      <c r="BZ245" s="30" t="e">
        <f t="shared" ca="1" si="380"/>
        <v>#DIV/0!</v>
      </c>
      <c r="CA245" s="85" t="e">
        <f ca="1">IF(BG245&lt;=Hypothèses!$V$7,Hypothèses!$W$7,IF(BG245&lt;=Hypothèses!$V$8,Hypothèses!$W$8,IF(BG245&lt;=Hypothèses!$V$9,Hypothèses!$W$9,IF(BG245&lt;=Hypothèses!$V$10,Hypothèses!$W$10,IF(BG245&lt;=Hypothèses!$V$11,Hypothèses!$W$11,IF(BG245&lt;=Hypothèses!$V$12,Hypothèses!$W$12,IF(BG245&lt;=Hypothèses!$V$13,Hypothèses!$W$13,IF(BG245&lt;=Hypothèses!$V$14,Hypothèses!$W$14,IF(BG245&lt;=Hypothèses!$V$15,Hypothèses!$W$15,IF(BG245&lt;=Hypothèses!$V$16,Hypothèses!$W$16,IF(BG245&lt;=Hypothèses!$V$17,Hypothèses!$W$17,IF(BG245&lt;=Hypothèses!$V$18,Hypothèses!$W$18,""))))))))))))</f>
        <v>#DIV/0!</v>
      </c>
      <c r="CB245" s="87" t="e">
        <f t="shared" ca="1" si="419"/>
        <v>#DIV/0!</v>
      </c>
      <c r="CC245" s="88" t="e">
        <f ca="1">IF(BG245&lt;=Hypothèses!$V$7,Hypothèses!$X$7,IF(BG245&lt;=Hypothèses!$V$8,Hypothèses!$X$8,IF(BG245&lt;=Hypothèses!$V$9,Hypothèses!$X$9,IF(BG245&lt;=Hypothèses!$V$10,Hypothèses!$X$10,IF(BG245&lt;=Hypothèses!$V$11,Hypothèses!$X$11,IF(BG245&lt;=Hypothèses!$V$12,Hypothèses!$X$12,IF(BG245&lt;=Hypothèses!$V$13,Hypothèses!$X$13,IF(BG245&lt;=Hypothèses!$V$14,Hypothèses!$X$14,IF(BG245&lt;=Hypothèses!$V$15,Hypothèses!$X$15,IF(BG245&lt;=Hypothèses!$V$16,Hypothèses!$X$16,IF(BG245&lt;=Hypothèses!$U$17,Hypothèses!$W$17,IF(BG245&lt;=Hypothèses!$U$18,Hypothèses!$W$18,""))))))))))))</f>
        <v>#DIV/0!</v>
      </c>
      <c r="CD245" s="95" t="e">
        <f t="shared" ca="1" si="381"/>
        <v>#DIV/0!</v>
      </c>
      <c r="CE245" s="101" t="e">
        <f t="shared" si="426"/>
        <v>#N/A</v>
      </c>
      <c r="CF245" s="91" t="e">
        <f t="shared" si="350"/>
        <v>#N/A</v>
      </c>
      <c r="CG245" s="30" t="e">
        <f t="shared" si="406"/>
        <v>#N/A</v>
      </c>
      <c r="CH245" s="30" t="e">
        <f t="shared" si="407"/>
        <v>#N/A</v>
      </c>
      <c r="CI245" s="31" t="e">
        <f>IF(OR(Hypothèses!$B$4=17,Hypothèses!$B$4=18,Hypothèses!$B$4=19,Hypothèses!$B$4=20),
IF($D245="Pressio.",
IF(OR($E245=3,$E245=1,$E245=4),CH245,CG245),
IF($D245="Pénétro.",
IF(OR($E245=3,$E245=1,$E245=4),CH245,CG245))),IF($D245="Pressio.",
IF($E245=3,CH245,CG245),
IF($D245="Pénétro.",
IF($E245=4,CH245,CG245))))</f>
        <v>#N/A</v>
      </c>
      <c r="CJ245" s="31" t="e">
        <f>(IF(OR(Hypothèses!$B$4=17,Hypothèses!$B$4=18,Hypothèses!$B$4=19,Hypothèses!$B$4=20),
IF($D245="Pressio.",
IF(OR($E245=3,$E245=1,$E245=4),(PI()*CJ$12^2)/4*(CF245*$W245*1000)/($H245*$B$5),(PI()*CJ$12^2)/4*(CF245*$W245*1000)/($G245*$B$5)),
IF($D245="Pénétro.",
IF(OR($E245=4,$E245=1,$E245=5),(PI()*CJ$12^2)/4*(CF245*$W245*1000)/($H245*$B$5),(PI()*CJ$12^2)/4*(CF245*$W245*1000)/($G245*$B$5)))),
IF($D245="Pressio.",
IF($E245=3,(PI()*CJ$12^2)/4*(CF245*$W245*1000)/($H245*$B$5),(PI()*CJ$12^2)/4*(CF245*$W245*1000)/($G245*$B$5)),
IF($D245="Pénétro.",
IF($E245=4,(PI()*CJ$12^2)/4*(CF245*$W245*1000)/($H245*$B$5),(PI()*CJ$12^2)/4*(CF245*$W245*1000)/($G245*$B$5))))))/10</f>
        <v>#N/A</v>
      </c>
      <c r="CK245" s="102" t="e">
        <f>(VLOOKUP($B$3,'Coeff EC7'!$T$39:$X$59,2,0)*CI245+VLOOKUP($B$3,'Coeff EC7'!$T$65:$X$85,2,0)*Model0.1C!CJ245)/1.1</f>
        <v>#N/A</v>
      </c>
      <c r="CL245" s="102" t="e">
        <f>(VLOOKUP($B$3,'Coeff EC7'!$T$39:$X$59,3,0)*CI245+VLOOKUP($B$3,'Coeff EC7'!$T$65:$X$85,3,0)*Model0.1C!CJ245)/0.9</f>
        <v>#N/A</v>
      </c>
      <c r="CM245" s="102" t="e">
        <f t="shared" si="382"/>
        <v>#N/A</v>
      </c>
      <c r="CN245" s="102" t="e">
        <f t="shared" si="383"/>
        <v>#N/A</v>
      </c>
      <c r="CO245" s="414" t="e">
        <f>IF(CO244=0,0,IF(AND(CK245&gt;charge_ELS_quasi,CL245&gt;Charge_ELS_freq,CM245&gt;charge_ELU,CN245&gt;charge_ELA,$B245&gt;NDC!$H$22-0.1+MIN(3*$CO$12,1.5)),0,1))</f>
        <v>#N/A</v>
      </c>
      <c r="CP245" s="86" t="b">
        <f t="shared" si="351"/>
        <v>0</v>
      </c>
      <c r="CQ245" s="86">
        <f t="shared" si="352"/>
        <v>0.5</v>
      </c>
      <c r="CR245" s="86">
        <f t="shared" si="353"/>
        <v>0.5</v>
      </c>
      <c r="CS245" s="30" t="e">
        <f t="shared" ca="1" si="384"/>
        <v>#DIV/0!</v>
      </c>
      <c r="CT245" s="85" t="e">
        <f ca="1">IF(BZ245&lt;=Hypothèses!$V$7,Hypothèses!$W$7,IF(BZ245&lt;=Hypothèses!$V$8,Hypothèses!$W$8,IF(BZ245&lt;=Hypothèses!$V$9,Hypothèses!$W$9,IF(BZ245&lt;=Hypothèses!$V$10,Hypothèses!$W$10,IF(BZ245&lt;=Hypothèses!$V$11,Hypothèses!$W$11,IF(BZ245&lt;=Hypothèses!$V$12,Hypothèses!$W$12,IF(BZ245&lt;=Hypothèses!$V$13,Hypothèses!$W$13,IF(BZ245&lt;=Hypothèses!$V$14,Hypothèses!$W$14,IF(BZ245&lt;=Hypothèses!$V$15,Hypothèses!$W$15,IF(BZ245&lt;=Hypothèses!$V$16,Hypothèses!$W$16,IF(BZ245&lt;=Hypothèses!$V$17,Hypothèses!$W$17,IF(BZ245&lt;=Hypothèses!$V$18,Hypothèses!$W$18,""))))))))))))</f>
        <v>#DIV/0!</v>
      </c>
      <c r="CU245" s="87" t="e">
        <f t="shared" ca="1" si="420"/>
        <v>#DIV/0!</v>
      </c>
      <c r="CV245" s="88" t="e">
        <f ca="1">IF(BZ245&lt;=Hypothèses!$V$7,Hypothèses!$X$7,IF(BZ245&lt;=Hypothèses!$V$8,Hypothèses!$X$8,IF(BZ245&lt;=Hypothèses!$V$9,Hypothèses!$X$9,IF(BZ245&lt;=Hypothèses!$V$10,Hypothèses!$X$10,IF(BZ245&lt;=Hypothèses!$V$11,Hypothèses!$X$11,IF(BZ245&lt;=Hypothèses!$V$12,Hypothèses!$X$12,IF(BZ245&lt;=Hypothèses!$V$13,Hypothèses!$X$13,IF(BZ245&lt;=Hypothèses!$V$14,Hypothèses!$X$14,IF(BZ245&lt;=Hypothèses!$V$15,Hypothèses!$X$15,IF(BZ245&lt;=Hypothèses!$V$16,Hypothèses!$X$16,IF(BZ245&lt;=Hypothèses!$U$17,Hypothèses!$W$17,IF(BZ245&lt;=Hypothèses!$U$18,Hypothèses!$W$18,""))))))))))))</f>
        <v>#DIV/0!</v>
      </c>
      <c r="CW245" s="95" t="e">
        <f t="shared" ca="1" si="385"/>
        <v>#DIV/0!</v>
      </c>
      <c r="CX245" s="101" t="e">
        <f t="shared" si="427"/>
        <v>#N/A</v>
      </c>
      <c r="CY245" s="91" t="e">
        <f t="shared" si="354"/>
        <v>#N/A</v>
      </c>
      <c r="CZ245" s="30" t="e">
        <f t="shared" si="408"/>
        <v>#N/A</v>
      </c>
      <c r="DA245" s="30" t="e">
        <f t="shared" si="409"/>
        <v>#N/A</v>
      </c>
      <c r="DB245" s="31" t="e">
        <f>IF(OR(Hypothèses!$B$4=17,Hypothèses!$B$4=18,Hypothèses!$B$4=19,Hypothèses!$B$4=20),
IF($D245="Pressio.",
IF(OR($E245=3,$E245=1,$E245=4),DA245,CZ245),
IF($D245="Pénétro.",
IF(OR($E245=3,$E245=1,$E245=4),DA245,CZ245))),IF($D245="Pressio.",
IF($E245=3,DA245,CZ245),
IF($D245="Pénétro.",
IF($E245=4,DA245,CZ245))))</f>
        <v>#N/A</v>
      </c>
      <c r="DC245" s="31" t="e">
        <f>(IF(OR(Hypothèses!$B$4=17,Hypothèses!$B$4=18,Hypothèses!$B$4=19,Hypothèses!$B$4=20),
IF($D245="Pressio.",
IF(OR($E245=3,$E245=1,$E245=4),(PI()*DC$12^2)/4*(CY245*$W245*1000)/($H245*$B$5),(PI()*DC$12^2)/4*(CY245*$W245*1000)/($G245*$B$5)),
IF($D245="Pénétro.",
IF(OR($E245=4,$E245=1,$E245=5),(PI()*DC$12^2)/4*(CY245*$W245*1000)/($H245*$B$5),(PI()*DC$12^2)/4*(CY245*$W245*1000)/($G245*$B$5)))),
IF($D245="Pressio.",
IF($E245=3,(PI()*DC$12^2)/4*(CY245*$W245*1000)/($H245*$B$5),(PI()*DC$12^2)/4*(CY245*$W245*1000)/($G245*$B$5)),
IF($D245="Pénétro.",
IF($E245=4,(PI()*DC$12^2)/4*(CY245*$W245*1000)/($H245*$B$5),(PI()*DC$12^2)/4*(CY245*$W245*1000)/($G245*$B$5))))))/10</f>
        <v>#N/A</v>
      </c>
      <c r="DD245" s="102" t="e">
        <f>(VLOOKUP($B$3,'Coeff EC7'!$T$39:$X$59,2,0)*DB245+VLOOKUP($B$3,'Coeff EC7'!$T$65:$X$85,2,0)*Model0.1C!DC245)/1.1</f>
        <v>#N/A</v>
      </c>
      <c r="DE245" s="102" t="e">
        <f>(VLOOKUP($B$3,'Coeff EC7'!$T$39:$X$59,3,0)*DB245+VLOOKUP($B$3,'Coeff EC7'!$T$65:$X$85,3,0)*Model0.1C!DC245)/0.9</f>
        <v>#N/A</v>
      </c>
      <c r="DF245" s="102" t="e">
        <f t="shared" si="386"/>
        <v>#N/A</v>
      </c>
      <c r="DG245" s="102" t="e">
        <f t="shared" si="387"/>
        <v>#N/A</v>
      </c>
      <c r="DH245" s="414" t="e">
        <f>IF(DH244=0,0,IF(AND(DD245&gt;charge_ELS_quasi,DE245&gt;Charge_ELS_freq,DF245&gt;charge_ELU,DG245&gt;charge_ELA,$B245&gt;NDC!$H$22-0.1+MIN(3*$DH$12,1.5)),0,1))</f>
        <v>#N/A</v>
      </c>
      <c r="DI245" s="86" t="b">
        <f t="shared" si="355"/>
        <v>0</v>
      </c>
      <c r="DJ245" s="86">
        <f t="shared" si="356"/>
        <v>0.5</v>
      </c>
      <c r="DK245" s="86">
        <f t="shared" si="357"/>
        <v>0.5</v>
      </c>
      <c r="DL245" s="30" t="e">
        <f t="shared" ca="1" si="388"/>
        <v>#DIV/0!</v>
      </c>
      <c r="DM245" s="85" t="e">
        <f ca="1">IF(CS245&lt;=Hypothèses!$V$7,Hypothèses!$W$7,IF(CS245&lt;=Hypothèses!$V$8,Hypothèses!$W$8,IF(CS245&lt;=Hypothèses!$V$9,Hypothèses!$W$9,IF(CS245&lt;=Hypothèses!$V$10,Hypothèses!$W$10,IF(CS245&lt;=Hypothèses!$V$11,Hypothèses!$W$11,IF(CS245&lt;=Hypothèses!$V$12,Hypothèses!$W$12,IF(CS245&lt;=Hypothèses!$V$13,Hypothèses!$W$13,IF(CS245&lt;=Hypothèses!$V$14,Hypothèses!$W$14,IF(CS245&lt;=Hypothèses!$V$15,Hypothèses!$W$15,IF(CS245&lt;=Hypothèses!$V$16,Hypothèses!$W$16,IF(CS245&lt;=Hypothèses!$V$17,Hypothèses!$W$17,IF(CS245&lt;=Hypothèses!$V$18,Hypothèses!$W$18,""))))))))))))</f>
        <v>#DIV/0!</v>
      </c>
      <c r="DN245" s="87" t="e">
        <f t="shared" ca="1" si="421"/>
        <v>#DIV/0!</v>
      </c>
      <c r="DO245" s="88" t="e">
        <f ca="1">IF(CS245&lt;=Hypothèses!$V$7,Hypothèses!$X$7,IF(CS245&lt;=Hypothèses!$V$8,Hypothèses!$X$8,IF(CS245&lt;=Hypothèses!$V$9,Hypothèses!$X$9,IF(CS245&lt;=Hypothèses!$V$10,Hypothèses!$X$10,IF(CS245&lt;=Hypothèses!$V$11,Hypothèses!$X$11,IF(CS245&lt;=Hypothèses!$V$12,Hypothèses!$X$12,IF(CS245&lt;=Hypothèses!$V$13,Hypothèses!$X$13,IF(CS245&lt;=Hypothèses!$V$14,Hypothèses!$X$14,IF(CS245&lt;=Hypothèses!$V$15,Hypothèses!$X$15,IF(CS245&lt;=Hypothèses!$V$16,Hypothèses!$X$16,IF(CS245&lt;=Hypothèses!$U$17,Hypothèses!$W$17,IF(CS245&lt;=Hypothèses!$U$18,Hypothèses!$W$18,""))))))))))))</f>
        <v>#DIV/0!</v>
      </c>
      <c r="DP245" s="95" t="e">
        <f t="shared" ca="1" si="389"/>
        <v>#DIV/0!</v>
      </c>
      <c r="DQ245" s="101" t="e">
        <f t="shared" si="428"/>
        <v>#N/A</v>
      </c>
      <c r="DR245" s="91" t="e">
        <f t="shared" si="358"/>
        <v>#N/A</v>
      </c>
      <c r="DS245" s="30" t="e">
        <f t="shared" si="410"/>
        <v>#N/A</v>
      </c>
      <c r="DT245" s="30" t="e">
        <f t="shared" si="411"/>
        <v>#N/A</v>
      </c>
      <c r="DU245" s="31" t="e">
        <f>IF(OR(Hypothèses!$B$4=17,Hypothèses!$B$4=18,Hypothèses!$B$4=19,Hypothèses!$B$4=20),
IF($D245="Pressio.",
IF(OR($E245=3,$E245=1,$E245=4),DT245,DS245),
IF($D245="Pénétro.",
IF(OR($E245=3,$E245=1,$E245=4),DT245,DS245))),IF($D245="Pressio.",
IF($E245=3,DT245,DS245),
IF($D245="Pénétro.",
IF($E245=4,DT245,DS245))))</f>
        <v>#N/A</v>
      </c>
      <c r="DV245" s="31" t="e">
        <f>(IF(OR(Hypothèses!$B$4=17,Hypothèses!$B$4=18,Hypothèses!$B$4=19,Hypothèses!$B$4=20),
IF($D245="Pressio.",
IF(OR($E245=3,$E245=1,$E245=4),(PI()*DV$12^2)/4*(DR245*$W245*1000)/($H245*$B$5),(PI()*DV$12^2)/4*(DR245*$W245*1000)/($G245*$B$5)),
IF($D245="Pénétro.",
IF(OR($E245=4,$E245=1,$E245=5),(PI()*DV$12^2)/4*(DR245*$W245*1000)/($H245*$B$5),(PI()*DV$12^2)/4*(DR245*$W245*1000)/($G245*$B$5)))),
IF($D245="Pressio.",
IF($E245=3,(PI()*DV$12^2)/4*(DR245*$W245*1000)/($H245*$B$5),(PI()*DV$12^2)/4*(DR245*$W245*1000)/($G245*$B$5)),
IF($D245="Pénétro.",
IF($E245=4,(PI()*DV$12^2)/4*(DR245*$W245*1000)/($H245*$B$5),(PI()*DV$12^2)/4*(DR245*$W245*1000)/($G245*$B$5))))))/10</f>
        <v>#N/A</v>
      </c>
      <c r="DW245" s="102" t="e">
        <f>(VLOOKUP($B$3,'Coeff EC7'!$T$39:$X$59,2,0)*DU245+VLOOKUP($B$3,'Coeff EC7'!$T$65:$X$85,2,0)*Model0.1C!DV245)/1.1</f>
        <v>#N/A</v>
      </c>
      <c r="DX245" s="102" t="e">
        <f>(VLOOKUP($B$3,'Coeff EC7'!$T$39:$X$59,3,0)*DU245+VLOOKUP($B$3,'Coeff EC7'!$T$65:$X$85,3,0)*Model0.1C!DV245)/0.9</f>
        <v>#N/A</v>
      </c>
      <c r="DY245" s="102" t="e">
        <f t="shared" si="390"/>
        <v>#N/A</v>
      </c>
      <c r="DZ245" s="102" t="e">
        <f t="shared" si="391"/>
        <v>#N/A</v>
      </c>
      <c r="EA245" s="414" t="e">
        <f>IF(EA244=0,0,IF(AND(DW245&gt;charge_ELS_quasi,DX245&gt;Charge_ELS_freq,DY245&gt;charge_ELU,DZ245&gt;charge_ELA,$B245&gt;NDC!$H$22-0.1+MIN(3*$EA$12,1.5)),0,1))</f>
        <v>#N/A</v>
      </c>
      <c r="EB245" s="86" t="b">
        <f t="shared" si="359"/>
        <v>0</v>
      </c>
      <c r="EC245" s="418">
        <f t="shared" si="360"/>
        <v>0.51</v>
      </c>
      <c r="ED245" s="86">
        <f t="shared" si="361"/>
        <v>0.51</v>
      </c>
      <c r="EE245" s="30" t="e">
        <f t="shared" ca="1" si="392"/>
        <v>#DIV/0!</v>
      </c>
      <c r="EF245" s="85" t="e">
        <f ca="1">IF(DL245&lt;=Hypothèses!$V$7,Hypothèses!$W$7,IF(DL245&lt;=Hypothèses!$V$8,Hypothèses!$W$8,IF(DL245&lt;=Hypothèses!$V$9,Hypothèses!$W$9,IF(DL245&lt;=Hypothèses!$V$10,Hypothèses!$W$10,IF(DL245&lt;=Hypothèses!$V$11,Hypothèses!$W$11,IF(DL245&lt;=Hypothèses!$V$12,Hypothèses!$W$12,IF(DL245&lt;=Hypothèses!$V$13,Hypothèses!$W$13,IF(DL245&lt;=Hypothèses!$V$14,Hypothèses!$W$14,IF(DL245&lt;=Hypothèses!$V$15,Hypothèses!$W$15,IF(DL245&lt;=Hypothèses!$V$16,Hypothèses!$W$16,IF(DL245&lt;=Hypothèses!$V$17,Hypothèses!$W$17,IF(DL245&lt;=Hypothèses!$V$18,Hypothèses!$W$18,""))))))))))))</f>
        <v>#DIV/0!</v>
      </c>
      <c r="EG245" s="87" t="e">
        <f t="shared" ca="1" si="422"/>
        <v>#DIV/0!</v>
      </c>
      <c r="EH245" s="88" t="e">
        <f ca="1">IF(DL245&lt;=Hypothèses!$V$7,Hypothèses!$X$7,IF(DL245&lt;=Hypothèses!$V$8,Hypothèses!$X$8,IF(DL245&lt;=Hypothèses!$V$9,Hypothèses!$X$9,IF(DL245&lt;=Hypothèses!$V$10,Hypothèses!$X$10,IF(DL245&lt;=Hypothèses!$V$11,Hypothèses!$X$11,IF(DL245&lt;=Hypothèses!$V$12,Hypothèses!$X$12,IF(DL245&lt;=Hypothèses!$V$13,Hypothèses!$X$13,IF(DL245&lt;=Hypothèses!$V$14,Hypothèses!$X$14,IF(DL245&lt;=Hypothèses!$V$15,Hypothèses!$X$15,IF(DL245&lt;=Hypothèses!$V$16,Hypothèses!$X$16,IF(DL245&lt;=Hypothèses!$U$17,Hypothèses!$W$17,IF(DL245&lt;=Hypothèses!$U$18,Hypothèses!$W$18,""))))))))))))</f>
        <v>#DIV/0!</v>
      </c>
      <c r="EI245" s="95" t="e">
        <f t="shared" ca="1" si="393"/>
        <v>#DIV/0!</v>
      </c>
      <c r="EJ245" s="101" t="e">
        <f t="shared" si="429"/>
        <v>#N/A</v>
      </c>
      <c r="EK245" s="91" t="e">
        <f t="shared" si="362"/>
        <v>#N/A</v>
      </c>
      <c r="EL245" s="30" t="e">
        <f t="shared" si="412"/>
        <v>#N/A</v>
      </c>
      <c r="EM245" s="30" t="e">
        <f t="shared" si="413"/>
        <v>#N/A</v>
      </c>
      <c r="EN245" s="31" t="e">
        <f>IF(OR(Hypothèses!$B$4=17,Hypothèses!$B$4=18,Hypothèses!$B$4=19,Hypothèses!$B$4=20),
IF($D245="Pressio.",
IF(OR($E245=3,$E245=1,$E245=4),EM245,EL245),
IF($D245="Pénétro.",
IF(OR($E245=3,$E245=1,$E245=4),EM245,EL245))),IF($D245="Pressio.",
IF($E245=3,EM245,EL245),
IF($D245="Pénétro.",
IF($E245=4,EM245,EL245))))</f>
        <v>#N/A</v>
      </c>
      <c r="EO245" s="31" t="e">
        <f>(IF(OR(Hypothèses!$B$4=17,Hypothèses!$B$4=18,Hypothèses!$B$4=19,Hypothèses!$B$4=20),
IF($D245="Pressio.",
IF(OR($E245=3,$E245=1,$E245=4),(PI()*EO$12^2)/4*(EK245*$W245*1000)/($H245*$B$5),(PI()*EO$12^2)/4*(EK245*$W245*1000)/($G245*$B$5)),
IF($D245="Pénétro.",
IF(OR($E245=4,$E245=1,$E245=5),(PI()*EO$12^2)/4*(EK245*$W245*1000)/($H245*$B$5),(PI()*EO$12^2)/4*(EK245*$W245*1000)/($G245*$B$5)))),
IF($D245="Pressio.",
IF($E245=3,(PI()*EO$12^2)/4*(EK245*$W245*1000)/($H245*$B$5),(PI()*EO$12^2)/4*(EK245*$W245*1000)/($G245*$B$5)),
IF($D245="Pénétro.",
IF($E245=4,(PI()*EO$12^2)/4*(EK245*$W245*1000)/($H245*$B$5),(PI()*EO$12^2)/4*(EK245*$W245*1000)/($G245*$B$5))))))/10</f>
        <v>#N/A</v>
      </c>
      <c r="EP245" s="102" t="e">
        <f>(VLOOKUP($B$3,'Coeff EC7'!$T$39:$X$59,2,0)*EN245+VLOOKUP($B$3,'Coeff EC7'!$T$65:$X$85,2,0)*Model0.1C!EO245)/1.1</f>
        <v>#N/A</v>
      </c>
      <c r="EQ245" s="102" t="e">
        <f>(VLOOKUP($B$3,'Coeff EC7'!$T$39:$X$59,3,0)*EN245+VLOOKUP($B$3,'Coeff EC7'!$T$65:$X$85,3,0)*Model0.1C!EO245)/0.9</f>
        <v>#N/A</v>
      </c>
      <c r="ER245" s="102" t="e">
        <f t="shared" si="394"/>
        <v>#N/A</v>
      </c>
      <c r="ES245" s="102" t="e">
        <f t="shared" si="395"/>
        <v>#N/A</v>
      </c>
      <c r="ET245" s="414" t="e">
        <f>IF(ET244=0,0,IF(AND(EP245&gt;charge_ELS_quasi,EQ245&gt;Charge_ELS_freq,ER245&gt;charge_ELU,ES245&gt;charge_ELA,$B245&gt;NDC!$H$22-0.1+MIN(3*$ET$12,1.5)),0,1))</f>
        <v>#N/A</v>
      </c>
      <c r="EU245" s="86" t="b">
        <f t="shared" si="363"/>
        <v>0</v>
      </c>
      <c r="EV245" s="86">
        <f t="shared" si="364"/>
        <v>0.61</v>
      </c>
      <c r="EW245" s="86">
        <f t="shared" si="365"/>
        <v>0.61</v>
      </c>
      <c r="EX245" s="30" t="e">
        <f t="shared" ca="1" si="396"/>
        <v>#DIV/0!</v>
      </c>
      <c r="EY245" s="85" t="e">
        <f ca="1">IF(EE245&lt;=Hypothèses!$V$7,Hypothèses!$W$7,IF(EE245&lt;=Hypothèses!$V$8,Hypothèses!$W$8,IF(EE245&lt;=Hypothèses!$V$9,Hypothèses!$W$9,IF(EE245&lt;=Hypothèses!$V$10,Hypothèses!$W$10,IF(EE245&lt;=Hypothèses!$V$11,Hypothèses!$W$11,IF(EE245&lt;=Hypothèses!$V$12,Hypothèses!$W$12,IF(EE245&lt;=Hypothèses!$V$13,Hypothèses!$W$13,IF(EE245&lt;=Hypothèses!$V$14,Hypothèses!$W$14,IF(EE245&lt;=Hypothèses!$V$15,Hypothèses!$W$15,IF(EE245&lt;=Hypothèses!$V$16,Hypothèses!$W$16,IF(EE245&lt;=Hypothèses!$V$17,Hypothèses!$W$17,IF(EE245&lt;=Hypothèses!$V$18,Hypothèses!$W$18,""))))))))))))</f>
        <v>#DIV/0!</v>
      </c>
      <c r="EZ245" s="87" t="e">
        <f t="shared" ca="1" si="423"/>
        <v>#DIV/0!</v>
      </c>
      <c r="FA245" s="88" t="e">
        <f ca="1">IF(EE245&lt;=Hypothèses!$V$7,Hypothèses!$X$7,IF(EE245&lt;=Hypothèses!$V$8,Hypothèses!$X$8,IF(EE245&lt;=Hypothèses!$V$9,Hypothèses!$X$9,IF(EE245&lt;=Hypothèses!$V$10,Hypothèses!$X$10,IF(EE245&lt;=Hypothèses!$V$11,Hypothèses!$X$11,IF(EE245&lt;=Hypothèses!$V$12,Hypothèses!$X$12,IF(EE245&lt;=Hypothèses!$V$13,Hypothèses!$X$13,IF(EE245&lt;=Hypothèses!$V$14,Hypothèses!$X$14,IF(EE245&lt;=Hypothèses!$V$15,Hypothèses!$X$15,IF(EE245&lt;=Hypothèses!$V$16,Hypothèses!$X$16,IF(EE245&lt;=Hypothèses!$U$17,Hypothèses!$W$17,IF(EE245&lt;=Hypothèses!$U$18,Hypothèses!$W$18,""))))))))))))</f>
        <v>#DIV/0!</v>
      </c>
      <c r="FB245" s="95" t="e">
        <f t="shared" ca="1" si="397"/>
        <v>#DIV/0!</v>
      </c>
      <c r="FC245" s="101" t="e">
        <f t="shared" si="430"/>
        <v>#N/A</v>
      </c>
      <c r="FD245" s="91" t="e">
        <f t="shared" si="366"/>
        <v>#N/A</v>
      </c>
      <c r="FE245" s="30" t="e">
        <f t="shared" si="414"/>
        <v>#N/A</v>
      </c>
      <c r="FF245" s="30" t="e">
        <f t="shared" si="415"/>
        <v>#N/A</v>
      </c>
      <c r="FG245" s="31" t="e">
        <f>IF(OR(Hypothèses!$B$4=17,Hypothèses!$B$4=18,Hypothèses!$B$4=19,Hypothèses!$B$4=20),
IF($D245="Pressio.",
IF(OR($E245=3,$E245=1,$E245=4),FF245,FE245),
IF($D245="Pénétro.",
IF(OR($E245=3,$E245=1,$E245=4),FF245,FE245))),IF($D245="Pressio.",
IF($E245=3,FF245,FE245),
IF($D245="Pénétro.",
IF($E245=4,FF245,FE245))))</f>
        <v>#N/A</v>
      </c>
      <c r="FH245" s="31" t="e">
        <f>(IF(OR(Hypothèses!$B$4=17,Hypothèses!$B$4=18,Hypothèses!$B$4=19,Hypothèses!$B$4=20),
IF($D245="Pressio.",
IF(OR($E245=3,$E245=1,$E245=4),(PI()*FH$12^2)/4*(FD245*$W245*1000)/($H245*$B$5),(PI()*FH$12^2)/4*(FD245*$W245*1000)/($G245*$B$5)),
IF($D245="Pénétro.",
IF(OR($E245=4,$E245=1,$E245=5),(PI()*FH$12^2)/4*(FD245*$W245*1000)/($H245*$B$5),(PI()*FH$12^2)/4*(FD245*$W245*1000)/($G245*$B$5)))),
IF($D245="Pressio.",
IF($E245=3,(PI()*FH$12^2)/4*(FD245*$W245*1000)/($H245*$B$5),(PI()*FH$12^2)/4*(FD245*$W245*1000)/($G245*$B$5)),
IF($D245="Pénétro.",
IF($E245=4,(PI()*FH$12^2)/4*(FD245*$W245*1000)/($H245*$B$5),(PI()*FH$12^2)/4*(FD245*$W245*1000)/($G245*$B$5))))))/10</f>
        <v>#N/A</v>
      </c>
      <c r="FI245" s="102" t="e">
        <f>(VLOOKUP($B$3,'Coeff EC7'!$T$39:$X$59,2,0)*FG245+VLOOKUP($B$3,'Coeff EC7'!$T$65:$X$85,2,0)*Model0.1C!FH245)/1.1</f>
        <v>#N/A</v>
      </c>
      <c r="FJ245" s="102" t="e">
        <f>(VLOOKUP($B$3,'Coeff EC7'!$T$39:$X$59,3,0)*FG245+VLOOKUP($B$3,'Coeff EC7'!$T$65:$X$85,3,0)*Model0.1C!FH245)/0.9</f>
        <v>#N/A</v>
      </c>
      <c r="FK245" s="102" t="e">
        <f t="shared" si="398"/>
        <v>#N/A</v>
      </c>
      <c r="FL245" s="102" t="e">
        <f t="shared" si="399"/>
        <v>#N/A</v>
      </c>
      <c r="FM245" s="414" t="e">
        <f>IF(FM244=0,0,IF(AND(FI245&gt;charge_ELS_quasi,FJ245&gt;Charge_ELS_freq,FK245&gt;charge_ELU,FL245&gt;charge_ELA,$B245&gt;NDC!$H$22-0.1+MIN(3*$FM$12,1.5)),0,1))</f>
        <v>#N/A</v>
      </c>
    </row>
    <row r="246" spans="1:169">
      <c r="A246" s="96">
        <f t="shared" si="367"/>
        <v>76.700000000001324</v>
      </c>
      <c r="B246" s="97">
        <v>23.3</v>
      </c>
      <c r="C246" s="81">
        <f>IF(B246&lt;=Hypothèses!$C$7,Hypothèses!$A$7,IF(B246&lt;=Hypothèses!$C$8,Hypothèses!$A$8,IF(B246&lt;=Hypothèses!$C$9,Hypothèses!$A$9,IF(B246&lt;=Hypothèses!$C$10,Hypothèses!$A$10,IF(B246&lt;=Hypothèses!$C$11,Hypothèses!$A$11,IF(B246&lt;=Hypothèses!$C$12,Hypothèses!$A$12,IF(B246&lt;=Hypothèses!$C$13,Hypothèses!$A$13,IF(B246&lt;=Hypothèses!$C$14,Hypothèses!$A$14,IF(B246&lt;=Hypothèses!$C$15,Hypothèses!$A$15,IF(B246&lt;=Hypothèses!$C$16,Hypothèses!$A$16,IF(B246&lt;=Hypothèses!$C$17,Hypothèses!$A$17,IF(B246&lt;=Hypothèses!$C$18,Hypothèses!$A$18,C245))))))))))))</f>
        <v>11</v>
      </c>
      <c r="D246" s="82" t="str">
        <f>IF(B246&lt;=Hypothèses!$C$7,Hypothèses!$R$7,IF(B246&lt;=Hypothèses!$C$8,Hypothèses!$R$8,IF(B246&lt;=Hypothèses!$C$9,Hypothèses!$R$9,IF(B246&lt;=Hypothèses!$C$10,Hypothèses!$R$10,IF(B246&lt;=Hypothèses!$C$11,Hypothèses!$R$11,IF(B246&lt;=Hypothèses!$C$12,Hypothèses!$R$12,IF(B246&lt;=Hypothèses!$C$13,Hypothèses!$R$13,IF(B246&lt;=Hypothèses!$C$14,Hypothèses!$R$14,IF(B246&lt;=Hypothèses!$C$15,Hypothèses!$R$15,IF(B246&lt;=Hypothèses!$C$16,Hypothèses!$R$16,IF(B246&lt;=Hypothèses!$C$17,Hypothèses!$R$17,IF(B246&lt;=Hypothèses!$C$18,Hypothèses!$R$18,D245))))))))))))</f>
        <v>Pressio.</v>
      </c>
      <c r="E246" s="82" t="e">
        <f>IF(B246&lt;=Hypothèses!$C$7,Hypothèses!$G$7,IF(B246&lt;=Hypothèses!$C$8,Hypothèses!$G$8,IF(B246&lt;=Hypothèses!$C$9,Hypothèses!$G$9,IF(B246&lt;=Hypothèses!$C$10,Hypothèses!$G$10,IF(B246&lt;=Hypothèses!$C$11,Hypothèses!$G$11,IF(B246&lt;=Hypothèses!$C$12,Hypothèses!$G$12,IF(B246&lt;=Hypothèses!$C$13,Hypothèses!$G$13,IF(B246&lt;=Hypothèses!$C$14,Hypothèses!$G$14,IF(B246&lt;=Hypothèses!$C$15,Hypothèses!$G$15,IF(B246&lt;=Hypothèses!$C$16,Hypothèses!$G$16,IF(B246&lt;=Hypothèses!$C$17,Hypothèses!$G$17,IF(B246&lt;=Hypothèses!$C$18,Hypothèses!$G$18,E245))))))))))))</f>
        <v>#N/A</v>
      </c>
      <c r="F246" s="82" t="str">
        <f>IF(B246&lt;=Hypothèses!$C$7,Hypothèses!$F$7,IF(B246&lt;=Hypothèses!$C$8,Hypothèses!$F$8,IF(B246&lt;=Hypothèses!$C$9,Hypothèses!$F$9,IF(B246&lt;=Hypothèses!$C$10,Hypothèses!$F$10,IF(B246&lt;=Hypothèses!$C$11,Hypothèses!$F$11,IF(B246&lt;=Hypothèses!$C$12,Hypothèses!$F$12,IF(B246&lt;=Hypothèses!$C$13,Hypothèses!$F$13,IF(B246&lt;=Hypothèses!$C$14,Hypothèses!$F$14,IF(B246&lt;=Hypothèses!$C$15,Hypothèses!$F$15,IF(B246&lt;=Hypothèses!$C$16,Hypothèses!$F$16,IF(B246&lt;=Hypothèses!$C$17,Hypothèses!$F$17,IF(B246&lt;=Hypothèses!$C$18,Hypothèses!$F$18,F245))))))))))))</f>
        <v/>
      </c>
      <c r="G246" s="91">
        <f t="array" ref="G246">INDEX('Coeff EC7'!$U$7:$X$27,
MATCH(Model0.1C!$B$3,'Coeff EC7'!$T$7:$T$27,0),
MATCH(Model0.1C!$D246&amp;Model0.1C!$B$4,
'Coeff EC7'!$U$6:$X$6&amp;
'Coeff EC7'!$U$5:$X$5,0))</f>
        <v>1.1499999999999999</v>
      </c>
      <c r="H246" s="91">
        <f t="array" ref="H246">INDEX('Coeff EC7'!$Y$7:$AB$27,
MATCH(Model0.1C!$B$3,'Coeff EC7'!$T$7:$T$27,0),
MATCH(Model0.1C!$D246&amp;Model0.1C!$B$4,
'Coeff EC7'!$Y$6:$AB$6&amp;
'Coeff EC7'!$Y$5:$AB$5,0))</f>
        <v>1.4</v>
      </c>
      <c r="I246" s="83" t="e">
        <f>IF(B246&lt;=Hypothèses!$C$7,Hypothèses!$P$7,IF(B246&lt;=Hypothèses!$C$8,Hypothèses!$P$8,IF(B246&lt;=Hypothèses!$C$9,Hypothèses!$P$9,IF(B246&lt;=Hypothèses!$C$10,Hypothèses!$P$10,IF(B246&lt;=Hypothèses!$C$11,Hypothèses!$P$11,IF(B246&lt;=Hypothèses!$C$12,Hypothèses!$P$12,IF(B246&lt;=Hypothèses!$C$13,Hypothèses!$P$13,IF(B246&lt;=Hypothèses!$C$14,Hypothèses!$P$14,IF(B246&lt;=Hypothèses!$C$15,Hypothèses!$P$15,IF(B246&lt;=Hypothèses!$C$16,Hypothèses!$P$16,IF(B246&lt;=Hypothèses!$C$17,Hypothèses!$P$17,IF(B246&lt;=Hypothèses!$C$18,Hypothèses!$P$18,I245))))))))))))</f>
        <v>#N/A</v>
      </c>
      <c r="J246" s="91" t="e">
        <f t="array" ref="J246">INDEX('Coeff EC7'!$D$33:$Q$33,1,MATCH(D246&amp;E246,'Coeff EC7'!$D$31:$Q$31&amp;'Coeff EC7'!$D$32:$Q$32,0))</f>
        <v>#N/A</v>
      </c>
      <c r="K246" s="91" t="e">
        <f t="array" ref="K246">INDEX('Coeff EC7'!$D$34:$Q$34,1,MATCH(D246&amp;E246,'Coeff EC7'!$D$31:$Q$31&amp;'Coeff EC7'!$D$32:$Q$32,0))</f>
        <v>#N/A</v>
      </c>
      <c r="L246" s="91" t="e">
        <f t="array" ref="L246">INDEX('Coeff EC7'!$D$35:$Q$35,1,MATCH(D246&amp;E246,'Coeff EC7'!$D$31:$Q$31&amp;'Coeff EC7'!$D$32:$Q$32,0))</f>
        <v>#N/A</v>
      </c>
      <c r="M246" s="98" t="e">
        <f t="shared" si="331"/>
        <v>#N/A</v>
      </c>
      <c r="N246" s="99" t="e">
        <f t="array" ref="N246">INDEX('Coeff EC7'!$D$7:$Q$27,MATCH($B$3,'Coeff EC7'!$C$7:$C$27,0),MATCH(D246&amp;E246,'Coeff EC7'!$D$5:$Q$5&amp;'Coeff EC7'!$D$6:$Q$6,0))</f>
        <v>#N/A</v>
      </c>
      <c r="O246" s="99" t="e">
        <f t="array" ref="O246">INDEX('Coeff EC7'!$D$41:$Q$61,MATCH($B$3,'Coeff EC7'!$C$41:$C$61,0),MATCH(D246&amp;E246,'Coeff EC7'!$D$39:$Q$39&amp;'Coeff EC7'!$D$40:$Q$40,0))</f>
        <v>#N/A</v>
      </c>
      <c r="P246" s="30" t="e">
        <f t="shared" si="368"/>
        <v>#N/A</v>
      </c>
      <c r="Q246" s="100" t="e">
        <f t="shared" si="333"/>
        <v>#N/A</v>
      </c>
      <c r="R246" s="86" t="b">
        <f t="shared" si="334"/>
        <v>0</v>
      </c>
      <c r="S246" s="86">
        <f t="shared" si="332"/>
        <v>0.5</v>
      </c>
      <c r="T246" s="86">
        <f t="shared" si="335"/>
        <v>0.5</v>
      </c>
      <c r="U246" s="30" t="e">
        <f t="shared" ca="1" si="369"/>
        <v>#DIV/0!</v>
      </c>
      <c r="V246" s="85" t="str">
        <f>IF(B246&lt;=Hypothèses!$V$7,Hypothèses!$W$7,IF(B246&lt;=Hypothèses!$V$8,Hypothèses!$W$8,IF(B246&lt;=Hypothèses!$V$9,Hypothèses!$W$9,IF(B246&lt;=Hypothèses!$V$10,Hypothèses!$W$10,IF(B246&lt;=Hypothèses!$V$11,Hypothèses!$W$11,IF(B246&lt;=Hypothèses!$V$12,Hypothèses!$W$12,IF(B246&lt;=Hypothèses!$V$13,Hypothèses!$W$13,IF(B246&lt;=Hypothèses!$V$14,Hypothèses!$W$14,IF(B246&lt;=Hypothèses!$V$15,Hypothèses!$W$15,IF(B246&lt;=Hypothèses!$V$16,Hypothèses!$W$16,IF(B246&lt;=Hypothèses!$V$17,Hypothèses!$W$17,IF(B246&lt;=Hypothèses!$V$18,Hypothèses!$W$18,""))))))))))))</f>
        <v/>
      </c>
      <c r="W246" s="87" t="e">
        <f t="shared" ca="1" si="416"/>
        <v>#DIV/0!</v>
      </c>
      <c r="X246" s="88" t="str">
        <f>IF(B246&lt;=Hypothèses!$V$7,Hypothèses!$X$7,IF(B246&lt;=Hypothèses!$V$8,Hypothèses!$X$8,IF(B246&lt;=Hypothèses!$V$9,Hypothèses!$X$9,IF(B246&lt;=Hypothèses!$V$10,Hypothèses!$X$10,IF(B246&lt;=Hypothèses!$V$11,Hypothèses!$X$11,IF(B246&lt;=Hypothèses!$V$12,Hypothèses!$X$12,IF(B246&lt;=Hypothèses!$V$13,Hypothèses!$X$13,IF(B246&lt;=Hypothèses!$V$14,Hypothèses!$X$14,IF(B246&lt;=Hypothèses!$V$15,Hypothèses!$X$15,IF(B246&lt;=Hypothèses!$V$16,Hypothèses!$X$16,IF(B246&lt;=Hypothèses!$U$17,Hypothèses!$W$17,IF(B246&lt;=Hypothèses!$U$18,Hypothèses!$W$18,""))))))))))))</f>
        <v/>
      </c>
      <c r="Y246" s="95" t="e">
        <f t="shared" ca="1" si="336"/>
        <v>#DIV/0!</v>
      </c>
      <c r="Z246" s="101" t="e">
        <f t="shared" si="337"/>
        <v>#N/A</v>
      </c>
      <c r="AA246" s="91" t="e">
        <f t="shared" si="338"/>
        <v>#N/A</v>
      </c>
      <c r="AB246" s="30" t="e">
        <f t="shared" si="400"/>
        <v>#N/A</v>
      </c>
      <c r="AC246" s="30" t="e">
        <f t="shared" si="401"/>
        <v>#N/A</v>
      </c>
      <c r="AD246" s="31" t="e">
        <f>IF(OR(Hypothèses!$B$4=17,Hypothèses!$B$4=18,Hypothèses!$B$4=19,Hypothèses!$B$4=20),
IF($D246="Pressio.",
IF(OR($E246=3,$E246=1,$E246=4),AC246,AB246),
IF($D246="Pénétro.",
IF(OR($E246=3,$E246=1,$E246=4),AC246,AB246))),IF($D246="Pressio.",
IF($E246=3,AC246,AB246),
IF($D246="Pénétro.",
IF($E246=4,AC246,AB246))))</f>
        <v>#N/A</v>
      </c>
      <c r="AE246" s="31" t="e">
        <f>(IF(OR(Hypothèses!$B$4=17,Hypothèses!$B$4=18,Hypothèses!$B$4=19,Hypothèses!$B$4=20),
IF($D246="Pressio.",
IF(OR($E246=3,$E246=1,$E246=4),(PI()*AE$12^2)/4*(AA246*$W246*1000)/($H246*$B$5),(PI()*AE$12^2)/4*(AA246*$W246*1000)/($G246*$B$5)),
IF($D246="Pénétro.",
IF(OR($E246=4,$E246=1,$E246=5),(PI()*AE$12^2)/4*(AA246*$W246*1000)/($H246*$B$5),(PI()*AE$12^2)/4*(AA246*$W246*1000)/($G246*$B$5)))),
IF($D246="Pressio.",
IF($E246=3,(PI()*AE$12^2)/4*(AA246*$W246*1000)/($H246*$B$5),(PI()*AE$12^2)/4*(AA246*$W246*1000)/($G246*$B$5)),
IF($D246="Pénétro.",
IF($E246=4,(PI()*AE$12^2)/4*(AA246*$W246*1000)/($H246*$B$5),(PI()*AE$12^2)/4*(AA246*$W246*1000)/($G246*$B$5))))))/10</f>
        <v>#N/A</v>
      </c>
      <c r="AF246" s="102" t="e">
        <f>(VLOOKUP($B$3,'Coeff EC7'!$T$39:$X$59,2,0)*AD246+VLOOKUP($B$3,'Coeff EC7'!$T$65:$X$85,2,0)*Model0.1C!AE246)/1.1</f>
        <v>#N/A</v>
      </c>
      <c r="AG246" s="102" t="e">
        <f>(VLOOKUP($B$3,'Coeff EC7'!$T$39:$X$59,3,0)*AD246+VLOOKUP($B$3,'Coeff EC7'!$T$65:$X$85,3,0)*Model0.1C!AE246)/0.9</f>
        <v>#N/A</v>
      </c>
      <c r="AH246" s="102" t="e">
        <f t="shared" si="339"/>
        <v>#N/A</v>
      </c>
      <c r="AI246" s="102" t="e">
        <f t="shared" si="340"/>
        <v>#N/A</v>
      </c>
      <c r="AJ246" s="414" t="e">
        <f>IF(AJ245=0,0,IF(AND(AF246&gt;charge_ELS_quasi,AG246&gt;Charge_ELS_freq,AH246&gt;charge_ELU,AI246&gt;charge_ELA,$B246&gt;NDC!$H$22-0.1+MIN(3*$AJ$12,1.5)),0,1))</f>
        <v>#N/A</v>
      </c>
      <c r="AK246" s="86" t="b">
        <f t="shared" si="341"/>
        <v>0</v>
      </c>
      <c r="AL246" s="86">
        <f t="shared" si="370"/>
        <v>0.5</v>
      </c>
      <c r="AM246" s="86">
        <f t="shared" si="342"/>
        <v>0.5</v>
      </c>
      <c r="AN246" s="30" t="e">
        <f t="shared" ca="1" si="371"/>
        <v>#DIV/0!</v>
      </c>
      <c r="AO246" s="85" t="e">
        <f ca="1">IF(U246&lt;=Hypothèses!$V$7,Hypothèses!$W$7,IF(U246&lt;=Hypothèses!$V$8,Hypothèses!$W$8,IF(U246&lt;=Hypothèses!$V$9,Hypothèses!$W$9,IF(U246&lt;=Hypothèses!$V$10,Hypothèses!$W$10,IF(U246&lt;=Hypothèses!$V$11,Hypothèses!$W$11,IF(U246&lt;=Hypothèses!$V$12,Hypothèses!$W$12,IF(U246&lt;=Hypothèses!$V$13,Hypothèses!$W$13,IF(U246&lt;=Hypothèses!$V$14,Hypothèses!$W$14,IF(U246&lt;=Hypothèses!$V$15,Hypothèses!$W$15,IF(U246&lt;=Hypothèses!$V$16,Hypothèses!$W$16,IF(U246&lt;=Hypothèses!$V$17,Hypothèses!$W$17,IF(U246&lt;=Hypothèses!$V$18,Hypothèses!$W$18,""))))))))))))</f>
        <v>#DIV/0!</v>
      </c>
      <c r="AP246" s="87" t="e">
        <f t="shared" ca="1" si="417"/>
        <v>#DIV/0!</v>
      </c>
      <c r="AQ246" s="88" t="e">
        <f ca="1">IF(U246&lt;=Hypothèses!$V$7,Hypothèses!$X$7,IF(U246&lt;=Hypothèses!$V$8,Hypothèses!$X$8,IF(U246&lt;=Hypothèses!$V$9,Hypothèses!$X$9,IF(U246&lt;=Hypothèses!$V$10,Hypothèses!$X$10,IF(U246&lt;=Hypothèses!$V$11,Hypothèses!$X$11,IF(U246&lt;=Hypothèses!$V$12,Hypothèses!$X$12,IF(U246&lt;=Hypothèses!$V$13,Hypothèses!$X$13,IF(U246&lt;=Hypothèses!$V$14,Hypothèses!$X$14,IF(U246&lt;=Hypothèses!$V$15,Hypothèses!$X$15,IF(U246&lt;=Hypothèses!$V$16,Hypothèses!$X$16,IF(U246&lt;=Hypothèses!$U$17,Hypothèses!$W$17,IF(U246&lt;=Hypothèses!$U$18,Hypothèses!$W$18,""))))))))))))</f>
        <v>#DIV/0!</v>
      </c>
      <c r="AR246" s="95" t="e">
        <f t="shared" ca="1" si="372"/>
        <v>#DIV/0!</v>
      </c>
      <c r="AS246" s="101" t="e">
        <f t="shared" si="424"/>
        <v>#N/A</v>
      </c>
      <c r="AT246" s="91" t="e">
        <f t="shared" si="343"/>
        <v>#N/A</v>
      </c>
      <c r="AU246" s="30" t="e">
        <f t="shared" si="402"/>
        <v>#N/A</v>
      </c>
      <c r="AV246" s="30" t="e">
        <f t="shared" si="403"/>
        <v>#N/A</v>
      </c>
      <c r="AW246" s="31" t="e">
        <f>IF(OR(Hypothèses!$B$4=17,Hypothèses!$B$4=18,Hypothèses!$B$4=19,Hypothèses!$B$4=20),
IF($D246="Pressio.",
IF(OR($E246=3,$E246=1,$E246=4),AV246,AU246),
IF($D246="Pénétro.",
IF(OR($E246=3,$E246=1,$E246=4),AV246,AU246))),IF($D246="Pressio.",
IF($E246=3,AV246,AU246),
IF($D246="Pénétro.",
IF($E246=4,AV246,AU246))))</f>
        <v>#N/A</v>
      </c>
      <c r="AX246" s="31" t="e">
        <f>(IF(OR(Hypothèses!$B$4=17,Hypothèses!$B$4=18,Hypothèses!$B$4=19,Hypothèses!$B$4=20),
IF($D246="Pressio.",
IF(OR($E246=3,$E246=1,$E246=4),(PI()*AX$12^2)/4*(AT246*$W246*1000)/($H246*$B$5),(PI()*AX$12^2)/4*(AT246*$W246*1000)/($G246*$B$5)),
IF($D246="Pénétro.",
IF(OR($E246=4,$E246=1,$E246=5),(PI()*AX$12^2)/4*(AT246*$W246*1000)/($H246*$B$5),(PI()*AX$12^2)/4*(AT246*$W246*1000)/($G246*$B$5)))),
IF($D246="Pressio.",
IF($E246=3,(PI()*AX$12^2)/4*(AT246*$W246*1000)/($H246*$B$5),(PI()*AX$12^2)/4*(AT246*$W246*1000)/($G246*$B$5)),
IF($D246="Pénétro.",
IF($E246=4,(PI()*AX$12^2)/4*(AT246*$W246*1000)/($H246*$B$5),(PI()*AX$12^2)/4*(AT246*$W246*1000)/($G246*$B$5))))))/10</f>
        <v>#N/A</v>
      </c>
      <c r="AY246" s="102" t="e">
        <f>(VLOOKUP($B$3,'Coeff EC7'!$T$39:$X$59,2,0)*AW246+VLOOKUP($B$3,'Coeff EC7'!$T$65:$X$85,2,0)*Model0.1C!AX246)/1.1</f>
        <v>#N/A</v>
      </c>
      <c r="AZ246" s="102" t="e">
        <f>(VLOOKUP($B$3,'Coeff EC7'!$T$39:$X$59,3,0)*AW246+VLOOKUP($B$3,'Coeff EC7'!$T$65:$X$85,3,0)*Model0.1C!AX246)/0.9</f>
        <v>#N/A</v>
      </c>
      <c r="BA246" s="102" t="e">
        <f t="shared" si="373"/>
        <v>#N/A</v>
      </c>
      <c r="BB246" s="102" t="e">
        <f t="shared" si="374"/>
        <v>#N/A</v>
      </c>
      <c r="BC246" s="414" t="e">
        <f>IF(BC245=0,0,IF(AND(AY246&gt;charge_ELS_quasi,AZ246&gt;Charge_ELS_freq,BA246&gt;charge_ELU,BB246&gt;charge_ELA,$B246&gt;NDC!$H$22-0.1+MIN(3*$BC$12,1.5)),0,1))</f>
        <v>#N/A</v>
      </c>
      <c r="BD246" s="86" t="b">
        <f t="shared" si="344"/>
        <v>0</v>
      </c>
      <c r="BE246" s="86">
        <f t="shared" si="375"/>
        <v>0.5</v>
      </c>
      <c r="BF246" s="86">
        <f t="shared" si="345"/>
        <v>0.5</v>
      </c>
      <c r="BG246" s="30" t="e">
        <f t="shared" ca="1" si="376"/>
        <v>#DIV/0!</v>
      </c>
      <c r="BH246" s="85" t="e">
        <f ca="1">IF(AN246&lt;=Hypothèses!$V$7,Hypothèses!$W$7,IF(AN246&lt;=Hypothèses!$V$8,Hypothèses!$W$8,IF(AN246&lt;=Hypothèses!$V$9,Hypothèses!$W$9,IF(AN246&lt;=Hypothèses!$V$10,Hypothèses!$W$10,IF(AN246&lt;=Hypothèses!$V$11,Hypothèses!$W$11,IF(AN246&lt;=Hypothèses!$V$12,Hypothèses!$W$12,IF(AN246&lt;=Hypothèses!$V$13,Hypothèses!$W$13,IF(AN246&lt;=Hypothèses!$V$14,Hypothèses!$W$14,IF(AN246&lt;=Hypothèses!$V$15,Hypothèses!$W$15,IF(AN246&lt;=Hypothèses!$V$16,Hypothèses!$W$16,IF(AN246&lt;=Hypothèses!$V$17,Hypothèses!$W$17,IF(AN246&lt;=Hypothèses!$V$18,Hypothèses!$W$18,""))))))))))))</f>
        <v>#DIV/0!</v>
      </c>
      <c r="BI246" s="87" t="e">
        <f t="shared" ca="1" si="418"/>
        <v>#DIV/0!</v>
      </c>
      <c r="BJ246" s="88" t="e">
        <f ca="1">IF(AN246&lt;=Hypothèses!$V$7,Hypothèses!$X$7,IF(AN246&lt;=Hypothèses!$V$8,Hypothèses!$X$8,IF(AN246&lt;=Hypothèses!$V$9,Hypothèses!$X$9,IF(AN246&lt;=Hypothèses!$V$10,Hypothèses!$X$10,IF(AN246&lt;=Hypothèses!$V$11,Hypothèses!$X$11,IF(AN246&lt;=Hypothèses!$V$12,Hypothèses!$X$12,IF(AN246&lt;=Hypothèses!$V$13,Hypothèses!$X$13,IF(AN246&lt;=Hypothèses!$V$14,Hypothèses!$X$14,IF(AN246&lt;=Hypothèses!$V$15,Hypothèses!$X$15,IF(AN246&lt;=Hypothèses!$V$16,Hypothèses!$X$16,IF(AN246&lt;=Hypothèses!$U$17,Hypothèses!$W$17,IF(AN246&lt;=Hypothèses!$U$18,Hypothèses!$W$18,""))))))))))))</f>
        <v>#DIV/0!</v>
      </c>
      <c r="BK246" s="95" t="e">
        <f t="shared" ca="1" si="377"/>
        <v>#DIV/0!</v>
      </c>
      <c r="BL246" s="101" t="e">
        <f t="shared" si="425"/>
        <v>#N/A</v>
      </c>
      <c r="BM246" s="91" t="e">
        <f t="shared" si="346"/>
        <v>#N/A</v>
      </c>
      <c r="BN246" s="30" t="e">
        <f t="shared" si="404"/>
        <v>#N/A</v>
      </c>
      <c r="BO246" s="30" t="e">
        <f t="shared" si="405"/>
        <v>#N/A</v>
      </c>
      <c r="BP246" s="31" t="e">
        <f>IF(OR(Hypothèses!$B$4=17,Hypothèses!$B$4=18,Hypothèses!$B$4=19,Hypothèses!$B$4=20),
IF($D246="Pressio.",
IF(OR($E246=3,$E246=1,$E246=4),BO246,BN246),
IF($D246="Pénétro.",
IF(OR($E246=3,$E246=1,$E246=4),BO246,BN246))),IF($D246="Pressio.",
IF($E246=3,BO246,BN246),
IF($D246="Pénétro.",
IF($E246=4,BO246,BN246))))</f>
        <v>#N/A</v>
      </c>
      <c r="BQ246" s="31" t="e">
        <f>(IF(OR(Hypothèses!$B$4=17,Hypothèses!$B$4=18,Hypothèses!$B$4=19,Hypothèses!$B$4=20),
IF($D246="Pressio.",
IF(OR($E246=3,$E246=1,$E246=4),(PI()*BQ$12^2)/4*(BM246*$W246*1000)/($H246*$B$5),(PI()*BQ$12^2)/4*(BM246*$W246*1000)/($G246*$B$5)),
IF($D246="Pénétro.",
IF(OR($E246=4,$E246=1,$E246=5),(PI()*BQ$12^2)/4*(BM246*$W246*1000)/($H246*$B$5),(PI()*BQ$12^2)/4*(BM246*$W246*1000)/($G246*$B$5)))),
IF($D246="Pressio.",
IF($E246=3,(PI()*BQ$12^2)/4*(BM246*$W246*1000)/($H246*$B$5),(PI()*BQ$12^2)/4*(BM246*$W246*1000)/($G246*$B$5)),
IF($D246="Pénétro.",
IF($E246=4,(PI()*BQ$12^2)/4*(BM246*$W246*1000)/($H246*$B$5),(PI()*BQ$12^2)/4*(BM246*$W246*1000)/($G246*$B$5))))))/10</f>
        <v>#N/A</v>
      </c>
      <c r="BR246" s="102" t="e">
        <f>(VLOOKUP($B$3,'Coeff EC7'!$T$39:$X$59,2,0)*BP246+VLOOKUP($B$3,'Coeff EC7'!$T$65:$X$85,2,0)*Model0.1C!BQ246)/1.1</f>
        <v>#N/A</v>
      </c>
      <c r="BS246" s="102" t="e">
        <f>(VLOOKUP($B$3,'Coeff EC7'!$T$39:$X$59,3,0)*BP246+VLOOKUP($B$3,'Coeff EC7'!$T$65:$X$85,3,0)*Model0.1C!BQ246)/0.9</f>
        <v>#N/A</v>
      </c>
      <c r="BT246" s="102" t="e">
        <f t="shared" si="378"/>
        <v>#N/A</v>
      </c>
      <c r="BU246" s="102" t="e">
        <f t="shared" si="379"/>
        <v>#N/A</v>
      </c>
      <c r="BV246" s="414" t="e">
        <f>IF(BV245=0,0,IF(AND(BR246&gt;charge_ELS_quasi,BS246&gt;Charge_ELS_freq,BT246&gt;charge_ELU,BU246&gt;charge_ELA,$B246&gt;NDC!$H$22-0.1+MIN(3*$BV$12,1.5)),0,1))</f>
        <v>#N/A</v>
      </c>
      <c r="BW246" s="86" t="b">
        <f t="shared" si="347"/>
        <v>0</v>
      </c>
      <c r="BX246" s="86">
        <f t="shared" si="348"/>
        <v>0.5</v>
      </c>
      <c r="BY246" s="86">
        <f t="shared" si="349"/>
        <v>0.5</v>
      </c>
      <c r="BZ246" s="30" t="e">
        <f t="shared" ca="1" si="380"/>
        <v>#DIV/0!</v>
      </c>
      <c r="CA246" s="85" t="e">
        <f ca="1">IF(BG246&lt;=Hypothèses!$V$7,Hypothèses!$W$7,IF(BG246&lt;=Hypothèses!$V$8,Hypothèses!$W$8,IF(BG246&lt;=Hypothèses!$V$9,Hypothèses!$W$9,IF(BG246&lt;=Hypothèses!$V$10,Hypothèses!$W$10,IF(BG246&lt;=Hypothèses!$V$11,Hypothèses!$W$11,IF(BG246&lt;=Hypothèses!$V$12,Hypothèses!$W$12,IF(BG246&lt;=Hypothèses!$V$13,Hypothèses!$W$13,IF(BG246&lt;=Hypothèses!$V$14,Hypothèses!$W$14,IF(BG246&lt;=Hypothèses!$V$15,Hypothèses!$W$15,IF(BG246&lt;=Hypothèses!$V$16,Hypothèses!$W$16,IF(BG246&lt;=Hypothèses!$V$17,Hypothèses!$W$17,IF(BG246&lt;=Hypothèses!$V$18,Hypothèses!$W$18,""))))))))))))</f>
        <v>#DIV/0!</v>
      </c>
      <c r="CB246" s="87" t="e">
        <f t="shared" ca="1" si="419"/>
        <v>#DIV/0!</v>
      </c>
      <c r="CC246" s="88" t="e">
        <f ca="1">IF(BG246&lt;=Hypothèses!$V$7,Hypothèses!$X$7,IF(BG246&lt;=Hypothèses!$V$8,Hypothèses!$X$8,IF(BG246&lt;=Hypothèses!$V$9,Hypothèses!$X$9,IF(BG246&lt;=Hypothèses!$V$10,Hypothèses!$X$10,IF(BG246&lt;=Hypothèses!$V$11,Hypothèses!$X$11,IF(BG246&lt;=Hypothèses!$V$12,Hypothèses!$X$12,IF(BG246&lt;=Hypothèses!$V$13,Hypothèses!$X$13,IF(BG246&lt;=Hypothèses!$V$14,Hypothèses!$X$14,IF(BG246&lt;=Hypothèses!$V$15,Hypothèses!$X$15,IF(BG246&lt;=Hypothèses!$V$16,Hypothèses!$X$16,IF(BG246&lt;=Hypothèses!$U$17,Hypothèses!$W$17,IF(BG246&lt;=Hypothèses!$U$18,Hypothèses!$W$18,""))))))))))))</f>
        <v>#DIV/0!</v>
      </c>
      <c r="CD246" s="95" t="e">
        <f t="shared" ca="1" si="381"/>
        <v>#DIV/0!</v>
      </c>
      <c r="CE246" s="101" t="e">
        <f t="shared" si="426"/>
        <v>#N/A</v>
      </c>
      <c r="CF246" s="91" t="e">
        <f t="shared" si="350"/>
        <v>#N/A</v>
      </c>
      <c r="CG246" s="30" t="e">
        <f t="shared" si="406"/>
        <v>#N/A</v>
      </c>
      <c r="CH246" s="30" t="e">
        <f t="shared" si="407"/>
        <v>#N/A</v>
      </c>
      <c r="CI246" s="31" t="e">
        <f>IF(OR(Hypothèses!$B$4=17,Hypothèses!$B$4=18,Hypothèses!$B$4=19,Hypothèses!$B$4=20),
IF($D246="Pressio.",
IF(OR($E246=3,$E246=1,$E246=4),CH246,CG246),
IF($D246="Pénétro.",
IF(OR($E246=3,$E246=1,$E246=4),CH246,CG246))),IF($D246="Pressio.",
IF($E246=3,CH246,CG246),
IF($D246="Pénétro.",
IF($E246=4,CH246,CG246))))</f>
        <v>#N/A</v>
      </c>
      <c r="CJ246" s="31" t="e">
        <f>(IF(OR(Hypothèses!$B$4=17,Hypothèses!$B$4=18,Hypothèses!$B$4=19,Hypothèses!$B$4=20),
IF($D246="Pressio.",
IF(OR($E246=3,$E246=1,$E246=4),(PI()*CJ$12^2)/4*(CF246*$W246*1000)/($H246*$B$5),(PI()*CJ$12^2)/4*(CF246*$W246*1000)/($G246*$B$5)),
IF($D246="Pénétro.",
IF(OR($E246=4,$E246=1,$E246=5),(PI()*CJ$12^2)/4*(CF246*$W246*1000)/($H246*$B$5),(PI()*CJ$12^2)/4*(CF246*$W246*1000)/($G246*$B$5)))),
IF($D246="Pressio.",
IF($E246=3,(PI()*CJ$12^2)/4*(CF246*$W246*1000)/($H246*$B$5),(PI()*CJ$12^2)/4*(CF246*$W246*1000)/($G246*$B$5)),
IF($D246="Pénétro.",
IF($E246=4,(PI()*CJ$12^2)/4*(CF246*$W246*1000)/($H246*$B$5),(PI()*CJ$12^2)/4*(CF246*$W246*1000)/($G246*$B$5))))))/10</f>
        <v>#N/A</v>
      </c>
      <c r="CK246" s="102" t="e">
        <f>(VLOOKUP($B$3,'Coeff EC7'!$T$39:$X$59,2,0)*CI246+VLOOKUP($B$3,'Coeff EC7'!$T$65:$X$85,2,0)*Model0.1C!CJ246)/1.1</f>
        <v>#N/A</v>
      </c>
      <c r="CL246" s="102" t="e">
        <f>(VLOOKUP($B$3,'Coeff EC7'!$T$39:$X$59,3,0)*CI246+VLOOKUP($B$3,'Coeff EC7'!$T$65:$X$85,3,0)*Model0.1C!CJ246)/0.9</f>
        <v>#N/A</v>
      </c>
      <c r="CM246" s="102" t="e">
        <f t="shared" si="382"/>
        <v>#N/A</v>
      </c>
      <c r="CN246" s="102" t="e">
        <f t="shared" si="383"/>
        <v>#N/A</v>
      </c>
      <c r="CO246" s="414" t="e">
        <f>IF(CO245=0,0,IF(AND(CK246&gt;charge_ELS_quasi,CL246&gt;Charge_ELS_freq,CM246&gt;charge_ELU,CN246&gt;charge_ELA,$B246&gt;NDC!$H$22-0.1+MIN(3*$CO$12,1.5)),0,1))</f>
        <v>#N/A</v>
      </c>
      <c r="CP246" s="86" t="b">
        <f t="shared" si="351"/>
        <v>0</v>
      </c>
      <c r="CQ246" s="86">
        <f t="shared" si="352"/>
        <v>0.5</v>
      </c>
      <c r="CR246" s="86">
        <f t="shared" si="353"/>
        <v>0.5</v>
      </c>
      <c r="CS246" s="30" t="e">
        <f t="shared" ca="1" si="384"/>
        <v>#DIV/0!</v>
      </c>
      <c r="CT246" s="85" t="e">
        <f ca="1">IF(BZ246&lt;=Hypothèses!$V$7,Hypothèses!$W$7,IF(BZ246&lt;=Hypothèses!$V$8,Hypothèses!$W$8,IF(BZ246&lt;=Hypothèses!$V$9,Hypothèses!$W$9,IF(BZ246&lt;=Hypothèses!$V$10,Hypothèses!$W$10,IF(BZ246&lt;=Hypothèses!$V$11,Hypothèses!$W$11,IF(BZ246&lt;=Hypothèses!$V$12,Hypothèses!$W$12,IF(BZ246&lt;=Hypothèses!$V$13,Hypothèses!$W$13,IF(BZ246&lt;=Hypothèses!$V$14,Hypothèses!$W$14,IF(BZ246&lt;=Hypothèses!$V$15,Hypothèses!$W$15,IF(BZ246&lt;=Hypothèses!$V$16,Hypothèses!$W$16,IF(BZ246&lt;=Hypothèses!$V$17,Hypothèses!$W$17,IF(BZ246&lt;=Hypothèses!$V$18,Hypothèses!$W$18,""))))))))))))</f>
        <v>#DIV/0!</v>
      </c>
      <c r="CU246" s="87" t="e">
        <f t="shared" ca="1" si="420"/>
        <v>#DIV/0!</v>
      </c>
      <c r="CV246" s="88" t="e">
        <f ca="1">IF(BZ246&lt;=Hypothèses!$V$7,Hypothèses!$X$7,IF(BZ246&lt;=Hypothèses!$V$8,Hypothèses!$X$8,IF(BZ246&lt;=Hypothèses!$V$9,Hypothèses!$X$9,IF(BZ246&lt;=Hypothèses!$V$10,Hypothèses!$X$10,IF(BZ246&lt;=Hypothèses!$V$11,Hypothèses!$X$11,IF(BZ246&lt;=Hypothèses!$V$12,Hypothèses!$X$12,IF(BZ246&lt;=Hypothèses!$V$13,Hypothèses!$X$13,IF(BZ246&lt;=Hypothèses!$V$14,Hypothèses!$X$14,IF(BZ246&lt;=Hypothèses!$V$15,Hypothèses!$X$15,IF(BZ246&lt;=Hypothèses!$V$16,Hypothèses!$X$16,IF(BZ246&lt;=Hypothèses!$U$17,Hypothèses!$W$17,IF(BZ246&lt;=Hypothèses!$U$18,Hypothèses!$W$18,""))))))))))))</f>
        <v>#DIV/0!</v>
      </c>
      <c r="CW246" s="95" t="e">
        <f t="shared" ca="1" si="385"/>
        <v>#DIV/0!</v>
      </c>
      <c r="CX246" s="101" t="e">
        <f t="shared" si="427"/>
        <v>#N/A</v>
      </c>
      <c r="CY246" s="91" t="e">
        <f t="shared" si="354"/>
        <v>#N/A</v>
      </c>
      <c r="CZ246" s="30" t="e">
        <f t="shared" si="408"/>
        <v>#N/A</v>
      </c>
      <c r="DA246" s="30" t="e">
        <f t="shared" si="409"/>
        <v>#N/A</v>
      </c>
      <c r="DB246" s="31" t="e">
        <f>IF(OR(Hypothèses!$B$4=17,Hypothèses!$B$4=18,Hypothèses!$B$4=19,Hypothèses!$B$4=20),
IF($D246="Pressio.",
IF(OR($E246=3,$E246=1,$E246=4),DA246,CZ246),
IF($D246="Pénétro.",
IF(OR($E246=3,$E246=1,$E246=4),DA246,CZ246))),IF($D246="Pressio.",
IF($E246=3,DA246,CZ246),
IF($D246="Pénétro.",
IF($E246=4,DA246,CZ246))))</f>
        <v>#N/A</v>
      </c>
      <c r="DC246" s="31" t="e">
        <f>(IF(OR(Hypothèses!$B$4=17,Hypothèses!$B$4=18,Hypothèses!$B$4=19,Hypothèses!$B$4=20),
IF($D246="Pressio.",
IF(OR($E246=3,$E246=1,$E246=4),(PI()*DC$12^2)/4*(CY246*$W246*1000)/($H246*$B$5),(PI()*DC$12^2)/4*(CY246*$W246*1000)/($G246*$B$5)),
IF($D246="Pénétro.",
IF(OR($E246=4,$E246=1,$E246=5),(PI()*DC$12^2)/4*(CY246*$W246*1000)/($H246*$B$5),(PI()*DC$12^2)/4*(CY246*$W246*1000)/($G246*$B$5)))),
IF($D246="Pressio.",
IF($E246=3,(PI()*DC$12^2)/4*(CY246*$W246*1000)/($H246*$B$5),(PI()*DC$12^2)/4*(CY246*$W246*1000)/($G246*$B$5)),
IF($D246="Pénétro.",
IF($E246=4,(PI()*DC$12^2)/4*(CY246*$W246*1000)/($H246*$B$5),(PI()*DC$12^2)/4*(CY246*$W246*1000)/($G246*$B$5))))))/10</f>
        <v>#N/A</v>
      </c>
      <c r="DD246" s="102" t="e">
        <f>(VLOOKUP($B$3,'Coeff EC7'!$T$39:$X$59,2,0)*DB246+VLOOKUP($B$3,'Coeff EC7'!$T$65:$X$85,2,0)*Model0.1C!DC246)/1.1</f>
        <v>#N/A</v>
      </c>
      <c r="DE246" s="102" t="e">
        <f>(VLOOKUP($B$3,'Coeff EC7'!$T$39:$X$59,3,0)*DB246+VLOOKUP($B$3,'Coeff EC7'!$T$65:$X$85,3,0)*Model0.1C!DC246)/0.9</f>
        <v>#N/A</v>
      </c>
      <c r="DF246" s="102" t="e">
        <f t="shared" si="386"/>
        <v>#N/A</v>
      </c>
      <c r="DG246" s="102" t="e">
        <f t="shared" si="387"/>
        <v>#N/A</v>
      </c>
      <c r="DH246" s="414" t="e">
        <f>IF(DH245=0,0,IF(AND(DD246&gt;charge_ELS_quasi,DE246&gt;Charge_ELS_freq,DF246&gt;charge_ELU,DG246&gt;charge_ELA,$B246&gt;NDC!$H$22-0.1+MIN(3*$DH$12,1.5)),0,1))</f>
        <v>#N/A</v>
      </c>
      <c r="DI246" s="86" t="b">
        <f t="shared" si="355"/>
        <v>0</v>
      </c>
      <c r="DJ246" s="86">
        <f t="shared" si="356"/>
        <v>0.5</v>
      </c>
      <c r="DK246" s="86">
        <f t="shared" si="357"/>
        <v>0.5</v>
      </c>
      <c r="DL246" s="30" t="e">
        <f t="shared" ca="1" si="388"/>
        <v>#DIV/0!</v>
      </c>
      <c r="DM246" s="85" t="e">
        <f ca="1">IF(CS246&lt;=Hypothèses!$V$7,Hypothèses!$W$7,IF(CS246&lt;=Hypothèses!$V$8,Hypothèses!$W$8,IF(CS246&lt;=Hypothèses!$V$9,Hypothèses!$W$9,IF(CS246&lt;=Hypothèses!$V$10,Hypothèses!$W$10,IF(CS246&lt;=Hypothèses!$V$11,Hypothèses!$W$11,IF(CS246&lt;=Hypothèses!$V$12,Hypothèses!$W$12,IF(CS246&lt;=Hypothèses!$V$13,Hypothèses!$W$13,IF(CS246&lt;=Hypothèses!$V$14,Hypothèses!$W$14,IF(CS246&lt;=Hypothèses!$V$15,Hypothèses!$W$15,IF(CS246&lt;=Hypothèses!$V$16,Hypothèses!$W$16,IF(CS246&lt;=Hypothèses!$V$17,Hypothèses!$W$17,IF(CS246&lt;=Hypothèses!$V$18,Hypothèses!$W$18,""))))))))))))</f>
        <v>#DIV/0!</v>
      </c>
      <c r="DN246" s="87" t="e">
        <f t="shared" ca="1" si="421"/>
        <v>#DIV/0!</v>
      </c>
      <c r="DO246" s="88" t="e">
        <f ca="1">IF(CS246&lt;=Hypothèses!$V$7,Hypothèses!$X$7,IF(CS246&lt;=Hypothèses!$V$8,Hypothèses!$X$8,IF(CS246&lt;=Hypothèses!$V$9,Hypothèses!$X$9,IF(CS246&lt;=Hypothèses!$V$10,Hypothèses!$X$10,IF(CS246&lt;=Hypothèses!$V$11,Hypothèses!$X$11,IF(CS246&lt;=Hypothèses!$V$12,Hypothèses!$X$12,IF(CS246&lt;=Hypothèses!$V$13,Hypothèses!$X$13,IF(CS246&lt;=Hypothèses!$V$14,Hypothèses!$X$14,IF(CS246&lt;=Hypothèses!$V$15,Hypothèses!$X$15,IF(CS246&lt;=Hypothèses!$V$16,Hypothèses!$X$16,IF(CS246&lt;=Hypothèses!$U$17,Hypothèses!$W$17,IF(CS246&lt;=Hypothèses!$U$18,Hypothèses!$W$18,""))))))))))))</f>
        <v>#DIV/0!</v>
      </c>
      <c r="DP246" s="95" t="e">
        <f t="shared" ca="1" si="389"/>
        <v>#DIV/0!</v>
      </c>
      <c r="DQ246" s="101" t="e">
        <f t="shared" si="428"/>
        <v>#N/A</v>
      </c>
      <c r="DR246" s="91" t="e">
        <f t="shared" si="358"/>
        <v>#N/A</v>
      </c>
      <c r="DS246" s="30" t="e">
        <f t="shared" si="410"/>
        <v>#N/A</v>
      </c>
      <c r="DT246" s="30" t="e">
        <f t="shared" si="411"/>
        <v>#N/A</v>
      </c>
      <c r="DU246" s="31" t="e">
        <f>IF(OR(Hypothèses!$B$4=17,Hypothèses!$B$4=18,Hypothèses!$B$4=19,Hypothèses!$B$4=20),
IF($D246="Pressio.",
IF(OR($E246=3,$E246=1,$E246=4),DT246,DS246),
IF($D246="Pénétro.",
IF(OR($E246=3,$E246=1,$E246=4),DT246,DS246))),IF($D246="Pressio.",
IF($E246=3,DT246,DS246),
IF($D246="Pénétro.",
IF($E246=4,DT246,DS246))))</f>
        <v>#N/A</v>
      </c>
      <c r="DV246" s="31" t="e">
        <f>(IF(OR(Hypothèses!$B$4=17,Hypothèses!$B$4=18,Hypothèses!$B$4=19,Hypothèses!$B$4=20),
IF($D246="Pressio.",
IF(OR($E246=3,$E246=1,$E246=4),(PI()*DV$12^2)/4*(DR246*$W246*1000)/($H246*$B$5),(PI()*DV$12^2)/4*(DR246*$W246*1000)/($G246*$B$5)),
IF($D246="Pénétro.",
IF(OR($E246=4,$E246=1,$E246=5),(PI()*DV$12^2)/4*(DR246*$W246*1000)/($H246*$B$5),(PI()*DV$12^2)/4*(DR246*$W246*1000)/($G246*$B$5)))),
IF($D246="Pressio.",
IF($E246=3,(PI()*DV$12^2)/4*(DR246*$W246*1000)/($H246*$B$5),(PI()*DV$12^2)/4*(DR246*$W246*1000)/($G246*$B$5)),
IF($D246="Pénétro.",
IF($E246=4,(PI()*DV$12^2)/4*(DR246*$W246*1000)/($H246*$B$5),(PI()*DV$12^2)/4*(DR246*$W246*1000)/($G246*$B$5))))))/10</f>
        <v>#N/A</v>
      </c>
      <c r="DW246" s="102" t="e">
        <f>(VLOOKUP($B$3,'Coeff EC7'!$T$39:$X$59,2,0)*DU246+VLOOKUP($B$3,'Coeff EC7'!$T$65:$X$85,2,0)*Model0.1C!DV246)/1.1</f>
        <v>#N/A</v>
      </c>
      <c r="DX246" s="102" t="e">
        <f>(VLOOKUP($B$3,'Coeff EC7'!$T$39:$X$59,3,0)*DU246+VLOOKUP($B$3,'Coeff EC7'!$T$65:$X$85,3,0)*Model0.1C!DV246)/0.9</f>
        <v>#N/A</v>
      </c>
      <c r="DY246" s="102" t="e">
        <f t="shared" si="390"/>
        <v>#N/A</v>
      </c>
      <c r="DZ246" s="102" t="e">
        <f t="shared" si="391"/>
        <v>#N/A</v>
      </c>
      <c r="EA246" s="414" t="e">
        <f>IF(EA245=0,0,IF(AND(DW246&gt;charge_ELS_quasi,DX246&gt;Charge_ELS_freq,DY246&gt;charge_ELU,DZ246&gt;charge_ELA,$B246&gt;NDC!$H$22-0.1+MIN(3*$EA$12,1.5)),0,1))</f>
        <v>#N/A</v>
      </c>
      <c r="EB246" s="86" t="b">
        <f t="shared" si="359"/>
        <v>0</v>
      </c>
      <c r="EC246" s="418">
        <f t="shared" si="360"/>
        <v>0.51</v>
      </c>
      <c r="ED246" s="86">
        <f t="shared" si="361"/>
        <v>0.51</v>
      </c>
      <c r="EE246" s="30" t="e">
        <f t="shared" ca="1" si="392"/>
        <v>#DIV/0!</v>
      </c>
      <c r="EF246" s="85" t="e">
        <f ca="1">IF(DL246&lt;=Hypothèses!$V$7,Hypothèses!$W$7,IF(DL246&lt;=Hypothèses!$V$8,Hypothèses!$W$8,IF(DL246&lt;=Hypothèses!$V$9,Hypothèses!$W$9,IF(DL246&lt;=Hypothèses!$V$10,Hypothèses!$W$10,IF(DL246&lt;=Hypothèses!$V$11,Hypothèses!$W$11,IF(DL246&lt;=Hypothèses!$V$12,Hypothèses!$W$12,IF(DL246&lt;=Hypothèses!$V$13,Hypothèses!$W$13,IF(DL246&lt;=Hypothèses!$V$14,Hypothèses!$W$14,IF(DL246&lt;=Hypothèses!$V$15,Hypothèses!$W$15,IF(DL246&lt;=Hypothèses!$V$16,Hypothèses!$W$16,IF(DL246&lt;=Hypothèses!$V$17,Hypothèses!$W$17,IF(DL246&lt;=Hypothèses!$V$18,Hypothèses!$W$18,""))))))))))))</f>
        <v>#DIV/0!</v>
      </c>
      <c r="EG246" s="87" t="e">
        <f t="shared" ca="1" si="422"/>
        <v>#DIV/0!</v>
      </c>
      <c r="EH246" s="88" t="e">
        <f ca="1">IF(DL246&lt;=Hypothèses!$V$7,Hypothèses!$X$7,IF(DL246&lt;=Hypothèses!$V$8,Hypothèses!$X$8,IF(DL246&lt;=Hypothèses!$V$9,Hypothèses!$X$9,IF(DL246&lt;=Hypothèses!$V$10,Hypothèses!$X$10,IF(DL246&lt;=Hypothèses!$V$11,Hypothèses!$X$11,IF(DL246&lt;=Hypothèses!$V$12,Hypothèses!$X$12,IF(DL246&lt;=Hypothèses!$V$13,Hypothèses!$X$13,IF(DL246&lt;=Hypothèses!$V$14,Hypothèses!$X$14,IF(DL246&lt;=Hypothèses!$V$15,Hypothèses!$X$15,IF(DL246&lt;=Hypothèses!$V$16,Hypothèses!$X$16,IF(DL246&lt;=Hypothèses!$U$17,Hypothèses!$W$17,IF(DL246&lt;=Hypothèses!$U$18,Hypothèses!$W$18,""))))))))))))</f>
        <v>#DIV/0!</v>
      </c>
      <c r="EI246" s="95" t="e">
        <f t="shared" ca="1" si="393"/>
        <v>#DIV/0!</v>
      </c>
      <c r="EJ246" s="101" t="e">
        <f t="shared" si="429"/>
        <v>#N/A</v>
      </c>
      <c r="EK246" s="91" t="e">
        <f t="shared" si="362"/>
        <v>#N/A</v>
      </c>
      <c r="EL246" s="30" t="e">
        <f t="shared" si="412"/>
        <v>#N/A</v>
      </c>
      <c r="EM246" s="30" t="e">
        <f t="shared" si="413"/>
        <v>#N/A</v>
      </c>
      <c r="EN246" s="31" t="e">
        <f>IF(OR(Hypothèses!$B$4=17,Hypothèses!$B$4=18,Hypothèses!$B$4=19,Hypothèses!$B$4=20),
IF($D246="Pressio.",
IF(OR($E246=3,$E246=1,$E246=4),EM246,EL246),
IF($D246="Pénétro.",
IF(OR($E246=3,$E246=1,$E246=4),EM246,EL246))),IF($D246="Pressio.",
IF($E246=3,EM246,EL246),
IF($D246="Pénétro.",
IF($E246=4,EM246,EL246))))</f>
        <v>#N/A</v>
      </c>
      <c r="EO246" s="31" t="e">
        <f>(IF(OR(Hypothèses!$B$4=17,Hypothèses!$B$4=18,Hypothèses!$B$4=19,Hypothèses!$B$4=20),
IF($D246="Pressio.",
IF(OR($E246=3,$E246=1,$E246=4),(PI()*EO$12^2)/4*(EK246*$W246*1000)/($H246*$B$5),(PI()*EO$12^2)/4*(EK246*$W246*1000)/($G246*$B$5)),
IF($D246="Pénétro.",
IF(OR($E246=4,$E246=1,$E246=5),(PI()*EO$12^2)/4*(EK246*$W246*1000)/($H246*$B$5),(PI()*EO$12^2)/4*(EK246*$W246*1000)/($G246*$B$5)))),
IF($D246="Pressio.",
IF($E246=3,(PI()*EO$12^2)/4*(EK246*$W246*1000)/($H246*$B$5),(PI()*EO$12^2)/4*(EK246*$W246*1000)/($G246*$B$5)),
IF($D246="Pénétro.",
IF($E246=4,(PI()*EO$12^2)/4*(EK246*$W246*1000)/($H246*$B$5),(PI()*EO$12^2)/4*(EK246*$W246*1000)/($G246*$B$5))))))/10</f>
        <v>#N/A</v>
      </c>
      <c r="EP246" s="102" t="e">
        <f>(VLOOKUP($B$3,'Coeff EC7'!$T$39:$X$59,2,0)*EN246+VLOOKUP($B$3,'Coeff EC7'!$T$65:$X$85,2,0)*Model0.1C!EO246)/1.1</f>
        <v>#N/A</v>
      </c>
      <c r="EQ246" s="102" t="e">
        <f>(VLOOKUP($B$3,'Coeff EC7'!$T$39:$X$59,3,0)*EN246+VLOOKUP($B$3,'Coeff EC7'!$T$65:$X$85,3,0)*Model0.1C!EO246)/0.9</f>
        <v>#N/A</v>
      </c>
      <c r="ER246" s="102" t="e">
        <f t="shared" si="394"/>
        <v>#N/A</v>
      </c>
      <c r="ES246" s="102" t="e">
        <f t="shared" si="395"/>
        <v>#N/A</v>
      </c>
      <c r="ET246" s="414" t="e">
        <f>IF(ET245=0,0,IF(AND(EP246&gt;charge_ELS_quasi,EQ246&gt;Charge_ELS_freq,ER246&gt;charge_ELU,ES246&gt;charge_ELA,$B246&gt;NDC!$H$22-0.1+MIN(3*$ET$12,1.5)),0,1))</f>
        <v>#N/A</v>
      </c>
      <c r="EU246" s="86" t="b">
        <f t="shared" si="363"/>
        <v>0</v>
      </c>
      <c r="EV246" s="86">
        <f t="shared" si="364"/>
        <v>0.61</v>
      </c>
      <c r="EW246" s="86">
        <f t="shared" si="365"/>
        <v>0.61</v>
      </c>
      <c r="EX246" s="30" t="e">
        <f t="shared" ca="1" si="396"/>
        <v>#DIV/0!</v>
      </c>
      <c r="EY246" s="85" t="e">
        <f ca="1">IF(EE246&lt;=Hypothèses!$V$7,Hypothèses!$W$7,IF(EE246&lt;=Hypothèses!$V$8,Hypothèses!$W$8,IF(EE246&lt;=Hypothèses!$V$9,Hypothèses!$W$9,IF(EE246&lt;=Hypothèses!$V$10,Hypothèses!$W$10,IF(EE246&lt;=Hypothèses!$V$11,Hypothèses!$W$11,IF(EE246&lt;=Hypothèses!$V$12,Hypothèses!$W$12,IF(EE246&lt;=Hypothèses!$V$13,Hypothèses!$W$13,IF(EE246&lt;=Hypothèses!$V$14,Hypothèses!$W$14,IF(EE246&lt;=Hypothèses!$V$15,Hypothèses!$W$15,IF(EE246&lt;=Hypothèses!$V$16,Hypothèses!$W$16,IF(EE246&lt;=Hypothèses!$V$17,Hypothèses!$W$17,IF(EE246&lt;=Hypothèses!$V$18,Hypothèses!$W$18,""))))))))))))</f>
        <v>#DIV/0!</v>
      </c>
      <c r="EZ246" s="87" t="e">
        <f t="shared" ca="1" si="423"/>
        <v>#DIV/0!</v>
      </c>
      <c r="FA246" s="88" t="e">
        <f ca="1">IF(EE246&lt;=Hypothèses!$V$7,Hypothèses!$X$7,IF(EE246&lt;=Hypothèses!$V$8,Hypothèses!$X$8,IF(EE246&lt;=Hypothèses!$V$9,Hypothèses!$X$9,IF(EE246&lt;=Hypothèses!$V$10,Hypothèses!$X$10,IF(EE246&lt;=Hypothèses!$V$11,Hypothèses!$X$11,IF(EE246&lt;=Hypothèses!$V$12,Hypothèses!$X$12,IF(EE246&lt;=Hypothèses!$V$13,Hypothèses!$X$13,IF(EE246&lt;=Hypothèses!$V$14,Hypothèses!$X$14,IF(EE246&lt;=Hypothèses!$V$15,Hypothèses!$X$15,IF(EE246&lt;=Hypothèses!$V$16,Hypothèses!$X$16,IF(EE246&lt;=Hypothèses!$U$17,Hypothèses!$W$17,IF(EE246&lt;=Hypothèses!$U$18,Hypothèses!$W$18,""))))))))))))</f>
        <v>#DIV/0!</v>
      </c>
      <c r="FB246" s="95" t="e">
        <f t="shared" ca="1" si="397"/>
        <v>#DIV/0!</v>
      </c>
      <c r="FC246" s="101" t="e">
        <f t="shared" si="430"/>
        <v>#N/A</v>
      </c>
      <c r="FD246" s="91" t="e">
        <f t="shared" si="366"/>
        <v>#N/A</v>
      </c>
      <c r="FE246" s="30" t="e">
        <f t="shared" si="414"/>
        <v>#N/A</v>
      </c>
      <c r="FF246" s="30" t="e">
        <f t="shared" si="415"/>
        <v>#N/A</v>
      </c>
      <c r="FG246" s="31" t="e">
        <f>IF(OR(Hypothèses!$B$4=17,Hypothèses!$B$4=18,Hypothèses!$B$4=19,Hypothèses!$B$4=20),
IF($D246="Pressio.",
IF(OR($E246=3,$E246=1,$E246=4),FF246,FE246),
IF($D246="Pénétro.",
IF(OR($E246=3,$E246=1,$E246=4),FF246,FE246))),IF($D246="Pressio.",
IF($E246=3,FF246,FE246),
IF($D246="Pénétro.",
IF($E246=4,FF246,FE246))))</f>
        <v>#N/A</v>
      </c>
      <c r="FH246" s="31" t="e">
        <f>(IF(OR(Hypothèses!$B$4=17,Hypothèses!$B$4=18,Hypothèses!$B$4=19,Hypothèses!$B$4=20),
IF($D246="Pressio.",
IF(OR($E246=3,$E246=1,$E246=4),(PI()*FH$12^2)/4*(FD246*$W246*1000)/($H246*$B$5),(PI()*FH$12^2)/4*(FD246*$W246*1000)/($G246*$B$5)),
IF($D246="Pénétro.",
IF(OR($E246=4,$E246=1,$E246=5),(PI()*FH$12^2)/4*(FD246*$W246*1000)/($H246*$B$5),(PI()*FH$12^2)/4*(FD246*$W246*1000)/($G246*$B$5)))),
IF($D246="Pressio.",
IF($E246=3,(PI()*FH$12^2)/4*(FD246*$W246*1000)/($H246*$B$5),(PI()*FH$12^2)/4*(FD246*$W246*1000)/($G246*$B$5)),
IF($D246="Pénétro.",
IF($E246=4,(PI()*FH$12^2)/4*(FD246*$W246*1000)/($H246*$B$5),(PI()*FH$12^2)/4*(FD246*$W246*1000)/($G246*$B$5))))))/10</f>
        <v>#N/A</v>
      </c>
      <c r="FI246" s="102" t="e">
        <f>(VLOOKUP($B$3,'Coeff EC7'!$T$39:$X$59,2,0)*FG246+VLOOKUP($B$3,'Coeff EC7'!$T$65:$X$85,2,0)*Model0.1C!FH246)/1.1</f>
        <v>#N/A</v>
      </c>
      <c r="FJ246" s="102" t="e">
        <f>(VLOOKUP($B$3,'Coeff EC7'!$T$39:$X$59,3,0)*FG246+VLOOKUP($B$3,'Coeff EC7'!$T$65:$X$85,3,0)*Model0.1C!FH246)/0.9</f>
        <v>#N/A</v>
      </c>
      <c r="FK246" s="102" t="e">
        <f t="shared" si="398"/>
        <v>#N/A</v>
      </c>
      <c r="FL246" s="102" t="e">
        <f t="shared" si="399"/>
        <v>#N/A</v>
      </c>
      <c r="FM246" s="414" t="e">
        <f>IF(FM245=0,0,IF(AND(FI246&gt;charge_ELS_quasi,FJ246&gt;Charge_ELS_freq,FK246&gt;charge_ELU,FL246&gt;charge_ELA,$B246&gt;NDC!$H$22-0.1+MIN(3*$FM$12,1.5)),0,1))</f>
        <v>#N/A</v>
      </c>
    </row>
    <row r="247" spans="1:169">
      <c r="A247" s="96">
        <f t="shared" si="367"/>
        <v>76.60000000000133</v>
      </c>
      <c r="B247" s="97">
        <v>23.4</v>
      </c>
      <c r="C247" s="81">
        <f>IF(B247&lt;=Hypothèses!$C$7,Hypothèses!$A$7,IF(B247&lt;=Hypothèses!$C$8,Hypothèses!$A$8,IF(B247&lt;=Hypothèses!$C$9,Hypothèses!$A$9,IF(B247&lt;=Hypothèses!$C$10,Hypothèses!$A$10,IF(B247&lt;=Hypothèses!$C$11,Hypothèses!$A$11,IF(B247&lt;=Hypothèses!$C$12,Hypothèses!$A$12,IF(B247&lt;=Hypothèses!$C$13,Hypothèses!$A$13,IF(B247&lt;=Hypothèses!$C$14,Hypothèses!$A$14,IF(B247&lt;=Hypothèses!$C$15,Hypothèses!$A$15,IF(B247&lt;=Hypothèses!$C$16,Hypothèses!$A$16,IF(B247&lt;=Hypothèses!$C$17,Hypothèses!$A$17,IF(B247&lt;=Hypothèses!$C$18,Hypothèses!$A$18,C246))))))))))))</f>
        <v>11</v>
      </c>
      <c r="D247" s="82" t="str">
        <f>IF(B247&lt;=Hypothèses!$C$7,Hypothèses!$R$7,IF(B247&lt;=Hypothèses!$C$8,Hypothèses!$R$8,IF(B247&lt;=Hypothèses!$C$9,Hypothèses!$R$9,IF(B247&lt;=Hypothèses!$C$10,Hypothèses!$R$10,IF(B247&lt;=Hypothèses!$C$11,Hypothèses!$R$11,IF(B247&lt;=Hypothèses!$C$12,Hypothèses!$R$12,IF(B247&lt;=Hypothèses!$C$13,Hypothèses!$R$13,IF(B247&lt;=Hypothèses!$C$14,Hypothèses!$R$14,IF(B247&lt;=Hypothèses!$C$15,Hypothèses!$R$15,IF(B247&lt;=Hypothèses!$C$16,Hypothèses!$R$16,IF(B247&lt;=Hypothèses!$C$17,Hypothèses!$R$17,IF(B247&lt;=Hypothèses!$C$18,Hypothèses!$R$18,D246))))))))))))</f>
        <v>Pressio.</v>
      </c>
      <c r="E247" s="82" t="e">
        <f>IF(B247&lt;=Hypothèses!$C$7,Hypothèses!$G$7,IF(B247&lt;=Hypothèses!$C$8,Hypothèses!$G$8,IF(B247&lt;=Hypothèses!$C$9,Hypothèses!$G$9,IF(B247&lt;=Hypothèses!$C$10,Hypothèses!$G$10,IF(B247&lt;=Hypothèses!$C$11,Hypothèses!$G$11,IF(B247&lt;=Hypothèses!$C$12,Hypothèses!$G$12,IF(B247&lt;=Hypothèses!$C$13,Hypothèses!$G$13,IF(B247&lt;=Hypothèses!$C$14,Hypothèses!$G$14,IF(B247&lt;=Hypothèses!$C$15,Hypothèses!$G$15,IF(B247&lt;=Hypothèses!$C$16,Hypothèses!$G$16,IF(B247&lt;=Hypothèses!$C$17,Hypothèses!$G$17,IF(B247&lt;=Hypothèses!$C$18,Hypothèses!$G$18,E246))))))))))))</f>
        <v>#N/A</v>
      </c>
      <c r="F247" s="82" t="str">
        <f>IF(B247&lt;=Hypothèses!$C$7,Hypothèses!$F$7,IF(B247&lt;=Hypothèses!$C$8,Hypothèses!$F$8,IF(B247&lt;=Hypothèses!$C$9,Hypothèses!$F$9,IF(B247&lt;=Hypothèses!$C$10,Hypothèses!$F$10,IF(B247&lt;=Hypothèses!$C$11,Hypothèses!$F$11,IF(B247&lt;=Hypothèses!$C$12,Hypothèses!$F$12,IF(B247&lt;=Hypothèses!$C$13,Hypothèses!$F$13,IF(B247&lt;=Hypothèses!$C$14,Hypothèses!$F$14,IF(B247&lt;=Hypothèses!$C$15,Hypothèses!$F$15,IF(B247&lt;=Hypothèses!$C$16,Hypothèses!$F$16,IF(B247&lt;=Hypothèses!$C$17,Hypothèses!$F$17,IF(B247&lt;=Hypothèses!$C$18,Hypothèses!$F$18,F246))))))))))))</f>
        <v/>
      </c>
      <c r="G247" s="91">
        <f t="array" ref="G247">INDEX('Coeff EC7'!$U$7:$X$27,
MATCH(Model0.1C!$B$3,'Coeff EC7'!$T$7:$T$27,0),
MATCH(Model0.1C!$D247&amp;Model0.1C!$B$4,
'Coeff EC7'!$U$6:$X$6&amp;
'Coeff EC7'!$U$5:$X$5,0))</f>
        <v>1.1499999999999999</v>
      </c>
      <c r="H247" s="91">
        <f t="array" ref="H247">INDEX('Coeff EC7'!$Y$7:$AB$27,
MATCH(Model0.1C!$B$3,'Coeff EC7'!$T$7:$T$27,0),
MATCH(Model0.1C!$D247&amp;Model0.1C!$B$4,
'Coeff EC7'!$Y$6:$AB$6&amp;
'Coeff EC7'!$Y$5:$AB$5,0))</f>
        <v>1.4</v>
      </c>
      <c r="I247" s="83" t="e">
        <f>IF(B247&lt;=Hypothèses!$C$7,Hypothèses!$P$7,IF(B247&lt;=Hypothèses!$C$8,Hypothèses!$P$8,IF(B247&lt;=Hypothèses!$C$9,Hypothèses!$P$9,IF(B247&lt;=Hypothèses!$C$10,Hypothèses!$P$10,IF(B247&lt;=Hypothèses!$C$11,Hypothèses!$P$11,IF(B247&lt;=Hypothèses!$C$12,Hypothèses!$P$12,IF(B247&lt;=Hypothèses!$C$13,Hypothèses!$P$13,IF(B247&lt;=Hypothèses!$C$14,Hypothèses!$P$14,IF(B247&lt;=Hypothèses!$C$15,Hypothèses!$P$15,IF(B247&lt;=Hypothèses!$C$16,Hypothèses!$P$16,IF(B247&lt;=Hypothèses!$C$17,Hypothèses!$P$17,IF(B247&lt;=Hypothèses!$C$18,Hypothèses!$P$18,I246))))))))))))</f>
        <v>#N/A</v>
      </c>
      <c r="J247" s="91" t="e">
        <f t="array" ref="J247">INDEX('Coeff EC7'!$D$33:$Q$33,1,MATCH(D247&amp;E247,'Coeff EC7'!$D$31:$Q$31&amp;'Coeff EC7'!$D$32:$Q$32,0))</f>
        <v>#N/A</v>
      </c>
      <c r="K247" s="91" t="e">
        <f t="array" ref="K247">INDEX('Coeff EC7'!$D$34:$Q$34,1,MATCH(D247&amp;E247,'Coeff EC7'!$D$31:$Q$31&amp;'Coeff EC7'!$D$32:$Q$32,0))</f>
        <v>#N/A</v>
      </c>
      <c r="L247" s="91" t="e">
        <f t="array" ref="L247">INDEX('Coeff EC7'!$D$35:$Q$35,1,MATCH(D247&amp;E247,'Coeff EC7'!$D$31:$Q$31&amp;'Coeff EC7'!$D$32:$Q$32,0))</f>
        <v>#N/A</v>
      </c>
      <c r="M247" s="98" t="e">
        <f t="shared" si="331"/>
        <v>#N/A</v>
      </c>
      <c r="N247" s="99" t="e">
        <f t="array" ref="N247">INDEX('Coeff EC7'!$D$7:$Q$27,MATCH($B$3,'Coeff EC7'!$C$7:$C$27,0),MATCH(D247&amp;E247,'Coeff EC7'!$D$5:$Q$5&amp;'Coeff EC7'!$D$6:$Q$6,0))</f>
        <v>#N/A</v>
      </c>
      <c r="O247" s="99" t="e">
        <f t="array" ref="O247">INDEX('Coeff EC7'!$D$41:$Q$61,MATCH($B$3,'Coeff EC7'!$C$41:$C$61,0),MATCH(D247&amp;E247,'Coeff EC7'!$D$39:$Q$39&amp;'Coeff EC7'!$D$40:$Q$40,0))</f>
        <v>#N/A</v>
      </c>
      <c r="P247" s="30" t="e">
        <f t="shared" si="368"/>
        <v>#N/A</v>
      </c>
      <c r="Q247" s="100" t="e">
        <f t="shared" si="333"/>
        <v>#N/A</v>
      </c>
      <c r="R247" s="86" t="b">
        <f t="shared" si="334"/>
        <v>0</v>
      </c>
      <c r="S247" s="86">
        <f t="shared" si="332"/>
        <v>0.5</v>
      </c>
      <c r="T247" s="86">
        <f t="shared" si="335"/>
        <v>0.5</v>
      </c>
      <c r="U247" s="30" t="e">
        <f t="shared" ca="1" si="369"/>
        <v>#DIV/0!</v>
      </c>
      <c r="V247" s="85" t="str">
        <f>IF(B247&lt;=Hypothèses!$V$7,Hypothèses!$W$7,IF(B247&lt;=Hypothèses!$V$8,Hypothèses!$W$8,IF(B247&lt;=Hypothèses!$V$9,Hypothèses!$W$9,IF(B247&lt;=Hypothèses!$V$10,Hypothèses!$W$10,IF(B247&lt;=Hypothèses!$V$11,Hypothèses!$W$11,IF(B247&lt;=Hypothèses!$V$12,Hypothèses!$W$12,IF(B247&lt;=Hypothèses!$V$13,Hypothèses!$W$13,IF(B247&lt;=Hypothèses!$V$14,Hypothèses!$W$14,IF(B247&lt;=Hypothèses!$V$15,Hypothèses!$W$15,IF(B247&lt;=Hypothèses!$V$16,Hypothèses!$W$16,IF(B247&lt;=Hypothèses!$V$17,Hypothèses!$W$17,IF(B247&lt;=Hypothèses!$V$18,Hypothèses!$W$18,""))))))))))))</f>
        <v/>
      </c>
      <c r="W247" s="87" t="e">
        <f t="shared" ca="1" si="416"/>
        <v>#DIV/0!</v>
      </c>
      <c r="X247" s="88" t="str">
        <f>IF(B247&lt;=Hypothèses!$V$7,Hypothèses!$X$7,IF(B247&lt;=Hypothèses!$V$8,Hypothèses!$X$8,IF(B247&lt;=Hypothèses!$V$9,Hypothèses!$X$9,IF(B247&lt;=Hypothèses!$V$10,Hypothèses!$X$10,IF(B247&lt;=Hypothèses!$V$11,Hypothèses!$X$11,IF(B247&lt;=Hypothèses!$V$12,Hypothèses!$X$12,IF(B247&lt;=Hypothèses!$V$13,Hypothèses!$X$13,IF(B247&lt;=Hypothèses!$V$14,Hypothèses!$X$14,IF(B247&lt;=Hypothèses!$V$15,Hypothèses!$X$15,IF(B247&lt;=Hypothèses!$V$16,Hypothèses!$X$16,IF(B247&lt;=Hypothèses!$U$17,Hypothèses!$W$17,IF(B247&lt;=Hypothèses!$U$18,Hypothèses!$W$18,""))))))))))))</f>
        <v/>
      </c>
      <c r="Y247" s="95" t="e">
        <f t="shared" ca="1" si="336"/>
        <v>#DIV/0!</v>
      </c>
      <c r="Z247" s="101" t="e">
        <f t="shared" si="337"/>
        <v>#N/A</v>
      </c>
      <c r="AA247" s="91" t="e">
        <f t="shared" si="338"/>
        <v>#N/A</v>
      </c>
      <c r="AB247" s="30" t="e">
        <f t="shared" si="400"/>
        <v>#N/A</v>
      </c>
      <c r="AC247" s="30" t="e">
        <f t="shared" si="401"/>
        <v>#N/A</v>
      </c>
      <c r="AD247" s="31" t="e">
        <f>IF(OR(Hypothèses!$B$4=17,Hypothèses!$B$4=18,Hypothèses!$B$4=19,Hypothèses!$B$4=20),
IF($D247="Pressio.",
IF(OR($E247=3,$E247=1,$E247=4),AC247,AB247),
IF($D247="Pénétro.",
IF(OR($E247=3,$E247=1,$E247=4),AC247,AB247))),IF($D247="Pressio.",
IF($E247=3,AC247,AB247),
IF($D247="Pénétro.",
IF($E247=4,AC247,AB247))))</f>
        <v>#N/A</v>
      </c>
      <c r="AE247" s="31" t="e">
        <f>(IF(OR(Hypothèses!$B$4=17,Hypothèses!$B$4=18,Hypothèses!$B$4=19,Hypothèses!$B$4=20),
IF($D247="Pressio.",
IF(OR($E247=3,$E247=1,$E247=4),(PI()*AE$12^2)/4*(AA247*$W247*1000)/($H247*$B$5),(PI()*AE$12^2)/4*(AA247*$W247*1000)/($G247*$B$5)),
IF($D247="Pénétro.",
IF(OR($E247=4,$E247=1,$E247=5),(PI()*AE$12^2)/4*(AA247*$W247*1000)/($H247*$B$5),(PI()*AE$12^2)/4*(AA247*$W247*1000)/($G247*$B$5)))),
IF($D247="Pressio.",
IF($E247=3,(PI()*AE$12^2)/4*(AA247*$W247*1000)/($H247*$B$5),(PI()*AE$12^2)/4*(AA247*$W247*1000)/($G247*$B$5)),
IF($D247="Pénétro.",
IF($E247=4,(PI()*AE$12^2)/4*(AA247*$W247*1000)/($H247*$B$5),(PI()*AE$12^2)/4*(AA247*$W247*1000)/($G247*$B$5))))))/10</f>
        <v>#N/A</v>
      </c>
      <c r="AF247" s="102" t="e">
        <f>(VLOOKUP($B$3,'Coeff EC7'!$T$39:$X$59,2,0)*AD247+VLOOKUP($B$3,'Coeff EC7'!$T$65:$X$85,2,0)*Model0.1C!AE247)/1.1</f>
        <v>#N/A</v>
      </c>
      <c r="AG247" s="102" t="e">
        <f>(VLOOKUP($B$3,'Coeff EC7'!$T$39:$X$59,3,0)*AD247+VLOOKUP($B$3,'Coeff EC7'!$T$65:$X$85,3,0)*Model0.1C!AE247)/0.9</f>
        <v>#N/A</v>
      </c>
      <c r="AH247" s="102" t="e">
        <f t="shared" si="339"/>
        <v>#N/A</v>
      </c>
      <c r="AI247" s="102" t="e">
        <f t="shared" si="340"/>
        <v>#N/A</v>
      </c>
      <c r="AJ247" s="414" t="e">
        <f>IF(AJ246=0,0,IF(AND(AF247&gt;charge_ELS_quasi,AG247&gt;Charge_ELS_freq,AH247&gt;charge_ELU,AI247&gt;charge_ELA,$B247&gt;NDC!$H$22-0.1+MIN(3*$AJ$12,1.5)),0,1))</f>
        <v>#N/A</v>
      </c>
      <c r="AK247" s="86" t="b">
        <f t="shared" si="341"/>
        <v>0</v>
      </c>
      <c r="AL247" s="86">
        <f t="shared" si="370"/>
        <v>0.5</v>
      </c>
      <c r="AM247" s="86">
        <f t="shared" si="342"/>
        <v>0.5</v>
      </c>
      <c r="AN247" s="30" t="e">
        <f t="shared" ca="1" si="371"/>
        <v>#DIV/0!</v>
      </c>
      <c r="AO247" s="85" t="e">
        <f ca="1">IF(U247&lt;=Hypothèses!$V$7,Hypothèses!$W$7,IF(U247&lt;=Hypothèses!$V$8,Hypothèses!$W$8,IF(U247&lt;=Hypothèses!$V$9,Hypothèses!$W$9,IF(U247&lt;=Hypothèses!$V$10,Hypothèses!$W$10,IF(U247&lt;=Hypothèses!$V$11,Hypothèses!$W$11,IF(U247&lt;=Hypothèses!$V$12,Hypothèses!$W$12,IF(U247&lt;=Hypothèses!$V$13,Hypothèses!$W$13,IF(U247&lt;=Hypothèses!$V$14,Hypothèses!$W$14,IF(U247&lt;=Hypothèses!$V$15,Hypothèses!$W$15,IF(U247&lt;=Hypothèses!$V$16,Hypothèses!$W$16,IF(U247&lt;=Hypothèses!$V$17,Hypothèses!$W$17,IF(U247&lt;=Hypothèses!$V$18,Hypothèses!$W$18,""))))))))))))</f>
        <v>#DIV/0!</v>
      </c>
      <c r="AP247" s="87" t="e">
        <f t="shared" ca="1" si="417"/>
        <v>#DIV/0!</v>
      </c>
      <c r="AQ247" s="88" t="e">
        <f ca="1">IF(U247&lt;=Hypothèses!$V$7,Hypothèses!$X$7,IF(U247&lt;=Hypothèses!$V$8,Hypothèses!$X$8,IF(U247&lt;=Hypothèses!$V$9,Hypothèses!$X$9,IF(U247&lt;=Hypothèses!$V$10,Hypothèses!$X$10,IF(U247&lt;=Hypothèses!$V$11,Hypothèses!$X$11,IF(U247&lt;=Hypothèses!$V$12,Hypothèses!$X$12,IF(U247&lt;=Hypothèses!$V$13,Hypothèses!$X$13,IF(U247&lt;=Hypothèses!$V$14,Hypothèses!$X$14,IF(U247&lt;=Hypothèses!$V$15,Hypothèses!$X$15,IF(U247&lt;=Hypothèses!$V$16,Hypothèses!$X$16,IF(U247&lt;=Hypothèses!$U$17,Hypothèses!$W$17,IF(U247&lt;=Hypothèses!$U$18,Hypothèses!$W$18,""))))))))))))</f>
        <v>#DIV/0!</v>
      </c>
      <c r="AR247" s="95" t="e">
        <f t="shared" ca="1" si="372"/>
        <v>#DIV/0!</v>
      </c>
      <c r="AS247" s="101" t="e">
        <f t="shared" si="424"/>
        <v>#N/A</v>
      </c>
      <c r="AT247" s="91" t="e">
        <f t="shared" si="343"/>
        <v>#N/A</v>
      </c>
      <c r="AU247" s="30" t="e">
        <f t="shared" si="402"/>
        <v>#N/A</v>
      </c>
      <c r="AV247" s="30" t="e">
        <f t="shared" si="403"/>
        <v>#N/A</v>
      </c>
      <c r="AW247" s="31" t="e">
        <f>IF(OR(Hypothèses!$B$4=17,Hypothèses!$B$4=18,Hypothèses!$B$4=19,Hypothèses!$B$4=20),
IF($D247="Pressio.",
IF(OR($E247=3,$E247=1,$E247=4),AV247,AU247),
IF($D247="Pénétro.",
IF(OR($E247=3,$E247=1,$E247=4),AV247,AU247))),IF($D247="Pressio.",
IF($E247=3,AV247,AU247),
IF($D247="Pénétro.",
IF($E247=4,AV247,AU247))))</f>
        <v>#N/A</v>
      </c>
      <c r="AX247" s="31" t="e">
        <f>(IF(OR(Hypothèses!$B$4=17,Hypothèses!$B$4=18,Hypothèses!$B$4=19,Hypothèses!$B$4=20),
IF($D247="Pressio.",
IF(OR($E247=3,$E247=1,$E247=4),(PI()*AX$12^2)/4*(AT247*$W247*1000)/($H247*$B$5),(PI()*AX$12^2)/4*(AT247*$W247*1000)/($G247*$B$5)),
IF($D247="Pénétro.",
IF(OR($E247=4,$E247=1,$E247=5),(PI()*AX$12^2)/4*(AT247*$W247*1000)/($H247*$B$5),(PI()*AX$12^2)/4*(AT247*$W247*1000)/($G247*$B$5)))),
IF($D247="Pressio.",
IF($E247=3,(PI()*AX$12^2)/4*(AT247*$W247*1000)/($H247*$B$5),(PI()*AX$12^2)/4*(AT247*$W247*1000)/($G247*$B$5)),
IF($D247="Pénétro.",
IF($E247=4,(PI()*AX$12^2)/4*(AT247*$W247*1000)/($H247*$B$5),(PI()*AX$12^2)/4*(AT247*$W247*1000)/($G247*$B$5))))))/10</f>
        <v>#N/A</v>
      </c>
      <c r="AY247" s="102" t="e">
        <f>(VLOOKUP($B$3,'Coeff EC7'!$T$39:$X$59,2,0)*AW247+VLOOKUP($B$3,'Coeff EC7'!$T$65:$X$85,2,0)*Model0.1C!AX247)/1.1</f>
        <v>#N/A</v>
      </c>
      <c r="AZ247" s="102" t="e">
        <f>(VLOOKUP($B$3,'Coeff EC7'!$T$39:$X$59,3,0)*AW247+VLOOKUP($B$3,'Coeff EC7'!$T$65:$X$85,3,0)*Model0.1C!AX247)/0.9</f>
        <v>#N/A</v>
      </c>
      <c r="BA247" s="102" t="e">
        <f t="shared" si="373"/>
        <v>#N/A</v>
      </c>
      <c r="BB247" s="102" t="e">
        <f t="shared" si="374"/>
        <v>#N/A</v>
      </c>
      <c r="BC247" s="414" t="e">
        <f>IF(BC246=0,0,IF(AND(AY247&gt;charge_ELS_quasi,AZ247&gt;Charge_ELS_freq,BA247&gt;charge_ELU,BB247&gt;charge_ELA,$B247&gt;NDC!$H$22-0.1+MIN(3*$BC$12,1.5)),0,1))</f>
        <v>#N/A</v>
      </c>
      <c r="BD247" s="86" t="b">
        <f t="shared" si="344"/>
        <v>0</v>
      </c>
      <c r="BE247" s="86">
        <f t="shared" si="375"/>
        <v>0.5</v>
      </c>
      <c r="BF247" s="86">
        <f t="shared" si="345"/>
        <v>0.5</v>
      </c>
      <c r="BG247" s="30" t="e">
        <f t="shared" ca="1" si="376"/>
        <v>#DIV/0!</v>
      </c>
      <c r="BH247" s="85" t="e">
        <f ca="1">IF(AN247&lt;=Hypothèses!$V$7,Hypothèses!$W$7,IF(AN247&lt;=Hypothèses!$V$8,Hypothèses!$W$8,IF(AN247&lt;=Hypothèses!$V$9,Hypothèses!$W$9,IF(AN247&lt;=Hypothèses!$V$10,Hypothèses!$W$10,IF(AN247&lt;=Hypothèses!$V$11,Hypothèses!$W$11,IF(AN247&lt;=Hypothèses!$V$12,Hypothèses!$W$12,IF(AN247&lt;=Hypothèses!$V$13,Hypothèses!$W$13,IF(AN247&lt;=Hypothèses!$V$14,Hypothèses!$W$14,IF(AN247&lt;=Hypothèses!$V$15,Hypothèses!$W$15,IF(AN247&lt;=Hypothèses!$V$16,Hypothèses!$W$16,IF(AN247&lt;=Hypothèses!$V$17,Hypothèses!$W$17,IF(AN247&lt;=Hypothèses!$V$18,Hypothèses!$W$18,""))))))))))))</f>
        <v>#DIV/0!</v>
      </c>
      <c r="BI247" s="87" t="e">
        <f t="shared" ca="1" si="418"/>
        <v>#DIV/0!</v>
      </c>
      <c r="BJ247" s="88" t="e">
        <f ca="1">IF(AN247&lt;=Hypothèses!$V$7,Hypothèses!$X$7,IF(AN247&lt;=Hypothèses!$V$8,Hypothèses!$X$8,IF(AN247&lt;=Hypothèses!$V$9,Hypothèses!$X$9,IF(AN247&lt;=Hypothèses!$V$10,Hypothèses!$X$10,IF(AN247&lt;=Hypothèses!$V$11,Hypothèses!$X$11,IF(AN247&lt;=Hypothèses!$V$12,Hypothèses!$X$12,IF(AN247&lt;=Hypothèses!$V$13,Hypothèses!$X$13,IF(AN247&lt;=Hypothèses!$V$14,Hypothèses!$X$14,IF(AN247&lt;=Hypothèses!$V$15,Hypothèses!$X$15,IF(AN247&lt;=Hypothèses!$V$16,Hypothèses!$X$16,IF(AN247&lt;=Hypothèses!$U$17,Hypothèses!$W$17,IF(AN247&lt;=Hypothèses!$U$18,Hypothèses!$W$18,""))))))))))))</f>
        <v>#DIV/0!</v>
      </c>
      <c r="BK247" s="95" t="e">
        <f t="shared" ca="1" si="377"/>
        <v>#DIV/0!</v>
      </c>
      <c r="BL247" s="101" t="e">
        <f t="shared" si="425"/>
        <v>#N/A</v>
      </c>
      <c r="BM247" s="91" t="e">
        <f t="shared" si="346"/>
        <v>#N/A</v>
      </c>
      <c r="BN247" s="30" t="e">
        <f t="shared" si="404"/>
        <v>#N/A</v>
      </c>
      <c r="BO247" s="30" t="e">
        <f t="shared" si="405"/>
        <v>#N/A</v>
      </c>
      <c r="BP247" s="31" t="e">
        <f>IF(OR(Hypothèses!$B$4=17,Hypothèses!$B$4=18,Hypothèses!$B$4=19,Hypothèses!$B$4=20),
IF($D247="Pressio.",
IF(OR($E247=3,$E247=1,$E247=4),BO247,BN247),
IF($D247="Pénétro.",
IF(OR($E247=3,$E247=1,$E247=4),BO247,BN247))),IF($D247="Pressio.",
IF($E247=3,BO247,BN247),
IF($D247="Pénétro.",
IF($E247=4,BO247,BN247))))</f>
        <v>#N/A</v>
      </c>
      <c r="BQ247" s="31" t="e">
        <f>(IF(OR(Hypothèses!$B$4=17,Hypothèses!$B$4=18,Hypothèses!$B$4=19,Hypothèses!$B$4=20),
IF($D247="Pressio.",
IF(OR($E247=3,$E247=1,$E247=4),(PI()*BQ$12^2)/4*(BM247*$W247*1000)/($H247*$B$5),(PI()*BQ$12^2)/4*(BM247*$W247*1000)/($G247*$B$5)),
IF($D247="Pénétro.",
IF(OR($E247=4,$E247=1,$E247=5),(PI()*BQ$12^2)/4*(BM247*$W247*1000)/($H247*$B$5),(PI()*BQ$12^2)/4*(BM247*$W247*1000)/($G247*$B$5)))),
IF($D247="Pressio.",
IF($E247=3,(PI()*BQ$12^2)/4*(BM247*$W247*1000)/($H247*$B$5),(PI()*BQ$12^2)/4*(BM247*$W247*1000)/($G247*$B$5)),
IF($D247="Pénétro.",
IF($E247=4,(PI()*BQ$12^2)/4*(BM247*$W247*1000)/($H247*$B$5),(PI()*BQ$12^2)/4*(BM247*$W247*1000)/($G247*$B$5))))))/10</f>
        <v>#N/A</v>
      </c>
      <c r="BR247" s="102" t="e">
        <f>(VLOOKUP($B$3,'Coeff EC7'!$T$39:$X$59,2,0)*BP247+VLOOKUP($B$3,'Coeff EC7'!$T$65:$X$85,2,0)*Model0.1C!BQ247)/1.1</f>
        <v>#N/A</v>
      </c>
      <c r="BS247" s="102" t="e">
        <f>(VLOOKUP($B$3,'Coeff EC7'!$T$39:$X$59,3,0)*BP247+VLOOKUP($B$3,'Coeff EC7'!$T$65:$X$85,3,0)*Model0.1C!BQ247)/0.9</f>
        <v>#N/A</v>
      </c>
      <c r="BT247" s="102" t="e">
        <f t="shared" si="378"/>
        <v>#N/A</v>
      </c>
      <c r="BU247" s="102" t="e">
        <f t="shared" si="379"/>
        <v>#N/A</v>
      </c>
      <c r="BV247" s="414" t="e">
        <f>IF(BV246=0,0,IF(AND(BR247&gt;charge_ELS_quasi,BS247&gt;Charge_ELS_freq,BT247&gt;charge_ELU,BU247&gt;charge_ELA,$B247&gt;NDC!$H$22-0.1+MIN(3*$BV$12,1.5)),0,1))</f>
        <v>#N/A</v>
      </c>
      <c r="BW247" s="86" t="b">
        <f t="shared" si="347"/>
        <v>0</v>
      </c>
      <c r="BX247" s="86">
        <f t="shared" si="348"/>
        <v>0.5</v>
      </c>
      <c r="BY247" s="86">
        <f t="shared" si="349"/>
        <v>0.5</v>
      </c>
      <c r="BZ247" s="30" t="e">
        <f t="shared" ca="1" si="380"/>
        <v>#DIV/0!</v>
      </c>
      <c r="CA247" s="85" t="e">
        <f ca="1">IF(BG247&lt;=Hypothèses!$V$7,Hypothèses!$W$7,IF(BG247&lt;=Hypothèses!$V$8,Hypothèses!$W$8,IF(BG247&lt;=Hypothèses!$V$9,Hypothèses!$W$9,IF(BG247&lt;=Hypothèses!$V$10,Hypothèses!$W$10,IF(BG247&lt;=Hypothèses!$V$11,Hypothèses!$W$11,IF(BG247&lt;=Hypothèses!$V$12,Hypothèses!$W$12,IF(BG247&lt;=Hypothèses!$V$13,Hypothèses!$W$13,IF(BG247&lt;=Hypothèses!$V$14,Hypothèses!$W$14,IF(BG247&lt;=Hypothèses!$V$15,Hypothèses!$W$15,IF(BG247&lt;=Hypothèses!$V$16,Hypothèses!$W$16,IF(BG247&lt;=Hypothèses!$V$17,Hypothèses!$W$17,IF(BG247&lt;=Hypothèses!$V$18,Hypothèses!$W$18,""))))))))))))</f>
        <v>#DIV/0!</v>
      </c>
      <c r="CB247" s="87" t="e">
        <f t="shared" ca="1" si="419"/>
        <v>#DIV/0!</v>
      </c>
      <c r="CC247" s="88" t="e">
        <f ca="1">IF(BG247&lt;=Hypothèses!$V$7,Hypothèses!$X$7,IF(BG247&lt;=Hypothèses!$V$8,Hypothèses!$X$8,IF(BG247&lt;=Hypothèses!$V$9,Hypothèses!$X$9,IF(BG247&lt;=Hypothèses!$V$10,Hypothèses!$X$10,IF(BG247&lt;=Hypothèses!$V$11,Hypothèses!$X$11,IF(BG247&lt;=Hypothèses!$V$12,Hypothèses!$X$12,IF(BG247&lt;=Hypothèses!$V$13,Hypothèses!$X$13,IF(BG247&lt;=Hypothèses!$V$14,Hypothèses!$X$14,IF(BG247&lt;=Hypothèses!$V$15,Hypothèses!$X$15,IF(BG247&lt;=Hypothèses!$V$16,Hypothèses!$X$16,IF(BG247&lt;=Hypothèses!$U$17,Hypothèses!$W$17,IF(BG247&lt;=Hypothèses!$U$18,Hypothèses!$W$18,""))))))))))))</f>
        <v>#DIV/0!</v>
      </c>
      <c r="CD247" s="95" t="e">
        <f t="shared" ca="1" si="381"/>
        <v>#DIV/0!</v>
      </c>
      <c r="CE247" s="101" t="e">
        <f t="shared" si="426"/>
        <v>#N/A</v>
      </c>
      <c r="CF247" s="91" t="e">
        <f t="shared" si="350"/>
        <v>#N/A</v>
      </c>
      <c r="CG247" s="30" t="e">
        <f t="shared" si="406"/>
        <v>#N/A</v>
      </c>
      <c r="CH247" s="30" t="e">
        <f t="shared" si="407"/>
        <v>#N/A</v>
      </c>
      <c r="CI247" s="31" t="e">
        <f>IF(OR(Hypothèses!$B$4=17,Hypothèses!$B$4=18,Hypothèses!$B$4=19,Hypothèses!$B$4=20),
IF($D247="Pressio.",
IF(OR($E247=3,$E247=1,$E247=4),CH247,CG247),
IF($D247="Pénétro.",
IF(OR($E247=3,$E247=1,$E247=4),CH247,CG247))),IF($D247="Pressio.",
IF($E247=3,CH247,CG247),
IF($D247="Pénétro.",
IF($E247=4,CH247,CG247))))</f>
        <v>#N/A</v>
      </c>
      <c r="CJ247" s="31" t="e">
        <f>(IF(OR(Hypothèses!$B$4=17,Hypothèses!$B$4=18,Hypothèses!$B$4=19,Hypothèses!$B$4=20),
IF($D247="Pressio.",
IF(OR($E247=3,$E247=1,$E247=4),(PI()*CJ$12^2)/4*(CF247*$W247*1000)/($H247*$B$5),(PI()*CJ$12^2)/4*(CF247*$W247*1000)/($G247*$B$5)),
IF($D247="Pénétro.",
IF(OR($E247=4,$E247=1,$E247=5),(PI()*CJ$12^2)/4*(CF247*$W247*1000)/($H247*$B$5),(PI()*CJ$12^2)/4*(CF247*$W247*1000)/($G247*$B$5)))),
IF($D247="Pressio.",
IF($E247=3,(PI()*CJ$12^2)/4*(CF247*$W247*1000)/($H247*$B$5),(PI()*CJ$12^2)/4*(CF247*$W247*1000)/($G247*$B$5)),
IF($D247="Pénétro.",
IF($E247=4,(PI()*CJ$12^2)/4*(CF247*$W247*1000)/($H247*$B$5),(PI()*CJ$12^2)/4*(CF247*$W247*1000)/($G247*$B$5))))))/10</f>
        <v>#N/A</v>
      </c>
      <c r="CK247" s="102" t="e">
        <f>(VLOOKUP($B$3,'Coeff EC7'!$T$39:$X$59,2,0)*CI247+VLOOKUP($B$3,'Coeff EC7'!$T$65:$X$85,2,0)*Model0.1C!CJ247)/1.1</f>
        <v>#N/A</v>
      </c>
      <c r="CL247" s="102" t="e">
        <f>(VLOOKUP($B$3,'Coeff EC7'!$T$39:$X$59,3,0)*CI247+VLOOKUP($B$3,'Coeff EC7'!$T$65:$X$85,3,0)*Model0.1C!CJ247)/0.9</f>
        <v>#N/A</v>
      </c>
      <c r="CM247" s="102" t="e">
        <f t="shared" si="382"/>
        <v>#N/A</v>
      </c>
      <c r="CN247" s="102" t="e">
        <f t="shared" si="383"/>
        <v>#N/A</v>
      </c>
      <c r="CO247" s="414" t="e">
        <f>IF(CO246=0,0,IF(AND(CK247&gt;charge_ELS_quasi,CL247&gt;Charge_ELS_freq,CM247&gt;charge_ELU,CN247&gt;charge_ELA,$B247&gt;NDC!$H$22-0.1+MIN(3*$CO$12,1.5)),0,1))</f>
        <v>#N/A</v>
      </c>
      <c r="CP247" s="86" t="b">
        <f t="shared" si="351"/>
        <v>0</v>
      </c>
      <c r="CQ247" s="86">
        <f t="shared" si="352"/>
        <v>0.5</v>
      </c>
      <c r="CR247" s="86">
        <f t="shared" si="353"/>
        <v>0.5</v>
      </c>
      <c r="CS247" s="30" t="e">
        <f t="shared" ca="1" si="384"/>
        <v>#DIV/0!</v>
      </c>
      <c r="CT247" s="85" t="e">
        <f ca="1">IF(BZ247&lt;=Hypothèses!$V$7,Hypothèses!$W$7,IF(BZ247&lt;=Hypothèses!$V$8,Hypothèses!$W$8,IF(BZ247&lt;=Hypothèses!$V$9,Hypothèses!$W$9,IF(BZ247&lt;=Hypothèses!$V$10,Hypothèses!$W$10,IF(BZ247&lt;=Hypothèses!$V$11,Hypothèses!$W$11,IF(BZ247&lt;=Hypothèses!$V$12,Hypothèses!$W$12,IF(BZ247&lt;=Hypothèses!$V$13,Hypothèses!$W$13,IF(BZ247&lt;=Hypothèses!$V$14,Hypothèses!$W$14,IF(BZ247&lt;=Hypothèses!$V$15,Hypothèses!$W$15,IF(BZ247&lt;=Hypothèses!$V$16,Hypothèses!$W$16,IF(BZ247&lt;=Hypothèses!$V$17,Hypothèses!$W$17,IF(BZ247&lt;=Hypothèses!$V$18,Hypothèses!$W$18,""))))))))))))</f>
        <v>#DIV/0!</v>
      </c>
      <c r="CU247" s="87" t="e">
        <f t="shared" ca="1" si="420"/>
        <v>#DIV/0!</v>
      </c>
      <c r="CV247" s="88" t="e">
        <f ca="1">IF(BZ247&lt;=Hypothèses!$V$7,Hypothèses!$X$7,IF(BZ247&lt;=Hypothèses!$V$8,Hypothèses!$X$8,IF(BZ247&lt;=Hypothèses!$V$9,Hypothèses!$X$9,IF(BZ247&lt;=Hypothèses!$V$10,Hypothèses!$X$10,IF(BZ247&lt;=Hypothèses!$V$11,Hypothèses!$X$11,IF(BZ247&lt;=Hypothèses!$V$12,Hypothèses!$X$12,IF(BZ247&lt;=Hypothèses!$V$13,Hypothèses!$X$13,IF(BZ247&lt;=Hypothèses!$V$14,Hypothèses!$X$14,IF(BZ247&lt;=Hypothèses!$V$15,Hypothèses!$X$15,IF(BZ247&lt;=Hypothèses!$V$16,Hypothèses!$X$16,IF(BZ247&lt;=Hypothèses!$U$17,Hypothèses!$W$17,IF(BZ247&lt;=Hypothèses!$U$18,Hypothèses!$W$18,""))))))))))))</f>
        <v>#DIV/0!</v>
      </c>
      <c r="CW247" s="95" t="e">
        <f t="shared" ca="1" si="385"/>
        <v>#DIV/0!</v>
      </c>
      <c r="CX247" s="101" t="e">
        <f t="shared" si="427"/>
        <v>#N/A</v>
      </c>
      <c r="CY247" s="91" t="e">
        <f t="shared" si="354"/>
        <v>#N/A</v>
      </c>
      <c r="CZ247" s="30" t="e">
        <f t="shared" si="408"/>
        <v>#N/A</v>
      </c>
      <c r="DA247" s="30" t="e">
        <f t="shared" si="409"/>
        <v>#N/A</v>
      </c>
      <c r="DB247" s="31" t="e">
        <f>IF(OR(Hypothèses!$B$4=17,Hypothèses!$B$4=18,Hypothèses!$B$4=19,Hypothèses!$B$4=20),
IF($D247="Pressio.",
IF(OR($E247=3,$E247=1,$E247=4),DA247,CZ247),
IF($D247="Pénétro.",
IF(OR($E247=3,$E247=1,$E247=4),DA247,CZ247))),IF($D247="Pressio.",
IF($E247=3,DA247,CZ247),
IF($D247="Pénétro.",
IF($E247=4,DA247,CZ247))))</f>
        <v>#N/A</v>
      </c>
      <c r="DC247" s="31" t="e">
        <f>(IF(OR(Hypothèses!$B$4=17,Hypothèses!$B$4=18,Hypothèses!$B$4=19,Hypothèses!$B$4=20),
IF($D247="Pressio.",
IF(OR($E247=3,$E247=1,$E247=4),(PI()*DC$12^2)/4*(CY247*$W247*1000)/($H247*$B$5),(PI()*DC$12^2)/4*(CY247*$W247*1000)/($G247*$B$5)),
IF($D247="Pénétro.",
IF(OR($E247=4,$E247=1,$E247=5),(PI()*DC$12^2)/4*(CY247*$W247*1000)/($H247*$B$5),(PI()*DC$12^2)/4*(CY247*$W247*1000)/($G247*$B$5)))),
IF($D247="Pressio.",
IF($E247=3,(PI()*DC$12^2)/4*(CY247*$W247*1000)/($H247*$B$5),(PI()*DC$12^2)/4*(CY247*$W247*1000)/($G247*$B$5)),
IF($D247="Pénétro.",
IF($E247=4,(PI()*DC$12^2)/4*(CY247*$W247*1000)/($H247*$B$5),(PI()*DC$12^2)/4*(CY247*$W247*1000)/($G247*$B$5))))))/10</f>
        <v>#N/A</v>
      </c>
      <c r="DD247" s="102" t="e">
        <f>(VLOOKUP($B$3,'Coeff EC7'!$T$39:$X$59,2,0)*DB247+VLOOKUP($B$3,'Coeff EC7'!$T$65:$X$85,2,0)*Model0.1C!DC247)/1.1</f>
        <v>#N/A</v>
      </c>
      <c r="DE247" s="102" t="e">
        <f>(VLOOKUP($B$3,'Coeff EC7'!$T$39:$X$59,3,0)*DB247+VLOOKUP($B$3,'Coeff EC7'!$T$65:$X$85,3,0)*Model0.1C!DC247)/0.9</f>
        <v>#N/A</v>
      </c>
      <c r="DF247" s="102" t="e">
        <f t="shared" si="386"/>
        <v>#N/A</v>
      </c>
      <c r="DG247" s="102" t="e">
        <f t="shared" si="387"/>
        <v>#N/A</v>
      </c>
      <c r="DH247" s="414" t="e">
        <f>IF(DH246=0,0,IF(AND(DD247&gt;charge_ELS_quasi,DE247&gt;Charge_ELS_freq,DF247&gt;charge_ELU,DG247&gt;charge_ELA,$B247&gt;NDC!$H$22-0.1+MIN(3*$DH$12,1.5)),0,1))</f>
        <v>#N/A</v>
      </c>
      <c r="DI247" s="86" t="b">
        <f t="shared" si="355"/>
        <v>0</v>
      </c>
      <c r="DJ247" s="86">
        <f t="shared" si="356"/>
        <v>0.5</v>
      </c>
      <c r="DK247" s="86">
        <f t="shared" si="357"/>
        <v>0.5</v>
      </c>
      <c r="DL247" s="30" t="e">
        <f t="shared" ca="1" si="388"/>
        <v>#DIV/0!</v>
      </c>
      <c r="DM247" s="85" t="e">
        <f ca="1">IF(CS247&lt;=Hypothèses!$V$7,Hypothèses!$W$7,IF(CS247&lt;=Hypothèses!$V$8,Hypothèses!$W$8,IF(CS247&lt;=Hypothèses!$V$9,Hypothèses!$W$9,IF(CS247&lt;=Hypothèses!$V$10,Hypothèses!$W$10,IF(CS247&lt;=Hypothèses!$V$11,Hypothèses!$W$11,IF(CS247&lt;=Hypothèses!$V$12,Hypothèses!$W$12,IF(CS247&lt;=Hypothèses!$V$13,Hypothèses!$W$13,IF(CS247&lt;=Hypothèses!$V$14,Hypothèses!$W$14,IF(CS247&lt;=Hypothèses!$V$15,Hypothèses!$W$15,IF(CS247&lt;=Hypothèses!$V$16,Hypothèses!$W$16,IF(CS247&lt;=Hypothèses!$V$17,Hypothèses!$W$17,IF(CS247&lt;=Hypothèses!$V$18,Hypothèses!$W$18,""))))))))))))</f>
        <v>#DIV/0!</v>
      </c>
      <c r="DN247" s="87" t="e">
        <f t="shared" ca="1" si="421"/>
        <v>#DIV/0!</v>
      </c>
      <c r="DO247" s="88" t="e">
        <f ca="1">IF(CS247&lt;=Hypothèses!$V$7,Hypothèses!$X$7,IF(CS247&lt;=Hypothèses!$V$8,Hypothèses!$X$8,IF(CS247&lt;=Hypothèses!$V$9,Hypothèses!$X$9,IF(CS247&lt;=Hypothèses!$V$10,Hypothèses!$X$10,IF(CS247&lt;=Hypothèses!$V$11,Hypothèses!$X$11,IF(CS247&lt;=Hypothèses!$V$12,Hypothèses!$X$12,IF(CS247&lt;=Hypothèses!$V$13,Hypothèses!$X$13,IF(CS247&lt;=Hypothèses!$V$14,Hypothèses!$X$14,IF(CS247&lt;=Hypothèses!$V$15,Hypothèses!$X$15,IF(CS247&lt;=Hypothèses!$V$16,Hypothèses!$X$16,IF(CS247&lt;=Hypothèses!$U$17,Hypothèses!$W$17,IF(CS247&lt;=Hypothèses!$U$18,Hypothèses!$W$18,""))))))))))))</f>
        <v>#DIV/0!</v>
      </c>
      <c r="DP247" s="95" t="e">
        <f t="shared" ca="1" si="389"/>
        <v>#DIV/0!</v>
      </c>
      <c r="DQ247" s="101" t="e">
        <f t="shared" si="428"/>
        <v>#N/A</v>
      </c>
      <c r="DR247" s="91" t="e">
        <f t="shared" si="358"/>
        <v>#N/A</v>
      </c>
      <c r="DS247" s="30" t="e">
        <f t="shared" si="410"/>
        <v>#N/A</v>
      </c>
      <c r="DT247" s="30" t="e">
        <f t="shared" si="411"/>
        <v>#N/A</v>
      </c>
      <c r="DU247" s="31" t="e">
        <f>IF(OR(Hypothèses!$B$4=17,Hypothèses!$B$4=18,Hypothèses!$B$4=19,Hypothèses!$B$4=20),
IF($D247="Pressio.",
IF(OR($E247=3,$E247=1,$E247=4),DT247,DS247),
IF($D247="Pénétro.",
IF(OR($E247=3,$E247=1,$E247=4),DT247,DS247))),IF($D247="Pressio.",
IF($E247=3,DT247,DS247),
IF($D247="Pénétro.",
IF($E247=4,DT247,DS247))))</f>
        <v>#N/A</v>
      </c>
      <c r="DV247" s="31" t="e">
        <f>(IF(OR(Hypothèses!$B$4=17,Hypothèses!$B$4=18,Hypothèses!$B$4=19,Hypothèses!$B$4=20),
IF($D247="Pressio.",
IF(OR($E247=3,$E247=1,$E247=4),(PI()*DV$12^2)/4*(DR247*$W247*1000)/($H247*$B$5),(PI()*DV$12^2)/4*(DR247*$W247*1000)/($G247*$B$5)),
IF($D247="Pénétro.",
IF(OR($E247=4,$E247=1,$E247=5),(PI()*DV$12^2)/4*(DR247*$W247*1000)/($H247*$B$5),(PI()*DV$12^2)/4*(DR247*$W247*1000)/($G247*$B$5)))),
IF($D247="Pressio.",
IF($E247=3,(PI()*DV$12^2)/4*(DR247*$W247*1000)/($H247*$B$5),(PI()*DV$12^2)/4*(DR247*$W247*1000)/($G247*$B$5)),
IF($D247="Pénétro.",
IF($E247=4,(PI()*DV$12^2)/4*(DR247*$W247*1000)/($H247*$B$5),(PI()*DV$12^2)/4*(DR247*$W247*1000)/($G247*$B$5))))))/10</f>
        <v>#N/A</v>
      </c>
      <c r="DW247" s="102" t="e">
        <f>(VLOOKUP($B$3,'Coeff EC7'!$T$39:$X$59,2,0)*DU247+VLOOKUP($B$3,'Coeff EC7'!$T$65:$X$85,2,0)*Model0.1C!DV247)/1.1</f>
        <v>#N/A</v>
      </c>
      <c r="DX247" s="102" t="e">
        <f>(VLOOKUP($B$3,'Coeff EC7'!$T$39:$X$59,3,0)*DU247+VLOOKUP($B$3,'Coeff EC7'!$T$65:$X$85,3,0)*Model0.1C!DV247)/0.9</f>
        <v>#N/A</v>
      </c>
      <c r="DY247" s="102" t="e">
        <f t="shared" si="390"/>
        <v>#N/A</v>
      </c>
      <c r="DZ247" s="102" t="e">
        <f t="shared" si="391"/>
        <v>#N/A</v>
      </c>
      <c r="EA247" s="414" t="e">
        <f>IF(EA246=0,0,IF(AND(DW247&gt;charge_ELS_quasi,DX247&gt;Charge_ELS_freq,DY247&gt;charge_ELU,DZ247&gt;charge_ELA,$B247&gt;NDC!$H$22-0.1+MIN(3*$EA$12,1.5)),0,1))</f>
        <v>#N/A</v>
      </c>
      <c r="EB247" s="86" t="b">
        <f t="shared" si="359"/>
        <v>0</v>
      </c>
      <c r="EC247" s="418">
        <f t="shared" si="360"/>
        <v>0.51</v>
      </c>
      <c r="ED247" s="86">
        <f t="shared" si="361"/>
        <v>0.51</v>
      </c>
      <c r="EE247" s="30" t="e">
        <f t="shared" ca="1" si="392"/>
        <v>#DIV/0!</v>
      </c>
      <c r="EF247" s="85" t="e">
        <f ca="1">IF(DL247&lt;=Hypothèses!$V$7,Hypothèses!$W$7,IF(DL247&lt;=Hypothèses!$V$8,Hypothèses!$W$8,IF(DL247&lt;=Hypothèses!$V$9,Hypothèses!$W$9,IF(DL247&lt;=Hypothèses!$V$10,Hypothèses!$W$10,IF(DL247&lt;=Hypothèses!$V$11,Hypothèses!$W$11,IF(DL247&lt;=Hypothèses!$V$12,Hypothèses!$W$12,IF(DL247&lt;=Hypothèses!$V$13,Hypothèses!$W$13,IF(DL247&lt;=Hypothèses!$V$14,Hypothèses!$W$14,IF(DL247&lt;=Hypothèses!$V$15,Hypothèses!$W$15,IF(DL247&lt;=Hypothèses!$V$16,Hypothèses!$W$16,IF(DL247&lt;=Hypothèses!$V$17,Hypothèses!$W$17,IF(DL247&lt;=Hypothèses!$V$18,Hypothèses!$W$18,""))))))))))))</f>
        <v>#DIV/0!</v>
      </c>
      <c r="EG247" s="87" t="e">
        <f t="shared" ca="1" si="422"/>
        <v>#DIV/0!</v>
      </c>
      <c r="EH247" s="88" t="e">
        <f ca="1">IF(DL247&lt;=Hypothèses!$V$7,Hypothèses!$X$7,IF(DL247&lt;=Hypothèses!$V$8,Hypothèses!$X$8,IF(DL247&lt;=Hypothèses!$V$9,Hypothèses!$X$9,IF(DL247&lt;=Hypothèses!$V$10,Hypothèses!$X$10,IF(DL247&lt;=Hypothèses!$V$11,Hypothèses!$X$11,IF(DL247&lt;=Hypothèses!$V$12,Hypothèses!$X$12,IF(DL247&lt;=Hypothèses!$V$13,Hypothèses!$X$13,IF(DL247&lt;=Hypothèses!$V$14,Hypothèses!$X$14,IF(DL247&lt;=Hypothèses!$V$15,Hypothèses!$X$15,IF(DL247&lt;=Hypothèses!$V$16,Hypothèses!$X$16,IF(DL247&lt;=Hypothèses!$U$17,Hypothèses!$W$17,IF(DL247&lt;=Hypothèses!$U$18,Hypothèses!$W$18,""))))))))))))</f>
        <v>#DIV/0!</v>
      </c>
      <c r="EI247" s="95" t="e">
        <f t="shared" ca="1" si="393"/>
        <v>#DIV/0!</v>
      </c>
      <c r="EJ247" s="101" t="e">
        <f t="shared" si="429"/>
        <v>#N/A</v>
      </c>
      <c r="EK247" s="91" t="e">
        <f t="shared" si="362"/>
        <v>#N/A</v>
      </c>
      <c r="EL247" s="30" t="e">
        <f t="shared" si="412"/>
        <v>#N/A</v>
      </c>
      <c r="EM247" s="30" t="e">
        <f t="shared" si="413"/>
        <v>#N/A</v>
      </c>
      <c r="EN247" s="31" t="e">
        <f>IF(OR(Hypothèses!$B$4=17,Hypothèses!$B$4=18,Hypothèses!$B$4=19,Hypothèses!$B$4=20),
IF($D247="Pressio.",
IF(OR($E247=3,$E247=1,$E247=4),EM247,EL247),
IF($D247="Pénétro.",
IF(OR($E247=3,$E247=1,$E247=4),EM247,EL247))),IF($D247="Pressio.",
IF($E247=3,EM247,EL247),
IF($D247="Pénétro.",
IF($E247=4,EM247,EL247))))</f>
        <v>#N/A</v>
      </c>
      <c r="EO247" s="31" t="e">
        <f>(IF(OR(Hypothèses!$B$4=17,Hypothèses!$B$4=18,Hypothèses!$B$4=19,Hypothèses!$B$4=20),
IF($D247="Pressio.",
IF(OR($E247=3,$E247=1,$E247=4),(PI()*EO$12^2)/4*(EK247*$W247*1000)/($H247*$B$5),(PI()*EO$12^2)/4*(EK247*$W247*1000)/($G247*$B$5)),
IF($D247="Pénétro.",
IF(OR($E247=4,$E247=1,$E247=5),(PI()*EO$12^2)/4*(EK247*$W247*1000)/($H247*$B$5),(PI()*EO$12^2)/4*(EK247*$W247*1000)/($G247*$B$5)))),
IF($D247="Pressio.",
IF($E247=3,(PI()*EO$12^2)/4*(EK247*$W247*1000)/($H247*$B$5),(PI()*EO$12^2)/4*(EK247*$W247*1000)/($G247*$B$5)),
IF($D247="Pénétro.",
IF($E247=4,(PI()*EO$12^2)/4*(EK247*$W247*1000)/($H247*$B$5),(PI()*EO$12^2)/4*(EK247*$W247*1000)/($G247*$B$5))))))/10</f>
        <v>#N/A</v>
      </c>
      <c r="EP247" s="102" t="e">
        <f>(VLOOKUP($B$3,'Coeff EC7'!$T$39:$X$59,2,0)*EN247+VLOOKUP($B$3,'Coeff EC7'!$T$65:$X$85,2,0)*Model0.1C!EO247)/1.1</f>
        <v>#N/A</v>
      </c>
      <c r="EQ247" s="102" t="e">
        <f>(VLOOKUP($B$3,'Coeff EC7'!$T$39:$X$59,3,0)*EN247+VLOOKUP($B$3,'Coeff EC7'!$T$65:$X$85,3,0)*Model0.1C!EO247)/0.9</f>
        <v>#N/A</v>
      </c>
      <c r="ER247" s="102" t="e">
        <f t="shared" si="394"/>
        <v>#N/A</v>
      </c>
      <c r="ES247" s="102" t="e">
        <f t="shared" si="395"/>
        <v>#N/A</v>
      </c>
      <c r="ET247" s="414" t="e">
        <f>IF(ET246=0,0,IF(AND(EP247&gt;charge_ELS_quasi,EQ247&gt;Charge_ELS_freq,ER247&gt;charge_ELU,ES247&gt;charge_ELA,$B247&gt;NDC!$H$22-0.1+MIN(3*$ET$12,1.5)),0,1))</f>
        <v>#N/A</v>
      </c>
      <c r="EU247" s="86" t="b">
        <f t="shared" si="363"/>
        <v>0</v>
      </c>
      <c r="EV247" s="86">
        <f t="shared" si="364"/>
        <v>0.61</v>
      </c>
      <c r="EW247" s="86">
        <f t="shared" si="365"/>
        <v>0.61</v>
      </c>
      <c r="EX247" s="30" t="e">
        <f t="shared" ca="1" si="396"/>
        <v>#DIV/0!</v>
      </c>
      <c r="EY247" s="85" t="e">
        <f ca="1">IF(EE247&lt;=Hypothèses!$V$7,Hypothèses!$W$7,IF(EE247&lt;=Hypothèses!$V$8,Hypothèses!$W$8,IF(EE247&lt;=Hypothèses!$V$9,Hypothèses!$W$9,IF(EE247&lt;=Hypothèses!$V$10,Hypothèses!$W$10,IF(EE247&lt;=Hypothèses!$V$11,Hypothèses!$W$11,IF(EE247&lt;=Hypothèses!$V$12,Hypothèses!$W$12,IF(EE247&lt;=Hypothèses!$V$13,Hypothèses!$W$13,IF(EE247&lt;=Hypothèses!$V$14,Hypothèses!$W$14,IF(EE247&lt;=Hypothèses!$V$15,Hypothèses!$W$15,IF(EE247&lt;=Hypothèses!$V$16,Hypothèses!$W$16,IF(EE247&lt;=Hypothèses!$V$17,Hypothèses!$W$17,IF(EE247&lt;=Hypothèses!$V$18,Hypothèses!$W$18,""))))))))))))</f>
        <v>#DIV/0!</v>
      </c>
      <c r="EZ247" s="87" t="e">
        <f t="shared" ca="1" si="423"/>
        <v>#DIV/0!</v>
      </c>
      <c r="FA247" s="88" t="e">
        <f ca="1">IF(EE247&lt;=Hypothèses!$V$7,Hypothèses!$X$7,IF(EE247&lt;=Hypothèses!$V$8,Hypothèses!$X$8,IF(EE247&lt;=Hypothèses!$V$9,Hypothèses!$X$9,IF(EE247&lt;=Hypothèses!$V$10,Hypothèses!$X$10,IF(EE247&lt;=Hypothèses!$V$11,Hypothèses!$X$11,IF(EE247&lt;=Hypothèses!$V$12,Hypothèses!$X$12,IF(EE247&lt;=Hypothèses!$V$13,Hypothèses!$X$13,IF(EE247&lt;=Hypothèses!$V$14,Hypothèses!$X$14,IF(EE247&lt;=Hypothèses!$V$15,Hypothèses!$X$15,IF(EE247&lt;=Hypothèses!$V$16,Hypothèses!$X$16,IF(EE247&lt;=Hypothèses!$U$17,Hypothèses!$W$17,IF(EE247&lt;=Hypothèses!$U$18,Hypothèses!$W$18,""))))))))))))</f>
        <v>#DIV/0!</v>
      </c>
      <c r="FB247" s="95" t="e">
        <f t="shared" ca="1" si="397"/>
        <v>#DIV/0!</v>
      </c>
      <c r="FC247" s="101" t="e">
        <f t="shared" si="430"/>
        <v>#N/A</v>
      </c>
      <c r="FD247" s="91" t="e">
        <f t="shared" si="366"/>
        <v>#N/A</v>
      </c>
      <c r="FE247" s="30" t="e">
        <f t="shared" si="414"/>
        <v>#N/A</v>
      </c>
      <c r="FF247" s="30" t="e">
        <f t="shared" si="415"/>
        <v>#N/A</v>
      </c>
      <c r="FG247" s="31" t="e">
        <f>IF(OR(Hypothèses!$B$4=17,Hypothèses!$B$4=18,Hypothèses!$B$4=19,Hypothèses!$B$4=20),
IF($D247="Pressio.",
IF(OR($E247=3,$E247=1,$E247=4),FF247,FE247),
IF($D247="Pénétro.",
IF(OR($E247=3,$E247=1,$E247=4),FF247,FE247))),IF($D247="Pressio.",
IF($E247=3,FF247,FE247),
IF($D247="Pénétro.",
IF($E247=4,FF247,FE247))))</f>
        <v>#N/A</v>
      </c>
      <c r="FH247" s="31" t="e">
        <f>(IF(OR(Hypothèses!$B$4=17,Hypothèses!$B$4=18,Hypothèses!$B$4=19,Hypothèses!$B$4=20),
IF($D247="Pressio.",
IF(OR($E247=3,$E247=1,$E247=4),(PI()*FH$12^2)/4*(FD247*$W247*1000)/($H247*$B$5),(PI()*FH$12^2)/4*(FD247*$W247*1000)/($G247*$B$5)),
IF($D247="Pénétro.",
IF(OR($E247=4,$E247=1,$E247=5),(PI()*FH$12^2)/4*(FD247*$W247*1000)/($H247*$B$5),(PI()*FH$12^2)/4*(FD247*$W247*1000)/($G247*$B$5)))),
IF($D247="Pressio.",
IF($E247=3,(PI()*FH$12^2)/4*(FD247*$W247*1000)/($H247*$B$5),(PI()*FH$12^2)/4*(FD247*$W247*1000)/($G247*$B$5)),
IF($D247="Pénétro.",
IF($E247=4,(PI()*FH$12^2)/4*(FD247*$W247*1000)/($H247*$B$5),(PI()*FH$12^2)/4*(FD247*$W247*1000)/($G247*$B$5))))))/10</f>
        <v>#N/A</v>
      </c>
      <c r="FI247" s="102" t="e">
        <f>(VLOOKUP($B$3,'Coeff EC7'!$T$39:$X$59,2,0)*FG247+VLOOKUP($B$3,'Coeff EC7'!$T$65:$X$85,2,0)*Model0.1C!FH247)/1.1</f>
        <v>#N/A</v>
      </c>
      <c r="FJ247" s="102" t="e">
        <f>(VLOOKUP($B$3,'Coeff EC7'!$T$39:$X$59,3,0)*FG247+VLOOKUP($B$3,'Coeff EC7'!$T$65:$X$85,3,0)*Model0.1C!FH247)/0.9</f>
        <v>#N/A</v>
      </c>
      <c r="FK247" s="102" t="e">
        <f t="shared" si="398"/>
        <v>#N/A</v>
      </c>
      <c r="FL247" s="102" t="e">
        <f t="shared" si="399"/>
        <v>#N/A</v>
      </c>
      <c r="FM247" s="414" t="e">
        <f>IF(FM246=0,0,IF(AND(FI247&gt;charge_ELS_quasi,FJ247&gt;Charge_ELS_freq,FK247&gt;charge_ELU,FL247&gt;charge_ELA,$B247&gt;NDC!$H$22-0.1+MIN(3*$FM$12,1.5)),0,1))</f>
        <v>#N/A</v>
      </c>
    </row>
    <row r="248" spans="1:169">
      <c r="A248" s="96">
        <f t="shared" si="367"/>
        <v>76.500000000001336</v>
      </c>
      <c r="B248" s="97">
        <v>23.5</v>
      </c>
      <c r="C248" s="81">
        <f>IF(B248&lt;=Hypothèses!$C$7,Hypothèses!$A$7,IF(B248&lt;=Hypothèses!$C$8,Hypothèses!$A$8,IF(B248&lt;=Hypothèses!$C$9,Hypothèses!$A$9,IF(B248&lt;=Hypothèses!$C$10,Hypothèses!$A$10,IF(B248&lt;=Hypothèses!$C$11,Hypothèses!$A$11,IF(B248&lt;=Hypothèses!$C$12,Hypothèses!$A$12,IF(B248&lt;=Hypothèses!$C$13,Hypothèses!$A$13,IF(B248&lt;=Hypothèses!$C$14,Hypothèses!$A$14,IF(B248&lt;=Hypothèses!$C$15,Hypothèses!$A$15,IF(B248&lt;=Hypothèses!$C$16,Hypothèses!$A$16,IF(B248&lt;=Hypothèses!$C$17,Hypothèses!$A$17,IF(B248&lt;=Hypothèses!$C$18,Hypothèses!$A$18,C247))))))))))))</f>
        <v>11</v>
      </c>
      <c r="D248" s="82" t="str">
        <f>IF(B248&lt;=Hypothèses!$C$7,Hypothèses!$R$7,IF(B248&lt;=Hypothèses!$C$8,Hypothèses!$R$8,IF(B248&lt;=Hypothèses!$C$9,Hypothèses!$R$9,IF(B248&lt;=Hypothèses!$C$10,Hypothèses!$R$10,IF(B248&lt;=Hypothèses!$C$11,Hypothèses!$R$11,IF(B248&lt;=Hypothèses!$C$12,Hypothèses!$R$12,IF(B248&lt;=Hypothèses!$C$13,Hypothèses!$R$13,IF(B248&lt;=Hypothèses!$C$14,Hypothèses!$R$14,IF(B248&lt;=Hypothèses!$C$15,Hypothèses!$R$15,IF(B248&lt;=Hypothèses!$C$16,Hypothèses!$R$16,IF(B248&lt;=Hypothèses!$C$17,Hypothèses!$R$17,IF(B248&lt;=Hypothèses!$C$18,Hypothèses!$R$18,D247))))))))))))</f>
        <v>Pressio.</v>
      </c>
      <c r="E248" s="82" t="e">
        <f>IF(B248&lt;=Hypothèses!$C$7,Hypothèses!$G$7,IF(B248&lt;=Hypothèses!$C$8,Hypothèses!$G$8,IF(B248&lt;=Hypothèses!$C$9,Hypothèses!$G$9,IF(B248&lt;=Hypothèses!$C$10,Hypothèses!$G$10,IF(B248&lt;=Hypothèses!$C$11,Hypothèses!$G$11,IF(B248&lt;=Hypothèses!$C$12,Hypothèses!$G$12,IF(B248&lt;=Hypothèses!$C$13,Hypothèses!$G$13,IF(B248&lt;=Hypothèses!$C$14,Hypothèses!$G$14,IF(B248&lt;=Hypothèses!$C$15,Hypothèses!$G$15,IF(B248&lt;=Hypothèses!$C$16,Hypothèses!$G$16,IF(B248&lt;=Hypothèses!$C$17,Hypothèses!$G$17,IF(B248&lt;=Hypothèses!$C$18,Hypothèses!$G$18,E247))))))))))))</f>
        <v>#N/A</v>
      </c>
      <c r="F248" s="82" t="str">
        <f>IF(B248&lt;=Hypothèses!$C$7,Hypothèses!$F$7,IF(B248&lt;=Hypothèses!$C$8,Hypothèses!$F$8,IF(B248&lt;=Hypothèses!$C$9,Hypothèses!$F$9,IF(B248&lt;=Hypothèses!$C$10,Hypothèses!$F$10,IF(B248&lt;=Hypothèses!$C$11,Hypothèses!$F$11,IF(B248&lt;=Hypothèses!$C$12,Hypothèses!$F$12,IF(B248&lt;=Hypothèses!$C$13,Hypothèses!$F$13,IF(B248&lt;=Hypothèses!$C$14,Hypothèses!$F$14,IF(B248&lt;=Hypothèses!$C$15,Hypothèses!$F$15,IF(B248&lt;=Hypothèses!$C$16,Hypothèses!$F$16,IF(B248&lt;=Hypothèses!$C$17,Hypothèses!$F$17,IF(B248&lt;=Hypothèses!$C$18,Hypothèses!$F$18,F247))))))))))))</f>
        <v/>
      </c>
      <c r="G248" s="91">
        <f t="array" ref="G248">INDEX('Coeff EC7'!$U$7:$X$27,
MATCH(Model0.1C!$B$3,'Coeff EC7'!$T$7:$T$27,0),
MATCH(Model0.1C!$D248&amp;Model0.1C!$B$4,
'Coeff EC7'!$U$6:$X$6&amp;
'Coeff EC7'!$U$5:$X$5,0))</f>
        <v>1.1499999999999999</v>
      </c>
      <c r="H248" s="91">
        <f t="array" ref="H248">INDEX('Coeff EC7'!$Y$7:$AB$27,
MATCH(Model0.1C!$B$3,'Coeff EC7'!$T$7:$T$27,0),
MATCH(Model0.1C!$D248&amp;Model0.1C!$B$4,
'Coeff EC7'!$Y$6:$AB$6&amp;
'Coeff EC7'!$Y$5:$AB$5,0))</f>
        <v>1.4</v>
      </c>
      <c r="I248" s="83" t="e">
        <f>IF(B248&lt;=Hypothèses!$C$7,Hypothèses!$P$7,IF(B248&lt;=Hypothèses!$C$8,Hypothèses!$P$8,IF(B248&lt;=Hypothèses!$C$9,Hypothèses!$P$9,IF(B248&lt;=Hypothèses!$C$10,Hypothèses!$P$10,IF(B248&lt;=Hypothèses!$C$11,Hypothèses!$P$11,IF(B248&lt;=Hypothèses!$C$12,Hypothèses!$P$12,IF(B248&lt;=Hypothèses!$C$13,Hypothèses!$P$13,IF(B248&lt;=Hypothèses!$C$14,Hypothèses!$P$14,IF(B248&lt;=Hypothèses!$C$15,Hypothèses!$P$15,IF(B248&lt;=Hypothèses!$C$16,Hypothèses!$P$16,IF(B248&lt;=Hypothèses!$C$17,Hypothèses!$P$17,IF(B248&lt;=Hypothèses!$C$18,Hypothèses!$P$18,I247))))))))))))</f>
        <v>#N/A</v>
      </c>
      <c r="J248" s="91" t="e">
        <f t="array" ref="J248">INDEX('Coeff EC7'!$D$33:$Q$33,1,MATCH(D248&amp;E248,'Coeff EC7'!$D$31:$Q$31&amp;'Coeff EC7'!$D$32:$Q$32,0))</f>
        <v>#N/A</v>
      </c>
      <c r="K248" s="91" t="e">
        <f t="array" ref="K248">INDEX('Coeff EC7'!$D$34:$Q$34,1,MATCH(D248&amp;E248,'Coeff EC7'!$D$31:$Q$31&amp;'Coeff EC7'!$D$32:$Q$32,0))</f>
        <v>#N/A</v>
      </c>
      <c r="L248" s="91" t="e">
        <f t="array" ref="L248">INDEX('Coeff EC7'!$D$35:$Q$35,1,MATCH(D248&amp;E248,'Coeff EC7'!$D$31:$Q$31&amp;'Coeff EC7'!$D$32:$Q$32,0))</f>
        <v>#N/A</v>
      </c>
      <c r="M248" s="98" t="e">
        <f t="shared" si="331"/>
        <v>#N/A</v>
      </c>
      <c r="N248" s="99" t="e">
        <f t="array" ref="N248">INDEX('Coeff EC7'!$D$7:$Q$27,MATCH($B$3,'Coeff EC7'!$C$7:$C$27,0),MATCH(D248&amp;E248,'Coeff EC7'!$D$5:$Q$5&amp;'Coeff EC7'!$D$6:$Q$6,0))</f>
        <v>#N/A</v>
      </c>
      <c r="O248" s="99" t="e">
        <f t="array" ref="O248">INDEX('Coeff EC7'!$D$41:$Q$61,MATCH($B$3,'Coeff EC7'!$C$41:$C$61,0),MATCH(D248&amp;E248,'Coeff EC7'!$D$39:$Q$39&amp;'Coeff EC7'!$D$40:$Q$40,0))</f>
        <v>#N/A</v>
      </c>
      <c r="P248" s="30" t="e">
        <f t="shared" si="368"/>
        <v>#N/A</v>
      </c>
      <c r="Q248" s="100" t="e">
        <f t="shared" si="333"/>
        <v>#N/A</v>
      </c>
      <c r="R248" s="86" t="b">
        <f t="shared" si="334"/>
        <v>0</v>
      </c>
      <c r="S248" s="86">
        <f t="shared" si="332"/>
        <v>0.5</v>
      </c>
      <c r="T248" s="86">
        <f t="shared" si="335"/>
        <v>0.5</v>
      </c>
      <c r="U248" s="30" t="e">
        <f t="shared" ca="1" si="369"/>
        <v>#DIV/0!</v>
      </c>
      <c r="V248" s="85" t="str">
        <f>IF(B248&lt;=Hypothèses!$V$7,Hypothèses!$W$7,IF(B248&lt;=Hypothèses!$V$8,Hypothèses!$W$8,IF(B248&lt;=Hypothèses!$V$9,Hypothèses!$W$9,IF(B248&lt;=Hypothèses!$V$10,Hypothèses!$W$10,IF(B248&lt;=Hypothèses!$V$11,Hypothèses!$W$11,IF(B248&lt;=Hypothèses!$V$12,Hypothèses!$W$12,IF(B248&lt;=Hypothèses!$V$13,Hypothèses!$W$13,IF(B248&lt;=Hypothèses!$V$14,Hypothèses!$W$14,IF(B248&lt;=Hypothèses!$V$15,Hypothèses!$W$15,IF(B248&lt;=Hypothèses!$V$16,Hypothèses!$W$16,IF(B248&lt;=Hypothèses!$V$17,Hypothèses!$W$17,IF(B248&lt;=Hypothèses!$V$18,Hypothèses!$W$18,""))))))))))))</f>
        <v/>
      </c>
      <c r="W248" s="87" t="e">
        <f t="shared" ca="1" si="416"/>
        <v>#DIV/0!</v>
      </c>
      <c r="X248" s="88" t="str">
        <f>IF(B248&lt;=Hypothèses!$V$7,Hypothèses!$X$7,IF(B248&lt;=Hypothèses!$V$8,Hypothèses!$X$8,IF(B248&lt;=Hypothèses!$V$9,Hypothèses!$X$9,IF(B248&lt;=Hypothèses!$V$10,Hypothèses!$X$10,IF(B248&lt;=Hypothèses!$V$11,Hypothèses!$X$11,IF(B248&lt;=Hypothèses!$V$12,Hypothèses!$X$12,IF(B248&lt;=Hypothèses!$V$13,Hypothèses!$X$13,IF(B248&lt;=Hypothèses!$V$14,Hypothèses!$X$14,IF(B248&lt;=Hypothèses!$V$15,Hypothèses!$X$15,IF(B248&lt;=Hypothèses!$V$16,Hypothèses!$X$16,IF(B248&lt;=Hypothèses!$U$17,Hypothèses!$W$17,IF(B248&lt;=Hypothèses!$U$18,Hypothèses!$W$18,""))))))))))))</f>
        <v/>
      </c>
      <c r="Y248" s="95" t="e">
        <f t="shared" ca="1" si="336"/>
        <v>#DIV/0!</v>
      </c>
      <c r="Z248" s="101" t="e">
        <f t="shared" si="337"/>
        <v>#N/A</v>
      </c>
      <c r="AA248" s="91" t="e">
        <f t="shared" si="338"/>
        <v>#N/A</v>
      </c>
      <c r="AB248" s="30" t="e">
        <f t="shared" si="400"/>
        <v>#N/A</v>
      </c>
      <c r="AC248" s="30" t="e">
        <f t="shared" si="401"/>
        <v>#N/A</v>
      </c>
      <c r="AD248" s="31" t="e">
        <f>IF(OR(Hypothèses!$B$4=17,Hypothèses!$B$4=18,Hypothèses!$B$4=19,Hypothèses!$B$4=20),
IF($D248="Pressio.",
IF(OR($E248=3,$E248=1,$E248=4),AC248,AB248),
IF($D248="Pénétro.",
IF(OR($E248=3,$E248=1,$E248=4),AC248,AB248))),IF($D248="Pressio.",
IF($E248=3,AC248,AB248),
IF($D248="Pénétro.",
IF($E248=4,AC248,AB248))))</f>
        <v>#N/A</v>
      </c>
      <c r="AE248" s="31" t="e">
        <f>(IF(OR(Hypothèses!$B$4=17,Hypothèses!$B$4=18,Hypothèses!$B$4=19,Hypothèses!$B$4=20),
IF($D248="Pressio.",
IF(OR($E248=3,$E248=1,$E248=4),(PI()*AE$12^2)/4*(AA248*$W248*1000)/($H248*$B$5),(PI()*AE$12^2)/4*(AA248*$W248*1000)/($G248*$B$5)),
IF($D248="Pénétro.",
IF(OR($E248=4,$E248=1,$E248=5),(PI()*AE$12^2)/4*(AA248*$W248*1000)/($H248*$B$5),(PI()*AE$12^2)/4*(AA248*$W248*1000)/($G248*$B$5)))),
IF($D248="Pressio.",
IF($E248=3,(PI()*AE$12^2)/4*(AA248*$W248*1000)/($H248*$B$5),(PI()*AE$12^2)/4*(AA248*$W248*1000)/($G248*$B$5)),
IF($D248="Pénétro.",
IF($E248=4,(PI()*AE$12^2)/4*(AA248*$W248*1000)/($H248*$B$5),(PI()*AE$12^2)/4*(AA248*$W248*1000)/($G248*$B$5))))))/10</f>
        <v>#N/A</v>
      </c>
      <c r="AF248" s="102" t="e">
        <f>(VLOOKUP($B$3,'Coeff EC7'!$T$39:$X$59,2,0)*AD248+VLOOKUP($B$3,'Coeff EC7'!$T$65:$X$85,2,0)*Model0.1C!AE248)/1.1</f>
        <v>#N/A</v>
      </c>
      <c r="AG248" s="102" t="e">
        <f>(VLOOKUP($B$3,'Coeff EC7'!$T$39:$X$59,3,0)*AD248+VLOOKUP($B$3,'Coeff EC7'!$T$65:$X$85,3,0)*Model0.1C!AE248)/0.9</f>
        <v>#N/A</v>
      </c>
      <c r="AH248" s="102" t="e">
        <f t="shared" si="339"/>
        <v>#N/A</v>
      </c>
      <c r="AI248" s="102" t="e">
        <f t="shared" si="340"/>
        <v>#N/A</v>
      </c>
      <c r="AJ248" s="414" t="e">
        <f>IF(AJ247=0,0,IF(AND(AF248&gt;charge_ELS_quasi,AG248&gt;Charge_ELS_freq,AH248&gt;charge_ELU,AI248&gt;charge_ELA,$B248&gt;NDC!$H$22-0.1+MIN(3*$AJ$12,1.5)),0,1))</f>
        <v>#N/A</v>
      </c>
      <c r="AK248" s="86" t="b">
        <f t="shared" si="341"/>
        <v>0</v>
      </c>
      <c r="AL248" s="86">
        <f t="shared" si="370"/>
        <v>0.5</v>
      </c>
      <c r="AM248" s="86">
        <f t="shared" si="342"/>
        <v>0.5</v>
      </c>
      <c r="AN248" s="30" t="e">
        <f t="shared" ca="1" si="371"/>
        <v>#DIV/0!</v>
      </c>
      <c r="AO248" s="85" t="e">
        <f ca="1">IF(U248&lt;=Hypothèses!$V$7,Hypothèses!$W$7,IF(U248&lt;=Hypothèses!$V$8,Hypothèses!$W$8,IF(U248&lt;=Hypothèses!$V$9,Hypothèses!$W$9,IF(U248&lt;=Hypothèses!$V$10,Hypothèses!$W$10,IF(U248&lt;=Hypothèses!$V$11,Hypothèses!$W$11,IF(U248&lt;=Hypothèses!$V$12,Hypothèses!$W$12,IF(U248&lt;=Hypothèses!$V$13,Hypothèses!$W$13,IF(U248&lt;=Hypothèses!$V$14,Hypothèses!$W$14,IF(U248&lt;=Hypothèses!$V$15,Hypothèses!$W$15,IF(U248&lt;=Hypothèses!$V$16,Hypothèses!$W$16,IF(U248&lt;=Hypothèses!$V$17,Hypothèses!$W$17,IF(U248&lt;=Hypothèses!$V$18,Hypothèses!$W$18,""))))))))))))</f>
        <v>#DIV/0!</v>
      </c>
      <c r="AP248" s="87" t="e">
        <f t="shared" ca="1" si="417"/>
        <v>#DIV/0!</v>
      </c>
      <c r="AQ248" s="88" t="e">
        <f ca="1">IF(U248&lt;=Hypothèses!$V$7,Hypothèses!$X$7,IF(U248&lt;=Hypothèses!$V$8,Hypothèses!$X$8,IF(U248&lt;=Hypothèses!$V$9,Hypothèses!$X$9,IF(U248&lt;=Hypothèses!$V$10,Hypothèses!$X$10,IF(U248&lt;=Hypothèses!$V$11,Hypothèses!$X$11,IF(U248&lt;=Hypothèses!$V$12,Hypothèses!$X$12,IF(U248&lt;=Hypothèses!$V$13,Hypothèses!$X$13,IF(U248&lt;=Hypothèses!$V$14,Hypothèses!$X$14,IF(U248&lt;=Hypothèses!$V$15,Hypothèses!$X$15,IF(U248&lt;=Hypothèses!$V$16,Hypothèses!$X$16,IF(U248&lt;=Hypothèses!$U$17,Hypothèses!$W$17,IF(U248&lt;=Hypothèses!$U$18,Hypothèses!$W$18,""))))))))))))</f>
        <v>#DIV/0!</v>
      </c>
      <c r="AR248" s="95" t="e">
        <f t="shared" ca="1" si="372"/>
        <v>#DIV/0!</v>
      </c>
      <c r="AS248" s="101" t="e">
        <f t="shared" si="424"/>
        <v>#N/A</v>
      </c>
      <c r="AT248" s="91" t="e">
        <f t="shared" si="343"/>
        <v>#N/A</v>
      </c>
      <c r="AU248" s="30" t="e">
        <f t="shared" si="402"/>
        <v>#N/A</v>
      </c>
      <c r="AV248" s="30" t="e">
        <f t="shared" si="403"/>
        <v>#N/A</v>
      </c>
      <c r="AW248" s="31" t="e">
        <f>IF(OR(Hypothèses!$B$4=17,Hypothèses!$B$4=18,Hypothèses!$B$4=19,Hypothèses!$B$4=20),
IF($D248="Pressio.",
IF(OR($E248=3,$E248=1,$E248=4),AV248,AU248),
IF($D248="Pénétro.",
IF(OR($E248=3,$E248=1,$E248=4),AV248,AU248))),IF($D248="Pressio.",
IF($E248=3,AV248,AU248),
IF($D248="Pénétro.",
IF($E248=4,AV248,AU248))))</f>
        <v>#N/A</v>
      </c>
      <c r="AX248" s="31" t="e">
        <f>(IF(OR(Hypothèses!$B$4=17,Hypothèses!$B$4=18,Hypothèses!$B$4=19,Hypothèses!$B$4=20),
IF($D248="Pressio.",
IF(OR($E248=3,$E248=1,$E248=4),(PI()*AX$12^2)/4*(AT248*$W248*1000)/($H248*$B$5),(PI()*AX$12^2)/4*(AT248*$W248*1000)/($G248*$B$5)),
IF($D248="Pénétro.",
IF(OR($E248=4,$E248=1,$E248=5),(PI()*AX$12^2)/4*(AT248*$W248*1000)/($H248*$B$5),(PI()*AX$12^2)/4*(AT248*$W248*1000)/($G248*$B$5)))),
IF($D248="Pressio.",
IF($E248=3,(PI()*AX$12^2)/4*(AT248*$W248*1000)/($H248*$B$5),(PI()*AX$12^2)/4*(AT248*$W248*1000)/($G248*$B$5)),
IF($D248="Pénétro.",
IF($E248=4,(PI()*AX$12^2)/4*(AT248*$W248*1000)/($H248*$B$5),(PI()*AX$12^2)/4*(AT248*$W248*1000)/($G248*$B$5))))))/10</f>
        <v>#N/A</v>
      </c>
      <c r="AY248" s="102" t="e">
        <f>(VLOOKUP($B$3,'Coeff EC7'!$T$39:$X$59,2,0)*AW248+VLOOKUP($B$3,'Coeff EC7'!$T$65:$X$85,2,0)*Model0.1C!AX248)/1.1</f>
        <v>#N/A</v>
      </c>
      <c r="AZ248" s="102" t="e">
        <f>(VLOOKUP($B$3,'Coeff EC7'!$T$39:$X$59,3,0)*AW248+VLOOKUP($B$3,'Coeff EC7'!$T$65:$X$85,3,0)*Model0.1C!AX248)/0.9</f>
        <v>#N/A</v>
      </c>
      <c r="BA248" s="102" t="e">
        <f t="shared" si="373"/>
        <v>#N/A</v>
      </c>
      <c r="BB248" s="102" t="e">
        <f t="shared" si="374"/>
        <v>#N/A</v>
      </c>
      <c r="BC248" s="414" t="e">
        <f>IF(BC247=0,0,IF(AND(AY248&gt;charge_ELS_quasi,AZ248&gt;Charge_ELS_freq,BA248&gt;charge_ELU,BB248&gt;charge_ELA,$B248&gt;NDC!$H$22-0.1+MIN(3*$BC$12,1.5)),0,1))</f>
        <v>#N/A</v>
      </c>
      <c r="BD248" s="86" t="b">
        <f t="shared" si="344"/>
        <v>0</v>
      </c>
      <c r="BE248" s="86">
        <f t="shared" si="375"/>
        <v>0.5</v>
      </c>
      <c r="BF248" s="86">
        <f t="shared" si="345"/>
        <v>0.5</v>
      </c>
      <c r="BG248" s="30" t="e">
        <f t="shared" ca="1" si="376"/>
        <v>#DIV/0!</v>
      </c>
      <c r="BH248" s="85" t="e">
        <f ca="1">IF(AN248&lt;=Hypothèses!$V$7,Hypothèses!$W$7,IF(AN248&lt;=Hypothèses!$V$8,Hypothèses!$W$8,IF(AN248&lt;=Hypothèses!$V$9,Hypothèses!$W$9,IF(AN248&lt;=Hypothèses!$V$10,Hypothèses!$W$10,IF(AN248&lt;=Hypothèses!$V$11,Hypothèses!$W$11,IF(AN248&lt;=Hypothèses!$V$12,Hypothèses!$W$12,IF(AN248&lt;=Hypothèses!$V$13,Hypothèses!$W$13,IF(AN248&lt;=Hypothèses!$V$14,Hypothèses!$W$14,IF(AN248&lt;=Hypothèses!$V$15,Hypothèses!$W$15,IF(AN248&lt;=Hypothèses!$V$16,Hypothèses!$W$16,IF(AN248&lt;=Hypothèses!$V$17,Hypothèses!$W$17,IF(AN248&lt;=Hypothèses!$V$18,Hypothèses!$W$18,""))))))))))))</f>
        <v>#DIV/0!</v>
      </c>
      <c r="BI248" s="87" t="e">
        <f t="shared" ca="1" si="418"/>
        <v>#DIV/0!</v>
      </c>
      <c r="BJ248" s="88" t="e">
        <f ca="1">IF(AN248&lt;=Hypothèses!$V$7,Hypothèses!$X$7,IF(AN248&lt;=Hypothèses!$V$8,Hypothèses!$X$8,IF(AN248&lt;=Hypothèses!$V$9,Hypothèses!$X$9,IF(AN248&lt;=Hypothèses!$V$10,Hypothèses!$X$10,IF(AN248&lt;=Hypothèses!$V$11,Hypothèses!$X$11,IF(AN248&lt;=Hypothèses!$V$12,Hypothèses!$X$12,IF(AN248&lt;=Hypothèses!$V$13,Hypothèses!$X$13,IF(AN248&lt;=Hypothèses!$V$14,Hypothèses!$X$14,IF(AN248&lt;=Hypothèses!$V$15,Hypothèses!$X$15,IF(AN248&lt;=Hypothèses!$V$16,Hypothèses!$X$16,IF(AN248&lt;=Hypothèses!$U$17,Hypothèses!$W$17,IF(AN248&lt;=Hypothèses!$U$18,Hypothèses!$W$18,""))))))))))))</f>
        <v>#DIV/0!</v>
      </c>
      <c r="BK248" s="95" t="e">
        <f t="shared" ca="1" si="377"/>
        <v>#DIV/0!</v>
      </c>
      <c r="BL248" s="101" t="e">
        <f t="shared" si="425"/>
        <v>#N/A</v>
      </c>
      <c r="BM248" s="91" t="e">
        <f t="shared" si="346"/>
        <v>#N/A</v>
      </c>
      <c r="BN248" s="30" t="e">
        <f t="shared" si="404"/>
        <v>#N/A</v>
      </c>
      <c r="BO248" s="30" t="e">
        <f t="shared" si="405"/>
        <v>#N/A</v>
      </c>
      <c r="BP248" s="31" t="e">
        <f>IF(OR(Hypothèses!$B$4=17,Hypothèses!$B$4=18,Hypothèses!$B$4=19,Hypothèses!$B$4=20),
IF($D248="Pressio.",
IF(OR($E248=3,$E248=1,$E248=4),BO248,BN248),
IF($D248="Pénétro.",
IF(OR($E248=3,$E248=1,$E248=4),BO248,BN248))),IF($D248="Pressio.",
IF($E248=3,BO248,BN248),
IF($D248="Pénétro.",
IF($E248=4,BO248,BN248))))</f>
        <v>#N/A</v>
      </c>
      <c r="BQ248" s="31" t="e">
        <f>(IF(OR(Hypothèses!$B$4=17,Hypothèses!$B$4=18,Hypothèses!$B$4=19,Hypothèses!$B$4=20),
IF($D248="Pressio.",
IF(OR($E248=3,$E248=1,$E248=4),(PI()*BQ$12^2)/4*(BM248*$W248*1000)/($H248*$B$5),(PI()*BQ$12^2)/4*(BM248*$W248*1000)/($G248*$B$5)),
IF($D248="Pénétro.",
IF(OR($E248=4,$E248=1,$E248=5),(PI()*BQ$12^2)/4*(BM248*$W248*1000)/($H248*$B$5),(PI()*BQ$12^2)/4*(BM248*$W248*1000)/($G248*$B$5)))),
IF($D248="Pressio.",
IF($E248=3,(PI()*BQ$12^2)/4*(BM248*$W248*1000)/($H248*$B$5),(PI()*BQ$12^2)/4*(BM248*$W248*1000)/($G248*$B$5)),
IF($D248="Pénétro.",
IF($E248=4,(PI()*BQ$12^2)/4*(BM248*$W248*1000)/($H248*$B$5),(PI()*BQ$12^2)/4*(BM248*$W248*1000)/($G248*$B$5))))))/10</f>
        <v>#N/A</v>
      </c>
      <c r="BR248" s="102" t="e">
        <f>(VLOOKUP($B$3,'Coeff EC7'!$T$39:$X$59,2,0)*BP248+VLOOKUP($B$3,'Coeff EC7'!$T$65:$X$85,2,0)*Model0.1C!BQ248)/1.1</f>
        <v>#N/A</v>
      </c>
      <c r="BS248" s="102" t="e">
        <f>(VLOOKUP($B$3,'Coeff EC7'!$T$39:$X$59,3,0)*BP248+VLOOKUP($B$3,'Coeff EC7'!$T$65:$X$85,3,0)*Model0.1C!BQ248)/0.9</f>
        <v>#N/A</v>
      </c>
      <c r="BT248" s="102" t="e">
        <f t="shared" si="378"/>
        <v>#N/A</v>
      </c>
      <c r="BU248" s="102" t="e">
        <f t="shared" si="379"/>
        <v>#N/A</v>
      </c>
      <c r="BV248" s="414" t="e">
        <f>IF(BV247=0,0,IF(AND(BR248&gt;charge_ELS_quasi,BS248&gt;Charge_ELS_freq,BT248&gt;charge_ELU,BU248&gt;charge_ELA,$B248&gt;NDC!$H$22-0.1+MIN(3*$BV$12,1.5)),0,1))</f>
        <v>#N/A</v>
      </c>
      <c r="BW248" s="86" t="b">
        <f t="shared" si="347"/>
        <v>0</v>
      </c>
      <c r="BX248" s="86">
        <f t="shared" si="348"/>
        <v>0.5</v>
      </c>
      <c r="BY248" s="86">
        <f t="shared" si="349"/>
        <v>0.5</v>
      </c>
      <c r="BZ248" s="30" t="e">
        <f t="shared" ca="1" si="380"/>
        <v>#DIV/0!</v>
      </c>
      <c r="CA248" s="85" t="e">
        <f ca="1">IF(BG248&lt;=Hypothèses!$V$7,Hypothèses!$W$7,IF(BG248&lt;=Hypothèses!$V$8,Hypothèses!$W$8,IF(BG248&lt;=Hypothèses!$V$9,Hypothèses!$W$9,IF(BG248&lt;=Hypothèses!$V$10,Hypothèses!$W$10,IF(BG248&lt;=Hypothèses!$V$11,Hypothèses!$W$11,IF(BG248&lt;=Hypothèses!$V$12,Hypothèses!$W$12,IF(BG248&lt;=Hypothèses!$V$13,Hypothèses!$W$13,IF(BG248&lt;=Hypothèses!$V$14,Hypothèses!$W$14,IF(BG248&lt;=Hypothèses!$V$15,Hypothèses!$W$15,IF(BG248&lt;=Hypothèses!$V$16,Hypothèses!$W$16,IF(BG248&lt;=Hypothèses!$V$17,Hypothèses!$W$17,IF(BG248&lt;=Hypothèses!$V$18,Hypothèses!$W$18,""))))))))))))</f>
        <v>#DIV/0!</v>
      </c>
      <c r="CB248" s="87" t="e">
        <f t="shared" ca="1" si="419"/>
        <v>#DIV/0!</v>
      </c>
      <c r="CC248" s="88" t="e">
        <f ca="1">IF(BG248&lt;=Hypothèses!$V$7,Hypothèses!$X$7,IF(BG248&lt;=Hypothèses!$V$8,Hypothèses!$X$8,IF(BG248&lt;=Hypothèses!$V$9,Hypothèses!$X$9,IF(BG248&lt;=Hypothèses!$V$10,Hypothèses!$X$10,IF(BG248&lt;=Hypothèses!$V$11,Hypothèses!$X$11,IF(BG248&lt;=Hypothèses!$V$12,Hypothèses!$X$12,IF(BG248&lt;=Hypothèses!$V$13,Hypothèses!$X$13,IF(BG248&lt;=Hypothèses!$V$14,Hypothèses!$X$14,IF(BG248&lt;=Hypothèses!$V$15,Hypothèses!$X$15,IF(BG248&lt;=Hypothèses!$V$16,Hypothèses!$X$16,IF(BG248&lt;=Hypothèses!$U$17,Hypothèses!$W$17,IF(BG248&lt;=Hypothèses!$U$18,Hypothèses!$W$18,""))))))))))))</f>
        <v>#DIV/0!</v>
      </c>
      <c r="CD248" s="95" t="e">
        <f t="shared" ca="1" si="381"/>
        <v>#DIV/0!</v>
      </c>
      <c r="CE248" s="101" t="e">
        <f t="shared" si="426"/>
        <v>#N/A</v>
      </c>
      <c r="CF248" s="91" t="e">
        <f t="shared" si="350"/>
        <v>#N/A</v>
      </c>
      <c r="CG248" s="30" t="e">
        <f t="shared" si="406"/>
        <v>#N/A</v>
      </c>
      <c r="CH248" s="30" t="e">
        <f t="shared" si="407"/>
        <v>#N/A</v>
      </c>
      <c r="CI248" s="31" t="e">
        <f>IF(OR(Hypothèses!$B$4=17,Hypothèses!$B$4=18,Hypothèses!$B$4=19,Hypothèses!$B$4=20),
IF($D248="Pressio.",
IF(OR($E248=3,$E248=1,$E248=4),CH248,CG248),
IF($D248="Pénétro.",
IF(OR($E248=3,$E248=1,$E248=4),CH248,CG248))),IF($D248="Pressio.",
IF($E248=3,CH248,CG248),
IF($D248="Pénétro.",
IF($E248=4,CH248,CG248))))</f>
        <v>#N/A</v>
      </c>
      <c r="CJ248" s="31" t="e">
        <f>(IF(OR(Hypothèses!$B$4=17,Hypothèses!$B$4=18,Hypothèses!$B$4=19,Hypothèses!$B$4=20),
IF($D248="Pressio.",
IF(OR($E248=3,$E248=1,$E248=4),(PI()*CJ$12^2)/4*(CF248*$W248*1000)/($H248*$B$5),(PI()*CJ$12^2)/4*(CF248*$W248*1000)/($G248*$B$5)),
IF($D248="Pénétro.",
IF(OR($E248=4,$E248=1,$E248=5),(PI()*CJ$12^2)/4*(CF248*$W248*1000)/($H248*$B$5),(PI()*CJ$12^2)/4*(CF248*$W248*1000)/($G248*$B$5)))),
IF($D248="Pressio.",
IF($E248=3,(PI()*CJ$12^2)/4*(CF248*$W248*1000)/($H248*$B$5),(PI()*CJ$12^2)/4*(CF248*$W248*1000)/($G248*$B$5)),
IF($D248="Pénétro.",
IF($E248=4,(PI()*CJ$12^2)/4*(CF248*$W248*1000)/($H248*$B$5),(PI()*CJ$12^2)/4*(CF248*$W248*1000)/($G248*$B$5))))))/10</f>
        <v>#N/A</v>
      </c>
      <c r="CK248" s="102" t="e">
        <f>(VLOOKUP($B$3,'Coeff EC7'!$T$39:$X$59,2,0)*CI248+VLOOKUP($B$3,'Coeff EC7'!$T$65:$X$85,2,0)*Model0.1C!CJ248)/1.1</f>
        <v>#N/A</v>
      </c>
      <c r="CL248" s="102" t="e">
        <f>(VLOOKUP($B$3,'Coeff EC7'!$T$39:$X$59,3,0)*CI248+VLOOKUP($B$3,'Coeff EC7'!$T$65:$X$85,3,0)*Model0.1C!CJ248)/0.9</f>
        <v>#N/A</v>
      </c>
      <c r="CM248" s="102" t="e">
        <f t="shared" si="382"/>
        <v>#N/A</v>
      </c>
      <c r="CN248" s="102" t="e">
        <f t="shared" si="383"/>
        <v>#N/A</v>
      </c>
      <c r="CO248" s="414" t="e">
        <f>IF(CO247=0,0,IF(AND(CK248&gt;charge_ELS_quasi,CL248&gt;Charge_ELS_freq,CM248&gt;charge_ELU,CN248&gt;charge_ELA,$B248&gt;NDC!$H$22-0.1+MIN(3*$CO$12,1.5)),0,1))</f>
        <v>#N/A</v>
      </c>
      <c r="CP248" s="86" t="b">
        <f t="shared" si="351"/>
        <v>0</v>
      </c>
      <c r="CQ248" s="86">
        <f t="shared" si="352"/>
        <v>0.5</v>
      </c>
      <c r="CR248" s="86">
        <f t="shared" si="353"/>
        <v>0.5</v>
      </c>
      <c r="CS248" s="30" t="e">
        <f t="shared" ca="1" si="384"/>
        <v>#DIV/0!</v>
      </c>
      <c r="CT248" s="85" t="e">
        <f ca="1">IF(BZ248&lt;=Hypothèses!$V$7,Hypothèses!$W$7,IF(BZ248&lt;=Hypothèses!$V$8,Hypothèses!$W$8,IF(BZ248&lt;=Hypothèses!$V$9,Hypothèses!$W$9,IF(BZ248&lt;=Hypothèses!$V$10,Hypothèses!$W$10,IF(BZ248&lt;=Hypothèses!$V$11,Hypothèses!$W$11,IF(BZ248&lt;=Hypothèses!$V$12,Hypothèses!$W$12,IF(BZ248&lt;=Hypothèses!$V$13,Hypothèses!$W$13,IF(BZ248&lt;=Hypothèses!$V$14,Hypothèses!$W$14,IF(BZ248&lt;=Hypothèses!$V$15,Hypothèses!$W$15,IF(BZ248&lt;=Hypothèses!$V$16,Hypothèses!$W$16,IF(BZ248&lt;=Hypothèses!$V$17,Hypothèses!$W$17,IF(BZ248&lt;=Hypothèses!$V$18,Hypothèses!$W$18,""))))))))))))</f>
        <v>#DIV/0!</v>
      </c>
      <c r="CU248" s="87" t="e">
        <f t="shared" ca="1" si="420"/>
        <v>#DIV/0!</v>
      </c>
      <c r="CV248" s="88" t="e">
        <f ca="1">IF(BZ248&lt;=Hypothèses!$V$7,Hypothèses!$X$7,IF(BZ248&lt;=Hypothèses!$V$8,Hypothèses!$X$8,IF(BZ248&lt;=Hypothèses!$V$9,Hypothèses!$X$9,IF(BZ248&lt;=Hypothèses!$V$10,Hypothèses!$X$10,IF(BZ248&lt;=Hypothèses!$V$11,Hypothèses!$X$11,IF(BZ248&lt;=Hypothèses!$V$12,Hypothèses!$X$12,IF(BZ248&lt;=Hypothèses!$V$13,Hypothèses!$X$13,IF(BZ248&lt;=Hypothèses!$V$14,Hypothèses!$X$14,IF(BZ248&lt;=Hypothèses!$V$15,Hypothèses!$X$15,IF(BZ248&lt;=Hypothèses!$V$16,Hypothèses!$X$16,IF(BZ248&lt;=Hypothèses!$U$17,Hypothèses!$W$17,IF(BZ248&lt;=Hypothèses!$U$18,Hypothèses!$W$18,""))))))))))))</f>
        <v>#DIV/0!</v>
      </c>
      <c r="CW248" s="95" t="e">
        <f t="shared" ca="1" si="385"/>
        <v>#DIV/0!</v>
      </c>
      <c r="CX248" s="101" t="e">
        <f t="shared" si="427"/>
        <v>#N/A</v>
      </c>
      <c r="CY248" s="91" t="e">
        <f t="shared" si="354"/>
        <v>#N/A</v>
      </c>
      <c r="CZ248" s="30" t="e">
        <f t="shared" si="408"/>
        <v>#N/A</v>
      </c>
      <c r="DA248" s="30" t="e">
        <f t="shared" si="409"/>
        <v>#N/A</v>
      </c>
      <c r="DB248" s="31" t="e">
        <f>IF(OR(Hypothèses!$B$4=17,Hypothèses!$B$4=18,Hypothèses!$B$4=19,Hypothèses!$B$4=20),
IF($D248="Pressio.",
IF(OR($E248=3,$E248=1,$E248=4),DA248,CZ248),
IF($D248="Pénétro.",
IF(OR($E248=3,$E248=1,$E248=4),DA248,CZ248))),IF($D248="Pressio.",
IF($E248=3,DA248,CZ248),
IF($D248="Pénétro.",
IF($E248=4,DA248,CZ248))))</f>
        <v>#N/A</v>
      </c>
      <c r="DC248" s="31" t="e">
        <f>(IF(OR(Hypothèses!$B$4=17,Hypothèses!$B$4=18,Hypothèses!$B$4=19,Hypothèses!$B$4=20),
IF($D248="Pressio.",
IF(OR($E248=3,$E248=1,$E248=4),(PI()*DC$12^2)/4*(CY248*$W248*1000)/($H248*$B$5),(PI()*DC$12^2)/4*(CY248*$W248*1000)/($G248*$B$5)),
IF($D248="Pénétro.",
IF(OR($E248=4,$E248=1,$E248=5),(PI()*DC$12^2)/4*(CY248*$W248*1000)/($H248*$B$5),(PI()*DC$12^2)/4*(CY248*$W248*1000)/($G248*$B$5)))),
IF($D248="Pressio.",
IF($E248=3,(PI()*DC$12^2)/4*(CY248*$W248*1000)/($H248*$B$5),(PI()*DC$12^2)/4*(CY248*$W248*1000)/($G248*$B$5)),
IF($D248="Pénétro.",
IF($E248=4,(PI()*DC$12^2)/4*(CY248*$W248*1000)/($H248*$B$5),(PI()*DC$12^2)/4*(CY248*$W248*1000)/($G248*$B$5))))))/10</f>
        <v>#N/A</v>
      </c>
      <c r="DD248" s="102" t="e">
        <f>(VLOOKUP($B$3,'Coeff EC7'!$T$39:$X$59,2,0)*DB248+VLOOKUP($B$3,'Coeff EC7'!$T$65:$X$85,2,0)*Model0.1C!DC248)/1.1</f>
        <v>#N/A</v>
      </c>
      <c r="DE248" s="102" t="e">
        <f>(VLOOKUP($B$3,'Coeff EC7'!$T$39:$X$59,3,0)*DB248+VLOOKUP($B$3,'Coeff EC7'!$T$65:$X$85,3,0)*Model0.1C!DC248)/0.9</f>
        <v>#N/A</v>
      </c>
      <c r="DF248" s="102" t="e">
        <f t="shared" si="386"/>
        <v>#N/A</v>
      </c>
      <c r="DG248" s="102" t="e">
        <f t="shared" si="387"/>
        <v>#N/A</v>
      </c>
      <c r="DH248" s="414" t="e">
        <f>IF(DH247=0,0,IF(AND(DD248&gt;charge_ELS_quasi,DE248&gt;Charge_ELS_freq,DF248&gt;charge_ELU,DG248&gt;charge_ELA,$B248&gt;NDC!$H$22-0.1+MIN(3*$DH$12,1.5)),0,1))</f>
        <v>#N/A</v>
      </c>
      <c r="DI248" s="86" t="b">
        <f t="shared" si="355"/>
        <v>0</v>
      </c>
      <c r="DJ248" s="86">
        <f t="shared" si="356"/>
        <v>0.5</v>
      </c>
      <c r="DK248" s="86">
        <f t="shared" si="357"/>
        <v>0.5</v>
      </c>
      <c r="DL248" s="30" t="e">
        <f t="shared" ca="1" si="388"/>
        <v>#DIV/0!</v>
      </c>
      <c r="DM248" s="85" t="e">
        <f ca="1">IF(CS248&lt;=Hypothèses!$V$7,Hypothèses!$W$7,IF(CS248&lt;=Hypothèses!$V$8,Hypothèses!$W$8,IF(CS248&lt;=Hypothèses!$V$9,Hypothèses!$W$9,IF(CS248&lt;=Hypothèses!$V$10,Hypothèses!$W$10,IF(CS248&lt;=Hypothèses!$V$11,Hypothèses!$W$11,IF(CS248&lt;=Hypothèses!$V$12,Hypothèses!$W$12,IF(CS248&lt;=Hypothèses!$V$13,Hypothèses!$W$13,IF(CS248&lt;=Hypothèses!$V$14,Hypothèses!$W$14,IF(CS248&lt;=Hypothèses!$V$15,Hypothèses!$W$15,IF(CS248&lt;=Hypothèses!$V$16,Hypothèses!$W$16,IF(CS248&lt;=Hypothèses!$V$17,Hypothèses!$W$17,IF(CS248&lt;=Hypothèses!$V$18,Hypothèses!$W$18,""))))))))))))</f>
        <v>#DIV/0!</v>
      </c>
      <c r="DN248" s="87" t="e">
        <f t="shared" ca="1" si="421"/>
        <v>#DIV/0!</v>
      </c>
      <c r="DO248" s="88" t="e">
        <f ca="1">IF(CS248&lt;=Hypothèses!$V$7,Hypothèses!$X$7,IF(CS248&lt;=Hypothèses!$V$8,Hypothèses!$X$8,IF(CS248&lt;=Hypothèses!$V$9,Hypothèses!$X$9,IF(CS248&lt;=Hypothèses!$V$10,Hypothèses!$X$10,IF(CS248&lt;=Hypothèses!$V$11,Hypothèses!$X$11,IF(CS248&lt;=Hypothèses!$V$12,Hypothèses!$X$12,IF(CS248&lt;=Hypothèses!$V$13,Hypothèses!$X$13,IF(CS248&lt;=Hypothèses!$V$14,Hypothèses!$X$14,IF(CS248&lt;=Hypothèses!$V$15,Hypothèses!$X$15,IF(CS248&lt;=Hypothèses!$V$16,Hypothèses!$X$16,IF(CS248&lt;=Hypothèses!$U$17,Hypothèses!$W$17,IF(CS248&lt;=Hypothèses!$U$18,Hypothèses!$W$18,""))))))))))))</f>
        <v>#DIV/0!</v>
      </c>
      <c r="DP248" s="95" t="e">
        <f t="shared" ca="1" si="389"/>
        <v>#DIV/0!</v>
      </c>
      <c r="DQ248" s="101" t="e">
        <f t="shared" si="428"/>
        <v>#N/A</v>
      </c>
      <c r="DR248" s="91" t="e">
        <f t="shared" si="358"/>
        <v>#N/A</v>
      </c>
      <c r="DS248" s="30" t="e">
        <f t="shared" si="410"/>
        <v>#N/A</v>
      </c>
      <c r="DT248" s="30" t="e">
        <f t="shared" si="411"/>
        <v>#N/A</v>
      </c>
      <c r="DU248" s="31" t="e">
        <f>IF(OR(Hypothèses!$B$4=17,Hypothèses!$B$4=18,Hypothèses!$B$4=19,Hypothèses!$B$4=20),
IF($D248="Pressio.",
IF(OR($E248=3,$E248=1,$E248=4),DT248,DS248),
IF($D248="Pénétro.",
IF(OR($E248=3,$E248=1,$E248=4),DT248,DS248))),IF($D248="Pressio.",
IF($E248=3,DT248,DS248),
IF($D248="Pénétro.",
IF($E248=4,DT248,DS248))))</f>
        <v>#N/A</v>
      </c>
      <c r="DV248" s="31" t="e">
        <f>(IF(OR(Hypothèses!$B$4=17,Hypothèses!$B$4=18,Hypothèses!$B$4=19,Hypothèses!$B$4=20),
IF($D248="Pressio.",
IF(OR($E248=3,$E248=1,$E248=4),(PI()*DV$12^2)/4*(DR248*$W248*1000)/($H248*$B$5),(PI()*DV$12^2)/4*(DR248*$W248*1000)/($G248*$B$5)),
IF($D248="Pénétro.",
IF(OR($E248=4,$E248=1,$E248=5),(PI()*DV$12^2)/4*(DR248*$W248*1000)/($H248*$B$5),(PI()*DV$12^2)/4*(DR248*$W248*1000)/($G248*$B$5)))),
IF($D248="Pressio.",
IF($E248=3,(PI()*DV$12^2)/4*(DR248*$W248*1000)/($H248*$B$5),(PI()*DV$12^2)/4*(DR248*$W248*1000)/($G248*$B$5)),
IF($D248="Pénétro.",
IF($E248=4,(PI()*DV$12^2)/4*(DR248*$W248*1000)/($H248*$B$5),(PI()*DV$12^2)/4*(DR248*$W248*1000)/($G248*$B$5))))))/10</f>
        <v>#N/A</v>
      </c>
      <c r="DW248" s="102" t="e">
        <f>(VLOOKUP($B$3,'Coeff EC7'!$T$39:$X$59,2,0)*DU248+VLOOKUP($B$3,'Coeff EC7'!$T$65:$X$85,2,0)*Model0.1C!DV248)/1.1</f>
        <v>#N/A</v>
      </c>
      <c r="DX248" s="102" t="e">
        <f>(VLOOKUP($B$3,'Coeff EC7'!$T$39:$X$59,3,0)*DU248+VLOOKUP($B$3,'Coeff EC7'!$T$65:$X$85,3,0)*Model0.1C!DV248)/0.9</f>
        <v>#N/A</v>
      </c>
      <c r="DY248" s="102" t="e">
        <f t="shared" si="390"/>
        <v>#N/A</v>
      </c>
      <c r="DZ248" s="102" t="e">
        <f t="shared" si="391"/>
        <v>#N/A</v>
      </c>
      <c r="EA248" s="414" t="e">
        <f>IF(EA247=0,0,IF(AND(DW248&gt;charge_ELS_quasi,DX248&gt;Charge_ELS_freq,DY248&gt;charge_ELU,DZ248&gt;charge_ELA,$B248&gt;NDC!$H$22-0.1+MIN(3*$EA$12,1.5)),0,1))</f>
        <v>#N/A</v>
      </c>
      <c r="EB248" s="86" t="b">
        <f t="shared" si="359"/>
        <v>0</v>
      </c>
      <c r="EC248" s="418">
        <f t="shared" si="360"/>
        <v>0.51</v>
      </c>
      <c r="ED248" s="86">
        <f t="shared" si="361"/>
        <v>0.51</v>
      </c>
      <c r="EE248" s="30" t="e">
        <f t="shared" ca="1" si="392"/>
        <v>#DIV/0!</v>
      </c>
      <c r="EF248" s="85" t="e">
        <f ca="1">IF(DL248&lt;=Hypothèses!$V$7,Hypothèses!$W$7,IF(DL248&lt;=Hypothèses!$V$8,Hypothèses!$W$8,IF(DL248&lt;=Hypothèses!$V$9,Hypothèses!$W$9,IF(DL248&lt;=Hypothèses!$V$10,Hypothèses!$W$10,IF(DL248&lt;=Hypothèses!$V$11,Hypothèses!$W$11,IF(DL248&lt;=Hypothèses!$V$12,Hypothèses!$W$12,IF(DL248&lt;=Hypothèses!$V$13,Hypothèses!$W$13,IF(DL248&lt;=Hypothèses!$V$14,Hypothèses!$W$14,IF(DL248&lt;=Hypothèses!$V$15,Hypothèses!$W$15,IF(DL248&lt;=Hypothèses!$V$16,Hypothèses!$W$16,IF(DL248&lt;=Hypothèses!$V$17,Hypothèses!$W$17,IF(DL248&lt;=Hypothèses!$V$18,Hypothèses!$W$18,""))))))))))))</f>
        <v>#DIV/0!</v>
      </c>
      <c r="EG248" s="87" t="e">
        <f t="shared" ca="1" si="422"/>
        <v>#DIV/0!</v>
      </c>
      <c r="EH248" s="88" t="e">
        <f ca="1">IF(DL248&lt;=Hypothèses!$V$7,Hypothèses!$X$7,IF(DL248&lt;=Hypothèses!$V$8,Hypothèses!$X$8,IF(DL248&lt;=Hypothèses!$V$9,Hypothèses!$X$9,IF(DL248&lt;=Hypothèses!$V$10,Hypothèses!$X$10,IF(DL248&lt;=Hypothèses!$V$11,Hypothèses!$X$11,IF(DL248&lt;=Hypothèses!$V$12,Hypothèses!$X$12,IF(DL248&lt;=Hypothèses!$V$13,Hypothèses!$X$13,IF(DL248&lt;=Hypothèses!$V$14,Hypothèses!$X$14,IF(DL248&lt;=Hypothèses!$V$15,Hypothèses!$X$15,IF(DL248&lt;=Hypothèses!$V$16,Hypothèses!$X$16,IF(DL248&lt;=Hypothèses!$U$17,Hypothèses!$W$17,IF(DL248&lt;=Hypothèses!$U$18,Hypothèses!$W$18,""))))))))))))</f>
        <v>#DIV/0!</v>
      </c>
      <c r="EI248" s="95" t="e">
        <f t="shared" ca="1" si="393"/>
        <v>#DIV/0!</v>
      </c>
      <c r="EJ248" s="101" t="e">
        <f t="shared" si="429"/>
        <v>#N/A</v>
      </c>
      <c r="EK248" s="91" t="e">
        <f t="shared" si="362"/>
        <v>#N/A</v>
      </c>
      <c r="EL248" s="30" t="e">
        <f t="shared" si="412"/>
        <v>#N/A</v>
      </c>
      <c r="EM248" s="30" t="e">
        <f t="shared" si="413"/>
        <v>#N/A</v>
      </c>
      <c r="EN248" s="31" t="e">
        <f>IF(OR(Hypothèses!$B$4=17,Hypothèses!$B$4=18,Hypothèses!$B$4=19,Hypothèses!$B$4=20),
IF($D248="Pressio.",
IF(OR($E248=3,$E248=1,$E248=4),EM248,EL248),
IF($D248="Pénétro.",
IF(OR($E248=3,$E248=1,$E248=4),EM248,EL248))),IF($D248="Pressio.",
IF($E248=3,EM248,EL248),
IF($D248="Pénétro.",
IF($E248=4,EM248,EL248))))</f>
        <v>#N/A</v>
      </c>
      <c r="EO248" s="31" t="e">
        <f>(IF(OR(Hypothèses!$B$4=17,Hypothèses!$B$4=18,Hypothèses!$B$4=19,Hypothèses!$B$4=20),
IF($D248="Pressio.",
IF(OR($E248=3,$E248=1,$E248=4),(PI()*EO$12^2)/4*(EK248*$W248*1000)/($H248*$B$5),(PI()*EO$12^2)/4*(EK248*$W248*1000)/($G248*$B$5)),
IF($D248="Pénétro.",
IF(OR($E248=4,$E248=1,$E248=5),(PI()*EO$12^2)/4*(EK248*$W248*1000)/($H248*$B$5),(PI()*EO$12^2)/4*(EK248*$W248*1000)/($G248*$B$5)))),
IF($D248="Pressio.",
IF($E248=3,(PI()*EO$12^2)/4*(EK248*$W248*1000)/($H248*$B$5),(PI()*EO$12^2)/4*(EK248*$W248*1000)/($G248*$B$5)),
IF($D248="Pénétro.",
IF($E248=4,(PI()*EO$12^2)/4*(EK248*$W248*1000)/($H248*$B$5),(PI()*EO$12^2)/4*(EK248*$W248*1000)/($G248*$B$5))))))/10</f>
        <v>#N/A</v>
      </c>
      <c r="EP248" s="102" t="e">
        <f>(VLOOKUP($B$3,'Coeff EC7'!$T$39:$X$59,2,0)*EN248+VLOOKUP($B$3,'Coeff EC7'!$T$65:$X$85,2,0)*Model0.1C!EO248)/1.1</f>
        <v>#N/A</v>
      </c>
      <c r="EQ248" s="102" t="e">
        <f>(VLOOKUP($B$3,'Coeff EC7'!$T$39:$X$59,3,0)*EN248+VLOOKUP($B$3,'Coeff EC7'!$T$65:$X$85,3,0)*Model0.1C!EO248)/0.9</f>
        <v>#N/A</v>
      </c>
      <c r="ER248" s="102" t="e">
        <f t="shared" si="394"/>
        <v>#N/A</v>
      </c>
      <c r="ES248" s="102" t="e">
        <f t="shared" si="395"/>
        <v>#N/A</v>
      </c>
      <c r="ET248" s="414" t="e">
        <f>IF(ET247=0,0,IF(AND(EP248&gt;charge_ELS_quasi,EQ248&gt;Charge_ELS_freq,ER248&gt;charge_ELU,ES248&gt;charge_ELA,$B248&gt;NDC!$H$22-0.1+MIN(3*$ET$12,1.5)),0,1))</f>
        <v>#N/A</v>
      </c>
      <c r="EU248" s="86" t="b">
        <f t="shared" si="363"/>
        <v>0</v>
      </c>
      <c r="EV248" s="86">
        <f t="shared" si="364"/>
        <v>0.61</v>
      </c>
      <c r="EW248" s="86">
        <f t="shared" si="365"/>
        <v>0.61</v>
      </c>
      <c r="EX248" s="30" t="e">
        <f t="shared" ca="1" si="396"/>
        <v>#DIV/0!</v>
      </c>
      <c r="EY248" s="85" t="e">
        <f ca="1">IF(EE248&lt;=Hypothèses!$V$7,Hypothèses!$W$7,IF(EE248&lt;=Hypothèses!$V$8,Hypothèses!$W$8,IF(EE248&lt;=Hypothèses!$V$9,Hypothèses!$W$9,IF(EE248&lt;=Hypothèses!$V$10,Hypothèses!$W$10,IF(EE248&lt;=Hypothèses!$V$11,Hypothèses!$W$11,IF(EE248&lt;=Hypothèses!$V$12,Hypothèses!$W$12,IF(EE248&lt;=Hypothèses!$V$13,Hypothèses!$W$13,IF(EE248&lt;=Hypothèses!$V$14,Hypothèses!$W$14,IF(EE248&lt;=Hypothèses!$V$15,Hypothèses!$W$15,IF(EE248&lt;=Hypothèses!$V$16,Hypothèses!$W$16,IF(EE248&lt;=Hypothèses!$V$17,Hypothèses!$W$17,IF(EE248&lt;=Hypothèses!$V$18,Hypothèses!$W$18,""))))))))))))</f>
        <v>#DIV/0!</v>
      </c>
      <c r="EZ248" s="87" t="e">
        <f t="shared" ca="1" si="423"/>
        <v>#DIV/0!</v>
      </c>
      <c r="FA248" s="88" t="e">
        <f ca="1">IF(EE248&lt;=Hypothèses!$V$7,Hypothèses!$X$7,IF(EE248&lt;=Hypothèses!$V$8,Hypothèses!$X$8,IF(EE248&lt;=Hypothèses!$V$9,Hypothèses!$X$9,IF(EE248&lt;=Hypothèses!$V$10,Hypothèses!$X$10,IF(EE248&lt;=Hypothèses!$V$11,Hypothèses!$X$11,IF(EE248&lt;=Hypothèses!$V$12,Hypothèses!$X$12,IF(EE248&lt;=Hypothèses!$V$13,Hypothèses!$X$13,IF(EE248&lt;=Hypothèses!$V$14,Hypothèses!$X$14,IF(EE248&lt;=Hypothèses!$V$15,Hypothèses!$X$15,IF(EE248&lt;=Hypothèses!$V$16,Hypothèses!$X$16,IF(EE248&lt;=Hypothèses!$U$17,Hypothèses!$W$17,IF(EE248&lt;=Hypothèses!$U$18,Hypothèses!$W$18,""))))))))))))</f>
        <v>#DIV/0!</v>
      </c>
      <c r="FB248" s="95" t="e">
        <f t="shared" ca="1" si="397"/>
        <v>#DIV/0!</v>
      </c>
      <c r="FC248" s="101" t="e">
        <f t="shared" si="430"/>
        <v>#N/A</v>
      </c>
      <c r="FD248" s="91" t="e">
        <f t="shared" si="366"/>
        <v>#N/A</v>
      </c>
      <c r="FE248" s="30" t="e">
        <f t="shared" si="414"/>
        <v>#N/A</v>
      </c>
      <c r="FF248" s="30" t="e">
        <f t="shared" si="415"/>
        <v>#N/A</v>
      </c>
      <c r="FG248" s="31" t="e">
        <f>IF(OR(Hypothèses!$B$4=17,Hypothèses!$B$4=18,Hypothèses!$B$4=19,Hypothèses!$B$4=20),
IF($D248="Pressio.",
IF(OR($E248=3,$E248=1,$E248=4),FF248,FE248),
IF($D248="Pénétro.",
IF(OR($E248=3,$E248=1,$E248=4),FF248,FE248))),IF($D248="Pressio.",
IF($E248=3,FF248,FE248),
IF($D248="Pénétro.",
IF($E248=4,FF248,FE248))))</f>
        <v>#N/A</v>
      </c>
      <c r="FH248" s="31" t="e">
        <f>(IF(OR(Hypothèses!$B$4=17,Hypothèses!$B$4=18,Hypothèses!$B$4=19,Hypothèses!$B$4=20),
IF($D248="Pressio.",
IF(OR($E248=3,$E248=1,$E248=4),(PI()*FH$12^2)/4*(FD248*$W248*1000)/($H248*$B$5),(PI()*FH$12^2)/4*(FD248*$W248*1000)/($G248*$B$5)),
IF($D248="Pénétro.",
IF(OR($E248=4,$E248=1,$E248=5),(PI()*FH$12^2)/4*(FD248*$W248*1000)/($H248*$B$5),(PI()*FH$12^2)/4*(FD248*$W248*1000)/($G248*$B$5)))),
IF($D248="Pressio.",
IF($E248=3,(PI()*FH$12^2)/4*(FD248*$W248*1000)/($H248*$B$5),(PI()*FH$12^2)/4*(FD248*$W248*1000)/($G248*$B$5)),
IF($D248="Pénétro.",
IF($E248=4,(PI()*FH$12^2)/4*(FD248*$W248*1000)/($H248*$B$5),(PI()*FH$12^2)/4*(FD248*$W248*1000)/($G248*$B$5))))))/10</f>
        <v>#N/A</v>
      </c>
      <c r="FI248" s="102" t="e">
        <f>(VLOOKUP($B$3,'Coeff EC7'!$T$39:$X$59,2,0)*FG248+VLOOKUP($B$3,'Coeff EC7'!$T$65:$X$85,2,0)*Model0.1C!FH248)/1.1</f>
        <v>#N/A</v>
      </c>
      <c r="FJ248" s="102" t="e">
        <f>(VLOOKUP($B$3,'Coeff EC7'!$T$39:$X$59,3,0)*FG248+VLOOKUP($B$3,'Coeff EC7'!$T$65:$X$85,3,0)*Model0.1C!FH248)/0.9</f>
        <v>#N/A</v>
      </c>
      <c r="FK248" s="102" t="e">
        <f t="shared" si="398"/>
        <v>#N/A</v>
      </c>
      <c r="FL248" s="102" t="e">
        <f t="shared" si="399"/>
        <v>#N/A</v>
      </c>
      <c r="FM248" s="414" t="e">
        <f>IF(FM247=0,0,IF(AND(FI248&gt;charge_ELS_quasi,FJ248&gt;Charge_ELS_freq,FK248&gt;charge_ELU,FL248&gt;charge_ELA,$B248&gt;NDC!$H$22-0.1+MIN(3*$FM$12,1.5)),0,1))</f>
        <v>#N/A</v>
      </c>
    </row>
    <row r="249" spans="1:169">
      <c r="A249" s="96">
        <f t="shared" si="367"/>
        <v>76.400000000001342</v>
      </c>
      <c r="B249" s="97">
        <v>23.6</v>
      </c>
      <c r="C249" s="81">
        <f>IF(B249&lt;=Hypothèses!$C$7,Hypothèses!$A$7,IF(B249&lt;=Hypothèses!$C$8,Hypothèses!$A$8,IF(B249&lt;=Hypothèses!$C$9,Hypothèses!$A$9,IF(B249&lt;=Hypothèses!$C$10,Hypothèses!$A$10,IF(B249&lt;=Hypothèses!$C$11,Hypothèses!$A$11,IF(B249&lt;=Hypothèses!$C$12,Hypothèses!$A$12,IF(B249&lt;=Hypothèses!$C$13,Hypothèses!$A$13,IF(B249&lt;=Hypothèses!$C$14,Hypothèses!$A$14,IF(B249&lt;=Hypothèses!$C$15,Hypothèses!$A$15,IF(B249&lt;=Hypothèses!$C$16,Hypothèses!$A$16,IF(B249&lt;=Hypothèses!$C$17,Hypothèses!$A$17,IF(B249&lt;=Hypothèses!$C$18,Hypothèses!$A$18,C248))))))))))))</f>
        <v>11</v>
      </c>
      <c r="D249" s="82" t="str">
        <f>IF(B249&lt;=Hypothèses!$C$7,Hypothèses!$R$7,IF(B249&lt;=Hypothèses!$C$8,Hypothèses!$R$8,IF(B249&lt;=Hypothèses!$C$9,Hypothèses!$R$9,IF(B249&lt;=Hypothèses!$C$10,Hypothèses!$R$10,IF(B249&lt;=Hypothèses!$C$11,Hypothèses!$R$11,IF(B249&lt;=Hypothèses!$C$12,Hypothèses!$R$12,IF(B249&lt;=Hypothèses!$C$13,Hypothèses!$R$13,IF(B249&lt;=Hypothèses!$C$14,Hypothèses!$R$14,IF(B249&lt;=Hypothèses!$C$15,Hypothèses!$R$15,IF(B249&lt;=Hypothèses!$C$16,Hypothèses!$R$16,IF(B249&lt;=Hypothèses!$C$17,Hypothèses!$R$17,IF(B249&lt;=Hypothèses!$C$18,Hypothèses!$R$18,D248))))))))))))</f>
        <v>Pressio.</v>
      </c>
      <c r="E249" s="82" t="e">
        <f>IF(B249&lt;=Hypothèses!$C$7,Hypothèses!$G$7,IF(B249&lt;=Hypothèses!$C$8,Hypothèses!$G$8,IF(B249&lt;=Hypothèses!$C$9,Hypothèses!$G$9,IF(B249&lt;=Hypothèses!$C$10,Hypothèses!$G$10,IF(B249&lt;=Hypothèses!$C$11,Hypothèses!$G$11,IF(B249&lt;=Hypothèses!$C$12,Hypothèses!$G$12,IF(B249&lt;=Hypothèses!$C$13,Hypothèses!$G$13,IF(B249&lt;=Hypothèses!$C$14,Hypothèses!$G$14,IF(B249&lt;=Hypothèses!$C$15,Hypothèses!$G$15,IF(B249&lt;=Hypothèses!$C$16,Hypothèses!$G$16,IF(B249&lt;=Hypothèses!$C$17,Hypothèses!$G$17,IF(B249&lt;=Hypothèses!$C$18,Hypothèses!$G$18,E248))))))))))))</f>
        <v>#N/A</v>
      </c>
      <c r="F249" s="82" t="str">
        <f>IF(B249&lt;=Hypothèses!$C$7,Hypothèses!$F$7,IF(B249&lt;=Hypothèses!$C$8,Hypothèses!$F$8,IF(B249&lt;=Hypothèses!$C$9,Hypothèses!$F$9,IF(B249&lt;=Hypothèses!$C$10,Hypothèses!$F$10,IF(B249&lt;=Hypothèses!$C$11,Hypothèses!$F$11,IF(B249&lt;=Hypothèses!$C$12,Hypothèses!$F$12,IF(B249&lt;=Hypothèses!$C$13,Hypothèses!$F$13,IF(B249&lt;=Hypothèses!$C$14,Hypothèses!$F$14,IF(B249&lt;=Hypothèses!$C$15,Hypothèses!$F$15,IF(B249&lt;=Hypothèses!$C$16,Hypothèses!$F$16,IF(B249&lt;=Hypothèses!$C$17,Hypothèses!$F$17,IF(B249&lt;=Hypothèses!$C$18,Hypothèses!$F$18,F248))))))))))))</f>
        <v/>
      </c>
      <c r="G249" s="91">
        <f t="array" ref="G249">INDEX('Coeff EC7'!$U$7:$X$27,
MATCH(Model0.1C!$B$3,'Coeff EC7'!$T$7:$T$27,0),
MATCH(Model0.1C!$D249&amp;Model0.1C!$B$4,
'Coeff EC7'!$U$6:$X$6&amp;
'Coeff EC7'!$U$5:$X$5,0))</f>
        <v>1.1499999999999999</v>
      </c>
      <c r="H249" s="91">
        <f t="array" ref="H249">INDEX('Coeff EC7'!$Y$7:$AB$27,
MATCH(Model0.1C!$B$3,'Coeff EC7'!$T$7:$T$27,0),
MATCH(Model0.1C!$D249&amp;Model0.1C!$B$4,
'Coeff EC7'!$Y$6:$AB$6&amp;
'Coeff EC7'!$Y$5:$AB$5,0))</f>
        <v>1.4</v>
      </c>
      <c r="I249" s="83" t="e">
        <f>IF(B249&lt;=Hypothèses!$C$7,Hypothèses!$P$7,IF(B249&lt;=Hypothèses!$C$8,Hypothèses!$P$8,IF(B249&lt;=Hypothèses!$C$9,Hypothèses!$P$9,IF(B249&lt;=Hypothèses!$C$10,Hypothèses!$P$10,IF(B249&lt;=Hypothèses!$C$11,Hypothèses!$P$11,IF(B249&lt;=Hypothèses!$C$12,Hypothèses!$P$12,IF(B249&lt;=Hypothèses!$C$13,Hypothèses!$P$13,IF(B249&lt;=Hypothèses!$C$14,Hypothèses!$P$14,IF(B249&lt;=Hypothèses!$C$15,Hypothèses!$P$15,IF(B249&lt;=Hypothèses!$C$16,Hypothèses!$P$16,IF(B249&lt;=Hypothèses!$C$17,Hypothèses!$P$17,IF(B249&lt;=Hypothèses!$C$18,Hypothèses!$P$18,I248))))))))))))</f>
        <v>#N/A</v>
      </c>
      <c r="J249" s="91" t="e">
        <f t="array" ref="J249">INDEX('Coeff EC7'!$D$33:$Q$33,1,MATCH(D249&amp;E249,'Coeff EC7'!$D$31:$Q$31&amp;'Coeff EC7'!$D$32:$Q$32,0))</f>
        <v>#N/A</v>
      </c>
      <c r="K249" s="91" t="e">
        <f t="array" ref="K249">INDEX('Coeff EC7'!$D$34:$Q$34,1,MATCH(D249&amp;E249,'Coeff EC7'!$D$31:$Q$31&amp;'Coeff EC7'!$D$32:$Q$32,0))</f>
        <v>#N/A</v>
      </c>
      <c r="L249" s="91" t="e">
        <f t="array" ref="L249">INDEX('Coeff EC7'!$D$35:$Q$35,1,MATCH(D249&amp;E249,'Coeff EC7'!$D$31:$Q$31&amp;'Coeff EC7'!$D$32:$Q$32,0))</f>
        <v>#N/A</v>
      </c>
      <c r="M249" s="98" t="e">
        <f t="shared" si="331"/>
        <v>#N/A</v>
      </c>
      <c r="N249" s="99" t="e">
        <f t="array" ref="N249">INDEX('Coeff EC7'!$D$7:$Q$27,MATCH($B$3,'Coeff EC7'!$C$7:$C$27,0),MATCH(D249&amp;E249,'Coeff EC7'!$D$5:$Q$5&amp;'Coeff EC7'!$D$6:$Q$6,0))</f>
        <v>#N/A</v>
      </c>
      <c r="O249" s="99" t="e">
        <f t="array" ref="O249">INDEX('Coeff EC7'!$D$41:$Q$61,MATCH($B$3,'Coeff EC7'!$C$41:$C$61,0),MATCH(D249&amp;E249,'Coeff EC7'!$D$39:$Q$39&amp;'Coeff EC7'!$D$40:$Q$40,0))</f>
        <v>#N/A</v>
      </c>
      <c r="P249" s="30" t="e">
        <f t="shared" si="368"/>
        <v>#N/A</v>
      </c>
      <c r="Q249" s="100" t="e">
        <f t="shared" si="333"/>
        <v>#N/A</v>
      </c>
      <c r="R249" s="86" t="b">
        <f t="shared" si="334"/>
        <v>0</v>
      </c>
      <c r="S249" s="86">
        <f t="shared" si="332"/>
        <v>0.5</v>
      </c>
      <c r="T249" s="86">
        <f t="shared" si="335"/>
        <v>0.5</v>
      </c>
      <c r="U249" s="30" t="e">
        <f t="shared" ca="1" si="369"/>
        <v>#DIV/0!</v>
      </c>
      <c r="V249" s="85" t="str">
        <f>IF(B249&lt;=Hypothèses!$V$7,Hypothèses!$W$7,IF(B249&lt;=Hypothèses!$V$8,Hypothèses!$W$8,IF(B249&lt;=Hypothèses!$V$9,Hypothèses!$W$9,IF(B249&lt;=Hypothèses!$V$10,Hypothèses!$W$10,IF(B249&lt;=Hypothèses!$V$11,Hypothèses!$W$11,IF(B249&lt;=Hypothèses!$V$12,Hypothèses!$W$12,IF(B249&lt;=Hypothèses!$V$13,Hypothèses!$W$13,IF(B249&lt;=Hypothèses!$V$14,Hypothèses!$W$14,IF(B249&lt;=Hypothèses!$V$15,Hypothèses!$W$15,IF(B249&lt;=Hypothèses!$V$16,Hypothèses!$W$16,IF(B249&lt;=Hypothèses!$V$17,Hypothèses!$W$17,IF(B249&lt;=Hypothèses!$V$18,Hypothèses!$W$18,""))))))))))))</f>
        <v/>
      </c>
      <c r="W249" s="87" t="e">
        <f t="shared" ca="1" si="416"/>
        <v>#DIV/0!</v>
      </c>
      <c r="X249" s="88" t="str">
        <f>IF(B249&lt;=Hypothèses!$V$7,Hypothèses!$X$7,IF(B249&lt;=Hypothèses!$V$8,Hypothèses!$X$8,IF(B249&lt;=Hypothèses!$V$9,Hypothèses!$X$9,IF(B249&lt;=Hypothèses!$V$10,Hypothèses!$X$10,IF(B249&lt;=Hypothèses!$V$11,Hypothèses!$X$11,IF(B249&lt;=Hypothèses!$V$12,Hypothèses!$X$12,IF(B249&lt;=Hypothèses!$V$13,Hypothèses!$X$13,IF(B249&lt;=Hypothèses!$V$14,Hypothèses!$X$14,IF(B249&lt;=Hypothèses!$V$15,Hypothèses!$X$15,IF(B249&lt;=Hypothèses!$V$16,Hypothèses!$X$16,IF(B249&lt;=Hypothèses!$U$17,Hypothèses!$W$17,IF(B249&lt;=Hypothèses!$U$18,Hypothèses!$W$18,""))))))))))))</f>
        <v/>
      </c>
      <c r="Y249" s="95" t="e">
        <f t="shared" ca="1" si="336"/>
        <v>#DIV/0!</v>
      </c>
      <c r="Z249" s="101" t="e">
        <f t="shared" si="337"/>
        <v>#N/A</v>
      </c>
      <c r="AA249" s="91" t="e">
        <f t="shared" si="338"/>
        <v>#N/A</v>
      </c>
      <c r="AB249" s="30" t="e">
        <f t="shared" si="400"/>
        <v>#N/A</v>
      </c>
      <c r="AC249" s="30" t="e">
        <f t="shared" si="401"/>
        <v>#N/A</v>
      </c>
      <c r="AD249" s="31" t="e">
        <f>IF(OR(Hypothèses!$B$4=17,Hypothèses!$B$4=18,Hypothèses!$B$4=19,Hypothèses!$B$4=20),
IF($D249="Pressio.",
IF(OR($E249=3,$E249=1,$E249=4),AC249,AB249),
IF($D249="Pénétro.",
IF(OR($E249=3,$E249=1,$E249=4),AC249,AB249))),IF($D249="Pressio.",
IF($E249=3,AC249,AB249),
IF($D249="Pénétro.",
IF($E249=4,AC249,AB249))))</f>
        <v>#N/A</v>
      </c>
      <c r="AE249" s="31" t="e">
        <f>(IF(OR(Hypothèses!$B$4=17,Hypothèses!$B$4=18,Hypothèses!$B$4=19,Hypothèses!$B$4=20),
IF($D249="Pressio.",
IF(OR($E249=3,$E249=1,$E249=4),(PI()*AE$12^2)/4*(AA249*$W249*1000)/($H249*$B$5),(PI()*AE$12^2)/4*(AA249*$W249*1000)/($G249*$B$5)),
IF($D249="Pénétro.",
IF(OR($E249=4,$E249=1,$E249=5),(PI()*AE$12^2)/4*(AA249*$W249*1000)/($H249*$B$5),(PI()*AE$12^2)/4*(AA249*$W249*1000)/($G249*$B$5)))),
IF($D249="Pressio.",
IF($E249=3,(PI()*AE$12^2)/4*(AA249*$W249*1000)/($H249*$B$5),(PI()*AE$12^2)/4*(AA249*$W249*1000)/($G249*$B$5)),
IF($D249="Pénétro.",
IF($E249=4,(PI()*AE$12^2)/4*(AA249*$W249*1000)/($H249*$B$5),(PI()*AE$12^2)/4*(AA249*$W249*1000)/($G249*$B$5))))))/10</f>
        <v>#N/A</v>
      </c>
      <c r="AF249" s="102" t="e">
        <f>(VLOOKUP($B$3,'Coeff EC7'!$T$39:$X$59,2,0)*AD249+VLOOKUP($B$3,'Coeff EC7'!$T$65:$X$85,2,0)*Model0.1C!AE249)/1.1</f>
        <v>#N/A</v>
      </c>
      <c r="AG249" s="102" t="e">
        <f>(VLOOKUP($B$3,'Coeff EC7'!$T$39:$X$59,3,0)*AD249+VLOOKUP($B$3,'Coeff EC7'!$T$65:$X$85,3,0)*Model0.1C!AE249)/0.9</f>
        <v>#N/A</v>
      </c>
      <c r="AH249" s="102" t="e">
        <f t="shared" si="339"/>
        <v>#N/A</v>
      </c>
      <c r="AI249" s="102" t="e">
        <f t="shared" si="340"/>
        <v>#N/A</v>
      </c>
      <c r="AJ249" s="414" t="e">
        <f>IF(AJ248=0,0,IF(AND(AF249&gt;charge_ELS_quasi,AG249&gt;Charge_ELS_freq,AH249&gt;charge_ELU,AI249&gt;charge_ELA,$B249&gt;NDC!$H$22-0.1+MIN(3*$AJ$12,1.5)),0,1))</f>
        <v>#N/A</v>
      </c>
      <c r="AK249" s="86" t="b">
        <f t="shared" si="341"/>
        <v>0</v>
      </c>
      <c r="AL249" s="86">
        <f t="shared" si="370"/>
        <v>0.5</v>
      </c>
      <c r="AM249" s="86">
        <f t="shared" si="342"/>
        <v>0.5</v>
      </c>
      <c r="AN249" s="30" t="e">
        <f t="shared" ca="1" si="371"/>
        <v>#DIV/0!</v>
      </c>
      <c r="AO249" s="85" t="e">
        <f ca="1">IF(U249&lt;=Hypothèses!$V$7,Hypothèses!$W$7,IF(U249&lt;=Hypothèses!$V$8,Hypothèses!$W$8,IF(U249&lt;=Hypothèses!$V$9,Hypothèses!$W$9,IF(U249&lt;=Hypothèses!$V$10,Hypothèses!$W$10,IF(U249&lt;=Hypothèses!$V$11,Hypothèses!$W$11,IF(U249&lt;=Hypothèses!$V$12,Hypothèses!$W$12,IF(U249&lt;=Hypothèses!$V$13,Hypothèses!$W$13,IF(U249&lt;=Hypothèses!$V$14,Hypothèses!$W$14,IF(U249&lt;=Hypothèses!$V$15,Hypothèses!$W$15,IF(U249&lt;=Hypothèses!$V$16,Hypothèses!$W$16,IF(U249&lt;=Hypothèses!$V$17,Hypothèses!$W$17,IF(U249&lt;=Hypothèses!$V$18,Hypothèses!$W$18,""))))))))))))</f>
        <v>#DIV/0!</v>
      </c>
      <c r="AP249" s="87" t="e">
        <f t="shared" ca="1" si="417"/>
        <v>#DIV/0!</v>
      </c>
      <c r="AQ249" s="88" t="e">
        <f ca="1">IF(U249&lt;=Hypothèses!$V$7,Hypothèses!$X$7,IF(U249&lt;=Hypothèses!$V$8,Hypothèses!$X$8,IF(U249&lt;=Hypothèses!$V$9,Hypothèses!$X$9,IF(U249&lt;=Hypothèses!$V$10,Hypothèses!$X$10,IF(U249&lt;=Hypothèses!$V$11,Hypothèses!$X$11,IF(U249&lt;=Hypothèses!$V$12,Hypothèses!$X$12,IF(U249&lt;=Hypothèses!$V$13,Hypothèses!$X$13,IF(U249&lt;=Hypothèses!$V$14,Hypothèses!$X$14,IF(U249&lt;=Hypothèses!$V$15,Hypothèses!$X$15,IF(U249&lt;=Hypothèses!$V$16,Hypothèses!$X$16,IF(U249&lt;=Hypothèses!$U$17,Hypothèses!$W$17,IF(U249&lt;=Hypothèses!$U$18,Hypothèses!$W$18,""))))))))))))</f>
        <v>#DIV/0!</v>
      </c>
      <c r="AR249" s="95" t="e">
        <f t="shared" ca="1" si="372"/>
        <v>#DIV/0!</v>
      </c>
      <c r="AS249" s="101" t="e">
        <f t="shared" si="424"/>
        <v>#N/A</v>
      </c>
      <c r="AT249" s="91" t="e">
        <f t="shared" si="343"/>
        <v>#N/A</v>
      </c>
      <c r="AU249" s="30" t="e">
        <f t="shared" si="402"/>
        <v>#N/A</v>
      </c>
      <c r="AV249" s="30" t="e">
        <f t="shared" si="403"/>
        <v>#N/A</v>
      </c>
      <c r="AW249" s="31" t="e">
        <f>IF(OR(Hypothèses!$B$4=17,Hypothèses!$B$4=18,Hypothèses!$B$4=19,Hypothèses!$B$4=20),
IF($D249="Pressio.",
IF(OR($E249=3,$E249=1,$E249=4),AV249,AU249),
IF($D249="Pénétro.",
IF(OR($E249=3,$E249=1,$E249=4),AV249,AU249))),IF($D249="Pressio.",
IF($E249=3,AV249,AU249),
IF($D249="Pénétro.",
IF($E249=4,AV249,AU249))))</f>
        <v>#N/A</v>
      </c>
      <c r="AX249" s="31" t="e">
        <f>(IF(OR(Hypothèses!$B$4=17,Hypothèses!$B$4=18,Hypothèses!$B$4=19,Hypothèses!$B$4=20),
IF($D249="Pressio.",
IF(OR($E249=3,$E249=1,$E249=4),(PI()*AX$12^2)/4*(AT249*$W249*1000)/($H249*$B$5),(PI()*AX$12^2)/4*(AT249*$W249*1000)/($G249*$B$5)),
IF($D249="Pénétro.",
IF(OR($E249=4,$E249=1,$E249=5),(PI()*AX$12^2)/4*(AT249*$W249*1000)/($H249*$B$5),(PI()*AX$12^2)/4*(AT249*$W249*1000)/($G249*$B$5)))),
IF($D249="Pressio.",
IF($E249=3,(PI()*AX$12^2)/4*(AT249*$W249*1000)/($H249*$B$5),(PI()*AX$12^2)/4*(AT249*$W249*1000)/($G249*$B$5)),
IF($D249="Pénétro.",
IF($E249=4,(PI()*AX$12^2)/4*(AT249*$W249*1000)/($H249*$B$5),(PI()*AX$12^2)/4*(AT249*$W249*1000)/($G249*$B$5))))))/10</f>
        <v>#N/A</v>
      </c>
      <c r="AY249" s="102" t="e">
        <f>(VLOOKUP($B$3,'Coeff EC7'!$T$39:$X$59,2,0)*AW249+VLOOKUP($B$3,'Coeff EC7'!$T$65:$X$85,2,0)*Model0.1C!AX249)/1.1</f>
        <v>#N/A</v>
      </c>
      <c r="AZ249" s="102" t="e">
        <f>(VLOOKUP($B$3,'Coeff EC7'!$T$39:$X$59,3,0)*AW249+VLOOKUP($B$3,'Coeff EC7'!$T$65:$X$85,3,0)*Model0.1C!AX249)/0.9</f>
        <v>#N/A</v>
      </c>
      <c r="BA249" s="102" t="e">
        <f t="shared" si="373"/>
        <v>#N/A</v>
      </c>
      <c r="BB249" s="102" t="e">
        <f t="shared" si="374"/>
        <v>#N/A</v>
      </c>
      <c r="BC249" s="414" t="e">
        <f>IF(BC248=0,0,IF(AND(AY249&gt;charge_ELS_quasi,AZ249&gt;Charge_ELS_freq,BA249&gt;charge_ELU,BB249&gt;charge_ELA,$B249&gt;NDC!$H$22-0.1+MIN(3*$BC$12,1.5)),0,1))</f>
        <v>#N/A</v>
      </c>
      <c r="BD249" s="86" t="b">
        <f t="shared" si="344"/>
        <v>0</v>
      </c>
      <c r="BE249" s="86">
        <f t="shared" si="375"/>
        <v>0.5</v>
      </c>
      <c r="BF249" s="86">
        <f t="shared" si="345"/>
        <v>0.5</v>
      </c>
      <c r="BG249" s="30" t="e">
        <f t="shared" ca="1" si="376"/>
        <v>#DIV/0!</v>
      </c>
      <c r="BH249" s="85" t="e">
        <f ca="1">IF(AN249&lt;=Hypothèses!$V$7,Hypothèses!$W$7,IF(AN249&lt;=Hypothèses!$V$8,Hypothèses!$W$8,IF(AN249&lt;=Hypothèses!$V$9,Hypothèses!$W$9,IF(AN249&lt;=Hypothèses!$V$10,Hypothèses!$W$10,IF(AN249&lt;=Hypothèses!$V$11,Hypothèses!$W$11,IF(AN249&lt;=Hypothèses!$V$12,Hypothèses!$W$12,IF(AN249&lt;=Hypothèses!$V$13,Hypothèses!$W$13,IF(AN249&lt;=Hypothèses!$V$14,Hypothèses!$W$14,IF(AN249&lt;=Hypothèses!$V$15,Hypothèses!$W$15,IF(AN249&lt;=Hypothèses!$V$16,Hypothèses!$W$16,IF(AN249&lt;=Hypothèses!$V$17,Hypothèses!$W$17,IF(AN249&lt;=Hypothèses!$V$18,Hypothèses!$W$18,""))))))))))))</f>
        <v>#DIV/0!</v>
      </c>
      <c r="BI249" s="87" t="e">
        <f t="shared" ca="1" si="418"/>
        <v>#DIV/0!</v>
      </c>
      <c r="BJ249" s="88" t="e">
        <f ca="1">IF(AN249&lt;=Hypothèses!$V$7,Hypothèses!$X$7,IF(AN249&lt;=Hypothèses!$V$8,Hypothèses!$X$8,IF(AN249&lt;=Hypothèses!$V$9,Hypothèses!$X$9,IF(AN249&lt;=Hypothèses!$V$10,Hypothèses!$X$10,IF(AN249&lt;=Hypothèses!$V$11,Hypothèses!$X$11,IF(AN249&lt;=Hypothèses!$V$12,Hypothèses!$X$12,IF(AN249&lt;=Hypothèses!$V$13,Hypothèses!$X$13,IF(AN249&lt;=Hypothèses!$V$14,Hypothèses!$X$14,IF(AN249&lt;=Hypothèses!$V$15,Hypothèses!$X$15,IF(AN249&lt;=Hypothèses!$V$16,Hypothèses!$X$16,IF(AN249&lt;=Hypothèses!$U$17,Hypothèses!$W$17,IF(AN249&lt;=Hypothèses!$U$18,Hypothèses!$W$18,""))))))))))))</f>
        <v>#DIV/0!</v>
      </c>
      <c r="BK249" s="95" t="e">
        <f t="shared" ca="1" si="377"/>
        <v>#DIV/0!</v>
      </c>
      <c r="BL249" s="101" t="e">
        <f t="shared" si="425"/>
        <v>#N/A</v>
      </c>
      <c r="BM249" s="91" t="e">
        <f t="shared" si="346"/>
        <v>#N/A</v>
      </c>
      <c r="BN249" s="30" t="e">
        <f t="shared" si="404"/>
        <v>#N/A</v>
      </c>
      <c r="BO249" s="30" t="e">
        <f t="shared" si="405"/>
        <v>#N/A</v>
      </c>
      <c r="BP249" s="31" t="e">
        <f>IF(OR(Hypothèses!$B$4=17,Hypothèses!$B$4=18,Hypothèses!$B$4=19,Hypothèses!$B$4=20),
IF($D249="Pressio.",
IF(OR($E249=3,$E249=1,$E249=4),BO249,BN249),
IF($D249="Pénétro.",
IF(OR($E249=3,$E249=1,$E249=4),BO249,BN249))),IF($D249="Pressio.",
IF($E249=3,BO249,BN249),
IF($D249="Pénétro.",
IF($E249=4,BO249,BN249))))</f>
        <v>#N/A</v>
      </c>
      <c r="BQ249" s="31" t="e">
        <f>(IF(OR(Hypothèses!$B$4=17,Hypothèses!$B$4=18,Hypothèses!$B$4=19,Hypothèses!$B$4=20),
IF($D249="Pressio.",
IF(OR($E249=3,$E249=1,$E249=4),(PI()*BQ$12^2)/4*(BM249*$W249*1000)/($H249*$B$5),(PI()*BQ$12^2)/4*(BM249*$W249*1000)/($G249*$B$5)),
IF($D249="Pénétro.",
IF(OR($E249=4,$E249=1,$E249=5),(PI()*BQ$12^2)/4*(BM249*$W249*1000)/($H249*$B$5),(PI()*BQ$12^2)/4*(BM249*$W249*1000)/($G249*$B$5)))),
IF($D249="Pressio.",
IF($E249=3,(PI()*BQ$12^2)/4*(BM249*$W249*1000)/($H249*$B$5),(PI()*BQ$12^2)/4*(BM249*$W249*1000)/($G249*$B$5)),
IF($D249="Pénétro.",
IF($E249=4,(PI()*BQ$12^2)/4*(BM249*$W249*1000)/($H249*$B$5),(PI()*BQ$12^2)/4*(BM249*$W249*1000)/($G249*$B$5))))))/10</f>
        <v>#N/A</v>
      </c>
      <c r="BR249" s="102" t="e">
        <f>(VLOOKUP($B$3,'Coeff EC7'!$T$39:$X$59,2,0)*BP249+VLOOKUP($B$3,'Coeff EC7'!$T$65:$X$85,2,0)*Model0.1C!BQ249)/1.1</f>
        <v>#N/A</v>
      </c>
      <c r="BS249" s="102" t="e">
        <f>(VLOOKUP($B$3,'Coeff EC7'!$T$39:$X$59,3,0)*BP249+VLOOKUP($B$3,'Coeff EC7'!$T$65:$X$85,3,0)*Model0.1C!BQ249)/0.9</f>
        <v>#N/A</v>
      </c>
      <c r="BT249" s="102" t="e">
        <f t="shared" si="378"/>
        <v>#N/A</v>
      </c>
      <c r="BU249" s="102" t="e">
        <f t="shared" si="379"/>
        <v>#N/A</v>
      </c>
      <c r="BV249" s="414" t="e">
        <f>IF(BV248=0,0,IF(AND(BR249&gt;charge_ELS_quasi,BS249&gt;Charge_ELS_freq,BT249&gt;charge_ELU,BU249&gt;charge_ELA,$B249&gt;NDC!$H$22-0.1+MIN(3*$BV$12,1.5)),0,1))</f>
        <v>#N/A</v>
      </c>
      <c r="BW249" s="86" t="b">
        <f t="shared" si="347"/>
        <v>0</v>
      </c>
      <c r="BX249" s="86">
        <f t="shared" si="348"/>
        <v>0.5</v>
      </c>
      <c r="BY249" s="86">
        <f t="shared" si="349"/>
        <v>0.5</v>
      </c>
      <c r="BZ249" s="30" t="e">
        <f t="shared" ca="1" si="380"/>
        <v>#DIV/0!</v>
      </c>
      <c r="CA249" s="85" t="e">
        <f ca="1">IF(BG249&lt;=Hypothèses!$V$7,Hypothèses!$W$7,IF(BG249&lt;=Hypothèses!$V$8,Hypothèses!$W$8,IF(BG249&lt;=Hypothèses!$V$9,Hypothèses!$W$9,IF(BG249&lt;=Hypothèses!$V$10,Hypothèses!$W$10,IF(BG249&lt;=Hypothèses!$V$11,Hypothèses!$W$11,IF(BG249&lt;=Hypothèses!$V$12,Hypothèses!$W$12,IF(BG249&lt;=Hypothèses!$V$13,Hypothèses!$W$13,IF(BG249&lt;=Hypothèses!$V$14,Hypothèses!$W$14,IF(BG249&lt;=Hypothèses!$V$15,Hypothèses!$W$15,IF(BG249&lt;=Hypothèses!$V$16,Hypothèses!$W$16,IF(BG249&lt;=Hypothèses!$V$17,Hypothèses!$W$17,IF(BG249&lt;=Hypothèses!$V$18,Hypothèses!$W$18,""))))))))))))</f>
        <v>#DIV/0!</v>
      </c>
      <c r="CB249" s="87" t="e">
        <f t="shared" ca="1" si="419"/>
        <v>#DIV/0!</v>
      </c>
      <c r="CC249" s="88" t="e">
        <f ca="1">IF(BG249&lt;=Hypothèses!$V$7,Hypothèses!$X$7,IF(BG249&lt;=Hypothèses!$V$8,Hypothèses!$X$8,IF(BG249&lt;=Hypothèses!$V$9,Hypothèses!$X$9,IF(BG249&lt;=Hypothèses!$V$10,Hypothèses!$X$10,IF(BG249&lt;=Hypothèses!$V$11,Hypothèses!$X$11,IF(BG249&lt;=Hypothèses!$V$12,Hypothèses!$X$12,IF(BG249&lt;=Hypothèses!$V$13,Hypothèses!$X$13,IF(BG249&lt;=Hypothèses!$V$14,Hypothèses!$X$14,IF(BG249&lt;=Hypothèses!$V$15,Hypothèses!$X$15,IF(BG249&lt;=Hypothèses!$V$16,Hypothèses!$X$16,IF(BG249&lt;=Hypothèses!$U$17,Hypothèses!$W$17,IF(BG249&lt;=Hypothèses!$U$18,Hypothèses!$W$18,""))))))))))))</f>
        <v>#DIV/0!</v>
      </c>
      <c r="CD249" s="95" t="e">
        <f t="shared" ca="1" si="381"/>
        <v>#DIV/0!</v>
      </c>
      <c r="CE249" s="101" t="e">
        <f t="shared" si="426"/>
        <v>#N/A</v>
      </c>
      <c r="CF249" s="91" t="e">
        <f t="shared" si="350"/>
        <v>#N/A</v>
      </c>
      <c r="CG249" s="30" t="e">
        <f t="shared" si="406"/>
        <v>#N/A</v>
      </c>
      <c r="CH249" s="30" t="e">
        <f t="shared" si="407"/>
        <v>#N/A</v>
      </c>
      <c r="CI249" s="31" t="e">
        <f>IF(OR(Hypothèses!$B$4=17,Hypothèses!$B$4=18,Hypothèses!$B$4=19,Hypothèses!$B$4=20),
IF($D249="Pressio.",
IF(OR($E249=3,$E249=1,$E249=4),CH249,CG249),
IF($D249="Pénétro.",
IF(OR($E249=3,$E249=1,$E249=4),CH249,CG249))),IF($D249="Pressio.",
IF($E249=3,CH249,CG249),
IF($D249="Pénétro.",
IF($E249=4,CH249,CG249))))</f>
        <v>#N/A</v>
      </c>
      <c r="CJ249" s="31" t="e">
        <f>(IF(OR(Hypothèses!$B$4=17,Hypothèses!$B$4=18,Hypothèses!$B$4=19,Hypothèses!$B$4=20),
IF($D249="Pressio.",
IF(OR($E249=3,$E249=1,$E249=4),(PI()*CJ$12^2)/4*(CF249*$W249*1000)/($H249*$B$5),(PI()*CJ$12^2)/4*(CF249*$W249*1000)/($G249*$B$5)),
IF($D249="Pénétro.",
IF(OR($E249=4,$E249=1,$E249=5),(PI()*CJ$12^2)/4*(CF249*$W249*1000)/($H249*$B$5),(PI()*CJ$12^2)/4*(CF249*$W249*1000)/($G249*$B$5)))),
IF($D249="Pressio.",
IF($E249=3,(PI()*CJ$12^2)/4*(CF249*$W249*1000)/($H249*$B$5),(PI()*CJ$12^2)/4*(CF249*$W249*1000)/($G249*$B$5)),
IF($D249="Pénétro.",
IF($E249=4,(PI()*CJ$12^2)/4*(CF249*$W249*1000)/($H249*$B$5),(PI()*CJ$12^2)/4*(CF249*$W249*1000)/($G249*$B$5))))))/10</f>
        <v>#N/A</v>
      </c>
      <c r="CK249" s="102" t="e">
        <f>(VLOOKUP($B$3,'Coeff EC7'!$T$39:$X$59,2,0)*CI249+VLOOKUP($B$3,'Coeff EC7'!$T$65:$X$85,2,0)*Model0.1C!CJ249)/1.1</f>
        <v>#N/A</v>
      </c>
      <c r="CL249" s="102" t="e">
        <f>(VLOOKUP($B$3,'Coeff EC7'!$T$39:$X$59,3,0)*CI249+VLOOKUP($B$3,'Coeff EC7'!$T$65:$X$85,3,0)*Model0.1C!CJ249)/0.9</f>
        <v>#N/A</v>
      </c>
      <c r="CM249" s="102" t="e">
        <f t="shared" si="382"/>
        <v>#N/A</v>
      </c>
      <c r="CN249" s="102" t="e">
        <f t="shared" si="383"/>
        <v>#N/A</v>
      </c>
      <c r="CO249" s="414" t="e">
        <f>IF(CO248=0,0,IF(AND(CK249&gt;charge_ELS_quasi,CL249&gt;Charge_ELS_freq,CM249&gt;charge_ELU,CN249&gt;charge_ELA,$B249&gt;NDC!$H$22-0.1+MIN(3*$CO$12,1.5)),0,1))</f>
        <v>#N/A</v>
      </c>
      <c r="CP249" s="86" t="b">
        <f t="shared" si="351"/>
        <v>0</v>
      </c>
      <c r="CQ249" s="86">
        <f t="shared" si="352"/>
        <v>0.5</v>
      </c>
      <c r="CR249" s="86">
        <f t="shared" si="353"/>
        <v>0.5</v>
      </c>
      <c r="CS249" s="30" t="e">
        <f t="shared" ca="1" si="384"/>
        <v>#DIV/0!</v>
      </c>
      <c r="CT249" s="85" t="e">
        <f ca="1">IF(BZ249&lt;=Hypothèses!$V$7,Hypothèses!$W$7,IF(BZ249&lt;=Hypothèses!$V$8,Hypothèses!$W$8,IF(BZ249&lt;=Hypothèses!$V$9,Hypothèses!$W$9,IF(BZ249&lt;=Hypothèses!$V$10,Hypothèses!$W$10,IF(BZ249&lt;=Hypothèses!$V$11,Hypothèses!$W$11,IF(BZ249&lt;=Hypothèses!$V$12,Hypothèses!$W$12,IF(BZ249&lt;=Hypothèses!$V$13,Hypothèses!$W$13,IF(BZ249&lt;=Hypothèses!$V$14,Hypothèses!$W$14,IF(BZ249&lt;=Hypothèses!$V$15,Hypothèses!$W$15,IF(BZ249&lt;=Hypothèses!$V$16,Hypothèses!$W$16,IF(BZ249&lt;=Hypothèses!$V$17,Hypothèses!$W$17,IF(BZ249&lt;=Hypothèses!$V$18,Hypothèses!$W$18,""))))))))))))</f>
        <v>#DIV/0!</v>
      </c>
      <c r="CU249" s="87" t="e">
        <f t="shared" ca="1" si="420"/>
        <v>#DIV/0!</v>
      </c>
      <c r="CV249" s="88" t="e">
        <f ca="1">IF(BZ249&lt;=Hypothèses!$V$7,Hypothèses!$X$7,IF(BZ249&lt;=Hypothèses!$V$8,Hypothèses!$X$8,IF(BZ249&lt;=Hypothèses!$V$9,Hypothèses!$X$9,IF(BZ249&lt;=Hypothèses!$V$10,Hypothèses!$X$10,IF(BZ249&lt;=Hypothèses!$V$11,Hypothèses!$X$11,IF(BZ249&lt;=Hypothèses!$V$12,Hypothèses!$X$12,IF(BZ249&lt;=Hypothèses!$V$13,Hypothèses!$X$13,IF(BZ249&lt;=Hypothèses!$V$14,Hypothèses!$X$14,IF(BZ249&lt;=Hypothèses!$V$15,Hypothèses!$X$15,IF(BZ249&lt;=Hypothèses!$V$16,Hypothèses!$X$16,IF(BZ249&lt;=Hypothèses!$U$17,Hypothèses!$W$17,IF(BZ249&lt;=Hypothèses!$U$18,Hypothèses!$W$18,""))))))))))))</f>
        <v>#DIV/0!</v>
      </c>
      <c r="CW249" s="95" t="e">
        <f t="shared" ca="1" si="385"/>
        <v>#DIV/0!</v>
      </c>
      <c r="CX249" s="101" t="e">
        <f t="shared" si="427"/>
        <v>#N/A</v>
      </c>
      <c r="CY249" s="91" t="e">
        <f t="shared" si="354"/>
        <v>#N/A</v>
      </c>
      <c r="CZ249" s="30" t="e">
        <f t="shared" si="408"/>
        <v>#N/A</v>
      </c>
      <c r="DA249" s="30" t="e">
        <f t="shared" si="409"/>
        <v>#N/A</v>
      </c>
      <c r="DB249" s="31" t="e">
        <f>IF(OR(Hypothèses!$B$4=17,Hypothèses!$B$4=18,Hypothèses!$B$4=19,Hypothèses!$B$4=20),
IF($D249="Pressio.",
IF(OR($E249=3,$E249=1,$E249=4),DA249,CZ249),
IF($D249="Pénétro.",
IF(OR($E249=3,$E249=1,$E249=4),DA249,CZ249))),IF($D249="Pressio.",
IF($E249=3,DA249,CZ249),
IF($D249="Pénétro.",
IF($E249=4,DA249,CZ249))))</f>
        <v>#N/A</v>
      </c>
      <c r="DC249" s="31" t="e">
        <f>(IF(OR(Hypothèses!$B$4=17,Hypothèses!$B$4=18,Hypothèses!$B$4=19,Hypothèses!$B$4=20),
IF($D249="Pressio.",
IF(OR($E249=3,$E249=1,$E249=4),(PI()*DC$12^2)/4*(CY249*$W249*1000)/($H249*$B$5),(PI()*DC$12^2)/4*(CY249*$W249*1000)/($G249*$B$5)),
IF($D249="Pénétro.",
IF(OR($E249=4,$E249=1,$E249=5),(PI()*DC$12^2)/4*(CY249*$W249*1000)/($H249*$B$5),(PI()*DC$12^2)/4*(CY249*$W249*1000)/($G249*$B$5)))),
IF($D249="Pressio.",
IF($E249=3,(PI()*DC$12^2)/4*(CY249*$W249*1000)/($H249*$B$5),(PI()*DC$12^2)/4*(CY249*$W249*1000)/($G249*$B$5)),
IF($D249="Pénétro.",
IF($E249=4,(PI()*DC$12^2)/4*(CY249*$W249*1000)/($H249*$B$5),(PI()*DC$12^2)/4*(CY249*$W249*1000)/($G249*$B$5))))))/10</f>
        <v>#N/A</v>
      </c>
      <c r="DD249" s="102" t="e">
        <f>(VLOOKUP($B$3,'Coeff EC7'!$T$39:$X$59,2,0)*DB249+VLOOKUP($B$3,'Coeff EC7'!$T$65:$X$85,2,0)*Model0.1C!DC249)/1.1</f>
        <v>#N/A</v>
      </c>
      <c r="DE249" s="102" t="e">
        <f>(VLOOKUP($B$3,'Coeff EC7'!$T$39:$X$59,3,0)*DB249+VLOOKUP($B$3,'Coeff EC7'!$T$65:$X$85,3,0)*Model0.1C!DC249)/0.9</f>
        <v>#N/A</v>
      </c>
      <c r="DF249" s="102" t="e">
        <f t="shared" si="386"/>
        <v>#N/A</v>
      </c>
      <c r="DG249" s="102" t="e">
        <f t="shared" si="387"/>
        <v>#N/A</v>
      </c>
      <c r="DH249" s="414" t="e">
        <f>IF(DH248=0,0,IF(AND(DD249&gt;charge_ELS_quasi,DE249&gt;Charge_ELS_freq,DF249&gt;charge_ELU,DG249&gt;charge_ELA,$B249&gt;NDC!$H$22-0.1+MIN(3*$DH$12,1.5)),0,1))</f>
        <v>#N/A</v>
      </c>
      <c r="DI249" s="86" t="b">
        <f t="shared" si="355"/>
        <v>0</v>
      </c>
      <c r="DJ249" s="86">
        <f t="shared" si="356"/>
        <v>0.5</v>
      </c>
      <c r="DK249" s="86">
        <f t="shared" si="357"/>
        <v>0.5</v>
      </c>
      <c r="DL249" s="30" t="e">
        <f t="shared" ca="1" si="388"/>
        <v>#DIV/0!</v>
      </c>
      <c r="DM249" s="85" t="e">
        <f ca="1">IF(CS249&lt;=Hypothèses!$V$7,Hypothèses!$W$7,IF(CS249&lt;=Hypothèses!$V$8,Hypothèses!$W$8,IF(CS249&lt;=Hypothèses!$V$9,Hypothèses!$W$9,IF(CS249&lt;=Hypothèses!$V$10,Hypothèses!$W$10,IF(CS249&lt;=Hypothèses!$V$11,Hypothèses!$W$11,IF(CS249&lt;=Hypothèses!$V$12,Hypothèses!$W$12,IF(CS249&lt;=Hypothèses!$V$13,Hypothèses!$W$13,IF(CS249&lt;=Hypothèses!$V$14,Hypothèses!$W$14,IF(CS249&lt;=Hypothèses!$V$15,Hypothèses!$W$15,IF(CS249&lt;=Hypothèses!$V$16,Hypothèses!$W$16,IF(CS249&lt;=Hypothèses!$V$17,Hypothèses!$W$17,IF(CS249&lt;=Hypothèses!$V$18,Hypothèses!$W$18,""))))))))))))</f>
        <v>#DIV/0!</v>
      </c>
      <c r="DN249" s="87" t="e">
        <f t="shared" ca="1" si="421"/>
        <v>#DIV/0!</v>
      </c>
      <c r="DO249" s="88" t="e">
        <f ca="1">IF(CS249&lt;=Hypothèses!$V$7,Hypothèses!$X$7,IF(CS249&lt;=Hypothèses!$V$8,Hypothèses!$X$8,IF(CS249&lt;=Hypothèses!$V$9,Hypothèses!$X$9,IF(CS249&lt;=Hypothèses!$V$10,Hypothèses!$X$10,IF(CS249&lt;=Hypothèses!$V$11,Hypothèses!$X$11,IF(CS249&lt;=Hypothèses!$V$12,Hypothèses!$X$12,IF(CS249&lt;=Hypothèses!$V$13,Hypothèses!$X$13,IF(CS249&lt;=Hypothèses!$V$14,Hypothèses!$X$14,IF(CS249&lt;=Hypothèses!$V$15,Hypothèses!$X$15,IF(CS249&lt;=Hypothèses!$V$16,Hypothèses!$X$16,IF(CS249&lt;=Hypothèses!$U$17,Hypothèses!$W$17,IF(CS249&lt;=Hypothèses!$U$18,Hypothèses!$W$18,""))))))))))))</f>
        <v>#DIV/0!</v>
      </c>
      <c r="DP249" s="95" t="e">
        <f t="shared" ca="1" si="389"/>
        <v>#DIV/0!</v>
      </c>
      <c r="DQ249" s="101" t="e">
        <f t="shared" si="428"/>
        <v>#N/A</v>
      </c>
      <c r="DR249" s="91" t="e">
        <f t="shared" si="358"/>
        <v>#N/A</v>
      </c>
      <c r="DS249" s="30" t="e">
        <f t="shared" si="410"/>
        <v>#N/A</v>
      </c>
      <c r="DT249" s="30" t="e">
        <f t="shared" si="411"/>
        <v>#N/A</v>
      </c>
      <c r="DU249" s="31" t="e">
        <f>IF(OR(Hypothèses!$B$4=17,Hypothèses!$B$4=18,Hypothèses!$B$4=19,Hypothèses!$B$4=20),
IF($D249="Pressio.",
IF(OR($E249=3,$E249=1,$E249=4),DT249,DS249),
IF($D249="Pénétro.",
IF(OR($E249=3,$E249=1,$E249=4),DT249,DS249))),IF($D249="Pressio.",
IF($E249=3,DT249,DS249),
IF($D249="Pénétro.",
IF($E249=4,DT249,DS249))))</f>
        <v>#N/A</v>
      </c>
      <c r="DV249" s="31" t="e">
        <f>(IF(OR(Hypothèses!$B$4=17,Hypothèses!$B$4=18,Hypothèses!$B$4=19,Hypothèses!$B$4=20),
IF($D249="Pressio.",
IF(OR($E249=3,$E249=1,$E249=4),(PI()*DV$12^2)/4*(DR249*$W249*1000)/($H249*$B$5),(PI()*DV$12^2)/4*(DR249*$W249*1000)/($G249*$B$5)),
IF($D249="Pénétro.",
IF(OR($E249=4,$E249=1,$E249=5),(PI()*DV$12^2)/4*(DR249*$W249*1000)/($H249*$B$5),(PI()*DV$12^2)/4*(DR249*$W249*1000)/($G249*$B$5)))),
IF($D249="Pressio.",
IF($E249=3,(PI()*DV$12^2)/4*(DR249*$W249*1000)/($H249*$B$5),(PI()*DV$12^2)/4*(DR249*$W249*1000)/($G249*$B$5)),
IF($D249="Pénétro.",
IF($E249=4,(PI()*DV$12^2)/4*(DR249*$W249*1000)/($H249*$B$5),(PI()*DV$12^2)/4*(DR249*$W249*1000)/($G249*$B$5))))))/10</f>
        <v>#N/A</v>
      </c>
      <c r="DW249" s="102" t="e">
        <f>(VLOOKUP($B$3,'Coeff EC7'!$T$39:$X$59,2,0)*DU249+VLOOKUP($B$3,'Coeff EC7'!$T$65:$X$85,2,0)*Model0.1C!DV249)/1.1</f>
        <v>#N/A</v>
      </c>
      <c r="DX249" s="102" t="e">
        <f>(VLOOKUP($B$3,'Coeff EC7'!$T$39:$X$59,3,0)*DU249+VLOOKUP($B$3,'Coeff EC7'!$T$65:$X$85,3,0)*Model0.1C!DV249)/0.9</f>
        <v>#N/A</v>
      </c>
      <c r="DY249" s="102" t="e">
        <f t="shared" si="390"/>
        <v>#N/A</v>
      </c>
      <c r="DZ249" s="102" t="e">
        <f t="shared" si="391"/>
        <v>#N/A</v>
      </c>
      <c r="EA249" s="414" t="e">
        <f>IF(EA248=0,0,IF(AND(DW249&gt;charge_ELS_quasi,DX249&gt;Charge_ELS_freq,DY249&gt;charge_ELU,DZ249&gt;charge_ELA,$B249&gt;NDC!$H$22-0.1+MIN(3*$EA$12,1.5)),0,1))</f>
        <v>#N/A</v>
      </c>
      <c r="EB249" s="86" t="b">
        <f t="shared" si="359"/>
        <v>0</v>
      </c>
      <c r="EC249" s="418">
        <f t="shared" si="360"/>
        <v>0.51</v>
      </c>
      <c r="ED249" s="86">
        <f t="shared" si="361"/>
        <v>0.51</v>
      </c>
      <c r="EE249" s="30" t="e">
        <f t="shared" ca="1" si="392"/>
        <v>#DIV/0!</v>
      </c>
      <c r="EF249" s="85" t="e">
        <f ca="1">IF(DL249&lt;=Hypothèses!$V$7,Hypothèses!$W$7,IF(DL249&lt;=Hypothèses!$V$8,Hypothèses!$W$8,IF(DL249&lt;=Hypothèses!$V$9,Hypothèses!$W$9,IF(DL249&lt;=Hypothèses!$V$10,Hypothèses!$W$10,IF(DL249&lt;=Hypothèses!$V$11,Hypothèses!$W$11,IF(DL249&lt;=Hypothèses!$V$12,Hypothèses!$W$12,IF(DL249&lt;=Hypothèses!$V$13,Hypothèses!$W$13,IF(DL249&lt;=Hypothèses!$V$14,Hypothèses!$W$14,IF(DL249&lt;=Hypothèses!$V$15,Hypothèses!$W$15,IF(DL249&lt;=Hypothèses!$V$16,Hypothèses!$W$16,IF(DL249&lt;=Hypothèses!$V$17,Hypothèses!$W$17,IF(DL249&lt;=Hypothèses!$V$18,Hypothèses!$W$18,""))))))))))))</f>
        <v>#DIV/0!</v>
      </c>
      <c r="EG249" s="87" t="e">
        <f t="shared" ca="1" si="422"/>
        <v>#DIV/0!</v>
      </c>
      <c r="EH249" s="88" t="e">
        <f ca="1">IF(DL249&lt;=Hypothèses!$V$7,Hypothèses!$X$7,IF(DL249&lt;=Hypothèses!$V$8,Hypothèses!$X$8,IF(DL249&lt;=Hypothèses!$V$9,Hypothèses!$X$9,IF(DL249&lt;=Hypothèses!$V$10,Hypothèses!$X$10,IF(DL249&lt;=Hypothèses!$V$11,Hypothèses!$X$11,IF(DL249&lt;=Hypothèses!$V$12,Hypothèses!$X$12,IF(DL249&lt;=Hypothèses!$V$13,Hypothèses!$X$13,IF(DL249&lt;=Hypothèses!$V$14,Hypothèses!$X$14,IF(DL249&lt;=Hypothèses!$V$15,Hypothèses!$X$15,IF(DL249&lt;=Hypothèses!$V$16,Hypothèses!$X$16,IF(DL249&lt;=Hypothèses!$U$17,Hypothèses!$W$17,IF(DL249&lt;=Hypothèses!$U$18,Hypothèses!$W$18,""))))))))))))</f>
        <v>#DIV/0!</v>
      </c>
      <c r="EI249" s="95" t="e">
        <f t="shared" ca="1" si="393"/>
        <v>#DIV/0!</v>
      </c>
      <c r="EJ249" s="101" t="e">
        <f t="shared" si="429"/>
        <v>#N/A</v>
      </c>
      <c r="EK249" s="91" t="e">
        <f t="shared" si="362"/>
        <v>#N/A</v>
      </c>
      <c r="EL249" s="30" t="e">
        <f t="shared" si="412"/>
        <v>#N/A</v>
      </c>
      <c r="EM249" s="30" t="e">
        <f t="shared" si="413"/>
        <v>#N/A</v>
      </c>
      <c r="EN249" s="31" t="e">
        <f>IF(OR(Hypothèses!$B$4=17,Hypothèses!$B$4=18,Hypothèses!$B$4=19,Hypothèses!$B$4=20),
IF($D249="Pressio.",
IF(OR($E249=3,$E249=1,$E249=4),EM249,EL249),
IF($D249="Pénétro.",
IF(OR($E249=3,$E249=1,$E249=4),EM249,EL249))),IF($D249="Pressio.",
IF($E249=3,EM249,EL249),
IF($D249="Pénétro.",
IF($E249=4,EM249,EL249))))</f>
        <v>#N/A</v>
      </c>
      <c r="EO249" s="31" t="e">
        <f>(IF(OR(Hypothèses!$B$4=17,Hypothèses!$B$4=18,Hypothèses!$B$4=19,Hypothèses!$B$4=20),
IF($D249="Pressio.",
IF(OR($E249=3,$E249=1,$E249=4),(PI()*EO$12^2)/4*(EK249*$W249*1000)/($H249*$B$5),(PI()*EO$12^2)/4*(EK249*$W249*1000)/($G249*$B$5)),
IF($D249="Pénétro.",
IF(OR($E249=4,$E249=1,$E249=5),(PI()*EO$12^2)/4*(EK249*$W249*1000)/($H249*$B$5),(PI()*EO$12^2)/4*(EK249*$W249*1000)/($G249*$B$5)))),
IF($D249="Pressio.",
IF($E249=3,(PI()*EO$12^2)/4*(EK249*$W249*1000)/($H249*$B$5),(PI()*EO$12^2)/4*(EK249*$W249*1000)/($G249*$B$5)),
IF($D249="Pénétro.",
IF($E249=4,(PI()*EO$12^2)/4*(EK249*$W249*1000)/($H249*$B$5),(PI()*EO$12^2)/4*(EK249*$W249*1000)/($G249*$B$5))))))/10</f>
        <v>#N/A</v>
      </c>
      <c r="EP249" s="102" t="e">
        <f>(VLOOKUP($B$3,'Coeff EC7'!$T$39:$X$59,2,0)*EN249+VLOOKUP($B$3,'Coeff EC7'!$T$65:$X$85,2,0)*Model0.1C!EO249)/1.1</f>
        <v>#N/A</v>
      </c>
      <c r="EQ249" s="102" t="e">
        <f>(VLOOKUP($B$3,'Coeff EC7'!$T$39:$X$59,3,0)*EN249+VLOOKUP($B$3,'Coeff EC7'!$T$65:$X$85,3,0)*Model0.1C!EO249)/0.9</f>
        <v>#N/A</v>
      </c>
      <c r="ER249" s="102" t="e">
        <f t="shared" si="394"/>
        <v>#N/A</v>
      </c>
      <c r="ES249" s="102" t="e">
        <f t="shared" si="395"/>
        <v>#N/A</v>
      </c>
      <c r="ET249" s="414" t="e">
        <f>IF(ET248=0,0,IF(AND(EP249&gt;charge_ELS_quasi,EQ249&gt;Charge_ELS_freq,ER249&gt;charge_ELU,ES249&gt;charge_ELA,$B249&gt;NDC!$H$22-0.1+MIN(3*$ET$12,1.5)),0,1))</f>
        <v>#N/A</v>
      </c>
      <c r="EU249" s="86" t="b">
        <f t="shared" si="363"/>
        <v>0</v>
      </c>
      <c r="EV249" s="86">
        <f t="shared" si="364"/>
        <v>0.61</v>
      </c>
      <c r="EW249" s="86">
        <f t="shared" si="365"/>
        <v>0.61</v>
      </c>
      <c r="EX249" s="30" t="e">
        <f t="shared" ca="1" si="396"/>
        <v>#DIV/0!</v>
      </c>
      <c r="EY249" s="85" t="e">
        <f ca="1">IF(EE249&lt;=Hypothèses!$V$7,Hypothèses!$W$7,IF(EE249&lt;=Hypothèses!$V$8,Hypothèses!$W$8,IF(EE249&lt;=Hypothèses!$V$9,Hypothèses!$W$9,IF(EE249&lt;=Hypothèses!$V$10,Hypothèses!$W$10,IF(EE249&lt;=Hypothèses!$V$11,Hypothèses!$W$11,IF(EE249&lt;=Hypothèses!$V$12,Hypothèses!$W$12,IF(EE249&lt;=Hypothèses!$V$13,Hypothèses!$W$13,IF(EE249&lt;=Hypothèses!$V$14,Hypothèses!$W$14,IF(EE249&lt;=Hypothèses!$V$15,Hypothèses!$W$15,IF(EE249&lt;=Hypothèses!$V$16,Hypothèses!$W$16,IF(EE249&lt;=Hypothèses!$V$17,Hypothèses!$W$17,IF(EE249&lt;=Hypothèses!$V$18,Hypothèses!$W$18,""))))))))))))</f>
        <v>#DIV/0!</v>
      </c>
      <c r="EZ249" s="87" t="e">
        <f t="shared" ca="1" si="423"/>
        <v>#DIV/0!</v>
      </c>
      <c r="FA249" s="88" t="e">
        <f ca="1">IF(EE249&lt;=Hypothèses!$V$7,Hypothèses!$X$7,IF(EE249&lt;=Hypothèses!$V$8,Hypothèses!$X$8,IF(EE249&lt;=Hypothèses!$V$9,Hypothèses!$X$9,IF(EE249&lt;=Hypothèses!$V$10,Hypothèses!$X$10,IF(EE249&lt;=Hypothèses!$V$11,Hypothèses!$X$11,IF(EE249&lt;=Hypothèses!$V$12,Hypothèses!$X$12,IF(EE249&lt;=Hypothèses!$V$13,Hypothèses!$X$13,IF(EE249&lt;=Hypothèses!$V$14,Hypothèses!$X$14,IF(EE249&lt;=Hypothèses!$V$15,Hypothèses!$X$15,IF(EE249&lt;=Hypothèses!$V$16,Hypothèses!$X$16,IF(EE249&lt;=Hypothèses!$U$17,Hypothèses!$W$17,IF(EE249&lt;=Hypothèses!$U$18,Hypothèses!$W$18,""))))))))))))</f>
        <v>#DIV/0!</v>
      </c>
      <c r="FB249" s="95" t="e">
        <f t="shared" ca="1" si="397"/>
        <v>#DIV/0!</v>
      </c>
      <c r="FC249" s="101" t="e">
        <f t="shared" si="430"/>
        <v>#N/A</v>
      </c>
      <c r="FD249" s="91" t="e">
        <f t="shared" si="366"/>
        <v>#N/A</v>
      </c>
      <c r="FE249" s="30" t="e">
        <f t="shared" si="414"/>
        <v>#N/A</v>
      </c>
      <c r="FF249" s="30" t="e">
        <f t="shared" si="415"/>
        <v>#N/A</v>
      </c>
      <c r="FG249" s="31" t="e">
        <f>IF(OR(Hypothèses!$B$4=17,Hypothèses!$B$4=18,Hypothèses!$B$4=19,Hypothèses!$B$4=20),
IF($D249="Pressio.",
IF(OR($E249=3,$E249=1,$E249=4),FF249,FE249),
IF($D249="Pénétro.",
IF(OR($E249=3,$E249=1,$E249=4),FF249,FE249))),IF($D249="Pressio.",
IF($E249=3,FF249,FE249),
IF($D249="Pénétro.",
IF($E249=4,FF249,FE249))))</f>
        <v>#N/A</v>
      </c>
      <c r="FH249" s="31" t="e">
        <f>(IF(OR(Hypothèses!$B$4=17,Hypothèses!$B$4=18,Hypothèses!$B$4=19,Hypothèses!$B$4=20),
IF($D249="Pressio.",
IF(OR($E249=3,$E249=1,$E249=4),(PI()*FH$12^2)/4*(FD249*$W249*1000)/($H249*$B$5),(PI()*FH$12^2)/4*(FD249*$W249*1000)/($G249*$B$5)),
IF($D249="Pénétro.",
IF(OR($E249=4,$E249=1,$E249=5),(PI()*FH$12^2)/4*(FD249*$W249*1000)/($H249*$B$5),(PI()*FH$12^2)/4*(FD249*$W249*1000)/($G249*$B$5)))),
IF($D249="Pressio.",
IF($E249=3,(PI()*FH$12^2)/4*(FD249*$W249*1000)/($H249*$B$5),(PI()*FH$12^2)/4*(FD249*$W249*1000)/($G249*$B$5)),
IF($D249="Pénétro.",
IF($E249=4,(PI()*FH$12^2)/4*(FD249*$W249*1000)/($H249*$B$5),(PI()*FH$12^2)/4*(FD249*$W249*1000)/($G249*$B$5))))))/10</f>
        <v>#N/A</v>
      </c>
      <c r="FI249" s="102" t="e">
        <f>(VLOOKUP($B$3,'Coeff EC7'!$T$39:$X$59,2,0)*FG249+VLOOKUP($B$3,'Coeff EC7'!$T$65:$X$85,2,0)*Model0.1C!FH249)/1.1</f>
        <v>#N/A</v>
      </c>
      <c r="FJ249" s="102" t="e">
        <f>(VLOOKUP($B$3,'Coeff EC7'!$T$39:$X$59,3,0)*FG249+VLOOKUP($B$3,'Coeff EC7'!$T$65:$X$85,3,0)*Model0.1C!FH249)/0.9</f>
        <v>#N/A</v>
      </c>
      <c r="FK249" s="102" t="e">
        <f t="shared" si="398"/>
        <v>#N/A</v>
      </c>
      <c r="FL249" s="102" t="e">
        <f t="shared" si="399"/>
        <v>#N/A</v>
      </c>
      <c r="FM249" s="414" t="e">
        <f>IF(FM248=0,0,IF(AND(FI249&gt;charge_ELS_quasi,FJ249&gt;Charge_ELS_freq,FK249&gt;charge_ELU,FL249&gt;charge_ELA,$B249&gt;NDC!$H$22-0.1+MIN(3*$FM$12,1.5)),0,1))</f>
        <v>#N/A</v>
      </c>
    </row>
    <row r="250" spans="1:169">
      <c r="A250" s="96">
        <f t="shared" si="367"/>
        <v>76.300000000001347</v>
      </c>
      <c r="B250" s="97">
        <v>23.7</v>
      </c>
      <c r="C250" s="81">
        <f>IF(B250&lt;=Hypothèses!$C$7,Hypothèses!$A$7,IF(B250&lt;=Hypothèses!$C$8,Hypothèses!$A$8,IF(B250&lt;=Hypothèses!$C$9,Hypothèses!$A$9,IF(B250&lt;=Hypothèses!$C$10,Hypothèses!$A$10,IF(B250&lt;=Hypothèses!$C$11,Hypothèses!$A$11,IF(B250&lt;=Hypothèses!$C$12,Hypothèses!$A$12,IF(B250&lt;=Hypothèses!$C$13,Hypothèses!$A$13,IF(B250&lt;=Hypothèses!$C$14,Hypothèses!$A$14,IF(B250&lt;=Hypothèses!$C$15,Hypothèses!$A$15,IF(B250&lt;=Hypothèses!$C$16,Hypothèses!$A$16,IF(B250&lt;=Hypothèses!$C$17,Hypothèses!$A$17,IF(B250&lt;=Hypothèses!$C$18,Hypothèses!$A$18,C249))))))))))))</f>
        <v>11</v>
      </c>
      <c r="D250" s="82" t="str">
        <f>IF(B250&lt;=Hypothèses!$C$7,Hypothèses!$R$7,IF(B250&lt;=Hypothèses!$C$8,Hypothèses!$R$8,IF(B250&lt;=Hypothèses!$C$9,Hypothèses!$R$9,IF(B250&lt;=Hypothèses!$C$10,Hypothèses!$R$10,IF(B250&lt;=Hypothèses!$C$11,Hypothèses!$R$11,IF(B250&lt;=Hypothèses!$C$12,Hypothèses!$R$12,IF(B250&lt;=Hypothèses!$C$13,Hypothèses!$R$13,IF(B250&lt;=Hypothèses!$C$14,Hypothèses!$R$14,IF(B250&lt;=Hypothèses!$C$15,Hypothèses!$R$15,IF(B250&lt;=Hypothèses!$C$16,Hypothèses!$R$16,IF(B250&lt;=Hypothèses!$C$17,Hypothèses!$R$17,IF(B250&lt;=Hypothèses!$C$18,Hypothèses!$R$18,D249))))))))))))</f>
        <v>Pressio.</v>
      </c>
      <c r="E250" s="82" t="e">
        <f>IF(B250&lt;=Hypothèses!$C$7,Hypothèses!$G$7,IF(B250&lt;=Hypothèses!$C$8,Hypothèses!$G$8,IF(B250&lt;=Hypothèses!$C$9,Hypothèses!$G$9,IF(B250&lt;=Hypothèses!$C$10,Hypothèses!$G$10,IF(B250&lt;=Hypothèses!$C$11,Hypothèses!$G$11,IF(B250&lt;=Hypothèses!$C$12,Hypothèses!$G$12,IF(B250&lt;=Hypothèses!$C$13,Hypothèses!$G$13,IF(B250&lt;=Hypothèses!$C$14,Hypothèses!$G$14,IF(B250&lt;=Hypothèses!$C$15,Hypothèses!$G$15,IF(B250&lt;=Hypothèses!$C$16,Hypothèses!$G$16,IF(B250&lt;=Hypothèses!$C$17,Hypothèses!$G$17,IF(B250&lt;=Hypothèses!$C$18,Hypothèses!$G$18,E249))))))))))))</f>
        <v>#N/A</v>
      </c>
      <c r="F250" s="82" t="str">
        <f>IF(B250&lt;=Hypothèses!$C$7,Hypothèses!$F$7,IF(B250&lt;=Hypothèses!$C$8,Hypothèses!$F$8,IF(B250&lt;=Hypothèses!$C$9,Hypothèses!$F$9,IF(B250&lt;=Hypothèses!$C$10,Hypothèses!$F$10,IF(B250&lt;=Hypothèses!$C$11,Hypothèses!$F$11,IF(B250&lt;=Hypothèses!$C$12,Hypothèses!$F$12,IF(B250&lt;=Hypothèses!$C$13,Hypothèses!$F$13,IF(B250&lt;=Hypothèses!$C$14,Hypothèses!$F$14,IF(B250&lt;=Hypothèses!$C$15,Hypothèses!$F$15,IF(B250&lt;=Hypothèses!$C$16,Hypothèses!$F$16,IF(B250&lt;=Hypothèses!$C$17,Hypothèses!$F$17,IF(B250&lt;=Hypothèses!$C$18,Hypothèses!$F$18,F249))))))))))))</f>
        <v/>
      </c>
      <c r="G250" s="91">
        <f t="array" ref="G250">INDEX('Coeff EC7'!$U$7:$X$27,
MATCH(Model0.1C!$B$3,'Coeff EC7'!$T$7:$T$27,0),
MATCH(Model0.1C!$D250&amp;Model0.1C!$B$4,
'Coeff EC7'!$U$6:$X$6&amp;
'Coeff EC7'!$U$5:$X$5,0))</f>
        <v>1.1499999999999999</v>
      </c>
      <c r="H250" s="91">
        <f t="array" ref="H250">INDEX('Coeff EC7'!$Y$7:$AB$27,
MATCH(Model0.1C!$B$3,'Coeff EC7'!$T$7:$T$27,0),
MATCH(Model0.1C!$D250&amp;Model0.1C!$B$4,
'Coeff EC7'!$Y$6:$AB$6&amp;
'Coeff EC7'!$Y$5:$AB$5,0))</f>
        <v>1.4</v>
      </c>
      <c r="I250" s="83" t="e">
        <f>IF(B250&lt;=Hypothèses!$C$7,Hypothèses!$P$7,IF(B250&lt;=Hypothèses!$C$8,Hypothèses!$P$8,IF(B250&lt;=Hypothèses!$C$9,Hypothèses!$P$9,IF(B250&lt;=Hypothèses!$C$10,Hypothèses!$P$10,IF(B250&lt;=Hypothèses!$C$11,Hypothèses!$P$11,IF(B250&lt;=Hypothèses!$C$12,Hypothèses!$P$12,IF(B250&lt;=Hypothèses!$C$13,Hypothèses!$P$13,IF(B250&lt;=Hypothèses!$C$14,Hypothèses!$P$14,IF(B250&lt;=Hypothèses!$C$15,Hypothèses!$P$15,IF(B250&lt;=Hypothèses!$C$16,Hypothèses!$P$16,IF(B250&lt;=Hypothèses!$C$17,Hypothèses!$P$17,IF(B250&lt;=Hypothèses!$C$18,Hypothèses!$P$18,I249))))))))))))</f>
        <v>#N/A</v>
      </c>
      <c r="J250" s="91" t="e">
        <f t="array" ref="J250">INDEX('Coeff EC7'!$D$33:$Q$33,1,MATCH(D250&amp;E250,'Coeff EC7'!$D$31:$Q$31&amp;'Coeff EC7'!$D$32:$Q$32,0))</f>
        <v>#N/A</v>
      </c>
      <c r="K250" s="91" t="e">
        <f t="array" ref="K250">INDEX('Coeff EC7'!$D$34:$Q$34,1,MATCH(D250&amp;E250,'Coeff EC7'!$D$31:$Q$31&amp;'Coeff EC7'!$D$32:$Q$32,0))</f>
        <v>#N/A</v>
      </c>
      <c r="L250" s="91" t="e">
        <f t="array" ref="L250">INDEX('Coeff EC7'!$D$35:$Q$35,1,MATCH(D250&amp;E250,'Coeff EC7'!$D$31:$Q$31&amp;'Coeff EC7'!$D$32:$Q$32,0))</f>
        <v>#N/A</v>
      </c>
      <c r="M250" s="98" t="e">
        <f t="shared" si="331"/>
        <v>#N/A</v>
      </c>
      <c r="N250" s="99" t="e">
        <f t="array" ref="N250">INDEX('Coeff EC7'!$D$7:$Q$27,MATCH($B$3,'Coeff EC7'!$C$7:$C$27,0),MATCH(D250&amp;E250,'Coeff EC7'!$D$5:$Q$5&amp;'Coeff EC7'!$D$6:$Q$6,0))</f>
        <v>#N/A</v>
      </c>
      <c r="O250" s="99" t="e">
        <f t="array" ref="O250">INDEX('Coeff EC7'!$D$41:$Q$61,MATCH($B$3,'Coeff EC7'!$C$41:$C$61,0),MATCH(D250&amp;E250,'Coeff EC7'!$D$39:$Q$39&amp;'Coeff EC7'!$D$40:$Q$40,0))</f>
        <v>#N/A</v>
      </c>
      <c r="P250" s="30" t="e">
        <f t="shared" si="368"/>
        <v>#N/A</v>
      </c>
      <c r="Q250" s="100" t="e">
        <f t="shared" si="333"/>
        <v>#N/A</v>
      </c>
      <c r="R250" s="86" t="b">
        <f t="shared" si="334"/>
        <v>0</v>
      </c>
      <c r="S250" s="86">
        <f t="shared" si="332"/>
        <v>0.5</v>
      </c>
      <c r="T250" s="86">
        <f t="shared" si="335"/>
        <v>0.5</v>
      </c>
      <c r="U250" s="30" t="e">
        <f t="shared" ca="1" si="369"/>
        <v>#DIV/0!</v>
      </c>
      <c r="V250" s="85" t="str">
        <f>IF(B250&lt;=Hypothèses!$V$7,Hypothèses!$W$7,IF(B250&lt;=Hypothèses!$V$8,Hypothèses!$W$8,IF(B250&lt;=Hypothèses!$V$9,Hypothèses!$W$9,IF(B250&lt;=Hypothèses!$V$10,Hypothèses!$W$10,IF(B250&lt;=Hypothèses!$V$11,Hypothèses!$W$11,IF(B250&lt;=Hypothèses!$V$12,Hypothèses!$W$12,IF(B250&lt;=Hypothèses!$V$13,Hypothèses!$W$13,IF(B250&lt;=Hypothèses!$V$14,Hypothèses!$W$14,IF(B250&lt;=Hypothèses!$V$15,Hypothèses!$W$15,IF(B250&lt;=Hypothèses!$V$16,Hypothèses!$W$16,IF(B250&lt;=Hypothèses!$V$17,Hypothèses!$W$17,IF(B250&lt;=Hypothèses!$V$18,Hypothèses!$W$18,""))))))))))))</f>
        <v/>
      </c>
      <c r="W250" s="87" t="e">
        <f t="shared" ca="1" si="416"/>
        <v>#DIV/0!</v>
      </c>
      <c r="X250" s="88" t="str">
        <f>IF(B250&lt;=Hypothèses!$V$7,Hypothèses!$X$7,IF(B250&lt;=Hypothèses!$V$8,Hypothèses!$X$8,IF(B250&lt;=Hypothèses!$V$9,Hypothèses!$X$9,IF(B250&lt;=Hypothèses!$V$10,Hypothèses!$X$10,IF(B250&lt;=Hypothèses!$V$11,Hypothèses!$X$11,IF(B250&lt;=Hypothèses!$V$12,Hypothèses!$X$12,IF(B250&lt;=Hypothèses!$V$13,Hypothèses!$X$13,IF(B250&lt;=Hypothèses!$V$14,Hypothèses!$X$14,IF(B250&lt;=Hypothèses!$V$15,Hypothèses!$X$15,IF(B250&lt;=Hypothèses!$V$16,Hypothèses!$X$16,IF(B250&lt;=Hypothèses!$U$17,Hypothèses!$W$17,IF(B250&lt;=Hypothèses!$U$18,Hypothèses!$W$18,""))))))))))))</f>
        <v/>
      </c>
      <c r="Y250" s="95" t="e">
        <f t="shared" ca="1" si="336"/>
        <v>#DIV/0!</v>
      </c>
      <c r="Z250" s="101" t="e">
        <f t="shared" si="337"/>
        <v>#N/A</v>
      </c>
      <c r="AA250" s="91" t="e">
        <f t="shared" si="338"/>
        <v>#N/A</v>
      </c>
      <c r="AB250" s="30" t="e">
        <f t="shared" si="400"/>
        <v>#N/A</v>
      </c>
      <c r="AC250" s="30" t="e">
        <f t="shared" si="401"/>
        <v>#N/A</v>
      </c>
      <c r="AD250" s="31" t="e">
        <f>IF(OR(Hypothèses!$B$4=17,Hypothèses!$B$4=18,Hypothèses!$B$4=19,Hypothèses!$B$4=20),
IF($D250="Pressio.",
IF(OR($E250=3,$E250=1,$E250=4),AC250,AB250),
IF($D250="Pénétro.",
IF(OR($E250=3,$E250=1,$E250=4),AC250,AB250))),IF($D250="Pressio.",
IF($E250=3,AC250,AB250),
IF($D250="Pénétro.",
IF($E250=4,AC250,AB250))))</f>
        <v>#N/A</v>
      </c>
      <c r="AE250" s="31" t="e">
        <f>(IF(OR(Hypothèses!$B$4=17,Hypothèses!$B$4=18,Hypothèses!$B$4=19,Hypothèses!$B$4=20),
IF($D250="Pressio.",
IF(OR($E250=3,$E250=1,$E250=4),(PI()*AE$12^2)/4*(AA250*$W250*1000)/($H250*$B$5),(PI()*AE$12^2)/4*(AA250*$W250*1000)/($G250*$B$5)),
IF($D250="Pénétro.",
IF(OR($E250=4,$E250=1,$E250=5),(PI()*AE$12^2)/4*(AA250*$W250*1000)/($H250*$B$5),(PI()*AE$12^2)/4*(AA250*$W250*1000)/($G250*$B$5)))),
IF($D250="Pressio.",
IF($E250=3,(PI()*AE$12^2)/4*(AA250*$W250*1000)/($H250*$B$5),(PI()*AE$12^2)/4*(AA250*$W250*1000)/($G250*$B$5)),
IF($D250="Pénétro.",
IF($E250=4,(PI()*AE$12^2)/4*(AA250*$W250*1000)/($H250*$B$5),(PI()*AE$12^2)/4*(AA250*$W250*1000)/($G250*$B$5))))))/10</f>
        <v>#N/A</v>
      </c>
      <c r="AF250" s="102" t="e">
        <f>(VLOOKUP($B$3,'Coeff EC7'!$T$39:$X$59,2,0)*AD250+VLOOKUP($B$3,'Coeff EC7'!$T$65:$X$85,2,0)*Model0.1C!AE250)/1.1</f>
        <v>#N/A</v>
      </c>
      <c r="AG250" s="102" t="e">
        <f>(VLOOKUP($B$3,'Coeff EC7'!$T$39:$X$59,3,0)*AD250+VLOOKUP($B$3,'Coeff EC7'!$T$65:$X$85,3,0)*Model0.1C!AE250)/0.9</f>
        <v>#N/A</v>
      </c>
      <c r="AH250" s="102" t="e">
        <f t="shared" si="339"/>
        <v>#N/A</v>
      </c>
      <c r="AI250" s="102" t="e">
        <f t="shared" si="340"/>
        <v>#N/A</v>
      </c>
      <c r="AJ250" s="414" t="e">
        <f>IF(AJ249=0,0,IF(AND(AF250&gt;charge_ELS_quasi,AG250&gt;Charge_ELS_freq,AH250&gt;charge_ELU,AI250&gt;charge_ELA,$B250&gt;NDC!$H$22-0.1+MIN(3*$AJ$12,1.5)),0,1))</f>
        <v>#N/A</v>
      </c>
      <c r="AK250" s="86" t="b">
        <f t="shared" si="341"/>
        <v>0</v>
      </c>
      <c r="AL250" s="86">
        <f t="shared" si="370"/>
        <v>0.5</v>
      </c>
      <c r="AM250" s="86">
        <f t="shared" si="342"/>
        <v>0.5</v>
      </c>
      <c r="AN250" s="30" t="e">
        <f t="shared" ca="1" si="371"/>
        <v>#DIV/0!</v>
      </c>
      <c r="AO250" s="85" t="e">
        <f ca="1">IF(U250&lt;=Hypothèses!$V$7,Hypothèses!$W$7,IF(U250&lt;=Hypothèses!$V$8,Hypothèses!$W$8,IF(U250&lt;=Hypothèses!$V$9,Hypothèses!$W$9,IF(U250&lt;=Hypothèses!$V$10,Hypothèses!$W$10,IF(U250&lt;=Hypothèses!$V$11,Hypothèses!$W$11,IF(U250&lt;=Hypothèses!$V$12,Hypothèses!$W$12,IF(U250&lt;=Hypothèses!$V$13,Hypothèses!$W$13,IF(U250&lt;=Hypothèses!$V$14,Hypothèses!$W$14,IF(U250&lt;=Hypothèses!$V$15,Hypothèses!$W$15,IF(U250&lt;=Hypothèses!$V$16,Hypothèses!$W$16,IF(U250&lt;=Hypothèses!$V$17,Hypothèses!$W$17,IF(U250&lt;=Hypothèses!$V$18,Hypothèses!$W$18,""))))))))))))</f>
        <v>#DIV/0!</v>
      </c>
      <c r="AP250" s="87" t="e">
        <f t="shared" ca="1" si="417"/>
        <v>#DIV/0!</v>
      </c>
      <c r="AQ250" s="88" t="e">
        <f ca="1">IF(U250&lt;=Hypothèses!$V$7,Hypothèses!$X$7,IF(U250&lt;=Hypothèses!$V$8,Hypothèses!$X$8,IF(U250&lt;=Hypothèses!$V$9,Hypothèses!$X$9,IF(U250&lt;=Hypothèses!$V$10,Hypothèses!$X$10,IF(U250&lt;=Hypothèses!$V$11,Hypothèses!$X$11,IF(U250&lt;=Hypothèses!$V$12,Hypothèses!$X$12,IF(U250&lt;=Hypothèses!$V$13,Hypothèses!$X$13,IF(U250&lt;=Hypothèses!$V$14,Hypothèses!$X$14,IF(U250&lt;=Hypothèses!$V$15,Hypothèses!$X$15,IF(U250&lt;=Hypothèses!$V$16,Hypothèses!$X$16,IF(U250&lt;=Hypothèses!$U$17,Hypothèses!$W$17,IF(U250&lt;=Hypothèses!$U$18,Hypothèses!$W$18,""))))))))))))</f>
        <v>#DIV/0!</v>
      </c>
      <c r="AR250" s="95" t="e">
        <f t="shared" ca="1" si="372"/>
        <v>#DIV/0!</v>
      </c>
      <c r="AS250" s="101" t="e">
        <f t="shared" si="424"/>
        <v>#N/A</v>
      </c>
      <c r="AT250" s="91" t="e">
        <f t="shared" si="343"/>
        <v>#N/A</v>
      </c>
      <c r="AU250" s="30" t="e">
        <f t="shared" si="402"/>
        <v>#N/A</v>
      </c>
      <c r="AV250" s="30" t="e">
        <f t="shared" si="403"/>
        <v>#N/A</v>
      </c>
      <c r="AW250" s="31" t="e">
        <f>IF(OR(Hypothèses!$B$4=17,Hypothèses!$B$4=18,Hypothèses!$B$4=19,Hypothèses!$B$4=20),
IF($D250="Pressio.",
IF(OR($E250=3,$E250=1,$E250=4),AV250,AU250),
IF($D250="Pénétro.",
IF(OR($E250=3,$E250=1,$E250=4),AV250,AU250))),IF($D250="Pressio.",
IF($E250=3,AV250,AU250),
IF($D250="Pénétro.",
IF($E250=4,AV250,AU250))))</f>
        <v>#N/A</v>
      </c>
      <c r="AX250" s="31" t="e">
        <f>(IF(OR(Hypothèses!$B$4=17,Hypothèses!$B$4=18,Hypothèses!$B$4=19,Hypothèses!$B$4=20),
IF($D250="Pressio.",
IF(OR($E250=3,$E250=1,$E250=4),(PI()*AX$12^2)/4*(AT250*$W250*1000)/($H250*$B$5),(PI()*AX$12^2)/4*(AT250*$W250*1000)/($G250*$B$5)),
IF($D250="Pénétro.",
IF(OR($E250=4,$E250=1,$E250=5),(PI()*AX$12^2)/4*(AT250*$W250*1000)/($H250*$B$5),(PI()*AX$12^2)/4*(AT250*$W250*1000)/($G250*$B$5)))),
IF($D250="Pressio.",
IF($E250=3,(PI()*AX$12^2)/4*(AT250*$W250*1000)/($H250*$B$5),(PI()*AX$12^2)/4*(AT250*$W250*1000)/($G250*$B$5)),
IF($D250="Pénétro.",
IF($E250=4,(PI()*AX$12^2)/4*(AT250*$W250*1000)/($H250*$B$5),(PI()*AX$12^2)/4*(AT250*$W250*1000)/($G250*$B$5))))))/10</f>
        <v>#N/A</v>
      </c>
      <c r="AY250" s="102" t="e">
        <f>(VLOOKUP($B$3,'Coeff EC7'!$T$39:$X$59,2,0)*AW250+VLOOKUP($B$3,'Coeff EC7'!$T$65:$X$85,2,0)*Model0.1C!AX250)/1.1</f>
        <v>#N/A</v>
      </c>
      <c r="AZ250" s="102" t="e">
        <f>(VLOOKUP($B$3,'Coeff EC7'!$T$39:$X$59,3,0)*AW250+VLOOKUP($B$3,'Coeff EC7'!$T$65:$X$85,3,0)*Model0.1C!AX250)/0.9</f>
        <v>#N/A</v>
      </c>
      <c r="BA250" s="102" t="e">
        <f t="shared" si="373"/>
        <v>#N/A</v>
      </c>
      <c r="BB250" s="102" t="e">
        <f t="shared" si="374"/>
        <v>#N/A</v>
      </c>
      <c r="BC250" s="414" t="e">
        <f>IF(BC249=0,0,IF(AND(AY250&gt;charge_ELS_quasi,AZ250&gt;Charge_ELS_freq,BA250&gt;charge_ELU,BB250&gt;charge_ELA,$B250&gt;NDC!$H$22-0.1+MIN(3*$BC$12,1.5)),0,1))</f>
        <v>#N/A</v>
      </c>
      <c r="BD250" s="86" t="b">
        <f t="shared" si="344"/>
        <v>0</v>
      </c>
      <c r="BE250" s="86">
        <f t="shared" si="375"/>
        <v>0.5</v>
      </c>
      <c r="BF250" s="86">
        <f t="shared" si="345"/>
        <v>0.5</v>
      </c>
      <c r="BG250" s="30" t="e">
        <f t="shared" ca="1" si="376"/>
        <v>#DIV/0!</v>
      </c>
      <c r="BH250" s="85" t="e">
        <f ca="1">IF(AN250&lt;=Hypothèses!$V$7,Hypothèses!$W$7,IF(AN250&lt;=Hypothèses!$V$8,Hypothèses!$W$8,IF(AN250&lt;=Hypothèses!$V$9,Hypothèses!$W$9,IF(AN250&lt;=Hypothèses!$V$10,Hypothèses!$W$10,IF(AN250&lt;=Hypothèses!$V$11,Hypothèses!$W$11,IF(AN250&lt;=Hypothèses!$V$12,Hypothèses!$W$12,IF(AN250&lt;=Hypothèses!$V$13,Hypothèses!$W$13,IF(AN250&lt;=Hypothèses!$V$14,Hypothèses!$W$14,IF(AN250&lt;=Hypothèses!$V$15,Hypothèses!$W$15,IF(AN250&lt;=Hypothèses!$V$16,Hypothèses!$W$16,IF(AN250&lt;=Hypothèses!$V$17,Hypothèses!$W$17,IF(AN250&lt;=Hypothèses!$V$18,Hypothèses!$W$18,""))))))))))))</f>
        <v>#DIV/0!</v>
      </c>
      <c r="BI250" s="87" t="e">
        <f t="shared" ca="1" si="418"/>
        <v>#DIV/0!</v>
      </c>
      <c r="BJ250" s="88" t="e">
        <f ca="1">IF(AN250&lt;=Hypothèses!$V$7,Hypothèses!$X$7,IF(AN250&lt;=Hypothèses!$V$8,Hypothèses!$X$8,IF(AN250&lt;=Hypothèses!$V$9,Hypothèses!$X$9,IF(AN250&lt;=Hypothèses!$V$10,Hypothèses!$X$10,IF(AN250&lt;=Hypothèses!$V$11,Hypothèses!$X$11,IF(AN250&lt;=Hypothèses!$V$12,Hypothèses!$X$12,IF(AN250&lt;=Hypothèses!$V$13,Hypothèses!$X$13,IF(AN250&lt;=Hypothèses!$V$14,Hypothèses!$X$14,IF(AN250&lt;=Hypothèses!$V$15,Hypothèses!$X$15,IF(AN250&lt;=Hypothèses!$V$16,Hypothèses!$X$16,IF(AN250&lt;=Hypothèses!$U$17,Hypothèses!$W$17,IF(AN250&lt;=Hypothèses!$U$18,Hypothèses!$W$18,""))))))))))))</f>
        <v>#DIV/0!</v>
      </c>
      <c r="BK250" s="95" t="e">
        <f t="shared" ca="1" si="377"/>
        <v>#DIV/0!</v>
      </c>
      <c r="BL250" s="101" t="e">
        <f t="shared" si="425"/>
        <v>#N/A</v>
      </c>
      <c r="BM250" s="91" t="e">
        <f t="shared" si="346"/>
        <v>#N/A</v>
      </c>
      <c r="BN250" s="30" t="e">
        <f t="shared" si="404"/>
        <v>#N/A</v>
      </c>
      <c r="BO250" s="30" t="e">
        <f t="shared" si="405"/>
        <v>#N/A</v>
      </c>
      <c r="BP250" s="31" t="e">
        <f>IF(OR(Hypothèses!$B$4=17,Hypothèses!$B$4=18,Hypothèses!$B$4=19,Hypothèses!$B$4=20),
IF($D250="Pressio.",
IF(OR($E250=3,$E250=1,$E250=4),BO250,BN250),
IF($D250="Pénétro.",
IF(OR($E250=3,$E250=1,$E250=4),BO250,BN250))),IF($D250="Pressio.",
IF($E250=3,BO250,BN250),
IF($D250="Pénétro.",
IF($E250=4,BO250,BN250))))</f>
        <v>#N/A</v>
      </c>
      <c r="BQ250" s="31" t="e">
        <f>(IF(OR(Hypothèses!$B$4=17,Hypothèses!$B$4=18,Hypothèses!$B$4=19,Hypothèses!$B$4=20),
IF($D250="Pressio.",
IF(OR($E250=3,$E250=1,$E250=4),(PI()*BQ$12^2)/4*(BM250*$W250*1000)/($H250*$B$5),(PI()*BQ$12^2)/4*(BM250*$W250*1000)/($G250*$B$5)),
IF($D250="Pénétro.",
IF(OR($E250=4,$E250=1,$E250=5),(PI()*BQ$12^2)/4*(BM250*$W250*1000)/($H250*$B$5),(PI()*BQ$12^2)/4*(BM250*$W250*1000)/($G250*$B$5)))),
IF($D250="Pressio.",
IF($E250=3,(PI()*BQ$12^2)/4*(BM250*$W250*1000)/($H250*$B$5),(PI()*BQ$12^2)/4*(BM250*$W250*1000)/($G250*$B$5)),
IF($D250="Pénétro.",
IF($E250=4,(PI()*BQ$12^2)/4*(BM250*$W250*1000)/($H250*$B$5),(PI()*BQ$12^2)/4*(BM250*$W250*1000)/($G250*$B$5))))))/10</f>
        <v>#N/A</v>
      </c>
      <c r="BR250" s="102" t="e">
        <f>(VLOOKUP($B$3,'Coeff EC7'!$T$39:$X$59,2,0)*BP250+VLOOKUP($B$3,'Coeff EC7'!$T$65:$X$85,2,0)*Model0.1C!BQ250)/1.1</f>
        <v>#N/A</v>
      </c>
      <c r="BS250" s="102" t="e">
        <f>(VLOOKUP($B$3,'Coeff EC7'!$T$39:$X$59,3,0)*BP250+VLOOKUP($B$3,'Coeff EC7'!$T$65:$X$85,3,0)*Model0.1C!BQ250)/0.9</f>
        <v>#N/A</v>
      </c>
      <c r="BT250" s="102" t="e">
        <f t="shared" si="378"/>
        <v>#N/A</v>
      </c>
      <c r="BU250" s="102" t="e">
        <f t="shared" si="379"/>
        <v>#N/A</v>
      </c>
      <c r="BV250" s="414" t="e">
        <f>IF(BV249=0,0,IF(AND(BR250&gt;charge_ELS_quasi,BS250&gt;Charge_ELS_freq,BT250&gt;charge_ELU,BU250&gt;charge_ELA,$B250&gt;NDC!$H$22-0.1+MIN(3*$BV$12,1.5)),0,1))</f>
        <v>#N/A</v>
      </c>
      <c r="BW250" s="86" t="b">
        <f t="shared" si="347"/>
        <v>0</v>
      </c>
      <c r="BX250" s="86">
        <f t="shared" si="348"/>
        <v>0.5</v>
      </c>
      <c r="BY250" s="86">
        <f t="shared" si="349"/>
        <v>0.5</v>
      </c>
      <c r="BZ250" s="30" t="e">
        <f t="shared" ca="1" si="380"/>
        <v>#DIV/0!</v>
      </c>
      <c r="CA250" s="85" t="e">
        <f ca="1">IF(BG250&lt;=Hypothèses!$V$7,Hypothèses!$W$7,IF(BG250&lt;=Hypothèses!$V$8,Hypothèses!$W$8,IF(BG250&lt;=Hypothèses!$V$9,Hypothèses!$W$9,IF(BG250&lt;=Hypothèses!$V$10,Hypothèses!$W$10,IF(BG250&lt;=Hypothèses!$V$11,Hypothèses!$W$11,IF(BG250&lt;=Hypothèses!$V$12,Hypothèses!$W$12,IF(BG250&lt;=Hypothèses!$V$13,Hypothèses!$W$13,IF(BG250&lt;=Hypothèses!$V$14,Hypothèses!$W$14,IF(BG250&lt;=Hypothèses!$V$15,Hypothèses!$W$15,IF(BG250&lt;=Hypothèses!$V$16,Hypothèses!$W$16,IF(BG250&lt;=Hypothèses!$V$17,Hypothèses!$W$17,IF(BG250&lt;=Hypothèses!$V$18,Hypothèses!$W$18,""))))))))))))</f>
        <v>#DIV/0!</v>
      </c>
      <c r="CB250" s="87" t="e">
        <f t="shared" ca="1" si="419"/>
        <v>#DIV/0!</v>
      </c>
      <c r="CC250" s="88" t="e">
        <f ca="1">IF(BG250&lt;=Hypothèses!$V$7,Hypothèses!$X$7,IF(BG250&lt;=Hypothèses!$V$8,Hypothèses!$X$8,IF(BG250&lt;=Hypothèses!$V$9,Hypothèses!$X$9,IF(BG250&lt;=Hypothèses!$V$10,Hypothèses!$X$10,IF(BG250&lt;=Hypothèses!$V$11,Hypothèses!$X$11,IF(BG250&lt;=Hypothèses!$V$12,Hypothèses!$X$12,IF(BG250&lt;=Hypothèses!$V$13,Hypothèses!$X$13,IF(BG250&lt;=Hypothèses!$V$14,Hypothèses!$X$14,IF(BG250&lt;=Hypothèses!$V$15,Hypothèses!$X$15,IF(BG250&lt;=Hypothèses!$V$16,Hypothèses!$X$16,IF(BG250&lt;=Hypothèses!$U$17,Hypothèses!$W$17,IF(BG250&lt;=Hypothèses!$U$18,Hypothèses!$W$18,""))))))))))))</f>
        <v>#DIV/0!</v>
      </c>
      <c r="CD250" s="95" t="e">
        <f t="shared" ca="1" si="381"/>
        <v>#DIV/0!</v>
      </c>
      <c r="CE250" s="101" t="e">
        <f t="shared" si="426"/>
        <v>#N/A</v>
      </c>
      <c r="CF250" s="91" t="e">
        <f t="shared" si="350"/>
        <v>#N/A</v>
      </c>
      <c r="CG250" s="30" t="e">
        <f t="shared" si="406"/>
        <v>#N/A</v>
      </c>
      <c r="CH250" s="30" t="e">
        <f t="shared" si="407"/>
        <v>#N/A</v>
      </c>
      <c r="CI250" s="31" t="e">
        <f>IF(OR(Hypothèses!$B$4=17,Hypothèses!$B$4=18,Hypothèses!$B$4=19,Hypothèses!$B$4=20),
IF($D250="Pressio.",
IF(OR($E250=3,$E250=1,$E250=4),CH250,CG250),
IF($D250="Pénétro.",
IF(OR($E250=3,$E250=1,$E250=4),CH250,CG250))),IF($D250="Pressio.",
IF($E250=3,CH250,CG250),
IF($D250="Pénétro.",
IF($E250=4,CH250,CG250))))</f>
        <v>#N/A</v>
      </c>
      <c r="CJ250" s="31" t="e">
        <f>(IF(OR(Hypothèses!$B$4=17,Hypothèses!$B$4=18,Hypothèses!$B$4=19,Hypothèses!$B$4=20),
IF($D250="Pressio.",
IF(OR($E250=3,$E250=1,$E250=4),(PI()*CJ$12^2)/4*(CF250*$W250*1000)/($H250*$B$5),(PI()*CJ$12^2)/4*(CF250*$W250*1000)/($G250*$B$5)),
IF($D250="Pénétro.",
IF(OR($E250=4,$E250=1,$E250=5),(PI()*CJ$12^2)/4*(CF250*$W250*1000)/($H250*$B$5),(PI()*CJ$12^2)/4*(CF250*$W250*1000)/($G250*$B$5)))),
IF($D250="Pressio.",
IF($E250=3,(PI()*CJ$12^2)/4*(CF250*$W250*1000)/($H250*$B$5),(PI()*CJ$12^2)/4*(CF250*$W250*1000)/($G250*$B$5)),
IF($D250="Pénétro.",
IF($E250=4,(PI()*CJ$12^2)/4*(CF250*$W250*1000)/($H250*$B$5),(PI()*CJ$12^2)/4*(CF250*$W250*1000)/($G250*$B$5))))))/10</f>
        <v>#N/A</v>
      </c>
      <c r="CK250" s="102" t="e">
        <f>(VLOOKUP($B$3,'Coeff EC7'!$T$39:$X$59,2,0)*CI250+VLOOKUP($B$3,'Coeff EC7'!$T$65:$X$85,2,0)*Model0.1C!CJ250)/1.1</f>
        <v>#N/A</v>
      </c>
      <c r="CL250" s="102" t="e">
        <f>(VLOOKUP($B$3,'Coeff EC7'!$T$39:$X$59,3,0)*CI250+VLOOKUP($B$3,'Coeff EC7'!$T$65:$X$85,3,0)*Model0.1C!CJ250)/0.9</f>
        <v>#N/A</v>
      </c>
      <c r="CM250" s="102" t="e">
        <f t="shared" si="382"/>
        <v>#N/A</v>
      </c>
      <c r="CN250" s="102" t="e">
        <f t="shared" si="383"/>
        <v>#N/A</v>
      </c>
      <c r="CO250" s="414" t="e">
        <f>IF(CO249=0,0,IF(AND(CK250&gt;charge_ELS_quasi,CL250&gt;Charge_ELS_freq,CM250&gt;charge_ELU,CN250&gt;charge_ELA,$B250&gt;NDC!$H$22-0.1+MIN(3*$CO$12,1.5)),0,1))</f>
        <v>#N/A</v>
      </c>
      <c r="CP250" s="86" t="b">
        <f t="shared" si="351"/>
        <v>0</v>
      </c>
      <c r="CQ250" s="86">
        <f t="shared" si="352"/>
        <v>0.5</v>
      </c>
      <c r="CR250" s="86">
        <f t="shared" si="353"/>
        <v>0.5</v>
      </c>
      <c r="CS250" s="30" t="e">
        <f t="shared" ca="1" si="384"/>
        <v>#DIV/0!</v>
      </c>
      <c r="CT250" s="85" t="e">
        <f ca="1">IF(BZ250&lt;=Hypothèses!$V$7,Hypothèses!$W$7,IF(BZ250&lt;=Hypothèses!$V$8,Hypothèses!$W$8,IF(BZ250&lt;=Hypothèses!$V$9,Hypothèses!$W$9,IF(BZ250&lt;=Hypothèses!$V$10,Hypothèses!$W$10,IF(BZ250&lt;=Hypothèses!$V$11,Hypothèses!$W$11,IF(BZ250&lt;=Hypothèses!$V$12,Hypothèses!$W$12,IF(BZ250&lt;=Hypothèses!$V$13,Hypothèses!$W$13,IF(BZ250&lt;=Hypothèses!$V$14,Hypothèses!$W$14,IF(BZ250&lt;=Hypothèses!$V$15,Hypothèses!$W$15,IF(BZ250&lt;=Hypothèses!$V$16,Hypothèses!$W$16,IF(BZ250&lt;=Hypothèses!$V$17,Hypothèses!$W$17,IF(BZ250&lt;=Hypothèses!$V$18,Hypothèses!$W$18,""))))))))))))</f>
        <v>#DIV/0!</v>
      </c>
      <c r="CU250" s="87" t="e">
        <f t="shared" ca="1" si="420"/>
        <v>#DIV/0!</v>
      </c>
      <c r="CV250" s="88" t="e">
        <f ca="1">IF(BZ250&lt;=Hypothèses!$V$7,Hypothèses!$X$7,IF(BZ250&lt;=Hypothèses!$V$8,Hypothèses!$X$8,IF(BZ250&lt;=Hypothèses!$V$9,Hypothèses!$X$9,IF(BZ250&lt;=Hypothèses!$V$10,Hypothèses!$X$10,IF(BZ250&lt;=Hypothèses!$V$11,Hypothèses!$X$11,IF(BZ250&lt;=Hypothèses!$V$12,Hypothèses!$X$12,IF(BZ250&lt;=Hypothèses!$V$13,Hypothèses!$X$13,IF(BZ250&lt;=Hypothèses!$V$14,Hypothèses!$X$14,IF(BZ250&lt;=Hypothèses!$V$15,Hypothèses!$X$15,IF(BZ250&lt;=Hypothèses!$V$16,Hypothèses!$X$16,IF(BZ250&lt;=Hypothèses!$U$17,Hypothèses!$W$17,IF(BZ250&lt;=Hypothèses!$U$18,Hypothèses!$W$18,""))))))))))))</f>
        <v>#DIV/0!</v>
      </c>
      <c r="CW250" s="95" t="e">
        <f t="shared" ca="1" si="385"/>
        <v>#DIV/0!</v>
      </c>
      <c r="CX250" s="101" t="e">
        <f t="shared" si="427"/>
        <v>#N/A</v>
      </c>
      <c r="CY250" s="91" t="e">
        <f t="shared" si="354"/>
        <v>#N/A</v>
      </c>
      <c r="CZ250" s="30" t="e">
        <f t="shared" si="408"/>
        <v>#N/A</v>
      </c>
      <c r="DA250" s="30" t="e">
        <f t="shared" si="409"/>
        <v>#N/A</v>
      </c>
      <c r="DB250" s="31" t="e">
        <f>IF(OR(Hypothèses!$B$4=17,Hypothèses!$B$4=18,Hypothèses!$B$4=19,Hypothèses!$B$4=20),
IF($D250="Pressio.",
IF(OR($E250=3,$E250=1,$E250=4),DA250,CZ250),
IF($D250="Pénétro.",
IF(OR($E250=3,$E250=1,$E250=4),DA250,CZ250))),IF($D250="Pressio.",
IF($E250=3,DA250,CZ250),
IF($D250="Pénétro.",
IF($E250=4,DA250,CZ250))))</f>
        <v>#N/A</v>
      </c>
      <c r="DC250" s="31" t="e">
        <f>(IF(OR(Hypothèses!$B$4=17,Hypothèses!$B$4=18,Hypothèses!$B$4=19,Hypothèses!$B$4=20),
IF($D250="Pressio.",
IF(OR($E250=3,$E250=1,$E250=4),(PI()*DC$12^2)/4*(CY250*$W250*1000)/($H250*$B$5),(PI()*DC$12^2)/4*(CY250*$W250*1000)/($G250*$B$5)),
IF($D250="Pénétro.",
IF(OR($E250=4,$E250=1,$E250=5),(PI()*DC$12^2)/4*(CY250*$W250*1000)/($H250*$B$5),(PI()*DC$12^2)/4*(CY250*$W250*1000)/($G250*$B$5)))),
IF($D250="Pressio.",
IF($E250=3,(PI()*DC$12^2)/4*(CY250*$W250*1000)/($H250*$B$5),(PI()*DC$12^2)/4*(CY250*$W250*1000)/($G250*$B$5)),
IF($D250="Pénétro.",
IF($E250=4,(PI()*DC$12^2)/4*(CY250*$W250*1000)/($H250*$B$5),(PI()*DC$12^2)/4*(CY250*$W250*1000)/($G250*$B$5))))))/10</f>
        <v>#N/A</v>
      </c>
      <c r="DD250" s="102" t="e">
        <f>(VLOOKUP($B$3,'Coeff EC7'!$T$39:$X$59,2,0)*DB250+VLOOKUP($B$3,'Coeff EC7'!$T$65:$X$85,2,0)*Model0.1C!DC250)/1.1</f>
        <v>#N/A</v>
      </c>
      <c r="DE250" s="102" t="e">
        <f>(VLOOKUP($B$3,'Coeff EC7'!$T$39:$X$59,3,0)*DB250+VLOOKUP($B$3,'Coeff EC7'!$T$65:$X$85,3,0)*Model0.1C!DC250)/0.9</f>
        <v>#N/A</v>
      </c>
      <c r="DF250" s="102" t="e">
        <f t="shared" si="386"/>
        <v>#N/A</v>
      </c>
      <c r="DG250" s="102" t="e">
        <f t="shared" si="387"/>
        <v>#N/A</v>
      </c>
      <c r="DH250" s="414" t="e">
        <f>IF(DH249=0,0,IF(AND(DD250&gt;charge_ELS_quasi,DE250&gt;Charge_ELS_freq,DF250&gt;charge_ELU,DG250&gt;charge_ELA,$B250&gt;NDC!$H$22-0.1+MIN(3*$DH$12,1.5)),0,1))</f>
        <v>#N/A</v>
      </c>
      <c r="DI250" s="86" t="b">
        <f t="shared" si="355"/>
        <v>0</v>
      </c>
      <c r="DJ250" s="86">
        <f t="shared" si="356"/>
        <v>0.5</v>
      </c>
      <c r="DK250" s="86">
        <f t="shared" si="357"/>
        <v>0.5</v>
      </c>
      <c r="DL250" s="30" t="e">
        <f t="shared" ca="1" si="388"/>
        <v>#DIV/0!</v>
      </c>
      <c r="DM250" s="85" t="e">
        <f ca="1">IF(CS250&lt;=Hypothèses!$V$7,Hypothèses!$W$7,IF(CS250&lt;=Hypothèses!$V$8,Hypothèses!$W$8,IF(CS250&lt;=Hypothèses!$V$9,Hypothèses!$W$9,IF(CS250&lt;=Hypothèses!$V$10,Hypothèses!$W$10,IF(CS250&lt;=Hypothèses!$V$11,Hypothèses!$W$11,IF(CS250&lt;=Hypothèses!$V$12,Hypothèses!$W$12,IF(CS250&lt;=Hypothèses!$V$13,Hypothèses!$W$13,IF(CS250&lt;=Hypothèses!$V$14,Hypothèses!$W$14,IF(CS250&lt;=Hypothèses!$V$15,Hypothèses!$W$15,IF(CS250&lt;=Hypothèses!$V$16,Hypothèses!$W$16,IF(CS250&lt;=Hypothèses!$V$17,Hypothèses!$W$17,IF(CS250&lt;=Hypothèses!$V$18,Hypothèses!$W$18,""))))))))))))</f>
        <v>#DIV/0!</v>
      </c>
      <c r="DN250" s="87" t="e">
        <f t="shared" ca="1" si="421"/>
        <v>#DIV/0!</v>
      </c>
      <c r="DO250" s="88" t="e">
        <f ca="1">IF(CS250&lt;=Hypothèses!$V$7,Hypothèses!$X$7,IF(CS250&lt;=Hypothèses!$V$8,Hypothèses!$X$8,IF(CS250&lt;=Hypothèses!$V$9,Hypothèses!$X$9,IF(CS250&lt;=Hypothèses!$V$10,Hypothèses!$X$10,IF(CS250&lt;=Hypothèses!$V$11,Hypothèses!$X$11,IF(CS250&lt;=Hypothèses!$V$12,Hypothèses!$X$12,IF(CS250&lt;=Hypothèses!$V$13,Hypothèses!$X$13,IF(CS250&lt;=Hypothèses!$V$14,Hypothèses!$X$14,IF(CS250&lt;=Hypothèses!$V$15,Hypothèses!$X$15,IF(CS250&lt;=Hypothèses!$V$16,Hypothèses!$X$16,IF(CS250&lt;=Hypothèses!$U$17,Hypothèses!$W$17,IF(CS250&lt;=Hypothèses!$U$18,Hypothèses!$W$18,""))))))))))))</f>
        <v>#DIV/0!</v>
      </c>
      <c r="DP250" s="95" t="e">
        <f t="shared" ca="1" si="389"/>
        <v>#DIV/0!</v>
      </c>
      <c r="DQ250" s="101" t="e">
        <f t="shared" si="428"/>
        <v>#N/A</v>
      </c>
      <c r="DR250" s="91" t="e">
        <f t="shared" si="358"/>
        <v>#N/A</v>
      </c>
      <c r="DS250" s="30" t="e">
        <f t="shared" si="410"/>
        <v>#N/A</v>
      </c>
      <c r="DT250" s="30" t="e">
        <f t="shared" si="411"/>
        <v>#N/A</v>
      </c>
      <c r="DU250" s="31" t="e">
        <f>IF(OR(Hypothèses!$B$4=17,Hypothèses!$B$4=18,Hypothèses!$B$4=19,Hypothèses!$B$4=20),
IF($D250="Pressio.",
IF(OR($E250=3,$E250=1,$E250=4),DT250,DS250),
IF($D250="Pénétro.",
IF(OR($E250=3,$E250=1,$E250=4),DT250,DS250))),IF($D250="Pressio.",
IF($E250=3,DT250,DS250),
IF($D250="Pénétro.",
IF($E250=4,DT250,DS250))))</f>
        <v>#N/A</v>
      </c>
      <c r="DV250" s="31" t="e">
        <f>(IF(OR(Hypothèses!$B$4=17,Hypothèses!$B$4=18,Hypothèses!$B$4=19,Hypothèses!$B$4=20),
IF($D250="Pressio.",
IF(OR($E250=3,$E250=1,$E250=4),(PI()*DV$12^2)/4*(DR250*$W250*1000)/($H250*$B$5),(PI()*DV$12^2)/4*(DR250*$W250*1000)/($G250*$B$5)),
IF($D250="Pénétro.",
IF(OR($E250=4,$E250=1,$E250=5),(PI()*DV$12^2)/4*(DR250*$W250*1000)/($H250*$B$5),(PI()*DV$12^2)/4*(DR250*$W250*1000)/($G250*$B$5)))),
IF($D250="Pressio.",
IF($E250=3,(PI()*DV$12^2)/4*(DR250*$W250*1000)/($H250*$B$5),(PI()*DV$12^2)/4*(DR250*$W250*1000)/($G250*$B$5)),
IF($D250="Pénétro.",
IF($E250=4,(PI()*DV$12^2)/4*(DR250*$W250*1000)/($H250*$B$5),(PI()*DV$12^2)/4*(DR250*$W250*1000)/($G250*$B$5))))))/10</f>
        <v>#N/A</v>
      </c>
      <c r="DW250" s="102" t="e">
        <f>(VLOOKUP($B$3,'Coeff EC7'!$T$39:$X$59,2,0)*DU250+VLOOKUP($B$3,'Coeff EC7'!$T$65:$X$85,2,0)*Model0.1C!DV250)/1.1</f>
        <v>#N/A</v>
      </c>
      <c r="DX250" s="102" t="e">
        <f>(VLOOKUP($B$3,'Coeff EC7'!$T$39:$X$59,3,0)*DU250+VLOOKUP($B$3,'Coeff EC7'!$T$65:$X$85,3,0)*Model0.1C!DV250)/0.9</f>
        <v>#N/A</v>
      </c>
      <c r="DY250" s="102" t="e">
        <f t="shared" si="390"/>
        <v>#N/A</v>
      </c>
      <c r="DZ250" s="102" t="e">
        <f t="shared" si="391"/>
        <v>#N/A</v>
      </c>
      <c r="EA250" s="414" t="e">
        <f>IF(EA249=0,0,IF(AND(DW250&gt;charge_ELS_quasi,DX250&gt;Charge_ELS_freq,DY250&gt;charge_ELU,DZ250&gt;charge_ELA,$B250&gt;NDC!$H$22-0.1+MIN(3*$EA$12,1.5)),0,1))</f>
        <v>#N/A</v>
      </c>
      <c r="EB250" s="86" t="b">
        <f t="shared" si="359"/>
        <v>0</v>
      </c>
      <c r="EC250" s="418">
        <f t="shared" si="360"/>
        <v>0.51</v>
      </c>
      <c r="ED250" s="86">
        <f t="shared" si="361"/>
        <v>0.51</v>
      </c>
      <c r="EE250" s="30" t="e">
        <f t="shared" ca="1" si="392"/>
        <v>#DIV/0!</v>
      </c>
      <c r="EF250" s="85" t="e">
        <f ca="1">IF(DL250&lt;=Hypothèses!$V$7,Hypothèses!$W$7,IF(DL250&lt;=Hypothèses!$V$8,Hypothèses!$W$8,IF(DL250&lt;=Hypothèses!$V$9,Hypothèses!$W$9,IF(DL250&lt;=Hypothèses!$V$10,Hypothèses!$W$10,IF(DL250&lt;=Hypothèses!$V$11,Hypothèses!$W$11,IF(DL250&lt;=Hypothèses!$V$12,Hypothèses!$W$12,IF(DL250&lt;=Hypothèses!$V$13,Hypothèses!$W$13,IF(DL250&lt;=Hypothèses!$V$14,Hypothèses!$W$14,IF(DL250&lt;=Hypothèses!$V$15,Hypothèses!$W$15,IF(DL250&lt;=Hypothèses!$V$16,Hypothèses!$W$16,IF(DL250&lt;=Hypothèses!$V$17,Hypothèses!$W$17,IF(DL250&lt;=Hypothèses!$V$18,Hypothèses!$W$18,""))))))))))))</f>
        <v>#DIV/0!</v>
      </c>
      <c r="EG250" s="87" t="e">
        <f t="shared" ca="1" si="422"/>
        <v>#DIV/0!</v>
      </c>
      <c r="EH250" s="88" t="e">
        <f ca="1">IF(DL250&lt;=Hypothèses!$V$7,Hypothèses!$X$7,IF(DL250&lt;=Hypothèses!$V$8,Hypothèses!$X$8,IF(DL250&lt;=Hypothèses!$V$9,Hypothèses!$X$9,IF(DL250&lt;=Hypothèses!$V$10,Hypothèses!$X$10,IF(DL250&lt;=Hypothèses!$V$11,Hypothèses!$X$11,IF(DL250&lt;=Hypothèses!$V$12,Hypothèses!$X$12,IF(DL250&lt;=Hypothèses!$V$13,Hypothèses!$X$13,IF(DL250&lt;=Hypothèses!$V$14,Hypothèses!$X$14,IF(DL250&lt;=Hypothèses!$V$15,Hypothèses!$X$15,IF(DL250&lt;=Hypothèses!$V$16,Hypothèses!$X$16,IF(DL250&lt;=Hypothèses!$U$17,Hypothèses!$W$17,IF(DL250&lt;=Hypothèses!$U$18,Hypothèses!$W$18,""))))))))))))</f>
        <v>#DIV/0!</v>
      </c>
      <c r="EI250" s="95" t="e">
        <f t="shared" ca="1" si="393"/>
        <v>#DIV/0!</v>
      </c>
      <c r="EJ250" s="101" t="e">
        <f t="shared" si="429"/>
        <v>#N/A</v>
      </c>
      <c r="EK250" s="91" t="e">
        <f t="shared" si="362"/>
        <v>#N/A</v>
      </c>
      <c r="EL250" s="30" t="e">
        <f t="shared" si="412"/>
        <v>#N/A</v>
      </c>
      <c r="EM250" s="30" t="e">
        <f t="shared" si="413"/>
        <v>#N/A</v>
      </c>
      <c r="EN250" s="31" t="e">
        <f>IF(OR(Hypothèses!$B$4=17,Hypothèses!$B$4=18,Hypothèses!$B$4=19,Hypothèses!$B$4=20),
IF($D250="Pressio.",
IF(OR($E250=3,$E250=1,$E250=4),EM250,EL250),
IF($D250="Pénétro.",
IF(OR($E250=3,$E250=1,$E250=4),EM250,EL250))),IF($D250="Pressio.",
IF($E250=3,EM250,EL250),
IF($D250="Pénétro.",
IF($E250=4,EM250,EL250))))</f>
        <v>#N/A</v>
      </c>
      <c r="EO250" s="31" t="e">
        <f>(IF(OR(Hypothèses!$B$4=17,Hypothèses!$B$4=18,Hypothèses!$B$4=19,Hypothèses!$B$4=20),
IF($D250="Pressio.",
IF(OR($E250=3,$E250=1,$E250=4),(PI()*EO$12^2)/4*(EK250*$W250*1000)/($H250*$B$5),(PI()*EO$12^2)/4*(EK250*$W250*1000)/($G250*$B$5)),
IF($D250="Pénétro.",
IF(OR($E250=4,$E250=1,$E250=5),(PI()*EO$12^2)/4*(EK250*$W250*1000)/($H250*$B$5),(PI()*EO$12^2)/4*(EK250*$W250*1000)/($G250*$B$5)))),
IF($D250="Pressio.",
IF($E250=3,(PI()*EO$12^2)/4*(EK250*$W250*1000)/($H250*$B$5),(PI()*EO$12^2)/4*(EK250*$W250*1000)/($G250*$B$5)),
IF($D250="Pénétro.",
IF($E250=4,(PI()*EO$12^2)/4*(EK250*$W250*1000)/($H250*$B$5),(PI()*EO$12^2)/4*(EK250*$W250*1000)/($G250*$B$5))))))/10</f>
        <v>#N/A</v>
      </c>
      <c r="EP250" s="102" t="e">
        <f>(VLOOKUP($B$3,'Coeff EC7'!$T$39:$X$59,2,0)*EN250+VLOOKUP($B$3,'Coeff EC7'!$T$65:$X$85,2,0)*Model0.1C!EO250)/1.1</f>
        <v>#N/A</v>
      </c>
      <c r="EQ250" s="102" t="e">
        <f>(VLOOKUP($B$3,'Coeff EC7'!$T$39:$X$59,3,0)*EN250+VLOOKUP($B$3,'Coeff EC7'!$T$65:$X$85,3,0)*Model0.1C!EO250)/0.9</f>
        <v>#N/A</v>
      </c>
      <c r="ER250" s="102" t="e">
        <f t="shared" si="394"/>
        <v>#N/A</v>
      </c>
      <c r="ES250" s="102" t="e">
        <f t="shared" si="395"/>
        <v>#N/A</v>
      </c>
      <c r="ET250" s="414" t="e">
        <f>IF(ET249=0,0,IF(AND(EP250&gt;charge_ELS_quasi,EQ250&gt;Charge_ELS_freq,ER250&gt;charge_ELU,ES250&gt;charge_ELA,$B250&gt;NDC!$H$22-0.1+MIN(3*$ET$12,1.5)),0,1))</f>
        <v>#N/A</v>
      </c>
      <c r="EU250" s="86" t="b">
        <f t="shared" si="363"/>
        <v>0</v>
      </c>
      <c r="EV250" s="86">
        <f t="shared" si="364"/>
        <v>0.61</v>
      </c>
      <c r="EW250" s="86">
        <f t="shared" si="365"/>
        <v>0.61</v>
      </c>
      <c r="EX250" s="30" t="e">
        <f t="shared" ca="1" si="396"/>
        <v>#DIV/0!</v>
      </c>
      <c r="EY250" s="85" t="e">
        <f ca="1">IF(EE250&lt;=Hypothèses!$V$7,Hypothèses!$W$7,IF(EE250&lt;=Hypothèses!$V$8,Hypothèses!$W$8,IF(EE250&lt;=Hypothèses!$V$9,Hypothèses!$W$9,IF(EE250&lt;=Hypothèses!$V$10,Hypothèses!$W$10,IF(EE250&lt;=Hypothèses!$V$11,Hypothèses!$W$11,IF(EE250&lt;=Hypothèses!$V$12,Hypothèses!$W$12,IF(EE250&lt;=Hypothèses!$V$13,Hypothèses!$W$13,IF(EE250&lt;=Hypothèses!$V$14,Hypothèses!$W$14,IF(EE250&lt;=Hypothèses!$V$15,Hypothèses!$W$15,IF(EE250&lt;=Hypothèses!$V$16,Hypothèses!$W$16,IF(EE250&lt;=Hypothèses!$V$17,Hypothèses!$W$17,IF(EE250&lt;=Hypothèses!$V$18,Hypothèses!$W$18,""))))))))))))</f>
        <v>#DIV/0!</v>
      </c>
      <c r="EZ250" s="87" t="e">
        <f t="shared" ca="1" si="423"/>
        <v>#DIV/0!</v>
      </c>
      <c r="FA250" s="88" t="e">
        <f ca="1">IF(EE250&lt;=Hypothèses!$V$7,Hypothèses!$X$7,IF(EE250&lt;=Hypothèses!$V$8,Hypothèses!$X$8,IF(EE250&lt;=Hypothèses!$V$9,Hypothèses!$X$9,IF(EE250&lt;=Hypothèses!$V$10,Hypothèses!$X$10,IF(EE250&lt;=Hypothèses!$V$11,Hypothèses!$X$11,IF(EE250&lt;=Hypothèses!$V$12,Hypothèses!$X$12,IF(EE250&lt;=Hypothèses!$V$13,Hypothèses!$X$13,IF(EE250&lt;=Hypothèses!$V$14,Hypothèses!$X$14,IF(EE250&lt;=Hypothèses!$V$15,Hypothèses!$X$15,IF(EE250&lt;=Hypothèses!$V$16,Hypothèses!$X$16,IF(EE250&lt;=Hypothèses!$U$17,Hypothèses!$W$17,IF(EE250&lt;=Hypothèses!$U$18,Hypothèses!$W$18,""))))))))))))</f>
        <v>#DIV/0!</v>
      </c>
      <c r="FB250" s="95" t="e">
        <f t="shared" ca="1" si="397"/>
        <v>#DIV/0!</v>
      </c>
      <c r="FC250" s="101" t="e">
        <f t="shared" si="430"/>
        <v>#N/A</v>
      </c>
      <c r="FD250" s="91" t="e">
        <f t="shared" si="366"/>
        <v>#N/A</v>
      </c>
      <c r="FE250" s="30" t="e">
        <f t="shared" si="414"/>
        <v>#N/A</v>
      </c>
      <c r="FF250" s="30" t="e">
        <f t="shared" si="415"/>
        <v>#N/A</v>
      </c>
      <c r="FG250" s="31" t="e">
        <f>IF(OR(Hypothèses!$B$4=17,Hypothèses!$B$4=18,Hypothèses!$B$4=19,Hypothèses!$B$4=20),
IF($D250="Pressio.",
IF(OR($E250=3,$E250=1,$E250=4),FF250,FE250),
IF($D250="Pénétro.",
IF(OR($E250=3,$E250=1,$E250=4),FF250,FE250))),IF($D250="Pressio.",
IF($E250=3,FF250,FE250),
IF($D250="Pénétro.",
IF($E250=4,FF250,FE250))))</f>
        <v>#N/A</v>
      </c>
      <c r="FH250" s="31" t="e">
        <f>(IF(OR(Hypothèses!$B$4=17,Hypothèses!$B$4=18,Hypothèses!$B$4=19,Hypothèses!$B$4=20),
IF($D250="Pressio.",
IF(OR($E250=3,$E250=1,$E250=4),(PI()*FH$12^2)/4*(FD250*$W250*1000)/($H250*$B$5),(PI()*FH$12^2)/4*(FD250*$W250*1000)/($G250*$B$5)),
IF($D250="Pénétro.",
IF(OR($E250=4,$E250=1,$E250=5),(PI()*FH$12^2)/4*(FD250*$W250*1000)/($H250*$B$5),(PI()*FH$12^2)/4*(FD250*$W250*1000)/($G250*$B$5)))),
IF($D250="Pressio.",
IF($E250=3,(PI()*FH$12^2)/4*(FD250*$W250*1000)/($H250*$B$5),(PI()*FH$12^2)/4*(FD250*$W250*1000)/($G250*$B$5)),
IF($D250="Pénétro.",
IF($E250=4,(PI()*FH$12^2)/4*(FD250*$W250*1000)/($H250*$B$5),(PI()*FH$12^2)/4*(FD250*$W250*1000)/($G250*$B$5))))))/10</f>
        <v>#N/A</v>
      </c>
      <c r="FI250" s="102" t="e">
        <f>(VLOOKUP($B$3,'Coeff EC7'!$T$39:$X$59,2,0)*FG250+VLOOKUP($B$3,'Coeff EC7'!$T$65:$X$85,2,0)*Model0.1C!FH250)/1.1</f>
        <v>#N/A</v>
      </c>
      <c r="FJ250" s="102" t="e">
        <f>(VLOOKUP($B$3,'Coeff EC7'!$T$39:$X$59,3,0)*FG250+VLOOKUP($B$3,'Coeff EC7'!$T$65:$X$85,3,0)*Model0.1C!FH250)/0.9</f>
        <v>#N/A</v>
      </c>
      <c r="FK250" s="102" t="e">
        <f t="shared" si="398"/>
        <v>#N/A</v>
      </c>
      <c r="FL250" s="102" t="e">
        <f t="shared" si="399"/>
        <v>#N/A</v>
      </c>
      <c r="FM250" s="414" t="e">
        <f>IF(FM249=0,0,IF(AND(FI250&gt;charge_ELS_quasi,FJ250&gt;Charge_ELS_freq,FK250&gt;charge_ELU,FL250&gt;charge_ELA,$B250&gt;NDC!$H$22-0.1+MIN(3*$FM$12,1.5)),0,1))</f>
        <v>#N/A</v>
      </c>
    </row>
    <row r="251" spans="1:169">
      <c r="A251" s="96">
        <f t="shared" si="367"/>
        <v>76.200000000001353</v>
      </c>
      <c r="B251" s="97">
        <v>23.8</v>
      </c>
      <c r="C251" s="81">
        <f>IF(B251&lt;=Hypothèses!$C$7,Hypothèses!$A$7,IF(B251&lt;=Hypothèses!$C$8,Hypothèses!$A$8,IF(B251&lt;=Hypothèses!$C$9,Hypothèses!$A$9,IF(B251&lt;=Hypothèses!$C$10,Hypothèses!$A$10,IF(B251&lt;=Hypothèses!$C$11,Hypothèses!$A$11,IF(B251&lt;=Hypothèses!$C$12,Hypothèses!$A$12,IF(B251&lt;=Hypothèses!$C$13,Hypothèses!$A$13,IF(B251&lt;=Hypothèses!$C$14,Hypothèses!$A$14,IF(B251&lt;=Hypothèses!$C$15,Hypothèses!$A$15,IF(B251&lt;=Hypothèses!$C$16,Hypothèses!$A$16,IF(B251&lt;=Hypothèses!$C$17,Hypothèses!$A$17,IF(B251&lt;=Hypothèses!$C$18,Hypothèses!$A$18,C250))))))))))))</f>
        <v>11</v>
      </c>
      <c r="D251" s="82" t="str">
        <f>IF(B251&lt;=Hypothèses!$C$7,Hypothèses!$R$7,IF(B251&lt;=Hypothèses!$C$8,Hypothèses!$R$8,IF(B251&lt;=Hypothèses!$C$9,Hypothèses!$R$9,IF(B251&lt;=Hypothèses!$C$10,Hypothèses!$R$10,IF(B251&lt;=Hypothèses!$C$11,Hypothèses!$R$11,IF(B251&lt;=Hypothèses!$C$12,Hypothèses!$R$12,IF(B251&lt;=Hypothèses!$C$13,Hypothèses!$R$13,IF(B251&lt;=Hypothèses!$C$14,Hypothèses!$R$14,IF(B251&lt;=Hypothèses!$C$15,Hypothèses!$R$15,IF(B251&lt;=Hypothèses!$C$16,Hypothèses!$R$16,IF(B251&lt;=Hypothèses!$C$17,Hypothèses!$R$17,IF(B251&lt;=Hypothèses!$C$18,Hypothèses!$R$18,D250))))))))))))</f>
        <v>Pressio.</v>
      </c>
      <c r="E251" s="82" t="e">
        <f>IF(B251&lt;=Hypothèses!$C$7,Hypothèses!$G$7,IF(B251&lt;=Hypothèses!$C$8,Hypothèses!$G$8,IF(B251&lt;=Hypothèses!$C$9,Hypothèses!$G$9,IF(B251&lt;=Hypothèses!$C$10,Hypothèses!$G$10,IF(B251&lt;=Hypothèses!$C$11,Hypothèses!$G$11,IF(B251&lt;=Hypothèses!$C$12,Hypothèses!$G$12,IF(B251&lt;=Hypothèses!$C$13,Hypothèses!$G$13,IF(B251&lt;=Hypothèses!$C$14,Hypothèses!$G$14,IF(B251&lt;=Hypothèses!$C$15,Hypothèses!$G$15,IF(B251&lt;=Hypothèses!$C$16,Hypothèses!$G$16,IF(B251&lt;=Hypothèses!$C$17,Hypothèses!$G$17,IF(B251&lt;=Hypothèses!$C$18,Hypothèses!$G$18,E250))))))))))))</f>
        <v>#N/A</v>
      </c>
      <c r="F251" s="82" t="str">
        <f>IF(B251&lt;=Hypothèses!$C$7,Hypothèses!$F$7,IF(B251&lt;=Hypothèses!$C$8,Hypothèses!$F$8,IF(B251&lt;=Hypothèses!$C$9,Hypothèses!$F$9,IF(B251&lt;=Hypothèses!$C$10,Hypothèses!$F$10,IF(B251&lt;=Hypothèses!$C$11,Hypothèses!$F$11,IF(B251&lt;=Hypothèses!$C$12,Hypothèses!$F$12,IF(B251&lt;=Hypothèses!$C$13,Hypothèses!$F$13,IF(B251&lt;=Hypothèses!$C$14,Hypothèses!$F$14,IF(B251&lt;=Hypothèses!$C$15,Hypothèses!$F$15,IF(B251&lt;=Hypothèses!$C$16,Hypothèses!$F$16,IF(B251&lt;=Hypothèses!$C$17,Hypothèses!$F$17,IF(B251&lt;=Hypothèses!$C$18,Hypothèses!$F$18,F250))))))))))))</f>
        <v/>
      </c>
      <c r="G251" s="91">
        <f t="array" ref="G251">INDEX('Coeff EC7'!$U$7:$X$27,
MATCH(Model0.1C!$B$3,'Coeff EC7'!$T$7:$T$27,0),
MATCH(Model0.1C!$D251&amp;Model0.1C!$B$4,
'Coeff EC7'!$U$6:$X$6&amp;
'Coeff EC7'!$U$5:$X$5,0))</f>
        <v>1.1499999999999999</v>
      </c>
      <c r="H251" s="91">
        <f t="array" ref="H251">INDEX('Coeff EC7'!$Y$7:$AB$27,
MATCH(Model0.1C!$B$3,'Coeff EC7'!$T$7:$T$27,0),
MATCH(Model0.1C!$D251&amp;Model0.1C!$B$4,
'Coeff EC7'!$Y$6:$AB$6&amp;
'Coeff EC7'!$Y$5:$AB$5,0))</f>
        <v>1.4</v>
      </c>
      <c r="I251" s="83" t="e">
        <f>IF(B251&lt;=Hypothèses!$C$7,Hypothèses!$P$7,IF(B251&lt;=Hypothèses!$C$8,Hypothèses!$P$8,IF(B251&lt;=Hypothèses!$C$9,Hypothèses!$P$9,IF(B251&lt;=Hypothèses!$C$10,Hypothèses!$P$10,IF(B251&lt;=Hypothèses!$C$11,Hypothèses!$P$11,IF(B251&lt;=Hypothèses!$C$12,Hypothèses!$P$12,IF(B251&lt;=Hypothèses!$C$13,Hypothèses!$P$13,IF(B251&lt;=Hypothèses!$C$14,Hypothèses!$P$14,IF(B251&lt;=Hypothèses!$C$15,Hypothèses!$P$15,IF(B251&lt;=Hypothèses!$C$16,Hypothèses!$P$16,IF(B251&lt;=Hypothèses!$C$17,Hypothèses!$P$17,IF(B251&lt;=Hypothèses!$C$18,Hypothèses!$P$18,I250))))))))))))</f>
        <v>#N/A</v>
      </c>
      <c r="J251" s="91" t="e">
        <f t="array" ref="J251">INDEX('Coeff EC7'!$D$33:$Q$33,1,MATCH(D251&amp;E251,'Coeff EC7'!$D$31:$Q$31&amp;'Coeff EC7'!$D$32:$Q$32,0))</f>
        <v>#N/A</v>
      </c>
      <c r="K251" s="91" t="e">
        <f t="array" ref="K251">INDEX('Coeff EC7'!$D$34:$Q$34,1,MATCH(D251&amp;E251,'Coeff EC7'!$D$31:$Q$31&amp;'Coeff EC7'!$D$32:$Q$32,0))</f>
        <v>#N/A</v>
      </c>
      <c r="L251" s="91" t="e">
        <f t="array" ref="L251">INDEX('Coeff EC7'!$D$35:$Q$35,1,MATCH(D251&amp;E251,'Coeff EC7'!$D$31:$Q$31&amp;'Coeff EC7'!$D$32:$Q$32,0))</f>
        <v>#N/A</v>
      </c>
      <c r="M251" s="98" t="e">
        <f t="shared" si="331"/>
        <v>#N/A</v>
      </c>
      <c r="N251" s="99" t="e">
        <f t="array" ref="N251">INDEX('Coeff EC7'!$D$7:$Q$27,MATCH($B$3,'Coeff EC7'!$C$7:$C$27,0),MATCH(D251&amp;E251,'Coeff EC7'!$D$5:$Q$5&amp;'Coeff EC7'!$D$6:$Q$6,0))</f>
        <v>#N/A</v>
      </c>
      <c r="O251" s="99" t="e">
        <f t="array" ref="O251">INDEX('Coeff EC7'!$D$41:$Q$61,MATCH($B$3,'Coeff EC7'!$C$41:$C$61,0),MATCH(D251&amp;E251,'Coeff EC7'!$D$39:$Q$39&amp;'Coeff EC7'!$D$40:$Q$40,0))</f>
        <v>#N/A</v>
      </c>
      <c r="P251" s="30" t="e">
        <f t="shared" si="368"/>
        <v>#N/A</v>
      </c>
      <c r="Q251" s="100" t="e">
        <f t="shared" si="333"/>
        <v>#N/A</v>
      </c>
      <c r="R251" s="86" t="b">
        <f t="shared" si="334"/>
        <v>0</v>
      </c>
      <c r="S251" s="86">
        <f t="shared" si="332"/>
        <v>0.5</v>
      </c>
      <c r="T251" s="86">
        <f t="shared" si="335"/>
        <v>0.5</v>
      </c>
      <c r="U251" s="30" t="e">
        <f t="shared" ca="1" si="369"/>
        <v>#DIV/0!</v>
      </c>
      <c r="V251" s="85" t="str">
        <f>IF(B251&lt;=Hypothèses!$V$7,Hypothèses!$W$7,IF(B251&lt;=Hypothèses!$V$8,Hypothèses!$W$8,IF(B251&lt;=Hypothèses!$V$9,Hypothèses!$W$9,IF(B251&lt;=Hypothèses!$V$10,Hypothèses!$W$10,IF(B251&lt;=Hypothèses!$V$11,Hypothèses!$W$11,IF(B251&lt;=Hypothèses!$V$12,Hypothèses!$W$12,IF(B251&lt;=Hypothèses!$V$13,Hypothèses!$W$13,IF(B251&lt;=Hypothèses!$V$14,Hypothèses!$W$14,IF(B251&lt;=Hypothèses!$V$15,Hypothèses!$W$15,IF(B251&lt;=Hypothèses!$V$16,Hypothèses!$W$16,IF(B251&lt;=Hypothèses!$V$17,Hypothèses!$W$17,IF(B251&lt;=Hypothèses!$V$18,Hypothèses!$W$18,""))))))))))))</f>
        <v/>
      </c>
      <c r="W251" s="87" t="e">
        <f t="shared" ca="1" si="416"/>
        <v>#DIV/0!</v>
      </c>
      <c r="X251" s="88" t="str">
        <f>IF(B251&lt;=Hypothèses!$V$7,Hypothèses!$X$7,IF(B251&lt;=Hypothèses!$V$8,Hypothèses!$X$8,IF(B251&lt;=Hypothèses!$V$9,Hypothèses!$X$9,IF(B251&lt;=Hypothèses!$V$10,Hypothèses!$X$10,IF(B251&lt;=Hypothèses!$V$11,Hypothèses!$X$11,IF(B251&lt;=Hypothèses!$V$12,Hypothèses!$X$12,IF(B251&lt;=Hypothèses!$V$13,Hypothèses!$X$13,IF(B251&lt;=Hypothèses!$V$14,Hypothèses!$X$14,IF(B251&lt;=Hypothèses!$V$15,Hypothèses!$X$15,IF(B251&lt;=Hypothèses!$V$16,Hypothèses!$X$16,IF(B251&lt;=Hypothèses!$U$17,Hypothèses!$W$17,IF(B251&lt;=Hypothèses!$U$18,Hypothèses!$W$18,""))))))))))))</f>
        <v/>
      </c>
      <c r="Y251" s="95" t="e">
        <f t="shared" ca="1" si="336"/>
        <v>#DIV/0!</v>
      </c>
      <c r="Z251" s="101" t="e">
        <f t="shared" si="337"/>
        <v>#N/A</v>
      </c>
      <c r="AA251" s="91" t="e">
        <f t="shared" si="338"/>
        <v>#N/A</v>
      </c>
      <c r="AB251" s="30" t="e">
        <f t="shared" si="400"/>
        <v>#N/A</v>
      </c>
      <c r="AC251" s="30" t="e">
        <f t="shared" si="401"/>
        <v>#N/A</v>
      </c>
      <c r="AD251" s="31" t="e">
        <f>IF(OR(Hypothèses!$B$4=17,Hypothèses!$B$4=18,Hypothèses!$B$4=19,Hypothèses!$B$4=20),
IF($D251="Pressio.",
IF(OR($E251=3,$E251=1,$E251=4),AC251,AB251),
IF($D251="Pénétro.",
IF(OR($E251=3,$E251=1,$E251=4),AC251,AB251))),IF($D251="Pressio.",
IF($E251=3,AC251,AB251),
IF($D251="Pénétro.",
IF($E251=4,AC251,AB251))))</f>
        <v>#N/A</v>
      </c>
      <c r="AE251" s="31" t="e">
        <f>(IF(OR(Hypothèses!$B$4=17,Hypothèses!$B$4=18,Hypothèses!$B$4=19,Hypothèses!$B$4=20),
IF($D251="Pressio.",
IF(OR($E251=3,$E251=1,$E251=4),(PI()*AE$12^2)/4*(AA251*$W251*1000)/($H251*$B$5),(PI()*AE$12^2)/4*(AA251*$W251*1000)/($G251*$B$5)),
IF($D251="Pénétro.",
IF(OR($E251=4,$E251=1,$E251=5),(PI()*AE$12^2)/4*(AA251*$W251*1000)/($H251*$B$5),(PI()*AE$12^2)/4*(AA251*$W251*1000)/($G251*$B$5)))),
IF($D251="Pressio.",
IF($E251=3,(PI()*AE$12^2)/4*(AA251*$W251*1000)/($H251*$B$5),(PI()*AE$12^2)/4*(AA251*$W251*1000)/($G251*$B$5)),
IF($D251="Pénétro.",
IF($E251=4,(PI()*AE$12^2)/4*(AA251*$W251*1000)/($H251*$B$5),(PI()*AE$12^2)/4*(AA251*$W251*1000)/($G251*$B$5))))))/10</f>
        <v>#N/A</v>
      </c>
      <c r="AF251" s="102" t="e">
        <f>(VLOOKUP($B$3,'Coeff EC7'!$T$39:$X$59,2,0)*AD251+VLOOKUP($B$3,'Coeff EC7'!$T$65:$X$85,2,0)*Model0.1C!AE251)/1.1</f>
        <v>#N/A</v>
      </c>
      <c r="AG251" s="102" t="e">
        <f>(VLOOKUP($B$3,'Coeff EC7'!$T$39:$X$59,3,0)*AD251+VLOOKUP($B$3,'Coeff EC7'!$T$65:$X$85,3,0)*Model0.1C!AE251)/0.9</f>
        <v>#N/A</v>
      </c>
      <c r="AH251" s="102" t="e">
        <f t="shared" si="339"/>
        <v>#N/A</v>
      </c>
      <c r="AI251" s="102" t="e">
        <f t="shared" si="340"/>
        <v>#N/A</v>
      </c>
      <c r="AJ251" s="414" t="e">
        <f>IF(AJ250=0,0,IF(AND(AF251&gt;charge_ELS_quasi,AG251&gt;Charge_ELS_freq,AH251&gt;charge_ELU,AI251&gt;charge_ELA,$B251&gt;NDC!$H$22-0.1+MIN(3*$AJ$12,1.5)),0,1))</f>
        <v>#N/A</v>
      </c>
      <c r="AK251" s="86" t="b">
        <f t="shared" si="341"/>
        <v>0</v>
      </c>
      <c r="AL251" s="86">
        <f t="shared" si="370"/>
        <v>0.5</v>
      </c>
      <c r="AM251" s="86">
        <f t="shared" si="342"/>
        <v>0.5</v>
      </c>
      <c r="AN251" s="30" t="e">
        <f t="shared" ca="1" si="371"/>
        <v>#DIV/0!</v>
      </c>
      <c r="AO251" s="85" t="e">
        <f ca="1">IF(U251&lt;=Hypothèses!$V$7,Hypothèses!$W$7,IF(U251&lt;=Hypothèses!$V$8,Hypothèses!$W$8,IF(U251&lt;=Hypothèses!$V$9,Hypothèses!$W$9,IF(U251&lt;=Hypothèses!$V$10,Hypothèses!$W$10,IF(U251&lt;=Hypothèses!$V$11,Hypothèses!$W$11,IF(U251&lt;=Hypothèses!$V$12,Hypothèses!$W$12,IF(U251&lt;=Hypothèses!$V$13,Hypothèses!$W$13,IF(U251&lt;=Hypothèses!$V$14,Hypothèses!$W$14,IF(U251&lt;=Hypothèses!$V$15,Hypothèses!$W$15,IF(U251&lt;=Hypothèses!$V$16,Hypothèses!$W$16,IF(U251&lt;=Hypothèses!$V$17,Hypothèses!$W$17,IF(U251&lt;=Hypothèses!$V$18,Hypothèses!$W$18,""))))))))))))</f>
        <v>#DIV/0!</v>
      </c>
      <c r="AP251" s="87" t="e">
        <f t="shared" ca="1" si="417"/>
        <v>#DIV/0!</v>
      </c>
      <c r="AQ251" s="88" t="e">
        <f ca="1">IF(U251&lt;=Hypothèses!$V$7,Hypothèses!$X$7,IF(U251&lt;=Hypothèses!$V$8,Hypothèses!$X$8,IF(U251&lt;=Hypothèses!$V$9,Hypothèses!$X$9,IF(U251&lt;=Hypothèses!$V$10,Hypothèses!$X$10,IF(U251&lt;=Hypothèses!$V$11,Hypothèses!$X$11,IF(U251&lt;=Hypothèses!$V$12,Hypothèses!$X$12,IF(U251&lt;=Hypothèses!$V$13,Hypothèses!$X$13,IF(U251&lt;=Hypothèses!$V$14,Hypothèses!$X$14,IF(U251&lt;=Hypothèses!$V$15,Hypothèses!$X$15,IF(U251&lt;=Hypothèses!$V$16,Hypothèses!$X$16,IF(U251&lt;=Hypothèses!$U$17,Hypothèses!$W$17,IF(U251&lt;=Hypothèses!$U$18,Hypothèses!$W$18,""))))))))))))</f>
        <v>#DIV/0!</v>
      </c>
      <c r="AR251" s="95" t="e">
        <f t="shared" ca="1" si="372"/>
        <v>#DIV/0!</v>
      </c>
      <c r="AS251" s="101" t="e">
        <f t="shared" si="424"/>
        <v>#N/A</v>
      </c>
      <c r="AT251" s="91" t="e">
        <f t="shared" si="343"/>
        <v>#N/A</v>
      </c>
      <c r="AU251" s="30" t="e">
        <f t="shared" si="402"/>
        <v>#N/A</v>
      </c>
      <c r="AV251" s="30" t="e">
        <f t="shared" si="403"/>
        <v>#N/A</v>
      </c>
      <c r="AW251" s="31" t="e">
        <f>IF(OR(Hypothèses!$B$4=17,Hypothèses!$B$4=18,Hypothèses!$B$4=19,Hypothèses!$B$4=20),
IF($D251="Pressio.",
IF(OR($E251=3,$E251=1,$E251=4),AV251,AU251),
IF($D251="Pénétro.",
IF(OR($E251=3,$E251=1,$E251=4),AV251,AU251))),IF($D251="Pressio.",
IF($E251=3,AV251,AU251),
IF($D251="Pénétro.",
IF($E251=4,AV251,AU251))))</f>
        <v>#N/A</v>
      </c>
      <c r="AX251" s="31" t="e">
        <f>(IF(OR(Hypothèses!$B$4=17,Hypothèses!$B$4=18,Hypothèses!$B$4=19,Hypothèses!$B$4=20),
IF($D251="Pressio.",
IF(OR($E251=3,$E251=1,$E251=4),(PI()*AX$12^2)/4*(AT251*$W251*1000)/($H251*$B$5),(PI()*AX$12^2)/4*(AT251*$W251*1000)/($G251*$B$5)),
IF($D251="Pénétro.",
IF(OR($E251=4,$E251=1,$E251=5),(PI()*AX$12^2)/4*(AT251*$W251*1000)/($H251*$B$5),(PI()*AX$12^2)/4*(AT251*$W251*1000)/($G251*$B$5)))),
IF($D251="Pressio.",
IF($E251=3,(PI()*AX$12^2)/4*(AT251*$W251*1000)/($H251*$B$5),(PI()*AX$12^2)/4*(AT251*$W251*1000)/($G251*$B$5)),
IF($D251="Pénétro.",
IF($E251=4,(PI()*AX$12^2)/4*(AT251*$W251*1000)/($H251*$B$5),(PI()*AX$12^2)/4*(AT251*$W251*1000)/($G251*$B$5))))))/10</f>
        <v>#N/A</v>
      </c>
      <c r="AY251" s="102" t="e">
        <f>(VLOOKUP($B$3,'Coeff EC7'!$T$39:$X$59,2,0)*AW251+VLOOKUP($B$3,'Coeff EC7'!$T$65:$X$85,2,0)*Model0.1C!AX251)/1.1</f>
        <v>#N/A</v>
      </c>
      <c r="AZ251" s="102" t="e">
        <f>(VLOOKUP($B$3,'Coeff EC7'!$T$39:$X$59,3,0)*AW251+VLOOKUP($B$3,'Coeff EC7'!$T$65:$X$85,3,0)*Model0.1C!AX251)/0.9</f>
        <v>#N/A</v>
      </c>
      <c r="BA251" s="102" t="e">
        <f t="shared" si="373"/>
        <v>#N/A</v>
      </c>
      <c r="BB251" s="102" t="e">
        <f t="shared" si="374"/>
        <v>#N/A</v>
      </c>
      <c r="BC251" s="414" t="e">
        <f>IF(BC250=0,0,IF(AND(AY251&gt;charge_ELS_quasi,AZ251&gt;Charge_ELS_freq,BA251&gt;charge_ELU,BB251&gt;charge_ELA,$B251&gt;NDC!$H$22-0.1+MIN(3*$BC$12,1.5)),0,1))</f>
        <v>#N/A</v>
      </c>
      <c r="BD251" s="86" t="b">
        <f t="shared" si="344"/>
        <v>0</v>
      </c>
      <c r="BE251" s="86">
        <f t="shared" si="375"/>
        <v>0.5</v>
      </c>
      <c r="BF251" s="86">
        <f t="shared" si="345"/>
        <v>0.5</v>
      </c>
      <c r="BG251" s="30" t="e">
        <f t="shared" ca="1" si="376"/>
        <v>#DIV/0!</v>
      </c>
      <c r="BH251" s="85" t="e">
        <f ca="1">IF(AN251&lt;=Hypothèses!$V$7,Hypothèses!$W$7,IF(AN251&lt;=Hypothèses!$V$8,Hypothèses!$W$8,IF(AN251&lt;=Hypothèses!$V$9,Hypothèses!$W$9,IF(AN251&lt;=Hypothèses!$V$10,Hypothèses!$W$10,IF(AN251&lt;=Hypothèses!$V$11,Hypothèses!$W$11,IF(AN251&lt;=Hypothèses!$V$12,Hypothèses!$W$12,IF(AN251&lt;=Hypothèses!$V$13,Hypothèses!$W$13,IF(AN251&lt;=Hypothèses!$V$14,Hypothèses!$W$14,IF(AN251&lt;=Hypothèses!$V$15,Hypothèses!$W$15,IF(AN251&lt;=Hypothèses!$V$16,Hypothèses!$W$16,IF(AN251&lt;=Hypothèses!$V$17,Hypothèses!$W$17,IF(AN251&lt;=Hypothèses!$V$18,Hypothèses!$W$18,""))))))))))))</f>
        <v>#DIV/0!</v>
      </c>
      <c r="BI251" s="87" t="e">
        <f t="shared" ca="1" si="418"/>
        <v>#DIV/0!</v>
      </c>
      <c r="BJ251" s="88" t="e">
        <f ca="1">IF(AN251&lt;=Hypothèses!$V$7,Hypothèses!$X$7,IF(AN251&lt;=Hypothèses!$V$8,Hypothèses!$X$8,IF(AN251&lt;=Hypothèses!$V$9,Hypothèses!$X$9,IF(AN251&lt;=Hypothèses!$V$10,Hypothèses!$X$10,IF(AN251&lt;=Hypothèses!$V$11,Hypothèses!$X$11,IF(AN251&lt;=Hypothèses!$V$12,Hypothèses!$X$12,IF(AN251&lt;=Hypothèses!$V$13,Hypothèses!$X$13,IF(AN251&lt;=Hypothèses!$V$14,Hypothèses!$X$14,IF(AN251&lt;=Hypothèses!$V$15,Hypothèses!$X$15,IF(AN251&lt;=Hypothèses!$V$16,Hypothèses!$X$16,IF(AN251&lt;=Hypothèses!$U$17,Hypothèses!$W$17,IF(AN251&lt;=Hypothèses!$U$18,Hypothèses!$W$18,""))))))))))))</f>
        <v>#DIV/0!</v>
      </c>
      <c r="BK251" s="95" t="e">
        <f t="shared" ca="1" si="377"/>
        <v>#DIV/0!</v>
      </c>
      <c r="BL251" s="101" t="e">
        <f t="shared" si="425"/>
        <v>#N/A</v>
      </c>
      <c r="BM251" s="91" t="e">
        <f t="shared" si="346"/>
        <v>#N/A</v>
      </c>
      <c r="BN251" s="30" t="e">
        <f t="shared" si="404"/>
        <v>#N/A</v>
      </c>
      <c r="BO251" s="30" t="e">
        <f t="shared" si="405"/>
        <v>#N/A</v>
      </c>
      <c r="BP251" s="31" t="e">
        <f>IF(OR(Hypothèses!$B$4=17,Hypothèses!$B$4=18,Hypothèses!$B$4=19,Hypothèses!$B$4=20),
IF($D251="Pressio.",
IF(OR($E251=3,$E251=1,$E251=4),BO251,BN251),
IF($D251="Pénétro.",
IF(OR($E251=3,$E251=1,$E251=4),BO251,BN251))),IF($D251="Pressio.",
IF($E251=3,BO251,BN251),
IF($D251="Pénétro.",
IF($E251=4,BO251,BN251))))</f>
        <v>#N/A</v>
      </c>
      <c r="BQ251" s="31" t="e">
        <f>(IF(OR(Hypothèses!$B$4=17,Hypothèses!$B$4=18,Hypothèses!$B$4=19,Hypothèses!$B$4=20),
IF($D251="Pressio.",
IF(OR($E251=3,$E251=1,$E251=4),(PI()*BQ$12^2)/4*(BM251*$W251*1000)/($H251*$B$5),(PI()*BQ$12^2)/4*(BM251*$W251*1000)/($G251*$B$5)),
IF($D251="Pénétro.",
IF(OR($E251=4,$E251=1,$E251=5),(PI()*BQ$12^2)/4*(BM251*$W251*1000)/($H251*$B$5),(PI()*BQ$12^2)/4*(BM251*$W251*1000)/($G251*$B$5)))),
IF($D251="Pressio.",
IF($E251=3,(PI()*BQ$12^2)/4*(BM251*$W251*1000)/($H251*$B$5),(PI()*BQ$12^2)/4*(BM251*$W251*1000)/($G251*$B$5)),
IF($D251="Pénétro.",
IF($E251=4,(PI()*BQ$12^2)/4*(BM251*$W251*1000)/($H251*$B$5),(PI()*BQ$12^2)/4*(BM251*$W251*1000)/($G251*$B$5))))))/10</f>
        <v>#N/A</v>
      </c>
      <c r="BR251" s="102" t="e">
        <f>(VLOOKUP($B$3,'Coeff EC7'!$T$39:$X$59,2,0)*BP251+VLOOKUP($B$3,'Coeff EC7'!$T$65:$X$85,2,0)*Model0.1C!BQ251)/1.1</f>
        <v>#N/A</v>
      </c>
      <c r="BS251" s="102" t="e">
        <f>(VLOOKUP($B$3,'Coeff EC7'!$T$39:$X$59,3,0)*BP251+VLOOKUP($B$3,'Coeff EC7'!$T$65:$X$85,3,0)*Model0.1C!BQ251)/0.9</f>
        <v>#N/A</v>
      </c>
      <c r="BT251" s="102" t="e">
        <f t="shared" si="378"/>
        <v>#N/A</v>
      </c>
      <c r="BU251" s="102" t="e">
        <f t="shared" si="379"/>
        <v>#N/A</v>
      </c>
      <c r="BV251" s="414" t="e">
        <f>IF(BV250=0,0,IF(AND(BR251&gt;charge_ELS_quasi,BS251&gt;Charge_ELS_freq,BT251&gt;charge_ELU,BU251&gt;charge_ELA,$B251&gt;NDC!$H$22-0.1+MIN(3*$BV$12,1.5)),0,1))</f>
        <v>#N/A</v>
      </c>
      <c r="BW251" s="86" t="b">
        <f t="shared" si="347"/>
        <v>0</v>
      </c>
      <c r="BX251" s="86">
        <f t="shared" si="348"/>
        <v>0.5</v>
      </c>
      <c r="BY251" s="86">
        <f t="shared" si="349"/>
        <v>0.5</v>
      </c>
      <c r="BZ251" s="30" t="e">
        <f t="shared" ca="1" si="380"/>
        <v>#DIV/0!</v>
      </c>
      <c r="CA251" s="85" t="e">
        <f ca="1">IF(BG251&lt;=Hypothèses!$V$7,Hypothèses!$W$7,IF(BG251&lt;=Hypothèses!$V$8,Hypothèses!$W$8,IF(BG251&lt;=Hypothèses!$V$9,Hypothèses!$W$9,IF(BG251&lt;=Hypothèses!$V$10,Hypothèses!$W$10,IF(BG251&lt;=Hypothèses!$V$11,Hypothèses!$W$11,IF(BG251&lt;=Hypothèses!$V$12,Hypothèses!$W$12,IF(BG251&lt;=Hypothèses!$V$13,Hypothèses!$W$13,IF(BG251&lt;=Hypothèses!$V$14,Hypothèses!$W$14,IF(BG251&lt;=Hypothèses!$V$15,Hypothèses!$W$15,IF(BG251&lt;=Hypothèses!$V$16,Hypothèses!$W$16,IF(BG251&lt;=Hypothèses!$V$17,Hypothèses!$W$17,IF(BG251&lt;=Hypothèses!$V$18,Hypothèses!$W$18,""))))))))))))</f>
        <v>#DIV/0!</v>
      </c>
      <c r="CB251" s="87" t="e">
        <f t="shared" ca="1" si="419"/>
        <v>#DIV/0!</v>
      </c>
      <c r="CC251" s="88" t="e">
        <f ca="1">IF(BG251&lt;=Hypothèses!$V$7,Hypothèses!$X$7,IF(BG251&lt;=Hypothèses!$V$8,Hypothèses!$X$8,IF(BG251&lt;=Hypothèses!$V$9,Hypothèses!$X$9,IF(BG251&lt;=Hypothèses!$V$10,Hypothèses!$X$10,IF(BG251&lt;=Hypothèses!$V$11,Hypothèses!$X$11,IF(BG251&lt;=Hypothèses!$V$12,Hypothèses!$X$12,IF(BG251&lt;=Hypothèses!$V$13,Hypothèses!$X$13,IF(BG251&lt;=Hypothèses!$V$14,Hypothèses!$X$14,IF(BG251&lt;=Hypothèses!$V$15,Hypothèses!$X$15,IF(BG251&lt;=Hypothèses!$V$16,Hypothèses!$X$16,IF(BG251&lt;=Hypothèses!$U$17,Hypothèses!$W$17,IF(BG251&lt;=Hypothèses!$U$18,Hypothèses!$W$18,""))))))))))))</f>
        <v>#DIV/0!</v>
      </c>
      <c r="CD251" s="95" t="e">
        <f t="shared" ca="1" si="381"/>
        <v>#DIV/0!</v>
      </c>
      <c r="CE251" s="101" t="e">
        <f t="shared" si="426"/>
        <v>#N/A</v>
      </c>
      <c r="CF251" s="91" t="e">
        <f t="shared" si="350"/>
        <v>#N/A</v>
      </c>
      <c r="CG251" s="30" t="e">
        <f t="shared" si="406"/>
        <v>#N/A</v>
      </c>
      <c r="CH251" s="30" t="e">
        <f t="shared" si="407"/>
        <v>#N/A</v>
      </c>
      <c r="CI251" s="31" t="e">
        <f>IF(OR(Hypothèses!$B$4=17,Hypothèses!$B$4=18,Hypothèses!$B$4=19,Hypothèses!$B$4=20),
IF($D251="Pressio.",
IF(OR($E251=3,$E251=1,$E251=4),CH251,CG251),
IF($D251="Pénétro.",
IF(OR($E251=3,$E251=1,$E251=4),CH251,CG251))),IF($D251="Pressio.",
IF($E251=3,CH251,CG251),
IF($D251="Pénétro.",
IF($E251=4,CH251,CG251))))</f>
        <v>#N/A</v>
      </c>
      <c r="CJ251" s="31" t="e">
        <f>(IF(OR(Hypothèses!$B$4=17,Hypothèses!$B$4=18,Hypothèses!$B$4=19,Hypothèses!$B$4=20),
IF($D251="Pressio.",
IF(OR($E251=3,$E251=1,$E251=4),(PI()*CJ$12^2)/4*(CF251*$W251*1000)/($H251*$B$5),(PI()*CJ$12^2)/4*(CF251*$W251*1000)/($G251*$B$5)),
IF($D251="Pénétro.",
IF(OR($E251=4,$E251=1,$E251=5),(PI()*CJ$12^2)/4*(CF251*$W251*1000)/($H251*$B$5),(PI()*CJ$12^2)/4*(CF251*$W251*1000)/($G251*$B$5)))),
IF($D251="Pressio.",
IF($E251=3,(PI()*CJ$12^2)/4*(CF251*$W251*1000)/($H251*$B$5),(PI()*CJ$12^2)/4*(CF251*$W251*1000)/($G251*$B$5)),
IF($D251="Pénétro.",
IF($E251=4,(PI()*CJ$12^2)/4*(CF251*$W251*1000)/($H251*$B$5),(PI()*CJ$12^2)/4*(CF251*$W251*1000)/($G251*$B$5))))))/10</f>
        <v>#N/A</v>
      </c>
      <c r="CK251" s="102" t="e">
        <f>(VLOOKUP($B$3,'Coeff EC7'!$T$39:$X$59,2,0)*CI251+VLOOKUP($B$3,'Coeff EC7'!$T$65:$X$85,2,0)*Model0.1C!CJ251)/1.1</f>
        <v>#N/A</v>
      </c>
      <c r="CL251" s="102" t="e">
        <f>(VLOOKUP($B$3,'Coeff EC7'!$T$39:$X$59,3,0)*CI251+VLOOKUP($B$3,'Coeff EC7'!$T$65:$X$85,3,0)*Model0.1C!CJ251)/0.9</f>
        <v>#N/A</v>
      </c>
      <c r="CM251" s="102" t="e">
        <f t="shared" si="382"/>
        <v>#N/A</v>
      </c>
      <c r="CN251" s="102" t="e">
        <f t="shared" si="383"/>
        <v>#N/A</v>
      </c>
      <c r="CO251" s="414" t="e">
        <f>IF(CO250=0,0,IF(AND(CK251&gt;charge_ELS_quasi,CL251&gt;Charge_ELS_freq,CM251&gt;charge_ELU,CN251&gt;charge_ELA,$B251&gt;NDC!$H$22-0.1+MIN(3*$CO$12,1.5)),0,1))</f>
        <v>#N/A</v>
      </c>
      <c r="CP251" s="86" t="b">
        <f t="shared" si="351"/>
        <v>0</v>
      </c>
      <c r="CQ251" s="86">
        <f t="shared" si="352"/>
        <v>0.5</v>
      </c>
      <c r="CR251" s="86">
        <f t="shared" si="353"/>
        <v>0.5</v>
      </c>
      <c r="CS251" s="30" t="e">
        <f t="shared" ca="1" si="384"/>
        <v>#DIV/0!</v>
      </c>
      <c r="CT251" s="85" t="e">
        <f ca="1">IF(BZ251&lt;=Hypothèses!$V$7,Hypothèses!$W$7,IF(BZ251&lt;=Hypothèses!$V$8,Hypothèses!$W$8,IF(BZ251&lt;=Hypothèses!$V$9,Hypothèses!$W$9,IF(BZ251&lt;=Hypothèses!$V$10,Hypothèses!$W$10,IF(BZ251&lt;=Hypothèses!$V$11,Hypothèses!$W$11,IF(BZ251&lt;=Hypothèses!$V$12,Hypothèses!$W$12,IF(BZ251&lt;=Hypothèses!$V$13,Hypothèses!$W$13,IF(BZ251&lt;=Hypothèses!$V$14,Hypothèses!$W$14,IF(BZ251&lt;=Hypothèses!$V$15,Hypothèses!$W$15,IF(BZ251&lt;=Hypothèses!$V$16,Hypothèses!$W$16,IF(BZ251&lt;=Hypothèses!$V$17,Hypothèses!$W$17,IF(BZ251&lt;=Hypothèses!$V$18,Hypothèses!$W$18,""))))))))))))</f>
        <v>#DIV/0!</v>
      </c>
      <c r="CU251" s="87" t="e">
        <f t="shared" ca="1" si="420"/>
        <v>#DIV/0!</v>
      </c>
      <c r="CV251" s="88" t="e">
        <f ca="1">IF(BZ251&lt;=Hypothèses!$V$7,Hypothèses!$X$7,IF(BZ251&lt;=Hypothèses!$V$8,Hypothèses!$X$8,IF(BZ251&lt;=Hypothèses!$V$9,Hypothèses!$X$9,IF(BZ251&lt;=Hypothèses!$V$10,Hypothèses!$X$10,IF(BZ251&lt;=Hypothèses!$V$11,Hypothèses!$X$11,IF(BZ251&lt;=Hypothèses!$V$12,Hypothèses!$X$12,IF(BZ251&lt;=Hypothèses!$V$13,Hypothèses!$X$13,IF(BZ251&lt;=Hypothèses!$V$14,Hypothèses!$X$14,IF(BZ251&lt;=Hypothèses!$V$15,Hypothèses!$X$15,IF(BZ251&lt;=Hypothèses!$V$16,Hypothèses!$X$16,IF(BZ251&lt;=Hypothèses!$U$17,Hypothèses!$W$17,IF(BZ251&lt;=Hypothèses!$U$18,Hypothèses!$W$18,""))))))))))))</f>
        <v>#DIV/0!</v>
      </c>
      <c r="CW251" s="95" t="e">
        <f t="shared" ca="1" si="385"/>
        <v>#DIV/0!</v>
      </c>
      <c r="CX251" s="101" t="e">
        <f t="shared" si="427"/>
        <v>#N/A</v>
      </c>
      <c r="CY251" s="91" t="e">
        <f t="shared" si="354"/>
        <v>#N/A</v>
      </c>
      <c r="CZ251" s="30" t="e">
        <f t="shared" si="408"/>
        <v>#N/A</v>
      </c>
      <c r="DA251" s="30" t="e">
        <f t="shared" si="409"/>
        <v>#N/A</v>
      </c>
      <c r="DB251" s="31" t="e">
        <f>IF(OR(Hypothèses!$B$4=17,Hypothèses!$B$4=18,Hypothèses!$B$4=19,Hypothèses!$B$4=20),
IF($D251="Pressio.",
IF(OR($E251=3,$E251=1,$E251=4),DA251,CZ251),
IF($D251="Pénétro.",
IF(OR($E251=3,$E251=1,$E251=4),DA251,CZ251))),IF($D251="Pressio.",
IF($E251=3,DA251,CZ251),
IF($D251="Pénétro.",
IF($E251=4,DA251,CZ251))))</f>
        <v>#N/A</v>
      </c>
      <c r="DC251" s="31" t="e">
        <f>(IF(OR(Hypothèses!$B$4=17,Hypothèses!$B$4=18,Hypothèses!$B$4=19,Hypothèses!$B$4=20),
IF($D251="Pressio.",
IF(OR($E251=3,$E251=1,$E251=4),(PI()*DC$12^2)/4*(CY251*$W251*1000)/($H251*$B$5),(PI()*DC$12^2)/4*(CY251*$W251*1000)/($G251*$B$5)),
IF($D251="Pénétro.",
IF(OR($E251=4,$E251=1,$E251=5),(PI()*DC$12^2)/4*(CY251*$W251*1000)/($H251*$B$5),(PI()*DC$12^2)/4*(CY251*$W251*1000)/($G251*$B$5)))),
IF($D251="Pressio.",
IF($E251=3,(PI()*DC$12^2)/4*(CY251*$W251*1000)/($H251*$B$5),(PI()*DC$12^2)/4*(CY251*$W251*1000)/($G251*$B$5)),
IF($D251="Pénétro.",
IF($E251=4,(PI()*DC$12^2)/4*(CY251*$W251*1000)/($H251*$B$5),(PI()*DC$12^2)/4*(CY251*$W251*1000)/($G251*$B$5))))))/10</f>
        <v>#N/A</v>
      </c>
      <c r="DD251" s="102" t="e">
        <f>(VLOOKUP($B$3,'Coeff EC7'!$T$39:$X$59,2,0)*DB251+VLOOKUP($B$3,'Coeff EC7'!$T$65:$X$85,2,0)*Model0.1C!DC251)/1.1</f>
        <v>#N/A</v>
      </c>
      <c r="DE251" s="102" t="e">
        <f>(VLOOKUP($B$3,'Coeff EC7'!$T$39:$X$59,3,0)*DB251+VLOOKUP($B$3,'Coeff EC7'!$T$65:$X$85,3,0)*Model0.1C!DC251)/0.9</f>
        <v>#N/A</v>
      </c>
      <c r="DF251" s="102" t="e">
        <f t="shared" si="386"/>
        <v>#N/A</v>
      </c>
      <c r="DG251" s="102" t="e">
        <f t="shared" si="387"/>
        <v>#N/A</v>
      </c>
      <c r="DH251" s="414" t="e">
        <f>IF(DH250=0,0,IF(AND(DD251&gt;charge_ELS_quasi,DE251&gt;Charge_ELS_freq,DF251&gt;charge_ELU,DG251&gt;charge_ELA,$B251&gt;NDC!$H$22-0.1+MIN(3*$DH$12,1.5)),0,1))</f>
        <v>#N/A</v>
      </c>
      <c r="DI251" s="86" t="b">
        <f t="shared" si="355"/>
        <v>0</v>
      </c>
      <c r="DJ251" s="86">
        <f t="shared" si="356"/>
        <v>0.5</v>
      </c>
      <c r="DK251" s="86">
        <f t="shared" si="357"/>
        <v>0.5</v>
      </c>
      <c r="DL251" s="30" t="e">
        <f t="shared" ca="1" si="388"/>
        <v>#DIV/0!</v>
      </c>
      <c r="DM251" s="85" t="e">
        <f ca="1">IF(CS251&lt;=Hypothèses!$V$7,Hypothèses!$W$7,IF(CS251&lt;=Hypothèses!$V$8,Hypothèses!$W$8,IF(CS251&lt;=Hypothèses!$V$9,Hypothèses!$W$9,IF(CS251&lt;=Hypothèses!$V$10,Hypothèses!$W$10,IF(CS251&lt;=Hypothèses!$V$11,Hypothèses!$W$11,IF(CS251&lt;=Hypothèses!$V$12,Hypothèses!$W$12,IF(CS251&lt;=Hypothèses!$V$13,Hypothèses!$W$13,IF(CS251&lt;=Hypothèses!$V$14,Hypothèses!$W$14,IF(CS251&lt;=Hypothèses!$V$15,Hypothèses!$W$15,IF(CS251&lt;=Hypothèses!$V$16,Hypothèses!$W$16,IF(CS251&lt;=Hypothèses!$V$17,Hypothèses!$W$17,IF(CS251&lt;=Hypothèses!$V$18,Hypothèses!$W$18,""))))))))))))</f>
        <v>#DIV/0!</v>
      </c>
      <c r="DN251" s="87" t="e">
        <f t="shared" ca="1" si="421"/>
        <v>#DIV/0!</v>
      </c>
      <c r="DO251" s="88" t="e">
        <f ca="1">IF(CS251&lt;=Hypothèses!$V$7,Hypothèses!$X$7,IF(CS251&lt;=Hypothèses!$V$8,Hypothèses!$X$8,IF(CS251&lt;=Hypothèses!$V$9,Hypothèses!$X$9,IF(CS251&lt;=Hypothèses!$V$10,Hypothèses!$X$10,IF(CS251&lt;=Hypothèses!$V$11,Hypothèses!$X$11,IF(CS251&lt;=Hypothèses!$V$12,Hypothèses!$X$12,IF(CS251&lt;=Hypothèses!$V$13,Hypothèses!$X$13,IF(CS251&lt;=Hypothèses!$V$14,Hypothèses!$X$14,IF(CS251&lt;=Hypothèses!$V$15,Hypothèses!$X$15,IF(CS251&lt;=Hypothèses!$V$16,Hypothèses!$X$16,IF(CS251&lt;=Hypothèses!$U$17,Hypothèses!$W$17,IF(CS251&lt;=Hypothèses!$U$18,Hypothèses!$W$18,""))))))))))))</f>
        <v>#DIV/0!</v>
      </c>
      <c r="DP251" s="95" t="e">
        <f t="shared" ca="1" si="389"/>
        <v>#DIV/0!</v>
      </c>
      <c r="DQ251" s="101" t="e">
        <f t="shared" si="428"/>
        <v>#N/A</v>
      </c>
      <c r="DR251" s="91" t="e">
        <f t="shared" si="358"/>
        <v>#N/A</v>
      </c>
      <c r="DS251" s="30" t="e">
        <f t="shared" si="410"/>
        <v>#N/A</v>
      </c>
      <c r="DT251" s="30" t="e">
        <f t="shared" si="411"/>
        <v>#N/A</v>
      </c>
      <c r="DU251" s="31" t="e">
        <f>IF(OR(Hypothèses!$B$4=17,Hypothèses!$B$4=18,Hypothèses!$B$4=19,Hypothèses!$B$4=20),
IF($D251="Pressio.",
IF(OR($E251=3,$E251=1,$E251=4),DT251,DS251),
IF($D251="Pénétro.",
IF(OR($E251=3,$E251=1,$E251=4),DT251,DS251))),IF($D251="Pressio.",
IF($E251=3,DT251,DS251),
IF($D251="Pénétro.",
IF($E251=4,DT251,DS251))))</f>
        <v>#N/A</v>
      </c>
      <c r="DV251" s="31" t="e">
        <f>(IF(OR(Hypothèses!$B$4=17,Hypothèses!$B$4=18,Hypothèses!$B$4=19,Hypothèses!$B$4=20),
IF($D251="Pressio.",
IF(OR($E251=3,$E251=1,$E251=4),(PI()*DV$12^2)/4*(DR251*$W251*1000)/($H251*$B$5),(PI()*DV$12^2)/4*(DR251*$W251*1000)/($G251*$B$5)),
IF($D251="Pénétro.",
IF(OR($E251=4,$E251=1,$E251=5),(PI()*DV$12^2)/4*(DR251*$W251*1000)/($H251*$B$5),(PI()*DV$12^2)/4*(DR251*$W251*1000)/($G251*$B$5)))),
IF($D251="Pressio.",
IF($E251=3,(PI()*DV$12^2)/4*(DR251*$W251*1000)/($H251*$B$5),(PI()*DV$12^2)/4*(DR251*$W251*1000)/($G251*$B$5)),
IF($D251="Pénétro.",
IF($E251=4,(PI()*DV$12^2)/4*(DR251*$W251*1000)/($H251*$B$5),(PI()*DV$12^2)/4*(DR251*$W251*1000)/($G251*$B$5))))))/10</f>
        <v>#N/A</v>
      </c>
      <c r="DW251" s="102" t="e">
        <f>(VLOOKUP($B$3,'Coeff EC7'!$T$39:$X$59,2,0)*DU251+VLOOKUP($B$3,'Coeff EC7'!$T$65:$X$85,2,0)*Model0.1C!DV251)/1.1</f>
        <v>#N/A</v>
      </c>
      <c r="DX251" s="102" t="e">
        <f>(VLOOKUP($B$3,'Coeff EC7'!$T$39:$X$59,3,0)*DU251+VLOOKUP($B$3,'Coeff EC7'!$T$65:$X$85,3,0)*Model0.1C!DV251)/0.9</f>
        <v>#N/A</v>
      </c>
      <c r="DY251" s="102" t="e">
        <f t="shared" si="390"/>
        <v>#N/A</v>
      </c>
      <c r="DZ251" s="102" t="e">
        <f t="shared" si="391"/>
        <v>#N/A</v>
      </c>
      <c r="EA251" s="414" t="e">
        <f>IF(EA250=0,0,IF(AND(DW251&gt;charge_ELS_quasi,DX251&gt;Charge_ELS_freq,DY251&gt;charge_ELU,DZ251&gt;charge_ELA,$B251&gt;NDC!$H$22-0.1+MIN(3*$EA$12,1.5)),0,1))</f>
        <v>#N/A</v>
      </c>
      <c r="EB251" s="86" t="b">
        <f t="shared" si="359"/>
        <v>0</v>
      </c>
      <c r="EC251" s="418">
        <f t="shared" si="360"/>
        <v>0.51</v>
      </c>
      <c r="ED251" s="86">
        <f t="shared" si="361"/>
        <v>0.51</v>
      </c>
      <c r="EE251" s="30" t="e">
        <f t="shared" ca="1" si="392"/>
        <v>#DIV/0!</v>
      </c>
      <c r="EF251" s="85" t="e">
        <f ca="1">IF(DL251&lt;=Hypothèses!$V$7,Hypothèses!$W$7,IF(DL251&lt;=Hypothèses!$V$8,Hypothèses!$W$8,IF(DL251&lt;=Hypothèses!$V$9,Hypothèses!$W$9,IF(DL251&lt;=Hypothèses!$V$10,Hypothèses!$W$10,IF(DL251&lt;=Hypothèses!$V$11,Hypothèses!$W$11,IF(DL251&lt;=Hypothèses!$V$12,Hypothèses!$W$12,IF(DL251&lt;=Hypothèses!$V$13,Hypothèses!$W$13,IF(DL251&lt;=Hypothèses!$V$14,Hypothèses!$W$14,IF(DL251&lt;=Hypothèses!$V$15,Hypothèses!$W$15,IF(DL251&lt;=Hypothèses!$V$16,Hypothèses!$W$16,IF(DL251&lt;=Hypothèses!$V$17,Hypothèses!$W$17,IF(DL251&lt;=Hypothèses!$V$18,Hypothèses!$W$18,""))))))))))))</f>
        <v>#DIV/0!</v>
      </c>
      <c r="EG251" s="87" t="e">
        <f t="shared" ca="1" si="422"/>
        <v>#DIV/0!</v>
      </c>
      <c r="EH251" s="88" t="e">
        <f ca="1">IF(DL251&lt;=Hypothèses!$V$7,Hypothèses!$X$7,IF(DL251&lt;=Hypothèses!$V$8,Hypothèses!$X$8,IF(DL251&lt;=Hypothèses!$V$9,Hypothèses!$X$9,IF(DL251&lt;=Hypothèses!$V$10,Hypothèses!$X$10,IF(DL251&lt;=Hypothèses!$V$11,Hypothèses!$X$11,IF(DL251&lt;=Hypothèses!$V$12,Hypothèses!$X$12,IF(DL251&lt;=Hypothèses!$V$13,Hypothèses!$X$13,IF(DL251&lt;=Hypothèses!$V$14,Hypothèses!$X$14,IF(DL251&lt;=Hypothèses!$V$15,Hypothèses!$X$15,IF(DL251&lt;=Hypothèses!$V$16,Hypothèses!$X$16,IF(DL251&lt;=Hypothèses!$U$17,Hypothèses!$W$17,IF(DL251&lt;=Hypothèses!$U$18,Hypothèses!$W$18,""))))))))))))</f>
        <v>#DIV/0!</v>
      </c>
      <c r="EI251" s="95" t="e">
        <f t="shared" ca="1" si="393"/>
        <v>#DIV/0!</v>
      </c>
      <c r="EJ251" s="101" t="e">
        <f t="shared" si="429"/>
        <v>#N/A</v>
      </c>
      <c r="EK251" s="91" t="e">
        <f t="shared" si="362"/>
        <v>#N/A</v>
      </c>
      <c r="EL251" s="30" t="e">
        <f t="shared" si="412"/>
        <v>#N/A</v>
      </c>
      <c r="EM251" s="30" t="e">
        <f t="shared" si="413"/>
        <v>#N/A</v>
      </c>
      <c r="EN251" s="31" t="e">
        <f>IF(OR(Hypothèses!$B$4=17,Hypothèses!$B$4=18,Hypothèses!$B$4=19,Hypothèses!$B$4=20),
IF($D251="Pressio.",
IF(OR($E251=3,$E251=1,$E251=4),EM251,EL251),
IF($D251="Pénétro.",
IF(OR($E251=3,$E251=1,$E251=4),EM251,EL251))),IF($D251="Pressio.",
IF($E251=3,EM251,EL251),
IF($D251="Pénétro.",
IF($E251=4,EM251,EL251))))</f>
        <v>#N/A</v>
      </c>
      <c r="EO251" s="31" t="e">
        <f>(IF(OR(Hypothèses!$B$4=17,Hypothèses!$B$4=18,Hypothèses!$B$4=19,Hypothèses!$B$4=20),
IF($D251="Pressio.",
IF(OR($E251=3,$E251=1,$E251=4),(PI()*EO$12^2)/4*(EK251*$W251*1000)/($H251*$B$5),(PI()*EO$12^2)/4*(EK251*$W251*1000)/($G251*$B$5)),
IF($D251="Pénétro.",
IF(OR($E251=4,$E251=1,$E251=5),(PI()*EO$12^2)/4*(EK251*$W251*1000)/($H251*$B$5),(PI()*EO$12^2)/4*(EK251*$W251*1000)/($G251*$B$5)))),
IF($D251="Pressio.",
IF($E251=3,(PI()*EO$12^2)/4*(EK251*$W251*1000)/($H251*$B$5),(PI()*EO$12^2)/4*(EK251*$W251*1000)/($G251*$B$5)),
IF($D251="Pénétro.",
IF($E251=4,(PI()*EO$12^2)/4*(EK251*$W251*1000)/($H251*$B$5),(PI()*EO$12^2)/4*(EK251*$W251*1000)/($G251*$B$5))))))/10</f>
        <v>#N/A</v>
      </c>
      <c r="EP251" s="102" t="e">
        <f>(VLOOKUP($B$3,'Coeff EC7'!$T$39:$X$59,2,0)*EN251+VLOOKUP($B$3,'Coeff EC7'!$T$65:$X$85,2,0)*Model0.1C!EO251)/1.1</f>
        <v>#N/A</v>
      </c>
      <c r="EQ251" s="102" t="e">
        <f>(VLOOKUP($B$3,'Coeff EC7'!$T$39:$X$59,3,0)*EN251+VLOOKUP($B$3,'Coeff EC7'!$T$65:$X$85,3,0)*Model0.1C!EO251)/0.9</f>
        <v>#N/A</v>
      </c>
      <c r="ER251" s="102" t="e">
        <f t="shared" si="394"/>
        <v>#N/A</v>
      </c>
      <c r="ES251" s="102" t="e">
        <f t="shared" si="395"/>
        <v>#N/A</v>
      </c>
      <c r="ET251" s="414" t="e">
        <f>IF(ET250=0,0,IF(AND(EP251&gt;charge_ELS_quasi,EQ251&gt;Charge_ELS_freq,ER251&gt;charge_ELU,ES251&gt;charge_ELA,$B251&gt;NDC!$H$22-0.1+MIN(3*$ET$12,1.5)),0,1))</f>
        <v>#N/A</v>
      </c>
      <c r="EU251" s="86" t="b">
        <f t="shared" si="363"/>
        <v>0</v>
      </c>
      <c r="EV251" s="86">
        <f t="shared" si="364"/>
        <v>0.61</v>
      </c>
      <c r="EW251" s="86">
        <f t="shared" si="365"/>
        <v>0.61</v>
      </c>
      <c r="EX251" s="30" t="e">
        <f t="shared" ca="1" si="396"/>
        <v>#DIV/0!</v>
      </c>
      <c r="EY251" s="85" t="e">
        <f ca="1">IF(EE251&lt;=Hypothèses!$V$7,Hypothèses!$W$7,IF(EE251&lt;=Hypothèses!$V$8,Hypothèses!$W$8,IF(EE251&lt;=Hypothèses!$V$9,Hypothèses!$W$9,IF(EE251&lt;=Hypothèses!$V$10,Hypothèses!$W$10,IF(EE251&lt;=Hypothèses!$V$11,Hypothèses!$W$11,IF(EE251&lt;=Hypothèses!$V$12,Hypothèses!$W$12,IF(EE251&lt;=Hypothèses!$V$13,Hypothèses!$W$13,IF(EE251&lt;=Hypothèses!$V$14,Hypothèses!$W$14,IF(EE251&lt;=Hypothèses!$V$15,Hypothèses!$W$15,IF(EE251&lt;=Hypothèses!$V$16,Hypothèses!$W$16,IF(EE251&lt;=Hypothèses!$V$17,Hypothèses!$W$17,IF(EE251&lt;=Hypothèses!$V$18,Hypothèses!$W$18,""))))))))))))</f>
        <v>#DIV/0!</v>
      </c>
      <c r="EZ251" s="87" t="e">
        <f t="shared" ca="1" si="423"/>
        <v>#DIV/0!</v>
      </c>
      <c r="FA251" s="88" t="e">
        <f ca="1">IF(EE251&lt;=Hypothèses!$V$7,Hypothèses!$X$7,IF(EE251&lt;=Hypothèses!$V$8,Hypothèses!$X$8,IF(EE251&lt;=Hypothèses!$V$9,Hypothèses!$X$9,IF(EE251&lt;=Hypothèses!$V$10,Hypothèses!$X$10,IF(EE251&lt;=Hypothèses!$V$11,Hypothèses!$X$11,IF(EE251&lt;=Hypothèses!$V$12,Hypothèses!$X$12,IF(EE251&lt;=Hypothèses!$V$13,Hypothèses!$X$13,IF(EE251&lt;=Hypothèses!$V$14,Hypothèses!$X$14,IF(EE251&lt;=Hypothèses!$V$15,Hypothèses!$X$15,IF(EE251&lt;=Hypothèses!$V$16,Hypothèses!$X$16,IF(EE251&lt;=Hypothèses!$U$17,Hypothèses!$W$17,IF(EE251&lt;=Hypothèses!$U$18,Hypothèses!$W$18,""))))))))))))</f>
        <v>#DIV/0!</v>
      </c>
      <c r="FB251" s="95" t="e">
        <f t="shared" ca="1" si="397"/>
        <v>#DIV/0!</v>
      </c>
      <c r="FC251" s="101" t="e">
        <f t="shared" si="430"/>
        <v>#N/A</v>
      </c>
      <c r="FD251" s="91" t="e">
        <f t="shared" si="366"/>
        <v>#N/A</v>
      </c>
      <c r="FE251" s="30" t="e">
        <f t="shared" si="414"/>
        <v>#N/A</v>
      </c>
      <c r="FF251" s="30" t="e">
        <f t="shared" si="415"/>
        <v>#N/A</v>
      </c>
      <c r="FG251" s="31" t="e">
        <f>IF(OR(Hypothèses!$B$4=17,Hypothèses!$B$4=18,Hypothèses!$B$4=19,Hypothèses!$B$4=20),
IF($D251="Pressio.",
IF(OR($E251=3,$E251=1,$E251=4),FF251,FE251),
IF($D251="Pénétro.",
IF(OR($E251=3,$E251=1,$E251=4),FF251,FE251))),IF($D251="Pressio.",
IF($E251=3,FF251,FE251),
IF($D251="Pénétro.",
IF($E251=4,FF251,FE251))))</f>
        <v>#N/A</v>
      </c>
      <c r="FH251" s="31" t="e">
        <f>(IF(OR(Hypothèses!$B$4=17,Hypothèses!$B$4=18,Hypothèses!$B$4=19,Hypothèses!$B$4=20),
IF($D251="Pressio.",
IF(OR($E251=3,$E251=1,$E251=4),(PI()*FH$12^2)/4*(FD251*$W251*1000)/($H251*$B$5),(PI()*FH$12^2)/4*(FD251*$W251*1000)/($G251*$B$5)),
IF($D251="Pénétro.",
IF(OR($E251=4,$E251=1,$E251=5),(PI()*FH$12^2)/4*(FD251*$W251*1000)/($H251*$B$5),(PI()*FH$12^2)/4*(FD251*$W251*1000)/($G251*$B$5)))),
IF($D251="Pressio.",
IF($E251=3,(PI()*FH$12^2)/4*(FD251*$W251*1000)/($H251*$B$5),(PI()*FH$12^2)/4*(FD251*$W251*1000)/($G251*$B$5)),
IF($D251="Pénétro.",
IF($E251=4,(PI()*FH$12^2)/4*(FD251*$W251*1000)/($H251*$B$5),(PI()*FH$12^2)/4*(FD251*$W251*1000)/($G251*$B$5))))))/10</f>
        <v>#N/A</v>
      </c>
      <c r="FI251" s="102" t="e">
        <f>(VLOOKUP($B$3,'Coeff EC7'!$T$39:$X$59,2,0)*FG251+VLOOKUP($B$3,'Coeff EC7'!$T$65:$X$85,2,0)*Model0.1C!FH251)/1.1</f>
        <v>#N/A</v>
      </c>
      <c r="FJ251" s="102" t="e">
        <f>(VLOOKUP($B$3,'Coeff EC7'!$T$39:$X$59,3,0)*FG251+VLOOKUP($B$3,'Coeff EC7'!$T$65:$X$85,3,0)*Model0.1C!FH251)/0.9</f>
        <v>#N/A</v>
      </c>
      <c r="FK251" s="102" t="e">
        <f t="shared" si="398"/>
        <v>#N/A</v>
      </c>
      <c r="FL251" s="102" t="e">
        <f t="shared" si="399"/>
        <v>#N/A</v>
      </c>
      <c r="FM251" s="414" t="e">
        <f>IF(FM250=0,0,IF(AND(FI251&gt;charge_ELS_quasi,FJ251&gt;Charge_ELS_freq,FK251&gt;charge_ELU,FL251&gt;charge_ELA,$B251&gt;NDC!$H$22-0.1+MIN(3*$FM$12,1.5)),0,1))</f>
        <v>#N/A</v>
      </c>
    </row>
    <row r="252" spans="1:169">
      <c r="A252" s="96">
        <f t="shared" si="367"/>
        <v>76.100000000001359</v>
      </c>
      <c r="B252" s="97">
        <v>23.9</v>
      </c>
      <c r="C252" s="81">
        <f>IF(B252&lt;=Hypothèses!$C$7,Hypothèses!$A$7,IF(B252&lt;=Hypothèses!$C$8,Hypothèses!$A$8,IF(B252&lt;=Hypothèses!$C$9,Hypothèses!$A$9,IF(B252&lt;=Hypothèses!$C$10,Hypothèses!$A$10,IF(B252&lt;=Hypothèses!$C$11,Hypothèses!$A$11,IF(B252&lt;=Hypothèses!$C$12,Hypothèses!$A$12,IF(B252&lt;=Hypothèses!$C$13,Hypothèses!$A$13,IF(B252&lt;=Hypothèses!$C$14,Hypothèses!$A$14,IF(B252&lt;=Hypothèses!$C$15,Hypothèses!$A$15,IF(B252&lt;=Hypothèses!$C$16,Hypothèses!$A$16,IF(B252&lt;=Hypothèses!$C$17,Hypothèses!$A$17,IF(B252&lt;=Hypothèses!$C$18,Hypothèses!$A$18,C251))))))))))))</f>
        <v>11</v>
      </c>
      <c r="D252" s="82" t="str">
        <f>IF(B252&lt;=Hypothèses!$C$7,Hypothèses!$R$7,IF(B252&lt;=Hypothèses!$C$8,Hypothèses!$R$8,IF(B252&lt;=Hypothèses!$C$9,Hypothèses!$R$9,IF(B252&lt;=Hypothèses!$C$10,Hypothèses!$R$10,IF(B252&lt;=Hypothèses!$C$11,Hypothèses!$R$11,IF(B252&lt;=Hypothèses!$C$12,Hypothèses!$R$12,IF(B252&lt;=Hypothèses!$C$13,Hypothèses!$R$13,IF(B252&lt;=Hypothèses!$C$14,Hypothèses!$R$14,IF(B252&lt;=Hypothèses!$C$15,Hypothèses!$R$15,IF(B252&lt;=Hypothèses!$C$16,Hypothèses!$R$16,IF(B252&lt;=Hypothèses!$C$17,Hypothèses!$R$17,IF(B252&lt;=Hypothèses!$C$18,Hypothèses!$R$18,D251))))))))))))</f>
        <v>Pressio.</v>
      </c>
      <c r="E252" s="82" t="e">
        <f>IF(B252&lt;=Hypothèses!$C$7,Hypothèses!$G$7,IF(B252&lt;=Hypothèses!$C$8,Hypothèses!$G$8,IF(B252&lt;=Hypothèses!$C$9,Hypothèses!$G$9,IF(B252&lt;=Hypothèses!$C$10,Hypothèses!$G$10,IF(B252&lt;=Hypothèses!$C$11,Hypothèses!$G$11,IF(B252&lt;=Hypothèses!$C$12,Hypothèses!$G$12,IF(B252&lt;=Hypothèses!$C$13,Hypothèses!$G$13,IF(B252&lt;=Hypothèses!$C$14,Hypothèses!$G$14,IF(B252&lt;=Hypothèses!$C$15,Hypothèses!$G$15,IF(B252&lt;=Hypothèses!$C$16,Hypothèses!$G$16,IF(B252&lt;=Hypothèses!$C$17,Hypothèses!$G$17,IF(B252&lt;=Hypothèses!$C$18,Hypothèses!$G$18,E251))))))))))))</f>
        <v>#N/A</v>
      </c>
      <c r="F252" s="82" t="str">
        <f>IF(B252&lt;=Hypothèses!$C$7,Hypothèses!$F$7,IF(B252&lt;=Hypothèses!$C$8,Hypothèses!$F$8,IF(B252&lt;=Hypothèses!$C$9,Hypothèses!$F$9,IF(B252&lt;=Hypothèses!$C$10,Hypothèses!$F$10,IF(B252&lt;=Hypothèses!$C$11,Hypothèses!$F$11,IF(B252&lt;=Hypothèses!$C$12,Hypothèses!$F$12,IF(B252&lt;=Hypothèses!$C$13,Hypothèses!$F$13,IF(B252&lt;=Hypothèses!$C$14,Hypothèses!$F$14,IF(B252&lt;=Hypothèses!$C$15,Hypothèses!$F$15,IF(B252&lt;=Hypothèses!$C$16,Hypothèses!$F$16,IF(B252&lt;=Hypothèses!$C$17,Hypothèses!$F$17,IF(B252&lt;=Hypothèses!$C$18,Hypothèses!$F$18,F251))))))))))))</f>
        <v/>
      </c>
      <c r="G252" s="91">
        <f t="array" ref="G252">INDEX('Coeff EC7'!$U$7:$X$27,
MATCH(Model0.1C!$B$3,'Coeff EC7'!$T$7:$T$27,0),
MATCH(Model0.1C!$D252&amp;Model0.1C!$B$4,
'Coeff EC7'!$U$6:$X$6&amp;
'Coeff EC7'!$U$5:$X$5,0))</f>
        <v>1.1499999999999999</v>
      </c>
      <c r="H252" s="91">
        <f t="array" ref="H252">INDEX('Coeff EC7'!$Y$7:$AB$27,
MATCH(Model0.1C!$B$3,'Coeff EC7'!$T$7:$T$27,0),
MATCH(Model0.1C!$D252&amp;Model0.1C!$B$4,
'Coeff EC7'!$Y$6:$AB$6&amp;
'Coeff EC7'!$Y$5:$AB$5,0))</f>
        <v>1.4</v>
      </c>
      <c r="I252" s="83" t="e">
        <f>IF(B252&lt;=Hypothèses!$C$7,Hypothèses!$P$7,IF(B252&lt;=Hypothèses!$C$8,Hypothèses!$P$8,IF(B252&lt;=Hypothèses!$C$9,Hypothèses!$P$9,IF(B252&lt;=Hypothèses!$C$10,Hypothèses!$P$10,IF(B252&lt;=Hypothèses!$C$11,Hypothèses!$P$11,IF(B252&lt;=Hypothèses!$C$12,Hypothèses!$P$12,IF(B252&lt;=Hypothèses!$C$13,Hypothèses!$P$13,IF(B252&lt;=Hypothèses!$C$14,Hypothèses!$P$14,IF(B252&lt;=Hypothèses!$C$15,Hypothèses!$P$15,IF(B252&lt;=Hypothèses!$C$16,Hypothèses!$P$16,IF(B252&lt;=Hypothèses!$C$17,Hypothèses!$P$17,IF(B252&lt;=Hypothèses!$C$18,Hypothèses!$P$18,I251))))))))))))</f>
        <v>#N/A</v>
      </c>
      <c r="J252" s="91" t="e">
        <f t="array" ref="J252">INDEX('Coeff EC7'!$D$33:$Q$33,1,MATCH(D252&amp;E252,'Coeff EC7'!$D$31:$Q$31&amp;'Coeff EC7'!$D$32:$Q$32,0))</f>
        <v>#N/A</v>
      </c>
      <c r="K252" s="91" t="e">
        <f t="array" ref="K252">INDEX('Coeff EC7'!$D$34:$Q$34,1,MATCH(D252&amp;E252,'Coeff EC7'!$D$31:$Q$31&amp;'Coeff EC7'!$D$32:$Q$32,0))</f>
        <v>#N/A</v>
      </c>
      <c r="L252" s="91" t="e">
        <f t="array" ref="L252">INDEX('Coeff EC7'!$D$35:$Q$35,1,MATCH(D252&amp;E252,'Coeff EC7'!$D$31:$Q$31&amp;'Coeff EC7'!$D$32:$Q$32,0))</f>
        <v>#N/A</v>
      </c>
      <c r="M252" s="98" t="e">
        <f t="shared" si="331"/>
        <v>#N/A</v>
      </c>
      <c r="N252" s="99" t="e">
        <f t="array" ref="N252">INDEX('Coeff EC7'!$D$7:$Q$27,MATCH($B$3,'Coeff EC7'!$C$7:$C$27,0),MATCH(D252&amp;E252,'Coeff EC7'!$D$5:$Q$5&amp;'Coeff EC7'!$D$6:$Q$6,0))</f>
        <v>#N/A</v>
      </c>
      <c r="O252" s="99" t="e">
        <f t="array" ref="O252">INDEX('Coeff EC7'!$D$41:$Q$61,MATCH($B$3,'Coeff EC7'!$C$41:$C$61,0),MATCH(D252&amp;E252,'Coeff EC7'!$D$39:$Q$39&amp;'Coeff EC7'!$D$40:$Q$40,0))</f>
        <v>#N/A</v>
      </c>
      <c r="P252" s="30" t="e">
        <f t="shared" si="368"/>
        <v>#N/A</v>
      </c>
      <c r="Q252" s="100" t="e">
        <f t="shared" si="333"/>
        <v>#N/A</v>
      </c>
      <c r="R252" s="86" t="b">
        <f t="shared" si="334"/>
        <v>0</v>
      </c>
      <c r="S252" s="86">
        <f t="shared" si="332"/>
        <v>0.5</v>
      </c>
      <c r="T252" s="86">
        <f t="shared" si="335"/>
        <v>0.5</v>
      </c>
      <c r="U252" s="30" t="e">
        <f t="shared" ca="1" si="369"/>
        <v>#DIV/0!</v>
      </c>
      <c r="V252" s="85" t="str">
        <f>IF(B252&lt;=Hypothèses!$V$7,Hypothèses!$W$7,IF(B252&lt;=Hypothèses!$V$8,Hypothèses!$W$8,IF(B252&lt;=Hypothèses!$V$9,Hypothèses!$W$9,IF(B252&lt;=Hypothèses!$V$10,Hypothèses!$W$10,IF(B252&lt;=Hypothèses!$V$11,Hypothèses!$W$11,IF(B252&lt;=Hypothèses!$V$12,Hypothèses!$W$12,IF(B252&lt;=Hypothèses!$V$13,Hypothèses!$W$13,IF(B252&lt;=Hypothèses!$V$14,Hypothèses!$W$14,IF(B252&lt;=Hypothèses!$V$15,Hypothèses!$W$15,IF(B252&lt;=Hypothèses!$V$16,Hypothèses!$W$16,IF(B252&lt;=Hypothèses!$V$17,Hypothèses!$W$17,IF(B252&lt;=Hypothèses!$V$18,Hypothèses!$W$18,""))))))))))))</f>
        <v/>
      </c>
      <c r="W252" s="87" t="e">
        <f t="shared" ca="1" si="416"/>
        <v>#DIV/0!</v>
      </c>
      <c r="X252" s="88" t="str">
        <f>IF(B252&lt;=Hypothèses!$V$7,Hypothèses!$X$7,IF(B252&lt;=Hypothèses!$V$8,Hypothèses!$X$8,IF(B252&lt;=Hypothèses!$V$9,Hypothèses!$X$9,IF(B252&lt;=Hypothèses!$V$10,Hypothèses!$X$10,IF(B252&lt;=Hypothèses!$V$11,Hypothèses!$X$11,IF(B252&lt;=Hypothèses!$V$12,Hypothèses!$X$12,IF(B252&lt;=Hypothèses!$V$13,Hypothèses!$X$13,IF(B252&lt;=Hypothèses!$V$14,Hypothèses!$X$14,IF(B252&lt;=Hypothèses!$V$15,Hypothèses!$X$15,IF(B252&lt;=Hypothèses!$V$16,Hypothèses!$X$16,IF(B252&lt;=Hypothèses!$U$17,Hypothèses!$W$17,IF(B252&lt;=Hypothèses!$U$18,Hypothèses!$W$18,""))))))))))))</f>
        <v/>
      </c>
      <c r="Y252" s="95" t="e">
        <f t="shared" ca="1" si="336"/>
        <v>#DIV/0!</v>
      </c>
      <c r="Z252" s="101" t="e">
        <f t="shared" si="337"/>
        <v>#N/A</v>
      </c>
      <c r="AA252" s="91" t="e">
        <f t="shared" si="338"/>
        <v>#N/A</v>
      </c>
      <c r="AB252" s="30" t="e">
        <f t="shared" si="400"/>
        <v>#N/A</v>
      </c>
      <c r="AC252" s="30" t="e">
        <f t="shared" si="401"/>
        <v>#N/A</v>
      </c>
      <c r="AD252" s="31" t="e">
        <f>IF(OR(Hypothèses!$B$4=17,Hypothèses!$B$4=18,Hypothèses!$B$4=19,Hypothèses!$B$4=20),
IF($D252="Pressio.",
IF(OR($E252=3,$E252=1,$E252=4),AC252,AB252),
IF($D252="Pénétro.",
IF(OR($E252=3,$E252=1,$E252=4),AC252,AB252))),IF($D252="Pressio.",
IF($E252=3,AC252,AB252),
IF($D252="Pénétro.",
IF($E252=4,AC252,AB252))))</f>
        <v>#N/A</v>
      </c>
      <c r="AE252" s="31" t="e">
        <f>(IF(OR(Hypothèses!$B$4=17,Hypothèses!$B$4=18,Hypothèses!$B$4=19,Hypothèses!$B$4=20),
IF($D252="Pressio.",
IF(OR($E252=3,$E252=1,$E252=4),(PI()*AE$12^2)/4*(AA252*$W252*1000)/($H252*$B$5),(PI()*AE$12^2)/4*(AA252*$W252*1000)/($G252*$B$5)),
IF($D252="Pénétro.",
IF(OR($E252=4,$E252=1,$E252=5),(PI()*AE$12^2)/4*(AA252*$W252*1000)/($H252*$B$5),(PI()*AE$12^2)/4*(AA252*$W252*1000)/($G252*$B$5)))),
IF($D252="Pressio.",
IF($E252=3,(PI()*AE$12^2)/4*(AA252*$W252*1000)/($H252*$B$5),(PI()*AE$12^2)/4*(AA252*$W252*1000)/($G252*$B$5)),
IF($D252="Pénétro.",
IF($E252=4,(PI()*AE$12^2)/4*(AA252*$W252*1000)/($H252*$B$5),(PI()*AE$12^2)/4*(AA252*$W252*1000)/($G252*$B$5))))))/10</f>
        <v>#N/A</v>
      </c>
      <c r="AF252" s="102" t="e">
        <f>(VLOOKUP($B$3,'Coeff EC7'!$T$39:$X$59,2,0)*AD252+VLOOKUP($B$3,'Coeff EC7'!$T$65:$X$85,2,0)*Model0.1C!AE252)/1.1</f>
        <v>#N/A</v>
      </c>
      <c r="AG252" s="102" t="e">
        <f>(VLOOKUP($B$3,'Coeff EC7'!$T$39:$X$59,3,0)*AD252+VLOOKUP($B$3,'Coeff EC7'!$T$65:$X$85,3,0)*Model0.1C!AE252)/0.9</f>
        <v>#N/A</v>
      </c>
      <c r="AH252" s="102" t="e">
        <f t="shared" si="339"/>
        <v>#N/A</v>
      </c>
      <c r="AI252" s="102" t="e">
        <f t="shared" si="340"/>
        <v>#N/A</v>
      </c>
      <c r="AJ252" s="414" t="e">
        <f>IF(AJ251=0,0,IF(AND(AF252&gt;charge_ELS_quasi,AG252&gt;Charge_ELS_freq,AH252&gt;charge_ELU,AI252&gt;charge_ELA,$B252&gt;NDC!$H$22-0.1+MIN(3*$AJ$12,1.5)),0,1))</f>
        <v>#N/A</v>
      </c>
      <c r="AK252" s="86" t="b">
        <f t="shared" si="341"/>
        <v>0</v>
      </c>
      <c r="AL252" s="86">
        <f t="shared" si="370"/>
        <v>0.5</v>
      </c>
      <c r="AM252" s="86">
        <f t="shared" si="342"/>
        <v>0.5</v>
      </c>
      <c r="AN252" s="30" t="e">
        <f t="shared" ca="1" si="371"/>
        <v>#DIV/0!</v>
      </c>
      <c r="AO252" s="85" t="e">
        <f ca="1">IF(U252&lt;=Hypothèses!$V$7,Hypothèses!$W$7,IF(U252&lt;=Hypothèses!$V$8,Hypothèses!$W$8,IF(U252&lt;=Hypothèses!$V$9,Hypothèses!$W$9,IF(U252&lt;=Hypothèses!$V$10,Hypothèses!$W$10,IF(U252&lt;=Hypothèses!$V$11,Hypothèses!$W$11,IF(U252&lt;=Hypothèses!$V$12,Hypothèses!$W$12,IF(U252&lt;=Hypothèses!$V$13,Hypothèses!$W$13,IF(U252&lt;=Hypothèses!$V$14,Hypothèses!$W$14,IF(U252&lt;=Hypothèses!$V$15,Hypothèses!$W$15,IF(U252&lt;=Hypothèses!$V$16,Hypothèses!$W$16,IF(U252&lt;=Hypothèses!$V$17,Hypothèses!$W$17,IF(U252&lt;=Hypothèses!$V$18,Hypothèses!$W$18,""))))))))))))</f>
        <v>#DIV/0!</v>
      </c>
      <c r="AP252" s="87" t="e">
        <f t="shared" ca="1" si="417"/>
        <v>#DIV/0!</v>
      </c>
      <c r="AQ252" s="88" t="e">
        <f ca="1">IF(U252&lt;=Hypothèses!$V$7,Hypothèses!$X$7,IF(U252&lt;=Hypothèses!$V$8,Hypothèses!$X$8,IF(U252&lt;=Hypothèses!$V$9,Hypothèses!$X$9,IF(U252&lt;=Hypothèses!$V$10,Hypothèses!$X$10,IF(U252&lt;=Hypothèses!$V$11,Hypothèses!$X$11,IF(U252&lt;=Hypothèses!$V$12,Hypothèses!$X$12,IF(U252&lt;=Hypothèses!$V$13,Hypothèses!$X$13,IF(U252&lt;=Hypothèses!$V$14,Hypothèses!$X$14,IF(U252&lt;=Hypothèses!$V$15,Hypothèses!$X$15,IF(U252&lt;=Hypothèses!$V$16,Hypothèses!$X$16,IF(U252&lt;=Hypothèses!$U$17,Hypothèses!$W$17,IF(U252&lt;=Hypothèses!$U$18,Hypothèses!$W$18,""))))))))))))</f>
        <v>#DIV/0!</v>
      </c>
      <c r="AR252" s="95" t="e">
        <f t="shared" ca="1" si="372"/>
        <v>#DIV/0!</v>
      </c>
      <c r="AS252" s="101" t="e">
        <f t="shared" si="424"/>
        <v>#N/A</v>
      </c>
      <c r="AT252" s="91" t="e">
        <f t="shared" si="343"/>
        <v>#N/A</v>
      </c>
      <c r="AU252" s="30" t="e">
        <f t="shared" si="402"/>
        <v>#N/A</v>
      </c>
      <c r="AV252" s="30" t="e">
        <f t="shared" si="403"/>
        <v>#N/A</v>
      </c>
      <c r="AW252" s="31" t="e">
        <f>IF(OR(Hypothèses!$B$4=17,Hypothèses!$B$4=18,Hypothèses!$B$4=19,Hypothèses!$B$4=20),
IF($D252="Pressio.",
IF(OR($E252=3,$E252=1,$E252=4),AV252,AU252),
IF($D252="Pénétro.",
IF(OR($E252=3,$E252=1,$E252=4),AV252,AU252))),IF($D252="Pressio.",
IF($E252=3,AV252,AU252),
IF($D252="Pénétro.",
IF($E252=4,AV252,AU252))))</f>
        <v>#N/A</v>
      </c>
      <c r="AX252" s="31" t="e">
        <f>(IF(OR(Hypothèses!$B$4=17,Hypothèses!$B$4=18,Hypothèses!$B$4=19,Hypothèses!$B$4=20),
IF($D252="Pressio.",
IF(OR($E252=3,$E252=1,$E252=4),(PI()*AX$12^2)/4*(AT252*$W252*1000)/($H252*$B$5),(PI()*AX$12^2)/4*(AT252*$W252*1000)/($G252*$B$5)),
IF($D252="Pénétro.",
IF(OR($E252=4,$E252=1,$E252=5),(PI()*AX$12^2)/4*(AT252*$W252*1000)/($H252*$B$5),(PI()*AX$12^2)/4*(AT252*$W252*1000)/($G252*$B$5)))),
IF($D252="Pressio.",
IF($E252=3,(PI()*AX$12^2)/4*(AT252*$W252*1000)/($H252*$B$5),(PI()*AX$12^2)/4*(AT252*$W252*1000)/($G252*$B$5)),
IF($D252="Pénétro.",
IF($E252=4,(PI()*AX$12^2)/4*(AT252*$W252*1000)/($H252*$B$5),(PI()*AX$12^2)/4*(AT252*$W252*1000)/($G252*$B$5))))))/10</f>
        <v>#N/A</v>
      </c>
      <c r="AY252" s="102" t="e">
        <f>(VLOOKUP($B$3,'Coeff EC7'!$T$39:$X$59,2,0)*AW252+VLOOKUP($B$3,'Coeff EC7'!$T$65:$X$85,2,0)*Model0.1C!AX252)/1.1</f>
        <v>#N/A</v>
      </c>
      <c r="AZ252" s="102" t="e">
        <f>(VLOOKUP($B$3,'Coeff EC7'!$T$39:$X$59,3,0)*AW252+VLOOKUP($B$3,'Coeff EC7'!$T$65:$X$85,3,0)*Model0.1C!AX252)/0.9</f>
        <v>#N/A</v>
      </c>
      <c r="BA252" s="102" t="e">
        <f t="shared" si="373"/>
        <v>#N/A</v>
      </c>
      <c r="BB252" s="102" t="e">
        <f t="shared" si="374"/>
        <v>#N/A</v>
      </c>
      <c r="BC252" s="414" t="e">
        <f>IF(BC251=0,0,IF(AND(AY252&gt;charge_ELS_quasi,AZ252&gt;Charge_ELS_freq,BA252&gt;charge_ELU,BB252&gt;charge_ELA,$B252&gt;NDC!$H$22-0.1+MIN(3*$BC$12,1.5)),0,1))</f>
        <v>#N/A</v>
      </c>
      <c r="BD252" s="86" t="b">
        <f t="shared" si="344"/>
        <v>0</v>
      </c>
      <c r="BE252" s="86">
        <f t="shared" si="375"/>
        <v>0.5</v>
      </c>
      <c r="BF252" s="86">
        <f t="shared" si="345"/>
        <v>0.5</v>
      </c>
      <c r="BG252" s="30" t="e">
        <f t="shared" ca="1" si="376"/>
        <v>#DIV/0!</v>
      </c>
      <c r="BH252" s="85" t="e">
        <f ca="1">IF(AN252&lt;=Hypothèses!$V$7,Hypothèses!$W$7,IF(AN252&lt;=Hypothèses!$V$8,Hypothèses!$W$8,IF(AN252&lt;=Hypothèses!$V$9,Hypothèses!$W$9,IF(AN252&lt;=Hypothèses!$V$10,Hypothèses!$W$10,IF(AN252&lt;=Hypothèses!$V$11,Hypothèses!$W$11,IF(AN252&lt;=Hypothèses!$V$12,Hypothèses!$W$12,IF(AN252&lt;=Hypothèses!$V$13,Hypothèses!$W$13,IF(AN252&lt;=Hypothèses!$V$14,Hypothèses!$W$14,IF(AN252&lt;=Hypothèses!$V$15,Hypothèses!$W$15,IF(AN252&lt;=Hypothèses!$V$16,Hypothèses!$W$16,IF(AN252&lt;=Hypothèses!$V$17,Hypothèses!$W$17,IF(AN252&lt;=Hypothèses!$V$18,Hypothèses!$W$18,""))))))))))))</f>
        <v>#DIV/0!</v>
      </c>
      <c r="BI252" s="87" t="e">
        <f t="shared" ca="1" si="418"/>
        <v>#DIV/0!</v>
      </c>
      <c r="BJ252" s="88" t="e">
        <f ca="1">IF(AN252&lt;=Hypothèses!$V$7,Hypothèses!$X$7,IF(AN252&lt;=Hypothèses!$V$8,Hypothèses!$X$8,IF(AN252&lt;=Hypothèses!$V$9,Hypothèses!$X$9,IF(AN252&lt;=Hypothèses!$V$10,Hypothèses!$X$10,IF(AN252&lt;=Hypothèses!$V$11,Hypothèses!$X$11,IF(AN252&lt;=Hypothèses!$V$12,Hypothèses!$X$12,IF(AN252&lt;=Hypothèses!$V$13,Hypothèses!$X$13,IF(AN252&lt;=Hypothèses!$V$14,Hypothèses!$X$14,IF(AN252&lt;=Hypothèses!$V$15,Hypothèses!$X$15,IF(AN252&lt;=Hypothèses!$V$16,Hypothèses!$X$16,IF(AN252&lt;=Hypothèses!$U$17,Hypothèses!$W$17,IF(AN252&lt;=Hypothèses!$U$18,Hypothèses!$W$18,""))))))))))))</f>
        <v>#DIV/0!</v>
      </c>
      <c r="BK252" s="95" t="e">
        <f t="shared" ca="1" si="377"/>
        <v>#DIV/0!</v>
      </c>
      <c r="BL252" s="101" t="e">
        <f t="shared" si="425"/>
        <v>#N/A</v>
      </c>
      <c r="BM252" s="91" t="e">
        <f t="shared" si="346"/>
        <v>#N/A</v>
      </c>
      <c r="BN252" s="30" t="e">
        <f t="shared" si="404"/>
        <v>#N/A</v>
      </c>
      <c r="BO252" s="30" t="e">
        <f t="shared" si="405"/>
        <v>#N/A</v>
      </c>
      <c r="BP252" s="31" t="e">
        <f>IF(OR(Hypothèses!$B$4=17,Hypothèses!$B$4=18,Hypothèses!$B$4=19,Hypothèses!$B$4=20),
IF($D252="Pressio.",
IF(OR($E252=3,$E252=1,$E252=4),BO252,BN252),
IF($D252="Pénétro.",
IF(OR($E252=3,$E252=1,$E252=4),BO252,BN252))),IF($D252="Pressio.",
IF($E252=3,BO252,BN252),
IF($D252="Pénétro.",
IF($E252=4,BO252,BN252))))</f>
        <v>#N/A</v>
      </c>
      <c r="BQ252" s="31" t="e">
        <f>(IF(OR(Hypothèses!$B$4=17,Hypothèses!$B$4=18,Hypothèses!$B$4=19,Hypothèses!$B$4=20),
IF($D252="Pressio.",
IF(OR($E252=3,$E252=1,$E252=4),(PI()*BQ$12^2)/4*(BM252*$W252*1000)/($H252*$B$5),(PI()*BQ$12^2)/4*(BM252*$W252*1000)/($G252*$B$5)),
IF($D252="Pénétro.",
IF(OR($E252=4,$E252=1,$E252=5),(PI()*BQ$12^2)/4*(BM252*$W252*1000)/($H252*$B$5),(PI()*BQ$12^2)/4*(BM252*$W252*1000)/($G252*$B$5)))),
IF($D252="Pressio.",
IF($E252=3,(PI()*BQ$12^2)/4*(BM252*$W252*1000)/($H252*$B$5),(PI()*BQ$12^2)/4*(BM252*$W252*1000)/($G252*$B$5)),
IF($D252="Pénétro.",
IF($E252=4,(PI()*BQ$12^2)/4*(BM252*$W252*1000)/($H252*$B$5),(PI()*BQ$12^2)/4*(BM252*$W252*1000)/($G252*$B$5))))))/10</f>
        <v>#N/A</v>
      </c>
      <c r="BR252" s="102" t="e">
        <f>(VLOOKUP($B$3,'Coeff EC7'!$T$39:$X$59,2,0)*BP252+VLOOKUP($B$3,'Coeff EC7'!$T$65:$X$85,2,0)*Model0.1C!BQ252)/1.1</f>
        <v>#N/A</v>
      </c>
      <c r="BS252" s="102" t="e">
        <f>(VLOOKUP($B$3,'Coeff EC7'!$T$39:$X$59,3,0)*BP252+VLOOKUP($B$3,'Coeff EC7'!$T$65:$X$85,3,0)*Model0.1C!BQ252)/0.9</f>
        <v>#N/A</v>
      </c>
      <c r="BT252" s="102" t="e">
        <f t="shared" si="378"/>
        <v>#N/A</v>
      </c>
      <c r="BU252" s="102" t="e">
        <f t="shared" si="379"/>
        <v>#N/A</v>
      </c>
      <c r="BV252" s="414" t="e">
        <f>IF(BV251=0,0,IF(AND(BR252&gt;charge_ELS_quasi,BS252&gt;Charge_ELS_freq,BT252&gt;charge_ELU,BU252&gt;charge_ELA,$B252&gt;NDC!$H$22-0.1+MIN(3*$BV$12,1.5)),0,1))</f>
        <v>#N/A</v>
      </c>
      <c r="BW252" s="86" t="b">
        <f t="shared" si="347"/>
        <v>0</v>
      </c>
      <c r="BX252" s="86">
        <f t="shared" si="348"/>
        <v>0.5</v>
      </c>
      <c r="BY252" s="86">
        <f t="shared" si="349"/>
        <v>0.5</v>
      </c>
      <c r="BZ252" s="30" t="e">
        <f t="shared" ca="1" si="380"/>
        <v>#DIV/0!</v>
      </c>
      <c r="CA252" s="85" t="e">
        <f ca="1">IF(BG252&lt;=Hypothèses!$V$7,Hypothèses!$W$7,IF(BG252&lt;=Hypothèses!$V$8,Hypothèses!$W$8,IF(BG252&lt;=Hypothèses!$V$9,Hypothèses!$W$9,IF(BG252&lt;=Hypothèses!$V$10,Hypothèses!$W$10,IF(BG252&lt;=Hypothèses!$V$11,Hypothèses!$W$11,IF(BG252&lt;=Hypothèses!$V$12,Hypothèses!$W$12,IF(BG252&lt;=Hypothèses!$V$13,Hypothèses!$W$13,IF(BG252&lt;=Hypothèses!$V$14,Hypothèses!$W$14,IF(BG252&lt;=Hypothèses!$V$15,Hypothèses!$W$15,IF(BG252&lt;=Hypothèses!$V$16,Hypothèses!$W$16,IF(BG252&lt;=Hypothèses!$V$17,Hypothèses!$W$17,IF(BG252&lt;=Hypothèses!$V$18,Hypothèses!$W$18,""))))))))))))</f>
        <v>#DIV/0!</v>
      </c>
      <c r="CB252" s="87" t="e">
        <f t="shared" ca="1" si="419"/>
        <v>#DIV/0!</v>
      </c>
      <c r="CC252" s="88" t="e">
        <f ca="1">IF(BG252&lt;=Hypothèses!$V$7,Hypothèses!$X$7,IF(BG252&lt;=Hypothèses!$V$8,Hypothèses!$X$8,IF(BG252&lt;=Hypothèses!$V$9,Hypothèses!$X$9,IF(BG252&lt;=Hypothèses!$V$10,Hypothèses!$X$10,IF(BG252&lt;=Hypothèses!$V$11,Hypothèses!$X$11,IF(BG252&lt;=Hypothèses!$V$12,Hypothèses!$X$12,IF(BG252&lt;=Hypothèses!$V$13,Hypothèses!$X$13,IF(BG252&lt;=Hypothèses!$V$14,Hypothèses!$X$14,IF(BG252&lt;=Hypothèses!$V$15,Hypothèses!$X$15,IF(BG252&lt;=Hypothèses!$V$16,Hypothèses!$X$16,IF(BG252&lt;=Hypothèses!$U$17,Hypothèses!$W$17,IF(BG252&lt;=Hypothèses!$U$18,Hypothèses!$W$18,""))))))))))))</f>
        <v>#DIV/0!</v>
      </c>
      <c r="CD252" s="95" t="e">
        <f t="shared" ca="1" si="381"/>
        <v>#DIV/0!</v>
      </c>
      <c r="CE252" s="101" t="e">
        <f t="shared" si="426"/>
        <v>#N/A</v>
      </c>
      <c r="CF252" s="91" t="e">
        <f t="shared" si="350"/>
        <v>#N/A</v>
      </c>
      <c r="CG252" s="30" t="e">
        <f t="shared" si="406"/>
        <v>#N/A</v>
      </c>
      <c r="CH252" s="30" t="e">
        <f t="shared" si="407"/>
        <v>#N/A</v>
      </c>
      <c r="CI252" s="31" t="e">
        <f>IF(OR(Hypothèses!$B$4=17,Hypothèses!$B$4=18,Hypothèses!$B$4=19,Hypothèses!$B$4=20),
IF($D252="Pressio.",
IF(OR($E252=3,$E252=1,$E252=4),CH252,CG252),
IF($D252="Pénétro.",
IF(OR($E252=3,$E252=1,$E252=4),CH252,CG252))),IF($D252="Pressio.",
IF($E252=3,CH252,CG252),
IF($D252="Pénétro.",
IF($E252=4,CH252,CG252))))</f>
        <v>#N/A</v>
      </c>
      <c r="CJ252" s="31" t="e">
        <f>(IF(OR(Hypothèses!$B$4=17,Hypothèses!$B$4=18,Hypothèses!$B$4=19,Hypothèses!$B$4=20),
IF($D252="Pressio.",
IF(OR($E252=3,$E252=1,$E252=4),(PI()*CJ$12^2)/4*(CF252*$W252*1000)/($H252*$B$5),(PI()*CJ$12^2)/4*(CF252*$W252*1000)/($G252*$B$5)),
IF($D252="Pénétro.",
IF(OR($E252=4,$E252=1,$E252=5),(PI()*CJ$12^2)/4*(CF252*$W252*1000)/($H252*$B$5),(PI()*CJ$12^2)/4*(CF252*$W252*1000)/($G252*$B$5)))),
IF($D252="Pressio.",
IF($E252=3,(PI()*CJ$12^2)/4*(CF252*$W252*1000)/($H252*$B$5),(PI()*CJ$12^2)/4*(CF252*$W252*1000)/($G252*$B$5)),
IF($D252="Pénétro.",
IF($E252=4,(PI()*CJ$12^2)/4*(CF252*$W252*1000)/($H252*$B$5),(PI()*CJ$12^2)/4*(CF252*$W252*1000)/($G252*$B$5))))))/10</f>
        <v>#N/A</v>
      </c>
      <c r="CK252" s="102" t="e">
        <f>(VLOOKUP($B$3,'Coeff EC7'!$T$39:$X$59,2,0)*CI252+VLOOKUP($B$3,'Coeff EC7'!$T$65:$X$85,2,0)*Model0.1C!CJ252)/1.1</f>
        <v>#N/A</v>
      </c>
      <c r="CL252" s="102" t="e">
        <f>(VLOOKUP($B$3,'Coeff EC7'!$T$39:$X$59,3,0)*CI252+VLOOKUP($B$3,'Coeff EC7'!$T$65:$X$85,3,0)*Model0.1C!CJ252)/0.9</f>
        <v>#N/A</v>
      </c>
      <c r="CM252" s="102" t="e">
        <f t="shared" si="382"/>
        <v>#N/A</v>
      </c>
      <c r="CN252" s="102" t="e">
        <f t="shared" si="383"/>
        <v>#N/A</v>
      </c>
      <c r="CO252" s="414" t="e">
        <f>IF(CO251=0,0,IF(AND(CK252&gt;charge_ELS_quasi,CL252&gt;Charge_ELS_freq,CM252&gt;charge_ELU,CN252&gt;charge_ELA,$B252&gt;NDC!$H$22-0.1+MIN(3*$CO$12,1.5)),0,1))</f>
        <v>#N/A</v>
      </c>
      <c r="CP252" s="86" t="b">
        <f t="shared" si="351"/>
        <v>0</v>
      </c>
      <c r="CQ252" s="86">
        <f t="shared" si="352"/>
        <v>0.5</v>
      </c>
      <c r="CR252" s="86">
        <f t="shared" si="353"/>
        <v>0.5</v>
      </c>
      <c r="CS252" s="30" t="e">
        <f t="shared" ca="1" si="384"/>
        <v>#DIV/0!</v>
      </c>
      <c r="CT252" s="85" t="e">
        <f ca="1">IF(BZ252&lt;=Hypothèses!$V$7,Hypothèses!$W$7,IF(BZ252&lt;=Hypothèses!$V$8,Hypothèses!$W$8,IF(BZ252&lt;=Hypothèses!$V$9,Hypothèses!$W$9,IF(BZ252&lt;=Hypothèses!$V$10,Hypothèses!$W$10,IF(BZ252&lt;=Hypothèses!$V$11,Hypothèses!$W$11,IF(BZ252&lt;=Hypothèses!$V$12,Hypothèses!$W$12,IF(BZ252&lt;=Hypothèses!$V$13,Hypothèses!$W$13,IF(BZ252&lt;=Hypothèses!$V$14,Hypothèses!$W$14,IF(BZ252&lt;=Hypothèses!$V$15,Hypothèses!$W$15,IF(BZ252&lt;=Hypothèses!$V$16,Hypothèses!$W$16,IF(BZ252&lt;=Hypothèses!$V$17,Hypothèses!$W$17,IF(BZ252&lt;=Hypothèses!$V$18,Hypothèses!$W$18,""))))))))))))</f>
        <v>#DIV/0!</v>
      </c>
      <c r="CU252" s="87" t="e">
        <f t="shared" ca="1" si="420"/>
        <v>#DIV/0!</v>
      </c>
      <c r="CV252" s="88" t="e">
        <f ca="1">IF(BZ252&lt;=Hypothèses!$V$7,Hypothèses!$X$7,IF(BZ252&lt;=Hypothèses!$V$8,Hypothèses!$X$8,IF(BZ252&lt;=Hypothèses!$V$9,Hypothèses!$X$9,IF(BZ252&lt;=Hypothèses!$V$10,Hypothèses!$X$10,IF(BZ252&lt;=Hypothèses!$V$11,Hypothèses!$X$11,IF(BZ252&lt;=Hypothèses!$V$12,Hypothèses!$X$12,IF(BZ252&lt;=Hypothèses!$V$13,Hypothèses!$X$13,IF(BZ252&lt;=Hypothèses!$V$14,Hypothèses!$X$14,IF(BZ252&lt;=Hypothèses!$V$15,Hypothèses!$X$15,IF(BZ252&lt;=Hypothèses!$V$16,Hypothèses!$X$16,IF(BZ252&lt;=Hypothèses!$U$17,Hypothèses!$W$17,IF(BZ252&lt;=Hypothèses!$U$18,Hypothèses!$W$18,""))))))))))))</f>
        <v>#DIV/0!</v>
      </c>
      <c r="CW252" s="95" t="e">
        <f t="shared" ca="1" si="385"/>
        <v>#DIV/0!</v>
      </c>
      <c r="CX252" s="101" t="e">
        <f t="shared" si="427"/>
        <v>#N/A</v>
      </c>
      <c r="CY252" s="91" t="e">
        <f t="shared" si="354"/>
        <v>#N/A</v>
      </c>
      <c r="CZ252" s="30" t="e">
        <f t="shared" si="408"/>
        <v>#N/A</v>
      </c>
      <c r="DA252" s="30" t="e">
        <f t="shared" si="409"/>
        <v>#N/A</v>
      </c>
      <c r="DB252" s="31" t="e">
        <f>IF(OR(Hypothèses!$B$4=17,Hypothèses!$B$4=18,Hypothèses!$B$4=19,Hypothèses!$B$4=20),
IF($D252="Pressio.",
IF(OR($E252=3,$E252=1,$E252=4),DA252,CZ252),
IF($D252="Pénétro.",
IF(OR($E252=3,$E252=1,$E252=4),DA252,CZ252))),IF($D252="Pressio.",
IF($E252=3,DA252,CZ252),
IF($D252="Pénétro.",
IF($E252=4,DA252,CZ252))))</f>
        <v>#N/A</v>
      </c>
      <c r="DC252" s="31" t="e">
        <f>(IF(OR(Hypothèses!$B$4=17,Hypothèses!$B$4=18,Hypothèses!$B$4=19,Hypothèses!$B$4=20),
IF($D252="Pressio.",
IF(OR($E252=3,$E252=1,$E252=4),(PI()*DC$12^2)/4*(CY252*$W252*1000)/($H252*$B$5),(PI()*DC$12^2)/4*(CY252*$W252*1000)/($G252*$B$5)),
IF($D252="Pénétro.",
IF(OR($E252=4,$E252=1,$E252=5),(PI()*DC$12^2)/4*(CY252*$W252*1000)/($H252*$B$5),(PI()*DC$12^2)/4*(CY252*$W252*1000)/($G252*$B$5)))),
IF($D252="Pressio.",
IF($E252=3,(PI()*DC$12^2)/4*(CY252*$W252*1000)/($H252*$B$5),(PI()*DC$12^2)/4*(CY252*$W252*1000)/($G252*$B$5)),
IF($D252="Pénétro.",
IF($E252=4,(PI()*DC$12^2)/4*(CY252*$W252*1000)/($H252*$B$5),(PI()*DC$12^2)/4*(CY252*$W252*1000)/($G252*$B$5))))))/10</f>
        <v>#N/A</v>
      </c>
      <c r="DD252" s="102" t="e">
        <f>(VLOOKUP($B$3,'Coeff EC7'!$T$39:$X$59,2,0)*DB252+VLOOKUP($B$3,'Coeff EC7'!$T$65:$X$85,2,0)*Model0.1C!DC252)/1.1</f>
        <v>#N/A</v>
      </c>
      <c r="DE252" s="102" t="e">
        <f>(VLOOKUP($B$3,'Coeff EC7'!$T$39:$X$59,3,0)*DB252+VLOOKUP($B$3,'Coeff EC7'!$T$65:$X$85,3,0)*Model0.1C!DC252)/0.9</f>
        <v>#N/A</v>
      </c>
      <c r="DF252" s="102" t="e">
        <f t="shared" si="386"/>
        <v>#N/A</v>
      </c>
      <c r="DG252" s="102" t="e">
        <f t="shared" si="387"/>
        <v>#N/A</v>
      </c>
      <c r="DH252" s="414" t="e">
        <f>IF(DH251=0,0,IF(AND(DD252&gt;charge_ELS_quasi,DE252&gt;Charge_ELS_freq,DF252&gt;charge_ELU,DG252&gt;charge_ELA,$B252&gt;NDC!$H$22-0.1+MIN(3*$DH$12,1.5)),0,1))</f>
        <v>#N/A</v>
      </c>
      <c r="DI252" s="86" t="b">
        <f t="shared" si="355"/>
        <v>0</v>
      </c>
      <c r="DJ252" s="86">
        <f t="shared" si="356"/>
        <v>0.5</v>
      </c>
      <c r="DK252" s="86">
        <f t="shared" si="357"/>
        <v>0.5</v>
      </c>
      <c r="DL252" s="30" t="e">
        <f t="shared" ca="1" si="388"/>
        <v>#DIV/0!</v>
      </c>
      <c r="DM252" s="85" t="e">
        <f ca="1">IF(CS252&lt;=Hypothèses!$V$7,Hypothèses!$W$7,IF(CS252&lt;=Hypothèses!$V$8,Hypothèses!$W$8,IF(CS252&lt;=Hypothèses!$V$9,Hypothèses!$W$9,IF(CS252&lt;=Hypothèses!$V$10,Hypothèses!$W$10,IF(CS252&lt;=Hypothèses!$V$11,Hypothèses!$W$11,IF(CS252&lt;=Hypothèses!$V$12,Hypothèses!$W$12,IF(CS252&lt;=Hypothèses!$V$13,Hypothèses!$W$13,IF(CS252&lt;=Hypothèses!$V$14,Hypothèses!$W$14,IF(CS252&lt;=Hypothèses!$V$15,Hypothèses!$W$15,IF(CS252&lt;=Hypothèses!$V$16,Hypothèses!$W$16,IF(CS252&lt;=Hypothèses!$V$17,Hypothèses!$W$17,IF(CS252&lt;=Hypothèses!$V$18,Hypothèses!$W$18,""))))))))))))</f>
        <v>#DIV/0!</v>
      </c>
      <c r="DN252" s="87" t="e">
        <f t="shared" ca="1" si="421"/>
        <v>#DIV/0!</v>
      </c>
      <c r="DO252" s="88" t="e">
        <f ca="1">IF(CS252&lt;=Hypothèses!$V$7,Hypothèses!$X$7,IF(CS252&lt;=Hypothèses!$V$8,Hypothèses!$X$8,IF(CS252&lt;=Hypothèses!$V$9,Hypothèses!$X$9,IF(CS252&lt;=Hypothèses!$V$10,Hypothèses!$X$10,IF(CS252&lt;=Hypothèses!$V$11,Hypothèses!$X$11,IF(CS252&lt;=Hypothèses!$V$12,Hypothèses!$X$12,IF(CS252&lt;=Hypothèses!$V$13,Hypothèses!$X$13,IF(CS252&lt;=Hypothèses!$V$14,Hypothèses!$X$14,IF(CS252&lt;=Hypothèses!$V$15,Hypothèses!$X$15,IF(CS252&lt;=Hypothèses!$V$16,Hypothèses!$X$16,IF(CS252&lt;=Hypothèses!$U$17,Hypothèses!$W$17,IF(CS252&lt;=Hypothèses!$U$18,Hypothèses!$W$18,""))))))))))))</f>
        <v>#DIV/0!</v>
      </c>
      <c r="DP252" s="95" t="e">
        <f t="shared" ca="1" si="389"/>
        <v>#DIV/0!</v>
      </c>
      <c r="DQ252" s="101" t="e">
        <f t="shared" si="428"/>
        <v>#N/A</v>
      </c>
      <c r="DR252" s="91" t="e">
        <f t="shared" si="358"/>
        <v>#N/A</v>
      </c>
      <c r="DS252" s="30" t="e">
        <f t="shared" si="410"/>
        <v>#N/A</v>
      </c>
      <c r="DT252" s="30" t="e">
        <f t="shared" si="411"/>
        <v>#N/A</v>
      </c>
      <c r="DU252" s="31" t="e">
        <f>IF(OR(Hypothèses!$B$4=17,Hypothèses!$B$4=18,Hypothèses!$B$4=19,Hypothèses!$B$4=20),
IF($D252="Pressio.",
IF(OR($E252=3,$E252=1,$E252=4),DT252,DS252),
IF($D252="Pénétro.",
IF(OR($E252=3,$E252=1,$E252=4),DT252,DS252))),IF($D252="Pressio.",
IF($E252=3,DT252,DS252),
IF($D252="Pénétro.",
IF($E252=4,DT252,DS252))))</f>
        <v>#N/A</v>
      </c>
      <c r="DV252" s="31" t="e">
        <f>(IF(OR(Hypothèses!$B$4=17,Hypothèses!$B$4=18,Hypothèses!$B$4=19,Hypothèses!$B$4=20),
IF($D252="Pressio.",
IF(OR($E252=3,$E252=1,$E252=4),(PI()*DV$12^2)/4*(DR252*$W252*1000)/($H252*$B$5),(PI()*DV$12^2)/4*(DR252*$W252*1000)/($G252*$B$5)),
IF($D252="Pénétro.",
IF(OR($E252=4,$E252=1,$E252=5),(PI()*DV$12^2)/4*(DR252*$W252*1000)/($H252*$B$5),(PI()*DV$12^2)/4*(DR252*$W252*1000)/($G252*$B$5)))),
IF($D252="Pressio.",
IF($E252=3,(PI()*DV$12^2)/4*(DR252*$W252*1000)/($H252*$B$5),(PI()*DV$12^2)/4*(DR252*$W252*1000)/($G252*$B$5)),
IF($D252="Pénétro.",
IF($E252=4,(PI()*DV$12^2)/4*(DR252*$W252*1000)/($H252*$B$5),(PI()*DV$12^2)/4*(DR252*$W252*1000)/($G252*$B$5))))))/10</f>
        <v>#N/A</v>
      </c>
      <c r="DW252" s="102" t="e">
        <f>(VLOOKUP($B$3,'Coeff EC7'!$T$39:$X$59,2,0)*DU252+VLOOKUP($B$3,'Coeff EC7'!$T$65:$X$85,2,0)*Model0.1C!DV252)/1.1</f>
        <v>#N/A</v>
      </c>
      <c r="DX252" s="102" t="e">
        <f>(VLOOKUP($B$3,'Coeff EC7'!$T$39:$X$59,3,0)*DU252+VLOOKUP($B$3,'Coeff EC7'!$T$65:$X$85,3,0)*Model0.1C!DV252)/0.9</f>
        <v>#N/A</v>
      </c>
      <c r="DY252" s="102" t="e">
        <f t="shared" si="390"/>
        <v>#N/A</v>
      </c>
      <c r="DZ252" s="102" t="e">
        <f t="shared" si="391"/>
        <v>#N/A</v>
      </c>
      <c r="EA252" s="414" t="e">
        <f>IF(EA251=0,0,IF(AND(DW252&gt;charge_ELS_quasi,DX252&gt;Charge_ELS_freq,DY252&gt;charge_ELU,DZ252&gt;charge_ELA,$B252&gt;NDC!$H$22-0.1+MIN(3*$EA$12,1.5)),0,1))</f>
        <v>#N/A</v>
      </c>
      <c r="EB252" s="86" t="b">
        <f t="shared" si="359"/>
        <v>0</v>
      </c>
      <c r="EC252" s="418">
        <f t="shared" si="360"/>
        <v>0.51</v>
      </c>
      <c r="ED252" s="86">
        <f t="shared" si="361"/>
        <v>0.51</v>
      </c>
      <c r="EE252" s="30" t="e">
        <f t="shared" ca="1" si="392"/>
        <v>#DIV/0!</v>
      </c>
      <c r="EF252" s="85" t="e">
        <f ca="1">IF(DL252&lt;=Hypothèses!$V$7,Hypothèses!$W$7,IF(DL252&lt;=Hypothèses!$V$8,Hypothèses!$W$8,IF(DL252&lt;=Hypothèses!$V$9,Hypothèses!$W$9,IF(DL252&lt;=Hypothèses!$V$10,Hypothèses!$W$10,IF(DL252&lt;=Hypothèses!$V$11,Hypothèses!$W$11,IF(DL252&lt;=Hypothèses!$V$12,Hypothèses!$W$12,IF(DL252&lt;=Hypothèses!$V$13,Hypothèses!$W$13,IF(DL252&lt;=Hypothèses!$V$14,Hypothèses!$W$14,IF(DL252&lt;=Hypothèses!$V$15,Hypothèses!$W$15,IF(DL252&lt;=Hypothèses!$V$16,Hypothèses!$W$16,IF(DL252&lt;=Hypothèses!$V$17,Hypothèses!$W$17,IF(DL252&lt;=Hypothèses!$V$18,Hypothèses!$W$18,""))))))))))))</f>
        <v>#DIV/0!</v>
      </c>
      <c r="EG252" s="87" t="e">
        <f t="shared" ca="1" si="422"/>
        <v>#DIV/0!</v>
      </c>
      <c r="EH252" s="88" t="e">
        <f ca="1">IF(DL252&lt;=Hypothèses!$V$7,Hypothèses!$X$7,IF(DL252&lt;=Hypothèses!$V$8,Hypothèses!$X$8,IF(DL252&lt;=Hypothèses!$V$9,Hypothèses!$X$9,IF(DL252&lt;=Hypothèses!$V$10,Hypothèses!$X$10,IF(DL252&lt;=Hypothèses!$V$11,Hypothèses!$X$11,IF(DL252&lt;=Hypothèses!$V$12,Hypothèses!$X$12,IF(DL252&lt;=Hypothèses!$V$13,Hypothèses!$X$13,IF(DL252&lt;=Hypothèses!$V$14,Hypothèses!$X$14,IF(DL252&lt;=Hypothèses!$V$15,Hypothèses!$X$15,IF(DL252&lt;=Hypothèses!$V$16,Hypothèses!$X$16,IF(DL252&lt;=Hypothèses!$U$17,Hypothèses!$W$17,IF(DL252&lt;=Hypothèses!$U$18,Hypothèses!$W$18,""))))))))))))</f>
        <v>#DIV/0!</v>
      </c>
      <c r="EI252" s="95" t="e">
        <f t="shared" ca="1" si="393"/>
        <v>#DIV/0!</v>
      </c>
      <c r="EJ252" s="101" t="e">
        <f t="shared" si="429"/>
        <v>#N/A</v>
      </c>
      <c r="EK252" s="91" t="e">
        <f t="shared" si="362"/>
        <v>#N/A</v>
      </c>
      <c r="EL252" s="30" t="e">
        <f t="shared" si="412"/>
        <v>#N/A</v>
      </c>
      <c r="EM252" s="30" t="e">
        <f t="shared" si="413"/>
        <v>#N/A</v>
      </c>
      <c r="EN252" s="31" t="e">
        <f>IF(OR(Hypothèses!$B$4=17,Hypothèses!$B$4=18,Hypothèses!$B$4=19,Hypothèses!$B$4=20),
IF($D252="Pressio.",
IF(OR($E252=3,$E252=1,$E252=4),EM252,EL252),
IF($D252="Pénétro.",
IF(OR($E252=3,$E252=1,$E252=4),EM252,EL252))),IF($D252="Pressio.",
IF($E252=3,EM252,EL252),
IF($D252="Pénétro.",
IF($E252=4,EM252,EL252))))</f>
        <v>#N/A</v>
      </c>
      <c r="EO252" s="31" t="e">
        <f>(IF(OR(Hypothèses!$B$4=17,Hypothèses!$B$4=18,Hypothèses!$B$4=19,Hypothèses!$B$4=20),
IF($D252="Pressio.",
IF(OR($E252=3,$E252=1,$E252=4),(PI()*EO$12^2)/4*(EK252*$W252*1000)/($H252*$B$5),(PI()*EO$12^2)/4*(EK252*$W252*1000)/($G252*$B$5)),
IF($D252="Pénétro.",
IF(OR($E252=4,$E252=1,$E252=5),(PI()*EO$12^2)/4*(EK252*$W252*1000)/($H252*$B$5),(PI()*EO$12^2)/4*(EK252*$W252*1000)/($G252*$B$5)))),
IF($D252="Pressio.",
IF($E252=3,(PI()*EO$12^2)/4*(EK252*$W252*1000)/($H252*$B$5),(PI()*EO$12^2)/4*(EK252*$W252*1000)/($G252*$B$5)),
IF($D252="Pénétro.",
IF($E252=4,(PI()*EO$12^2)/4*(EK252*$W252*1000)/($H252*$B$5),(PI()*EO$12^2)/4*(EK252*$W252*1000)/($G252*$B$5))))))/10</f>
        <v>#N/A</v>
      </c>
      <c r="EP252" s="102" t="e">
        <f>(VLOOKUP($B$3,'Coeff EC7'!$T$39:$X$59,2,0)*EN252+VLOOKUP($B$3,'Coeff EC7'!$T$65:$X$85,2,0)*Model0.1C!EO252)/1.1</f>
        <v>#N/A</v>
      </c>
      <c r="EQ252" s="102" t="e">
        <f>(VLOOKUP($B$3,'Coeff EC7'!$T$39:$X$59,3,0)*EN252+VLOOKUP($B$3,'Coeff EC7'!$T$65:$X$85,3,0)*Model0.1C!EO252)/0.9</f>
        <v>#N/A</v>
      </c>
      <c r="ER252" s="102" t="e">
        <f t="shared" si="394"/>
        <v>#N/A</v>
      </c>
      <c r="ES252" s="102" t="e">
        <f t="shared" si="395"/>
        <v>#N/A</v>
      </c>
      <c r="ET252" s="414" t="e">
        <f>IF(ET251=0,0,IF(AND(EP252&gt;charge_ELS_quasi,EQ252&gt;Charge_ELS_freq,ER252&gt;charge_ELU,ES252&gt;charge_ELA,$B252&gt;NDC!$H$22-0.1+MIN(3*$ET$12,1.5)),0,1))</f>
        <v>#N/A</v>
      </c>
      <c r="EU252" s="86" t="b">
        <f t="shared" si="363"/>
        <v>0</v>
      </c>
      <c r="EV252" s="86">
        <f t="shared" si="364"/>
        <v>0.61</v>
      </c>
      <c r="EW252" s="86">
        <f t="shared" si="365"/>
        <v>0.61</v>
      </c>
      <c r="EX252" s="30" t="e">
        <f t="shared" ca="1" si="396"/>
        <v>#DIV/0!</v>
      </c>
      <c r="EY252" s="85" t="e">
        <f ca="1">IF(EE252&lt;=Hypothèses!$V$7,Hypothèses!$W$7,IF(EE252&lt;=Hypothèses!$V$8,Hypothèses!$W$8,IF(EE252&lt;=Hypothèses!$V$9,Hypothèses!$W$9,IF(EE252&lt;=Hypothèses!$V$10,Hypothèses!$W$10,IF(EE252&lt;=Hypothèses!$V$11,Hypothèses!$W$11,IF(EE252&lt;=Hypothèses!$V$12,Hypothèses!$W$12,IF(EE252&lt;=Hypothèses!$V$13,Hypothèses!$W$13,IF(EE252&lt;=Hypothèses!$V$14,Hypothèses!$W$14,IF(EE252&lt;=Hypothèses!$V$15,Hypothèses!$W$15,IF(EE252&lt;=Hypothèses!$V$16,Hypothèses!$W$16,IF(EE252&lt;=Hypothèses!$V$17,Hypothèses!$W$17,IF(EE252&lt;=Hypothèses!$V$18,Hypothèses!$W$18,""))))))))))))</f>
        <v>#DIV/0!</v>
      </c>
      <c r="EZ252" s="87" t="e">
        <f t="shared" ca="1" si="423"/>
        <v>#DIV/0!</v>
      </c>
      <c r="FA252" s="88" t="e">
        <f ca="1">IF(EE252&lt;=Hypothèses!$V$7,Hypothèses!$X$7,IF(EE252&lt;=Hypothèses!$V$8,Hypothèses!$X$8,IF(EE252&lt;=Hypothèses!$V$9,Hypothèses!$X$9,IF(EE252&lt;=Hypothèses!$V$10,Hypothèses!$X$10,IF(EE252&lt;=Hypothèses!$V$11,Hypothèses!$X$11,IF(EE252&lt;=Hypothèses!$V$12,Hypothèses!$X$12,IF(EE252&lt;=Hypothèses!$V$13,Hypothèses!$X$13,IF(EE252&lt;=Hypothèses!$V$14,Hypothèses!$X$14,IF(EE252&lt;=Hypothèses!$V$15,Hypothèses!$X$15,IF(EE252&lt;=Hypothèses!$V$16,Hypothèses!$X$16,IF(EE252&lt;=Hypothèses!$U$17,Hypothèses!$W$17,IF(EE252&lt;=Hypothèses!$U$18,Hypothèses!$W$18,""))))))))))))</f>
        <v>#DIV/0!</v>
      </c>
      <c r="FB252" s="95" t="e">
        <f t="shared" ca="1" si="397"/>
        <v>#DIV/0!</v>
      </c>
      <c r="FC252" s="101" t="e">
        <f t="shared" si="430"/>
        <v>#N/A</v>
      </c>
      <c r="FD252" s="91" t="e">
        <f t="shared" si="366"/>
        <v>#N/A</v>
      </c>
      <c r="FE252" s="30" t="e">
        <f t="shared" si="414"/>
        <v>#N/A</v>
      </c>
      <c r="FF252" s="30" t="e">
        <f t="shared" si="415"/>
        <v>#N/A</v>
      </c>
      <c r="FG252" s="31" t="e">
        <f>IF(OR(Hypothèses!$B$4=17,Hypothèses!$B$4=18,Hypothèses!$B$4=19,Hypothèses!$B$4=20),
IF($D252="Pressio.",
IF(OR($E252=3,$E252=1,$E252=4),FF252,FE252),
IF($D252="Pénétro.",
IF(OR($E252=3,$E252=1,$E252=4),FF252,FE252))),IF($D252="Pressio.",
IF($E252=3,FF252,FE252),
IF($D252="Pénétro.",
IF($E252=4,FF252,FE252))))</f>
        <v>#N/A</v>
      </c>
      <c r="FH252" s="31" t="e">
        <f>(IF(OR(Hypothèses!$B$4=17,Hypothèses!$B$4=18,Hypothèses!$B$4=19,Hypothèses!$B$4=20),
IF($D252="Pressio.",
IF(OR($E252=3,$E252=1,$E252=4),(PI()*FH$12^2)/4*(FD252*$W252*1000)/($H252*$B$5),(PI()*FH$12^2)/4*(FD252*$W252*1000)/($G252*$B$5)),
IF($D252="Pénétro.",
IF(OR($E252=4,$E252=1,$E252=5),(PI()*FH$12^2)/4*(FD252*$W252*1000)/($H252*$B$5),(PI()*FH$12^2)/4*(FD252*$W252*1000)/($G252*$B$5)))),
IF($D252="Pressio.",
IF($E252=3,(PI()*FH$12^2)/4*(FD252*$W252*1000)/($H252*$B$5),(PI()*FH$12^2)/4*(FD252*$W252*1000)/($G252*$B$5)),
IF($D252="Pénétro.",
IF($E252=4,(PI()*FH$12^2)/4*(FD252*$W252*1000)/($H252*$B$5),(PI()*FH$12^2)/4*(FD252*$W252*1000)/($G252*$B$5))))))/10</f>
        <v>#N/A</v>
      </c>
      <c r="FI252" s="102" t="e">
        <f>(VLOOKUP($B$3,'Coeff EC7'!$T$39:$X$59,2,0)*FG252+VLOOKUP($B$3,'Coeff EC7'!$T$65:$X$85,2,0)*Model0.1C!FH252)/1.1</f>
        <v>#N/A</v>
      </c>
      <c r="FJ252" s="102" t="e">
        <f>(VLOOKUP($B$3,'Coeff EC7'!$T$39:$X$59,3,0)*FG252+VLOOKUP($B$3,'Coeff EC7'!$T$65:$X$85,3,0)*Model0.1C!FH252)/0.9</f>
        <v>#N/A</v>
      </c>
      <c r="FK252" s="102" t="e">
        <f t="shared" si="398"/>
        <v>#N/A</v>
      </c>
      <c r="FL252" s="102" t="e">
        <f t="shared" si="399"/>
        <v>#N/A</v>
      </c>
      <c r="FM252" s="414" t="e">
        <f>IF(FM251=0,0,IF(AND(FI252&gt;charge_ELS_quasi,FJ252&gt;Charge_ELS_freq,FK252&gt;charge_ELU,FL252&gt;charge_ELA,$B252&gt;NDC!$H$22-0.1+MIN(3*$FM$12,1.5)),0,1))</f>
        <v>#N/A</v>
      </c>
    </row>
    <row r="253" spans="1:169">
      <c r="A253" s="96">
        <f t="shared" si="367"/>
        <v>76.000000000001364</v>
      </c>
      <c r="B253" s="97">
        <v>24</v>
      </c>
      <c r="C253" s="81">
        <f>IF(B253&lt;=Hypothèses!$C$7,Hypothèses!$A$7,IF(B253&lt;=Hypothèses!$C$8,Hypothèses!$A$8,IF(B253&lt;=Hypothèses!$C$9,Hypothèses!$A$9,IF(B253&lt;=Hypothèses!$C$10,Hypothèses!$A$10,IF(B253&lt;=Hypothèses!$C$11,Hypothèses!$A$11,IF(B253&lt;=Hypothèses!$C$12,Hypothèses!$A$12,IF(B253&lt;=Hypothèses!$C$13,Hypothèses!$A$13,IF(B253&lt;=Hypothèses!$C$14,Hypothèses!$A$14,IF(B253&lt;=Hypothèses!$C$15,Hypothèses!$A$15,IF(B253&lt;=Hypothèses!$C$16,Hypothèses!$A$16,IF(B253&lt;=Hypothèses!$C$17,Hypothèses!$A$17,IF(B253&lt;=Hypothèses!$C$18,Hypothèses!$A$18,C252))))))))))))</f>
        <v>11</v>
      </c>
      <c r="D253" s="82" t="str">
        <f>IF(B253&lt;=Hypothèses!$C$7,Hypothèses!$R$7,IF(B253&lt;=Hypothèses!$C$8,Hypothèses!$R$8,IF(B253&lt;=Hypothèses!$C$9,Hypothèses!$R$9,IF(B253&lt;=Hypothèses!$C$10,Hypothèses!$R$10,IF(B253&lt;=Hypothèses!$C$11,Hypothèses!$R$11,IF(B253&lt;=Hypothèses!$C$12,Hypothèses!$R$12,IF(B253&lt;=Hypothèses!$C$13,Hypothèses!$R$13,IF(B253&lt;=Hypothèses!$C$14,Hypothèses!$R$14,IF(B253&lt;=Hypothèses!$C$15,Hypothèses!$R$15,IF(B253&lt;=Hypothèses!$C$16,Hypothèses!$R$16,IF(B253&lt;=Hypothèses!$C$17,Hypothèses!$R$17,IF(B253&lt;=Hypothèses!$C$18,Hypothèses!$R$18,D252))))))))))))</f>
        <v>Pressio.</v>
      </c>
      <c r="E253" s="82" t="e">
        <f>IF(B253&lt;=Hypothèses!$C$7,Hypothèses!$G$7,IF(B253&lt;=Hypothèses!$C$8,Hypothèses!$G$8,IF(B253&lt;=Hypothèses!$C$9,Hypothèses!$G$9,IF(B253&lt;=Hypothèses!$C$10,Hypothèses!$G$10,IF(B253&lt;=Hypothèses!$C$11,Hypothèses!$G$11,IF(B253&lt;=Hypothèses!$C$12,Hypothèses!$G$12,IF(B253&lt;=Hypothèses!$C$13,Hypothèses!$G$13,IF(B253&lt;=Hypothèses!$C$14,Hypothèses!$G$14,IF(B253&lt;=Hypothèses!$C$15,Hypothèses!$G$15,IF(B253&lt;=Hypothèses!$C$16,Hypothèses!$G$16,IF(B253&lt;=Hypothèses!$C$17,Hypothèses!$G$17,IF(B253&lt;=Hypothèses!$C$18,Hypothèses!$G$18,E252))))))))))))</f>
        <v>#N/A</v>
      </c>
      <c r="F253" s="82" t="str">
        <f>IF(B253&lt;=Hypothèses!$C$7,Hypothèses!$F$7,IF(B253&lt;=Hypothèses!$C$8,Hypothèses!$F$8,IF(B253&lt;=Hypothèses!$C$9,Hypothèses!$F$9,IF(B253&lt;=Hypothèses!$C$10,Hypothèses!$F$10,IF(B253&lt;=Hypothèses!$C$11,Hypothèses!$F$11,IF(B253&lt;=Hypothèses!$C$12,Hypothèses!$F$12,IF(B253&lt;=Hypothèses!$C$13,Hypothèses!$F$13,IF(B253&lt;=Hypothèses!$C$14,Hypothèses!$F$14,IF(B253&lt;=Hypothèses!$C$15,Hypothèses!$F$15,IF(B253&lt;=Hypothèses!$C$16,Hypothèses!$F$16,IF(B253&lt;=Hypothèses!$C$17,Hypothèses!$F$17,IF(B253&lt;=Hypothèses!$C$18,Hypothèses!$F$18,F252))))))))))))</f>
        <v/>
      </c>
      <c r="G253" s="91">
        <f t="array" ref="G253">INDEX('Coeff EC7'!$U$7:$X$27,
MATCH(Model0.1C!$B$3,'Coeff EC7'!$T$7:$T$27,0),
MATCH(Model0.1C!$D253&amp;Model0.1C!$B$4,
'Coeff EC7'!$U$6:$X$6&amp;
'Coeff EC7'!$U$5:$X$5,0))</f>
        <v>1.1499999999999999</v>
      </c>
      <c r="H253" s="91">
        <f t="array" ref="H253">INDEX('Coeff EC7'!$Y$7:$AB$27,
MATCH(Model0.1C!$B$3,'Coeff EC7'!$T$7:$T$27,0),
MATCH(Model0.1C!$D253&amp;Model0.1C!$B$4,
'Coeff EC7'!$Y$6:$AB$6&amp;
'Coeff EC7'!$Y$5:$AB$5,0))</f>
        <v>1.4</v>
      </c>
      <c r="I253" s="83" t="e">
        <f>IF(B253&lt;=Hypothèses!$C$7,Hypothèses!$P$7,IF(B253&lt;=Hypothèses!$C$8,Hypothèses!$P$8,IF(B253&lt;=Hypothèses!$C$9,Hypothèses!$P$9,IF(B253&lt;=Hypothèses!$C$10,Hypothèses!$P$10,IF(B253&lt;=Hypothèses!$C$11,Hypothèses!$P$11,IF(B253&lt;=Hypothèses!$C$12,Hypothèses!$P$12,IF(B253&lt;=Hypothèses!$C$13,Hypothèses!$P$13,IF(B253&lt;=Hypothèses!$C$14,Hypothèses!$P$14,IF(B253&lt;=Hypothèses!$C$15,Hypothèses!$P$15,IF(B253&lt;=Hypothèses!$C$16,Hypothèses!$P$16,IF(B253&lt;=Hypothèses!$C$17,Hypothèses!$P$17,IF(B253&lt;=Hypothèses!$C$18,Hypothèses!$P$18,I252))))))))))))</f>
        <v>#N/A</v>
      </c>
      <c r="J253" s="91" t="e">
        <f t="array" ref="J253">INDEX('Coeff EC7'!$D$33:$Q$33,1,MATCH(D253&amp;E253,'Coeff EC7'!$D$31:$Q$31&amp;'Coeff EC7'!$D$32:$Q$32,0))</f>
        <v>#N/A</v>
      </c>
      <c r="K253" s="91" t="e">
        <f t="array" ref="K253">INDEX('Coeff EC7'!$D$34:$Q$34,1,MATCH(D253&amp;E253,'Coeff EC7'!$D$31:$Q$31&amp;'Coeff EC7'!$D$32:$Q$32,0))</f>
        <v>#N/A</v>
      </c>
      <c r="L253" s="91" t="e">
        <f t="array" ref="L253">INDEX('Coeff EC7'!$D$35:$Q$35,1,MATCH(D253&amp;E253,'Coeff EC7'!$D$31:$Q$31&amp;'Coeff EC7'!$D$32:$Q$32,0))</f>
        <v>#N/A</v>
      </c>
      <c r="M253" s="98" t="e">
        <f t="shared" si="331"/>
        <v>#N/A</v>
      </c>
      <c r="N253" s="99" t="e">
        <f t="array" ref="N253">INDEX('Coeff EC7'!$D$7:$Q$27,MATCH($B$3,'Coeff EC7'!$C$7:$C$27,0),MATCH(D253&amp;E253,'Coeff EC7'!$D$5:$Q$5&amp;'Coeff EC7'!$D$6:$Q$6,0))</f>
        <v>#N/A</v>
      </c>
      <c r="O253" s="99" t="e">
        <f t="array" ref="O253">INDEX('Coeff EC7'!$D$41:$Q$61,MATCH($B$3,'Coeff EC7'!$C$41:$C$61,0),MATCH(D253&amp;E253,'Coeff EC7'!$D$39:$Q$39&amp;'Coeff EC7'!$D$40:$Q$40,0))</f>
        <v>#N/A</v>
      </c>
      <c r="P253" s="30" t="e">
        <f t="shared" si="368"/>
        <v>#N/A</v>
      </c>
      <c r="Q253" s="100" t="e">
        <f t="shared" si="333"/>
        <v>#N/A</v>
      </c>
      <c r="R253" s="86" t="b">
        <f t="shared" si="334"/>
        <v>0</v>
      </c>
      <c r="S253" s="86">
        <f t="shared" si="332"/>
        <v>0.5</v>
      </c>
      <c r="T253" s="86">
        <f t="shared" si="335"/>
        <v>0.5</v>
      </c>
      <c r="U253" s="30" t="e">
        <f t="shared" ca="1" si="369"/>
        <v>#DIV/0!</v>
      </c>
      <c r="V253" s="85" t="str">
        <f>IF(B253&lt;=Hypothèses!$V$7,Hypothèses!$W$7,IF(B253&lt;=Hypothèses!$V$8,Hypothèses!$W$8,IF(B253&lt;=Hypothèses!$V$9,Hypothèses!$W$9,IF(B253&lt;=Hypothèses!$V$10,Hypothèses!$W$10,IF(B253&lt;=Hypothèses!$V$11,Hypothèses!$W$11,IF(B253&lt;=Hypothèses!$V$12,Hypothèses!$W$12,IF(B253&lt;=Hypothèses!$V$13,Hypothèses!$W$13,IF(B253&lt;=Hypothèses!$V$14,Hypothèses!$W$14,IF(B253&lt;=Hypothèses!$V$15,Hypothèses!$W$15,IF(B253&lt;=Hypothèses!$V$16,Hypothèses!$W$16,IF(B253&lt;=Hypothèses!$V$17,Hypothèses!$W$17,IF(B253&lt;=Hypothèses!$V$18,Hypothèses!$W$18,""))))))))))))</f>
        <v/>
      </c>
      <c r="W253" s="87" t="e">
        <f t="shared" ca="1" si="416"/>
        <v>#DIV/0!</v>
      </c>
      <c r="X253" s="88" t="str">
        <f>IF(B253&lt;=Hypothèses!$V$7,Hypothèses!$X$7,IF(B253&lt;=Hypothèses!$V$8,Hypothèses!$X$8,IF(B253&lt;=Hypothèses!$V$9,Hypothèses!$X$9,IF(B253&lt;=Hypothèses!$V$10,Hypothèses!$X$10,IF(B253&lt;=Hypothèses!$V$11,Hypothèses!$X$11,IF(B253&lt;=Hypothèses!$V$12,Hypothèses!$X$12,IF(B253&lt;=Hypothèses!$V$13,Hypothèses!$X$13,IF(B253&lt;=Hypothèses!$V$14,Hypothèses!$X$14,IF(B253&lt;=Hypothèses!$V$15,Hypothèses!$X$15,IF(B253&lt;=Hypothèses!$V$16,Hypothèses!$X$16,IF(B253&lt;=Hypothèses!$U$17,Hypothèses!$W$17,IF(B253&lt;=Hypothèses!$U$18,Hypothèses!$W$18,""))))))))))))</f>
        <v/>
      </c>
      <c r="Y253" s="95" t="e">
        <f t="shared" ca="1" si="336"/>
        <v>#DIV/0!</v>
      </c>
      <c r="Z253" s="101" t="e">
        <f t="shared" si="337"/>
        <v>#N/A</v>
      </c>
      <c r="AA253" s="91" t="e">
        <f t="shared" si="338"/>
        <v>#N/A</v>
      </c>
      <c r="AB253" s="30" t="e">
        <f t="shared" si="400"/>
        <v>#N/A</v>
      </c>
      <c r="AC253" s="30" t="e">
        <f t="shared" si="401"/>
        <v>#N/A</v>
      </c>
      <c r="AD253" s="31" t="e">
        <f>IF(OR(Hypothèses!$B$4=17,Hypothèses!$B$4=18,Hypothèses!$B$4=19,Hypothèses!$B$4=20),
IF($D253="Pressio.",
IF(OR($E253=3,$E253=1,$E253=4),AC253,AB253),
IF($D253="Pénétro.",
IF(OR($E253=3,$E253=1,$E253=4),AC253,AB253))),IF($D253="Pressio.",
IF($E253=3,AC253,AB253),
IF($D253="Pénétro.",
IF($E253=4,AC253,AB253))))</f>
        <v>#N/A</v>
      </c>
      <c r="AE253" s="31" t="e">
        <f>(IF(OR(Hypothèses!$B$4=17,Hypothèses!$B$4=18,Hypothèses!$B$4=19,Hypothèses!$B$4=20),
IF($D253="Pressio.",
IF(OR($E253=3,$E253=1,$E253=4),(PI()*AE$12^2)/4*(AA253*$W253*1000)/($H253*$B$5),(PI()*AE$12^2)/4*(AA253*$W253*1000)/($G253*$B$5)),
IF($D253="Pénétro.",
IF(OR($E253=4,$E253=1,$E253=5),(PI()*AE$12^2)/4*(AA253*$W253*1000)/($H253*$B$5),(PI()*AE$12^2)/4*(AA253*$W253*1000)/($G253*$B$5)))),
IF($D253="Pressio.",
IF($E253=3,(PI()*AE$12^2)/4*(AA253*$W253*1000)/($H253*$B$5),(PI()*AE$12^2)/4*(AA253*$W253*1000)/($G253*$B$5)),
IF($D253="Pénétro.",
IF($E253=4,(PI()*AE$12^2)/4*(AA253*$W253*1000)/($H253*$B$5),(PI()*AE$12^2)/4*(AA253*$W253*1000)/($G253*$B$5))))))/10</f>
        <v>#N/A</v>
      </c>
      <c r="AF253" s="102" t="e">
        <f>(VLOOKUP($B$3,'Coeff EC7'!$T$39:$X$59,2,0)*AD253+VLOOKUP($B$3,'Coeff EC7'!$T$65:$X$85,2,0)*Model0.1C!AE253)/1.1</f>
        <v>#N/A</v>
      </c>
      <c r="AG253" s="102" t="e">
        <f>(VLOOKUP($B$3,'Coeff EC7'!$T$39:$X$59,3,0)*AD253+VLOOKUP($B$3,'Coeff EC7'!$T$65:$X$85,3,0)*Model0.1C!AE253)/0.9</f>
        <v>#N/A</v>
      </c>
      <c r="AH253" s="102" t="e">
        <f t="shared" si="339"/>
        <v>#N/A</v>
      </c>
      <c r="AI253" s="102" t="e">
        <f t="shared" si="340"/>
        <v>#N/A</v>
      </c>
      <c r="AJ253" s="414" t="e">
        <f>IF(AJ252=0,0,IF(AND(AF253&gt;charge_ELS_quasi,AG253&gt;Charge_ELS_freq,AH253&gt;charge_ELU,AI253&gt;charge_ELA,$B253&gt;NDC!$H$22-0.1+MIN(3*$AJ$12,1.5)),0,1))</f>
        <v>#N/A</v>
      </c>
      <c r="AK253" s="86" t="b">
        <f t="shared" si="341"/>
        <v>0</v>
      </c>
      <c r="AL253" s="86">
        <f t="shared" si="370"/>
        <v>0.5</v>
      </c>
      <c r="AM253" s="86">
        <f t="shared" si="342"/>
        <v>0.5</v>
      </c>
      <c r="AN253" s="30" t="e">
        <f t="shared" ca="1" si="371"/>
        <v>#DIV/0!</v>
      </c>
      <c r="AO253" s="85" t="e">
        <f ca="1">IF(U253&lt;=Hypothèses!$V$7,Hypothèses!$W$7,IF(U253&lt;=Hypothèses!$V$8,Hypothèses!$W$8,IF(U253&lt;=Hypothèses!$V$9,Hypothèses!$W$9,IF(U253&lt;=Hypothèses!$V$10,Hypothèses!$W$10,IF(U253&lt;=Hypothèses!$V$11,Hypothèses!$W$11,IF(U253&lt;=Hypothèses!$V$12,Hypothèses!$W$12,IF(U253&lt;=Hypothèses!$V$13,Hypothèses!$W$13,IF(U253&lt;=Hypothèses!$V$14,Hypothèses!$W$14,IF(U253&lt;=Hypothèses!$V$15,Hypothèses!$W$15,IF(U253&lt;=Hypothèses!$V$16,Hypothèses!$W$16,IF(U253&lt;=Hypothèses!$V$17,Hypothèses!$W$17,IF(U253&lt;=Hypothèses!$V$18,Hypothèses!$W$18,""))))))))))))</f>
        <v>#DIV/0!</v>
      </c>
      <c r="AP253" s="87" t="e">
        <f t="shared" ca="1" si="417"/>
        <v>#DIV/0!</v>
      </c>
      <c r="AQ253" s="88" t="e">
        <f ca="1">IF(U253&lt;=Hypothèses!$V$7,Hypothèses!$X$7,IF(U253&lt;=Hypothèses!$V$8,Hypothèses!$X$8,IF(U253&lt;=Hypothèses!$V$9,Hypothèses!$X$9,IF(U253&lt;=Hypothèses!$V$10,Hypothèses!$X$10,IF(U253&lt;=Hypothèses!$V$11,Hypothèses!$X$11,IF(U253&lt;=Hypothèses!$V$12,Hypothèses!$X$12,IF(U253&lt;=Hypothèses!$V$13,Hypothèses!$X$13,IF(U253&lt;=Hypothèses!$V$14,Hypothèses!$X$14,IF(U253&lt;=Hypothèses!$V$15,Hypothèses!$X$15,IF(U253&lt;=Hypothèses!$V$16,Hypothèses!$X$16,IF(U253&lt;=Hypothèses!$U$17,Hypothèses!$W$17,IF(U253&lt;=Hypothèses!$U$18,Hypothèses!$W$18,""))))))))))))</f>
        <v>#DIV/0!</v>
      </c>
      <c r="AR253" s="95" t="e">
        <f t="shared" ca="1" si="372"/>
        <v>#DIV/0!</v>
      </c>
      <c r="AS253" s="101" t="e">
        <f t="shared" si="424"/>
        <v>#N/A</v>
      </c>
      <c r="AT253" s="91" t="e">
        <f t="shared" si="343"/>
        <v>#N/A</v>
      </c>
      <c r="AU253" s="30" t="e">
        <f t="shared" si="402"/>
        <v>#N/A</v>
      </c>
      <c r="AV253" s="30" t="e">
        <f t="shared" si="403"/>
        <v>#N/A</v>
      </c>
      <c r="AW253" s="31" t="e">
        <f>IF(OR(Hypothèses!$B$4=17,Hypothèses!$B$4=18,Hypothèses!$B$4=19,Hypothèses!$B$4=20),
IF($D253="Pressio.",
IF(OR($E253=3,$E253=1,$E253=4),AV253,AU253),
IF($D253="Pénétro.",
IF(OR($E253=3,$E253=1,$E253=4),AV253,AU253))),IF($D253="Pressio.",
IF($E253=3,AV253,AU253),
IF($D253="Pénétro.",
IF($E253=4,AV253,AU253))))</f>
        <v>#N/A</v>
      </c>
      <c r="AX253" s="31" t="e">
        <f>(IF(OR(Hypothèses!$B$4=17,Hypothèses!$B$4=18,Hypothèses!$B$4=19,Hypothèses!$B$4=20),
IF($D253="Pressio.",
IF(OR($E253=3,$E253=1,$E253=4),(PI()*AX$12^2)/4*(AT253*$W253*1000)/($H253*$B$5),(PI()*AX$12^2)/4*(AT253*$W253*1000)/($G253*$B$5)),
IF($D253="Pénétro.",
IF(OR($E253=4,$E253=1,$E253=5),(PI()*AX$12^2)/4*(AT253*$W253*1000)/($H253*$B$5),(PI()*AX$12^2)/4*(AT253*$W253*1000)/($G253*$B$5)))),
IF($D253="Pressio.",
IF($E253=3,(PI()*AX$12^2)/4*(AT253*$W253*1000)/($H253*$B$5),(PI()*AX$12^2)/4*(AT253*$W253*1000)/($G253*$B$5)),
IF($D253="Pénétro.",
IF($E253=4,(PI()*AX$12^2)/4*(AT253*$W253*1000)/($H253*$B$5),(PI()*AX$12^2)/4*(AT253*$W253*1000)/($G253*$B$5))))))/10</f>
        <v>#N/A</v>
      </c>
      <c r="AY253" s="102" t="e">
        <f>(VLOOKUP($B$3,'Coeff EC7'!$T$39:$X$59,2,0)*AW253+VLOOKUP($B$3,'Coeff EC7'!$T$65:$X$85,2,0)*Model0.1C!AX253)/1.1</f>
        <v>#N/A</v>
      </c>
      <c r="AZ253" s="102" t="e">
        <f>(VLOOKUP($B$3,'Coeff EC7'!$T$39:$X$59,3,0)*AW253+VLOOKUP($B$3,'Coeff EC7'!$T$65:$X$85,3,0)*Model0.1C!AX253)/0.9</f>
        <v>#N/A</v>
      </c>
      <c r="BA253" s="102" t="e">
        <f t="shared" si="373"/>
        <v>#N/A</v>
      </c>
      <c r="BB253" s="102" t="e">
        <f t="shared" si="374"/>
        <v>#N/A</v>
      </c>
      <c r="BC253" s="414" t="e">
        <f>IF(BC252=0,0,IF(AND(AY253&gt;charge_ELS_quasi,AZ253&gt;Charge_ELS_freq,BA253&gt;charge_ELU,BB253&gt;charge_ELA,$B253&gt;NDC!$H$22-0.1+MIN(3*$BC$12,1.5)),0,1))</f>
        <v>#N/A</v>
      </c>
      <c r="BD253" s="86" t="b">
        <f t="shared" si="344"/>
        <v>0</v>
      </c>
      <c r="BE253" s="86">
        <f t="shared" si="375"/>
        <v>0.5</v>
      </c>
      <c r="BF253" s="86">
        <f t="shared" si="345"/>
        <v>0.5</v>
      </c>
      <c r="BG253" s="30" t="e">
        <f t="shared" ca="1" si="376"/>
        <v>#DIV/0!</v>
      </c>
      <c r="BH253" s="85" t="e">
        <f ca="1">IF(AN253&lt;=Hypothèses!$V$7,Hypothèses!$W$7,IF(AN253&lt;=Hypothèses!$V$8,Hypothèses!$W$8,IF(AN253&lt;=Hypothèses!$V$9,Hypothèses!$W$9,IF(AN253&lt;=Hypothèses!$V$10,Hypothèses!$W$10,IF(AN253&lt;=Hypothèses!$V$11,Hypothèses!$W$11,IF(AN253&lt;=Hypothèses!$V$12,Hypothèses!$W$12,IF(AN253&lt;=Hypothèses!$V$13,Hypothèses!$W$13,IF(AN253&lt;=Hypothèses!$V$14,Hypothèses!$W$14,IF(AN253&lt;=Hypothèses!$V$15,Hypothèses!$W$15,IF(AN253&lt;=Hypothèses!$V$16,Hypothèses!$W$16,IF(AN253&lt;=Hypothèses!$V$17,Hypothèses!$W$17,IF(AN253&lt;=Hypothèses!$V$18,Hypothèses!$W$18,""))))))))))))</f>
        <v>#DIV/0!</v>
      </c>
      <c r="BI253" s="87" t="e">
        <f t="shared" ca="1" si="418"/>
        <v>#DIV/0!</v>
      </c>
      <c r="BJ253" s="88" t="e">
        <f ca="1">IF(AN253&lt;=Hypothèses!$V$7,Hypothèses!$X$7,IF(AN253&lt;=Hypothèses!$V$8,Hypothèses!$X$8,IF(AN253&lt;=Hypothèses!$V$9,Hypothèses!$X$9,IF(AN253&lt;=Hypothèses!$V$10,Hypothèses!$X$10,IF(AN253&lt;=Hypothèses!$V$11,Hypothèses!$X$11,IF(AN253&lt;=Hypothèses!$V$12,Hypothèses!$X$12,IF(AN253&lt;=Hypothèses!$V$13,Hypothèses!$X$13,IF(AN253&lt;=Hypothèses!$V$14,Hypothèses!$X$14,IF(AN253&lt;=Hypothèses!$V$15,Hypothèses!$X$15,IF(AN253&lt;=Hypothèses!$V$16,Hypothèses!$X$16,IF(AN253&lt;=Hypothèses!$U$17,Hypothèses!$W$17,IF(AN253&lt;=Hypothèses!$U$18,Hypothèses!$W$18,""))))))))))))</f>
        <v>#DIV/0!</v>
      </c>
      <c r="BK253" s="95" t="e">
        <f t="shared" ca="1" si="377"/>
        <v>#DIV/0!</v>
      </c>
      <c r="BL253" s="101" t="e">
        <f t="shared" si="425"/>
        <v>#N/A</v>
      </c>
      <c r="BM253" s="91" t="e">
        <f t="shared" si="346"/>
        <v>#N/A</v>
      </c>
      <c r="BN253" s="30" t="e">
        <f t="shared" si="404"/>
        <v>#N/A</v>
      </c>
      <c r="BO253" s="30" t="e">
        <f t="shared" si="405"/>
        <v>#N/A</v>
      </c>
      <c r="BP253" s="31" t="e">
        <f>IF(OR(Hypothèses!$B$4=17,Hypothèses!$B$4=18,Hypothèses!$B$4=19,Hypothèses!$B$4=20),
IF($D253="Pressio.",
IF(OR($E253=3,$E253=1,$E253=4),BO253,BN253),
IF($D253="Pénétro.",
IF(OR($E253=3,$E253=1,$E253=4),BO253,BN253))),IF($D253="Pressio.",
IF($E253=3,BO253,BN253),
IF($D253="Pénétro.",
IF($E253=4,BO253,BN253))))</f>
        <v>#N/A</v>
      </c>
      <c r="BQ253" s="31" t="e">
        <f>(IF(OR(Hypothèses!$B$4=17,Hypothèses!$B$4=18,Hypothèses!$B$4=19,Hypothèses!$B$4=20),
IF($D253="Pressio.",
IF(OR($E253=3,$E253=1,$E253=4),(PI()*BQ$12^2)/4*(BM253*$W253*1000)/($H253*$B$5),(PI()*BQ$12^2)/4*(BM253*$W253*1000)/($G253*$B$5)),
IF($D253="Pénétro.",
IF(OR($E253=4,$E253=1,$E253=5),(PI()*BQ$12^2)/4*(BM253*$W253*1000)/($H253*$B$5),(PI()*BQ$12^2)/4*(BM253*$W253*1000)/($G253*$B$5)))),
IF($D253="Pressio.",
IF($E253=3,(PI()*BQ$12^2)/4*(BM253*$W253*1000)/($H253*$B$5),(PI()*BQ$12^2)/4*(BM253*$W253*1000)/($G253*$B$5)),
IF($D253="Pénétro.",
IF($E253=4,(PI()*BQ$12^2)/4*(BM253*$W253*1000)/($H253*$B$5),(PI()*BQ$12^2)/4*(BM253*$W253*1000)/($G253*$B$5))))))/10</f>
        <v>#N/A</v>
      </c>
      <c r="BR253" s="102" t="e">
        <f>(VLOOKUP($B$3,'Coeff EC7'!$T$39:$X$59,2,0)*BP253+VLOOKUP($B$3,'Coeff EC7'!$T$65:$X$85,2,0)*Model0.1C!BQ253)/1.1</f>
        <v>#N/A</v>
      </c>
      <c r="BS253" s="102" t="e">
        <f>(VLOOKUP($B$3,'Coeff EC7'!$T$39:$X$59,3,0)*BP253+VLOOKUP($B$3,'Coeff EC7'!$T$65:$X$85,3,0)*Model0.1C!BQ253)/0.9</f>
        <v>#N/A</v>
      </c>
      <c r="BT253" s="102" t="e">
        <f t="shared" si="378"/>
        <v>#N/A</v>
      </c>
      <c r="BU253" s="102" t="e">
        <f t="shared" si="379"/>
        <v>#N/A</v>
      </c>
      <c r="BV253" s="414" t="e">
        <f>IF(BV252=0,0,IF(AND(BR253&gt;charge_ELS_quasi,BS253&gt;Charge_ELS_freq,BT253&gt;charge_ELU,BU253&gt;charge_ELA,$B253&gt;NDC!$H$22-0.1+MIN(3*$BV$12,1.5)),0,1))</f>
        <v>#N/A</v>
      </c>
      <c r="BW253" s="86" t="b">
        <f t="shared" si="347"/>
        <v>0</v>
      </c>
      <c r="BX253" s="86">
        <f t="shared" si="348"/>
        <v>0.5</v>
      </c>
      <c r="BY253" s="86">
        <f t="shared" si="349"/>
        <v>0.5</v>
      </c>
      <c r="BZ253" s="30" t="e">
        <f t="shared" ca="1" si="380"/>
        <v>#DIV/0!</v>
      </c>
      <c r="CA253" s="85" t="e">
        <f ca="1">IF(BG253&lt;=Hypothèses!$V$7,Hypothèses!$W$7,IF(BG253&lt;=Hypothèses!$V$8,Hypothèses!$W$8,IF(BG253&lt;=Hypothèses!$V$9,Hypothèses!$W$9,IF(BG253&lt;=Hypothèses!$V$10,Hypothèses!$W$10,IF(BG253&lt;=Hypothèses!$V$11,Hypothèses!$W$11,IF(BG253&lt;=Hypothèses!$V$12,Hypothèses!$W$12,IF(BG253&lt;=Hypothèses!$V$13,Hypothèses!$W$13,IF(BG253&lt;=Hypothèses!$V$14,Hypothèses!$W$14,IF(BG253&lt;=Hypothèses!$V$15,Hypothèses!$W$15,IF(BG253&lt;=Hypothèses!$V$16,Hypothèses!$W$16,IF(BG253&lt;=Hypothèses!$V$17,Hypothèses!$W$17,IF(BG253&lt;=Hypothèses!$V$18,Hypothèses!$W$18,""))))))))))))</f>
        <v>#DIV/0!</v>
      </c>
      <c r="CB253" s="87" t="e">
        <f t="shared" ca="1" si="419"/>
        <v>#DIV/0!</v>
      </c>
      <c r="CC253" s="88" t="e">
        <f ca="1">IF(BG253&lt;=Hypothèses!$V$7,Hypothèses!$X$7,IF(BG253&lt;=Hypothèses!$V$8,Hypothèses!$X$8,IF(BG253&lt;=Hypothèses!$V$9,Hypothèses!$X$9,IF(BG253&lt;=Hypothèses!$V$10,Hypothèses!$X$10,IF(BG253&lt;=Hypothèses!$V$11,Hypothèses!$X$11,IF(BG253&lt;=Hypothèses!$V$12,Hypothèses!$X$12,IF(BG253&lt;=Hypothèses!$V$13,Hypothèses!$X$13,IF(BG253&lt;=Hypothèses!$V$14,Hypothèses!$X$14,IF(BG253&lt;=Hypothèses!$V$15,Hypothèses!$X$15,IF(BG253&lt;=Hypothèses!$V$16,Hypothèses!$X$16,IF(BG253&lt;=Hypothèses!$U$17,Hypothèses!$W$17,IF(BG253&lt;=Hypothèses!$U$18,Hypothèses!$W$18,""))))))))))))</f>
        <v>#DIV/0!</v>
      </c>
      <c r="CD253" s="95" t="e">
        <f t="shared" ca="1" si="381"/>
        <v>#DIV/0!</v>
      </c>
      <c r="CE253" s="101" t="e">
        <f t="shared" si="426"/>
        <v>#N/A</v>
      </c>
      <c r="CF253" s="91" t="e">
        <f t="shared" si="350"/>
        <v>#N/A</v>
      </c>
      <c r="CG253" s="30" t="e">
        <f t="shared" si="406"/>
        <v>#N/A</v>
      </c>
      <c r="CH253" s="30" t="e">
        <f t="shared" si="407"/>
        <v>#N/A</v>
      </c>
      <c r="CI253" s="31" t="e">
        <f>IF(OR(Hypothèses!$B$4=17,Hypothèses!$B$4=18,Hypothèses!$B$4=19,Hypothèses!$B$4=20),
IF($D253="Pressio.",
IF(OR($E253=3,$E253=1,$E253=4),CH253,CG253),
IF($D253="Pénétro.",
IF(OR($E253=3,$E253=1,$E253=4),CH253,CG253))),IF($D253="Pressio.",
IF($E253=3,CH253,CG253),
IF($D253="Pénétro.",
IF($E253=4,CH253,CG253))))</f>
        <v>#N/A</v>
      </c>
      <c r="CJ253" s="31" t="e">
        <f>(IF(OR(Hypothèses!$B$4=17,Hypothèses!$B$4=18,Hypothèses!$B$4=19,Hypothèses!$B$4=20),
IF($D253="Pressio.",
IF(OR($E253=3,$E253=1,$E253=4),(PI()*CJ$12^2)/4*(CF253*$W253*1000)/($H253*$B$5),(PI()*CJ$12^2)/4*(CF253*$W253*1000)/($G253*$B$5)),
IF($D253="Pénétro.",
IF(OR($E253=4,$E253=1,$E253=5),(PI()*CJ$12^2)/4*(CF253*$W253*1000)/($H253*$B$5),(PI()*CJ$12^2)/4*(CF253*$W253*1000)/($G253*$B$5)))),
IF($D253="Pressio.",
IF($E253=3,(PI()*CJ$12^2)/4*(CF253*$W253*1000)/($H253*$B$5),(PI()*CJ$12^2)/4*(CF253*$W253*1000)/($G253*$B$5)),
IF($D253="Pénétro.",
IF($E253=4,(PI()*CJ$12^2)/4*(CF253*$W253*1000)/($H253*$B$5),(PI()*CJ$12^2)/4*(CF253*$W253*1000)/($G253*$B$5))))))/10</f>
        <v>#N/A</v>
      </c>
      <c r="CK253" s="102" t="e">
        <f>(VLOOKUP($B$3,'Coeff EC7'!$T$39:$X$59,2,0)*CI253+VLOOKUP($B$3,'Coeff EC7'!$T$65:$X$85,2,0)*Model0.1C!CJ253)/1.1</f>
        <v>#N/A</v>
      </c>
      <c r="CL253" s="102" t="e">
        <f>(VLOOKUP($B$3,'Coeff EC7'!$T$39:$X$59,3,0)*CI253+VLOOKUP($B$3,'Coeff EC7'!$T$65:$X$85,3,0)*Model0.1C!CJ253)/0.9</f>
        <v>#N/A</v>
      </c>
      <c r="CM253" s="102" t="e">
        <f t="shared" si="382"/>
        <v>#N/A</v>
      </c>
      <c r="CN253" s="102" t="e">
        <f t="shared" si="383"/>
        <v>#N/A</v>
      </c>
      <c r="CO253" s="414" t="e">
        <f>IF(CO252=0,0,IF(AND(CK253&gt;charge_ELS_quasi,CL253&gt;Charge_ELS_freq,CM253&gt;charge_ELU,CN253&gt;charge_ELA,$B253&gt;NDC!$H$22-0.1+MIN(3*$CO$12,1.5)),0,1))</f>
        <v>#N/A</v>
      </c>
      <c r="CP253" s="86" t="b">
        <f t="shared" si="351"/>
        <v>0</v>
      </c>
      <c r="CQ253" s="86">
        <f t="shared" si="352"/>
        <v>0.5</v>
      </c>
      <c r="CR253" s="86">
        <f t="shared" si="353"/>
        <v>0.5</v>
      </c>
      <c r="CS253" s="30" t="e">
        <f t="shared" ca="1" si="384"/>
        <v>#DIV/0!</v>
      </c>
      <c r="CT253" s="85" t="e">
        <f ca="1">IF(BZ253&lt;=Hypothèses!$V$7,Hypothèses!$W$7,IF(BZ253&lt;=Hypothèses!$V$8,Hypothèses!$W$8,IF(BZ253&lt;=Hypothèses!$V$9,Hypothèses!$W$9,IF(BZ253&lt;=Hypothèses!$V$10,Hypothèses!$W$10,IF(BZ253&lt;=Hypothèses!$V$11,Hypothèses!$W$11,IF(BZ253&lt;=Hypothèses!$V$12,Hypothèses!$W$12,IF(BZ253&lt;=Hypothèses!$V$13,Hypothèses!$W$13,IF(BZ253&lt;=Hypothèses!$V$14,Hypothèses!$W$14,IF(BZ253&lt;=Hypothèses!$V$15,Hypothèses!$W$15,IF(BZ253&lt;=Hypothèses!$V$16,Hypothèses!$W$16,IF(BZ253&lt;=Hypothèses!$V$17,Hypothèses!$W$17,IF(BZ253&lt;=Hypothèses!$V$18,Hypothèses!$W$18,""))))))))))))</f>
        <v>#DIV/0!</v>
      </c>
      <c r="CU253" s="87" t="e">
        <f t="shared" ca="1" si="420"/>
        <v>#DIV/0!</v>
      </c>
      <c r="CV253" s="88" t="e">
        <f ca="1">IF(BZ253&lt;=Hypothèses!$V$7,Hypothèses!$X$7,IF(BZ253&lt;=Hypothèses!$V$8,Hypothèses!$X$8,IF(BZ253&lt;=Hypothèses!$V$9,Hypothèses!$X$9,IF(BZ253&lt;=Hypothèses!$V$10,Hypothèses!$X$10,IF(BZ253&lt;=Hypothèses!$V$11,Hypothèses!$X$11,IF(BZ253&lt;=Hypothèses!$V$12,Hypothèses!$X$12,IF(BZ253&lt;=Hypothèses!$V$13,Hypothèses!$X$13,IF(BZ253&lt;=Hypothèses!$V$14,Hypothèses!$X$14,IF(BZ253&lt;=Hypothèses!$V$15,Hypothèses!$X$15,IF(BZ253&lt;=Hypothèses!$V$16,Hypothèses!$X$16,IF(BZ253&lt;=Hypothèses!$U$17,Hypothèses!$W$17,IF(BZ253&lt;=Hypothèses!$U$18,Hypothèses!$W$18,""))))))))))))</f>
        <v>#DIV/0!</v>
      </c>
      <c r="CW253" s="95" t="e">
        <f t="shared" ca="1" si="385"/>
        <v>#DIV/0!</v>
      </c>
      <c r="CX253" s="101" t="e">
        <f t="shared" si="427"/>
        <v>#N/A</v>
      </c>
      <c r="CY253" s="91" t="e">
        <f t="shared" si="354"/>
        <v>#N/A</v>
      </c>
      <c r="CZ253" s="30" t="e">
        <f t="shared" si="408"/>
        <v>#N/A</v>
      </c>
      <c r="DA253" s="30" t="e">
        <f t="shared" si="409"/>
        <v>#N/A</v>
      </c>
      <c r="DB253" s="31" t="e">
        <f>IF(OR(Hypothèses!$B$4=17,Hypothèses!$B$4=18,Hypothèses!$B$4=19,Hypothèses!$B$4=20),
IF($D253="Pressio.",
IF(OR($E253=3,$E253=1,$E253=4),DA253,CZ253),
IF($D253="Pénétro.",
IF(OR($E253=3,$E253=1,$E253=4),DA253,CZ253))),IF($D253="Pressio.",
IF($E253=3,DA253,CZ253),
IF($D253="Pénétro.",
IF($E253=4,DA253,CZ253))))</f>
        <v>#N/A</v>
      </c>
      <c r="DC253" s="31" t="e">
        <f>(IF(OR(Hypothèses!$B$4=17,Hypothèses!$B$4=18,Hypothèses!$B$4=19,Hypothèses!$B$4=20),
IF($D253="Pressio.",
IF(OR($E253=3,$E253=1,$E253=4),(PI()*DC$12^2)/4*(CY253*$W253*1000)/($H253*$B$5),(PI()*DC$12^2)/4*(CY253*$W253*1000)/($G253*$B$5)),
IF($D253="Pénétro.",
IF(OR($E253=4,$E253=1,$E253=5),(PI()*DC$12^2)/4*(CY253*$W253*1000)/($H253*$B$5),(PI()*DC$12^2)/4*(CY253*$W253*1000)/($G253*$B$5)))),
IF($D253="Pressio.",
IF($E253=3,(PI()*DC$12^2)/4*(CY253*$W253*1000)/($H253*$B$5),(PI()*DC$12^2)/4*(CY253*$W253*1000)/($G253*$B$5)),
IF($D253="Pénétro.",
IF($E253=4,(PI()*DC$12^2)/4*(CY253*$W253*1000)/($H253*$B$5),(PI()*DC$12^2)/4*(CY253*$W253*1000)/($G253*$B$5))))))/10</f>
        <v>#N/A</v>
      </c>
      <c r="DD253" s="102" t="e">
        <f>(VLOOKUP($B$3,'Coeff EC7'!$T$39:$X$59,2,0)*DB253+VLOOKUP($B$3,'Coeff EC7'!$T$65:$X$85,2,0)*Model0.1C!DC253)/1.1</f>
        <v>#N/A</v>
      </c>
      <c r="DE253" s="102" t="e">
        <f>(VLOOKUP($B$3,'Coeff EC7'!$T$39:$X$59,3,0)*DB253+VLOOKUP($B$3,'Coeff EC7'!$T$65:$X$85,3,0)*Model0.1C!DC253)/0.9</f>
        <v>#N/A</v>
      </c>
      <c r="DF253" s="102" t="e">
        <f t="shared" si="386"/>
        <v>#N/A</v>
      </c>
      <c r="DG253" s="102" t="e">
        <f t="shared" si="387"/>
        <v>#N/A</v>
      </c>
      <c r="DH253" s="414" t="e">
        <f>IF(DH252=0,0,IF(AND(DD253&gt;charge_ELS_quasi,DE253&gt;Charge_ELS_freq,DF253&gt;charge_ELU,DG253&gt;charge_ELA,$B253&gt;NDC!$H$22-0.1+MIN(3*$DH$12,1.5)),0,1))</f>
        <v>#N/A</v>
      </c>
      <c r="DI253" s="86" t="b">
        <f t="shared" si="355"/>
        <v>0</v>
      </c>
      <c r="DJ253" s="86">
        <f t="shared" si="356"/>
        <v>0.5</v>
      </c>
      <c r="DK253" s="86">
        <f t="shared" si="357"/>
        <v>0.5</v>
      </c>
      <c r="DL253" s="30" t="e">
        <f t="shared" ca="1" si="388"/>
        <v>#DIV/0!</v>
      </c>
      <c r="DM253" s="85" t="e">
        <f ca="1">IF(CS253&lt;=Hypothèses!$V$7,Hypothèses!$W$7,IF(CS253&lt;=Hypothèses!$V$8,Hypothèses!$W$8,IF(CS253&lt;=Hypothèses!$V$9,Hypothèses!$W$9,IF(CS253&lt;=Hypothèses!$V$10,Hypothèses!$W$10,IF(CS253&lt;=Hypothèses!$V$11,Hypothèses!$W$11,IF(CS253&lt;=Hypothèses!$V$12,Hypothèses!$W$12,IF(CS253&lt;=Hypothèses!$V$13,Hypothèses!$W$13,IF(CS253&lt;=Hypothèses!$V$14,Hypothèses!$W$14,IF(CS253&lt;=Hypothèses!$V$15,Hypothèses!$W$15,IF(CS253&lt;=Hypothèses!$V$16,Hypothèses!$W$16,IF(CS253&lt;=Hypothèses!$V$17,Hypothèses!$W$17,IF(CS253&lt;=Hypothèses!$V$18,Hypothèses!$W$18,""))))))))))))</f>
        <v>#DIV/0!</v>
      </c>
      <c r="DN253" s="87" t="e">
        <f t="shared" ca="1" si="421"/>
        <v>#DIV/0!</v>
      </c>
      <c r="DO253" s="88" t="e">
        <f ca="1">IF(CS253&lt;=Hypothèses!$V$7,Hypothèses!$X$7,IF(CS253&lt;=Hypothèses!$V$8,Hypothèses!$X$8,IF(CS253&lt;=Hypothèses!$V$9,Hypothèses!$X$9,IF(CS253&lt;=Hypothèses!$V$10,Hypothèses!$X$10,IF(CS253&lt;=Hypothèses!$V$11,Hypothèses!$X$11,IF(CS253&lt;=Hypothèses!$V$12,Hypothèses!$X$12,IF(CS253&lt;=Hypothèses!$V$13,Hypothèses!$X$13,IF(CS253&lt;=Hypothèses!$V$14,Hypothèses!$X$14,IF(CS253&lt;=Hypothèses!$V$15,Hypothèses!$X$15,IF(CS253&lt;=Hypothèses!$V$16,Hypothèses!$X$16,IF(CS253&lt;=Hypothèses!$U$17,Hypothèses!$W$17,IF(CS253&lt;=Hypothèses!$U$18,Hypothèses!$W$18,""))))))))))))</f>
        <v>#DIV/0!</v>
      </c>
      <c r="DP253" s="95" t="e">
        <f t="shared" ca="1" si="389"/>
        <v>#DIV/0!</v>
      </c>
      <c r="DQ253" s="101" t="e">
        <f t="shared" si="428"/>
        <v>#N/A</v>
      </c>
      <c r="DR253" s="91" t="e">
        <f t="shared" si="358"/>
        <v>#N/A</v>
      </c>
      <c r="DS253" s="30" t="e">
        <f t="shared" si="410"/>
        <v>#N/A</v>
      </c>
      <c r="DT253" s="30" t="e">
        <f t="shared" si="411"/>
        <v>#N/A</v>
      </c>
      <c r="DU253" s="31" t="e">
        <f>IF(OR(Hypothèses!$B$4=17,Hypothèses!$B$4=18,Hypothèses!$B$4=19,Hypothèses!$B$4=20),
IF($D253="Pressio.",
IF(OR($E253=3,$E253=1,$E253=4),DT253,DS253),
IF($D253="Pénétro.",
IF(OR($E253=3,$E253=1,$E253=4),DT253,DS253))),IF($D253="Pressio.",
IF($E253=3,DT253,DS253),
IF($D253="Pénétro.",
IF($E253=4,DT253,DS253))))</f>
        <v>#N/A</v>
      </c>
      <c r="DV253" s="31" t="e">
        <f>(IF(OR(Hypothèses!$B$4=17,Hypothèses!$B$4=18,Hypothèses!$B$4=19,Hypothèses!$B$4=20),
IF($D253="Pressio.",
IF(OR($E253=3,$E253=1,$E253=4),(PI()*DV$12^2)/4*(DR253*$W253*1000)/($H253*$B$5),(PI()*DV$12^2)/4*(DR253*$W253*1000)/($G253*$B$5)),
IF($D253="Pénétro.",
IF(OR($E253=4,$E253=1,$E253=5),(PI()*DV$12^2)/4*(DR253*$W253*1000)/($H253*$B$5),(PI()*DV$12^2)/4*(DR253*$W253*1000)/($G253*$B$5)))),
IF($D253="Pressio.",
IF($E253=3,(PI()*DV$12^2)/4*(DR253*$W253*1000)/($H253*$B$5),(PI()*DV$12^2)/4*(DR253*$W253*1000)/($G253*$B$5)),
IF($D253="Pénétro.",
IF($E253=4,(PI()*DV$12^2)/4*(DR253*$W253*1000)/($H253*$B$5),(PI()*DV$12^2)/4*(DR253*$W253*1000)/($G253*$B$5))))))/10</f>
        <v>#N/A</v>
      </c>
      <c r="DW253" s="102" t="e">
        <f>(VLOOKUP($B$3,'Coeff EC7'!$T$39:$X$59,2,0)*DU253+VLOOKUP($B$3,'Coeff EC7'!$T$65:$X$85,2,0)*Model0.1C!DV253)/1.1</f>
        <v>#N/A</v>
      </c>
      <c r="DX253" s="102" t="e">
        <f>(VLOOKUP($B$3,'Coeff EC7'!$T$39:$X$59,3,0)*DU253+VLOOKUP($B$3,'Coeff EC7'!$T$65:$X$85,3,0)*Model0.1C!DV253)/0.9</f>
        <v>#N/A</v>
      </c>
      <c r="DY253" s="102" t="e">
        <f t="shared" si="390"/>
        <v>#N/A</v>
      </c>
      <c r="DZ253" s="102" t="e">
        <f t="shared" si="391"/>
        <v>#N/A</v>
      </c>
      <c r="EA253" s="414" t="e">
        <f>IF(EA252=0,0,IF(AND(DW253&gt;charge_ELS_quasi,DX253&gt;Charge_ELS_freq,DY253&gt;charge_ELU,DZ253&gt;charge_ELA,$B253&gt;NDC!$H$22-0.1+MIN(3*$EA$12,1.5)),0,1))</f>
        <v>#N/A</v>
      </c>
      <c r="EB253" s="86" t="b">
        <f t="shared" si="359"/>
        <v>0</v>
      </c>
      <c r="EC253" s="418">
        <f t="shared" si="360"/>
        <v>0.51</v>
      </c>
      <c r="ED253" s="86">
        <f t="shared" si="361"/>
        <v>0.51</v>
      </c>
      <c r="EE253" s="30" t="e">
        <f t="shared" ca="1" si="392"/>
        <v>#DIV/0!</v>
      </c>
      <c r="EF253" s="85" t="e">
        <f ca="1">IF(DL253&lt;=Hypothèses!$V$7,Hypothèses!$W$7,IF(DL253&lt;=Hypothèses!$V$8,Hypothèses!$W$8,IF(DL253&lt;=Hypothèses!$V$9,Hypothèses!$W$9,IF(DL253&lt;=Hypothèses!$V$10,Hypothèses!$W$10,IF(DL253&lt;=Hypothèses!$V$11,Hypothèses!$W$11,IF(DL253&lt;=Hypothèses!$V$12,Hypothèses!$W$12,IF(DL253&lt;=Hypothèses!$V$13,Hypothèses!$W$13,IF(DL253&lt;=Hypothèses!$V$14,Hypothèses!$W$14,IF(DL253&lt;=Hypothèses!$V$15,Hypothèses!$W$15,IF(DL253&lt;=Hypothèses!$V$16,Hypothèses!$W$16,IF(DL253&lt;=Hypothèses!$V$17,Hypothèses!$W$17,IF(DL253&lt;=Hypothèses!$V$18,Hypothèses!$W$18,""))))))))))))</f>
        <v>#DIV/0!</v>
      </c>
      <c r="EG253" s="87" t="e">
        <f t="shared" ca="1" si="422"/>
        <v>#DIV/0!</v>
      </c>
      <c r="EH253" s="88" t="e">
        <f ca="1">IF(DL253&lt;=Hypothèses!$V$7,Hypothèses!$X$7,IF(DL253&lt;=Hypothèses!$V$8,Hypothèses!$X$8,IF(DL253&lt;=Hypothèses!$V$9,Hypothèses!$X$9,IF(DL253&lt;=Hypothèses!$V$10,Hypothèses!$X$10,IF(DL253&lt;=Hypothèses!$V$11,Hypothèses!$X$11,IF(DL253&lt;=Hypothèses!$V$12,Hypothèses!$X$12,IF(DL253&lt;=Hypothèses!$V$13,Hypothèses!$X$13,IF(DL253&lt;=Hypothèses!$V$14,Hypothèses!$X$14,IF(DL253&lt;=Hypothèses!$V$15,Hypothèses!$X$15,IF(DL253&lt;=Hypothèses!$V$16,Hypothèses!$X$16,IF(DL253&lt;=Hypothèses!$U$17,Hypothèses!$W$17,IF(DL253&lt;=Hypothèses!$U$18,Hypothèses!$W$18,""))))))))))))</f>
        <v>#DIV/0!</v>
      </c>
      <c r="EI253" s="95" t="e">
        <f t="shared" ca="1" si="393"/>
        <v>#DIV/0!</v>
      </c>
      <c r="EJ253" s="101" t="e">
        <f t="shared" si="429"/>
        <v>#N/A</v>
      </c>
      <c r="EK253" s="91" t="e">
        <f t="shared" si="362"/>
        <v>#N/A</v>
      </c>
      <c r="EL253" s="30" t="e">
        <f t="shared" si="412"/>
        <v>#N/A</v>
      </c>
      <c r="EM253" s="30" t="e">
        <f t="shared" si="413"/>
        <v>#N/A</v>
      </c>
      <c r="EN253" s="31" t="e">
        <f>IF(OR(Hypothèses!$B$4=17,Hypothèses!$B$4=18,Hypothèses!$B$4=19,Hypothèses!$B$4=20),
IF($D253="Pressio.",
IF(OR($E253=3,$E253=1,$E253=4),EM253,EL253),
IF($D253="Pénétro.",
IF(OR($E253=3,$E253=1,$E253=4),EM253,EL253))),IF($D253="Pressio.",
IF($E253=3,EM253,EL253),
IF($D253="Pénétro.",
IF($E253=4,EM253,EL253))))</f>
        <v>#N/A</v>
      </c>
      <c r="EO253" s="31" t="e">
        <f>(IF(OR(Hypothèses!$B$4=17,Hypothèses!$B$4=18,Hypothèses!$B$4=19,Hypothèses!$B$4=20),
IF($D253="Pressio.",
IF(OR($E253=3,$E253=1,$E253=4),(PI()*EO$12^2)/4*(EK253*$W253*1000)/($H253*$B$5),(PI()*EO$12^2)/4*(EK253*$W253*1000)/($G253*$B$5)),
IF($D253="Pénétro.",
IF(OR($E253=4,$E253=1,$E253=5),(PI()*EO$12^2)/4*(EK253*$W253*1000)/($H253*$B$5),(PI()*EO$12^2)/4*(EK253*$W253*1000)/($G253*$B$5)))),
IF($D253="Pressio.",
IF($E253=3,(PI()*EO$12^2)/4*(EK253*$W253*1000)/($H253*$B$5),(PI()*EO$12^2)/4*(EK253*$W253*1000)/($G253*$B$5)),
IF($D253="Pénétro.",
IF($E253=4,(PI()*EO$12^2)/4*(EK253*$W253*1000)/($H253*$B$5),(PI()*EO$12^2)/4*(EK253*$W253*1000)/($G253*$B$5))))))/10</f>
        <v>#N/A</v>
      </c>
      <c r="EP253" s="102" t="e">
        <f>(VLOOKUP($B$3,'Coeff EC7'!$T$39:$X$59,2,0)*EN253+VLOOKUP($B$3,'Coeff EC7'!$T$65:$X$85,2,0)*Model0.1C!EO253)/1.1</f>
        <v>#N/A</v>
      </c>
      <c r="EQ253" s="102" t="e">
        <f>(VLOOKUP($B$3,'Coeff EC7'!$T$39:$X$59,3,0)*EN253+VLOOKUP($B$3,'Coeff EC7'!$T$65:$X$85,3,0)*Model0.1C!EO253)/0.9</f>
        <v>#N/A</v>
      </c>
      <c r="ER253" s="102" t="e">
        <f t="shared" si="394"/>
        <v>#N/A</v>
      </c>
      <c r="ES253" s="102" t="e">
        <f t="shared" si="395"/>
        <v>#N/A</v>
      </c>
      <c r="ET253" s="414" t="e">
        <f>IF(ET252=0,0,IF(AND(EP253&gt;charge_ELS_quasi,EQ253&gt;Charge_ELS_freq,ER253&gt;charge_ELU,ES253&gt;charge_ELA,$B253&gt;NDC!$H$22-0.1+MIN(3*$ET$12,1.5)),0,1))</f>
        <v>#N/A</v>
      </c>
      <c r="EU253" s="86" t="b">
        <f t="shared" si="363"/>
        <v>0</v>
      </c>
      <c r="EV253" s="86">
        <f t="shared" si="364"/>
        <v>0.61</v>
      </c>
      <c r="EW253" s="86">
        <f t="shared" si="365"/>
        <v>0.61</v>
      </c>
      <c r="EX253" s="30" t="e">
        <f t="shared" ca="1" si="396"/>
        <v>#DIV/0!</v>
      </c>
      <c r="EY253" s="85" t="e">
        <f ca="1">IF(EE253&lt;=Hypothèses!$V$7,Hypothèses!$W$7,IF(EE253&lt;=Hypothèses!$V$8,Hypothèses!$W$8,IF(EE253&lt;=Hypothèses!$V$9,Hypothèses!$W$9,IF(EE253&lt;=Hypothèses!$V$10,Hypothèses!$W$10,IF(EE253&lt;=Hypothèses!$V$11,Hypothèses!$W$11,IF(EE253&lt;=Hypothèses!$V$12,Hypothèses!$W$12,IF(EE253&lt;=Hypothèses!$V$13,Hypothèses!$W$13,IF(EE253&lt;=Hypothèses!$V$14,Hypothèses!$W$14,IF(EE253&lt;=Hypothèses!$V$15,Hypothèses!$W$15,IF(EE253&lt;=Hypothèses!$V$16,Hypothèses!$W$16,IF(EE253&lt;=Hypothèses!$V$17,Hypothèses!$W$17,IF(EE253&lt;=Hypothèses!$V$18,Hypothèses!$W$18,""))))))))))))</f>
        <v>#DIV/0!</v>
      </c>
      <c r="EZ253" s="87" t="e">
        <f t="shared" ca="1" si="423"/>
        <v>#DIV/0!</v>
      </c>
      <c r="FA253" s="88" t="e">
        <f ca="1">IF(EE253&lt;=Hypothèses!$V$7,Hypothèses!$X$7,IF(EE253&lt;=Hypothèses!$V$8,Hypothèses!$X$8,IF(EE253&lt;=Hypothèses!$V$9,Hypothèses!$X$9,IF(EE253&lt;=Hypothèses!$V$10,Hypothèses!$X$10,IF(EE253&lt;=Hypothèses!$V$11,Hypothèses!$X$11,IF(EE253&lt;=Hypothèses!$V$12,Hypothèses!$X$12,IF(EE253&lt;=Hypothèses!$V$13,Hypothèses!$X$13,IF(EE253&lt;=Hypothèses!$V$14,Hypothèses!$X$14,IF(EE253&lt;=Hypothèses!$V$15,Hypothèses!$X$15,IF(EE253&lt;=Hypothèses!$V$16,Hypothèses!$X$16,IF(EE253&lt;=Hypothèses!$U$17,Hypothèses!$W$17,IF(EE253&lt;=Hypothèses!$U$18,Hypothèses!$W$18,""))))))))))))</f>
        <v>#DIV/0!</v>
      </c>
      <c r="FB253" s="95" t="e">
        <f t="shared" ca="1" si="397"/>
        <v>#DIV/0!</v>
      </c>
      <c r="FC253" s="101" t="e">
        <f t="shared" si="430"/>
        <v>#N/A</v>
      </c>
      <c r="FD253" s="91" t="e">
        <f t="shared" si="366"/>
        <v>#N/A</v>
      </c>
      <c r="FE253" s="30" t="e">
        <f t="shared" si="414"/>
        <v>#N/A</v>
      </c>
      <c r="FF253" s="30" t="e">
        <f t="shared" si="415"/>
        <v>#N/A</v>
      </c>
      <c r="FG253" s="31" t="e">
        <f>IF(OR(Hypothèses!$B$4=17,Hypothèses!$B$4=18,Hypothèses!$B$4=19,Hypothèses!$B$4=20),
IF($D253="Pressio.",
IF(OR($E253=3,$E253=1,$E253=4),FF253,FE253),
IF($D253="Pénétro.",
IF(OR($E253=3,$E253=1,$E253=4),FF253,FE253))),IF($D253="Pressio.",
IF($E253=3,FF253,FE253),
IF($D253="Pénétro.",
IF($E253=4,FF253,FE253))))</f>
        <v>#N/A</v>
      </c>
      <c r="FH253" s="31" t="e">
        <f>(IF(OR(Hypothèses!$B$4=17,Hypothèses!$B$4=18,Hypothèses!$B$4=19,Hypothèses!$B$4=20),
IF($D253="Pressio.",
IF(OR($E253=3,$E253=1,$E253=4),(PI()*FH$12^2)/4*(FD253*$W253*1000)/($H253*$B$5),(PI()*FH$12^2)/4*(FD253*$W253*1000)/($G253*$B$5)),
IF($D253="Pénétro.",
IF(OR($E253=4,$E253=1,$E253=5),(PI()*FH$12^2)/4*(FD253*$W253*1000)/($H253*$B$5),(PI()*FH$12^2)/4*(FD253*$W253*1000)/($G253*$B$5)))),
IF($D253="Pressio.",
IF($E253=3,(PI()*FH$12^2)/4*(FD253*$W253*1000)/($H253*$B$5),(PI()*FH$12^2)/4*(FD253*$W253*1000)/($G253*$B$5)),
IF($D253="Pénétro.",
IF($E253=4,(PI()*FH$12^2)/4*(FD253*$W253*1000)/($H253*$B$5),(PI()*FH$12^2)/4*(FD253*$W253*1000)/($G253*$B$5))))))/10</f>
        <v>#N/A</v>
      </c>
      <c r="FI253" s="102" t="e">
        <f>(VLOOKUP($B$3,'Coeff EC7'!$T$39:$X$59,2,0)*FG253+VLOOKUP($B$3,'Coeff EC7'!$T$65:$X$85,2,0)*Model0.1C!FH253)/1.1</f>
        <v>#N/A</v>
      </c>
      <c r="FJ253" s="102" t="e">
        <f>(VLOOKUP($B$3,'Coeff EC7'!$T$39:$X$59,3,0)*FG253+VLOOKUP($B$3,'Coeff EC7'!$T$65:$X$85,3,0)*Model0.1C!FH253)/0.9</f>
        <v>#N/A</v>
      </c>
      <c r="FK253" s="102" t="e">
        <f t="shared" si="398"/>
        <v>#N/A</v>
      </c>
      <c r="FL253" s="102" t="e">
        <f t="shared" si="399"/>
        <v>#N/A</v>
      </c>
      <c r="FM253" s="414" t="e">
        <f>IF(FM252=0,0,IF(AND(FI253&gt;charge_ELS_quasi,FJ253&gt;Charge_ELS_freq,FK253&gt;charge_ELU,FL253&gt;charge_ELA,$B253&gt;NDC!$H$22-0.1+MIN(3*$FM$12,1.5)),0,1))</f>
        <v>#N/A</v>
      </c>
    </row>
    <row r="254" spans="1:169">
      <c r="A254" s="96">
        <f t="shared" si="367"/>
        <v>75.90000000000137</v>
      </c>
      <c r="B254" s="97">
        <v>24.1</v>
      </c>
      <c r="C254" s="81">
        <f>IF(B254&lt;=Hypothèses!$C$7,Hypothèses!$A$7,IF(B254&lt;=Hypothèses!$C$8,Hypothèses!$A$8,IF(B254&lt;=Hypothèses!$C$9,Hypothèses!$A$9,IF(B254&lt;=Hypothèses!$C$10,Hypothèses!$A$10,IF(B254&lt;=Hypothèses!$C$11,Hypothèses!$A$11,IF(B254&lt;=Hypothèses!$C$12,Hypothèses!$A$12,IF(B254&lt;=Hypothèses!$C$13,Hypothèses!$A$13,IF(B254&lt;=Hypothèses!$C$14,Hypothèses!$A$14,IF(B254&lt;=Hypothèses!$C$15,Hypothèses!$A$15,IF(B254&lt;=Hypothèses!$C$16,Hypothèses!$A$16,IF(B254&lt;=Hypothèses!$C$17,Hypothèses!$A$17,IF(B254&lt;=Hypothèses!$C$18,Hypothèses!$A$18,C253))))))))))))</f>
        <v>11</v>
      </c>
      <c r="D254" s="82" t="str">
        <f>IF(B254&lt;=Hypothèses!$C$7,Hypothèses!$R$7,IF(B254&lt;=Hypothèses!$C$8,Hypothèses!$R$8,IF(B254&lt;=Hypothèses!$C$9,Hypothèses!$R$9,IF(B254&lt;=Hypothèses!$C$10,Hypothèses!$R$10,IF(B254&lt;=Hypothèses!$C$11,Hypothèses!$R$11,IF(B254&lt;=Hypothèses!$C$12,Hypothèses!$R$12,IF(B254&lt;=Hypothèses!$C$13,Hypothèses!$R$13,IF(B254&lt;=Hypothèses!$C$14,Hypothèses!$R$14,IF(B254&lt;=Hypothèses!$C$15,Hypothèses!$R$15,IF(B254&lt;=Hypothèses!$C$16,Hypothèses!$R$16,IF(B254&lt;=Hypothèses!$C$17,Hypothèses!$R$17,IF(B254&lt;=Hypothèses!$C$18,Hypothèses!$R$18,D253))))))))))))</f>
        <v>Pressio.</v>
      </c>
      <c r="E254" s="82" t="e">
        <f>IF(B254&lt;=Hypothèses!$C$7,Hypothèses!$G$7,IF(B254&lt;=Hypothèses!$C$8,Hypothèses!$G$8,IF(B254&lt;=Hypothèses!$C$9,Hypothèses!$G$9,IF(B254&lt;=Hypothèses!$C$10,Hypothèses!$G$10,IF(B254&lt;=Hypothèses!$C$11,Hypothèses!$G$11,IF(B254&lt;=Hypothèses!$C$12,Hypothèses!$G$12,IF(B254&lt;=Hypothèses!$C$13,Hypothèses!$G$13,IF(B254&lt;=Hypothèses!$C$14,Hypothèses!$G$14,IF(B254&lt;=Hypothèses!$C$15,Hypothèses!$G$15,IF(B254&lt;=Hypothèses!$C$16,Hypothèses!$G$16,IF(B254&lt;=Hypothèses!$C$17,Hypothèses!$G$17,IF(B254&lt;=Hypothèses!$C$18,Hypothèses!$G$18,E253))))))))))))</f>
        <v>#N/A</v>
      </c>
      <c r="F254" s="82" t="str">
        <f>IF(B254&lt;=Hypothèses!$C$7,Hypothèses!$F$7,IF(B254&lt;=Hypothèses!$C$8,Hypothèses!$F$8,IF(B254&lt;=Hypothèses!$C$9,Hypothèses!$F$9,IF(B254&lt;=Hypothèses!$C$10,Hypothèses!$F$10,IF(B254&lt;=Hypothèses!$C$11,Hypothèses!$F$11,IF(B254&lt;=Hypothèses!$C$12,Hypothèses!$F$12,IF(B254&lt;=Hypothèses!$C$13,Hypothèses!$F$13,IF(B254&lt;=Hypothèses!$C$14,Hypothèses!$F$14,IF(B254&lt;=Hypothèses!$C$15,Hypothèses!$F$15,IF(B254&lt;=Hypothèses!$C$16,Hypothèses!$F$16,IF(B254&lt;=Hypothèses!$C$17,Hypothèses!$F$17,IF(B254&lt;=Hypothèses!$C$18,Hypothèses!$F$18,F253))))))))))))</f>
        <v/>
      </c>
      <c r="G254" s="91">
        <f t="array" ref="G254">INDEX('Coeff EC7'!$U$7:$X$27,
MATCH(Model0.1C!$B$3,'Coeff EC7'!$T$7:$T$27,0),
MATCH(Model0.1C!$D254&amp;Model0.1C!$B$4,
'Coeff EC7'!$U$6:$X$6&amp;
'Coeff EC7'!$U$5:$X$5,0))</f>
        <v>1.1499999999999999</v>
      </c>
      <c r="H254" s="91">
        <f t="array" ref="H254">INDEX('Coeff EC7'!$Y$7:$AB$27,
MATCH(Model0.1C!$B$3,'Coeff EC7'!$T$7:$T$27,0),
MATCH(Model0.1C!$D254&amp;Model0.1C!$B$4,
'Coeff EC7'!$Y$6:$AB$6&amp;
'Coeff EC7'!$Y$5:$AB$5,0))</f>
        <v>1.4</v>
      </c>
      <c r="I254" s="83" t="e">
        <f>IF(B254&lt;=Hypothèses!$C$7,Hypothèses!$P$7,IF(B254&lt;=Hypothèses!$C$8,Hypothèses!$P$8,IF(B254&lt;=Hypothèses!$C$9,Hypothèses!$P$9,IF(B254&lt;=Hypothèses!$C$10,Hypothèses!$P$10,IF(B254&lt;=Hypothèses!$C$11,Hypothèses!$P$11,IF(B254&lt;=Hypothèses!$C$12,Hypothèses!$P$12,IF(B254&lt;=Hypothèses!$C$13,Hypothèses!$P$13,IF(B254&lt;=Hypothèses!$C$14,Hypothèses!$P$14,IF(B254&lt;=Hypothèses!$C$15,Hypothèses!$P$15,IF(B254&lt;=Hypothèses!$C$16,Hypothèses!$P$16,IF(B254&lt;=Hypothèses!$C$17,Hypothèses!$P$17,IF(B254&lt;=Hypothèses!$C$18,Hypothèses!$P$18,I253))))))))))))</f>
        <v>#N/A</v>
      </c>
      <c r="J254" s="91" t="e">
        <f t="array" ref="J254">INDEX('Coeff EC7'!$D$33:$Q$33,1,MATCH(D254&amp;E254,'Coeff EC7'!$D$31:$Q$31&amp;'Coeff EC7'!$D$32:$Q$32,0))</f>
        <v>#N/A</v>
      </c>
      <c r="K254" s="91" t="e">
        <f t="array" ref="K254">INDEX('Coeff EC7'!$D$34:$Q$34,1,MATCH(D254&amp;E254,'Coeff EC7'!$D$31:$Q$31&amp;'Coeff EC7'!$D$32:$Q$32,0))</f>
        <v>#N/A</v>
      </c>
      <c r="L254" s="91" t="e">
        <f t="array" ref="L254">INDEX('Coeff EC7'!$D$35:$Q$35,1,MATCH(D254&amp;E254,'Coeff EC7'!$D$31:$Q$31&amp;'Coeff EC7'!$D$32:$Q$32,0))</f>
        <v>#N/A</v>
      </c>
      <c r="M254" s="98" t="e">
        <f t="shared" si="331"/>
        <v>#N/A</v>
      </c>
      <c r="N254" s="99" t="e">
        <f t="array" ref="N254">INDEX('Coeff EC7'!$D$7:$Q$27,MATCH($B$3,'Coeff EC7'!$C$7:$C$27,0),MATCH(D254&amp;E254,'Coeff EC7'!$D$5:$Q$5&amp;'Coeff EC7'!$D$6:$Q$6,0))</f>
        <v>#N/A</v>
      </c>
      <c r="O254" s="99" t="e">
        <f t="array" ref="O254">INDEX('Coeff EC7'!$D$41:$Q$61,MATCH($B$3,'Coeff EC7'!$C$41:$C$61,0),MATCH(D254&amp;E254,'Coeff EC7'!$D$39:$Q$39&amp;'Coeff EC7'!$D$40:$Q$40,0))</f>
        <v>#N/A</v>
      </c>
      <c r="P254" s="30" t="e">
        <f t="shared" si="368"/>
        <v>#N/A</v>
      </c>
      <c r="Q254" s="100" t="e">
        <f t="shared" si="333"/>
        <v>#N/A</v>
      </c>
      <c r="R254" s="86" t="b">
        <f t="shared" si="334"/>
        <v>0</v>
      </c>
      <c r="S254" s="86">
        <f t="shared" si="332"/>
        <v>0.5</v>
      </c>
      <c r="T254" s="86">
        <f t="shared" si="335"/>
        <v>0.5</v>
      </c>
      <c r="U254" s="30" t="e">
        <f t="shared" ca="1" si="369"/>
        <v>#DIV/0!</v>
      </c>
      <c r="V254" s="85" t="str">
        <f>IF(B254&lt;=Hypothèses!$V$7,Hypothèses!$W$7,IF(B254&lt;=Hypothèses!$V$8,Hypothèses!$W$8,IF(B254&lt;=Hypothèses!$V$9,Hypothèses!$W$9,IF(B254&lt;=Hypothèses!$V$10,Hypothèses!$W$10,IF(B254&lt;=Hypothèses!$V$11,Hypothèses!$W$11,IF(B254&lt;=Hypothèses!$V$12,Hypothèses!$W$12,IF(B254&lt;=Hypothèses!$V$13,Hypothèses!$W$13,IF(B254&lt;=Hypothèses!$V$14,Hypothèses!$W$14,IF(B254&lt;=Hypothèses!$V$15,Hypothèses!$W$15,IF(B254&lt;=Hypothèses!$V$16,Hypothèses!$W$16,IF(B254&lt;=Hypothèses!$V$17,Hypothèses!$W$17,IF(B254&lt;=Hypothèses!$V$18,Hypothèses!$W$18,""))))))))))))</f>
        <v/>
      </c>
      <c r="W254" s="87" t="e">
        <f t="shared" ca="1" si="416"/>
        <v>#DIV/0!</v>
      </c>
      <c r="X254" s="88" t="str">
        <f>IF(B254&lt;=Hypothèses!$V$7,Hypothèses!$X$7,IF(B254&lt;=Hypothèses!$V$8,Hypothèses!$X$8,IF(B254&lt;=Hypothèses!$V$9,Hypothèses!$X$9,IF(B254&lt;=Hypothèses!$V$10,Hypothèses!$X$10,IF(B254&lt;=Hypothèses!$V$11,Hypothèses!$X$11,IF(B254&lt;=Hypothèses!$V$12,Hypothèses!$X$12,IF(B254&lt;=Hypothèses!$V$13,Hypothèses!$X$13,IF(B254&lt;=Hypothèses!$V$14,Hypothèses!$X$14,IF(B254&lt;=Hypothèses!$V$15,Hypothèses!$X$15,IF(B254&lt;=Hypothèses!$V$16,Hypothèses!$X$16,IF(B254&lt;=Hypothèses!$U$17,Hypothèses!$W$17,IF(B254&lt;=Hypothèses!$U$18,Hypothèses!$W$18,""))))))))))))</f>
        <v/>
      </c>
      <c r="Y254" s="95" t="e">
        <f t="shared" ca="1" si="336"/>
        <v>#DIV/0!</v>
      </c>
      <c r="Z254" s="101" t="e">
        <f t="shared" si="337"/>
        <v>#N/A</v>
      </c>
      <c r="AA254" s="91" t="e">
        <f t="shared" si="338"/>
        <v>#N/A</v>
      </c>
      <c r="AB254" s="30" t="e">
        <f t="shared" si="400"/>
        <v>#N/A</v>
      </c>
      <c r="AC254" s="30" t="e">
        <f t="shared" si="401"/>
        <v>#N/A</v>
      </c>
      <c r="AD254" s="31" t="e">
        <f>IF(OR(Hypothèses!$B$4=17,Hypothèses!$B$4=18,Hypothèses!$B$4=19,Hypothèses!$B$4=20),
IF($D254="Pressio.",
IF(OR($E254=3,$E254=1,$E254=4),AC254,AB254),
IF($D254="Pénétro.",
IF(OR($E254=3,$E254=1,$E254=4),AC254,AB254))),IF($D254="Pressio.",
IF($E254=3,AC254,AB254),
IF($D254="Pénétro.",
IF($E254=4,AC254,AB254))))</f>
        <v>#N/A</v>
      </c>
      <c r="AE254" s="31" t="e">
        <f>(IF(OR(Hypothèses!$B$4=17,Hypothèses!$B$4=18,Hypothèses!$B$4=19,Hypothèses!$B$4=20),
IF($D254="Pressio.",
IF(OR($E254=3,$E254=1,$E254=4),(PI()*AE$12^2)/4*(AA254*$W254*1000)/($H254*$B$5),(PI()*AE$12^2)/4*(AA254*$W254*1000)/($G254*$B$5)),
IF($D254="Pénétro.",
IF(OR($E254=4,$E254=1,$E254=5),(PI()*AE$12^2)/4*(AA254*$W254*1000)/($H254*$B$5),(PI()*AE$12^2)/4*(AA254*$W254*1000)/($G254*$B$5)))),
IF($D254="Pressio.",
IF($E254=3,(PI()*AE$12^2)/4*(AA254*$W254*1000)/($H254*$B$5),(PI()*AE$12^2)/4*(AA254*$W254*1000)/($G254*$B$5)),
IF($D254="Pénétro.",
IF($E254=4,(PI()*AE$12^2)/4*(AA254*$W254*1000)/($H254*$B$5),(PI()*AE$12^2)/4*(AA254*$W254*1000)/($G254*$B$5))))))/10</f>
        <v>#N/A</v>
      </c>
      <c r="AF254" s="102" t="e">
        <f>(VLOOKUP($B$3,'Coeff EC7'!$T$39:$X$59,2,0)*AD254+VLOOKUP($B$3,'Coeff EC7'!$T$65:$X$85,2,0)*Model0.1C!AE254)/1.1</f>
        <v>#N/A</v>
      </c>
      <c r="AG254" s="102" t="e">
        <f>(VLOOKUP($B$3,'Coeff EC7'!$T$39:$X$59,3,0)*AD254+VLOOKUP($B$3,'Coeff EC7'!$T$65:$X$85,3,0)*Model0.1C!AE254)/0.9</f>
        <v>#N/A</v>
      </c>
      <c r="AH254" s="102" t="e">
        <f t="shared" si="339"/>
        <v>#N/A</v>
      </c>
      <c r="AI254" s="102" t="e">
        <f t="shared" si="340"/>
        <v>#N/A</v>
      </c>
      <c r="AJ254" s="414" t="e">
        <f>IF(AJ253=0,0,IF(AND(AF254&gt;charge_ELS_quasi,AG254&gt;Charge_ELS_freq,AH254&gt;charge_ELU,AI254&gt;charge_ELA,$B254&gt;NDC!$H$22-0.1+MIN(3*$AJ$12,1.5)),0,1))</f>
        <v>#N/A</v>
      </c>
      <c r="AK254" s="86" t="b">
        <f t="shared" si="341"/>
        <v>0</v>
      </c>
      <c r="AL254" s="86">
        <f t="shared" si="370"/>
        <v>0.5</v>
      </c>
      <c r="AM254" s="86">
        <f t="shared" si="342"/>
        <v>0.5</v>
      </c>
      <c r="AN254" s="30" t="e">
        <f t="shared" ca="1" si="371"/>
        <v>#DIV/0!</v>
      </c>
      <c r="AO254" s="85" t="e">
        <f ca="1">IF(U254&lt;=Hypothèses!$V$7,Hypothèses!$W$7,IF(U254&lt;=Hypothèses!$V$8,Hypothèses!$W$8,IF(U254&lt;=Hypothèses!$V$9,Hypothèses!$W$9,IF(U254&lt;=Hypothèses!$V$10,Hypothèses!$W$10,IF(U254&lt;=Hypothèses!$V$11,Hypothèses!$W$11,IF(U254&lt;=Hypothèses!$V$12,Hypothèses!$W$12,IF(U254&lt;=Hypothèses!$V$13,Hypothèses!$W$13,IF(U254&lt;=Hypothèses!$V$14,Hypothèses!$W$14,IF(U254&lt;=Hypothèses!$V$15,Hypothèses!$W$15,IF(U254&lt;=Hypothèses!$V$16,Hypothèses!$W$16,IF(U254&lt;=Hypothèses!$V$17,Hypothèses!$W$17,IF(U254&lt;=Hypothèses!$V$18,Hypothèses!$W$18,""))))))))))))</f>
        <v>#DIV/0!</v>
      </c>
      <c r="AP254" s="87" t="e">
        <f t="shared" ca="1" si="417"/>
        <v>#DIV/0!</v>
      </c>
      <c r="AQ254" s="88" t="e">
        <f ca="1">IF(U254&lt;=Hypothèses!$V$7,Hypothèses!$X$7,IF(U254&lt;=Hypothèses!$V$8,Hypothèses!$X$8,IF(U254&lt;=Hypothèses!$V$9,Hypothèses!$X$9,IF(U254&lt;=Hypothèses!$V$10,Hypothèses!$X$10,IF(U254&lt;=Hypothèses!$V$11,Hypothèses!$X$11,IF(U254&lt;=Hypothèses!$V$12,Hypothèses!$X$12,IF(U254&lt;=Hypothèses!$V$13,Hypothèses!$X$13,IF(U254&lt;=Hypothèses!$V$14,Hypothèses!$X$14,IF(U254&lt;=Hypothèses!$V$15,Hypothèses!$X$15,IF(U254&lt;=Hypothèses!$V$16,Hypothèses!$X$16,IF(U254&lt;=Hypothèses!$U$17,Hypothèses!$W$17,IF(U254&lt;=Hypothèses!$U$18,Hypothèses!$W$18,""))))))))))))</f>
        <v>#DIV/0!</v>
      </c>
      <c r="AR254" s="95" t="e">
        <f t="shared" ca="1" si="372"/>
        <v>#DIV/0!</v>
      </c>
      <c r="AS254" s="101" t="e">
        <f t="shared" si="424"/>
        <v>#N/A</v>
      </c>
      <c r="AT254" s="91" t="e">
        <f t="shared" si="343"/>
        <v>#N/A</v>
      </c>
      <c r="AU254" s="30" t="e">
        <f t="shared" si="402"/>
        <v>#N/A</v>
      </c>
      <c r="AV254" s="30" t="e">
        <f t="shared" si="403"/>
        <v>#N/A</v>
      </c>
      <c r="AW254" s="31" t="e">
        <f>IF(OR(Hypothèses!$B$4=17,Hypothèses!$B$4=18,Hypothèses!$B$4=19,Hypothèses!$B$4=20),
IF($D254="Pressio.",
IF(OR($E254=3,$E254=1,$E254=4),AV254,AU254),
IF($D254="Pénétro.",
IF(OR($E254=3,$E254=1,$E254=4),AV254,AU254))),IF($D254="Pressio.",
IF($E254=3,AV254,AU254),
IF($D254="Pénétro.",
IF($E254=4,AV254,AU254))))</f>
        <v>#N/A</v>
      </c>
      <c r="AX254" s="31" t="e">
        <f>(IF(OR(Hypothèses!$B$4=17,Hypothèses!$B$4=18,Hypothèses!$B$4=19,Hypothèses!$B$4=20),
IF($D254="Pressio.",
IF(OR($E254=3,$E254=1,$E254=4),(PI()*AX$12^2)/4*(AT254*$W254*1000)/($H254*$B$5),(PI()*AX$12^2)/4*(AT254*$W254*1000)/($G254*$B$5)),
IF($D254="Pénétro.",
IF(OR($E254=4,$E254=1,$E254=5),(PI()*AX$12^2)/4*(AT254*$W254*1000)/($H254*$B$5),(PI()*AX$12^2)/4*(AT254*$W254*1000)/($G254*$B$5)))),
IF($D254="Pressio.",
IF($E254=3,(PI()*AX$12^2)/4*(AT254*$W254*1000)/($H254*$B$5),(PI()*AX$12^2)/4*(AT254*$W254*1000)/($G254*$B$5)),
IF($D254="Pénétro.",
IF($E254=4,(PI()*AX$12^2)/4*(AT254*$W254*1000)/($H254*$B$5),(PI()*AX$12^2)/4*(AT254*$W254*1000)/($G254*$B$5))))))/10</f>
        <v>#N/A</v>
      </c>
      <c r="AY254" s="102" t="e">
        <f>(VLOOKUP($B$3,'Coeff EC7'!$T$39:$X$59,2,0)*AW254+VLOOKUP($B$3,'Coeff EC7'!$T$65:$X$85,2,0)*Model0.1C!AX254)/1.1</f>
        <v>#N/A</v>
      </c>
      <c r="AZ254" s="102" t="e">
        <f>(VLOOKUP($B$3,'Coeff EC7'!$T$39:$X$59,3,0)*AW254+VLOOKUP($B$3,'Coeff EC7'!$T$65:$X$85,3,0)*Model0.1C!AX254)/0.9</f>
        <v>#N/A</v>
      </c>
      <c r="BA254" s="102" t="e">
        <f t="shared" si="373"/>
        <v>#N/A</v>
      </c>
      <c r="BB254" s="102" t="e">
        <f t="shared" si="374"/>
        <v>#N/A</v>
      </c>
      <c r="BC254" s="414" t="e">
        <f>IF(BC253=0,0,IF(AND(AY254&gt;charge_ELS_quasi,AZ254&gt;Charge_ELS_freq,BA254&gt;charge_ELU,BB254&gt;charge_ELA,$B254&gt;NDC!$H$22-0.1+MIN(3*$BC$12,1.5)),0,1))</f>
        <v>#N/A</v>
      </c>
      <c r="BD254" s="86" t="b">
        <f t="shared" si="344"/>
        <v>0</v>
      </c>
      <c r="BE254" s="86">
        <f t="shared" si="375"/>
        <v>0.5</v>
      </c>
      <c r="BF254" s="86">
        <f t="shared" si="345"/>
        <v>0.5</v>
      </c>
      <c r="BG254" s="30" t="e">
        <f t="shared" ca="1" si="376"/>
        <v>#DIV/0!</v>
      </c>
      <c r="BH254" s="85" t="e">
        <f ca="1">IF(AN254&lt;=Hypothèses!$V$7,Hypothèses!$W$7,IF(AN254&lt;=Hypothèses!$V$8,Hypothèses!$W$8,IF(AN254&lt;=Hypothèses!$V$9,Hypothèses!$W$9,IF(AN254&lt;=Hypothèses!$V$10,Hypothèses!$W$10,IF(AN254&lt;=Hypothèses!$V$11,Hypothèses!$W$11,IF(AN254&lt;=Hypothèses!$V$12,Hypothèses!$W$12,IF(AN254&lt;=Hypothèses!$V$13,Hypothèses!$W$13,IF(AN254&lt;=Hypothèses!$V$14,Hypothèses!$W$14,IF(AN254&lt;=Hypothèses!$V$15,Hypothèses!$W$15,IF(AN254&lt;=Hypothèses!$V$16,Hypothèses!$W$16,IF(AN254&lt;=Hypothèses!$V$17,Hypothèses!$W$17,IF(AN254&lt;=Hypothèses!$V$18,Hypothèses!$W$18,""))))))))))))</f>
        <v>#DIV/0!</v>
      </c>
      <c r="BI254" s="87" t="e">
        <f t="shared" ca="1" si="418"/>
        <v>#DIV/0!</v>
      </c>
      <c r="BJ254" s="88" t="e">
        <f ca="1">IF(AN254&lt;=Hypothèses!$V$7,Hypothèses!$X$7,IF(AN254&lt;=Hypothèses!$V$8,Hypothèses!$X$8,IF(AN254&lt;=Hypothèses!$V$9,Hypothèses!$X$9,IF(AN254&lt;=Hypothèses!$V$10,Hypothèses!$X$10,IF(AN254&lt;=Hypothèses!$V$11,Hypothèses!$X$11,IF(AN254&lt;=Hypothèses!$V$12,Hypothèses!$X$12,IF(AN254&lt;=Hypothèses!$V$13,Hypothèses!$X$13,IF(AN254&lt;=Hypothèses!$V$14,Hypothèses!$X$14,IF(AN254&lt;=Hypothèses!$V$15,Hypothèses!$X$15,IF(AN254&lt;=Hypothèses!$V$16,Hypothèses!$X$16,IF(AN254&lt;=Hypothèses!$U$17,Hypothèses!$W$17,IF(AN254&lt;=Hypothèses!$U$18,Hypothèses!$W$18,""))))))))))))</f>
        <v>#DIV/0!</v>
      </c>
      <c r="BK254" s="95" t="e">
        <f t="shared" ca="1" si="377"/>
        <v>#DIV/0!</v>
      </c>
      <c r="BL254" s="101" t="e">
        <f t="shared" si="425"/>
        <v>#N/A</v>
      </c>
      <c r="BM254" s="91" t="e">
        <f t="shared" si="346"/>
        <v>#N/A</v>
      </c>
      <c r="BN254" s="30" t="e">
        <f t="shared" si="404"/>
        <v>#N/A</v>
      </c>
      <c r="BO254" s="30" t="e">
        <f t="shared" si="405"/>
        <v>#N/A</v>
      </c>
      <c r="BP254" s="31" t="e">
        <f>IF(OR(Hypothèses!$B$4=17,Hypothèses!$B$4=18,Hypothèses!$B$4=19,Hypothèses!$B$4=20),
IF($D254="Pressio.",
IF(OR($E254=3,$E254=1,$E254=4),BO254,BN254),
IF($D254="Pénétro.",
IF(OR($E254=3,$E254=1,$E254=4),BO254,BN254))),IF($D254="Pressio.",
IF($E254=3,BO254,BN254),
IF($D254="Pénétro.",
IF($E254=4,BO254,BN254))))</f>
        <v>#N/A</v>
      </c>
      <c r="BQ254" s="31" t="e">
        <f>(IF(OR(Hypothèses!$B$4=17,Hypothèses!$B$4=18,Hypothèses!$B$4=19,Hypothèses!$B$4=20),
IF($D254="Pressio.",
IF(OR($E254=3,$E254=1,$E254=4),(PI()*BQ$12^2)/4*(BM254*$W254*1000)/($H254*$B$5),(PI()*BQ$12^2)/4*(BM254*$W254*1000)/($G254*$B$5)),
IF($D254="Pénétro.",
IF(OR($E254=4,$E254=1,$E254=5),(PI()*BQ$12^2)/4*(BM254*$W254*1000)/($H254*$B$5),(PI()*BQ$12^2)/4*(BM254*$W254*1000)/($G254*$B$5)))),
IF($D254="Pressio.",
IF($E254=3,(PI()*BQ$12^2)/4*(BM254*$W254*1000)/($H254*$B$5),(PI()*BQ$12^2)/4*(BM254*$W254*1000)/($G254*$B$5)),
IF($D254="Pénétro.",
IF($E254=4,(PI()*BQ$12^2)/4*(BM254*$W254*1000)/($H254*$B$5),(PI()*BQ$12^2)/4*(BM254*$W254*1000)/($G254*$B$5))))))/10</f>
        <v>#N/A</v>
      </c>
      <c r="BR254" s="102" t="e">
        <f>(VLOOKUP($B$3,'Coeff EC7'!$T$39:$X$59,2,0)*BP254+VLOOKUP($B$3,'Coeff EC7'!$T$65:$X$85,2,0)*Model0.1C!BQ254)/1.1</f>
        <v>#N/A</v>
      </c>
      <c r="BS254" s="102" t="e">
        <f>(VLOOKUP($B$3,'Coeff EC7'!$T$39:$X$59,3,0)*BP254+VLOOKUP($B$3,'Coeff EC7'!$T$65:$X$85,3,0)*Model0.1C!BQ254)/0.9</f>
        <v>#N/A</v>
      </c>
      <c r="BT254" s="102" t="e">
        <f t="shared" si="378"/>
        <v>#N/A</v>
      </c>
      <c r="BU254" s="102" t="e">
        <f t="shared" si="379"/>
        <v>#N/A</v>
      </c>
      <c r="BV254" s="414" t="e">
        <f>IF(BV253=0,0,IF(AND(BR254&gt;charge_ELS_quasi,BS254&gt;Charge_ELS_freq,BT254&gt;charge_ELU,BU254&gt;charge_ELA,$B254&gt;NDC!$H$22-0.1+MIN(3*$BV$12,1.5)),0,1))</f>
        <v>#N/A</v>
      </c>
      <c r="BW254" s="86" t="b">
        <f t="shared" si="347"/>
        <v>0</v>
      </c>
      <c r="BX254" s="86">
        <f t="shared" si="348"/>
        <v>0.5</v>
      </c>
      <c r="BY254" s="86">
        <f t="shared" si="349"/>
        <v>0.5</v>
      </c>
      <c r="BZ254" s="30" t="e">
        <f t="shared" ca="1" si="380"/>
        <v>#DIV/0!</v>
      </c>
      <c r="CA254" s="85" t="e">
        <f ca="1">IF(BG254&lt;=Hypothèses!$V$7,Hypothèses!$W$7,IF(BG254&lt;=Hypothèses!$V$8,Hypothèses!$W$8,IF(BG254&lt;=Hypothèses!$V$9,Hypothèses!$W$9,IF(BG254&lt;=Hypothèses!$V$10,Hypothèses!$W$10,IF(BG254&lt;=Hypothèses!$V$11,Hypothèses!$W$11,IF(BG254&lt;=Hypothèses!$V$12,Hypothèses!$W$12,IF(BG254&lt;=Hypothèses!$V$13,Hypothèses!$W$13,IF(BG254&lt;=Hypothèses!$V$14,Hypothèses!$W$14,IF(BG254&lt;=Hypothèses!$V$15,Hypothèses!$W$15,IF(BG254&lt;=Hypothèses!$V$16,Hypothèses!$W$16,IF(BG254&lt;=Hypothèses!$V$17,Hypothèses!$W$17,IF(BG254&lt;=Hypothèses!$V$18,Hypothèses!$W$18,""))))))))))))</f>
        <v>#DIV/0!</v>
      </c>
      <c r="CB254" s="87" t="e">
        <f t="shared" ca="1" si="419"/>
        <v>#DIV/0!</v>
      </c>
      <c r="CC254" s="88" t="e">
        <f ca="1">IF(BG254&lt;=Hypothèses!$V$7,Hypothèses!$X$7,IF(BG254&lt;=Hypothèses!$V$8,Hypothèses!$X$8,IF(BG254&lt;=Hypothèses!$V$9,Hypothèses!$X$9,IF(BG254&lt;=Hypothèses!$V$10,Hypothèses!$X$10,IF(BG254&lt;=Hypothèses!$V$11,Hypothèses!$X$11,IF(BG254&lt;=Hypothèses!$V$12,Hypothèses!$X$12,IF(BG254&lt;=Hypothèses!$V$13,Hypothèses!$X$13,IF(BG254&lt;=Hypothèses!$V$14,Hypothèses!$X$14,IF(BG254&lt;=Hypothèses!$V$15,Hypothèses!$X$15,IF(BG254&lt;=Hypothèses!$V$16,Hypothèses!$X$16,IF(BG254&lt;=Hypothèses!$U$17,Hypothèses!$W$17,IF(BG254&lt;=Hypothèses!$U$18,Hypothèses!$W$18,""))))))))))))</f>
        <v>#DIV/0!</v>
      </c>
      <c r="CD254" s="95" t="e">
        <f t="shared" ca="1" si="381"/>
        <v>#DIV/0!</v>
      </c>
      <c r="CE254" s="101" t="e">
        <f t="shared" si="426"/>
        <v>#N/A</v>
      </c>
      <c r="CF254" s="91" t="e">
        <f t="shared" si="350"/>
        <v>#N/A</v>
      </c>
      <c r="CG254" s="30" t="e">
        <f t="shared" si="406"/>
        <v>#N/A</v>
      </c>
      <c r="CH254" s="30" t="e">
        <f t="shared" si="407"/>
        <v>#N/A</v>
      </c>
      <c r="CI254" s="31" t="e">
        <f>IF(OR(Hypothèses!$B$4=17,Hypothèses!$B$4=18,Hypothèses!$B$4=19,Hypothèses!$B$4=20),
IF($D254="Pressio.",
IF(OR($E254=3,$E254=1,$E254=4),CH254,CG254),
IF($D254="Pénétro.",
IF(OR($E254=3,$E254=1,$E254=4),CH254,CG254))),IF($D254="Pressio.",
IF($E254=3,CH254,CG254),
IF($D254="Pénétro.",
IF($E254=4,CH254,CG254))))</f>
        <v>#N/A</v>
      </c>
      <c r="CJ254" s="31" t="e">
        <f>(IF(OR(Hypothèses!$B$4=17,Hypothèses!$B$4=18,Hypothèses!$B$4=19,Hypothèses!$B$4=20),
IF($D254="Pressio.",
IF(OR($E254=3,$E254=1,$E254=4),(PI()*CJ$12^2)/4*(CF254*$W254*1000)/($H254*$B$5),(PI()*CJ$12^2)/4*(CF254*$W254*1000)/($G254*$B$5)),
IF($D254="Pénétro.",
IF(OR($E254=4,$E254=1,$E254=5),(PI()*CJ$12^2)/4*(CF254*$W254*1000)/($H254*$B$5),(PI()*CJ$12^2)/4*(CF254*$W254*1000)/($G254*$B$5)))),
IF($D254="Pressio.",
IF($E254=3,(PI()*CJ$12^2)/4*(CF254*$W254*1000)/($H254*$B$5),(PI()*CJ$12^2)/4*(CF254*$W254*1000)/($G254*$B$5)),
IF($D254="Pénétro.",
IF($E254=4,(PI()*CJ$12^2)/4*(CF254*$W254*1000)/($H254*$B$5),(PI()*CJ$12^2)/4*(CF254*$W254*1000)/($G254*$B$5))))))/10</f>
        <v>#N/A</v>
      </c>
      <c r="CK254" s="102" t="e">
        <f>(VLOOKUP($B$3,'Coeff EC7'!$T$39:$X$59,2,0)*CI254+VLOOKUP($B$3,'Coeff EC7'!$T$65:$X$85,2,0)*Model0.1C!CJ254)/1.1</f>
        <v>#N/A</v>
      </c>
      <c r="CL254" s="102" t="e">
        <f>(VLOOKUP($B$3,'Coeff EC7'!$T$39:$X$59,3,0)*CI254+VLOOKUP($B$3,'Coeff EC7'!$T$65:$X$85,3,0)*Model0.1C!CJ254)/0.9</f>
        <v>#N/A</v>
      </c>
      <c r="CM254" s="102" t="e">
        <f t="shared" si="382"/>
        <v>#N/A</v>
      </c>
      <c r="CN254" s="102" t="e">
        <f t="shared" si="383"/>
        <v>#N/A</v>
      </c>
      <c r="CO254" s="414" t="e">
        <f>IF(CO253=0,0,IF(AND(CK254&gt;charge_ELS_quasi,CL254&gt;Charge_ELS_freq,CM254&gt;charge_ELU,CN254&gt;charge_ELA,$B254&gt;NDC!$H$22-0.1+MIN(3*$CO$12,1.5)),0,1))</f>
        <v>#N/A</v>
      </c>
      <c r="CP254" s="86" t="b">
        <f t="shared" si="351"/>
        <v>0</v>
      </c>
      <c r="CQ254" s="86">
        <f t="shared" si="352"/>
        <v>0.5</v>
      </c>
      <c r="CR254" s="86">
        <f t="shared" si="353"/>
        <v>0.5</v>
      </c>
      <c r="CS254" s="30" t="e">
        <f t="shared" ca="1" si="384"/>
        <v>#DIV/0!</v>
      </c>
      <c r="CT254" s="85" t="e">
        <f ca="1">IF(BZ254&lt;=Hypothèses!$V$7,Hypothèses!$W$7,IF(BZ254&lt;=Hypothèses!$V$8,Hypothèses!$W$8,IF(BZ254&lt;=Hypothèses!$V$9,Hypothèses!$W$9,IF(BZ254&lt;=Hypothèses!$V$10,Hypothèses!$W$10,IF(BZ254&lt;=Hypothèses!$V$11,Hypothèses!$W$11,IF(BZ254&lt;=Hypothèses!$V$12,Hypothèses!$W$12,IF(BZ254&lt;=Hypothèses!$V$13,Hypothèses!$W$13,IF(BZ254&lt;=Hypothèses!$V$14,Hypothèses!$W$14,IF(BZ254&lt;=Hypothèses!$V$15,Hypothèses!$W$15,IF(BZ254&lt;=Hypothèses!$V$16,Hypothèses!$W$16,IF(BZ254&lt;=Hypothèses!$V$17,Hypothèses!$W$17,IF(BZ254&lt;=Hypothèses!$V$18,Hypothèses!$W$18,""))))))))))))</f>
        <v>#DIV/0!</v>
      </c>
      <c r="CU254" s="87" t="e">
        <f t="shared" ca="1" si="420"/>
        <v>#DIV/0!</v>
      </c>
      <c r="CV254" s="88" t="e">
        <f ca="1">IF(BZ254&lt;=Hypothèses!$V$7,Hypothèses!$X$7,IF(BZ254&lt;=Hypothèses!$V$8,Hypothèses!$X$8,IF(BZ254&lt;=Hypothèses!$V$9,Hypothèses!$X$9,IF(BZ254&lt;=Hypothèses!$V$10,Hypothèses!$X$10,IF(BZ254&lt;=Hypothèses!$V$11,Hypothèses!$X$11,IF(BZ254&lt;=Hypothèses!$V$12,Hypothèses!$X$12,IF(BZ254&lt;=Hypothèses!$V$13,Hypothèses!$X$13,IF(BZ254&lt;=Hypothèses!$V$14,Hypothèses!$X$14,IF(BZ254&lt;=Hypothèses!$V$15,Hypothèses!$X$15,IF(BZ254&lt;=Hypothèses!$V$16,Hypothèses!$X$16,IF(BZ254&lt;=Hypothèses!$U$17,Hypothèses!$W$17,IF(BZ254&lt;=Hypothèses!$U$18,Hypothèses!$W$18,""))))))))))))</f>
        <v>#DIV/0!</v>
      </c>
      <c r="CW254" s="95" t="e">
        <f t="shared" ca="1" si="385"/>
        <v>#DIV/0!</v>
      </c>
      <c r="CX254" s="101" t="e">
        <f t="shared" si="427"/>
        <v>#N/A</v>
      </c>
      <c r="CY254" s="91" t="e">
        <f t="shared" si="354"/>
        <v>#N/A</v>
      </c>
      <c r="CZ254" s="30" t="e">
        <f t="shared" si="408"/>
        <v>#N/A</v>
      </c>
      <c r="DA254" s="30" t="e">
        <f t="shared" si="409"/>
        <v>#N/A</v>
      </c>
      <c r="DB254" s="31" t="e">
        <f>IF(OR(Hypothèses!$B$4=17,Hypothèses!$B$4=18,Hypothèses!$B$4=19,Hypothèses!$B$4=20),
IF($D254="Pressio.",
IF(OR($E254=3,$E254=1,$E254=4),DA254,CZ254),
IF($D254="Pénétro.",
IF(OR($E254=3,$E254=1,$E254=4),DA254,CZ254))),IF($D254="Pressio.",
IF($E254=3,DA254,CZ254),
IF($D254="Pénétro.",
IF($E254=4,DA254,CZ254))))</f>
        <v>#N/A</v>
      </c>
      <c r="DC254" s="31" t="e">
        <f>(IF(OR(Hypothèses!$B$4=17,Hypothèses!$B$4=18,Hypothèses!$B$4=19,Hypothèses!$B$4=20),
IF($D254="Pressio.",
IF(OR($E254=3,$E254=1,$E254=4),(PI()*DC$12^2)/4*(CY254*$W254*1000)/($H254*$B$5),(PI()*DC$12^2)/4*(CY254*$W254*1000)/($G254*$B$5)),
IF($D254="Pénétro.",
IF(OR($E254=4,$E254=1,$E254=5),(PI()*DC$12^2)/4*(CY254*$W254*1000)/($H254*$B$5),(PI()*DC$12^2)/4*(CY254*$W254*1000)/($G254*$B$5)))),
IF($D254="Pressio.",
IF($E254=3,(PI()*DC$12^2)/4*(CY254*$W254*1000)/($H254*$B$5),(PI()*DC$12^2)/4*(CY254*$W254*1000)/($G254*$B$5)),
IF($D254="Pénétro.",
IF($E254=4,(PI()*DC$12^2)/4*(CY254*$W254*1000)/($H254*$B$5),(PI()*DC$12^2)/4*(CY254*$W254*1000)/($G254*$B$5))))))/10</f>
        <v>#N/A</v>
      </c>
      <c r="DD254" s="102" t="e">
        <f>(VLOOKUP($B$3,'Coeff EC7'!$T$39:$X$59,2,0)*DB254+VLOOKUP($B$3,'Coeff EC7'!$T$65:$X$85,2,0)*Model0.1C!DC254)/1.1</f>
        <v>#N/A</v>
      </c>
      <c r="DE254" s="102" t="e">
        <f>(VLOOKUP($B$3,'Coeff EC7'!$T$39:$X$59,3,0)*DB254+VLOOKUP($B$3,'Coeff EC7'!$T$65:$X$85,3,0)*Model0.1C!DC254)/0.9</f>
        <v>#N/A</v>
      </c>
      <c r="DF254" s="102" t="e">
        <f t="shared" si="386"/>
        <v>#N/A</v>
      </c>
      <c r="DG254" s="102" t="e">
        <f t="shared" si="387"/>
        <v>#N/A</v>
      </c>
      <c r="DH254" s="414" t="e">
        <f>IF(DH253=0,0,IF(AND(DD254&gt;charge_ELS_quasi,DE254&gt;Charge_ELS_freq,DF254&gt;charge_ELU,DG254&gt;charge_ELA,$B254&gt;NDC!$H$22-0.1+MIN(3*$DH$12,1.5)),0,1))</f>
        <v>#N/A</v>
      </c>
      <c r="DI254" s="86" t="b">
        <f t="shared" si="355"/>
        <v>0</v>
      </c>
      <c r="DJ254" s="86">
        <f t="shared" si="356"/>
        <v>0.5</v>
      </c>
      <c r="DK254" s="86">
        <f t="shared" si="357"/>
        <v>0.5</v>
      </c>
      <c r="DL254" s="30" t="e">
        <f t="shared" ca="1" si="388"/>
        <v>#DIV/0!</v>
      </c>
      <c r="DM254" s="85" t="e">
        <f ca="1">IF(CS254&lt;=Hypothèses!$V$7,Hypothèses!$W$7,IF(CS254&lt;=Hypothèses!$V$8,Hypothèses!$W$8,IF(CS254&lt;=Hypothèses!$V$9,Hypothèses!$W$9,IF(CS254&lt;=Hypothèses!$V$10,Hypothèses!$W$10,IF(CS254&lt;=Hypothèses!$V$11,Hypothèses!$W$11,IF(CS254&lt;=Hypothèses!$V$12,Hypothèses!$W$12,IF(CS254&lt;=Hypothèses!$V$13,Hypothèses!$W$13,IF(CS254&lt;=Hypothèses!$V$14,Hypothèses!$W$14,IF(CS254&lt;=Hypothèses!$V$15,Hypothèses!$W$15,IF(CS254&lt;=Hypothèses!$V$16,Hypothèses!$W$16,IF(CS254&lt;=Hypothèses!$V$17,Hypothèses!$W$17,IF(CS254&lt;=Hypothèses!$V$18,Hypothèses!$W$18,""))))))))))))</f>
        <v>#DIV/0!</v>
      </c>
      <c r="DN254" s="87" t="e">
        <f t="shared" ca="1" si="421"/>
        <v>#DIV/0!</v>
      </c>
      <c r="DO254" s="88" t="e">
        <f ca="1">IF(CS254&lt;=Hypothèses!$V$7,Hypothèses!$X$7,IF(CS254&lt;=Hypothèses!$V$8,Hypothèses!$X$8,IF(CS254&lt;=Hypothèses!$V$9,Hypothèses!$X$9,IF(CS254&lt;=Hypothèses!$V$10,Hypothèses!$X$10,IF(CS254&lt;=Hypothèses!$V$11,Hypothèses!$X$11,IF(CS254&lt;=Hypothèses!$V$12,Hypothèses!$X$12,IF(CS254&lt;=Hypothèses!$V$13,Hypothèses!$X$13,IF(CS254&lt;=Hypothèses!$V$14,Hypothèses!$X$14,IF(CS254&lt;=Hypothèses!$V$15,Hypothèses!$X$15,IF(CS254&lt;=Hypothèses!$V$16,Hypothèses!$X$16,IF(CS254&lt;=Hypothèses!$U$17,Hypothèses!$W$17,IF(CS254&lt;=Hypothèses!$U$18,Hypothèses!$W$18,""))))))))))))</f>
        <v>#DIV/0!</v>
      </c>
      <c r="DP254" s="95" t="e">
        <f t="shared" ca="1" si="389"/>
        <v>#DIV/0!</v>
      </c>
      <c r="DQ254" s="101" t="e">
        <f t="shared" si="428"/>
        <v>#N/A</v>
      </c>
      <c r="DR254" s="91" t="e">
        <f t="shared" si="358"/>
        <v>#N/A</v>
      </c>
      <c r="DS254" s="30" t="e">
        <f t="shared" si="410"/>
        <v>#N/A</v>
      </c>
      <c r="DT254" s="30" t="e">
        <f t="shared" si="411"/>
        <v>#N/A</v>
      </c>
      <c r="DU254" s="31" t="e">
        <f>IF(OR(Hypothèses!$B$4=17,Hypothèses!$B$4=18,Hypothèses!$B$4=19,Hypothèses!$B$4=20),
IF($D254="Pressio.",
IF(OR($E254=3,$E254=1,$E254=4),DT254,DS254),
IF($D254="Pénétro.",
IF(OR($E254=3,$E254=1,$E254=4),DT254,DS254))),IF($D254="Pressio.",
IF($E254=3,DT254,DS254),
IF($D254="Pénétro.",
IF($E254=4,DT254,DS254))))</f>
        <v>#N/A</v>
      </c>
      <c r="DV254" s="31" t="e">
        <f>(IF(OR(Hypothèses!$B$4=17,Hypothèses!$B$4=18,Hypothèses!$B$4=19,Hypothèses!$B$4=20),
IF($D254="Pressio.",
IF(OR($E254=3,$E254=1,$E254=4),(PI()*DV$12^2)/4*(DR254*$W254*1000)/($H254*$B$5),(PI()*DV$12^2)/4*(DR254*$W254*1000)/($G254*$B$5)),
IF($D254="Pénétro.",
IF(OR($E254=4,$E254=1,$E254=5),(PI()*DV$12^2)/4*(DR254*$W254*1000)/($H254*$B$5),(PI()*DV$12^2)/4*(DR254*$W254*1000)/($G254*$B$5)))),
IF($D254="Pressio.",
IF($E254=3,(PI()*DV$12^2)/4*(DR254*$W254*1000)/($H254*$B$5),(PI()*DV$12^2)/4*(DR254*$W254*1000)/($G254*$B$5)),
IF($D254="Pénétro.",
IF($E254=4,(PI()*DV$12^2)/4*(DR254*$W254*1000)/($H254*$B$5),(PI()*DV$12^2)/4*(DR254*$W254*1000)/($G254*$B$5))))))/10</f>
        <v>#N/A</v>
      </c>
      <c r="DW254" s="102" t="e">
        <f>(VLOOKUP($B$3,'Coeff EC7'!$T$39:$X$59,2,0)*DU254+VLOOKUP($B$3,'Coeff EC7'!$T$65:$X$85,2,0)*Model0.1C!DV254)/1.1</f>
        <v>#N/A</v>
      </c>
      <c r="DX254" s="102" t="e">
        <f>(VLOOKUP($B$3,'Coeff EC7'!$T$39:$X$59,3,0)*DU254+VLOOKUP($B$3,'Coeff EC7'!$T$65:$X$85,3,0)*Model0.1C!DV254)/0.9</f>
        <v>#N/A</v>
      </c>
      <c r="DY254" s="102" t="e">
        <f t="shared" si="390"/>
        <v>#N/A</v>
      </c>
      <c r="DZ254" s="102" t="e">
        <f t="shared" si="391"/>
        <v>#N/A</v>
      </c>
      <c r="EA254" s="414" t="e">
        <f>IF(EA253=0,0,IF(AND(DW254&gt;charge_ELS_quasi,DX254&gt;Charge_ELS_freq,DY254&gt;charge_ELU,DZ254&gt;charge_ELA,$B254&gt;NDC!$H$22-0.1+MIN(3*$EA$12,1.5)),0,1))</f>
        <v>#N/A</v>
      </c>
      <c r="EB254" s="86" t="b">
        <f t="shared" si="359"/>
        <v>0</v>
      </c>
      <c r="EC254" s="418">
        <f t="shared" si="360"/>
        <v>0.51</v>
      </c>
      <c r="ED254" s="86">
        <f t="shared" si="361"/>
        <v>0.51</v>
      </c>
      <c r="EE254" s="30" t="e">
        <f t="shared" ca="1" si="392"/>
        <v>#DIV/0!</v>
      </c>
      <c r="EF254" s="85" t="e">
        <f ca="1">IF(DL254&lt;=Hypothèses!$V$7,Hypothèses!$W$7,IF(DL254&lt;=Hypothèses!$V$8,Hypothèses!$W$8,IF(DL254&lt;=Hypothèses!$V$9,Hypothèses!$W$9,IF(DL254&lt;=Hypothèses!$V$10,Hypothèses!$W$10,IF(DL254&lt;=Hypothèses!$V$11,Hypothèses!$W$11,IF(DL254&lt;=Hypothèses!$V$12,Hypothèses!$W$12,IF(DL254&lt;=Hypothèses!$V$13,Hypothèses!$W$13,IF(DL254&lt;=Hypothèses!$V$14,Hypothèses!$W$14,IF(DL254&lt;=Hypothèses!$V$15,Hypothèses!$W$15,IF(DL254&lt;=Hypothèses!$V$16,Hypothèses!$W$16,IF(DL254&lt;=Hypothèses!$V$17,Hypothèses!$W$17,IF(DL254&lt;=Hypothèses!$V$18,Hypothèses!$W$18,""))))))))))))</f>
        <v>#DIV/0!</v>
      </c>
      <c r="EG254" s="87" t="e">
        <f t="shared" ca="1" si="422"/>
        <v>#DIV/0!</v>
      </c>
      <c r="EH254" s="88" t="e">
        <f ca="1">IF(DL254&lt;=Hypothèses!$V$7,Hypothèses!$X$7,IF(DL254&lt;=Hypothèses!$V$8,Hypothèses!$X$8,IF(DL254&lt;=Hypothèses!$V$9,Hypothèses!$X$9,IF(DL254&lt;=Hypothèses!$V$10,Hypothèses!$X$10,IF(DL254&lt;=Hypothèses!$V$11,Hypothèses!$X$11,IF(DL254&lt;=Hypothèses!$V$12,Hypothèses!$X$12,IF(DL254&lt;=Hypothèses!$V$13,Hypothèses!$X$13,IF(DL254&lt;=Hypothèses!$V$14,Hypothèses!$X$14,IF(DL254&lt;=Hypothèses!$V$15,Hypothèses!$X$15,IF(DL254&lt;=Hypothèses!$V$16,Hypothèses!$X$16,IF(DL254&lt;=Hypothèses!$U$17,Hypothèses!$W$17,IF(DL254&lt;=Hypothèses!$U$18,Hypothèses!$W$18,""))))))))))))</f>
        <v>#DIV/0!</v>
      </c>
      <c r="EI254" s="95" t="e">
        <f t="shared" ca="1" si="393"/>
        <v>#DIV/0!</v>
      </c>
      <c r="EJ254" s="101" t="e">
        <f t="shared" si="429"/>
        <v>#N/A</v>
      </c>
      <c r="EK254" s="91" t="e">
        <f t="shared" si="362"/>
        <v>#N/A</v>
      </c>
      <c r="EL254" s="30" t="e">
        <f t="shared" si="412"/>
        <v>#N/A</v>
      </c>
      <c r="EM254" s="30" t="e">
        <f t="shared" si="413"/>
        <v>#N/A</v>
      </c>
      <c r="EN254" s="31" t="e">
        <f>IF(OR(Hypothèses!$B$4=17,Hypothèses!$B$4=18,Hypothèses!$B$4=19,Hypothèses!$B$4=20),
IF($D254="Pressio.",
IF(OR($E254=3,$E254=1,$E254=4),EM254,EL254),
IF($D254="Pénétro.",
IF(OR($E254=3,$E254=1,$E254=4),EM254,EL254))),IF($D254="Pressio.",
IF($E254=3,EM254,EL254),
IF($D254="Pénétro.",
IF($E254=4,EM254,EL254))))</f>
        <v>#N/A</v>
      </c>
      <c r="EO254" s="31" t="e">
        <f>(IF(OR(Hypothèses!$B$4=17,Hypothèses!$B$4=18,Hypothèses!$B$4=19,Hypothèses!$B$4=20),
IF($D254="Pressio.",
IF(OR($E254=3,$E254=1,$E254=4),(PI()*EO$12^2)/4*(EK254*$W254*1000)/($H254*$B$5),(PI()*EO$12^2)/4*(EK254*$W254*1000)/($G254*$B$5)),
IF($D254="Pénétro.",
IF(OR($E254=4,$E254=1,$E254=5),(PI()*EO$12^2)/4*(EK254*$W254*1000)/($H254*$B$5),(PI()*EO$12^2)/4*(EK254*$W254*1000)/($G254*$B$5)))),
IF($D254="Pressio.",
IF($E254=3,(PI()*EO$12^2)/4*(EK254*$W254*1000)/($H254*$B$5),(PI()*EO$12^2)/4*(EK254*$W254*1000)/($G254*$B$5)),
IF($D254="Pénétro.",
IF($E254=4,(PI()*EO$12^2)/4*(EK254*$W254*1000)/($H254*$B$5),(PI()*EO$12^2)/4*(EK254*$W254*1000)/($G254*$B$5))))))/10</f>
        <v>#N/A</v>
      </c>
      <c r="EP254" s="102" t="e">
        <f>(VLOOKUP($B$3,'Coeff EC7'!$T$39:$X$59,2,0)*EN254+VLOOKUP($B$3,'Coeff EC7'!$T$65:$X$85,2,0)*Model0.1C!EO254)/1.1</f>
        <v>#N/A</v>
      </c>
      <c r="EQ254" s="102" t="e">
        <f>(VLOOKUP($B$3,'Coeff EC7'!$T$39:$X$59,3,0)*EN254+VLOOKUP($B$3,'Coeff EC7'!$T$65:$X$85,3,0)*Model0.1C!EO254)/0.9</f>
        <v>#N/A</v>
      </c>
      <c r="ER254" s="102" t="e">
        <f t="shared" si="394"/>
        <v>#N/A</v>
      </c>
      <c r="ES254" s="102" t="e">
        <f t="shared" si="395"/>
        <v>#N/A</v>
      </c>
      <c r="ET254" s="414" t="e">
        <f>IF(ET253=0,0,IF(AND(EP254&gt;charge_ELS_quasi,EQ254&gt;Charge_ELS_freq,ER254&gt;charge_ELU,ES254&gt;charge_ELA,$B254&gt;NDC!$H$22-0.1+MIN(3*$ET$12,1.5)),0,1))</f>
        <v>#N/A</v>
      </c>
      <c r="EU254" s="86" t="b">
        <f t="shared" si="363"/>
        <v>0</v>
      </c>
      <c r="EV254" s="86">
        <f t="shared" si="364"/>
        <v>0.61</v>
      </c>
      <c r="EW254" s="86">
        <f t="shared" si="365"/>
        <v>0.61</v>
      </c>
      <c r="EX254" s="30" t="e">
        <f t="shared" ca="1" si="396"/>
        <v>#DIV/0!</v>
      </c>
      <c r="EY254" s="85" t="e">
        <f ca="1">IF(EE254&lt;=Hypothèses!$V$7,Hypothèses!$W$7,IF(EE254&lt;=Hypothèses!$V$8,Hypothèses!$W$8,IF(EE254&lt;=Hypothèses!$V$9,Hypothèses!$W$9,IF(EE254&lt;=Hypothèses!$V$10,Hypothèses!$W$10,IF(EE254&lt;=Hypothèses!$V$11,Hypothèses!$W$11,IF(EE254&lt;=Hypothèses!$V$12,Hypothèses!$W$12,IF(EE254&lt;=Hypothèses!$V$13,Hypothèses!$W$13,IF(EE254&lt;=Hypothèses!$V$14,Hypothèses!$W$14,IF(EE254&lt;=Hypothèses!$V$15,Hypothèses!$W$15,IF(EE254&lt;=Hypothèses!$V$16,Hypothèses!$W$16,IF(EE254&lt;=Hypothèses!$V$17,Hypothèses!$W$17,IF(EE254&lt;=Hypothèses!$V$18,Hypothèses!$W$18,""))))))))))))</f>
        <v>#DIV/0!</v>
      </c>
      <c r="EZ254" s="87" t="e">
        <f t="shared" ca="1" si="423"/>
        <v>#DIV/0!</v>
      </c>
      <c r="FA254" s="88" t="e">
        <f ca="1">IF(EE254&lt;=Hypothèses!$V$7,Hypothèses!$X$7,IF(EE254&lt;=Hypothèses!$V$8,Hypothèses!$X$8,IF(EE254&lt;=Hypothèses!$V$9,Hypothèses!$X$9,IF(EE254&lt;=Hypothèses!$V$10,Hypothèses!$X$10,IF(EE254&lt;=Hypothèses!$V$11,Hypothèses!$X$11,IF(EE254&lt;=Hypothèses!$V$12,Hypothèses!$X$12,IF(EE254&lt;=Hypothèses!$V$13,Hypothèses!$X$13,IF(EE254&lt;=Hypothèses!$V$14,Hypothèses!$X$14,IF(EE254&lt;=Hypothèses!$V$15,Hypothèses!$X$15,IF(EE254&lt;=Hypothèses!$V$16,Hypothèses!$X$16,IF(EE254&lt;=Hypothèses!$U$17,Hypothèses!$W$17,IF(EE254&lt;=Hypothèses!$U$18,Hypothèses!$W$18,""))))))))))))</f>
        <v>#DIV/0!</v>
      </c>
      <c r="FB254" s="95" t="e">
        <f t="shared" ca="1" si="397"/>
        <v>#DIV/0!</v>
      </c>
      <c r="FC254" s="101" t="e">
        <f t="shared" si="430"/>
        <v>#N/A</v>
      </c>
      <c r="FD254" s="91" t="e">
        <f t="shared" si="366"/>
        <v>#N/A</v>
      </c>
      <c r="FE254" s="30" t="e">
        <f t="shared" si="414"/>
        <v>#N/A</v>
      </c>
      <c r="FF254" s="30" t="e">
        <f t="shared" si="415"/>
        <v>#N/A</v>
      </c>
      <c r="FG254" s="31" t="e">
        <f>IF(OR(Hypothèses!$B$4=17,Hypothèses!$B$4=18,Hypothèses!$B$4=19,Hypothèses!$B$4=20),
IF($D254="Pressio.",
IF(OR($E254=3,$E254=1,$E254=4),FF254,FE254),
IF($D254="Pénétro.",
IF(OR($E254=3,$E254=1,$E254=4),FF254,FE254))),IF($D254="Pressio.",
IF($E254=3,FF254,FE254),
IF($D254="Pénétro.",
IF($E254=4,FF254,FE254))))</f>
        <v>#N/A</v>
      </c>
      <c r="FH254" s="31" t="e">
        <f>(IF(OR(Hypothèses!$B$4=17,Hypothèses!$B$4=18,Hypothèses!$B$4=19,Hypothèses!$B$4=20),
IF($D254="Pressio.",
IF(OR($E254=3,$E254=1,$E254=4),(PI()*FH$12^2)/4*(FD254*$W254*1000)/($H254*$B$5),(PI()*FH$12^2)/4*(FD254*$W254*1000)/($G254*$B$5)),
IF($D254="Pénétro.",
IF(OR($E254=4,$E254=1,$E254=5),(PI()*FH$12^2)/4*(FD254*$W254*1000)/($H254*$B$5),(PI()*FH$12^2)/4*(FD254*$W254*1000)/($G254*$B$5)))),
IF($D254="Pressio.",
IF($E254=3,(PI()*FH$12^2)/4*(FD254*$W254*1000)/($H254*$B$5),(PI()*FH$12^2)/4*(FD254*$W254*1000)/($G254*$B$5)),
IF($D254="Pénétro.",
IF($E254=4,(PI()*FH$12^2)/4*(FD254*$W254*1000)/($H254*$B$5),(PI()*FH$12^2)/4*(FD254*$W254*1000)/($G254*$B$5))))))/10</f>
        <v>#N/A</v>
      </c>
      <c r="FI254" s="102" t="e">
        <f>(VLOOKUP($B$3,'Coeff EC7'!$T$39:$X$59,2,0)*FG254+VLOOKUP($B$3,'Coeff EC7'!$T$65:$X$85,2,0)*Model0.1C!FH254)/1.1</f>
        <v>#N/A</v>
      </c>
      <c r="FJ254" s="102" t="e">
        <f>(VLOOKUP($B$3,'Coeff EC7'!$T$39:$X$59,3,0)*FG254+VLOOKUP($B$3,'Coeff EC7'!$T$65:$X$85,3,0)*Model0.1C!FH254)/0.9</f>
        <v>#N/A</v>
      </c>
      <c r="FK254" s="102" t="e">
        <f t="shared" si="398"/>
        <v>#N/A</v>
      </c>
      <c r="FL254" s="102" t="e">
        <f t="shared" si="399"/>
        <v>#N/A</v>
      </c>
      <c r="FM254" s="414" t="e">
        <f>IF(FM253=0,0,IF(AND(FI254&gt;charge_ELS_quasi,FJ254&gt;Charge_ELS_freq,FK254&gt;charge_ELU,FL254&gt;charge_ELA,$B254&gt;NDC!$H$22-0.1+MIN(3*$FM$12,1.5)),0,1))</f>
        <v>#N/A</v>
      </c>
    </row>
    <row r="255" spans="1:169">
      <c r="A255" s="96">
        <f t="shared" si="367"/>
        <v>75.800000000001376</v>
      </c>
      <c r="B255" s="97">
        <v>24.2</v>
      </c>
      <c r="C255" s="81">
        <f>IF(B255&lt;=Hypothèses!$C$7,Hypothèses!$A$7,IF(B255&lt;=Hypothèses!$C$8,Hypothèses!$A$8,IF(B255&lt;=Hypothèses!$C$9,Hypothèses!$A$9,IF(B255&lt;=Hypothèses!$C$10,Hypothèses!$A$10,IF(B255&lt;=Hypothèses!$C$11,Hypothèses!$A$11,IF(B255&lt;=Hypothèses!$C$12,Hypothèses!$A$12,IF(B255&lt;=Hypothèses!$C$13,Hypothèses!$A$13,IF(B255&lt;=Hypothèses!$C$14,Hypothèses!$A$14,IF(B255&lt;=Hypothèses!$C$15,Hypothèses!$A$15,IF(B255&lt;=Hypothèses!$C$16,Hypothèses!$A$16,IF(B255&lt;=Hypothèses!$C$17,Hypothèses!$A$17,IF(B255&lt;=Hypothèses!$C$18,Hypothèses!$A$18,C254))))))))))))</f>
        <v>11</v>
      </c>
      <c r="D255" s="82" t="str">
        <f>IF(B255&lt;=Hypothèses!$C$7,Hypothèses!$R$7,IF(B255&lt;=Hypothèses!$C$8,Hypothèses!$R$8,IF(B255&lt;=Hypothèses!$C$9,Hypothèses!$R$9,IF(B255&lt;=Hypothèses!$C$10,Hypothèses!$R$10,IF(B255&lt;=Hypothèses!$C$11,Hypothèses!$R$11,IF(B255&lt;=Hypothèses!$C$12,Hypothèses!$R$12,IF(B255&lt;=Hypothèses!$C$13,Hypothèses!$R$13,IF(B255&lt;=Hypothèses!$C$14,Hypothèses!$R$14,IF(B255&lt;=Hypothèses!$C$15,Hypothèses!$R$15,IF(B255&lt;=Hypothèses!$C$16,Hypothèses!$R$16,IF(B255&lt;=Hypothèses!$C$17,Hypothèses!$R$17,IF(B255&lt;=Hypothèses!$C$18,Hypothèses!$R$18,D254))))))))))))</f>
        <v>Pressio.</v>
      </c>
      <c r="E255" s="82" t="e">
        <f>IF(B255&lt;=Hypothèses!$C$7,Hypothèses!$G$7,IF(B255&lt;=Hypothèses!$C$8,Hypothèses!$G$8,IF(B255&lt;=Hypothèses!$C$9,Hypothèses!$G$9,IF(B255&lt;=Hypothèses!$C$10,Hypothèses!$G$10,IF(B255&lt;=Hypothèses!$C$11,Hypothèses!$G$11,IF(B255&lt;=Hypothèses!$C$12,Hypothèses!$G$12,IF(B255&lt;=Hypothèses!$C$13,Hypothèses!$G$13,IF(B255&lt;=Hypothèses!$C$14,Hypothèses!$G$14,IF(B255&lt;=Hypothèses!$C$15,Hypothèses!$G$15,IF(B255&lt;=Hypothèses!$C$16,Hypothèses!$G$16,IF(B255&lt;=Hypothèses!$C$17,Hypothèses!$G$17,IF(B255&lt;=Hypothèses!$C$18,Hypothèses!$G$18,E254))))))))))))</f>
        <v>#N/A</v>
      </c>
      <c r="F255" s="82" t="str">
        <f>IF(B255&lt;=Hypothèses!$C$7,Hypothèses!$F$7,IF(B255&lt;=Hypothèses!$C$8,Hypothèses!$F$8,IF(B255&lt;=Hypothèses!$C$9,Hypothèses!$F$9,IF(B255&lt;=Hypothèses!$C$10,Hypothèses!$F$10,IF(B255&lt;=Hypothèses!$C$11,Hypothèses!$F$11,IF(B255&lt;=Hypothèses!$C$12,Hypothèses!$F$12,IF(B255&lt;=Hypothèses!$C$13,Hypothèses!$F$13,IF(B255&lt;=Hypothèses!$C$14,Hypothèses!$F$14,IF(B255&lt;=Hypothèses!$C$15,Hypothèses!$F$15,IF(B255&lt;=Hypothèses!$C$16,Hypothèses!$F$16,IF(B255&lt;=Hypothèses!$C$17,Hypothèses!$F$17,IF(B255&lt;=Hypothèses!$C$18,Hypothèses!$F$18,F254))))))))))))</f>
        <v/>
      </c>
      <c r="G255" s="91">
        <f t="array" ref="G255">INDEX('Coeff EC7'!$U$7:$X$27,
MATCH(Model0.1C!$B$3,'Coeff EC7'!$T$7:$T$27,0),
MATCH(Model0.1C!$D255&amp;Model0.1C!$B$4,
'Coeff EC7'!$U$6:$X$6&amp;
'Coeff EC7'!$U$5:$X$5,0))</f>
        <v>1.1499999999999999</v>
      </c>
      <c r="H255" s="91">
        <f t="array" ref="H255">INDEX('Coeff EC7'!$Y$7:$AB$27,
MATCH(Model0.1C!$B$3,'Coeff EC7'!$T$7:$T$27,0),
MATCH(Model0.1C!$D255&amp;Model0.1C!$B$4,
'Coeff EC7'!$Y$6:$AB$6&amp;
'Coeff EC7'!$Y$5:$AB$5,0))</f>
        <v>1.4</v>
      </c>
      <c r="I255" s="83" t="e">
        <f>IF(B255&lt;=Hypothèses!$C$7,Hypothèses!$P$7,IF(B255&lt;=Hypothèses!$C$8,Hypothèses!$P$8,IF(B255&lt;=Hypothèses!$C$9,Hypothèses!$P$9,IF(B255&lt;=Hypothèses!$C$10,Hypothèses!$P$10,IF(B255&lt;=Hypothèses!$C$11,Hypothèses!$P$11,IF(B255&lt;=Hypothèses!$C$12,Hypothèses!$P$12,IF(B255&lt;=Hypothèses!$C$13,Hypothèses!$P$13,IF(B255&lt;=Hypothèses!$C$14,Hypothèses!$P$14,IF(B255&lt;=Hypothèses!$C$15,Hypothèses!$P$15,IF(B255&lt;=Hypothèses!$C$16,Hypothèses!$P$16,IF(B255&lt;=Hypothèses!$C$17,Hypothèses!$P$17,IF(B255&lt;=Hypothèses!$C$18,Hypothèses!$P$18,I254))))))))))))</f>
        <v>#N/A</v>
      </c>
      <c r="J255" s="91" t="e">
        <f t="array" ref="J255">INDEX('Coeff EC7'!$D$33:$Q$33,1,MATCH(D255&amp;E255,'Coeff EC7'!$D$31:$Q$31&amp;'Coeff EC7'!$D$32:$Q$32,0))</f>
        <v>#N/A</v>
      </c>
      <c r="K255" s="91" t="e">
        <f t="array" ref="K255">INDEX('Coeff EC7'!$D$34:$Q$34,1,MATCH(D255&amp;E255,'Coeff EC7'!$D$31:$Q$31&amp;'Coeff EC7'!$D$32:$Q$32,0))</f>
        <v>#N/A</v>
      </c>
      <c r="L255" s="91" t="e">
        <f t="array" ref="L255">INDEX('Coeff EC7'!$D$35:$Q$35,1,MATCH(D255&amp;E255,'Coeff EC7'!$D$31:$Q$31&amp;'Coeff EC7'!$D$32:$Q$32,0))</f>
        <v>#N/A</v>
      </c>
      <c r="M255" s="98" t="e">
        <f t="shared" si="331"/>
        <v>#N/A</v>
      </c>
      <c r="N255" s="99" t="e">
        <f t="array" ref="N255">INDEX('Coeff EC7'!$D$7:$Q$27,MATCH($B$3,'Coeff EC7'!$C$7:$C$27,0),MATCH(D255&amp;E255,'Coeff EC7'!$D$5:$Q$5&amp;'Coeff EC7'!$D$6:$Q$6,0))</f>
        <v>#N/A</v>
      </c>
      <c r="O255" s="99" t="e">
        <f t="array" ref="O255">INDEX('Coeff EC7'!$D$41:$Q$61,MATCH($B$3,'Coeff EC7'!$C$41:$C$61,0),MATCH(D255&amp;E255,'Coeff EC7'!$D$39:$Q$39&amp;'Coeff EC7'!$D$40:$Q$40,0))</f>
        <v>#N/A</v>
      </c>
      <c r="P255" s="30" t="e">
        <f t="shared" si="368"/>
        <v>#N/A</v>
      </c>
      <c r="Q255" s="100" t="e">
        <f t="shared" si="333"/>
        <v>#N/A</v>
      </c>
      <c r="R255" s="86" t="b">
        <f t="shared" si="334"/>
        <v>0</v>
      </c>
      <c r="S255" s="86">
        <f t="shared" si="332"/>
        <v>0.5</v>
      </c>
      <c r="T255" s="86">
        <f t="shared" si="335"/>
        <v>0.5</v>
      </c>
      <c r="U255" s="30" t="e">
        <f t="shared" ca="1" si="369"/>
        <v>#DIV/0!</v>
      </c>
      <c r="V255" s="85" t="str">
        <f>IF(B255&lt;=Hypothèses!$V$7,Hypothèses!$W$7,IF(B255&lt;=Hypothèses!$V$8,Hypothèses!$W$8,IF(B255&lt;=Hypothèses!$V$9,Hypothèses!$W$9,IF(B255&lt;=Hypothèses!$V$10,Hypothèses!$W$10,IF(B255&lt;=Hypothèses!$V$11,Hypothèses!$W$11,IF(B255&lt;=Hypothèses!$V$12,Hypothèses!$W$12,IF(B255&lt;=Hypothèses!$V$13,Hypothèses!$W$13,IF(B255&lt;=Hypothèses!$V$14,Hypothèses!$W$14,IF(B255&lt;=Hypothèses!$V$15,Hypothèses!$W$15,IF(B255&lt;=Hypothèses!$V$16,Hypothèses!$W$16,IF(B255&lt;=Hypothèses!$V$17,Hypothèses!$W$17,IF(B255&lt;=Hypothèses!$V$18,Hypothèses!$W$18,""))))))))))))</f>
        <v/>
      </c>
      <c r="W255" s="87" t="e">
        <f t="shared" ca="1" si="416"/>
        <v>#DIV/0!</v>
      </c>
      <c r="X255" s="88" t="str">
        <f>IF(B255&lt;=Hypothèses!$V$7,Hypothèses!$X$7,IF(B255&lt;=Hypothèses!$V$8,Hypothèses!$X$8,IF(B255&lt;=Hypothèses!$V$9,Hypothèses!$X$9,IF(B255&lt;=Hypothèses!$V$10,Hypothèses!$X$10,IF(B255&lt;=Hypothèses!$V$11,Hypothèses!$X$11,IF(B255&lt;=Hypothèses!$V$12,Hypothèses!$X$12,IF(B255&lt;=Hypothèses!$V$13,Hypothèses!$X$13,IF(B255&lt;=Hypothèses!$V$14,Hypothèses!$X$14,IF(B255&lt;=Hypothèses!$V$15,Hypothèses!$X$15,IF(B255&lt;=Hypothèses!$V$16,Hypothèses!$X$16,IF(B255&lt;=Hypothèses!$U$17,Hypothèses!$W$17,IF(B255&lt;=Hypothèses!$U$18,Hypothèses!$W$18,""))))))))))))</f>
        <v/>
      </c>
      <c r="Y255" s="95" t="e">
        <f t="shared" ca="1" si="336"/>
        <v>#DIV/0!</v>
      </c>
      <c r="Z255" s="101" t="e">
        <f t="shared" si="337"/>
        <v>#N/A</v>
      </c>
      <c r="AA255" s="91" t="e">
        <f t="shared" si="338"/>
        <v>#N/A</v>
      </c>
      <c r="AB255" s="30" t="e">
        <f t="shared" si="400"/>
        <v>#N/A</v>
      </c>
      <c r="AC255" s="30" t="e">
        <f t="shared" si="401"/>
        <v>#N/A</v>
      </c>
      <c r="AD255" s="31" t="e">
        <f>IF(OR(Hypothèses!$B$4=17,Hypothèses!$B$4=18,Hypothèses!$B$4=19,Hypothèses!$B$4=20),
IF($D255="Pressio.",
IF(OR($E255=3,$E255=1,$E255=4),AC255,AB255),
IF($D255="Pénétro.",
IF(OR($E255=3,$E255=1,$E255=4),AC255,AB255))),IF($D255="Pressio.",
IF($E255=3,AC255,AB255),
IF($D255="Pénétro.",
IF($E255=4,AC255,AB255))))</f>
        <v>#N/A</v>
      </c>
      <c r="AE255" s="31" t="e">
        <f>(IF(OR(Hypothèses!$B$4=17,Hypothèses!$B$4=18,Hypothèses!$B$4=19,Hypothèses!$B$4=20),
IF($D255="Pressio.",
IF(OR($E255=3,$E255=1,$E255=4),(PI()*AE$12^2)/4*(AA255*$W255*1000)/($H255*$B$5),(PI()*AE$12^2)/4*(AA255*$W255*1000)/($G255*$B$5)),
IF($D255="Pénétro.",
IF(OR($E255=4,$E255=1,$E255=5),(PI()*AE$12^2)/4*(AA255*$W255*1000)/($H255*$B$5),(PI()*AE$12^2)/4*(AA255*$W255*1000)/($G255*$B$5)))),
IF($D255="Pressio.",
IF($E255=3,(PI()*AE$12^2)/4*(AA255*$W255*1000)/($H255*$B$5),(PI()*AE$12^2)/4*(AA255*$W255*1000)/($G255*$B$5)),
IF($D255="Pénétro.",
IF($E255=4,(PI()*AE$12^2)/4*(AA255*$W255*1000)/($H255*$B$5),(PI()*AE$12^2)/4*(AA255*$W255*1000)/($G255*$B$5))))))/10</f>
        <v>#N/A</v>
      </c>
      <c r="AF255" s="102" t="e">
        <f>(VLOOKUP($B$3,'Coeff EC7'!$T$39:$X$59,2,0)*AD255+VLOOKUP($B$3,'Coeff EC7'!$T$65:$X$85,2,0)*Model0.1C!AE255)/1.1</f>
        <v>#N/A</v>
      </c>
      <c r="AG255" s="102" t="e">
        <f>(VLOOKUP($B$3,'Coeff EC7'!$T$39:$X$59,3,0)*AD255+VLOOKUP($B$3,'Coeff EC7'!$T$65:$X$85,3,0)*Model0.1C!AE255)/0.9</f>
        <v>#N/A</v>
      </c>
      <c r="AH255" s="102" t="e">
        <f t="shared" si="339"/>
        <v>#N/A</v>
      </c>
      <c r="AI255" s="102" t="e">
        <f t="shared" si="340"/>
        <v>#N/A</v>
      </c>
      <c r="AJ255" s="414" t="e">
        <f>IF(AJ254=0,0,IF(AND(AF255&gt;charge_ELS_quasi,AG255&gt;Charge_ELS_freq,AH255&gt;charge_ELU,AI255&gt;charge_ELA,$B255&gt;NDC!$H$22-0.1+MIN(3*$AJ$12,1.5)),0,1))</f>
        <v>#N/A</v>
      </c>
      <c r="AK255" s="86" t="b">
        <f t="shared" si="341"/>
        <v>0</v>
      </c>
      <c r="AL255" s="86">
        <f t="shared" si="370"/>
        <v>0.5</v>
      </c>
      <c r="AM255" s="86">
        <f t="shared" si="342"/>
        <v>0.5</v>
      </c>
      <c r="AN255" s="30" t="e">
        <f t="shared" ca="1" si="371"/>
        <v>#DIV/0!</v>
      </c>
      <c r="AO255" s="85" t="e">
        <f ca="1">IF(U255&lt;=Hypothèses!$V$7,Hypothèses!$W$7,IF(U255&lt;=Hypothèses!$V$8,Hypothèses!$W$8,IF(U255&lt;=Hypothèses!$V$9,Hypothèses!$W$9,IF(U255&lt;=Hypothèses!$V$10,Hypothèses!$W$10,IF(U255&lt;=Hypothèses!$V$11,Hypothèses!$W$11,IF(U255&lt;=Hypothèses!$V$12,Hypothèses!$W$12,IF(U255&lt;=Hypothèses!$V$13,Hypothèses!$W$13,IF(U255&lt;=Hypothèses!$V$14,Hypothèses!$W$14,IF(U255&lt;=Hypothèses!$V$15,Hypothèses!$W$15,IF(U255&lt;=Hypothèses!$V$16,Hypothèses!$W$16,IF(U255&lt;=Hypothèses!$V$17,Hypothèses!$W$17,IF(U255&lt;=Hypothèses!$V$18,Hypothèses!$W$18,""))))))))))))</f>
        <v>#DIV/0!</v>
      </c>
      <c r="AP255" s="87" t="e">
        <f t="shared" ca="1" si="417"/>
        <v>#DIV/0!</v>
      </c>
      <c r="AQ255" s="88" t="e">
        <f ca="1">IF(U255&lt;=Hypothèses!$V$7,Hypothèses!$X$7,IF(U255&lt;=Hypothèses!$V$8,Hypothèses!$X$8,IF(U255&lt;=Hypothèses!$V$9,Hypothèses!$X$9,IF(U255&lt;=Hypothèses!$V$10,Hypothèses!$X$10,IF(U255&lt;=Hypothèses!$V$11,Hypothèses!$X$11,IF(U255&lt;=Hypothèses!$V$12,Hypothèses!$X$12,IF(U255&lt;=Hypothèses!$V$13,Hypothèses!$X$13,IF(U255&lt;=Hypothèses!$V$14,Hypothèses!$X$14,IF(U255&lt;=Hypothèses!$V$15,Hypothèses!$X$15,IF(U255&lt;=Hypothèses!$V$16,Hypothèses!$X$16,IF(U255&lt;=Hypothèses!$U$17,Hypothèses!$W$17,IF(U255&lt;=Hypothèses!$U$18,Hypothèses!$W$18,""))))))))))))</f>
        <v>#DIV/0!</v>
      </c>
      <c r="AR255" s="95" t="e">
        <f t="shared" ca="1" si="372"/>
        <v>#DIV/0!</v>
      </c>
      <c r="AS255" s="101" t="e">
        <f t="shared" si="424"/>
        <v>#N/A</v>
      </c>
      <c r="AT255" s="91" t="e">
        <f t="shared" si="343"/>
        <v>#N/A</v>
      </c>
      <c r="AU255" s="30" t="e">
        <f t="shared" si="402"/>
        <v>#N/A</v>
      </c>
      <c r="AV255" s="30" t="e">
        <f t="shared" si="403"/>
        <v>#N/A</v>
      </c>
      <c r="AW255" s="31" t="e">
        <f>IF(OR(Hypothèses!$B$4=17,Hypothèses!$B$4=18,Hypothèses!$B$4=19,Hypothèses!$B$4=20),
IF($D255="Pressio.",
IF(OR($E255=3,$E255=1,$E255=4),AV255,AU255),
IF($D255="Pénétro.",
IF(OR($E255=3,$E255=1,$E255=4),AV255,AU255))),IF($D255="Pressio.",
IF($E255=3,AV255,AU255),
IF($D255="Pénétro.",
IF($E255=4,AV255,AU255))))</f>
        <v>#N/A</v>
      </c>
      <c r="AX255" s="31" t="e">
        <f>(IF(OR(Hypothèses!$B$4=17,Hypothèses!$B$4=18,Hypothèses!$B$4=19,Hypothèses!$B$4=20),
IF($D255="Pressio.",
IF(OR($E255=3,$E255=1,$E255=4),(PI()*AX$12^2)/4*(AT255*$W255*1000)/($H255*$B$5),(PI()*AX$12^2)/4*(AT255*$W255*1000)/($G255*$B$5)),
IF($D255="Pénétro.",
IF(OR($E255=4,$E255=1,$E255=5),(PI()*AX$12^2)/4*(AT255*$W255*1000)/($H255*$B$5),(PI()*AX$12^2)/4*(AT255*$W255*1000)/($G255*$B$5)))),
IF($D255="Pressio.",
IF($E255=3,(PI()*AX$12^2)/4*(AT255*$W255*1000)/($H255*$B$5),(PI()*AX$12^2)/4*(AT255*$W255*1000)/($G255*$B$5)),
IF($D255="Pénétro.",
IF($E255=4,(PI()*AX$12^2)/4*(AT255*$W255*1000)/($H255*$B$5),(PI()*AX$12^2)/4*(AT255*$W255*1000)/($G255*$B$5))))))/10</f>
        <v>#N/A</v>
      </c>
      <c r="AY255" s="102" t="e">
        <f>(VLOOKUP($B$3,'Coeff EC7'!$T$39:$X$59,2,0)*AW255+VLOOKUP($B$3,'Coeff EC7'!$T$65:$X$85,2,0)*Model0.1C!AX255)/1.1</f>
        <v>#N/A</v>
      </c>
      <c r="AZ255" s="102" t="e">
        <f>(VLOOKUP($B$3,'Coeff EC7'!$T$39:$X$59,3,0)*AW255+VLOOKUP($B$3,'Coeff EC7'!$T$65:$X$85,3,0)*Model0.1C!AX255)/0.9</f>
        <v>#N/A</v>
      </c>
      <c r="BA255" s="102" t="e">
        <f t="shared" si="373"/>
        <v>#N/A</v>
      </c>
      <c r="BB255" s="102" t="e">
        <f t="shared" si="374"/>
        <v>#N/A</v>
      </c>
      <c r="BC255" s="414" t="e">
        <f>IF(BC254=0,0,IF(AND(AY255&gt;charge_ELS_quasi,AZ255&gt;Charge_ELS_freq,BA255&gt;charge_ELU,BB255&gt;charge_ELA,$B255&gt;NDC!$H$22-0.1+MIN(3*$BC$12,1.5)),0,1))</f>
        <v>#N/A</v>
      </c>
      <c r="BD255" s="86" t="b">
        <f t="shared" si="344"/>
        <v>0</v>
      </c>
      <c r="BE255" s="86">
        <f t="shared" si="375"/>
        <v>0.5</v>
      </c>
      <c r="BF255" s="86">
        <f t="shared" si="345"/>
        <v>0.5</v>
      </c>
      <c r="BG255" s="30" t="e">
        <f t="shared" ca="1" si="376"/>
        <v>#DIV/0!</v>
      </c>
      <c r="BH255" s="85" t="e">
        <f ca="1">IF(AN255&lt;=Hypothèses!$V$7,Hypothèses!$W$7,IF(AN255&lt;=Hypothèses!$V$8,Hypothèses!$W$8,IF(AN255&lt;=Hypothèses!$V$9,Hypothèses!$W$9,IF(AN255&lt;=Hypothèses!$V$10,Hypothèses!$W$10,IF(AN255&lt;=Hypothèses!$V$11,Hypothèses!$W$11,IF(AN255&lt;=Hypothèses!$V$12,Hypothèses!$W$12,IF(AN255&lt;=Hypothèses!$V$13,Hypothèses!$W$13,IF(AN255&lt;=Hypothèses!$V$14,Hypothèses!$W$14,IF(AN255&lt;=Hypothèses!$V$15,Hypothèses!$W$15,IF(AN255&lt;=Hypothèses!$V$16,Hypothèses!$W$16,IF(AN255&lt;=Hypothèses!$V$17,Hypothèses!$W$17,IF(AN255&lt;=Hypothèses!$V$18,Hypothèses!$W$18,""))))))))))))</f>
        <v>#DIV/0!</v>
      </c>
      <c r="BI255" s="87" t="e">
        <f t="shared" ca="1" si="418"/>
        <v>#DIV/0!</v>
      </c>
      <c r="BJ255" s="88" t="e">
        <f ca="1">IF(AN255&lt;=Hypothèses!$V$7,Hypothèses!$X$7,IF(AN255&lt;=Hypothèses!$V$8,Hypothèses!$X$8,IF(AN255&lt;=Hypothèses!$V$9,Hypothèses!$X$9,IF(AN255&lt;=Hypothèses!$V$10,Hypothèses!$X$10,IF(AN255&lt;=Hypothèses!$V$11,Hypothèses!$X$11,IF(AN255&lt;=Hypothèses!$V$12,Hypothèses!$X$12,IF(AN255&lt;=Hypothèses!$V$13,Hypothèses!$X$13,IF(AN255&lt;=Hypothèses!$V$14,Hypothèses!$X$14,IF(AN255&lt;=Hypothèses!$V$15,Hypothèses!$X$15,IF(AN255&lt;=Hypothèses!$V$16,Hypothèses!$X$16,IF(AN255&lt;=Hypothèses!$U$17,Hypothèses!$W$17,IF(AN255&lt;=Hypothèses!$U$18,Hypothèses!$W$18,""))))))))))))</f>
        <v>#DIV/0!</v>
      </c>
      <c r="BK255" s="95" t="e">
        <f t="shared" ca="1" si="377"/>
        <v>#DIV/0!</v>
      </c>
      <c r="BL255" s="101" t="e">
        <f t="shared" si="425"/>
        <v>#N/A</v>
      </c>
      <c r="BM255" s="91" t="e">
        <f t="shared" si="346"/>
        <v>#N/A</v>
      </c>
      <c r="BN255" s="30" t="e">
        <f t="shared" si="404"/>
        <v>#N/A</v>
      </c>
      <c r="BO255" s="30" t="e">
        <f t="shared" si="405"/>
        <v>#N/A</v>
      </c>
      <c r="BP255" s="31" t="e">
        <f>IF(OR(Hypothèses!$B$4=17,Hypothèses!$B$4=18,Hypothèses!$B$4=19,Hypothèses!$B$4=20),
IF($D255="Pressio.",
IF(OR($E255=3,$E255=1,$E255=4),BO255,BN255),
IF($D255="Pénétro.",
IF(OR($E255=3,$E255=1,$E255=4),BO255,BN255))),IF($D255="Pressio.",
IF($E255=3,BO255,BN255),
IF($D255="Pénétro.",
IF($E255=4,BO255,BN255))))</f>
        <v>#N/A</v>
      </c>
      <c r="BQ255" s="31" t="e">
        <f>(IF(OR(Hypothèses!$B$4=17,Hypothèses!$B$4=18,Hypothèses!$B$4=19,Hypothèses!$B$4=20),
IF($D255="Pressio.",
IF(OR($E255=3,$E255=1,$E255=4),(PI()*BQ$12^2)/4*(BM255*$W255*1000)/($H255*$B$5),(PI()*BQ$12^2)/4*(BM255*$W255*1000)/($G255*$B$5)),
IF($D255="Pénétro.",
IF(OR($E255=4,$E255=1,$E255=5),(PI()*BQ$12^2)/4*(BM255*$W255*1000)/($H255*$B$5),(PI()*BQ$12^2)/4*(BM255*$W255*1000)/($G255*$B$5)))),
IF($D255="Pressio.",
IF($E255=3,(PI()*BQ$12^2)/4*(BM255*$W255*1000)/($H255*$B$5),(PI()*BQ$12^2)/4*(BM255*$W255*1000)/($G255*$B$5)),
IF($D255="Pénétro.",
IF($E255=4,(PI()*BQ$12^2)/4*(BM255*$W255*1000)/($H255*$B$5),(PI()*BQ$12^2)/4*(BM255*$W255*1000)/($G255*$B$5))))))/10</f>
        <v>#N/A</v>
      </c>
      <c r="BR255" s="102" t="e">
        <f>(VLOOKUP($B$3,'Coeff EC7'!$T$39:$X$59,2,0)*BP255+VLOOKUP($B$3,'Coeff EC7'!$T$65:$X$85,2,0)*Model0.1C!BQ255)/1.1</f>
        <v>#N/A</v>
      </c>
      <c r="BS255" s="102" t="e">
        <f>(VLOOKUP($B$3,'Coeff EC7'!$T$39:$X$59,3,0)*BP255+VLOOKUP($B$3,'Coeff EC7'!$T$65:$X$85,3,0)*Model0.1C!BQ255)/0.9</f>
        <v>#N/A</v>
      </c>
      <c r="BT255" s="102" t="e">
        <f t="shared" si="378"/>
        <v>#N/A</v>
      </c>
      <c r="BU255" s="102" t="e">
        <f t="shared" si="379"/>
        <v>#N/A</v>
      </c>
      <c r="BV255" s="414" t="e">
        <f>IF(BV254=0,0,IF(AND(BR255&gt;charge_ELS_quasi,BS255&gt;Charge_ELS_freq,BT255&gt;charge_ELU,BU255&gt;charge_ELA,$B255&gt;NDC!$H$22-0.1+MIN(3*$BV$12,1.5)),0,1))</f>
        <v>#N/A</v>
      </c>
      <c r="BW255" s="86" t="b">
        <f t="shared" si="347"/>
        <v>0</v>
      </c>
      <c r="BX255" s="86">
        <f t="shared" si="348"/>
        <v>0.5</v>
      </c>
      <c r="BY255" s="86">
        <f t="shared" si="349"/>
        <v>0.5</v>
      </c>
      <c r="BZ255" s="30" t="e">
        <f t="shared" ca="1" si="380"/>
        <v>#DIV/0!</v>
      </c>
      <c r="CA255" s="85" t="e">
        <f ca="1">IF(BG255&lt;=Hypothèses!$V$7,Hypothèses!$W$7,IF(BG255&lt;=Hypothèses!$V$8,Hypothèses!$W$8,IF(BG255&lt;=Hypothèses!$V$9,Hypothèses!$W$9,IF(BG255&lt;=Hypothèses!$V$10,Hypothèses!$W$10,IF(BG255&lt;=Hypothèses!$V$11,Hypothèses!$W$11,IF(BG255&lt;=Hypothèses!$V$12,Hypothèses!$W$12,IF(BG255&lt;=Hypothèses!$V$13,Hypothèses!$W$13,IF(BG255&lt;=Hypothèses!$V$14,Hypothèses!$W$14,IF(BG255&lt;=Hypothèses!$V$15,Hypothèses!$W$15,IF(BG255&lt;=Hypothèses!$V$16,Hypothèses!$W$16,IF(BG255&lt;=Hypothèses!$V$17,Hypothèses!$W$17,IF(BG255&lt;=Hypothèses!$V$18,Hypothèses!$W$18,""))))))))))))</f>
        <v>#DIV/0!</v>
      </c>
      <c r="CB255" s="87" t="e">
        <f t="shared" ca="1" si="419"/>
        <v>#DIV/0!</v>
      </c>
      <c r="CC255" s="88" t="e">
        <f ca="1">IF(BG255&lt;=Hypothèses!$V$7,Hypothèses!$X$7,IF(BG255&lt;=Hypothèses!$V$8,Hypothèses!$X$8,IF(BG255&lt;=Hypothèses!$V$9,Hypothèses!$X$9,IF(BG255&lt;=Hypothèses!$V$10,Hypothèses!$X$10,IF(BG255&lt;=Hypothèses!$V$11,Hypothèses!$X$11,IF(BG255&lt;=Hypothèses!$V$12,Hypothèses!$X$12,IF(BG255&lt;=Hypothèses!$V$13,Hypothèses!$X$13,IF(BG255&lt;=Hypothèses!$V$14,Hypothèses!$X$14,IF(BG255&lt;=Hypothèses!$V$15,Hypothèses!$X$15,IF(BG255&lt;=Hypothèses!$V$16,Hypothèses!$X$16,IF(BG255&lt;=Hypothèses!$U$17,Hypothèses!$W$17,IF(BG255&lt;=Hypothèses!$U$18,Hypothèses!$W$18,""))))))))))))</f>
        <v>#DIV/0!</v>
      </c>
      <c r="CD255" s="95" t="e">
        <f t="shared" ca="1" si="381"/>
        <v>#DIV/0!</v>
      </c>
      <c r="CE255" s="101" t="e">
        <f t="shared" si="426"/>
        <v>#N/A</v>
      </c>
      <c r="CF255" s="91" t="e">
        <f t="shared" si="350"/>
        <v>#N/A</v>
      </c>
      <c r="CG255" s="30" t="e">
        <f t="shared" si="406"/>
        <v>#N/A</v>
      </c>
      <c r="CH255" s="30" t="e">
        <f t="shared" si="407"/>
        <v>#N/A</v>
      </c>
      <c r="CI255" s="31" t="e">
        <f>IF(OR(Hypothèses!$B$4=17,Hypothèses!$B$4=18,Hypothèses!$B$4=19,Hypothèses!$B$4=20),
IF($D255="Pressio.",
IF(OR($E255=3,$E255=1,$E255=4),CH255,CG255),
IF($D255="Pénétro.",
IF(OR($E255=3,$E255=1,$E255=4),CH255,CG255))),IF($D255="Pressio.",
IF($E255=3,CH255,CG255),
IF($D255="Pénétro.",
IF($E255=4,CH255,CG255))))</f>
        <v>#N/A</v>
      </c>
      <c r="CJ255" s="31" t="e">
        <f>(IF(OR(Hypothèses!$B$4=17,Hypothèses!$B$4=18,Hypothèses!$B$4=19,Hypothèses!$B$4=20),
IF($D255="Pressio.",
IF(OR($E255=3,$E255=1,$E255=4),(PI()*CJ$12^2)/4*(CF255*$W255*1000)/($H255*$B$5),(PI()*CJ$12^2)/4*(CF255*$W255*1000)/($G255*$B$5)),
IF($D255="Pénétro.",
IF(OR($E255=4,$E255=1,$E255=5),(PI()*CJ$12^2)/4*(CF255*$W255*1000)/($H255*$B$5),(PI()*CJ$12^2)/4*(CF255*$W255*1000)/($G255*$B$5)))),
IF($D255="Pressio.",
IF($E255=3,(PI()*CJ$12^2)/4*(CF255*$W255*1000)/($H255*$B$5),(PI()*CJ$12^2)/4*(CF255*$W255*1000)/($G255*$B$5)),
IF($D255="Pénétro.",
IF($E255=4,(PI()*CJ$12^2)/4*(CF255*$W255*1000)/($H255*$B$5),(PI()*CJ$12^2)/4*(CF255*$W255*1000)/($G255*$B$5))))))/10</f>
        <v>#N/A</v>
      </c>
      <c r="CK255" s="102" t="e">
        <f>(VLOOKUP($B$3,'Coeff EC7'!$T$39:$X$59,2,0)*CI255+VLOOKUP($B$3,'Coeff EC7'!$T$65:$X$85,2,0)*Model0.1C!CJ255)/1.1</f>
        <v>#N/A</v>
      </c>
      <c r="CL255" s="102" t="e">
        <f>(VLOOKUP($B$3,'Coeff EC7'!$T$39:$X$59,3,0)*CI255+VLOOKUP($B$3,'Coeff EC7'!$T$65:$X$85,3,0)*Model0.1C!CJ255)/0.9</f>
        <v>#N/A</v>
      </c>
      <c r="CM255" s="102" t="e">
        <f t="shared" si="382"/>
        <v>#N/A</v>
      </c>
      <c r="CN255" s="102" t="e">
        <f t="shared" si="383"/>
        <v>#N/A</v>
      </c>
      <c r="CO255" s="414" t="e">
        <f>IF(CO254=0,0,IF(AND(CK255&gt;charge_ELS_quasi,CL255&gt;Charge_ELS_freq,CM255&gt;charge_ELU,CN255&gt;charge_ELA,$B255&gt;NDC!$H$22-0.1+MIN(3*$CO$12,1.5)),0,1))</f>
        <v>#N/A</v>
      </c>
      <c r="CP255" s="86" t="b">
        <f t="shared" si="351"/>
        <v>0</v>
      </c>
      <c r="CQ255" s="86">
        <f t="shared" si="352"/>
        <v>0.5</v>
      </c>
      <c r="CR255" s="86">
        <f t="shared" si="353"/>
        <v>0.5</v>
      </c>
      <c r="CS255" s="30" t="e">
        <f t="shared" ca="1" si="384"/>
        <v>#DIV/0!</v>
      </c>
      <c r="CT255" s="85" t="e">
        <f ca="1">IF(BZ255&lt;=Hypothèses!$V$7,Hypothèses!$W$7,IF(BZ255&lt;=Hypothèses!$V$8,Hypothèses!$W$8,IF(BZ255&lt;=Hypothèses!$V$9,Hypothèses!$W$9,IF(BZ255&lt;=Hypothèses!$V$10,Hypothèses!$W$10,IF(BZ255&lt;=Hypothèses!$V$11,Hypothèses!$W$11,IF(BZ255&lt;=Hypothèses!$V$12,Hypothèses!$W$12,IF(BZ255&lt;=Hypothèses!$V$13,Hypothèses!$W$13,IF(BZ255&lt;=Hypothèses!$V$14,Hypothèses!$W$14,IF(BZ255&lt;=Hypothèses!$V$15,Hypothèses!$W$15,IF(BZ255&lt;=Hypothèses!$V$16,Hypothèses!$W$16,IF(BZ255&lt;=Hypothèses!$V$17,Hypothèses!$W$17,IF(BZ255&lt;=Hypothèses!$V$18,Hypothèses!$W$18,""))))))))))))</f>
        <v>#DIV/0!</v>
      </c>
      <c r="CU255" s="87" t="e">
        <f t="shared" ca="1" si="420"/>
        <v>#DIV/0!</v>
      </c>
      <c r="CV255" s="88" t="e">
        <f ca="1">IF(BZ255&lt;=Hypothèses!$V$7,Hypothèses!$X$7,IF(BZ255&lt;=Hypothèses!$V$8,Hypothèses!$X$8,IF(BZ255&lt;=Hypothèses!$V$9,Hypothèses!$X$9,IF(BZ255&lt;=Hypothèses!$V$10,Hypothèses!$X$10,IF(BZ255&lt;=Hypothèses!$V$11,Hypothèses!$X$11,IF(BZ255&lt;=Hypothèses!$V$12,Hypothèses!$X$12,IF(BZ255&lt;=Hypothèses!$V$13,Hypothèses!$X$13,IF(BZ255&lt;=Hypothèses!$V$14,Hypothèses!$X$14,IF(BZ255&lt;=Hypothèses!$V$15,Hypothèses!$X$15,IF(BZ255&lt;=Hypothèses!$V$16,Hypothèses!$X$16,IF(BZ255&lt;=Hypothèses!$U$17,Hypothèses!$W$17,IF(BZ255&lt;=Hypothèses!$U$18,Hypothèses!$W$18,""))))))))))))</f>
        <v>#DIV/0!</v>
      </c>
      <c r="CW255" s="95" t="e">
        <f t="shared" ca="1" si="385"/>
        <v>#DIV/0!</v>
      </c>
      <c r="CX255" s="101" t="e">
        <f t="shared" si="427"/>
        <v>#N/A</v>
      </c>
      <c r="CY255" s="91" t="e">
        <f t="shared" si="354"/>
        <v>#N/A</v>
      </c>
      <c r="CZ255" s="30" t="e">
        <f t="shared" si="408"/>
        <v>#N/A</v>
      </c>
      <c r="DA255" s="30" t="e">
        <f t="shared" si="409"/>
        <v>#N/A</v>
      </c>
      <c r="DB255" s="31" t="e">
        <f>IF(OR(Hypothèses!$B$4=17,Hypothèses!$B$4=18,Hypothèses!$B$4=19,Hypothèses!$B$4=20),
IF($D255="Pressio.",
IF(OR($E255=3,$E255=1,$E255=4),DA255,CZ255),
IF($D255="Pénétro.",
IF(OR($E255=3,$E255=1,$E255=4),DA255,CZ255))),IF($D255="Pressio.",
IF($E255=3,DA255,CZ255),
IF($D255="Pénétro.",
IF($E255=4,DA255,CZ255))))</f>
        <v>#N/A</v>
      </c>
      <c r="DC255" s="31" t="e">
        <f>(IF(OR(Hypothèses!$B$4=17,Hypothèses!$B$4=18,Hypothèses!$B$4=19,Hypothèses!$B$4=20),
IF($D255="Pressio.",
IF(OR($E255=3,$E255=1,$E255=4),(PI()*DC$12^2)/4*(CY255*$W255*1000)/($H255*$B$5),(PI()*DC$12^2)/4*(CY255*$W255*1000)/($G255*$B$5)),
IF($D255="Pénétro.",
IF(OR($E255=4,$E255=1,$E255=5),(PI()*DC$12^2)/4*(CY255*$W255*1000)/($H255*$B$5),(PI()*DC$12^2)/4*(CY255*$W255*1000)/($G255*$B$5)))),
IF($D255="Pressio.",
IF($E255=3,(PI()*DC$12^2)/4*(CY255*$W255*1000)/($H255*$B$5),(PI()*DC$12^2)/4*(CY255*$W255*1000)/($G255*$B$5)),
IF($D255="Pénétro.",
IF($E255=4,(PI()*DC$12^2)/4*(CY255*$W255*1000)/($H255*$B$5),(PI()*DC$12^2)/4*(CY255*$W255*1000)/($G255*$B$5))))))/10</f>
        <v>#N/A</v>
      </c>
      <c r="DD255" s="102" t="e">
        <f>(VLOOKUP($B$3,'Coeff EC7'!$T$39:$X$59,2,0)*DB255+VLOOKUP($B$3,'Coeff EC7'!$T$65:$X$85,2,0)*Model0.1C!DC255)/1.1</f>
        <v>#N/A</v>
      </c>
      <c r="DE255" s="102" t="e">
        <f>(VLOOKUP($B$3,'Coeff EC7'!$T$39:$X$59,3,0)*DB255+VLOOKUP($B$3,'Coeff EC7'!$T$65:$X$85,3,0)*Model0.1C!DC255)/0.9</f>
        <v>#N/A</v>
      </c>
      <c r="DF255" s="102" t="e">
        <f t="shared" si="386"/>
        <v>#N/A</v>
      </c>
      <c r="DG255" s="102" t="e">
        <f t="shared" si="387"/>
        <v>#N/A</v>
      </c>
      <c r="DH255" s="414" t="e">
        <f>IF(DH254=0,0,IF(AND(DD255&gt;charge_ELS_quasi,DE255&gt;Charge_ELS_freq,DF255&gt;charge_ELU,DG255&gt;charge_ELA,$B255&gt;NDC!$H$22-0.1+MIN(3*$DH$12,1.5)),0,1))</f>
        <v>#N/A</v>
      </c>
      <c r="DI255" s="86" t="b">
        <f t="shared" si="355"/>
        <v>0</v>
      </c>
      <c r="DJ255" s="86">
        <f t="shared" si="356"/>
        <v>0.5</v>
      </c>
      <c r="DK255" s="86">
        <f t="shared" si="357"/>
        <v>0.5</v>
      </c>
      <c r="DL255" s="30" t="e">
        <f t="shared" ca="1" si="388"/>
        <v>#DIV/0!</v>
      </c>
      <c r="DM255" s="85" t="e">
        <f ca="1">IF(CS255&lt;=Hypothèses!$V$7,Hypothèses!$W$7,IF(CS255&lt;=Hypothèses!$V$8,Hypothèses!$W$8,IF(CS255&lt;=Hypothèses!$V$9,Hypothèses!$W$9,IF(CS255&lt;=Hypothèses!$V$10,Hypothèses!$W$10,IF(CS255&lt;=Hypothèses!$V$11,Hypothèses!$W$11,IF(CS255&lt;=Hypothèses!$V$12,Hypothèses!$W$12,IF(CS255&lt;=Hypothèses!$V$13,Hypothèses!$W$13,IF(CS255&lt;=Hypothèses!$V$14,Hypothèses!$W$14,IF(CS255&lt;=Hypothèses!$V$15,Hypothèses!$W$15,IF(CS255&lt;=Hypothèses!$V$16,Hypothèses!$W$16,IF(CS255&lt;=Hypothèses!$V$17,Hypothèses!$W$17,IF(CS255&lt;=Hypothèses!$V$18,Hypothèses!$W$18,""))))))))))))</f>
        <v>#DIV/0!</v>
      </c>
      <c r="DN255" s="87" t="e">
        <f t="shared" ca="1" si="421"/>
        <v>#DIV/0!</v>
      </c>
      <c r="DO255" s="88" t="e">
        <f ca="1">IF(CS255&lt;=Hypothèses!$V$7,Hypothèses!$X$7,IF(CS255&lt;=Hypothèses!$V$8,Hypothèses!$X$8,IF(CS255&lt;=Hypothèses!$V$9,Hypothèses!$X$9,IF(CS255&lt;=Hypothèses!$V$10,Hypothèses!$X$10,IF(CS255&lt;=Hypothèses!$V$11,Hypothèses!$X$11,IF(CS255&lt;=Hypothèses!$V$12,Hypothèses!$X$12,IF(CS255&lt;=Hypothèses!$V$13,Hypothèses!$X$13,IF(CS255&lt;=Hypothèses!$V$14,Hypothèses!$X$14,IF(CS255&lt;=Hypothèses!$V$15,Hypothèses!$X$15,IF(CS255&lt;=Hypothèses!$V$16,Hypothèses!$X$16,IF(CS255&lt;=Hypothèses!$U$17,Hypothèses!$W$17,IF(CS255&lt;=Hypothèses!$U$18,Hypothèses!$W$18,""))))))))))))</f>
        <v>#DIV/0!</v>
      </c>
      <c r="DP255" s="95" t="e">
        <f t="shared" ca="1" si="389"/>
        <v>#DIV/0!</v>
      </c>
      <c r="DQ255" s="101" t="e">
        <f t="shared" si="428"/>
        <v>#N/A</v>
      </c>
      <c r="DR255" s="91" t="e">
        <f t="shared" si="358"/>
        <v>#N/A</v>
      </c>
      <c r="DS255" s="30" t="e">
        <f t="shared" si="410"/>
        <v>#N/A</v>
      </c>
      <c r="DT255" s="30" t="e">
        <f t="shared" si="411"/>
        <v>#N/A</v>
      </c>
      <c r="DU255" s="31" t="e">
        <f>IF(OR(Hypothèses!$B$4=17,Hypothèses!$B$4=18,Hypothèses!$B$4=19,Hypothèses!$B$4=20),
IF($D255="Pressio.",
IF(OR($E255=3,$E255=1,$E255=4),DT255,DS255),
IF($D255="Pénétro.",
IF(OR($E255=3,$E255=1,$E255=4),DT255,DS255))),IF($D255="Pressio.",
IF($E255=3,DT255,DS255),
IF($D255="Pénétro.",
IF($E255=4,DT255,DS255))))</f>
        <v>#N/A</v>
      </c>
      <c r="DV255" s="31" t="e">
        <f>(IF(OR(Hypothèses!$B$4=17,Hypothèses!$B$4=18,Hypothèses!$B$4=19,Hypothèses!$B$4=20),
IF($D255="Pressio.",
IF(OR($E255=3,$E255=1,$E255=4),(PI()*DV$12^2)/4*(DR255*$W255*1000)/($H255*$B$5),(PI()*DV$12^2)/4*(DR255*$W255*1000)/($G255*$B$5)),
IF($D255="Pénétro.",
IF(OR($E255=4,$E255=1,$E255=5),(PI()*DV$12^2)/4*(DR255*$W255*1000)/($H255*$B$5),(PI()*DV$12^2)/4*(DR255*$W255*1000)/($G255*$B$5)))),
IF($D255="Pressio.",
IF($E255=3,(PI()*DV$12^2)/4*(DR255*$W255*1000)/($H255*$B$5),(PI()*DV$12^2)/4*(DR255*$W255*1000)/($G255*$B$5)),
IF($D255="Pénétro.",
IF($E255=4,(PI()*DV$12^2)/4*(DR255*$W255*1000)/($H255*$B$5),(PI()*DV$12^2)/4*(DR255*$W255*1000)/($G255*$B$5))))))/10</f>
        <v>#N/A</v>
      </c>
      <c r="DW255" s="102" t="e">
        <f>(VLOOKUP($B$3,'Coeff EC7'!$T$39:$X$59,2,0)*DU255+VLOOKUP($B$3,'Coeff EC7'!$T$65:$X$85,2,0)*Model0.1C!DV255)/1.1</f>
        <v>#N/A</v>
      </c>
      <c r="DX255" s="102" t="e">
        <f>(VLOOKUP($B$3,'Coeff EC7'!$T$39:$X$59,3,0)*DU255+VLOOKUP($B$3,'Coeff EC7'!$T$65:$X$85,3,0)*Model0.1C!DV255)/0.9</f>
        <v>#N/A</v>
      </c>
      <c r="DY255" s="102" t="e">
        <f t="shared" si="390"/>
        <v>#N/A</v>
      </c>
      <c r="DZ255" s="102" t="e">
        <f t="shared" si="391"/>
        <v>#N/A</v>
      </c>
      <c r="EA255" s="414" t="e">
        <f>IF(EA254=0,0,IF(AND(DW255&gt;charge_ELS_quasi,DX255&gt;Charge_ELS_freq,DY255&gt;charge_ELU,DZ255&gt;charge_ELA,$B255&gt;NDC!$H$22-0.1+MIN(3*$EA$12,1.5)),0,1))</f>
        <v>#N/A</v>
      </c>
      <c r="EB255" s="86" t="b">
        <f t="shared" si="359"/>
        <v>0</v>
      </c>
      <c r="EC255" s="418">
        <f t="shared" si="360"/>
        <v>0.51</v>
      </c>
      <c r="ED255" s="86">
        <f t="shared" si="361"/>
        <v>0.51</v>
      </c>
      <c r="EE255" s="30" t="e">
        <f t="shared" ca="1" si="392"/>
        <v>#DIV/0!</v>
      </c>
      <c r="EF255" s="85" t="e">
        <f ca="1">IF(DL255&lt;=Hypothèses!$V$7,Hypothèses!$W$7,IF(DL255&lt;=Hypothèses!$V$8,Hypothèses!$W$8,IF(DL255&lt;=Hypothèses!$V$9,Hypothèses!$W$9,IF(DL255&lt;=Hypothèses!$V$10,Hypothèses!$W$10,IF(DL255&lt;=Hypothèses!$V$11,Hypothèses!$W$11,IF(DL255&lt;=Hypothèses!$V$12,Hypothèses!$W$12,IF(DL255&lt;=Hypothèses!$V$13,Hypothèses!$W$13,IF(DL255&lt;=Hypothèses!$V$14,Hypothèses!$W$14,IF(DL255&lt;=Hypothèses!$V$15,Hypothèses!$W$15,IF(DL255&lt;=Hypothèses!$V$16,Hypothèses!$W$16,IF(DL255&lt;=Hypothèses!$V$17,Hypothèses!$W$17,IF(DL255&lt;=Hypothèses!$V$18,Hypothèses!$W$18,""))))))))))))</f>
        <v>#DIV/0!</v>
      </c>
      <c r="EG255" s="87" t="e">
        <f t="shared" ca="1" si="422"/>
        <v>#DIV/0!</v>
      </c>
      <c r="EH255" s="88" t="e">
        <f ca="1">IF(DL255&lt;=Hypothèses!$V$7,Hypothèses!$X$7,IF(DL255&lt;=Hypothèses!$V$8,Hypothèses!$X$8,IF(DL255&lt;=Hypothèses!$V$9,Hypothèses!$X$9,IF(DL255&lt;=Hypothèses!$V$10,Hypothèses!$X$10,IF(DL255&lt;=Hypothèses!$V$11,Hypothèses!$X$11,IF(DL255&lt;=Hypothèses!$V$12,Hypothèses!$X$12,IF(DL255&lt;=Hypothèses!$V$13,Hypothèses!$X$13,IF(DL255&lt;=Hypothèses!$V$14,Hypothèses!$X$14,IF(DL255&lt;=Hypothèses!$V$15,Hypothèses!$X$15,IF(DL255&lt;=Hypothèses!$V$16,Hypothèses!$X$16,IF(DL255&lt;=Hypothèses!$U$17,Hypothèses!$W$17,IF(DL255&lt;=Hypothèses!$U$18,Hypothèses!$W$18,""))))))))))))</f>
        <v>#DIV/0!</v>
      </c>
      <c r="EI255" s="95" t="e">
        <f t="shared" ca="1" si="393"/>
        <v>#DIV/0!</v>
      </c>
      <c r="EJ255" s="101" t="e">
        <f t="shared" si="429"/>
        <v>#N/A</v>
      </c>
      <c r="EK255" s="91" t="e">
        <f t="shared" si="362"/>
        <v>#N/A</v>
      </c>
      <c r="EL255" s="30" t="e">
        <f t="shared" si="412"/>
        <v>#N/A</v>
      </c>
      <c r="EM255" s="30" t="e">
        <f t="shared" si="413"/>
        <v>#N/A</v>
      </c>
      <c r="EN255" s="31" t="e">
        <f>IF(OR(Hypothèses!$B$4=17,Hypothèses!$B$4=18,Hypothèses!$B$4=19,Hypothèses!$B$4=20),
IF($D255="Pressio.",
IF(OR($E255=3,$E255=1,$E255=4),EM255,EL255),
IF($D255="Pénétro.",
IF(OR($E255=3,$E255=1,$E255=4),EM255,EL255))),IF($D255="Pressio.",
IF($E255=3,EM255,EL255),
IF($D255="Pénétro.",
IF($E255=4,EM255,EL255))))</f>
        <v>#N/A</v>
      </c>
      <c r="EO255" s="31" t="e">
        <f>(IF(OR(Hypothèses!$B$4=17,Hypothèses!$B$4=18,Hypothèses!$B$4=19,Hypothèses!$B$4=20),
IF($D255="Pressio.",
IF(OR($E255=3,$E255=1,$E255=4),(PI()*EO$12^2)/4*(EK255*$W255*1000)/($H255*$B$5),(PI()*EO$12^2)/4*(EK255*$W255*1000)/($G255*$B$5)),
IF($D255="Pénétro.",
IF(OR($E255=4,$E255=1,$E255=5),(PI()*EO$12^2)/4*(EK255*$W255*1000)/($H255*$B$5),(PI()*EO$12^2)/4*(EK255*$W255*1000)/($G255*$B$5)))),
IF($D255="Pressio.",
IF($E255=3,(PI()*EO$12^2)/4*(EK255*$W255*1000)/($H255*$B$5),(PI()*EO$12^2)/4*(EK255*$W255*1000)/($G255*$B$5)),
IF($D255="Pénétro.",
IF($E255=4,(PI()*EO$12^2)/4*(EK255*$W255*1000)/($H255*$B$5),(PI()*EO$12^2)/4*(EK255*$W255*1000)/($G255*$B$5))))))/10</f>
        <v>#N/A</v>
      </c>
      <c r="EP255" s="102" t="e">
        <f>(VLOOKUP($B$3,'Coeff EC7'!$T$39:$X$59,2,0)*EN255+VLOOKUP($B$3,'Coeff EC7'!$T$65:$X$85,2,0)*Model0.1C!EO255)/1.1</f>
        <v>#N/A</v>
      </c>
      <c r="EQ255" s="102" t="e">
        <f>(VLOOKUP($B$3,'Coeff EC7'!$T$39:$X$59,3,0)*EN255+VLOOKUP($B$3,'Coeff EC7'!$T$65:$X$85,3,0)*Model0.1C!EO255)/0.9</f>
        <v>#N/A</v>
      </c>
      <c r="ER255" s="102" t="e">
        <f t="shared" si="394"/>
        <v>#N/A</v>
      </c>
      <c r="ES255" s="102" t="e">
        <f t="shared" si="395"/>
        <v>#N/A</v>
      </c>
      <c r="ET255" s="414" t="e">
        <f>IF(ET254=0,0,IF(AND(EP255&gt;charge_ELS_quasi,EQ255&gt;Charge_ELS_freq,ER255&gt;charge_ELU,ES255&gt;charge_ELA,$B255&gt;NDC!$H$22-0.1+MIN(3*$ET$12,1.5)),0,1))</f>
        <v>#N/A</v>
      </c>
      <c r="EU255" s="86" t="b">
        <f t="shared" si="363"/>
        <v>0</v>
      </c>
      <c r="EV255" s="86">
        <f t="shared" si="364"/>
        <v>0.61</v>
      </c>
      <c r="EW255" s="86">
        <f t="shared" si="365"/>
        <v>0.61</v>
      </c>
      <c r="EX255" s="30" t="e">
        <f t="shared" ca="1" si="396"/>
        <v>#DIV/0!</v>
      </c>
      <c r="EY255" s="85" t="e">
        <f ca="1">IF(EE255&lt;=Hypothèses!$V$7,Hypothèses!$W$7,IF(EE255&lt;=Hypothèses!$V$8,Hypothèses!$W$8,IF(EE255&lt;=Hypothèses!$V$9,Hypothèses!$W$9,IF(EE255&lt;=Hypothèses!$V$10,Hypothèses!$W$10,IF(EE255&lt;=Hypothèses!$V$11,Hypothèses!$W$11,IF(EE255&lt;=Hypothèses!$V$12,Hypothèses!$W$12,IF(EE255&lt;=Hypothèses!$V$13,Hypothèses!$W$13,IF(EE255&lt;=Hypothèses!$V$14,Hypothèses!$W$14,IF(EE255&lt;=Hypothèses!$V$15,Hypothèses!$W$15,IF(EE255&lt;=Hypothèses!$V$16,Hypothèses!$W$16,IF(EE255&lt;=Hypothèses!$V$17,Hypothèses!$W$17,IF(EE255&lt;=Hypothèses!$V$18,Hypothèses!$W$18,""))))))))))))</f>
        <v>#DIV/0!</v>
      </c>
      <c r="EZ255" s="87" t="e">
        <f t="shared" ca="1" si="423"/>
        <v>#DIV/0!</v>
      </c>
      <c r="FA255" s="88" t="e">
        <f ca="1">IF(EE255&lt;=Hypothèses!$V$7,Hypothèses!$X$7,IF(EE255&lt;=Hypothèses!$V$8,Hypothèses!$X$8,IF(EE255&lt;=Hypothèses!$V$9,Hypothèses!$X$9,IF(EE255&lt;=Hypothèses!$V$10,Hypothèses!$X$10,IF(EE255&lt;=Hypothèses!$V$11,Hypothèses!$X$11,IF(EE255&lt;=Hypothèses!$V$12,Hypothèses!$X$12,IF(EE255&lt;=Hypothèses!$V$13,Hypothèses!$X$13,IF(EE255&lt;=Hypothèses!$V$14,Hypothèses!$X$14,IF(EE255&lt;=Hypothèses!$V$15,Hypothèses!$X$15,IF(EE255&lt;=Hypothèses!$V$16,Hypothèses!$X$16,IF(EE255&lt;=Hypothèses!$U$17,Hypothèses!$W$17,IF(EE255&lt;=Hypothèses!$U$18,Hypothèses!$W$18,""))))))))))))</f>
        <v>#DIV/0!</v>
      </c>
      <c r="FB255" s="95" t="e">
        <f t="shared" ca="1" si="397"/>
        <v>#DIV/0!</v>
      </c>
      <c r="FC255" s="101" t="e">
        <f t="shared" si="430"/>
        <v>#N/A</v>
      </c>
      <c r="FD255" s="91" t="e">
        <f t="shared" si="366"/>
        <v>#N/A</v>
      </c>
      <c r="FE255" s="30" t="e">
        <f t="shared" si="414"/>
        <v>#N/A</v>
      </c>
      <c r="FF255" s="30" t="e">
        <f t="shared" si="415"/>
        <v>#N/A</v>
      </c>
      <c r="FG255" s="31" t="e">
        <f>IF(OR(Hypothèses!$B$4=17,Hypothèses!$B$4=18,Hypothèses!$B$4=19,Hypothèses!$B$4=20),
IF($D255="Pressio.",
IF(OR($E255=3,$E255=1,$E255=4),FF255,FE255),
IF($D255="Pénétro.",
IF(OR($E255=3,$E255=1,$E255=4),FF255,FE255))),IF($D255="Pressio.",
IF($E255=3,FF255,FE255),
IF($D255="Pénétro.",
IF($E255=4,FF255,FE255))))</f>
        <v>#N/A</v>
      </c>
      <c r="FH255" s="31" t="e">
        <f>(IF(OR(Hypothèses!$B$4=17,Hypothèses!$B$4=18,Hypothèses!$B$4=19,Hypothèses!$B$4=20),
IF($D255="Pressio.",
IF(OR($E255=3,$E255=1,$E255=4),(PI()*FH$12^2)/4*(FD255*$W255*1000)/($H255*$B$5),(PI()*FH$12^2)/4*(FD255*$W255*1000)/($G255*$B$5)),
IF($D255="Pénétro.",
IF(OR($E255=4,$E255=1,$E255=5),(PI()*FH$12^2)/4*(FD255*$W255*1000)/($H255*$B$5),(PI()*FH$12^2)/4*(FD255*$W255*1000)/($G255*$B$5)))),
IF($D255="Pressio.",
IF($E255=3,(PI()*FH$12^2)/4*(FD255*$W255*1000)/($H255*$B$5),(PI()*FH$12^2)/4*(FD255*$W255*1000)/($G255*$B$5)),
IF($D255="Pénétro.",
IF($E255=4,(PI()*FH$12^2)/4*(FD255*$W255*1000)/($H255*$B$5),(PI()*FH$12^2)/4*(FD255*$W255*1000)/($G255*$B$5))))))/10</f>
        <v>#N/A</v>
      </c>
      <c r="FI255" s="102" t="e">
        <f>(VLOOKUP($B$3,'Coeff EC7'!$T$39:$X$59,2,0)*FG255+VLOOKUP($B$3,'Coeff EC7'!$T$65:$X$85,2,0)*Model0.1C!FH255)/1.1</f>
        <v>#N/A</v>
      </c>
      <c r="FJ255" s="102" t="e">
        <f>(VLOOKUP($B$3,'Coeff EC7'!$T$39:$X$59,3,0)*FG255+VLOOKUP($B$3,'Coeff EC7'!$T$65:$X$85,3,0)*Model0.1C!FH255)/0.9</f>
        <v>#N/A</v>
      </c>
      <c r="FK255" s="102" t="e">
        <f t="shared" si="398"/>
        <v>#N/A</v>
      </c>
      <c r="FL255" s="102" t="e">
        <f t="shared" si="399"/>
        <v>#N/A</v>
      </c>
      <c r="FM255" s="414" t="e">
        <f>IF(FM254=0,0,IF(AND(FI255&gt;charge_ELS_quasi,FJ255&gt;Charge_ELS_freq,FK255&gt;charge_ELU,FL255&gt;charge_ELA,$B255&gt;NDC!$H$22-0.1+MIN(3*$FM$12,1.5)),0,1))</f>
        <v>#N/A</v>
      </c>
    </row>
    <row r="256" spans="1:169">
      <c r="A256" s="96">
        <f t="shared" si="367"/>
        <v>75.700000000001381</v>
      </c>
      <c r="B256" s="97">
        <v>24.3</v>
      </c>
      <c r="C256" s="81">
        <f>IF(B256&lt;=Hypothèses!$C$7,Hypothèses!$A$7,IF(B256&lt;=Hypothèses!$C$8,Hypothèses!$A$8,IF(B256&lt;=Hypothèses!$C$9,Hypothèses!$A$9,IF(B256&lt;=Hypothèses!$C$10,Hypothèses!$A$10,IF(B256&lt;=Hypothèses!$C$11,Hypothèses!$A$11,IF(B256&lt;=Hypothèses!$C$12,Hypothèses!$A$12,IF(B256&lt;=Hypothèses!$C$13,Hypothèses!$A$13,IF(B256&lt;=Hypothèses!$C$14,Hypothèses!$A$14,IF(B256&lt;=Hypothèses!$C$15,Hypothèses!$A$15,IF(B256&lt;=Hypothèses!$C$16,Hypothèses!$A$16,IF(B256&lt;=Hypothèses!$C$17,Hypothèses!$A$17,IF(B256&lt;=Hypothèses!$C$18,Hypothèses!$A$18,C255))))))))))))</f>
        <v>11</v>
      </c>
      <c r="D256" s="82" t="str">
        <f>IF(B256&lt;=Hypothèses!$C$7,Hypothèses!$R$7,IF(B256&lt;=Hypothèses!$C$8,Hypothèses!$R$8,IF(B256&lt;=Hypothèses!$C$9,Hypothèses!$R$9,IF(B256&lt;=Hypothèses!$C$10,Hypothèses!$R$10,IF(B256&lt;=Hypothèses!$C$11,Hypothèses!$R$11,IF(B256&lt;=Hypothèses!$C$12,Hypothèses!$R$12,IF(B256&lt;=Hypothèses!$C$13,Hypothèses!$R$13,IF(B256&lt;=Hypothèses!$C$14,Hypothèses!$R$14,IF(B256&lt;=Hypothèses!$C$15,Hypothèses!$R$15,IF(B256&lt;=Hypothèses!$C$16,Hypothèses!$R$16,IF(B256&lt;=Hypothèses!$C$17,Hypothèses!$R$17,IF(B256&lt;=Hypothèses!$C$18,Hypothèses!$R$18,D255))))))))))))</f>
        <v>Pressio.</v>
      </c>
      <c r="E256" s="82" t="e">
        <f>IF(B256&lt;=Hypothèses!$C$7,Hypothèses!$G$7,IF(B256&lt;=Hypothèses!$C$8,Hypothèses!$G$8,IF(B256&lt;=Hypothèses!$C$9,Hypothèses!$G$9,IF(B256&lt;=Hypothèses!$C$10,Hypothèses!$G$10,IF(B256&lt;=Hypothèses!$C$11,Hypothèses!$G$11,IF(B256&lt;=Hypothèses!$C$12,Hypothèses!$G$12,IF(B256&lt;=Hypothèses!$C$13,Hypothèses!$G$13,IF(B256&lt;=Hypothèses!$C$14,Hypothèses!$G$14,IF(B256&lt;=Hypothèses!$C$15,Hypothèses!$G$15,IF(B256&lt;=Hypothèses!$C$16,Hypothèses!$G$16,IF(B256&lt;=Hypothèses!$C$17,Hypothèses!$G$17,IF(B256&lt;=Hypothèses!$C$18,Hypothèses!$G$18,E255))))))))))))</f>
        <v>#N/A</v>
      </c>
      <c r="F256" s="82" t="str">
        <f>IF(B256&lt;=Hypothèses!$C$7,Hypothèses!$F$7,IF(B256&lt;=Hypothèses!$C$8,Hypothèses!$F$8,IF(B256&lt;=Hypothèses!$C$9,Hypothèses!$F$9,IF(B256&lt;=Hypothèses!$C$10,Hypothèses!$F$10,IF(B256&lt;=Hypothèses!$C$11,Hypothèses!$F$11,IF(B256&lt;=Hypothèses!$C$12,Hypothèses!$F$12,IF(B256&lt;=Hypothèses!$C$13,Hypothèses!$F$13,IF(B256&lt;=Hypothèses!$C$14,Hypothèses!$F$14,IF(B256&lt;=Hypothèses!$C$15,Hypothèses!$F$15,IF(B256&lt;=Hypothèses!$C$16,Hypothèses!$F$16,IF(B256&lt;=Hypothèses!$C$17,Hypothèses!$F$17,IF(B256&lt;=Hypothèses!$C$18,Hypothèses!$F$18,F255))))))))))))</f>
        <v/>
      </c>
      <c r="G256" s="91">
        <f t="array" ref="G256">INDEX('Coeff EC7'!$U$7:$X$27,
MATCH(Model0.1C!$B$3,'Coeff EC7'!$T$7:$T$27,0),
MATCH(Model0.1C!$D256&amp;Model0.1C!$B$4,
'Coeff EC7'!$U$6:$X$6&amp;
'Coeff EC7'!$U$5:$X$5,0))</f>
        <v>1.1499999999999999</v>
      </c>
      <c r="H256" s="91">
        <f t="array" ref="H256">INDEX('Coeff EC7'!$Y$7:$AB$27,
MATCH(Model0.1C!$B$3,'Coeff EC7'!$T$7:$T$27,0),
MATCH(Model0.1C!$D256&amp;Model0.1C!$B$4,
'Coeff EC7'!$Y$6:$AB$6&amp;
'Coeff EC7'!$Y$5:$AB$5,0))</f>
        <v>1.4</v>
      </c>
      <c r="I256" s="83" t="e">
        <f>IF(B256&lt;=Hypothèses!$C$7,Hypothèses!$P$7,IF(B256&lt;=Hypothèses!$C$8,Hypothèses!$P$8,IF(B256&lt;=Hypothèses!$C$9,Hypothèses!$P$9,IF(B256&lt;=Hypothèses!$C$10,Hypothèses!$P$10,IF(B256&lt;=Hypothèses!$C$11,Hypothèses!$P$11,IF(B256&lt;=Hypothèses!$C$12,Hypothèses!$P$12,IF(B256&lt;=Hypothèses!$C$13,Hypothèses!$P$13,IF(B256&lt;=Hypothèses!$C$14,Hypothèses!$P$14,IF(B256&lt;=Hypothèses!$C$15,Hypothèses!$P$15,IF(B256&lt;=Hypothèses!$C$16,Hypothèses!$P$16,IF(B256&lt;=Hypothèses!$C$17,Hypothèses!$P$17,IF(B256&lt;=Hypothèses!$C$18,Hypothèses!$P$18,I255))))))))))))</f>
        <v>#N/A</v>
      </c>
      <c r="J256" s="91" t="e">
        <f t="array" ref="J256">INDEX('Coeff EC7'!$D$33:$Q$33,1,MATCH(D256&amp;E256,'Coeff EC7'!$D$31:$Q$31&amp;'Coeff EC7'!$D$32:$Q$32,0))</f>
        <v>#N/A</v>
      </c>
      <c r="K256" s="91" t="e">
        <f t="array" ref="K256">INDEX('Coeff EC7'!$D$34:$Q$34,1,MATCH(D256&amp;E256,'Coeff EC7'!$D$31:$Q$31&amp;'Coeff EC7'!$D$32:$Q$32,0))</f>
        <v>#N/A</v>
      </c>
      <c r="L256" s="91" t="e">
        <f t="array" ref="L256">INDEX('Coeff EC7'!$D$35:$Q$35,1,MATCH(D256&amp;E256,'Coeff EC7'!$D$31:$Q$31&amp;'Coeff EC7'!$D$32:$Q$32,0))</f>
        <v>#N/A</v>
      </c>
      <c r="M256" s="98" t="e">
        <f t="shared" si="331"/>
        <v>#N/A</v>
      </c>
      <c r="N256" s="99" t="e">
        <f t="array" ref="N256">INDEX('Coeff EC7'!$D$7:$Q$27,MATCH($B$3,'Coeff EC7'!$C$7:$C$27,0),MATCH(D256&amp;E256,'Coeff EC7'!$D$5:$Q$5&amp;'Coeff EC7'!$D$6:$Q$6,0))</f>
        <v>#N/A</v>
      </c>
      <c r="O256" s="99" t="e">
        <f t="array" ref="O256">INDEX('Coeff EC7'!$D$41:$Q$61,MATCH($B$3,'Coeff EC7'!$C$41:$C$61,0),MATCH(D256&amp;E256,'Coeff EC7'!$D$39:$Q$39&amp;'Coeff EC7'!$D$40:$Q$40,0))</f>
        <v>#N/A</v>
      </c>
      <c r="P256" s="30" t="e">
        <f t="shared" si="368"/>
        <v>#N/A</v>
      </c>
      <c r="Q256" s="100" t="e">
        <f t="shared" si="333"/>
        <v>#N/A</v>
      </c>
      <c r="R256" s="86" t="b">
        <f t="shared" si="334"/>
        <v>0</v>
      </c>
      <c r="S256" s="86">
        <f t="shared" si="332"/>
        <v>0.5</v>
      </c>
      <c r="T256" s="86">
        <f t="shared" si="335"/>
        <v>0.5</v>
      </c>
      <c r="U256" s="30" t="e">
        <f t="shared" ca="1" si="369"/>
        <v>#DIV/0!</v>
      </c>
      <c r="V256" s="85" t="str">
        <f>IF(B256&lt;=Hypothèses!$V$7,Hypothèses!$W$7,IF(B256&lt;=Hypothèses!$V$8,Hypothèses!$W$8,IF(B256&lt;=Hypothèses!$V$9,Hypothèses!$W$9,IF(B256&lt;=Hypothèses!$V$10,Hypothèses!$W$10,IF(B256&lt;=Hypothèses!$V$11,Hypothèses!$W$11,IF(B256&lt;=Hypothèses!$V$12,Hypothèses!$W$12,IF(B256&lt;=Hypothèses!$V$13,Hypothèses!$W$13,IF(B256&lt;=Hypothèses!$V$14,Hypothèses!$W$14,IF(B256&lt;=Hypothèses!$V$15,Hypothèses!$W$15,IF(B256&lt;=Hypothèses!$V$16,Hypothèses!$W$16,IF(B256&lt;=Hypothèses!$V$17,Hypothèses!$W$17,IF(B256&lt;=Hypothèses!$V$18,Hypothèses!$W$18,""))))))))))))</f>
        <v/>
      </c>
      <c r="W256" s="87" t="e">
        <f t="shared" ca="1" si="416"/>
        <v>#DIV/0!</v>
      </c>
      <c r="X256" s="88" t="str">
        <f>IF(B256&lt;=Hypothèses!$V$7,Hypothèses!$X$7,IF(B256&lt;=Hypothèses!$V$8,Hypothèses!$X$8,IF(B256&lt;=Hypothèses!$V$9,Hypothèses!$X$9,IF(B256&lt;=Hypothèses!$V$10,Hypothèses!$X$10,IF(B256&lt;=Hypothèses!$V$11,Hypothèses!$X$11,IF(B256&lt;=Hypothèses!$V$12,Hypothèses!$X$12,IF(B256&lt;=Hypothèses!$V$13,Hypothèses!$X$13,IF(B256&lt;=Hypothèses!$V$14,Hypothèses!$X$14,IF(B256&lt;=Hypothèses!$V$15,Hypothèses!$X$15,IF(B256&lt;=Hypothèses!$V$16,Hypothèses!$X$16,IF(B256&lt;=Hypothèses!$U$17,Hypothèses!$W$17,IF(B256&lt;=Hypothèses!$U$18,Hypothèses!$W$18,""))))))))))))</f>
        <v/>
      </c>
      <c r="Y256" s="95" t="e">
        <f t="shared" ca="1" si="336"/>
        <v>#DIV/0!</v>
      </c>
      <c r="Z256" s="101" t="e">
        <f t="shared" si="337"/>
        <v>#N/A</v>
      </c>
      <c r="AA256" s="91" t="e">
        <f t="shared" si="338"/>
        <v>#N/A</v>
      </c>
      <c r="AB256" s="30" t="e">
        <f t="shared" si="400"/>
        <v>#N/A</v>
      </c>
      <c r="AC256" s="30" t="e">
        <f t="shared" si="401"/>
        <v>#N/A</v>
      </c>
      <c r="AD256" s="31" t="e">
        <f>IF(OR(Hypothèses!$B$4=17,Hypothèses!$B$4=18,Hypothèses!$B$4=19,Hypothèses!$B$4=20),
IF($D256="Pressio.",
IF(OR($E256=3,$E256=1,$E256=4),AC256,AB256),
IF($D256="Pénétro.",
IF(OR($E256=3,$E256=1,$E256=4),AC256,AB256))),IF($D256="Pressio.",
IF($E256=3,AC256,AB256),
IF($D256="Pénétro.",
IF($E256=4,AC256,AB256))))</f>
        <v>#N/A</v>
      </c>
      <c r="AE256" s="31" t="e">
        <f>(IF(OR(Hypothèses!$B$4=17,Hypothèses!$B$4=18,Hypothèses!$B$4=19,Hypothèses!$B$4=20),
IF($D256="Pressio.",
IF(OR($E256=3,$E256=1,$E256=4),(PI()*AE$12^2)/4*(AA256*$W256*1000)/($H256*$B$5),(PI()*AE$12^2)/4*(AA256*$W256*1000)/($G256*$B$5)),
IF($D256="Pénétro.",
IF(OR($E256=4,$E256=1,$E256=5),(PI()*AE$12^2)/4*(AA256*$W256*1000)/($H256*$B$5),(PI()*AE$12^2)/4*(AA256*$W256*1000)/($G256*$B$5)))),
IF($D256="Pressio.",
IF($E256=3,(PI()*AE$12^2)/4*(AA256*$W256*1000)/($H256*$B$5),(PI()*AE$12^2)/4*(AA256*$W256*1000)/($G256*$B$5)),
IF($D256="Pénétro.",
IF($E256=4,(PI()*AE$12^2)/4*(AA256*$W256*1000)/($H256*$B$5),(PI()*AE$12^2)/4*(AA256*$W256*1000)/($G256*$B$5))))))/10</f>
        <v>#N/A</v>
      </c>
      <c r="AF256" s="102" t="e">
        <f>(VLOOKUP($B$3,'Coeff EC7'!$T$39:$X$59,2,0)*AD256+VLOOKUP($B$3,'Coeff EC7'!$T$65:$X$85,2,0)*Model0.1C!AE256)/1.1</f>
        <v>#N/A</v>
      </c>
      <c r="AG256" s="102" t="e">
        <f>(VLOOKUP($B$3,'Coeff EC7'!$T$39:$X$59,3,0)*AD256+VLOOKUP($B$3,'Coeff EC7'!$T$65:$X$85,3,0)*Model0.1C!AE256)/0.9</f>
        <v>#N/A</v>
      </c>
      <c r="AH256" s="102" t="e">
        <f t="shared" si="339"/>
        <v>#N/A</v>
      </c>
      <c r="AI256" s="102" t="e">
        <f t="shared" si="340"/>
        <v>#N/A</v>
      </c>
      <c r="AJ256" s="414" t="e">
        <f>IF(AJ255=0,0,IF(AND(AF256&gt;charge_ELS_quasi,AG256&gt;Charge_ELS_freq,AH256&gt;charge_ELU,AI256&gt;charge_ELA,$B256&gt;NDC!$H$22-0.1+MIN(3*$AJ$12,1.5)),0,1))</f>
        <v>#N/A</v>
      </c>
      <c r="AK256" s="86" t="b">
        <f t="shared" si="341"/>
        <v>0</v>
      </c>
      <c r="AL256" s="86">
        <f t="shared" si="370"/>
        <v>0.5</v>
      </c>
      <c r="AM256" s="86">
        <f t="shared" si="342"/>
        <v>0.5</v>
      </c>
      <c r="AN256" s="30" t="e">
        <f t="shared" ca="1" si="371"/>
        <v>#DIV/0!</v>
      </c>
      <c r="AO256" s="85" t="e">
        <f ca="1">IF(U256&lt;=Hypothèses!$V$7,Hypothèses!$W$7,IF(U256&lt;=Hypothèses!$V$8,Hypothèses!$W$8,IF(U256&lt;=Hypothèses!$V$9,Hypothèses!$W$9,IF(U256&lt;=Hypothèses!$V$10,Hypothèses!$W$10,IF(U256&lt;=Hypothèses!$V$11,Hypothèses!$W$11,IF(U256&lt;=Hypothèses!$V$12,Hypothèses!$W$12,IF(U256&lt;=Hypothèses!$V$13,Hypothèses!$W$13,IF(U256&lt;=Hypothèses!$V$14,Hypothèses!$W$14,IF(U256&lt;=Hypothèses!$V$15,Hypothèses!$W$15,IF(U256&lt;=Hypothèses!$V$16,Hypothèses!$W$16,IF(U256&lt;=Hypothèses!$V$17,Hypothèses!$W$17,IF(U256&lt;=Hypothèses!$V$18,Hypothèses!$W$18,""))))))))))))</f>
        <v>#DIV/0!</v>
      </c>
      <c r="AP256" s="87" t="e">
        <f t="shared" ca="1" si="417"/>
        <v>#DIV/0!</v>
      </c>
      <c r="AQ256" s="88" t="e">
        <f ca="1">IF(U256&lt;=Hypothèses!$V$7,Hypothèses!$X$7,IF(U256&lt;=Hypothèses!$V$8,Hypothèses!$X$8,IF(U256&lt;=Hypothèses!$V$9,Hypothèses!$X$9,IF(U256&lt;=Hypothèses!$V$10,Hypothèses!$X$10,IF(U256&lt;=Hypothèses!$V$11,Hypothèses!$X$11,IF(U256&lt;=Hypothèses!$V$12,Hypothèses!$X$12,IF(U256&lt;=Hypothèses!$V$13,Hypothèses!$X$13,IF(U256&lt;=Hypothèses!$V$14,Hypothèses!$X$14,IF(U256&lt;=Hypothèses!$V$15,Hypothèses!$X$15,IF(U256&lt;=Hypothèses!$V$16,Hypothèses!$X$16,IF(U256&lt;=Hypothèses!$U$17,Hypothèses!$W$17,IF(U256&lt;=Hypothèses!$U$18,Hypothèses!$W$18,""))))))))))))</f>
        <v>#DIV/0!</v>
      </c>
      <c r="AR256" s="95" t="e">
        <f t="shared" ca="1" si="372"/>
        <v>#DIV/0!</v>
      </c>
      <c r="AS256" s="101" t="e">
        <f t="shared" si="424"/>
        <v>#N/A</v>
      </c>
      <c r="AT256" s="91" t="e">
        <f t="shared" si="343"/>
        <v>#N/A</v>
      </c>
      <c r="AU256" s="30" t="e">
        <f t="shared" si="402"/>
        <v>#N/A</v>
      </c>
      <c r="AV256" s="30" t="e">
        <f t="shared" si="403"/>
        <v>#N/A</v>
      </c>
      <c r="AW256" s="31" t="e">
        <f>IF(OR(Hypothèses!$B$4=17,Hypothèses!$B$4=18,Hypothèses!$B$4=19,Hypothèses!$B$4=20),
IF($D256="Pressio.",
IF(OR($E256=3,$E256=1,$E256=4),AV256,AU256),
IF($D256="Pénétro.",
IF(OR($E256=3,$E256=1,$E256=4),AV256,AU256))),IF($D256="Pressio.",
IF($E256=3,AV256,AU256),
IF($D256="Pénétro.",
IF($E256=4,AV256,AU256))))</f>
        <v>#N/A</v>
      </c>
      <c r="AX256" s="31" t="e">
        <f>(IF(OR(Hypothèses!$B$4=17,Hypothèses!$B$4=18,Hypothèses!$B$4=19,Hypothèses!$B$4=20),
IF($D256="Pressio.",
IF(OR($E256=3,$E256=1,$E256=4),(PI()*AX$12^2)/4*(AT256*$W256*1000)/($H256*$B$5),(PI()*AX$12^2)/4*(AT256*$W256*1000)/($G256*$B$5)),
IF($D256="Pénétro.",
IF(OR($E256=4,$E256=1,$E256=5),(PI()*AX$12^2)/4*(AT256*$W256*1000)/($H256*$B$5),(PI()*AX$12^2)/4*(AT256*$W256*1000)/($G256*$B$5)))),
IF($D256="Pressio.",
IF($E256=3,(PI()*AX$12^2)/4*(AT256*$W256*1000)/($H256*$B$5),(PI()*AX$12^2)/4*(AT256*$W256*1000)/($G256*$B$5)),
IF($D256="Pénétro.",
IF($E256=4,(PI()*AX$12^2)/4*(AT256*$W256*1000)/($H256*$B$5),(PI()*AX$12^2)/4*(AT256*$W256*1000)/($G256*$B$5))))))/10</f>
        <v>#N/A</v>
      </c>
      <c r="AY256" s="102" t="e">
        <f>(VLOOKUP($B$3,'Coeff EC7'!$T$39:$X$59,2,0)*AW256+VLOOKUP($B$3,'Coeff EC7'!$T$65:$X$85,2,0)*Model0.1C!AX256)/1.1</f>
        <v>#N/A</v>
      </c>
      <c r="AZ256" s="102" t="e">
        <f>(VLOOKUP($B$3,'Coeff EC7'!$T$39:$X$59,3,0)*AW256+VLOOKUP($B$3,'Coeff EC7'!$T$65:$X$85,3,0)*Model0.1C!AX256)/0.9</f>
        <v>#N/A</v>
      </c>
      <c r="BA256" s="102" t="e">
        <f t="shared" si="373"/>
        <v>#N/A</v>
      </c>
      <c r="BB256" s="102" t="e">
        <f t="shared" si="374"/>
        <v>#N/A</v>
      </c>
      <c r="BC256" s="414" t="e">
        <f>IF(BC255=0,0,IF(AND(AY256&gt;charge_ELS_quasi,AZ256&gt;Charge_ELS_freq,BA256&gt;charge_ELU,BB256&gt;charge_ELA,$B256&gt;NDC!$H$22-0.1+MIN(3*$BC$12,1.5)),0,1))</f>
        <v>#N/A</v>
      </c>
      <c r="BD256" s="86" t="b">
        <f t="shared" si="344"/>
        <v>0</v>
      </c>
      <c r="BE256" s="86">
        <f t="shared" si="375"/>
        <v>0.5</v>
      </c>
      <c r="BF256" s="86">
        <f t="shared" si="345"/>
        <v>0.5</v>
      </c>
      <c r="BG256" s="30" t="e">
        <f t="shared" ca="1" si="376"/>
        <v>#DIV/0!</v>
      </c>
      <c r="BH256" s="85" t="e">
        <f ca="1">IF(AN256&lt;=Hypothèses!$V$7,Hypothèses!$W$7,IF(AN256&lt;=Hypothèses!$V$8,Hypothèses!$W$8,IF(AN256&lt;=Hypothèses!$V$9,Hypothèses!$W$9,IF(AN256&lt;=Hypothèses!$V$10,Hypothèses!$W$10,IF(AN256&lt;=Hypothèses!$V$11,Hypothèses!$W$11,IF(AN256&lt;=Hypothèses!$V$12,Hypothèses!$W$12,IF(AN256&lt;=Hypothèses!$V$13,Hypothèses!$W$13,IF(AN256&lt;=Hypothèses!$V$14,Hypothèses!$W$14,IF(AN256&lt;=Hypothèses!$V$15,Hypothèses!$W$15,IF(AN256&lt;=Hypothèses!$V$16,Hypothèses!$W$16,IF(AN256&lt;=Hypothèses!$V$17,Hypothèses!$W$17,IF(AN256&lt;=Hypothèses!$V$18,Hypothèses!$W$18,""))))))))))))</f>
        <v>#DIV/0!</v>
      </c>
      <c r="BI256" s="87" t="e">
        <f t="shared" ca="1" si="418"/>
        <v>#DIV/0!</v>
      </c>
      <c r="BJ256" s="88" t="e">
        <f ca="1">IF(AN256&lt;=Hypothèses!$V$7,Hypothèses!$X$7,IF(AN256&lt;=Hypothèses!$V$8,Hypothèses!$X$8,IF(AN256&lt;=Hypothèses!$V$9,Hypothèses!$X$9,IF(AN256&lt;=Hypothèses!$V$10,Hypothèses!$X$10,IF(AN256&lt;=Hypothèses!$V$11,Hypothèses!$X$11,IF(AN256&lt;=Hypothèses!$V$12,Hypothèses!$X$12,IF(AN256&lt;=Hypothèses!$V$13,Hypothèses!$X$13,IF(AN256&lt;=Hypothèses!$V$14,Hypothèses!$X$14,IF(AN256&lt;=Hypothèses!$V$15,Hypothèses!$X$15,IF(AN256&lt;=Hypothèses!$V$16,Hypothèses!$X$16,IF(AN256&lt;=Hypothèses!$U$17,Hypothèses!$W$17,IF(AN256&lt;=Hypothèses!$U$18,Hypothèses!$W$18,""))))))))))))</f>
        <v>#DIV/0!</v>
      </c>
      <c r="BK256" s="95" t="e">
        <f t="shared" ca="1" si="377"/>
        <v>#DIV/0!</v>
      </c>
      <c r="BL256" s="101" t="e">
        <f t="shared" si="425"/>
        <v>#N/A</v>
      </c>
      <c r="BM256" s="91" t="e">
        <f t="shared" si="346"/>
        <v>#N/A</v>
      </c>
      <c r="BN256" s="30" t="e">
        <f t="shared" si="404"/>
        <v>#N/A</v>
      </c>
      <c r="BO256" s="30" t="e">
        <f t="shared" si="405"/>
        <v>#N/A</v>
      </c>
      <c r="BP256" s="31" t="e">
        <f>IF(OR(Hypothèses!$B$4=17,Hypothèses!$B$4=18,Hypothèses!$B$4=19,Hypothèses!$B$4=20),
IF($D256="Pressio.",
IF(OR($E256=3,$E256=1,$E256=4),BO256,BN256),
IF($D256="Pénétro.",
IF(OR($E256=3,$E256=1,$E256=4),BO256,BN256))),IF($D256="Pressio.",
IF($E256=3,BO256,BN256),
IF($D256="Pénétro.",
IF($E256=4,BO256,BN256))))</f>
        <v>#N/A</v>
      </c>
      <c r="BQ256" s="31" t="e">
        <f>(IF(OR(Hypothèses!$B$4=17,Hypothèses!$B$4=18,Hypothèses!$B$4=19,Hypothèses!$B$4=20),
IF($D256="Pressio.",
IF(OR($E256=3,$E256=1,$E256=4),(PI()*BQ$12^2)/4*(BM256*$W256*1000)/($H256*$B$5),(PI()*BQ$12^2)/4*(BM256*$W256*1000)/($G256*$B$5)),
IF($D256="Pénétro.",
IF(OR($E256=4,$E256=1,$E256=5),(PI()*BQ$12^2)/4*(BM256*$W256*1000)/($H256*$B$5),(PI()*BQ$12^2)/4*(BM256*$W256*1000)/($G256*$B$5)))),
IF($D256="Pressio.",
IF($E256=3,(PI()*BQ$12^2)/4*(BM256*$W256*1000)/($H256*$B$5),(PI()*BQ$12^2)/4*(BM256*$W256*1000)/($G256*$B$5)),
IF($D256="Pénétro.",
IF($E256=4,(PI()*BQ$12^2)/4*(BM256*$W256*1000)/($H256*$B$5),(PI()*BQ$12^2)/4*(BM256*$W256*1000)/($G256*$B$5))))))/10</f>
        <v>#N/A</v>
      </c>
      <c r="BR256" s="102" t="e">
        <f>(VLOOKUP($B$3,'Coeff EC7'!$T$39:$X$59,2,0)*BP256+VLOOKUP($B$3,'Coeff EC7'!$T$65:$X$85,2,0)*Model0.1C!BQ256)/1.1</f>
        <v>#N/A</v>
      </c>
      <c r="BS256" s="102" t="e">
        <f>(VLOOKUP($B$3,'Coeff EC7'!$T$39:$X$59,3,0)*BP256+VLOOKUP($B$3,'Coeff EC7'!$T$65:$X$85,3,0)*Model0.1C!BQ256)/0.9</f>
        <v>#N/A</v>
      </c>
      <c r="BT256" s="102" t="e">
        <f t="shared" si="378"/>
        <v>#N/A</v>
      </c>
      <c r="BU256" s="102" t="e">
        <f t="shared" si="379"/>
        <v>#N/A</v>
      </c>
      <c r="BV256" s="414" t="e">
        <f>IF(BV255=0,0,IF(AND(BR256&gt;charge_ELS_quasi,BS256&gt;Charge_ELS_freq,BT256&gt;charge_ELU,BU256&gt;charge_ELA,$B256&gt;NDC!$H$22-0.1+MIN(3*$BV$12,1.5)),0,1))</f>
        <v>#N/A</v>
      </c>
      <c r="BW256" s="86" t="b">
        <f t="shared" si="347"/>
        <v>0</v>
      </c>
      <c r="BX256" s="86">
        <f t="shared" si="348"/>
        <v>0.5</v>
      </c>
      <c r="BY256" s="86">
        <f t="shared" si="349"/>
        <v>0.5</v>
      </c>
      <c r="BZ256" s="30" t="e">
        <f t="shared" ca="1" si="380"/>
        <v>#DIV/0!</v>
      </c>
      <c r="CA256" s="85" t="e">
        <f ca="1">IF(BG256&lt;=Hypothèses!$V$7,Hypothèses!$W$7,IF(BG256&lt;=Hypothèses!$V$8,Hypothèses!$W$8,IF(BG256&lt;=Hypothèses!$V$9,Hypothèses!$W$9,IF(BG256&lt;=Hypothèses!$V$10,Hypothèses!$W$10,IF(BG256&lt;=Hypothèses!$V$11,Hypothèses!$W$11,IF(BG256&lt;=Hypothèses!$V$12,Hypothèses!$W$12,IF(BG256&lt;=Hypothèses!$V$13,Hypothèses!$W$13,IF(BG256&lt;=Hypothèses!$V$14,Hypothèses!$W$14,IF(BG256&lt;=Hypothèses!$V$15,Hypothèses!$W$15,IF(BG256&lt;=Hypothèses!$V$16,Hypothèses!$W$16,IF(BG256&lt;=Hypothèses!$V$17,Hypothèses!$W$17,IF(BG256&lt;=Hypothèses!$V$18,Hypothèses!$W$18,""))))))))))))</f>
        <v>#DIV/0!</v>
      </c>
      <c r="CB256" s="87" t="e">
        <f t="shared" ca="1" si="419"/>
        <v>#DIV/0!</v>
      </c>
      <c r="CC256" s="88" t="e">
        <f ca="1">IF(BG256&lt;=Hypothèses!$V$7,Hypothèses!$X$7,IF(BG256&lt;=Hypothèses!$V$8,Hypothèses!$X$8,IF(BG256&lt;=Hypothèses!$V$9,Hypothèses!$X$9,IF(BG256&lt;=Hypothèses!$V$10,Hypothèses!$X$10,IF(BG256&lt;=Hypothèses!$V$11,Hypothèses!$X$11,IF(BG256&lt;=Hypothèses!$V$12,Hypothèses!$X$12,IF(BG256&lt;=Hypothèses!$V$13,Hypothèses!$X$13,IF(BG256&lt;=Hypothèses!$V$14,Hypothèses!$X$14,IF(BG256&lt;=Hypothèses!$V$15,Hypothèses!$X$15,IF(BG256&lt;=Hypothèses!$V$16,Hypothèses!$X$16,IF(BG256&lt;=Hypothèses!$U$17,Hypothèses!$W$17,IF(BG256&lt;=Hypothèses!$U$18,Hypothèses!$W$18,""))))))))))))</f>
        <v>#DIV/0!</v>
      </c>
      <c r="CD256" s="95" t="e">
        <f t="shared" ca="1" si="381"/>
        <v>#DIV/0!</v>
      </c>
      <c r="CE256" s="101" t="e">
        <f t="shared" si="426"/>
        <v>#N/A</v>
      </c>
      <c r="CF256" s="91" t="e">
        <f t="shared" si="350"/>
        <v>#N/A</v>
      </c>
      <c r="CG256" s="30" t="e">
        <f t="shared" si="406"/>
        <v>#N/A</v>
      </c>
      <c r="CH256" s="30" t="e">
        <f t="shared" si="407"/>
        <v>#N/A</v>
      </c>
      <c r="CI256" s="31" t="e">
        <f>IF(OR(Hypothèses!$B$4=17,Hypothèses!$B$4=18,Hypothèses!$B$4=19,Hypothèses!$B$4=20),
IF($D256="Pressio.",
IF(OR($E256=3,$E256=1,$E256=4),CH256,CG256),
IF($D256="Pénétro.",
IF(OR($E256=3,$E256=1,$E256=4),CH256,CG256))),IF($D256="Pressio.",
IF($E256=3,CH256,CG256),
IF($D256="Pénétro.",
IF($E256=4,CH256,CG256))))</f>
        <v>#N/A</v>
      </c>
      <c r="CJ256" s="31" t="e">
        <f>(IF(OR(Hypothèses!$B$4=17,Hypothèses!$B$4=18,Hypothèses!$B$4=19,Hypothèses!$B$4=20),
IF($D256="Pressio.",
IF(OR($E256=3,$E256=1,$E256=4),(PI()*CJ$12^2)/4*(CF256*$W256*1000)/($H256*$B$5),(PI()*CJ$12^2)/4*(CF256*$W256*1000)/($G256*$B$5)),
IF($D256="Pénétro.",
IF(OR($E256=4,$E256=1,$E256=5),(PI()*CJ$12^2)/4*(CF256*$W256*1000)/($H256*$B$5),(PI()*CJ$12^2)/4*(CF256*$W256*1000)/($G256*$B$5)))),
IF($D256="Pressio.",
IF($E256=3,(PI()*CJ$12^2)/4*(CF256*$W256*1000)/($H256*$B$5),(PI()*CJ$12^2)/4*(CF256*$W256*1000)/($G256*$B$5)),
IF($D256="Pénétro.",
IF($E256=4,(PI()*CJ$12^2)/4*(CF256*$W256*1000)/($H256*$B$5),(PI()*CJ$12^2)/4*(CF256*$W256*1000)/($G256*$B$5))))))/10</f>
        <v>#N/A</v>
      </c>
      <c r="CK256" s="102" t="e">
        <f>(VLOOKUP($B$3,'Coeff EC7'!$T$39:$X$59,2,0)*CI256+VLOOKUP($B$3,'Coeff EC7'!$T$65:$X$85,2,0)*Model0.1C!CJ256)/1.1</f>
        <v>#N/A</v>
      </c>
      <c r="CL256" s="102" t="e">
        <f>(VLOOKUP($B$3,'Coeff EC7'!$T$39:$X$59,3,0)*CI256+VLOOKUP($B$3,'Coeff EC7'!$T$65:$X$85,3,0)*Model0.1C!CJ256)/0.9</f>
        <v>#N/A</v>
      </c>
      <c r="CM256" s="102" t="e">
        <f t="shared" si="382"/>
        <v>#N/A</v>
      </c>
      <c r="CN256" s="102" t="e">
        <f t="shared" si="383"/>
        <v>#N/A</v>
      </c>
      <c r="CO256" s="414" t="e">
        <f>IF(CO255=0,0,IF(AND(CK256&gt;charge_ELS_quasi,CL256&gt;Charge_ELS_freq,CM256&gt;charge_ELU,CN256&gt;charge_ELA,$B256&gt;NDC!$H$22-0.1+MIN(3*$CO$12,1.5)),0,1))</f>
        <v>#N/A</v>
      </c>
      <c r="CP256" s="86" t="b">
        <f t="shared" si="351"/>
        <v>0</v>
      </c>
      <c r="CQ256" s="86">
        <f t="shared" si="352"/>
        <v>0.5</v>
      </c>
      <c r="CR256" s="86">
        <f t="shared" si="353"/>
        <v>0.5</v>
      </c>
      <c r="CS256" s="30" t="e">
        <f t="shared" ca="1" si="384"/>
        <v>#DIV/0!</v>
      </c>
      <c r="CT256" s="85" t="e">
        <f ca="1">IF(BZ256&lt;=Hypothèses!$V$7,Hypothèses!$W$7,IF(BZ256&lt;=Hypothèses!$V$8,Hypothèses!$W$8,IF(BZ256&lt;=Hypothèses!$V$9,Hypothèses!$W$9,IF(BZ256&lt;=Hypothèses!$V$10,Hypothèses!$W$10,IF(BZ256&lt;=Hypothèses!$V$11,Hypothèses!$W$11,IF(BZ256&lt;=Hypothèses!$V$12,Hypothèses!$W$12,IF(BZ256&lt;=Hypothèses!$V$13,Hypothèses!$W$13,IF(BZ256&lt;=Hypothèses!$V$14,Hypothèses!$W$14,IF(BZ256&lt;=Hypothèses!$V$15,Hypothèses!$W$15,IF(BZ256&lt;=Hypothèses!$V$16,Hypothèses!$W$16,IF(BZ256&lt;=Hypothèses!$V$17,Hypothèses!$W$17,IF(BZ256&lt;=Hypothèses!$V$18,Hypothèses!$W$18,""))))))))))))</f>
        <v>#DIV/0!</v>
      </c>
      <c r="CU256" s="87" t="e">
        <f t="shared" ca="1" si="420"/>
        <v>#DIV/0!</v>
      </c>
      <c r="CV256" s="88" t="e">
        <f ca="1">IF(BZ256&lt;=Hypothèses!$V$7,Hypothèses!$X$7,IF(BZ256&lt;=Hypothèses!$V$8,Hypothèses!$X$8,IF(BZ256&lt;=Hypothèses!$V$9,Hypothèses!$X$9,IF(BZ256&lt;=Hypothèses!$V$10,Hypothèses!$X$10,IF(BZ256&lt;=Hypothèses!$V$11,Hypothèses!$X$11,IF(BZ256&lt;=Hypothèses!$V$12,Hypothèses!$X$12,IF(BZ256&lt;=Hypothèses!$V$13,Hypothèses!$X$13,IF(BZ256&lt;=Hypothèses!$V$14,Hypothèses!$X$14,IF(BZ256&lt;=Hypothèses!$V$15,Hypothèses!$X$15,IF(BZ256&lt;=Hypothèses!$V$16,Hypothèses!$X$16,IF(BZ256&lt;=Hypothèses!$U$17,Hypothèses!$W$17,IF(BZ256&lt;=Hypothèses!$U$18,Hypothèses!$W$18,""))))))))))))</f>
        <v>#DIV/0!</v>
      </c>
      <c r="CW256" s="95" t="e">
        <f t="shared" ca="1" si="385"/>
        <v>#DIV/0!</v>
      </c>
      <c r="CX256" s="101" t="e">
        <f t="shared" si="427"/>
        <v>#N/A</v>
      </c>
      <c r="CY256" s="91" t="e">
        <f t="shared" si="354"/>
        <v>#N/A</v>
      </c>
      <c r="CZ256" s="30" t="e">
        <f t="shared" si="408"/>
        <v>#N/A</v>
      </c>
      <c r="DA256" s="30" t="e">
        <f t="shared" si="409"/>
        <v>#N/A</v>
      </c>
      <c r="DB256" s="31" t="e">
        <f>IF(OR(Hypothèses!$B$4=17,Hypothèses!$B$4=18,Hypothèses!$B$4=19,Hypothèses!$B$4=20),
IF($D256="Pressio.",
IF(OR($E256=3,$E256=1,$E256=4),DA256,CZ256),
IF($D256="Pénétro.",
IF(OR($E256=3,$E256=1,$E256=4),DA256,CZ256))),IF($D256="Pressio.",
IF($E256=3,DA256,CZ256),
IF($D256="Pénétro.",
IF($E256=4,DA256,CZ256))))</f>
        <v>#N/A</v>
      </c>
      <c r="DC256" s="31" t="e">
        <f>(IF(OR(Hypothèses!$B$4=17,Hypothèses!$B$4=18,Hypothèses!$B$4=19,Hypothèses!$B$4=20),
IF($D256="Pressio.",
IF(OR($E256=3,$E256=1,$E256=4),(PI()*DC$12^2)/4*(CY256*$W256*1000)/($H256*$B$5),(PI()*DC$12^2)/4*(CY256*$W256*1000)/($G256*$B$5)),
IF($D256="Pénétro.",
IF(OR($E256=4,$E256=1,$E256=5),(PI()*DC$12^2)/4*(CY256*$W256*1000)/($H256*$B$5),(PI()*DC$12^2)/4*(CY256*$W256*1000)/($G256*$B$5)))),
IF($D256="Pressio.",
IF($E256=3,(PI()*DC$12^2)/4*(CY256*$W256*1000)/($H256*$B$5),(PI()*DC$12^2)/4*(CY256*$W256*1000)/($G256*$B$5)),
IF($D256="Pénétro.",
IF($E256=4,(PI()*DC$12^2)/4*(CY256*$W256*1000)/($H256*$B$5),(PI()*DC$12^2)/4*(CY256*$W256*1000)/($G256*$B$5))))))/10</f>
        <v>#N/A</v>
      </c>
      <c r="DD256" s="102" t="e">
        <f>(VLOOKUP($B$3,'Coeff EC7'!$T$39:$X$59,2,0)*DB256+VLOOKUP($B$3,'Coeff EC7'!$T$65:$X$85,2,0)*Model0.1C!DC256)/1.1</f>
        <v>#N/A</v>
      </c>
      <c r="DE256" s="102" t="e">
        <f>(VLOOKUP($B$3,'Coeff EC7'!$T$39:$X$59,3,0)*DB256+VLOOKUP($B$3,'Coeff EC7'!$T$65:$X$85,3,0)*Model0.1C!DC256)/0.9</f>
        <v>#N/A</v>
      </c>
      <c r="DF256" s="102" t="e">
        <f t="shared" si="386"/>
        <v>#N/A</v>
      </c>
      <c r="DG256" s="102" t="e">
        <f t="shared" si="387"/>
        <v>#N/A</v>
      </c>
      <c r="DH256" s="414" t="e">
        <f>IF(DH255=0,0,IF(AND(DD256&gt;charge_ELS_quasi,DE256&gt;Charge_ELS_freq,DF256&gt;charge_ELU,DG256&gt;charge_ELA,$B256&gt;NDC!$H$22-0.1+MIN(3*$DH$12,1.5)),0,1))</f>
        <v>#N/A</v>
      </c>
      <c r="DI256" s="86" t="b">
        <f t="shared" si="355"/>
        <v>0</v>
      </c>
      <c r="DJ256" s="86">
        <f t="shared" si="356"/>
        <v>0.5</v>
      </c>
      <c r="DK256" s="86">
        <f t="shared" si="357"/>
        <v>0.5</v>
      </c>
      <c r="DL256" s="30" t="e">
        <f t="shared" ca="1" si="388"/>
        <v>#DIV/0!</v>
      </c>
      <c r="DM256" s="85" t="e">
        <f ca="1">IF(CS256&lt;=Hypothèses!$V$7,Hypothèses!$W$7,IF(CS256&lt;=Hypothèses!$V$8,Hypothèses!$W$8,IF(CS256&lt;=Hypothèses!$V$9,Hypothèses!$W$9,IF(CS256&lt;=Hypothèses!$V$10,Hypothèses!$W$10,IF(CS256&lt;=Hypothèses!$V$11,Hypothèses!$W$11,IF(CS256&lt;=Hypothèses!$V$12,Hypothèses!$W$12,IF(CS256&lt;=Hypothèses!$V$13,Hypothèses!$W$13,IF(CS256&lt;=Hypothèses!$V$14,Hypothèses!$W$14,IF(CS256&lt;=Hypothèses!$V$15,Hypothèses!$W$15,IF(CS256&lt;=Hypothèses!$V$16,Hypothèses!$W$16,IF(CS256&lt;=Hypothèses!$V$17,Hypothèses!$W$17,IF(CS256&lt;=Hypothèses!$V$18,Hypothèses!$W$18,""))))))))))))</f>
        <v>#DIV/0!</v>
      </c>
      <c r="DN256" s="87" t="e">
        <f t="shared" ca="1" si="421"/>
        <v>#DIV/0!</v>
      </c>
      <c r="DO256" s="88" t="e">
        <f ca="1">IF(CS256&lt;=Hypothèses!$V$7,Hypothèses!$X$7,IF(CS256&lt;=Hypothèses!$V$8,Hypothèses!$X$8,IF(CS256&lt;=Hypothèses!$V$9,Hypothèses!$X$9,IF(CS256&lt;=Hypothèses!$V$10,Hypothèses!$X$10,IF(CS256&lt;=Hypothèses!$V$11,Hypothèses!$X$11,IF(CS256&lt;=Hypothèses!$V$12,Hypothèses!$X$12,IF(CS256&lt;=Hypothèses!$V$13,Hypothèses!$X$13,IF(CS256&lt;=Hypothèses!$V$14,Hypothèses!$X$14,IF(CS256&lt;=Hypothèses!$V$15,Hypothèses!$X$15,IF(CS256&lt;=Hypothèses!$V$16,Hypothèses!$X$16,IF(CS256&lt;=Hypothèses!$U$17,Hypothèses!$W$17,IF(CS256&lt;=Hypothèses!$U$18,Hypothèses!$W$18,""))))))))))))</f>
        <v>#DIV/0!</v>
      </c>
      <c r="DP256" s="95" t="e">
        <f t="shared" ca="1" si="389"/>
        <v>#DIV/0!</v>
      </c>
      <c r="DQ256" s="101" t="e">
        <f t="shared" si="428"/>
        <v>#N/A</v>
      </c>
      <c r="DR256" s="91" t="e">
        <f t="shared" si="358"/>
        <v>#N/A</v>
      </c>
      <c r="DS256" s="30" t="e">
        <f t="shared" si="410"/>
        <v>#N/A</v>
      </c>
      <c r="DT256" s="30" t="e">
        <f t="shared" si="411"/>
        <v>#N/A</v>
      </c>
      <c r="DU256" s="31" t="e">
        <f>IF(OR(Hypothèses!$B$4=17,Hypothèses!$B$4=18,Hypothèses!$B$4=19,Hypothèses!$B$4=20),
IF($D256="Pressio.",
IF(OR($E256=3,$E256=1,$E256=4),DT256,DS256),
IF($D256="Pénétro.",
IF(OR($E256=3,$E256=1,$E256=4),DT256,DS256))),IF($D256="Pressio.",
IF($E256=3,DT256,DS256),
IF($D256="Pénétro.",
IF($E256=4,DT256,DS256))))</f>
        <v>#N/A</v>
      </c>
      <c r="DV256" s="31" t="e">
        <f>(IF(OR(Hypothèses!$B$4=17,Hypothèses!$B$4=18,Hypothèses!$B$4=19,Hypothèses!$B$4=20),
IF($D256="Pressio.",
IF(OR($E256=3,$E256=1,$E256=4),(PI()*DV$12^2)/4*(DR256*$W256*1000)/($H256*$B$5),(PI()*DV$12^2)/4*(DR256*$W256*1000)/($G256*$B$5)),
IF($D256="Pénétro.",
IF(OR($E256=4,$E256=1,$E256=5),(PI()*DV$12^2)/4*(DR256*$W256*1000)/($H256*$B$5),(PI()*DV$12^2)/4*(DR256*$W256*1000)/($G256*$B$5)))),
IF($D256="Pressio.",
IF($E256=3,(PI()*DV$12^2)/4*(DR256*$W256*1000)/($H256*$B$5),(PI()*DV$12^2)/4*(DR256*$W256*1000)/($G256*$B$5)),
IF($D256="Pénétro.",
IF($E256=4,(PI()*DV$12^2)/4*(DR256*$W256*1000)/($H256*$B$5),(PI()*DV$12^2)/4*(DR256*$W256*1000)/($G256*$B$5))))))/10</f>
        <v>#N/A</v>
      </c>
      <c r="DW256" s="102" t="e">
        <f>(VLOOKUP($B$3,'Coeff EC7'!$T$39:$X$59,2,0)*DU256+VLOOKUP($B$3,'Coeff EC7'!$T$65:$X$85,2,0)*Model0.1C!DV256)/1.1</f>
        <v>#N/A</v>
      </c>
      <c r="DX256" s="102" t="e">
        <f>(VLOOKUP($B$3,'Coeff EC7'!$T$39:$X$59,3,0)*DU256+VLOOKUP($B$3,'Coeff EC7'!$T$65:$X$85,3,0)*Model0.1C!DV256)/0.9</f>
        <v>#N/A</v>
      </c>
      <c r="DY256" s="102" t="e">
        <f t="shared" si="390"/>
        <v>#N/A</v>
      </c>
      <c r="DZ256" s="102" t="e">
        <f t="shared" si="391"/>
        <v>#N/A</v>
      </c>
      <c r="EA256" s="414" t="e">
        <f>IF(EA255=0,0,IF(AND(DW256&gt;charge_ELS_quasi,DX256&gt;Charge_ELS_freq,DY256&gt;charge_ELU,DZ256&gt;charge_ELA,$B256&gt;NDC!$H$22-0.1+MIN(3*$EA$12,1.5)),0,1))</f>
        <v>#N/A</v>
      </c>
      <c r="EB256" s="86" t="b">
        <f t="shared" si="359"/>
        <v>0</v>
      </c>
      <c r="EC256" s="418">
        <f t="shared" si="360"/>
        <v>0.51</v>
      </c>
      <c r="ED256" s="86">
        <f t="shared" si="361"/>
        <v>0.51</v>
      </c>
      <c r="EE256" s="30" t="e">
        <f t="shared" ca="1" si="392"/>
        <v>#DIV/0!</v>
      </c>
      <c r="EF256" s="85" t="e">
        <f ca="1">IF(DL256&lt;=Hypothèses!$V$7,Hypothèses!$W$7,IF(DL256&lt;=Hypothèses!$V$8,Hypothèses!$W$8,IF(DL256&lt;=Hypothèses!$V$9,Hypothèses!$W$9,IF(DL256&lt;=Hypothèses!$V$10,Hypothèses!$W$10,IF(DL256&lt;=Hypothèses!$V$11,Hypothèses!$W$11,IF(DL256&lt;=Hypothèses!$V$12,Hypothèses!$W$12,IF(DL256&lt;=Hypothèses!$V$13,Hypothèses!$W$13,IF(DL256&lt;=Hypothèses!$V$14,Hypothèses!$W$14,IF(DL256&lt;=Hypothèses!$V$15,Hypothèses!$W$15,IF(DL256&lt;=Hypothèses!$V$16,Hypothèses!$W$16,IF(DL256&lt;=Hypothèses!$V$17,Hypothèses!$W$17,IF(DL256&lt;=Hypothèses!$V$18,Hypothèses!$W$18,""))))))))))))</f>
        <v>#DIV/0!</v>
      </c>
      <c r="EG256" s="87" t="e">
        <f t="shared" ca="1" si="422"/>
        <v>#DIV/0!</v>
      </c>
      <c r="EH256" s="88" t="e">
        <f ca="1">IF(DL256&lt;=Hypothèses!$V$7,Hypothèses!$X$7,IF(DL256&lt;=Hypothèses!$V$8,Hypothèses!$X$8,IF(DL256&lt;=Hypothèses!$V$9,Hypothèses!$X$9,IF(DL256&lt;=Hypothèses!$V$10,Hypothèses!$X$10,IF(DL256&lt;=Hypothèses!$V$11,Hypothèses!$X$11,IF(DL256&lt;=Hypothèses!$V$12,Hypothèses!$X$12,IF(DL256&lt;=Hypothèses!$V$13,Hypothèses!$X$13,IF(DL256&lt;=Hypothèses!$V$14,Hypothèses!$X$14,IF(DL256&lt;=Hypothèses!$V$15,Hypothèses!$X$15,IF(DL256&lt;=Hypothèses!$V$16,Hypothèses!$X$16,IF(DL256&lt;=Hypothèses!$U$17,Hypothèses!$W$17,IF(DL256&lt;=Hypothèses!$U$18,Hypothèses!$W$18,""))))))))))))</f>
        <v>#DIV/0!</v>
      </c>
      <c r="EI256" s="95" t="e">
        <f t="shared" ca="1" si="393"/>
        <v>#DIV/0!</v>
      </c>
      <c r="EJ256" s="101" t="e">
        <f t="shared" si="429"/>
        <v>#N/A</v>
      </c>
      <c r="EK256" s="91" t="e">
        <f t="shared" si="362"/>
        <v>#N/A</v>
      </c>
      <c r="EL256" s="30" t="e">
        <f t="shared" si="412"/>
        <v>#N/A</v>
      </c>
      <c r="EM256" s="30" t="e">
        <f t="shared" si="413"/>
        <v>#N/A</v>
      </c>
      <c r="EN256" s="31" t="e">
        <f>IF(OR(Hypothèses!$B$4=17,Hypothèses!$B$4=18,Hypothèses!$B$4=19,Hypothèses!$B$4=20),
IF($D256="Pressio.",
IF(OR($E256=3,$E256=1,$E256=4),EM256,EL256),
IF($D256="Pénétro.",
IF(OR($E256=3,$E256=1,$E256=4),EM256,EL256))),IF($D256="Pressio.",
IF($E256=3,EM256,EL256),
IF($D256="Pénétro.",
IF($E256=4,EM256,EL256))))</f>
        <v>#N/A</v>
      </c>
      <c r="EO256" s="31" t="e">
        <f>(IF(OR(Hypothèses!$B$4=17,Hypothèses!$B$4=18,Hypothèses!$B$4=19,Hypothèses!$B$4=20),
IF($D256="Pressio.",
IF(OR($E256=3,$E256=1,$E256=4),(PI()*EO$12^2)/4*(EK256*$W256*1000)/($H256*$B$5),(PI()*EO$12^2)/4*(EK256*$W256*1000)/($G256*$B$5)),
IF($D256="Pénétro.",
IF(OR($E256=4,$E256=1,$E256=5),(PI()*EO$12^2)/4*(EK256*$W256*1000)/($H256*$B$5),(PI()*EO$12^2)/4*(EK256*$W256*1000)/($G256*$B$5)))),
IF($D256="Pressio.",
IF($E256=3,(PI()*EO$12^2)/4*(EK256*$W256*1000)/($H256*$B$5),(PI()*EO$12^2)/4*(EK256*$W256*1000)/($G256*$B$5)),
IF($D256="Pénétro.",
IF($E256=4,(PI()*EO$12^2)/4*(EK256*$W256*1000)/($H256*$B$5),(PI()*EO$12^2)/4*(EK256*$W256*1000)/($G256*$B$5))))))/10</f>
        <v>#N/A</v>
      </c>
      <c r="EP256" s="102" t="e">
        <f>(VLOOKUP($B$3,'Coeff EC7'!$T$39:$X$59,2,0)*EN256+VLOOKUP($B$3,'Coeff EC7'!$T$65:$X$85,2,0)*Model0.1C!EO256)/1.1</f>
        <v>#N/A</v>
      </c>
      <c r="EQ256" s="102" t="e">
        <f>(VLOOKUP($B$3,'Coeff EC7'!$T$39:$X$59,3,0)*EN256+VLOOKUP($B$3,'Coeff EC7'!$T$65:$X$85,3,0)*Model0.1C!EO256)/0.9</f>
        <v>#N/A</v>
      </c>
      <c r="ER256" s="102" t="e">
        <f t="shared" si="394"/>
        <v>#N/A</v>
      </c>
      <c r="ES256" s="102" t="e">
        <f t="shared" si="395"/>
        <v>#N/A</v>
      </c>
      <c r="ET256" s="414" t="e">
        <f>IF(ET255=0,0,IF(AND(EP256&gt;charge_ELS_quasi,EQ256&gt;Charge_ELS_freq,ER256&gt;charge_ELU,ES256&gt;charge_ELA,$B256&gt;NDC!$H$22-0.1+MIN(3*$ET$12,1.5)),0,1))</f>
        <v>#N/A</v>
      </c>
      <c r="EU256" s="86" t="b">
        <f t="shared" si="363"/>
        <v>0</v>
      </c>
      <c r="EV256" s="86">
        <f t="shared" si="364"/>
        <v>0.61</v>
      </c>
      <c r="EW256" s="86">
        <f t="shared" si="365"/>
        <v>0.61</v>
      </c>
      <c r="EX256" s="30" t="e">
        <f t="shared" ca="1" si="396"/>
        <v>#DIV/0!</v>
      </c>
      <c r="EY256" s="85" t="e">
        <f ca="1">IF(EE256&lt;=Hypothèses!$V$7,Hypothèses!$W$7,IF(EE256&lt;=Hypothèses!$V$8,Hypothèses!$W$8,IF(EE256&lt;=Hypothèses!$V$9,Hypothèses!$W$9,IF(EE256&lt;=Hypothèses!$V$10,Hypothèses!$W$10,IF(EE256&lt;=Hypothèses!$V$11,Hypothèses!$W$11,IF(EE256&lt;=Hypothèses!$V$12,Hypothèses!$W$12,IF(EE256&lt;=Hypothèses!$V$13,Hypothèses!$W$13,IF(EE256&lt;=Hypothèses!$V$14,Hypothèses!$W$14,IF(EE256&lt;=Hypothèses!$V$15,Hypothèses!$W$15,IF(EE256&lt;=Hypothèses!$V$16,Hypothèses!$W$16,IF(EE256&lt;=Hypothèses!$V$17,Hypothèses!$W$17,IF(EE256&lt;=Hypothèses!$V$18,Hypothèses!$W$18,""))))))))))))</f>
        <v>#DIV/0!</v>
      </c>
      <c r="EZ256" s="87" t="e">
        <f t="shared" ca="1" si="423"/>
        <v>#DIV/0!</v>
      </c>
      <c r="FA256" s="88" t="e">
        <f ca="1">IF(EE256&lt;=Hypothèses!$V$7,Hypothèses!$X$7,IF(EE256&lt;=Hypothèses!$V$8,Hypothèses!$X$8,IF(EE256&lt;=Hypothèses!$V$9,Hypothèses!$X$9,IF(EE256&lt;=Hypothèses!$V$10,Hypothèses!$X$10,IF(EE256&lt;=Hypothèses!$V$11,Hypothèses!$X$11,IF(EE256&lt;=Hypothèses!$V$12,Hypothèses!$X$12,IF(EE256&lt;=Hypothèses!$V$13,Hypothèses!$X$13,IF(EE256&lt;=Hypothèses!$V$14,Hypothèses!$X$14,IF(EE256&lt;=Hypothèses!$V$15,Hypothèses!$X$15,IF(EE256&lt;=Hypothèses!$V$16,Hypothèses!$X$16,IF(EE256&lt;=Hypothèses!$U$17,Hypothèses!$W$17,IF(EE256&lt;=Hypothèses!$U$18,Hypothèses!$W$18,""))))))))))))</f>
        <v>#DIV/0!</v>
      </c>
      <c r="FB256" s="95" t="e">
        <f t="shared" ca="1" si="397"/>
        <v>#DIV/0!</v>
      </c>
      <c r="FC256" s="101" t="e">
        <f t="shared" si="430"/>
        <v>#N/A</v>
      </c>
      <c r="FD256" s="91" t="e">
        <f t="shared" si="366"/>
        <v>#N/A</v>
      </c>
      <c r="FE256" s="30" t="e">
        <f t="shared" si="414"/>
        <v>#N/A</v>
      </c>
      <c r="FF256" s="30" t="e">
        <f t="shared" si="415"/>
        <v>#N/A</v>
      </c>
      <c r="FG256" s="31" t="e">
        <f>IF(OR(Hypothèses!$B$4=17,Hypothèses!$B$4=18,Hypothèses!$B$4=19,Hypothèses!$B$4=20),
IF($D256="Pressio.",
IF(OR($E256=3,$E256=1,$E256=4),FF256,FE256),
IF($D256="Pénétro.",
IF(OR($E256=3,$E256=1,$E256=4),FF256,FE256))),IF($D256="Pressio.",
IF($E256=3,FF256,FE256),
IF($D256="Pénétro.",
IF($E256=4,FF256,FE256))))</f>
        <v>#N/A</v>
      </c>
      <c r="FH256" s="31" t="e">
        <f>(IF(OR(Hypothèses!$B$4=17,Hypothèses!$B$4=18,Hypothèses!$B$4=19,Hypothèses!$B$4=20),
IF($D256="Pressio.",
IF(OR($E256=3,$E256=1,$E256=4),(PI()*FH$12^2)/4*(FD256*$W256*1000)/($H256*$B$5),(PI()*FH$12^2)/4*(FD256*$W256*1000)/($G256*$B$5)),
IF($D256="Pénétro.",
IF(OR($E256=4,$E256=1,$E256=5),(PI()*FH$12^2)/4*(FD256*$W256*1000)/($H256*$B$5),(PI()*FH$12^2)/4*(FD256*$W256*1000)/($G256*$B$5)))),
IF($D256="Pressio.",
IF($E256=3,(PI()*FH$12^2)/4*(FD256*$W256*1000)/($H256*$B$5),(PI()*FH$12^2)/4*(FD256*$W256*1000)/($G256*$B$5)),
IF($D256="Pénétro.",
IF($E256=4,(PI()*FH$12^2)/4*(FD256*$W256*1000)/($H256*$B$5),(PI()*FH$12^2)/4*(FD256*$W256*1000)/($G256*$B$5))))))/10</f>
        <v>#N/A</v>
      </c>
      <c r="FI256" s="102" t="e">
        <f>(VLOOKUP($B$3,'Coeff EC7'!$T$39:$X$59,2,0)*FG256+VLOOKUP($B$3,'Coeff EC7'!$T$65:$X$85,2,0)*Model0.1C!FH256)/1.1</f>
        <v>#N/A</v>
      </c>
      <c r="FJ256" s="102" t="e">
        <f>(VLOOKUP($B$3,'Coeff EC7'!$T$39:$X$59,3,0)*FG256+VLOOKUP($B$3,'Coeff EC7'!$T$65:$X$85,3,0)*Model0.1C!FH256)/0.9</f>
        <v>#N/A</v>
      </c>
      <c r="FK256" s="102" t="e">
        <f t="shared" si="398"/>
        <v>#N/A</v>
      </c>
      <c r="FL256" s="102" t="e">
        <f t="shared" si="399"/>
        <v>#N/A</v>
      </c>
      <c r="FM256" s="414" t="e">
        <f>IF(FM255=0,0,IF(AND(FI256&gt;charge_ELS_quasi,FJ256&gt;Charge_ELS_freq,FK256&gt;charge_ELU,FL256&gt;charge_ELA,$B256&gt;NDC!$H$22-0.1+MIN(3*$FM$12,1.5)),0,1))</f>
        <v>#N/A</v>
      </c>
    </row>
    <row r="257" spans="1:169">
      <c r="A257" s="96">
        <f t="shared" si="367"/>
        <v>75.600000000001387</v>
      </c>
      <c r="B257" s="97">
        <v>24.4</v>
      </c>
      <c r="C257" s="81">
        <f>IF(B257&lt;=Hypothèses!$C$7,Hypothèses!$A$7,IF(B257&lt;=Hypothèses!$C$8,Hypothèses!$A$8,IF(B257&lt;=Hypothèses!$C$9,Hypothèses!$A$9,IF(B257&lt;=Hypothèses!$C$10,Hypothèses!$A$10,IF(B257&lt;=Hypothèses!$C$11,Hypothèses!$A$11,IF(B257&lt;=Hypothèses!$C$12,Hypothèses!$A$12,IF(B257&lt;=Hypothèses!$C$13,Hypothèses!$A$13,IF(B257&lt;=Hypothèses!$C$14,Hypothèses!$A$14,IF(B257&lt;=Hypothèses!$C$15,Hypothèses!$A$15,IF(B257&lt;=Hypothèses!$C$16,Hypothèses!$A$16,IF(B257&lt;=Hypothèses!$C$17,Hypothèses!$A$17,IF(B257&lt;=Hypothèses!$C$18,Hypothèses!$A$18,C256))))))))))))</f>
        <v>11</v>
      </c>
      <c r="D257" s="82" t="str">
        <f>IF(B257&lt;=Hypothèses!$C$7,Hypothèses!$R$7,IF(B257&lt;=Hypothèses!$C$8,Hypothèses!$R$8,IF(B257&lt;=Hypothèses!$C$9,Hypothèses!$R$9,IF(B257&lt;=Hypothèses!$C$10,Hypothèses!$R$10,IF(B257&lt;=Hypothèses!$C$11,Hypothèses!$R$11,IF(B257&lt;=Hypothèses!$C$12,Hypothèses!$R$12,IF(B257&lt;=Hypothèses!$C$13,Hypothèses!$R$13,IF(B257&lt;=Hypothèses!$C$14,Hypothèses!$R$14,IF(B257&lt;=Hypothèses!$C$15,Hypothèses!$R$15,IF(B257&lt;=Hypothèses!$C$16,Hypothèses!$R$16,IF(B257&lt;=Hypothèses!$C$17,Hypothèses!$R$17,IF(B257&lt;=Hypothèses!$C$18,Hypothèses!$R$18,D256))))))))))))</f>
        <v>Pressio.</v>
      </c>
      <c r="E257" s="82" t="e">
        <f>IF(B257&lt;=Hypothèses!$C$7,Hypothèses!$G$7,IF(B257&lt;=Hypothèses!$C$8,Hypothèses!$G$8,IF(B257&lt;=Hypothèses!$C$9,Hypothèses!$G$9,IF(B257&lt;=Hypothèses!$C$10,Hypothèses!$G$10,IF(B257&lt;=Hypothèses!$C$11,Hypothèses!$G$11,IF(B257&lt;=Hypothèses!$C$12,Hypothèses!$G$12,IF(B257&lt;=Hypothèses!$C$13,Hypothèses!$G$13,IF(B257&lt;=Hypothèses!$C$14,Hypothèses!$G$14,IF(B257&lt;=Hypothèses!$C$15,Hypothèses!$G$15,IF(B257&lt;=Hypothèses!$C$16,Hypothèses!$G$16,IF(B257&lt;=Hypothèses!$C$17,Hypothèses!$G$17,IF(B257&lt;=Hypothèses!$C$18,Hypothèses!$G$18,E256))))))))))))</f>
        <v>#N/A</v>
      </c>
      <c r="F257" s="82" t="str">
        <f>IF(B257&lt;=Hypothèses!$C$7,Hypothèses!$F$7,IF(B257&lt;=Hypothèses!$C$8,Hypothèses!$F$8,IF(B257&lt;=Hypothèses!$C$9,Hypothèses!$F$9,IF(B257&lt;=Hypothèses!$C$10,Hypothèses!$F$10,IF(B257&lt;=Hypothèses!$C$11,Hypothèses!$F$11,IF(B257&lt;=Hypothèses!$C$12,Hypothèses!$F$12,IF(B257&lt;=Hypothèses!$C$13,Hypothèses!$F$13,IF(B257&lt;=Hypothèses!$C$14,Hypothèses!$F$14,IF(B257&lt;=Hypothèses!$C$15,Hypothèses!$F$15,IF(B257&lt;=Hypothèses!$C$16,Hypothèses!$F$16,IF(B257&lt;=Hypothèses!$C$17,Hypothèses!$F$17,IF(B257&lt;=Hypothèses!$C$18,Hypothèses!$F$18,F256))))))))))))</f>
        <v/>
      </c>
      <c r="G257" s="91">
        <f t="array" ref="G257">INDEX('Coeff EC7'!$U$7:$X$27,
MATCH(Model0.1C!$B$3,'Coeff EC7'!$T$7:$T$27,0),
MATCH(Model0.1C!$D257&amp;Model0.1C!$B$4,
'Coeff EC7'!$U$6:$X$6&amp;
'Coeff EC7'!$U$5:$X$5,0))</f>
        <v>1.1499999999999999</v>
      </c>
      <c r="H257" s="91">
        <f t="array" ref="H257">INDEX('Coeff EC7'!$Y$7:$AB$27,
MATCH(Model0.1C!$B$3,'Coeff EC7'!$T$7:$T$27,0),
MATCH(Model0.1C!$D257&amp;Model0.1C!$B$4,
'Coeff EC7'!$Y$6:$AB$6&amp;
'Coeff EC7'!$Y$5:$AB$5,0))</f>
        <v>1.4</v>
      </c>
      <c r="I257" s="83" t="e">
        <f>IF(B257&lt;=Hypothèses!$C$7,Hypothèses!$P$7,IF(B257&lt;=Hypothèses!$C$8,Hypothèses!$P$8,IF(B257&lt;=Hypothèses!$C$9,Hypothèses!$P$9,IF(B257&lt;=Hypothèses!$C$10,Hypothèses!$P$10,IF(B257&lt;=Hypothèses!$C$11,Hypothèses!$P$11,IF(B257&lt;=Hypothèses!$C$12,Hypothèses!$P$12,IF(B257&lt;=Hypothèses!$C$13,Hypothèses!$P$13,IF(B257&lt;=Hypothèses!$C$14,Hypothèses!$P$14,IF(B257&lt;=Hypothèses!$C$15,Hypothèses!$P$15,IF(B257&lt;=Hypothèses!$C$16,Hypothèses!$P$16,IF(B257&lt;=Hypothèses!$C$17,Hypothèses!$P$17,IF(B257&lt;=Hypothèses!$C$18,Hypothèses!$P$18,I256))))))))))))</f>
        <v>#N/A</v>
      </c>
      <c r="J257" s="91" t="e">
        <f t="array" ref="J257">INDEX('Coeff EC7'!$D$33:$Q$33,1,MATCH(D257&amp;E257,'Coeff EC7'!$D$31:$Q$31&amp;'Coeff EC7'!$D$32:$Q$32,0))</f>
        <v>#N/A</v>
      </c>
      <c r="K257" s="91" t="e">
        <f t="array" ref="K257">INDEX('Coeff EC7'!$D$34:$Q$34,1,MATCH(D257&amp;E257,'Coeff EC7'!$D$31:$Q$31&amp;'Coeff EC7'!$D$32:$Q$32,0))</f>
        <v>#N/A</v>
      </c>
      <c r="L257" s="91" t="e">
        <f t="array" ref="L257">INDEX('Coeff EC7'!$D$35:$Q$35,1,MATCH(D257&amp;E257,'Coeff EC7'!$D$31:$Q$31&amp;'Coeff EC7'!$D$32:$Q$32,0))</f>
        <v>#N/A</v>
      </c>
      <c r="M257" s="98" t="e">
        <f t="shared" si="331"/>
        <v>#N/A</v>
      </c>
      <c r="N257" s="99" t="e">
        <f t="array" ref="N257">INDEX('Coeff EC7'!$D$7:$Q$27,MATCH($B$3,'Coeff EC7'!$C$7:$C$27,0),MATCH(D257&amp;E257,'Coeff EC7'!$D$5:$Q$5&amp;'Coeff EC7'!$D$6:$Q$6,0))</f>
        <v>#N/A</v>
      </c>
      <c r="O257" s="99" t="e">
        <f t="array" ref="O257">INDEX('Coeff EC7'!$D$41:$Q$61,MATCH($B$3,'Coeff EC7'!$C$41:$C$61,0),MATCH(D257&amp;E257,'Coeff EC7'!$D$39:$Q$39&amp;'Coeff EC7'!$D$40:$Q$40,0))</f>
        <v>#N/A</v>
      </c>
      <c r="P257" s="30" t="e">
        <f t="shared" si="368"/>
        <v>#N/A</v>
      </c>
      <c r="Q257" s="100" t="e">
        <f t="shared" si="333"/>
        <v>#N/A</v>
      </c>
      <c r="R257" s="86" t="b">
        <f t="shared" si="334"/>
        <v>0</v>
      </c>
      <c r="S257" s="86">
        <f t="shared" si="332"/>
        <v>0.5</v>
      </c>
      <c r="T257" s="86">
        <f t="shared" si="335"/>
        <v>0.5</v>
      </c>
      <c r="U257" s="30" t="e">
        <f t="shared" ca="1" si="369"/>
        <v>#DIV/0!</v>
      </c>
      <c r="V257" s="85" t="str">
        <f>IF(B257&lt;=Hypothèses!$V$7,Hypothèses!$W$7,IF(B257&lt;=Hypothèses!$V$8,Hypothèses!$W$8,IF(B257&lt;=Hypothèses!$V$9,Hypothèses!$W$9,IF(B257&lt;=Hypothèses!$V$10,Hypothèses!$W$10,IF(B257&lt;=Hypothèses!$V$11,Hypothèses!$W$11,IF(B257&lt;=Hypothèses!$V$12,Hypothèses!$W$12,IF(B257&lt;=Hypothèses!$V$13,Hypothèses!$W$13,IF(B257&lt;=Hypothèses!$V$14,Hypothèses!$W$14,IF(B257&lt;=Hypothèses!$V$15,Hypothèses!$W$15,IF(B257&lt;=Hypothèses!$V$16,Hypothèses!$W$16,IF(B257&lt;=Hypothèses!$V$17,Hypothèses!$W$17,IF(B257&lt;=Hypothèses!$V$18,Hypothèses!$W$18,""))))))))))))</f>
        <v/>
      </c>
      <c r="W257" s="87" t="e">
        <f t="shared" ca="1" si="416"/>
        <v>#DIV/0!</v>
      </c>
      <c r="X257" s="88" t="str">
        <f>IF(B257&lt;=Hypothèses!$V$7,Hypothèses!$X$7,IF(B257&lt;=Hypothèses!$V$8,Hypothèses!$X$8,IF(B257&lt;=Hypothèses!$V$9,Hypothèses!$X$9,IF(B257&lt;=Hypothèses!$V$10,Hypothèses!$X$10,IF(B257&lt;=Hypothèses!$V$11,Hypothèses!$X$11,IF(B257&lt;=Hypothèses!$V$12,Hypothèses!$X$12,IF(B257&lt;=Hypothèses!$V$13,Hypothèses!$X$13,IF(B257&lt;=Hypothèses!$V$14,Hypothèses!$X$14,IF(B257&lt;=Hypothèses!$V$15,Hypothèses!$X$15,IF(B257&lt;=Hypothèses!$V$16,Hypothèses!$X$16,IF(B257&lt;=Hypothèses!$U$17,Hypothèses!$W$17,IF(B257&lt;=Hypothèses!$U$18,Hypothèses!$W$18,""))))))))))))</f>
        <v/>
      </c>
      <c r="Y257" s="95" t="e">
        <f t="shared" ca="1" si="336"/>
        <v>#DIV/0!</v>
      </c>
      <c r="Z257" s="101" t="e">
        <f t="shared" si="337"/>
        <v>#N/A</v>
      </c>
      <c r="AA257" s="91" t="e">
        <f t="shared" si="338"/>
        <v>#N/A</v>
      </c>
      <c r="AB257" s="30" t="e">
        <f t="shared" si="400"/>
        <v>#N/A</v>
      </c>
      <c r="AC257" s="30" t="e">
        <f t="shared" si="401"/>
        <v>#N/A</v>
      </c>
      <c r="AD257" s="31" t="e">
        <f>IF(OR(Hypothèses!$B$4=17,Hypothèses!$B$4=18,Hypothèses!$B$4=19,Hypothèses!$B$4=20),
IF($D257="Pressio.",
IF(OR($E257=3,$E257=1,$E257=4),AC257,AB257),
IF($D257="Pénétro.",
IF(OR($E257=3,$E257=1,$E257=4),AC257,AB257))),IF($D257="Pressio.",
IF($E257=3,AC257,AB257),
IF($D257="Pénétro.",
IF($E257=4,AC257,AB257))))</f>
        <v>#N/A</v>
      </c>
      <c r="AE257" s="31" t="e">
        <f>(IF(OR(Hypothèses!$B$4=17,Hypothèses!$B$4=18,Hypothèses!$B$4=19,Hypothèses!$B$4=20),
IF($D257="Pressio.",
IF(OR($E257=3,$E257=1,$E257=4),(PI()*AE$12^2)/4*(AA257*$W257*1000)/($H257*$B$5),(PI()*AE$12^2)/4*(AA257*$W257*1000)/($G257*$B$5)),
IF($D257="Pénétro.",
IF(OR($E257=4,$E257=1,$E257=5),(PI()*AE$12^2)/4*(AA257*$W257*1000)/($H257*$B$5),(PI()*AE$12^2)/4*(AA257*$W257*1000)/($G257*$B$5)))),
IF($D257="Pressio.",
IF($E257=3,(PI()*AE$12^2)/4*(AA257*$W257*1000)/($H257*$B$5),(PI()*AE$12^2)/4*(AA257*$W257*1000)/($G257*$B$5)),
IF($D257="Pénétro.",
IF($E257=4,(PI()*AE$12^2)/4*(AA257*$W257*1000)/($H257*$B$5),(PI()*AE$12^2)/4*(AA257*$W257*1000)/($G257*$B$5))))))/10</f>
        <v>#N/A</v>
      </c>
      <c r="AF257" s="102" t="e">
        <f>(VLOOKUP($B$3,'Coeff EC7'!$T$39:$X$59,2,0)*AD257+VLOOKUP($B$3,'Coeff EC7'!$T$65:$X$85,2,0)*Model0.1C!AE257)/1.1</f>
        <v>#N/A</v>
      </c>
      <c r="AG257" s="102" t="e">
        <f>(VLOOKUP($B$3,'Coeff EC7'!$T$39:$X$59,3,0)*AD257+VLOOKUP($B$3,'Coeff EC7'!$T$65:$X$85,3,0)*Model0.1C!AE257)/0.9</f>
        <v>#N/A</v>
      </c>
      <c r="AH257" s="102" t="e">
        <f t="shared" si="339"/>
        <v>#N/A</v>
      </c>
      <c r="AI257" s="102" t="e">
        <f t="shared" si="340"/>
        <v>#N/A</v>
      </c>
      <c r="AJ257" s="414" t="e">
        <f>IF(AJ256=0,0,IF(AND(AF257&gt;charge_ELS_quasi,AG257&gt;Charge_ELS_freq,AH257&gt;charge_ELU,AI257&gt;charge_ELA,$B257&gt;NDC!$H$22-0.1+MIN(3*$AJ$12,1.5)),0,1))</f>
        <v>#N/A</v>
      </c>
      <c r="AK257" s="86" t="b">
        <f t="shared" si="341"/>
        <v>0</v>
      </c>
      <c r="AL257" s="86">
        <f t="shared" si="370"/>
        <v>0.5</v>
      </c>
      <c r="AM257" s="86">
        <f t="shared" si="342"/>
        <v>0.5</v>
      </c>
      <c r="AN257" s="30" t="e">
        <f t="shared" ca="1" si="371"/>
        <v>#DIV/0!</v>
      </c>
      <c r="AO257" s="85" t="e">
        <f ca="1">IF(U257&lt;=Hypothèses!$V$7,Hypothèses!$W$7,IF(U257&lt;=Hypothèses!$V$8,Hypothèses!$W$8,IF(U257&lt;=Hypothèses!$V$9,Hypothèses!$W$9,IF(U257&lt;=Hypothèses!$V$10,Hypothèses!$W$10,IF(U257&lt;=Hypothèses!$V$11,Hypothèses!$W$11,IF(U257&lt;=Hypothèses!$V$12,Hypothèses!$W$12,IF(U257&lt;=Hypothèses!$V$13,Hypothèses!$W$13,IF(U257&lt;=Hypothèses!$V$14,Hypothèses!$W$14,IF(U257&lt;=Hypothèses!$V$15,Hypothèses!$W$15,IF(U257&lt;=Hypothèses!$V$16,Hypothèses!$W$16,IF(U257&lt;=Hypothèses!$V$17,Hypothèses!$W$17,IF(U257&lt;=Hypothèses!$V$18,Hypothèses!$W$18,""))))))))))))</f>
        <v>#DIV/0!</v>
      </c>
      <c r="AP257" s="87" t="e">
        <f t="shared" ca="1" si="417"/>
        <v>#DIV/0!</v>
      </c>
      <c r="AQ257" s="88" t="e">
        <f ca="1">IF(U257&lt;=Hypothèses!$V$7,Hypothèses!$X$7,IF(U257&lt;=Hypothèses!$V$8,Hypothèses!$X$8,IF(U257&lt;=Hypothèses!$V$9,Hypothèses!$X$9,IF(U257&lt;=Hypothèses!$V$10,Hypothèses!$X$10,IF(U257&lt;=Hypothèses!$V$11,Hypothèses!$X$11,IF(U257&lt;=Hypothèses!$V$12,Hypothèses!$X$12,IF(U257&lt;=Hypothèses!$V$13,Hypothèses!$X$13,IF(U257&lt;=Hypothèses!$V$14,Hypothèses!$X$14,IF(U257&lt;=Hypothèses!$V$15,Hypothèses!$X$15,IF(U257&lt;=Hypothèses!$V$16,Hypothèses!$X$16,IF(U257&lt;=Hypothèses!$U$17,Hypothèses!$W$17,IF(U257&lt;=Hypothèses!$U$18,Hypothèses!$W$18,""))))))))))))</f>
        <v>#DIV/0!</v>
      </c>
      <c r="AR257" s="95" t="e">
        <f t="shared" ca="1" si="372"/>
        <v>#DIV/0!</v>
      </c>
      <c r="AS257" s="101" t="e">
        <f t="shared" si="424"/>
        <v>#N/A</v>
      </c>
      <c r="AT257" s="91" t="e">
        <f t="shared" si="343"/>
        <v>#N/A</v>
      </c>
      <c r="AU257" s="30" t="e">
        <f t="shared" si="402"/>
        <v>#N/A</v>
      </c>
      <c r="AV257" s="30" t="e">
        <f t="shared" si="403"/>
        <v>#N/A</v>
      </c>
      <c r="AW257" s="31" t="e">
        <f>IF(OR(Hypothèses!$B$4=17,Hypothèses!$B$4=18,Hypothèses!$B$4=19,Hypothèses!$B$4=20),
IF($D257="Pressio.",
IF(OR($E257=3,$E257=1,$E257=4),AV257,AU257),
IF($D257="Pénétro.",
IF(OR($E257=3,$E257=1,$E257=4),AV257,AU257))),IF($D257="Pressio.",
IF($E257=3,AV257,AU257),
IF($D257="Pénétro.",
IF($E257=4,AV257,AU257))))</f>
        <v>#N/A</v>
      </c>
      <c r="AX257" s="31" t="e">
        <f>(IF(OR(Hypothèses!$B$4=17,Hypothèses!$B$4=18,Hypothèses!$B$4=19,Hypothèses!$B$4=20),
IF($D257="Pressio.",
IF(OR($E257=3,$E257=1,$E257=4),(PI()*AX$12^2)/4*(AT257*$W257*1000)/($H257*$B$5),(PI()*AX$12^2)/4*(AT257*$W257*1000)/($G257*$B$5)),
IF($D257="Pénétro.",
IF(OR($E257=4,$E257=1,$E257=5),(PI()*AX$12^2)/4*(AT257*$W257*1000)/($H257*$B$5),(PI()*AX$12^2)/4*(AT257*$W257*1000)/($G257*$B$5)))),
IF($D257="Pressio.",
IF($E257=3,(PI()*AX$12^2)/4*(AT257*$W257*1000)/($H257*$B$5),(PI()*AX$12^2)/4*(AT257*$W257*1000)/($G257*$B$5)),
IF($D257="Pénétro.",
IF($E257=4,(PI()*AX$12^2)/4*(AT257*$W257*1000)/($H257*$B$5),(PI()*AX$12^2)/4*(AT257*$W257*1000)/($G257*$B$5))))))/10</f>
        <v>#N/A</v>
      </c>
      <c r="AY257" s="102" t="e">
        <f>(VLOOKUP($B$3,'Coeff EC7'!$T$39:$X$59,2,0)*AW257+VLOOKUP($B$3,'Coeff EC7'!$T$65:$X$85,2,0)*Model0.1C!AX257)/1.1</f>
        <v>#N/A</v>
      </c>
      <c r="AZ257" s="102" t="e">
        <f>(VLOOKUP($B$3,'Coeff EC7'!$T$39:$X$59,3,0)*AW257+VLOOKUP($B$3,'Coeff EC7'!$T$65:$X$85,3,0)*Model0.1C!AX257)/0.9</f>
        <v>#N/A</v>
      </c>
      <c r="BA257" s="102" t="e">
        <f t="shared" si="373"/>
        <v>#N/A</v>
      </c>
      <c r="BB257" s="102" t="e">
        <f t="shared" si="374"/>
        <v>#N/A</v>
      </c>
      <c r="BC257" s="414" t="e">
        <f>IF(BC256=0,0,IF(AND(AY257&gt;charge_ELS_quasi,AZ257&gt;Charge_ELS_freq,BA257&gt;charge_ELU,BB257&gt;charge_ELA,$B257&gt;NDC!$H$22-0.1+MIN(3*$BC$12,1.5)),0,1))</f>
        <v>#N/A</v>
      </c>
      <c r="BD257" s="86" t="b">
        <f t="shared" si="344"/>
        <v>0</v>
      </c>
      <c r="BE257" s="86">
        <f t="shared" si="375"/>
        <v>0.5</v>
      </c>
      <c r="BF257" s="86">
        <f t="shared" si="345"/>
        <v>0.5</v>
      </c>
      <c r="BG257" s="30" t="e">
        <f t="shared" ca="1" si="376"/>
        <v>#DIV/0!</v>
      </c>
      <c r="BH257" s="85" t="e">
        <f ca="1">IF(AN257&lt;=Hypothèses!$V$7,Hypothèses!$W$7,IF(AN257&lt;=Hypothèses!$V$8,Hypothèses!$W$8,IF(AN257&lt;=Hypothèses!$V$9,Hypothèses!$W$9,IF(AN257&lt;=Hypothèses!$V$10,Hypothèses!$W$10,IF(AN257&lt;=Hypothèses!$V$11,Hypothèses!$W$11,IF(AN257&lt;=Hypothèses!$V$12,Hypothèses!$W$12,IF(AN257&lt;=Hypothèses!$V$13,Hypothèses!$W$13,IF(AN257&lt;=Hypothèses!$V$14,Hypothèses!$W$14,IF(AN257&lt;=Hypothèses!$V$15,Hypothèses!$W$15,IF(AN257&lt;=Hypothèses!$V$16,Hypothèses!$W$16,IF(AN257&lt;=Hypothèses!$V$17,Hypothèses!$W$17,IF(AN257&lt;=Hypothèses!$V$18,Hypothèses!$W$18,""))))))))))))</f>
        <v>#DIV/0!</v>
      </c>
      <c r="BI257" s="87" t="e">
        <f t="shared" ca="1" si="418"/>
        <v>#DIV/0!</v>
      </c>
      <c r="BJ257" s="88" t="e">
        <f ca="1">IF(AN257&lt;=Hypothèses!$V$7,Hypothèses!$X$7,IF(AN257&lt;=Hypothèses!$V$8,Hypothèses!$X$8,IF(AN257&lt;=Hypothèses!$V$9,Hypothèses!$X$9,IF(AN257&lt;=Hypothèses!$V$10,Hypothèses!$X$10,IF(AN257&lt;=Hypothèses!$V$11,Hypothèses!$X$11,IF(AN257&lt;=Hypothèses!$V$12,Hypothèses!$X$12,IF(AN257&lt;=Hypothèses!$V$13,Hypothèses!$X$13,IF(AN257&lt;=Hypothèses!$V$14,Hypothèses!$X$14,IF(AN257&lt;=Hypothèses!$V$15,Hypothèses!$X$15,IF(AN257&lt;=Hypothèses!$V$16,Hypothèses!$X$16,IF(AN257&lt;=Hypothèses!$U$17,Hypothèses!$W$17,IF(AN257&lt;=Hypothèses!$U$18,Hypothèses!$W$18,""))))))))))))</f>
        <v>#DIV/0!</v>
      </c>
      <c r="BK257" s="95" t="e">
        <f t="shared" ca="1" si="377"/>
        <v>#DIV/0!</v>
      </c>
      <c r="BL257" s="101" t="e">
        <f t="shared" si="425"/>
        <v>#N/A</v>
      </c>
      <c r="BM257" s="91" t="e">
        <f t="shared" si="346"/>
        <v>#N/A</v>
      </c>
      <c r="BN257" s="30" t="e">
        <f t="shared" si="404"/>
        <v>#N/A</v>
      </c>
      <c r="BO257" s="30" t="e">
        <f t="shared" si="405"/>
        <v>#N/A</v>
      </c>
      <c r="BP257" s="31" t="e">
        <f>IF(OR(Hypothèses!$B$4=17,Hypothèses!$B$4=18,Hypothèses!$B$4=19,Hypothèses!$B$4=20),
IF($D257="Pressio.",
IF(OR($E257=3,$E257=1,$E257=4),BO257,BN257),
IF($D257="Pénétro.",
IF(OR($E257=3,$E257=1,$E257=4),BO257,BN257))),IF($D257="Pressio.",
IF($E257=3,BO257,BN257),
IF($D257="Pénétro.",
IF($E257=4,BO257,BN257))))</f>
        <v>#N/A</v>
      </c>
      <c r="BQ257" s="31" t="e">
        <f>(IF(OR(Hypothèses!$B$4=17,Hypothèses!$B$4=18,Hypothèses!$B$4=19,Hypothèses!$B$4=20),
IF($D257="Pressio.",
IF(OR($E257=3,$E257=1,$E257=4),(PI()*BQ$12^2)/4*(BM257*$W257*1000)/($H257*$B$5),(PI()*BQ$12^2)/4*(BM257*$W257*1000)/($G257*$B$5)),
IF($D257="Pénétro.",
IF(OR($E257=4,$E257=1,$E257=5),(PI()*BQ$12^2)/4*(BM257*$W257*1000)/($H257*$B$5),(PI()*BQ$12^2)/4*(BM257*$W257*1000)/($G257*$B$5)))),
IF($D257="Pressio.",
IF($E257=3,(PI()*BQ$12^2)/4*(BM257*$W257*1000)/($H257*$B$5),(PI()*BQ$12^2)/4*(BM257*$W257*1000)/($G257*$B$5)),
IF($D257="Pénétro.",
IF($E257=4,(PI()*BQ$12^2)/4*(BM257*$W257*1000)/($H257*$B$5),(PI()*BQ$12^2)/4*(BM257*$W257*1000)/($G257*$B$5))))))/10</f>
        <v>#N/A</v>
      </c>
      <c r="BR257" s="102" t="e">
        <f>(VLOOKUP($B$3,'Coeff EC7'!$T$39:$X$59,2,0)*BP257+VLOOKUP($B$3,'Coeff EC7'!$T$65:$X$85,2,0)*Model0.1C!BQ257)/1.1</f>
        <v>#N/A</v>
      </c>
      <c r="BS257" s="102" t="e">
        <f>(VLOOKUP($B$3,'Coeff EC7'!$T$39:$X$59,3,0)*BP257+VLOOKUP($B$3,'Coeff EC7'!$T$65:$X$85,3,0)*Model0.1C!BQ257)/0.9</f>
        <v>#N/A</v>
      </c>
      <c r="BT257" s="102" t="e">
        <f t="shared" si="378"/>
        <v>#N/A</v>
      </c>
      <c r="BU257" s="102" t="e">
        <f t="shared" si="379"/>
        <v>#N/A</v>
      </c>
      <c r="BV257" s="414" t="e">
        <f>IF(BV256=0,0,IF(AND(BR257&gt;charge_ELS_quasi,BS257&gt;Charge_ELS_freq,BT257&gt;charge_ELU,BU257&gt;charge_ELA,$B257&gt;NDC!$H$22-0.1+MIN(3*$BV$12,1.5)),0,1))</f>
        <v>#N/A</v>
      </c>
      <c r="BW257" s="86" t="b">
        <f t="shared" si="347"/>
        <v>0</v>
      </c>
      <c r="BX257" s="86">
        <f t="shared" si="348"/>
        <v>0.5</v>
      </c>
      <c r="BY257" s="86">
        <f t="shared" si="349"/>
        <v>0.5</v>
      </c>
      <c r="BZ257" s="30" t="e">
        <f t="shared" ca="1" si="380"/>
        <v>#DIV/0!</v>
      </c>
      <c r="CA257" s="85" t="e">
        <f ca="1">IF(BG257&lt;=Hypothèses!$V$7,Hypothèses!$W$7,IF(BG257&lt;=Hypothèses!$V$8,Hypothèses!$W$8,IF(BG257&lt;=Hypothèses!$V$9,Hypothèses!$W$9,IF(BG257&lt;=Hypothèses!$V$10,Hypothèses!$W$10,IF(BG257&lt;=Hypothèses!$V$11,Hypothèses!$W$11,IF(BG257&lt;=Hypothèses!$V$12,Hypothèses!$W$12,IF(BG257&lt;=Hypothèses!$V$13,Hypothèses!$W$13,IF(BG257&lt;=Hypothèses!$V$14,Hypothèses!$W$14,IF(BG257&lt;=Hypothèses!$V$15,Hypothèses!$W$15,IF(BG257&lt;=Hypothèses!$V$16,Hypothèses!$W$16,IF(BG257&lt;=Hypothèses!$V$17,Hypothèses!$W$17,IF(BG257&lt;=Hypothèses!$V$18,Hypothèses!$W$18,""))))))))))))</f>
        <v>#DIV/0!</v>
      </c>
      <c r="CB257" s="87" t="e">
        <f t="shared" ca="1" si="419"/>
        <v>#DIV/0!</v>
      </c>
      <c r="CC257" s="88" t="e">
        <f ca="1">IF(BG257&lt;=Hypothèses!$V$7,Hypothèses!$X$7,IF(BG257&lt;=Hypothèses!$V$8,Hypothèses!$X$8,IF(BG257&lt;=Hypothèses!$V$9,Hypothèses!$X$9,IF(BG257&lt;=Hypothèses!$V$10,Hypothèses!$X$10,IF(BG257&lt;=Hypothèses!$V$11,Hypothèses!$X$11,IF(BG257&lt;=Hypothèses!$V$12,Hypothèses!$X$12,IF(BG257&lt;=Hypothèses!$V$13,Hypothèses!$X$13,IF(BG257&lt;=Hypothèses!$V$14,Hypothèses!$X$14,IF(BG257&lt;=Hypothèses!$V$15,Hypothèses!$X$15,IF(BG257&lt;=Hypothèses!$V$16,Hypothèses!$X$16,IF(BG257&lt;=Hypothèses!$U$17,Hypothèses!$W$17,IF(BG257&lt;=Hypothèses!$U$18,Hypothèses!$W$18,""))))))))))))</f>
        <v>#DIV/0!</v>
      </c>
      <c r="CD257" s="95" t="e">
        <f t="shared" ca="1" si="381"/>
        <v>#DIV/0!</v>
      </c>
      <c r="CE257" s="101" t="e">
        <f t="shared" si="426"/>
        <v>#N/A</v>
      </c>
      <c r="CF257" s="91" t="e">
        <f t="shared" si="350"/>
        <v>#N/A</v>
      </c>
      <c r="CG257" s="30" t="e">
        <f t="shared" si="406"/>
        <v>#N/A</v>
      </c>
      <c r="CH257" s="30" t="e">
        <f t="shared" si="407"/>
        <v>#N/A</v>
      </c>
      <c r="CI257" s="31" t="e">
        <f>IF(OR(Hypothèses!$B$4=17,Hypothèses!$B$4=18,Hypothèses!$B$4=19,Hypothèses!$B$4=20),
IF($D257="Pressio.",
IF(OR($E257=3,$E257=1,$E257=4),CH257,CG257),
IF($D257="Pénétro.",
IF(OR($E257=3,$E257=1,$E257=4),CH257,CG257))),IF($D257="Pressio.",
IF($E257=3,CH257,CG257),
IF($D257="Pénétro.",
IF($E257=4,CH257,CG257))))</f>
        <v>#N/A</v>
      </c>
      <c r="CJ257" s="31" t="e">
        <f>(IF(OR(Hypothèses!$B$4=17,Hypothèses!$B$4=18,Hypothèses!$B$4=19,Hypothèses!$B$4=20),
IF($D257="Pressio.",
IF(OR($E257=3,$E257=1,$E257=4),(PI()*CJ$12^2)/4*(CF257*$W257*1000)/($H257*$B$5),(PI()*CJ$12^2)/4*(CF257*$W257*1000)/($G257*$B$5)),
IF($D257="Pénétro.",
IF(OR($E257=4,$E257=1,$E257=5),(PI()*CJ$12^2)/4*(CF257*$W257*1000)/($H257*$B$5),(PI()*CJ$12^2)/4*(CF257*$W257*1000)/($G257*$B$5)))),
IF($D257="Pressio.",
IF($E257=3,(PI()*CJ$12^2)/4*(CF257*$W257*1000)/($H257*$B$5),(PI()*CJ$12^2)/4*(CF257*$W257*1000)/($G257*$B$5)),
IF($D257="Pénétro.",
IF($E257=4,(PI()*CJ$12^2)/4*(CF257*$W257*1000)/($H257*$B$5),(PI()*CJ$12^2)/4*(CF257*$W257*1000)/($G257*$B$5))))))/10</f>
        <v>#N/A</v>
      </c>
      <c r="CK257" s="102" t="e">
        <f>(VLOOKUP($B$3,'Coeff EC7'!$T$39:$X$59,2,0)*CI257+VLOOKUP($B$3,'Coeff EC7'!$T$65:$X$85,2,0)*Model0.1C!CJ257)/1.1</f>
        <v>#N/A</v>
      </c>
      <c r="CL257" s="102" t="e">
        <f>(VLOOKUP($B$3,'Coeff EC7'!$T$39:$X$59,3,0)*CI257+VLOOKUP($B$3,'Coeff EC7'!$T$65:$X$85,3,0)*Model0.1C!CJ257)/0.9</f>
        <v>#N/A</v>
      </c>
      <c r="CM257" s="102" t="e">
        <f t="shared" si="382"/>
        <v>#N/A</v>
      </c>
      <c r="CN257" s="102" t="e">
        <f t="shared" si="383"/>
        <v>#N/A</v>
      </c>
      <c r="CO257" s="414" t="e">
        <f>IF(CO256=0,0,IF(AND(CK257&gt;charge_ELS_quasi,CL257&gt;Charge_ELS_freq,CM257&gt;charge_ELU,CN257&gt;charge_ELA,$B257&gt;NDC!$H$22-0.1+MIN(3*$CO$12,1.5)),0,1))</f>
        <v>#N/A</v>
      </c>
      <c r="CP257" s="86" t="b">
        <f t="shared" si="351"/>
        <v>0</v>
      </c>
      <c r="CQ257" s="86">
        <f t="shared" si="352"/>
        <v>0.5</v>
      </c>
      <c r="CR257" s="86">
        <f t="shared" si="353"/>
        <v>0.5</v>
      </c>
      <c r="CS257" s="30" t="e">
        <f t="shared" ca="1" si="384"/>
        <v>#DIV/0!</v>
      </c>
      <c r="CT257" s="85" t="e">
        <f ca="1">IF(BZ257&lt;=Hypothèses!$V$7,Hypothèses!$W$7,IF(BZ257&lt;=Hypothèses!$V$8,Hypothèses!$W$8,IF(BZ257&lt;=Hypothèses!$V$9,Hypothèses!$W$9,IF(BZ257&lt;=Hypothèses!$V$10,Hypothèses!$W$10,IF(BZ257&lt;=Hypothèses!$V$11,Hypothèses!$W$11,IF(BZ257&lt;=Hypothèses!$V$12,Hypothèses!$W$12,IF(BZ257&lt;=Hypothèses!$V$13,Hypothèses!$W$13,IF(BZ257&lt;=Hypothèses!$V$14,Hypothèses!$W$14,IF(BZ257&lt;=Hypothèses!$V$15,Hypothèses!$W$15,IF(BZ257&lt;=Hypothèses!$V$16,Hypothèses!$W$16,IF(BZ257&lt;=Hypothèses!$V$17,Hypothèses!$W$17,IF(BZ257&lt;=Hypothèses!$V$18,Hypothèses!$W$18,""))))))))))))</f>
        <v>#DIV/0!</v>
      </c>
      <c r="CU257" s="87" t="e">
        <f t="shared" ca="1" si="420"/>
        <v>#DIV/0!</v>
      </c>
      <c r="CV257" s="88" t="e">
        <f ca="1">IF(BZ257&lt;=Hypothèses!$V$7,Hypothèses!$X$7,IF(BZ257&lt;=Hypothèses!$V$8,Hypothèses!$X$8,IF(BZ257&lt;=Hypothèses!$V$9,Hypothèses!$X$9,IF(BZ257&lt;=Hypothèses!$V$10,Hypothèses!$X$10,IF(BZ257&lt;=Hypothèses!$V$11,Hypothèses!$X$11,IF(BZ257&lt;=Hypothèses!$V$12,Hypothèses!$X$12,IF(BZ257&lt;=Hypothèses!$V$13,Hypothèses!$X$13,IF(BZ257&lt;=Hypothèses!$V$14,Hypothèses!$X$14,IF(BZ257&lt;=Hypothèses!$V$15,Hypothèses!$X$15,IF(BZ257&lt;=Hypothèses!$V$16,Hypothèses!$X$16,IF(BZ257&lt;=Hypothèses!$U$17,Hypothèses!$W$17,IF(BZ257&lt;=Hypothèses!$U$18,Hypothèses!$W$18,""))))))))))))</f>
        <v>#DIV/0!</v>
      </c>
      <c r="CW257" s="95" t="e">
        <f t="shared" ca="1" si="385"/>
        <v>#DIV/0!</v>
      </c>
      <c r="CX257" s="101" t="e">
        <f t="shared" si="427"/>
        <v>#N/A</v>
      </c>
      <c r="CY257" s="91" t="e">
        <f t="shared" si="354"/>
        <v>#N/A</v>
      </c>
      <c r="CZ257" s="30" t="e">
        <f t="shared" si="408"/>
        <v>#N/A</v>
      </c>
      <c r="DA257" s="30" t="e">
        <f t="shared" si="409"/>
        <v>#N/A</v>
      </c>
      <c r="DB257" s="31" t="e">
        <f>IF(OR(Hypothèses!$B$4=17,Hypothèses!$B$4=18,Hypothèses!$B$4=19,Hypothèses!$B$4=20),
IF($D257="Pressio.",
IF(OR($E257=3,$E257=1,$E257=4),DA257,CZ257),
IF($D257="Pénétro.",
IF(OR($E257=3,$E257=1,$E257=4),DA257,CZ257))),IF($D257="Pressio.",
IF($E257=3,DA257,CZ257),
IF($D257="Pénétro.",
IF($E257=4,DA257,CZ257))))</f>
        <v>#N/A</v>
      </c>
      <c r="DC257" s="31" t="e">
        <f>(IF(OR(Hypothèses!$B$4=17,Hypothèses!$B$4=18,Hypothèses!$B$4=19,Hypothèses!$B$4=20),
IF($D257="Pressio.",
IF(OR($E257=3,$E257=1,$E257=4),(PI()*DC$12^2)/4*(CY257*$W257*1000)/($H257*$B$5),(PI()*DC$12^2)/4*(CY257*$W257*1000)/($G257*$B$5)),
IF($D257="Pénétro.",
IF(OR($E257=4,$E257=1,$E257=5),(PI()*DC$12^2)/4*(CY257*$W257*1000)/($H257*$B$5),(PI()*DC$12^2)/4*(CY257*$W257*1000)/($G257*$B$5)))),
IF($D257="Pressio.",
IF($E257=3,(PI()*DC$12^2)/4*(CY257*$W257*1000)/($H257*$B$5),(PI()*DC$12^2)/4*(CY257*$W257*1000)/($G257*$B$5)),
IF($D257="Pénétro.",
IF($E257=4,(PI()*DC$12^2)/4*(CY257*$W257*1000)/($H257*$B$5),(PI()*DC$12^2)/4*(CY257*$W257*1000)/($G257*$B$5))))))/10</f>
        <v>#N/A</v>
      </c>
      <c r="DD257" s="102" t="e">
        <f>(VLOOKUP($B$3,'Coeff EC7'!$T$39:$X$59,2,0)*DB257+VLOOKUP($B$3,'Coeff EC7'!$T$65:$X$85,2,0)*Model0.1C!DC257)/1.1</f>
        <v>#N/A</v>
      </c>
      <c r="DE257" s="102" t="e">
        <f>(VLOOKUP($B$3,'Coeff EC7'!$T$39:$X$59,3,0)*DB257+VLOOKUP($B$3,'Coeff EC7'!$T$65:$X$85,3,0)*Model0.1C!DC257)/0.9</f>
        <v>#N/A</v>
      </c>
      <c r="DF257" s="102" t="e">
        <f t="shared" si="386"/>
        <v>#N/A</v>
      </c>
      <c r="DG257" s="102" t="e">
        <f t="shared" si="387"/>
        <v>#N/A</v>
      </c>
      <c r="DH257" s="414" t="e">
        <f>IF(DH256=0,0,IF(AND(DD257&gt;charge_ELS_quasi,DE257&gt;Charge_ELS_freq,DF257&gt;charge_ELU,DG257&gt;charge_ELA,$B257&gt;NDC!$H$22-0.1+MIN(3*$DH$12,1.5)),0,1))</f>
        <v>#N/A</v>
      </c>
      <c r="DI257" s="86" t="b">
        <f t="shared" si="355"/>
        <v>0</v>
      </c>
      <c r="DJ257" s="86">
        <f t="shared" si="356"/>
        <v>0.5</v>
      </c>
      <c r="DK257" s="86">
        <f t="shared" si="357"/>
        <v>0.5</v>
      </c>
      <c r="DL257" s="30" t="e">
        <f t="shared" ca="1" si="388"/>
        <v>#DIV/0!</v>
      </c>
      <c r="DM257" s="85" t="e">
        <f ca="1">IF(CS257&lt;=Hypothèses!$V$7,Hypothèses!$W$7,IF(CS257&lt;=Hypothèses!$V$8,Hypothèses!$W$8,IF(CS257&lt;=Hypothèses!$V$9,Hypothèses!$W$9,IF(CS257&lt;=Hypothèses!$V$10,Hypothèses!$W$10,IF(CS257&lt;=Hypothèses!$V$11,Hypothèses!$W$11,IF(CS257&lt;=Hypothèses!$V$12,Hypothèses!$W$12,IF(CS257&lt;=Hypothèses!$V$13,Hypothèses!$W$13,IF(CS257&lt;=Hypothèses!$V$14,Hypothèses!$W$14,IF(CS257&lt;=Hypothèses!$V$15,Hypothèses!$W$15,IF(CS257&lt;=Hypothèses!$V$16,Hypothèses!$W$16,IF(CS257&lt;=Hypothèses!$V$17,Hypothèses!$W$17,IF(CS257&lt;=Hypothèses!$V$18,Hypothèses!$W$18,""))))))))))))</f>
        <v>#DIV/0!</v>
      </c>
      <c r="DN257" s="87" t="e">
        <f t="shared" ca="1" si="421"/>
        <v>#DIV/0!</v>
      </c>
      <c r="DO257" s="88" t="e">
        <f ca="1">IF(CS257&lt;=Hypothèses!$V$7,Hypothèses!$X$7,IF(CS257&lt;=Hypothèses!$V$8,Hypothèses!$X$8,IF(CS257&lt;=Hypothèses!$V$9,Hypothèses!$X$9,IF(CS257&lt;=Hypothèses!$V$10,Hypothèses!$X$10,IF(CS257&lt;=Hypothèses!$V$11,Hypothèses!$X$11,IF(CS257&lt;=Hypothèses!$V$12,Hypothèses!$X$12,IF(CS257&lt;=Hypothèses!$V$13,Hypothèses!$X$13,IF(CS257&lt;=Hypothèses!$V$14,Hypothèses!$X$14,IF(CS257&lt;=Hypothèses!$V$15,Hypothèses!$X$15,IF(CS257&lt;=Hypothèses!$V$16,Hypothèses!$X$16,IF(CS257&lt;=Hypothèses!$U$17,Hypothèses!$W$17,IF(CS257&lt;=Hypothèses!$U$18,Hypothèses!$W$18,""))))))))))))</f>
        <v>#DIV/0!</v>
      </c>
      <c r="DP257" s="95" t="e">
        <f t="shared" ca="1" si="389"/>
        <v>#DIV/0!</v>
      </c>
      <c r="DQ257" s="101" t="e">
        <f t="shared" si="428"/>
        <v>#N/A</v>
      </c>
      <c r="DR257" s="91" t="e">
        <f t="shared" si="358"/>
        <v>#N/A</v>
      </c>
      <c r="DS257" s="30" t="e">
        <f t="shared" si="410"/>
        <v>#N/A</v>
      </c>
      <c r="DT257" s="30" t="e">
        <f t="shared" si="411"/>
        <v>#N/A</v>
      </c>
      <c r="DU257" s="31" t="e">
        <f>IF(OR(Hypothèses!$B$4=17,Hypothèses!$B$4=18,Hypothèses!$B$4=19,Hypothèses!$B$4=20),
IF($D257="Pressio.",
IF(OR($E257=3,$E257=1,$E257=4),DT257,DS257),
IF($D257="Pénétro.",
IF(OR($E257=3,$E257=1,$E257=4),DT257,DS257))),IF($D257="Pressio.",
IF($E257=3,DT257,DS257),
IF($D257="Pénétro.",
IF($E257=4,DT257,DS257))))</f>
        <v>#N/A</v>
      </c>
      <c r="DV257" s="31" t="e">
        <f>(IF(OR(Hypothèses!$B$4=17,Hypothèses!$B$4=18,Hypothèses!$B$4=19,Hypothèses!$B$4=20),
IF($D257="Pressio.",
IF(OR($E257=3,$E257=1,$E257=4),(PI()*DV$12^2)/4*(DR257*$W257*1000)/($H257*$B$5),(PI()*DV$12^2)/4*(DR257*$W257*1000)/($G257*$B$5)),
IF($D257="Pénétro.",
IF(OR($E257=4,$E257=1,$E257=5),(PI()*DV$12^2)/4*(DR257*$W257*1000)/($H257*$B$5),(PI()*DV$12^2)/4*(DR257*$W257*1000)/($G257*$B$5)))),
IF($D257="Pressio.",
IF($E257=3,(PI()*DV$12^2)/4*(DR257*$W257*1000)/($H257*$B$5),(PI()*DV$12^2)/4*(DR257*$W257*1000)/($G257*$B$5)),
IF($D257="Pénétro.",
IF($E257=4,(PI()*DV$12^2)/4*(DR257*$W257*1000)/($H257*$B$5),(PI()*DV$12^2)/4*(DR257*$W257*1000)/($G257*$B$5))))))/10</f>
        <v>#N/A</v>
      </c>
      <c r="DW257" s="102" t="e">
        <f>(VLOOKUP($B$3,'Coeff EC7'!$T$39:$X$59,2,0)*DU257+VLOOKUP($B$3,'Coeff EC7'!$T$65:$X$85,2,0)*Model0.1C!DV257)/1.1</f>
        <v>#N/A</v>
      </c>
      <c r="DX257" s="102" t="e">
        <f>(VLOOKUP($B$3,'Coeff EC7'!$T$39:$X$59,3,0)*DU257+VLOOKUP($B$3,'Coeff EC7'!$T$65:$X$85,3,0)*Model0.1C!DV257)/0.9</f>
        <v>#N/A</v>
      </c>
      <c r="DY257" s="102" t="e">
        <f t="shared" si="390"/>
        <v>#N/A</v>
      </c>
      <c r="DZ257" s="102" t="e">
        <f t="shared" si="391"/>
        <v>#N/A</v>
      </c>
      <c r="EA257" s="414" t="e">
        <f>IF(EA256=0,0,IF(AND(DW257&gt;charge_ELS_quasi,DX257&gt;Charge_ELS_freq,DY257&gt;charge_ELU,DZ257&gt;charge_ELA,$B257&gt;NDC!$H$22-0.1+MIN(3*$EA$12,1.5)),0,1))</f>
        <v>#N/A</v>
      </c>
      <c r="EB257" s="86" t="b">
        <f t="shared" si="359"/>
        <v>0</v>
      </c>
      <c r="EC257" s="418">
        <f t="shared" si="360"/>
        <v>0.51</v>
      </c>
      <c r="ED257" s="86">
        <f t="shared" si="361"/>
        <v>0.51</v>
      </c>
      <c r="EE257" s="30" t="e">
        <f t="shared" ca="1" si="392"/>
        <v>#DIV/0!</v>
      </c>
      <c r="EF257" s="85" t="e">
        <f ca="1">IF(DL257&lt;=Hypothèses!$V$7,Hypothèses!$W$7,IF(DL257&lt;=Hypothèses!$V$8,Hypothèses!$W$8,IF(DL257&lt;=Hypothèses!$V$9,Hypothèses!$W$9,IF(DL257&lt;=Hypothèses!$V$10,Hypothèses!$W$10,IF(DL257&lt;=Hypothèses!$V$11,Hypothèses!$W$11,IF(DL257&lt;=Hypothèses!$V$12,Hypothèses!$W$12,IF(DL257&lt;=Hypothèses!$V$13,Hypothèses!$W$13,IF(DL257&lt;=Hypothèses!$V$14,Hypothèses!$W$14,IF(DL257&lt;=Hypothèses!$V$15,Hypothèses!$W$15,IF(DL257&lt;=Hypothèses!$V$16,Hypothèses!$W$16,IF(DL257&lt;=Hypothèses!$V$17,Hypothèses!$W$17,IF(DL257&lt;=Hypothèses!$V$18,Hypothèses!$W$18,""))))))))))))</f>
        <v>#DIV/0!</v>
      </c>
      <c r="EG257" s="87" t="e">
        <f t="shared" ca="1" si="422"/>
        <v>#DIV/0!</v>
      </c>
      <c r="EH257" s="88" t="e">
        <f ca="1">IF(DL257&lt;=Hypothèses!$V$7,Hypothèses!$X$7,IF(DL257&lt;=Hypothèses!$V$8,Hypothèses!$X$8,IF(DL257&lt;=Hypothèses!$V$9,Hypothèses!$X$9,IF(DL257&lt;=Hypothèses!$V$10,Hypothèses!$X$10,IF(DL257&lt;=Hypothèses!$V$11,Hypothèses!$X$11,IF(DL257&lt;=Hypothèses!$V$12,Hypothèses!$X$12,IF(DL257&lt;=Hypothèses!$V$13,Hypothèses!$X$13,IF(DL257&lt;=Hypothèses!$V$14,Hypothèses!$X$14,IF(DL257&lt;=Hypothèses!$V$15,Hypothèses!$X$15,IF(DL257&lt;=Hypothèses!$V$16,Hypothèses!$X$16,IF(DL257&lt;=Hypothèses!$U$17,Hypothèses!$W$17,IF(DL257&lt;=Hypothèses!$U$18,Hypothèses!$W$18,""))))))))))))</f>
        <v>#DIV/0!</v>
      </c>
      <c r="EI257" s="95" t="e">
        <f t="shared" ca="1" si="393"/>
        <v>#DIV/0!</v>
      </c>
      <c r="EJ257" s="101" t="e">
        <f t="shared" si="429"/>
        <v>#N/A</v>
      </c>
      <c r="EK257" s="91" t="e">
        <f t="shared" si="362"/>
        <v>#N/A</v>
      </c>
      <c r="EL257" s="30" t="e">
        <f t="shared" si="412"/>
        <v>#N/A</v>
      </c>
      <c r="EM257" s="30" t="e">
        <f t="shared" si="413"/>
        <v>#N/A</v>
      </c>
      <c r="EN257" s="31" t="e">
        <f>IF(OR(Hypothèses!$B$4=17,Hypothèses!$B$4=18,Hypothèses!$B$4=19,Hypothèses!$B$4=20),
IF($D257="Pressio.",
IF(OR($E257=3,$E257=1,$E257=4),EM257,EL257),
IF($D257="Pénétro.",
IF(OR($E257=3,$E257=1,$E257=4),EM257,EL257))),IF($D257="Pressio.",
IF($E257=3,EM257,EL257),
IF($D257="Pénétro.",
IF($E257=4,EM257,EL257))))</f>
        <v>#N/A</v>
      </c>
      <c r="EO257" s="31" t="e">
        <f>(IF(OR(Hypothèses!$B$4=17,Hypothèses!$B$4=18,Hypothèses!$B$4=19,Hypothèses!$B$4=20),
IF($D257="Pressio.",
IF(OR($E257=3,$E257=1,$E257=4),(PI()*EO$12^2)/4*(EK257*$W257*1000)/($H257*$B$5),(PI()*EO$12^2)/4*(EK257*$W257*1000)/($G257*$B$5)),
IF($D257="Pénétro.",
IF(OR($E257=4,$E257=1,$E257=5),(PI()*EO$12^2)/4*(EK257*$W257*1000)/($H257*$B$5),(PI()*EO$12^2)/4*(EK257*$W257*1000)/($G257*$B$5)))),
IF($D257="Pressio.",
IF($E257=3,(PI()*EO$12^2)/4*(EK257*$W257*1000)/($H257*$B$5),(PI()*EO$12^2)/4*(EK257*$W257*1000)/($G257*$B$5)),
IF($D257="Pénétro.",
IF($E257=4,(PI()*EO$12^2)/4*(EK257*$W257*1000)/($H257*$B$5),(PI()*EO$12^2)/4*(EK257*$W257*1000)/($G257*$B$5))))))/10</f>
        <v>#N/A</v>
      </c>
      <c r="EP257" s="102" t="e">
        <f>(VLOOKUP($B$3,'Coeff EC7'!$T$39:$X$59,2,0)*EN257+VLOOKUP($B$3,'Coeff EC7'!$T$65:$X$85,2,0)*Model0.1C!EO257)/1.1</f>
        <v>#N/A</v>
      </c>
      <c r="EQ257" s="102" t="e">
        <f>(VLOOKUP($B$3,'Coeff EC7'!$T$39:$X$59,3,0)*EN257+VLOOKUP($B$3,'Coeff EC7'!$T$65:$X$85,3,0)*Model0.1C!EO257)/0.9</f>
        <v>#N/A</v>
      </c>
      <c r="ER257" s="102" t="e">
        <f t="shared" si="394"/>
        <v>#N/A</v>
      </c>
      <c r="ES257" s="102" t="e">
        <f t="shared" si="395"/>
        <v>#N/A</v>
      </c>
      <c r="ET257" s="414" t="e">
        <f>IF(ET256=0,0,IF(AND(EP257&gt;charge_ELS_quasi,EQ257&gt;Charge_ELS_freq,ER257&gt;charge_ELU,ES257&gt;charge_ELA,$B257&gt;NDC!$H$22-0.1+MIN(3*$ET$12,1.5)),0,1))</f>
        <v>#N/A</v>
      </c>
      <c r="EU257" s="86" t="b">
        <f t="shared" si="363"/>
        <v>0</v>
      </c>
      <c r="EV257" s="86">
        <f t="shared" si="364"/>
        <v>0.61</v>
      </c>
      <c r="EW257" s="86">
        <f t="shared" si="365"/>
        <v>0.61</v>
      </c>
      <c r="EX257" s="30" t="e">
        <f t="shared" ca="1" si="396"/>
        <v>#DIV/0!</v>
      </c>
      <c r="EY257" s="85" t="e">
        <f ca="1">IF(EE257&lt;=Hypothèses!$V$7,Hypothèses!$W$7,IF(EE257&lt;=Hypothèses!$V$8,Hypothèses!$W$8,IF(EE257&lt;=Hypothèses!$V$9,Hypothèses!$W$9,IF(EE257&lt;=Hypothèses!$V$10,Hypothèses!$W$10,IF(EE257&lt;=Hypothèses!$V$11,Hypothèses!$W$11,IF(EE257&lt;=Hypothèses!$V$12,Hypothèses!$W$12,IF(EE257&lt;=Hypothèses!$V$13,Hypothèses!$W$13,IF(EE257&lt;=Hypothèses!$V$14,Hypothèses!$W$14,IF(EE257&lt;=Hypothèses!$V$15,Hypothèses!$W$15,IF(EE257&lt;=Hypothèses!$V$16,Hypothèses!$W$16,IF(EE257&lt;=Hypothèses!$V$17,Hypothèses!$W$17,IF(EE257&lt;=Hypothèses!$V$18,Hypothèses!$W$18,""))))))))))))</f>
        <v>#DIV/0!</v>
      </c>
      <c r="EZ257" s="87" t="e">
        <f t="shared" ca="1" si="423"/>
        <v>#DIV/0!</v>
      </c>
      <c r="FA257" s="88" t="e">
        <f ca="1">IF(EE257&lt;=Hypothèses!$V$7,Hypothèses!$X$7,IF(EE257&lt;=Hypothèses!$V$8,Hypothèses!$X$8,IF(EE257&lt;=Hypothèses!$V$9,Hypothèses!$X$9,IF(EE257&lt;=Hypothèses!$V$10,Hypothèses!$X$10,IF(EE257&lt;=Hypothèses!$V$11,Hypothèses!$X$11,IF(EE257&lt;=Hypothèses!$V$12,Hypothèses!$X$12,IF(EE257&lt;=Hypothèses!$V$13,Hypothèses!$X$13,IF(EE257&lt;=Hypothèses!$V$14,Hypothèses!$X$14,IF(EE257&lt;=Hypothèses!$V$15,Hypothèses!$X$15,IF(EE257&lt;=Hypothèses!$V$16,Hypothèses!$X$16,IF(EE257&lt;=Hypothèses!$U$17,Hypothèses!$W$17,IF(EE257&lt;=Hypothèses!$U$18,Hypothèses!$W$18,""))))))))))))</f>
        <v>#DIV/0!</v>
      </c>
      <c r="FB257" s="95" t="e">
        <f t="shared" ca="1" si="397"/>
        <v>#DIV/0!</v>
      </c>
      <c r="FC257" s="101" t="e">
        <f t="shared" si="430"/>
        <v>#N/A</v>
      </c>
      <c r="FD257" s="91" t="e">
        <f t="shared" si="366"/>
        <v>#N/A</v>
      </c>
      <c r="FE257" s="30" t="e">
        <f t="shared" si="414"/>
        <v>#N/A</v>
      </c>
      <c r="FF257" s="30" t="e">
        <f t="shared" si="415"/>
        <v>#N/A</v>
      </c>
      <c r="FG257" s="31" t="e">
        <f>IF(OR(Hypothèses!$B$4=17,Hypothèses!$B$4=18,Hypothèses!$B$4=19,Hypothèses!$B$4=20),
IF($D257="Pressio.",
IF(OR($E257=3,$E257=1,$E257=4),FF257,FE257),
IF($D257="Pénétro.",
IF(OR($E257=3,$E257=1,$E257=4),FF257,FE257))),IF($D257="Pressio.",
IF($E257=3,FF257,FE257),
IF($D257="Pénétro.",
IF($E257=4,FF257,FE257))))</f>
        <v>#N/A</v>
      </c>
      <c r="FH257" s="31" t="e">
        <f>(IF(OR(Hypothèses!$B$4=17,Hypothèses!$B$4=18,Hypothèses!$B$4=19,Hypothèses!$B$4=20),
IF($D257="Pressio.",
IF(OR($E257=3,$E257=1,$E257=4),(PI()*FH$12^2)/4*(FD257*$W257*1000)/($H257*$B$5),(PI()*FH$12^2)/4*(FD257*$W257*1000)/($G257*$B$5)),
IF($D257="Pénétro.",
IF(OR($E257=4,$E257=1,$E257=5),(PI()*FH$12^2)/4*(FD257*$W257*1000)/($H257*$B$5),(PI()*FH$12^2)/4*(FD257*$W257*1000)/($G257*$B$5)))),
IF($D257="Pressio.",
IF($E257=3,(PI()*FH$12^2)/4*(FD257*$W257*1000)/($H257*$B$5),(PI()*FH$12^2)/4*(FD257*$W257*1000)/($G257*$B$5)),
IF($D257="Pénétro.",
IF($E257=4,(PI()*FH$12^2)/4*(FD257*$W257*1000)/($H257*$B$5),(PI()*FH$12^2)/4*(FD257*$W257*1000)/($G257*$B$5))))))/10</f>
        <v>#N/A</v>
      </c>
      <c r="FI257" s="102" t="e">
        <f>(VLOOKUP($B$3,'Coeff EC7'!$T$39:$X$59,2,0)*FG257+VLOOKUP($B$3,'Coeff EC7'!$T$65:$X$85,2,0)*Model0.1C!FH257)/1.1</f>
        <v>#N/A</v>
      </c>
      <c r="FJ257" s="102" t="e">
        <f>(VLOOKUP($B$3,'Coeff EC7'!$T$39:$X$59,3,0)*FG257+VLOOKUP($B$3,'Coeff EC7'!$T$65:$X$85,3,0)*Model0.1C!FH257)/0.9</f>
        <v>#N/A</v>
      </c>
      <c r="FK257" s="102" t="e">
        <f t="shared" si="398"/>
        <v>#N/A</v>
      </c>
      <c r="FL257" s="102" t="e">
        <f t="shared" si="399"/>
        <v>#N/A</v>
      </c>
      <c r="FM257" s="414" t="e">
        <f>IF(FM256=0,0,IF(AND(FI257&gt;charge_ELS_quasi,FJ257&gt;Charge_ELS_freq,FK257&gt;charge_ELU,FL257&gt;charge_ELA,$B257&gt;NDC!$H$22-0.1+MIN(3*$FM$12,1.5)),0,1))</f>
        <v>#N/A</v>
      </c>
    </row>
    <row r="258" spans="1:169">
      <c r="A258" s="96">
        <f t="shared" si="367"/>
        <v>75.500000000001393</v>
      </c>
      <c r="B258" s="97">
        <v>24.5</v>
      </c>
      <c r="C258" s="81">
        <f>IF(B258&lt;=Hypothèses!$C$7,Hypothèses!$A$7,IF(B258&lt;=Hypothèses!$C$8,Hypothèses!$A$8,IF(B258&lt;=Hypothèses!$C$9,Hypothèses!$A$9,IF(B258&lt;=Hypothèses!$C$10,Hypothèses!$A$10,IF(B258&lt;=Hypothèses!$C$11,Hypothèses!$A$11,IF(B258&lt;=Hypothèses!$C$12,Hypothèses!$A$12,IF(B258&lt;=Hypothèses!$C$13,Hypothèses!$A$13,IF(B258&lt;=Hypothèses!$C$14,Hypothèses!$A$14,IF(B258&lt;=Hypothèses!$C$15,Hypothèses!$A$15,IF(B258&lt;=Hypothèses!$C$16,Hypothèses!$A$16,IF(B258&lt;=Hypothèses!$C$17,Hypothèses!$A$17,IF(B258&lt;=Hypothèses!$C$18,Hypothèses!$A$18,C257))))))))))))</f>
        <v>11</v>
      </c>
      <c r="D258" s="82" t="str">
        <f>IF(B258&lt;=Hypothèses!$C$7,Hypothèses!$R$7,IF(B258&lt;=Hypothèses!$C$8,Hypothèses!$R$8,IF(B258&lt;=Hypothèses!$C$9,Hypothèses!$R$9,IF(B258&lt;=Hypothèses!$C$10,Hypothèses!$R$10,IF(B258&lt;=Hypothèses!$C$11,Hypothèses!$R$11,IF(B258&lt;=Hypothèses!$C$12,Hypothèses!$R$12,IF(B258&lt;=Hypothèses!$C$13,Hypothèses!$R$13,IF(B258&lt;=Hypothèses!$C$14,Hypothèses!$R$14,IF(B258&lt;=Hypothèses!$C$15,Hypothèses!$R$15,IF(B258&lt;=Hypothèses!$C$16,Hypothèses!$R$16,IF(B258&lt;=Hypothèses!$C$17,Hypothèses!$R$17,IF(B258&lt;=Hypothèses!$C$18,Hypothèses!$R$18,D257))))))))))))</f>
        <v>Pressio.</v>
      </c>
      <c r="E258" s="82" t="e">
        <f>IF(B258&lt;=Hypothèses!$C$7,Hypothèses!$G$7,IF(B258&lt;=Hypothèses!$C$8,Hypothèses!$G$8,IF(B258&lt;=Hypothèses!$C$9,Hypothèses!$G$9,IF(B258&lt;=Hypothèses!$C$10,Hypothèses!$G$10,IF(B258&lt;=Hypothèses!$C$11,Hypothèses!$G$11,IF(B258&lt;=Hypothèses!$C$12,Hypothèses!$G$12,IF(B258&lt;=Hypothèses!$C$13,Hypothèses!$G$13,IF(B258&lt;=Hypothèses!$C$14,Hypothèses!$G$14,IF(B258&lt;=Hypothèses!$C$15,Hypothèses!$G$15,IF(B258&lt;=Hypothèses!$C$16,Hypothèses!$G$16,IF(B258&lt;=Hypothèses!$C$17,Hypothèses!$G$17,IF(B258&lt;=Hypothèses!$C$18,Hypothèses!$G$18,E257))))))))))))</f>
        <v>#N/A</v>
      </c>
      <c r="F258" s="82" t="str">
        <f>IF(B258&lt;=Hypothèses!$C$7,Hypothèses!$F$7,IF(B258&lt;=Hypothèses!$C$8,Hypothèses!$F$8,IF(B258&lt;=Hypothèses!$C$9,Hypothèses!$F$9,IF(B258&lt;=Hypothèses!$C$10,Hypothèses!$F$10,IF(B258&lt;=Hypothèses!$C$11,Hypothèses!$F$11,IF(B258&lt;=Hypothèses!$C$12,Hypothèses!$F$12,IF(B258&lt;=Hypothèses!$C$13,Hypothèses!$F$13,IF(B258&lt;=Hypothèses!$C$14,Hypothèses!$F$14,IF(B258&lt;=Hypothèses!$C$15,Hypothèses!$F$15,IF(B258&lt;=Hypothèses!$C$16,Hypothèses!$F$16,IF(B258&lt;=Hypothèses!$C$17,Hypothèses!$F$17,IF(B258&lt;=Hypothèses!$C$18,Hypothèses!$F$18,F257))))))))))))</f>
        <v/>
      </c>
      <c r="G258" s="91">
        <f t="array" ref="G258">INDEX('Coeff EC7'!$U$7:$X$27,
MATCH(Model0.1C!$B$3,'Coeff EC7'!$T$7:$T$27,0),
MATCH(Model0.1C!$D258&amp;Model0.1C!$B$4,
'Coeff EC7'!$U$6:$X$6&amp;
'Coeff EC7'!$U$5:$X$5,0))</f>
        <v>1.1499999999999999</v>
      </c>
      <c r="H258" s="91">
        <f t="array" ref="H258">INDEX('Coeff EC7'!$Y$7:$AB$27,
MATCH(Model0.1C!$B$3,'Coeff EC7'!$T$7:$T$27,0),
MATCH(Model0.1C!$D258&amp;Model0.1C!$B$4,
'Coeff EC7'!$Y$6:$AB$6&amp;
'Coeff EC7'!$Y$5:$AB$5,0))</f>
        <v>1.4</v>
      </c>
      <c r="I258" s="83" t="e">
        <f>IF(B258&lt;=Hypothèses!$C$7,Hypothèses!$P$7,IF(B258&lt;=Hypothèses!$C$8,Hypothèses!$P$8,IF(B258&lt;=Hypothèses!$C$9,Hypothèses!$P$9,IF(B258&lt;=Hypothèses!$C$10,Hypothèses!$P$10,IF(B258&lt;=Hypothèses!$C$11,Hypothèses!$P$11,IF(B258&lt;=Hypothèses!$C$12,Hypothèses!$P$12,IF(B258&lt;=Hypothèses!$C$13,Hypothèses!$P$13,IF(B258&lt;=Hypothèses!$C$14,Hypothèses!$P$14,IF(B258&lt;=Hypothèses!$C$15,Hypothèses!$P$15,IF(B258&lt;=Hypothèses!$C$16,Hypothèses!$P$16,IF(B258&lt;=Hypothèses!$C$17,Hypothèses!$P$17,IF(B258&lt;=Hypothèses!$C$18,Hypothèses!$P$18,I257))))))))))))</f>
        <v>#N/A</v>
      </c>
      <c r="J258" s="91" t="e">
        <f t="array" ref="J258">INDEX('Coeff EC7'!$D$33:$Q$33,1,MATCH(D258&amp;E258,'Coeff EC7'!$D$31:$Q$31&amp;'Coeff EC7'!$D$32:$Q$32,0))</f>
        <v>#N/A</v>
      </c>
      <c r="K258" s="91" t="e">
        <f t="array" ref="K258">INDEX('Coeff EC7'!$D$34:$Q$34,1,MATCH(D258&amp;E258,'Coeff EC7'!$D$31:$Q$31&amp;'Coeff EC7'!$D$32:$Q$32,0))</f>
        <v>#N/A</v>
      </c>
      <c r="L258" s="91" t="e">
        <f t="array" ref="L258">INDEX('Coeff EC7'!$D$35:$Q$35,1,MATCH(D258&amp;E258,'Coeff EC7'!$D$31:$Q$31&amp;'Coeff EC7'!$D$32:$Q$32,0))</f>
        <v>#N/A</v>
      </c>
      <c r="M258" s="98" t="e">
        <f t="shared" si="331"/>
        <v>#N/A</v>
      </c>
      <c r="N258" s="99" t="e">
        <f t="array" ref="N258">INDEX('Coeff EC7'!$D$7:$Q$27,MATCH($B$3,'Coeff EC7'!$C$7:$C$27,0),MATCH(D258&amp;E258,'Coeff EC7'!$D$5:$Q$5&amp;'Coeff EC7'!$D$6:$Q$6,0))</f>
        <v>#N/A</v>
      </c>
      <c r="O258" s="99" t="e">
        <f t="array" ref="O258">INDEX('Coeff EC7'!$D$41:$Q$61,MATCH($B$3,'Coeff EC7'!$C$41:$C$61,0),MATCH(D258&amp;E258,'Coeff EC7'!$D$39:$Q$39&amp;'Coeff EC7'!$D$40:$Q$40,0))</f>
        <v>#N/A</v>
      </c>
      <c r="P258" s="30" t="e">
        <f t="shared" si="368"/>
        <v>#N/A</v>
      </c>
      <c r="Q258" s="100" t="e">
        <f t="shared" si="333"/>
        <v>#N/A</v>
      </c>
      <c r="R258" s="86" t="b">
        <f t="shared" si="334"/>
        <v>0</v>
      </c>
      <c r="S258" s="86">
        <f t="shared" si="332"/>
        <v>0.5</v>
      </c>
      <c r="T258" s="86">
        <f t="shared" si="335"/>
        <v>0.5</v>
      </c>
      <c r="U258" s="30" t="e">
        <f t="shared" ca="1" si="369"/>
        <v>#DIV/0!</v>
      </c>
      <c r="V258" s="85" t="str">
        <f>IF(B258&lt;=Hypothèses!$V$7,Hypothèses!$W$7,IF(B258&lt;=Hypothèses!$V$8,Hypothèses!$W$8,IF(B258&lt;=Hypothèses!$V$9,Hypothèses!$W$9,IF(B258&lt;=Hypothèses!$V$10,Hypothèses!$W$10,IF(B258&lt;=Hypothèses!$V$11,Hypothèses!$W$11,IF(B258&lt;=Hypothèses!$V$12,Hypothèses!$W$12,IF(B258&lt;=Hypothèses!$V$13,Hypothèses!$W$13,IF(B258&lt;=Hypothèses!$V$14,Hypothèses!$W$14,IF(B258&lt;=Hypothèses!$V$15,Hypothèses!$W$15,IF(B258&lt;=Hypothèses!$V$16,Hypothèses!$W$16,IF(B258&lt;=Hypothèses!$V$17,Hypothèses!$W$17,IF(B258&lt;=Hypothèses!$V$18,Hypothèses!$W$18,""))))))))))))</f>
        <v/>
      </c>
      <c r="W258" s="87" t="e">
        <f t="shared" ca="1" si="416"/>
        <v>#DIV/0!</v>
      </c>
      <c r="X258" s="88" t="str">
        <f>IF(B258&lt;=Hypothèses!$V$7,Hypothèses!$X$7,IF(B258&lt;=Hypothèses!$V$8,Hypothèses!$X$8,IF(B258&lt;=Hypothèses!$V$9,Hypothèses!$X$9,IF(B258&lt;=Hypothèses!$V$10,Hypothèses!$X$10,IF(B258&lt;=Hypothèses!$V$11,Hypothèses!$X$11,IF(B258&lt;=Hypothèses!$V$12,Hypothèses!$X$12,IF(B258&lt;=Hypothèses!$V$13,Hypothèses!$X$13,IF(B258&lt;=Hypothèses!$V$14,Hypothèses!$X$14,IF(B258&lt;=Hypothèses!$V$15,Hypothèses!$X$15,IF(B258&lt;=Hypothèses!$V$16,Hypothèses!$X$16,IF(B258&lt;=Hypothèses!$U$17,Hypothèses!$W$17,IF(B258&lt;=Hypothèses!$U$18,Hypothèses!$W$18,""))))))))))))</f>
        <v/>
      </c>
      <c r="Y258" s="95" t="e">
        <f t="shared" ca="1" si="336"/>
        <v>#DIV/0!</v>
      </c>
      <c r="Z258" s="101" t="e">
        <f t="shared" si="337"/>
        <v>#N/A</v>
      </c>
      <c r="AA258" s="91" t="e">
        <f t="shared" si="338"/>
        <v>#N/A</v>
      </c>
      <c r="AB258" s="30" t="e">
        <f t="shared" si="400"/>
        <v>#N/A</v>
      </c>
      <c r="AC258" s="30" t="e">
        <f t="shared" si="401"/>
        <v>#N/A</v>
      </c>
      <c r="AD258" s="31" t="e">
        <f>IF(OR(Hypothèses!$B$4=17,Hypothèses!$B$4=18,Hypothèses!$B$4=19,Hypothèses!$B$4=20),
IF($D258="Pressio.",
IF(OR($E258=3,$E258=1,$E258=4),AC258,AB258),
IF($D258="Pénétro.",
IF(OR($E258=3,$E258=1,$E258=4),AC258,AB258))),IF($D258="Pressio.",
IF($E258=3,AC258,AB258),
IF($D258="Pénétro.",
IF($E258=4,AC258,AB258))))</f>
        <v>#N/A</v>
      </c>
      <c r="AE258" s="31" t="e">
        <f>(IF(OR(Hypothèses!$B$4=17,Hypothèses!$B$4=18,Hypothèses!$B$4=19,Hypothèses!$B$4=20),
IF($D258="Pressio.",
IF(OR($E258=3,$E258=1,$E258=4),(PI()*AE$12^2)/4*(AA258*$W258*1000)/($H258*$B$5),(PI()*AE$12^2)/4*(AA258*$W258*1000)/($G258*$B$5)),
IF($D258="Pénétro.",
IF(OR($E258=4,$E258=1,$E258=5),(PI()*AE$12^2)/4*(AA258*$W258*1000)/($H258*$B$5),(PI()*AE$12^2)/4*(AA258*$W258*1000)/($G258*$B$5)))),
IF($D258="Pressio.",
IF($E258=3,(PI()*AE$12^2)/4*(AA258*$W258*1000)/($H258*$B$5),(PI()*AE$12^2)/4*(AA258*$W258*1000)/($G258*$B$5)),
IF($D258="Pénétro.",
IF($E258=4,(PI()*AE$12^2)/4*(AA258*$W258*1000)/($H258*$B$5),(PI()*AE$12^2)/4*(AA258*$W258*1000)/($G258*$B$5))))))/10</f>
        <v>#N/A</v>
      </c>
      <c r="AF258" s="102" t="e">
        <f>(VLOOKUP($B$3,'Coeff EC7'!$T$39:$X$59,2,0)*AD258+VLOOKUP($B$3,'Coeff EC7'!$T$65:$X$85,2,0)*Model0.1C!AE258)/1.1</f>
        <v>#N/A</v>
      </c>
      <c r="AG258" s="102" t="e">
        <f>(VLOOKUP($B$3,'Coeff EC7'!$T$39:$X$59,3,0)*AD258+VLOOKUP($B$3,'Coeff EC7'!$T$65:$X$85,3,0)*Model0.1C!AE258)/0.9</f>
        <v>#N/A</v>
      </c>
      <c r="AH258" s="102" t="e">
        <f t="shared" si="339"/>
        <v>#N/A</v>
      </c>
      <c r="AI258" s="102" t="e">
        <f t="shared" si="340"/>
        <v>#N/A</v>
      </c>
      <c r="AJ258" s="414" t="e">
        <f>IF(AJ257=0,0,IF(AND(AF258&gt;charge_ELS_quasi,AG258&gt;Charge_ELS_freq,AH258&gt;charge_ELU,AI258&gt;charge_ELA,$B258&gt;NDC!$H$22-0.1+MIN(3*$AJ$12,1.5)),0,1))</f>
        <v>#N/A</v>
      </c>
      <c r="AK258" s="86" t="b">
        <f t="shared" si="341"/>
        <v>0</v>
      </c>
      <c r="AL258" s="86">
        <f t="shared" si="370"/>
        <v>0.5</v>
      </c>
      <c r="AM258" s="86">
        <f t="shared" si="342"/>
        <v>0.5</v>
      </c>
      <c r="AN258" s="30" t="e">
        <f t="shared" ca="1" si="371"/>
        <v>#DIV/0!</v>
      </c>
      <c r="AO258" s="85" t="e">
        <f ca="1">IF(U258&lt;=Hypothèses!$V$7,Hypothèses!$W$7,IF(U258&lt;=Hypothèses!$V$8,Hypothèses!$W$8,IF(U258&lt;=Hypothèses!$V$9,Hypothèses!$W$9,IF(U258&lt;=Hypothèses!$V$10,Hypothèses!$W$10,IF(U258&lt;=Hypothèses!$V$11,Hypothèses!$W$11,IF(U258&lt;=Hypothèses!$V$12,Hypothèses!$W$12,IF(U258&lt;=Hypothèses!$V$13,Hypothèses!$W$13,IF(U258&lt;=Hypothèses!$V$14,Hypothèses!$W$14,IF(U258&lt;=Hypothèses!$V$15,Hypothèses!$W$15,IF(U258&lt;=Hypothèses!$V$16,Hypothèses!$W$16,IF(U258&lt;=Hypothèses!$V$17,Hypothèses!$W$17,IF(U258&lt;=Hypothèses!$V$18,Hypothèses!$W$18,""))))))))))))</f>
        <v>#DIV/0!</v>
      </c>
      <c r="AP258" s="87" t="e">
        <f t="shared" ca="1" si="417"/>
        <v>#DIV/0!</v>
      </c>
      <c r="AQ258" s="88" t="e">
        <f ca="1">IF(U258&lt;=Hypothèses!$V$7,Hypothèses!$X$7,IF(U258&lt;=Hypothèses!$V$8,Hypothèses!$X$8,IF(U258&lt;=Hypothèses!$V$9,Hypothèses!$X$9,IF(U258&lt;=Hypothèses!$V$10,Hypothèses!$X$10,IF(U258&lt;=Hypothèses!$V$11,Hypothèses!$X$11,IF(U258&lt;=Hypothèses!$V$12,Hypothèses!$X$12,IF(U258&lt;=Hypothèses!$V$13,Hypothèses!$X$13,IF(U258&lt;=Hypothèses!$V$14,Hypothèses!$X$14,IF(U258&lt;=Hypothèses!$V$15,Hypothèses!$X$15,IF(U258&lt;=Hypothèses!$V$16,Hypothèses!$X$16,IF(U258&lt;=Hypothèses!$U$17,Hypothèses!$W$17,IF(U258&lt;=Hypothèses!$U$18,Hypothèses!$W$18,""))))))))))))</f>
        <v>#DIV/0!</v>
      </c>
      <c r="AR258" s="95" t="e">
        <f t="shared" ca="1" si="372"/>
        <v>#DIV/0!</v>
      </c>
      <c r="AS258" s="101" t="e">
        <f t="shared" si="424"/>
        <v>#N/A</v>
      </c>
      <c r="AT258" s="91" t="e">
        <f t="shared" si="343"/>
        <v>#N/A</v>
      </c>
      <c r="AU258" s="30" t="e">
        <f t="shared" si="402"/>
        <v>#N/A</v>
      </c>
      <c r="AV258" s="30" t="e">
        <f t="shared" si="403"/>
        <v>#N/A</v>
      </c>
      <c r="AW258" s="31" t="e">
        <f>IF(OR(Hypothèses!$B$4=17,Hypothèses!$B$4=18,Hypothèses!$B$4=19,Hypothèses!$B$4=20),
IF($D258="Pressio.",
IF(OR($E258=3,$E258=1,$E258=4),AV258,AU258),
IF($D258="Pénétro.",
IF(OR($E258=3,$E258=1,$E258=4),AV258,AU258))),IF($D258="Pressio.",
IF($E258=3,AV258,AU258),
IF($D258="Pénétro.",
IF($E258=4,AV258,AU258))))</f>
        <v>#N/A</v>
      </c>
      <c r="AX258" s="31" t="e">
        <f>(IF(OR(Hypothèses!$B$4=17,Hypothèses!$B$4=18,Hypothèses!$B$4=19,Hypothèses!$B$4=20),
IF($D258="Pressio.",
IF(OR($E258=3,$E258=1,$E258=4),(PI()*AX$12^2)/4*(AT258*$W258*1000)/($H258*$B$5),(PI()*AX$12^2)/4*(AT258*$W258*1000)/($G258*$B$5)),
IF($D258="Pénétro.",
IF(OR($E258=4,$E258=1,$E258=5),(PI()*AX$12^2)/4*(AT258*$W258*1000)/($H258*$B$5),(PI()*AX$12^2)/4*(AT258*$W258*1000)/($G258*$B$5)))),
IF($D258="Pressio.",
IF($E258=3,(PI()*AX$12^2)/4*(AT258*$W258*1000)/($H258*$B$5),(PI()*AX$12^2)/4*(AT258*$W258*1000)/($G258*$B$5)),
IF($D258="Pénétro.",
IF($E258=4,(PI()*AX$12^2)/4*(AT258*$W258*1000)/($H258*$B$5),(PI()*AX$12^2)/4*(AT258*$W258*1000)/($G258*$B$5))))))/10</f>
        <v>#N/A</v>
      </c>
      <c r="AY258" s="102" t="e">
        <f>(VLOOKUP($B$3,'Coeff EC7'!$T$39:$X$59,2,0)*AW258+VLOOKUP($B$3,'Coeff EC7'!$T$65:$X$85,2,0)*Model0.1C!AX258)/1.1</f>
        <v>#N/A</v>
      </c>
      <c r="AZ258" s="102" t="e">
        <f>(VLOOKUP($B$3,'Coeff EC7'!$T$39:$X$59,3,0)*AW258+VLOOKUP($B$3,'Coeff EC7'!$T$65:$X$85,3,0)*Model0.1C!AX258)/0.9</f>
        <v>#N/A</v>
      </c>
      <c r="BA258" s="102" t="e">
        <f t="shared" si="373"/>
        <v>#N/A</v>
      </c>
      <c r="BB258" s="102" t="e">
        <f t="shared" si="374"/>
        <v>#N/A</v>
      </c>
      <c r="BC258" s="414" t="e">
        <f>IF(BC257=0,0,IF(AND(AY258&gt;charge_ELS_quasi,AZ258&gt;Charge_ELS_freq,BA258&gt;charge_ELU,BB258&gt;charge_ELA,$B258&gt;NDC!$H$22-0.1+MIN(3*$BC$12,1.5)),0,1))</f>
        <v>#N/A</v>
      </c>
      <c r="BD258" s="86" t="b">
        <f t="shared" si="344"/>
        <v>0</v>
      </c>
      <c r="BE258" s="86">
        <f t="shared" si="375"/>
        <v>0.5</v>
      </c>
      <c r="BF258" s="86">
        <f t="shared" si="345"/>
        <v>0.5</v>
      </c>
      <c r="BG258" s="30" t="e">
        <f t="shared" ca="1" si="376"/>
        <v>#DIV/0!</v>
      </c>
      <c r="BH258" s="85" t="e">
        <f ca="1">IF(AN258&lt;=Hypothèses!$V$7,Hypothèses!$W$7,IF(AN258&lt;=Hypothèses!$V$8,Hypothèses!$W$8,IF(AN258&lt;=Hypothèses!$V$9,Hypothèses!$W$9,IF(AN258&lt;=Hypothèses!$V$10,Hypothèses!$W$10,IF(AN258&lt;=Hypothèses!$V$11,Hypothèses!$W$11,IF(AN258&lt;=Hypothèses!$V$12,Hypothèses!$W$12,IF(AN258&lt;=Hypothèses!$V$13,Hypothèses!$W$13,IF(AN258&lt;=Hypothèses!$V$14,Hypothèses!$W$14,IF(AN258&lt;=Hypothèses!$V$15,Hypothèses!$W$15,IF(AN258&lt;=Hypothèses!$V$16,Hypothèses!$W$16,IF(AN258&lt;=Hypothèses!$V$17,Hypothèses!$W$17,IF(AN258&lt;=Hypothèses!$V$18,Hypothèses!$W$18,""))))))))))))</f>
        <v>#DIV/0!</v>
      </c>
      <c r="BI258" s="87" t="e">
        <f t="shared" ca="1" si="418"/>
        <v>#DIV/0!</v>
      </c>
      <c r="BJ258" s="88" t="e">
        <f ca="1">IF(AN258&lt;=Hypothèses!$V$7,Hypothèses!$X$7,IF(AN258&lt;=Hypothèses!$V$8,Hypothèses!$X$8,IF(AN258&lt;=Hypothèses!$V$9,Hypothèses!$X$9,IF(AN258&lt;=Hypothèses!$V$10,Hypothèses!$X$10,IF(AN258&lt;=Hypothèses!$V$11,Hypothèses!$X$11,IF(AN258&lt;=Hypothèses!$V$12,Hypothèses!$X$12,IF(AN258&lt;=Hypothèses!$V$13,Hypothèses!$X$13,IF(AN258&lt;=Hypothèses!$V$14,Hypothèses!$X$14,IF(AN258&lt;=Hypothèses!$V$15,Hypothèses!$X$15,IF(AN258&lt;=Hypothèses!$V$16,Hypothèses!$X$16,IF(AN258&lt;=Hypothèses!$U$17,Hypothèses!$W$17,IF(AN258&lt;=Hypothèses!$U$18,Hypothèses!$W$18,""))))))))))))</f>
        <v>#DIV/0!</v>
      </c>
      <c r="BK258" s="95" t="e">
        <f t="shared" ca="1" si="377"/>
        <v>#DIV/0!</v>
      </c>
      <c r="BL258" s="101" t="e">
        <f t="shared" si="425"/>
        <v>#N/A</v>
      </c>
      <c r="BM258" s="91" t="e">
        <f t="shared" si="346"/>
        <v>#N/A</v>
      </c>
      <c r="BN258" s="30" t="e">
        <f t="shared" si="404"/>
        <v>#N/A</v>
      </c>
      <c r="BO258" s="30" t="e">
        <f t="shared" si="405"/>
        <v>#N/A</v>
      </c>
      <c r="BP258" s="31" t="e">
        <f>IF(OR(Hypothèses!$B$4=17,Hypothèses!$B$4=18,Hypothèses!$B$4=19,Hypothèses!$B$4=20),
IF($D258="Pressio.",
IF(OR($E258=3,$E258=1,$E258=4),BO258,BN258),
IF($D258="Pénétro.",
IF(OR($E258=3,$E258=1,$E258=4),BO258,BN258))),IF($D258="Pressio.",
IF($E258=3,BO258,BN258),
IF($D258="Pénétro.",
IF($E258=4,BO258,BN258))))</f>
        <v>#N/A</v>
      </c>
      <c r="BQ258" s="31" t="e">
        <f>(IF(OR(Hypothèses!$B$4=17,Hypothèses!$B$4=18,Hypothèses!$B$4=19,Hypothèses!$B$4=20),
IF($D258="Pressio.",
IF(OR($E258=3,$E258=1,$E258=4),(PI()*BQ$12^2)/4*(BM258*$W258*1000)/($H258*$B$5),(PI()*BQ$12^2)/4*(BM258*$W258*1000)/($G258*$B$5)),
IF($D258="Pénétro.",
IF(OR($E258=4,$E258=1,$E258=5),(PI()*BQ$12^2)/4*(BM258*$W258*1000)/($H258*$B$5),(PI()*BQ$12^2)/4*(BM258*$W258*1000)/($G258*$B$5)))),
IF($D258="Pressio.",
IF($E258=3,(PI()*BQ$12^2)/4*(BM258*$W258*1000)/($H258*$B$5),(PI()*BQ$12^2)/4*(BM258*$W258*1000)/($G258*$B$5)),
IF($D258="Pénétro.",
IF($E258=4,(PI()*BQ$12^2)/4*(BM258*$W258*1000)/($H258*$B$5),(PI()*BQ$12^2)/4*(BM258*$W258*1000)/($G258*$B$5))))))/10</f>
        <v>#N/A</v>
      </c>
      <c r="BR258" s="102" t="e">
        <f>(VLOOKUP($B$3,'Coeff EC7'!$T$39:$X$59,2,0)*BP258+VLOOKUP($B$3,'Coeff EC7'!$T$65:$X$85,2,0)*Model0.1C!BQ258)/1.1</f>
        <v>#N/A</v>
      </c>
      <c r="BS258" s="102" t="e">
        <f>(VLOOKUP($B$3,'Coeff EC7'!$T$39:$X$59,3,0)*BP258+VLOOKUP($B$3,'Coeff EC7'!$T$65:$X$85,3,0)*Model0.1C!BQ258)/0.9</f>
        <v>#N/A</v>
      </c>
      <c r="BT258" s="102" t="e">
        <f t="shared" si="378"/>
        <v>#N/A</v>
      </c>
      <c r="BU258" s="102" t="e">
        <f t="shared" si="379"/>
        <v>#N/A</v>
      </c>
      <c r="BV258" s="414" t="e">
        <f>IF(BV257=0,0,IF(AND(BR258&gt;charge_ELS_quasi,BS258&gt;Charge_ELS_freq,BT258&gt;charge_ELU,BU258&gt;charge_ELA,$B258&gt;NDC!$H$22-0.1+MIN(3*$BV$12,1.5)),0,1))</f>
        <v>#N/A</v>
      </c>
      <c r="BW258" s="86" t="b">
        <f t="shared" si="347"/>
        <v>0</v>
      </c>
      <c r="BX258" s="86">
        <f t="shared" si="348"/>
        <v>0.5</v>
      </c>
      <c r="BY258" s="86">
        <f t="shared" si="349"/>
        <v>0.5</v>
      </c>
      <c r="BZ258" s="30" t="e">
        <f t="shared" ca="1" si="380"/>
        <v>#DIV/0!</v>
      </c>
      <c r="CA258" s="85" t="e">
        <f ca="1">IF(BG258&lt;=Hypothèses!$V$7,Hypothèses!$W$7,IF(BG258&lt;=Hypothèses!$V$8,Hypothèses!$W$8,IF(BG258&lt;=Hypothèses!$V$9,Hypothèses!$W$9,IF(BG258&lt;=Hypothèses!$V$10,Hypothèses!$W$10,IF(BG258&lt;=Hypothèses!$V$11,Hypothèses!$W$11,IF(BG258&lt;=Hypothèses!$V$12,Hypothèses!$W$12,IF(BG258&lt;=Hypothèses!$V$13,Hypothèses!$W$13,IF(BG258&lt;=Hypothèses!$V$14,Hypothèses!$W$14,IF(BG258&lt;=Hypothèses!$V$15,Hypothèses!$W$15,IF(BG258&lt;=Hypothèses!$V$16,Hypothèses!$W$16,IF(BG258&lt;=Hypothèses!$V$17,Hypothèses!$W$17,IF(BG258&lt;=Hypothèses!$V$18,Hypothèses!$W$18,""))))))))))))</f>
        <v>#DIV/0!</v>
      </c>
      <c r="CB258" s="87" t="e">
        <f t="shared" ca="1" si="419"/>
        <v>#DIV/0!</v>
      </c>
      <c r="CC258" s="88" t="e">
        <f ca="1">IF(BG258&lt;=Hypothèses!$V$7,Hypothèses!$X$7,IF(BG258&lt;=Hypothèses!$V$8,Hypothèses!$X$8,IF(BG258&lt;=Hypothèses!$V$9,Hypothèses!$X$9,IF(BG258&lt;=Hypothèses!$V$10,Hypothèses!$X$10,IF(BG258&lt;=Hypothèses!$V$11,Hypothèses!$X$11,IF(BG258&lt;=Hypothèses!$V$12,Hypothèses!$X$12,IF(BG258&lt;=Hypothèses!$V$13,Hypothèses!$X$13,IF(BG258&lt;=Hypothèses!$V$14,Hypothèses!$X$14,IF(BG258&lt;=Hypothèses!$V$15,Hypothèses!$X$15,IF(BG258&lt;=Hypothèses!$V$16,Hypothèses!$X$16,IF(BG258&lt;=Hypothèses!$U$17,Hypothèses!$W$17,IF(BG258&lt;=Hypothèses!$U$18,Hypothèses!$W$18,""))))))))))))</f>
        <v>#DIV/0!</v>
      </c>
      <c r="CD258" s="95" t="e">
        <f t="shared" ca="1" si="381"/>
        <v>#DIV/0!</v>
      </c>
      <c r="CE258" s="101" t="e">
        <f t="shared" si="426"/>
        <v>#N/A</v>
      </c>
      <c r="CF258" s="91" t="e">
        <f t="shared" si="350"/>
        <v>#N/A</v>
      </c>
      <c r="CG258" s="30" t="e">
        <f t="shared" si="406"/>
        <v>#N/A</v>
      </c>
      <c r="CH258" s="30" t="e">
        <f t="shared" si="407"/>
        <v>#N/A</v>
      </c>
      <c r="CI258" s="31" t="e">
        <f>IF(OR(Hypothèses!$B$4=17,Hypothèses!$B$4=18,Hypothèses!$B$4=19,Hypothèses!$B$4=20),
IF($D258="Pressio.",
IF(OR($E258=3,$E258=1,$E258=4),CH258,CG258),
IF($D258="Pénétro.",
IF(OR($E258=3,$E258=1,$E258=4),CH258,CG258))),IF($D258="Pressio.",
IF($E258=3,CH258,CG258),
IF($D258="Pénétro.",
IF($E258=4,CH258,CG258))))</f>
        <v>#N/A</v>
      </c>
      <c r="CJ258" s="31" t="e">
        <f>(IF(OR(Hypothèses!$B$4=17,Hypothèses!$B$4=18,Hypothèses!$B$4=19,Hypothèses!$B$4=20),
IF($D258="Pressio.",
IF(OR($E258=3,$E258=1,$E258=4),(PI()*CJ$12^2)/4*(CF258*$W258*1000)/($H258*$B$5),(PI()*CJ$12^2)/4*(CF258*$W258*1000)/($G258*$B$5)),
IF($D258="Pénétro.",
IF(OR($E258=4,$E258=1,$E258=5),(PI()*CJ$12^2)/4*(CF258*$W258*1000)/($H258*$B$5),(PI()*CJ$12^2)/4*(CF258*$W258*1000)/($G258*$B$5)))),
IF($D258="Pressio.",
IF($E258=3,(PI()*CJ$12^2)/4*(CF258*$W258*1000)/($H258*$B$5),(PI()*CJ$12^2)/4*(CF258*$W258*1000)/($G258*$B$5)),
IF($D258="Pénétro.",
IF($E258=4,(PI()*CJ$12^2)/4*(CF258*$W258*1000)/($H258*$B$5),(PI()*CJ$12^2)/4*(CF258*$W258*1000)/($G258*$B$5))))))/10</f>
        <v>#N/A</v>
      </c>
      <c r="CK258" s="102" t="e">
        <f>(VLOOKUP($B$3,'Coeff EC7'!$T$39:$X$59,2,0)*CI258+VLOOKUP($B$3,'Coeff EC7'!$T$65:$X$85,2,0)*Model0.1C!CJ258)/1.1</f>
        <v>#N/A</v>
      </c>
      <c r="CL258" s="102" t="e">
        <f>(VLOOKUP($B$3,'Coeff EC7'!$T$39:$X$59,3,0)*CI258+VLOOKUP($B$3,'Coeff EC7'!$T$65:$X$85,3,0)*Model0.1C!CJ258)/0.9</f>
        <v>#N/A</v>
      </c>
      <c r="CM258" s="102" t="e">
        <f t="shared" si="382"/>
        <v>#N/A</v>
      </c>
      <c r="CN258" s="102" t="e">
        <f t="shared" si="383"/>
        <v>#N/A</v>
      </c>
      <c r="CO258" s="414" t="e">
        <f>IF(CO257=0,0,IF(AND(CK258&gt;charge_ELS_quasi,CL258&gt;Charge_ELS_freq,CM258&gt;charge_ELU,CN258&gt;charge_ELA,$B258&gt;NDC!$H$22-0.1+MIN(3*$CO$12,1.5)),0,1))</f>
        <v>#N/A</v>
      </c>
      <c r="CP258" s="86" t="b">
        <f t="shared" si="351"/>
        <v>0</v>
      </c>
      <c r="CQ258" s="86">
        <f t="shared" si="352"/>
        <v>0.5</v>
      </c>
      <c r="CR258" s="86">
        <f t="shared" si="353"/>
        <v>0.5</v>
      </c>
      <c r="CS258" s="30" t="e">
        <f t="shared" ca="1" si="384"/>
        <v>#DIV/0!</v>
      </c>
      <c r="CT258" s="85" t="e">
        <f ca="1">IF(BZ258&lt;=Hypothèses!$V$7,Hypothèses!$W$7,IF(BZ258&lt;=Hypothèses!$V$8,Hypothèses!$W$8,IF(BZ258&lt;=Hypothèses!$V$9,Hypothèses!$W$9,IF(BZ258&lt;=Hypothèses!$V$10,Hypothèses!$W$10,IF(BZ258&lt;=Hypothèses!$V$11,Hypothèses!$W$11,IF(BZ258&lt;=Hypothèses!$V$12,Hypothèses!$W$12,IF(BZ258&lt;=Hypothèses!$V$13,Hypothèses!$W$13,IF(BZ258&lt;=Hypothèses!$V$14,Hypothèses!$W$14,IF(BZ258&lt;=Hypothèses!$V$15,Hypothèses!$W$15,IF(BZ258&lt;=Hypothèses!$V$16,Hypothèses!$W$16,IF(BZ258&lt;=Hypothèses!$V$17,Hypothèses!$W$17,IF(BZ258&lt;=Hypothèses!$V$18,Hypothèses!$W$18,""))))))))))))</f>
        <v>#DIV/0!</v>
      </c>
      <c r="CU258" s="87" t="e">
        <f t="shared" ca="1" si="420"/>
        <v>#DIV/0!</v>
      </c>
      <c r="CV258" s="88" t="e">
        <f ca="1">IF(BZ258&lt;=Hypothèses!$V$7,Hypothèses!$X$7,IF(BZ258&lt;=Hypothèses!$V$8,Hypothèses!$X$8,IF(BZ258&lt;=Hypothèses!$V$9,Hypothèses!$X$9,IF(BZ258&lt;=Hypothèses!$V$10,Hypothèses!$X$10,IF(BZ258&lt;=Hypothèses!$V$11,Hypothèses!$X$11,IF(BZ258&lt;=Hypothèses!$V$12,Hypothèses!$X$12,IF(BZ258&lt;=Hypothèses!$V$13,Hypothèses!$X$13,IF(BZ258&lt;=Hypothèses!$V$14,Hypothèses!$X$14,IF(BZ258&lt;=Hypothèses!$V$15,Hypothèses!$X$15,IF(BZ258&lt;=Hypothèses!$V$16,Hypothèses!$X$16,IF(BZ258&lt;=Hypothèses!$U$17,Hypothèses!$W$17,IF(BZ258&lt;=Hypothèses!$U$18,Hypothèses!$W$18,""))))))))))))</f>
        <v>#DIV/0!</v>
      </c>
      <c r="CW258" s="95" t="e">
        <f t="shared" ca="1" si="385"/>
        <v>#DIV/0!</v>
      </c>
      <c r="CX258" s="101" t="e">
        <f t="shared" si="427"/>
        <v>#N/A</v>
      </c>
      <c r="CY258" s="91" t="e">
        <f t="shared" si="354"/>
        <v>#N/A</v>
      </c>
      <c r="CZ258" s="30" t="e">
        <f t="shared" si="408"/>
        <v>#N/A</v>
      </c>
      <c r="DA258" s="30" t="e">
        <f t="shared" si="409"/>
        <v>#N/A</v>
      </c>
      <c r="DB258" s="31" t="e">
        <f>IF(OR(Hypothèses!$B$4=17,Hypothèses!$B$4=18,Hypothèses!$B$4=19,Hypothèses!$B$4=20),
IF($D258="Pressio.",
IF(OR($E258=3,$E258=1,$E258=4),DA258,CZ258),
IF($D258="Pénétro.",
IF(OR($E258=3,$E258=1,$E258=4),DA258,CZ258))),IF($D258="Pressio.",
IF($E258=3,DA258,CZ258),
IF($D258="Pénétro.",
IF($E258=4,DA258,CZ258))))</f>
        <v>#N/A</v>
      </c>
      <c r="DC258" s="31" t="e">
        <f>(IF(OR(Hypothèses!$B$4=17,Hypothèses!$B$4=18,Hypothèses!$B$4=19,Hypothèses!$B$4=20),
IF($D258="Pressio.",
IF(OR($E258=3,$E258=1,$E258=4),(PI()*DC$12^2)/4*(CY258*$W258*1000)/($H258*$B$5),(PI()*DC$12^2)/4*(CY258*$W258*1000)/($G258*$B$5)),
IF($D258="Pénétro.",
IF(OR($E258=4,$E258=1,$E258=5),(PI()*DC$12^2)/4*(CY258*$W258*1000)/($H258*$B$5),(PI()*DC$12^2)/4*(CY258*$W258*1000)/($G258*$B$5)))),
IF($D258="Pressio.",
IF($E258=3,(PI()*DC$12^2)/4*(CY258*$W258*1000)/($H258*$B$5),(PI()*DC$12^2)/4*(CY258*$W258*1000)/($G258*$B$5)),
IF($D258="Pénétro.",
IF($E258=4,(PI()*DC$12^2)/4*(CY258*$W258*1000)/($H258*$B$5),(PI()*DC$12^2)/4*(CY258*$W258*1000)/($G258*$B$5))))))/10</f>
        <v>#N/A</v>
      </c>
      <c r="DD258" s="102" t="e">
        <f>(VLOOKUP($B$3,'Coeff EC7'!$T$39:$X$59,2,0)*DB258+VLOOKUP($B$3,'Coeff EC7'!$T$65:$X$85,2,0)*Model0.1C!DC258)/1.1</f>
        <v>#N/A</v>
      </c>
      <c r="DE258" s="102" t="e">
        <f>(VLOOKUP($B$3,'Coeff EC7'!$T$39:$X$59,3,0)*DB258+VLOOKUP($B$3,'Coeff EC7'!$T$65:$X$85,3,0)*Model0.1C!DC258)/0.9</f>
        <v>#N/A</v>
      </c>
      <c r="DF258" s="102" t="e">
        <f t="shared" si="386"/>
        <v>#N/A</v>
      </c>
      <c r="DG258" s="102" t="e">
        <f t="shared" si="387"/>
        <v>#N/A</v>
      </c>
      <c r="DH258" s="414" t="e">
        <f>IF(DH257=0,0,IF(AND(DD258&gt;charge_ELS_quasi,DE258&gt;Charge_ELS_freq,DF258&gt;charge_ELU,DG258&gt;charge_ELA,$B258&gt;NDC!$H$22-0.1+MIN(3*$DH$12,1.5)),0,1))</f>
        <v>#N/A</v>
      </c>
      <c r="DI258" s="86" t="b">
        <f t="shared" si="355"/>
        <v>0</v>
      </c>
      <c r="DJ258" s="86">
        <f t="shared" si="356"/>
        <v>0.5</v>
      </c>
      <c r="DK258" s="86">
        <f t="shared" si="357"/>
        <v>0.5</v>
      </c>
      <c r="DL258" s="30" t="e">
        <f t="shared" ca="1" si="388"/>
        <v>#DIV/0!</v>
      </c>
      <c r="DM258" s="85" t="e">
        <f ca="1">IF(CS258&lt;=Hypothèses!$V$7,Hypothèses!$W$7,IF(CS258&lt;=Hypothèses!$V$8,Hypothèses!$W$8,IF(CS258&lt;=Hypothèses!$V$9,Hypothèses!$W$9,IF(CS258&lt;=Hypothèses!$V$10,Hypothèses!$W$10,IF(CS258&lt;=Hypothèses!$V$11,Hypothèses!$W$11,IF(CS258&lt;=Hypothèses!$V$12,Hypothèses!$W$12,IF(CS258&lt;=Hypothèses!$V$13,Hypothèses!$W$13,IF(CS258&lt;=Hypothèses!$V$14,Hypothèses!$W$14,IF(CS258&lt;=Hypothèses!$V$15,Hypothèses!$W$15,IF(CS258&lt;=Hypothèses!$V$16,Hypothèses!$W$16,IF(CS258&lt;=Hypothèses!$V$17,Hypothèses!$W$17,IF(CS258&lt;=Hypothèses!$V$18,Hypothèses!$W$18,""))))))))))))</f>
        <v>#DIV/0!</v>
      </c>
      <c r="DN258" s="87" t="e">
        <f t="shared" ca="1" si="421"/>
        <v>#DIV/0!</v>
      </c>
      <c r="DO258" s="88" t="e">
        <f ca="1">IF(CS258&lt;=Hypothèses!$V$7,Hypothèses!$X$7,IF(CS258&lt;=Hypothèses!$V$8,Hypothèses!$X$8,IF(CS258&lt;=Hypothèses!$V$9,Hypothèses!$X$9,IF(CS258&lt;=Hypothèses!$V$10,Hypothèses!$X$10,IF(CS258&lt;=Hypothèses!$V$11,Hypothèses!$X$11,IF(CS258&lt;=Hypothèses!$V$12,Hypothèses!$X$12,IF(CS258&lt;=Hypothèses!$V$13,Hypothèses!$X$13,IF(CS258&lt;=Hypothèses!$V$14,Hypothèses!$X$14,IF(CS258&lt;=Hypothèses!$V$15,Hypothèses!$X$15,IF(CS258&lt;=Hypothèses!$V$16,Hypothèses!$X$16,IF(CS258&lt;=Hypothèses!$U$17,Hypothèses!$W$17,IF(CS258&lt;=Hypothèses!$U$18,Hypothèses!$W$18,""))))))))))))</f>
        <v>#DIV/0!</v>
      </c>
      <c r="DP258" s="95" t="e">
        <f t="shared" ca="1" si="389"/>
        <v>#DIV/0!</v>
      </c>
      <c r="DQ258" s="101" t="e">
        <f t="shared" si="428"/>
        <v>#N/A</v>
      </c>
      <c r="DR258" s="91" t="e">
        <f t="shared" si="358"/>
        <v>#N/A</v>
      </c>
      <c r="DS258" s="30" t="e">
        <f t="shared" si="410"/>
        <v>#N/A</v>
      </c>
      <c r="DT258" s="30" t="e">
        <f t="shared" si="411"/>
        <v>#N/A</v>
      </c>
      <c r="DU258" s="31" t="e">
        <f>IF(OR(Hypothèses!$B$4=17,Hypothèses!$B$4=18,Hypothèses!$B$4=19,Hypothèses!$B$4=20),
IF($D258="Pressio.",
IF(OR($E258=3,$E258=1,$E258=4),DT258,DS258),
IF($D258="Pénétro.",
IF(OR($E258=3,$E258=1,$E258=4),DT258,DS258))),IF($D258="Pressio.",
IF($E258=3,DT258,DS258),
IF($D258="Pénétro.",
IF($E258=4,DT258,DS258))))</f>
        <v>#N/A</v>
      </c>
      <c r="DV258" s="31" t="e">
        <f>(IF(OR(Hypothèses!$B$4=17,Hypothèses!$B$4=18,Hypothèses!$B$4=19,Hypothèses!$B$4=20),
IF($D258="Pressio.",
IF(OR($E258=3,$E258=1,$E258=4),(PI()*DV$12^2)/4*(DR258*$W258*1000)/($H258*$B$5),(PI()*DV$12^2)/4*(DR258*$W258*1000)/($G258*$B$5)),
IF($D258="Pénétro.",
IF(OR($E258=4,$E258=1,$E258=5),(PI()*DV$12^2)/4*(DR258*$W258*1000)/($H258*$B$5),(PI()*DV$12^2)/4*(DR258*$W258*1000)/($G258*$B$5)))),
IF($D258="Pressio.",
IF($E258=3,(PI()*DV$12^2)/4*(DR258*$W258*1000)/($H258*$B$5),(PI()*DV$12^2)/4*(DR258*$W258*1000)/($G258*$B$5)),
IF($D258="Pénétro.",
IF($E258=4,(PI()*DV$12^2)/4*(DR258*$W258*1000)/($H258*$B$5),(PI()*DV$12^2)/4*(DR258*$W258*1000)/($G258*$B$5))))))/10</f>
        <v>#N/A</v>
      </c>
      <c r="DW258" s="102" t="e">
        <f>(VLOOKUP($B$3,'Coeff EC7'!$T$39:$X$59,2,0)*DU258+VLOOKUP($B$3,'Coeff EC7'!$T$65:$X$85,2,0)*Model0.1C!DV258)/1.1</f>
        <v>#N/A</v>
      </c>
      <c r="DX258" s="102" t="e">
        <f>(VLOOKUP($B$3,'Coeff EC7'!$T$39:$X$59,3,0)*DU258+VLOOKUP($B$3,'Coeff EC7'!$T$65:$X$85,3,0)*Model0.1C!DV258)/0.9</f>
        <v>#N/A</v>
      </c>
      <c r="DY258" s="102" t="e">
        <f t="shared" si="390"/>
        <v>#N/A</v>
      </c>
      <c r="DZ258" s="102" t="e">
        <f t="shared" si="391"/>
        <v>#N/A</v>
      </c>
      <c r="EA258" s="414" t="e">
        <f>IF(EA257=0,0,IF(AND(DW258&gt;charge_ELS_quasi,DX258&gt;Charge_ELS_freq,DY258&gt;charge_ELU,DZ258&gt;charge_ELA,$B258&gt;NDC!$H$22-0.1+MIN(3*$EA$12,1.5)),0,1))</f>
        <v>#N/A</v>
      </c>
      <c r="EB258" s="86" t="b">
        <f t="shared" si="359"/>
        <v>0</v>
      </c>
      <c r="EC258" s="418">
        <f t="shared" si="360"/>
        <v>0.51</v>
      </c>
      <c r="ED258" s="86">
        <f t="shared" si="361"/>
        <v>0.51</v>
      </c>
      <c r="EE258" s="30" t="e">
        <f t="shared" ca="1" si="392"/>
        <v>#DIV/0!</v>
      </c>
      <c r="EF258" s="85" t="e">
        <f ca="1">IF(DL258&lt;=Hypothèses!$V$7,Hypothèses!$W$7,IF(DL258&lt;=Hypothèses!$V$8,Hypothèses!$W$8,IF(DL258&lt;=Hypothèses!$V$9,Hypothèses!$W$9,IF(DL258&lt;=Hypothèses!$V$10,Hypothèses!$W$10,IF(DL258&lt;=Hypothèses!$V$11,Hypothèses!$W$11,IF(DL258&lt;=Hypothèses!$V$12,Hypothèses!$W$12,IF(DL258&lt;=Hypothèses!$V$13,Hypothèses!$W$13,IF(DL258&lt;=Hypothèses!$V$14,Hypothèses!$W$14,IF(DL258&lt;=Hypothèses!$V$15,Hypothèses!$W$15,IF(DL258&lt;=Hypothèses!$V$16,Hypothèses!$W$16,IF(DL258&lt;=Hypothèses!$V$17,Hypothèses!$W$17,IF(DL258&lt;=Hypothèses!$V$18,Hypothèses!$W$18,""))))))))))))</f>
        <v>#DIV/0!</v>
      </c>
      <c r="EG258" s="87" t="e">
        <f t="shared" ca="1" si="422"/>
        <v>#DIV/0!</v>
      </c>
      <c r="EH258" s="88" t="e">
        <f ca="1">IF(DL258&lt;=Hypothèses!$V$7,Hypothèses!$X$7,IF(DL258&lt;=Hypothèses!$V$8,Hypothèses!$X$8,IF(DL258&lt;=Hypothèses!$V$9,Hypothèses!$X$9,IF(DL258&lt;=Hypothèses!$V$10,Hypothèses!$X$10,IF(DL258&lt;=Hypothèses!$V$11,Hypothèses!$X$11,IF(DL258&lt;=Hypothèses!$V$12,Hypothèses!$X$12,IF(DL258&lt;=Hypothèses!$V$13,Hypothèses!$X$13,IF(DL258&lt;=Hypothèses!$V$14,Hypothèses!$X$14,IF(DL258&lt;=Hypothèses!$V$15,Hypothèses!$X$15,IF(DL258&lt;=Hypothèses!$V$16,Hypothèses!$X$16,IF(DL258&lt;=Hypothèses!$U$17,Hypothèses!$W$17,IF(DL258&lt;=Hypothèses!$U$18,Hypothèses!$W$18,""))))))))))))</f>
        <v>#DIV/0!</v>
      </c>
      <c r="EI258" s="95" t="e">
        <f t="shared" ca="1" si="393"/>
        <v>#DIV/0!</v>
      </c>
      <c r="EJ258" s="101" t="e">
        <f t="shared" si="429"/>
        <v>#N/A</v>
      </c>
      <c r="EK258" s="91" t="e">
        <f t="shared" si="362"/>
        <v>#N/A</v>
      </c>
      <c r="EL258" s="30" t="e">
        <f t="shared" si="412"/>
        <v>#N/A</v>
      </c>
      <c r="EM258" s="30" t="e">
        <f t="shared" si="413"/>
        <v>#N/A</v>
      </c>
      <c r="EN258" s="31" t="e">
        <f>IF(OR(Hypothèses!$B$4=17,Hypothèses!$B$4=18,Hypothèses!$B$4=19,Hypothèses!$B$4=20),
IF($D258="Pressio.",
IF(OR($E258=3,$E258=1,$E258=4),EM258,EL258),
IF($D258="Pénétro.",
IF(OR($E258=3,$E258=1,$E258=4),EM258,EL258))),IF($D258="Pressio.",
IF($E258=3,EM258,EL258),
IF($D258="Pénétro.",
IF($E258=4,EM258,EL258))))</f>
        <v>#N/A</v>
      </c>
      <c r="EO258" s="31" t="e">
        <f>(IF(OR(Hypothèses!$B$4=17,Hypothèses!$B$4=18,Hypothèses!$B$4=19,Hypothèses!$B$4=20),
IF($D258="Pressio.",
IF(OR($E258=3,$E258=1,$E258=4),(PI()*EO$12^2)/4*(EK258*$W258*1000)/($H258*$B$5),(PI()*EO$12^2)/4*(EK258*$W258*1000)/($G258*$B$5)),
IF($D258="Pénétro.",
IF(OR($E258=4,$E258=1,$E258=5),(PI()*EO$12^2)/4*(EK258*$W258*1000)/($H258*$B$5),(PI()*EO$12^2)/4*(EK258*$W258*1000)/($G258*$B$5)))),
IF($D258="Pressio.",
IF($E258=3,(PI()*EO$12^2)/4*(EK258*$W258*1000)/($H258*$B$5),(PI()*EO$12^2)/4*(EK258*$W258*1000)/($G258*$B$5)),
IF($D258="Pénétro.",
IF($E258=4,(PI()*EO$12^2)/4*(EK258*$W258*1000)/($H258*$B$5),(PI()*EO$12^2)/4*(EK258*$W258*1000)/($G258*$B$5))))))/10</f>
        <v>#N/A</v>
      </c>
      <c r="EP258" s="102" t="e">
        <f>(VLOOKUP($B$3,'Coeff EC7'!$T$39:$X$59,2,0)*EN258+VLOOKUP($B$3,'Coeff EC7'!$T$65:$X$85,2,0)*Model0.1C!EO258)/1.1</f>
        <v>#N/A</v>
      </c>
      <c r="EQ258" s="102" t="e">
        <f>(VLOOKUP($B$3,'Coeff EC7'!$T$39:$X$59,3,0)*EN258+VLOOKUP($B$3,'Coeff EC7'!$T$65:$X$85,3,0)*Model0.1C!EO258)/0.9</f>
        <v>#N/A</v>
      </c>
      <c r="ER258" s="102" t="e">
        <f t="shared" si="394"/>
        <v>#N/A</v>
      </c>
      <c r="ES258" s="102" t="e">
        <f t="shared" si="395"/>
        <v>#N/A</v>
      </c>
      <c r="ET258" s="414" t="e">
        <f>IF(ET257=0,0,IF(AND(EP258&gt;charge_ELS_quasi,EQ258&gt;Charge_ELS_freq,ER258&gt;charge_ELU,ES258&gt;charge_ELA,$B258&gt;NDC!$H$22-0.1+MIN(3*$ET$12,1.5)),0,1))</f>
        <v>#N/A</v>
      </c>
      <c r="EU258" s="86" t="b">
        <f t="shared" si="363"/>
        <v>0</v>
      </c>
      <c r="EV258" s="86">
        <f t="shared" si="364"/>
        <v>0.61</v>
      </c>
      <c r="EW258" s="86">
        <f t="shared" si="365"/>
        <v>0.61</v>
      </c>
      <c r="EX258" s="30" t="e">
        <f t="shared" ca="1" si="396"/>
        <v>#DIV/0!</v>
      </c>
      <c r="EY258" s="85" t="e">
        <f ca="1">IF(EE258&lt;=Hypothèses!$V$7,Hypothèses!$W$7,IF(EE258&lt;=Hypothèses!$V$8,Hypothèses!$W$8,IF(EE258&lt;=Hypothèses!$V$9,Hypothèses!$W$9,IF(EE258&lt;=Hypothèses!$V$10,Hypothèses!$W$10,IF(EE258&lt;=Hypothèses!$V$11,Hypothèses!$W$11,IF(EE258&lt;=Hypothèses!$V$12,Hypothèses!$W$12,IF(EE258&lt;=Hypothèses!$V$13,Hypothèses!$W$13,IF(EE258&lt;=Hypothèses!$V$14,Hypothèses!$W$14,IF(EE258&lt;=Hypothèses!$V$15,Hypothèses!$W$15,IF(EE258&lt;=Hypothèses!$V$16,Hypothèses!$W$16,IF(EE258&lt;=Hypothèses!$V$17,Hypothèses!$W$17,IF(EE258&lt;=Hypothèses!$V$18,Hypothèses!$W$18,""))))))))))))</f>
        <v>#DIV/0!</v>
      </c>
      <c r="EZ258" s="87" t="e">
        <f t="shared" ca="1" si="423"/>
        <v>#DIV/0!</v>
      </c>
      <c r="FA258" s="88" t="e">
        <f ca="1">IF(EE258&lt;=Hypothèses!$V$7,Hypothèses!$X$7,IF(EE258&lt;=Hypothèses!$V$8,Hypothèses!$X$8,IF(EE258&lt;=Hypothèses!$V$9,Hypothèses!$X$9,IF(EE258&lt;=Hypothèses!$V$10,Hypothèses!$X$10,IF(EE258&lt;=Hypothèses!$V$11,Hypothèses!$X$11,IF(EE258&lt;=Hypothèses!$V$12,Hypothèses!$X$12,IF(EE258&lt;=Hypothèses!$V$13,Hypothèses!$X$13,IF(EE258&lt;=Hypothèses!$V$14,Hypothèses!$X$14,IF(EE258&lt;=Hypothèses!$V$15,Hypothèses!$X$15,IF(EE258&lt;=Hypothèses!$V$16,Hypothèses!$X$16,IF(EE258&lt;=Hypothèses!$U$17,Hypothèses!$W$17,IF(EE258&lt;=Hypothèses!$U$18,Hypothèses!$W$18,""))))))))))))</f>
        <v>#DIV/0!</v>
      </c>
      <c r="FB258" s="95" t="e">
        <f t="shared" ca="1" si="397"/>
        <v>#DIV/0!</v>
      </c>
      <c r="FC258" s="101" t="e">
        <f t="shared" si="430"/>
        <v>#N/A</v>
      </c>
      <c r="FD258" s="91" t="e">
        <f t="shared" si="366"/>
        <v>#N/A</v>
      </c>
      <c r="FE258" s="30" t="e">
        <f t="shared" si="414"/>
        <v>#N/A</v>
      </c>
      <c r="FF258" s="30" t="e">
        <f t="shared" si="415"/>
        <v>#N/A</v>
      </c>
      <c r="FG258" s="31" t="e">
        <f>IF(OR(Hypothèses!$B$4=17,Hypothèses!$B$4=18,Hypothèses!$B$4=19,Hypothèses!$B$4=20),
IF($D258="Pressio.",
IF(OR($E258=3,$E258=1,$E258=4),FF258,FE258),
IF($D258="Pénétro.",
IF(OR($E258=3,$E258=1,$E258=4),FF258,FE258))),IF($D258="Pressio.",
IF($E258=3,FF258,FE258),
IF($D258="Pénétro.",
IF($E258=4,FF258,FE258))))</f>
        <v>#N/A</v>
      </c>
      <c r="FH258" s="31" t="e">
        <f>(IF(OR(Hypothèses!$B$4=17,Hypothèses!$B$4=18,Hypothèses!$B$4=19,Hypothèses!$B$4=20),
IF($D258="Pressio.",
IF(OR($E258=3,$E258=1,$E258=4),(PI()*FH$12^2)/4*(FD258*$W258*1000)/($H258*$B$5),(PI()*FH$12^2)/4*(FD258*$W258*1000)/($G258*$B$5)),
IF($D258="Pénétro.",
IF(OR($E258=4,$E258=1,$E258=5),(PI()*FH$12^2)/4*(FD258*$W258*1000)/($H258*$B$5),(PI()*FH$12^2)/4*(FD258*$W258*1000)/($G258*$B$5)))),
IF($D258="Pressio.",
IF($E258=3,(PI()*FH$12^2)/4*(FD258*$W258*1000)/($H258*$B$5),(PI()*FH$12^2)/4*(FD258*$W258*1000)/($G258*$B$5)),
IF($D258="Pénétro.",
IF($E258=4,(PI()*FH$12^2)/4*(FD258*$W258*1000)/($H258*$B$5),(PI()*FH$12^2)/4*(FD258*$W258*1000)/($G258*$B$5))))))/10</f>
        <v>#N/A</v>
      </c>
      <c r="FI258" s="102" t="e">
        <f>(VLOOKUP($B$3,'Coeff EC7'!$T$39:$X$59,2,0)*FG258+VLOOKUP($B$3,'Coeff EC7'!$T$65:$X$85,2,0)*Model0.1C!FH258)/1.1</f>
        <v>#N/A</v>
      </c>
      <c r="FJ258" s="102" t="e">
        <f>(VLOOKUP($B$3,'Coeff EC7'!$T$39:$X$59,3,0)*FG258+VLOOKUP($B$3,'Coeff EC7'!$T$65:$X$85,3,0)*Model0.1C!FH258)/0.9</f>
        <v>#N/A</v>
      </c>
      <c r="FK258" s="102" t="e">
        <f t="shared" si="398"/>
        <v>#N/A</v>
      </c>
      <c r="FL258" s="102" t="e">
        <f t="shared" si="399"/>
        <v>#N/A</v>
      </c>
      <c r="FM258" s="414" t="e">
        <f>IF(FM257=0,0,IF(AND(FI258&gt;charge_ELS_quasi,FJ258&gt;Charge_ELS_freq,FK258&gt;charge_ELU,FL258&gt;charge_ELA,$B258&gt;NDC!$H$22-0.1+MIN(3*$FM$12,1.5)),0,1))</f>
        <v>#N/A</v>
      </c>
    </row>
    <row r="259" spans="1:169">
      <c r="A259" s="96">
        <f t="shared" si="367"/>
        <v>75.400000000001398</v>
      </c>
      <c r="B259" s="97">
        <v>24.6</v>
      </c>
      <c r="C259" s="81">
        <f>IF(B259&lt;=Hypothèses!$C$7,Hypothèses!$A$7,IF(B259&lt;=Hypothèses!$C$8,Hypothèses!$A$8,IF(B259&lt;=Hypothèses!$C$9,Hypothèses!$A$9,IF(B259&lt;=Hypothèses!$C$10,Hypothèses!$A$10,IF(B259&lt;=Hypothèses!$C$11,Hypothèses!$A$11,IF(B259&lt;=Hypothèses!$C$12,Hypothèses!$A$12,IF(B259&lt;=Hypothèses!$C$13,Hypothèses!$A$13,IF(B259&lt;=Hypothèses!$C$14,Hypothèses!$A$14,IF(B259&lt;=Hypothèses!$C$15,Hypothèses!$A$15,IF(B259&lt;=Hypothèses!$C$16,Hypothèses!$A$16,IF(B259&lt;=Hypothèses!$C$17,Hypothèses!$A$17,IF(B259&lt;=Hypothèses!$C$18,Hypothèses!$A$18,C258))))))))))))</f>
        <v>11</v>
      </c>
      <c r="D259" s="82" t="str">
        <f>IF(B259&lt;=Hypothèses!$C$7,Hypothèses!$R$7,IF(B259&lt;=Hypothèses!$C$8,Hypothèses!$R$8,IF(B259&lt;=Hypothèses!$C$9,Hypothèses!$R$9,IF(B259&lt;=Hypothèses!$C$10,Hypothèses!$R$10,IF(B259&lt;=Hypothèses!$C$11,Hypothèses!$R$11,IF(B259&lt;=Hypothèses!$C$12,Hypothèses!$R$12,IF(B259&lt;=Hypothèses!$C$13,Hypothèses!$R$13,IF(B259&lt;=Hypothèses!$C$14,Hypothèses!$R$14,IF(B259&lt;=Hypothèses!$C$15,Hypothèses!$R$15,IF(B259&lt;=Hypothèses!$C$16,Hypothèses!$R$16,IF(B259&lt;=Hypothèses!$C$17,Hypothèses!$R$17,IF(B259&lt;=Hypothèses!$C$18,Hypothèses!$R$18,D258))))))))))))</f>
        <v>Pressio.</v>
      </c>
      <c r="E259" s="82" t="e">
        <f>IF(B259&lt;=Hypothèses!$C$7,Hypothèses!$G$7,IF(B259&lt;=Hypothèses!$C$8,Hypothèses!$G$8,IF(B259&lt;=Hypothèses!$C$9,Hypothèses!$G$9,IF(B259&lt;=Hypothèses!$C$10,Hypothèses!$G$10,IF(B259&lt;=Hypothèses!$C$11,Hypothèses!$G$11,IF(B259&lt;=Hypothèses!$C$12,Hypothèses!$G$12,IF(B259&lt;=Hypothèses!$C$13,Hypothèses!$G$13,IF(B259&lt;=Hypothèses!$C$14,Hypothèses!$G$14,IF(B259&lt;=Hypothèses!$C$15,Hypothèses!$G$15,IF(B259&lt;=Hypothèses!$C$16,Hypothèses!$G$16,IF(B259&lt;=Hypothèses!$C$17,Hypothèses!$G$17,IF(B259&lt;=Hypothèses!$C$18,Hypothèses!$G$18,E258))))))))))))</f>
        <v>#N/A</v>
      </c>
      <c r="F259" s="82" t="str">
        <f>IF(B259&lt;=Hypothèses!$C$7,Hypothèses!$F$7,IF(B259&lt;=Hypothèses!$C$8,Hypothèses!$F$8,IF(B259&lt;=Hypothèses!$C$9,Hypothèses!$F$9,IF(B259&lt;=Hypothèses!$C$10,Hypothèses!$F$10,IF(B259&lt;=Hypothèses!$C$11,Hypothèses!$F$11,IF(B259&lt;=Hypothèses!$C$12,Hypothèses!$F$12,IF(B259&lt;=Hypothèses!$C$13,Hypothèses!$F$13,IF(B259&lt;=Hypothèses!$C$14,Hypothèses!$F$14,IF(B259&lt;=Hypothèses!$C$15,Hypothèses!$F$15,IF(B259&lt;=Hypothèses!$C$16,Hypothèses!$F$16,IF(B259&lt;=Hypothèses!$C$17,Hypothèses!$F$17,IF(B259&lt;=Hypothèses!$C$18,Hypothèses!$F$18,F258))))))))))))</f>
        <v/>
      </c>
      <c r="G259" s="91">
        <f t="array" ref="G259">INDEX('Coeff EC7'!$U$7:$X$27,
MATCH(Model0.1C!$B$3,'Coeff EC7'!$T$7:$T$27,0),
MATCH(Model0.1C!$D259&amp;Model0.1C!$B$4,
'Coeff EC7'!$U$6:$X$6&amp;
'Coeff EC7'!$U$5:$X$5,0))</f>
        <v>1.1499999999999999</v>
      </c>
      <c r="H259" s="91">
        <f t="array" ref="H259">INDEX('Coeff EC7'!$Y$7:$AB$27,
MATCH(Model0.1C!$B$3,'Coeff EC7'!$T$7:$T$27,0),
MATCH(Model0.1C!$D259&amp;Model0.1C!$B$4,
'Coeff EC7'!$Y$6:$AB$6&amp;
'Coeff EC7'!$Y$5:$AB$5,0))</f>
        <v>1.4</v>
      </c>
      <c r="I259" s="83" t="e">
        <f>IF(B259&lt;=Hypothèses!$C$7,Hypothèses!$P$7,IF(B259&lt;=Hypothèses!$C$8,Hypothèses!$P$8,IF(B259&lt;=Hypothèses!$C$9,Hypothèses!$P$9,IF(B259&lt;=Hypothèses!$C$10,Hypothèses!$P$10,IF(B259&lt;=Hypothèses!$C$11,Hypothèses!$P$11,IF(B259&lt;=Hypothèses!$C$12,Hypothèses!$P$12,IF(B259&lt;=Hypothèses!$C$13,Hypothèses!$P$13,IF(B259&lt;=Hypothèses!$C$14,Hypothèses!$P$14,IF(B259&lt;=Hypothèses!$C$15,Hypothèses!$P$15,IF(B259&lt;=Hypothèses!$C$16,Hypothèses!$P$16,IF(B259&lt;=Hypothèses!$C$17,Hypothèses!$P$17,IF(B259&lt;=Hypothèses!$C$18,Hypothèses!$P$18,I258))))))))))))</f>
        <v>#N/A</v>
      </c>
      <c r="J259" s="91" t="e">
        <f t="array" ref="J259">INDEX('Coeff EC7'!$D$33:$Q$33,1,MATCH(D259&amp;E259,'Coeff EC7'!$D$31:$Q$31&amp;'Coeff EC7'!$D$32:$Q$32,0))</f>
        <v>#N/A</v>
      </c>
      <c r="K259" s="91" t="e">
        <f t="array" ref="K259">INDEX('Coeff EC7'!$D$34:$Q$34,1,MATCH(D259&amp;E259,'Coeff EC7'!$D$31:$Q$31&amp;'Coeff EC7'!$D$32:$Q$32,0))</f>
        <v>#N/A</v>
      </c>
      <c r="L259" s="91" t="e">
        <f t="array" ref="L259">INDEX('Coeff EC7'!$D$35:$Q$35,1,MATCH(D259&amp;E259,'Coeff EC7'!$D$31:$Q$31&amp;'Coeff EC7'!$D$32:$Q$32,0))</f>
        <v>#N/A</v>
      </c>
      <c r="M259" s="98" t="e">
        <f t="shared" si="331"/>
        <v>#N/A</v>
      </c>
      <c r="N259" s="99" t="e">
        <f t="array" ref="N259">INDEX('Coeff EC7'!$D$7:$Q$27,MATCH($B$3,'Coeff EC7'!$C$7:$C$27,0),MATCH(D259&amp;E259,'Coeff EC7'!$D$5:$Q$5&amp;'Coeff EC7'!$D$6:$Q$6,0))</f>
        <v>#N/A</v>
      </c>
      <c r="O259" s="99" t="e">
        <f t="array" ref="O259">INDEX('Coeff EC7'!$D$41:$Q$61,MATCH($B$3,'Coeff EC7'!$C$41:$C$61,0),MATCH(D259&amp;E259,'Coeff EC7'!$D$39:$Q$39&amp;'Coeff EC7'!$D$40:$Q$40,0))</f>
        <v>#N/A</v>
      </c>
      <c r="P259" s="30" t="e">
        <f t="shared" si="368"/>
        <v>#N/A</v>
      </c>
      <c r="Q259" s="100" t="e">
        <f t="shared" si="333"/>
        <v>#N/A</v>
      </c>
      <c r="R259" s="86" t="b">
        <f t="shared" si="334"/>
        <v>0</v>
      </c>
      <c r="S259" s="86">
        <f t="shared" si="332"/>
        <v>0.5</v>
      </c>
      <c r="T259" s="86">
        <f t="shared" si="335"/>
        <v>0.5</v>
      </c>
      <c r="U259" s="30" t="e">
        <f t="shared" ca="1" si="369"/>
        <v>#DIV/0!</v>
      </c>
      <c r="V259" s="85" t="str">
        <f>IF(B259&lt;=Hypothèses!$V$7,Hypothèses!$W$7,IF(B259&lt;=Hypothèses!$V$8,Hypothèses!$W$8,IF(B259&lt;=Hypothèses!$V$9,Hypothèses!$W$9,IF(B259&lt;=Hypothèses!$V$10,Hypothèses!$W$10,IF(B259&lt;=Hypothèses!$V$11,Hypothèses!$W$11,IF(B259&lt;=Hypothèses!$V$12,Hypothèses!$W$12,IF(B259&lt;=Hypothèses!$V$13,Hypothèses!$W$13,IF(B259&lt;=Hypothèses!$V$14,Hypothèses!$W$14,IF(B259&lt;=Hypothèses!$V$15,Hypothèses!$W$15,IF(B259&lt;=Hypothèses!$V$16,Hypothèses!$W$16,IF(B259&lt;=Hypothèses!$V$17,Hypothèses!$W$17,IF(B259&lt;=Hypothèses!$V$18,Hypothèses!$W$18,""))))))))))))</f>
        <v/>
      </c>
      <c r="W259" s="87" t="e">
        <f t="shared" ca="1" si="416"/>
        <v>#DIV/0!</v>
      </c>
      <c r="X259" s="88" t="str">
        <f>IF(B259&lt;=Hypothèses!$V$7,Hypothèses!$X$7,IF(B259&lt;=Hypothèses!$V$8,Hypothèses!$X$8,IF(B259&lt;=Hypothèses!$V$9,Hypothèses!$X$9,IF(B259&lt;=Hypothèses!$V$10,Hypothèses!$X$10,IF(B259&lt;=Hypothèses!$V$11,Hypothèses!$X$11,IF(B259&lt;=Hypothèses!$V$12,Hypothèses!$X$12,IF(B259&lt;=Hypothèses!$V$13,Hypothèses!$X$13,IF(B259&lt;=Hypothèses!$V$14,Hypothèses!$X$14,IF(B259&lt;=Hypothèses!$V$15,Hypothèses!$X$15,IF(B259&lt;=Hypothèses!$V$16,Hypothèses!$X$16,IF(B259&lt;=Hypothèses!$U$17,Hypothèses!$W$17,IF(B259&lt;=Hypothèses!$U$18,Hypothèses!$W$18,""))))))))))))</f>
        <v/>
      </c>
      <c r="Y259" s="95" t="e">
        <f t="shared" ca="1" si="336"/>
        <v>#DIV/0!</v>
      </c>
      <c r="Z259" s="101" t="e">
        <f t="shared" si="337"/>
        <v>#N/A</v>
      </c>
      <c r="AA259" s="91" t="e">
        <f t="shared" si="338"/>
        <v>#N/A</v>
      </c>
      <c r="AB259" s="30" t="e">
        <f t="shared" si="400"/>
        <v>#N/A</v>
      </c>
      <c r="AC259" s="30" t="e">
        <f t="shared" si="401"/>
        <v>#N/A</v>
      </c>
      <c r="AD259" s="31" t="e">
        <f>IF(OR(Hypothèses!$B$4=17,Hypothèses!$B$4=18,Hypothèses!$B$4=19,Hypothèses!$B$4=20),
IF($D259="Pressio.",
IF(OR($E259=3,$E259=1,$E259=4),AC259,AB259),
IF($D259="Pénétro.",
IF(OR($E259=3,$E259=1,$E259=4),AC259,AB259))),IF($D259="Pressio.",
IF($E259=3,AC259,AB259),
IF($D259="Pénétro.",
IF($E259=4,AC259,AB259))))</f>
        <v>#N/A</v>
      </c>
      <c r="AE259" s="31" t="e">
        <f>(IF(OR(Hypothèses!$B$4=17,Hypothèses!$B$4=18,Hypothèses!$B$4=19,Hypothèses!$B$4=20),
IF($D259="Pressio.",
IF(OR($E259=3,$E259=1,$E259=4),(PI()*AE$12^2)/4*(AA259*$W259*1000)/($H259*$B$5),(PI()*AE$12^2)/4*(AA259*$W259*1000)/($G259*$B$5)),
IF($D259="Pénétro.",
IF(OR($E259=4,$E259=1,$E259=5),(PI()*AE$12^2)/4*(AA259*$W259*1000)/($H259*$B$5),(PI()*AE$12^2)/4*(AA259*$W259*1000)/($G259*$B$5)))),
IF($D259="Pressio.",
IF($E259=3,(PI()*AE$12^2)/4*(AA259*$W259*1000)/($H259*$B$5),(PI()*AE$12^2)/4*(AA259*$W259*1000)/($G259*$B$5)),
IF($D259="Pénétro.",
IF($E259=4,(PI()*AE$12^2)/4*(AA259*$W259*1000)/($H259*$B$5),(PI()*AE$12^2)/4*(AA259*$W259*1000)/($G259*$B$5))))))/10</f>
        <v>#N/A</v>
      </c>
      <c r="AF259" s="102" t="e">
        <f>(VLOOKUP($B$3,'Coeff EC7'!$T$39:$X$59,2,0)*AD259+VLOOKUP($B$3,'Coeff EC7'!$T$65:$X$85,2,0)*Model0.1C!AE259)/1.1</f>
        <v>#N/A</v>
      </c>
      <c r="AG259" s="102" t="e">
        <f>(VLOOKUP($B$3,'Coeff EC7'!$T$39:$X$59,3,0)*AD259+VLOOKUP($B$3,'Coeff EC7'!$T$65:$X$85,3,0)*Model0.1C!AE259)/0.9</f>
        <v>#N/A</v>
      </c>
      <c r="AH259" s="102" t="e">
        <f t="shared" si="339"/>
        <v>#N/A</v>
      </c>
      <c r="AI259" s="102" t="e">
        <f t="shared" si="340"/>
        <v>#N/A</v>
      </c>
      <c r="AJ259" s="414" t="e">
        <f>IF(AJ258=0,0,IF(AND(AF259&gt;charge_ELS_quasi,AG259&gt;Charge_ELS_freq,AH259&gt;charge_ELU,AI259&gt;charge_ELA,$B259&gt;NDC!$H$22-0.1+MIN(3*$AJ$12,1.5)),0,1))</f>
        <v>#N/A</v>
      </c>
      <c r="AK259" s="86" t="b">
        <f t="shared" si="341"/>
        <v>0</v>
      </c>
      <c r="AL259" s="86">
        <f t="shared" si="370"/>
        <v>0.5</v>
      </c>
      <c r="AM259" s="86">
        <f t="shared" si="342"/>
        <v>0.5</v>
      </c>
      <c r="AN259" s="30" t="e">
        <f t="shared" ca="1" si="371"/>
        <v>#DIV/0!</v>
      </c>
      <c r="AO259" s="85" t="e">
        <f ca="1">IF(U259&lt;=Hypothèses!$V$7,Hypothèses!$W$7,IF(U259&lt;=Hypothèses!$V$8,Hypothèses!$W$8,IF(U259&lt;=Hypothèses!$V$9,Hypothèses!$W$9,IF(U259&lt;=Hypothèses!$V$10,Hypothèses!$W$10,IF(U259&lt;=Hypothèses!$V$11,Hypothèses!$W$11,IF(U259&lt;=Hypothèses!$V$12,Hypothèses!$W$12,IF(U259&lt;=Hypothèses!$V$13,Hypothèses!$W$13,IF(U259&lt;=Hypothèses!$V$14,Hypothèses!$W$14,IF(U259&lt;=Hypothèses!$V$15,Hypothèses!$W$15,IF(U259&lt;=Hypothèses!$V$16,Hypothèses!$W$16,IF(U259&lt;=Hypothèses!$V$17,Hypothèses!$W$17,IF(U259&lt;=Hypothèses!$V$18,Hypothèses!$W$18,""))))))))))))</f>
        <v>#DIV/0!</v>
      </c>
      <c r="AP259" s="87" t="e">
        <f t="shared" ca="1" si="417"/>
        <v>#DIV/0!</v>
      </c>
      <c r="AQ259" s="88" t="e">
        <f ca="1">IF(U259&lt;=Hypothèses!$V$7,Hypothèses!$X$7,IF(U259&lt;=Hypothèses!$V$8,Hypothèses!$X$8,IF(U259&lt;=Hypothèses!$V$9,Hypothèses!$X$9,IF(U259&lt;=Hypothèses!$V$10,Hypothèses!$X$10,IF(U259&lt;=Hypothèses!$V$11,Hypothèses!$X$11,IF(U259&lt;=Hypothèses!$V$12,Hypothèses!$X$12,IF(U259&lt;=Hypothèses!$V$13,Hypothèses!$X$13,IF(U259&lt;=Hypothèses!$V$14,Hypothèses!$X$14,IF(U259&lt;=Hypothèses!$V$15,Hypothèses!$X$15,IF(U259&lt;=Hypothèses!$V$16,Hypothèses!$X$16,IF(U259&lt;=Hypothèses!$U$17,Hypothèses!$W$17,IF(U259&lt;=Hypothèses!$U$18,Hypothèses!$W$18,""))))))))))))</f>
        <v>#DIV/0!</v>
      </c>
      <c r="AR259" s="95" t="e">
        <f t="shared" ca="1" si="372"/>
        <v>#DIV/0!</v>
      </c>
      <c r="AS259" s="101" t="e">
        <f t="shared" si="424"/>
        <v>#N/A</v>
      </c>
      <c r="AT259" s="91" t="e">
        <f t="shared" si="343"/>
        <v>#N/A</v>
      </c>
      <c r="AU259" s="30" t="e">
        <f t="shared" si="402"/>
        <v>#N/A</v>
      </c>
      <c r="AV259" s="30" t="e">
        <f t="shared" si="403"/>
        <v>#N/A</v>
      </c>
      <c r="AW259" s="31" t="e">
        <f>IF(OR(Hypothèses!$B$4=17,Hypothèses!$B$4=18,Hypothèses!$B$4=19,Hypothèses!$B$4=20),
IF($D259="Pressio.",
IF(OR($E259=3,$E259=1,$E259=4),AV259,AU259),
IF($D259="Pénétro.",
IF(OR($E259=3,$E259=1,$E259=4),AV259,AU259))),IF($D259="Pressio.",
IF($E259=3,AV259,AU259),
IF($D259="Pénétro.",
IF($E259=4,AV259,AU259))))</f>
        <v>#N/A</v>
      </c>
      <c r="AX259" s="31" t="e">
        <f>(IF(OR(Hypothèses!$B$4=17,Hypothèses!$B$4=18,Hypothèses!$B$4=19,Hypothèses!$B$4=20),
IF($D259="Pressio.",
IF(OR($E259=3,$E259=1,$E259=4),(PI()*AX$12^2)/4*(AT259*$W259*1000)/($H259*$B$5),(PI()*AX$12^2)/4*(AT259*$W259*1000)/($G259*$B$5)),
IF($D259="Pénétro.",
IF(OR($E259=4,$E259=1,$E259=5),(PI()*AX$12^2)/4*(AT259*$W259*1000)/($H259*$B$5),(PI()*AX$12^2)/4*(AT259*$W259*1000)/($G259*$B$5)))),
IF($D259="Pressio.",
IF($E259=3,(PI()*AX$12^2)/4*(AT259*$W259*1000)/($H259*$B$5),(PI()*AX$12^2)/4*(AT259*$W259*1000)/($G259*$B$5)),
IF($D259="Pénétro.",
IF($E259=4,(PI()*AX$12^2)/4*(AT259*$W259*1000)/($H259*$B$5),(PI()*AX$12^2)/4*(AT259*$W259*1000)/($G259*$B$5))))))/10</f>
        <v>#N/A</v>
      </c>
      <c r="AY259" s="102" t="e">
        <f>(VLOOKUP($B$3,'Coeff EC7'!$T$39:$X$59,2,0)*AW259+VLOOKUP($B$3,'Coeff EC7'!$T$65:$X$85,2,0)*Model0.1C!AX259)/1.1</f>
        <v>#N/A</v>
      </c>
      <c r="AZ259" s="102" t="e">
        <f>(VLOOKUP($B$3,'Coeff EC7'!$T$39:$X$59,3,0)*AW259+VLOOKUP($B$3,'Coeff EC7'!$T$65:$X$85,3,0)*Model0.1C!AX259)/0.9</f>
        <v>#N/A</v>
      </c>
      <c r="BA259" s="102" t="e">
        <f t="shared" si="373"/>
        <v>#N/A</v>
      </c>
      <c r="BB259" s="102" t="e">
        <f t="shared" si="374"/>
        <v>#N/A</v>
      </c>
      <c r="BC259" s="414" t="e">
        <f>IF(BC258=0,0,IF(AND(AY259&gt;charge_ELS_quasi,AZ259&gt;Charge_ELS_freq,BA259&gt;charge_ELU,BB259&gt;charge_ELA,$B259&gt;NDC!$H$22-0.1+MIN(3*$BC$12,1.5)),0,1))</f>
        <v>#N/A</v>
      </c>
      <c r="BD259" s="86" t="b">
        <f t="shared" si="344"/>
        <v>0</v>
      </c>
      <c r="BE259" s="86">
        <f t="shared" si="375"/>
        <v>0.5</v>
      </c>
      <c r="BF259" s="86">
        <f t="shared" si="345"/>
        <v>0.5</v>
      </c>
      <c r="BG259" s="30" t="e">
        <f t="shared" ca="1" si="376"/>
        <v>#DIV/0!</v>
      </c>
      <c r="BH259" s="85" t="e">
        <f ca="1">IF(AN259&lt;=Hypothèses!$V$7,Hypothèses!$W$7,IF(AN259&lt;=Hypothèses!$V$8,Hypothèses!$W$8,IF(AN259&lt;=Hypothèses!$V$9,Hypothèses!$W$9,IF(AN259&lt;=Hypothèses!$V$10,Hypothèses!$W$10,IF(AN259&lt;=Hypothèses!$V$11,Hypothèses!$W$11,IF(AN259&lt;=Hypothèses!$V$12,Hypothèses!$W$12,IF(AN259&lt;=Hypothèses!$V$13,Hypothèses!$W$13,IF(AN259&lt;=Hypothèses!$V$14,Hypothèses!$W$14,IF(AN259&lt;=Hypothèses!$V$15,Hypothèses!$W$15,IF(AN259&lt;=Hypothèses!$V$16,Hypothèses!$W$16,IF(AN259&lt;=Hypothèses!$V$17,Hypothèses!$W$17,IF(AN259&lt;=Hypothèses!$V$18,Hypothèses!$W$18,""))))))))))))</f>
        <v>#DIV/0!</v>
      </c>
      <c r="BI259" s="87" t="e">
        <f t="shared" ca="1" si="418"/>
        <v>#DIV/0!</v>
      </c>
      <c r="BJ259" s="88" t="e">
        <f ca="1">IF(AN259&lt;=Hypothèses!$V$7,Hypothèses!$X$7,IF(AN259&lt;=Hypothèses!$V$8,Hypothèses!$X$8,IF(AN259&lt;=Hypothèses!$V$9,Hypothèses!$X$9,IF(AN259&lt;=Hypothèses!$V$10,Hypothèses!$X$10,IF(AN259&lt;=Hypothèses!$V$11,Hypothèses!$X$11,IF(AN259&lt;=Hypothèses!$V$12,Hypothèses!$X$12,IF(AN259&lt;=Hypothèses!$V$13,Hypothèses!$X$13,IF(AN259&lt;=Hypothèses!$V$14,Hypothèses!$X$14,IF(AN259&lt;=Hypothèses!$V$15,Hypothèses!$X$15,IF(AN259&lt;=Hypothèses!$V$16,Hypothèses!$X$16,IF(AN259&lt;=Hypothèses!$U$17,Hypothèses!$W$17,IF(AN259&lt;=Hypothèses!$U$18,Hypothèses!$W$18,""))))))))))))</f>
        <v>#DIV/0!</v>
      </c>
      <c r="BK259" s="95" t="e">
        <f t="shared" ca="1" si="377"/>
        <v>#DIV/0!</v>
      </c>
      <c r="BL259" s="101" t="e">
        <f t="shared" si="425"/>
        <v>#N/A</v>
      </c>
      <c r="BM259" s="91" t="e">
        <f t="shared" si="346"/>
        <v>#N/A</v>
      </c>
      <c r="BN259" s="30" t="e">
        <f t="shared" si="404"/>
        <v>#N/A</v>
      </c>
      <c r="BO259" s="30" t="e">
        <f t="shared" si="405"/>
        <v>#N/A</v>
      </c>
      <c r="BP259" s="31" t="e">
        <f>IF(OR(Hypothèses!$B$4=17,Hypothèses!$B$4=18,Hypothèses!$B$4=19,Hypothèses!$B$4=20),
IF($D259="Pressio.",
IF(OR($E259=3,$E259=1,$E259=4),BO259,BN259),
IF($D259="Pénétro.",
IF(OR($E259=3,$E259=1,$E259=4),BO259,BN259))),IF($D259="Pressio.",
IF($E259=3,BO259,BN259),
IF($D259="Pénétro.",
IF($E259=4,BO259,BN259))))</f>
        <v>#N/A</v>
      </c>
      <c r="BQ259" s="31" t="e">
        <f>(IF(OR(Hypothèses!$B$4=17,Hypothèses!$B$4=18,Hypothèses!$B$4=19,Hypothèses!$B$4=20),
IF($D259="Pressio.",
IF(OR($E259=3,$E259=1,$E259=4),(PI()*BQ$12^2)/4*(BM259*$W259*1000)/($H259*$B$5),(PI()*BQ$12^2)/4*(BM259*$W259*1000)/($G259*$B$5)),
IF($D259="Pénétro.",
IF(OR($E259=4,$E259=1,$E259=5),(PI()*BQ$12^2)/4*(BM259*$W259*1000)/($H259*$B$5),(PI()*BQ$12^2)/4*(BM259*$W259*1000)/($G259*$B$5)))),
IF($D259="Pressio.",
IF($E259=3,(PI()*BQ$12^2)/4*(BM259*$W259*1000)/($H259*$B$5),(PI()*BQ$12^2)/4*(BM259*$W259*1000)/($G259*$B$5)),
IF($D259="Pénétro.",
IF($E259=4,(PI()*BQ$12^2)/4*(BM259*$W259*1000)/($H259*$B$5),(PI()*BQ$12^2)/4*(BM259*$W259*1000)/($G259*$B$5))))))/10</f>
        <v>#N/A</v>
      </c>
      <c r="BR259" s="102" t="e">
        <f>(VLOOKUP($B$3,'Coeff EC7'!$T$39:$X$59,2,0)*BP259+VLOOKUP($B$3,'Coeff EC7'!$T$65:$X$85,2,0)*Model0.1C!BQ259)/1.1</f>
        <v>#N/A</v>
      </c>
      <c r="BS259" s="102" t="e">
        <f>(VLOOKUP($B$3,'Coeff EC7'!$T$39:$X$59,3,0)*BP259+VLOOKUP($B$3,'Coeff EC7'!$T$65:$X$85,3,0)*Model0.1C!BQ259)/0.9</f>
        <v>#N/A</v>
      </c>
      <c r="BT259" s="102" t="e">
        <f t="shared" si="378"/>
        <v>#N/A</v>
      </c>
      <c r="BU259" s="102" t="e">
        <f t="shared" si="379"/>
        <v>#N/A</v>
      </c>
      <c r="BV259" s="414" t="e">
        <f>IF(BV258=0,0,IF(AND(BR259&gt;charge_ELS_quasi,BS259&gt;Charge_ELS_freq,BT259&gt;charge_ELU,BU259&gt;charge_ELA,$B259&gt;NDC!$H$22-0.1+MIN(3*$BV$12,1.5)),0,1))</f>
        <v>#N/A</v>
      </c>
      <c r="BW259" s="86" t="b">
        <f t="shared" si="347"/>
        <v>0</v>
      </c>
      <c r="BX259" s="86">
        <f t="shared" si="348"/>
        <v>0.5</v>
      </c>
      <c r="BY259" s="86">
        <f t="shared" si="349"/>
        <v>0.5</v>
      </c>
      <c r="BZ259" s="30" t="e">
        <f t="shared" ca="1" si="380"/>
        <v>#DIV/0!</v>
      </c>
      <c r="CA259" s="85" t="e">
        <f ca="1">IF(BG259&lt;=Hypothèses!$V$7,Hypothèses!$W$7,IF(BG259&lt;=Hypothèses!$V$8,Hypothèses!$W$8,IF(BG259&lt;=Hypothèses!$V$9,Hypothèses!$W$9,IF(BG259&lt;=Hypothèses!$V$10,Hypothèses!$W$10,IF(BG259&lt;=Hypothèses!$V$11,Hypothèses!$W$11,IF(BG259&lt;=Hypothèses!$V$12,Hypothèses!$W$12,IF(BG259&lt;=Hypothèses!$V$13,Hypothèses!$W$13,IF(BG259&lt;=Hypothèses!$V$14,Hypothèses!$W$14,IF(BG259&lt;=Hypothèses!$V$15,Hypothèses!$W$15,IF(BG259&lt;=Hypothèses!$V$16,Hypothèses!$W$16,IF(BG259&lt;=Hypothèses!$V$17,Hypothèses!$W$17,IF(BG259&lt;=Hypothèses!$V$18,Hypothèses!$W$18,""))))))))))))</f>
        <v>#DIV/0!</v>
      </c>
      <c r="CB259" s="87" t="e">
        <f t="shared" ca="1" si="419"/>
        <v>#DIV/0!</v>
      </c>
      <c r="CC259" s="88" t="e">
        <f ca="1">IF(BG259&lt;=Hypothèses!$V$7,Hypothèses!$X$7,IF(BG259&lt;=Hypothèses!$V$8,Hypothèses!$X$8,IF(BG259&lt;=Hypothèses!$V$9,Hypothèses!$X$9,IF(BG259&lt;=Hypothèses!$V$10,Hypothèses!$X$10,IF(BG259&lt;=Hypothèses!$V$11,Hypothèses!$X$11,IF(BG259&lt;=Hypothèses!$V$12,Hypothèses!$X$12,IF(BG259&lt;=Hypothèses!$V$13,Hypothèses!$X$13,IF(BG259&lt;=Hypothèses!$V$14,Hypothèses!$X$14,IF(BG259&lt;=Hypothèses!$V$15,Hypothèses!$X$15,IF(BG259&lt;=Hypothèses!$V$16,Hypothèses!$X$16,IF(BG259&lt;=Hypothèses!$U$17,Hypothèses!$W$17,IF(BG259&lt;=Hypothèses!$U$18,Hypothèses!$W$18,""))))))))))))</f>
        <v>#DIV/0!</v>
      </c>
      <c r="CD259" s="95" t="e">
        <f t="shared" ca="1" si="381"/>
        <v>#DIV/0!</v>
      </c>
      <c r="CE259" s="101" t="e">
        <f t="shared" si="426"/>
        <v>#N/A</v>
      </c>
      <c r="CF259" s="91" t="e">
        <f t="shared" si="350"/>
        <v>#N/A</v>
      </c>
      <c r="CG259" s="30" t="e">
        <f t="shared" si="406"/>
        <v>#N/A</v>
      </c>
      <c r="CH259" s="30" t="e">
        <f t="shared" si="407"/>
        <v>#N/A</v>
      </c>
      <c r="CI259" s="31" t="e">
        <f>IF(OR(Hypothèses!$B$4=17,Hypothèses!$B$4=18,Hypothèses!$B$4=19,Hypothèses!$B$4=20),
IF($D259="Pressio.",
IF(OR($E259=3,$E259=1,$E259=4),CH259,CG259),
IF($D259="Pénétro.",
IF(OR($E259=3,$E259=1,$E259=4),CH259,CG259))),IF($D259="Pressio.",
IF($E259=3,CH259,CG259),
IF($D259="Pénétro.",
IF($E259=4,CH259,CG259))))</f>
        <v>#N/A</v>
      </c>
      <c r="CJ259" s="31" t="e">
        <f>(IF(OR(Hypothèses!$B$4=17,Hypothèses!$B$4=18,Hypothèses!$B$4=19,Hypothèses!$B$4=20),
IF($D259="Pressio.",
IF(OR($E259=3,$E259=1,$E259=4),(PI()*CJ$12^2)/4*(CF259*$W259*1000)/($H259*$B$5),(PI()*CJ$12^2)/4*(CF259*$W259*1000)/($G259*$B$5)),
IF($D259="Pénétro.",
IF(OR($E259=4,$E259=1,$E259=5),(PI()*CJ$12^2)/4*(CF259*$W259*1000)/($H259*$B$5),(PI()*CJ$12^2)/4*(CF259*$W259*1000)/($G259*$B$5)))),
IF($D259="Pressio.",
IF($E259=3,(PI()*CJ$12^2)/4*(CF259*$W259*1000)/($H259*$B$5),(PI()*CJ$12^2)/4*(CF259*$W259*1000)/($G259*$B$5)),
IF($D259="Pénétro.",
IF($E259=4,(PI()*CJ$12^2)/4*(CF259*$W259*1000)/($H259*$B$5),(PI()*CJ$12^2)/4*(CF259*$W259*1000)/($G259*$B$5))))))/10</f>
        <v>#N/A</v>
      </c>
      <c r="CK259" s="102" t="e">
        <f>(VLOOKUP($B$3,'Coeff EC7'!$T$39:$X$59,2,0)*CI259+VLOOKUP($B$3,'Coeff EC7'!$T$65:$X$85,2,0)*Model0.1C!CJ259)/1.1</f>
        <v>#N/A</v>
      </c>
      <c r="CL259" s="102" t="e">
        <f>(VLOOKUP($B$3,'Coeff EC7'!$T$39:$X$59,3,0)*CI259+VLOOKUP($B$3,'Coeff EC7'!$T$65:$X$85,3,0)*Model0.1C!CJ259)/0.9</f>
        <v>#N/A</v>
      </c>
      <c r="CM259" s="102" t="e">
        <f t="shared" si="382"/>
        <v>#N/A</v>
      </c>
      <c r="CN259" s="102" t="e">
        <f t="shared" si="383"/>
        <v>#N/A</v>
      </c>
      <c r="CO259" s="414" t="e">
        <f>IF(CO258=0,0,IF(AND(CK259&gt;charge_ELS_quasi,CL259&gt;Charge_ELS_freq,CM259&gt;charge_ELU,CN259&gt;charge_ELA,$B259&gt;NDC!$H$22-0.1+MIN(3*$CO$12,1.5)),0,1))</f>
        <v>#N/A</v>
      </c>
      <c r="CP259" s="86" t="b">
        <f t="shared" si="351"/>
        <v>0</v>
      </c>
      <c r="CQ259" s="86">
        <f t="shared" si="352"/>
        <v>0.5</v>
      </c>
      <c r="CR259" s="86">
        <f t="shared" si="353"/>
        <v>0.5</v>
      </c>
      <c r="CS259" s="30" t="e">
        <f t="shared" ca="1" si="384"/>
        <v>#DIV/0!</v>
      </c>
      <c r="CT259" s="85" t="e">
        <f ca="1">IF(BZ259&lt;=Hypothèses!$V$7,Hypothèses!$W$7,IF(BZ259&lt;=Hypothèses!$V$8,Hypothèses!$W$8,IF(BZ259&lt;=Hypothèses!$V$9,Hypothèses!$W$9,IF(BZ259&lt;=Hypothèses!$V$10,Hypothèses!$W$10,IF(BZ259&lt;=Hypothèses!$V$11,Hypothèses!$W$11,IF(BZ259&lt;=Hypothèses!$V$12,Hypothèses!$W$12,IF(BZ259&lt;=Hypothèses!$V$13,Hypothèses!$W$13,IF(BZ259&lt;=Hypothèses!$V$14,Hypothèses!$W$14,IF(BZ259&lt;=Hypothèses!$V$15,Hypothèses!$W$15,IF(BZ259&lt;=Hypothèses!$V$16,Hypothèses!$W$16,IF(BZ259&lt;=Hypothèses!$V$17,Hypothèses!$W$17,IF(BZ259&lt;=Hypothèses!$V$18,Hypothèses!$W$18,""))))))))))))</f>
        <v>#DIV/0!</v>
      </c>
      <c r="CU259" s="87" t="e">
        <f t="shared" ca="1" si="420"/>
        <v>#DIV/0!</v>
      </c>
      <c r="CV259" s="88" t="e">
        <f ca="1">IF(BZ259&lt;=Hypothèses!$V$7,Hypothèses!$X$7,IF(BZ259&lt;=Hypothèses!$V$8,Hypothèses!$X$8,IF(BZ259&lt;=Hypothèses!$V$9,Hypothèses!$X$9,IF(BZ259&lt;=Hypothèses!$V$10,Hypothèses!$X$10,IF(BZ259&lt;=Hypothèses!$V$11,Hypothèses!$X$11,IF(BZ259&lt;=Hypothèses!$V$12,Hypothèses!$X$12,IF(BZ259&lt;=Hypothèses!$V$13,Hypothèses!$X$13,IF(BZ259&lt;=Hypothèses!$V$14,Hypothèses!$X$14,IF(BZ259&lt;=Hypothèses!$V$15,Hypothèses!$X$15,IF(BZ259&lt;=Hypothèses!$V$16,Hypothèses!$X$16,IF(BZ259&lt;=Hypothèses!$U$17,Hypothèses!$W$17,IF(BZ259&lt;=Hypothèses!$U$18,Hypothèses!$W$18,""))))))))))))</f>
        <v>#DIV/0!</v>
      </c>
      <c r="CW259" s="95" t="e">
        <f t="shared" ca="1" si="385"/>
        <v>#DIV/0!</v>
      </c>
      <c r="CX259" s="101" t="e">
        <f t="shared" si="427"/>
        <v>#N/A</v>
      </c>
      <c r="CY259" s="91" t="e">
        <f t="shared" si="354"/>
        <v>#N/A</v>
      </c>
      <c r="CZ259" s="30" t="e">
        <f t="shared" si="408"/>
        <v>#N/A</v>
      </c>
      <c r="DA259" s="30" t="e">
        <f t="shared" si="409"/>
        <v>#N/A</v>
      </c>
      <c r="DB259" s="31" t="e">
        <f>IF(OR(Hypothèses!$B$4=17,Hypothèses!$B$4=18,Hypothèses!$B$4=19,Hypothèses!$B$4=20),
IF($D259="Pressio.",
IF(OR($E259=3,$E259=1,$E259=4),DA259,CZ259),
IF($D259="Pénétro.",
IF(OR($E259=3,$E259=1,$E259=4),DA259,CZ259))),IF($D259="Pressio.",
IF($E259=3,DA259,CZ259),
IF($D259="Pénétro.",
IF($E259=4,DA259,CZ259))))</f>
        <v>#N/A</v>
      </c>
      <c r="DC259" s="31" t="e">
        <f>(IF(OR(Hypothèses!$B$4=17,Hypothèses!$B$4=18,Hypothèses!$B$4=19,Hypothèses!$B$4=20),
IF($D259="Pressio.",
IF(OR($E259=3,$E259=1,$E259=4),(PI()*DC$12^2)/4*(CY259*$W259*1000)/($H259*$B$5),(PI()*DC$12^2)/4*(CY259*$W259*1000)/($G259*$B$5)),
IF($D259="Pénétro.",
IF(OR($E259=4,$E259=1,$E259=5),(PI()*DC$12^2)/4*(CY259*$W259*1000)/($H259*$B$5),(PI()*DC$12^2)/4*(CY259*$W259*1000)/($G259*$B$5)))),
IF($D259="Pressio.",
IF($E259=3,(PI()*DC$12^2)/4*(CY259*$W259*1000)/($H259*$B$5),(PI()*DC$12^2)/4*(CY259*$W259*1000)/($G259*$B$5)),
IF($D259="Pénétro.",
IF($E259=4,(PI()*DC$12^2)/4*(CY259*$W259*1000)/($H259*$B$5),(PI()*DC$12^2)/4*(CY259*$W259*1000)/($G259*$B$5))))))/10</f>
        <v>#N/A</v>
      </c>
      <c r="DD259" s="102" t="e">
        <f>(VLOOKUP($B$3,'Coeff EC7'!$T$39:$X$59,2,0)*DB259+VLOOKUP($B$3,'Coeff EC7'!$T$65:$X$85,2,0)*Model0.1C!DC259)/1.1</f>
        <v>#N/A</v>
      </c>
      <c r="DE259" s="102" t="e">
        <f>(VLOOKUP($B$3,'Coeff EC7'!$T$39:$X$59,3,0)*DB259+VLOOKUP($B$3,'Coeff EC7'!$T$65:$X$85,3,0)*Model0.1C!DC259)/0.9</f>
        <v>#N/A</v>
      </c>
      <c r="DF259" s="102" t="e">
        <f t="shared" si="386"/>
        <v>#N/A</v>
      </c>
      <c r="DG259" s="102" t="e">
        <f t="shared" si="387"/>
        <v>#N/A</v>
      </c>
      <c r="DH259" s="414" t="e">
        <f>IF(DH258=0,0,IF(AND(DD259&gt;charge_ELS_quasi,DE259&gt;Charge_ELS_freq,DF259&gt;charge_ELU,DG259&gt;charge_ELA,$B259&gt;NDC!$H$22-0.1+MIN(3*$DH$12,1.5)),0,1))</f>
        <v>#N/A</v>
      </c>
      <c r="DI259" s="86" t="b">
        <f t="shared" si="355"/>
        <v>0</v>
      </c>
      <c r="DJ259" s="86">
        <f t="shared" si="356"/>
        <v>0.5</v>
      </c>
      <c r="DK259" s="86">
        <f t="shared" si="357"/>
        <v>0.5</v>
      </c>
      <c r="DL259" s="30" t="e">
        <f t="shared" ca="1" si="388"/>
        <v>#DIV/0!</v>
      </c>
      <c r="DM259" s="85" t="e">
        <f ca="1">IF(CS259&lt;=Hypothèses!$V$7,Hypothèses!$W$7,IF(CS259&lt;=Hypothèses!$V$8,Hypothèses!$W$8,IF(CS259&lt;=Hypothèses!$V$9,Hypothèses!$W$9,IF(CS259&lt;=Hypothèses!$V$10,Hypothèses!$W$10,IF(CS259&lt;=Hypothèses!$V$11,Hypothèses!$W$11,IF(CS259&lt;=Hypothèses!$V$12,Hypothèses!$W$12,IF(CS259&lt;=Hypothèses!$V$13,Hypothèses!$W$13,IF(CS259&lt;=Hypothèses!$V$14,Hypothèses!$W$14,IF(CS259&lt;=Hypothèses!$V$15,Hypothèses!$W$15,IF(CS259&lt;=Hypothèses!$V$16,Hypothèses!$W$16,IF(CS259&lt;=Hypothèses!$V$17,Hypothèses!$W$17,IF(CS259&lt;=Hypothèses!$V$18,Hypothèses!$W$18,""))))))))))))</f>
        <v>#DIV/0!</v>
      </c>
      <c r="DN259" s="87" t="e">
        <f t="shared" ca="1" si="421"/>
        <v>#DIV/0!</v>
      </c>
      <c r="DO259" s="88" t="e">
        <f ca="1">IF(CS259&lt;=Hypothèses!$V$7,Hypothèses!$X$7,IF(CS259&lt;=Hypothèses!$V$8,Hypothèses!$X$8,IF(CS259&lt;=Hypothèses!$V$9,Hypothèses!$X$9,IF(CS259&lt;=Hypothèses!$V$10,Hypothèses!$X$10,IF(CS259&lt;=Hypothèses!$V$11,Hypothèses!$X$11,IF(CS259&lt;=Hypothèses!$V$12,Hypothèses!$X$12,IF(CS259&lt;=Hypothèses!$V$13,Hypothèses!$X$13,IF(CS259&lt;=Hypothèses!$V$14,Hypothèses!$X$14,IF(CS259&lt;=Hypothèses!$V$15,Hypothèses!$X$15,IF(CS259&lt;=Hypothèses!$V$16,Hypothèses!$X$16,IF(CS259&lt;=Hypothèses!$U$17,Hypothèses!$W$17,IF(CS259&lt;=Hypothèses!$U$18,Hypothèses!$W$18,""))))))))))))</f>
        <v>#DIV/0!</v>
      </c>
      <c r="DP259" s="95" t="e">
        <f t="shared" ca="1" si="389"/>
        <v>#DIV/0!</v>
      </c>
      <c r="DQ259" s="101" t="e">
        <f t="shared" si="428"/>
        <v>#N/A</v>
      </c>
      <c r="DR259" s="91" t="e">
        <f t="shared" si="358"/>
        <v>#N/A</v>
      </c>
      <c r="DS259" s="30" t="e">
        <f t="shared" si="410"/>
        <v>#N/A</v>
      </c>
      <c r="DT259" s="30" t="e">
        <f t="shared" si="411"/>
        <v>#N/A</v>
      </c>
      <c r="DU259" s="31" t="e">
        <f>IF(OR(Hypothèses!$B$4=17,Hypothèses!$B$4=18,Hypothèses!$B$4=19,Hypothèses!$B$4=20),
IF($D259="Pressio.",
IF(OR($E259=3,$E259=1,$E259=4),DT259,DS259),
IF($D259="Pénétro.",
IF(OR($E259=3,$E259=1,$E259=4),DT259,DS259))),IF($D259="Pressio.",
IF($E259=3,DT259,DS259),
IF($D259="Pénétro.",
IF($E259=4,DT259,DS259))))</f>
        <v>#N/A</v>
      </c>
      <c r="DV259" s="31" t="e">
        <f>(IF(OR(Hypothèses!$B$4=17,Hypothèses!$B$4=18,Hypothèses!$B$4=19,Hypothèses!$B$4=20),
IF($D259="Pressio.",
IF(OR($E259=3,$E259=1,$E259=4),(PI()*DV$12^2)/4*(DR259*$W259*1000)/($H259*$B$5),(PI()*DV$12^2)/4*(DR259*$W259*1000)/($G259*$B$5)),
IF($D259="Pénétro.",
IF(OR($E259=4,$E259=1,$E259=5),(PI()*DV$12^2)/4*(DR259*$W259*1000)/($H259*$B$5),(PI()*DV$12^2)/4*(DR259*$W259*1000)/($G259*$B$5)))),
IF($D259="Pressio.",
IF($E259=3,(PI()*DV$12^2)/4*(DR259*$W259*1000)/($H259*$B$5),(PI()*DV$12^2)/4*(DR259*$W259*1000)/($G259*$B$5)),
IF($D259="Pénétro.",
IF($E259=4,(PI()*DV$12^2)/4*(DR259*$W259*1000)/($H259*$B$5),(PI()*DV$12^2)/4*(DR259*$W259*1000)/($G259*$B$5))))))/10</f>
        <v>#N/A</v>
      </c>
      <c r="DW259" s="102" t="e">
        <f>(VLOOKUP($B$3,'Coeff EC7'!$T$39:$X$59,2,0)*DU259+VLOOKUP($B$3,'Coeff EC7'!$T$65:$X$85,2,0)*Model0.1C!DV259)/1.1</f>
        <v>#N/A</v>
      </c>
      <c r="DX259" s="102" t="e">
        <f>(VLOOKUP($B$3,'Coeff EC7'!$T$39:$X$59,3,0)*DU259+VLOOKUP($B$3,'Coeff EC7'!$T$65:$X$85,3,0)*Model0.1C!DV259)/0.9</f>
        <v>#N/A</v>
      </c>
      <c r="DY259" s="102" t="e">
        <f t="shared" si="390"/>
        <v>#N/A</v>
      </c>
      <c r="DZ259" s="102" t="e">
        <f t="shared" si="391"/>
        <v>#N/A</v>
      </c>
      <c r="EA259" s="414" t="e">
        <f>IF(EA258=0,0,IF(AND(DW259&gt;charge_ELS_quasi,DX259&gt;Charge_ELS_freq,DY259&gt;charge_ELU,DZ259&gt;charge_ELA,$B259&gt;NDC!$H$22-0.1+MIN(3*$EA$12,1.5)),0,1))</f>
        <v>#N/A</v>
      </c>
      <c r="EB259" s="86" t="b">
        <f t="shared" si="359"/>
        <v>0</v>
      </c>
      <c r="EC259" s="418">
        <f t="shared" si="360"/>
        <v>0.51</v>
      </c>
      <c r="ED259" s="86">
        <f t="shared" si="361"/>
        <v>0.51</v>
      </c>
      <c r="EE259" s="30" t="e">
        <f t="shared" ca="1" si="392"/>
        <v>#DIV/0!</v>
      </c>
      <c r="EF259" s="85" t="e">
        <f ca="1">IF(DL259&lt;=Hypothèses!$V$7,Hypothèses!$W$7,IF(DL259&lt;=Hypothèses!$V$8,Hypothèses!$W$8,IF(DL259&lt;=Hypothèses!$V$9,Hypothèses!$W$9,IF(DL259&lt;=Hypothèses!$V$10,Hypothèses!$W$10,IF(DL259&lt;=Hypothèses!$V$11,Hypothèses!$W$11,IF(DL259&lt;=Hypothèses!$V$12,Hypothèses!$W$12,IF(DL259&lt;=Hypothèses!$V$13,Hypothèses!$W$13,IF(DL259&lt;=Hypothèses!$V$14,Hypothèses!$W$14,IF(DL259&lt;=Hypothèses!$V$15,Hypothèses!$W$15,IF(DL259&lt;=Hypothèses!$V$16,Hypothèses!$W$16,IF(DL259&lt;=Hypothèses!$V$17,Hypothèses!$W$17,IF(DL259&lt;=Hypothèses!$V$18,Hypothèses!$W$18,""))))))))))))</f>
        <v>#DIV/0!</v>
      </c>
      <c r="EG259" s="87" t="e">
        <f t="shared" ca="1" si="422"/>
        <v>#DIV/0!</v>
      </c>
      <c r="EH259" s="88" t="e">
        <f ca="1">IF(DL259&lt;=Hypothèses!$V$7,Hypothèses!$X$7,IF(DL259&lt;=Hypothèses!$V$8,Hypothèses!$X$8,IF(DL259&lt;=Hypothèses!$V$9,Hypothèses!$X$9,IF(DL259&lt;=Hypothèses!$V$10,Hypothèses!$X$10,IF(DL259&lt;=Hypothèses!$V$11,Hypothèses!$X$11,IF(DL259&lt;=Hypothèses!$V$12,Hypothèses!$X$12,IF(DL259&lt;=Hypothèses!$V$13,Hypothèses!$X$13,IF(DL259&lt;=Hypothèses!$V$14,Hypothèses!$X$14,IF(DL259&lt;=Hypothèses!$V$15,Hypothèses!$X$15,IF(DL259&lt;=Hypothèses!$V$16,Hypothèses!$X$16,IF(DL259&lt;=Hypothèses!$U$17,Hypothèses!$W$17,IF(DL259&lt;=Hypothèses!$U$18,Hypothèses!$W$18,""))))))))))))</f>
        <v>#DIV/0!</v>
      </c>
      <c r="EI259" s="95" t="e">
        <f t="shared" ca="1" si="393"/>
        <v>#DIV/0!</v>
      </c>
      <c r="EJ259" s="101" t="e">
        <f t="shared" si="429"/>
        <v>#N/A</v>
      </c>
      <c r="EK259" s="91" t="e">
        <f t="shared" si="362"/>
        <v>#N/A</v>
      </c>
      <c r="EL259" s="30" t="e">
        <f t="shared" si="412"/>
        <v>#N/A</v>
      </c>
      <c r="EM259" s="30" t="e">
        <f t="shared" si="413"/>
        <v>#N/A</v>
      </c>
      <c r="EN259" s="31" t="e">
        <f>IF(OR(Hypothèses!$B$4=17,Hypothèses!$B$4=18,Hypothèses!$B$4=19,Hypothèses!$B$4=20),
IF($D259="Pressio.",
IF(OR($E259=3,$E259=1,$E259=4),EM259,EL259),
IF($D259="Pénétro.",
IF(OR($E259=3,$E259=1,$E259=4),EM259,EL259))),IF($D259="Pressio.",
IF($E259=3,EM259,EL259),
IF($D259="Pénétro.",
IF($E259=4,EM259,EL259))))</f>
        <v>#N/A</v>
      </c>
      <c r="EO259" s="31" t="e">
        <f>(IF(OR(Hypothèses!$B$4=17,Hypothèses!$B$4=18,Hypothèses!$B$4=19,Hypothèses!$B$4=20),
IF($D259="Pressio.",
IF(OR($E259=3,$E259=1,$E259=4),(PI()*EO$12^2)/4*(EK259*$W259*1000)/($H259*$B$5),(PI()*EO$12^2)/4*(EK259*$W259*1000)/($G259*$B$5)),
IF($D259="Pénétro.",
IF(OR($E259=4,$E259=1,$E259=5),(PI()*EO$12^2)/4*(EK259*$W259*1000)/($H259*$B$5),(PI()*EO$12^2)/4*(EK259*$W259*1000)/($G259*$B$5)))),
IF($D259="Pressio.",
IF($E259=3,(PI()*EO$12^2)/4*(EK259*$W259*1000)/($H259*$B$5),(PI()*EO$12^2)/4*(EK259*$W259*1000)/($G259*$B$5)),
IF($D259="Pénétro.",
IF($E259=4,(PI()*EO$12^2)/4*(EK259*$W259*1000)/($H259*$B$5),(PI()*EO$12^2)/4*(EK259*$W259*1000)/($G259*$B$5))))))/10</f>
        <v>#N/A</v>
      </c>
      <c r="EP259" s="102" t="e">
        <f>(VLOOKUP($B$3,'Coeff EC7'!$T$39:$X$59,2,0)*EN259+VLOOKUP($B$3,'Coeff EC7'!$T$65:$X$85,2,0)*Model0.1C!EO259)/1.1</f>
        <v>#N/A</v>
      </c>
      <c r="EQ259" s="102" t="e">
        <f>(VLOOKUP($B$3,'Coeff EC7'!$T$39:$X$59,3,0)*EN259+VLOOKUP($B$3,'Coeff EC7'!$T$65:$X$85,3,0)*Model0.1C!EO259)/0.9</f>
        <v>#N/A</v>
      </c>
      <c r="ER259" s="102" t="e">
        <f t="shared" si="394"/>
        <v>#N/A</v>
      </c>
      <c r="ES259" s="102" t="e">
        <f t="shared" si="395"/>
        <v>#N/A</v>
      </c>
      <c r="ET259" s="414" t="e">
        <f>IF(ET258=0,0,IF(AND(EP259&gt;charge_ELS_quasi,EQ259&gt;Charge_ELS_freq,ER259&gt;charge_ELU,ES259&gt;charge_ELA,$B259&gt;NDC!$H$22-0.1+MIN(3*$ET$12,1.5)),0,1))</f>
        <v>#N/A</v>
      </c>
      <c r="EU259" s="86" t="b">
        <f t="shared" si="363"/>
        <v>0</v>
      </c>
      <c r="EV259" s="86">
        <f t="shared" si="364"/>
        <v>0.61</v>
      </c>
      <c r="EW259" s="86">
        <f t="shared" si="365"/>
        <v>0.61</v>
      </c>
      <c r="EX259" s="30" t="e">
        <f t="shared" ca="1" si="396"/>
        <v>#DIV/0!</v>
      </c>
      <c r="EY259" s="85" t="e">
        <f ca="1">IF(EE259&lt;=Hypothèses!$V$7,Hypothèses!$W$7,IF(EE259&lt;=Hypothèses!$V$8,Hypothèses!$W$8,IF(EE259&lt;=Hypothèses!$V$9,Hypothèses!$W$9,IF(EE259&lt;=Hypothèses!$V$10,Hypothèses!$W$10,IF(EE259&lt;=Hypothèses!$V$11,Hypothèses!$W$11,IF(EE259&lt;=Hypothèses!$V$12,Hypothèses!$W$12,IF(EE259&lt;=Hypothèses!$V$13,Hypothèses!$W$13,IF(EE259&lt;=Hypothèses!$V$14,Hypothèses!$W$14,IF(EE259&lt;=Hypothèses!$V$15,Hypothèses!$W$15,IF(EE259&lt;=Hypothèses!$V$16,Hypothèses!$W$16,IF(EE259&lt;=Hypothèses!$V$17,Hypothèses!$W$17,IF(EE259&lt;=Hypothèses!$V$18,Hypothèses!$W$18,""))))))))))))</f>
        <v>#DIV/0!</v>
      </c>
      <c r="EZ259" s="87" t="e">
        <f t="shared" ca="1" si="423"/>
        <v>#DIV/0!</v>
      </c>
      <c r="FA259" s="88" t="e">
        <f ca="1">IF(EE259&lt;=Hypothèses!$V$7,Hypothèses!$X$7,IF(EE259&lt;=Hypothèses!$V$8,Hypothèses!$X$8,IF(EE259&lt;=Hypothèses!$V$9,Hypothèses!$X$9,IF(EE259&lt;=Hypothèses!$V$10,Hypothèses!$X$10,IF(EE259&lt;=Hypothèses!$V$11,Hypothèses!$X$11,IF(EE259&lt;=Hypothèses!$V$12,Hypothèses!$X$12,IF(EE259&lt;=Hypothèses!$V$13,Hypothèses!$X$13,IF(EE259&lt;=Hypothèses!$V$14,Hypothèses!$X$14,IF(EE259&lt;=Hypothèses!$V$15,Hypothèses!$X$15,IF(EE259&lt;=Hypothèses!$V$16,Hypothèses!$X$16,IF(EE259&lt;=Hypothèses!$U$17,Hypothèses!$W$17,IF(EE259&lt;=Hypothèses!$U$18,Hypothèses!$W$18,""))))))))))))</f>
        <v>#DIV/0!</v>
      </c>
      <c r="FB259" s="95" t="e">
        <f t="shared" ca="1" si="397"/>
        <v>#DIV/0!</v>
      </c>
      <c r="FC259" s="101" t="e">
        <f t="shared" si="430"/>
        <v>#N/A</v>
      </c>
      <c r="FD259" s="91" t="e">
        <f t="shared" si="366"/>
        <v>#N/A</v>
      </c>
      <c r="FE259" s="30" t="e">
        <f t="shared" si="414"/>
        <v>#N/A</v>
      </c>
      <c r="FF259" s="30" t="e">
        <f t="shared" si="415"/>
        <v>#N/A</v>
      </c>
      <c r="FG259" s="31" t="e">
        <f>IF(OR(Hypothèses!$B$4=17,Hypothèses!$B$4=18,Hypothèses!$B$4=19,Hypothèses!$B$4=20),
IF($D259="Pressio.",
IF(OR($E259=3,$E259=1,$E259=4),FF259,FE259),
IF($D259="Pénétro.",
IF(OR($E259=3,$E259=1,$E259=4),FF259,FE259))),IF($D259="Pressio.",
IF($E259=3,FF259,FE259),
IF($D259="Pénétro.",
IF($E259=4,FF259,FE259))))</f>
        <v>#N/A</v>
      </c>
      <c r="FH259" s="31" t="e">
        <f>(IF(OR(Hypothèses!$B$4=17,Hypothèses!$B$4=18,Hypothèses!$B$4=19,Hypothèses!$B$4=20),
IF($D259="Pressio.",
IF(OR($E259=3,$E259=1,$E259=4),(PI()*FH$12^2)/4*(FD259*$W259*1000)/($H259*$B$5),(PI()*FH$12^2)/4*(FD259*$W259*1000)/($G259*$B$5)),
IF($D259="Pénétro.",
IF(OR($E259=4,$E259=1,$E259=5),(PI()*FH$12^2)/4*(FD259*$W259*1000)/($H259*$B$5),(PI()*FH$12^2)/4*(FD259*$W259*1000)/($G259*$B$5)))),
IF($D259="Pressio.",
IF($E259=3,(PI()*FH$12^2)/4*(FD259*$W259*1000)/($H259*$B$5),(PI()*FH$12^2)/4*(FD259*$W259*1000)/($G259*$B$5)),
IF($D259="Pénétro.",
IF($E259=4,(PI()*FH$12^2)/4*(FD259*$W259*1000)/($H259*$B$5),(PI()*FH$12^2)/4*(FD259*$W259*1000)/($G259*$B$5))))))/10</f>
        <v>#N/A</v>
      </c>
      <c r="FI259" s="102" t="e">
        <f>(VLOOKUP($B$3,'Coeff EC7'!$T$39:$X$59,2,0)*FG259+VLOOKUP($B$3,'Coeff EC7'!$T$65:$X$85,2,0)*Model0.1C!FH259)/1.1</f>
        <v>#N/A</v>
      </c>
      <c r="FJ259" s="102" t="e">
        <f>(VLOOKUP($B$3,'Coeff EC7'!$T$39:$X$59,3,0)*FG259+VLOOKUP($B$3,'Coeff EC7'!$T$65:$X$85,3,0)*Model0.1C!FH259)/0.9</f>
        <v>#N/A</v>
      </c>
      <c r="FK259" s="102" t="e">
        <f t="shared" si="398"/>
        <v>#N/A</v>
      </c>
      <c r="FL259" s="102" t="e">
        <f t="shared" si="399"/>
        <v>#N/A</v>
      </c>
      <c r="FM259" s="414" t="e">
        <f>IF(FM258=0,0,IF(AND(FI259&gt;charge_ELS_quasi,FJ259&gt;Charge_ELS_freq,FK259&gt;charge_ELU,FL259&gt;charge_ELA,$B259&gt;NDC!$H$22-0.1+MIN(3*$FM$12,1.5)),0,1))</f>
        <v>#N/A</v>
      </c>
    </row>
    <row r="260" spans="1:169">
      <c r="A260" s="96">
        <f t="shared" si="367"/>
        <v>75.300000000001404</v>
      </c>
      <c r="B260" s="97">
        <v>24.7</v>
      </c>
      <c r="C260" s="81">
        <f>IF(B260&lt;=Hypothèses!$C$7,Hypothèses!$A$7,IF(B260&lt;=Hypothèses!$C$8,Hypothèses!$A$8,IF(B260&lt;=Hypothèses!$C$9,Hypothèses!$A$9,IF(B260&lt;=Hypothèses!$C$10,Hypothèses!$A$10,IF(B260&lt;=Hypothèses!$C$11,Hypothèses!$A$11,IF(B260&lt;=Hypothèses!$C$12,Hypothèses!$A$12,IF(B260&lt;=Hypothèses!$C$13,Hypothèses!$A$13,IF(B260&lt;=Hypothèses!$C$14,Hypothèses!$A$14,IF(B260&lt;=Hypothèses!$C$15,Hypothèses!$A$15,IF(B260&lt;=Hypothèses!$C$16,Hypothèses!$A$16,IF(B260&lt;=Hypothèses!$C$17,Hypothèses!$A$17,IF(B260&lt;=Hypothèses!$C$18,Hypothèses!$A$18,C259))))))))))))</f>
        <v>11</v>
      </c>
      <c r="D260" s="82" t="str">
        <f>IF(B260&lt;=Hypothèses!$C$7,Hypothèses!$R$7,IF(B260&lt;=Hypothèses!$C$8,Hypothèses!$R$8,IF(B260&lt;=Hypothèses!$C$9,Hypothèses!$R$9,IF(B260&lt;=Hypothèses!$C$10,Hypothèses!$R$10,IF(B260&lt;=Hypothèses!$C$11,Hypothèses!$R$11,IF(B260&lt;=Hypothèses!$C$12,Hypothèses!$R$12,IF(B260&lt;=Hypothèses!$C$13,Hypothèses!$R$13,IF(B260&lt;=Hypothèses!$C$14,Hypothèses!$R$14,IF(B260&lt;=Hypothèses!$C$15,Hypothèses!$R$15,IF(B260&lt;=Hypothèses!$C$16,Hypothèses!$R$16,IF(B260&lt;=Hypothèses!$C$17,Hypothèses!$R$17,IF(B260&lt;=Hypothèses!$C$18,Hypothèses!$R$18,D259))))))))))))</f>
        <v>Pressio.</v>
      </c>
      <c r="E260" s="82" t="e">
        <f>IF(B260&lt;=Hypothèses!$C$7,Hypothèses!$G$7,IF(B260&lt;=Hypothèses!$C$8,Hypothèses!$G$8,IF(B260&lt;=Hypothèses!$C$9,Hypothèses!$G$9,IF(B260&lt;=Hypothèses!$C$10,Hypothèses!$G$10,IF(B260&lt;=Hypothèses!$C$11,Hypothèses!$G$11,IF(B260&lt;=Hypothèses!$C$12,Hypothèses!$G$12,IF(B260&lt;=Hypothèses!$C$13,Hypothèses!$G$13,IF(B260&lt;=Hypothèses!$C$14,Hypothèses!$G$14,IF(B260&lt;=Hypothèses!$C$15,Hypothèses!$G$15,IF(B260&lt;=Hypothèses!$C$16,Hypothèses!$G$16,IF(B260&lt;=Hypothèses!$C$17,Hypothèses!$G$17,IF(B260&lt;=Hypothèses!$C$18,Hypothèses!$G$18,E259))))))))))))</f>
        <v>#N/A</v>
      </c>
      <c r="F260" s="82" t="str">
        <f>IF(B260&lt;=Hypothèses!$C$7,Hypothèses!$F$7,IF(B260&lt;=Hypothèses!$C$8,Hypothèses!$F$8,IF(B260&lt;=Hypothèses!$C$9,Hypothèses!$F$9,IF(B260&lt;=Hypothèses!$C$10,Hypothèses!$F$10,IF(B260&lt;=Hypothèses!$C$11,Hypothèses!$F$11,IF(B260&lt;=Hypothèses!$C$12,Hypothèses!$F$12,IF(B260&lt;=Hypothèses!$C$13,Hypothèses!$F$13,IF(B260&lt;=Hypothèses!$C$14,Hypothèses!$F$14,IF(B260&lt;=Hypothèses!$C$15,Hypothèses!$F$15,IF(B260&lt;=Hypothèses!$C$16,Hypothèses!$F$16,IF(B260&lt;=Hypothèses!$C$17,Hypothèses!$F$17,IF(B260&lt;=Hypothèses!$C$18,Hypothèses!$F$18,F259))))))))))))</f>
        <v/>
      </c>
      <c r="G260" s="91">
        <f t="array" ref="G260">INDEX('Coeff EC7'!$U$7:$X$27,
MATCH(Model0.1C!$B$3,'Coeff EC7'!$T$7:$T$27,0),
MATCH(Model0.1C!$D260&amp;Model0.1C!$B$4,
'Coeff EC7'!$U$6:$X$6&amp;
'Coeff EC7'!$U$5:$X$5,0))</f>
        <v>1.1499999999999999</v>
      </c>
      <c r="H260" s="91">
        <f t="array" ref="H260">INDEX('Coeff EC7'!$Y$7:$AB$27,
MATCH(Model0.1C!$B$3,'Coeff EC7'!$T$7:$T$27,0),
MATCH(Model0.1C!$D260&amp;Model0.1C!$B$4,
'Coeff EC7'!$Y$6:$AB$6&amp;
'Coeff EC7'!$Y$5:$AB$5,0))</f>
        <v>1.4</v>
      </c>
      <c r="I260" s="83" t="e">
        <f>IF(B260&lt;=Hypothèses!$C$7,Hypothèses!$P$7,IF(B260&lt;=Hypothèses!$C$8,Hypothèses!$P$8,IF(B260&lt;=Hypothèses!$C$9,Hypothèses!$P$9,IF(B260&lt;=Hypothèses!$C$10,Hypothèses!$P$10,IF(B260&lt;=Hypothèses!$C$11,Hypothèses!$P$11,IF(B260&lt;=Hypothèses!$C$12,Hypothèses!$P$12,IF(B260&lt;=Hypothèses!$C$13,Hypothèses!$P$13,IF(B260&lt;=Hypothèses!$C$14,Hypothèses!$P$14,IF(B260&lt;=Hypothèses!$C$15,Hypothèses!$P$15,IF(B260&lt;=Hypothèses!$C$16,Hypothèses!$P$16,IF(B260&lt;=Hypothèses!$C$17,Hypothèses!$P$17,IF(B260&lt;=Hypothèses!$C$18,Hypothèses!$P$18,I259))))))))))))</f>
        <v>#N/A</v>
      </c>
      <c r="J260" s="91" t="e">
        <f t="array" ref="J260">INDEX('Coeff EC7'!$D$33:$Q$33,1,MATCH(D260&amp;E260,'Coeff EC7'!$D$31:$Q$31&amp;'Coeff EC7'!$D$32:$Q$32,0))</f>
        <v>#N/A</v>
      </c>
      <c r="K260" s="91" t="e">
        <f t="array" ref="K260">INDEX('Coeff EC7'!$D$34:$Q$34,1,MATCH(D260&amp;E260,'Coeff EC7'!$D$31:$Q$31&amp;'Coeff EC7'!$D$32:$Q$32,0))</f>
        <v>#N/A</v>
      </c>
      <c r="L260" s="91" t="e">
        <f t="array" ref="L260">INDEX('Coeff EC7'!$D$35:$Q$35,1,MATCH(D260&amp;E260,'Coeff EC7'!$D$31:$Q$31&amp;'Coeff EC7'!$D$32:$Q$32,0))</f>
        <v>#N/A</v>
      </c>
      <c r="M260" s="98" t="e">
        <f t="shared" si="331"/>
        <v>#N/A</v>
      </c>
      <c r="N260" s="99" t="e">
        <f t="array" ref="N260">INDEX('Coeff EC7'!$D$7:$Q$27,MATCH($B$3,'Coeff EC7'!$C$7:$C$27,0),MATCH(D260&amp;E260,'Coeff EC7'!$D$5:$Q$5&amp;'Coeff EC7'!$D$6:$Q$6,0))</f>
        <v>#N/A</v>
      </c>
      <c r="O260" s="99" t="e">
        <f t="array" ref="O260">INDEX('Coeff EC7'!$D$41:$Q$61,MATCH($B$3,'Coeff EC7'!$C$41:$C$61,0),MATCH(D260&amp;E260,'Coeff EC7'!$D$39:$Q$39&amp;'Coeff EC7'!$D$40:$Q$40,0))</f>
        <v>#N/A</v>
      </c>
      <c r="P260" s="30" t="e">
        <f t="shared" si="368"/>
        <v>#N/A</v>
      </c>
      <c r="Q260" s="100" t="e">
        <f t="shared" si="333"/>
        <v>#N/A</v>
      </c>
      <c r="R260" s="86" t="b">
        <f t="shared" si="334"/>
        <v>0</v>
      </c>
      <c r="S260" s="86">
        <f t="shared" si="332"/>
        <v>0.5</v>
      </c>
      <c r="T260" s="86">
        <f t="shared" si="335"/>
        <v>0.5</v>
      </c>
      <c r="U260" s="30" t="e">
        <f t="shared" ca="1" si="369"/>
        <v>#DIV/0!</v>
      </c>
      <c r="V260" s="85" t="str">
        <f>IF(B260&lt;=Hypothèses!$V$7,Hypothèses!$W$7,IF(B260&lt;=Hypothèses!$V$8,Hypothèses!$W$8,IF(B260&lt;=Hypothèses!$V$9,Hypothèses!$W$9,IF(B260&lt;=Hypothèses!$V$10,Hypothèses!$W$10,IF(B260&lt;=Hypothèses!$V$11,Hypothèses!$W$11,IF(B260&lt;=Hypothèses!$V$12,Hypothèses!$W$12,IF(B260&lt;=Hypothèses!$V$13,Hypothèses!$W$13,IF(B260&lt;=Hypothèses!$V$14,Hypothèses!$W$14,IF(B260&lt;=Hypothèses!$V$15,Hypothèses!$W$15,IF(B260&lt;=Hypothèses!$V$16,Hypothèses!$W$16,IF(B260&lt;=Hypothèses!$V$17,Hypothèses!$W$17,IF(B260&lt;=Hypothèses!$V$18,Hypothèses!$W$18,""))))))))))))</f>
        <v/>
      </c>
      <c r="W260" s="87" t="e">
        <f t="shared" ca="1" si="416"/>
        <v>#DIV/0!</v>
      </c>
      <c r="X260" s="88" t="str">
        <f>IF(B260&lt;=Hypothèses!$V$7,Hypothèses!$X$7,IF(B260&lt;=Hypothèses!$V$8,Hypothèses!$X$8,IF(B260&lt;=Hypothèses!$V$9,Hypothèses!$X$9,IF(B260&lt;=Hypothèses!$V$10,Hypothèses!$X$10,IF(B260&lt;=Hypothèses!$V$11,Hypothèses!$X$11,IF(B260&lt;=Hypothèses!$V$12,Hypothèses!$X$12,IF(B260&lt;=Hypothèses!$V$13,Hypothèses!$X$13,IF(B260&lt;=Hypothèses!$V$14,Hypothèses!$X$14,IF(B260&lt;=Hypothèses!$V$15,Hypothèses!$X$15,IF(B260&lt;=Hypothèses!$V$16,Hypothèses!$X$16,IF(B260&lt;=Hypothèses!$U$17,Hypothèses!$W$17,IF(B260&lt;=Hypothèses!$U$18,Hypothèses!$W$18,""))))))))))))</f>
        <v/>
      </c>
      <c r="Y260" s="95" t="e">
        <f t="shared" ca="1" si="336"/>
        <v>#DIV/0!</v>
      </c>
      <c r="Z260" s="101" t="e">
        <f t="shared" si="337"/>
        <v>#N/A</v>
      </c>
      <c r="AA260" s="91" t="e">
        <f t="shared" si="338"/>
        <v>#N/A</v>
      </c>
      <c r="AB260" s="30" t="e">
        <f t="shared" si="400"/>
        <v>#N/A</v>
      </c>
      <c r="AC260" s="30" t="e">
        <f t="shared" si="401"/>
        <v>#N/A</v>
      </c>
      <c r="AD260" s="31" t="e">
        <f>IF(OR(Hypothèses!$B$4=17,Hypothèses!$B$4=18,Hypothèses!$B$4=19,Hypothèses!$B$4=20),
IF($D260="Pressio.",
IF(OR($E260=3,$E260=1,$E260=4),AC260,AB260),
IF($D260="Pénétro.",
IF(OR($E260=3,$E260=1,$E260=4),AC260,AB260))),IF($D260="Pressio.",
IF($E260=3,AC260,AB260),
IF($D260="Pénétro.",
IF($E260=4,AC260,AB260))))</f>
        <v>#N/A</v>
      </c>
      <c r="AE260" s="31" t="e">
        <f>(IF(OR(Hypothèses!$B$4=17,Hypothèses!$B$4=18,Hypothèses!$B$4=19,Hypothèses!$B$4=20),
IF($D260="Pressio.",
IF(OR($E260=3,$E260=1,$E260=4),(PI()*AE$12^2)/4*(AA260*$W260*1000)/($H260*$B$5),(PI()*AE$12^2)/4*(AA260*$W260*1000)/($G260*$B$5)),
IF($D260="Pénétro.",
IF(OR($E260=4,$E260=1,$E260=5),(PI()*AE$12^2)/4*(AA260*$W260*1000)/($H260*$B$5),(PI()*AE$12^2)/4*(AA260*$W260*1000)/($G260*$B$5)))),
IF($D260="Pressio.",
IF($E260=3,(PI()*AE$12^2)/4*(AA260*$W260*1000)/($H260*$B$5),(PI()*AE$12^2)/4*(AA260*$W260*1000)/($G260*$B$5)),
IF($D260="Pénétro.",
IF($E260=4,(PI()*AE$12^2)/4*(AA260*$W260*1000)/($H260*$B$5),(PI()*AE$12^2)/4*(AA260*$W260*1000)/($G260*$B$5))))))/10</f>
        <v>#N/A</v>
      </c>
      <c r="AF260" s="102" t="e">
        <f>(VLOOKUP($B$3,'Coeff EC7'!$T$39:$X$59,2,0)*AD260+VLOOKUP($B$3,'Coeff EC7'!$T$65:$X$85,2,0)*Model0.1C!AE260)/1.1</f>
        <v>#N/A</v>
      </c>
      <c r="AG260" s="102" t="e">
        <f>(VLOOKUP($B$3,'Coeff EC7'!$T$39:$X$59,3,0)*AD260+VLOOKUP($B$3,'Coeff EC7'!$T$65:$X$85,3,0)*Model0.1C!AE260)/0.9</f>
        <v>#N/A</v>
      </c>
      <c r="AH260" s="102" t="e">
        <f t="shared" si="339"/>
        <v>#N/A</v>
      </c>
      <c r="AI260" s="102" t="e">
        <f t="shared" si="340"/>
        <v>#N/A</v>
      </c>
      <c r="AJ260" s="414" t="e">
        <f>IF(AJ259=0,0,IF(AND(AF260&gt;charge_ELS_quasi,AG260&gt;Charge_ELS_freq,AH260&gt;charge_ELU,AI260&gt;charge_ELA,$B260&gt;NDC!$H$22-0.1+MIN(3*$AJ$12,1.5)),0,1))</f>
        <v>#N/A</v>
      </c>
      <c r="AK260" s="86" t="b">
        <f t="shared" si="341"/>
        <v>0</v>
      </c>
      <c r="AL260" s="86">
        <f t="shared" si="370"/>
        <v>0.5</v>
      </c>
      <c r="AM260" s="86">
        <f t="shared" si="342"/>
        <v>0.5</v>
      </c>
      <c r="AN260" s="30" t="e">
        <f t="shared" ca="1" si="371"/>
        <v>#DIV/0!</v>
      </c>
      <c r="AO260" s="85" t="e">
        <f ca="1">IF(U260&lt;=Hypothèses!$V$7,Hypothèses!$W$7,IF(U260&lt;=Hypothèses!$V$8,Hypothèses!$W$8,IF(U260&lt;=Hypothèses!$V$9,Hypothèses!$W$9,IF(U260&lt;=Hypothèses!$V$10,Hypothèses!$W$10,IF(U260&lt;=Hypothèses!$V$11,Hypothèses!$W$11,IF(U260&lt;=Hypothèses!$V$12,Hypothèses!$W$12,IF(U260&lt;=Hypothèses!$V$13,Hypothèses!$W$13,IF(U260&lt;=Hypothèses!$V$14,Hypothèses!$W$14,IF(U260&lt;=Hypothèses!$V$15,Hypothèses!$W$15,IF(U260&lt;=Hypothèses!$V$16,Hypothèses!$W$16,IF(U260&lt;=Hypothèses!$V$17,Hypothèses!$W$17,IF(U260&lt;=Hypothèses!$V$18,Hypothèses!$W$18,""))))))))))))</f>
        <v>#DIV/0!</v>
      </c>
      <c r="AP260" s="87" t="e">
        <f t="shared" ca="1" si="417"/>
        <v>#DIV/0!</v>
      </c>
      <c r="AQ260" s="88" t="e">
        <f ca="1">IF(U260&lt;=Hypothèses!$V$7,Hypothèses!$X$7,IF(U260&lt;=Hypothèses!$V$8,Hypothèses!$X$8,IF(U260&lt;=Hypothèses!$V$9,Hypothèses!$X$9,IF(U260&lt;=Hypothèses!$V$10,Hypothèses!$X$10,IF(U260&lt;=Hypothèses!$V$11,Hypothèses!$X$11,IF(U260&lt;=Hypothèses!$V$12,Hypothèses!$X$12,IF(U260&lt;=Hypothèses!$V$13,Hypothèses!$X$13,IF(U260&lt;=Hypothèses!$V$14,Hypothèses!$X$14,IF(U260&lt;=Hypothèses!$V$15,Hypothèses!$X$15,IF(U260&lt;=Hypothèses!$V$16,Hypothèses!$X$16,IF(U260&lt;=Hypothèses!$U$17,Hypothèses!$W$17,IF(U260&lt;=Hypothèses!$U$18,Hypothèses!$W$18,""))))))))))))</f>
        <v>#DIV/0!</v>
      </c>
      <c r="AR260" s="95" t="e">
        <f t="shared" ca="1" si="372"/>
        <v>#DIV/0!</v>
      </c>
      <c r="AS260" s="101" t="e">
        <f t="shared" si="424"/>
        <v>#N/A</v>
      </c>
      <c r="AT260" s="91" t="e">
        <f t="shared" si="343"/>
        <v>#N/A</v>
      </c>
      <c r="AU260" s="30" t="e">
        <f t="shared" si="402"/>
        <v>#N/A</v>
      </c>
      <c r="AV260" s="30" t="e">
        <f t="shared" si="403"/>
        <v>#N/A</v>
      </c>
      <c r="AW260" s="31" t="e">
        <f>IF(OR(Hypothèses!$B$4=17,Hypothèses!$B$4=18,Hypothèses!$B$4=19,Hypothèses!$B$4=20),
IF($D260="Pressio.",
IF(OR($E260=3,$E260=1,$E260=4),AV260,AU260),
IF($D260="Pénétro.",
IF(OR($E260=3,$E260=1,$E260=4),AV260,AU260))),IF($D260="Pressio.",
IF($E260=3,AV260,AU260),
IF($D260="Pénétro.",
IF($E260=4,AV260,AU260))))</f>
        <v>#N/A</v>
      </c>
      <c r="AX260" s="31" t="e">
        <f>(IF(OR(Hypothèses!$B$4=17,Hypothèses!$B$4=18,Hypothèses!$B$4=19,Hypothèses!$B$4=20),
IF($D260="Pressio.",
IF(OR($E260=3,$E260=1,$E260=4),(PI()*AX$12^2)/4*(AT260*$W260*1000)/($H260*$B$5),(PI()*AX$12^2)/4*(AT260*$W260*1000)/($G260*$B$5)),
IF($D260="Pénétro.",
IF(OR($E260=4,$E260=1,$E260=5),(PI()*AX$12^2)/4*(AT260*$W260*1000)/($H260*$B$5),(PI()*AX$12^2)/4*(AT260*$W260*1000)/($G260*$B$5)))),
IF($D260="Pressio.",
IF($E260=3,(PI()*AX$12^2)/4*(AT260*$W260*1000)/($H260*$B$5),(PI()*AX$12^2)/4*(AT260*$W260*1000)/($G260*$B$5)),
IF($D260="Pénétro.",
IF($E260=4,(PI()*AX$12^2)/4*(AT260*$W260*1000)/($H260*$B$5),(PI()*AX$12^2)/4*(AT260*$W260*1000)/($G260*$B$5))))))/10</f>
        <v>#N/A</v>
      </c>
      <c r="AY260" s="102" t="e">
        <f>(VLOOKUP($B$3,'Coeff EC7'!$T$39:$X$59,2,0)*AW260+VLOOKUP($B$3,'Coeff EC7'!$T$65:$X$85,2,0)*Model0.1C!AX260)/1.1</f>
        <v>#N/A</v>
      </c>
      <c r="AZ260" s="102" t="e">
        <f>(VLOOKUP($B$3,'Coeff EC7'!$T$39:$X$59,3,0)*AW260+VLOOKUP($B$3,'Coeff EC7'!$T$65:$X$85,3,0)*Model0.1C!AX260)/0.9</f>
        <v>#N/A</v>
      </c>
      <c r="BA260" s="102" t="e">
        <f t="shared" si="373"/>
        <v>#N/A</v>
      </c>
      <c r="BB260" s="102" t="e">
        <f t="shared" si="374"/>
        <v>#N/A</v>
      </c>
      <c r="BC260" s="414" t="e">
        <f>IF(BC259=0,0,IF(AND(AY260&gt;charge_ELS_quasi,AZ260&gt;Charge_ELS_freq,BA260&gt;charge_ELU,BB260&gt;charge_ELA,$B260&gt;NDC!$H$22-0.1+MIN(3*$BC$12,1.5)),0,1))</f>
        <v>#N/A</v>
      </c>
      <c r="BD260" s="86" t="b">
        <f t="shared" si="344"/>
        <v>0</v>
      </c>
      <c r="BE260" s="86">
        <f t="shared" si="375"/>
        <v>0.5</v>
      </c>
      <c r="BF260" s="86">
        <f t="shared" si="345"/>
        <v>0.5</v>
      </c>
      <c r="BG260" s="30" t="e">
        <f t="shared" ca="1" si="376"/>
        <v>#DIV/0!</v>
      </c>
      <c r="BH260" s="85" t="e">
        <f ca="1">IF(AN260&lt;=Hypothèses!$V$7,Hypothèses!$W$7,IF(AN260&lt;=Hypothèses!$V$8,Hypothèses!$W$8,IF(AN260&lt;=Hypothèses!$V$9,Hypothèses!$W$9,IF(AN260&lt;=Hypothèses!$V$10,Hypothèses!$W$10,IF(AN260&lt;=Hypothèses!$V$11,Hypothèses!$W$11,IF(AN260&lt;=Hypothèses!$V$12,Hypothèses!$W$12,IF(AN260&lt;=Hypothèses!$V$13,Hypothèses!$W$13,IF(AN260&lt;=Hypothèses!$V$14,Hypothèses!$W$14,IF(AN260&lt;=Hypothèses!$V$15,Hypothèses!$W$15,IF(AN260&lt;=Hypothèses!$V$16,Hypothèses!$W$16,IF(AN260&lt;=Hypothèses!$V$17,Hypothèses!$W$17,IF(AN260&lt;=Hypothèses!$V$18,Hypothèses!$W$18,""))))))))))))</f>
        <v>#DIV/0!</v>
      </c>
      <c r="BI260" s="87" t="e">
        <f t="shared" ca="1" si="418"/>
        <v>#DIV/0!</v>
      </c>
      <c r="BJ260" s="88" t="e">
        <f ca="1">IF(AN260&lt;=Hypothèses!$V$7,Hypothèses!$X$7,IF(AN260&lt;=Hypothèses!$V$8,Hypothèses!$X$8,IF(AN260&lt;=Hypothèses!$V$9,Hypothèses!$X$9,IF(AN260&lt;=Hypothèses!$V$10,Hypothèses!$X$10,IF(AN260&lt;=Hypothèses!$V$11,Hypothèses!$X$11,IF(AN260&lt;=Hypothèses!$V$12,Hypothèses!$X$12,IF(AN260&lt;=Hypothèses!$V$13,Hypothèses!$X$13,IF(AN260&lt;=Hypothèses!$V$14,Hypothèses!$X$14,IF(AN260&lt;=Hypothèses!$V$15,Hypothèses!$X$15,IF(AN260&lt;=Hypothèses!$V$16,Hypothèses!$X$16,IF(AN260&lt;=Hypothèses!$U$17,Hypothèses!$W$17,IF(AN260&lt;=Hypothèses!$U$18,Hypothèses!$W$18,""))))))))))))</f>
        <v>#DIV/0!</v>
      </c>
      <c r="BK260" s="95" t="e">
        <f t="shared" ca="1" si="377"/>
        <v>#DIV/0!</v>
      </c>
      <c r="BL260" s="101" t="e">
        <f t="shared" si="425"/>
        <v>#N/A</v>
      </c>
      <c r="BM260" s="91" t="e">
        <f t="shared" si="346"/>
        <v>#N/A</v>
      </c>
      <c r="BN260" s="30" t="e">
        <f t="shared" si="404"/>
        <v>#N/A</v>
      </c>
      <c r="BO260" s="30" t="e">
        <f t="shared" si="405"/>
        <v>#N/A</v>
      </c>
      <c r="BP260" s="31" t="e">
        <f>IF(OR(Hypothèses!$B$4=17,Hypothèses!$B$4=18,Hypothèses!$B$4=19,Hypothèses!$B$4=20),
IF($D260="Pressio.",
IF(OR($E260=3,$E260=1,$E260=4),BO260,BN260),
IF($D260="Pénétro.",
IF(OR($E260=3,$E260=1,$E260=4),BO260,BN260))),IF($D260="Pressio.",
IF($E260=3,BO260,BN260),
IF($D260="Pénétro.",
IF($E260=4,BO260,BN260))))</f>
        <v>#N/A</v>
      </c>
      <c r="BQ260" s="31" t="e">
        <f>(IF(OR(Hypothèses!$B$4=17,Hypothèses!$B$4=18,Hypothèses!$B$4=19,Hypothèses!$B$4=20),
IF($D260="Pressio.",
IF(OR($E260=3,$E260=1,$E260=4),(PI()*BQ$12^2)/4*(BM260*$W260*1000)/($H260*$B$5),(PI()*BQ$12^2)/4*(BM260*$W260*1000)/($G260*$B$5)),
IF($D260="Pénétro.",
IF(OR($E260=4,$E260=1,$E260=5),(PI()*BQ$12^2)/4*(BM260*$W260*1000)/($H260*$B$5),(PI()*BQ$12^2)/4*(BM260*$W260*1000)/($G260*$B$5)))),
IF($D260="Pressio.",
IF($E260=3,(PI()*BQ$12^2)/4*(BM260*$W260*1000)/($H260*$B$5),(PI()*BQ$12^2)/4*(BM260*$W260*1000)/($G260*$B$5)),
IF($D260="Pénétro.",
IF($E260=4,(PI()*BQ$12^2)/4*(BM260*$W260*1000)/($H260*$B$5),(PI()*BQ$12^2)/4*(BM260*$W260*1000)/($G260*$B$5))))))/10</f>
        <v>#N/A</v>
      </c>
      <c r="BR260" s="102" t="e">
        <f>(VLOOKUP($B$3,'Coeff EC7'!$T$39:$X$59,2,0)*BP260+VLOOKUP($B$3,'Coeff EC7'!$T$65:$X$85,2,0)*Model0.1C!BQ260)/1.1</f>
        <v>#N/A</v>
      </c>
      <c r="BS260" s="102" t="e">
        <f>(VLOOKUP($B$3,'Coeff EC7'!$T$39:$X$59,3,0)*BP260+VLOOKUP($B$3,'Coeff EC7'!$T$65:$X$85,3,0)*Model0.1C!BQ260)/0.9</f>
        <v>#N/A</v>
      </c>
      <c r="BT260" s="102" t="e">
        <f t="shared" si="378"/>
        <v>#N/A</v>
      </c>
      <c r="BU260" s="102" t="e">
        <f t="shared" si="379"/>
        <v>#N/A</v>
      </c>
      <c r="BV260" s="414" t="e">
        <f>IF(BV259=0,0,IF(AND(BR260&gt;charge_ELS_quasi,BS260&gt;Charge_ELS_freq,BT260&gt;charge_ELU,BU260&gt;charge_ELA,$B260&gt;NDC!$H$22-0.1+MIN(3*$BV$12,1.5)),0,1))</f>
        <v>#N/A</v>
      </c>
      <c r="BW260" s="86" t="b">
        <f t="shared" si="347"/>
        <v>0</v>
      </c>
      <c r="BX260" s="86">
        <f t="shared" si="348"/>
        <v>0.5</v>
      </c>
      <c r="BY260" s="86">
        <f t="shared" si="349"/>
        <v>0.5</v>
      </c>
      <c r="BZ260" s="30" t="e">
        <f t="shared" ca="1" si="380"/>
        <v>#DIV/0!</v>
      </c>
      <c r="CA260" s="85" t="e">
        <f ca="1">IF(BG260&lt;=Hypothèses!$V$7,Hypothèses!$W$7,IF(BG260&lt;=Hypothèses!$V$8,Hypothèses!$W$8,IF(BG260&lt;=Hypothèses!$V$9,Hypothèses!$W$9,IF(BG260&lt;=Hypothèses!$V$10,Hypothèses!$W$10,IF(BG260&lt;=Hypothèses!$V$11,Hypothèses!$W$11,IF(BG260&lt;=Hypothèses!$V$12,Hypothèses!$W$12,IF(BG260&lt;=Hypothèses!$V$13,Hypothèses!$W$13,IF(BG260&lt;=Hypothèses!$V$14,Hypothèses!$W$14,IF(BG260&lt;=Hypothèses!$V$15,Hypothèses!$W$15,IF(BG260&lt;=Hypothèses!$V$16,Hypothèses!$W$16,IF(BG260&lt;=Hypothèses!$V$17,Hypothèses!$W$17,IF(BG260&lt;=Hypothèses!$V$18,Hypothèses!$W$18,""))))))))))))</f>
        <v>#DIV/0!</v>
      </c>
      <c r="CB260" s="87" t="e">
        <f t="shared" ca="1" si="419"/>
        <v>#DIV/0!</v>
      </c>
      <c r="CC260" s="88" t="e">
        <f ca="1">IF(BG260&lt;=Hypothèses!$V$7,Hypothèses!$X$7,IF(BG260&lt;=Hypothèses!$V$8,Hypothèses!$X$8,IF(BG260&lt;=Hypothèses!$V$9,Hypothèses!$X$9,IF(BG260&lt;=Hypothèses!$V$10,Hypothèses!$X$10,IF(BG260&lt;=Hypothèses!$V$11,Hypothèses!$X$11,IF(BG260&lt;=Hypothèses!$V$12,Hypothèses!$X$12,IF(BG260&lt;=Hypothèses!$V$13,Hypothèses!$X$13,IF(BG260&lt;=Hypothèses!$V$14,Hypothèses!$X$14,IF(BG260&lt;=Hypothèses!$V$15,Hypothèses!$X$15,IF(BG260&lt;=Hypothèses!$V$16,Hypothèses!$X$16,IF(BG260&lt;=Hypothèses!$U$17,Hypothèses!$W$17,IF(BG260&lt;=Hypothèses!$U$18,Hypothèses!$W$18,""))))))))))))</f>
        <v>#DIV/0!</v>
      </c>
      <c r="CD260" s="95" t="e">
        <f t="shared" ca="1" si="381"/>
        <v>#DIV/0!</v>
      </c>
      <c r="CE260" s="101" t="e">
        <f t="shared" si="426"/>
        <v>#N/A</v>
      </c>
      <c r="CF260" s="91" t="e">
        <f t="shared" si="350"/>
        <v>#N/A</v>
      </c>
      <c r="CG260" s="30" t="e">
        <f t="shared" si="406"/>
        <v>#N/A</v>
      </c>
      <c r="CH260" s="30" t="e">
        <f t="shared" si="407"/>
        <v>#N/A</v>
      </c>
      <c r="CI260" s="31" t="e">
        <f>IF(OR(Hypothèses!$B$4=17,Hypothèses!$B$4=18,Hypothèses!$B$4=19,Hypothèses!$B$4=20),
IF($D260="Pressio.",
IF(OR($E260=3,$E260=1,$E260=4),CH260,CG260),
IF($D260="Pénétro.",
IF(OR($E260=3,$E260=1,$E260=4),CH260,CG260))),IF($D260="Pressio.",
IF($E260=3,CH260,CG260),
IF($D260="Pénétro.",
IF($E260=4,CH260,CG260))))</f>
        <v>#N/A</v>
      </c>
      <c r="CJ260" s="31" t="e">
        <f>(IF(OR(Hypothèses!$B$4=17,Hypothèses!$B$4=18,Hypothèses!$B$4=19,Hypothèses!$B$4=20),
IF($D260="Pressio.",
IF(OR($E260=3,$E260=1,$E260=4),(PI()*CJ$12^2)/4*(CF260*$W260*1000)/($H260*$B$5),(PI()*CJ$12^2)/4*(CF260*$W260*1000)/($G260*$B$5)),
IF($D260="Pénétro.",
IF(OR($E260=4,$E260=1,$E260=5),(PI()*CJ$12^2)/4*(CF260*$W260*1000)/($H260*$B$5),(PI()*CJ$12^2)/4*(CF260*$W260*1000)/($G260*$B$5)))),
IF($D260="Pressio.",
IF($E260=3,(PI()*CJ$12^2)/4*(CF260*$W260*1000)/($H260*$B$5),(PI()*CJ$12^2)/4*(CF260*$W260*1000)/($G260*$B$5)),
IF($D260="Pénétro.",
IF($E260=4,(PI()*CJ$12^2)/4*(CF260*$W260*1000)/($H260*$B$5),(PI()*CJ$12^2)/4*(CF260*$W260*1000)/($G260*$B$5))))))/10</f>
        <v>#N/A</v>
      </c>
      <c r="CK260" s="102" t="e">
        <f>(VLOOKUP($B$3,'Coeff EC7'!$T$39:$X$59,2,0)*CI260+VLOOKUP($B$3,'Coeff EC7'!$T$65:$X$85,2,0)*Model0.1C!CJ260)/1.1</f>
        <v>#N/A</v>
      </c>
      <c r="CL260" s="102" t="e">
        <f>(VLOOKUP($B$3,'Coeff EC7'!$T$39:$X$59,3,0)*CI260+VLOOKUP($B$3,'Coeff EC7'!$T$65:$X$85,3,0)*Model0.1C!CJ260)/0.9</f>
        <v>#N/A</v>
      </c>
      <c r="CM260" s="102" t="e">
        <f t="shared" si="382"/>
        <v>#N/A</v>
      </c>
      <c r="CN260" s="102" t="e">
        <f t="shared" si="383"/>
        <v>#N/A</v>
      </c>
      <c r="CO260" s="414" t="e">
        <f>IF(CO259=0,0,IF(AND(CK260&gt;charge_ELS_quasi,CL260&gt;Charge_ELS_freq,CM260&gt;charge_ELU,CN260&gt;charge_ELA,$B260&gt;NDC!$H$22-0.1+MIN(3*$CO$12,1.5)),0,1))</f>
        <v>#N/A</v>
      </c>
      <c r="CP260" s="86" t="b">
        <f t="shared" si="351"/>
        <v>0</v>
      </c>
      <c r="CQ260" s="86">
        <f t="shared" si="352"/>
        <v>0.5</v>
      </c>
      <c r="CR260" s="86">
        <f t="shared" si="353"/>
        <v>0.5</v>
      </c>
      <c r="CS260" s="30" t="e">
        <f t="shared" ca="1" si="384"/>
        <v>#DIV/0!</v>
      </c>
      <c r="CT260" s="85" t="e">
        <f ca="1">IF(BZ260&lt;=Hypothèses!$V$7,Hypothèses!$W$7,IF(BZ260&lt;=Hypothèses!$V$8,Hypothèses!$W$8,IF(BZ260&lt;=Hypothèses!$V$9,Hypothèses!$W$9,IF(BZ260&lt;=Hypothèses!$V$10,Hypothèses!$W$10,IF(BZ260&lt;=Hypothèses!$V$11,Hypothèses!$W$11,IF(BZ260&lt;=Hypothèses!$V$12,Hypothèses!$W$12,IF(BZ260&lt;=Hypothèses!$V$13,Hypothèses!$W$13,IF(BZ260&lt;=Hypothèses!$V$14,Hypothèses!$W$14,IF(BZ260&lt;=Hypothèses!$V$15,Hypothèses!$W$15,IF(BZ260&lt;=Hypothèses!$V$16,Hypothèses!$W$16,IF(BZ260&lt;=Hypothèses!$V$17,Hypothèses!$W$17,IF(BZ260&lt;=Hypothèses!$V$18,Hypothèses!$W$18,""))))))))))))</f>
        <v>#DIV/0!</v>
      </c>
      <c r="CU260" s="87" t="e">
        <f t="shared" ca="1" si="420"/>
        <v>#DIV/0!</v>
      </c>
      <c r="CV260" s="88" t="e">
        <f ca="1">IF(BZ260&lt;=Hypothèses!$V$7,Hypothèses!$X$7,IF(BZ260&lt;=Hypothèses!$V$8,Hypothèses!$X$8,IF(BZ260&lt;=Hypothèses!$V$9,Hypothèses!$X$9,IF(BZ260&lt;=Hypothèses!$V$10,Hypothèses!$X$10,IF(BZ260&lt;=Hypothèses!$V$11,Hypothèses!$X$11,IF(BZ260&lt;=Hypothèses!$V$12,Hypothèses!$X$12,IF(BZ260&lt;=Hypothèses!$V$13,Hypothèses!$X$13,IF(BZ260&lt;=Hypothèses!$V$14,Hypothèses!$X$14,IF(BZ260&lt;=Hypothèses!$V$15,Hypothèses!$X$15,IF(BZ260&lt;=Hypothèses!$V$16,Hypothèses!$X$16,IF(BZ260&lt;=Hypothèses!$U$17,Hypothèses!$W$17,IF(BZ260&lt;=Hypothèses!$U$18,Hypothèses!$W$18,""))))))))))))</f>
        <v>#DIV/0!</v>
      </c>
      <c r="CW260" s="95" t="e">
        <f t="shared" ca="1" si="385"/>
        <v>#DIV/0!</v>
      </c>
      <c r="CX260" s="101" t="e">
        <f t="shared" si="427"/>
        <v>#N/A</v>
      </c>
      <c r="CY260" s="91" t="e">
        <f t="shared" si="354"/>
        <v>#N/A</v>
      </c>
      <c r="CZ260" s="30" t="e">
        <f t="shared" si="408"/>
        <v>#N/A</v>
      </c>
      <c r="DA260" s="30" t="e">
        <f t="shared" si="409"/>
        <v>#N/A</v>
      </c>
      <c r="DB260" s="31" t="e">
        <f>IF(OR(Hypothèses!$B$4=17,Hypothèses!$B$4=18,Hypothèses!$B$4=19,Hypothèses!$B$4=20),
IF($D260="Pressio.",
IF(OR($E260=3,$E260=1,$E260=4),DA260,CZ260),
IF($D260="Pénétro.",
IF(OR($E260=3,$E260=1,$E260=4),DA260,CZ260))),IF($D260="Pressio.",
IF($E260=3,DA260,CZ260),
IF($D260="Pénétro.",
IF($E260=4,DA260,CZ260))))</f>
        <v>#N/A</v>
      </c>
      <c r="DC260" s="31" t="e">
        <f>(IF(OR(Hypothèses!$B$4=17,Hypothèses!$B$4=18,Hypothèses!$B$4=19,Hypothèses!$B$4=20),
IF($D260="Pressio.",
IF(OR($E260=3,$E260=1,$E260=4),(PI()*DC$12^2)/4*(CY260*$W260*1000)/($H260*$B$5),(PI()*DC$12^2)/4*(CY260*$W260*1000)/($G260*$B$5)),
IF($D260="Pénétro.",
IF(OR($E260=4,$E260=1,$E260=5),(PI()*DC$12^2)/4*(CY260*$W260*1000)/($H260*$B$5),(PI()*DC$12^2)/4*(CY260*$W260*1000)/($G260*$B$5)))),
IF($D260="Pressio.",
IF($E260=3,(PI()*DC$12^2)/4*(CY260*$W260*1000)/($H260*$B$5),(PI()*DC$12^2)/4*(CY260*$W260*1000)/($G260*$B$5)),
IF($D260="Pénétro.",
IF($E260=4,(PI()*DC$12^2)/4*(CY260*$W260*1000)/($H260*$B$5),(PI()*DC$12^2)/4*(CY260*$W260*1000)/($G260*$B$5))))))/10</f>
        <v>#N/A</v>
      </c>
      <c r="DD260" s="102" t="e">
        <f>(VLOOKUP($B$3,'Coeff EC7'!$T$39:$X$59,2,0)*DB260+VLOOKUP($B$3,'Coeff EC7'!$T$65:$X$85,2,0)*Model0.1C!DC260)/1.1</f>
        <v>#N/A</v>
      </c>
      <c r="DE260" s="102" t="e">
        <f>(VLOOKUP($B$3,'Coeff EC7'!$T$39:$X$59,3,0)*DB260+VLOOKUP($B$3,'Coeff EC7'!$T$65:$X$85,3,0)*Model0.1C!DC260)/0.9</f>
        <v>#N/A</v>
      </c>
      <c r="DF260" s="102" t="e">
        <f t="shared" si="386"/>
        <v>#N/A</v>
      </c>
      <c r="DG260" s="102" t="e">
        <f t="shared" si="387"/>
        <v>#N/A</v>
      </c>
      <c r="DH260" s="414" t="e">
        <f>IF(DH259=0,0,IF(AND(DD260&gt;charge_ELS_quasi,DE260&gt;Charge_ELS_freq,DF260&gt;charge_ELU,DG260&gt;charge_ELA,$B260&gt;NDC!$H$22-0.1+MIN(3*$DH$12,1.5)),0,1))</f>
        <v>#N/A</v>
      </c>
      <c r="DI260" s="86" t="b">
        <f t="shared" si="355"/>
        <v>0</v>
      </c>
      <c r="DJ260" s="86">
        <f t="shared" si="356"/>
        <v>0.5</v>
      </c>
      <c r="DK260" s="86">
        <f t="shared" si="357"/>
        <v>0.5</v>
      </c>
      <c r="DL260" s="30" t="e">
        <f t="shared" ca="1" si="388"/>
        <v>#DIV/0!</v>
      </c>
      <c r="DM260" s="85" t="e">
        <f ca="1">IF(CS260&lt;=Hypothèses!$V$7,Hypothèses!$W$7,IF(CS260&lt;=Hypothèses!$V$8,Hypothèses!$W$8,IF(CS260&lt;=Hypothèses!$V$9,Hypothèses!$W$9,IF(CS260&lt;=Hypothèses!$V$10,Hypothèses!$W$10,IF(CS260&lt;=Hypothèses!$V$11,Hypothèses!$W$11,IF(CS260&lt;=Hypothèses!$V$12,Hypothèses!$W$12,IF(CS260&lt;=Hypothèses!$V$13,Hypothèses!$W$13,IF(CS260&lt;=Hypothèses!$V$14,Hypothèses!$W$14,IF(CS260&lt;=Hypothèses!$V$15,Hypothèses!$W$15,IF(CS260&lt;=Hypothèses!$V$16,Hypothèses!$W$16,IF(CS260&lt;=Hypothèses!$V$17,Hypothèses!$W$17,IF(CS260&lt;=Hypothèses!$V$18,Hypothèses!$W$18,""))))))))))))</f>
        <v>#DIV/0!</v>
      </c>
      <c r="DN260" s="87" t="e">
        <f t="shared" ca="1" si="421"/>
        <v>#DIV/0!</v>
      </c>
      <c r="DO260" s="88" t="e">
        <f ca="1">IF(CS260&lt;=Hypothèses!$V$7,Hypothèses!$X$7,IF(CS260&lt;=Hypothèses!$V$8,Hypothèses!$X$8,IF(CS260&lt;=Hypothèses!$V$9,Hypothèses!$X$9,IF(CS260&lt;=Hypothèses!$V$10,Hypothèses!$X$10,IF(CS260&lt;=Hypothèses!$V$11,Hypothèses!$X$11,IF(CS260&lt;=Hypothèses!$V$12,Hypothèses!$X$12,IF(CS260&lt;=Hypothèses!$V$13,Hypothèses!$X$13,IF(CS260&lt;=Hypothèses!$V$14,Hypothèses!$X$14,IF(CS260&lt;=Hypothèses!$V$15,Hypothèses!$X$15,IF(CS260&lt;=Hypothèses!$V$16,Hypothèses!$X$16,IF(CS260&lt;=Hypothèses!$U$17,Hypothèses!$W$17,IF(CS260&lt;=Hypothèses!$U$18,Hypothèses!$W$18,""))))))))))))</f>
        <v>#DIV/0!</v>
      </c>
      <c r="DP260" s="95" t="e">
        <f t="shared" ca="1" si="389"/>
        <v>#DIV/0!</v>
      </c>
      <c r="DQ260" s="101" t="e">
        <f t="shared" si="428"/>
        <v>#N/A</v>
      </c>
      <c r="DR260" s="91" t="e">
        <f t="shared" si="358"/>
        <v>#N/A</v>
      </c>
      <c r="DS260" s="30" t="e">
        <f t="shared" si="410"/>
        <v>#N/A</v>
      </c>
      <c r="DT260" s="30" t="e">
        <f t="shared" si="411"/>
        <v>#N/A</v>
      </c>
      <c r="DU260" s="31" t="e">
        <f>IF(OR(Hypothèses!$B$4=17,Hypothèses!$B$4=18,Hypothèses!$B$4=19,Hypothèses!$B$4=20),
IF($D260="Pressio.",
IF(OR($E260=3,$E260=1,$E260=4),DT260,DS260),
IF($D260="Pénétro.",
IF(OR($E260=3,$E260=1,$E260=4),DT260,DS260))),IF($D260="Pressio.",
IF($E260=3,DT260,DS260),
IF($D260="Pénétro.",
IF($E260=4,DT260,DS260))))</f>
        <v>#N/A</v>
      </c>
      <c r="DV260" s="31" t="e">
        <f>(IF(OR(Hypothèses!$B$4=17,Hypothèses!$B$4=18,Hypothèses!$B$4=19,Hypothèses!$B$4=20),
IF($D260="Pressio.",
IF(OR($E260=3,$E260=1,$E260=4),(PI()*DV$12^2)/4*(DR260*$W260*1000)/($H260*$B$5),(PI()*DV$12^2)/4*(DR260*$W260*1000)/($G260*$B$5)),
IF($D260="Pénétro.",
IF(OR($E260=4,$E260=1,$E260=5),(PI()*DV$12^2)/4*(DR260*$W260*1000)/($H260*$B$5),(PI()*DV$12^2)/4*(DR260*$W260*1000)/($G260*$B$5)))),
IF($D260="Pressio.",
IF($E260=3,(PI()*DV$12^2)/4*(DR260*$W260*1000)/($H260*$B$5),(PI()*DV$12^2)/4*(DR260*$W260*1000)/($G260*$B$5)),
IF($D260="Pénétro.",
IF($E260=4,(PI()*DV$12^2)/4*(DR260*$W260*1000)/($H260*$B$5),(PI()*DV$12^2)/4*(DR260*$W260*1000)/($G260*$B$5))))))/10</f>
        <v>#N/A</v>
      </c>
      <c r="DW260" s="102" t="e">
        <f>(VLOOKUP($B$3,'Coeff EC7'!$T$39:$X$59,2,0)*DU260+VLOOKUP($B$3,'Coeff EC7'!$T$65:$X$85,2,0)*Model0.1C!DV260)/1.1</f>
        <v>#N/A</v>
      </c>
      <c r="DX260" s="102" t="e">
        <f>(VLOOKUP($B$3,'Coeff EC7'!$T$39:$X$59,3,0)*DU260+VLOOKUP($B$3,'Coeff EC7'!$T$65:$X$85,3,0)*Model0.1C!DV260)/0.9</f>
        <v>#N/A</v>
      </c>
      <c r="DY260" s="102" t="e">
        <f t="shared" si="390"/>
        <v>#N/A</v>
      </c>
      <c r="DZ260" s="102" t="e">
        <f t="shared" si="391"/>
        <v>#N/A</v>
      </c>
      <c r="EA260" s="414" t="e">
        <f>IF(EA259=0,0,IF(AND(DW260&gt;charge_ELS_quasi,DX260&gt;Charge_ELS_freq,DY260&gt;charge_ELU,DZ260&gt;charge_ELA,$B260&gt;NDC!$H$22-0.1+MIN(3*$EA$12,1.5)),0,1))</f>
        <v>#N/A</v>
      </c>
      <c r="EB260" s="86" t="b">
        <f t="shared" si="359"/>
        <v>0</v>
      </c>
      <c r="EC260" s="418">
        <f t="shared" si="360"/>
        <v>0.51</v>
      </c>
      <c r="ED260" s="86">
        <f t="shared" si="361"/>
        <v>0.51</v>
      </c>
      <c r="EE260" s="30" t="e">
        <f t="shared" ca="1" si="392"/>
        <v>#DIV/0!</v>
      </c>
      <c r="EF260" s="85" t="e">
        <f ca="1">IF(DL260&lt;=Hypothèses!$V$7,Hypothèses!$W$7,IF(DL260&lt;=Hypothèses!$V$8,Hypothèses!$W$8,IF(DL260&lt;=Hypothèses!$V$9,Hypothèses!$W$9,IF(DL260&lt;=Hypothèses!$V$10,Hypothèses!$W$10,IF(DL260&lt;=Hypothèses!$V$11,Hypothèses!$W$11,IF(DL260&lt;=Hypothèses!$V$12,Hypothèses!$W$12,IF(DL260&lt;=Hypothèses!$V$13,Hypothèses!$W$13,IF(DL260&lt;=Hypothèses!$V$14,Hypothèses!$W$14,IF(DL260&lt;=Hypothèses!$V$15,Hypothèses!$W$15,IF(DL260&lt;=Hypothèses!$V$16,Hypothèses!$W$16,IF(DL260&lt;=Hypothèses!$V$17,Hypothèses!$W$17,IF(DL260&lt;=Hypothèses!$V$18,Hypothèses!$W$18,""))))))))))))</f>
        <v>#DIV/0!</v>
      </c>
      <c r="EG260" s="87" t="e">
        <f t="shared" ca="1" si="422"/>
        <v>#DIV/0!</v>
      </c>
      <c r="EH260" s="88" t="e">
        <f ca="1">IF(DL260&lt;=Hypothèses!$V$7,Hypothèses!$X$7,IF(DL260&lt;=Hypothèses!$V$8,Hypothèses!$X$8,IF(DL260&lt;=Hypothèses!$V$9,Hypothèses!$X$9,IF(DL260&lt;=Hypothèses!$V$10,Hypothèses!$X$10,IF(DL260&lt;=Hypothèses!$V$11,Hypothèses!$X$11,IF(DL260&lt;=Hypothèses!$V$12,Hypothèses!$X$12,IF(DL260&lt;=Hypothèses!$V$13,Hypothèses!$X$13,IF(DL260&lt;=Hypothèses!$V$14,Hypothèses!$X$14,IF(DL260&lt;=Hypothèses!$V$15,Hypothèses!$X$15,IF(DL260&lt;=Hypothèses!$V$16,Hypothèses!$X$16,IF(DL260&lt;=Hypothèses!$U$17,Hypothèses!$W$17,IF(DL260&lt;=Hypothèses!$U$18,Hypothèses!$W$18,""))))))))))))</f>
        <v>#DIV/0!</v>
      </c>
      <c r="EI260" s="95" t="e">
        <f t="shared" ca="1" si="393"/>
        <v>#DIV/0!</v>
      </c>
      <c r="EJ260" s="101" t="e">
        <f t="shared" si="429"/>
        <v>#N/A</v>
      </c>
      <c r="EK260" s="91" t="e">
        <f t="shared" si="362"/>
        <v>#N/A</v>
      </c>
      <c r="EL260" s="30" t="e">
        <f t="shared" si="412"/>
        <v>#N/A</v>
      </c>
      <c r="EM260" s="30" t="e">
        <f t="shared" si="413"/>
        <v>#N/A</v>
      </c>
      <c r="EN260" s="31" t="e">
        <f>IF(OR(Hypothèses!$B$4=17,Hypothèses!$B$4=18,Hypothèses!$B$4=19,Hypothèses!$B$4=20),
IF($D260="Pressio.",
IF(OR($E260=3,$E260=1,$E260=4),EM260,EL260),
IF($D260="Pénétro.",
IF(OR($E260=3,$E260=1,$E260=4),EM260,EL260))),IF($D260="Pressio.",
IF($E260=3,EM260,EL260),
IF($D260="Pénétro.",
IF($E260=4,EM260,EL260))))</f>
        <v>#N/A</v>
      </c>
      <c r="EO260" s="31" t="e">
        <f>(IF(OR(Hypothèses!$B$4=17,Hypothèses!$B$4=18,Hypothèses!$B$4=19,Hypothèses!$B$4=20),
IF($D260="Pressio.",
IF(OR($E260=3,$E260=1,$E260=4),(PI()*EO$12^2)/4*(EK260*$W260*1000)/($H260*$B$5),(PI()*EO$12^2)/4*(EK260*$W260*1000)/($G260*$B$5)),
IF($D260="Pénétro.",
IF(OR($E260=4,$E260=1,$E260=5),(PI()*EO$12^2)/4*(EK260*$W260*1000)/($H260*$B$5),(PI()*EO$12^2)/4*(EK260*$W260*1000)/($G260*$B$5)))),
IF($D260="Pressio.",
IF($E260=3,(PI()*EO$12^2)/4*(EK260*$W260*1000)/($H260*$B$5),(PI()*EO$12^2)/4*(EK260*$W260*1000)/($G260*$B$5)),
IF($D260="Pénétro.",
IF($E260=4,(PI()*EO$12^2)/4*(EK260*$W260*1000)/($H260*$B$5),(PI()*EO$12^2)/4*(EK260*$W260*1000)/($G260*$B$5))))))/10</f>
        <v>#N/A</v>
      </c>
      <c r="EP260" s="102" t="e">
        <f>(VLOOKUP($B$3,'Coeff EC7'!$T$39:$X$59,2,0)*EN260+VLOOKUP($B$3,'Coeff EC7'!$T$65:$X$85,2,0)*Model0.1C!EO260)/1.1</f>
        <v>#N/A</v>
      </c>
      <c r="EQ260" s="102" t="e">
        <f>(VLOOKUP($B$3,'Coeff EC7'!$T$39:$X$59,3,0)*EN260+VLOOKUP($B$3,'Coeff EC7'!$T$65:$X$85,3,0)*Model0.1C!EO260)/0.9</f>
        <v>#N/A</v>
      </c>
      <c r="ER260" s="102" t="e">
        <f t="shared" si="394"/>
        <v>#N/A</v>
      </c>
      <c r="ES260" s="102" t="e">
        <f t="shared" si="395"/>
        <v>#N/A</v>
      </c>
      <c r="ET260" s="414" t="e">
        <f>IF(ET259=0,0,IF(AND(EP260&gt;charge_ELS_quasi,EQ260&gt;Charge_ELS_freq,ER260&gt;charge_ELU,ES260&gt;charge_ELA,$B260&gt;NDC!$H$22-0.1+MIN(3*$ET$12,1.5)),0,1))</f>
        <v>#N/A</v>
      </c>
      <c r="EU260" s="86" t="b">
        <f t="shared" si="363"/>
        <v>0</v>
      </c>
      <c r="EV260" s="86">
        <f t="shared" si="364"/>
        <v>0.61</v>
      </c>
      <c r="EW260" s="86">
        <f t="shared" si="365"/>
        <v>0.61</v>
      </c>
      <c r="EX260" s="30" t="e">
        <f t="shared" ca="1" si="396"/>
        <v>#DIV/0!</v>
      </c>
      <c r="EY260" s="85" t="e">
        <f ca="1">IF(EE260&lt;=Hypothèses!$V$7,Hypothèses!$W$7,IF(EE260&lt;=Hypothèses!$V$8,Hypothèses!$W$8,IF(EE260&lt;=Hypothèses!$V$9,Hypothèses!$W$9,IF(EE260&lt;=Hypothèses!$V$10,Hypothèses!$W$10,IF(EE260&lt;=Hypothèses!$V$11,Hypothèses!$W$11,IF(EE260&lt;=Hypothèses!$V$12,Hypothèses!$W$12,IF(EE260&lt;=Hypothèses!$V$13,Hypothèses!$W$13,IF(EE260&lt;=Hypothèses!$V$14,Hypothèses!$W$14,IF(EE260&lt;=Hypothèses!$V$15,Hypothèses!$W$15,IF(EE260&lt;=Hypothèses!$V$16,Hypothèses!$W$16,IF(EE260&lt;=Hypothèses!$V$17,Hypothèses!$W$17,IF(EE260&lt;=Hypothèses!$V$18,Hypothèses!$W$18,""))))))))))))</f>
        <v>#DIV/0!</v>
      </c>
      <c r="EZ260" s="87" t="e">
        <f t="shared" ca="1" si="423"/>
        <v>#DIV/0!</v>
      </c>
      <c r="FA260" s="88" t="e">
        <f ca="1">IF(EE260&lt;=Hypothèses!$V$7,Hypothèses!$X$7,IF(EE260&lt;=Hypothèses!$V$8,Hypothèses!$X$8,IF(EE260&lt;=Hypothèses!$V$9,Hypothèses!$X$9,IF(EE260&lt;=Hypothèses!$V$10,Hypothèses!$X$10,IF(EE260&lt;=Hypothèses!$V$11,Hypothèses!$X$11,IF(EE260&lt;=Hypothèses!$V$12,Hypothèses!$X$12,IF(EE260&lt;=Hypothèses!$V$13,Hypothèses!$X$13,IF(EE260&lt;=Hypothèses!$V$14,Hypothèses!$X$14,IF(EE260&lt;=Hypothèses!$V$15,Hypothèses!$X$15,IF(EE260&lt;=Hypothèses!$V$16,Hypothèses!$X$16,IF(EE260&lt;=Hypothèses!$U$17,Hypothèses!$W$17,IF(EE260&lt;=Hypothèses!$U$18,Hypothèses!$W$18,""))))))))))))</f>
        <v>#DIV/0!</v>
      </c>
      <c r="FB260" s="95" t="e">
        <f t="shared" ca="1" si="397"/>
        <v>#DIV/0!</v>
      </c>
      <c r="FC260" s="101" t="e">
        <f t="shared" si="430"/>
        <v>#N/A</v>
      </c>
      <c r="FD260" s="91" t="e">
        <f t="shared" si="366"/>
        <v>#N/A</v>
      </c>
      <c r="FE260" s="30" t="e">
        <f t="shared" si="414"/>
        <v>#N/A</v>
      </c>
      <c r="FF260" s="30" t="e">
        <f t="shared" si="415"/>
        <v>#N/A</v>
      </c>
      <c r="FG260" s="31" t="e">
        <f>IF(OR(Hypothèses!$B$4=17,Hypothèses!$B$4=18,Hypothèses!$B$4=19,Hypothèses!$B$4=20),
IF($D260="Pressio.",
IF(OR($E260=3,$E260=1,$E260=4),FF260,FE260),
IF($D260="Pénétro.",
IF(OR($E260=3,$E260=1,$E260=4),FF260,FE260))),IF($D260="Pressio.",
IF($E260=3,FF260,FE260),
IF($D260="Pénétro.",
IF($E260=4,FF260,FE260))))</f>
        <v>#N/A</v>
      </c>
      <c r="FH260" s="31" t="e">
        <f>(IF(OR(Hypothèses!$B$4=17,Hypothèses!$B$4=18,Hypothèses!$B$4=19,Hypothèses!$B$4=20),
IF($D260="Pressio.",
IF(OR($E260=3,$E260=1,$E260=4),(PI()*FH$12^2)/4*(FD260*$W260*1000)/($H260*$B$5),(PI()*FH$12^2)/4*(FD260*$W260*1000)/($G260*$B$5)),
IF($D260="Pénétro.",
IF(OR($E260=4,$E260=1,$E260=5),(PI()*FH$12^2)/4*(FD260*$W260*1000)/($H260*$B$5),(PI()*FH$12^2)/4*(FD260*$W260*1000)/($G260*$B$5)))),
IF($D260="Pressio.",
IF($E260=3,(PI()*FH$12^2)/4*(FD260*$W260*1000)/($H260*$B$5),(PI()*FH$12^2)/4*(FD260*$W260*1000)/($G260*$B$5)),
IF($D260="Pénétro.",
IF($E260=4,(PI()*FH$12^2)/4*(FD260*$W260*1000)/($H260*$B$5),(PI()*FH$12^2)/4*(FD260*$W260*1000)/($G260*$B$5))))))/10</f>
        <v>#N/A</v>
      </c>
      <c r="FI260" s="102" t="e">
        <f>(VLOOKUP($B$3,'Coeff EC7'!$T$39:$X$59,2,0)*FG260+VLOOKUP($B$3,'Coeff EC7'!$T$65:$X$85,2,0)*Model0.1C!FH260)/1.1</f>
        <v>#N/A</v>
      </c>
      <c r="FJ260" s="102" t="e">
        <f>(VLOOKUP($B$3,'Coeff EC7'!$T$39:$X$59,3,0)*FG260+VLOOKUP($B$3,'Coeff EC7'!$T$65:$X$85,3,0)*Model0.1C!FH260)/0.9</f>
        <v>#N/A</v>
      </c>
      <c r="FK260" s="102" t="e">
        <f t="shared" si="398"/>
        <v>#N/A</v>
      </c>
      <c r="FL260" s="102" t="e">
        <f t="shared" si="399"/>
        <v>#N/A</v>
      </c>
      <c r="FM260" s="414" t="e">
        <f>IF(FM259=0,0,IF(AND(FI260&gt;charge_ELS_quasi,FJ260&gt;Charge_ELS_freq,FK260&gt;charge_ELU,FL260&gt;charge_ELA,$B260&gt;NDC!$H$22-0.1+MIN(3*$FM$12,1.5)),0,1))</f>
        <v>#N/A</v>
      </c>
    </row>
    <row r="261" spans="1:169">
      <c r="A261" s="96">
        <f t="shared" si="367"/>
        <v>75.20000000000141</v>
      </c>
      <c r="B261" s="97">
        <v>24.8</v>
      </c>
      <c r="C261" s="81">
        <f>IF(B261&lt;=Hypothèses!$C$7,Hypothèses!$A$7,IF(B261&lt;=Hypothèses!$C$8,Hypothèses!$A$8,IF(B261&lt;=Hypothèses!$C$9,Hypothèses!$A$9,IF(B261&lt;=Hypothèses!$C$10,Hypothèses!$A$10,IF(B261&lt;=Hypothèses!$C$11,Hypothèses!$A$11,IF(B261&lt;=Hypothèses!$C$12,Hypothèses!$A$12,IF(B261&lt;=Hypothèses!$C$13,Hypothèses!$A$13,IF(B261&lt;=Hypothèses!$C$14,Hypothèses!$A$14,IF(B261&lt;=Hypothèses!$C$15,Hypothèses!$A$15,IF(B261&lt;=Hypothèses!$C$16,Hypothèses!$A$16,IF(B261&lt;=Hypothèses!$C$17,Hypothèses!$A$17,IF(B261&lt;=Hypothèses!$C$18,Hypothèses!$A$18,C260))))))))))))</f>
        <v>11</v>
      </c>
      <c r="D261" s="82" t="str">
        <f>IF(B261&lt;=Hypothèses!$C$7,Hypothèses!$R$7,IF(B261&lt;=Hypothèses!$C$8,Hypothèses!$R$8,IF(B261&lt;=Hypothèses!$C$9,Hypothèses!$R$9,IF(B261&lt;=Hypothèses!$C$10,Hypothèses!$R$10,IF(B261&lt;=Hypothèses!$C$11,Hypothèses!$R$11,IF(B261&lt;=Hypothèses!$C$12,Hypothèses!$R$12,IF(B261&lt;=Hypothèses!$C$13,Hypothèses!$R$13,IF(B261&lt;=Hypothèses!$C$14,Hypothèses!$R$14,IF(B261&lt;=Hypothèses!$C$15,Hypothèses!$R$15,IF(B261&lt;=Hypothèses!$C$16,Hypothèses!$R$16,IF(B261&lt;=Hypothèses!$C$17,Hypothèses!$R$17,IF(B261&lt;=Hypothèses!$C$18,Hypothèses!$R$18,D260))))))))))))</f>
        <v>Pressio.</v>
      </c>
      <c r="E261" s="82" t="e">
        <f>IF(B261&lt;=Hypothèses!$C$7,Hypothèses!$G$7,IF(B261&lt;=Hypothèses!$C$8,Hypothèses!$G$8,IF(B261&lt;=Hypothèses!$C$9,Hypothèses!$G$9,IF(B261&lt;=Hypothèses!$C$10,Hypothèses!$G$10,IF(B261&lt;=Hypothèses!$C$11,Hypothèses!$G$11,IF(B261&lt;=Hypothèses!$C$12,Hypothèses!$G$12,IF(B261&lt;=Hypothèses!$C$13,Hypothèses!$G$13,IF(B261&lt;=Hypothèses!$C$14,Hypothèses!$G$14,IF(B261&lt;=Hypothèses!$C$15,Hypothèses!$G$15,IF(B261&lt;=Hypothèses!$C$16,Hypothèses!$G$16,IF(B261&lt;=Hypothèses!$C$17,Hypothèses!$G$17,IF(B261&lt;=Hypothèses!$C$18,Hypothèses!$G$18,E260))))))))))))</f>
        <v>#N/A</v>
      </c>
      <c r="F261" s="82" t="str">
        <f>IF(B261&lt;=Hypothèses!$C$7,Hypothèses!$F$7,IF(B261&lt;=Hypothèses!$C$8,Hypothèses!$F$8,IF(B261&lt;=Hypothèses!$C$9,Hypothèses!$F$9,IF(B261&lt;=Hypothèses!$C$10,Hypothèses!$F$10,IF(B261&lt;=Hypothèses!$C$11,Hypothèses!$F$11,IF(B261&lt;=Hypothèses!$C$12,Hypothèses!$F$12,IF(B261&lt;=Hypothèses!$C$13,Hypothèses!$F$13,IF(B261&lt;=Hypothèses!$C$14,Hypothèses!$F$14,IF(B261&lt;=Hypothèses!$C$15,Hypothèses!$F$15,IF(B261&lt;=Hypothèses!$C$16,Hypothèses!$F$16,IF(B261&lt;=Hypothèses!$C$17,Hypothèses!$F$17,IF(B261&lt;=Hypothèses!$C$18,Hypothèses!$F$18,F260))))))))))))</f>
        <v/>
      </c>
      <c r="G261" s="91">
        <f t="array" ref="G261">INDEX('Coeff EC7'!$U$7:$X$27,
MATCH(Model0.1C!$B$3,'Coeff EC7'!$T$7:$T$27,0),
MATCH(Model0.1C!$D261&amp;Model0.1C!$B$4,
'Coeff EC7'!$U$6:$X$6&amp;
'Coeff EC7'!$U$5:$X$5,0))</f>
        <v>1.1499999999999999</v>
      </c>
      <c r="H261" s="91">
        <f t="array" ref="H261">INDEX('Coeff EC7'!$Y$7:$AB$27,
MATCH(Model0.1C!$B$3,'Coeff EC7'!$T$7:$T$27,0),
MATCH(Model0.1C!$D261&amp;Model0.1C!$B$4,
'Coeff EC7'!$Y$6:$AB$6&amp;
'Coeff EC7'!$Y$5:$AB$5,0))</f>
        <v>1.4</v>
      </c>
      <c r="I261" s="83" t="e">
        <f>IF(B261&lt;=Hypothèses!$C$7,Hypothèses!$P$7,IF(B261&lt;=Hypothèses!$C$8,Hypothèses!$P$8,IF(B261&lt;=Hypothèses!$C$9,Hypothèses!$P$9,IF(B261&lt;=Hypothèses!$C$10,Hypothèses!$P$10,IF(B261&lt;=Hypothèses!$C$11,Hypothèses!$P$11,IF(B261&lt;=Hypothèses!$C$12,Hypothèses!$P$12,IF(B261&lt;=Hypothèses!$C$13,Hypothèses!$P$13,IF(B261&lt;=Hypothèses!$C$14,Hypothèses!$P$14,IF(B261&lt;=Hypothèses!$C$15,Hypothèses!$P$15,IF(B261&lt;=Hypothèses!$C$16,Hypothèses!$P$16,IF(B261&lt;=Hypothèses!$C$17,Hypothèses!$P$17,IF(B261&lt;=Hypothèses!$C$18,Hypothèses!$P$18,I260))))))))))))</f>
        <v>#N/A</v>
      </c>
      <c r="J261" s="91" t="e">
        <f t="array" ref="J261">INDEX('Coeff EC7'!$D$33:$Q$33,1,MATCH(D261&amp;E261,'Coeff EC7'!$D$31:$Q$31&amp;'Coeff EC7'!$D$32:$Q$32,0))</f>
        <v>#N/A</v>
      </c>
      <c r="K261" s="91" t="e">
        <f t="array" ref="K261">INDEX('Coeff EC7'!$D$34:$Q$34,1,MATCH(D261&amp;E261,'Coeff EC7'!$D$31:$Q$31&amp;'Coeff EC7'!$D$32:$Q$32,0))</f>
        <v>#N/A</v>
      </c>
      <c r="L261" s="91" t="e">
        <f t="array" ref="L261">INDEX('Coeff EC7'!$D$35:$Q$35,1,MATCH(D261&amp;E261,'Coeff EC7'!$D$31:$Q$31&amp;'Coeff EC7'!$D$32:$Q$32,0))</f>
        <v>#N/A</v>
      </c>
      <c r="M261" s="98" t="e">
        <f t="shared" si="331"/>
        <v>#N/A</v>
      </c>
      <c r="N261" s="99" t="e">
        <f t="array" ref="N261">INDEX('Coeff EC7'!$D$7:$Q$27,MATCH($B$3,'Coeff EC7'!$C$7:$C$27,0),MATCH(D261&amp;E261,'Coeff EC7'!$D$5:$Q$5&amp;'Coeff EC7'!$D$6:$Q$6,0))</f>
        <v>#N/A</v>
      </c>
      <c r="O261" s="99" t="e">
        <f t="array" ref="O261">INDEX('Coeff EC7'!$D$41:$Q$61,MATCH($B$3,'Coeff EC7'!$C$41:$C$61,0),MATCH(D261&amp;E261,'Coeff EC7'!$D$39:$Q$39&amp;'Coeff EC7'!$D$40:$Q$40,0))</f>
        <v>#N/A</v>
      </c>
      <c r="P261" s="30" t="e">
        <f t="shared" si="368"/>
        <v>#N/A</v>
      </c>
      <c r="Q261" s="100" t="e">
        <f t="shared" si="333"/>
        <v>#N/A</v>
      </c>
      <c r="R261" s="86" t="b">
        <f t="shared" si="334"/>
        <v>0</v>
      </c>
      <c r="S261" s="86">
        <f t="shared" si="332"/>
        <v>0.5</v>
      </c>
      <c r="T261" s="86">
        <f t="shared" si="335"/>
        <v>0.5</v>
      </c>
      <c r="U261" s="30" t="e">
        <f t="shared" ca="1" si="369"/>
        <v>#DIV/0!</v>
      </c>
      <c r="V261" s="85" t="str">
        <f>IF(B261&lt;=Hypothèses!$V$7,Hypothèses!$W$7,IF(B261&lt;=Hypothèses!$V$8,Hypothèses!$W$8,IF(B261&lt;=Hypothèses!$V$9,Hypothèses!$W$9,IF(B261&lt;=Hypothèses!$V$10,Hypothèses!$W$10,IF(B261&lt;=Hypothèses!$V$11,Hypothèses!$W$11,IF(B261&lt;=Hypothèses!$V$12,Hypothèses!$W$12,IF(B261&lt;=Hypothèses!$V$13,Hypothèses!$W$13,IF(B261&lt;=Hypothèses!$V$14,Hypothèses!$W$14,IF(B261&lt;=Hypothèses!$V$15,Hypothèses!$W$15,IF(B261&lt;=Hypothèses!$V$16,Hypothèses!$W$16,IF(B261&lt;=Hypothèses!$V$17,Hypothèses!$W$17,IF(B261&lt;=Hypothèses!$V$18,Hypothèses!$W$18,""))))))))))))</f>
        <v/>
      </c>
      <c r="W261" s="87" t="e">
        <f t="shared" ca="1" si="416"/>
        <v>#DIV/0!</v>
      </c>
      <c r="X261" s="88" t="str">
        <f>IF(B261&lt;=Hypothèses!$V$7,Hypothèses!$X$7,IF(B261&lt;=Hypothèses!$V$8,Hypothèses!$X$8,IF(B261&lt;=Hypothèses!$V$9,Hypothèses!$X$9,IF(B261&lt;=Hypothèses!$V$10,Hypothèses!$X$10,IF(B261&lt;=Hypothèses!$V$11,Hypothèses!$X$11,IF(B261&lt;=Hypothèses!$V$12,Hypothèses!$X$12,IF(B261&lt;=Hypothèses!$V$13,Hypothèses!$X$13,IF(B261&lt;=Hypothèses!$V$14,Hypothèses!$X$14,IF(B261&lt;=Hypothèses!$V$15,Hypothèses!$X$15,IF(B261&lt;=Hypothèses!$V$16,Hypothèses!$X$16,IF(B261&lt;=Hypothèses!$U$17,Hypothèses!$W$17,IF(B261&lt;=Hypothèses!$U$18,Hypothèses!$W$18,""))))))))))))</f>
        <v/>
      </c>
      <c r="Y261" s="95" t="e">
        <f t="shared" ca="1" si="336"/>
        <v>#DIV/0!</v>
      </c>
      <c r="Z261" s="101" t="e">
        <f t="shared" si="337"/>
        <v>#N/A</v>
      </c>
      <c r="AA261" s="91" t="e">
        <f t="shared" si="338"/>
        <v>#N/A</v>
      </c>
      <c r="AB261" s="30" t="e">
        <f t="shared" si="400"/>
        <v>#N/A</v>
      </c>
      <c r="AC261" s="30" t="e">
        <f t="shared" si="401"/>
        <v>#N/A</v>
      </c>
      <c r="AD261" s="31" t="e">
        <f>IF(OR(Hypothèses!$B$4=17,Hypothèses!$B$4=18,Hypothèses!$B$4=19,Hypothèses!$B$4=20),
IF($D261="Pressio.",
IF(OR($E261=3,$E261=1,$E261=4),AC261,AB261),
IF($D261="Pénétro.",
IF(OR($E261=3,$E261=1,$E261=4),AC261,AB261))),IF($D261="Pressio.",
IF($E261=3,AC261,AB261),
IF($D261="Pénétro.",
IF($E261=4,AC261,AB261))))</f>
        <v>#N/A</v>
      </c>
      <c r="AE261" s="31" t="e">
        <f>(IF(OR(Hypothèses!$B$4=17,Hypothèses!$B$4=18,Hypothèses!$B$4=19,Hypothèses!$B$4=20),
IF($D261="Pressio.",
IF(OR($E261=3,$E261=1,$E261=4),(PI()*AE$12^2)/4*(AA261*$W261*1000)/($H261*$B$5),(PI()*AE$12^2)/4*(AA261*$W261*1000)/($G261*$B$5)),
IF($D261="Pénétro.",
IF(OR($E261=4,$E261=1,$E261=5),(PI()*AE$12^2)/4*(AA261*$W261*1000)/($H261*$B$5),(PI()*AE$12^2)/4*(AA261*$W261*1000)/($G261*$B$5)))),
IF($D261="Pressio.",
IF($E261=3,(PI()*AE$12^2)/4*(AA261*$W261*1000)/($H261*$B$5),(PI()*AE$12^2)/4*(AA261*$W261*1000)/($G261*$B$5)),
IF($D261="Pénétro.",
IF($E261=4,(PI()*AE$12^2)/4*(AA261*$W261*1000)/($H261*$B$5),(PI()*AE$12^2)/4*(AA261*$W261*1000)/($G261*$B$5))))))/10</f>
        <v>#N/A</v>
      </c>
      <c r="AF261" s="102" t="e">
        <f>(VLOOKUP($B$3,'Coeff EC7'!$T$39:$X$59,2,0)*AD261+VLOOKUP($B$3,'Coeff EC7'!$T$65:$X$85,2,0)*Model0.1C!AE261)/1.1</f>
        <v>#N/A</v>
      </c>
      <c r="AG261" s="102" t="e">
        <f>(VLOOKUP($B$3,'Coeff EC7'!$T$39:$X$59,3,0)*AD261+VLOOKUP($B$3,'Coeff EC7'!$T$65:$X$85,3,0)*Model0.1C!AE261)/0.9</f>
        <v>#N/A</v>
      </c>
      <c r="AH261" s="102" t="e">
        <f t="shared" si="339"/>
        <v>#N/A</v>
      </c>
      <c r="AI261" s="102" t="e">
        <f t="shared" si="340"/>
        <v>#N/A</v>
      </c>
      <c r="AJ261" s="414" t="e">
        <f>IF(AJ260=0,0,IF(AND(AF261&gt;charge_ELS_quasi,AG261&gt;Charge_ELS_freq,AH261&gt;charge_ELU,AI261&gt;charge_ELA,$B261&gt;NDC!$H$22-0.1+MIN(3*$AJ$12,1.5)),0,1))</f>
        <v>#N/A</v>
      </c>
      <c r="AK261" s="86" t="b">
        <f t="shared" si="341"/>
        <v>0</v>
      </c>
      <c r="AL261" s="86">
        <f t="shared" si="370"/>
        <v>0.5</v>
      </c>
      <c r="AM261" s="86">
        <f t="shared" si="342"/>
        <v>0.5</v>
      </c>
      <c r="AN261" s="30" t="e">
        <f t="shared" ca="1" si="371"/>
        <v>#DIV/0!</v>
      </c>
      <c r="AO261" s="85" t="e">
        <f ca="1">IF(U261&lt;=Hypothèses!$V$7,Hypothèses!$W$7,IF(U261&lt;=Hypothèses!$V$8,Hypothèses!$W$8,IF(U261&lt;=Hypothèses!$V$9,Hypothèses!$W$9,IF(U261&lt;=Hypothèses!$V$10,Hypothèses!$W$10,IF(U261&lt;=Hypothèses!$V$11,Hypothèses!$W$11,IF(U261&lt;=Hypothèses!$V$12,Hypothèses!$W$12,IF(U261&lt;=Hypothèses!$V$13,Hypothèses!$W$13,IF(U261&lt;=Hypothèses!$V$14,Hypothèses!$W$14,IF(U261&lt;=Hypothèses!$V$15,Hypothèses!$W$15,IF(U261&lt;=Hypothèses!$V$16,Hypothèses!$W$16,IF(U261&lt;=Hypothèses!$V$17,Hypothèses!$W$17,IF(U261&lt;=Hypothèses!$V$18,Hypothèses!$W$18,""))))))))))))</f>
        <v>#DIV/0!</v>
      </c>
      <c r="AP261" s="87" t="e">
        <f t="shared" ca="1" si="417"/>
        <v>#DIV/0!</v>
      </c>
      <c r="AQ261" s="88" t="e">
        <f ca="1">IF(U261&lt;=Hypothèses!$V$7,Hypothèses!$X$7,IF(U261&lt;=Hypothèses!$V$8,Hypothèses!$X$8,IF(U261&lt;=Hypothèses!$V$9,Hypothèses!$X$9,IF(U261&lt;=Hypothèses!$V$10,Hypothèses!$X$10,IF(U261&lt;=Hypothèses!$V$11,Hypothèses!$X$11,IF(U261&lt;=Hypothèses!$V$12,Hypothèses!$X$12,IF(U261&lt;=Hypothèses!$V$13,Hypothèses!$X$13,IF(U261&lt;=Hypothèses!$V$14,Hypothèses!$X$14,IF(U261&lt;=Hypothèses!$V$15,Hypothèses!$X$15,IF(U261&lt;=Hypothèses!$V$16,Hypothèses!$X$16,IF(U261&lt;=Hypothèses!$U$17,Hypothèses!$W$17,IF(U261&lt;=Hypothèses!$U$18,Hypothèses!$W$18,""))))))))))))</f>
        <v>#DIV/0!</v>
      </c>
      <c r="AR261" s="95" t="e">
        <f t="shared" ca="1" si="372"/>
        <v>#DIV/0!</v>
      </c>
      <c r="AS261" s="101" t="e">
        <f t="shared" si="424"/>
        <v>#N/A</v>
      </c>
      <c r="AT261" s="91" t="e">
        <f t="shared" si="343"/>
        <v>#N/A</v>
      </c>
      <c r="AU261" s="30" t="e">
        <f t="shared" si="402"/>
        <v>#N/A</v>
      </c>
      <c r="AV261" s="30" t="e">
        <f t="shared" si="403"/>
        <v>#N/A</v>
      </c>
      <c r="AW261" s="31" t="e">
        <f>IF(OR(Hypothèses!$B$4=17,Hypothèses!$B$4=18,Hypothèses!$B$4=19,Hypothèses!$B$4=20),
IF($D261="Pressio.",
IF(OR($E261=3,$E261=1,$E261=4),AV261,AU261),
IF($D261="Pénétro.",
IF(OR($E261=3,$E261=1,$E261=4),AV261,AU261))),IF($D261="Pressio.",
IF($E261=3,AV261,AU261),
IF($D261="Pénétro.",
IF($E261=4,AV261,AU261))))</f>
        <v>#N/A</v>
      </c>
      <c r="AX261" s="31" t="e">
        <f>(IF(OR(Hypothèses!$B$4=17,Hypothèses!$B$4=18,Hypothèses!$B$4=19,Hypothèses!$B$4=20),
IF($D261="Pressio.",
IF(OR($E261=3,$E261=1,$E261=4),(PI()*AX$12^2)/4*(AT261*$W261*1000)/($H261*$B$5),(PI()*AX$12^2)/4*(AT261*$W261*1000)/($G261*$B$5)),
IF($D261="Pénétro.",
IF(OR($E261=4,$E261=1,$E261=5),(PI()*AX$12^2)/4*(AT261*$W261*1000)/($H261*$B$5),(PI()*AX$12^2)/4*(AT261*$W261*1000)/($G261*$B$5)))),
IF($D261="Pressio.",
IF($E261=3,(PI()*AX$12^2)/4*(AT261*$W261*1000)/($H261*$B$5),(PI()*AX$12^2)/4*(AT261*$W261*1000)/($G261*$B$5)),
IF($D261="Pénétro.",
IF($E261=4,(PI()*AX$12^2)/4*(AT261*$W261*1000)/($H261*$B$5),(PI()*AX$12^2)/4*(AT261*$W261*1000)/($G261*$B$5))))))/10</f>
        <v>#N/A</v>
      </c>
      <c r="AY261" s="102" t="e">
        <f>(VLOOKUP($B$3,'Coeff EC7'!$T$39:$X$59,2,0)*AW261+VLOOKUP($B$3,'Coeff EC7'!$T$65:$X$85,2,0)*Model0.1C!AX261)/1.1</f>
        <v>#N/A</v>
      </c>
      <c r="AZ261" s="102" t="e">
        <f>(VLOOKUP($B$3,'Coeff EC7'!$T$39:$X$59,3,0)*AW261+VLOOKUP($B$3,'Coeff EC7'!$T$65:$X$85,3,0)*Model0.1C!AX261)/0.9</f>
        <v>#N/A</v>
      </c>
      <c r="BA261" s="102" t="e">
        <f t="shared" si="373"/>
        <v>#N/A</v>
      </c>
      <c r="BB261" s="102" t="e">
        <f t="shared" si="374"/>
        <v>#N/A</v>
      </c>
      <c r="BC261" s="414" t="e">
        <f>IF(BC260=0,0,IF(AND(AY261&gt;charge_ELS_quasi,AZ261&gt;Charge_ELS_freq,BA261&gt;charge_ELU,BB261&gt;charge_ELA,$B261&gt;NDC!$H$22-0.1+MIN(3*$BC$12,1.5)),0,1))</f>
        <v>#N/A</v>
      </c>
      <c r="BD261" s="86" t="b">
        <f t="shared" si="344"/>
        <v>0</v>
      </c>
      <c r="BE261" s="86">
        <f t="shared" si="375"/>
        <v>0.5</v>
      </c>
      <c r="BF261" s="86">
        <f t="shared" si="345"/>
        <v>0.5</v>
      </c>
      <c r="BG261" s="30" t="e">
        <f t="shared" ca="1" si="376"/>
        <v>#DIV/0!</v>
      </c>
      <c r="BH261" s="85" t="e">
        <f ca="1">IF(AN261&lt;=Hypothèses!$V$7,Hypothèses!$W$7,IF(AN261&lt;=Hypothèses!$V$8,Hypothèses!$W$8,IF(AN261&lt;=Hypothèses!$V$9,Hypothèses!$W$9,IF(AN261&lt;=Hypothèses!$V$10,Hypothèses!$W$10,IF(AN261&lt;=Hypothèses!$V$11,Hypothèses!$W$11,IF(AN261&lt;=Hypothèses!$V$12,Hypothèses!$W$12,IF(AN261&lt;=Hypothèses!$V$13,Hypothèses!$W$13,IF(AN261&lt;=Hypothèses!$V$14,Hypothèses!$W$14,IF(AN261&lt;=Hypothèses!$V$15,Hypothèses!$W$15,IF(AN261&lt;=Hypothèses!$V$16,Hypothèses!$W$16,IF(AN261&lt;=Hypothèses!$V$17,Hypothèses!$W$17,IF(AN261&lt;=Hypothèses!$V$18,Hypothèses!$W$18,""))))))))))))</f>
        <v>#DIV/0!</v>
      </c>
      <c r="BI261" s="87" t="e">
        <f t="shared" ca="1" si="418"/>
        <v>#DIV/0!</v>
      </c>
      <c r="BJ261" s="88" t="e">
        <f ca="1">IF(AN261&lt;=Hypothèses!$V$7,Hypothèses!$X$7,IF(AN261&lt;=Hypothèses!$V$8,Hypothèses!$X$8,IF(AN261&lt;=Hypothèses!$V$9,Hypothèses!$X$9,IF(AN261&lt;=Hypothèses!$V$10,Hypothèses!$X$10,IF(AN261&lt;=Hypothèses!$V$11,Hypothèses!$X$11,IF(AN261&lt;=Hypothèses!$V$12,Hypothèses!$X$12,IF(AN261&lt;=Hypothèses!$V$13,Hypothèses!$X$13,IF(AN261&lt;=Hypothèses!$V$14,Hypothèses!$X$14,IF(AN261&lt;=Hypothèses!$V$15,Hypothèses!$X$15,IF(AN261&lt;=Hypothèses!$V$16,Hypothèses!$X$16,IF(AN261&lt;=Hypothèses!$U$17,Hypothèses!$W$17,IF(AN261&lt;=Hypothèses!$U$18,Hypothèses!$W$18,""))))))))))))</f>
        <v>#DIV/0!</v>
      </c>
      <c r="BK261" s="95" t="e">
        <f t="shared" ca="1" si="377"/>
        <v>#DIV/0!</v>
      </c>
      <c r="BL261" s="101" t="e">
        <f t="shared" si="425"/>
        <v>#N/A</v>
      </c>
      <c r="BM261" s="91" t="e">
        <f t="shared" si="346"/>
        <v>#N/A</v>
      </c>
      <c r="BN261" s="30" t="e">
        <f t="shared" si="404"/>
        <v>#N/A</v>
      </c>
      <c r="BO261" s="30" t="e">
        <f t="shared" si="405"/>
        <v>#N/A</v>
      </c>
      <c r="BP261" s="31" t="e">
        <f>IF(OR(Hypothèses!$B$4=17,Hypothèses!$B$4=18,Hypothèses!$B$4=19,Hypothèses!$B$4=20),
IF($D261="Pressio.",
IF(OR($E261=3,$E261=1,$E261=4),BO261,BN261),
IF($D261="Pénétro.",
IF(OR($E261=3,$E261=1,$E261=4),BO261,BN261))),IF($D261="Pressio.",
IF($E261=3,BO261,BN261),
IF($D261="Pénétro.",
IF($E261=4,BO261,BN261))))</f>
        <v>#N/A</v>
      </c>
      <c r="BQ261" s="31" t="e">
        <f>(IF(OR(Hypothèses!$B$4=17,Hypothèses!$B$4=18,Hypothèses!$B$4=19,Hypothèses!$B$4=20),
IF($D261="Pressio.",
IF(OR($E261=3,$E261=1,$E261=4),(PI()*BQ$12^2)/4*(BM261*$W261*1000)/($H261*$B$5),(PI()*BQ$12^2)/4*(BM261*$W261*1000)/($G261*$B$5)),
IF($D261="Pénétro.",
IF(OR($E261=4,$E261=1,$E261=5),(PI()*BQ$12^2)/4*(BM261*$W261*1000)/($H261*$B$5),(PI()*BQ$12^2)/4*(BM261*$W261*1000)/($G261*$B$5)))),
IF($D261="Pressio.",
IF($E261=3,(PI()*BQ$12^2)/4*(BM261*$W261*1000)/($H261*$B$5),(PI()*BQ$12^2)/4*(BM261*$W261*1000)/($G261*$B$5)),
IF($D261="Pénétro.",
IF($E261=4,(PI()*BQ$12^2)/4*(BM261*$W261*1000)/($H261*$B$5),(PI()*BQ$12^2)/4*(BM261*$W261*1000)/($G261*$B$5))))))/10</f>
        <v>#N/A</v>
      </c>
      <c r="BR261" s="102" t="e">
        <f>(VLOOKUP($B$3,'Coeff EC7'!$T$39:$X$59,2,0)*BP261+VLOOKUP($B$3,'Coeff EC7'!$T$65:$X$85,2,0)*Model0.1C!BQ261)/1.1</f>
        <v>#N/A</v>
      </c>
      <c r="BS261" s="102" t="e">
        <f>(VLOOKUP($B$3,'Coeff EC7'!$T$39:$X$59,3,0)*BP261+VLOOKUP($B$3,'Coeff EC7'!$T$65:$X$85,3,0)*Model0.1C!BQ261)/0.9</f>
        <v>#N/A</v>
      </c>
      <c r="BT261" s="102" t="e">
        <f t="shared" si="378"/>
        <v>#N/A</v>
      </c>
      <c r="BU261" s="102" t="e">
        <f t="shared" si="379"/>
        <v>#N/A</v>
      </c>
      <c r="BV261" s="414" t="e">
        <f>IF(BV260=0,0,IF(AND(BR261&gt;charge_ELS_quasi,BS261&gt;Charge_ELS_freq,BT261&gt;charge_ELU,BU261&gt;charge_ELA,$B261&gt;NDC!$H$22-0.1+MIN(3*$BV$12,1.5)),0,1))</f>
        <v>#N/A</v>
      </c>
      <c r="BW261" s="86" t="b">
        <f t="shared" si="347"/>
        <v>0</v>
      </c>
      <c r="BX261" s="86">
        <f t="shared" si="348"/>
        <v>0.5</v>
      </c>
      <c r="BY261" s="86">
        <f t="shared" si="349"/>
        <v>0.5</v>
      </c>
      <c r="BZ261" s="30" t="e">
        <f t="shared" ca="1" si="380"/>
        <v>#DIV/0!</v>
      </c>
      <c r="CA261" s="85" t="e">
        <f ca="1">IF(BG261&lt;=Hypothèses!$V$7,Hypothèses!$W$7,IF(BG261&lt;=Hypothèses!$V$8,Hypothèses!$W$8,IF(BG261&lt;=Hypothèses!$V$9,Hypothèses!$W$9,IF(BG261&lt;=Hypothèses!$V$10,Hypothèses!$W$10,IF(BG261&lt;=Hypothèses!$V$11,Hypothèses!$W$11,IF(BG261&lt;=Hypothèses!$V$12,Hypothèses!$W$12,IF(BG261&lt;=Hypothèses!$V$13,Hypothèses!$W$13,IF(BG261&lt;=Hypothèses!$V$14,Hypothèses!$W$14,IF(BG261&lt;=Hypothèses!$V$15,Hypothèses!$W$15,IF(BG261&lt;=Hypothèses!$V$16,Hypothèses!$W$16,IF(BG261&lt;=Hypothèses!$V$17,Hypothèses!$W$17,IF(BG261&lt;=Hypothèses!$V$18,Hypothèses!$W$18,""))))))))))))</f>
        <v>#DIV/0!</v>
      </c>
      <c r="CB261" s="87" t="e">
        <f t="shared" ca="1" si="419"/>
        <v>#DIV/0!</v>
      </c>
      <c r="CC261" s="88" t="e">
        <f ca="1">IF(BG261&lt;=Hypothèses!$V$7,Hypothèses!$X$7,IF(BG261&lt;=Hypothèses!$V$8,Hypothèses!$X$8,IF(BG261&lt;=Hypothèses!$V$9,Hypothèses!$X$9,IF(BG261&lt;=Hypothèses!$V$10,Hypothèses!$X$10,IF(BG261&lt;=Hypothèses!$V$11,Hypothèses!$X$11,IF(BG261&lt;=Hypothèses!$V$12,Hypothèses!$X$12,IF(BG261&lt;=Hypothèses!$V$13,Hypothèses!$X$13,IF(BG261&lt;=Hypothèses!$V$14,Hypothèses!$X$14,IF(BG261&lt;=Hypothèses!$V$15,Hypothèses!$X$15,IF(BG261&lt;=Hypothèses!$V$16,Hypothèses!$X$16,IF(BG261&lt;=Hypothèses!$U$17,Hypothèses!$W$17,IF(BG261&lt;=Hypothèses!$U$18,Hypothèses!$W$18,""))))))))))))</f>
        <v>#DIV/0!</v>
      </c>
      <c r="CD261" s="95" t="e">
        <f t="shared" ca="1" si="381"/>
        <v>#DIV/0!</v>
      </c>
      <c r="CE261" s="101" t="e">
        <f t="shared" si="426"/>
        <v>#N/A</v>
      </c>
      <c r="CF261" s="91" t="e">
        <f t="shared" si="350"/>
        <v>#N/A</v>
      </c>
      <c r="CG261" s="30" t="e">
        <f t="shared" si="406"/>
        <v>#N/A</v>
      </c>
      <c r="CH261" s="30" t="e">
        <f t="shared" si="407"/>
        <v>#N/A</v>
      </c>
      <c r="CI261" s="31" t="e">
        <f>IF(OR(Hypothèses!$B$4=17,Hypothèses!$B$4=18,Hypothèses!$B$4=19,Hypothèses!$B$4=20),
IF($D261="Pressio.",
IF(OR($E261=3,$E261=1,$E261=4),CH261,CG261),
IF($D261="Pénétro.",
IF(OR($E261=3,$E261=1,$E261=4),CH261,CG261))),IF($D261="Pressio.",
IF($E261=3,CH261,CG261),
IF($D261="Pénétro.",
IF($E261=4,CH261,CG261))))</f>
        <v>#N/A</v>
      </c>
      <c r="CJ261" s="31" t="e">
        <f>(IF(OR(Hypothèses!$B$4=17,Hypothèses!$B$4=18,Hypothèses!$B$4=19,Hypothèses!$B$4=20),
IF($D261="Pressio.",
IF(OR($E261=3,$E261=1,$E261=4),(PI()*CJ$12^2)/4*(CF261*$W261*1000)/($H261*$B$5),(PI()*CJ$12^2)/4*(CF261*$W261*1000)/($G261*$B$5)),
IF($D261="Pénétro.",
IF(OR($E261=4,$E261=1,$E261=5),(PI()*CJ$12^2)/4*(CF261*$W261*1000)/($H261*$B$5),(PI()*CJ$12^2)/4*(CF261*$W261*1000)/($G261*$B$5)))),
IF($D261="Pressio.",
IF($E261=3,(PI()*CJ$12^2)/4*(CF261*$W261*1000)/($H261*$B$5),(PI()*CJ$12^2)/4*(CF261*$W261*1000)/($G261*$B$5)),
IF($D261="Pénétro.",
IF($E261=4,(PI()*CJ$12^2)/4*(CF261*$W261*1000)/($H261*$B$5),(PI()*CJ$12^2)/4*(CF261*$W261*1000)/($G261*$B$5))))))/10</f>
        <v>#N/A</v>
      </c>
      <c r="CK261" s="102" t="e">
        <f>(VLOOKUP($B$3,'Coeff EC7'!$T$39:$X$59,2,0)*CI261+VLOOKUP($B$3,'Coeff EC7'!$T$65:$X$85,2,0)*Model0.1C!CJ261)/1.1</f>
        <v>#N/A</v>
      </c>
      <c r="CL261" s="102" t="e">
        <f>(VLOOKUP($B$3,'Coeff EC7'!$T$39:$X$59,3,0)*CI261+VLOOKUP($B$3,'Coeff EC7'!$T$65:$X$85,3,0)*Model0.1C!CJ261)/0.9</f>
        <v>#N/A</v>
      </c>
      <c r="CM261" s="102" t="e">
        <f t="shared" si="382"/>
        <v>#N/A</v>
      </c>
      <c r="CN261" s="102" t="e">
        <f t="shared" si="383"/>
        <v>#N/A</v>
      </c>
      <c r="CO261" s="414" t="e">
        <f>IF(CO260=0,0,IF(AND(CK261&gt;charge_ELS_quasi,CL261&gt;Charge_ELS_freq,CM261&gt;charge_ELU,CN261&gt;charge_ELA,$B261&gt;NDC!$H$22-0.1+MIN(3*$CO$12,1.5)),0,1))</f>
        <v>#N/A</v>
      </c>
      <c r="CP261" s="86" t="b">
        <f t="shared" si="351"/>
        <v>0</v>
      </c>
      <c r="CQ261" s="86">
        <f t="shared" si="352"/>
        <v>0.5</v>
      </c>
      <c r="CR261" s="86">
        <f t="shared" si="353"/>
        <v>0.5</v>
      </c>
      <c r="CS261" s="30" t="e">
        <f t="shared" ca="1" si="384"/>
        <v>#DIV/0!</v>
      </c>
      <c r="CT261" s="85" t="e">
        <f ca="1">IF(BZ261&lt;=Hypothèses!$V$7,Hypothèses!$W$7,IF(BZ261&lt;=Hypothèses!$V$8,Hypothèses!$W$8,IF(BZ261&lt;=Hypothèses!$V$9,Hypothèses!$W$9,IF(BZ261&lt;=Hypothèses!$V$10,Hypothèses!$W$10,IF(BZ261&lt;=Hypothèses!$V$11,Hypothèses!$W$11,IF(BZ261&lt;=Hypothèses!$V$12,Hypothèses!$W$12,IF(BZ261&lt;=Hypothèses!$V$13,Hypothèses!$W$13,IF(BZ261&lt;=Hypothèses!$V$14,Hypothèses!$W$14,IF(BZ261&lt;=Hypothèses!$V$15,Hypothèses!$W$15,IF(BZ261&lt;=Hypothèses!$V$16,Hypothèses!$W$16,IF(BZ261&lt;=Hypothèses!$V$17,Hypothèses!$W$17,IF(BZ261&lt;=Hypothèses!$V$18,Hypothèses!$W$18,""))))))))))))</f>
        <v>#DIV/0!</v>
      </c>
      <c r="CU261" s="87" t="e">
        <f t="shared" ca="1" si="420"/>
        <v>#DIV/0!</v>
      </c>
      <c r="CV261" s="88" t="e">
        <f ca="1">IF(BZ261&lt;=Hypothèses!$V$7,Hypothèses!$X$7,IF(BZ261&lt;=Hypothèses!$V$8,Hypothèses!$X$8,IF(BZ261&lt;=Hypothèses!$V$9,Hypothèses!$X$9,IF(BZ261&lt;=Hypothèses!$V$10,Hypothèses!$X$10,IF(BZ261&lt;=Hypothèses!$V$11,Hypothèses!$X$11,IF(BZ261&lt;=Hypothèses!$V$12,Hypothèses!$X$12,IF(BZ261&lt;=Hypothèses!$V$13,Hypothèses!$X$13,IF(BZ261&lt;=Hypothèses!$V$14,Hypothèses!$X$14,IF(BZ261&lt;=Hypothèses!$V$15,Hypothèses!$X$15,IF(BZ261&lt;=Hypothèses!$V$16,Hypothèses!$X$16,IF(BZ261&lt;=Hypothèses!$U$17,Hypothèses!$W$17,IF(BZ261&lt;=Hypothèses!$U$18,Hypothèses!$W$18,""))))))))))))</f>
        <v>#DIV/0!</v>
      </c>
      <c r="CW261" s="95" t="e">
        <f t="shared" ca="1" si="385"/>
        <v>#DIV/0!</v>
      </c>
      <c r="CX261" s="101" t="e">
        <f t="shared" si="427"/>
        <v>#N/A</v>
      </c>
      <c r="CY261" s="91" t="e">
        <f t="shared" si="354"/>
        <v>#N/A</v>
      </c>
      <c r="CZ261" s="30" t="e">
        <f t="shared" si="408"/>
        <v>#N/A</v>
      </c>
      <c r="DA261" s="30" t="e">
        <f t="shared" si="409"/>
        <v>#N/A</v>
      </c>
      <c r="DB261" s="31" t="e">
        <f>IF(OR(Hypothèses!$B$4=17,Hypothèses!$B$4=18,Hypothèses!$B$4=19,Hypothèses!$B$4=20),
IF($D261="Pressio.",
IF(OR($E261=3,$E261=1,$E261=4),DA261,CZ261),
IF($D261="Pénétro.",
IF(OR($E261=3,$E261=1,$E261=4),DA261,CZ261))),IF($D261="Pressio.",
IF($E261=3,DA261,CZ261),
IF($D261="Pénétro.",
IF($E261=4,DA261,CZ261))))</f>
        <v>#N/A</v>
      </c>
      <c r="DC261" s="31" t="e">
        <f>(IF(OR(Hypothèses!$B$4=17,Hypothèses!$B$4=18,Hypothèses!$B$4=19,Hypothèses!$B$4=20),
IF($D261="Pressio.",
IF(OR($E261=3,$E261=1,$E261=4),(PI()*DC$12^2)/4*(CY261*$W261*1000)/($H261*$B$5),(PI()*DC$12^2)/4*(CY261*$W261*1000)/($G261*$B$5)),
IF($D261="Pénétro.",
IF(OR($E261=4,$E261=1,$E261=5),(PI()*DC$12^2)/4*(CY261*$W261*1000)/($H261*$B$5),(PI()*DC$12^2)/4*(CY261*$W261*1000)/($G261*$B$5)))),
IF($D261="Pressio.",
IF($E261=3,(PI()*DC$12^2)/4*(CY261*$W261*1000)/($H261*$B$5),(PI()*DC$12^2)/4*(CY261*$W261*1000)/($G261*$B$5)),
IF($D261="Pénétro.",
IF($E261=4,(PI()*DC$12^2)/4*(CY261*$W261*1000)/($H261*$B$5),(PI()*DC$12^2)/4*(CY261*$W261*1000)/($G261*$B$5))))))/10</f>
        <v>#N/A</v>
      </c>
      <c r="DD261" s="102" t="e">
        <f>(VLOOKUP($B$3,'Coeff EC7'!$T$39:$X$59,2,0)*DB261+VLOOKUP($B$3,'Coeff EC7'!$T$65:$X$85,2,0)*Model0.1C!DC261)/1.1</f>
        <v>#N/A</v>
      </c>
      <c r="DE261" s="102" t="e">
        <f>(VLOOKUP($B$3,'Coeff EC7'!$T$39:$X$59,3,0)*DB261+VLOOKUP($B$3,'Coeff EC7'!$T$65:$X$85,3,0)*Model0.1C!DC261)/0.9</f>
        <v>#N/A</v>
      </c>
      <c r="DF261" s="102" t="e">
        <f t="shared" si="386"/>
        <v>#N/A</v>
      </c>
      <c r="DG261" s="102" t="e">
        <f t="shared" si="387"/>
        <v>#N/A</v>
      </c>
      <c r="DH261" s="414" t="e">
        <f>IF(DH260=0,0,IF(AND(DD261&gt;charge_ELS_quasi,DE261&gt;Charge_ELS_freq,DF261&gt;charge_ELU,DG261&gt;charge_ELA,$B261&gt;NDC!$H$22-0.1+MIN(3*$DH$12,1.5)),0,1))</f>
        <v>#N/A</v>
      </c>
      <c r="DI261" s="86" t="b">
        <f t="shared" si="355"/>
        <v>0</v>
      </c>
      <c r="DJ261" s="86">
        <f t="shared" si="356"/>
        <v>0.5</v>
      </c>
      <c r="DK261" s="86">
        <f t="shared" si="357"/>
        <v>0.5</v>
      </c>
      <c r="DL261" s="30" t="e">
        <f t="shared" ca="1" si="388"/>
        <v>#DIV/0!</v>
      </c>
      <c r="DM261" s="85" t="e">
        <f ca="1">IF(CS261&lt;=Hypothèses!$V$7,Hypothèses!$W$7,IF(CS261&lt;=Hypothèses!$V$8,Hypothèses!$W$8,IF(CS261&lt;=Hypothèses!$V$9,Hypothèses!$W$9,IF(CS261&lt;=Hypothèses!$V$10,Hypothèses!$W$10,IF(CS261&lt;=Hypothèses!$V$11,Hypothèses!$W$11,IF(CS261&lt;=Hypothèses!$V$12,Hypothèses!$W$12,IF(CS261&lt;=Hypothèses!$V$13,Hypothèses!$W$13,IF(CS261&lt;=Hypothèses!$V$14,Hypothèses!$W$14,IF(CS261&lt;=Hypothèses!$V$15,Hypothèses!$W$15,IF(CS261&lt;=Hypothèses!$V$16,Hypothèses!$W$16,IF(CS261&lt;=Hypothèses!$V$17,Hypothèses!$W$17,IF(CS261&lt;=Hypothèses!$V$18,Hypothèses!$W$18,""))))))))))))</f>
        <v>#DIV/0!</v>
      </c>
      <c r="DN261" s="87" t="e">
        <f t="shared" ca="1" si="421"/>
        <v>#DIV/0!</v>
      </c>
      <c r="DO261" s="88" t="e">
        <f ca="1">IF(CS261&lt;=Hypothèses!$V$7,Hypothèses!$X$7,IF(CS261&lt;=Hypothèses!$V$8,Hypothèses!$X$8,IF(CS261&lt;=Hypothèses!$V$9,Hypothèses!$X$9,IF(CS261&lt;=Hypothèses!$V$10,Hypothèses!$X$10,IF(CS261&lt;=Hypothèses!$V$11,Hypothèses!$X$11,IF(CS261&lt;=Hypothèses!$V$12,Hypothèses!$X$12,IF(CS261&lt;=Hypothèses!$V$13,Hypothèses!$X$13,IF(CS261&lt;=Hypothèses!$V$14,Hypothèses!$X$14,IF(CS261&lt;=Hypothèses!$V$15,Hypothèses!$X$15,IF(CS261&lt;=Hypothèses!$V$16,Hypothèses!$X$16,IF(CS261&lt;=Hypothèses!$U$17,Hypothèses!$W$17,IF(CS261&lt;=Hypothèses!$U$18,Hypothèses!$W$18,""))))))))))))</f>
        <v>#DIV/0!</v>
      </c>
      <c r="DP261" s="95" t="e">
        <f t="shared" ca="1" si="389"/>
        <v>#DIV/0!</v>
      </c>
      <c r="DQ261" s="101" t="e">
        <f t="shared" si="428"/>
        <v>#N/A</v>
      </c>
      <c r="DR261" s="91" t="e">
        <f t="shared" si="358"/>
        <v>#N/A</v>
      </c>
      <c r="DS261" s="30" t="e">
        <f t="shared" si="410"/>
        <v>#N/A</v>
      </c>
      <c r="DT261" s="30" t="e">
        <f t="shared" si="411"/>
        <v>#N/A</v>
      </c>
      <c r="DU261" s="31" t="e">
        <f>IF(OR(Hypothèses!$B$4=17,Hypothèses!$B$4=18,Hypothèses!$B$4=19,Hypothèses!$B$4=20),
IF($D261="Pressio.",
IF(OR($E261=3,$E261=1,$E261=4),DT261,DS261),
IF($D261="Pénétro.",
IF(OR($E261=3,$E261=1,$E261=4),DT261,DS261))),IF($D261="Pressio.",
IF($E261=3,DT261,DS261),
IF($D261="Pénétro.",
IF($E261=4,DT261,DS261))))</f>
        <v>#N/A</v>
      </c>
      <c r="DV261" s="31" t="e">
        <f>(IF(OR(Hypothèses!$B$4=17,Hypothèses!$B$4=18,Hypothèses!$B$4=19,Hypothèses!$B$4=20),
IF($D261="Pressio.",
IF(OR($E261=3,$E261=1,$E261=4),(PI()*DV$12^2)/4*(DR261*$W261*1000)/($H261*$B$5),(PI()*DV$12^2)/4*(DR261*$W261*1000)/($G261*$B$5)),
IF($D261="Pénétro.",
IF(OR($E261=4,$E261=1,$E261=5),(PI()*DV$12^2)/4*(DR261*$W261*1000)/($H261*$B$5),(PI()*DV$12^2)/4*(DR261*$W261*1000)/($G261*$B$5)))),
IF($D261="Pressio.",
IF($E261=3,(PI()*DV$12^2)/4*(DR261*$W261*1000)/($H261*$B$5),(PI()*DV$12^2)/4*(DR261*$W261*1000)/($G261*$B$5)),
IF($D261="Pénétro.",
IF($E261=4,(PI()*DV$12^2)/4*(DR261*$W261*1000)/($H261*$B$5),(PI()*DV$12^2)/4*(DR261*$W261*1000)/($G261*$B$5))))))/10</f>
        <v>#N/A</v>
      </c>
      <c r="DW261" s="102" t="e">
        <f>(VLOOKUP($B$3,'Coeff EC7'!$T$39:$X$59,2,0)*DU261+VLOOKUP($B$3,'Coeff EC7'!$T$65:$X$85,2,0)*Model0.1C!DV261)/1.1</f>
        <v>#N/A</v>
      </c>
      <c r="DX261" s="102" t="e">
        <f>(VLOOKUP($B$3,'Coeff EC7'!$T$39:$X$59,3,0)*DU261+VLOOKUP($B$3,'Coeff EC7'!$T$65:$X$85,3,0)*Model0.1C!DV261)/0.9</f>
        <v>#N/A</v>
      </c>
      <c r="DY261" s="102" t="e">
        <f t="shared" si="390"/>
        <v>#N/A</v>
      </c>
      <c r="DZ261" s="102" t="e">
        <f t="shared" si="391"/>
        <v>#N/A</v>
      </c>
      <c r="EA261" s="414" t="e">
        <f>IF(EA260=0,0,IF(AND(DW261&gt;charge_ELS_quasi,DX261&gt;Charge_ELS_freq,DY261&gt;charge_ELU,DZ261&gt;charge_ELA,$B261&gt;NDC!$H$22-0.1+MIN(3*$EA$12,1.5)),0,1))</f>
        <v>#N/A</v>
      </c>
      <c r="EB261" s="86" t="b">
        <f t="shared" si="359"/>
        <v>0</v>
      </c>
      <c r="EC261" s="418">
        <f t="shared" si="360"/>
        <v>0.51</v>
      </c>
      <c r="ED261" s="86">
        <f t="shared" si="361"/>
        <v>0.51</v>
      </c>
      <c r="EE261" s="30" t="e">
        <f t="shared" ca="1" si="392"/>
        <v>#DIV/0!</v>
      </c>
      <c r="EF261" s="85" t="e">
        <f ca="1">IF(DL261&lt;=Hypothèses!$V$7,Hypothèses!$W$7,IF(DL261&lt;=Hypothèses!$V$8,Hypothèses!$W$8,IF(DL261&lt;=Hypothèses!$V$9,Hypothèses!$W$9,IF(DL261&lt;=Hypothèses!$V$10,Hypothèses!$W$10,IF(DL261&lt;=Hypothèses!$V$11,Hypothèses!$W$11,IF(DL261&lt;=Hypothèses!$V$12,Hypothèses!$W$12,IF(DL261&lt;=Hypothèses!$V$13,Hypothèses!$W$13,IF(DL261&lt;=Hypothèses!$V$14,Hypothèses!$W$14,IF(DL261&lt;=Hypothèses!$V$15,Hypothèses!$W$15,IF(DL261&lt;=Hypothèses!$V$16,Hypothèses!$W$16,IF(DL261&lt;=Hypothèses!$V$17,Hypothèses!$W$17,IF(DL261&lt;=Hypothèses!$V$18,Hypothèses!$W$18,""))))))))))))</f>
        <v>#DIV/0!</v>
      </c>
      <c r="EG261" s="87" t="e">
        <f t="shared" ca="1" si="422"/>
        <v>#DIV/0!</v>
      </c>
      <c r="EH261" s="88" t="e">
        <f ca="1">IF(DL261&lt;=Hypothèses!$V$7,Hypothèses!$X$7,IF(DL261&lt;=Hypothèses!$V$8,Hypothèses!$X$8,IF(DL261&lt;=Hypothèses!$V$9,Hypothèses!$X$9,IF(DL261&lt;=Hypothèses!$V$10,Hypothèses!$X$10,IF(DL261&lt;=Hypothèses!$V$11,Hypothèses!$X$11,IF(DL261&lt;=Hypothèses!$V$12,Hypothèses!$X$12,IF(DL261&lt;=Hypothèses!$V$13,Hypothèses!$X$13,IF(DL261&lt;=Hypothèses!$V$14,Hypothèses!$X$14,IF(DL261&lt;=Hypothèses!$V$15,Hypothèses!$X$15,IF(DL261&lt;=Hypothèses!$V$16,Hypothèses!$X$16,IF(DL261&lt;=Hypothèses!$U$17,Hypothèses!$W$17,IF(DL261&lt;=Hypothèses!$U$18,Hypothèses!$W$18,""))))))))))))</f>
        <v>#DIV/0!</v>
      </c>
      <c r="EI261" s="95" t="e">
        <f t="shared" ca="1" si="393"/>
        <v>#DIV/0!</v>
      </c>
      <c r="EJ261" s="101" t="e">
        <f t="shared" si="429"/>
        <v>#N/A</v>
      </c>
      <c r="EK261" s="91" t="e">
        <f t="shared" si="362"/>
        <v>#N/A</v>
      </c>
      <c r="EL261" s="30" t="e">
        <f t="shared" si="412"/>
        <v>#N/A</v>
      </c>
      <c r="EM261" s="30" t="e">
        <f t="shared" si="413"/>
        <v>#N/A</v>
      </c>
      <c r="EN261" s="31" t="e">
        <f>IF(OR(Hypothèses!$B$4=17,Hypothèses!$B$4=18,Hypothèses!$B$4=19,Hypothèses!$B$4=20),
IF($D261="Pressio.",
IF(OR($E261=3,$E261=1,$E261=4),EM261,EL261),
IF($D261="Pénétro.",
IF(OR($E261=3,$E261=1,$E261=4),EM261,EL261))),IF($D261="Pressio.",
IF($E261=3,EM261,EL261),
IF($D261="Pénétro.",
IF($E261=4,EM261,EL261))))</f>
        <v>#N/A</v>
      </c>
      <c r="EO261" s="31" t="e">
        <f>(IF(OR(Hypothèses!$B$4=17,Hypothèses!$B$4=18,Hypothèses!$B$4=19,Hypothèses!$B$4=20),
IF($D261="Pressio.",
IF(OR($E261=3,$E261=1,$E261=4),(PI()*EO$12^2)/4*(EK261*$W261*1000)/($H261*$B$5),(PI()*EO$12^2)/4*(EK261*$W261*1000)/($G261*$B$5)),
IF($D261="Pénétro.",
IF(OR($E261=4,$E261=1,$E261=5),(PI()*EO$12^2)/4*(EK261*$W261*1000)/($H261*$B$5),(PI()*EO$12^2)/4*(EK261*$W261*1000)/($G261*$B$5)))),
IF($D261="Pressio.",
IF($E261=3,(PI()*EO$12^2)/4*(EK261*$W261*1000)/($H261*$B$5),(PI()*EO$12^2)/4*(EK261*$W261*1000)/($G261*$B$5)),
IF($D261="Pénétro.",
IF($E261=4,(PI()*EO$12^2)/4*(EK261*$W261*1000)/($H261*$B$5),(PI()*EO$12^2)/4*(EK261*$W261*1000)/($G261*$B$5))))))/10</f>
        <v>#N/A</v>
      </c>
      <c r="EP261" s="102" t="e">
        <f>(VLOOKUP($B$3,'Coeff EC7'!$T$39:$X$59,2,0)*EN261+VLOOKUP($B$3,'Coeff EC7'!$T$65:$X$85,2,0)*Model0.1C!EO261)/1.1</f>
        <v>#N/A</v>
      </c>
      <c r="EQ261" s="102" t="e">
        <f>(VLOOKUP($B$3,'Coeff EC7'!$T$39:$X$59,3,0)*EN261+VLOOKUP($B$3,'Coeff EC7'!$T$65:$X$85,3,0)*Model0.1C!EO261)/0.9</f>
        <v>#N/A</v>
      </c>
      <c r="ER261" s="102" t="e">
        <f t="shared" si="394"/>
        <v>#N/A</v>
      </c>
      <c r="ES261" s="102" t="e">
        <f t="shared" si="395"/>
        <v>#N/A</v>
      </c>
      <c r="ET261" s="414" t="e">
        <f>IF(ET260=0,0,IF(AND(EP261&gt;charge_ELS_quasi,EQ261&gt;Charge_ELS_freq,ER261&gt;charge_ELU,ES261&gt;charge_ELA,$B261&gt;NDC!$H$22-0.1+MIN(3*$ET$12,1.5)),0,1))</f>
        <v>#N/A</v>
      </c>
      <c r="EU261" s="86" t="b">
        <f t="shared" si="363"/>
        <v>0</v>
      </c>
      <c r="EV261" s="86">
        <f t="shared" si="364"/>
        <v>0.61</v>
      </c>
      <c r="EW261" s="86">
        <f t="shared" si="365"/>
        <v>0.61</v>
      </c>
      <c r="EX261" s="30" t="e">
        <f t="shared" ca="1" si="396"/>
        <v>#DIV/0!</v>
      </c>
      <c r="EY261" s="85" t="e">
        <f ca="1">IF(EE261&lt;=Hypothèses!$V$7,Hypothèses!$W$7,IF(EE261&lt;=Hypothèses!$V$8,Hypothèses!$W$8,IF(EE261&lt;=Hypothèses!$V$9,Hypothèses!$W$9,IF(EE261&lt;=Hypothèses!$V$10,Hypothèses!$W$10,IF(EE261&lt;=Hypothèses!$V$11,Hypothèses!$W$11,IF(EE261&lt;=Hypothèses!$V$12,Hypothèses!$W$12,IF(EE261&lt;=Hypothèses!$V$13,Hypothèses!$W$13,IF(EE261&lt;=Hypothèses!$V$14,Hypothèses!$W$14,IF(EE261&lt;=Hypothèses!$V$15,Hypothèses!$W$15,IF(EE261&lt;=Hypothèses!$V$16,Hypothèses!$W$16,IF(EE261&lt;=Hypothèses!$V$17,Hypothèses!$W$17,IF(EE261&lt;=Hypothèses!$V$18,Hypothèses!$W$18,""))))))))))))</f>
        <v>#DIV/0!</v>
      </c>
      <c r="EZ261" s="87" t="e">
        <f t="shared" ca="1" si="423"/>
        <v>#DIV/0!</v>
      </c>
      <c r="FA261" s="88" t="e">
        <f ca="1">IF(EE261&lt;=Hypothèses!$V$7,Hypothèses!$X$7,IF(EE261&lt;=Hypothèses!$V$8,Hypothèses!$X$8,IF(EE261&lt;=Hypothèses!$V$9,Hypothèses!$X$9,IF(EE261&lt;=Hypothèses!$V$10,Hypothèses!$X$10,IF(EE261&lt;=Hypothèses!$V$11,Hypothèses!$X$11,IF(EE261&lt;=Hypothèses!$V$12,Hypothèses!$X$12,IF(EE261&lt;=Hypothèses!$V$13,Hypothèses!$X$13,IF(EE261&lt;=Hypothèses!$V$14,Hypothèses!$X$14,IF(EE261&lt;=Hypothèses!$V$15,Hypothèses!$X$15,IF(EE261&lt;=Hypothèses!$V$16,Hypothèses!$X$16,IF(EE261&lt;=Hypothèses!$U$17,Hypothèses!$W$17,IF(EE261&lt;=Hypothèses!$U$18,Hypothèses!$W$18,""))))))))))))</f>
        <v>#DIV/0!</v>
      </c>
      <c r="FB261" s="95" t="e">
        <f t="shared" ca="1" si="397"/>
        <v>#DIV/0!</v>
      </c>
      <c r="FC261" s="101" t="e">
        <f t="shared" si="430"/>
        <v>#N/A</v>
      </c>
      <c r="FD261" s="91" t="e">
        <f t="shared" si="366"/>
        <v>#N/A</v>
      </c>
      <c r="FE261" s="30" t="e">
        <f t="shared" si="414"/>
        <v>#N/A</v>
      </c>
      <c r="FF261" s="30" t="e">
        <f t="shared" si="415"/>
        <v>#N/A</v>
      </c>
      <c r="FG261" s="31" t="e">
        <f>IF(OR(Hypothèses!$B$4=17,Hypothèses!$B$4=18,Hypothèses!$B$4=19,Hypothèses!$B$4=20),
IF($D261="Pressio.",
IF(OR($E261=3,$E261=1,$E261=4),FF261,FE261),
IF($D261="Pénétro.",
IF(OR($E261=3,$E261=1,$E261=4),FF261,FE261))),IF($D261="Pressio.",
IF($E261=3,FF261,FE261),
IF($D261="Pénétro.",
IF($E261=4,FF261,FE261))))</f>
        <v>#N/A</v>
      </c>
      <c r="FH261" s="31" t="e">
        <f>(IF(OR(Hypothèses!$B$4=17,Hypothèses!$B$4=18,Hypothèses!$B$4=19,Hypothèses!$B$4=20),
IF($D261="Pressio.",
IF(OR($E261=3,$E261=1,$E261=4),(PI()*FH$12^2)/4*(FD261*$W261*1000)/($H261*$B$5),(PI()*FH$12^2)/4*(FD261*$W261*1000)/($G261*$B$5)),
IF($D261="Pénétro.",
IF(OR($E261=4,$E261=1,$E261=5),(PI()*FH$12^2)/4*(FD261*$W261*1000)/($H261*$B$5),(PI()*FH$12^2)/4*(FD261*$W261*1000)/($G261*$B$5)))),
IF($D261="Pressio.",
IF($E261=3,(PI()*FH$12^2)/4*(FD261*$W261*1000)/($H261*$B$5),(PI()*FH$12^2)/4*(FD261*$W261*1000)/($G261*$B$5)),
IF($D261="Pénétro.",
IF($E261=4,(PI()*FH$12^2)/4*(FD261*$W261*1000)/($H261*$B$5),(PI()*FH$12^2)/4*(FD261*$W261*1000)/($G261*$B$5))))))/10</f>
        <v>#N/A</v>
      </c>
      <c r="FI261" s="102" t="e">
        <f>(VLOOKUP($B$3,'Coeff EC7'!$T$39:$X$59,2,0)*FG261+VLOOKUP($B$3,'Coeff EC7'!$T$65:$X$85,2,0)*Model0.1C!FH261)/1.1</f>
        <v>#N/A</v>
      </c>
      <c r="FJ261" s="102" t="e">
        <f>(VLOOKUP($B$3,'Coeff EC7'!$T$39:$X$59,3,0)*FG261+VLOOKUP($B$3,'Coeff EC7'!$T$65:$X$85,3,0)*Model0.1C!FH261)/0.9</f>
        <v>#N/A</v>
      </c>
      <c r="FK261" s="102" t="e">
        <f t="shared" si="398"/>
        <v>#N/A</v>
      </c>
      <c r="FL261" s="102" t="e">
        <f t="shared" si="399"/>
        <v>#N/A</v>
      </c>
      <c r="FM261" s="414" t="e">
        <f>IF(FM260=0,0,IF(AND(FI261&gt;charge_ELS_quasi,FJ261&gt;Charge_ELS_freq,FK261&gt;charge_ELU,FL261&gt;charge_ELA,$B261&gt;NDC!$H$22-0.1+MIN(3*$FM$12,1.5)),0,1))</f>
        <v>#N/A</v>
      </c>
    </row>
    <row r="262" spans="1:169">
      <c r="A262" s="96">
        <f t="shared" si="367"/>
        <v>75.100000000001415</v>
      </c>
      <c r="B262" s="97">
        <v>24.9</v>
      </c>
      <c r="C262" s="81">
        <f>IF(B262&lt;=Hypothèses!$C$7,Hypothèses!$A$7,IF(B262&lt;=Hypothèses!$C$8,Hypothèses!$A$8,IF(B262&lt;=Hypothèses!$C$9,Hypothèses!$A$9,IF(B262&lt;=Hypothèses!$C$10,Hypothèses!$A$10,IF(B262&lt;=Hypothèses!$C$11,Hypothèses!$A$11,IF(B262&lt;=Hypothèses!$C$12,Hypothèses!$A$12,IF(B262&lt;=Hypothèses!$C$13,Hypothèses!$A$13,IF(B262&lt;=Hypothèses!$C$14,Hypothèses!$A$14,IF(B262&lt;=Hypothèses!$C$15,Hypothèses!$A$15,IF(B262&lt;=Hypothèses!$C$16,Hypothèses!$A$16,IF(B262&lt;=Hypothèses!$C$17,Hypothèses!$A$17,IF(B262&lt;=Hypothèses!$C$18,Hypothèses!$A$18,C261))))))))))))</f>
        <v>11</v>
      </c>
      <c r="D262" s="82" t="str">
        <f>IF(B262&lt;=Hypothèses!$C$7,Hypothèses!$R$7,IF(B262&lt;=Hypothèses!$C$8,Hypothèses!$R$8,IF(B262&lt;=Hypothèses!$C$9,Hypothèses!$R$9,IF(B262&lt;=Hypothèses!$C$10,Hypothèses!$R$10,IF(B262&lt;=Hypothèses!$C$11,Hypothèses!$R$11,IF(B262&lt;=Hypothèses!$C$12,Hypothèses!$R$12,IF(B262&lt;=Hypothèses!$C$13,Hypothèses!$R$13,IF(B262&lt;=Hypothèses!$C$14,Hypothèses!$R$14,IF(B262&lt;=Hypothèses!$C$15,Hypothèses!$R$15,IF(B262&lt;=Hypothèses!$C$16,Hypothèses!$R$16,IF(B262&lt;=Hypothèses!$C$17,Hypothèses!$R$17,IF(B262&lt;=Hypothèses!$C$18,Hypothèses!$R$18,D261))))))))))))</f>
        <v>Pressio.</v>
      </c>
      <c r="E262" s="82" t="e">
        <f>IF(B262&lt;=Hypothèses!$C$7,Hypothèses!$G$7,IF(B262&lt;=Hypothèses!$C$8,Hypothèses!$G$8,IF(B262&lt;=Hypothèses!$C$9,Hypothèses!$G$9,IF(B262&lt;=Hypothèses!$C$10,Hypothèses!$G$10,IF(B262&lt;=Hypothèses!$C$11,Hypothèses!$G$11,IF(B262&lt;=Hypothèses!$C$12,Hypothèses!$G$12,IF(B262&lt;=Hypothèses!$C$13,Hypothèses!$G$13,IF(B262&lt;=Hypothèses!$C$14,Hypothèses!$G$14,IF(B262&lt;=Hypothèses!$C$15,Hypothèses!$G$15,IF(B262&lt;=Hypothèses!$C$16,Hypothèses!$G$16,IF(B262&lt;=Hypothèses!$C$17,Hypothèses!$G$17,IF(B262&lt;=Hypothèses!$C$18,Hypothèses!$G$18,E261))))))))))))</f>
        <v>#N/A</v>
      </c>
      <c r="F262" s="82" t="str">
        <f>IF(B262&lt;=Hypothèses!$C$7,Hypothèses!$F$7,IF(B262&lt;=Hypothèses!$C$8,Hypothèses!$F$8,IF(B262&lt;=Hypothèses!$C$9,Hypothèses!$F$9,IF(B262&lt;=Hypothèses!$C$10,Hypothèses!$F$10,IF(B262&lt;=Hypothèses!$C$11,Hypothèses!$F$11,IF(B262&lt;=Hypothèses!$C$12,Hypothèses!$F$12,IF(B262&lt;=Hypothèses!$C$13,Hypothèses!$F$13,IF(B262&lt;=Hypothèses!$C$14,Hypothèses!$F$14,IF(B262&lt;=Hypothèses!$C$15,Hypothèses!$F$15,IF(B262&lt;=Hypothèses!$C$16,Hypothèses!$F$16,IF(B262&lt;=Hypothèses!$C$17,Hypothèses!$F$17,IF(B262&lt;=Hypothèses!$C$18,Hypothèses!$F$18,F261))))))))))))</f>
        <v/>
      </c>
      <c r="G262" s="91">
        <f t="array" ref="G262">INDEX('Coeff EC7'!$U$7:$X$27,
MATCH(Model0.1C!$B$3,'Coeff EC7'!$T$7:$T$27,0),
MATCH(Model0.1C!$D262&amp;Model0.1C!$B$4,
'Coeff EC7'!$U$6:$X$6&amp;
'Coeff EC7'!$U$5:$X$5,0))</f>
        <v>1.1499999999999999</v>
      </c>
      <c r="H262" s="91">
        <f t="array" ref="H262">INDEX('Coeff EC7'!$Y$7:$AB$27,
MATCH(Model0.1C!$B$3,'Coeff EC7'!$T$7:$T$27,0),
MATCH(Model0.1C!$D262&amp;Model0.1C!$B$4,
'Coeff EC7'!$Y$6:$AB$6&amp;
'Coeff EC7'!$Y$5:$AB$5,0))</f>
        <v>1.4</v>
      </c>
      <c r="I262" s="83" t="e">
        <f>IF(B262&lt;=Hypothèses!$C$7,Hypothèses!$P$7,IF(B262&lt;=Hypothèses!$C$8,Hypothèses!$P$8,IF(B262&lt;=Hypothèses!$C$9,Hypothèses!$P$9,IF(B262&lt;=Hypothèses!$C$10,Hypothèses!$P$10,IF(B262&lt;=Hypothèses!$C$11,Hypothèses!$P$11,IF(B262&lt;=Hypothèses!$C$12,Hypothèses!$P$12,IF(B262&lt;=Hypothèses!$C$13,Hypothèses!$P$13,IF(B262&lt;=Hypothèses!$C$14,Hypothèses!$P$14,IF(B262&lt;=Hypothèses!$C$15,Hypothèses!$P$15,IF(B262&lt;=Hypothèses!$C$16,Hypothèses!$P$16,IF(B262&lt;=Hypothèses!$C$17,Hypothèses!$P$17,IF(B262&lt;=Hypothèses!$C$18,Hypothèses!$P$18,I261))))))))))))</f>
        <v>#N/A</v>
      </c>
      <c r="J262" s="91" t="e">
        <f t="array" ref="J262">INDEX('Coeff EC7'!$D$33:$Q$33,1,MATCH(D262&amp;E262,'Coeff EC7'!$D$31:$Q$31&amp;'Coeff EC7'!$D$32:$Q$32,0))</f>
        <v>#N/A</v>
      </c>
      <c r="K262" s="91" t="e">
        <f t="array" ref="K262">INDEX('Coeff EC7'!$D$34:$Q$34,1,MATCH(D262&amp;E262,'Coeff EC7'!$D$31:$Q$31&amp;'Coeff EC7'!$D$32:$Q$32,0))</f>
        <v>#N/A</v>
      </c>
      <c r="L262" s="91" t="e">
        <f t="array" ref="L262">INDEX('Coeff EC7'!$D$35:$Q$35,1,MATCH(D262&amp;E262,'Coeff EC7'!$D$31:$Q$31&amp;'Coeff EC7'!$D$32:$Q$32,0))</f>
        <v>#N/A</v>
      </c>
      <c r="M262" s="98" t="e">
        <f t="shared" si="331"/>
        <v>#N/A</v>
      </c>
      <c r="N262" s="99" t="e">
        <f t="array" ref="N262">INDEX('Coeff EC7'!$D$7:$Q$27,MATCH($B$3,'Coeff EC7'!$C$7:$C$27,0),MATCH(D262&amp;E262,'Coeff EC7'!$D$5:$Q$5&amp;'Coeff EC7'!$D$6:$Q$6,0))</f>
        <v>#N/A</v>
      </c>
      <c r="O262" s="99" t="e">
        <f t="array" ref="O262">INDEX('Coeff EC7'!$D$41:$Q$61,MATCH($B$3,'Coeff EC7'!$C$41:$C$61,0),MATCH(D262&amp;E262,'Coeff EC7'!$D$39:$Q$39&amp;'Coeff EC7'!$D$40:$Q$40,0))</f>
        <v>#N/A</v>
      </c>
      <c r="P262" s="30" t="e">
        <f t="shared" si="368"/>
        <v>#N/A</v>
      </c>
      <c r="Q262" s="100" t="e">
        <f t="shared" si="333"/>
        <v>#N/A</v>
      </c>
      <c r="R262" s="86" t="b">
        <f t="shared" si="334"/>
        <v>0</v>
      </c>
      <c r="S262" s="86">
        <f t="shared" si="332"/>
        <v>0.5</v>
      </c>
      <c r="T262" s="86">
        <f t="shared" si="335"/>
        <v>0.5</v>
      </c>
      <c r="U262" s="30" t="e">
        <f t="shared" ca="1" si="369"/>
        <v>#DIV/0!</v>
      </c>
      <c r="V262" s="85" t="str">
        <f>IF(B262&lt;=Hypothèses!$V$7,Hypothèses!$W$7,IF(B262&lt;=Hypothèses!$V$8,Hypothèses!$W$8,IF(B262&lt;=Hypothèses!$V$9,Hypothèses!$W$9,IF(B262&lt;=Hypothèses!$V$10,Hypothèses!$W$10,IF(B262&lt;=Hypothèses!$V$11,Hypothèses!$W$11,IF(B262&lt;=Hypothèses!$V$12,Hypothèses!$W$12,IF(B262&lt;=Hypothèses!$V$13,Hypothèses!$W$13,IF(B262&lt;=Hypothèses!$V$14,Hypothèses!$W$14,IF(B262&lt;=Hypothèses!$V$15,Hypothèses!$W$15,IF(B262&lt;=Hypothèses!$V$16,Hypothèses!$W$16,IF(B262&lt;=Hypothèses!$V$17,Hypothèses!$W$17,IF(B262&lt;=Hypothèses!$V$18,Hypothèses!$W$18,""))))))))))))</f>
        <v/>
      </c>
      <c r="W262" s="87" t="e">
        <f t="shared" ca="1" si="416"/>
        <v>#DIV/0!</v>
      </c>
      <c r="X262" s="88" t="str">
        <f>IF(B262&lt;=Hypothèses!$V$7,Hypothèses!$X$7,IF(B262&lt;=Hypothèses!$V$8,Hypothèses!$X$8,IF(B262&lt;=Hypothèses!$V$9,Hypothèses!$X$9,IF(B262&lt;=Hypothèses!$V$10,Hypothèses!$X$10,IF(B262&lt;=Hypothèses!$V$11,Hypothèses!$X$11,IF(B262&lt;=Hypothèses!$V$12,Hypothèses!$X$12,IF(B262&lt;=Hypothèses!$V$13,Hypothèses!$X$13,IF(B262&lt;=Hypothèses!$V$14,Hypothèses!$X$14,IF(B262&lt;=Hypothèses!$V$15,Hypothèses!$X$15,IF(B262&lt;=Hypothèses!$V$16,Hypothèses!$X$16,IF(B262&lt;=Hypothèses!$U$17,Hypothèses!$W$17,IF(B262&lt;=Hypothèses!$U$18,Hypothèses!$W$18,""))))))))))))</f>
        <v/>
      </c>
      <c r="Y262" s="95" t="e">
        <f t="shared" ca="1" si="336"/>
        <v>#DIV/0!</v>
      </c>
      <c r="Z262" s="101" t="e">
        <f t="shared" si="337"/>
        <v>#N/A</v>
      </c>
      <c r="AA262" s="91" t="e">
        <f t="shared" si="338"/>
        <v>#N/A</v>
      </c>
      <c r="AB262" s="30" t="e">
        <f t="shared" si="400"/>
        <v>#N/A</v>
      </c>
      <c r="AC262" s="30" t="e">
        <f t="shared" si="401"/>
        <v>#N/A</v>
      </c>
      <c r="AD262" s="31" t="e">
        <f>IF(OR(Hypothèses!$B$4=17,Hypothèses!$B$4=18,Hypothèses!$B$4=19,Hypothèses!$B$4=20),
IF($D262="Pressio.",
IF(OR($E262=3,$E262=1,$E262=4),AC262,AB262),
IF($D262="Pénétro.",
IF(OR($E262=3,$E262=1,$E262=4),AC262,AB262))),IF($D262="Pressio.",
IF($E262=3,AC262,AB262),
IF($D262="Pénétro.",
IF($E262=4,AC262,AB262))))</f>
        <v>#N/A</v>
      </c>
      <c r="AE262" s="31" t="e">
        <f>(IF(OR(Hypothèses!$B$4=17,Hypothèses!$B$4=18,Hypothèses!$B$4=19,Hypothèses!$B$4=20),
IF($D262="Pressio.",
IF(OR($E262=3,$E262=1,$E262=4),(PI()*AE$12^2)/4*(AA262*$W262*1000)/($H262*$B$5),(PI()*AE$12^2)/4*(AA262*$W262*1000)/($G262*$B$5)),
IF($D262="Pénétro.",
IF(OR($E262=4,$E262=1,$E262=5),(PI()*AE$12^2)/4*(AA262*$W262*1000)/($H262*$B$5),(PI()*AE$12^2)/4*(AA262*$W262*1000)/($G262*$B$5)))),
IF($D262="Pressio.",
IF($E262=3,(PI()*AE$12^2)/4*(AA262*$W262*1000)/($H262*$B$5),(PI()*AE$12^2)/4*(AA262*$W262*1000)/($G262*$B$5)),
IF($D262="Pénétro.",
IF($E262=4,(PI()*AE$12^2)/4*(AA262*$W262*1000)/($H262*$B$5),(PI()*AE$12^2)/4*(AA262*$W262*1000)/($G262*$B$5))))))/10</f>
        <v>#N/A</v>
      </c>
      <c r="AF262" s="102" t="e">
        <f>(VLOOKUP($B$3,'Coeff EC7'!$T$39:$X$59,2,0)*AD262+VLOOKUP($B$3,'Coeff EC7'!$T$65:$X$85,2,0)*Model0.1C!AE262)/1.1</f>
        <v>#N/A</v>
      </c>
      <c r="AG262" s="102" t="e">
        <f>(VLOOKUP($B$3,'Coeff EC7'!$T$39:$X$59,3,0)*AD262+VLOOKUP($B$3,'Coeff EC7'!$T$65:$X$85,3,0)*Model0.1C!AE262)/0.9</f>
        <v>#N/A</v>
      </c>
      <c r="AH262" s="102" t="e">
        <f t="shared" si="339"/>
        <v>#N/A</v>
      </c>
      <c r="AI262" s="102" t="e">
        <f t="shared" si="340"/>
        <v>#N/A</v>
      </c>
      <c r="AJ262" s="414" t="e">
        <f>IF(AJ261=0,0,IF(AND(AF262&gt;charge_ELS_quasi,AG262&gt;Charge_ELS_freq,AH262&gt;charge_ELU,AI262&gt;charge_ELA,$B262&gt;NDC!$H$22-0.1+MIN(3*$AJ$12,1.5)),0,1))</f>
        <v>#N/A</v>
      </c>
      <c r="AK262" s="86" t="b">
        <f t="shared" si="341"/>
        <v>0</v>
      </c>
      <c r="AL262" s="86">
        <f t="shared" si="370"/>
        <v>0.5</v>
      </c>
      <c r="AM262" s="86">
        <f t="shared" si="342"/>
        <v>0.5</v>
      </c>
      <c r="AN262" s="30" t="e">
        <f t="shared" ca="1" si="371"/>
        <v>#DIV/0!</v>
      </c>
      <c r="AO262" s="85" t="e">
        <f ca="1">IF(U262&lt;=Hypothèses!$V$7,Hypothèses!$W$7,IF(U262&lt;=Hypothèses!$V$8,Hypothèses!$W$8,IF(U262&lt;=Hypothèses!$V$9,Hypothèses!$W$9,IF(U262&lt;=Hypothèses!$V$10,Hypothèses!$W$10,IF(U262&lt;=Hypothèses!$V$11,Hypothèses!$W$11,IF(U262&lt;=Hypothèses!$V$12,Hypothèses!$W$12,IF(U262&lt;=Hypothèses!$V$13,Hypothèses!$W$13,IF(U262&lt;=Hypothèses!$V$14,Hypothèses!$W$14,IF(U262&lt;=Hypothèses!$V$15,Hypothèses!$W$15,IF(U262&lt;=Hypothèses!$V$16,Hypothèses!$W$16,IF(U262&lt;=Hypothèses!$V$17,Hypothèses!$W$17,IF(U262&lt;=Hypothèses!$V$18,Hypothèses!$W$18,""))))))))))))</f>
        <v>#DIV/0!</v>
      </c>
      <c r="AP262" s="87" t="e">
        <f t="shared" ca="1" si="417"/>
        <v>#DIV/0!</v>
      </c>
      <c r="AQ262" s="88" t="e">
        <f ca="1">IF(U262&lt;=Hypothèses!$V$7,Hypothèses!$X$7,IF(U262&lt;=Hypothèses!$V$8,Hypothèses!$X$8,IF(U262&lt;=Hypothèses!$V$9,Hypothèses!$X$9,IF(U262&lt;=Hypothèses!$V$10,Hypothèses!$X$10,IF(U262&lt;=Hypothèses!$V$11,Hypothèses!$X$11,IF(U262&lt;=Hypothèses!$V$12,Hypothèses!$X$12,IF(U262&lt;=Hypothèses!$V$13,Hypothèses!$X$13,IF(U262&lt;=Hypothèses!$V$14,Hypothèses!$X$14,IF(U262&lt;=Hypothèses!$V$15,Hypothèses!$X$15,IF(U262&lt;=Hypothèses!$V$16,Hypothèses!$X$16,IF(U262&lt;=Hypothèses!$U$17,Hypothèses!$W$17,IF(U262&lt;=Hypothèses!$U$18,Hypothèses!$W$18,""))))))))))))</f>
        <v>#DIV/0!</v>
      </c>
      <c r="AR262" s="95" t="e">
        <f t="shared" ca="1" si="372"/>
        <v>#DIV/0!</v>
      </c>
      <c r="AS262" s="101" t="e">
        <f t="shared" si="424"/>
        <v>#N/A</v>
      </c>
      <c r="AT262" s="91" t="e">
        <f t="shared" si="343"/>
        <v>#N/A</v>
      </c>
      <c r="AU262" s="30" t="e">
        <f t="shared" si="402"/>
        <v>#N/A</v>
      </c>
      <c r="AV262" s="30" t="e">
        <f t="shared" si="403"/>
        <v>#N/A</v>
      </c>
      <c r="AW262" s="31" t="e">
        <f>IF(OR(Hypothèses!$B$4=17,Hypothèses!$B$4=18,Hypothèses!$B$4=19,Hypothèses!$B$4=20),
IF($D262="Pressio.",
IF(OR($E262=3,$E262=1,$E262=4),AV262,AU262),
IF($D262="Pénétro.",
IF(OR($E262=3,$E262=1,$E262=4),AV262,AU262))),IF($D262="Pressio.",
IF($E262=3,AV262,AU262),
IF($D262="Pénétro.",
IF($E262=4,AV262,AU262))))</f>
        <v>#N/A</v>
      </c>
      <c r="AX262" s="31" t="e">
        <f>(IF(OR(Hypothèses!$B$4=17,Hypothèses!$B$4=18,Hypothèses!$B$4=19,Hypothèses!$B$4=20),
IF($D262="Pressio.",
IF(OR($E262=3,$E262=1,$E262=4),(PI()*AX$12^2)/4*(AT262*$W262*1000)/($H262*$B$5),(PI()*AX$12^2)/4*(AT262*$W262*1000)/($G262*$B$5)),
IF($D262="Pénétro.",
IF(OR($E262=4,$E262=1,$E262=5),(PI()*AX$12^2)/4*(AT262*$W262*1000)/($H262*$B$5),(PI()*AX$12^2)/4*(AT262*$W262*1000)/($G262*$B$5)))),
IF($D262="Pressio.",
IF($E262=3,(PI()*AX$12^2)/4*(AT262*$W262*1000)/($H262*$B$5),(PI()*AX$12^2)/4*(AT262*$W262*1000)/($G262*$B$5)),
IF($D262="Pénétro.",
IF($E262=4,(PI()*AX$12^2)/4*(AT262*$W262*1000)/($H262*$B$5),(PI()*AX$12^2)/4*(AT262*$W262*1000)/($G262*$B$5))))))/10</f>
        <v>#N/A</v>
      </c>
      <c r="AY262" s="102" t="e">
        <f>(VLOOKUP($B$3,'Coeff EC7'!$T$39:$X$59,2,0)*AW262+VLOOKUP($B$3,'Coeff EC7'!$T$65:$X$85,2,0)*Model0.1C!AX262)/1.1</f>
        <v>#N/A</v>
      </c>
      <c r="AZ262" s="102" t="e">
        <f>(VLOOKUP($B$3,'Coeff EC7'!$T$39:$X$59,3,0)*AW262+VLOOKUP($B$3,'Coeff EC7'!$T$65:$X$85,3,0)*Model0.1C!AX262)/0.9</f>
        <v>#N/A</v>
      </c>
      <c r="BA262" s="102" t="e">
        <f t="shared" si="373"/>
        <v>#N/A</v>
      </c>
      <c r="BB262" s="102" t="e">
        <f t="shared" si="374"/>
        <v>#N/A</v>
      </c>
      <c r="BC262" s="414" t="e">
        <f>IF(BC261=0,0,IF(AND(AY262&gt;charge_ELS_quasi,AZ262&gt;Charge_ELS_freq,BA262&gt;charge_ELU,BB262&gt;charge_ELA,$B262&gt;NDC!$H$22-0.1+MIN(3*$BC$12,1.5)),0,1))</f>
        <v>#N/A</v>
      </c>
      <c r="BD262" s="86" t="b">
        <f t="shared" si="344"/>
        <v>0</v>
      </c>
      <c r="BE262" s="86">
        <f t="shared" si="375"/>
        <v>0.5</v>
      </c>
      <c r="BF262" s="86">
        <f t="shared" si="345"/>
        <v>0.5</v>
      </c>
      <c r="BG262" s="30" t="e">
        <f t="shared" ca="1" si="376"/>
        <v>#DIV/0!</v>
      </c>
      <c r="BH262" s="85" t="e">
        <f ca="1">IF(AN262&lt;=Hypothèses!$V$7,Hypothèses!$W$7,IF(AN262&lt;=Hypothèses!$V$8,Hypothèses!$W$8,IF(AN262&lt;=Hypothèses!$V$9,Hypothèses!$W$9,IF(AN262&lt;=Hypothèses!$V$10,Hypothèses!$W$10,IF(AN262&lt;=Hypothèses!$V$11,Hypothèses!$W$11,IF(AN262&lt;=Hypothèses!$V$12,Hypothèses!$W$12,IF(AN262&lt;=Hypothèses!$V$13,Hypothèses!$W$13,IF(AN262&lt;=Hypothèses!$V$14,Hypothèses!$W$14,IF(AN262&lt;=Hypothèses!$V$15,Hypothèses!$W$15,IF(AN262&lt;=Hypothèses!$V$16,Hypothèses!$W$16,IF(AN262&lt;=Hypothèses!$V$17,Hypothèses!$W$17,IF(AN262&lt;=Hypothèses!$V$18,Hypothèses!$W$18,""))))))))))))</f>
        <v>#DIV/0!</v>
      </c>
      <c r="BI262" s="87" t="e">
        <f t="shared" ca="1" si="418"/>
        <v>#DIV/0!</v>
      </c>
      <c r="BJ262" s="88" t="e">
        <f ca="1">IF(AN262&lt;=Hypothèses!$V$7,Hypothèses!$X$7,IF(AN262&lt;=Hypothèses!$V$8,Hypothèses!$X$8,IF(AN262&lt;=Hypothèses!$V$9,Hypothèses!$X$9,IF(AN262&lt;=Hypothèses!$V$10,Hypothèses!$X$10,IF(AN262&lt;=Hypothèses!$V$11,Hypothèses!$X$11,IF(AN262&lt;=Hypothèses!$V$12,Hypothèses!$X$12,IF(AN262&lt;=Hypothèses!$V$13,Hypothèses!$X$13,IF(AN262&lt;=Hypothèses!$V$14,Hypothèses!$X$14,IF(AN262&lt;=Hypothèses!$V$15,Hypothèses!$X$15,IF(AN262&lt;=Hypothèses!$V$16,Hypothèses!$X$16,IF(AN262&lt;=Hypothèses!$U$17,Hypothèses!$W$17,IF(AN262&lt;=Hypothèses!$U$18,Hypothèses!$W$18,""))))))))))))</f>
        <v>#DIV/0!</v>
      </c>
      <c r="BK262" s="95" t="e">
        <f t="shared" ca="1" si="377"/>
        <v>#DIV/0!</v>
      </c>
      <c r="BL262" s="101" t="e">
        <f t="shared" si="425"/>
        <v>#N/A</v>
      </c>
      <c r="BM262" s="91" t="e">
        <f t="shared" si="346"/>
        <v>#N/A</v>
      </c>
      <c r="BN262" s="30" t="e">
        <f t="shared" si="404"/>
        <v>#N/A</v>
      </c>
      <c r="BO262" s="30" t="e">
        <f t="shared" si="405"/>
        <v>#N/A</v>
      </c>
      <c r="BP262" s="31" t="e">
        <f>IF(OR(Hypothèses!$B$4=17,Hypothèses!$B$4=18,Hypothèses!$B$4=19,Hypothèses!$B$4=20),
IF($D262="Pressio.",
IF(OR($E262=3,$E262=1,$E262=4),BO262,BN262),
IF($D262="Pénétro.",
IF(OR($E262=3,$E262=1,$E262=4),BO262,BN262))),IF($D262="Pressio.",
IF($E262=3,BO262,BN262),
IF($D262="Pénétro.",
IF($E262=4,BO262,BN262))))</f>
        <v>#N/A</v>
      </c>
      <c r="BQ262" s="31" t="e">
        <f>(IF(OR(Hypothèses!$B$4=17,Hypothèses!$B$4=18,Hypothèses!$B$4=19,Hypothèses!$B$4=20),
IF($D262="Pressio.",
IF(OR($E262=3,$E262=1,$E262=4),(PI()*BQ$12^2)/4*(BM262*$W262*1000)/($H262*$B$5),(PI()*BQ$12^2)/4*(BM262*$W262*1000)/($G262*$B$5)),
IF($D262="Pénétro.",
IF(OR($E262=4,$E262=1,$E262=5),(PI()*BQ$12^2)/4*(BM262*$W262*1000)/($H262*$B$5),(PI()*BQ$12^2)/4*(BM262*$W262*1000)/($G262*$B$5)))),
IF($D262="Pressio.",
IF($E262=3,(PI()*BQ$12^2)/4*(BM262*$W262*1000)/($H262*$B$5),(PI()*BQ$12^2)/4*(BM262*$W262*1000)/($G262*$B$5)),
IF($D262="Pénétro.",
IF($E262=4,(PI()*BQ$12^2)/4*(BM262*$W262*1000)/($H262*$B$5),(PI()*BQ$12^2)/4*(BM262*$W262*1000)/($G262*$B$5))))))/10</f>
        <v>#N/A</v>
      </c>
      <c r="BR262" s="102" t="e">
        <f>(VLOOKUP($B$3,'Coeff EC7'!$T$39:$X$59,2,0)*BP262+VLOOKUP($B$3,'Coeff EC7'!$T$65:$X$85,2,0)*Model0.1C!BQ262)/1.1</f>
        <v>#N/A</v>
      </c>
      <c r="BS262" s="102" t="e">
        <f>(VLOOKUP($B$3,'Coeff EC7'!$T$39:$X$59,3,0)*BP262+VLOOKUP($B$3,'Coeff EC7'!$T$65:$X$85,3,0)*Model0.1C!BQ262)/0.9</f>
        <v>#N/A</v>
      </c>
      <c r="BT262" s="102" t="e">
        <f t="shared" si="378"/>
        <v>#N/A</v>
      </c>
      <c r="BU262" s="102" t="e">
        <f t="shared" si="379"/>
        <v>#N/A</v>
      </c>
      <c r="BV262" s="414" t="e">
        <f>IF(BV261=0,0,IF(AND(BR262&gt;charge_ELS_quasi,BS262&gt;Charge_ELS_freq,BT262&gt;charge_ELU,BU262&gt;charge_ELA,$B262&gt;NDC!$H$22-0.1+MIN(3*$BV$12,1.5)),0,1))</f>
        <v>#N/A</v>
      </c>
      <c r="BW262" s="86" t="b">
        <f t="shared" si="347"/>
        <v>0</v>
      </c>
      <c r="BX262" s="86">
        <f t="shared" si="348"/>
        <v>0.5</v>
      </c>
      <c r="BY262" s="86">
        <f t="shared" si="349"/>
        <v>0.5</v>
      </c>
      <c r="BZ262" s="30" t="e">
        <f t="shared" ca="1" si="380"/>
        <v>#DIV/0!</v>
      </c>
      <c r="CA262" s="85" t="e">
        <f ca="1">IF(BG262&lt;=Hypothèses!$V$7,Hypothèses!$W$7,IF(BG262&lt;=Hypothèses!$V$8,Hypothèses!$W$8,IF(BG262&lt;=Hypothèses!$V$9,Hypothèses!$W$9,IF(BG262&lt;=Hypothèses!$V$10,Hypothèses!$W$10,IF(BG262&lt;=Hypothèses!$V$11,Hypothèses!$W$11,IF(BG262&lt;=Hypothèses!$V$12,Hypothèses!$W$12,IF(BG262&lt;=Hypothèses!$V$13,Hypothèses!$W$13,IF(BG262&lt;=Hypothèses!$V$14,Hypothèses!$W$14,IF(BG262&lt;=Hypothèses!$V$15,Hypothèses!$W$15,IF(BG262&lt;=Hypothèses!$V$16,Hypothèses!$W$16,IF(BG262&lt;=Hypothèses!$V$17,Hypothèses!$W$17,IF(BG262&lt;=Hypothèses!$V$18,Hypothèses!$W$18,""))))))))))))</f>
        <v>#DIV/0!</v>
      </c>
      <c r="CB262" s="87" t="e">
        <f t="shared" ca="1" si="419"/>
        <v>#DIV/0!</v>
      </c>
      <c r="CC262" s="88" t="e">
        <f ca="1">IF(BG262&lt;=Hypothèses!$V$7,Hypothèses!$X$7,IF(BG262&lt;=Hypothèses!$V$8,Hypothèses!$X$8,IF(BG262&lt;=Hypothèses!$V$9,Hypothèses!$X$9,IF(BG262&lt;=Hypothèses!$V$10,Hypothèses!$X$10,IF(BG262&lt;=Hypothèses!$V$11,Hypothèses!$X$11,IF(BG262&lt;=Hypothèses!$V$12,Hypothèses!$X$12,IF(BG262&lt;=Hypothèses!$V$13,Hypothèses!$X$13,IF(BG262&lt;=Hypothèses!$V$14,Hypothèses!$X$14,IF(BG262&lt;=Hypothèses!$V$15,Hypothèses!$X$15,IF(BG262&lt;=Hypothèses!$V$16,Hypothèses!$X$16,IF(BG262&lt;=Hypothèses!$U$17,Hypothèses!$W$17,IF(BG262&lt;=Hypothèses!$U$18,Hypothèses!$W$18,""))))))))))))</f>
        <v>#DIV/0!</v>
      </c>
      <c r="CD262" s="95" t="e">
        <f t="shared" ca="1" si="381"/>
        <v>#DIV/0!</v>
      </c>
      <c r="CE262" s="101" t="e">
        <f t="shared" si="426"/>
        <v>#N/A</v>
      </c>
      <c r="CF262" s="91" t="e">
        <f t="shared" si="350"/>
        <v>#N/A</v>
      </c>
      <c r="CG262" s="30" t="e">
        <f t="shared" si="406"/>
        <v>#N/A</v>
      </c>
      <c r="CH262" s="30" t="e">
        <f t="shared" si="407"/>
        <v>#N/A</v>
      </c>
      <c r="CI262" s="31" t="e">
        <f>IF(OR(Hypothèses!$B$4=17,Hypothèses!$B$4=18,Hypothèses!$B$4=19,Hypothèses!$B$4=20),
IF($D262="Pressio.",
IF(OR($E262=3,$E262=1,$E262=4),CH262,CG262),
IF($D262="Pénétro.",
IF(OR($E262=3,$E262=1,$E262=4),CH262,CG262))),IF($D262="Pressio.",
IF($E262=3,CH262,CG262),
IF($D262="Pénétro.",
IF($E262=4,CH262,CG262))))</f>
        <v>#N/A</v>
      </c>
      <c r="CJ262" s="31" t="e">
        <f>(IF(OR(Hypothèses!$B$4=17,Hypothèses!$B$4=18,Hypothèses!$B$4=19,Hypothèses!$B$4=20),
IF($D262="Pressio.",
IF(OR($E262=3,$E262=1,$E262=4),(PI()*CJ$12^2)/4*(CF262*$W262*1000)/($H262*$B$5),(PI()*CJ$12^2)/4*(CF262*$W262*1000)/($G262*$B$5)),
IF($D262="Pénétro.",
IF(OR($E262=4,$E262=1,$E262=5),(PI()*CJ$12^2)/4*(CF262*$W262*1000)/($H262*$B$5),(PI()*CJ$12^2)/4*(CF262*$W262*1000)/($G262*$B$5)))),
IF($D262="Pressio.",
IF($E262=3,(PI()*CJ$12^2)/4*(CF262*$W262*1000)/($H262*$B$5),(PI()*CJ$12^2)/4*(CF262*$W262*1000)/($G262*$B$5)),
IF($D262="Pénétro.",
IF($E262=4,(PI()*CJ$12^2)/4*(CF262*$W262*1000)/($H262*$B$5),(PI()*CJ$12^2)/4*(CF262*$W262*1000)/($G262*$B$5))))))/10</f>
        <v>#N/A</v>
      </c>
      <c r="CK262" s="102" t="e">
        <f>(VLOOKUP($B$3,'Coeff EC7'!$T$39:$X$59,2,0)*CI262+VLOOKUP($B$3,'Coeff EC7'!$T$65:$X$85,2,0)*Model0.1C!CJ262)/1.1</f>
        <v>#N/A</v>
      </c>
      <c r="CL262" s="102" t="e">
        <f>(VLOOKUP($B$3,'Coeff EC7'!$T$39:$X$59,3,0)*CI262+VLOOKUP($B$3,'Coeff EC7'!$T$65:$X$85,3,0)*Model0.1C!CJ262)/0.9</f>
        <v>#N/A</v>
      </c>
      <c r="CM262" s="102" t="e">
        <f t="shared" si="382"/>
        <v>#N/A</v>
      </c>
      <c r="CN262" s="102" t="e">
        <f t="shared" si="383"/>
        <v>#N/A</v>
      </c>
      <c r="CO262" s="414" t="e">
        <f>IF(CO261=0,0,IF(AND(CK262&gt;charge_ELS_quasi,CL262&gt;Charge_ELS_freq,CM262&gt;charge_ELU,CN262&gt;charge_ELA,$B262&gt;NDC!$H$22-0.1+MIN(3*$CO$12,1.5)),0,1))</f>
        <v>#N/A</v>
      </c>
      <c r="CP262" s="86" t="b">
        <f t="shared" si="351"/>
        <v>0</v>
      </c>
      <c r="CQ262" s="86">
        <f t="shared" si="352"/>
        <v>0.5</v>
      </c>
      <c r="CR262" s="86">
        <f t="shared" si="353"/>
        <v>0.5</v>
      </c>
      <c r="CS262" s="30" t="e">
        <f t="shared" ca="1" si="384"/>
        <v>#DIV/0!</v>
      </c>
      <c r="CT262" s="85" t="e">
        <f ca="1">IF(BZ262&lt;=Hypothèses!$V$7,Hypothèses!$W$7,IF(BZ262&lt;=Hypothèses!$V$8,Hypothèses!$W$8,IF(BZ262&lt;=Hypothèses!$V$9,Hypothèses!$W$9,IF(BZ262&lt;=Hypothèses!$V$10,Hypothèses!$W$10,IF(BZ262&lt;=Hypothèses!$V$11,Hypothèses!$W$11,IF(BZ262&lt;=Hypothèses!$V$12,Hypothèses!$W$12,IF(BZ262&lt;=Hypothèses!$V$13,Hypothèses!$W$13,IF(BZ262&lt;=Hypothèses!$V$14,Hypothèses!$W$14,IF(BZ262&lt;=Hypothèses!$V$15,Hypothèses!$W$15,IF(BZ262&lt;=Hypothèses!$V$16,Hypothèses!$W$16,IF(BZ262&lt;=Hypothèses!$V$17,Hypothèses!$W$17,IF(BZ262&lt;=Hypothèses!$V$18,Hypothèses!$W$18,""))))))))))))</f>
        <v>#DIV/0!</v>
      </c>
      <c r="CU262" s="87" t="e">
        <f t="shared" ca="1" si="420"/>
        <v>#DIV/0!</v>
      </c>
      <c r="CV262" s="88" t="e">
        <f ca="1">IF(BZ262&lt;=Hypothèses!$V$7,Hypothèses!$X$7,IF(BZ262&lt;=Hypothèses!$V$8,Hypothèses!$X$8,IF(BZ262&lt;=Hypothèses!$V$9,Hypothèses!$X$9,IF(BZ262&lt;=Hypothèses!$V$10,Hypothèses!$X$10,IF(BZ262&lt;=Hypothèses!$V$11,Hypothèses!$X$11,IF(BZ262&lt;=Hypothèses!$V$12,Hypothèses!$X$12,IF(BZ262&lt;=Hypothèses!$V$13,Hypothèses!$X$13,IF(BZ262&lt;=Hypothèses!$V$14,Hypothèses!$X$14,IF(BZ262&lt;=Hypothèses!$V$15,Hypothèses!$X$15,IF(BZ262&lt;=Hypothèses!$V$16,Hypothèses!$X$16,IF(BZ262&lt;=Hypothèses!$U$17,Hypothèses!$W$17,IF(BZ262&lt;=Hypothèses!$U$18,Hypothèses!$W$18,""))))))))))))</f>
        <v>#DIV/0!</v>
      </c>
      <c r="CW262" s="95" t="e">
        <f t="shared" ca="1" si="385"/>
        <v>#DIV/0!</v>
      </c>
      <c r="CX262" s="101" t="e">
        <f t="shared" si="427"/>
        <v>#N/A</v>
      </c>
      <c r="CY262" s="91" t="e">
        <f t="shared" si="354"/>
        <v>#N/A</v>
      </c>
      <c r="CZ262" s="30" t="e">
        <f t="shared" si="408"/>
        <v>#N/A</v>
      </c>
      <c r="DA262" s="30" t="e">
        <f t="shared" si="409"/>
        <v>#N/A</v>
      </c>
      <c r="DB262" s="31" t="e">
        <f>IF(OR(Hypothèses!$B$4=17,Hypothèses!$B$4=18,Hypothèses!$B$4=19,Hypothèses!$B$4=20),
IF($D262="Pressio.",
IF(OR($E262=3,$E262=1,$E262=4),DA262,CZ262),
IF($D262="Pénétro.",
IF(OR($E262=3,$E262=1,$E262=4),DA262,CZ262))),IF($D262="Pressio.",
IF($E262=3,DA262,CZ262),
IF($D262="Pénétro.",
IF($E262=4,DA262,CZ262))))</f>
        <v>#N/A</v>
      </c>
      <c r="DC262" s="31" t="e">
        <f>(IF(OR(Hypothèses!$B$4=17,Hypothèses!$B$4=18,Hypothèses!$B$4=19,Hypothèses!$B$4=20),
IF($D262="Pressio.",
IF(OR($E262=3,$E262=1,$E262=4),(PI()*DC$12^2)/4*(CY262*$W262*1000)/($H262*$B$5),(PI()*DC$12^2)/4*(CY262*$W262*1000)/($G262*$B$5)),
IF($D262="Pénétro.",
IF(OR($E262=4,$E262=1,$E262=5),(PI()*DC$12^2)/4*(CY262*$W262*1000)/($H262*$B$5),(PI()*DC$12^2)/4*(CY262*$W262*1000)/($G262*$B$5)))),
IF($D262="Pressio.",
IF($E262=3,(PI()*DC$12^2)/4*(CY262*$W262*1000)/($H262*$B$5),(PI()*DC$12^2)/4*(CY262*$W262*1000)/($G262*$B$5)),
IF($D262="Pénétro.",
IF($E262=4,(PI()*DC$12^2)/4*(CY262*$W262*1000)/($H262*$B$5),(PI()*DC$12^2)/4*(CY262*$W262*1000)/($G262*$B$5))))))/10</f>
        <v>#N/A</v>
      </c>
      <c r="DD262" s="102" t="e">
        <f>(VLOOKUP($B$3,'Coeff EC7'!$T$39:$X$59,2,0)*DB262+VLOOKUP($B$3,'Coeff EC7'!$T$65:$X$85,2,0)*Model0.1C!DC262)/1.1</f>
        <v>#N/A</v>
      </c>
      <c r="DE262" s="102" t="e">
        <f>(VLOOKUP($B$3,'Coeff EC7'!$T$39:$X$59,3,0)*DB262+VLOOKUP($B$3,'Coeff EC7'!$T$65:$X$85,3,0)*Model0.1C!DC262)/0.9</f>
        <v>#N/A</v>
      </c>
      <c r="DF262" s="102" t="e">
        <f t="shared" si="386"/>
        <v>#N/A</v>
      </c>
      <c r="DG262" s="102" t="e">
        <f t="shared" si="387"/>
        <v>#N/A</v>
      </c>
      <c r="DH262" s="414" t="e">
        <f>IF(DH261=0,0,IF(AND(DD262&gt;charge_ELS_quasi,DE262&gt;Charge_ELS_freq,DF262&gt;charge_ELU,DG262&gt;charge_ELA,$B262&gt;NDC!$H$22-0.1+MIN(3*$DH$12,1.5)),0,1))</f>
        <v>#N/A</v>
      </c>
      <c r="DI262" s="86" t="b">
        <f t="shared" si="355"/>
        <v>0</v>
      </c>
      <c r="DJ262" s="86">
        <f t="shared" si="356"/>
        <v>0.5</v>
      </c>
      <c r="DK262" s="86">
        <f t="shared" si="357"/>
        <v>0.5</v>
      </c>
      <c r="DL262" s="30" t="e">
        <f t="shared" ca="1" si="388"/>
        <v>#DIV/0!</v>
      </c>
      <c r="DM262" s="85" t="e">
        <f ca="1">IF(CS262&lt;=Hypothèses!$V$7,Hypothèses!$W$7,IF(CS262&lt;=Hypothèses!$V$8,Hypothèses!$W$8,IF(CS262&lt;=Hypothèses!$V$9,Hypothèses!$W$9,IF(CS262&lt;=Hypothèses!$V$10,Hypothèses!$W$10,IF(CS262&lt;=Hypothèses!$V$11,Hypothèses!$W$11,IF(CS262&lt;=Hypothèses!$V$12,Hypothèses!$W$12,IF(CS262&lt;=Hypothèses!$V$13,Hypothèses!$W$13,IF(CS262&lt;=Hypothèses!$V$14,Hypothèses!$W$14,IF(CS262&lt;=Hypothèses!$V$15,Hypothèses!$W$15,IF(CS262&lt;=Hypothèses!$V$16,Hypothèses!$W$16,IF(CS262&lt;=Hypothèses!$V$17,Hypothèses!$W$17,IF(CS262&lt;=Hypothèses!$V$18,Hypothèses!$W$18,""))))))))))))</f>
        <v>#DIV/0!</v>
      </c>
      <c r="DN262" s="87" t="e">
        <f t="shared" ca="1" si="421"/>
        <v>#DIV/0!</v>
      </c>
      <c r="DO262" s="88" t="e">
        <f ca="1">IF(CS262&lt;=Hypothèses!$V$7,Hypothèses!$X$7,IF(CS262&lt;=Hypothèses!$V$8,Hypothèses!$X$8,IF(CS262&lt;=Hypothèses!$V$9,Hypothèses!$X$9,IF(CS262&lt;=Hypothèses!$V$10,Hypothèses!$X$10,IF(CS262&lt;=Hypothèses!$V$11,Hypothèses!$X$11,IF(CS262&lt;=Hypothèses!$V$12,Hypothèses!$X$12,IF(CS262&lt;=Hypothèses!$V$13,Hypothèses!$X$13,IF(CS262&lt;=Hypothèses!$V$14,Hypothèses!$X$14,IF(CS262&lt;=Hypothèses!$V$15,Hypothèses!$X$15,IF(CS262&lt;=Hypothèses!$V$16,Hypothèses!$X$16,IF(CS262&lt;=Hypothèses!$U$17,Hypothèses!$W$17,IF(CS262&lt;=Hypothèses!$U$18,Hypothèses!$W$18,""))))))))))))</f>
        <v>#DIV/0!</v>
      </c>
      <c r="DP262" s="95" t="e">
        <f t="shared" ca="1" si="389"/>
        <v>#DIV/0!</v>
      </c>
      <c r="DQ262" s="101" t="e">
        <f t="shared" si="428"/>
        <v>#N/A</v>
      </c>
      <c r="DR262" s="91" t="e">
        <f t="shared" si="358"/>
        <v>#N/A</v>
      </c>
      <c r="DS262" s="30" t="e">
        <f t="shared" si="410"/>
        <v>#N/A</v>
      </c>
      <c r="DT262" s="30" t="e">
        <f t="shared" si="411"/>
        <v>#N/A</v>
      </c>
      <c r="DU262" s="31" t="e">
        <f>IF(OR(Hypothèses!$B$4=17,Hypothèses!$B$4=18,Hypothèses!$B$4=19,Hypothèses!$B$4=20),
IF($D262="Pressio.",
IF(OR($E262=3,$E262=1,$E262=4),DT262,DS262),
IF($D262="Pénétro.",
IF(OR($E262=3,$E262=1,$E262=4),DT262,DS262))),IF($D262="Pressio.",
IF($E262=3,DT262,DS262),
IF($D262="Pénétro.",
IF($E262=4,DT262,DS262))))</f>
        <v>#N/A</v>
      </c>
      <c r="DV262" s="31" t="e">
        <f>(IF(OR(Hypothèses!$B$4=17,Hypothèses!$B$4=18,Hypothèses!$B$4=19,Hypothèses!$B$4=20),
IF($D262="Pressio.",
IF(OR($E262=3,$E262=1,$E262=4),(PI()*DV$12^2)/4*(DR262*$W262*1000)/($H262*$B$5),(PI()*DV$12^2)/4*(DR262*$W262*1000)/($G262*$B$5)),
IF($D262="Pénétro.",
IF(OR($E262=4,$E262=1,$E262=5),(PI()*DV$12^2)/4*(DR262*$W262*1000)/($H262*$B$5),(PI()*DV$12^2)/4*(DR262*$W262*1000)/($G262*$B$5)))),
IF($D262="Pressio.",
IF($E262=3,(PI()*DV$12^2)/4*(DR262*$W262*1000)/($H262*$B$5),(PI()*DV$12^2)/4*(DR262*$W262*1000)/($G262*$B$5)),
IF($D262="Pénétro.",
IF($E262=4,(PI()*DV$12^2)/4*(DR262*$W262*1000)/($H262*$B$5),(PI()*DV$12^2)/4*(DR262*$W262*1000)/($G262*$B$5))))))/10</f>
        <v>#N/A</v>
      </c>
      <c r="DW262" s="102" t="e">
        <f>(VLOOKUP($B$3,'Coeff EC7'!$T$39:$X$59,2,0)*DU262+VLOOKUP($B$3,'Coeff EC7'!$T$65:$X$85,2,0)*Model0.1C!DV262)/1.1</f>
        <v>#N/A</v>
      </c>
      <c r="DX262" s="102" t="e">
        <f>(VLOOKUP($B$3,'Coeff EC7'!$T$39:$X$59,3,0)*DU262+VLOOKUP($B$3,'Coeff EC7'!$T$65:$X$85,3,0)*Model0.1C!DV262)/0.9</f>
        <v>#N/A</v>
      </c>
      <c r="DY262" s="102" t="e">
        <f t="shared" si="390"/>
        <v>#N/A</v>
      </c>
      <c r="DZ262" s="102" t="e">
        <f t="shared" si="391"/>
        <v>#N/A</v>
      </c>
      <c r="EA262" s="414" t="e">
        <f>IF(EA261=0,0,IF(AND(DW262&gt;charge_ELS_quasi,DX262&gt;Charge_ELS_freq,DY262&gt;charge_ELU,DZ262&gt;charge_ELA,$B262&gt;NDC!$H$22-0.1+MIN(3*$EA$12,1.5)),0,1))</f>
        <v>#N/A</v>
      </c>
      <c r="EB262" s="86" t="b">
        <f t="shared" si="359"/>
        <v>0</v>
      </c>
      <c r="EC262" s="418">
        <f t="shared" si="360"/>
        <v>0.51</v>
      </c>
      <c r="ED262" s="86">
        <f t="shared" si="361"/>
        <v>0.51</v>
      </c>
      <c r="EE262" s="30" t="e">
        <f t="shared" ca="1" si="392"/>
        <v>#DIV/0!</v>
      </c>
      <c r="EF262" s="85" t="e">
        <f ca="1">IF(DL262&lt;=Hypothèses!$V$7,Hypothèses!$W$7,IF(DL262&lt;=Hypothèses!$V$8,Hypothèses!$W$8,IF(DL262&lt;=Hypothèses!$V$9,Hypothèses!$W$9,IF(DL262&lt;=Hypothèses!$V$10,Hypothèses!$W$10,IF(DL262&lt;=Hypothèses!$V$11,Hypothèses!$W$11,IF(DL262&lt;=Hypothèses!$V$12,Hypothèses!$W$12,IF(DL262&lt;=Hypothèses!$V$13,Hypothèses!$W$13,IF(DL262&lt;=Hypothèses!$V$14,Hypothèses!$W$14,IF(DL262&lt;=Hypothèses!$V$15,Hypothèses!$W$15,IF(DL262&lt;=Hypothèses!$V$16,Hypothèses!$W$16,IF(DL262&lt;=Hypothèses!$V$17,Hypothèses!$W$17,IF(DL262&lt;=Hypothèses!$V$18,Hypothèses!$W$18,""))))))))))))</f>
        <v>#DIV/0!</v>
      </c>
      <c r="EG262" s="87" t="e">
        <f t="shared" ca="1" si="422"/>
        <v>#DIV/0!</v>
      </c>
      <c r="EH262" s="88" t="e">
        <f ca="1">IF(DL262&lt;=Hypothèses!$V$7,Hypothèses!$X$7,IF(DL262&lt;=Hypothèses!$V$8,Hypothèses!$X$8,IF(DL262&lt;=Hypothèses!$V$9,Hypothèses!$X$9,IF(DL262&lt;=Hypothèses!$V$10,Hypothèses!$X$10,IF(DL262&lt;=Hypothèses!$V$11,Hypothèses!$X$11,IF(DL262&lt;=Hypothèses!$V$12,Hypothèses!$X$12,IF(DL262&lt;=Hypothèses!$V$13,Hypothèses!$X$13,IF(DL262&lt;=Hypothèses!$V$14,Hypothèses!$X$14,IF(DL262&lt;=Hypothèses!$V$15,Hypothèses!$X$15,IF(DL262&lt;=Hypothèses!$V$16,Hypothèses!$X$16,IF(DL262&lt;=Hypothèses!$U$17,Hypothèses!$W$17,IF(DL262&lt;=Hypothèses!$U$18,Hypothèses!$W$18,""))))))))))))</f>
        <v>#DIV/0!</v>
      </c>
      <c r="EI262" s="95" t="e">
        <f t="shared" ca="1" si="393"/>
        <v>#DIV/0!</v>
      </c>
      <c r="EJ262" s="101" t="e">
        <f t="shared" si="429"/>
        <v>#N/A</v>
      </c>
      <c r="EK262" s="91" t="e">
        <f t="shared" si="362"/>
        <v>#N/A</v>
      </c>
      <c r="EL262" s="30" t="e">
        <f t="shared" si="412"/>
        <v>#N/A</v>
      </c>
      <c r="EM262" s="30" t="e">
        <f t="shared" si="413"/>
        <v>#N/A</v>
      </c>
      <c r="EN262" s="31" t="e">
        <f>IF(OR(Hypothèses!$B$4=17,Hypothèses!$B$4=18,Hypothèses!$B$4=19,Hypothèses!$B$4=20),
IF($D262="Pressio.",
IF(OR($E262=3,$E262=1,$E262=4),EM262,EL262),
IF($D262="Pénétro.",
IF(OR($E262=3,$E262=1,$E262=4),EM262,EL262))),IF($D262="Pressio.",
IF($E262=3,EM262,EL262),
IF($D262="Pénétro.",
IF($E262=4,EM262,EL262))))</f>
        <v>#N/A</v>
      </c>
      <c r="EO262" s="31" t="e">
        <f>(IF(OR(Hypothèses!$B$4=17,Hypothèses!$B$4=18,Hypothèses!$B$4=19,Hypothèses!$B$4=20),
IF($D262="Pressio.",
IF(OR($E262=3,$E262=1,$E262=4),(PI()*EO$12^2)/4*(EK262*$W262*1000)/($H262*$B$5),(PI()*EO$12^2)/4*(EK262*$W262*1000)/($G262*$B$5)),
IF($D262="Pénétro.",
IF(OR($E262=4,$E262=1,$E262=5),(PI()*EO$12^2)/4*(EK262*$W262*1000)/($H262*$B$5),(PI()*EO$12^2)/4*(EK262*$W262*1000)/($G262*$B$5)))),
IF($D262="Pressio.",
IF($E262=3,(PI()*EO$12^2)/4*(EK262*$W262*1000)/($H262*$B$5),(PI()*EO$12^2)/4*(EK262*$W262*1000)/($G262*$B$5)),
IF($D262="Pénétro.",
IF($E262=4,(PI()*EO$12^2)/4*(EK262*$W262*1000)/($H262*$B$5),(PI()*EO$12^2)/4*(EK262*$W262*1000)/($G262*$B$5))))))/10</f>
        <v>#N/A</v>
      </c>
      <c r="EP262" s="102" t="e">
        <f>(VLOOKUP($B$3,'Coeff EC7'!$T$39:$X$59,2,0)*EN262+VLOOKUP($B$3,'Coeff EC7'!$T$65:$X$85,2,0)*Model0.1C!EO262)/1.1</f>
        <v>#N/A</v>
      </c>
      <c r="EQ262" s="102" t="e">
        <f>(VLOOKUP($B$3,'Coeff EC7'!$T$39:$X$59,3,0)*EN262+VLOOKUP($B$3,'Coeff EC7'!$T$65:$X$85,3,0)*Model0.1C!EO262)/0.9</f>
        <v>#N/A</v>
      </c>
      <c r="ER262" s="102" t="e">
        <f t="shared" si="394"/>
        <v>#N/A</v>
      </c>
      <c r="ES262" s="102" t="e">
        <f t="shared" si="395"/>
        <v>#N/A</v>
      </c>
      <c r="ET262" s="414" t="e">
        <f>IF(ET261=0,0,IF(AND(EP262&gt;charge_ELS_quasi,EQ262&gt;Charge_ELS_freq,ER262&gt;charge_ELU,ES262&gt;charge_ELA,$B262&gt;NDC!$H$22-0.1+MIN(3*$ET$12,1.5)),0,1))</f>
        <v>#N/A</v>
      </c>
      <c r="EU262" s="86" t="b">
        <f t="shared" si="363"/>
        <v>0</v>
      </c>
      <c r="EV262" s="86">
        <f t="shared" si="364"/>
        <v>0.61</v>
      </c>
      <c r="EW262" s="86">
        <f t="shared" si="365"/>
        <v>0.61</v>
      </c>
      <c r="EX262" s="30" t="e">
        <f t="shared" ca="1" si="396"/>
        <v>#DIV/0!</v>
      </c>
      <c r="EY262" s="85" t="e">
        <f ca="1">IF(EE262&lt;=Hypothèses!$V$7,Hypothèses!$W$7,IF(EE262&lt;=Hypothèses!$V$8,Hypothèses!$W$8,IF(EE262&lt;=Hypothèses!$V$9,Hypothèses!$W$9,IF(EE262&lt;=Hypothèses!$V$10,Hypothèses!$W$10,IF(EE262&lt;=Hypothèses!$V$11,Hypothèses!$W$11,IF(EE262&lt;=Hypothèses!$V$12,Hypothèses!$W$12,IF(EE262&lt;=Hypothèses!$V$13,Hypothèses!$W$13,IF(EE262&lt;=Hypothèses!$V$14,Hypothèses!$W$14,IF(EE262&lt;=Hypothèses!$V$15,Hypothèses!$W$15,IF(EE262&lt;=Hypothèses!$V$16,Hypothèses!$W$16,IF(EE262&lt;=Hypothèses!$V$17,Hypothèses!$W$17,IF(EE262&lt;=Hypothèses!$V$18,Hypothèses!$W$18,""))))))))))))</f>
        <v>#DIV/0!</v>
      </c>
      <c r="EZ262" s="87" t="e">
        <f t="shared" ca="1" si="423"/>
        <v>#DIV/0!</v>
      </c>
      <c r="FA262" s="88" t="e">
        <f ca="1">IF(EE262&lt;=Hypothèses!$V$7,Hypothèses!$X$7,IF(EE262&lt;=Hypothèses!$V$8,Hypothèses!$X$8,IF(EE262&lt;=Hypothèses!$V$9,Hypothèses!$X$9,IF(EE262&lt;=Hypothèses!$V$10,Hypothèses!$X$10,IF(EE262&lt;=Hypothèses!$V$11,Hypothèses!$X$11,IF(EE262&lt;=Hypothèses!$V$12,Hypothèses!$X$12,IF(EE262&lt;=Hypothèses!$V$13,Hypothèses!$X$13,IF(EE262&lt;=Hypothèses!$V$14,Hypothèses!$X$14,IF(EE262&lt;=Hypothèses!$V$15,Hypothèses!$X$15,IF(EE262&lt;=Hypothèses!$V$16,Hypothèses!$X$16,IF(EE262&lt;=Hypothèses!$U$17,Hypothèses!$W$17,IF(EE262&lt;=Hypothèses!$U$18,Hypothèses!$W$18,""))))))))))))</f>
        <v>#DIV/0!</v>
      </c>
      <c r="FB262" s="95" t="e">
        <f t="shared" ca="1" si="397"/>
        <v>#DIV/0!</v>
      </c>
      <c r="FC262" s="101" t="e">
        <f t="shared" si="430"/>
        <v>#N/A</v>
      </c>
      <c r="FD262" s="91" t="e">
        <f t="shared" si="366"/>
        <v>#N/A</v>
      </c>
      <c r="FE262" s="30" t="e">
        <f t="shared" si="414"/>
        <v>#N/A</v>
      </c>
      <c r="FF262" s="30" t="e">
        <f t="shared" si="415"/>
        <v>#N/A</v>
      </c>
      <c r="FG262" s="31" t="e">
        <f>IF(OR(Hypothèses!$B$4=17,Hypothèses!$B$4=18,Hypothèses!$B$4=19,Hypothèses!$B$4=20),
IF($D262="Pressio.",
IF(OR($E262=3,$E262=1,$E262=4),FF262,FE262),
IF($D262="Pénétro.",
IF(OR($E262=3,$E262=1,$E262=4),FF262,FE262))),IF($D262="Pressio.",
IF($E262=3,FF262,FE262),
IF($D262="Pénétro.",
IF($E262=4,FF262,FE262))))</f>
        <v>#N/A</v>
      </c>
      <c r="FH262" s="31" t="e">
        <f>(IF(OR(Hypothèses!$B$4=17,Hypothèses!$B$4=18,Hypothèses!$B$4=19,Hypothèses!$B$4=20),
IF($D262="Pressio.",
IF(OR($E262=3,$E262=1,$E262=4),(PI()*FH$12^2)/4*(FD262*$W262*1000)/($H262*$B$5),(PI()*FH$12^2)/4*(FD262*$W262*1000)/($G262*$B$5)),
IF($D262="Pénétro.",
IF(OR($E262=4,$E262=1,$E262=5),(PI()*FH$12^2)/4*(FD262*$W262*1000)/($H262*$B$5),(PI()*FH$12^2)/4*(FD262*$W262*1000)/($G262*$B$5)))),
IF($D262="Pressio.",
IF($E262=3,(PI()*FH$12^2)/4*(FD262*$W262*1000)/($H262*$B$5),(PI()*FH$12^2)/4*(FD262*$W262*1000)/($G262*$B$5)),
IF($D262="Pénétro.",
IF($E262=4,(PI()*FH$12^2)/4*(FD262*$W262*1000)/($H262*$B$5),(PI()*FH$12^2)/4*(FD262*$W262*1000)/($G262*$B$5))))))/10</f>
        <v>#N/A</v>
      </c>
      <c r="FI262" s="102" t="e">
        <f>(VLOOKUP($B$3,'Coeff EC7'!$T$39:$X$59,2,0)*FG262+VLOOKUP($B$3,'Coeff EC7'!$T$65:$X$85,2,0)*Model0.1C!FH262)/1.1</f>
        <v>#N/A</v>
      </c>
      <c r="FJ262" s="102" t="e">
        <f>(VLOOKUP($B$3,'Coeff EC7'!$T$39:$X$59,3,0)*FG262+VLOOKUP($B$3,'Coeff EC7'!$T$65:$X$85,3,0)*Model0.1C!FH262)/0.9</f>
        <v>#N/A</v>
      </c>
      <c r="FK262" s="102" t="e">
        <f t="shared" si="398"/>
        <v>#N/A</v>
      </c>
      <c r="FL262" s="102" t="e">
        <f t="shared" si="399"/>
        <v>#N/A</v>
      </c>
      <c r="FM262" s="414" t="e">
        <f>IF(FM261=0,0,IF(AND(FI262&gt;charge_ELS_quasi,FJ262&gt;Charge_ELS_freq,FK262&gt;charge_ELU,FL262&gt;charge_ELA,$B262&gt;NDC!$H$22-0.1+MIN(3*$FM$12,1.5)),0,1))</f>
        <v>#N/A</v>
      </c>
    </row>
    <row r="263" spans="1:169">
      <c r="A263" s="96">
        <f t="shared" si="367"/>
        <v>75.000000000001421</v>
      </c>
      <c r="B263" s="97">
        <v>25</v>
      </c>
      <c r="C263" s="81">
        <f>IF(B263&lt;=Hypothèses!$C$7,Hypothèses!$A$7,IF(B263&lt;=Hypothèses!$C$8,Hypothèses!$A$8,IF(B263&lt;=Hypothèses!$C$9,Hypothèses!$A$9,IF(B263&lt;=Hypothèses!$C$10,Hypothèses!$A$10,IF(B263&lt;=Hypothèses!$C$11,Hypothèses!$A$11,IF(B263&lt;=Hypothèses!$C$12,Hypothèses!$A$12,IF(B263&lt;=Hypothèses!$C$13,Hypothèses!$A$13,IF(B263&lt;=Hypothèses!$C$14,Hypothèses!$A$14,IF(B263&lt;=Hypothèses!$C$15,Hypothèses!$A$15,IF(B263&lt;=Hypothèses!$C$16,Hypothèses!$A$16,IF(B263&lt;=Hypothèses!$C$17,Hypothèses!$A$17,IF(B263&lt;=Hypothèses!$C$18,Hypothèses!$A$18,C262))))))))))))</f>
        <v>11</v>
      </c>
      <c r="D263" s="82" t="str">
        <f>IF(B263&lt;=Hypothèses!$C$7,Hypothèses!$R$7,IF(B263&lt;=Hypothèses!$C$8,Hypothèses!$R$8,IF(B263&lt;=Hypothèses!$C$9,Hypothèses!$R$9,IF(B263&lt;=Hypothèses!$C$10,Hypothèses!$R$10,IF(B263&lt;=Hypothèses!$C$11,Hypothèses!$R$11,IF(B263&lt;=Hypothèses!$C$12,Hypothèses!$R$12,IF(B263&lt;=Hypothèses!$C$13,Hypothèses!$R$13,IF(B263&lt;=Hypothèses!$C$14,Hypothèses!$R$14,IF(B263&lt;=Hypothèses!$C$15,Hypothèses!$R$15,IF(B263&lt;=Hypothèses!$C$16,Hypothèses!$R$16,IF(B263&lt;=Hypothèses!$C$17,Hypothèses!$R$17,IF(B263&lt;=Hypothèses!$C$18,Hypothèses!$R$18,D262))))))))))))</f>
        <v>Pressio.</v>
      </c>
      <c r="E263" s="82" t="e">
        <f>IF(B263&lt;=Hypothèses!$C$7,Hypothèses!$G$7,IF(B263&lt;=Hypothèses!$C$8,Hypothèses!$G$8,IF(B263&lt;=Hypothèses!$C$9,Hypothèses!$G$9,IF(B263&lt;=Hypothèses!$C$10,Hypothèses!$G$10,IF(B263&lt;=Hypothèses!$C$11,Hypothèses!$G$11,IF(B263&lt;=Hypothèses!$C$12,Hypothèses!$G$12,IF(B263&lt;=Hypothèses!$C$13,Hypothèses!$G$13,IF(B263&lt;=Hypothèses!$C$14,Hypothèses!$G$14,IF(B263&lt;=Hypothèses!$C$15,Hypothèses!$G$15,IF(B263&lt;=Hypothèses!$C$16,Hypothèses!$G$16,IF(B263&lt;=Hypothèses!$C$17,Hypothèses!$G$17,IF(B263&lt;=Hypothèses!$C$18,Hypothèses!$G$18,E262))))))))))))</f>
        <v>#N/A</v>
      </c>
      <c r="F263" s="82" t="str">
        <f>IF(B263&lt;=Hypothèses!$C$7,Hypothèses!$F$7,IF(B263&lt;=Hypothèses!$C$8,Hypothèses!$F$8,IF(B263&lt;=Hypothèses!$C$9,Hypothèses!$F$9,IF(B263&lt;=Hypothèses!$C$10,Hypothèses!$F$10,IF(B263&lt;=Hypothèses!$C$11,Hypothèses!$F$11,IF(B263&lt;=Hypothèses!$C$12,Hypothèses!$F$12,IF(B263&lt;=Hypothèses!$C$13,Hypothèses!$F$13,IF(B263&lt;=Hypothèses!$C$14,Hypothèses!$F$14,IF(B263&lt;=Hypothèses!$C$15,Hypothèses!$F$15,IF(B263&lt;=Hypothèses!$C$16,Hypothèses!$F$16,IF(B263&lt;=Hypothèses!$C$17,Hypothèses!$F$17,IF(B263&lt;=Hypothèses!$C$18,Hypothèses!$F$18,F262))))))))))))</f>
        <v/>
      </c>
      <c r="G263" s="91">
        <f t="array" ref="G263">INDEX('Coeff EC7'!$U$7:$X$27,
MATCH(Model0.1C!$B$3,'Coeff EC7'!$T$7:$T$27,0),
MATCH(Model0.1C!$D263&amp;Model0.1C!$B$4,
'Coeff EC7'!$U$6:$X$6&amp;
'Coeff EC7'!$U$5:$X$5,0))</f>
        <v>1.1499999999999999</v>
      </c>
      <c r="H263" s="91">
        <f t="array" ref="H263">INDEX('Coeff EC7'!$Y$7:$AB$27,
MATCH(Model0.1C!$B$3,'Coeff EC7'!$T$7:$T$27,0),
MATCH(Model0.1C!$D263&amp;Model0.1C!$B$4,
'Coeff EC7'!$Y$6:$AB$6&amp;
'Coeff EC7'!$Y$5:$AB$5,0))</f>
        <v>1.4</v>
      </c>
      <c r="I263" s="83" t="e">
        <f>IF(B263&lt;=Hypothèses!$C$7,Hypothèses!$P$7,IF(B263&lt;=Hypothèses!$C$8,Hypothèses!$P$8,IF(B263&lt;=Hypothèses!$C$9,Hypothèses!$P$9,IF(B263&lt;=Hypothèses!$C$10,Hypothèses!$P$10,IF(B263&lt;=Hypothèses!$C$11,Hypothèses!$P$11,IF(B263&lt;=Hypothèses!$C$12,Hypothèses!$P$12,IF(B263&lt;=Hypothèses!$C$13,Hypothèses!$P$13,IF(B263&lt;=Hypothèses!$C$14,Hypothèses!$P$14,IF(B263&lt;=Hypothèses!$C$15,Hypothèses!$P$15,IF(B263&lt;=Hypothèses!$C$16,Hypothèses!$P$16,IF(B263&lt;=Hypothèses!$C$17,Hypothèses!$P$17,IF(B263&lt;=Hypothèses!$C$18,Hypothèses!$P$18,I262))))))))))))</f>
        <v>#N/A</v>
      </c>
      <c r="J263" s="91" t="e">
        <f t="array" ref="J263">INDEX('Coeff EC7'!$D$33:$Q$33,1,MATCH(D263&amp;E263,'Coeff EC7'!$D$31:$Q$31&amp;'Coeff EC7'!$D$32:$Q$32,0))</f>
        <v>#N/A</v>
      </c>
      <c r="K263" s="91" t="e">
        <f t="array" ref="K263">INDEX('Coeff EC7'!$D$34:$Q$34,1,MATCH(D263&amp;E263,'Coeff EC7'!$D$31:$Q$31&amp;'Coeff EC7'!$D$32:$Q$32,0))</f>
        <v>#N/A</v>
      </c>
      <c r="L263" s="91" t="e">
        <f t="array" ref="L263">INDEX('Coeff EC7'!$D$35:$Q$35,1,MATCH(D263&amp;E263,'Coeff EC7'!$D$31:$Q$31&amp;'Coeff EC7'!$D$32:$Q$32,0))</f>
        <v>#N/A</v>
      </c>
      <c r="M263" s="98" t="e">
        <f t="shared" si="331"/>
        <v>#N/A</v>
      </c>
      <c r="N263" s="99" t="e">
        <f t="array" ref="N263">INDEX('Coeff EC7'!$D$7:$Q$27,MATCH($B$3,'Coeff EC7'!$C$7:$C$27,0),MATCH(D263&amp;E263,'Coeff EC7'!$D$5:$Q$5&amp;'Coeff EC7'!$D$6:$Q$6,0))</f>
        <v>#N/A</v>
      </c>
      <c r="O263" s="99" t="e">
        <f t="array" ref="O263">INDEX('Coeff EC7'!$D$41:$Q$61,MATCH($B$3,'Coeff EC7'!$C$41:$C$61,0),MATCH(D263&amp;E263,'Coeff EC7'!$D$39:$Q$39&amp;'Coeff EC7'!$D$40:$Q$40,0))</f>
        <v>#N/A</v>
      </c>
      <c r="P263" s="30" t="e">
        <f t="shared" si="368"/>
        <v>#N/A</v>
      </c>
      <c r="Q263" s="100" t="e">
        <f t="shared" si="333"/>
        <v>#N/A</v>
      </c>
      <c r="R263" s="86" t="b">
        <f t="shared" si="334"/>
        <v>0</v>
      </c>
      <c r="S263" s="86">
        <f t="shared" si="332"/>
        <v>0.5</v>
      </c>
      <c r="T263" s="86">
        <f t="shared" si="335"/>
        <v>0.5</v>
      </c>
      <c r="U263" s="30" t="e">
        <f t="shared" ca="1" si="369"/>
        <v>#DIV/0!</v>
      </c>
      <c r="V263" s="85" t="str">
        <f>IF(B263&lt;=Hypothèses!$V$7,Hypothèses!$W$7,IF(B263&lt;=Hypothèses!$V$8,Hypothèses!$W$8,IF(B263&lt;=Hypothèses!$V$9,Hypothèses!$W$9,IF(B263&lt;=Hypothèses!$V$10,Hypothèses!$W$10,IF(B263&lt;=Hypothèses!$V$11,Hypothèses!$W$11,IF(B263&lt;=Hypothèses!$V$12,Hypothèses!$W$12,IF(B263&lt;=Hypothèses!$V$13,Hypothèses!$W$13,IF(B263&lt;=Hypothèses!$V$14,Hypothèses!$W$14,IF(B263&lt;=Hypothèses!$V$15,Hypothèses!$W$15,IF(B263&lt;=Hypothèses!$V$16,Hypothèses!$W$16,IF(B263&lt;=Hypothèses!$V$17,Hypothèses!$W$17,IF(B263&lt;=Hypothèses!$V$18,Hypothèses!$W$18,""))))))))))))</f>
        <v/>
      </c>
      <c r="W263" s="87" t="e">
        <f t="shared" ca="1" si="416"/>
        <v>#DIV/0!</v>
      </c>
      <c r="X263" s="88" t="str">
        <f>IF(B263&lt;=Hypothèses!$V$7,Hypothèses!$X$7,IF(B263&lt;=Hypothèses!$V$8,Hypothèses!$X$8,IF(B263&lt;=Hypothèses!$V$9,Hypothèses!$X$9,IF(B263&lt;=Hypothèses!$V$10,Hypothèses!$X$10,IF(B263&lt;=Hypothèses!$V$11,Hypothèses!$X$11,IF(B263&lt;=Hypothèses!$V$12,Hypothèses!$X$12,IF(B263&lt;=Hypothèses!$V$13,Hypothèses!$X$13,IF(B263&lt;=Hypothèses!$V$14,Hypothèses!$X$14,IF(B263&lt;=Hypothèses!$V$15,Hypothèses!$X$15,IF(B263&lt;=Hypothèses!$V$16,Hypothèses!$X$16,IF(B263&lt;=Hypothèses!$U$17,Hypothèses!$W$17,IF(B263&lt;=Hypothèses!$U$18,Hypothèses!$W$18,""))))))))))))</f>
        <v/>
      </c>
      <c r="Y263" s="95" t="e">
        <f t="shared" ca="1" si="336"/>
        <v>#DIV/0!</v>
      </c>
      <c r="Z263" s="101" t="e">
        <f t="shared" si="337"/>
        <v>#N/A</v>
      </c>
      <c r="AA263" s="91" t="e">
        <f t="shared" si="338"/>
        <v>#N/A</v>
      </c>
      <c r="AB263" s="30" t="e">
        <f t="shared" si="400"/>
        <v>#N/A</v>
      </c>
      <c r="AC263" s="30" t="e">
        <f t="shared" si="401"/>
        <v>#N/A</v>
      </c>
      <c r="AD263" s="31" t="e">
        <f>IF(OR(Hypothèses!$B$4=17,Hypothèses!$B$4=18,Hypothèses!$B$4=19,Hypothèses!$B$4=20),
IF($D263="Pressio.",
IF(OR($E263=3,$E263=1,$E263=4),AC263,AB263),
IF($D263="Pénétro.",
IF(OR($E263=3,$E263=1,$E263=4),AC263,AB263))),IF($D263="Pressio.",
IF($E263=3,AC263,AB263),
IF($D263="Pénétro.",
IF($E263=4,AC263,AB263))))</f>
        <v>#N/A</v>
      </c>
      <c r="AE263" s="31" t="e">
        <f>(IF(OR(Hypothèses!$B$4=17,Hypothèses!$B$4=18,Hypothèses!$B$4=19,Hypothèses!$B$4=20),
IF($D263="Pressio.",
IF(OR($E263=3,$E263=1,$E263=4),(PI()*AE$12^2)/4*(AA263*$W263*1000)/($H263*$B$5),(PI()*AE$12^2)/4*(AA263*$W263*1000)/($G263*$B$5)),
IF($D263="Pénétro.",
IF(OR($E263=4,$E263=1,$E263=5),(PI()*AE$12^2)/4*(AA263*$W263*1000)/($H263*$B$5),(PI()*AE$12^2)/4*(AA263*$W263*1000)/($G263*$B$5)))),
IF($D263="Pressio.",
IF($E263=3,(PI()*AE$12^2)/4*(AA263*$W263*1000)/($H263*$B$5),(PI()*AE$12^2)/4*(AA263*$W263*1000)/($G263*$B$5)),
IF($D263="Pénétro.",
IF($E263=4,(PI()*AE$12^2)/4*(AA263*$W263*1000)/($H263*$B$5),(PI()*AE$12^2)/4*(AA263*$W263*1000)/($G263*$B$5))))))/10</f>
        <v>#N/A</v>
      </c>
      <c r="AF263" s="102" t="e">
        <f>(VLOOKUP($B$3,'Coeff EC7'!$T$39:$X$59,2,0)*AD263+VLOOKUP($B$3,'Coeff EC7'!$T$65:$X$85,2,0)*Model0.1C!AE263)/1.1</f>
        <v>#N/A</v>
      </c>
      <c r="AG263" s="102" t="e">
        <f>(VLOOKUP($B$3,'Coeff EC7'!$T$39:$X$59,3,0)*AD263+VLOOKUP($B$3,'Coeff EC7'!$T$65:$X$85,3,0)*Model0.1C!AE263)/0.9</f>
        <v>#N/A</v>
      </c>
      <c r="AH263" s="102" t="e">
        <f t="shared" si="339"/>
        <v>#N/A</v>
      </c>
      <c r="AI263" s="102" t="e">
        <f t="shared" si="340"/>
        <v>#N/A</v>
      </c>
      <c r="AJ263" s="414" t="e">
        <f>IF(AJ262=0,0,IF(AND(AF263&gt;charge_ELS_quasi,AG263&gt;Charge_ELS_freq,AH263&gt;charge_ELU,AI263&gt;charge_ELA,$B263&gt;NDC!$H$22-0.1+MIN(3*$AJ$12,1.5)),0,1))</f>
        <v>#N/A</v>
      </c>
      <c r="AK263" s="86" t="b">
        <f t="shared" si="341"/>
        <v>0</v>
      </c>
      <c r="AL263" s="86">
        <f t="shared" si="370"/>
        <v>0.5</v>
      </c>
      <c r="AM263" s="86">
        <f t="shared" si="342"/>
        <v>0.5</v>
      </c>
      <c r="AN263" s="30" t="e">
        <f t="shared" ca="1" si="371"/>
        <v>#DIV/0!</v>
      </c>
      <c r="AO263" s="85" t="e">
        <f ca="1">IF(U263&lt;=Hypothèses!$V$7,Hypothèses!$W$7,IF(U263&lt;=Hypothèses!$V$8,Hypothèses!$W$8,IF(U263&lt;=Hypothèses!$V$9,Hypothèses!$W$9,IF(U263&lt;=Hypothèses!$V$10,Hypothèses!$W$10,IF(U263&lt;=Hypothèses!$V$11,Hypothèses!$W$11,IF(U263&lt;=Hypothèses!$V$12,Hypothèses!$W$12,IF(U263&lt;=Hypothèses!$V$13,Hypothèses!$W$13,IF(U263&lt;=Hypothèses!$V$14,Hypothèses!$W$14,IF(U263&lt;=Hypothèses!$V$15,Hypothèses!$W$15,IF(U263&lt;=Hypothèses!$V$16,Hypothèses!$W$16,IF(U263&lt;=Hypothèses!$V$17,Hypothèses!$W$17,IF(U263&lt;=Hypothèses!$V$18,Hypothèses!$W$18,""))))))))))))</f>
        <v>#DIV/0!</v>
      </c>
      <c r="AP263" s="87" t="e">
        <f t="shared" ca="1" si="417"/>
        <v>#DIV/0!</v>
      </c>
      <c r="AQ263" s="88" t="e">
        <f ca="1">IF(U263&lt;=Hypothèses!$V$7,Hypothèses!$X$7,IF(U263&lt;=Hypothèses!$V$8,Hypothèses!$X$8,IF(U263&lt;=Hypothèses!$V$9,Hypothèses!$X$9,IF(U263&lt;=Hypothèses!$V$10,Hypothèses!$X$10,IF(U263&lt;=Hypothèses!$V$11,Hypothèses!$X$11,IF(U263&lt;=Hypothèses!$V$12,Hypothèses!$X$12,IF(U263&lt;=Hypothèses!$V$13,Hypothèses!$X$13,IF(U263&lt;=Hypothèses!$V$14,Hypothèses!$X$14,IF(U263&lt;=Hypothèses!$V$15,Hypothèses!$X$15,IF(U263&lt;=Hypothèses!$V$16,Hypothèses!$X$16,IF(U263&lt;=Hypothèses!$U$17,Hypothèses!$W$17,IF(U263&lt;=Hypothèses!$U$18,Hypothèses!$W$18,""))))))))))))</f>
        <v>#DIV/0!</v>
      </c>
      <c r="AR263" s="95" t="e">
        <f t="shared" ca="1" si="372"/>
        <v>#DIV/0!</v>
      </c>
      <c r="AS263" s="101" t="e">
        <f t="shared" si="424"/>
        <v>#N/A</v>
      </c>
      <c r="AT263" s="91" t="e">
        <f t="shared" si="343"/>
        <v>#N/A</v>
      </c>
      <c r="AU263" s="30" t="e">
        <f t="shared" si="402"/>
        <v>#N/A</v>
      </c>
      <c r="AV263" s="30" t="e">
        <f t="shared" si="403"/>
        <v>#N/A</v>
      </c>
      <c r="AW263" s="31" t="e">
        <f>IF(OR(Hypothèses!$B$4=17,Hypothèses!$B$4=18,Hypothèses!$B$4=19,Hypothèses!$B$4=20),
IF($D263="Pressio.",
IF(OR($E263=3,$E263=1,$E263=4),AV263,AU263),
IF($D263="Pénétro.",
IF(OR($E263=3,$E263=1,$E263=4),AV263,AU263))),IF($D263="Pressio.",
IF($E263=3,AV263,AU263),
IF($D263="Pénétro.",
IF($E263=4,AV263,AU263))))</f>
        <v>#N/A</v>
      </c>
      <c r="AX263" s="31" t="e">
        <f>(IF(OR(Hypothèses!$B$4=17,Hypothèses!$B$4=18,Hypothèses!$B$4=19,Hypothèses!$B$4=20),
IF($D263="Pressio.",
IF(OR($E263=3,$E263=1,$E263=4),(PI()*AX$12^2)/4*(AT263*$W263*1000)/($H263*$B$5),(PI()*AX$12^2)/4*(AT263*$W263*1000)/($G263*$B$5)),
IF($D263="Pénétro.",
IF(OR($E263=4,$E263=1,$E263=5),(PI()*AX$12^2)/4*(AT263*$W263*1000)/($H263*$B$5),(PI()*AX$12^2)/4*(AT263*$W263*1000)/($G263*$B$5)))),
IF($D263="Pressio.",
IF($E263=3,(PI()*AX$12^2)/4*(AT263*$W263*1000)/($H263*$B$5),(PI()*AX$12^2)/4*(AT263*$W263*1000)/($G263*$B$5)),
IF($D263="Pénétro.",
IF($E263=4,(PI()*AX$12^2)/4*(AT263*$W263*1000)/($H263*$B$5),(PI()*AX$12^2)/4*(AT263*$W263*1000)/($G263*$B$5))))))/10</f>
        <v>#N/A</v>
      </c>
      <c r="AY263" s="102" t="e">
        <f>(VLOOKUP($B$3,'Coeff EC7'!$T$39:$X$59,2,0)*AW263+VLOOKUP($B$3,'Coeff EC7'!$T$65:$X$85,2,0)*Model0.1C!AX263)/1.1</f>
        <v>#N/A</v>
      </c>
      <c r="AZ263" s="102" t="e">
        <f>(VLOOKUP($B$3,'Coeff EC7'!$T$39:$X$59,3,0)*AW263+VLOOKUP($B$3,'Coeff EC7'!$T$65:$X$85,3,0)*Model0.1C!AX263)/0.9</f>
        <v>#N/A</v>
      </c>
      <c r="BA263" s="102" t="e">
        <f t="shared" si="373"/>
        <v>#N/A</v>
      </c>
      <c r="BB263" s="102" t="e">
        <f t="shared" si="374"/>
        <v>#N/A</v>
      </c>
      <c r="BC263" s="414" t="e">
        <f>IF(BC262=0,0,IF(AND(AY263&gt;charge_ELS_quasi,AZ263&gt;Charge_ELS_freq,BA263&gt;charge_ELU,BB263&gt;charge_ELA,$B263&gt;NDC!$H$22-0.1+MIN(3*$BC$12,1.5)),0,1))</f>
        <v>#N/A</v>
      </c>
      <c r="BD263" s="86" t="b">
        <f t="shared" si="344"/>
        <v>0</v>
      </c>
      <c r="BE263" s="86">
        <f t="shared" si="375"/>
        <v>0.5</v>
      </c>
      <c r="BF263" s="86">
        <f t="shared" si="345"/>
        <v>0.5</v>
      </c>
      <c r="BG263" s="30" t="e">
        <f t="shared" ca="1" si="376"/>
        <v>#DIV/0!</v>
      </c>
      <c r="BH263" s="85" t="e">
        <f ca="1">IF(AN263&lt;=Hypothèses!$V$7,Hypothèses!$W$7,IF(AN263&lt;=Hypothèses!$V$8,Hypothèses!$W$8,IF(AN263&lt;=Hypothèses!$V$9,Hypothèses!$W$9,IF(AN263&lt;=Hypothèses!$V$10,Hypothèses!$W$10,IF(AN263&lt;=Hypothèses!$V$11,Hypothèses!$W$11,IF(AN263&lt;=Hypothèses!$V$12,Hypothèses!$W$12,IF(AN263&lt;=Hypothèses!$V$13,Hypothèses!$W$13,IF(AN263&lt;=Hypothèses!$V$14,Hypothèses!$W$14,IF(AN263&lt;=Hypothèses!$V$15,Hypothèses!$W$15,IF(AN263&lt;=Hypothèses!$V$16,Hypothèses!$W$16,IF(AN263&lt;=Hypothèses!$V$17,Hypothèses!$W$17,IF(AN263&lt;=Hypothèses!$V$18,Hypothèses!$W$18,""))))))))))))</f>
        <v>#DIV/0!</v>
      </c>
      <c r="BI263" s="87" t="e">
        <f t="shared" ca="1" si="418"/>
        <v>#DIV/0!</v>
      </c>
      <c r="BJ263" s="88" t="e">
        <f ca="1">IF(AN263&lt;=Hypothèses!$V$7,Hypothèses!$X$7,IF(AN263&lt;=Hypothèses!$V$8,Hypothèses!$X$8,IF(AN263&lt;=Hypothèses!$V$9,Hypothèses!$X$9,IF(AN263&lt;=Hypothèses!$V$10,Hypothèses!$X$10,IF(AN263&lt;=Hypothèses!$V$11,Hypothèses!$X$11,IF(AN263&lt;=Hypothèses!$V$12,Hypothèses!$X$12,IF(AN263&lt;=Hypothèses!$V$13,Hypothèses!$X$13,IF(AN263&lt;=Hypothèses!$V$14,Hypothèses!$X$14,IF(AN263&lt;=Hypothèses!$V$15,Hypothèses!$X$15,IF(AN263&lt;=Hypothèses!$V$16,Hypothèses!$X$16,IF(AN263&lt;=Hypothèses!$U$17,Hypothèses!$W$17,IF(AN263&lt;=Hypothèses!$U$18,Hypothèses!$W$18,""))))))))))))</f>
        <v>#DIV/0!</v>
      </c>
      <c r="BK263" s="95" t="e">
        <f t="shared" ca="1" si="377"/>
        <v>#DIV/0!</v>
      </c>
      <c r="BL263" s="101" t="e">
        <f t="shared" si="425"/>
        <v>#N/A</v>
      </c>
      <c r="BM263" s="91" t="e">
        <f t="shared" si="346"/>
        <v>#N/A</v>
      </c>
      <c r="BN263" s="30" t="e">
        <f t="shared" si="404"/>
        <v>#N/A</v>
      </c>
      <c r="BO263" s="30" t="e">
        <f t="shared" si="405"/>
        <v>#N/A</v>
      </c>
      <c r="BP263" s="31" t="e">
        <f>IF(OR(Hypothèses!$B$4=17,Hypothèses!$B$4=18,Hypothèses!$B$4=19,Hypothèses!$B$4=20),
IF($D263="Pressio.",
IF(OR($E263=3,$E263=1,$E263=4),BO263,BN263),
IF($D263="Pénétro.",
IF(OR($E263=3,$E263=1,$E263=4),BO263,BN263))),IF($D263="Pressio.",
IF($E263=3,BO263,BN263),
IF($D263="Pénétro.",
IF($E263=4,BO263,BN263))))</f>
        <v>#N/A</v>
      </c>
      <c r="BQ263" s="31" t="e">
        <f>(IF(OR(Hypothèses!$B$4=17,Hypothèses!$B$4=18,Hypothèses!$B$4=19,Hypothèses!$B$4=20),
IF($D263="Pressio.",
IF(OR($E263=3,$E263=1,$E263=4),(PI()*BQ$12^2)/4*(BM263*$W263*1000)/($H263*$B$5),(PI()*BQ$12^2)/4*(BM263*$W263*1000)/($G263*$B$5)),
IF($D263="Pénétro.",
IF(OR($E263=4,$E263=1,$E263=5),(PI()*BQ$12^2)/4*(BM263*$W263*1000)/($H263*$B$5),(PI()*BQ$12^2)/4*(BM263*$W263*1000)/($G263*$B$5)))),
IF($D263="Pressio.",
IF($E263=3,(PI()*BQ$12^2)/4*(BM263*$W263*1000)/($H263*$B$5),(PI()*BQ$12^2)/4*(BM263*$W263*1000)/($G263*$B$5)),
IF($D263="Pénétro.",
IF($E263=4,(PI()*BQ$12^2)/4*(BM263*$W263*1000)/($H263*$B$5),(PI()*BQ$12^2)/4*(BM263*$W263*1000)/($G263*$B$5))))))/10</f>
        <v>#N/A</v>
      </c>
      <c r="BR263" s="102" t="e">
        <f>(VLOOKUP($B$3,'Coeff EC7'!$T$39:$X$59,2,0)*BP263+VLOOKUP($B$3,'Coeff EC7'!$T$65:$X$85,2,0)*Model0.1C!BQ263)/1.1</f>
        <v>#N/A</v>
      </c>
      <c r="BS263" s="102" t="e">
        <f>(VLOOKUP($B$3,'Coeff EC7'!$T$39:$X$59,3,0)*BP263+VLOOKUP($B$3,'Coeff EC7'!$T$65:$X$85,3,0)*Model0.1C!BQ263)/0.9</f>
        <v>#N/A</v>
      </c>
      <c r="BT263" s="102" t="e">
        <f t="shared" si="378"/>
        <v>#N/A</v>
      </c>
      <c r="BU263" s="102" t="e">
        <f t="shared" si="379"/>
        <v>#N/A</v>
      </c>
      <c r="BV263" s="414" t="e">
        <f>IF(BV262=0,0,IF(AND(BR263&gt;charge_ELS_quasi,BS263&gt;Charge_ELS_freq,BT263&gt;charge_ELU,BU263&gt;charge_ELA,$B263&gt;NDC!$H$22-0.1+MIN(3*$BV$12,1.5)),0,1))</f>
        <v>#N/A</v>
      </c>
      <c r="BW263" s="86" t="b">
        <f t="shared" si="347"/>
        <v>0</v>
      </c>
      <c r="BX263" s="86">
        <f t="shared" si="348"/>
        <v>0.5</v>
      </c>
      <c r="BY263" s="86">
        <f t="shared" si="349"/>
        <v>0.5</v>
      </c>
      <c r="BZ263" s="30" t="e">
        <f t="shared" ca="1" si="380"/>
        <v>#DIV/0!</v>
      </c>
      <c r="CA263" s="85" t="e">
        <f ca="1">IF(BG263&lt;=Hypothèses!$V$7,Hypothèses!$W$7,IF(BG263&lt;=Hypothèses!$V$8,Hypothèses!$W$8,IF(BG263&lt;=Hypothèses!$V$9,Hypothèses!$W$9,IF(BG263&lt;=Hypothèses!$V$10,Hypothèses!$W$10,IF(BG263&lt;=Hypothèses!$V$11,Hypothèses!$W$11,IF(BG263&lt;=Hypothèses!$V$12,Hypothèses!$W$12,IF(BG263&lt;=Hypothèses!$V$13,Hypothèses!$W$13,IF(BG263&lt;=Hypothèses!$V$14,Hypothèses!$W$14,IF(BG263&lt;=Hypothèses!$V$15,Hypothèses!$W$15,IF(BG263&lt;=Hypothèses!$V$16,Hypothèses!$W$16,IF(BG263&lt;=Hypothèses!$V$17,Hypothèses!$W$17,IF(BG263&lt;=Hypothèses!$V$18,Hypothèses!$W$18,""))))))))))))</f>
        <v>#DIV/0!</v>
      </c>
      <c r="CB263" s="87" t="e">
        <f t="shared" ca="1" si="419"/>
        <v>#DIV/0!</v>
      </c>
      <c r="CC263" s="88" t="e">
        <f ca="1">IF(BG263&lt;=Hypothèses!$V$7,Hypothèses!$X$7,IF(BG263&lt;=Hypothèses!$V$8,Hypothèses!$X$8,IF(BG263&lt;=Hypothèses!$V$9,Hypothèses!$X$9,IF(BG263&lt;=Hypothèses!$V$10,Hypothèses!$X$10,IF(BG263&lt;=Hypothèses!$V$11,Hypothèses!$X$11,IF(BG263&lt;=Hypothèses!$V$12,Hypothèses!$X$12,IF(BG263&lt;=Hypothèses!$V$13,Hypothèses!$X$13,IF(BG263&lt;=Hypothèses!$V$14,Hypothèses!$X$14,IF(BG263&lt;=Hypothèses!$V$15,Hypothèses!$X$15,IF(BG263&lt;=Hypothèses!$V$16,Hypothèses!$X$16,IF(BG263&lt;=Hypothèses!$U$17,Hypothèses!$W$17,IF(BG263&lt;=Hypothèses!$U$18,Hypothèses!$W$18,""))))))))))))</f>
        <v>#DIV/0!</v>
      </c>
      <c r="CD263" s="95" t="e">
        <f t="shared" ca="1" si="381"/>
        <v>#DIV/0!</v>
      </c>
      <c r="CE263" s="101" t="e">
        <f t="shared" si="426"/>
        <v>#N/A</v>
      </c>
      <c r="CF263" s="91" t="e">
        <f t="shared" si="350"/>
        <v>#N/A</v>
      </c>
      <c r="CG263" s="30" t="e">
        <f t="shared" si="406"/>
        <v>#N/A</v>
      </c>
      <c r="CH263" s="30" t="e">
        <f t="shared" si="407"/>
        <v>#N/A</v>
      </c>
      <c r="CI263" s="31" t="e">
        <f>IF(OR(Hypothèses!$B$4=17,Hypothèses!$B$4=18,Hypothèses!$B$4=19,Hypothèses!$B$4=20),
IF($D263="Pressio.",
IF(OR($E263=3,$E263=1,$E263=4),CH263,CG263),
IF($D263="Pénétro.",
IF(OR($E263=3,$E263=1,$E263=4),CH263,CG263))),IF($D263="Pressio.",
IF($E263=3,CH263,CG263),
IF($D263="Pénétro.",
IF($E263=4,CH263,CG263))))</f>
        <v>#N/A</v>
      </c>
      <c r="CJ263" s="31" t="e">
        <f>(IF(OR(Hypothèses!$B$4=17,Hypothèses!$B$4=18,Hypothèses!$B$4=19,Hypothèses!$B$4=20),
IF($D263="Pressio.",
IF(OR($E263=3,$E263=1,$E263=4),(PI()*CJ$12^2)/4*(CF263*$W263*1000)/($H263*$B$5),(PI()*CJ$12^2)/4*(CF263*$W263*1000)/($G263*$B$5)),
IF($D263="Pénétro.",
IF(OR($E263=4,$E263=1,$E263=5),(PI()*CJ$12^2)/4*(CF263*$W263*1000)/($H263*$B$5),(PI()*CJ$12^2)/4*(CF263*$W263*1000)/($G263*$B$5)))),
IF($D263="Pressio.",
IF($E263=3,(PI()*CJ$12^2)/4*(CF263*$W263*1000)/($H263*$B$5),(PI()*CJ$12^2)/4*(CF263*$W263*1000)/($G263*$B$5)),
IF($D263="Pénétro.",
IF($E263=4,(PI()*CJ$12^2)/4*(CF263*$W263*1000)/($H263*$B$5),(PI()*CJ$12^2)/4*(CF263*$W263*1000)/($G263*$B$5))))))/10</f>
        <v>#N/A</v>
      </c>
      <c r="CK263" s="102" t="e">
        <f>(VLOOKUP($B$3,'Coeff EC7'!$T$39:$X$59,2,0)*CI263+VLOOKUP($B$3,'Coeff EC7'!$T$65:$X$85,2,0)*Model0.1C!CJ263)/1.1</f>
        <v>#N/A</v>
      </c>
      <c r="CL263" s="102" t="e">
        <f>(VLOOKUP($B$3,'Coeff EC7'!$T$39:$X$59,3,0)*CI263+VLOOKUP($B$3,'Coeff EC7'!$T$65:$X$85,3,0)*Model0.1C!CJ263)/0.9</f>
        <v>#N/A</v>
      </c>
      <c r="CM263" s="102" t="e">
        <f t="shared" si="382"/>
        <v>#N/A</v>
      </c>
      <c r="CN263" s="102" t="e">
        <f t="shared" si="383"/>
        <v>#N/A</v>
      </c>
      <c r="CO263" s="414" t="e">
        <f>IF(CO262=0,0,IF(AND(CK263&gt;charge_ELS_quasi,CL263&gt;Charge_ELS_freq,CM263&gt;charge_ELU,CN263&gt;charge_ELA,$B263&gt;NDC!$H$22-0.1+MIN(3*$CO$12,1.5)),0,1))</f>
        <v>#N/A</v>
      </c>
      <c r="CP263" s="86" t="b">
        <f t="shared" si="351"/>
        <v>0</v>
      </c>
      <c r="CQ263" s="86">
        <f t="shared" si="352"/>
        <v>0.5</v>
      </c>
      <c r="CR263" s="86">
        <f t="shared" si="353"/>
        <v>0.5</v>
      </c>
      <c r="CS263" s="30" t="e">
        <f t="shared" ca="1" si="384"/>
        <v>#DIV/0!</v>
      </c>
      <c r="CT263" s="85" t="e">
        <f ca="1">IF(BZ263&lt;=Hypothèses!$V$7,Hypothèses!$W$7,IF(BZ263&lt;=Hypothèses!$V$8,Hypothèses!$W$8,IF(BZ263&lt;=Hypothèses!$V$9,Hypothèses!$W$9,IF(BZ263&lt;=Hypothèses!$V$10,Hypothèses!$W$10,IF(BZ263&lt;=Hypothèses!$V$11,Hypothèses!$W$11,IF(BZ263&lt;=Hypothèses!$V$12,Hypothèses!$W$12,IF(BZ263&lt;=Hypothèses!$V$13,Hypothèses!$W$13,IF(BZ263&lt;=Hypothèses!$V$14,Hypothèses!$W$14,IF(BZ263&lt;=Hypothèses!$V$15,Hypothèses!$W$15,IF(BZ263&lt;=Hypothèses!$V$16,Hypothèses!$W$16,IF(BZ263&lt;=Hypothèses!$V$17,Hypothèses!$W$17,IF(BZ263&lt;=Hypothèses!$V$18,Hypothèses!$W$18,""))))))))))))</f>
        <v>#DIV/0!</v>
      </c>
      <c r="CU263" s="87" t="e">
        <f t="shared" ca="1" si="420"/>
        <v>#DIV/0!</v>
      </c>
      <c r="CV263" s="88" t="e">
        <f ca="1">IF(BZ263&lt;=Hypothèses!$V$7,Hypothèses!$X$7,IF(BZ263&lt;=Hypothèses!$V$8,Hypothèses!$X$8,IF(BZ263&lt;=Hypothèses!$V$9,Hypothèses!$X$9,IF(BZ263&lt;=Hypothèses!$V$10,Hypothèses!$X$10,IF(BZ263&lt;=Hypothèses!$V$11,Hypothèses!$X$11,IF(BZ263&lt;=Hypothèses!$V$12,Hypothèses!$X$12,IF(BZ263&lt;=Hypothèses!$V$13,Hypothèses!$X$13,IF(BZ263&lt;=Hypothèses!$V$14,Hypothèses!$X$14,IF(BZ263&lt;=Hypothèses!$V$15,Hypothèses!$X$15,IF(BZ263&lt;=Hypothèses!$V$16,Hypothèses!$X$16,IF(BZ263&lt;=Hypothèses!$U$17,Hypothèses!$W$17,IF(BZ263&lt;=Hypothèses!$U$18,Hypothèses!$W$18,""))))))))))))</f>
        <v>#DIV/0!</v>
      </c>
      <c r="CW263" s="95" t="e">
        <f t="shared" ca="1" si="385"/>
        <v>#DIV/0!</v>
      </c>
      <c r="CX263" s="101" t="e">
        <f t="shared" si="427"/>
        <v>#N/A</v>
      </c>
      <c r="CY263" s="91" t="e">
        <f t="shared" si="354"/>
        <v>#N/A</v>
      </c>
      <c r="CZ263" s="30" t="e">
        <f t="shared" si="408"/>
        <v>#N/A</v>
      </c>
      <c r="DA263" s="30" t="e">
        <f t="shared" si="409"/>
        <v>#N/A</v>
      </c>
      <c r="DB263" s="31" t="e">
        <f>IF(OR(Hypothèses!$B$4=17,Hypothèses!$B$4=18,Hypothèses!$B$4=19,Hypothèses!$B$4=20),
IF($D263="Pressio.",
IF(OR($E263=3,$E263=1,$E263=4),DA263,CZ263),
IF($D263="Pénétro.",
IF(OR($E263=3,$E263=1,$E263=4),DA263,CZ263))),IF($D263="Pressio.",
IF($E263=3,DA263,CZ263),
IF($D263="Pénétro.",
IF($E263=4,DA263,CZ263))))</f>
        <v>#N/A</v>
      </c>
      <c r="DC263" s="31" t="e">
        <f>(IF(OR(Hypothèses!$B$4=17,Hypothèses!$B$4=18,Hypothèses!$B$4=19,Hypothèses!$B$4=20),
IF($D263="Pressio.",
IF(OR($E263=3,$E263=1,$E263=4),(PI()*DC$12^2)/4*(CY263*$W263*1000)/($H263*$B$5),(PI()*DC$12^2)/4*(CY263*$W263*1000)/($G263*$B$5)),
IF($D263="Pénétro.",
IF(OR($E263=4,$E263=1,$E263=5),(PI()*DC$12^2)/4*(CY263*$W263*1000)/($H263*$B$5),(PI()*DC$12^2)/4*(CY263*$W263*1000)/($G263*$B$5)))),
IF($D263="Pressio.",
IF($E263=3,(PI()*DC$12^2)/4*(CY263*$W263*1000)/($H263*$B$5),(PI()*DC$12^2)/4*(CY263*$W263*1000)/($G263*$B$5)),
IF($D263="Pénétro.",
IF($E263=4,(PI()*DC$12^2)/4*(CY263*$W263*1000)/($H263*$B$5),(PI()*DC$12^2)/4*(CY263*$W263*1000)/($G263*$B$5))))))/10</f>
        <v>#N/A</v>
      </c>
      <c r="DD263" s="102" t="e">
        <f>(VLOOKUP($B$3,'Coeff EC7'!$T$39:$X$59,2,0)*DB263+VLOOKUP($B$3,'Coeff EC7'!$T$65:$X$85,2,0)*Model0.1C!DC263)/1.1</f>
        <v>#N/A</v>
      </c>
      <c r="DE263" s="102" t="e">
        <f>(VLOOKUP($B$3,'Coeff EC7'!$T$39:$X$59,3,0)*DB263+VLOOKUP($B$3,'Coeff EC7'!$T$65:$X$85,3,0)*Model0.1C!DC263)/0.9</f>
        <v>#N/A</v>
      </c>
      <c r="DF263" s="102" t="e">
        <f t="shared" si="386"/>
        <v>#N/A</v>
      </c>
      <c r="DG263" s="102" t="e">
        <f t="shared" si="387"/>
        <v>#N/A</v>
      </c>
      <c r="DH263" s="414" t="e">
        <f>IF(DH262=0,0,IF(AND(DD263&gt;charge_ELS_quasi,DE263&gt;Charge_ELS_freq,DF263&gt;charge_ELU,DG263&gt;charge_ELA,$B263&gt;NDC!$H$22-0.1+MIN(3*$DH$12,1.5)),0,1))</f>
        <v>#N/A</v>
      </c>
      <c r="DI263" s="86" t="b">
        <f t="shared" si="355"/>
        <v>0</v>
      </c>
      <c r="DJ263" s="86">
        <f t="shared" si="356"/>
        <v>0.5</v>
      </c>
      <c r="DK263" s="86">
        <f t="shared" si="357"/>
        <v>0.5</v>
      </c>
      <c r="DL263" s="30" t="e">
        <f t="shared" ca="1" si="388"/>
        <v>#DIV/0!</v>
      </c>
      <c r="DM263" s="85" t="e">
        <f ca="1">IF(CS263&lt;=Hypothèses!$V$7,Hypothèses!$W$7,IF(CS263&lt;=Hypothèses!$V$8,Hypothèses!$W$8,IF(CS263&lt;=Hypothèses!$V$9,Hypothèses!$W$9,IF(CS263&lt;=Hypothèses!$V$10,Hypothèses!$W$10,IF(CS263&lt;=Hypothèses!$V$11,Hypothèses!$W$11,IF(CS263&lt;=Hypothèses!$V$12,Hypothèses!$W$12,IF(CS263&lt;=Hypothèses!$V$13,Hypothèses!$W$13,IF(CS263&lt;=Hypothèses!$V$14,Hypothèses!$W$14,IF(CS263&lt;=Hypothèses!$V$15,Hypothèses!$W$15,IF(CS263&lt;=Hypothèses!$V$16,Hypothèses!$W$16,IF(CS263&lt;=Hypothèses!$V$17,Hypothèses!$W$17,IF(CS263&lt;=Hypothèses!$V$18,Hypothèses!$W$18,""))))))))))))</f>
        <v>#DIV/0!</v>
      </c>
      <c r="DN263" s="87" t="e">
        <f t="shared" ca="1" si="421"/>
        <v>#DIV/0!</v>
      </c>
      <c r="DO263" s="88" t="e">
        <f ca="1">IF(CS263&lt;=Hypothèses!$V$7,Hypothèses!$X$7,IF(CS263&lt;=Hypothèses!$V$8,Hypothèses!$X$8,IF(CS263&lt;=Hypothèses!$V$9,Hypothèses!$X$9,IF(CS263&lt;=Hypothèses!$V$10,Hypothèses!$X$10,IF(CS263&lt;=Hypothèses!$V$11,Hypothèses!$X$11,IF(CS263&lt;=Hypothèses!$V$12,Hypothèses!$X$12,IF(CS263&lt;=Hypothèses!$V$13,Hypothèses!$X$13,IF(CS263&lt;=Hypothèses!$V$14,Hypothèses!$X$14,IF(CS263&lt;=Hypothèses!$V$15,Hypothèses!$X$15,IF(CS263&lt;=Hypothèses!$V$16,Hypothèses!$X$16,IF(CS263&lt;=Hypothèses!$U$17,Hypothèses!$W$17,IF(CS263&lt;=Hypothèses!$U$18,Hypothèses!$W$18,""))))))))))))</f>
        <v>#DIV/0!</v>
      </c>
      <c r="DP263" s="95" t="e">
        <f t="shared" ca="1" si="389"/>
        <v>#DIV/0!</v>
      </c>
      <c r="DQ263" s="101" t="e">
        <f t="shared" si="428"/>
        <v>#N/A</v>
      </c>
      <c r="DR263" s="91" t="e">
        <f t="shared" si="358"/>
        <v>#N/A</v>
      </c>
      <c r="DS263" s="30" t="e">
        <f t="shared" si="410"/>
        <v>#N/A</v>
      </c>
      <c r="DT263" s="30" t="e">
        <f t="shared" si="411"/>
        <v>#N/A</v>
      </c>
      <c r="DU263" s="31" t="e">
        <f>IF(OR(Hypothèses!$B$4=17,Hypothèses!$B$4=18,Hypothèses!$B$4=19,Hypothèses!$B$4=20),
IF($D263="Pressio.",
IF(OR($E263=3,$E263=1,$E263=4),DT263,DS263),
IF($D263="Pénétro.",
IF(OR($E263=3,$E263=1,$E263=4),DT263,DS263))),IF($D263="Pressio.",
IF($E263=3,DT263,DS263),
IF($D263="Pénétro.",
IF($E263=4,DT263,DS263))))</f>
        <v>#N/A</v>
      </c>
      <c r="DV263" s="31" t="e">
        <f>(IF(OR(Hypothèses!$B$4=17,Hypothèses!$B$4=18,Hypothèses!$B$4=19,Hypothèses!$B$4=20),
IF($D263="Pressio.",
IF(OR($E263=3,$E263=1,$E263=4),(PI()*DV$12^2)/4*(DR263*$W263*1000)/($H263*$B$5),(PI()*DV$12^2)/4*(DR263*$W263*1000)/($G263*$B$5)),
IF($D263="Pénétro.",
IF(OR($E263=4,$E263=1,$E263=5),(PI()*DV$12^2)/4*(DR263*$W263*1000)/($H263*$B$5),(PI()*DV$12^2)/4*(DR263*$W263*1000)/($G263*$B$5)))),
IF($D263="Pressio.",
IF($E263=3,(PI()*DV$12^2)/4*(DR263*$W263*1000)/($H263*$B$5),(PI()*DV$12^2)/4*(DR263*$W263*1000)/($G263*$B$5)),
IF($D263="Pénétro.",
IF($E263=4,(PI()*DV$12^2)/4*(DR263*$W263*1000)/($H263*$B$5),(PI()*DV$12^2)/4*(DR263*$W263*1000)/($G263*$B$5))))))/10</f>
        <v>#N/A</v>
      </c>
      <c r="DW263" s="102" t="e">
        <f>(VLOOKUP($B$3,'Coeff EC7'!$T$39:$X$59,2,0)*DU263+VLOOKUP($B$3,'Coeff EC7'!$T$65:$X$85,2,0)*Model0.1C!DV263)/1.1</f>
        <v>#N/A</v>
      </c>
      <c r="DX263" s="102" t="e">
        <f>(VLOOKUP($B$3,'Coeff EC7'!$T$39:$X$59,3,0)*DU263+VLOOKUP($B$3,'Coeff EC7'!$T$65:$X$85,3,0)*Model0.1C!DV263)/0.9</f>
        <v>#N/A</v>
      </c>
      <c r="DY263" s="102" t="e">
        <f t="shared" si="390"/>
        <v>#N/A</v>
      </c>
      <c r="DZ263" s="102" t="e">
        <f t="shared" si="391"/>
        <v>#N/A</v>
      </c>
      <c r="EA263" s="414" t="e">
        <f>IF(EA262=0,0,IF(AND(DW263&gt;charge_ELS_quasi,DX263&gt;Charge_ELS_freq,DY263&gt;charge_ELU,DZ263&gt;charge_ELA,$B263&gt;NDC!$H$22-0.1+MIN(3*$EA$12,1.5)),0,1))</f>
        <v>#N/A</v>
      </c>
      <c r="EB263" s="86" t="b">
        <f t="shared" si="359"/>
        <v>0</v>
      </c>
      <c r="EC263" s="418">
        <f t="shared" si="360"/>
        <v>0.51</v>
      </c>
      <c r="ED263" s="86">
        <f t="shared" si="361"/>
        <v>0.51</v>
      </c>
      <c r="EE263" s="30" t="e">
        <f t="shared" ca="1" si="392"/>
        <v>#DIV/0!</v>
      </c>
      <c r="EF263" s="85" t="e">
        <f ca="1">IF(DL263&lt;=Hypothèses!$V$7,Hypothèses!$W$7,IF(DL263&lt;=Hypothèses!$V$8,Hypothèses!$W$8,IF(DL263&lt;=Hypothèses!$V$9,Hypothèses!$W$9,IF(DL263&lt;=Hypothèses!$V$10,Hypothèses!$W$10,IF(DL263&lt;=Hypothèses!$V$11,Hypothèses!$W$11,IF(DL263&lt;=Hypothèses!$V$12,Hypothèses!$W$12,IF(DL263&lt;=Hypothèses!$V$13,Hypothèses!$W$13,IF(DL263&lt;=Hypothèses!$V$14,Hypothèses!$W$14,IF(DL263&lt;=Hypothèses!$V$15,Hypothèses!$W$15,IF(DL263&lt;=Hypothèses!$V$16,Hypothèses!$W$16,IF(DL263&lt;=Hypothèses!$V$17,Hypothèses!$W$17,IF(DL263&lt;=Hypothèses!$V$18,Hypothèses!$W$18,""))))))))))))</f>
        <v>#DIV/0!</v>
      </c>
      <c r="EG263" s="87" t="e">
        <f t="shared" ca="1" si="422"/>
        <v>#DIV/0!</v>
      </c>
      <c r="EH263" s="88" t="e">
        <f ca="1">IF(DL263&lt;=Hypothèses!$V$7,Hypothèses!$X$7,IF(DL263&lt;=Hypothèses!$V$8,Hypothèses!$X$8,IF(DL263&lt;=Hypothèses!$V$9,Hypothèses!$X$9,IF(DL263&lt;=Hypothèses!$V$10,Hypothèses!$X$10,IF(DL263&lt;=Hypothèses!$V$11,Hypothèses!$X$11,IF(DL263&lt;=Hypothèses!$V$12,Hypothèses!$X$12,IF(DL263&lt;=Hypothèses!$V$13,Hypothèses!$X$13,IF(DL263&lt;=Hypothèses!$V$14,Hypothèses!$X$14,IF(DL263&lt;=Hypothèses!$V$15,Hypothèses!$X$15,IF(DL263&lt;=Hypothèses!$V$16,Hypothèses!$X$16,IF(DL263&lt;=Hypothèses!$U$17,Hypothèses!$W$17,IF(DL263&lt;=Hypothèses!$U$18,Hypothèses!$W$18,""))))))))))))</f>
        <v>#DIV/0!</v>
      </c>
      <c r="EI263" s="95" t="e">
        <f t="shared" ca="1" si="393"/>
        <v>#DIV/0!</v>
      </c>
      <c r="EJ263" s="101" t="e">
        <f t="shared" si="429"/>
        <v>#N/A</v>
      </c>
      <c r="EK263" s="91" t="e">
        <f t="shared" si="362"/>
        <v>#N/A</v>
      </c>
      <c r="EL263" s="30" t="e">
        <f t="shared" si="412"/>
        <v>#N/A</v>
      </c>
      <c r="EM263" s="30" t="e">
        <f t="shared" si="413"/>
        <v>#N/A</v>
      </c>
      <c r="EN263" s="31" t="e">
        <f>IF(OR(Hypothèses!$B$4=17,Hypothèses!$B$4=18,Hypothèses!$B$4=19,Hypothèses!$B$4=20),
IF($D263="Pressio.",
IF(OR($E263=3,$E263=1,$E263=4),EM263,EL263),
IF($D263="Pénétro.",
IF(OR($E263=3,$E263=1,$E263=4),EM263,EL263))),IF($D263="Pressio.",
IF($E263=3,EM263,EL263),
IF($D263="Pénétro.",
IF($E263=4,EM263,EL263))))</f>
        <v>#N/A</v>
      </c>
      <c r="EO263" s="31" t="e">
        <f>(IF(OR(Hypothèses!$B$4=17,Hypothèses!$B$4=18,Hypothèses!$B$4=19,Hypothèses!$B$4=20),
IF($D263="Pressio.",
IF(OR($E263=3,$E263=1,$E263=4),(PI()*EO$12^2)/4*(EK263*$W263*1000)/($H263*$B$5),(PI()*EO$12^2)/4*(EK263*$W263*1000)/($G263*$B$5)),
IF($D263="Pénétro.",
IF(OR($E263=4,$E263=1,$E263=5),(PI()*EO$12^2)/4*(EK263*$W263*1000)/($H263*$B$5),(PI()*EO$12^2)/4*(EK263*$W263*1000)/($G263*$B$5)))),
IF($D263="Pressio.",
IF($E263=3,(PI()*EO$12^2)/4*(EK263*$W263*1000)/($H263*$B$5),(PI()*EO$12^2)/4*(EK263*$W263*1000)/($G263*$B$5)),
IF($D263="Pénétro.",
IF($E263=4,(PI()*EO$12^2)/4*(EK263*$W263*1000)/($H263*$B$5),(PI()*EO$12^2)/4*(EK263*$W263*1000)/($G263*$B$5))))))/10</f>
        <v>#N/A</v>
      </c>
      <c r="EP263" s="102" t="e">
        <f>(VLOOKUP($B$3,'Coeff EC7'!$T$39:$X$59,2,0)*EN263+VLOOKUP($B$3,'Coeff EC7'!$T$65:$X$85,2,0)*Model0.1C!EO263)/1.1</f>
        <v>#N/A</v>
      </c>
      <c r="EQ263" s="102" t="e">
        <f>(VLOOKUP($B$3,'Coeff EC7'!$T$39:$X$59,3,0)*EN263+VLOOKUP($B$3,'Coeff EC7'!$T$65:$X$85,3,0)*Model0.1C!EO263)/0.9</f>
        <v>#N/A</v>
      </c>
      <c r="ER263" s="102" t="e">
        <f t="shared" si="394"/>
        <v>#N/A</v>
      </c>
      <c r="ES263" s="102" t="e">
        <f t="shared" si="395"/>
        <v>#N/A</v>
      </c>
      <c r="ET263" s="414" t="e">
        <f>IF(ET262=0,0,IF(AND(EP263&gt;charge_ELS_quasi,EQ263&gt;Charge_ELS_freq,ER263&gt;charge_ELU,ES263&gt;charge_ELA,$B263&gt;NDC!$H$22-0.1+MIN(3*$ET$12,1.5)),0,1))</f>
        <v>#N/A</v>
      </c>
      <c r="EU263" s="86" t="b">
        <f t="shared" si="363"/>
        <v>0</v>
      </c>
      <c r="EV263" s="86">
        <f t="shared" si="364"/>
        <v>0.61</v>
      </c>
      <c r="EW263" s="86">
        <f t="shared" si="365"/>
        <v>0.61</v>
      </c>
      <c r="EX263" s="30" t="e">
        <f t="shared" ca="1" si="396"/>
        <v>#DIV/0!</v>
      </c>
      <c r="EY263" s="85" t="e">
        <f ca="1">IF(EE263&lt;=Hypothèses!$V$7,Hypothèses!$W$7,IF(EE263&lt;=Hypothèses!$V$8,Hypothèses!$W$8,IF(EE263&lt;=Hypothèses!$V$9,Hypothèses!$W$9,IF(EE263&lt;=Hypothèses!$V$10,Hypothèses!$W$10,IF(EE263&lt;=Hypothèses!$V$11,Hypothèses!$W$11,IF(EE263&lt;=Hypothèses!$V$12,Hypothèses!$W$12,IF(EE263&lt;=Hypothèses!$V$13,Hypothèses!$W$13,IF(EE263&lt;=Hypothèses!$V$14,Hypothèses!$W$14,IF(EE263&lt;=Hypothèses!$V$15,Hypothèses!$W$15,IF(EE263&lt;=Hypothèses!$V$16,Hypothèses!$W$16,IF(EE263&lt;=Hypothèses!$V$17,Hypothèses!$W$17,IF(EE263&lt;=Hypothèses!$V$18,Hypothèses!$W$18,""))))))))))))</f>
        <v>#DIV/0!</v>
      </c>
      <c r="EZ263" s="87" t="e">
        <f t="shared" ca="1" si="423"/>
        <v>#DIV/0!</v>
      </c>
      <c r="FA263" s="88" t="e">
        <f ca="1">IF(EE263&lt;=Hypothèses!$V$7,Hypothèses!$X$7,IF(EE263&lt;=Hypothèses!$V$8,Hypothèses!$X$8,IF(EE263&lt;=Hypothèses!$V$9,Hypothèses!$X$9,IF(EE263&lt;=Hypothèses!$V$10,Hypothèses!$X$10,IF(EE263&lt;=Hypothèses!$V$11,Hypothèses!$X$11,IF(EE263&lt;=Hypothèses!$V$12,Hypothèses!$X$12,IF(EE263&lt;=Hypothèses!$V$13,Hypothèses!$X$13,IF(EE263&lt;=Hypothèses!$V$14,Hypothèses!$X$14,IF(EE263&lt;=Hypothèses!$V$15,Hypothèses!$X$15,IF(EE263&lt;=Hypothèses!$V$16,Hypothèses!$X$16,IF(EE263&lt;=Hypothèses!$U$17,Hypothèses!$W$17,IF(EE263&lt;=Hypothèses!$U$18,Hypothèses!$W$18,""))))))))))))</f>
        <v>#DIV/0!</v>
      </c>
      <c r="FB263" s="95" t="e">
        <f t="shared" ca="1" si="397"/>
        <v>#DIV/0!</v>
      </c>
      <c r="FC263" s="101" t="e">
        <f t="shared" si="430"/>
        <v>#N/A</v>
      </c>
      <c r="FD263" s="91" t="e">
        <f t="shared" si="366"/>
        <v>#N/A</v>
      </c>
      <c r="FE263" s="30" t="e">
        <f t="shared" si="414"/>
        <v>#N/A</v>
      </c>
      <c r="FF263" s="30" t="e">
        <f t="shared" si="415"/>
        <v>#N/A</v>
      </c>
      <c r="FG263" s="31" t="e">
        <f>IF(OR(Hypothèses!$B$4=17,Hypothèses!$B$4=18,Hypothèses!$B$4=19,Hypothèses!$B$4=20),
IF($D263="Pressio.",
IF(OR($E263=3,$E263=1,$E263=4),FF263,FE263),
IF($D263="Pénétro.",
IF(OR($E263=3,$E263=1,$E263=4),FF263,FE263))),IF($D263="Pressio.",
IF($E263=3,FF263,FE263),
IF($D263="Pénétro.",
IF($E263=4,FF263,FE263))))</f>
        <v>#N/A</v>
      </c>
      <c r="FH263" s="31" t="e">
        <f>(IF(OR(Hypothèses!$B$4=17,Hypothèses!$B$4=18,Hypothèses!$B$4=19,Hypothèses!$B$4=20),
IF($D263="Pressio.",
IF(OR($E263=3,$E263=1,$E263=4),(PI()*FH$12^2)/4*(FD263*$W263*1000)/($H263*$B$5),(PI()*FH$12^2)/4*(FD263*$W263*1000)/($G263*$B$5)),
IF($D263="Pénétro.",
IF(OR($E263=4,$E263=1,$E263=5),(PI()*FH$12^2)/4*(FD263*$W263*1000)/($H263*$B$5),(PI()*FH$12^2)/4*(FD263*$W263*1000)/($G263*$B$5)))),
IF($D263="Pressio.",
IF($E263=3,(PI()*FH$12^2)/4*(FD263*$W263*1000)/($H263*$B$5),(PI()*FH$12^2)/4*(FD263*$W263*1000)/($G263*$B$5)),
IF($D263="Pénétro.",
IF($E263=4,(PI()*FH$12^2)/4*(FD263*$W263*1000)/($H263*$B$5),(PI()*FH$12^2)/4*(FD263*$W263*1000)/($G263*$B$5))))))/10</f>
        <v>#N/A</v>
      </c>
      <c r="FI263" s="102" t="e">
        <f>(VLOOKUP($B$3,'Coeff EC7'!$T$39:$X$59,2,0)*FG263+VLOOKUP($B$3,'Coeff EC7'!$T$65:$X$85,2,0)*Model0.1C!FH263)/1.1</f>
        <v>#N/A</v>
      </c>
      <c r="FJ263" s="102" t="e">
        <f>(VLOOKUP($B$3,'Coeff EC7'!$T$39:$X$59,3,0)*FG263+VLOOKUP($B$3,'Coeff EC7'!$T$65:$X$85,3,0)*Model0.1C!FH263)/0.9</f>
        <v>#N/A</v>
      </c>
      <c r="FK263" s="102" t="e">
        <f t="shared" si="398"/>
        <v>#N/A</v>
      </c>
      <c r="FL263" s="102" t="e">
        <f t="shared" si="399"/>
        <v>#N/A</v>
      </c>
      <c r="FM263" s="414" t="e">
        <f>IF(FM262=0,0,IF(AND(FI263&gt;charge_ELS_quasi,FJ263&gt;Charge_ELS_freq,FK263&gt;charge_ELU,FL263&gt;charge_ELA,$B263&gt;NDC!$H$22-0.1+MIN(3*$FM$12,1.5)),0,1))</f>
        <v>#N/A</v>
      </c>
    </row>
    <row r="264" spans="1:169">
      <c r="A264" s="96">
        <f t="shared" si="367"/>
        <v>74.900000000001427</v>
      </c>
      <c r="B264" s="97">
        <v>25.1</v>
      </c>
      <c r="C264" s="81">
        <f>IF(B264&lt;=Hypothèses!$C$7,Hypothèses!$A$7,IF(B264&lt;=Hypothèses!$C$8,Hypothèses!$A$8,IF(B264&lt;=Hypothèses!$C$9,Hypothèses!$A$9,IF(B264&lt;=Hypothèses!$C$10,Hypothèses!$A$10,IF(B264&lt;=Hypothèses!$C$11,Hypothèses!$A$11,IF(B264&lt;=Hypothèses!$C$12,Hypothèses!$A$12,IF(B264&lt;=Hypothèses!$C$13,Hypothèses!$A$13,IF(B264&lt;=Hypothèses!$C$14,Hypothèses!$A$14,IF(B264&lt;=Hypothèses!$C$15,Hypothèses!$A$15,IF(B264&lt;=Hypothèses!$C$16,Hypothèses!$A$16,IF(B264&lt;=Hypothèses!$C$17,Hypothèses!$A$17,IF(B264&lt;=Hypothèses!$C$18,Hypothèses!$A$18,C263))))))))))))</f>
        <v>11</v>
      </c>
      <c r="D264" s="82" t="str">
        <f>IF(B264&lt;=Hypothèses!$C$7,Hypothèses!$R$7,IF(B264&lt;=Hypothèses!$C$8,Hypothèses!$R$8,IF(B264&lt;=Hypothèses!$C$9,Hypothèses!$R$9,IF(B264&lt;=Hypothèses!$C$10,Hypothèses!$R$10,IF(B264&lt;=Hypothèses!$C$11,Hypothèses!$R$11,IF(B264&lt;=Hypothèses!$C$12,Hypothèses!$R$12,IF(B264&lt;=Hypothèses!$C$13,Hypothèses!$R$13,IF(B264&lt;=Hypothèses!$C$14,Hypothèses!$R$14,IF(B264&lt;=Hypothèses!$C$15,Hypothèses!$R$15,IF(B264&lt;=Hypothèses!$C$16,Hypothèses!$R$16,IF(B264&lt;=Hypothèses!$C$17,Hypothèses!$R$17,IF(B264&lt;=Hypothèses!$C$18,Hypothèses!$R$18,D263))))))))))))</f>
        <v>Pressio.</v>
      </c>
      <c r="E264" s="82" t="e">
        <f>IF(B264&lt;=Hypothèses!$C$7,Hypothèses!$G$7,IF(B264&lt;=Hypothèses!$C$8,Hypothèses!$G$8,IF(B264&lt;=Hypothèses!$C$9,Hypothèses!$G$9,IF(B264&lt;=Hypothèses!$C$10,Hypothèses!$G$10,IF(B264&lt;=Hypothèses!$C$11,Hypothèses!$G$11,IF(B264&lt;=Hypothèses!$C$12,Hypothèses!$G$12,IF(B264&lt;=Hypothèses!$C$13,Hypothèses!$G$13,IF(B264&lt;=Hypothèses!$C$14,Hypothèses!$G$14,IF(B264&lt;=Hypothèses!$C$15,Hypothèses!$G$15,IF(B264&lt;=Hypothèses!$C$16,Hypothèses!$G$16,IF(B264&lt;=Hypothèses!$C$17,Hypothèses!$G$17,IF(B264&lt;=Hypothèses!$C$18,Hypothèses!$G$18,E263))))))))))))</f>
        <v>#N/A</v>
      </c>
      <c r="F264" s="82" t="str">
        <f>IF(B264&lt;=Hypothèses!$C$7,Hypothèses!$F$7,IF(B264&lt;=Hypothèses!$C$8,Hypothèses!$F$8,IF(B264&lt;=Hypothèses!$C$9,Hypothèses!$F$9,IF(B264&lt;=Hypothèses!$C$10,Hypothèses!$F$10,IF(B264&lt;=Hypothèses!$C$11,Hypothèses!$F$11,IF(B264&lt;=Hypothèses!$C$12,Hypothèses!$F$12,IF(B264&lt;=Hypothèses!$C$13,Hypothèses!$F$13,IF(B264&lt;=Hypothèses!$C$14,Hypothèses!$F$14,IF(B264&lt;=Hypothèses!$C$15,Hypothèses!$F$15,IF(B264&lt;=Hypothèses!$C$16,Hypothèses!$F$16,IF(B264&lt;=Hypothèses!$C$17,Hypothèses!$F$17,IF(B264&lt;=Hypothèses!$C$18,Hypothèses!$F$18,F263))))))))))))</f>
        <v/>
      </c>
      <c r="G264" s="91">
        <f t="array" ref="G264">INDEX('Coeff EC7'!$U$7:$X$27,
MATCH(Model0.1C!$B$3,'Coeff EC7'!$T$7:$T$27,0),
MATCH(Model0.1C!$D264&amp;Model0.1C!$B$4,
'Coeff EC7'!$U$6:$X$6&amp;
'Coeff EC7'!$U$5:$X$5,0))</f>
        <v>1.1499999999999999</v>
      </c>
      <c r="H264" s="91">
        <f t="array" ref="H264">INDEX('Coeff EC7'!$Y$7:$AB$27,
MATCH(Model0.1C!$B$3,'Coeff EC7'!$T$7:$T$27,0),
MATCH(Model0.1C!$D264&amp;Model0.1C!$B$4,
'Coeff EC7'!$Y$6:$AB$6&amp;
'Coeff EC7'!$Y$5:$AB$5,0))</f>
        <v>1.4</v>
      </c>
      <c r="I264" s="83" t="e">
        <f>IF(B264&lt;=Hypothèses!$C$7,Hypothèses!$P$7,IF(B264&lt;=Hypothèses!$C$8,Hypothèses!$P$8,IF(B264&lt;=Hypothèses!$C$9,Hypothèses!$P$9,IF(B264&lt;=Hypothèses!$C$10,Hypothèses!$P$10,IF(B264&lt;=Hypothèses!$C$11,Hypothèses!$P$11,IF(B264&lt;=Hypothèses!$C$12,Hypothèses!$P$12,IF(B264&lt;=Hypothèses!$C$13,Hypothèses!$P$13,IF(B264&lt;=Hypothèses!$C$14,Hypothèses!$P$14,IF(B264&lt;=Hypothèses!$C$15,Hypothèses!$P$15,IF(B264&lt;=Hypothèses!$C$16,Hypothèses!$P$16,IF(B264&lt;=Hypothèses!$C$17,Hypothèses!$P$17,IF(B264&lt;=Hypothèses!$C$18,Hypothèses!$P$18,I263))))))))))))</f>
        <v>#N/A</v>
      </c>
      <c r="J264" s="91" t="e">
        <f t="array" ref="J264">INDEX('Coeff EC7'!$D$33:$Q$33,1,MATCH(D264&amp;E264,'Coeff EC7'!$D$31:$Q$31&amp;'Coeff EC7'!$D$32:$Q$32,0))</f>
        <v>#N/A</v>
      </c>
      <c r="K264" s="91" t="e">
        <f t="array" ref="K264">INDEX('Coeff EC7'!$D$34:$Q$34,1,MATCH(D264&amp;E264,'Coeff EC7'!$D$31:$Q$31&amp;'Coeff EC7'!$D$32:$Q$32,0))</f>
        <v>#N/A</v>
      </c>
      <c r="L264" s="91" t="e">
        <f t="array" ref="L264">INDEX('Coeff EC7'!$D$35:$Q$35,1,MATCH(D264&amp;E264,'Coeff EC7'!$D$31:$Q$31&amp;'Coeff EC7'!$D$32:$Q$32,0))</f>
        <v>#N/A</v>
      </c>
      <c r="M264" s="98" t="e">
        <f t="shared" si="331"/>
        <v>#N/A</v>
      </c>
      <c r="N264" s="99" t="e">
        <f t="array" ref="N264">INDEX('Coeff EC7'!$D$7:$Q$27,MATCH($B$3,'Coeff EC7'!$C$7:$C$27,0),MATCH(D264&amp;E264,'Coeff EC7'!$D$5:$Q$5&amp;'Coeff EC7'!$D$6:$Q$6,0))</f>
        <v>#N/A</v>
      </c>
      <c r="O264" s="99" t="e">
        <f t="array" ref="O264">INDEX('Coeff EC7'!$D$41:$Q$61,MATCH($B$3,'Coeff EC7'!$C$41:$C$61,0),MATCH(D264&amp;E264,'Coeff EC7'!$D$39:$Q$39&amp;'Coeff EC7'!$D$40:$Q$40,0))</f>
        <v>#N/A</v>
      </c>
      <c r="P264" s="30" t="e">
        <f t="shared" si="368"/>
        <v>#N/A</v>
      </c>
      <c r="Q264" s="100" t="e">
        <f t="shared" si="333"/>
        <v>#N/A</v>
      </c>
      <c r="R264" s="86" t="b">
        <f t="shared" si="334"/>
        <v>0</v>
      </c>
      <c r="S264" s="86">
        <f t="shared" si="332"/>
        <v>0.5</v>
      </c>
      <c r="T264" s="86">
        <f t="shared" si="335"/>
        <v>0.5</v>
      </c>
      <c r="U264" s="30" t="e">
        <f t="shared" ca="1" si="369"/>
        <v>#DIV/0!</v>
      </c>
      <c r="V264" s="85" t="str">
        <f>IF(B264&lt;=Hypothèses!$V$7,Hypothèses!$W$7,IF(B264&lt;=Hypothèses!$V$8,Hypothèses!$W$8,IF(B264&lt;=Hypothèses!$V$9,Hypothèses!$W$9,IF(B264&lt;=Hypothèses!$V$10,Hypothèses!$W$10,IF(B264&lt;=Hypothèses!$V$11,Hypothèses!$W$11,IF(B264&lt;=Hypothèses!$V$12,Hypothèses!$W$12,IF(B264&lt;=Hypothèses!$V$13,Hypothèses!$W$13,IF(B264&lt;=Hypothèses!$V$14,Hypothèses!$W$14,IF(B264&lt;=Hypothèses!$V$15,Hypothèses!$W$15,IF(B264&lt;=Hypothèses!$V$16,Hypothèses!$W$16,IF(B264&lt;=Hypothèses!$V$17,Hypothèses!$W$17,IF(B264&lt;=Hypothèses!$V$18,Hypothèses!$W$18,""))))))))))))</f>
        <v/>
      </c>
      <c r="W264" s="87" t="e">
        <f t="shared" ca="1" si="416"/>
        <v>#DIV/0!</v>
      </c>
      <c r="X264" s="88" t="str">
        <f>IF(B264&lt;=Hypothèses!$V$7,Hypothèses!$X$7,IF(B264&lt;=Hypothèses!$V$8,Hypothèses!$X$8,IF(B264&lt;=Hypothèses!$V$9,Hypothèses!$X$9,IF(B264&lt;=Hypothèses!$V$10,Hypothèses!$X$10,IF(B264&lt;=Hypothèses!$V$11,Hypothèses!$X$11,IF(B264&lt;=Hypothèses!$V$12,Hypothèses!$X$12,IF(B264&lt;=Hypothèses!$V$13,Hypothèses!$X$13,IF(B264&lt;=Hypothèses!$V$14,Hypothèses!$X$14,IF(B264&lt;=Hypothèses!$V$15,Hypothèses!$X$15,IF(B264&lt;=Hypothèses!$V$16,Hypothèses!$X$16,IF(B264&lt;=Hypothèses!$U$17,Hypothèses!$W$17,IF(B264&lt;=Hypothèses!$U$18,Hypothèses!$W$18,""))))))))))))</f>
        <v/>
      </c>
      <c r="Y264" s="95" t="e">
        <f t="shared" ca="1" si="336"/>
        <v>#DIV/0!</v>
      </c>
      <c r="Z264" s="101" t="e">
        <f t="shared" si="337"/>
        <v>#N/A</v>
      </c>
      <c r="AA264" s="91" t="e">
        <f t="shared" si="338"/>
        <v>#N/A</v>
      </c>
      <c r="AB264" s="30" t="e">
        <f t="shared" si="400"/>
        <v>#N/A</v>
      </c>
      <c r="AC264" s="30" t="e">
        <f t="shared" si="401"/>
        <v>#N/A</v>
      </c>
      <c r="AD264" s="31" t="e">
        <f>IF(OR(Hypothèses!$B$4=17,Hypothèses!$B$4=18,Hypothèses!$B$4=19,Hypothèses!$B$4=20),
IF($D264="Pressio.",
IF(OR($E264=3,$E264=1,$E264=4),AC264,AB264),
IF($D264="Pénétro.",
IF(OR($E264=3,$E264=1,$E264=4),AC264,AB264))),IF($D264="Pressio.",
IF($E264=3,AC264,AB264),
IF($D264="Pénétro.",
IF($E264=4,AC264,AB264))))</f>
        <v>#N/A</v>
      </c>
      <c r="AE264" s="31" t="e">
        <f>(IF(OR(Hypothèses!$B$4=17,Hypothèses!$B$4=18,Hypothèses!$B$4=19,Hypothèses!$B$4=20),
IF($D264="Pressio.",
IF(OR($E264=3,$E264=1,$E264=4),(PI()*AE$12^2)/4*(AA264*$W264*1000)/($H264*$B$5),(PI()*AE$12^2)/4*(AA264*$W264*1000)/($G264*$B$5)),
IF($D264="Pénétro.",
IF(OR($E264=4,$E264=1,$E264=5),(PI()*AE$12^2)/4*(AA264*$W264*1000)/($H264*$B$5),(PI()*AE$12^2)/4*(AA264*$W264*1000)/($G264*$B$5)))),
IF($D264="Pressio.",
IF($E264=3,(PI()*AE$12^2)/4*(AA264*$W264*1000)/($H264*$B$5),(PI()*AE$12^2)/4*(AA264*$W264*1000)/($G264*$B$5)),
IF($D264="Pénétro.",
IF($E264=4,(PI()*AE$12^2)/4*(AA264*$W264*1000)/($H264*$B$5),(PI()*AE$12^2)/4*(AA264*$W264*1000)/($G264*$B$5))))))/10</f>
        <v>#N/A</v>
      </c>
      <c r="AF264" s="102" t="e">
        <f>(VLOOKUP($B$3,'Coeff EC7'!$T$39:$X$59,2,0)*AD264+VLOOKUP($B$3,'Coeff EC7'!$T$65:$X$85,2,0)*Model0.1C!AE264)/1.1</f>
        <v>#N/A</v>
      </c>
      <c r="AG264" s="102" t="e">
        <f>(VLOOKUP($B$3,'Coeff EC7'!$T$39:$X$59,3,0)*AD264+VLOOKUP($B$3,'Coeff EC7'!$T$65:$X$85,3,0)*Model0.1C!AE264)/0.9</f>
        <v>#N/A</v>
      </c>
      <c r="AH264" s="102" t="e">
        <f t="shared" si="339"/>
        <v>#N/A</v>
      </c>
      <c r="AI264" s="102" t="e">
        <f t="shared" si="340"/>
        <v>#N/A</v>
      </c>
      <c r="AJ264" s="414" t="e">
        <f>IF(AJ263=0,0,IF(AND(AF264&gt;charge_ELS_quasi,AG264&gt;Charge_ELS_freq,AH264&gt;charge_ELU,AI264&gt;charge_ELA,$B264&gt;NDC!$H$22-0.1+MIN(3*$AJ$12,1.5)),0,1))</f>
        <v>#N/A</v>
      </c>
      <c r="AK264" s="86" t="b">
        <f t="shared" si="341"/>
        <v>0</v>
      </c>
      <c r="AL264" s="86">
        <f t="shared" si="370"/>
        <v>0.5</v>
      </c>
      <c r="AM264" s="86">
        <f t="shared" si="342"/>
        <v>0.5</v>
      </c>
      <c r="AN264" s="30" t="e">
        <f t="shared" ca="1" si="371"/>
        <v>#DIV/0!</v>
      </c>
      <c r="AO264" s="85" t="e">
        <f ca="1">IF(U264&lt;=Hypothèses!$V$7,Hypothèses!$W$7,IF(U264&lt;=Hypothèses!$V$8,Hypothèses!$W$8,IF(U264&lt;=Hypothèses!$V$9,Hypothèses!$W$9,IF(U264&lt;=Hypothèses!$V$10,Hypothèses!$W$10,IF(U264&lt;=Hypothèses!$V$11,Hypothèses!$W$11,IF(U264&lt;=Hypothèses!$V$12,Hypothèses!$W$12,IF(U264&lt;=Hypothèses!$V$13,Hypothèses!$W$13,IF(U264&lt;=Hypothèses!$V$14,Hypothèses!$W$14,IF(U264&lt;=Hypothèses!$V$15,Hypothèses!$W$15,IF(U264&lt;=Hypothèses!$V$16,Hypothèses!$W$16,IF(U264&lt;=Hypothèses!$V$17,Hypothèses!$W$17,IF(U264&lt;=Hypothèses!$V$18,Hypothèses!$W$18,""))))))))))))</f>
        <v>#DIV/0!</v>
      </c>
      <c r="AP264" s="87" t="e">
        <f t="shared" ca="1" si="417"/>
        <v>#DIV/0!</v>
      </c>
      <c r="AQ264" s="88" t="e">
        <f ca="1">IF(U264&lt;=Hypothèses!$V$7,Hypothèses!$X$7,IF(U264&lt;=Hypothèses!$V$8,Hypothèses!$X$8,IF(U264&lt;=Hypothèses!$V$9,Hypothèses!$X$9,IF(U264&lt;=Hypothèses!$V$10,Hypothèses!$X$10,IF(U264&lt;=Hypothèses!$V$11,Hypothèses!$X$11,IF(U264&lt;=Hypothèses!$V$12,Hypothèses!$X$12,IF(U264&lt;=Hypothèses!$V$13,Hypothèses!$X$13,IF(U264&lt;=Hypothèses!$V$14,Hypothèses!$X$14,IF(U264&lt;=Hypothèses!$V$15,Hypothèses!$X$15,IF(U264&lt;=Hypothèses!$V$16,Hypothèses!$X$16,IF(U264&lt;=Hypothèses!$U$17,Hypothèses!$W$17,IF(U264&lt;=Hypothèses!$U$18,Hypothèses!$W$18,""))))))))))))</f>
        <v>#DIV/0!</v>
      </c>
      <c r="AR264" s="95" t="e">
        <f t="shared" ca="1" si="372"/>
        <v>#DIV/0!</v>
      </c>
      <c r="AS264" s="101" t="e">
        <f t="shared" si="424"/>
        <v>#N/A</v>
      </c>
      <c r="AT264" s="91" t="e">
        <f t="shared" si="343"/>
        <v>#N/A</v>
      </c>
      <c r="AU264" s="30" t="e">
        <f t="shared" si="402"/>
        <v>#N/A</v>
      </c>
      <c r="AV264" s="30" t="e">
        <f t="shared" si="403"/>
        <v>#N/A</v>
      </c>
      <c r="AW264" s="31" t="e">
        <f>IF(OR(Hypothèses!$B$4=17,Hypothèses!$B$4=18,Hypothèses!$B$4=19,Hypothèses!$B$4=20),
IF($D264="Pressio.",
IF(OR($E264=3,$E264=1,$E264=4),AV264,AU264),
IF($D264="Pénétro.",
IF(OR($E264=3,$E264=1,$E264=4),AV264,AU264))),IF($D264="Pressio.",
IF($E264=3,AV264,AU264),
IF($D264="Pénétro.",
IF($E264=4,AV264,AU264))))</f>
        <v>#N/A</v>
      </c>
      <c r="AX264" s="31" t="e">
        <f>(IF(OR(Hypothèses!$B$4=17,Hypothèses!$B$4=18,Hypothèses!$B$4=19,Hypothèses!$B$4=20),
IF($D264="Pressio.",
IF(OR($E264=3,$E264=1,$E264=4),(PI()*AX$12^2)/4*(AT264*$W264*1000)/($H264*$B$5),(PI()*AX$12^2)/4*(AT264*$W264*1000)/($G264*$B$5)),
IF($D264="Pénétro.",
IF(OR($E264=4,$E264=1,$E264=5),(PI()*AX$12^2)/4*(AT264*$W264*1000)/($H264*$B$5),(PI()*AX$12^2)/4*(AT264*$W264*1000)/($G264*$B$5)))),
IF($D264="Pressio.",
IF($E264=3,(PI()*AX$12^2)/4*(AT264*$W264*1000)/($H264*$B$5),(PI()*AX$12^2)/4*(AT264*$W264*1000)/($G264*$B$5)),
IF($D264="Pénétro.",
IF($E264=4,(PI()*AX$12^2)/4*(AT264*$W264*1000)/($H264*$B$5),(PI()*AX$12^2)/4*(AT264*$W264*1000)/($G264*$B$5))))))/10</f>
        <v>#N/A</v>
      </c>
      <c r="AY264" s="102" t="e">
        <f>(VLOOKUP($B$3,'Coeff EC7'!$T$39:$X$59,2,0)*AW264+VLOOKUP($B$3,'Coeff EC7'!$T$65:$X$85,2,0)*Model0.1C!AX264)/1.1</f>
        <v>#N/A</v>
      </c>
      <c r="AZ264" s="102" t="e">
        <f>(VLOOKUP($B$3,'Coeff EC7'!$T$39:$X$59,3,0)*AW264+VLOOKUP($B$3,'Coeff EC7'!$T$65:$X$85,3,0)*Model0.1C!AX264)/0.9</f>
        <v>#N/A</v>
      </c>
      <c r="BA264" s="102" t="e">
        <f t="shared" si="373"/>
        <v>#N/A</v>
      </c>
      <c r="BB264" s="102" t="e">
        <f t="shared" si="374"/>
        <v>#N/A</v>
      </c>
      <c r="BC264" s="414" t="e">
        <f>IF(BC263=0,0,IF(AND(AY264&gt;charge_ELS_quasi,AZ264&gt;Charge_ELS_freq,BA264&gt;charge_ELU,BB264&gt;charge_ELA,$B264&gt;NDC!$H$22-0.1+MIN(3*$BC$12,1.5)),0,1))</f>
        <v>#N/A</v>
      </c>
      <c r="BD264" s="86" t="b">
        <f t="shared" si="344"/>
        <v>0</v>
      </c>
      <c r="BE264" s="86">
        <f t="shared" si="375"/>
        <v>0.5</v>
      </c>
      <c r="BF264" s="86">
        <f t="shared" si="345"/>
        <v>0.5</v>
      </c>
      <c r="BG264" s="30" t="e">
        <f t="shared" ca="1" si="376"/>
        <v>#DIV/0!</v>
      </c>
      <c r="BH264" s="85" t="e">
        <f ca="1">IF(AN264&lt;=Hypothèses!$V$7,Hypothèses!$W$7,IF(AN264&lt;=Hypothèses!$V$8,Hypothèses!$W$8,IF(AN264&lt;=Hypothèses!$V$9,Hypothèses!$W$9,IF(AN264&lt;=Hypothèses!$V$10,Hypothèses!$W$10,IF(AN264&lt;=Hypothèses!$V$11,Hypothèses!$W$11,IF(AN264&lt;=Hypothèses!$V$12,Hypothèses!$W$12,IF(AN264&lt;=Hypothèses!$V$13,Hypothèses!$W$13,IF(AN264&lt;=Hypothèses!$V$14,Hypothèses!$W$14,IF(AN264&lt;=Hypothèses!$V$15,Hypothèses!$W$15,IF(AN264&lt;=Hypothèses!$V$16,Hypothèses!$W$16,IF(AN264&lt;=Hypothèses!$V$17,Hypothèses!$W$17,IF(AN264&lt;=Hypothèses!$V$18,Hypothèses!$W$18,""))))))))))))</f>
        <v>#DIV/0!</v>
      </c>
      <c r="BI264" s="87" t="e">
        <f t="shared" ca="1" si="418"/>
        <v>#DIV/0!</v>
      </c>
      <c r="BJ264" s="88" t="e">
        <f ca="1">IF(AN264&lt;=Hypothèses!$V$7,Hypothèses!$X$7,IF(AN264&lt;=Hypothèses!$V$8,Hypothèses!$X$8,IF(AN264&lt;=Hypothèses!$V$9,Hypothèses!$X$9,IF(AN264&lt;=Hypothèses!$V$10,Hypothèses!$X$10,IF(AN264&lt;=Hypothèses!$V$11,Hypothèses!$X$11,IF(AN264&lt;=Hypothèses!$V$12,Hypothèses!$X$12,IF(AN264&lt;=Hypothèses!$V$13,Hypothèses!$X$13,IF(AN264&lt;=Hypothèses!$V$14,Hypothèses!$X$14,IF(AN264&lt;=Hypothèses!$V$15,Hypothèses!$X$15,IF(AN264&lt;=Hypothèses!$V$16,Hypothèses!$X$16,IF(AN264&lt;=Hypothèses!$U$17,Hypothèses!$W$17,IF(AN264&lt;=Hypothèses!$U$18,Hypothèses!$W$18,""))))))))))))</f>
        <v>#DIV/0!</v>
      </c>
      <c r="BK264" s="95" t="e">
        <f t="shared" ca="1" si="377"/>
        <v>#DIV/0!</v>
      </c>
      <c r="BL264" s="101" t="e">
        <f t="shared" si="425"/>
        <v>#N/A</v>
      </c>
      <c r="BM264" s="91" t="e">
        <f t="shared" si="346"/>
        <v>#N/A</v>
      </c>
      <c r="BN264" s="30" t="e">
        <f t="shared" si="404"/>
        <v>#N/A</v>
      </c>
      <c r="BO264" s="30" t="e">
        <f t="shared" si="405"/>
        <v>#N/A</v>
      </c>
      <c r="BP264" s="31" t="e">
        <f>IF(OR(Hypothèses!$B$4=17,Hypothèses!$B$4=18,Hypothèses!$B$4=19,Hypothèses!$B$4=20),
IF($D264="Pressio.",
IF(OR($E264=3,$E264=1,$E264=4),BO264,BN264),
IF($D264="Pénétro.",
IF(OR($E264=3,$E264=1,$E264=4),BO264,BN264))),IF($D264="Pressio.",
IF($E264=3,BO264,BN264),
IF($D264="Pénétro.",
IF($E264=4,BO264,BN264))))</f>
        <v>#N/A</v>
      </c>
      <c r="BQ264" s="31" t="e">
        <f>(IF(OR(Hypothèses!$B$4=17,Hypothèses!$B$4=18,Hypothèses!$B$4=19,Hypothèses!$B$4=20),
IF($D264="Pressio.",
IF(OR($E264=3,$E264=1,$E264=4),(PI()*BQ$12^2)/4*(BM264*$W264*1000)/($H264*$B$5),(PI()*BQ$12^2)/4*(BM264*$W264*1000)/($G264*$B$5)),
IF($D264="Pénétro.",
IF(OR($E264=4,$E264=1,$E264=5),(PI()*BQ$12^2)/4*(BM264*$W264*1000)/($H264*$B$5),(PI()*BQ$12^2)/4*(BM264*$W264*1000)/($G264*$B$5)))),
IF($D264="Pressio.",
IF($E264=3,(PI()*BQ$12^2)/4*(BM264*$W264*1000)/($H264*$B$5),(PI()*BQ$12^2)/4*(BM264*$W264*1000)/($G264*$B$5)),
IF($D264="Pénétro.",
IF($E264=4,(PI()*BQ$12^2)/4*(BM264*$W264*1000)/($H264*$B$5),(PI()*BQ$12^2)/4*(BM264*$W264*1000)/($G264*$B$5))))))/10</f>
        <v>#N/A</v>
      </c>
      <c r="BR264" s="102" t="e">
        <f>(VLOOKUP($B$3,'Coeff EC7'!$T$39:$X$59,2,0)*BP264+VLOOKUP($B$3,'Coeff EC7'!$T$65:$X$85,2,0)*Model0.1C!BQ264)/1.1</f>
        <v>#N/A</v>
      </c>
      <c r="BS264" s="102" t="e">
        <f>(VLOOKUP($B$3,'Coeff EC7'!$T$39:$X$59,3,0)*BP264+VLOOKUP($B$3,'Coeff EC7'!$T$65:$X$85,3,0)*Model0.1C!BQ264)/0.9</f>
        <v>#N/A</v>
      </c>
      <c r="BT264" s="102" t="e">
        <f t="shared" si="378"/>
        <v>#N/A</v>
      </c>
      <c r="BU264" s="102" t="e">
        <f t="shared" si="379"/>
        <v>#N/A</v>
      </c>
      <c r="BV264" s="414" t="e">
        <f>IF(BV263=0,0,IF(AND(BR264&gt;charge_ELS_quasi,BS264&gt;Charge_ELS_freq,BT264&gt;charge_ELU,BU264&gt;charge_ELA,$B264&gt;NDC!$H$22-0.1+MIN(3*$BV$12,1.5)),0,1))</f>
        <v>#N/A</v>
      </c>
      <c r="BW264" s="86" t="b">
        <f t="shared" si="347"/>
        <v>0</v>
      </c>
      <c r="BX264" s="86">
        <f t="shared" si="348"/>
        <v>0.5</v>
      </c>
      <c r="BY264" s="86">
        <f t="shared" si="349"/>
        <v>0.5</v>
      </c>
      <c r="BZ264" s="30" t="e">
        <f t="shared" ca="1" si="380"/>
        <v>#DIV/0!</v>
      </c>
      <c r="CA264" s="85" t="e">
        <f ca="1">IF(BG264&lt;=Hypothèses!$V$7,Hypothèses!$W$7,IF(BG264&lt;=Hypothèses!$V$8,Hypothèses!$W$8,IF(BG264&lt;=Hypothèses!$V$9,Hypothèses!$W$9,IF(BG264&lt;=Hypothèses!$V$10,Hypothèses!$W$10,IF(BG264&lt;=Hypothèses!$V$11,Hypothèses!$W$11,IF(BG264&lt;=Hypothèses!$V$12,Hypothèses!$W$12,IF(BG264&lt;=Hypothèses!$V$13,Hypothèses!$W$13,IF(BG264&lt;=Hypothèses!$V$14,Hypothèses!$W$14,IF(BG264&lt;=Hypothèses!$V$15,Hypothèses!$W$15,IF(BG264&lt;=Hypothèses!$V$16,Hypothèses!$W$16,IF(BG264&lt;=Hypothèses!$V$17,Hypothèses!$W$17,IF(BG264&lt;=Hypothèses!$V$18,Hypothèses!$W$18,""))))))))))))</f>
        <v>#DIV/0!</v>
      </c>
      <c r="CB264" s="87" t="e">
        <f t="shared" ca="1" si="419"/>
        <v>#DIV/0!</v>
      </c>
      <c r="CC264" s="88" t="e">
        <f ca="1">IF(BG264&lt;=Hypothèses!$V$7,Hypothèses!$X$7,IF(BG264&lt;=Hypothèses!$V$8,Hypothèses!$X$8,IF(BG264&lt;=Hypothèses!$V$9,Hypothèses!$X$9,IF(BG264&lt;=Hypothèses!$V$10,Hypothèses!$X$10,IF(BG264&lt;=Hypothèses!$V$11,Hypothèses!$X$11,IF(BG264&lt;=Hypothèses!$V$12,Hypothèses!$X$12,IF(BG264&lt;=Hypothèses!$V$13,Hypothèses!$X$13,IF(BG264&lt;=Hypothèses!$V$14,Hypothèses!$X$14,IF(BG264&lt;=Hypothèses!$V$15,Hypothèses!$X$15,IF(BG264&lt;=Hypothèses!$V$16,Hypothèses!$X$16,IF(BG264&lt;=Hypothèses!$U$17,Hypothèses!$W$17,IF(BG264&lt;=Hypothèses!$U$18,Hypothèses!$W$18,""))))))))))))</f>
        <v>#DIV/0!</v>
      </c>
      <c r="CD264" s="95" t="e">
        <f t="shared" ca="1" si="381"/>
        <v>#DIV/0!</v>
      </c>
      <c r="CE264" s="101" t="e">
        <f t="shared" si="426"/>
        <v>#N/A</v>
      </c>
      <c r="CF264" s="91" t="e">
        <f t="shared" si="350"/>
        <v>#N/A</v>
      </c>
      <c r="CG264" s="30" t="e">
        <f t="shared" si="406"/>
        <v>#N/A</v>
      </c>
      <c r="CH264" s="30" t="e">
        <f t="shared" si="407"/>
        <v>#N/A</v>
      </c>
      <c r="CI264" s="31" t="e">
        <f>IF(OR(Hypothèses!$B$4=17,Hypothèses!$B$4=18,Hypothèses!$B$4=19,Hypothèses!$B$4=20),
IF($D264="Pressio.",
IF(OR($E264=3,$E264=1,$E264=4),CH264,CG264),
IF($D264="Pénétro.",
IF(OR($E264=3,$E264=1,$E264=4),CH264,CG264))),IF($D264="Pressio.",
IF($E264=3,CH264,CG264),
IF($D264="Pénétro.",
IF($E264=4,CH264,CG264))))</f>
        <v>#N/A</v>
      </c>
      <c r="CJ264" s="31" t="e">
        <f>(IF(OR(Hypothèses!$B$4=17,Hypothèses!$B$4=18,Hypothèses!$B$4=19,Hypothèses!$B$4=20),
IF($D264="Pressio.",
IF(OR($E264=3,$E264=1,$E264=4),(PI()*CJ$12^2)/4*(CF264*$W264*1000)/($H264*$B$5),(PI()*CJ$12^2)/4*(CF264*$W264*1000)/($G264*$B$5)),
IF($D264="Pénétro.",
IF(OR($E264=4,$E264=1,$E264=5),(PI()*CJ$12^2)/4*(CF264*$W264*1000)/($H264*$B$5),(PI()*CJ$12^2)/4*(CF264*$W264*1000)/($G264*$B$5)))),
IF($D264="Pressio.",
IF($E264=3,(PI()*CJ$12^2)/4*(CF264*$W264*1000)/($H264*$B$5),(PI()*CJ$12^2)/4*(CF264*$W264*1000)/($G264*$B$5)),
IF($D264="Pénétro.",
IF($E264=4,(PI()*CJ$12^2)/4*(CF264*$W264*1000)/($H264*$B$5),(PI()*CJ$12^2)/4*(CF264*$W264*1000)/($G264*$B$5))))))/10</f>
        <v>#N/A</v>
      </c>
      <c r="CK264" s="102" t="e">
        <f>(VLOOKUP($B$3,'Coeff EC7'!$T$39:$X$59,2,0)*CI264+VLOOKUP($B$3,'Coeff EC7'!$T$65:$X$85,2,0)*Model0.1C!CJ264)/1.1</f>
        <v>#N/A</v>
      </c>
      <c r="CL264" s="102" t="e">
        <f>(VLOOKUP($B$3,'Coeff EC7'!$T$39:$X$59,3,0)*CI264+VLOOKUP($B$3,'Coeff EC7'!$T$65:$X$85,3,0)*Model0.1C!CJ264)/0.9</f>
        <v>#N/A</v>
      </c>
      <c r="CM264" s="102" t="e">
        <f t="shared" si="382"/>
        <v>#N/A</v>
      </c>
      <c r="CN264" s="102" t="e">
        <f t="shared" si="383"/>
        <v>#N/A</v>
      </c>
      <c r="CO264" s="414" t="e">
        <f>IF(CO263=0,0,IF(AND(CK264&gt;charge_ELS_quasi,CL264&gt;Charge_ELS_freq,CM264&gt;charge_ELU,CN264&gt;charge_ELA,$B264&gt;NDC!$H$22-0.1+MIN(3*$CO$12,1.5)),0,1))</f>
        <v>#N/A</v>
      </c>
      <c r="CP264" s="86" t="b">
        <f t="shared" si="351"/>
        <v>0</v>
      </c>
      <c r="CQ264" s="86">
        <f t="shared" si="352"/>
        <v>0.5</v>
      </c>
      <c r="CR264" s="86">
        <f t="shared" si="353"/>
        <v>0.5</v>
      </c>
      <c r="CS264" s="30" t="e">
        <f t="shared" ca="1" si="384"/>
        <v>#DIV/0!</v>
      </c>
      <c r="CT264" s="85" t="e">
        <f ca="1">IF(BZ264&lt;=Hypothèses!$V$7,Hypothèses!$W$7,IF(BZ264&lt;=Hypothèses!$V$8,Hypothèses!$W$8,IF(BZ264&lt;=Hypothèses!$V$9,Hypothèses!$W$9,IF(BZ264&lt;=Hypothèses!$V$10,Hypothèses!$W$10,IF(BZ264&lt;=Hypothèses!$V$11,Hypothèses!$W$11,IF(BZ264&lt;=Hypothèses!$V$12,Hypothèses!$W$12,IF(BZ264&lt;=Hypothèses!$V$13,Hypothèses!$W$13,IF(BZ264&lt;=Hypothèses!$V$14,Hypothèses!$W$14,IF(BZ264&lt;=Hypothèses!$V$15,Hypothèses!$W$15,IF(BZ264&lt;=Hypothèses!$V$16,Hypothèses!$W$16,IF(BZ264&lt;=Hypothèses!$V$17,Hypothèses!$W$17,IF(BZ264&lt;=Hypothèses!$V$18,Hypothèses!$W$18,""))))))))))))</f>
        <v>#DIV/0!</v>
      </c>
      <c r="CU264" s="87" t="e">
        <f t="shared" ca="1" si="420"/>
        <v>#DIV/0!</v>
      </c>
      <c r="CV264" s="88" t="e">
        <f ca="1">IF(BZ264&lt;=Hypothèses!$V$7,Hypothèses!$X$7,IF(BZ264&lt;=Hypothèses!$V$8,Hypothèses!$X$8,IF(BZ264&lt;=Hypothèses!$V$9,Hypothèses!$X$9,IF(BZ264&lt;=Hypothèses!$V$10,Hypothèses!$X$10,IF(BZ264&lt;=Hypothèses!$V$11,Hypothèses!$X$11,IF(BZ264&lt;=Hypothèses!$V$12,Hypothèses!$X$12,IF(BZ264&lt;=Hypothèses!$V$13,Hypothèses!$X$13,IF(BZ264&lt;=Hypothèses!$V$14,Hypothèses!$X$14,IF(BZ264&lt;=Hypothèses!$V$15,Hypothèses!$X$15,IF(BZ264&lt;=Hypothèses!$V$16,Hypothèses!$X$16,IF(BZ264&lt;=Hypothèses!$U$17,Hypothèses!$W$17,IF(BZ264&lt;=Hypothèses!$U$18,Hypothèses!$W$18,""))))))))))))</f>
        <v>#DIV/0!</v>
      </c>
      <c r="CW264" s="95" t="e">
        <f t="shared" ca="1" si="385"/>
        <v>#DIV/0!</v>
      </c>
      <c r="CX264" s="101" t="e">
        <f t="shared" si="427"/>
        <v>#N/A</v>
      </c>
      <c r="CY264" s="91" t="e">
        <f t="shared" si="354"/>
        <v>#N/A</v>
      </c>
      <c r="CZ264" s="30" t="e">
        <f t="shared" si="408"/>
        <v>#N/A</v>
      </c>
      <c r="DA264" s="30" t="e">
        <f t="shared" si="409"/>
        <v>#N/A</v>
      </c>
      <c r="DB264" s="31" t="e">
        <f>IF(OR(Hypothèses!$B$4=17,Hypothèses!$B$4=18,Hypothèses!$B$4=19,Hypothèses!$B$4=20),
IF($D264="Pressio.",
IF(OR($E264=3,$E264=1,$E264=4),DA264,CZ264),
IF($D264="Pénétro.",
IF(OR($E264=3,$E264=1,$E264=4),DA264,CZ264))),IF($D264="Pressio.",
IF($E264=3,DA264,CZ264),
IF($D264="Pénétro.",
IF($E264=4,DA264,CZ264))))</f>
        <v>#N/A</v>
      </c>
      <c r="DC264" s="31" t="e">
        <f>(IF(OR(Hypothèses!$B$4=17,Hypothèses!$B$4=18,Hypothèses!$B$4=19,Hypothèses!$B$4=20),
IF($D264="Pressio.",
IF(OR($E264=3,$E264=1,$E264=4),(PI()*DC$12^2)/4*(CY264*$W264*1000)/($H264*$B$5),(PI()*DC$12^2)/4*(CY264*$W264*1000)/($G264*$B$5)),
IF($D264="Pénétro.",
IF(OR($E264=4,$E264=1,$E264=5),(PI()*DC$12^2)/4*(CY264*$W264*1000)/($H264*$B$5),(PI()*DC$12^2)/4*(CY264*$W264*1000)/($G264*$B$5)))),
IF($D264="Pressio.",
IF($E264=3,(PI()*DC$12^2)/4*(CY264*$W264*1000)/($H264*$B$5),(PI()*DC$12^2)/4*(CY264*$W264*1000)/($G264*$B$5)),
IF($D264="Pénétro.",
IF($E264=4,(PI()*DC$12^2)/4*(CY264*$W264*1000)/($H264*$B$5),(PI()*DC$12^2)/4*(CY264*$W264*1000)/($G264*$B$5))))))/10</f>
        <v>#N/A</v>
      </c>
      <c r="DD264" s="102" t="e">
        <f>(VLOOKUP($B$3,'Coeff EC7'!$T$39:$X$59,2,0)*DB264+VLOOKUP($B$3,'Coeff EC7'!$T$65:$X$85,2,0)*Model0.1C!DC264)/1.1</f>
        <v>#N/A</v>
      </c>
      <c r="DE264" s="102" t="e">
        <f>(VLOOKUP($B$3,'Coeff EC7'!$T$39:$X$59,3,0)*DB264+VLOOKUP($B$3,'Coeff EC7'!$T$65:$X$85,3,0)*Model0.1C!DC264)/0.9</f>
        <v>#N/A</v>
      </c>
      <c r="DF264" s="102" t="e">
        <f t="shared" si="386"/>
        <v>#N/A</v>
      </c>
      <c r="DG264" s="102" t="e">
        <f t="shared" si="387"/>
        <v>#N/A</v>
      </c>
      <c r="DH264" s="414" t="e">
        <f>IF(DH263=0,0,IF(AND(DD264&gt;charge_ELS_quasi,DE264&gt;Charge_ELS_freq,DF264&gt;charge_ELU,DG264&gt;charge_ELA,$B264&gt;NDC!$H$22-0.1+MIN(3*$DH$12,1.5)),0,1))</f>
        <v>#N/A</v>
      </c>
      <c r="DI264" s="86" t="b">
        <f t="shared" si="355"/>
        <v>0</v>
      </c>
      <c r="DJ264" s="86">
        <f t="shared" si="356"/>
        <v>0.5</v>
      </c>
      <c r="DK264" s="86">
        <f t="shared" si="357"/>
        <v>0.5</v>
      </c>
      <c r="DL264" s="30" t="e">
        <f t="shared" ca="1" si="388"/>
        <v>#DIV/0!</v>
      </c>
      <c r="DM264" s="85" t="e">
        <f ca="1">IF(CS264&lt;=Hypothèses!$V$7,Hypothèses!$W$7,IF(CS264&lt;=Hypothèses!$V$8,Hypothèses!$W$8,IF(CS264&lt;=Hypothèses!$V$9,Hypothèses!$W$9,IF(CS264&lt;=Hypothèses!$V$10,Hypothèses!$W$10,IF(CS264&lt;=Hypothèses!$V$11,Hypothèses!$W$11,IF(CS264&lt;=Hypothèses!$V$12,Hypothèses!$W$12,IF(CS264&lt;=Hypothèses!$V$13,Hypothèses!$W$13,IF(CS264&lt;=Hypothèses!$V$14,Hypothèses!$W$14,IF(CS264&lt;=Hypothèses!$V$15,Hypothèses!$W$15,IF(CS264&lt;=Hypothèses!$V$16,Hypothèses!$W$16,IF(CS264&lt;=Hypothèses!$V$17,Hypothèses!$W$17,IF(CS264&lt;=Hypothèses!$V$18,Hypothèses!$W$18,""))))))))))))</f>
        <v>#DIV/0!</v>
      </c>
      <c r="DN264" s="87" t="e">
        <f t="shared" ca="1" si="421"/>
        <v>#DIV/0!</v>
      </c>
      <c r="DO264" s="88" t="e">
        <f ca="1">IF(CS264&lt;=Hypothèses!$V$7,Hypothèses!$X$7,IF(CS264&lt;=Hypothèses!$V$8,Hypothèses!$X$8,IF(CS264&lt;=Hypothèses!$V$9,Hypothèses!$X$9,IF(CS264&lt;=Hypothèses!$V$10,Hypothèses!$X$10,IF(CS264&lt;=Hypothèses!$V$11,Hypothèses!$X$11,IF(CS264&lt;=Hypothèses!$V$12,Hypothèses!$X$12,IF(CS264&lt;=Hypothèses!$V$13,Hypothèses!$X$13,IF(CS264&lt;=Hypothèses!$V$14,Hypothèses!$X$14,IF(CS264&lt;=Hypothèses!$V$15,Hypothèses!$X$15,IF(CS264&lt;=Hypothèses!$V$16,Hypothèses!$X$16,IF(CS264&lt;=Hypothèses!$U$17,Hypothèses!$W$17,IF(CS264&lt;=Hypothèses!$U$18,Hypothèses!$W$18,""))))))))))))</f>
        <v>#DIV/0!</v>
      </c>
      <c r="DP264" s="95" t="e">
        <f t="shared" ca="1" si="389"/>
        <v>#DIV/0!</v>
      </c>
      <c r="DQ264" s="101" t="e">
        <f t="shared" si="428"/>
        <v>#N/A</v>
      </c>
      <c r="DR264" s="91" t="e">
        <f t="shared" si="358"/>
        <v>#N/A</v>
      </c>
      <c r="DS264" s="30" t="e">
        <f t="shared" si="410"/>
        <v>#N/A</v>
      </c>
      <c r="DT264" s="30" t="e">
        <f t="shared" si="411"/>
        <v>#N/A</v>
      </c>
      <c r="DU264" s="31" t="e">
        <f>IF(OR(Hypothèses!$B$4=17,Hypothèses!$B$4=18,Hypothèses!$B$4=19,Hypothèses!$B$4=20),
IF($D264="Pressio.",
IF(OR($E264=3,$E264=1,$E264=4),DT264,DS264),
IF($D264="Pénétro.",
IF(OR($E264=3,$E264=1,$E264=4),DT264,DS264))),IF($D264="Pressio.",
IF($E264=3,DT264,DS264),
IF($D264="Pénétro.",
IF($E264=4,DT264,DS264))))</f>
        <v>#N/A</v>
      </c>
      <c r="DV264" s="31" t="e">
        <f>(IF(OR(Hypothèses!$B$4=17,Hypothèses!$B$4=18,Hypothèses!$B$4=19,Hypothèses!$B$4=20),
IF($D264="Pressio.",
IF(OR($E264=3,$E264=1,$E264=4),(PI()*DV$12^2)/4*(DR264*$W264*1000)/($H264*$B$5),(PI()*DV$12^2)/4*(DR264*$W264*1000)/($G264*$B$5)),
IF($D264="Pénétro.",
IF(OR($E264=4,$E264=1,$E264=5),(PI()*DV$12^2)/4*(DR264*$W264*1000)/($H264*$B$5),(PI()*DV$12^2)/4*(DR264*$W264*1000)/($G264*$B$5)))),
IF($D264="Pressio.",
IF($E264=3,(PI()*DV$12^2)/4*(DR264*$W264*1000)/($H264*$B$5),(PI()*DV$12^2)/4*(DR264*$W264*1000)/($G264*$B$5)),
IF($D264="Pénétro.",
IF($E264=4,(PI()*DV$12^2)/4*(DR264*$W264*1000)/($H264*$B$5),(PI()*DV$12^2)/4*(DR264*$W264*1000)/($G264*$B$5))))))/10</f>
        <v>#N/A</v>
      </c>
      <c r="DW264" s="102" t="e">
        <f>(VLOOKUP($B$3,'Coeff EC7'!$T$39:$X$59,2,0)*DU264+VLOOKUP($B$3,'Coeff EC7'!$T$65:$X$85,2,0)*Model0.1C!DV264)/1.1</f>
        <v>#N/A</v>
      </c>
      <c r="DX264" s="102" t="e">
        <f>(VLOOKUP($B$3,'Coeff EC7'!$T$39:$X$59,3,0)*DU264+VLOOKUP($B$3,'Coeff EC7'!$T$65:$X$85,3,0)*Model0.1C!DV264)/0.9</f>
        <v>#N/A</v>
      </c>
      <c r="DY264" s="102" t="e">
        <f t="shared" si="390"/>
        <v>#N/A</v>
      </c>
      <c r="DZ264" s="102" t="e">
        <f t="shared" si="391"/>
        <v>#N/A</v>
      </c>
      <c r="EA264" s="414" t="e">
        <f>IF(EA263=0,0,IF(AND(DW264&gt;charge_ELS_quasi,DX264&gt;Charge_ELS_freq,DY264&gt;charge_ELU,DZ264&gt;charge_ELA,$B264&gt;NDC!$H$22-0.1+MIN(3*$EA$12,1.5)),0,1))</f>
        <v>#N/A</v>
      </c>
      <c r="EB264" s="86" t="b">
        <f t="shared" si="359"/>
        <v>0</v>
      </c>
      <c r="EC264" s="418">
        <f t="shared" si="360"/>
        <v>0.51</v>
      </c>
      <c r="ED264" s="86">
        <f t="shared" si="361"/>
        <v>0.51</v>
      </c>
      <c r="EE264" s="30" t="e">
        <f t="shared" ca="1" si="392"/>
        <v>#DIV/0!</v>
      </c>
      <c r="EF264" s="85" t="e">
        <f ca="1">IF(DL264&lt;=Hypothèses!$V$7,Hypothèses!$W$7,IF(DL264&lt;=Hypothèses!$V$8,Hypothèses!$W$8,IF(DL264&lt;=Hypothèses!$V$9,Hypothèses!$W$9,IF(DL264&lt;=Hypothèses!$V$10,Hypothèses!$W$10,IF(DL264&lt;=Hypothèses!$V$11,Hypothèses!$W$11,IF(DL264&lt;=Hypothèses!$V$12,Hypothèses!$W$12,IF(DL264&lt;=Hypothèses!$V$13,Hypothèses!$W$13,IF(DL264&lt;=Hypothèses!$V$14,Hypothèses!$W$14,IF(DL264&lt;=Hypothèses!$V$15,Hypothèses!$W$15,IF(DL264&lt;=Hypothèses!$V$16,Hypothèses!$W$16,IF(DL264&lt;=Hypothèses!$V$17,Hypothèses!$W$17,IF(DL264&lt;=Hypothèses!$V$18,Hypothèses!$W$18,""))))))))))))</f>
        <v>#DIV/0!</v>
      </c>
      <c r="EG264" s="87" t="e">
        <f t="shared" ca="1" si="422"/>
        <v>#DIV/0!</v>
      </c>
      <c r="EH264" s="88" t="e">
        <f ca="1">IF(DL264&lt;=Hypothèses!$V$7,Hypothèses!$X$7,IF(DL264&lt;=Hypothèses!$V$8,Hypothèses!$X$8,IF(DL264&lt;=Hypothèses!$V$9,Hypothèses!$X$9,IF(DL264&lt;=Hypothèses!$V$10,Hypothèses!$X$10,IF(DL264&lt;=Hypothèses!$V$11,Hypothèses!$X$11,IF(DL264&lt;=Hypothèses!$V$12,Hypothèses!$X$12,IF(DL264&lt;=Hypothèses!$V$13,Hypothèses!$X$13,IF(DL264&lt;=Hypothèses!$V$14,Hypothèses!$X$14,IF(DL264&lt;=Hypothèses!$V$15,Hypothèses!$X$15,IF(DL264&lt;=Hypothèses!$V$16,Hypothèses!$X$16,IF(DL264&lt;=Hypothèses!$U$17,Hypothèses!$W$17,IF(DL264&lt;=Hypothèses!$U$18,Hypothèses!$W$18,""))))))))))))</f>
        <v>#DIV/0!</v>
      </c>
      <c r="EI264" s="95" t="e">
        <f t="shared" ca="1" si="393"/>
        <v>#DIV/0!</v>
      </c>
      <c r="EJ264" s="101" t="e">
        <f t="shared" si="429"/>
        <v>#N/A</v>
      </c>
      <c r="EK264" s="91" t="e">
        <f t="shared" si="362"/>
        <v>#N/A</v>
      </c>
      <c r="EL264" s="30" t="e">
        <f t="shared" si="412"/>
        <v>#N/A</v>
      </c>
      <c r="EM264" s="30" t="e">
        <f t="shared" si="413"/>
        <v>#N/A</v>
      </c>
      <c r="EN264" s="31" t="e">
        <f>IF(OR(Hypothèses!$B$4=17,Hypothèses!$B$4=18,Hypothèses!$B$4=19,Hypothèses!$B$4=20),
IF($D264="Pressio.",
IF(OR($E264=3,$E264=1,$E264=4),EM264,EL264),
IF($D264="Pénétro.",
IF(OR($E264=3,$E264=1,$E264=4),EM264,EL264))),IF($D264="Pressio.",
IF($E264=3,EM264,EL264),
IF($D264="Pénétro.",
IF($E264=4,EM264,EL264))))</f>
        <v>#N/A</v>
      </c>
      <c r="EO264" s="31" t="e">
        <f>(IF(OR(Hypothèses!$B$4=17,Hypothèses!$B$4=18,Hypothèses!$B$4=19,Hypothèses!$B$4=20),
IF($D264="Pressio.",
IF(OR($E264=3,$E264=1,$E264=4),(PI()*EO$12^2)/4*(EK264*$W264*1000)/($H264*$B$5),(PI()*EO$12^2)/4*(EK264*$W264*1000)/($G264*$B$5)),
IF($D264="Pénétro.",
IF(OR($E264=4,$E264=1,$E264=5),(PI()*EO$12^2)/4*(EK264*$W264*1000)/($H264*$B$5),(PI()*EO$12^2)/4*(EK264*$W264*1000)/($G264*$B$5)))),
IF($D264="Pressio.",
IF($E264=3,(PI()*EO$12^2)/4*(EK264*$W264*1000)/($H264*$B$5),(PI()*EO$12^2)/4*(EK264*$W264*1000)/($G264*$B$5)),
IF($D264="Pénétro.",
IF($E264=4,(PI()*EO$12^2)/4*(EK264*$W264*1000)/($H264*$B$5),(PI()*EO$12^2)/4*(EK264*$W264*1000)/($G264*$B$5))))))/10</f>
        <v>#N/A</v>
      </c>
      <c r="EP264" s="102" t="e">
        <f>(VLOOKUP($B$3,'Coeff EC7'!$T$39:$X$59,2,0)*EN264+VLOOKUP($B$3,'Coeff EC7'!$T$65:$X$85,2,0)*Model0.1C!EO264)/1.1</f>
        <v>#N/A</v>
      </c>
      <c r="EQ264" s="102" t="e">
        <f>(VLOOKUP($B$3,'Coeff EC7'!$T$39:$X$59,3,0)*EN264+VLOOKUP($B$3,'Coeff EC7'!$T$65:$X$85,3,0)*Model0.1C!EO264)/0.9</f>
        <v>#N/A</v>
      </c>
      <c r="ER264" s="102" t="e">
        <f t="shared" si="394"/>
        <v>#N/A</v>
      </c>
      <c r="ES264" s="102" t="e">
        <f t="shared" si="395"/>
        <v>#N/A</v>
      </c>
      <c r="ET264" s="414" t="e">
        <f>IF(ET263=0,0,IF(AND(EP264&gt;charge_ELS_quasi,EQ264&gt;Charge_ELS_freq,ER264&gt;charge_ELU,ES264&gt;charge_ELA,$B264&gt;NDC!$H$22-0.1+MIN(3*$ET$12,1.5)),0,1))</f>
        <v>#N/A</v>
      </c>
      <c r="EU264" s="86" t="b">
        <f t="shared" si="363"/>
        <v>0</v>
      </c>
      <c r="EV264" s="86">
        <f t="shared" si="364"/>
        <v>0.61</v>
      </c>
      <c r="EW264" s="86">
        <f t="shared" si="365"/>
        <v>0.61</v>
      </c>
      <c r="EX264" s="30" t="e">
        <f t="shared" ca="1" si="396"/>
        <v>#DIV/0!</v>
      </c>
      <c r="EY264" s="85" t="e">
        <f ca="1">IF(EE264&lt;=Hypothèses!$V$7,Hypothèses!$W$7,IF(EE264&lt;=Hypothèses!$V$8,Hypothèses!$W$8,IF(EE264&lt;=Hypothèses!$V$9,Hypothèses!$W$9,IF(EE264&lt;=Hypothèses!$V$10,Hypothèses!$W$10,IF(EE264&lt;=Hypothèses!$V$11,Hypothèses!$W$11,IF(EE264&lt;=Hypothèses!$V$12,Hypothèses!$W$12,IF(EE264&lt;=Hypothèses!$V$13,Hypothèses!$W$13,IF(EE264&lt;=Hypothèses!$V$14,Hypothèses!$W$14,IF(EE264&lt;=Hypothèses!$V$15,Hypothèses!$W$15,IF(EE264&lt;=Hypothèses!$V$16,Hypothèses!$W$16,IF(EE264&lt;=Hypothèses!$V$17,Hypothèses!$W$17,IF(EE264&lt;=Hypothèses!$V$18,Hypothèses!$W$18,""))))))))))))</f>
        <v>#DIV/0!</v>
      </c>
      <c r="EZ264" s="87" t="e">
        <f t="shared" ca="1" si="423"/>
        <v>#DIV/0!</v>
      </c>
      <c r="FA264" s="88" t="e">
        <f ca="1">IF(EE264&lt;=Hypothèses!$V$7,Hypothèses!$X$7,IF(EE264&lt;=Hypothèses!$V$8,Hypothèses!$X$8,IF(EE264&lt;=Hypothèses!$V$9,Hypothèses!$X$9,IF(EE264&lt;=Hypothèses!$V$10,Hypothèses!$X$10,IF(EE264&lt;=Hypothèses!$V$11,Hypothèses!$X$11,IF(EE264&lt;=Hypothèses!$V$12,Hypothèses!$X$12,IF(EE264&lt;=Hypothèses!$V$13,Hypothèses!$X$13,IF(EE264&lt;=Hypothèses!$V$14,Hypothèses!$X$14,IF(EE264&lt;=Hypothèses!$V$15,Hypothèses!$X$15,IF(EE264&lt;=Hypothèses!$V$16,Hypothèses!$X$16,IF(EE264&lt;=Hypothèses!$U$17,Hypothèses!$W$17,IF(EE264&lt;=Hypothèses!$U$18,Hypothèses!$W$18,""))))))))))))</f>
        <v>#DIV/0!</v>
      </c>
      <c r="FB264" s="95" t="e">
        <f t="shared" ca="1" si="397"/>
        <v>#DIV/0!</v>
      </c>
      <c r="FC264" s="101" t="e">
        <f t="shared" si="430"/>
        <v>#N/A</v>
      </c>
      <c r="FD264" s="91" t="e">
        <f t="shared" si="366"/>
        <v>#N/A</v>
      </c>
      <c r="FE264" s="30" t="e">
        <f t="shared" si="414"/>
        <v>#N/A</v>
      </c>
      <c r="FF264" s="30" t="e">
        <f t="shared" si="415"/>
        <v>#N/A</v>
      </c>
      <c r="FG264" s="31" t="e">
        <f>IF(OR(Hypothèses!$B$4=17,Hypothèses!$B$4=18,Hypothèses!$B$4=19,Hypothèses!$B$4=20),
IF($D264="Pressio.",
IF(OR($E264=3,$E264=1,$E264=4),FF264,FE264),
IF($D264="Pénétro.",
IF(OR($E264=3,$E264=1,$E264=4),FF264,FE264))),IF($D264="Pressio.",
IF($E264=3,FF264,FE264),
IF($D264="Pénétro.",
IF($E264=4,FF264,FE264))))</f>
        <v>#N/A</v>
      </c>
      <c r="FH264" s="31" t="e">
        <f>(IF(OR(Hypothèses!$B$4=17,Hypothèses!$B$4=18,Hypothèses!$B$4=19,Hypothèses!$B$4=20),
IF($D264="Pressio.",
IF(OR($E264=3,$E264=1,$E264=4),(PI()*FH$12^2)/4*(FD264*$W264*1000)/($H264*$B$5),(PI()*FH$12^2)/4*(FD264*$W264*1000)/($G264*$B$5)),
IF($D264="Pénétro.",
IF(OR($E264=4,$E264=1,$E264=5),(PI()*FH$12^2)/4*(FD264*$W264*1000)/($H264*$B$5),(PI()*FH$12^2)/4*(FD264*$W264*1000)/($G264*$B$5)))),
IF($D264="Pressio.",
IF($E264=3,(PI()*FH$12^2)/4*(FD264*$W264*1000)/($H264*$B$5),(PI()*FH$12^2)/4*(FD264*$W264*1000)/($G264*$B$5)),
IF($D264="Pénétro.",
IF($E264=4,(PI()*FH$12^2)/4*(FD264*$W264*1000)/($H264*$B$5),(PI()*FH$12^2)/4*(FD264*$W264*1000)/($G264*$B$5))))))/10</f>
        <v>#N/A</v>
      </c>
      <c r="FI264" s="102" t="e">
        <f>(VLOOKUP($B$3,'Coeff EC7'!$T$39:$X$59,2,0)*FG264+VLOOKUP($B$3,'Coeff EC7'!$T$65:$X$85,2,0)*Model0.1C!FH264)/1.1</f>
        <v>#N/A</v>
      </c>
      <c r="FJ264" s="102" t="e">
        <f>(VLOOKUP($B$3,'Coeff EC7'!$T$39:$X$59,3,0)*FG264+VLOOKUP($B$3,'Coeff EC7'!$T$65:$X$85,3,0)*Model0.1C!FH264)/0.9</f>
        <v>#N/A</v>
      </c>
      <c r="FK264" s="102" t="e">
        <f t="shared" si="398"/>
        <v>#N/A</v>
      </c>
      <c r="FL264" s="102" t="e">
        <f t="shared" si="399"/>
        <v>#N/A</v>
      </c>
      <c r="FM264" s="414" t="e">
        <f>IF(FM263=0,0,IF(AND(FI264&gt;charge_ELS_quasi,FJ264&gt;Charge_ELS_freq,FK264&gt;charge_ELU,FL264&gt;charge_ELA,$B264&gt;NDC!$H$22-0.1+MIN(3*$FM$12,1.5)),0,1))</f>
        <v>#N/A</v>
      </c>
    </row>
    <row r="265" spans="1:169">
      <c r="A265" s="96">
        <f t="shared" si="367"/>
        <v>74.800000000001432</v>
      </c>
      <c r="B265" s="97">
        <v>25.2</v>
      </c>
      <c r="C265" s="81">
        <f>IF(B265&lt;=Hypothèses!$C$7,Hypothèses!$A$7,IF(B265&lt;=Hypothèses!$C$8,Hypothèses!$A$8,IF(B265&lt;=Hypothèses!$C$9,Hypothèses!$A$9,IF(B265&lt;=Hypothèses!$C$10,Hypothèses!$A$10,IF(B265&lt;=Hypothèses!$C$11,Hypothèses!$A$11,IF(B265&lt;=Hypothèses!$C$12,Hypothèses!$A$12,IF(B265&lt;=Hypothèses!$C$13,Hypothèses!$A$13,IF(B265&lt;=Hypothèses!$C$14,Hypothèses!$A$14,IF(B265&lt;=Hypothèses!$C$15,Hypothèses!$A$15,IF(B265&lt;=Hypothèses!$C$16,Hypothèses!$A$16,IF(B265&lt;=Hypothèses!$C$17,Hypothèses!$A$17,IF(B265&lt;=Hypothèses!$C$18,Hypothèses!$A$18,C264))))))))))))</f>
        <v>11</v>
      </c>
      <c r="D265" s="82" t="str">
        <f>IF(B265&lt;=Hypothèses!$C$7,Hypothèses!$R$7,IF(B265&lt;=Hypothèses!$C$8,Hypothèses!$R$8,IF(B265&lt;=Hypothèses!$C$9,Hypothèses!$R$9,IF(B265&lt;=Hypothèses!$C$10,Hypothèses!$R$10,IF(B265&lt;=Hypothèses!$C$11,Hypothèses!$R$11,IF(B265&lt;=Hypothèses!$C$12,Hypothèses!$R$12,IF(B265&lt;=Hypothèses!$C$13,Hypothèses!$R$13,IF(B265&lt;=Hypothèses!$C$14,Hypothèses!$R$14,IF(B265&lt;=Hypothèses!$C$15,Hypothèses!$R$15,IF(B265&lt;=Hypothèses!$C$16,Hypothèses!$R$16,IF(B265&lt;=Hypothèses!$C$17,Hypothèses!$R$17,IF(B265&lt;=Hypothèses!$C$18,Hypothèses!$R$18,D264))))))))))))</f>
        <v>Pressio.</v>
      </c>
      <c r="E265" s="82" t="e">
        <f>IF(B265&lt;=Hypothèses!$C$7,Hypothèses!$G$7,IF(B265&lt;=Hypothèses!$C$8,Hypothèses!$G$8,IF(B265&lt;=Hypothèses!$C$9,Hypothèses!$G$9,IF(B265&lt;=Hypothèses!$C$10,Hypothèses!$G$10,IF(B265&lt;=Hypothèses!$C$11,Hypothèses!$G$11,IF(B265&lt;=Hypothèses!$C$12,Hypothèses!$G$12,IF(B265&lt;=Hypothèses!$C$13,Hypothèses!$G$13,IF(B265&lt;=Hypothèses!$C$14,Hypothèses!$G$14,IF(B265&lt;=Hypothèses!$C$15,Hypothèses!$G$15,IF(B265&lt;=Hypothèses!$C$16,Hypothèses!$G$16,IF(B265&lt;=Hypothèses!$C$17,Hypothèses!$G$17,IF(B265&lt;=Hypothèses!$C$18,Hypothèses!$G$18,E264))))))))))))</f>
        <v>#N/A</v>
      </c>
      <c r="F265" s="82" t="str">
        <f>IF(B265&lt;=Hypothèses!$C$7,Hypothèses!$F$7,IF(B265&lt;=Hypothèses!$C$8,Hypothèses!$F$8,IF(B265&lt;=Hypothèses!$C$9,Hypothèses!$F$9,IF(B265&lt;=Hypothèses!$C$10,Hypothèses!$F$10,IF(B265&lt;=Hypothèses!$C$11,Hypothèses!$F$11,IF(B265&lt;=Hypothèses!$C$12,Hypothèses!$F$12,IF(B265&lt;=Hypothèses!$C$13,Hypothèses!$F$13,IF(B265&lt;=Hypothèses!$C$14,Hypothèses!$F$14,IF(B265&lt;=Hypothèses!$C$15,Hypothèses!$F$15,IF(B265&lt;=Hypothèses!$C$16,Hypothèses!$F$16,IF(B265&lt;=Hypothèses!$C$17,Hypothèses!$F$17,IF(B265&lt;=Hypothèses!$C$18,Hypothèses!$F$18,F264))))))))))))</f>
        <v/>
      </c>
      <c r="G265" s="91">
        <f t="array" ref="G265">INDEX('Coeff EC7'!$U$7:$X$27,
MATCH(Model0.1C!$B$3,'Coeff EC7'!$T$7:$T$27,0),
MATCH(Model0.1C!$D265&amp;Model0.1C!$B$4,
'Coeff EC7'!$U$6:$X$6&amp;
'Coeff EC7'!$U$5:$X$5,0))</f>
        <v>1.1499999999999999</v>
      </c>
      <c r="H265" s="91">
        <f t="array" ref="H265">INDEX('Coeff EC7'!$Y$7:$AB$27,
MATCH(Model0.1C!$B$3,'Coeff EC7'!$T$7:$T$27,0),
MATCH(Model0.1C!$D265&amp;Model0.1C!$B$4,
'Coeff EC7'!$Y$6:$AB$6&amp;
'Coeff EC7'!$Y$5:$AB$5,0))</f>
        <v>1.4</v>
      </c>
      <c r="I265" s="83" t="e">
        <f>IF(B265&lt;=Hypothèses!$C$7,Hypothèses!$P$7,IF(B265&lt;=Hypothèses!$C$8,Hypothèses!$P$8,IF(B265&lt;=Hypothèses!$C$9,Hypothèses!$P$9,IF(B265&lt;=Hypothèses!$C$10,Hypothèses!$P$10,IF(B265&lt;=Hypothèses!$C$11,Hypothèses!$P$11,IF(B265&lt;=Hypothèses!$C$12,Hypothèses!$P$12,IF(B265&lt;=Hypothèses!$C$13,Hypothèses!$P$13,IF(B265&lt;=Hypothèses!$C$14,Hypothèses!$P$14,IF(B265&lt;=Hypothèses!$C$15,Hypothèses!$P$15,IF(B265&lt;=Hypothèses!$C$16,Hypothèses!$P$16,IF(B265&lt;=Hypothèses!$C$17,Hypothèses!$P$17,IF(B265&lt;=Hypothèses!$C$18,Hypothèses!$P$18,I264))))))))))))</f>
        <v>#N/A</v>
      </c>
      <c r="J265" s="91" t="e">
        <f t="array" ref="J265">INDEX('Coeff EC7'!$D$33:$Q$33,1,MATCH(D265&amp;E265,'Coeff EC7'!$D$31:$Q$31&amp;'Coeff EC7'!$D$32:$Q$32,0))</f>
        <v>#N/A</v>
      </c>
      <c r="K265" s="91" t="e">
        <f t="array" ref="K265">INDEX('Coeff EC7'!$D$34:$Q$34,1,MATCH(D265&amp;E265,'Coeff EC7'!$D$31:$Q$31&amp;'Coeff EC7'!$D$32:$Q$32,0))</f>
        <v>#N/A</v>
      </c>
      <c r="L265" s="91" t="e">
        <f t="array" ref="L265">INDEX('Coeff EC7'!$D$35:$Q$35,1,MATCH(D265&amp;E265,'Coeff EC7'!$D$31:$Q$31&amp;'Coeff EC7'!$D$32:$Q$32,0))</f>
        <v>#N/A</v>
      </c>
      <c r="M265" s="98" t="e">
        <f t="shared" si="331"/>
        <v>#N/A</v>
      </c>
      <c r="N265" s="99" t="e">
        <f t="array" ref="N265">INDEX('Coeff EC7'!$D$7:$Q$27,MATCH($B$3,'Coeff EC7'!$C$7:$C$27,0),MATCH(D265&amp;E265,'Coeff EC7'!$D$5:$Q$5&amp;'Coeff EC7'!$D$6:$Q$6,0))</f>
        <v>#N/A</v>
      </c>
      <c r="O265" s="99" t="e">
        <f t="array" ref="O265">INDEX('Coeff EC7'!$D$41:$Q$61,MATCH($B$3,'Coeff EC7'!$C$41:$C$61,0),MATCH(D265&amp;E265,'Coeff EC7'!$D$39:$Q$39&amp;'Coeff EC7'!$D$40:$Q$40,0))</f>
        <v>#N/A</v>
      </c>
      <c r="P265" s="30" t="e">
        <f t="shared" si="368"/>
        <v>#N/A</v>
      </c>
      <c r="Q265" s="100" t="e">
        <f t="shared" si="333"/>
        <v>#N/A</v>
      </c>
      <c r="R265" s="86" t="b">
        <f t="shared" si="334"/>
        <v>0</v>
      </c>
      <c r="S265" s="86">
        <f t="shared" si="332"/>
        <v>0.5</v>
      </c>
      <c r="T265" s="86">
        <f t="shared" si="335"/>
        <v>0.5</v>
      </c>
      <c r="U265" s="30" t="e">
        <f t="shared" ca="1" si="369"/>
        <v>#DIV/0!</v>
      </c>
      <c r="V265" s="85" t="str">
        <f>IF(B265&lt;=Hypothèses!$V$7,Hypothèses!$W$7,IF(B265&lt;=Hypothèses!$V$8,Hypothèses!$W$8,IF(B265&lt;=Hypothèses!$V$9,Hypothèses!$W$9,IF(B265&lt;=Hypothèses!$V$10,Hypothèses!$W$10,IF(B265&lt;=Hypothèses!$V$11,Hypothèses!$W$11,IF(B265&lt;=Hypothèses!$V$12,Hypothèses!$W$12,IF(B265&lt;=Hypothèses!$V$13,Hypothèses!$W$13,IF(B265&lt;=Hypothèses!$V$14,Hypothèses!$W$14,IF(B265&lt;=Hypothèses!$V$15,Hypothèses!$W$15,IF(B265&lt;=Hypothèses!$V$16,Hypothèses!$W$16,IF(B265&lt;=Hypothèses!$V$17,Hypothèses!$W$17,IF(B265&lt;=Hypothèses!$V$18,Hypothèses!$W$18,""))))))))))))</f>
        <v/>
      </c>
      <c r="W265" s="87" t="e">
        <f t="shared" ca="1" si="416"/>
        <v>#DIV/0!</v>
      </c>
      <c r="X265" s="88" t="str">
        <f>IF(B265&lt;=Hypothèses!$V$7,Hypothèses!$X$7,IF(B265&lt;=Hypothèses!$V$8,Hypothèses!$X$8,IF(B265&lt;=Hypothèses!$V$9,Hypothèses!$X$9,IF(B265&lt;=Hypothèses!$V$10,Hypothèses!$X$10,IF(B265&lt;=Hypothèses!$V$11,Hypothèses!$X$11,IF(B265&lt;=Hypothèses!$V$12,Hypothèses!$X$12,IF(B265&lt;=Hypothèses!$V$13,Hypothèses!$X$13,IF(B265&lt;=Hypothèses!$V$14,Hypothèses!$X$14,IF(B265&lt;=Hypothèses!$V$15,Hypothèses!$X$15,IF(B265&lt;=Hypothèses!$V$16,Hypothèses!$X$16,IF(B265&lt;=Hypothèses!$U$17,Hypothèses!$W$17,IF(B265&lt;=Hypothèses!$U$18,Hypothèses!$W$18,""))))))))))))</f>
        <v/>
      </c>
      <c r="Y265" s="95" t="e">
        <f t="shared" ca="1" si="336"/>
        <v>#DIV/0!</v>
      </c>
      <c r="Z265" s="101" t="e">
        <f t="shared" si="337"/>
        <v>#N/A</v>
      </c>
      <c r="AA265" s="91" t="e">
        <f t="shared" si="338"/>
        <v>#N/A</v>
      </c>
      <c r="AB265" s="30" t="e">
        <f t="shared" si="400"/>
        <v>#N/A</v>
      </c>
      <c r="AC265" s="30" t="e">
        <f t="shared" si="401"/>
        <v>#N/A</v>
      </c>
      <c r="AD265" s="31" t="e">
        <f>IF(OR(Hypothèses!$B$4=17,Hypothèses!$B$4=18,Hypothèses!$B$4=19,Hypothèses!$B$4=20),
IF($D265="Pressio.",
IF(OR($E265=3,$E265=1,$E265=4),AC265,AB265),
IF($D265="Pénétro.",
IF(OR($E265=3,$E265=1,$E265=4),AC265,AB265))),IF($D265="Pressio.",
IF($E265=3,AC265,AB265),
IF($D265="Pénétro.",
IF($E265=4,AC265,AB265))))</f>
        <v>#N/A</v>
      </c>
      <c r="AE265" s="31" t="e">
        <f>(IF(OR(Hypothèses!$B$4=17,Hypothèses!$B$4=18,Hypothèses!$B$4=19,Hypothèses!$B$4=20),
IF($D265="Pressio.",
IF(OR($E265=3,$E265=1,$E265=4),(PI()*AE$12^2)/4*(AA265*$W265*1000)/($H265*$B$5),(PI()*AE$12^2)/4*(AA265*$W265*1000)/($G265*$B$5)),
IF($D265="Pénétro.",
IF(OR($E265=4,$E265=1,$E265=5),(PI()*AE$12^2)/4*(AA265*$W265*1000)/($H265*$B$5),(PI()*AE$12^2)/4*(AA265*$W265*1000)/($G265*$B$5)))),
IF($D265="Pressio.",
IF($E265=3,(PI()*AE$12^2)/4*(AA265*$W265*1000)/($H265*$B$5),(PI()*AE$12^2)/4*(AA265*$W265*1000)/($G265*$B$5)),
IF($D265="Pénétro.",
IF($E265=4,(PI()*AE$12^2)/4*(AA265*$W265*1000)/($H265*$B$5),(PI()*AE$12^2)/4*(AA265*$W265*1000)/($G265*$B$5))))))/10</f>
        <v>#N/A</v>
      </c>
      <c r="AF265" s="102" t="e">
        <f>(VLOOKUP($B$3,'Coeff EC7'!$T$39:$X$59,2,0)*AD265+VLOOKUP($B$3,'Coeff EC7'!$T$65:$X$85,2,0)*Model0.1C!AE265)/1.1</f>
        <v>#N/A</v>
      </c>
      <c r="AG265" s="102" t="e">
        <f>(VLOOKUP($B$3,'Coeff EC7'!$T$39:$X$59,3,0)*AD265+VLOOKUP($B$3,'Coeff EC7'!$T$65:$X$85,3,0)*Model0.1C!AE265)/0.9</f>
        <v>#N/A</v>
      </c>
      <c r="AH265" s="102" t="e">
        <f t="shared" si="339"/>
        <v>#N/A</v>
      </c>
      <c r="AI265" s="102" t="e">
        <f t="shared" si="340"/>
        <v>#N/A</v>
      </c>
      <c r="AJ265" s="414" t="e">
        <f>IF(AJ264=0,0,IF(AND(AF265&gt;charge_ELS_quasi,AG265&gt;Charge_ELS_freq,AH265&gt;charge_ELU,AI265&gt;charge_ELA,$B265&gt;NDC!$H$22-0.1+MIN(3*$AJ$12,1.5)),0,1))</f>
        <v>#N/A</v>
      </c>
      <c r="AK265" s="86" t="b">
        <f t="shared" si="341"/>
        <v>0</v>
      </c>
      <c r="AL265" s="86">
        <f t="shared" si="370"/>
        <v>0.5</v>
      </c>
      <c r="AM265" s="86">
        <f t="shared" si="342"/>
        <v>0.5</v>
      </c>
      <c r="AN265" s="30" t="e">
        <f t="shared" ca="1" si="371"/>
        <v>#DIV/0!</v>
      </c>
      <c r="AO265" s="85" t="e">
        <f ca="1">IF(U265&lt;=Hypothèses!$V$7,Hypothèses!$W$7,IF(U265&lt;=Hypothèses!$V$8,Hypothèses!$W$8,IF(U265&lt;=Hypothèses!$V$9,Hypothèses!$W$9,IF(U265&lt;=Hypothèses!$V$10,Hypothèses!$W$10,IF(U265&lt;=Hypothèses!$V$11,Hypothèses!$W$11,IF(U265&lt;=Hypothèses!$V$12,Hypothèses!$W$12,IF(U265&lt;=Hypothèses!$V$13,Hypothèses!$W$13,IF(U265&lt;=Hypothèses!$V$14,Hypothèses!$W$14,IF(U265&lt;=Hypothèses!$V$15,Hypothèses!$W$15,IF(U265&lt;=Hypothèses!$V$16,Hypothèses!$W$16,IF(U265&lt;=Hypothèses!$V$17,Hypothèses!$W$17,IF(U265&lt;=Hypothèses!$V$18,Hypothèses!$W$18,""))))))))))))</f>
        <v>#DIV/0!</v>
      </c>
      <c r="AP265" s="87" t="e">
        <f t="shared" ca="1" si="417"/>
        <v>#DIV/0!</v>
      </c>
      <c r="AQ265" s="88" t="e">
        <f ca="1">IF(U265&lt;=Hypothèses!$V$7,Hypothèses!$X$7,IF(U265&lt;=Hypothèses!$V$8,Hypothèses!$X$8,IF(U265&lt;=Hypothèses!$V$9,Hypothèses!$X$9,IF(U265&lt;=Hypothèses!$V$10,Hypothèses!$X$10,IF(U265&lt;=Hypothèses!$V$11,Hypothèses!$X$11,IF(U265&lt;=Hypothèses!$V$12,Hypothèses!$X$12,IF(U265&lt;=Hypothèses!$V$13,Hypothèses!$X$13,IF(U265&lt;=Hypothèses!$V$14,Hypothèses!$X$14,IF(U265&lt;=Hypothèses!$V$15,Hypothèses!$X$15,IF(U265&lt;=Hypothèses!$V$16,Hypothèses!$X$16,IF(U265&lt;=Hypothèses!$U$17,Hypothèses!$W$17,IF(U265&lt;=Hypothèses!$U$18,Hypothèses!$W$18,""))))))))))))</f>
        <v>#DIV/0!</v>
      </c>
      <c r="AR265" s="95" t="e">
        <f t="shared" ca="1" si="372"/>
        <v>#DIV/0!</v>
      </c>
      <c r="AS265" s="101" t="e">
        <f t="shared" si="424"/>
        <v>#N/A</v>
      </c>
      <c r="AT265" s="91" t="e">
        <f t="shared" si="343"/>
        <v>#N/A</v>
      </c>
      <c r="AU265" s="30" t="e">
        <f t="shared" si="402"/>
        <v>#N/A</v>
      </c>
      <c r="AV265" s="30" t="e">
        <f t="shared" si="403"/>
        <v>#N/A</v>
      </c>
      <c r="AW265" s="31" t="e">
        <f>IF(OR(Hypothèses!$B$4=17,Hypothèses!$B$4=18,Hypothèses!$B$4=19,Hypothèses!$B$4=20),
IF($D265="Pressio.",
IF(OR($E265=3,$E265=1,$E265=4),AV265,AU265),
IF($D265="Pénétro.",
IF(OR($E265=3,$E265=1,$E265=4),AV265,AU265))),IF($D265="Pressio.",
IF($E265=3,AV265,AU265),
IF($D265="Pénétro.",
IF($E265=4,AV265,AU265))))</f>
        <v>#N/A</v>
      </c>
      <c r="AX265" s="31" t="e">
        <f>(IF(OR(Hypothèses!$B$4=17,Hypothèses!$B$4=18,Hypothèses!$B$4=19,Hypothèses!$B$4=20),
IF($D265="Pressio.",
IF(OR($E265=3,$E265=1,$E265=4),(PI()*AX$12^2)/4*(AT265*$W265*1000)/($H265*$B$5),(PI()*AX$12^2)/4*(AT265*$W265*1000)/($G265*$B$5)),
IF($D265="Pénétro.",
IF(OR($E265=4,$E265=1,$E265=5),(PI()*AX$12^2)/4*(AT265*$W265*1000)/($H265*$B$5),(PI()*AX$12^2)/4*(AT265*$W265*1000)/($G265*$B$5)))),
IF($D265="Pressio.",
IF($E265=3,(PI()*AX$12^2)/4*(AT265*$W265*1000)/($H265*$B$5),(PI()*AX$12^2)/4*(AT265*$W265*1000)/($G265*$B$5)),
IF($D265="Pénétro.",
IF($E265=4,(PI()*AX$12^2)/4*(AT265*$W265*1000)/($H265*$B$5),(PI()*AX$12^2)/4*(AT265*$W265*1000)/($G265*$B$5))))))/10</f>
        <v>#N/A</v>
      </c>
      <c r="AY265" s="102" t="e">
        <f>(VLOOKUP($B$3,'Coeff EC7'!$T$39:$X$59,2,0)*AW265+VLOOKUP($B$3,'Coeff EC7'!$T$65:$X$85,2,0)*Model0.1C!AX265)/1.1</f>
        <v>#N/A</v>
      </c>
      <c r="AZ265" s="102" t="e">
        <f>(VLOOKUP($B$3,'Coeff EC7'!$T$39:$X$59,3,0)*AW265+VLOOKUP($B$3,'Coeff EC7'!$T$65:$X$85,3,0)*Model0.1C!AX265)/0.9</f>
        <v>#N/A</v>
      </c>
      <c r="BA265" s="102" t="e">
        <f t="shared" si="373"/>
        <v>#N/A</v>
      </c>
      <c r="BB265" s="102" t="e">
        <f t="shared" si="374"/>
        <v>#N/A</v>
      </c>
      <c r="BC265" s="414" t="e">
        <f>IF(BC264=0,0,IF(AND(AY265&gt;charge_ELS_quasi,AZ265&gt;Charge_ELS_freq,BA265&gt;charge_ELU,BB265&gt;charge_ELA,$B265&gt;NDC!$H$22-0.1+MIN(3*$BC$12,1.5)),0,1))</f>
        <v>#N/A</v>
      </c>
      <c r="BD265" s="86" t="b">
        <f t="shared" si="344"/>
        <v>0</v>
      </c>
      <c r="BE265" s="86">
        <f t="shared" si="375"/>
        <v>0.5</v>
      </c>
      <c r="BF265" s="86">
        <f t="shared" si="345"/>
        <v>0.5</v>
      </c>
      <c r="BG265" s="30" t="e">
        <f t="shared" ca="1" si="376"/>
        <v>#DIV/0!</v>
      </c>
      <c r="BH265" s="85" t="e">
        <f ca="1">IF(AN265&lt;=Hypothèses!$V$7,Hypothèses!$W$7,IF(AN265&lt;=Hypothèses!$V$8,Hypothèses!$W$8,IF(AN265&lt;=Hypothèses!$V$9,Hypothèses!$W$9,IF(AN265&lt;=Hypothèses!$V$10,Hypothèses!$W$10,IF(AN265&lt;=Hypothèses!$V$11,Hypothèses!$W$11,IF(AN265&lt;=Hypothèses!$V$12,Hypothèses!$W$12,IF(AN265&lt;=Hypothèses!$V$13,Hypothèses!$W$13,IF(AN265&lt;=Hypothèses!$V$14,Hypothèses!$W$14,IF(AN265&lt;=Hypothèses!$V$15,Hypothèses!$W$15,IF(AN265&lt;=Hypothèses!$V$16,Hypothèses!$W$16,IF(AN265&lt;=Hypothèses!$V$17,Hypothèses!$W$17,IF(AN265&lt;=Hypothèses!$V$18,Hypothèses!$W$18,""))))))))))))</f>
        <v>#DIV/0!</v>
      </c>
      <c r="BI265" s="87" t="e">
        <f t="shared" ca="1" si="418"/>
        <v>#DIV/0!</v>
      </c>
      <c r="BJ265" s="88" t="e">
        <f ca="1">IF(AN265&lt;=Hypothèses!$V$7,Hypothèses!$X$7,IF(AN265&lt;=Hypothèses!$V$8,Hypothèses!$X$8,IF(AN265&lt;=Hypothèses!$V$9,Hypothèses!$X$9,IF(AN265&lt;=Hypothèses!$V$10,Hypothèses!$X$10,IF(AN265&lt;=Hypothèses!$V$11,Hypothèses!$X$11,IF(AN265&lt;=Hypothèses!$V$12,Hypothèses!$X$12,IF(AN265&lt;=Hypothèses!$V$13,Hypothèses!$X$13,IF(AN265&lt;=Hypothèses!$V$14,Hypothèses!$X$14,IF(AN265&lt;=Hypothèses!$V$15,Hypothèses!$X$15,IF(AN265&lt;=Hypothèses!$V$16,Hypothèses!$X$16,IF(AN265&lt;=Hypothèses!$U$17,Hypothèses!$W$17,IF(AN265&lt;=Hypothèses!$U$18,Hypothèses!$W$18,""))))))))))))</f>
        <v>#DIV/0!</v>
      </c>
      <c r="BK265" s="95" t="e">
        <f t="shared" ca="1" si="377"/>
        <v>#DIV/0!</v>
      </c>
      <c r="BL265" s="101" t="e">
        <f t="shared" si="425"/>
        <v>#N/A</v>
      </c>
      <c r="BM265" s="91" t="e">
        <f t="shared" si="346"/>
        <v>#N/A</v>
      </c>
      <c r="BN265" s="30" t="e">
        <f t="shared" si="404"/>
        <v>#N/A</v>
      </c>
      <c r="BO265" s="30" t="e">
        <f t="shared" si="405"/>
        <v>#N/A</v>
      </c>
      <c r="BP265" s="31" t="e">
        <f>IF(OR(Hypothèses!$B$4=17,Hypothèses!$B$4=18,Hypothèses!$B$4=19,Hypothèses!$B$4=20),
IF($D265="Pressio.",
IF(OR($E265=3,$E265=1,$E265=4),BO265,BN265),
IF($D265="Pénétro.",
IF(OR($E265=3,$E265=1,$E265=4),BO265,BN265))),IF($D265="Pressio.",
IF($E265=3,BO265,BN265),
IF($D265="Pénétro.",
IF($E265=4,BO265,BN265))))</f>
        <v>#N/A</v>
      </c>
      <c r="BQ265" s="31" t="e">
        <f>(IF(OR(Hypothèses!$B$4=17,Hypothèses!$B$4=18,Hypothèses!$B$4=19,Hypothèses!$B$4=20),
IF($D265="Pressio.",
IF(OR($E265=3,$E265=1,$E265=4),(PI()*BQ$12^2)/4*(BM265*$W265*1000)/($H265*$B$5),(PI()*BQ$12^2)/4*(BM265*$W265*1000)/($G265*$B$5)),
IF($D265="Pénétro.",
IF(OR($E265=4,$E265=1,$E265=5),(PI()*BQ$12^2)/4*(BM265*$W265*1000)/($H265*$B$5),(PI()*BQ$12^2)/4*(BM265*$W265*1000)/($G265*$B$5)))),
IF($D265="Pressio.",
IF($E265=3,(PI()*BQ$12^2)/4*(BM265*$W265*1000)/($H265*$B$5),(PI()*BQ$12^2)/4*(BM265*$W265*1000)/($G265*$B$5)),
IF($D265="Pénétro.",
IF($E265=4,(PI()*BQ$12^2)/4*(BM265*$W265*1000)/($H265*$B$5),(PI()*BQ$12^2)/4*(BM265*$W265*1000)/($G265*$B$5))))))/10</f>
        <v>#N/A</v>
      </c>
      <c r="BR265" s="102" t="e">
        <f>(VLOOKUP($B$3,'Coeff EC7'!$T$39:$X$59,2,0)*BP265+VLOOKUP($B$3,'Coeff EC7'!$T$65:$X$85,2,0)*Model0.1C!BQ265)/1.1</f>
        <v>#N/A</v>
      </c>
      <c r="BS265" s="102" t="e">
        <f>(VLOOKUP($B$3,'Coeff EC7'!$T$39:$X$59,3,0)*BP265+VLOOKUP($B$3,'Coeff EC7'!$T$65:$X$85,3,0)*Model0.1C!BQ265)/0.9</f>
        <v>#N/A</v>
      </c>
      <c r="BT265" s="102" t="e">
        <f t="shared" si="378"/>
        <v>#N/A</v>
      </c>
      <c r="BU265" s="102" t="e">
        <f t="shared" si="379"/>
        <v>#N/A</v>
      </c>
      <c r="BV265" s="414" t="e">
        <f>IF(BV264=0,0,IF(AND(BR265&gt;charge_ELS_quasi,BS265&gt;Charge_ELS_freq,BT265&gt;charge_ELU,BU265&gt;charge_ELA,$B265&gt;NDC!$H$22-0.1+MIN(3*$BV$12,1.5)),0,1))</f>
        <v>#N/A</v>
      </c>
      <c r="BW265" s="86" t="b">
        <f t="shared" si="347"/>
        <v>0</v>
      </c>
      <c r="BX265" s="86">
        <f t="shared" si="348"/>
        <v>0.5</v>
      </c>
      <c r="BY265" s="86">
        <f t="shared" si="349"/>
        <v>0.5</v>
      </c>
      <c r="BZ265" s="30" t="e">
        <f t="shared" ca="1" si="380"/>
        <v>#DIV/0!</v>
      </c>
      <c r="CA265" s="85" t="e">
        <f ca="1">IF(BG265&lt;=Hypothèses!$V$7,Hypothèses!$W$7,IF(BG265&lt;=Hypothèses!$V$8,Hypothèses!$W$8,IF(BG265&lt;=Hypothèses!$V$9,Hypothèses!$W$9,IF(BG265&lt;=Hypothèses!$V$10,Hypothèses!$W$10,IF(BG265&lt;=Hypothèses!$V$11,Hypothèses!$W$11,IF(BG265&lt;=Hypothèses!$V$12,Hypothèses!$W$12,IF(BG265&lt;=Hypothèses!$V$13,Hypothèses!$W$13,IF(BG265&lt;=Hypothèses!$V$14,Hypothèses!$W$14,IF(BG265&lt;=Hypothèses!$V$15,Hypothèses!$W$15,IF(BG265&lt;=Hypothèses!$V$16,Hypothèses!$W$16,IF(BG265&lt;=Hypothèses!$V$17,Hypothèses!$W$17,IF(BG265&lt;=Hypothèses!$V$18,Hypothèses!$W$18,""))))))))))))</f>
        <v>#DIV/0!</v>
      </c>
      <c r="CB265" s="87" t="e">
        <f t="shared" ca="1" si="419"/>
        <v>#DIV/0!</v>
      </c>
      <c r="CC265" s="88" t="e">
        <f ca="1">IF(BG265&lt;=Hypothèses!$V$7,Hypothèses!$X$7,IF(BG265&lt;=Hypothèses!$V$8,Hypothèses!$X$8,IF(BG265&lt;=Hypothèses!$V$9,Hypothèses!$X$9,IF(BG265&lt;=Hypothèses!$V$10,Hypothèses!$X$10,IF(BG265&lt;=Hypothèses!$V$11,Hypothèses!$X$11,IF(BG265&lt;=Hypothèses!$V$12,Hypothèses!$X$12,IF(BG265&lt;=Hypothèses!$V$13,Hypothèses!$X$13,IF(BG265&lt;=Hypothèses!$V$14,Hypothèses!$X$14,IF(BG265&lt;=Hypothèses!$V$15,Hypothèses!$X$15,IF(BG265&lt;=Hypothèses!$V$16,Hypothèses!$X$16,IF(BG265&lt;=Hypothèses!$U$17,Hypothèses!$W$17,IF(BG265&lt;=Hypothèses!$U$18,Hypothèses!$W$18,""))))))))))))</f>
        <v>#DIV/0!</v>
      </c>
      <c r="CD265" s="95" t="e">
        <f t="shared" ca="1" si="381"/>
        <v>#DIV/0!</v>
      </c>
      <c r="CE265" s="101" t="e">
        <f t="shared" si="426"/>
        <v>#N/A</v>
      </c>
      <c r="CF265" s="91" t="e">
        <f t="shared" si="350"/>
        <v>#N/A</v>
      </c>
      <c r="CG265" s="30" t="e">
        <f t="shared" si="406"/>
        <v>#N/A</v>
      </c>
      <c r="CH265" s="30" t="e">
        <f t="shared" si="407"/>
        <v>#N/A</v>
      </c>
      <c r="CI265" s="31" t="e">
        <f>IF(OR(Hypothèses!$B$4=17,Hypothèses!$B$4=18,Hypothèses!$B$4=19,Hypothèses!$B$4=20),
IF($D265="Pressio.",
IF(OR($E265=3,$E265=1,$E265=4),CH265,CG265),
IF($D265="Pénétro.",
IF(OR($E265=3,$E265=1,$E265=4),CH265,CG265))),IF($D265="Pressio.",
IF($E265=3,CH265,CG265),
IF($D265="Pénétro.",
IF($E265=4,CH265,CG265))))</f>
        <v>#N/A</v>
      </c>
      <c r="CJ265" s="31" t="e">
        <f>(IF(OR(Hypothèses!$B$4=17,Hypothèses!$B$4=18,Hypothèses!$B$4=19,Hypothèses!$B$4=20),
IF($D265="Pressio.",
IF(OR($E265=3,$E265=1,$E265=4),(PI()*CJ$12^2)/4*(CF265*$W265*1000)/($H265*$B$5),(PI()*CJ$12^2)/4*(CF265*$W265*1000)/($G265*$B$5)),
IF($D265="Pénétro.",
IF(OR($E265=4,$E265=1,$E265=5),(PI()*CJ$12^2)/4*(CF265*$W265*1000)/($H265*$B$5),(PI()*CJ$12^2)/4*(CF265*$W265*1000)/($G265*$B$5)))),
IF($D265="Pressio.",
IF($E265=3,(PI()*CJ$12^2)/4*(CF265*$W265*1000)/($H265*$B$5),(PI()*CJ$12^2)/4*(CF265*$W265*1000)/($G265*$B$5)),
IF($D265="Pénétro.",
IF($E265=4,(PI()*CJ$12^2)/4*(CF265*$W265*1000)/($H265*$B$5),(PI()*CJ$12^2)/4*(CF265*$W265*1000)/($G265*$B$5))))))/10</f>
        <v>#N/A</v>
      </c>
      <c r="CK265" s="102" t="e">
        <f>(VLOOKUP($B$3,'Coeff EC7'!$T$39:$X$59,2,0)*CI265+VLOOKUP($B$3,'Coeff EC7'!$T$65:$X$85,2,0)*Model0.1C!CJ265)/1.1</f>
        <v>#N/A</v>
      </c>
      <c r="CL265" s="102" t="e">
        <f>(VLOOKUP($B$3,'Coeff EC7'!$T$39:$X$59,3,0)*CI265+VLOOKUP($B$3,'Coeff EC7'!$T$65:$X$85,3,0)*Model0.1C!CJ265)/0.9</f>
        <v>#N/A</v>
      </c>
      <c r="CM265" s="102" t="e">
        <f t="shared" si="382"/>
        <v>#N/A</v>
      </c>
      <c r="CN265" s="102" t="e">
        <f t="shared" si="383"/>
        <v>#N/A</v>
      </c>
      <c r="CO265" s="414" t="e">
        <f>IF(CO264=0,0,IF(AND(CK265&gt;charge_ELS_quasi,CL265&gt;Charge_ELS_freq,CM265&gt;charge_ELU,CN265&gt;charge_ELA,$B265&gt;NDC!$H$22-0.1+MIN(3*$CO$12,1.5)),0,1))</f>
        <v>#N/A</v>
      </c>
      <c r="CP265" s="86" t="b">
        <f t="shared" si="351"/>
        <v>0</v>
      </c>
      <c r="CQ265" s="86">
        <f t="shared" si="352"/>
        <v>0.5</v>
      </c>
      <c r="CR265" s="86">
        <f t="shared" si="353"/>
        <v>0.5</v>
      </c>
      <c r="CS265" s="30" t="e">
        <f t="shared" ca="1" si="384"/>
        <v>#DIV/0!</v>
      </c>
      <c r="CT265" s="85" t="e">
        <f ca="1">IF(BZ265&lt;=Hypothèses!$V$7,Hypothèses!$W$7,IF(BZ265&lt;=Hypothèses!$V$8,Hypothèses!$W$8,IF(BZ265&lt;=Hypothèses!$V$9,Hypothèses!$W$9,IF(BZ265&lt;=Hypothèses!$V$10,Hypothèses!$W$10,IF(BZ265&lt;=Hypothèses!$V$11,Hypothèses!$W$11,IF(BZ265&lt;=Hypothèses!$V$12,Hypothèses!$W$12,IF(BZ265&lt;=Hypothèses!$V$13,Hypothèses!$W$13,IF(BZ265&lt;=Hypothèses!$V$14,Hypothèses!$W$14,IF(BZ265&lt;=Hypothèses!$V$15,Hypothèses!$W$15,IF(BZ265&lt;=Hypothèses!$V$16,Hypothèses!$W$16,IF(BZ265&lt;=Hypothèses!$V$17,Hypothèses!$W$17,IF(BZ265&lt;=Hypothèses!$V$18,Hypothèses!$W$18,""))))))))))))</f>
        <v>#DIV/0!</v>
      </c>
      <c r="CU265" s="87" t="e">
        <f t="shared" ca="1" si="420"/>
        <v>#DIV/0!</v>
      </c>
      <c r="CV265" s="88" t="e">
        <f ca="1">IF(BZ265&lt;=Hypothèses!$V$7,Hypothèses!$X$7,IF(BZ265&lt;=Hypothèses!$V$8,Hypothèses!$X$8,IF(BZ265&lt;=Hypothèses!$V$9,Hypothèses!$X$9,IF(BZ265&lt;=Hypothèses!$V$10,Hypothèses!$X$10,IF(BZ265&lt;=Hypothèses!$V$11,Hypothèses!$X$11,IF(BZ265&lt;=Hypothèses!$V$12,Hypothèses!$X$12,IF(BZ265&lt;=Hypothèses!$V$13,Hypothèses!$X$13,IF(BZ265&lt;=Hypothèses!$V$14,Hypothèses!$X$14,IF(BZ265&lt;=Hypothèses!$V$15,Hypothèses!$X$15,IF(BZ265&lt;=Hypothèses!$V$16,Hypothèses!$X$16,IF(BZ265&lt;=Hypothèses!$U$17,Hypothèses!$W$17,IF(BZ265&lt;=Hypothèses!$U$18,Hypothèses!$W$18,""))))))))))))</f>
        <v>#DIV/0!</v>
      </c>
      <c r="CW265" s="95" t="e">
        <f t="shared" ca="1" si="385"/>
        <v>#DIV/0!</v>
      </c>
      <c r="CX265" s="101" t="e">
        <f t="shared" si="427"/>
        <v>#N/A</v>
      </c>
      <c r="CY265" s="91" t="e">
        <f t="shared" si="354"/>
        <v>#N/A</v>
      </c>
      <c r="CZ265" s="30" t="e">
        <f t="shared" si="408"/>
        <v>#N/A</v>
      </c>
      <c r="DA265" s="30" t="e">
        <f t="shared" si="409"/>
        <v>#N/A</v>
      </c>
      <c r="DB265" s="31" t="e">
        <f>IF(OR(Hypothèses!$B$4=17,Hypothèses!$B$4=18,Hypothèses!$B$4=19,Hypothèses!$B$4=20),
IF($D265="Pressio.",
IF(OR($E265=3,$E265=1,$E265=4),DA265,CZ265),
IF($D265="Pénétro.",
IF(OR($E265=3,$E265=1,$E265=4),DA265,CZ265))),IF($D265="Pressio.",
IF($E265=3,DA265,CZ265),
IF($D265="Pénétro.",
IF($E265=4,DA265,CZ265))))</f>
        <v>#N/A</v>
      </c>
      <c r="DC265" s="31" t="e">
        <f>(IF(OR(Hypothèses!$B$4=17,Hypothèses!$B$4=18,Hypothèses!$B$4=19,Hypothèses!$B$4=20),
IF($D265="Pressio.",
IF(OR($E265=3,$E265=1,$E265=4),(PI()*DC$12^2)/4*(CY265*$W265*1000)/($H265*$B$5),(PI()*DC$12^2)/4*(CY265*$W265*1000)/($G265*$B$5)),
IF($D265="Pénétro.",
IF(OR($E265=4,$E265=1,$E265=5),(PI()*DC$12^2)/4*(CY265*$W265*1000)/($H265*$B$5),(PI()*DC$12^2)/4*(CY265*$W265*1000)/($G265*$B$5)))),
IF($D265="Pressio.",
IF($E265=3,(PI()*DC$12^2)/4*(CY265*$W265*1000)/($H265*$B$5),(PI()*DC$12^2)/4*(CY265*$W265*1000)/($G265*$B$5)),
IF($D265="Pénétro.",
IF($E265=4,(PI()*DC$12^2)/4*(CY265*$W265*1000)/($H265*$B$5),(PI()*DC$12^2)/4*(CY265*$W265*1000)/($G265*$B$5))))))/10</f>
        <v>#N/A</v>
      </c>
      <c r="DD265" s="102" t="e">
        <f>(VLOOKUP($B$3,'Coeff EC7'!$T$39:$X$59,2,0)*DB265+VLOOKUP($B$3,'Coeff EC7'!$T$65:$X$85,2,0)*Model0.1C!DC265)/1.1</f>
        <v>#N/A</v>
      </c>
      <c r="DE265" s="102" t="e">
        <f>(VLOOKUP($B$3,'Coeff EC7'!$T$39:$X$59,3,0)*DB265+VLOOKUP($B$3,'Coeff EC7'!$T$65:$X$85,3,0)*Model0.1C!DC265)/0.9</f>
        <v>#N/A</v>
      </c>
      <c r="DF265" s="102" t="e">
        <f t="shared" si="386"/>
        <v>#N/A</v>
      </c>
      <c r="DG265" s="102" t="e">
        <f t="shared" si="387"/>
        <v>#N/A</v>
      </c>
      <c r="DH265" s="414" t="e">
        <f>IF(DH264=0,0,IF(AND(DD265&gt;charge_ELS_quasi,DE265&gt;Charge_ELS_freq,DF265&gt;charge_ELU,DG265&gt;charge_ELA,$B265&gt;NDC!$H$22-0.1+MIN(3*$DH$12,1.5)),0,1))</f>
        <v>#N/A</v>
      </c>
      <c r="DI265" s="86" t="b">
        <f t="shared" si="355"/>
        <v>0</v>
      </c>
      <c r="DJ265" s="86">
        <f t="shared" si="356"/>
        <v>0.5</v>
      </c>
      <c r="DK265" s="86">
        <f t="shared" si="357"/>
        <v>0.5</v>
      </c>
      <c r="DL265" s="30" t="e">
        <f t="shared" ca="1" si="388"/>
        <v>#DIV/0!</v>
      </c>
      <c r="DM265" s="85" t="e">
        <f ca="1">IF(CS265&lt;=Hypothèses!$V$7,Hypothèses!$W$7,IF(CS265&lt;=Hypothèses!$V$8,Hypothèses!$W$8,IF(CS265&lt;=Hypothèses!$V$9,Hypothèses!$W$9,IF(CS265&lt;=Hypothèses!$V$10,Hypothèses!$W$10,IF(CS265&lt;=Hypothèses!$V$11,Hypothèses!$W$11,IF(CS265&lt;=Hypothèses!$V$12,Hypothèses!$W$12,IF(CS265&lt;=Hypothèses!$V$13,Hypothèses!$W$13,IF(CS265&lt;=Hypothèses!$V$14,Hypothèses!$W$14,IF(CS265&lt;=Hypothèses!$V$15,Hypothèses!$W$15,IF(CS265&lt;=Hypothèses!$V$16,Hypothèses!$W$16,IF(CS265&lt;=Hypothèses!$V$17,Hypothèses!$W$17,IF(CS265&lt;=Hypothèses!$V$18,Hypothèses!$W$18,""))))))))))))</f>
        <v>#DIV/0!</v>
      </c>
      <c r="DN265" s="87" t="e">
        <f t="shared" ca="1" si="421"/>
        <v>#DIV/0!</v>
      </c>
      <c r="DO265" s="88" t="e">
        <f ca="1">IF(CS265&lt;=Hypothèses!$V$7,Hypothèses!$X$7,IF(CS265&lt;=Hypothèses!$V$8,Hypothèses!$X$8,IF(CS265&lt;=Hypothèses!$V$9,Hypothèses!$X$9,IF(CS265&lt;=Hypothèses!$V$10,Hypothèses!$X$10,IF(CS265&lt;=Hypothèses!$V$11,Hypothèses!$X$11,IF(CS265&lt;=Hypothèses!$V$12,Hypothèses!$X$12,IF(CS265&lt;=Hypothèses!$V$13,Hypothèses!$X$13,IF(CS265&lt;=Hypothèses!$V$14,Hypothèses!$X$14,IF(CS265&lt;=Hypothèses!$V$15,Hypothèses!$X$15,IF(CS265&lt;=Hypothèses!$V$16,Hypothèses!$X$16,IF(CS265&lt;=Hypothèses!$U$17,Hypothèses!$W$17,IF(CS265&lt;=Hypothèses!$U$18,Hypothèses!$W$18,""))))))))))))</f>
        <v>#DIV/0!</v>
      </c>
      <c r="DP265" s="95" t="e">
        <f t="shared" ca="1" si="389"/>
        <v>#DIV/0!</v>
      </c>
      <c r="DQ265" s="101" t="e">
        <f t="shared" si="428"/>
        <v>#N/A</v>
      </c>
      <c r="DR265" s="91" t="e">
        <f t="shared" si="358"/>
        <v>#N/A</v>
      </c>
      <c r="DS265" s="30" t="e">
        <f t="shared" si="410"/>
        <v>#N/A</v>
      </c>
      <c r="DT265" s="30" t="e">
        <f t="shared" si="411"/>
        <v>#N/A</v>
      </c>
      <c r="DU265" s="31" t="e">
        <f>IF(OR(Hypothèses!$B$4=17,Hypothèses!$B$4=18,Hypothèses!$B$4=19,Hypothèses!$B$4=20),
IF($D265="Pressio.",
IF(OR($E265=3,$E265=1,$E265=4),DT265,DS265),
IF($D265="Pénétro.",
IF(OR($E265=3,$E265=1,$E265=4),DT265,DS265))),IF($D265="Pressio.",
IF($E265=3,DT265,DS265),
IF($D265="Pénétro.",
IF($E265=4,DT265,DS265))))</f>
        <v>#N/A</v>
      </c>
      <c r="DV265" s="31" t="e">
        <f>(IF(OR(Hypothèses!$B$4=17,Hypothèses!$B$4=18,Hypothèses!$B$4=19,Hypothèses!$B$4=20),
IF($D265="Pressio.",
IF(OR($E265=3,$E265=1,$E265=4),(PI()*DV$12^2)/4*(DR265*$W265*1000)/($H265*$B$5),(PI()*DV$12^2)/4*(DR265*$W265*1000)/($G265*$B$5)),
IF($D265="Pénétro.",
IF(OR($E265=4,$E265=1,$E265=5),(PI()*DV$12^2)/4*(DR265*$W265*1000)/($H265*$B$5),(PI()*DV$12^2)/4*(DR265*$W265*1000)/($G265*$B$5)))),
IF($D265="Pressio.",
IF($E265=3,(PI()*DV$12^2)/4*(DR265*$W265*1000)/($H265*$B$5),(PI()*DV$12^2)/4*(DR265*$W265*1000)/($G265*$B$5)),
IF($D265="Pénétro.",
IF($E265=4,(PI()*DV$12^2)/4*(DR265*$W265*1000)/($H265*$B$5),(PI()*DV$12^2)/4*(DR265*$W265*1000)/($G265*$B$5))))))/10</f>
        <v>#N/A</v>
      </c>
      <c r="DW265" s="102" t="e">
        <f>(VLOOKUP($B$3,'Coeff EC7'!$T$39:$X$59,2,0)*DU265+VLOOKUP($B$3,'Coeff EC7'!$T$65:$X$85,2,0)*Model0.1C!DV265)/1.1</f>
        <v>#N/A</v>
      </c>
      <c r="DX265" s="102" t="e">
        <f>(VLOOKUP($B$3,'Coeff EC7'!$T$39:$X$59,3,0)*DU265+VLOOKUP($B$3,'Coeff EC7'!$T$65:$X$85,3,0)*Model0.1C!DV265)/0.9</f>
        <v>#N/A</v>
      </c>
      <c r="DY265" s="102" t="e">
        <f t="shared" si="390"/>
        <v>#N/A</v>
      </c>
      <c r="DZ265" s="102" t="e">
        <f t="shared" si="391"/>
        <v>#N/A</v>
      </c>
      <c r="EA265" s="414" t="e">
        <f>IF(EA264=0,0,IF(AND(DW265&gt;charge_ELS_quasi,DX265&gt;Charge_ELS_freq,DY265&gt;charge_ELU,DZ265&gt;charge_ELA,$B265&gt;NDC!$H$22-0.1+MIN(3*$EA$12,1.5)),0,1))</f>
        <v>#N/A</v>
      </c>
      <c r="EB265" s="86" t="b">
        <f t="shared" si="359"/>
        <v>0</v>
      </c>
      <c r="EC265" s="418">
        <f t="shared" si="360"/>
        <v>0.51</v>
      </c>
      <c r="ED265" s="86">
        <f t="shared" si="361"/>
        <v>0.51</v>
      </c>
      <c r="EE265" s="30" t="e">
        <f t="shared" ca="1" si="392"/>
        <v>#DIV/0!</v>
      </c>
      <c r="EF265" s="85" t="e">
        <f ca="1">IF(DL265&lt;=Hypothèses!$V$7,Hypothèses!$W$7,IF(DL265&lt;=Hypothèses!$V$8,Hypothèses!$W$8,IF(DL265&lt;=Hypothèses!$V$9,Hypothèses!$W$9,IF(DL265&lt;=Hypothèses!$V$10,Hypothèses!$W$10,IF(DL265&lt;=Hypothèses!$V$11,Hypothèses!$W$11,IF(DL265&lt;=Hypothèses!$V$12,Hypothèses!$W$12,IF(DL265&lt;=Hypothèses!$V$13,Hypothèses!$W$13,IF(DL265&lt;=Hypothèses!$V$14,Hypothèses!$W$14,IF(DL265&lt;=Hypothèses!$V$15,Hypothèses!$W$15,IF(DL265&lt;=Hypothèses!$V$16,Hypothèses!$W$16,IF(DL265&lt;=Hypothèses!$V$17,Hypothèses!$W$17,IF(DL265&lt;=Hypothèses!$V$18,Hypothèses!$W$18,""))))))))))))</f>
        <v>#DIV/0!</v>
      </c>
      <c r="EG265" s="87" t="e">
        <f t="shared" ca="1" si="422"/>
        <v>#DIV/0!</v>
      </c>
      <c r="EH265" s="88" t="e">
        <f ca="1">IF(DL265&lt;=Hypothèses!$V$7,Hypothèses!$X$7,IF(DL265&lt;=Hypothèses!$V$8,Hypothèses!$X$8,IF(DL265&lt;=Hypothèses!$V$9,Hypothèses!$X$9,IF(DL265&lt;=Hypothèses!$V$10,Hypothèses!$X$10,IF(DL265&lt;=Hypothèses!$V$11,Hypothèses!$X$11,IF(DL265&lt;=Hypothèses!$V$12,Hypothèses!$X$12,IF(DL265&lt;=Hypothèses!$V$13,Hypothèses!$X$13,IF(DL265&lt;=Hypothèses!$V$14,Hypothèses!$X$14,IF(DL265&lt;=Hypothèses!$V$15,Hypothèses!$X$15,IF(DL265&lt;=Hypothèses!$V$16,Hypothèses!$X$16,IF(DL265&lt;=Hypothèses!$U$17,Hypothèses!$W$17,IF(DL265&lt;=Hypothèses!$U$18,Hypothèses!$W$18,""))))))))))))</f>
        <v>#DIV/0!</v>
      </c>
      <c r="EI265" s="95" t="e">
        <f t="shared" ca="1" si="393"/>
        <v>#DIV/0!</v>
      </c>
      <c r="EJ265" s="101" t="e">
        <f t="shared" si="429"/>
        <v>#N/A</v>
      </c>
      <c r="EK265" s="91" t="e">
        <f t="shared" si="362"/>
        <v>#N/A</v>
      </c>
      <c r="EL265" s="30" t="e">
        <f t="shared" si="412"/>
        <v>#N/A</v>
      </c>
      <c r="EM265" s="30" t="e">
        <f t="shared" si="413"/>
        <v>#N/A</v>
      </c>
      <c r="EN265" s="31" t="e">
        <f>IF(OR(Hypothèses!$B$4=17,Hypothèses!$B$4=18,Hypothèses!$B$4=19,Hypothèses!$B$4=20),
IF($D265="Pressio.",
IF(OR($E265=3,$E265=1,$E265=4),EM265,EL265),
IF($D265="Pénétro.",
IF(OR($E265=3,$E265=1,$E265=4),EM265,EL265))),IF($D265="Pressio.",
IF($E265=3,EM265,EL265),
IF($D265="Pénétro.",
IF($E265=4,EM265,EL265))))</f>
        <v>#N/A</v>
      </c>
      <c r="EO265" s="31" t="e">
        <f>(IF(OR(Hypothèses!$B$4=17,Hypothèses!$B$4=18,Hypothèses!$B$4=19,Hypothèses!$B$4=20),
IF($D265="Pressio.",
IF(OR($E265=3,$E265=1,$E265=4),(PI()*EO$12^2)/4*(EK265*$W265*1000)/($H265*$B$5),(PI()*EO$12^2)/4*(EK265*$W265*1000)/($G265*$B$5)),
IF($D265="Pénétro.",
IF(OR($E265=4,$E265=1,$E265=5),(PI()*EO$12^2)/4*(EK265*$W265*1000)/($H265*$B$5),(PI()*EO$12^2)/4*(EK265*$W265*1000)/($G265*$B$5)))),
IF($D265="Pressio.",
IF($E265=3,(PI()*EO$12^2)/4*(EK265*$W265*1000)/($H265*$B$5),(PI()*EO$12^2)/4*(EK265*$W265*1000)/($G265*$B$5)),
IF($D265="Pénétro.",
IF($E265=4,(PI()*EO$12^2)/4*(EK265*$W265*1000)/($H265*$B$5),(PI()*EO$12^2)/4*(EK265*$W265*1000)/($G265*$B$5))))))/10</f>
        <v>#N/A</v>
      </c>
      <c r="EP265" s="102" t="e">
        <f>(VLOOKUP($B$3,'Coeff EC7'!$T$39:$X$59,2,0)*EN265+VLOOKUP($B$3,'Coeff EC7'!$T$65:$X$85,2,0)*Model0.1C!EO265)/1.1</f>
        <v>#N/A</v>
      </c>
      <c r="EQ265" s="102" t="e">
        <f>(VLOOKUP($B$3,'Coeff EC7'!$T$39:$X$59,3,0)*EN265+VLOOKUP($B$3,'Coeff EC7'!$T$65:$X$85,3,0)*Model0.1C!EO265)/0.9</f>
        <v>#N/A</v>
      </c>
      <c r="ER265" s="102" t="e">
        <f t="shared" si="394"/>
        <v>#N/A</v>
      </c>
      <c r="ES265" s="102" t="e">
        <f t="shared" si="395"/>
        <v>#N/A</v>
      </c>
      <c r="ET265" s="414" t="e">
        <f>IF(ET264=0,0,IF(AND(EP265&gt;charge_ELS_quasi,EQ265&gt;Charge_ELS_freq,ER265&gt;charge_ELU,ES265&gt;charge_ELA,$B265&gt;NDC!$H$22-0.1+MIN(3*$ET$12,1.5)),0,1))</f>
        <v>#N/A</v>
      </c>
      <c r="EU265" s="86" t="b">
        <f t="shared" si="363"/>
        <v>0</v>
      </c>
      <c r="EV265" s="86">
        <f t="shared" si="364"/>
        <v>0.61</v>
      </c>
      <c r="EW265" s="86">
        <f t="shared" si="365"/>
        <v>0.61</v>
      </c>
      <c r="EX265" s="30" t="e">
        <f t="shared" ca="1" si="396"/>
        <v>#DIV/0!</v>
      </c>
      <c r="EY265" s="85" t="e">
        <f ca="1">IF(EE265&lt;=Hypothèses!$V$7,Hypothèses!$W$7,IF(EE265&lt;=Hypothèses!$V$8,Hypothèses!$W$8,IF(EE265&lt;=Hypothèses!$V$9,Hypothèses!$W$9,IF(EE265&lt;=Hypothèses!$V$10,Hypothèses!$W$10,IF(EE265&lt;=Hypothèses!$V$11,Hypothèses!$W$11,IF(EE265&lt;=Hypothèses!$V$12,Hypothèses!$W$12,IF(EE265&lt;=Hypothèses!$V$13,Hypothèses!$W$13,IF(EE265&lt;=Hypothèses!$V$14,Hypothèses!$W$14,IF(EE265&lt;=Hypothèses!$V$15,Hypothèses!$W$15,IF(EE265&lt;=Hypothèses!$V$16,Hypothèses!$W$16,IF(EE265&lt;=Hypothèses!$V$17,Hypothèses!$W$17,IF(EE265&lt;=Hypothèses!$V$18,Hypothèses!$W$18,""))))))))))))</f>
        <v>#DIV/0!</v>
      </c>
      <c r="EZ265" s="87" t="e">
        <f t="shared" ca="1" si="423"/>
        <v>#DIV/0!</v>
      </c>
      <c r="FA265" s="88" t="e">
        <f ca="1">IF(EE265&lt;=Hypothèses!$V$7,Hypothèses!$X$7,IF(EE265&lt;=Hypothèses!$V$8,Hypothèses!$X$8,IF(EE265&lt;=Hypothèses!$V$9,Hypothèses!$X$9,IF(EE265&lt;=Hypothèses!$V$10,Hypothèses!$X$10,IF(EE265&lt;=Hypothèses!$V$11,Hypothèses!$X$11,IF(EE265&lt;=Hypothèses!$V$12,Hypothèses!$X$12,IF(EE265&lt;=Hypothèses!$V$13,Hypothèses!$X$13,IF(EE265&lt;=Hypothèses!$V$14,Hypothèses!$X$14,IF(EE265&lt;=Hypothèses!$V$15,Hypothèses!$X$15,IF(EE265&lt;=Hypothèses!$V$16,Hypothèses!$X$16,IF(EE265&lt;=Hypothèses!$U$17,Hypothèses!$W$17,IF(EE265&lt;=Hypothèses!$U$18,Hypothèses!$W$18,""))))))))))))</f>
        <v>#DIV/0!</v>
      </c>
      <c r="FB265" s="95" t="e">
        <f t="shared" ca="1" si="397"/>
        <v>#DIV/0!</v>
      </c>
      <c r="FC265" s="101" t="e">
        <f t="shared" si="430"/>
        <v>#N/A</v>
      </c>
      <c r="FD265" s="91" t="e">
        <f t="shared" si="366"/>
        <v>#N/A</v>
      </c>
      <c r="FE265" s="30" t="e">
        <f t="shared" si="414"/>
        <v>#N/A</v>
      </c>
      <c r="FF265" s="30" t="e">
        <f t="shared" si="415"/>
        <v>#N/A</v>
      </c>
      <c r="FG265" s="31" t="e">
        <f>IF(OR(Hypothèses!$B$4=17,Hypothèses!$B$4=18,Hypothèses!$B$4=19,Hypothèses!$B$4=20),
IF($D265="Pressio.",
IF(OR($E265=3,$E265=1,$E265=4),FF265,FE265),
IF($D265="Pénétro.",
IF(OR($E265=3,$E265=1,$E265=4),FF265,FE265))),IF($D265="Pressio.",
IF($E265=3,FF265,FE265),
IF($D265="Pénétro.",
IF($E265=4,FF265,FE265))))</f>
        <v>#N/A</v>
      </c>
      <c r="FH265" s="31" t="e">
        <f>(IF(OR(Hypothèses!$B$4=17,Hypothèses!$B$4=18,Hypothèses!$B$4=19,Hypothèses!$B$4=20),
IF($D265="Pressio.",
IF(OR($E265=3,$E265=1,$E265=4),(PI()*FH$12^2)/4*(FD265*$W265*1000)/($H265*$B$5),(PI()*FH$12^2)/4*(FD265*$W265*1000)/($G265*$B$5)),
IF($D265="Pénétro.",
IF(OR($E265=4,$E265=1,$E265=5),(PI()*FH$12^2)/4*(FD265*$W265*1000)/($H265*$B$5),(PI()*FH$12^2)/4*(FD265*$W265*1000)/($G265*$B$5)))),
IF($D265="Pressio.",
IF($E265=3,(PI()*FH$12^2)/4*(FD265*$W265*1000)/($H265*$B$5),(PI()*FH$12^2)/4*(FD265*$W265*1000)/($G265*$B$5)),
IF($D265="Pénétro.",
IF($E265=4,(PI()*FH$12^2)/4*(FD265*$W265*1000)/($H265*$B$5),(PI()*FH$12^2)/4*(FD265*$W265*1000)/($G265*$B$5))))))/10</f>
        <v>#N/A</v>
      </c>
      <c r="FI265" s="102" t="e">
        <f>(VLOOKUP($B$3,'Coeff EC7'!$T$39:$X$59,2,0)*FG265+VLOOKUP($B$3,'Coeff EC7'!$T$65:$X$85,2,0)*Model0.1C!FH265)/1.1</f>
        <v>#N/A</v>
      </c>
      <c r="FJ265" s="102" t="e">
        <f>(VLOOKUP($B$3,'Coeff EC7'!$T$39:$X$59,3,0)*FG265+VLOOKUP($B$3,'Coeff EC7'!$T$65:$X$85,3,0)*Model0.1C!FH265)/0.9</f>
        <v>#N/A</v>
      </c>
      <c r="FK265" s="102" t="e">
        <f t="shared" si="398"/>
        <v>#N/A</v>
      </c>
      <c r="FL265" s="102" t="e">
        <f t="shared" si="399"/>
        <v>#N/A</v>
      </c>
      <c r="FM265" s="414" t="e">
        <f>IF(FM264=0,0,IF(AND(FI265&gt;charge_ELS_quasi,FJ265&gt;Charge_ELS_freq,FK265&gt;charge_ELU,FL265&gt;charge_ELA,$B265&gt;NDC!$H$22-0.1+MIN(3*$FM$12,1.5)),0,1))</f>
        <v>#N/A</v>
      </c>
    </row>
    <row r="266" spans="1:169">
      <c r="A266" s="96">
        <f t="shared" si="367"/>
        <v>74.700000000001438</v>
      </c>
      <c r="B266" s="97">
        <v>25.3</v>
      </c>
      <c r="C266" s="81">
        <f>IF(B266&lt;=Hypothèses!$C$7,Hypothèses!$A$7,IF(B266&lt;=Hypothèses!$C$8,Hypothèses!$A$8,IF(B266&lt;=Hypothèses!$C$9,Hypothèses!$A$9,IF(B266&lt;=Hypothèses!$C$10,Hypothèses!$A$10,IF(B266&lt;=Hypothèses!$C$11,Hypothèses!$A$11,IF(B266&lt;=Hypothèses!$C$12,Hypothèses!$A$12,IF(B266&lt;=Hypothèses!$C$13,Hypothèses!$A$13,IF(B266&lt;=Hypothèses!$C$14,Hypothèses!$A$14,IF(B266&lt;=Hypothèses!$C$15,Hypothèses!$A$15,IF(B266&lt;=Hypothèses!$C$16,Hypothèses!$A$16,IF(B266&lt;=Hypothèses!$C$17,Hypothèses!$A$17,IF(B266&lt;=Hypothèses!$C$18,Hypothèses!$A$18,C265))))))))))))</f>
        <v>11</v>
      </c>
      <c r="D266" s="82" t="str">
        <f>IF(B266&lt;=Hypothèses!$C$7,Hypothèses!$R$7,IF(B266&lt;=Hypothèses!$C$8,Hypothèses!$R$8,IF(B266&lt;=Hypothèses!$C$9,Hypothèses!$R$9,IF(B266&lt;=Hypothèses!$C$10,Hypothèses!$R$10,IF(B266&lt;=Hypothèses!$C$11,Hypothèses!$R$11,IF(B266&lt;=Hypothèses!$C$12,Hypothèses!$R$12,IF(B266&lt;=Hypothèses!$C$13,Hypothèses!$R$13,IF(B266&lt;=Hypothèses!$C$14,Hypothèses!$R$14,IF(B266&lt;=Hypothèses!$C$15,Hypothèses!$R$15,IF(B266&lt;=Hypothèses!$C$16,Hypothèses!$R$16,IF(B266&lt;=Hypothèses!$C$17,Hypothèses!$R$17,IF(B266&lt;=Hypothèses!$C$18,Hypothèses!$R$18,D265))))))))))))</f>
        <v>Pressio.</v>
      </c>
      <c r="E266" s="82" t="e">
        <f>IF(B266&lt;=Hypothèses!$C$7,Hypothèses!$G$7,IF(B266&lt;=Hypothèses!$C$8,Hypothèses!$G$8,IF(B266&lt;=Hypothèses!$C$9,Hypothèses!$G$9,IF(B266&lt;=Hypothèses!$C$10,Hypothèses!$G$10,IF(B266&lt;=Hypothèses!$C$11,Hypothèses!$G$11,IF(B266&lt;=Hypothèses!$C$12,Hypothèses!$G$12,IF(B266&lt;=Hypothèses!$C$13,Hypothèses!$G$13,IF(B266&lt;=Hypothèses!$C$14,Hypothèses!$G$14,IF(B266&lt;=Hypothèses!$C$15,Hypothèses!$G$15,IF(B266&lt;=Hypothèses!$C$16,Hypothèses!$G$16,IF(B266&lt;=Hypothèses!$C$17,Hypothèses!$G$17,IF(B266&lt;=Hypothèses!$C$18,Hypothèses!$G$18,E265))))))))))))</f>
        <v>#N/A</v>
      </c>
      <c r="F266" s="82" t="str">
        <f>IF(B266&lt;=Hypothèses!$C$7,Hypothèses!$F$7,IF(B266&lt;=Hypothèses!$C$8,Hypothèses!$F$8,IF(B266&lt;=Hypothèses!$C$9,Hypothèses!$F$9,IF(B266&lt;=Hypothèses!$C$10,Hypothèses!$F$10,IF(B266&lt;=Hypothèses!$C$11,Hypothèses!$F$11,IF(B266&lt;=Hypothèses!$C$12,Hypothèses!$F$12,IF(B266&lt;=Hypothèses!$C$13,Hypothèses!$F$13,IF(B266&lt;=Hypothèses!$C$14,Hypothèses!$F$14,IF(B266&lt;=Hypothèses!$C$15,Hypothèses!$F$15,IF(B266&lt;=Hypothèses!$C$16,Hypothèses!$F$16,IF(B266&lt;=Hypothèses!$C$17,Hypothèses!$F$17,IF(B266&lt;=Hypothèses!$C$18,Hypothèses!$F$18,F265))))))))))))</f>
        <v/>
      </c>
      <c r="G266" s="91">
        <f t="array" ref="G266">INDEX('Coeff EC7'!$U$7:$X$27,
MATCH(Model0.1C!$B$3,'Coeff EC7'!$T$7:$T$27,0),
MATCH(Model0.1C!$D266&amp;Model0.1C!$B$4,
'Coeff EC7'!$U$6:$X$6&amp;
'Coeff EC7'!$U$5:$X$5,0))</f>
        <v>1.1499999999999999</v>
      </c>
      <c r="H266" s="91">
        <f t="array" ref="H266">INDEX('Coeff EC7'!$Y$7:$AB$27,
MATCH(Model0.1C!$B$3,'Coeff EC7'!$T$7:$T$27,0),
MATCH(Model0.1C!$D266&amp;Model0.1C!$B$4,
'Coeff EC7'!$Y$6:$AB$6&amp;
'Coeff EC7'!$Y$5:$AB$5,0))</f>
        <v>1.4</v>
      </c>
      <c r="I266" s="83" t="e">
        <f>IF(B266&lt;=Hypothèses!$C$7,Hypothèses!$P$7,IF(B266&lt;=Hypothèses!$C$8,Hypothèses!$P$8,IF(B266&lt;=Hypothèses!$C$9,Hypothèses!$P$9,IF(B266&lt;=Hypothèses!$C$10,Hypothèses!$P$10,IF(B266&lt;=Hypothèses!$C$11,Hypothèses!$P$11,IF(B266&lt;=Hypothèses!$C$12,Hypothèses!$P$12,IF(B266&lt;=Hypothèses!$C$13,Hypothèses!$P$13,IF(B266&lt;=Hypothèses!$C$14,Hypothèses!$P$14,IF(B266&lt;=Hypothèses!$C$15,Hypothèses!$P$15,IF(B266&lt;=Hypothèses!$C$16,Hypothèses!$P$16,IF(B266&lt;=Hypothèses!$C$17,Hypothèses!$P$17,IF(B266&lt;=Hypothèses!$C$18,Hypothèses!$P$18,I265))))))))))))</f>
        <v>#N/A</v>
      </c>
      <c r="J266" s="91" t="e">
        <f t="array" ref="J266">INDEX('Coeff EC7'!$D$33:$Q$33,1,MATCH(D266&amp;E266,'Coeff EC7'!$D$31:$Q$31&amp;'Coeff EC7'!$D$32:$Q$32,0))</f>
        <v>#N/A</v>
      </c>
      <c r="K266" s="91" t="e">
        <f t="array" ref="K266">INDEX('Coeff EC7'!$D$34:$Q$34,1,MATCH(D266&amp;E266,'Coeff EC7'!$D$31:$Q$31&amp;'Coeff EC7'!$D$32:$Q$32,0))</f>
        <v>#N/A</v>
      </c>
      <c r="L266" s="91" t="e">
        <f t="array" ref="L266">INDEX('Coeff EC7'!$D$35:$Q$35,1,MATCH(D266&amp;E266,'Coeff EC7'!$D$31:$Q$31&amp;'Coeff EC7'!$D$32:$Q$32,0))</f>
        <v>#N/A</v>
      </c>
      <c r="M266" s="98" t="e">
        <f t="shared" si="331"/>
        <v>#N/A</v>
      </c>
      <c r="N266" s="99" t="e">
        <f t="array" ref="N266">INDEX('Coeff EC7'!$D$7:$Q$27,MATCH($B$3,'Coeff EC7'!$C$7:$C$27,0),MATCH(D266&amp;E266,'Coeff EC7'!$D$5:$Q$5&amp;'Coeff EC7'!$D$6:$Q$6,0))</f>
        <v>#N/A</v>
      </c>
      <c r="O266" s="99" t="e">
        <f t="array" ref="O266">INDEX('Coeff EC7'!$D$41:$Q$61,MATCH($B$3,'Coeff EC7'!$C$41:$C$61,0),MATCH(D266&amp;E266,'Coeff EC7'!$D$39:$Q$39&amp;'Coeff EC7'!$D$40:$Q$40,0))</f>
        <v>#N/A</v>
      </c>
      <c r="P266" s="30" t="e">
        <f t="shared" si="368"/>
        <v>#N/A</v>
      </c>
      <c r="Q266" s="100" t="e">
        <f t="shared" si="333"/>
        <v>#N/A</v>
      </c>
      <c r="R266" s="86" t="b">
        <f t="shared" si="334"/>
        <v>0</v>
      </c>
      <c r="S266" s="86">
        <f t="shared" si="332"/>
        <v>0.5</v>
      </c>
      <c r="T266" s="86">
        <f t="shared" si="335"/>
        <v>0.5</v>
      </c>
      <c r="U266" s="30" t="e">
        <f t="shared" ca="1" si="369"/>
        <v>#DIV/0!</v>
      </c>
      <c r="V266" s="85" t="str">
        <f>IF(B266&lt;=Hypothèses!$V$7,Hypothèses!$W$7,IF(B266&lt;=Hypothèses!$V$8,Hypothèses!$W$8,IF(B266&lt;=Hypothèses!$V$9,Hypothèses!$W$9,IF(B266&lt;=Hypothèses!$V$10,Hypothèses!$W$10,IF(B266&lt;=Hypothèses!$V$11,Hypothèses!$W$11,IF(B266&lt;=Hypothèses!$V$12,Hypothèses!$W$12,IF(B266&lt;=Hypothèses!$V$13,Hypothèses!$W$13,IF(B266&lt;=Hypothèses!$V$14,Hypothèses!$W$14,IF(B266&lt;=Hypothèses!$V$15,Hypothèses!$W$15,IF(B266&lt;=Hypothèses!$V$16,Hypothèses!$W$16,IF(B266&lt;=Hypothèses!$V$17,Hypothèses!$W$17,IF(B266&lt;=Hypothèses!$V$18,Hypothèses!$W$18,""))))))))))))</f>
        <v/>
      </c>
      <c r="W266" s="87" t="e">
        <f t="shared" ca="1" si="416"/>
        <v>#DIV/0!</v>
      </c>
      <c r="X266" s="88" t="str">
        <f>IF(B266&lt;=Hypothèses!$V$7,Hypothèses!$X$7,IF(B266&lt;=Hypothèses!$V$8,Hypothèses!$X$8,IF(B266&lt;=Hypothèses!$V$9,Hypothèses!$X$9,IF(B266&lt;=Hypothèses!$V$10,Hypothèses!$X$10,IF(B266&lt;=Hypothèses!$V$11,Hypothèses!$X$11,IF(B266&lt;=Hypothèses!$V$12,Hypothèses!$X$12,IF(B266&lt;=Hypothèses!$V$13,Hypothèses!$X$13,IF(B266&lt;=Hypothèses!$V$14,Hypothèses!$X$14,IF(B266&lt;=Hypothèses!$V$15,Hypothèses!$X$15,IF(B266&lt;=Hypothèses!$V$16,Hypothèses!$X$16,IF(B266&lt;=Hypothèses!$U$17,Hypothèses!$W$17,IF(B266&lt;=Hypothèses!$U$18,Hypothèses!$W$18,""))))))))))))</f>
        <v/>
      </c>
      <c r="Y266" s="95" t="e">
        <f t="shared" ca="1" si="336"/>
        <v>#DIV/0!</v>
      </c>
      <c r="Z266" s="101" t="e">
        <f t="shared" si="337"/>
        <v>#N/A</v>
      </c>
      <c r="AA266" s="91" t="e">
        <f t="shared" si="338"/>
        <v>#N/A</v>
      </c>
      <c r="AB266" s="30" t="e">
        <f t="shared" si="400"/>
        <v>#N/A</v>
      </c>
      <c r="AC266" s="30" t="e">
        <f t="shared" si="401"/>
        <v>#N/A</v>
      </c>
      <c r="AD266" s="31" t="e">
        <f>IF(OR(Hypothèses!$B$4=17,Hypothèses!$B$4=18,Hypothèses!$B$4=19,Hypothèses!$B$4=20),
IF($D266="Pressio.",
IF(OR($E266=3,$E266=1,$E266=4),AC266,AB266),
IF($D266="Pénétro.",
IF(OR($E266=3,$E266=1,$E266=4),AC266,AB266))),IF($D266="Pressio.",
IF($E266=3,AC266,AB266),
IF($D266="Pénétro.",
IF($E266=4,AC266,AB266))))</f>
        <v>#N/A</v>
      </c>
      <c r="AE266" s="31" t="e">
        <f>(IF(OR(Hypothèses!$B$4=17,Hypothèses!$B$4=18,Hypothèses!$B$4=19,Hypothèses!$B$4=20),
IF($D266="Pressio.",
IF(OR($E266=3,$E266=1,$E266=4),(PI()*AE$12^2)/4*(AA266*$W266*1000)/($H266*$B$5),(PI()*AE$12^2)/4*(AA266*$W266*1000)/($G266*$B$5)),
IF($D266="Pénétro.",
IF(OR($E266=4,$E266=1,$E266=5),(PI()*AE$12^2)/4*(AA266*$W266*1000)/($H266*$B$5),(PI()*AE$12^2)/4*(AA266*$W266*1000)/($G266*$B$5)))),
IF($D266="Pressio.",
IF($E266=3,(PI()*AE$12^2)/4*(AA266*$W266*1000)/($H266*$B$5),(PI()*AE$12^2)/4*(AA266*$W266*1000)/($G266*$B$5)),
IF($D266="Pénétro.",
IF($E266=4,(PI()*AE$12^2)/4*(AA266*$W266*1000)/($H266*$B$5),(PI()*AE$12^2)/4*(AA266*$W266*1000)/($G266*$B$5))))))/10</f>
        <v>#N/A</v>
      </c>
      <c r="AF266" s="102" t="e">
        <f>(VLOOKUP($B$3,'Coeff EC7'!$T$39:$X$59,2,0)*AD266+VLOOKUP($B$3,'Coeff EC7'!$T$65:$X$85,2,0)*Model0.1C!AE266)/1.1</f>
        <v>#N/A</v>
      </c>
      <c r="AG266" s="102" t="e">
        <f>(VLOOKUP($B$3,'Coeff EC7'!$T$39:$X$59,3,0)*AD266+VLOOKUP($B$3,'Coeff EC7'!$T$65:$X$85,3,0)*Model0.1C!AE266)/0.9</f>
        <v>#N/A</v>
      </c>
      <c r="AH266" s="102" t="e">
        <f t="shared" si="339"/>
        <v>#N/A</v>
      </c>
      <c r="AI266" s="102" t="e">
        <f t="shared" si="340"/>
        <v>#N/A</v>
      </c>
      <c r="AJ266" s="414" t="e">
        <f>IF(AJ265=0,0,IF(AND(AF266&gt;charge_ELS_quasi,AG266&gt;Charge_ELS_freq,AH266&gt;charge_ELU,AI266&gt;charge_ELA,$B266&gt;NDC!$H$22-0.1+MIN(3*$AJ$12,1.5)),0,1))</f>
        <v>#N/A</v>
      </c>
      <c r="AK266" s="86" t="b">
        <f t="shared" si="341"/>
        <v>0</v>
      </c>
      <c r="AL266" s="86">
        <f t="shared" si="370"/>
        <v>0.5</v>
      </c>
      <c r="AM266" s="86">
        <f t="shared" si="342"/>
        <v>0.5</v>
      </c>
      <c r="AN266" s="30" t="e">
        <f t="shared" ca="1" si="371"/>
        <v>#DIV/0!</v>
      </c>
      <c r="AO266" s="85" t="e">
        <f ca="1">IF(U266&lt;=Hypothèses!$V$7,Hypothèses!$W$7,IF(U266&lt;=Hypothèses!$V$8,Hypothèses!$W$8,IF(U266&lt;=Hypothèses!$V$9,Hypothèses!$W$9,IF(U266&lt;=Hypothèses!$V$10,Hypothèses!$W$10,IF(U266&lt;=Hypothèses!$V$11,Hypothèses!$W$11,IF(U266&lt;=Hypothèses!$V$12,Hypothèses!$W$12,IF(U266&lt;=Hypothèses!$V$13,Hypothèses!$W$13,IF(U266&lt;=Hypothèses!$V$14,Hypothèses!$W$14,IF(U266&lt;=Hypothèses!$V$15,Hypothèses!$W$15,IF(U266&lt;=Hypothèses!$V$16,Hypothèses!$W$16,IF(U266&lt;=Hypothèses!$V$17,Hypothèses!$W$17,IF(U266&lt;=Hypothèses!$V$18,Hypothèses!$W$18,""))))))))))))</f>
        <v>#DIV/0!</v>
      </c>
      <c r="AP266" s="87" t="e">
        <f t="shared" ca="1" si="417"/>
        <v>#DIV/0!</v>
      </c>
      <c r="AQ266" s="88" t="e">
        <f ca="1">IF(U266&lt;=Hypothèses!$V$7,Hypothèses!$X$7,IF(U266&lt;=Hypothèses!$V$8,Hypothèses!$X$8,IF(U266&lt;=Hypothèses!$V$9,Hypothèses!$X$9,IF(U266&lt;=Hypothèses!$V$10,Hypothèses!$X$10,IF(U266&lt;=Hypothèses!$V$11,Hypothèses!$X$11,IF(U266&lt;=Hypothèses!$V$12,Hypothèses!$X$12,IF(U266&lt;=Hypothèses!$V$13,Hypothèses!$X$13,IF(U266&lt;=Hypothèses!$V$14,Hypothèses!$X$14,IF(U266&lt;=Hypothèses!$V$15,Hypothèses!$X$15,IF(U266&lt;=Hypothèses!$V$16,Hypothèses!$X$16,IF(U266&lt;=Hypothèses!$U$17,Hypothèses!$W$17,IF(U266&lt;=Hypothèses!$U$18,Hypothèses!$W$18,""))))))))))))</f>
        <v>#DIV/0!</v>
      </c>
      <c r="AR266" s="95" t="e">
        <f t="shared" ca="1" si="372"/>
        <v>#DIV/0!</v>
      </c>
      <c r="AS266" s="101" t="e">
        <f t="shared" si="424"/>
        <v>#N/A</v>
      </c>
      <c r="AT266" s="91" t="e">
        <f t="shared" si="343"/>
        <v>#N/A</v>
      </c>
      <c r="AU266" s="30" t="e">
        <f t="shared" si="402"/>
        <v>#N/A</v>
      </c>
      <c r="AV266" s="30" t="e">
        <f t="shared" si="403"/>
        <v>#N/A</v>
      </c>
      <c r="AW266" s="31" t="e">
        <f>IF(OR(Hypothèses!$B$4=17,Hypothèses!$B$4=18,Hypothèses!$B$4=19,Hypothèses!$B$4=20),
IF($D266="Pressio.",
IF(OR($E266=3,$E266=1,$E266=4),AV266,AU266),
IF($D266="Pénétro.",
IF(OR($E266=3,$E266=1,$E266=4),AV266,AU266))),IF($D266="Pressio.",
IF($E266=3,AV266,AU266),
IF($D266="Pénétro.",
IF($E266=4,AV266,AU266))))</f>
        <v>#N/A</v>
      </c>
      <c r="AX266" s="31" t="e">
        <f>(IF(OR(Hypothèses!$B$4=17,Hypothèses!$B$4=18,Hypothèses!$B$4=19,Hypothèses!$B$4=20),
IF($D266="Pressio.",
IF(OR($E266=3,$E266=1,$E266=4),(PI()*AX$12^2)/4*(AT266*$W266*1000)/($H266*$B$5),(PI()*AX$12^2)/4*(AT266*$W266*1000)/($G266*$B$5)),
IF($D266="Pénétro.",
IF(OR($E266=4,$E266=1,$E266=5),(PI()*AX$12^2)/4*(AT266*$W266*1000)/($H266*$B$5),(PI()*AX$12^2)/4*(AT266*$W266*1000)/($G266*$B$5)))),
IF($D266="Pressio.",
IF($E266=3,(PI()*AX$12^2)/4*(AT266*$W266*1000)/($H266*$B$5),(PI()*AX$12^2)/4*(AT266*$W266*1000)/($G266*$B$5)),
IF($D266="Pénétro.",
IF($E266=4,(PI()*AX$12^2)/4*(AT266*$W266*1000)/($H266*$B$5),(PI()*AX$12^2)/4*(AT266*$W266*1000)/($G266*$B$5))))))/10</f>
        <v>#N/A</v>
      </c>
      <c r="AY266" s="102" t="e">
        <f>(VLOOKUP($B$3,'Coeff EC7'!$T$39:$X$59,2,0)*AW266+VLOOKUP($B$3,'Coeff EC7'!$T$65:$X$85,2,0)*Model0.1C!AX266)/1.1</f>
        <v>#N/A</v>
      </c>
      <c r="AZ266" s="102" t="e">
        <f>(VLOOKUP($B$3,'Coeff EC7'!$T$39:$X$59,3,0)*AW266+VLOOKUP($B$3,'Coeff EC7'!$T$65:$X$85,3,0)*Model0.1C!AX266)/0.9</f>
        <v>#N/A</v>
      </c>
      <c r="BA266" s="102" t="e">
        <f t="shared" si="373"/>
        <v>#N/A</v>
      </c>
      <c r="BB266" s="102" t="e">
        <f t="shared" si="374"/>
        <v>#N/A</v>
      </c>
      <c r="BC266" s="414" t="e">
        <f>IF(BC265=0,0,IF(AND(AY266&gt;charge_ELS_quasi,AZ266&gt;Charge_ELS_freq,BA266&gt;charge_ELU,BB266&gt;charge_ELA,$B266&gt;NDC!$H$22-0.1+MIN(3*$BC$12,1.5)),0,1))</f>
        <v>#N/A</v>
      </c>
      <c r="BD266" s="86" t="b">
        <f t="shared" si="344"/>
        <v>0</v>
      </c>
      <c r="BE266" s="86">
        <f t="shared" si="375"/>
        <v>0.5</v>
      </c>
      <c r="BF266" s="86">
        <f t="shared" si="345"/>
        <v>0.5</v>
      </c>
      <c r="BG266" s="30" t="e">
        <f t="shared" ca="1" si="376"/>
        <v>#DIV/0!</v>
      </c>
      <c r="BH266" s="85" t="e">
        <f ca="1">IF(AN266&lt;=Hypothèses!$V$7,Hypothèses!$W$7,IF(AN266&lt;=Hypothèses!$V$8,Hypothèses!$W$8,IF(AN266&lt;=Hypothèses!$V$9,Hypothèses!$W$9,IF(AN266&lt;=Hypothèses!$V$10,Hypothèses!$W$10,IF(AN266&lt;=Hypothèses!$V$11,Hypothèses!$W$11,IF(AN266&lt;=Hypothèses!$V$12,Hypothèses!$W$12,IF(AN266&lt;=Hypothèses!$V$13,Hypothèses!$W$13,IF(AN266&lt;=Hypothèses!$V$14,Hypothèses!$W$14,IF(AN266&lt;=Hypothèses!$V$15,Hypothèses!$W$15,IF(AN266&lt;=Hypothèses!$V$16,Hypothèses!$W$16,IF(AN266&lt;=Hypothèses!$V$17,Hypothèses!$W$17,IF(AN266&lt;=Hypothèses!$V$18,Hypothèses!$W$18,""))))))))))))</f>
        <v>#DIV/0!</v>
      </c>
      <c r="BI266" s="87" t="e">
        <f t="shared" ca="1" si="418"/>
        <v>#DIV/0!</v>
      </c>
      <c r="BJ266" s="88" t="e">
        <f ca="1">IF(AN266&lt;=Hypothèses!$V$7,Hypothèses!$X$7,IF(AN266&lt;=Hypothèses!$V$8,Hypothèses!$X$8,IF(AN266&lt;=Hypothèses!$V$9,Hypothèses!$X$9,IF(AN266&lt;=Hypothèses!$V$10,Hypothèses!$X$10,IF(AN266&lt;=Hypothèses!$V$11,Hypothèses!$X$11,IF(AN266&lt;=Hypothèses!$V$12,Hypothèses!$X$12,IF(AN266&lt;=Hypothèses!$V$13,Hypothèses!$X$13,IF(AN266&lt;=Hypothèses!$V$14,Hypothèses!$X$14,IF(AN266&lt;=Hypothèses!$V$15,Hypothèses!$X$15,IF(AN266&lt;=Hypothèses!$V$16,Hypothèses!$X$16,IF(AN266&lt;=Hypothèses!$U$17,Hypothèses!$W$17,IF(AN266&lt;=Hypothèses!$U$18,Hypothèses!$W$18,""))))))))))))</f>
        <v>#DIV/0!</v>
      </c>
      <c r="BK266" s="95" t="e">
        <f t="shared" ca="1" si="377"/>
        <v>#DIV/0!</v>
      </c>
      <c r="BL266" s="101" t="e">
        <f t="shared" si="425"/>
        <v>#N/A</v>
      </c>
      <c r="BM266" s="91" t="e">
        <f t="shared" si="346"/>
        <v>#N/A</v>
      </c>
      <c r="BN266" s="30" t="e">
        <f t="shared" si="404"/>
        <v>#N/A</v>
      </c>
      <c r="BO266" s="30" t="e">
        <f t="shared" si="405"/>
        <v>#N/A</v>
      </c>
      <c r="BP266" s="31" t="e">
        <f>IF(OR(Hypothèses!$B$4=17,Hypothèses!$B$4=18,Hypothèses!$B$4=19,Hypothèses!$B$4=20),
IF($D266="Pressio.",
IF(OR($E266=3,$E266=1,$E266=4),BO266,BN266),
IF($D266="Pénétro.",
IF(OR($E266=3,$E266=1,$E266=4),BO266,BN266))),IF($D266="Pressio.",
IF($E266=3,BO266,BN266),
IF($D266="Pénétro.",
IF($E266=4,BO266,BN266))))</f>
        <v>#N/A</v>
      </c>
      <c r="BQ266" s="31" t="e">
        <f>(IF(OR(Hypothèses!$B$4=17,Hypothèses!$B$4=18,Hypothèses!$B$4=19,Hypothèses!$B$4=20),
IF($D266="Pressio.",
IF(OR($E266=3,$E266=1,$E266=4),(PI()*BQ$12^2)/4*(BM266*$W266*1000)/($H266*$B$5),(PI()*BQ$12^2)/4*(BM266*$W266*1000)/($G266*$B$5)),
IF($D266="Pénétro.",
IF(OR($E266=4,$E266=1,$E266=5),(PI()*BQ$12^2)/4*(BM266*$W266*1000)/($H266*$B$5),(PI()*BQ$12^2)/4*(BM266*$W266*1000)/($G266*$B$5)))),
IF($D266="Pressio.",
IF($E266=3,(PI()*BQ$12^2)/4*(BM266*$W266*1000)/($H266*$B$5),(PI()*BQ$12^2)/4*(BM266*$W266*1000)/($G266*$B$5)),
IF($D266="Pénétro.",
IF($E266=4,(PI()*BQ$12^2)/4*(BM266*$W266*1000)/($H266*$B$5),(PI()*BQ$12^2)/4*(BM266*$W266*1000)/($G266*$B$5))))))/10</f>
        <v>#N/A</v>
      </c>
      <c r="BR266" s="102" t="e">
        <f>(VLOOKUP($B$3,'Coeff EC7'!$T$39:$X$59,2,0)*BP266+VLOOKUP($B$3,'Coeff EC7'!$T$65:$X$85,2,0)*Model0.1C!BQ266)/1.1</f>
        <v>#N/A</v>
      </c>
      <c r="BS266" s="102" t="e">
        <f>(VLOOKUP($B$3,'Coeff EC7'!$T$39:$X$59,3,0)*BP266+VLOOKUP($B$3,'Coeff EC7'!$T$65:$X$85,3,0)*Model0.1C!BQ266)/0.9</f>
        <v>#N/A</v>
      </c>
      <c r="BT266" s="102" t="e">
        <f t="shared" si="378"/>
        <v>#N/A</v>
      </c>
      <c r="BU266" s="102" t="e">
        <f t="shared" si="379"/>
        <v>#N/A</v>
      </c>
      <c r="BV266" s="414" t="e">
        <f>IF(BV265=0,0,IF(AND(BR266&gt;charge_ELS_quasi,BS266&gt;Charge_ELS_freq,BT266&gt;charge_ELU,BU266&gt;charge_ELA,$B266&gt;NDC!$H$22-0.1+MIN(3*$BV$12,1.5)),0,1))</f>
        <v>#N/A</v>
      </c>
      <c r="BW266" s="86" t="b">
        <f t="shared" si="347"/>
        <v>0</v>
      </c>
      <c r="BX266" s="86">
        <f t="shared" si="348"/>
        <v>0.5</v>
      </c>
      <c r="BY266" s="86">
        <f t="shared" si="349"/>
        <v>0.5</v>
      </c>
      <c r="BZ266" s="30" t="e">
        <f t="shared" ca="1" si="380"/>
        <v>#DIV/0!</v>
      </c>
      <c r="CA266" s="85" t="e">
        <f ca="1">IF(BG266&lt;=Hypothèses!$V$7,Hypothèses!$W$7,IF(BG266&lt;=Hypothèses!$V$8,Hypothèses!$W$8,IF(BG266&lt;=Hypothèses!$V$9,Hypothèses!$W$9,IF(BG266&lt;=Hypothèses!$V$10,Hypothèses!$W$10,IF(BG266&lt;=Hypothèses!$V$11,Hypothèses!$W$11,IF(BG266&lt;=Hypothèses!$V$12,Hypothèses!$W$12,IF(BG266&lt;=Hypothèses!$V$13,Hypothèses!$W$13,IF(BG266&lt;=Hypothèses!$V$14,Hypothèses!$W$14,IF(BG266&lt;=Hypothèses!$V$15,Hypothèses!$W$15,IF(BG266&lt;=Hypothèses!$V$16,Hypothèses!$W$16,IF(BG266&lt;=Hypothèses!$V$17,Hypothèses!$W$17,IF(BG266&lt;=Hypothèses!$V$18,Hypothèses!$W$18,""))))))))))))</f>
        <v>#DIV/0!</v>
      </c>
      <c r="CB266" s="87" t="e">
        <f t="shared" ca="1" si="419"/>
        <v>#DIV/0!</v>
      </c>
      <c r="CC266" s="88" t="e">
        <f ca="1">IF(BG266&lt;=Hypothèses!$V$7,Hypothèses!$X$7,IF(BG266&lt;=Hypothèses!$V$8,Hypothèses!$X$8,IF(BG266&lt;=Hypothèses!$V$9,Hypothèses!$X$9,IF(BG266&lt;=Hypothèses!$V$10,Hypothèses!$X$10,IF(BG266&lt;=Hypothèses!$V$11,Hypothèses!$X$11,IF(BG266&lt;=Hypothèses!$V$12,Hypothèses!$X$12,IF(BG266&lt;=Hypothèses!$V$13,Hypothèses!$X$13,IF(BG266&lt;=Hypothèses!$V$14,Hypothèses!$X$14,IF(BG266&lt;=Hypothèses!$V$15,Hypothèses!$X$15,IF(BG266&lt;=Hypothèses!$V$16,Hypothèses!$X$16,IF(BG266&lt;=Hypothèses!$U$17,Hypothèses!$W$17,IF(BG266&lt;=Hypothèses!$U$18,Hypothèses!$W$18,""))))))))))))</f>
        <v>#DIV/0!</v>
      </c>
      <c r="CD266" s="95" t="e">
        <f t="shared" ca="1" si="381"/>
        <v>#DIV/0!</v>
      </c>
      <c r="CE266" s="101" t="e">
        <f t="shared" si="426"/>
        <v>#N/A</v>
      </c>
      <c r="CF266" s="91" t="e">
        <f t="shared" si="350"/>
        <v>#N/A</v>
      </c>
      <c r="CG266" s="30" t="e">
        <f t="shared" si="406"/>
        <v>#N/A</v>
      </c>
      <c r="CH266" s="30" t="e">
        <f t="shared" si="407"/>
        <v>#N/A</v>
      </c>
      <c r="CI266" s="31" t="e">
        <f>IF(OR(Hypothèses!$B$4=17,Hypothèses!$B$4=18,Hypothèses!$B$4=19,Hypothèses!$B$4=20),
IF($D266="Pressio.",
IF(OR($E266=3,$E266=1,$E266=4),CH266,CG266),
IF($D266="Pénétro.",
IF(OR($E266=3,$E266=1,$E266=4),CH266,CG266))),IF($D266="Pressio.",
IF($E266=3,CH266,CG266),
IF($D266="Pénétro.",
IF($E266=4,CH266,CG266))))</f>
        <v>#N/A</v>
      </c>
      <c r="CJ266" s="31" t="e">
        <f>(IF(OR(Hypothèses!$B$4=17,Hypothèses!$B$4=18,Hypothèses!$B$4=19,Hypothèses!$B$4=20),
IF($D266="Pressio.",
IF(OR($E266=3,$E266=1,$E266=4),(PI()*CJ$12^2)/4*(CF266*$W266*1000)/($H266*$B$5),(PI()*CJ$12^2)/4*(CF266*$W266*1000)/($G266*$B$5)),
IF($D266="Pénétro.",
IF(OR($E266=4,$E266=1,$E266=5),(PI()*CJ$12^2)/4*(CF266*$W266*1000)/($H266*$B$5),(PI()*CJ$12^2)/4*(CF266*$W266*1000)/($G266*$B$5)))),
IF($D266="Pressio.",
IF($E266=3,(PI()*CJ$12^2)/4*(CF266*$W266*1000)/($H266*$B$5),(PI()*CJ$12^2)/4*(CF266*$W266*1000)/($G266*$B$5)),
IF($D266="Pénétro.",
IF($E266=4,(PI()*CJ$12^2)/4*(CF266*$W266*1000)/($H266*$B$5),(PI()*CJ$12^2)/4*(CF266*$W266*1000)/($G266*$B$5))))))/10</f>
        <v>#N/A</v>
      </c>
      <c r="CK266" s="102" t="e">
        <f>(VLOOKUP($B$3,'Coeff EC7'!$T$39:$X$59,2,0)*CI266+VLOOKUP($B$3,'Coeff EC7'!$T$65:$X$85,2,0)*Model0.1C!CJ266)/1.1</f>
        <v>#N/A</v>
      </c>
      <c r="CL266" s="102" t="e">
        <f>(VLOOKUP($B$3,'Coeff EC7'!$T$39:$X$59,3,0)*CI266+VLOOKUP($B$3,'Coeff EC7'!$T$65:$X$85,3,0)*Model0.1C!CJ266)/0.9</f>
        <v>#N/A</v>
      </c>
      <c r="CM266" s="102" t="e">
        <f t="shared" si="382"/>
        <v>#N/A</v>
      </c>
      <c r="CN266" s="102" t="e">
        <f t="shared" si="383"/>
        <v>#N/A</v>
      </c>
      <c r="CO266" s="414" t="e">
        <f>IF(CO265=0,0,IF(AND(CK266&gt;charge_ELS_quasi,CL266&gt;Charge_ELS_freq,CM266&gt;charge_ELU,CN266&gt;charge_ELA,$B266&gt;NDC!$H$22-0.1+MIN(3*$CO$12,1.5)),0,1))</f>
        <v>#N/A</v>
      </c>
      <c r="CP266" s="86" t="b">
        <f t="shared" si="351"/>
        <v>0</v>
      </c>
      <c r="CQ266" s="86">
        <f t="shared" si="352"/>
        <v>0.5</v>
      </c>
      <c r="CR266" s="86">
        <f t="shared" si="353"/>
        <v>0.5</v>
      </c>
      <c r="CS266" s="30" t="e">
        <f t="shared" ca="1" si="384"/>
        <v>#DIV/0!</v>
      </c>
      <c r="CT266" s="85" t="e">
        <f ca="1">IF(BZ266&lt;=Hypothèses!$V$7,Hypothèses!$W$7,IF(BZ266&lt;=Hypothèses!$V$8,Hypothèses!$W$8,IF(BZ266&lt;=Hypothèses!$V$9,Hypothèses!$W$9,IF(BZ266&lt;=Hypothèses!$V$10,Hypothèses!$W$10,IF(BZ266&lt;=Hypothèses!$V$11,Hypothèses!$W$11,IF(BZ266&lt;=Hypothèses!$V$12,Hypothèses!$W$12,IF(BZ266&lt;=Hypothèses!$V$13,Hypothèses!$W$13,IF(BZ266&lt;=Hypothèses!$V$14,Hypothèses!$W$14,IF(BZ266&lt;=Hypothèses!$V$15,Hypothèses!$W$15,IF(BZ266&lt;=Hypothèses!$V$16,Hypothèses!$W$16,IF(BZ266&lt;=Hypothèses!$V$17,Hypothèses!$W$17,IF(BZ266&lt;=Hypothèses!$V$18,Hypothèses!$W$18,""))))))))))))</f>
        <v>#DIV/0!</v>
      </c>
      <c r="CU266" s="87" t="e">
        <f t="shared" ca="1" si="420"/>
        <v>#DIV/0!</v>
      </c>
      <c r="CV266" s="88" t="e">
        <f ca="1">IF(BZ266&lt;=Hypothèses!$V$7,Hypothèses!$X$7,IF(BZ266&lt;=Hypothèses!$V$8,Hypothèses!$X$8,IF(BZ266&lt;=Hypothèses!$V$9,Hypothèses!$X$9,IF(BZ266&lt;=Hypothèses!$V$10,Hypothèses!$X$10,IF(BZ266&lt;=Hypothèses!$V$11,Hypothèses!$X$11,IF(BZ266&lt;=Hypothèses!$V$12,Hypothèses!$X$12,IF(BZ266&lt;=Hypothèses!$V$13,Hypothèses!$X$13,IF(BZ266&lt;=Hypothèses!$V$14,Hypothèses!$X$14,IF(BZ266&lt;=Hypothèses!$V$15,Hypothèses!$X$15,IF(BZ266&lt;=Hypothèses!$V$16,Hypothèses!$X$16,IF(BZ266&lt;=Hypothèses!$U$17,Hypothèses!$W$17,IF(BZ266&lt;=Hypothèses!$U$18,Hypothèses!$W$18,""))))))))))))</f>
        <v>#DIV/0!</v>
      </c>
      <c r="CW266" s="95" t="e">
        <f t="shared" ca="1" si="385"/>
        <v>#DIV/0!</v>
      </c>
      <c r="CX266" s="101" t="e">
        <f t="shared" si="427"/>
        <v>#N/A</v>
      </c>
      <c r="CY266" s="91" t="e">
        <f t="shared" si="354"/>
        <v>#N/A</v>
      </c>
      <c r="CZ266" s="30" t="e">
        <f t="shared" si="408"/>
        <v>#N/A</v>
      </c>
      <c r="DA266" s="30" t="e">
        <f t="shared" si="409"/>
        <v>#N/A</v>
      </c>
      <c r="DB266" s="31" t="e">
        <f>IF(OR(Hypothèses!$B$4=17,Hypothèses!$B$4=18,Hypothèses!$B$4=19,Hypothèses!$B$4=20),
IF($D266="Pressio.",
IF(OR($E266=3,$E266=1,$E266=4),DA266,CZ266),
IF($D266="Pénétro.",
IF(OR($E266=3,$E266=1,$E266=4),DA266,CZ266))),IF($D266="Pressio.",
IF($E266=3,DA266,CZ266),
IF($D266="Pénétro.",
IF($E266=4,DA266,CZ266))))</f>
        <v>#N/A</v>
      </c>
      <c r="DC266" s="31" t="e">
        <f>(IF(OR(Hypothèses!$B$4=17,Hypothèses!$B$4=18,Hypothèses!$B$4=19,Hypothèses!$B$4=20),
IF($D266="Pressio.",
IF(OR($E266=3,$E266=1,$E266=4),(PI()*DC$12^2)/4*(CY266*$W266*1000)/($H266*$B$5),(PI()*DC$12^2)/4*(CY266*$W266*1000)/($G266*$B$5)),
IF($D266="Pénétro.",
IF(OR($E266=4,$E266=1,$E266=5),(PI()*DC$12^2)/4*(CY266*$W266*1000)/($H266*$B$5),(PI()*DC$12^2)/4*(CY266*$W266*1000)/($G266*$B$5)))),
IF($D266="Pressio.",
IF($E266=3,(PI()*DC$12^2)/4*(CY266*$W266*1000)/($H266*$B$5),(PI()*DC$12^2)/4*(CY266*$W266*1000)/($G266*$B$5)),
IF($D266="Pénétro.",
IF($E266=4,(PI()*DC$12^2)/4*(CY266*$W266*1000)/($H266*$B$5),(PI()*DC$12^2)/4*(CY266*$W266*1000)/($G266*$B$5))))))/10</f>
        <v>#N/A</v>
      </c>
      <c r="DD266" s="102" t="e">
        <f>(VLOOKUP($B$3,'Coeff EC7'!$T$39:$X$59,2,0)*DB266+VLOOKUP($B$3,'Coeff EC7'!$T$65:$X$85,2,0)*Model0.1C!DC266)/1.1</f>
        <v>#N/A</v>
      </c>
      <c r="DE266" s="102" t="e">
        <f>(VLOOKUP($B$3,'Coeff EC7'!$T$39:$X$59,3,0)*DB266+VLOOKUP($B$3,'Coeff EC7'!$T$65:$X$85,3,0)*Model0.1C!DC266)/0.9</f>
        <v>#N/A</v>
      </c>
      <c r="DF266" s="102" t="e">
        <f t="shared" si="386"/>
        <v>#N/A</v>
      </c>
      <c r="DG266" s="102" t="e">
        <f t="shared" si="387"/>
        <v>#N/A</v>
      </c>
      <c r="DH266" s="414" t="e">
        <f>IF(DH265=0,0,IF(AND(DD266&gt;charge_ELS_quasi,DE266&gt;Charge_ELS_freq,DF266&gt;charge_ELU,DG266&gt;charge_ELA,$B266&gt;NDC!$H$22-0.1+MIN(3*$DH$12,1.5)),0,1))</f>
        <v>#N/A</v>
      </c>
      <c r="DI266" s="86" t="b">
        <f t="shared" si="355"/>
        <v>0</v>
      </c>
      <c r="DJ266" s="86">
        <f t="shared" si="356"/>
        <v>0.5</v>
      </c>
      <c r="DK266" s="86">
        <f t="shared" si="357"/>
        <v>0.5</v>
      </c>
      <c r="DL266" s="30" t="e">
        <f t="shared" ca="1" si="388"/>
        <v>#DIV/0!</v>
      </c>
      <c r="DM266" s="85" t="e">
        <f ca="1">IF(CS266&lt;=Hypothèses!$V$7,Hypothèses!$W$7,IF(CS266&lt;=Hypothèses!$V$8,Hypothèses!$W$8,IF(CS266&lt;=Hypothèses!$V$9,Hypothèses!$W$9,IF(CS266&lt;=Hypothèses!$V$10,Hypothèses!$W$10,IF(CS266&lt;=Hypothèses!$V$11,Hypothèses!$W$11,IF(CS266&lt;=Hypothèses!$V$12,Hypothèses!$W$12,IF(CS266&lt;=Hypothèses!$V$13,Hypothèses!$W$13,IF(CS266&lt;=Hypothèses!$V$14,Hypothèses!$W$14,IF(CS266&lt;=Hypothèses!$V$15,Hypothèses!$W$15,IF(CS266&lt;=Hypothèses!$V$16,Hypothèses!$W$16,IF(CS266&lt;=Hypothèses!$V$17,Hypothèses!$W$17,IF(CS266&lt;=Hypothèses!$V$18,Hypothèses!$W$18,""))))))))))))</f>
        <v>#DIV/0!</v>
      </c>
      <c r="DN266" s="87" t="e">
        <f t="shared" ca="1" si="421"/>
        <v>#DIV/0!</v>
      </c>
      <c r="DO266" s="88" t="e">
        <f ca="1">IF(CS266&lt;=Hypothèses!$V$7,Hypothèses!$X$7,IF(CS266&lt;=Hypothèses!$V$8,Hypothèses!$X$8,IF(CS266&lt;=Hypothèses!$V$9,Hypothèses!$X$9,IF(CS266&lt;=Hypothèses!$V$10,Hypothèses!$X$10,IF(CS266&lt;=Hypothèses!$V$11,Hypothèses!$X$11,IF(CS266&lt;=Hypothèses!$V$12,Hypothèses!$X$12,IF(CS266&lt;=Hypothèses!$V$13,Hypothèses!$X$13,IF(CS266&lt;=Hypothèses!$V$14,Hypothèses!$X$14,IF(CS266&lt;=Hypothèses!$V$15,Hypothèses!$X$15,IF(CS266&lt;=Hypothèses!$V$16,Hypothèses!$X$16,IF(CS266&lt;=Hypothèses!$U$17,Hypothèses!$W$17,IF(CS266&lt;=Hypothèses!$U$18,Hypothèses!$W$18,""))))))))))))</f>
        <v>#DIV/0!</v>
      </c>
      <c r="DP266" s="95" t="e">
        <f t="shared" ca="1" si="389"/>
        <v>#DIV/0!</v>
      </c>
      <c r="DQ266" s="101" t="e">
        <f t="shared" si="428"/>
        <v>#N/A</v>
      </c>
      <c r="DR266" s="91" t="e">
        <f t="shared" si="358"/>
        <v>#N/A</v>
      </c>
      <c r="DS266" s="30" t="e">
        <f t="shared" si="410"/>
        <v>#N/A</v>
      </c>
      <c r="DT266" s="30" t="e">
        <f t="shared" si="411"/>
        <v>#N/A</v>
      </c>
      <c r="DU266" s="31" t="e">
        <f>IF(OR(Hypothèses!$B$4=17,Hypothèses!$B$4=18,Hypothèses!$B$4=19,Hypothèses!$B$4=20),
IF($D266="Pressio.",
IF(OR($E266=3,$E266=1,$E266=4),DT266,DS266),
IF($D266="Pénétro.",
IF(OR($E266=3,$E266=1,$E266=4),DT266,DS266))),IF($D266="Pressio.",
IF($E266=3,DT266,DS266),
IF($D266="Pénétro.",
IF($E266=4,DT266,DS266))))</f>
        <v>#N/A</v>
      </c>
      <c r="DV266" s="31" t="e">
        <f>(IF(OR(Hypothèses!$B$4=17,Hypothèses!$B$4=18,Hypothèses!$B$4=19,Hypothèses!$B$4=20),
IF($D266="Pressio.",
IF(OR($E266=3,$E266=1,$E266=4),(PI()*DV$12^2)/4*(DR266*$W266*1000)/($H266*$B$5),(PI()*DV$12^2)/4*(DR266*$W266*1000)/($G266*$B$5)),
IF($D266="Pénétro.",
IF(OR($E266=4,$E266=1,$E266=5),(PI()*DV$12^2)/4*(DR266*$W266*1000)/($H266*$B$5),(PI()*DV$12^2)/4*(DR266*$W266*1000)/($G266*$B$5)))),
IF($D266="Pressio.",
IF($E266=3,(PI()*DV$12^2)/4*(DR266*$W266*1000)/($H266*$B$5),(PI()*DV$12^2)/4*(DR266*$W266*1000)/($G266*$B$5)),
IF($D266="Pénétro.",
IF($E266=4,(PI()*DV$12^2)/4*(DR266*$W266*1000)/($H266*$B$5),(PI()*DV$12^2)/4*(DR266*$W266*1000)/($G266*$B$5))))))/10</f>
        <v>#N/A</v>
      </c>
      <c r="DW266" s="102" t="e">
        <f>(VLOOKUP($B$3,'Coeff EC7'!$T$39:$X$59,2,0)*DU266+VLOOKUP($B$3,'Coeff EC7'!$T$65:$X$85,2,0)*Model0.1C!DV266)/1.1</f>
        <v>#N/A</v>
      </c>
      <c r="DX266" s="102" t="e">
        <f>(VLOOKUP($B$3,'Coeff EC7'!$T$39:$X$59,3,0)*DU266+VLOOKUP($B$3,'Coeff EC7'!$T$65:$X$85,3,0)*Model0.1C!DV266)/0.9</f>
        <v>#N/A</v>
      </c>
      <c r="DY266" s="102" t="e">
        <f t="shared" si="390"/>
        <v>#N/A</v>
      </c>
      <c r="DZ266" s="102" t="e">
        <f t="shared" si="391"/>
        <v>#N/A</v>
      </c>
      <c r="EA266" s="414" t="e">
        <f>IF(EA265=0,0,IF(AND(DW266&gt;charge_ELS_quasi,DX266&gt;Charge_ELS_freq,DY266&gt;charge_ELU,DZ266&gt;charge_ELA,$B266&gt;NDC!$H$22-0.1+MIN(3*$EA$12,1.5)),0,1))</f>
        <v>#N/A</v>
      </c>
      <c r="EB266" s="86" t="b">
        <f t="shared" si="359"/>
        <v>0</v>
      </c>
      <c r="EC266" s="418">
        <f t="shared" si="360"/>
        <v>0.51</v>
      </c>
      <c r="ED266" s="86">
        <f t="shared" si="361"/>
        <v>0.51</v>
      </c>
      <c r="EE266" s="30" t="e">
        <f t="shared" ca="1" si="392"/>
        <v>#DIV/0!</v>
      </c>
      <c r="EF266" s="85" t="e">
        <f ca="1">IF(DL266&lt;=Hypothèses!$V$7,Hypothèses!$W$7,IF(DL266&lt;=Hypothèses!$V$8,Hypothèses!$W$8,IF(DL266&lt;=Hypothèses!$V$9,Hypothèses!$W$9,IF(DL266&lt;=Hypothèses!$V$10,Hypothèses!$W$10,IF(DL266&lt;=Hypothèses!$V$11,Hypothèses!$W$11,IF(DL266&lt;=Hypothèses!$V$12,Hypothèses!$W$12,IF(DL266&lt;=Hypothèses!$V$13,Hypothèses!$W$13,IF(DL266&lt;=Hypothèses!$V$14,Hypothèses!$W$14,IF(DL266&lt;=Hypothèses!$V$15,Hypothèses!$W$15,IF(DL266&lt;=Hypothèses!$V$16,Hypothèses!$W$16,IF(DL266&lt;=Hypothèses!$V$17,Hypothèses!$W$17,IF(DL266&lt;=Hypothèses!$V$18,Hypothèses!$W$18,""))))))))))))</f>
        <v>#DIV/0!</v>
      </c>
      <c r="EG266" s="87" t="e">
        <f t="shared" ca="1" si="422"/>
        <v>#DIV/0!</v>
      </c>
      <c r="EH266" s="88" t="e">
        <f ca="1">IF(DL266&lt;=Hypothèses!$V$7,Hypothèses!$X$7,IF(DL266&lt;=Hypothèses!$V$8,Hypothèses!$X$8,IF(DL266&lt;=Hypothèses!$V$9,Hypothèses!$X$9,IF(DL266&lt;=Hypothèses!$V$10,Hypothèses!$X$10,IF(DL266&lt;=Hypothèses!$V$11,Hypothèses!$X$11,IF(DL266&lt;=Hypothèses!$V$12,Hypothèses!$X$12,IF(DL266&lt;=Hypothèses!$V$13,Hypothèses!$X$13,IF(DL266&lt;=Hypothèses!$V$14,Hypothèses!$X$14,IF(DL266&lt;=Hypothèses!$V$15,Hypothèses!$X$15,IF(DL266&lt;=Hypothèses!$V$16,Hypothèses!$X$16,IF(DL266&lt;=Hypothèses!$U$17,Hypothèses!$W$17,IF(DL266&lt;=Hypothèses!$U$18,Hypothèses!$W$18,""))))))))))))</f>
        <v>#DIV/0!</v>
      </c>
      <c r="EI266" s="95" t="e">
        <f t="shared" ca="1" si="393"/>
        <v>#DIV/0!</v>
      </c>
      <c r="EJ266" s="101" t="e">
        <f t="shared" si="429"/>
        <v>#N/A</v>
      </c>
      <c r="EK266" s="91" t="e">
        <f t="shared" si="362"/>
        <v>#N/A</v>
      </c>
      <c r="EL266" s="30" t="e">
        <f t="shared" si="412"/>
        <v>#N/A</v>
      </c>
      <c r="EM266" s="30" t="e">
        <f t="shared" si="413"/>
        <v>#N/A</v>
      </c>
      <c r="EN266" s="31" t="e">
        <f>IF(OR(Hypothèses!$B$4=17,Hypothèses!$B$4=18,Hypothèses!$B$4=19,Hypothèses!$B$4=20),
IF($D266="Pressio.",
IF(OR($E266=3,$E266=1,$E266=4),EM266,EL266),
IF($D266="Pénétro.",
IF(OR($E266=3,$E266=1,$E266=4),EM266,EL266))),IF($D266="Pressio.",
IF($E266=3,EM266,EL266),
IF($D266="Pénétro.",
IF($E266=4,EM266,EL266))))</f>
        <v>#N/A</v>
      </c>
      <c r="EO266" s="31" t="e">
        <f>(IF(OR(Hypothèses!$B$4=17,Hypothèses!$B$4=18,Hypothèses!$B$4=19,Hypothèses!$B$4=20),
IF($D266="Pressio.",
IF(OR($E266=3,$E266=1,$E266=4),(PI()*EO$12^2)/4*(EK266*$W266*1000)/($H266*$B$5),(PI()*EO$12^2)/4*(EK266*$W266*1000)/($G266*$B$5)),
IF($D266="Pénétro.",
IF(OR($E266=4,$E266=1,$E266=5),(PI()*EO$12^2)/4*(EK266*$W266*1000)/($H266*$B$5),(PI()*EO$12^2)/4*(EK266*$W266*1000)/($G266*$B$5)))),
IF($D266="Pressio.",
IF($E266=3,(PI()*EO$12^2)/4*(EK266*$W266*1000)/($H266*$B$5),(PI()*EO$12^2)/4*(EK266*$W266*1000)/($G266*$B$5)),
IF($D266="Pénétro.",
IF($E266=4,(PI()*EO$12^2)/4*(EK266*$W266*1000)/($H266*$B$5),(PI()*EO$12^2)/4*(EK266*$W266*1000)/($G266*$B$5))))))/10</f>
        <v>#N/A</v>
      </c>
      <c r="EP266" s="102" t="e">
        <f>(VLOOKUP($B$3,'Coeff EC7'!$T$39:$X$59,2,0)*EN266+VLOOKUP($B$3,'Coeff EC7'!$T$65:$X$85,2,0)*Model0.1C!EO266)/1.1</f>
        <v>#N/A</v>
      </c>
      <c r="EQ266" s="102" t="e">
        <f>(VLOOKUP($B$3,'Coeff EC7'!$T$39:$X$59,3,0)*EN266+VLOOKUP($B$3,'Coeff EC7'!$T$65:$X$85,3,0)*Model0.1C!EO266)/0.9</f>
        <v>#N/A</v>
      </c>
      <c r="ER266" s="102" t="e">
        <f t="shared" si="394"/>
        <v>#N/A</v>
      </c>
      <c r="ES266" s="102" t="e">
        <f t="shared" si="395"/>
        <v>#N/A</v>
      </c>
      <c r="ET266" s="414" t="e">
        <f>IF(ET265=0,0,IF(AND(EP266&gt;charge_ELS_quasi,EQ266&gt;Charge_ELS_freq,ER266&gt;charge_ELU,ES266&gt;charge_ELA,$B266&gt;NDC!$H$22-0.1+MIN(3*$ET$12,1.5)),0,1))</f>
        <v>#N/A</v>
      </c>
      <c r="EU266" s="86" t="b">
        <f t="shared" si="363"/>
        <v>0</v>
      </c>
      <c r="EV266" s="86">
        <f t="shared" si="364"/>
        <v>0.61</v>
      </c>
      <c r="EW266" s="86">
        <f t="shared" si="365"/>
        <v>0.61</v>
      </c>
      <c r="EX266" s="30" t="e">
        <f t="shared" ca="1" si="396"/>
        <v>#DIV/0!</v>
      </c>
      <c r="EY266" s="85" t="e">
        <f ca="1">IF(EE266&lt;=Hypothèses!$V$7,Hypothèses!$W$7,IF(EE266&lt;=Hypothèses!$V$8,Hypothèses!$W$8,IF(EE266&lt;=Hypothèses!$V$9,Hypothèses!$W$9,IF(EE266&lt;=Hypothèses!$V$10,Hypothèses!$W$10,IF(EE266&lt;=Hypothèses!$V$11,Hypothèses!$W$11,IF(EE266&lt;=Hypothèses!$V$12,Hypothèses!$W$12,IF(EE266&lt;=Hypothèses!$V$13,Hypothèses!$W$13,IF(EE266&lt;=Hypothèses!$V$14,Hypothèses!$W$14,IF(EE266&lt;=Hypothèses!$V$15,Hypothèses!$W$15,IF(EE266&lt;=Hypothèses!$V$16,Hypothèses!$W$16,IF(EE266&lt;=Hypothèses!$V$17,Hypothèses!$W$17,IF(EE266&lt;=Hypothèses!$V$18,Hypothèses!$W$18,""))))))))))))</f>
        <v>#DIV/0!</v>
      </c>
      <c r="EZ266" s="87" t="e">
        <f t="shared" ca="1" si="423"/>
        <v>#DIV/0!</v>
      </c>
      <c r="FA266" s="88" t="e">
        <f ca="1">IF(EE266&lt;=Hypothèses!$V$7,Hypothèses!$X$7,IF(EE266&lt;=Hypothèses!$V$8,Hypothèses!$X$8,IF(EE266&lt;=Hypothèses!$V$9,Hypothèses!$X$9,IF(EE266&lt;=Hypothèses!$V$10,Hypothèses!$X$10,IF(EE266&lt;=Hypothèses!$V$11,Hypothèses!$X$11,IF(EE266&lt;=Hypothèses!$V$12,Hypothèses!$X$12,IF(EE266&lt;=Hypothèses!$V$13,Hypothèses!$X$13,IF(EE266&lt;=Hypothèses!$V$14,Hypothèses!$X$14,IF(EE266&lt;=Hypothèses!$V$15,Hypothèses!$X$15,IF(EE266&lt;=Hypothèses!$V$16,Hypothèses!$X$16,IF(EE266&lt;=Hypothèses!$U$17,Hypothèses!$W$17,IF(EE266&lt;=Hypothèses!$U$18,Hypothèses!$W$18,""))))))))))))</f>
        <v>#DIV/0!</v>
      </c>
      <c r="FB266" s="95" t="e">
        <f t="shared" ca="1" si="397"/>
        <v>#DIV/0!</v>
      </c>
      <c r="FC266" s="101" t="e">
        <f t="shared" si="430"/>
        <v>#N/A</v>
      </c>
      <c r="FD266" s="91" t="e">
        <f t="shared" si="366"/>
        <v>#N/A</v>
      </c>
      <c r="FE266" s="30" t="e">
        <f t="shared" si="414"/>
        <v>#N/A</v>
      </c>
      <c r="FF266" s="30" t="e">
        <f t="shared" si="415"/>
        <v>#N/A</v>
      </c>
      <c r="FG266" s="31" t="e">
        <f>IF(OR(Hypothèses!$B$4=17,Hypothèses!$B$4=18,Hypothèses!$B$4=19,Hypothèses!$B$4=20),
IF($D266="Pressio.",
IF(OR($E266=3,$E266=1,$E266=4),FF266,FE266),
IF($D266="Pénétro.",
IF(OR($E266=3,$E266=1,$E266=4),FF266,FE266))),IF($D266="Pressio.",
IF($E266=3,FF266,FE266),
IF($D266="Pénétro.",
IF($E266=4,FF266,FE266))))</f>
        <v>#N/A</v>
      </c>
      <c r="FH266" s="31" t="e">
        <f>(IF(OR(Hypothèses!$B$4=17,Hypothèses!$B$4=18,Hypothèses!$B$4=19,Hypothèses!$B$4=20),
IF($D266="Pressio.",
IF(OR($E266=3,$E266=1,$E266=4),(PI()*FH$12^2)/4*(FD266*$W266*1000)/($H266*$B$5),(PI()*FH$12^2)/4*(FD266*$W266*1000)/($G266*$B$5)),
IF($D266="Pénétro.",
IF(OR($E266=4,$E266=1,$E266=5),(PI()*FH$12^2)/4*(FD266*$W266*1000)/($H266*$B$5),(PI()*FH$12^2)/4*(FD266*$W266*1000)/($G266*$B$5)))),
IF($D266="Pressio.",
IF($E266=3,(PI()*FH$12^2)/4*(FD266*$W266*1000)/($H266*$B$5),(PI()*FH$12^2)/4*(FD266*$W266*1000)/($G266*$B$5)),
IF($D266="Pénétro.",
IF($E266=4,(PI()*FH$12^2)/4*(FD266*$W266*1000)/($H266*$B$5),(PI()*FH$12^2)/4*(FD266*$W266*1000)/($G266*$B$5))))))/10</f>
        <v>#N/A</v>
      </c>
      <c r="FI266" s="102" t="e">
        <f>(VLOOKUP($B$3,'Coeff EC7'!$T$39:$X$59,2,0)*FG266+VLOOKUP($B$3,'Coeff EC7'!$T$65:$X$85,2,0)*Model0.1C!FH266)/1.1</f>
        <v>#N/A</v>
      </c>
      <c r="FJ266" s="102" t="e">
        <f>(VLOOKUP($B$3,'Coeff EC7'!$T$39:$X$59,3,0)*FG266+VLOOKUP($B$3,'Coeff EC7'!$T$65:$X$85,3,0)*Model0.1C!FH266)/0.9</f>
        <v>#N/A</v>
      </c>
      <c r="FK266" s="102" t="e">
        <f t="shared" si="398"/>
        <v>#N/A</v>
      </c>
      <c r="FL266" s="102" t="e">
        <f t="shared" si="399"/>
        <v>#N/A</v>
      </c>
      <c r="FM266" s="414" t="e">
        <f>IF(FM265=0,0,IF(AND(FI266&gt;charge_ELS_quasi,FJ266&gt;Charge_ELS_freq,FK266&gt;charge_ELU,FL266&gt;charge_ELA,$B266&gt;NDC!$H$22-0.1+MIN(3*$FM$12,1.5)),0,1))</f>
        <v>#N/A</v>
      </c>
    </row>
    <row r="267" spans="1:169">
      <c r="A267" s="96">
        <f t="shared" si="367"/>
        <v>74.600000000001444</v>
      </c>
      <c r="B267" s="97">
        <v>25.4</v>
      </c>
      <c r="C267" s="81">
        <f>IF(B267&lt;=Hypothèses!$C$7,Hypothèses!$A$7,IF(B267&lt;=Hypothèses!$C$8,Hypothèses!$A$8,IF(B267&lt;=Hypothèses!$C$9,Hypothèses!$A$9,IF(B267&lt;=Hypothèses!$C$10,Hypothèses!$A$10,IF(B267&lt;=Hypothèses!$C$11,Hypothèses!$A$11,IF(B267&lt;=Hypothèses!$C$12,Hypothèses!$A$12,IF(B267&lt;=Hypothèses!$C$13,Hypothèses!$A$13,IF(B267&lt;=Hypothèses!$C$14,Hypothèses!$A$14,IF(B267&lt;=Hypothèses!$C$15,Hypothèses!$A$15,IF(B267&lt;=Hypothèses!$C$16,Hypothèses!$A$16,IF(B267&lt;=Hypothèses!$C$17,Hypothèses!$A$17,IF(B267&lt;=Hypothèses!$C$18,Hypothèses!$A$18,C266))))))))))))</f>
        <v>11</v>
      </c>
      <c r="D267" s="82" t="str">
        <f>IF(B267&lt;=Hypothèses!$C$7,Hypothèses!$R$7,IF(B267&lt;=Hypothèses!$C$8,Hypothèses!$R$8,IF(B267&lt;=Hypothèses!$C$9,Hypothèses!$R$9,IF(B267&lt;=Hypothèses!$C$10,Hypothèses!$R$10,IF(B267&lt;=Hypothèses!$C$11,Hypothèses!$R$11,IF(B267&lt;=Hypothèses!$C$12,Hypothèses!$R$12,IF(B267&lt;=Hypothèses!$C$13,Hypothèses!$R$13,IF(B267&lt;=Hypothèses!$C$14,Hypothèses!$R$14,IF(B267&lt;=Hypothèses!$C$15,Hypothèses!$R$15,IF(B267&lt;=Hypothèses!$C$16,Hypothèses!$R$16,IF(B267&lt;=Hypothèses!$C$17,Hypothèses!$R$17,IF(B267&lt;=Hypothèses!$C$18,Hypothèses!$R$18,D266))))))))))))</f>
        <v>Pressio.</v>
      </c>
      <c r="E267" s="82" t="e">
        <f>IF(B267&lt;=Hypothèses!$C$7,Hypothèses!$G$7,IF(B267&lt;=Hypothèses!$C$8,Hypothèses!$G$8,IF(B267&lt;=Hypothèses!$C$9,Hypothèses!$G$9,IF(B267&lt;=Hypothèses!$C$10,Hypothèses!$G$10,IF(B267&lt;=Hypothèses!$C$11,Hypothèses!$G$11,IF(B267&lt;=Hypothèses!$C$12,Hypothèses!$G$12,IF(B267&lt;=Hypothèses!$C$13,Hypothèses!$G$13,IF(B267&lt;=Hypothèses!$C$14,Hypothèses!$G$14,IF(B267&lt;=Hypothèses!$C$15,Hypothèses!$G$15,IF(B267&lt;=Hypothèses!$C$16,Hypothèses!$G$16,IF(B267&lt;=Hypothèses!$C$17,Hypothèses!$G$17,IF(B267&lt;=Hypothèses!$C$18,Hypothèses!$G$18,E266))))))))))))</f>
        <v>#N/A</v>
      </c>
      <c r="F267" s="82" t="str">
        <f>IF(B267&lt;=Hypothèses!$C$7,Hypothèses!$F$7,IF(B267&lt;=Hypothèses!$C$8,Hypothèses!$F$8,IF(B267&lt;=Hypothèses!$C$9,Hypothèses!$F$9,IF(B267&lt;=Hypothèses!$C$10,Hypothèses!$F$10,IF(B267&lt;=Hypothèses!$C$11,Hypothèses!$F$11,IF(B267&lt;=Hypothèses!$C$12,Hypothèses!$F$12,IF(B267&lt;=Hypothèses!$C$13,Hypothèses!$F$13,IF(B267&lt;=Hypothèses!$C$14,Hypothèses!$F$14,IF(B267&lt;=Hypothèses!$C$15,Hypothèses!$F$15,IF(B267&lt;=Hypothèses!$C$16,Hypothèses!$F$16,IF(B267&lt;=Hypothèses!$C$17,Hypothèses!$F$17,IF(B267&lt;=Hypothèses!$C$18,Hypothèses!$F$18,F266))))))))))))</f>
        <v/>
      </c>
      <c r="G267" s="91">
        <f t="array" ref="G267">INDEX('Coeff EC7'!$U$7:$X$27,
MATCH(Model0.1C!$B$3,'Coeff EC7'!$T$7:$T$27,0),
MATCH(Model0.1C!$D267&amp;Model0.1C!$B$4,
'Coeff EC7'!$U$6:$X$6&amp;
'Coeff EC7'!$U$5:$X$5,0))</f>
        <v>1.1499999999999999</v>
      </c>
      <c r="H267" s="91">
        <f t="array" ref="H267">INDEX('Coeff EC7'!$Y$7:$AB$27,
MATCH(Model0.1C!$B$3,'Coeff EC7'!$T$7:$T$27,0),
MATCH(Model0.1C!$D267&amp;Model0.1C!$B$4,
'Coeff EC7'!$Y$6:$AB$6&amp;
'Coeff EC7'!$Y$5:$AB$5,0))</f>
        <v>1.4</v>
      </c>
      <c r="I267" s="83" t="e">
        <f>IF(B267&lt;=Hypothèses!$C$7,Hypothèses!$P$7,IF(B267&lt;=Hypothèses!$C$8,Hypothèses!$P$8,IF(B267&lt;=Hypothèses!$C$9,Hypothèses!$P$9,IF(B267&lt;=Hypothèses!$C$10,Hypothèses!$P$10,IF(B267&lt;=Hypothèses!$C$11,Hypothèses!$P$11,IF(B267&lt;=Hypothèses!$C$12,Hypothèses!$P$12,IF(B267&lt;=Hypothèses!$C$13,Hypothèses!$P$13,IF(B267&lt;=Hypothèses!$C$14,Hypothèses!$P$14,IF(B267&lt;=Hypothèses!$C$15,Hypothèses!$P$15,IF(B267&lt;=Hypothèses!$C$16,Hypothèses!$P$16,IF(B267&lt;=Hypothèses!$C$17,Hypothèses!$P$17,IF(B267&lt;=Hypothèses!$C$18,Hypothèses!$P$18,I266))))))))))))</f>
        <v>#N/A</v>
      </c>
      <c r="J267" s="91" t="e">
        <f t="array" ref="J267">INDEX('Coeff EC7'!$D$33:$Q$33,1,MATCH(D267&amp;E267,'Coeff EC7'!$D$31:$Q$31&amp;'Coeff EC7'!$D$32:$Q$32,0))</f>
        <v>#N/A</v>
      </c>
      <c r="K267" s="91" t="e">
        <f t="array" ref="K267">INDEX('Coeff EC7'!$D$34:$Q$34,1,MATCH(D267&amp;E267,'Coeff EC7'!$D$31:$Q$31&amp;'Coeff EC7'!$D$32:$Q$32,0))</f>
        <v>#N/A</v>
      </c>
      <c r="L267" s="91" t="e">
        <f t="array" ref="L267">INDEX('Coeff EC7'!$D$35:$Q$35,1,MATCH(D267&amp;E267,'Coeff EC7'!$D$31:$Q$31&amp;'Coeff EC7'!$D$32:$Q$32,0))</f>
        <v>#N/A</v>
      </c>
      <c r="M267" s="98" t="e">
        <f t="shared" si="331"/>
        <v>#N/A</v>
      </c>
      <c r="N267" s="99" t="e">
        <f t="array" ref="N267">INDEX('Coeff EC7'!$D$7:$Q$27,MATCH($B$3,'Coeff EC7'!$C$7:$C$27,0),MATCH(D267&amp;E267,'Coeff EC7'!$D$5:$Q$5&amp;'Coeff EC7'!$D$6:$Q$6,0))</f>
        <v>#N/A</v>
      </c>
      <c r="O267" s="99" t="e">
        <f t="array" ref="O267">INDEX('Coeff EC7'!$D$41:$Q$61,MATCH($B$3,'Coeff EC7'!$C$41:$C$61,0),MATCH(D267&amp;E267,'Coeff EC7'!$D$39:$Q$39&amp;'Coeff EC7'!$D$40:$Q$40,0))</f>
        <v>#N/A</v>
      </c>
      <c r="P267" s="30" t="e">
        <f t="shared" si="368"/>
        <v>#N/A</v>
      </c>
      <c r="Q267" s="100" t="e">
        <f t="shared" si="333"/>
        <v>#N/A</v>
      </c>
      <c r="R267" s="86" t="b">
        <f t="shared" si="334"/>
        <v>0</v>
      </c>
      <c r="S267" s="86">
        <f t="shared" si="332"/>
        <v>0.5</v>
      </c>
      <c r="T267" s="86">
        <f t="shared" si="335"/>
        <v>0.5</v>
      </c>
      <c r="U267" s="30" t="e">
        <f t="shared" ca="1" si="369"/>
        <v>#DIV/0!</v>
      </c>
      <c r="V267" s="85" t="str">
        <f>IF(B267&lt;=Hypothèses!$V$7,Hypothèses!$W$7,IF(B267&lt;=Hypothèses!$V$8,Hypothèses!$W$8,IF(B267&lt;=Hypothèses!$V$9,Hypothèses!$W$9,IF(B267&lt;=Hypothèses!$V$10,Hypothèses!$W$10,IF(B267&lt;=Hypothèses!$V$11,Hypothèses!$W$11,IF(B267&lt;=Hypothèses!$V$12,Hypothèses!$W$12,IF(B267&lt;=Hypothèses!$V$13,Hypothèses!$W$13,IF(B267&lt;=Hypothèses!$V$14,Hypothèses!$W$14,IF(B267&lt;=Hypothèses!$V$15,Hypothèses!$W$15,IF(B267&lt;=Hypothèses!$V$16,Hypothèses!$W$16,IF(B267&lt;=Hypothèses!$V$17,Hypothèses!$W$17,IF(B267&lt;=Hypothèses!$V$18,Hypothèses!$W$18,""))))))))))))</f>
        <v/>
      </c>
      <c r="W267" s="87" t="e">
        <f t="shared" ca="1" si="416"/>
        <v>#DIV/0!</v>
      </c>
      <c r="X267" s="88" t="str">
        <f>IF(B267&lt;=Hypothèses!$V$7,Hypothèses!$X$7,IF(B267&lt;=Hypothèses!$V$8,Hypothèses!$X$8,IF(B267&lt;=Hypothèses!$V$9,Hypothèses!$X$9,IF(B267&lt;=Hypothèses!$V$10,Hypothèses!$X$10,IF(B267&lt;=Hypothèses!$V$11,Hypothèses!$X$11,IF(B267&lt;=Hypothèses!$V$12,Hypothèses!$X$12,IF(B267&lt;=Hypothèses!$V$13,Hypothèses!$X$13,IF(B267&lt;=Hypothèses!$V$14,Hypothèses!$X$14,IF(B267&lt;=Hypothèses!$V$15,Hypothèses!$X$15,IF(B267&lt;=Hypothèses!$V$16,Hypothèses!$X$16,IF(B267&lt;=Hypothèses!$U$17,Hypothèses!$W$17,IF(B267&lt;=Hypothèses!$U$18,Hypothèses!$W$18,""))))))))))))</f>
        <v/>
      </c>
      <c r="Y267" s="95" t="e">
        <f t="shared" ca="1" si="336"/>
        <v>#DIV/0!</v>
      </c>
      <c r="Z267" s="101" t="e">
        <f t="shared" si="337"/>
        <v>#N/A</v>
      </c>
      <c r="AA267" s="91" t="e">
        <f t="shared" si="338"/>
        <v>#N/A</v>
      </c>
      <c r="AB267" s="30" t="e">
        <f t="shared" si="400"/>
        <v>#N/A</v>
      </c>
      <c r="AC267" s="30" t="e">
        <f t="shared" si="401"/>
        <v>#N/A</v>
      </c>
      <c r="AD267" s="31" t="e">
        <f>IF(OR(Hypothèses!$B$4=17,Hypothèses!$B$4=18,Hypothèses!$B$4=19,Hypothèses!$B$4=20),
IF($D267="Pressio.",
IF(OR($E267=3,$E267=1,$E267=4),AC267,AB267),
IF($D267="Pénétro.",
IF(OR($E267=3,$E267=1,$E267=4),AC267,AB267))),IF($D267="Pressio.",
IF($E267=3,AC267,AB267),
IF($D267="Pénétro.",
IF($E267=4,AC267,AB267))))</f>
        <v>#N/A</v>
      </c>
      <c r="AE267" s="31" t="e">
        <f>(IF(OR(Hypothèses!$B$4=17,Hypothèses!$B$4=18,Hypothèses!$B$4=19,Hypothèses!$B$4=20),
IF($D267="Pressio.",
IF(OR($E267=3,$E267=1,$E267=4),(PI()*AE$12^2)/4*(AA267*$W267*1000)/($H267*$B$5),(PI()*AE$12^2)/4*(AA267*$W267*1000)/($G267*$B$5)),
IF($D267="Pénétro.",
IF(OR($E267=4,$E267=1,$E267=5),(PI()*AE$12^2)/4*(AA267*$W267*1000)/($H267*$B$5),(PI()*AE$12^2)/4*(AA267*$W267*1000)/($G267*$B$5)))),
IF($D267="Pressio.",
IF($E267=3,(PI()*AE$12^2)/4*(AA267*$W267*1000)/($H267*$B$5),(PI()*AE$12^2)/4*(AA267*$W267*1000)/($G267*$B$5)),
IF($D267="Pénétro.",
IF($E267=4,(PI()*AE$12^2)/4*(AA267*$W267*1000)/($H267*$B$5),(PI()*AE$12^2)/4*(AA267*$W267*1000)/($G267*$B$5))))))/10</f>
        <v>#N/A</v>
      </c>
      <c r="AF267" s="102" t="e">
        <f>(VLOOKUP($B$3,'Coeff EC7'!$T$39:$X$59,2,0)*AD267+VLOOKUP($B$3,'Coeff EC7'!$T$65:$X$85,2,0)*Model0.1C!AE267)/1.1</f>
        <v>#N/A</v>
      </c>
      <c r="AG267" s="102" t="e">
        <f>(VLOOKUP($B$3,'Coeff EC7'!$T$39:$X$59,3,0)*AD267+VLOOKUP($B$3,'Coeff EC7'!$T$65:$X$85,3,0)*Model0.1C!AE267)/0.9</f>
        <v>#N/A</v>
      </c>
      <c r="AH267" s="102" t="e">
        <f t="shared" si="339"/>
        <v>#N/A</v>
      </c>
      <c r="AI267" s="102" t="e">
        <f t="shared" si="340"/>
        <v>#N/A</v>
      </c>
      <c r="AJ267" s="414" t="e">
        <f>IF(AJ266=0,0,IF(AND(AF267&gt;charge_ELS_quasi,AG267&gt;Charge_ELS_freq,AH267&gt;charge_ELU,AI267&gt;charge_ELA,$B267&gt;NDC!$H$22-0.1+MIN(3*$AJ$12,1.5)),0,1))</f>
        <v>#N/A</v>
      </c>
      <c r="AK267" s="86" t="b">
        <f t="shared" si="341"/>
        <v>0</v>
      </c>
      <c r="AL267" s="86">
        <f t="shared" si="370"/>
        <v>0.5</v>
      </c>
      <c r="AM267" s="86">
        <f t="shared" si="342"/>
        <v>0.5</v>
      </c>
      <c r="AN267" s="30" t="e">
        <f t="shared" ca="1" si="371"/>
        <v>#DIV/0!</v>
      </c>
      <c r="AO267" s="85" t="e">
        <f ca="1">IF(U267&lt;=Hypothèses!$V$7,Hypothèses!$W$7,IF(U267&lt;=Hypothèses!$V$8,Hypothèses!$W$8,IF(U267&lt;=Hypothèses!$V$9,Hypothèses!$W$9,IF(U267&lt;=Hypothèses!$V$10,Hypothèses!$W$10,IF(U267&lt;=Hypothèses!$V$11,Hypothèses!$W$11,IF(U267&lt;=Hypothèses!$V$12,Hypothèses!$W$12,IF(U267&lt;=Hypothèses!$V$13,Hypothèses!$W$13,IF(U267&lt;=Hypothèses!$V$14,Hypothèses!$W$14,IF(U267&lt;=Hypothèses!$V$15,Hypothèses!$W$15,IF(U267&lt;=Hypothèses!$V$16,Hypothèses!$W$16,IF(U267&lt;=Hypothèses!$V$17,Hypothèses!$W$17,IF(U267&lt;=Hypothèses!$V$18,Hypothèses!$W$18,""))))))))))))</f>
        <v>#DIV/0!</v>
      </c>
      <c r="AP267" s="87" t="e">
        <f t="shared" ca="1" si="417"/>
        <v>#DIV/0!</v>
      </c>
      <c r="AQ267" s="88" t="e">
        <f ca="1">IF(U267&lt;=Hypothèses!$V$7,Hypothèses!$X$7,IF(U267&lt;=Hypothèses!$V$8,Hypothèses!$X$8,IF(U267&lt;=Hypothèses!$V$9,Hypothèses!$X$9,IF(U267&lt;=Hypothèses!$V$10,Hypothèses!$X$10,IF(U267&lt;=Hypothèses!$V$11,Hypothèses!$X$11,IF(U267&lt;=Hypothèses!$V$12,Hypothèses!$X$12,IF(U267&lt;=Hypothèses!$V$13,Hypothèses!$X$13,IF(U267&lt;=Hypothèses!$V$14,Hypothèses!$X$14,IF(U267&lt;=Hypothèses!$V$15,Hypothèses!$X$15,IF(U267&lt;=Hypothèses!$V$16,Hypothèses!$X$16,IF(U267&lt;=Hypothèses!$U$17,Hypothèses!$W$17,IF(U267&lt;=Hypothèses!$U$18,Hypothèses!$W$18,""))))))))))))</f>
        <v>#DIV/0!</v>
      </c>
      <c r="AR267" s="95" t="e">
        <f t="shared" ca="1" si="372"/>
        <v>#DIV/0!</v>
      </c>
      <c r="AS267" s="101" t="e">
        <f t="shared" si="424"/>
        <v>#N/A</v>
      </c>
      <c r="AT267" s="91" t="e">
        <f t="shared" si="343"/>
        <v>#N/A</v>
      </c>
      <c r="AU267" s="30" t="e">
        <f t="shared" si="402"/>
        <v>#N/A</v>
      </c>
      <c r="AV267" s="30" t="e">
        <f t="shared" si="403"/>
        <v>#N/A</v>
      </c>
      <c r="AW267" s="31" t="e">
        <f>IF(OR(Hypothèses!$B$4=17,Hypothèses!$B$4=18,Hypothèses!$B$4=19,Hypothèses!$B$4=20),
IF($D267="Pressio.",
IF(OR($E267=3,$E267=1,$E267=4),AV267,AU267),
IF($D267="Pénétro.",
IF(OR($E267=3,$E267=1,$E267=4),AV267,AU267))),IF($D267="Pressio.",
IF($E267=3,AV267,AU267),
IF($D267="Pénétro.",
IF($E267=4,AV267,AU267))))</f>
        <v>#N/A</v>
      </c>
      <c r="AX267" s="31" t="e">
        <f>(IF(OR(Hypothèses!$B$4=17,Hypothèses!$B$4=18,Hypothèses!$B$4=19,Hypothèses!$B$4=20),
IF($D267="Pressio.",
IF(OR($E267=3,$E267=1,$E267=4),(PI()*AX$12^2)/4*(AT267*$W267*1000)/($H267*$B$5),(PI()*AX$12^2)/4*(AT267*$W267*1000)/($G267*$B$5)),
IF($D267="Pénétro.",
IF(OR($E267=4,$E267=1,$E267=5),(PI()*AX$12^2)/4*(AT267*$W267*1000)/($H267*$B$5),(PI()*AX$12^2)/4*(AT267*$W267*1000)/($G267*$B$5)))),
IF($D267="Pressio.",
IF($E267=3,(PI()*AX$12^2)/4*(AT267*$W267*1000)/($H267*$B$5),(PI()*AX$12^2)/4*(AT267*$W267*1000)/($G267*$B$5)),
IF($D267="Pénétro.",
IF($E267=4,(PI()*AX$12^2)/4*(AT267*$W267*1000)/($H267*$B$5),(PI()*AX$12^2)/4*(AT267*$W267*1000)/($G267*$B$5))))))/10</f>
        <v>#N/A</v>
      </c>
      <c r="AY267" s="102" t="e">
        <f>(VLOOKUP($B$3,'Coeff EC7'!$T$39:$X$59,2,0)*AW267+VLOOKUP($B$3,'Coeff EC7'!$T$65:$X$85,2,0)*Model0.1C!AX267)/1.1</f>
        <v>#N/A</v>
      </c>
      <c r="AZ267" s="102" t="e">
        <f>(VLOOKUP($B$3,'Coeff EC7'!$T$39:$X$59,3,0)*AW267+VLOOKUP($B$3,'Coeff EC7'!$T$65:$X$85,3,0)*Model0.1C!AX267)/0.9</f>
        <v>#N/A</v>
      </c>
      <c r="BA267" s="102" t="e">
        <f t="shared" si="373"/>
        <v>#N/A</v>
      </c>
      <c r="BB267" s="102" t="e">
        <f t="shared" si="374"/>
        <v>#N/A</v>
      </c>
      <c r="BC267" s="414" t="e">
        <f>IF(BC266=0,0,IF(AND(AY267&gt;charge_ELS_quasi,AZ267&gt;Charge_ELS_freq,BA267&gt;charge_ELU,BB267&gt;charge_ELA,$B267&gt;NDC!$H$22-0.1+MIN(3*$BC$12,1.5)),0,1))</f>
        <v>#N/A</v>
      </c>
      <c r="BD267" s="86" t="b">
        <f t="shared" si="344"/>
        <v>0</v>
      </c>
      <c r="BE267" s="86">
        <f t="shared" si="375"/>
        <v>0.5</v>
      </c>
      <c r="BF267" s="86">
        <f t="shared" si="345"/>
        <v>0.5</v>
      </c>
      <c r="BG267" s="30" t="e">
        <f t="shared" ca="1" si="376"/>
        <v>#DIV/0!</v>
      </c>
      <c r="BH267" s="85" t="e">
        <f ca="1">IF(AN267&lt;=Hypothèses!$V$7,Hypothèses!$W$7,IF(AN267&lt;=Hypothèses!$V$8,Hypothèses!$W$8,IF(AN267&lt;=Hypothèses!$V$9,Hypothèses!$W$9,IF(AN267&lt;=Hypothèses!$V$10,Hypothèses!$W$10,IF(AN267&lt;=Hypothèses!$V$11,Hypothèses!$W$11,IF(AN267&lt;=Hypothèses!$V$12,Hypothèses!$W$12,IF(AN267&lt;=Hypothèses!$V$13,Hypothèses!$W$13,IF(AN267&lt;=Hypothèses!$V$14,Hypothèses!$W$14,IF(AN267&lt;=Hypothèses!$V$15,Hypothèses!$W$15,IF(AN267&lt;=Hypothèses!$V$16,Hypothèses!$W$16,IF(AN267&lt;=Hypothèses!$V$17,Hypothèses!$W$17,IF(AN267&lt;=Hypothèses!$V$18,Hypothèses!$W$18,""))))))))))))</f>
        <v>#DIV/0!</v>
      </c>
      <c r="BI267" s="87" t="e">
        <f t="shared" ca="1" si="418"/>
        <v>#DIV/0!</v>
      </c>
      <c r="BJ267" s="88" t="e">
        <f ca="1">IF(AN267&lt;=Hypothèses!$V$7,Hypothèses!$X$7,IF(AN267&lt;=Hypothèses!$V$8,Hypothèses!$X$8,IF(AN267&lt;=Hypothèses!$V$9,Hypothèses!$X$9,IF(AN267&lt;=Hypothèses!$V$10,Hypothèses!$X$10,IF(AN267&lt;=Hypothèses!$V$11,Hypothèses!$X$11,IF(AN267&lt;=Hypothèses!$V$12,Hypothèses!$X$12,IF(AN267&lt;=Hypothèses!$V$13,Hypothèses!$X$13,IF(AN267&lt;=Hypothèses!$V$14,Hypothèses!$X$14,IF(AN267&lt;=Hypothèses!$V$15,Hypothèses!$X$15,IF(AN267&lt;=Hypothèses!$V$16,Hypothèses!$X$16,IF(AN267&lt;=Hypothèses!$U$17,Hypothèses!$W$17,IF(AN267&lt;=Hypothèses!$U$18,Hypothèses!$W$18,""))))))))))))</f>
        <v>#DIV/0!</v>
      </c>
      <c r="BK267" s="95" t="e">
        <f t="shared" ca="1" si="377"/>
        <v>#DIV/0!</v>
      </c>
      <c r="BL267" s="101" t="e">
        <f t="shared" si="425"/>
        <v>#N/A</v>
      </c>
      <c r="BM267" s="91" t="e">
        <f t="shared" si="346"/>
        <v>#N/A</v>
      </c>
      <c r="BN267" s="30" t="e">
        <f t="shared" si="404"/>
        <v>#N/A</v>
      </c>
      <c r="BO267" s="30" t="e">
        <f t="shared" si="405"/>
        <v>#N/A</v>
      </c>
      <c r="BP267" s="31" t="e">
        <f>IF(OR(Hypothèses!$B$4=17,Hypothèses!$B$4=18,Hypothèses!$B$4=19,Hypothèses!$B$4=20),
IF($D267="Pressio.",
IF(OR($E267=3,$E267=1,$E267=4),BO267,BN267),
IF($D267="Pénétro.",
IF(OR($E267=3,$E267=1,$E267=4),BO267,BN267))),IF($D267="Pressio.",
IF($E267=3,BO267,BN267),
IF($D267="Pénétro.",
IF($E267=4,BO267,BN267))))</f>
        <v>#N/A</v>
      </c>
      <c r="BQ267" s="31" t="e">
        <f>(IF(OR(Hypothèses!$B$4=17,Hypothèses!$B$4=18,Hypothèses!$B$4=19,Hypothèses!$B$4=20),
IF($D267="Pressio.",
IF(OR($E267=3,$E267=1,$E267=4),(PI()*BQ$12^2)/4*(BM267*$W267*1000)/($H267*$B$5),(PI()*BQ$12^2)/4*(BM267*$W267*1000)/($G267*$B$5)),
IF($D267="Pénétro.",
IF(OR($E267=4,$E267=1,$E267=5),(PI()*BQ$12^2)/4*(BM267*$W267*1000)/($H267*$B$5),(PI()*BQ$12^2)/4*(BM267*$W267*1000)/($G267*$B$5)))),
IF($D267="Pressio.",
IF($E267=3,(PI()*BQ$12^2)/4*(BM267*$W267*1000)/($H267*$B$5),(PI()*BQ$12^2)/4*(BM267*$W267*1000)/($G267*$B$5)),
IF($D267="Pénétro.",
IF($E267=4,(PI()*BQ$12^2)/4*(BM267*$W267*1000)/($H267*$B$5),(PI()*BQ$12^2)/4*(BM267*$W267*1000)/($G267*$B$5))))))/10</f>
        <v>#N/A</v>
      </c>
      <c r="BR267" s="102" t="e">
        <f>(VLOOKUP($B$3,'Coeff EC7'!$T$39:$X$59,2,0)*BP267+VLOOKUP($B$3,'Coeff EC7'!$T$65:$X$85,2,0)*Model0.1C!BQ267)/1.1</f>
        <v>#N/A</v>
      </c>
      <c r="BS267" s="102" t="e">
        <f>(VLOOKUP($B$3,'Coeff EC7'!$T$39:$X$59,3,0)*BP267+VLOOKUP($B$3,'Coeff EC7'!$T$65:$X$85,3,0)*Model0.1C!BQ267)/0.9</f>
        <v>#N/A</v>
      </c>
      <c r="BT267" s="102" t="e">
        <f t="shared" si="378"/>
        <v>#N/A</v>
      </c>
      <c r="BU267" s="102" t="e">
        <f t="shared" si="379"/>
        <v>#N/A</v>
      </c>
      <c r="BV267" s="414" t="e">
        <f>IF(BV266=0,0,IF(AND(BR267&gt;charge_ELS_quasi,BS267&gt;Charge_ELS_freq,BT267&gt;charge_ELU,BU267&gt;charge_ELA,$B267&gt;NDC!$H$22-0.1+MIN(3*$BV$12,1.5)),0,1))</f>
        <v>#N/A</v>
      </c>
      <c r="BW267" s="86" t="b">
        <f t="shared" si="347"/>
        <v>0</v>
      </c>
      <c r="BX267" s="86">
        <f t="shared" si="348"/>
        <v>0.5</v>
      </c>
      <c r="BY267" s="86">
        <f t="shared" si="349"/>
        <v>0.5</v>
      </c>
      <c r="BZ267" s="30" t="e">
        <f t="shared" ca="1" si="380"/>
        <v>#DIV/0!</v>
      </c>
      <c r="CA267" s="85" t="e">
        <f ca="1">IF(BG267&lt;=Hypothèses!$V$7,Hypothèses!$W$7,IF(BG267&lt;=Hypothèses!$V$8,Hypothèses!$W$8,IF(BG267&lt;=Hypothèses!$V$9,Hypothèses!$W$9,IF(BG267&lt;=Hypothèses!$V$10,Hypothèses!$W$10,IF(BG267&lt;=Hypothèses!$V$11,Hypothèses!$W$11,IF(BG267&lt;=Hypothèses!$V$12,Hypothèses!$W$12,IF(BG267&lt;=Hypothèses!$V$13,Hypothèses!$W$13,IF(BG267&lt;=Hypothèses!$V$14,Hypothèses!$W$14,IF(BG267&lt;=Hypothèses!$V$15,Hypothèses!$W$15,IF(BG267&lt;=Hypothèses!$V$16,Hypothèses!$W$16,IF(BG267&lt;=Hypothèses!$V$17,Hypothèses!$W$17,IF(BG267&lt;=Hypothèses!$V$18,Hypothèses!$W$18,""))))))))))))</f>
        <v>#DIV/0!</v>
      </c>
      <c r="CB267" s="87" t="e">
        <f t="shared" ca="1" si="419"/>
        <v>#DIV/0!</v>
      </c>
      <c r="CC267" s="88" t="e">
        <f ca="1">IF(BG267&lt;=Hypothèses!$V$7,Hypothèses!$X$7,IF(BG267&lt;=Hypothèses!$V$8,Hypothèses!$X$8,IF(BG267&lt;=Hypothèses!$V$9,Hypothèses!$X$9,IF(BG267&lt;=Hypothèses!$V$10,Hypothèses!$X$10,IF(BG267&lt;=Hypothèses!$V$11,Hypothèses!$X$11,IF(BG267&lt;=Hypothèses!$V$12,Hypothèses!$X$12,IF(BG267&lt;=Hypothèses!$V$13,Hypothèses!$X$13,IF(BG267&lt;=Hypothèses!$V$14,Hypothèses!$X$14,IF(BG267&lt;=Hypothèses!$V$15,Hypothèses!$X$15,IF(BG267&lt;=Hypothèses!$V$16,Hypothèses!$X$16,IF(BG267&lt;=Hypothèses!$U$17,Hypothèses!$W$17,IF(BG267&lt;=Hypothèses!$U$18,Hypothèses!$W$18,""))))))))))))</f>
        <v>#DIV/0!</v>
      </c>
      <c r="CD267" s="95" t="e">
        <f t="shared" ca="1" si="381"/>
        <v>#DIV/0!</v>
      </c>
      <c r="CE267" s="101" t="e">
        <f t="shared" si="426"/>
        <v>#N/A</v>
      </c>
      <c r="CF267" s="91" t="e">
        <f t="shared" si="350"/>
        <v>#N/A</v>
      </c>
      <c r="CG267" s="30" t="e">
        <f t="shared" si="406"/>
        <v>#N/A</v>
      </c>
      <c r="CH267" s="30" t="e">
        <f t="shared" si="407"/>
        <v>#N/A</v>
      </c>
      <c r="CI267" s="31" t="e">
        <f>IF(OR(Hypothèses!$B$4=17,Hypothèses!$B$4=18,Hypothèses!$B$4=19,Hypothèses!$B$4=20),
IF($D267="Pressio.",
IF(OR($E267=3,$E267=1,$E267=4),CH267,CG267),
IF($D267="Pénétro.",
IF(OR($E267=3,$E267=1,$E267=4),CH267,CG267))),IF($D267="Pressio.",
IF($E267=3,CH267,CG267),
IF($D267="Pénétro.",
IF($E267=4,CH267,CG267))))</f>
        <v>#N/A</v>
      </c>
      <c r="CJ267" s="31" t="e">
        <f>(IF(OR(Hypothèses!$B$4=17,Hypothèses!$B$4=18,Hypothèses!$B$4=19,Hypothèses!$B$4=20),
IF($D267="Pressio.",
IF(OR($E267=3,$E267=1,$E267=4),(PI()*CJ$12^2)/4*(CF267*$W267*1000)/($H267*$B$5),(PI()*CJ$12^2)/4*(CF267*$W267*1000)/($G267*$B$5)),
IF($D267="Pénétro.",
IF(OR($E267=4,$E267=1,$E267=5),(PI()*CJ$12^2)/4*(CF267*$W267*1000)/($H267*$B$5),(PI()*CJ$12^2)/4*(CF267*$W267*1000)/($G267*$B$5)))),
IF($D267="Pressio.",
IF($E267=3,(PI()*CJ$12^2)/4*(CF267*$W267*1000)/($H267*$B$5),(PI()*CJ$12^2)/4*(CF267*$W267*1000)/($G267*$B$5)),
IF($D267="Pénétro.",
IF($E267=4,(PI()*CJ$12^2)/4*(CF267*$W267*1000)/($H267*$B$5),(PI()*CJ$12^2)/4*(CF267*$W267*1000)/($G267*$B$5))))))/10</f>
        <v>#N/A</v>
      </c>
      <c r="CK267" s="102" t="e">
        <f>(VLOOKUP($B$3,'Coeff EC7'!$T$39:$X$59,2,0)*CI267+VLOOKUP($B$3,'Coeff EC7'!$T$65:$X$85,2,0)*Model0.1C!CJ267)/1.1</f>
        <v>#N/A</v>
      </c>
      <c r="CL267" s="102" t="e">
        <f>(VLOOKUP($B$3,'Coeff EC7'!$T$39:$X$59,3,0)*CI267+VLOOKUP($B$3,'Coeff EC7'!$T$65:$X$85,3,0)*Model0.1C!CJ267)/0.9</f>
        <v>#N/A</v>
      </c>
      <c r="CM267" s="102" t="e">
        <f t="shared" si="382"/>
        <v>#N/A</v>
      </c>
      <c r="CN267" s="102" t="e">
        <f t="shared" si="383"/>
        <v>#N/A</v>
      </c>
      <c r="CO267" s="414" t="e">
        <f>IF(CO266=0,0,IF(AND(CK267&gt;charge_ELS_quasi,CL267&gt;Charge_ELS_freq,CM267&gt;charge_ELU,CN267&gt;charge_ELA,$B267&gt;NDC!$H$22-0.1+MIN(3*$CO$12,1.5)),0,1))</f>
        <v>#N/A</v>
      </c>
      <c r="CP267" s="86" t="b">
        <f t="shared" si="351"/>
        <v>0</v>
      </c>
      <c r="CQ267" s="86">
        <f t="shared" si="352"/>
        <v>0.5</v>
      </c>
      <c r="CR267" s="86">
        <f t="shared" si="353"/>
        <v>0.5</v>
      </c>
      <c r="CS267" s="30" t="e">
        <f t="shared" ca="1" si="384"/>
        <v>#DIV/0!</v>
      </c>
      <c r="CT267" s="85" t="e">
        <f ca="1">IF(BZ267&lt;=Hypothèses!$V$7,Hypothèses!$W$7,IF(BZ267&lt;=Hypothèses!$V$8,Hypothèses!$W$8,IF(BZ267&lt;=Hypothèses!$V$9,Hypothèses!$W$9,IF(BZ267&lt;=Hypothèses!$V$10,Hypothèses!$W$10,IF(BZ267&lt;=Hypothèses!$V$11,Hypothèses!$W$11,IF(BZ267&lt;=Hypothèses!$V$12,Hypothèses!$W$12,IF(BZ267&lt;=Hypothèses!$V$13,Hypothèses!$W$13,IF(BZ267&lt;=Hypothèses!$V$14,Hypothèses!$W$14,IF(BZ267&lt;=Hypothèses!$V$15,Hypothèses!$W$15,IF(BZ267&lt;=Hypothèses!$V$16,Hypothèses!$W$16,IF(BZ267&lt;=Hypothèses!$V$17,Hypothèses!$W$17,IF(BZ267&lt;=Hypothèses!$V$18,Hypothèses!$W$18,""))))))))))))</f>
        <v>#DIV/0!</v>
      </c>
      <c r="CU267" s="87" t="e">
        <f t="shared" ca="1" si="420"/>
        <v>#DIV/0!</v>
      </c>
      <c r="CV267" s="88" t="e">
        <f ca="1">IF(BZ267&lt;=Hypothèses!$V$7,Hypothèses!$X$7,IF(BZ267&lt;=Hypothèses!$V$8,Hypothèses!$X$8,IF(BZ267&lt;=Hypothèses!$V$9,Hypothèses!$X$9,IF(BZ267&lt;=Hypothèses!$V$10,Hypothèses!$X$10,IF(BZ267&lt;=Hypothèses!$V$11,Hypothèses!$X$11,IF(BZ267&lt;=Hypothèses!$V$12,Hypothèses!$X$12,IF(BZ267&lt;=Hypothèses!$V$13,Hypothèses!$X$13,IF(BZ267&lt;=Hypothèses!$V$14,Hypothèses!$X$14,IF(BZ267&lt;=Hypothèses!$V$15,Hypothèses!$X$15,IF(BZ267&lt;=Hypothèses!$V$16,Hypothèses!$X$16,IF(BZ267&lt;=Hypothèses!$U$17,Hypothèses!$W$17,IF(BZ267&lt;=Hypothèses!$U$18,Hypothèses!$W$18,""))))))))))))</f>
        <v>#DIV/0!</v>
      </c>
      <c r="CW267" s="95" t="e">
        <f t="shared" ca="1" si="385"/>
        <v>#DIV/0!</v>
      </c>
      <c r="CX267" s="101" t="e">
        <f t="shared" si="427"/>
        <v>#N/A</v>
      </c>
      <c r="CY267" s="91" t="e">
        <f t="shared" si="354"/>
        <v>#N/A</v>
      </c>
      <c r="CZ267" s="30" t="e">
        <f t="shared" si="408"/>
        <v>#N/A</v>
      </c>
      <c r="DA267" s="30" t="e">
        <f t="shared" si="409"/>
        <v>#N/A</v>
      </c>
      <c r="DB267" s="31" t="e">
        <f>IF(OR(Hypothèses!$B$4=17,Hypothèses!$B$4=18,Hypothèses!$B$4=19,Hypothèses!$B$4=20),
IF($D267="Pressio.",
IF(OR($E267=3,$E267=1,$E267=4),DA267,CZ267),
IF($D267="Pénétro.",
IF(OR($E267=3,$E267=1,$E267=4),DA267,CZ267))),IF($D267="Pressio.",
IF($E267=3,DA267,CZ267),
IF($D267="Pénétro.",
IF($E267=4,DA267,CZ267))))</f>
        <v>#N/A</v>
      </c>
      <c r="DC267" s="31" t="e">
        <f>(IF(OR(Hypothèses!$B$4=17,Hypothèses!$B$4=18,Hypothèses!$B$4=19,Hypothèses!$B$4=20),
IF($D267="Pressio.",
IF(OR($E267=3,$E267=1,$E267=4),(PI()*DC$12^2)/4*(CY267*$W267*1000)/($H267*$B$5),(PI()*DC$12^2)/4*(CY267*$W267*1000)/($G267*$B$5)),
IF($D267="Pénétro.",
IF(OR($E267=4,$E267=1,$E267=5),(PI()*DC$12^2)/4*(CY267*$W267*1000)/($H267*$B$5),(PI()*DC$12^2)/4*(CY267*$W267*1000)/($G267*$B$5)))),
IF($D267="Pressio.",
IF($E267=3,(PI()*DC$12^2)/4*(CY267*$W267*1000)/($H267*$B$5),(PI()*DC$12^2)/4*(CY267*$W267*1000)/($G267*$B$5)),
IF($D267="Pénétro.",
IF($E267=4,(PI()*DC$12^2)/4*(CY267*$W267*1000)/($H267*$B$5),(PI()*DC$12^2)/4*(CY267*$W267*1000)/($G267*$B$5))))))/10</f>
        <v>#N/A</v>
      </c>
      <c r="DD267" s="102" t="e">
        <f>(VLOOKUP($B$3,'Coeff EC7'!$T$39:$X$59,2,0)*DB267+VLOOKUP($B$3,'Coeff EC7'!$T$65:$X$85,2,0)*Model0.1C!DC267)/1.1</f>
        <v>#N/A</v>
      </c>
      <c r="DE267" s="102" t="e">
        <f>(VLOOKUP($B$3,'Coeff EC7'!$T$39:$X$59,3,0)*DB267+VLOOKUP($B$3,'Coeff EC7'!$T$65:$X$85,3,0)*Model0.1C!DC267)/0.9</f>
        <v>#N/A</v>
      </c>
      <c r="DF267" s="102" t="e">
        <f t="shared" si="386"/>
        <v>#N/A</v>
      </c>
      <c r="DG267" s="102" t="e">
        <f t="shared" si="387"/>
        <v>#N/A</v>
      </c>
      <c r="DH267" s="414" t="e">
        <f>IF(DH266=0,0,IF(AND(DD267&gt;charge_ELS_quasi,DE267&gt;Charge_ELS_freq,DF267&gt;charge_ELU,DG267&gt;charge_ELA,$B267&gt;NDC!$H$22-0.1+MIN(3*$DH$12,1.5)),0,1))</f>
        <v>#N/A</v>
      </c>
      <c r="DI267" s="86" t="b">
        <f t="shared" si="355"/>
        <v>0</v>
      </c>
      <c r="DJ267" s="86">
        <f t="shared" si="356"/>
        <v>0.5</v>
      </c>
      <c r="DK267" s="86">
        <f t="shared" si="357"/>
        <v>0.5</v>
      </c>
      <c r="DL267" s="30" t="e">
        <f t="shared" ca="1" si="388"/>
        <v>#DIV/0!</v>
      </c>
      <c r="DM267" s="85" t="e">
        <f ca="1">IF(CS267&lt;=Hypothèses!$V$7,Hypothèses!$W$7,IF(CS267&lt;=Hypothèses!$V$8,Hypothèses!$W$8,IF(CS267&lt;=Hypothèses!$V$9,Hypothèses!$W$9,IF(CS267&lt;=Hypothèses!$V$10,Hypothèses!$W$10,IF(CS267&lt;=Hypothèses!$V$11,Hypothèses!$W$11,IF(CS267&lt;=Hypothèses!$V$12,Hypothèses!$W$12,IF(CS267&lt;=Hypothèses!$V$13,Hypothèses!$W$13,IF(CS267&lt;=Hypothèses!$V$14,Hypothèses!$W$14,IF(CS267&lt;=Hypothèses!$V$15,Hypothèses!$W$15,IF(CS267&lt;=Hypothèses!$V$16,Hypothèses!$W$16,IF(CS267&lt;=Hypothèses!$V$17,Hypothèses!$W$17,IF(CS267&lt;=Hypothèses!$V$18,Hypothèses!$W$18,""))))))))))))</f>
        <v>#DIV/0!</v>
      </c>
      <c r="DN267" s="87" t="e">
        <f t="shared" ca="1" si="421"/>
        <v>#DIV/0!</v>
      </c>
      <c r="DO267" s="88" t="e">
        <f ca="1">IF(CS267&lt;=Hypothèses!$V$7,Hypothèses!$X$7,IF(CS267&lt;=Hypothèses!$V$8,Hypothèses!$X$8,IF(CS267&lt;=Hypothèses!$V$9,Hypothèses!$X$9,IF(CS267&lt;=Hypothèses!$V$10,Hypothèses!$X$10,IF(CS267&lt;=Hypothèses!$V$11,Hypothèses!$X$11,IF(CS267&lt;=Hypothèses!$V$12,Hypothèses!$X$12,IF(CS267&lt;=Hypothèses!$V$13,Hypothèses!$X$13,IF(CS267&lt;=Hypothèses!$V$14,Hypothèses!$X$14,IF(CS267&lt;=Hypothèses!$V$15,Hypothèses!$X$15,IF(CS267&lt;=Hypothèses!$V$16,Hypothèses!$X$16,IF(CS267&lt;=Hypothèses!$U$17,Hypothèses!$W$17,IF(CS267&lt;=Hypothèses!$U$18,Hypothèses!$W$18,""))))))))))))</f>
        <v>#DIV/0!</v>
      </c>
      <c r="DP267" s="95" t="e">
        <f t="shared" ca="1" si="389"/>
        <v>#DIV/0!</v>
      </c>
      <c r="DQ267" s="101" t="e">
        <f t="shared" si="428"/>
        <v>#N/A</v>
      </c>
      <c r="DR267" s="91" t="e">
        <f t="shared" si="358"/>
        <v>#N/A</v>
      </c>
      <c r="DS267" s="30" t="e">
        <f t="shared" si="410"/>
        <v>#N/A</v>
      </c>
      <c r="DT267" s="30" t="e">
        <f t="shared" si="411"/>
        <v>#N/A</v>
      </c>
      <c r="DU267" s="31" t="e">
        <f>IF(OR(Hypothèses!$B$4=17,Hypothèses!$B$4=18,Hypothèses!$B$4=19,Hypothèses!$B$4=20),
IF($D267="Pressio.",
IF(OR($E267=3,$E267=1,$E267=4),DT267,DS267),
IF($D267="Pénétro.",
IF(OR($E267=3,$E267=1,$E267=4),DT267,DS267))),IF($D267="Pressio.",
IF($E267=3,DT267,DS267),
IF($D267="Pénétro.",
IF($E267=4,DT267,DS267))))</f>
        <v>#N/A</v>
      </c>
      <c r="DV267" s="31" t="e">
        <f>(IF(OR(Hypothèses!$B$4=17,Hypothèses!$B$4=18,Hypothèses!$B$4=19,Hypothèses!$B$4=20),
IF($D267="Pressio.",
IF(OR($E267=3,$E267=1,$E267=4),(PI()*DV$12^2)/4*(DR267*$W267*1000)/($H267*$B$5),(PI()*DV$12^2)/4*(DR267*$W267*1000)/($G267*$B$5)),
IF($D267="Pénétro.",
IF(OR($E267=4,$E267=1,$E267=5),(PI()*DV$12^2)/4*(DR267*$W267*1000)/($H267*$B$5),(PI()*DV$12^2)/4*(DR267*$W267*1000)/($G267*$B$5)))),
IF($D267="Pressio.",
IF($E267=3,(PI()*DV$12^2)/4*(DR267*$W267*1000)/($H267*$B$5),(PI()*DV$12^2)/4*(DR267*$W267*1000)/($G267*$B$5)),
IF($D267="Pénétro.",
IF($E267=4,(PI()*DV$12^2)/4*(DR267*$W267*1000)/($H267*$B$5),(PI()*DV$12^2)/4*(DR267*$W267*1000)/($G267*$B$5))))))/10</f>
        <v>#N/A</v>
      </c>
      <c r="DW267" s="102" t="e">
        <f>(VLOOKUP($B$3,'Coeff EC7'!$T$39:$X$59,2,0)*DU267+VLOOKUP($B$3,'Coeff EC7'!$T$65:$X$85,2,0)*Model0.1C!DV267)/1.1</f>
        <v>#N/A</v>
      </c>
      <c r="DX267" s="102" t="e">
        <f>(VLOOKUP($B$3,'Coeff EC7'!$T$39:$X$59,3,0)*DU267+VLOOKUP($B$3,'Coeff EC7'!$T$65:$X$85,3,0)*Model0.1C!DV267)/0.9</f>
        <v>#N/A</v>
      </c>
      <c r="DY267" s="102" t="e">
        <f t="shared" si="390"/>
        <v>#N/A</v>
      </c>
      <c r="DZ267" s="102" t="e">
        <f t="shared" si="391"/>
        <v>#N/A</v>
      </c>
      <c r="EA267" s="414" t="e">
        <f>IF(EA266=0,0,IF(AND(DW267&gt;charge_ELS_quasi,DX267&gt;Charge_ELS_freq,DY267&gt;charge_ELU,DZ267&gt;charge_ELA,$B267&gt;NDC!$H$22-0.1+MIN(3*$EA$12,1.5)),0,1))</f>
        <v>#N/A</v>
      </c>
      <c r="EB267" s="86" t="b">
        <f t="shared" si="359"/>
        <v>0</v>
      </c>
      <c r="EC267" s="418">
        <f t="shared" si="360"/>
        <v>0.51</v>
      </c>
      <c r="ED267" s="86">
        <f t="shared" si="361"/>
        <v>0.51</v>
      </c>
      <c r="EE267" s="30" t="e">
        <f t="shared" ca="1" si="392"/>
        <v>#DIV/0!</v>
      </c>
      <c r="EF267" s="85" t="e">
        <f ca="1">IF(DL267&lt;=Hypothèses!$V$7,Hypothèses!$W$7,IF(DL267&lt;=Hypothèses!$V$8,Hypothèses!$W$8,IF(DL267&lt;=Hypothèses!$V$9,Hypothèses!$W$9,IF(DL267&lt;=Hypothèses!$V$10,Hypothèses!$W$10,IF(DL267&lt;=Hypothèses!$V$11,Hypothèses!$W$11,IF(DL267&lt;=Hypothèses!$V$12,Hypothèses!$W$12,IF(DL267&lt;=Hypothèses!$V$13,Hypothèses!$W$13,IF(DL267&lt;=Hypothèses!$V$14,Hypothèses!$W$14,IF(DL267&lt;=Hypothèses!$V$15,Hypothèses!$W$15,IF(DL267&lt;=Hypothèses!$V$16,Hypothèses!$W$16,IF(DL267&lt;=Hypothèses!$V$17,Hypothèses!$W$17,IF(DL267&lt;=Hypothèses!$V$18,Hypothèses!$W$18,""))))))))))))</f>
        <v>#DIV/0!</v>
      </c>
      <c r="EG267" s="87" t="e">
        <f t="shared" ca="1" si="422"/>
        <v>#DIV/0!</v>
      </c>
      <c r="EH267" s="88" t="e">
        <f ca="1">IF(DL267&lt;=Hypothèses!$V$7,Hypothèses!$X$7,IF(DL267&lt;=Hypothèses!$V$8,Hypothèses!$X$8,IF(DL267&lt;=Hypothèses!$V$9,Hypothèses!$X$9,IF(DL267&lt;=Hypothèses!$V$10,Hypothèses!$X$10,IF(DL267&lt;=Hypothèses!$V$11,Hypothèses!$X$11,IF(DL267&lt;=Hypothèses!$V$12,Hypothèses!$X$12,IF(DL267&lt;=Hypothèses!$V$13,Hypothèses!$X$13,IF(DL267&lt;=Hypothèses!$V$14,Hypothèses!$X$14,IF(DL267&lt;=Hypothèses!$V$15,Hypothèses!$X$15,IF(DL267&lt;=Hypothèses!$V$16,Hypothèses!$X$16,IF(DL267&lt;=Hypothèses!$U$17,Hypothèses!$W$17,IF(DL267&lt;=Hypothèses!$U$18,Hypothèses!$W$18,""))))))))))))</f>
        <v>#DIV/0!</v>
      </c>
      <c r="EI267" s="95" t="e">
        <f t="shared" ca="1" si="393"/>
        <v>#DIV/0!</v>
      </c>
      <c r="EJ267" s="101" t="e">
        <f t="shared" si="429"/>
        <v>#N/A</v>
      </c>
      <c r="EK267" s="91" t="e">
        <f t="shared" si="362"/>
        <v>#N/A</v>
      </c>
      <c r="EL267" s="30" t="e">
        <f t="shared" si="412"/>
        <v>#N/A</v>
      </c>
      <c r="EM267" s="30" t="e">
        <f t="shared" si="413"/>
        <v>#N/A</v>
      </c>
      <c r="EN267" s="31" t="e">
        <f>IF(OR(Hypothèses!$B$4=17,Hypothèses!$B$4=18,Hypothèses!$B$4=19,Hypothèses!$B$4=20),
IF($D267="Pressio.",
IF(OR($E267=3,$E267=1,$E267=4),EM267,EL267),
IF($D267="Pénétro.",
IF(OR($E267=3,$E267=1,$E267=4),EM267,EL267))),IF($D267="Pressio.",
IF($E267=3,EM267,EL267),
IF($D267="Pénétro.",
IF($E267=4,EM267,EL267))))</f>
        <v>#N/A</v>
      </c>
      <c r="EO267" s="31" t="e">
        <f>(IF(OR(Hypothèses!$B$4=17,Hypothèses!$B$4=18,Hypothèses!$B$4=19,Hypothèses!$B$4=20),
IF($D267="Pressio.",
IF(OR($E267=3,$E267=1,$E267=4),(PI()*EO$12^2)/4*(EK267*$W267*1000)/($H267*$B$5),(PI()*EO$12^2)/4*(EK267*$W267*1000)/($G267*$B$5)),
IF($D267="Pénétro.",
IF(OR($E267=4,$E267=1,$E267=5),(PI()*EO$12^2)/4*(EK267*$W267*1000)/($H267*$B$5),(PI()*EO$12^2)/4*(EK267*$W267*1000)/($G267*$B$5)))),
IF($D267="Pressio.",
IF($E267=3,(PI()*EO$12^2)/4*(EK267*$W267*1000)/($H267*$B$5),(PI()*EO$12^2)/4*(EK267*$W267*1000)/($G267*$B$5)),
IF($D267="Pénétro.",
IF($E267=4,(PI()*EO$12^2)/4*(EK267*$W267*1000)/($H267*$B$5),(PI()*EO$12^2)/4*(EK267*$W267*1000)/($G267*$B$5))))))/10</f>
        <v>#N/A</v>
      </c>
      <c r="EP267" s="102" t="e">
        <f>(VLOOKUP($B$3,'Coeff EC7'!$T$39:$X$59,2,0)*EN267+VLOOKUP($B$3,'Coeff EC7'!$T$65:$X$85,2,0)*Model0.1C!EO267)/1.1</f>
        <v>#N/A</v>
      </c>
      <c r="EQ267" s="102" t="e">
        <f>(VLOOKUP($B$3,'Coeff EC7'!$T$39:$X$59,3,0)*EN267+VLOOKUP($B$3,'Coeff EC7'!$T$65:$X$85,3,0)*Model0.1C!EO267)/0.9</f>
        <v>#N/A</v>
      </c>
      <c r="ER267" s="102" t="e">
        <f t="shared" si="394"/>
        <v>#N/A</v>
      </c>
      <c r="ES267" s="102" t="e">
        <f t="shared" si="395"/>
        <v>#N/A</v>
      </c>
      <c r="ET267" s="414" t="e">
        <f>IF(ET266=0,0,IF(AND(EP267&gt;charge_ELS_quasi,EQ267&gt;Charge_ELS_freq,ER267&gt;charge_ELU,ES267&gt;charge_ELA,$B267&gt;NDC!$H$22-0.1+MIN(3*$ET$12,1.5)),0,1))</f>
        <v>#N/A</v>
      </c>
      <c r="EU267" s="86" t="b">
        <f t="shared" si="363"/>
        <v>0</v>
      </c>
      <c r="EV267" s="86">
        <f t="shared" si="364"/>
        <v>0.61</v>
      </c>
      <c r="EW267" s="86">
        <f t="shared" si="365"/>
        <v>0.61</v>
      </c>
      <c r="EX267" s="30" t="e">
        <f t="shared" ca="1" si="396"/>
        <v>#DIV/0!</v>
      </c>
      <c r="EY267" s="85" t="e">
        <f ca="1">IF(EE267&lt;=Hypothèses!$V$7,Hypothèses!$W$7,IF(EE267&lt;=Hypothèses!$V$8,Hypothèses!$W$8,IF(EE267&lt;=Hypothèses!$V$9,Hypothèses!$W$9,IF(EE267&lt;=Hypothèses!$V$10,Hypothèses!$W$10,IF(EE267&lt;=Hypothèses!$V$11,Hypothèses!$W$11,IF(EE267&lt;=Hypothèses!$V$12,Hypothèses!$W$12,IF(EE267&lt;=Hypothèses!$V$13,Hypothèses!$W$13,IF(EE267&lt;=Hypothèses!$V$14,Hypothèses!$W$14,IF(EE267&lt;=Hypothèses!$V$15,Hypothèses!$W$15,IF(EE267&lt;=Hypothèses!$V$16,Hypothèses!$W$16,IF(EE267&lt;=Hypothèses!$V$17,Hypothèses!$W$17,IF(EE267&lt;=Hypothèses!$V$18,Hypothèses!$W$18,""))))))))))))</f>
        <v>#DIV/0!</v>
      </c>
      <c r="EZ267" s="87" t="e">
        <f t="shared" ca="1" si="423"/>
        <v>#DIV/0!</v>
      </c>
      <c r="FA267" s="88" t="e">
        <f ca="1">IF(EE267&lt;=Hypothèses!$V$7,Hypothèses!$X$7,IF(EE267&lt;=Hypothèses!$V$8,Hypothèses!$X$8,IF(EE267&lt;=Hypothèses!$V$9,Hypothèses!$X$9,IF(EE267&lt;=Hypothèses!$V$10,Hypothèses!$X$10,IF(EE267&lt;=Hypothèses!$V$11,Hypothèses!$X$11,IF(EE267&lt;=Hypothèses!$V$12,Hypothèses!$X$12,IF(EE267&lt;=Hypothèses!$V$13,Hypothèses!$X$13,IF(EE267&lt;=Hypothèses!$V$14,Hypothèses!$X$14,IF(EE267&lt;=Hypothèses!$V$15,Hypothèses!$X$15,IF(EE267&lt;=Hypothèses!$V$16,Hypothèses!$X$16,IF(EE267&lt;=Hypothèses!$U$17,Hypothèses!$W$17,IF(EE267&lt;=Hypothèses!$U$18,Hypothèses!$W$18,""))))))))))))</f>
        <v>#DIV/0!</v>
      </c>
      <c r="FB267" s="95" t="e">
        <f t="shared" ca="1" si="397"/>
        <v>#DIV/0!</v>
      </c>
      <c r="FC267" s="101" t="e">
        <f t="shared" si="430"/>
        <v>#N/A</v>
      </c>
      <c r="FD267" s="91" t="e">
        <f t="shared" si="366"/>
        <v>#N/A</v>
      </c>
      <c r="FE267" s="30" t="e">
        <f t="shared" si="414"/>
        <v>#N/A</v>
      </c>
      <c r="FF267" s="30" t="e">
        <f t="shared" si="415"/>
        <v>#N/A</v>
      </c>
      <c r="FG267" s="31" t="e">
        <f>IF(OR(Hypothèses!$B$4=17,Hypothèses!$B$4=18,Hypothèses!$B$4=19,Hypothèses!$B$4=20),
IF($D267="Pressio.",
IF(OR($E267=3,$E267=1,$E267=4),FF267,FE267),
IF($D267="Pénétro.",
IF(OR($E267=3,$E267=1,$E267=4),FF267,FE267))),IF($D267="Pressio.",
IF($E267=3,FF267,FE267),
IF($D267="Pénétro.",
IF($E267=4,FF267,FE267))))</f>
        <v>#N/A</v>
      </c>
      <c r="FH267" s="31" t="e">
        <f>(IF(OR(Hypothèses!$B$4=17,Hypothèses!$B$4=18,Hypothèses!$B$4=19,Hypothèses!$B$4=20),
IF($D267="Pressio.",
IF(OR($E267=3,$E267=1,$E267=4),(PI()*FH$12^2)/4*(FD267*$W267*1000)/($H267*$B$5),(PI()*FH$12^2)/4*(FD267*$W267*1000)/($G267*$B$5)),
IF($D267="Pénétro.",
IF(OR($E267=4,$E267=1,$E267=5),(PI()*FH$12^2)/4*(FD267*$W267*1000)/($H267*$B$5),(PI()*FH$12^2)/4*(FD267*$W267*1000)/($G267*$B$5)))),
IF($D267="Pressio.",
IF($E267=3,(PI()*FH$12^2)/4*(FD267*$W267*1000)/($H267*$B$5),(PI()*FH$12^2)/4*(FD267*$W267*1000)/($G267*$B$5)),
IF($D267="Pénétro.",
IF($E267=4,(PI()*FH$12^2)/4*(FD267*$W267*1000)/($H267*$B$5),(PI()*FH$12^2)/4*(FD267*$W267*1000)/($G267*$B$5))))))/10</f>
        <v>#N/A</v>
      </c>
      <c r="FI267" s="102" t="e">
        <f>(VLOOKUP($B$3,'Coeff EC7'!$T$39:$X$59,2,0)*FG267+VLOOKUP($B$3,'Coeff EC7'!$T$65:$X$85,2,0)*Model0.1C!FH267)/1.1</f>
        <v>#N/A</v>
      </c>
      <c r="FJ267" s="102" t="e">
        <f>(VLOOKUP($B$3,'Coeff EC7'!$T$39:$X$59,3,0)*FG267+VLOOKUP($B$3,'Coeff EC7'!$T$65:$X$85,3,0)*Model0.1C!FH267)/0.9</f>
        <v>#N/A</v>
      </c>
      <c r="FK267" s="102" t="e">
        <f t="shared" si="398"/>
        <v>#N/A</v>
      </c>
      <c r="FL267" s="102" t="e">
        <f t="shared" si="399"/>
        <v>#N/A</v>
      </c>
      <c r="FM267" s="414" t="e">
        <f>IF(FM266=0,0,IF(AND(FI267&gt;charge_ELS_quasi,FJ267&gt;Charge_ELS_freq,FK267&gt;charge_ELU,FL267&gt;charge_ELA,$B267&gt;NDC!$H$22-0.1+MIN(3*$FM$12,1.5)),0,1))</f>
        <v>#N/A</v>
      </c>
    </row>
    <row r="268" spans="1:169">
      <c r="A268" s="96">
        <f t="shared" si="367"/>
        <v>74.50000000000145</v>
      </c>
      <c r="B268" s="97">
        <v>25.5</v>
      </c>
      <c r="C268" s="81">
        <f>IF(B268&lt;=Hypothèses!$C$7,Hypothèses!$A$7,IF(B268&lt;=Hypothèses!$C$8,Hypothèses!$A$8,IF(B268&lt;=Hypothèses!$C$9,Hypothèses!$A$9,IF(B268&lt;=Hypothèses!$C$10,Hypothèses!$A$10,IF(B268&lt;=Hypothèses!$C$11,Hypothèses!$A$11,IF(B268&lt;=Hypothèses!$C$12,Hypothèses!$A$12,IF(B268&lt;=Hypothèses!$C$13,Hypothèses!$A$13,IF(B268&lt;=Hypothèses!$C$14,Hypothèses!$A$14,IF(B268&lt;=Hypothèses!$C$15,Hypothèses!$A$15,IF(B268&lt;=Hypothèses!$C$16,Hypothèses!$A$16,IF(B268&lt;=Hypothèses!$C$17,Hypothèses!$A$17,IF(B268&lt;=Hypothèses!$C$18,Hypothèses!$A$18,C267))))))))))))</f>
        <v>11</v>
      </c>
      <c r="D268" s="82" t="str">
        <f>IF(B268&lt;=Hypothèses!$C$7,Hypothèses!$R$7,IF(B268&lt;=Hypothèses!$C$8,Hypothèses!$R$8,IF(B268&lt;=Hypothèses!$C$9,Hypothèses!$R$9,IF(B268&lt;=Hypothèses!$C$10,Hypothèses!$R$10,IF(B268&lt;=Hypothèses!$C$11,Hypothèses!$R$11,IF(B268&lt;=Hypothèses!$C$12,Hypothèses!$R$12,IF(B268&lt;=Hypothèses!$C$13,Hypothèses!$R$13,IF(B268&lt;=Hypothèses!$C$14,Hypothèses!$R$14,IF(B268&lt;=Hypothèses!$C$15,Hypothèses!$R$15,IF(B268&lt;=Hypothèses!$C$16,Hypothèses!$R$16,IF(B268&lt;=Hypothèses!$C$17,Hypothèses!$R$17,IF(B268&lt;=Hypothèses!$C$18,Hypothèses!$R$18,D267))))))))))))</f>
        <v>Pressio.</v>
      </c>
      <c r="E268" s="82" t="e">
        <f>IF(B268&lt;=Hypothèses!$C$7,Hypothèses!$G$7,IF(B268&lt;=Hypothèses!$C$8,Hypothèses!$G$8,IF(B268&lt;=Hypothèses!$C$9,Hypothèses!$G$9,IF(B268&lt;=Hypothèses!$C$10,Hypothèses!$G$10,IF(B268&lt;=Hypothèses!$C$11,Hypothèses!$G$11,IF(B268&lt;=Hypothèses!$C$12,Hypothèses!$G$12,IF(B268&lt;=Hypothèses!$C$13,Hypothèses!$G$13,IF(B268&lt;=Hypothèses!$C$14,Hypothèses!$G$14,IF(B268&lt;=Hypothèses!$C$15,Hypothèses!$G$15,IF(B268&lt;=Hypothèses!$C$16,Hypothèses!$G$16,IF(B268&lt;=Hypothèses!$C$17,Hypothèses!$G$17,IF(B268&lt;=Hypothèses!$C$18,Hypothèses!$G$18,E267))))))))))))</f>
        <v>#N/A</v>
      </c>
      <c r="F268" s="82" t="str">
        <f>IF(B268&lt;=Hypothèses!$C$7,Hypothèses!$F$7,IF(B268&lt;=Hypothèses!$C$8,Hypothèses!$F$8,IF(B268&lt;=Hypothèses!$C$9,Hypothèses!$F$9,IF(B268&lt;=Hypothèses!$C$10,Hypothèses!$F$10,IF(B268&lt;=Hypothèses!$C$11,Hypothèses!$F$11,IF(B268&lt;=Hypothèses!$C$12,Hypothèses!$F$12,IF(B268&lt;=Hypothèses!$C$13,Hypothèses!$F$13,IF(B268&lt;=Hypothèses!$C$14,Hypothèses!$F$14,IF(B268&lt;=Hypothèses!$C$15,Hypothèses!$F$15,IF(B268&lt;=Hypothèses!$C$16,Hypothèses!$F$16,IF(B268&lt;=Hypothèses!$C$17,Hypothèses!$F$17,IF(B268&lt;=Hypothèses!$C$18,Hypothèses!$F$18,F267))))))))))))</f>
        <v/>
      </c>
      <c r="G268" s="91">
        <f t="array" ref="G268">INDEX('Coeff EC7'!$U$7:$X$27,
MATCH(Model0.1C!$B$3,'Coeff EC7'!$T$7:$T$27,0),
MATCH(Model0.1C!$D268&amp;Model0.1C!$B$4,
'Coeff EC7'!$U$6:$X$6&amp;
'Coeff EC7'!$U$5:$X$5,0))</f>
        <v>1.1499999999999999</v>
      </c>
      <c r="H268" s="91">
        <f t="array" ref="H268">INDEX('Coeff EC7'!$Y$7:$AB$27,
MATCH(Model0.1C!$B$3,'Coeff EC7'!$T$7:$T$27,0),
MATCH(Model0.1C!$D268&amp;Model0.1C!$B$4,
'Coeff EC7'!$Y$6:$AB$6&amp;
'Coeff EC7'!$Y$5:$AB$5,0))</f>
        <v>1.4</v>
      </c>
      <c r="I268" s="83" t="e">
        <f>IF(B268&lt;=Hypothèses!$C$7,Hypothèses!$P$7,IF(B268&lt;=Hypothèses!$C$8,Hypothèses!$P$8,IF(B268&lt;=Hypothèses!$C$9,Hypothèses!$P$9,IF(B268&lt;=Hypothèses!$C$10,Hypothèses!$P$10,IF(B268&lt;=Hypothèses!$C$11,Hypothèses!$P$11,IF(B268&lt;=Hypothèses!$C$12,Hypothèses!$P$12,IF(B268&lt;=Hypothèses!$C$13,Hypothèses!$P$13,IF(B268&lt;=Hypothèses!$C$14,Hypothèses!$P$14,IF(B268&lt;=Hypothèses!$C$15,Hypothèses!$P$15,IF(B268&lt;=Hypothèses!$C$16,Hypothèses!$P$16,IF(B268&lt;=Hypothèses!$C$17,Hypothèses!$P$17,IF(B268&lt;=Hypothèses!$C$18,Hypothèses!$P$18,I267))))))))))))</f>
        <v>#N/A</v>
      </c>
      <c r="J268" s="91" t="e">
        <f t="array" ref="J268">INDEX('Coeff EC7'!$D$33:$Q$33,1,MATCH(D268&amp;E268,'Coeff EC7'!$D$31:$Q$31&amp;'Coeff EC7'!$D$32:$Q$32,0))</f>
        <v>#N/A</v>
      </c>
      <c r="K268" s="91" t="e">
        <f t="array" ref="K268">INDEX('Coeff EC7'!$D$34:$Q$34,1,MATCH(D268&amp;E268,'Coeff EC7'!$D$31:$Q$31&amp;'Coeff EC7'!$D$32:$Q$32,0))</f>
        <v>#N/A</v>
      </c>
      <c r="L268" s="91" t="e">
        <f t="array" ref="L268">INDEX('Coeff EC7'!$D$35:$Q$35,1,MATCH(D268&amp;E268,'Coeff EC7'!$D$31:$Q$31&amp;'Coeff EC7'!$D$32:$Q$32,0))</f>
        <v>#N/A</v>
      </c>
      <c r="M268" s="98" t="e">
        <f t="shared" si="331"/>
        <v>#N/A</v>
      </c>
      <c r="N268" s="99" t="e">
        <f t="array" ref="N268">INDEX('Coeff EC7'!$D$7:$Q$27,MATCH($B$3,'Coeff EC7'!$C$7:$C$27,0),MATCH(D268&amp;E268,'Coeff EC7'!$D$5:$Q$5&amp;'Coeff EC7'!$D$6:$Q$6,0))</f>
        <v>#N/A</v>
      </c>
      <c r="O268" s="99" t="e">
        <f t="array" ref="O268">INDEX('Coeff EC7'!$D$41:$Q$61,MATCH($B$3,'Coeff EC7'!$C$41:$C$61,0),MATCH(D268&amp;E268,'Coeff EC7'!$D$39:$Q$39&amp;'Coeff EC7'!$D$40:$Q$40,0))</f>
        <v>#N/A</v>
      </c>
      <c r="P268" s="30" t="e">
        <f t="shared" si="368"/>
        <v>#N/A</v>
      </c>
      <c r="Q268" s="100" t="e">
        <f t="shared" si="333"/>
        <v>#N/A</v>
      </c>
      <c r="R268" s="86" t="b">
        <f t="shared" si="334"/>
        <v>0</v>
      </c>
      <c r="S268" s="86">
        <f t="shared" si="332"/>
        <v>0.5</v>
      </c>
      <c r="T268" s="86">
        <f t="shared" si="335"/>
        <v>0.5</v>
      </c>
      <c r="U268" s="30" t="e">
        <f t="shared" ca="1" si="369"/>
        <v>#DIV/0!</v>
      </c>
      <c r="V268" s="85" t="str">
        <f>IF(B268&lt;=Hypothèses!$V$7,Hypothèses!$W$7,IF(B268&lt;=Hypothèses!$V$8,Hypothèses!$W$8,IF(B268&lt;=Hypothèses!$V$9,Hypothèses!$W$9,IF(B268&lt;=Hypothèses!$V$10,Hypothèses!$W$10,IF(B268&lt;=Hypothèses!$V$11,Hypothèses!$W$11,IF(B268&lt;=Hypothèses!$V$12,Hypothèses!$W$12,IF(B268&lt;=Hypothèses!$V$13,Hypothèses!$W$13,IF(B268&lt;=Hypothèses!$V$14,Hypothèses!$W$14,IF(B268&lt;=Hypothèses!$V$15,Hypothèses!$W$15,IF(B268&lt;=Hypothèses!$V$16,Hypothèses!$W$16,IF(B268&lt;=Hypothèses!$V$17,Hypothèses!$W$17,IF(B268&lt;=Hypothèses!$V$18,Hypothèses!$W$18,""))))))))))))</f>
        <v/>
      </c>
      <c r="W268" s="87" t="e">
        <f t="shared" ca="1" si="416"/>
        <v>#DIV/0!</v>
      </c>
      <c r="X268" s="88" t="str">
        <f>IF(B268&lt;=Hypothèses!$V$7,Hypothèses!$X$7,IF(B268&lt;=Hypothèses!$V$8,Hypothèses!$X$8,IF(B268&lt;=Hypothèses!$V$9,Hypothèses!$X$9,IF(B268&lt;=Hypothèses!$V$10,Hypothèses!$X$10,IF(B268&lt;=Hypothèses!$V$11,Hypothèses!$X$11,IF(B268&lt;=Hypothèses!$V$12,Hypothèses!$X$12,IF(B268&lt;=Hypothèses!$V$13,Hypothèses!$X$13,IF(B268&lt;=Hypothèses!$V$14,Hypothèses!$X$14,IF(B268&lt;=Hypothèses!$V$15,Hypothèses!$X$15,IF(B268&lt;=Hypothèses!$V$16,Hypothèses!$X$16,IF(B268&lt;=Hypothèses!$U$17,Hypothèses!$W$17,IF(B268&lt;=Hypothèses!$U$18,Hypothèses!$W$18,""))))))))))))</f>
        <v/>
      </c>
      <c r="Y268" s="95" t="e">
        <f t="shared" ca="1" si="336"/>
        <v>#DIV/0!</v>
      </c>
      <c r="Z268" s="101" t="e">
        <f t="shared" si="337"/>
        <v>#N/A</v>
      </c>
      <c r="AA268" s="91" t="e">
        <f t="shared" si="338"/>
        <v>#N/A</v>
      </c>
      <c r="AB268" s="30" t="e">
        <f t="shared" si="400"/>
        <v>#N/A</v>
      </c>
      <c r="AC268" s="30" t="e">
        <f t="shared" si="401"/>
        <v>#N/A</v>
      </c>
      <c r="AD268" s="31" t="e">
        <f>IF(OR(Hypothèses!$B$4=17,Hypothèses!$B$4=18,Hypothèses!$B$4=19,Hypothèses!$B$4=20),
IF($D268="Pressio.",
IF(OR($E268=3,$E268=1,$E268=4),AC268,AB268),
IF($D268="Pénétro.",
IF(OR($E268=3,$E268=1,$E268=4),AC268,AB268))),IF($D268="Pressio.",
IF($E268=3,AC268,AB268),
IF($D268="Pénétro.",
IF($E268=4,AC268,AB268))))</f>
        <v>#N/A</v>
      </c>
      <c r="AE268" s="31" t="e">
        <f>(IF(OR(Hypothèses!$B$4=17,Hypothèses!$B$4=18,Hypothèses!$B$4=19,Hypothèses!$B$4=20),
IF($D268="Pressio.",
IF(OR($E268=3,$E268=1,$E268=4),(PI()*AE$12^2)/4*(AA268*$W268*1000)/($H268*$B$5),(PI()*AE$12^2)/4*(AA268*$W268*1000)/($G268*$B$5)),
IF($D268="Pénétro.",
IF(OR($E268=4,$E268=1,$E268=5),(PI()*AE$12^2)/4*(AA268*$W268*1000)/($H268*$B$5),(PI()*AE$12^2)/4*(AA268*$W268*1000)/($G268*$B$5)))),
IF($D268="Pressio.",
IF($E268=3,(PI()*AE$12^2)/4*(AA268*$W268*1000)/($H268*$B$5),(PI()*AE$12^2)/4*(AA268*$W268*1000)/($G268*$B$5)),
IF($D268="Pénétro.",
IF($E268=4,(PI()*AE$12^2)/4*(AA268*$W268*1000)/($H268*$B$5),(PI()*AE$12^2)/4*(AA268*$W268*1000)/($G268*$B$5))))))/10</f>
        <v>#N/A</v>
      </c>
      <c r="AF268" s="102" t="e">
        <f>(VLOOKUP($B$3,'Coeff EC7'!$T$39:$X$59,2,0)*AD268+VLOOKUP($B$3,'Coeff EC7'!$T$65:$X$85,2,0)*Model0.1C!AE268)/1.1</f>
        <v>#N/A</v>
      </c>
      <c r="AG268" s="102" t="e">
        <f>(VLOOKUP($B$3,'Coeff EC7'!$T$39:$X$59,3,0)*AD268+VLOOKUP($B$3,'Coeff EC7'!$T$65:$X$85,3,0)*Model0.1C!AE268)/0.9</f>
        <v>#N/A</v>
      </c>
      <c r="AH268" s="102" t="e">
        <f t="shared" si="339"/>
        <v>#N/A</v>
      </c>
      <c r="AI268" s="102" t="e">
        <f t="shared" si="340"/>
        <v>#N/A</v>
      </c>
      <c r="AJ268" s="414" t="e">
        <f>IF(AJ267=0,0,IF(AND(AF268&gt;charge_ELS_quasi,AG268&gt;Charge_ELS_freq,AH268&gt;charge_ELU,AI268&gt;charge_ELA,$B268&gt;NDC!$H$22-0.1+MIN(3*$AJ$12,1.5)),0,1))</f>
        <v>#N/A</v>
      </c>
      <c r="AK268" s="86" t="b">
        <f t="shared" si="341"/>
        <v>0</v>
      </c>
      <c r="AL268" s="86">
        <f t="shared" si="370"/>
        <v>0.5</v>
      </c>
      <c r="AM268" s="86">
        <f t="shared" si="342"/>
        <v>0.5</v>
      </c>
      <c r="AN268" s="30" t="e">
        <f t="shared" ca="1" si="371"/>
        <v>#DIV/0!</v>
      </c>
      <c r="AO268" s="85" t="e">
        <f ca="1">IF(U268&lt;=Hypothèses!$V$7,Hypothèses!$W$7,IF(U268&lt;=Hypothèses!$V$8,Hypothèses!$W$8,IF(U268&lt;=Hypothèses!$V$9,Hypothèses!$W$9,IF(U268&lt;=Hypothèses!$V$10,Hypothèses!$W$10,IF(U268&lt;=Hypothèses!$V$11,Hypothèses!$W$11,IF(U268&lt;=Hypothèses!$V$12,Hypothèses!$W$12,IF(U268&lt;=Hypothèses!$V$13,Hypothèses!$W$13,IF(U268&lt;=Hypothèses!$V$14,Hypothèses!$W$14,IF(U268&lt;=Hypothèses!$V$15,Hypothèses!$W$15,IF(U268&lt;=Hypothèses!$V$16,Hypothèses!$W$16,IF(U268&lt;=Hypothèses!$V$17,Hypothèses!$W$17,IF(U268&lt;=Hypothèses!$V$18,Hypothèses!$W$18,""))))))))))))</f>
        <v>#DIV/0!</v>
      </c>
      <c r="AP268" s="87" t="e">
        <f t="shared" ca="1" si="417"/>
        <v>#DIV/0!</v>
      </c>
      <c r="AQ268" s="88" t="e">
        <f ca="1">IF(U268&lt;=Hypothèses!$V$7,Hypothèses!$X$7,IF(U268&lt;=Hypothèses!$V$8,Hypothèses!$X$8,IF(U268&lt;=Hypothèses!$V$9,Hypothèses!$X$9,IF(U268&lt;=Hypothèses!$V$10,Hypothèses!$X$10,IF(U268&lt;=Hypothèses!$V$11,Hypothèses!$X$11,IF(U268&lt;=Hypothèses!$V$12,Hypothèses!$X$12,IF(U268&lt;=Hypothèses!$V$13,Hypothèses!$X$13,IF(U268&lt;=Hypothèses!$V$14,Hypothèses!$X$14,IF(U268&lt;=Hypothèses!$V$15,Hypothèses!$X$15,IF(U268&lt;=Hypothèses!$V$16,Hypothèses!$X$16,IF(U268&lt;=Hypothèses!$U$17,Hypothèses!$W$17,IF(U268&lt;=Hypothèses!$U$18,Hypothèses!$W$18,""))))))))))))</f>
        <v>#DIV/0!</v>
      </c>
      <c r="AR268" s="95" t="e">
        <f t="shared" ca="1" si="372"/>
        <v>#DIV/0!</v>
      </c>
      <c r="AS268" s="101" t="e">
        <f t="shared" si="424"/>
        <v>#N/A</v>
      </c>
      <c r="AT268" s="91" t="e">
        <f t="shared" si="343"/>
        <v>#N/A</v>
      </c>
      <c r="AU268" s="30" t="e">
        <f t="shared" si="402"/>
        <v>#N/A</v>
      </c>
      <c r="AV268" s="30" t="e">
        <f t="shared" si="403"/>
        <v>#N/A</v>
      </c>
      <c r="AW268" s="31" t="e">
        <f>IF(OR(Hypothèses!$B$4=17,Hypothèses!$B$4=18,Hypothèses!$B$4=19,Hypothèses!$B$4=20),
IF($D268="Pressio.",
IF(OR($E268=3,$E268=1,$E268=4),AV268,AU268),
IF($D268="Pénétro.",
IF(OR($E268=3,$E268=1,$E268=4),AV268,AU268))),IF($D268="Pressio.",
IF($E268=3,AV268,AU268),
IF($D268="Pénétro.",
IF($E268=4,AV268,AU268))))</f>
        <v>#N/A</v>
      </c>
      <c r="AX268" s="31" t="e">
        <f>(IF(OR(Hypothèses!$B$4=17,Hypothèses!$B$4=18,Hypothèses!$B$4=19,Hypothèses!$B$4=20),
IF($D268="Pressio.",
IF(OR($E268=3,$E268=1,$E268=4),(PI()*AX$12^2)/4*(AT268*$W268*1000)/($H268*$B$5),(PI()*AX$12^2)/4*(AT268*$W268*1000)/($G268*$B$5)),
IF($D268="Pénétro.",
IF(OR($E268=4,$E268=1,$E268=5),(PI()*AX$12^2)/4*(AT268*$W268*1000)/($H268*$B$5),(PI()*AX$12^2)/4*(AT268*$W268*1000)/($G268*$B$5)))),
IF($D268="Pressio.",
IF($E268=3,(PI()*AX$12^2)/4*(AT268*$W268*1000)/($H268*$B$5),(PI()*AX$12^2)/4*(AT268*$W268*1000)/($G268*$B$5)),
IF($D268="Pénétro.",
IF($E268=4,(PI()*AX$12^2)/4*(AT268*$W268*1000)/($H268*$B$5),(PI()*AX$12^2)/4*(AT268*$W268*1000)/($G268*$B$5))))))/10</f>
        <v>#N/A</v>
      </c>
      <c r="AY268" s="102" t="e">
        <f>(VLOOKUP($B$3,'Coeff EC7'!$T$39:$X$59,2,0)*AW268+VLOOKUP($B$3,'Coeff EC7'!$T$65:$X$85,2,0)*Model0.1C!AX268)/1.1</f>
        <v>#N/A</v>
      </c>
      <c r="AZ268" s="102" t="e">
        <f>(VLOOKUP($B$3,'Coeff EC7'!$T$39:$X$59,3,0)*AW268+VLOOKUP($B$3,'Coeff EC7'!$T$65:$X$85,3,0)*Model0.1C!AX268)/0.9</f>
        <v>#N/A</v>
      </c>
      <c r="BA268" s="102" t="e">
        <f t="shared" si="373"/>
        <v>#N/A</v>
      </c>
      <c r="BB268" s="102" t="e">
        <f t="shared" si="374"/>
        <v>#N/A</v>
      </c>
      <c r="BC268" s="414" t="e">
        <f>IF(BC267=0,0,IF(AND(AY268&gt;charge_ELS_quasi,AZ268&gt;Charge_ELS_freq,BA268&gt;charge_ELU,BB268&gt;charge_ELA,$B268&gt;NDC!$H$22-0.1+MIN(3*$BC$12,1.5)),0,1))</f>
        <v>#N/A</v>
      </c>
      <c r="BD268" s="86" t="b">
        <f t="shared" si="344"/>
        <v>0</v>
      </c>
      <c r="BE268" s="86">
        <f t="shared" si="375"/>
        <v>0.5</v>
      </c>
      <c r="BF268" s="86">
        <f t="shared" si="345"/>
        <v>0.5</v>
      </c>
      <c r="BG268" s="30" t="e">
        <f t="shared" ca="1" si="376"/>
        <v>#DIV/0!</v>
      </c>
      <c r="BH268" s="85" t="e">
        <f ca="1">IF(AN268&lt;=Hypothèses!$V$7,Hypothèses!$W$7,IF(AN268&lt;=Hypothèses!$V$8,Hypothèses!$W$8,IF(AN268&lt;=Hypothèses!$V$9,Hypothèses!$W$9,IF(AN268&lt;=Hypothèses!$V$10,Hypothèses!$W$10,IF(AN268&lt;=Hypothèses!$V$11,Hypothèses!$W$11,IF(AN268&lt;=Hypothèses!$V$12,Hypothèses!$W$12,IF(AN268&lt;=Hypothèses!$V$13,Hypothèses!$W$13,IF(AN268&lt;=Hypothèses!$V$14,Hypothèses!$W$14,IF(AN268&lt;=Hypothèses!$V$15,Hypothèses!$W$15,IF(AN268&lt;=Hypothèses!$V$16,Hypothèses!$W$16,IF(AN268&lt;=Hypothèses!$V$17,Hypothèses!$W$17,IF(AN268&lt;=Hypothèses!$V$18,Hypothèses!$W$18,""))))))))))))</f>
        <v>#DIV/0!</v>
      </c>
      <c r="BI268" s="87" t="e">
        <f t="shared" ca="1" si="418"/>
        <v>#DIV/0!</v>
      </c>
      <c r="BJ268" s="88" t="e">
        <f ca="1">IF(AN268&lt;=Hypothèses!$V$7,Hypothèses!$X$7,IF(AN268&lt;=Hypothèses!$V$8,Hypothèses!$X$8,IF(AN268&lt;=Hypothèses!$V$9,Hypothèses!$X$9,IF(AN268&lt;=Hypothèses!$V$10,Hypothèses!$X$10,IF(AN268&lt;=Hypothèses!$V$11,Hypothèses!$X$11,IF(AN268&lt;=Hypothèses!$V$12,Hypothèses!$X$12,IF(AN268&lt;=Hypothèses!$V$13,Hypothèses!$X$13,IF(AN268&lt;=Hypothèses!$V$14,Hypothèses!$X$14,IF(AN268&lt;=Hypothèses!$V$15,Hypothèses!$X$15,IF(AN268&lt;=Hypothèses!$V$16,Hypothèses!$X$16,IF(AN268&lt;=Hypothèses!$U$17,Hypothèses!$W$17,IF(AN268&lt;=Hypothèses!$U$18,Hypothèses!$W$18,""))))))))))))</f>
        <v>#DIV/0!</v>
      </c>
      <c r="BK268" s="95" t="e">
        <f t="shared" ca="1" si="377"/>
        <v>#DIV/0!</v>
      </c>
      <c r="BL268" s="101" t="e">
        <f t="shared" si="425"/>
        <v>#N/A</v>
      </c>
      <c r="BM268" s="91" t="e">
        <f t="shared" si="346"/>
        <v>#N/A</v>
      </c>
      <c r="BN268" s="30" t="e">
        <f t="shared" si="404"/>
        <v>#N/A</v>
      </c>
      <c r="BO268" s="30" t="e">
        <f t="shared" si="405"/>
        <v>#N/A</v>
      </c>
      <c r="BP268" s="31" t="e">
        <f>IF(OR(Hypothèses!$B$4=17,Hypothèses!$B$4=18,Hypothèses!$B$4=19,Hypothèses!$B$4=20),
IF($D268="Pressio.",
IF(OR($E268=3,$E268=1,$E268=4),BO268,BN268),
IF($D268="Pénétro.",
IF(OR($E268=3,$E268=1,$E268=4),BO268,BN268))),IF($D268="Pressio.",
IF($E268=3,BO268,BN268),
IF($D268="Pénétro.",
IF($E268=4,BO268,BN268))))</f>
        <v>#N/A</v>
      </c>
      <c r="BQ268" s="31" t="e">
        <f>(IF(OR(Hypothèses!$B$4=17,Hypothèses!$B$4=18,Hypothèses!$B$4=19,Hypothèses!$B$4=20),
IF($D268="Pressio.",
IF(OR($E268=3,$E268=1,$E268=4),(PI()*BQ$12^2)/4*(BM268*$W268*1000)/($H268*$B$5),(PI()*BQ$12^2)/4*(BM268*$W268*1000)/($G268*$B$5)),
IF($D268="Pénétro.",
IF(OR($E268=4,$E268=1,$E268=5),(PI()*BQ$12^2)/4*(BM268*$W268*1000)/($H268*$B$5),(PI()*BQ$12^2)/4*(BM268*$W268*1000)/($G268*$B$5)))),
IF($D268="Pressio.",
IF($E268=3,(PI()*BQ$12^2)/4*(BM268*$W268*1000)/($H268*$B$5),(PI()*BQ$12^2)/4*(BM268*$W268*1000)/($G268*$B$5)),
IF($D268="Pénétro.",
IF($E268=4,(PI()*BQ$12^2)/4*(BM268*$W268*1000)/($H268*$B$5),(PI()*BQ$12^2)/4*(BM268*$W268*1000)/($G268*$B$5))))))/10</f>
        <v>#N/A</v>
      </c>
      <c r="BR268" s="102" t="e">
        <f>(VLOOKUP($B$3,'Coeff EC7'!$T$39:$X$59,2,0)*BP268+VLOOKUP($B$3,'Coeff EC7'!$T$65:$X$85,2,0)*Model0.1C!BQ268)/1.1</f>
        <v>#N/A</v>
      </c>
      <c r="BS268" s="102" t="e">
        <f>(VLOOKUP($B$3,'Coeff EC7'!$T$39:$X$59,3,0)*BP268+VLOOKUP($B$3,'Coeff EC7'!$T$65:$X$85,3,0)*Model0.1C!BQ268)/0.9</f>
        <v>#N/A</v>
      </c>
      <c r="BT268" s="102" t="e">
        <f t="shared" si="378"/>
        <v>#N/A</v>
      </c>
      <c r="BU268" s="102" t="e">
        <f t="shared" si="379"/>
        <v>#N/A</v>
      </c>
      <c r="BV268" s="414" t="e">
        <f>IF(BV267=0,0,IF(AND(BR268&gt;charge_ELS_quasi,BS268&gt;Charge_ELS_freq,BT268&gt;charge_ELU,BU268&gt;charge_ELA,$B268&gt;NDC!$H$22-0.1+MIN(3*$BV$12,1.5)),0,1))</f>
        <v>#N/A</v>
      </c>
      <c r="BW268" s="86" t="b">
        <f t="shared" si="347"/>
        <v>0</v>
      </c>
      <c r="BX268" s="86">
        <f t="shared" si="348"/>
        <v>0.5</v>
      </c>
      <c r="BY268" s="86">
        <f t="shared" si="349"/>
        <v>0.5</v>
      </c>
      <c r="BZ268" s="30" t="e">
        <f t="shared" ca="1" si="380"/>
        <v>#DIV/0!</v>
      </c>
      <c r="CA268" s="85" t="e">
        <f ca="1">IF(BG268&lt;=Hypothèses!$V$7,Hypothèses!$W$7,IF(BG268&lt;=Hypothèses!$V$8,Hypothèses!$W$8,IF(BG268&lt;=Hypothèses!$V$9,Hypothèses!$W$9,IF(BG268&lt;=Hypothèses!$V$10,Hypothèses!$W$10,IF(BG268&lt;=Hypothèses!$V$11,Hypothèses!$W$11,IF(BG268&lt;=Hypothèses!$V$12,Hypothèses!$W$12,IF(BG268&lt;=Hypothèses!$V$13,Hypothèses!$W$13,IF(BG268&lt;=Hypothèses!$V$14,Hypothèses!$W$14,IF(BG268&lt;=Hypothèses!$V$15,Hypothèses!$W$15,IF(BG268&lt;=Hypothèses!$V$16,Hypothèses!$W$16,IF(BG268&lt;=Hypothèses!$V$17,Hypothèses!$W$17,IF(BG268&lt;=Hypothèses!$V$18,Hypothèses!$W$18,""))))))))))))</f>
        <v>#DIV/0!</v>
      </c>
      <c r="CB268" s="87" t="e">
        <f t="shared" ca="1" si="419"/>
        <v>#DIV/0!</v>
      </c>
      <c r="CC268" s="88" t="e">
        <f ca="1">IF(BG268&lt;=Hypothèses!$V$7,Hypothèses!$X$7,IF(BG268&lt;=Hypothèses!$V$8,Hypothèses!$X$8,IF(BG268&lt;=Hypothèses!$V$9,Hypothèses!$X$9,IF(BG268&lt;=Hypothèses!$V$10,Hypothèses!$X$10,IF(BG268&lt;=Hypothèses!$V$11,Hypothèses!$X$11,IF(BG268&lt;=Hypothèses!$V$12,Hypothèses!$X$12,IF(BG268&lt;=Hypothèses!$V$13,Hypothèses!$X$13,IF(BG268&lt;=Hypothèses!$V$14,Hypothèses!$X$14,IF(BG268&lt;=Hypothèses!$V$15,Hypothèses!$X$15,IF(BG268&lt;=Hypothèses!$V$16,Hypothèses!$X$16,IF(BG268&lt;=Hypothèses!$U$17,Hypothèses!$W$17,IF(BG268&lt;=Hypothèses!$U$18,Hypothèses!$W$18,""))))))))))))</f>
        <v>#DIV/0!</v>
      </c>
      <c r="CD268" s="95" t="e">
        <f t="shared" ca="1" si="381"/>
        <v>#DIV/0!</v>
      </c>
      <c r="CE268" s="101" t="e">
        <f t="shared" si="426"/>
        <v>#N/A</v>
      </c>
      <c r="CF268" s="91" t="e">
        <f t="shared" si="350"/>
        <v>#N/A</v>
      </c>
      <c r="CG268" s="30" t="e">
        <f t="shared" si="406"/>
        <v>#N/A</v>
      </c>
      <c r="CH268" s="30" t="e">
        <f t="shared" si="407"/>
        <v>#N/A</v>
      </c>
      <c r="CI268" s="31" t="e">
        <f>IF(OR(Hypothèses!$B$4=17,Hypothèses!$B$4=18,Hypothèses!$B$4=19,Hypothèses!$B$4=20),
IF($D268="Pressio.",
IF(OR($E268=3,$E268=1,$E268=4),CH268,CG268),
IF($D268="Pénétro.",
IF(OR($E268=3,$E268=1,$E268=4),CH268,CG268))),IF($D268="Pressio.",
IF($E268=3,CH268,CG268),
IF($D268="Pénétro.",
IF($E268=4,CH268,CG268))))</f>
        <v>#N/A</v>
      </c>
      <c r="CJ268" s="31" t="e">
        <f>(IF(OR(Hypothèses!$B$4=17,Hypothèses!$B$4=18,Hypothèses!$B$4=19,Hypothèses!$B$4=20),
IF($D268="Pressio.",
IF(OR($E268=3,$E268=1,$E268=4),(PI()*CJ$12^2)/4*(CF268*$W268*1000)/($H268*$B$5),(PI()*CJ$12^2)/4*(CF268*$W268*1000)/($G268*$B$5)),
IF($D268="Pénétro.",
IF(OR($E268=4,$E268=1,$E268=5),(PI()*CJ$12^2)/4*(CF268*$W268*1000)/($H268*$B$5),(PI()*CJ$12^2)/4*(CF268*$W268*1000)/($G268*$B$5)))),
IF($D268="Pressio.",
IF($E268=3,(PI()*CJ$12^2)/4*(CF268*$W268*1000)/($H268*$B$5),(PI()*CJ$12^2)/4*(CF268*$W268*1000)/($G268*$B$5)),
IF($D268="Pénétro.",
IF($E268=4,(PI()*CJ$12^2)/4*(CF268*$W268*1000)/($H268*$B$5),(PI()*CJ$12^2)/4*(CF268*$W268*1000)/($G268*$B$5))))))/10</f>
        <v>#N/A</v>
      </c>
      <c r="CK268" s="102" t="e">
        <f>(VLOOKUP($B$3,'Coeff EC7'!$T$39:$X$59,2,0)*CI268+VLOOKUP($B$3,'Coeff EC7'!$T$65:$X$85,2,0)*Model0.1C!CJ268)/1.1</f>
        <v>#N/A</v>
      </c>
      <c r="CL268" s="102" t="e">
        <f>(VLOOKUP($B$3,'Coeff EC7'!$T$39:$X$59,3,0)*CI268+VLOOKUP($B$3,'Coeff EC7'!$T$65:$X$85,3,0)*Model0.1C!CJ268)/0.9</f>
        <v>#N/A</v>
      </c>
      <c r="CM268" s="102" t="e">
        <f t="shared" si="382"/>
        <v>#N/A</v>
      </c>
      <c r="CN268" s="102" t="e">
        <f t="shared" si="383"/>
        <v>#N/A</v>
      </c>
      <c r="CO268" s="414" t="e">
        <f>IF(CO267=0,0,IF(AND(CK268&gt;charge_ELS_quasi,CL268&gt;Charge_ELS_freq,CM268&gt;charge_ELU,CN268&gt;charge_ELA,$B268&gt;NDC!$H$22-0.1+MIN(3*$CO$12,1.5)),0,1))</f>
        <v>#N/A</v>
      </c>
      <c r="CP268" s="86" t="b">
        <f t="shared" si="351"/>
        <v>0</v>
      </c>
      <c r="CQ268" s="86">
        <f t="shared" si="352"/>
        <v>0.5</v>
      </c>
      <c r="CR268" s="86">
        <f t="shared" si="353"/>
        <v>0.5</v>
      </c>
      <c r="CS268" s="30" t="e">
        <f t="shared" ca="1" si="384"/>
        <v>#DIV/0!</v>
      </c>
      <c r="CT268" s="85" t="e">
        <f ca="1">IF(BZ268&lt;=Hypothèses!$V$7,Hypothèses!$W$7,IF(BZ268&lt;=Hypothèses!$V$8,Hypothèses!$W$8,IF(BZ268&lt;=Hypothèses!$V$9,Hypothèses!$W$9,IF(BZ268&lt;=Hypothèses!$V$10,Hypothèses!$W$10,IF(BZ268&lt;=Hypothèses!$V$11,Hypothèses!$W$11,IF(BZ268&lt;=Hypothèses!$V$12,Hypothèses!$W$12,IF(BZ268&lt;=Hypothèses!$V$13,Hypothèses!$W$13,IF(BZ268&lt;=Hypothèses!$V$14,Hypothèses!$W$14,IF(BZ268&lt;=Hypothèses!$V$15,Hypothèses!$W$15,IF(BZ268&lt;=Hypothèses!$V$16,Hypothèses!$W$16,IF(BZ268&lt;=Hypothèses!$V$17,Hypothèses!$W$17,IF(BZ268&lt;=Hypothèses!$V$18,Hypothèses!$W$18,""))))))))))))</f>
        <v>#DIV/0!</v>
      </c>
      <c r="CU268" s="87" t="e">
        <f t="shared" ca="1" si="420"/>
        <v>#DIV/0!</v>
      </c>
      <c r="CV268" s="88" t="e">
        <f ca="1">IF(BZ268&lt;=Hypothèses!$V$7,Hypothèses!$X$7,IF(BZ268&lt;=Hypothèses!$V$8,Hypothèses!$X$8,IF(BZ268&lt;=Hypothèses!$V$9,Hypothèses!$X$9,IF(BZ268&lt;=Hypothèses!$V$10,Hypothèses!$X$10,IF(BZ268&lt;=Hypothèses!$V$11,Hypothèses!$X$11,IF(BZ268&lt;=Hypothèses!$V$12,Hypothèses!$X$12,IF(BZ268&lt;=Hypothèses!$V$13,Hypothèses!$X$13,IF(BZ268&lt;=Hypothèses!$V$14,Hypothèses!$X$14,IF(BZ268&lt;=Hypothèses!$V$15,Hypothèses!$X$15,IF(BZ268&lt;=Hypothèses!$V$16,Hypothèses!$X$16,IF(BZ268&lt;=Hypothèses!$U$17,Hypothèses!$W$17,IF(BZ268&lt;=Hypothèses!$U$18,Hypothèses!$W$18,""))))))))))))</f>
        <v>#DIV/0!</v>
      </c>
      <c r="CW268" s="95" t="e">
        <f t="shared" ca="1" si="385"/>
        <v>#DIV/0!</v>
      </c>
      <c r="CX268" s="101" t="e">
        <f t="shared" si="427"/>
        <v>#N/A</v>
      </c>
      <c r="CY268" s="91" t="e">
        <f t="shared" si="354"/>
        <v>#N/A</v>
      </c>
      <c r="CZ268" s="30" t="e">
        <f t="shared" si="408"/>
        <v>#N/A</v>
      </c>
      <c r="DA268" s="30" t="e">
        <f t="shared" si="409"/>
        <v>#N/A</v>
      </c>
      <c r="DB268" s="31" t="e">
        <f>IF(OR(Hypothèses!$B$4=17,Hypothèses!$B$4=18,Hypothèses!$B$4=19,Hypothèses!$B$4=20),
IF($D268="Pressio.",
IF(OR($E268=3,$E268=1,$E268=4),DA268,CZ268),
IF($D268="Pénétro.",
IF(OR($E268=3,$E268=1,$E268=4),DA268,CZ268))),IF($D268="Pressio.",
IF($E268=3,DA268,CZ268),
IF($D268="Pénétro.",
IF($E268=4,DA268,CZ268))))</f>
        <v>#N/A</v>
      </c>
      <c r="DC268" s="31" t="e">
        <f>(IF(OR(Hypothèses!$B$4=17,Hypothèses!$B$4=18,Hypothèses!$B$4=19,Hypothèses!$B$4=20),
IF($D268="Pressio.",
IF(OR($E268=3,$E268=1,$E268=4),(PI()*DC$12^2)/4*(CY268*$W268*1000)/($H268*$B$5),(PI()*DC$12^2)/4*(CY268*$W268*1000)/($G268*$B$5)),
IF($D268="Pénétro.",
IF(OR($E268=4,$E268=1,$E268=5),(PI()*DC$12^2)/4*(CY268*$W268*1000)/($H268*$B$5),(PI()*DC$12^2)/4*(CY268*$W268*1000)/($G268*$B$5)))),
IF($D268="Pressio.",
IF($E268=3,(PI()*DC$12^2)/4*(CY268*$W268*1000)/($H268*$B$5),(PI()*DC$12^2)/4*(CY268*$W268*1000)/($G268*$B$5)),
IF($D268="Pénétro.",
IF($E268=4,(PI()*DC$12^2)/4*(CY268*$W268*1000)/($H268*$B$5),(PI()*DC$12^2)/4*(CY268*$W268*1000)/($G268*$B$5))))))/10</f>
        <v>#N/A</v>
      </c>
      <c r="DD268" s="102" t="e">
        <f>(VLOOKUP($B$3,'Coeff EC7'!$T$39:$X$59,2,0)*DB268+VLOOKUP($B$3,'Coeff EC7'!$T$65:$X$85,2,0)*Model0.1C!DC268)/1.1</f>
        <v>#N/A</v>
      </c>
      <c r="DE268" s="102" t="e">
        <f>(VLOOKUP($B$3,'Coeff EC7'!$T$39:$X$59,3,0)*DB268+VLOOKUP($B$3,'Coeff EC7'!$T$65:$X$85,3,0)*Model0.1C!DC268)/0.9</f>
        <v>#N/A</v>
      </c>
      <c r="DF268" s="102" t="e">
        <f t="shared" si="386"/>
        <v>#N/A</v>
      </c>
      <c r="DG268" s="102" t="e">
        <f t="shared" si="387"/>
        <v>#N/A</v>
      </c>
      <c r="DH268" s="414" t="e">
        <f>IF(DH267=0,0,IF(AND(DD268&gt;charge_ELS_quasi,DE268&gt;Charge_ELS_freq,DF268&gt;charge_ELU,DG268&gt;charge_ELA,$B268&gt;NDC!$H$22-0.1+MIN(3*$DH$12,1.5)),0,1))</f>
        <v>#N/A</v>
      </c>
      <c r="DI268" s="86" t="b">
        <f t="shared" si="355"/>
        <v>0</v>
      </c>
      <c r="DJ268" s="86">
        <f t="shared" si="356"/>
        <v>0.5</v>
      </c>
      <c r="DK268" s="86">
        <f t="shared" si="357"/>
        <v>0.5</v>
      </c>
      <c r="DL268" s="30" t="e">
        <f t="shared" ca="1" si="388"/>
        <v>#DIV/0!</v>
      </c>
      <c r="DM268" s="85" t="e">
        <f ca="1">IF(CS268&lt;=Hypothèses!$V$7,Hypothèses!$W$7,IF(CS268&lt;=Hypothèses!$V$8,Hypothèses!$W$8,IF(CS268&lt;=Hypothèses!$V$9,Hypothèses!$W$9,IF(CS268&lt;=Hypothèses!$V$10,Hypothèses!$W$10,IF(CS268&lt;=Hypothèses!$V$11,Hypothèses!$W$11,IF(CS268&lt;=Hypothèses!$V$12,Hypothèses!$W$12,IF(CS268&lt;=Hypothèses!$V$13,Hypothèses!$W$13,IF(CS268&lt;=Hypothèses!$V$14,Hypothèses!$W$14,IF(CS268&lt;=Hypothèses!$V$15,Hypothèses!$W$15,IF(CS268&lt;=Hypothèses!$V$16,Hypothèses!$W$16,IF(CS268&lt;=Hypothèses!$V$17,Hypothèses!$W$17,IF(CS268&lt;=Hypothèses!$V$18,Hypothèses!$W$18,""))))))))))))</f>
        <v>#DIV/0!</v>
      </c>
      <c r="DN268" s="87" t="e">
        <f t="shared" ca="1" si="421"/>
        <v>#DIV/0!</v>
      </c>
      <c r="DO268" s="88" t="e">
        <f ca="1">IF(CS268&lt;=Hypothèses!$V$7,Hypothèses!$X$7,IF(CS268&lt;=Hypothèses!$V$8,Hypothèses!$X$8,IF(CS268&lt;=Hypothèses!$V$9,Hypothèses!$X$9,IF(CS268&lt;=Hypothèses!$V$10,Hypothèses!$X$10,IF(CS268&lt;=Hypothèses!$V$11,Hypothèses!$X$11,IF(CS268&lt;=Hypothèses!$V$12,Hypothèses!$X$12,IF(CS268&lt;=Hypothèses!$V$13,Hypothèses!$X$13,IF(CS268&lt;=Hypothèses!$V$14,Hypothèses!$X$14,IF(CS268&lt;=Hypothèses!$V$15,Hypothèses!$X$15,IF(CS268&lt;=Hypothèses!$V$16,Hypothèses!$X$16,IF(CS268&lt;=Hypothèses!$U$17,Hypothèses!$W$17,IF(CS268&lt;=Hypothèses!$U$18,Hypothèses!$W$18,""))))))))))))</f>
        <v>#DIV/0!</v>
      </c>
      <c r="DP268" s="95" t="e">
        <f t="shared" ca="1" si="389"/>
        <v>#DIV/0!</v>
      </c>
      <c r="DQ268" s="101" t="e">
        <f t="shared" si="428"/>
        <v>#N/A</v>
      </c>
      <c r="DR268" s="91" t="e">
        <f t="shared" si="358"/>
        <v>#N/A</v>
      </c>
      <c r="DS268" s="30" t="e">
        <f t="shared" si="410"/>
        <v>#N/A</v>
      </c>
      <c r="DT268" s="30" t="e">
        <f t="shared" si="411"/>
        <v>#N/A</v>
      </c>
      <c r="DU268" s="31" t="e">
        <f>IF(OR(Hypothèses!$B$4=17,Hypothèses!$B$4=18,Hypothèses!$B$4=19,Hypothèses!$B$4=20),
IF($D268="Pressio.",
IF(OR($E268=3,$E268=1,$E268=4),DT268,DS268),
IF($D268="Pénétro.",
IF(OR($E268=3,$E268=1,$E268=4),DT268,DS268))),IF($D268="Pressio.",
IF($E268=3,DT268,DS268),
IF($D268="Pénétro.",
IF($E268=4,DT268,DS268))))</f>
        <v>#N/A</v>
      </c>
      <c r="DV268" s="31" t="e">
        <f>(IF(OR(Hypothèses!$B$4=17,Hypothèses!$B$4=18,Hypothèses!$B$4=19,Hypothèses!$B$4=20),
IF($D268="Pressio.",
IF(OR($E268=3,$E268=1,$E268=4),(PI()*DV$12^2)/4*(DR268*$W268*1000)/($H268*$B$5),(PI()*DV$12^2)/4*(DR268*$W268*1000)/($G268*$B$5)),
IF($D268="Pénétro.",
IF(OR($E268=4,$E268=1,$E268=5),(PI()*DV$12^2)/4*(DR268*$W268*1000)/($H268*$B$5),(PI()*DV$12^2)/4*(DR268*$W268*1000)/($G268*$B$5)))),
IF($D268="Pressio.",
IF($E268=3,(PI()*DV$12^2)/4*(DR268*$W268*1000)/($H268*$B$5),(PI()*DV$12^2)/4*(DR268*$W268*1000)/($G268*$B$5)),
IF($D268="Pénétro.",
IF($E268=4,(PI()*DV$12^2)/4*(DR268*$W268*1000)/($H268*$B$5),(PI()*DV$12^2)/4*(DR268*$W268*1000)/($G268*$B$5))))))/10</f>
        <v>#N/A</v>
      </c>
      <c r="DW268" s="102" t="e">
        <f>(VLOOKUP($B$3,'Coeff EC7'!$T$39:$X$59,2,0)*DU268+VLOOKUP($B$3,'Coeff EC7'!$T$65:$X$85,2,0)*Model0.1C!DV268)/1.1</f>
        <v>#N/A</v>
      </c>
      <c r="DX268" s="102" t="e">
        <f>(VLOOKUP($B$3,'Coeff EC7'!$T$39:$X$59,3,0)*DU268+VLOOKUP($B$3,'Coeff EC7'!$T$65:$X$85,3,0)*Model0.1C!DV268)/0.9</f>
        <v>#N/A</v>
      </c>
      <c r="DY268" s="102" t="e">
        <f t="shared" si="390"/>
        <v>#N/A</v>
      </c>
      <c r="DZ268" s="102" t="e">
        <f t="shared" si="391"/>
        <v>#N/A</v>
      </c>
      <c r="EA268" s="414" t="e">
        <f>IF(EA267=0,0,IF(AND(DW268&gt;charge_ELS_quasi,DX268&gt;Charge_ELS_freq,DY268&gt;charge_ELU,DZ268&gt;charge_ELA,$B268&gt;NDC!$H$22-0.1+MIN(3*$EA$12,1.5)),0,1))</f>
        <v>#N/A</v>
      </c>
      <c r="EB268" s="86" t="b">
        <f t="shared" si="359"/>
        <v>0</v>
      </c>
      <c r="EC268" s="418">
        <f t="shared" si="360"/>
        <v>0.51</v>
      </c>
      <c r="ED268" s="86">
        <f t="shared" si="361"/>
        <v>0.51</v>
      </c>
      <c r="EE268" s="30" t="e">
        <f t="shared" ca="1" si="392"/>
        <v>#DIV/0!</v>
      </c>
      <c r="EF268" s="85" t="e">
        <f ca="1">IF(DL268&lt;=Hypothèses!$V$7,Hypothèses!$W$7,IF(DL268&lt;=Hypothèses!$V$8,Hypothèses!$W$8,IF(DL268&lt;=Hypothèses!$V$9,Hypothèses!$W$9,IF(DL268&lt;=Hypothèses!$V$10,Hypothèses!$W$10,IF(DL268&lt;=Hypothèses!$V$11,Hypothèses!$W$11,IF(DL268&lt;=Hypothèses!$V$12,Hypothèses!$W$12,IF(DL268&lt;=Hypothèses!$V$13,Hypothèses!$W$13,IF(DL268&lt;=Hypothèses!$V$14,Hypothèses!$W$14,IF(DL268&lt;=Hypothèses!$V$15,Hypothèses!$W$15,IF(DL268&lt;=Hypothèses!$V$16,Hypothèses!$W$16,IF(DL268&lt;=Hypothèses!$V$17,Hypothèses!$W$17,IF(DL268&lt;=Hypothèses!$V$18,Hypothèses!$W$18,""))))))))))))</f>
        <v>#DIV/0!</v>
      </c>
      <c r="EG268" s="87" t="e">
        <f t="shared" ca="1" si="422"/>
        <v>#DIV/0!</v>
      </c>
      <c r="EH268" s="88" t="e">
        <f ca="1">IF(DL268&lt;=Hypothèses!$V$7,Hypothèses!$X$7,IF(DL268&lt;=Hypothèses!$V$8,Hypothèses!$X$8,IF(DL268&lt;=Hypothèses!$V$9,Hypothèses!$X$9,IF(DL268&lt;=Hypothèses!$V$10,Hypothèses!$X$10,IF(DL268&lt;=Hypothèses!$V$11,Hypothèses!$X$11,IF(DL268&lt;=Hypothèses!$V$12,Hypothèses!$X$12,IF(DL268&lt;=Hypothèses!$V$13,Hypothèses!$X$13,IF(DL268&lt;=Hypothèses!$V$14,Hypothèses!$X$14,IF(DL268&lt;=Hypothèses!$V$15,Hypothèses!$X$15,IF(DL268&lt;=Hypothèses!$V$16,Hypothèses!$X$16,IF(DL268&lt;=Hypothèses!$U$17,Hypothèses!$W$17,IF(DL268&lt;=Hypothèses!$U$18,Hypothèses!$W$18,""))))))))))))</f>
        <v>#DIV/0!</v>
      </c>
      <c r="EI268" s="95" t="e">
        <f t="shared" ca="1" si="393"/>
        <v>#DIV/0!</v>
      </c>
      <c r="EJ268" s="101" t="e">
        <f t="shared" si="429"/>
        <v>#N/A</v>
      </c>
      <c r="EK268" s="91" t="e">
        <f t="shared" si="362"/>
        <v>#N/A</v>
      </c>
      <c r="EL268" s="30" t="e">
        <f t="shared" si="412"/>
        <v>#N/A</v>
      </c>
      <c r="EM268" s="30" t="e">
        <f t="shared" si="413"/>
        <v>#N/A</v>
      </c>
      <c r="EN268" s="31" t="e">
        <f>IF(OR(Hypothèses!$B$4=17,Hypothèses!$B$4=18,Hypothèses!$B$4=19,Hypothèses!$B$4=20),
IF($D268="Pressio.",
IF(OR($E268=3,$E268=1,$E268=4),EM268,EL268),
IF($D268="Pénétro.",
IF(OR($E268=3,$E268=1,$E268=4),EM268,EL268))),IF($D268="Pressio.",
IF($E268=3,EM268,EL268),
IF($D268="Pénétro.",
IF($E268=4,EM268,EL268))))</f>
        <v>#N/A</v>
      </c>
      <c r="EO268" s="31" t="e">
        <f>(IF(OR(Hypothèses!$B$4=17,Hypothèses!$B$4=18,Hypothèses!$B$4=19,Hypothèses!$B$4=20),
IF($D268="Pressio.",
IF(OR($E268=3,$E268=1,$E268=4),(PI()*EO$12^2)/4*(EK268*$W268*1000)/($H268*$B$5),(PI()*EO$12^2)/4*(EK268*$W268*1000)/($G268*$B$5)),
IF($D268="Pénétro.",
IF(OR($E268=4,$E268=1,$E268=5),(PI()*EO$12^2)/4*(EK268*$W268*1000)/($H268*$B$5),(PI()*EO$12^2)/4*(EK268*$W268*1000)/($G268*$B$5)))),
IF($D268="Pressio.",
IF($E268=3,(PI()*EO$12^2)/4*(EK268*$W268*1000)/($H268*$B$5),(PI()*EO$12^2)/4*(EK268*$W268*1000)/($G268*$B$5)),
IF($D268="Pénétro.",
IF($E268=4,(PI()*EO$12^2)/4*(EK268*$W268*1000)/($H268*$B$5),(PI()*EO$12^2)/4*(EK268*$W268*1000)/($G268*$B$5))))))/10</f>
        <v>#N/A</v>
      </c>
      <c r="EP268" s="102" t="e">
        <f>(VLOOKUP($B$3,'Coeff EC7'!$T$39:$X$59,2,0)*EN268+VLOOKUP($B$3,'Coeff EC7'!$T$65:$X$85,2,0)*Model0.1C!EO268)/1.1</f>
        <v>#N/A</v>
      </c>
      <c r="EQ268" s="102" t="e">
        <f>(VLOOKUP($B$3,'Coeff EC7'!$T$39:$X$59,3,0)*EN268+VLOOKUP($B$3,'Coeff EC7'!$T$65:$X$85,3,0)*Model0.1C!EO268)/0.9</f>
        <v>#N/A</v>
      </c>
      <c r="ER268" s="102" t="e">
        <f t="shared" si="394"/>
        <v>#N/A</v>
      </c>
      <c r="ES268" s="102" t="e">
        <f t="shared" si="395"/>
        <v>#N/A</v>
      </c>
      <c r="ET268" s="414" t="e">
        <f>IF(ET267=0,0,IF(AND(EP268&gt;charge_ELS_quasi,EQ268&gt;Charge_ELS_freq,ER268&gt;charge_ELU,ES268&gt;charge_ELA,$B268&gt;NDC!$H$22-0.1+MIN(3*$ET$12,1.5)),0,1))</f>
        <v>#N/A</v>
      </c>
      <c r="EU268" s="86" t="b">
        <f t="shared" si="363"/>
        <v>0</v>
      </c>
      <c r="EV268" s="86">
        <f t="shared" si="364"/>
        <v>0.61</v>
      </c>
      <c r="EW268" s="86">
        <f t="shared" si="365"/>
        <v>0.61</v>
      </c>
      <c r="EX268" s="30" t="e">
        <f t="shared" ca="1" si="396"/>
        <v>#DIV/0!</v>
      </c>
      <c r="EY268" s="85" t="e">
        <f ca="1">IF(EE268&lt;=Hypothèses!$V$7,Hypothèses!$W$7,IF(EE268&lt;=Hypothèses!$V$8,Hypothèses!$W$8,IF(EE268&lt;=Hypothèses!$V$9,Hypothèses!$W$9,IF(EE268&lt;=Hypothèses!$V$10,Hypothèses!$W$10,IF(EE268&lt;=Hypothèses!$V$11,Hypothèses!$W$11,IF(EE268&lt;=Hypothèses!$V$12,Hypothèses!$W$12,IF(EE268&lt;=Hypothèses!$V$13,Hypothèses!$W$13,IF(EE268&lt;=Hypothèses!$V$14,Hypothèses!$W$14,IF(EE268&lt;=Hypothèses!$V$15,Hypothèses!$W$15,IF(EE268&lt;=Hypothèses!$V$16,Hypothèses!$W$16,IF(EE268&lt;=Hypothèses!$V$17,Hypothèses!$W$17,IF(EE268&lt;=Hypothèses!$V$18,Hypothèses!$W$18,""))))))))))))</f>
        <v>#DIV/0!</v>
      </c>
      <c r="EZ268" s="87" t="e">
        <f t="shared" ca="1" si="423"/>
        <v>#DIV/0!</v>
      </c>
      <c r="FA268" s="88" t="e">
        <f ca="1">IF(EE268&lt;=Hypothèses!$V$7,Hypothèses!$X$7,IF(EE268&lt;=Hypothèses!$V$8,Hypothèses!$X$8,IF(EE268&lt;=Hypothèses!$V$9,Hypothèses!$X$9,IF(EE268&lt;=Hypothèses!$V$10,Hypothèses!$X$10,IF(EE268&lt;=Hypothèses!$V$11,Hypothèses!$X$11,IF(EE268&lt;=Hypothèses!$V$12,Hypothèses!$X$12,IF(EE268&lt;=Hypothèses!$V$13,Hypothèses!$X$13,IF(EE268&lt;=Hypothèses!$V$14,Hypothèses!$X$14,IF(EE268&lt;=Hypothèses!$V$15,Hypothèses!$X$15,IF(EE268&lt;=Hypothèses!$V$16,Hypothèses!$X$16,IF(EE268&lt;=Hypothèses!$U$17,Hypothèses!$W$17,IF(EE268&lt;=Hypothèses!$U$18,Hypothèses!$W$18,""))))))))))))</f>
        <v>#DIV/0!</v>
      </c>
      <c r="FB268" s="95" t="e">
        <f t="shared" ca="1" si="397"/>
        <v>#DIV/0!</v>
      </c>
      <c r="FC268" s="101" t="e">
        <f t="shared" si="430"/>
        <v>#N/A</v>
      </c>
      <c r="FD268" s="91" t="e">
        <f t="shared" si="366"/>
        <v>#N/A</v>
      </c>
      <c r="FE268" s="30" t="e">
        <f t="shared" si="414"/>
        <v>#N/A</v>
      </c>
      <c r="FF268" s="30" t="e">
        <f t="shared" si="415"/>
        <v>#N/A</v>
      </c>
      <c r="FG268" s="31" t="e">
        <f>IF(OR(Hypothèses!$B$4=17,Hypothèses!$B$4=18,Hypothèses!$B$4=19,Hypothèses!$B$4=20),
IF($D268="Pressio.",
IF(OR($E268=3,$E268=1,$E268=4),FF268,FE268),
IF($D268="Pénétro.",
IF(OR($E268=3,$E268=1,$E268=4),FF268,FE268))),IF($D268="Pressio.",
IF($E268=3,FF268,FE268),
IF($D268="Pénétro.",
IF($E268=4,FF268,FE268))))</f>
        <v>#N/A</v>
      </c>
      <c r="FH268" s="31" t="e">
        <f>(IF(OR(Hypothèses!$B$4=17,Hypothèses!$B$4=18,Hypothèses!$B$4=19,Hypothèses!$B$4=20),
IF($D268="Pressio.",
IF(OR($E268=3,$E268=1,$E268=4),(PI()*FH$12^2)/4*(FD268*$W268*1000)/($H268*$B$5),(PI()*FH$12^2)/4*(FD268*$W268*1000)/($G268*$B$5)),
IF($D268="Pénétro.",
IF(OR($E268=4,$E268=1,$E268=5),(PI()*FH$12^2)/4*(FD268*$W268*1000)/($H268*$B$5),(PI()*FH$12^2)/4*(FD268*$W268*1000)/($G268*$B$5)))),
IF($D268="Pressio.",
IF($E268=3,(PI()*FH$12^2)/4*(FD268*$W268*1000)/($H268*$B$5),(PI()*FH$12^2)/4*(FD268*$W268*1000)/($G268*$B$5)),
IF($D268="Pénétro.",
IF($E268=4,(PI()*FH$12^2)/4*(FD268*$W268*1000)/($H268*$B$5),(PI()*FH$12^2)/4*(FD268*$W268*1000)/($G268*$B$5))))))/10</f>
        <v>#N/A</v>
      </c>
      <c r="FI268" s="102" t="e">
        <f>(VLOOKUP($B$3,'Coeff EC7'!$T$39:$X$59,2,0)*FG268+VLOOKUP($B$3,'Coeff EC7'!$T$65:$X$85,2,0)*Model0.1C!FH268)/1.1</f>
        <v>#N/A</v>
      </c>
      <c r="FJ268" s="102" t="e">
        <f>(VLOOKUP($B$3,'Coeff EC7'!$T$39:$X$59,3,0)*FG268+VLOOKUP($B$3,'Coeff EC7'!$T$65:$X$85,3,0)*Model0.1C!FH268)/0.9</f>
        <v>#N/A</v>
      </c>
      <c r="FK268" s="102" t="e">
        <f t="shared" si="398"/>
        <v>#N/A</v>
      </c>
      <c r="FL268" s="102" t="e">
        <f t="shared" si="399"/>
        <v>#N/A</v>
      </c>
      <c r="FM268" s="414" t="e">
        <f>IF(FM267=0,0,IF(AND(FI268&gt;charge_ELS_quasi,FJ268&gt;Charge_ELS_freq,FK268&gt;charge_ELU,FL268&gt;charge_ELA,$B268&gt;NDC!$H$22-0.1+MIN(3*$FM$12,1.5)),0,1))</f>
        <v>#N/A</v>
      </c>
    </row>
    <row r="269" spans="1:169">
      <c r="A269" s="96">
        <f t="shared" si="367"/>
        <v>74.400000000001455</v>
      </c>
      <c r="B269" s="97">
        <v>25.6</v>
      </c>
      <c r="C269" s="81">
        <f>IF(B269&lt;=Hypothèses!$C$7,Hypothèses!$A$7,IF(B269&lt;=Hypothèses!$C$8,Hypothèses!$A$8,IF(B269&lt;=Hypothèses!$C$9,Hypothèses!$A$9,IF(B269&lt;=Hypothèses!$C$10,Hypothèses!$A$10,IF(B269&lt;=Hypothèses!$C$11,Hypothèses!$A$11,IF(B269&lt;=Hypothèses!$C$12,Hypothèses!$A$12,IF(B269&lt;=Hypothèses!$C$13,Hypothèses!$A$13,IF(B269&lt;=Hypothèses!$C$14,Hypothèses!$A$14,IF(B269&lt;=Hypothèses!$C$15,Hypothèses!$A$15,IF(B269&lt;=Hypothèses!$C$16,Hypothèses!$A$16,IF(B269&lt;=Hypothèses!$C$17,Hypothèses!$A$17,IF(B269&lt;=Hypothèses!$C$18,Hypothèses!$A$18,C268))))))))))))</f>
        <v>11</v>
      </c>
      <c r="D269" s="82" t="str">
        <f>IF(B269&lt;=Hypothèses!$C$7,Hypothèses!$R$7,IF(B269&lt;=Hypothèses!$C$8,Hypothèses!$R$8,IF(B269&lt;=Hypothèses!$C$9,Hypothèses!$R$9,IF(B269&lt;=Hypothèses!$C$10,Hypothèses!$R$10,IF(B269&lt;=Hypothèses!$C$11,Hypothèses!$R$11,IF(B269&lt;=Hypothèses!$C$12,Hypothèses!$R$12,IF(B269&lt;=Hypothèses!$C$13,Hypothèses!$R$13,IF(B269&lt;=Hypothèses!$C$14,Hypothèses!$R$14,IF(B269&lt;=Hypothèses!$C$15,Hypothèses!$R$15,IF(B269&lt;=Hypothèses!$C$16,Hypothèses!$R$16,IF(B269&lt;=Hypothèses!$C$17,Hypothèses!$R$17,IF(B269&lt;=Hypothèses!$C$18,Hypothèses!$R$18,D268))))))))))))</f>
        <v>Pressio.</v>
      </c>
      <c r="E269" s="82" t="e">
        <f>IF(B269&lt;=Hypothèses!$C$7,Hypothèses!$G$7,IF(B269&lt;=Hypothèses!$C$8,Hypothèses!$G$8,IF(B269&lt;=Hypothèses!$C$9,Hypothèses!$G$9,IF(B269&lt;=Hypothèses!$C$10,Hypothèses!$G$10,IF(B269&lt;=Hypothèses!$C$11,Hypothèses!$G$11,IF(B269&lt;=Hypothèses!$C$12,Hypothèses!$G$12,IF(B269&lt;=Hypothèses!$C$13,Hypothèses!$G$13,IF(B269&lt;=Hypothèses!$C$14,Hypothèses!$G$14,IF(B269&lt;=Hypothèses!$C$15,Hypothèses!$G$15,IF(B269&lt;=Hypothèses!$C$16,Hypothèses!$G$16,IF(B269&lt;=Hypothèses!$C$17,Hypothèses!$G$17,IF(B269&lt;=Hypothèses!$C$18,Hypothèses!$G$18,E268))))))))))))</f>
        <v>#N/A</v>
      </c>
      <c r="F269" s="82" t="str">
        <f>IF(B269&lt;=Hypothèses!$C$7,Hypothèses!$F$7,IF(B269&lt;=Hypothèses!$C$8,Hypothèses!$F$8,IF(B269&lt;=Hypothèses!$C$9,Hypothèses!$F$9,IF(B269&lt;=Hypothèses!$C$10,Hypothèses!$F$10,IF(B269&lt;=Hypothèses!$C$11,Hypothèses!$F$11,IF(B269&lt;=Hypothèses!$C$12,Hypothèses!$F$12,IF(B269&lt;=Hypothèses!$C$13,Hypothèses!$F$13,IF(B269&lt;=Hypothèses!$C$14,Hypothèses!$F$14,IF(B269&lt;=Hypothèses!$C$15,Hypothèses!$F$15,IF(B269&lt;=Hypothèses!$C$16,Hypothèses!$F$16,IF(B269&lt;=Hypothèses!$C$17,Hypothèses!$F$17,IF(B269&lt;=Hypothèses!$C$18,Hypothèses!$F$18,F268))))))))))))</f>
        <v/>
      </c>
      <c r="G269" s="91">
        <f t="array" ref="G269">INDEX('Coeff EC7'!$U$7:$X$27,
MATCH(Model0.1C!$B$3,'Coeff EC7'!$T$7:$T$27,0),
MATCH(Model0.1C!$D269&amp;Model0.1C!$B$4,
'Coeff EC7'!$U$6:$X$6&amp;
'Coeff EC7'!$U$5:$X$5,0))</f>
        <v>1.1499999999999999</v>
      </c>
      <c r="H269" s="91">
        <f t="array" ref="H269">INDEX('Coeff EC7'!$Y$7:$AB$27,
MATCH(Model0.1C!$B$3,'Coeff EC7'!$T$7:$T$27,0),
MATCH(Model0.1C!$D269&amp;Model0.1C!$B$4,
'Coeff EC7'!$Y$6:$AB$6&amp;
'Coeff EC7'!$Y$5:$AB$5,0))</f>
        <v>1.4</v>
      </c>
      <c r="I269" s="83" t="e">
        <f>IF(B269&lt;=Hypothèses!$C$7,Hypothèses!$P$7,IF(B269&lt;=Hypothèses!$C$8,Hypothèses!$P$8,IF(B269&lt;=Hypothèses!$C$9,Hypothèses!$P$9,IF(B269&lt;=Hypothèses!$C$10,Hypothèses!$P$10,IF(B269&lt;=Hypothèses!$C$11,Hypothèses!$P$11,IF(B269&lt;=Hypothèses!$C$12,Hypothèses!$P$12,IF(B269&lt;=Hypothèses!$C$13,Hypothèses!$P$13,IF(B269&lt;=Hypothèses!$C$14,Hypothèses!$P$14,IF(B269&lt;=Hypothèses!$C$15,Hypothèses!$P$15,IF(B269&lt;=Hypothèses!$C$16,Hypothèses!$P$16,IF(B269&lt;=Hypothèses!$C$17,Hypothèses!$P$17,IF(B269&lt;=Hypothèses!$C$18,Hypothèses!$P$18,I268))))))))))))</f>
        <v>#N/A</v>
      </c>
      <c r="J269" s="91" t="e">
        <f t="array" ref="J269">INDEX('Coeff EC7'!$D$33:$Q$33,1,MATCH(D269&amp;E269,'Coeff EC7'!$D$31:$Q$31&amp;'Coeff EC7'!$D$32:$Q$32,0))</f>
        <v>#N/A</v>
      </c>
      <c r="K269" s="91" t="e">
        <f t="array" ref="K269">INDEX('Coeff EC7'!$D$34:$Q$34,1,MATCH(D269&amp;E269,'Coeff EC7'!$D$31:$Q$31&amp;'Coeff EC7'!$D$32:$Q$32,0))</f>
        <v>#N/A</v>
      </c>
      <c r="L269" s="91" t="e">
        <f t="array" ref="L269">INDEX('Coeff EC7'!$D$35:$Q$35,1,MATCH(D269&amp;E269,'Coeff EC7'!$D$31:$Q$31&amp;'Coeff EC7'!$D$32:$Q$32,0))</f>
        <v>#N/A</v>
      </c>
      <c r="M269" s="98" t="e">
        <f t="shared" ref="M269:M332" si="431">((J269*F269+K269)*(1-(EXP(-L269*F269))))</f>
        <v>#N/A</v>
      </c>
      <c r="N269" s="99" t="e">
        <f t="array" ref="N269">INDEX('Coeff EC7'!$D$7:$Q$27,MATCH($B$3,'Coeff EC7'!$C$7:$C$27,0),MATCH(D269&amp;E269,'Coeff EC7'!$D$5:$Q$5&amp;'Coeff EC7'!$D$6:$Q$6,0))</f>
        <v>#N/A</v>
      </c>
      <c r="O269" s="99" t="e">
        <f t="array" ref="O269">INDEX('Coeff EC7'!$D$41:$Q$61,MATCH($B$3,'Coeff EC7'!$C$41:$C$61,0),MATCH(D269&amp;E269,'Coeff EC7'!$D$39:$Q$39&amp;'Coeff EC7'!$D$40:$Q$40,0))</f>
        <v>#N/A</v>
      </c>
      <c r="P269" s="30" t="e">
        <f t="shared" si="368"/>
        <v>#N/A</v>
      </c>
      <c r="Q269" s="100" t="e">
        <f t="shared" si="333"/>
        <v>#N/A</v>
      </c>
      <c r="R269" s="86" t="b">
        <f t="shared" si="334"/>
        <v>0</v>
      </c>
      <c r="S269" s="86">
        <f t="shared" ref="S269:S332" si="432">MAX($AF$12/2,0.5)</f>
        <v>0.5</v>
      </c>
      <c r="T269" s="86">
        <f t="shared" si="335"/>
        <v>0.5</v>
      </c>
      <c r="U269" s="30" t="e">
        <f t="shared" ca="1" si="369"/>
        <v>#DIV/0!</v>
      </c>
      <c r="V269" s="85" t="str">
        <f>IF(B269&lt;=Hypothèses!$V$7,Hypothèses!$W$7,IF(B269&lt;=Hypothèses!$V$8,Hypothèses!$W$8,IF(B269&lt;=Hypothèses!$V$9,Hypothèses!$W$9,IF(B269&lt;=Hypothèses!$V$10,Hypothèses!$W$10,IF(B269&lt;=Hypothèses!$V$11,Hypothèses!$W$11,IF(B269&lt;=Hypothèses!$V$12,Hypothèses!$W$12,IF(B269&lt;=Hypothèses!$V$13,Hypothèses!$W$13,IF(B269&lt;=Hypothèses!$V$14,Hypothèses!$W$14,IF(B269&lt;=Hypothèses!$V$15,Hypothèses!$W$15,IF(B269&lt;=Hypothèses!$V$16,Hypothèses!$W$16,IF(B269&lt;=Hypothèses!$V$17,Hypothèses!$W$17,IF(B269&lt;=Hypothèses!$V$18,Hypothèses!$W$18,""))))))))))))</f>
        <v/>
      </c>
      <c r="W269" s="87" t="e">
        <f t="shared" ca="1" si="416"/>
        <v>#DIV/0!</v>
      </c>
      <c r="X269" s="88" t="str">
        <f>IF(B269&lt;=Hypothèses!$V$7,Hypothèses!$X$7,IF(B269&lt;=Hypothèses!$V$8,Hypothèses!$X$8,IF(B269&lt;=Hypothèses!$V$9,Hypothèses!$X$9,IF(B269&lt;=Hypothèses!$V$10,Hypothèses!$X$10,IF(B269&lt;=Hypothèses!$V$11,Hypothèses!$X$11,IF(B269&lt;=Hypothèses!$V$12,Hypothèses!$X$12,IF(B269&lt;=Hypothèses!$V$13,Hypothèses!$X$13,IF(B269&lt;=Hypothèses!$V$14,Hypothèses!$X$14,IF(B269&lt;=Hypothèses!$V$15,Hypothèses!$X$15,IF(B269&lt;=Hypothèses!$V$16,Hypothèses!$X$16,IF(B269&lt;=Hypothèses!$U$17,Hypothèses!$W$17,IF(B269&lt;=Hypothèses!$U$18,Hypothèses!$W$18,""))))))))))))</f>
        <v/>
      </c>
      <c r="Y269" s="95" t="e">
        <f t="shared" ca="1" si="336"/>
        <v>#DIV/0!</v>
      </c>
      <c r="Z269" s="101" t="e">
        <f t="shared" si="337"/>
        <v>#N/A</v>
      </c>
      <c r="AA269" s="91" t="e">
        <f t="shared" si="338"/>
        <v>#N/A</v>
      </c>
      <c r="AB269" s="30" t="e">
        <f t="shared" si="400"/>
        <v>#N/A</v>
      </c>
      <c r="AC269" s="30" t="e">
        <f t="shared" si="401"/>
        <v>#N/A</v>
      </c>
      <c r="AD269" s="31" t="e">
        <f>IF(OR(Hypothèses!$B$4=17,Hypothèses!$B$4=18,Hypothèses!$B$4=19,Hypothèses!$B$4=20),
IF($D269="Pressio.",
IF(OR($E269=3,$E269=1,$E269=4),AC269,AB269),
IF($D269="Pénétro.",
IF(OR($E269=3,$E269=1,$E269=4),AC269,AB269))),IF($D269="Pressio.",
IF($E269=3,AC269,AB269),
IF($D269="Pénétro.",
IF($E269=4,AC269,AB269))))</f>
        <v>#N/A</v>
      </c>
      <c r="AE269" s="31" t="e">
        <f>(IF(OR(Hypothèses!$B$4=17,Hypothèses!$B$4=18,Hypothèses!$B$4=19,Hypothèses!$B$4=20),
IF($D269="Pressio.",
IF(OR($E269=3,$E269=1,$E269=4),(PI()*AE$12^2)/4*(AA269*$W269*1000)/($H269*$B$5),(PI()*AE$12^2)/4*(AA269*$W269*1000)/($G269*$B$5)),
IF($D269="Pénétro.",
IF(OR($E269=4,$E269=1,$E269=5),(PI()*AE$12^2)/4*(AA269*$W269*1000)/($H269*$B$5),(PI()*AE$12^2)/4*(AA269*$W269*1000)/($G269*$B$5)))),
IF($D269="Pressio.",
IF($E269=3,(PI()*AE$12^2)/4*(AA269*$W269*1000)/($H269*$B$5),(PI()*AE$12^2)/4*(AA269*$W269*1000)/($G269*$B$5)),
IF($D269="Pénétro.",
IF($E269=4,(PI()*AE$12^2)/4*(AA269*$W269*1000)/($H269*$B$5),(PI()*AE$12^2)/4*(AA269*$W269*1000)/($G269*$B$5))))))/10</f>
        <v>#N/A</v>
      </c>
      <c r="AF269" s="102" t="e">
        <f>(VLOOKUP($B$3,'Coeff EC7'!$T$39:$X$59,2,0)*AD269+VLOOKUP($B$3,'Coeff EC7'!$T$65:$X$85,2,0)*Model0.1C!AE269)/1.1</f>
        <v>#N/A</v>
      </c>
      <c r="AG269" s="102" t="e">
        <f>(VLOOKUP($B$3,'Coeff EC7'!$T$39:$X$59,3,0)*AD269+VLOOKUP($B$3,'Coeff EC7'!$T$65:$X$85,3,0)*Model0.1C!AE269)/0.9</f>
        <v>#N/A</v>
      </c>
      <c r="AH269" s="102" t="e">
        <f t="shared" si="339"/>
        <v>#N/A</v>
      </c>
      <c r="AI269" s="102" t="e">
        <f t="shared" si="340"/>
        <v>#N/A</v>
      </c>
      <c r="AJ269" s="414" t="e">
        <f>IF(AJ268=0,0,IF(AND(AF269&gt;charge_ELS_quasi,AG269&gt;Charge_ELS_freq,AH269&gt;charge_ELU,AI269&gt;charge_ELA,$B269&gt;NDC!$H$22-0.1+MIN(3*$AJ$12,1.5)),0,1))</f>
        <v>#N/A</v>
      </c>
      <c r="AK269" s="86" t="b">
        <f t="shared" si="341"/>
        <v>0</v>
      </c>
      <c r="AL269" s="86">
        <f t="shared" si="370"/>
        <v>0.5</v>
      </c>
      <c r="AM269" s="86">
        <f t="shared" si="342"/>
        <v>0.5</v>
      </c>
      <c r="AN269" s="30" t="e">
        <f t="shared" ca="1" si="371"/>
        <v>#DIV/0!</v>
      </c>
      <c r="AO269" s="85" t="e">
        <f ca="1">IF(U269&lt;=Hypothèses!$V$7,Hypothèses!$W$7,IF(U269&lt;=Hypothèses!$V$8,Hypothèses!$W$8,IF(U269&lt;=Hypothèses!$V$9,Hypothèses!$W$9,IF(U269&lt;=Hypothèses!$V$10,Hypothèses!$W$10,IF(U269&lt;=Hypothèses!$V$11,Hypothèses!$W$11,IF(U269&lt;=Hypothèses!$V$12,Hypothèses!$W$12,IF(U269&lt;=Hypothèses!$V$13,Hypothèses!$W$13,IF(U269&lt;=Hypothèses!$V$14,Hypothèses!$W$14,IF(U269&lt;=Hypothèses!$V$15,Hypothèses!$W$15,IF(U269&lt;=Hypothèses!$V$16,Hypothèses!$W$16,IF(U269&lt;=Hypothèses!$V$17,Hypothèses!$W$17,IF(U269&lt;=Hypothèses!$V$18,Hypothèses!$W$18,""))))))))))))</f>
        <v>#DIV/0!</v>
      </c>
      <c r="AP269" s="87" t="e">
        <f t="shared" ca="1" si="417"/>
        <v>#DIV/0!</v>
      </c>
      <c r="AQ269" s="88" t="e">
        <f ca="1">IF(U269&lt;=Hypothèses!$V$7,Hypothèses!$X$7,IF(U269&lt;=Hypothèses!$V$8,Hypothèses!$X$8,IF(U269&lt;=Hypothèses!$V$9,Hypothèses!$X$9,IF(U269&lt;=Hypothèses!$V$10,Hypothèses!$X$10,IF(U269&lt;=Hypothèses!$V$11,Hypothèses!$X$11,IF(U269&lt;=Hypothèses!$V$12,Hypothèses!$X$12,IF(U269&lt;=Hypothèses!$V$13,Hypothèses!$X$13,IF(U269&lt;=Hypothèses!$V$14,Hypothèses!$X$14,IF(U269&lt;=Hypothèses!$V$15,Hypothèses!$X$15,IF(U269&lt;=Hypothèses!$V$16,Hypothèses!$X$16,IF(U269&lt;=Hypothèses!$U$17,Hypothèses!$W$17,IF(U269&lt;=Hypothèses!$U$18,Hypothèses!$W$18,""))))))))))))</f>
        <v>#DIV/0!</v>
      </c>
      <c r="AR269" s="95" t="e">
        <f t="shared" ca="1" si="372"/>
        <v>#DIV/0!</v>
      </c>
      <c r="AS269" s="101" t="e">
        <f t="shared" si="424"/>
        <v>#N/A</v>
      </c>
      <c r="AT269" s="91" t="e">
        <f t="shared" si="343"/>
        <v>#N/A</v>
      </c>
      <c r="AU269" s="30" t="e">
        <f t="shared" si="402"/>
        <v>#N/A</v>
      </c>
      <c r="AV269" s="30" t="e">
        <f t="shared" si="403"/>
        <v>#N/A</v>
      </c>
      <c r="AW269" s="31" t="e">
        <f>IF(OR(Hypothèses!$B$4=17,Hypothèses!$B$4=18,Hypothèses!$B$4=19,Hypothèses!$B$4=20),
IF($D269="Pressio.",
IF(OR($E269=3,$E269=1,$E269=4),AV269,AU269),
IF($D269="Pénétro.",
IF(OR($E269=3,$E269=1,$E269=4),AV269,AU269))),IF($D269="Pressio.",
IF($E269=3,AV269,AU269),
IF($D269="Pénétro.",
IF($E269=4,AV269,AU269))))</f>
        <v>#N/A</v>
      </c>
      <c r="AX269" s="31" t="e">
        <f>(IF(OR(Hypothèses!$B$4=17,Hypothèses!$B$4=18,Hypothèses!$B$4=19,Hypothèses!$B$4=20),
IF($D269="Pressio.",
IF(OR($E269=3,$E269=1,$E269=4),(PI()*AX$12^2)/4*(AT269*$W269*1000)/($H269*$B$5),(PI()*AX$12^2)/4*(AT269*$W269*1000)/($G269*$B$5)),
IF($D269="Pénétro.",
IF(OR($E269=4,$E269=1,$E269=5),(PI()*AX$12^2)/4*(AT269*$W269*1000)/($H269*$B$5),(PI()*AX$12^2)/4*(AT269*$W269*1000)/($G269*$B$5)))),
IF($D269="Pressio.",
IF($E269=3,(PI()*AX$12^2)/4*(AT269*$W269*1000)/($H269*$B$5),(PI()*AX$12^2)/4*(AT269*$W269*1000)/($G269*$B$5)),
IF($D269="Pénétro.",
IF($E269=4,(PI()*AX$12^2)/4*(AT269*$W269*1000)/($H269*$B$5),(PI()*AX$12^2)/4*(AT269*$W269*1000)/($G269*$B$5))))))/10</f>
        <v>#N/A</v>
      </c>
      <c r="AY269" s="102" t="e">
        <f>(VLOOKUP($B$3,'Coeff EC7'!$T$39:$X$59,2,0)*AW269+VLOOKUP($B$3,'Coeff EC7'!$T$65:$X$85,2,0)*Model0.1C!AX269)/1.1</f>
        <v>#N/A</v>
      </c>
      <c r="AZ269" s="102" t="e">
        <f>(VLOOKUP($B$3,'Coeff EC7'!$T$39:$X$59,3,0)*AW269+VLOOKUP($B$3,'Coeff EC7'!$T$65:$X$85,3,0)*Model0.1C!AX269)/0.9</f>
        <v>#N/A</v>
      </c>
      <c r="BA269" s="102" t="e">
        <f t="shared" si="373"/>
        <v>#N/A</v>
      </c>
      <c r="BB269" s="102" t="e">
        <f t="shared" si="374"/>
        <v>#N/A</v>
      </c>
      <c r="BC269" s="414" t="e">
        <f>IF(BC268=0,0,IF(AND(AY269&gt;charge_ELS_quasi,AZ269&gt;Charge_ELS_freq,BA269&gt;charge_ELU,BB269&gt;charge_ELA,$B269&gt;NDC!$H$22-0.1+MIN(3*$BC$12,1.5)),0,1))</f>
        <v>#N/A</v>
      </c>
      <c r="BD269" s="86" t="b">
        <f t="shared" si="344"/>
        <v>0</v>
      </c>
      <c r="BE269" s="86">
        <f t="shared" si="375"/>
        <v>0.5</v>
      </c>
      <c r="BF269" s="86">
        <f t="shared" si="345"/>
        <v>0.5</v>
      </c>
      <c r="BG269" s="30" t="e">
        <f t="shared" ca="1" si="376"/>
        <v>#DIV/0!</v>
      </c>
      <c r="BH269" s="85" t="e">
        <f ca="1">IF(AN269&lt;=Hypothèses!$V$7,Hypothèses!$W$7,IF(AN269&lt;=Hypothèses!$V$8,Hypothèses!$W$8,IF(AN269&lt;=Hypothèses!$V$9,Hypothèses!$W$9,IF(AN269&lt;=Hypothèses!$V$10,Hypothèses!$W$10,IF(AN269&lt;=Hypothèses!$V$11,Hypothèses!$W$11,IF(AN269&lt;=Hypothèses!$V$12,Hypothèses!$W$12,IF(AN269&lt;=Hypothèses!$V$13,Hypothèses!$W$13,IF(AN269&lt;=Hypothèses!$V$14,Hypothèses!$W$14,IF(AN269&lt;=Hypothèses!$V$15,Hypothèses!$W$15,IF(AN269&lt;=Hypothèses!$V$16,Hypothèses!$W$16,IF(AN269&lt;=Hypothèses!$V$17,Hypothèses!$W$17,IF(AN269&lt;=Hypothèses!$V$18,Hypothèses!$W$18,""))))))))))))</f>
        <v>#DIV/0!</v>
      </c>
      <c r="BI269" s="87" t="e">
        <f t="shared" ca="1" si="418"/>
        <v>#DIV/0!</v>
      </c>
      <c r="BJ269" s="88" t="e">
        <f ca="1">IF(AN269&lt;=Hypothèses!$V$7,Hypothèses!$X$7,IF(AN269&lt;=Hypothèses!$V$8,Hypothèses!$X$8,IF(AN269&lt;=Hypothèses!$V$9,Hypothèses!$X$9,IF(AN269&lt;=Hypothèses!$V$10,Hypothèses!$X$10,IF(AN269&lt;=Hypothèses!$V$11,Hypothèses!$X$11,IF(AN269&lt;=Hypothèses!$V$12,Hypothèses!$X$12,IF(AN269&lt;=Hypothèses!$V$13,Hypothèses!$X$13,IF(AN269&lt;=Hypothèses!$V$14,Hypothèses!$X$14,IF(AN269&lt;=Hypothèses!$V$15,Hypothèses!$X$15,IF(AN269&lt;=Hypothèses!$V$16,Hypothèses!$X$16,IF(AN269&lt;=Hypothèses!$U$17,Hypothèses!$W$17,IF(AN269&lt;=Hypothèses!$U$18,Hypothèses!$W$18,""))))))))))))</f>
        <v>#DIV/0!</v>
      </c>
      <c r="BK269" s="95" t="e">
        <f t="shared" ca="1" si="377"/>
        <v>#DIV/0!</v>
      </c>
      <c r="BL269" s="101" t="e">
        <f t="shared" si="425"/>
        <v>#N/A</v>
      </c>
      <c r="BM269" s="91" t="e">
        <f t="shared" si="346"/>
        <v>#N/A</v>
      </c>
      <c r="BN269" s="30" t="e">
        <f t="shared" si="404"/>
        <v>#N/A</v>
      </c>
      <c r="BO269" s="30" t="e">
        <f t="shared" si="405"/>
        <v>#N/A</v>
      </c>
      <c r="BP269" s="31" t="e">
        <f>IF(OR(Hypothèses!$B$4=17,Hypothèses!$B$4=18,Hypothèses!$B$4=19,Hypothèses!$B$4=20),
IF($D269="Pressio.",
IF(OR($E269=3,$E269=1,$E269=4),BO269,BN269),
IF($D269="Pénétro.",
IF(OR($E269=3,$E269=1,$E269=4),BO269,BN269))),IF($D269="Pressio.",
IF($E269=3,BO269,BN269),
IF($D269="Pénétro.",
IF($E269=4,BO269,BN269))))</f>
        <v>#N/A</v>
      </c>
      <c r="BQ269" s="31" t="e">
        <f>(IF(OR(Hypothèses!$B$4=17,Hypothèses!$B$4=18,Hypothèses!$B$4=19,Hypothèses!$B$4=20),
IF($D269="Pressio.",
IF(OR($E269=3,$E269=1,$E269=4),(PI()*BQ$12^2)/4*(BM269*$W269*1000)/($H269*$B$5),(PI()*BQ$12^2)/4*(BM269*$W269*1000)/($G269*$B$5)),
IF($D269="Pénétro.",
IF(OR($E269=4,$E269=1,$E269=5),(PI()*BQ$12^2)/4*(BM269*$W269*1000)/($H269*$B$5),(PI()*BQ$12^2)/4*(BM269*$W269*1000)/($G269*$B$5)))),
IF($D269="Pressio.",
IF($E269=3,(PI()*BQ$12^2)/4*(BM269*$W269*1000)/($H269*$B$5),(PI()*BQ$12^2)/4*(BM269*$W269*1000)/($G269*$B$5)),
IF($D269="Pénétro.",
IF($E269=4,(PI()*BQ$12^2)/4*(BM269*$W269*1000)/($H269*$B$5),(PI()*BQ$12^2)/4*(BM269*$W269*1000)/($G269*$B$5))))))/10</f>
        <v>#N/A</v>
      </c>
      <c r="BR269" s="102" t="e">
        <f>(VLOOKUP($B$3,'Coeff EC7'!$T$39:$X$59,2,0)*BP269+VLOOKUP($B$3,'Coeff EC7'!$T$65:$X$85,2,0)*Model0.1C!BQ269)/1.1</f>
        <v>#N/A</v>
      </c>
      <c r="BS269" s="102" t="e">
        <f>(VLOOKUP($B$3,'Coeff EC7'!$T$39:$X$59,3,0)*BP269+VLOOKUP($B$3,'Coeff EC7'!$T$65:$X$85,3,0)*Model0.1C!BQ269)/0.9</f>
        <v>#N/A</v>
      </c>
      <c r="BT269" s="102" t="e">
        <f t="shared" si="378"/>
        <v>#N/A</v>
      </c>
      <c r="BU269" s="102" t="e">
        <f t="shared" si="379"/>
        <v>#N/A</v>
      </c>
      <c r="BV269" s="414" t="e">
        <f>IF(BV268=0,0,IF(AND(BR269&gt;charge_ELS_quasi,BS269&gt;Charge_ELS_freq,BT269&gt;charge_ELU,BU269&gt;charge_ELA,$B269&gt;NDC!$H$22-0.1+MIN(3*$BV$12,1.5)),0,1))</f>
        <v>#N/A</v>
      </c>
      <c r="BW269" s="86" t="b">
        <f t="shared" si="347"/>
        <v>0</v>
      </c>
      <c r="BX269" s="86">
        <f t="shared" si="348"/>
        <v>0.5</v>
      </c>
      <c r="BY269" s="86">
        <f t="shared" si="349"/>
        <v>0.5</v>
      </c>
      <c r="BZ269" s="30" t="e">
        <f t="shared" ca="1" si="380"/>
        <v>#DIV/0!</v>
      </c>
      <c r="CA269" s="85" t="e">
        <f ca="1">IF(BG269&lt;=Hypothèses!$V$7,Hypothèses!$W$7,IF(BG269&lt;=Hypothèses!$V$8,Hypothèses!$W$8,IF(BG269&lt;=Hypothèses!$V$9,Hypothèses!$W$9,IF(BG269&lt;=Hypothèses!$V$10,Hypothèses!$W$10,IF(BG269&lt;=Hypothèses!$V$11,Hypothèses!$W$11,IF(BG269&lt;=Hypothèses!$V$12,Hypothèses!$W$12,IF(BG269&lt;=Hypothèses!$V$13,Hypothèses!$W$13,IF(BG269&lt;=Hypothèses!$V$14,Hypothèses!$W$14,IF(BG269&lt;=Hypothèses!$V$15,Hypothèses!$W$15,IF(BG269&lt;=Hypothèses!$V$16,Hypothèses!$W$16,IF(BG269&lt;=Hypothèses!$V$17,Hypothèses!$W$17,IF(BG269&lt;=Hypothèses!$V$18,Hypothèses!$W$18,""))))))))))))</f>
        <v>#DIV/0!</v>
      </c>
      <c r="CB269" s="87" t="e">
        <f t="shared" ca="1" si="419"/>
        <v>#DIV/0!</v>
      </c>
      <c r="CC269" s="88" t="e">
        <f ca="1">IF(BG269&lt;=Hypothèses!$V$7,Hypothèses!$X$7,IF(BG269&lt;=Hypothèses!$V$8,Hypothèses!$X$8,IF(BG269&lt;=Hypothèses!$V$9,Hypothèses!$X$9,IF(BG269&lt;=Hypothèses!$V$10,Hypothèses!$X$10,IF(BG269&lt;=Hypothèses!$V$11,Hypothèses!$X$11,IF(BG269&lt;=Hypothèses!$V$12,Hypothèses!$X$12,IF(BG269&lt;=Hypothèses!$V$13,Hypothèses!$X$13,IF(BG269&lt;=Hypothèses!$V$14,Hypothèses!$X$14,IF(BG269&lt;=Hypothèses!$V$15,Hypothèses!$X$15,IF(BG269&lt;=Hypothèses!$V$16,Hypothèses!$X$16,IF(BG269&lt;=Hypothèses!$U$17,Hypothèses!$W$17,IF(BG269&lt;=Hypothèses!$U$18,Hypothèses!$W$18,""))))))))))))</f>
        <v>#DIV/0!</v>
      </c>
      <c r="CD269" s="95" t="e">
        <f t="shared" ca="1" si="381"/>
        <v>#DIV/0!</v>
      </c>
      <c r="CE269" s="101" t="e">
        <f t="shared" si="426"/>
        <v>#N/A</v>
      </c>
      <c r="CF269" s="91" t="e">
        <f t="shared" si="350"/>
        <v>#N/A</v>
      </c>
      <c r="CG269" s="30" t="e">
        <f t="shared" si="406"/>
        <v>#N/A</v>
      </c>
      <c r="CH269" s="30" t="e">
        <f t="shared" si="407"/>
        <v>#N/A</v>
      </c>
      <c r="CI269" s="31" t="e">
        <f>IF(OR(Hypothèses!$B$4=17,Hypothèses!$B$4=18,Hypothèses!$B$4=19,Hypothèses!$B$4=20),
IF($D269="Pressio.",
IF(OR($E269=3,$E269=1,$E269=4),CH269,CG269),
IF($D269="Pénétro.",
IF(OR($E269=3,$E269=1,$E269=4),CH269,CG269))),IF($D269="Pressio.",
IF($E269=3,CH269,CG269),
IF($D269="Pénétro.",
IF($E269=4,CH269,CG269))))</f>
        <v>#N/A</v>
      </c>
      <c r="CJ269" s="31" t="e">
        <f>(IF(OR(Hypothèses!$B$4=17,Hypothèses!$B$4=18,Hypothèses!$B$4=19,Hypothèses!$B$4=20),
IF($D269="Pressio.",
IF(OR($E269=3,$E269=1,$E269=4),(PI()*CJ$12^2)/4*(CF269*$W269*1000)/($H269*$B$5),(PI()*CJ$12^2)/4*(CF269*$W269*1000)/($G269*$B$5)),
IF($D269="Pénétro.",
IF(OR($E269=4,$E269=1,$E269=5),(PI()*CJ$12^2)/4*(CF269*$W269*1000)/($H269*$B$5),(PI()*CJ$12^2)/4*(CF269*$W269*1000)/($G269*$B$5)))),
IF($D269="Pressio.",
IF($E269=3,(PI()*CJ$12^2)/4*(CF269*$W269*1000)/($H269*$B$5),(PI()*CJ$12^2)/4*(CF269*$W269*1000)/($G269*$B$5)),
IF($D269="Pénétro.",
IF($E269=4,(PI()*CJ$12^2)/4*(CF269*$W269*1000)/($H269*$B$5),(PI()*CJ$12^2)/4*(CF269*$W269*1000)/($G269*$B$5))))))/10</f>
        <v>#N/A</v>
      </c>
      <c r="CK269" s="102" t="e">
        <f>(VLOOKUP($B$3,'Coeff EC7'!$T$39:$X$59,2,0)*CI269+VLOOKUP($B$3,'Coeff EC7'!$T$65:$X$85,2,0)*Model0.1C!CJ269)/1.1</f>
        <v>#N/A</v>
      </c>
      <c r="CL269" s="102" t="e">
        <f>(VLOOKUP($B$3,'Coeff EC7'!$T$39:$X$59,3,0)*CI269+VLOOKUP($B$3,'Coeff EC7'!$T$65:$X$85,3,0)*Model0.1C!CJ269)/0.9</f>
        <v>#N/A</v>
      </c>
      <c r="CM269" s="102" t="e">
        <f t="shared" si="382"/>
        <v>#N/A</v>
      </c>
      <c r="CN269" s="102" t="e">
        <f t="shared" si="383"/>
        <v>#N/A</v>
      </c>
      <c r="CO269" s="414" t="e">
        <f>IF(CO268=0,0,IF(AND(CK269&gt;charge_ELS_quasi,CL269&gt;Charge_ELS_freq,CM269&gt;charge_ELU,CN269&gt;charge_ELA,$B269&gt;NDC!$H$22-0.1+MIN(3*$CO$12,1.5)),0,1))</f>
        <v>#N/A</v>
      </c>
      <c r="CP269" s="86" t="b">
        <f t="shared" si="351"/>
        <v>0</v>
      </c>
      <c r="CQ269" s="86">
        <f t="shared" si="352"/>
        <v>0.5</v>
      </c>
      <c r="CR269" s="86">
        <f t="shared" si="353"/>
        <v>0.5</v>
      </c>
      <c r="CS269" s="30" t="e">
        <f t="shared" ca="1" si="384"/>
        <v>#DIV/0!</v>
      </c>
      <c r="CT269" s="85" t="e">
        <f ca="1">IF(BZ269&lt;=Hypothèses!$V$7,Hypothèses!$W$7,IF(BZ269&lt;=Hypothèses!$V$8,Hypothèses!$W$8,IF(BZ269&lt;=Hypothèses!$V$9,Hypothèses!$W$9,IF(BZ269&lt;=Hypothèses!$V$10,Hypothèses!$W$10,IF(BZ269&lt;=Hypothèses!$V$11,Hypothèses!$W$11,IF(BZ269&lt;=Hypothèses!$V$12,Hypothèses!$W$12,IF(BZ269&lt;=Hypothèses!$V$13,Hypothèses!$W$13,IF(BZ269&lt;=Hypothèses!$V$14,Hypothèses!$W$14,IF(BZ269&lt;=Hypothèses!$V$15,Hypothèses!$W$15,IF(BZ269&lt;=Hypothèses!$V$16,Hypothèses!$W$16,IF(BZ269&lt;=Hypothèses!$V$17,Hypothèses!$W$17,IF(BZ269&lt;=Hypothèses!$V$18,Hypothèses!$W$18,""))))))))))))</f>
        <v>#DIV/0!</v>
      </c>
      <c r="CU269" s="87" t="e">
        <f t="shared" ca="1" si="420"/>
        <v>#DIV/0!</v>
      </c>
      <c r="CV269" s="88" t="e">
        <f ca="1">IF(BZ269&lt;=Hypothèses!$V$7,Hypothèses!$X$7,IF(BZ269&lt;=Hypothèses!$V$8,Hypothèses!$X$8,IF(BZ269&lt;=Hypothèses!$V$9,Hypothèses!$X$9,IF(BZ269&lt;=Hypothèses!$V$10,Hypothèses!$X$10,IF(BZ269&lt;=Hypothèses!$V$11,Hypothèses!$X$11,IF(BZ269&lt;=Hypothèses!$V$12,Hypothèses!$X$12,IF(BZ269&lt;=Hypothèses!$V$13,Hypothèses!$X$13,IF(BZ269&lt;=Hypothèses!$V$14,Hypothèses!$X$14,IF(BZ269&lt;=Hypothèses!$V$15,Hypothèses!$X$15,IF(BZ269&lt;=Hypothèses!$V$16,Hypothèses!$X$16,IF(BZ269&lt;=Hypothèses!$U$17,Hypothèses!$W$17,IF(BZ269&lt;=Hypothèses!$U$18,Hypothèses!$W$18,""))))))))))))</f>
        <v>#DIV/0!</v>
      </c>
      <c r="CW269" s="95" t="e">
        <f t="shared" ca="1" si="385"/>
        <v>#DIV/0!</v>
      </c>
      <c r="CX269" s="101" t="e">
        <f t="shared" si="427"/>
        <v>#N/A</v>
      </c>
      <c r="CY269" s="91" t="e">
        <f t="shared" si="354"/>
        <v>#N/A</v>
      </c>
      <c r="CZ269" s="30" t="e">
        <f t="shared" si="408"/>
        <v>#N/A</v>
      </c>
      <c r="DA269" s="30" t="e">
        <f t="shared" si="409"/>
        <v>#N/A</v>
      </c>
      <c r="DB269" s="31" t="e">
        <f>IF(OR(Hypothèses!$B$4=17,Hypothèses!$B$4=18,Hypothèses!$B$4=19,Hypothèses!$B$4=20),
IF($D269="Pressio.",
IF(OR($E269=3,$E269=1,$E269=4),DA269,CZ269),
IF($D269="Pénétro.",
IF(OR($E269=3,$E269=1,$E269=4),DA269,CZ269))),IF($D269="Pressio.",
IF($E269=3,DA269,CZ269),
IF($D269="Pénétro.",
IF($E269=4,DA269,CZ269))))</f>
        <v>#N/A</v>
      </c>
      <c r="DC269" s="31" t="e">
        <f>(IF(OR(Hypothèses!$B$4=17,Hypothèses!$B$4=18,Hypothèses!$B$4=19,Hypothèses!$B$4=20),
IF($D269="Pressio.",
IF(OR($E269=3,$E269=1,$E269=4),(PI()*DC$12^2)/4*(CY269*$W269*1000)/($H269*$B$5),(PI()*DC$12^2)/4*(CY269*$W269*1000)/($G269*$B$5)),
IF($D269="Pénétro.",
IF(OR($E269=4,$E269=1,$E269=5),(PI()*DC$12^2)/4*(CY269*$W269*1000)/($H269*$B$5),(PI()*DC$12^2)/4*(CY269*$W269*1000)/($G269*$B$5)))),
IF($D269="Pressio.",
IF($E269=3,(PI()*DC$12^2)/4*(CY269*$W269*1000)/($H269*$B$5),(PI()*DC$12^2)/4*(CY269*$W269*1000)/($G269*$B$5)),
IF($D269="Pénétro.",
IF($E269=4,(PI()*DC$12^2)/4*(CY269*$W269*1000)/($H269*$B$5),(PI()*DC$12^2)/4*(CY269*$W269*1000)/($G269*$B$5))))))/10</f>
        <v>#N/A</v>
      </c>
      <c r="DD269" s="102" t="e">
        <f>(VLOOKUP($B$3,'Coeff EC7'!$T$39:$X$59,2,0)*DB269+VLOOKUP($B$3,'Coeff EC7'!$T$65:$X$85,2,0)*Model0.1C!DC269)/1.1</f>
        <v>#N/A</v>
      </c>
      <c r="DE269" s="102" t="e">
        <f>(VLOOKUP($B$3,'Coeff EC7'!$T$39:$X$59,3,0)*DB269+VLOOKUP($B$3,'Coeff EC7'!$T$65:$X$85,3,0)*Model0.1C!DC269)/0.9</f>
        <v>#N/A</v>
      </c>
      <c r="DF269" s="102" t="e">
        <f t="shared" si="386"/>
        <v>#N/A</v>
      </c>
      <c r="DG269" s="102" t="e">
        <f t="shared" si="387"/>
        <v>#N/A</v>
      </c>
      <c r="DH269" s="414" t="e">
        <f>IF(DH268=0,0,IF(AND(DD269&gt;charge_ELS_quasi,DE269&gt;Charge_ELS_freq,DF269&gt;charge_ELU,DG269&gt;charge_ELA,$B269&gt;NDC!$H$22-0.1+MIN(3*$DH$12,1.5)),0,1))</f>
        <v>#N/A</v>
      </c>
      <c r="DI269" s="86" t="b">
        <f t="shared" si="355"/>
        <v>0</v>
      </c>
      <c r="DJ269" s="86">
        <f t="shared" si="356"/>
        <v>0.5</v>
      </c>
      <c r="DK269" s="86">
        <f t="shared" si="357"/>
        <v>0.5</v>
      </c>
      <c r="DL269" s="30" t="e">
        <f t="shared" ca="1" si="388"/>
        <v>#DIV/0!</v>
      </c>
      <c r="DM269" s="85" t="e">
        <f ca="1">IF(CS269&lt;=Hypothèses!$V$7,Hypothèses!$W$7,IF(CS269&lt;=Hypothèses!$V$8,Hypothèses!$W$8,IF(CS269&lt;=Hypothèses!$V$9,Hypothèses!$W$9,IF(CS269&lt;=Hypothèses!$V$10,Hypothèses!$W$10,IF(CS269&lt;=Hypothèses!$V$11,Hypothèses!$W$11,IF(CS269&lt;=Hypothèses!$V$12,Hypothèses!$W$12,IF(CS269&lt;=Hypothèses!$V$13,Hypothèses!$W$13,IF(CS269&lt;=Hypothèses!$V$14,Hypothèses!$W$14,IF(CS269&lt;=Hypothèses!$V$15,Hypothèses!$W$15,IF(CS269&lt;=Hypothèses!$V$16,Hypothèses!$W$16,IF(CS269&lt;=Hypothèses!$V$17,Hypothèses!$W$17,IF(CS269&lt;=Hypothèses!$V$18,Hypothèses!$W$18,""))))))))))))</f>
        <v>#DIV/0!</v>
      </c>
      <c r="DN269" s="87" t="e">
        <f t="shared" ca="1" si="421"/>
        <v>#DIV/0!</v>
      </c>
      <c r="DO269" s="88" t="e">
        <f ca="1">IF(CS269&lt;=Hypothèses!$V$7,Hypothèses!$X$7,IF(CS269&lt;=Hypothèses!$V$8,Hypothèses!$X$8,IF(CS269&lt;=Hypothèses!$V$9,Hypothèses!$X$9,IF(CS269&lt;=Hypothèses!$V$10,Hypothèses!$X$10,IF(CS269&lt;=Hypothèses!$V$11,Hypothèses!$X$11,IF(CS269&lt;=Hypothèses!$V$12,Hypothèses!$X$12,IF(CS269&lt;=Hypothèses!$V$13,Hypothèses!$X$13,IF(CS269&lt;=Hypothèses!$V$14,Hypothèses!$X$14,IF(CS269&lt;=Hypothèses!$V$15,Hypothèses!$X$15,IF(CS269&lt;=Hypothèses!$V$16,Hypothèses!$X$16,IF(CS269&lt;=Hypothèses!$U$17,Hypothèses!$W$17,IF(CS269&lt;=Hypothèses!$U$18,Hypothèses!$W$18,""))))))))))))</f>
        <v>#DIV/0!</v>
      </c>
      <c r="DP269" s="95" t="e">
        <f t="shared" ca="1" si="389"/>
        <v>#DIV/0!</v>
      </c>
      <c r="DQ269" s="101" t="e">
        <f t="shared" si="428"/>
        <v>#N/A</v>
      </c>
      <c r="DR269" s="91" t="e">
        <f t="shared" si="358"/>
        <v>#N/A</v>
      </c>
      <c r="DS269" s="30" t="e">
        <f t="shared" si="410"/>
        <v>#N/A</v>
      </c>
      <c r="DT269" s="30" t="e">
        <f t="shared" si="411"/>
        <v>#N/A</v>
      </c>
      <c r="DU269" s="31" t="e">
        <f>IF(OR(Hypothèses!$B$4=17,Hypothèses!$B$4=18,Hypothèses!$B$4=19,Hypothèses!$B$4=20),
IF($D269="Pressio.",
IF(OR($E269=3,$E269=1,$E269=4),DT269,DS269),
IF($D269="Pénétro.",
IF(OR($E269=3,$E269=1,$E269=4),DT269,DS269))),IF($D269="Pressio.",
IF($E269=3,DT269,DS269),
IF($D269="Pénétro.",
IF($E269=4,DT269,DS269))))</f>
        <v>#N/A</v>
      </c>
      <c r="DV269" s="31" t="e">
        <f>(IF(OR(Hypothèses!$B$4=17,Hypothèses!$B$4=18,Hypothèses!$B$4=19,Hypothèses!$B$4=20),
IF($D269="Pressio.",
IF(OR($E269=3,$E269=1,$E269=4),(PI()*DV$12^2)/4*(DR269*$W269*1000)/($H269*$B$5),(PI()*DV$12^2)/4*(DR269*$W269*1000)/($G269*$B$5)),
IF($D269="Pénétro.",
IF(OR($E269=4,$E269=1,$E269=5),(PI()*DV$12^2)/4*(DR269*$W269*1000)/($H269*$B$5),(PI()*DV$12^2)/4*(DR269*$W269*1000)/($G269*$B$5)))),
IF($D269="Pressio.",
IF($E269=3,(PI()*DV$12^2)/4*(DR269*$W269*1000)/($H269*$B$5),(PI()*DV$12^2)/4*(DR269*$W269*1000)/($G269*$B$5)),
IF($D269="Pénétro.",
IF($E269=4,(PI()*DV$12^2)/4*(DR269*$W269*1000)/($H269*$B$5),(PI()*DV$12^2)/4*(DR269*$W269*1000)/($G269*$B$5))))))/10</f>
        <v>#N/A</v>
      </c>
      <c r="DW269" s="102" t="e">
        <f>(VLOOKUP($B$3,'Coeff EC7'!$T$39:$X$59,2,0)*DU269+VLOOKUP($B$3,'Coeff EC7'!$T$65:$X$85,2,0)*Model0.1C!DV269)/1.1</f>
        <v>#N/A</v>
      </c>
      <c r="DX269" s="102" t="e">
        <f>(VLOOKUP($B$3,'Coeff EC7'!$T$39:$X$59,3,0)*DU269+VLOOKUP($B$3,'Coeff EC7'!$T$65:$X$85,3,0)*Model0.1C!DV269)/0.9</f>
        <v>#N/A</v>
      </c>
      <c r="DY269" s="102" t="e">
        <f t="shared" si="390"/>
        <v>#N/A</v>
      </c>
      <c r="DZ269" s="102" t="e">
        <f t="shared" si="391"/>
        <v>#N/A</v>
      </c>
      <c r="EA269" s="414" t="e">
        <f>IF(EA268=0,0,IF(AND(DW269&gt;charge_ELS_quasi,DX269&gt;Charge_ELS_freq,DY269&gt;charge_ELU,DZ269&gt;charge_ELA,$B269&gt;NDC!$H$22-0.1+MIN(3*$EA$12,1.5)),0,1))</f>
        <v>#N/A</v>
      </c>
      <c r="EB269" s="86" t="b">
        <f t="shared" si="359"/>
        <v>0</v>
      </c>
      <c r="EC269" s="418">
        <f t="shared" si="360"/>
        <v>0.51</v>
      </c>
      <c r="ED269" s="86">
        <f t="shared" si="361"/>
        <v>0.51</v>
      </c>
      <c r="EE269" s="30" t="e">
        <f t="shared" ca="1" si="392"/>
        <v>#DIV/0!</v>
      </c>
      <c r="EF269" s="85" t="e">
        <f ca="1">IF(DL269&lt;=Hypothèses!$V$7,Hypothèses!$W$7,IF(DL269&lt;=Hypothèses!$V$8,Hypothèses!$W$8,IF(DL269&lt;=Hypothèses!$V$9,Hypothèses!$W$9,IF(DL269&lt;=Hypothèses!$V$10,Hypothèses!$W$10,IF(DL269&lt;=Hypothèses!$V$11,Hypothèses!$W$11,IF(DL269&lt;=Hypothèses!$V$12,Hypothèses!$W$12,IF(DL269&lt;=Hypothèses!$V$13,Hypothèses!$W$13,IF(DL269&lt;=Hypothèses!$V$14,Hypothèses!$W$14,IF(DL269&lt;=Hypothèses!$V$15,Hypothèses!$W$15,IF(DL269&lt;=Hypothèses!$V$16,Hypothèses!$W$16,IF(DL269&lt;=Hypothèses!$V$17,Hypothèses!$W$17,IF(DL269&lt;=Hypothèses!$V$18,Hypothèses!$W$18,""))))))))))))</f>
        <v>#DIV/0!</v>
      </c>
      <c r="EG269" s="87" t="e">
        <f t="shared" ca="1" si="422"/>
        <v>#DIV/0!</v>
      </c>
      <c r="EH269" s="88" t="e">
        <f ca="1">IF(DL269&lt;=Hypothèses!$V$7,Hypothèses!$X$7,IF(DL269&lt;=Hypothèses!$V$8,Hypothèses!$X$8,IF(DL269&lt;=Hypothèses!$V$9,Hypothèses!$X$9,IF(DL269&lt;=Hypothèses!$V$10,Hypothèses!$X$10,IF(DL269&lt;=Hypothèses!$V$11,Hypothèses!$X$11,IF(DL269&lt;=Hypothèses!$V$12,Hypothèses!$X$12,IF(DL269&lt;=Hypothèses!$V$13,Hypothèses!$X$13,IF(DL269&lt;=Hypothèses!$V$14,Hypothèses!$X$14,IF(DL269&lt;=Hypothèses!$V$15,Hypothèses!$X$15,IF(DL269&lt;=Hypothèses!$V$16,Hypothèses!$X$16,IF(DL269&lt;=Hypothèses!$U$17,Hypothèses!$W$17,IF(DL269&lt;=Hypothèses!$U$18,Hypothèses!$W$18,""))))))))))))</f>
        <v>#DIV/0!</v>
      </c>
      <c r="EI269" s="95" t="e">
        <f t="shared" ca="1" si="393"/>
        <v>#DIV/0!</v>
      </c>
      <c r="EJ269" s="101" t="e">
        <f t="shared" si="429"/>
        <v>#N/A</v>
      </c>
      <c r="EK269" s="91" t="e">
        <f t="shared" si="362"/>
        <v>#N/A</v>
      </c>
      <c r="EL269" s="30" t="e">
        <f t="shared" si="412"/>
        <v>#N/A</v>
      </c>
      <c r="EM269" s="30" t="e">
        <f t="shared" si="413"/>
        <v>#N/A</v>
      </c>
      <c r="EN269" s="31" t="e">
        <f>IF(OR(Hypothèses!$B$4=17,Hypothèses!$B$4=18,Hypothèses!$B$4=19,Hypothèses!$B$4=20),
IF($D269="Pressio.",
IF(OR($E269=3,$E269=1,$E269=4),EM269,EL269),
IF($D269="Pénétro.",
IF(OR($E269=3,$E269=1,$E269=4),EM269,EL269))),IF($D269="Pressio.",
IF($E269=3,EM269,EL269),
IF($D269="Pénétro.",
IF($E269=4,EM269,EL269))))</f>
        <v>#N/A</v>
      </c>
      <c r="EO269" s="31" t="e">
        <f>(IF(OR(Hypothèses!$B$4=17,Hypothèses!$B$4=18,Hypothèses!$B$4=19,Hypothèses!$B$4=20),
IF($D269="Pressio.",
IF(OR($E269=3,$E269=1,$E269=4),(PI()*EO$12^2)/4*(EK269*$W269*1000)/($H269*$B$5),(PI()*EO$12^2)/4*(EK269*$W269*1000)/($G269*$B$5)),
IF($D269="Pénétro.",
IF(OR($E269=4,$E269=1,$E269=5),(PI()*EO$12^2)/4*(EK269*$W269*1000)/($H269*$B$5),(PI()*EO$12^2)/4*(EK269*$W269*1000)/($G269*$B$5)))),
IF($D269="Pressio.",
IF($E269=3,(PI()*EO$12^2)/4*(EK269*$W269*1000)/($H269*$B$5),(PI()*EO$12^2)/4*(EK269*$W269*1000)/($G269*$B$5)),
IF($D269="Pénétro.",
IF($E269=4,(PI()*EO$12^2)/4*(EK269*$W269*1000)/($H269*$B$5),(PI()*EO$12^2)/4*(EK269*$W269*1000)/($G269*$B$5))))))/10</f>
        <v>#N/A</v>
      </c>
      <c r="EP269" s="102" t="e">
        <f>(VLOOKUP($B$3,'Coeff EC7'!$T$39:$X$59,2,0)*EN269+VLOOKUP($B$3,'Coeff EC7'!$T$65:$X$85,2,0)*Model0.1C!EO269)/1.1</f>
        <v>#N/A</v>
      </c>
      <c r="EQ269" s="102" t="e">
        <f>(VLOOKUP($B$3,'Coeff EC7'!$T$39:$X$59,3,0)*EN269+VLOOKUP($B$3,'Coeff EC7'!$T$65:$X$85,3,0)*Model0.1C!EO269)/0.9</f>
        <v>#N/A</v>
      </c>
      <c r="ER269" s="102" t="e">
        <f t="shared" si="394"/>
        <v>#N/A</v>
      </c>
      <c r="ES269" s="102" t="e">
        <f t="shared" si="395"/>
        <v>#N/A</v>
      </c>
      <c r="ET269" s="414" t="e">
        <f>IF(ET268=0,0,IF(AND(EP269&gt;charge_ELS_quasi,EQ269&gt;Charge_ELS_freq,ER269&gt;charge_ELU,ES269&gt;charge_ELA,$B269&gt;NDC!$H$22-0.1+MIN(3*$ET$12,1.5)),0,1))</f>
        <v>#N/A</v>
      </c>
      <c r="EU269" s="86" t="b">
        <f t="shared" si="363"/>
        <v>0</v>
      </c>
      <c r="EV269" s="86">
        <f t="shared" si="364"/>
        <v>0.61</v>
      </c>
      <c r="EW269" s="86">
        <f t="shared" si="365"/>
        <v>0.61</v>
      </c>
      <c r="EX269" s="30" t="e">
        <f t="shared" ca="1" si="396"/>
        <v>#DIV/0!</v>
      </c>
      <c r="EY269" s="85" t="e">
        <f ca="1">IF(EE269&lt;=Hypothèses!$V$7,Hypothèses!$W$7,IF(EE269&lt;=Hypothèses!$V$8,Hypothèses!$W$8,IF(EE269&lt;=Hypothèses!$V$9,Hypothèses!$W$9,IF(EE269&lt;=Hypothèses!$V$10,Hypothèses!$W$10,IF(EE269&lt;=Hypothèses!$V$11,Hypothèses!$W$11,IF(EE269&lt;=Hypothèses!$V$12,Hypothèses!$W$12,IF(EE269&lt;=Hypothèses!$V$13,Hypothèses!$W$13,IF(EE269&lt;=Hypothèses!$V$14,Hypothèses!$W$14,IF(EE269&lt;=Hypothèses!$V$15,Hypothèses!$W$15,IF(EE269&lt;=Hypothèses!$V$16,Hypothèses!$W$16,IF(EE269&lt;=Hypothèses!$V$17,Hypothèses!$W$17,IF(EE269&lt;=Hypothèses!$V$18,Hypothèses!$W$18,""))))))))))))</f>
        <v>#DIV/0!</v>
      </c>
      <c r="EZ269" s="87" t="e">
        <f t="shared" ca="1" si="423"/>
        <v>#DIV/0!</v>
      </c>
      <c r="FA269" s="88" t="e">
        <f ca="1">IF(EE269&lt;=Hypothèses!$V$7,Hypothèses!$X$7,IF(EE269&lt;=Hypothèses!$V$8,Hypothèses!$X$8,IF(EE269&lt;=Hypothèses!$V$9,Hypothèses!$X$9,IF(EE269&lt;=Hypothèses!$V$10,Hypothèses!$X$10,IF(EE269&lt;=Hypothèses!$V$11,Hypothèses!$X$11,IF(EE269&lt;=Hypothèses!$V$12,Hypothèses!$X$12,IF(EE269&lt;=Hypothèses!$V$13,Hypothèses!$X$13,IF(EE269&lt;=Hypothèses!$V$14,Hypothèses!$X$14,IF(EE269&lt;=Hypothèses!$V$15,Hypothèses!$X$15,IF(EE269&lt;=Hypothèses!$V$16,Hypothèses!$X$16,IF(EE269&lt;=Hypothèses!$U$17,Hypothèses!$W$17,IF(EE269&lt;=Hypothèses!$U$18,Hypothèses!$W$18,""))))))))))))</f>
        <v>#DIV/0!</v>
      </c>
      <c r="FB269" s="95" t="e">
        <f t="shared" ca="1" si="397"/>
        <v>#DIV/0!</v>
      </c>
      <c r="FC269" s="101" t="e">
        <f t="shared" si="430"/>
        <v>#N/A</v>
      </c>
      <c r="FD269" s="91" t="e">
        <f t="shared" si="366"/>
        <v>#N/A</v>
      </c>
      <c r="FE269" s="30" t="e">
        <f t="shared" si="414"/>
        <v>#N/A</v>
      </c>
      <c r="FF269" s="30" t="e">
        <f t="shared" si="415"/>
        <v>#N/A</v>
      </c>
      <c r="FG269" s="31" t="e">
        <f>IF(OR(Hypothèses!$B$4=17,Hypothèses!$B$4=18,Hypothèses!$B$4=19,Hypothèses!$B$4=20),
IF($D269="Pressio.",
IF(OR($E269=3,$E269=1,$E269=4),FF269,FE269),
IF($D269="Pénétro.",
IF(OR($E269=3,$E269=1,$E269=4),FF269,FE269))),IF($D269="Pressio.",
IF($E269=3,FF269,FE269),
IF($D269="Pénétro.",
IF($E269=4,FF269,FE269))))</f>
        <v>#N/A</v>
      </c>
      <c r="FH269" s="31" t="e">
        <f>(IF(OR(Hypothèses!$B$4=17,Hypothèses!$B$4=18,Hypothèses!$B$4=19,Hypothèses!$B$4=20),
IF($D269="Pressio.",
IF(OR($E269=3,$E269=1,$E269=4),(PI()*FH$12^2)/4*(FD269*$W269*1000)/($H269*$B$5),(PI()*FH$12^2)/4*(FD269*$W269*1000)/($G269*$B$5)),
IF($D269="Pénétro.",
IF(OR($E269=4,$E269=1,$E269=5),(PI()*FH$12^2)/4*(FD269*$W269*1000)/($H269*$B$5),(PI()*FH$12^2)/4*(FD269*$W269*1000)/($G269*$B$5)))),
IF($D269="Pressio.",
IF($E269=3,(PI()*FH$12^2)/4*(FD269*$W269*1000)/($H269*$B$5),(PI()*FH$12^2)/4*(FD269*$W269*1000)/($G269*$B$5)),
IF($D269="Pénétro.",
IF($E269=4,(PI()*FH$12^2)/4*(FD269*$W269*1000)/($H269*$B$5),(PI()*FH$12^2)/4*(FD269*$W269*1000)/($G269*$B$5))))))/10</f>
        <v>#N/A</v>
      </c>
      <c r="FI269" s="102" t="e">
        <f>(VLOOKUP($B$3,'Coeff EC7'!$T$39:$X$59,2,0)*FG269+VLOOKUP($B$3,'Coeff EC7'!$T$65:$X$85,2,0)*Model0.1C!FH269)/1.1</f>
        <v>#N/A</v>
      </c>
      <c r="FJ269" s="102" t="e">
        <f>(VLOOKUP($B$3,'Coeff EC7'!$T$39:$X$59,3,0)*FG269+VLOOKUP($B$3,'Coeff EC7'!$T$65:$X$85,3,0)*Model0.1C!FH269)/0.9</f>
        <v>#N/A</v>
      </c>
      <c r="FK269" s="102" t="e">
        <f t="shared" si="398"/>
        <v>#N/A</v>
      </c>
      <c r="FL269" s="102" t="e">
        <f t="shared" si="399"/>
        <v>#N/A</v>
      </c>
      <c r="FM269" s="414" t="e">
        <f>IF(FM268=0,0,IF(AND(FI269&gt;charge_ELS_quasi,FJ269&gt;Charge_ELS_freq,FK269&gt;charge_ELU,FL269&gt;charge_ELA,$B269&gt;NDC!$H$22-0.1+MIN(3*$FM$12,1.5)),0,1))</f>
        <v>#N/A</v>
      </c>
    </row>
    <row r="270" spans="1:169">
      <c r="A270" s="96">
        <f t="shared" si="367"/>
        <v>74.300000000001461</v>
      </c>
      <c r="B270" s="97">
        <v>25.7</v>
      </c>
      <c r="C270" s="81">
        <f>IF(B270&lt;=Hypothèses!$C$7,Hypothèses!$A$7,IF(B270&lt;=Hypothèses!$C$8,Hypothèses!$A$8,IF(B270&lt;=Hypothèses!$C$9,Hypothèses!$A$9,IF(B270&lt;=Hypothèses!$C$10,Hypothèses!$A$10,IF(B270&lt;=Hypothèses!$C$11,Hypothèses!$A$11,IF(B270&lt;=Hypothèses!$C$12,Hypothèses!$A$12,IF(B270&lt;=Hypothèses!$C$13,Hypothèses!$A$13,IF(B270&lt;=Hypothèses!$C$14,Hypothèses!$A$14,IF(B270&lt;=Hypothèses!$C$15,Hypothèses!$A$15,IF(B270&lt;=Hypothèses!$C$16,Hypothèses!$A$16,IF(B270&lt;=Hypothèses!$C$17,Hypothèses!$A$17,IF(B270&lt;=Hypothèses!$C$18,Hypothèses!$A$18,C269))))))))))))</f>
        <v>11</v>
      </c>
      <c r="D270" s="82" t="str">
        <f>IF(B270&lt;=Hypothèses!$C$7,Hypothèses!$R$7,IF(B270&lt;=Hypothèses!$C$8,Hypothèses!$R$8,IF(B270&lt;=Hypothèses!$C$9,Hypothèses!$R$9,IF(B270&lt;=Hypothèses!$C$10,Hypothèses!$R$10,IF(B270&lt;=Hypothèses!$C$11,Hypothèses!$R$11,IF(B270&lt;=Hypothèses!$C$12,Hypothèses!$R$12,IF(B270&lt;=Hypothèses!$C$13,Hypothèses!$R$13,IF(B270&lt;=Hypothèses!$C$14,Hypothèses!$R$14,IF(B270&lt;=Hypothèses!$C$15,Hypothèses!$R$15,IF(B270&lt;=Hypothèses!$C$16,Hypothèses!$R$16,IF(B270&lt;=Hypothèses!$C$17,Hypothèses!$R$17,IF(B270&lt;=Hypothèses!$C$18,Hypothèses!$R$18,D269))))))))))))</f>
        <v>Pressio.</v>
      </c>
      <c r="E270" s="82" t="e">
        <f>IF(B270&lt;=Hypothèses!$C$7,Hypothèses!$G$7,IF(B270&lt;=Hypothèses!$C$8,Hypothèses!$G$8,IF(B270&lt;=Hypothèses!$C$9,Hypothèses!$G$9,IF(B270&lt;=Hypothèses!$C$10,Hypothèses!$G$10,IF(B270&lt;=Hypothèses!$C$11,Hypothèses!$G$11,IF(B270&lt;=Hypothèses!$C$12,Hypothèses!$G$12,IF(B270&lt;=Hypothèses!$C$13,Hypothèses!$G$13,IF(B270&lt;=Hypothèses!$C$14,Hypothèses!$G$14,IF(B270&lt;=Hypothèses!$C$15,Hypothèses!$G$15,IF(B270&lt;=Hypothèses!$C$16,Hypothèses!$G$16,IF(B270&lt;=Hypothèses!$C$17,Hypothèses!$G$17,IF(B270&lt;=Hypothèses!$C$18,Hypothèses!$G$18,E269))))))))))))</f>
        <v>#N/A</v>
      </c>
      <c r="F270" s="82" t="str">
        <f>IF(B270&lt;=Hypothèses!$C$7,Hypothèses!$F$7,IF(B270&lt;=Hypothèses!$C$8,Hypothèses!$F$8,IF(B270&lt;=Hypothèses!$C$9,Hypothèses!$F$9,IF(B270&lt;=Hypothèses!$C$10,Hypothèses!$F$10,IF(B270&lt;=Hypothèses!$C$11,Hypothèses!$F$11,IF(B270&lt;=Hypothèses!$C$12,Hypothèses!$F$12,IF(B270&lt;=Hypothèses!$C$13,Hypothèses!$F$13,IF(B270&lt;=Hypothèses!$C$14,Hypothèses!$F$14,IF(B270&lt;=Hypothèses!$C$15,Hypothèses!$F$15,IF(B270&lt;=Hypothèses!$C$16,Hypothèses!$F$16,IF(B270&lt;=Hypothèses!$C$17,Hypothèses!$F$17,IF(B270&lt;=Hypothèses!$C$18,Hypothèses!$F$18,F269))))))))))))</f>
        <v/>
      </c>
      <c r="G270" s="91">
        <f t="array" ref="G270">INDEX('Coeff EC7'!$U$7:$X$27,
MATCH(Model0.1C!$B$3,'Coeff EC7'!$T$7:$T$27,0),
MATCH(Model0.1C!$D270&amp;Model0.1C!$B$4,
'Coeff EC7'!$U$6:$X$6&amp;
'Coeff EC7'!$U$5:$X$5,0))</f>
        <v>1.1499999999999999</v>
      </c>
      <c r="H270" s="91">
        <f t="array" ref="H270">INDEX('Coeff EC7'!$Y$7:$AB$27,
MATCH(Model0.1C!$B$3,'Coeff EC7'!$T$7:$T$27,0),
MATCH(Model0.1C!$D270&amp;Model0.1C!$B$4,
'Coeff EC7'!$Y$6:$AB$6&amp;
'Coeff EC7'!$Y$5:$AB$5,0))</f>
        <v>1.4</v>
      </c>
      <c r="I270" s="83" t="e">
        <f>IF(B270&lt;=Hypothèses!$C$7,Hypothèses!$P$7,IF(B270&lt;=Hypothèses!$C$8,Hypothèses!$P$8,IF(B270&lt;=Hypothèses!$C$9,Hypothèses!$P$9,IF(B270&lt;=Hypothèses!$C$10,Hypothèses!$P$10,IF(B270&lt;=Hypothèses!$C$11,Hypothèses!$P$11,IF(B270&lt;=Hypothèses!$C$12,Hypothèses!$P$12,IF(B270&lt;=Hypothèses!$C$13,Hypothèses!$P$13,IF(B270&lt;=Hypothèses!$C$14,Hypothèses!$P$14,IF(B270&lt;=Hypothèses!$C$15,Hypothèses!$P$15,IF(B270&lt;=Hypothèses!$C$16,Hypothèses!$P$16,IF(B270&lt;=Hypothèses!$C$17,Hypothèses!$P$17,IF(B270&lt;=Hypothèses!$C$18,Hypothèses!$P$18,I269))))))))))))</f>
        <v>#N/A</v>
      </c>
      <c r="J270" s="91" t="e">
        <f t="array" ref="J270">INDEX('Coeff EC7'!$D$33:$Q$33,1,MATCH(D270&amp;E270,'Coeff EC7'!$D$31:$Q$31&amp;'Coeff EC7'!$D$32:$Q$32,0))</f>
        <v>#N/A</v>
      </c>
      <c r="K270" s="91" t="e">
        <f t="array" ref="K270">INDEX('Coeff EC7'!$D$34:$Q$34,1,MATCH(D270&amp;E270,'Coeff EC7'!$D$31:$Q$31&amp;'Coeff EC7'!$D$32:$Q$32,0))</f>
        <v>#N/A</v>
      </c>
      <c r="L270" s="91" t="e">
        <f t="array" ref="L270">INDEX('Coeff EC7'!$D$35:$Q$35,1,MATCH(D270&amp;E270,'Coeff EC7'!$D$31:$Q$31&amp;'Coeff EC7'!$D$32:$Q$32,0))</f>
        <v>#N/A</v>
      </c>
      <c r="M270" s="98" t="e">
        <f t="shared" si="431"/>
        <v>#N/A</v>
      </c>
      <c r="N270" s="99" t="e">
        <f t="array" ref="N270">INDEX('Coeff EC7'!$D$7:$Q$27,MATCH($B$3,'Coeff EC7'!$C$7:$C$27,0),MATCH(D270&amp;E270,'Coeff EC7'!$D$5:$Q$5&amp;'Coeff EC7'!$D$6:$Q$6,0))</f>
        <v>#N/A</v>
      </c>
      <c r="O270" s="99" t="e">
        <f t="array" ref="O270">INDEX('Coeff EC7'!$D$41:$Q$61,MATCH($B$3,'Coeff EC7'!$C$41:$C$61,0),MATCH(D270&amp;E270,'Coeff EC7'!$D$39:$Q$39&amp;'Coeff EC7'!$D$40:$Q$40,0))</f>
        <v>#N/A</v>
      </c>
      <c r="P270" s="30" t="e">
        <f t="shared" si="368"/>
        <v>#N/A</v>
      </c>
      <c r="Q270" s="100" t="e">
        <f t="shared" ref="Q270:Q333" si="433">MIN(O270,P270)*$B$10</f>
        <v>#N/A</v>
      </c>
      <c r="R270" s="86" t="b">
        <f t="shared" ref="R270:R333" si="434">IF($B270&lt;=$P$4, $B270, IF($B270&lt;=$P$5, $B270-$P$4, IF($B270&lt;=$P$6, $B270-$P$5, IF($B270&lt;=$P$7,$B270-$P$6, IF($B270&lt;=$P$8, $B270-$P$7, IF($B270&lt;=$P$9, $B270-$P$8, IF($B270&lt;=$P$10,$B270-$P$9)))))))</f>
        <v>0</v>
      </c>
      <c r="S270" s="86">
        <f t="shared" si="432"/>
        <v>0.5</v>
      </c>
      <c r="T270" s="86">
        <f t="shared" ref="T270:T333" si="435">MIN(S270,R270)</f>
        <v>0.5</v>
      </c>
      <c r="U270" s="30" t="e">
        <f t="shared" ca="1" si="369"/>
        <v>#DIV/0!</v>
      </c>
      <c r="V270" s="85" t="str">
        <f>IF(B270&lt;=Hypothèses!$V$7,Hypothèses!$W$7,IF(B270&lt;=Hypothèses!$V$8,Hypothèses!$W$8,IF(B270&lt;=Hypothèses!$V$9,Hypothèses!$W$9,IF(B270&lt;=Hypothèses!$V$10,Hypothèses!$W$10,IF(B270&lt;=Hypothèses!$V$11,Hypothèses!$W$11,IF(B270&lt;=Hypothèses!$V$12,Hypothèses!$W$12,IF(B270&lt;=Hypothèses!$V$13,Hypothèses!$W$13,IF(B270&lt;=Hypothèses!$V$14,Hypothèses!$W$14,IF(B270&lt;=Hypothèses!$V$15,Hypothèses!$W$15,IF(B270&lt;=Hypothèses!$V$16,Hypothèses!$W$16,IF(B270&lt;=Hypothèses!$V$17,Hypothèses!$W$17,IF(B270&lt;=Hypothèses!$V$18,Hypothèses!$W$18,""))))))))))))</f>
        <v/>
      </c>
      <c r="W270" s="87" t="e">
        <f t="shared" ca="1" si="416"/>
        <v>#DIV/0!</v>
      </c>
      <c r="X270" s="88" t="str">
        <f>IF(B270&lt;=Hypothèses!$V$7,Hypothèses!$X$7,IF(B270&lt;=Hypothèses!$V$8,Hypothèses!$X$8,IF(B270&lt;=Hypothèses!$V$9,Hypothèses!$X$9,IF(B270&lt;=Hypothèses!$V$10,Hypothèses!$X$10,IF(B270&lt;=Hypothèses!$V$11,Hypothèses!$X$11,IF(B270&lt;=Hypothèses!$V$12,Hypothèses!$X$12,IF(B270&lt;=Hypothèses!$V$13,Hypothèses!$X$13,IF(B270&lt;=Hypothèses!$V$14,Hypothèses!$X$14,IF(B270&lt;=Hypothèses!$V$15,Hypothèses!$X$15,IF(B270&lt;=Hypothèses!$V$16,Hypothèses!$X$16,IF(B270&lt;=Hypothèses!$U$17,Hypothèses!$W$17,IF(B270&lt;=Hypothèses!$U$18,Hypothèses!$W$18,""))))))))))))</f>
        <v/>
      </c>
      <c r="Y270" s="95" t="e">
        <f t="shared" ref="Y270:Y333" ca="1" si="436">IF($B270&lt;10*$AI$12,0.1/W270*SUM(OFFSET(F270,-10*$B270+1,0,10*$B270,1)),0.1/W270*SUM(OFFSET(F270,-100*$AI$12+1,0,100*$AI$12,1)))</f>
        <v>#DIV/0!</v>
      </c>
      <c r="Z270" s="101" t="e">
        <f t="shared" ref="Z270:Z333" si="437">IF($I270=0,0,
IF(Y270&gt;5*AD$12,$I270,
IF($D270="Pressio.",1+($I270-1)*(Y270/AD$12)/5,
IF($D270="Pénétro.",IF($E270=1,0.3+($I270-0.3)*(Y270/AD$12)/5,
IF($E270=2,0.2+($I270-0.2)*(Y270/AD$12)/5,
IF($E270=3,0.1+($I270-0.1)*(Y270/AD$12)/5,
0.15+($I270-0.15)*(Y270/AD$12)/5)))))))</f>
        <v>#N/A</v>
      </c>
      <c r="AA270" s="91" t="e">
        <f t="shared" ref="AA270:AA333" si="438">IF($X270&lt;&gt;"",$X270,Z270)</f>
        <v>#N/A</v>
      </c>
      <c r="AB270" s="30" t="e">
        <f t="shared" si="400"/>
        <v>#N/A</v>
      </c>
      <c r="AC270" s="30" t="e">
        <f t="shared" si="401"/>
        <v>#N/A</v>
      </c>
      <c r="AD270" s="31" t="e">
        <f>IF(OR(Hypothèses!$B$4=17,Hypothèses!$B$4=18,Hypothèses!$B$4=19,Hypothèses!$B$4=20),
IF($D270="Pressio.",
IF(OR($E270=3,$E270=1,$E270=4),AC270,AB270),
IF($D270="Pénétro.",
IF(OR($E270=3,$E270=1,$E270=4),AC270,AB270))),IF($D270="Pressio.",
IF($E270=3,AC270,AB270),
IF($D270="Pénétro.",
IF($E270=4,AC270,AB270))))</f>
        <v>#N/A</v>
      </c>
      <c r="AE270" s="31" t="e">
        <f>(IF(OR(Hypothèses!$B$4=17,Hypothèses!$B$4=18,Hypothèses!$B$4=19,Hypothèses!$B$4=20),
IF($D270="Pressio.",
IF(OR($E270=3,$E270=1,$E270=4),(PI()*AE$12^2)/4*(AA270*$W270*1000)/($H270*$B$5),(PI()*AE$12^2)/4*(AA270*$W270*1000)/($G270*$B$5)),
IF($D270="Pénétro.",
IF(OR($E270=4,$E270=1,$E270=5),(PI()*AE$12^2)/4*(AA270*$W270*1000)/($H270*$B$5),(PI()*AE$12^2)/4*(AA270*$W270*1000)/($G270*$B$5)))),
IF($D270="Pressio.",
IF($E270=3,(PI()*AE$12^2)/4*(AA270*$W270*1000)/($H270*$B$5),(PI()*AE$12^2)/4*(AA270*$W270*1000)/($G270*$B$5)),
IF($D270="Pénétro.",
IF($E270=4,(PI()*AE$12^2)/4*(AA270*$W270*1000)/($H270*$B$5),(PI()*AE$12^2)/4*(AA270*$W270*1000)/($G270*$B$5))))))/10</f>
        <v>#N/A</v>
      </c>
      <c r="AF270" s="102" t="e">
        <f>(VLOOKUP($B$3,'Coeff EC7'!$T$39:$X$59,2,0)*AD270+VLOOKUP($B$3,'Coeff EC7'!$T$65:$X$85,2,0)*Model0.1C!AE270)/1.1</f>
        <v>#N/A</v>
      </c>
      <c r="AG270" s="102" t="e">
        <f>(VLOOKUP($B$3,'Coeff EC7'!$T$39:$X$59,3,0)*AD270+VLOOKUP($B$3,'Coeff EC7'!$T$65:$X$85,3,0)*Model0.1C!AE270)/0.9</f>
        <v>#N/A</v>
      </c>
      <c r="AH270" s="102" t="e">
        <f t="shared" ref="AH270:AH333" si="439">AD270/1.1+AE270/1.1</f>
        <v>#N/A</v>
      </c>
      <c r="AI270" s="102" t="e">
        <f t="shared" ref="AI270:AI333" si="440">AD270+AE270</f>
        <v>#N/A</v>
      </c>
      <c r="AJ270" s="414" t="e">
        <f>IF(AJ269=0,0,IF(AND(AF270&gt;charge_ELS_quasi,AG270&gt;Charge_ELS_freq,AH270&gt;charge_ELU,AI270&gt;charge_ELA,$B270&gt;NDC!$H$22-0.1+MIN(3*$AJ$12,1.5)),0,1))</f>
        <v>#N/A</v>
      </c>
      <c r="AK270" s="86" t="b">
        <f t="shared" ref="AK270:AK333" si="441">IF($B270&lt;=$P$4, $B270, IF($B270&lt;=$P$5, $B270-$P$4, IF($B270&lt;=$P$6, $B270-$P$5, IF($B270&lt;=$P$7,$B270-$P$6, IF($B270&lt;=$P$8, $B270-$P$7, IF($B270&lt;=$P$9, $B270-$P$8, IF($B270&lt;=$P$10,$B270-$P$9)))))))</f>
        <v>0</v>
      </c>
      <c r="AL270" s="86">
        <f t="shared" si="370"/>
        <v>0.5</v>
      </c>
      <c r="AM270" s="86">
        <f t="shared" ref="AM270:AM333" si="442">MIN(AL270,AK270)</f>
        <v>0.5</v>
      </c>
      <c r="AN270" s="30" t="e">
        <f t="shared" ca="1" si="371"/>
        <v>#DIV/0!</v>
      </c>
      <c r="AO270" s="85" t="e">
        <f ca="1">IF(U270&lt;=Hypothèses!$V$7,Hypothèses!$W$7,IF(U270&lt;=Hypothèses!$V$8,Hypothèses!$W$8,IF(U270&lt;=Hypothèses!$V$9,Hypothèses!$W$9,IF(U270&lt;=Hypothèses!$V$10,Hypothèses!$W$10,IF(U270&lt;=Hypothèses!$V$11,Hypothèses!$W$11,IF(U270&lt;=Hypothèses!$V$12,Hypothèses!$W$12,IF(U270&lt;=Hypothèses!$V$13,Hypothèses!$W$13,IF(U270&lt;=Hypothèses!$V$14,Hypothèses!$W$14,IF(U270&lt;=Hypothèses!$V$15,Hypothèses!$W$15,IF(U270&lt;=Hypothèses!$V$16,Hypothèses!$W$16,IF(U270&lt;=Hypothèses!$V$17,Hypothèses!$W$17,IF(U270&lt;=Hypothèses!$V$18,Hypothèses!$W$18,""))))))))))))</f>
        <v>#DIV/0!</v>
      </c>
      <c r="AP270" s="87" t="e">
        <f t="shared" ca="1" si="417"/>
        <v>#DIV/0!</v>
      </c>
      <c r="AQ270" s="88" t="e">
        <f ca="1">IF(U270&lt;=Hypothèses!$V$7,Hypothèses!$X$7,IF(U270&lt;=Hypothèses!$V$8,Hypothèses!$X$8,IF(U270&lt;=Hypothèses!$V$9,Hypothèses!$X$9,IF(U270&lt;=Hypothèses!$V$10,Hypothèses!$X$10,IF(U270&lt;=Hypothèses!$V$11,Hypothèses!$X$11,IF(U270&lt;=Hypothèses!$V$12,Hypothèses!$X$12,IF(U270&lt;=Hypothèses!$V$13,Hypothèses!$X$13,IF(U270&lt;=Hypothèses!$V$14,Hypothèses!$X$14,IF(U270&lt;=Hypothèses!$V$15,Hypothèses!$X$15,IF(U270&lt;=Hypothèses!$V$16,Hypothèses!$X$16,IF(U270&lt;=Hypothèses!$U$17,Hypothèses!$W$17,IF(U270&lt;=Hypothèses!$U$18,Hypothèses!$W$18,""))))))))))))</f>
        <v>#DIV/0!</v>
      </c>
      <c r="AR270" s="95" t="e">
        <f t="shared" ca="1" si="372"/>
        <v>#DIV/0!</v>
      </c>
      <c r="AS270" s="101" t="e">
        <f t="shared" si="424"/>
        <v>#N/A</v>
      </c>
      <c r="AT270" s="91" t="e">
        <f t="shared" ref="AT270:AT333" si="443">IF($X270&lt;&gt;"",$X270,AS270)</f>
        <v>#N/A</v>
      </c>
      <c r="AU270" s="30" t="e">
        <f t="shared" si="402"/>
        <v>#N/A</v>
      </c>
      <c r="AV270" s="30" t="e">
        <f t="shared" si="403"/>
        <v>#N/A</v>
      </c>
      <c r="AW270" s="31" t="e">
        <f>IF(OR(Hypothèses!$B$4=17,Hypothèses!$B$4=18,Hypothèses!$B$4=19,Hypothèses!$B$4=20),
IF($D270="Pressio.",
IF(OR($E270=3,$E270=1,$E270=4),AV270,AU270),
IF($D270="Pénétro.",
IF(OR($E270=3,$E270=1,$E270=4),AV270,AU270))),IF($D270="Pressio.",
IF($E270=3,AV270,AU270),
IF($D270="Pénétro.",
IF($E270=4,AV270,AU270))))</f>
        <v>#N/A</v>
      </c>
      <c r="AX270" s="31" t="e">
        <f>(IF(OR(Hypothèses!$B$4=17,Hypothèses!$B$4=18,Hypothèses!$B$4=19,Hypothèses!$B$4=20),
IF($D270="Pressio.",
IF(OR($E270=3,$E270=1,$E270=4),(PI()*AX$12^2)/4*(AT270*$W270*1000)/($H270*$B$5),(PI()*AX$12^2)/4*(AT270*$W270*1000)/($G270*$B$5)),
IF($D270="Pénétro.",
IF(OR($E270=4,$E270=1,$E270=5),(PI()*AX$12^2)/4*(AT270*$W270*1000)/($H270*$B$5),(PI()*AX$12^2)/4*(AT270*$W270*1000)/($G270*$B$5)))),
IF($D270="Pressio.",
IF($E270=3,(PI()*AX$12^2)/4*(AT270*$W270*1000)/($H270*$B$5),(PI()*AX$12^2)/4*(AT270*$W270*1000)/($G270*$B$5)),
IF($D270="Pénétro.",
IF($E270=4,(PI()*AX$12^2)/4*(AT270*$W270*1000)/($H270*$B$5),(PI()*AX$12^2)/4*(AT270*$W270*1000)/($G270*$B$5))))))/10</f>
        <v>#N/A</v>
      </c>
      <c r="AY270" s="102" t="e">
        <f>(VLOOKUP($B$3,'Coeff EC7'!$T$39:$X$59,2,0)*AW270+VLOOKUP($B$3,'Coeff EC7'!$T$65:$X$85,2,0)*Model0.1C!AX270)/1.1</f>
        <v>#N/A</v>
      </c>
      <c r="AZ270" s="102" t="e">
        <f>(VLOOKUP($B$3,'Coeff EC7'!$T$39:$X$59,3,0)*AW270+VLOOKUP($B$3,'Coeff EC7'!$T$65:$X$85,3,0)*Model0.1C!AX270)/0.9</f>
        <v>#N/A</v>
      </c>
      <c r="BA270" s="102" t="e">
        <f t="shared" si="373"/>
        <v>#N/A</v>
      </c>
      <c r="BB270" s="102" t="e">
        <f t="shared" si="374"/>
        <v>#N/A</v>
      </c>
      <c r="BC270" s="414" t="e">
        <f>IF(BC269=0,0,IF(AND(AY270&gt;charge_ELS_quasi,AZ270&gt;Charge_ELS_freq,BA270&gt;charge_ELU,BB270&gt;charge_ELA,$B270&gt;NDC!$H$22-0.1+MIN(3*$BC$12,1.5)),0,1))</f>
        <v>#N/A</v>
      </c>
      <c r="BD270" s="86" t="b">
        <f t="shared" ref="BD270:BD333" si="444">IF($B270&lt;=$P$4, $B270, IF($B270&lt;=$P$5, $B270-$P$4, IF($B270&lt;=$P$6, $B270-$P$5, IF($B270&lt;=$P$7,$B270-$P$6, IF($B270&lt;=$P$8, $B270-$P$7, IF($B270&lt;=$P$9, $B270-$P$8, IF($B270&lt;=$P$10,$B270-$P$9)))))))</f>
        <v>0</v>
      </c>
      <c r="BE270" s="86">
        <f t="shared" si="375"/>
        <v>0.5</v>
      </c>
      <c r="BF270" s="86">
        <f t="shared" ref="BF270:BF333" si="445">MIN(BE270,BD270)</f>
        <v>0.5</v>
      </c>
      <c r="BG270" s="30" t="e">
        <f t="shared" ca="1" si="376"/>
        <v>#DIV/0!</v>
      </c>
      <c r="BH270" s="85" t="e">
        <f ca="1">IF(AN270&lt;=Hypothèses!$V$7,Hypothèses!$W$7,IF(AN270&lt;=Hypothèses!$V$8,Hypothèses!$W$8,IF(AN270&lt;=Hypothèses!$V$9,Hypothèses!$W$9,IF(AN270&lt;=Hypothèses!$V$10,Hypothèses!$W$10,IF(AN270&lt;=Hypothèses!$V$11,Hypothèses!$W$11,IF(AN270&lt;=Hypothèses!$V$12,Hypothèses!$W$12,IF(AN270&lt;=Hypothèses!$V$13,Hypothèses!$W$13,IF(AN270&lt;=Hypothèses!$V$14,Hypothèses!$W$14,IF(AN270&lt;=Hypothèses!$V$15,Hypothèses!$W$15,IF(AN270&lt;=Hypothèses!$V$16,Hypothèses!$W$16,IF(AN270&lt;=Hypothèses!$V$17,Hypothèses!$W$17,IF(AN270&lt;=Hypothèses!$V$18,Hypothèses!$W$18,""))))))))))))</f>
        <v>#DIV/0!</v>
      </c>
      <c r="BI270" s="87" t="e">
        <f t="shared" ca="1" si="418"/>
        <v>#DIV/0!</v>
      </c>
      <c r="BJ270" s="88" t="e">
        <f ca="1">IF(AN270&lt;=Hypothèses!$V$7,Hypothèses!$X$7,IF(AN270&lt;=Hypothèses!$V$8,Hypothèses!$X$8,IF(AN270&lt;=Hypothèses!$V$9,Hypothèses!$X$9,IF(AN270&lt;=Hypothèses!$V$10,Hypothèses!$X$10,IF(AN270&lt;=Hypothèses!$V$11,Hypothèses!$X$11,IF(AN270&lt;=Hypothèses!$V$12,Hypothèses!$X$12,IF(AN270&lt;=Hypothèses!$V$13,Hypothèses!$X$13,IF(AN270&lt;=Hypothèses!$V$14,Hypothèses!$X$14,IF(AN270&lt;=Hypothèses!$V$15,Hypothèses!$X$15,IF(AN270&lt;=Hypothèses!$V$16,Hypothèses!$X$16,IF(AN270&lt;=Hypothèses!$U$17,Hypothèses!$W$17,IF(AN270&lt;=Hypothèses!$U$18,Hypothèses!$W$18,""))))))))))))</f>
        <v>#DIV/0!</v>
      </c>
      <c r="BK270" s="95" t="e">
        <f t="shared" ca="1" si="377"/>
        <v>#DIV/0!</v>
      </c>
      <c r="BL270" s="101" t="e">
        <f t="shared" si="425"/>
        <v>#N/A</v>
      </c>
      <c r="BM270" s="91" t="e">
        <f t="shared" ref="BM270:BM333" si="446">IF($X270&lt;&gt;"",$X270,BL270)</f>
        <v>#N/A</v>
      </c>
      <c r="BN270" s="30" t="e">
        <f t="shared" si="404"/>
        <v>#N/A</v>
      </c>
      <c r="BO270" s="30" t="e">
        <f t="shared" si="405"/>
        <v>#N/A</v>
      </c>
      <c r="BP270" s="31" t="e">
        <f>IF(OR(Hypothèses!$B$4=17,Hypothèses!$B$4=18,Hypothèses!$B$4=19,Hypothèses!$B$4=20),
IF($D270="Pressio.",
IF(OR($E270=3,$E270=1,$E270=4),BO270,BN270),
IF($D270="Pénétro.",
IF(OR($E270=3,$E270=1,$E270=4),BO270,BN270))),IF($D270="Pressio.",
IF($E270=3,BO270,BN270),
IF($D270="Pénétro.",
IF($E270=4,BO270,BN270))))</f>
        <v>#N/A</v>
      </c>
      <c r="BQ270" s="31" t="e">
        <f>(IF(OR(Hypothèses!$B$4=17,Hypothèses!$B$4=18,Hypothèses!$B$4=19,Hypothèses!$B$4=20),
IF($D270="Pressio.",
IF(OR($E270=3,$E270=1,$E270=4),(PI()*BQ$12^2)/4*(BM270*$W270*1000)/($H270*$B$5),(PI()*BQ$12^2)/4*(BM270*$W270*1000)/($G270*$B$5)),
IF($D270="Pénétro.",
IF(OR($E270=4,$E270=1,$E270=5),(PI()*BQ$12^2)/4*(BM270*$W270*1000)/($H270*$B$5),(PI()*BQ$12^2)/4*(BM270*$W270*1000)/($G270*$B$5)))),
IF($D270="Pressio.",
IF($E270=3,(PI()*BQ$12^2)/4*(BM270*$W270*1000)/($H270*$B$5),(PI()*BQ$12^2)/4*(BM270*$W270*1000)/($G270*$B$5)),
IF($D270="Pénétro.",
IF($E270=4,(PI()*BQ$12^2)/4*(BM270*$W270*1000)/($H270*$B$5),(PI()*BQ$12^2)/4*(BM270*$W270*1000)/($G270*$B$5))))))/10</f>
        <v>#N/A</v>
      </c>
      <c r="BR270" s="102" t="e">
        <f>(VLOOKUP($B$3,'Coeff EC7'!$T$39:$X$59,2,0)*BP270+VLOOKUP($B$3,'Coeff EC7'!$T$65:$X$85,2,0)*Model0.1C!BQ270)/1.1</f>
        <v>#N/A</v>
      </c>
      <c r="BS270" s="102" t="e">
        <f>(VLOOKUP($B$3,'Coeff EC7'!$T$39:$X$59,3,0)*BP270+VLOOKUP($B$3,'Coeff EC7'!$T$65:$X$85,3,0)*Model0.1C!BQ270)/0.9</f>
        <v>#N/A</v>
      </c>
      <c r="BT270" s="102" t="e">
        <f t="shared" si="378"/>
        <v>#N/A</v>
      </c>
      <c r="BU270" s="102" t="e">
        <f t="shared" si="379"/>
        <v>#N/A</v>
      </c>
      <c r="BV270" s="414" t="e">
        <f>IF(BV269=0,0,IF(AND(BR270&gt;charge_ELS_quasi,BS270&gt;Charge_ELS_freq,BT270&gt;charge_ELU,BU270&gt;charge_ELA,$B270&gt;NDC!$H$22-0.1+MIN(3*$BV$12,1.5)),0,1))</f>
        <v>#N/A</v>
      </c>
      <c r="BW270" s="86" t="b">
        <f t="shared" ref="BW270:BW333" si="447">IF($B270&lt;=$P$4, $B270, IF($B270&lt;=$P$5, $B270-$P$4, IF($B270&lt;=$P$6, $B270-$P$5, IF($B270&lt;=$P$7,$B270-$P$6, IF($B270&lt;=$P$8, $B270-$P$7, IF($B270&lt;=$P$9, $B270-$P$8, IF($B270&lt;=$P$10,$B270-$P$9)))))))</f>
        <v>0</v>
      </c>
      <c r="BX270" s="86">
        <f t="shared" ref="BX270:BX333" si="448">MAX($CK$12/2,0.5)</f>
        <v>0.5</v>
      </c>
      <c r="BY270" s="86">
        <f t="shared" ref="BY270:BY333" si="449">MIN(BX270,BW270)</f>
        <v>0.5</v>
      </c>
      <c r="BZ270" s="30" t="e">
        <f t="shared" ca="1" si="380"/>
        <v>#DIV/0!</v>
      </c>
      <c r="CA270" s="85" t="e">
        <f ca="1">IF(BG270&lt;=Hypothèses!$V$7,Hypothèses!$W$7,IF(BG270&lt;=Hypothèses!$V$8,Hypothèses!$W$8,IF(BG270&lt;=Hypothèses!$V$9,Hypothèses!$W$9,IF(BG270&lt;=Hypothèses!$V$10,Hypothèses!$W$10,IF(BG270&lt;=Hypothèses!$V$11,Hypothèses!$W$11,IF(BG270&lt;=Hypothèses!$V$12,Hypothèses!$W$12,IF(BG270&lt;=Hypothèses!$V$13,Hypothèses!$W$13,IF(BG270&lt;=Hypothèses!$V$14,Hypothèses!$W$14,IF(BG270&lt;=Hypothèses!$V$15,Hypothèses!$W$15,IF(BG270&lt;=Hypothèses!$V$16,Hypothèses!$W$16,IF(BG270&lt;=Hypothèses!$V$17,Hypothèses!$W$17,IF(BG270&lt;=Hypothèses!$V$18,Hypothèses!$W$18,""))))))))))))</f>
        <v>#DIV/0!</v>
      </c>
      <c r="CB270" s="87" t="e">
        <f t="shared" ca="1" si="419"/>
        <v>#DIV/0!</v>
      </c>
      <c r="CC270" s="88" t="e">
        <f ca="1">IF(BG270&lt;=Hypothèses!$V$7,Hypothèses!$X$7,IF(BG270&lt;=Hypothèses!$V$8,Hypothèses!$X$8,IF(BG270&lt;=Hypothèses!$V$9,Hypothèses!$X$9,IF(BG270&lt;=Hypothèses!$V$10,Hypothèses!$X$10,IF(BG270&lt;=Hypothèses!$V$11,Hypothèses!$X$11,IF(BG270&lt;=Hypothèses!$V$12,Hypothèses!$X$12,IF(BG270&lt;=Hypothèses!$V$13,Hypothèses!$X$13,IF(BG270&lt;=Hypothèses!$V$14,Hypothèses!$X$14,IF(BG270&lt;=Hypothèses!$V$15,Hypothèses!$X$15,IF(BG270&lt;=Hypothèses!$V$16,Hypothèses!$X$16,IF(BG270&lt;=Hypothèses!$U$17,Hypothèses!$W$17,IF(BG270&lt;=Hypothèses!$U$18,Hypothèses!$W$18,""))))))))))))</f>
        <v>#DIV/0!</v>
      </c>
      <c r="CD270" s="95" t="e">
        <f t="shared" ca="1" si="381"/>
        <v>#DIV/0!</v>
      </c>
      <c r="CE270" s="101" t="e">
        <f t="shared" si="426"/>
        <v>#N/A</v>
      </c>
      <c r="CF270" s="91" t="e">
        <f t="shared" ref="CF270:CF333" si="450">IF($X270&lt;&gt;"",$X270,CE270)</f>
        <v>#N/A</v>
      </c>
      <c r="CG270" s="30" t="e">
        <f t="shared" si="406"/>
        <v>#N/A</v>
      </c>
      <c r="CH270" s="30" t="e">
        <f t="shared" si="407"/>
        <v>#N/A</v>
      </c>
      <c r="CI270" s="31" t="e">
        <f>IF(OR(Hypothèses!$B$4=17,Hypothèses!$B$4=18,Hypothèses!$B$4=19,Hypothèses!$B$4=20),
IF($D270="Pressio.",
IF(OR($E270=3,$E270=1,$E270=4),CH270,CG270),
IF($D270="Pénétro.",
IF(OR($E270=3,$E270=1,$E270=4),CH270,CG270))),IF($D270="Pressio.",
IF($E270=3,CH270,CG270),
IF($D270="Pénétro.",
IF($E270=4,CH270,CG270))))</f>
        <v>#N/A</v>
      </c>
      <c r="CJ270" s="31" t="e">
        <f>(IF(OR(Hypothèses!$B$4=17,Hypothèses!$B$4=18,Hypothèses!$B$4=19,Hypothèses!$B$4=20),
IF($D270="Pressio.",
IF(OR($E270=3,$E270=1,$E270=4),(PI()*CJ$12^2)/4*(CF270*$W270*1000)/($H270*$B$5),(PI()*CJ$12^2)/4*(CF270*$W270*1000)/($G270*$B$5)),
IF($D270="Pénétro.",
IF(OR($E270=4,$E270=1,$E270=5),(PI()*CJ$12^2)/4*(CF270*$W270*1000)/($H270*$B$5),(PI()*CJ$12^2)/4*(CF270*$W270*1000)/($G270*$B$5)))),
IF($D270="Pressio.",
IF($E270=3,(PI()*CJ$12^2)/4*(CF270*$W270*1000)/($H270*$B$5),(PI()*CJ$12^2)/4*(CF270*$W270*1000)/($G270*$B$5)),
IF($D270="Pénétro.",
IF($E270=4,(PI()*CJ$12^2)/4*(CF270*$W270*1000)/($H270*$B$5),(PI()*CJ$12^2)/4*(CF270*$W270*1000)/($G270*$B$5))))))/10</f>
        <v>#N/A</v>
      </c>
      <c r="CK270" s="102" t="e">
        <f>(VLOOKUP($B$3,'Coeff EC7'!$T$39:$X$59,2,0)*CI270+VLOOKUP($B$3,'Coeff EC7'!$T$65:$X$85,2,0)*Model0.1C!CJ270)/1.1</f>
        <v>#N/A</v>
      </c>
      <c r="CL270" s="102" t="e">
        <f>(VLOOKUP($B$3,'Coeff EC7'!$T$39:$X$59,3,0)*CI270+VLOOKUP($B$3,'Coeff EC7'!$T$65:$X$85,3,0)*Model0.1C!CJ270)/0.9</f>
        <v>#N/A</v>
      </c>
      <c r="CM270" s="102" t="e">
        <f t="shared" si="382"/>
        <v>#N/A</v>
      </c>
      <c r="CN270" s="102" t="e">
        <f t="shared" si="383"/>
        <v>#N/A</v>
      </c>
      <c r="CO270" s="414" t="e">
        <f>IF(CO269=0,0,IF(AND(CK270&gt;charge_ELS_quasi,CL270&gt;Charge_ELS_freq,CM270&gt;charge_ELU,CN270&gt;charge_ELA,$B270&gt;NDC!$H$22-0.1+MIN(3*$CO$12,1.5)),0,1))</f>
        <v>#N/A</v>
      </c>
      <c r="CP270" s="86" t="b">
        <f t="shared" ref="CP270:CP333" si="451">IF($B270&lt;=$P$4, $B270, IF($B270&lt;=$P$5, $B270-$P$4, IF($B270&lt;=$P$6, $B270-$P$5, IF($B270&lt;=$P$7,$B270-$P$6, IF($B270&lt;=$P$8, $B270-$P$7, IF($B270&lt;=$P$9, $B270-$P$8, IF($B270&lt;=$P$10,$B270-$P$9)))))))</f>
        <v>0</v>
      </c>
      <c r="CQ270" s="86">
        <f t="shared" ref="CQ270:CQ333" si="452">MAX($DD$12/2,0.5)</f>
        <v>0.5</v>
      </c>
      <c r="CR270" s="86">
        <f t="shared" ref="CR270:CR333" si="453">MIN(CQ270,CP270)</f>
        <v>0.5</v>
      </c>
      <c r="CS270" s="30" t="e">
        <f t="shared" ca="1" si="384"/>
        <v>#DIV/0!</v>
      </c>
      <c r="CT270" s="85" t="e">
        <f ca="1">IF(BZ270&lt;=Hypothèses!$V$7,Hypothèses!$W$7,IF(BZ270&lt;=Hypothèses!$V$8,Hypothèses!$W$8,IF(BZ270&lt;=Hypothèses!$V$9,Hypothèses!$W$9,IF(BZ270&lt;=Hypothèses!$V$10,Hypothèses!$W$10,IF(BZ270&lt;=Hypothèses!$V$11,Hypothèses!$W$11,IF(BZ270&lt;=Hypothèses!$V$12,Hypothèses!$W$12,IF(BZ270&lt;=Hypothèses!$V$13,Hypothèses!$W$13,IF(BZ270&lt;=Hypothèses!$V$14,Hypothèses!$W$14,IF(BZ270&lt;=Hypothèses!$V$15,Hypothèses!$W$15,IF(BZ270&lt;=Hypothèses!$V$16,Hypothèses!$W$16,IF(BZ270&lt;=Hypothèses!$V$17,Hypothèses!$W$17,IF(BZ270&lt;=Hypothèses!$V$18,Hypothèses!$W$18,""))))))))))))</f>
        <v>#DIV/0!</v>
      </c>
      <c r="CU270" s="87" t="e">
        <f t="shared" ca="1" si="420"/>
        <v>#DIV/0!</v>
      </c>
      <c r="CV270" s="88" t="e">
        <f ca="1">IF(BZ270&lt;=Hypothèses!$V$7,Hypothèses!$X$7,IF(BZ270&lt;=Hypothèses!$V$8,Hypothèses!$X$8,IF(BZ270&lt;=Hypothèses!$V$9,Hypothèses!$X$9,IF(BZ270&lt;=Hypothèses!$V$10,Hypothèses!$X$10,IF(BZ270&lt;=Hypothèses!$V$11,Hypothèses!$X$11,IF(BZ270&lt;=Hypothèses!$V$12,Hypothèses!$X$12,IF(BZ270&lt;=Hypothèses!$V$13,Hypothèses!$X$13,IF(BZ270&lt;=Hypothèses!$V$14,Hypothèses!$X$14,IF(BZ270&lt;=Hypothèses!$V$15,Hypothèses!$X$15,IF(BZ270&lt;=Hypothèses!$V$16,Hypothèses!$X$16,IF(BZ270&lt;=Hypothèses!$U$17,Hypothèses!$W$17,IF(BZ270&lt;=Hypothèses!$U$18,Hypothèses!$W$18,""))))))))))))</f>
        <v>#DIV/0!</v>
      </c>
      <c r="CW270" s="95" t="e">
        <f t="shared" ca="1" si="385"/>
        <v>#DIV/0!</v>
      </c>
      <c r="CX270" s="101" t="e">
        <f t="shared" si="427"/>
        <v>#N/A</v>
      </c>
      <c r="CY270" s="91" t="e">
        <f t="shared" ref="CY270:CY333" si="454">IF($X270&lt;&gt;"",$X270,CX270)</f>
        <v>#N/A</v>
      </c>
      <c r="CZ270" s="30" t="e">
        <f t="shared" si="408"/>
        <v>#N/A</v>
      </c>
      <c r="DA270" s="30" t="e">
        <f t="shared" si="409"/>
        <v>#N/A</v>
      </c>
      <c r="DB270" s="31" t="e">
        <f>IF(OR(Hypothèses!$B$4=17,Hypothèses!$B$4=18,Hypothèses!$B$4=19,Hypothèses!$B$4=20),
IF($D270="Pressio.",
IF(OR($E270=3,$E270=1,$E270=4),DA270,CZ270),
IF($D270="Pénétro.",
IF(OR($E270=3,$E270=1,$E270=4),DA270,CZ270))),IF($D270="Pressio.",
IF($E270=3,DA270,CZ270),
IF($D270="Pénétro.",
IF($E270=4,DA270,CZ270))))</f>
        <v>#N/A</v>
      </c>
      <c r="DC270" s="31" t="e">
        <f>(IF(OR(Hypothèses!$B$4=17,Hypothèses!$B$4=18,Hypothèses!$B$4=19,Hypothèses!$B$4=20),
IF($D270="Pressio.",
IF(OR($E270=3,$E270=1,$E270=4),(PI()*DC$12^2)/4*(CY270*$W270*1000)/($H270*$B$5),(PI()*DC$12^2)/4*(CY270*$W270*1000)/($G270*$B$5)),
IF($D270="Pénétro.",
IF(OR($E270=4,$E270=1,$E270=5),(PI()*DC$12^2)/4*(CY270*$W270*1000)/($H270*$B$5),(PI()*DC$12^2)/4*(CY270*$W270*1000)/($G270*$B$5)))),
IF($D270="Pressio.",
IF($E270=3,(PI()*DC$12^2)/4*(CY270*$W270*1000)/($H270*$B$5),(PI()*DC$12^2)/4*(CY270*$W270*1000)/($G270*$B$5)),
IF($D270="Pénétro.",
IF($E270=4,(PI()*DC$12^2)/4*(CY270*$W270*1000)/($H270*$B$5),(PI()*DC$12^2)/4*(CY270*$W270*1000)/($G270*$B$5))))))/10</f>
        <v>#N/A</v>
      </c>
      <c r="DD270" s="102" t="e">
        <f>(VLOOKUP($B$3,'Coeff EC7'!$T$39:$X$59,2,0)*DB270+VLOOKUP($B$3,'Coeff EC7'!$T$65:$X$85,2,0)*Model0.1C!DC270)/1.1</f>
        <v>#N/A</v>
      </c>
      <c r="DE270" s="102" t="e">
        <f>(VLOOKUP($B$3,'Coeff EC7'!$T$39:$X$59,3,0)*DB270+VLOOKUP($B$3,'Coeff EC7'!$T$65:$X$85,3,0)*Model0.1C!DC270)/0.9</f>
        <v>#N/A</v>
      </c>
      <c r="DF270" s="102" t="e">
        <f t="shared" si="386"/>
        <v>#N/A</v>
      </c>
      <c r="DG270" s="102" t="e">
        <f t="shared" si="387"/>
        <v>#N/A</v>
      </c>
      <c r="DH270" s="414" t="e">
        <f>IF(DH269=0,0,IF(AND(DD270&gt;charge_ELS_quasi,DE270&gt;Charge_ELS_freq,DF270&gt;charge_ELU,DG270&gt;charge_ELA,$B270&gt;NDC!$H$22-0.1+MIN(3*$DH$12,1.5)),0,1))</f>
        <v>#N/A</v>
      </c>
      <c r="DI270" s="86" t="b">
        <f t="shared" ref="DI270:DI333" si="455">IF($B270&lt;=$P$4, $B270, IF($B270&lt;=$P$5, $B270-$P$4, IF($B270&lt;=$P$6, $B270-$P$5, IF($B270&lt;=$P$7,$B270-$P$6, IF($B270&lt;=$P$8, $B270-$P$7, IF($B270&lt;=$P$9, $B270-$P$8, IF($B270&lt;=$P$10,$B270-$P$9)))))))</f>
        <v>0</v>
      </c>
      <c r="DJ270" s="86">
        <f t="shared" ref="DJ270:DJ333" si="456">MAX($DW$12/2,0.5)</f>
        <v>0.5</v>
      </c>
      <c r="DK270" s="86">
        <f t="shared" ref="DK270:DK333" si="457">MIN(DJ270,DI270)</f>
        <v>0.5</v>
      </c>
      <c r="DL270" s="30" t="e">
        <f t="shared" ca="1" si="388"/>
        <v>#DIV/0!</v>
      </c>
      <c r="DM270" s="85" t="e">
        <f ca="1">IF(CS270&lt;=Hypothèses!$V$7,Hypothèses!$W$7,IF(CS270&lt;=Hypothèses!$V$8,Hypothèses!$W$8,IF(CS270&lt;=Hypothèses!$V$9,Hypothèses!$W$9,IF(CS270&lt;=Hypothèses!$V$10,Hypothèses!$W$10,IF(CS270&lt;=Hypothèses!$V$11,Hypothèses!$W$11,IF(CS270&lt;=Hypothèses!$V$12,Hypothèses!$W$12,IF(CS270&lt;=Hypothèses!$V$13,Hypothèses!$W$13,IF(CS270&lt;=Hypothèses!$V$14,Hypothèses!$W$14,IF(CS270&lt;=Hypothèses!$V$15,Hypothèses!$W$15,IF(CS270&lt;=Hypothèses!$V$16,Hypothèses!$W$16,IF(CS270&lt;=Hypothèses!$V$17,Hypothèses!$W$17,IF(CS270&lt;=Hypothèses!$V$18,Hypothèses!$W$18,""))))))))))))</f>
        <v>#DIV/0!</v>
      </c>
      <c r="DN270" s="87" t="e">
        <f t="shared" ca="1" si="421"/>
        <v>#DIV/0!</v>
      </c>
      <c r="DO270" s="88" t="e">
        <f ca="1">IF(CS270&lt;=Hypothèses!$V$7,Hypothèses!$X$7,IF(CS270&lt;=Hypothèses!$V$8,Hypothèses!$X$8,IF(CS270&lt;=Hypothèses!$V$9,Hypothèses!$X$9,IF(CS270&lt;=Hypothèses!$V$10,Hypothèses!$X$10,IF(CS270&lt;=Hypothèses!$V$11,Hypothèses!$X$11,IF(CS270&lt;=Hypothèses!$V$12,Hypothèses!$X$12,IF(CS270&lt;=Hypothèses!$V$13,Hypothèses!$X$13,IF(CS270&lt;=Hypothèses!$V$14,Hypothèses!$X$14,IF(CS270&lt;=Hypothèses!$V$15,Hypothèses!$X$15,IF(CS270&lt;=Hypothèses!$V$16,Hypothèses!$X$16,IF(CS270&lt;=Hypothèses!$U$17,Hypothèses!$W$17,IF(CS270&lt;=Hypothèses!$U$18,Hypothèses!$W$18,""))))))))))))</f>
        <v>#DIV/0!</v>
      </c>
      <c r="DP270" s="95" t="e">
        <f t="shared" ca="1" si="389"/>
        <v>#DIV/0!</v>
      </c>
      <c r="DQ270" s="101" t="e">
        <f t="shared" si="428"/>
        <v>#N/A</v>
      </c>
      <c r="DR270" s="91" t="e">
        <f t="shared" ref="DR270:DR333" si="458">IF($X270&lt;&gt;"",$X270,DQ270)</f>
        <v>#N/A</v>
      </c>
      <c r="DS270" s="30" t="e">
        <f t="shared" si="410"/>
        <v>#N/A</v>
      </c>
      <c r="DT270" s="30" t="e">
        <f t="shared" si="411"/>
        <v>#N/A</v>
      </c>
      <c r="DU270" s="31" t="e">
        <f>IF(OR(Hypothèses!$B$4=17,Hypothèses!$B$4=18,Hypothèses!$B$4=19,Hypothèses!$B$4=20),
IF($D270="Pressio.",
IF(OR($E270=3,$E270=1,$E270=4),DT270,DS270),
IF($D270="Pénétro.",
IF(OR($E270=3,$E270=1,$E270=4),DT270,DS270))),IF($D270="Pressio.",
IF($E270=3,DT270,DS270),
IF($D270="Pénétro.",
IF($E270=4,DT270,DS270))))</f>
        <v>#N/A</v>
      </c>
      <c r="DV270" s="31" t="e">
        <f>(IF(OR(Hypothèses!$B$4=17,Hypothèses!$B$4=18,Hypothèses!$B$4=19,Hypothèses!$B$4=20),
IF($D270="Pressio.",
IF(OR($E270=3,$E270=1,$E270=4),(PI()*DV$12^2)/4*(DR270*$W270*1000)/($H270*$B$5),(PI()*DV$12^2)/4*(DR270*$W270*1000)/($G270*$B$5)),
IF($D270="Pénétro.",
IF(OR($E270=4,$E270=1,$E270=5),(PI()*DV$12^2)/4*(DR270*$W270*1000)/($H270*$B$5),(PI()*DV$12^2)/4*(DR270*$W270*1000)/($G270*$B$5)))),
IF($D270="Pressio.",
IF($E270=3,(PI()*DV$12^2)/4*(DR270*$W270*1000)/($H270*$B$5),(PI()*DV$12^2)/4*(DR270*$W270*1000)/($G270*$B$5)),
IF($D270="Pénétro.",
IF($E270=4,(PI()*DV$12^2)/4*(DR270*$W270*1000)/($H270*$B$5),(PI()*DV$12^2)/4*(DR270*$W270*1000)/($G270*$B$5))))))/10</f>
        <v>#N/A</v>
      </c>
      <c r="DW270" s="102" t="e">
        <f>(VLOOKUP($B$3,'Coeff EC7'!$T$39:$X$59,2,0)*DU270+VLOOKUP($B$3,'Coeff EC7'!$T$65:$X$85,2,0)*Model0.1C!DV270)/1.1</f>
        <v>#N/A</v>
      </c>
      <c r="DX270" s="102" t="e">
        <f>(VLOOKUP($B$3,'Coeff EC7'!$T$39:$X$59,3,0)*DU270+VLOOKUP($B$3,'Coeff EC7'!$T$65:$X$85,3,0)*Model0.1C!DV270)/0.9</f>
        <v>#N/A</v>
      </c>
      <c r="DY270" s="102" t="e">
        <f t="shared" si="390"/>
        <v>#N/A</v>
      </c>
      <c r="DZ270" s="102" t="e">
        <f t="shared" si="391"/>
        <v>#N/A</v>
      </c>
      <c r="EA270" s="414" t="e">
        <f>IF(EA269=0,0,IF(AND(DW270&gt;charge_ELS_quasi,DX270&gt;Charge_ELS_freq,DY270&gt;charge_ELU,DZ270&gt;charge_ELA,$B270&gt;NDC!$H$22-0.1+MIN(3*$EA$12,1.5)),0,1))</f>
        <v>#N/A</v>
      </c>
      <c r="EB270" s="86" t="b">
        <f t="shared" ref="EB270:EB333" si="459">IF($B270&lt;=$P$4, $B270, IF($B270&lt;=$P$5, $B270-$P$4, IF($B270&lt;=$P$6, $B270-$P$5, IF($B270&lt;=$P$7,$B270-$P$6, IF($B270&lt;=$P$8, $B270-$P$7, IF($B270&lt;=$P$9, $B270-$P$8, IF($B270&lt;=$P$10,$B270-$P$9)))))))</f>
        <v>0</v>
      </c>
      <c r="EC270" s="418">
        <f t="shared" ref="EC270:EC333" si="460">MAX($EP$12/2,0.5)</f>
        <v>0.51</v>
      </c>
      <c r="ED270" s="86">
        <f t="shared" ref="ED270:ED333" si="461">MIN(EC270,EB270)</f>
        <v>0.51</v>
      </c>
      <c r="EE270" s="30" t="e">
        <f t="shared" ca="1" si="392"/>
        <v>#DIV/0!</v>
      </c>
      <c r="EF270" s="85" t="e">
        <f ca="1">IF(DL270&lt;=Hypothèses!$V$7,Hypothèses!$W$7,IF(DL270&lt;=Hypothèses!$V$8,Hypothèses!$W$8,IF(DL270&lt;=Hypothèses!$V$9,Hypothèses!$W$9,IF(DL270&lt;=Hypothèses!$V$10,Hypothèses!$W$10,IF(DL270&lt;=Hypothèses!$V$11,Hypothèses!$W$11,IF(DL270&lt;=Hypothèses!$V$12,Hypothèses!$W$12,IF(DL270&lt;=Hypothèses!$V$13,Hypothèses!$W$13,IF(DL270&lt;=Hypothèses!$V$14,Hypothèses!$W$14,IF(DL270&lt;=Hypothèses!$V$15,Hypothèses!$W$15,IF(DL270&lt;=Hypothèses!$V$16,Hypothèses!$W$16,IF(DL270&lt;=Hypothèses!$V$17,Hypothèses!$W$17,IF(DL270&lt;=Hypothèses!$V$18,Hypothèses!$W$18,""))))))))))))</f>
        <v>#DIV/0!</v>
      </c>
      <c r="EG270" s="87" t="e">
        <f t="shared" ca="1" si="422"/>
        <v>#DIV/0!</v>
      </c>
      <c r="EH270" s="88" t="e">
        <f ca="1">IF(DL270&lt;=Hypothèses!$V$7,Hypothèses!$X$7,IF(DL270&lt;=Hypothèses!$V$8,Hypothèses!$X$8,IF(DL270&lt;=Hypothèses!$V$9,Hypothèses!$X$9,IF(DL270&lt;=Hypothèses!$V$10,Hypothèses!$X$10,IF(DL270&lt;=Hypothèses!$V$11,Hypothèses!$X$11,IF(DL270&lt;=Hypothèses!$V$12,Hypothèses!$X$12,IF(DL270&lt;=Hypothèses!$V$13,Hypothèses!$X$13,IF(DL270&lt;=Hypothèses!$V$14,Hypothèses!$X$14,IF(DL270&lt;=Hypothèses!$V$15,Hypothèses!$X$15,IF(DL270&lt;=Hypothèses!$V$16,Hypothèses!$X$16,IF(DL270&lt;=Hypothèses!$U$17,Hypothèses!$W$17,IF(DL270&lt;=Hypothèses!$U$18,Hypothèses!$W$18,""))))))))))))</f>
        <v>#DIV/0!</v>
      </c>
      <c r="EI270" s="95" t="e">
        <f t="shared" ca="1" si="393"/>
        <v>#DIV/0!</v>
      </c>
      <c r="EJ270" s="101" t="e">
        <f t="shared" si="429"/>
        <v>#N/A</v>
      </c>
      <c r="EK270" s="91" t="e">
        <f t="shared" ref="EK270:EK333" si="462">IF($X270&lt;&gt;"",$X270,EJ270)</f>
        <v>#N/A</v>
      </c>
      <c r="EL270" s="30" t="e">
        <f t="shared" si="412"/>
        <v>#N/A</v>
      </c>
      <c r="EM270" s="30" t="e">
        <f t="shared" si="413"/>
        <v>#N/A</v>
      </c>
      <c r="EN270" s="31" t="e">
        <f>IF(OR(Hypothèses!$B$4=17,Hypothèses!$B$4=18,Hypothèses!$B$4=19,Hypothèses!$B$4=20),
IF($D270="Pressio.",
IF(OR($E270=3,$E270=1,$E270=4),EM270,EL270),
IF($D270="Pénétro.",
IF(OR($E270=3,$E270=1,$E270=4),EM270,EL270))),IF($D270="Pressio.",
IF($E270=3,EM270,EL270),
IF($D270="Pénétro.",
IF($E270=4,EM270,EL270))))</f>
        <v>#N/A</v>
      </c>
      <c r="EO270" s="31" t="e">
        <f>(IF(OR(Hypothèses!$B$4=17,Hypothèses!$B$4=18,Hypothèses!$B$4=19,Hypothèses!$B$4=20),
IF($D270="Pressio.",
IF(OR($E270=3,$E270=1,$E270=4),(PI()*EO$12^2)/4*(EK270*$W270*1000)/($H270*$B$5),(PI()*EO$12^2)/4*(EK270*$W270*1000)/($G270*$B$5)),
IF($D270="Pénétro.",
IF(OR($E270=4,$E270=1,$E270=5),(PI()*EO$12^2)/4*(EK270*$W270*1000)/($H270*$B$5),(PI()*EO$12^2)/4*(EK270*$W270*1000)/($G270*$B$5)))),
IF($D270="Pressio.",
IF($E270=3,(PI()*EO$12^2)/4*(EK270*$W270*1000)/($H270*$B$5),(PI()*EO$12^2)/4*(EK270*$W270*1000)/($G270*$B$5)),
IF($D270="Pénétro.",
IF($E270=4,(PI()*EO$12^2)/4*(EK270*$W270*1000)/($H270*$B$5),(PI()*EO$12^2)/4*(EK270*$W270*1000)/($G270*$B$5))))))/10</f>
        <v>#N/A</v>
      </c>
      <c r="EP270" s="102" t="e">
        <f>(VLOOKUP($B$3,'Coeff EC7'!$T$39:$X$59,2,0)*EN270+VLOOKUP($B$3,'Coeff EC7'!$T$65:$X$85,2,0)*Model0.1C!EO270)/1.1</f>
        <v>#N/A</v>
      </c>
      <c r="EQ270" s="102" t="e">
        <f>(VLOOKUP($B$3,'Coeff EC7'!$T$39:$X$59,3,0)*EN270+VLOOKUP($B$3,'Coeff EC7'!$T$65:$X$85,3,0)*Model0.1C!EO270)/0.9</f>
        <v>#N/A</v>
      </c>
      <c r="ER270" s="102" t="e">
        <f t="shared" si="394"/>
        <v>#N/A</v>
      </c>
      <c r="ES270" s="102" t="e">
        <f t="shared" si="395"/>
        <v>#N/A</v>
      </c>
      <c r="ET270" s="414" t="e">
        <f>IF(ET269=0,0,IF(AND(EP270&gt;charge_ELS_quasi,EQ270&gt;Charge_ELS_freq,ER270&gt;charge_ELU,ES270&gt;charge_ELA,$B270&gt;NDC!$H$22-0.1+MIN(3*$ET$12,1.5)),0,1))</f>
        <v>#N/A</v>
      </c>
      <c r="EU270" s="86" t="b">
        <f t="shared" ref="EU270:EU333" si="463">IF($B270&lt;=$P$4, $B270, IF($B270&lt;=$P$5, $B270-$P$4, IF($B270&lt;=$P$6, $B270-$P$5, IF($B270&lt;=$P$7,$B270-$P$6, IF($B270&lt;=$P$8, $B270-$P$7, IF($B270&lt;=$P$9, $B270-$P$8, IF($B270&lt;=$P$10,$B270-$P$9)))))))</f>
        <v>0</v>
      </c>
      <c r="EV270" s="86">
        <f t="shared" ref="EV270:EV333" si="464">MAX($FI$12/2,0.5)</f>
        <v>0.61</v>
      </c>
      <c r="EW270" s="86">
        <f t="shared" ref="EW270:EW333" si="465">MIN(EV270,EU270)</f>
        <v>0.61</v>
      </c>
      <c r="EX270" s="30" t="e">
        <f t="shared" ca="1" si="396"/>
        <v>#DIV/0!</v>
      </c>
      <c r="EY270" s="85" t="e">
        <f ca="1">IF(EE270&lt;=Hypothèses!$V$7,Hypothèses!$W$7,IF(EE270&lt;=Hypothèses!$V$8,Hypothèses!$W$8,IF(EE270&lt;=Hypothèses!$V$9,Hypothèses!$W$9,IF(EE270&lt;=Hypothèses!$V$10,Hypothèses!$W$10,IF(EE270&lt;=Hypothèses!$V$11,Hypothèses!$W$11,IF(EE270&lt;=Hypothèses!$V$12,Hypothèses!$W$12,IF(EE270&lt;=Hypothèses!$V$13,Hypothèses!$W$13,IF(EE270&lt;=Hypothèses!$V$14,Hypothèses!$W$14,IF(EE270&lt;=Hypothèses!$V$15,Hypothèses!$W$15,IF(EE270&lt;=Hypothèses!$V$16,Hypothèses!$W$16,IF(EE270&lt;=Hypothèses!$V$17,Hypothèses!$W$17,IF(EE270&lt;=Hypothèses!$V$18,Hypothèses!$W$18,""))))))))))))</f>
        <v>#DIV/0!</v>
      </c>
      <c r="EZ270" s="87" t="e">
        <f t="shared" ca="1" si="423"/>
        <v>#DIV/0!</v>
      </c>
      <c r="FA270" s="88" t="e">
        <f ca="1">IF(EE270&lt;=Hypothèses!$V$7,Hypothèses!$X$7,IF(EE270&lt;=Hypothèses!$V$8,Hypothèses!$X$8,IF(EE270&lt;=Hypothèses!$V$9,Hypothèses!$X$9,IF(EE270&lt;=Hypothèses!$V$10,Hypothèses!$X$10,IF(EE270&lt;=Hypothèses!$V$11,Hypothèses!$X$11,IF(EE270&lt;=Hypothèses!$V$12,Hypothèses!$X$12,IF(EE270&lt;=Hypothèses!$V$13,Hypothèses!$X$13,IF(EE270&lt;=Hypothèses!$V$14,Hypothèses!$X$14,IF(EE270&lt;=Hypothèses!$V$15,Hypothèses!$X$15,IF(EE270&lt;=Hypothèses!$V$16,Hypothèses!$X$16,IF(EE270&lt;=Hypothèses!$U$17,Hypothèses!$W$17,IF(EE270&lt;=Hypothèses!$U$18,Hypothèses!$W$18,""))))))))))))</f>
        <v>#DIV/0!</v>
      </c>
      <c r="FB270" s="95" t="e">
        <f t="shared" ca="1" si="397"/>
        <v>#DIV/0!</v>
      </c>
      <c r="FC270" s="101" t="e">
        <f t="shared" si="430"/>
        <v>#N/A</v>
      </c>
      <c r="FD270" s="91" t="e">
        <f t="shared" ref="FD270:FD333" si="466">IF($X270&lt;&gt;"",$X270,FC270)</f>
        <v>#N/A</v>
      </c>
      <c r="FE270" s="30" t="e">
        <f t="shared" si="414"/>
        <v>#N/A</v>
      </c>
      <c r="FF270" s="30" t="e">
        <f t="shared" si="415"/>
        <v>#N/A</v>
      </c>
      <c r="FG270" s="31" t="e">
        <f>IF(OR(Hypothèses!$B$4=17,Hypothèses!$B$4=18,Hypothèses!$B$4=19,Hypothèses!$B$4=20),
IF($D270="Pressio.",
IF(OR($E270=3,$E270=1,$E270=4),FF270,FE270),
IF($D270="Pénétro.",
IF(OR($E270=3,$E270=1,$E270=4),FF270,FE270))),IF($D270="Pressio.",
IF($E270=3,FF270,FE270),
IF($D270="Pénétro.",
IF($E270=4,FF270,FE270))))</f>
        <v>#N/A</v>
      </c>
      <c r="FH270" s="31" t="e">
        <f>(IF(OR(Hypothèses!$B$4=17,Hypothèses!$B$4=18,Hypothèses!$B$4=19,Hypothèses!$B$4=20),
IF($D270="Pressio.",
IF(OR($E270=3,$E270=1,$E270=4),(PI()*FH$12^2)/4*(FD270*$W270*1000)/($H270*$B$5),(PI()*FH$12^2)/4*(FD270*$W270*1000)/($G270*$B$5)),
IF($D270="Pénétro.",
IF(OR($E270=4,$E270=1,$E270=5),(PI()*FH$12^2)/4*(FD270*$W270*1000)/($H270*$B$5),(PI()*FH$12^2)/4*(FD270*$W270*1000)/($G270*$B$5)))),
IF($D270="Pressio.",
IF($E270=3,(PI()*FH$12^2)/4*(FD270*$W270*1000)/($H270*$B$5),(PI()*FH$12^2)/4*(FD270*$W270*1000)/($G270*$B$5)),
IF($D270="Pénétro.",
IF($E270=4,(PI()*FH$12^2)/4*(FD270*$W270*1000)/($H270*$B$5),(PI()*FH$12^2)/4*(FD270*$W270*1000)/($G270*$B$5))))))/10</f>
        <v>#N/A</v>
      </c>
      <c r="FI270" s="102" t="e">
        <f>(VLOOKUP($B$3,'Coeff EC7'!$T$39:$X$59,2,0)*FG270+VLOOKUP($B$3,'Coeff EC7'!$T$65:$X$85,2,0)*Model0.1C!FH270)/1.1</f>
        <v>#N/A</v>
      </c>
      <c r="FJ270" s="102" t="e">
        <f>(VLOOKUP($B$3,'Coeff EC7'!$T$39:$X$59,3,0)*FG270+VLOOKUP($B$3,'Coeff EC7'!$T$65:$X$85,3,0)*Model0.1C!FH270)/0.9</f>
        <v>#N/A</v>
      </c>
      <c r="FK270" s="102" t="e">
        <f t="shared" si="398"/>
        <v>#N/A</v>
      </c>
      <c r="FL270" s="102" t="e">
        <f t="shared" si="399"/>
        <v>#N/A</v>
      </c>
      <c r="FM270" s="414" t="e">
        <f>IF(FM269=0,0,IF(AND(FI270&gt;charge_ELS_quasi,FJ270&gt;Charge_ELS_freq,FK270&gt;charge_ELU,FL270&gt;charge_ELA,$B270&gt;NDC!$H$22-0.1+MIN(3*$FM$12,1.5)),0,1))</f>
        <v>#N/A</v>
      </c>
    </row>
    <row r="271" spans="1:169">
      <c r="A271" s="96">
        <f t="shared" ref="A271:A334" si="467">A270-0.1</f>
        <v>74.200000000001467</v>
      </c>
      <c r="B271" s="97">
        <v>25.8</v>
      </c>
      <c r="C271" s="81">
        <f>IF(B271&lt;=Hypothèses!$C$7,Hypothèses!$A$7,IF(B271&lt;=Hypothèses!$C$8,Hypothèses!$A$8,IF(B271&lt;=Hypothèses!$C$9,Hypothèses!$A$9,IF(B271&lt;=Hypothèses!$C$10,Hypothèses!$A$10,IF(B271&lt;=Hypothèses!$C$11,Hypothèses!$A$11,IF(B271&lt;=Hypothèses!$C$12,Hypothèses!$A$12,IF(B271&lt;=Hypothèses!$C$13,Hypothèses!$A$13,IF(B271&lt;=Hypothèses!$C$14,Hypothèses!$A$14,IF(B271&lt;=Hypothèses!$C$15,Hypothèses!$A$15,IF(B271&lt;=Hypothèses!$C$16,Hypothèses!$A$16,IF(B271&lt;=Hypothèses!$C$17,Hypothèses!$A$17,IF(B271&lt;=Hypothèses!$C$18,Hypothèses!$A$18,C270))))))))))))</f>
        <v>11</v>
      </c>
      <c r="D271" s="82" t="str">
        <f>IF(B271&lt;=Hypothèses!$C$7,Hypothèses!$R$7,IF(B271&lt;=Hypothèses!$C$8,Hypothèses!$R$8,IF(B271&lt;=Hypothèses!$C$9,Hypothèses!$R$9,IF(B271&lt;=Hypothèses!$C$10,Hypothèses!$R$10,IF(B271&lt;=Hypothèses!$C$11,Hypothèses!$R$11,IF(B271&lt;=Hypothèses!$C$12,Hypothèses!$R$12,IF(B271&lt;=Hypothèses!$C$13,Hypothèses!$R$13,IF(B271&lt;=Hypothèses!$C$14,Hypothèses!$R$14,IF(B271&lt;=Hypothèses!$C$15,Hypothèses!$R$15,IF(B271&lt;=Hypothèses!$C$16,Hypothèses!$R$16,IF(B271&lt;=Hypothèses!$C$17,Hypothèses!$R$17,IF(B271&lt;=Hypothèses!$C$18,Hypothèses!$R$18,D270))))))))))))</f>
        <v>Pressio.</v>
      </c>
      <c r="E271" s="82" t="e">
        <f>IF(B271&lt;=Hypothèses!$C$7,Hypothèses!$G$7,IF(B271&lt;=Hypothèses!$C$8,Hypothèses!$G$8,IF(B271&lt;=Hypothèses!$C$9,Hypothèses!$G$9,IF(B271&lt;=Hypothèses!$C$10,Hypothèses!$G$10,IF(B271&lt;=Hypothèses!$C$11,Hypothèses!$G$11,IF(B271&lt;=Hypothèses!$C$12,Hypothèses!$G$12,IF(B271&lt;=Hypothèses!$C$13,Hypothèses!$G$13,IF(B271&lt;=Hypothèses!$C$14,Hypothèses!$G$14,IF(B271&lt;=Hypothèses!$C$15,Hypothèses!$G$15,IF(B271&lt;=Hypothèses!$C$16,Hypothèses!$G$16,IF(B271&lt;=Hypothèses!$C$17,Hypothèses!$G$17,IF(B271&lt;=Hypothèses!$C$18,Hypothèses!$G$18,E270))))))))))))</f>
        <v>#N/A</v>
      </c>
      <c r="F271" s="82" t="str">
        <f>IF(B271&lt;=Hypothèses!$C$7,Hypothèses!$F$7,IF(B271&lt;=Hypothèses!$C$8,Hypothèses!$F$8,IF(B271&lt;=Hypothèses!$C$9,Hypothèses!$F$9,IF(B271&lt;=Hypothèses!$C$10,Hypothèses!$F$10,IF(B271&lt;=Hypothèses!$C$11,Hypothèses!$F$11,IF(B271&lt;=Hypothèses!$C$12,Hypothèses!$F$12,IF(B271&lt;=Hypothèses!$C$13,Hypothèses!$F$13,IF(B271&lt;=Hypothèses!$C$14,Hypothèses!$F$14,IF(B271&lt;=Hypothèses!$C$15,Hypothèses!$F$15,IF(B271&lt;=Hypothèses!$C$16,Hypothèses!$F$16,IF(B271&lt;=Hypothèses!$C$17,Hypothèses!$F$17,IF(B271&lt;=Hypothèses!$C$18,Hypothèses!$F$18,F270))))))))))))</f>
        <v/>
      </c>
      <c r="G271" s="91">
        <f t="array" ref="G271">INDEX('Coeff EC7'!$U$7:$X$27,
MATCH(Model0.1C!$B$3,'Coeff EC7'!$T$7:$T$27,0),
MATCH(Model0.1C!$D271&amp;Model0.1C!$B$4,
'Coeff EC7'!$U$6:$X$6&amp;
'Coeff EC7'!$U$5:$X$5,0))</f>
        <v>1.1499999999999999</v>
      </c>
      <c r="H271" s="91">
        <f t="array" ref="H271">INDEX('Coeff EC7'!$Y$7:$AB$27,
MATCH(Model0.1C!$B$3,'Coeff EC7'!$T$7:$T$27,0),
MATCH(Model0.1C!$D271&amp;Model0.1C!$B$4,
'Coeff EC7'!$Y$6:$AB$6&amp;
'Coeff EC7'!$Y$5:$AB$5,0))</f>
        <v>1.4</v>
      </c>
      <c r="I271" s="83" t="e">
        <f>IF(B271&lt;=Hypothèses!$C$7,Hypothèses!$P$7,IF(B271&lt;=Hypothèses!$C$8,Hypothèses!$P$8,IF(B271&lt;=Hypothèses!$C$9,Hypothèses!$P$9,IF(B271&lt;=Hypothèses!$C$10,Hypothèses!$P$10,IF(B271&lt;=Hypothèses!$C$11,Hypothèses!$P$11,IF(B271&lt;=Hypothèses!$C$12,Hypothèses!$P$12,IF(B271&lt;=Hypothèses!$C$13,Hypothèses!$P$13,IF(B271&lt;=Hypothèses!$C$14,Hypothèses!$P$14,IF(B271&lt;=Hypothèses!$C$15,Hypothèses!$P$15,IF(B271&lt;=Hypothèses!$C$16,Hypothèses!$P$16,IF(B271&lt;=Hypothèses!$C$17,Hypothèses!$P$17,IF(B271&lt;=Hypothèses!$C$18,Hypothèses!$P$18,I270))))))))))))</f>
        <v>#N/A</v>
      </c>
      <c r="J271" s="91" t="e">
        <f t="array" ref="J271">INDEX('Coeff EC7'!$D$33:$Q$33,1,MATCH(D271&amp;E271,'Coeff EC7'!$D$31:$Q$31&amp;'Coeff EC7'!$D$32:$Q$32,0))</f>
        <v>#N/A</v>
      </c>
      <c r="K271" s="91" t="e">
        <f t="array" ref="K271">INDEX('Coeff EC7'!$D$34:$Q$34,1,MATCH(D271&amp;E271,'Coeff EC7'!$D$31:$Q$31&amp;'Coeff EC7'!$D$32:$Q$32,0))</f>
        <v>#N/A</v>
      </c>
      <c r="L271" s="91" t="e">
        <f t="array" ref="L271">INDEX('Coeff EC7'!$D$35:$Q$35,1,MATCH(D271&amp;E271,'Coeff EC7'!$D$31:$Q$31&amp;'Coeff EC7'!$D$32:$Q$32,0))</f>
        <v>#N/A</v>
      </c>
      <c r="M271" s="98" t="e">
        <f t="shared" si="431"/>
        <v>#N/A</v>
      </c>
      <c r="N271" s="99" t="e">
        <f t="array" ref="N271">INDEX('Coeff EC7'!$D$7:$Q$27,MATCH($B$3,'Coeff EC7'!$C$7:$C$27,0),MATCH(D271&amp;E271,'Coeff EC7'!$D$5:$Q$5&amp;'Coeff EC7'!$D$6:$Q$6,0))</f>
        <v>#N/A</v>
      </c>
      <c r="O271" s="99" t="e">
        <f t="array" ref="O271">INDEX('Coeff EC7'!$D$41:$Q$61,MATCH($B$3,'Coeff EC7'!$C$41:$C$61,0),MATCH(D271&amp;E271,'Coeff EC7'!$D$39:$Q$39&amp;'Coeff EC7'!$D$40:$Q$40,0))</f>
        <v>#N/A</v>
      </c>
      <c r="P271" s="30" t="e">
        <f t="shared" ref="P271:P334" si="468">N271*M271*1000</f>
        <v>#N/A</v>
      </c>
      <c r="Q271" s="100" t="e">
        <f t="shared" si="433"/>
        <v>#N/A</v>
      </c>
      <c r="R271" s="86" t="b">
        <f t="shared" si="434"/>
        <v>0</v>
      </c>
      <c r="S271" s="86">
        <f t="shared" si="432"/>
        <v>0.5</v>
      </c>
      <c r="T271" s="86">
        <f t="shared" si="435"/>
        <v>0.5</v>
      </c>
      <c r="U271" s="30" t="e">
        <f t="shared" ref="U271:U334" ca="1" si="469">AVERAGE(OFFSET($F271, -10*T271, 0,10*T271, 1), OFFSET($F271, 1, 0, 30*S271, 1))</f>
        <v>#DIV/0!</v>
      </c>
      <c r="V271" s="85" t="str">
        <f>IF(B271&lt;=Hypothèses!$V$7,Hypothèses!$W$7,IF(B271&lt;=Hypothèses!$V$8,Hypothèses!$W$8,IF(B271&lt;=Hypothèses!$V$9,Hypothèses!$W$9,IF(B271&lt;=Hypothèses!$V$10,Hypothèses!$W$10,IF(B271&lt;=Hypothèses!$V$11,Hypothèses!$W$11,IF(B271&lt;=Hypothèses!$V$12,Hypothèses!$W$12,IF(B271&lt;=Hypothèses!$V$13,Hypothèses!$W$13,IF(B271&lt;=Hypothèses!$V$14,Hypothèses!$W$14,IF(B271&lt;=Hypothèses!$V$15,Hypothèses!$W$15,IF(B271&lt;=Hypothèses!$V$16,Hypothèses!$W$16,IF(B271&lt;=Hypothèses!$V$17,Hypothèses!$W$17,IF(B271&lt;=Hypothèses!$V$18,Hypothèses!$W$18,""))))))))))))</f>
        <v/>
      </c>
      <c r="W271" s="87" t="e">
        <f t="shared" ca="1" si="416"/>
        <v>#DIV/0!</v>
      </c>
      <c r="X271" s="88" t="str">
        <f>IF(B271&lt;=Hypothèses!$V$7,Hypothèses!$X$7,IF(B271&lt;=Hypothèses!$V$8,Hypothèses!$X$8,IF(B271&lt;=Hypothèses!$V$9,Hypothèses!$X$9,IF(B271&lt;=Hypothèses!$V$10,Hypothèses!$X$10,IF(B271&lt;=Hypothèses!$V$11,Hypothèses!$X$11,IF(B271&lt;=Hypothèses!$V$12,Hypothèses!$X$12,IF(B271&lt;=Hypothèses!$V$13,Hypothèses!$X$13,IF(B271&lt;=Hypothèses!$V$14,Hypothèses!$X$14,IF(B271&lt;=Hypothèses!$V$15,Hypothèses!$X$15,IF(B271&lt;=Hypothèses!$V$16,Hypothèses!$X$16,IF(B271&lt;=Hypothèses!$U$17,Hypothèses!$W$17,IF(B271&lt;=Hypothèses!$U$18,Hypothèses!$W$18,""))))))))))))</f>
        <v/>
      </c>
      <c r="Y271" s="95" t="e">
        <f t="shared" ca="1" si="436"/>
        <v>#DIV/0!</v>
      </c>
      <c r="Z271" s="101" t="e">
        <f t="shared" si="437"/>
        <v>#N/A</v>
      </c>
      <c r="AA271" s="91" t="e">
        <f t="shared" si="438"/>
        <v>#N/A</v>
      </c>
      <c r="AB271" s="30" t="e">
        <f t="shared" si="400"/>
        <v>#N/A</v>
      </c>
      <c r="AC271" s="30" t="e">
        <f t="shared" si="401"/>
        <v>#N/A</v>
      </c>
      <c r="AD271" s="31" t="e">
        <f>IF(OR(Hypothèses!$B$4=17,Hypothèses!$B$4=18,Hypothèses!$B$4=19,Hypothèses!$B$4=20),
IF($D271="Pressio.",
IF(OR($E271=3,$E271=1,$E271=4),AC271,AB271),
IF($D271="Pénétro.",
IF(OR($E271=3,$E271=1,$E271=4),AC271,AB271))),IF($D271="Pressio.",
IF($E271=3,AC271,AB271),
IF($D271="Pénétro.",
IF($E271=4,AC271,AB271))))</f>
        <v>#N/A</v>
      </c>
      <c r="AE271" s="31" t="e">
        <f>(IF(OR(Hypothèses!$B$4=17,Hypothèses!$B$4=18,Hypothèses!$B$4=19,Hypothèses!$B$4=20),
IF($D271="Pressio.",
IF(OR($E271=3,$E271=1,$E271=4),(PI()*AE$12^2)/4*(AA271*$W271*1000)/($H271*$B$5),(PI()*AE$12^2)/4*(AA271*$W271*1000)/($G271*$B$5)),
IF($D271="Pénétro.",
IF(OR($E271=4,$E271=1,$E271=5),(PI()*AE$12^2)/4*(AA271*$W271*1000)/($H271*$B$5),(PI()*AE$12^2)/4*(AA271*$W271*1000)/($G271*$B$5)))),
IF($D271="Pressio.",
IF($E271=3,(PI()*AE$12^2)/4*(AA271*$W271*1000)/($H271*$B$5),(PI()*AE$12^2)/4*(AA271*$W271*1000)/($G271*$B$5)),
IF($D271="Pénétro.",
IF($E271=4,(PI()*AE$12^2)/4*(AA271*$W271*1000)/($H271*$B$5),(PI()*AE$12^2)/4*(AA271*$W271*1000)/($G271*$B$5))))))/10</f>
        <v>#N/A</v>
      </c>
      <c r="AF271" s="102" t="e">
        <f>(VLOOKUP($B$3,'Coeff EC7'!$T$39:$X$59,2,0)*AD271+VLOOKUP($B$3,'Coeff EC7'!$T$65:$X$85,2,0)*Model0.1C!AE271)/1.1</f>
        <v>#N/A</v>
      </c>
      <c r="AG271" s="102" t="e">
        <f>(VLOOKUP($B$3,'Coeff EC7'!$T$39:$X$59,3,0)*AD271+VLOOKUP($B$3,'Coeff EC7'!$T$65:$X$85,3,0)*Model0.1C!AE271)/0.9</f>
        <v>#N/A</v>
      </c>
      <c r="AH271" s="102" t="e">
        <f t="shared" si="439"/>
        <v>#N/A</v>
      </c>
      <c r="AI271" s="102" t="e">
        <f t="shared" si="440"/>
        <v>#N/A</v>
      </c>
      <c r="AJ271" s="414" t="e">
        <f>IF(AJ270=0,0,IF(AND(AF271&gt;charge_ELS_quasi,AG271&gt;Charge_ELS_freq,AH271&gt;charge_ELU,AI271&gt;charge_ELA,$B271&gt;NDC!$H$22-0.1+MIN(3*$AJ$12,1.5)),0,1))</f>
        <v>#N/A</v>
      </c>
      <c r="AK271" s="86" t="b">
        <f t="shared" si="441"/>
        <v>0</v>
      </c>
      <c r="AL271" s="86">
        <f t="shared" ref="AL271:AL334" si="470">MAX($AY$12/2,0.5)</f>
        <v>0.5</v>
      </c>
      <c r="AM271" s="86">
        <f t="shared" si="442"/>
        <v>0.5</v>
      </c>
      <c r="AN271" s="30" t="e">
        <f t="shared" ref="AN271:AN334" ca="1" si="471">AVERAGE(OFFSET($F271, -10*AM271, 0,10*AM271, 1), OFFSET($F271, 1, 0, 30*AL271, 1))</f>
        <v>#DIV/0!</v>
      </c>
      <c r="AO271" s="85" t="e">
        <f ca="1">IF(U271&lt;=Hypothèses!$V$7,Hypothèses!$W$7,IF(U271&lt;=Hypothèses!$V$8,Hypothèses!$W$8,IF(U271&lt;=Hypothèses!$V$9,Hypothèses!$W$9,IF(U271&lt;=Hypothèses!$V$10,Hypothèses!$W$10,IF(U271&lt;=Hypothèses!$V$11,Hypothèses!$W$11,IF(U271&lt;=Hypothèses!$V$12,Hypothèses!$W$12,IF(U271&lt;=Hypothèses!$V$13,Hypothèses!$W$13,IF(U271&lt;=Hypothèses!$V$14,Hypothèses!$W$14,IF(U271&lt;=Hypothèses!$V$15,Hypothèses!$W$15,IF(U271&lt;=Hypothèses!$V$16,Hypothèses!$W$16,IF(U271&lt;=Hypothèses!$V$17,Hypothèses!$W$17,IF(U271&lt;=Hypothèses!$V$18,Hypothèses!$W$18,""))))))))))))</f>
        <v>#DIV/0!</v>
      </c>
      <c r="AP271" s="87" t="e">
        <f t="shared" ca="1" si="417"/>
        <v>#DIV/0!</v>
      </c>
      <c r="AQ271" s="88" t="e">
        <f ca="1">IF(U271&lt;=Hypothèses!$V$7,Hypothèses!$X$7,IF(U271&lt;=Hypothèses!$V$8,Hypothèses!$X$8,IF(U271&lt;=Hypothèses!$V$9,Hypothèses!$X$9,IF(U271&lt;=Hypothèses!$V$10,Hypothèses!$X$10,IF(U271&lt;=Hypothèses!$V$11,Hypothèses!$X$11,IF(U271&lt;=Hypothèses!$V$12,Hypothèses!$X$12,IF(U271&lt;=Hypothèses!$V$13,Hypothèses!$X$13,IF(U271&lt;=Hypothèses!$V$14,Hypothèses!$X$14,IF(U271&lt;=Hypothèses!$V$15,Hypothèses!$X$15,IF(U271&lt;=Hypothèses!$V$16,Hypothèses!$X$16,IF(U271&lt;=Hypothèses!$U$17,Hypothèses!$W$17,IF(U271&lt;=Hypothèses!$U$18,Hypothèses!$W$18,""))))))))))))</f>
        <v>#DIV/0!</v>
      </c>
      <c r="AR271" s="95" t="e">
        <f t="shared" ref="AR271:AR334" ca="1" si="472">IF($B271&lt;10*$BB$12,0.1/AP271*SUM(OFFSET(F271,-10*$B271+1,0,10*$B271,1)),0.1/AP271*SUM(OFFSET(F271,-100*$BB$12+1,0,100*$BB$12,1)))</f>
        <v>#DIV/0!</v>
      </c>
      <c r="AS271" s="101" t="e">
        <f t="shared" si="424"/>
        <v>#N/A</v>
      </c>
      <c r="AT271" s="91" t="e">
        <f t="shared" si="443"/>
        <v>#N/A</v>
      </c>
      <c r="AU271" s="30" t="e">
        <f t="shared" si="402"/>
        <v>#N/A</v>
      </c>
      <c r="AV271" s="30" t="e">
        <f t="shared" si="403"/>
        <v>#N/A</v>
      </c>
      <c r="AW271" s="31" t="e">
        <f>IF(OR(Hypothèses!$B$4=17,Hypothèses!$B$4=18,Hypothèses!$B$4=19,Hypothèses!$B$4=20),
IF($D271="Pressio.",
IF(OR($E271=3,$E271=1,$E271=4),AV271,AU271),
IF($D271="Pénétro.",
IF(OR($E271=3,$E271=1,$E271=4),AV271,AU271))),IF($D271="Pressio.",
IF($E271=3,AV271,AU271),
IF($D271="Pénétro.",
IF($E271=4,AV271,AU271))))</f>
        <v>#N/A</v>
      </c>
      <c r="AX271" s="31" t="e">
        <f>(IF(OR(Hypothèses!$B$4=17,Hypothèses!$B$4=18,Hypothèses!$B$4=19,Hypothèses!$B$4=20),
IF($D271="Pressio.",
IF(OR($E271=3,$E271=1,$E271=4),(PI()*AX$12^2)/4*(AT271*$W271*1000)/($H271*$B$5),(PI()*AX$12^2)/4*(AT271*$W271*1000)/($G271*$B$5)),
IF($D271="Pénétro.",
IF(OR($E271=4,$E271=1,$E271=5),(PI()*AX$12^2)/4*(AT271*$W271*1000)/($H271*$B$5),(PI()*AX$12^2)/4*(AT271*$W271*1000)/($G271*$B$5)))),
IF($D271="Pressio.",
IF($E271=3,(PI()*AX$12^2)/4*(AT271*$W271*1000)/($H271*$B$5),(PI()*AX$12^2)/4*(AT271*$W271*1000)/($G271*$B$5)),
IF($D271="Pénétro.",
IF($E271=4,(PI()*AX$12^2)/4*(AT271*$W271*1000)/($H271*$B$5),(PI()*AX$12^2)/4*(AT271*$W271*1000)/($G271*$B$5))))))/10</f>
        <v>#N/A</v>
      </c>
      <c r="AY271" s="102" t="e">
        <f>(VLOOKUP($B$3,'Coeff EC7'!$T$39:$X$59,2,0)*AW271+VLOOKUP($B$3,'Coeff EC7'!$T$65:$X$85,2,0)*Model0.1C!AX271)/1.1</f>
        <v>#N/A</v>
      </c>
      <c r="AZ271" s="102" t="e">
        <f>(VLOOKUP($B$3,'Coeff EC7'!$T$39:$X$59,3,0)*AW271+VLOOKUP($B$3,'Coeff EC7'!$T$65:$X$85,3,0)*Model0.1C!AX271)/0.9</f>
        <v>#N/A</v>
      </c>
      <c r="BA271" s="102" t="e">
        <f t="shared" ref="BA271:BA334" si="473">AW271/1.1+AX271/1.1</f>
        <v>#N/A</v>
      </c>
      <c r="BB271" s="102" t="e">
        <f t="shared" ref="BB271:BB334" si="474">AW271+AX271</f>
        <v>#N/A</v>
      </c>
      <c r="BC271" s="414" t="e">
        <f>IF(BC270=0,0,IF(AND(AY271&gt;charge_ELS_quasi,AZ271&gt;Charge_ELS_freq,BA271&gt;charge_ELU,BB271&gt;charge_ELA,$B271&gt;NDC!$H$22-0.1+MIN(3*$BC$12,1.5)),0,1))</f>
        <v>#N/A</v>
      </c>
      <c r="BD271" s="86" t="b">
        <f t="shared" si="444"/>
        <v>0</v>
      </c>
      <c r="BE271" s="86">
        <f t="shared" ref="BE271:BE334" si="475">MAX($BR$12/2,0.5)</f>
        <v>0.5</v>
      </c>
      <c r="BF271" s="86">
        <f t="shared" si="445"/>
        <v>0.5</v>
      </c>
      <c r="BG271" s="30" t="e">
        <f t="shared" ref="BG271:BG334" ca="1" si="476">AVERAGE(OFFSET($F271, -10*BF271, 0,10*BF271, 1), OFFSET($F271, 1, 0, 30*BE271, 1))</f>
        <v>#DIV/0!</v>
      </c>
      <c r="BH271" s="85" t="e">
        <f ca="1">IF(AN271&lt;=Hypothèses!$V$7,Hypothèses!$W$7,IF(AN271&lt;=Hypothèses!$V$8,Hypothèses!$W$8,IF(AN271&lt;=Hypothèses!$V$9,Hypothèses!$W$9,IF(AN271&lt;=Hypothèses!$V$10,Hypothèses!$W$10,IF(AN271&lt;=Hypothèses!$V$11,Hypothèses!$W$11,IF(AN271&lt;=Hypothèses!$V$12,Hypothèses!$W$12,IF(AN271&lt;=Hypothèses!$V$13,Hypothèses!$W$13,IF(AN271&lt;=Hypothèses!$V$14,Hypothèses!$W$14,IF(AN271&lt;=Hypothèses!$V$15,Hypothèses!$W$15,IF(AN271&lt;=Hypothèses!$V$16,Hypothèses!$W$16,IF(AN271&lt;=Hypothèses!$V$17,Hypothèses!$W$17,IF(AN271&lt;=Hypothèses!$V$18,Hypothèses!$W$18,""))))))))))))</f>
        <v>#DIV/0!</v>
      </c>
      <c r="BI271" s="87" t="e">
        <f t="shared" ca="1" si="418"/>
        <v>#DIV/0!</v>
      </c>
      <c r="BJ271" s="88" t="e">
        <f ca="1">IF(AN271&lt;=Hypothèses!$V$7,Hypothèses!$X$7,IF(AN271&lt;=Hypothèses!$V$8,Hypothèses!$X$8,IF(AN271&lt;=Hypothèses!$V$9,Hypothèses!$X$9,IF(AN271&lt;=Hypothèses!$V$10,Hypothèses!$X$10,IF(AN271&lt;=Hypothèses!$V$11,Hypothèses!$X$11,IF(AN271&lt;=Hypothèses!$V$12,Hypothèses!$X$12,IF(AN271&lt;=Hypothèses!$V$13,Hypothèses!$X$13,IF(AN271&lt;=Hypothèses!$V$14,Hypothèses!$X$14,IF(AN271&lt;=Hypothèses!$V$15,Hypothèses!$X$15,IF(AN271&lt;=Hypothèses!$V$16,Hypothèses!$X$16,IF(AN271&lt;=Hypothèses!$U$17,Hypothèses!$W$17,IF(AN271&lt;=Hypothèses!$U$18,Hypothèses!$W$18,""))))))))))))</f>
        <v>#DIV/0!</v>
      </c>
      <c r="BK271" s="95" t="e">
        <f t="shared" ref="BK271:BK334" ca="1" si="477">IF($B271&lt;10*$BU$12,0.1/BI271*SUM(OFFSET(F271,-10*$B271+1,0,10*$B271,1)),0.1/BI271*SUM(OFFSET(F271,-100*$BU$12+1,0,100*$BU$12,1)))</f>
        <v>#DIV/0!</v>
      </c>
      <c r="BL271" s="101" t="e">
        <f t="shared" si="425"/>
        <v>#N/A</v>
      </c>
      <c r="BM271" s="91" t="e">
        <f t="shared" si="446"/>
        <v>#N/A</v>
      </c>
      <c r="BN271" s="30" t="e">
        <f t="shared" si="404"/>
        <v>#N/A</v>
      </c>
      <c r="BO271" s="30" t="e">
        <f t="shared" si="405"/>
        <v>#N/A</v>
      </c>
      <c r="BP271" s="31" t="e">
        <f>IF(OR(Hypothèses!$B$4=17,Hypothèses!$B$4=18,Hypothèses!$B$4=19,Hypothèses!$B$4=20),
IF($D271="Pressio.",
IF(OR($E271=3,$E271=1,$E271=4),BO271,BN271),
IF($D271="Pénétro.",
IF(OR($E271=3,$E271=1,$E271=4),BO271,BN271))),IF($D271="Pressio.",
IF($E271=3,BO271,BN271),
IF($D271="Pénétro.",
IF($E271=4,BO271,BN271))))</f>
        <v>#N/A</v>
      </c>
      <c r="BQ271" s="31" t="e">
        <f>(IF(OR(Hypothèses!$B$4=17,Hypothèses!$B$4=18,Hypothèses!$B$4=19,Hypothèses!$B$4=20),
IF($D271="Pressio.",
IF(OR($E271=3,$E271=1,$E271=4),(PI()*BQ$12^2)/4*(BM271*$W271*1000)/($H271*$B$5),(PI()*BQ$12^2)/4*(BM271*$W271*1000)/($G271*$B$5)),
IF($D271="Pénétro.",
IF(OR($E271=4,$E271=1,$E271=5),(PI()*BQ$12^2)/4*(BM271*$W271*1000)/($H271*$B$5),(PI()*BQ$12^2)/4*(BM271*$W271*1000)/($G271*$B$5)))),
IF($D271="Pressio.",
IF($E271=3,(PI()*BQ$12^2)/4*(BM271*$W271*1000)/($H271*$B$5),(PI()*BQ$12^2)/4*(BM271*$W271*1000)/($G271*$B$5)),
IF($D271="Pénétro.",
IF($E271=4,(PI()*BQ$12^2)/4*(BM271*$W271*1000)/($H271*$B$5),(PI()*BQ$12^2)/4*(BM271*$W271*1000)/($G271*$B$5))))))/10</f>
        <v>#N/A</v>
      </c>
      <c r="BR271" s="102" t="e">
        <f>(VLOOKUP($B$3,'Coeff EC7'!$T$39:$X$59,2,0)*BP271+VLOOKUP($B$3,'Coeff EC7'!$T$65:$X$85,2,0)*Model0.1C!BQ271)/1.1</f>
        <v>#N/A</v>
      </c>
      <c r="BS271" s="102" t="e">
        <f>(VLOOKUP($B$3,'Coeff EC7'!$T$39:$X$59,3,0)*BP271+VLOOKUP($B$3,'Coeff EC7'!$T$65:$X$85,3,0)*Model0.1C!BQ271)/0.9</f>
        <v>#N/A</v>
      </c>
      <c r="BT271" s="102" t="e">
        <f t="shared" ref="BT271:BT334" si="478">BP271/1.1+BQ271/1.1</f>
        <v>#N/A</v>
      </c>
      <c r="BU271" s="102" t="e">
        <f t="shared" ref="BU271:BU334" si="479">BP271+BQ271</f>
        <v>#N/A</v>
      </c>
      <c r="BV271" s="414" t="e">
        <f>IF(BV270=0,0,IF(AND(BR271&gt;charge_ELS_quasi,BS271&gt;Charge_ELS_freq,BT271&gt;charge_ELU,BU271&gt;charge_ELA,$B271&gt;NDC!$H$22-0.1+MIN(3*$BV$12,1.5)),0,1))</f>
        <v>#N/A</v>
      </c>
      <c r="BW271" s="86" t="b">
        <f t="shared" si="447"/>
        <v>0</v>
      </c>
      <c r="BX271" s="86">
        <f t="shared" si="448"/>
        <v>0.5</v>
      </c>
      <c r="BY271" s="86">
        <f t="shared" si="449"/>
        <v>0.5</v>
      </c>
      <c r="BZ271" s="30" t="e">
        <f t="shared" ref="BZ271:BZ334" ca="1" si="480">AVERAGE(OFFSET($F271, -10*BY271, 0,10*BY271, 1), OFFSET($F271, 1, 0, 30*BX271, 1))</f>
        <v>#DIV/0!</v>
      </c>
      <c r="CA271" s="85" t="e">
        <f ca="1">IF(BG271&lt;=Hypothèses!$V$7,Hypothèses!$W$7,IF(BG271&lt;=Hypothèses!$V$8,Hypothèses!$W$8,IF(BG271&lt;=Hypothèses!$V$9,Hypothèses!$W$9,IF(BG271&lt;=Hypothèses!$V$10,Hypothèses!$W$10,IF(BG271&lt;=Hypothèses!$V$11,Hypothèses!$W$11,IF(BG271&lt;=Hypothèses!$V$12,Hypothèses!$W$12,IF(BG271&lt;=Hypothèses!$V$13,Hypothèses!$W$13,IF(BG271&lt;=Hypothèses!$V$14,Hypothèses!$W$14,IF(BG271&lt;=Hypothèses!$V$15,Hypothèses!$W$15,IF(BG271&lt;=Hypothèses!$V$16,Hypothèses!$W$16,IF(BG271&lt;=Hypothèses!$V$17,Hypothèses!$W$17,IF(BG271&lt;=Hypothèses!$V$18,Hypothèses!$W$18,""))))))))))))</f>
        <v>#DIV/0!</v>
      </c>
      <c r="CB271" s="87" t="e">
        <f t="shared" ca="1" si="419"/>
        <v>#DIV/0!</v>
      </c>
      <c r="CC271" s="88" t="e">
        <f ca="1">IF(BG271&lt;=Hypothèses!$V$7,Hypothèses!$X$7,IF(BG271&lt;=Hypothèses!$V$8,Hypothèses!$X$8,IF(BG271&lt;=Hypothèses!$V$9,Hypothèses!$X$9,IF(BG271&lt;=Hypothèses!$V$10,Hypothèses!$X$10,IF(BG271&lt;=Hypothèses!$V$11,Hypothèses!$X$11,IF(BG271&lt;=Hypothèses!$V$12,Hypothèses!$X$12,IF(BG271&lt;=Hypothèses!$V$13,Hypothèses!$X$13,IF(BG271&lt;=Hypothèses!$V$14,Hypothèses!$X$14,IF(BG271&lt;=Hypothèses!$V$15,Hypothèses!$X$15,IF(BG271&lt;=Hypothèses!$V$16,Hypothèses!$X$16,IF(BG271&lt;=Hypothèses!$U$17,Hypothèses!$W$17,IF(BG271&lt;=Hypothèses!$U$18,Hypothèses!$W$18,""))))))))))))</f>
        <v>#DIV/0!</v>
      </c>
      <c r="CD271" s="95" t="e">
        <f t="shared" ref="CD271:CD334" ca="1" si="481">IF($B271&lt;10*$CN$12,0.1/CB271*SUM(OFFSET(F271,-10*$B271+1,0,10*$B271,1)),0.1/CB271*SUM(OFFSET(F271,-100*$CN$12+1,0,100*$CN$12,1)))</f>
        <v>#DIV/0!</v>
      </c>
      <c r="CE271" s="101" t="e">
        <f t="shared" si="426"/>
        <v>#N/A</v>
      </c>
      <c r="CF271" s="91" t="e">
        <f t="shared" si="450"/>
        <v>#N/A</v>
      </c>
      <c r="CG271" s="30" t="e">
        <f t="shared" si="406"/>
        <v>#N/A</v>
      </c>
      <c r="CH271" s="30" t="e">
        <f t="shared" si="407"/>
        <v>#N/A</v>
      </c>
      <c r="CI271" s="31" t="e">
        <f>IF(OR(Hypothèses!$B$4=17,Hypothèses!$B$4=18,Hypothèses!$B$4=19,Hypothèses!$B$4=20),
IF($D271="Pressio.",
IF(OR($E271=3,$E271=1,$E271=4),CH271,CG271),
IF($D271="Pénétro.",
IF(OR($E271=3,$E271=1,$E271=4),CH271,CG271))),IF($D271="Pressio.",
IF($E271=3,CH271,CG271),
IF($D271="Pénétro.",
IF($E271=4,CH271,CG271))))</f>
        <v>#N/A</v>
      </c>
      <c r="CJ271" s="31" t="e">
        <f>(IF(OR(Hypothèses!$B$4=17,Hypothèses!$B$4=18,Hypothèses!$B$4=19,Hypothèses!$B$4=20),
IF($D271="Pressio.",
IF(OR($E271=3,$E271=1,$E271=4),(PI()*CJ$12^2)/4*(CF271*$W271*1000)/($H271*$B$5),(PI()*CJ$12^2)/4*(CF271*$W271*1000)/($G271*$B$5)),
IF($D271="Pénétro.",
IF(OR($E271=4,$E271=1,$E271=5),(PI()*CJ$12^2)/4*(CF271*$W271*1000)/($H271*$B$5),(PI()*CJ$12^2)/4*(CF271*$W271*1000)/($G271*$B$5)))),
IF($D271="Pressio.",
IF($E271=3,(PI()*CJ$12^2)/4*(CF271*$W271*1000)/($H271*$B$5),(PI()*CJ$12^2)/4*(CF271*$W271*1000)/($G271*$B$5)),
IF($D271="Pénétro.",
IF($E271=4,(PI()*CJ$12^2)/4*(CF271*$W271*1000)/($H271*$B$5),(PI()*CJ$12^2)/4*(CF271*$W271*1000)/($G271*$B$5))))))/10</f>
        <v>#N/A</v>
      </c>
      <c r="CK271" s="102" t="e">
        <f>(VLOOKUP($B$3,'Coeff EC7'!$T$39:$X$59,2,0)*CI271+VLOOKUP($B$3,'Coeff EC7'!$T$65:$X$85,2,0)*Model0.1C!CJ271)/1.1</f>
        <v>#N/A</v>
      </c>
      <c r="CL271" s="102" t="e">
        <f>(VLOOKUP($B$3,'Coeff EC7'!$T$39:$X$59,3,0)*CI271+VLOOKUP($B$3,'Coeff EC7'!$T$65:$X$85,3,0)*Model0.1C!CJ271)/0.9</f>
        <v>#N/A</v>
      </c>
      <c r="CM271" s="102" t="e">
        <f t="shared" ref="CM271:CM334" si="482">CI271/1.1+CJ271/1.1</f>
        <v>#N/A</v>
      </c>
      <c r="CN271" s="102" t="e">
        <f t="shared" ref="CN271:CN334" si="483">CI271+CJ271</f>
        <v>#N/A</v>
      </c>
      <c r="CO271" s="414" t="e">
        <f>IF(CO270=0,0,IF(AND(CK271&gt;charge_ELS_quasi,CL271&gt;Charge_ELS_freq,CM271&gt;charge_ELU,CN271&gt;charge_ELA,$B271&gt;NDC!$H$22-0.1+MIN(3*$CO$12,1.5)),0,1))</f>
        <v>#N/A</v>
      </c>
      <c r="CP271" s="86" t="b">
        <f t="shared" si="451"/>
        <v>0</v>
      </c>
      <c r="CQ271" s="86">
        <f t="shared" si="452"/>
        <v>0.5</v>
      </c>
      <c r="CR271" s="86">
        <f t="shared" si="453"/>
        <v>0.5</v>
      </c>
      <c r="CS271" s="30" t="e">
        <f t="shared" ref="CS271:CS334" ca="1" si="484">AVERAGE(OFFSET($F271, -10*CR271, 0,10*CR271, 1), OFFSET($F271, 1, 0, 30*CQ271, 1))</f>
        <v>#DIV/0!</v>
      </c>
      <c r="CT271" s="85" t="e">
        <f ca="1">IF(BZ271&lt;=Hypothèses!$V$7,Hypothèses!$W$7,IF(BZ271&lt;=Hypothèses!$V$8,Hypothèses!$W$8,IF(BZ271&lt;=Hypothèses!$V$9,Hypothèses!$W$9,IF(BZ271&lt;=Hypothèses!$V$10,Hypothèses!$W$10,IF(BZ271&lt;=Hypothèses!$V$11,Hypothèses!$W$11,IF(BZ271&lt;=Hypothèses!$V$12,Hypothèses!$W$12,IF(BZ271&lt;=Hypothèses!$V$13,Hypothèses!$W$13,IF(BZ271&lt;=Hypothèses!$V$14,Hypothèses!$W$14,IF(BZ271&lt;=Hypothèses!$V$15,Hypothèses!$W$15,IF(BZ271&lt;=Hypothèses!$V$16,Hypothèses!$W$16,IF(BZ271&lt;=Hypothèses!$V$17,Hypothèses!$W$17,IF(BZ271&lt;=Hypothèses!$V$18,Hypothèses!$W$18,""))))))))))))</f>
        <v>#DIV/0!</v>
      </c>
      <c r="CU271" s="87" t="e">
        <f t="shared" ca="1" si="420"/>
        <v>#DIV/0!</v>
      </c>
      <c r="CV271" s="88" t="e">
        <f ca="1">IF(BZ271&lt;=Hypothèses!$V$7,Hypothèses!$X$7,IF(BZ271&lt;=Hypothèses!$V$8,Hypothèses!$X$8,IF(BZ271&lt;=Hypothèses!$V$9,Hypothèses!$X$9,IF(BZ271&lt;=Hypothèses!$V$10,Hypothèses!$X$10,IF(BZ271&lt;=Hypothèses!$V$11,Hypothèses!$X$11,IF(BZ271&lt;=Hypothèses!$V$12,Hypothèses!$X$12,IF(BZ271&lt;=Hypothèses!$V$13,Hypothèses!$X$13,IF(BZ271&lt;=Hypothèses!$V$14,Hypothèses!$X$14,IF(BZ271&lt;=Hypothèses!$V$15,Hypothèses!$X$15,IF(BZ271&lt;=Hypothèses!$V$16,Hypothèses!$X$16,IF(BZ271&lt;=Hypothèses!$U$17,Hypothèses!$W$17,IF(BZ271&lt;=Hypothèses!$U$18,Hypothèses!$W$18,""))))))))))))</f>
        <v>#DIV/0!</v>
      </c>
      <c r="CW271" s="95" t="e">
        <f t="shared" ref="CW271:CW334" ca="1" si="485">IF($B271&lt;10*$DG$12,0.1/CU271*SUM(OFFSET(F271,-10*$B271+1,0,10*$B271,1)),0.1/CU271*SUM(OFFSET(F271,-100*$DG$12+1,0,100*$DG$12,1)))</f>
        <v>#DIV/0!</v>
      </c>
      <c r="CX271" s="101" t="e">
        <f t="shared" si="427"/>
        <v>#N/A</v>
      </c>
      <c r="CY271" s="91" t="e">
        <f t="shared" si="454"/>
        <v>#N/A</v>
      </c>
      <c r="CZ271" s="30" t="e">
        <f t="shared" si="408"/>
        <v>#N/A</v>
      </c>
      <c r="DA271" s="30" t="e">
        <f t="shared" si="409"/>
        <v>#N/A</v>
      </c>
      <c r="DB271" s="31" t="e">
        <f>IF(OR(Hypothèses!$B$4=17,Hypothèses!$B$4=18,Hypothèses!$B$4=19,Hypothèses!$B$4=20),
IF($D271="Pressio.",
IF(OR($E271=3,$E271=1,$E271=4),DA271,CZ271),
IF($D271="Pénétro.",
IF(OR($E271=3,$E271=1,$E271=4),DA271,CZ271))),IF($D271="Pressio.",
IF($E271=3,DA271,CZ271),
IF($D271="Pénétro.",
IF($E271=4,DA271,CZ271))))</f>
        <v>#N/A</v>
      </c>
      <c r="DC271" s="31" t="e">
        <f>(IF(OR(Hypothèses!$B$4=17,Hypothèses!$B$4=18,Hypothèses!$B$4=19,Hypothèses!$B$4=20),
IF($D271="Pressio.",
IF(OR($E271=3,$E271=1,$E271=4),(PI()*DC$12^2)/4*(CY271*$W271*1000)/($H271*$B$5),(PI()*DC$12^2)/4*(CY271*$W271*1000)/($G271*$B$5)),
IF($D271="Pénétro.",
IF(OR($E271=4,$E271=1,$E271=5),(PI()*DC$12^2)/4*(CY271*$W271*1000)/($H271*$B$5),(PI()*DC$12^2)/4*(CY271*$W271*1000)/($G271*$B$5)))),
IF($D271="Pressio.",
IF($E271=3,(PI()*DC$12^2)/4*(CY271*$W271*1000)/($H271*$B$5),(PI()*DC$12^2)/4*(CY271*$W271*1000)/($G271*$B$5)),
IF($D271="Pénétro.",
IF($E271=4,(PI()*DC$12^2)/4*(CY271*$W271*1000)/($H271*$B$5),(PI()*DC$12^2)/4*(CY271*$W271*1000)/($G271*$B$5))))))/10</f>
        <v>#N/A</v>
      </c>
      <c r="DD271" s="102" t="e">
        <f>(VLOOKUP($B$3,'Coeff EC7'!$T$39:$X$59,2,0)*DB271+VLOOKUP($B$3,'Coeff EC7'!$T$65:$X$85,2,0)*Model0.1C!DC271)/1.1</f>
        <v>#N/A</v>
      </c>
      <c r="DE271" s="102" t="e">
        <f>(VLOOKUP($B$3,'Coeff EC7'!$T$39:$X$59,3,0)*DB271+VLOOKUP($B$3,'Coeff EC7'!$T$65:$X$85,3,0)*Model0.1C!DC271)/0.9</f>
        <v>#N/A</v>
      </c>
      <c r="DF271" s="102" t="e">
        <f t="shared" ref="DF271:DF334" si="486">DB271/1.1+DC271/1.1</f>
        <v>#N/A</v>
      </c>
      <c r="DG271" s="102" t="e">
        <f t="shared" ref="DG271:DG334" si="487">DB271+DC271</f>
        <v>#N/A</v>
      </c>
      <c r="DH271" s="414" t="e">
        <f>IF(DH270=0,0,IF(AND(DD271&gt;charge_ELS_quasi,DE271&gt;Charge_ELS_freq,DF271&gt;charge_ELU,DG271&gt;charge_ELA,$B271&gt;NDC!$H$22-0.1+MIN(3*$DH$12,1.5)),0,1))</f>
        <v>#N/A</v>
      </c>
      <c r="DI271" s="86" t="b">
        <f t="shared" si="455"/>
        <v>0</v>
      </c>
      <c r="DJ271" s="86">
        <f t="shared" si="456"/>
        <v>0.5</v>
      </c>
      <c r="DK271" s="86">
        <f t="shared" si="457"/>
        <v>0.5</v>
      </c>
      <c r="DL271" s="30" t="e">
        <f t="shared" ref="DL271:DL334" ca="1" si="488">AVERAGE(OFFSET($F271, -10*DK271, 0,10*DK271, 1), OFFSET($F271, 1, 0, 30*DJ271, 1))</f>
        <v>#DIV/0!</v>
      </c>
      <c r="DM271" s="85" t="e">
        <f ca="1">IF(CS271&lt;=Hypothèses!$V$7,Hypothèses!$W$7,IF(CS271&lt;=Hypothèses!$V$8,Hypothèses!$W$8,IF(CS271&lt;=Hypothèses!$V$9,Hypothèses!$W$9,IF(CS271&lt;=Hypothèses!$V$10,Hypothèses!$W$10,IF(CS271&lt;=Hypothèses!$V$11,Hypothèses!$W$11,IF(CS271&lt;=Hypothèses!$V$12,Hypothèses!$W$12,IF(CS271&lt;=Hypothèses!$V$13,Hypothèses!$W$13,IF(CS271&lt;=Hypothèses!$V$14,Hypothèses!$W$14,IF(CS271&lt;=Hypothèses!$V$15,Hypothèses!$W$15,IF(CS271&lt;=Hypothèses!$V$16,Hypothèses!$W$16,IF(CS271&lt;=Hypothèses!$V$17,Hypothèses!$W$17,IF(CS271&lt;=Hypothèses!$V$18,Hypothèses!$W$18,""))))))))))))</f>
        <v>#DIV/0!</v>
      </c>
      <c r="DN271" s="87" t="e">
        <f t="shared" ca="1" si="421"/>
        <v>#DIV/0!</v>
      </c>
      <c r="DO271" s="88" t="e">
        <f ca="1">IF(CS271&lt;=Hypothèses!$V$7,Hypothèses!$X$7,IF(CS271&lt;=Hypothèses!$V$8,Hypothèses!$X$8,IF(CS271&lt;=Hypothèses!$V$9,Hypothèses!$X$9,IF(CS271&lt;=Hypothèses!$V$10,Hypothèses!$X$10,IF(CS271&lt;=Hypothèses!$V$11,Hypothèses!$X$11,IF(CS271&lt;=Hypothèses!$V$12,Hypothèses!$X$12,IF(CS271&lt;=Hypothèses!$V$13,Hypothèses!$X$13,IF(CS271&lt;=Hypothèses!$V$14,Hypothèses!$X$14,IF(CS271&lt;=Hypothèses!$V$15,Hypothèses!$X$15,IF(CS271&lt;=Hypothèses!$V$16,Hypothèses!$X$16,IF(CS271&lt;=Hypothèses!$U$17,Hypothèses!$W$17,IF(CS271&lt;=Hypothèses!$U$18,Hypothèses!$W$18,""))))))))))))</f>
        <v>#DIV/0!</v>
      </c>
      <c r="DP271" s="95" t="e">
        <f t="shared" ref="DP271:DP334" ca="1" si="489">IF($B271&lt;10*$DZ$12,0.1/DN271*SUM(OFFSET(F271,-10*$B271+1,0,10*$B271,1)),0.1/DN271*SUM(OFFSET(F271,-100*$DZ$12+1,0,100*$DZ$12,1)))</f>
        <v>#DIV/0!</v>
      </c>
      <c r="DQ271" s="101" t="e">
        <f t="shared" si="428"/>
        <v>#N/A</v>
      </c>
      <c r="DR271" s="91" t="e">
        <f t="shared" si="458"/>
        <v>#N/A</v>
      </c>
      <c r="DS271" s="30" t="e">
        <f t="shared" si="410"/>
        <v>#N/A</v>
      </c>
      <c r="DT271" s="30" t="e">
        <f t="shared" si="411"/>
        <v>#N/A</v>
      </c>
      <c r="DU271" s="31" t="e">
        <f>IF(OR(Hypothèses!$B$4=17,Hypothèses!$B$4=18,Hypothèses!$B$4=19,Hypothèses!$B$4=20),
IF($D271="Pressio.",
IF(OR($E271=3,$E271=1,$E271=4),DT271,DS271),
IF($D271="Pénétro.",
IF(OR($E271=3,$E271=1,$E271=4),DT271,DS271))),IF($D271="Pressio.",
IF($E271=3,DT271,DS271),
IF($D271="Pénétro.",
IF($E271=4,DT271,DS271))))</f>
        <v>#N/A</v>
      </c>
      <c r="DV271" s="31" t="e">
        <f>(IF(OR(Hypothèses!$B$4=17,Hypothèses!$B$4=18,Hypothèses!$B$4=19,Hypothèses!$B$4=20),
IF($D271="Pressio.",
IF(OR($E271=3,$E271=1,$E271=4),(PI()*DV$12^2)/4*(DR271*$W271*1000)/($H271*$B$5),(PI()*DV$12^2)/4*(DR271*$W271*1000)/($G271*$B$5)),
IF($D271="Pénétro.",
IF(OR($E271=4,$E271=1,$E271=5),(PI()*DV$12^2)/4*(DR271*$W271*1000)/($H271*$B$5),(PI()*DV$12^2)/4*(DR271*$W271*1000)/($G271*$B$5)))),
IF($D271="Pressio.",
IF($E271=3,(PI()*DV$12^2)/4*(DR271*$W271*1000)/($H271*$B$5),(PI()*DV$12^2)/4*(DR271*$W271*1000)/($G271*$B$5)),
IF($D271="Pénétro.",
IF($E271=4,(PI()*DV$12^2)/4*(DR271*$W271*1000)/($H271*$B$5),(PI()*DV$12^2)/4*(DR271*$W271*1000)/($G271*$B$5))))))/10</f>
        <v>#N/A</v>
      </c>
      <c r="DW271" s="102" t="e">
        <f>(VLOOKUP($B$3,'Coeff EC7'!$T$39:$X$59,2,0)*DU271+VLOOKUP($B$3,'Coeff EC7'!$T$65:$X$85,2,0)*Model0.1C!DV271)/1.1</f>
        <v>#N/A</v>
      </c>
      <c r="DX271" s="102" t="e">
        <f>(VLOOKUP($B$3,'Coeff EC7'!$T$39:$X$59,3,0)*DU271+VLOOKUP($B$3,'Coeff EC7'!$T$65:$X$85,3,0)*Model0.1C!DV271)/0.9</f>
        <v>#N/A</v>
      </c>
      <c r="DY271" s="102" t="e">
        <f t="shared" ref="DY271:DY334" si="490">DU271/1.1+DV271/1.1</f>
        <v>#N/A</v>
      </c>
      <c r="DZ271" s="102" t="e">
        <f t="shared" ref="DZ271:DZ334" si="491">DU271+DV271</f>
        <v>#N/A</v>
      </c>
      <c r="EA271" s="414" t="e">
        <f>IF(EA270=0,0,IF(AND(DW271&gt;charge_ELS_quasi,DX271&gt;Charge_ELS_freq,DY271&gt;charge_ELU,DZ271&gt;charge_ELA,$B271&gt;NDC!$H$22-0.1+MIN(3*$EA$12,1.5)),0,1))</f>
        <v>#N/A</v>
      </c>
      <c r="EB271" s="86" t="b">
        <f t="shared" si="459"/>
        <v>0</v>
      </c>
      <c r="EC271" s="418">
        <f t="shared" si="460"/>
        <v>0.51</v>
      </c>
      <c r="ED271" s="86">
        <f t="shared" si="461"/>
        <v>0.51</v>
      </c>
      <c r="EE271" s="30" t="e">
        <f t="shared" ref="EE271:EE334" ca="1" si="492">AVERAGE(OFFSET($F271, -10*ED271, 0,10*ED271, 1), OFFSET($F271, 1, 0, 30*EC271, 1))</f>
        <v>#DIV/0!</v>
      </c>
      <c r="EF271" s="85" t="e">
        <f ca="1">IF(DL271&lt;=Hypothèses!$V$7,Hypothèses!$W$7,IF(DL271&lt;=Hypothèses!$V$8,Hypothèses!$W$8,IF(DL271&lt;=Hypothèses!$V$9,Hypothèses!$W$9,IF(DL271&lt;=Hypothèses!$V$10,Hypothèses!$W$10,IF(DL271&lt;=Hypothèses!$V$11,Hypothèses!$W$11,IF(DL271&lt;=Hypothèses!$V$12,Hypothèses!$W$12,IF(DL271&lt;=Hypothèses!$V$13,Hypothèses!$W$13,IF(DL271&lt;=Hypothèses!$V$14,Hypothèses!$W$14,IF(DL271&lt;=Hypothèses!$V$15,Hypothèses!$W$15,IF(DL271&lt;=Hypothèses!$V$16,Hypothèses!$W$16,IF(DL271&lt;=Hypothèses!$V$17,Hypothèses!$W$17,IF(DL271&lt;=Hypothèses!$V$18,Hypothèses!$W$18,""))))))))))))</f>
        <v>#DIV/0!</v>
      </c>
      <c r="EG271" s="87" t="e">
        <f t="shared" ca="1" si="422"/>
        <v>#DIV/0!</v>
      </c>
      <c r="EH271" s="88" t="e">
        <f ca="1">IF(DL271&lt;=Hypothèses!$V$7,Hypothèses!$X$7,IF(DL271&lt;=Hypothèses!$V$8,Hypothèses!$X$8,IF(DL271&lt;=Hypothèses!$V$9,Hypothèses!$X$9,IF(DL271&lt;=Hypothèses!$V$10,Hypothèses!$X$10,IF(DL271&lt;=Hypothèses!$V$11,Hypothèses!$X$11,IF(DL271&lt;=Hypothèses!$V$12,Hypothèses!$X$12,IF(DL271&lt;=Hypothèses!$V$13,Hypothèses!$X$13,IF(DL271&lt;=Hypothèses!$V$14,Hypothèses!$X$14,IF(DL271&lt;=Hypothèses!$V$15,Hypothèses!$X$15,IF(DL271&lt;=Hypothèses!$V$16,Hypothèses!$X$16,IF(DL271&lt;=Hypothèses!$U$17,Hypothèses!$W$17,IF(DL271&lt;=Hypothèses!$U$18,Hypothèses!$W$18,""))))))))))))</f>
        <v>#DIV/0!</v>
      </c>
      <c r="EI271" s="95" t="e">
        <f t="shared" ref="EI271:EI334" ca="1" si="493">IF($B271&lt;10*$ES$12,0.1/EG271*SUM(OFFSET(F271,-10*$B271+1,0,10*$B271,1)),0.1/EG271*SUM(OFFSET(F271,-100*$ES$12+1,0,100*$ES$12,1)))</f>
        <v>#DIV/0!</v>
      </c>
      <c r="EJ271" s="101" t="e">
        <f t="shared" si="429"/>
        <v>#N/A</v>
      </c>
      <c r="EK271" s="91" t="e">
        <f t="shared" si="462"/>
        <v>#N/A</v>
      </c>
      <c r="EL271" s="30" t="e">
        <f t="shared" si="412"/>
        <v>#N/A</v>
      </c>
      <c r="EM271" s="30" t="e">
        <f t="shared" si="413"/>
        <v>#N/A</v>
      </c>
      <c r="EN271" s="31" t="e">
        <f>IF(OR(Hypothèses!$B$4=17,Hypothèses!$B$4=18,Hypothèses!$B$4=19,Hypothèses!$B$4=20),
IF($D271="Pressio.",
IF(OR($E271=3,$E271=1,$E271=4),EM271,EL271),
IF($D271="Pénétro.",
IF(OR($E271=3,$E271=1,$E271=4),EM271,EL271))),IF($D271="Pressio.",
IF($E271=3,EM271,EL271),
IF($D271="Pénétro.",
IF($E271=4,EM271,EL271))))</f>
        <v>#N/A</v>
      </c>
      <c r="EO271" s="31" t="e">
        <f>(IF(OR(Hypothèses!$B$4=17,Hypothèses!$B$4=18,Hypothèses!$B$4=19,Hypothèses!$B$4=20),
IF($D271="Pressio.",
IF(OR($E271=3,$E271=1,$E271=4),(PI()*EO$12^2)/4*(EK271*$W271*1000)/($H271*$B$5),(PI()*EO$12^2)/4*(EK271*$W271*1000)/($G271*$B$5)),
IF($D271="Pénétro.",
IF(OR($E271=4,$E271=1,$E271=5),(PI()*EO$12^2)/4*(EK271*$W271*1000)/($H271*$B$5),(PI()*EO$12^2)/4*(EK271*$W271*1000)/($G271*$B$5)))),
IF($D271="Pressio.",
IF($E271=3,(PI()*EO$12^2)/4*(EK271*$W271*1000)/($H271*$B$5),(PI()*EO$12^2)/4*(EK271*$W271*1000)/($G271*$B$5)),
IF($D271="Pénétro.",
IF($E271=4,(PI()*EO$12^2)/4*(EK271*$W271*1000)/($H271*$B$5),(PI()*EO$12^2)/4*(EK271*$W271*1000)/($G271*$B$5))))))/10</f>
        <v>#N/A</v>
      </c>
      <c r="EP271" s="102" t="e">
        <f>(VLOOKUP($B$3,'Coeff EC7'!$T$39:$X$59,2,0)*EN271+VLOOKUP($B$3,'Coeff EC7'!$T$65:$X$85,2,0)*Model0.1C!EO271)/1.1</f>
        <v>#N/A</v>
      </c>
      <c r="EQ271" s="102" t="e">
        <f>(VLOOKUP($B$3,'Coeff EC7'!$T$39:$X$59,3,0)*EN271+VLOOKUP($B$3,'Coeff EC7'!$T$65:$X$85,3,0)*Model0.1C!EO271)/0.9</f>
        <v>#N/A</v>
      </c>
      <c r="ER271" s="102" t="e">
        <f t="shared" ref="ER271:ER334" si="494">EN271/1.1+EO271/1.1</f>
        <v>#N/A</v>
      </c>
      <c r="ES271" s="102" t="e">
        <f t="shared" ref="ES271:ES334" si="495">EN271+EO271</f>
        <v>#N/A</v>
      </c>
      <c r="ET271" s="414" t="e">
        <f>IF(ET270=0,0,IF(AND(EP271&gt;charge_ELS_quasi,EQ271&gt;Charge_ELS_freq,ER271&gt;charge_ELU,ES271&gt;charge_ELA,$B271&gt;NDC!$H$22-0.1+MIN(3*$ET$12,1.5)),0,1))</f>
        <v>#N/A</v>
      </c>
      <c r="EU271" s="86" t="b">
        <f t="shared" si="463"/>
        <v>0</v>
      </c>
      <c r="EV271" s="86">
        <f t="shared" si="464"/>
        <v>0.61</v>
      </c>
      <c r="EW271" s="86">
        <f t="shared" si="465"/>
        <v>0.61</v>
      </c>
      <c r="EX271" s="30" t="e">
        <f t="shared" ref="EX271:EX334" ca="1" si="496">AVERAGE(OFFSET($F271, -10*EW271, 0,10*EW271, 1), OFFSET($F271, 1, 0, 30*EV271, 1))</f>
        <v>#DIV/0!</v>
      </c>
      <c r="EY271" s="85" t="e">
        <f ca="1">IF(EE271&lt;=Hypothèses!$V$7,Hypothèses!$W$7,IF(EE271&lt;=Hypothèses!$V$8,Hypothèses!$W$8,IF(EE271&lt;=Hypothèses!$V$9,Hypothèses!$W$9,IF(EE271&lt;=Hypothèses!$V$10,Hypothèses!$W$10,IF(EE271&lt;=Hypothèses!$V$11,Hypothèses!$W$11,IF(EE271&lt;=Hypothèses!$V$12,Hypothèses!$W$12,IF(EE271&lt;=Hypothèses!$V$13,Hypothèses!$W$13,IF(EE271&lt;=Hypothèses!$V$14,Hypothèses!$W$14,IF(EE271&lt;=Hypothèses!$V$15,Hypothèses!$W$15,IF(EE271&lt;=Hypothèses!$V$16,Hypothèses!$W$16,IF(EE271&lt;=Hypothèses!$V$17,Hypothèses!$W$17,IF(EE271&lt;=Hypothèses!$V$18,Hypothèses!$W$18,""))))))))))))</f>
        <v>#DIV/0!</v>
      </c>
      <c r="EZ271" s="87" t="e">
        <f t="shared" ca="1" si="423"/>
        <v>#DIV/0!</v>
      </c>
      <c r="FA271" s="88" t="e">
        <f ca="1">IF(EE271&lt;=Hypothèses!$V$7,Hypothèses!$X$7,IF(EE271&lt;=Hypothèses!$V$8,Hypothèses!$X$8,IF(EE271&lt;=Hypothèses!$V$9,Hypothèses!$X$9,IF(EE271&lt;=Hypothèses!$V$10,Hypothèses!$X$10,IF(EE271&lt;=Hypothèses!$V$11,Hypothèses!$X$11,IF(EE271&lt;=Hypothèses!$V$12,Hypothèses!$X$12,IF(EE271&lt;=Hypothèses!$V$13,Hypothèses!$X$13,IF(EE271&lt;=Hypothèses!$V$14,Hypothèses!$X$14,IF(EE271&lt;=Hypothèses!$V$15,Hypothèses!$X$15,IF(EE271&lt;=Hypothèses!$V$16,Hypothèses!$X$16,IF(EE271&lt;=Hypothèses!$U$17,Hypothèses!$W$17,IF(EE271&lt;=Hypothèses!$U$18,Hypothèses!$W$18,""))))))))))))</f>
        <v>#DIV/0!</v>
      </c>
      <c r="FB271" s="95" t="e">
        <f t="shared" ref="FB271:FB334" ca="1" si="497">IF($B271&lt;10*$FL$12,0.1/EZ271*SUM(OFFSET(F271,-10*$B271+1,0,10*$B271,1)),0.1/EZ271*SUM(OFFSET(F271,-100*$FL$12+1,0,100*$FL$12,1)))</f>
        <v>#DIV/0!</v>
      </c>
      <c r="FC271" s="101" t="e">
        <f t="shared" si="430"/>
        <v>#N/A</v>
      </c>
      <c r="FD271" s="91" t="e">
        <f t="shared" si="466"/>
        <v>#N/A</v>
      </c>
      <c r="FE271" s="30" t="e">
        <f t="shared" si="414"/>
        <v>#N/A</v>
      </c>
      <c r="FF271" s="30" t="e">
        <f t="shared" si="415"/>
        <v>#N/A</v>
      </c>
      <c r="FG271" s="31" t="e">
        <f>IF(OR(Hypothèses!$B$4=17,Hypothèses!$B$4=18,Hypothèses!$B$4=19,Hypothèses!$B$4=20),
IF($D271="Pressio.",
IF(OR($E271=3,$E271=1,$E271=4),FF271,FE271),
IF($D271="Pénétro.",
IF(OR($E271=3,$E271=1,$E271=4),FF271,FE271))),IF($D271="Pressio.",
IF($E271=3,FF271,FE271),
IF($D271="Pénétro.",
IF($E271=4,FF271,FE271))))</f>
        <v>#N/A</v>
      </c>
      <c r="FH271" s="31" t="e">
        <f>(IF(OR(Hypothèses!$B$4=17,Hypothèses!$B$4=18,Hypothèses!$B$4=19,Hypothèses!$B$4=20),
IF($D271="Pressio.",
IF(OR($E271=3,$E271=1,$E271=4),(PI()*FH$12^2)/4*(FD271*$W271*1000)/($H271*$B$5),(PI()*FH$12^2)/4*(FD271*$W271*1000)/($G271*$B$5)),
IF($D271="Pénétro.",
IF(OR($E271=4,$E271=1,$E271=5),(PI()*FH$12^2)/4*(FD271*$W271*1000)/($H271*$B$5),(PI()*FH$12^2)/4*(FD271*$W271*1000)/($G271*$B$5)))),
IF($D271="Pressio.",
IF($E271=3,(PI()*FH$12^2)/4*(FD271*$W271*1000)/($H271*$B$5),(PI()*FH$12^2)/4*(FD271*$W271*1000)/($G271*$B$5)),
IF($D271="Pénétro.",
IF($E271=4,(PI()*FH$12^2)/4*(FD271*$W271*1000)/($H271*$B$5),(PI()*FH$12^2)/4*(FD271*$W271*1000)/($G271*$B$5))))))/10</f>
        <v>#N/A</v>
      </c>
      <c r="FI271" s="102" t="e">
        <f>(VLOOKUP($B$3,'Coeff EC7'!$T$39:$X$59,2,0)*FG271+VLOOKUP($B$3,'Coeff EC7'!$T$65:$X$85,2,0)*Model0.1C!FH271)/1.1</f>
        <v>#N/A</v>
      </c>
      <c r="FJ271" s="102" t="e">
        <f>(VLOOKUP($B$3,'Coeff EC7'!$T$39:$X$59,3,0)*FG271+VLOOKUP($B$3,'Coeff EC7'!$T$65:$X$85,3,0)*Model0.1C!FH271)/0.9</f>
        <v>#N/A</v>
      </c>
      <c r="FK271" s="102" t="e">
        <f t="shared" ref="FK271:FK334" si="498">FG271/1.1+FH271/1.1</f>
        <v>#N/A</v>
      </c>
      <c r="FL271" s="102" t="e">
        <f t="shared" ref="FL271:FL334" si="499">FG271+FH271</f>
        <v>#N/A</v>
      </c>
      <c r="FM271" s="414" t="e">
        <f>IF(FM270=0,0,IF(AND(FI271&gt;charge_ELS_quasi,FJ271&gt;Charge_ELS_freq,FK271&gt;charge_ELU,FL271&gt;charge_ELA,$B271&gt;NDC!$H$22-0.1+MIN(3*$FM$12,1.5)),0,1))</f>
        <v>#N/A</v>
      </c>
    </row>
    <row r="272" spans="1:169">
      <c r="A272" s="96">
        <f t="shared" si="467"/>
        <v>74.100000000001472</v>
      </c>
      <c r="B272" s="97">
        <v>25.9</v>
      </c>
      <c r="C272" s="81">
        <f>IF(B272&lt;=Hypothèses!$C$7,Hypothèses!$A$7,IF(B272&lt;=Hypothèses!$C$8,Hypothèses!$A$8,IF(B272&lt;=Hypothèses!$C$9,Hypothèses!$A$9,IF(B272&lt;=Hypothèses!$C$10,Hypothèses!$A$10,IF(B272&lt;=Hypothèses!$C$11,Hypothèses!$A$11,IF(B272&lt;=Hypothèses!$C$12,Hypothèses!$A$12,IF(B272&lt;=Hypothèses!$C$13,Hypothèses!$A$13,IF(B272&lt;=Hypothèses!$C$14,Hypothèses!$A$14,IF(B272&lt;=Hypothèses!$C$15,Hypothèses!$A$15,IF(B272&lt;=Hypothèses!$C$16,Hypothèses!$A$16,IF(B272&lt;=Hypothèses!$C$17,Hypothèses!$A$17,IF(B272&lt;=Hypothèses!$C$18,Hypothèses!$A$18,C271))))))))))))</f>
        <v>11</v>
      </c>
      <c r="D272" s="82" t="str">
        <f>IF(B272&lt;=Hypothèses!$C$7,Hypothèses!$R$7,IF(B272&lt;=Hypothèses!$C$8,Hypothèses!$R$8,IF(B272&lt;=Hypothèses!$C$9,Hypothèses!$R$9,IF(B272&lt;=Hypothèses!$C$10,Hypothèses!$R$10,IF(B272&lt;=Hypothèses!$C$11,Hypothèses!$R$11,IF(B272&lt;=Hypothèses!$C$12,Hypothèses!$R$12,IF(B272&lt;=Hypothèses!$C$13,Hypothèses!$R$13,IF(B272&lt;=Hypothèses!$C$14,Hypothèses!$R$14,IF(B272&lt;=Hypothèses!$C$15,Hypothèses!$R$15,IF(B272&lt;=Hypothèses!$C$16,Hypothèses!$R$16,IF(B272&lt;=Hypothèses!$C$17,Hypothèses!$R$17,IF(B272&lt;=Hypothèses!$C$18,Hypothèses!$R$18,D271))))))))))))</f>
        <v>Pressio.</v>
      </c>
      <c r="E272" s="82" t="e">
        <f>IF(B272&lt;=Hypothèses!$C$7,Hypothèses!$G$7,IF(B272&lt;=Hypothèses!$C$8,Hypothèses!$G$8,IF(B272&lt;=Hypothèses!$C$9,Hypothèses!$G$9,IF(B272&lt;=Hypothèses!$C$10,Hypothèses!$G$10,IF(B272&lt;=Hypothèses!$C$11,Hypothèses!$G$11,IF(B272&lt;=Hypothèses!$C$12,Hypothèses!$G$12,IF(B272&lt;=Hypothèses!$C$13,Hypothèses!$G$13,IF(B272&lt;=Hypothèses!$C$14,Hypothèses!$G$14,IF(B272&lt;=Hypothèses!$C$15,Hypothèses!$G$15,IF(B272&lt;=Hypothèses!$C$16,Hypothèses!$G$16,IF(B272&lt;=Hypothèses!$C$17,Hypothèses!$G$17,IF(B272&lt;=Hypothèses!$C$18,Hypothèses!$G$18,E271))))))))))))</f>
        <v>#N/A</v>
      </c>
      <c r="F272" s="82" t="str">
        <f>IF(B272&lt;=Hypothèses!$C$7,Hypothèses!$F$7,IF(B272&lt;=Hypothèses!$C$8,Hypothèses!$F$8,IF(B272&lt;=Hypothèses!$C$9,Hypothèses!$F$9,IF(B272&lt;=Hypothèses!$C$10,Hypothèses!$F$10,IF(B272&lt;=Hypothèses!$C$11,Hypothèses!$F$11,IF(B272&lt;=Hypothèses!$C$12,Hypothèses!$F$12,IF(B272&lt;=Hypothèses!$C$13,Hypothèses!$F$13,IF(B272&lt;=Hypothèses!$C$14,Hypothèses!$F$14,IF(B272&lt;=Hypothèses!$C$15,Hypothèses!$F$15,IF(B272&lt;=Hypothèses!$C$16,Hypothèses!$F$16,IF(B272&lt;=Hypothèses!$C$17,Hypothèses!$F$17,IF(B272&lt;=Hypothèses!$C$18,Hypothèses!$F$18,F271))))))))))))</f>
        <v/>
      </c>
      <c r="G272" s="91">
        <f t="array" ref="G272">INDEX('Coeff EC7'!$U$7:$X$27,
MATCH(Model0.1C!$B$3,'Coeff EC7'!$T$7:$T$27,0),
MATCH(Model0.1C!$D272&amp;Model0.1C!$B$4,
'Coeff EC7'!$U$6:$X$6&amp;
'Coeff EC7'!$U$5:$X$5,0))</f>
        <v>1.1499999999999999</v>
      </c>
      <c r="H272" s="91">
        <f t="array" ref="H272">INDEX('Coeff EC7'!$Y$7:$AB$27,
MATCH(Model0.1C!$B$3,'Coeff EC7'!$T$7:$T$27,0),
MATCH(Model0.1C!$D272&amp;Model0.1C!$B$4,
'Coeff EC7'!$Y$6:$AB$6&amp;
'Coeff EC7'!$Y$5:$AB$5,0))</f>
        <v>1.4</v>
      </c>
      <c r="I272" s="83" t="e">
        <f>IF(B272&lt;=Hypothèses!$C$7,Hypothèses!$P$7,IF(B272&lt;=Hypothèses!$C$8,Hypothèses!$P$8,IF(B272&lt;=Hypothèses!$C$9,Hypothèses!$P$9,IF(B272&lt;=Hypothèses!$C$10,Hypothèses!$P$10,IF(B272&lt;=Hypothèses!$C$11,Hypothèses!$P$11,IF(B272&lt;=Hypothèses!$C$12,Hypothèses!$P$12,IF(B272&lt;=Hypothèses!$C$13,Hypothèses!$P$13,IF(B272&lt;=Hypothèses!$C$14,Hypothèses!$P$14,IF(B272&lt;=Hypothèses!$C$15,Hypothèses!$P$15,IF(B272&lt;=Hypothèses!$C$16,Hypothèses!$P$16,IF(B272&lt;=Hypothèses!$C$17,Hypothèses!$P$17,IF(B272&lt;=Hypothèses!$C$18,Hypothèses!$P$18,I271))))))))))))</f>
        <v>#N/A</v>
      </c>
      <c r="J272" s="91" t="e">
        <f t="array" ref="J272">INDEX('Coeff EC7'!$D$33:$Q$33,1,MATCH(D272&amp;E272,'Coeff EC7'!$D$31:$Q$31&amp;'Coeff EC7'!$D$32:$Q$32,0))</f>
        <v>#N/A</v>
      </c>
      <c r="K272" s="91" t="e">
        <f t="array" ref="K272">INDEX('Coeff EC7'!$D$34:$Q$34,1,MATCH(D272&amp;E272,'Coeff EC7'!$D$31:$Q$31&amp;'Coeff EC7'!$D$32:$Q$32,0))</f>
        <v>#N/A</v>
      </c>
      <c r="L272" s="91" t="e">
        <f t="array" ref="L272">INDEX('Coeff EC7'!$D$35:$Q$35,1,MATCH(D272&amp;E272,'Coeff EC7'!$D$31:$Q$31&amp;'Coeff EC7'!$D$32:$Q$32,0))</f>
        <v>#N/A</v>
      </c>
      <c r="M272" s="98" t="e">
        <f t="shared" si="431"/>
        <v>#N/A</v>
      </c>
      <c r="N272" s="99" t="e">
        <f t="array" ref="N272">INDEX('Coeff EC7'!$D$7:$Q$27,MATCH($B$3,'Coeff EC7'!$C$7:$C$27,0),MATCH(D272&amp;E272,'Coeff EC7'!$D$5:$Q$5&amp;'Coeff EC7'!$D$6:$Q$6,0))</f>
        <v>#N/A</v>
      </c>
      <c r="O272" s="99" t="e">
        <f t="array" ref="O272">INDEX('Coeff EC7'!$D$41:$Q$61,MATCH($B$3,'Coeff EC7'!$C$41:$C$61,0),MATCH(D272&amp;E272,'Coeff EC7'!$D$39:$Q$39&amp;'Coeff EC7'!$D$40:$Q$40,0))</f>
        <v>#N/A</v>
      </c>
      <c r="P272" s="30" t="e">
        <f t="shared" si="468"/>
        <v>#N/A</v>
      </c>
      <c r="Q272" s="100" t="e">
        <f t="shared" si="433"/>
        <v>#N/A</v>
      </c>
      <c r="R272" s="86" t="b">
        <f t="shared" si="434"/>
        <v>0</v>
      </c>
      <c r="S272" s="86">
        <f t="shared" si="432"/>
        <v>0.5</v>
      </c>
      <c r="T272" s="86">
        <f t="shared" si="435"/>
        <v>0.5</v>
      </c>
      <c r="U272" s="30" t="e">
        <f t="shared" ca="1" si="469"/>
        <v>#DIV/0!</v>
      </c>
      <c r="V272" s="85" t="str">
        <f>IF(B272&lt;=Hypothèses!$V$7,Hypothèses!$W$7,IF(B272&lt;=Hypothèses!$V$8,Hypothèses!$W$8,IF(B272&lt;=Hypothèses!$V$9,Hypothèses!$W$9,IF(B272&lt;=Hypothèses!$V$10,Hypothèses!$W$10,IF(B272&lt;=Hypothèses!$V$11,Hypothèses!$W$11,IF(B272&lt;=Hypothèses!$V$12,Hypothèses!$W$12,IF(B272&lt;=Hypothèses!$V$13,Hypothèses!$W$13,IF(B272&lt;=Hypothèses!$V$14,Hypothèses!$W$14,IF(B272&lt;=Hypothèses!$V$15,Hypothèses!$W$15,IF(B272&lt;=Hypothèses!$V$16,Hypothèses!$W$16,IF(B272&lt;=Hypothèses!$V$17,Hypothèses!$W$17,IF(B272&lt;=Hypothèses!$V$18,Hypothèses!$W$18,""))))))))))))</f>
        <v/>
      </c>
      <c r="W272" s="87" t="e">
        <f t="shared" ca="1" si="416"/>
        <v>#DIV/0!</v>
      </c>
      <c r="X272" s="88" t="str">
        <f>IF(B272&lt;=Hypothèses!$V$7,Hypothèses!$X$7,IF(B272&lt;=Hypothèses!$V$8,Hypothèses!$X$8,IF(B272&lt;=Hypothèses!$V$9,Hypothèses!$X$9,IF(B272&lt;=Hypothèses!$V$10,Hypothèses!$X$10,IF(B272&lt;=Hypothèses!$V$11,Hypothèses!$X$11,IF(B272&lt;=Hypothèses!$V$12,Hypothèses!$X$12,IF(B272&lt;=Hypothèses!$V$13,Hypothèses!$X$13,IF(B272&lt;=Hypothèses!$V$14,Hypothèses!$X$14,IF(B272&lt;=Hypothèses!$V$15,Hypothèses!$X$15,IF(B272&lt;=Hypothèses!$V$16,Hypothèses!$X$16,IF(B272&lt;=Hypothèses!$U$17,Hypothèses!$W$17,IF(B272&lt;=Hypothèses!$U$18,Hypothèses!$W$18,""))))))))))))</f>
        <v/>
      </c>
      <c r="Y272" s="95" t="e">
        <f t="shared" ca="1" si="436"/>
        <v>#DIV/0!</v>
      </c>
      <c r="Z272" s="101" t="e">
        <f t="shared" si="437"/>
        <v>#N/A</v>
      </c>
      <c r="AA272" s="91" t="e">
        <f t="shared" si="438"/>
        <v>#N/A</v>
      </c>
      <c r="AB272" s="30" t="e">
        <f t="shared" ref="AB272:AB335" si="500">PI()*AB$12*$Q272*($B272-$B271)/($G272*$B$5)/10+AD271</f>
        <v>#N/A</v>
      </c>
      <c r="AC272" s="30" t="e">
        <f t="shared" ref="AC272:AC335" si="501">(PI()*AC$12*$Q272*($B272-$B271))/($H272*$B$5)/10+AD271</f>
        <v>#N/A</v>
      </c>
      <c r="AD272" s="31" t="e">
        <f>IF(OR(Hypothèses!$B$4=17,Hypothèses!$B$4=18,Hypothèses!$B$4=19,Hypothèses!$B$4=20),
IF($D272="Pressio.",
IF(OR($E272=3,$E272=1,$E272=4),AC272,AB272),
IF($D272="Pénétro.",
IF(OR($E272=3,$E272=1,$E272=4),AC272,AB272))),IF($D272="Pressio.",
IF($E272=3,AC272,AB272),
IF($D272="Pénétro.",
IF($E272=4,AC272,AB272))))</f>
        <v>#N/A</v>
      </c>
      <c r="AE272" s="31" t="e">
        <f>(IF(OR(Hypothèses!$B$4=17,Hypothèses!$B$4=18,Hypothèses!$B$4=19,Hypothèses!$B$4=20),
IF($D272="Pressio.",
IF(OR($E272=3,$E272=1,$E272=4),(PI()*AE$12^2)/4*(AA272*$W272*1000)/($H272*$B$5),(PI()*AE$12^2)/4*(AA272*$W272*1000)/($G272*$B$5)),
IF($D272="Pénétro.",
IF(OR($E272=4,$E272=1,$E272=5),(PI()*AE$12^2)/4*(AA272*$W272*1000)/($H272*$B$5),(PI()*AE$12^2)/4*(AA272*$W272*1000)/($G272*$B$5)))),
IF($D272="Pressio.",
IF($E272=3,(PI()*AE$12^2)/4*(AA272*$W272*1000)/($H272*$B$5),(PI()*AE$12^2)/4*(AA272*$W272*1000)/($G272*$B$5)),
IF($D272="Pénétro.",
IF($E272=4,(PI()*AE$12^2)/4*(AA272*$W272*1000)/($H272*$B$5),(PI()*AE$12^2)/4*(AA272*$W272*1000)/($G272*$B$5))))))/10</f>
        <v>#N/A</v>
      </c>
      <c r="AF272" s="102" t="e">
        <f>(VLOOKUP($B$3,'Coeff EC7'!$T$39:$X$59,2,0)*AD272+VLOOKUP($B$3,'Coeff EC7'!$T$65:$X$85,2,0)*Model0.1C!AE272)/1.1</f>
        <v>#N/A</v>
      </c>
      <c r="AG272" s="102" t="e">
        <f>(VLOOKUP($B$3,'Coeff EC7'!$T$39:$X$59,3,0)*AD272+VLOOKUP($B$3,'Coeff EC7'!$T$65:$X$85,3,0)*Model0.1C!AE272)/0.9</f>
        <v>#N/A</v>
      </c>
      <c r="AH272" s="102" t="e">
        <f t="shared" si="439"/>
        <v>#N/A</v>
      </c>
      <c r="AI272" s="102" t="e">
        <f t="shared" si="440"/>
        <v>#N/A</v>
      </c>
      <c r="AJ272" s="414" t="e">
        <f>IF(AJ271=0,0,IF(AND(AF272&gt;charge_ELS_quasi,AG272&gt;Charge_ELS_freq,AH272&gt;charge_ELU,AI272&gt;charge_ELA,$B272&gt;NDC!$H$22-0.1+MIN(3*$AJ$12,1.5)),0,1))</f>
        <v>#N/A</v>
      </c>
      <c r="AK272" s="86" t="b">
        <f t="shared" si="441"/>
        <v>0</v>
      </c>
      <c r="AL272" s="86">
        <f t="shared" si="470"/>
        <v>0.5</v>
      </c>
      <c r="AM272" s="86">
        <f t="shared" si="442"/>
        <v>0.5</v>
      </c>
      <c r="AN272" s="30" t="e">
        <f t="shared" ca="1" si="471"/>
        <v>#DIV/0!</v>
      </c>
      <c r="AO272" s="85" t="e">
        <f ca="1">IF(U272&lt;=Hypothèses!$V$7,Hypothèses!$W$7,IF(U272&lt;=Hypothèses!$V$8,Hypothèses!$W$8,IF(U272&lt;=Hypothèses!$V$9,Hypothèses!$W$9,IF(U272&lt;=Hypothèses!$V$10,Hypothèses!$W$10,IF(U272&lt;=Hypothèses!$V$11,Hypothèses!$W$11,IF(U272&lt;=Hypothèses!$V$12,Hypothèses!$W$12,IF(U272&lt;=Hypothèses!$V$13,Hypothèses!$W$13,IF(U272&lt;=Hypothèses!$V$14,Hypothèses!$W$14,IF(U272&lt;=Hypothèses!$V$15,Hypothèses!$W$15,IF(U272&lt;=Hypothèses!$V$16,Hypothèses!$W$16,IF(U272&lt;=Hypothèses!$V$17,Hypothèses!$W$17,IF(U272&lt;=Hypothèses!$V$18,Hypothèses!$W$18,""))))))))))))</f>
        <v>#DIV/0!</v>
      </c>
      <c r="AP272" s="87" t="e">
        <f t="shared" ca="1" si="417"/>
        <v>#DIV/0!</v>
      </c>
      <c r="AQ272" s="88" t="e">
        <f ca="1">IF(U272&lt;=Hypothèses!$V$7,Hypothèses!$X$7,IF(U272&lt;=Hypothèses!$V$8,Hypothèses!$X$8,IF(U272&lt;=Hypothèses!$V$9,Hypothèses!$X$9,IF(U272&lt;=Hypothèses!$V$10,Hypothèses!$X$10,IF(U272&lt;=Hypothèses!$V$11,Hypothèses!$X$11,IF(U272&lt;=Hypothèses!$V$12,Hypothèses!$X$12,IF(U272&lt;=Hypothèses!$V$13,Hypothèses!$X$13,IF(U272&lt;=Hypothèses!$V$14,Hypothèses!$X$14,IF(U272&lt;=Hypothèses!$V$15,Hypothèses!$X$15,IF(U272&lt;=Hypothèses!$V$16,Hypothèses!$X$16,IF(U272&lt;=Hypothèses!$U$17,Hypothèses!$W$17,IF(U272&lt;=Hypothèses!$U$18,Hypothèses!$W$18,""))))))))))))</f>
        <v>#DIV/0!</v>
      </c>
      <c r="AR272" s="95" t="e">
        <f t="shared" ca="1" si="472"/>
        <v>#DIV/0!</v>
      </c>
      <c r="AS272" s="101" t="e">
        <f t="shared" si="424"/>
        <v>#N/A</v>
      </c>
      <c r="AT272" s="91" t="e">
        <f t="shared" si="443"/>
        <v>#N/A</v>
      </c>
      <c r="AU272" s="30" t="e">
        <f t="shared" ref="AU272:AU335" si="502">PI()*AU$12*$Q272*($B272-$B271)/($G272*$B$5)/10+AW271</f>
        <v>#N/A</v>
      </c>
      <c r="AV272" s="30" t="e">
        <f t="shared" ref="AV272:AV335" si="503">(PI()*AV$12*$Q272*($B272-$B271))/($H272*$B$5)/10+AW271</f>
        <v>#N/A</v>
      </c>
      <c r="AW272" s="31" t="e">
        <f>IF(OR(Hypothèses!$B$4=17,Hypothèses!$B$4=18,Hypothèses!$B$4=19,Hypothèses!$B$4=20),
IF($D272="Pressio.",
IF(OR($E272=3,$E272=1,$E272=4),AV272,AU272),
IF($D272="Pénétro.",
IF(OR($E272=3,$E272=1,$E272=4),AV272,AU272))),IF($D272="Pressio.",
IF($E272=3,AV272,AU272),
IF($D272="Pénétro.",
IF($E272=4,AV272,AU272))))</f>
        <v>#N/A</v>
      </c>
      <c r="AX272" s="31" t="e">
        <f>(IF(OR(Hypothèses!$B$4=17,Hypothèses!$B$4=18,Hypothèses!$B$4=19,Hypothèses!$B$4=20),
IF($D272="Pressio.",
IF(OR($E272=3,$E272=1,$E272=4),(PI()*AX$12^2)/4*(AT272*$W272*1000)/($H272*$B$5),(PI()*AX$12^2)/4*(AT272*$W272*1000)/($G272*$B$5)),
IF($D272="Pénétro.",
IF(OR($E272=4,$E272=1,$E272=5),(PI()*AX$12^2)/4*(AT272*$W272*1000)/($H272*$B$5),(PI()*AX$12^2)/4*(AT272*$W272*1000)/($G272*$B$5)))),
IF($D272="Pressio.",
IF($E272=3,(PI()*AX$12^2)/4*(AT272*$W272*1000)/($H272*$B$5),(PI()*AX$12^2)/4*(AT272*$W272*1000)/($G272*$B$5)),
IF($D272="Pénétro.",
IF($E272=4,(PI()*AX$12^2)/4*(AT272*$W272*1000)/($H272*$B$5),(PI()*AX$12^2)/4*(AT272*$W272*1000)/($G272*$B$5))))))/10</f>
        <v>#N/A</v>
      </c>
      <c r="AY272" s="102" t="e">
        <f>(VLOOKUP($B$3,'Coeff EC7'!$T$39:$X$59,2,0)*AW272+VLOOKUP($B$3,'Coeff EC7'!$T$65:$X$85,2,0)*Model0.1C!AX272)/1.1</f>
        <v>#N/A</v>
      </c>
      <c r="AZ272" s="102" t="e">
        <f>(VLOOKUP($B$3,'Coeff EC7'!$T$39:$X$59,3,0)*AW272+VLOOKUP($B$3,'Coeff EC7'!$T$65:$X$85,3,0)*Model0.1C!AX272)/0.9</f>
        <v>#N/A</v>
      </c>
      <c r="BA272" s="102" t="e">
        <f t="shared" si="473"/>
        <v>#N/A</v>
      </c>
      <c r="BB272" s="102" t="e">
        <f t="shared" si="474"/>
        <v>#N/A</v>
      </c>
      <c r="BC272" s="414" t="e">
        <f>IF(BC271=0,0,IF(AND(AY272&gt;charge_ELS_quasi,AZ272&gt;Charge_ELS_freq,BA272&gt;charge_ELU,BB272&gt;charge_ELA,$B272&gt;NDC!$H$22-0.1+MIN(3*$BC$12,1.5)),0,1))</f>
        <v>#N/A</v>
      </c>
      <c r="BD272" s="86" t="b">
        <f t="shared" si="444"/>
        <v>0</v>
      </c>
      <c r="BE272" s="86">
        <f t="shared" si="475"/>
        <v>0.5</v>
      </c>
      <c r="BF272" s="86">
        <f t="shared" si="445"/>
        <v>0.5</v>
      </c>
      <c r="BG272" s="30" t="e">
        <f t="shared" ca="1" si="476"/>
        <v>#DIV/0!</v>
      </c>
      <c r="BH272" s="85" t="e">
        <f ca="1">IF(AN272&lt;=Hypothèses!$V$7,Hypothèses!$W$7,IF(AN272&lt;=Hypothèses!$V$8,Hypothèses!$W$8,IF(AN272&lt;=Hypothèses!$V$9,Hypothèses!$W$9,IF(AN272&lt;=Hypothèses!$V$10,Hypothèses!$W$10,IF(AN272&lt;=Hypothèses!$V$11,Hypothèses!$W$11,IF(AN272&lt;=Hypothèses!$V$12,Hypothèses!$W$12,IF(AN272&lt;=Hypothèses!$V$13,Hypothèses!$W$13,IF(AN272&lt;=Hypothèses!$V$14,Hypothèses!$W$14,IF(AN272&lt;=Hypothèses!$V$15,Hypothèses!$W$15,IF(AN272&lt;=Hypothèses!$V$16,Hypothèses!$W$16,IF(AN272&lt;=Hypothèses!$V$17,Hypothèses!$W$17,IF(AN272&lt;=Hypothèses!$V$18,Hypothèses!$W$18,""))))))))))))</f>
        <v>#DIV/0!</v>
      </c>
      <c r="BI272" s="87" t="e">
        <f t="shared" ca="1" si="418"/>
        <v>#DIV/0!</v>
      </c>
      <c r="BJ272" s="88" t="e">
        <f ca="1">IF(AN272&lt;=Hypothèses!$V$7,Hypothèses!$X$7,IF(AN272&lt;=Hypothèses!$V$8,Hypothèses!$X$8,IF(AN272&lt;=Hypothèses!$V$9,Hypothèses!$X$9,IF(AN272&lt;=Hypothèses!$V$10,Hypothèses!$X$10,IF(AN272&lt;=Hypothèses!$V$11,Hypothèses!$X$11,IF(AN272&lt;=Hypothèses!$V$12,Hypothèses!$X$12,IF(AN272&lt;=Hypothèses!$V$13,Hypothèses!$X$13,IF(AN272&lt;=Hypothèses!$V$14,Hypothèses!$X$14,IF(AN272&lt;=Hypothèses!$V$15,Hypothèses!$X$15,IF(AN272&lt;=Hypothèses!$V$16,Hypothèses!$X$16,IF(AN272&lt;=Hypothèses!$U$17,Hypothèses!$W$17,IF(AN272&lt;=Hypothèses!$U$18,Hypothèses!$W$18,""))))))))))))</f>
        <v>#DIV/0!</v>
      </c>
      <c r="BK272" s="95" t="e">
        <f t="shared" ca="1" si="477"/>
        <v>#DIV/0!</v>
      </c>
      <c r="BL272" s="101" t="e">
        <f t="shared" si="425"/>
        <v>#N/A</v>
      </c>
      <c r="BM272" s="91" t="e">
        <f t="shared" si="446"/>
        <v>#N/A</v>
      </c>
      <c r="BN272" s="30" t="e">
        <f t="shared" ref="BN272:BN335" si="504">PI()*BN$12*$Q272*($B272-$B271)/($G272*$B$5)/10+BP271</f>
        <v>#N/A</v>
      </c>
      <c r="BO272" s="30" t="e">
        <f t="shared" ref="BO272:BO335" si="505">(PI()*BO$12*$Q272*($B272-$B271))/($H272*$B$5)/10+BP271</f>
        <v>#N/A</v>
      </c>
      <c r="BP272" s="31" t="e">
        <f>IF(OR(Hypothèses!$B$4=17,Hypothèses!$B$4=18,Hypothèses!$B$4=19,Hypothèses!$B$4=20),
IF($D272="Pressio.",
IF(OR($E272=3,$E272=1,$E272=4),BO272,BN272),
IF($D272="Pénétro.",
IF(OR($E272=3,$E272=1,$E272=4),BO272,BN272))),IF($D272="Pressio.",
IF($E272=3,BO272,BN272),
IF($D272="Pénétro.",
IF($E272=4,BO272,BN272))))</f>
        <v>#N/A</v>
      </c>
      <c r="BQ272" s="31" t="e">
        <f>(IF(OR(Hypothèses!$B$4=17,Hypothèses!$B$4=18,Hypothèses!$B$4=19,Hypothèses!$B$4=20),
IF($D272="Pressio.",
IF(OR($E272=3,$E272=1,$E272=4),(PI()*BQ$12^2)/4*(BM272*$W272*1000)/($H272*$B$5),(PI()*BQ$12^2)/4*(BM272*$W272*1000)/($G272*$B$5)),
IF($D272="Pénétro.",
IF(OR($E272=4,$E272=1,$E272=5),(PI()*BQ$12^2)/4*(BM272*$W272*1000)/($H272*$B$5),(PI()*BQ$12^2)/4*(BM272*$W272*1000)/($G272*$B$5)))),
IF($D272="Pressio.",
IF($E272=3,(PI()*BQ$12^2)/4*(BM272*$W272*1000)/($H272*$B$5),(PI()*BQ$12^2)/4*(BM272*$W272*1000)/($G272*$B$5)),
IF($D272="Pénétro.",
IF($E272=4,(PI()*BQ$12^2)/4*(BM272*$W272*1000)/($H272*$B$5),(PI()*BQ$12^2)/4*(BM272*$W272*1000)/($G272*$B$5))))))/10</f>
        <v>#N/A</v>
      </c>
      <c r="BR272" s="102" t="e">
        <f>(VLOOKUP($B$3,'Coeff EC7'!$T$39:$X$59,2,0)*BP272+VLOOKUP($B$3,'Coeff EC7'!$T$65:$X$85,2,0)*Model0.1C!BQ272)/1.1</f>
        <v>#N/A</v>
      </c>
      <c r="BS272" s="102" t="e">
        <f>(VLOOKUP($B$3,'Coeff EC7'!$T$39:$X$59,3,0)*BP272+VLOOKUP($B$3,'Coeff EC7'!$T$65:$X$85,3,0)*Model0.1C!BQ272)/0.9</f>
        <v>#N/A</v>
      </c>
      <c r="BT272" s="102" t="e">
        <f t="shared" si="478"/>
        <v>#N/A</v>
      </c>
      <c r="BU272" s="102" t="e">
        <f t="shared" si="479"/>
        <v>#N/A</v>
      </c>
      <c r="BV272" s="414" t="e">
        <f>IF(BV271=0,0,IF(AND(BR272&gt;charge_ELS_quasi,BS272&gt;Charge_ELS_freq,BT272&gt;charge_ELU,BU272&gt;charge_ELA,$B272&gt;NDC!$H$22-0.1+MIN(3*$BV$12,1.5)),0,1))</f>
        <v>#N/A</v>
      </c>
      <c r="BW272" s="86" t="b">
        <f t="shared" si="447"/>
        <v>0</v>
      </c>
      <c r="BX272" s="86">
        <f t="shared" si="448"/>
        <v>0.5</v>
      </c>
      <c r="BY272" s="86">
        <f t="shared" si="449"/>
        <v>0.5</v>
      </c>
      <c r="BZ272" s="30" t="e">
        <f t="shared" ca="1" si="480"/>
        <v>#DIV/0!</v>
      </c>
      <c r="CA272" s="85" t="e">
        <f ca="1">IF(BG272&lt;=Hypothèses!$V$7,Hypothèses!$W$7,IF(BG272&lt;=Hypothèses!$V$8,Hypothèses!$W$8,IF(BG272&lt;=Hypothèses!$V$9,Hypothèses!$W$9,IF(BG272&lt;=Hypothèses!$V$10,Hypothèses!$W$10,IF(BG272&lt;=Hypothèses!$V$11,Hypothèses!$W$11,IF(BG272&lt;=Hypothèses!$V$12,Hypothèses!$W$12,IF(BG272&lt;=Hypothèses!$V$13,Hypothèses!$W$13,IF(BG272&lt;=Hypothèses!$V$14,Hypothèses!$W$14,IF(BG272&lt;=Hypothèses!$V$15,Hypothèses!$W$15,IF(BG272&lt;=Hypothèses!$V$16,Hypothèses!$W$16,IF(BG272&lt;=Hypothèses!$V$17,Hypothèses!$W$17,IF(BG272&lt;=Hypothèses!$V$18,Hypothèses!$W$18,""))))))))))))</f>
        <v>#DIV/0!</v>
      </c>
      <c r="CB272" s="87" t="e">
        <f t="shared" ca="1" si="419"/>
        <v>#DIV/0!</v>
      </c>
      <c r="CC272" s="88" t="e">
        <f ca="1">IF(BG272&lt;=Hypothèses!$V$7,Hypothèses!$X$7,IF(BG272&lt;=Hypothèses!$V$8,Hypothèses!$X$8,IF(BG272&lt;=Hypothèses!$V$9,Hypothèses!$X$9,IF(BG272&lt;=Hypothèses!$V$10,Hypothèses!$X$10,IF(BG272&lt;=Hypothèses!$V$11,Hypothèses!$X$11,IF(BG272&lt;=Hypothèses!$V$12,Hypothèses!$X$12,IF(BG272&lt;=Hypothèses!$V$13,Hypothèses!$X$13,IF(BG272&lt;=Hypothèses!$V$14,Hypothèses!$X$14,IF(BG272&lt;=Hypothèses!$V$15,Hypothèses!$X$15,IF(BG272&lt;=Hypothèses!$V$16,Hypothèses!$X$16,IF(BG272&lt;=Hypothèses!$U$17,Hypothèses!$W$17,IF(BG272&lt;=Hypothèses!$U$18,Hypothèses!$W$18,""))))))))))))</f>
        <v>#DIV/0!</v>
      </c>
      <c r="CD272" s="95" t="e">
        <f t="shared" ca="1" si="481"/>
        <v>#DIV/0!</v>
      </c>
      <c r="CE272" s="101" t="e">
        <f t="shared" si="426"/>
        <v>#N/A</v>
      </c>
      <c r="CF272" s="91" t="e">
        <f t="shared" si="450"/>
        <v>#N/A</v>
      </c>
      <c r="CG272" s="30" t="e">
        <f t="shared" ref="CG272:CG335" si="506">PI()*CG$12*$Q272*($B272-$B271)/($G272*$B$5)/10+CI271</f>
        <v>#N/A</v>
      </c>
      <c r="CH272" s="30" t="e">
        <f t="shared" ref="CH272:CH335" si="507">(PI()*CH$12*$Q272*($B272-$B271))/($H272*$B$5)/10+CI271</f>
        <v>#N/A</v>
      </c>
      <c r="CI272" s="31" t="e">
        <f>IF(OR(Hypothèses!$B$4=17,Hypothèses!$B$4=18,Hypothèses!$B$4=19,Hypothèses!$B$4=20),
IF($D272="Pressio.",
IF(OR($E272=3,$E272=1,$E272=4),CH272,CG272),
IF($D272="Pénétro.",
IF(OR($E272=3,$E272=1,$E272=4),CH272,CG272))),IF($D272="Pressio.",
IF($E272=3,CH272,CG272),
IF($D272="Pénétro.",
IF($E272=4,CH272,CG272))))</f>
        <v>#N/A</v>
      </c>
      <c r="CJ272" s="31" t="e">
        <f>(IF(OR(Hypothèses!$B$4=17,Hypothèses!$B$4=18,Hypothèses!$B$4=19,Hypothèses!$B$4=20),
IF($D272="Pressio.",
IF(OR($E272=3,$E272=1,$E272=4),(PI()*CJ$12^2)/4*(CF272*$W272*1000)/($H272*$B$5),(PI()*CJ$12^2)/4*(CF272*$W272*1000)/($G272*$B$5)),
IF($D272="Pénétro.",
IF(OR($E272=4,$E272=1,$E272=5),(PI()*CJ$12^2)/4*(CF272*$W272*1000)/($H272*$B$5),(PI()*CJ$12^2)/4*(CF272*$W272*1000)/($G272*$B$5)))),
IF($D272="Pressio.",
IF($E272=3,(PI()*CJ$12^2)/4*(CF272*$W272*1000)/($H272*$B$5),(PI()*CJ$12^2)/4*(CF272*$W272*1000)/($G272*$B$5)),
IF($D272="Pénétro.",
IF($E272=4,(PI()*CJ$12^2)/4*(CF272*$W272*1000)/($H272*$B$5),(PI()*CJ$12^2)/4*(CF272*$W272*1000)/($G272*$B$5))))))/10</f>
        <v>#N/A</v>
      </c>
      <c r="CK272" s="102" t="e">
        <f>(VLOOKUP($B$3,'Coeff EC7'!$T$39:$X$59,2,0)*CI272+VLOOKUP($B$3,'Coeff EC7'!$T$65:$X$85,2,0)*Model0.1C!CJ272)/1.1</f>
        <v>#N/A</v>
      </c>
      <c r="CL272" s="102" t="e">
        <f>(VLOOKUP($B$3,'Coeff EC7'!$T$39:$X$59,3,0)*CI272+VLOOKUP($B$3,'Coeff EC7'!$T$65:$X$85,3,0)*Model0.1C!CJ272)/0.9</f>
        <v>#N/A</v>
      </c>
      <c r="CM272" s="102" t="e">
        <f t="shared" si="482"/>
        <v>#N/A</v>
      </c>
      <c r="CN272" s="102" t="e">
        <f t="shared" si="483"/>
        <v>#N/A</v>
      </c>
      <c r="CO272" s="414" t="e">
        <f>IF(CO271=0,0,IF(AND(CK272&gt;charge_ELS_quasi,CL272&gt;Charge_ELS_freq,CM272&gt;charge_ELU,CN272&gt;charge_ELA,$B272&gt;NDC!$H$22-0.1+MIN(3*$CO$12,1.5)),0,1))</f>
        <v>#N/A</v>
      </c>
      <c r="CP272" s="86" t="b">
        <f t="shared" si="451"/>
        <v>0</v>
      </c>
      <c r="CQ272" s="86">
        <f t="shared" si="452"/>
        <v>0.5</v>
      </c>
      <c r="CR272" s="86">
        <f t="shared" si="453"/>
        <v>0.5</v>
      </c>
      <c r="CS272" s="30" t="e">
        <f t="shared" ca="1" si="484"/>
        <v>#DIV/0!</v>
      </c>
      <c r="CT272" s="85" t="e">
        <f ca="1">IF(BZ272&lt;=Hypothèses!$V$7,Hypothèses!$W$7,IF(BZ272&lt;=Hypothèses!$V$8,Hypothèses!$W$8,IF(BZ272&lt;=Hypothèses!$V$9,Hypothèses!$W$9,IF(BZ272&lt;=Hypothèses!$V$10,Hypothèses!$W$10,IF(BZ272&lt;=Hypothèses!$V$11,Hypothèses!$W$11,IF(BZ272&lt;=Hypothèses!$V$12,Hypothèses!$W$12,IF(BZ272&lt;=Hypothèses!$V$13,Hypothèses!$W$13,IF(BZ272&lt;=Hypothèses!$V$14,Hypothèses!$W$14,IF(BZ272&lt;=Hypothèses!$V$15,Hypothèses!$W$15,IF(BZ272&lt;=Hypothèses!$V$16,Hypothèses!$W$16,IF(BZ272&lt;=Hypothèses!$V$17,Hypothèses!$W$17,IF(BZ272&lt;=Hypothèses!$V$18,Hypothèses!$W$18,""))))))))))))</f>
        <v>#DIV/0!</v>
      </c>
      <c r="CU272" s="87" t="e">
        <f t="shared" ca="1" si="420"/>
        <v>#DIV/0!</v>
      </c>
      <c r="CV272" s="88" t="e">
        <f ca="1">IF(BZ272&lt;=Hypothèses!$V$7,Hypothèses!$X$7,IF(BZ272&lt;=Hypothèses!$V$8,Hypothèses!$X$8,IF(BZ272&lt;=Hypothèses!$V$9,Hypothèses!$X$9,IF(BZ272&lt;=Hypothèses!$V$10,Hypothèses!$X$10,IF(BZ272&lt;=Hypothèses!$V$11,Hypothèses!$X$11,IF(BZ272&lt;=Hypothèses!$V$12,Hypothèses!$X$12,IF(BZ272&lt;=Hypothèses!$V$13,Hypothèses!$X$13,IF(BZ272&lt;=Hypothèses!$V$14,Hypothèses!$X$14,IF(BZ272&lt;=Hypothèses!$V$15,Hypothèses!$X$15,IF(BZ272&lt;=Hypothèses!$V$16,Hypothèses!$X$16,IF(BZ272&lt;=Hypothèses!$U$17,Hypothèses!$W$17,IF(BZ272&lt;=Hypothèses!$U$18,Hypothèses!$W$18,""))))))))))))</f>
        <v>#DIV/0!</v>
      </c>
      <c r="CW272" s="95" t="e">
        <f t="shared" ca="1" si="485"/>
        <v>#DIV/0!</v>
      </c>
      <c r="CX272" s="101" t="e">
        <f t="shared" si="427"/>
        <v>#N/A</v>
      </c>
      <c r="CY272" s="91" t="e">
        <f t="shared" si="454"/>
        <v>#N/A</v>
      </c>
      <c r="CZ272" s="30" t="e">
        <f t="shared" ref="CZ272:CZ335" si="508">PI()*CZ$12*$Q272*($B272-$B271)/($G272*$B$5)/10+DB271</f>
        <v>#N/A</v>
      </c>
      <c r="DA272" s="30" t="e">
        <f t="shared" ref="DA272:DA335" si="509">(PI()*DA$12*$Q272*($B272-$B271))/($H272*$B$5)/10+DB271</f>
        <v>#N/A</v>
      </c>
      <c r="DB272" s="31" t="e">
        <f>IF(OR(Hypothèses!$B$4=17,Hypothèses!$B$4=18,Hypothèses!$B$4=19,Hypothèses!$B$4=20),
IF($D272="Pressio.",
IF(OR($E272=3,$E272=1,$E272=4),DA272,CZ272),
IF($D272="Pénétro.",
IF(OR($E272=3,$E272=1,$E272=4),DA272,CZ272))),IF($D272="Pressio.",
IF($E272=3,DA272,CZ272),
IF($D272="Pénétro.",
IF($E272=4,DA272,CZ272))))</f>
        <v>#N/A</v>
      </c>
      <c r="DC272" s="31" t="e">
        <f>(IF(OR(Hypothèses!$B$4=17,Hypothèses!$B$4=18,Hypothèses!$B$4=19,Hypothèses!$B$4=20),
IF($D272="Pressio.",
IF(OR($E272=3,$E272=1,$E272=4),(PI()*DC$12^2)/4*(CY272*$W272*1000)/($H272*$B$5),(PI()*DC$12^2)/4*(CY272*$W272*1000)/($G272*$B$5)),
IF($D272="Pénétro.",
IF(OR($E272=4,$E272=1,$E272=5),(PI()*DC$12^2)/4*(CY272*$W272*1000)/($H272*$B$5),(PI()*DC$12^2)/4*(CY272*$W272*1000)/($G272*$B$5)))),
IF($D272="Pressio.",
IF($E272=3,(PI()*DC$12^2)/4*(CY272*$W272*1000)/($H272*$B$5),(PI()*DC$12^2)/4*(CY272*$W272*1000)/($G272*$B$5)),
IF($D272="Pénétro.",
IF($E272=4,(PI()*DC$12^2)/4*(CY272*$W272*1000)/($H272*$B$5),(PI()*DC$12^2)/4*(CY272*$W272*1000)/($G272*$B$5))))))/10</f>
        <v>#N/A</v>
      </c>
      <c r="DD272" s="102" t="e">
        <f>(VLOOKUP($B$3,'Coeff EC7'!$T$39:$X$59,2,0)*DB272+VLOOKUP($B$3,'Coeff EC7'!$T$65:$X$85,2,0)*Model0.1C!DC272)/1.1</f>
        <v>#N/A</v>
      </c>
      <c r="DE272" s="102" t="e">
        <f>(VLOOKUP($B$3,'Coeff EC7'!$T$39:$X$59,3,0)*DB272+VLOOKUP($B$3,'Coeff EC7'!$T$65:$X$85,3,0)*Model0.1C!DC272)/0.9</f>
        <v>#N/A</v>
      </c>
      <c r="DF272" s="102" t="e">
        <f t="shared" si="486"/>
        <v>#N/A</v>
      </c>
      <c r="DG272" s="102" t="e">
        <f t="shared" si="487"/>
        <v>#N/A</v>
      </c>
      <c r="DH272" s="414" t="e">
        <f>IF(DH271=0,0,IF(AND(DD272&gt;charge_ELS_quasi,DE272&gt;Charge_ELS_freq,DF272&gt;charge_ELU,DG272&gt;charge_ELA,$B272&gt;NDC!$H$22-0.1+MIN(3*$DH$12,1.5)),0,1))</f>
        <v>#N/A</v>
      </c>
      <c r="DI272" s="86" t="b">
        <f t="shared" si="455"/>
        <v>0</v>
      </c>
      <c r="DJ272" s="86">
        <f t="shared" si="456"/>
        <v>0.5</v>
      </c>
      <c r="DK272" s="86">
        <f t="shared" si="457"/>
        <v>0.5</v>
      </c>
      <c r="DL272" s="30" t="e">
        <f t="shared" ca="1" si="488"/>
        <v>#DIV/0!</v>
      </c>
      <c r="DM272" s="85" t="e">
        <f ca="1">IF(CS272&lt;=Hypothèses!$V$7,Hypothèses!$W$7,IF(CS272&lt;=Hypothèses!$V$8,Hypothèses!$W$8,IF(CS272&lt;=Hypothèses!$V$9,Hypothèses!$W$9,IF(CS272&lt;=Hypothèses!$V$10,Hypothèses!$W$10,IF(CS272&lt;=Hypothèses!$V$11,Hypothèses!$W$11,IF(CS272&lt;=Hypothèses!$V$12,Hypothèses!$W$12,IF(CS272&lt;=Hypothèses!$V$13,Hypothèses!$W$13,IF(CS272&lt;=Hypothèses!$V$14,Hypothèses!$W$14,IF(CS272&lt;=Hypothèses!$V$15,Hypothèses!$W$15,IF(CS272&lt;=Hypothèses!$V$16,Hypothèses!$W$16,IF(CS272&lt;=Hypothèses!$V$17,Hypothèses!$W$17,IF(CS272&lt;=Hypothèses!$V$18,Hypothèses!$W$18,""))))))))))))</f>
        <v>#DIV/0!</v>
      </c>
      <c r="DN272" s="87" t="e">
        <f t="shared" ca="1" si="421"/>
        <v>#DIV/0!</v>
      </c>
      <c r="DO272" s="88" t="e">
        <f ca="1">IF(CS272&lt;=Hypothèses!$V$7,Hypothèses!$X$7,IF(CS272&lt;=Hypothèses!$V$8,Hypothèses!$X$8,IF(CS272&lt;=Hypothèses!$V$9,Hypothèses!$X$9,IF(CS272&lt;=Hypothèses!$V$10,Hypothèses!$X$10,IF(CS272&lt;=Hypothèses!$V$11,Hypothèses!$X$11,IF(CS272&lt;=Hypothèses!$V$12,Hypothèses!$X$12,IF(CS272&lt;=Hypothèses!$V$13,Hypothèses!$X$13,IF(CS272&lt;=Hypothèses!$V$14,Hypothèses!$X$14,IF(CS272&lt;=Hypothèses!$V$15,Hypothèses!$X$15,IF(CS272&lt;=Hypothèses!$V$16,Hypothèses!$X$16,IF(CS272&lt;=Hypothèses!$U$17,Hypothèses!$W$17,IF(CS272&lt;=Hypothèses!$U$18,Hypothèses!$W$18,""))))))))))))</f>
        <v>#DIV/0!</v>
      </c>
      <c r="DP272" s="95" t="e">
        <f t="shared" ca="1" si="489"/>
        <v>#DIV/0!</v>
      </c>
      <c r="DQ272" s="101" t="e">
        <f t="shared" si="428"/>
        <v>#N/A</v>
      </c>
      <c r="DR272" s="91" t="e">
        <f t="shared" si="458"/>
        <v>#N/A</v>
      </c>
      <c r="DS272" s="30" t="e">
        <f t="shared" ref="DS272:DS335" si="510">PI()*DS$12*$Q272*($B272-$B271)/($G272*$B$5)/10+DU271</f>
        <v>#N/A</v>
      </c>
      <c r="DT272" s="30" t="e">
        <f t="shared" ref="DT272:DT335" si="511">(PI()*DT$12*$Q272*($B272-$B271))/($H272*$B$5)/10+DU271</f>
        <v>#N/A</v>
      </c>
      <c r="DU272" s="31" t="e">
        <f>IF(OR(Hypothèses!$B$4=17,Hypothèses!$B$4=18,Hypothèses!$B$4=19,Hypothèses!$B$4=20),
IF($D272="Pressio.",
IF(OR($E272=3,$E272=1,$E272=4),DT272,DS272),
IF($D272="Pénétro.",
IF(OR($E272=3,$E272=1,$E272=4),DT272,DS272))),IF($D272="Pressio.",
IF($E272=3,DT272,DS272),
IF($D272="Pénétro.",
IF($E272=4,DT272,DS272))))</f>
        <v>#N/A</v>
      </c>
      <c r="DV272" s="31" t="e">
        <f>(IF(OR(Hypothèses!$B$4=17,Hypothèses!$B$4=18,Hypothèses!$B$4=19,Hypothèses!$B$4=20),
IF($D272="Pressio.",
IF(OR($E272=3,$E272=1,$E272=4),(PI()*DV$12^2)/4*(DR272*$W272*1000)/($H272*$B$5),(PI()*DV$12^2)/4*(DR272*$W272*1000)/($G272*$B$5)),
IF($D272="Pénétro.",
IF(OR($E272=4,$E272=1,$E272=5),(PI()*DV$12^2)/4*(DR272*$W272*1000)/($H272*$B$5),(PI()*DV$12^2)/4*(DR272*$W272*1000)/($G272*$B$5)))),
IF($D272="Pressio.",
IF($E272=3,(PI()*DV$12^2)/4*(DR272*$W272*1000)/($H272*$B$5),(PI()*DV$12^2)/4*(DR272*$W272*1000)/($G272*$B$5)),
IF($D272="Pénétro.",
IF($E272=4,(PI()*DV$12^2)/4*(DR272*$W272*1000)/($H272*$B$5),(PI()*DV$12^2)/4*(DR272*$W272*1000)/($G272*$B$5))))))/10</f>
        <v>#N/A</v>
      </c>
      <c r="DW272" s="102" t="e">
        <f>(VLOOKUP($B$3,'Coeff EC7'!$T$39:$X$59,2,0)*DU272+VLOOKUP($B$3,'Coeff EC7'!$T$65:$X$85,2,0)*Model0.1C!DV272)/1.1</f>
        <v>#N/A</v>
      </c>
      <c r="DX272" s="102" t="e">
        <f>(VLOOKUP($B$3,'Coeff EC7'!$T$39:$X$59,3,0)*DU272+VLOOKUP($B$3,'Coeff EC7'!$T$65:$X$85,3,0)*Model0.1C!DV272)/0.9</f>
        <v>#N/A</v>
      </c>
      <c r="DY272" s="102" t="e">
        <f t="shared" si="490"/>
        <v>#N/A</v>
      </c>
      <c r="DZ272" s="102" t="e">
        <f t="shared" si="491"/>
        <v>#N/A</v>
      </c>
      <c r="EA272" s="414" t="e">
        <f>IF(EA271=0,0,IF(AND(DW272&gt;charge_ELS_quasi,DX272&gt;Charge_ELS_freq,DY272&gt;charge_ELU,DZ272&gt;charge_ELA,$B272&gt;NDC!$H$22-0.1+MIN(3*$EA$12,1.5)),0,1))</f>
        <v>#N/A</v>
      </c>
      <c r="EB272" s="86" t="b">
        <f t="shared" si="459"/>
        <v>0</v>
      </c>
      <c r="EC272" s="418">
        <f t="shared" si="460"/>
        <v>0.51</v>
      </c>
      <c r="ED272" s="86">
        <f t="shared" si="461"/>
        <v>0.51</v>
      </c>
      <c r="EE272" s="30" t="e">
        <f t="shared" ca="1" si="492"/>
        <v>#DIV/0!</v>
      </c>
      <c r="EF272" s="85" t="e">
        <f ca="1">IF(DL272&lt;=Hypothèses!$V$7,Hypothèses!$W$7,IF(DL272&lt;=Hypothèses!$V$8,Hypothèses!$W$8,IF(DL272&lt;=Hypothèses!$V$9,Hypothèses!$W$9,IF(DL272&lt;=Hypothèses!$V$10,Hypothèses!$W$10,IF(DL272&lt;=Hypothèses!$V$11,Hypothèses!$W$11,IF(DL272&lt;=Hypothèses!$V$12,Hypothèses!$W$12,IF(DL272&lt;=Hypothèses!$V$13,Hypothèses!$W$13,IF(DL272&lt;=Hypothèses!$V$14,Hypothèses!$W$14,IF(DL272&lt;=Hypothèses!$V$15,Hypothèses!$W$15,IF(DL272&lt;=Hypothèses!$V$16,Hypothèses!$W$16,IF(DL272&lt;=Hypothèses!$V$17,Hypothèses!$W$17,IF(DL272&lt;=Hypothèses!$V$18,Hypothèses!$W$18,""))))))))))))</f>
        <v>#DIV/0!</v>
      </c>
      <c r="EG272" s="87" t="e">
        <f t="shared" ca="1" si="422"/>
        <v>#DIV/0!</v>
      </c>
      <c r="EH272" s="88" t="e">
        <f ca="1">IF(DL272&lt;=Hypothèses!$V$7,Hypothèses!$X$7,IF(DL272&lt;=Hypothèses!$V$8,Hypothèses!$X$8,IF(DL272&lt;=Hypothèses!$V$9,Hypothèses!$X$9,IF(DL272&lt;=Hypothèses!$V$10,Hypothèses!$X$10,IF(DL272&lt;=Hypothèses!$V$11,Hypothèses!$X$11,IF(DL272&lt;=Hypothèses!$V$12,Hypothèses!$X$12,IF(DL272&lt;=Hypothèses!$V$13,Hypothèses!$X$13,IF(DL272&lt;=Hypothèses!$V$14,Hypothèses!$X$14,IF(DL272&lt;=Hypothèses!$V$15,Hypothèses!$X$15,IF(DL272&lt;=Hypothèses!$V$16,Hypothèses!$X$16,IF(DL272&lt;=Hypothèses!$U$17,Hypothèses!$W$17,IF(DL272&lt;=Hypothèses!$U$18,Hypothèses!$W$18,""))))))))))))</f>
        <v>#DIV/0!</v>
      </c>
      <c r="EI272" s="95" t="e">
        <f t="shared" ca="1" si="493"/>
        <v>#DIV/0!</v>
      </c>
      <c r="EJ272" s="101" t="e">
        <f t="shared" si="429"/>
        <v>#N/A</v>
      </c>
      <c r="EK272" s="91" t="e">
        <f t="shared" si="462"/>
        <v>#N/A</v>
      </c>
      <c r="EL272" s="30" t="e">
        <f t="shared" ref="EL272:EL335" si="512">PI()*EL$12*$Q272*($B272-$B271)/($G272*$B$5)/10+EN271</f>
        <v>#N/A</v>
      </c>
      <c r="EM272" s="30" t="e">
        <f t="shared" ref="EM272:EM335" si="513">(PI()*EM$12*$Q272*($B272-$B271))/($H272*$B$5)/10+EN271</f>
        <v>#N/A</v>
      </c>
      <c r="EN272" s="31" t="e">
        <f>IF(OR(Hypothèses!$B$4=17,Hypothèses!$B$4=18,Hypothèses!$B$4=19,Hypothèses!$B$4=20),
IF($D272="Pressio.",
IF(OR($E272=3,$E272=1,$E272=4),EM272,EL272),
IF($D272="Pénétro.",
IF(OR($E272=3,$E272=1,$E272=4),EM272,EL272))),IF($D272="Pressio.",
IF($E272=3,EM272,EL272),
IF($D272="Pénétro.",
IF($E272=4,EM272,EL272))))</f>
        <v>#N/A</v>
      </c>
      <c r="EO272" s="31" t="e">
        <f>(IF(OR(Hypothèses!$B$4=17,Hypothèses!$B$4=18,Hypothèses!$B$4=19,Hypothèses!$B$4=20),
IF($D272="Pressio.",
IF(OR($E272=3,$E272=1,$E272=4),(PI()*EO$12^2)/4*(EK272*$W272*1000)/($H272*$B$5),(PI()*EO$12^2)/4*(EK272*$W272*1000)/($G272*$B$5)),
IF($D272="Pénétro.",
IF(OR($E272=4,$E272=1,$E272=5),(PI()*EO$12^2)/4*(EK272*$W272*1000)/($H272*$B$5),(PI()*EO$12^2)/4*(EK272*$W272*1000)/($G272*$B$5)))),
IF($D272="Pressio.",
IF($E272=3,(PI()*EO$12^2)/4*(EK272*$W272*1000)/($H272*$B$5),(PI()*EO$12^2)/4*(EK272*$W272*1000)/($G272*$B$5)),
IF($D272="Pénétro.",
IF($E272=4,(PI()*EO$12^2)/4*(EK272*$W272*1000)/($H272*$B$5),(PI()*EO$12^2)/4*(EK272*$W272*1000)/($G272*$B$5))))))/10</f>
        <v>#N/A</v>
      </c>
      <c r="EP272" s="102" t="e">
        <f>(VLOOKUP($B$3,'Coeff EC7'!$T$39:$X$59,2,0)*EN272+VLOOKUP($B$3,'Coeff EC7'!$T$65:$X$85,2,0)*Model0.1C!EO272)/1.1</f>
        <v>#N/A</v>
      </c>
      <c r="EQ272" s="102" t="e">
        <f>(VLOOKUP($B$3,'Coeff EC7'!$T$39:$X$59,3,0)*EN272+VLOOKUP($B$3,'Coeff EC7'!$T$65:$X$85,3,0)*Model0.1C!EO272)/0.9</f>
        <v>#N/A</v>
      </c>
      <c r="ER272" s="102" t="e">
        <f t="shared" si="494"/>
        <v>#N/A</v>
      </c>
      <c r="ES272" s="102" t="e">
        <f t="shared" si="495"/>
        <v>#N/A</v>
      </c>
      <c r="ET272" s="414" t="e">
        <f>IF(ET271=0,0,IF(AND(EP272&gt;charge_ELS_quasi,EQ272&gt;Charge_ELS_freq,ER272&gt;charge_ELU,ES272&gt;charge_ELA,$B272&gt;NDC!$H$22-0.1+MIN(3*$ET$12,1.5)),0,1))</f>
        <v>#N/A</v>
      </c>
      <c r="EU272" s="86" t="b">
        <f t="shared" si="463"/>
        <v>0</v>
      </c>
      <c r="EV272" s="86">
        <f t="shared" si="464"/>
        <v>0.61</v>
      </c>
      <c r="EW272" s="86">
        <f t="shared" si="465"/>
        <v>0.61</v>
      </c>
      <c r="EX272" s="30" t="e">
        <f t="shared" ca="1" si="496"/>
        <v>#DIV/0!</v>
      </c>
      <c r="EY272" s="85" t="e">
        <f ca="1">IF(EE272&lt;=Hypothèses!$V$7,Hypothèses!$W$7,IF(EE272&lt;=Hypothèses!$V$8,Hypothèses!$W$8,IF(EE272&lt;=Hypothèses!$V$9,Hypothèses!$W$9,IF(EE272&lt;=Hypothèses!$V$10,Hypothèses!$W$10,IF(EE272&lt;=Hypothèses!$V$11,Hypothèses!$W$11,IF(EE272&lt;=Hypothèses!$V$12,Hypothèses!$W$12,IF(EE272&lt;=Hypothèses!$V$13,Hypothèses!$W$13,IF(EE272&lt;=Hypothèses!$V$14,Hypothèses!$W$14,IF(EE272&lt;=Hypothèses!$V$15,Hypothèses!$W$15,IF(EE272&lt;=Hypothèses!$V$16,Hypothèses!$W$16,IF(EE272&lt;=Hypothèses!$V$17,Hypothèses!$W$17,IF(EE272&lt;=Hypothèses!$V$18,Hypothèses!$W$18,""))))))))))))</f>
        <v>#DIV/0!</v>
      </c>
      <c r="EZ272" s="87" t="e">
        <f t="shared" ca="1" si="423"/>
        <v>#DIV/0!</v>
      </c>
      <c r="FA272" s="88" t="e">
        <f ca="1">IF(EE272&lt;=Hypothèses!$V$7,Hypothèses!$X$7,IF(EE272&lt;=Hypothèses!$V$8,Hypothèses!$X$8,IF(EE272&lt;=Hypothèses!$V$9,Hypothèses!$X$9,IF(EE272&lt;=Hypothèses!$V$10,Hypothèses!$X$10,IF(EE272&lt;=Hypothèses!$V$11,Hypothèses!$X$11,IF(EE272&lt;=Hypothèses!$V$12,Hypothèses!$X$12,IF(EE272&lt;=Hypothèses!$V$13,Hypothèses!$X$13,IF(EE272&lt;=Hypothèses!$V$14,Hypothèses!$X$14,IF(EE272&lt;=Hypothèses!$V$15,Hypothèses!$X$15,IF(EE272&lt;=Hypothèses!$V$16,Hypothèses!$X$16,IF(EE272&lt;=Hypothèses!$U$17,Hypothèses!$W$17,IF(EE272&lt;=Hypothèses!$U$18,Hypothèses!$W$18,""))))))))))))</f>
        <v>#DIV/0!</v>
      </c>
      <c r="FB272" s="95" t="e">
        <f t="shared" ca="1" si="497"/>
        <v>#DIV/0!</v>
      </c>
      <c r="FC272" s="101" t="e">
        <f t="shared" si="430"/>
        <v>#N/A</v>
      </c>
      <c r="FD272" s="91" t="e">
        <f t="shared" si="466"/>
        <v>#N/A</v>
      </c>
      <c r="FE272" s="30" t="e">
        <f t="shared" ref="FE272:FE335" si="514">PI()*FE$12*$Q272*($B272-$B271)/($G272*$B$5)/10+FG271</f>
        <v>#N/A</v>
      </c>
      <c r="FF272" s="30" t="e">
        <f t="shared" ref="FF272:FF335" si="515">(PI()*FF$12*$Q272*($B272-$B271))/($H272*$B$5)/10+FG271</f>
        <v>#N/A</v>
      </c>
      <c r="FG272" s="31" t="e">
        <f>IF(OR(Hypothèses!$B$4=17,Hypothèses!$B$4=18,Hypothèses!$B$4=19,Hypothèses!$B$4=20),
IF($D272="Pressio.",
IF(OR($E272=3,$E272=1,$E272=4),FF272,FE272),
IF($D272="Pénétro.",
IF(OR($E272=3,$E272=1,$E272=4),FF272,FE272))),IF($D272="Pressio.",
IF($E272=3,FF272,FE272),
IF($D272="Pénétro.",
IF($E272=4,FF272,FE272))))</f>
        <v>#N/A</v>
      </c>
      <c r="FH272" s="31" t="e">
        <f>(IF(OR(Hypothèses!$B$4=17,Hypothèses!$B$4=18,Hypothèses!$B$4=19,Hypothèses!$B$4=20),
IF($D272="Pressio.",
IF(OR($E272=3,$E272=1,$E272=4),(PI()*FH$12^2)/4*(FD272*$W272*1000)/($H272*$B$5),(PI()*FH$12^2)/4*(FD272*$W272*1000)/($G272*$B$5)),
IF($D272="Pénétro.",
IF(OR($E272=4,$E272=1,$E272=5),(PI()*FH$12^2)/4*(FD272*$W272*1000)/($H272*$B$5),(PI()*FH$12^2)/4*(FD272*$W272*1000)/($G272*$B$5)))),
IF($D272="Pressio.",
IF($E272=3,(PI()*FH$12^2)/4*(FD272*$W272*1000)/($H272*$B$5),(PI()*FH$12^2)/4*(FD272*$W272*1000)/($G272*$B$5)),
IF($D272="Pénétro.",
IF($E272=4,(PI()*FH$12^2)/4*(FD272*$W272*1000)/($H272*$B$5),(PI()*FH$12^2)/4*(FD272*$W272*1000)/($G272*$B$5))))))/10</f>
        <v>#N/A</v>
      </c>
      <c r="FI272" s="102" t="e">
        <f>(VLOOKUP($B$3,'Coeff EC7'!$T$39:$X$59,2,0)*FG272+VLOOKUP($B$3,'Coeff EC7'!$T$65:$X$85,2,0)*Model0.1C!FH272)/1.1</f>
        <v>#N/A</v>
      </c>
      <c r="FJ272" s="102" t="e">
        <f>(VLOOKUP($B$3,'Coeff EC7'!$T$39:$X$59,3,0)*FG272+VLOOKUP($B$3,'Coeff EC7'!$T$65:$X$85,3,0)*Model0.1C!FH272)/0.9</f>
        <v>#N/A</v>
      </c>
      <c r="FK272" s="102" t="e">
        <f t="shared" si="498"/>
        <v>#N/A</v>
      </c>
      <c r="FL272" s="102" t="e">
        <f t="shared" si="499"/>
        <v>#N/A</v>
      </c>
      <c r="FM272" s="414" t="e">
        <f>IF(FM271=0,0,IF(AND(FI272&gt;charge_ELS_quasi,FJ272&gt;Charge_ELS_freq,FK272&gt;charge_ELU,FL272&gt;charge_ELA,$B272&gt;NDC!$H$22-0.1+MIN(3*$FM$12,1.5)),0,1))</f>
        <v>#N/A</v>
      </c>
    </row>
    <row r="273" spans="1:169">
      <c r="A273" s="96">
        <f t="shared" si="467"/>
        <v>74.000000000001478</v>
      </c>
      <c r="B273" s="97">
        <v>26</v>
      </c>
      <c r="C273" s="81">
        <f>IF(B273&lt;=Hypothèses!$C$7,Hypothèses!$A$7,IF(B273&lt;=Hypothèses!$C$8,Hypothèses!$A$8,IF(B273&lt;=Hypothèses!$C$9,Hypothèses!$A$9,IF(B273&lt;=Hypothèses!$C$10,Hypothèses!$A$10,IF(B273&lt;=Hypothèses!$C$11,Hypothèses!$A$11,IF(B273&lt;=Hypothèses!$C$12,Hypothèses!$A$12,IF(B273&lt;=Hypothèses!$C$13,Hypothèses!$A$13,IF(B273&lt;=Hypothèses!$C$14,Hypothèses!$A$14,IF(B273&lt;=Hypothèses!$C$15,Hypothèses!$A$15,IF(B273&lt;=Hypothèses!$C$16,Hypothèses!$A$16,IF(B273&lt;=Hypothèses!$C$17,Hypothèses!$A$17,IF(B273&lt;=Hypothèses!$C$18,Hypothèses!$A$18,C272))))))))))))</f>
        <v>11</v>
      </c>
      <c r="D273" s="82" t="str">
        <f>IF(B273&lt;=Hypothèses!$C$7,Hypothèses!$R$7,IF(B273&lt;=Hypothèses!$C$8,Hypothèses!$R$8,IF(B273&lt;=Hypothèses!$C$9,Hypothèses!$R$9,IF(B273&lt;=Hypothèses!$C$10,Hypothèses!$R$10,IF(B273&lt;=Hypothèses!$C$11,Hypothèses!$R$11,IF(B273&lt;=Hypothèses!$C$12,Hypothèses!$R$12,IF(B273&lt;=Hypothèses!$C$13,Hypothèses!$R$13,IF(B273&lt;=Hypothèses!$C$14,Hypothèses!$R$14,IF(B273&lt;=Hypothèses!$C$15,Hypothèses!$R$15,IF(B273&lt;=Hypothèses!$C$16,Hypothèses!$R$16,IF(B273&lt;=Hypothèses!$C$17,Hypothèses!$R$17,IF(B273&lt;=Hypothèses!$C$18,Hypothèses!$R$18,D272))))))))))))</f>
        <v>Pressio.</v>
      </c>
      <c r="E273" s="82" t="e">
        <f>IF(B273&lt;=Hypothèses!$C$7,Hypothèses!$G$7,IF(B273&lt;=Hypothèses!$C$8,Hypothèses!$G$8,IF(B273&lt;=Hypothèses!$C$9,Hypothèses!$G$9,IF(B273&lt;=Hypothèses!$C$10,Hypothèses!$G$10,IF(B273&lt;=Hypothèses!$C$11,Hypothèses!$G$11,IF(B273&lt;=Hypothèses!$C$12,Hypothèses!$G$12,IF(B273&lt;=Hypothèses!$C$13,Hypothèses!$G$13,IF(B273&lt;=Hypothèses!$C$14,Hypothèses!$G$14,IF(B273&lt;=Hypothèses!$C$15,Hypothèses!$G$15,IF(B273&lt;=Hypothèses!$C$16,Hypothèses!$G$16,IF(B273&lt;=Hypothèses!$C$17,Hypothèses!$G$17,IF(B273&lt;=Hypothèses!$C$18,Hypothèses!$G$18,E272))))))))))))</f>
        <v>#N/A</v>
      </c>
      <c r="F273" s="82" t="str">
        <f>IF(B273&lt;=Hypothèses!$C$7,Hypothèses!$F$7,IF(B273&lt;=Hypothèses!$C$8,Hypothèses!$F$8,IF(B273&lt;=Hypothèses!$C$9,Hypothèses!$F$9,IF(B273&lt;=Hypothèses!$C$10,Hypothèses!$F$10,IF(B273&lt;=Hypothèses!$C$11,Hypothèses!$F$11,IF(B273&lt;=Hypothèses!$C$12,Hypothèses!$F$12,IF(B273&lt;=Hypothèses!$C$13,Hypothèses!$F$13,IF(B273&lt;=Hypothèses!$C$14,Hypothèses!$F$14,IF(B273&lt;=Hypothèses!$C$15,Hypothèses!$F$15,IF(B273&lt;=Hypothèses!$C$16,Hypothèses!$F$16,IF(B273&lt;=Hypothèses!$C$17,Hypothèses!$F$17,IF(B273&lt;=Hypothèses!$C$18,Hypothèses!$F$18,F272))))))))))))</f>
        <v/>
      </c>
      <c r="G273" s="91">
        <f t="array" ref="G273">INDEX('Coeff EC7'!$U$7:$X$27,
MATCH(Model0.1C!$B$3,'Coeff EC7'!$T$7:$T$27,0),
MATCH(Model0.1C!$D273&amp;Model0.1C!$B$4,
'Coeff EC7'!$U$6:$X$6&amp;
'Coeff EC7'!$U$5:$X$5,0))</f>
        <v>1.1499999999999999</v>
      </c>
      <c r="H273" s="91">
        <f t="array" ref="H273">INDEX('Coeff EC7'!$Y$7:$AB$27,
MATCH(Model0.1C!$B$3,'Coeff EC7'!$T$7:$T$27,0),
MATCH(Model0.1C!$D273&amp;Model0.1C!$B$4,
'Coeff EC7'!$Y$6:$AB$6&amp;
'Coeff EC7'!$Y$5:$AB$5,0))</f>
        <v>1.4</v>
      </c>
      <c r="I273" s="83" t="e">
        <f>IF(B273&lt;=Hypothèses!$C$7,Hypothèses!$P$7,IF(B273&lt;=Hypothèses!$C$8,Hypothèses!$P$8,IF(B273&lt;=Hypothèses!$C$9,Hypothèses!$P$9,IF(B273&lt;=Hypothèses!$C$10,Hypothèses!$P$10,IF(B273&lt;=Hypothèses!$C$11,Hypothèses!$P$11,IF(B273&lt;=Hypothèses!$C$12,Hypothèses!$P$12,IF(B273&lt;=Hypothèses!$C$13,Hypothèses!$P$13,IF(B273&lt;=Hypothèses!$C$14,Hypothèses!$P$14,IF(B273&lt;=Hypothèses!$C$15,Hypothèses!$P$15,IF(B273&lt;=Hypothèses!$C$16,Hypothèses!$P$16,IF(B273&lt;=Hypothèses!$C$17,Hypothèses!$P$17,IF(B273&lt;=Hypothèses!$C$18,Hypothèses!$P$18,I272))))))))))))</f>
        <v>#N/A</v>
      </c>
      <c r="J273" s="91" t="e">
        <f t="array" ref="J273">INDEX('Coeff EC7'!$D$33:$Q$33,1,MATCH(D273&amp;E273,'Coeff EC7'!$D$31:$Q$31&amp;'Coeff EC7'!$D$32:$Q$32,0))</f>
        <v>#N/A</v>
      </c>
      <c r="K273" s="91" t="e">
        <f t="array" ref="K273">INDEX('Coeff EC7'!$D$34:$Q$34,1,MATCH(D273&amp;E273,'Coeff EC7'!$D$31:$Q$31&amp;'Coeff EC7'!$D$32:$Q$32,0))</f>
        <v>#N/A</v>
      </c>
      <c r="L273" s="91" t="e">
        <f t="array" ref="L273">INDEX('Coeff EC7'!$D$35:$Q$35,1,MATCH(D273&amp;E273,'Coeff EC7'!$D$31:$Q$31&amp;'Coeff EC7'!$D$32:$Q$32,0))</f>
        <v>#N/A</v>
      </c>
      <c r="M273" s="98" t="e">
        <f t="shared" si="431"/>
        <v>#N/A</v>
      </c>
      <c r="N273" s="99" t="e">
        <f t="array" ref="N273">INDEX('Coeff EC7'!$D$7:$Q$27,MATCH($B$3,'Coeff EC7'!$C$7:$C$27,0),MATCH(D273&amp;E273,'Coeff EC7'!$D$5:$Q$5&amp;'Coeff EC7'!$D$6:$Q$6,0))</f>
        <v>#N/A</v>
      </c>
      <c r="O273" s="99" t="e">
        <f t="array" ref="O273">INDEX('Coeff EC7'!$D$41:$Q$61,MATCH($B$3,'Coeff EC7'!$C$41:$C$61,0),MATCH(D273&amp;E273,'Coeff EC7'!$D$39:$Q$39&amp;'Coeff EC7'!$D$40:$Q$40,0))</f>
        <v>#N/A</v>
      </c>
      <c r="P273" s="30" t="e">
        <f t="shared" si="468"/>
        <v>#N/A</v>
      </c>
      <c r="Q273" s="100" t="e">
        <f t="shared" si="433"/>
        <v>#N/A</v>
      </c>
      <c r="R273" s="86" t="b">
        <f t="shared" si="434"/>
        <v>0</v>
      </c>
      <c r="S273" s="86">
        <f t="shared" si="432"/>
        <v>0.5</v>
      </c>
      <c r="T273" s="86">
        <f t="shared" si="435"/>
        <v>0.5</v>
      </c>
      <c r="U273" s="30" t="e">
        <f t="shared" ca="1" si="469"/>
        <v>#DIV/0!</v>
      </c>
      <c r="V273" s="85" t="str">
        <f>IF(B273&lt;=Hypothèses!$V$7,Hypothèses!$W$7,IF(B273&lt;=Hypothèses!$V$8,Hypothèses!$W$8,IF(B273&lt;=Hypothèses!$V$9,Hypothèses!$W$9,IF(B273&lt;=Hypothèses!$V$10,Hypothèses!$W$10,IF(B273&lt;=Hypothèses!$V$11,Hypothèses!$W$11,IF(B273&lt;=Hypothèses!$V$12,Hypothèses!$W$12,IF(B273&lt;=Hypothèses!$V$13,Hypothèses!$W$13,IF(B273&lt;=Hypothèses!$V$14,Hypothèses!$W$14,IF(B273&lt;=Hypothèses!$V$15,Hypothèses!$W$15,IF(B273&lt;=Hypothèses!$V$16,Hypothèses!$W$16,IF(B273&lt;=Hypothèses!$V$17,Hypothèses!$W$17,IF(B273&lt;=Hypothèses!$V$18,Hypothèses!$W$18,""))))))))))))</f>
        <v/>
      </c>
      <c r="W273" s="87" t="e">
        <f t="shared" ref="W273:W336" ca="1" si="516">IF(V273&lt;&gt;"",V273,U273)</f>
        <v>#DIV/0!</v>
      </c>
      <c r="X273" s="88" t="str">
        <f>IF(B273&lt;=Hypothèses!$V$7,Hypothèses!$X$7,IF(B273&lt;=Hypothèses!$V$8,Hypothèses!$X$8,IF(B273&lt;=Hypothèses!$V$9,Hypothèses!$X$9,IF(B273&lt;=Hypothèses!$V$10,Hypothèses!$X$10,IF(B273&lt;=Hypothèses!$V$11,Hypothèses!$X$11,IF(B273&lt;=Hypothèses!$V$12,Hypothèses!$X$12,IF(B273&lt;=Hypothèses!$V$13,Hypothèses!$X$13,IF(B273&lt;=Hypothèses!$V$14,Hypothèses!$X$14,IF(B273&lt;=Hypothèses!$V$15,Hypothèses!$X$15,IF(B273&lt;=Hypothèses!$V$16,Hypothèses!$X$16,IF(B273&lt;=Hypothèses!$U$17,Hypothèses!$W$17,IF(B273&lt;=Hypothèses!$U$18,Hypothèses!$W$18,""))))))))))))</f>
        <v/>
      </c>
      <c r="Y273" s="95" t="e">
        <f t="shared" ca="1" si="436"/>
        <v>#DIV/0!</v>
      </c>
      <c r="Z273" s="101" t="e">
        <f t="shared" si="437"/>
        <v>#N/A</v>
      </c>
      <c r="AA273" s="91" t="e">
        <f t="shared" si="438"/>
        <v>#N/A</v>
      </c>
      <c r="AB273" s="30" t="e">
        <f t="shared" si="500"/>
        <v>#N/A</v>
      </c>
      <c r="AC273" s="30" t="e">
        <f t="shared" si="501"/>
        <v>#N/A</v>
      </c>
      <c r="AD273" s="31" t="e">
        <f>IF(OR(Hypothèses!$B$4=17,Hypothèses!$B$4=18,Hypothèses!$B$4=19,Hypothèses!$B$4=20),
IF($D273="Pressio.",
IF(OR($E273=3,$E273=1,$E273=4),AC273,AB273),
IF($D273="Pénétro.",
IF(OR($E273=3,$E273=1,$E273=4),AC273,AB273))),IF($D273="Pressio.",
IF($E273=3,AC273,AB273),
IF($D273="Pénétro.",
IF($E273=4,AC273,AB273))))</f>
        <v>#N/A</v>
      </c>
      <c r="AE273" s="31" t="e">
        <f>(IF(OR(Hypothèses!$B$4=17,Hypothèses!$B$4=18,Hypothèses!$B$4=19,Hypothèses!$B$4=20),
IF($D273="Pressio.",
IF(OR($E273=3,$E273=1,$E273=4),(PI()*AE$12^2)/4*(AA273*$W273*1000)/($H273*$B$5),(PI()*AE$12^2)/4*(AA273*$W273*1000)/($G273*$B$5)),
IF($D273="Pénétro.",
IF(OR($E273=4,$E273=1,$E273=5),(PI()*AE$12^2)/4*(AA273*$W273*1000)/($H273*$B$5),(PI()*AE$12^2)/4*(AA273*$W273*1000)/($G273*$B$5)))),
IF($D273="Pressio.",
IF($E273=3,(PI()*AE$12^2)/4*(AA273*$W273*1000)/($H273*$B$5),(PI()*AE$12^2)/4*(AA273*$W273*1000)/($G273*$B$5)),
IF($D273="Pénétro.",
IF($E273=4,(PI()*AE$12^2)/4*(AA273*$W273*1000)/($H273*$B$5),(PI()*AE$12^2)/4*(AA273*$W273*1000)/($G273*$B$5))))))/10</f>
        <v>#N/A</v>
      </c>
      <c r="AF273" s="102" t="e">
        <f>(VLOOKUP($B$3,'Coeff EC7'!$T$39:$X$59,2,0)*AD273+VLOOKUP($B$3,'Coeff EC7'!$T$65:$X$85,2,0)*Model0.1C!AE273)/1.1</f>
        <v>#N/A</v>
      </c>
      <c r="AG273" s="102" t="e">
        <f>(VLOOKUP($B$3,'Coeff EC7'!$T$39:$X$59,3,0)*AD273+VLOOKUP($B$3,'Coeff EC7'!$T$65:$X$85,3,0)*Model0.1C!AE273)/0.9</f>
        <v>#N/A</v>
      </c>
      <c r="AH273" s="102" t="e">
        <f t="shared" si="439"/>
        <v>#N/A</v>
      </c>
      <c r="AI273" s="102" t="e">
        <f t="shared" si="440"/>
        <v>#N/A</v>
      </c>
      <c r="AJ273" s="414" t="e">
        <f>IF(AJ272=0,0,IF(AND(AF273&gt;charge_ELS_quasi,AG273&gt;Charge_ELS_freq,AH273&gt;charge_ELU,AI273&gt;charge_ELA,$B273&gt;NDC!$H$22-0.1+MIN(3*$AJ$12,1.5)),0,1))</f>
        <v>#N/A</v>
      </c>
      <c r="AK273" s="86" t="b">
        <f t="shared" si="441"/>
        <v>0</v>
      </c>
      <c r="AL273" s="86">
        <f t="shared" si="470"/>
        <v>0.5</v>
      </c>
      <c r="AM273" s="86">
        <f t="shared" si="442"/>
        <v>0.5</v>
      </c>
      <c r="AN273" s="30" t="e">
        <f t="shared" ca="1" si="471"/>
        <v>#DIV/0!</v>
      </c>
      <c r="AO273" s="85" t="e">
        <f ca="1">IF(U273&lt;=Hypothèses!$V$7,Hypothèses!$W$7,IF(U273&lt;=Hypothèses!$V$8,Hypothèses!$W$8,IF(U273&lt;=Hypothèses!$V$9,Hypothèses!$W$9,IF(U273&lt;=Hypothèses!$V$10,Hypothèses!$W$10,IF(U273&lt;=Hypothèses!$V$11,Hypothèses!$W$11,IF(U273&lt;=Hypothèses!$V$12,Hypothèses!$W$12,IF(U273&lt;=Hypothèses!$V$13,Hypothèses!$W$13,IF(U273&lt;=Hypothèses!$V$14,Hypothèses!$W$14,IF(U273&lt;=Hypothèses!$V$15,Hypothèses!$W$15,IF(U273&lt;=Hypothèses!$V$16,Hypothèses!$W$16,IF(U273&lt;=Hypothèses!$V$17,Hypothèses!$W$17,IF(U273&lt;=Hypothèses!$V$18,Hypothèses!$W$18,""))))))))))))</f>
        <v>#DIV/0!</v>
      </c>
      <c r="AP273" s="87" t="e">
        <f t="shared" ref="AP273:AP336" ca="1" si="517">IF(AO273&lt;&gt;"",AO273,AN273)</f>
        <v>#DIV/0!</v>
      </c>
      <c r="AQ273" s="88" t="e">
        <f ca="1">IF(U273&lt;=Hypothèses!$V$7,Hypothèses!$X$7,IF(U273&lt;=Hypothèses!$V$8,Hypothèses!$X$8,IF(U273&lt;=Hypothèses!$V$9,Hypothèses!$X$9,IF(U273&lt;=Hypothèses!$V$10,Hypothèses!$X$10,IF(U273&lt;=Hypothèses!$V$11,Hypothèses!$X$11,IF(U273&lt;=Hypothèses!$V$12,Hypothèses!$X$12,IF(U273&lt;=Hypothèses!$V$13,Hypothèses!$X$13,IF(U273&lt;=Hypothèses!$V$14,Hypothèses!$X$14,IF(U273&lt;=Hypothèses!$V$15,Hypothèses!$X$15,IF(U273&lt;=Hypothèses!$V$16,Hypothèses!$X$16,IF(U273&lt;=Hypothèses!$U$17,Hypothèses!$W$17,IF(U273&lt;=Hypothèses!$U$18,Hypothèses!$W$18,""))))))))))))</f>
        <v>#DIV/0!</v>
      </c>
      <c r="AR273" s="95" t="e">
        <f t="shared" ca="1" si="472"/>
        <v>#DIV/0!</v>
      </c>
      <c r="AS273" s="101" t="e">
        <f t="shared" si="424"/>
        <v>#N/A</v>
      </c>
      <c r="AT273" s="91" t="e">
        <f t="shared" si="443"/>
        <v>#N/A</v>
      </c>
      <c r="AU273" s="30" t="e">
        <f t="shared" si="502"/>
        <v>#N/A</v>
      </c>
      <c r="AV273" s="30" t="e">
        <f t="shared" si="503"/>
        <v>#N/A</v>
      </c>
      <c r="AW273" s="31" t="e">
        <f>IF(OR(Hypothèses!$B$4=17,Hypothèses!$B$4=18,Hypothèses!$B$4=19,Hypothèses!$B$4=20),
IF($D273="Pressio.",
IF(OR($E273=3,$E273=1,$E273=4),AV273,AU273),
IF($D273="Pénétro.",
IF(OR($E273=3,$E273=1,$E273=4),AV273,AU273))),IF($D273="Pressio.",
IF($E273=3,AV273,AU273),
IF($D273="Pénétro.",
IF($E273=4,AV273,AU273))))</f>
        <v>#N/A</v>
      </c>
      <c r="AX273" s="31" t="e">
        <f>(IF(OR(Hypothèses!$B$4=17,Hypothèses!$B$4=18,Hypothèses!$B$4=19,Hypothèses!$B$4=20),
IF($D273="Pressio.",
IF(OR($E273=3,$E273=1,$E273=4),(PI()*AX$12^2)/4*(AT273*$W273*1000)/($H273*$B$5),(PI()*AX$12^2)/4*(AT273*$W273*1000)/($G273*$B$5)),
IF($D273="Pénétro.",
IF(OR($E273=4,$E273=1,$E273=5),(PI()*AX$12^2)/4*(AT273*$W273*1000)/($H273*$B$5),(PI()*AX$12^2)/4*(AT273*$W273*1000)/($G273*$B$5)))),
IF($D273="Pressio.",
IF($E273=3,(PI()*AX$12^2)/4*(AT273*$W273*1000)/($H273*$B$5),(PI()*AX$12^2)/4*(AT273*$W273*1000)/($G273*$B$5)),
IF($D273="Pénétro.",
IF($E273=4,(PI()*AX$12^2)/4*(AT273*$W273*1000)/($H273*$B$5),(PI()*AX$12^2)/4*(AT273*$W273*1000)/($G273*$B$5))))))/10</f>
        <v>#N/A</v>
      </c>
      <c r="AY273" s="102" t="e">
        <f>(VLOOKUP($B$3,'Coeff EC7'!$T$39:$X$59,2,0)*AW273+VLOOKUP($B$3,'Coeff EC7'!$T$65:$X$85,2,0)*Model0.1C!AX273)/1.1</f>
        <v>#N/A</v>
      </c>
      <c r="AZ273" s="102" t="e">
        <f>(VLOOKUP($B$3,'Coeff EC7'!$T$39:$X$59,3,0)*AW273+VLOOKUP($B$3,'Coeff EC7'!$T$65:$X$85,3,0)*Model0.1C!AX273)/0.9</f>
        <v>#N/A</v>
      </c>
      <c r="BA273" s="102" t="e">
        <f t="shared" si="473"/>
        <v>#N/A</v>
      </c>
      <c r="BB273" s="102" t="e">
        <f t="shared" si="474"/>
        <v>#N/A</v>
      </c>
      <c r="BC273" s="414" t="e">
        <f>IF(BC272=0,0,IF(AND(AY273&gt;charge_ELS_quasi,AZ273&gt;Charge_ELS_freq,BA273&gt;charge_ELU,BB273&gt;charge_ELA,$B273&gt;NDC!$H$22-0.1+MIN(3*$BC$12,1.5)),0,1))</f>
        <v>#N/A</v>
      </c>
      <c r="BD273" s="86" t="b">
        <f t="shared" si="444"/>
        <v>0</v>
      </c>
      <c r="BE273" s="86">
        <f t="shared" si="475"/>
        <v>0.5</v>
      </c>
      <c r="BF273" s="86">
        <f t="shared" si="445"/>
        <v>0.5</v>
      </c>
      <c r="BG273" s="30" t="e">
        <f t="shared" ca="1" si="476"/>
        <v>#DIV/0!</v>
      </c>
      <c r="BH273" s="85" t="e">
        <f ca="1">IF(AN273&lt;=Hypothèses!$V$7,Hypothèses!$W$7,IF(AN273&lt;=Hypothèses!$V$8,Hypothèses!$W$8,IF(AN273&lt;=Hypothèses!$V$9,Hypothèses!$W$9,IF(AN273&lt;=Hypothèses!$V$10,Hypothèses!$W$10,IF(AN273&lt;=Hypothèses!$V$11,Hypothèses!$W$11,IF(AN273&lt;=Hypothèses!$V$12,Hypothèses!$W$12,IF(AN273&lt;=Hypothèses!$V$13,Hypothèses!$W$13,IF(AN273&lt;=Hypothèses!$V$14,Hypothèses!$W$14,IF(AN273&lt;=Hypothèses!$V$15,Hypothèses!$W$15,IF(AN273&lt;=Hypothèses!$V$16,Hypothèses!$W$16,IF(AN273&lt;=Hypothèses!$V$17,Hypothèses!$W$17,IF(AN273&lt;=Hypothèses!$V$18,Hypothèses!$W$18,""))))))))))))</f>
        <v>#DIV/0!</v>
      </c>
      <c r="BI273" s="87" t="e">
        <f t="shared" ref="BI273:BI336" ca="1" si="518">IF(BH273&lt;&gt;"",BH273,BG273)</f>
        <v>#DIV/0!</v>
      </c>
      <c r="BJ273" s="88" t="e">
        <f ca="1">IF(AN273&lt;=Hypothèses!$V$7,Hypothèses!$X$7,IF(AN273&lt;=Hypothèses!$V$8,Hypothèses!$X$8,IF(AN273&lt;=Hypothèses!$V$9,Hypothèses!$X$9,IF(AN273&lt;=Hypothèses!$V$10,Hypothèses!$X$10,IF(AN273&lt;=Hypothèses!$V$11,Hypothèses!$X$11,IF(AN273&lt;=Hypothèses!$V$12,Hypothèses!$X$12,IF(AN273&lt;=Hypothèses!$V$13,Hypothèses!$X$13,IF(AN273&lt;=Hypothèses!$V$14,Hypothèses!$X$14,IF(AN273&lt;=Hypothèses!$V$15,Hypothèses!$X$15,IF(AN273&lt;=Hypothèses!$V$16,Hypothèses!$X$16,IF(AN273&lt;=Hypothèses!$U$17,Hypothèses!$W$17,IF(AN273&lt;=Hypothèses!$U$18,Hypothèses!$W$18,""))))))))))))</f>
        <v>#DIV/0!</v>
      </c>
      <c r="BK273" s="95" t="e">
        <f t="shared" ca="1" si="477"/>
        <v>#DIV/0!</v>
      </c>
      <c r="BL273" s="101" t="e">
        <f t="shared" si="425"/>
        <v>#N/A</v>
      </c>
      <c r="BM273" s="91" t="e">
        <f t="shared" si="446"/>
        <v>#N/A</v>
      </c>
      <c r="BN273" s="30" t="e">
        <f t="shared" si="504"/>
        <v>#N/A</v>
      </c>
      <c r="BO273" s="30" t="e">
        <f t="shared" si="505"/>
        <v>#N/A</v>
      </c>
      <c r="BP273" s="31" t="e">
        <f>IF(OR(Hypothèses!$B$4=17,Hypothèses!$B$4=18,Hypothèses!$B$4=19,Hypothèses!$B$4=20),
IF($D273="Pressio.",
IF(OR($E273=3,$E273=1,$E273=4),BO273,BN273),
IF($D273="Pénétro.",
IF(OR($E273=3,$E273=1,$E273=4),BO273,BN273))),IF($D273="Pressio.",
IF($E273=3,BO273,BN273),
IF($D273="Pénétro.",
IF($E273=4,BO273,BN273))))</f>
        <v>#N/A</v>
      </c>
      <c r="BQ273" s="31" t="e">
        <f>(IF(OR(Hypothèses!$B$4=17,Hypothèses!$B$4=18,Hypothèses!$B$4=19,Hypothèses!$B$4=20),
IF($D273="Pressio.",
IF(OR($E273=3,$E273=1,$E273=4),(PI()*BQ$12^2)/4*(BM273*$W273*1000)/($H273*$B$5),(PI()*BQ$12^2)/4*(BM273*$W273*1000)/($G273*$B$5)),
IF($D273="Pénétro.",
IF(OR($E273=4,$E273=1,$E273=5),(PI()*BQ$12^2)/4*(BM273*$W273*1000)/($H273*$B$5),(PI()*BQ$12^2)/4*(BM273*$W273*1000)/($G273*$B$5)))),
IF($D273="Pressio.",
IF($E273=3,(PI()*BQ$12^2)/4*(BM273*$W273*1000)/($H273*$B$5),(PI()*BQ$12^2)/4*(BM273*$W273*1000)/($G273*$B$5)),
IF($D273="Pénétro.",
IF($E273=4,(PI()*BQ$12^2)/4*(BM273*$W273*1000)/($H273*$B$5),(PI()*BQ$12^2)/4*(BM273*$W273*1000)/($G273*$B$5))))))/10</f>
        <v>#N/A</v>
      </c>
      <c r="BR273" s="102" t="e">
        <f>(VLOOKUP($B$3,'Coeff EC7'!$T$39:$X$59,2,0)*BP273+VLOOKUP($B$3,'Coeff EC7'!$T$65:$X$85,2,0)*Model0.1C!BQ273)/1.1</f>
        <v>#N/A</v>
      </c>
      <c r="BS273" s="102" t="e">
        <f>(VLOOKUP($B$3,'Coeff EC7'!$T$39:$X$59,3,0)*BP273+VLOOKUP($B$3,'Coeff EC7'!$T$65:$X$85,3,0)*Model0.1C!BQ273)/0.9</f>
        <v>#N/A</v>
      </c>
      <c r="BT273" s="102" t="e">
        <f t="shared" si="478"/>
        <v>#N/A</v>
      </c>
      <c r="BU273" s="102" t="e">
        <f t="shared" si="479"/>
        <v>#N/A</v>
      </c>
      <c r="BV273" s="414" t="e">
        <f>IF(BV272=0,0,IF(AND(BR273&gt;charge_ELS_quasi,BS273&gt;Charge_ELS_freq,BT273&gt;charge_ELU,BU273&gt;charge_ELA,$B273&gt;NDC!$H$22-0.1+MIN(3*$BV$12,1.5)),0,1))</f>
        <v>#N/A</v>
      </c>
      <c r="BW273" s="86" t="b">
        <f t="shared" si="447"/>
        <v>0</v>
      </c>
      <c r="BX273" s="86">
        <f t="shared" si="448"/>
        <v>0.5</v>
      </c>
      <c r="BY273" s="86">
        <f t="shared" si="449"/>
        <v>0.5</v>
      </c>
      <c r="BZ273" s="30" t="e">
        <f t="shared" ca="1" si="480"/>
        <v>#DIV/0!</v>
      </c>
      <c r="CA273" s="85" t="e">
        <f ca="1">IF(BG273&lt;=Hypothèses!$V$7,Hypothèses!$W$7,IF(BG273&lt;=Hypothèses!$V$8,Hypothèses!$W$8,IF(BG273&lt;=Hypothèses!$V$9,Hypothèses!$W$9,IF(BG273&lt;=Hypothèses!$V$10,Hypothèses!$W$10,IF(BG273&lt;=Hypothèses!$V$11,Hypothèses!$W$11,IF(BG273&lt;=Hypothèses!$V$12,Hypothèses!$W$12,IF(BG273&lt;=Hypothèses!$V$13,Hypothèses!$W$13,IF(BG273&lt;=Hypothèses!$V$14,Hypothèses!$W$14,IF(BG273&lt;=Hypothèses!$V$15,Hypothèses!$W$15,IF(BG273&lt;=Hypothèses!$V$16,Hypothèses!$W$16,IF(BG273&lt;=Hypothèses!$V$17,Hypothèses!$W$17,IF(BG273&lt;=Hypothèses!$V$18,Hypothèses!$W$18,""))))))))))))</f>
        <v>#DIV/0!</v>
      </c>
      <c r="CB273" s="87" t="e">
        <f t="shared" ref="CB273:CB336" ca="1" si="519">IF(CA273&lt;&gt;"",CA273,BZ273)</f>
        <v>#DIV/0!</v>
      </c>
      <c r="CC273" s="88" t="e">
        <f ca="1">IF(BG273&lt;=Hypothèses!$V$7,Hypothèses!$X$7,IF(BG273&lt;=Hypothèses!$V$8,Hypothèses!$X$8,IF(BG273&lt;=Hypothèses!$V$9,Hypothèses!$X$9,IF(BG273&lt;=Hypothèses!$V$10,Hypothèses!$X$10,IF(BG273&lt;=Hypothèses!$V$11,Hypothèses!$X$11,IF(BG273&lt;=Hypothèses!$V$12,Hypothèses!$X$12,IF(BG273&lt;=Hypothèses!$V$13,Hypothèses!$X$13,IF(BG273&lt;=Hypothèses!$V$14,Hypothèses!$X$14,IF(BG273&lt;=Hypothèses!$V$15,Hypothèses!$X$15,IF(BG273&lt;=Hypothèses!$V$16,Hypothèses!$X$16,IF(BG273&lt;=Hypothèses!$U$17,Hypothèses!$W$17,IF(BG273&lt;=Hypothèses!$U$18,Hypothèses!$W$18,""))))))))))))</f>
        <v>#DIV/0!</v>
      </c>
      <c r="CD273" s="95" t="e">
        <f t="shared" ca="1" si="481"/>
        <v>#DIV/0!</v>
      </c>
      <c r="CE273" s="101" t="e">
        <f t="shared" si="426"/>
        <v>#N/A</v>
      </c>
      <c r="CF273" s="91" t="e">
        <f t="shared" si="450"/>
        <v>#N/A</v>
      </c>
      <c r="CG273" s="30" t="e">
        <f t="shared" si="506"/>
        <v>#N/A</v>
      </c>
      <c r="CH273" s="30" t="e">
        <f t="shared" si="507"/>
        <v>#N/A</v>
      </c>
      <c r="CI273" s="31" t="e">
        <f>IF(OR(Hypothèses!$B$4=17,Hypothèses!$B$4=18,Hypothèses!$B$4=19,Hypothèses!$B$4=20),
IF($D273="Pressio.",
IF(OR($E273=3,$E273=1,$E273=4),CH273,CG273),
IF($D273="Pénétro.",
IF(OR($E273=3,$E273=1,$E273=4),CH273,CG273))),IF($D273="Pressio.",
IF($E273=3,CH273,CG273),
IF($D273="Pénétro.",
IF($E273=4,CH273,CG273))))</f>
        <v>#N/A</v>
      </c>
      <c r="CJ273" s="31" t="e">
        <f>(IF(OR(Hypothèses!$B$4=17,Hypothèses!$B$4=18,Hypothèses!$B$4=19,Hypothèses!$B$4=20),
IF($D273="Pressio.",
IF(OR($E273=3,$E273=1,$E273=4),(PI()*CJ$12^2)/4*(CF273*$W273*1000)/($H273*$B$5),(PI()*CJ$12^2)/4*(CF273*$W273*1000)/($G273*$B$5)),
IF($D273="Pénétro.",
IF(OR($E273=4,$E273=1,$E273=5),(PI()*CJ$12^2)/4*(CF273*$W273*1000)/($H273*$B$5),(PI()*CJ$12^2)/4*(CF273*$W273*1000)/($G273*$B$5)))),
IF($D273="Pressio.",
IF($E273=3,(PI()*CJ$12^2)/4*(CF273*$W273*1000)/($H273*$B$5),(PI()*CJ$12^2)/4*(CF273*$W273*1000)/($G273*$B$5)),
IF($D273="Pénétro.",
IF($E273=4,(PI()*CJ$12^2)/4*(CF273*$W273*1000)/($H273*$B$5),(PI()*CJ$12^2)/4*(CF273*$W273*1000)/($G273*$B$5))))))/10</f>
        <v>#N/A</v>
      </c>
      <c r="CK273" s="102" t="e">
        <f>(VLOOKUP($B$3,'Coeff EC7'!$T$39:$X$59,2,0)*CI273+VLOOKUP($B$3,'Coeff EC7'!$T$65:$X$85,2,0)*Model0.1C!CJ273)/1.1</f>
        <v>#N/A</v>
      </c>
      <c r="CL273" s="102" t="e">
        <f>(VLOOKUP($B$3,'Coeff EC7'!$T$39:$X$59,3,0)*CI273+VLOOKUP($B$3,'Coeff EC7'!$T$65:$X$85,3,0)*Model0.1C!CJ273)/0.9</f>
        <v>#N/A</v>
      </c>
      <c r="CM273" s="102" t="e">
        <f t="shared" si="482"/>
        <v>#N/A</v>
      </c>
      <c r="CN273" s="102" t="e">
        <f t="shared" si="483"/>
        <v>#N/A</v>
      </c>
      <c r="CO273" s="414" t="e">
        <f>IF(CO272=0,0,IF(AND(CK273&gt;charge_ELS_quasi,CL273&gt;Charge_ELS_freq,CM273&gt;charge_ELU,CN273&gt;charge_ELA,$B273&gt;NDC!$H$22-0.1+MIN(3*$CO$12,1.5)),0,1))</f>
        <v>#N/A</v>
      </c>
      <c r="CP273" s="86" t="b">
        <f t="shared" si="451"/>
        <v>0</v>
      </c>
      <c r="CQ273" s="86">
        <f t="shared" si="452"/>
        <v>0.5</v>
      </c>
      <c r="CR273" s="86">
        <f t="shared" si="453"/>
        <v>0.5</v>
      </c>
      <c r="CS273" s="30" t="e">
        <f t="shared" ca="1" si="484"/>
        <v>#DIV/0!</v>
      </c>
      <c r="CT273" s="85" t="e">
        <f ca="1">IF(BZ273&lt;=Hypothèses!$V$7,Hypothèses!$W$7,IF(BZ273&lt;=Hypothèses!$V$8,Hypothèses!$W$8,IF(BZ273&lt;=Hypothèses!$V$9,Hypothèses!$W$9,IF(BZ273&lt;=Hypothèses!$V$10,Hypothèses!$W$10,IF(BZ273&lt;=Hypothèses!$V$11,Hypothèses!$W$11,IF(BZ273&lt;=Hypothèses!$V$12,Hypothèses!$W$12,IF(BZ273&lt;=Hypothèses!$V$13,Hypothèses!$W$13,IF(BZ273&lt;=Hypothèses!$V$14,Hypothèses!$W$14,IF(BZ273&lt;=Hypothèses!$V$15,Hypothèses!$W$15,IF(BZ273&lt;=Hypothèses!$V$16,Hypothèses!$W$16,IF(BZ273&lt;=Hypothèses!$V$17,Hypothèses!$W$17,IF(BZ273&lt;=Hypothèses!$V$18,Hypothèses!$W$18,""))))))))))))</f>
        <v>#DIV/0!</v>
      </c>
      <c r="CU273" s="87" t="e">
        <f t="shared" ref="CU273:CU336" ca="1" si="520">IF(CT273&lt;&gt;"",CT273,CS273)</f>
        <v>#DIV/0!</v>
      </c>
      <c r="CV273" s="88" t="e">
        <f ca="1">IF(BZ273&lt;=Hypothèses!$V$7,Hypothèses!$X$7,IF(BZ273&lt;=Hypothèses!$V$8,Hypothèses!$X$8,IF(BZ273&lt;=Hypothèses!$V$9,Hypothèses!$X$9,IF(BZ273&lt;=Hypothèses!$V$10,Hypothèses!$X$10,IF(BZ273&lt;=Hypothèses!$V$11,Hypothèses!$X$11,IF(BZ273&lt;=Hypothèses!$V$12,Hypothèses!$X$12,IF(BZ273&lt;=Hypothèses!$V$13,Hypothèses!$X$13,IF(BZ273&lt;=Hypothèses!$V$14,Hypothèses!$X$14,IF(BZ273&lt;=Hypothèses!$V$15,Hypothèses!$X$15,IF(BZ273&lt;=Hypothèses!$V$16,Hypothèses!$X$16,IF(BZ273&lt;=Hypothèses!$U$17,Hypothèses!$W$17,IF(BZ273&lt;=Hypothèses!$U$18,Hypothèses!$W$18,""))))))))))))</f>
        <v>#DIV/0!</v>
      </c>
      <c r="CW273" s="95" t="e">
        <f t="shared" ca="1" si="485"/>
        <v>#DIV/0!</v>
      </c>
      <c r="CX273" s="101" t="e">
        <f t="shared" si="427"/>
        <v>#N/A</v>
      </c>
      <c r="CY273" s="91" t="e">
        <f t="shared" si="454"/>
        <v>#N/A</v>
      </c>
      <c r="CZ273" s="30" t="e">
        <f t="shared" si="508"/>
        <v>#N/A</v>
      </c>
      <c r="DA273" s="30" t="e">
        <f t="shared" si="509"/>
        <v>#N/A</v>
      </c>
      <c r="DB273" s="31" t="e">
        <f>IF(OR(Hypothèses!$B$4=17,Hypothèses!$B$4=18,Hypothèses!$B$4=19,Hypothèses!$B$4=20),
IF($D273="Pressio.",
IF(OR($E273=3,$E273=1,$E273=4),DA273,CZ273),
IF($D273="Pénétro.",
IF(OR($E273=3,$E273=1,$E273=4),DA273,CZ273))),IF($D273="Pressio.",
IF($E273=3,DA273,CZ273),
IF($D273="Pénétro.",
IF($E273=4,DA273,CZ273))))</f>
        <v>#N/A</v>
      </c>
      <c r="DC273" s="31" t="e">
        <f>(IF(OR(Hypothèses!$B$4=17,Hypothèses!$B$4=18,Hypothèses!$B$4=19,Hypothèses!$B$4=20),
IF($D273="Pressio.",
IF(OR($E273=3,$E273=1,$E273=4),(PI()*DC$12^2)/4*(CY273*$W273*1000)/($H273*$B$5),(PI()*DC$12^2)/4*(CY273*$W273*1000)/($G273*$B$5)),
IF($D273="Pénétro.",
IF(OR($E273=4,$E273=1,$E273=5),(PI()*DC$12^2)/4*(CY273*$W273*1000)/($H273*$B$5),(PI()*DC$12^2)/4*(CY273*$W273*1000)/($G273*$B$5)))),
IF($D273="Pressio.",
IF($E273=3,(PI()*DC$12^2)/4*(CY273*$W273*1000)/($H273*$B$5),(PI()*DC$12^2)/4*(CY273*$W273*1000)/($G273*$B$5)),
IF($D273="Pénétro.",
IF($E273=4,(PI()*DC$12^2)/4*(CY273*$W273*1000)/($H273*$B$5),(PI()*DC$12^2)/4*(CY273*$W273*1000)/($G273*$B$5))))))/10</f>
        <v>#N/A</v>
      </c>
      <c r="DD273" s="102" t="e">
        <f>(VLOOKUP($B$3,'Coeff EC7'!$T$39:$X$59,2,0)*DB273+VLOOKUP($B$3,'Coeff EC7'!$T$65:$X$85,2,0)*Model0.1C!DC273)/1.1</f>
        <v>#N/A</v>
      </c>
      <c r="DE273" s="102" t="e">
        <f>(VLOOKUP($B$3,'Coeff EC7'!$T$39:$X$59,3,0)*DB273+VLOOKUP($B$3,'Coeff EC7'!$T$65:$X$85,3,0)*Model0.1C!DC273)/0.9</f>
        <v>#N/A</v>
      </c>
      <c r="DF273" s="102" t="e">
        <f t="shared" si="486"/>
        <v>#N/A</v>
      </c>
      <c r="DG273" s="102" t="e">
        <f t="shared" si="487"/>
        <v>#N/A</v>
      </c>
      <c r="DH273" s="414" t="e">
        <f>IF(DH272=0,0,IF(AND(DD273&gt;charge_ELS_quasi,DE273&gt;Charge_ELS_freq,DF273&gt;charge_ELU,DG273&gt;charge_ELA,$B273&gt;NDC!$H$22-0.1+MIN(3*$DH$12,1.5)),0,1))</f>
        <v>#N/A</v>
      </c>
      <c r="DI273" s="86" t="b">
        <f t="shared" si="455"/>
        <v>0</v>
      </c>
      <c r="DJ273" s="86">
        <f t="shared" si="456"/>
        <v>0.5</v>
      </c>
      <c r="DK273" s="86">
        <f t="shared" si="457"/>
        <v>0.5</v>
      </c>
      <c r="DL273" s="30" t="e">
        <f t="shared" ca="1" si="488"/>
        <v>#DIV/0!</v>
      </c>
      <c r="DM273" s="85" t="e">
        <f ca="1">IF(CS273&lt;=Hypothèses!$V$7,Hypothèses!$W$7,IF(CS273&lt;=Hypothèses!$V$8,Hypothèses!$W$8,IF(CS273&lt;=Hypothèses!$V$9,Hypothèses!$W$9,IF(CS273&lt;=Hypothèses!$V$10,Hypothèses!$W$10,IF(CS273&lt;=Hypothèses!$V$11,Hypothèses!$W$11,IF(CS273&lt;=Hypothèses!$V$12,Hypothèses!$W$12,IF(CS273&lt;=Hypothèses!$V$13,Hypothèses!$W$13,IF(CS273&lt;=Hypothèses!$V$14,Hypothèses!$W$14,IF(CS273&lt;=Hypothèses!$V$15,Hypothèses!$W$15,IF(CS273&lt;=Hypothèses!$V$16,Hypothèses!$W$16,IF(CS273&lt;=Hypothèses!$V$17,Hypothèses!$W$17,IF(CS273&lt;=Hypothèses!$V$18,Hypothèses!$W$18,""))))))))))))</f>
        <v>#DIV/0!</v>
      </c>
      <c r="DN273" s="87" t="e">
        <f t="shared" ref="DN273:DN336" ca="1" si="521">IF(DM273&lt;&gt;"",DM273,DL273)</f>
        <v>#DIV/0!</v>
      </c>
      <c r="DO273" s="88" t="e">
        <f ca="1">IF(CS273&lt;=Hypothèses!$V$7,Hypothèses!$X$7,IF(CS273&lt;=Hypothèses!$V$8,Hypothèses!$X$8,IF(CS273&lt;=Hypothèses!$V$9,Hypothèses!$X$9,IF(CS273&lt;=Hypothèses!$V$10,Hypothèses!$X$10,IF(CS273&lt;=Hypothèses!$V$11,Hypothèses!$X$11,IF(CS273&lt;=Hypothèses!$V$12,Hypothèses!$X$12,IF(CS273&lt;=Hypothèses!$V$13,Hypothèses!$X$13,IF(CS273&lt;=Hypothèses!$V$14,Hypothèses!$X$14,IF(CS273&lt;=Hypothèses!$V$15,Hypothèses!$X$15,IF(CS273&lt;=Hypothèses!$V$16,Hypothèses!$X$16,IF(CS273&lt;=Hypothèses!$U$17,Hypothèses!$W$17,IF(CS273&lt;=Hypothèses!$U$18,Hypothèses!$W$18,""))))))))))))</f>
        <v>#DIV/0!</v>
      </c>
      <c r="DP273" s="95" t="e">
        <f t="shared" ca="1" si="489"/>
        <v>#DIV/0!</v>
      </c>
      <c r="DQ273" s="101" t="e">
        <f t="shared" si="428"/>
        <v>#N/A</v>
      </c>
      <c r="DR273" s="91" t="e">
        <f t="shared" si="458"/>
        <v>#N/A</v>
      </c>
      <c r="DS273" s="30" t="e">
        <f t="shared" si="510"/>
        <v>#N/A</v>
      </c>
      <c r="DT273" s="30" t="e">
        <f t="shared" si="511"/>
        <v>#N/A</v>
      </c>
      <c r="DU273" s="31" t="e">
        <f>IF(OR(Hypothèses!$B$4=17,Hypothèses!$B$4=18,Hypothèses!$B$4=19,Hypothèses!$B$4=20),
IF($D273="Pressio.",
IF(OR($E273=3,$E273=1,$E273=4),DT273,DS273),
IF($D273="Pénétro.",
IF(OR($E273=3,$E273=1,$E273=4),DT273,DS273))),IF($D273="Pressio.",
IF($E273=3,DT273,DS273),
IF($D273="Pénétro.",
IF($E273=4,DT273,DS273))))</f>
        <v>#N/A</v>
      </c>
      <c r="DV273" s="31" t="e">
        <f>(IF(OR(Hypothèses!$B$4=17,Hypothèses!$B$4=18,Hypothèses!$B$4=19,Hypothèses!$B$4=20),
IF($D273="Pressio.",
IF(OR($E273=3,$E273=1,$E273=4),(PI()*DV$12^2)/4*(DR273*$W273*1000)/($H273*$B$5),(PI()*DV$12^2)/4*(DR273*$W273*1000)/($G273*$B$5)),
IF($D273="Pénétro.",
IF(OR($E273=4,$E273=1,$E273=5),(PI()*DV$12^2)/4*(DR273*$W273*1000)/($H273*$B$5),(PI()*DV$12^2)/4*(DR273*$W273*1000)/($G273*$B$5)))),
IF($D273="Pressio.",
IF($E273=3,(PI()*DV$12^2)/4*(DR273*$W273*1000)/($H273*$B$5),(PI()*DV$12^2)/4*(DR273*$W273*1000)/($G273*$B$5)),
IF($D273="Pénétro.",
IF($E273=4,(PI()*DV$12^2)/4*(DR273*$W273*1000)/($H273*$B$5),(PI()*DV$12^2)/4*(DR273*$W273*1000)/($G273*$B$5))))))/10</f>
        <v>#N/A</v>
      </c>
      <c r="DW273" s="102" t="e">
        <f>(VLOOKUP($B$3,'Coeff EC7'!$T$39:$X$59,2,0)*DU273+VLOOKUP($B$3,'Coeff EC7'!$T$65:$X$85,2,0)*Model0.1C!DV273)/1.1</f>
        <v>#N/A</v>
      </c>
      <c r="DX273" s="102" t="e">
        <f>(VLOOKUP($B$3,'Coeff EC7'!$T$39:$X$59,3,0)*DU273+VLOOKUP($B$3,'Coeff EC7'!$T$65:$X$85,3,0)*Model0.1C!DV273)/0.9</f>
        <v>#N/A</v>
      </c>
      <c r="DY273" s="102" t="e">
        <f t="shared" si="490"/>
        <v>#N/A</v>
      </c>
      <c r="DZ273" s="102" t="e">
        <f t="shared" si="491"/>
        <v>#N/A</v>
      </c>
      <c r="EA273" s="414" t="e">
        <f>IF(EA272=0,0,IF(AND(DW273&gt;charge_ELS_quasi,DX273&gt;Charge_ELS_freq,DY273&gt;charge_ELU,DZ273&gt;charge_ELA,$B273&gt;NDC!$H$22-0.1+MIN(3*$EA$12,1.5)),0,1))</f>
        <v>#N/A</v>
      </c>
      <c r="EB273" s="86" t="b">
        <f t="shared" si="459"/>
        <v>0</v>
      </c>
      <c r="EC273" s="418">
        <f t="shared" si="460"/>
        <v>0.51</v>
      </c>
      <c r="ED273" s="86">
        <f t="shared" si="461"/>
        <v>0.51</v>
      </c>
      <c r="EE273" s="30" t="e">
        <f t="shared" ca="1" si="492"/>
        <v>#DIV/0!</v>
      </c>
      <c r="EF273" s="85" t="e">
        <f ca="1">IF(DL273&lt;=Hypothèses!$V$7,Hypothèses!$W$7,IF(DL273&lt;=Hypothèses!$V$8,Hypothèses!$W$8,IF(DL273&lt;=Hypothèses!$V$9,Hypothèses!$W$9,IF(DL273&lt;=Hypothèses!$V$10,Hypothèses!$W$10,IF(DL273&lt;=Hypothèses!$V$11,Hypothèses!$W$11,IF(DL273&lt;=Hypothèses!$V$12,Hypothèses!$W$12,IF(DL273&lt;=Hypothèses!$V$13,Hypothèses!$W$13,IF(DL273&lt;=Hypothèses!$V$14,Hypothèses!$W$14,IF(DL273&lt;=Hypothèses!$V$15,Hypothèses!$W$15,IF(DL273&lt;=Hypothèses!$V$16,Hypothèses!$W$16,IF(DL273&lt;=Hypothèses!$V$17,Hypothèses!$W$17,IF(DL273&lt;=Hypothèses!$V$18,Hypothèses!$W$18,""))))))))))))</f>
        <v>#DIV/0!</v>
      </c>
      <c r="EG273" s="87" t="e">
        <f t="shared" ref="EG273:EG336" ca="1" si="522">IF(EF273&lt;&gt;"",EF273,EE273)</f>
        <v>#DIV/0!</v>
      </c>
      <c r="EH273" s="88" t="e">
        <f ca="1">IF(DL273&lt;=Hypothèses!$V$7,Hypothèses!$X$7,IF(DL273&lt;=Hypothèses!$V$8,Hypothèses!$X$8,IF(DL273&lt;=Hypothèses!$V$9,Hypothèses!$X$9,IF(DL273&lt;=Hypothèses!$V$10,Hypothèses!$X$10,IF(DL273&lt;=Hypothèses!$V$11,Hypothèses!$X$11,IF(DL273&lt;=Hypothèses!$V$12,Hypothèses!$X$12,IF(DL273&lt;=Hypothèses!$V$13,Hypothèses!$X$13,IF(DL273&lt;=Hypothèses!$V$14,Hypothèses!$X$14,IF(DL273&lt;=Hypothèses!$V$15,Hypothèses!$X$15,IF(DL273&lt;=Hypothèses!$V$16,Hypothèses!$X$16,IF(DL273&lt;=Hypothèses!$U$17,Hypothèses!$W$17,IF(DL273&lt;=Hypothèses!$U$18,Hypothèses!$W$18,""))))))))))))</f>
        <v>#DIV/0!</v>
      </c>
      <c r="EI273" s="95" t="e">
        <f t="shared" ca="1" si="493"/>
        <v>#DIV/0!</v>
      </c>
      <c r="EJ273" s="101" t="e">
        <f t="shared" si="429"/>
        <v>#N/A</v>
      </c>
      <c r="EK273" s="91" t="e">
        <f t="shared" si="462"/>
        <v>#N/A</v>
      </c>
      <c r="EL273" s="30" t="e">
        <f t="shared" si="512"/>
        <v>#N/A</v>
      </c>
      <c r="EM273" s="30" t="e">
        <f t="shared" si="513"/>
        <v>#N/A</v>
      </c>
      <c r="EN273" s="31" t="e">
        <f>IF(OR(Hypothèses!$B$4=17,Hypothèses!$B$4=18,Hypothèses!$B$4=19,Hypothèses!$B$4=20),
IF($D273="Pressio.",
IF(OR($E273=3,$E273=1,$E273=4),EM273,EL273),
IF($D273="Pénétro.",
IF(OR($E273=3,$E273=1,$E273=4),EM273,EL273))),IF($D273="Pressio.",
IF($E273=3,EM273,EL273),
IF($D273="Pénétro.",
IF($E273=4,EM273,EL273))))</f>
        <v>#N/A</v>
      </c>
      <c r="EO273" s="31" t="e">
        <f>(IF(OR(Hypothèses!$B$4=17,Hypothèses!$B$4=18,Hypothèses!$B$4=19,Hypothèses!$B$4=20),
IF($D273="Pressio.",
IF(OR($E273=3,$E273=1,$E273=4),(PI()*EO$12^2)/4*(EK273*$W273*1000)/($H273*$B$5),(PI()*EO$12^2)/4*(EK273*$W273*1000)/($G273*$B$5)),
IF($D273="Pénétro.",
IF(OR($E273=4,$E273=1,$E273=5),(PI()*EO$12^2)/4*(EK273*$W273*1000)/($H273*$B$5),(PI()*EO$12^2)/4*(EK273*$W273*1000)/($G273*$B$5)))),
IF($D273="Pressio.",
IF($E273=3,(PI()*EO$12^2)/4*(EK273*$W273*1000)/($H273*$B$5),(PI()*EO$12^2)/4*(EK273*$W273*1000)/($G273*$B$5)),
IF($D273="Pénétro.",
IF($E273=4,(PI()*EO$12^2)/4*(EK273*$W273*1000)/($H273*$B$5),(PI()*EO$12^2)/4*(EK273*$W273*1000)/($G273*$B$5))))))/10</f>
        <v>#N/A</v>
      </c>
      <c r="EP273" s="102" t="e">
        <f>(VLOOKUP($B$3,'Coeff EC7'!$T$39:$X$59,2,0)*EN273+VLOOKUP($B$3,'Coeff EC7'!$T$65:$X$85,2,0)*Model0.1C!EO273)/1.1</f>
        <v>#N/A</v>
      </c>
      <c r="EQ273" s="102" t="e">
        <f>(VLOOKUP($B$3,'Coeff EC7'!$T$39:$X$59,3,0)*EN273+VLOOKUP($B$3,'Coeff EC7'!$T$65:$X$85,3,0)*Model0.1C!EO273)/0.9</f>
        <v>#N/A</v>
      </c>
      <c r="ER273" s="102" t="e">
        <f t="shared" si="494"/>
        <v>#N/A</v>
      </c>
      <c r="ES273" s="102" t="e">
        <f t="shared" si="495"/>
        <v>#N/A</v>
      </c>
      <c r="ET273" s="414" t="e">
        <f>IF(ET272=0,0,IF(AND(EP273&gt;charge_ELS_quasi,EQ273&gt;Charge_ELS_freq,ER273&gt;charge_ELU,ES273&gt;charge_ELA,$B273&gt;NDC!$H$22-0.1+MIN(3*$ET$12,1.5)),0,1))</f>
        <v>#N/A</v>
      </c>
      <c r="EU273" s="86" t="b">
        <f t="shared" si="463"/>
        <v>0</v>
      </c>
      <c r="EV273" s="86">
        <f t="shared" si="464"/>
        <v>0.61</v>
      </c>
      <c r="EW273" s="86">
        <f t="shared" si="465"/>
        <v>0.61</v>
      </c>
      <c r="EX273" s="30" t="e">
        <f t="shared" ca="1" si="496"/>
        <v>#DIV/0!</v>
      </c>
      <c r="EY273" s="85" t="e">
        <f ca="1">IF(EE273&lt;=Hypothèses!$V$7,Hypothèses!$W$7,IF(EE273&lt;=Hypothèses!$V$8,Hypothèses!$W$8,IF(EE273&lt;=Hypothèses!$V$9,Hypothèses!$W$9,IF(EE273&lt;=Hypothèses!$V$10,Hypothèses!$W$10,IF(EE273&lt;=Hypothèses!$V$11,Hypothèses!$W$11,IF(EE273&lt;=Hypothèses!$V$12,Hypothèses!$W$12,IF(EE273&lt;=Hypothèses!$V$13,Hypothèses!$W$13,IF(EE273&lt;=Hypothèses!$V$14,Hypothèses!$W$14,IF(EE273&lt;=Hypothèses!$V$15,Hypothèses!$W$15,IF(EE273&lt;=Hypothèses!$V$16,Hypothèses!$W$16,IF(EE273&lt;=Hypothèses!$V$17,Hypothèses!$W$17,IF(EE273&lt;=Hypothèses!$V$18,Hypothèses!$W$18,""))))))))))))</f>
        <v>#DIV/0!</v>
      </c>
      <c r="EZ273" s="87" t="e">
        <f t="shared" ref="EZ273:EZ336" ca="1" si="523">IF(EY273&lt;&gt;"",EY273,EX273)</f>
        <v>#DIV/0!</v>
      </c>
      <c r="FA273" s="88" t="e">
        <f ca="1">IF(EE273&lt;=Hypothèses!$V$7,Hypothèses!$X$7,IF(EE273&lt;=Hypothèses!$V$8,Hypothèses!$X$8,IF(EE273&lt;=Hypothèses!$V$9,Hypothèses!$X$9,IF(EE273&lt;=Hypothèses!$V$10,Hypothèses!$X$10,IF(EE273&lt;=Hypothèses!$V$11,Hypothèses!$X$11,IF(EE273&lt;=Hypothèses!$V$12,Hypothèses!$X$12,IF(EE273&lt;=Hypothèses!$V$13,Hypothèses!$X$13,IF(EE273&lt;=Hypothèses!$V$14,Hypothèses!$X$14,IF(EE273&lt;=Hypothèses!$V$15,Hypothèses!$X$15,IF(EE273&lt;=Hypothèses!$V$16,Hypothèses!$X$16,IF(EE273&lt;=Hypothèses!$U$17,Hypothèses!$W$17,IF(EE273&lt;=Hypothèses!$U$18,Hypothèses!$W$18,""))))))))))))</f>
        <v>#DIV/0!</v>
      </c>
      <c r="FB273" s="95" t="e">
        <f t="shared" ca="1" si="497"/>
        <v>#DIV/0!</v>
      </c>
      <c r="FC273" s="101" t="e">
        <f t="shared" si="430"/>
        <v>#N/A</v>
      </c>
      <c r="FD273" s="91" t="e">
        <f t="shared" si="466"/>
        <v>#N/A</v>
      </c>
      <c r="FE273" s="30" t="e">
        <f t="shared" si="514"/>
        <v>#N/A</v>
      </c>
      <c r="FF273" s="30" t="e">
        <f t="shared" si="515"/>
        <v>#N/A</v>
      </c>
      <c r="FG273" s="31" t="e">
        <f>IF(OR(Hypothèses!$B$4=17,Hypothèses!$B$4=18,Hypothèses!$B$4=19,Hypothèses!$B$4=20),
IF($D273="Pressio.",
IF(OR($E273=3,$E273=1,$E273=4),FF273,FE273),
IF($D273="Pénétro.",
IF(OR($E273=3,$E273=1,$E273=4),FF273,FE273))),IF($D273="Pressio.",
IF($E273=3,FF273,FE273),
IF($D273="Pénétro.",
IF($E273=4,FF273,FE273))))</f>
        <v>#N/A</v>
      </c>
      <c r="FH273" s="31" t="e">
        <f>(IF(OR(Hypothèses!$B$4=17,Hypothèses!$B$4=18,Hypothèses!$B$4=19,Hypothèses!$B$4=20),
IF($D273="Pressio.",
IF(OR($E273=3,$E273=1,$E273=4),(PI()*FH$12^2)/4*(FD273*$W273*1000)/($H273*$B$5),(PI()*FH$12^2)/4*(FD273*$W273*1000)/($G273*$B$5)),
IF($D273="Pénétro.",
IF(OR($E273=4,$E273=1,$E273=5),(PI()*FH$12^2)/4*(FD273*$W273*1000)/($H273*$B$5),(PI()*FH$12^2)/4*(FD273*$W273*1000)/($G273*$B$5)))),
IF($D273="Pressio.",
IF($E273=3,(PI()*FH$12^2)/4*(FD273*$W273*1000)/($H273*$B$5),(PI()*FH$12^2)/4*(FD273*$W273*1000)/($G273*$B$5)),
IF($D273="Pénétro.",
IF($E273=4,(PI()*FH$12^2)/4*(FD273*$W273*1000)/($H273*$B$5),(PI()*FH$12^2)/4*(FD273*$W273*1000)/($G273*$B$5))))))/10</f>
        <v>#N/A</v>
      </c>
      <c r="FI273" s="102" t="e">
        <f>(VLOOKUP($B$3,'Coeff EC7'!$T$39:$X$59,2,0)*FG273+VLOOKUP($B$3,'Coeff EC7'!$T$65:$X$85,2,0)*Model0.1C!FH273)/1.1</f>
        <v>#N/A</v>
      </c>
      <c r="FJ273" s="102" t="e">
        <f>(VLOOKUP($B$3,'Coeff EC7'!$T$39:$X$59,3,0)*FG273+VLOOKUP($B$3,'Coeff EC7'!$T$65:$X$85,3,0)*Model0.1C!FH273)/0.9</f>
        <v>#N/A</v>
      </c>
      <c r="FK273" s="102" t="e">
        <f t="shared" si="498"/>
        <v>#N/A</v>
      </c>
      <c r="FL273" s="102" t="e">
        <f t="shared" si="499"/>
        <v>#N/A</v>
      </c>
      <c r="FM273" s="414" t="e">
        <f>IF(FM272=0,0,IF(AND(FI273&gt;charge_ELS_quasi,FJ273&gt;Charge_ELS_freq,FK273&gt;charge_ELU,FL273&gt;charge_ELA,$B273&gt;NDC!$H$22-0.1+MIN(3*$FM$12,1.5)),0,1))</f>
        <v>#N/A</v>
      </c>
    </row>
    <row r="274" spans="1:169">
      <c r="A274" s="96">
        <f t="shared" si="467"/>
        <v>73.900000000001484</v>
      </c>
      <c r="B274" s="97">
        <v>26.1</v>
      </c>
      <c r="C274" s="81">
        <f>IF(B274&lt;=Hypothèses!$C$7,Hypothèses!$A$7,IF(B274&lt;=Hypothèses!$C$8,Hypothèses!$A$8,IF(B274&lt;=Hypothèses!$C$9,Hypothèses!$A$9,IF(B274&lt;=Hypothèses!$C$10,Hypothèses!$A$10,IF(B274&lt;=Hypothèses!$C$11,Hypothèses!$A$11,IF(B274&lt;=Hypothèses!$C$12,Hypothèses!$A$12,IF(B274&lt;=Hypothèses!$C$13,Hypothèses!$A$13,IF(B274&lt;=Hypothèses!$C$14,Hypothèses!$A$14,IF(B274&lt;=Hypothèses!$C$15,Hypothèses!$A$15,IF(B274&lt;=Hypothèses!$C$16,Hypothèses!$A$16,IF(B274&lt;=Hypothèses!$C$17,Hypothèses!$A$17,IF(B274&lt;=Hypothèses!$C$18,Hypothèses!$A$18,C273))))))))))))</f>
        <v>11</v>
      </c>
      <c r="D274" s="82" t="str">
        <f>IF(B274&lt;=Hypothèses!$C$7,Hypothèses!$R$7,IF(B274&lt;=Hypothèses!$C$8,Hypothèses!$R$8,IF(B274&lt;=Hypothèses!$C$9,Hypothèses!$R$9,IF(B274&lt;=Hypothèses!$C$10,Hypothèses!$R$10,IF(B274&lt;=Hypothèses!$C$11,Hypothèses!$R$11,IF(B274&lt;=Hypothèses!$C$12,Hypothèses!$R$12,IF(B274&lt;=Hypothèses!$C$13,Hypothèses!$R$13,IF(B274&lt;=Hypothèses!$C$14,Hypothèses!$R$14,IF(B274&lt;=Hypothèses!$C$15,Hypothèses!$R$15,IF(B274&lt;=Hypothèses!$C$16,Hypothèses!$R$16,IF(B274&lt;=Hypothèses!$C$17,Hypothèses!$R$17,IF(B274&lt;=Hypothèses!$C$18,Hypothèses!$R$18,D273))))))))))))</f>
        <v>Pressio.</v>
      </c>
      <c r="E274" s="82" t="e">
        <f>IF(B274&lt;=Hypothèses!$C$7,Hypothèses!$G$7,IF(B274&lt;=Hypothèses!$C$8,Hypothèses!$G$8,IF(B274&lt;=Hypothèses!$C$9,Hypothèses!$G$9,IF(B274&lt;=Hypothèses!$C$10,Hypothèses!$G$10,IF(B274&lt;=Hypothèses!$C$11,Hypothèses!$G$11,IF(B274&lt;=Hypothèses!$C$12,Hypothèses!$G$12,IF(B274&lt;=Hypothèses!$C$13,Hypothèses!$G$13,IF(B274&lt;=Hypothèses!$C$14,Hypothèses!$G$14,IF(B274&lt;=Hypothèses!$C$15,Hypothèses!$G$15,IF(B274&lt;=Hypothèses!$C$16,Hypothèses!$G$16,IF(B274&lt;=Hypothèses!$C$17,Hypothèses!$G$17,IF(B274&lt;=Hypothèses!$C$18,Hypothèses!$G$18,E273))))))))))))</f>
        <v>#N/A</v>
      </c>
      <c r="F274" s="82" t="str">
        <f>IF(B274&lt;=Hypothèses!$C$7,Hypothèses!$F$7,IF(B274&lt;=Hypothèses!$C$8,Hypothèses!$F$8,IF(B274&lt;=Hypothèses!$C$9,Hypothèses!$F$9,IF(B274&lt;=Hypothèses!$C$10,Hypothèses!$F$10,IF(B274&lt;=Hypothèses!$C$11,Hypothèses!$F$11,IF(B274&lt;=Hypothèses!$C$12,Hypothèses!$F$12,IF(B274&lt;=Hypothèses!$C$13,Hypothèses!$F$13,IF(B274&lt;=Hypothèses!$C$14,Hypothèses!$F$14,IF(B274&lt;=Hypothèses!$C$15,Hypothèses!$F$15,IF(B274&lt;=Hypothèses!$C$16,Hypothèses!$F$16,IF(B274&lt;=Hypothèses!$C$17,Hypothèses!$F$17,IF(B274&lt;=Hypothèses!$C$18,Hypothèses!$F$18,F273))))))))))))</f>
        <v/>
      </c>
      <c r="G274" s="91">
        <f t="array" ref="G274">INDEX('Coeff EC7'!$U$7:$X$27,
MATCH(Model0.1C!$B$3,'Coeff EC7'!$T$7:$T$27,0),
MATCH(Model0.1C!$D274&amp;Model0.1C!$B$4,
'Coeff EC7'!$U$6:$X$6&amp;
'Coeff EC7'!$U$5:$X$5,0))</f>
        <v>1.1499999999999999</v>
      </c>
      <c r="H274" s="91">
        <f t="array" ref="H274">INDEX('Coeff EC7'!$Y$7:$AB$27,
MATCH(Model0.1C!$B$3,'Coeff EC7'!$T$7:$T$27,0),
MATCH(Model0.1C!$D274&amp;Model0.1C!$B$4,
'Coeff EC7'!$Y$6:$AB$6&amp;
'Coeff EC7'!$Y$5:$AB$5,0))</f>
        <v>1.4</v>
      </c>
      <c r="I274" s="83" t="e">
        <f>IF(B274&lt;=Hypothèses!$C$7,Hypothèses!$P$7,IF(B274&lt;=Hypothèses!$C$8,Hypothèses!$P$8,IF(B274&lt;=Hypothèses!$C$9,Hypothèses!$P$9,IF(B274&lt;=Hypothèses!$C$10,Hypothèses!$P$10,IF(B274&lt;=Hypothèses!$C$11,Hypothèses!$P$11,IF(B274&lt;=Hypothèses!$C$12,Hypothèses!$P$12,IF(B274&lt;=Hypothèses!$C$13,Hypothèses!$P$13,IF(B274&lt;=Hypothèses!$C$14,Hypothèses!$P$14,IF(B274&lt;=Hypothèses!$C$15,Hypothèses!$P$15,IF(B274&lt;=Hypothèses!$C$16,Hypothèses!$P$16,IF(B274&lt;=Hypothèses!$C$17,Hypothèses!$P$17,IF(B274&lt;=Hypothèses!$C$18,Hypothèses!$P$18,I273))))))))))))</f>
        <v>#N/A</v>
      </c>
      <c r="J274" s="91" t="e">
        <f t="array" ref="J274">INDEX('Coeff EC7'!$D$33:$Q$33,1,MATCH(D274&amp;E274,'Coeff EC7'!$D$31:$Q$31&amp;'Coeff EC7'!$D$32:$Q$32,0))</f>
        <v>#N/A</v>
      </c>
      <c r="K274" s="91" t="e">
        <f t="array" ref="K274">INDEX('Coeff EC7'!$D$34:$Q$34,1,MATCH(D274&amp;E274,'Coeff EC7'!$D$31:$Q$31&amp;'Coeff EC7'!$D$32:$Q$32,0))</f>
        <v>#N/A</v>
      </c>
      <c r="L274" s="91" t="e">
        <f t="array" ref="L274">INDEX('Coeff EC7'!$D$35:$Q$35,1,MATCH(D274&amp;E274,'Coeff EC7'!$D$31:$Q$31&amp;'Coeff EC7'!$D$32:$Q$32,0))</f>
        <v>#N/A</v>
      </c>
      <c r="M274" s="98" t="e">
        <f t="shared" si="431"/>
        <v>#N/A</v>
      </c>
      <c r="N274" s="99" t="e">
        <f t="array" ref="N274">INDEX('Coeff EC7'!$D$7:$Q$27,MATCH($B$3,'Coeff EC7'!$C$7:$C$27,0),MATCH(D274&amp;E274,'Coeff EC7'!$D$5:$Q$5&amp;'Coeff EC7'!$D$6:$Q$6,0))</f>
        <v>#N/A</v>
      </c>
      <c r="O274" s="99" t="e">
        <f t="array" ref="O274">INDEX('Coeff EC7'!$D$41:$Q$61,MATCH($B$3,'Coeff EC7'!$C$41:$C$61,0),MATCH(D274&amp;E274,'Coeff EC7'!$D$39:$Q$39&amp;'Coeff EC7'!$D$40:$Q$40,0))</f>
        <v>#N/A</v>
      </c>
      <c r="P274" s="30" t="e">
        <f t="shared" si="468"/>
        <v>#N/A</v>
      </c>
      <c r="Q274" s="100" t="e">
        <f t="shared" si="433"/>
        <v>#N/A</v>
      </c>
      <c r="R274" s="86" t="b">
        <f t="shared" si="434"/>
        <v>0</v>
      </c>
      <c r="S274" s="86">
        <f t="shared" si="432"/>
        <v>0.5</v>
      </c>
      <c r="T274" s="86">
        <f t="shared" si="435"/>
        <v>0.5</v>
      </c>
      <c r="U274" s="30" t="e">
        <f t="shared" ca="1" si="469"/>
        <v>#DIV/0!</v>
      </c>
      <c r="V274" s="85" t="str">
        <f>IF(B274&lt;=Hypothèses!$V$7,Hypothèses!$W$7,IF(B274&lt;=Hypothèses!$V$8,Hypothèses!$W$8,IF(B274&lt;=Hypothèses!$V$9,Hypothèses!$W$9,IF(B274&lt;=Hypothèses!$V$10,Hypothèses!$W$10,IF(B274&lt;=Hypothèses!$V$11,Hypothèses!$W$11,IF(B274&lt;=Hypothèses!$V$12,Hypothèses!$W$12,IF(B274&lt;=Hypothèses!$V$13,Hypothèses!$W$13,IF(B274&lt;=Hypothèses!$V$14,Hypothèses!$W$14,IF(B274&lt;=Hypothèses!$V$15,Hypothèses!$W$15,IF(B274&lt;=Hypothèses!$V$16,Hypothèses!$W$16,IF(B274&lt;=Hypothèses!$V$17,Hypothèses!$W$17,IF(B274&lt;=Hypothèses!$V$18,Hypothèses!$W$18,""))))))))))))</f>
        <v/>
      </c>
      <c r="W274" s="87" t="e">
        <f t="shared" ca="1" si="516"/>
        <v>#DIV/0!</v>
      </c>
      <c r="X274" s="88" t="str">
        <f>IF(B274&lt;=Hypothèses!$V$7,Hypothèses!$X$7,IF(B274&lt;=Hypothèses!$V$8,Hypothèses!$X$8,IF(B274&lt;=Hypothèses!$V$9,Hypothèses!$X$9,IF(B274&lt;=Hypothèses!$V$10,Hypothèses!$X$10,IF(B274&lt;=Hypothèses!$V$11,Hypothèses!$X$11,IF(B274&lt;=Hypothèses!$V$12,Hypothèses!$X$12,IF(B274&lt;=Hypothèses!$V$13,Hypothèses!$X$13,IF(B274&lt;=Hypothèses!$V$14,Hypothèses!$X$14,IF(B274&lt;=Hypothèses!$V$15,Hypothèses!$X$15,IF(B274&lt;=Hypothèses!$V$16,Hypothèses!$X$16,IF(B274&lt;=Hypothèses!$U$17,Hypothèses!$W$17,IF(B274&lt;=Hypothèses!$U$18,Hypothèses!$W$18,""))))))))))))</f>
        <v/>
      </c>
      <c r="Y274" s="95" t="e">
        <f t="shared" ca="1" si="436"/>
        <v>#DIV/0!</v>
      </c>
      <c r="Z274" s="101" t="e">
        <f t="shared" si="437"/>
        <v>#N/A</v>
      </c>
      <c r="AA274" s="91" t="e">
        <f t="shared" si="438"/>
        <v>#N/A</v>
      </c>
      <c r="AB274" s="30" t="e">
        <f t="shared" si="500"/>
        <v>#N/A</v>
      </c>
      <c r="AC274" s="30" t="e">
        <f t="shared" si="501"/>
        <v>#N/A</v>
      </c>
      <c r="AD274" s="31" t="e">
        <f>IF(OR(Hypothèses!$B$4=17,Hypothèses!$B$4=18,Hypothèses!$B$4=19,Hypothèses!$B$4=20),
IF($D274="Pressio.",
IF(OR($E274=3,$E274=1,$E274=4),AC274,AB274),
IF($D274="Pénétro.",
IF(OR($E274=3,$E274=1,$E274=4),AC274,AB274))),IF($D274="Pressio.",
IF($E274=3,AC274,AB274),
IF($D274="Pénétro.",
IF($E274=4,AC274,AB274))))</f>
        <v>#N/A</v>
      </c>
      <c r="AE274" s="31" t="e">
        <f>(IF(OR(Hypothèses!$B$4=17,Hypothèses!$B$4=18,Hypothèses!$B$4=19,Hypothèses!$B$4=20),
IF($D274="Pressio.",
IF(OR($E274=3,$E274=1,$E274=4),(PI()*AE$12^2)/4*(AA274*$W274*1000)/($H274*$B$5),(PI()*AE$12^2)/4*(AA274*$W274*1000)/($G274*$B$5)),
IF($D274="Pénétro.",
IF(OR($E274=4,$E274=1,$E274=5),(PI()*AE$12^2)/4*(AA274*$W274*1000)/($H274*$B$5),(PI()*AE$12^2)/4*(AA274*$W274*1000)/($G274*$B$5)))),
IF($D274="Pressio.",
IF($E274=3,(PI()*AE$12^2)/4*(AA274*$W274*1000)/($H274*$B$5),(PI()*AE$12^2)/4*(AA274*$W274*1000)/($G274*$B$5)),
IF($D274="Pénétro.",
IF($E274=4,(PI()*AE$12^2)/4*(AA274*$W274*1000)/($H274*$B$5),(PI()*AE$12^2)/4*(AA274*$W274*1000)/($G274*$B$5))))))/10</f>
        <v>#N/A</v>
      </c>
      <c r="AF274" s="102" t="e">
        <f>(VLOOKUP($B$3,'Coeff EC7'!$T$39:$X$59,2,0)*AD274+VLOOKUP($B$3,'Coeff EC7'!$T$65:$X$85,2,0)*Model0.1C!AE274)/1.1</f>
        <v>#N/A</v>
      </c>
      <c r="AG274" s="102" t="e">
        <f>(VLOOKUP($B$3,'Coeff EC7'!$T$39:$X$59,3,0)*AD274+VLOOKUP($B$3,'Coeff EC7'!$T$65:$X$85,3,0)*Model0.1C!AE274)/0.9</f>
        <v>#N/A</v>
      </c>
      <c r="AH274" s="102" t="e">
        <f t="shared" si="439"/>
        <v>#N/A</v>
      </c>
      <c r="AI274" s="102" t="e">
        <f t="shared" si="440"/>
        <v>#N/A</v>
      </c>
      <c r="AJ274" s="414" t="e">
        <f>IF(AJ273=0,0,IF(AND(AF274&gt;charge_ELS_quasi,AG274&gt;Charge_ELS_freq,AH274&gt;charge_ELU,AI274&gt;charge_ELA,$B274&gt;NDC!$H$22-0.1+MIN(3*$AJ$12,1.5)),0,1))</f>
        <v>#N/A</v>
      </c>
      <c r="AK274" s="86" t="b">
        <f t="shared" si="441"/>
        <v>0</v>
      </c>
      <c r="AL274" s="86">
        <f t="shared" si="470"/>
        <v>0.5</v>
      </c>
      <c r="AM274" s="86">
        <f t="shared" si="442"/>
        <v>0.5</v>
      </c>
      <c r="AN274" s="30" t="e">
        <f t="shared" ca="1" si="471"/>
        <v>#DIV/0!</v>
      </c>
      <c r="AO274" s="85" t="e">
        <f ca="1">IF(U274&lt;=Hypothèses!$V$7,Hypothèses!$W$7,IF(U274&lt;=Hypothèses!$V$8,Hypothèses!$W$8,IF(U274&lt;=Hypothèses!$V$9,Hypothèses!$W$9,IF(U274&lt;=Hypothèses!$V$10,Hypothèses!$W$10,IF(U274&lt;=Hypothèses!$V$11,Hypothèses!$W$11,IF(U274&lt;=Hypothèses!$V$12,Hypothèses!$W$12,IF(U274&lt;=Hypothèses!$V$13,Hypothèses!$W$13,IF(U274&lt;=Hypothèses!$V$14,Hypothèses!$W$14,IF(U274&lt;=Hypothèses!$V$15,Hypothèses!$W$15,IF(U274&lt;=Hypothèses!$V$16,Hypothèses!$W$16,IF(U274&lt;=Hypothèses!$V$17,Hypothèses!$W$17,IF(U274&lt;=Hypothèses!$V$18,Hypothèses!$W$18,""))))))))))))</f>
        <v>#DIV/0!</v>
      </c>
      <c r="AP274" s="87" t="e">
        <f t="shared" ca="1" si="517"/>
        <v>#DIV/0!</v>
      </c>
      <c r="AQ274" s="88" t="e">
        <f ca="1">IF(U274&lt;=Hypothèses!$V$7,Hypothèses!$X$7,IF(U274&lt;=Hypothèses!$V$8,Hypothèses!$X$8,IF(U274&lt;=Hypothèses!$V$9,Hypothèses!$X$9,IF(U274&lt;=Hypothèses!$V$10,Hypothèses!$X$10,IF(U274&lt;=Hypothèses!$V$11,Hypothèses!$X$11,IF(U274&lt;=Hypothèses!$V$12,Hypothèses!$X$12,IF(U274&lt;=Hypothèses!$V$13,Hypothèses!$X$13,IF(U274&lt;=Hypothèses!$V$14,Hypothèses!$X$14,IF(U274&lt;=Hypothèses!$V$15,Hypothèses!$X$15,IF(U274&lt;=Hypothèses!$V$16,Hypothèses!$X$16,IF(U274&lt;=Hypothèses!$U$17,Hypothèses!$W$17,IF(U274&lt;=Hypothèses!$U$18,Hypothèses!$W$18,""))))))))))))</f>
        <v>#DIV/0!</v>
      </c>
      <c r="AR274" s="95" t="e">
        <f t="shared" ca="1" si="472"/>
        <v>#DIV/0!</v>
      </c>
      <c r="AS274" s="101" t="e">
        <f t="shared" ref="AS274:AS337" si="524">IF($I274=0,0,
IF(AR274&gt;5*AW$12,$I274,
IF($D274="Pressio.",1+($I274-1)*(AR274/AW$12)/5,
IF($D274="Pénétro.",IF($E274=1,0.3+($I274-0.3)*(AR274/AW$12)/5,
IF($E274=2,0.2+($I274-0.2)*(AR274/AW$12)/5,
IF($E274=3,0.1+($I274-0.1)*(AR274/AW$12)/5,
0.15+($I274-0.15)*(AR274/AW$12)/5)))))))</f>
        <v>#N/A</v>
      </c>
      <c r="AT274" s="91" t="e">
        <f t="shared" si="443"/>
        <v>#N/A</v>
      </c>
      <c r="AU274" s="30" t="e">
        <f t="shared" si="502"/>
        <v>#N/A</v>
      </c>
      <c r="AV274" s="30" t="e">
        <f t="shared" si="503"/>
        <v>#N/A</v>
      </c>
      <c r="AW274" s="31" t="e">
        <f>IF(OR(Hypothèses!$B$4=17,Hypothèses!$B$4=18,Hypothèses!$B$4=19,Hypothèses!$B$4=20),
IF($D274="Pressio.",
IF(OR($E274=3,$E274=1,$E274=4),AV274,AU274),
IF($D274="Pénétro.",
IF(OR($E274=3,$E274=1,$E274=4),AV274,AU274))),IF($D274="Pressio.",
IF($E274=3,AV274,AU274),
IF($D274="Pénétro.",
IF($E274=4,AV274,AU274))))</f>
        <v>#N/A</v>
      </c>
      <c r="AX274" s="31" t="e">
        <f>(IF(OR(Hypothèses!$B$4=17,Hypothèses!$B$4=18,Hypothèses!$B$4=19,Hypothèses!$B$4=20),
IF($D274="Pressio.",
IF(OR($E274=3,$E274=1,$E274=4),(PI()*AX$12^2)/4*(AT274*$W274*1000)/($H274*$B$5),(PI()*AX$12^2)/4*(AT274*$W274*1000)/($G274*$B$5)),
IF($D274="Pénétro.",
IF(OR($E274=4,$E274=1,$E274=5),(PI()*AX$12^2)/4*(AT274*$W274*1000)/($H274*$B$5),(PI()*AX$12^2)/4*(AT274*$W274*1000)/($G274*$B$5)))),
IF($D274="Pressio.",
IF($E274=3,(PI()*AX$12^2)/4*(AT274*$W274*1000)/($H274*$B$5),(PI()*AX$12^2)/4*(AT274*$W274*1000)/($G274*$B$5)),
IF($D274="Pénétro.",
IF($E274=4,(PI()*AX$12^2)/4*(AT274*$W274*1000)/($H274*$B$5),(PI()*AX$12^2)/4*(AT274*$W274*1000)/($G274*$B$5))))))/10</f>
        <v>#N/A</v>
      </c>
      <c r="AY274" s="102" t="e">
        <f>(VLOOKUP($B$3,'Coeff EC7'!$T$39:$X$59,2,0)*AW274+VLOOKUP($B$3,'Coeff EC7'!$T$65:$X$85,2,0)*Model0.1C!AX274)/1.1</f>
        <v>#N/A</v>
      </c>
      <c r="AZ274" s="102" t="e">
        <f>(VLOOKUP($B$3,'Coeff EC7'!$T$39:$X$59,3,0)*AW274+VLOOKUP($B$3,'Coeff EC7'!$T$65:$X$85,3,0)*Model0.1C!AX274)/0.9</f>
        <v>#N/A</v>
      </c>
      <c r="BA274" s="102" t="e">
        <f t="shared" si="473"/>
        <v>#N/A</v>
      </c>
      <c r="BB274" s="102" t="e">
        <f t="shared" si="474"/>
        <v>#N/A</v>
      </c>
      <c r="BC274" s="414" t="e">
        <f>IF(BC273=0,0,IF(AND(AY274&gt;charge_ELS_quasi,AZ274&gt;Charge_ELS_freq,BA274&gt;charge_ELU,BB274&gt;charge_ELA,$B274&gt;NDC!$H$22-0.1+MIN(3*$BC$12,1.5)),0,1))</f>
        <v>#N/A</v>
      </c>
      <c r="BD274" s="86" t="b">
        <f t="shared" si="444"/>
        <v>0</v>
      </c>
      <c r="BE274" s="86">
        <f t="shared" si="475"/>
        <v>0.5</v>
      </c>
      <c r="BF274" s="86">
        <f t="shared" si="445"/>
        <v>0.5</v>
      </c>
      <c r="BG274" s="30" t="e">
        <f t="shared" ca="1" si="476"/>
        <v>#DIV/0!</v>
      </c>
      <c r="BH274" s="85" t="e">
        <f ca="1">IF(AN274&lt;=Hypothèses!$V$7,Hypothèses!$W$7,IF(AN274&lt;=Hypothèses!$V$8,Hypothèses!$W$8,IF(AN274&lt;=Hypothèses!$V$9,Hypothèses!$W$9,IF(AN274&lt;=Hypothèses!$V$10,Hypothèses!$W$10,IF(AN274&lt;=Hypothèses!$V$11,Hypothèses!$W$11,IF(AN274&lt;=Hypothèses!$V$12,Hypothèses!$W$12,IF(AN274&lt;=Hypothèses!$V$13,Hypothèses!$W$13,IF(AN274&lt;=Hypothèses!$V$14,Hypothèses!$W$14,IF(AN274&lt;=Hypothèses!$V$15,Hypothèses!$W$15,IF(AN274&lt;=Hypothèses!$V$16,Hypothèses!$W$16,IF(AN274&lt;=Hypothèses!$V$17,Hypothèses!$W$17,IF(AN274&lt;=Hypothèses!$V$18,Hypothèses!$W$18,""))))))))))))</f>
        <v>#DIV/0!</v>
      </c>
      <c r="BI274" s="87" t="e">
        <f t="shared" ca="1" si="518"/>
        <v>#DIV/0!</v>
      </c>
      <c r="BJ274" s="88" t="e">
        <f ca="1">IF(AN274&lt;=Hypothèses!$V$7,Hypothèses!$X$7,IF(AN274&lt;=Hypothèses!$V$8,Hypothèses!$X$8,IF(AN274&lt;=Hypothèses!$V$9,Hypothèses!$X$9,IF(AN274&lt;=Hypothèses!$V$10,Hypothèses!$X$10,IF(AN274&lt;=Hypothèses!$V$11,Hypothèses!$X$11,IF(AN274&lt;=Hypothèses!$V$12,Hypothèses!$X$12,IF(AN274&lt;=Hypothèses!$V$13,Hypothèses!$X$13,IF(AN274&lt;=Hypothèses!$V$14,Hypothèses!$X$14,IF(AN274&lt;=Hypothèses!$V$15,Hypothèses!$X$15,IF(AN274&lt;=Hypothèses!$V$16,Hypothèses!$X$16,IF(AN274&lt;=Hypothèses!$U$17,Hypothèses!$W$17,IF(AN274&lt;=Hypothèses!$U$18,Hypothèses!$W$18,""))))))))))))</f>
        <v>#DIV/0!</v>
      </c>
      <c r="BK274" s="95" t="e">
        <f t="shared" ca="1" si="477"/>
        <v>#DIV/0!</v>
      </c>
      <c r="BL274" s="101" t="e">
        <f t="shared" ref="BL274:BL337" si="525">IF($I274=0,0,
IF(BK274&gt;5*BP$12,$I274,
IF($D274="Pressio.",1+($I274-1)*(BK274/BP$12)/5,
IF($D274="Pénétro.",IF($E274=1,0.3+($I274-0.3)*(BK274/BP$12)/5,
IF($E274=2,0.2+($I274-0.2)*(BK274/BP$12)/5,
IF($E274=3,0.1+($I274-0.1)*(BK274/BP$12)/5,
0.15+($I274-0.15)*(BK274/BP$12)/5)))))))</f>
        <v>#N/A</v>
      </c>
      <c r="BM274" s="91" t="e">
        <f t="shared" si="446"/>
        <v>#N/A</v>
      </c>
      <c r="BN274" s="30" t="e">
        <f t="shared" si="504"/>
        <v>#N/A</v>
      </c>
      <c r="BO274" s="30" t="e">
        <f t="shared" si="505"/>
        <v>#N/A</v>
      </c>
      <c r="BP274" s="31" t="e">
        <f>IF(OR(Hypothèses!$B$4=17,Hypothèses!$B$4=18,Hypothèses!$B$4=19,Hypothèses!$B$4=20),
IF($D274="Pressio.",
IF(OR($E274=3,$E274=1,$E274=4),BO274,BN274),
IF($D274="Pénétro.",
IF(OR($E274=3,$E274=1,$E274=4),BO274,BN274))),IF($D274="Pressio.",
IF($E274=3,BO274,BN274),
IF($D274="Pénétro.",
IF($E274=4,BO274,BN274))))</f>
        <v>#N/A</v>
      </c>
      <c r="BQ274" s="31" t="e">
        <f>(IF(OR(Hypothèses!$B$4=17,Hypothèses!$B$4=18,Hypothèses!$B$4=19,Hypothèses!$B$4=20),
IF($D274="Pressio.",
IF(OR($E274=3,$E274=1,$E274=4),(PI()*BQ$12^2)/4*(BM274*$W274*1000)/($H274*$B$5),(PI()*BQ$12^2)/4*(BM274*$W274*1000)/($G274*$B$5)),
IF($D274="Pénétro.",
IF(OR($E274=4,$E274=1,$E274=5),(PI()*BQ$12^2)/4*(BM274*$W274*1000)/($H274*$B$5),(PI()*BQ$12^2)/4*(BM274*$W274*1000)/($G274*$B$5)))),
IF($D274="Pressio.",
IF($E274=3,(PI()*BQ$12^2)/4*(BM274*$W274*1000)/($H274*$B$5),(PI()*BQ$12^2)/4*(BM274*$W274*1000)/($G274*$B$5)),
IF($D274="Pénétro.",
IF($E274=4,(PI()*BQ$12^2)/4*(BM274*$W274*1000)/($H274*$B$5),(PI()*BQ$12^2)/4*(BM274*$W274*1000)/($G274*$B$5))))))/10</f>
        <v>#N/A</v>
      </c>
      <c r="BR274" s="102" t="e">
        <f>(VLOOKUP($B$3,'Coeff EC7'!$T$39:$X$59,2,0)*BP274+VLOOKUP($B$3,'Coeff EC7'!$T$65:$X$85,2,0)*Model0.1C!BQ274)/1.1</f>
        <v>#N/A</v>
      </c>
      <c r="BS274" s="102" t="e">
        <f>(VLOOKUP($B$3,'Coeff EC7'!$T$39:$X$59,3,0)*BP274+VLOOKUP($B$3,'Coeff EC7'!$T$65:$X$85,3,0)*Model0.1C!BQ274)/0.9</f>
        <v>#N/A</v>
      </c>
      <c r="BT274" s="102" t="e">
        <f t="shared" si="478"/>
        <v>#N/A</v>
      </c>
      <c r="BU274" s="102" t="e">
        <f t="shared" si="479"/>
        <v>#N/A</v>
      </c>
      <c r="BV274" s="414" t="e">
        <f>IF(BV273=0,0,IF(AND(BR274&gt;charge_ELS_quasi,BS274&gt;Charge_ELS_freq,BT274&gt;charge_ELU,BU274&gt;charge_ELA,$B274&gt;NDC!$H$22-0.1+MIN(3*$BV$12,1.5)),0,1))</f>
        <v>#N/A</v>
      </c>
      <c r="BW274" s="86" t="b">
        <f t="shared" si="447"/>
        <v>0</v>
      </c>
      <c r="BX274" s="86">
        <f t="shared" si="448"/>
        <v>0.5</v>
      </c>
      <c r="BY274" s="86">
        <f t="shared" si="449"/>
        <v>0.5</v>
      </c>
      <c r="BZ274" s="30" t="e">
        <f t="shared" ca="1" si="480"/>
        <v>#DIV/0!</v>
      </c>
      <c r="CA274" s="85" t="e">
        <f ca="1">IF(BG274&lt;=Hypothèses!$V$7,Hypothèses!$W$7,IF(BG274&lt;=Hypothèses!$V$8,Hypothèses!$W$8,IF(BG274&lt;=Hypothèses!$V$9,Hypothèses!$W$9,IF(BG274&lt;=Hypothèses!$V$10,Hypothèses!$W$10,IF(BG274&lt;=Hypothèses!$V$11,Hypothèses!$W$11,IF(BG274&lt;=Hypothèses!$V$12,Hypothèses!$W$12,IF(BG274&lt;=Hypothèses!$V$13,Hypothèses!$W$13,IF(BG274&lt;=Hypothèses!$V$14,Hypothèses!$W$14,IF(BG274&lt;=Hypothèses!$V$15,Hypothèses!$W$15,IF(BG274&lt;=Hypothèses!$V$16,Hypothèses!$W$16,IF(BG274&lt;=Hypothèses!$V$17,Hypothèses!$W$17,IF(BG274&lt;=Hypothèses!$V$18,Hypothèses!$W$18,""))))))))))))</f>
        <v>#DIV/0!</v>
      </c>
      <c r="CB274" s="87" t="e">
        <f t="shared" ca="1" si="519"/>
        <v>#DIV/0!</v>
      </c>
      <c r="CC274" s="88" t="e">
        <f ca="1">IF(BG274&lt;=Hypothèses!$V$7,Hypothèses!$X$7,IF(BG274&lt;=Hypothèses!$V$8,Hypothèses!$X$8,IF(BG274&lt;=Hypothèses!$V$9,Hypothèses!$X$9,IF(BG274&lt;=Hypothèses!$V$10,Hypothèses!$X$10,IF(BG274&lt;=Hypothèses!$V$11,Hypothèses!$X$11,IF(BG274&lt;=Hypothèses!$V$12,Hypothèses!$X$12,IF(BG274&lt;=Hypothèses!$V$13,Hypothèses!$X$13,IF(BG274&lt;=Hypothèses!$V$14,Hypothèses!$X$14,IF(BG274&lt;=Hypothèses!$V$15,Hypothèses!$X$15,IF(BG274&lt;=Hypothèses!$V$16,Hypothèses!$X$16,IF(BG274&lt;=Hypothèses!$U$17,Hypothèses!$W$17,IF(BG274&lt;=Hypothèses!$U$18,Hypothèses!$W$18,""))))))))))))</f>
        <v>#DIV/0!</v>
      </c>
      <c r="CD274" s="95" t="e">
        <f t="shared" ca="1" si="481"/>
        <v>#DIV/0!</v>
      </c>
      <c r="CE274" s="101" t="e">
        <f t="shared" ref="CE274:CE337" si="526">IF($I274=0,0,
IF(CD274&gt;5*CI$12,$I274,
IF($D274="Pressio.",1+($I274-1)*(CD274/CI$12)/5,
IF($D274="Pénétro.",IF($E274=1,0.3+($I274-0.3)*(CD274/CI$12)/5,
IF($E274=2,0.2+($I274-0.2)*(CD274/CI$12)/5,
IF($E274=3,0.1+($I274-0.1)*(CD274/CI$12)/5,
0.15+($I274-0.15)*(CD274/CI$12)/5)))))))</f>
        <v>#N/A</v>
      </c>
      <c r="CF274" s="91" t="e">
        <f t="shared" si="450"/>
        <v>#N/A</v>
      </c>
      <c r="CG274" s="30" t="e">
        <f t="shared" si="506"/>
        <v>#N/A</v>
      </c>
      <c r="CH274" s="30" t="e">
        <f t="shared" si="507"/>
        <v>#N/A</v>
      </c>
      <c r="CI274" s="31" t="e">
        <f>IF(OR(Hypothèses!$B$4=17,Hypothèses!$B$4=18,Hypothèses!$B$4=19,Hypothèses!$B$4=20),
IF($D274="Pressio.",
IF(OR($E274=3,$E274=1,$E274=4),CH274,CG274),
IF($D274="Pénétro.",
IF(OR($E274=3,$E274=1,$E274=4),CH274,CG274))),IF($D274="Pressio.",
IF($E274=3,CH274,CG274),
IF($D274="Pénétro.",
IF($E274=4,CH274,CG274))))</f>
        <v>#N/A</v>
      </c>
      <c r="CJ274" s="31" t="e">
        <f>(IF(OR(Hypothèses!$B$4=17,Hypothèses!$B$4=18,Hypothèses!$B$4=19,Hypothèses!$B$4=20),
IF($D274="Pressio.",
IF(OR($E274=3,$E274=1,$E274=4),(PI()*CJ$12^2)/4*(CF274*$W274*1000)/($H274*$B$5),(PI()*CJ$12^2)/4*(CF274*$W274*1000)/($G274*$B$5)),
IF($D274="Pénétro.",
IF(OR($E274=4,$E274=1,$E274=5),(PI()*CJ$12^2)/4*(CF274*$W274*1000)/($H274*$B$5),(PI()*CJ$12^2)/4*(CF274*$W274*1000)/($G274*$B$5)))),
IF($D274="Pressio.",
IF($E274=3,(PI()*CJ$12^2)/4*(CF274*$W274*1000)/($H274*$B$5),(PI()*CJ$12^2)/4*(CF274*$W274*1000)/($G274*$B$5)),
IF($D274="Pénétro.",
IF($E274=4,(PI()*CJ$12^2)/4*(CF274*$W274*1000)/($H274*$B$5),(PI()*CJ$12^2)/4*(CF274*$W274*1000)/($G274*$B$5))))))/10</f>
        <v>#N/A</v>
      </c>
      <c r="CK274" s="102" t="e">
        <f>(VLOOKUP($B$3,'Coeff EC7'!$T$39:$X$59,2,0)*CI274+VLOOKUP($B$3,'Coeff EC7'!$T$65:$X$85,2,0)*Model0.1C!CJ274)/1.1</f>
        <v>#N/A</v>
      </c>
      <c r="CL274" s="102" t="e">
        <f>(VLOOKUP($B$3,'Coeff EC7'!$T$39:$X$59,3,0)*CI274+VLOOKUP($B$3,'Coeff EC7'!$T$65:$X$85,3,0)*Model0.1C!CJ274)/0.9</f>
        <v>#N/A</v>
      </c>
      <c r="CM274" s="102" t="e">
        <f t="shared" si="482"/>
        <v>#N/A</v>
      </c>
      <c r="CN274" s="102" t="e">
        <f t="shared" si="483"/>
        <v>#N/A</v>
      </c>
      <c r="CO274" s="414" t="e">
        <f>IF(CO273=0,0,IF(AND(CK274&gt;charge_ELS_quasi,CL274&gt;Charge_ELS_freq,CM274&gt;charge_ELU,CN274&gt;charge_ELA,$B274&gt;NDC!$H$22-0.1+MIN(3*$CO$12,1.5)),0,1))</f>
        <v>#N/A</v>
      </c>
      <c r="CP274" s="86" t="b">
        <f t="shared" si="451"/>
        <v>0</v>
      </c>
      <c r="CQ274" s="86">
        <f t="shared" si="452"/>
        <v>0.5</v>
      </c>
      <c r="CR274" s="86">
        <f t="shared" si="453"/>
        <v>0.5</v>
      </c>
      <c r="CS274" s="30" t="e">
        <f t="shared" ca="1" si="484"/>
        <v>#DIV/0!</v>
      </c>
      <c r="CT274" s="85" t="e">
        <f ca="1">IF(BZ274&lt;=Hypothèses!$V$7,Hypothèses!$W$7,IF(BZ274&lt;=Hypothèses!$V$8,Hypothèses!$W$8,IF(BZ274&lt;=Hypothèses!$V$9,Hypothèses!$W$9,IF(BZ274&lt;=Hypothèses!$V$10,Hypothèses!$W$10,IF(BZ274&lt;=Hypothèses!$V$11,Hypothèses!$W$11,IF(BZ274&lt;=Hypothèses!$V$12,Hypothèses!$W$12,IF(BZ274&lt;=Hypothèses!$V$13,Hypothèses!$W$13,IF(BZ274&lt;=Hypothèses!$V$14,Hypothèses!$W$14,IF(BZ274&lt;=Hypothèses!$V$15,Hypothèses!$W$15,IF(BZ274&lt;=Hypothèses!$V$16,Hypothèses!$W$16,IF(BZ274&lt;=Hypothèses!$V$17,Hypothèses!$W$17,IF(BZ274&lt;=Hypothèses!$V$18,Hypothèses!$W$18,""))))))))))))</f>
        <v>#DIV/0!</v>
      </c>
      <c r="CU274" s="87" t="e">
        <f t="shared" ca="1" si="520"/>
        <v>#DIV/0!</v>
      </c>
      <c r="CV274" s="88" t="e">
        <f ca="1">IF(BZ274&lt;=Hypothèses!$V$7,Hypothèses!$X$7,IF(BZ274&lt;=Hypothèses!$V$8,Hypothèses!$X$8,IF(BZ274&lt;=Hypothèses!$V$9,Hypothèses!$X$9,IF(BZ274&lt;=Hypothèses!$V$10,Hypothèses!$X$10,IF(BZ274&lt;=Hypothèses!$V$11,Hypothèses!$X$11,IF(BZ274&lt;=Hypothèses!$V$12,Hypothèses!$X$12,IF(BZ274&lt;=Hypothèses!$V$13,Hypothèses!$X$13,IF(BZ274&lt;=Hypothèses!$V$14,Hypothèses!$X$14,IF(BZ274&lt;=Hypothèses!$V$15,Hypothèses!$X$15,IF(BZ274&lt;=Hypothèses!$V$16,Hypothèses!$X$16,IF(BZ274&lt;=Hypothèses!$U$17,Hypothèses!$W$17,IF(BZ274&lt;=Hypothèses!$U$18,Hypothèses!$W$18,""))))))))))))</f>
        <v>#DIV/0!</v>
      </c>
      <c r="CW274" s="95" t="e">
        <f t="shared" ca="1" si="485"/>
        <v>#DIV/0!</v>
      </c>
      <c r="CX274" s="101" t="e">
        <f t="shared" ref="CX274:CX337" si="527">IF($I274=0,0,
IF(CW274&gt;5*DB$12,$I274,
IF($D274="Pressio.",1+($I274-1)*(CW274/DB$12)/5,
IF($D274="Pénétro.",IF($E274=1,0.3+($I274-0.3)*(CW274/DB$12)/5,
IF($E274=2,0.2+($I274-0.2)*(CW274/DB$12)/5,
IF($E274=3,0.1+($I274-0.1)*(CW274/DB$12)/5,
0.15+($I274-0.15)*(CW274/DB$12)/5)))))))</f>
        <v>#N/A</v>
      </c>
      <c r="CY274" s="91" t="e">
        <f t="shared" si="454"/>
        <v>#N/A</v>
      </c>
      <c r="CZ274" s="30" t="e">
        <f t="shared" si="508"/>
        <v>#N/A</v>
      </c>
      <c r="DA274" s="30" t="e">
        <f t="shared" si="509"/>
        <v>#N/A</v>
      </c>
      <c r="DB274" s="31" t="e">
        <f>IF(OR(Hypothèses!$B$4=17,Hypothèses!$B$4=18,Hypothèses!$B$4=19,Hypothèses!$B$4=20),
IF($D274="Pressio.",
IF(OR($E274=3,$E274=1,$E274=4),DA274,CZ274),
IF($D274="Pénétro.",
IF(OR($E274=3,$E274=1,$E274=4),DA274,CZ274))),IF($D274="Pressio.",
IF($E274=3,DA274,CZ274),
IF($D274="Pénétro.",
IF($E274=4,DA274,CZ274))))</f>
        <v>#N/A</v>
      </c>
      <c r="DC274" s="31" t="e">
        <f>(IF(OR(Hypothèses!$B$4=17,Hypothèses!$B$4=18,Hypothèses!$B$4=19,Hypothèses!$B$4=20),
IF($D274="Pressio.",
IF(OR($E274=3,$E274=1,$E274=4),(PI()*DC$12^2)/4*(CY274*$W274*1000)/($H274*$B$5),(PI()*DC$12^2)/4*(CY274*$W274*1000)/($G274*$B$5)),
IF($D274="Pénétro.",
IF(OR($E274=4,$E274=1,$E274=5),(PI()*DC$12^2)/4*(CY274*$W274*1000)/($H274*$B$5),(PI()*DC$12^2)/4*(CY274*$W274*1000)/($G274*$B$5)))),
IF($D274="Pressio.",
IF($E274=3,(PI()*DC$12^2)/4*(CY274*$W274*1000)/($H274*$B$5),(PI()*DC$12^2)/4*(CY274*$W274*1000)/($G274*$B$5)),
IF($D274="Pénétro.",
IF($E274=4,(PI()*DC$12^2)/4*(CY274*$W274*1000)/($H274*$B$5),(PI()*DC$12^2)/4*(CY274*$W274*1000)/($G274*$B$5))))))/10</f>
        <v>#N/A</v>
      </c>
      <c r="DD274" s="102" t="e">
        <f>(VLOOKUP($B$3,'Coeff EC7'!$T$39:$X$59,2,0)*DB274+VLOOKUP($B$3,'Coeff EC7'!$T$65:$X$85,2,0)*Model0.1C!DC274)/1.1</f>
        <v>#N/A</v>
      </c>
      <c r="DE274" s="102" t="e">
        <f>(VLOOKUP($B$3,'Coeff EC7'!$T$39:$X$59,3,0)*DB274+VLOOKUP($B$3,'Coeff EC7'!$T$65:$X$85,3,0)*Model0.1C!DC274)/0.9</f>
        <v>#N/A</v>
      </c>
      <c r="DF274" s="102" t="e">
        <f t="shared" si="486"/>
        <v>#N/A</v>
      </c>
      <c r="DG274" s="102" t="e">
        <f t="shared" si="487"/>
        <v>#N/A</v>
      </c>
      <c r="DH274" s="414" t="e">
        <f>IF(DH273=0,0,IF(AND(DD274&gt;charge_ELS_quasi,DE274&gt;Charge_ELS_freq,DF274&gt;charge_ELU,DG274&gt;charge_ELA,$B274&gt;NDC!$H$22-0.1+MIN(3*$DH$12,1.5)),0,1))</f>
        <v>#N/A</v>
      </c>
      <c r="DI274" s="86" t="b">
        <f t="shared" si="455"/>
        <v>0</v>
      </c>
      <c r="DJ274" s="86">
        <f t="shared" si="456"/>
        <v>0.5</v>
      </c>
      <c r="DK274" s="86">
        <f t="shared" si="457"/>
        <v>0.5</v>
      </c>
      <c r="DL274" s="30" t="e">
        <f t="shared" ca="1" si="488"/>
        <v>#DIV/0!</v>
      </c>
      <c r="DM274" s="85" t="e">
        <f ca="1">IF(CS274&lt;=Hypothèses!$V$7,Hypothèses!$W$7,IF(CS274&lt;=Hypothèses!$V$8,Hypothèses!$W$8,IF(CS274&lt;=Hypothèses!$V$9,Hypothèses!$W$9,IF(CS274&lt;=Hypothèses!$V$10,Hypothèses!$W$10,IF(CS274&lt;=Hypothèses!$V$11,Hypothèses!$W$11,IF(CS274&lt;=Hypothèses!$V$12,Hypothèses!$W$12,IF(CS274&lt;=Hypothèses!$V$13,Hypothèses!$W$13,IF(CS274&lt;=Hypothèses!$V$14,Hypothèses!$W$14,IF(CS274&lt;=Hypothèses!$V$15,Hypothèses!$W$15,IF(CS274&lt;=Hypothèses!$V$16,Hypothèses!$W$16,IF(CS274&lt;=Hypothèses!$V$17,Hypothèses!$W$17,IF(CS274&lt;=Hypothèses!$V$18,Hypothèses!$W$18,""))))))))))))</f>
        <v>#DIV/0!</v>
      </c>
      <c r="DN274" s="87" t="e">
        <f t="shared" ca="1" si="521"/>
        <v>#DIV/0!</v>
      </c>
      <c r="DO274" s="88" t="e">
        <f ca="1">IF(CS274&lt;=Hypothèses!$V$7,Hypothèses!$X$7,IF(CS274&lt;=Hypothèses!$V$8,Hypothèses!$X$8,IF(CS274&lt;=Hypothèses!$V$9,Hypothèses!$X$9,IF(CS274&lt;=Hypothèses!$V$10,Hypothèses!$X$10,IF(CS274&lt;=Hypothèses!$V$11,Hypothèses!$X$11,IF(CS274&lt;=Hypothèses!$V$12,Hypothèses!$X$12,IF(CS274&lt;=Hypothèses!$V$13,Hypothèses!$X$13,IF(CS274&lt;=Hypothèses!$V$14,Hypothèses!$X$14,IF(CS274&lt;=Hypothèses!$V$15,Hypothèses!$X$15,IF(CS274&lt;=Hypothèses!$V$16,Hypothèses!$X$16,IF(CS274&lt;=Hypothèses!$U$17,Hypothèses!$W$17,IF(CS274&lt;=Hypothèses!$U$18,Hypothèses!$W$18,""))))))))))))</f>
        <v>#DIV/0!</v>
      </c>
      <c r="DP274" s="95" t="e">
        <f t="shared" ca="1" si="489"/>
        <v>#DIV/0!</v>
      </c>
      <c r="DQ274" s="101" t="e">
        <f t="shared" ref="DQ274:DQ337" si="528">IF($I274=0,0,
IF(DP274&gt;5*DU$12,$I274,
IF($D274="Pressio.",1+($I274-1)*(DP274/DU$12)/5,
IF($D274="Pénétro.",IF($E274=1,0.3+($I274-0.3)*(DP274/DU$12)/5,
IF($E274=2,0.2+($I274-0.2)*(DP274/DU$12)/5,
IF($E274=3,0.1+($I274-0.1)*(DP274/DU$12)/5,
0.15+($I274-0.15)*(DP274/DU$12)/5)))))))</f>
        <v>#N/A</v>
      </c>
      <c r="DR274" s="91" t="e">
        <f t="shared" si="458"/>
        <v>#N/A</v>
      </c>
      <c r="DS274" s="30" t="e">
        <f t="shared" si="510"/>
        <v>#N/A</v>
      </c>
      <c r="DT274" s="30" t="e">
        <f t="shared" si="511"/>
        <v>#N/A</v>
      </c>
      <c r="DU274" s="31" t="e">
        <f>IF(OR(Hypothèses!$B$4=17,Hypothèses!$B$4=18,Hypothèses!$B$4=19,Hypothèses!$B$4=20),
IF($D274="Pressio.",
IF(OR($E274=3,$E274=1,$E274=4),DT274,DS274),
IF($D274="Pénétro.",
IF(OR($E274=3,$E274=1,$E274=4),DT274,DS274))),IF($D274="Pressio.",
IF($E274=3,DT274,DS274),
IF($D274="Pénétro.",
IF($E274=4,DT274,DS274))))</f>
        <v>#N/A</v>
      </c>
      <c r="DV274" s="31" t="e">
        <f>(IF(OR(Hypothèses!$B$4=17,Hypothèses!$B$4=18,Hypothèses!$B$4=19,Hypothèses!$B$4=20),
IF($D274="Pressio.",
IF(OR($E274=3,$E274=1,$E274=4),(PI()*DV$12^2)/4*(DR274*$W274*1000)/($H274*$B$5),(PI()*DV$12^2)/4*(DR274*$W274*1000)/($G274*$B$5)),
IF($D274="Pénétro.",
IF(OR($E274=4,$E274=1,$E274=5),(PI()*DV$12^2)/4*(DR274*$W274*1000)/($H274*$B$5),(PI()*DV$12^2)/4*(DR274*$W274*1000)/($G274*$B$5)))),
IF($D274="Pressio.",
IF($E274=3,(PI()*DV$12^2)/4*(DR274*$W274*1000)/($H274*$B$5),(PI()*DV$12^2)/4*(DR274*$W274*1000)/($G274*$B$5)),
IF($D274="Pénétro.",
IF($E274=4,(PI()*DV$12^2)/4*(DR274*$W274*1000)/($H274*$B$5),(PI()*DV$12^2)/4*(DR274*$W274*1000)/($G274*$B$5))))))/10</f>
        <v>#N/A</v>
      </c>
      <c r="DW274" s="102" t="e">
        <f>(VLOOKUP($B$3,'Coeff EC7'!$T$39:$X$59,2,0)*DU274+VLOOKUP($B$3,'Coeff EC7'!$T$65:$X$85,2,0)*Model0.1C!DV274)/1.1</f>
        <v>#N/A</v>
      </c>
      <c r="DX274" s="102" t="e">
        <f>(VLOOKUP($B$3,'Coeff EC7'!$T$39:$X$59,3,0)*DU274+VLOOKUP($B$3,'Coeff EC7'!$T$65:$X$85,3,0)*Model0.1C!DV274)/0.9</f>
        <v>#N/A</v>
      </c>
      <c r="DY274" s="102" t="e">
        <f t="shared" si="490"/>
        <v>#N/A</v>
      </c>
      <c r="DZ274" s="102" t="e">
        <f t="shared" si="491"/>
        <v>#N/A</v>
      </c>
      <c r="EA274" s="414" t="e">
        <f>IF(EA273=0,0,IF(AND(DW274&gt;charge_ELS_quasi,DX274&gt;Charge_ELS_freq,DY274&gt;charge_ELU,DZ274&gt;charge_ELA,$B274&gt;NDC!$H$22-0.1+MIN(3*$EA$12,1.5)),0,1))</f>
        <v>#N/A</v>
      </c>
      <c r="EB274" s="86" t="b">
        <f t="shared" si="459"/>
        <v>0</v>
      </c>
      <c r="EC274" s="418">
        <f t="shared" si="460"/>
        <v>0.51</v>
      </c>
      <c r="ED274" s="86">
        <f t="shared" si="461"/>
        <v>0.51</v>
      </c>
      <c r="EE274" s="30" t="e">
        <f t="shared" ca="1" si="492"/>
        <v>#DIV/0!</v>
      </c>
      <c r="EF274" s="85" t="e">
        <f ca="1">IF(DL274&lt;=Hypothèses!$V$7,Hypothèses!$W$7,IF(DL274&lt;=Hypothèses!$V$8,Hypothèses!$W$8,IF(DL274&lt;=Hypothèses!$V$9,Hypothèses!$W$9,IF(DL274&lt;=Hypothèses!$V$10,Hypothèses!$W$10,IF(DL274&lt;=Hypothèses!$V$11,Hypothèses!$W$11,IF(DL274&lt;=Hypothèses!$V$12,Hypothèses!$W$12,IF(DL274&lt;=Hypothèses!$V$13,Hypothèses!$W$13,IF(DL274&lt;=Hypothèses!$V$14,Hypothèses!$W$14,IF(DL274&lt;=Hypothèses!$V$15,Hypothèses!$W$15,IF(DL274&lt;=Hypothèses!$V$16,Hypothèses!$W$16,IF(DL274&lt;=Hypothèses!$V$17,Hypothèses!$W$17,IF(DL274&lt;=Hypothèses!$V$18,Hypothèses!$W$18,""))))))))))))</f>
        <v>#DIV/0!</v>
      </c>
      <c r="EG274" s="87" t="e">
        <f t="shared" ca="1" si="522"/>
        <v>#DIV/0!</v>
      </c>
      <c r="EH274" s="88" t="e">
        <f ca="1">IF(DL274&lt;=Hypothèses!$V$7,Hypothèses!$X$7,IF(DL274&lt;=Hypothèses!$V$8,Hypothèses!$X$8,IF(DL274&lt;=Hypothèses!$V$9,Hypothèses!$X$9,IF(DL274&lt;=Hypothèses!$V$10,Hypothèses!$X$10,IF(DL274&lt;=Hypothèses!$V$11,Hypothèses!$X$11,IF(DL274&lt;=Hypothèses!$V$12,Hypothèses!$X$12,IF(DL274&lt;=Hypothèses!$V$13,Hypothèses!$X$13,IF(DL274&lt;=Hypothèses!$V$14,Hypothèses!$X$14,IF(DL274&lt;=Hypothèses!$V$15,Hypothèses!$X$15,IF(DL274&lt;=Hypothèses!$V$16,Hypothèses!$X$16,IF(DL274&lt;=Hypothèses!$U$17,Hypothèses!$W$17,IF(DL274&lt;=Hypothèses!$U$18,Hypothèses!$W$18,""))))))))))))</f>
        <v>#DIV/0!</v>
      </c>
      <c r="EI274" s="95" t="e">
        <f t="shared" ca="1" si="493"/>
        <v>#DIV/0!</v>
      </c>
      <c r="EJ274" s="101" t="e">
        <f t="shared" ref="EJ274:EJ337" si="529">IF($I274=0,0,
IF(EI274&gt;5*EN$12,$I274,
IF($D274="Pressio.",1+($I274-1)*(EI274/EN$12)/5,
IF($D274="Pénétro.",IF($E274=1,0.3+($I274-0.3)*(EI274/EN$12)/5,
IF($E274=2,0.2+($I274-0.2)*(EI274/EN$12)/5,
IF($E274=3,0.1+($I274-0.1)*(EI274/EN$12)/5,
0.15+($I274-0.15)*(EI274/EN$12)/5)))))))</f>
        <v>#N/A</v>
      </c>
      <c r="EK274" s="91" t="e">
        <f t="shared" si="462"/>
        <v>#N/A</v>
      </c>
      <c r="EL274" s="30" t="e">
        <f t="shared" si="512"/>
        <v>#N/A</v>
      </c>
      <c r="EM274" s="30" t="e">
        <f t="shared" si="513"/>
        <v>#N/A</v>
      </c>
      <c r="EN274" s="31" t="e">
        <f>IF(OR(Hypothèses!$B$4=17,Hypothèses!$B$4=18,Hypothèses!$B$4=19,Hypothèses!$B$4=20),
IF($D274="Pressio.",
IF(OR($E274=3,$E274=1,$E274=4),EM274,EL274),
IF($D274="Pénétro.",
IF(OR($E274=3,$E274=1,$E274=4),EM274,EL274))),IF($D274="Pressio.",
IF($E274=3,EM274,EL274),
IF($D274="Pénétro.",
IF($E274=4,EM274,EL274))))</f>
        <v>#N/A</v>
      </c>
      <c r="EO274" s="31" t="e">
        <f>(IF(OR(Hypothèses!$B$4=17,Hypothèses!$B$4=18,Hypothèses!$B$4=19,Hypothèses!$B$4=20),
IF($D274="Pressio.",
IF(OR($E274=3,$E274=1,$E274=4),(PI()*EO$12^2)/4*(EK274*$W274*1000)/($H274*$B$5),(PI()*EO$12^2)/4*(EK274*$W274*1000)/($G274*$B$5)),
IF($D274="Pénétro.",
IF(OR($E274=4,$E274=1,$E274=5),(PI()*EO$12^2)/4*(EK274*$W274*1000)/($H274*$B$5),(PI()*EO$12^2)/4*(EK274*$W274*1000)/($G274*$B$5)))),
IF($D274="Pressio.",
IF($E274=3,(PI()*EO$12^2)/4*(EK274*$W274*1000)/($H274*$B$5),(PI()*EO$12^2)/4*(EK274*$W274*1000)/($G274*$B$5)),
IF($D274="Pénétro.",
IF($E274=4,(PI()*EO$12^2)/4*(EK274*$W274*1000)/($H274*$B$5),(PI()*EO$12^2)/4*(EK274*$W274*1000)/($G274*$B$5))))))/10</f>
        <v>#N/A</v>
      </c>
      <c r="EP274" s="102" t="e">
        <f>(VLOOKUP($B$3,'Coeff EC7'!$T$39:$X$59,2,0)*EN274+VLOOKUP($B$3,'Coeff EC7'!$T$65:$X$85,2,0)*Model0.1C!EO274)/1.1</f>
        <v>#N/A</v>
      </c>
      <c r="EQ274" s="102" t="e">
        <f>(VLOOKUP($B$3,'Coeff EC7'!$T$39:$X$59,3,0)*EN274+VLOOKUP($B$3,'Coeff EC7'!$T$65:$X$85,3,0)*Model0.1C!EO274)/0.9</f>
        <v>#N/A</v>
      </c>
      <c r="ER274" s="102" t="e">
        <f t="shared" si="494"/>
        <v>#N/A</v>
      </c>
      <c r="ES274" s="102" t="e">
        <f t="shared" si="495"/>
        <v>#N/A</v>
      </c>
      <c r="ET274" s="414" t="e">
        <f>IF(ET273=0,0,IF(AND(EP274&gt;charge_ELS_quasi,EQ274&gt;Charge_ELS_freq,ER274&gt;charge_ELU,ES274&gt;charge_ELA,$B274&gt;NDC!$H$22-0.1+MIN(3*$ET$12,1.5)),0,1))</f>
        <v>#N/A</v>
      </c>
      <c r="EU274" s="86" t="b">
        <f t="shared" si="463"/>
        <v>0</v>
      </c>
      <c r="EV274" s="86">
        <f t="shared" si="464"/>
        <v>0.61</v>
      </c>
      <c r="EW274" s="86">
        <f t="shared" si="465"/>
        <v>0.61</v>
      </c>
      <c r="EX274" s="30" t="e">
        <f t="shared" ca="1" si="496"/>
        <v>#DIV/0!</v>
      </c>
      <c r="EY274" s="85" t="e">
        <f ca="1">IF(EE274&lt;=Hypothèses!$V$7,Hypothèses!$W$7,IF(EE274&lt;=Hypothèses!$V$8,Hypothèses!$W$8,IF(EE274&lt;=Hypothèses!$V$9,Hypothèses!$W$9,IF(EE274&lt;=Hypothèses!$V$10,Hypothèses!$W$10,IF(EE274&lt;=Hypothèses!$V$11,Hypothèses!$W$11,IF(EE274&lt;=Hypothèses!$V$12,Hypothèses!$W$12,IF(EE274&lt;=Hypothèses!$V$13,Hypothèses!$W$13,IF(EE274&lt;=Hypothèses!$V$14,Hypothèses!$W$14,IF(EE274&lt;=Hypothèses!$V$15,Hypothèses!$W$15,IF(EE274&lt;=Hypothèses!$V$16,Hypothèses!$W$16,IF(EE274&lt;=Hypothèses!$V$17,Hypothèses!$W$17,IF(EE274&lt;=Hypothèses!$V$18,Hypothèses!$W$18,""))))))))))))</f>
        <v>#DIV/0!</v>
      </c>
      <c r="EZ274" s="87" t="e">
        <f t="shared" ca="1" si="523"/>
        <v>#DIV/0!</v>
      </c>
      <c r="FA274" s="88" t="e">
        <f ca="1">IF(EE274&lt;=Hypothèses!$V$7,Hypothèses!$X$7,IF(EE274&lt;=Hypothèses!$V$8,Hypothèses!$X$8,IF(EE274&lt;=Hypothèses!$V$9,Hypothèses!$X$9,IF(EE274&lt;=Hypothèses!$V$10,Hypothèses!$X$10,IF(EE274&lt;=Hypothèses!$V$11,Hypothèses!$X$11,IF(EE274&lt;=Hypothèses!$V$12,Hypothèses!$X$12,IF(EE274&lt;=Hypothèses!$V$13,Hypothèses!$X$13,IF(EE274&lt;=Hypothèses!$V$14,Hypothèses!$X$14,IF(EE274&lt;=Hypothèses!$V$15,Hypothèses!$X$15,IF(EE274&lt;=Hypothèses!$V$16,Hypothèses!$X$16,IF(EE274&lt;=Hypothèses!$U$17,Hypothèses!$W$17,IF(EE274&lt;=Hypothèses!$U$18,Hypothèses!$W$18,""))))))))))))</f>
        <v>#DIV/0!</v>
      </c>
      <c r="FB274" s="95" t="e">
        <f t="shared" ca="1" si="497"/>
        <v>#DIV/0!</v>
      </c>
      <c r="FC274" s="101" t="e">
        <f t="shared" ref="FC274:FC337" si="530">IF($I274=0,0,
IF(FB274&gt;5*FG$12,$I274,
IF($D274="Pressio.",1+($I274-1)*(FB274/FG$12)/5,
IF($D274="Pénétro.",IF($E274=1,0.3+($I274-0.3)*(FB274/FG$12)/5,
IF($E274=2,0.2+($I274-0.2)*(FB274/FG$12)/5,
IF($E274=3,0.1+($I274-0.1)*(FB274/FG$12)/5,
0.15+($I274-0.15)*(FB274/FG$12)/5)))))))</f>
        <v>#N/A</v>
      </c>
      <c r="FD274" s="91" t="e">
        <f t="shared" si="466"/>
        <v>#N/A</v>
      </c>
      <c r="FE274" s="30" t="e">
        <f t="shared" si="514"/>
        <v>#N/A</v>
      </c>
      <c r="FF274" s="30" t="e">
        <f t="shared" si="515"/>
        <v>#N/A</v>
      </c>
      <c r="FG274" s="31" t="e">
        <f>IF(OR(Hypothèses!$B$4=17,Hypothèses!$B$4=18,Hypothèses!$B$4=19,Hypothèses!$B$4=20),
IF($D274="Pressio.",
IF(OR($E274=3,$E274=1,$E274=4),FF274,FE274),
IF($D274="Pénétro.",
IF(OR($E274=3,$E274=1,$E274=4),FF274,FE274))),IF($D274="Pressio.",
IF($E274=3,FF274,FE274),
IF($D274="Pénétro.",
IF($E274=4,FF274,FE274))))</f>
        <v>#N/A</v>
      </c>
      <c r="FH274" s="31" t="e">
        <f>(IF(OR(Hypothèses!$B$4=17,Hypothèses!$B$4=18,Hypothèses!$B$4=19,Hypothèses!$B$4=20),
IF($D274="Pressio.",
IF(OR($E274=3,$E274=1,$E274=4),(PI()*FH$12^2)/4*(FD274*$W274*1000)/($H274*$B$5),(PI()*FH$12^2)/4*(FD274*$W274*1000)/($G274*$B$5)),
IF($D274="Pénétro.",
IF(OR($E274=4,$E274=1,$E274=5),(PI()*FH$12^2)/4*(FD274*$W274*1000)/($H274*$B$5),(PI()*FH$12^2)/4*(FD274*$W274*1000)/($G274*$B$5)))),
IF($D274="Pressio.",
IF($E274=3,(PI()*FH$12^2)/4*(FD274*$W274*1000)/($H274*$B$5),(PI()*FH$12^2)/4*(FD274*$W274*1000)/($G274*$B$5)),
IF($D274="Pénétro.",
IF($E274=4,(PI()*FH$12^2)/4*(FD274*$W274*1000)/($H274*$B$5),(PI()*FH$12^2)/4*(FD274*$W274*1000)/($G274*$B$5))))))/10</f>
        <v>#N/A</v>
      </c>
      <c r="FI274" s="102" t="e">
        <f>(VLOOKUP($B$3,'Coeff EC7'!$T$39:$X$59,2,0)*FG274+VLOOKUP($B$3,'Coeff EC7'!$T$65:$X$85,2,0)*Model0.1C!FH274)/1.1</f>
        <v>#N/A</v>
      </c>
      <c r="FJ274" s="102" t="e">
        <f>(VLOOKUP($B$3,'Coeff EC7'!$T$39:$X$59,3,0)*FG274+VLOOKUP($B$3,'Coeff EC7'!$T$65:$X$85,3,0)*Model0.1C!FH274)/0.9</f>
        <v>#N/A</v>
      </c>
      <c r="FK274" s="102" t="e">
        <f t="shared" si="498"/>
        <v>#N/A</v>
      </c>
      <c r="FL274" s="102" t="e">
        <f t="shared" si="499"/>
        <v>#N/A</v>
      </c>
      <c r="FM274" s="414" t="e">
        <f>IF(FM273=0,0,IF(AND(FI274&gt;charge_ELS_quasi,FJ274&gt;Charge_ELS_freq,FK274&gt;charge_ELU,FL274&gt;charge_ELA,$B274&gt;NDC!$H$22-0.1+MIN(3*$FM$12,1.5)),0,1))</f>
        <v>#N/A</v>
      </c>
    </row>
    <row r="275" spans="1:169">
      <c r="A275" s="96">
        <f t="shared" si="467"/>
        <v>73.800000000001489</v>
      </c>
      <c r="B275" s="97">
        <v>26.2</v>
      </c>
      <c r="C275" s="81">
        <f>IF(B275&lt;=Hypothèses!$C$7,Hypothèses!$A$7,IF(B275&lt;=Hypothèses!$C$8,Hypothèses!$A$8,IF(B275&lt;=Hypothèses!$C$9,Hypothèses!$A$9,IF(B275&lt;=Hypothèses!$C$10,Hypothèses!$A$10,IF(B275&lt;=Hypothèses!$C$11,Hypothèses!$A$11,IF(B275&lt;=Hypothèses!$C$12,Hypothèses!$A$12,IF(B275&lt;=Hypothèses!$C$13,Hypothèses!$A$13,IF(B275&lt;=Hypothèses!$C$14,Hypothèses!$A$14,IF(B275&lt;=Hypothèses!$C$15,Hypothèses!$A$15,IF(B275&lt;=Hypothèses!$C$16,Hypothèses!$A$16,IF(B275&lt;=Hypothèses!$C$17,Hypothèses!$A$17,IF(B275&lt;=Hypothèses!$C$18,Hypothèses!$A$18,C274))))))))))))</f>
        <v>11</v>
      </c>
      <c r="D275" s="82" t="str">
        <f>IF(B275&lt;=Hypothèses!$C$7,Hypothèses!$R$7,IF(B275&lt;=Hypothèses!$C$8,Hypothèses!$R$8,IF(B275&lt;=Hypothèses!$C$9,Hypothèses!$R$9,IF(B275&lt;=Hypothèses!$C$10,Hypothèses!$R$10,IF(B275&lt;=Hypothèses!$C$11,Hypothèses!$R$11,IF(B275&lt;=Hypothèses!$C$12,Hypothèses!$R$12,IF(B275&lt;=Hypothèses!$C$13,Hypothèses!$R$13,IF(B275&lt;=Hypothèses!$C$14,Hypothèses!$R$14,IF(B275&lt;=Hypothèses!$C$15,Hypothèses!$R$15,IF(B275&lt;=Hypothèses!$C$16,Hypothèses!$R$16,IF(B275&lt;=Hypothèses!$C$17,Hypothèses!$R$17,IF(B275&lt;=Hypothèses!$C$18,Hypothèses!$R$18,D274))))))))))))</f>
        <v>Pressio.</v>
      </c>
      <c r="E275" s="82" t="e">
        <f>IF(B275&lt;=Hypothèses!$C$7,Hypothèses!$G$7,IF(B275&lt;=Hypothèses!$C$8,Hypothèses!$G$8,IF(B275&lt;=Hypothèses!$C$9,Hypothèses!$G$9,IF(B275&lt;=Hypothèses!$C$10,Hypothèses!$G$10,IF(B275&lt;=Hypothèses!$C$11,Hypothèses!$G$11,IF(B275&lt;=Hypothèses!$C$12,Hypothèses!$G$12,IF(B275&lt;=Hypothèses!$C$13,Hypothèses!$G$13,IF(B275&lt;=Hypothèses!$C$14,Hypothèses!$G$14,IF(B275&lt;=Hypothèses!$C$15,Hypothèses!$G$15,IF(B275&lt;=Hypothèses!$C$16,Hypothèses!$G$16,IF(B275&lt;=Hypothèses!$C$17,Hypothèses!$G$17,IF(B275&lt;=Hypothèses!$C$18,Hypothèses!$G$18,E274))))))))))))</f>
        <v>#N/A</v>
      </c>
      <c r="F275" s="82" t="str">
        <f>IF(B275&lt;=Hypothèses!$C$7,Hypothèses!$F$7,IF(B275&lt;=Hypothèses!$C$8,Hypothèses!$F$8,IF(B275&lt;=Hypothèses!$C$9,Hypothèses!$F$9,IF(B275&lt;=Hypothèses!$C$10,Hypothèses!$F$10,IF(B275&lt;=Hypothèses!$C$11,Hypothèses!$F$11,IF(B275&lt;=Hypothèses!$C$12,Hypothèses!$F$12,IF(B275&lt;=Hypothèses!$C$13,Hypothèses!$F$13,IF(B275&lt;=Hypothèses!$C$14,Hypothèses!$F$14,IF(B275&lt;=Hypothèses!$C$15,Hypothèses!$F$15,IF(B275&lt;=Hypothèses!$C$16,Hypothèses!$F$16,IF(B275&lt;=Hypothèses!$C$17,Hypothèses!$F$17,IF(B275&lt;=Hypothèses!$C$18,Hypothèses!$F$18,F274))))))))))))</f>
        <v/>
      </c>
      <c r="G275" s="91">
        <f t="array" ref="G275">INDEX('Coeff EC7'!$U$7:$X$27,
MATCH(Model0.1C!$B$3,'Coeff EC7'!$T$7:$T$27,0),
MATCH(Model0.1C!$D275&amp;Model0.1C!$B$4,
'Coeff EC7'!$U$6:$X$6&amp;
'Coeff EC7'!$U$5:$X$5,0))</f>
        <v>1.1499999999999999</v>
      </c>
      <c r="H275" s="91">
        <f t="array" ref="H275">INDEX('Coeff EC7'!$Y$7:$AB$27,
MATCH(Model0.1C!$B$3,'Coeff EC7'!$T$7:$T$27,0),
MATCH(Model0.1C!$D275&amp;Model0.1C!$B$4,
'Coeff EC7'!$Y$6:$AB$6&amp;
'Coeff EC7'!$Y$5:$AB$5,0))</f>
        <v>1.4</v>
      </c>
      <c r="I275" s="83" t="e">
        <f>IF(B275&lt;=Hypothèses!$C$7,Hypothèses!$P$7,IF(B275&lt;=Hypothèses!$C$8,Hypothèses!$P$8,IF(B275&lt;=Hypothèses!$C$9,Hypothèses!$P$9,IF(B275&lt;=Hypothèses!$C$10,Hypothèses!$P$10,IF(B275&lt;=Hypothèses!$C$11,Hypothèses!$P$11,IF(B275&lt;=Hypothèses!$C$12,Hypothèses!$P$12,IF(B275&lt;=Hypothèses!$C$13,Hypothèses!$P$13,IF(B275&lt;=Hypothèses!$C$14,Hypothèses!$P$14,IF(B275&lt;=Hypothèses!$C$15,Hypothèses!$P$15,IF(B275&lt;=Hypothèses!$C$16,Hypothèses!$P$16,IF(B275&lt;=Hypothèses!$C$17,Hypothèses!$P$17,IF(B275&lt;=Hypothèses!$C$18,Hypothèses!$P$18,I274))))))))))))</f>
        <v>#N/A</v>
      </c>
      <c r="J275" s="91" t="e">
        <f t="array" ref="J275">INDEX('Coeff EC7'!$D$33:$Q$33,1,MATCH(D275&amp;E275,'Coeff EC7'!$D$31:$Q$31&amp;'Coeff EC7'!$D$32:$Q$32,0))</f>
        <v>#N/A</v>
      </c>
      <c r="K275" s="91" t="e">
        <f t="array" ref="K275">INDEX('Coeff EC7'!$D$34:$Q$34,1,MATCH(D275&amp;E275,'Coeff EC7'!$D$31:$Q$31&amp;'Coeff EC7'!$D$32:$Q$32,0))</f>
        <v>#N/A</v>
      </c>
      <c r="L275" s="91" t="e">
        <f t="array" ref="L275">INDEX('Coeff EC7'!$D$35:$Q$35,1,MATCH(D275&amp;E275,'Coeff EC7'!$D$31:$Q$31&amp;'Coeff EC7'!$D$32:$Q$32,0))</f>
        <v>#N/A</v>
      </c>
      <c r="M275" s="98" t="e">
        <f t="shared" si="431"/>
        <v>#N/A</v>
      </c>
      <c r="N275" s="99" t="e">
        <f t="array" ref="N275">INDEX('Coeff EC7'!$D$7:$Q$27,MATCH($B$3,'Coeff EC7'!$C$7:$C$27,0),MATCH(D275&amp;E275,'Coeff EC7'!$D$5:$Q$5&amp;'Coeff EC7'!$D$6:$Q$6,0))</f>
        <v>#N/A</v>
      </c>
      <c r="O275" s="99" t="e">
        <f t="array" ref="O275">INDEX('Coeff EC7'!$D$41:$Q$61,MATCH($B$3,'Coeff EC7'!$C$41:$C$61,0),MATCH(D275&amp;E275,'Coeff EC7'!$D$39:$Q$39&amp;'Coeff EC7'!$D$40:$Q$40,0))</f>
        <v>#N/A</v>
      </c>
      <c r="P275" s="30" t="e">
        <f t="shared" si="468"/>
        <v>#N/A</v>
      </c>
      <c r="Q275" s="100" t="e">
        <f t="shared" si="433"/>
        <v>#N/A</v>
      </c>
      <c r="R275" s="86" t="b">
        <f t="shared" si="434"/>
        <v>0</v>
      </c>
      <c r="S275" s="86">
        <f t="shared" si="432"/>
        <v>0.5</v>
      </c>
      <c r="T275" s="86">
        <f t="shared" si="435"/>
        <v>0.5</v>
      </c>
      <c r="U275" s="30" t="e">
        <f t="shared" ca="1" si="469"/>
        <v>#DIV/0!</v>
      </c>
      <c r="V275" s="85" t="str">
        <f>IF(B275&lt;=Hypothèses!$V$7,Hypothèses!$W$7,IF(B275&lt;=Hypothèses!$V$8,Hypothèses!$W$8,IF(B275&lt;=Hypothèses!$V$9,Hypothèses!$W$9,IF(B275&lt;=Hypothèses!$V$10,Hypothèses!$W$10,IF(B275&lt;=Hypothèses!$V$11,Hypothèses!$W$11,IF(B275&lt;=Hypothèses!$V$12,Hypothèses!$W$12,IF(B275&lt;=Hypothèses!$V$13,Hypothèses!$W$13,IF(B275&lt;=Hypothèses!$V$14,Hypothèses!$W$14,IF(B275&lt;=Hypothèses!$V$15,Hypothèses!$W$15,IF(B275&lt;=Hypothèses!$V$16,Hypothèses!$W$16,IF(B275&lt;=Hypothèses!$V$17,Hypothèses!$W$17,IF(B275&lt;=Hypothèses!$V$18,Hypothèses!$W$18,""))))))))))))</f>
        <v/>
      </c>
      <c r="W275" s="87" t="e">
        <f t="shared" ca="1" si="516"/>
        <v>#DIV/0!</v>
      </c>
      <c r="X275" s="88" t="str">
        <f>IF(B275&lt;=Hypothèses!$V$7,Hypothèses!$X$7,IF(B275&lt;=Hypothèses!$V$8,Hypothèses!$X$8,IF(B275&lt;=Hypothèses!$V$9,Hypothèses!$X$9,IF(B275&lt;=Hypothèses!$V$10,Hypothèses!$X$10,IF(B275&lt;=Hypothèses!$V$11,Hypothèses!$X$11,IF(B275&lt;=Hypothèses!$V$12,Hypothèses!$X$12,IF(B275&lt;=Hypothèses!$V$13,Hypothèses!$X$13,IF(B275&lt;=Hypothèses!$V$14,Hypothèses!$X$14,IF(B275&lt;=Hypothèses!$V$15,Hypothèses!$X$15,IF(B275&lt;=Hypothèses!$V$16,Hypothèses!$X$16,IF(B275&lt;=Hypothèses!$U$17,Hypothèses!$W$17,IF(B275&lt;=Hypothèses!$U$18,Hypothèses!$W$18,""))))))))))))</f>
        <v/>
      </c>
      <c r="Y275" s="95" t="e">
        <f t="shared" ca="1" si="436"/>
        <v>#DIV/0!</v>
      </c>
      <c r="Z275" s="101" t="e">
        <f t="shared" si="437"/>
        <v>#N/A</v>
      </c>
      <c r="AA275" s="91" t="e">
        <f t="shared" si="438"/>
        <v>#N/A</v>
      </c>
      <c r="AB275" s="30" t="e">
        <f t="shared" si="500"/>
        <v>#N/A</v>
      </c>
      <c r="AC275" s="30" t="e">
        <f t="shared" si="501"/>
        <v>#N/A</v>
      </c>
      <c r="AD275" s="31" t="e">
        <f>IF(OR(Hypothèses!$B$4=17,Hypothèses!$B$4=18,Hypothèses!$B$4=19,Hypothèses!$B$4=20),
IF($D275="Pressio.",
IF(OR($E275=3,$E275=1,$E275=4),AC275,AB275),
IF($D275="Pénétro.",
IF(OR($E275=3,$E275=1,$E275=4),AC275,AB275))),IF($D275="Pressio.",
IF($E275=3,AC275,AB275),
IF($D275="Pénétro.",
IF($E275=4,AC275,AB275))))</f>
        <v>#N/A</v>
      </c>
      <c r="AE275" s="31" t="e">
        <f>(IF(OR(Hypothèses!$B$4=17,Hypothèses!$B$4=18,Hypothèses!$B$4=19,Hypothèses!$B$4=20),
IF($D275="Pressio.",
IF(OR($E275=3,$E275=1,$E275=4),(PI()*AE$12^2)/4*(AA275*$W275*1000)/($H275*$B$5),(PI()*AE$12^2)/4*(AA275*$W275*1000)/($G275*$B$5)),
IF($D275="Pénétro.",
IF(OR($E275=4,$E275=1,$E275=5),(PI()*AE$12^2)/4*(AA275*$W275*1000)/($H275*$B$5),(PI()*AE$12^2)/4*(AA275*$W275*1000)/($G275*$B$5)))),
IF($D275="Pressio.",
IF($E275=3,(PI()*AE$12^2)/4*(AA275*$W275*1000)/($H275*$B$5),(PI()*AE$12^2)/4*(AA275*$W275*1000)/($G275*$B$5)),
IF($D275="Pénétro.",
IF($E275=4,(PI()*AE$12^2)/4*(AA275*$W275*1000)/($H275*$B$5),(PI()*AE$12^2)/4*(AA275*$W275*1000)/($G275*$B$5))))))/10</f>
        <v>#N/A</v>
      </c>
      <c r="AF275" s="102" t="e">
        <f>(VLOOKUP($B$3,'Coeff EC7'!$T$39:$X$59,2,0)*AD275+VLOOKUP($B$3,'Coeff EC7'!$T$65:$X$85,2,0)*Model0.1C!AE275)/1.1</f>
        <v>#N/A</v>
      </c>
      <c r="AG275" s="102" t="e">
        <f>(VLOOKUP($B$3,'Coeff EC7'!$T$39:$X$59,3,0)*AD275+VLOOKUP($B$3,'Coeff EC7'!$T$65:$X$85,3,0)*Model0.1C!AE275)/0.9</f>
        <v>#N/A</v>
      </c>
      <c r="AH275" s="102" t="e">
        <f t="shared" si="439"/>
        <v>#N/A</v>
      </c>
      <c r="AI275" s="102" t="e">
        <f t="shared" si="440"/>
        <v>#N/A</v>
      </c>
      <c r="AJ275" s="414" t="e">
        <f>IF(AJ274=0,0,IF(AND(AF275&gt;charge_ELS_quasi,AG275&gt;Charge_ELS_freq,AH275&gt;charge_ELU,AI275&gt;charge_ELA,$B275&gt;NDC!$H$22-0.1+MIN(3*$AJ$12,1.5)),0,1))</f>
        <v>#N/A</v>
      </c>
      <c r="AK275" s="86" t="b">
        <f t="shared" si="441"/>
        <v>0</v>
      </c>
      <c r="AL275" s="86">
        <f t="shared" si="470"/>
        <v>0.5</v>
      </c>
      <c r="AM275" s="86">
        <f t="shared" si="442"/>
        <v>0.5</v>
      </c>
      <c r="AN275" s="30" t="e">
        <f t="shared" ca="1" si="471"/>
        <v>#DIV/0!</v>
      </c>
      <c r="AO275" s="85" t="e">
        <f ca="1">IF(U275&lt;=Hypothèses!$V$7,Hypothèses!$W$7,IF(U275&lt;=Hypothèses!$V$8,Hypothèses!$W$8,IF(U275&lt;=Hypothèses!$V$9,Hypothèses!$W$9,IF(U275&lt;=Hypothèses!$V$10,Hypothèses!$W$10,IF(U275&lt;=Hypothèses!$V$11,Hypothèses!$W$11,IF(U275&lt;=Hypothèses!$V$12,Hypothèses!$W$12,IF(U275&lt;=Hypothèses!$V$13,Hypothèses!$W$13,IF(U275&lt;=Hypothèses!$V$14,Hypothèses!$W$14,IF(U275&lt;=Hypothèses!$V$15,Hypothèses!$W$15,IF(U275&lt;=Hypothèses!$V$16,Hypothèses!$W$16,IF(U275&lt;=Hypothèses!$V$17,Hypothèses!$W$17,IF(U275&lt;=Hypothèses!$V$18,Hypothèses!$W$18,""))))))))))))</f>
        <v>#DIV/0!</v>
      </c>
      <c r="AP275" s="87" t="e">
        <f t="shared" ca="1" si="517"/>
        <v>#DIV/0!</v>
      </c>
      <c r="AQ275" s="88" t="e">
        <f ca="1">IF(U275&lt;=Hypothèses!$V$7,Hypothèses!$X$7,IF(U275&lt;=Hypothèses!$V$8,Hypothèses!$X$8,IF(U275&lt;=Hypothèses!$V$9,Hypothèses!$X$9,IF(U275&lt;=Hypothèses!$V$10,Hypothèses!$X$10,IF(U275&lt;=Hypothèses!$V$11,Hypothèses!$X$11,IF(U275&lt;=Hypothèses!$V$12,Hypothèses!$X$12,IF(U275&lt;=Hypothèses!$V$13,Hypothèses!$X$13,IF(U275&lt;=Hypothèses!$V$14,Hypothèses!$X$14,IF(U275&lt;=Hypothèses!$V$15,Hypothèses!$X$15,IF(U275&lt;=Hypothèses!$V$16,Hypothèses!$X$16,IF(U275&lt;=Hypothèses!$U$17,Hypothèses!$W$17,IF(U275&lt;=Hypothèses!$U$18,Hypothèses!$W$18,""))))))))))))</f>
        <v>#DIV/0!</v>
      </c>
      <c r="AR275" s="95" t="e">
        <f t="shared" ca="1" si="472"/>
        <v>#DIV/0!</v>
      </c>
      <c r="AS275" s="101" t="e">
        <f t="shared" si="524"/>
        <v>#N/A</v>
      </c>
      <c r="AT275" s="91" t="e">
        <f t="shared" si="443"/>
        <v>#N/A</v>
      </c>
      <c r="AU275" s="30" t="e">
        <f t="shared" si="502"/>
        <v>#N/A</v>
      </c>
      <c r="AV275" s="30" t="e">
        <f t="shared" si="503"/>
        <v>#N/A</v>
      </c>
      <c r="AW275" s="31" t="e">
        <f>IF(OR(Hypothèses!$B$4=17,Hypothèses!$B$4=18,Hypothèses!$B$4=19,Hypothèses!$B$4=20),
IF($D275="Pressio.",
IF(OR($E275=3,$E275=1,$E275=4),AV275,AU275),
IF($D275="Pénétro.",
IF(OR($E275=3,$E275=1,$E275=4),AV275,AU275))),IF($D275="Pressio.",
IF($E275=3,AV275,AU275),
IF($D275="Pénétro.",
IF($E275=4,AV275,AU275))))</f>
        <v>#N/A</v>
      </c>
      <c r="AX275" s="31" t="e">
        <f>(IF(OR(Hypothèses!$B$4=17,Hypothèses!$B$4=18,Hypothèses!$B$4=19,Hypothèses!$B$4=20),
IF($D275="Pressio.",
IF(OR($E275=3,$E275=1,$E275=4),(PI()*AX$12^2)/4*(AT275*$W275*1000)/($H275*$B$5),(PI()*AX$12^2)/4*(AT275*$W275*1000)/($G275*$B$5)),
IF($D275="Pénétro.",
IF(OR($E275=4,$E275=1,$E275=5),(PI()*AX$12^2)/4*(AT275*$W275*1000)/($H275*$B$5),(PI()*AX$12^2)/4*(AT275*$W275*1000)/($G275*$B$5)))),
IF($D275="Pressio.",
IF($E275=3,(PI()*AX$12^2)/4*(AT275*$W275*1000)/($H275*$B$5),(PI()*AX$12^2)/4*(AT275*$W275*1000)/($G275*$B$5)),
IF($D275="Pénétro.",
IF($E275=4,(PI()*AX$12^2)/4*(AT275*$W275*1000)/($H275*$B$5),(PI()*AX$12^2)/4*(AT275*$W275*1000)/($G275*$B$5))))))/10</f>
        <v>#N/A</v>
      </c>
      <c r="AY275" s="102" t="e">
        <f>(VLOOKUP($B$3,'Coeff EC7'!$T$39:$X$59,2,0)*AW275+VLOOKUP($B$3,'Coeff EC7'!$T$65:$X$85,2,0)*Model0.1C!AX275)/1.1</f>
        <v>#N/A</v>
      </c>
      <c r="AZ275" s="102" t="e">
        <f>(VLOOKUP($B$3,'Coeff EC7'!$T$39:$X$59,3,0)*AW275+VLOOKUP($B$3,'Coeff EC7'!$T$65:$X$85,3,0)*Model0.1C!AX275)/0.9</f>
        <v>#N/A</v>
      </c>
      <c r="BA275" s="102" t="e">
        <f t="shared" si="473"/>
        <v>#N/A</v>
      </c>
      <c r="BB275" s="102" t="e">
        <f t="shared" si="474"/>
        <v>#N/A</v>
      </c>
      <c r="BC275" s="414" t="e">
        <f>IF(BC274=0,0,IF(AND(AY275&gt;charge_ELS_quasi,AZ275&gt;Charge_ELS_freq,BA275&gt;charge_ELU,BB275&gt;charge_ELA,$B275&gt;NDC!$H$22-0.1+MIN(3*$BC$12,1.5)),0,1))</f>
        <v>#N/A</v>
      </c>
      <c r="BD275" s="86" t="b">
        <f t="shared" si="444"/>
        <v>0</v>
      </c>
      <c r="BE275" s="86">
        <f t="shared" si="475"/>
        <v>0.5</v>
      </c>
      <c r="BF275" s="86">
        <f t="shared" si="445"/>
        <v>0.5</v>
      </c>
      <c r="BG275" s="30" t="e">
        <f t="shared" ca="1" si="476"/>
        <v>#DIV/0!</v>
      </c>
      <c r="BH275" s="85" t="e">
        <f ca="1">IF(AN275&lt;=Hypothèses!$V$7,Hypothèses!$W$7,IF(AN275&lt;=Hypothèses!$V$8,Hypothèses!$W$8,IF(AN275&lt;=Hypothèses!$V$9,Hypothèses!$W$9,IF(AN275&lt;=Hypothèses!$V$10,Hypothèses!$W$10,IF(AN275&lt;=Hypothèses!$V$11,Hypothèses!$W$11,IF(AN275&lt;=Hypothèses!$V$12,Hypothèses!$W$12,IF(AN275&lt;=Hypothèses!$V$13,Hypothèses!$W$13,IF(AN275&lt;=Hypothèses!$V$14,Hypothèses!$W$14,IF(AN275&lt;=Hypothèses!$V$15,Hypothèses!$W$15,IF(AN275&lt;=Hypothèses!$V$16,Hypothèses!$W$16,IF(AN275&lt;=Hypothèses!$V$17,Hypothèses!$W$17,IF(AN275&lt;=Hypothèses!$V$18,Hypothèses!$W$18,""))))))))))))</f>
        <v>#DIV/0!</v>
      </c>
      <c r="BI275" s="87" t="e">
        <f t="shared" ca="1" si="518"/>
        <v>#DIV/0!</v>
      </c>
      <c r="BJ275" s="88" t="e">
        <f ca="1">IF(AN275&lt;=Hypothèses!$V$7,Hypothèses!$X$7,IF(AN275&lt;=Hypothèses!$V$8,Hypothèses!$X$8,IF(AN275&lt;=Hypothèses!$V$9,Hypothèses!$X$9,IF(AN275&lt;=Hypothèses!$V$10,Hypothèses!$X$10,IF(AN275&lt;=Hypothèses!$V$11,Hypothèses!$X$11,IF(AN275&lt;=Hypothèses!$V$12,Hypothèses!$X$12,IF(AN275&lt;=Hypothèses!$V$13,Hypothèses!$X$13,IF(AN275&lt;=Hypothèses!$V$14,Hypothèses!$X$14,IF(AN275&lt;=Hypothèses!$V$15,Hypothèses!$X$15,IF(AN275&lt;=Hypothèses!$V$16,Hypothèses!$X$16,IF(AN275&lt;=Hypothèses!$U$17,Hypothèses!$W$17,IF(AN275&lt;=Hypothèses!$U$18,Hypothèses!$W$18,""))))))))))))</f>
        <v>#DIV/0!</v>
      </c>
      <c r="BK275" s="95" t="e">
        <f t="shared" ca="1" si="477"/>
        <v>#DIV/0!</v>
      </c>
      <c r="BL275" s="101" t="e">
        <f t="shared" si="525"/>
        <v>#N/A</v>
      </c>
      <c r="BM275" s="91" t="e">
        <f t="shared" si="446"/>
        <v>#N/A</v>
      </c>
      <c r="BN275" s="30" t="e">
        <f t="shared" si="504"/>
        <v>#N/A</v>
      </c>
      <c r="BO275" s="30" t="e">
        <f t="shared" si="505"/>
        <v>#N/A</v>
      </c>
      <c r="BP275" s="31" t="e">
        <f>IF(OR(Hypothèses!$B$4=17,Hypothèses!$B$4=18,Hypothèses!$B$4=19,Hypothèses!$B$4=20),
IF($D275="Pressio.",
IF(OR($E275=3,$E275=1,$E275=4),BO275,BN275),
IF($D275="Pénétro.",
IF(OR($E275=3,$E275=1,$E275=4),BO275,BN275))),IF($D275="Pressio.",
IF($E275=3,BO275,BN275),
IF($D275="Pénétro.",
IF($E275=4,BO275,BN275))))</f>
        <v>#N/A</v>
      </c>
      <c r="BQ275" s="31" t="e">
        <f>(IF(OR(Hypothèses!$B$4=17,Hypothèses!$B$4=18,Hypothèses!$B$4=19,Hypothèses!$B$4=20),
IF($D275="Pressio.",
IF(OR($E275=3,$E275=1,$E275=4),(PI()*BQ$12^2)/4*(BM275*$W275*1000)/($H275*$B$5),(PI()*BQ$12^2)/4*(BM275*$W275*1000)/($G275*$B$5)),
IF($D275="Pénétro.",
IF(OR($E275=4,$E275=1,$E275=5),(PI()*BQ$12^2)/4*(BM275*$W275*1000)/($H275*$B$5),(PI()*BQ$12^2)/4*(BM275*$W275*1000)/($G275*$B$5)))),
IF($D275="Pressio.",
IF($E275=3,(PI()*BQ$12^2)/4*(BM275*$W275*1000)/($H275*$B$5),(PI()*BQ$12^2)/4*(BM275*$W275*1000)/($G275*$B$5)),
IF($D275="Pénétro.",
IF($E275=4,(PI()*BQ$12^2)/4*(BM275*$W275*1000)/($H275*$B$5),(PI()*BQ$12^2)/4*(BM275*$W275*1000)/($G275*$B$5))))))/10</f>
        <v>#N/A</v>
      </c>
      <c r="BR275" s="102" t="e">
        <f>(VLOOKUP($B$3,'Coeff EC7'!$T$39:$X$59,2,0)*BP275+VLOOKUP($B$3,'Coeff EC7'!$T$65:$X$85,2,0)*Model0.1C!BQ275)/1.1</f>
        <v>#N/A</v>
      </c>
      <c r="BS275" s="102" t="e">
        <f>(VLOOKUP($B$3,'Coeff EC7'!$T$39:$X$59,3,0)*BP275+VLOOKUP($B$3,'Coeff EC7'!$T$65:$X$85,3,0)*Model0.1C!BQ275)/0.9</f>
        <v>#N/A</v>
      </c>
      <c r="BT275" s="102" t="e">
        <f t="shared" si="478"/>
        <v>#N/A</v>
      </c>
      <c r="BU275" s="102" t="e">
        <f t="shared" si="479"/>
        <v>#N/A</v>
      </c>
      <c r="BV275" s="414" t="e">
        <f>IF(BV274=0,0,IF(AND(BR275&gt;charge_ELS_quasi,BS275&gt;Charge_ELS_freq,BT275&gt;charge_ELU,BU275&gt;charge_ELA,$B275&gt;NDC!$H$22-0.1+MIN(3*$BV$12,1.5)),0,1))</f>
        <v>#N/A</v>
      </c>
      <c r="BW275" s="86" t="b">
        <f t="shared" si="447"/>
        <v>0</v>
      </c>
      <c r="BX275" s="86">
        <f t="shared" si="448"/>
        <v>0.5</v>
      </c>
      <c r="BY275" s="86">
        <f t="shared" si="449"/>
        <v>0.5</v>
      </c>
      <c r="BZ275" s="30" t="e">
        <f t="shared" ca="1" si="480"/>
        <v>#DIV/0!</v>
      </c>
      <c r="CA275" s="85" t="e">
        <f ca="1">IF(BG275&lt;=Hypothèses!$V$7,Hypothèses!$W$7,IF(BG275&lt;=Hypothèses!$V$8,Hypothèses!$W$8,IF(BG275&lt;=Hypothèses!$V$9,Hypothèses!$W$9,IF(BG275&lt;=Hypothèses!$V$10,Hypothèses!$W$10,IF(BG275&lt;=Hypothèses!$V$11,Hypothèses!$W$11,IF(BG275&lt;=Hypothèses!$V$12,Hypothèses!$W$12,IF(BG275&lt;=Hypothèses!$V$13,Hypothèses!$W$13,IF(BG275&lt;=Hypothèses!$V$14,Hypothèses!$W$14,IF(BG275&lt;=Hypothèses!$V$15,Hypothèses!$W$15,IF(BG275&lt;=Hypothèses!$V$16,Hypothèses!$W$16,IF(BG275&lt;=Hypothèses!$V$17,Hypothèses!$W$17,IF(BG275&lt;=Hypothèses!$V$18,Hypothèses!$W$18,""))))))))))))</f>
        <v>#DIV/0!</v>
      </c>
      <c r="CB275" s="87" t="e">
        <f t="shared" ca="1" si="519"/>
        <v>#DIV/0!</v>
      </c>
      <c r="CC275" s="88" t="e">
        <f ca="1">IF(BG275&lt;=Hypothèses!$V$7,Hypothèses!$X$7,IF(BG275&lt;=Hypothèses!$V$8,Hypothèses!$X$8,IF(BG275&lt;=Hypothèses!$V$9,Hypothèses!$X$9,IF(BG275&lt;=Hypothèses!$V$10,Hypothèses!$X$10,IF(BG275&lt;=Hypothèses!$V$11,Hypothèses!$X$11,IF(BG275&lt;=Hypothèses!$V$12,Hypothèses!$X$12,IF(BG275&lt;=Hypothèses!$V$13,Hypothèses!$X$13,IF(BG275&lt;=Hypothèses!$V$14,Hypothèses!$X$14,IF(BG275&lt;=Hypothèses!$V$15,Hypothèses!$X$15,IF(BG275&lt;=Hypothèses!$V$16,Hypothèses!$X$16,IF(BG275&lt;=Hypothèses!$U$17,Hypothèses!$W$17,IF(BG275&lt;=Hypothèses!$U$18,Hypothèses!$W$18,""))))))))))))</f>
        <v>#DIV/0!</v>
      </c>
      <c r="CD275" s="95" t="e">
        <f t="shared" ca="1" si="481"/>
        <v>#DIV/0!</v>
      </c>
      <c r="CE275" s="101" t="e">
        <f t="shared" si="526"/>
        <v>#N/A</v>
      </c>
      <c r="CF275" s="91" t="e">
        <f t="shared" si="450"/>
        <v>#N/A</v>
      </c>
      <c r="CG275" s="30" t="e">
        <f t="shared" si="506"/>
        <v>#N/A</v>
      </c>
      <c r="CH275" s="30" t="e">
        <f t="shared" si="507"/>
        <v>#N/A</v>
      </c>
      <c r="CI275" s="31" t="e">
        <f>IF(OR(Hypothèses!$B$4=17,Hypothèses!$B$4=18,Hypothèses!$B$4=19,Hypothèses!$B$4=20),
IF($D275="Pressio.",
IF(OR($E275=3,$E275=1,$E275=4),CH275,CG275),
IF($D275="Pénétro.",
IF(OR($E275=3,$E275=1,$E275=4),CH275,CG275))),IF($D275="Pressio.",
IF($E275=3,CH275,CG275),
IF($D275="Pénétro.",
IF($E275=4,CH275,CG275))))</f>
        <v>#N/A</v>
      </c>
      <c r="CJ275" s="31" t="e">
        <f>(IF(OR(Hypothèses!$B$4=17,Hypothèses!$B$4=18,Hypothèses!$B$4=19,Hypothèses!$B$4=20),
IF($D275="Pressio.",
IF(OR($E275=3,$E275=1,$E275=4),(PI()*CJ$12^2)/4*(CF275*$W275*1000)/($H275*$B$5),(PI()*CJ$12^2)/4*(CF275*$W275*1000)/($G275*$B$5)),
IF($D275="Pénétro.",
IF(OR($E275=4,$E275=1,$E275=5),(PI()*CJ$12^2)/4*(CF275*$W275*1000)/($H275*$B$5),(PI()*CJ$12^2)/4*(CF275*$W275*1000)/($G275*$B$5)))),
IF($D275="Pressio.",
IF($E275=3,(PI()*CJ$12^2)/4*(CF275*$W275*1000)/($H275*$B$5),(PI()*CJ$12^2)/4*(CF275*$W275*1000)/($G275*$B$5)),
IF($D275="Pénétro.",
IF($E275=4,(PI()*CJ$12^2)/4*(CF275*$W275*1000)/($H275*$B$5),(PI()*CJ$12^2)/4*(CF275*$W275*1000)/($G275*$B$5))))))/10</f>
        <v>#N/A</v>
      </c>
      <c r="CK275" s="102" t="e">
        <f>(VLOOKUP($B$3,'Coeff EC7'!$T$39:$X$59,2,0)*CI275+VLOOKUP($B$3,'Coeff EC7'!$T$65:$X$85,2,0)*Model0.1C!CJ275)/1.1</f>
        <v>#N/A</v>
      </c>
      <c r="CL275" s="102" t="e">
        <f>(VLOOKUP($B$3,'Coeff EC7'!$T$39:$X$59,3,0)*CI275+VLOOKUP($B$3,'Coeff EC7'!$T$65:$X$85,3,0)*Model0.1C!CJ275)/0.9</f>
        <v>#N/A</v>
      </c>
      <c r="CM275" s="102" t="e">
        <f t="shared" si="482"/>
        <v>#N/A</v>
      </c>
      <c r="CN275" s="102" t="e">
        <f t="shared" si="483"/>
        <v>#N/A</v>
      </c>
      <c r="CO275" s="414" t="e">
        <f>IF(CO274=0,0,IF(AND(CK275&gt;charge_ELS_quasi,CL275&gt;Charge_ELS_freq,CM275&gt;charge_ELU,CN275&gt;charge_ELA,$B275&gt;NDC!$H$22-0.1+MIN(3*$CO$12,1.5)),0,1))</f>
        <v>#N/A</v>
      </c>
      <c r="CP275" s="86" t="b">
        <f t="shared" si="451"/>
        <v>0</v>
      </c>
      <c r="CQ275" s="86">
        <f t="shared" si="452"/>
        <v>0.5</v>
      </c>
      <c r="CR275" s="86">
        <f t="shared" si="453"/>
        <v>0.5</v>
      </c>
      <c r="CS275" s="30" t="e">
        <f t="shared" ca="1" si="484"/>
        <v>#DIV/0!</v>
      </c>
      <c r="CT275" s="85" t="e">
        <f ca="1">IF(BZ275&lt;=Hypothèses!$V$7,Hypothèses!$W$7,IF(BZ275&lt;=Hypothèses!$V$8,Hypothèses!$W$8,IF(BZ275&lt;=Hypothèses!$V$9,Hypothèses!$W$9,IF(BZ275&lt;=Hypothèses!$V$10,Hypothèses!$W$10,IF(BZ275&lt;=Hypothèses!$V$11,Hypothèses!$W$11,IF(BZ275&lt;=Hypothèses!$V$12,Hypothèses!$W$12,IF(BZ275&lt;=Hypothèses!$V$13,Hypothèses!$W$13,IF(BZ275&lt;=Hypothèses!$V$14,Hypothèses!$W$14,IF(BZ275&lt;=Hypothèses!$V$15,Hypothèses!$W$15,IF(BZ275&lt;=Hypothèses!$V$16,Hypothèses!$W$16,IF(BZ275&lt;=Hypothèses!$V$17,Hypothèses!$W$17,IF(BZ275&lt;=Hypothèses!$V$18,Hypothèses!$W$18,""))))))))))))</f>
        <v>#DIV/0!</v>
      </c>
      <c r="CU275" s="87" t="e">
        <f t="shared" ca="1" si="520"/>
        <v>#DIV/0!</v>
      </c>
      <c r="CV275" s="88" t="e">
        <f ca="1">IF(BZ275&lt;=Hypothèses!$V$7,Hypothèses!$X$7,IF(BZ275&lt;=Hypothèses!$V$8,Hypothèses!$X$8,IF(BZ275&lt;=Hypothèses!$V$9,Hypothèses!$X$9,IF(BZ275&lt;=Hypothèses!$V$10,Hypothèses!$X$10,IF(BZ275&lt;=Hypothèses!$V$11,Hypothèses!$X$11,IF(BZ275&lt;=Hypothèses!$V$12,Hypothèses!$X$12,IF(BZ275&lt;=Hypothèses!$V$13,Hypothèses!$X$13,IF(BZ275&lt;=Hypothèses!$V$14,Hypothèses!$X$14,IF(BZ275&lt;=Hypothèses!$V$15,Hypothèses!$X$15,IF(BZ275&lt;=Hypothèses!$V$16,Hypothèses!$X$16,IF(BZ275&lt;=Hypothèses!$U$17,Hypothèses!$W$17,IF(BZ275&lt;=Hypothèses!$U$18,Hypothèses!$W$18,""))))))))))))</f>
        <v>#DIV/0!</v>
      </c>
      <c r="CW275" s="95" t="e">
        <f t="shared" ca="1" si="485"/>
        <v>#DIV/0!</v>
      </c>
      <c r="CX275" s="101" t="e">
        <f t="shared" si="527"/>
        <v>#N/A</v>
      </c>
      <c r="CY275" s="91" t="e">
        <f t="shared" si="454"/>
        <v>#N/A</v>
      </c>
      <c r="CZ275" s="30" t="e">
        <f t="shared" si="508"/>
        <v>#N/A</v>
      </c>
      <c r="DA275" s="30" t="e">
        <f t="shared" si="509"/>
        <v>#N/A</v>
      </c>
      <c r="DB275" s="31" t="e">
        <f>IF(OR(Hypothèses!$B$4=17,Hypothèses!$B$4=18,Hypothèses!$B$4=19,Hypothèses!$B$4=20),
IF($D275="Pressio.",
IF(OR($E275=3,$E275=1,$E275=4),DA275,CZ275),
IF($D275="Pénétro.",
IF(OR($E275=3,$E275=1,$E275=4),DA275,CZ275))),IF($D275="Pressio.",
IF($E275=3,DA275,CZ275),
IF($D275="Pénétro.",
IF($E275=4,DA275,CZ275))))</f>
        <v>#N/A</v>
      </c>
      <c r="DC275" s="31" t="e">
        <f>(IF(OR(Hypothèses!$B$4=17,Hypothèses!$B$4=18,Hypothèses!$B$4=19,Hypothèses!$B$4=20),
IF($D275="Pressio.",
IF(OR($E275=3,$E275=1,$E275=4),(PI()*DC$12^2)/4*(CY275*$W275*1000)/($H275*$B$5),(PI()*DC$12^2)/4*(CY275*$W275*1000)/($G275*$B$5)),
IF($D275="Pénétro.",
IF(OR($E275=4,$E275=1,$E275=5),(PI()*DC$12^2)/4*(CY275*$W275*1000)/($H275*$B$5),(PI()*DC$12^2)/4*(CY275*$W275*1000)/($G275*$B$5)))),
IF($D275="Pressio.",
IF($E275=3,(PI()*DC$12^2)/4*(CY275*$W275*1000)/($H275*$B$5),(PI()*DC$12^2)/4*(CY275*$W275*1000)/($G275*$B$5)),
IF($D275="Pénétro.",
IF($E275=4,(PI()*DC$12^2)/4*(CY275*$W275*1000)/($H275*$B$5),(PI()*DC$12^2)/4*(CY275*$W275*1000)/($G275*$B$5))))))/10</f>
        <v>#N/A</v>
      </c>
      <c r="DD275" s="102" t="e">
        <f>(VLOOKUP($B$3,'Coeff EC7'!$T$39:$X$59,2,0)*DB275+VLOOKUP($B$3,'Coeff EC7'!$T$65:$X$85,2,0)*Model0.1C!DC275)/1.1</f>
        <v>#N/A</v>
      </c>
      <c r="DE275" s="102" t="e">
        <f>(VLOOKUP($B$3,'Coeff EC7'!$T$39:$X$59,3,0)*DB275+VLOOKUP($B$3,'Coeff EC7'!$T$65:$X$85,3,0)*Model0.1C!DC275)/0.9</f>
        <v>#N/A</v>
      </c>
      <c r="DF275" s="102" t="e">
        <f t="shared" si="486"/>
        <v>#N/A</v>
      </c>
      <c r="DG275" s="102" t="e">
        <f t="shared" si="487"/>
        <v>#N/A</v>
      </c>
      <c r="DH275" s="414" t="e">
        <f>IF(DH274=0,0,IF(AND(DD275&gt;charge_ELS_quasi,DE275&gt;Charge_ELS_freq,DF275&gt;charge_ELU,DG275&gt;charge_ELA,$B275&gt;NDC!$H$22-0.1+MIN(3*$DH$12,1.5)),0,1))</f>
        <v>#N/A</v>
      </c>
      <c r="DI275" s="86" t="b">
        <f t="shared" si="455"/>
        <v>0</v>
      </c>
      <c r="DJ275" s="86">
        <f t="shared" si="456"/>
        <v>0.5</v>
      </c>
      <c r="DK275" s="86">
        <f t="shared" si="457"/>
        <v>0.5</v>
      </c>
      <c r="DL275" s="30" t="e">
        <f t="shared" ca="1" si="488"/>
        <v>#DIV/0!</v>
      </c>
      <c r="DM275" s="85" t="e">
        <f ca="1">IF(CS275&lt;=Hypothèses!$V$7,Hypothèses!$W$7,IF(CS275&lt;=Hypothèses!$V$8,Hypothèses!$W$8,IF(CS275&lt;=Hypothèses!$V$9,Hypothèses!$W$9,IF(CS275&lt;=Hypothèses!$V$10,Hypothèses!$W$10,IF(CS275&lt;=Hypothèses!$V$11,Hypothèses!$W$11,IF(CS275&lt;=Hypothèses!$V$12,Hypothèses!$W$12,IF(CS275&lt;=Hypothèses!$V$13,Hypothèses!$W$13,IF(CS275&lt;=Hypothèses!$V$14,Hypothèses!$W$14,IF(CS275&lt;=Hypothèses!$V$15,Hypothèses!$W$15,IF(CS275&lt;=Hypothèses!$V$16,Hypothèses!$W$16,IF(CS275&lt;=Hypothèses!$V$17,Hypothèses!$W$17,IF(CS275&lt;=Hypothèses!$V$18,Hypothèses!$W$18,""))))))))))))</f>
        <v>#DIV/0!</v>
      </c>
      <c r="DN275" s="87" t="e">
        <f t="shared" ca="1" si="521"/>
        <v>#DIV/0!</v>
      </c>
      <c r="DO275" s="88" t="e">
        <f ca="1">IF(CS275&lt;=Hypothèses!$V$7,Hypothèses!$X$7,IF(CS275&lt;=Hypothèses!$V$8,Hypothèses!$X$8,IF(CS275&lt;=Hypothèses!$V$9,Hypothèses!$X$9,IF(CS275&lt;=Hypothèses!$V$10,Hypothèses!$X$10,IF(CS275&lt;=Hypothèses!$V$11,Hypothèses!$X$11,IF(CS275&lt;=Hypothèses!$V$12,Hypothèses!$X$12,IF(CS275&lt;=Hypothèses!$V$13,Hypothèses!$X$13,IF(CS275&lt;=Hypothèses!$V$14,Hypothèses!$X$14,IF(CS275&lt;=Hypothèses!$V$15,Hypothèses!$X$15,IF(CS275&lt;=Hypothèses!$V$16,Hypothèses!$X$16,IF(CS275&lt;=Hypothèses!$U$17,Hypothèses!$W$17,IF(CS275&lt;=Hypothèses!$U$18,Hypothèses!$W$18,""))))))))))))</f>
        <v>#DIV/0!</v>
      </c>
      <c r="DP275" s="95" t="e">
        <f t="shared" ca="1" si="489"/>
        <v>#DIV/0!</v>
      </c>
      <c r="DQ275" s="101" t="e">
        <f t="shared" si="528"/>
        <v>#N/A</v>
      </c>
      <c r="DR275" s="91" t="e">
        <f t="shared" si="458"/>
        <v>#N/A</v>
      </c>
      <c r="DS275" s="30" t="e">
        <f t="shared" si="510"/>
        <v>#N/A</v>
      </c>
      <c r="DT275" s="30" t="e">
        <f t="shared" si="511"/>
        <v>#N/A</v>
      </c>
      <c r="DU275" s="31" t="e">
        <f>IF(OR(Hypothèses!$B$4=17,Hypothèses!$B$4=18,Hypothèses!$B$4=19,Hypothèses!$B$4=20),
IF($D275="Pressio.",
IF(OR($E275=3,$E275=1,$E275=4),DT275,DS275),
IF($D275="Pénétro.",
IF(OR($E275=3,$E275=1,$E275=4),DT275,DS275))),IF($D275="Pressio.",
IF($E275=3,DT275,DS275),
IF($D275="Pénétro.",
IF($E275=4,DT275,DS275))))</f>
        <v>#N/A</v>
      </c>
      <c r="DV275" s="31" t="e">
        <f>(IF(OR(Hypothèses!$B$4=17,Hypothèses!$B$4=18,Hypothèses!$B$4=19,Hypothèses!$B$4=20),
IF($D275="Pressio.",
IF(OR($E275=3,$E275=1,$E275=4),(PI()*DV$12^2)/4*(DR275*$W275*1000)/($H275*$B$5),(PI()*DV$12^2)/4*(DR275*$W275*1000)/($G275*$B$5)),
IF($D275="Pénétro.",
IF(OR($E275=4,$E275=1,$E275=5),(PI()*DV$12^2)/4*(DR275*$W275*1000)/($H275*$B$5),(PI()*DV$12^2)/4*(DR275*$W275*1000)/($G275*$B$5)))),
IF($D275="Pressio.",
IF($E275=3,(PI()*DV$12^2)/4*(DR275*$W275*1000)/($H275*$B$5),(PI()*DV$12^2)/4*(DR275*$W275*1000)/($G275*$B$5)),
IF($D275="Pénétro.",
IF($E275=4,(PI()*DV$12^2)/4*(DR275*$W275*1000)/($H275*$B$5),(PI()*DV$12^2)/4*(DR275*$W275*1000)/($G275*$B$5))))))/10</f>
        <v>#N/A</v>
      </c>
      <c r="DW275" s="102" t="e">
        <f>(VLOOKUP($B$3,'Coeff EC7'!$T$39:$X$59,2,0)*DU275+VLOOKUP($B$3,'Coeff EC7'!$T$65:$X$85,2,0)*Model0.1C!DV275)/1.1</f>
        <v>#N/A</v>
      </c>
      <c r="DX275" s="102" t="e">
        <f>(VLOOKUP($B$3,'Coeff EC7'!$T$39:$X$59,3,0)*DU275+VLOOKUP($B$3,'Coeff EC7'!$T$65:$X$85,3,0)*Model0.1C!DV275)/0.9</f>
        <v>#N/A</v>
      </c>
      <c r="DY275" s="102" t="e">
        <f t="shared" si="490"/>
        <v>#N/A</v>
      </c>
      <c r="DZ275" s="102" t="e">
        <f t="shared" si="491"/>
        <v>#N/A</v>
      </c>
      <c r="EA275" s="414" t="e">
        <f>IF(EA274=0,0,IF(AND(DW275&gt;charge_ELS_quasi,DX275&gt;Charge_ELS_freq,DY275&gt;charge_ELU,DZ275&gt;charge_ELA,$B275&gt;NDC!$H$22-0.1+MIN(3*$EA$12,1.5)),0,1))</f>
        <v>#N/A</v>
      </c>
      <c r="EB275" s="86" t="b">
        <f t="shared" si="459"/>
        <v>0</v>
      </c>
      <c r="EC275" s="418">
        <f t="shared" si="460"/>
        <v>0.51</v>
      </c>
      <c r="ED275" s="86">
        <f t="shared" si="461"/>
        <v>0.51</v>
      </c>
      <c r="EE275" s="30" t="e">
        <f t="shared" ca="1" si="492"/>
        <v>#DIV/0!</v>
      </c>
      <c r="EF275" s="85" t="e">
        <f ca="1">IF(DL275&lt;=Hypothèses!$V$7,Hypothèses!$W$7,IF(DL275&lt;=Hypothèses!$V$8,Hypothèses!$W$8,IF(DL275&lt;=Hypothèses!$V$9,Hypothèses!$W$9,IF(DL275&lt;=Hypothèses!$V$10,Hypothèses!$W$10,IF(DL275&lt;=Hypothèses!$V$11,Hypothèses!$W$11,IF(DL275&lt;=Hypothèses!$V$12,Hypothèses!$W$12,IF(DL275&lt;=Hypothèses!$V$13,Hypothèses!$W$13,IF(DL275&lt;=Hypothèses!$V$14,Hypothèses!$W$14,IF(DL275&lt;=Hypothèses!$V$15,Hypothèses!$W$15,IF(DL275&lt;=Hypothèses!$V$16,Hypothèses!$W$16,IF(DL275&lt;=Hypothèses!$V$17,Hypothèses!$W$17,IF(DL275&lt;=Hypothèses!$V$18,Hypothèses!$W$18,""))))))))))))</f>
        <v>#DIV/0!</v>
      </c>
      <c r="EG275" s="87" t="e">
        <f t="shared" ca="1" si="522"/>
        <v>#DIV/0!</v>
      </c>
      <c r="EH275" s="88" t="e">
        <f ca="1">IF(DL275&lt;=Hypothèses!$V$7,Hypothèses!$X$7,IF(DL275&lt;=Hypothèses!$V$8,Hypothèses!$X$8,IF(DL275&lt;=Hypothèses!$V$9,Hypothèses!$X$9,IF(DL275&lt;=Hypothèses!$V$10,Hypothèses!$X$10,IF(DL275&lt;=Hypothèses!$V$11,Hypothèses!$X$11,IF(DL275&lt;=Hypothèses!$V$12,Hypothèses!$X$12,IF(DL275&lt;=Hypothèses!$V$13,Hypothèses!$X$13,IF(DL275&lt;=Hypothèses!$V$14,Hypothèses!$X$14,IF(DL275&lt;=Hypothèses!$V$15,Hypothèses!$X$15,IF(DL275&lt;=Hypothèses!$V$16,Hypothèses!$X$16,IF(DL275&lt;=Hypothèses!$U$17,Hypothèses!$W$17,IF(DL275&lt;=Hypothèses!$U$18,Hypothèses!$W$18,""))))))))))))</f>
        <v>#DIV/0!</v>
      </c>
      <c r="EI275" s="95" t="e">
        <f t="shared" ca="1" si="493"/>
        <v>#DIV/0!</v>
      </c>
      <c r="EJ275" s="101" t="e">
        <f t="shared" si="529"/>
        <v>#N/A</v>
      </c>
      <c r="EK275" s="91" t="e">
        <f t="shared" si="462"/>
        <v>#N/A</v>
      </c>
      <c r="EL275" s="30" t="e">
        <f t="shared" si="512"/>
        <v>#N/A</v>
      </c>
      <c r="EM275" s="30" t="e">
        <f t="shared" si="513"/>
        <v>#N/A</v>
      </c>
      <c r="EN275" s="31" t="e">
        <f>IF(OR(Hypothèses!$B$4=17,Hypothèses!$B$4=18,Hypothèses!$B$4=19,Hypothèses!$B$4=20),
IF($D275="Pressio.",
IF(OR($E275=3,$E275=1,$E275=4),EM275,EL275),
IF($D275="Pénétro.",
IF(OR($E275=3,$E275=1,$E275=4),EM275,EL275))),IF($D275="Pressio.",
IF($E275=3,EM275,EL275),
IF($D275="Pénétro.",
IF($E275=4,EM275,EL275))))</f>
        <v>#N/A</v>
      </c>
      <c r="EO275" s="31" t="e">
        <f>(IF(OR(Hypothèses!$B$4=17,Hypothèses!$B$4=18,Hypothèses!$B$4=19,Hypothèses!$B$4=20),
IF($D275="Pressio.",
IF(OR($E275=3,$E275=1,$E275=4),(PI()*EO$12^2)/4*(EK275*$W275*1000)/($H275*$B$5),(PI()*EO$12^2)/4*(EK275*$W275*1000)/($G275*$B$5)),
IF($D275="Pénétro.",
IF(OR($E275=4,$E275=1,$E275=5),(PI()*EO$12^2)/4*(EK275*$W275*1000)/($H275*$B$5),(PI()*EO$12^2)/4*(EK275*$W275*1000)/($G275*$B$5)))),
IF($D275="Pressio.",
IF($E275=3,(PI()*EO$12^2)/4*(EK275*$W275*1000)/($H275*$B$5),(PI()*EO$12^2)/4*(EK275*$W275*1000)/($G275*$B$5)),
IF($D275="Pénétro.",
IF($E275=4,(PI()*EO$12^2)/4*(EK275*$W275*1000)/($H275*$B$5),(PI()*EO$12^2)/4*(EK275*$W275*1000)/($G275*$B$5))))))/10</f>
        <v>#N/A</v>
      </c>
      <c r="EP275" s="102" t="e">
        <f>(VLOOKUP($B$3,'Coeff EC7'!$T$39:$X$59,2,0)*EN275+VLOOKUP($B$3,'Coeff EC7'!$T$65:$X$85,2,0)*Model0.1C!EO275)/1.1</f>
        <v>#N/A</v>
      </c>
      <c r="EQ275" s="102" t="e">
        <f>(VLOOKUP($B$3,'Coeff EC7'!$T$39:$X$59,3,0)*EN275+VLOOKUP($B$3,'Coeff EC7'!$T$65:$X$85,3,0)*Model0.1C!EO275)/0.9</f>
        <v>#N/A</v>
      </c>
      <c r="ER275" s="102" t="e">
        <f t="shared" si="494"/>
        <v>#N/A</v>
      </c>
      <c r="ES275" s="102" t="e">
        <f t="shared" si="495"/>
        <v>#N/A</v>
      </c>
      <c r="ET275" s="414" t="e">
        <f>IF(ET274=0,0,IF(AND(EP275&gt;charge_ELS_quasi,EQ275&gt;Charge_ELS_freq,ER275&gt;charge_ELU,ES275&gt;charge_ELA,$B275&gt;NDC!$H$22-0.1+MIN(3*$ET$12,1.5)),0,1))</f>
        <v>#N/A</v>
      </c>
      <c r="EU275" s="86" t="b">
        <f t="shared" si="463"/>
        <v>0</v>
      </c>
      <c r="EV275" s="86">
        <f t="shared" si="464"/>
        <v>0.61</v>
      </c>
      <c r="EW275" s="86">
        <f t="shared" si="465"/>
        <v>0.61</v>
      </c>
      <c r="EX275" s="30" t="e">
        <f t="shared" ca="1" si="496"/>
        <v>#DIV/0!</v>
      </c>
      <c r="EY275" s="85" t="e">
        <f ca="1">IF(EE275&lt;=Hypothèses!$V$7,Hypothèses!$W$7,IF(EE275&lt;=Hypothèses!$V$8,Hypothèses!$W$8,IF(EE275&lt;=Hypothèses!$V$9,Hypothèses!$W$9,IF(EE275&lt;=Hypothèses!$V$10,Hypothèses!$W$10,IF(EE275&lt;=Hypothèses!$V$11,Hypothèses!$W$11,IF(EE275&lt;=Hypothèses!$V$12,Hypothèses!$W$12,IF(EE275&lt;=Hypothèses!$V$13,Hypothèses!$W$13,IF(EE275&lt;=Hypothèses!$V$14,Hypothèses!$W$14,IF(EE275&lt;=Hypothèses!$V$15,Hypothèses!$W$15,IF(EE275&lt;=Hypothèses!$V$16,Hypothèses!$W$16,IF(EE275&lt;=Hypothèses!$V$17,Hypothèses!$W$17,IF(EE275&lt;=Hypothèses!$V$18,Hypothèses!$W$18,""))))))))))))</f>
        <v>#DIV/0!</v>
      </c>
      <c r="EZ275" s="87" t="e">
        <f t="shared" ca="1" si="523"/>
        <v>#DIV/0!</v>
      </c>
      <c r="FA275" s="88" t="e">
        <f ca="1">IF(EE275&lt;=Hypothèses!$V$7,Hypothèses!$X$7,IF(EE275&lt;=Hypothèses!$V$8,Hypothèses!$X$8,IF(EE275&lt;=Hypothèses!$V$9,Hypothèses!$X$9,IF(EE275&lt;=Hypothèses!$V$10,Hypothèses!$X$10,IF(EE275&lt;=Hypothèses!$V$11,Hypothèses!$X$11,IF(EE275&lt;=Hypothèses!$V$12,Hypothèses!$X$12,IF(EE275&lt;=Hypothèses!$V$13,Hypothèses!$X$13,IF(EE275&lt;=Hypothèses!$V$14,Hypothèses!$X$14,IF(EE275&lt;=Hypothèses!$V$15,Hypothèses!$X$15,IF(EE275&lt;=Hypothèses!$V$16,Hypothèses!$X$16,IF(EE275&lt;=Hypothèses!$U$17,Hypothèses!$W$17,IF(EE275&lt;=Hypothèses!$U$18,Hypothèses!$W$18,""))))))))))))</f>
        <v>#DIV/0!</v>
      </c>
      <c r="FB275" s="95" t="e">
        <f t="shared" ca="1" si="497"/>
        <v>#DIV/0!</v>
      </c>
      <c r="FC275" s="101" t="e">
        <f t="shared" si="530"/>
        <v>#N/A</v>
      </c>
      <c r="FD275" s="91" t="e">
        <f t="shared" si="466"/>
        <v>#N/A</v>
      </c>
      <c r="FE275" s="30" t="e">
        <f t="shared" si="514"/>
        <v>#N/A</v>
      </c>
      <c r="FF275" s="30" t="e">
        <f t="shared" si="515"/>
        <v>#N/A</v>
      </c>
      <c r="FG275" s="31" t="e">
        <f>IF(OR(Hypothèses!$B$4=17,Hypothèses!$B$4=18,Hypothèses!$B$4=19,Hypothèses!$B$4=20),
IF($D275="Pressio.",
IF(OR($E275=3,$E275=1,$E275=4),FF275,FE275),
IF($D275="Pénétro.",
IF(OR($E275=3,$E275=1,$E275=4),FF275,FE275))),IF($D275="Pressio.",
IF($E275=3,FF275,FE275),
IF($D275="Pénétro.",
IF($E275=4,FF275,FE275))))</f>
        <v>#N/A</v>
      </c>
      <c r="FH275" s="31" t="e">
        <f>(IF(OR(Hypothèses!$B$4=17,Hypothèses!$B$4=18,Hypothèses!$B$4=19,Hypothèses!$B$4=20),
IF($D275="Pressio.",
IF(OR($E275=3,$E275=1,$E275=4),(PI()*FH$12^2)/4*(FD275*$W275*1000)/($H275*$B$5),(PI()*FH$12^2)/4*(FD275*$W275*1000)/($G275*$B$5)),
IF($D275="Pénétro.",
IF(OR($E275=4,$E275=1,$E275=5),(PI()*FH$12^2)/4*(FD275*$W275*1000)/($H275*$B$5),(PI()*FH$12^2)/4*(FD275*$W275*1000)/($G275*$B$5)))),
IF($D275="Pressio.",
IF($E275=3,(PI()*FH$12^2)/4*(FD275*$W275*1000)/($H275*$B$5),(PI()*FH$12^2)/4*(FD275*$W275*1000)/($G275*$B$5)),
IF($D275="Pénétro.",
IF($E275=4,(PI()*FH$12^2)/4*(FD275*$W275*1000)/($H275*$B$5),(PI()*FH$12^2)/4*(FD275*$W275*1000)/($G275*$B$5))))))/10</f>
        <v>#N/A</v>
      </c>
      <c r="FI275" s="102" t="e">
        <f>(VLOOKUP($B$3,'Coeff EC7'!$T$39:$X$59,2,0)*FG275+VLOOKUP($B$3,'Coeff EC7'!$T$65:$X$85,2,0)*Model0.1C!FH275)/1.1</f>
        <v>#N/A</v>
      </c>
      <c r="FJ275" s="102" t="e">
        <f>(VLOOKUP($B$3,'Coeff EC7'!$T$39:$X$59,3,0)*FG275+VLOOKUP($B$3,'Coeff EC7'!$T$65:$X$85,3,0)*Model0.1C!FH275)/0.9</f>
        <v>#N/A</v>
      </c>
      <c r="FK275" s="102" t="e">
        <f t="shared" si="498"/>
        <v>#N/A</v>
      </c>
      <c r="FL275" s="102" t="e">
        <f t="shared" si="499"/>
        <v>#N/A</v>
      </c>
      <c r="FM275" s="414" t="e">
        <f>IF(FM274=0,0,IF(AND(FI275&gt;charge_ELS_quasi,FJ275&gt;Charge_ELS_freq,FK275&gt;charge_ELU,FL275&gt;charge_ELA,$B275&gt;NDC!$H$22-0.1+MIN(3*$FM$12,1.5)),0,1))</f>
        <v>#N/A</v>
      </c>
    </row>
    <row r="276" spans="1:169">
      <c r="A276" s="96">
        <f t="shared" si="467"/>
        <v>73.700000000001495</v>
      </c>
      <c r="B276" s="97">
        <v>26.3</v>
      </c>
      <c r="C276" s="81">
        <f>IF(B276&lt;=Hypothèses!$C$7,Hypothèses!$A$7,IF(B276&lt;=Hypothèses!$C$8,Hypothèses!$A$8,IF(B276&lt;=Hypothèses!$C$9,Hypothèses!$A$9,IF(B276&lt;=Hypothèses!$C$10,Hypothèses!$A$10,IF(B276&lt;=Hypothèses!$C$11,Hypothèses!$A$11,IF(B276&lt;=Hypothèses!$C$12,Hypothèses!$A$12,IF(B276&lt;=Hypothèses!$C$13,Hypothèses!$A$13,IF(B276&lt;=Hypothèses!$C$14,Hypothèses!$A$14,IF(B276&lt;=Hypothèses!$C$15,Hypothèses!$A$15,IF(B276&lt;=Hypothèses!$C$16,Hypothèses!$A$16,IF(B276&lt;=Hypothèses!$C$17,Hypothèses!$A$17,IF(B276&lt;=Hypothèses!$C$18,Hypothèses!$A$18,C275))))))))))))</f>
        <v>11</v>
      </c>
      <c r="D276" s="82" t="str">
        <f>IF(B276&lt;=Hypothèses!$C$7,Hypothèses!$R$7,IF(B276&lt;=Hypothèses!$C$8,Hypothèses!$R$8,IF(B276&lt;=Hypothèses!$C$9,Hypothèses!$R$9,IF(B276&lt;=Hypothèses!$C$10,Hypothèses!$R$10,IF(B276&lt;=Hypothèses!$C$11,Hypothèses!$R$11,IF(B276&lt;=Hypothèses!$C$12,Hypothèses!$R$12,IF(B276&lt;=Hypothèses!$C$13,Hypothèses!$R$13,IF(B276&lt;=Hypothèses!$C$14,Hypothèses!$R$14,IF(B276&lt;=Hypothèses!$C$15,Hypothèses!$R$15,IF(B276&lt;=Hypothèses!$C$16,Hypothèses!$R$16,IF(B276&lt;=Hypothèses!$C$17,Hypothèses!$R$17,IF(B276&lt;=Hypothèses!$C$18,Hypothèses!$R$18,D275))))))))))))</f>
        <v>Pressio.</v>
      </c>
      <c r="E276" s="82" t="e">
        <f>IF(B276&lt;=Hypothèses!$C$7,Hypothèses!$G$7,IF(B276&lt;=Hypothèses!$C$8,Hypothèses!$G$8,IF(B276&lt;=Hypothèses!$C$9,Hypothèses!$G$9,IF(B276&lt;=Hypothèses!$C$10,Hypothèses!$G$10,IF(B276&lt;=Hypothèses!$C$11,Hypothèses!$G$11,IF(B276&lt;=Hypothèses!$C$12,Hypothèses!$G$12,IF(B276&lt;=Hypothèses!$C$13,Hypothèses!$G$13,IF(B276&lt;=Hypothèses!$C$14,Hypothèses!$G$14,IF(B276&lt;=Hypothèses!$C$15,Hypothèses!$G$15,IF(B276&lt;=Hypothèses!$C$16,Hypothèses!$G$16,IF(B276&lt;=Hypothèses!$C$17,Hypothèses!$G$17,IF(B276&lt;=Hypothèses!$C$18,Hypothèses!$G$18,E275))))))))))))</f>
        <v>#N/A</v>
      </c>
      <c r="F276" s="82" t="str">
        <f>IF(B276&lt;=Hypothèses!$C$7,Hypothèses!$F$7,IF(B276&lt;=Hypothèses!$C$8,Hypothèses!$F$8,IF(B276&lt;=Hypothèses!$C$9,Hypothèses!$F$9,IF(B276&lt;=Hypothèses!$C$10,Hypothèses!$F$10,IF(B276&lt;=Hypothèses!$C$11,Hypothèses!$F$11,IF(B276&lt;=Hypothèses!$C$12,Hypothèses!$F$12,IF(B276&lt;=Hypothèses!$C$13,Hypothèses!$F$13,IF(B276&lt;=Hypothèses!$C$14,Hypothèses!$F$14,IF(B276&lt;=Hypothèses!$C$15,Hypothèses!$F$15,IF(B276&lt;=Hypothèses!$C$16,Hypothèses!$F$16,IF(B276&lt;=Hypothèses!$C$17,Hypothèses!$F$17,IF(B276&lt;=Hypothèses!$C$18,Hypothèses!$F$18,F275))))))))))))</f>
        <v/>
      </c>
      <c r="G276" s="91">
        <f t="array" ref="G276">INDEX('Coeff EC7'!$U$7:$X$27,
MATCH(Model0.1C!$B$3,'Coeff EC7'!$T$7:$T$27,0),
MATCH(Model0.1C!$D276&amp;Model0.1C!$B$4,
'Coeff EC7'!$U$6:$X$6&amp;
'Coeff EC7'!$U$5:$X$5,0))</f>
        <v>1.1499999999999999</v>
      </c>
      <c r="H276" s="91">
        <f t="array" ref="H276">INDEX('Coeff EC7'!$Y$7:$AB$27,
MATCH(Model0.1C!$B$3,'Coeff EC7'!$T$7:$T$27,0),
MATCH(Model0.1C!$D276&amp;Model0.1C!$B$4,
'Coeff EC7'!$Y$6:$AB$6&amp;
'Coeff EC7'!$Y$5:$AB$5,0))</f>
        <v>1.4</v>
      </c>
      <c r="I276" s="83" t="e">
        <f>IF(B276&lt;=Hypothèses!$C$7,Hypothèses!$P$7,IF(B276&lt;=Hypothèses!$C$8,Hypothèses!$P$8,IF(B276&lt;=Hypothèses!$C$9,Hypothèses!$P$9,IF(B276&lt;=Hypothèses!$C$10,Hypothèses!$P$10,IF(B276&lt;=Hypothèses!$C$11,Hypothèses!$P$11,IF(B276&lt;=Hypothèses!$C$12,Hypothèses!$P$12,IF(B276&lt;=Hypothèses!$C$13,Hypothèses!$P$13,IF(B276&lt;=Hypothèses!$C$14,Hypothèses!$P$14,IF(B276&lt;=Hypothèses!$C$15,Hypothèses!$P$15,IF(B276&lt;=Hypothèses!$C$16,Hypothèses!$P$16,IF(B276&lt;=Hypothèses!$C$17,Hypothèses!$P$17,IF(B276&lt;=Hypothèses!$C$18,Hypothèses!$P$18,I275))))))))))))</f>
        <v>#N/A</v>
      </c>
      <c r="J276" s="91" t="e">
        <f t="array" ref="J276">INDEX('Coeff EC7'!$D$33:$Q$33,1,MATCH(D276&amp;E276,'Coeff EC7'!$D$31:$Q$31&amp;'Coeff EC7'!$D$32:$Q$32,0))</f>
        <v>#N/A</v>
      </c>
      <c r="K276" s="91" t="e">
        <f t="array" ref="K276">INDEX('Coeff EC7'!$D$34:$Q$34,1,MATCH(D276&amp;E276,'Coeff EC7'!$D$31:$Q$31&amp;'Coeff EC7'!$D$32:$Q$32,0))</f>
        <v>#N/A</v>
      </c>
      <c r="L276" s="91" t="e">
        <f t="array" ref="L276">INDEX('Coeff EC7'!$D$35:$Q$35,1,MATCH(D276&amp;E276,'Coeff EC7'!$D$31:$Q$31&amp;'Coeff EC7'!$D$32:$Q$32,0))</f>
        <v>#N/A</v>
      </c>
      <c r="M276" s="98" t="e">
        <f t="shared" si="431"/>
        <v>#N/A</v>
      </c>
      <c r="N276" s="99" t="e">
        <f t="array" ref="N276">INDEX('Coeff EC7'!$D$7:$Q$27,MATCH($B$3,'Coeff EC7'!$C$7:$C$27,0),MATCH(D276&amp;E276,'Coeff EC7'!$D$5:$Q$5&amp;'Coeff EC7'!$D$6:$Q$6,0))</f>
        <v>#N/A</v>
      </c>
      <c r="O276" s="99" t="e">
        <f t="array" ref="O276">INDEX('Coeff EC7'!$D$41:$Q$61,MATCH($B$3,'Coeff EC7'!$C$41:$C$61,0),MATCH(D276&amp;E276,'Coeff EC7'!$D$39:$Q$39&amp;'Coeff EC7'!$D$40:$Q$40,0))</f>
        <v>#N/A</v>
      </c>
      <c r="P276" s="30" t="e">
        <f t="shared" si="468"/>
        <v>#N/A</v>
      </c>
      <c r="Q276" s="100" t="e">
        <f t="shared" si="433"/>
        <v>#N/A</v>
      </c>
      <c r="R276" s="86" t="b">
        <f t="shared" si="434"/>
        <v>0</v>
      </c>
      <c r="S276" s="86">
        <f t="shared" si="432"/>
        <v>0.5</v>
      </c>
      <c r="T276" s="86">
        <f t="shared" si="435"/>
        <v>0.5</v>
      </c>
      <c r="U276" s="30" t="e">
        <f t="shared" ca="1" si="469"/>
        <v>#DIV/0!</v>
      </c>
      <c r="V276" s="85" t="str">
        <f>IF(B276&lt;=Hypothèses!$V$7,Hypothèses!$W$7,IF(B276&lt;=Hypothèses!$V$8,Hypothèses!$W$8,IF(B276&lt;=Hypothèses!$V$9,Hypothèses!$W$9,IF(B276&lt;=Hypothèses!$V$10,Hypothèses!$W$10,IF(B276&lt;=Hypothèses!$V$11,Hypothèses!$W$11,IF(B276&lt;=Hypothèses!$V$12,Hypothèses!$W$12,IF(B276&lt;=Hypothèses!$V$13,Hypothèses!$W$13,IF(B276&lt;=Hypothèses!$V$14,Hypothèses!$W$14,IF(B276&lt;=Hypothèses!$V$15,Hypothèses!$W$15,IF(B276&lt;=Hypothèses!$V$16,Hypothèses!$W$16,IF(B276&lt;=Hypothèses!$V$17,Hypothèses!$W$17,IF(B276&lt;=Hypothèses!$V$18,Hypothèses!$W$18,""))))))))))))</f>
        <v/>
      </c>
      <c r="W276" s="87" t="e">
        <f t="shared" ca="1" si="516"/>
        <v>#DIV/0!</v>
      </c>
      <c r="X276" s="88" t="str">
        <f>IF(B276&lt;=Hypothèses!$V$7,Hypothèses!$X$7,IF(B276&lt;=Hypothèses!$V$8,Hypothèses!$X$8,IF(B276&lt;=Hypothèses!$V$9,Hypothèses!$X$9,IF(B276&lt;=Hypothèses!$V$10,Hypothèses!$X$10,IF(B276&lt;=Hypothèses!$V$11,Hypothèses!$X$11,IF(B276&lt;=Hypothèses!$V$12,Hypothèses!$X$12,IF(B276&lt;=Hypothèses!$V$13,Hypothèses!$X$13,IF(B276&lt;=Hypothèses!$V$14,Hypothèses!$X$14,IF(B276&lt;=Hypothèses!$V$15,Hypothèses!$X$15,IF(B276&lt;=Hypothèses!$V$16,Hypothèses!$X$16,IF(B276&lt;=Hypothèses!$U$17,Hypothèses!$W$17,IF(B276&lt;=Hypothèses!$U$18,Hypothèses!$W$18,""))))))))))))</f>
        <v/>
      </c>
      <c r="Y276" s="95" t="e">
        <f t="shared" ca="1" si="436"/>
        <v>#DIV/0!</v>
      </c>
      <c r="Z276" s="101" t="e">
        <f t="shared" si="437"/>
        <v>#N/A</v>
      </c>
      <c r="AA276" s="91" t="e">
        <f t="shared" si="438"/>
        <v>#N/A</v>
      </c>
      <c r="AB276" s="30" t="e">
        <f t="shared" si="500"/>
        <v>#N/A</v>
      </c>
      <c r="AC276" s="30" t="e">
        <f t="shared" si="501"/>
        <v>#N/A</v>
      </c>
      <c r="AD276" s="31" t="e">
        <f>IF(OR(Hypothèses!$B$4=17,Hypothèses!$B$4=18,Hypothèses!$B$4=19,Hypothèses!$B$4=20),
IF($D276="Pressio.",
IF(OR($E276=3,$E276=1,$E276=4),AC276,AB276),
IF($D276="Pénétro.",
IF(OR($E276=3,$E276=1,$E276=4),AC276,AB276))),IF($D276="Pressio.",
IF($E276=3,AC276,AB276),
IF($D276="Pénétro.",
IF($E276=4,AC276,AB276))))</f>
        <v>#N/A</v>
      </c>
      <c r="AE276" s="31" t="e">
        <f>(IF(OR(Hypothèses!$B$4=17,Hypothèses!$B$4=18,Hypothèses!$B$4=19,Hypothèses!$B$4=20),
IF($D276="Pressio.",
IF(OR($E276=3,$E276=1,$E276=4),(PI()*AE$12^2)/4*(AA276*$W276*1000)/($H276*$B$5),(PI()*AE$12^2)/4*(AA276*$W276*1000)/($G276*$B$5)),
IF($D276="Pénétro.",
IF(OR($E276=4,$E276=1,$E276=5),(PI()*AE$12^2)/4*(AA276*$W276*1000)/($H276*$B$5),(PI()*AE$12^2)/4*(AA276*$W276*1000)/($G276*$B$5)))),
IF($D276="Pressio.",
IF($E276=3,(PI()*AE$12^2)/4*(AA276*$W276*1000)/($H276*$B$5),(PI()*AE$12^2)/4*(AA276*$W276*1000)/($G276*$B$5)),
IF($D276="Pénétro.",
IF($E276=4,(PI()*AE$12^2)/4*(AA276*$W276*1000)/($H276*$B$5),(PI()*AE$12^2)/4*(AA276*$W276*1000)/($G276*$B$5))))))/10</f>
        <v>#N/A</v>
      </c>
      <c r="AF276" s="102" t="e">
        <f>(VLOOKUP($B$3,'Coeff EC7'!$T$39:$X$59,2,0)*AD276+VLOOKUP($B$3,'Coeff EC7'!$T$65:$X$85,2,0)*Model0.1C!AE276)/1.1</f>
        <v>#N/A</v>
      </c>
      <c r="AG276" s="102" t="e">
        <f>(VLOOKUP($B$3,'Coeff EC7'!$T$39:$X$59,3,0)*AD276+VLOOKUP($B$3,'Coeff EC7'!$T$65:$X$85,3,0)*Model0.1C!AE276)/0.9</f>
        <v>#N/A</v>
      </c>
      <c r="AH276" s="102" t="e">
        <f t="shared" si="439"/>
        <v>#N/A</v>
      </c>
      <c r="AI276" s="102" t="e">
        <f t="shared" si="440"/>
        <v>#N/A</v>
      </c>
      <c r="AJ276" s="414" t="e">
        <f>IF(AJ275=0,0,IF(AND(AF276&gt;charge_ELS_quasi,AG276&gt;Charge_ELS_freq,AH276&gt;charge_ELU,AI276&gt;charge_ELA,$B276&gt;NDC!$H$22-0.1+MIN(3*$AJ$12,1.5)),0,1))</f>
        <v>#N/A</v>
      </c>
      <c r="AK276" s="86" t="b">
        <f t="shared" si="441"/>
        <v>0</v>
      </c>
      <c r="AL276" s="86">
        <f t="shared" si="470"/>
        <v>0.5</v>
      </c>
      <c r="AM276" s="86">
        <f t="shared" si="442"/>
        <v>0.5</v>
      </c>
      <c r="AN276" s="30" t="e">
        <f t="shared" ca="1" si="471"/>
        <v>#DIV/0!</v>
      </c>
      <c r="AO276" s="85" t="e">
        <f ca="1">IF(U276&lt;=Hypothèses!$V$7,Hypothèses!$W$7,IF(U276&lt;=Hypothèses!$V$8,Hypothèses!$W$8,IF(U276&lt;=Hypothèses!$V$9,Hypothèses!$W$9,IF(U276&lt;=Hypothèses!$V$10,Hypothèses!$W$10,IF(U276&lt;=Hypothèses!$V$11,Hypothèses!$W$11,IF(U276&lt;=Hypothèses!$V$12,Hypothèses!$W$12,IF(U276&lt;=Hypothèses!$V$13,Hypothèses!$W$13,IF(U276&lt;=Hypothèses!$V$14,Hypothèses!$W$14,IF(U276&lt;=Hypothèses!$V$15,Hypothèses!$W$15,IF(U276&lt;=Hypothèses!$V$16,Hypothèses!$W$16,IF(U276&lt;=Hypothèses!$V$17,Hypothèses!$W$17,IF(U276&lt;=Hypothèses!$V$18,Hypothèses!$W$18,""))))))))))))</f>
        <v>#DIV/0!</v>
      </c>
      <c r="AP276" s="87" t="e">
        <f t="shared" ca="1" si="517"/>
        <v>#DIV/0!</v>
      </c>
      <c r="AQ276" s="88" t="e">
        <f ca="1">IF(U276&lt;=Hypothèses!$V$7,Hypothèses!$X$7,IF(U276&lt;=Hypothèses!$V$8,Hypothèses!$X$8,IF(U276&lt;=Hypothèses!$V$9,Hypothèses!$X$9,IF(U276&lt;=Hypothèses!$V$10,Hypothèses!$X$10,IF(U276&lt;=Hypothèses!$V$11,Hypothèses!$X$11,IF(U276&lt;=Hypothèses!$V$12,Hypothèses!$X$12,IF(U276&lt;=Hypothèses!$V$13,Hypothèses!$X$13,IF(U276&lt;=Hypothèses!$V$14,Hypothèses!$X$14,IF(U276&lt;=Hypothèses!$V$15,Hypothèses!$X$15,IF(U276&lt;=Hypothèses!$V$16,Hypothèses!$X$16,IF(U276&lt;=Hypothèses!$U$17,Hypothèses!$W$17,IF(U276&lt;=Hypothèses!$U$18,Hypothèses!$W$18,""))))))))))))</f>
        <v>#DIV/0!</v>
      </c>
      <c r="AR276" s="95" t="e">
        <f t="shared" ca="1" si="472"/>
        <v>#DIV/0!</v>
      </c>
      <c r="AS276" s="101" t="e">
        <f t="shared" si="524"/>
        <v>#N/A</v>
      </c>
      <c r="AT276" s="91" t="e">
        <f t="shared" si="443"/>
        <v>#N/A</v>
      </c>
      <c r="AU276" s="30" t="e">
        <f t="shared" si="502"/>
        <v>#N/A</v>
      </c>
      <c r="AV276" s="30" t="e">
        <f t="shared" si="503"/>
        <v>#N/A</v>
      </c>
      <c r="AW276" s="31" t="e">
        <f>IF(OR(Hypothèses!$B$4=17,Hypothèses!$B$4=18,Hypothèses!$B$4=19,Hypothèses!$B$4=20),
IF($D276="Pressio.",
IF(OR($E276=3,$E276=1,$E276=4),AV276,AU276),
IF($D276="Pénétro.",
IF(OR($E276=3,$E276=1,$E276=4),AV276,AU276))),IF($D276="Pressio.",
IF($E276=3,AV276,AU276),
IF($D276="Pénétro.",
IF($E276=4,AV276,AU276))))</f>
        <v>#N/A</v>
      </c>
      <c r="AX276" s="31" t="e">
        <f>(IF(OR(Hypothèses!$B$4=17,Hypothèses!$B$4=18,Hypothèses!$B$4=19,Hypothèses!$B$4=20),
IF($D276="Pressio.",
IF(OR($E276=3,$E276=1,$E276=4),(PI()*AX$12^2)/4*(AT276*$W276*1000)/($H276*$B$5),(PI()*AX$12^2)/4*(AT276*$W276*1000)/($G276*$B$5)),
IF($D276="Pénétro.",
IF(OR($E276=4,$E276=1,$E276=5),(PI()*AX$12^2)/4*(AT276*$W276*1000)/($H276*$B$5),(PI()*AX$12^2)/4*(AT276*$W276*1000)/($G276*$B$5)))),
IF($D276="Pressio.",
IF($E276=3,(PI()*AX$12^2)/4*(AT276*$W276*1000)/($H276*$B$5),(PI()*AX$12^2)/4*(AT276*$W276*1000)/($G276*$B$5)),
IF($D276="Pénétro.",
IF($E276=4,(PI()*AX$12^2)/4*(AT276*$W276*1000)/($H276*$B$5),(PI()*AX$12^2)/4*(AT276*$W276*1000)/($G276*$B$5))))))/10</f>
        <v>#N/A</v>
      </c>
      <c r="AY276" s="102" t="e">
        <f>(VLOOKUP($B$3,'Coeff EC7'!$T$39:$X$59,2,0)*AW276+VLOOKUP($B$3,'Coeff EC7'!$T$65:$X$85,2,0)*Model0.1C!AX276)/1.1</f>
        <v>#N/A</v>
      </c>
      <c r="AZ276" s="102" t="e">
        <f>(VLOOKUP($B$3,'Coeff EC7'!$T$39:$X$59,3,0)*AW276+VLOOKUP($B$3,'Coeff EC7'!$T$65:$X$85,3,0)*Model0.1C!AX276)/0.9</f>
        <v>#N/A</v>
      </c>
      <c r="BA276" s="102" t="e">
        <f t="shared" si="473"/>
        <v>#N/A</v>
      </c>
      <c r="BB276" s="102" t="e">
        <f t="shared" si="474"/>
        <v>#N/A</v>
      </c>
      <c r="BC276" s="414" t="e">
        <f>IF(BC275=0,0,IF(AND(AY276&gt;charge_ELS_quasi,AZ276&gt;Charge_ELS_freq,BA276&gt;charge_ELU,BB276&gt;charge_ELA,$B276&gt;NDC!$H$22-0.1+MIN(3*$BC$12,1.5)),0,1))</f>
        <v>#N/A</v>
      </c>
      <c r="BD276" s="86" t="b">
        <f t="shared" si="444"/>
        <v>0</v>
      </c>
      <c r="BE276" s="86">
        <f t="shared" si="475"/>
        <v>0.5</v>
      </c>
      <c r="BF276" s="86">
        <f t="shared" si="445"/>
        <v>0.5</v>
      </c>
      <c r="BG276" s="30" t="e">
        <f t="shared" ca="1" si="476"/>
        <v>#DIV/0!</v>
      </c>
      <c r="BH276" s="85" t="e">
        <f ca="1">IF(AN276&lt;=Hypothèses!$V$7,Hypothèses!$W$7,IF(AN276&lt;=Hypothèses!$V$8,Hypothèses!$W$8,IF(AN276&lt;=Hypothèses!$V$9,Hypothèses!$W$9,IF(AN276&lt;=Hypothèses!$V$10,Hypothèses!$W$10,IF(AN276&lt;=Hypothèses!$V$11,Hypothèses!$W$11,IF(AN276&lt;=Hypothèses!$V$12,Hypothèses!$W$12,IF(AN276&lt;=Hypothèses!$V$13,Hypothèses!$W$13,IF(AN276&lt;=Hypothèses!$V$14,Hypothèses!$W$14,IF(AN276&lt;=Hypothèses!$V$15,Hypothèses!$W$15,IF(AN276&lt;=Hypothèses!$V$16,Hypothèses!$W$16,IF(AN276&lt;=Hypothèses!$V$17,Hypothèses!$W$17,IF(AN276&lt;=Hypothèses!$V$18,Hypothèses!$W$18,""))))))))))))</f>
        <v>#DIV/0!</v>
      </c>
      <c r="BI276" s="87" t="e">
        <f t="shared" ca="1" si="518"/>
        <v>#DIV/0!</v>
      </c>
      <c r="BJ276" s="88" t="e">
        <f ca="1">IF(AN276&lt;=Hypothèses!$V$7,Hypothèses!$X$7,IF(AN276&lt;=Hypothèses!$V$8,Hypothèses!$X$8,IF(AN276&lt;=Hypothèses!$V$9,Hypothèses!$X$9,IF(AN276&lt;=Hypothèses!$V$10,Hypothèses!$X$10,IF(AN276&lt;=Hypothèses!$V$11,Hypothèses!$X$11,IF(AN276&lt;=Hypothèses!$V$12,Hypothèses!$X$12,IF(AN276&lt;=Hypothèses!$V$13,Hypothèses!$X$13,IF(AN276&lt;=Hypothèses!$V$14,Hypothèses!$X$14,IF(AN276&lt;=Hypothèses!$V$15,Hypothèses!$X$15,IF(AN276&lt;=Hypothèses!$V$16,Hypothèses!$X$16,IF(AN276&lt;=Hypothèses!$U$17,Hypothèses!$W$17,IF(AN276&lt;=Hypothèses!$U$18,Hypothèses!$W$18,""))))))))))))</f>
        <v>#DIV/0!</v>
      </c>
      <c r="BK276" s="95" t="e">
        <f t="shared" ca="1" si="477"/>
        <v>#DIV/0!</v>
      </c>
      <c r="BL276" s="101" t="e">
        <f t="shared" si="525"/>
        <v>#N/A</v>
      </c>
      <c r="BM276" s="91" t="e">
        <f t="shared" si="446"/>
        <v>#N/A</v>
      </c>
      <c r="BN276" s="30" t="e">
        <f t="shared" si="504"/>
        <v>#N/A</v>
      </c>
      <c r="BO276" s="30" t="e">
        <f t="shared" si="505"/>
        <v>#N/A</v>
      </c>
      <c r="BP276" s="31" t="e">
        <f>IF(OR(Hypothèses!$B$4=17,Hypothèses!$B$4=18,Hypothèses!$B$4=19,Hypothèses!$B$4=20),
IF($D276="Pressio.",
IF(OR($E276=3,$E276=1,$E276=4),BO276,BN276),
IF($D276="Pénétro.",
IF(OR($E276=3,$E276=1,$E276=4),BO276,BN276))),IF($D276="Pressio.",
IF($E276=3,BO276,BN276),
IF($D276="Pénétro.",
IF($E276=4,BO276,BN276))))</f>
        <v>#N/A</v>
      </c>
      <c r="BQ276" s="31" t="e">
        <f>(IF(OR(Hypothèses!$B$4=17,Hypothèses!$B$4=18,Hypothèses!$B$4=19,Hypothèses!$B$4=20),
IF($D276="Pressio.",
IF(OR($E276=3,$E276=1,$E276=4),(PI()*BQ$12^2)/4*(BM276*$W276*1000)/($H276*$B$5),(PI()*BQ$12^2)/4*(BM276*$W276*1000)/($G276*$B$5)),
IF($D276="Pénétro.",
IF(OR($E276=4,$E276=1,$E276=5),(PI()*BQ$12^2)/4*(BM276*$W276*1000)/($H276*$B$5),(PI()*BQ$12^2)/4*(BM276*$W276*1000)/($G276*$B$5)))),
IF($D276="Pressio.",
IF($E276=3,(PI()*BQ$12^2)/4*(BM276*$W276*1000)/($H276*$B$5),(PI()*BQ$12^2)/4*(BM276*$W276*1000)/($G276*$B$5)),
IF($D276="Pénétro.",
IF($E276=4,(PI()*BQ$12^2)/4*(BM276*$W276*1000)/($H276*$B$5),(PI()*BQ$12^2)/4*(BM276*$W276*1000)/($G276*$B$5))))))/10</f>
        <v>#N/A</v>
      </c>
      <c r="BR276" s="102" t="e">
        <f>(VLOOKUP($B$3,'Coeff EC7'!$T$39:$X$59,2,0)*BP276+VLOOKUP($B$3,'Coeff EC7'!$T$65:$X$85,2,0)*Model0.1C!BQ276)/1.1</f>
        <v>#N/A</v>
      </c>
      <c r="BS276" s="102" t="e">
        <f>(VLOOKUP($B$3,'Coeff EC7'!$T$39:$X$59,3,0)*BP276+VLOOKUP($B$3,'Coeff EC7'!$T$65:$X$85,3,0)*Model0.1C!BQ276)/0.9</f>
        <v>#N/A</v>
      </c>
      <c r="BT276" s="102" t="e">
        <f t="shared" si="478"/>
        <v>#N/A</v>
      </c>
      <c r="BU276" s="102" t="e">
        <f t="shared" si="479"/>
        <v>#N/A</v>
      </c>
      <c r="BV276" s="414" t="e">
        <f>IF(BV275=0,0,IF(AND(BR276&gt;charge_ELS_quasi,BS276&gt;Charge_ELS_freq,BT276&gt;charge_ELU,BU276&gt;charge_ELA,$B276&gt;NDC!$H$22-0.1+MIN(3*$BV$12,1.5)),0,1))</f>
        <v>#N/A</v>
      </c>
      <c r="BW276" s="86" t="b">
        <f t="shared" si="447"/>
        <v>0</v>
      </c>
      <c r="BX276" s="86">
        <f t="shared" si="448"/>
        <v>0.5</v>
      </c>
      <c r="BY276" s="86">
        <f t="shared" si="449"/>
        <v>0.5</v>
      </c>
      <c r="BZ276" s="30" t="e">
        <f t="shared" ca="1" si="480"/>
        <v>#DIV/0!</v>
      </c>
      <c r="CA276" s="85" t="e">
        <f ca="1">IF(BG276&lt;=Hypothèses!$V$7,Hypothèses!$W$7,IF(BG276&lt;=Hypothèses!$V$8,Hypothèses!$W$8,IF(BG276&lt;=Hypothèses!$V$9,Hypothèses!$W$9,IF(BG276&lt;=Hypothèses!$V$10,Hypothèses!$W$10,IF(BG276&lt;=Hypothèses!$V$11,Hypothèses!$W$11,IF(BG276&lt;=Hypothèses!$V$12,Hypothèses!$W$12,IF(BG276&lt;=Hypothèses!$V$13,Hypothèses!$W$13,IF(BG276&lt;=Hypothèses!$V$14,Hypothèses!$W$14,IF(BG276&lt;=Hypothèses!$V$15,Hypothèses!$W$15,IF(BG276&lt;=Hypothèses!$V$16,Hypothèses!$W$16,IF(BG276&lt;=Hypothèses!$V$17,Hypothèses!$W$17,IF(BG276&lt;=Hypothèses!$V$18,Hypothèses!$W$18,""))))))))))))</f>
        <v>#DIV/0!</v>
      </c>
      <c r="CB276" s="87" t="e">
        <f t="shared" ca="1" si="519"/>
        <v>#DIV/0!</v>
      </c>
      <c r="CC276" s="88" t="e">
        <f ca="1">IF(BG276&lt;=Hypothèses!$V$7,Hypothèses!$X$7,IF(BG276&lt;=Hypothèses!$V$8,Hypothèses!$X$8,IF(BG276&lt;=Hypothèses!$V$9,Hypothèses!$X$9,IF(BG276&lt;=Hypothèses!$V$10,Hypothèses!$X$10,IF(BG276&lt;=Hypothèses!$V$11,Hypothèses!$X$11,IF(BG276&lt;=Hypothèses!$V$12,Hypothèses!$X$12,IF(BG276&lt;=Hypothèses!$V$13,Hypothèses!$X$13,IF(BG276&lt;=Hypothèses!$V$14,Hypothèses!$X$14,IF(BG276&lt;=Hypothèses!$V$15,Hypothèses!$X$15,IF(BG276&lt;=Hypothèses!$V$16,Hypothèses!$X$16,IF(BG276&lt;=Hypothèses!$U$17,Hypothèses!$W$17,IF(BG276&lt;=Hypothèses!$U$18,Hypothèses!$W$18,""))))))))))))</f>
        <v>#DIV/0!</v>
      </c>
      <c r="CD276" s="95" t="e">
        <f t="shared" ca="1" si="481"/>
        <v>#DIV/0!</v>
      </c>
      <c r="CE276" s="101" t="e">
        <f t="shared" si="526"/>
        <v>#N/A</v>
      </c>
      <c r="CF276" s="91" t="e">
        <f t="shared" si="450"/>
        <v>#N/A</v>
      </c>
      <c r="CG276" s="30" t="e">
        <f t="shared" si="506"/>
        <v>#N/A</v>
      </c>
      <c r="CH276" s="30" t="e">
        <f t="shared" si="507"/>
        <v>#N/A</v>
      </c>
      <c r="CI276" s="31" t="e">
        <f>IF(OR(Hypothèses!$B$4=17,Hypothèses!$B$4=18,Hypothèses!$B$4=19,Hypothèses!$B$4=20),
IF($D276="Pressio.",
IF(OR($E276=3,$E276=1,$E276=4),CH276,CG276),
IF($D276="Pénétro.",
IF(OR($E276=3,$E276=1,$E276=4),CH276,CG276))),IF($D276="Pressio.",
IF($E276=3,CH276,CG276),
IF($D276="Pénétro.",
IF($E276=4,CH276,CG276))))</f>
        <v>#N/A</v>
      </c>
      <c r="CJ276" s="31" t="e">
        <f>(IF(OR(Hypothèses!$B$4=17,Hypothèses!$B$4=18,Hypothèses!$B$4=19,Hypothèses!$B$4=20),
IF($D276="Pressio.",
IF(OR($E276=3,$E276=1,$E276=4),(PI()*CJ$12^2)/4*(CF276*$W276*1000)/($H276*$B$5),(PI()*CJ$12^2)/4*(CF276*$W276*1000)/($G276*$B$5)),
IF($D276="Pénétro.",
IF(OR($E276=4,$E276=1,$E276=5),(PI()*CJ$12^2)/4*(CF276*$W276*1000)/($H276*$B$5),(PI()*CJ$12^2)/4*(CF276*$W276*1000)/($G276*$B$5)))),
IF($D276="Pressio.",
IF($E276=3,(PI()*CJ$12^2)/4*(CF276*$W276*1000)/($H276*$B$5),(PI()*CJ$12^2)/4*(CF276*$W276*1000)/($G276*$B$5)),
IF($D276="Pénétro.",
IF($E276=4,(PI()*CJ$12^2)/4*(CF276*$W276*1000)/($H276*$B$5),(PI()*CJ$12^2)/4*(CF276*$W276*1000)/($G276*$B$5))))))/10</f>
        <v>#N/A</v>
      </c>
      <c r="CK276" s="102" t="e">
        <f>(VLOOKUP($B$3,'Coeff EC7'!$T$39:$X$59,2,0)*CI276+VLOOKUP($B$3,'Coeff EC7'!$T$65:$X$85,2,0)*Model0.1C!CJ276)/1.1</f>
        <v>#N/A</v>
      </c>
      <c r="CL276" s="102" t="e">
        <f>(VLOOKUP($B$3,'Coeff EC7'!$T$39:$X$59,3,0)*CI276+VLOOKUP($B$3,'Coeff EC7'!$T$65:$X$85,3,0)*Model0.1C!CJ276)/0.9</f>
        <v>#N/A</v>
      </c>
      <c r="CM276" s="102" t="e">
        <f t="shared" si="482"/>
        <v>#N/A</v>
      </c>
      <c r="CN276" s="102" t="e">
        <f t="shared" si="483"/>
        <v>#N/A</v>
      </c>
      <c r="CO276" s="414" t="e">
        <f>IF(CO275=0,0,IF(AND(CK276&gt;charge_ELS_quasi,CL276&gt;Charge_ELS_freq,CM276&gt;charge_ELU,CN276&gt;charge_ELA,$B276&gt;NDC!$H$22-0.1+MIN(3*$CO$12,1.5)),0,1))</f>
        <v>#N/A</v>
      </c>
      <c r="CP276" s="86" t="b">
        <f t="shared" si="451"/>
        <v>0</v>
      </c>
      <c r="CQ276" s="86">
        <f t="shared" si="452"/>
        <v>0.5</v>
      </c>
      <c r="CR276" s="86">
        <f t="shared" si="453"/>
        <v>0.5</v>
      </c>
      <c r="CS276" s="30" t="e">
        <f t="shared" ca="1" si="484"/>
        <v>#DIV/0!</v>
      </c>
      <c r="CT276" s="85" t="e">
        <f ca="1">IF(BZ276&lt;=Hypothèses!$V$7,Hypothèses!$W$7,IF(BZ276&lt;=Hypothèses!$V$8,Hypothèses!$W$8,IF(BZ276&lt;=Hypothèses!$V$9,Hypothèses!$W$9,IF(BZ276&lt;=Hypothèses!$V$10,Hypothèses!$W$10,IF(BZ276&lt;=Hypothèses!$V$11,Hypothèses!$W$11,IF(BZ276&lt;=Hypothèses!$V$12,Hypothèses!$W$12,IF(BZ276&lt;=Hypothèses!$V$13,Hypothèses!$W$13,IF(BZ276&lt;=Hypothèses!$V$14,Hypothèses!$W$14,IF(BZ276&lt;=Hypothèses!$V$15,Hypothèses!$W$15,IF(BZ276&lt;=Hypothèses!$V$16,Hypothèses!$W$16,IF(BZ276&lt;=Hypothèses!$V$17,Hypothèses!$W$17,IF(BZ276&lt;=Hypothèses!$V$18,Hypothèses!$W$18,""))))))))))))</f>
        <v>#DIV/0!</v>
      </c>
      <c r="CU276" s="87" t="e">
        <f t="shared" ca="1" si="520"/>
        <v>#DIV/0!</v>
      </c>
      <c r="CV276" s="88" t="e">
        <f ca="1">IF(BZ276&lt;=Hypothèses!$V$7,Hypothèses!$X$7,IF(BZ276&lt;=Hypothèses!$V$8,Hypothèses!$X$8,IF(BZ276&lt;=Hypothèses!$V$9,Hypothèses!$X$9,IF(BZ276&lt;=Hypothèses!$V$10,Hypothèses!$X$10,IF(BZ276&lt;=Hypothèses!$V$11,Hypothèses!$X$11,IF(BZ276&lt;=Hypothèses!$V$12,Hypothèses!$X$12,IF(BZ276&lt;=Hypothèses!$V$13,Hypothèses!$X$13,IF(BZ276&lt;=Hypothèses!$V$14,Hypothèses!$X$14,IF(BZ276&lt;=Hypothèses!$V$15,Hypothèses!$X$15,IF(BZ276&lt;=Hypothèses!$V$16,Hypothèses!$X$16,IF(BZ276&lt;=Hypothèses!$U$17,Hypothèses!$W$17,IF(BZ276&lt;=Hypothèses!$U$18,Hypothèses!$W$18,""))))))))))))</f>
        <v>#DIV/0!</v>
      </c>
      <c r="CW276" s="95" t="e">
        <f t="shared" ca="1" si="485"/>
        <v>#DIV/0!</v>
      </c>
      <c r="CX276" s="101" t="e">
        <f t="shared" si="527"/>
        <v>#N/A</v>
      </c>
      <c r="CY276" s="91" t="e">
        <f t="shared" si="454"/>
        <v>#N/A</v>
      </c>
      <c r="CZ276" s="30" t="e">
        <f t="shared" si="508"/>
        <v>#N/A</v>
      </c>
      <c r="DA276" s="30" t="e">
        <f t="shared" si="509"/>
        <v>#N/A</v>
      </c>
      <c r="DB276" s="31" t="e">
        <f>IF(OR(Hypothèses!$B$4=17,Hypothèses!$B$4=18,Hypothèses!$B$4=19,Hypothèses!$B$4=20),
IF($D276="Pressio.",
IF(OR($E276=3,$E276=1,$E276=4),DA276,CZ276),
IF($D276="Pénétro.",
IF(OR($E276=3,$E276=1,$E276=4),DA276,CZ276))),IF($D276="Pressio.",
IF($E276=3,DA276,CZ276),
IF($D276="Pénétro.",
IF($E276=4,DA276,CZ276))))</f>
        <v>#N/A</v>
      </c>
      <c r="DC276" s="31" t="e">
        <f>(IF(OR(Hypothèses!$B$4=17,Hypothèses!$B$4=18,Hypothèses!$B$4=19,Hypothèses!$B$4=20),
IF($D276="Pressio.",
IF(OR($E276=3,$E276=1,$E276=4),(PI()*DC$12^2)/4*(CY276*$W276*1000)/($H276*$B$5),(PI()*DC$12^2)/4*(CY276*$W276*1000)/($G276*$B$5)),
IF($D276="Pénétro.",
IF(OR($E276=4,$E276=1,$E276=5),(PI()*DC$12^2)/4*(CY276*$W276*1000)/($H276*$B$5),(PI()*DC$12^2)/4*(CY276*$W276*1000)/($G276*$B$5)))),
IF($D276="Pressio.",
IF($E276=3,(PI()*DC$12^2)/4*(CY276*$W276*1000)/($H276*$B$5),(PI()*DC$12^2)/4*(CY276*$W276*1000)/($G276*$B$5)),
IF($D276="Pénétro.",
IF($E276=4,(PI()*DC$12^2)/4*(CY276*$W276*1000)/($H276*$B$5),(PI()*DC$12^2)/4*(CY276*$W276*1000)/($G276*$B$5))))))/10</f>
        <v>#N/A</v>
      </c>
      <c r="DD276" s="102" t="e">
        <f>(VLOOKUP($B$3,'Coeff EC7'!$T$39:$X$59,2,0)*DB276+VLOOKUP($B$3,'Coeff EC7'!$T$65:$X$85,2,0)*Model0.1C!DC276)/1.1</f>
        <v>#N/A</v>
      </c>
      <c r="DE276" s="102" t="e">
        <f>(VLOOKUP($B$3,'Coeff EC7'!$T$39:$X$59,3,0)*DB276+VLOOKUP($B$3,'Coeff EC7'!$T$65:$X$85,3,0)*Model0.1C!DC276)/0.9</f>
        <v>#N/A</v>
      </c>
      <c r="DF276" s="102" t="e">
        <f t="shared" si="486"/>
        <v>#N/A</v>
      </c>
      <c r="DG276" s="102" t="e">
        <f t="shared" si="487"/>
        <v>#N/A</v>
      </c>
      <c r="DH276" s="414" t="e">
        <f>IF(DH275=0,0,IF(AND(DD276&gt;charge_ELS_quasi,DE276&gt;Charge_ELS_freq,DF276&gt;charge_ELU,DG276&gt;charge_ELA,$B276&gt;NDC!$H$22-0.1+MIN(3*$DH$12,1.5)),0,1))</f>
        <v>#N/A</v>
      </c>
      <c r="DI276" s="86" t="b">
        <f t="shared" si="455"/>
        <v>0</v>
      </c>
      <c r="DJ276" s="86">
        <f t="shared" si="456"/>
        <v>0.5</v>
      </c>
      <c r="DK276" s="86">
        <f t="shared" si="457"/>
        <v>0.5</v>
      </c>
      <c r="DL276" s="30" t="e">
        <f t="shared" ca="1" si="488"/>
        <v>#DIV/0!</v>
      </c>
      <c r="DM276" s="85" t="e">
        <f ca="1">IF(CS276&lt;=Hypothèses!$V$7,Hypothèses!$W$7,IF(CS276&lt;=Hypothèses!$V$8,Hypothèses!$W$8,IF(CS276&lt;=Hypothèses!$V$9,Hypothèses!$W$9,IF(CS276&lt;=Hypothèses!$V$10,Hypothèses!$W$10,IF(CS276&lt;=Hypothèses!$V$11,Hypothèses!$W$11,IF(CS276&lt;=Hypothèses!$V$12,Hypothèses!$W$12,IF(CS276&lt;=Hypothèses!$V$13,Hypothèses!$W$13,IF(CS276&lt;=Hypothèses!$V$14,Hypothèses!$W$14,IF(CS276&lt;=Hypothèses!$V$15,Hypothèses!$W$15,IF(CS276&lt;=Hypothèses!$V$16,Hypothèses!$W$16,IF(CS276&lt;=Hypothèses!$V$17,Hypothèses!$W$17,IF(CS276&lt;=Hypothèses!$V$18,Hypothèses!$W$18,""))))))))))))</f>
        <v>#DIV/0!</v>
      </c>
      <c r="DN276" s="87" t="e">
        <f t="shared" ca="1" si="521"/>
        <v>#DIV/0!</v>
      </c>
      <c r="DO276" s="88" t="e">
        <f ca="1">IF(CS276&lt;=Hypothèses!$V$7,Hypothèses!$X$7,IF(CS276&lt;=Hypothèses!$V$8,Hypothèses!$X$8,IF(CS276&lt;=Hypothèses!$V$9,Hypothèses!$X$9,IF(CS276&lt;=Hypothèses!$V$10,Hypothèses!$X$10,IF(CS276&lt;=Hypothèses!$V$11,Hypothèses!$X$11,IF(CS276&lt;=Hypothèses!$V$12,Hypothèses!$X$12,IF(CS276&lt;=Hypothèses!$V$13,Hypothèses!$X$13,IF(CS276&lt;=Hypothèses!$V$14,Hypothèses!$X$14,IF(CS276&lt;=Hypothèses!$V$15,Hypothèses!$X$15,IF(CS276&lt;=Hypothèses!$V$16,Hypothèses!$X$16,IF(CS276&lt;=Hypothèses!$U$17,Hypothèses!$W$17,IF(CS276&lt;=Hypothèses!$U$18,Hypothèses!$W$18,""))))))))))))</f>
        <v>#DIV/0!</v>
      </c>
      <c r="DP276" s="95" t="e">
        <f t="shared" ca="1" si="489"/>
        <v>#DIV/0!</v>
      </c>
      <c r="DQ276" s="101" t="e">
        <f t="shared" si="528"/>
        <v>#N/A</v>
      </c>
      <c r="DR276" s="91" t="e">
        <f t="shared" si="458"/>
        <v>#N/A</v>
      </c>
      <c r="DS276" s="30" t="e">
        <f t="shared" si="510"/>
        <v>#N/A</v>
      </c>
      <c r="DT276" s="30" t="e">
        <f t="shared" si="511"/>
        <v>#N/A</v>
      </c>
      <c r="DU276" s="31" t="e">
        <f>IF(OR(Hypothèses!$B$4=17,Hypothèses!$B$4=18,Hypothèses!$B$4=19,Hypothèses!$B$4=20),
IF($D276="Pressio.",
IF(OR($E276=3,$E276=1,$E276=4),DT276,DS276),
IF($D276="Pénétro.",
IF(OR($E276=3,$E276=1,$E276=4),DT276,DS276))),IF($D276="Pressio.",
IF($E276=3,DT276,DS276),
IF($D276="Pénétro.",
IF($E276=4,DT276,DS276))))</f>
        <v>#N/A</v>
      </c>
      <c r="DV276" s="31" t="e">
        <f>(IF(OR(Hypothèses!$B$4=17,Hypothèses!$B$4=18,Hypothèses!$B$4=19,Hypothèses!$B$4=20),
IF($D276="Pressio.",
IF(OR($E276=3,$E276=1,$E276=4),(PI()*DV$12^2)/4*(DR276*$W276*1000)/($H276*$B$5),(PI()*DV$12^2)/4*(DR276*$W276*1000)/($G276*$B$5)),
IF($D276="Pénétro.",
IF(OR($E276=4,$E276=1,$E276=5),(PI()*DV$12^2)/4*(DR276*$W276*1000)/($H276*$B$5),(PI()*DV$12^2)/4*(DR276*$W276*1000)/($G276*$B$5)))),
IF($D276="Pressio.",
IF($E276=3,(PI()*DV$12^2)/4*(DR276*$W276*1000)/($H276*$B$5),(PI()*DV$12^2)/4*(DR276*$W276*1000)/($G276*$B$5)),
IF($D276="Pénétro.",
IF($E276=4,(PI()*DV$12^2)/4*(DR276*$W276*1000)/($H276*$B$5),(PI()*DV$12^2)/4*(DR276*$W276*1000)/($G276*$B$5))))))/10</f>
        <v>#N/A</v>
      </c>
      <c r="DW276" s="102" t="e">
        <f>(VLOOKUP($B$3,'Coeff EC7'!$T$39:$X$59,2,0)*DU276+VLOOKUP($B$3,'Coeff EC7'!$T$65:$X$85,2,0)*Model0.1C!DV276)/1.1</f>
        <v>#N/A</v>
      </c>
      <c r="DX276" s="102" t="e">
        <f>(VLOOKUP($B$3,'Coeff EC7'!$T$39:$X$59,3,0)*DU276+VLOOKUP($B$3,'Coeff EC7'!$T$65:$X$85,3,0)*Model0.1C!DV276)/0.9</f>
        <v>#N/A</v>
      </c>
      <c r="DY276" s="102" t="e">
        <f t="shared" si="490"/>
        <v>#N/A</v>
      </c>
      <c r="DZ276" s="102" t="e">
        <f t="shared" si="491"/>
        <v>#N/A</v>
      </c>
      <c r="EA276" s="414" t="e">
        <f>IF(EA275=0,0,IF(AND(DW276&gt;charge_ELS_quasi,DX276&gt;Charge_ELS_freq,DY276&gt;charge_ELU,DZ276&gt;charge_ELA,$B276&gt;NDC!$H$22-0.1+MIN(3*$EA$12,1.5)),0,1))</f>
        <v>#N/A</v>
      </c>
      <c r="EB276" s="86" t="b">
        <f t="shared" si="459"/>
        <v>0</v>
      </c>
      <c r="EC276" s="418">
        <f t="shared" si="460"/>
        <v>0.51</v>
      </c>
      <c r="ED276" s="86">
        <f t="shared" si="461"/>
        <v>0.51</v>
      </c>
      <c r="EE276" s="30" t="e">
        <f t="shared" ca="1" si="492"/>
        <v>#DIV/0!</v>
      </c>
      <c r="EF276" s="85" t="e">
        <f ca="1">IF(DL276&lt;=Hypothèses!$V$7,Hypothèses!$W$7,IF(DL276&lt;=Hypothèses!$V$8,Hypothèses!$W$8,IF(DL276&lt;=Hypothèses!$V$9,Hypothèses!$W$9,IF(DL276&lt;=Hypothèses!$V$10,Hypothèses!$W$10,IF(DL276&lt;=Hypothèses!$V$11,Hypothèses!$W$11,IF(DL276&lt;=Hypothèses!$V$12,Hypothèses!$W$12,IF(DL276&lt;=Hypothèses!$V$13,Hypothèses!$W$13,IF(DL276&lt;=Hypothèses!$V$14,Hypothèses!$W$14,IF(DL276&lt;=Hypothèses!$V$15,Hypothèses!$W$15,IF(DL276&lt;=Hypothèses!$V$16,Hypothèses!$W$16,IF(DL276&lt;=Hypothèses!$V$17,Hypothèses!$W$17,IF(DL276&lt;=Hypothèses!$V$18,Hypothèses!$W$18,""))))))))))))</f>
        <v>#DIV/0!</v>
      </c>
      <c r="EG276" s="87" t="e">
        <f t="shared" ca="1" si="522"/>
        <v>#DIV/0!</v>
      </c>
      <c r="EH276" s="88" t="e">
        <f ca="1">IF(DL276&lt;=Hypothèses!$V$7,Hypothèses!$X$7,IF(DL276&lt;=Hypothèses!$V$8,Hypothèses!$X$8,IF(DL276&lt;=Hypothèses!$V$9,Hypothèses!$X$9,IF(DL276&lt;=Hypothèses!$V$10,Hypothèses!$X$10,IF(DL276&lt;=Hypothèses!$V$11,Hypothèses!$X$11,IF(DL276&lt;=Hypothèses!$V$12,Hypothèses!$X$12,IF(DL276&lt;=Hypothèses!$V$13,Hypothèses!$X$13,IF(DL276&lt;=Hypothèses!$V$14,Hypothèses!$X$14,IF(DL276&lt;=Hypothèses!$V$15,Hypothèses!$X$15,IF(DL276&lt;=Hypothèses!$V$16,Hypothèses!$X$16,IF(DL276&lt;=Hypothèses!$U$17,Hypothèses!$W$17,IF(DL276&lt;=Hypothèses!$U$18,Hypothèses!$W$18,""))))))))))))</f>
        <v>#DIV/0!</v>
      </c>
      <c r="EI276" s="95" t="e">
        <f t="shared" ca="1" si="493"/>
        <v>#DIV/0!</v>
      </c>
      <c r="EJ276" s="101" t="e">
        <f t="shared" si="529"/>
        <v>#N/A</v>
      </c>
      <c r="EK276" s="91" t="e">
        <f t="shared" si="462"/>
        <v>#N/A</v>
      </c>
      <c r="EL276" s="30" t="e">
        <f t="shared" si="512"/>
        <v>#N/A</v>
      </c>
      <c r="EM276" s="30" t="e">
        <f t="shared" si="513"/>
        <v>#N/A</v>
      </c>
      <c r="EN276" s="31" t="e">
        <f>IF(OR(Hypothèses!$B$4=17,Hypothèses!$B$4=18,Hypothèses!$B$4=19,Hypothèses!$B$4=20),
IF($D276="Pressio.",
IF(OR($E276=3,$E276=1,$E276=4),EM276,EL276),
IF($D276="Pénétro.",
IF(OR($E276=3,$E276=1,$E276=4),EM276,EL276))),IF($D276="Pressio.",
IF($E276=3,EM276,EL276),
IF($D276="Pénétro.",
IF($E276=4,EM276,EL276))))</f>
        <v>#N/A</v>
      </c>
      <c r="EO276" s="31" t="e">
        <f>(IF(OR(Hypothèses!$B$4=17,Hypothèses!$B$4=18,Hypothèses!$B$4=19,Hypothèses!$B$4=20),
IF($D276="Pressio.",
IF(OR($E276=3,$E276=1,$E276=4),(PI()*EO$12^2)/4*(EK276*$W276*1000)/($H276*$B$5),(PI()*EO$12^2)/4*(EK276*$W276*1000)/($G276*$B$5)),
IF($D276="Pénétro.",
IF(OR($E276=4,$E276=1,$E276=5),(PI()*EO$12^2)/4*(EK276*$W276*1000)/($H276*$B$5),(PI()*EO$12^2)/4*(EK276*$W276*1000)/($G276*$B$5)))),
IF($D276="Pressio.",
IF($E276=3,(PI()*EO$12^2)/4*(EK276*$W276*1000)/($H276*$B$5),(PI()*EO$12^2)/4*(EK276*$W276*1000)/($G276*$B$5)),
IF($D276="Pénétro.",
IF($E276=4,(PI()*EO$12^2)/4*(EK276*$W276*1000)/($H276*$B$5),(PI()*EO$12^2)/4*(EK276*$W276*1000)/($G276*$B$5))))))/10</f>
        <v>#N/A</v>
      </c>
      <c r="EP276" s="102" t="e">
        <f>(VLOOKUP($B$3,'Coeff EC7'!$T$39:$X$59,2,0)*EN276+VLOOKUP($B$3,'Coeff EC7'!$T$65:$X$85,2,0)*Model0.1C!EO276)/1.1</f>
        <v>#N/A</v>
      </c>
      <c r="EQ276" s="102" t="e">
        <f>(VLOOKUP($B$3,'Coeff EC7'!$T$39:$X$59,3,0)*EN276+VLOOKUP($B$3,'Coeff EC7'!$T$65:$X$85,3,0)*Model0.1C!EO276)/0.9</f>
        <v>#N/A</v>
      </c>
      <c r="ER276" s="102" t="e">
        <f t="shared" si="494"/>
        <v>#N/A</v>
      </c>
      <c r="ES276" s="102" t="e">
        <f t="shared" si="495"/>
        <v>#N/A</v>
      </c>
      <c r="ET276" s="414" t="e">
        <f>IF(ET275=0,0,IF(AND(EP276&gt;charge_ELS_quasi,EQ276&gt;Charge_ELS_freq,ER276&gt;charge_ELU,ES276&gt;charge_ELA,$B276&gt;NDC!$H$22-0.1+MIN(3*$ET$12,1.5)),0,1))</f>
        <v>#N/A</v>
      </c>
      <c r="EU276" s="86" t="b">
        <f t="shared" si="463"/>
        <v>0</v>
      </c>
      <c r="EV276" s="86">
        <f t="shared" si="464"/>
        <v>0.61</v>
      </c>
      <c r="EW276" s="86">
        <f t="shared" si="465"/>
        <v>0.61</v>
      </c>
      <c r="EX276" s="30" t="e">
        <f t="shared" ca="1" si="496"/>
        <v>#DIV/0!</v>
      </c>
      <c r="EY276" s="85" t="e">
        <f ca="1">IF(EE276&lt;=Hypothèses!$V$7,Hypothèses!$W$7,IF(EE276&lt;=Hypothèses!$V$8,Hypothèses!$W$8,IF(EE276&lt;=Hypothèses!$V$9,Hypothèses!$W$9,IF(EE276&lt;=Hypothèses!$V$10,Hypothèses!$W$10,IF(EE276&lt;=Hypothèses!$V$11,Hypothèses!$W$11,IF(EE276&lt;=Hypothèses!$V$12,Hypothèses!$W$12,IF(EE276&lt;=Hypothèses!$V$13,Hypothèses!$W$13,IF(EE276&lt;=Hypothèses!$V$14,Hypothèses!$W$14,IF(EE276&lt;=Hypothèses!$V$15,Hypothèses!$W$15,IF(EE276&lt;=Hypothèses!$V$16,Hypothèses!$W$16,IF(EE276&lt;=Hypothèses!$V$17,Hypothèses!$W$17,IF(EE276&lt;=Hypothèses!$V$18,Hypothèses!$W$18,""))))))))))))</f>
        <v>#DIV/0!</v>
      </c>
      <c r="EZ276" s="87" t="e">
        <f t="shared" ca="1" si="523"/>
        <v>#DIV/0!</v>
      </c>
      <c r="FA276" s="88" t="e">
        <f ca="1">IF(EE276&lt;=Hypothèses!$V$7,Hypothèses!$X$7,IF(EE276&lt;=Hypothèses!$V$8,Hypothèses!$X$8,IF(EE276&lt;=Hypothèses!$V$9,Hypothèses!$X$9,IF(EE276&lt;=Hypothèses!$V$10,Hypothèses!$X$10,IF(EE276&lt;=Hypothèses!$V$11,Hypothèses!$X$11,IF(EE276&lt;=Hypothèses!$V$12,Hypothèses!$X$12,IF(EE276&lt;=Hypothèses!$V$13,Hypothèses!$X$13,IF(EE276&lt;=Hypothèses!$V$14,Hypothèses!$X$14,IF(EE276&lt;=Hypothèses!$V$15,Hypothèses!$X$15,IF(EE276&lt;=Hypothèses!$V$16,Hypothèses!$X$16,IF(EE276&lt;=Hypothèses!$U$17,Hypothèses!$W$17,IF(EE276&lt;=Hypothèses!$U$18,Hypothèses!$W$18,""))))))))))))</f>
        <v>#DIV/0!</v>
      </c>
      <c r="FB276" s="95" t="e">
        <f t="shared" ca="1" si="497"/>
        <v>#DIV/0!</v>
      </c>
      <c r="FC276" s="101" t="e">
        <f t="shared" si="530"/>
        <v>#N/A</v>
      </c>
      <c r="FD276" s="91" t="e">
        <f t="shared" si="466"/>
        <v>#N/A</v>
      </c>
      <c r="FE276" s="30" t="e">
        <f t="shared" si="514"/>
        <v>#N/A</v>
      </c>
      <c r="FF276" s="30" t="e">
        <f t="shared" si="515"/>
        <v>#N/A</v>
      </c>
      <c r="FG276" s="31" t="e">
        <f>IF(OR(Hypothèses!$B$4=17,Hypothèses!$B$4=18,Hypothèses!$B$4=19,Hypothèses!$B$4=20),
IF($D276="Pressio.",
IF(OR($E276=3,$E276=1,$E276=4),FF276,FE276),
IF($D276="Pénétro.",
IF(OR($E276=3,$E276=1,$E276=4),FF276,FE276))),IF($D276="Pressio.",
IF($E276=3,FF276,FE276),
IF($D276="Pénétro.",
IF($E276=4,FF276,FE276))))</f>
        <v>#N/A</v>
      </c>
      <c r="FH276" s="31" t="e">
        <f>(IF(OR(Hypothèses!$B$4=17,Hypothèses!$B$4=18,Hypothèses!$B$4=19,Hypothèses!$B$4=20),
IF($D276="Pressio.",
IF(OR($E276=3,$E276=1,$E276=4),(PI()*FH$12^2)/4*(FD276*$W276*1000)/($H276*$B$5),(PI()*FH$12^2)/4*(FD276*$W276*1000)/($G276*$B$5)),
IF($D276="Pénétro.",
IF(OR($E276=4,$E276=1,$E276=5),(PI()*FH$12^2)/4*(FD276*$W276*1000)/($H276*$B$5),(PI()*FH$12^2)/4*(FD276*$W276*1000)/($G276*$B$5)))),
IF($D276="Pressio.",
IF($E276=3,(PI()*FH$12^2)/4*(FD276*$W276*1000)/($H276*$B$5),(PI()*FH$12^2)/4*(FD276*$W276*1000)/($G276*$B$5)),
IF($D276="Pénétro.",
IF($E276=4,(PI()*FH$12^2)/4*(FD276*$W276*1000)/($H276*$B$5),(PI()*FH$12^2)/4*(FD276*$W276*1000)/($G276*$B$5))))))/10</f>
        <v>#N/A</v>
      </c>
      <c r="FI276" s="102" t="e">
        <f>(VLOOKUP($B$3,'Coeff EC7'!$T$39:$X$59,2,0)*FG276+VLOOKUP($B$3,'Coeff EC7'!$T$65:$X$85,2,0)*Model0.1C!FH276)/1.1</f>
        <v>#N/A</v>
      </c>
      <c r="FJ276" s="102" t="e">
        <f>(VLOOKUP($B$3,'Coeff EC7'!$T$39:$X$59,3,0)*FG276+VLOOKUP($B$3,'Coeff EC7'!$T$65:$X$85,3,0)*Model0.1C!FH276)/0.9</f>
        <v>#N/A</v>
      </c>
      <c r="FK276" s="102" t="e">
        <f t="shared" si="498"/>
        <v>#N/A</v>
      </c>
      <c r="FL276" s="102" t="e">
        <f t="shared" si="499"/>
        <v>#N/A</v>
      </c>
      <c r="FM276" s="414" t="e">
        <f>IF(FM275=0,0,IF(AND(FI276&gt;charge_ELS_quasi,FJ276&gt;Charge_ELS_freq,FK276&gt;charge_ELU,FL276&gt;charge_ELA,$B276&gt;NDC!$H$22-0.1+MIN(3*$FM$12,1.5)),0,1))</f>
        <v>#N/A</v>
      </c>
    </row>
    <row r="277" spans="1:169">
      <c r="A277" s="96">
        <f t="shared" si="467"/>
        <v>73.600000000001501</v>
      </c>
      <c r="B277" s="97">
        <v>26.4</v>
      </c>
      <c r="C277" s="81">
        <f>IF(B277&lt;=Hypothèses!$C$7,Hypothèses!$A$7,IF(B277&lt;=Hypothèses!$C$8,Hypothèses!$A$8,IF(B277&lt;=Hypothèses!$C$9,Hypothèses!$A$9,IF(B277&lt;=Hypothèses!$C$10,Hypothèses!$A$10,IF(B277&lt;=Hypothèses!$C$11,Hypothèses!$A$11,IF(B277&lt;=Hypothèses!$C$12,Hypothèses!$A$12,IF(B277&lt;=Hypothèses!$C$13,Hypothèses!$A$13,IF(B277&lt;=Hypothèses!$C$14,Hypothèses!$A$14,IF(B277&lt;=Hypothèses!$C$15,Hypothèses!$A$15,IF(B277&lt;=Hypothèses!$C$16,Hypothèses!$A$16,IF(B277&lt;=Hypothèses!$C$17,Hypothèses!$A$17,IF(B277&lt;=Hypothèses!$C$18,Hypothèses!$A$18,C276))))))))))))</f>
        <v>11</v>
      </c>
      <c r="D277" s="82" t="str">
        <f>IF(B277&lt;=Hypothèses!$C$7,Hypothèses!$R$7,IF(B277&lt;=Hypothèses!$C$8,Hypothèses!$R$8,IF(B277&lt;=Hypothèses!$C$9,Hypothèses!$R$9,IF(B277&lt;=Hypothèses!$C$10,Hypothèses!$R$10,IF(B277&lt;=Hypothèses!$C$11,Hypothèses!$R$11,IF(B277&lt;=Hypothèses!$C$12,Hypothèses!$R$12,IF(B277&lt;=Hypothèses!$C$13,Hypothèses!$R$13,IF(B277&lt;=Hypothèses!$C$14,Hypothèses!$R$14,IF(B277&lt;=Hypothèses!$C$15,Hypothèses!$R$15,IF(B277&lt;=Hypothèses!$C$16,Hypothèses!$R$16,IF(B277&lt;=Hypothèses!$C$17,Hypothèses!$R$17,IF(B277&lt;=Hypothèses!$C$18,Hypothèses!$R$18,D276))))))))))))</f>
        <v>Pressio.</v>
      </c>
      <c r="E277" s="82" t="e">
        <f>IF(B277&lt;=Hypothèses!$C$7,Hypothèses!$G$7,IF(B277&lt;=Hypothèses!$C$8,Hypothèses!$G$8,IF(B277&lt;=Hypothèses!$C$9,Hypothèses!$G$9,IF(B277&lt;=Hypothèses!$C$10,Hypothèses!$G$10,IF(B277&lt;=Hypothèses!$C$11,Hypothèses!$G$11,IF(B277&lt;=Hypothèses!$C$12,Hypothèses!$G$12,IF(B277&lt;=Hypothèses!$C$13,Hypothèses!$G$13,IF(B277&lt;=Hypothèses!$C$14,Hypothèses!$G$14,IF(B277&lt;=Hypothèses!$C$15,Hypothèses!$G$15,IF(B277&lt;=Hypothèses!$C$16,Hypothèses!$G$16,IF(B277&lt;=Hypothèses!$C$17,Hypothèses!$G$17,IF(B277&lt;=Hypothèses!$C$18,Hypothèses!$G$18,E276))))))))))))</f>
        <v>#N/A</v>
      </c>
      <c r="F277" s="82" t="str">
        <f>IF(B277&lt;=Hypothèses!$C$7,Hypothèses!$F$7,IF(B277&lt;=Hypothèses!$C$8,Hypothèses!$F$8,IF(B277&lt;=Hypothèses!$C$9,Hypothèses!$F$9,IF(B277&lt;=Hypothèses!$C$10,Hypothèses!$F$10,IF(B277&lt;=Hypothèses!$C$11,Hypothèses!$F$11,IF(B277&lt;=Hypothèses!$C$12,Hypothèses!$F$12,IF(B277&lt;=Hypothèses!$C$13,Hypothèses!$F$13,IF(B277&lt;=Hypothèses!$C$14,Hypothèses!$F$14,IF(B277&lt;=Hypothèses!$C$15,Hypothèses!$F$15,IF(B277&lt;=Hypothèses!$C$16,Hypothèses!$F$16,IF(B277&lt;=Hypothèses!$C$17,Hypothèses!$F$17,IF(B277&lt;=Hypothèses!$C$18,Hypothèses!$F$18,F276))))))))))))</f>
        <v/>
      </c>
      <c r="G277" s="91">
        <f t="array" ref="G277">INDEX('Coeff EC7'!$U$7:$X$27,
MATCH(Model0.1C!$B$3,'Coeff EC7'!$T$7:$T$27,0),
MATCH(Model0.1C!$D277&amp;Model0.1C!$B$4,
'Coeff EC7'!$U$6:$X$6&amp;
'Coeff EC7'!$U$5:$X$5,0))</f>
        <v>1.1499999999999999</v>
      </c>
      <c r="H277" s="91">
        <f t="array" ref="H277">INDEX('Coeff EC7'!$Y$7:$AB$27,
MATCH(Model0.1C!$B$3,'Coeff EC7'!$T$7:$T$27,0),
MATCH(Model0.1C!$D277&amp;Model0.1C!$B$4,
'Coeff EC7'!$Y$6:$AB$6&amp;
'Coeff EC7'!$Y$5:$AB$5,0))</f>
        <v>1.4</v>
      </c>
      <c r="I277" s="83" t="e">
        <f>IF(B277&lt;=Hypothèses!$C$7,Hypothèses!$P$7,IF(B277&lt;=Hypothèses!$C$8,Hypothèses!$P$8,IF(B277&lt;=Hypothèses!$C$9,Hypothèses!$P$9,IF(B277&lt;=Hypothèses!$C$10,Hypothèses!$P$10,IF(B277&lt;=Hypothèses!$C$11,Hypothèses!$P$11,IF(B277&lt;=Hypothèses!$C$12,Hypothèses!$P$12,IF(B277&lt;=Hypothèses!$C$13,Hypothèses!$P$13,IF(B277&lt;=Hypothèses!$C$14,Hypothèses!$P$14,IF(B277&lt;=Hypothèses!$C$15,Hypothèses!$P$15,IF(B277&lt;=Hypothèses!$C$16,Hypothèses!$P$16,IF(B277&lt;=Hypothèses!$C$17,Hypothèses!$P$17,IF(B277&lt;=Hypothèses!$C$18,Hypothèses!$P$18,I276))))))))))))</f>
        <v>#N/A</v>
      </c>
      <c r="J277" s="91" t="e">
        <f t="array" ref="J277">INDEX('Coeff EC7'!$D$33:$Q$33,1,MATCH(D277&amp;E277,'Coeff EC7'!$D$31:$Q$31&amp;'Coeff EC7'!$D$32:$Q$32,0))</f>
        <v>#N/A</v>
      </c>
      <c r="K277" s="91" t="e">
        <f t="array" ref="K277">INDEX('Coeff EC7'!$D$34:$Q$34,1,MATCH(D277&amp;E277,'Coeff EC7'!$D$31:$Q$31&amp;'Coeff EC7'!$D$32:$Q$32,0))</f>
        <v>#N/A</v>
      </c>
      <c r="L277" s="91" t="e">
        <f t="array" ref="L277">INDEX('Coeff EC7'!$D$35:$Q$35,1,MATCH(D277&amp;E277,'Coeff EC7'!$D$31:$Q$31&amp;'Coeff EC7'!$D$32:$Q$32,0))</f>
        <v>#N/A</v>
      </c>
      <c r="M277" s="98" t="e">
        <f t="shared" si="431"/>
        <v>#N/A</v>
      </c>
      <c r="N277" s="99" t="e">
        <f t="array" ref="N277">INDEX('Coeff EC7'!$D$7:$Q$27,MATCH($B$3,'Coeff EC7'!$C$7:$C$27,0),MATCH(D277&amp;E277,'Coeff EC7'!$D$5:$Q$5&amp;'Coeff EC7'!$D$6:$Q$6,0))</f>
        <v>#N/A</v>
      </c>
      <c r="O277" s="99" t="e">
        <f t="array" ref="O277">INDEX('Coeff EC7'!$D$41:$Q$61,MATCH($B$3,'Coeff EC7'!$C$41:$C$61,0),MATCH(D277&amp;E277,'Coeff EC7'!$D$39:$Q$39&amp;'Coeff EC7'!$D$40:$Q$40,0))</f>
        <v>#N/A</v>
      </c>
      <c r="P277" s="30" t="e">
        <f t="shared" si="468"/>
        <v>#N/A</v>
      </c>
      <c r="Q277" s="100" t="e">
        <f t="shared" si="433"/>
        <v>#N/A</v>
      </c>
      <c r="R277" s="86" t="b">
        <f t="shared" si="434"/>
        <v>0</v>
      </c>
      <c r="S277" s="86">
        <f t="shared" si="432"/>
        <v>0.5</v>
      </c>
      <c r="T277" s="86">
        <f t="shared" si="435"/>
        <v>0.5</v>
      </c>
      <c r="U277" s="30" t="e">
        <f t="shared" ca="1" si="469"/>
        <v>#DIV/0!</v>
      </c>
      <c r="V277" s="85" t="str">
        <f>IF(B277&lt;=Hypothèses!$V$7,Hypothèses!$W$7,IF(B277&lt;=Hypothèses!$V$8,Hypothèses!$W$8,IF(B277&lt;=Hypothèses!$V$9,Hypothèses!$W$9,IF(B277&lt;=Hypothèses!$V$10,Hypothèses!$W$10,IF(B277&lt;=Hypothèses!$V$11,Hypothèses!$W$11,IF(B277&lt;=Hypothèses!$V$12,Hypothèses!$W$12,IF(B277&lt;=Hypothèses!$V$13,Hypothèses!$W$13,IF(B277&lt;=Hypothèses!$V$14,Hypothèses!$W$14,IF(B277&lt;=Hypothèses!$V$15,Hypothèses!$W$15,IF(B277&lt;=Hypothèses!$V$16,Hypothèses!$W$16,IF(B277&lt;=Hypothèses!$V$17,Hypothèses!$W$17,IF(B277&lt;=Hypothèses!$V$18,Hypothèses!$W$18,""))))))))))))</f>
        <v/>
      </c>
      <c r="W277" s="87" t="e">
        <f t="shared" ca="1" si="516"/>
        <v>#DIV/0!</v>
      </c>
      <c r="X277" s="88" t="str">
        <f>IF(B277&lt;=Hypothèses!$V$7,Hypothèses!$X$7,IF(B277&lt;=Hypothèses!$V$8,Hypothèses!$X$8,IF(B277&lt;=Hypothèses!$V$9,Hypothèses!$X$9,IF(B277&lt;=Hypothèses!$V$10,Hypothèses!$X$10,IF(B277&lt;=Hypothèses!$V$11,Hypothèses!$X$11,IF(B277&lt;=Hypothèses!$V$12,Hypothèses!$X$12,IF(B277&lt;=Hypothèses!$V$13,Hypothèses!$X$13,IF(B277&lt;=Hypothèses!$V$14,Hypothèses!$X$14,IF(B277&lt;=Hypothèses!$V$15,Hypothèses!$X$15,IF(B277&lt;=Hypothèses!$V$16,Hypothèses!$X$16,IF(B277&lt;=Hypothèses!$U$17,Hypothèses!$W$17,IF(B277&lt;=Hypothèses!$U$18,Hypothèses!$W$18,""))))))))))))</f>
        <v/>
      </c>
      <c r="Y277" s="95" t="e">
        <f t="shared" ca="1" si="436"/>
        <v>#DIV/0!</v>
      </c>
      <c r="Z277" s="101" t="e">
        <f t="shared" si="437"/>
        <v>#N/A</v>
      </c>
      <c r="AA277" s="91" t="e">
        <f t="shared" si="438"/>
        <v>#N/A</v>
      </c>
      <c r="AB277" s="30" t="e">
        <f t="shared" si="500"/>
        <v>#N/A</v>
      </c>
      <c r="AC277" s="30" t="e">
        <f t="shared" si="501"/>
        <v>#N/A</v>
      </c>
      <c r="AD277" s="31" t="e">
        <f>IF(OR(Hypothèses!$B$4=17,Hypothèses!$B$4=18,Hypothèses!$B$4=19,Hypothèses!$B$4=20),
IF($D277="Pressio.",
IF(OR($E277=3,$E277=1,$E277=4),AC277,AB277),
IF($D277="Pénétro.",
IF(OR($E277=3,$E277=1,$E277=4),AC277,AB277))),IF($D277="Pressio.",
IF($E277=3,AC277,AB277),
IF($D277="Pénétro.",
IF($E277=4,AC277,AB277))))</f>
        <v>#N/A</v>
      </c>
      <c r="AE277" s="31" t="e">
        <f>(IF(OR(Hypothèses!$B$4=17,Hypothèses!$B$4=18,Hypothèses!$B$4=19,Hypothèses!$B$4=20),
IF($D277="Pressio.",
IF(OR($E277=3,$E277=1,$E277=4),(PI()*AE$12^2)/4*(AA277*$W277*1000)/($H277*$B$5),(PI()*AE$12^2)/4*(AA277*$W277*1000)/($G277*$B$5)),
IF($D277="Pénétro.",
IF(OR($E277=4,$E277=1,$E277=5),(PI()*AE$12^2)/4*(AA277*$W277*1000)/($H277*$B$5),(PI()*AE$12^2)/4*(AA277*$W277*1000)/($G277*$B$5)))),
IF($D277="Pressio.",
IF($E277=3,(PI()*AE$12^2)/4*(AA277*$W277*1000)/($H277*$B$5),(PI()*AE$12^2)/4*(AA277*$W277*1000)/($G277*$B$5)),
IF($D277="Pénétro.",
IF($E277=4,(PI()*AE$12^2)/4*(AA277*$W277*1000)/($H277*$B$5),(PI()*AE$12^2)/4*(AA277*$W277*1000)/($G277*$B$5))))))/10</f>
        <v>#N/A</v>
      </c>
      <c r="AF277" s="102" t="e">
        <f>(VLOOKUP($B$3,'Coeff EC7'!$T$39:$X$59,2,0)*AD277+VLOOKUP($B$3,'Coeff EC7'!$T$65:$X$85,2,0)*Model0.1C!AE277)/1.1</f>
        <v>#N/A</v>
      </c>
      <c r="AG277" s="102" t="e">
        <f>(VLOOKUP($B$3,'Coeff EC7'!$T$39:$X$59,3,0)*AD277+VLOOKUP($B$3,'Coeff EC7'!$T$65:$X$85,3,0)*Model0.1C!AE277)/0.9</f>
        <v>#N/A</v>
      </c>
      <c r="AH277" s="102" t="e">
        <f t="shared" si="439"/>
        <v>#N/A</v>
      </c>
      <c r="AI277" s="102" t="e">
        <f t="shared" si="440"/>
        <v>#N/A</v>
      </c>
      <c r="AJ277" s="414" t="e">
        <f>IF(AJ276=0,0,IF(AND(AF277&gt;charge_ELS_quasi,AG277&gt;Charge_ELS_freq,AH277&gt;charge_ELU,AI277&gt;charge_ELA,$B277&gt;NDC!$H$22-0.1+MIN(3*$AJ$12,1.5)),0,1))</f>
        <v>#N/A</v>
      </c>
      <c r="AK277" s="86" t="b">
        <f t="shared" si="441"/>
        <v>0</v>
      </c>
      <c r="AL277" s="86">
        <f t="shared" si="470"/>
        <v>0.5</v>
      </c>
      <c r="AM277" s="86">
        <f t="shared" si="442"/>
        <v>0.5</v>
      </c>
      <c r="AN277" s="30" t="e">
        <f t="shared" ca="1" si="471"/>
        <v>#DIV/0!</v>
      </c>
      <c r="AO277" s="85" t="e">
        <f ca="1">IF(U277&lt;=Hypothèses!$V$7,Hypothèses!$W$7,IF(U277&lt;=Hypothèses!$V$8,Hypothèses!$W$8,IF(U277&lt;=Hypothèses!$V$9,Hypothèses!$W$9,IF(U277&lt;=Hypothèses!$V$10,Hypothèses!$W$10,IF(U277&lt;=Hypothèses!$V$11,Hypothèses!$W$11,IF(U277&lt;=Hypothèses!$V$12,Hypothèses!$W$12,IF(U277&lt;=Hypothèses!$V$13,Hypothèses!$W$13,IF(U277&lt;=Hypothèses!$V$14,Hypothèses!$W$14,IF(U277&lt;=Hypothèses!$V$15,Hypothèses!$W$15,IF(U277&lt;=Hypothèses!$V$16,Hypothèses!$W$16,IF(U277&lt;=Hypothèses!$V$17,Hypothèses!$W$17,IF(U277&lt;=Hypothèses!$V$18,Hypothèses!$W$18,""))))))))))))</f>
        <v>#DIV/0!</v>
      </c>
      <c r="AP277" s="87" t="e">
        <f t="shared" ca="1" si="517"/>
        <v>#DIV/0!</v>
      </c>
      <c r="AQ277" s="88" t="e">
        <f ca="1">IF(U277&lt;=Hypothèses!$V$7,Hypothèses!$X$7,IF(U277&lt;=Hypothèses!$V$8,Hypothèses!$X$8,IF(U277&lt;=Hypothèses!$V$9,Hypothèses!$X$9,IF(U277&lt;=Hypothèses!$V$10,Hypothèses!$X$10,IF(U277&lt;=Hypothèses!$V$11,Hypothèses!$X$11,IF(U277&lt;=Hypothèses!$V$12,Hypothèses!$X$12,IF(U277&lt;=Hypothèses!$V$13,Hypothèses!$X$13,IF(U277&lt;=Hypothèses!$V$14,Hypothèses!$X$14,IF(U277&lt;=Hypothèses!$V$15,Hypothèses!$X$15,IF(U277&lt;=Hypothèses!$V$16,Hypothèses!$X$16,IF(U277&lt;=Hypothèses!$U$17,Hypothèses!$W$17,IF(U277&lt;=Hypothèses!$U$18,Hypothèses!$W$18,""))))))))))))</f>
        <v>#DIV/0!</v>
      </c>
      <c r="AR277" s="95" t="e">
        <f t="shared" ca="1" si="472"/>
        <v>#DIV/0!</v>
      </c>
      <c r="AS277" s="101" t="e">
        <f t="shared" si="524"/>
        <v>#N/A</v>
      </c>
      <c r="AT277" s="91" t="e">
        <f t="shared" si="443"/>
        <v>#N/A</v>
      </c>
      <c r="AU277" s="30" t="e">
        <f t="shared" si="502"/>
        <v>#N/A</v>
      </c>
      <c r="AV277" s="30" t="e">
        <f t="shared" si="503"/>
        <v>#N/A</v>
      </c>
      <c r="AW277" s="31" t="e">
        <f>IF(OR(Hypothèses!$B$4=17,Hypothèses!$B$4=18,Hypothèses!$B$4=19,Hypothèses!$B$4=20),
IF($D277="Pressio.",
IF(OR($E277=3,$E277=1,$E277=4),AV277,AU277),
IF($D277="Pénétro.",
IF(OR($E277=3,$E277=1,$E277=4),AV277,AU277))),IF($D277="Pressio.",
IF($E277=3,AV277,AU277),
IF($D277="Pénétro.",
IF($E277=4,AV277,AU277))))</f>
        <v>#N/A</v>
      </c>
      <c r="AX277" s="31" t="e">
        <f>(IF(OR(Hypothèses!$B$4=17,Hypothèses!$B$4=18,Hypothèses!$B$4=19,Hypothèses!$B$4=20),
IF($D277="Pressio.",
IF(OR($E277=3,$E277=1,$E277=4),(PI()*AX$12^2)/4*(AT277*$W277*1000)/($H277*$B$5),(PI()*AX$12^2)/4*(AT277*$W277*1000)/($G277*$B$5)),
IF($D277="Pénétro.",
IF(OR($E277=4,$E277=1,$E277=5),(PI()*AX$12^2)/4*(AT277*$W277*1000)/($H277*$B$5),(PI()*AX$12^2)/4*(AT277*$W277*1000)/($G277*$B$5)))),
IF($D277="Pressio.",
IF($E277=3,(PI()*AX$12^2)/4*(AT277*$W277*1000)/($H277*$B$5),(PI()*AX$12^2)/4*(AT277*$W277*1000)/($G277*$B$5)),
IF($D277="Pénétro.",
IF($E277=4,(PI()*AX$12^2)/4*(AT277*$W277*1000)/($H277*$B$5),(PI()*AX$12^2)/4*(AT277*$W277*1000)/($G277*$B$5))))))/10</f>
        <v>#N/A</v>
      </c>
      <c r="AY277" s="102" t="e">
        <f>(VLOOKUP($B$3,'Coeff EC7'!$T$39:$X$59,2,0)*AW277+VLOOKUP($B$3,'Coeff EC7'!$T$65:$X$85,2,0)*Model0.1C!AX277)/1.1</f>
        <v>#N/A</v>
      </c>
      <c r="AZ277" s="102" t="e">
        <f>(VLOOKUP($B$3,'Coeff EC7'!$T$39:$X$59,3,0)*AW277+VLOOKUP($B$3,'Coeff EC7'!$T$65:$X$85,3,0)*Model0.1C!AX277)/0.9</f>
        <v>#N/A</v>
      </c>
      <c r="BA277" s="102" t="e">
        <f t="shared" si="473"/>
        <v>#N/A</v>
      </c>
      <c r="BB277" s="102" t="e">
        <f t="shared" si="474"/>
        <v>#N/A</v>
      </c>
      <c r="BC277" s="414" t="e">
        <f>IF(BC276=0,0,IF(AND(AY277&gt;charge_ELS_quasi,AZ277&gt;Charge_ELS_freq,BA277&gt;charge_ELU,BB277&gt;charge_ELA,$B277&gt;NDC!$H$22-0.1+MIN(3*$BC$12,1.5)),0,1))</f>
        <v>#N/A</v>
      </c>
      <c r="BD277" s="86" t="b">
        <f t="shared" si="444"/>
        <v>0</v>
      </c>
      <c r="BE277" s="86">
        <f t="shared" si="475"/>
        <v>0.5</v>
      </c>
      <c r="BF277" s="86">
        <f t="shared" si="445"/>
        <v>0.5</v>
      </c>
      <c r="BG277" s="30" t="e">
        <f t="shared" ca="1" si="476"/>
        <v>#DIV/0!</v>
      </c>
      <c r="BH277" s="85" t="e">
        <f ca="1">IF(AN277&lt;=Hypothèses!$V$7,Hypothèses!$W$7,IF(AN277&lt;=Hypothèses!$V$8,Hypothèses!$W$8,IF(AN277&lt;=Hypothèses!$V$9,Hypothèses!$W$9,IF(AN277&lt;=Hypothèses!$V$10,Hypothèses!$W$10,IF(AN277&lt;=Hypothèses!$V$11,Hypothèses!$W$11,IF(AN277&lt;=Hypothèses!$V$12,Hypothèses!$W$12,IF(AN277&lt;=Hypothèses!$V$13,Hypothèses!$W$13,IF(AN277&lt;=Hypothèses!$V$14,Hypothèses!$W$14,IF(AN277&lt;=Hypothèses!$V$15,Hypothèses!$W$15,IF(AN277&lt;=Hypothèses!$V$16,Hypothèses!$W$16,IF(AN277&lt;=Hypothèses!$V$17,Hypothèses!$W$17,IF(AN277&lt;=Hypothèses!$V$18,Hypothèses!$W$18,""))))))))))))</f>
        <v>#DIV/0!</v>
      </c>
      <c r="BI277" s="87" t="e">
        <f t="shared" ca="1" si="518"/>
        <v>#DIV/0!</v>
      </c>
      <c r="BJ277" s="88" t="e">
        <f ca="1">IF(AN277&lt;=Hypothèses!$V$7,Hypothèses!$X$7,IF(AN277&lt;=Hypothèses!$V$8,Hypothèses!$X$8,IF(AN277&lt;=Hypothèses!$V$9,Hypothèses!$X$9,IF(AN277&lt;=Hypothèses!$V$10,Hypothèses!$X$10,IF(AN277&lt;=Hypothèses!$V$11,Hypothèses!$X$11,IF(AN277&lt;=Hypothèses!$V$12,Hypothèses!$X$12,IF(AN277&lt;=Hypothèses!$V$13,Hypothèses!$X$13,IF(AN277&lt;=Hypothèses!$V$14,Hypothèses!$X$14,IF(AN277&lt;=Hypothèses!$V$15,Hypothèses!$X$15,IF(AN277&lt;=Hypothèses!$V$16,Hypothèses!$X$16,IF(AN277&lt;=Hypothèses!$U$17,Hypothèses!$W$17,IF(AN277&lt;=Hypothèses!$U$18,Hypothèses!$W$18,""))))))))))))</f>
        <v>#DIV/0!</v>
      </c>
      <c r="BK277" s="95" t="e">
        <f t="shared" ca="1" si="477"/>
        <v>#DIV/0!</v>
      </c>
      <c r="BL277" s="101" t="e">
        <f t="shared" si="525"/>
        <v>#N/A</v>
      </c>
      <c r="BM277" s="91" t="e">
        <f t="shared" si="446"/>
        <v>#N/A</v>
      </c>
      <c r="BN277" s="30" t="e">
        <f t="shared" si="504"/>
        <v>#N/A</v>
      </c>
      <c r="BO277" s="30" t="e">
        <f t="shared" si="505"/>
        <v>#N/A</v>
      </c>
      <c r="BP277" s="31" t="e">
        <f>IF(OR(Hypothèses!$B$4=17,Hypothèses!$B$4=18,Hypothèses!$B$4=19,Hypothèses!$B$4=20),
IF($D277="Pressio.",
IF(OR($E277=3,$E277=1,$E277=4),BO277,BN277),
IF($D277="Pénétro.",
IF(OR($E277=3,$E277=1,$E277=4),BO277,BN277))),IF($D277="Pressio.",
IF($E277=3,BO277,BN277),
IF($D277="Pénétro.",
IF($E277=4,BO277,BN277))))</f>
        <v>#N/A</v>
      </c>
      <c r="BQ277" s="31" t="e">
        <f>(IF(OR(Hypothèses!$B$4=17,Hypothèses!$B$4=18,Hypothèses!$B$4=19,Hypothèses!$B$4=20),
IF($D277="Pressio.",
IF(OR($E277=3,$E277=1,$E277=4),(PI()*BQ$12^2)/4*(BM277*$W277*1000)/($H277*$B$5),(PI()*BQ$12^2)/4*(BM277*$W277*1000)/($G277*$B$5)),
IF($D277="Pénétro.",
IF(OR($E277=4,$E277=1,$E277=5),(PI()*BQ$12^2)/4*(BM277*$W277*1000)/($H277*$B$5),(PI()*BQ$12^2)/4*(BM277*$W277*1000)/($G277*$B$5)))),
IF($D277="Pressio.",
IF($E277=3,(PI()*BQ$12^2)/4*(BM277*$W277*1000)/($H277*$B$5),(PI()*BQ$12^2)/4*(BM277*$W277*1000)/($G277*$B$5)),
IF($D277="Pénétro.",
IF($E277=4,(PI()*BQ$12^2)/4*(BM277*$W277*1000)/($H277*$B$5),(PI()*BQ$12^2)/4*(BM277*$W277*1000)/($G277*$B$5))))))/10</f>
        <v>#N/A</v>
      </c>
      <c r="BR277" s="102" t="e">
        <f>(VLOOKUP($B$3,'Coeff EC7'!$T$39:$X$59,2,0)*BP277+VLOOKUP($B$3,'Coeff EC7'!$T$65:$X$85,2,0)*Model0.1C!BQ277)/1.1</f>
        <v>#N/A</v>
      </c>
      <c r="BS277" s="102" t="e">
        <f>(VLOOKUP($B$3,'Coeff EC7'!$T$39:$X$59,3,0)*BP277+VLOOKUP($B$3,'Coeff EC7'!$T$65:$X$85,3,0)*Model0.1C!BQ277)/0.9</f>
        <v>#N/A</v>
      </c>
      <c r="BT277" s="102" t="e">
        <f t="shared" si="478"/>
        <v>#N/A</v>
      </c>
      <c r="BU277" s="102" t="e">
        <f t="shared" si="479"/>
        <v>#N/A</v>
      </c>
      <c r="BV277" s="414" t="e">
        <f>IF(BV276=0,0,IF(AND(BR277&gt;charge_ELS_quasi,BS277&gt;Charge_ELS_freq,BT277&gt;charge_ELU,BU277&gt;charge_ELA,$B277&gt;NDC!$H$22-0.1+MIN(3*$BV$12,1.5)),0,1))</f>
        <v>#N/A</v>
      </c>
      <c r="BW277" s="86" t="b">
        <f t="shared" si="447"/>
        <v>0</v>
      </c>
      <c r="BX277" s="86">
        <f t="shared" si="448"/>
        <v>0.5</v>
      </c>
      <c r="BY277" s="86">
        <f t="shared" si="449"/>
        <v>0.5</v>
      </c>
      <c r="BZ277" s="30" t="e">
        <f t="shared" ca="1" si="480"/>
        <v>#DIV/0!</v>
      </c>
      <c r="CA277" s="85" t="e">
        <f ca="1">IF(BG277&lt;=Hypothèses!$V$7,Hypothèses!$W$7,IF(BG277&lt;=Hypothèses!$V$8,Hypothèses!$W$8,IF(BG277&lt;=Hypothèses!$V$9,Hypothèses!$W$9,IF(BG277&lt;=Hypothèses!$V$10,Hypothèses!$W$10,IF(BG277&lt;=Hypothèses!$V$11,Hypothèses!$W$11,IF(BG277&lt;=Hypothèses!$V$12,Hypothèses!$W$12,IF(BG277&lt;=Hypothèses!$V$13,Hypothèses!$W$13,IF(BG277&lt;=Hypothèses!$V$14,Hypothèses!$W$14,IF(BG277&lt;=Hypothèses!$V$15,Hypothèses!$W$15,IF(BG277&lt;=Hypothèses!$V$16,Hypothèses!$W$16,IF(BG277&lt;=Hypothèses!$V$17,Hypothèses!$W$17,IF(BG277&lt;=Hypothèses!$V$18,Hypothèses!$W$18,""))))))))))))</f>
        <v>#DIV/0!</v>
      </c>
      <c r="CB277" s="87" t="e">
        <f t="shared" ca="1" si="519"/>
        <v>#DIV/0!</v>
      </c>
      <c r="CC277" s="88" t="e">
        <f ca="1">IF(BG277&lt;=Hypothèses!$V$7,Hypothèses!$X$7,IF(BG277&lt;=Hypothèses!$V$8,Hypothèses!$X$8,IF(BG277&lt;=Hypothèses!$V$9,Hypothèses!$X$9,IF(BG277&lt;=Hypothèses!$V$10,Hypothèses!$X$10,IF(BG277&lt;=Hypothèses!$V$11,Hypothèses!$X$11,IF(BG277&lt;=Hypothèses!$V$12,Hypothèses!$X$12,IF(BG277&lt;=Hypothèses!$V$13,Hypothèses!$X$13,IF(BG277&lt;=Hypothèses!$V$14,Hypothèses!$X$14,IF(BG277&lt;=Hypothèses!$V$15,Hypothèses!$X$15,IF(BG277&lt;=Hypothèses!$V$16,Hypothèses!$X$16,IF(BG277&lt;=Hypothèses!$U$17,Hypothèses!$W$17,IF(BG277&lt;=Hypothèses!$U$18,Hypothèses!$W$18,""))))))))))))</f>
        <v>#DIV/0!</v>
      </c>
      <c r="CD277" s="95" t="e">
        <f t="shared" ca="1" si="481"/>
        <v>#DIV/0!</v>
      </c>
      <c r="CE277" s="101" t="e">
        <f t="shared" si="526"/>
        <v>#N/A</v>
      </c>
      <c r="CF277" s="91" t="e">
        <f t="shared" si="450"/>
        <v>#N/A</v>
      </c>
      <c r="CG277" s="30" t="e">
        <f t="shared" si="506"/>
        <v>#N/A</v>
      </c>
      <c r="CH277" s="30" t="e">
        <f t="shared" si="507"/>
        <v>#N/A</v>
      </c>
      <c r="CI277" s="31" t="e">
        <f>IF(OR(Hypothèses!$B$4=17,Hypothèses!$B$4=18,Hypothèses!$B$4=19,Hypothèses!$B$4=20),
IF($D277="Pressio.",
IF(OR($E277=3,$E277=1,$E277=4),CH277,CG277),
IF($D277="Pénétro.",
IF(OR($E277=3,$E277=1,$E277=4),CH277,CG277))),IF($D277="Pressio.",
IF($E277=3,CH277,CG277),
IF($D277="Pénétro.",
IF($E277=4,CH277,CG277))))</f>
        <v>#N/A</v>
      </c>
      <c r="CJ277" s="31" t="e">
        <f>(IF(OR(Hypothèses!$B$4=17,Hypothèses!$B$4=18,Hypothèses!$B$4=19,Hypothèses!$B$4=20),
IF($D277="Pressio.",
IF(OR($E277=3,$E277=1,$E277=4),(PI()*CJ$12^2)/4*(CF277*$W277*1000)/($H277*$B$5),(PI()*CJ$12^2)/4*(CF277*$W277*1000)/($G277*$B$5)),
IF($D277="Pénétro.",
IF(OR($E277=4,$E277=1,$E277=5),(PI()*CJ$12^2)/4*(CF277*$W277*1000)/($H277*$B$5),(PI()*CJ$12^2)/4*(CF277*$W277*1000)/($G277*$B$5)))),
IF($D277="Pressio.",
IF($E277=3,(PI()*CJ$12^2)/4*(CF277*$W277*1000)/($H277*$B$5),(PI()*CJ$12^2)/4*(CF277*$W277*1000)/($G277*$B$5)),
IF($D277="Pénétro.",
IF($E277=4,(PI()*CJ$12^2)/4*(CF277*$W277*1000)/($H277*$B$5),(PI()*CJ$12^2)/4*(CF277*$W277*1000)/($G277*$B$5))))))/10</f>
        <v>#N/A</v>
      </c>
      <c r="CK277" s="102" t="e">
        <f>(VLOOKUP($B$3,'Coeff EC7'!$T$39:$X$59,2,0)*CI277+VLOOKUP($B$3,'Coeff EC7'!$T$65:$X$85,2,0)*Model0.1C!CJ277)/1.1</f>
        <v>#N/A</v>
      </c>
      <c r="CL277" s="102" t="e">
        <f>(VLOOKUP($B$3,'Coeff EC7'!$T$39:$X$59,3,0)*CI277+VLOOKUP($B$3,'Coeff EC7'!$T$65:$X$85,3,0)*Model0.1C!CJ277)/0.9</f>
        <v>#N/A</v>
      </c>
      <c r="CM277" s="102" t="e">
        <f t="shared" si="482"/>
        <v>#N/A</v>
      </c>
      <c r="CN277" s="102" t="e">
        <f t="shared" si="483"/>
        <v>#N/A</v>
      </c>
      <c r="CO277" s="414" t="e">
        <f>IF(CO276=0,0,IF(AND(CK277&gt;charge_ELS_quasi,CL277&gt;Charge_ELS_freq,CM277&gt;charge_ELU,CN277&gt;charge_ELA,$B277&gt;NDC!$H$22-0.1+MIN(3*$CO$12,1.5)),0,1))</f>
        <v>#N/A</v>
      </c>
      <c r="CP277" s="86" t="b">
        <f t="shared" si="451"/>
        <v>0</v>
      </c>
      <c r="CQ277" s="86">
        <f t="shared" si="452"/>
        <v>0.5</v>
      </c>
      <c r="CR277" s="86">
        <f t="shared" si="453"/>
        <v>0.5</v>
      </c>
      <c r="CS277" s="30" t="e">
        <f t="shared" ca="1" si="484"/>
        <v>#DIV/0!</v>
      </c>
      <c r="CT277" s="85" t="e">
        <f ca="1">IF(BZ277&lt;=Hypothèses!$V$7,Hypothèses!$W$7,IF(BZ277&lt;=Hypothèses!$V$8,Hypothèses!$W$8,IF(BZ277&lt;=Hypothèses!$V$9,Hypothèses!$W$9,IF(BZ277&lt;=Hypothèses!$V$10,Hypothèses!$W$10,IF(BZ277&lt;=Hypothèses!$V$11,Hypothèses!$W$11,IF(BZ277&lt;=Hypothèses!$V$12,Hypothèses!$W$12,IF(BZ277&lt;=Hypothèses!$V$13,Hypothèses!$W$13,IF(BZ277&lt;=Hypothèses!$V$14,Hypothèses!$W$14,IF(BZ277&lt;=Hypothèses!$V$15,Hypothèses!$W$15,IF(BZ277&lt;=Hypothèses!$V$16,Hypothèses!$W$16,IF(BZ277&lt;=Hypothèses!$V$17,Hypothèses!$W$17,IF(BZ277&lt;=Hypothèses!$V$18,Hypothèses!$W$18,""))))))))))))</f>
        <v>#DIV/0!</v>
      </c>
      <c r="CU277" s="87" t="e">
        <f t="shared" ca="1" si="520"/>
        <v>#DIV/0!</v>
      </c>
      <c r="CV277" s="88" t="e">
        <f ca="1">IF(BZ277&lt;=Hypothèses!$V$7,Hypothèses!$X$7,IF(BZ277&lt;=Hypothèses!$V$8,Hypothèses!$X$8,IF(BZ277&lt;=Hypothèses!$V$9,Hypothèses!$X$9,IF(BZ277&lt;=Hypothèses!$V$10,Hypothèses!$X$10,IF(BZ277&lt;=Hypothèses!$V$11,Hypothèses!$X$11,IF(BZ277&lt;=Hypothèses!$V$12,Hypothèses!$X$12,IF(BZ277&lt;=Hypothèses!$V$13,Hypothèses!$X$13,IF(BZ277&lt;=Hypothèses!$V$14,Hypothèses!$X$14,IF(BZ277&lt;=Hypothèses!$V$15,Hypothèses!$X$15,IF(BZ277&lt;=Hypothèses!$V$16,Hypothèses!$X$16,IF(BZ277&lt;=Hypothèses!$U$17,Hypothèses!$W$17,IF(BZ277&lt;=Hypothèses!$U$18,Hypothèses!$W$18,""))))))))))))</f>
        <v>#DIV/0!</v>
      </c>
      <c r="CW277" s="95" t="e">
        <f t="shared" ca="1" si="485"/>
        <v>#DIV/0!</v>
      </c>
      <c r="CX277" s="101" t="e">
        <f t="shared" si="527"/>
        <v>#N/A</v>
      </c>
      <c r="CY277" s="91" t="e">
        <f t="shared" si="454"/>
        <v>#N/A</v>
      </c>
      <c r="CZ277" s="30" t="e">
        <f t="shared" si="508"/>
        <v>#N/A</v>
      </c>
      <c r="DA277" s="30" t="e">
        <f t="shared" si="509"/>
        <v>#N/A</v>
      </c>
      <c r="DB277" s="31" t="e">
        <f>IF(OR(Hypothèses!$B$4=17,Hypothèses!$B$4=18,Hypothèses!$B$4=19,Hypothèses!$B$4=20),
IF($D277="Pressio.",
IF(OR($E277=3,$E277=1,$E277=4),DA277,CZ277),
IF($D277="Pénétro.",
IF(OR($E277=3,$E277=1,$E277=4),DA277,CZ277))),IF($D277="Pressio.",
IF($E277=3,DA277,CZ277),
IF($D277="Pénétro.",
IF($E277=4,DA277,CZ277))))</f>
        <v>#N/A</v>
      </c>
      <c r="DC277" s="31" t="e">
        <f>(IF(OR(Hypothèses!$B$4=17,Hypothèses!$B$4=18,Hypothèses!$B$4=19,Hypothèses!$B$4=20),
IF($D277="Pressio.",
IF(OR($E277=3,$E277=1,$E277=4),(PI()*DC$12^2)/4*(CY277*$W277*1000)/($H277*$B$5),(PI()*DC$12^2)/4*(CY277*$W277*1000)/($G277*$B$5)),
IF($D277="Pénétro.",
IF(OR($E277=4,$E277=1,$E277=5),(PI()*DC$12^2)/4*(CY277*$W277*1000)/($H277*$B$5),(PI()*DC$12^2)/4*(CY277*$W277*1000)/($G277*$B$5)))),
IF($D277="Pressio.",
IF($E277=3,(PI()*DC$12^2)/4*(CY277*$W277*1000)/($H277*$B$5),(PI()*DC$12^2)/4*(CY277*$W277*1000)/($G277*$B$5)),
IF($D277="Pénétro.",
IF($E277=4,(PI()*DC$12^2)/4*(CY277*$W277*1000)/($H277*$B$5),(PI()*DC$12^2)/4*(CY277*$W277*1000)/($G277*$B$5))))))/10</f>
        <v>#N/A</v>
      </c>
      <c r="DD277" s="102" t="e">
        <f>(VLOOKUP($B$3,'Coeff EC7'!$T$39:$X$59,2,0)*DB277+VLOOKUP($B$3,'Coeff EC7'!$T$65:$X$85,2,0)*Model0.1C!DC277)/1.1</f>
        <v>#N/A</v>
      </c>
      <c r="DE277" s="102" t="e">
        <f>(VLOOKUP($B$3,'Coeff EC7'!$T$39:$X$59,3,0)*DB277+VLOOKUP($B$3,'Coeff EC7'!$T$65:$X$85,3,0)*Model0.1C!DC277)/0.9</f>
        <v>#N/A</v>
      </c>
      <c r="DF277" s="102" t="e">
        <f t="shared" si="486"/>
        <v>#N/A</v>
      </c>
      <c r="DG277" s="102" t="e">
        <f t="shared" si="487"/>
        <v>#N/A</v>
      </c>
      <c r="DH277" s="414" t="e">
        <f>IF(DH276=0,0,IF(AND(DD277&gt;charge_ELS_quasi,DE277&gt;Charge_ELS_freq,DF277&gt;charge_ELU,DG277&gt;charge_ELA,$B277&gt;NDC!$H$22-0.1+MIN(3*$DH$12,1.5)),0,1))</f>
        <v>#N/A</v>
      </c>
      <c r="DI277" s="86" t="b">
        <f t="shared" si="455"/>
        <v>0</v>
      </c>
      <c r="DJ277" s="86">
        <f t="shared" si="456"/>
        <v>0.5</v>
      </c>
      <c r="DK277" s="86">
        <f t="shared" si="457"/>
        <v>0.5</v>
      </c>
      <c r="DL277" s="30" t="e">
        <f t="shared" ca="1" si="488"/>
        <v>#DIV/0!</v>
      </c>
      <c r="DM277" s="85" t="e">
        <f ca="1">IF(CS277&lt;=Hypothèses!$V$7,Hypothèses!$W$7,IF(CS277&lt;=Hypothèses!$V$8,Hypothèses!$W$8,IF(CS277&lt;=Hypothèses!$V$9,Hypothèses!$W$9,IF(CS277&lt;=Hypothèses!$V$10,Hypothèses!$W$10,IF(CS277&lt;=Hypothèses!$V$11,Hypothèses!$W$11,IF(CS277&lt;=Hypothèses!$V$12,Hypothèses!$W$12,IF(CS277&lt;=Hypothèses!$V$13,Hypothèses!$W$13,IF(CS277&lt;=Hypothèses!$V$14,Hypothèses!$W$14,IF(CS277&lt;=Hypothèses!$V$15,Hypothèses!$W$15,IF(CS277&lt;=Hypothèses!$V$16,Hypothèses!$W$16,IF(CS277&lt;=Hypothèses!$V$17,Hypothèses!$W$17,IF(CS277&lt;=Hypothèses!$V$18,Hypothèses!$W$18,""))))))))))))</f>
        <v>#DIV/0!</v>
      </c>
      <c r="DN277" s="87" t="e">
        <f t="shared" ca="1" si="521"/>
        <v>#DIV/0!</v>
      </c>
      <c r="DO277" s="88" t="e">
        <f ca="1">IF(CS277&lt;=Hypothèses!$V$7,Hypothèses!$X$7,IF(CS277&lt;=Hypothèses!$V$8,Hypothèses!$X$8,IF(CS277&lt;=Hypothèses!$V$9,Hypothèses!$X$9,IF(CS277&lt;=Hypothèses!$V$10,Hypothèses!$X$10,IF(CS277&lt;=Hypothèses!$V$11,Hypothèses!$X$11,IF(CS277&lt;=Hypothèses!$V$12,Hypothèses!$X$12,IF(CS277&lt;=Hypothèses!$V$13,Hypothèses!$X$13,IF(CS277&lt;=Hypothèses!$V$14,Hypothèses!$X$14,IF(CS277&lt;=Hypothèses!$V$15,Hypothèses!$X$15,IF(CS277&lt;=Hypothèses!$V$16,Hypothèses!$X$16,IF(CS277&lt;=Hypothèses!$U$17,Hypothèses!$W$17,IF(CS277&lt;=Hypothèses!$U$18,Hypothèses!$W$18,""))))))))))))</f>
        <v>#DIV/0!</v>
      </c>
      <c r="DP277" s="95" t="e">
        <f t="shared" ca="1" si="489"/>
        <v>#DIV/0!</v>
      </c>
      <c r="DQ277" s="101" t="e">
        <f t="shared" si="528"/>
        <v>#N/A</v>
      </c>
      <c r="DR277" s="91" t="e">
        <f t="shared" si="458"/>
        <v>#N/A</v>
      </c>
      <c r="DS277" s="30" t="e">
        <f t="shared" si="510"/>
        <v>#N/A</v>
      </c>
      <c r="DT277" s="30" t="e">
        <f t="shared" si="511"/>
        <v>#N/A</v>
      </c>
      <c r="DU277" s="31" t="e">
        <f>IF(OR(Hypothèses!$B$4=17,Hypothèses!$B$4=18,Hypothèses!$B$4=19,Hypothèses!$B$4=20),
IF($D277="Pressio.",
IF(OR($E277=3,$E277=1,$E277=4),DT277,DS277),
IF($D277="Pénétro.",
IF(OR($E277=3,$E277=1,$E277=4),DT277,DS277))),IF($D277="Pressio.",
IF($E277=3,DT277,DS277),
IF($D277="Pénétro.",
IF($E277=4,DT277,DS277))))</f>
        <v>#N/A</v>
      </c>
      <c r="DV277" s="31" t="e">
        <f>(IF(OR(Hypothèses!$B$4=17,Hypothèses!$B$4=18,Hypothèses!$B$4=19,Hypothèses!$B$4=20),
IF($D277="Pressio.",
IF(OR($E277=3,$E277=1,$E277=4),(PI()*DV$12^2)/4*(DR277*$W277*1000)/($H277*$B$5),(PI()*DV$12^2)/4*(DR277*$W277*1000)/($G277*$B$5)),
IF($D277="Pénétro.",
IF(OR($E277=4,$E277=1,$E277=5),(PI()*DV$12^2)/4*(DR277*$W277*1000)/($H277*$B$5),(PI()*DV$12^2)/4*(DR277*$W277*1000)/($G277*$B$5)))),
IF($D277="Pressio.",
IF($E277=3,(PI()*DV$12^2)/4*(DR277*$W277*1000)/($H277*$B$5),(PI()*DV$12^2)/4*(DR277*$W277*1000)/($G277*$B$5)),
IF($D277="Pénétro.",
IF($E277=4,(PI()*DV$12^2)/4*(DR277*$W277*1000)/($H277*$B$5),(PI()*DV$12^2)/4*(DR277*$W277*1000)/($G277*$B$5))))))/10</f>
        <v>#N/A</v>
      </c>
      <c r="DW277" s="102" t="e">
        <f>(VLOOKUP($B$3,'Coeff EC7'!$T$39:$X$59,2,0)*DU277+VLOOKUP($B$3,'Coeff EC7'!$T$65:$X$85,2,0)*Model0.1C!DV277)/1.1</f>
        <v>#N/A</v>
      </c>
      <c r="DX277" s="102" t="e">
        <f>(VLOOKUP($B$3,'Coeff EC7'!$T$39:$X$59,3,0)*DU277+VLOOKUP($B$3,'Coeff EC7'!$T$65:$X$85,3,0)*Model0.1C!DV277)/0.9</f>
        <v>#N/A</v>
      </c>
      <c r="DY277" s="102" t="e">
        <f t="shared" si="490"/>
        <v>#N/A</v>
      </c>
      <c r="DZ277" s="102" t="e">
        <f t="shared" si="491"/>
        <v>#N/A</v>
      </c>
      <c r="EA277" s="414" t="e">
        <f>IF(EA276=0,0,IF(AND(DW277&gt;charge_ELS_quasi,DX277&gt;Charge_ELS_freq,DY277&gt;charge_ELU,DZ277&gt;charge_ELA,$B277&gt;NDC!$H$22-0.1+MIN(3*$EA$12,1.5)),0,1))</f>
        <v>#N/A</v>
      </c>
      <c r="EB277" s="86" t="b">
        <f t="shared" si="459"/>
        <v>0</v>
      </c>
      <c r="EC277" s="418">
        <f t="shared" si="460"/>
        <v>0.51</v>
      </c>
      <c r="ED277" s="86">
        <f t="shared" si="461"/>
        <v>0.51</v>
      </c>
      <c r="EE277" s="30" t="e">
        <f t="shared" ca="1" si="492"/>
        <v>#DIV/0!</v>
      </c>
      <c r="EF277" s="85" t="e">
        <f ca="1">IF(DL277&lt;=Hypothèses!$V$7,Hypothèses!$W$7,IF(DL277&lt;=Hypothèses!$V$8,Hypothèses!$W$8,IF(DL277&lt;=Hypothèses!$V$9,Hypothèses!$W$9,IF(DL277&lt;=Hypothèses!$V$10,Hypothèses!$W$10,IF(DL277&lt;=Hypothèses!$V$11,Hypothèses!$W$11,IF(DL277&lt;=Hypothèses!$V$12,Hypothèses!$W$12,IF(DL277&lt;=Hypothèses!$V$13,Hypothèses!$W$13,IF(DL277&lt;=Hypothèses!$V$14,Hypothèses!$W$14,IF(DL277&lt;=Hypothèses!$V$15,Hypothèses!$W$15,IF(DL277&lt;=Hypothèses!$V$16,Hypothèses!$W$16,IF(DL277&lt;=Hypothèses!$V$17,Hypothèses!$W$17,IF(DL277&lt;=Hypothèses!$V$18,Hypothèses!$W$18,""))))))))))))</f>
        <v>#DIV/0!</v>
      </c>
      <c r="EG277" s="87" t="e">
        <f t="shared" ca="1" si="522"/>
        <v>#DIV/0!</v>
      </c>
      <c r="EH277" s="88" t="e">
        <f ca="1">IF(DL277&lt;=Hypothèses!$V$7,Hypothèses!$X$7,IF(DL277&lt;=Hypothèses!$V$8,Hypothèses!$X$8,IF(DL277&lt;=Hypothèses!$V$9,Hypothèses!$X$9,IF(DL277&lt;=Hypothèses!$V$10,Hypothèses!$X$10,IF(DL277&lt;=Hypothèses!$V$11,Hypothèses!$X$11,IF(DL277&lt;=Hypothèses!$V$12,Hypothèses!$X$12,IF(DL277&lt;=Hypothèses!$V$13,Hypothèses!$X$13,IF(DL277&lt;=Hypothèses!$V$14,Hypothèses!$X$14,IF(DL277&lt;=Hypothèses!$V$15,Hypothèses!$X$15,IF(DL277&lt;=Hypothèses!$V$16,Hypothèses!$X$16,IF(DL277&lt;=Hypothèses!$U$17,Hypothèses!$W$17,IF(DL277&lt;=Hypothèses!$U$18,Hypothèses!$W$18,""))))))))))))</f>
        <v>#DIV/0!</v>
      </c>
      <c r="EI277" s="95" t="e">
        <f t="shared" ca="1" si="493"/>
        <v>#DIV/0!</v>
      </c>
      <c r="EJ277" s="101" t="e">
        <f t="shared" si="529"/>
        <v>#N/A</v>
      </c>
      <c r="EK277" s="91" t="e">
        <f t="shared" si="462"/>
        <v>#N/A</v>
      </c>
      <c r="EL277" s="30" t="e">
        <f t="shared" si="512"/>
        <v>#N/A</v>
      </c>
      <c r="EM277" s="30" t="e">
        <f t="shared" si="513"/>
        <v>#N/A</v>
      </c>
      <c r="EN277" s="31" t="e">
        <f>IF(OR(Hypothèses!$B$4=17,Hypothèses!$B$4=18,Hypothèses!$B$4=19,Hypothèses!$B$4=20),
IF($D277="Pressio.",
IF(OR($E277=3,$E277=1,$E277=4),EM277,EL277),
IF($D277="Pénétro.",
IF(OR($E277=3,$E277=1,$E277=4),EM277,EL277))),IF($D277="Pressio.",
IF($E277=3,EM277,EL277),
IF($D277="Pénétro.",
IF($E277=4,EM277,EL277))))</f>
        <v>#N/A</v>
      </c>
      <c r="EO277" s="31" t="e">
        <f>(IF(OR(Hypothèses!$B$4=17,Hypothèses!$B$4=18,Hypothèses!$B$4=19,Hypothèses!$B$4=20),
IF($D277="Pressio.",
IF(OR($E277=3,$E277=1,$E277=4),(PI()*EO$12^2)/4*(EK277*$W277*1000)/($H277*$B$5),(PI()*EO$12^2)/4*(EK277*$W277*1000)/($G277*$B$5)),
IF($D277="Pénétro.",
IF(OR($E277=4,$E277=1,$E277=5),(PI()*EO$12^2)/4*(EK277*$W277*1000)/($H277*$B$5),(PI()*EO$12^2)/4*(EK277*$W277*1000)/($G277*$B$5)))),
IF($D277="Pressio.",
IF($E277=3,(PI()*EO$12^2)/4*(EK277*$W277*1000)/($H277*$B$5),(PI()*EO$12^2)/4*(EK277*$W277*1000)/($G277*$B$5)),
IF($D277="Pénétro.",
IF($E277=4,(PI()*EO$12^2)/4*(EK277*$W277*1000)/($H277*$B$5),(PI()*EO$12^2)/4*(EK277*$W277*1000)/($G277*$B$5))))))/10</f>
        <v>#N/A</v>
      </c>
      <c r="EP277" s="102" t="e">
        <f>(VLOOKUP($B$3,'Coeff EC7'!$T$39:$X$59,2,0)*EN277+VLOOKUP($B$3,'Coeff EC7'!$T$65:$X$85,2,0)*Model0.1C!EO277)/1.1</f>
        <v>#N/A</v>
      </c>
      <c r="EQ277" s="102" t="e">
        <f>(VLOOKUP($B$3,'Coeff EC7'!$T$39:$X$59,3,0)*EN277+VLOOKUP($B$3,'Coeff EC7'!$T$65:$X$85,3,0)*Model0.1C!EO277)/0.9</f>
        <v>#N/A</v>
      </c>
      <c r="ER277" s="102" t="e">
        <f t="shared" si="494"/>
        <v>#N/A</v>
      </c>
      <c r="ES277" s="102" t="e">
        <f t="shared" si="495"/>
        <v>#N/A</v>
      </c>
      <c r="ET277" s="414" t="e">
        <f>IF(ET276=0,0,IF(AND(EP277&gt;charge_ELS_quasi,EQ277&gt;Charge_ELS_freq,ER277&gt;charge_ELU,ES277&gt;charge_ELA,$B277&gt;NDC!$H$22-0.1+MIN(3*$ET$12,1.5)),0,1))</f>
        <v>#N/A</v>
      </c>
      <c r="EU277" s="86" t="b">
        <f t="shared" si="463"/>
        <v>0</v>
      </c>
      <c r="EV277" s="86">
        <f t="shared" si="464"/>
        <v>0.61</v>
      </c>
      <c r="EW277" s="86">
        <f t="shared" si="465"/>
        <v>0.61</v>
      </c>
      <c r="EX277" s="30" t="e">
        <f t="shared" ca="1" si="496"/>
        <v>#DIV/0!</v>
      </c>
      <c r="EY277" s="85" t="e">
        <f ca="1">IF(EE277&lt;=Hypothèses!$V$7,Hypothèses!$W$7,IF(EE277&lt;=Hypothèses!$V$8,Hypothèses!$W$8,IF(EE277&lt;=Hypothèses!$V$9,Hypothèses!$W$9,IF(EE277&lt;=Hypothèses!$V$10,Hypothèses!$W$10,IF(EE277&lt;=Hypothèses!$V$11,Hypothèses!$W$11,IF(EE277&lt;=Hypothèses!$V$12,Hypothèses!$W$12,IF(EE277&lt;=Hypothèses!$V$13,Hypothèses!$W$13,IF(EE277&lt;=Hypothèses!$V$14,Hypothèses!$W$14,IF(EE277&lt;=Hypothèses!$V$15,Hypothèses!$W$15,IF(EE277&lt;=Hypothèses!$V$16,Hypothèses!$W$16,IF(EE277&lt;=Hypothèses!$V$17,Hypothèses!$W$17,IF(EE277&lt;=Hypothèses!$V$18,Hypothèses!$W$18,""))))))))))))</f>
        <v>#DIV/0!</v>
      </c>
      <c r="EZ277" s="87" t="e">
        <f t="shared" ca="1" si="523"/>
        <v>#DIV/0!</v>
      </c>
      <c r="FA277" s="88" t="e">
        <f ca="1">IF(EE277&lt;=Hypothèses!$V$7,Hypothèses!$X$7,IF(EE277&lt;=Hypothèses!$V$8,Hypothèses!$X$8,IF(EE277&lt;=Hypothèses!$V$9,Hypothèses!$X$9,IF(EE277&lt;=Hypothèses!$V$10,Hypothèses!$X$10,IF(EE277&lt;=Hypothèses!$V$11,Hypothèses!$X$11,IF(EE277&lt;=Hypothèses!$V$12,Hypothèses!$X$12,IF(EE277&lt;=Hypothèses!$V$13,Hypothèses!$X$13,IF(EE277&lt;=Hypothèses!$V$14,Hypothèses!$X$14,IF(EE277&lt;=Hypothèses!$V$15,Hypothèses!$X$15,IF(EE277&lt;=Hypothèses!$V$16,Hypothèses!$X$16,IF(EE277&lt;=Hypothèses!$U$17,Hypothèses!$W$17,IF(EE277&lt;=Hypothèses!$U$18,Hypothèses!$W$18,""))))))))))))</f>
        <v>#DIV/0!</v>
      </c>
      <c r="FB277" s="95" t="e">
        <f t="shared" ca="1" si="497"/>
        <v>#DIV/0!</v>
      </c>
      <c r="FC277" s="101" t="e">
        <f t="shared" si="530"/>
        <v>#N/A</v>
      </c>
      <c r="FD277" s="91" t="e">
        <f t="shared" si="466"/>
        <v>#N/A</v>
      </c>
      <c r="FE277" s="30" t="e">
        <f t="shared" si="514"/>
        <v>#N/A</v>
      </c>
      <c r="FF277" s="30" t="e">
        <f t="shared" si="515"/>
        <v>#N/A</v>
      </c>
      <c r="FG277" s="31" t="e">
        <f>IF(OR(Hypothèses!$B$4=17,Hypothèses!$B$4=18,Hypothèses!$B$4=19,Hypothèses!$B$4=20),
IF($D277="Pressio.",
IF(OR($E277=3,$E277=1,$E277=4),FF277,FE277),
IF($D277="Pénétro.",
IF(OR($E277=3,$E277=1,$E277=4),FF277,FE277))),IF($D277="Pressio.",
IF($E277=3,FF277,FE277),
IF($D277="Pénétro.",
IF($E277=4,FF277,FE277))))</f>
        <v>#N/A</v>
      </c>
      <c r="FH277" s="31" t="e">
        <f>(IF(OR(Hypothèses!$B$4=17,Hypothèses!$B$4=18,Hypothèses!$B$4=19,Hypothèses!$B$4=20),
IF($D277="Pressio.",
IF(OR($E277=3,$E277=1,$E277=4),(PI()*FH$12^2)/4*(FD277*$W277*1000)/($H277*$B$5),(PI()*FH$12^2)/4*(FD277*$W277*1000)/($G277*$B$5)),
IF($D277="Pénétro.",
IF(OR($E277=4,$E277=1,$E277=5),(PI()*FH$12^2)/4*(FD277*$W277*1000)/($H277*$B$5),(PI()*FH$12^2)/4*(FD277*$W277*1000)/($G277*$B$5)))),
IF($D277="Pressio.",
IF($E277=3,(PI()*FH$12^2)/4*(FD277*$W277*1000)/($H277*$B$5),(PI()*FH$12^2)/4*(FD277*$W277*1000)/($G277*$B$5)),
IF($D277="Pénétro.",
IF($E277=4,(PI()*FH$12^2)/4*(FD277*$W277*1000)/($H277*$B$5),(PI()*FH$12^2)/4*(FD277*$W277*1000)/($G277*$B$5))))))/10</f>
        <v>#N/A</v>
      </c>
      <c r="FI277" s="102" t="e">
        <f>(VLOOKUP($B$3,'Coeff EC7'!$T$39:$X$59,2,0)*FG277+VLOOKUP($B$3,'Coeff EC7'!$T$65:$X$85,2,0)*Model0.1C!FH277)/1.1</f>
        <v>#N/A</v>
      </c>
      <c r="FJ277" s="102" t="e">
        <f>(VLOOKUP($B$3,'Coeff EC7'!$T$39:$X$59,3,0)*FG277+VLOOKUP($B$3,'Coeff EC7'!$T$65:$X$85,3,0)*Model0.1C!FH277)/0.9</f>
        <v>#N/A</v>
      </c>
      <c r="FK277" s="102" t="e">
        <f t="shared" si="498"/>
        <v>#N/A</v>
      </c>
      <c r="FL277" s="102" t="e">
        <f t="shared" si="499"/>
        <v>#N/A</v>
      </c>
      <c r="FM277" s="414" t="e">
        <f>IF(FM276=0,0,IF(AND(FI277&gt;charge_ELS_quasi,FJ277&gt;Charge_ELS_freq,FK277&gt;charge_ELU,FL277&gt;charge_ELA,$B277&gt;NDC!$H$22-0.1+MIN(3*$FM$12,1.5)),0,1))</f>
        <v>#N/A</v>
      </c>
    </row>
    <row r="278" spans="1:169">
      <c r="A278" s="96">
        <f t="shared" si="467"/>
        <v>73.500000000001506</v>
      </c>
      <c r="B278" s="97">
        <v>26.5</v>
      </c>
      <c r="C278" s="81">
        <f>IF(B278&lt;=Hypothèses!$C$7,Hypothèses!$A$7,IF(B278&lt;=Hypothèses!$C$8,Hypothèses!$A$8,IF(B278&lt;=Hypothèses!$C$9,Hypothèses!$A$9,IF(B278&lt;=Hypothèses!$C$10,Hypothèses!$A$10,IF(B278&lt;=Hypothèses!$C$11,Hypothèses!$A$11,IF(B278&lt;=Hypothèses!$C$12,Hypothèses!$A$12,IF(B278&lt;=Hypothèses!$C$13,Hypothèses!$A$13,IF(B278&lt;=Hypothèses!$C$14,Hypothèses!$A$14,IF(B278&lt;=Hypothèses!$C$15,Hypothèses!$A$15,IF(B278&lt;=Hypothèses!$C$16,Hypothèses!$A$16,IF(B278&lt;=Hypothèses!$C$17,Hypothèses!$A$17,IF(B278&lt;=Hypothèses!$C$18,Hypothèses!$A$18,C277))))))))))))</f>
        <v>11</v>
      </c>
      <c r="D278" s="82" t="str">
        <f>IF(B278&lt;=Hypothèses!$C$7,Hypothèses!$R$7,IF(B278&lt;=Hypothèses!$C$8,Hypothèses!$R$8,IF(B278&lt;=Hypothèses!$C$9,Hypothèses!$R$9,IF(B278&lt;=Hypothèses!$C$10,Hypothèses!$R$10,IF(B278&lt;=Hypothèses!$C$11,Hypothèses!$R$11,IF(B278&lt;=Hypothèses!$C$12,Hypothèses!$R$12,IF(B278&lt;=Hypothèses!$C$13,Hypothèses!$R$13,IF(B278&lt;=Hypothèses!$C$14,Hypothèses!$R$14,IF(B278&lt;=Hypothèses!$C$15,Hypothèses!$R$15,IF(B278&lt;=Hypothèses!$C$16,Hypothèses!$R$16,IF(B278&lt;=Hypothèses!$C$17,Hypothèses!$R$17,IF(B278&lt;=Hypothèses!$C$18,Hypothèses!$R$18,D277))))))))))))</f>
        <v>Pressio.</v>
      </c>
      <c r="E278" s="82" t="e">
        <f>IF(B278&lt;=Hypothèses!$C$7,Hypothèses!$G$7,IF(B278&lt;=Hypothèses!$C$8,Hypothèses!$G$8,IF(B278&lt;=Hypothèses!$C$9,Hypothèses!$G$9,IF(B278&lt;=Hypothèses!$C$10,Hypothèses!$G$10,IF(B278&lt;=Hypothèses!$C$11,Hypothèses!$G$11,IF(B278&lt;=Hypothèses!$C$12,Hypothèses!$G$12,IF(B278&lt;=Hypothèses!$C$13,Hypothèses!$G$13,IF(B278&lt;=Hypothèses!$C$14,Hypothèses!$G$14,IF(B278&lt;=Hypothèses!$C$15,Hypothèses!$G$15,IF(B278&lt;=Hypothèses!$C$16,Hypothèses!$G$16,IF(B278&lt;=Hypothèses!$C$17,Hypothèses!$G$17,IF(B278&lt;=Hypothèses!$C$18,Hypothèses!$G$18,E277))))))))))))</f>
        <v>#N/A</v>
      </c>
      <c r="F278" s="82" t="str">
        <f>IF(B278&lt;=Hypothèses!$C$7,Hypothèses!$F$7,IF(B278&lt;=Hypothèses!$C$8,Hypothèses!$F$8,IF(B278&lt;=Hypothèses!$C$9,Hypothèses!$F$9,IF(B278&lt;=Hypothèses!$C$10,Hypothèses!$F$10,IF(B278&lt;=Hypothèses!$C$11,Hypothèses!$F$11,IF(B278&lt;=Hypothèses!$C$12,Hypothèses!$F$12,IF(B278&lt;=Hypothèses!$C$13,Hypothèses!$F$13,IF(B278&lt;=Hypothèses!$C$14,Hypothèses!$F$14,IF(B278&lt;=Hypothèses!$C$15,Hypothèses!$F$15,IF(B278&lt;=Hypothèses!$C$16,Hypothèses!$F$16,IF(B278&lt;=Hypothèses!$C$17,Hypothèses!$F$17,IF(B278&lt;=Hypothèses!$C$18,Hypothèses!$F$18,F277))))))))))))</f>
        <v/>
      </c>
      <c r="G278" s="91">
        <f t="array" ref="G278">INDEX('Coeff EC7'!$U$7:$X$27,
MATCH(Model0.1C!$B$3,'Coeff EC7'!$T$7:$T$27,0),
MATCH(Model0.1C!$D278&amp;Model0.1C!$B$4,
'Coeff EC7'!$U$6:$X$6&amp;
'Coeff EC7'!$U$5:$X$5,0))</f>
        <v>1.1499999999999999</v>
      </c>
      <c r="H278" s="91">
        <f t="array" ref="H278">INDEX('Coeff EC7'!$Y$7:$AB$27,
MATCH(Model0.1C!$B$3,'Coeff EC7'!$T$7:$T$27,0),
MATCH(Model0.1C!$D278&amp;Model0.1C!$B$4,
'Coeff EC7'!$Y$6:$AB$6&amp;
'Coeff EC7'!$Y$5:$AB$5,0))</f>
        <v>1.4</v>
      </c>
      <c r="I278" s="83" t="e">
        <f>IF(B278&lt;=Hypothèses!$C$7,Hypothèses!$P$7,IF(B278&lt;=Hypothèses!$C$8,Hypothèses!$P$8,IF(B278&lt;=Hypothèses!$C$9,Hypothèses!$P$9,IF(B278&lt;=Hypothèses!$C$10,Hypothèses!$P$10,IF(B278&lt;=Hypothèses!$C$11,Hypothèses!$P$11,IF(B278&lt;=Hypothèses!$C$12,Hypothèses!$P$12,IF(B278&lt;=Hypothèses!$C$13,Hypothèses!$P$13,IF(B278&lt;=Hypothèses!$C$14,Hypothèses!$P$14,IF(B278&lt;=Hypothèses!$C$15,Hypothèses!$P$15,IF(B278&lt;=Hypothèses!$C$16,Hypothèses!$P$16,IF(B278&lt;=Hypothèses!$C$17,Hypothèses!$P$17,IF(B278&lt;=Hypothèses!$C$18,Hypothèses!$P$18,I277))))))))))))</f>
        <v>#N/A</v>
      </c>
      <c r="J278" s="91" t="e">
        <f t="array" ref="J278">INDEX('Coeff EC7'!$D$33:$Q$33,1,MATCH(D278&amp;E278,'Coeff EC7'!$D$31:$Q$31&amp;'Coeff EC7'!$D$32:$Q$32,0))</f>
        <v>#N/A</v>
      </c>
      <c r="K278" s="91" t="e">
        <f t="array" ref="K278">INDEX('Coeff EC7'!$D$34:$Q$34,1,MATCH(D278&amp;E278,'Coeff EC7'!$D$31:$Q$31&amp;'Coeff EC7'!$D$32:$Q$32,0))</f>
        <v>#N/A</v>
      </c>
      <c r="L278" s="91" t="e">
        <f t="array" ref="L278">INDEX('Coeff EC7'!$D$35:$Q$35,1,MATCH(D278&amp;E278,'Coeff EC7'!$D$31:$Q$31&amp;'Coeff EC7'!$D$32:$Q$32,0))</f>
        <v>#N/A</v>
      </c>
      <c r="M278" s="98" t="e">
        <f t="shared" si="431"/>
        <v>#N/A</v>
      </c>
      <c r="N278" s="99" t="e">
        <f t="array" ref="N278">INDEX('Coeff EC7'!$D$7:$Q$27,MATCH($B$3,'Coeff EC7'!$C$7:$C$27,0),MATCH(D278&amp;E278,'Coeff EC7'!$D$5:$Q$5&amp;'Coeff EC7'!$D$6:$Q$6,0))</f>
        <v>#N/A</v>
      </c>
      <c r="O278" s="99" t="e">
        <f t="array" ref="O278">INDEX('Coeff EC7'!$D$41:$Q$61,MATCH($B$3,'Coeff EC7'!$C$41:$C$61,0),MATCH(D278&amp;E278,'Coeff EC7'!$D$39:$Q$39&amp;'Coeff EC7'!$D$40:$Q$40,0))</f>
        <v>#N/A</v>
      </c>
      <c r="P278" s="30" t="e">
        <f t="shared" si="468"/>
        <v>#N/A</v>
      </c>
      <c r="Q278" s="100" t="e">
        <f t="shared" si="433"/>
        <v>#N/A</v>
      </c>
      <c r="R278" s="86" t="b">
        <f t="shared" si="434"/>
        <v>0</v>
      </c>
      <c r="S278" s="86">
        <f t="shared" si="432"/>
        <v>0.5</v>
      </c>
      <c r="T278" s="86">
        <f t="shared" si="435"/>
        <v>0.5</v>
      </c>
      <c r="U278" s="30" t="e">
        <f t="shared" ca="1" si="469"/>
        <v>#DIV/0!</v>
      </c>
      <c r="V278" s="85" t="str">
        <f>IF(B278&lt;=Hypothèses!$V$7,Hypothèses!$W$7,IF(B278&lt;=Hypothèses!$V$8,Hypothèses!$W$8,IF(B278&lt;=Hypothèses!$V$9,Hypothèses!$W$9,IF(B278&lt;=Hypothèses!$V$10,Hypothèses!$W$10,IF(B278&lt;=Hypothèses!$V$11,Hypothèses!$W$11,IF(B278&lt;=Hypothèses!$V$12,Hypothèses!$W$12,IF(B278&lt;=Hypothèses!$V$13,Hypothèses!$W$13,IF(B278&lt;=Hypothèses!$V$14,Hypothèses!$W$14,IF(B278&lt;=Hypothèses!$V$15,Hypothèses!$W$15,IF(B278&lt;=Hypothèses!$V$16,Hypothèses!$W$16,IF(B278&lt;=Hypothèses!$V$17,Hypothèses!$W$17,IF(B278&lt;=Hypothèses!$V$18,Hypothèses!$W$18,""))))))))))))</f>
        <v/>
      </c>
      <c r="W278" s="87" t="e">
        <f t="shared" ca="1" si="516"/>
        <v>#DIV/0!</v>
      </c>
      <c r="X278" s="88" t="str">
        <f>IF(B278&lt;=Hypothèses!$V$7,Hypothèses!$X$7,IF(B278&lt;=Hypothèses!$V$8,Hypothèses!$X$8,IF(B278&lt;=Hypothèses!$V$9,Hypothèses!$X$9,IF(B278&lt;=Hypothèses!$V$10,Hypothèses!$X$10,IF(B278&lt;=Hypothèses!$V$11,Hypothèses!$X$11,IF(B278&lt;=Hypothèses!$V$12,Hypothèses!$X$12,IF(B278&lt;=Hypothèses!$V$13,Hypothèses!$X$13,IF(B278&lt;=Hypothèses!$V$14,Hypothèses!$X$14,IF(B278&lt;=Hypothèses!$V$15,Hypothèses!$X$15,IF(B278&lt;=Hypothèses!$V$16,Hypothèses!$X$16,IF(B278&lt;=Hypothèses!$U$17,Hypothèses!$W$17,IF(B278&lt;=Hypothèses!$U$18,Hypothèses!$W$18,""))))))))))))</f>
        <v/>
      </c>
      <c r="Y278" s="95" t="e">
        <f t="shared" ca="1" si="436"/>
        <v>#DIV/0!</v>
      </c>
      <c r="Z278" s="101" t="e">
        <f t="shared" si="437"/>
        <v>#N/A</v>
      </c>
      <c r="AA278" s="91" t="e">
        <f t="shared" si="438"/>
        <v>#N/A</v>
      </c>
      <c r="AB278" s="30" t="e">
        <f t="shared" si="500"/>
        <v>#N/A</v>
      </c>
      <c r="AC278" s="30" t="e">
        <f t="shared" si="501"/>
        <v>#N/A</v>
      </c>
      <c r="AD278" s="31" t="e">
        <f>IF(OR(Hypothèses!$B$4=17,Hypothèses!$B$4=18,Hypothèses!$B$4=19,Hypothèses!$B$4=20),
IF($D278="Pressio.",
IF(OR($E278=3,$E278=1,$E278=4),AC278,AB278),
IF($D278="Pénétro.",
IF(OR($E278=3,$E278=1,$E278=4),AC278,AB278))),IF($D278="Pressio.",
IF($E278=3,AC278,AB278),
IF($D278="Pénétro.",
IF($E278=4,AC278,AB278))))</f>
        <v>#N/A</v>
      </c>
      <c r="AE278" s="31" t="e">
        <f>(IF(OR(Hypothèses!$B$4=17,Hypothèses!$B$4=18,Hypothèses!$B$4=19,Hypothèses!$B$4=20),
IF($D278="Pressio.",
IF(OR($E278=3,$E278=1,$E278=4),(PI()*AE$12^2)/4*(AA278*$W278*1000)/($H278*$B$5),(PI()*AE$12^2)/4*(AA278*$W278*1000)/($G278*$B$5)),
IF($D278="Pénétro.",
IF(OR($E278=4,$E278=1,$E278=5),(PI()*AE$12^2)/4*(AA278*$W278*1000)/($H278*$B$5),(PI()*AE$12^2)/4*(AA278*$W278*1000)/($G278*$B$5)))),
IF($D278="Pressio.",
IF($E278=3,(PI()*AE$12^2)/4*(AA278*$W278*1000)/($H278*$B$5),(PI()*AE$12^2)/4*(AA278*$W278*1000)/($G278*$B$5)),
IF($D278="Pénétro.",
IF($E278=4,(PI()*AE$12^2)/4*(AA278*$W278*1000)/($H278*$B$5),(PI()*AE$12^2)/4*(AA278*$W278*1000)/($G278*$B$5))))))/10</f>
        <v>#N/A</v>
      </c>
      <c r="AF278" s="102" t="e">
        <f>(VLOOKUP($B$3,'Coeff EC7'!$T$39:$X$59,2,0)*AD278+VLOOKUP($B$3,'Coeff EC7'!$T$65:$X$85,2,0)*Model0.1C!AE278)/1.1</f>
        <v>#N/A</v>
      </c>
      <c r="AG278" s="102" t="e">
        <f>(VLOOKUP($B$3,'Coeff EC7'!$T$39:$X$59,3,0)*AD278+VLOOKUP($B$3,'Coeff EC7'!$T$65:$X$85,3,0)*Model0.1C!AE278)/0.9</f>
        <v>#N/A</v>
      </c>
      <c r="AH278" s="102" t="e">
        <f t="shared" si="439"/>
        <v>#N/A</v>
      </c>
      <c r="AI278" s="102" t="e">
        <f t="shared" si="440"/>
        <v>#N/A</v>
      </c>
      <c r="AJ278" s="414" t="e">
        <f>IF(AJ277=0,0,IF(AND(AF278&gt;charge_ELS_quasi,AG278&gt;Charge_ELS_freq,AH278&gt;charge_ELU,AI278&gt;charge_ELA,$B278&gt;NDC!$H$22-0.1+MIN(3*$AJ$12,1.5)),0,1))</f>
        <v>#N/A</v>
      </c>
      <c r="AK278" s="86" t="b">
        <f t="shared" si="441"/>
        <v>0</v>
      </c>
      <c r="AL278" s="86">
        <f t="shared" si="470"/>
        <v>0.5</v>
      </c>
      <c r="AM278" s="86">
        <f t="shared" si="442"/>
        <v>0.5</v>
      </c>
      <c r="AN278" s="30" t="e">
        <f t="shared" ca="1" si="471"/>
        <v>#DIV/0!</v>
      </c>
      <c r="AO278" s="85" t="e">
        <f ca="1">IF(U278&lt;=Hypothèses!$V$7,Hypothèses!$W$7,IF(U278&lt;=Hypothèses!$V$8,Hypothèses!$W$8,IF(U278&lt;=Hypothèses!$V$9,Hypothèses!$W$9,IF(U278&lt;=Hypothèses!$V$10,Hypothèses!$W$10,IF(U278&lt;=Hypothèses!$V$11,Hypothèses!$W$11,IF(U278&lt;=Hypothèses!$V$12,Hypothèses!$W$12,IF(U278&lt;=Hypothèses!$V$13,Hypothèses!$W$13,IF(U278&lt;=Hypothèses!$V$14,Hypothèses!$W$14,IF(U278&lt;=Hypothèses!$V$15,Hypothèses!$W$15,IF(U278&lt;=Hypothèses!$V$16,Hypothèses!$W$16,IF(U278&lt;=Hypothèses!$V$17,Hypothèses!$W$17,IF(U278&lt;=Hypothèses!$V$18,Hypothèses!$W$18,""))))))))))))</f>
        <v>#DIV/0!</v>
      </c>
      <c r="AP278" s="87" t="e">
        <f t="shared" ca="1" si="517"/>
        <v>#DIV/0!</v>
      </c>
      <c r="AQ278" s="88" t="e">
        <f ca="1">IF(U278&lt;=Hypothèses!$V$7,Hypothèses!$X$7,IF(U278&lt;=Hypothèses!$V$8,Hypothèses!$X$8,IF(U278&lt;=Hypothèses!$V$9,Hypothèses!$X$9,IF(U278&lt;=Hypothèses!$V$10,Hypothèses!$X$10,IF(U278&lt;=Hypothèses!$V$11,Hypothèses!$X$11,IF(U278&lt;=Hypothèses!$V$12,Hypothèses!$X$12,IF(U278&lt;=Hypothèses!$V$13,Hypothèses!$X$13,IF(U278&lt;=Hypothèses!$V$14,Hypothèses!$X$14,IF(U278&lt;=Hypothèses!$V$15,Hypothèses!$X$15,IF(U278&lt;=Hypothèses!$V$16,Hypothèses!$X$16,IF(U278&lt;=Hypothèses!$U$17,Hypothèses!$W$17,IF(U278&lt;=Hypothèses!$U$18,Hypothèses!$W$18,""))))))))))))</f>
        <v>#DIV/0!</v>
      </c>
      <c r="AR278" s="95" t="e">
        <f t="shared" ca="1" si="472"/>
        <v>#DIV/0!</v>
      </c>
      <c r="AS278" s="101" t="e">
        <f t="shared" si="524"/>
        <v>#N/A</v>
      </c>
      <c r="AT278" s="91" t="e">
        <f t="shared" si="443"/>
        <v>#N/A</v>
      </c>
      <c r="AU278" s="30" t="e">
        <f t="shared" si="502"/>
        <v>#N/A</v>
      </c>
      <c r="AV278" s="30" t="e">
        <f t="shared" si="503"/>
        <v>#N/A</v>
      </c>
      <c r="AW278" s="31" t="e">
        <f>IF(OR(Hypothèses!$B$4=17,Hypothèses!$B$4=18,Hypothèses!$B$4=19,Hypothèses!$B$4=20),
IF($D278="Pressio.",
IF(OR($E278=3,$E278=1,$E278=4),AV278,AU278),
IF($D278="Pénétro.",
IF(OR($E278=3,$E278=1,$E278=4),AV278,AU278))),IF($D278="Pressio.",
IF($E278=3,AV278,AU278),
IF($D278="Pénétro.",
IF($E278=4,AV278,AU278))))</f>
        <v>#N/A</v>
      </c>
      <c r="AX278" s="31" t="e">
        <f>(IF(OR(Hypothèses!$B$4=17,Hypothèses!$B$4=18,Hypothèses!$B$4=19,Hypothèses!$B$4=20),
IF($D278="Pressio.",
IF(OR($E278=3,$E278=1,$E278=4),(PI()*AX$12^2)/4*(AT278*$W278*1000)/($H278*$B$5),(PI()*AX$12^2)/4*(AT278*$W278*1000)/($G278*$B$5)),
IF($D278="Pénétro.",
IF(OR($E278=4,$E278=1,$E278=5),(PI()*AX$12^2)/4*(AT278*$W278*1000)/($H278*$B$5),(PI()*AX$12^2)/4*(AT278*$W278*1000)/($G278*$B$5)))),
IF($D278="Pressio.",
IF($E278=3,(PI()*AX$12^2)/4*(AT278*$W278*1000)/($H278*$B$5),(PI()*AX$12^2)/4*(AT278*$W278*1000)/($G278*$B$5)),
IF($D278="Pénétro.",
IF($E278=4,(PI()*AX$12^2)/4*(AT278*$W278*1000)/($H278*$B$5),(PI()*AX$12^2)/4*(AT278*$W278*1000)/($G278*$B$5))))))/10</f>
        <v>#N/A</v>
      </c>
      <c r="AY278" s="102" t="e">
        <f>(VLOOKUP($B$3,'Coeff EC7'!$T$39:$X$59,2,0)*AW278+VLOOKUP($B$3,'Coeff EC7'!$T$65:$X$85,2,0)*Model0.1C!AX278)/1.1</f>
        <v>#N/A</v>
      </c>
      <c r="AZ278" s="102" t="e">
        <f>(VLOOKUP($B$3,'Coeff EC7'!$T$39:$X$59,3,0)*AW278+VLOOKUP($B$3,'Coeff EC7'!$T$65:$X$85,3,0)*Model0.1C!AX278)/0.9</f>
        <v>#N/A</v>
      </c>
      <c r="BA278" s="102" t="e">
        <f t="shared" si="473"/>
        <v>#N/A</v>
      </c>
      <c r="BB278" s="102" t="e">
        <f t="shared" si="474"/>
        <v>#N/A</v>
      </c>
      <c r="BC278" s="414" t="e">
        <f>IF(BC277=0,0,IF(AND(AY278&gt;charge_ELS_quasi,AZ278&gt;Charge_ELS_freq,BA278&gt;charge_ELU,BB278&gt;charge_ELA,$B278&gt;NDC!$H$22-0.1+MIN(3*$BC$12,1.5)),0,1))</f>
        <v>#N/A</v>
      </c>
      <c r="BD278" s="86" t="b">
        <f t="shared" si="444"/>
        <v>0</v>
      </c>
      <c r="BE278" s="86">
        <f t="shared" si="475"/>
        <v>0.5</v>
      </c>
      <c r="BF278" s="86">
        <f t="shared" si="445"/>
        <v>0.5</v>
      </c>
      <c r="BG278" s="30" t="e">
        <f t="shared" ca="1" si="476"/>
        <v>#DIV/0!</v>
      </c>
      <c r="BH278" s="85" t="e">
        <f ca="1">IF(AN278&lt;=Hypothèses!$V$7,Hypothèses!$W$7,IF(AN278&lt;=Hypothèses!$V$8,Hypothèses!$W$8,IF(AN278&lt;=Hypothèses!$V$9,Hypothèses!$W$9,IF(AN278&lt;=Hypothèses!$V$10,Hypothèses!$W$10,IF(AN278&lt;=Hypothèses!$V$11,Hypothèses!$W$11,IF(AN278&lt;=Hypothèses!$V$12,Hypothèses!$W$12,IF(AN278&lt;=Hypothèses!$V$13,Hypothèses!$W$13,IF(AN278&lt;=Hypothèses!$V$14,Hypothèses!$W$14,IF(AN278&lt;=Hypothèses!$V$15,Hypothèses!$W$15,IF(AN278&lt;=Hypothèses!$V$16,Hypothèses!$W$16,IF(AN278&lt;=Hypothèses!$V$17,Hypothèses!$W$17,IF(AN278&lt;=Hypothèses!$V$18,Hypothèses!$W$18,""))))))))))))</f>
        <v>#DIV/0!</v>
      </c>
      <c r="BI278" s="87" t="e">
        <f t="shared" ca="1" si="518"/>
        <v>#DIV/0!</v>
      </c>
      <c r="BJ278" s="88" t="e">
        <f ca="1">IF(AN278&lt;=Hypothèses!$V$7,Hypothèses!$X$7,IF(AN278&lt;=Hypothèses!$V$8,Hypothèses!$X$8,IF(AN278&lt;=Hypothèses!$V$9,Hypothèses!$X$9,IF(AN278&lt;=Hypothèses!$V$10,Hypothèses!$X$10,IF(AN278&lt;=Hypothèses!$V$11,Hypothèses!$X$11,IF(AN278&lt;=Hypothèses!$V$12,Hypothèses!$X$12,IF(AN278&lt;=Hypothèses!$V$13,Hypothèses!$X$13,IF(AN278&lt;=Hypothèses!$V$14,Hypothèses!$X$14,IF(AN278&lt;=Hypothèses!$V$15,Hypothèses!$X$15,IF(AN278&lt;=Hypothèses!$V$16,Hypothèses!$X$16,IF(AN278&lt;=Hypothèses!$U$17,Hypothèses!$W$17,IF(AN278&lt;=Hypothèses!$U$18,Hypothèses!$W$18,""))))))))))))</f>
        <v>#DIV/0!</v>
      </c>
      <c r="BK278" s="95" t="e">
        <f t="shared" ca="1" si="477"/>
        <v>#DIV/0!</v>
      </c>
      <c r="BL278" s="101" t="e">
        <f t="shared" si="525"/>
        <v>#N/A</v>
      </c>
      <c r="BM278" s="91" t="e">
        <f t="shared" si="446"/>
        <v>#N/A</v>
      </c>
      <c r="BN278" s="30" t="e">
        <f t="shared" si="504"/>
        <v>#N/A</v>
      </c>
      <c r="BO278" s="30" t="e">
        <f t="shared" si="505"/>
        <v>#N/A</v>
      </c>
      <c r="BP278" s="31" t="e">
        <f>IF(OR(Hypothèses!$B$4=17,Hypothèses!$B$4=18,Hypothèses!$B$4=19,Hypothèses!$B$4=20),
IF($D278="Pressio.",
IF(OR($E278=3,$E278=1,$E278=4),BO278,BN278),
IF($D278="Pénétro.",
IF(OR($E278=3,$E278=1,$E278=4),BO278,BN278))),IF($D278="Pressio.",
IF($E278=3,BO278,BN278),
IF($D278="Pénétro.",
IF($E278=4,BO278,BN278))))</f>
        <v>#N/A</v>
      </c>
      <c r="BQ278" s="31" t="e">
        <f>(IF(OR(Hypothèses!$B$4=17,Hypothèses!$B$4=18,Hypothèses!$B$4=19,Hypothèses!$B$4=20),
IF($D278="Pressio.",
IF(OR($E278=3,$E278=1,$E278=4),(PI()*BQ$12^2)/4*(BM278*$W278*1000)/($H278*$B$5),(PI()*BQ$12^2)/4*(BM278*$W278*1000)/($G278*$B$5)),
IF($D278="Pénétro.",
IF(OR($E278=4,$E278=1,$E278=5),(PI()*BQ$12^2)/4*(BM278*$W278*1000)/($H278*$B$5),(PI()*BQ$12^2)/4*(BM278*$W278*1000)/($G278*$B$5)))),
IF($D278="Pressio.",
IF($E278=3,(PI()*BQ$12^2)/4*(BM278*$W278*1000)/($H278*$B$5),(PI()*BQ$12^2)/4*(BM278*$W278*1000)/($G278*$B$5)),
IF($D278="Pénétro.",
IF($E278=4,(PI()*BQ$12^2)/4*(BM278*$W278*1000)/($H278*$B$5),(PI()*BQ$12^2)/4*(BM278*$W278*1000)/($G278*$B$5))))))/10</f>
        <v>#N/A</v>
      </c>
      <c r="BR278" s="102" t="e">
        <f>(VLOOKUP($B$3,'Coeff EC7'!$T$39:$X$59,2,0)*BP278+VLOOKUP($B$3,'Coeff EC7'!$T$65:$X$85,2,0)*Model0.1C!BQ278)/1.1</f>
        <v>#N/A</v>
      </c>
      <c r="BS278" s="102" t="e">
        <f>(VLOOKUP($B$3,'Coeff EC7'!$T$39:$X$59,3,0)*BP278+VLOOKUP($B$3,'Coeff EC7'!$T$65:$X$85,3,0)*Model0.1C!BQ278)/0.9</f>
        <v>#N/A</v>
      </c>
      <c r="BT278" s="102" t="e">
        <f t="shared" si="478"/>
        <v>#N/A</v>
      </c>
      <c r="BU278" s="102" t="e">
        <f t="shared" si="479"/>
        <v>#N/A</v>
      </c>
      <c r="BV278" s="414" t="e">
        <f>IF(BV277=0,0,IF(AND(BR278&gt;charge_ELS_quasi,BS278&gt;Charge_ELS_freq,BT278&gt;charge_ELU,BU278&gt;charge_ELA,$B278&gt;NDC!$H$22-0.1+MIN(3*$BV$12,1.5)),0,1))</f>
        <v>#N/A</v>
      </c>
      <c r="BW278" s="86" t="b">
        <f t="shared" si="447"/>
        <v>0</v>
      </c>
      <c r="BX278" s="86">
        <f t="shared" si="448"/>
        <v>0.5</v>
      </c>
      <c r="BY278" s="86">
        <f t="shared" si="449"/>
        <v>0.5</v>
      </c>
      <c r="BZ278" s="30" t="e">
        <f t="shared" ca="1" si="480"/>
        <v>#DIV/0!</v>
      </c>
      <c r="CA278" s="85" t="e">
        <f ca="1">IF(BG278&lt;=Hypothèses!$V$7,Hypothèses!$W$7,IF(BG278&lt;=Hypothèses!$V$8,Hypothèses!$W$8,IF(BG278&lt;=Hypothèses!$V$9,Hypothèses!$W$9,IF(BG278&lt;=Hypothèses!$V$10,Hypothèses!$W$10,IF(BG278&lt;=Hypothèses!$V$11,Hypothèses!$W$11,IF(BG278&lt;=Hypothèses!$V$12,Hypothèses!$W$12,IF(BG278&lt;=Hypothèses!$V$13,Hypothèses!$W$13,IF(BG278&lt;=Hypothèses!$V$14,Hypothèses!$W$14,IF(BG278&lt;=Hypothèses!$V$15,Hypothèses!$W$15,IF(BG278&lt;=Hypothèses!$V$16,Hypothèses!$W$16,IF(BG278&lt;=Hypothèses!$V$17,Hypothèses!$W$17,IF(BG278&lt;=Hypothèses!$V$18,Hypothèses!$W$18,""))))))))))))</f>
        <v>#DIV/0!</v>
      </c>
      <c r="CB278" s="87" t="e">
        <f t="shared" ca="1" si="519"/>
        <v>#DIV/0!</v>
      </c>
      <c r="CC278" s="88" t="e">
        <f ca="1">IF(BG278&lt;=Hypothèses!$V$7,Hypothèses!$X$7,IF(BG278&lt;=Hypothèses!$V$8,Hypothèses!$X$8,IF(BG278&lt;=Hypothèses!$V$9,Hypothèses!$X$9,IF(BG278&lt;=Hypothèses!$V$10,Hypothèses!$X$10,IF(BG278&lt;=Hypothèses!$V$11,Hypothèses!$X$11,IF(BG278&lt;=Hypothèses!$V$12,Hypothèses!$X$12,IF(BG278&lt;=Hypothèses!$V$13,Hypothèses!$X$13,IF(BG278&lt;=Hypothèses!$V$14,Hypothèses!$X$14,IF(BG278&lt;=Hypothèses!$V$15,Hypothèses!$X$15,IF(BG278&lt;=Hypothèses!$V$16,Hypothèses!$X$16,IF(BG278&lt;=Hypothèses!$U$17,Hypothèses!$W$17,IF(BG278&lt;=Hypothèses!$U$18,Hypothèses!$W$18,""))))))))))))</f>
        <v>#DIV/0!</v>
      </c>
      <c r="CD278" s="95" t="e">
        <f t="shared" ca="1" si="481"/>
        <v>#DIV/0!</v>
      </c>
      <c r="CE278" s="101" t="e">
        <f t="shared" si="526"/>
        <v>#N/A</v>
      </c>
      <c r="CF278" s="91" t="e">
        <f t="shared" si="450"/>
        <v>#N/A</v>
      </c>
      <c r="CG278" s="30" t="e">
        <f t="shared" si="506"/>
        <v>#N/A</v>
      </c>
      <c r="CH278" s="30" t="e">
        <f t="shared" si="507"/>
        <v>#N/A</v>
      </c>
      <c r="CI278" s="31" t="e">
        <f>IF(OR(Hypothèses!$B$4=17,Hypothèses!$B$4=18,Hypothèses!$B$4=19,Hypothèses!$B$4=20),
IF($D278="Pressio.",
IF(OR($E278=3,$E278=1,$E278=4),CH278,CG278),
IF($D278="Pénétro.",
IF(OR($E278=3,$E278=1,$E278=4),CH278,CG278))),IF($D278="Pressio.",
IF($E278=3,CH278,CG278),
IF($D278="Pénétro.",
IF($E278=4,CH278,CG278))))</f>
        <v>#N/A</v>
      </c>
      <c r="CJ278" s="31" t="e">
        <f>(IF(OR(Hypothèses!$B$4=17,Hypothèses!$B$4=18,Hypothèses!$B$4=19,Hypothèses!$B$4=20),
IF($D278="Pressio.",
IF(OR($E278=3,$E278=1,$E278=4),(PI()*CJ$12^2)/4*(CF278*$W278*1000)/($H278*$B$5),(PI()*CJ$12^2)/4*(CF278*$W278*1000)/($G278*$B$5)),
IF($D278="Pénétro.",
IF(OR($E278=4,$E278=1,$E278=5),(PI()*CJ$12^2)/4*(CF278*$W278*1000)/($H278*$B$5),(PI()*CJ$12^2)/4*(CF278*$W278*1000)/($G278*$B$5)))),
IF($D278="Pressio.",
IF($E278=3,(PI()*CJ$12^2)/4*(CF278*$W278*1000)/($H278*$B$5),(PI()*CJ$12^2)/4*(CF278*$W278*1000)/($G278*$B$5)),
IF($D278="Pénétro.",
IF($E278=4,(PI()*CJ$12^2)/4*(CF278*$W278*1000)/($H278*$B$5),(PI()*CJ$12^2)/4*(CF278*$W278*1000)/($G278*$B$5))))))/10</f>
        <v>#N/A</v>
      </c>
      <c r="CK278" s="102" t="e">
        <f>(VLOOKUP($B$3,'Coeff EC7'!$T$39:$X$59,2,0)*CI278+VLOOKUP($B$3,'Coeff EC7'!$T$65:$X$85,2,0)*Model0.1C!CJ278)/1.1</f>
        <v>#N/A</v>
      </c>
      <c r="CL278" s="102" t="e">
        <f>(VLOOKUP($B$3,'Coeff EC7'!$T$39:$X$59,3,0)*CI278+VLOOKUP($B$3,'Coeff EC7'!$T$65:$X$85,3,0)*Model0.1C!CJ278)/0.9</f>
        <v>#N/A</v>
      </c>
      <c r="CM278" s="102" t="e">
        <f t="shared" si="482"/>
        <v>#N/A</v>
      </c>
      <c r="CN278" s="102" t="e">
        <f t="shared" si="483"/>
        <v>#N/A</v>
      </c>
      <c r="CO278" s="414" t="e">
        <f>IF(CO277=0,0,IF(AND(CK278&gt;charge_ELS_quasi,CL278&gt;Charge_ELS_freq,CM278&gt;charge_ELU,CN278&gt;charge_ELA,$B278&gt;NDC!$H$22-0.1+MIN(3*$CO$12,1.5)),0,1))</f>
        <v>#N/A</v>
      </c>
      <c r="CP278" s="86" t="b">
        <f t="shared" si="451"/>
        <v>0</v>
      </c>
      <c r="CQ278" s="86">
        <f t="shared" si="452"/>
        <v>0.5</v>
      </c>
      <c r="CR278" s="86">
        <f t="shared" si="453"/>
        <v>0.5</v>
      </c>
      <c r="CS278" s="30" t="e">
        <f t="shared" ca="1" si="484"/>
        <v>#DIV/0!</v>
      </c>
      <c r="CT278" s="85" t="e">
        <f ca="1">IF(BZ278&lt;=Hypothèses!$V$7,Hypothèses!$W$7,IF(BZ278&lt;=Hypothèses!$V$8,Hypothèses!$W$8,IF(BZ278&lt;=Hypothèses!$V$9,Hypothèses!$W$9,IF(BZ278&lt;=Hypothèses!$V$10,Hypothèses!$W$10,IF(BZ278&lt;=Hypothèses!$V$11,Hypothèses!$W$11,IF(BZ278&lt;=Hypothèses!$V$12,Hypothèses!$W$12,IF(BZ278&lt;=Hypothèses!$V$13,Hypothèses!$W$13,IF(BZ278&lt;=Hypothèses!$V$14,Hypothèses!$W$14,IF(BZ278&lt;=Hypothèses!$V$15,Hypothèses!$W$15,IF(BZ278&lt;=Hypothèses!$V$16,Hypothèses!$W$16,IF(BZ278&lt;=Hypothèses!$V$17,Hypothèses!$W$17,IF(BZ278&lt;=Hypothèses!$V$18,Hypothèses!$W$18,""))))))))))))</f>
        <v>#DIV/0!</v>
      </c>
      <c r="CU278" s="87" t="e">
        <f t="shared" ca="1" si="520"/>
        <v>#DIV/0!</v>
      </c>
      <c r="CV278" s="88" t="e">
        <f ca="1">IF(BZ278&lt;=Hypothèses!$V$7,Hypothèses!$X$7,IF(BZ278&lt;=Hypothèses!$V$8,Hypothèses!$X$8,IF(BZ278&lt;=Hypothèses!$V$9,Hypothèses!$X$9,IF(BZ278&lt;=Hypothèses!$V$10,Hypothèses!$X$10,IF(BZ278&lt;=Hypothèses!$V$11,Hypothèses!$X$11,IF(BZ278&lt;=Hypothèses!$V$12,Hypothèses!$X$12,IF(BZ278&lt;=Hypothèses!$V$13,Hypothèses!$X$13,IF(BZ278&lt;=Hypothèses!$V$14,Hypothèses!$X$14,IF(BZ278&lt;=Hypothèses!$V$15,Hypothèses!$X$15,IF(BZ278&lt;=Hypothèses!$V$16,Hypothèses!$X$16,IF(BZ278&lt;=Hypothèses!$U$17,Hypothèses!$W$17,IF(BZ278&lt;=Hypothèses!$U$18,Hypothèses!$W$18,""))))))))))))</f>
        <v>#DIV/0!</v>
      </c>
      <c r="CW278" s="95" t="e">
        <f t="shared" ca="1" si="485"/>
        <v>#DIV/0!</v>
      </c>
      <c r="CX278" s="101" t="e">
        <f t="shared" si="527"/>
        <v>#N/A</v>
      </c>
      <c r="CY278" s="91" t="e">
        <f t="shared" si="454"/>
        <v>#N/A</v>
      </c>
      <c r="CZ278" s="30" t="e">
        <f t="shared" si="508"/>
        <v>#N/A</v>
      </c>
      <c r="DA278" s="30" t="e">
        <f t="shared" si="509"/>
        <v>#N/A</v>
      </c>
      <c r="DB278" s="31" t="e">
        <f>IF(OR(Hypothèses!$B$4=17,Hypothèses!$B$4=18,Hypothèses!$B$4=19,Hypothèses!$B$4=20),
IF($D278="Pressio.",
IF(OR($E278=3,$E278=1,$E278=4),DA278,CZ278),
IF($D278="Pénétro.",
IF(OR($E278=3,$E278=1,$E278=4),DA278,CZ278))),IF($D278="Pressio.",
IF($E278=3,DA278,CZ278),
IF($D278="Pénétro.",
IF($E278=4,DA278,CZ278))))</f>
        <v>#N/A</v>
      </c>
      <c r="DC278" s="31" t="e">
        <f>(IF(OR(Hypothèses!$B$4=17,Hypothèses!$B$4=18,Hypothèses!$B$4=19,Hypothèses!$B$4=20),
IF($D278="Pressio.",
IF(OR($E278=3,$E278=1,$E278=4),(PI()*DC$12^2)/4*(CY278*$W278*1000)/($H278*$B$5),(PI()*DC$12^2)/4*(CY278*$W278*1000)/($G278*$B$5)),
IF($D278="Pénétro.",
IF(OR($E278=4,$E278=1,$E278=5),(PI()*DC$12^2)/4*(CY278*$W278*1000)/($H278*$B$5),(PI()*DC$12^2)/4*(CY278*$W278*1000)/($G278*$B$5)))),
IF($D278="Pressio.",
IF($E278=3,(PI()*DC$12^2)/4*(CY278*$W278*1000)/($H278*$B$5),(PI()*DC$12^2)/4*(CY278*$W278*1000)/($G278*$B$5)),
IF($D278="Pénétro.",
IF($E278=4,(PI()*DC$12^2)/4*(CY278*$W278*1000)/($H278*$B$5),(PI()*DC$12^2)/4*(CY278*$W278*1000)/($G278*$B$5))))))/10</f>
        <v>#N/A</v>
      </c>
      <c r="DD278" s="102" t="e">
        <f>(VLOOKUP($B$3,'Coeff EC7'!$T$39:$X$59,2,0)*DB278+VLOOKUP($B$3,'Coeff EC7'!$T$65:$X$85,2,0)*Model0.1C!DC278)/1.1</f>
        <v>#N/A</v>
      </c>
      <c r="DE278" s="102" t="e">
        <f>(VLOOKUP($B$3,'Coeff EC7'!$T$39:$X$59,3,0)*DB278+VLOOKUP($B$3,'Coeff EC7'!$T$65:$X$85,3,0)*Model0.1C!DC278)/0.9</f>
        <v>#N/A</v>
      </c>
      <c r="DF278" s="102" t="e">
        <f t="shared" si="486"/>
        <v>#N/A</v>
      </c>
      <c r="DG278" s="102" t="e">
        <f t="shared" si="487"/>
        <v>#N/A</v>
      </c>
      <c r="DH278" s="414" t="e">
        <f>IF(DH277=0,0,IF(AND(DD278&gt;charge_ELS_quasi,DE278&gt;Charge_ELS_freq,DF278&gt;charge_ELU,DG278&gt;charge_ELA,$B278&gt;NDC!$H$22-0.1+MIN(3*$DH$12,1.5)),0,1))</f>
        <v>#N/A</v>
      </c>
      <c r="DI278" s="86" t="b">
        <f t="shared" si="455"/>
        <v>0</v>
      </c>
      <c r="DJ278" s="86">
        <f t="shared" si="456"/>
        <v>0.5</v>
      </c>
      <c r="DK278" s="86">
        <f t="shared" si="457"/>
        <v>0.5</v>
      </c>
      <c r="DL278" s="30" t="e">
        <f t="shared" ca="1" si="488"/>
        <v>#DIV/0!</v>
      </c>
      <c r="DM278" s="85" t="e">
        <f ca="1">IF(CS278&lt;=Hypothèses!$V$7,Hypothèses!$W$7,IF(CS278&lt;=Hypothèses!$V$8,Hypothèses!$W$8,IF(CS278&lt;=Hypothèses!$V$9,Hypothèses!$W$9,IF(CS278&lt;=Hypothèses!$V$10,Hypothèses!$W$10,IF(CS278&lt;=Hypothèses!$V$11,Hypothèses!$W$11,IF(CS278&lt;=Hypothèses!$V$12,Hypothèses!$W$12,IF(CS278&lt;=Hypothèses!$V$13,Hypothèses!$W$13,IF(CS278&lt;=Hypothèses!$V$14,Hypothèses!$W$14,IF(CS278&lt;=Hypothèses!$V$15,Hypothèses!$W$15,IF(CS278&lt;=Hypothèses!$V$16,Hypothèses!$W$16,IF(CS278&lt;=Hypothèses!$V$17,Hypothèses!$W$17,IF(CS278&lt;=Hypothèses!$V$18,Hypothèses!$W$18,""))))))))))))</f>
        <v>#DIV/0!</v>
      </c>
      <c r="DN278" s="87" t="e">
        <f t="shared" ca="1" si="521"/>
        <v>#DIV/0!</v>
      </c>
      <c r="DO278" s="88" t="e">
        <f ca="1">IF(CS278&lt;=Hypothèses!$V$7,Hypothèses!$X$7,IF(CS278&lt;=Hypothèses!$V$8,Hypothèses!$X$8,IF(CS278&lt;=Hypothèses!$V$9,Hypothèses!$X$9,IF(CS278&lt;=Hypothèses!$V$10,Hypothèses!$X$10,IF(CS278&lt;=Hypothèses!$V$11,Hypothèses!$X$11,IF(CS278&lt;=Hypothèses!$V$12,Hypothèses!$X$12,IF(CS278&lt;=Hypothèses!$V$13,Hypothèses!$X$13,IF(CS278&lt;=Hypothèses!$V$14,Hypothèses!$X$14,IF(CS278&lt;=Hypothèses!$V$15,Hypothèses!$X$15,IF(CS278&lt;=Hypothèses!$V$16,Hypothèses!$X$16,IF(CS278&lt;=Hypothèses!$U$17,Hypothèses!$W$17,IF(CS278&lt;=Hypothèses!$U$18,Hypothèses!$W$18,""))))))))))))</f>
        <v>#DIV/0!</v>
      </c>
      <c r="DP278" s="95" t="e">
        <f t="shared" ca="1" si="489"/>
        <v>#DIV/0!</v>
      </c>
      <c r="DQ278" s="101" t="e">
        <f t="shared" si="528"/>
        <v>#N/A</v>
      </c>
      <c r="DR278" s="91" t="e">
        <f t="shared" si="458"/>
        <v>#N/A</v>
      </c>
      <c r="DS278" s="30" t="e">
        <f t="shared" si="510"/>
        <v>#N/A</v>
      </c>
      <c r="DT278" s="30" t="e">
        <f t="shared" si="511"/>
        <v>#N/A</v>
      </c>
      <c r="DU278" s="31" t="e">
        <f>IF(OR(Hypothèses!$B$4=17,Hypothèses!$B$4=18,Hypothèses!$B$4=19,Hypothèses!$B$4=20),
IF($D278="Pressio.",
IF(OR($E278=3,$E278=1,$E278=4),DT278,DS278),
IF($D278="Pénétro.",
IF(OR($E278=3,$E278=1,$E278=4),DT278,DS278))),IF($D278="Pressio.",
IF($E278=3,DT278,DS278),
IF($D278="Pénétro.",
IF($E278=4,DT278,DS278))))</f>
        <v>#N/A</v>
      </c>
      <c r="DV278" s="31" t="e">
        <f>(IF(OR(Hypothèses!$B$4=17,Hypothèses!$B$4=18,Hypothèses!$B$4=19,Hypothèses!$B$4=20),
IF($D278="Pressio.",
IF(OR($E278=3,$E278=1,$E278=4),(PI()*DV$12^2)/4*(DR278*$W278*1000)/($H278*$B$5),(PI()*DV$12^2)/4*(DR278*$W278*1000)/($G278*$B$5)),
IF($D278="Pénétro.",
IF(OR($E278=4,$E278=1,$E278=5),(PI()*DV$12^2)/4*(DR278*$W278*1000)/($H278*$B$5),(PI()*DV$12^2)/4*(DR278*$W278*1000)/($G278*$B$5)))),
IF($D278="Pressio.",
IF($E278=3,(PI()*DV$12^2)/4*(DR278*$W278*1000)/($H278*$B$5),(PI()*DV$12^2)/4*(DR278*$W278*1000)/($G278*$B$5)),
IF($D278="Pénétro.",
IF($E278=4,(PI()*DV$12^2)/4*(DR278*$W278*1000)/($H278*$B$5),(PI()*DV$12^2)/4*(DR278*$W278*1000)/($G278*$B$5))))))/10</f>
        <v>#N/A</v>
      </c>
      <c r="DW278" s="102" t="e">
        <f>(VLOOKUP($B$3,'Coeff EC7'!$T$39:$X$59,2,0)*DU278+VLOOKUP($B$3,'Coeff EC7'!$T$65:$X$85,2,0)*Model0.1C!DV278)/1.1</f>
        <v>#N/A</v>
      </c>
      <c r="DX278" s="102" t="e">
        <f>(VLOOKUP($B$3,'Coeff EC7'!$T$39:$X$59,3,0)*DU278+VLOOKUP($B$3,'Coeff EC7'!$T$65:$X$85,3,0)*Model0.1C!DV278)/0.9</f>
        <v>#N/A</v>
      </c>
      <c r="DY278" s="102" t="e">
        <f t="shared" si="490"/>
        <v>#N/A</v>
      </c>
      <c r="DZ278" s="102" t="e">
        <f t="shared" si="491"/>
        <v>#N/A</v>
      </c>
      <c r="EA278" s="414" t="e">
        <f>IF(EA277=0,0,IF(AND(DW278&gt;charge_ELS_quasi,DX278&gt;Charge_ELS_freq,DY278&gt;charge_ELU,DZ278&gt;charge_ELA,$B278&gt;NDC!$H$22-0.1+MIN(3*$EA$12,1.5)),0,1))</f>
        <v>#N/A</v>
      </c>
      <c r="EB278" s="86" t="b">
        <f t="shared" si="459"/>
        <v>0</v>
      </c>
      <c r="EC278" s="418">
        <f t="shared" si="460"/>
        <v>0.51</v>
      </c>
      <c r="ED278" s="86">
        <f t="shared" si="461"/>
        <v>0.51</v>
      </c>
      <c r="EE278" s="30" t="e">
        <f t="shared" ca="1" si="492"/>
        <v>#DIV/0!</v>
      </c>
      <c r="EF278" s="85" t="e">
        <f ca="1">IF(DL278&lt;=Hypothèses!$V$7,Hypothèses!$W$7,IF(DL278&lt;=Hypothèses!$V$8,Hypothèses!$W$8,IF(DL278&lt;=Hypothèses!$V$9,Hypothèses!$W$9,IF(DL278&lt;=Hypothèses!$V$10,Hypothèses!$W$10,IF(DL278&lt;=Hypothèses!$V$11,Hypothèses!$W$11,IF(DL278&lt;=Hypothèses!$V$12,Hypothèses!$W$12,IF(DL278&lt;=Hypothèses!$V$13,Hypothèses!$W$13,IF(DL278&lt;=Hypothèses!$V$14,Hypothèses!$W$14,IF(DL278&lt;=Hypothèses!$V$15,Hypothèses!$W$15,IF(DL278&lt;=Hypothèses!$V$16,Hypothèses!$W$16,IF(DL278&lt;=Hypothèses!$V$17,Hypothèses!$W$17,IF(DL278&lt;=Hypothèses!$V$18,Hypothèses!$W$18,""))))))))))))</f>
        <v>#DIV/0!</v>
      </c>
      <c r="EG278" s="87" t="e">
        <f t="shared" ca="1" si="522"/>
        <v>#DIV/0!</v>
      </c>
      <c r="EH278" s="88" t="e">
        <f ca="1">IF(DL278&lt;=Hypothèses!$V$7,Hypothèses!$X$7,IF(DL278&lt;=Hypothèses!$V$8,Hypothèses!$X$8,IF(DL278&lt;=Hypothèses!$V$9,Hypothèses!$X$9,IF(DL278&lt;=Hypothèses!$V$10,Hypothèses!$X$10,IF(DL278&lt;=Hypothèses!$V$11,Hypothèses!$X$11,IF(DL278&lt;=Hypothèses!$V$12,Hypothèses!$X$12,IF(DL278&lt;=Hypothèses!$V$13,Hypothèses!$X$13,IF(DL278&lt;=Hypothèses!$V$14,Hypothèses!$X$14,IF(DL278&lt;=Hypothèses!$V$15,Hypothèses!$X$15,IF(DL278&lt;=Hypothèses!$V$16,Hypothèses!$X$16,IF(DL278&lt;=Hypothèses!$U$17,Hypothèses!$W$17,IF(DL278&lt;=Hypothèses!$U$18,Hypothèses!$W$18,""))))))))))))</f>
        <v>#DIV/0!</v>
      </c>
      <c r="EI278" s="95" t="e">
        <f t="shared" ca="1" si="493"/>
        <v>#DIV/0!</v>
      </c>
      <c r="EJ278" s="101" t="e">
        <f t="shared" si="529"/>
        <v>#N/A</v>
      </c>
      <c r="EK278" s="91" t="e">
        <f t="shared" si="462"/>
        <v>#N/A</v>
      </c>
      <c r="EL278" s="30" t="e">
        <f t="shared" si="512"/>
        <v>#N/A</v>
      </c>
      <c r="EM278" s="30" t="e">
        <f t="shared" si="513"/>
        <v>#N/A</v>
      </c>
      <c r="EN278" s="31" t="e">
        <f>IF(OR(Hypothèses!$B$4=17,Hypothèses!$B$4=18,Hypothèses!$B$4=19,Hypothèses!$B$4=20),
IF($D278="Pressio.",
IF(OR($E278=3,$E278=1,$E278=4),EM278,EL278),
IF($D278="Pénétro.",
IF(OR($E278=3,$E278=1,$E278=4),EM278,EL278))),IF($D278="Pressio.",
IF($E278=3,EM278,EL278),
IF($D278="Pénétro.",
IF($E278=4,EM278,EL278))))</f>
        <v>#N/A</v>
      </c>
      <c r="EO278" s="31" t="e">
        <f>(IF(OR(Hypothèses!$B$4=17,Hypothèses!$B$4=18,Hypothèses!$B$4=19,Hypothèses!$B$4=20),
IF($D278="Pressio.",
IF(OR($E278=3,$E278=1,$E278=4),(PI()*EO$12^2)/4*(EK278*$W278*1000)/($H278*$B$5),(PI()*EO$12^2)/4*(EK278*$W278*1000)/($G278*$B$5)),
IF($D278="Pénétro.",
IF(OR($E278=4,$E278=1,$E278=5),(PI()*EO$12^2)/4*(EK278*$W278*1000)/($H278*$B$5),(PI()*EO$12^2)/4*(EK278*$W278*1000)/($G278*$B$5)))),
IF($D278="Pressio.",
IF($E278=3,(PI()*EO$12^2)/4*(EK278*$W278*1000)/($H278*$B$5),(PI()*EO$12^2)/4*(EK278*$W278*1000)/($G278*$B$5)),
IF($D278="Pénétro.",
IF($E278=4,(PI()*EO$12^2)/4*(EK278*$W278*1000)/($H278*$B$5),(PI()*EO$12^2)/4*(EK278*$W278*1000)/($G278*$B$5))))))/10</f>
        <v>#N/A</v>
      </c>
      <c r="EP278" s="102" t="e">
        <f>(VLOOKUP($B$3,'Coeff EC7'!$T$39:$X$59,2,0)*EN278+VLOOKUP($B$3,'Coeff EC7'!$T$65:$X$85,2,0)*Model0.1C!EO278)/1.1</f>
        <v>#N/A</v>
      </c>
      <c r="EQ278" s="102" t="e">
        <f>(VLOOKUP($B$3,'Coeff EC7'!$T$39:$X$59,3,0)*EN278+VLOOKUP($B$3,'Coeff EC7'!$T$65:$X$85,3,0)*Model0.1C!EO278)/0.9</f>
        <v>#N/A</v>
      </c>
      <c r="ER278" s="102" t="e">
        <f t="shared" si="494"/>
        <v>#N/A</v>
      </c>
      <c r="ES278" s="102" t="e">
        <f t="shared" si="495"/>
        <v>#N/A</v>
      </c>
      <c r="ET278" s="414" t="e">
        <f>IF(ET277=0,0,IF(AND(EP278&gt;charge_ELS_quasi,EQ278&gt;Charge_ELS_freq,ER278&gt;charge_ELU,ES278&gt;charge_ELA,$B278&gt;NDC!$H$22-0.1+MIN(3*$ET$12,1.5)),0,1))</f>
        <v>#N/A</v>
      </c>
      <c r="EU278" s="86" t="b">
        <f t="shared" si="463"/>
        <v>0</v>
      </c>
      <c r="EV278" s="86">
        <f t="shared" si="464"/>
        <v>0.61</v>
      </c>
      <c r="EW278" s="86">
        <f t="shared" si="465"/>
        <v>0.61</v>
      </c>
      <c r="EX278" s="30" t="e">
        <f t="shared" ca="1" si="496"/>
        <v>#DIV/0!</v>
      </c>
      <c r="EY278" s="85" t="e">
        <f ca="1">IF(EE278&lt;=Hypothèses!$V$7,Hypothèses!$W$7,IF(EE278&lt;=Hypothèses!$V$8,Hypothèses!$W$8,IF(EE278&lt;=Hypothèses!$V$9,Hypothèses!$W$9,IF(EE278&lt;=Hypothèses!$V$10,Hypothèses!$W$10,IF(EE278&lt;=Hypothèses!$V$11,Hypothèses!$W$11,IF(EE278&lt;=Hypothèses!$V$12,Hypothèses!$W$12,IF(EE278&lt;=Hypothèses!$V$13,Hypothèses!$W$13,IF(EE278&lt;=Hypothèses!$V$14,Hypothèses!$W$14,IF(EE278&lt;=Hypothèses!$V$15,Hypothèses!$W$15,IF(EE278&lt;=Hypothèses!$V$16,Hypothèses!$W$16,IF(EE278&lt;=Hypothèses!$V$17,Hypothèses!$W$17,IF(EE278&lt;=Hypothèses!$V$18,Hypothèses!$W$18,""))))))))))))</f>
        <v>#DIV/0!</v>
      </c>
      <c r="EZ278" s="87" t="e">
        <f t="shared" ca="1" si="523"/>
        <v>#DIV/0!</v>
      </c>
      <c r="FA278" s="88" t="e">
        <f ca="1">IF(EE278&lt;=Hypothèses!$V$7,Hypothèses!$X$7,IF(EE278&lt;=Hypothèses!$V$8,Hypothèses!$X$8,IF(EE278&lt;=Hypothèses!$V$9,Hypothèses!$X$9,IF(EE278&lt;=Hypothèses!$V$10,Hypothèses!$X$10,IF(EE278&lt;=Hypothèses!$V$11,Hypothèses!$X$11,IF(EE278&lt;=Hypothèses!$V$12,Hypothèses!$X$12,IF(EE278&lt;=Hypothèses!$V$13,Hypothèses!$X$13,IF(EE278&lt;=Hypothèses!$V$14,Hypothèses!$X$14,IF(EE278&lt;=Hypothèses!$V$15,Hypothèses!$X$15,IF(EE278&lt;=Hypothèses!$V$16,Hypothèses!$X$16,IF(EE278&lt;=Hypothèses!$U$17,Hypothèses!$W$17,IF(EE278&lt;=Hypothèses!$U$18,Hypothèses!$W$18,""))))))))))))</f>
        <v>#DIV/0!</v>
      </c>
      <c r="FB278" s="95" t="e">
        <f t="shared" ca="1" si="497"/>
        <v>#DIV/0!</v>
      </c>
      <c r="FC278" s="101" t="e">
        <f t="shared" si="530"/>
        <v>#N/A</v>
      </c>
      <c r="FD278" s="91" t="e">
        <f t="shared" si="466"/>
        <v>#N/A</v>
      </c>
      <c r="FE278" s="30" t="e">
        <f t="shared" si="514"/>
        <v>#N/A</v>
      </c>
      <c r="FF278" s="30" t="e">
        <f t="shared" si="515"/>
        <v>#N/A</v>
      </c>
      <c r="FG278" s="31" t="e">
        <f>IF(OR(Hypothèses!$B$4=17,Hypothèses!$B$4=18,Hypothèses!$B$4=19,Hypothèses!$B$4=20),
IF($D278="Pressio.",
IF(OR($E278=3,$E278=1,$E278=4),FF278,FE278),
IF($D278="Pénétro.",
IF(OR($E278=3,$E278=1,$E278=4),FF278,FE278))),IF($D278="Pressio.",
IF($E278=3,FF278,FE278),
IF($D278="Pénétro.",
IF($E278=4,FF278,FE278))))</f>
        <v>#N/A</v>
      </c>
      <c r="FH278" s="31" t="e">
        <f>(IF(OR(Hypothèses!$B$4=17,Hypothèses!$B$4=18,Hypothèses!$B$4=19,Hypothèses!$B$4=20),
IF($D278="Pressio.",
IF(OR($E278=3,$E278=1,$E278=4),(PI()*FH$12^2)/4*(FD278*$W278*1000)/($H278*$B$5),(PI()*FH$12^2)/4*(FD278*$W278*1000)/($G278*$B$5)),
IF($D278="Pénétro.",
IF(OR($E278=4,$E278=1,$E278=5),(PI()*FH$12^2)/4*(FD278*$W278*1000)/($H278*$B$5),(PI()*FH$12^2)/4*(FD278*$W278*1000)/($G278*$B$5)))),
IF($D278="Pressio.",
IF($E278=3,(PI()*FH$12^2)/4*(FD278*$W278*1000)/($H278*$B$5),(PI()*FH$12^2)/4*(FD278*$W278*1000)/($G278*$B$5)),
IF($D278="Pénétro.",
IF($E278=4,(PI()*FH$12^2)/4*(FD278*$W278*1000)/($H278*$B$5),(PI()*FH$12^2)/4*(FD278*$W278*1000)/($G278*$B$5))))))/10</f>
        <v>#N/A</v>
      </c>
      <c r="FI278" s="102" t="e">
        <f>(VLOOKUP($B$3,'Coeff EC7'!$T$39:$X$59,2,0)*FG278+VLOOKUP($B$3,'Coeff EC7'!$T$65:$X$85,2,0)*Model0.1C!FH278)/1.1</f>
        <v>#N/A</v>
      </c>
      <c r="FJ278" s="102" t="e">
        <f>(VLOOKUP($B$3,'Coeff EC7'!$T$39:$X$59,3,0)*FG278+VLOOKUP($B$3,'Coeff EC7'!$T$65:$X$85,3,0)*Model0.1C!FH278)/0.9</f>
        <v>#N/A</v>
      </c>
      <c r="FK278" s="102" t="e">
        <f t="shared" si="498"/>
        <v>#N/A</v>
      </c>
      <c r="FL278" s="102" t="e">
        <f t="shared" si="499"/>
        <v>#N/A</v>
      </c>
      <c r="FM278" s="414" t="e">
        <f>IF(FM277=0,0,IF(AND(FI278&gt;charge_ELS_quasi,FJ278&gt;Charge_ELS_freq,FK278&gt;charge_ELU,FL278&gt;charge_ELA,$B278&gt;NDC!$H$22-0.1+MIN(3*$FM$12,1.5)),0,1))</f>
        <v>#N/A</v>
      </c>
    </row>
    <row r="279" spans="1:169">
      <c r="A279" s="96">
        <f t="shared" si="467"/>
        <v>73.400000000001512</v>
      </c>
      <c r="B279" s="97">
        <v>26.6</v>
      </c>
      <c r="C279" s="81">
        <f>IF(B279&lt;=Hypothèses!$C$7,Hypothèses!$A$7,IF(B279&lt;=Hypothèses!$C$8,Hypothèses!$A$8,IF(B279&lt;=Hypothèses!$C$9,Hypothèses!$A$9,IF(B279&lt;=Hypothèses!$C$10,Hypothèses!$A$10,IF(B279&lt;=Hypothèses!$C$11,Hypothèses!$A$11,IF(B279&lt;=Hypothèses!$C$12,Hypothèses!$A$12,IF(B279&lt;=Hypothèses!$C$13,Hypothèses!$A$13,IF(B279&lt;=Hypothèses!$C$14,Hypothèses!$A$14,IF(B279&lt;=Hypothèses!$C$15,Hypothèses!$A$15,IF(B279&lt;=Hypothèses!$C$16,Hypothèses!$A$16,IF(B279&lt;=Hypothèses!$C$17,Hypothèses!$A$17,IF(B279&lt;=Hypothèses!$C$18,Hypothèses!$A$18,C278))))))))))))</f>
        <v>11</v>
      </c>
      <c r="D279" s="82" t="str">
        <f>IF(B279&lt;=Hypothèses!$C$7,Hypothèses!$R$7,IF(B279&lt;=Hypothèses!$C$8,Hypothèses!$R$8,IF(B279&lt;=Hypothèses!$C$9,Hypothèses!$R$9,IF(B279&lt;=Hypothèses!$C$10,Hypothèses!$R$10,IF(B279&lt;=Hypothèses!$C$11,Hypothèses!$R$11,IF(B279&lt;=Hypothèses!$C$12,Hypothèses!$R$12,IF(B279&lt;=Hypothèses!$C$13,Hypothèses!$R$13,IF(B279&lt;=Hypothèses!$C$14,Hypothèses!$R$14,IF(B279&lt;=Hypothèses!$C$15,Hypothèses!$R$15,IF(B279&lt;=Hypothèses!$C$16,Hypothèses!$R$16,IF(B279&lt;=Hypothèses!$C$17,Hypothèses!$R$17,IF(B279&lt;=Hypothèses!$C$18,Hypothèses!$R$18,D278))))))))))))</f>
        <v>Pressio.</v>
      </c>
      <c r="E279" s="82" t="e">
        <f>IF(B279&lt;=Hypothèses!$C$7,Hypothèses!$G$7,IF(B279&lt;=Hypothèses!$C$8,Hypothèses!$G$8,IF(B279&lt;=Hypothèses!$C$9,Hypothèses!$G$9,IF(B279&lt;=Hypothèses!$C$10,Hypothèses!$G$10,IF(B279&lt;=Hypothèses!$C$11,Hypothèses!$G$11,IF(B279&lt;=Hypothèses!$C$12,Hypothèses!$G$12,IF(B279&lt;=Hypothèses!$C$13,Hypothèses!$G$13,IF(B279&lt;=Hypothèses!$C$14,Hypothèses!$G$14,IF(B279&lt;=Hypothèses!$C$15,Hypothèses!$G$15,IF(B279&lt;=Hypothèses!$C$16,Hypothèses!$G$16,IF(B279&lt;=Hypothèses!$C$17,Hypothèses!$G$17,IF(B279&lt;=Hypothèses!$C$18,Hypothèses!$G$18,E278))))))))))))</f>
        <v>#N/A</v>
      </c>
      <c r="F279" s="82" t="str">
        <f>IF(B279&lt;=Hypothèses!$C$7,Hypothèses!$F$7,IF(B279&lt;=Hypothèses!$C$8,Hypothèses!$F$8,IF(B279&lt;=Hypothèses!$C$9,Hypothèses!$F$9,IF(B279&lt;=Hypothèses!$C$10,Hypothèses!$F$10,IF(B279&lt;=Hypothèses!$C$11,Hypothèses!$F$11,IF(B279&lt;=Hypothèses!$C$12,Hypothèses!$F$12,IF(B279&lt;=Hypothèses!$C$13,Hypothèses!$F$13,IF(B279&lt;=Hypothèses!$C$14,Hypothèses!$F$14,IF(B279&lt;=Hypothèses!$C$15,Hypothèses!$F$15,IF(B279&lt;=Hypothèses!$C$16,Hypothèses!$F$16,IF(B279&lt;=Hypothèses!$C$17,Hypothèses!$F$17,IF(B279&lt;=Hypothèses!$C$18,Hypothèses!$F$18,F278))))))))))))</f>
        <v/>
      </c>
      <c r="G279" s="91">
        <f t="array" ref="G279">INDEX('Coeff EC7'!$U$7:$X$27,
MATCH(Model0.1C!$B$3,'Coeff EC7'!$T$7:$T$27,0),
MATCH(Model0.1C!$D279&amp;Model0.1C!$B$4,
'Coeff EC7'!$U$6:$X$6&amp;
'Coeff EC7'!$U$5:$X$5,0))</f>
        <v>1.1499999999999999</v>
      </c>
      <c r="H279" s="91">
        <f t="array" ref="H279">INDEX('Coeff EC7'!$Y$7:$AB$27,
MATCH(Model0.1C!$B$3,'Coeff EC7'!$T$7:$T$27,0),
MATCH(Model0.1C!$D279&amp;Model0.1C!$B$4,
'Coeff EC7'!$Y$6:$AB$6&amp;
'Coeff EC7'!$Y$5:$AB$5,0))</f>
        <v>1.4</v>
      </c>
      <c r="I279" s="83" t="e">
        <f>IF(B279&lt;=Hypothèses!$C$7,Hypothèses!$P$7,IF(B279&lt;=Hypothèses!$C$8,Hypothèses!$P$8,IF(B279&lt;=Hypothèses!$C$9,Hypothèses!$P$9,IF(B279&lt;=Hypothèses!$C$10,Hypothèses!$P$10,IF(B279&lt;=Hypothèses!$C$11,Hypothèses!$P$11,IF(B279&lt;=Hypothèses!$C$12,Hypothèses!$P$12,IF(B279&lt;=Hypothèses!$C$13,Hypothèses!$P$13,IF(B279&lt;=Hypothèses!$C$14,Hypothèses!$P$14,IF(B279&lt;=Hypothèses!$C$15,Hypothèses!$P$15,IF(B279&lt;=Hypothèses!$C$16,Hypothèses!$P$16,IF(B279&lt;=Hypothèses!$C$17,Hypothèses!$P$17,IF(B279&lt;=Hypothèses!$C$18,Hypothèses!$P$18,I278))))))))))))</f>
        <v>#N/A</v>
      </c>
      <c r="J279" s="91" t="e">
        <f t="array" ref="J279">INDEX('Coeff EC7'!$D$33:$Q$33,1,MATCH(D279&amp;E279,'Coeff EC7'!$D$31:$Q$31&amp;'Coeff EC7'!$D$32:$Q$32,0))</f>
        <v>#N/A</v>
      </c>
      <c r="K279" s="91" t="e">
        <f t="array" ref="K279">INDEX('Coeff EC7'!$D$34:$Q$34,1,MATCH(D279&amp;E279,'Coeff EC7'!$D$31:$Q$31&amp;'Coeff EC7'!$D$32:$Q$32,0))</f>
        <v>#N/A</v>
      </c>
      <c r="L279" s="91" t="e">
        <f t="array" ref="L279">INDEX('Coeff EC7'!$D$35:$Q$35,1,MATCH(D279&amp;E279,'Coeff EC7'!$D$31:$Q$31&amp;'Coeff EC7'!$D$32:$Q$32,0))</f>
        <v>#N/A</v>
      </c>
      <c r="M279" s="98" t="e">
        <f t="shared" si="431"/>
        <v>#N/A</v>
      </c>
      <c r="N279" s="99" t="e">
        <f t="array" ref="N279">INDEX('Coeff EC7'!$D$7:$Q$27,MATCH($B$3,'Coeff EC7'!$C$7:$C$27,0),MATCH(D279&amp;E279,'Coeff EC7'!$D$5:$Q$5&amp;'Coeff EC7'!$D$6:$Q$6,0))</f>
        <v>#N/A</v>
      </c>
      <c r="O279" s="99" t="e">
        <f t="array" ref="O279">INDEX('Coeff EC7'!$D$41:$Q$61,MATCH($B$3,'Coeff EC7'!$C$41:$C$61,0),MATCH(D279&amp;E279,'Coeff EC7'!$D$39:$Q$39&amp;'Coeff EC7'!$D$40:$Q$40,0))</f>
        <v>#N/A</v>
      </c>
      <c r="P279" s="30" t="e">
        <f t="shared" si="468"/>
        <v>#N/A</v>
      </c>
      <c r="Q279" s="100" t="e">
        <f t="shared" si="433"/>
        <v>#N/A</v>
      </c>
      <c r="R279" s="86" t="b">
        <f t="shared" si="434"/>
        <v>0</v>
      </c>
      <c r="S279" s="86">
        <f t="shared" si="432"/>
        <v>0.5</v>
      </c>
      <c r="T279" s="86">
        <f t="shared" si="435"/>
        <v>0.5</v>
      </c>
      <c r="U279" s="30" t="e">
        <f t="shared" ca="1" si="469"/>
        <v>#DIV/0!</v>
      </c>
      <c r="V279" s="85" t="str">
        <f>IF(B279&lt;=Hypothèses!$V$7,Hypothèses!$W$7,IF(B279&lt;=Hypothèses!$V$8,Hypothèses!$W$8,IF(B279&lt;=Hypothèses!$V$9,Hypothèses!$W$9,IF(B279&lt;=Hypothèses!$V$10,Hypothèses!$W$10,IF(B279&lt;=Hypothèses!$V$11,Hypothèses!$W$11,IF(B279&lt;=Hypothèses!$V$12,Hypothèses!$W$12,IF(B279&lt;=Hypothèses!$V$13,Hypothèses!$W$13,IF(B279&lt;=Hypothèses!$V$14,Hypothèses!$W$14,IF(B279&lt;=Hypothèses!$V$15,Hypothèses!$W$15,IF(B279&lt;=Hypothèses!$V$16,Hypothèses!$W$16,IF(B279&lt;=Hypothèses!$V$17,Hypothèses!$W$17,IF(B279&lt;=Hypothèses!$V$18,Hypothèses!$W$18,""))))))))))))</f>
        <v/>
      </c>
      <c r="W279" s="87" t="e">
        <f t="shared" ca="1" si="516"/>
        <v>#DIV/0!</v>
      </c>
      <c r="X279" s="88" t="str">
        <f>IF(B279&lt;=Hypothèses!$V$7,Hypothèses!$X$7,IF(B279&lt;=Hypothèses!$V$8,Hypothèses!$X$8,IF(B279&lt;=Hypothèses!$V$9,Hypothèses!$X$9,IF(B279&lt;=Hypothèses!$V$10,Hypothèses!$X$10,IF(B279&lt;=Hypothèses!$V$11,Hypothèses!$X$11,IF(B279&lt;=Hypothèses!$V$12,Hypothèses!$X$12,IF(B279&lt;=Hypothèses!$V$13,Hypothèses!$X$13,IF(B279&lt;=Hypothèses!$V$14,Hypothèses!$X$14,IF(B279&lt;=Hypothèses!$V$15,Hypothèses!$X$15,IF(B279&lt;=Hypothèses!$V$16,Hypothèses!$X$16,IF(B279&lt;=Hypothèses!$U$17,Hypothèses!$W$17,IF(B279&lt;=Hypothèses!$U$18,Hypothèses!$W$18,""))))))))))))</f>
        <v/>
      </c>
      <c r="Y279" s="95" t="e">
        <f t="shared" ca="1" si="436"/>
        <v>#DIV/0!</v>
      </c>
      <c r="Z279" s="101" t="e">
        <f t="shared" si="437"/>
        <v>#N/A</v>
      </c>
      <c r="AA279" s="91" t="e">
        <f t="shared" si="438"/>
        <v>#N/A</v>
      </c>
      <c r="AB279" s="30" t="e">
        <f t="shared" si="500"/>
        <v>#N/A</v>
      </c>
      <c r="AC279" s="30" t="e">
        <f t="shared" si="501"/>
        <v>#N/A</v>
      </c>
      <c r="AD279" s="31" t="e">
        <f>IF(OR(Hypothèses!$B$4=17,Hypothèses!$B$4=18,Hypothèses!$B$4=19,Hypothèses!$B$4=20),
IF($D279="Pressio.",
IF(OR($E279=3,$E279=1,$E279=4),AC279,AB279),
IF($D279="Pénétro.",
IF(OR($E279=3,$E279=1,$E279=4),AC279,AB279))),IF($D279="Pressio.",
IF($E279=3,AC279,AB279),
IF($D279="Pénétro.",
IF($E279=4,AC279,AB279))))</f>
        <v>#N/A</v>
      </c>
      <c r="AE279" s="31" t="e">
        <f>(IF(OR(Hypothèses!$B$4=17,Hypothèses!$B$4=18,Hypothèses!$B$4=19,Hypothèses!$B$4=20),
IF($D279="Pressio.",
IF(OR($E279=3,$E279=1,$E279=4),(PI()*AE$12^2)/4*(AA279*$W279*1000)/($H279*$B$5),(PI()*AE$12^2)/4*(AA279*$W279*1000)/($G279*$B$5)),
IF($D279="Pénétro.",
IF(OR($E279=4,$E279=1,$E279=5),(PI()*AE$12^2)/4*(AA279*$W279*1000)/($H279*$B$5),(PI()*AE$12^2)/4*(AA279*$W279*1000)/($G279*$B$5)))),
IF($D279="Pressio.",
IF($E279=3,(PI()*AE$12^2)/4*(AA279*$W279*1000)/($H279*$B$5),(PI()*AE$12^2)/4*(AA279*$W279*1000)/($G279*$B$5)),
IF($D279="Pénétro.",
IF($E279=4,(PI()*AE$12^2)/4*(AA279*$W279*1000)/($H279*$B$5),(PI()*AE$12^2)/4*(AA279*$W279*1000)/($G279*$B$5))))))/10</f>
        <v>#N/A</v>
      </c>
      <c r="AF279" s="102" t="e">
        <f>(VLOOKUP($B$3,'Coeff EC7'!$T$39:$X$59,2,0)*AD279+VLOOKUP($B$3,'Coeff EC7'!$T$65:$X$85,2,0)*Model0.1C!AE279)/1.1</f>
        <v>#N/A</v>
      </c>
      <c r="AG279" s="102" t="e">
        <f>(VLOOKUP($B$3,'Coeff EC7'!$T$39:$X$59,3,0)*AD279+VLOOKUP($B$3,'Coeff EC7'!$T$65:$X$85,3,0)*Model0.1C!AE279)/0.9</f>
        <v>#N/A</v>
      </c>
      <c r="AH279" s="102" t="e">
        <f t="shared" si="439"/>
        <v>#N/A</v>
      </c>
      <c r="AI279" s="102" t="e">
        <f t="shared" si="440"/>
        <v>#N/A</v>
      </c>
      <c r="AJ279" s="414" t="e">
        <f>IF(AJ278=0,0,IF(AND(AF279&gt;charge_ELS_quasi,AG279&gt;Charge_ELS_freq,AH279&gt;charge_ELU,AI279&gt;charge_ELA,$B279&gt;NDC!$H$22-0.1+MIN(3*$AJ$12,1.5)),0,1))</f>
        <v>#N/A</v>
      </c>
      <c r="AK279" s="86" t="b">
        <f t="shared" si="441"/>
        <v>0</v>
      </c>
      <c r="AL279" s="86">
        <f t="shared" si="470"/>
        <v>0.5</v>
      </c>
      <c r="AM279" s="86">
        <f t="shared" si="442"/>
        <v>0.5</v>
      </c>
      <c r="AN279" s="30" t="e">
        <f t="shared" ca="1" si="471"/>
        <v>#DIV/0!</v>
      </c>
      <c r="AO279" s="85" t="e">
        <f ca="1">IF(U279&lt;=Hypothèses!$V$7,Hypothèses!$W$7,IF(U279&lt;=Hypothèses!$V$8,Hypothèses!$W$8,IF(U279&lt;=Hypothèses!$V$9,Hypothèses!$W$9,IF(U279&lt;=Hypothèses!$V$10,Hypothèses!$W$10,IF(U279&lt;=Hypothèses!$V$11,Hypothèses!$W$11,IF(U279&lt;=Hypothèses!$V$12,Hypothèses!$W$12,IF(U279&lt;=Hypothèses!$V$13,Hypothèses!$W$13,IF(U279&lt;=Hypothèses!$V$14,Hypothèses!$W$14,IF(U279&lt;=Hypothèses!$V$15,Hypothèses!$W$15,IF(U279&lt;=Hypothèses!$V$16,Hypothèses!$W$16,IF(U279&lt;=Hypothèses!$V$17,Hypothèses!$W$17,IF(U279&lt;=Hypothèses!$V$18,Hypothèses!$W$18,""))))))))))))</f>
        <v>#DIV/0!</v>
      </c>
      <c r="AP279" s="87" t="e">
        <f t="shared" ca="1" si="517"/>
        <v>#DIV/0!</v>
      </c>
      <c r="AQ279" s="88" t="e">
        <f ca="1">IF(U279&lt;=Hypothèses!$V$7,Hypothèses!$X$7,IF(U279&lt;=Hypothèses!$V$8,Hypothèses!$X$8,IF(U279&lt;=Hypothèses!$V$9,Hypothèses!$X$9,IF(U279&lt;=Hypothèses!$V$10,Hypothèses!$X$10,IF(U279&lt;=Hypothèses!$V$11,Hypothèses!$X$11,IF(U279&lt;=Hypothèses!$V$12,Hypothèses!$X$12,IF(U279&lt;=Hypothèses!$V$13,Hypothèses!$X$13,IF(U279&lt;=Hypothèses!$V$14,Hypothèses!$X$14,IF(U279&lt;=Hypothèses!$V$15,Hypothèses!$X$15,IF(U279&lt;=Hypothèses!$V$16,Hypothèses!$X$16,IF(U279&lt;=Hypothèses!$U$17,Hypothèses!$W$17,IF(U279&lt;=Hypothèses!$U$18,Hypothèses!$W$18,""))))))))))))</f>
        <v>#DIV/0!</v>
      </c>
      <c r="AR279" s="95" t="e">
        <f t="shared" ca="1" si="472"/>
        <v>#DIV/0!</v>
      </c>
      <c r="AS279" s="101" t="e">
        <f t="shared" si="524"/>
        <v>#N/A</v>
      </c>
      <c r="AT279" s="91" t="e">
        <f t="shared" si="443"/>
        <v>#N/A</v>
      </c>
      <c r="AU279" s="30" t="e">
        <f t="shared" si="502"/>
        <v>#N/A</v>
      </c>
      <c r="AV279" s="30" t="e">
        <f t="shared" si="503"/>
        <v>#N/A</v>
      </c>
      <c r="AW279" s="31" t="e">
        <f>IF(OR(Hypothèses!$B$4=17,Hypothèses!$B$4=18,Hypothèses!$B$4=19,Hypothèses!$B$4=20),
IF($D279="Pressio.",
IF(OR($E279=3,$E279=1,$E279=4),AV279,AU279),
IF($D279="Pénétro.",
IF(OR($E279=3,$E279=1,$E279=4),AV279,AU279))),IF($D279="Pressio.",
IF($E279=3,AV279,AU279),
IF($D279="Pénétro.",
IF($E279=4,AV279,AU279))))</f>
        <v>#N/A</v>
      </c>
      <c r="AX279" s="31" t="e">
        <f>(IF(OR(Hypothèses!$B$4=17,Hypothèses!$B$4=18,Hypothèses!$B$4=19,Hypothèses!$B$4=20),
IF($D279="Pressio.",
IF(OR($E279=3,$E279=1,$E279=4),(PI()*AX$12^2)/4*(AT279*$W279*1000)/($H279*$B$5),(PI()*AX$12^2)/4*(AT279*$W279*1000)/($G279*$B$5)),
IF($D279="Pénétro.",
IF(OR($E279=4,$E279=1,$E279=5),(PI()*AX$12^2)/4*(AT279*$W279*1000)/($H279*$B$5),(PI()*AX$12^2)/4*(AT279*$W279*1000)/($G279*$B$5)))),
IF($D279="Pressio.",
IF($E279=3,(PI()*AX$12^2)/4*(AT279*$W279*1000)/($H279*$B$5),(PI()*AX$12^2)/4*(AT279*$W279*1000)/($G279*$B$5)),
IF($D279="Pénétro.",
IF($E279=4,(PI()*AX$12^2)/4*(AT279*$W279*1000)/($H279*$B$5),(PI()*AX$12^2)/4*(AT279*$W279*1000)/($G279*$B$5))))))/10</f>
        <v>#N/A</v>
      </c>
      <c r="AY279" s="102" t="e">
        <f>(VLOOKUP($B$3,'Coeff EC7'!$T$39:$X$59,2,0)*AW279+VLOOKUP($B$3,'Coeff EC7'!$T$65:$X$85,2,0)*Model0.1C!AX279)/1.1</f>
        <v>#N/A</v>
      </c>
      <c r="AZ279" s="102" t="e">
        <f>(VLOOKUP($B$3,'Coeff EC7'!$T$39:$X$59,3,0)*AW279+VLOOKUP($B$3,'Coeff EC7'!$T$65:$X$85,3,0)*Model0.1C!AX279)/0.9</f>
        <v>#N/A</v>
      </c>
      <c r="BA279" s="102" t="e">
        <f t="shared" si="473"/>
        <v>#N/A</v>
      </c>
      <c r="BB279" s="102" t="e">
        <f t="shared" si="474"/>
        <v>#N/A</v>
      </c>
      <c r="BC279" s="414" t="e">
        <f>IF(BC278=0,0,IF(AND(AY279&gt;charge_ELS_quasi,AZ279&gt;Charge_ELS_freq,BA279&gt;charge_ELU,BB279&gt;charge_ELA,$B279&gt;NDC!$H$22-0.1+MIN(3*$BC$12,1.5)),0,1))</f>
        <v>#N/A</v>
      </c>
      <c r="BD279" s="86" t="b">
        <f t="shared" si="444"/>
        <v>0</v>
      </c>
      <c r="BE279" s="86">
        <f t="shared" si="475"/>
        <v>0.5</v>
      </c>
      <c r="BF279" s="86">
        <f t="shared" si="445"/>
        <v>0.5</v>
      </c>
      <c r="BG279" s="30" t="e">
        <f t="shared" ca="1" si="476"/>
        <v>#DIV/0!</v>
      </c>
      <c r="BH279" s="85" t="e">
        <f ca="1">IF(AN279&lt;=Hypothèses!$V$7,Hypothèses!$W$7,IF(AN279&lt;=Hypothèses!$V$8,Hypothèses!$W$8,IF(AN279&lt;=Hypothèses!$V$9,Hypothèses!$W$9,IF(AN279&lt;=Hypothèses!$V$10,Hypothèses!$W$10,IF(AN279&lt;=Hypothèses!$V$11,Hypothèses!$W$11,IF(AN279&lt;=Hypothèses!$V$12,Hypothèses!$W$12,IF(AN279&lt;=Hypothèses!$V$13,Hypothèses!$W$13,IF(AN279&lt;=Hypothèses!$V$14,Hypothèses!$W$14,IF(AN279&lt;=Hypothèses!$V$15,Hypothèses!$W$15,IF(AN279&lt;=Hypothèses!$V$16,Hypothèses!$W$16,IF(AN279&lt;=Hypothèses!$V$17,Hypothèses!$W$17,IF(AN279&lt;=Hypothèses!$V$18,Hypothèses!$W$18,""))))))))))))</f>
        <v>#DIV/0!</v>
      </c>
      <c r="BI279" s="87" t="e">
        <f t="shared" ca="1" si="518"/>
        <v>#DIV/0!</v>
      </c>
      <c r="BJ279" s="88" t="e">
        <f ca="1">IF(AN279&lt;=Hypothèses!$V$7,Hypothèses!$X$7,IF(AN279&lt;=Hypothèses!$V$8,Hypothèses!$X$8,IF(AN279&lt;=Hypothèses!$V$9,Hypothèses!$X$9,IF(AN279&lt;=Hypothèses!$V$10,Hypothèses!$X$10,IF(AN279&lt;=Hypothèses!$V$11,Hypothèses!$X$11,IF(AN279&lt;=Hypothèses!$V$12,Hypothèses!$X$12,IF(AN279&lt;=Hypothèses!$V$13,Hypothèses!$X$13,IF(AN279&lt;=Hypothèses!$V$14,Hypothèses!$X$14,IF(AN279&lt;=Hypothèses!$V$15,Hypothèses!$X$15,IF(AN279&lt;=Hypothèses!$V$16,Hypothèses!$X$16,IF(AN279&lt;=Hypothèses!$U$17,Hypothèses!$W$17,IF(AN279&lt;=Hypothèses!$U$18,Hypothèses!$W$18,""))))))))))))</f>
        <v>#DIV/0!</v>
      </c>
      <c r="BK279" s="95" t="e">
        <f t="shared" ca="1" si="477"/>
        <v>#DIV/0!</v>
      </c>
      <c r="BL279" s="101" t="e">
        <f t="shared" si="525"/>
        <v>#N/A</v>
      </c>
      <c r="BM279" s="91" t="e">
        <f t="shared" si="446"/>
        <v>#N/A</v>
      </c>
      <c r="BN279" s="30" t="e">
        <f t="shared" si="504"/>
        <v>#N/A</v>
      </c>
      <c r="BO279" s="30" t="e">
        <f t="shared" si="505"/>
        <v>#N/A</v>
      </c>
      <c r="BP279" s="31" t="e">
        <f>IF(OR(Hypothèses!$B$4=17,Hypothèses!$B$4=18,Hypothèses!$B$4=19,Hypothèses!$B$4=20),
IF($D279="Pressio.",
IF(OR($E279=3,$E279=1,$E279=4),BO279,BN279),
IF($D279="Pénétro.",
IF(OR($E279=3,$E279=1,$E279=4),BO279,BN279))),IF($D279="Pressio.",
IF($E279=3,BO279,BN279),
IF($D279="Pénétro.",
IF($E279=4,BO279,BN279))))</f>
        <v>#N/A</v>
      </c>
      <c r="BQ279" s="31" t="e">
        <f>(IF(OR(Hypothèses!$B$4=17,Hypothèses!$B$4=18,Hypothèses!$B$4=19,Hypothèses!$B$4=20),
IF($D279="Pressio.",
IF(OR($E279=3,$E279=1,$E279=4),(PI()*BQ$12^2)/4*(BM279*$W279*1000)/($H279*$B$5),(PI()*BQ$12^2)/4*(BM279*$W279*1000)/($G279*$B$5)),
IF($D279="Pénétro.",
IF(OR($E279=4,$E279=1,$E279=5),(PI()*BQ$12^2)/4*(BM279*$W279*1000)/($H279*$B$5),(PI()*BQ$12^2)/4*(BM279*$W279*1000)/($G279*$B$5)))),
IF($D279="Pressio.",
IF($E279=3,(PI()*BQ$12^2)/4*(BM279*$W279*1000)/($H279*$B$5),(PI()*BQ$12^2)/4*(BM279*$W279*1000)/($G279*$B$5)),
IF($D279="Pénétro.",
IF($E279=4,(PI()*BQ$12^2)/4*(BM279*$W279*1000)/($H279*$B$5),(PI()*BQ$12^2)/4*(BM279*$W279*1000)/($G279*$B$5))))))/10</f>
        <v>#N/A</v>
      </c>
      <c r="BR279" s="102" t="e">
        <f>(VLOOKUP($B$3,'Coeff EC7'!$T$39:$X$59,2,0)*BP279+VLOOKUP($B$3,'Coeff EC7'!$T$65:$X$85,2,0)*Model0.1C!BQ279)/1.1</f>
        <v>#N/A</v>
      </c>
      <c r="BS279" s="102" t="e">
        <f>(VLOOKUP($B$3,'Coeff EC7'!$T$39:$X$59,3,0)*BP279+VLOOKUP($B$3,'Coeff EC7'!$T$65:$X$85,3,0)*Model0.1C!BQ279)/0.9</f>
        <v>#N/A</v>
      </c>
      <c r="BT279" s="102" t="e">
        <f t="shared" si="478"/>
        <v>#N/A</v>
      </c>
      <c r="BU279" s="102" t="e">
        <f t="shared" si="479"/>
        <v>#N/A</v>
      </c>
      <c r="BV279" s="414" t="e">
        <f>IF(BV278=0,0,IF(AND(BR279&gt;charge_ELS_quasi,BS279&gt;Charge_ELS_freq,BT279&gt;charge_ELU,BU279&gt;charge_ELA,$B279&gt;NDC!$H$22-0.1+MIN(3*$BV$12,1.5)),0,1))</f>
        <v>#N/A</v>
      </c>
      <c r="BW279" s="86" t="b">
        <f t="shared" si="447"/>
        <v>0</v>
      </c>
      <c r="BX279" s="86">
        <f t="shared" si="448"/>
        <v>0.5</v>
      </c>
      <c r="BY279" s="86">
        <f t="shared" si="449"/>
        <v>0.5</v>
      </c>
      <c r="BZ279" s="30" t="e">
        <f t="shared" ca="1" si="480"/>
        <v>#DIV/0!</v>
      </c>
      <c r="CA279" s="85" t="e">
        <f ca="1">IF(BG279&lt;=Hypothèses!$V$7,Hypothèses!$W$7,IF(BG279&lt;=Hypothèses!$V$8,Hypothèses!$W$8,IF(BG279&lt;=Hypothèses!$V$9,Hypothèses!$W$9,IF(BG279&lt;=Hypothèses!$V$10,Hypothèses!$W$10,IF(BG279&lt;=Hypothèses!$V$11,Hypothèses!$W$11,IF(BG279&lt;=Hypothèses!$V$12,Hypothèses!$W$12,IF(BG279&lt;=Hypothèses!$V$13,Hypothèses!$W$13,IF(BG279&lt;=Hypothèses!$V$14,Hypothèses!$W$14,IF(BG279&lt;=Hypothèses!$V$15,Hypothèses!$W$15,IF(BG279&lt;=Hypothèses!$V$16,Hypothèses!$W$16,IF(BG279&lt;=Hypothèses!$V$17,Hypothèses!$W$17,IF(BG279&lt;=Hypothèses!$V$18,Hypothèses!$W$18,""))))))))))))</f>
        <v>#DIV/0!</v>
      </c>
      <c r="CB279" s="87" t="e">
        <f t="shared" ca="1" si="519"/>
        <v>#DIV/0!</v>
      </c>
      <c r="CC279" s="88" t="e">
        <f ca="1">IF(BG279&lt;=Hypothèses!$V$7,Hypothèses!$X$7,IF(BG279&lt;=Hypothèses!$V$8,Hypothèses!$X$8,IF(BG279&lt;=Hypothèses!$V$9,Hypothèses!$X$9,IF(BG279&lt;=Hypothèses!$V$10,Hypothèses!$X$10,IF(BG279&lt;=Hypothèses!$V$11,Hypothèses!$X$11,IF(BG279&lt;=Hypothèses!$V$12,Hypothèses!$X$12,IF(BG279&lt;=Hypothèses!$V$13,Hypothèses!$X$13,IF(BG279&lt;=Hypothèses!$V$14,Hypothèses!$X$14,IF(BG279&lt;=Hypothèses!$V$15,Hypothèses!$X$15,IF(BG279&lt;=Hypothèses!$V$16,Hypothèses!$X$16,IF(BG279&lt;=Hypothèses!$U$17,Hypothèses!$W$17,IF(BG279&lt;=Hypothèses!$U$18,Hypothèses!$W$18,""))))))))))))</f>
        <v>#DIV/0!</v>
      </c>
      <c r="CD279" s="95" t="e">
        <f t="shared" ca="1" si="481"/>
        <v>#DIV/0!</v>
      </c>
      <c r="CE279" s="101" t="e">
        <f t="shared" si="526"/>
        <v>#N/A</v>
      </c>
      <c r="CF279" s="91" t="e">
        <f t="shared" si="450"/>
        <v>#N/A</v>
      </c>
      <c r="CG279" s="30" t="e">
        <f t="shared" si="506"/>
        <v>#N/A</v>
      </c>
      <c r="CH279" s="30" t="e">
        <f t="shared" si="507"/>
        <v>#N/A</v>
      </c>
      <c r="CI279" s="31" t="e">
        <f>IF(OR(Hypothèses!$B$4=17,Hypothèses!$B$4=18,Hypothèses!$B$4=19,Hypothèses!$B$4=20),
IF($D279="Pressio.",
IF(OR($E279=3,$E279=1,$E279=4),CH279,CG279),
IF($D279="Pénétro.",
IF(OR($E279=3,$E279=1,$E279=4),CH279,CG279))),IF($D279="Pressio.",
IF($E279=3,CH279,CG279),
IF($D279="Pénétro.",
IF($E279=4,CH279,CG279))))</f>
        <v>#N/A</v>
      </c>
      <c r="CJ279" s="31" t="e">
        <f>(IF(OR(Hypothèses!$B$4=17,Hypothèses!$B$4=18,Hypothèses!$B$4=19,Hypothèses!$B$4=20),
IF($D279="Pressio.",
IF(OR($E279=3,$E279=1,$E279=4),(PI()*CJ$12^2)/4*(CF279*$W279*1000)/($H279*$B$5),(PI()*CJ$12^2)/4*(CF279*$W279*1000)/($G279*$B$5)),
IF($D279="Pénétro.",
IF(OR($E279=4,$E279=1,$E279=5),(PI()*CJ$12^2)/4*(CF279*$W279*1000)/($H279*$B$5),(PI()*CJ$12^2)/4*(CF279*$W279*1000)/($G279*$B$5)))),
IF($D279="Pressio.",
IF($E279=3,(PI()*CJ$12^2)/4*(CF279*$W279*1000)/($H279*$B$5),(PI()*CJ$12^2)/4*(CF279*$W279*1000)/($G279*$B$5)),
IF($D279="Pénétro.",
IF($E279=4,(PI()*CJ$12^2)/4*(CF279*$W279*1000)/($H279*$B$5),(PI()*CJ$12^2)/4*(CF279*$W279*1000)/($G279*$B$5))))))/10</f>
        <v>#N/A</v>
      </c>
      <c r="CK279" s="102" t="e">
        <f>(VLOOKUP($B$3,'Coeff EC7'!$T$39:$X$59,2,0)*CI279+VLOOKUP($B$3,'Coeff EC7'!$T$65:$X$85,2,0)*Model0.1C!CJ279)/1.1</f>
        <v>#N/A</v>
      </c>
      <c r="CL279" s="102" t="e">
        <f>(VLOOKUP($B$3,'Coeff EC7'!$T$39:$X$59,3,0)*CI279+VLOOKUP($B$3,'Coeff EC7'!$T$65:$X$85,3,0)*Model0.1C!CJ279)/0.9</f>
        <v>#N/A</v>
      </c>
      <c r="CM279" s="102" t="e">
        <f t="shared" si="482"/>
        <v>#N/A</v>
      </c>
      <c r="CN279" s="102" t="e">
        <f t="shared" si="483"/>
        <v>#N/A</v>
      </c>
      <c r="CO279" s="414" t="e">
        <f>IF(CO278=0,0,IF(AND(CK279&gt;charge_ELS_quasi,CL279&gt;Charge_ELS_freq,CM279&gt;charge_ELU,CN279&gt;charge_ELA,$B279&gt;NDC!$H$22-0.1+MIN(3*$CO$12,1.5)),0,1))</f>
        <v>#N/A</v>
      </c>
      <c r="CP279" s="86" t="b">
        <f t="shared" si="451"/>
        <v>0</v>
      </c>
      <c r="CQ279" s="86">
        <f t="shared" si="452"/>
        <v>0.5</v>
      </c>
      <c r="CR279" s="86">
        <f t="shared" si="453"/>
        <v>0.5</v>
      </c>
      <c r="CS279" s="30" t="e">
        <f t="shared" ca="1" si="484"/>
        <v>#DIV/0!</v>
      </c>
      <c r="CT279" s="85" t="e">
        <f ca="1">IF(BZ279&lt;=Hypothèses!$V$7,Hypothèses!$W$7,IF(BZ279&lt;=Hypothèses!$V$8,Hypothèses!$W$8,IF(BZ279&lt;=Hypothèses!$V$9,Hypothèses!$W$9,IF(BZ279&lt;=Hypothèses!$V$10,Hypothèses!$W$10,IF(BZ279&lt;=Hypothèses!$V$11,Hypothèses!$W$11,IF(BZ279&lt;=Hypothèses!$V$12,Hypothèses!$W$12,IF(BZ279&lt;=Hypothèses!$V$13,Hypothèses!$W$13,IF(BZ279&lt;=Hypothèses!$V$14,Hypothèses!$W$14,IF(BZ279&lt;=Hypothèses!$V$15,Hypothèses!$W$15,IF(BZ279&lt;=Hypothèses!$V$16,Hypothèses!$W$16,IF(BZ279&lt;=Hypothèses!$V$17,Hypothèses!$W$17,IF(BZ279&lt;=Hypothèses!$V$18,Hypothèses!$W$18,""))))))))))))</f>
        <v>#DIV/0!</v>
      </c>
      <c r="CU279" s="87" t="e">
        <f t="shared" ca="1" si="520"/>
        <v>#DIV/0!</v>
      </c>
      <c r="CV279" s="88" t="e">
        <f ca="1">IF(BZ279&lt;=Hypothèses!$V$7,Hypothèses!$X$7,IF(BZ279&lt;=Hypothèses!$V$8,Hypothèses!$X$8,IF(BZ279&lt;=Hypothèses!$V$9,Hypothèses!$X$9,IF(BZ279&lt;=Hypothèses!$V$10,Hypothèses!$X$10,IF(BZ279&lt;=Hypothèses!$V$11,Hypothèses!$X$11,IF(BZ279&lt;=Hypothèses!$V$12,Hypothèses!$X$12,IF(BZ279&lt;=Hypothèses!$V$13,Hypothèses!$X$13,IF(BZ279&lt;=Hypothèses!$V$14,Hypothèses!$X$14,IF(BZ279&lt;=Hypothèses!$V$15,Hypothèses!$X$15,IF(BZ279&lt;=Hypothèses!$V$16,Hypothèses!$X$16,IF(BZ279&lt;=Hypothèses!$U$17,Hypothèses!$W$17,IF(BZ279&lt;=Hypothèses!$U$18,Hypothèses!$W$18,""))))))))))))</f>
        <v>#DIV/0!</v>
      </c>
      <c r="CW279" s="95" t="e">
        <f t="shared" ca="1" si="485"/>
        <v>#DIV/0!</v>
      </c>
      <c r="CX279" s="101" t="e">
        <f t="shared" si="527"/>
        <v>#N/A</v>
      </c>
      <c r="CY279" s="91" t="e">
        <f t="shared" si="454"/>
        <v>#N/A</v>
      </c>
      <c r="CZ279" s="30" t="e">
        <f t="shared" si="508"/>
        <v>#N/A</v>
      </c>
      <c r="DA279" s="30" t="e">
        <f t="shared" si="509"/>
        <v>#N/A</v>
      </c>
      <c r="DB279" s="31" t="e">
        <f>IF(OR(Hypothèses!$B$4=17,Hypothèses!$B$4=18,Hypothèses!$B$4=19,Hypothèses!$B$4=20),
IF($D279="Pressio.",
IF(OR($E279=3,$E279=1,$E279=4),DA279,CZ279),
IF($D279="Pénétro.",
IF(OR($E279=3,$E279=1,$E279=4),DA279,CZ279))),IF($D279="Pressio.",
IF($E279=3,DA279,CZ279),
IF($D279="Pénétro.",
IF($E279=4,DA279,CZ279))))</f>
        <v>#N/A</v>
      </c>
      <c r="DC279" s="31" t="e">
        <f>(IF(OR(Hypothèses!$B$4=17,Hypothèses!$B$4=18,Hypothèses!$B$4=19,Hypothèses!$B$4=20),
IF($D279="Pressio.",
IF(OR($E279=3,$E279=1,$E279=4),(PI()*DC$12^2)/4*(CY279*$W279*1000)/($H279*$B$5),(PI()*DC$12^2)/4*(CY279*$W279*1000)/($G279*$B$5)),
IF($D279="Pénétro.",
IF(OR($E279=4,$E279=1,$E279=5),(PI()*DC$12^2)/4*(CY279*$W279*1000)/($H279*$B$5),(PI()*DC$12^2)/4*(CY279*$W279*1000)/($G279*$B$5)))),
IF($D279="Pressio.",
IF($E279=3,(PI()*DC$12^2)/4*(CY279*$W279*1000)/($H279*$B$5),(PI()*DC$12^2)/4*(CY279*$W279*1000)/($G279*$B$5)),
IF($D279="Pénétro.",
IF($E279=4,(PI()*DC$12^2)/4*(CY279*$W279*1000)/($H279*$B$5),(PI()*DC$12^2)/4*(CY279*$W279*1000)/($G279*$B$5))))))/10</f>
        <v>#N/A</v>
      </c>
      <c r="DD279" s="102" t="e">
        <f>(VLOOKUP($B$3,'Coeff EC7'!$T$39:$X$59,2,0)*DB279+VLOOKUP($B$3,'Coeff EC7'!$T$65:$X$85,2,0)*Model0.1C!DC279)/1.1</f>
        <v>#N/A</v>
      </c>
      <c r="DE279" s="102" t="e">
        <f>(VLOOKUP($B$3,'Coeff EC7'!$T$39:$X$59,3,0)*DB279+VLOOKUP($B$3,'Coeff EC7'!$T$65:$X$85,3,0)*Model0.1C!DC279)/0.9</f>
        <v>#N/A</v>
      </c>
      <c r="DF279" s="102" t="e">
        <f t="shared" si="486"/>
        <v>#N/A</v>
      </c>
      <c r="DG279" s="102" t="e">
        <f t="shared" si="487"/>
        <v>#N/A</v>
      </c>
      <c r="DH279" s="414" t="e">
        <f>IF(DH278=0,0,IF(AND(DD279&gt;charge_ELS_quasi,DE279&gt;Charge_ELS_freq,DF279&gt;charge_ELU,DG279&gt;charge_ELA,$B279&gt;NDC!$H$22-0.1+MIN(3*$DH$12,1.5)),0,1))</f>
        <v>#N/A</v>
      </c>
      <c r="DI279" s="86" t="b">
        <f t="shared" si="455"/>
        <v>0</v>
      </c>
      <c r="DJ279" s="86">
        <f t="shared" si="456"/>
        <v>0.5</v>
      </c>
      <c r="DK279" s="86">
        <f t="shared" si="457"/>
        <v>0.5</v>
      </c>
      <c r="DL279" s="30" t="e">
        <f t="shared" ca="1" si="488"/>
        <v>#DIV/0!</v>
      </c>
      <c r="DM279" s="85" t="e">
        <f ca="1">IF(CS279&lt;=Hypothèses!$V$7,Hypothèses!$W$7,IF(CS279&lt;=Hypothèses!$V$8,Hypothèses!$W$8,IF(CS279&lt;=Hypothèses!$V$9,Hypothèses!$W$9,IF(CS279&lt;=Hypothèses!$V$10,Hypothèses!$W$10,IF(CS279&lt;=Hypothèses!$V$11,Hypothèses!$W$11,IF(CS279&lt;=Hypothèses!$V$12,Hypothèses!$W$12,IF(CS279&lt;=Hypothèses!$V$13,Hypothèses!$W$13,IF(CS279&lt;=Hypothèses!$V$14,Hypothèses!$W$14,IF(CS279&lt;=Hypothèses!$V$15,Hypothèses!$W$15,IF(CS279&lt;=Hypothèses!$V$16,Hypothèses!$W$16,IF(CS279&lt;=Hypothèses!$V$17,Hypothèses!$W$17,IF(CS279&lt;=Hypothèses!$V$18,Hypothèses!$W$18,""))))))))))))</f>
        <v>#DIV/0!</v>
      </c>
      <c r="DN279" s="87" t="e">
        <f t="shared" ca="1" si="521"/>
        <v>#DIV/0!</v>
      </c>
      <c r="DO279" s="88" t="e">
        <f ca="1">IF(CS279&lt;=Hypothèses!$V$7,Hypothèses!$X$7,IF(CS279&lt;=Hypothèses!$V$8,Hypothèses!$X$8,IF(CS279&lt;=Hypothèses!$V$9,Hypothèses!$X$9,IF(CS279&lt;=Hypothèses!$V$10,Hypothèses!$X$10,IF(CS279&lt;=Hypothèses!$V$11,Hypothèses!$X$11,IF(CS279&lt;=Hypothèses!$V$12,Hypothèses!$X$12,IF(CS279&lt;=Hypothèses!$V$13,Hypothèses!$X$13,IF(CS279&lt;=Hypothèses!$V$14,Hypothèses!$X$14,IF(CS279&lt;=Hypothèses!$V$15,Hypothèses!$X$15,IF(CS279&lt;=Hypothèses!$V$16,Hypothèses!$X$16,IF(CS279&lt;=Hypothèses!$U$17,Hypothèses!$W$17,IF(CS279&lt;=Hypothèses!$U$18,Hypothèses!$W$18,""))))))))))))</f>
        <v>#DIV/0!</v>
      </c>
      <c r="DP279" s="95" t="e">
        <f t="shared" ca="1" si="489"/>
        <v>#DIV/0!</v>
      </c>
      <c r="DQ279" s="101" t="e">
        <f t="shared" si="528"/>
        <v>#N/A</v>
      </c>
      <c r="DR279" s="91" t="e">
        <f t="shared" si="458"/>
        <v>#N/A</v>
      </c>
      <c r="DS279" s="30" t="e">
        <f t="shared" si="510"/>
        <v>#N/A</v>
      </c>
      <c r="DT279" s="30" t="e">
        <f t="shared" si="511"/>
        <v>#N/A</v>
      </c>
      <c r="DU279" s="31" t="e">
        <f>IF(OR(Hypothèses!$B$4=17,Hypothèses!$B$4=18,Hypothèses!$B$4=19,Hypothèses!$B$4=20),
IF($D279="Pressio.",
IF(OR($E279=3,$E279=1,$E279=4),DT279,DS279),
IF($D279="Pénétro.",
IF(OR($E279=3,$E279=1,$E279=4),DT279,DS279))),IF($D279="Pressio.",
IF($E279=3,DT279,DS279),
IF($D279="Pénétro.",
IF($E279=4,DT279,DS279))))</f>
        <v>#N/A</v>
      </c>
      <c r="DV279" s="31" t="e">
        <f>(IF(OR(Hypothèses!$B$4=17,Hypothèses!$B$4=18,Hypothèses!$B$4=19,Hypothèses!$B$4=20),
IF($D279="Pressio.",
IF(OR($E279=3,$E279=1,$E279=4),(PI()*DV$12^2)/4*(DR279*$W279*1000)/($H279*$B$5),(PI()*DV$12^2)/4*(DR279*$W279*1000)/($G279*$B$5)),
IF($D279="Pénétro.",
IF(OR($E279=4,$E279=1,$E279=5),(PI()*DV$12^2)/4*(DR279*$W279*1000)/($H279*$B$5),(PI()*DV$12^2)/4*(DR279*$W279*1000)/($G279*$B$5)))),
IF($D279="Pressio.",
IF($E279=3,(PI()*DV$12^2)/4*(DR279*$W279*1000)/($H279*$B$5),(PI()*DV$12^2)/4*(DR279*$W279*1000)/($G279*$B$5)),
IF($D279="Pénétro.",
IF($E279=4,(PI()*DV$12^2)/4*(DR279*$W279*1000)/($H279*$B$5),(PI()*DV$12^2)/4*(DR279*$W279*1000)/($G279*$B$5))))))/10</f>
        <v>#N/A</v>
      </c>
      <c r="DW279" s="102" t="e">
        <f>(VLOOKUP($B$3,'Coeff EC7'!$T$39:$X$59,2,0)*DU279+VLOOKUP($B$3,'Coeff EC7'!$T$65:$X$85,2,0)*Model0.1C!DV279)/1.1</f>
        <v>#N/A</v>
      </c>
      <c r="DX279" s="102" t="e">
        <f>(VLOOKUP($B$3,'Coeff EC7'!$T$39:$X$59,3,0)*DU279+VLOOKUP($B$3,'Coeff EC7'!$T$65:$X$85,3,0)*Model0.1C!DV279)/0.9</f>
        <v>#N/A</v>
      </c>
      <c r="DY279" s="102" t="e">
        <f t="shared" si="490"/>
        <v>#N/A</v>
      </c>
      <c r="DZ279" s="102" t="e">
        <f t="shared" si="491"/>
        <v>#N/A</v>
      </c>
      <c r="EA279" s="414" t="e">
        <f>IF(EA278=0,0,IF(AND(DW279&gt;charge_ELS_quasi,DX279&gt;Charge_ELS_freq,DY279&gt;charge_ELU,DZ279&gt;charge_ELA,$B279&gt;NDC!$H$22-0.1+MIN(3*$EA$12,1.5)),0,1))</f>
        <v>#N/A</v>
      </c>
      <c r="EB279" s="86" t="b">
        <f t="shared" si="459"/>
        <v>0</v>
      </c>
      <c r="EC279" s="418">
        <f t="shared" si="460"/>
        <v>0.51</v>
      </c>
      <c r="ED279" s="86">
        <f t="shared" si="461"/>
        <v>0.51</v>
      </c>
      <c r="EE279" s="30" t="e">
        <f t="shared" ca="1" si="492"/>
        <v>#DIV/0!</v>
      </c>
      <c r="EF279" s="85" t="e">
        <f ca="1">IF(DL279&lt;=Hypothèses!$V$7,Hypothèses!$W$7,IF(DL279&lt;=Hypothèses!$V$8,Hypothèses!$W$8,IF(DL279&lt;=Hypothèses!$V$9,Hypothèses!$W$9,IF(DL279&lt;=Hypothèses!$V$10,Hypothèses!$W$10,IF(DL279&lt;=Hypothèses!$V$11,Hypothèses!$W$11,IF(DL279&lt;=Hypothèses!$V$12,Hypothèses!$W$12,IF(DL279&lt;=Hypothèses!$V$13,Hypothèses!$W$13,IF(DL279&lt;=Hypothèses!$V$14,Hypothèses!$W$14,IF(DL279&lt;=Hypothèses!$V$15,Hypothèses!$W$15,IF(DL279&lt;=Hypothèses!$V$16,Hypothèses!$W$16,IF(DL279&lt;=Hypothèses!$V$17,Hypothèses!$W$17,IF(DL279&lt;=Hypothèses!$V$18,Hypothèses!$W$18,""))))))))))))</f>
        <v>#DIV/0!</v>
      </c>
      <c r="EG279" s="87" t="e">
        <f t="shared" ca="1" si="522"/>
        <v>#DIV/0!</v>
      </c>
      <c r="EH279" s="88" t="e">
        <f ca="1">IF(DL279&lt;=Hypothèses!$V$7,Hypothèses!$X$7,IF(DL279&lt;=Hypothèses!$V$8,Hypothèses!$X$8,IF(DL279&lt;=Hypothèses!$V$9,Hypothèses!$X$9,IF(DL279&lt;=Hypothèses!$V$10,Hypothèses!$X$10,IF(DL279&lt;=Hypothèses!$V$11,Hypothèses!$X$11,IF(DL279&lt;=Hypothèses!$V$12,Hypothèses!$X$12,IF(DL279&lt;=Hypothèses!$V$13,Hypothèses!$X$13,IF(DL279&lt;=Hypothèses!$V$14,Hypothèses!$X$14,IF(DL279&lt;=Hypothèses!$V$15,Hypothèses!$X$15,IF(DL279&lt;=Hypothèses!$V$16,Hypothèses!$X$16,IF(DL279&lt;=Hypothèses!$U$17,Hypothèses!$W$17,IF(DL279&lt;=Hypothèses!$U$18,Hypothèses!$W$18,""))))))))))))</f>
        <v>#DIV/0!</v>
      </c>
      <c r="EI279" s="95" t="e">
        <f t="shared" ca="1" si="493"/>
        <v>#DIV/0!</v>
      </c>
      <c r="EJ279" s="101" t="e">
        <f t="shared" si="529"/>
        <v>#N/A</v>
      </c>
      <c r="EK279" s="91" t="e">
        <f t="shared" si="462"/>
        <v>#N/A</v>
      </c>
      <c r="EL279" s="30" t="e">
        <f t="shared" si="512"/>
        <v>#N/A</v>
      </c>
      <c r="EM279" s="30" t="e">
        <f t="shared" si="513"/>
        <v>#N/A</v>
      </c>
      <c r="EN279" s="31" t="e">
        <f>IF(OR(Hypothèses!$B$4=17,Hypothèses!$B$4=18,Hypothèses!$B$4=19,Hypothèses!$B$4=20),
IF($D279="Pressio.",
IF(OR($E279=3,$E279=1,$E279=4),EM279,EL279),
IF($D279="Pénétro.",
IF(OR($E279=3,$E279=1,$E279=4),EM279,EL279))),IF($D279="Pressio.",
IF($E279=3,EM279,EL279),
IF($D279="Pénétro.",
IF($E279=4,EM279,EL279))))</f>
        <v>#N/A</v>
      </c>
      <c r="EO279" s="31" t="e">
        <f>(IF(OR(Hypothèses!$B$4=17,Hypothèses!$B$4=18,Hypothèses!$B$4=19,Hypothèses!$B$4=20),
IF($D279="Pressio.",
IF(OR($E279=3,$E279=1,$E279=4),(PI()*EO$12^2)/4*(EK279*$W279*1000)/($H279*$B$5),(PI()*EO$12^2)/4*(EK279*$W279*1000)/($G279*$B$5)),
IF($D279="Pénétro.",
IF(OR($E279=4,$E279=1,$E279=5),(PI()*EO$12^2)/4*(EK279*$W279*1000)/($H279*$B$5),(PI()*EO$12^2)/4*(EK279*$W279*1000)/($G279*$B$5)))),
IF($D279="Pressio.",
IF($E279=3,(PI()*EO$12^2)/4*(EK279*$W279*1000)/($H279*$B$5),(PI()*EO$12^2)/4*(EK279*$W279*1000)/($G279*$B$5)),
IF($D279="Pénétro.",
IF($E279=4,(PI()*EO$12^2)/4*(EK279*$W279*1000)/($H279*$B$5),(PI()*EO$12^2)/4*(EK279*$W279*1000)/($G279*$B$5))))))/10</f>
        <v>#N/A</v>
      </c>
      <c r="EP279" s="102" t="e">
        <f>(VLOOKUP($B$3,'Coeff EC7'!$T$39:$X$59,2,0)*EN279+VLOOKUP($B$3,'Coeff EC7'!$T$65:$X$85,2,0)*Model0.1C!EO279)/1.1</f>
        <v>#N/A</v>
      </c>
      <c r="EQ279" s="102" t="e">
        <f>(VLOOKUP($B$3,'Coeff EC7'!$T$39:$X$59,3,0)*EN279+VLOOKUP($B$3,'Coeff EC7'!$T$65:$X$85,3,0)*Model0.1C!EO279)/0.9</f>
        <v>#N/A</v>
      </c>
      <c r="ER279" s="102" t="e">
        <f t="shared" si="494"/>
        <v>#N/A</v>
      </c>
      <c r="ES279" s="102" t="e">
        <f t="shared" si="495"/>
        <v>#N/A</v>
      </c>
      <c r="ET279" s="414" t="e">
        <f>IF(ET278=0,0,IF(AND(EP279&gt;charge_ELS_quasi,EQ279&gt;Charge_ELS_freq,ER279&gt;charge_ELU,ES279&gt;charge_ELA,$B279&gt;NDC!$H$22-0.1+MIN(3*$ET$12,1.5)),0,1))</f>
        <v>#N/A</v>
      </c>
      <c r="EU279" s="86" t="b">
        <f t="shared" si="463"/>
        <v>0</v>
      </c>
      <c r="EV279" s="86">
        <f t="shared" si="464"/>
        <v>0.61</v>
      </c>
      <c r="EW279" s="86">
        <f t="shared" si="465"/>
        <v>0.61</v>
      </c>
      <c r="EX279" s="30" t="e">
        <f t="shared" ca="1" si="496"/>
        <v>#DIV/0!</v>
      </c>
      <c r="EY279" s="85" t="e">
        <f ca="1">IF(EE279&lt;=Hypothèses!$V$7,Hypothèses!$W$7,IF(EE279&lt;=Hypothèses!$V$8,Hypothèses!$W$8,IF(EE279&lt;=Hypothèses!$V$9,Hypothèses!$W$9,IF(EE279&lt;=Hypothèses!$V$10,Hypothèses!$W$10,IF(EE279&lt;=Hypothèses!$V$11,Hypothèses!$W$11,IF(EE279&lt;=Hypothèses!$V$12,Hypothèses!$W$12,IF(EE279&lt;=Hypothèses!$V$13,Hypothèses!$W$13,IF(EE279&lt;=Hypothèses!$V$14,Hypothèses!$W$14,IF(EE279&lt;=Hypothèses!$V$15,Hypothèses!$W$15,IF(EE279&lt;=Hypothèses!$V$16,Hypothèses!$W$16,IF(EE279&lt;=Hypothèses!$V$17,Hypothèses!$W$17,IF(EE279&lt;=Hypothèses!$V$18,Hypothèses!$W$18,""))))))))))))</f>
        <v>#DIV/0!</v>
      </c>
      <c r="EZ279" s="87" t="e">
        <f t="shared" ca="1" si="523"/>
        <v>#DIV/0!</v>
      </c>
      <c r="FA279" s="88" t="e">
        <f ca="1">IF(EE279&lt;=Hypothèses!$V$7,Hypothèses!$X$7,IF(EE279&lt;=Hypothèses!$V$8,Hypothèses!$X$8,IF(EE279&lt;=Hypothèses!$V$9,Hypothèses!$X$9,IF(EE279&lt;=Hypothèses!$V$10,Hypothèses!$X$10,IF(EE279&lt;=Hypothèses!$V$11,Hypothèses!$X$11,IF(EE279&lt;=Hypothèses!$V$12,Hypothèses!$X$12,IF(EE279&lt;=Hypothèses!$V$13,Hypothèses!$X$13,IF(EE279&lt;=Hypothèses!$V$14,Hypothèses!$X$14,IF(EE279&lt;=Hypothèses!$V$15,Hypothèses!$X$15,IF(EE279&lt;=Hypothèses!$V$16,Hypothèses!$X$16,IF(EE279&lt;=Hypothèses!$U$17,Hypothèses!$W$17,IF(EE279&lt;=Hypothèses!$U$18,Hypothèses!$W$18,""))))))))))))</f>
        <v>#DIV/0!</v>
      </c>
      <c r="FB279" s="95" t="e">
        <f t="shared" ca="1" si="497"/>
        <v>#DIV/0!</v>
      </c>
      <c r="FC279" s="101" t="e">
        <f t="shared" si="530"/>
        <v>#N/A</v>
      </c>
      <c r="FD279" s="91" t="e">
        <f t="shared" si="466"/>
        <v>#N/A</v>
      </c>
      <c r="FE279" s="30" t="e">
        <f t="shared" si="514"/>
        <v>#N/A</v>
      </c>
      <c r="FF279" s="30" t="e">
        <f t="shared" si="515"/>
        <v>#N/A</v>
      </c>
      <c r="FG279" s="31" t="e">
        <f>IF(OR(Hypothèses!$B$4=17,Hypothèses!$B$4=18,Hypothèses!$B$4=19,Hypothèses!$B$4=20),
IF($D279="Pressio.",
IF(OR($E279=3,$E279=1,$E279=4),FF279,FE279),
IF($D279="Pénétro.",
IF(OR($E279=3,$E279=1,$E279=4),FF279,FE279))),IF($D279="Pressio.",
IF($E279=3,FF279,FE279),
IF($D279="Pénétro.",
IF($E279=4,FF279,FE279))))</f>
        <v>#N/A</v>
      </c>
      <c r="FH279" s="31" t="e">
        <f>(IF(OR(Hypothèses!$B$4=17,Hypothèses!$B$4=18,Hypothèses!$B$4=19,Hypothèses!$B$4=20),
IF($D279="Pressio.",
IF(OR($E279=3,$E279=1,$E279=4),(PI()*FH$12^2)/4*(FD279*$W279*1000)/($H279*$B$5),(PI()*FH$12^2)/4*(FD279*$W279*1000)/($G279*$B$5)),
IF($D279="Pénétro.",
IF(OR($E279=4,$E279=1,$E279=5),(PI()*FH$12^2)/4*(FD279*$W279*1000)/($H279*$B$5),(PI()*FH$12^2)/4*(FD279*$W279*1000)/($G279*$B$5)))),
IF($D279="Pressio.",
IF($E279=3,(PI()*FH$12^2)/4*(FD279*$W279*1000)/($H279*$B$5),(PI()*FH$12^2)/4*(FD279*$W279*1000)/($G279*$B$5)),
IF($D279="Pénétro.",
IF($E279=4,(PI()*FH$12^2)/4*(FD279*$W279*1000)/($H279*$B$5),(PI()*FH$12^2)/4*(FD279*$W279*1000)/($G279*$B$5))))))/10</f>
        <v>#N/A</v>
      </c>
      <c r="FI279" s="102" t="e">
        <f>(VLOOKUP($B$3,'Coeff EC7'!$T$39:$X$59,2,0)*FG279+VLOOKUP($B$3,'Coeff EC7'!$T$65:$X$85,2,0)*Model0.1C!FH279)/1.1</f>
        <v>#N/A</v>
      </c>
      <c r="FJ279" s="102" t="e">
        <f>(VLOOKUP($B$3,'Coeff EC7'!$T$39:$X$59,3,0)*FG279+VLOOKUP($B$3,'Coeff EC7'!$T$65:$X$85,3,0)*Model0.1C!FH279)/0.9</f>
        <v>#N/A</v>
      </c>
      <c r="FK279" s="102" t="e">
        <f t="shared" si="498"/>
        <v>#N/A</v>
      </c>
      <c r="FL279" s="102" t="e">
        <f t="shared" si="499"/>
        <v>#N/A</v>
      </c>
      <c r="FM279" s="414" t="e">
        <f>IF(FM278=0,0,IF(AND(FI279&gt;charge_ELS_quasi,FJ279&gt;Charge_ELS_freq,FK279&gt;charge_ELU,FL279&gt;charge_ELA,$B279&gt;NDC!$H$22-0.1+MIN(3*$FM$12,1.5)),0,1))</f>
        <v>#N/A</v>
      </c>
    </row>
    <row r="280" spans="1:169">
      <c r="A280" s="96">
        <f t="shared" si="467"/>
        <v>73.300000000001518</v>
      </c>
      <c r="B280" s="97">
        <v>26.7</v>
      </c>
      <c r="C280" s="81">
        <f>IF(B280&lt;=Hypothèses!$C$7,Hypothèses!$A$7,IF(B280&lt;=Hypothèses!$C$8,Hypothèses!$A$8,IF(B280&lt;=Hypothèses!$C$9,Hypothèses!$A$9,IF(B280&lt;=Hypothèses!$C$10,Hypothèses!$A$10,IF(B280&lt;=Hypothèses!$C$11,Hypothèses!$A$11,IF(B280&lt;=Hypothèses!$C$12,Hypothèses!$A$12,IF(B280&lt;=Hypothèses!$C$13,Hypothèses!$A$13,IF(B280&lt;=Hypothèses!$C$14,Hypothèses!$A$14,IF(B280&lt;=Hypothèses!$C$15,Hypothèses!$A$15,IF(B280&lt;=Hypothèses!$C$16,Hypothèses!$A$16,IF(B280&lt;=Hypothèses!$C$17,Hypothèses!$A$17,IF(B280&lt;=Hypothèses!$C$18,Hypothèses!$A$18,C279))))))))))))</f>
        <v>11</v>
      </c>
      <c r="D280" s="82" t="str">
        <f>IF(B280&lt;=Hypothèses!$C$7,Hypothèses!$R$7,IF(B280&lt;=Hypothèses!$C$8,Hypothèses!$R$8,IF(B280&lt;=Hypothèses!$C$9,Hypothèses!$R$9,IF(B280&lt;=Hypothèses!$C$10,Hypothèses!$R$10,IF(B280&lt;=Hypothèses!$C$11,Hypothèses!$R$11,IF(B280&lt;=Hypothèses!$C$12,Hypothèses!$R$12,IF(B280&lt;=Hypothèses!$C$13,Hypothèses!$R$13,IF(B280&lt;=Hypothèses!$C$14,Hypothèses!$R$14,IF(B280&lt;=Hypothèses!$C$15,Hypothèses!$R$15,IF(B280&lt;=Hypothèses!$C$16,Hypothèses!$R$16,IF(B280&lt;=Hypothèses!$C$17,Hypothèses!$R$17,IF(B280&lt;=Hypothèses!$C$18,Hypothèses!$R$18,D279))))))))))))</f>
        <v>Pressio.</v>
      </c>
      <c r="E280" s="82" t="e">
        <f>IF(B280&lt;=Hypothèses!$C$7,Hypothèses!$G$7,IF(B280&lt;=Hypothèses!$C$8,Hypothèses!$G$8,IF(B280&lt;=Hypothèses!$C$9,Hypothèses!$G$9,IF(B280&lt;=Hypothèses!$C$10,Hypothèses!$G$10,IF(B280&lt;=Hypothèses!$C$11,Hypothèses!$G$11,IF(B280&lt;=Hypothèses!$C$12,Hypothèses!$G$12,IF(B280&lt;=Hypothèses!$C$13,Hypothèses!$G$13,IF(B280&lt;=Hypothèses!$C$14,Hypothèses!$G$14,IF(B280&lt;=Hypothèses!$C$15,Hypothèses!$G$15,IF(B280&lt;=Hypothèses!$C$16,Hypothèses!$G$16,IF(B280&lt;=Hypothèses!$C$17,Hypothèses!$G$17,IF(B280&lt;=Hypothèses!$C$18,Hypothèses!$G$18,E279))))))))))))</f>
        <v>#N/A</v>
      </c>
      <c r="F280" s="82" t="str">
        <f>IF(B280&lt;=Hypothèses!$C$7,Hypothèses!$F$7,IF(B280&lt;=Hypothèses!$C$8,Hypothèses!$F$8,IF(B280&lt;=Hypothèses!$C$9,Hypothèses!$F$9,IF(B280&lt;=Hypothèses!$C$10,Hypothèses!$F$10,IF(B280&lt;=Hypothèses!$C$11,Hypothèses!$F$11,IF(B280&lt;=Hypothèses!$C$12,Hypothèses!$F$12,IF(B280&lt;=Hypothèses!$C$13,Hypothèses!$F$13,IF(B280&lt;=Hypothèses!$C$14,Hypothèses!$F$14,IF(B280&lt;=Hypothèses!$C$15,Hypothèses!$F$15,IF(B280&lt;=Hypothèses!$C$16,Hypothèses!$F$16,IF(B280&lt;=Hypothèses!$C$17,Hypothèses!$F$17,IF(B280&lt;=Hypothèses!$C$18,Hypothèses!$F$18,F279))))))))))))</f>
        <v/>
      </c>
      <c r="G280" s="91">
        <f t="array" ref="G280">INDEX('Coeff EC7'!$U$7:$X$27,
MATCH(Model0.1C!$B$3,'Coeff EC7'!$T$7:$T$27,0),
MATCH(Model0.1C!$D280&amp;Model0.1C!$B$4,
'Coeff EC7'!$U$6:$X$6&amp;
'Coeff EC7'!$U$5:$X$5,0))</f>
        <v>1.1499999999999999</v>
      </c>
      <c r="H280" s="91">
        <f t="array" ref="H280">INDEX('Coeff EC7'!$Y$7:$AB$27,
MATCH(Model0.1C!$B$3,'Coeff EC7'!$T$7:$T$27,0),
MATCH(Model0.1C!$D280&amp;Model0.1C!$B$4,
'Coeff EC7'!$Y$6:$AB$6&amp;
'Coeff EC7'!$Y$5:$AB$5,0))</f>
        <v>1.4</v>
      </c>
      <c r="I280" s="83" t="e">
        <f>IF(B280&lt;=Hypothèses!$C$7,Hypothèses!$P$7,IF(B280&lt;=Hypothèses!$C$8,Hypothèses!$P$8,IF(B280&lt;=Hypothèses!$C$9,Hypothèses!$P$9,IF(B280&lt;=Hypothèses!$C$10,Hypothèses!$P$10,IF(B280&lt;=Hypothèses!$C$11,Hypothèses!$P$11,IF(B280&lt;=Hypothèses!$C$12,Hypothèses!$P$12,IF(B280&lt;=Hypothèses!$C$13,Hypothèses!$P$13,IF(B280&lt;=Hypothèses!$C$14,Hypothèses!$P$14,IF(B280&lt;=Hypothèses!$C$15,Hypothèses!$P$15,IF(B280&lt;=Hypothèses!$C$16,Hypothèses!$P$16,IF(B280&lt;=Hypothèses!$C$17,Hypothèses!$P$17,IF(B280&lt;=Hypothèses!$C$18,Hypothèses!$P$18,I279))))))))))))</f>
        <v>#N/A</v>
      </c>
      <c r="J280" s="91" t="e">
        <f t="array" ref="J280">INDEX('Coeff EC7'!$D$33:$Q$33,1,MATCH(D280&amp;E280,'Coeff EC7'!$D$31:$Q$31&amp;'Coeff EC7'!$D$32:$Q$32,0))</f>
        <v>#N/A</v>
      </c>
      <c r="K280" s="91" t="e">
        <f t="array" ref="K280">INDEX('Coeff EC7'!$D$34:$Q$34,1,MATCH(D280&amp;E280,'Coeff EC7'!$D$31:$Q$31&amp;'Coeff EC7'!$D$32:$Q$32,0))</f>
        <v>#N/A</v>
      </c>
      <c r="L280" s="91" t="e">
        <f t="array" ref="L280">INDEX('Coeff EC7'!$D$35:$Q$35,1,MATCH(D280&amp;E280,'Coeff EC7'!$D$31:$Q$31&amp;'Coeff EC7'!$D$32:$Q$32,0))</f>
        <v>#N/A</v>
      </c>
      <c r="M280" s="98" t="e">
        <f t="shared" si="431"/>
        <v>#N/A</v>
      </c>
      <c r="N280" s="99" t="e">
        <f t="array" ref="N280">INDEX('Coeff EC7'!$D$7:$Q$27,MATCH($B$3,'Coeff EC7'!$C$7:$C$27,0),MATCH(D280&amp;E280,'Coeff EC7'!$D$5:$Q$5&amp;'Coeff EC7'!$D$6:$Q$6,0))</f>
        <v>#N/A</v>
      </c>
      <c r="O280" s="99" t="e">
        <f t="array" ref="O280">INDEX('Coeff EC7'!$D$41:$Q$61,MATCH($B$3,'Coeff EC7'!$C$41:$C$61,0),MATCH(D280&amp;E280,'Coeff EC7'!$D$39:$Q$39&amp;'Coeff EC7'!$D$40:$Q$40,0))</f>
        <v>#N/A</v>
      </c>
      <c r="P280" s="30" t="e">
        <f t="shared" si="468"/>
        <v>#N/A</v>
      </c>
      <c r="Q280" s="100" t="e">
        <f t="shared" si="433"/>
        <v>#N/A</v>
      </c>
      <c r="R280" s="86" t="b">
        <f t="shared" si="434"/>
        <v>0</v>
      </c>
      <c r="S280" s="86">
        <f t="shared" si="432"/>
        <v>0.5</v>
      </c>
      <c r="T280" s="86">
        <f t="shared" si="435"/>
        <v>0.5</v>
      </c>
      <c r="U280" s="30" t="e">
        <f t="shared" ca="1" si="469"/>
        <v>#DIV/0!</v>
      </c>
      <c r="V280" s="85" t="str">
        <f>IF(B280&lt;=Hypothèses!$V$7,Hypothèses!$W$7,IF(B280&lt;=Hypothèses!$V$8,Hypothèses!$W$8,IF(B280&lt;=Hypothèses!$V$9,Hypothèses!$W$9,IF(B280&lt;=Hypothèses!$V$10,Hypothèses!$W$10,IF(B280&lt;=Hypothèses!$V$11,Hypothèses!$W$11,IF(B280&lt;=Hypothèses!$V$12,Hypothèses!$W$12,IF(B280&lt;=Hypothèses!$V$13,Hypothèses!$W$13,IF(B280&lt;=Hypothèses!$V$14,Hypothèses!$W$14,IF(B280&lt;=Hypothèses!$V$15,Hypothèses!$W$15,IF(B280&lt;=Hypothèses!$V$16,Hypothèses!$W$16,IF(B280&lt;=Hypothèses!$V$17,Hypothèses!$W$17,IF(B280&lt;=Hypothèses!$V$18,Hypothèses!$W$18,""))))))))))))</f>
        <v/>
      </c>
      <c r="W280" s="87" t="e">
        <f t="shared" ca="1" si="516"/>
        <v>#DIV/0!</v>
      </c>
      <c r="X280" s="88" t="str">
        <f>IF(B280&lt;=Hypothèses!$V$7,Hypothèses!$X$7,IF(B280&lt;=Hypothèses!$V$8,Hypothèses!$X$8,IF(B280&lt;=Hypothèses!$V$9,Hypothèses!$X$9,IF(B280&lt;=Hypothèses!$V$10,Hypothèses!$X$10,IF(B280&lt;=Hypothèses!$V$11,Hypothèses!$X$11,IF(B280&lt;=Hypothèses!$V$12,Hypothèses!$X$12,IF(B280&lt;=Hypothèses!$V$13,Hypothèses!$X$13,IF(B280&lt;=Hypothèses!$V$14,Hypothèses!$X$14,IF(B280&lt;=Hypothèses!$V$15,Hypothèses!$X$15,IF(B280&lt;=Hypothèses!$V$16,Hypothèses!$X$16,IF(B280&lt;=Hypothèses!$U$17,Hypothèses!$W$17,IF(B280&lt;=Hypothèses!$U$18,Hypothèses!$W$18,""))))))))))))</f>
        <v/>
      </c>
      <c r="Y280" s="95" t="e">
        <f t="shared" ca="1" si="436"/>
        <v>#DIV/0!</v>
      </c>
      <c r="Z280" s="101" t="e">
        <f t="shared" si="437"/>
        <v>#N/A</v>
      </c>
      <c r="AA280" s="91" t="e">
        <f t="shared" si="438"/>
        <v>#N/A</v>
      </c>
      <c r="AB280" s="30" t="e">
        <f t="shared" si="500"/>
        <v>#N/A</v>
      </c>
      <c r="AC280" s="30" t="e">
        <f t="shared" si="501"/>
        <v>#N/A</v>
      </c>
      <c r="AD280" s="31" t="e">
        <f>IF(OR(Hypothèses!$B$4=17,Hypothèses!$B$4=18,Hypothèses!$B$4=19,Hypothèses!$B$4=20),
IF($D280="Pressio.",
IF(OR($E280=3,$E280=1,$E280=4),AC280,AB280),
IF($D280="Pénétro.",
IF(OR($E280=3,$E280=1,$E280=4),AC280,AB280))),IF($D280="Pressio.",
IF($E280=3,AC280,AB280),
IF($D280="Pénétro.",
IF($E280=4,AC280,AB280))))</f>
        <v>#N/A</v>
      </c>
      <c r="AE280" s="31" t="e">
        <f>(IF(OR(Hypothèses!$B$4=17,Hypothèses!$B$4=18,Hypothèses!$B$4=19,Hypothèses!$B$4=20),
IF($D280="Pressio.",
IF(OR($E280=3,$E280=1,$E280=4),(PI()*AE$12^2)/4*(AA280*$W280*1000)/($H280*$B$5),(PI()*AE$12^2)/4*(AA280*$W280*1000)/($G280*$B$5)),
IF($D280="Pénétro.",
IF(OR($E280=4,$E280=1,$E280=5),(PI()*AE$12^2)/4*(AA280*$W280*1000)/($H280*$B$5),(PI()*AE$12^2)/4*(AA280*$W280*1000)/($G280*$B$5)))),
IF($D280="Pressio.",
IF($E280=3,(PI()*AE$12^2)/4*(AA280*$W280*1000)/($H280*$B$5),(PI()*AE$12^2)/4*(AA280*$W280*1000)/($G280*$B$5)),
IF($D280="Pénétro.",
IF($E280=4,(PI()*AE$12^2)/4*(AA280*$W280*1000)/($H280*$B$5),(PI()*AE$12^2)/4*(AA280*$W280*1000)/($G280*$B$5))))))/10</f>
        <v>#N/A</v>
      </c>
      <c r="AF280" s="102" t="e">
        <f>(VLOOKUP($B$3,'Coeff EC7'!$T$39:$X$59,2,0)*AD280+VLOOKUP($B$3,'Coeff EC7'!$T$65:$X$85,2,0)*Model0.1C!AE280)/1.1</f>
        <v>#N/A</v>
      </c>
      <c r="AG280" s="102" t="e">
        <f>(VLOOKUP($B$3,'Coeff EC7'!$T$39:$X$59,3,0)*AD280+VLOOKUP($B$3,'Coeff EC7'!$T$65:$X$85,3,0)*Model0.1C!AE280)/0.9</f>
        <v>#N/A</v>
      </c>
      <c r="AH280" s="102" t="e">
        <f t="shared" si="439"/>
        <v>#N/A</v>
      </c>
      <c r="AI280" s="102" t="e">
        <f t="shared" si="440"/>
        <v>#N/A</v>
      </c>
      <c r="AJ280" s="414" t="e">
        <f>IF(AJ279=0,0,IF(AND(AF280&gt;charge_ELS_quasi,AG280&gt;Charge_ELS_freq,AH280&gt;charge_ELU,AI280&gt;charge_ELA,$B280&gt;NDC!$H$22-0.1+MIN(3*$AJ$12,1.5)),0,1))</f>
        <v>#N/A</v>
      </c>
      <c r="AK280" s="86" t="b">
        <f t="shared" si="441"/>
        <v>0</v>
      </c>
      <c r="AL280" s="86">
        <f t="shared" si="470"/>
        <v>0.5</v>
      </c>
      <c r="AM280" s="86">
        <f t="shared" si="442"/>
        <v>0.5</v>
      </c>
      <c r="AN280" s="30" t="e">
        <f t="shared" ca="1" si="471"/>
        <v>#DIV/0!</v>
      </c>
      <c r="AO280" s="85" t="e">
        <f ca="1">IF(U280&lt;=Hypothèses!$V$7,Hypothèses!$W$7,IF(U280&lt;=Hypothèses!$V$8,Hypothèses!$W$8,IF(U280&lt;=Hypothèses!$V$9,Hypothèses!$W$9,IF(U280&lt;=Hypothèses!$V$10,Hypothèses!$W$10,IF(U280&lt;=Hypothèses!$V$11,Hypothèses!$W$11,IF(U280&lt;=Hypothèses!$V$12,Hypothèses!$W$12,IF(U280&lt;=Hypothèses!$V$13,Hypothèses!$W$13,IF(U280&lt;=Hypothèses!$V$14,Hypothèses!$W$14,IF(U280&lt;=Hypothèses!$V$15,Hypothèses!$W$15,IF(U280&lt;=Hypothèses!$V$16,Hypothèses!$W$16,IF(U280&lt;=Hypothèses!$V$17,Hypothèses!$W$17,IF(U280&lt;=Hypothèses!$V$18,Hypothèses!$W$18,""))))))))))))</f>
        <v>#DIV/0!</v>
      </c>
      <c r="AP280" s="87" t="e">
        <f t="shared" ca="1" si="517"/>
        <v>#DIV/0!</v>
      </c>
      <c r="AQ280" s="88" t="e">
        <f ca="1">IF(U280&lt;=Hypothèses!$V$7,Hypothèses!$X$7,IF(U280&lt;=Hypothèses!$V$8,Hypothèses!$X$8,IF(U280&lt;=Hypothèses!$V$9,Hypothèses!$X$9,IF(U280&lt;=Hypothèses!$V$10,Hypothèses!$X$10,IF(U280&lt;=Hypothèses!$V$11,Hypothèses!$X$11,IF(U280&lt;=Hypothèses!$V$12,Hypothèses!$X$12,IF(U280&lt;=Hypothèses!$V$13,Hypothèses!$X$13,IF(U280&lt;=Hypothèses!$V$14,Hypothèses!$X$14,IF(U280&lt;=Hypothèses!$V$15,Hypothèses!$X$15,IF(U280&lt;=Hypothèses!$V$16,Hypothèses!$X$16,IF(U280&lt;=Hypothèses!$U$17,Hypothèses!$W$17,IF(U280&lt;=Hypothèses!$U$18,Hypothèses!$W$18,""))))))))))))</f>
        <v>#DIV/0!</v>
      </c>
      <c r="AR280" s="95" t="e">
        <f t="shared" ca="1" si="472"/>
        <v>#DIV/0!</v>
      </c>
      <c r="AS280" s="101" t="e">
        <f t="shared" si="524"/>
        <v>#N/A</v>
      </c>
      <c r="AT280" s="91" t="e">
        <f t="shared" si="443"/>
        <v>#N/A</v>
      </c>
      <c r="AU280" s="30" t="e">
        <f t="shared" si="502"/>
        <v>#N/A</v>
      </c>
      <c r="AV280" s="30" t="e">
        <f t="shared" si="503"/>
        <v>#N/A</v>
      </c>
      <c r="AW280" s="31" t="e">
        <f>IF(OR(Hypothèses!$B$4=17,Hypothèses!$B$4=18,Hypothèses!$B$4=19,Hypothèses!$B$4=20),
IF($D280="Pressio.",
IF(OR($E280=3,$E280=1,$E280=4),AV280,AU280),
IF($D280="Pénétro.",
IF(OR($E280=3,$E280=1,$E280=4),AV280,AU280))),IF($D280="Pressio.",
IF($E280=3,AV280,AU280),
IF($D280="Pénétro.",
IF($E280=4,AV280,AU280))))</f>
        <v>#N/A</v>
      </c>
      <c r="AX280" s="31" t="e">
        <f>(IF(OR(Hypothèses!$B$4=17,Hypothèses!$B$4=18,Hypothèses!$B$4=19,Hypothèses!$B$4=20),
IF($D280="Pressio.",
IF(OR($E280=3,$E280=1,$E280=4),(PI()*AX$12^2)/4*(AT280*$W280*1000)/($H280*$B$5),(PI()*AX$12^2)/4*(AT280*$W280*1000)/($G280*$B$5)),
IF($D280="Pénétro.",
IF(OR($E280=4,$E280=1,$E280=5),(PI()*AX$12^2)/4*(AT280*$W280*1000)/($H280*$B$5),(PI()*AX$12^2)/4*(AT280*$W280*1000)/($G280*$B$5)))),
IF($D280="Pressio.",
IF($E280=3,(PI()*AX$12^2)/4*(AT280*$W280*1000)/($H280*$B$5),(PI()*AX$12^2)/4*(AT280*$W280*1000)/($G280*$B$5)),
IF($D280="Pénétro.",
IF($E280=4,(PI()*AX$12^2)/4*(AT280*$W280*1000)/($H280*$B$5),(PI()*AX$12^2)/4*(AT280*$W280*1000)/($G280*$B$5))))))/10</f>
        <v>#N/A</v>
      </c>
      <c r="AY280" s="102" t="e">
        <f>(VLOOKUP($B$3,'Coeff EC7'!$T$39:$X$59,2,0)*AW280+VLOOKUP($B$3,'Coeff EC7'!$T$65:$X$85,2,0)*Model0.1C!AX280)/1.1</f>
        <v>#N/A</v>
      </c>
      <c r="AZ280" s="102" t="e">
        <f>(VLOOKUP($B$3,'Coeff EC7'!$T$39:$X$59,3,0)*AW280+VLOOKUP($B$3,'Coeff EC7'!$T$65:$X$85,3,0)*Model0.1C!AX280)/0.9</f>
        <v>#N/A</v>
      </c>
      <c r="BA280" s="102" t="e">
        <f t="shared" si="473"/>
        <v>#N/A</v>
      </c>
      <c r="BB280" s="102" t="e">
        <f t="shared" si="474"/>
        <v>#N/A</v>
      </c>
      <c r="BC280" s="414" t="e">
        <f>IF(BC279=0,0,IF(AND(AY280&gt;charge_ELS_quasi,AZ280&gt;Charge_ELS_freq,BA280&gt;charge_ELU,BB280&gt;charge_ELA,$B280&gt;NDC!$H$22-0.1+MIN(3*$BC$12,1.5)),0,1))</f>
        <v>#N/A</v>
      </c>
      <c r="BD280" s="86" t="b">
        <f t="shared" si="444"/>
        <v>0</v>
      </c>
      <c r="BE280" s="86">
        <f t="shared" si="475"/>
        <v>0.5</v>
      </c>
      <c r="BF280" s="86">
        <f t="shared" si="445"/>
        <v>0.5</v>
      </c>
      <c r="BG280" s="30" t="e">
        <f t="shared" ca="1" si="476"/>
        <v>#DIV/0!</v>
      </c>
      <c r="BH280" s="85" t="e">
        <f ca="1">IF(AN280&lt;=Hypothèses!$V$7,Hypothèses!$W$7,IF(AN280&lt;=Hypothèses!$V$8,Hypothèses!$W$8,IF(AN280&lt;=Hypothèses!$V$9,Hypothèses!$W$9,IF(AN280&lt;=Hypothèses!$V$10,Hypothèses!$W$10,IF(AN280&lt;=Hypothèses!$V$11,Hypothèses!$W$11,IF(AN280&lt;=Hypothèses!$V$12,Hypothèses!$W$12,IF(AN280&lt;=Hypothèses!$V$13,Hypothèses!$W$13,IF(AN280&lt;=Hypothèses!$V$14,Hypothèses!$W$14,IF(AN280&lt;=Hypothèses!$V$15,Hypothèses!$W$15,IF(AN280&lt;=Hypothèses!$V$16,Hypothèses!$W$16,IF(AN280&lt;=Hypothèses!$V$17,Hypothèses!$W$17,IF(AN280&lt;=Hypothèses!$V$18,Hypothèses!$W$18,""))))))))))))</f>
        <v>#DIV/0!</v>
      </c>
      <c r="BI280" s="87" t="e">
        <f t="shared" ca="1" si="518"/>
        <v>#DIV/0!</v>
      </c>
      <c r="BJ280" s="88" t="e">
        <f ca="1">IF(AN280&lt;=Hypothèses!$V$7,Hypothèses!$X$7,IF(AN280&lt;=Hypothèses!$V$8,Hypothèses!$X$8,IF(AN280&lt;=Hypothèses!$V$9,Hypothèses!$X$9,IF(AN280&lt;=Hypothèses!$V$10,Hypothèses!$X$10,IF(AN280&lt;=Hypothèses!$V$11,Hypothèses!$X$11,IF(AN280&lt;=Hypothèses!$V$12,Hypothèses!$X$12,IF(AN280&lt;=Hypothèses!$V$13,Hypothèses!$X$13,IF(AN280&lt;=Hypothèses!$V$14,Hypothèses!$X$14,IF(AN280&lt;=Hypothèses!$V$15,Hypothèses!$X$15,IF(AN280&lt;=Hypothèses!$V$16,Hypothèses!$X$16,IF(AN280&lt;=Hypothèses!$U$17,Hypothèses!$W$17,IF(AN280&lt;=Hypothèses!$U$18,Hypothèses!$W$18,""))))))))))))</f>
        <v>#DIV/0!</v>
      </c>
      <c r="BK280" s="95" t="e">
        <f t="shared" ca="1" si="477"/>
        <v>#DIV/0!</v>
      </c>
      <c r="BL280" s="101" t="e">
        <f t="shared" si="525"/>
        <v>#N/A</v>
      </c>
      <c r="BM280" s="91" t="e">
        <f t="shared" si="446"/>
        <v>#N/A</v>
      </c>
      <c r="BN280" s="30" t="e">
        <f t="shared" si="504"/>
        <v>#N/A</v>
      </c>
      <c r="BO280" s="30" t="e">
        <f t="shared" si="505"/>
        <v>#N/A</v>
      </c>
      <c r="BP280" s="31" t="e">
        <f>IF(OR(Hypothèses!$B$4=17,Hypothèses!$B$4=18,Hypothèses!$B$4=19,Hypothèses!$B$4=20),
IF($D280="Pressio.",
IF(OR($E280=3,$E280=1,$E280=4),BO280,BN280),
IF($D280="Pénétro.",
IF(OR($E280=3,$E280=1,$E280=4),BO280,BN280))),IF($D280="Pressio.",
IF($E280=3,BO280,BN280),
IF($D280="Pénétro.",
IF($E280=4,BO280,BN280))))</f>
        <v>#N/A</v>
      </c>
      <c r="BQ280" s="31" t="e">
        <f>(IF(OR(Hypothèses!$B$4=17,Hypothèses!$B$4=18,Hypothèses!$B$4=19,Hypothèses!$B$4=20),
IF($D280="Pressio.",
IF(OR($E280=3,$E280=1,$E280=4),(PI()*BQ$12^2)/4*(BM280*$W280*1000)/($H280*$B$5),(PI()*BQ$12^2)/4*(BM280*$W280*1000)/($G280*$B$5)),
IF($D280="Pénétro.",
IF(OR($E280=4,$E280=1,$E280=5),(PI()*BQ$12^2)/4*(BM280*$W280*1000)/($H280*$B$5),(PI()*BQ$12^2)/4*(BM280*$W280*1000)/($G280*$B$5)))),
IF($D280="Pressio.",
IF($E280=3,(PI()*BQ$12^2)/4*(BM280*$W280*1000)/($H280*$B$5),(PI()*BQ$12^2)/4*(BM280*$W280*1000)/($G280*$B$5)),
IF($D280="Pénétro.",
IF($E280=4,(PI()*BQ$12^2)/4*(BM280*$W280*1000)/($H280*$B$5),(PI()*BQ$12^2)/4*(BM280*$W280*1000)/($G280*$B$5))))))/10</f>
        <v>#N/A</v>
      </c>
      <c r="BR280" s="102" t="e">
        <f>(VLOOKUP($B$3,'Coeff EC7'!$T$39:$X$59,2,0)*BP280+VLOOKUP($B$3,'Coeff EC7'!$T$65:$X$85,2,0)*Model0.1C!BQ280)/1.1</f>
        <v>#N/A</v>
      </c>
      <c r="BS280" s="102" t="e">
        <f>(VLOOKUP($B$3,'Coeff EC7'!$T$39:$X$59,3,0)*BP280+VLOOKUP($B$3,'Coeff EC7'!$T$65:$X$85,3,0)*Model0.1C!BQ280)/0.9</f>
        <v>#N/A</v>
      </c>
      <c r="BT280" s="102" t="e">
        <f t="shared" si="478"/>
        <v>#N/A</v>
      </c>
      <c r="BU280" s="102" t="e">
        <f t="shared" si="479"/>
        <v>#N/A</v>
      </c>
      <c r="BV280" s="414" t="e">
        <f>IF(BV279=0,0,IF(AND(BR280&gt;charge_ELS_quasi,BS280&gt;Charge_ELS_freq,BT280&gt;charge_ELU,BU280&gt;charge_ELA,$B280&gt;NDC!$H$22-0.1+MIN(3*$BV$12,1.5)),0,1))</f>
        <v>#N/A</v>
      </c>
      <c r="BW280" s="86" t="b">
        <f t="shared" si="447"/>
        <v>0</v>
      </c>
      <c r="BX280" s="86">
        <f t="shared" si="448"/>
        <v>0.5</v>
      </c>
      <c r="BY280" s="86">
        <f t="shared" si="449"/>
        <v>0.5</v>
      </c>
      <c r="BZ280" s="30" t="e">
        <f t="shared" ca="1" si="480"/>
        <v>#DIV/0!</v>
      </c>
      <c r="CA280" s="85" t="e">
        <f ca="1">IF(BG280&lt;=Hypothèses!$V$7,Hypothèses!$W$7,IF(BG280&lt;=Hypothèses!$V$8,Hypothèses!$W$8,IF(BG280&lt;=Hypothèses!$V$9,Hypothèses!$W$9,IF(BG280&lt;=Hypothèses!$V$10,Hypothèses!$W$10,IF(BG280&lt;=Hypothèses!$V$11,Hypothèses!$W$11,IF(BG280&lt;=Hypothèses!$V$12,Hypothèses!$W$12,IF(BG280&lt;=Hypothèses!$V$13,Hypothèses!$W$13,IF(BG280&lt;=Hypothèses!$V$14,Hypothèses!$W$14,IF(BG280&lt;=Hypothèses!$V$15,Hypothèses!$W$15,IF(BG280&lt;=Hypothèses!$V$16,Hypothèses!$W$16,IF(BG280&lt;=Hypothèses!$V$17,Hypothèses!$W$17,IF(BG280&lt;=Hypothèses!$V$18,Hypothèses!$W$18,""))))))))))))</f>
        <v>#DIV/0!</v>
      </c>
      <c r="CB280" s="87" t="e">
        <f t="shared" ca="1" si="519"/>
        <v>#DIV/0!</v>
      </c>
      <c r="CC280" s="88" t="e">
        <f ca="1">IF(BG280&lt;=Hypothèses!$V$7,Hypothèses!$X$7,IF(BG280&lt;=Hypothèses!$V$8,Hypothèses!$X$8,IF(BG280&lt;=Hypothèses!$V$9,Hypothèses!$X$9,IF(BG280&lt;=Hypothèses!$V$10,Hypothèses!$X$10,IF(BG280&lt;=Hypothèses!$V$11,Hypothèses!$X$11,IF(BG280&lt;=Hypothèses!$V$12,Hypothèses!$X$12,IF(BG280&lt;=Hypothèses!$V$13,Hypothèses!$X$13,IF(BG280&lt;=Hypothèses!$V$14,Hypothèses!$X$14,IF(BG280&lt;=Hypothèses!$V$15,Hypothèses!$X$15,IF(BG280&lt;=Hypothèses!$V$16,Hypothèses!$X$16,IF(BG280&lt;=Hypothèses!$U$17,Hypothèses!$W$17,IF(BG280&lt;=Hypothèses!$U$18,Hypothèses!$W$18,""))))))))))))</f>
        <v>#DIV/0!</v>
      </c>
      <c r="CD280" s="95" t="e">
        <f t="shared" ca="1" si="481"/>
        <v>#DIV/0!</v>
      </c>
      <c r="CE280" s="101" t="e">
        <f t="shared" si="526"/>
        <v>#N/A</v>
      </c>
      <c r="CF280" s="91" t="e">
        <f t="shared" si="450"/>
        <v>#N/A</v>
      </c>
      <c r="CG280" s="30" t="e">
        <f t="shared" si="506"/>
        <v>#N/A</v>
      </c>
      <c r="CH280" s="30" t="e">
        <f t="shared" si="507"/>
        <v>#N/A</v>
      </c>
      <c r="CI280" s="31" t="e">
        <f>IF(OR(Hypothèses!$B$4=17,Hypothèses!$B$4=18,Hypothèses!$B$4=19,Hypothèses!$B$4=20),
IF($D280="Pressio.",
IF(OR($E280=3,$E280=1,$E280=4),CH280,CG280),
IF($D280="Pénétro.",
IF(OR($E280=3,$E280=1,$E280=4),CH280,CG280))),IF($D280="Pressio.",
IF($E280=3,CH280,CG280),
IF($D280="Pénétro.",
IF($E280=4,CH280,CG280))))</f>
        <v>#N/A</v>
      </c>
      <c r="CJ280" s="31" t="e">
        <f>(IF(OR(Hypothèses!$B$4=17,Hypothèses!$B$4=18,Hypothèses!$B$4=19,Hypothèses!$B$4=20),
IF($D280="Pressio.",
IF(OR($E280=3,$E280=1,$E280=4),(PI()*CJ$12^2)/4*(CF280*$W280*1000)/($H280*$B$5),(PI()*CJ$12^2)/4*(CF280*$W280*1000)/($G280*$B$5)),
IF($D280="Pénétro.",
IF(OR($E280=4,$E280=1,$E280=5),(PI()*CJ$12^2)/4*(CF280*$W280*1000)/($H280*$B$5),(PI()*CJ$12^2)/4*(CF280*$W280*1000)/($G280*$B$5)))),
IF($D280="Pressio.",
IF($E280=3,(PI()*CJ$12^2)/4*(CF280*$W280*1000)/($H280*$B$5),(PI()*CJ$12^2)/4*(CF280*$W280*1000)/($G280*$B$5)),
IF($D280="Pénétro.",
IF($E280=4,(PI()*CJ$12^2)/4*(CF280*$W280*1000)/($H280*$B$5),(PI()*CJ$12^2)/4*(CF280*$W280*1000)/($G280*$B$5))))))/10</f>
        <v>#N/A</v>
      </c>
      <c r="CK280" s="102" t="e">
        <f>(VLOOKUP($B$3,'Coeff EC7'!$T$39:$X$59,2,0)*CI280+VLOOKUP($B$3,'Coeff EC7'!$T$65:$X$85,2,0)*Model0.1C!CJ280)/1.1</f>
        <v>#N/A</v>
      </c>
      <c r="CL280" s="102" t="e">
        <f>(VLOOKUP($B$3,'Coeff EC7'!$T$39:$X$59,3,0)*CI280+VLOOKUP($B$3,'Coeff EC7'!$T$65:$X$85,3,0)*Model0.1C!CJ280)/0.9</f>
        <v>#N/A</v>
      </c>
      <c r="CM280" s="102" t="e">
        <f t="shared" si="482"/>
        <v>#N/A</v>
      </c>
      <c r="CN280" s="102" t="e">
        <f t="shared" si="483"/>
        <v>#N/A</v>
      </c>
      <c r="CO280" s="414" t="e">
        <f>IF(CO279=0,0,IF(AND(CK280&gt;charge_ELS_quasi,CL280&gt;Charge_ELS_freq,CM280&gt;charge_ELU,CN280&gt;charge_ELA,$B280&gt;NDC!$H$22-0.1+MIN(3*$CO$12,1.5)),0,1))</f>
        <v>#N/A</v>
      </c>
      <c r="CP280" s="86" t="b">
        <f t="shared" si="451"/>
        <v>0</v>
      </c>
      <c r="CQ280" s="86">
        <f t="shared" si="452"/>
        <v>0.5</v>
      </c>
      <c r="CR280" s="86">
        <f t="shared" si="453"/>
        <v>0.5</v>
      </c>
      <c r="CS280" s="30" t="e">
        <f t="shared" ca="1" si="484"/>
        <v>#DIV/0!</v>
      </c>
      <c r="CT280" s="85" t="e">
        <f ca="1">IF(BZ280&lt;=Hypothèses!$V$7,Hypothèses!$W$7,IF(BZ280&lt;=Hypothèses!$V$8,Hypothèses!$W$8,IF(BZ280&lt;=Hypothèses!$V$9,Hypothèses!$W$9,IF(BZ280&lt;=Hypothèses!$V$10,Hypothèses!$W$10,IF(BZ280&lt;=Hypothèses!$V$11,Hypothèses!$W$11,IF(BZ280&lt;=Hypothèses!$V$12,Hypothèses!$W$12,IF(BZ280&lt;=Hypothèses!$V$13,Hypothèses!$W$13,IF(BZ280&lt;=Hypothèses!$V$14,Hypothèses!$W$14,IF(BZ280&lt;=Hypothèses!$V$15,Hypothèses!$W$15,IF(BZ280&lt;=Hypothèses!$V$16,Hypothèses!$W$16,IF(BZ280&lt;=Hypothèses!$V$17,Hypothèses!$W$17,IF(BZ280&lt;=Hypothèses!$V$18,Hypothèses!$W$18,""))))))))))))</f>
        <v>#DIV/0!</v>
      </c>
      <c r="CU280" s="87" t="e">
        <f t="shared" ca="1" si="520"/>
        <v>#DIV/0!</v>
      </c>
      <c r="CV280" s="88" t="e">
        <f ca="1">IF(BZ280&lt;=Hypothèses!$V$7,Hypothèses!$X$7,IF(BZ280&lt;=Hypothèses!$V$8,Hypothèses!$X$8,IF(BZ280&lt;=Hypothèses!$V$9,Hypothèses!$X$9,IF(BZ280&lt;=Hypothèses!$V$10,Hypothèses!$X$10,IF(BZ280&lt;=Hypothèses!$V$11,Hypothèses!$X$11,IF(BZ280&lt;=Hypothèses!$V$12,Hypothèses!$X$12,IF(BZ280&lt;=Hypothèses!$V$13,Hypothèses!$X$13,IF(BZ280&lt;=Hypothèses!$V$14,Hypothèses!$X$14,IF(BZ280&lt;=Hypothèses!$V$15,Hypothèses!$X$15,IF(BZ280&lt;=Hypothèses!$V$16,Hypothèses!$X$16,IF(BZ280&lt;=Hypothèses!$U$17,Hypothèses!$W$17,IF(BZ280&lt;=Hypothèses!$U$18,Hypothèses!$W$18,""))))))))))))</f>
        <v>#DIV/0!</v>
      </c>
      <c r="CW280" s="95" t="e">
        <f t="shared" ca="1" si="485"/>
        <v>#DIV/0!</v>
      </c>
      <c r="CX280" s="101" t="e">
        <f t="shared" si="527"/>
        <v>#N/A</v>
      </c>
      <c r="CY280" s="91" t="e">
        <f t="shared" si="454"/>
        <v>#N/A</v>
      </c>
      <c r="CZ280" s="30" t="e">
        <f t="shared" si="508"/>
        <v>#N/A</v>
      </c>
      <c r="DA280" s="30" t="e">
        <f t="shared" si="509"/>
        <v>#N/A</v>
      </c>
      <c r="DB280" s="31" t="e">
        <f>IF(OR(Hypothèses!$B$4=17,Hypothèses!$B$4=18,Hypothèses!$B$4=19,Hypothèses!$B$4=20),
IF($D280="Pressio.",
IF(OR($E280=3,$E280=1,$E280=4),DA280,CZ280),
IF($D280="Pénétro.",
IF(OR($E280=3,$E280=1,$E280=4),DA280,CZ280))),IF($D280="Pressio.",
IF($E280=3,DA280,CZ280),
IF($D280="Pénétro.",
IF($E280=4,DA280,CZ280))))</f>
        <v>#N/A</v>
      </c>
      <c r="DC280" s="31" t="e">
        <f>(IF(OR(Hypothèses!$B$4=17,Hypothèses!$B$4=18,Hypothèses!$B$4=19,Hypothèses!$B$4=20),
IF($D280="Pressio.",
IF(OR($E280=3,$E280=1,$E280=4),(PI()*DC$12^2)/4*(CY280*$W280*1000)/($H280*$B$5),(PI()*DC$12^2)/4*(CY280*$W280*1000)/($G280*$B$5)),
IF($D280="Pénétro.",
IF(OR($E280=4,$E280=1,$E280=5),(PI()*DC$12^2)/4*(CY280*$W280*1000)/($H280*$B$5),(PI()*DC$12^2)/4*(CY280*$W280*1000)/($G280*$B$5)))),
IF($D280="Pressio.",
IF($E280=3,(PI()*DC$12^2)/4*(CY280*$W280*1000)/($H280*$B$5),(PI()*DC$12^2)/4*(CY280*$W280*1000)/($G280*$B$5)),
IF($D280="Pénétro.",
IF($E280=4,(PI()*DC$12^2)/4*(CY280*$W280*1000)/($H280*$B$5),(PI()*DC$12^2)/4*(CY280*$W280*1000)/($G280*$B$5))))))/10</f>
        <v>#N/A</v>
      </c>
      <c r="DD280" s="102" t="e">
        <f>(VLOOKUP($B$3,'Coeff EC7'!$T$39:$X$59,2,0)*DB280+VLOOKUP($B$3,'Coeff EC7'!$T$65:$X$85,2,0)*Model0.1C!DC280)/1.1</f>
        <v>#N/A</v>
      </c>
      <c r="DE280" s="102" t="e">
        <f>(VLOOKUP($B$3,'Coeff EC7'!$T$39:$X$59,3,0)*DB280+VLOOKUP($B$3,'Coeff EC7'!$T$65:$X$85,3,0)*Model0.1C!DC280)/0.9</f>
        <v>#N/A</v>
      </c>
      <c r="DF280" s="102" t="e">
        <f t="shared" si="486"/>
        <v>#N/A</v>
      </c>
      <c r="DG280" s="102" t="e">
        <f t="shared" si="487"/>
        <v>#N/A</v>
      </c>
      <c r="DH280" s="414" t="e">
        <f>IF(DH279=0,0,IF(AND(DD280&gt;charge_ELS_quasi,DE280&gt;Charge_ELS_freq,DF280&gt;charge_ELU,DG280&gt;charge_ELA,$B280&gt;NDC!$H$22-0.1+MIN(3*$DH$12,1.5)),0,1))</f>
        <v>#N/A</v>
      </c>
      <c r="DI280" s="86" t="b">
        <f t="shared" si="455"/>
        <v>0</v>
      </c>
      <c r="DJ280" s="86">
        <f t="shared" si="456"/>
        <v>0.5</v>
      </c>
      <c r="DK280" s="86">
        <f t="shared" si="457"/>
        <v>0.5</v>
      </c>
      <c r="DL280" s="30" t="e">
        <f t="shared" ca="1" si="488"/>
        <v>#DIV/0!</v>
      </c>
      <c r="DM280" s="85" t="e">
        <f ca="1">IF(CS280&lt;=Hypothèses!$V$7,Hypothèses!$W$7,IF(CS280&lt;=Hypothèses!$V$8,Hypothèses!$W$8,IF(CS280&lt;=Hypothèses!$V$9,Hypothèses!$W$9,IF(CS280&lt;=Hypothèses!$V$10,Hypothèses!$W$10,IF(CS280&lt;=Hypothèses!$V$11,Hypothèses!$W$11,IF(CS280&lt;=Hypothèses!$V$12,Hypothèses!$W$12,IF(CS280&lt;=Hypothèses!$V$13,Hypothèses!$W$13,IF(CS280&lt;=Hypothèses!$V$14,Hypothèses!$W$14,IF(CS280&lt;=Hypothèses!$V$15,Hypothèses!$W$15,IF(CS280&lt;=Hypothèses!$V$16,Hypothèses!$W$16,IF(CS280&lt;=Hypothèses!$V$17,Hypothèses!$W$17,IF(CS280&lt;=Hypothèses!$V$18,Hypothèses!$W$18,""))))))))))))</f>
        <v>#DIV/0!</v>
      </c>
      <c r="DN280" s="87" t="e">
        <f t="shared" ca="1" si="521"/>
        <v>#DIV/0!</v>
      </c>
      <c r="DO280" s="88" t="e">
        <f ca="1">IF(CS280&lt;=Hypothèses!$V$7,Hypothèses!$X$7,IF(CS280&lt;=Hypothèses!$V$8,Hypothèses!$X$8,IF(CS280&lt;=Hypothèses!$V$9,Hypothèses!$X$9,IF(CS280&lt;=Hypothèses!$V$10,Hypothèses!$X$10,IF(CS280&lt;=Hypothèses!$V$11,Hypothèses!$X$11,IF(CS280&lt;=Hypothèses!$V$12,Hypothèses!$X$12,IF(CS280&lt;=Hypothèses!$V$13,Hypothèses!$X$13,IF(CS280&lt;=Hypothèses!$V$14,Hypothèses!$X$14,IF(CS280&lt;=Hypothèses!$V$15,Hypothèses!$X$15,IF(CS280&lt;=Hypothèses!$V$16,Hypothèses!$X$16,IF(CS280&lt;=Hypothèses!$U$17,Hypothèses!$W$17,IF(CS280&lt;=Hypothèses!$U$18,Hypothèses!$W$18,""))))))))))))</f>
        <v>#DIV/0!</v>
      </c>
      <c r="DP280" s="95" t="e">
        <f t="shared" ca="1" si="489"/>
        <v>#DIV/0!</v>
      </c>
      <c r="DQ280" s="101" t="e">
        <f t="shared" si="528"/>
        <v>#N/A</v>
      </c>
      <c r="DR280" s="91" t="e">
        <f t="shared" si="458"/>
        <v>#N/A</v>
      </c>
      <c r="DS280" s="30" t="e">
        <f t="shared" si="510"/>
        <v>#N/A</v>
      </c>
      <c r="DT280" s="30" t="e">
        <f t="shared" si="511"/>
        <v>#N/A</v>
      </c>
      <c r="DU280" s="31" t="e">
        <f>IF(OR(Hypothèses!$B$4=17,Hypothèses!$B$4=18,Hypothèses!$B$4=19,Hypothèses!$B$4=20),
IF($D280="Pressio.",
IF(OR($E280=3,$E280=1,$E280=4),DT280,DS280),
IF($D280="Pénétro.",
IF(OR($E280=3,$E280=1,$E280=4),DT280,DS280))),IF($D280="Pressio.",
IF($E280=3,DT280,DS280),
IF($D280="Pénétro.",
IF($E280=4,DT280,DS280))))</f>
        <v>#N/A</v>
      </c>
      <c r="DV280" s="31" t="e">
        <f>(IF(OR(Hypothèses!$B$4=17,Hypothèses!$B$4=18,Hypothèses!$B$4=19,Hypothèses!$B$4=20),
IF($D280="Pressio.",
IF(OR($E280=3,$E280=1,$E280=4),(PI()*DV$12^2)/4*(DR280*$W280*1000)/($H280*$B$5),(PI()*DV$12^2)/4*(DR280*$W280*1000)/($G280*$B$5)),
IF($D280="Pénétro.",
IF(OR($E280=4,$E280=1,$E280=5),(PI()*DV$12^2)/4*(DR280*$W280*1000)/($H280*$B$5),(PI()*DV$12^2)/4*(DR280*$W280*1000)/($G280*$B$5)))),
IF($D280="Pressio.",
IF($E280=3,(PI()*DV$12^2)/4*(DR280*$W280*1000)/($H280*$B$5),(PI()*DV$12^2)/4*(DR280*$W280*1000)/($G280*$B$5)),
IF($D280="Pénétro.",
IF($E280=4,(PI()*DV$12^2)/4*(DR280*$W280*1000)/($H280*$B$5),(PI()*DV$12^2)/4*(DR280*$W280*1000)/($G280*$B$5))))))/10</f>
        <v>#N/A</v>
      </c>
      <c r="DW280" s="102" t="e">
        <f>(VLOOKUP($B$3,'Coeff EC7'!$T$39:$X$59,2,0)*DU280+VLOOKUP($B$3,'Coeff EC7'!$T$65:$X$85,2,0)*Model0.1C!DV280)/1.1</f>
        <v>#N/A</v>
      </c>
      <c r="DX280" s="102" t="e">
        <f>(VLOOKUP($B$3,'Coeff EC7'!$T$39:$X$59,3,0)*DU280+VLOOKUP($B$3,'Coeff EC7'!$T$65:$X$85,3,0)*Model0.1C!DV280)/0.9</f>
        <v>#N/A</v>
      </c>
      <c r="DY280" s="102" t="e">
        <f t="shared" si="490"/>
        <v>#N/A</v>
      </c>
      <c r="DZ280" s="102" t="e">
        <f t="shared" si="491"/>
        <v>#N/A</v>
      </c>
      <c r="EA280" s="414" t="e">
        <f>IF(EA279=0,0,IF(AND(DW280&gt;charge_ELS_quasi,DX280&gt;Charge_ELS_freq,DY280&gt;charge_ELU,DZ280&gt;charge_ELA,$B280&gt;NDC!$H$22-0.1+MIN(3*$EA$12,1.5)),0,1))</f>
        <v>#N/A</v>
      </c>
      <c r="EB280" s="86" t="b">
        <f t="shared" si="459"/>
        <v>0</v>
      </c>
      <c r="EC280" s="418">
        <f t="shared" si="460"/>
        <v>0.51</v>
      </c>
      <c r="ED280" s="86">
        <f t="shared" si="461"/>
        <v>0.51</v>
      </c>
      <c r="EE280" s="30" t="e">
        <f t="shared" ca="1" si="492"/>
        <v>#DIV/0!</v>
      </c>
      <c r="EF280" s="85" t="e">
        <f ca="1">IF(DL280&lt;=Hypothèses!$V$7,Hypothèses!$W$7,IF(DL280&lt;=Hypothèses!$V$8,Hypothèses!$W$8,IF(DL280&lt;=Hypothèses!$V$9,Hypothèses!$W$9,IF(DL280&lt;=Hypothèses!$V$10,Hypothèses!$W$10,IF(DL280&lt;=Hypothèses!$V$11,Hypothèses!$W$11,IF(DL280&lt;=Hypothèses!$V$12,Hypothèses!$W$12,IF(DL280&lt;=Hypothèses!$V$13,Hypothèses!$W$13,IF(DL280&lt;=Hypothèses!$V$14,Hypothèses!$W$14,IF(DL280&lt;=Hypothèses!$V$15,Hypothèses!$W$15,IF(DL280&lt;=Hypothèses!$V$16,Hypothèses!$W$16,IF(DL280&lt;=Hypothèses!$V$17,Hypothèses!$W$17,IF(DL280&lt;=Hypothèses!$V$18,Hypothèses!$W$18,""))))))))))))</f>
        <v>#DIV/0!</v>
      </c>
      <c r="EG280" s="87" t="e">
        <f t="shared" ca="1" si="522"/>
        <v>#DIV/0!</v>
      </c>
      <c r="EH280" s="88" t="e">
        <f ca="1">IF(DL280&lt;=Hypothèses!$V$7,Hypothèses!$X$7,IF(DL280&lt;=Hypothèses!$V$8,Hypothèses!$X$8,IF(DL280&lt;=Hypothèses!$V$9,Hypothèses!$X$9,IF(DL280&lt;=Hypothèses!$V$10,Hypothèses!$X$10,IF(DL280&lt;=Hypothèses!$V$11,Hypothèses!$X$11,IF(DL280&lt;=Hypothèses!$V$12,Hypothèses!$X$12,IF(DL280&lt;=Hypothèses!$V$13,Hypothèses!$X$13,IF(DL280&lt;=Hypothèses!$V$14,Hypothèses!$X$14,IF(DL280&lt;=Hypothèses!$V$15,Hypothèses!$X$15,IF(DL280&lt;=Hypothèses!$V$16,Hypothèses!$X$16,IF(DL280&lt;=Hypothèses!$U$17,Hypothèses!$W$17,IF(DL280&lt;=Hypothèses!$U$18,Hypothèses!$W$18,""))))))))))))</f>
        <v>#DIV/0!</v>
      </c>
      <c r="EI280" s="95" t="e">
        <f t="shared" ca="1" si="493"/>
        <v>#DIV/0!</v>
      </c>
      <c r="EJ280" s="101" t="e">
        <f t="shared" si="529"/>
        <v>#N/A</v>
      </c>
      <c r="EK280" s="91" t="e">
        <f t="shared" si="462"/>
        <v>#N/A</v>
      </c>
      <c r="EL280" s="30" t="e">
        <f t="shared" si="512"/>
        <v>#N/A</v>
      </c>
      <c r="EM280" s="30" t="e">
        <f t="shared" si="513"/>
        <v>#N/A</v>
      </c>
      <c r="EN280" s="31" t="e">
        <f>IF(OR(Hypothèses!$B$4=17,Hypothèses!$B$4=18,Hypothèses!$B$4=19,Hypothèses!$B$4=20),
IF($D280="Pressio.",
IF(OR($E280=3,$E280=1,$E280=4),EM280,EL280),
IF($D280="Pénétro.",
IF(OR($E280=3,$E280=1,$E280=4),EM280,EL280))),IF($D280="Pressio.",
IF($E280=3,EM280,EL280),
IF($D280="Pénétro.",
IF($E280=4,EM280,EL280))))</f>
        <v>#N/A</v>
      </c>
      <c r="EO280" s="31" t="e">
        <f>(IF(OR(Hypothèses!$B$4=17,Hypothèses!$B$4=18,Hypothèses!$B$4=19,Hypothèses!$B$4=20),
IF($D280="Pressio.",
IF(OR($E280=3,$E280=1,$E280=4),(PI()*EO$12^2)/4*(EK280*$W280*1000)/($H280*$B$5),(PI()*EO$12^2)/4*(EK280*$W280*1000)/($G280*$B$5)),
IF($D280="Pénétro.",
IF(OR($E280=4,$E280=1,$E280=5),(PI()*EO$12^2)/4*(EK280*$W280*1000)/($H280*$B$5),(PI()*EO$12^2)/4*(EK280*$W280*1000)/($G280*$B$5)))),
IF($D280="Pressio.",
IF($E280=3,(PI()*EO$12^2)/4*(EK280*$W280*1000)/($H280*$B$5),(PI()*EO$12^2)/4*(EK280*$W280*1000)/($G280*$B$5)),
IF($D280="Pénétro.",
IF($E280=4,(PI()*EO$12^2)/4*(EK280*$W280*1000)/($H280*$B$5),(PI()*EO$12^2)/4*(EK280*$W280*1000)/($G280*$B$5))))))/10</f>
        <v>#N/A</v>
      </c>
      <c r="EP280" s="102" t="e">
        <f>(VLOOKUP($B$3,'Coeff EC7'!$T$39:$X$59,2,0)*EN280+VLOOKUP($B$3,'Coeff EC7'!$T$65:$X$85,2,0)*Model0.1C!EO280)/1.1</f>
        <v>#N/A</v>
      </c>
      <c r="EQ280" s="102" t="e">
        <f>(VLOOKUP($B$3,'Coeff EC7'!$T$39:$X$59,3,0)*EN280+VLOOKUP($B$3,'Coeff EC7'!$T$65:$X$85,3,0)*Model0.1C!EO280)/0.9</f>
        <v>#N/A</v>
      </c>
      <c r="ER280" s="102" t="e">
        <f t="shared" si="494"/>
        <v>#N/A</v>
      </c>
      <c r="ES280" s="102" t="e">
        <f t="shared" si="495"/>
        <v>#N/A</v>
      </c>
      <c r="ET280" s="414" t="e">
        <f>IF(ET279=0,0,IF(AND(EP280&gt;charge_ELS_quasi,EQ280&gt;Charge_ELS_freq,ER280&gt;charge_ELU,ES280&gt;charge_ELA,$B280&gt;NDC!$H$22-0.1+MIN(3*$ET$12,1.5)),0,1))</f>
        <v>#N/A</v>
      </c>
      <c r="EU280" s="86" t="b">
        <f t="shared" si="463"/>
        <v>0</v>
      </c>
      <c r="EV280" s="86">
        <f t="shared" si="464"/>
        <v>0.61</v>
      </c>
      <c r="EW280" s="86">
        <f t="shared" si="465"/>
        <v>0.61</v>
      </c>
      <c r="EX280" s="30" t="e">
        <f t="shared" ca="1" si="496"/>
        <v>#DIV/0!</v>
      </c>
      <c r="EY280" s="85" t="e">
        <f ca="1">IF(EE280&lt;=Hypothèses!$V$7,Hypothèses!$W$7,IF(EE280&lt;=Hypothèses!$V$8,Hypothèses!$W$8,IF(EE280&lt;=Hypothèses!$V$9,Hypothèses!$W$9,IF(EE280&lt;=Hypothèses!$V$10,Hypothèses!$W$10,IF(EE280&lt;=Hypothèses!$V$11,Hypothèses!$W$11,IF(EE280&lt;=Hypothèses!$V$12,Hypothèses!$W$12,IF(EE280&lt;=Hypothèses!$V$13,Hypothèses!$W$13,IF(EE280&lt;=Hypothèses!$V$14,Hypothèses!$W$14,IF(EE280&lt;=Hypothèses!$V$15,Hypothèses!$W$15,IF(EE280&lt;=Hypothèses!$V$16,Hypothèses!$W$16,IF(EE280&lt;=Hypothèses!$V$17,Hypothèses!$W$17,IF(EE280&lt;=Hypothèses!$V$18,Hypothèses!$W$18,""))))))))))))</f>
        <v>#DIV/0!</v>
      </c>
      <c r="EZ280" s="87" t="e">
        <f t="shared" ca="1" si="523"/>
        <v>#DIV/0!</v>
      </c>
      <c r="FA280" s="88" t="e">
        <f ca="1">IF(EE280&lt;=Hypothèses!$V$7,Hypothèses!$X$7,IF(EE280&lt;=Hypothèses!$V$8,Hypothèses!$X$8,IF(EE280&lt;=Hypothèses!$V$9,Hypothèses!$X$9,IF(EE280&lt;=Hypothèses!$V$10,Hypothèses!$X$10,IF(EE280&lt;=Hypothèses!$V$11,Hypothèses!$X$11,IF(EE280&lt;=Hypothèses!$V$12,Hypothèses!$X$12,IF(EE280&lt;=Hypothèses!$V$13,Hypothèses!$X$13,IF(EE280&lt;=Hypothèses!$V$14,Hypothèses!$X$14,IF(EE280&lt;=Hypothèses!$V$15,Hypothèses!$X$15,IF(EE280&lt;=Hypothèses!$V$16,Hypothèses!$X$16,IF(EE280&lt;=Hypothèses!$U$17,Hypothèses!$W$17,IF(EE280&lt;=Hypothèses!$U$18,Hypothèses!$W$18,""))))))))))))</f>
        <v>#DIV/0!</v>
      </c>
      <c r="FB280" s="95" t="e">
        <f t="shared" ca="1" si="497"/>
        <v>#DIV/0!</v>
      </c>
      <c r="FC280" s="101" t="e">
        <f t="shared" si="530"/>
        <v>#N/A</v>
      </c>
      <c r="FD280" s="91" t="e">
        <f t="shared" si="466"/>
        <v>#N/A</v>
      </c>
      <c r="FE280" s="30" t="e">
        <f t="shared" si="514"/>
        <v>#N/A</v>
      </c>
      <c r="FF280" s="30" t="e">
        <f t="shared" si="515"/>
        <v>#N/A</v>
      </c>
      <c r="FG280" s="31" t="e">
        <f>IF(OR(Hypothèses!$B$4=17,Hypothèses!$B$4=18,Hypothèses!$B$4=19,Hypothèses!$B$4=20),
IF($D280="Pressio.",
IF(OR($E280=3,$E280=1,$E280=4),FF280,FE280),
IF($D280="Pénétro.",
IF(OR($E280=3,$E280=1,$E280=4),FF280,FE280))),IF($D280="Pressio.",
IF($E280=3,FF280,FE280),
IF($D280="Pénétro.",
IF($E280=4,FF280,FE280))))</f>
        <v>#N/A</v>
      </c>
      <c r="FH280" s="31" t="e">
        <f>(IF(OR(Hypothèses!$B$4=17,Hypothèses!$B$4=18,Hypothèses!$B$4=19,Hypothèses!$B$4=20),
IF($D280="Pressio.",
IF(OR($E280=3,$E280=1,$E280=4),(PI()*FH$12^2)/4*(FD280*$W280*1000)/($H280*$B$5),(PI()*FH$12^2)/4*(FD280*$W280*1000)/($G280*$B$5)),
IF($D280="Pénétro.",
IF(OR($E280=4,$E280=1,$E280=5),(PI()*FH$12^2)/4*(FD280*$W280*1000)/($H280*$B$5),(PI()*FH$12^2)/4*(FD280*$W280*1000)/($G280*$B$5)))),
IF($D280="Pressio.",
IF($E280=3,(PI()*FH$12^2)/4*(FD280*$W280*1000)/($H280*$B$5),(PI()*FH$12^2)/4*(FD280*$W280*1000)/($G280*$B$5)),
IF($D280="Pénétro.",
IF($E280=4,(PI()*FH$12^2)/4*(FD280*$W280*1000)/($H280*$B$5),(PI()*FH$12^2)/4*(FD280*$W280*1000)/($G280*$B$5))))))/10</f>
        <v>#N/A</v>
      </c>
      <c r="FI280" s="102" t="e">
        <f>(VLOOKUP($B$3,'Coeff EC7'!$T$39:$X$59,2,0)*FG280+VLOOKUP($B$3,'Coeff EC7'!$T$65:$X$85,2,0)*Model0.1C!FH280)/1.1</f>
        <v>#N/A</v>
      </c>
      <c r="FJ280" s="102" t="e">
        <f>(VLOOKUP($B$3,'Coeff EC7'!$T$39:$X$59,3,0)*FG280+VLOOKUP($B$3,'Coeff EC7'!$T$65:$X$85,3,0)*Model0.1C!FH280)/0.9</f>
        <v>#N/A</v>
      </c>
      <c r="FK280" s="102" t="e">
        <f t="shared" si="498"/>
        <v>#N/A</v>
      </c>
      <c r="FL280" s="102" t="e">
        <f t="shared" si="499"/>
        <v>#N/A</v>
      </c>
      <c r="FM280" s="414" t="e">
        <f>IF(FM279=0,0,IF(AND(FI280&gt;charge_ELS_quasi,FJ280&gt;Charge_ELS_freq,FK280&gt;charge_ELU,FL280&gt;charge_ELA,$B280&gt;NDC!$H$22-0.1+MIN(3*$FM$12,1.5)),0,1))</f>
        <v>#N/A</v>
      </c>
    </row>
    <row r="281" spans="1:169">
      <c r="A281" s="96">
        <f t="shared" si="467"/>
        <v>73.200000000001523</v>
      </c>
      <c r="B281" s="97">
        <v>26.8</v>
      </c>
      <c r="C281" s="81">
        <f>IF(B281&lt;=Hypothèses!$C$7,Hypothèses!$A$7,IF(B281&lt;=Hypothèses!$C$8,Hypothèses!$A$8,IF(B281&lt;=Hypothèses!$C$9,Hypothèses!$A$9,IF(B281&lt;=Hypothèses!$C$10,Hypothèses!$A$10,IF(B281&lt;=Hypothèses!$C$11,Hypothèses!$A$11,IF(B281&lt;=Hypothèses!$C$12,Hypothèses!$A$12,IF(B281&lt;=Hypothèses!$C$13,Hypothèses!$A$13,IF(B281&lt;=Hypothèses!$C$14,Hypothèses!$A$14,IF(B281&lt;=Hypothèses!$C$15,Hypothèses!$A$15,IF(B281&lt;=Hypothèses!$C$16,Hypothèses!$A$16,IF(B281&lt;=Hypothèses!$C$17,Hypothèses!$A$17,IF(B281&lt;=Hypothèses!$C$18,Hypothèses!$A$18,C280))))))))))))</f>
        <v>11</v>
      </c>
      <c r="D281" s="82" t="str">
        <f>IF(B281&lt;=Hypothèses!$C$7,Hypothèses!$R$7,IF(B281&lt;=Hypothèses!$C$8,Hypothèses!$R$8,IF(B281&lt;=Hypothèses!$C$9,Hypothèses!$R$9,IF(B281&lt;=Hypothèses!$C$10,Hypothèses!$R$10,IF(B281&lt;=Hypothèses!$C$11,Hypothèses!$R$11,IF(B281&lt;=Hypothèses!$C$12,Hypothèses!$R$12,IF(B281&lt;=Hypothèses!$C$13,Hypothèses!$R$13,IF(B281&lt;=Hypothèses!$C$14,Hypothèses!$R$14,IF(B281&lt;=Hypothèses!$C$15,Hypothèses!$R$15,IF(B281&lt;=Hypothèses!$C$16,Hypothèses!$R$16,IF(B281&lt;=Hypothèses!$C$17,Hypothèses!$R$17,IF(B281&lt;=Hypothèses!$C$18,Hypothèses!$R$18,D280))))))))))))</f>
        <v>Pressio.</v>
      </c>
      <c r="E281" s="82" t="e">
        <f>IF(B281&lt;=Hypothèses!$C$7,Hypothèses!$G$7,IF(B281&lt;=Hypothèses!$C$8,Hypothèses!$G$8,IF(B281&lt;=Hypothèses!$C$9,Hypothèses!$G$9,IF(B281&lt;=Hypothèses!$C$10,Hypothèses!$G$10,IF(B281&lt;=Hypothèses!$C$11,Hypothèses!$G$11,IF(B281&lt;=Hypothèses!$C$12,Hypothèses!$G$12,IF(B281&lt;=Hypothèses!$C$13,Hypothèses!$G$13,IF(B281&lt;=Hypothèses!$C$14,Hypothèses!$G$14,IF(B281&lt;=Hypothèses!$C$15,Hypothèses!$G$15,IF(B281&lt;=Hypothèses!$C$16,Hypothèses!$G$16,IF(B281&lt;=Hypothèses!$C$17,Hypothèses!$G$17,IF(B281&lt;=Hypothèses!$C$18,Hypothèses!$G$18,E280))))))))))))</f>
        <v>#N/A</v>
      </c>
      <c r="F281" s="82" t="str">
        <f>IF(B281&lt;=Hypothèses!$C$7,Hypothèses!$F$7,IF(B281&lt;=Hypothèses!$C$8,Hypothèses!$F$8,IF(B281&lt;=Hypothèses!$C$9,Hypothèses!$F$9,IF(B281&lt;=Hypothèses!$C$10,Hypothèses!$F$10,IF(B281&lt;=Hypothèses!$C$11,Hypothèses!$F$11,IF(B281&lt;=Hypothèses!$C$12,Hypothèses!$F$12,IF(B281&lt;=Hypothèses!$C$13,Hypothèses!$F$13,IF(B281&lt;=Hypothèses!$C$14,Hypothèses!$F$14,IF(B281&lt;=Hypothèses!$C$15,Hypothèses!$F$15,IF(B281&lt;=Hypothèses!$C$16,Hypothèses!$F$16,IF(B281&lt;=Hypothèses!$C$17,Hypothèses!$F$17,IF(B281&lt;=Hypothèses!$C$18,Hypothèses!$F$18,F280))))))))))))</f>
        <v/>
      </c>
      <c r="G281" s="91">
        <f t="array" ref="G281">INDEX('Coeff EC7'!$U$7:$X$27,
MATCH(Model0.1C!$B$3,'Coeff EC7'!$T$7:$T$27,0),
MATCH(Model0.1C!$D281&amp;Model0.1C!$B$4,
'Coeff EC7'!$U$6:$X$6&amp;
'Coeff EC7'!$U$5:$X$5,0))</f>
        <v>1.1499999999999999</v>
      </c>
      <c r="H281" s="91">
        <f t="array" ref="H281">INDEX('Coeff EC7'!$Y$7:$AB$27,
MATCH(Model0.1C!$B$3,'Coeff EC7'!$T$7:$T$27,0),
MATCH(Model0.1C!$D281&amp;Model0.1C!$B$4,
'Coeff EC7'!$Y$6:$AB$6&amp;
'Coeff EC7'!$Y$5:$AB$5,0))</f>
        <v>1.4</v>
      </c>
      <c r="I281" s="83" t="e">
        <f>IF(B281&lt;=Hypothèses!$C$7,Hypothèses!$P$7,IF(B281&lt;=Hypothèses!$C$8,Hypothèses!$P$8,IF(B281&lt;=Hypothèses!$C$9,Hypothèses!$P$9,IF(B281&lt;=Hypothèses!$C$10,Hypothèses!$P$10,IF(B281&lt;=Hypothèses!$C$11,Hypothèses!$P$11,IF(B281&lt;=Hypothèses!$C$12,Hypothèses!$P$12,IF(B281&lt;=Hypothèses!$C$13,Hypothèses!$P$13,IF(B281&lt;=Hypothèses!$C$14,Hypothèses!$P$14,IF(B281&lt;=Hypothèses!$C$15,Hypothèses!$P$15,IF(B281&lt;=Hypothèses!$C$16,Hypothèses!$P$16,IF(B281&lt;=Hypothèses!$C$17,Hypothèses!$P$17,IF(B281&lt;=Hypothèses!$C$18,Hypothèses!$P$18,I280))))))))))))</f>
        <v>#N/A</v>
      </c>
      <c r="J281" s="91" t="e">
        <f t="array" ref="J281">INDEX('Coeff EC7'!$D$33:$Q$33,1,MATCH(D281&amp;E281,'Coeff EC7'!$D$31:$Q$31&amp;'Coeff EC7'!$D$32:$Q$32,0))</f>
        <v>#N/A</v>
      </c>
      <c r="K281" s="91" t="e">
        <f t="array" ref="K281">INDEX('Coeff EC7'!$D$34:$Q$34,1,MATCH(D281&amp;E281,'Coeff EC7'!$D$31:$Q$31&amp;'Coeff EC7'!$D$32:$Q$32,0))</f>
        <v>#N/A</v>
      </c>
      <c r="L281" s="91" t="e">
        <f t="array" ref="L281">INDEX('Coeff EC7'!$D$35:$Q$35,1,MATCH(D281&amp;E281,'Coeff EC7'!$D$31:$Q$31&amp;'Coeff EC7'!$D$32:$Q$32,0))</f>
        <v>#N/A</v>
      </c>
      <c r="M281" s="98" t="e">
        <f t="shared" si="431"/>
        <v>#N/A</v>
      </c>
      <c r="N281" s="99" t="e">
        <f t="array" ref="N281">INDEX('Coeff EC7'!$D$7:$Q$27,MATCH($B$3,'Coeff EC7'!$C$7:$C$27,0),MATCH(D281&amp;E281,'Coeff EC7'!$D$5:$Q$5&amp;'Coeff EC7'!$D$6:$Q$6,0))</f>
        <v>#N/A</v>
      </c>
      <c r="O281" s="99" t="e">
        <f t="array" ref="O281">INDEX('Coeff EC7'!$D$41:$Q$61,MATCH($B$3,'Coeff EC7'!$C$41:$C$61,0),MATCH(D281&amp;E281,'Coeff EC7'!$D$39:$Q$39&amp;'Coeff EC7'!$D$40:$Q$40,0))</f>
        <v>#N/A</v>
      </c>
      <c r="P281" s="30" t="e">
        <f t="shared" si="468"/>
        <v>#N/A</v>
      </c>
      <c r="Q281" s="100" t="e">
        <f t="shared" si="433"/>
        <v>#N/A</v>
      </c>
      <c r="R281" s="86" t="b">
        <f t="shared" si="434"/>
        <v>0</v>
      </c>
      <c r="S281" s="86">
        <f t="shared" si="432"/>
        <v>0.5</v>
      </c>
      <c r="T281" s="86">
        <f t="shared" si="435"/>
        <v>0.5</v>
      </c>
      <c r="U281" s="30" t="e">
        <f t="shared" ca="1" si="469"/>
        <v>#DIV/0!</v>
      </c>
      <c r="V281" s="85" t="str">
        <f>IF(B281&lt;=Hypothèses!$V$7,Hypothèses!$W$7,IF(B281&lt;=Hypothèses!$V$8,Hypothèses!$W$8,IF(B281&lt;=Hypothèses!$V$9,Hypothèses!$W$9,IF(B281&lt;=Hypothèses!$V$10,Hypothèses!$W$10,IF(B281&lt;=Hypothèses!$V$11,Hypothèses!$W$11,IF(B281&lt;=Hypothèses!$V$12,Hypothèses!$W$12,IF(B281&lt;=Hypothèses!$V$13,Hypothèses!$W$13,IF(B281&lt;=Hypothèses!$V$14,Hypothèses!$W$14,IF(B281&lt;=Hypothèses!$V$15,Hypothèses!$W$15,IF(B281&lt;=Hypothèses!$V$16,Hypothèses!$W$16,IF(B281&lt;=Hypothèses!$V$17,Hypothèses!$W$17,IF(B281&lt;=Hypothèses!$V$18,Hypothèses!$W$18,""))))))))))))</f>
        <v/>
      </c>
      <c r="W281" s="87" t="e">
        <f t="shared" ca="1" si="516"/>
        <v>#DIV/0!</v>
      </c>
      <c r="X281" s="88" t="str">
        <f>IF(B281&lt;=Hypothèses!$V$7,Hypothèses!$X$7,IF(B281&lt;=Hypothèses!$V$8,Hypothèses!$X$8,IF(B281&lt;=Hypothèses!$V$9,Hypothèses!$X$9,IF(B281&lt;=Hypothèses!$V$10,Hypothèses!$X$10,IF(B281&lt;=Hypothèses!$V$11,Hypothèses!$X$11,IF(B281&lt;=Hypothèses!$V$12,Hypothèses!$X$12,IF(B281&lt;=Hypothèses!$V$13,Hypothèses!$X$13,IF(B281&lt;=Hypothèses!$V$14,Hypothèses!$X$14,IF(B281&lt;=Hypothèses!$V$15,Hypothèses!$X$15,IF(B281&lt;=Hypothèses!$V$16,Hypothèses!$X$16,IF(B281&lt;=Hypothèses!$U$17,Hypothèses!$W$17,IF(B281&lt;=Hypothèses!$U$18,Hypothèses!$W$18,""))))))))))))</f>
        <v/>
      </c>
      <c r="Y281" s="95" t="e">
        <f t="shared" ca="1" si="436"/>
        <v>#DIV/0!</v>
      </c>
      <c r="Z281" s="101" t="e">
        <f t="shared" si="437"/>
        <v>#N/A</v>
      </c>
      <c r="AA281" s="91" t="e">
        <f t="shared" si="438"/>
        <v>#N/A</v>
      </c>
      <c r="AB281" s="30" t="e">
        <f t="shared" si="500"/>
        <v>#N/A</v>
      </c>
      <c r="AC281" s="30" t="e">
        <f t="shared" si="501"/>
        <v>#N/A</v>
      </c>
      <c r="AD281" s="31" t="e">
        <f>IF(OR(Hypothèses!$B$4=17,Hypothèses!$B$4=18,Hypothèses!$B$4=19,Hypothèses!$B$4=20),
IF($D281="Pressio.",
IF(OR($E281=3,$E281=1,$E281=4),AC281,AB281),
IF($D281="Pénétro.",
IF(OR($E281=3,$E281=1,$E281=4),AC281,AB281))),IF($D281="Pressio.",
IF($E281=3,AC281,AB281),
IF($D281="Pénétro.",
IF($E281=4,AC281,AB281))))</f>
        <v>#N/A</v>
      </c>
      <c r="AE281" s="31" t="e">
        <f>(IF(OR(Hypothèses!$B$4=17,Hypothèses!$B$4=18,Hypothèses!$B$4=19,Hypothèses!$B$4=20),
IF($D281="Pressio.",
IF(OR($E281=3,$E281=1,$E281=4),(PI()*AE$12^2)/4*(AA281*$W281*1000)/($H281*$B$5),(PI()*AE$12^2)/4*(AA281*$W281*1000)/($G281*$B$5)),
IF($D281="Pénétro.",
IF(OR($E281=4,$E281=1,$E281=5),(PI()*AE$12^2)/4*(AA281*$W281*1000)/($H281*$B$5),(PI()*AE$12^2)/4*(AA281*$W281*1000)/($G281*$B$5)))),
IF($D281="Pressio.",
IF($E281=3,(PI()*AE$12^2)/4*(AA281*$W281*1000)/($H281*$B$5),(PI()*AE$12^2)/4*(AA281*$W281*1000)/($G281*$B$5)),
IF($D281="Pénétro.",
IF($E281=4,(PI()*AE$12^2)/4*(AA281*$W281*1000)/($H281*$B$5),(PI()*AE$12^2)/4*(AA281*$W281*1000)/($G281*$B$5))))))/10</f>
        <v>#N/A</v>
      </c>
      <c r="AF281" s="102" t="e">
        <f>(VLOOKUP($B$3,'Coeff EC7'!$T$39:$X$59,2,0)*AD281+VLOOKUP($B$3,'Coeff EC7'!$T$65:$X$85,2,0)*Model0.1C!AE281)/1.1</f>
        <v>#N/A</v>
      </c>
      <c r="AG281" s="102" t="e">
        <f>(VLOOKUP($B$3,'Coeff EC7'!$T$39:$X$59,3,0)*AD281+VLOOKUP($B$3,'Coeff EC7'!$T$65:$X$85,3,0)*Model0.1C!AE281)/0.9</f>
        <v>#N/A</v>
      </c>
      <c r="AH281" s="102" t="e">
        <f t="shared" si="439"/>
        <v>#N/A</v>
      </c>
      <c r="AI281" s="102" t="e">
        <f t="shared" si="440"/>
        <v>#N/A</v>
      </c>
      <c r="AJ281" s="414" t="e">
        <f>IF(AJ280=0,0,IF(AND(AF281&gt;charge_ELS_quasi,AG281&gt;Charge_ELS_freq,AH281&gt;charge_ELU,AI281&gt;charge_ELA,$B281&gt;NDC!$H$22-0.1+MIN(3*$AJ$12,1.5)),0,1))</f>
        <v>#N/A</v>
      </c>
      <c r="AK281" s="86" t="b">
        <f t="shared" si="441"/>
        <v>0</v>
      </c>
      <c r="AL281" s="86">
        <f t="shared" si="470"/>
        <v>0.5</v>
      </c>
      <c r="AM281" s="86">
        <f t="shared" si="442"/>
        <v>0.5</v>
      </c>
      <c r="AN281" s="30" t="e">
        <f t="shared" ca="1" si="471"/>
        <v>#DIV/0!</v>
      </c>
      <c r="AO281" s="85" t="e">
        <f ca="1">IF(U281&lt;=Hypothèses!$V$7,Hypothèses!$W$7,IF(U281&lt;=Hypothèses!$V$8,Hypothèses!$W$8,IF(U281&lt;=Hypothèses!$V$9,Hypothèses!$W$9,IF(U281&lt;=Hypothèses!$V$10,Hypothèses!$W$10,IF(U281&lt;=Hypothèses!$V$11,Hypothèses!$W$11,IF(U281&lt;=Hypothèses!$V$12,Hypothèses!$W$12,IF(U281&lt;=Hypothèses!$V$13,Hypothèses!$W$13,IF(U281&lt;=Hypothèses!$V$14,Hypothèses!$W$14,IF(U281&lt;=Hypothèses!$V$15,Hypothèses!$W$15,IF(U281&lt;=Hypothèses!$V$16,Hypothèses!$W$16,IF(U281&lt;=Hypothèses!$V$17,Hypothèses!$W$17,IF(U281&lt;=Hypothèses!$V$18,Hypothèses!$W$18,""))))))))))))</f>
        <v>#DIV/0!</v>
      </c>
      <c r="AP281" s="87" t="e">
        <f t="shared" ca="1" si="517"/>
        <v>#DIV/0!</v>
      </c>
      <c r="AQ281" s="88" t="e">
        <f ca="1">IF(U281&lt;=Hypothèses!$V$7,Hypothèses!$X$7,IF(U281&lt;=Hypothèses!$V$8,Hypothèses!$X$8,IF(U281&lt;=Hypothèses!$V$9,Hypothèses!$X$9,IF(U281&lt;=Hypothèses!$V$10,Hypothèses!$X$10,IF(U281&lt;=Hypothèses!$V$11,Hypothèses!$X$11,IF(U281&lt;=Hypothèses!$V$12,Hypothèses!$X$12,IF(U281&lt;=Hypothèses!$V$13,Hypothèses!$X$13,IF(U281&lt;=Hypothèses!$V$14,Hypothèses!$X$14,IF(U281&lt;=Hypothèses!$V$15,Hypothèses!$X$15,IF(U281&lt;=Hypothèses!$V$16,Hypothèses!$X$16,IF(U281&lt;=Hypothèses!$U$17,Hypothèses!$W$17,IF(U281&lt;=Hypothèses!$U$18,Hypothèses!$W$18,""))))))))))))</f>
        <v>#DIV/0!</v>
      </c>
      <c r="AR281" s="95" t="e">
        <f t="shared" ca="1" si="472"/>
        <v>#DIV/0!</v>
      </c>
      <c r="AS281" s="101" t="e">
        <f t="shared" si="524"/>
        <v>#N/A</v>
      </c>
      <c r="AT281" s="91" t="e">
        <f t="shared" si="443"/>
        <v>#N/A</v>
      </c>
      <c r="AU281" s="30" t="e">
        <f t="shared" si="502"/>
        <v>#N/A</v>
      </c>
      <c r="AV281" s="30" t="e">
        <f t="shared" si="503"/>
        <v>#N/A</v>
      </c>
      <c r="AW281" s="31" t="e">
        <f>IF(OR(Hypothèses!$B$4=17,Hypothèses!$B$4=18,Hypothèses!$B$4=19,Hypothèses!$B$4=20),
IF($D281="Pressio.",
IF(OR($E281=3,$E281=1,$E281=4),AV281,AU281),
IF($D281="Pénétro.",
IF(OR($E281=3,$E281=1,$E281=4),AV281,AU281))),IF($D281="Pressio.",
IF($E281=3,AV281,AU281),
IF($D281="Pénétro.",
IF($E281=4,AV281,AU281))))</f>
        <v>#N/A</v>
      </c>
      <c r="AX281" s="31" t="e">
        <f>(IF(OR(Hypothèses!$B$4=17,Hypothèses!$B$4=18,Hypothèses!$B$4=19,Hypothèses!$B$4=20),
IF($D281="Pressio.",
IF(OR($E281=3,$E281=1,$E281=4),(PI()*AX$12^2)/4*(AT281*$W281*1000)/($H281*$B$5),(PI()*AX$12^2)/4*(AT281*$W281*1000)/($G281*$B$5)),
IF($D281="Pénétro.",
IF(OR($E281=4,$E281=1,$E281=5),(PI()*AX$12^2)/4*(AT281*$W281*1000)/($H281*$B$5),(PI()*AX$12^2)/4*(AT281*$W281*1000)/($G281*$B$5)))),
IF($D281="Pressio.",
IF($E281=3,(PI()*AX$12^2)/4*(AT281*$W281*1000)/($H281*$B$5),(PI()*AX$12^2)/4*(AT281*$W281*1000)/($G281*$B$5)),
IF($D281="Pénétro.",
IF($E281=4,(PI()*AX$12^2)/4*(AT281*$W281*1000)/($H281*$B$5),(PI()*AX$12^2)/4*(AT281*$W281*1000)/($G281*$B$5))))))/10</f>
        <v>#N/A</v>
      </c>
      <c r="AY281" s="102" t="e">
        <f>(VLOOKUP($B$3,'Coeff EC7'!$T$39:$X$59,2,0)*AW281+VLOOKUP($B$3,'Coeff EC7'!$T$65:$X$85,2,0)*Model0.1C!AX281)/1.1</f>
        <v>#N/A</v>
      </c>
      <c r="AZ281" s="102" t="e">
        <f>(VLOOKUP($B$3,'Coeff EC7'!$T$39:$X$59,3,0)*AW281+VLOOKUP($B$3,'Coeff EC7'!$T$65:$X$85,3,0)*Model0.1C!AX281)/0.9</f>
        <v>#N/A</v>
      </c>
      <c r="BA281" s="102" t="e">
        <f t="shared" si="473"/>
        <v>#N/A</v>
      </c>
      <c r="BB281" s="102" t="e">
        <f t="shared" si="474"/>
        <v>#N/A</v>
      </c>
      <c r="BC281" s="414" t="e">
        <f>IF(BC280=0,0,IF(AND(AY281&gt;charge_ELS_quasi,AZ281&gt;Charge_ELS_freq,BA281&gt;charge_ELU,BB281&gt;charge_ELA,$B281&gt;NDC!$H$22-0.1+MIN(3*$BC$12,1.5)),0,1))</f>
        <v>#N/A</v>
      </c>
      <c r="BD281" s="86" t="b">
        <f t="shared" si="444"/>
        <v>0</v>
      </c>
      <c r="BE281" s="86">
        <f t="shared" si="475"/>
        <v>0.5</v>
      </c>
      <c r="BF281" s="86">
        <f t="shared" si="445"/>
        <v>0.5</v>
      </c>
      <c r="BG281" s="30" t="e">
        <f t="shared" ca="1" si="476"/>
        <v>#DIV/0!</v>
      </c>
      <c r="BH281" s="85" t="e">
        <f ca="1">IF(AN281&lt;=Hypothèses!$V$7,Hypothèses!$W$7,IF(AN281&lt;=Hypothèses!$V$8,Hypothèses!$W$8,IF(AN281&lt;=Hypothèses!$V$9,Hypothèses!$W$9,IF(AN281&lt;=Hypothèses!$V$10,Hypothèses!$W$10,IF(AN281&lt;=Hypothèses!$V$11,Hypothèses!$W$11,IF(AN281&lt;=Hypothèses!$V$12,Hypothèses!$W$12,IF(AN281&lt;=Hypothèses!$V$13,Hypothèses!$W$13,IF(AN281&lt;=Hypothèses!$V$14,Hypothèses!$W$14,IF(AN281&lt;=Hypothèses!$V$15,Hypothèses!$W$15,IF(AN281&lt;=Hypothèses!$V$16,Hypothèses!$W$16,IF(AN281&lt;=Hypothèses!$V$17,Hypothèses!$W$17,IF(AN281&lt;=Hypothèses!$V$18,Hypothèses!$W$18,""))))))))))))</f>
        <v>#DIV/0!</v>
      </c>
      <c r="BI281" s="87" t="e">
        <f t="shared" ca="1" si="518"/>
        <v>#DIV/0!</v>
      </c>
      <c r="BJ281" s="88" t="e">
        <f ca="1">IF(AN281&lt;=Hypothèses!$V$7,Hypothèses!$X$7,IF(AN281&lt;=Hypothèses!$V$8,Hypothèses!$X$8,IF(AN281&lt;=Hypothèses!$V$9,Hypothèses!$X$9,IF(AN281&lt;=Hypothèses!$V$10,Hypothèses!$X$10,IF(AN281&lt;=Hypothèses!$V$11,Hypothèses!$X$11,IF(AN281&lt;=Hypothèses!$V$12,Hypothèses!$X$12,IF(AN281&lt;=Hypothèses!$V$13,Hypothèses!$X$13,IF(AN281&lt;=Hypothèses!$V$14,Hypothèses!$X$14,IF(AN281&lt;=Hypothèses!$V$15,Hypothèses!$X$15,IF(AN281&lt;=Hypothèses!$V$16,Hypothèses!$X$16,IF(AN281&lt;=Hypothèses!$U$17,Hypothèses!$W$17,IF(AN281&lt;=Hypothèses!$U$18,Hypothèses!$W$18,""))))))))))))</f>
        <v>#DIV/0!</v>
      </c>
      <c r="BK281" s="95" t="e">
        <f t="shared" ca="1" si="477"/>
        <v>#DIV/0!</v>
      </c>
      <c r="BL281" s="101" t="e">
        <f t="shared" si="525"/>
        <v>#N/A</v>
      </c>
      <c r="BM281" s="91" t="e">
        <f t="shared" si="446"/>
        <v>#N/A</v>
      </c>
      <c r="BN281" s="30" t="e">
        <f t="shared" si="504"/>
        <v>#N/A</v>
      </c>
      <c r="BO281" s="30" t="e">
        <f t="shared" si="505"/>
        <v>#N/A</v>
      </c>
      <c r="BP281" s="31" t="e">
        <f>IF(OR(Hypothèses!$B$4=17,Hypothèses!$B$4=18,Hypothèses!$B$4=19,Hypothèses!$B$4=20),
IF($D281="Pressio.",
IF(OR($E281=3,$E281=1,$E281=4),BO281,BN281),
IF($D281="Pénétro.",
IF(OR($E281=3,$E281=1,$E281=4),BO281,BN281))),IF($D281="Pressio.",
IF($E281=3,BO281,BN281),
IF($D281="Pénétro.",
IF($E281=4,BO281,BN281))))</f>
        <v>#N/A</v>
      </c>
      <c r="BQ281" s="31" t="e">
        <f>(IF(OR(Hypothèses!$B$4=17,Hypothèses!$B$4=18,Hypothèses!$B$4=19,Hypothèses!$B$4=20),
IF($D281="Pressio.",
IF(OR($E281=3,$E281=1,$E281=4),(PI()*BQ$12^2)/4*(BM281*$W281*1000)/($H281*$B$5),(PI()*BQ$12^2)/4*(BM281*$W281*1000)/($G281*$B$5)),
IF($D281="Pénétro.",
IF(OR($E281=4,$E281=1,$E281=5),(PI()*BQ$12^2)/4*(BM281*$W281*1000)/($H281*$B$5),(PI()*BQ$12^2)/4*(BM281*$W281*1000)/($G281*$B$5)))),
IF($D281="Pressio.",
IF($E281=3,(PI()*BQ$12^2)/4*(BM281*$W281*1000)/($H281*$B$5),(PI()*BQ$12^2)/4*(BM281*$W281*1000)/($G281*$B$5)),
IF($D281="Pénétro.",
IF($E281=4,(PI()*BQ$12^2)/4*(BM281*$W281*1000)/($H281*$B$5),(PI()*BQ$12^2)/4*(BM281*$W281*1000)/($G281*$B$5))))))/10</f>
        <v>#N/A</v>
      </c>
      <c r="BR281" s="102" t="e">
        <f>(VLOOKUP($B$3,'Coeff EC7'!$T$39:$X$59,2,0)*BP281+VLOOKUP($B$3,'Coeff EC7'!$T$65:$X$85,2,0)*Model0.1C!BQ281)/1.1</f>
        <v>#N/A</v>
      </c>
      <c r="BS281" s="102" t="e">
        <f>(VLOOKUP($B$3,'Coeff EC7'!$T$39:$X$59,3,0)*BP281+VLOOKUP($B$3,'Coeff EC7'!$T$65:$X$85,3,0)*Model0.1C!BQ281)/0.9</f>
        <v>#N/A</v>
      </c>
      <c r="BT281" s="102" t="e">
        <f t="shared" si="478"/>
        <v>#N/A</v>
      </c>
      <c r="BU281" s="102" t="e">
        <f t="shared" si="479"/>
        <v>#N/A</v>
      </c>
      <c r="BV281" s="414" t="e">
        <f>IF(BV280=0,0,IF(AND(BR281&gt;charge_ELS_quasi,BS281&gt;Charge_ELS_freq,BT281&gt;charge_ELU,BU281&gt;charge_ELA,$B281&gt;NDC!$H$22-0.1+MIN(3*$BV$12,1.5)),0,1))</f>
        <v>#N/A</v>
      </c>
      <c r="BW281" s="86" t="b">
        <f t="shared" si="447"/>
        <v>0</v>
      </c>
      <c r="BX281" s="86">
        <f t="shared" si="448"/>
        <v>0.5</v>
      </c>
      <c r="BY281" s="86">
        <f t="shared" si="449"/>
        <v>0.5</v>
      </c>
      <c r="BZ281" s="30" t="e">
        <f t="shared" ca="1" si="480"/>
        <v>#DIV/0!</v>
      </c>
      <c r="CA281" s="85" t="e">
        <f ca="1">IF(BG281&lt;=Hypothèses!$V$7,Hypothèses!$W$7,IF(BG281&lt;=Hypothèses!$V$8,Hypothèses!$W$8,IF(BG281&lt;=Hypothèses!$V$9,Hypothèses!$W$9,IF(BG281&lt;=Hypothèses!$V$10,Hypothèses!$W$10,IF(BG281&lt;=Hypothèses!$V$11,Hypothèses!$W$11,IF(BG281&lt;=Hypothèses!$V$12,Hypothèses!$W$12,IF(BG281&lt;=Hypothèses!$V$13,Hypothèses!$W$13,IF(BG281&lt;=Hypothèses!$V$14,Hypothèses!$W$14,IF(BG281&lt;=Hypothèses!$V$15,Hypothèses!$W$15,IF(BG281&lt;=Hypothèses!$V$16,Hypothèses!$W$16,IF(BG281&lt;=Hypothèses!$V$17,Hypothèses!$W$17,IF(BG281&lt;=Hypothèses!$V$18,Hypothèses!$W$18,""))))))))))))</f>
        <v>#DIV/0!</v>
      </c>
      <c r="CB281" s="87" t="e">
        <f t="shared" ca="1" si="519"/>
        <v>#DIV/0!</v>
      </c>
      <c r="CC281" s="88" t="e">
        <f ca="1">IF(BG281&lt;=Hypothèses!$V$7,Hypothèses!$X$7,IF(BG281&lt;=Hypothèses!$V$8,Hypothèses!$X$8,IF(BG281&lt;=Hypothèses!$V$9,Hypothèses!$X$9,IF(BG281&lt;=Hypothèses!$V$10,Hypothèses!$X$10,IF(BG281&lt;=Hypothèses!$V$11,Hypothèses!$X$11,IF(BG281&lt;=Hypothèses!$V$12,Hypothèses!$X$12,IF(BG281&lt;=Hypothèses!$V$13,Hypothèses!$X$13,IF(BG281&lt;=Hypothèses!$V$14,Hypothèses!$X$14,IF(BG281&lt;=Hypothèses!$V$15,Hypothèses!$X$15,IF(BG281&lt;=Hypothèses!$V$16,Hypothèses!$X$16,IF(BG281&lt;=Hypothèses!$U$17,Hypothèses!$W$17,IF(BG281&lt;=Hypothèses!$U$18,Hypothèses!$W$18,""))))))))))))</f>
        <v>#DIV/0!</v>
      </c>
      <c r="CD281" s="95" t="e">
        <f t="shared" ca="1" si="481"/>
        <v>#DIV/0!</v>
      </c>
      <c r="CE281" s="101" t="e">
        <f t="shared" si="526"/>
        <v>#N/A</v>
      </c>
      <c r="CF281" s="91" t="e">
        <f t="shared" si="450"/>
        <v>#N/A</v>
      </c>
      <c r="CG281" s="30" t="e">
        <f t="shared" si="506"/>
        <v>#N/A</v>
      </c>
      <c r="CH281" s="30" t="e">
        <f t="shared" si="507"/>
        <v>#N/A</v>
      </c>
      <c r="CI281" s="31" t="e">
        <f>IF(OR(Hypothèses!$B$4=17,Hypothèses!$B$4=18,Hypothèses!$B$4=19,Hypothèses!$B$4=20),
IF($D281="Pressio.",
IF(OR($E281=3,$E281=1,$E281=4),CH281,CG281),
IF($D281="Pénétro.",
IF(OR($E281=3,$E281=1,$E281=4),CH281,CG281))),IF($D281="Pressio.",
IF($E281=3,CH281,CG281),
IF($D281="Pénétro.",
IF($E281=4,CH281,CG281))))</f>
        <v>#N/A</v>
      </c>
      <c r="CJ281" s="31" t="e">
        <f>(IF(OR(Hypothèses!$B$4=17,Hypothèses!$B$4=18,Hypothèses!$B$4=19,Hypothèses!$B$4=20),
IF($D281="Pressio.",
IF(OR($E281=3,$E281=1,$E281=4),(PI()*CJ$12^2)/4*(CF281*$W281*1000)/($H281*$B$5),(PI()*CJ$12^2)/4*(CF281*$W281*1000)/($G281*$B$5)),
IF($D281="Pénétro.",
IF(OR($E281=4,$E281=1,$E281=5),(PI()*CJ$12^2)/4*(CF281*$W281*1000)/($H281*$B$5),(PI()*CJ$12^2)/4*(CF281*$W281*1000)/($G281*$B$5)))),
IF($D281="Pressio.",
IF($E281=3,(PI()*CJ$12^2)/4*(CF281*$W281*1000)/($H281*$B$5),(PI()*CJ$12^2)/4*(CF281*$W281*1000)/($G281*$B$5)),
IF($D281="Pénétro.",
IF($E281=4,(PI()*CJ$12^2)/4*(CF281*$W281*1000)/($H281*$B$5),(PI()*CJ$12^2)/4*(CF281*$W281*1000)/($G281*$B$5))))))/10</f>
        <v>#N/A</v>
      </c>
      <c r="CK281" s="102" t="e">
        <f>(VLOOKUP($B$3,'Coeff EC7'!$T$39:$X$59,2,0)*CI281+VLOOKUP($B$3,'Coeff EC7'!$T$65:$X$85,2,0)*Model0.1C!CJ281)/1.1</f>
        <v>#N/A</v>
      </c>
      <c r="CL281" s="102" t="e">
        <f>(VLOOKUP($B$3,'Coeff EC7'!$T$39:$X$59,3,0)*CI281+VLOOKUP($B$3,'Coeff EC7'!$T$65:$X$85,3,0)*Model0.1C!CJ281)/0.9</f>
        <v>#N/A</v>
      </c>
      <c r="CM281" s="102" t="e">
        <f t="shared" si="482"/>
        <v>#N/A</v>
      </c>
      <c r="CN281" s="102" t="e">
        <f t="shared" si="483"/>
        <v>#N/A</v>
      </c>
      <c r="CO281" s="414" t="e">
        <f>IF(CO280=0,0,IF(AND(CK281&gt;charge_ELS_quasi,CL281&gt;Charge_ELS_freq,CM281&gt;charge_ELU,CN281&gt;charge_ELA,$B281&gt;NDC!$H$22-0.1+MIN(3*$CO$12,1.5)),0,1))</f>
        <v>#N/A</v>
      </c>
      <c r="CP281" s="86" t="b">
        <f t="shared" si="451"/>
        <v>0</v>
      </c>
      <c r="CQ281" s="86">
        <f t="shared" si="452"/>
        <v>0.5</v>
      </c>
      <c r="CR281" s="86">
        <f t="shared" si="453"/>
        <v>0.5</v>
      </c>
      <c r="CS281" s="30" t="e">
        <f t="shared" ca="1" si="484"/>
        <v>#DIV/0!</v>
      </c>
      <c r="CT281" s="85" t="e">
        <f ca="1">IF(BZ281&lt;=Hypothèses!$V$7,Hypothèses!$W$7,IF(BZ281&lt;=Hypothèses!$V$8,Hypothèses!$W$8,IF(BZ281&lt;=Hypothèses!$V$9,Hypothèses!$W$9,IF(BZ281&lt;=Hypothèses!$V$10,Hypothèses!$W$10,IF(BZ281&lt;=Hypothèses!$V$11,Hypothèses!$W$11,IF(BZ281&lt;=Hypothèses!$V$12,Hypothèses!$W$12,IF(BZ281&lt;=Hypothèses!$V$13,Hypothèses!$W$13,IF(BZ281&lt;=Hypothèses!$V$14,Hypothèses!$W$14,IF(BZ281&lt;=Hypothèses!$V$15,Hypothèses!$W$15,IF(BZ281&lt;=Hypothèses!$V$16,Hypothèses!$W$16,IF(BZ281&lt;=Hypothèses!$V$17,Hypothèses!$W$17,IF(BZ281&lt;=Hypothèses!$V$18,Hypothèses!$W$18,""))))))))))))</f>
        <v>#DIV/0!</v>
      </c>
      <c r="CU281" s="87" t="e">
        <f t="shared" ca="1" si="520"/>
        <v>#DIV/0!</v>
      </c>
      <c r="CV281" s="88" t="e">
        <f ca="1">IF(BZ281&lt;=Hypothèses!$V$7,Hypothèses!$X$7,IF(BZ281&lt;=Hypothèses!$V$8,Hypothèses!$X$8,IF(BZ281&lt;=Hypothèses!$V$9,Hypothèses!$X$9,IF(BZ281&lt;=Hypothèses!$V$10,Hypothèses!$X$10,IF(BZ281&lt;=Hypothèses!$V$11,Hypothèses!$X$11,IF(BZ281&lt;=Hypothèses!$V$12,Hypothèses!$X$12,IF(BZ281&lt;=Hypothèses!$V$13,Hypothèses!$X$13,IF(BZ281&lt;=Hypothèses!$V$14,Hypothèses!$X$14,IF(BZ281&lt;=Hypothèses!$V$15,Hypothèses!$X$15,IF(BZ281&lt;=Hypothèses!$V$16,Hypothèses!$X$16,IF(BZ281&lt;=Hypothèses!$U$17,Hypothèses!$W$17,IF(BZ281&lt;=Hypothèses!$U$18,Hypothèses!$W$18,""))))))))))))</f>
        <v>#DIV/0!</v>
      </c>
      <c r="CW281" s="95" t="e">
        <f t="shared" ca="1" si="485"/>
        <v>#DIV/0!</v>
      </c>
      <c r="CX281" s="101" t="e">
        <f t="shared" si="527"/>
        <v>#N/A</v>
      </c>
      <c r="CY281" s="91" t="e">
        <f t="shared" si="454"/>
        <v>#N/A</v>
      </c>
      <c r="CZ281" s="30" t="e">
        <f t="shared" si="508"/>
        <v>#N/A</v>
      </c>
      <c r="DA281" s="30" t="e">
        <f t="shared" si="509"/>
        <v>#N/A</v>
      </c>
      <c r="DB281" s="31" t="e">
        <f>IF(OR(Hypothèses!$B$4=17,Hypothèses!$B$4=18,Hypothèses!$B$4=19,Hypothèses!$B$4=20),
IF($D281="Pressio.",
IF(OR($E281=3,$E281=1,$E281=4),DA281,CZ281),
IF($D281="Pénétro.",
IF(OR($E281=3,$E281=1,$E281=4),DA281,CZ281))),IF($D281="Pressio.",
IF($E281=3,DA281,CZ281),
IF($D281="Pénétro.",
IF($E281=4,DA281,CZ281))))</f>
        <v>#N/A</v>
      </c>
      <c r="DC281" s="31" t="e">
        <f>(IF(OR(Hypothèses!$B$4=17,Hypothèses!$B$4=18,Hypothèses!$B$4=19,Hypothèses!$B$4=20),
IF($D281="Pressio.",
IF(OR($E281=3,$E281=1,$E281=4),(PI()*DC$12^2)/4*(CY281*$W281*1000)/($H281*$B$5),(PI()*DC$12^2)/4*(CY281*$W281*1000)/($G281*$B$5)),
IF($D281="Pénétro.",
IF(OR($E281=4,$E281=1,$E281=5),(PI()*DC$12^2)/4*(CY281*$W281*1000)/($H281*$B$5),(PI()*DC$12^2)/4*(CY281*$W281*1000)/($G281*$B$5)))),
IF($D281="Pressio.",
IF($E281=3,(PI()*DC$12^2)/4*(CY281*$W281*1000)/($H281*$B$5),(PI()*DC$12^2)/4*(CY281*$W281*1000)/($G281*$B$5)),
IF($D281="Pénétro.",
IF($E281=4,(PI()*DC$12^2)/4*(CY281*$W281*1000)/($H281*$B$5),(PI()*DC$12^2)/4*(CY281*$W281*1000)/($G281*$B$5))))))/10</f>
        <v>#N/A</v>
      </c>
      <c r="DD281" s="102" t="e">
        <f>(VLOOKUP($B$3,'Coeff EC7'!$T$39:$X$59,2,0)*DB281+VLOOKUP($B$3,'Coeff EC7'!$T$65:$X$85,2,0)*Model0.1C!DC281)/1.1</f>
        <v>#N/A</v>
      </c>
      <c r="DE281" s="102" t="e">
        <f>(VLOOKUP($B$3,'Coeff EC7'!$T$39:$X$59,3,0)*DB281+VLOOKUP($B$3,'Coeff EC7'!$T$65:$X$85,3,0)*Model0.1C!DC281)/0.9</f>
        <v>#N/A</v>
      </c>
      <c r="DF281" s="102" t="e">
        <f t="shared" si="486"/>
        <v>#N/A</v>
      </c>
      <c r="DG281" s="102" t="e">
        <f t="shared" si="487"/>
        <v>#N/A</v>
      </c>
      <c r="DH281" s="414" t="e">
        <f>IF(DH280=0,0,IF(AND(DD281&gt;charge_ELS_quasi,DE281&gt;Charge_ELS_freq,DF281&gt;charge_ELU,DG281&gt;charge_ELA,$B281&gt;NDC!$H$22-0.1+MIN(3*$DH$12,1.5)),0,1))</f>
        <v>#N/A</v>
      </c>
      <c r="DI281" s="86" t="b">
        <f t="shared" si="455"/>
        <v>0</v>
      </c>
      <c r="DJ281" s="86">
        <f t="shared" si="456"/>
        <v>0.5</v>
      </c>
      <c r="DK281" s="86">
        <f t="shared" si="457"/>
        <v>0.5</v>
      </c>
      <c r="DL281" s="30" t="e">
        <f t="shared" ca="1" si="488"/>
        <v>#DIV/0!</v>
      </c>
      <c r="DM281" s="85" t="e">
        <f ca="1">IF(CS281&lt;=Hypothèses!$V$7,Hypothèses!$W$7,IF(CS281&lt;=Hypothèses!$V$8,Hypothèses!$W$8,IF(CS281&lt;=Hypothèses!$V$9,Hypothèses!$W$9,IF(CS281&lt;=Hypothèses!$V$10,Hypothèses!$W$10,IF(CS281&lt;=Hypothèses!$V$11,Hypothèses!$W$11,IF(CS281&lt;=Hypothèses!$V$12,Hypothèses!$W$12,IF(CS281&lt;=Hypothèses!$V$13,Hypothèses!$W$13,IF(CS281&lt;=Hypothèses!$V$14,Hypothèses!$W$14,IF(CS281&lt;=Hypothèses!$V$15,Hypothèses!$W$15,IF(CS281&lt;=Hypothèses!$V$16,Hypothèses!$W$16,IF(CS281&lt;=Hypothèses!$V$17,Hypothèses!$W$17,IF(CS281&lt;=Hypothèses!$V$18,Hypothèses!$W$18,""))))))))))))</f>
        <v>#DIV/0!</v>
      </c>
      <c r="DN281" s="87" t="e">
        <f t="shared" ca="1" si="521"/>
        <v>#DIV/0!</v>
      </c>
      <c r="DO281" s="88" t="e">
        <f ca="1">IF(CS281&lt;=Hypothèses!$V$7,Hypothèses!$X$7,IF(CS281&lt;=Hypothèses!$V$8,Hypothèses!$X$8,IF(CS281&lt;=Hypothèses!$V$9,Hypothèses!$X$9,IF(CS281&lt;=Hypothèses!$V$10,Hypothèses!$X$10,IF(CS281&lt;=Hypothèses!$V$11,Hypothèses!$X$11,IF(CS281&lt;=Hypothèses!$V$12,Hypothèses!$X$12,IF(CS281&lt;=Hypothèses!$V$13,Hypothèses!$X$13,IF(CS281&lt;=Hypothèses!$V$14,Hypothèses!$X$14,IF(CS281&lt;=Hypothèses!$V$15,Hypothèses!$X$15,IF(CS281&lt;=Hypothèses!$V$16,Hypothèses!$X$16,IF(CS281&lt;=Hypothèses!$U$17,Hypothèses!$W$17,IF(CS281&lt;=Hypothèses!$U$18,Hypothèses!$W$18,""))))))))))))</f>
        <v>#DIV/0!</v>
      </c>
      <c r="DP281" s="95" t="e">
        <f t="shared" ca="1" si="489"/>
        <v>#DIV/0!</v>
      </c>
      <c r="DQ281" s="101" t="e">
        <f t="shared" si="528"/>
        <v>#N/A</v>
      </c>
      <c r="DR281" s="91" t="e">
        <f t="shared" si="458"/>
        <v>#N/A</v>
      </c>
      <c r="DS281" s="30" t="e">
        <f t="shared" si="510"/>
        <v>#N/A</v>
      </c>
      <c r="DT281" s="30" t="e">
        <f t="shared" si="511"/>
        <v>#N/A</v>
      </c>
      <c r="DU281" s="31" t="e">
        <f>IF(OR(Hypothèses!$B$4=17,Hypothèses!$B$4=18,Hypothèses!$B$4=19,Hypothèses!$B$4=20),
IF($D281="Pressio.",
IF(OR($E281=3,$E281=1,$E281=4),DT281,DS281),
IF($D281="Pénétro.",
IF(OR($E281=3,$E281=1,$E281=4),DT281,DS281))),IF($D281="Pressio.",
IF($E281=3,DT281,DS281),
IF($D281="Pénétro.",
IF($E281=4,DT281,DS281))))</f>
        <v>#N/A</v>
      </c>
      <c r="DV281" s="31" t="e">
        <f>(IF(OR(Hypothèses!$B$4=17,Hypothèses!$B$4=18,Hypothèses!$B$4=19,Hypothèses!$B$4=20),
IF($D281="Pressio.",
IF(OR($E281=3,$E281=1,$E281=4),(PI()*DV$12^2)/4*(DR281*$W281*1000)/($H281*$B$5),(PI()*DV$12^2)/4*(DR281*$W281*1000)/($G281*$B$5)),
IF($D281="Pénétro.",
IF(OR($E281=4,$E281=1,$E281=5),(PI()*DV$12^2)/4*(DR281*$W281*1000)/($H281*$B$5),(PI()*DV$12^2)/4*(DR281*$W281*1000)/($G281*$B$5)))),
IF($D281="Pressio.",
IF($E281=3,(PI()*DV$12^2)/4*(DR281*$W281*1000)/($H281*$B$5),(PI()*DV$12^2)/4*(DR281*$W281*1000)/($G281*$B$5)),
IF($D281="Pénétro.",
IF($E281=4,(PI()*DV$12^2)/4*(DR281*$W281*1000)/($H281*$B$5),(PI()*DV$12^2)/4*(DR281*$W281*1000)/($G281*$B$5))))))/10</f>
        <v>#N/A</v>
      </c>
      <c r="DW281" s="102" t="e">
        <f>(VLOOKUP($B$3,'Coeff EC7'!$T$39:$X$59,2,0)*DU281+VLOOKUP($B$3,'Coeff EC7'!$T$65:$X$85,2,0)*Model0.1C!DV281)/1.1</f>
        <v>#N/A</v>
      </c>
      <c r="DX281" s="102" t="e">
        <f>(VLOOKUP($B$3,'Coeff EC7'!$T$39:$X$59,3,0)*DU281+VLOOKUP($B$3,'Coeff EC7'!$T$65:$X$85,3,0)*Model0.1C!DV281)/0.9</f>
        <v>#N/A</v>
      </c>
      <c r="DY281" s="102" t="e">
        <f t="shared" si="490"/>
        <v>#N/A</v>
      </c>
      <c r="DZ281" s="102" t="e">
        <f t="shared" si="491"/>
        <v>#N/A</v>
      </c>
      <c r="EA281" s="414" t="e">
        <f>IF(EA280=0,0,IF(AND(DW281&gt;charge_ELS_quasi,DX281&gt;Charge_ELS_freq,DY281&gt;charge_ELU,DZ281&gt;charge_ELA,$B281&gt;NDC!$H$22-0.1+MIN(3*$EA$12,1.5)),0,1))</f>
        <v>#N/A</v>
      </c>
      <c r="EB281" s="86" t="b">
        <f t="shared" si="459"/>
        <v>0</v>
      </c>
      <c r="EC281" s="418">
        <f t="shared" si="460"/>
        <v>0.51</v>
      </c>
      <c r="ED281" s="86">
        <f t="shared" si="461"/>
        <v>0.51</v>
      </c>
      <c r="EE281" s="30" t="e">
        <f t="shared" ca="1" si="492"/>
        <v>#DIV/0!</v>
      </c>
      <c r="EF281" s="85" t="e">
        <f ca="1">IF(DL281&lt;=Hypothèses!$V$7,Hypothèses!$W$7,IF(DL281&lt;=Hypothèses!$V$8,Hypothèses!$W$8,IF(DL281&lt;=Hypothèses!$V$9,Hypothèses!$W$9,IF(DL281&lt;=Hypothèses!$V$10,Hypothèses!$W$10,IF(DL281&lt;=Hypothèses!$V$11,Hypothèses!$W$11,IF(DL281&lt;=Hypothèses!$V$12,Hypothèses!$W$12,IF(DL281&lt;=Hypothèses!$V$13,Hypothèses!$W$13,IF(DL281&lt;=Hypothèses!$V$14,Hypothèses!$W$14,IF(DL281&lt;=Hypothèses!$V$15,Hypothèses!$W$15,IF(DL281&lt;=Hypothèses!$V$16,Hypothèses!$W$16,IF(DL281&lt;=Hypothèses!$V$17,Hypothèses!$W$17,IF(DL281&lt;=Hypothèses!$V$18,Hypothèses!$W$18,""))))))))))))</f>
        <v>#DIV/0!</v>
      </c>
      <c r="EG281" s="87" t="e">
        <f t="shared" ca="1" si="522"/>
        <v>#DIV/0!</v>
      </c>
      <c r="EH281" s="88" t="e">
        <f ca="1">IF(DL281&lt;=Hypothèses!$V$7,Hypothèses!$X$7,IF(DL281&lt;=Hypothèses!$V$8,Hypothèses!$X$8,IF(DL281&lt;=Hypothèses!$V$9,Hypothèses!$X$9,IF(DL281&lt;=Hypothèses!$V$10,Hypothèses!$X$10,IF(DL281&lt;=Hypothèses!$V$11,Hypothèses!$X$11,IF(DL281&lt;=Hypothèses!$V$12,Hypothèses!$X$12,IF(DL281&lt;=Hypothèses!$V$13,Hypothèses!$X$13,IF(DL281&lt;=Hypothèses!$V$14,Hypothèses!$X$14,IF(DL281&lt;=Hypothèses!$V$15,Hypothèses!$X$15,IF(DL281&lt;=Hypothèses!$V$16,Hypothèses!$X$16,IF(DL281&lt;=Hypothèses!$U$17,Hypothèses!$W$17,IF(DL281&lt;=Hypothèses!$U$18,Hypothèses!$W$18,""))))))))))))</f>
        <v>#DIV/0!</v>
      </c>
      <c r="EI281" s="95" t="e">
        <f t="shared" ca="1" si="493"/>
        <v>#DIV/0!</v>
      </c>
      <c r="EJ281" s="101" t="e">
        <f t="shared" si="529"/>
        <v>#N/A</v>
      </c>
      <c r="EK281" s="91" t="e">
        <f t="shared" si="462"/>
        <v>#N/A</v>
      </c>
      <c r="EL281" s="30" t="e">
        <f t="shared" si="512"/>
        <v>#N/A</v>
      </c>
      <c r="EM281" s="30" t="e">
        <f t="shared" si="513"/>
        <v>#N/A</v>
      </c>
      <c r="EN281" s="31" t="e">
        <f>IF(OR(Hypothèses!$B$4=17,Hypothèses!$B$4=18,Hypothèses!$B$4=19,Hypothèses!$B$4=20),
IF($D281="Pressio.",
IF(OR($E281=3,$E281=1,$E281=4),EM281,EL281),
IF($D281="Pénétro.",
IF(OR($E281=3,$E281=1,$E281=4),EM281,EL281))),IF($D281="Pressio.",
IF($E281=3,EM281,EL281),
IF($D281="Pénétro.",
IF($E281=4,EM281,EL281))))</f>
        <v>#N/A</v>
      </c>
      <c r="EO281" s="31" t="e">
        <f>(IF(OR(Hypothèses!$B$4=17,Hypothèses!$B$4=18,Hypothèses!$B$4=19,Hypothèses!$B$4=20),
IF($D281="Pressio.",
IF(OR($E281=3,$E281=1,$E281=4),(PI()*EO$12^2)/4*(EK281*$W281*1000)/($H281*$B$5),(PI()*EO$12^2)/4*(EK281*$W281*1000)/($G281*$B$5)),
IF($D281="Pénétro.",
IF(OR($E281=4,$E281=1,$E281=5),(PI()*EO$12^2)/4*(EK281*$W281*1000)/($H281*$B$5),(PI()*EO$12^2)/4*(EK281*$W281*1000)/($G281*$B$5)))),
IF($D281="Pressio.",
IF($E281=3,(PI()*EO$12^2)/4*(EK281*$W281*1000)/($H281*$B$5),(PI()*EO$12^2)/4*(EK281*$W281*1000)/($G281*$B$5)),
IF($D281="Pénétro.",
IF($E281=4,(PI()*EO$12^2)/4*(EK281*$W281*1000)/($H281*$B$5),(PI()*EO$12^2)/4*(EK281*$W281*1000)/($G281*$B$5))))))/10</f>
        <v>#N/A</v>
      </c>
      <c r="EP281" s="102" t="e">
        <f>(VLOOKUP($B$3,'Coeff EC7'!$T$39:$X$59,2,0)*EN281+VLOOKUP($B$3,'Coeff EC7'!$T$65:$X$85,2,0)*Model0.1C!EO281)/1.1</f>
        <v>#N/A</v>
      </c>
      <c r="EQ281" s="102" t="e">
        <f>(VLOOKUP($B$3,'Coeff EC7'!$T$39:$X$59,3,0)*EN281+VLOOKUP($B$3,'Coeff EC7'!$T$65:$X$85,3,0)*Model0.1C!EO281)/0.9</f>
        <v>#N/A</v>
      </c>
      <c r="ER281" s="102" t="e">
        <f t="shared" si="494"/>
        <v>#N/A</v>
      </c>
      <c r="ES281" s="102" t="e">
        <f t="shared" si="495"/>
        <v>#N/A</v>
      </c>
      <c r="ET281" s="414" t="e">
        <f>IF(ET280=0,0,IF(AND(EP281&gt;charge_ELS_quasi,EQ281&gt;Charge_ELS_freq,ER281&gt;charge_ELU,ES281&gt;charge_ELA,$B281&gt;NDC!$H$22-0.1+MIN(3*$ET$12,1.5)),0,1))</f>
        <v>#N/A</v>
      </c>
      <c r="EU281" s="86" t="b">
        <f t="shared" si="463"/>
        <v>0</v>
      </c>
      <c r="EV281" s="86">
        <f t="shared" si="464"/>
        <v>0.61</v>
      </c>
      <c r="EW281" s="86">
        <f t="shared" si="465"/>
        <v>0.61</v>
      </c>
      <c r="EX281" s="30" t="e">
        <f t="shared" ca="1" si="496"/>
        <v>#DIV/0!</v>
      </c>
      <c r="EY281" s="85" t="e">
        <f ca="1">IF(EE281&lt;=Hypothèses!$V$7,Hypothèses!$W$7,IF(EE281&lt;=Hypothèses!$V$8,Hypothèses!$W$8,IF(EE281&lt;=Hypothèses!$V$9,Hypothèses!$W$9,IF(EE281&lt;=Hypothèses!$V$10,Hypothèses!$W$10,IF(EE281&lt;=Hypothèses!$V$11,Hypothèses!$W$11,IF(EE281&lt;=Hypothèses!$V$12,Hypothèses!$W$12,IF(EE281&lt;=Hypothèses!$V$13,Hypothèses!$W$13,IF(EE281&lt;=Hypothèses!$V$14,Hypothèses!$W$14,IF(EE281&lt;=Hypothèses!$V$15,Hypothèses!$W$15,IF(EE281&lt;=Hypothèses!$V$16,Hypothèses!$W$16,IF(EE281&lt;=Hypothèses!$V$17,Hypothèses!$W$17,IF(EE281&lt;=Hypothèses!$V$18,Hypothèses!$W$18,""))))))))))))</f>
        <v>#DIV/0!</v>
      </c>
      <c r="EZ281" s="87" t="e">
        <f t="shared" ca="1" si="523"/>
        <v>#DIV/0!</v>
      </c>
      <c r="FA281" s="88" t="e">
        <f ca="1">IF(EE281&lt;=Hypothèses!$V$7,Hypothèses!$X$7,IF(EE281&lt;=Hypothèses!$V$8,Hypothèses!$X$8,IF(EE281&lt;=Hypothèses!$V$9,Hypothèses!$X$9,IF(EE281&lt;=Hypothèses!$V$10,Hypothèses!$X$10,IF(EE281&lt;=Hypothèses!$V$11,Hypothèses!$X$11,IF(EE281&lt;=Hypothèses!$V$12,Hypothèses!$X$12,IF(EE281&lt;=Hypothèses!$V$13,Hypothèses!$X$13,IF(EE281&lt;=Hypothèses!$V$14,Hypothèses!$X$14,IF(EE281&lt;=Hypothèses!$V$15,Hypothèses!$X$15,IF(EE281&lt;=Hypothèses!$V$16,Hypothèses!$X$16,IF(EE281&lt;=Hypothèses!$U$17,Hypothèses!$W$17,IF(EE281&lt;=Hypothèses!$U$18,Hypothèses!$W$18,""))))))))))))</f>
        <v>#DIV/0!</v>
      </c>
      <c r="FB281" s="95" t="e">
        <f t="shared" ca="1" si="497"/>
        <v>#DIV/0!</v>
      </c>
      <c r="FC281" s="101" t="e">
        <f t="shared" si="530"/>
        <v>#N/A</v>
      </c>
      <c r="FD281" s="91" t="e">
        <f t="shared" si="466"/>
        <v>#N/A</v>
      </c>
      <c r="FE281" s="30" t="e">
        <f t="shared" si="514"/>
        <v>#N/A</v>
      </c>
      <c r="FF281" s="30" t="e">
        <f t="shared" si="515"/>
        <v>#N/A</v>
      </c>
      <c r="FG281" s="31" t="e">
        <f>IF(OR(Hypothèses!$B$4=17,Hypothèses!$B$4=18,Hypothèses!$B$4=19,Hypothèses!$B$4=20),
IF($D281="Pressio.",
IF(OR($E281=3,$E281=1,$E281=4),FF281,FE281),
IF($D281="Pénétro.",
IF(OR($E281=3,$E281=1,$E281=4),FF281,FE281))),IF($D281="Pressio.",
IF($E281=3,FF281,FE281),
IF($D281="Pénétro.",
IF($E281=4,FF281,FE281))))</f>
        <v>#N/A</v>
      </c>
      <c r="FH281" s="31" t="e">
        <f>(IF(OR(Hypothèses!$B$4=17,Hypothèses!$B$4=18,Hypothèses!$B$4=19,Hypothèses!$B$4=20),
IF($D281="Pressio.",
IF(OR($E281=3,$E281=1,$E281=4),(PI()*FH$12^2)/4*(FD281*$W281*1000)/($H281*$B$5),(PI()*FH$12^2)/4*(FD281*$W281*1000)/($G281*$B$5)),
IF($D281="Pénétro.",
IF(OR($E281=4,$E281=1,$E281=5),(PI()*FH$12^2)/4*(FD281*$W281*1000)/($H281*$B$5),(PI()*FH$12^2)/4*(FD281*$W281*1000)/($G281*$B$5)))),
IF($D281="Pressio.",
IF($E281=3,(PI()*FH$12^2)/4*(FD281*$W281*1000)/($H281*$B$5),(PI()*FH$12^2)/4*(FD281*$W281*1000)/($G281*$B$5)),
IF($D281="Pénétro.",
IF($E281=4,(PI()*FH$12^2)/4*(FD281*$W281*1000)/($H281*$B$5),(PI()*FH$12^2)/4*(FD281*$W281*1000)/($G281*$B$5))))))/10</f>
        <v>#N/A</v>
      </c>
      <c r="FI281" s="102" t="e">
        <f>(VLOOKUP($B$3,'Coeff EC7'!$T$39:$X$59,2,0)*FG281+VLOOKUP($B$3,'Coeff EC7'!$T$65:$X$85,2,0)*Model0.1C!FH281)/1.1</f>
        <v>#N/A</v>
      </c>
      <c r="FJ281" s="102" t="e">
        <f>(VLOOKUP($B$3,'Coeff EC7'!$T$39:$X$59,3,0)*FG281+VLOOKUP($B$3,'Coeff EC7'!$T$65:$X$85,3,0)*Model0.1C!FH281)/0.9</f>
        <v>#N/A</v>
      </c>
      <c r="FK281" s="102" t="e">
        <f t="shared" si="498"/>
        <v>#N/A</v>
      </c>
      <c r="FL281" s="102" t="e">
        <f t="shared" si="499"/>
        <v>#N/A</v>
      </c>
      <c r="FM281" s="414" t="e">
        <f>IF(FM280=0,0,IF(AND(FI281&gt;charge_ELS_quasi,FJ281&gt;Charge_ELS_freq,FK281&gt;charge_ELU,FL281&gt;charge_ELA,$B281&gt;NDC!$H$22-0.1+MIN(3*$FM$12,1.5)),0,1))</f>
        <v>#N/A</v>
      </c>
    </row>
    <row r="282" spans="1:169">
      <c r="A282" s="96">
        <f t="shared" si="467"/>
        <v>73.100000000001529</v>
      </c>
      <c r="B282" s="97">
        <v>26.9</v>
      </c>
      <c r="C282" s="81">
        <f>IF(B282&lt;=Hypothèses!$C$7,Hypothèses!$A$7,IF(B282&lt;=Hypothèses!$C$8,Hypothèses!$A$8,IF(B282&lt;=Hypothèses!$C$9,Hypothèses!$A$9,IF(B282&lt;=Hypothèses!$C$10,Hypothèses!$A$10,IF(B282&lt;=Hypothèses!$C$11,Hypothèses!$A$11,IF(B282&lt;=Hypothèses!$C$12,Hypothèses!$A$12,IF(B282&lt;=Hypothèses!$C$13,Hypothèses!$A$13,IF(B282&lt;=Hypothèses!$C$14,Hypothèses!$A$14,IF(B282&lt;=Hypothèses!$C$15,Hypothèses!$A$15,IF(B282&lt;=Hypothèses!$C$16,Hypothèses!$A$16,IF(B282&lt;=Hypothèses!$C$17,Hypothèses!$A$17,IF(B282&lt;=Hypothèses!$C$18,Hypothèses!$A$18,C281))))))))))))</f>
        <v>11</v>
      </c>
      <c r="D282" s="82" t="str">
        <f>IF(B282&lt;=Hypothèses!$C$7,Hypothèses!$R$7,IF(B282&lt;=Hypothèses!$C$8,Hypothèses!$R$8,IF(B282&lt;=Hypothèses!$C$9,Hypothèses!$R$9,IF(B282&lt;=Hypothèses!$C$10,Hypothèses!$R$10,IF(B282&lt;=Hypothèses!$C$11,Hypothèses!$R$11,IF(B282&lt;=Hypothèses!$C$12,Hypothèses!$R$12,IF(B282&lt;=Hypothèses!$C$13,Hypothèses!$R$13,IF(B282&lt;=Hypothèses!$C$14,Hypothèses!$R$14,IF(B282&lt;=Hypothèses!$C$15,Hypothèses!$R$15,IF(B282&lt;=Hypothèses!$C$16,Hypothèses!$R$16,IF(B282&lt;=Hypothèses!$C$17,Hypothèses!$R$17,IF(B282&lt;=Hypothèses!$C$18,Hypothèses!$R$18,D281))))))))))))</f>
        <v>Pressio.</v>
      </c>
      <c r="E282" s="82" t="e">
        <f>IF(B282&lt;=Hypothèses!$C$7,Hypothèses!$G$7,IF(B282&lt;=Hypothèses!$C$8,Hypothèses!$G$8,IF(B282&lt;=Hypothèses!$C$9,Hypothèses!$G$9,IF(B282&lt;=Hypothèses!$C$10,Hypothèses!$G$10,IF(B282&lt;=Hypothèses!$C$11,Hypothèses!$G$11,IF(B282&lt;=Hypothèses!$C$12,Hypothèses!$G$12,IF(B282&lt;=Hypothèses!$C$13,Hypothèses!$G$13,IF(B282&lt;=Hypothèses!$C$14,Hypothèses!$G$14,IF(B282&lt;=Hypothèses!$C$15,Hypothèses!$G$15,IF(B282&lt;=Hypothèses!$C$16,Hypothèses!$G$16,IF(B282&lt;=Hypothèses!$C$17,Hypothèses!$G$17,IF(B282&lt;=Hypothèses!$C$18,Hypothèses!$G$18,E281))))))))))))</f>
        <v>#N/A</v>
      </c>
      <c r="F282" s="82" t="str">
        <f>IF(B282&lt;=Hypothèses!$C$7,Hypothèses!$F$7,IF(B282&lt;=Hypothèses!$C$8,Hypothèses!$F$8,IF(B282&lt;=Hypothèses!$C$9,Hypothèses!$F$9,IF(B282&lt;=Hypothèses!$C$10,Hypothèses!$F$10,IF(B282&lt;=Hypothèses!$C$11,Hypothèses!$F$11,IF(B282&lt;=Hypothèses!$C$12,Hypothèses!$F$12,IF(B282&lt;=Hypothèses!$C$13,Hypothèses!$F$13,IF(B282&lt;=Hypothèses!$C$14,Hypothèses!$F$14,IF(B282&lt;=Hypothèses!$C$15,Hypothèses!$F$15,IF(B282&lt;=Hypothèses!$C$16,Hypothèses!$F$16,IF(B282&lt;=Hypothèses!$C$17,Hypothèses!$F$17,IF(B282&lt;=Hypothèses!$C$18,Hypothèses!$F$18,F281))))))))))))</f>
        <v/>
      </c>
      <c r="G282" s="91">
        <f t="array" ref="G282">INDEX('Coeff EC7'!$U$7:$X$27,
MATCH(Model0.1C!$B$3,'Coeff EC7'!$T$7:$T$27,0),
MATCH(Model0.1C!$D282&amp;Model0.1C!$B$4,
'Coeff EC7'!$U$6:$X$6&amp;
'Coeff EC7'!$U$5:$X$5,0))</f>
        <v>1.1499999999999999</v>
      </c>
      <c r="H282" s="91">
        <f t="array" ref="H282">INDEX('Coeff EC7'!$Y$7:$AB$27,
MATCH(Model0.1C!$B$3,'Coeff EC7'!$T$7:$T$27,0),
MATCH(Model0.1C!$D282&amp;Model0.1C!$B$4,
'Coeff EC7'!$Y$6:$AB$6&amp;
'Coeff EC7'!$Y$5:$AB$5,0))</f>
        <v>1.4</v>
      </c>
      <c r="I282" s="83" t="e">
        <f>IF(B282&lt;=Hypothèses!$C$7,Hypothèses!$P$7,IF(B282&lt;=Hypothèses!$C$8,Hypothèses!$P$8,IF(B282&lt;=Hypothèses!$C$9,Hypothèses!$P$9,IF(B282&lt;=Hypothèses!$C$10,Hypothèses!$P$10,IF(B282&lt;=Hypothèses!$C$11,Hypothèses!$P$11,IF(B282&lt;=Hypothèses!$C$12,Hypothèses!$P$12,IF(B282&lt;=Hypothèses!$C$13,Hypothèses!$P$13,IF(B282&lt;=Hypothèses!$C$14,Hypothèses!$P$14,IF(B282&lt;=Hypothèses!$C$15,Hypothèses!$P$15,IF(B282&lt;=Hypothèses!$C$16,Hypothèses!$P$16,IF(B282&lt;=Hypothèses!$C$17,Hypothèses!$P$17,IF(B282&lt;=Hypothèses!$C$18,Hypothèses!$P$18,I281))))))))))))</f>
        <v>#N/A</v>
      </c>
      <c r="J282" s="91" t="e">
        <f t="array" ref="J282">INDEX('Coeff EC7'!$D$33:$Q$33,1,MATCH(D282&amp;E282,'Coeff EC7'!$D$31:$Q$31&amp;'Coeff EC7'!$D$32:$Q$32,0))</f>
        <v>#N/A</v>
      </c>
      <c r="K282" s="91" t="e">
        <f t="array" ref="K282">INDEX('Coeff EC7'!$D$34:$Q$34,1,MATCH(D282&amp;E282,'Coeff EC7'!$D$31:$Q$31&amp;'Coeff EC7'!$D$32:$Q$32,0))</f>
        <v>#N/A</v>
      </c>
      <c r="L282" s="91" t="e">
        <f t="array" ref="L282">INDEX('Coeff EC7'!$D$35:$Q$35,1,MATCH(D282&amp;E282,'Coeff EC7'!$D$31:$Q$31&amp;'Coeff EC7'!$D$32:$Q$32,0))</f>
        <v>#N/A</v>
      </c>
      <c r="M282" s="98" t="e">
        <f t="shared" si="431"/>
        <v>#N/A</v>
      </c>
      <c r="N282" s="99" t="e">
        <f t="array" ref="N282">INDEX('Coeff EC7'!$D$7:$Q$27,MATCH($B$3,'Coeff EC7'!$C$7:$C$27,0),MATCH(D282&amp;E282,'Coeff EC7'!$D$5:$Q$5&amp;'Coeff EC7'!$D$6:$Q$6,0))</f>
        <v>#N/A</v>
      </c>
      <c r="O282" s="99" t="e">
        <f t="array" ref="O282">INDEX('Coeff EC7'!$D$41:$Q$61,MATCH($B$3,'Coeff EC7'!$C$41:$C$61,0),MATCH(D282&amp;E282,'Coeff EC7'!$D$39:$Q$39&amp;'Coeff EC7'!$D$40:$Q$40,0))</f>
        <v>#N/A</v>
      </c>
      <c r="P282" s="30" t="e">
        <f t="shared" si="468"/>
        <v>#N/A</v>
      </c>
      <c r="Q282" s="100" t="e">
        <f t="shared" si="433"/>
        <v>#N/A</v>
      </c>
      <c r="R282" s="86" t="b">
        <f t="shared" si="434"/>
        <v>0</v>
      </c>
      <c r="S282" s="86">
        <f t="shared" si="432"/>
        <v>0.5</v>
      </c>
      <c r="T282" s="86">
        <f t="shared" si="435"/>
        <v>0.5</v>
      </c>
      <c r="U282" s="30" t="e">
        <f t="shared" ca="1" si="469"/>
        <v>#DIV/0!</v>
      </c>
      <c r="V282" s="85" t="str">
        <f>IF(B282&lt;=Hypothèses!$V$7,Hypothèses!$W$7,IF(B282&lt;=Hypothèses!$V$8,Hypothèses!$W$8,IF(B282&lt;=Hypothèses!$V$9,Hypothèses!$W$9,IF(B282&lt;=Hypothèses!$V$10,Hypothèses!$W$10,IF(B282&lt;=Hypothèses!$V$11,Hypothèses!$W$11,IF(B282&lt;=Hypothèses!$V$12,Hypothèses!$W$12,IF(B282&lt;=Hypothèses!$V$13,Hypothèses!$W$13,IF(B282&lt;=Hypothèses!$V$14,Hypothèses!$W$14,IF(B282&lt;=Hypothèses!$V$15,Hypothèses!$W$15,IF(B282&lt;=Hypothèses!$V$16,Hypothèses!$W$16,IF(B282&lt;=Hypothèses!$V$17,Hypothèses!$W$17,IF(B282&lt;=Hypothèses!$V$18,Hypothèses!$W$18,""))))))))))))</f>
        <v/>
      </c>
      <c r="W282" s="87" t="e">
        <f t="shared" ca="1" si="516"/>
        <v>#DIV/0!</v>
      </c>
      <c r="X282" s="88" t="str">
        <f>IF(B282&lt;=Hypothèses!$V$7,Hypothèses!$X$7,IF(B282&lt;=Hypothèses!$V$8,Hypothèses!$X$8,IF(B282&lt;=Hypothèses!$V$9,Hypothèses!$X$9,IF(B282&lt;=Hypothèses!$V$10,Hypothèses!$X$10,IF(B282&lt;=Hypothèses!$V$11,Hypothèses!$X$11,IF(B282&lt;=Hypothèses!$V$12,Hypothèses!$X$12,IF(B282&lt;=Hypothèses!$V$13,Hypothèses!$X$13,IF(B282&lt;=Hypothèses!$V$14,Hypothèses!$X$14,IF(B282&lt;=Hypothèses!$V$15,Hypothèses!$X$15,IF(B282&lt;=Hypothèses!$V$16,Hypothèses!$X$16,IF(B282&lt;=Hypothèses!$U$17,Hypothèses!$W$17,IF(B282&lt;=Hypothèses!$U$18,Hypothèses!$W$18,""))))))))))))</f>
        <v/>
      </c>
      <c r="Y282" s="95" t="e">
        <f t="shared" ca="1" si="436"/>
        <v>#DIV/0!</v>
      </c>
      <c r="Z282" s="101" t="e">
        <f t="shared" si="437"/>
        <v>#N/A</v>
      </c>
      <c r="AA282" s="91" t="e">
        <f t="shared" si="438"/>
        <v>#N/A</v>
      </c>
      <c r="AB282" s="30" t="e">
        <f t="shared" si="500"/>
        <v>#N/A</v>
      </c>
      <c r="AC282" s="30" t="e">
        <f t="shared" si="501"/>
        <v>#N/A</v>
      </c>
      <c r="AD282" s="31" t="e">
        <f>IF(OR(Hypothèses!$B$4=17,Hypothèses!$B$4=18,Hypothèses!$B$4=19,Hypothèses!$B$4=20),
IF($D282="Pressio.",
IF(OR($E282=3,$E282=1,$E282=4),AC282,AB282),
IF($D282="Pénétro.",
IF(OR($E282=3,$E282=1,$E282=4),AC282,AB282))),IF($D282="Pressio.",
IF($E282=3,AC282,AB282),
IF($D282="Pénétro.",
IF($E282=4,AC282,AB282))))</f>
        <v>#N/A</v>
      </c>
      <c r="AE282" s="31" t="e">
        <f>(IF(OR(Hypothèses!$B$4=17,Hypothèses!$B$4=18,Hypothèses!$B$4=19,Hypothèses!$B$4=20),
IF($D282="Pressio.",
IF(OR($E282=3,$E282=1,$E282=4),(PI()*AE$12^2)/4*(AA282*$W282*1000)/($H282*$B$5),(PI()*AE$12^2)/4*(AA282*$W282*1000)/($G282*$B$5)),
IF($D282="Pénétro.",
IF(OR($E282=4,$E282=1,$E282=5),(PI()*AE$12^2)/4*(AA282*$W282*1000)/($H282*$B$5),(PI()*AE$12^2)/4*(AA282*$W282*1000)/($G282*$B$5)))),
IF($D282="Pressio.",
IF($E282=3,(PI()*AE$12^2)/4*(AA282*$W282*1000)/($H282*$B$5),(PI()*AE$12^2)/4*(AA282*$W282*1000)/($G282*$B$5)),
IF($D282="Pénétro.",
IF($E282=4,(PI()*AE$12^2)/4*(AA282*$W282*1000)/($H282*$B$5),(PI()*AE$12^2)/4*(AA282*$W282*1000)/($G282*$B$5))))))/10</f>
        <v>#N/A</v>
      </c>
      <c r="AF282" s="102" t="e">
        <f>(VLOOKUP($B$3,'Coeff EC7'!$T$39:$X$59,2,0)*AD282+VLOOKUP($B$3,'Coeff EC7'!$T$65:$X$85,2,0)*Model0.1C!AE282)/1.1</f>
        <v>#N/A</v>
      </c>
      <c r="AG282" s="102" t="e">
        <f>(VLOOKUP($B$3,'Coeff EC7'!$T$39:$X$59,3,0)*AD282+VLOOKUP($B$3,'Coeff EC7'!$T$65:$X$85,3,0)*Model0.1C!AE282)/0.9</f>
        <v>#N/A</v>
      </c>
      <c r="AH282" s="102" t="e">
        <f t="shared" si="439"/>
        <v>#N/A</v>
      </c>
      <c r="AI282" s="102" t="e">
        <f t="shared" si="440"/>
        <v>#N/A</v>
      </c>
      <c r="AJ282" s="414" t="e">
        <f>IF(AJ281=0,0,IF(AND(AF282&gt;charge_ELS_quasi,AG282&gt;Charge_ELS_freq,AH282&gt;charge_ELU,AI282&gt;charge_ELA,$B282&gt;NDC!$H$22-0.1+MIN(3*$AJ$12,1.5)),0,1))</f>
        <v>#N/A</v>
      </c>
      <c r="AK282" s="86" t="b">
        <f t="shared" si="441"/>
        <v>0</v>
      </c>
      <c r="AL282" s="86">
        <f t="shared" si="470"/>
        <v>0.5</v>
      </c>
      <c r="AM282" s="86">
        <f t="shared" si="442"/>
        <v>0.5</v>
      </c>
      <c r="AN282" s="30" t="e">
        <f t="shared" ca="1" si="471"/>
        <v>#DIV/0!</v>
      </c>
      <c r="AO282" s="85" t="e">
        <f ca="1">IF(U282&lt;=Hypothèses!$V$7,Hypothèses!$W$7,IF(U282&lt;=Hypothèses!$V$8,Hypothèses!$W$8,IF(U282&lt;=Hypothèses!$V$9,Hypothèses!$W$9,IF(U282&lt;=Hypothèses!$V$10,Hypothèses!$W$10,IF(U282&lt;=Hypothèses!$V$11,Hypothèses!$W$11,IF(U282&lt;=Hypothèses!$V$12,Hypothèses!$W$12,IF(U282&lt;=Hypothèses!$V$13,Hypothèses!$W$13,IF(U282&lt;=Hypothèses!$V$14,Hypothèses!$W$14,IF(U282&lt;=Hypothèses!$V$15,Hypothèses!$W$15,IF(U282&lt;=Hypothèses!$V$16,Hypothèses!$W$16,IF(U282&lt;=Hypothèses!$V$17,Hypothèses!$W$17,IF(U282&lt;=Hypothèses!$V$18,Hypothèses!$W$18,""))))))))))))</f>
        <v>#DIV/0!</v>
      </c>
      <c r="AP282" s="87" t="e">
        <f t="shared" ca="1" si="517"/>
        <v>#DIV/0!</v>
      </c>
      <c r="AQ282" s="88" t="e">
        <f ca="1">IF(U282&lt;=Hypothèses!$V$7,Hypothèses!$X$7,IF(U282&lt;=Hypothèses!$V$8,Hypothèses!$X$8,IF(U282&lt;=Hypothèses!$V$9,Hypothèses!$X$9,IF(U282&lt;=Hypothèses!$V$10,Hypothèses!$X$10,IF(U282&lt;=Hypothèses!$V$11,Hypothèses!$X$11,IF(U282&lt;=Hypothèses!$V$12,Hypothèses!$X$12,IF(U282&lt;=Hypothèses!$V$13,Hypothèses!$X$13,IF(U282&lt;=Hypothèses!$V$14,Hypothèses!$X$14,IF(U282&lt;=Hypothèses!$V$15,Hypothèses!$X$15,IF(U282&lt;=Hypothèses!$V$16,Hypothèses!$X$16,IF(U282&lt;=Hypothèses!$U$17,Hypothèses!$W$17,IF(U282&lt;=Hypothèses!$U$18,Hypothèses!$W$18,""))))))))))))</f>
        <v>#DIV/0!</v>
      </c>
      <c r="AR282" s="95" t="e">
        <f t="shared" ca="1" si="472"/>
        <v>#DIV/0!</v>
      </c>
      <c r="AS282" s="101" t="e">
        <f t="shared" si="524"/>
        <v>#N/A</v>
      </c>
      <c r="AT282" s="91" t="e">
        <f t="shared" si="443"/>
        <v>#N/A</v>
      </c>
      <c r="AU282" s="30" t="e">
        <f t="shared" si="502"/>
        <v>#N/A</v>
      </c>
      <c r="AV282" s="30" t="e">
        <f t="shared" si="503"/>
        <v>#N/A</v>
      </c>
      <c r="AW282" s="31" t="e">
        <f>IF(OR(Hypothèses!$B$4=17,Hypothèses!$B$4=18,Hypothèses!$B$4=19,Hypothèses!$B$4=20),
IF($D282="Pressio.",
IF(OR($E282=3,$E282=1,$E282=4),AV282,AU282),
IF($D282="Pénétro.",
IF(OR($E282=3,$E282=1,$E282=4),AV282,AU282))),IF($D282="Pressio.",
IF($E282=3,AV282,AU282),
IF($D282="Pénétro.",
IF($E282=4,AV282,AU282))))</f>
        <v>#N/A</v>
      </c>
      <c r="AX282" s="31" t="e">
        <f>(IF(OR(Hypothèses!$B$4=17,Hypothèses!$B$4=18,Hypothèses!$B$4=19,Hypothèses!$B$4=20),
IF($D282="Pressio.",
IF(OR($E282=3,$E282=1,$E282=4),(PI()*AX$12^2)/4*(AT282*$W282*1000)/($H282*$B$5),(PI()*AX$12^2)/4*(AT282*$W282*1000)/($G282*$B$5)),
IF($D282="Pénétro.",
IF(OR($E282=4,$E282=1,$E282=5),(PI()*AX$12^2)/4*(AT282*$W282*1000)/($H282*$B$5),(PI()*AX$12^2)/4*(AT282*$W282*1000)/($G282*$B$5)))),
IF($D282="Pressio.",
IF($E282=3,(PI()*AX$12^2)/4*(AT282*$W282*1000)/($H282*$B$5),(PI()*AX$12^2)/4*(AT282*$W282*1000)/($G282*$B$5)),
IF($D282="Pénétro.",
IF($E282=4,(PI()*AX$12^2)/4*(AT282*$W282*1000)/($H282*$B$5),(PI()*AX$12^2)/4*(AT282*$W282*1000)/($G282*$B$5))))))/10</f>
        <v>#N/A</v>
      </c>
      <c r="AY282" s="102" t="e">
        <f>(VLOOKUP($B$3,'Coeff EC7'!$T$39:$X$59,2,0)*AW282+VLOOKUP($B$3,'Coeff EC7'!$T$65:$X$85,2,0)*Model0.1C!AX282)/1.1</f>
        <v>#N/A</v>
      </c>
      <c r="AZ282" s="102" t="e">
        <f>(VLOOKUP($B$3,'Coeff EC7'!$T$39:$X$59,3,0)*AW282+VLOOKUP($B$3,'Coeff EC7'!$T$65:$X$85,3,0)*Model0.1C!AX282)/0.9</f>
        <v>#N/A</v>
      </c>
      <c r="BA282" s="102" t="e">
        <f t="shared" si="473"/>
        <v>#N/A</v>
      </c>
      <c r="BB282" s="102" t="e">
        <f t="shared" si="474"/>
        <v>#N/A</v>
      </c>
      <c r="BC282" s="414" t="e">
        <f>IF(BC281=0,0,IF(AND(AY282&gt;charge_ELS_quasi,AZ282&gt;Charge_ELS_freq,BA282&gt;charge_ELU,BB282&gt;charge_ELA,$B282&gt;NDC!$H$22-0.1+MIN(3*$BC$12,1.5)),0,1))</f>
        <v>#N/A</v>
      </c>
      <c r="BD282" s="86" t="b">
        <f t="shared" si="444"/>
        <v>0</v>
      </c>
      <c r="BE282" s="86">
        <f t="shared" si="475"/>
        <v>0.5</v>
      </c>
      <c r="BF282" s="86">
        <f t="shared" si="445"/>
        <v>0.5</v>
      </c>
      <c r="BG282" s="30" t="e">
        <f t="shared" ca="1" si="476"/>
        <v>#DIV/0!</v>
      </c>
      <c r="BH282" s="85" t="e">
        <f ca="1">IF(AN282&lt;=Hypothèses!$V$7,Hypothèses!$W$7,IF(AN282&lt;=Hypothèses!$V$8,Hypothèses!$W$8,IF(AN282&lt;=Hypothèses!$V$9,Hypothèses!$W$9,IF(AN282&lt;=Hypothèses!$V$10,Hypothèses!$W$10,IF(AN282&lt;=Hypothèses!$V$11,Hypothèses!$W$11,IF(AN282&lt;=Hypothèses!$V$12,Hypothèses!$W$12,IF(AN282&lt;=Hypothèses!$V$13,Hypothèses!$W$13,IF(AN282&lt;=Hypothèses!$V$14,Hypothèses!$W$14,IF(AN282&lt;=Hypothèses!$V$15,Hypothèses!$W$15,IF(AN282&lt;=Hypothèses!$V$16,Hypothèses!$W$16,IF(AN282&lt;=Hypothèses!$V$17,Hypothèses!$W$17,IF(AN282&lt;=Hypothèses!$V$18,Hypothèses!$W$18,""))))))))))))</f>
        <v>#DIV/0!</v>
      </c>
      <c r="BI282" s="87" t="e">
        <f t="shared" ca="1" si="518"/>
        <v>#DIV/0!</v>
      </c>
      <c r="BJ282" s="88" t="e">
        <f ca="1">IF(AN282&lt;=Hypothèses!$V$7,Hypothèses!$X$7,IF(AN282&lt;=Hypothèses!$V$8,Hypothèses!$X$8,IF(AN282&lt;=Hypothèses!$V$9,Hypothèses!$X$9,IF(AN282&lt;=Hypothèses!$V$10,Hypothèses!$X$10,IF(AN282&lt;=Hypothèses!$V$11,Hypothèses!$X$11,IF(AN282&lt;=Hypothèses!$V$12,Hypothèses!$X$12,IF(AN282&lt;=Hypothèses!$V$13,Hypothèses!$X$13,IF(AN282&lt;=Hypothèses!$V$14,Hypothèses!$X$14,IF(AN282&lt;=Hypothèses!$V$15,Hypothèses!$X$15,IF(AN282&lt;=Hypothèses!$V$16,Hypothèses!$X$16,IF(AN282&lt;=Hypothèses!$U$17,Hypothèses!$W$17,IF(AN282&lt;=Hypothèses!$U$18,Hypothèses!$W$18,""))))))))))))</f>
        <v>#DIV/0!</v>
      </c>
      <c r="BK282" s="95" t="e">
        <f t="shared" ca="1" si="477"/>
        <v>#DIV/0!</v>
      </c>
      <c r="BL282" s="101" t="e">
        <f t="shared" si="525"/>
        <v>#N/A</v>
      </c>
      <c r="BM282" s="91" t="e">
        <f t="shared" si="446"/>
        <v>#N/A</v>
      </c>
      <c r="BN282" s="30" t="e">
        <f t="shared" si="504"/>
        <v>#N/A</v>
      </c>
      <c r="BO282" s="30" t="e">
        <f t="shared" si="505"/>
        <v>#N/A</v>
      </c>
      <c r="BP282" s="31" t="e">
        <f>IF(OR(Hypothèses!$B$4=17,Hypothèses!$B$4=18,Hypothèses!$B$4=19,Hypothèses!$B$4=20),
IF($D282="Pressio.",
IF(OR($E282=3,$E282=1,$E282=4),BO282,BN282),
IF($D282="Pénétro.",
IF(OR($E282=3,$E282=1,$E282=4),BO282,BN282))),IF($D282="Pressio.",
IF($E282=3,BO282,BN282),
IF($D282="Pénétro.",
IF($E282=4,BO282,BN282))))</f>
        <v>#N/A</v>
      </c>
      <c r="BQ282" s="31" t="e">
        <f>(IF(OR(Hypothèses!$B$4=17,Hypothèses!$B$4=18,Hypothèses!$B$4=19,Hypothèses!$B$4=20),
IF($D282="Pressio.",
IF(OR($E282=3,$E282=1,$E282=4),(PI()*BQ$12^2)/4*(BM282*$W282*1000)/($H282*$B$5),(PI()*BQ$12^2)/4*(BM282*$W282*1000)/($G282*$B$5)),
IF($D282="Pénétro.",
IF(OR($E282=4,$E282=1,$E282=5),(PI()*BQ$12^2)/4*(BM282*$W282*1000)/($H282*$B$5),(PI()*BQ$12^2)/4*(BM282*$W282*1000)/($G282*$B$5)))),
IF($D282="Pressio.",
IF($E282=3,(PI()*BQ$12^2)/4*(BM282*$W282*1000)/($H282*$B$5),(PI()*BQ$12^2)/4*(BM282*$W282*1000)/($G282*$B$5)),
IF($D282="Pénétro.",
IF($E282=4,(PI()*BQ$12^2)/4*(BM282*$W282*1000)/($H282*$B$5),(PI()*BQ$12^2)/4*(BM282*$W282*1000)/($G282*$B$5))))))/10</f>
        <v>#N/A</v>
      </c>
      <c r="BR282" s="102" t="e">
        <f>(VLOOKUP($B$3,'Coeff EC7'!$T$39:$X$59,2,0)*BP282+VLOOKUP($B$3,'Coeff EC7'!$T$65:$X$85,2,0)*Model0.1C!BQ282)/1.1</f>
        <v>#N/A</v>
      </c>
      <c r="BS282" s="102" t="e">
        <f>(VLOOKUP($B$3,'Coeff EC7'!$T$39:$X$59,3,0)*BP282+VLOOKUP($B$3,'Coeff EC7'!$T$65:$X$85,3,0)*Model0.1C!BQ282)/0.9</f>
        <v>#N/A</v>
      </c>
      <c r="BT282" s="102" t="e">
        <f t="shared" si="478"/>
        <v>#N/A</v>
      </c>
      <c r="BU282" s="102" t="e">
        <f t="shared" si="479"/>
        <v>#N/A</v>
      </c>
      <c r="BV282" s="414" t="e">
        <f>IF(BV281=0,0,IF(AND(BR282&gt;charge_ELS_quasi,BS282&gt;Charge_ELS_freq,BT282&gt;charge_ELU,BU282&gt;charge_ELA,$B282&gt;NDC!$H$22-0.1+MIN(3*$BV$12,1.5)),0,1))</f>
        <v>#N/A</v>
      </c>
      <c r="BW282" s="86" t="b">
        <f t="shared" si="447"/>
        <v>0</v>
      </c>
      <c r="BX282" s="86">
        <f t="shared" si="448"/>
        <v>0.5</v>
      </c>
      <c r="BY282" s="86">
        <f t="shared" si="449"/>
        <v>0.5</v>
      </c>
      <c r="BZ282" s="30" t="e">
        <f t="shared" ca="1" si="480"/>
        <v>#DIV/0!</v>
      </c>
      <c r="CA282" s="85" t="e">
        <f ca="1">IF(BG282&lt;=Hypothèses!$V$7,Hypothèses!$W$7,IF(BG282&lt;=Hypothèses!$V$8,Hypothèses!$W$8,IF(BG282&lt;=Hypothèses!$V$9,Hypothèses!$W$9,IF(BG282&lt;=Hypothèses!$V$10,Hypothèses!$W$10,IF(BG282&lt;=Hypothèses!$V$11,Hypothèses!$W$11,IF(BG282&lt;=Hypothèses!$V$12,Hypothèses!$W$12,IF(BG282&lt;=Hypothèses!$V$13,Hypothèses!$W$13,IF(BG282&lt;=Hypothèses!$V$14,Hypothèses!$W$14,IF(BG282&lt;=Hypothèses!$V$15,Hypothèses!$W$15,IF(BG282&lt;=Hypothèses!$V$16,Hypothèses!$W$16,IF(BG282&lt;=Hypothèses!$V$17,Hypothèses!$W$17,IF(BG282&lt;=Hypothèses!$V$18,Hypothèses!$W$18,""))))))))))))</f>
        <v>#DIV/0!</v>
      </c>
      <c r="CB282" s="87" t="e">
        <f t="shared" ca="1" si="519"/>
        <v>#DIV/0!</v>
      </c>
      <c r="CC282" s="88" t="e">
        <f ca="1">IF(BG282&lt;=Hypothèses!$V$7,Hypothèses!$X$7,IF(BG282&lt;=Hypothèses!$V$8,Hypothèses!$X$8,IF(BG282&lt;=Hypothèses!$V$9,Hypothèses!$X$9,IF(BG282&lt;=Hypothèses!$V$10,Hypothèses!$X$10,IF(BG282&lt;=Hypothèses!$V$11,Hypothèses!$X$11,IF(BG282&lt;=Hypothèses!$V$12,Hypothèses!$X$12,IF(BG282&lt;=Hypothèses!$V$13,Hypothèses!$X$13,IF(BG282&lt;=Hypothèses!$V$14,Hypothèses!$X$14,IF(BG282&lt;=Hypothèses!$V$15,Hypothèses!$X$15,IF(BG282&lt;=Hypothèses!$V$16,Hypothèses!$X$16,IF(BG282&lt;=Hypothèses!$U$17,Hypothèses!$W$17,IF(BG282&lt;=Hypothèses!$U$18,Hypothèses!$W$18,""))))))))))))</f>
        <v>#DIV/0!</v>
      </c>
      <c r="CD282" s="95" t="e">
        <f t="shared" ca="1" si="481"/>
        <v>#DIV/0!</v>
      </c>
      <c r="CE282" s="101" t="e">
        <f t="shared" si="526"/>
        <v>#N/A</v>
      </c>
      <c r="CF282" s="91" t="e">
        <f t="shared" si="450"/>
        <v>#N/A</v>
      </c>
      <c r="CG282" s="30" t="e">
        <f t="shared" si="506"/>
        <v>#N/A</v>
      </c>
      <c r="CH282" s="30" t="e">
        <f t="shared" si="507"/>
        <v>#N/A</v>
      </c>
      <c r="CI282" s="31" t="e">
        <f>IF(OR(Hypothèses!$B$4=17,Hypothèses!$B$4=18,Hypothèses!$B$4=19,Hypothèses!$B$4=20),
IF($D282="Pressio.",
IF(OR($E282=3,$E282=1,$E282=4),CH282,CG282),
IF($D282="Pénétro.",
IF(OR($E282=3,$E282=1,$E282=4),CH282,CG282))),IF($D282="Pressio.",
IF($E282=3,CH282,CG282),
IF($D282="Pénétro.",
IF($E282=4,CH282,CG282))))</f>
        <v>#N/A</v>
      </c>
      <c r="CJ282" s="31" t="e">
        <f>(IF(OR(Hypothèses!$B$4=17,Hypothèses!$B$4=18,Hypothèses!$B$4=19,Hypothèses!$B$4=20),
IF($D282="Pressio.",
IF(OR($E282=3,$E282=1,$E282=4),(PI()*CJ$12^2)/4*(CF282*$W282*1000)/($H282*$B$5),(PI()*CJ$12^2)/4*(CF282*$W282*1000)/($G282*$B$5)),
IF($D282="Pénétro.",
IF(OR($E282=4,$E282=1,$E282=5),(PI()*CJ$12^2)/4*(CF282*$W282*1000)/($H282*$B$5),(PI()*CJ$12^2)/4*(CF282*$W282*1000)/($G282*$B$5)))),
IF($D282="Pressio.",
IF($E282=3,(PI()*CJ$12^2)/4*(CF282*$W282*1000)/($H282*$B$5),(PI()*CJ$12^2)/4*(CF282*$W282*1000)/($G282*$B$5)),
IF($D282="Pénétro.",
IF($E282=4,(PI()*CJ$12^2)/4*(CF282*$W282*1000)/($H282*$B$5),(PI()*CJ$12^2)/4*(CF282*$W282*1000)/($G282*$B$5))))))/10</f>
        <v>#N/A</v>
      </c>
      <c r="CK282" s="102" t="e">
        <f>(VLOOKUP($B$3,'Coeff EC7'!$T$39:$X$59,2,0)*CI282+VLOOKUP($B$3,'Coeff EC7'!$T$65:$X$85,2,0)*Model0.1C!CJ282)/1.1</f>
        <v>#N/A</v>
      </c>
      <c r="CL282" s="102" t="e">
        <f>(VLOOKUP($B$3,'Coeff EC7'!$T$39:$X$59,3,0)*CI282+VLOOKUP($B$3,'Coeff EC7'!$T$65:$X$85,3,0)*Model0.1C!CJ282)/0.9</f>
        <v>#N/A</v>
      </c>
      <c r="CM282" s="102" t="e">
        <f t="shared" si="482"/>
        <v>#N/A</v>
      </c>
      <c r="CN282" s="102" t="e">
        <f t="shared" si="483"/>
        <v>#N/A</v>
      </c>
      <c r="CO282" s="414" t="e">
        <f>IF(CO281=0,0,IF(AND(CK282&gt;charge_ELS_quasi,CL282&gt;Charge_ELS_freq,CM282&gt;charge_ELU,CN282&gt;charge_ELA,$B282&gt;NDC!$H$22-0.1+MIN(3*$CO$12,1.5)),0,1))</f>
        <v>#N/A</v>
      </c>
      <c r="CP282" s="86" t="b">
        <f t="shared" si="451"/>
        <v>0</v>
      </c>
      <c r="CQ282" s="86">
        <f t="shared" si="452"/>
        <v>0.5</v>
      </c>
      <c r="CR282" s="86">
        <f t="shared" si="453"/>
        <v>0.5</v>
      </c>
      <c r="CS282" s="30" t="e">
        <f t="shared" ca="1" si="484"/>
        <v>#DIV/0!</v>
      </c>
      <c r="CT282" s="85" t="e">
        <f ca="1">IF(BZ282&lt;=Hypothèses!$V$7,Hypothèses!$W$7,IF(BZ282&lt;=Hypothèses!$V$8,Hypothèses!$W$8,IF(BZ282&lt;=Hypothèses!$V$9,Hypothèses!$W$9,IF(BZ282&lt;=Hypothèses!$V$10,Hypothèses!$W$10,IF(BZ282&lt;=Hypothèses!$V$11,Hypothèses!$W$11,IF(BZ282&lt;=Hypothèses!$V$12,Hypothèses!$W$12,IF(BZ282&lt;=Hypothèses!$V$13,Hypothèses!$W$13,IF(BZ282&lt;=Hypothèses!$V$14,Hypothèses!$W$14,IF(BZ282&lt;=Hypothèses!$V$15,Hypothèses!$W$15,IF(BZ282&lt;=Hypothèses!$V$16,Hypothèses!$W$16,IF(BZ282&lt;=Hypothèses!$V$17,Hypothèses!$W$17,IF(BZ282&lt;=Hypothèses!$V$18,Hypothèses!$W$18,""))))))))))))</f>
        <v>#DIV/0!</v>
      </c>
      <c r="CU282" s="87" t="e">
        <f t="shared" ca="1" si="520"/>
        <v>#DIV/0!</v>
      </c>
      <c r="CV282" s="88" t="e">
        <f ca="1">IF(BZ282&lt;=Hypothèses!$V$7,Hypothèses!$X$7,IF(BZ282&lt;=Hypothèses!$V$8,Hypothèses!$X$8,IF(BZ282&lt;=Hypothèses!$V$9,Hypothèses!$X$9,IF(BZ282&lt;=Hypothèses!$V$10,Hypothèses!$X$10,IF(BZ282&lt;=Hypothèses!$V$11,Hypothèses!$X$11,IF(BZ282&lt;=Hypothèses!$V$12,Hypothèses!$X$12,IF(BZ282&lt;=Hypothèses!$V$13,Hypothèses!$X$13,IF(BZ282&lt;=Hypothèses!$V$14,Hypothèses!$X$14,IF(BZ282&lt;=Hypothèses!$V$15,Hypothèses!$X$15,IF(BZ282&lt;=Hypothèses!$V$16,Hypothèses!$X$16,IF(BZ282&lt;=Hypothèses!$U$17,Hypothèses!$W$17,IF(BZ282&lt;=Hypothèses!$U$18,Hypothèses!$W$18,""))))))))))))</f>
        <v>#DIV/0!</v>
      </c>
      <c r="CW282" s="95" t="e">
        <f t="shared" ca="1" si="485"/>
        <v>#DIV/0!</v>
      </c>
      <c r="CX282" s="101" t="e">
        <f t="shared" si="527"/>
        <v>#N/A</v>
      </c>
      <c r="CY282" s="91" t="e">
        <f t="shared" si="454"/>
        <v>#N/A</v>
      </c>
      <c r="CZ282" s="30" t="e">
        <f t="shared" si="508"/>
        <v>#N/A</v>
      </c>
      <c r="DA282" s="30" t="e">
        <f t="shared" si="509"/>
        <v>#N/A</v>
      </c>
      <c r="DB282" s="31" t="e">
        <f>IF(OR(Hypothèses!$B$4=17,Hypothèses!$B$4=18,Hypothèses!$B$4=19,Hypothèses!$B$4=20),
IF($D282="Pressio.",
IF(OR($E282=3,$E282=1,$E282=4),DA282,CZ282),
IF($D282="Pénétro.",
IF(OR($E282=3,$E282=1,$E282=4),DA282,CZ282))),IF($D282="Pressio.",
IF($E282=3,DA282,CZ282),
IF($D282="Pénétro.",
IF($E282=4,DA282,CZ282))))</f>
        <v>#N/A</v>
      </c>
      <c r="DC282" s="31" t="e">
        <f>(IF(OR(Hypothèses!$B$4=17,Hypothèses!$B$4=18,Hypothèses!$B$4=19,Hypothèses!$B$4=20),
IF($D282="Pressio.",
IF(OR($E282=3,$E282=1,$E282=4),(PI()*DC$12^2)/4*(CY282*$W282*1000)/($H282*$B$5),(PI()*DC$12^2)/4*(CY282*$W282*1000)/($G282*$B$5)),
IF($D282="Pénétro.",
IF(OR($E282=4,$E282=1,$E282=5),(PI()*DC$12^2)/4*(CY282*$W282*1000)/($H282*$B$5),(PI()*DC$12^2)/4*(CY282*$W282*1000)/($G282*$B$5)))),
IF($D282="Pressio.",
IF($E282=3,(PI()*DC$12^2)/4*(CY282*$W282*1000)/($H282*$B$5),(PI()*DC$12^2)/4*(CY282*$W282*1000)/($G282*$B$5)),
IF($D282="Pénétro.",
IF($E282=4,(PI()*DC$12^2)/4*(CY282*$W282*1000)/($H282*$B$5),(PI()*DC$12^2)/4*(CY282*$W282*1000)/($G282*$B$5))))))/10</f>
        <v>#N/A</v>
      </c>
      <c r="DD282" s="102" t="e">
        <f>(VLOOKUP($B$3,'Coeff EC7'!$T$39:$X$59,2,0)*DB282+VLOOKUP($B$3,'Coeff EC7'!$T$65:$X$85,2,0)*Model0.1C!DC282)/1.1</f>
        <v>#N/A</v>
      </c>
      <c r="DE282" s="102" t="e">
        <f>(VLOOKUP($B$3,'Coeff EC7'!$T$39:$X$59,3,0)*DB282+VLOOKUP($B$3,'Coeff EC7'!$T$65:$X$85,3,0)*Model0.1C!DC282)/0.9</f>
        <v>#N/A</v>
      </c>
      <c r="DF282" s="102" t="e">
        <f t="shared" si="486"/>
        <v>#N/A</v>
      </c>
      <c r="DG282" s="102" t="e">
        <f t="shared" si="487"/>
        <v>#N/A</v>
      </c>
      <c r="DH282" s="414" t="e">
        <f>IF(DH281=0,0,IF(AND(DD282&gt;charge_ELS_quasi,DE282&gt;Charge_ELS_freq,DF282&gt;charge_ELU,DG282&gt;charge_ELA,$B282&gt;NDC!$H$22-0.1+MIN(3*$DH$12,1.5)),0,1))</f>
        <v>#N/A</v>
      </c>
      <c r="DI282" s="86" t="b">
        <f t="shared" si="455"/>
        <v>0</v>
      </c>
      <c r="DJ282" s="86">
        <f t="shared" si="456"/>
        <v>0.5</v>
      </c>
      <c r="DK282" s="86">
        <f t="shared" si="457"/>
        <v>0.5</v>
      </c>
      <c r="DL282" s="30" t="e">
        <f t="shared" ca="1" si="488"/>
        <v>#DIV/0!</v>
      </c>
      <c r="DM282" s="85" t="e">
        <f ca="1">IF(CS282&lt;=Hypothèses!$V$7,Hypothèses!$W$7,IF(CS282&lt;=Hypothèses!$V$8,Hypothèses!$W$8,IF(CS282&lt;=Hypothèses!$V$9,Hypothèses!$W$9,IF(CS282&lt;=Hypothèses!$V$10,Hypothèses!$W$10,IF(CS282&lt;=Hypothèses!$V$11,Hypothèses!$W$11,IF(CS282&lt;=Hypothèses!$V$12,Hypothèses!$W$12,IF(CS282&lt;=Hypothèses!$V$13,Hypothèses!$W$13,IF(CS282&lt;=Hypothèses!$V$14,Hypothèses!$W$14,IF(CS282&lt;=Hypothèses!$V$15,Hypothèses!$W$15,IF(CS282&lt;=Hypothèses!$V$16,Hypothèses!$W$16,IF(CS282&lt;=Hypothèses!$V$17,Hypothèses!$W$17,IF(CS282&lt;=Hypothèses!$V$18,Hypothèses!$W$18,""))))))))))))</f>
        <v>#DIV/0!</v>
      </c>
      <c r="DN282" s="87" t="e">
        <f t="shared" ca="1" si="521"/>
        <v>#DIV/0!</v>
      </c>
      <c r="DO282" s="88" t="e">
        <f ca="1">IF(CS282&lt;=Hypothèses!$V$7,Hypothèses!$X$7,IF(CS282&lt;=Hypothèses!$V$8,Hypothèses!$X$8,IF(CS282&lt;=Hypothèses!$V$9,Hypothèses!$X$9,IF(CS282&lt;=Hypothèses!$V$10,Hypothèses!$X$10,IF(CS282&lt;=Hypothèses!$V$11,Hypothèses!$X$11,IF(CS282&lt;=Hypothèses!$V$12,Hypothèses!$X$12,IF(CS282&lt;=Hypothèses!$V$13,Hypothèses!$X$13,IF(CS282&lt;=Hypothèses!$V$14,Hypothèses!$X$14,IF(CS282&lt;=Hypothèses!$V$15,Hypothèses!$X$15,IF(CS282&lt;=Hypothèses!$V$16,Hypothèses!$X$16,IF(CS282&lt;=Hypothèses!$U$17,Hypothèses!$W$17,IF(CS282&lt;=Hypothèses!$U$18,Hypothèses!$W$18,""))))))))))))</f>
        <v>#DIV/0!</v>
      </c>
      <c r="DP282" s="95" t="e">
        <f t="shared" ca="1" si="489"/>
        <v>#DIV/0!</v>
      </c>
      <c r="DQ282" s="101" t="e">
        <f t="shared" si="528"/>
        <v>#N/A</v>
      </c>
      <c r="DR282" s="91" t="e">
        <f t="shared" si="458"/>
        <v>#N/A</v>
      </c>
      <c r="DS282" s="30" t="e">
        <f t="shared" si="510"/>
        <v>#N/A</v>
      </c>
      <c r="DT282" s="30" t="e">
        <f t="shared" si="511"/>
        <v>#N/A</v>
      </c>
      <c r="DU282" s="31" t="e">
        <f>IF(OR(Hypothèses!$B$4=17,Hypothèses!$B$4=18,Hypothèses!$B$4=19,Hypothèses!$B$4=20),
IF($D282="Pressio.",
IF(OR($E282=3,$E282=1,$E282=4),DT282,DS282),
IF($D282="Pénétro.",
IF(OR($E282=3,$E282=1,$E282=4),DT282,DS282))),IF($D282="Pressio.",
IF($E282=3,DT282,DS282),
IF($D282="Pénétro.",
IF($E282=4,DT282,DS282))))</f>
        <v>#N/A</v>
      </c>
      <c r="DV282" s="31" t="e">
        <f>(IF(OR(Hypothèses!$B$4=17,Hypothèses!$B$4=18,Hypothèses!$B$4=19,Hypothèses!$B$4=20),
IF($D282="Pressio.",
IF(OR($E282=3,$E282=1,$E282=4),(PI()*DV$12^2)/4*(DR282*$W282*1000)/($H282*$B$5),(PI()*DV$12^2)/4*(DR282*$W282*1000)/($G282*$B$5)),
IF($D282="Pénétro.",
IF(OR($E282=4,$E282=1,$E282=5),(PI()*DV$12^2)/4*(DR282*$W282*1000)/($H282*$B$5),(PI()*DV$12^2)/4*(DR282*$W282*1000)/($G282*$B$5)))),
IF($D282="Pressio.",
IF($E282=3,(PI()*DV$12^2)/4*(DR282*$W282*1000)/($H282*$B$5),(PI()*DV$12^2)/4*(DR282*$W282*1000)/($G282*$B$5)),
IF($D282="Pénétro.",
IF($E282=4,(PI()*DV$12^2)/4*(DR282*$W282*1000)/($H282*$B$5),(PI()*DV$12^2)/4*(DR282*$W282*1000)/($G282*$B$5))))))/10</f>
        <v>#N/A</v>
      </c>
      <c r="DW282" s="102" t="e">
        <f>(VLOOKUP($B$3,'Coeff EC7'!$T$39:$X$59,2,0)*DU282+VLOOKUP($B$3,'Coeff EC7'!$T$65:$X$85,2,0)*Model0.1C!DV282)/1.1</f>
        <v>#N/A</v>
      </c>
      <c r="DX282" s="102" t="e">
        <f>(VLOOKUP($B$3,'Coeff EC7'!$T$39:$X$59,3,0)*DU282+VLOOKUP($B$3,'Coeff EC7'!$T$65:$X$85,3,0)*Model0.1C!DV282)/0.9</f>
        <v>#N/A</v>
      </c>
      <c r="DY282" s="102" t="e">
        <f t="shared" si="490"/>
        <v>#N/A</v>
      </c>
      <c r="DZ282" s="102" t="e">
        <f t="shared" si="491"/>
        <v>#N/A</v>
      </c>
      <c r="EA282" s="414" t="e">
        <f>IF(EA281=0,0,IF(AND(DW282&gt;charge_ELS_quasi,DX282&gt;Charge_ELS_freq,DY282&gt;charge_ELU,DZ282&gt;charge_ELA,$B282&gt;NDC!$H$22-0.1+MIN(3*$EA$12,1.5)),0,1))</f>
        <v>#N/A</v>
      </c>
      <c r="EB282" s="86" t="b">
        <f t="shared" si="459"/>
        <v>0</v>
      </c>
      <c r="EC282" s="418">
        <f t="shared" si="460"/>
        <v>0.51</v>
      </c>
      <c r="ED282" s="86">
        <f t="shared" si="461"/>
        <v>0.51</v>
      </c>
      <c r="EE282" s="30" t="e">
        <f t="shared" ca="1" si="492"/>
        <v>#DIV/0!</v>
      </c>
      <c r="EF282" s="85" t="e">
        <f ca="1">IF(DL282&lt;=Hypothèses!$V$7,Hypothèses!$W$7,IF(DL282&lt;=Hypothèses!$V$8,Hypothèses!$W$8,IF(DL282&lt;=Hypothèses!$V$9,Hypothèses!$W$9,IF(DL282&lt;=Hypothèses!$V$10,Hypothèses!$W$10,IF(DL282&lt;=Hypothèses!$V$11,Hypothèses!$W$11,IF(DL282&lt;=Hypothèses!$V$12,Hypothèses!$W$12,IF(DL282&lt;=Hypothèses!$V$13,Hypothèses!$W$13,IF(DL282&lt;=Hypothèses!$V$14,Hypothèses!$W$14,IF(DL282&lt;=Hypothèses!$V$15,Hypothèses!$W$15,IF(DL282&lt;=Hypothèses!$V$16,Hypothèses!$W$16,IF(DL282&lt;=Hypothèses!$V$17,Hypothèses!$W$17,IF(DL282&lt;=Hypothèses!$V$18,Hypothèses!$W$18,""))))))))))))</f>
        <v>#DIV/0!</v>
      </c>
      <c r="EG282" s="87" t="e">
        <f t="shared" ca="1" si="522"/>
        <v>#DIV/0!</v>
      </c>
      <c r="EH282" s="88" t="e">
        <f ca="1">IF(DL282&lt;=Hypothèses!$V$7,Hypothèses!$X$7,IF(DL282&lt;=Hypothèses!$V$8,Hypothèses!$X$8,IF(DL282&lt;=Hypothèses!$V$9,Hypothèses!$X$9,IF(DL282&lt;=Hypothèses!$V$10,Hypothèses!$X$10,IF(DL282&lt;=Hypothèses!$V$11,Hypothèses!$X$11,IF(DL282&lt;=Hypothèses!$V$12,Hypothèses!$X$12,IF(DL282&lt;=Hypothèses!$V$13,Hypothèses!$X$13,IF(DL282&lt;=Hypothèses!$V$14,Hypothèses!$X$14,IF(DL282&lt;=Hypothèses!$V$15,Hypothèses!$X$15,IF(DL282&lt;=Hypothèses!$V$16,Hypothèses!$X$16,IF(DL282&lt;=Hypothèses!$U$17,Hypothèses!$W$17,IF(DL282&lt;=Hypothèses!$U$18,Hypothèses!$W$18,""))))))))))))</f>
        <v>#DIV/0!</v>
      </c>
      <c r="EI282" s="95" t="e">
        <f t="shared" ca="1" si="493"/>
        <v>#DIV/0!</v>
      </c>
      <c r="EJ282" s="101" t="e">
        <f t="shared" si="529"/>
        <v>#N/A</v>
      </c>
      <c r="EK282" s="91" t="e">
        <f t="shared" si="462"/>
        <v>#N/A</v>
      </c>
      <c r="EL282" s="30" t="e">
        <f t="shared" si="512"/>
        <v>#N/A</v>
      </c>
      <c r="EM282" s="30" t="e">
        <f t="shared" si="513"/>
        <v>#N/A</v>
      </c>
      <c r="EN282" s="31" t="e">
        <f>IF(OR(Hypothèses!$B$4=17,Hypothèses!$B$4=18,Hypothèses!$B$4=19,Hypothèses!$B$4=20),
IF($D282="Pressio.",
IF(OR($E282=3,$E282=1,$E282=4),EM282,EL282),
IF($D282="Pénétro.",
IF(OR($E282=3,$E282=1,$E282=4),EM282,EL282))),IF($D282="Pressio.",
IF($E282=3,EM282,EL282),
IF($D282="Pénétro.",
IF($E282=4,EM282,EL282))))</f>
        <v>#N/A</v>
      </c>
      <c r="EO282" s="31" t="e">
        <f>(IF(OR(Hypothèses!$B$4=17,Hypothèses!$B$4=18,Hypothèses!$B$4=19,Hypothèses!$B$4=20),
IF($D282="Pressio.",
IF(OR($E282=3,$E282=1,$E282=4),(PI()*EO$12^2)/4*(EK282*$W282*1000)/($H282*$B$5),(PI()*EO$12^2)/4*(EK282*$W282*1000)/($G282*$B$5)),
IF($D282="Pénétro.",
IF(OR($E282=4,$E282=1,$E282=5),(PI()*EO$12^2)/4*(EK282*$W282*1000)/($H282*$B$5),(PI()*EO$12^2)/4*(EK282*$W282*1000)/($G282*$B$5)))),
IF($D282="Pressio.",
IF($E282=3,(PI()*EO$12^2)/4*(EK282*$W282*1000)/($H282*$B$5),(PI()*EO$12^2)/4*(EK282*$W282*1000)/($G282*$B$5)),
IF($D282="Pénétro.",
IF($E282=4,(PI()*EO$12^2)/4*(EK282*$W282*1000)/($H282*$B$5),(PI()*EO$12^2)/4*(EK282*$W282*1000)/($G282*$B$5))))))/10</f>
        <v>#N/A</v>
      </c>
      <c r="EP282" s="102" t="e">
        <f>(VLOOKUP($B$3,'Coeff EC7'!$T$39:$X$59,2,0)*EN282+VLOOKUP($B$3,'Coeff EC7'!$T$65:$X$85,2,0)*Model0.1C!EO282)/1.1</f>
        <v>#N/A</v>
      </c>
      <c r="EQ282" s="102" t="e">
        <f>(VLOOKUP($B$3,'Coeff EC7'!$T$39:$X$59,3,0)*EN282+VLOOKUP($B$3,'Coeff EC7'!$T$65:$X$85,3,0)*Model0.1C!EO282)/0.9</f>
        <v>#N/A</v>
      </c>
      <c r="ER282" s="102" t="e">
        <f t="shared" si="494"/>
        <v>#N/A</v>
      </c>
      <c r="ES282" s="102" t="e">
        <f t="shared" si="495"/>
        <v>#N/A</v>
      </c>
      <c r="ET282" s="414" t="e">
        <f>IF(ET281=0,0,IF(AND(EP282&gt;charge_ELS_quasi,EQ282&gt;Charge_ELS_freq,ER282&gt;charge_ELU,ES282&gt;charge_ELA,$B282&gt;NDC!$H$22-0.1+MIN(3*$ET$12,1.5)),0,1))</f>
        <v>#N/A</v>
      </c>
      <c r="EU282" s="86" t="b">
        <f t="shared" si="463"/>
        <v>0</v>
      </c>
      <c r="EV282" s="86">
        <f t="shared" si="464"/>
        <v>0.61</v>
      </c>
      <c r="EW282" s="86">
        <f t="shared" si="465"/>
        <v>0.61</v>
      </c>
      <c r="EX282" s="30" t="e">
        <f t="shared" ca="1" si="496"/>
        <v>#DIV/0!</v>
      </c>
      <c r="EY282" s="85" t="e">
        <f ca="1">IF(EE282&lt;=Hypothèses!$V$7,Hypothèses!$W$7,IF(EE282&lt;=Hypothèses!$V$8,Hypothèses!$W$8,IF(EE282&lt;=Hypothèses!$V$9,Hypothèses!$W$9,IF(EE282&lt;=Hypothèses!$V$10,Hypothèses!$W$10,IF(EE282&lt;=Hypothèses!$V$11,Hypothèses!$W$11,IF(EE282&lt;=Hypothèses!$V$12,Hypothèses!$W$12,IF(EE282&lt;=Hypothèses!$V$13,Hypothèses!$W$13,IF(EE282&lt;=Hypothèses!$V$14,Hypothèses!$W$14,IF(EE282&lt;=Hypothèses!$V$15,Hypothèses!$W$15,IF(EE282&lt;=Hypothèses!$V$16,Hypothèses!$W$16,IF(EE282&lt;=Hypothèses!$V$17,Hypothèses!$W$17,IF(EE282&lt;=Hypothèses!$V$18,Hypothèses!$W$18,""))))))))))))</f>
        <v>#DIV/0!</v>
      </c>
      <c r="EZ282" s="87" t="e">
        <f t="shared" ca="1" si="523"/>
        <v>#DIV/0!</v>
      </c>
      <c r="FA282" s="88" t="e">
        <f ca="1">IF(EE282&lt;=Hypothèses!$V$7,Hypothèses!$X$7,IF(EE282&lt;=Hypothèses!$V$8,Hypothèses!$X$8,IF(EE282&lt;=Hypothèses!$V$9,Hypothèses!$X$9,IF(EE282&lt;=Hypothèses!$V$10,Hypothèses!$X$10,IF(EE282&lt;=Hypothèses!$V$11,Hypothèses!$X$11,IF(EE282&lt;=Hypothèses!$V$12,Hypothèses!$X$12,IF(EE282&lt;=Hypothèses!$V$13,Hypothèses!$X$13,IF(EE282&lt;=Hypothèses!$V$14,Hypothèses!$X$14,IF(EE282&lt;=Hypothèses!$V$15,Hypothèses!$X$15,IF(EE282&lt;=Hypothèses!$V$16,Hypothèses!$X$16,IF(EE282&lt;=Hypothèses!$U$17,Hypothèses!$W$17,IF(EE282&lt;=Hypothèses!$U$18,Hypothèses!$W$18,""))))))))))))</f>
        <v>#DIV/0!</v>
      </c>
      <c r="FB282" s="95" t="e">
        <f t="shared" ca="1" si="497"/>
        <v>#DIV/0!</v>
      </c>
      <c r="FC282" s="101" t="e">
        <f t="shared" si="530"/>
        <v>#N/A</v>
      </c>
      <c r="FD282" s="91" t="e">
        <f t="shared" si="466"/>
        <v>#N/A</v>
      </c>
      <c r="FE282" s="30" t="e">
        <f t="shared" si="514"/>
        <v>#N/A</v>
      </c>
      <c r="FF282" s="30" t="e">
        <f t="shared" si="515"/>
        <v>#N/A</v>
      </c>
      <c r="FG282" s="31" t="e">
        <f>IF(OR(Hypothèses!$B$4=17,Hypothèses!$B$4=18,Hypothèses!$B$4=19,Hypothèses!$B$4=20),
IF($D282="Pressio.",
IF(OR($E282=3,$E282=1,$E282=4),FF282,FE282),
IF($D282="Pénétro.",
IF(OR($E282=3,$E282=1,$E282=4),FF282,FE282))),IF($D282="Pressio.",
IF($E282=3,FF282,FE282),
IF($D282="Pénétro.",
IF($E282=4,FF282,FE282))))</f>
        <v>#N/A</v>
      </c>
      <c r="FH282" s="31" t="e">
        <f>(IF(OR(Hypothèses!$B$4=17,Hypothèses!$B$4=18,Hypothèses!$B$4=19,Hypothèses!$B$4=20),
IF($D282="Pressio.",
IF(OR($E282=3,$E282=1,$E282=4),(PI()*FH$12^2)/4*(FD282*$W282*1000)/($H282*$B$5),(PI()*FH$12^2)/4*(FD282*$W282*1000)/($G282*$B$5)),
IF($D282="Pénétro.",
IF(OR($E282=4,$E282=1,$E282=5),(PI()*FH$12^2)/4*(FD282*$W282*1000)/($H282*$B$5),(PI()*FH$12^2)/4*(FD282*$W282*1000)/($G282*$B$5)))),
IF($D282="Pressio.",
IF($E282=3,(PI()*FH$12^2)/4*(FD282*$W282*1000)/($H282*$B$5),(PI()*FH$12^2)/4*(FD282*$W282*1000)/($G282*$B$5)),
IF($D282="Pénétro.",
IF($E282=4,(PI()*FH$12^2)/4*(FD282*$W282*1000)/($H282*$B$5),(PI()*FH$12^2)/4*(FD282*$W282*1000)/($G282*$B$5))))))/10</f>
        <v>#N/A</v>
      </c>
      <c r="FI282" s="102" t="e">
        <f>(VLOOKUP($B$3,'Coeff EC7'!$T$39:$X$59,2,0)*FG282+VLOOKUP($B$3,'Coeff EC7'!$T$65:$X$85,2,0)*Model0.1C!FH282)/1.1</f>
        <v>#N/A</v>
      </c>
      <c r="FJ282" s="102" t="e">
        <f>(VLOOKUP($B$3,'Coeff EC7'!$T$39:$X$59,3,0)*FG282+VLOOKUP($B$3,'Coeff EC7'!$T$65:$X$85,3,0)*Model0.1C!FH282)/0.9</f>
        <v>#N/A</v>
      </c>
      <c r="FK282" s="102" t="e">
        <f t="shared" si="498"/>
        <v>#N/A</v>
      </c>
      <c r="FL282" s="102" t="e">
        <f t="shared" si="499"/>
        <v>#N/A</v>
      </c>
      <c r="FM282" s="414" t="e">
        <f>IF(FM281=0,0,IF(AND(FI282&gt;charge_ELS_quasi,FJ282&gt;Charge_ELS_freq,FK282&gt;charge_ELU,FL282&gt;charge_ELA,$B282&gt;NDC!$H$22-0.1+MIN(3*$FM$12,1.5)),0,1))</f>
        <v>#N/A</v>
      </c>
    </row>
    <row r="283" spans="1:169">
      <c r="A283" s="96">
        <f t="shared" si="467"/>
        <v>73.000000000001535</v>
      </c>
      <c r="B283" s="97">
        <v>27</v>
      </c>
      <c r="C283" s="81">
        <f>IF(B283&lt;=Hypothèses!$C$7,Hypothèses!$A$7,IF(B283&lt;=Hypothèses!$C$8,Hypothèses!$A$8,IF(B283&lt;=Hypothèses!$C$9,Hypothèses!$A$9,IF(B283&lt;=Hypothèses!$C$10,Hypothèses!$A$10,IF(B283&lt;=Hypothèses!$C$11,Hypothèses!$A$11,IF(B283&lt;=Hypothèses!$C$12,Hypothèses!$A$12,IF(B283&lt;=Hypothèses!$C$13,Hypothèses!$A$13,IF(B283&lt;=Hypothèses!$C$14,Hypothèses!$A$14,IF(B283&lt;=Hypothèses!$C$15,Hypothèses!$A$15,IF(B283&lt;=Hypothèses!$C$16,Hypothèses!$A$16,IF(B283&lt;=Hypothèses!$C$17,Hypothèses!$A$17,IF(B283&lt;=Hypothèses!$C$18,Hypothèses!$A$18,C282))))))))))))</f>
        <v>11</v>
      </c>
      <c r="D283" s="82" t="str">
        <f>IF(B283&lt;=Hypothèses!$C$7,Hypothèses!$R$7,IF(B283&lt;=Hypothèses!$C$8,Hypothèses!$R$8,IF(B283&lt;=Hypothèses!$C$9,Hypothèses!$R$9,IF(B283&lt;=Hypothèses!$C$10,Hypothèses!$R$10,IF(B283&lt;=Hypothèses!$C$11,Hypothèses!$R$11,IF(B283&lt;=Hypothèses!$C$12,Hypothèses!$R$12,IF(B283&lt;=Hypothèses!$C$13,Hypothèses!$R$13,IF(B283&lt;=Hypothèses!$C$14,Hypothèses!$R$14,IF(B283&lt;=Hypothèses!$C$15,Hypothèses!$R$15,IF(B283&lt;=Hypothèses!$C$16,Hypothèses!$R$16,IF(B283&lt;=Hypothèses!$C$17,Hypothèses!$R$17,IF(B283&lt;=Hypothèses!$C$18,Hypothèses!$R$18,D282))))))))))))</f>
        <v>Pressio.</v>
      </c>
      <c r="E283" s="82" t="e">
        <f>IF(B283&lt;=Hypothèses!$C$7,Hypothèses!$G$7,IF(B283&lt;=Hypothèses!$C$8,Hypothèses!$G$8,IF(B283&lt;=Hypothèses!$C$9,Hypothèses!$G$9,IF(B283&lt;=Hypothèses!$C$10,Hypothèses!$G$10,IF(B283&lt;=Hypothèses!$C$11,Hypothèses!$G$11,IF(B283&lt;=Hypothèses!$C$12,Hypothèses!$G$12,IF(B283&lt;=Hypothèses!$C$13,Hypothèses!$G$13,IF(B283&lt;=Hypothèses!$C$14,Hypothèses!$G$14,IF(B283&lt;=Hypothèses!$C$15,Hypothèses!$G$15,IF(B283&lt;=Hypothèses!$C$16,Hypothèses!$G$16,IF(B283&lt;=Hypothèses!$C$17,Hypothèses!$G$17,IF(B283&lt;=Hypothèses!$C$18,Hypothèses!$G$18,E282))))))))))))</f>
        <v>#N/A</v>
      </c>
      <c r="F283" s="82" t="str">
        <f>IF(B283&lt;=Hypothèses!$C$7,Hypothèses!$F$7,IF(B283&lt;=Hypothèses!$C$8,Hypothèses!$F$8,IF(B283&lt;=Hypothèses!$C$9,Hypothèses!$F$9,IF(B283&lt;=Hypothèses!$C$10,Hypothèses!$F$10,IF(B283&lt;=Hypothèses!$C$11,Hypothèses!$F$11,IF(B283&lt;=Hypothèses!$C$12,Hypothèses!$F$12,IF(B283&lt;=Hypothèses!$C$13,Hypothèses!$F$13,IF(B283&lt;=Hypothèses!$C$14,Hypothèses!$F$14,IF(B283&lt;=Hypothèses!$C$15,Hypothèses!$F$15,IF(B283&lt;=Hypothèses!$C$16,Hypothèses!$F$16,IF(B283&lt;=Hypothèses!$C$17,Hypothèses!$F$17,IF(B283&lt;=Hypothèses!$C$18,Hypothèses!$F$18,F282))))))))))))</f>
        <v/>
      </c>
      <c r="G283" s="91">
        <f t="array" ref="G283">INDEX('Coeff EC7'!$U$7:$X$27,
MATCH(Model0.1C!$B$3,'Coeff EC7'!$T$7:$T$27,0),
MATCH(Model0.1C!$D283&amp;Model0.1C!$B$4,
'Coeff EC7'!$U$6:$X$6&amp;
'Coeff EC7'!$U$5:$X$5,0))</f>
        <v>1.1499999999999999</v>
      </c>
      <c r="H283" s="91">
        <f t="array" ref="H283">INDEX('Coeff EC7'!$Y$7:$AB$27,
MATCH(Model0.1C!$B$3,'Coeff EC7'!$T$7:$T$27,0),
MATCH(Model0.1C!$D283&amp;Model0.1C!$B$4,
'Coeff EC7'!$Y$6:$AB$6&amp;
'Coeff EC7'!$Y$5:$AB$5,0))</f>
        <v>1.4</v>
      </c>
      <c r="I283" s="83" t="e">
        <f>IF(B283&lt;=Hypothèses!$C$7,Hypothèses!$P$7,IF(B283&lt;=Hypothèses!$C$8,Hypothèses!$P$8,IF(B283&lt;=Hypothèses!$C$9,Hypothèses!$P$9,IF(B283&lt;=Hypothèses!$C$10,Hypothèses!$P$10,IF(B283&lt;=Hypothèses!$C$11,Hypothèses!$P$11,IF(B283&lt;=Hypothèses!$C$12,Hypothèses!$P$12,IF(B283&lt;=Hypothèses!$C$13,Hypothèses!$P$13,IF(B283&lt;=Hypothèses!$C$14,Hypothèses!$P$14,IF(B283&lt;=Hypothèses!$C$15,Hypothèses!$P$15,IF(B283&lt;=Hypothèses!$C$16,Hypothèses!$P$16,IF(B283&lt;=Hypothèses!$C$17,Hypothèses!$P$17,IF(B283&lt;=Hypothèses!$C$18,Hypothèses!$P$18,I282))))))))))))</f>
        <v>#N/A</v>
      </c>
      <c r="J283" s="91" t="e">
        <f t="array" ref="J283">INDEX('Coeff EC7'!$D$33:$Q$33,1,MATCH(D283&amp;E283,'Coeff EC7'!$D$31:$Q$31&amp;'Coeff EC7'!$D$32:$Q$32,0))</f>
        <v>#N/A</v>
      </c>
      <c r="K283" s="91" t="e">
        <f t="array" ref="K283">INDEX('Coeff EC7'!$D$34:$Q$34,1,MATCH(D283&amp;E283,'Coeff EC7'!$D$31:$Q$31&amp;'Coeff EC7'!$D$32:$Q$32,0))</f>
        <v>#N/A</v>
      </c>
      <c r="L283" s="91" t="e">
        <f t="array" ref="L283">INDEX('Coeff EC7'!$D$35:$Q$35,1,MATCH(D283&amp;E283,'Coeff EC7'!$D$31:$Q$31&amp;'Coeff EC7'!$D$32:$Q$32,0))</f>
        <v>#N/A</v>
      </c>
      <c r="M283" s="98" t="e">
        <f t="shared" si="431"/>
        <v>#N/A</v>
      </c>
      <c r="N283" s="99" t="e">
        <f t="array" ref="N283">INDEX('Coeff EC7'!$D$7:$Q$27,MATCH($B$3,'Coeff EC7'!$C$7:$C$27,0),MATCH(D283&amp;E283,'Coeff EC7'!$D$5:$Q$5&amp;'Coeff EC7'!$D$6:$Q$6,0))</f>
        <v>#N/A</v>
      </c>
      <c r="O283" s="99" t="e">
        <f t="array" ref="O283">INDEX('Coeff EC7'!$D$41:$Q$61,MATCH($B$3,'Coeff EC7'!$C$41:$C$61,0),MATCH(D283&amp;E283,'Coeff EC7'!$D$39:$Q$39&amp;'Coeff EC7'!$D$40:$Q$40,0))</f>
        <v>#N/A</v>
      </c>
      <c r="P283" s="30" t="e">
        <f t="shared" si="468"/>
        <v>#N/A</v>
      </c>
      <c r="Q283" s="100" t="e">
        <f t="shared" si="433"/>
        <v>#N/A</v>
      </c>
      <c r="R283" s="86" t="b">
        <f t="shared" si="434"/>
        <v>0</v>
      </c>
      <c r="S283" s="86">
        <f t="shared" si="432"/>
        <v>0.5</v>
      </c>
      <c r="T283" s="86">
        <f t="shared" si="435"/>
        <v>0.5</v>
      </c>
      <c r="U283" s="30" t="e">
        <f t="shared" ca="1" si="469"/>
        <v>#DIV/0!</v>
      </c>
      <c r="V283" s="85" t="str">
        <f>IF(B283&lt;=Hypothèses!$V$7,Hypothèses!$W$7,IF(B283&lt;=Hypothèses!$V$8,Hypothèses!$W$8,IF(B283&lt;=Hypothèses!$V$9,Hypothèses!$W$9,IF(B283&lt;=Hypothèses!$V$10,Hypothèses!$W$10,IF(B283&lt;=Hypothèses!$V$11,Hypothèses!$W$11,IF(B283&lt;=Hypothèses!$V$12,Hypothèses!$W$12,IF(B283&lt;=Hypothèses!$V$13,Hypothèses!$W$13,IF(B283&lt;=Hypothèses!$V$14,Hypothèses!$W$14,IF(B283&lt;=Hypothèses!$V$15,Hypothèses!$W$15,IF(B283&lt;=Hypothèses!$V$16,Hypothèses!$W$16,IF(B283&lt;=Hypothèses!$V$17,Hypothèses!$W$17,IF(B283&lt;=Hypothèses!$V$18,Hypothèses!$W$18,""))))))))))))</f>
        <v/>
      </c>
      <c r="W283" s="87" t="e">
        <f t="shared" ca="1" si="516"/>
        <v>#DIV/0!</v>
      </c>
      <c r="X283" s="88" t="str">
        <f>IF(B283&lt;=Hypothèses!$V$7,Hypothèses!$X$7,IF(B283&lt;=Hypothèses!$V$8,Hypothèses!$X$8,IF(B283&lt;=Hypothèses!$V$9,Hypothèses!$X$9,IF(B283&lt;=Hypothèses!$V$10,Hypothèses!$X$10,IF(B283&lt;=Hypothèses!$V$11,Hypothèses!$X$11,IF(B283&lt;=Hypothèses!$V$12,Hypothèses!$X$12,IF(B283&lt;=Hypothèses!$V$13,Hypothèses!$X$13,IF(B283&lt;=Hypothèses!$V$14,Hypothèses!$X$14,IF(B283&lt;=Hypothèses!$V$15,Hypothèses!$X$15,IF(B283&lt;=Hypothèses!$V$16,Hypothèses!$X$16,IF(B283&lt;=Hypothèses!$U$17,Hypothèses!$W$17,IF(B283&lt;=Hypothèses!$U$18,Hypothèses!$W$18,""))))))))))))</f>
        <v/>
      </c>
      <c r="Y283" s="95" t="e">
        <f t="shared" ca="1" si="436"/>
        <v>#DIV/0!</v>
      </c>
      <c r="Z283" s="101" t="e">
        <f t="shared" si="437"/>
        <v>#N/A</v>
      </c>
      <c r="AA283" s="91" t="e">
        <f t="shared" si="438"/>
        <v>#N/A</v>
      </c>
      <c r="AB283" s="30" t="e">
        <f t="shared" si="500"/>
        <v>#N/A</v>
      </c>
      <c r="AC283" s="30" t="e">
        <f t="shared" si="501"/>
        <v>#N/A</v>
      </c>
      <c r="AD283" s="31" t="e">
        <f>IF(OR(Hypothèses!$B$4=17,Hypothèses!$B$4=18,Hypothèses!$B$4=19,Hypothèses!$B$4=20),
IF($D283="Pressio.",
IF(OR($E283=3,$E283=1,$E283=4),AC283,AB283),
IF($D283="Pénétro.",
IF(OR($E283=3,$E283=1,$E283=4),AC283,AB283))),IF($D283="Pressio.",
IF($E283=3,AC283,AB283),
IF($D283="Pénétro.",
IF($E283=4,AC283,AB283))))</f>
        <v>#N/A</v>
      </c>
      <c r="AE283" s="31" t="e">
        <f>(IF(OR(Hypothèses!$B$4=17,Hypothèses!$B$4=18,Hypothèses!$B$4=19,Hypothèses!$B$4=20),
IF($D283="Pressio.",
IF(OR($E283=3,$E283=1,$E283=4),(PI()*AE$12^2)/4*(AA283*$W283*1000)/($H283*$B$5),(PI()*AE$12^2)/4*(AA283*$W283*1000)/($G283*$B$5)),
IF($D283="Pénétro.",
IF(OR($E283=4,$E283=1,$E283=5),(PI()*AE$12^2)/4*(AA283*$W283*1000)/($H283*$B$5),(PI()*AE$12^2)/4*(AA283*$W283*1000)/($G283*$B$5)))),
IF($D283="Pressio.",
IF($E283=3,(PI()*AE$12^2)/4*(AA283*$W283*1000)/($H283*$B$5),(PI()*AE$12^2)/4*(AA283*$W283*1000)/($G283*$B$5)),
IF($D283="Pénétro.",
IF($E283=4,(PI()*AE$12^2)/4*(AA283*$W283*1000)/($H283*$B$5),(PI()*AE$12^2)/4*(AA283*$W283*1000)/($G283*$B$5))))))/10</f>
        <v>#N/A</v>
      </c>
      <c r="AF283" s="102" t="e">
        <f>(VLOOKUP($B$3,'Coeff EC7'!$T$39:$X$59,2,0)*AD283+VLOOKUP($B$3,'Coeff EC7'!$T$65:$X$85,2,0)*Model0.1C!AE283)/1.1</f>
        <v>#N/A</v>
      </c>
      <c r="AG283" s="102" t="e">
        <f>(VLOOKUP($B$3,'Coeff EC7'!$T$39:$X$59,3,0)*AD283+VLOOKUP($B$3,'Coeff EC7'!$T$65:$X$85,3,0)*Model0.1C!AE283)/0.9</f>
        <v>#N/A</v>
      </c>
      <c r="AH283" s="102" t="e">
        <f t="shared" si="439"/>
        <v>#N/A</v>
      </c>
      <c r="AI283" s="102" t="e">
        <f t="shared" si="440"/>
        <v>#N/A</v>
      </c>
      <c r="AJ283" s="414" t="e">
        <f>IF(AJ282=0,0,IF(AND(AF283&gt;charge_ELS_quasi,AG283&gt;Charge_ELS_freq,AH283&gt;charge_ELU,AI283&gt;charge_ELA,$B283&gt;NDC!$H$22-0.1+MIN(3*$AJ$12,1.5)),0,1))</f>
        <v>#N/A</v>
      </c>
      <c r="AK283" s="86" t="b">
        <f t="shared" si="441"/>
        <v>0</v>
      </c>
      <c r="AL283" s="86">
        <f t="shared" si="470"/>
        <v>0.5</v>
      </c>
      <c r="AM283" s="86">
        <f t="shared" si="442"/>
        <v>0.5</v>
      </c>
      <c r="AN283" s="30" t="e">
        <f t="shared" ca="1" si="471"/>
        <v>#DIV/0!</v>
      </c>
      <c r="AO283" s="85" t="e">
        <f ca="1">IF(U283&lt;=Hypothèses!$V$7,Hypothèses!$W$7,IF(U283&lt;=Hypothèses!$V$8,Hypothèses!$W$8,IF(U283&lt;=Hypothèses!$V$9,Hypothèses!$W$9,IF(U283&lt;=Hypothèses!$V$10,Hypothèses!$W$10,IF(U283&lt;=Hypothèses!$V$11,Hypothèses!$W$11,IF(U283&lt;=Hypothèses!$V$12,Hypothèses!$W$12,IF(U283&lt;=Hypothèses!$V$13,Hypothèses!$W$13,IF(U283&lt;=Hypothèses!$V$14,Hypothèses!$W$14,IF(U283&lt;=Hypothèses!$V$15,Hypothèses!$W$15,IF(U283&lt;=Hypothèses!$V$16,Hypothèses!$W$16,IF(U283&lt;=Hypothèses!$V$17,Hypothèses!$W$17,IF(U283&lt;=Hypothèses!$V$18,Hypothèses!$W$18,""))))))))))))</f>
        <v>#DIV/0!</v>
      </c>
      <c r="AP283" s="87" t="e">
        <f t="shared" ca="1" si="517"/>
        <v>#DIV/0!</v>
      </c>
      <c r="AQ283" s="88" t="e">
        <f ca="1">IF(U283&lt;=Hypothèses!$V$7,Hypothèses!$X$7,IF(U283&lt;=Hypothèses!$V$8,Hypothèses!$X$8,IF(U283&lt;=Hypothèses!$V$9,Hypothèses!$X$9,IF(U283&lt;=Hypothèses!$V$10,Hypothèses!$X$10,IF(U283&lt;=Hypothèses!$V$11,Hypothèses!$X$11,IF(U283&lt;=Hypothèses!$V$12,Hypothèses!$X$12,IF(U283&lt;=Hypothèses!$V$13,Hypothèses!$X$13,IF(U283&lt;=Hypothèses!$V$14,Hypothèses!$X$14,IF(U283&lt;=Hypothèses!$V$15,Hypothèses!$X$15,IF(U283&lt;=Hypothèses!$V$16,Hypothèses!$X$16,IF(U283&lt;=Hypothèses!$U$17,Hypothèses!$W$17,IF(U283&lt;=Hypothèses!$U$18,Hypothèses!$W$18,""))))))))))))</f>
        <v>#DIV/0!</v>
      </c>
      <c r="AR283" s="95" t="e">
        <f t="shared" ca="1" si="472"/>
        <v>#DIV/0!</v>
      </c>
      <c r="AS283" s="101" t="e">
        <f t="shared" si="524"/>
        <v>#N/A</v>
      </c>
      <c r="AT283" s="91" t="e">
        <f t="shared" si="443"/>
        <v>#N/A</v>
      </c>
      <c r="AU283" s="30" t="e">
        <f t="shared" si="502"/>
        <v>#N/A</v>
      </c>
      <c r="AV283" s="30" t="e">
        <f t="shared" si="503"/>
        <v>#N/A</v>
      </c>
      <c r="AW283" s="31" t="e">
        <f>IF(OR(Hypothèses!$B$4=17,Hypothèses!$B$4=18,Hypothèses!$B$4=19,Hypothèses!$B$4=20),
IF($D283="Pressio.",
IF(OR($E283=3,$E283=1,$E283=4),AV283,AU283),
IF($D283="Pénétro.",
IF(OR($E283=3,$E283=1,$E283=4),AV283,AU283))),IF($D283="Pressio.",
IF($E283=3,AV283,AU283),
IF($D283="Pénétro.",
IF($E283=4,AV283,AU283))))</f>
        <v>#N/A</v>
      </c>
      <c r="AX283" s="31" t="e">
        <f>(IF(OR(Hypothèses!$B$4=17,Hypothèses!$B$4=18,Hypothèses!$B$4=19,Hypothèses!$B$4=20),
IF($D283="Pressio.",
IF(OR($E283=3,$E283=1,$E283=4),(PI()*AX$12^2)/4*(AT283*$W283*1000)/($H283*$B$5),(PI()*AX$12^2)/4*(AT283*$W283*1000)/($G283*$B$5)),
IF($D283="Pénétro.",
IF(OR($E283=4,$E283=1,$E283=5),(PI()*AX$12^2)/4*(AT283*$W283*1000)/($H283*$B$5),(PI()*AX$12^2)/4*(AT283*$W283*1000)/($G283*$B$5)))),
IF($D283="Pressio.",
IF($E283=3,(PI()*AX$12^2)/4*(AT283*$W283*1000)/($H283*$B$5),(PI()*AX$12^2)/4*(AT283*$W283*1000)/($G283*$B$5)),
IF($D283="Pénétro.",
IF($E283=4,(PI()*AX$12^2)/4*(AT283*$W283*1000)/($H283*$B$5),(PI()*AX$12^2)/4*(AT283*$W283*1000)/($G283*$B$5))))))/10</f>
        <v>#N/A</v>
      </c>
      <c r="AY283" s="102" t="e">
        <f>(VLOOKUP($B$3,'Coeff EC7'!$T$39:$X$59,2,0)*AW283+VLOOKUP($B$3,'Coeff EC7'!$T$65:$X$85,2,0)*Model0.1C!AX283)/1.1</f>
        <v>#N/A</v>
      </c>
      <c r="AZ283" s="102" t="e">
        <f>(VLOOKUP($B$3,'Coeff EC7'!$T$39:$X$59,3,0)*AW283+VLOOKUP($B$3,'Coeff EC7'!$T$65:$X$85,3,0)*Model0.1C!AX283)/0.9</f>
        <v>#N/A</v>
      </c>
      <c r="BA283" s="102" t="e">
        <f t="shared" si="473"/>
        <v>#N/A</v>
      </c>
      <c r="BB283" s="102" t="e">
        <f t="shared" si="474"/>
        <v>#N/A</v>
      </c>
      <c r="BC283" s="414" t="e">
        <f>IF(BC282=0,0,IF(AND(AY283&gt;charge_ELS_quasi,AZ283&gt;Charge_ELS_freq,BA283&gt;charge_ELU,BB283&gt;charge_ELA,$B283&gt;NDC!$H$22-0.1+MIN(3*$BC$12,1.5)),0,1))</f>
        <v>#N/A</v>
      </c>
      <c r="BD283" s="86" t="b">
        <f t="shared" si="444"/>
        <v>0</v>
      </c>
      <c r="BE283" s="86">
        <f t="shared" si="475"/>
        <v>0.5</v>
      </c>
      <c r="BF283" s="86">
        <f t="shared" si="445"/>
        <v>0.5</v>
      </c>
      <c r="BG283" s="30" t="e">
        <f t="shared" ca="1" si="476"/>
        <v>#DIV/0!</v>
      </c>
      <c r="BH283" s="85" t="e">
        <f ca="1">IF(AN283&lt;=Hypothèses!$V$7,Hypothèses!$W$7,IF(AN283&lt;=Hypothèses!$V$8,Hypothèses!$W$8,IF(AN283&lt;=Hypothèses!$V$9,Hypothèses!$W$9,IF(AN283&lt;=Hypothèses!$V$10,Hypothèses!$W$10,IF(AN283&lt;=Hypothèses!$V$11,Hypothèses!$W$11,IF(AN283&lt;=Hypothèses!$V$12,Hypothèses!$W$12,IF(AN283&lt;=Hypothèses!$V$13,Hypothèses!$W$13,IF(AN283&lt;=Hypothèses!$V$14,Hypothèses!$W$14,IF(AN283&lt;=Hypothèses!$V$15,Hypothèses!$W$15,IF(AN283&lt;=Hypothèses!$V$16,Hypothèses!$W$16,IF(AN283&lt;=Hypothèses!$V$17,Hypothèses!$W$17,IF(AN283&lt;=Hypothèses!$V$18,Hypothèses!$W$18,""))))))))))))</f>
        <v>#DIV/0!</v>
      </c>
      <c r="BI283" s="87" t="e">
        <f t="shared" ca="1" si="518"/>
        <v>#DIV/0!</v>
      </c>
      <c r="BJ283" s="88" t="e">
        <f ca="1">IF(AN283&lt;=Hypothèses!$V$7,Hypothèses!$X$7,IF(AN283&lt;=Hypothèses!$V$8,Hypothèses!$X$8,IF(AN283&lt;=Hypothèses!$V$9,Hypothèses!$X$9,IF(AN283&lt;=Hypothèses!$V$10,Hypothèses!$X$10,IF(AN283&lt;=Hypothèses!$V$11,Hypothèses!$X$11,IF(AN283&lt;=Hypothèses!$V$12,Hypothèses!$X$12,IF(AN283&lt;=Hypothèses!$V$13,Hypothèses!$X$13,IF(AN283&lt;=Hypothèses!$V$14,Hypothèses!$X$14,IF(AN283&lt;=Hypothèses!$V$15,Hypothèses!$X$15,IF(AN283&lt;=Hypothèses!$V$16,Hypothèses!$X$16,IF(AN283&lt;=Hypothèses!$U$17,Hypothèses!$W$17,IF(AN283&lt;=Hypothèses!$U$18,Hypothèses!$W$18,""))))))))))))</f>
        <v>#DIV/0!</v>
      </c>
      <c r="BK283" s="95" t="e">
        <f t="shared" ca="1" si="477"/>
        <v>#DIV/0!</v>
      </c>
      <c r="BL283" s="101" t="e">
        <f t="shared" si="525"/>
        <v>#N/A</v>
      </c>
      <c r="BM283" s="91" t="e">
        <f t="shared" si="446"/>
        <v>#N/A</v>
      </c>
      <c r="BN283" s="30" t="e">
        <f t="shared" si="504"/>
        <v>#N/A</v>
      </c>
      <c r="BO283" s="30" t="e">
        <f t="shared" si="505"/>
        <v>#N/A</v>
      </c>
      <c r="BP283" s="31" t="e">
        <f>IF(OR(Hypothèses!$B$4=17,Hypothèses!$B$4=18,Hypothèses!$B$4=19,Hypothèses!$B$4=20),
IF($D283="Pressio.",
IF(OR($E283=3,$E283=1,$E283=4),BO283,BN283),
IF($D283="Pénétro.",
IF(OR($E283=3,$E283=1,$E283=4),BO283,BN283))),IF($D283="Pressio.",
IF($E283=3,BO283,BN283),
IF($D283="Pénétro.",
IF($E283=4,BO283,BN283))))</f>
        <v>#N/A</v>
      </c>
      <c r="BQ283" s="31" t="e">
        <f>(IF(OR(Hypothèses!$B$4=17,Hypothèses!$B$4=18,Hypothèses!$B$4=19,Hypothèses!$B$4=20),
IF($D283="Pressio.",
IF(OR($E283=3,$E283=1,$E283=4),(PI()*BQ$12^2)/4*(BM283*$W283*1000)/($H283*$B$5),(PI()*BQ$12^2)/4*(BM283*$W283*1000)/($G283*$B$5)),
IF($D283="Pénétro.",
IF(OR($E283=4,$E283=1,$E283=5),(PI()*BQ$12^2)/4*(BM283*$W283*1000)/($H283*$B$5),(PI()*BQ$12^2)/4*(BM283*$W283*1000)/($G283*$B$5)))),
IF($D283="Pressio.",
IF($E283=3,(PI()*BQ$12^2)/4*(BM283*$W283*1000)/($H283*$B$5),(PI()*BQ$12^2)/4*(BM283*$W283*1000)/($G283*$B$5)),
IF($D283="Pénétro.",
IF($E283=4,(PI()*BQ$12^2)/4*(BM283*$W283*1000)/($H283*$B$5),(PI()*BQ$12^2)/4*(BM283*$W283*1000)/($G283*$B$5))))))/10</f>
        <v>#N/A</v>
      </c>
      <c r="BR283" s="102" t="e">
        <f>(VLOOKUP($B$3,'Coeff EC7'!$T$39:$X$59,2,0)*BP283+VLOOKUP($B$3,'Coeff EC7'!$T$65:$X$85,2,0)*Model0.1C!BQ283)/1.1</f>
        <v>#N/A</v>
      </c>
      <c r="BS283" s="102" t="e">
        <f>(VLOOKUP($B$3,'Coeff EC7'!$T$39:$X$59,3,0)*BP283+VLOOKUP($B$3,'Coeff EC7'!$T$65:$X$85,3,0)*Model0.1C!BQ283)/0.9</f>
        <v>#N/A</v>
      </c>
      <c r="BT283" s="102" t="e">
        <f t="shared" si="478"/>
        <v>#N/A</v>
      </c>
      <c r="BU283" s="102" t="e">
        <f t="shared" si="479"/>
        <v>#N/A</v>
      </c>
      <c r="BV283" s="414" t="e">
        <f>IF(BV282=0,0,IF(AND(BR283&gt;charge_ELS_quasi,BS283&gt;Charge_ELS_freq,BT283&gt;charge_ELU,BU283&gt;charge_ELA,$B283&gt;NDC!$H$22-0.1+MIN(3*$BV$12,1.5)),0,1))</f>
        <v>#N/A</v>
      </c>
      <c r="BW283" s="86" t="b">
        <f t="shared" si="447"/>
        <v>0</v>
      </c>
      <c r="BX283" s="86">
        <f t="shared" si="448"/>
        <v>0.5</v>
      </c>
      <c r="BY283" s="86">
        <f t="shared" si="449"/>
        <v>0.5</v>
      </c>
      <c r="BZ283" s="30" t="e">
        <f t="shared" ca="1" si="480"/>
        <v>#DIV/0!</v>
      </c>
      <c r="CA283" s="85" t="e">
        <f ca="1">IF(BG283&lt;=Hypothèses!$V$7,Hypothèses!$W$7,IF(BG283&lt;=Hypothèses!$V$8,Hypothèses!$W$8,IF(BG283&lt;=Hypothèses!$V$9,Hypothèses!$W$9,IF(BG283&lt;=Hypothèses!$V$10,Hypothèses!$W$10,IF(BG283&lt;=Hypothèses!$V$11,Hypothèses!$W$11,IF(BG283&lt;=Hypothèses!$V$12,Hypothèses!$W$12,IF(BG283&lt;=Hypothèses!$V$13,Hypothèses!$W$13,IF(BG283&lt;=Hypothèses!$V$14,Hypothèses!$W$14,IF(BG283&lt;=Hypothèses!$V$15,Hypothèses!$W$15,IF(BG283&lt;=Hypothèses!$V$16,Hypothèses!$W$16,IF(BG283&lt;=Hypothèses!$V$17,Hypothèses!$W$17,IF(BG283&lt;=Hypothèses!$V$18,Hypothèses!$W$18,""))))))))))))</f>
        <v>#DIV/0!</v>
      </c>
      <c r="CB283" s="87" t="e">
        <f t="shared" ca="1" si="519"/>
        <v>#DIV/0!</v>
      </c>
      <c r="CC283" s="88" t="e">
        <f ca="1">IF(BG283&lt;=Hypothèses!$V$7,Hypothèses!$X$7,IF(BG283&lt;=Hypothèses!$V$8,Hypothèses!$X$8,IF(BG283&lt;=Hypothèses!$V$9,Hypothèses!$X$9,IF(BG283&lt;=Hypothèses!$V$10,Hypothèses!$X$10,IF(BG283&lt;=Hypothèses!$V$11,Hypothèses!$X$11,IF(BG283&lt;=Hypothèses!$V$12,Hypothèses!$X$12,IF(BG283&lt;=Hypothèses!$V$13,Hypothèses!$X$13,IF(BG283&lt;=Hypothèses!$V$14,Hypothèses!$X$14,IF(BG283&lt;=Hypothèses!$V$15,Hypothèses!$X$15,IF(BG283&lt;=Hypothèses!$V$16,Hypothèses!$X$16,IF(BG283&lt;=Hypothèses!$U$17,Hypothèses!$W$17,IF(BG283&lt;=Hypothèses!$U$18,Hypothèses!$W$18,""))))))))))))</f>
        <v>#DIV/0!</v>
      </c>
      <c r="CD283" s="95" t="e">
        <f t="shared" ca="1" si="481"/>
        <v>#DIV/0!</v>
      </c>
      <c r="CE283" s="101" t="e">
        <f t="shared" si="526"/>
        <v>#N/A</v>
      </c>
      <c r="CF283" s="91" t="e">
        <f t="shared" si="450"/>
        <v>#N/A</v>
      </c>
      <c r="CG283" s="30" t="e">
        <f t="shared" si="506"/>
        <v>#N/A</v>
      </c>
      <c r="CH283" s="30" t="e">
        <f t="shared" si="507"/>
        <v>#N/A</v>
      </c>
      <c r="CI283" s="31" t="e">
        <f>IF(OR(Hypothèses!$B$4=17,Hypothèses!$B$4=18,Hypothèses!$B$4=19,Hypothèses!$B$4=20),
IF($D283="Pressio.",
IF(OR($E283=3,$E283=1,$E283=4),CH283,CG283),
IF($D283="Pénétro.",
IF(OR($E283=3,$E283=1,$E283=4),CH283,CG283))),IF($D283="Pressio.",
IF($E283=3,CH283,CG283),
IF($D283="Pénétro.",
IF($E283=4,CH283,CG283))))</f>
        <v>#N/A</v>
      </c>
      <c r="CJ283" s="31" t="e">
        <f>(IF(OR(Hypothèses!$B$4=17,Hypothèses!$B$4=18,Hypothèses!$B$4=19,Hypothèses!$B$4=20),
IF($D283="Pressio.",
IF(OR($E283=3,$E283=1,$E283=4),(PI()*CJ$12^2)/4*(CF283*$W283*1000)/($H283*$B$5),(PI()*CJ$12^2)/4*(CF283*$W283*1000)/($G283*$B$5)),
IF($D283="Pénétro.",
IF(OR($E283=4,$E283=1,$E283=5),(PI()*CJ$12^2)/4*(CF283*$W283*1000)/($H283*$B$5),(PI()*CJ$12^2)/4*(CF283*$W283*1000)/($G283*$B$5)))),
IF($D283="Pressio.",
IF($E283=3,(PI()*CJ$12^2)/4*(CF283*$W283*1000)/($H283*$B$5),(PI()*CJ$12^2)/4*(CF283*$W283*1000)/($G283*$B$5)),
IF($D283="Pénétro.",
IF($E283=4,(PI()*CJ$12^2)/4*(CF283*$W283*1000)/($H283*$B$5),(PI()*CJ$12^2)/4*(CF283*$W283*1000)/($G283*$B$5))))))/10</f>
        <v>#N/A</v>
      </c>
      <c r="CK283" s="102" t="e">
        <f>(VLOOKUP($B$3,'Coeff EC7'!$T$39:$X$59,2,0)*CI283+VLOOKUP($B$3,'Coeff EC7'!$T$65:$X$85,2,0)*Model0.1C!CJ283)/1.1</f>
        <v>#N/A</v>
      </c>
      <c r="CL283" s="102" t="e">
        <f>(VLOOKUP($B$3,'Coeff EC7'!$T$39:$X$59,3,0)*CI283+VLOOKUP($B$3,'Coeff EC7'!$T$65:$X$85,3,0)*Model0.1C!CJ283)/0.9</f>
        <v>#N/A</v>
      </c>
      <c r="CM283" s="102" t="e">
        <f t="shared" si="482"/>
        <v>#N/A</v>
      </c>
      <c r="CN283" s="102" t="e">
        <f t="shared" si="483"/>
        <v>#N/A</v>
      </c>
      <c r="CO283" s="414" t="e">
        <f>IF(CO282=0,0,IF(AND(CK283&gt;charge_ELS_quasi,CL283&gt;Charge_ELS_freq,CM283&gt;charge_ELU,CN283&gt;charge_ELA,$B283&gt;NDC!$H$22-0.1+MIN(3*$CO$12,1.5)),0,1))</f>
        <v>#N/A</v>
      </c>
      <c r="CP283" s="86" t="b">
        <f t="shared" si="451"/>
        <v>0</v>
      </c>
      <c r="CQ283" s="86">
        <f t="shared" si="452"/>
        <v>0.5</v>
      </c>
      <c r="CR283" s="86">
        <f t="shared" si="453"/>
        <v>0.5</v>
      </c>
      <c r="CS283" s="30" t="e">
        <f t="shared" ca="1" si="484"/>
        <v>#DIV/0!</v>
      </c>
      <c r="CT283" s="85" t="e">
        <f ca="1">IF(BZ283&lt;=Hypothèses!$V$7,Hypothèses!$W$7,IF(BZ283&lt;=Hypothèses!$V$8,Hypothèses!$W$8,IF(BZ283&lt;=Hypothèses!$V$9,Hypothèses!$W$9,IF(BZ283&lt;=Hypothèses!$V$10,Hypothèses!$W$10,IF(BZ283&lt;=Hypothèses!$V$11,Hypothèses!$W$11,IF(BZ283&lt;=Hypothèses!$V$12,Hypothèses!$W$12,IF(BZ283&lt;=Hypothèses!$V$13,Hypothèses!$W$13,IF(BZ283&lt;=Hypothèses!$V$14,Hypothèses!$W$14,IF(BZ283&lt;=Hypothèses!$V$15,Hypothèses!$W$15,IF(BZ283&lt;=Hypothèses!$V$16,Hypothèses!$W$16,IF(BZ283&lt;=Hypothèses!$V$17,Hypothèses!$W$17,IF(BZ283&lt;=Hypothèses!$V$18,Hypothèses!$W$18,""))))))))))))</f>
        <v>#DIV/0!</v>
      </c>
      <c r="CU283" s="87" t="e">
        <f t="shared" ca="1" si="520"/>
        <v>#DIV/0!</v>
      </c>
      <c r="CV283" s="88" t="e">
        <f ca="1">IF(BZ283&lt;=Hypothèses!$V$7,Hypothèses!$X$7,IF(BZ283&lt;=Hypothèses!$V$8,Hypothèses!$X$8,IF(BZ283&lt;=Hypothèses!$V$9,Hypothèses!$X$9,IF(BZ283&lt;=Hypothèses!$V$10,Hypothèses!$X$10,IF(BZ283&lt;=Hypothèses!$V$11,Hypothèses!$X$11,IF(BZ283&lt;=Hypothèses!$V$12,Hypothèses!$X$12,IF(BZ283&lt;=Hypothèses!$V$13,Hypothèses!$X$13,IF(BZ283&lt;=Hypothèses!$V$14,Hypothèses!$X$14,IF(BZ283&lt;=Hypothèses!$V$15,Hypothèses!$X$15,IF(BZ283&lt;=Hypothèses!$V$16,Hypothèses!$X$16,IF(BZ283&lt;=Hypothèses!$U$17,Hypothèses!$W$17,IF(BZ283&lt;=Hypothèses!$U$18,Hypothèses!$W$18,""))))))))))))</f>
        <v>#DIV/0!</v>
      </c>
      <c r="CW283" s="95" t="e">
        <f t="shared" ca="1" si="485"/>
        <v>#DIV/0!</v>
      </c>
      <c r="CX283" s="101" t="e">
        <f t="shared" si="527"/>
        <v>#N/A</v>
      </c>
      <c r="CY283" s="91" t="e">
        <f t="shared" si="454"/>
        <v>#N/A</v>
      </c>
      <c r="CZ283" s="30" t="e">
        <f t="shared" si="508"/>
        <v>#N/A</v>
      </c>
      <c r="DA283" s="30" t="e">
        <f t="shared" si="509"/>
        <v>#N/A</v>
      </c>
      <c r="DB283" s="31" t="e">
        <f>IF(OR(Hypothèses!$B$4=17,Hypothèses!$B$4=18,Hypothèses!$B$4=19,Hypothèses!$B$4=20),
IF($D283="Pressio.",
IF(OR($E283=3,$E283=1,$E283=4),DA283,CZ283),
IF($D283="Pénétro.",
IF(OR($E283=3,$E283=1,$E283=4),DA283,CZ283))),IF($D283="Pressio.",
IF($E283=3,DA283,CZ283),
IF($D283="Pénétro.",
IF($E283=4,DA283,CZ283))))</f>
        <v>#N/A</v>
      </c>
      <c r="DC283" s="31" t="e">
        <f>(IF(OR(Hypothèses!$B$4=17,Hypothèses!$B$4=18,Hypothèses!$B$4=19,Hypothèses!$B$4=20),
IF($D283="Pressio.",
IF(OR($E283=3,$E283=1,$E283=4),(PI()*DC$12^2)/4*(CY283*$W283*1000)/($H283*$B$5),(PI()*DC$12^2)/4*(CY283*$W283*1000)/($G283*$B$5)),
IF($D283="Pénétro.",
IF(OR($E283=4,$E283=1,$E283=5),(PI()*DC$12^2)/4*(CY283*$W283*1000)/($H283*$B$5),(PI()*DC$12^2)/4*(CY283*$W283*1000)/($G283*$B$5)))),
IF($D283="Pressio.",
IF($E283=3,(PI()*DC$12^2)/4*(CY283*$W283*1000)/($H283*$B$5),(PI()*DC$12^2)/4*(CY283*$W283*1000)/($G283*$B$5)),
IF($D283="Pénétro.",
IF($E283=4,(PI()*DC$12^2)/4*(CY283*$W283*1000)/($H283*$B$5),(PI()*DC$12^2)/4*(CY283*$W283*1000)/($G283*$B$5))))))/10</f>
        <v>#N/A</v>
      </c>
      <c r="DD283" s="102" t="e">
        <f>(VLOOKUP($B$3,'Coeff EC7'!$T$39:$X$59,2,0)*DB283+VLOOKUP($B$3,'Coeff EC7'!$T$65:$X$85,2,0)*Model0.1C!DC283)/1.1</f>
        <v>#N/A</v>
      </c>
      <c r="DE283" s="102" t="e">
        <f>(VLOOKUP($B$3,'Coeff EC7'!$T$39:$X$59,3,0)*DB283+VLOOKUP($B$3,'Coeff EC7'!$T$65:$X$85,3,0)*Model0.1C!DC283)/0.9</f>
        <v>#N/A</v>
      </c>
      <c r="DF283" s="102" t="e">
        <f t="shared" si="486"/>
        <v>#N/A</v>
      </c>
      <c r="DG283" s="102" t="e">
        <f t="shared" si="487"/>
        <v>#N/A</v>
      </c>
      <c r="DH283" s="414" t="e">
        <f>IF(DH282=0,0,IF(AND(DD283&gt;charge_ELS_quasi,DE283&gt;Charge_ELS_freq,DF283&gt;charge_ELU,DG283&gt;charge_ELA,$B283&gt;NDC!$H$22-0.1+MIN(3*$DH$12,1.5)),0,1))</f>
        <v>#N/A</v>
      </c>
      <c r="DI283" s="86" t="b">
        <f t="shared" si="455"/>
        <v>0</v>
      </c>
      <c r="DJ283" s="86">
        <f t="shared" si="456"/>
        <v>0.5</v>
      </c>
      <c r="DK283" s="86">
        <f t="shared" si="457"/>
        <v>0.5</v>
      </c>
      <c r="DL283" s="30" t="e">
        <f t="shared" ca="1" si="488"/>
        <v>#DIV/0!</v>
      </c>
      <c r="DM283" s="85" t="e">
        <f ca="1">IF(CS283&lt;=Hypothèses!$V$7,Hypothèses!$W$7,IF(CS283&lt;=Hypothèses!$V$8,Hypothèses!$W$8,IF(CS283&lt;=Hypothèses!$V$9,Hypothèses!$W$9,IF(CS283&lt;=Hypothèses!$V$10,Hypothèses!$W$10,IF(CS283&lt;=Hypothèses!$V$11,Hypothèses!$W$11,IF(CS283&lt;=Hypothèses!$V$12,Hypothèses!$W$12,IF(CS283&lt;=Hypothèses!$V$13,Hypothèses!$W$13,IF(CS283&lt;=Hypothèses!$V$14,Hypothèses!$W$14,IF(CS283&lt;=Hypothèses!$V$15,Hypothèses!$W$15,IF(CS283&lt;=Hypothèses!$V$16,Hypothèses!$W$16,IF(CS283&lt;=Hypothèses!$V$17,Hypothèses!$W$17,IF(CS283&lt;=Hypothèses!$V$18,Hypothèses!$W$18,""))))))))))))</f>
        <v>#DIV/0!</v>
      </c>
      <c r="DN283" s="87" t="e">
        <f t="shared" ca="1" si="521"/>
        <v>#DIV/0!</v>
      </c>
      <c r="DO283" s="88" t="e">
        <f ca="1">IF(CS283&lt;=Hypothèses!$V$7,Hypothèses!$X$7,IF(CS283&lt;=Hypothèses!$V$8,Hypothèses!$X$8,IF(CS283&lt;=Hypothèses!$V$9,Hypothèses!$X$9,IF(CS283&lt;=Hypothèses!$V$10,Hypothèses!$X$10,IF(CS283&lt;=Hypothèses!$V$11,Hypothèses!$X$11,IF(CS283&lt;=Hypothèses!$V$12,Hypothèses!$X$12,IF(CS283&lt;=Hypothèses!$V$13,Hypothèses!$X$13,IF(CS283&lt;=Hypothèses!$V$14,Hypothèses!$X$14,IF(CS283&lt;=Hypothèses!$V$15,Hypothèses!$X$15,IF(CS283&lt;=Hypothèses!$V$16,Hypothèses!$X$16,IF(CS283&lt;=Hypothèses!$U$17,Hypothèses!$W$17,IF(CS283&lt;=Hypothèses!$U$18,Hypothèses!$W$18,""))))))))))))</f>
        <v>#DIV/0!</v>
      </c>
      <c r="DP283" s="95" t="e">
        <f t="shared" ca="1" si="489"/>
        <v>#DIV/0!</v>
      </c>
      <c r="DQ283" s="101" t="e">
        <f t="shared" si="528"/>
        <v>#N/A</v>
      </c>
      <c r="DR283" s="91" t="e">
        <f t="shared" si="458"/>
        <v>#N/A</v>
      </c>
      <c r="DS283" s="30" t="e">
        <f t="shared" si="510"/>
        <v>#N/A</v>
      </c>
      <c r="DT283" s="30" t="e">
        <f t="shared" si="511"/>
        <v>#N/A</v>
      </c>
      <c r="DU283" s="31" t="e">
        <f>IF(OR(Hypothèses!$B$4=17,Hypothèses!$B$4=18,Hypothèses!$B$4=19,Hypothèses!$B$4=20),
IF($D283="Pressio.",
IF(OR($E283=3,$E283=1,$E283=4),DT283,DS283),
IF($D283="Pénétro.",
IF(OR($E283=3,$E283=1,$E283=4),DT283,DS283))),IF($D283="Pressio.",
IF($E283=3,DT283,DS283),
IF($D283="Pénétro.",
IF($E283=4,DT283,DS283))))</f>
        <v>#N/A</v>
      </c>
      <c r="DV283" s="31" t="e">
        <f>(IF(OR(Hypothèses!$B$4=17,Hypothèses!$B$4=18,Hypothèses!$B$4=19,Hypothèses!$B$4=20),
IF($D283="Pressio.",
IF(OR($E283=3,$E283=1,$E283=4),(PI()*DV$12^2)/4*(DR283*$W283*1000)/($H283*$B$5),(PI()*DV$12^2)/4*(DR283*$W283*1000)/($G283*$B$5)),
IF($D283="Pénétro.",
IF(OR($E283=4,$E283=1,$E283=5),(PI()*DV$12^2)/4*(DR283*$W283*1000)/($H283*$B$5),(PI()*DV$12^2)/4*(DR283*$W283*1000)/($G283*$B$5)))),
IF($D283="Pressio.",
IF($E283=3,(PI()*DV$12^2)/4*(DR283*$W283*1000)/($H283*$B$5),(PI()*DV$12^2)/4*(DR283*$W283*1000)/($G283*$B$5)),
IF($D283="Pénétro.",
IF($E283=4,(PI()*DV$12^2)/4*(DR283*$W283*1000)/($H283*$B$5),(PI()*DV$12^2)/4*(DR283*$W283*1000)/($G283*$B$5))))))/10</f>
        <v>#N/A</v>
      </c>
      <c r="DW283" s="102" t="e">
        <f>(VLOOKUP($B$3,'Coeff EC7'!$T$39:$X$59,2,0)*DU283+VLOOKUP($B$3,'Coeff EC7'!$T$65:$X$85,2,0)*Model0.1C!DV283)/1.1</f>
        <v>#N/A</v>
      </c>
      <c r="DX283" s="102" t="e">
        <f>(VLOOKUP($B$3,'Coeff EC7'!$T$39:$X$59,3,0)*DU283+VLOOKUP($B$3,'Coeff EC7'!$T$65:$X$85,3,0)*Model0.1C!DV283)/0.9</f>
        <v>#N/A</v>
      </c>
      <c r="DY283" s="102" t="e">
        <f t="shared" si="490"/>
        <v>#N/A</v>
      </c>
      <c r="DZ283" s="102" t="e">
        <f t="shared" si="491"/>
        <v>#N/A</v>
      </c>
      <c r="EA283" s="414" t="e">
        <f>IF(EA282=0,0,IF(AND(DW283&gt;charge_ELS_quasi,DX283&gt;Charge_ELS_freq,DY283&gt;charge_ELU,DZ283&gt;charge_ELA,$B283&gt;NDC!$H$22-0.1+MIN(3*$EA$12,1.5)),0,1))</f>
        <v>#N/A</v>
      </c>
      <c r="EB283" s="86" t="b">
        <f t="shared" si="459"/>
        <v>0</v>
      </c>
      <c r="EC283" s="418">
        <f t="shared" si="460"/>
        <v>0.51</v>
      </c>
      <c r="ED283" s="86">
        <f t="shared" si="461"/>
        <v>0.51</v>
      </c>
      <c r="EE283" s="30" t="e">
        <f t="shared" ca="1" si="492"/>
        <v>#DIV/0!</v>
      </c>
      <c r="EF283" s="85" t="e">
        <f ca="1">IF(DL283&lt;=Hypothèses!$V$7,Hypothèses!$W$7,IF(DL283&lt;=Hypothèses!$V$8,Hypothèses!$W$8,IF(DL283&lt;=Hypothèses!$V$9,Hypothèses!$W$9,IF(DL283&lt;=Hypothèses!$V$10,Hypothèses!$W$10,IF(DL283&lt;=Hypothèses!$V$11,Hypothèses!$W$11,IF(DL283&lt;=Hypothèses!$V$12,Hypothèses!$W$12,IF(DL283&lt;=Hypothèses!$V$13,Hypothèses!$W$13,IF(DL283&lt;=Hypothèses!$V$14,Hypothèses!$W$14,IF(DL283&lt;=Hypothèses!$V$15,Hypothèses!$W$15,IF(DL283&lt;=Hypothèses!$V$16,Hypothèses!$W$16,IF(DL283&lt;=Hypothèses!$V$17,Hypothèses!$W$17,IF(DL283&lt;=Hypothèses!$V$18,Hypothèses!$W$18,""))))))))))))</f>
        <v>#DIV/0!</v>
      </c>
      <c r="EG283" s="87" t="e">
        <f t="shared" ca="1" si="522"/>
        <v>#DIV/0!</v>
      </c>
      <c r="EH283" s="88" t="e">
        <f ca="1">IF(DL283&lt;=Hypothèses!$V$7,Hypothèses!$X$7,IF(DL283&lt;=Hypothèses!$V$8,Hypothèses!$X$8,IF(DL283&lt;=Hypothèses!$V$9,Hypothèses!$X$9,IF(DL283&lt;=Hypothèses!$V$10,Hypothèses!$X$10,IF(DL283&lt;=Hypothèses!$V$11,Hypothèses!$X$11,IF(DL283&lt;=Hypothèses!$V$12,Hypothèses!$X$12,IF(DL283&lt;=Hypothèses!$V$13,Hypothèses!$X$13,IF(DL283&lt;=Hypothèses!$V$14,Hypothèses!$X$14,IF(DL283&lt;=Hypothèses!$V$15,Hypothèses!$X$15,IF(DL283&lt;=Hypothèses!$V$16,Hypothèses!$X$16,IF(DL283&lt;=Hypothèses!$U$17,Hypothèses!$W$17,IF(DL283&lt;=Hypothèses!$U$18,Hypothèses!$W$18,""))))))))))))</f>
        <v>#DIV/0!</v>
      </c>
      <c r="EI283" s="95" t="e">
        <f t="shared" ca="1" si="493"/>
        <v>#DIV/0!</v>
      </c>
      <c r="EJ283" s="101" t="e">
        <f t="shared" si="529"/>
        <v>#N/A</v>
      </c>
      <c r="EK283" s="91" t="e">
        <f t="shared" si="462"/>
        <v>#N/A</v>
      </c>
      <c r="EL283" s="30" t="e">
        <f t="shared" si="512"/>
        <v>#N/A</v>
      </c>
      <c r="EM283" s="30" t="e">
        <f t="shared" si="513"/>
        <v>#N/A</v>
      </c>
      <c r="EN283" s="31" t="e">
        <f>IF(OR(Hypothèses!$B$4=17,Hypothèses!$B$4=18,Hypothèses!$B$4=19,Hypothèses!$B$4=20),
IF($D283="Pressio.",
IF(OR($E283=3,$E283=1,$E283=4),EM283,EL283),
IF($D283="Pénétro.",
IF(OR($E283=3,$E283=1,$E283=4),EM283,EL283))),IF($D283="Pressio.",
IF($E283=3,EM283,EL283),
IF($D283="Pénétro.",
IF($E283=4,EM283,EL283))))</f>
        <v>#N/A</v>
      </c>
      <c r="EO283" s="31" t="e">
        <f>(IF(OR(Hypothèses!$B$4=17,Hypothèses!$B$4=18,Hypothèses!$B$4=19,Hypothèses!$B$4=20),
IF($D283="Pressio.",
IF(OR($E283=3,$E283=1,$E283=4),(PI()*EO$12^2)/4*(EK283*$W283*1000)/($H283*$B$5),(PI()*EO$12^2)/4*(EK283*$W283*1000)/($G283*$B$5)),
IF($D283="Pénétro.",
IF(OR($E283=4,$E283=1,$E283=5),(PI()*EO$12^2)/4*(EK283*$W283*1000)/($H283*$B$5),(PI()*EO$12^2)/4*(EK283*$W283*1000)/($G283*$B$5)))),
IF($D283="Pressio.",
IF($E283=3,(PI()*EO$12^2)/4*(EK283*$W283*1000)/($H283*$B$5),(PI()*EO$12^2)/4*(EK283*$W283*1000)/($G283*$B$5)),
IF($D283="Pénétro.",
IF($E283=4,(PI()*EO$12^2)/4*(EK283*$W283*1000)/($H283*$B$5),(PI()*EO$12^2)/4*(EK283*$W283*1000)/($G283*$B$5))))))/10</f>
        <v>#N/A</v>
      </c>
      <c r="EP283" s="102" t="e">
        <f>(VLOOKUP($B$3,'Coeff EC7'!$T$39:$X$59,2,0)*EN283+VLOOKUP($B$3,'Coeff EC7'!$T$65:$X$85,2,0)*Model0.1C!EO283)/1.1</f>
        <v>#N/A</v>
      </c>
      <c r="EQ283" s="102" t="e">
        <f>(VLOOKUP($B$3,'Coeff EC7'!$T$39:$X$59,3,0)*EN283+VLOOKUP($B$3,'Coeff EC7'!$T$65:$X$85,3,0)*Model0.1C!EO283)/0.9</f>
        <v>#N/A</v>
      </c>
      <c r="ER283" s="102" t="e">
        <f t="shared" si="494"/>
        <v>#N/A</v>
      </c>
      <c r="ES283" s="102" t="e">
        <f t="shared" si="495"/>
        <v>#N/A</v>
      </c>
      <c r="ET283" s="414" t="e">
        <f>IF(ET282=0,0,IF(AND(EP283&gt;charge_ELS_quasi,EQ283&gt;Charge_ELS_freq,ER283&gt;charge_ELU,ES283&gt;charge_ELA,$B283&gt;NDC!$H$22-0.1+MIN(3*$ET$12,1.5)),0,1))</f>
        <v>#N/A</v>
      </c>
      <c r="EU283" s="86" t="b">
        <f t="shared" si="463"/>
        <v>0</v>
      </c>
      <c r="EV283" s="86">
        <f t="shared" si="464"/>
        <v>0.61</v>
      </c>
      <c r="EW283" s="86">
        <f t="shared" si="465"/>
        <v>0.61</v>
      </c>
      <c r="EX283" s="30" t="e">
        <f t="shared" ca="1" si="496"/>
        <v>#DIV/0!</v>
      </c>
      <c r="EY283" s="85" t="e">
        <f ca="1">IF(EE283&lt;=Hypothèses!$V$7,Hypothèses!$W$7,IF(EE283&lt;=Hypothèses!$V$8,Hypothèses!$W$8,IF(EE283&lt;=Hypothèses!$V$9,Hypothèses!$W$9,IF(EE283&lt;=Hypothèses!$V$10,Hypothèses!$W$10,IF(EE283&lt;=Hypothèses!$V$11,Hypothèses!$W$11,IF(EE283&lt;=Hypothèses!$V$12,Hypothèses!$W$12,IF(EE283&lt;=Hypothèses!$V$13,Hypothèses!$W$13,IF(EE283&lt;=Hypothèses!$V$14,Hypothèses!$W$14,IF(EE283&lt;=Hypothèses!$V$15,Hypothèses!$W$15,IF(EE283&lt;=Hypothèses!$V$16,Hypothèses!$W$16,IF(EE283&lt;=Hypothèses!$V$17,Hypothèses!$W$17,IF(EE283&lt;=Hypothèses!$V$18,Hypothèses!$W$18,""))))))))))))</f>
        <v>#DIV/0!</v>
      </c>
      <c r="EZ283" s="87" t="e">
        <f t="shared" ca="1" si="523"/>
        <v>#DIV/0!</v>
      </c>
      <c r="FA283" s="88" t="e">
        <f ca="1">IF(EE283&lt;=Hypothèses!$V$7,Hypothèses!$X$7,IF(EE283&lt;=Hypothèses!$V$8,Hypothèses!$X$8,IF(EE283&lt;=Hypothèses!$V$9,Hypothèses!$X$9,IF(EE283&lt;=Hypothèses!$V$10,Hypothèses!$X$10,IF(EE283&lt;=Hypothèses!$V$11,Hypothèses!$X$11,IF(EE283&lt;=Hypothèses!$V$12,Hypothèses!$X$12,IF(EE283&lt;=Hypothèses!$V$13,Hypothèses!$X$13,IF(EE283&lt;=Hypothèses!$V$14,Hypothèses!$X$14,IF(EE283&lt;=Hypothèses!$V$15,Hypothèses!$X$15,IF(EE283&lt;=Hypothèses!$V$16,Hypothèses!$X$16,IF(EE283&lt;=Hypothèses!$U$17,Hypothèses!$W$17,IF(EE283&lt;=Hypothèses!$U$18,Hypothèses!$W$18,""))))))))))))</f>
        <v>#DIV/0!</v>
      </c>
      <c r="FB283" s="95" t="e">
        <f t="shared" ca="1" si="497"/>
        <v>#DIV/0!</v>
      </c>
      <c r="FC283" s="101" t="e">
        <f t="shared" si="530"/>
        <v>#N/A</v>
      </c>
      <c r="FD283" s="91" t="e">
        <f t="shared" si="466"/>
        <v>#N/A</v>
      </c>
      <c r="FE283" s="30" t="e">
        <f t="shared" si="514"/>
        <v>#N/A</v>
      </c>
      <c r="FF283" s="30" t="e">
        <f t="shared" si="515"/>
        <v>#N/A</v>
      </c>
      <c r="FG283" s="31" t="e">
        <f>IF(OR(Hypothèses!$B$4=17,Hypothèses!$B$4=18,Hypothèses!$B$4=19,Hypothèses!$B$4=20),
IF($D283="Pressio.",
IF(OR($E283=3,$E283=1,$E283=4),FF283,FE283),
IF($D283="Pénétro.",
IF(OR($E283=3,$E283=1,$E283=4),FF283,FE283))),IF($D283="Pressio.",
IF($E283=3,FF283,FE283),
IF($D283="Pénétro.",
IF($E283=4,FF283,FE283))))</f>
        <v>#N/A</v>
      </c>
      <c r="FH283" s="31" t="e">
        <f>(IF(OR(Hypothèses!$B$4=17,Hypothèses!$B$4=18,Hypothèses!$B$4=19,Hypothèses!$B$4=20),
IF($D283="Pressio.",
IF(OR($E283=3,$E283=1,$E283=4),(PI()*FH$12^2)/4*(FD283*$W283*1000)/($H283*$B$5),(PI()*FH$12^2)/4*(FD283*$W283*1000)/($G283*$B$5)),
IF($D283="Pénétro.",
IF(OR($E283=4,$E283=1,$E283=5),(PI()*FH$12^2)/4*(FD283*$W283*1000)/($H283*$B$5),(PI()*FH$12^2)/4*(FD283*$W283*1000)/($G283*$B$5)))),
IF($D283="Pressio.",
IF($E283=3,(PI()*FH$12^2)/4*(FD283*$W283*1000)/($H283*$B$5),(PI()*FH$12^2)/4*(FD283*$W283*1000)/($G283*$B$5)),
IF($D283="Pénétro.",
IF($E283=4,(PI()*FH$12^2)/4*(FD283*$W283*1000)/($H283*$B$5),(PI()*FH$12^2)/4*(FD283*$W283*1000)/($G283*$B$5))))))/10</f>
        <v>#N/A</v>
      </c>
      <c r="FI283" s="102" t="e">
        <f>(VLOOKUP($B$3,'Coeff EC7'!$T$39:$X$59,2,0)*FG283+VLOOKUP($B$3,'Coeff EC7'!$T$65:$X$85,2,0)*Model0.1C!FH283)/1.1</f>
        <v>#N/A</v>
      </c>
      <c r="FJ283" s="102" t="e">
        <f>(VLOOKUP($B$3,'Coeff EC7'!$T$39:$X$59,3,0)*FG283+VLOOKUP($B$3,'Coeff EC7'!$T$65:$X$85,3,0)*Model0.1C!FH283)/0.9</f>
        <v>#N/A</v>
      </c>
      <c r="FK283" s="102" t="e">
        <f t="shared" si="498"/>
        <v>#N/A</v>
      </c>
      <c r="FL283" s="102" t="e">
        <f t="shared" si="499"/>
        <v>#N/A</v>
      </c>
      <c r="FM283" s="414" t="e">
        <f>IF(FM282=0,0,IF(AND(FI283&gt;charge_ELS_quasi,FJ283&gt;Charge_ELS_freq,FK283&gt;charge_ELU,FL283&gt;charge_ELA,$B283&gt;NDC!$H$22-0.1+MIN(3*$FM$12,1.5)),0,1))</f>
        <v>#N/A</v>
      </c>
    </row>
    <row r="284" spans="1:169">
      <c r="A284" s="96">
        <f t="shared" si="467"/>
        <v>72.90000000000154</v>
      </c>
      <c r="B284" s="97">
        <v>27.1</v>
      </c>
      <c r="C284" s="81">
        <f>IF(B284&lt;=Hypothèses!$C$7,Hypothèses!$A$7,IF(B284&lt;=Hypothèses!$C$8,Hypothèses!$A$8,IF(B284&lt;=Hypothèses!$C$9,Hypothèses!$A$9,IF(B284&lt;=Hypothèses!$C$10,Hypothèses!$A$10,IF(B284&lt;=Hypothèses!$C$11,Hypothèses!$A$11,IF(B284&lt;=Hypothèses!$C$12,Hypothèses!$A$12,IF(B284&lt;=Hypothèses!$C$13,Hypothèses!$A$13,IF(B284&lt;=Hypothèses!$C$14,Hypothèses!$A$14,IF(B284&lt;=Hypothèses!$C$15,Hypothèses!$A$15,IF(B284&lt;=Hypothèses!$C$16,Hypothèses!$A$16,IF(B284&lt;=Hypothèses!$C$17,Hypothèses!$A$17,IF(B284&lt;=Hypothèses!$C$18,Hypothèses!$A$18,C283))))))))))))</f>
        <v>11</v>
      </c>
      <c r="D284" s="82" t="str">
        <f>IF(B284&lt;=Hypothèses!$C$7,Hypothèses!$R$7,IF(B284&lt;=Hypothèses!$C$8,Hypothèses!$R$8,IF(B284&lt;=Hypothèses!$C$9,Hypothèses!$R$9,IF(B284&lt;=Hypothèses!$C$10,Hypothèses!$R$10,IF(B284&lt;=Hypothèses!$C$11,Hypothèses!$R$11,IF(B284&lt;=Hypothèses!$C$12,Hypothèses!$R$12,IF(B284&lt;=Hypothèses!$C$13,Hypothèses!$R$13,IF(B284&lt;=Hypothèses!$C$14,Hypothèses!$R$14,IF(B284&lt;=Hypothèses!$C$15,Hypothèses!$R$15,IF(B284&lt;=Hypothèses!$C$16,Hypothèses!$R$16,IF(B284&lt;=Hypothèses!$C$17,Hypothèses!$R$17,IF(B284&lt;=Hypothèses!$C$18,Hypothèses!$R$18,D283))))))))))))</f>
        <v>Pressio.</v>
      </c>
      <c r="E284" s="82" t="e">
        <f>IF(B284&lt;=Hypothèses!$C$7,Hypothèses!$G$7,IF(B284&lt;=Hypothèses!$C$8,Hypothèses!$G$8,IF(B284&lt;=Hypothèses!$C$9,Hypothèses!$G$9,IF(B284&lt;=Hypothèses!$C$10,Hypothèses!$G$10,IF(B284&lt;=Hypothèses!$C$11,Hypothèses!$G$11,IF(B284&lt;=Hypothèses!$C$12,Hypothèses!$G$12,IF(B284&lt;=Hypothèses!$C$13,Hypothèses!$G$13,IF(B284&lt;=Hypothèses!$C$14,Hypothèses!$G$14,IF(B284&lt;=Hypothèses!$C$15,Hypothèses!$G$15,IF(B284&lt;=Hypothèses!$C$16,Hypothèses!$G$16,IF(B284&lt;=Hypothèses!$C$17,Hypothèses!$G$17,IF(B284&lt;=Hypothèses!$C$18,Hypothèses!$G$18,E283))))))))))))</f>
        <v>#N/A</v>
      </c>
      <c r="F284" s="82" t="str">
        <f>IF(B284&lt;=Hypothèses!$C$7,Hypothèses!$F$7,IF(B284&lt;=Hypothèses!$C$8,Hypothèses!$F$8,IF(B284&lt;=Hypothèses!$C$9,Hypothèses!$F$9,IF(B284&lt;=Hypothèses!$C$10,Hypothèses!$F$10,IF(B284&lt;=Hypothèses!$C$11,Hypothèses!$F$11,IF(B284&lt;=Hypothèses!$C$12,Hypothèses!$F$12,IF(B284&lt;=Hypothèses!$C$13,Hypothèses!$F$13,IF(B284&lt;=Hypothèses!$C$14,Hypothèses!$F$14,IF(B284&lt;=Hypothèses!$C$15,Hypothèses!$F$15,IF(B284&lt;=Hypothèses!$C$16,Hypothèses!$F$16,IF(B284&lt;=Hypothèses!$C$17,Hypothèses!$F$17,IF(B284&lt;=Hypothèses!$C$18,Hypothèses!$F$18,F283))))))))))))</f>
        <v/>
      </c>
      <c r="G284" s="91">
        <f t="array" ref="G284">INDEX('Coeff EC7'!$U$7:$X$27,
MATCH(Model0.1C!$B$3,'Coeff EC7'!$T$7:$T$27,0),
MATCH(Model0.1C!$D284&amp;Model0.1C!$B$4,
'Coeff EC7'!$U$6:$X$6&amp;
'Coeff EC7'!$U$5:$X$5,0))</f>
        <v>1.1499999999999999</v>
      </c>
      <c r="H284" s="91">
        <f t="array" ref="H284">INDEX('Coeff EC7'!$Y$7:$AB$27,
MATCH(Model0.1C!$B$3,'Coeff EC7'!$T$7:$T$27,0),
MATCH(Model0.1C!$D284&amp;Model0.1C!$B$4,
'Coeff EC7'!$Y$6:$AB$6&amp;
'Coeff EC7'!$Y$5:$AB$5,0))</f>
        <v>1.4</v>
      </c>
      <c r="I284" s="83" t="e">
        <f>IF(B284&lt;=Hypothèses!$C$7,Hypothèses!$P$7,IF(B284&lt;=Hypothèses!$C$8,Hypothèses!$P$8,IF(B284&lt;=Hypothèses!$C$9,Hypothèses!$P$9,IF(B284&lt;=Hypothèses!$C$10,Hypothèses!$P$10,IF(B284&lt;=Hypothèses!$C$11,Hypothèses!$P$11,IF(B284&lt;=Hypothèses!$C$12,Hypothèses!$P$12,IF(B284&lt;=Hypothèses!$C$13,Hypothèses!$P$13,IF(B284&lt;=Hypothèses!$C$14,Hypothèses!$P$14,IF(B284&lt;=Hypothèses!$C$15,Hypothèses!$P$15,IF(B284&lt;=Hypothèses!$C$16,Hypothèses!$P$16,IF(B284&lt;=Hypothèses!$C$17,Hypothèses!$P$17,IF(B284&lt;=Hypothèses!$C$18,Hypothèses!$P$18,I283))))))))))))</f>
        <v>#N/A</v>
      </c>
      <c r="J284" s="91" t="e">
        <f t="array" ref="J284">INDEX('Coeff EC7'!$D$33:$Q$33,1,MATCH(D284&amp;E284,'Coeff EC7'!$D$31:$Q$31&amp;'Coeff EC7'!$D$32:$Q$32,0))</f>
        <v>#N/A</v>
      </c>
      <c r="K284" s="91" t="e">
        <f t="array" ref="K284">INDEX('Coeff EC7'!$D$34:$Q$34,1,MATCH(D284&amp;E284,'Coeff EC7'!$D$31:$Q$31&amp;'Coeff EC7'!$D$32:$Q$32,0))</f>
        <v>#N/A</v>
      </c>
      <c r="L284" s="91" t="e">
        <f t="array" ref="L284">INDEX('Coeff EC7'!$D$35:$Q$35,1,MATCH(D284&amp;E284,'Coeff EC7'!$D$31:$Q$31&amp;'Coeff EC7'!$D$32:$Q$32,0))</f>
        <v>#N/A</v>
      </c>
      <c r="M284" s="98" t="e">
        <f t="shared" si="431"/>
        <v>#N/A</v>
      </c>
      <c r="N284" s="99" t="e">
        <f t="array" ref="N284">INDEX('Coeff EC7'!$D$7:$Q$27,MATCH($B$3,'Coeff EC7'!$C$7:$C$27,0),MATCH(D284&amp;E284,'Coeff EC7'!$D$5:$Q$5&amp;'Coeff EC7'!$D$6:$Q$6,0))</f>
        <v>#N/A</v>
      </c>
      <c r="O284" s="99" t="e">
        <f t="array" ref="O284">INDEX('Coeff EC7'!$D$41:$Q$61,MATCH($B$3,'Coeff EC7'!$C$41:$C$61,0),MATCH(D284&amp;E284,'Coeff EC7'!$D$39:$Q$39&amp;'Coeff EC7'!$D$40:$Q$40,0))</f>
        <v>#N/A</v>
      </c>
      <c r="P284" s="30" t="e">
        <f t="shared" si="468"/>
        <v>#N/A</v>
      </c>
      <c r="Q284" s="100" t="e">
        <f t="shared" si="433"/>
        <v>#N/A</v>
      </c>
      <c r="R284" s="86" t="b">
        <f t="shared" si="434"/>
        <v>0</v>
      </c>
      <c r="S284" s="86">
        <f t="shared" si="432"/>
        <v>0.5</v>
      </c>
      <c r="T284" s="86">
        <f t="shared" si="435"/>
        <v>0.5</v>
      </c>
      <c r="U284" s="30" t="e">
        <f t="shared" ca="1" si="469"/>
        <v>#DIV/0!</v>
      </c>
      <c r="V284" s="85" t="str">
        <f>IF(B284&lt;=Hypothèses!$V$7,Hypothèses!$W$7,IF(B284&lt;=Hypothèses!$V$8,Hypothèses!$W$8,IF(B284&lt;=Hypothèses!$V$9,Hypothèses!$W$9,IF(B284&lt;=Hypothèses!$V$10,Hypothèses!$W$10,IF(B284&lt;=Hypothèses!$V$11,Hypothèses!$W$11,IF(B284&lt;=Hypothèses!$V$12,Hypothèses!$W$12,IF(B284&lt;=Hypothèses!$V$13,Hypothèses!$W$13,IF(B284&lt;=Hypothèses!$V$14,Hypothèses!$W$14,IF(B284&lt;=Hypothèses!$V$15,Hypothèses!$W$15,IF(B284&lt;=Hypothèses!$V$16,Hypothèses!$W$16,IF(B284&lt;=Hypothèses!$V$17,Hypothèses!$W$17,IF(B284&lt;=Hypothèses!$V$18,Hypothèses!$W$18,""))))))))))))</f>
        <v/>
      </c>
      <c r="W284" s="87" t="e">
        <f t="shared" ca="1" si="516"/>
        <v>#DIV/0!</v>
      </c>
      <c r="X284" s="88" t="str">
        <f>IF(B284&lt;=Hypothèses!$V$7,Hypothèses!$X$7,IF(B284&lt;=Hypothèses!$V$8,Hypothèses!$X$8,IF(B284&lt;=Hypothèses!$V$9,Hypothèses!$X$9,IF(B284&lt;=Hypothèses!$V$10,Hypothèses!$X$10,IF(B284&lt;=Hypothèses!$V$11,Hypothèses!$X$11,IF(B284&lt;=Hypothèses!$V$12,Hypothèses!$X$12,IF(B284&lt;=Hypothèses!$V$13,Hypothèses!$X$13,IF(B284&lt;=Hypothèses!$V$14,Hypothèses!$X$14,IF(B284&lt;=Hypothèses!$V$15,Hypothèses!$X$15,IF(B284&lt;=Hypothèses!$V$16,Hypothèses!$X$16,IF(B284&lt;=Hypothèses!$U$17,Hypothèses!$W$17,IF(B284&lt;=Hypothèses!$U$18,Hypothèses!$W$18,""))))))))))))</f>
        <v/>
      </c>
      <c r="Y284" s="95" t="e">
        <f t="shared" ca="1" si="436"/>
        <v>#DIV/0!</v>
      </c>
      <c r="Z284" s="101" t="e">
        <f t="shared" si="437"/>
        <v>#N/A</v>
      </c>
      <c r="AA284" s="91" t="e">
        <f t="shared" si="438"/>
        <v>#N/A</v>
      </c>
      <c r="AB284" s="30" t="e">
        <f t="shared" si="500"/>
        <v>#N/A</v>
      </c>
      <c r="AC284" s="30" t="e">
        <f t="shared" si="501"/>
        <v>#N/A</v>
      </c>
      <c r="AD284" s="31" t="e">
        <f>IF(OR(Hypothèses!$B$4=17,Hypothèses!$B$4=18,Hypothèses!$B$4=19,Hypothèses!$B$4=20),
IF($D284="Pressio.",
IF(OR($E284=3,$E284=1,$E284=4),AC284,AB284),
IF($D284="Pénétro.",
IF(OR($E284=3,$E284=1,$E284=4),AC284,AB284))),IF($D284="Pressio.",
IF($E284=3,AC284,AB284),
IF($D284="Pénétro.",
IF($E284=4,AC284,AB284))))</f>
        <v>#N/A</v>
      </c>
      <c r="AE284" s="31" t="e">
        <f>(IF(OR(Hypothèses!$B$4=17,Hypothèses!$B$4=18,Hypothèses!$B$4=19,Hypothèses!$B$4=20),
IF($D284="Pressio.",
IF(OR($E284=3,$E284=1,$E284=4),(PI()*AE$12^2)/4*(AA284*$W284*1000)/($H284*$B$5),(PI()*AE$12^2)/4*(AA284*$W284*1000)/($G284*$B$5)),
IF($D284="Pénétro.",
IF(OR($E284=4,$E284=1,$E284=5),(PI()*AE$12^2)/4*(AA284*$W284*1000)/($H284*$B$5),(PI()*AE$12^2)/4*(AA284*$W284*1000)/($G284*$B$5)))),
IF($D284="Pressio.",
IF($E284=3,(PI()*AE$12^2)/4*(AA284*$W284*1000)/($H284*$B$5),(PI()*AE$12^2)/4*(AA284*$W284*1000)/($G284*$B$5)),
IF($D284="Pénétro.",
IF($E284=4,(PI()*AE$12^2)/4*(AA284*$W284*1000)/($H284*$B$5),(PI()*AE$12^2)/4*(AA284*$W284*1000)/($G284*$B$5))))))/10</f>
        <v>#N/A</v>
      </c>
      <c r="AF284" s="102" t="e">
        <f>(VLOOKUP($B$3,'Coeff EC7'!$T$39:$X$59,2,0)*AD284+VLOOKUP($B$3,'Coeff EC7'!$T$65:$X$85,2,0)*Model0.1C!AE284)/1.1</f>
        <v>#N/A</v>
      </c>
      <c r="AG284" s="102" t="e">
        <f>(VLOOKUP($B$3,'Coeff EC7'!$T$39:$X$59,3,0)*AD284+VLOOKUP($B$3,'Coeff EC7'!$T$65:$X$85,3,0)*Model0.1C!AE284)/0.9</f>
        <v>#N/A</v>
      </c>
      <c r="AH284" s="102" t="e">
        <f t="shared" si="439"/>
        <v>#N/A</v>
      </c>
      <c r="AI284" s="102" t="e">
        <f t="shared" si="440"/>
        <v>#N/A</v>
      </c>
      <c r="AJ284" s="414" t="e">
        <f>IF(AJ283=0,0,IF(AND(AF284&gt;charge_ELS_quasi,AG284&gt;Charge_ELS_freq,AH284&gt;charge_ELU,AI284&gt;charge_ELA,$B284&gt;NDC!$H$22-0.1+MIN(3*$AJ$12,1.5)),0,1))</f>
        <v>#N/A</v>
      </c>
      <c r="AK284" s="86" t="b">
        <f t="shared" si="441"/>
        <v>0</v>
      </c>
      <c r="AL284" s="86">
        <f t="shared" si="470"/>
        <v>0.5</v>
      </c>
      <c r="AM284" s="86">
        <f t="shared" si="442"/>
        <v>0.5</v>
      </c>
      <c r="AN284" s="30" t="e">
        <f t="shared" ca="1" si="471"/>
        <v>#DIV/0!</v>
      </c>
      <c r="AO284" s="85" t="e">
        <f ca="1">IF(U284&lt;=Hypothèses!$V$7,Hypothèses!$W$7,IF(U284&lt;=Hypothèses!$V$8,Hypothèses!$W$8,IF(U284&lt;=Hypothèses!$V$9,Hypothèses!$W$9,IF(U284&lt;=Hypothèses!$V$10,Hypothèses!$W$10,IF(U284&lt;=Hypothèses!$V$11,Hypothèses!$W$11,IF(U284&lt;=Hypothèses!$V$12,Hypothèses!$W$12,IF(U284&lt;=Hypothèses!$V$13,Hypothèses!$W$13,IF(U284&lt;=Hypothèses!$V$14,Hypothèses!$W$14,IF(U284&lt;=Hypothèses!$V$15,Hypothèses!$W$15,IF(U284&lt;=Hypothèses!$V$16,Hypothèses!$W$16,IF(U284&lt;=Hypothèses!$V$17,Hypothèses!$W$17,IF(U284&lt;=Hypothèses!$V$18,Hypothèses!$W$18,""))))))))))))</f>
        <v>#DIV/0!</v>
      </c>
      <c r="AP284" s="87" t="e">
        <f t="shared" ca="1" si="517"/>
        <v>#DIV/0!</v>
      </c>
      <c r="AQ284" s="88" t="e">
        <f ca="1">IF(U284&lt;=Hypothèses!$V$7,Hypothèses!$X$7,IF(U284&lt;=Hypothèses!$V$8,Hypothèses!$X$8,IF(U284&lt;=Hypothèses!$V$9,Hypothèses!$X$9,IF(U284&lt;=Hypothèses!$V$10,Hypothèses!$X$10,IF(U284&lt;=Hypothèses!$V$11,Hypothèses!$X$11,IF(U284&lt;=Hypothèses!$V$12,Hypothèses!$X$12,IF(U284&lt;=Hypothèses!$V$13,Hypothèses!$X$13,IF(U284&lt;=Hypothèses!$V$14,Hypothèses!$X$14,IF(U284&lt;=Hypothèses!$V$15,Hypothèses!$X$15,IF(U284&lt;=Hypothèses!$V$16,Hypothèses!$X$16,IF(U284&lt;=Hypothèses!$U$17,Hypothèses!$W$17,IF(U284&lt;=Hypothèses!$U$18,Hypothèses!$W$18,""))))))))))))</f>
        <v>#DIV/0!</v>
      </c>
      <c r="AR284" s="95" t="e">
        <f t="shared" ca="1" si="472"/>
        <v>#DIV/0!</v>
      </c>
      <c r="AS284" s="101" t="e">
        <f t="shared" si="524"/>
        <v>#N/A</v>
      </c>
      <c r="AT284" s="91" t="e">
        <f t="shared" si="443"/>
        <v>#N/A</v>
      </c>
      <c r="AU284" s="30" t="e">
        <f t="shared" si="502"/>
        <v>#N/A</v>
      </c>
      <c r="AV284" s="30" t="e">
        <f t="shared" si="503"/>
        <v>#N/A</v>
      </c>
      <c r="AW284" s="31" t="e">
        <f>IF(OR(Hypothèses!$B$4=17,Hypothèses!$B$4=18,Hypothèses!$B$4=19,Hypothèses!$B$4=20),
IF($D284="Pressio.",
IF(OR($E284=3,$E284=1,$E284=4),AV284,AU284),
IF($D284="Pénétro.",
IF(OR($E284=3,$E284=1,$E284=4),AV284,AU284))),IF($D284="Pressio.",
IF($E284=3,AV284,AU284),
IF($D284="Pénétro.",
IF($E284=4,AV284,AU284))))</f>
        <v>#N/A</v>
      </c>
      <c r="AX284" s="31" t="e">
        <f>(IF(OR(Hypothèses!$B$4=17,Hypothèses!$B$4=18,Hypothèses!$B$4=19,Hypothèses!$B$4=20),
IF($D284="Pressio.",
IF(OR($E284=3,$E284=1,$E284=4),(PI()*AX$12^2)/4*(AT284*$W284*1000)/($H284*$B$5),(PI()*AX$12^2)/4*(AT284*$W284*1000)/($G284*$B$5)),
IF($D284="Pénétro.",
IF(OR($E284=4,$E284=1,$E284=5),(PI()*AX$12^2)/4*(AT284*$W284*1000)/($H284*$B$5),(PI()*AX$12^2)/4*(AT284*$W284*1000)/($G284*$B$5)))),
IF($D284="Pressio.",
IF($E284=3,(PI()*AX$12^2)/4*(AT284*$W284*1000)/($H284*$B$5),(PI()*AX$12^2)/4*(AT284*$W284*1000)/($G284*$B$5)),
IF($D284="Pénétro.",
IF($E284=4,(PI()*AX$12^2)/4*(AT284*$W284*1000)/($H284*$B$5),(PI()*AX$12^2)/4*(AT284*$W284*1000)/($G284*$B$5))))))/10</f>
        <v>#N/A</v>
      </c>
      <c r="AY284" s="102" t="e">
        <f>(VLOOKUP($B$3,'Coeff EC7'!$T$39:$X$59,2,0)*AW284+VLOOKUP($B$3,'Coeff EC7'!$T$65:$X$85,2,0)*Model0.1C!AX284)/1.1</f>
        <v>#N/A</v>
      </c>
      <c r="AZ284" s="102" t="e">
        <f>(VLOOKUP($B$3,'Coeff EC7'!$T$39:$X$59,3,0)*AW284+VLOOKUP($B$3,'Coeff EC7'!$T$65:$X$85,3,0)*Model0.1C!AX284)/0.9</f>
        <v>#N/A</v>
      </c>
      <c r="BA284" s="102" t="e">
        <f t="shared" si="473"/>
        <v>#N/A</v>
      </c>
      <c r="BB284" s="102" t="e">
        <f t="shared" si="474"/>
        <v>#N/A</v>
      </c>
      <c r="BC284" s="414" t="e">
        <f>IF(BC283=0,0,IF(AND(AY284&gt;charge_ELS_quasi,AZ284&gt;Charge_ELS_freq,BA284&gt;charge_ELU,BB284&gt;charge_ELA,$B284&gt;NDC!$H$22-0.1+MIN(3*$BC$12,1.5)),0,1))</f>
        <v>#N/A</v>
      </c>
      <c r="BD284" s="86" t="b">
        <f t="shared" si="444"/>
        <v>0</v>
      </c>
      <c r="BE284" s="86">
        <f t="shared" si="475"/>
        <v>0.5</v>
      </c>
      <c r="BF284" s="86">
        <f t="shared" si="445"/>
        <v>0.5</v>
      </c>
      <c r="BG284" s="30" t="e">
        <f t="shared" ca="1" si="476"/>
        <v>#DIV/0!</v>
      </c>
      <c r="BH284" s="85" t="e">
        <f ca="1">IF(AN284&lt;=Hypothèses!$V$7,Hypothèses!$W$7,IF(AN284&lt;=Hypothèses!$V$8,Hypothèses!$W$8,IF(AN284&lt;=Hypothèses!$V$9,Hypothèses!$W$9,IF(AN284&lt;=Hypothèses!$V$10,Hypothèses!$W$10,IF(AN284&lt;=Hypothèses!$V$11,Hypothèses!$W$11,IF(AN284&lt;=Hypothèses!$V$12,Hypothèses!$W$12,IF(AN284&lt;=Hypothèses!$V$13,Hypothèses!$W$13,IF(AN284&lt;=Hypothèses!$V$14,Hypothèses!$W$14,IF(AN284&lt;=Hypothèses!$V$15,Hypothèses!$W$15,IF(AN284&lt;=Hypothèses!$V$16,Hypothèses!$W$16,IF(AN284&lt;=Hypothèses!$V$17,Hypothèses!$W$17,IF(AN284&lt;=Hypothèses!$V$18,Hypothèses!$W$18,""))))))))))))</f>
        <v>#DIV/0!</v>
      </c>
      <c r="BI284" s="87" t="e">
        <f t="shared" ca="1" si="518"/>
        <v>#DIV/0!</v>
      </c>
      <c r="BJ284" s="88" t="e">
        <f ca="1">IF(AN284&lt;=Hypothèses!$V$7,Hypothèses!$X$7,IF(AN284&lt;=Hypothèses!$V$8,Hypothèses!$X$8,IF(AN284&lt;=Hypothèses!$V$9,Hypothèses!$X$9,IF(AN284&lt;=Hypothèses!$V$10,Hypothèses!$X$10,IF(AN284&lt;=Hypothèses!$V$11,Hypothèses!$X$11,IF(AN284&lt;=Hypothèses!$V$12,Hypothèses!$X$12,IF(AN284&lt;=Hypothèses!$V$13,Hypothèses!$X$13,IF(AN284&lt;=Hypothèses!$V$14,Hypothèses!$X$14,IF(AN284&lt;=Hypothèses!$V$15,Hypothèses!$X$15,IF(AN284&lt;=Hypothèses!$V$16,Hypothèses!$X$16,IF(AN284&lt;=Hypothèses!$U$17,Hypothèses!$W$17,IF(AN284&lt;=Hypothèses!$U$18,Hypothèses!$W$18,""))))))))))))</f>
        <v>#DIV/0!</v>
      </c>
      <c r="BK284" s="95" t="e">
        <f t="shared" ca="1" si="477"/>
        <v>#DIV/0!</v>
      </c>
      <c r="BL284" s="101" t="e">
        <f t="shared" si="525"/>
        <v>#N/A</v>
      </c>
      <c r="BM284" s="91" t="e">
        <f t="shared" si="446"/>
        <v>#N/A</v>
      </c>
      <c r="BN284" s="30" t="e">
        <f t="shared" si="504"/>
        <v>#N/A</v>
      </c>
      <c r="BO284" s="30" t="e">
        <f t="shared" si="505"/>
        <v>#N/A</v>
      </c>
      <c r="BP284" s="31" t="e">
        <f>IF(OR(Hypothèses!$B$4=17,Hypothèses!$B$4=18,Hypothèses!$B$4=19,Hypothèses!$B$4=20),
IF($D284="Pressio.",
IF(OR($E284=3,$E284=1,$E284=4),BO284,BN284),
IF($D284="Pénétro.",
IF(OR($E284=3,$E284=1,$E284=4),BO284,BN284))),IF($D284="Pressio.",
IF($E284=3,BO284,BN284),
IF($D284="Pénétro.",
IF($E284=4,BO284,BN284))))</f>
        <v>#N/A</v>
      </c>
      <c r="BQ284" s="31" t="e">
        <f>(IF(OR(Hypothèses!$B$4=17,Hypothèses!$B$4=18,Hypothèses!$B$4=19,Hypothèses!$B$4=20),
IF($D284="Pressio.",
IF(OR($E284=3,$E284=1,$E284=4),(PI()*BQ$12^2)/4*(BM284*$W284*1000)/($H284*$B$5),(PI()*BQ$12^2)/4*(BM284*$W284*1000)/($G284*$B$5)),
IF($D284="Pénétro.",
IF(OR($E284=4,$E284=1,$E284=5),(PI()*BQ$12^2)/4*(BM284*$W284*1000)/($H284*$B$5),(PI()*BQ$12^2)/4*(BM284*$W284*1000)/($G284*$B$5)))),
IF($D284="Pressio.",
IF($E284=3,(PI()*BQ$12^2)/4*(BM284*$W284*1000)/($H284*$B$5),(PI()*BQ$12^2)/4*(BM284*$W284*1000)/($G284*$B$5)),
IF($D284="Pénétro.",
IF($E284=4,(PI()*BQ$12^2)/4*(BM284*$W284*1000)/($H284*$B$5),(PI()*BQ$12^2)/4*(BM284*$W284*1000)/($G284*$B$5))))))/10</f>
        <v>#N/A</v>
      </c>
      <c r="BR284" s="102" t="e">
        <f>(VLOOKUP($B$3,'Coeff EC7'!$T$39:$X$59,2,0)*BP284+VLOOKUP($B$3,'Coeff EC7'!$T$65:$X$85,2,0)*Model0.1C!BQ284)/1.1</f>
        <v>#N/A</v>
      </c>
      <c r="BS284" s="102" t="e">
        <f>(VLOOKUP($B$3,'Coeff EC7'!$T$39:$X$59,3,0)*BP284+VLOOKUP($B$3,'Coeff EC7'!$T$65:$X$85,3,0)*Model0.1C!BQ284)/0.9</f>
        <v>#N/A</v>
      </c>
      <c r="BT284" s="102" t="e">
        <f t="shared" si="478"/>
        <v>#N/A</v>
      </c>
      <c r="BU284" s="102" t="e">
        <f t="shared" si="479"/>
        <v>#N/A</v>
      </c>
      <c r="BV284" s="414" t="e">
        <f>IF(BV283=0,0,IF(AND(BR284&gt;charge_ELS_quasi,BS284&gt;Charge_ELS_freq,BT284&gt;charge_ELU,BU284&gt;charge_ELA,$B284&gt;NDC!$H$22-0.1+MIN(3*$BV$12,1.5)),0,1))</f>
        <v>#N/A</v>
      </c>
      <c r="BW284" s="86" t="b">
        <f t="shared" si="447"/>
        <v>0</v>
      </c>
      <c r="BX284" s="86">
        <f t="shared" si="448"/>
        <v>0.5</v>
      </c>
      <c r="BY284" s="86">
        <f t="shared" si="449"/>
        <v>0.5</v>
      </c>
      <c r="BZ284" s="30" t="e">
        <f t="shared" ca="1" si="480"/>
        <v>#DIV/0!</v>
      </c>
      <c r="CA284" s="85" t="e">
        <f ca="1">IF(BG284&lt;=Hypothèses!$V$7,Hypothèses!$W$7,IF(BG284&lt;=Hypothèses!$V$8,Hypothèses!$W$8,IF(BG284&lt;=Hypothèses!$V$9,Hypothèses!$W$9,IF(BG284&lt;=Hypothèses!$V$10,Hypothèses!$W$10,IF(BG284&lt;=Hypothèses!$V$11,Hypothèses!$W$11,IF(BG284&lt;=Hypothèses!$V$12,Hypothèses!$W$12,IF(BG284&lt;=Hypothèses!$V$13,Hypothèses!$W$13,IF(BG284&lt;=Hypothèses!$V$14,Hypothèses!$W$14,IF(BG284&lt;=Hypothèses!$V$15,Hypothèses!$W$15,IF(BG284&lt;=Hypothèses!$V$16,Hypothèses!$W$16,IF(BG284&lt;=Hypothèses!$V$17,Hypothèses!$W$17,IF(BG284&lt;=Hypothèses!$V$18,Hypothèses!$W$18,""))))))))))))</f>
        <v>#DIV/0!</v>
      </c>
      <c r="CB284" s="87" t="e">
        <f t="shared" ca="1" si="519"/>
        <v>#DIV/0!</v>
      </c>
      <c r="CC284" s="88" t="e">
        <f ca="1">IF(BG284&lt;=Hypothèses!$V$7,Hypothèses!$X$7,IF(BG284&lt;=Hypothèses!$V$8,Hypothèses!$X$8,IF(BG284&lt;=Hypothèses!$V$9,Hypothèses!$X$9,IF(BG284&lt;=Hypothèses!$V$10,Hypothèses!$X$10,IF(BG284&lt;=Hypothèses!$V$11,Hypothèses!$X$11,IF(BG284&lt;=Hypothèses!$V$12,Hypothèses!$X$12,IF(BG284&lt;=Hypothèses!$V$13,Hypothèses!$X$13,IF(BG284&lt;=Hypothèses!$V$14,Hypothèses!$X$14,IF(BG284&lt;=Hypothèses!$V$15,Hypothèses!$X$15,IF(BG284&lt;=Hypothèses!$V$16,Hypothèses!$X$16,IF(BG284&lt;=Hypothèses!$U$17,Hypothèses!$W$17,IF(BG284&lt;=Hypothèses!$U$18,Hypothèses!$W$18,""))))))))))))</f>
        <v>#DIV/0!</v>
      </c>
      <c r="CD284" s="95" t="e">
        <f t="shared" ca="1" si="481"/>
        <v>#DIV/0!</v>
      </c>
      <c r="CE284" s="101" t="e">
        <f t="shared" si="526"/>
        <v>#N/A</v>
      </c>
      <c r="CF284" s="91" t="e">
        <f t="shared" si="450"/>
        <v>#N/A</v>
      </c>
      <c r="CG284" s="30" t="e">
        <f t="shared" si="506"/>
        <v>#N/A</v>
      </c>
      <c r="CH284" s="30" t="e">
        <f t="shared" si="507"/>
        <v>#N/A</v>
      </c>
      <c r="CI284" s="31" t="e">
        <f>IF(OR(Hypothèses!$B$4=17,Hypothèses!$B$4=18,Hypothèses!$B$4=19,Hypothèses!$B$4=20),
IF($D284="Pressio.",
IF(OR($E284=3,$E284=1,$E284=4),CH284,CG284),
IF($D284="Pénétro.",
IF(OR($E284=3,$E284=1,$E284=4),CH284,CG284))),IF($D284="Pressio.",
IF($E284=3,CH284,CG284),
IF($D284="Pénétro.",
IF($E284=4,CH284,CG284))))</f>
        <v>#N/A</v>
      </c>
      <c r="CJ284" s="31" t="e">
        <f>(IF(OR(Hypothèses!$B$4=17,Hypothèses!$B$4=18,Hypothèses!$B$4=19,Hypothèses!$B$4=20),
IF($D284="Pressio.",
IF(OR($E284=3,$E284=1,$E284=4),(PI()*CJ$12^2)/4*(CF284*$W284*1000)/($H284*$B$5),(PI()*CJ$12^2)/4*(CF284*$W284*1000)/($G284*$B$5)),
IF($D284="Pénétro.",
IF(OR($E284=4,$E284=1,$E284=5),(PI()*CJ$12^2)/4*(CF284*$W284*1000)/($H284*$B$5),(PI()*CJ$12^2)/4*(CF284*$W284*1000)/($G284*$B$5)))),
IF($D284="Pressio.",
IF($E284=3,(PI()*CJ$12^2)/4*(CF284*$W284*1000)/($H284*$B$5),(PI()*CJ$12^2)/4*(CF284*$W284*1000)/($G284*$B$5)),
IF($D284="Pénétro.",
IF($E284=4,(PI()*CJ$12^2)/4*(CF284*$W284*1000)/($H284*$B$5),(PI()*CJ$12^2)/4*(CF284*$W284*1000)/($G284*$B$5))))))/10</f>
        <v>#N/A</v>
      </c>
      <c r="CK284" s="102" t="e">
        <f>(VLOOKUP($B$3,'Coeff EC7'!$T$39:$X$59,2,0)*CI284+VLOOKUP($B$3,'Coeff EC7'!$T$65:$X$85,2,0)*Model0.1C!CJ284)/1.1</f>
        <v>#N/A</v>
      </c>
      <c r="CL284" s="102" t="e">
        <f>(VLOOKUP($B$3,'Coeff EC7'!$T$39:$X$59,3,0)*CI284+VLOOKUP($B$3,'Coeff EC7'!$T$65:$X$85,3,0)*Model0.1C!CJ284)/0.9</f>
        <v>#N/A</v>
      </c>
      <c r="CM284" s="102" t="e">
        <f t="shared" si="482"/>
        <v>#N/A</v>
      </c>
      <c r="CN284" s="102" t="e">
        <f t="shared" si="483"/>
        <v>#N/A</v>
      </c>
      <c r="CO284" s="414" t="e">
        <f>IF(CO283=0,0,IF(AND(CK284&gt;charge_ELS_quasi,CL284&gt;Charge_ELS_freq,CM284&gt;charge_ELU,CN284&gt;charge_ELA,$B284&gt;NDC!$H$22-0.1+MIN(3*$CO$12,1.5)),0,1))</f>
        <v>#N/A</v>
      </c>
      <c r="CP284" s="86" t="b">
        <f t="shared" si="451"/>
        <v>0</v>
      </c>
      <c r="CQ284" s="86">
        <f t="shared" si="452"/>
        <v>0.5</v>
      </c>
      <c r="CR284" s="86">
        <f t="shared" si="453"/>
        <v>0.5</v>
      </c>
      <c r="CS284" s="30" t="e">
        <f t="shared" ca="1" si="484"/>
        <v>#DIV/0!</v>
      </c>
      <c r="CT284" s="85" t="e">
        <f ca="1">IF(BZ284&lt;=Hypothèses!$V$7,Hypothèses!$W$7,IF(BZ284&lt;=Hypothèses!$V$8,Hypothèses!$W$8,IF(BZ284&lt;=Hypothèses!$V$9,Hypothèses!$W$9,IF(BZ284&lt;=Hypothèses!$V$10,Hypothèses!$W$10,IF(BZ284&lt;=Hypothèses!$V$11,Hypothèses!$W$11,IF(BZ284&lt;=Hypothèses!$V$12,Hypothèses!$W$12,IF(BZ284&lt;=Hypothèses!$V$13,Hypothèses!$W$13,IF(BZ284&lt;=Hypothèses!$V$14,Hypothèses!$W$14,IF(BZ284&lt;=Hypothèses!$V$15,Hypothèses!$W$15,IF(BZ284&lt;=Hypothèses!$V$16,Hypothèses!$W$16,IF(BZ284&lt;=Hypothèses!$V$17,Hypothèses!$W$17,IF(BZ284&lt;=Hypothèses!$V$18,Hypothèses!$W$18,""))))))))))))</f>
        <v>#DIV/0!</v>
      </c>
      <c r="CU284" s="87" t="e">
        <f t="shared" ca="1" si="520"/>
        <v>#DIV/0!</v>
      </c>
      <c r="CV284" s="88" t="e">
        <f ca="1">IF(BZ284&lt;=Hypothèses!$V$7,Hypothèses!$X$7,IF(BZ284&lt;=Hypothèses!$V$8,Hypothèses!$X$8,IF(BZ284&lt;=Hypothèses!$V$9,Hypothèses!$X$9,IF(BZ284&lt;=Hypothèses!$V$10,Hypothèses!$X$10,IF(BZ284&lt;=Hypothèses!$V$11,Hypothèses!$X$11,IF(BZ284&lt;=Hypothèses!$V$12,Hypothèses!$X$12,IF(BZ284&lt;=Hypothèses!$V$13,Hypothèses!$X$13,IF(BZ284&lt;=Hypothèses!$V$14,Hypothèses!$X$14,IF(BZ284&lt;=Hypothèses!$V$15,Hypothèses!$X$15,IF(BZ284&lt;=Hypothèses!$V$16,Hypothèses!$X$16,IF(BZ284&lt;=Hypothèses!$U$17,Hypothèses!$W$17,IF(BZ284&lt;=Hypothèses!$U$18,Hypothèses!$W$18,""))))))))))))</f>
        <v>#DIV/0!</v>
      </c>
      <c r="CW284" s="95" t="e">
        <f t="shared" ca="1" si="485"/>
        <v>#DIV/0!</v>
      </c>
      <c r="CX284" s="101" t="e">
        <f t="shared" si="527"/>
        <v>#N/A</v>
      </c>
      <c r="CY284" s="91" t="e">
        <f t="shared" si="454"/>
        <v>#N/A</v>
      </c>
      <c r="CZ284" s="30" t="e">
        <f t="shared" si="508"/>
        <v>#N/A</v>
      </c>
      <c r="DA284" s="30" t="e">
        <f t="shared" si="509"/>
        <v>#N/A</v>
      </c>
      <c r="DB284" s="31" t="e">
        <f>IF(OR(Hypothèses!$B$4=17,Hypothèses!$B$4=18,Hypothèses!$B$4=19,Hypothèses!$B$4=20),
IF($D284="Pressio.",
IF(OR($E284=3,$E284=1,$E284=4),DA284,CZ284),
IF($D284="Pénétro.",
IF(OR($E284=3,$E284=1,$E284=4),DA284,CZ284))),IF($D284="Pressio.",
IF($E284=3,DA284,CZ284),
IF($D284="Pénétro.",
IF($E284=4,DA284,CZ284))))</f>
        <v>#N/A</v>
      </c>
      <c r="DC284" s="31" t="e">
        <f>(IF(OR(Hypothèses!$B$4=17,Hypothèses!$B$4=18,Hypothèses!$B$4=19,Hypothèses!$B$4=20),
IF($D284="Pressio.",
IF(OR($E284=3,$E284=1,$E284=4),(PI()*DC$12^2)/4*(CY284*$W284*1000)/($H284*$B$5),(PI()*DC$12^2)/4*(CY284*$W284*1000)/($G284*$B$5)),
IF($D284="Pénétro.",
IF(OR($E284=4,$E284=1,$E284=5),(PI()*DC$12^2)/4*(CY284*$W284*1000)/($H284*$B$5),(PI()*DC$12^2)/4*(CY284*$W284*1000)/($G284*$B$5)))),
IF($D284="Pressio.",
IF($E284=3,(PI()*DC$12^2)/4*(CY284*$W284*1000)/($H284*$B$5),(PI()*DC$12^2)/4*(CY284*$W284*1000)/($G284*$B$5)),
IF($D284="Pénétro.",
IF($E284=4,(PI()*DC$12^2)/4*(CY284*$W284*1000)/($H284*$B$5),(PI()*DC$12^2)/4*(CY284*$W284*1000)/($G284*$B$5))))))/10</f>
        <v>#N/A</v>
      </c>
      <c r="DD284" s="102" t="e">
        <f>(VLOOKUP($B$3,'Coeff EC7'!$T$39:$X$59,2,0)*DB284+VLOOKUP($B$3,'Coeff EC7'!$T$65:$X$85,2,0)*Model0.1C!DC284)/1.1</f>
        <v>#N/A</v>
      </c>
      <c r="DE284" s="102" t="e">
        <f>(VLOOKUP($B$3,'Coeff EC7'!$T$39:$X$59,3,0)*DB284+VLOOKUP($B$3,'Coeff EC7'!$T$65:$X$85,3,0)*Model0.1C!DC284)/0.9</f>
        <v>#N/A</v>
      </c>
      <c r="DF284" s="102" t="e">
        <f t="shared" si="486"/>
        <v>#N/A</v>
      </c>
      <c r="DG284" s="102" t="e">
        <f t="shared" si="487"/>
        <v>#N/A</v>
      </c>
      <c r="DH284" s="414" t="e">
        <f>IF(DH283=0,0,IF(AND(DD284&gt;charge_ELS_quasi,DE284&gt;Charge_ELS_freq,DF284&gt;charge_ELU,DG284&gt;charge_ELA,$B284&gt;NDC!$H$22-0.1+MIN(3*$DH$12,1.5)),0,1))</f>
        <v>#N/A</v>
      </c>
      <c r="DI284" s="86" t="b">
        <f t="shared" si="455"/>
        <v>0</v>
      </c>
      <c r="DJ284" s="86">
        <f t="shared" si="456"/>
        <v>0.5</v>
      </c>
      <c r="DK284" s="86">
        <f t="shared" si="457"/>
        <v>0.5</v>
      </c>
      <c r="DL284" s="30" t="e">
        <f t="shared" ca="1" si="488"/>
        <v>#DIV/0!</v>
      </c>
      <c r="DM284" s="85" t="e">
        <f ca="1">IF(CS284&lt;=Hypothèses!$V$7,Hypothèses!$W$7,IF(CS284&lt;=Hypothèses!$V$8,Hypothèses!$W$8,IF(CS284&lt;=Hypothèses!$V$9,Hypothèses!$W$9,IF(CS284&lt;=Hypothèses!$V$10,Hypothèses!$W$10,IF(CS284&lt;=Hypothèses!$V$11,Hypothèses!$W$11,IF(CS284&lt;=Hypothèses!$V$12,Hypothèses!$W$12,IF(CS284&lt;=Hypothèses!$V$13,Hypothèses!$W$13,IF(CS284&lt;=Hypothèses!$V$14,Hypothèses!$W$14,IF(CS284&lt;=Hypothèses!$V$15,Hypothèses!$W$15,IF(CS284&lt;=Hypothèses!$V$16,Hypothèses!$W$16,IF(CS284&lt;=Hypothèses!$V$17,Hypothèses!$W$17,IF(CS284&lt;=Hypothèses!$V$18,Hypothèses!$W$18,""))))))))))))</f>
        <v>#DIV/0!</v>
      </c>
      <c r="DN284" s="87" t="e">
        <f t="shared" ca="1" si="521"/>
        <v>#DIV/0!</v>
      </c>
      <c r="DO284" s="88" t="e">
        <f ca="1">IF(CS284&lt;=Hypothèses!$V$7,Hypothèses!$X$7,IF(CS284&lt;=Hypothèses!$V$8,Hypothèses!$X$8,IF(CS284&lt;=Hypothèses!$V$9,Hypothèses!$X$9,IF(CS284&lt;=Hypothèses!$V$10,Hypothèses!$X$10,IF(CS284&lt;=Hypothèses!$V$11,Hypothèses!$X$11,IF(CS284&lt;=Hypothèses!$V$12,Hypothèses!$X$12,IF(CS284&lt;=Hypothèses!$V$13,Hypothèses!$X$13,IF(CS284&lt;=Hypothèses!$V$14,Hypothèses!$X$14,IF(CS284&lt;=Hypothèses!$V$15,Hypothèses!$X$15,IF(CS284&lt;=Hypothèses!$V$16,Hypothèses!$X$16,IF(CS284&lt;=Hypothèses!$U$17,Hypothèses!$W$17,IF(CS284&lt;=Hypothèses!$U$18,Hypothèses!$W$18,""))))))))))))</f>
        <v>#DIV/0!</v>
      </c>
      <c r="DP284" s="95" t="e">
        <f t="shared" ca="1" si="489"/>
        <v>#DIV/0!</v>
      </c>
      <c r="DQ284" s="101" t="e">
        <f t="shared" si="528"/>
        <v>#N/A</v>
      </c>
      <c r="DR284" s="91" t="e">
        <f t="shared" si="458"/>
        <v>#N/A</v>
      </c>
      <c r="DS284" s="30" t="e">
        <f t="shared" si="510"/>
        <v>#N/A</v>
      </c>
      <c r="DT284" s="30" t="e">
        <f t="shared" si="511"/>
        <v>#N/A</v>
      </c>
      <c r="DU284" s="31" t="e">
        <f>IF(OR(Hypothèses!$B$4=17,Hypothèses!$B$4=18,Hypothèses!$B$4=19,Hypothèses!$B$4=20),
IF($D284="Pressio.",
IF(OR($E284=3,$E284=1,$E284=4),DT284,DS284),
IF($D284="Pénétro.",
IF(OR($E284=3,$E284=1,$E284=4),DT284,DS284))),IF($D284="Pressio.",
IF($E284=3,DT284,DS284),
IF($D284="Pénétro.",
IF($E284=4,DT284,DS284))))</f>
        <v>#N/A</v>
      </c>
      <c r="DV284" s="31" t="e">
        <f>(IF(OR(Hypothèses!$B$4=17,Hypothèses!$B$4=18,Hypothèses!$B$4=19,Hypothèses!$B$4=20),
IF($D284="Pressio.",
IF(OR($E284=3,$E284=1,$E284=4),(PI()*DV$12^2)/4*(DR284*$W284*1000)/($H284*$B$5),(PI()*DV$12^2)/4*(DR284*$W284*1000)/($G284*$B$5)),
IF($D284="Pénétro.",
IF(OR($E284=4,$E284=1,$E284=5),(PI()*DV$12^2)/4*(DR284*$W284*1000)/($H284*$B$5),(PI()*DV$12^2)/4*(DR284*$W284*1000)/($G284*$B$5)))),
IF($D284="Pressio.",
IF($E284=3,(PI()*DV$12^2)/4*(DR284*$W284*1000)/($H284*$B$5),(PI()*DV$12^2)/4*(DR284*$W284*1000)/($G284*$B$5)),
IF($D284="Pénétro.",
IF($E284=4,(PI()*DV$12^2)/4*(DR284*$W284*1000)/($H284*$B$5),(PI()*DV$12^2)/4*(DR284*$W284*1000)/($G284*$B$5))))))/10</f>
        <v>#N/A</v>
      </c>
      <c r="DW284" s="102" t="e">
        <f>(VLOOKUP($B$3,'Coeff EC7'!$T$39:$X$59,2,0)*DU284+VLOOKUP($B$3,'Coeff EC7'!$T$65:$X$85,2,0)*Model0.1C!DV284)/1.1</f>
        <v>#N/A</v>
      </c>
      <c r="DX284" s="102" t="e">
        <f>(VLOOKUP($B$3,'Coeff EC7'!$T$39:$X$59,3,0)*DU284+VLOOKUP($B$3,'Coeff EC7'!$T$65:$X$85,3,0)*Model0.1C!DV284)/0.9</f>
        <v>#N/A</v>
      </c>
      <c r="DY284" s="102" t="e">
        <f t="shared" si="490"/>
        <v>#N/A</v>
      </c>
      <c r="DZ284" s="102" t="e">
        <f t="shared" si="491"/>
        <v>#N/A</v>
      </c>
      <c r="EA284" s="414" t="e">
        <f>IF(EA283=0,0,IF(AND(DW284&gt;charge_ELS_quasi,DX284&gt;Charge_ELS_freq,DY284&gt;charge_ELU,DZ284&gt;charge_ELA,$B284&gt;NDC!$H$22-0.1+MIN(3*$EA$12,1.5)),0,1))</f>
        <v>#N/A</v>
      </c>
      <c r="EB284" s="86" t="b">
        <f t="shared" si="459"/>
        <v>0</v>
      </c>
      <c r="EC284" s="418">
        <f t="shared" si="460"/>
        <v>0.51</v>
      </c>
      <c r="ED284" s="86">
        <f t="shared" si="461"/>
        <v>0.51</v>
      </c>
      <c r="EE284" s="30" t="e">
        <f t="shared" ca="1" si="492"/>
        <v>#DIV/0!</v>
      </c>
      <c r="EF284" s="85" t="e">
        <f ca="1">IF(DL284&lt;=Hypothèses!$V$7,Hypothèses!$W$7,IF(DL284&lt;=Hypothèses!$V$8,Hypothèses!$W$8,IF(DL284&lt;=Hypothèses!$V$9,Hypothèses!$W$9,IF(DL284&lt;=Hypothèses!$V$10,Hypothèses!$W$10,IF(DL284&lt;=Hypothèses!$V$11,Hypothèses!$W$11,IF(DL284&lt;=Hypothèses!$V$12,Hypothèses!$W$12,IF(DL284&lt;=Hypothèses!$V$13,Hypothèses!$W$13,IF(DL284&lt;=Hypothèses!$V$14,Hypothèses!$W$14,IF(DL284&lt;=Hypothèses!$V$15,Hypothèses!$W$15,IF(DL284&lt;=Hypothèses!$V$16,Hypothèses!$W$16,IF(DL284&lt;=Hypothèses!$V$17,Hypothèses!$W$17,IF(DL284&lt;=Hypothèses!$V$18,Hypothèses!$W$18,""))))))))))))</f>
        <v>#DIV/0!</v>
      </c>
      <c r="EG284" s="87" t="e">
        <f t="shared" ca="1" si="522"/>
        <v>#DIV/0!</v>
      </c>
      <c r="EH284" s="88" t="e">
        <f ca="1">IF(DL284&lt;=Hypothèses!$V$7,Hypothèses!$X$7,IF(DL284&lt;=Hypothèses!$V$8,Hypothèses!$X$8,IF(DL284&lt;=Hypothèses!$V$9,Hypothèses!$X$9,IF(DL284&lt;=Hypothèses!$V$10,Hypothèses!$X$10,IF(DL284&lt;=Hypothèses!$V$11,Hypothèses!$X$11,IF(DL284&lt;=Hypothèses!$V$12,Hypothèses!$X$12,IF(DL284&lt;=Hypothèses!$V$13,Hypothèses!$X$13,IF(DL284&lt;=Hypothèses!$V$14,Hypothèses!$X$14,IF(DL284&lt;=Hypothèses!$V$15,Hypothèses!$X$15,IF(DL284&lt;=Hypothèses!$V$16,Hypothèses!$X$16,IF(DL284&lt;=Hypothèses!$U$17,Hypothèses!$W$17,IF(DL284&lt;=Hypothèses!$U$18,Hypothèses!$W$18,""))))))))))))</f>
        <v>#DIV/0!</v>
      </c>
      <c r="EI284" s="95" t="e">
        <f t="shared" ca="1" si="493"/>
        <v>#DIV/0!</v>
      </c>
      <c r="EJ284" s="101" t="e">
        <f t="shared" si="529"/>
        <v>#N/A</v>
      </c>
      <c r="EK284" s="91" t="e">
        <f t="shared" si="462"/>
        <v>#N/A</v>
      </c>
      <c r="EL284" s="30" t="e">
        <f t="shared" si="512"/>
        <v>#N/A</v>
      </c>
      <c r="EM284" s="30" t="e">
        <f t="shared" si="513"/>
        <v>#N/A</v>
      </c>
      <c r="EN284" s="31" t="e">
        <f>IF(OR(Hypothèses!$B$4=17,Hypothèses!$B$4=18,Hypothèses!$B$4=19,Hypothèses!$B$4=20),
IF($D284="Pressio.",
IF(OR($E284=3,$E284=1,$E284=4),EM284,EL284),
IF($D284="Pénétro.",
IF(OR($E284=3,$E284=1,$E284=4),EM284,EL284))),IF($D284="Pressio.",
IF($E284=3,EM284,EL284),
IF($D284="Pénétro.",
IF($E284=4,EM284,EL284))))</f>
        <v>#N/A</v>
      </c>
      <c r="EO284" s="31" t="e">
        <f>(IF(OR(Hypothèses!$B$4=17,Hypothèses!$B$4=18,Hypothèses!$B$4=19,Hypothèses!$B$4=20),
IF($D284="Pressio.",
IF(OR($E284=3,$E284=1,$E284=4),(PI()*EO$12^2)/4*(EK284*$W284*1000)/($H284*$B$5),(PI()*EO$12^2)/4*(EK284*$W284*1000)/($G284*$B$5)),
IF($D284="Pénétro.",
IF(OR($E284=4,$E284=1,$E284=5),(PI()*EO$12^2)/4*(EK284*$W284*1000)/($H284*$B$5),(PI()*EO$12^2)/4*(EK284*$W284*1000)/($G284*$B$5)))),
IF($D284="Pressio.",
IF($E284=3,(PI()*EO$12^2)/4*(EK284*$W284*1000)/($H284*$B$5),(PI()*EO$12^2)/4*(EK284*$W284*1000)/($G284*$B$5)),
IF($D284="Pénétro.",
IF($E284=4,(PI()*EO$12^2)/4*(EK284*$W284*1000)/($H284*$B$5),(PI()*EO$12^2)/4*(EK284*$W284*1000)/($G284*$B$5))))))/10</f>
        <v>#N/A</v>
      </c>
      <c r="EP284" s="102" t="e">
        <f>(VLOOKUP($B$3,'Coeff EC7'!$T$39:$X$59,2,0)*EN284+VLOOKUP($B$3,'Coeff EC7'!$T$65:$X$85,2,0)*Model0.1C!EO284)/1.1</f>
        <v>#N/A</v>
      </c>
      <c r="EQ284" s="102" t="e">
        <f>(VLOOKUP($B$3,'Coeff EC7'!$T$39:$X$59,3,0)*EN284+VLOOKUP($B$3,'Coeff EC7'!$T$65:$X$85,3,0)*Model0.1C!EO284)/0.9</f>
        <v>#N/A</v>
      </c>
      <c r="ER284" s="102" t="e">
        <f t="shared" si="494"/>
        <v>#N/A</v>
      </c>
      <c r="ES284" s="102" t="e">
        <f t="shared" si="495"/>
        <v>#N/A</v>
      </c>
      <c r="ET284" s="414" t="e">
        <f>IF(ET283=0,0,IF(AND(EP284&gt;charge_ELS_quasi,EQ284&gt;Charge_ELS_freq,ER284&gt;charge_ELU,ES284&gt;charge_ELA,$B284&gt;NDC!$H$22-0.1+MIN(3*$ET$12,1.5)),0,1))</f>
        <v>#N/A</v>
      </c>
      <c r="EU284" s="86" t="b">
        <f t="shared" si="463"/>
        <v>0</v>
      </c>
      <c r="EV284" s="86">
        <f t="shared" si="464"/>
        <v>0.61</v>
      </c>
      <c r="EW284" s="86">
        <f t="shared" si="465"/>
        <v>0.61</v>
      </c>
      <c r="EX284" s="30" t="e">
        <f t="shared" ca="1" si="496"/>
        <v>#DIV/0!</v>
      </c>
      <c r="EY284" s="85" t="e">
        <f ca="1">IF(EE284&lt;=Hypothèses!$V$7,Hypothèses!$W$7,IF(EE284&lt;=Hypothèses!$V$8,Hypothèses!$W$8,IF(EE284&lt;=Hypothèses!$V$9,Hypothèses!$W$9,IF(EE284&lt;=Hypothèses!$V$10,Hypothèses!$W$10,IF(EE284&lt;=Hypothèses!$V$11,Hypothèses!$W$11,IF(EE284&lt;=Hypothèses!$V$12,Hypothèses!$W$12,IF(EE284&lt;=Hypothèses!$V$13,Hypothèses!$W$13,IF(EE284&lt;=Hypothèses!$V$14,Hypothèses!$W$14,IF(EE284&lt;=Hypothèses!$V$15,Hypothèses!$W$15,IF(EE284&lt;=Hypothèses!$V$16,Hypothèses!$W$16,IF(EE284&lt;=Hypothèses!$V$17,Hypothèses!$W$17,IF(EE284&lt;=Hypothèses!$V$18,Hypothèses!$W$18,""))))))))))))</f>
        <v>#DIV/0!</v>
      </c>
      <c r="EZ284" s="87" t="e">
        <f t="shared" ca="1" si="523"/>
        <v>#DIV/0!</v>
      </c>
      <c r="FA284" s="88" t="e">
        <f ca="1">IF(EE284&lt;=Hypothèses!$V$7,Hypothèses!$X$7,IF(EE284&lt;=Hypothèses!$V$8,Hypothèses!$X$8,IF(EE284&lt;=Hypothèses!$V$9,Hypothèses!$X$9,IF(EE284&lt;=Hypothèses!$V$10,Hypothèses!$X$10,IF(EE284&lt;=Hypothèses!$V$11,Hypothèses!$X$11,IF(EE284&lt;=Hypothèses!$V$12,Hypothèses!$X$12,IF(EE284&lt;=Hypothèses!$V$13,Hypothèses!$X$13,IF(EE284&lt;=Hypothèses!$V$14,Hypothèses!$X$14,IF(EE284&lt;=Hypothèses!$V$15,Hypothèses!$X$15,IF(EE284&lt;=Hypothèses!$V$16,Hypothèses!$X$16,IF(EE284&lt;=Hypothèses!$U$17,Hypothèses!$W$17,IF(EE284&lt;=Hypothèses!$U$18,Hypothèses!$W$18,""))))))))))))</f>
        <v>#DIV/0!</v>
      </c>
      <c r="FB284" s="95" t="e">
        <f t="shared" ca="1" si="497"/>
        <v>#DIV/0!</v>
      </c>
      <c r="FC284" s="101" t="e">
        <f t="shared" si="530"/>
        <v>#N/A</v>
      </c>
      <c r="FD284" s="91" t="e">
        <f t="shared" si="466"/>
        <v>#N/A</v>
      </c>
      <c r="FE284" s="30" t="e">
        <f t="shared" si="514"/>
        <v>#N/A</v>
      </c>
      <c r="FF284" s="30" t="e">
        <f t="shared" si="515"/>
        <v>#N/A</v>
      </c>
      <c r="FG284" s="31" t="e">
        <f>IF(OR(Hypothèses!$B$4=17,Hypothèses!$B$4=18,Hypothèses!$B$4=19,Hypothèses!$B$4=20),
IF($D284="Pressio.",
IF(OR($E284=3,$E284=1,$E284=4),FF284,FE284),
IF($D284="Pénétro.",
IF(OR($E284=3,$E284=1,$E284=4),FF284,FE284))),IF($D284="Pressio.",
IF($E284=3,FF284,FE284),
IF($D284="Pénétro.",
IF($E284=4,FF284,FE284))))</f>
        <v>#N/A</v>
      </c>
      <c r="FH284" s="31" t="e">
        <f>(IF(OR(Hypothèses!$B$4=17,Hypothèses!$B$4=18,Hypothèses!$B$4=19,Hypothèses!$B$4=20),
IF($D284="Pressio.",
IF(OR($E284=3,$E284=1,$E284=4),(PI()*FH$12^2)/4*(FD284*$W284*1000)/($H284*$B$5),(PI()*FH$12^2)/4*(FD284*$W284*1000)/($G284*$B$5)),
IF($D284="Pénétro.",
IF(OR($E284=4,$E284=1,$E284=5),(PI()*FH$12^2)/4*(FD284*$W284*1000)/($H284*$B$5),(PI()*FH$12^2)/4*(FD284*$W284*1000)/($G284*$B$5)))),
IF($D284="Pressio.",
IF($E284=3,(PI()*FH$12^2)/4*(FD284*$W284*1000)/($H284*$B$5),(PI()*FH$12^2)/4*(FD284*$W284*1000)/($G284*$B$5)),
IF($D284="Pénétro.",
IF($E284=4,(PI()*FH$12^2)/4*(FD284*$W284*1000)/($H284*$B$5),(PI()*FH$12^2)/4*(FD284*$W284*1000)/($G284*$B$5))))))/10</f>
        <v>#N/A</v>
      </c>
      <c r="FI284" s="102" t="e">
        <f>(VLOOKUP($B$3,'Coeff EC7'!$T$39:$X$59,2,0)*FG284+VLOOKUP($B$3,'Coeff EC7'!$T$65:$X$85,2,0)*Model0.1C!FH284)/1.1</f>
        <v>#N/A</v>
      </c>
      <c r="FJ284" s="102" t="e">
        <f>(VLOOKUP($B$3,'Coeff EC7'!$T$39:$X$59,3,0)*FG284+VLOOKUP($B$3,'Coeff EC7'!$T$65:$X$85,3,0)*Model0.1C!FH284)/0.9</f>
        <v>#N/A</v>
      </c>
      <c r="FK284" s="102" t="e">
        <f t="shared" si="498"/>
        <v>#N/A</v>
      </c>
      <c r="FL284" s="102" t="e">
        <f t="shared" si="499"/>
        <v>#N/A</v>
      </c>
      <c r="FM284" s="414" t="e">
        <f>IF(FM283=0,0,IF(AND(FI284&gt;charge_ELS_quasi,FJ284&gt;Charge_ELS_freq,FK284&gt;charge_ELU,FL284&gt;charge_ELA,$B284&gt;NDC!$H$22-0.1+MIN(3*$FM$12,1.5)),0,1))</f>
        <v>#N/A</v>
      </c>
    </row>
    <row r="285" spans="1:169">
      <c r="A285" s="96">
        <f t="shared" si="467"/>
        <v>72.800000000001546</v>
      </c>
      <c r="B285" s="97">
        <v>27.2</v>
      </c>
      <c r="C285" s="81">
        <f>IF(B285&lt;=Hypothèses!$C$7,Hypothèses!$A$7,IF(B285&lt;=Hypothèses!$C$8,Hypothèses!$A$8,IF(B285&lt;=Hypothèses!$C$9,Hypothèses!$A$9,IF(B285&lt;=Hypothèses!$C$10,Hypothèses!$A$10,IF(B285&lt;=Hypothèses!$C$11,Hypothèses!$A$11,IF(B285&lt;=Hypothèses!$C$12,Hypothèses!$A$12,IF(B285&lt;=Hypothèses!$C$13,Hypothèses!$A$13,IF(B285&lt;=Hypothèses!$C$14,Hypothèses!$A$14,IF(B285&lt;=Hypothèses!$C$15,Hypothèses!$A$15,IF(B285&lt;=Hypothèses!$C$16,Hypothèses!$A$16,IF(B285&lt;=Hypothèses!$C$17,Hypothèses!$A$17,IF(B285&lt;=Hypothèses!$C$18,Hypothèses!$A$18,C284))))))))))))</f>
        <v>11</v>
      </c>
      <c r="D285" s="82" t="str">
        <f>IF(B285&lt;=Hypothèses!$C$7,Hypothèses!$R$7,IF(B285&lt;=Hypothèses!$C$8,Hypothèses!$R$8,IF(B285&lt;=Hypothèses!$C$9,Hypothèses!$R$9,IF(B285&lt;=Hypothèses!$C$10,Hypothèses!$R$10,IF(B285&lt;=Hypothèses!$C$11,Hypothèses!$R$11,IF(B285&lt;=Hypothèses!$C$12,Hypothèses!$R$12,IF(B285&lt;=Hypothèses!$C$13,Hypothèses!$R$13,IF(B285&lt;=Hypothèses!$C$14,Hypothèses!$R$14,IF(B285&lt;=Hypothèses!$C$15,Hypothèses!$R$15,IF(B285&lt;=Hypothèses!$C$16,Hypothèses!$R$16,IF(B285&lt;=Hypothèses!$C$17,Hypothèses!$R$17,IF(B285&lt;=Hypothèses!$C$18,Hypothèses!$R$18,D284))))))))))))</f>
        <v>Pressio.</v>
      </c>
      <c r="E285" s="82" t="e">
        <f>IF(B285&lt;=Hypothèses!$C$7,Hypothèses!$G$7,IF(B285&lt;=Hypothèses!$C$8,Hypothèses!$G$8,IF(B285&lt;=Hypothèses!$C$9,Hypothèses!$G$9,IF(B285&lt;=Hypothèses!$C$10,Hypothèses!$G$10,IF(B285&lt;=Hypothèses!$C$11,Hypothèses!$G$11,IF(B285&lt;=Hypothèses!$C$12,Hypothèses!$G$12,IF(B285&lt;=Hypothèses!$C$13,Hypothèses!$G$13,IF(B285&lt;=Hypothèses!$C$14,Hypothèses!$G$14,IF(B285&lt;=Hypothèses!$C$15,Hypothèses!$G$15,IF(B285&lt;=Hypothèses!$C$16,Hypothèses!$G$16,IF(B285&lt;=Hypothèses!$C$17,Hypothèses!$G$17,IF(B285&lt;=Hypothèses!$C$18,Hypothèses!$G$18,E284))))))))))))</f>
        <v>#N/A</v>
      </c>
      <c r="F285" s="82" t="str">
        <f>IF(B285&lt;=Hypothèses!$C$7,Hypothèses!$F$7,IF(B285&lt;=Hypothèses!$C$8,Hypothèses!$F$8,IF(B285&lt;=Hypothèses!$C$9,Hypothèses!$F$9,IF(B285&lt;=Hypothèses!$C$10,Hypothèses!$F$10,IF(B285&lt;=Hypothèses!$C$11,Hypothèses!$F$11,IF(B285&lt;=Hypothèses!$C$12,Hypothèses!$F$12,IF(B285&lt;=Hypothèses!$C$13,Hypothèses!$F$13,IF(B285&lt;=Hypothèses!$C$14,Hypothèses!$F$14,IF(B285&lt;=Hypothèses!$C$15,Hypothèses!$F$15,IF(B285&lt;=Hypothèses!$C$16,Hypothèses!$F$16,IF(B285&lt;=Hypothèses!$C$17,Hypothèses!$F$17,IF(B285&lt;=Hypothèses!$C$18,Hypothèses!$F$18,F284))))))))))))</f>
        <v/>
      </c>
      <c r="G285" s="91">
        <f t="array" ref="G285">INDEX('Coeff EC7'!$U$7:$X$27,
MATCH(Model0.1C!$B$3,'Coeff EC7'!$T$7:$T$27,0),
MATCH(Model0.1C!$D285&amp;Model0.1C!$B$4,
'Coeff EC7'!$U$6:$X$6&amp;
'Coeff EC7'!$U$5:$X$5,0))</f>
        <v>1.1499999999999999</v>
      </c>
      <c r="H285" s="91">
        <f t="array" ref="H285">INDEX('Coeff EC7'!$Y$7:$AB$27,
MATCH(Model0.1C!$B$3,'Coeff EC7'!$T$7:$T$27,0),
MATCH(Model0.1C!$D285&amp;Model0.1C!$B$4,
'Coeff EC7'!$Y$6:$AB$6&amp;
'Coeff EC7'!$Y$5:$AB$5,0))</f>
        <v>1.4</v>
      </c>
      <c r="I285" s="83" t="e">
        <f>IF(B285&lt;=Hypothèses!$C$7,Hypothèses!$P$7,IF(B285&lt;=Hypothèses!$C$8,Hypothèses!$P$8,IF(B285&lt;=Hypothèses!$C$9,Hypothèses!$P$9,IF(B285&lt;=Hypothèses!$C$10,Hypothèses!$P$10,IF(B285&lt;=Hypothèses!$C$11,Hypothèses!$P$11,IF(B285&lt;=Hypothèses!$C$12,Hypothèses!$P$12,IF(B285&lt;=Hypothèses!$C$13,Hypothèses!$P$13,IF(B285&lt;=Hypothèses!$C$14,Hypothèses!$P$14,IF(B285&lt;=Hypothèses!$C$15,Hypothèses!$P$15,IF(B285&lt;=Hypothèses!$C$16,Hypothèses!$P$16,IF(B285&lt;=Hypothèses!$C$17,Hypothèses!$P$17,IF(B285&lt;=Hypothèses!$C$18,Hypothèses!$P$18,I284))))))))))))</f>
        <v>#N/A</v>
      </c>
      <c r="J285" s="91" t="e">
        <f t="array" ref="J285">INDEX('Coeff EC7'!$D$33:$Q$33,1,MATCH(D285&amp;E285,'Coeff EC7'!$D$31:$Q$31&amp;'Coeff EC7'!$D$32:$Q$32,0))</f>
        <v>#N/A</v>
      </c>
      <c r="K285" s="91" t="e">
        <f t="array" ref="K285">INDEX('Coeff EC7'!$D$34:$Q$34,1,MATCH(D285&amp;E285,'Coeff EC7'!$D$31:$Q$31&amp;'Coeff EC7'!$D$32:$Q$32,0))</f>
        <v>#N/A</v>
      </c>
      <c r="L285" s="91" t="e">
        <f t="array" ref="L285">INDEX('Coeff EC7'!$D$35:$Q$35,1,MATCH(D285&amp;E285,'Coeff EC7'!$D$31:$Q$31&amp;'Coeff EC7'!$D$32:$Q$32,0))</f>
        <v>#N/A</v>
      </c>
      <c r="M285" s="98" t="e">
        <f t="shared" si="431"/>
        <v>#N/A</v>
      </c>
      <c r="N285" s="99" t="e">
        <f t="array" ref="N285">INDEX('Coeff EC7'!$D$7:$Q$27,MATCH($B$3,'Coeff EC7'!$C$7:$C$27,0),MATCH(D285&amp;E285,'Coeff EC7'!$D$5:$Q$5&amp;'Coeff EC7'!$D$6:$Q$6,0))</f>
        <v>#N/A</v>
      </c>
      <c r="O285" s="99" t="e">
        <f t="array" ref="O285">INDEX('Coeff EC7'!$D$41:$Q$61,MATCH($B$3,'Coeff EC7'!$C$41:$C$61,0),MATCH(D285&amp;E285,'Coeff EC7'!$D$39:$Q$39&amp;'Coeff EC7'!$D$40:$Q$40,0))</f>
        <v>#N/A</v>
      </c>
      <c r="P285" s="30" t="e">
        <f t="shared" si="468"/>
        <v>#N/A</v>
      </c>
      <c r="Q285" s="100" t="e">
        <f t="shared" si="433"/>
        <v>#N/A</v>
      </c>
      <c r="R285" s="86" t="b">
        <f t="shared" si="434"/>
        <v>0</v>
      </c>
      <c r="S285" s="86">
        <f t="shared" si="432"/>
        <v>0.5</v>
      </c>
      <c r="T285" s="86">
        <f t="shared" si="435"/>
        <v>0.5</v>
      </c>
      <c r="U285" s="30" t="e">
        <f t="shared" ca="1" si="469"/>
        <v>#DIV/0!</v>
      </c>
      <c r="V285" s="85" t="str">
        <f>IF(B285&lt;=Hypothèses!$V$7,Hypothèses!$W$7,IF(B285&lt;=Hypothèses!$V$8,Hypothèses!$W$8,IF(B285&lt;=Hypothèses!$V$9,Hypothèses!$W$9,IF(B285&lt;=Hypothèses!$V$10,Hypothèses!$W$10,IF(B285&lt;=Hypothèses!$V$11,Hypothèses!$W$11,IF(B285&lt;=Hypothèses!$V$12,Hypothèses!$W$12,IF(B285&lt;=Hypothèses!$V$13,Hypothèses!$W$13,IF(B285&lt;=Hypothèses!$V$14,Hypothèses!$W$14,IF(B285&lt;=Hypothèses!$V$15,Hypothèses!$W$15,IF(B285&lt;=Hypothèses!$V$16,Hypothèses!$W$16,IF(B285&lt;=Hypothèses!$V$17,Hypothèses!$W$17,IF(B285&lt;=Hypothèses!$V$18,Hypothèses!$W$18,""))))))))))))</f>
        <v/>
      </c>
      <c r="W285" s="87" t="e">
        <f t="shared" ca="1" si="516"/>
        <v>#DIV/0!</v>
      </c>
      <c r="X285" s="88" t="str">
        <f>IF(B285&lt;=Hypothèses!$V$7,Hypothèses!$X$7,IF(B285&lt;=Hypothèses!$V$8,Hypothèses!$X$8,IF(B285&lt;=Hypothèses!$V$9,Hypothèses!$X$9,IF(B285&lt;=Hypothèses!$V$10,Hypothèses!$X$10,IF(B285&lt;=Hypothèses!$V$11,Hypothèses!$X$11,IF(B285&lt;=Hypothèses!$V$12,Hypothèses!$X$12,IF(B285&lt;=Hypothèses!$V$13,Hypothèses!$X$13,IF(B285&lt;=Hypothèses!$V$14,Hypothèses!$X$14,IF(B285&lt;=Hypothèses!$V$15,Hypothèses!$X$15,IF(B285&lt;=Hypothèses!$V$16,Hypothèses!$X$16,IF(B285&lt;=Hypothèses!$U$17,Hypothèses!$W$17,IF(B285&lt;=Hypothèses!$U$18,Hypothèses!$W$18,""))))))))))))</f>
        <v/>
      </c>
      <c r="Y285" s="95" t="e">
        <f t="shared" ca="1" si="436"/>
        <v>#DIV/0!</v>
      </c>
      <c r="Z285" s="101" t="e">
        <f t="shared" si="437"/>
        <v>#N/A</v>
      </c>
      <c r="AA285" s="91" t="e">
        <f t="shared" si="438"/>
        <v>#N/A</v>
      </c>
      <c r="AB285" s="30" t="e">
        <f t="shared" si="500"/>
        <v>#N/A</v>
      </c>
      <c r="AC285" s="30" t="e">
        <f t="shared" si="501"/>
        <v>#N/A</v>
      </c>
      <c r="AD285" s="31" t="e">
        <f>IF(OR(Hypothèses!$B$4=17,Hypothèses!$B$4=18,Hypothèses!$B$4=19,Hypothèses!$B$4=20),
IF($D285="Pressio.",
IF(OR($E285=3,$E285=1,$E285=4),AC285,AB285),
IF($D285="Pénétro.",
IF(OR($E285=3,$E285=1,$E285=4),AC285,AB285))),IF($D285="Pressio.",
IF($E285=3,AC285,AB285),
IF($D285="Pénétro.",
IF($E285=4,AC285,AB285))))</f>
        <v>#N/A</v>
      </c>
      <c r="AE285" s="31" t="e">
        <f>(IF(OR(Hypothèses!$B$4=17,Hypothèses!$B$4=18,Hypothèses!$B$4=19,Hypothèses!$B$4=20),
IF($D285="Pressio.",
IF(OR($E285=3,$E285=1,$E285=4),(PI()*AE$12^2)/4*(AA285*$W285*1000)/($H285*$B$5),(PI()*AE$12^2)/4*(AA285*$W285*1000)/($G285*$B$5)),
IF($D285="Pénétro.",
IF(OR($E285=4,$E285=1,$E285=5),(PI()*AE$12^2)/4*(AA285*$W285*1000)/($H285*$B$5),(PI()*AE$12^2)/4*(AA285*$W285*1000)/($G285*$B$5)))),
IF($D285="Pressio.",
IF($E285=3,(PI()*AE$12^2)/4*(AA285*$W285*1000)/($H285*$B$5),(PI()*AE$12^2)/4*(AA285*$W285*1000)/($G285*$B$5)),
IF($D285="Pénétro.",
IF($E285=4,(PI()*AE$12^2)/4*(AA285*$W285*1000)/($H285*$B$5),(PI()*AE$12^2)/4*(AA285*$W285*1000)/($G285*$B$5))))))/10</f>
        <v>#N/A</v>
      </c>
      <c r="AF285" s="102" t="e">
        <f>(VLOOKUP($B$3,'Coeff EC7'!$T$39:$X$59,2,0)*AD285+VLOOKUP($B$3,'Coeff EC7'!$T$65:$X$85,2,0)*Model0.1C!AE285)/1.1</f>
        <v>#N/A</v>
      </c>
      <c r="AG285" s="102" t="e">
        <f>(VLOOKUP($B$3,'Coeff EC7'!$T$39:$X$59,3,0)*AD285+VLOOKUP($B$3,'Coeff EC7'!$T$65:$X$85,3,0)*Model0.1C!AE285)/0.9</f>
        <v>#N/A</v>
      </c>
      <c r="AH285" s="102" t="e">
        <f t="shared" si="439"/>
        <v>#N/A</v>
      </c>
      <c r="AI285" s="102" t="e">
        <f t="shared" si="440"/>
        <v>#N/A</v>
      </c>
      <c r="AJ285" s="414" t="e">
        <f>IF(AJ284=0,0,IF(AND(AF285&gt;charge_ELS_quasi,AG285&gt;Charge_ELS_freq,AH285&gt;charge_ELU,AI285&gt;charge_ELA,$B285&gt;NDC!$H$22-0.1+MIN(3*$AJ$12,1.5)),0,1))</f>
        <v>#N/A</v>
      </c>
      <c r="AK285" s="86" t="b">
        <f t="shared" si="441"/>
        <v>0</v>
      </c>
      <c r="AL285" s="86">
        <f t="shared" si="470"/>
        <v>0.5</v>
      </c>
      <c r="AM285" s="86">
        <f t="shared" si="442"/>
        <v>0.5</v>
      </c>
      <c r="AN285" s="30" t="e">
        <f t="shared" ca="1" si="471"/>
        <v>#DIV/0!</v>
      </c>
      <c r="AO285" s="85" t="e">
        <f ca="1">IF(U285&lt;=Hypothèses!$V$7,Hypothèses!$W$7,IF(U285&lt;=Hypothèses!$V$8,Hypothèses!$W$8,IF(U285&lt;=Hypothèses!$V$9,Hypothèses!$W$9,IF(U285&lt;=Hypothèses!$V$10,Hypothèses!$W$10,IF(U285&lt;=Hypothèses!$V$11,Hypothèses!$W$11,IF(U285&lt;=Hypothèses!$V$12,Hypothèses!$W$12,IF(U285&lt;=Hypothèses!$V$13,Hypothèses!$W$13,IF(U285&lt;=Hypothèses!$V$14,Hypothèses!$W$14,IF(U285&lt;=Hypothèses!$V$15,Hypothèses!$W$15,IF(U285&lt;=Hypothèses!$V$16,Hypothèses!$W$16,IF(U285&lt;=Hypothèses!$V$17,Hypothèses!$W$17,IF(U285&lt;=Hypothèses!$V$18,Hypothèses!$W$18,""))))))))))))</f>
        <v>#DIV/0!</v>
      </c>
      <c r="AP285" s="87" t="e">
        <f t="shared" ca="1" si="517"/>
        <v>#DIV/0!</v>
      </c>
      <c r="AQ285" s="88" t="e">
        <f ca="1">IF(U285&lt;=Hypothèses!$V$7,Hypothèses!$X$7,IF(U285&lt;=Hypothèses!$V$8,Hypothèses!$X$8,IF(U285&lt;=Hypothèses!$V$9,Hypothèses!$X$9,IF(U285&lt;=Hypothèses!$V$10,Hypothèses!$X$10,IF(U285&lt;=Hypothèses!$V$11,Hypothèses!$X$11,IF(U285&lt;=Hypothèses!$V$12,Hypothèses!$X$12,IF(U285&lt;=Hypothèses!$V$13,Hypothèses!$X$13,IF(U285&lt;=Hypothèses!$V$14,Hypothèses!$X$14,IF(U285&lt;=Hypothèses!$V$15,Hypothèses!$X$15,IF(U285&lt;=Hypothèses!$V$16,Hypothèses!$X$16,IF(U285&lt;=Hypothèses!$U$17,Hypothèses!$W$17,IF(U285&lt;=Hypothèses!$U$18,Hypothèses!$W$18,""))))))))))))</f>
        <v>#DIV/0!</v>
      </c>
      <c r="AR285" s="95" t="e">
        <f t="shared" ca="1" si="472"/>
        <v>#DIV/0!</v>
      </c>
      <c r="AS285" s="101" t="e">
        <f t="shared" si="524"/>
        <v>#N/A</v>
      </c>
      <c r="AT285" s="91" t="e">
        <f t="shared" si="443"/>
        <v>#N/A</v>
      </c>
      <c r="AU285" s="30" t="e">
        <f t="shared" si="502"/>
        <v>#N/A</v>
      </c>
      <c r="AV285" s="30" t="e">
        <f t="shared" si="503"/>
        <v>#N/A</v>
      </c>
      <c r="AW285" s="31" t="e">
        <f>IF(OR(Hypothèses!$B$4=17,Hypothèses!$B$4=18,Hypothèses!$B$4=19,Hypothèses!$B$4=20),
IF($D285="Pressio.",
IF(OR($E285=3,$E285=1,$E285=4),AV285,AU285),
IF($D285="Pénétro.",
IF(OR($E285=3,$E285=1,$E285=4),AV285,AU285))),IF($D285="Pressio.",
IF($E285=3,AV285,AU285),
IF($D285="Pénétro.",
IF($E285=4,AV285,AU285))))</f>
        <v>#N/A</v>
      </c>
      <c r="AX285" s="31" t="e">
        <f>(IF(OR(Hypothèses!$B$4=17,Hypothèses!$B$4=18,Hypothèses!$B$4=19,Hypothèses!$B$4=20),
IF($D285="Pressio.",
IF(OR($E285=3,$E285=1,$E285=4),(PI()*AX$12^2)/4*(AT285*$W285*1000)/($H285*$B$5),(PI()*AX$12^2)/4*(AT285*$W285*1000)/($G285*$B$5)),
IF($D285="Pénétro.",
IF(OR($E285=4,$E285=1,$E285=5),(PI()*AX$12^2)/4*(AT285*$W285*1000)/($H285*$B$5),(PI()*AX$12^2)/4*(AT285*$W285*1000)/($G285*$B$5)))),
IF($D285="Pressio.",
IF($E285=3,(PI()*AX$12^2)/4*(AT285*$W285*1000)/($H285*$B$5),(PI()*AX$12^2)/4*(AT285*$W285*1000)/($G285*$B$5)),
IF($D285="Pénétro.",
IF($E285=4,(PI()*AX$12^2)/4*(AT285*$W285*1000)/($H285*$B$5),(PI()*AX$12^2)/4*(AT285*$W285*1000)/($G285*$B$5))))))/10</f>
        <v>#N/A</v>
      </c>
      <c r="AY285" s="102" t="e">
        <f>(VLOOKUP($B$3,'Coeff EC7'!$T$39:$X$59,2,0)*AW285+VLOOKUP($B$3,'Coeff EC7'!$T$65:$X$85,2,0)*Model0.1C!AX285)/1.1</f>
        <v>#N/A</v>
      </c>
      <c r="AZ285" s="102" t="e">
        <f>(VLOOKUP($B$3,'Coeff EC7'!$T$39:$X$59,3,0)*AW285+VLOOKUP($B$3,'Coeff EC7'!$T$65:$X$85,3,0)*Model0.1C!AX285)/0.9</f>
        <v>#N/A</v>
      </c>
      <c r="BA285" s="102" t="e">
        <f t="shared" si="473"/>
        <v>#N/A</v>
      </c>
      <c r="BB285" s="102" t="e">
        <f t="shared" si="474"/>
        <v>#N/A</v>
      </c>
      <c r="BC285" s="414" t="e">
        <f>IF(BC284=0,0,IF(AND(AY285&gt;charge_ELS_quasi,AZ285&gt;Charge_ELS_freq,BA285&gt;charge_ELU,BB285&gt;charge_ELA,$B285&gt;NDC!$H$22-0.1+MIN(3*$BC$12,1.5)),0,1))</f>
        <v>#N/A</v>
      </c>
      <c r="BD285" s="86" t="b">
        <f t="shared" si="444"/>
        <v>0</v>
      </c>
      <c r="BE285" s="86">
        <f t="shared" si="475"/>
        <v>0.5</v>
      </c>
      <c r="BF285" s="86">
        <f t="shared" si="445"/>
        <v>0.5</v>
      </c>
      <c r="BG285" s="30" t="e">
        <f t="shared" ca="1" si="476"/>
        <v>#DIV/0!</v>
      </c>
      <c r="BH285" s="85" t="e">
        <f ca="1">IF(AN285&lt;=Hypothèses!$V$7,Hypothèses!$W$7,IF(AN285&lt;=Hypothèses!$V$8,Hypothèses!$W$8,IF(AN285&lt;=Hypothèses!$V$9,Hypothèses!$W$9,IF(AN285&lt;=Hypothèses!$V$10,Hypothèses!$W$10,IF(AN285&lt;=Hypothèses!$V$11,Hypothèses!$W$11,IF(AN285&lt;=Hypothèses!$V$12,Hypothèses!$W$12,IF(AN285&lt;=Hypothèses!$V$13,Hypothèses!$W$13,IF(AN285&lt;=Hypothèses!$V$14,Hypothèses!$W$14,IF(AN285&lt;=Hypothèses!$V$15,Hypothèses!$W$15,IF(AN285&lt;=Hypothèses!$V$16,Hypothèses!$W$16,IF(AN285&lt;=Hypothèses!$V$17,Hypothèses!$W$17,IF(AN285&lt;=Hypothèses!$V$18,Hypothèses!$W$18,""))))))))))))</f>
        <v>#DIV/0!</v>
      </c>
      <c r="BI285" s="87" t="e">
        <f t="shared" ca="1" si="518"/>
        <v>#DIV/0!</v>
      </c>
      <c r="BJ285" s="88" t="e">
        <f ca="1">IF(AN285&lt;=Hypothèses!$V$7,Hypothèses!$X$7,IF(AN285&lt;=Hypothèses!$V$8,Hypothèses!$X$8,IF(AN285&lt;=Hypothèses!$V$9,Hypothèses!$X$9,IF(AN285&lt;=Hypothèses!$V$10,Hypothèses!$X$10,IF(AN285&lt;=Hypothèses!$V$11,Hypothèses!$X$11,IF(AN285&lt;=Hypothèses!$V$12,Hypothèses!$X$12,IF(AN285&lt;=Hypothèses!$V$13,Hypothèses!$X$13,IF(AN285&lt;=Hypothèses!$V$14,Hypothèses!$X$14,IF(AN285&lt;=Hypothèses!$V$15,Hypothèses!$X$15,IF(AN285&lt;=Hypothèses!$V$16,Hypothèses!$X$16,IF(AN285&lt;=Hypothèses!$U$17,Hypothèses!$W$17,IF(AN285&lt;=Hypothèses!$U$18,Hypothèses!$W$18,""))))))))))))</f>
        <v>#DIV/0!</v>
      </c>
      <c r="BK285" s="95" t="e">
        <f t="shared" ca="1" si="477"/>
        <v>#DIV/0!</v>
      </c>
      <c r="BL285" s="101" t="e">
        <f t="shared" si="525"/>
        <v>#N/A</v>
      </c>
      <c r="BM285" s="91" t="e">
        <f t="shared" si="446"/>
        <v>#N/A</v>
      </c>
      <c r="BN285" s="30" t="e">
        <f t="shared" si="504"/>
        <v>#N/A</v>
      </c>
      <c r="BO285" s="30" t="e">
        <f t="shared" si="505"/>
        <v>#N/A</v>
      </c>
      <c r="BP285" s="31" t="e">
        <f>IF(OR(Hypothèses!$B$4=17,Hypothèses!$B$4=18,Hypothèses!$B$4=19,Hypothèses!$B$4=20),
IF($D285="Pressio.",
IF(OR($E285=3,$E285=1,$E285=4),BO285,BN285),
IF($D285="Pénétro.",
IF(OR($E285=3,$E285=1,$E285=4),BO285,BN285))),IF($D285="Pressio.",
IF($E285=3,BO285,BN285),
IF($D285="Pénétro.",
IF($E285=4,BO285,BN285))))</f>
        <v>#N/A</v>
      </c>
      <c r="BQ285" s="31" t="e">
        <f>(IF(OR(Hypothèses!$B$4=17,Hypothèses!$B$4=18,Hypothèses!$B$4=19,Hypothèses!$B$4=20),
IF($D285="Pressio.",
IF(OR($E285=3,$E285=1,$E285=4),(PI()*BQ$12^2)/4*(BM285*$W285*1000)/($H285*$B$5),(PI()*BQ$12^2)/4*(BM285*$W285*1000)/($G285*$B$5)),
IF($D285="Pénétro.",
IF(OR($E285=4,$E285=1,$E285=5),(PI()*BQ$12^2)/4*(BM285*$W285*1000)/($H285*$B$5),(PI()*BQ$12^2)/4*(BM285*$W285*1000)/($G285*$B$5)))),
IF($D285="Pressio.",
IF($E285=3,(PI()*BQ$12^2)/4*(BM285*$W285*1000)/($H285*$B$5),(PI()*BQ$12^2)/4*(BM285*$W285*1000)/($G285*$B$5)),
IF($D285="Pénétro.",
IF($E285=4,(PI()*BQ$12^2)/4*(BM285*$W285*1000)/($H285*$B$5),(PI()*BQ$12^2)/4*(BM285*$W285*1000)/($G285*$B$5))))))/10</f>
        <v>#N/A</v>
      </c>
      <c r="BR285" s="102" t="e">
        <f>(VLOOKUP($B$3,'Coeff EC7'!$T$39:$X$59,2,0)*BP285+VLOOKUP($B$3,'Coeff EC7'!$T$65:$X$85,2,0)*Model0.1C!BQ285)/1.1</f>
        <v>#N/A</v>
      </c>
      <c r="BS285" s="102" t="e">
        <f>(VLOOKUP($B$3,'Coeff EC7'!$T$39:$X$59,3,0)*BP285+VLOOKUP($B$3,'Coeff EC7'!$T$65:$X$85,3,0)*Model0.1C!BQ285)/0.9</f>
        <v>#N/A</v>
      </c>
      <c r="BT285" s="102" t="e">
        <f t="shared" si="478"/>
        <v>#N/A</v>
      </c>
      <c r="BU285" s="102" t="e">
        <f t="shared" si="479"/>
        <v>#N/A</v>
      </c>
      <c r="BV285" s="414" t="e">
        <f>IF(BV284=0,0,IF(AND(BR285&gt;charge_ELS_quasi,BS285&gt;Charge_ELS_freq,BT285&gt;charge_ELU,BU285&gt;charge_ELA,$B285&gt;NDC!$H$22-0.1+MIN(3*$BV$12,1.5)),0,1))</f>
        <v>#N/A</v>
      </c>
      <c r="BW285" s="86" t="b">
        <f t="shared" si="447"/>
        <v>0</v>
      </c>
      <c r="BX285" s="86">
        <f t="shared" si="448"/>
        <v>0.5</v>
      </c>
      <c r="BY285" s="86">
        <f t="shared" si="449"/>
        <v>0.5</v>
      </c>
      <c r="BZ285" s="30" t="e">
        <f t="shared" ca="1" si="480"/>
        <v>#DIV/0!</v>
      </c>
      <c r="CA285" s="85" t="e">
        <f ca="1">IF(BG285&lt;=Hypothèses!$V$7,Hypothèses!$W$7,IF(BG285&lt;=Hypothèses!$V$8,Hypothèses!$W$8,IF(BG285&lt;=Hypothèses!$V$9,Hypothèses!$W$9,IF(BG285&lt;=Hypothèses!$V$10,Hypothèses!$W$10,IF(BG285&lt;=Hypothèses!$V$11,Hypothèses!$W$11,IF(BG285&lt;=Hypothèses!$V$12,Hypothèses!$W$12,IF(BG285&lt;=Hypothèses!$V$13,Hypothèses!$W$13,IF(BG285&lt;=Hypothèses!$V$14,Hypothèses!$W$14,IF(BG285&lt;=Hypothèses!$V$15,Hypothèses!$W$15,IF(BG285&lt;=Hypothèses!$V$16,Hypothèses!$W$16,IF(BG285&lt;=Hypothèses!$V$17,Hypothèses!$W$17,IF(BG285&lt;=Hypothèses!$V$18,Hypothèses!$W$18,""))))))))))))</f>
        <v>#DIV/0!</v>
      </c>
      <c r="CB285" s="87" t="e">
        <f t="shared" ca="1" si="519"/>
        <v>#DIV/0!</v>
      </c>
      <c r="CC285" s="88" t="e">
        <f ca="1">IF(BG285&lt;=Hypothèses!$V$7,Hypothèses!$X$7,IF(BG285&lt;=Hypothèses!$V$8,Hypothèses!$X$8,IF(BG285&lt;=Hypothèses!$V$9,Hypothèses!$X$9,IF(BG285&lt;=Hypothèses!$V$10,Hypothèses!$X$10,IF(BG285&lt;=Hypothèses!$V$11,Hypothèses!$X$11,IF(BG285&lt;=Hypothèses!$V$12,Hypothèses!$X$12,IF(BG285&lt;=Hypothèses!$V$13,Hypothèses!$X$13,IF(BG285&lt;=Hypothèses!$V$14,Hypothèses!$X$14,IF(BG285&lt;=Hypothèses!$V$15,Hypothèses!$X$15,IF(BG285&lt;=Hypothèses!$V$16,Hypothèses!$X$16,IF(BG285&lt;=Hypothèses!$U$17,Hypothèses!$W$17,IF(BG285&lt;=Hypothèses!$U$18,Hypothèses!$W$18,""))))))))))))</f>
        <v>#DIV/0!</v>
      </c>
      <c r="CD285" s="95" t="e">
        <f t="shared" ca="1" si="481"/>
        <v>#DIV/0!</v>
      </c>
      <c r="CE285" s="101" t="e">
        <f t="shared" si="526"/>
        <v>#N/A</v>
      </c>
      <c r="CF285" s="91" t="e">
        <f t="shared" si="450"/>
        <v>#N/A</v>
      </c>
      <c r="CG285" s="30" t="e">
        <f t="shared" si="506"/>
        <v>#N/A</v>
      </c>
      <c r="CH285" s="30" t="e">
        <f t="shared" si="507"/>
        <v>#N/A</v>
      </c>
      <c r="CI285" s="31" t="e">
        <f>IF(OR(Hypothèses!$B$4=17,Hypothèses!$B$4=18,Hypothèses!$B$4=19,Hypothèses!$B$4=20),
IF($D285="Pressio.",
IF(OR($E285=3,$E285=1,$E285=4),CH285,CG285),
IF($D285="Pénétro.",
IF(OR($E285=3,$E285=1,$E285=4),CH285,CG285))),IF($D285="Pressio.",
IF($E285=3,CH285,CG285),
IF($D285="Pénétro.",
IF($E285=4,CH285,CG285))))</f>
        <v>#N/A</v>
      </c>
      <c r="CJ285" s="31" t="e">
        <f>(IF(OR(Hypothèses!$B$4=17,Hypothèses!$B$4=18,Hypothèses!$B$4=19,Hypothèses!$B$4=20),
IF($D285="Pressio.",
IF(OR($E285=3,$E285=1,$E285=4),(PI()*CJ$12^2)/4*(CF285*$W285*1000)/($H285*$B$5),(PI()*CJ$12^2)/4*(CF285*$W285*1000)/($G285*$B$5)),
IF($D285="Pénétro.",
IF(OR($E285=4,$E285=1,$E285=5),(PI()*CJ$12^2)/4*(CF285*$W285*1000)/($H285*$B$5),(PI()*CJ$12^2)/4*(CF285*$W285*1000)/($G285*$B$5)))),
IF($D285="Pressio.",
IF($E285=3,(PI()*CJ$12^2)/4*(CF285*$W285*1000)/($H285*$B$5),(PI()*CJ$12^2)/4*(CF285*$W285*1000)/($G285*$B$5)),
IF($D285="Pénétro.",
IF($E285=4,(PI()*CJ$12^2)/4*(CF285*$W285*1000)/($H285*$B$5),(PI()*CJ$12^2)/4*(CF285*$W285*1000)/($G285*$B$5))))))/10</f>
        <v>#N/A</v>
      </c>
      <c r="CK285" s="102" t="e">
        <f>(VLOOKUP($B$3,'Coeff EC7'!$T$39:$X$59,2,0)*CI285+VLOOKUP($B$3,'Coeff EC7'!$T$65:$X$85,2,0)*Model0.1C!CJ285)/1.1</f>
        <v>#N/A</v>
      </c>
      <c r="CL285" s="102" t="e">
        <f>(VLOOKUP($B$3,'Coeff EC7'!$T$39:$X$59,3,0)*CI285+VLOOKUP($B$3,'Coeff EC7'!$T$65:$X$85,3,0)*Model0.1C!CJ285)/0.9</f>
        <v>#N/A</v>
      </c>
      <c r="CM285" s="102" t="e">
        <f t="shared" si="482"/>
        <v>#N/A</v>
      </c>
      <c r="CN285" s="102" t="e">
        <f t="shared" si="483"/>
        <v>#N/A</v>
      </c>
      <c r="CO285" s="414" t="e">
        <f>IF(CO284=0,0,IF(AND(CK285&gt;charge_ELS_quasi,CL285&gt;Charge_ELS_freq,CM285&gt;charge_ELU,CN285&gt;charge_ELA,$B285&gt;NDC!$H$22-0.1+MIN(3*$CO$12,1.5)),0,1))</f>
        <v>#N/A</v>
      </c>
      <c r="CP285" s="86" t="b">
        <f t="shared" si="451"/>
        <v>0</v>
      </c>
      <c r="CQ285" s="86">
        <f t="shared" si="452"/>
        <v>0.5</v>
      </c>
      <c r="CR285" s="86">
        <f t="shared" si="453"/>
        <v>0.5</v>
      </c>
      <c r="CS285" s="30" t="e">
        <f t="shared" ca="1" si="484"/>
        <v>#DIV/0!</v>
      </c>
      <c r="CT285" s="85" t="e">
        <f ca="1">IF(BZ285&lt;=Hypothèses!$V$7,Hypothèses!$W$7,IF(BZ285&lt;=Hypothèses!$V$8,Hypothèses!$W$8,IF(BZ285&lt;=Hypothèses!$V$9,Hypothèses!$W$9,IF(BZ285&lt;=Hypothèses!$V$10,Hypothèses!$W$10,IF(BZ285&lt;=Hypothèses!$V$11,Hypothèses!$W$11,IF(BZ285&lt;=Hypothèses!$V$12,Hypothèses!$W$12,IF(BZ285&lt;=Hypothèses!$V$13,Hypothèses!$W$13,IF(BZ285&lt;=Hypothèses!$V$14,Hypothèses!$W$14,IF(BZ285&lt;=Hypothèses!$V$15,Hypothèses!$W$15,IF(BZ285&lt;=Hypothèses!$V$16,Hypothèses!$W$16,IF(BZ285&lt;=Hypothèses!$V$17,Hypothèses!$W$17,IF(BZ285&lt;=Hypothèses!$V$18,Hypothèses!$W$18,""))))))))))))</f>
        <v>#DIV/0!</v>
      </c>
      <c r="CU285" s="87" t="e">
        <f t="shared" ca="1" si="520"/>
        <v>#DIV/0!</v>
      </c>
      <c r="CV285" s="88" t="e">
        <f ca="1">IF(BZ285&lt;=Hypothèses!$V$7,Hypothèses!$X$7,IF(BZ285&lt;=Hypothèses!$V$8,Hypothèses!$X$8,IF(BZ285&lt;=Hypothèses!$V$9,Hypothèses!$X$9,IF(BZ285&lt;=Hypothèses!$V$10,Hypothèses!$X$10,IF(BZ285&lt;=Hypothèses!$V$11,Hypothèses!$X$11,IF(BZ285&lt;=Hypothèses!$V$12,Hypothèses!$X$12,IF(BZ285&lt;=Hypothèses!$V$13,Hypothèses!$X$13,IF(BZ285&lt;=Hypothèses!$V$14,Hypothèses!$X$14,IF(BZ285&lt;=Hypothèses!$V$15,Hypothèses!$X$15,IF(BZ285&lt;=Hypothèses!$V$16,Hypothèses!$X$16,IF(BZ285&lt;=Hypothèses!$U$17,Hypothèses!$W$17,IF(BZ285&lt;=Hypothèses!$U$18,Hypothèses!$W$18,""))))))))))))</f>
        <v>#DIV/0!</v>
      </c>
      <c r="CW285" s="95" t="e">
        <f t="shared" ca="1" si="485"/>
        <v>#DIV/0!</v>
      </c>
      <c r="CX285" s="101" t="e">
        <f t="shared" si="527"/>
        <v>#N/A</v>
      </c>
      <c r="CY285" s="91" t="e">
        <f t="shared" si="454"/>
        <v>#N/A</v>
      </c>
      <c r="CZ285" s="30" t="e">
        <f t="shared" si="508"/>
        <v>#N/A</v>
      </c>
      <c r="DA285" s="30" t="e">
        <f t="shared" si="509"/>
        <v>#N/A</v>
      </c>
      <c r="DB285" s="31" t="e">
        <f>IF(OR(Hypothèses!$B$4=17,Hypothèses!$B$4=18,Hypothèses!$B$4=19,Hypothèses!$B$4=20),
IF($D285="Pressio.",
IF(OR($E285=3,$E285=1,$E285=4),DA285,CZ285),
IF($D285="Pénétro.",
IF(OR($E285=3,$E285=1,$E285=4),DA285,CZ285))),IF($D285="Pressio.",
IF($E285=3,DA285,CZ285),
IF($D285="Pénétro.",
IF($E285=4,DA285,CZ285))))</f>
        <v>#N/A</v>
      </c>
      <c r="DC285" s="31" t="e">
        <f>(IF(OR(Hypothèses!$B$4=17,Hypothèses!$B$4=18,Hypothèses!$B$4=19,Hypothèses!$B$4=20),
IF($D285="Pressio.",
IF(OR($E285=3,$E285=1,$E285=4),(PI()*DC$12^2)/4*(CY285*$W285*1000)/($H285*$B$5),(PI()*DC$12^2)/4*(CY285*$W285*1000)/($G285*$B$5)),
IF($D285="Pénétro.",
IF(OR($E285=4,$E285=1,$E285=5),(PI()*DC$12^2)/4*(CY285*$W285*1000)/($H285*$B$5),(PI()*DC$12^2)/4*(CY285*$W285*1000)/($G285*$B$5)))),
IF($D285="Pressio.",
IF($E285=3,(PI()*DC$12^2)/4*(CY285*$W285*1000)/($H285*$B$5),(PI()*DC$12^2)/4*(CY285*$W285*1000)/($G285*$B$5)),
IF($D285="Pénétro.",
IF($E285=4,(PI()*DC$12^2)/4*(CY285*$W285*1000)/($H285*$B$5),(PI()*DC$12^2)/4*(CY285*$W285*1000)/($G285*$B$5))))))/10</f>
        <v>#N/A</v>
      </c>
      <c r="DD285" s="102" t="e">
        <f>(VLOOKUP($B$3,'Coeff EC7'!$T$39:$X$59,2,0)*DB285+VLOOKUP($B$3,'Coeff EC7'!$T$65:$X$85,2,0)*Model0.1C!DC285)/1.1</f>
        <v>#N/A</v>
      </c>
      <c r="DE285" s="102" t="e">
        <f>(VLOOKUP($B$3,'Coeff EC7'!$T$39:$X$59,3,0)*DB285+VLOOKUP($B$3,'Coeff EC7'!$T$65:$X$85,3,0)*Model0.1C!DC285)/0.9</f>
        <v>#N/A</v>
      </c>
      <c r="DF285" s="102" t="e">
        <f t="shared" si="486"/>
        <v>#N/A</v>
      </c>
      <c r="DG285" s="102" t="e">
        <f t="shared" si="487"/>
        <v>#N/A</v>
      </c>
      <c r="DH285" s="414" t="e">
        <f>IF(DH284=0,0,IF(AND(DD285&gt;charge_ELS_quasi,DE285&gt;Charge_ELS_freq,DF285&gt;charge_ELU,DG285&gt;charge_ELA,$B285&gt;NDC!$H$22-0.1+MIN(3*$DH$12,1.5)),0,1))</f>
        <v>#N/A</v>
      </c>
      <c r="DI285" s="86" t="b">
        <f t="shared" si="455"/>
        <v>0</v>
      </c>
      <c r="DJ285" s="86">
        <f t="shared" si="456"/>
        <v>0.5</v>
      </c>
      <c r="DK285" s="86">
        <f t="shared" si="457"/>
        <v>0.5</v>
      </c>
      <c r="DL285" s="30" t="e">
        <f t="shared" ca="1" si="488"/>
        <v>#DIV/0!</v>
      </c>
      <c r="DM285" s="85" t="e">
        <f ca="1">IF(CS285&lt;=Hypothèses!$V$7,Hypothèses!$W$7,IF(CS285&lt;=Hypothèses!$V$8,Hypothèses!$W$8,IF(CS285&lt;=Hypothèses!$V$9,Hypothèses!$W$9,IF(CS285&lt;=Hypothèses!$V$10,Hypothèses!$W$10,IF(CS285&lt;=Hypothèses!$V$11,Hypothèses!$W$11,IF(CS285&lt;=Hypothèses!$V$12,Hypothèses!$W$12,IF(CS285&lt;=Hypothèses!$V$13,Hypothèses!$W$13,IF(CS285&lt;=Hypothèses!$V$14,Hypothèses!$W$14,IF(CS285&lt;=Hypothèses!$V$15,Hypothèses!$W$15,IF(CS285&lt;=Hypothèses!$V$16,Hypothèses!$W$16,IF(CS285&lt;=Hypothèses!$V$17,Hypothèses!$W$17,IF(CS285&lt;=Hypothèses!$V$18,Hypothèses!$W$18,""))))))))))))</f>
        <v>#DIV/0!</v>
      </c>
      <c r="DN285" s="87" t="e">
        <f t="shared" ca="1" si="521"/>
        <v>#DIV/0!</v>
      </c>
      <c r="DO285" s="88" t="e">
        <f ca="1">IF(CS285&lt;=Hypothèses!$V$7,Hypothèses!$X$7,IF(CS285&lt;=Hypothèses!$V$8,Hypothèses!$X$8,IF(CS285&lt;=Hypothèses!$V$9,Hypothèses!$X$9,IF(CS285&lt;=Hypothèses!$V$10,Hypothèses!$X$10,IF(CS285&lt;=Hypothèses!$V$11,Hypothèses!$X$11,IF(CS285&lt;=Hypothèses!$V$12,Hypothèses!$X$12,IF(CS285&lt;=Hypothèses!$V$13,Hypothèses!$X$13,IF(CS285&lt;=Hypothèses!$V$14,Hypothèses!$X$14,IF(CS285&lt;=Hypothèses!$V$15,Hypothèses!$X$15,IF(CS285&lt;=Hypothèses!$V$16,Hypothèses!$X$16,IF(CS285&lt;=Hypothèses!$U$17,Hypothèses!$W$17,IF(CS285&lt;=Hypothèses!$U$18,Hypothèses!$W$18,""))))))))))))</f>
        <v>#DIV/0!</v>
      </c>
      <c r="DP285" s="95" t="e">
        <f t="shared" ca="1" si="489"/>
        <v>#DIV/0!</v>
      </c>
      <c r="DQ285" s="101" t="e">
        <f t="shared" si="528"/>
        <v>#N/A</v>
      </c>
      <c r="DR285" s="91" t="e">
        <f t="shared" si="458"/>
        <v>#N/A</v>
      </c>
      <c r="DS285" s="30" t="e">
        <f t="shared" si="510"/>
        <v>#N/A</v>
      </c>
      <c r="DT285" s="30" t="e">
        <f t="shared" si="511"/>
        <v>#N/A</v>
      </c>
      <c r="DU285" s="31" t="e">
        <f>IF(OR(Hypothèses!$B$4=17,Hypothèses!$B$4=18,Hypothèses!$B$4=19,Hypothèses!$B$4=20),
IF($D285="Pressio.",
IF(OR($E285=3,$E285=1,$E285=4),DT285,DS285),
IF($D285="Pénétro.",
IF(OR($E285=3,$E285=1,$E285=4),DT285,DS285))),IF($D285="Pressio.",
IF($E285=3,DT285,DS285),
IF($D285="Pénétro.",
IF($E285=4,DT285,DS285))))</f>
        <v>#N/A</v>
      </c>
      <c r="DV285" s="31" t="e">
        <f>(IF(OR(Hypothèses!$B$4=17,Hypothèses!$B$4=18,Hypothèses!$B$4=19,Hypothèses!$B$4=20),
IF($D285="Pressio.",
IF(OR($E285=3,$E285=1,$E285=4),(PI()*DV$12^2)/4*(DR285*$W285*1000)/($H285*$B$5),(PI()*DV$12^2)/4*(DR285*$W285*1000)/($G285*$B$5)),
IF($D285="Pénétro.",
IF(OR($E285=4,$E285=1,$E285=5),(PI()*DV$12^2)/4*(DR285*$W285*1000)/($H285*$B$5),(PI()*DV$12^2)/4*(DR285*$W285*1000)/($G285*$B$5)))),
IF($D285="Pressio.",
IF($E285=3,(PI()*DV$12^2)/4*(DR285*$W285*1000)/($H285*$B$5),(PI()*DV$12^2)/4*(DR285*$W285*1000)/($G285*$B$5)),
IF($D285="Pénétro.",
IF($E285=4,(PI()*DV$12^2)/4*(DR285*$W285*1000)/($H285*$B$5),(PI()*DV$12^2)/4*(DR285*$W285*1000)/($G285*$B$5))))))/10</f>
        <v>#N/A</v>
      </c>
      <c r="DW285" s="102" t="e">
        <f>(VLOOKUP($B$3,'Coeff EC7'!$T$39:$X$59,2,0)*DU285+VLOOKUP($B$3,'Coeff EC7'!$T$65:$X$85,2,0)*Model0.1C!DV285)/1.1</f>
        <v>#N/A</v>
      </c>
      <c r="DX285" s="102" t="e">
        <f>(VLOOKUP($B$3,'Coeff EC7'!$T$39:$X$59,3,0)*DU285+VLOOKUP($B$3,'Coeff EC7'!$T$65:$X$85,3,0)*Model0.1C!DV285)/0.9</f>
        <v>#N/A</v>
      </c>
      <c r="DY285" s="102" t="e">
        <f t="shared" si="490"/>
        <v>#N/A</v>
      </c>
      <c r="DZ285" s="102" t="e">
        <f t="shared" si="491"/>
        <v>#N/A</v>
      </c>
      <c r="EA285" s="414" t="e">
        <f>IF(EA284=0,0,IF(AND(DW285&gt;charge_ELS_quasi,DX285&gt;Charge_ELS_freq,DY285&gt;charge_ELU,DZ285&gt;charge_ELA,$B285&gt;NDC!$H$22-0.1+MIN(3*$EA$12,1.5)),0,1))</f>
        <v>#N/A</v>
      </c>
      <c r="EB285" s="86" t="b">
        <f t="shared" si="459"/>
        <v>0</v>
      </c>
      <c r="EC285" s="418">
        <f t="shared" si="460"/>
        <v>0.51</v>
      </c>
      <c r="ED285" s="86">
        <f t="shared" si="461"/>
        <v>0.51</v>
      </c>
      <c r="EE285" s="30" t="e">
        <f t="shared" ca="1" si="492"/>
        <v>#DIV/0!</v>
      </c>
      <c r="EF285" s="85" t="e">
        <f ca="1">IF(DL285&lt;=Hypothèses!$V$7,Hypothèses!$W$7,IF(DL285&lt;=Hypothèses!$V$8,Hypothèses!$W$8,IF(DL285&lt;=Hypothèses!$V$9,Hypothèses!$W$9,IF(DL285&lt;=Hypothèses!$V$10,Hypothèses!$W$10,IF(DL285&lt;=Hypothèses!$V$11,Hypothèses!$W$11,IF(DL285&lt;=Hypothèses!$V$12,Hypothèses!$W$12,IF(DL285&lt;=Hypothèses!$V$13,Hypothèses!$W$13,IF(DL285&lt;=Hypothèses!$V$14,Hypothèses!$W$14,IF(DL285&lt;=Hypothèses!$V$15,Hypothèses!$W$15,IF(DL285&lt;=Hypothèses!$V$16,Hypothèses!$W$16,IF(DL285&lt;=Hypothèses!$V$17,Hypothèses!$W$17,IF(DL285&lt;=Hypothèses!$V$18,Hypothèses!$W$18,""))))))))))))</f>
        <v>#DIV/0!</v>
      </c>
      <c r="EG285" s="87" t="e">
        <f t="shared" ca="1" si="522"/>
        <v>#DIV/0!</v>
      </c>
      <c r="EH285" s="88" t="e">
        <f ca="1">IF(DL285&lt;=Hypothèses!$V$7,Hypothèses!$X$7,IF(DL285&lt;=Hypothèses!$V$8,Hypothèses!$X$8,IF(DL285&lt;=Hypothèses!$V$9,Hypothèses!$X$9,IF(DL285&lt;=Hypothèses!$V$10,Hypothèses!$X$10,IF(DL285&lt;=Hypothèses!$V$11,Hypothèses!$X$11,IF(DL285&lt;=Hypothèses!$V$12,Hypothèses!$X$12,IF(DL285&lt;=Hypothèses!$V$13,Hypothèses!$X$13,IF(DL285&lt;=Hypothèses!$V$14,Hypothèses!$X$14,IF(DL285&lt;=Hypothèses!$V$15,Hypothèses!$X$15,IF(DL285&lt;=Hypothèses!$V$16,Hypothèses!$X$16,IF(DL285&lt;=Hypothèses!$U$17,Hypothèses!$W$17,IF(DL285&lt;=Hypothèses!$U$18,Hypothèses!$W$18,""))))))))))))</f>
        <v>#DIV/0!</v>
      </c>
      <c r="EI285" s="95" t="e">
        <f t="shared" ca="1" si="493"/>
        <v>#DIV/0!</v>
      </c>
      <c r="EJ285" s="101" t="e">
        <f t="shared" si="529"/>
        <v>#N/A</v>
      </c>
      <c r="EK285" s="91" t="e">
        <f t="shared" si="462"/>
        <v>#N/A</v>
      </c>
      <c r="EL285" s="30" t="e">
        <f t="shared" si="512"/>
        <v>#N/A</v>
      </c>
      <c r="EM285" s="30" t="e">
        <f t="shared" si="513"/>
        <v>#N/A</v>
      </c>
      <c r="EN285" s="31" t="e">
        <f>IF(OR(Hypothèses!$B$4=17,Hypothèses!$B$4=18,Hypothèses!$B$4=19,Hypothèses!$B$4=20),
IF($D285="Pressio.",
IF(OR($E285=3,$E285=1,$E285=4),EM285,EL285),
IF($D285="Pénétro.",
IF(OR($E285=3,$E285=1,$E285=4),EM285,EL285))),IF($D285="Pressio.",
IF($E285=3,EM285,EL285),
IF($D285="Pénétro.",
IF($E285=4,EM285,EL285))))</f>
        <v>#N/A</v>
      </c>
      <c r="EO285" s="31" t="e">
        <f>(IF(OR(Hypothèses!$B$4=17,Hypothèses!$B$4=18,Hypothèses!$B$4=19,Hypothèses!$B$4=20),
IF($D285="Pressio.",
IF(OR($E285=3,$E285=1,$E285=4),(PI()*EO$12^2)/4*(EK285*$W285*1000)/($H285*$B$5),(PI()*EO$12^2)/4*(EK285*$W285*1000)/($G285*$B$5)),
IF($D285="Pénétro.",
IF(OR($E285=4,$E285=1,$E285=5),(PI()*EO$12^2)/4*(EK285*$W285*1000)/($H285*$B$5),(PI()*EO$12^2)/4*(EK285*$W285*1000)/($G285*$B$5)))),
IF($D285="Pressio.",
IF($E285=3,(PI()*EO$12^2)/4*(EK285*$W285*1000)/($H285*$B$5),(PI()*EO$12^2)/4*(EK285*$W285*1000)/($G285*$B$5)),
IF($D285="Pénétro.",
IF($E285=4,(PI()*EO$12^2)/4*(EK285*$W285*1000)/($H285*$B$5),(PI()*EO$12^2)/4*(EK285*$W285*1000)/($G285*$B$5))))))/10</f>
        <v>#N/A</v>
      </c>
      <c r="EP285" s="102" t="e">
        <f>(VLOOKUP($B$3,'Coeff EC7'!$T$39:$X$59,2,0)*EN285+VLOOKUP($B$3,'Coeff EC7'!$T$65:$X$85,2,0)*Model0.1C!EO285)/1.1</f>
        <v>#N/A</v>
      </c>
      <c r="EQ285" s="102" t="e">
        <f>(VLOOKUP($B$3,'Coeff EC7'!$T$39:$X$59,3,0)*EN285+VLOOKUP($B$3,'Coeff EC7'!$T$65:$X$85,3,0)*Model0.1C!EO285)/0.9</f>
        <v>#N/A</v>
      </c>
      <c r="ER285" s="102" t="e">
        <f t="shared" si="494"/>
        <v>#N/A</v>
      </c>
      <c r="ES285" s="102" t="e">
        <f t="shared" si="495"/>
        <v>#N/A</v>
      </c>
      <c r="ET285" s="414" t="e">
        <f>IF(ET284=0,0,IF(AND(EP285&gt;charge_ELS_quasi,EQ285&gt;Charge_ELS_freq,ER285&gt;charge_ELU,ES285&gt;charge_ELA,$B285&gt;NDC!$H$22-0.1+MIN(3*$ET$12,1.5)),0,1))</f>
        <v>#N/A</v>
      </c>
      <c r="EU285" s="86" t="b">
        <f t="shared" si="463"/>
        <v>0</v>
      </c>
      <c r="EV285" s="86">
        <f t="shared" si="464"/>
        <v>0.61</v>
      </c>
      <c r="EW285" s="86">
        <f t="shared" si="465"/>
        <v>0.61</v>
      </c>
      <c r="EX285" s="30" t="e">
        <f t="shared" ca="1" si="496"/>
        <v>#DIV/0!</v>
      </c>
      <c r="EY285" s="85" t="e">
        <f ca="1">IF(EE285&lt;=Hypothèses!$V$7,Hypothèses!$W$7,IF(EE285&lt;=Hypothèses!$V$8,Hypothèses!$W$8,IF(EE285&lt;=Hypothèses!$V$9,Hypothèses!$W$9,IF(EE285&lt;=Hypothèses!$V$10,Hypothèses!$W$10,IF(EE285&lt;=Hypothèses!$V$11,Hypothèses!$W$11,IF(EE285&lt;=Hypothèses!$V$12,Hypothèses!$W$12,IF(EE285&lt;=Hypothèses!$V$13,Hypothèses!$W$13,IF(EE285&lt;=Hypothèses!$V$14,Hypothèses!$W$14,IF(EE285&lt;=Hypothèses!$V$15,Hypothèses!$W$15,IF(EE285&lt;=Hypothèses!$V$16,Hypothèses!$W$16,IF(EE285&lt;=Hypothèses!$V$17,Hypothèses!$W$17,IF(EE285&lt;=Hypothèses!$V$18,Hypothèses!$W$18,""))))))))))))</f>
        <v>#DIV/0!</v>
      </c>
      <c r="EZ285" s="87" t="e">
        <f t="shared" ca="1" si="523"/>
        <v>#DIV/0!</v>
      </c>
      <c r="FA285" s="88" t="e">
        <f ca="1">IF(EE285&lt;=Hypothèses!$V$7,Hypothèses!$X$7,IF(EE285&lt;=Hypothèses!$V$8,Hypothèses!$X$8,IF(EE285&lt;=Hypothèses!$V$9,Hypothèses!$X$9,IF(EE285&lt;=Hypothèses!$V$10,Hypothèses!$X$10,IF(EE285&lt;=Hypothèses!$V$11,Hypothèses!$X$11,IF(EE285&lt;=Hypothèses!$V$12,Hypothèses!$X$12,IF(EE285&lt;=Hypothèses!$V$13,Hypothèses!$X$13,IF(EE285&lt;=Hypothèses!$V$14,Hypothèses!$X$14,IF(EE285&lt;=Hypothèses!$V$15,Hypothèses!$X$15,IF(EE285&lt;=Hypothèses!$V$16,Hypothèses!$X$16,IF(EE285&lt;=Hypothèses!$U$17,Hypothèses!$W$17,IF(EE285&lt;=Hypothèses!$U$18,Hypothèses!$W$18,""))))))))))))</f>
        <v>#DIV/0!</v>
      </c>
      <c r="FB285" s="95" t="e">
        <f t="shared" ca="1" si="497"/>
        <v>#DIV/0!</v>
      </c>
      <c r="FC285" s="101" t="e">
        <f t="shared" si="530"/>
        <v>#N/A</v>
      </c>
      <c r="FD285" s="91" t="e">
        <f t="shared" si="466"/>
        <v>#N/A</v>
      </c>
      <c r="FE285" s="30" t="e">
        <f t="shared" si="514"/>
        <v>#N/A</v>
      </c>
      <c r="FF285" s="30" t="e">
        <f t="shared" si="515"/>
        <v>#N/A</v>
      </c>
      <c r="FG285" s="31" t="e">
        <f>IF(OR(Hypothèses!$B$4=17,Hypothèses!$B$4=18,Hypothèses!$B$4=19,Hypothèses!$B$4=20),
IF($D285="Pressio.",
IF(OR($E285=3,$E285=1,$E285=4),FF285,FE285),
IF($D285="Pénétro.",
IF(OR($E285=3,$E285=1,$E285=4),FF285,FE285))),IF($D285="Pressio.",
IF($E285=3,FF285,FE285),
IF($D285="Pénétro.",
IF($E285=4,FF285,FE285))))</f>
        <v>#N/A</v>
      </c>
      <c r="FH285" s="31" t="e">
        <f>(IF(OR(Hypothèses!$B$4=17,Hypothèses!$B$4=18,Hypothèses!$B$4=19,Hypothèses!$B$4=20),
IF($D285="Pressio.",
IF(OR($E285=3,$E285=1,$E285=4),(PI()*FH$12^2)/4*(FD285*$W285*1000)/($H285*$B$5),(PI()*FH$12^2)/4*(FD285*$W285*1000)/($G285*$B$5)),
IF($D285="Pénétro.",
IF(OR($E285=4,$E285=1,$E285=5),(PI()*FH$12^2)/4*(FD285*$W285*1000)/($H285*$B$5),(PI()*FH$12^2)/4*(FD285*$W285*1000)/($G285*$B$5)))),
IF($D285="Pressio.",
IF($E285=3,(PI()*FH$12^2)/4*(FD285*$W285*1000)/($H285*$B$5),(PI()*FH$12^2)/4*(FD285*$W285*1000)/($G285*$B$5)),
IF($D285="Pénétro.",
IF($E285=4,(PI()*FH$12^2)/4*(FD285*$W285*1000)/($H285*$B$5),(PI()*FH$12^2)/4*(FD285*$W285*1000)/($G285*$B$5))))))/10</f>
        <v>#N/A</v>
      </c>
      <c r="FI285" s="102" t="e">
        <f>(VLOOKUP($B$3,'Coeff EC7'!$T$39:$X$59,2,0)*FG285+VLOOKUP($B$3,'Coeff EC7'!$T$65:$X$85,2,0)*Model0.1C!FH285)/1.1</f>
        <v>#N/A</v>
      </c>
      <c r="FJ285" s="102" t="e">
        <f>(VLOOKUP($B$3,'Coeff EC7'!$T$39:$X$59,3,0)*FG285+VLOOKUP($B$3,'Coeff EC7'!$T$65:$X$85,3,0)*Model0.1C!FH285)/0.9</f>
        <v>#N/A</v>
      </c>
      <c r="FK285" s="102" t="e">
        <f t="shared" si="498"/>
        <v>#N/A</v>
      </c>
      <c r="FL285" s="102" t="e">
        <f t="shared" si="499"/>
        <v>#N/A</v>
      </c>
      <c r="FM285" s="414" t="e">
        <f>IF(FM284=0,0,IF(AND(FI285&gt;charge_ELS_quasi,FJ285&gt;Charge_ELS_freq,FK285&gt;charge_ELU,FL285&gt;charge_ELA,$B285&gt;NDC!$H$22-0.1+MIN(3*$FM$12,1.5)),0,1))</f>
        <v>#N/A</v>
      </c>
    </row>
    <row r="286" spans="1:169">
      <c r="A286" s="96">
        <f t="shared" si="467"/>
        <v>72.700000000001552</v>
      </c>
      <c r="B286" s="97">
        <v>27.3</v>
      </c>
      <c r="C286" s="81">
        <f>IF(B286&lt;=Hypothèses!$C$7,Hypothèses!$A$7,IF(B286&lt;=Hypothèses!$C$8,Hypothèses!$A$8,IF(B286&lt;=Hypothèses!$C$9,Hypothèses!$A$9,IF(B286&lt;=Hypothèses!$C$10,Hypothèses!$A$10,IF(B286&lt;=Hypothèses!$C$11,Hypothèses!$A$11,IF(B286&lt;=Hypothèses!$C$12,Hypothèses!$A$12,IF(B286&lt;=Hypothèses!$C$13,Hypothèses!$A$13,IF(B286&lt;=Hypothèses!$C$14,Hypothèses!$A$14,IF(B286&lt;=Hypothèses!$C$15,Hypothèses!$A$15,IF(B286&lt;=Hypothèses!$C$16,Hypothèses!$A$16,IF(B286&lt;=Hypothèses!$C$17,Hypothèses!$A$17,IF(B286&lt;=Hypothèses!$C$18,Hypothèses!$A$18,C285))))))))))))</f>
        <v>11</v>
      </c>
      <c r="D286" s="82" t="str">
        <f>IF(B286&lt;=Hypothèses!$C$7,Hypothèses!$R$7,IF(B286&lt;=Hypothèses!$C$8,Hypothèses!$R$8,IF(B286&lt;=Hypothèses!$C$9,Hypothèses!$R$9,IF(B286&lt;=Hypothèses!$C$10,Hypothèses!$R$10,IF(B286&lt;=Hypothèses!$C$11,Hypothèses!$R$11,IF(B286&lt;=Hypothèses!$C$12,Hypothèses!$R$12,IF(B286&lt;=Hypothèses!$C$13,Hypothèses!$R$13,IF(B286&lt;=Hypothèses!$C$14,Hypothèses!$R$14,IF(B286&lt;=Hypothèses!$C$15,Hypothèses!$R$15,IF(B286&lt;=Hypothèses!$C$16,Hypothèses!$R$16,IF(B286&lt;=Hypothèses!$C$17,Hypothèses!$R$17,IF(B286&lt;=Hypothèses!$C$18,Hypothèses!$R$18,D285))))))))))))</f>
        <v>Pressio.</v>
      </c>
      <c r="E286" s="82" t="e">
        <f>IF(B286&lt;=Hypothèses!$C$7,Hypothèses!$G$7,IF(B286&lt;=Hypothèses!$C$8,Hypothèses!$G$8,IF(B286&lt;=Hypothèses!$C$9,Hypothèses!$G$9,IF(B286&lt;=Hypothèses!$C$10,Hypothèses!$G$10,IF(B286&lt;=Hypothèses!$C$11,Hypothèses!$G$11,IF(B286&lt;=Hypothèses!$C$12,Hypothèses!$G$12,IF(B286&lt;=Hypothèses!$C$13,Hypothèses!$G$13,IF(B286&lt;=Hypothèses!$C$14,Hypothèses!$G$14,IF(B286&lt;=Hypothèses!$C$15,Hypothèses!$G$15,IF(B286&lt;=Hypothèses!$C$16,Hypothèses!$G$16,IF(B286&lt;=Hypothèses!$C$17,Hypothèses!$G$17,IF(B286&lt;=Hypothèses!$C$18,Hypothèses!$G$18,E285))))))))))))</f>
        <v>#N/A</v>
      </c>
      <c r="F286" s="82" t="str">
        <f>IF(B286&lt;=Hypothèses!$C$7,Hypothèses!$F$7,IF(B286&lt;=Hypothèses!$C$8,Hypothèses!$F$8,IF(B286&lt;=Hypothèses!$C$9,Hypothèses!$F$9,IF(B286&lt;=Hypothèses!$C$10,Hypothèses!$F$10,IF(B286&lt;=Hypothèses!$C$11,Hypothèses!$F$11,IF(B286&lt;=Hypothèses!$C$12,Hypothèses!$F$12,IF(B286&lt;=Hypothèses!$C$13,Hypothèses!$F$13,IF(B286&lt;=Hypothèses!$C$14,Hypothèses!$F$14,IF(B286&lt;=Hypothèses!$C$15,Hypothèses!$F$15,IF(B286&lt;=Hypothèses!$C$16,Hypothèses!$F$16,IF(B286&lt;=Hypothèses!$C$17,Hypothèses!$F$17,IF(B286&lt;=Hypothèses!$C$18,Hypothèses!$F$18,F285))))))))))))</f>
        <v/>
      </c>
      <c r="G286" s="91">
        <f t="array" ref="G286">INDEX('Coeff EC7'!$U$7:$X$27,
MATCH(Model0.1C!$B$3,'Coeff EC7'!$T$7:$T$27,0),
MATCH(Model0.1C!$D286&amp;Model0.1C!$B$4,
'Coeff EC7'!$U$6:$X$6&amp;
'Coeff EC7'!$U$5:$X$5,0))</f>
        <v>1.1499999999999999</v>
      </c>
      <c r="H286" s="91">
        <f t="array" ref="H286">INDEX('Coeff EC7'!$Y$7:$AB$27,
MATCH(Model0.1C!$B$3,'Coeff EC7'!$T$7:$T$27,0),
MATCH(Model0.1C!$D286&amp;Model0.1C!$B$4,
'Coeff EC7'!$Y$6:$AB$6&amp;
'Coeff EC7'!$Y$5:$AB$5,0))</f>
        <v>1.4</v>
      </c>
      <c r="I286" s="83" t="e">
        <f>IF(B286&lt;=Hypothèses!$C$7,Hypothèses!$P$7,IF(B286&lt;=Hypothèses!$C$8,Hypothèses!$P$8,IF(B286&lt;=Hypothèses!$C$9,Hypothèses!$P$9,IF(B286&lt;=Hypothèses!$C$10,Hypothèses!$P$10,IF(B286&lt;=Hypothèses!$C$11,Hypothèses!$P$11,IF(B286&lt;=Hypothèses!$C$12,Hypothèses!$P$12,IF(B286&lt;=Hypothèses!$C$13,Hypothèses!$P$13,IF(B286&lt;=Hypothèses!$C$14,Hypothèses!$P$14,IF(B286&lt;=Hypothèses!$C$15,Hypothèses!$P$15,IF(B286&lt;=Hypothèses!$C$16,Hypothèses!$P$16,IF(B286&lt;=Hypothèses!$C$17,Hypothèses!$P$17,IF(B286&lt;=Hypothèses!$C$18,Hypothèses!$P$18,I285))))))))))))</f>
        <v>#N/A</v>
      </c>
      <c r="J286" s="91" t="e">
        <f t="array" ref="J286">INDEX('Coeff EC7'!$D$33:$Q$33,1,MATCH(D286&amp;E286,'Coeff EC7'!$D$31:$Q$31&amp;'Coeff EC7'!$D$32:$Q$32,0))</f>
        <v>#N/A</v>
      </c>
      <c r="K286" s="91" t="e">
        <f t="array" ref="K286">INDEX('Coeff EC7'!$D$34:$Q$34,1,MATCH(D286&amp;E286,'Coeff EC7'!$D$31:$Q$31&amp;'Coeff EC7'!$D$32:$Q$32,0))</f>
        <v>#N/A</v>
      </c>
      <c r="L286" s="91" t="e">
        <f t="array" ref="L286">INDEX('Coeff EC7'!$D$35:$Q$35,1,MATCH(D286&amp;E286,'Coeff EC7'!$D$31:$Q$31&amp;'Coeff EC7'!$D$32:$Q$32,0))</f>
        <v>#N/A</v>
      </c>
      <c r="M286" s="98" t="e">
        <f t="shared" si="431"/>
        <v>#N/A</v>
      </c>
      <c r="N286" s="99" t="e">
        <f t="array" ref="N286">INDEX('Coeff EC7'!$D$7:$Q$27,MATCH($B$3,'Coeff EC7'!$C$7:$C$27,0),MATCH(D286&amp;E286,'Coeff EC7'!$D$5:$Q$5&amp;'Coeff EC7'!$D$6:$Q$6,0))</f>
        <v>#N/A</v>
      </c>
      <c r="O286" s="99" t="e">
        <f t="array" ref="O286">INDEX('Coeff EC7'!$D$41:$Q$61,MATCH($B$3,'Coeff EC7'!$C$41:$C$61,0),MATCH(D286&amp;E286,'Coeff EC7'!$D$39:$Q$39&amp;'Coeff EC7'!$D$40:$Q$40,0))</f>
        <v>#N/A</v>
      </c>
      <c r="P286" s="30" t="e">
        <f t="shared" si="468"/>
        <v>#N/A</v>
      </c>
      <c r="Q286" s="100" t="e">
        <f t="shared" si="433"/>
        <v>#N/A</v>
      </c>
      <c r="R286" s="86" t="b">
        <f t="shared" si="434"/>
        <v>0</v>
      </c>
      <c r="S286" s="86">
        <f t="shared" si="432"/>
        <v>0.5</v>
      </c>
      <c r="T286" s="86">
        <f t="shared" si="435"/>
        <v>0.5</v>
      </c>
      <c r="U286" s="30" t="e">
        <f t="shared" ca="1" si="469"/>
        <v>#DIV/0!</v>
      </c>
      <c r="V286" s="85" t="str">
        <f>IF(B286&lt;=Hypothèses!$V$7,Hypothèses!$W$7,IF(B286&lt;=Hypothèses!$V$8,Hypothèses!$W$8,IF(B286&lt;=Hypothèses!$V$9,Hypothèses!$W$9,IF(B286&lt;=Hypothèses!$V$10,Hypothèses!$W$10,IF(B286&lt;=Hypothèses!$V$11,Hypothèses!$W$11,IF(B286&lt;=Hypothèses!$V$12,Hypothèses!$W$12,IF(B286&lt;=Hypothèses!$V$13,Hypothèses!$W$13,IF(B286&lt;=Hypothèses!$V$14,Hypothèses!$W$14,IF(B286&lt;=Hypothèses!$V$15,Hypothèses!$W$15,IF(B286&lt;=Hypothèses!$V$16,Hypothèses!$W$16,IF(B286&lt;=Hypothèses!$V$17,Hypothèses!$W$17,IF(B286&lt;=Hypothèses!$V$18,Hypothèses!$W$18,""))))))))))))</f>
        <v/>
      </c>
      <c r="W286" s="87" t="e">
        <f t="shared" ca="1" si="516"/>
        <v>#DIV/0!</v>
      </c>
      <c r="X286" s="88" t="str">
        <f>IF(B286&lt;=Hypothèses!$V$7,Hypothèses!$X$7,IF(B286&lt;=Hypothèses!$V$8,Hypothèses!$X$8,IF(B286&lt;=Hypothèses!$V$9,Hypothèses!$X$9,IF(B286&lt;=Hypothèses!$V$10,Hypothèses!$X$10,IF(B286&lt;=Hypothèses!$V$11,Hypothèses!$X$11,IF(B286&lt;=Hypothèses!$V$12,Hypothèses!$X$12,IF(B286&lt;=Hypothèses!$V$13,Hypothèses!$X$13,IF(B286&lt;=Hypothèses!$V$14,Hypothèses!$X$14,IF(B286&lt;=Hypothèses!$V$15,Hypothèses!$X$15,IF(B286&lt;=Hypothèses!$V$16,Hypothèses!$X$16,IF(B286&lt;=Hypothèses!$U$17,Hypothèses!$W$17,IF(B286&lt;=Hypothèses!$U$18,Hypothèses!$W$18,""))))))))))))</f>
        <v/>
      </c>
      <c r="Y286" s="95" t="e">
        <f t="shared" ca="1" si="436"/>
        <v>#DIV/0!</v>
      </c>
      <c r="Z286" s="101" t="e">
        <f t="shared" si="437"/>
        <v>#N/A</v>
      </c>
      <c r="AA286" s="91" t="e">
        <f t="shared" si="438"/>
        <v>#N/A</v>
      </c>
      <c r="AB286" s="30" t="e">
        <f t="shared" si="500"/>
        <v>#N/A</v>
      </c>
      <c r="AC286" s="30" t="e">
        <f t="shared" si="501"/>
        <v>#N/A</v>
      </c>
      <c r="AD286" s="31" t="e">
        <f>IF(OR(Hypothèses!$B$4=17,Hypothèses!$B$4=18,Hypothèses!$B$4=19,Hypothèses!$B$4=20),
IF($D286="Pressio.",
IF(OR($E286=3,$E286=1,$E286=4),AC286,AB286),
IF($D286="Pénétro.",
IF(OR($E286=3,$E286=1,$E286=4),AC286,AB286))),IF($D286="Pressio.",
IF($E286=3,AC286,AB286),
IF($D286="Pénétro.",
IF($E286=4,AC286,AB286))))</f>
        <v>#N/A</v>
      </c>
      <c r="AE286" s="31" t="e">
        <f>(IF(OR(Hypothèses!$B$4=17,Hypothèses!$B$4=18,Hypothèses!$B$4=19,Hypothèses!$B$4=20),
IF($D286="Pressio.",
IF(OR($E286=3,$E286=1,$E286=4),(PI()*AE$12^2)/4*(AA286*$W286*1000)/($H286*$B$5),(PI()*AE$12^2)/4*(AA286*$W286*1000)/($G286*$B$5)),
IF($D286="Pénétro.",
IF(OR($E286=4,$E286=1,$E286=5),(PI()*AE$12^2)/4*(AA286*$W286*1000)/($H286*$B$5),(PI()*AE$12^2)/4*(AA286*$W286*1000)/($G286*$B$5)))),
IF($D286="Pressio.",
IF($E286=3,(PI()*AE$12^2)/4*(AA286*$W286*1000)/($H286*$B$5),(PI()*AE$12^2)/4*(AA286*$W286*1000)/($G286*$B$5)),
IF($D286="Pénétro.",
IF($E286=4,(PI()*AE$12^2)/4*(AA286*$W286*1000)/($H286*$B$5),(PI()*AE$12^2)/4*(AA286*$W286*1000)/($G286*$B$5))))))/10</f>
        <v>#N/A</v>
      </c>
      <c r="AF286" s="102" t="e">
        <f>(VLOOKUP($B$3,'Coeff EC7'!$T$39:$X$59,2,0)*AD286+VLOOKUP($B$3,'Coeff EC7'!$T$65:$X$85,2,0)*Model0.1C!AE286)/1.1</f>
        <v>#N/A</v>
      </c>
      <c r="AG286" s="102" t="e">
        <f>(VLOOKUP($B$3,'Coeff EC7'!$T$39:$X$59,3,0)*AD286+VLOOKUP($B$3,'Coeff EC7'!$T$65:$X$85,3,0)*Model0.1C!AE286)/0.9</f>
        <v>#N/A</v>
      </c>
      <c r="AH286" s="102" t="e">
        <f t="shared" si="439"/>
        <v>#N/A</v>
      </c>
      <c r="AI286" s="102" t="e">
        <f t="shared" si="440"/>
        <v>#N/A</v>
      </c>
      <c r="AJ286" s="414" t="e">
        <f>IF(AJ285=0,0,IF(AND(AF286&gt;charge_ELS_quasi,AG286&gt;Charge_ELS_freq,AH286&gt;charge_ELU,AI286&gt;charge_ELA,$B286&gt;NDC!$H$22-0.1+MIN(3*$AJ$12,1.5)),0,1))</f>
        <v>#N/A</v>
      </c>
      <c r="AK286" s="86" t="b">
        <f t="shared" si="441"/>
        <v>0</v>
      </c>
      <c r="AL286" s="86">
        <f t="shared" si="470"/>
        <v>0.5</v>
      </c>
      <c r="AM286" s="86">
        <f t="shared" si="442"/>
        <v>0.5</v>
      </c>
      <c r="AN286" s="30" t="e">
        <f t="shared" ca="1" si="471"/>
        <v>#DIV/0!</v>
      </c>
      <c r="AO286" s="85" t="e">
        <f ca="1">IF(U286&lt;=Hypothèses!$V$7,Hypothèses!$W$7,IF(U286&lt;=Hypothèses!$V$8,Hypothèses!$W$8,IF(U286&lt;=Hypothèses!$V$9,Hypothèses!$W$9,IF(U286&lt;=Hypothèses!$V$10,Hypothèses!$W$10,IF(U286&lt;=Hypothèses!$V$11,Hypothèses!$W$11,IF(U286&lt;=Hypothèses!$V$12,Hypothèses!$W$12,IF(U286&lt;=Hypothèses!$V$13,Hypothèses!$W$13,IF(U286&lt;=Hypothèses!$V$14,Hypothèses!$W$14,IF(U286&lt;=Hypothèses!$V$15,Hypothèses!$W$15,IF(U286&lt;=Hypothèses!$V$16,Hypothèses!$W$16,IF(U286&lt;=Hypothèses!$V$17,Hypothèses!$W$17,IF(U286&lt;=Hypothèses!$V$18,Hypothèses!$W$18,""))))))))))))</f>
        <v>#DIV/0!</v>
      </c>
      <c r="AP286" s="87" t="e">
        <f t="shared" ca="1" si="517"/>
        <v>#DIV/0!</v>
      </c>
      <c r="AQ286" s="88" t="e">
        <f ca="1">IF(U286&lt;=Hypothèses!$V$7,Hypothèses!$X$7,IF(U286&lt;=Hypothèses!$V$8,Hypothèses!$X$8,IF(U286&lt;=Hypothèses!$V$9,Hypothèses!$X$9,IF(U286&lt;=Hypothèses!$V$10,Hypothèses!$X$10,IF(U286&lt;=Hypothèses!$V$11,Hypothèses!$X$11,IF(U286&lt;=Hypothèses!$V$12,Hypothèses!$X$12,IF(U286&lt;=Hypothèses!$V$13,Hypothèses!$X$13,IF(U286&lt;=Hypothèses!$V$14,Hypothèses!$X$14,IF(U286&lt;=Hypothèses!$V$15,Hypothèses!$X$15,IF(U286&lt;=Hypothèses!$V$16,Hypothèses!$X$16,IF(U286&lt;=Hypothèses!$U$17,Hypothèses!$W$17,IF(U286&lt;=Hypothèses!$U$18,Hypothèses!$W$18,""))))))))))))</f>
        <v>#DIV/0!</v>
      </c>
      <c r="AR286" s="95" t="e">
        <f t="shared" ca="1" si="472"/>
        <v>#DIV/0!</v>
      </c>
      <c r="AS286" s="101" t="e">
        <f t="shared" si="524"/>
        <v>#N/A</v>
      </c>
      <c r="AT286" s="91" t="e">
        <f t="shared" si="443"/>
        <v>#N/A</v>
      </c>
      <c r="AU286" s="30" t="e">
        <f t="shared" si="502"/>
        <v>#N/A</v>
      </c>
      <c r="AV286" s="30" t="e">
        <f t="shared" si="503"/>
        <v>#N/A</v>
      </c>
      <c r="AW286" s="31" t="e">
        <f>IF(OR(Hypothèses!$B$4=17,Hypothèses!$B$4=18,Hypothèses!$B$4=19,Hypothèses!$B$4=20),
IF($D286="Pressio.",
IF(OR($E286=3,$E286=1,$E286=4),AV286,AU286),
IF($D286="Pénétro.",
IF(OR($E286=3,$E286=1,$E286=4),AV286,AU286))),IF($D286="Pressio.",
IF($E286=3,AV286,AU286),
IF($D286="Pénétro.",
IF($E286=4,AV286,AU286))))</f>
        <v>#N/A</v>
      </c>
      <c r="AX286" s="31" t="e">
        <f>(IF(OR(Hypothèses!$B$4=17,Hypothèses!$B$4=18,Hypothèses!$B$4=19,Hypothèses!$B$4=20),
IF($D286="Pressio.",
IF(OR($E286=3,$E286=1,$E286=4),(PI()*AX$12^2)/4*(AT286*$W286*1000)/($H286*$B$5),(PI()*AX$12^2)/4*(AT286*$W286*1000)/($G286*$B$5)),
IF($D286="Pénétro.",
IF(OR($E286=4,$E286=1,$E286=5),(PI()*AX$12^2)/4*(AT286*$W286*1000)/($H286*$B$5),(PI()*AX$12^2)/4*(AT286*$W286*1000)/($G286*$B$5)))),
IF($D286="Pressio.",
IF($E286=3,(PI()*AX$12^2)/4*(AT286*$W286*1000)/($H286*$B$5),(PI()*AX$12^2)/4*(AT286*$W286*1000)/($G286*$B$5)),
IF($D286="Pénétro.",
IF($E286=4,(PI()*AX$12^2)/4*(AT286*$W286*1000)/($H286*$B$5),(PI()*AX$12^2)/4*(AT286*$W286*1000)/($G286*$B$5))))))/10</f>
        <v>#N/A</v>
      </c>
      <c r="AY286" s="102" t="e">
        <f>(VLOOKUP($B$3,'Coeff EC7'!$T$39:$X$59,2,0)*AW286+VLOOKUP($B$3,'Coeff EC7'!$T$65:$X$85,2,0)*Model0.1C!AX286)/1.1</f>
        <v>#N/A</v>
      </c>
      <c r="AZ286" s="102" t="e">
        <f>(VLOOKUP($B$3,'Coeff EC7'!$T$39:$X$59,3,0)*AW286+VLOOKUP($B$3,'Coeff EC7'!$T$65:$X$85,3,0)*Model0.1C!AX286)/0.9</f>
        <v>#N/A</v>
      </c>
      <c r="BA286" s="102" t="e">
        <f t="shared" si="473"/>
        <v>#N/A</v>
      </c>
      <c r="BB286" s="102" t="e">
        <f t="shared" si="474"/>
        <v>#N/A</v>
      </c>
      <c r="BC286" s="414" t="e">
        <f>IF(BC285=0,0,IF(AND(AY286&gt;charge_ELS_quasi,AZ286&gt;Charge_ELS_freq,BA286&gt;charge_ELU,BB286&gt;charge_ELA,$B286&gt;NDC!$H$22-0.1+MIN(3*$BC$12,1.5)),0,1))</f>
        <v>#N/A</v>
      </c>
      <c r="BD286" s="86" t="b">
        <f t="shared" si="444"/>
        <v>0</v>
      </c>
      <c r="BE286" s="86">
        <f t="shared" si="475"/>
        <v>0.5</v>
      </c>
      <c r="BF286" s="86">
        <f t="shared" si="445"/>
        <v>0.5</v>
      </c>
      <c r="BG286" s="30" t="e">
        <f t="shared" ca="1" si="476"/>
        <v>#DIV/0!</v>
      </c>
      <c r="BH286" s="85" t="e">
        <f ca="1">IF(AN286&lt;=Hypothèses!$V$7,Hypothèses!$W$7,IF(AN286&lt;=Hypothèses!$V$8,Hypothèses!$W$8,IF(AN286&lt;=Hypothèses!$V$9,Hypothèses!$W$9,IF(AN286&lt;=Hypothèses!$V$10,Hypothèses!$W$10,IF(AN286&lt;=Hypothèses!$V$11,Hypothèses!$W$11,IF(AN286&lt;=Hypothèses!$V$12,Hypothèses!$W$12,IF(AN286&lt;=Hypothèses!$V$13,Hypothèses!$W$13,IF(AN286&lt;=Hypothèses!$V$14,Hypothèses!$W$14,IF(AN286&lt;=Hypothèses!$V$15,Hypothèses!$W$15,IF(AN286&lt;=Hypothèses!$V$16,Hypothèses!$W$16,IF(AN286&lt;=Hypothèses!$V$17,Hypothèses!$W$17,IF(AN286&lt;=Hypothèses!$V$18,Hypothèses!$W$18,""))))))))))))</f>
        <v>#DIV/0!</v>
      </c>
      <c r="BI286" s="87" t="e">
        <f t="shared" ca="1" si="518"/>
        <v>#DIV/0!</v>
      </c>
      <c r="BJ286" s="88" t="e">
        <f ca="1">IF(AN286&lt;=Hypothèses!$V$7,Hypothèses!$X$7,IF(AN286&lt;=Hypothèses!$V$8,Hypothèses!$X$8,IF(AN286&lt;=Hypothèses!$V$9,Hypothèses!$X$9,IF(AN286&lt;=Hypothèses!$V$10,Hypothèses!$X$10,IF(AN286&lt;=Hypothèses!$V$11,Hypothèses!$X$11,IF(AN286&lt;=Hypothèses!$V$12,Hypothèses!$X$12,IF(AN286&lt;=Hypothèses!$V$13,Hypothèses!$X$13,IF(AN286&lt;=Hypothèses!$V$14,Hypothèses!$X$14,IF(AN286&lt;=Hypothèses!$V$15,Hypothèses!$X$15,IF(AN286&lt;=Hypothèses!$V$16,Hypothèses!$X$16,IF(AN286&lt;=Hypothèses!$U$17,Hypothèses!$W$17,IF(AN286&lt;=Hypothèses!$U$18,Hypothèses!$W$18,""))))))))))))</f>
        <v>#DIV/0!</v>
      </c>
      <c r="BK286" s="95" t="e">
        <f t="shared" ca="1" si="477"/>
        <v>#DIV/0!</v>
      </c>
      <c r="BL286" s="101" t="e">
        <f t="shared" si="525"/>
        <v>#N/A</v>
      </c>
      <c r="BM286" s="91" t="e">
        <f t="shared" si="446"/>
        <v>#N/A</v>
      </c>
      <c r="BN286" s="30" t="e">
        <f t="shared" si="504"/>
        <v>#N/A</v>
      </c>
      <c r="BO286" s="30" t="e">
        <f t="shared" si="505"/>
        <v>#N/A</v>
      </c>
      <c r="BP286" s="31" t="e">
        <f>IF(OR(Hypothèses!$B$4=17,Hypothèses!$B$4=18,Hypothèses!$B$4=19,Hypothèses!$B$4=20),
IF($D286="Pressio.",
IF(OR($E286=3,$E286=1,$E286=4),BO286,BN286),
IF($D286="Pénétro.",
IF(OR($E286=3,$E286=1,$E286=4),BO286,BN286))),IF($D286="Pressio.",
IF($E286=3,BO286,BN286),
IF($D286="Pénétro.",
IF($E286=4,BO286,BN286))))</f>
        <v>#N/A</v>
      </c>
      <c r="BQ286" s="31" t="e">
        <f>(IF(OR(Hypothèses!$B$4=17,Hypothèses!$B$4=18,Hypothèses!$B$4=19,Hypothèses!$B$4=20),
IF($D286="Pressio.",
IF(OR($E286=3,$E286=1,$E286=4),(PI()*BQ$12^2)/4*(BM286*$W286*1000)/($H286*$B$5),(PI()*BQ$12^2)/4*(BM286*$W286*1000)/($G286*$B$5)),
IF($D286="Pénétro.",
IF(OR($E286=4,$E286=1,$E286=5),(PI()*BQ$12^2)/4*(BM286*$W286*1000)/($H286*$B$5),(PI()*BQ$12^2)/4*(BM286*$W286*1000)/($G286*$B$5)))),
IF($D286="Pressio.",
IF($E286=3,(PI()*BQ$12^2)/4*(BM286*$W286*1000)/($H286*$B$5),(PI()*BQ$12^2)/4*(BM286*$W286*1000)/($G286*$B$5)),
IF($D286="Pénétro.",
IF($E286=4,(PI()*BQ$12^2)/4*(BM286*$W286*1000)/($H286*$B$5),(PI()*BQ$12^2)/4*(BM286*$W286*1000)/($G286*$B$5))))))/10</f>
        <v>#N/A</v>
      </c>
      <c r="BR286" s="102" t="e">
        <f>(VLOOKUP($B$3,'Coeff EC7'!$T$39:$X$59,2,0)*BP286+VLOOKUP($B$3,'Coeff EC7'!$T$65:$X$85,2,0)*Model0.1C!BQ286)/1.1</f>
        <v>#N/A</v>
      </c>
      <c r="BS286" s="102" t="e">
        <f>(VLOOKUP($B$3,'Coeff EC7'!$T$39:$X$59,3,0)*BP286+VLOOKUP($B$3,'Coeff EC7'!$T$65:$X$85,3,0)*Model0.1C!BQ286)/0.9</f>
        <v>#N/A</v>
      </c>
      <c r="BT286" s="102" t="e">
        <f t="shared" si="478"/>
        <v>#N/A</v>
      </c>
      <c r="BU286" s="102" t="e">
        <f t="shared" si="479"/>
        <v>#N/A</v>
      </c>
      <c r="BV286" s="414" t="e">
        <f>IF(BV285=0,0,IF(AND(BR286&gt;charge_ELS_quasi,BS286&gt;Charge_ELS_freq,BT286&gt;charge_ELU,BU286&gt;charge_ELA,$B286&gt;NDC!$H$22-0.1+MIN(3*$BV$12,1.5)),0,1))</f>
        <v>#N/A</v>
      </c>
      <c r="BW286" s="86" t="b">
        <f t="shared" si="447"/>
        <v>0</v>
      </c>
      <c r="BX286" s="86">
        <f t="shared" si="448"/>
        <v>0.5</v>
      </c>
      <c r="BY286" s="86">
        <f t="shared" si="449"/>
        <v>0.5</v>
      </c>
      <c r="BZ286" s="30" t="e">
        <f t="shared" ca="1" si="480"/>
        <v>#DIV/0!</v>
      </c>
      <c r="CA286" s="85" t="e">
        <f ca="1">IF(BG286&lt;=Hypothèses!$V$7,Hypothèses!$W$7,IF(BG286&lt;=Hypothèses!$V$8,Hypothèses!$W$8,IF(BG286&lt;=Hypothèses!$V$9,Hypothèses!$W$9,IF(BG286&lt;=Hypothèses!$V$10,Hypothèses!$W$10,IF(BG286&lt;=Hypothèses!$V$11,Hypothèses!$W$11,IF(BG286&lt;=Hypothèses!$V$12,Hypothèses!$W$12,IF(BG286&lt;=Hypothèses!$V$13,Hypothèses!$W$13,IF(BG286&lt;=Hypothèses!$V$14,Hypothèses!$W$14,IF(BG286&lt;=Hypothèses!$V$15,Hypothèses!$W$15,IF(BG286&lt;=Hypothèses!$V$16,Hypothèses!$W$16,IF(BG286&lt;=Hypothèses!$V$17,Hypothèses!$W$17,IF(BG286&lt;=Hypothèses!$V$18,Hypothèses!$W$18,""))))))))))))</f>
        <v>#DIV/0!</v>
      </c>
      <c r="CB286" s="87" t="e">
        <f t="shared" ca="1" si="519"/>
        <v>#DIV/0!</v>
      </c>
      <c r="CC286" s="88" t="e">
        <f ca="1">IF(BG286&lt;=Hypothèses!$V$7,Hypothèses!$X$7,IF(BG286&lt;=Hypothèses!$V$8,Hypothèses!$X$8,IF(BG286&lt;=Hypothèses!$V$9,Hypothèses!$X$9,IF(BG286&lt;=Hypothèses!$V$10,Hypothèses!$X$10,IF(BG286&lt;=Hypothèses!$V$11,Hypothèses!$X$11,IF(BG286&lt;=Hypothèses!$V$12,Hypothèses!$X$12,IF(BG286&lt;=Hypothèses!$V$13,Hypothèses!$X$13,IF(BG286&lt;=Hypothèses!$V$14,Hypothèses!$X$14,IF(BG286&lt;=Hypothèses!$V$15,Hypothèses!$X$15,IF(BG286&lt;=Hypothèses!$V$16,Hypothèses!$X$16,IF(BG286&lt;=Hypothèses!$U$17,Hypothèses!$W$17,IF(BG286&lt;=Hypothèses!$U$18,Hypothèses!$W$18,""))))))))))))</f>
        <v>#DIV/0!</v>
      </c>
      <c r="CD286" s="95" t="e">
        <f t="shared" ca="1" si="481"/>
        <v>#DIV/0!</v>
      </c>
      <c r="CE286" s="101" t="e">
        <f t="shared" si="526"/>
        <v>#N/A</v>
      </c>
      <c r="CF286" s="91" t="e">
        <f t="shared" si="450"/>
        <v>#N/A</v>
      </c>
      <c r="CG286" s="30" t="e">
        <f t="shared" si="506"/>
        <v>#N/A</v>
      </c>
      <c r="CH286" s="30" t="e">
        <f t="shared" si="507"/>
        <v>#N/A</v>
      </c>
      <c r="CI286" s="31" t="e">
        <f>IF(OR(Hypothèses!$B$4=17,Hypothèses!$B$4=18,Hypothèses!$B$4=19,Hypothèses!$B$4=20),
IF($D286="Pressio.",
IF(OR($E286=3,$E286=1,$E286=4),CH286,CG286),
IF($D286="Pénétro.",
IF(OR($E286=3,$E286=1,$E286=4),CH286,CG286))),IF($D286="Pressio.",
IF($E286=3,CH286,CG286),
IF($D286="Pénétro.",
IF($E286=4,CH286,CG286))))</f>
        <v>#N/A</v>
      </c>
      <c r="CJ286" s="31" t="e">
        <f>(IF(OR(Hypothèses!$B$4=17,Hypothèses!$B$4=18,Hypothèses!$B$4=19,Hypothèses!$B$4=20),
IF($D286="Pressio.",
IF(OR($E286=3,$E286=1,$E286=4),(PI()*CJ$12^2)/4*(CF286*$W286*1000)/($H286*$B$5),(PI()*CJ$12^2)/4*(CF286*$W286*1000)/($G286*$B$5)),
IF($D286="Pénétro.",
IF(OR($E286=4,$E286=1,$E286=5),(PI()*CJ$12^2)/4*(CF286*$W286*1000)/($H286*$B$5),(PI()*CJ$12^2)/4*(CF286*$W286*1000)/($G286*$B$5)))),
IF($D286="Pressio.",
IF($E286=3,(PI()*CJ$12^2)/4*(CF286*$W286*1000)/($H286*$B$5),(PI()*CJ$12^2)/4*(CF286*$W286*1000)/($G286*$B$5)),
IF($D286="Pénétro.",
IF($E286=4,(PI()*CJ$12^2)/4*(CF286*$W286*1000)/($H286*$B$5),(PI()*CJ$12^2)/4*(CF286*$W286*1000)/($G286*$B$5))))))/10</f>
        <v>#N/A</v>
      </c>
      <c r="CK286" s="102" t="e">
        <f>(VLOOKUP($B$3,'Coeff EC7'!$T$39:$X$59,2,0)*CI286+VLOOKUP($B$3,'Coeff EC7'!$T$65:$X$85,2,0)*Model0.1C!CJ286)/1.1</f>
        <v>#N/A</v>
      </c>
      <c r="CL286" s="102" t="e">
        <f>(VLOOKUP($B$3,'Coeff EC7'!$T$39:$X$59,3,0)*CI286+VLOOKUP($B$3,'Coeff EC7'!$T$65:$X$85,3,0)*Model0.1C!CJ286)/0.9</f>
        <v>#N/A</v>
      </c>
      <c r="CM286" s="102" t="e">
        <f t="shared" si="482"/>
        <v>#N/A</v>
      </c>
      <c r="CN286" s="102" t="e">
        <f t="shared" si="483"/>
        <v>#N/A</v>
      </c>
      <c r="CO286" s="414" t="e">
        <f>IF(CO285=0,0,IF(AND(CK286&gt;charge_ELS_quasi,CL286&gt;Charge_ELS_freq,CM286&gt;charge_ELU,CN286&gt;charge_ELA,$B286&gt;NDC!$H$22-0.1+MIN(3*$CO$12,1.5)),0,1))</f>
        <v>#N/A</v>
      </c>
      <c r="CP286" s="86" t="b">
        <f t="shared" si="451"/>
        <v>0</v>
      </c>
      <c r="CQ286" s="86">
        <f t="shared" si="452"/>
        <v>0.5</v>
      </c>
      <c r="CR286" s="86">
        <f t="shared" si="453"/>
        <v>0.5</v>
      </c>
      <c r="CS286" s="30" t="e">
        <f t="shared" ca="1" si="484"/>
        <v>#DIV/0!</v>
      </c>
      <c r="CT286" s="85" t="e">
        <f ca="1">IF(BZ286&lt;=Hypothèses!$V$7,Hypothèses!$W$7,IF(BZ286&lt;=Hypothèses!$V$8,Hypothèses!$W$8,IF(BZ286&lt;=Hypothèses!$V$9,Hypothèses!$W$9,IF(BZ286&lt;=Hypothèses!$V$10,Hypothèses!$W$10,IF(BZ286&lt;=Hypothèses!$V$11,Hypothèses!$W$11,IF(BZ286&lt;=Hypothèses!$V$12,Hypothèses!$W$12,IF(BZ286&lt;=Hypothèses!$V$13,Hypothèses!$W$13,IF(BZ286&lt;=Hypothèses!$V$14,Hypothèses!$W$14,IF(BZ286&lt;=Hypothèses!$V$15,Hypothèses!$W$15,IF(BZ286&lt;=Hypothèses!$V$16,Hypothèses!$W$16,IF(BZ286&lt;=Hypothèses!$V$17,Hypothèses!$W$17,IF(BZ286&lt;=Hypothèses!$V$18,Hypothèses!$W$18,""))))))))))))</f>
        <v>#DIV/0!</v>
      </c>
      <c r="CU286" s="87" t="e">
        <f t="shared" ca="1" si="520"/>
        <v>#DIV/0!</v>
      </c>
      <c r="CV286" s="88" t="e">
        <f ca="1">IF(BZ286&lt;=Hypothèses!$V$7,Hypothèses!$X$7,IF(BZ286&lt;=Hypothèses!$V$8,Hypothèses!$X$8,IF(BZ286&lt;=Hypothèses!$V$9,Hypothèses!$X$9,IF(BZ286&lt;=Hypothèses!$V$10,Hypothèses!$X$10,IF(BZ286&lt;=Hypothèses!$V$11,Hypothèses!$X$11,IF(BZ286&lt;=Hypothèses!$V$12,Hypothèses!$X$12,IF(BZ286&lt;=Hypothèses!$V$13,Hypothèses!$X$13,IF(BZ286&lt;=Hypothèses!$V$14,Hypothèses!$X$14,IF(BZ286&lt;=Hypothèses!$V$15,Hypothèses!$X$15,IF(BZ286&lt;=Hypothèses!$V$16,Hypothèses!$X$16,IF(BZ286&lt;=Hypothèses!$U$17,Hypothèses!$W$17,IF(BZ286&lt;=Hypothèses!$U$18,Hypothèses!$W$18,""))))))))))))</f>
        <v>#DIV/0!</v>
      </c>
      <c r="CW286" s="95" t="e">
        <f t="shared" ca="1" si="485"/>
        <v>#DIV/0!</v>
      </c>
      <c r="CX286" s="101" t="e">
        <f t="shared" si="527"/>
        <v>#N/A</v>
      </c>
      <c r="CY286" s="91" t="e">
        <f t="shared" si="454"/>
        <v>#N/A</v>
      </c>
      <c r="CZ286" s="30" t="e">
        <f t="shared" si="508"/>
        <v>#N/A</v>
      </c>
      <c r="DA286" s="30" t="e">
        <f t="shared" si="509"/>
        <v>#N/A</v>
      </c>
      <c r="DB286" s="31" t="e">
        <f>IF(OR(Hypothèses!$B$4=17,Hypothèses!$B$4=18,Hypothèses!$B$4=19,Hypothèses!$B$4=20),
IF($D286="Pressio.",
IF(OR($E286=3,$E286=1,$E286=4),DA286,CZ286),
IF($D286="Pénétro.",
IF(OR($E286=3,$E286=1,$E286=4),DA286,CZ286))),IF($D286="Pressio.",
IF($E286=3,DA286,CZ286),
IF($D286="Pénétro.",
IF($E286=4,DA286,CZ286))))</f>
        <v>#N/A</v>
      </c>
      <c r="DC286" s="31" t="e">
        <f>(IF(OR(Hypothèses!$B$4=17,Hypothèses!$B$4=18,Hypothèses!$B$4=19,Hypothèses!$B$4=20),
IF($D286="Pressio.",
IF(OR($E286=3,$E286=1,$E286=4),(PI()*DC$12^2)/4*(CY286*$W286*1000)/($H286*$B$5),(PI()*DC$12^2)/4*(CY286*$W286*1000)/($G286*$B$5)),
IF($D286="Pénétro.",
IF(OR($E286=4,$E286=1,$E286=5),(PI()*DC$12^2)/4*(CY286*$W286*1000)/($H286*$B$5),(PI()*DC$12^2)/4*(CY286*$W286*1000)/($G286*$B$5)))),
IF($D286="Pressio.",
IF($E286=3,(PI()*DC$12^2)/4*(CY286*$W286*1000)/($H286*$B$5),(PI()*DC$12^2)/4*(CY286*$W286*1000)/($G286*$B$5)),
IF($D286="Pénétro.",
IF($E286=4,(PI()*DC$12^2)/4*(CY286*$W286*1000)/($H286*$B$5),(PI()*DC$12^2)/4*(CY286*$W286*1000)/($G286*$B$5))))))/10</f>
        <v>#N/A</v>
      </c>
      <c r="DD286" s="102" t="e">
        <f>(VLOOKUP($B$3,'Coeff EC7'!$T$39:$X$59,2,0)*DB286+VLOOKUP($B$3,'Coeff EC7'!$T$65:$X$85,2,0)*Model0.1C!DC286)/1.1</f>
        <v>#N/A</v>
      </c>
      <c r="DE286" s="102" t="e">
        <f>(VLOOKUP($B$3,'Coeff EC7'!$T$39:$X$59,3,0)*DB286+VLOOKUP($B$3,'Coeff EC7'!$T$65:$X$85,3,0)*Model0.1C!DC286)/0.9</f>
        <v>#N/A</v>
      </c>
      <c r="DF286" s="102" t="e">
        <f t="shared" si="486"/>
        <v>#N/A</v>
      </c>
      <c r="DG286" s="102" t="e">
        <f t="shared" si="487"/>
        <v>#N/A</v>
      </c>
      <c r="DH286" s="414" t="e">
        <f>IF(DH285=0,0,IF(AND(DD286&gt;charge_ELS_quasi,DE286&gt;Charge_ELS_freq,DF286&gt;charge_ELU,DG286&gt;charge_ELA,$B286&gt;NDC!$H$22-0.1+MIN(3*$DH$12,1.5)),0,1))</f>
        <v>#N/A</v>
      </c>
      <c r="DI286" s="86" t="b">
        <f t="shared" si="455"/>
        <v>0</v>
      </c>
      <c r="DJ286" s="86">
        <f t="shared" si="456"/>
        <v>0.5</v>
      </c>
      <c r="DK286" s="86">
        <f t="shared" si="457"/>
        <v>0.5</v>
      </c>
      <c r="DL286" s="30" t="e">
        <f t="shared" ca="1" si="488"/>
        <v>#DIV/0!</v>
      </c>
      <c r="DM286" s="85" t="e">
        <f ca="1">IF(CS286&lt;=Hypothèses!$V$7,Hypothèses!$W$7,IF(CS286&lt;=Hypothèses!$V$8,Hypothèses!$W$8,IF(CS286&lt;=Hypothèses!$V$9,Hypothèses!$W$9,IF(CS286&lt;=Hypothèses!$V$10,Hypothèses!$W$10,IF(CS286&lt;=Hypothèses!$V$11,Hypothèses!$W$11,IF(CS286&lt;=Hypothèses!$V$12,Hypothèses!$W$12,IF(CS286&lt;=Hypothèses!$V$13,Hypothèses!$W$13,IF(CS286&lt;=Hypothèses!$V$14,Hypothèses!$W$14,IF(CS286&lt;=Hypothèses!$V$15,Hypothèses!$W$15,IF(CS286&lt;=Hypothèses!$V$16,Hypothèses!$W$16,IF(CS286&lt;=Hypothèses!$V$17,Hypothèses!$W$17,IF(CS286&lt;=Hypothèses!$V$18,Hypothèses!$W$18,""))))))))))))</f>
        <v>#DIV/0!</v>
      </c>
      <c r="DN286" s="87" t="e">
        <f t="shared" ca="1" si="521"/>
        <v>#DIV/0!</v>
      </c>
      <c r="DO286" s="88" t="e">
        <f ca="1">IF(CS286&lt;=Hypothèses!$V$7,Hypothèses!$X$7,IF(CS286&lt;=Hypothèses!$V$8,Hypothèses!$X$8,IF(CS286&lt;=Hypothèses!$V$9,Hypothèses!$X$9,IF(CS286&lt;=Hypothèses!$V$10,Hypothèses!$X$10,IF(CS286&lt;=Hypothèses!$V$11,Hypothèses!$X$11,IF(CS286&lt;=Hypothèses!$V$12,Hypothèses!$X$12,IF(CS286&lt;=Hypothèses!$V$13,Hypothèses!$X$13,IF(CS286&lt;=Hypothèses!$V$14,Hypothèses!$X$14,IF(CS286&lt;=Hypothèses!$V$15,Hypothèses!$X$15,IF(CS286&lt;=Hypothèses!$V$16,Hypothèses!$X$16,IF(CS286&lt;=Hypothèses!$U$17,Hypothèses!$W$17,IF(CS286&lt;=Hypothèses!$U$18,Hypothèses!$W$18,""))))))))))))</f>
        <v>#DIV/0!</v>
      </c>
      <c r="DP286" s="95" t="e">
        <f t="shared" ca="1" si="489"/>
        <v>#DIV/0!</v>
      </c>
      <c r="DQ286" s="101" t="e">
        <f t="shared" si="528"/>
        <v>#N/A</v>
      </c>
      <c r="DR286" s="91" t="e">
        <f t="shared" si="458"/>
        <v>#N/A</v>
      </c>
      <c r="DS286" s="30" t="e">
        <f t="shared" si="510"/>
        <v>#N/A</v>
      </c>
      <c r="DT286" s="30" t="e">
        <f t="shared" si="511"/>
        <v>#N/A</v>
      </c>
      <c r="DU286" s="31" t="e">
        <f>IF(OR(Hypothèses!$B$4=17,Hypothèses!$B$4=18,Hypothèses!$B$4=19,Hypothèses!$B$4=20),
IF($D286="Pressio.",
IF(OR($E286=3,$E286=1,$E286=4),DT286,DS286),
IF($D286="Pénétro.",
IF(OR($E286=3,$E286=1,$E286=4),DT286,DS286))),IF($D286="Pressio.",
IF($E286=3,DT286,DS286),
IF($D286="Pénétro.",
IF($E286=4,DT286,DS286))))</f>
        <v>#N/A</v>
      </c>
      <c r="DV286" s="31" t="e">
        <f>(IF(OR(Hypothèses!$B$4=17,Hypothèses!$B$4=18,Hypothèses!$B$4=19,Hypothèses!$B$4=20),
IF($D286="Pressio.",
IF(OR($E286=3,$E286=1,$E286=4),(PI()*DV$12^2)/4*(DR286*$W286*1000)/($H286*$B$5),(PI()*DV$12^2)/4*(DR286*$W286*1000)/($G286*$B$5)),
IF($D286="Pénétro.",
IF(OR($E286=4,$E286=1,$E286=5),(PI()*DV$12^2)/4*(DR286*$W286*1000)/($H286*$B$5),(PI()*DV$12^2)/4*(DR286*$W286*1000)/($G286*$B$5)))),
IF($D286="Pressio.",
IF($E286=3,(PI()*DV$12^2)/4*(DR286*$W286*1000)/($H286*$B$5),(PI()*DV$12^2)/4*(DR286*$W286*1000)/($G286*$B$5)),
IF($D286="Pénétro.",
IF($E286=4,(PI()*DV$12^2)/4*(DR286*$W286*1000)/($H286*$B$5),(PI()*DV$12^2)/4*(DR286*$W286*1000)/($G286*$B$5))))))/10</f>
        <v>#N/A</v>
      </c>
      <c r="DW286" s="102" t="e">
        <f>(VLOOKUP($B$3,'Coeff EC7'!$T$39:$X$59,2,0)*DU286+VLOOKUP($B$3,'Coeff EC7'!$T$65:$X$85,2,0)*Model0.1C!DV286)/1.1</f>
        <v>#N/A</v>
      </c>
      <c r="DX286" s="102" t="e">
        <f>(VLOOKUP($B$3,'Coeff EC7'!$T$39:$X$59,3,0)*DU286+VLOOKUP($B$3,'Coeff EC7'!$T$65:$X$85,3,0)*Model0.1C!DV286)/0.9</f>
        <v>#N/A</v>
      </c>
      <c r="DY286" s="102" t="e">
        <f t="shared" si="490"/>
        <v>#N/A</v>
      </c>
      <c r="DZ286" s="102" t="e">
        <f t="shared" si="491"/>
        <v>#N/A</v>
      </c>
      <c r="EA286" s="414" t="e">
        <f>IF(EA285=0,0,IF(AND(DW286&gt;charge_ELS_quasi,DX286&gt;Charge_ELS_freq,DY286&gt;charge_ELU,DZ286&gt;charge_ELA,$B286&gt;NDC!$H$22-0.1+MIN(3*$EA$12,1.5)),0,1))</f>
        <v>#N/A</v>
      </c>
      <c r="EB286" s="86" t="b">
        <f t="shared" si="459"/>
        <v>0</v>
      </c>
      <c r="EC286" s="418">
        <f t="shared" si="460"/>
        <v>0.51</v>
      </c>
      <c r="ED286" s="86">
        <f t="shared" si="461"/>
        <v>0.51</v>
      </c>
      <c r="EE286" s="30" t="e">
        <f t="shared" ca="1" si="492"/>
        <v>#DIV/0!</v>
      </c>
      <c r="EF286" s="85" t="e">
        <f ca="1">IF(DL286&lt;=Hypothèses!$V$7,Hypothèses!$W$7,IF(DL286&lt;=Hypothèses!$V$8,Hypothèses!$W$8,IF(DL286&lt;=Hypothèses!$V$9,Hypothèses!$W$9,IF(DL286&lt;=Hypothèses!$V$10,Hypothèses!$W$10,IF(DL286&lt;=Hypothèses!$V$11,Hypothèses!$W$11,IF(DL286&lt;=Hypothèses!$V$12,Hypothèses!$W$12,IF(DL286&lt;=Hypothèses!$V$13,Hypothèses!$W$13,IF(DL286&lt;=Hypothèses!$V$14,Hypothèses!$W$14,IF(DL286&lt;=Hypothèses!$V$15,Hypothèses!$W$15,IF(DL286&lt;=Hypothèses!$V$16,Hypothèses!$W$16,IF(DL286&lt;=Hypothèses!$V$17,Hypothèses!$W$17,IF(DL286&lt;=Hypothèses!$V$18,Hypothèses!$W$18,""))))))))))))</f>
        <v>#DIV/0!</v>
      </c>
      <c r="EG286" s="87" t="e">
        <f t="shared" ca="1" si="522"/>
        <v>#DIV/0!</v>
      </c>
      <c r="EH286" s="88" t="e">
        <f ca="1">IF(DL286&lt;=Hypothèses!$V$7,Hypothèses!$X$7,IF(DL286&lt;=Hypothèses!$V$8,Hypothèses!$X$8,IF(DL286&lt;=Hypothèses!$V$9,Hypothèses!$X$9,IF(DL286&lt;=Hypothèses!$V$10,Hypothèses!$X$10,IF(DL286&lt;=Hypothèses!$V$11,Hypothèses!$X$11,IF(DL286&lt;=Hypothèses!$V$12,Hypothèses!$X$12,IF(DL286&lt;=Hypothèses!$V$13,Hypothèses!$X$13,IF(DL286&lt;=Hypothèses!$V$14,Hypothèses!$X$14,IF(DL286&lt;=Hypothèses!$V$15,Hypothèses!$X$15,IF(DL286&lt;=Hypothèses!$V$16,Hypothèses!$X$16,IF(DL286&lt;=Hypothèses!$U$17,Hypothèses!$W$17,IF(DL286&lt;=Hypothèses!$U$18,Hypothèses!$W$18,""))))))))))))</f>
        <v>#DIV/0!</v>
      </c>
      <c r="EI286" s="95" t="e">
        <f t="shared" ca="1" si="493"/>
        <v>#DIV/0!</v>
      </c>
      <c r="EJ286" s="101" t="e">
        <f t="shared" si="529"/>
        <v>#N/A</v>
      </c>
      <c r="EK286" s="91" t="e">
        <f t="shared" si="462"/>
        <v>#N/A</v>
      </c>
      <c r="EL286" s="30" t="e">
        <f t="shared" si="512"/>
        <v>#N/A</v>
      </c>
      <c r="EM286" s="30" t="e">
        <f t="shared" si="513"/>
        <v>#N/A</v>
      </c>
      <c r="EN286" s="31" t="e">
        <f>IF(OR(Hypothèses!$B$4=17,Hypothèses!$B$4=18,Hypothèses!$B$4=19,Hypothèses!$B$4=20),
IF($D286="Pressio.",
IF(OR($E286=3,$E286=1,$E286=4),EM286,EL286),
IF($D286="Pénétro.",
IF(OR($E286=3,$E286=1,$E286=4),EM286,EL286))),IF($D286="Pressio.",
IF($E286=3,EM286,EL286),
IF($D286="Pénétro.",
IF($E286=4,EM286,EL286))))</f>
        <v>#N/A</v>
      </c>
      <c r="EO286" s="31" t="e">
        <f>(IF(OR(Hypothèses!$B$4=17,Hypothèses!$B$4=18,Hypothèses!$B$4=19,Hypothèses!$B$4=20),
IF($D286="Pressio.",
IF(OR($E286=3,$E286=1,$E286=4),(PI()*EO$12^2)/4*(EK286*$W286*1000)/($H286*$B$5),(PI()*EO$12^2)/4*(EK286*$W286*1000)/($G286*$B$5)),
IF($D286="Pénétro.",
IF(OR($E286=4,$E286=1,$E286=5),(PI()*EO$12^2)/4*(EK286*$W286*1000)/($H286*$B$5),(PI()*EO$12^2)/4*(EK286*$W286*1000)/($G286*$B$5)))),
IF($D286="Pressio.",
IF($E286=3,(PI()*EO$12^2)/4*(EK286*$W286*1000)/($H286*$B$5),(PI()*EO$12^2)/4*(EK286*$W286*1000)/($G286*$B$5)),
IF($D286="Pénétro.",
IF($E286=4,(PI()*EO$12^2)/4*(EK286*$W286*1000)/($H286*$B$5),(PI()*EO$12^2)/4*(EK286*$W286*1000)/($G286*$B$5))))))/10</f>
        <v>#N/A</v>
      </c>
      <c r="EP286" s="102" t="e">
        <f>(VLOOKUP($B$3,'Coeff EC7'!$T$39:$X$59,2,0)*EN286+VLOOKUP($B$3,'Coeff EC7'!$T$65:$X$85,2,0)*Model0.1C!EO286)/1.1</f>
        <v>#N/A</v>
      </c>
      <c r="EQ286" s="102" t="e">
        <f>(VLOOKUP($B$3,'Coeff EC7'!$T$39:$X$59,3,0)*EN286+VLOOKUP($B$3,'Coeff EC7'!$T$65:$X$85,3,0)*Model0.1C!EO286)/0.9</f>
        <v>#N/A</v>
      </c>
      <c r="ER286" s="102" t="e">
        <f t="shared" si="494"/>
        <v>#N/A</v>
      </c>
      <c r="ES286" s="102" t="e">
        <f t="shared" si="495"/>
        <v>#N/A</v>
      </c>
      <c r="ET286" s="414" t="e">
        <f>IF(ET285=0,0,IF(AND(EP286&gt;charge_ELS_quasi,EQ286&gt;Charge_ELS_freq,ER286&gt;charge_ELU,ES286&gt;charge_ELA,$B286&gt;NDC!$H$22-0.1+MIN(3*$ET$12,1.5)),0,1))</f>
        <v>#N/A</v>
      </c>
      <c r="EU286" s="86" t="b">
        <f t="shared" si="463"/>
        <v>0</v>
      </c>
      <c r="EV286" s="86">
        <f t="shared" si="464"/>
        <v>0.61</v>
      </c>
      <c r="EW286" s="86">
        <f t="shared" si="465"/>
        <v>0.61</v>
      </c>
      <c r="EX286" s="30" t="e">
        <f t="shared" ca="1" si="496"/>
        <v>#DIV/0!</v>
      </c>
      <c r="EY286" s="85" t="e">
        <f ca="1">IF(EE286&lt;=Hypothèses!$V$7,Hypothèses!$W$7,IF(EE286&lt;=Hypothèses!$V$8,Hypothèses!$W$8,IF(EE286&lt;=Hypothèses!$V$9,Hypothèses!$W$9,IF(EE286&lt;=Hypothèses!$V$10,Hypothèses!$W$10,IF(EE286&lt;=Hypothèses!$V$11,Hypothèses!$W$11,IF(EE286&lt;=Hypothèses!$V$12,Hypothèses!$W$12,IF(EE286&lt;=Hypothèses!$V$13,Hypothèses!$W$13,IF(EE286&lt;=Hypothèses!$V$14,Hypothèses!$W$14,IF(EE286&lt;=Hypothèses!$V$15,Hypothèses!$W$15,IF(EE286&lt;=Hypothèses!$V$16,Hypothèses!$W$16,IF(EE286&lt;=Hypothèses!$V$17,Hypothèses!$W$17,IF(EE286&lt;=Hypothèses!$V$18,Hypothèses!$W$18,""))))))))))))</f>
        <v>#DIV/0!</v>
      </c>
      <c r="EZ286" s="87" t="e">
        <f t="shared" ca="1" si="523"/>
        <v>#DIV/0!</v>
      </c>
      <c r="FA286" s="88" t="e">
        <f ca="1">IF(EE286&lt;=Hypothèses!$V$7,Hypothèses!$X$7,IF(EE286&lt;=Hypothèses!$V$8,Hypothèses!$X$8,IF(EE286&lt;=Hypothèses!$V$9,Hypothèses!$X$9,IF(EE286&lt;=Hypothèses!$V$10,Hypothèses!$X$10,IF(EE286&lt;=Hypothèses!$V$11,Hypothèses!$X$11,IF(EE286&lt;=Hypothèses!$V$12,Hypothèses!$X$12,IF(EE286&lt;=Hypothèses!$V$13,Hypothèses!$X$13,IF(EE286&lt;=Hypothèses!$V$14,Hypothèses!$X$14,IF(EE286&lt;=Hypothèses!$V$15,Hypothèses!$X$15,IF(EE286&lt;=Hypothèses!$V$16,Hypothèses!$X$16,IF(EE286&lt;=Hypothèses!$U$17,Hypothèses!$W$17,IF(EE286&lt;=Hypothèses!$U$18,Hypothèses!$W$18,""))))))))))))</f>
        <v>#DIV/0!</v>
      </c>
      <c r="FB286" s="95" t="e">
        <f t="shared" ca="1" si="497"/>
        <v>#DIV/0!</v>
      </c>
      <c r="FC286" s="101" t="e">
        <f t="shared" si="530"/>
        <v>#N/A</v>
      </c>
      <c r="FD286" s="91" t="e">
        <f t="shared" si="466"/>
        <v>#N/A</v>
      </c>
      <c r="FE286" s="30" t="e">
        <f t="shared" si="514"/>
        <v>#N/A</v>
      </c>
      <c r="FF286" s="30" t="e">
        <f t="shared" si="515"/>
        <v>#N/A</v>
      </c>
      <c r="FG286" s="31" t="e">
        <f>IF(OR(Hypothèses!$B$4=17,Hypothèses!$B$4=18,Hypothèses!$B$4=19,Hypothèses!$B$4=20),
IF($D286="Pressio.",
IF(OR($E286=3,$E286=1,$E286=4),FF286,FE286),
IF($D286="Pénétro.",
IF(OR($E286=3,$E286=1,$E286=4),FF286,FE286))),IF($D286="Pressio.",
IF($E286=3,FF286,FE286),
IF($D286="Pénétro.",
IF($E286=4,FF286,FE286))))</f>
        <v>#N/A</v>
      </c>
      <c r="FH286" s="31" t="e">
        <f>(IF(OR(Hypothèses!$B$4=17,Hypothèses!$B$4=18,Hypothèses!$B$4=19,Hypothèses!$B$4=20),
IF($D286="Pressio.",
IF(OR($E286=3,$E286=1,$E286=4),(PI()*FH$12^2)/4*(FD286*$W286*1000)/($H286*$B$5),(PI()*FH$12^2)/4*(FD286*$W286*1000)/($G286*$B$5)),
IF($D286="Pénétro.",
IF(OR($E286=4,$E286=1,$E286=5),(PI()*FH$12^2)/4*(FD286*$W286*1000)/($H286*$B$5),(PI()*FH$12^2)/4*(FD286*$W286*1000)/($G286*$B$5)))),
IF($D286="Pressio.",
IF($E286=3,(PI()*FH$12^2)/4*(FD286*$W286*1000)/($H286*$B$5),(PI()*FH$12^2)/4*(FD286*$W286*1000)/($G286*$B$5)),
IF($D286="Pénétro.",
IF($E286=4,(PI()*FH$12^2)/4*(FD286*$W286*1000)/($H286*$B$5),(PI()*FH$12^2)/4*(FD286*$W286*1000)/($G286*$B$5))))))/10</f>
        <v>#N/A</v>
      </c>
      <c r="FI286" s="102" t="e">
        <f>(VLOOKUP($B$3,'Coeff EC7'!$T$39:$X$59,2,0)*FG286+VLOOKUP($B$3,'Coeff EC7'!$T$65:$X$85,2,0)*Model0.1C!FH286)/1.1</f>
        <v>#N/A</v>
      </c>
      <c r="FJ286" s="102" t="e">
        <f>(VLOOKUP($B$3,'Coeff EC7'!$T$39:$X$59,3,0)*FG286+VLOOKUP($B$3,'Coeff EC7'!$T$65:$X$85,3,0)*Model0.1C!FH286)/0.9</f>
        <v>#N/A</v>
      </c>
      <c r="FK286" s="102" t="e">
        <f t="shared" si="498"/>
        <v>#N/A</v>
      </c>
      <c r="FL286" s="102" t="e">
        <f t="shared" si="499"/>
        <v>#N/A</v>
      </c>
      <c r="FM286" s="414" t="e">
        <f>IF(FM285=0,0,IF(AND(FI286&gt;charge_ELS_quasi,FJ286&gt;Charge_ELS_freq,FK286&gt;charge_ELU,FL286&gt;charge_ELA,$B286&gt;NDC!$H$22-0.1+MIN(3*$FM$12,1.5)),0,1))</f>
        <v>#N/A</v>
      </c>
    </row>
    <row r="287" spans="1:169">
      <c r="A287" s="96">
        <f t="shared" si="467"/>
        <v>72.600000000001558</v>
      </c>
      <c r="B287" s="97">
        <v>27.4</v>
      </c>
      <c r="C287" s="81">
        <f>IF(B287&lt;=Hypothèses!$C$7,Hypothèses!$A$7,IF(B287&lt;=Hypothèses!$C$8,Hypothèses!$A$8,IF(B287&lt;=Hypothèses!$C$9,Hypothèses!$A$9,IF(B287&lt;=Hypothèses!$C$10,Hypothèses!$A$10,IF(B287&lt;=Hypothèses!$C$11,Hypothèses!$A$11,IF(B287&lt;=Hypothèses!$C$12,Hypothèses!$A$12,IF(B287&lt;=Hypothèses!$C$13,Hypothèses!$A$13,IF(B287&lt;=Hypothèses!$C$14,Hypothèses!$A$14,IF(B287&lt;=Hypothèses!$C$15,Hypothèses!$A$15,IF(B287&lt;=Hypothèses!$C$16,Hypothèses!$A$16,IF(B287&lt;=Hypothèses!$C$17,Hypothèses!$A$17,IF(B287&lt;=Hypothèses!$C$18,Hypothèses!$A$18,C286))))))))))))</f>
        <v>11</v>
      </c>
      <c r="D287" s="82" t="str">
        <f>IF(B287&lt;=Hypothèses!$C$7,Hypothèses!$R$7,IF(B287&lt;=Hypothèses!$C$8,Hypothèses!$R$8,IF(B287&lt;=Hypothèses!$C$9,Hypothèses!$R$9,IF(B287&lt;=Hypothèses!$C$10,Hypothèses!$R$10,IF(B287&lt;=Hypothèses!$C$11,Hypothèses!$R$11,IF(B287&lt;=Hypothèses!$C$12,Hypothèses!$R$12,IF(B287&lt;=Hypothèses!$C$13,Hypothèses!$R$13,IF(B287&lt;=Hypothèses!$C$14,Hypothèses!$R$14,IF(B287&lt;=Hypothèses!$C$15,Hypothèses!$R$15,IF(B287&lt;=Hypothèses!$C$16,Hypothèses!$R$16,IF(B287&lt;=Hypothèses!$C$17,Hypothèses!$R$17,IF(B287&lt;=Hypothèses!$C$18,Hypothèses!$R$18,D286))))))))))))</f>
        <v>Pressio.</v>
      </c>
      <c r="E287" s="82" t="e">
        <f>IF(B287&lt;=Hypothèses!$C$7,Hypothèses!$G$7,IF(B287&lt;=Hypothèses!$C$8,Hypothèses!$G$8,IF(B287&lt;=Hypothèses!$C$9,Hypothèses!$G$9,IF(B287&lt;=Hypothèses!$C$10,Hypothèses!$G$10,IF(B287&lt;=Hypothèses!$C$11,Hypothèses!$G$11,IF(B287&lt;=Hypothèses!$C$12,Hypothèses!$G$12,IF(B287&lt;=Hypothèses!$C$13,Hypothèses!$G$13,IF(B287&lt;=Hypothèses!$C$14,Hypothèses!$G$14,IF(B287&lt;=Hypothèses!$C$15,Hypothèses!$G$15,IF(B287&lt;=Hypothèses!$C$16,Hypothèses!$G$16,IF(B287&lt;=Hypothèses!$C$17,Hypothèses!$G$17,IF(B287&lt;=Hypothèses!$C$18,Hypothèses!$G$18,E286))))))))))))</f>
        <v>#N/A</v>
      </c>
      <c r="F287" s="82" t="str">
        <f>IF(B287&lt;=Hypothèses!$C$7,Hypothèses!$F$7,IF(B287&lt;=Hypothèses!$C$8,Hypothèses!$F$8,IF(B287&lt;=Hypothèses!$C$9,Hypothèses!$F$9,IF(B287&lt;=Hypothèses!$C$10,Hypothèses!$F$10,IF(B287&lt;=Hypothèses!$C$11,Hypothèses!$F$11,IF(B287&lt;=Hypothèses!$C$12,Hypothèses!$F$12,IF(B287&lt;=Hypothèses!$C$13,Hypothèses!$F$13,IF(B287&lt;=Hypothèses!$C$14,Hypothèses!$F$14,IF(B287&lt;=Hypothèses!$C$15,Hypothèses!$F$15,IF(B287&lt;=Hypothèses!$C$16,Hypothèses!$F$16,IF(B287&lt;=Hypothèses!$C$17,Hypothèses!$F$17,IF(B287&lt;=Hypothèses!$C$18,Hypothèses!$F$18,F286))))))))))))</f>
        <v/>
      </c>
      <c r="G287" s="91">
        <f t="array" ref="G287">INDEX('Coeff EC7'!$U$7:$X$27,
MATCH(Model0.1C!$B$3,'Coeff EC7'!$T$7:$T$27,0),
MATCH(Model0.1C!$D287&amp;Model0.1C!$B$4,
'Coeff EC7'!$U$6:$X$6&amp;
'Coeff EC7'!$U$5:$X$5,0))</f>
        <v>1.1499999999999999</v>
      </c>
      <c r="H287" s="91">
        <f t="array" ref="H287">INDEX('Coeff EC7'!$Y$7:$AB$27,
MATCH(Model0.1C!$B$3,'Coeff EC7'!$T$7:$T$27,0),
MATCH(Model0.1C!$D287&amp;Model0.1C!$B$4,
'Coeff EC7'!$Y$6:$AB$6&amp;
'Coeff EC7'!$Y$5:$AB$5,0))</f>
        <v>1.4</v>
      </c>
      <c r="I287" s="83" t="e">
        <f>IF(B287&lt;=Hypothèses!$C$7,Hypothèses!$P$7,IF(B287&lt;=Hypothèses!$C$8,Hypothèses!$P$8,IF(B287&lt;=Hypothèses!$C$9,Hypothèses!$P$9,IF(B287&lt;=Hypothèses!$C$10,Hypothèses!$P$10,IF(B287&lt;=Hypothèses!$C$11,Hypothèses!$P$11,IF(B287&lt;=Hypothèses!$C$12,Hypothèses!$P$12,IF(B287&lt;=Hypothèses!$C$13,Hypothèses!$P$13,IF(B287&lt;=Hypothèses!$C$14,Hypothèses!$P$14,IF(B287&lt;=Hypothèses!$C$15,Hypothèses!$P$15,IF(B287&lt;=Hypothèses!$C$16,Hypothèses!$P$16,IF(B287&lt;=Hypothèses!$C$17,Hypothèses!$P$17,IF(B287&lt;=Hypothèses!$C$18,Hypothèses!$P$18,I286))))))))))))</f>
        <v>#N/A</v>
      </c>
      <c r="J287" s="91" t="e">
        <f t="array" ref="J287">INDEX('Coeff EC7'!$D$33:$Q$33,1,MATCH(D287&amp;E287,'Coeff EC7'!$D$31:$Q$31&amp;'Coeff EC7'!$D$32:$Q$32,0))</f>
        <v>#N/A</v>
      </c>
      <c r="K287" s="91" t="e">
        <f t="array" ref="K287">INDEX('Coeff EC7'!$D$34:$Q$34,1,MATCH(D287&amp;E287,'Coeff EC7'!$D$31:$Q$31&amp;'Coeff EC7'!$D$32:$Q$32,0))</f>
        <v>#N/A</v>
      </c>
      <c r="L287" s="91" t="e">
        <f t="array" ref="L287">INDEX('Coeff EC7'!$D$35:$Q$35,1,MATCH(D287&amp;E287,'Coeff EC7'!$D$31:$Q$31&amp;'Coeff EC7'!$D$32:$Q$32,0))</f>
        <v>#N/A</v>
      </c>
      <c r="M287" s="98" t="e">
        <f t="shared" si="431"/>
        <v>#N/A</v>
      </c>
      <c r="N287" s="99" t="e">
        <f t="array" ref="N287">INDEX('Coeff EC7'!$D$7:$Q$27,MATCH($B$3,'Coeff EC7'!$C$7:$C$27,0),MATCH(D287&amp;E287,'Coeff EC7'!$D$5:$Q$5&amp;'Coeff EC7'!$D$6:$Q$6,0))</f>
        <v>#N/A</v>
      </c>
      <c r="O287" s="99" t="e">
        <f t="array" ref="O287">INDEX('Coeff EC7'!$D$41:$Q$61,MATCH($B$3,'Coeff EC7'!$C$41:$C$61,0),MATCH(D287&amp;E287,'Coeff EC7'!$D$39:$Q$39&amp;'Coeff EC7'!$D$40:$Q$40,0))</f>
        <v>#N/A</v>
      </c>
      <c r="P287" s="30" t="e">
        <f t="shared" si="468"/>
        <v>#N/A</v>
      </c>
      <c r="Q287" s="100" t="e">
        <f t="shared" si="433"/>
        <v>#N/A</v>
      </c>
      <c r="R287" s="86" t="b">
        <f t="shared" si="434"/>
        <v>0</v>
      </c>
      <c r="S287" s="86">
        <f t="shared" si="432"/>
        <v>0.5</v>
      </c>
      <c r="T287" s="86">
        <f t="shared" si="435"/>
        <v>0.5</v>
      </c>
      <c r="U287" s="30" t="e">
        <f t="shared" ca="1" si="469"/>
        <v>#DIV/0!</v>
      </c>
      <c r="V287" s="85" t="str">
        <f>IF(B287&lt;=Hypothèses!$V$7,Hypothèses!$W$7,IF(B287&lt;=Hypothèses!$V$8,Hypothèses!$W$8,IF(B287&lt;=Hypothèses!$V$9,Hypothèses!$W$9,IF(B287&lt;=Hypothèses!$V$10,Hypothèses!$W$10,IF(B287&lt;=Hypothèses!$V$11,Hypothèses!$W$11,IF(B287&lt;=Hypothèses!$V$12,Hypothèses!$W$12,IF(B287&lt;=Hypothèses!$V$13,Hypothèses!$W$13,IF(B287&lt;=Hypothèses!$V$14,Hypothèses!$W$14,IF(B287&lt;=Hypothèses!$V$15,Hypothèses!$W$15,IF(B287&lt;=Hypothèses!$V$16,Hypothèses!$W$16,IF(B287&lt;=Hypothèses!$V$17,Hypothèses!$W$17,IF(B287&lt;=Hypothèses!$V$18,Hypothèses!$W$18,""))))))))))))</f>
        <v/>
      </c>
      <c r="W287" s="87" t="e">
        <f t="shared" ca="1" si="516"/>
        <v>#DIV/0!</v>
      </c>
      <c r="X287" s="88" t="str">
        <f>IF(B287&lt;=Hypothèses!$V$7,Hypothèses!$X$7,IF(B287&lt;=Hypothèses!$V$8,Hypothèses!$X$8,IF(B287&lt;=Hypothèses!$V$9,Hypothèses!$X$9,IF(B287&lt;=Hypothèses!$V$10,Hypothèses!$X$10,IF(B287&lt;=Hypothèses!$V$11,Hypothèses!$X$11,IF(B287&lt;=Hypothèses!$V$12,Hypothèses!$X$12,IF(B287&lt;=Hypothèses!$V$13,Hypothèses!$X$13,IF(B287&lt;=Hypothèses!$V$14,Hypothèses!$X$14,IF(B287&lt;=Hypothèses!$V$15,Hypothèses!$X$15,IF(B287&lt;=Hypothèses!$V$16,Hypothèses!$X$16,IF(B287&lt;=Hypothèses!$U$17,Hypothèses!$W$17,IF(B287&lt;=Hypothèses!$U$18,Hypothèses!$W$18,""))))))))))))</f>
        <v/>
      </c>
      <c r="Y287" s="95" t="e">
        <f t="shared" ca="1" si="436"/>
        <v>#DIV/0!</v>
      </c>
      <c r="Z287" s="101" t="e">
        <f t="shared" si="437"/>
        <v>#N/A</v>
      </c>
      <c r="AA287" s="91" t="e">
        <f t="shared" si="438"/>
        <v>#N/A</v>
      </c>
      <c r="AB287" s="30" t="e">
        <f t="shared" si="500"/>
        <v>#N/A</v>
      </c>
      <c r="AC287" s="30" t="e">
        <f t="shared" si="501"/>
        <v>#N/A</v>
      </c>
      <c r="AD287" s="31" t="e">
        <f>IF(OR(Hypothèses!$B$4=17,Hypothèses!$B$4=18,Hypothèses!$B$4=19,Hypothèses!$B$4=20),
IF($D287="Pressio.",
IF(OR($E287=3,$E287=1,$E287=4),AC287,AB287),
IF($D287="Pénétro.",
IF(OR($E287=3,$E287=1,$E287=4),AC287,AB287))),IF($D287="Pressio.",
IF($E287=3,AC287,AB287),
IF($D287="Pénétro.",
IF($E287=4,AC287,AB287))))</f>
        <v>#N/A</v>
      </c>
      <c r="AE287" s="31" t="e">
        <f>(IF(OR(Hypothèses!$B$4=17,Hypothèses!$B$4=18,Hypothèses!$B$4=19,Hypothèses!$B$4=20),
IF($D287="Pressio.",
IF(OR($E287=3,$E287=1,$E287=4),(PI()*AE$12^2)/4*(AA287*$W287*1000)/($H287*$B$5),(PI()*AE$12^2)/4*(AA287*$W287*1000)/($G287*$B$5)),
IF($D287="Pénétro.",
IF(OR($E287=4,$E287=1,$E287=5),(PI()*AE$12^2)/4*(AA287*$W287*1000)/($H287*$B$5),(PI()*AE$12^2)/4*(AA287*$W287*1000)/($G287*$B$5)))),
IF($D287="Pressio.",
IF($E287=3,(PI()*AE$12^2)/4*(AA287*$W287*1000)/($H287*$B$5),(PI()*AE$12^2)/4*(AA287*$W287*1000)/($G287*$B$5)),
IF($D287="Pénétro.",
IF($E287=4,(PI()*AE$12^2)/4*(AA287*$W287*1000)/($H287*$B$5),(PI()*AE$12^2)/4*(AA287*$W287*1000)/($G287*$B$5))))))/10</f>
        <v>#N/A</v>
      </c>
      <c r="AF287" s="102" t="e">
        <f>(VLOOKUP($B$3,'Coeff EC7'!$T$39:$X$59,2,0)*AD287+VLOOKUP($B$3,'Coeff EC7'!$T$65:$X$85,2,0)*Model0.1C!AE287)/1.1</f>
        <v>#N/A</v>
      </c>
      <c r="AG287" s="102" t="e">
        <f>(VLOOKUP($B$3,'Coeff EC7'!$T$39:$X$59,3,0)*AD287+VLOOKUP($B$3,'Coeff EC7'!$T$65:$X$85,3,0)*Model0.1C!AE287)/0.9</f>
        <v>#N/A</v>
      </c>
      <c r="AH287" s="102" t="e">
        <f t="shared" si="439"/>
        <v>#N/A</v>
      </c>
      <c r="AI287" s="102" t="e">
        <f t="shared" si="440"/>
        <v>#N/A</v>
      </c>
      <c r="AJ287" s="414" t="e">
        <f>IF(AJ286=0,0,IF(AND(AF287&gt;charge_ELS_quasi,AG287&gt;Charge_ELS_freq,AH287&gt;charge_ELU,AI287&gt;charge_ELA,$B287&gt;NDC!$H$22-0.1+MIN(3*$AJ$12,1.5)),0,1))</f>
        <v>#N/A</v>
      </c>
      <c r="AK287" s="86" t="b">
        <f t="shared" si="441"/>
        <v>0</v>
      </c>
      <c r="AL287" s="86">
        <f t="shared" si="470"/>
        <v>0.5</v>
      </c>
      <c r="AM287" s="86">
        <f t="shared" si="442"/>
        <v>0.5</v>
      </c>
      <c r="AN287" s="30" t="e">
        <f t="shared" ca="1" si="471"/>
        <v>#DIV/0!</v>
      </c>
      <c r="AO287" s="85" t="e">
        <f ca="1">IF(U287&lt;=Hypothèses!$V$7,Hypothèses!$W$7,IF(U287&lt;=Hypothèses!$V$8,Hypothèses!$W$8,IF(U287&lt;=Hypothèses!$V$9,Hypothèses!$W$9,IF(U287&lt;=Hypothèses!$V$10,Hypothèses!$W$10,IF(U287&lt;=Hypothèses!$V$11,Hypothèses!$W$11,IF(U287&lt;=Hypothèses!$V$12,Hypothèses!$W$12,IF(U287&lt;=Hypothèses!$V$13,Hypothèses!$W$13,IF(U287&lt;=Hypothèses!$V$14,Hypothèses!$W$14,IF(U287&lt;=Hypothèses!$V$15,Hypothèses!$W$15,IF(U287&lt;=Hypothèses!$V$16,Hypothèses!$W$16,IF(U287&lt;=Hypothèses!$V$17,Hypothèses!$W$17,IF(U287&lt;=Hypothèses!$V$18,Hypothèses!$W$18,""))))))))))))</f>
        <v>#DIV/0!</v>
      </c>
      <c r="AP287" s="87" t="e">
        <f t="shared" ca="1" si="517"/>
        <v>#DIV/0!</v>
      </c>
      <c r="AQ287" s="88" t="e">
        <f ca="1">IF(U287&lt;=Hypothèses!$V$7,Hypothèses!$X$7,IF(U287&lt;=Hypothèses!$V$8,Hypothèses!$X$8,IF(U287&lt;=Hypothèses!$V$9,Hypothèses!$X$9,IF(U287&lt;=Hypothèses!$V$10,Hypothèses!$X$10,IF(U287&lt;=Hypothèses!$V$11,Hypothèses!$X$11,IF(U287&lt;=Hypothèses!$V$12,Hypothèses!$X$12,IF(U287&lt;=Hypothèses!$V$13,Hypothèses!$X$13,IF(U287&lt;=Hypothèses!$V$14,Hypothèses!$X$14,IF(U287&lt;=Hypothèses!$V$15,Hypothèses!$X$15,IF(U287&lt;=Hypothèses!$V$16,Hypothèses!$X$16,IF(U287&lt;=Hypothèses!$U$17,Hypothèses!$W$17,IF(U287&lt;=Hypothèses!$U$18,Hypothèses!$W$18,""))))))))))))</f>
        <v>#DIV/0!</v>
      </c>
      <c r="AR287" s="95" t="e">
        <f t="shared" ca="1" si="472"/>
        <v>#DIV/0!</v>
      </c>
      <c r="AS287" s="101" t="e">
        <f t="shared" si="524"/>
        <v>#N/A</v>
      </c>
      <c r="AT287" s="91" t="e">
        <f t="shared" si="443"/>
        <v>#N/A</v>
      </c>
      <c r="AU287" s="30" t="e">
        <f t="shared" si="502"/>
        <v>#N/A</v>
      </c>
      <c r="AV287" s="30" t="e">
        <f t="shared" si="503"/>
        <v>#N/A</v>
      </c>
      <c r="AW287" s="31" t="e">
        <f>IF(OR(Hypothèses!$B$4=17,Hypothèses!$B$4=18,Hypothèses!$B$4=19,Hypothèses!$B$4=20),
IF($D287="Pressio.",
IF(OR($E287=3,$E287=1,$E287=4),AV287,AU287),
IF($D287="Pénétro.",
IF(OR($E287=3,$E287=1,$E287=4),AV287,AU287))),IF($D287="Pressio.",
IF($E287=3,AV287,AU287),
IF($D287="Pénétro.",
IF($E287=4,AV287,AU287))))</f>
        <v>#N/A</v>
      </c>
      <c r="AX287" s="31" t="e">
        <f>(IF(OR(Hypothèses!$B$4=17,Hypothèses!$B$4=18,Hypothèses!$B$4=19,Hypothèses!$B$4=20),
IF($D287="Pressio.",
IF(OR($E287=3,$E287=1,$E287=4),(PI()*AX$12^2)/4*(AT287*$W287*1000)/($H287*$B$5),(PI()*AX$12^2)/4*(AT287*$W287*1000)/($G287*$B$5)),
IF($D287="Pénétro.",
IF(OR($E287=4,$E287=1,$E287=5),(PI()*AX$12^2)/4*(AT287*$W287*1000)/($H287*$B$5),(PI()*AX$12^2)/4*(AT287*$W287*1000)/($G287*$B$5)))),
IF($D287="Pressio.",
IF($E287=3,(PI()*AX$12^2)/4*(AT287*$W287*1000)/($H287*$B$5),(PI()*AX$12^2)/4*(AT287*$W287*1000)/($G287*$B$5)),
IF($D287="Pénétro.",
IF($E287=4,(PI()*AX$12^2)/4*(AT287*$W287*1000)/($H287*$B$5),(PI()*AX$12^2)/4*(AT287*$W287*1000)/($G287*$B$5))))))/10</f>
        <v>#N/A</v>
      </c>
      <c r="AY287" s="102" t="e">
        <f>(VLOOKUP($B$3,'Coeff EC7'!$T$39:$X$59,2,0)*AW287+VLOOKUP($B$3,'Coeff EC7'!$T$65:$X$85,2,0)*Model0.1C!AX287)/1.1</f>
        <v>#N/A</v>
      </c>
      <c r="AZ287" s="102" t="e">
        <f>(VLOOKUP($B$3,'Coeff EC7'!$T$39:$X$59,3,0)*AW287+VLOOKUP($B$3,'Coeff EC7'!$T$65:$X$85,3,0)*Model0.1C!AX287)/0.9</f>
        <v>#N/A</v>
      </c>
      <c r="BA287" s="102" t="e">
        <f t="shared" si="473"/>
        <v>#N/A</v>
      </c>
      <c r="BB287" s="102" t="e">
        <f t="shared" si="474"/>
        <v>#N/A</v>
      </c>
      <c r="BC287" s="414" t="e">
        <f>IF(BC286=0,0,IF(AND(AY287&gt;charge_ELS_quasi,AZ287&gt;Charge_ELS_freq,BA287&gt;charge_ELU,BB287&gt;charge_ELA,$B287&gt;NDC!$H$22-0.1+MIN(3*$BC$12,1.5)),0,1))</f>
        <v>#N/A</v>
      </c>
      <c r="BD287" s="86" t="b">
        <f t="shared" si="444"/>
        <v>0</v>
      </c>
      <c r="BE287" s="86">
        <f t="shared" si="475"/>
        <v>0.5</v>
      </c>
      <c r="BF287" s="86">
        <f t="shared" si="445"/>
        <v>0.5</v>
      </c>
      <c r="BG287" s="30" t="e">
        <f t="shared" ca="1" si="476"/>
        <v>#DIV/0!</v>
      </c>
      <c r="BH287" s="85" t="e">
        <f ca="1">IF(AN287&lt;=Hypothèses!$V$7,Hypothèses!$W$7,IF(AN287&lt;=Hypothèses!$V$8,Hypothèses!$W$8,IF(AN287&lt;=Hypothèses!$V$9,Hypothèses!$W$9,IF(AN287&lt;=Hypothèses!$V$10,Hypothèses!$W$10,IF(AN287&lt;=Hypothèses!$V$11,Hypothèses!$W$11,IF(AN287&lt;=Hypothèses!$V$12,Hypothèses!$W$12,IF(AN287&lt;=Hypothèses!$V$13,Hypothèses!$W$13,IF(AN287&lt;=Hypothèses!$V$14,Hypothèses!$W$14,IF(AN287&lt;=Hypothèses!$V$15,Hypothèses!$W$15,IF(AN287&lt;=Hypothèses!$V$16,Hypothèses!$W$16,IF(AN287&lt;=Hypothèses!$V$17,Hypothèses!$W$17,IF(AN287&lt;=Hypothèses!$V$18,Hypothèses!$W$18,""))))))))))))</f>
        <v>#DIV/0!</v>
      </c>
      <c r="BI287" s="87" t="e">
        <f t="shared" ca="1" si="518"/>
        <v>#DIV/0!</v>
      </c>
      <c r="BJ287" s="88" t="e">
        <f ca="1">IF(AN287&lt;=Hypothèses!$V$7,Hypothèses!$X$7,IF(AN287&lt;=Hypothèses!$V$8,Hypothèses!$X$8,IF(AN287&lt;=Hypothèses!$V$9,Hypothèses!$X$9,IF(AN287&lt;=Hypothèses!$V$10,Hypothèses!$X$10,IF(AN287&lt;=Hypothèses!$V$11,Hypothèses!$X$11,IF(AN287&lt;=Hypothèses!$V$12,Hypothèses!$X$12,IF(AN287&lt;=Hypothèses!$V$13,Hypothèses!$X$13,IF(AN287&lt;=Hypothèses!$V$14,Hypothèses!$X$14,IF(AN287&lt;=Hypothèses!$V$15,Hypothèses!$X$15,IF(AN287&lt;=Hypothèses!$V$16,Hypothèses!$X$16,IF(AN287&lt;=Hypothèses!$U$17,Hypothèses!$W$17,IF(AN287&lt;=Hypothèses!$U$18,Hypothèses!$W$18,""))))))))))))</f>
        <v>#DIV/0!</v>
      </c>
      <c r="BK287" s="95" t="e">
        <f t="shared" ca="1" si="477"/>
        <v>#DIV/0!</v>
      </c>
      <c r="BL287" s="101" t="e">
        <f t="shared" si="525"/>
        <v>#N/A</v>
      </c>
      <c r="BM287" s="91" t="e">
        <f t="shared" si="446"/>
        <v>#N/A</v>
      </c>
      <c r="BN287" s="30" t="e">
        <f t="shared" si="504"/>
        <v>#N/A</v>
      </c>
      <c r="BO287" s="30" t="e">
        <f t="shared" si="505"/>
        <v>#N/A</v>
      </c>
      <c r="BP287" s="31" t="e">
        <f>IF(OR(Hypothèses!$B$4=17,Hypothèses!$B$4=18,Hypothèses!$B$4=19,Hypothèses!$B$4=20),
IF($D287="Pressio.",
IF(OR($E287=3,$E287=1,$E287=4),BO287,BN287),
IF($D287="Pénétro.",
IF(OR($E287=3,$E287=1,$E287=4),BO287,BN287))),IF($D287="Pressio.",
IF($E287=3,BO287,BN287),
IF($D287="Pénétro.",
IF($E287=4,BO287,BN287))))</f>
        <v>#N/A</v>
      </c>
      <c r="BQ287" s="31" t="e">
        <f>(IF(OR(Hypothèses!$B$4=17,Hypothèses!$B$4=18,Hypothèses!$B$4=19,Hypothèses!$B$4=20),
IF($D287="Pressio.",
IF(OR($E287=3,$E287=1,$E287=4),(PI()*BQ$12^2)/4*(BM287*$W287*1000)/($H287*$B$5),(PI()*BQ$12^2)/4*(BM287*$W287*1000)/($G287*$B$5)),
IF($D287="Pénétro.",
IF(OR($E287=4,$E287=1,$E287=5),(PI()*BQ$12^2)/4*(BM287*$W287*1000)/($H287*$B$5),(PI()*BQ$12^2)/4*(BM287*$W287*1000)/($G287*$B$5)))),
IF($D287="Pressio.",
IF($E287=3,(PI()*BQ$12^2)/4*(BM287*$W287*1000)/($H287*$B$5),(PI()*BQ$12^2)/4*(BM287*$W287*1000)/($G287*$B$5)),
IF($D287="Pénétro.",
IF($E287=4,(PI()*BQ$12^2)/4*(BM287*$W287*1000)/($H287*$B$5),(PI()*BQ$12^2)/4*(BM287*$W287*1000)/($G287*$B$5))))))/10</f>
        <v>#N/A</v>
      </c>
      <c r="BR287" s="102" t="e">
        <f>(VLOOKUP($B$3,'Coeff EC7'!$T$39:$X$59,2,0)*BP287+VLOOKUP($B$3,'Coeff EC7'!$T$65:$X$85,2,0)*Model0.1C!BQ287)/1.1</f>
        <v>#N/A</v>
      </c>
      <c r="BS287" s="102" t="e">
        <f>(VLOOKUP($B$3,'Coeff EC7'!$T$39:$X$59,3,0)*BP287+VLOOKUP($B$3,'Coeff EC7'!$T$65:$X$85,3,0)*Model0.1C!BQ287)/0.9</f>
        <v>#N/A</v>
      </c>
      <c r="BT287" s="102" t="e">
        <f t="shared" si="478"/>
        <v>#N/A</v>
      </c>
      <c r="BU287" s="102" t="e">
        <f t="shared" si="479"/>
        <v>#N/A</v>
      </c>
      <c r="BV287" s="414" t="e">
        <f>IF(BV286=0,0,IF(AND(BR287&gt;charge_ELS_quasi,BS287&gt;Charge_ELS_freq,BT287&gt;charge_ELU,BU287&gt;charge_ELA,$B287&gt;NDC!$H$22-0.1+MIN(3*$BV$12,1.5)),0,1))</f>
        <v>#N/A</v>
      </c>
      <c r="BW287" s="86" t="b">
        <f t="shared" si="447"/>
        <v>0</v>
      </c>
      <c r="BX287" s="86">
        <f t="shared" si="448"/>
        <v>0.5</v>
      </c>
      <c r="BY287" s="86">
        <f t="shared" si="449"/>
        <v>0.5</v>
      </c>
      <c r="BZ287" s="30" t="e">
        <f t="shared" ca="1" si="480"/>
        <v>#DIV/0!</v>
      </c>
      <c r="CA287" s="85" t="e">
        <f ca="1">IF(BG287&lt;=Hypothèses!$V$7,Hypothèses!$W$7,IF(BG287&lt;=Hypothèses!$V$8,Hypothèses!$W$8,IF(BG287&lt;=Hypothèses!$V$9,Hypothèses!$W$9,IF(BG287&lt;=Hypothèses!$V$10,Hypothèses!$W$10,IF(BG287&lt;=Hypothèses!$V$11,Hypothèses!$W$11,IF(BG287&lt;=Hypothèses!$V$12,Hypothèses!$W$12,IF(BG287&lt;=Hypothèses!$V$13,Hypothèses!$W$13,IF(BG287&lt;=Hypothèses!$V$14,Hypothèses!$W$14,IF(BG287&lt;=Hypothèses!$V$15,Hypothèses!$W$15,IF(BG287&lt;=Hypothèses!$V$16,Hypothèses!$W$16,IF(BG287&lt;=Hypothèses!$V$17,Hypothèses!$W$17,IF(BG287&lt;=Hypothèses!$V$18,Hypothèses!$W$18,""))))))))))))</f>
        <v>#DIV/0!</v>
      </c>
      <c r="CB287" s="87" t="e">
        <f t="shared" ca="1" si="519"/>
        <v>#DIV/0!</v>
      </c>
      <c r="CC287" s="88" t="e">
        <f ca="1">IF(BG287&lt;=Hypothèses!$V$7,Hypothèses!$X$7,IF(BG287&lt;=Hypothèses!$V$8,Hypothèses!$X$8,IF(BG287&lt;=Hypothèses!$V$9,Hypothèses!$X$9,IF(BG287&lt;=Hypothèses!$V$10,Hypothèses!$X$10,IF(BG287&lt;=Hypothèses!$V$11,Hypothèses!$X$11,IF(BG287&lt;=Hypothèses!$V$12,Hypothèses!$X$12,IF(BG287&lt;=Hypothèses!$V$13,Hypothèses!$X$13,IF(BG287&lt;=Hypothèses!$V$14,Hypothèses!$X$14,IF(BG287&lt;=Hypothèses!$V$15,Hypothèses!$X$15,IF(BG287&lt;=Hypothèses!$V$16,Hypothèses!$X$16,IF(BG287&lt;=Hypothèses!$U$17,Hypothèses!$W$17,IF(BG287&lt;=Hypothèses!$U$18,Hypothèses!$W$18,""))))))))))))</f>
        <v>#DIV/0!</v>
      </c>
      <c r="CD287" s="95" t="e">
        <f t="shared" ca="1" si="481"/>
        <v>#DIV/0!</v>
      </c>
      <c r="CE287" s="101" t="e">
        <f t="shared" si="526"/>
        <v>#N/A</v>
      </c>
      <c r="CF287" s="91" t="e">
        <f t="shared" si="450"/>
        <v>#N/A</v>
      </c>
      <c r="CG287" s="30" t="e">
        <f t="shared" si="506"/>
        <v>#N/A</v>
      </c>
      <c r="CH287" s="30" t="e">
        <f t="shared" si="507"/>
        <v>#N/A</v>
      </c>
      <c r="CI287" s="31" t="e">
        <f>IF(OR(Hypothèses!$B$4=17,Hypothèses!$B$4=18,Hypothèses!$B$4=19,Hypothèses!$B$4=20),
IF($D287="Pressio.",
IF(OR($E287=3,$E287=1,$E287=4),CH287,CG287),
IF($D287="Pénétro.",
IF(OR($E287=3,$E287=1,$E287=4),CH287,CG287))),IF($D287="Pressio.",
IF($E287=3,CH287,CG287),
IF($D287="Pénétro.",
IF($E287=4,CH287,CG287))))</f>
        <v>#N/A</v>
      </c>
      <c r="CJ287" s="31" t="e">
        <f>(IF(OR(Hypothèses!$B$4=17,Hypothèses!$B$4=18,Hypothèses!$B$4=19,Hypothèses!$B$4=20),
IF($D287="Pressio.",
IF(OR($E287=3,$E287=1,$E287=4),(PI()*CJ$12^2)/4*(CF287*$W287*1000)/($H287*$B$5),(PI()*CJ$12^2)/4*(CF287*$W287*1000)/($G287*$B$5)),
IF($D287="Pénétro.",
IF(OR($E287=4,$E287=1,$E287=5),(PI()*CJ$12^2)/4*(CF287*$W287*1000)/($H287*$B$5),(PI()*CJ$12^2)/4*(CF287*$W287*1000)/($G287*$B$5)))),
IF($D287="Pressio.",
IF($E287=3,(PI()*CJ$12^2)/4*(CF287*$W287*1000)/($H287*$B$5),(PI()*CJ$12^2)/4*(CF287*$W287*1000)/($G287*$B$5)),
IF($D287="Pénétro.",
IF($E287=4,(PI()*CJ$12^2)/4*(CF287*$W287*1000)/($H287*$B$5),(PI()*CJ$12^2)/4*(CF287*$W287*1000)/($G287*$B$5))))))/10</f>
        <v>#N/A</v>
      </c>
      <c r="CK287" s="102" t="e">
        <f>(VLOOKUP($B$3,'Coeff EC7'!$T$39:$X$59,2,0)*CI287+VLOOKUP($B$3,'Coeff EC7'!$T$65:$X$85,2,0)*Model0.1C!CJ287)/1.1</f>
        <v>#N/A</v>
      </c>
      <c r="CL287" s="102" t="e">
        <f>(VLOOKUP($B$3,'Coeff EC7'!$T$39:$X$59,3,0)*CI287+VLOOKUP($B$3,'Coeff EC7'!$T$65:$X$85,3,0)*Model0.1C!CJ287)/0.9</f>
        <v>#N/A</v>
      </c>
      <c r="CM287" s="102" t="e">
        <f t="shared" si="482"/>
        <v>#N/A</v>
      </c>
      <c r="CN287" s="102" t="e">
        <f t="shared" si="483"/>
        <v>#N/A</v>
      </c>
      <c r="CO287" s="414" t="e">
        <f>IF(CO286=0,0,IF(AND(CK287&gt;charge_ELS_quasi,CL287&gt;Charge_ELS_freq,CM287&gt;charge_ELU,CN287&gt;charge_ELA,$B287&gt;NDC!$H$22-0.1+MIN(3*$CO$12,1.5)),0,1))</f>
        <v>#N/A</v>
      </c>
      <c r="CP287" s="86" t="b">
        <f t="shared" si="451"/>
        <v>0</v>
      </c>
      <c r="CQ287" s="86">
        <f t="shared" si="452"/>
        <v>0.5</v>
      </c>
      <c r="CR287" s="86">
        <f t="shared" si="453"/>
        <v>0.5</v>
      </c>
      <c r="CS287" s="30" t="e">
        <f t="shared" ca="1" si="484"/>
        <v>#DIV/0!</v>
      </c>
      <c r="CT287" s="85" t="e">
        <f ca="1">IF(BZ287&lt;=Hypothèses!$V$7,Hypothèses!$W$7,IF(BZ287&lt;=Hypothèses!$V$8,Hypothèses!$W$8,IF(BZ287&lt;=Hypothèses!$V$9,Hypothèses!$W$9,IF(BZ287&lt;=Hypothèses!$V$10,Hypothèses!$W$10,IF(BZ287&lt;=Hypothèses!$V$11,Hypothèses!$W$11,IF(BZ287&lt;=Hypothèses!$V$12,Hypothèses!$W$12,IF(BZ287&lt;=Hypothèses!$V$13,Hypothèses!$W$13,IF(BZ287&lt;=Hypothèses!$V$14,Hypothèses!$W$14,IF(BZ287&lt;=Hypothèses!$V$15,Hypothèses!$W$15,IF(BZ287&lt;=Hypothèses!$V$16,Hypothèses!$W$16,IF(BZ287&lt;=Hypothèses!$V$17,Hypothèses!$W$17,IF(BZ287&lt;=Hypothèses!$V$18,Hypothèses!$W$18,""))))))))))))</f>
        <v>#DIV/0!</v>
      </c>
      <c r="CU287" s="87" t="e">
        <f t="shared" ca="1" si="520"/>
        <v>#DIV/0!</v>
      </c>
      <c r="CV287" s="88" t="e">
        <f ca="1">IF(BZ287&lt;=Hypothèses!$V$7,Hypothèses!$X$7,IF(BZ287&lt;=Hypothèses!$V$8,Hypothèses!$X$8,IF(BZ287&lt;=Hypothèses!$V$9,Hypothèses!$X$9,IF(BZ287&lt;=Hypothèses!$V$10,Hypothèses!$X$10,IF(BZ287&lt;=Hypothèses!$V$11,Hypothèses!$X$11,IF(BZ287&lt;=Hypothèses!$V$12,Hypothèses!$X$12,IF(BZ287&lt;=Hypothèses!$V$13,Hypothèses!$X$13,IF(BZ287&lt;=Hypothèses!$V$14,Hypothèses!$X$14,IF(BZ287&lt;=Hypothèses!$V$15,Hypothèses!$X$15,IF(BZ287&lt;=Hypothèses!$V$16,Hypothèses!$X$16,IF(BZ287&lt;=Hypothèses!$U$17,Hypothèses!$W$17,IF(BZ287&lt;=Hypothèses!$U$18,Hypothèses!$W$18,""))))))))))))</f>
        <v>#DIV/0!</v>
      </c>
      <c r="CW287" s="95" t="e">
        <f t="shared" ca="1" si="485"/>
        <v>#DIV/0!</v>
      </c>
      <c r="CX287" s="101" t="e">
        <f t="shared" si="527"/>
        <v>#N/A</v>
      </c>
      <c r="CY287" s="91" t="e">
        <f t="shared" si="454"/>
        <v>#N/A</v>
      </c>
      <c r="CZ287" s="30" t="e">
        <f t="shared" si="508"/>
        <v>#N/A</v>
      </c>
      <c r="DA287" s="30" t="e">
        <f t="shared" si="509"/>
        <v>#N/A</v>
      </c>
      <c r="DB287" s="31" t="e">
        <f>IF(OR(Hypothèses!$B$4=17,Hypothèses!$B$4=18,Hypothèses!$B$4=19,Hypothèses!$B$4=20),
IF($D287="Pressio.",
IF(OR($E287=3,$E287=1,$E287=4),DA287,CZ287),
IF($D287="Pénétro.",
IF(OR($E287=3,$E287=1,$E287=4),DA287,CZ287))),IF($D287="Pressio.",
IF($E287=3,DA287,CZ287),
IF($D287="Pénétro.",
IF($E287=4,DA287,CZ287))))</f>
        <v>#N/A</v>
      </c>
      <c r="DC287" s="31" t="e">
        <f>(IF(OR(Hypothèses!$B$4=17,Hypothèses!$B$4=18,Hypothèses!$B$4=19,Hypothèses!$B$4=20),
IF($D287="Pressio.",
IF(OR($E287=3,$E287=1,$E287=4),(PI()*DC$12^2)/4*(CY287*$W287*1000)/($H287*$B$5),(PI()*DC$12^2)/4*(CY287*$W287*1000)/($G287*$B$5)),
IF($D287="Pénétro.",
IF(OR($E287=4,$E287=1,$E287=5),(PI()*DC$12^2)/4*(CY287*$W287*1000)/($H287*$B$5),(PI()*DC$12^2)/4*(CY287*$W287*1000)/($G287*$B$5)))),
IF($D287="Pressio.",
IF($E287=3,(PI()*DC$12^2)/4*(CY287*$W287*1000)/($H287*$B$5),(PI()*DC$12^2)/4*(CY287*$W287*1000)/($G287*$B$5)),
IF($D287="Pénétro.",
IF($E287=4,(PI()*DC$12^2)/4*(CY287*$W287*1000)/($H287*$B$5),(PI()*DC$12^2)/4*(CY287*$W287*1000)/($G287*$B$5))))))/10</f>
        <v>#N/A</v>
      </c>
      <c r="DD287" s="102" t="e">
        <f>(VLOOKUP($B$3,'Coeff EC7'!$T$39:$X$59,2,0)*DB287+VLOOKUP($B$3,'Coeff EC7'!$T$65:$X$85,2,0)*Model0.1C!DC287)/1.1</f>
        <v>#N/A</v>
      </c>
      <c r="DE287" s="102" t="e">
        <f>(VLOOKUP($B$3,'Coeff EC7'!$T$39:$X$59,3,0)*DB287+VLOOKUP($B$3,'Coeff EC7'!$T$65:$X$85,3,0)*Model0.1C!DC287)/0.9</f>
        <v>#N/A</v>
      </c>
      <c r="DF287" s="102" t="e">
        <f t="shared" si="486"/>
        <v>#N/A</v>
      </c>
      <c r="DG287" s="102" t="e">
        <f t="shared" si="487"/>
        <v>#N/A</v>
      </c>
      <c r="DH287" s="414" t="e">
        <f>IF(DH286=0,0,IF(AND(DD287&gt;charge_ELS_quasi,DE287&gt;Charge_ELS_freq,DF287&gt;charge_ELU,DG287&gt;charge_ELA,$B287&gt;NDC!$H$22-0.1+MIN(3*$DH$12,1.5)),0,1))</f>
        <v>#N/A</v>
      </c>
      <c r="DI287" s="86" t="b">
        <f t="shared" si="455"/>
        <v>0</v>
      </c>
      <c r="DJ287" s="86">
        <f t="shared" si="456"/>
        <v>0.5</v>
      </c>
      <c r="DK287" s="86">
        <f t="shared" si="457"/>
        <v>0.5</v>
      </c>
      <c r="DL287" s="30" t="e">
        <f t="shared" ca="1" si="488"/>
        <v>#DIV/0!</v>
      </c>
      <c r="DM287" s="85" t="e">
        <f ca="1">IF(CS287&lt;=Hypothèses!$V$7,Hypothèses!$W$7,IF(CS287&lt;=Hypothèses!$V$8,Hypothèses!$W$8,IF(CS287&lt;=Hypothèses!$V$9,Hypothèses!$W$9,IF(CS287&lt;=Hypothèses!$V$10,Hypothèses!$W$10,IF(CS287&lt;=Hypothèses!$V$11,Hypothèses!$W$11,IF(CS287&lt;=Hypothèses!$V$12,Hypothèses!$W$12,IF(CS287&lt;=Hypothèses!$V$13,Hypothèses!$W$13,IF(CS287&lt;=Hypothèses!$V$14,Hypothèses!$W$14,IF(CS287&lt;=Hypothèses!$V$15,Hypothèses!$W$15,IF(CS287&lt;=Hypothèses!$V$16,Hypothèses!$W$16,IF(CS287&lt;=Hypothèses!$V$17,Hypothèses!$W$17,IF(CS287&lt;=Hypothèses!$V$18,Hypothèses!$W$18,""))))))))))))</f>
        <v>#DIV/0!</v>
      </c>
      <c r="DN287" s="87" t="e">
        <f t="shared" ca="1" si="521"/>
        <v>#DIV/0!</v>
      </c>
      <c r="DO287" s="88" t="e">
        <f ca="1">IF(CS287&lt;=Hypothèses!$V$7,Hypothèses!$X$7,IF(CS287&lt;=Hypothèses!$V$8,Hypothèses!$X$8,IF(CS287&lt;=Hypothèses!$V$9,Hypothèses!$X$9,IF(CS287&lt;=Hypothèses!$V$10,Hypothèses!$X$10,IF(CS287&lt;=Hypothèses!$V$11,Hypothèses!$X$11,IF(CS287&lt;=Hypothèses!$V$12,Hypothèses!$X$12,IF(CS287&lt;=Hypothèses!$V$13,Hypothèses!$X$13,IF(CS287&lt;=Hypothèses!$V$14,Hypothèses!$X$14,IF(CS287&lt;=Hypothèses!$V$15,Hypothèses!$X$15,IF(CS287&lt;=Hypothèses!$V$16,Hypothèses!$X$16,IF(CS287&lt;=Hypothèses!$U$17,Hypothèses!$W$17,IF(CS287&lt;=Hypothèses!$U$18,Hypothèses!$W$18,""))))))))))))</f>
        <v>#DIV/0!</v>
      </c>
      <c r="DP287" s="95" t="e">
        <f t="shared" ca="1" si="489"/>
        <v>#DIV/0!</v>
      </c>
      <c r="DQ287" s="101" t="e">
        <f t="shared" si="528"/>
        <v>#N/A</v>
      </c>
      <c r="DR287" s="91" t="e">
        <f t="shared" si="458"/>
        <v>#N/A</v>
      </c>
      <c r="DS287" s="30" t="e">
        <f t="shared" si="510"/>
        <v>#N/A</v>
      </c>
      <c r="DT287" s="30" t="e">
        <f t="shared" si="511"/>
        <v>#N/A</v>
      </c>
      <c r="DU287" s="31" t="e">
        <f>IF(OR(Hypothèses!$B$4=17,Hypothèses!$B$4=18,Hypothèses!$B$4=19,Hypothèses!$B$4=20),
IF($D287="Pressio.",
IF(OR($E287=3,$E287=1,$E287=4),DT287,DS287),
IF($D287="Pénétro.",
IF(OR($E287=3,$E287=1,$E287=4),DT287,DS287))),IF($D287="Pressio.",
IF($E287=3,DT287,DS287),
IF($D287="Pénétro.",
IF($E287=4,DT287,DS287))))</f>
        <v>#N/A</v>
      </c>
      <c r="DV287" s="31" t="e">
        <f>(IF(OR(Hypothèses!$B$4=17,Hypothèses!$B$4=18,Hypothèses!$B$4=19,Hypothèses!$B$4=20),
IF($D287="Pressio.",
IF(OR($E287=3,$E287=1,$E287=4),(PI()*DV$12^2)/4*(DR287*$W287*1000)/($H287*$B$5),(PI()*DV$12^2)/4*(DR287*$W287*1000)/($G287*$B$5)),
IF($D287="Pénétro.",
IF(OR($E287=4,$E287=1,$E287=5),(PI()*DV$12^2)/4*(DR287*$W287*1000)/($H287*$B$5),(PI()*DV$12^2)/4*(DR287*$W287*1000)/($G287*$B$5)))),
IF($D287="Pressio.",
IF($E287=3,(PI()*DV$12^2)/4*(DR287*$W287*1000)/($H287*$B$5),(PI()*DV$12^2)/4*(DR287*$W287*1000)/($G287*$B$5)),
IF($D287="Pénétro.",
IF($E287=4,(PI()*DV$12^2)/4*(DR287*$W287*1000)/($H287*$B$5),(PI()*DV$12^2)/4*(DR287*$W287*1000)/($G287*$B$5))))))/10</f>
        <v>#N/A</v>
      </c>
      <c r="DW287" s="102" t="e">
        <f>(VLOOKUP($B$3,'Coeff EC7'!$T$39:$X$59,2,0)*DU287+VLOOKUP($B$3,'Coeff EC7'!$T$65:$X$85,2,0)*Model0.1C!DV287)/1.1</f>
        <v>#N/A</v>
      </c>
      <c r="DX287" s="102" t="e">
        <f>(VLOOKUP($B$3,'Coeff EC7'!$T$39:$X$59,3,0)*DU287+VLOOKUP($B$3,'Coeff EC7'!$T$65:$X$85,3,0)*Model0.1C!DV287)/0.9</f>
        <v>#N/A</v>
      </c>
      <c r="DY287" s="102" t="e">
        <f t="shared" si="490"/>
        <v>#N/A</v>
      </c>
      <c r="DZ287" s="102" t="e">
        <f t="shared" si="491"/>
        <v>#N/A</v>
      </c>
      <c r="EA287" s="414" t="e">
        <f>IF(EA286=0,0,IF(AND(DW287&gt;charge_ELS_quasi,DX287&gt;Charge_ELS_freq,DY287&gt;charge_ELU,DZ287&gt;charge_ELA,$B287&gt;NDC!$H$22-0.1+MIN(3*$EA$12,1.5)),0,1))</f>
        <v>#N/A</v>
      </c>
      <c r="EB287" s="86" t="b">
        <f t="shared" si="459"/>
        <v>0</v>
      </c>
      <c r="EC287" s="418">
        <f t="shared" si="460"/>
        <v>0.51</v>
      </c>
      <c r="ED287" s="86">
        <f t="shared" si="461"/>
        <v>0.51</v>
      </c>
      <c r="EE287" s="30" t="e">
        <f t="shared" ca="1" si="492"/>
        <v>#DIV/0!</v>
      </c>
      <c r="EF287" s="85" t="e">
        <f ca="1">IF(DL287&lt;=Hypothèses!$V$7,Hypothèses!$W$7,IF(DL287&lt;=Hypothèses!$V$8,Hypothèses!$W$8,IF(DL287&lt;=Hypothèses!$V$9,Hypothèses!$W$9,IF(DL287&lt;=Hypothèses!$V$10,Hypothèses!$W$10,IF(DL287&lt;=Hypothèses!$V$11,Hypothèses!$W$11,IF(DL287&lt;=Hypothèses!$V$12,Hypothèses!$W$12,IF(DL287&lt;=Hypothèses!$V$13,Hypothèses!$W$13,IF(DL287&lt;=Hypothèses!$V$14,Hypothèses!$W$14,IF(DL287&lt;=Hypothèses!$V$15,Hypothèses!$W$15,IF(DL287&lt;=Hypothèses!$V$16,Hypothèses!$W$16,IF(DL287&lt;=Hypothèses!$V$17,Hypothèses!$W$17,IF(DL287&lt;=Hypothèses!$V$18,Hypothèses!$W$18,""))))))))))))</f>
        <v>#DIV/0!</v>
      </c>
      <c r="EG287" s="87" t="e">
        <f t="shared" ca="1" si="522"/>
        <v>#DIV/0!</v>
      </c>
      <c r="EH287" s="88" t="e">
        <f ca="1">IF(DL287&lt;=Hypothèses!$V$7,Hypothèses!$X$7,IF(DL287&lt;=Hypothèses!$V$8,Hypothèses!$X$8,IF(DL287&lt;=Hypothèses!$V$9,Hypothèses!$X$9,IF(DL287&lt;=Hypothèses!$V$10,Hypothèses!$X$10,IF(DL287&lt;=Hypothèses!$V$11,Hypothèses!$X$11,IF(DL287&lt;=Hypothèses!$V$12,Hypothèses!$X$12,IF(DL287&lt;=Hypothèses!$V$13,Hypothèses!$X$13,IF(DL287&lt;=Hypothèses!$V$14,Hypothèses!$X$14,IF(DL287&lt;=Hypothèses!$V$15,Hypothèses!$X$15,IF(DL287&lt;=Hypothèses!$V$16,Hypothèses!$X$16,IF(DL287&lt;=Hypothèses!$U$17,Hypothèses!$W$17,IF(DL287&lt;=Hypothèses!$U$18,Hypothèses!$W$18,""))))))))))))</f>
        <v>#DIV/0!</v>
      </c>
      <c r="EI287" s="95" t="e">
        <f t="shared" ca="1" si="493"/>
        <v>#DIV/0!</v>
      </c>
      <c r="EJ287" s="101" t="e">
        <f t="shared" si="529"/>
        <v>#N/A</v>
      </c>
      <c r="EK287" s="91" t="e">
        <f t="shared" si="462"/>
        <v>#N/A</v>
      </c>
      <c r="EL287" s="30" t="e">
        <f t="shared" si="512"/>
        <v>#N/A</v>
      </c>
      <c r="EM287" s="30" t="e">
        <f t="shared" si="513"/>
        <v>#N/A</v>
      </c>
      <c r="EN287" s="31" t="e">
        <f>IF(OR(Hypothèses!$B$4=17,Hypothèses!$B$4=18,Hypothèses!$B$4=19,Hypothèses!$B$4=20),
IF($D287="Pressio.",
IF(OR($E287=3,$E287=1,$E287=4),EM287,EL287),
IF($D287="Pénétro.",
IF(OR($E287=3,$E287=1,$E287=4),EM287,EL287))),IF($D287="Pressio.",
IF($E287=3,EM287,EL287),
IF($D287="Pénétro.",
IF($E287=4,EM287,EL287))))</f>
        <v>#N/A</v>
      </c>
      <c r="EO287" s="31" t="e">
        <f>(IF(OR(Hypothèses!$B$4=17,Hypothèses!$B$4=18,Hypothèses!$B$4=19,Hypothèses!$B$4=20),
IF($D287="Pressio.",
IF(OR($E287=3,$E287=1,$E287=4),(PI()*EO$12^2)/4*(EK287*$W287*1000)/($H287*$B$5),(PI()*EO$12^2)/4*(EK287*$W287*1000)/($G287*$B$5)),
IF($D287="Pénétro.",
IF(OR($E287=4,$E287=1,$E287=5),(PI()*EO$12^2)/4*(EK287*$W287*1000)/($H287*$B$5),(PI()*EO$12^2)/4*(EK287*$W287*1000)/($G287*$B$5)))),
IF($D287="Pressio.",
IF($E287=3,(PI()*EO$12^2)/4*(EK287*$W287*1000)/($H287*$B$5),(PI()*EO$12^2)/4*(EK287*$W287*1000)/($G287*$B$5)),
IF($D287="Pénétro.",
IF($E287=4,(PI()*EO$12^2)/4*(EK287*$W287*1000)/($H287*$B$5),(PI()*EO$12^2)/4*(EK287*$W287*1000)/($G287*$B$5))))))/10</f>
        <v>#N/A</v>
      </c>
      <c r="EP287" s="102" t="e">
        <f>(VLOOKUP($B$3,'Coeff EC7'!$T$39:$X$59,2,0)*EN287+VLOOKUP($B$3,'Coeff EC7'!$T$65:$X$85,2,0)*Model0.1C!EO287)/1.1</f>
        <v>#N/A</v>
      </c>
      <c r="EQ287" s="102" t="e">
        <f>(VLOOKUP($B$3,'Coeff EC7'!$T$39:$X$59,3,0)*EN287+VLOOKUP($B$3,'Coeff EC7'!$T$65:$X$85,3,0)*Model0.1C!EO287)/0.9</f>
        <v>#N/A</v>
      </c>
      <c r="ER287" s="102" t="e">
        <f t="shared" si="494"/>
        <v>#N/A</v>
      </c>
      <c r="ES287" s="102" t="e">
        <f t="shared" si="495"/>
        <v>#N/A</v>
      </c>
      <c r="ET287" s="414" t="e">
        <f>IF(ET286=0,0,IF(AND(EP287&gt;charge_ELS_quasi,EQ287&gt;Charge_ELS_freq,ER287&gt;charge_ELU,ES287&gt;charge_ELA,$B287&gt;NDC!$H$22-0.1+MIN(3*$ET$12,1.5)),0,1))</f>
        <v>#N/A</v>
      </c>
      <c r="EU287" s="86" t="b">
        <f t="shared" si="463"/>
        <v>0</v>
      </c>
      <c r="EV287" s="86">
        <f t="shared" si="464"/>
        <v>0.61</v>
      </c>
      <c r="EW287" s="86">
        <f t="shared" si="465"/>
        <v>0.61</v>
      </c>
      <c r="EX287" s="30" t="e">
        <f t="shared" ca="1" si="496"/>
        <v>#DIV/0!</v>
      </c>
      <c r="EY287" s="85" t="e">
        <f ca="1">IF(EE287&lt;=Hypothèses!$V$7,Hypothèses!$W$7,IF(EE287&lt;=Hypothèses!$V$8,Hypothèses!$W$8,IF(EE287&lt;=Hypothèses!$V$9,Hypothèses!$W$9,IF(EE287&lt;=Hypothèses!$V$10,Hypothèses!$W$10,IF(EE287&lt;=Hypothèses!$V$11,Hypothèses!$W$11,IF(EE287&lt;=Hypothèses!$V$12,Hypothèses!$W$12,IF(EE287&lt;=Hypothèses!$V$13,Hypothèses!$W$13,IF(EE287&lt;=Hypothèses!$V$14,Hypothèses!$W$14,IF(EE287&lt;=Hypothèses!$V$15,Hypothèses!$W$15,IF(EE287&lt;=Hypothèses!$V$16,Hypothèses!$W$16,IF(EE287&lt;=Hypothèses!$V$17,Hypothèses!$W$17,IF(EE287&lt;=Hypothèses!$V$18,Hypothèses!$W$18,""))))))))))))</f>
        <v>#DIV/0!</v>
      </c>
      <c r="EZ287" s="87" t="e">
        <f t="shared" ca="1" si="523"/>
        <v>#DIV/0!</v>
      </c>
      <c r="FA287" s="88" t="e">
        <f ca="1">IF(EE287&lt;=Hypothèses!$V$7,Hypothèses!$X$7,IF(EE287&lt;=Hypothèses!$V$8,Hypothèses!$X$8,IF(EE287&lt;=Hypothèses!$V$9,Hypothèses!$X$9,IF(EE287&lt;=Hypothèses!$V$10,Hypothèses!$X$10,IF(EE287&lt;=Hypothèses!$V$11,Hypothèses!$X$11,IF(EE287&lt;=Hypothèses!$V$12,Hypothèses!$X$12,IF(EE287&lt;=Hypothèses!$V$13,Hypothèses!$X$13,IF(EE287&lt;=Hypothèses!$V$14,Hypothèses!$X$14,IF(EE287&lt;=Hypothèses!$V$15,Hypothèses!$X$15,IF(EE287&lt;=Hypothèses!$V$16,Hypothèses!$X$16,IF(EE287&lt;=Hypothèses!$U$17,Hypothèses!$W$17,IF(EE287&lt;=Hypothèses!$U$18,Hypothèses!$W$18,""))))))))))))</f>
        <v>#DIV/0!</v>
      </c>
      <c r="FB287" s="95" t="e">
        <f t="shared" ca="1" si="497"/>
        <v>#DIV/0!</v>
      </c>
      <c r="FC287" s="101" t="e">
        <f t="shared" si="530"/>
        <v>#N/A</v>
      </c>
      <c r="FD287" s="91" t="e">
        <f t="shared" si="466"/>
        <v>#N/A</v>
      </c>
      <c r="FE287" s="30" t="e">
        <f t="shared" si="514"/>
        <v>#N/A</v>
      </c>
      <c r="FF287" s="30" t="e">
        <f t="shared" si="515"/>
        <v>#N/A</v>
      </c>
      <c r="FG287" s="31" t="e">
        <f>IF(OR(Hypothèses!$B$4=17,Hypothèses!$B$4=18,Hypothèses!$B$4=19,Hypothèses!$B$4=20),
IF($D287="Pressio.",
IF(OR($E287=3,$E287=1,$E287=4),FF287,FE287),
IF($D287="Pénétro.",
IF(OR($E287=3,$E287=1,$E287=4),FF287,FE287))),IF($D287="Pressio.",
IF($E287=3,FF287,FE287),
IF($D287="Pénétro.",
IF($E287=4,FF287,FE287))))</f>
        <v>#N/A</v>
      </c>
      <c r="FH287" s="31" t="e">
        <f>(IF(OR(Hypothèses!$B$4=17,Hypothèses!$B$4=18,Hypothèses!$B$4=19,Hypothèses!$B$4=20),
IF($D287="Pressio.",
IF(OR($E287=3,$E287=1,$E287=4),(PI()*FH$12^2)/4*(FD287*$W287*1000)/($H287*$B$5),(PI()*FH$12^2)/4*(FD287*$W287*1000)/($G287*$B$5)),
IF($D287="Pénétro.",
IF(OR($E287=4,$E287=1,$E287=5),(PI()*FH$12^2)/4*(FD287*$W287*1000)/($H287*$B$5),(PI()*FH$12^2)/4*(FD287*$W287*1000)/($G287*$B$5)))),
IF($D287="Pressio.",
IF($E287=3,(PI()*FH$12^2)/4*(FD287*$W287*1000)/($H287*$B$5),(PI()*FH$12^2)/4*(FD287*$W287*1000)/($G287*$B$5)),
IF($D287="Pénétro.",
IF($E287=4,(PI()*FH$12^2)/4*(FD287*$W287*1000)/($H287*$B$5),(PI()*FH$12^2)/4*(FD287*$W287*1000)/($G287*$B$5))))))/10</f>
        <v>#N/A</v>
      </c>
      <c r="FI287" s="102" t="e">
        <f>(VLOOKUP($B$3,'Coeff EC7'!$T$39:$X$59,2,0)*FG287+VLOOKUP($B$3,'Coeff EC7'!$T$65:$X$85,2,0)*Model0.1C!FH287)/1.1</f>
        <v>#N/A</v>
      </c>
      <c r="FJ287" s="102" t="e">
        <f>(VLOOKUP($B$3,'Coeff EC7'!$T$39:$X$59,3,0)*FG287+VLOOKUP($B$3,'Coeff EC7'!$T$65:$X$85,3,0)*Model0.1C!FH287)/0.9</f>
        <v>#N/A</v>
      </c>
      <c r="FK287" s="102" t="e">
        <f t="shared" si="498"/>
        <v>#N/A</v>
      </c>
      <c r="FL287" s="102" t="e">
        <f t="shared" si="499"/>
        <v>#N/A</v>
      </c>
      <c r="FM287" s="414" t="e">
        <f>IF(FM286=0,0,IF(AND(FI287&gt;charge_ELS_quasi,FJ287&gt;Charge_ELS_freq,FK287&gt;charge_ELU,FL287&gt;charge_ELA,$B287&gt;NDC!$H$22-0.1+MIN(3*$FM$12,1.5)),0,1))</f>
        <v>#N/A</v>
      </c>
    </row>
    <row r="288" spans="1:169">
      <c r="A288" s="96">
        <f t="shared" si="467"/>
        <v>72.500000000001563</v>
      </c>
      <c r="B288" s="97">
        <v>27.5</v>
      </c>
      <c r="C288" s="81">
        <f>IF(B288&lt;=Hypothèses!$C$7,Hypothèses!$A$7,IF(B288&lt;=Hypothèses!$C$8,Hypothèses!$A$8,IF(B288&lt;=Hypothèses!$C$9,Hypothèses!$A$9,IF(B288&lt;=Hypothèses!$C$10,Hypothèses!$A$10,IF(B288&lt;=Hypothèses!$C$11,Hypothèses!$A$11,IF(B288&lt;=Hypothèses!$C$12,Hypothèses!$A$12,IF(B288&lt;=Hypothèses!$C$13,Hypothèses!$A$13,IF(B288&lt;=Hypothèses!$C$14,Hypothèses!$A$14,IF(B288&lt;=Hypothèses!$C$15,Hypothèses!$A$15,IF(B288&lt;=Hypothèses!$C$16,Hypothèses!$A$16,IF(B288&lt;=Hypothèses!$C$17,Hypothèses!$A$17,IF(B288&lt;=Hypothèses!$C$18,Hypothèses!$A$18,C287))))))))))))</f>
        <v>11</v>
      </c>
      <c r="D288" s="82" t="str">
        <f>IF(B288&lt;=Hypothèses!$C$7,Hypothèses!$R$7,IF(B288&lt;=Hypothèses!$C$8,Hypothèses!$R$8,IF(B288&lt;=Hypothèses!$C$9,Hypothèses!$R$9,IF(B288&lt;=Hypothèses!$C$10,Hypothèses!$R$10,IF(B288&lt;=Hypothèses!$C$11,Hypothèses!$R$11,IF(B288&lt;=Hypothèses!$C$12,Hypothèses!$R$12,IF(B288&lt;=Hypothèses!$C$13,Hypothèses!$R$13,IF(B288&lt;=Hypothèses!$C$14,Hypothèses!$R$14,IF(B288&lt;=Hypothèses!$C$15,Hypothèses!$R$15,IF(B288&lt;=Hypothèses!$C$16,Hypothèses!$R$16,IF(B288&lt;=Hypothèses!$C$17,Hypothèses!$R$17,IF(B288&lt;=Hypothèses!$C$18,Hypothèses!$R$18,D287))))))))))))</f>
        <v>Pressio.</v>
      </c>
      <c r="E288" s="82" t="e">
        <f>IF(B288&lt;=Hypothèses!$C$7,Hypothèses!$G$7,IF(B288&lt;=Hypothèses!$C$8,Hypothèses!$G$8,IF(B288&lt;=Hypothèses!$C$9,Hypothèses!$G$9,IF(B288&lt;=Hypothèses!$C$10,Hypothèses!$G$10,IF(B288&lt;=Hypothèses!$C$11,Hypothèses!$G$11,IF(B288&lt;=Hypothèses!$C$12,Hypothèses!$G$12,IF(B288&lt;=Hypothèses!$C$13,Hypothèses!$G$13,IF(B288&lt;=Hypothèses!$C$14,Hypothèses!$G$14,IF(B288&lt;=Hypothèses!$C$15,Hypothèses!$G$15,IF(B288&lt;=Hypothèses!$C$16,Hypothèses!$G$16,IF(B288&lt;=Hypothèses!$C$17,Hypothèses!$G$17,IF(B288&lt;=Hypothèses!$C$18,Hypothèses!$G$18,E287))))))))))))</f>
        <v>#N/A</v>
      </c>
      <c r="F288" s="82" t="str">
        <f>IF(B288&lt;=Hypothèses!$C$7,Hypothèses!$F$7,IF(B288&lt;=Hypothèses!$C$8,Hypothèses!$F$8,IF(B288&lt;=Hypothèses!$C$9,Hypothèses!$F$9,IF(B288&lt;=Hypothèses!$C$10,Hypothèses!$F$10,IF(B288&lt;=Hypothèses!$C$11,Hypothèses!$F$11,IF(B288&lt;=Hypothèses!$C$12,Hypothèses!$F$12,IF(B288&lt;=Hypothèses!$C$13,Hypothèses!$F$13,IF(B288&lt;=Hypothèses!$C$14,Hypothèses!$F$14,IF(B288&lt;=Hypothèses!$C$15,Hypothèses!$F$15,IF(B288&lt;=Hypothèses!$C$16,Hypothèses!$F$16,IF(B288&lt;=Hypothèses!$C$17,Hypothèses!$F$17,IF(B288&lt;=Hypothèses!$C$18,Hypothèses!$F$18,F287))))))))))))</f>
        <v/>
      </c>
      <c r="G288" s="91">
        <f t="array" ref="G288">INDEX('Coeff EC7'!$U$7:$X$27,
MATCH(Model0.1C!$B$3,'Coeff EC7'!$T$7:$T$27,0),
MATCH(Model0.1C!$D288&amp;Model0.1C!$B$4,
'Coeff EC7'!$U$6:$X$6&amp;
'Coeff EC7'!$U$5:$X$5,0))</f>
        <v>1.1499999999999999</v>
      </c>
      <c r="H288" s="91">
        <f t="array" ref="H288">INDEX('Coeff EC7'!$Y$7:$AB$27,
MATCH(Model0.1C!$B$3,'Coeff EC7'!$T$7:$T$27,0),
MATCH(Model0.1C!$D288&amp;Model0.1C!$B$4,
'Coeff EC7'!$Y$6:$AB$6&amp;
'Coeff EC7'!$Y$5:$AB$5,0))</f>
        <v>1.4</v>
      </c>
      <c r="I288" s="83" t="e">
        <f>IF(B288&lt;=Hypothèses!$C$7,Hypothèses!$P$7,IF(B288&lt;=Hypothèses!$C$8,Hypothèses!$P$8,IF(B288&lt;=Hypothèses!$C$9,Hypothèses!$P$9,IF(B288&lt;=Hypothèses!$C$10,Hypothèses!$P$10,IF(B288&lt;=Hypothèses!$C$11,Hypothèses!$P$11,IF(B288&lt;=Hypothèses!$C$12,Hypothèses!$P$12,IF(B288&lt;=Hypothèses!$C$13,Hypothèses!$P$13,IF(B288&lt;=Hypothèses!$C$14,Hypothèses!$P$14,IF(B288&lt;=Hypothèses!$C$15,Hypothèses!$P$15,IF(B288&lt;=Hypothèses!$C$16,Hypothèses!$P$16,IF(B288&lt;=Hypothèses!$C$17,Hypothèses!$P$17,IF(B288&lt;=Hypothèses!$C$18,Hypothèses!$P$18,I287))))))))))))</f>
        <v>#N/A</v>
      </c>
      <c r="J288" s="91" t="e">
        <f t="array" ref="J288">INDEX('Coeff EC7'!$D$33:$Q$33,1,MATCH(D288&amp;E288,'Coeff EC7'!$D$31:$Q$31&amp;'Coeff EC7'!$D$32:$Q$32,0))</f>
        <v>#N/A</v>
      </c>
      <c r="K288" s="91" t="e">
        <f t="array" ref="K288">INDEX('Coeff EC7'!$D$34:$Q$34,1,MATCH(D288&amp;E288,'Coeff EC7'!$D$31:$Q$31&amp;'Coeff EC7'!$D$32:$Q$32,0))</f>
        <v>#N/A</v>
      </c>
      <c r="L288" s="91" t="e">
        <f t="array" ref="L288">INDEX('Coeff EC7'!$D$35:$Q$35,1,MATCH(D288&amp;E288,'Coeff EC7'!$D$31:$Q$31&amp;'Coeff EC7'!$D$32:$Q$32,0))</f>
        <v>#N/A</v>
      </c>
      <c r="M288" s="98" t="e">
        <f t="shared" si="431"/>
        <v>#N/A</v>
      </c>
      <c r="N288" s="99" t="e">
        <f t="array" ref="N288">INDEX('Coeff EC7'!$D$7:$Q$27,MATCH($B$3,'Coeff EC7'!$C$7:$C$27,0),MATCH(D288&amp;E288,'Coeff EC7'!$D$5:$Q$5&amp;'Coeff EC7'!$D$6:$Q$6,0))</f>
        <v>#N/A</v>
      </c>
      <c r="O288" s="99" t="e">
        <f t="array" ref="O288">INDEX('Coeff EC7'!$D$41:$Q$61,MATCH($B$3,'Coeff EC7'!$C$41:$C$61,0),MATCH(D288&amp;E288,'Coeff EC7'!$D$39:$Q$39&amp;'Coeff EC7'!$D$40:$Q$40,0))</f>
        <v>#N/A</v>
      </c>
      <c r="P288" s="30" t="e">
        <f t="shared" si="468"/>
        <v>#N/A</v>
      </c>
      <c r="Q288" s="100" t="e">
        <f t="shared" si="433"/>
        <v>#N/A</v>
      </c>
      <c r="R288" s="86" t="b">
        <f t="shared" si="434"/>
        <v>0</v>
      </c>
      <c r="S288" s="86">
        <f t="shared" si="432"/>
        <v>0.5</v>
      </c>
      <c r="T288" s="86">
        <f t="shared" si="435"/>
        <v>0.5</v>
      </c>
      <c r="U288" s="30" t="e">
        <f t="shared" ca="1" si="469"/>
        <v>#DIV/0!</v>
      </c>
      <c r="V288" s="85" t="str">
        <f>IF(B288&lt;=Hypothèses!$V$7,Hypothèses!$W$7,IF(B288&lt;=Hypothèses!$V$8,Hypothèses!$W$8,IF(B288&lt;=Hypothèses!$V$9,Hypothèses!$W$9,IF(B288&lt;=Hypothèses!$V$10,Hypothèses!$W$10,IF(B288&lt;=Hypothèses!$V$11,Hypothèses!$W$11,IF(B288&lt;=Hypothèses!$V$12,Hypothèses!$W$12,IF(B288&lt;=Hypothèses!$V$13,Hypothèses!$W$13,IF(B288&lt;=Hypothèses!$V$14,Hypothèses!$W$14,IF(B288&lt;=Hypothèses!$V$15,Hypothèses!$W$15,IF(B288&lt;=Hypothèses!$V$16,Hypothèses!$W$16,IF(B288&lt;=Hypothèses!$V$17,Hypothèses!$W$17,IF(B288&lt;=Hypothèses!$V$18,Hypothèses!$W$18,""))))))))))))</f>
        <v/>
      </c>
      <c r="W288" s="87" t="e">
        <f t="shared" ca="1" si="516"/>
        <v>#DIV/0!</v>
      </c>
      <c r="X288" s="88" t="str">
        <f>IF(B288&lt;=Hypothèses!$V$7,Hypothèses!$X$7,IF(B288&lt;=Hypothèses!$V$8,Hypothèses!$X$8,IF(B288&lt;=Hypothèses!$V$9,Hypothèses!$X$9,IF(B288&lt;=Hypothèses!$V$10,Hypothèses!$X$10,IF(B288&lt;=Hypothèses!$V$11,Hypothèses!$X$11,IF(B288&lt;=Hypothèses!$V$12,Hypothèses!$X$12,IF(B288&lt;=Hypothèses!$V$13,Hypothèses!$X$13,IF(B288&lt;=Hypothèses!$V$14,Hypothèses!$X$14,IF(B288&lt;=Hypothèses!$V$15,Hypothèses!$X$15,IF(B288&lt;=Hypothèses!$V$16,Hypothèses!$X$16,IF(B288&lt;=Hypothèses!$U$17,Hypothèses!$W$17,IF(B288&lt;=Hypothèses!$U$18,Hypothèses!$W$18,""))))))))))))</f>
        <v/>
      </c>
      <c r="Y288" s="95" t="e">
        <f t="shared" ca="1" si="436"/>
        <v>#DIV/0!</v>
      </c>
      <c r="Z288" s="101" t="e">
        <f t="shared" si="437"/>
        <v>#N/A</v>
      </c>
      <c r="AA288" s="91" t="e">
        <f t="shared" si="438"/>
        <v>#N/A</v>
      </c>
      <c r="AB288" s="30" t="e">
        <f t="shared" si="500"/>
        <v>#N/A</v>
      </c>
      <c r="AC288" s="30" t="e">
        <f t="shared" si="501"/>
        <v>#N/A</v>
      </c>
      <c r="AD288" s="31" t="e">
        <f>IF(OR(Hypothèses!$B$4=17,Hypothèses!$B$4=18,Hypothèses!$B$4=19,Hypothèses!$B$4=20),
IF($D288="Pressio.",
IF(OR($E288=3,$E288=1,$E288=4),AC288,AB288),
IF($D288="Pénétro.",
IF(OR($E288=3,$E288=1,$E288=4),AC288,AB288))),IF($D288="Pressio.",
IF($E288=3,AC288,AB288),
IF($D288="Pénétro.",
IF($E288=4,AC288,AB288))))</f>
        <v>#N/A</v>
      </c>
      <c r="AE288" s="31" t="e">
        <f>(IF(OR(Hypothèses!$B$4=17,Hypothèses!$B$4=18,Hypothèses!$B$4=19,Hypothèses!$B$4=20),
IF($D288="Pressio.",
IF(OR($E288=3,$E288=1,$E288=4),(PI()*AE$12^2)/4*(AA288*$W288*1000)/($H288*$B$5),(PI()*AE$12^2)/4*(AA288*$W288*1000)/($G288*$B$5)),
IF($D288="Pénétro.",
IF(OR($E288=4,$E288=1,$E288=5),(PI()*AE$12^2)/4*(AA288*$W288*1000)/($H288*$B$5),(PI()*AE$12^2)/4*(AA288*$W288*1000)/($G288*$B$5)))),
IF($D288="Pressio.",
IF($E288=3,(PI()*AE$12^2)/4*(AA288*$W288*1000)/($H288*$B$5),(PI()*AE$12^2)/4*(AA288*$W288*1000)/($G288*$B$5)),
IF($D288="Pénétro.",
IF($E288=4,(PI()*AE$12^2)/4*(AA288*$W288*1000)/($H288*$B$5),(PI()*AE$12^2)/4*(AA288*$W288*1000)/($G288*$B$5))))))/10</f>
        <v>#N/A</v>
      </c>
      <c r="AF288" s="102" t="e">
        <f>(VLOOKUP($B$3,'Coeff EC7'!$T$39:$X$59,2,0)*AD288+VLOOKUP($B$3,'Coeff EC7'!$T$65:$X$85,2,0)*Model0.1C!AE288)/1.1</f>
        <v>#N/A</v>
      </c>
      <c r="AG288" s="102" t="e">
        <f>(VLOOKUP($B$3,'Coeff EC7'!$T$39:$X$59,3,0)*AD288+VLOOKUP($B$3,'Coeff EC7'!$T$65:$X$85,3,0)*Model0.1C!AE288)/0.9</f>
        <v>#N/A</v>
      </c>
      <c r="AH288" s="102" t="e">
        <f t="shared" si="439"/>
        <v>#N/A</v>
      </c>
      <c r="AI288" s="102" t="e">
        <f t="shared" si="440"/>
        <v>#N/A</v>
      </c>
      <c r="AJ288" s="414" t="e">
        <f>IF(AJ287=0,0,IF(AND(AF288&gt;charge_ELS_quasi,AG288&gt;Charge_ELS_freq,AH288&gt;charge_ELU,AI288&gt;charge_ELA,$B288&gt;NDC!$H$22-0.1+MIN(3*$AJ$12,1.5)),0,1))</f>
        <v>#N/A</v>
      </c>
      <c r="AK288" s="86" t="b">
        <f t="shared" si="441"/>
        <v>0</v>
      </c>
      <c r="AL288" s="86">
        <f t="shared" si="470"/>
        <v>0.5</v>
      </c>
      <c r="AM288" s="86">
        <f t="shared" si="442"/>
        <v>0.5</v>
      </c>
      <c r="AN288" s="30" t="e">
        <f t="shared" ca="1" si="471"/>
        <v>#DIV/0!</v>
      </c>
      <c r="AO288" s="85" t="e">
        <f ca="1">IF(U288&lt;=Hypothèses!$V$7,Hypothèses!$W$7,IF(U288&lt;=Hypothèses!$V$8,Hypothèses!$W$8,IF(U288&lt;=Hypothèses!$V$9,Hypothèses!$W$9,IF(U288&lt;=Hypothèses!$V$10,Hypothèses!$W$10,IF(U288&lt;=Hypothèses!$V$11,Hypothèses!$W$11,IF(U288&lt;=Hypothèses!$V$12,Hypothèses!$W$12,IF(U288&lt;=Hypothèses!$V$13,Hypothèses!$W$13,IF(U288&lt;=Hypothèses!$V$14,Hypothèses!$W$14,IF(U288&lt;=Hypothèses!$V$15,Hypothèses!$W$15,IF(U288&lt;=Hypothèses!$V$16,Hypothèses!$W$16,IF(U288&lt;=Hypothèses!$V$17,Hypothèses!$W$17,IF(U288&lt;=Hypothèses!$V$18,Hypothèses!$W$18,""))))))))))))</f>
        <v>#DIV/0!</v>
      </c>
      <c r="AP288" s="87" t="e">
        <f t="shared" ca="1" si="517"/>
        <v>#DIV/0!</v>
      </c>
      <c r="AQ288" s="88" t="e">
        <f ca="1">IF(U288&lt;=Hypothèses!$V$7,Hypothèses!$X$7,IF(U288&lt;=Hypothèses!$V$8,Hypothèses!$X$8,IF(U288&lt;=Hypothèses!$V$9,Hypothèses!$X$9,IF(U288&lt;=Hypothèses!$V$10,Hypothèses!$X$10,IF(U288&lt;=Hypothèses!$V$11,Hypothèses!$X$11,IF(U288&lt;=Hypothèses!$V$12,Hypothèses!$X$12,IF(U288&lt;=Hypothèses!$V$13,Hypothèses!$X$13,IF(U288&lt;=Hypothèses!$V$14,Hypothèses!$X$14,IF(U288&lt;=Hypothèses!$V$15,Hypothèses!$X$15,IF(U288&lt;=Hypothèses!$V$16,Hypothèses!$X$16,IF(U288&lt;=Hypothèses!$U$17,Hypothèses!$W$17,IF(U288&lt;=Hypothèses!$U$18,Hypothèses!$W$18,""))))))))))))</f>
        <v>#DIV/0!</v>
      </c>
      <c r="AR288" s="95" t="e">
        <f t="shared" ca="1" si="472"/>
        <v>#DIV/0!</v>
      </c>
      <c r="AS288" s="101" t="e">
        <f t="shared" si="524"/>
        <v>#N/A</v>
      </c>
      <c r="AT288" s="91" t="e">
        <f t="shared" si="443"/>
        <v>#N/A</v>
      </c>
      <c r="AU288" s="30" t="e">
        <f t="shared" si="502"/>
        <v>#N/A</v>
      </c>
      <c r="AV288" s="30" t="e">
        <f t="shared" si="503"/>
        <v>#N/A</v>
      </c>
      <c r="AW288" s="31" t="e">
        <f>IF(OR(Hypothèses!$B$4=17,Hypothèses!$B$4=18,Hypothèses!$B$4=19,Hypothèses!$B$4=20),
IF($D288="Pressio.",
IF(OR($E288=3,$E288=1,$E288=4),AV288,AU288),
IF($D288="Pénétro.",
IF(OR($E288=3,$E288=1,$E288=4),AV288,AU288))),IF($D288="Pressio.",
IF($E288=3,AV288,AU288),
IF($D288="Pénétro.",
IF($E288=4,AV288,AU288))))</f>
        <v>#N/A</v>
      </c>
      <c r="AX288" s="31" t="e">
        <f>(IF(OR(Hypothèses!$B$4=17,Hypothèses!$B$4=18,Hypothèses!$B$4=19,Hypothèses!$B$4=20),
IF($D288="Pressio.",
IF(OR($E288=3,$E288=1,$E288=4),(PI()*AX$12^2)/4*(AT288*$W288*1000)/($H288*$B$5),(PI()*AX$12^2)/4*(AT288*$W288*1000)/($G288*$B$5)),
IF($D288="Pénétro.",
IF(OR($E288=4,$E288=1,$E288=5),(PI()*AX$12^2)/4*(AT288*$W288*1000)/($H288*$B$5),(PI()*AX$12^2)/4*(AT288*$W288*1000)/($G288*$B$5)))),
IF($D288="Pressio.",
IF($E288=3,(PI()*AX$12^2)/4*(AT288*$W288*1000)/($H288*$B$5),(PI()*AX$12^2)/4*(AT288*$W288*1000)/($G288*$B$5)),
IF($D288="Pénétro.",
IF($E288=4,(PI()*AX$12^2)/4*(AT288*$W288*1000)/($H288*$B$5),(PI()*AX$12^2)/4*(AT288*$W288*1000)/($G288*$B$5))))))/10</f>
        <v>#N/A</v>
      </c>
      <c r="AY288" s="102" t="e">
        <f>(VLOOKUP($B$3,'Coeff EC7'!$T$39:$X$59,2,0)*AW288+VLOOKUP($B$3,'Coeff EC7'!$T$65:$X$85,2,0)*Model0.1C!AX288)/1.1</f>
        <v>#N/A</v>
      </c>
      <c r="AZ288" s="102" t="e">
        <f>(VLOOKUP($B$3,'Coeff EC7'!$T$39:$X$59,3,0)*AW288+VLOOKUP($B$3,'Coeff EC7'!$T$65:$X$85,3,0)*Model0.1C!AX288)/0.9</f>
        <v>#N/A</v>
      </c>
      <c r="BA288" s="102" t="e">
        <f t="shared" si="473"/>
        <v>#N/A</v>
      </c>
      <c r="BB288" s="102" t="e">
        <f t="shared" si="474"/>
        <v>#N/A</v>
      </c>
      <c r="BC288" s="414" t="e">
        <f>IF(BC287=0,0,IF(AND(AY288&gt;charge_ELS_quasi,AZ288&gt;Charge_ELS_freq,BA288&gt;charge_ELU,BB288&gt;charge_ELA,$B288&gt;NDC!$H$22-0.1+MIN(3*$BC$12,1.5)),0,1))</f>
        <v>#N/A</v>
      </c>
      <c r="BD288" s="86" t="b">
        <f t="shared" si="444"/>
        <v>0</v>
      </c>
      <c r="BE288" s="86">
        <f t="shared" si="475"/>
        <v>0.5</v>
      </c>
      <c r="BF288" s="86">
        <f t="shared" si="445"/>
        <v>0.5</v>
      </c>
      <c r="BG288" s="30" t="e">
        <f t="shared" ca="1" si="476"/>
        <v>#DIV/0!</v>
      </c>
      <c r="BH288" s="85" t="e">
        <f ca="1">IF(AN288&lt;=Hypothèses!$V$7,Hypothèses!$W$7,IF(AN288&lt;=Hypothèses!$V$8,Hypothèses!$W$8,IF(AN288&lt;=Hypothèses!$V$9,Hypothèses!$W$9,IF(AN288&lt;=Hypothèses!$V$10,Hypothèses!$W$10,IF(AN288&lt;=Hypothèses!$V$11,Hypothèses!$W$11,IF(AN288&lt;=Hypothèses!$V$12,Hypothèses!$W$12,IF(AN288&lt;=Hypothèses!$V$13,Hypothèses!$W$13,IF(AN288&lt;=Hypothèses!$V$14,Hypothèses!$W$14,IF(AN288&lt;=Hypothèses!$V$15,Hypothèses!$W$15,IF(AN288&lt;=Hypothèses!$V$16,Hypothèses!$W$16,IF(AN288&lt;=Hypothèses!$V$17,Hypothèses!$W$17,IF(AN288&lt;=Hypothèses!$V$18,Hypothèses!$W$18,""))))))))))))</f>
        <v>#DIV/0!</v>
      </c>
      <c r="BI288" s="87" t="e">
        <f t="shared" ca="1" si="518"/>
        <v>#DIV/0!</v>
      </c>
      <c r="BJ288" s="88" t="e">
        <f ca="1">IF(AN288&lt;=Hypothèses!$V$7,Hypothèses!$X$7,IF(AN288&lt;=Hypothèses!$V$8,Hypothèses!$X$8,IF(AN288&lt;=Hypothèses!$V$9,Hypothèses!$X$9,IF(AN288&lt;=Hypothèses!$V$10,Hypothèses!$X$10,IF(AN288&lt;=Hypothèses!$V$11,Hypothèses!$X$11,IF(AN288&lt;=Hypothèses!$V$12,Hypothèses!$X$12,IF(AN288&lt;=Hypothèses!$V$13,Hypothèses!$X$13,IF(AN288&lt;=Hypothèses!$V$14,Hypothèses!$X$14,IF(AN288&lt;=Hypothèses!$V$15,Hypothèses!$X$15,IF(AN288&lt;=Hypothèses!$V$16,Hypothèses!$X$16,IF(AN288&lt;=Hypothèses!$U$17,Hypothèses!$W$17,IF(AN288&lt;=Hypothèses!$U$18,Hypothèses!$W$18,""))))))))))))</f>
        <v>#DIV/0!</v>
      </c>
      <c r="BK288" s="95" t="e">
        <f t="shared" ca="1" si="477"/>
        <v>#DIV/0!</v>
      </c>
      <c r="BL288" s="101" t="e">
        <f t="shared" si="525"/>
        <v>#N/A</v>
      </c>
      <c r="BM288" s="91" t="e">
        <f t="shared" si="446"/>
        <v>#N/A</v>
      </c>
      <c r="BN288" s="30" t="e">
        <f t="shared" si="504"/>
        <v>#N/A</v>
      </c>
      <c r="BO288" s="30" t="e">
        <f t="shared" si="505"/>
        <v>#N/A</v>
      </c>
      <c r="BP288" s="31" t="e">
        <f>IF(OR(Hypothèses!$B$4=17,Hypothèses!$B$4=18,Hypothèses!$B$4=19,Hypothèses!$B$4=20),
IF($D288="Pressio.",
IF(OR($E288=3,$E288=1,$E288=4),BO288,BN288),
IF($D288="Pénétro.",
IF(OR($E288=3,$E288=1,$E288=4),BO288,BN288))),IF($D288="Pressio.",
IF($E288=3,BO288,BN288),
IF($D288="Pénétro.",
IF($E288=4,BO288,BN288))))</f>
        <v>#N/A</v>
      </c>
      <c r="BQ288" s="31" t="e">
        <f>(IF(OR(Hypothèses!$B$4=17,Hypothèses!$B$4=18,Hypothèses!$B$4=19,Hypothèses!$B$4=20),
IF($D288="Pressio.",
IF(OR($E288=3,$E288=1,$E288=4),(PI()*BQ$12^2)/4*(BM288*$W288*1000)/($H288*$B$5),(PI()*BQ$12^2)/4*(BM288*$W288*1000)/($G288*$B$5)),
IF($D288="Pénétro.",
IF(OR($E288=4,$E288=1,$E288=5),(PI()*BQ$12^2)/4*(BM288*$W288*1000)/($H288*$B$5),(PI()*BQ$12^2)/4*(BM288*$W288*1000)/($G288*$B$5)))),
IF($D288="Pressio.",
IF($E288=3,(PI()*BQ$12^2)/4*(BM288*$W288*1000)/($H288*$B$5),(PI()*BQ$12^2)/4*(BM288*$W288*1000)/($G288*$B$5)),
IF($D288="Pénétro.",
IF($E288=4,(PI()*BQ$12^2)/4*(BM288*$W288*1000)/($H288*$B$5),(PI()*BQ$12^2)/4*(BM288*$W288*1000)/($G288*$B$5))))))/10</f>
        <v>#N/A</v>
      </c>
      <c r="BR288" s="102" t="e">
        <f>(VLOOKUP($B$3,'Coeff EC7'!$T$39:$X$59,2,0)*BP288+VLOOKUP($B$3,'Coeff EC7'!$T$65:$X$85,2,0)*Model0.1C!BQ288)/1.1</f>
        <v>#N/A</v>
      </c>
      <c r="BS288" s="102" t="e">
        <f>(VLOOKUP($B$3,'Coeff EC7'!$T$39:$X$59,3,0)*BP288+VLOOKUP($B$3,'Coeff EC7'!$T$65:$X$85,3,0)*Model0.1C!BQ288)/0.9</f>
        <v>#N/A</v>
      </c>
      <c r="BT288" s="102" t="e">
        <f t="shared" si="478"/>
        <v>#N/A</v>
      </c>
      <c r="BU288" s="102" t="e">
        <f t="shared" si="479"/>
        <v>#N/A</v>
      </c>
      <c r="BV288" s="414" t="e">
        <f>IF(BV287=0,0,IF(AND(BR288&gt;charge_ELS_quasi,BS288&gt;Charge_ELS_freq,BT288&gt;charge_ELU,BU288&gt;charge_ELA,$B288&gt;NDC!$H$22-0.1+MIN(3*$BV$12,1.5)),0,1))</f>
        <v>#N/A</v>
      </c>
      <c r="BW288" s="86" t="b">
        <f t="shared" si="447"/>
        <v>0</v>
      </c>
      <c r="BX288" s="86">
        <f t="shared" si="448"/>
        <v>0.5</v>
      </c>
      <c r="BY288" s="86">
        <f t="shared" si="449"/>
        <v>0.5</v>
      </c>
      <c r="BZ288" s="30" t="e">
        <f t="shared" ca="1" si="480"/>
        <v>#DIV/0!</v>
      </c>
      <c r="CA288" s="85" t="e">
        <f ca="1">IF(BG288&lt;=Hypothèses!$V$7,Hypothèses!$W$7,IF(BG288&lt;=Hypothèses!$V$8,Hypothèses!$W$8,IF(BG288&lt;=Hypothèses!$V$9,Hypothèses!$W$9,IF(BG288&lt;=Hypothèses!$V$10,Hypothèses!$W$10,IF(BG288&lt;=Hypothèses!$V$11,Hypothèses!$W$11,IF(BG288&lt;=Hypothèses!$V$12,Hypothèses!$W$12,IF(BG288&lt;=Hypothèses!$V$13,Hypothèses!$W$13,IF(BG288&lt;=Hypothèses!$V$14,Hypothèses!$W$14,IF(BG288&lt;=Hypothèses!$V$15,Hypothèses!$W$15,IF(BG288&lt;=Hypothèses!$V$16,Hypothèses!$W$16,IF(BG288&lt;=Hypothèses!$V$17,Hypothèses!$W$17,IF(BG288&lt;=Hypothèses!$V$18,Hypothèses!$W$18,""))))))))))))</f>
        <v>#DIV/0!</v>
      </c>
      <c r="CB288" s="87" t="e">
        <f t="shared" ca="1" si="519"/>
        <v>#DIV/0!</v>
      </c>
      <c r="CC288" s="88" t="e">
        <f ca="1">IF(BG288&lt;=Hypothèses!$V$7,Hypothèses!$X$7,IF(BG288&lt;=Hypothèses!$V$8,Hypothèses!$X$8,IF(BG288&lt;=Hypothèses!$V$9,Hypothèses!$X$9,IF(BG288&lt;=Hypothèses!$V$10,Hypothèses!$X$10,IF(BG288&lt;=Hypothèses!$V$11,Hypothèses!$X$11,IF(BG288&lt;=Hypothèses!$V$12,Hypothèses!$X$12,IF(BG288&lt;=Hypothèses!$V$13,Hypothèses!$X$13,IF(BG288&lt;=Hypothèses!$V$14,Hypothèses!$X$14,IF(BG288&lt;=Hypothèses!$V$15,Hypothèses!$X$15,IF(BG288&lt;=Hypothèses!$V$16,Hypothèses!$X$16,IF(BG288&lt;=Hypothèses!$U$17,Hypothèses!$W$17,IF(BG288&lt;=Hypothèses!$U$18,Hypothèses!$W$18,""))))))))))))</f>
        <v>#DIV/0!</v>
      </c>
      <c r="CD288" s="95" t="e">
        <f t="shared" ca="1" si="481"/>
        <v>#DIV/0!</v>
      </c>
      <c r="CE288" s="101" t="e">
        <f t="shared" si="526"/>
        <v>#N/A</v>
      </c>
      <c r="CF288" s="91" t="e">
        <f t="shared" si="450"/>
        <v>#N/A</v>
      </c>
      <c r="CG288" s="30" t="e">
        <f t="shared" si="506"/>
        <v>#N/A</v>
      </c>
      <c r="CH288" s="30" t="e">
        <f t="shared" si="507"/>
        <v>#N/A</v>
      </c>
      <c r="CI288" s="31" t="e">
        <f>IF(OR(Hypothèses!$B$4=17,Hypothèses!$B$4=18,Hypothèses!$B$4=19,Hypothèses!$B$4=20),
IF($D288="Pressio.",
IF(OR($E288=3,$E288=1,$E288=4),CH288,CG288),
IF($D288="Pénétro.",
IF(OR($E288=3,$E288=1,$E288=4),CH288,CG288))),IF($D288="Pressio.",
IF($E288=3,CH288,CG288),
IF($D288="Pénétro.",
IF($E288=4,CH288,CG288))))</f>
        <v>#N/A</v>
      </c>
      <c r="CJ288" s="31" t="e">
        <f>(IF(OR(Hypothèses!$B$4=17,Hypothèses!$B$4=18,Hypothèses!$B$4=19,Hypothèses!$B$4=20),
IF($D288="Pressio.",
IF(OR($E288=3,$E288=1,$E288=4),(PI()*CJ$12^2)/4*(CF288*$W288*1000)/($H288*$B$5),(PI()*CJ$12^2)/4*(CF288*$W288*1000)/($G288*$B$5)),
IF($D288="Pénétro.",
IF(OR($E288=4,$E288=1,$E288=5),(PI()*CJ$12^2)/4*(CF288*$W288*1000)/($H288*$B$5),(PI()*CJ$12^2)/4*(CF288*$W288*1000)/($G288*$B$5)))),
IF($D288="Pressio.",
IF($E288=3,(PI()*CJ$12^2)/4*(CF288*$W288*1000)/($H288*$B$5),(PI()*CJ$12^2)/4*(CF288*$W288*1000)/($G288*$B$5)),
IF($D288="Pénétro.",
IF($E288=4,(PI()*CJ$12^2)/4*(CF288*$W288*1000)/($H288*$B$5),(PI()*CJ$12^2)/4*(CF288*$W288*1000)/($G288*$B$5))))))/10</f>
        <v>#N/A</v>
      </c>
      <c r="CK288" s="102" t="e">
        <f>(VLOOKUP($B$3,'Coeff EC7'!$T$39:$X$59,2,0)*CI288+VLOOKUP($B$3,'Coeff EC7'!$T$65:$X$85,2,0)*Model0.1C!CJ288)/1.1</f>
        <v>#N/A</v>
      </c>
      <c r="CL288" s="102" t="e">
        <f>(VLOOKUP($B$3,'Coeff EC7'!$T$39:$X$59,3,0)*CI288+VLOOKUP($B$3,'Coeff EC7'!$T$65:$X$85,3,0)*Model0.1C!CJ288)/0.9</f>
        <v>#N/A</v>
      </c>
      <c r="CM288" s="102" t="e">
        <f t="shared" si="482"/>
        <v>#N/A</v>
      </c>
      <c r="CN288" s="102" t="e">
        <f t="shared" si="483"/>
        <v>#N/A</v>
      </c>
      <c r="CO288" s="414" t="e">
        <f>IF(CO287=0,0,IF(AND(CK288&gt;charge_ELS_quasi,CL288&gt;Charge_ELS_freq,CM288&gt;charge_ELU,CN288&gt;charge_ELA,$B288&gt;NDC!$H$22-0.1+MIN(3*$CO$12,1.5)),0,1))</f>
        <v>#N/A</v>
      </c>
      <c r="CP288" s="86" t="b">
        <f t="shared" si="451"/>
        <v>0</v>
      </c>
      <c r="CQ288" s="86">
        <f t="shared" si="452"/>
        <v>0.5</v>
      </c>
      <c r="CR288" s="86">
        <f t="shared" si="453"/>
        <v>0.5</v>
      </c>
      <c r="CS288" s="30" t="e">
        <f t="shared" ca="1" si="484"/>
        <v>#DIV/0!</v>
      </c>
      <c r="CT288" s="85" t="e">
        <f ca="1">IF(BZ288&lt;=Hypothèses!$V$7,Hypothèses!$W$7,IF(BZ288&lt;=Hypothèses!$V$8,Hypothèses!$W$8,IF(BZ288&lt;=Hypothèses!$V$9,Hypothèses!$W$9,IF(BZ288&lt;=Hypothèses!$V$10,Hypothèses!$W$10,IF(BZ288&lt;=Hypothèses!$V$11,Hypothèses!$W$11,IF(BZ288&lt;=Hypothèses!$V$12,Hypothèses!$W$12,IF(BZ288&lt;=Hypothèses!$V$13,Hypothèses!$W$13,IF(BZ288&lt;=Hypothèses!$V$14,Hypothèses!$W$14,IF(BZ288&lt;=Hypothèses!$V$15,Hypothèses!$W$15,IF(BZ288&lt;=Hypothèses!$V$16,Hypothèses!$W$16,IF(BZ288&lt;=Hypothèses!$V$17,Hypothèses!$W$17,IF(BZ288&lt;=Hypothèses!$V$18,Hypothèses!$W$18,""))))))))))))</f>
        <v>#DIV/0!</v>
      </c>
      <c r="CU288" s="87" t="e">
        <f t="shared" ca="1" si="520"/>
        <v>#DIV/0!</v>
      </c>
      <c r="CV288" s="88" t="e">
        <f ca="1">IF(BZ288&lt;=Hypothèses!$V$7,Hypothèses!$X$7,IF(BZ288&lt;=Hypothèses!$V$8,Hypothèses!$X$8,IF(BZ288&lt;=Hypothèses!$V$9,Hypothèses!$X$9,IF(BZ288&lt;=Hypothèses!$V$10,Hypothèses!$X$10,IF(BZ288&lt;=Hypothèses!$V$11,Hypothèses!$X$11,IF(BZ288&lt;=Hypothèses!$V$12,Hypothèses!$X$12,IF(BZ288&lt;=Hypothèses!$V$13,Hypothèses!$X$13,IF(BZ288&lt;=Hypothèses!$V$14,Hypothèses!$X$14,IF(BZ288&lt;=Hypothèses!$V$15,Hypothèses!$X$15,IF(BZ288&lt;=Hypothèses!$V$16,Hypothèses!$X$16,IF(BZ288&lt;=Hypothèses!$U$17,Hypothèses!$W$17,IF(BZ288&lt;=Hypothèses!$U$18,Hypothèses!$W$18,""))))))))))))</f>
        <v>#DIV/0!</v>
      </c>
      <c r="CW288" s="95" t="e">
        <f t="shared" ca="1" si="485"/>
        <v>#DIV/0!</v>
      </c>
      <c r="CX288" s="101" t="e">
        <f t="shared" si="527"/>
        <v>#N/A</v>
      </c>
      <c r="CY288" s="91" t="e">
        <f t="shared" si="454"/>
        <v>#N/A</v>
      </c>
      <c r="CZ288" s="30" t="e">
        <f t="shared" si="508"/>
        <v>#N/A</v>
      </c>
      <c r="DA288" s="30" t="e">
        <f t="shared" si="509"/>
        <v>#N/A</v>
      </c>
      <c r="DB288" s="31" t="e">
        <f>IF(OR(Hypothèses!$B$4=17,Hypothèses!$B$4=18,Hypothèses!$B$4=19,Hypothèses!$B$4=20),
IF($D288="Pressio.",
IF(OR($E288=3,$E288=1,$E288=4),DA288,CZ288),
IF($D288="Pénétro.",
IF(OR($E288=3,$E288=1,$E288=4),DA288,CZ288))),IF($D288="Pressio.",
IF($E288=3,DA288,CZ288),
IF($D288="Pénétro.",
IF($E288=4,DA288,CZ288))))</f>
        <v>#N/A</v>
      </c>
      <c r="DC288" s="31" t="e">
        <f>(IF(OR(Hypothèses!$B$4=17,Hypothèses!$B$4=18,Hypothèses!$B$4=19,Hypothèses!$B$4=20),
IF($D288="Pressio.",
IF(OR($E288=3,$E288=1,$E288=4),(PI()*DC$12^2)/4*(CY288*$W288*1000)/($H288*$B$5),(PI()*DC$12^2)/4*(CY288*$W288*1000)/($G288*$B$5)),
IF($D288="Pénétro.",
IF(OR($E288=4,$E288=1,$E288=5),(PI()*DC$12^2)/4*(CY288*$W288*1000)/($H288*$B$5),(PI()*DC$12^2)/4*(CY288*$W288*1000)/($G288*$B$5)))),
IF($D288="Pressio.",
IF($E288=3,(PI()*DC$12^2)/4*(CY288*$W288*1000)/($H288*$B$5),(PI()*DC$12^2)/4*(CY288*$W288*1000)/($G288*$B$5)),
IF($D288="Pénétro.",
IF($E288=4,(PI()*DC$12^2)/4*(CY288*$W288*1000)/($H288*$B$5),(PI()*DC$12^2)/4*(CY288*$W288*1000)/($G288*$B$5))))))/10</f>
        <v>#N/A</v>
      </c>
      <c r="DD288" s="102" t="e">
        <f>(VLOOKUP($B$3,'Coeff EC7'!$T$39:$X$59,2,0)*DB288+VLOOKUP($B$3,'Coeff EC7'!$T$65:$X$85,2,0)*Model0.1C!DC288)/1.1</f>
        <v>#N/A</v>
      </c>
      <c r="DE288" s="102" t="e">
        <f>(VLOOKUP($B$3,'Coeff EC7'!$T$39:$X$59,3,0)*DB288+VLOOKUP($B$3,'Coeff EC7'!$T$65:$X$85,3,0)*Model0.1C!DC288)/0.9</f>
        <v>#N/A</v>
      </c>
      <c r="DF288" s="102" t="e">
        <f t="shared" si="486"/>
        <v>#N/A</v>
      </c>
      <c r="DG288" s="102" t="e">
        <f t="shared" si="487"/>
        <v>#N/A</v>
      </c>
      <c r="DH288" s="414" t="e">
        <f>IF(DH287=0,0,IF(AND(DD288&gt;charge_ELS_quasi,DE288&gt;Charge_ELS_freq,DF288&gt;charge_ELU,DG288&gt;charge_ELA,$B288&gt;NDC!$H$22-0.1+MIN(3*$DH$12,1.5)),0,1))</f>
        <v>#N/A</v>
      </c>
      <c r="DI288" s="86" t="b">
        <f t="shared" si="455"/>
        <v>0</v>
      </c>
      <c r="DJ288" s="86">
        <f t="shared" si="456"/>
        <v>0.5</v>
      </c>
      <c r="DK288" s="86">
        <f t="shared" si="457"/>
        <v>0.5</v>
      </c>
      <c r="DL288" s="30" t="e">
        <f t="shared" ca="1" si="488"/>
        <v>#DIV/0!</v>
      </c>
      <c r="DM288" s="85" t="e">
        <f ca="1">IF(CS288&lt;=Hypothèses!$V$7,Hypothèses!$W$7,IF(CS288&lt;=Hypothèses!$V$8,Hypothèses!$W$8,IF(CS288&lt;=Hypothèses!$V$9,Hypothèses!$W$9,IF(CS288&lt;=Hypothèses!$V$10,Hypothèses!$W$10,IF(CS288&lt;=Hypothèses!$V$11,Hypothèses!$W$11,IF(CS288&lt;=Hypothèses!$V$12,Hypothèses!$W$12,IF(CS288&lt;=Hypothèses!$V$13,Hypothèses!$W$13,IF(CS288&lt;=Hypothèses!$V$14,Hypothèses!$W$14,IF(CS288&lt;=Hypothèses!$V$15,Hypothèses!$W$15,IF(CS288&lt;=Hypothèses!$V$16,Hypothèses!$W$16,IF(CS288&lt;=Hypothèses!$V$17,Hypothèses!$W$17,IF(CS288&lt;=Hypothèses!$V$18,Hypothèses!$W$18,""))))))))))))</f>
        <v>#DIV/0!</v>
      </c>
      <c r="DN288" s="87" t="e">
        <f t="shared" ca="1" si="521"/>
        <v>#DIV/0!</v>
      </c>
      <c r="DO288" s="88" t="e">
        <f ca="1">IF(CS288&lt;=Hypothèses!$V$7,Hypothèses!$X$7,IF(CS288&lt;=Hypothèses!$V$8,Hypothèses!$X$8,IF(CS288&lt;=Hypothèses!$V$9,Hypothèses!$X$9,IF(CS288&lt;=Hypothèses!$V$10,Hypothèses!$X$10,IF(CS288&lt;=Hypothèses!$V$11,Hypothèses!$X$11,IF(CS288&lt;=Hypothèses!$V$12,Hypothèses!$X$12,IF(CS288&lt;=Hypothèses!$V$13,Hypothèses!$X$13,IF(CS288&lt;=Hypothèses!$V$14,Hypothèses!$X$14,IF(CS288&lt;=Hypothèses!$V$15,Hypothèses!$X$15,IF(CS288&lt;=Hypothèses!$V$16,Hypothèses!$X$16,IF(CS288&lt;=Hypothèses!$U$17,Hypothèses!$W$17,IF(CS288&lt;=Hypothèses!$U$18,Hypothèses!$W$18,""))))))))))))</f>
        <v>#DIV/0!</v>
      </c>
      <c r="DP288" s="95" t="e">
        <f t="shared" ca="1" si="489"/>
        <v>#DIV/0!</v>
      </c>
      <c r="DQ288" s="101" t="e">
        <f t="shared" si="528"/>
        <v>#N/A</v>
      </c>
      <c r="DR288" s="91" t="e">
        <f t="shared" si="458"/>
        <v>#N/A</v>
      </c>
      <c r="DS288" s="30" t="e">
        <f t="shared" si="510"/>
        <v>#N/A</v>
      </c>
      <c r="DT288" s="30" t="e">
        <f t="shared" si="511"/>
        <v>#N/A</v>
      </c>
      <c r="DU288" s="31" t="e">
        <f>IF(OR(Hypothèses!$B$4=17,Hypothèses!$B$4=18,Hypothèses!$B$4=19,Hypothèses!$B$4=20),
IF($D288="Pressio.",
IF(OR($E288=3,$E288=1,$E288=4),DT288,DS288),
IF($D288="Pénétro.",
IF(OR($E288=3,$E288=1,$E288=4),DT288,DS288))),IF($D288="Pressio.",
IF($E288=3,DT288,DS288),
IF($D288="Pénétro.",
IF($E288=4,DT288,DS288))))</f>
        <v>#N/A</v>
      </c>
      <c r="DV288" s="31" t="e">
        <f>(IF(OR(Hypothèses!$B$4=17,Hypothèses!$B$4=18,Hypothèses!$B$4=19,Hypothèses!$B$4=20),
IF($D288="Pressio.",
IF(OR($E288=3,$E288=1,$E288=4),(PI()*DV$12^2)/4*(DR288*$W288*1000)/($H288*$B$5),(PI()*DV$12^2)/4*(DR288*$W288*1000)/($G288*$B$5)),
IF($D288="Pénétro.",
IF(OR($E288=4,$E288=1,$E288=5),(PI()*DV$12^2)/4*(DR288*$W288*1000)/($H288*$B$5),(PI()*DV$12^2)/4*(DR288*$W288*1000)/($G288*$B$5)))),
IF($D288="Pressio.",
IF($E288=3,(PI()*DV$12^2)/4*(DR288*$W288*1000)/($H288*$B$5),(PI()*DV$12^2)/4*(DR288*$W288*1000)/($G288*$B$5)),
IF($D288="Pénétro.",
IF($E288=4,(PI()*DV$12^2)/4*(DR288*$W288*1000)/($H288*$B$5),(PI()*DV$12^2)/4*(DR288*$W288*1000)/($G288*$B$5))))))/10</f>
        <v>#N/A</v>
      </c>
      <c r="DW288" s="102" t="e">
        <f>(VLOOKUP($B$3,'Coeff EC7'!$T$39:$X$59,2,0)*DU288+VLOOKUP($B$3,'Coeff EC7'!$T$65:$X$85,2,0)*Model0.1C!DV288)/1.1</f>
        <v>#N/A</v>
      </c>
      <c r="DX288" s="102" t="e">
        <f>(VLOOKUP($B$3,'Coeff EC7'!$T$39:$X$59,3,0)*DU288+VLOOKUP($B$3,'Coeff EC7'!$T$65:$X$85,3,0)*Model0.1C!DV288)/0.9</f>
        <v>#N/A</v>
      </c>
      <c r="DY288" s="102" t="e">
        <f t="shared" si="490"/>
        <v>#N/A</v>
      </c>
      <c r="DZ288" s="102" t="e">
        <f t="shared" si="491"/>
        <v>#N/A</v>
      </c>
      <c r="EA288" s="414" t="e">
        <f>IF(EA287=0,0,IF(AND(DW288&gt;charge_ELS_quasi,DX288&gt;Charge_ELS_freq,DY288&gt;charge_ELU,DZ288&gt;charge_ELA,$B288&gt;NDC!$H$22-0.1+MIN(3*$EA$12,1.5)),0,1))</f>
        <v>#N/A</v>
      </c>
      <c r="EB288" s="86" t="b">
        <f t="shared" si="459"/>
        <v>0</v>
      </c>
      <c r="EC288" s="418">
        <f t="shared" si="460"/>
        <v>0.51</v>
      </c>
      <c r="ED288" s="86">
        <f t="shared" si="461"/>
        <v>0.51</v>
      </c>
      <c r="EE288" s="30" t="e">
        <f t="shared" ca="1" si="492"/>
        <v>#DIV/0!</v>
      </c>
      <c r="EF288" s="85" t="e">
        <f ca="1">IF(DL288&lt;=Hypothèses!$V$7,Hypothèses!$W$7,IF(DL288&lt;=Hypothèses!$V$8,Hypothèses!$W$8,IF(DL288&lt;=Hypothèses!$V$9,Hypothèses!$W$9,IF(DL288&lt;=Hypothèses!$V$10,Hypothèses!$W$10,IF(DL288&lt;=Hypothèses!$V$11,Hypothèses!$W$11,IF(DL288&lt;=Hypothèses!$V$12,Hypothèses!$W$12,IF(DL288&lt;=Hypothèses!$V$13,Hypothèses!$W$13,IF(DL288&lt;=Hypothèses!$V$14,Hypothèses!$W$14,IF(DL288&lt;=Hypothèses!$V$15,Hypothèses!$W$15,IF(DL288&lt;=Hypothèses!$V$16,Hypothèses!$W$16,IF(DL288&lt;=Hypothèses!$V$17,Hypothèses!$W$17,IF(DL288&lt;=Hypothèses!$V$18,Hypothèses!$W$18,""))))))))))))</f>
        <v>#DIV/0!</v>
      </c>
      <c r="EG288" s="87" t="e">
        <f t="shared" ca="1" si="522"/>
        <v>#DIV/0!</v>
      </c>
      <c r="EH288" s="88" t="e">
        <f ca="1">IF(DL288&lt;=Hypothèses!$V$7,Hypothèses!$X$7,IF(DL288&lt;=Hypothèses!$V$8,Hypothèses!$X$8,IF(DL288&lt;=Hypothèses!$V$9,Hypothèses!$X$9,IF(DL288&lt;=Hypothèses!$V$10,Hypothèses!$X$10,IF(DL288&lt;=Hypothèses!$V$11,Hypothèses!$X$11,IF(DL288&lt;=Hypothèses!$V$12,Hypothèses!$X$12,IF(DL288&lt;=Hypothèses!$V$13,Hypothèses!$X$13,IF(DL288&lt;=Hypothèses!$V$14,Hypothèses!$X$14,IF(DL288&lt;=Hypothèses!$V$15,Hypothèses!$X$15,IF(DL288&lt;=Hypothèses!$V$16,Hypothèses!$X$16,IF(DL288&lt;=Hypothèses!$U$17,Hypothèses!$W$17,IF(DL288&lt;=Hypothèses!$U$18,Hypothèses!$W$18,""))))))))))))</f>
        <v>#DIV/0!</v>
      </c>
      <c r="EI288" s="95" t="e">
        <f t="shared" ca="1" si="493"/>
        <v>#DIV/0!</v>
      </c>
      <c r="EJ288" s="101" t="e">
        <f t="shared" si="529"/>
        <v>#N/A</v>
      </c>
      <c r="EK288" s="91" t="e">
        <f t="shared" si="462"/>
        <v>#N/A</v>
      </c>
      <c r="EL288" s="30" t="e">
        <f t="shared" si="512"/>
        <v>#N/A</v>
      </c>
      <c r="EM288" s="30" t="e">
        <f t="shared" si="513"/>
        <v>#N/A</v>
      </c>
      <c r="EN288" s="31" t="e">
        <f>IF(OR(Hypothèses!$B$4=17,Hypothèses!$B$4=18,Hypothèses!$B$4=19,Hypothèses!$B$4=20),
IF($D288="Pressio.",
IF(OR($E288=3,$E288=1,$E288=4),EM288,EL288),
IF($D288="Pénétro.",
IF(OR($E288=3,$E288=1,$E288=4),EM288,EL288))),IF($D288="Pressio.",
IF($E288=3,EM288,EL288),
IF($D288="Pénétro.",
IF($E288=4,EM288,EL288))))</f>
        <v>#N/A</v>
      </c>
      <c r="EO288" s="31" t="e">
        <f>(IF(OR(Hypothèses!$B$4=17,Hypothèses!$B$4=18,Hypothèses!$B$4=19,Hypothèses!$B$4=20),
IF($D288="Pressio.",
IF(OR($E288=3,$E288=1,$E288=4),(PI()*EO$12^2)/4*(EK288*$W288*1000)/($H288*$B$5),(PI()*EO$12^2)/4*(EK288*$W288*1000)/($G288*$B$5)),
IF($D288="Pénétro.",
IF(OR($E288=4,$E288=1,$E288=5),(PI()*EO$12^2)/4*(EK288*$W288*1000)/($H288*$B$5),(PI()*EO$12^2)/4*(EK288*$W288*1000)/($G288*$B$5)))),
IF($D288="Pressio.",
IF($E288=3,(PI()*EO$12^2)/4*(EK288*$W288*1000)/($H288*$B$5),(PI()*EO$12^2)/4*(EK288*$W288*1000)/($G288*$B$5)),
IF($D288="Pénétro.",
IF($E288=4,(PI()*EO$12^2)/4*(EK288*$W288*1000)/($H288*$B$5),(PI()*EO$12^2)/4*(EK288*$W288*1000)/($G288*$B$5))))))/10</f>
        <v>#N/A</v>
      </c>
      <c r="EP288" s="102" t="e">
        <f>(VLOOKUP($B$3,'Coeff EC7'!$T$39:$X$59,2,0)*EN288+VLOOKUP($B$3,'Coeff EC7'!$T$65:$X$85,2,0)*Model0.1C!EO288)/1.1</f>
        <v>#N/A</v>
      </c>
      <c r="EQ288" s="102" t="e">
        <f>(VLOOKUP($B$3,'Coeff EC7'!$T$39:$X$59,3,0)*EN288+VLOOKUP($B$3,'Coeff EC7'!$T$65:$X$85,3,0)*Model0.1C!EO288)/0.9</f>
        <v>#N/A</v>
      </c>
      <c r="ER288" s="102" t="e">
        <f t="shared" si="494"/>
        <v>#N/A</v>
      </c>
      <c r="ES288" s="102" t="e">
        <f t="shared" si="495"/>
        <v>#N/A</v>
      </c>
      <c r="ET288" s="414" t="e">
        <f>IF(ET287=0,0,IF(AND(EP288&gt;charge_ELS_quasi,EQ288&gt;Charge_ELS_freq,ER288&gt;charge_ELU,ES288&gt;charge_ELA,$B288&gt;NDC!$H$22-0.1+MIN(3*$ET$12,1.5)),0,1))</f>
        <v>#N/A</v>
      </c>
      <c r="EU288" s="86" t="b">
        <f t="shared" si="463"/>
        <v>0</v>
      </c>
      <c r="EV288" s="86">
        <f t="shared" si="464"/>
        <v>0.61</v>
      </c>
      <c r="EW288" s="86">
        <f t="shared" si="465"/>
        <v>0.61</v>
      </c>
      <c r="EX288" s="30" t="e">
        <f t="shared" ca="1" si="496"/>
        <v>#DIV/0!</v>
      </c>
      <c r="EY288" s="85" t="e">
        <f ca="1">IF(EE288&lt;=Hypothèses!$V$7,Hypothèses!$W$7,IF(EE288&lt;=Hypothèses!$V$8,Hypothèses!$W$8,IF(EE288&lt;=Hypothèses!$V$9,Hypothèses!$W$9,IF(EE288&lt;=Hypothèses!$V$10,Hypothèses!$W$10,IF(EE288&lt;=Hypothèses!$V$11,Hypothèses!$W$11,IF(EE288&lt;=Hypothèses!$V$12,Hypothèses!$W$12,IF(EE288&lt;=Hypothèses!$V$13,Hypothèses!$W$13,IF(EE288&lt;=Hypothèses!$V$14,Hypothèses!$W$14,IF(EE288&lt;=Hypothèses!$V$15,Hypothèses!$W$15,IF(EE288&lt;=Hypothèses!$V$16,Hypothèses!$W$16,IF(EE288&lt;=Hypothèses!$V$17,Hypothèses!$W$17,IF(EE288&lt;=Hypothèses!$V$18,Hypothèses!$W$18,""))))))))))))</f>
        <v>#DIV/0!</v>
      </c>
      <c r="EZ288" s="87" t="e">
        <f t="shared" ca="1" si="523"/>
        <v>#DIV/0!</v>
      </c>
      <c r="FA288" s="88" t="e">
        <f ca="1">IF(EE288&lt;=Hypothèses!$V$7,Hypothèses!$X$7,IF(EE288&lt;=Hypothèses!$V$8,Hypothèses!$X$8,IF(EE288&lt;=Hypothèses!$V$9,Hypothèses!$X$9,IF(EE288&lt;=Hypothèses!$V$10,Hypothèses!$X$10,IF(EE288&lt;=Hypothèses!$V$11,Hypothèses!$X$11,IF(EE288&lt;=Hypothèses!$V$12,Hypothèses!$X$12,IF(EE288&lt;=Hypothèses!$V$13,Hypothèses!$X$13,IF(EE288&lt;=Hypothèses!$V$14,Hypothèses!$X$14,IF(EE288&lt;=Hypothèses!$V$15,Hypothèses!$X$15,IF(EE288&lt;=Hypothèses!$V$16,Hypothèses!$X$16,IF(EE288&lt;=Hypothèses!$U$17,Hypothèses!$W$17,IF(EE288&lt;=Hypothèses!$U$18,Hypothèses!$W$18,""))))))))))))</f>
        <v>#DIV/0!</v>
      </c>
      <c r="FB288" s="95" t="e">
        <f t="shared" ca="1" si="497"/>
        <v>#DIV/0!</v>
      </c>
      <c r="FC288" s="101" t="e">
        <f t="shared" si="530"/>
        <v>#N/A</v>
      </c>
      <c r="FD288" s="91" t="e">
        <f t="shared" si="466"/>
        <v>#N/A</v>
      </c>
      <c r="FE288" s="30" t="e">
        <f t="shared" si="514"/>
        <v>#N/A</v>
      </c>
      <c r="FF288" s="30" t="e">
        <f t="shared" si="515"/>
        <v>#N/A</v>
      </c>
      <c r="FG288" s="31" t="e">
        <f>IF(OR(Hypothèses!$B$4=17,Hypothèses!$B$4=18,Hypothèses!$B$4=19,Hypothèses!$B$4=20),
IF($D288="Pressio.",
IF(OR($E288=3,$E288=1,$E288=4),FF288,FE288),
IF($D288="Pénétro.",
IF(OR($E288=3,$E288=1,$E288=4),FF288,FE288))),IF($D288="Pressio.",
IF($E288=3,FF288,FE288),
IF($D288="Pénétro.",
IF($E288=4,FF288,FE288))))</f>
        <v>#N/A</v>
      </c>
      <c r="FH288" s="31" t="e">
        <f>(IF(OR(Hypothèses!$B$4=17,Hypothèses!$B$4=18,Hypothèses!$B$4=19,Hypothèses!$B$4=20),
IF($D288="Pressio.",
IF(OR($E288=3,$E288=1,$E288=4),(PI()*FH$12^2)/4*(FD288*$W288*1000)/($H288*$B$5),(PI()*FH$12^2)/4*(FD288*$W288*1000)/($G288*$B$5)),
IF($D288="Pénétro.",
IF(OR($E288=4,$E288=1,$E288=5),(PI()*FH$12^2)/4*(FD288*$W288*1000)/($H288*$B$5),(PI()*FH$12^2)/4*(FD288*$W288*1000)/($G288*$B$5)))),
IF($D288="Pressio.",
IF($E288=3,(PI()*FH$12^2)/4*(FD288*$W288*1000)/($H288*$B$5),(PI()*FH$12^2)/4*(FD288*$W288*1000)/($G288*$B$5)),
IF($D288="Pénétro.",
IF($E288=4,(PI()*FH$12^2)/4*(FD288*$W288*1000)/($H288*$B$5),(PI()*FH$12^2)/4*(FD288*$W288*1000)/($G288*$B$5))))))/10</f>
        <v>#N/A</v>
      </c>
      <c r="FI288" s="102" t="e">
        <f>(VLOOKUP($B$3,'Coeff EC7'!$T$39:$X$59,2,0)*FG288+VLOOKUP($B$3,'Coeff EC7'!$T$65:$X$85,2,0)*Model0.1C!FH288)/1.1</f>
        <v>#N/A</v>
      </c>
      <c r="FJ288" s="102" t="e">
        <f>(VLOOKUP($B$3,'Coeff EC7'!$T$39:$X$59,3,0)*FG288+VLOOKUP($B$3,'Coeff EC7'!$T$65:$X$85,3,0)*Model0.1C!FH288)/0.9</f>
        <v>#N/A</v>
      </c>
      <c r="FK288" s="102" t="e">
        <f t="shared" si="498"/>
        <v>#N/A</v>
      </c>
      <c r="FL288" s="102" t="e">
        <f t="shared" si="499"/>
        <v>#N/A</v>
      </c>
      <c r="FM288" s="414" t="e">
        <f>IF(FM287=0,0,IF(AND(FI288&gt;charge_ELS_quasi,FJ288&gt;Charge_ELS_freq,FK288&gt;charge_ELU,FL288&gt;charge_ELA,$B288&gt;NDC!$H$22-0.1+MIN(3*$FM$12,1.5)),0,1))</f>
        <v>#N/A</v>
      </c>
    </row>
    <row r="289" spans="1:169">
      <c r="A289" s="96">
        <f t="shared" si="467"/>
        <v>72.400000000001569</v>
      </c>
      <c r="B289" s="97">
        <v>27.6</v>
      </c>
      <c r="C289" s="81">
        <f>IF(B289&lt;=Hypothèses!$C$7,Hypothèses!$A$7,IF(B289&lt;=Hypothèses!$C$8,Hypothèses!$A$8,IF(B289&lt;=Hypothèses!$C$9,Hypothèses!$A$9,IF(B289&lt;=Hypothèses!$C$10,Hypothèses!$A$10,IF(B289&lt;=Hypothèses!$C$11,Hypothèses!$A$11,IF(B289&lt;=Hypothèses!$C$12,Hypothèses!$A$12,IF(B289&lt;=Hypothèses!$C$13,Hypothèses!$A$13,IF(B289&lt;=Hypothèses!$C$14,Hypothèses!$A$14,IF(B289&lt;=Hypothèses!$C$15,Hypothèses!$A$15,IF(B289&lt;=Hypothèses!$C$16,Hypothèses!$A$16,IF(B289&lt;=Hypothèses!$C$17,Hypothèses!$A$17,IF(B289&lt;=Hypothèses!$C$18,Hypothèses!$A$18,C288))))))))))))</f>
        <v>11</v>
      </c>
      <c r="D289" s="82" t="str">
        <f>IF(B289&lt;=Hypothèses!$C$7,Hypothèses!$R$7,IF(B289&lt;=Hypothèses!$C$8,Hypothèses!$R$8,IF(B289&lt;=Hypothèses!$C$9,Hypothèses!$R$9,IF(B289&lt;=Hypothèses!$C$10,Hypothèses!$R$10,IF(B289&lt;=Hypothèses!$C$11,Hypothèses!$R$11,IF(B289&lt;=Hypothèses!$C$12,Hypothèses!$R$12,IF(B289&lt;=Hypothèses!$C$13,Hypothèses!$R$13,IF(B289&lt;=Hypothèses!$C$14,Hypothèses!$R$14,IF(B289&lt;=Hypothèses!$C$15,Hypothèses!$R$15,IF(B289&lt;=Hypothèses!$C$16,Hypothèses!$R$16,IF(B289&lt;=Hypothèses!$C$17,Hypothèses!$R$17,IF(B289&lt;=Hypothèses!$C$18,Hypothèses!$R$18,D288))))))))))))</f>
        <v>Pressio.</v>
      </c>
      <c r="E289" s="82" t="e">
        <f>IF(B289&lt;=Hypothèses!$C$7,Hypothèses!$G$7,IF(B289&lt;=Hypothèses!$C$8,Hypothèses!$G$8,IF(B289&lt;=Hypothèses!$C$9,Hypothèses!$G$9,IF(B289&lt;=Hypothèses!$C$10,Hypothèses!$G$10,IF(B289&lt;=Hypothèses!$C$11,Hypothèses!$G$11,IF(B289&lt;=Hypothèses!$C$12,Hypothèses!$G$12,IF(B289&lt;=Hypothèses!$C$13,Hypothèses!$G$13,IF(B289&lt;=Hypothèses!$C$14,Hypothèses!$G$14,IF(B289&lt;=Hypothèses!$C$15,Hypothèses!$G$15,IF(B289&lt;=Hypothèses!$C$16,Hypothèses!$G$16,IF(B289&lt;=Hypothèses!$C$17,Hypothèses!$G$17,IF(B289&lt;=Hypothèses!$C$18,Hypothèses!$G$18,E288))))))))))))</f>
        <v>#N/A</v>
      </c>
      <c r="F289" s="82" t="str">
        <f>IF(B289&lt;=Hypothèses!$C$7,Hypothèses!$F$7,IF(B289&lt;=Hypothèses!$C$8,Hypothèses!$F$8,IF(B289&lt;=Hypothèses!$C$9,Hypothèses!$F$9,IF(B289&lt;=Hypothèses!$C$10,Hypothèses!$F$10,IF(B289&lt;=Hypothèses!$C$11,Hypothèses!$F$11,IF(B289&lt;=Hypothèses!$C$12,Hypothèses!$F$12,IF(B289&lt;=Hypothèses!$C$13,Hypothèses!$F$13,IF(B289&lt;=Hypothèses!$C$14,Hypothèses!$F$14,IF(B289&lt;=Hypothèses!$C$15,Hypothèses!$F$15,IF(B289&lt;=Hypothèses!$C$16,Hypothèses!$F$16,IF(B289&lt;=Hypothèses!$C$17,Hypothèses!$F$17,IF(B289&lt;=Hypothèses!$C$18,Hypothèses!$F$18,F288))))))))))))</f>
        <v/>
      </c>
      <c r="G289" s="91">
        <f t="array" ref="G289">INDEX('Coeff EC7'!$U$7:$X$27,
MATCH(Model0.1C!$B$3,'Coeff EC7'!$T$7:$T$27,0),
MATCH(Model0.1C!$D289&amp;Model0.1C!$B$4,
'Coeff EC7'!$U$6:$X$6&amp;
'Coeff EC7'!$U$5:$X$5,0))</f>
        <v>1.1499999999999999</v>
      </c>
      <c r="H289" s="91">
        <f t="array" ref="H289">INDEX('Coeff EC7'!$Y$7:$AB$27,
MATCH(Model0.1C!$B$3,'Coeff EC7'!$T$7:$T$27,0),
MATCH(Model0.1C!$D289&amp;Model0.1C!$B$4,
'Coeff EC7'!$Y$6:$AB$6&amp;
'Coeff EC7'!$Y$5:$AB$5,0))</f>
        <v>1.4</v>
      </c>
      <c r="I289" s="83" t="e">
        <f>IF(B289&lt;=Hypothèses!$C$7,Hypothèses!$P$7,IF(B289&lt;=Hypothèses!$C$8,Hypothèses!$P$8,IF(B289&lt;=Hypothèses!$C$9,Hypothèses!$P$9,IF(B289&lt;=Hypothèses!$C$10,Hypothèses!$P$10,IF(B289&lt;=Hypothèses!$C$11,Hypothèses!$P$11,IF(B289&lt;=Hypothèses!$C$12,Hypothèses!$P$12,IF(B289&lt;=Hypothèses!$C$13,Hypothèses!$P$13,IF(B289&lt;=Hypothèses!$C$14,Hypothèses!$P$14,IF(B289&lt;=Hypothèses!$C$15,Hypothèses!$P$15,IF(B289&lt;=Hypothèses!$C$16,Hypothèses!$P$16,IF(B289&lt;=Hypothèses!$C$17,Hypothèses!$P$17,IF(B289&lt;=Hypothèses!$C$18,Hypothèses!$P$18,I288))))))))))))</f>
        <v>#N/A</v>
      </c>
      <c r="J289" s="91" t="e">
        <f t="array" ref="J289">INDEX('Coeff EC7'!$D$33:$Q$33,1,MATCH(D289&amp;E289,'Coeff EC7'!$D$31:$Q$31&amp;'Coeff EC7'!$D$32:$Q$32,0))</f>
        <v>#N/A</v>
      </c>
      <c r="K289" s="91" t="e">
        <f t="array" ref="K289">INDEX('Coeff EC7'!$D$34:$Q$34,1,MATCH(D289&amp;E289,'Coeff EC7'!$D$31:$Q$31&amp;'Coeff EC7'!$D$32:$Q$32,0))</f>
        <v>#N/A</v>
      </c>
      <c r="L289" s="91" t="e">
        <f t="array" ref="L289">INDEX('Coeff EC7'!$D$35:$Q$35,1,MATCH(D289&amp;E289,'Coeff EC7'!$D$31:$Q$31&amp;'Coeff EC7'!$D$32:$Q$32,0))</f>
        <v>#N/A</v>
      </c>
      <c r="M289" s="98" t="e">
        <f t="shared" si="431"/>
        <v>#N/A</v>
      </c>
      <c r="N289" s="99" t="e">
        <f t="array" ref="N289">INDEX('Coeff EC7'!$D$7:$Q$27,MATCH($B$3,'Coeff EC7'!$C$7:$C$27,0),MATCH(D289&amp;E289,'Coeff EC7'!$D$5:$Q$5&amp;'Coeff EC7'!$D$6:$Q$6,0))</f>
        <v>#N/A</v>
      </c>
      <c r="O289" s="99" t="e">
        <f t="array" ref="O289">INDEX('Coeff EC7'!$D$41:$Q$61,MATCH($B$3,'Coeff EC7'!$C$41:$C$61,0),MATCH(D289&amp;E289,'Coeff EC7'!$D$39:$Q$39&amp;'Coeff EC7'!$D$40:$Q$40,0))</f>
        <v>#N/A</v>
      </c>
      <c r="P289" s="30" t="e">
        <f t="shared" si="468"/>
        <v>#N/A</v>
      </c>
      <c r="Q289" s="100" t="e">
        <f t="shared" si="433"/>
        <v>#N/A</v>
      </c>
      <c r="R289" s="86" t="b">
        <f t="shared" si="434"/>
        <v>0</v>
      </c>
      <c r="S289" s="86">
        <f t="shared" si="432"/>
        <v>0.5</v>
      </c>
      <c r="T289" s="86">
        <f t="shared" si="435"/>
        <v>0.5</v>
      </c>
      <c r="U289" s="30" t="e">
        <f t="shared" ca="1" si="469"/>
        <v>#DIV/0!</v>
      </c>
      <c r="V289" s="85" t="str">
        <f>IF(B289&lt;=Hypothèses!$V$7,Hypothèses!$W$7,IF(B289&lt;=Hypothèses!$V$8,Hypothèses!$W$8,IF(B289&lt;=Hypothèses!$V$9,Hypothèses!$W$9,IF(B289&lt;=Hypothèses!$V$10,Hypothèses!$W$10,IF(B289&lt;=Hypothèses!$V$11,Hypothèses!$W$11,IF(B289&lt;=Hypothèses!$V$12,Hypothèses!$W$12,IF(B289&lt;=Hypothèses!$V$13,Hypothèses!$W$13,IF(B289&lt;=Hypothèses!$V$14,Hypothèses!$W$14,IF(B289&lt;=Hypothèses!$V$15,Hypothèses!$W$15,IF(B289&lt;=Hypothèses!$V$16,Hypothèses!$W$16,IF(B289&lt;=Hypothèses!$V$17,Hypothèses!$W$17,IF(B289&lt;=Hypothèses!$V$18,Hypothèses!$W$18,""))))))))))))</f>
        <v/>
      </c>
      <c r="W289" s="87" t="e">
        <f t="shared" ca="1" si="516"/>
        <v>#DIV/0!</v>
      </c>
      <c r="X289" s="88" t="str">
        <f>IF(B289&lt;=Hypothèses!$V$7,Hypothèses!$X$7,IF(B289&lt;=Hypothèses!$V$8,Hypothèses!$X$8,IF(B289&lt;=Hypothèses!$V$9,Hypothèses!$X$9,IF(B289&lt;=Hypothèses!$V$10,Hypothèses!$X$10,IF(B289&lt;=Hypothèses!$V$11,Hypothèses!$X$11,IF(B289&lt;=Hypothèses!$V$12,Hypothèses!$X$12,IF(B289&lt;=Hypothèses!$V$13,Hypothèses!$X$13,IF(B289&lt;=Hypothèses!$V$14,Hypothèses!$X$14,IF(B289&lt;=Hypothèses!$V$15,Hypothèses!$X$15,IF(B289&lt;=Hypothèses!$V$16,Hypothèses!$X$16,IF(B289&lt;=Hypothèses!$U$17,Hypothèses!$W$17,IF(B289&lt;=Hypothèses!$U$18,Hypothèses!$W$18,""))))))))))))</f>
        <v/>
      </c>
      <c r="Y289" s="95" t="e">
        <f t="shared" ca="1" si="436"/>
        <v>#DIV/0!</v>
      </c>
      <c r="Z289" s="101" t="e">
        <f t="shared" si="437"/>
        <v>#N/A</v>
      </c>
      <c r="AA289" s="91" t="e">
        <f t="shared" si="438"/>
        <v>#N/A</v>
      </c>
      <c r="AB289" s="30" t="e">
        <f t="shared" si="500"/>
        <v>#N/A</v>
      </c>
      <c r="AC289" s="30" t="e">
        <f t="shared" si="501"/>
        <v>#N/A</v>
      </c>
      <c r="AD289" s="31" t="e">
        <f>IF(OR(Hypothèses!$B$4=17,Hypothèses!$B$4=18,Hypothèses!$B$4=19,Hypothèses!$B$4=20),
IF($D289="Pressio.",
IF(OR($E289=3,$E289=1,$E289=4),AC289,AB289),
IF($D289="Pénétro.",
IF(OR($E289=3,$E289=1,$E289=4),AC289,AB289))),IF($D289="Pressio.",
IF($E289=3,AC289,AB289),
IF($D289="Pénétro.",
IF($E289=4,AC289,AB289))))</f>
        <v>#N/A</v>
      </c>
      <c r="AE289" s="31" t="e">
        <f>(IF(OR(Hypothèses!$B$4=17,Hypothèses!$B$4=18,Hypothèses!$B$4=19,Hypothèses!$B$4=20),
IF($D289="Pressio.",
IF(OR($E289=3,$E289=1,$E289=4),(PI()*AE$12^2)/4*(AA289*$W289*1000)/($H289*$B$5),(PI()*AE$12^2)/4*(AA289*$W289*1000)/($G289*$B$5)),
IF($D289="Pénétro.",
IF(OR($E289=4,$E289=1,$E289=5),(PI()*AE$12^2)/4*(AA289*$W289*1000)/($H289*$B$5),(PI()*AE$12^2)/4*(AA289*$W289*1000)/($G289*$B$5)))),
IF($D289="Pressio.",
IF($E289=3,(PI()*AE$12^2)/4*(AA289*$W289*1000)/($H289*$B$5),(PI()*AE$12^2)/4*(AA289*$W289*1000)/($G289*$B$5)),
IF($D289="Pénétro.",
IF($E289=4,(PI()*AE$12^2)/4*(AA289*$W289*1000)/($H289*$B$5),(PI()*AE$12^2)/4*(AA289*$W289*1000)/($G289*$B$5))))))/10</f>
        <v>#N/A</v>
      </c>
      <c r="AF289" s="102" t="e">
        <f>(VLOOKUP($B$3,'Coeff EC7'!$T$39:$X$59,2,0)*AD289+VLOOKUP($B$3,'Coeff EC7'!$T$65:$X$85,2,0)*Model0.1C!AE289)/1.1</f>
        <v>#N/A</v>
      </c>
      <c r="AG289" s="102" t="e">
        <f>(VLOOKUP($B$3,'Coeff EC7'!$T$39:$X$59,3,0)*AD289+VLOOKUP($B$3,'Coeff EC7'!$T$65:$X$85,3,0)*Model0.1C!AE289)/0.9</f>
        <v>#N/A</v>
      </c>
      <c r="AH289" s="102" t="e">
        <f t="shared" si="439"/>
        <v>#N/A</v>
      </c>
      <c r="AI289" s="102" t="e">
        <f t="shared" si="440"/>
        <v>#N/A</v>
      </c>
      <c r="AJ289" s="414" t="e">
        <f>IF(AJ288=0,0,IF(AND(AF289&gt;charge_ELS_quasi,AG289&gt;Charge_ELS_freq,AH289&gt;charge_ELU,AI289&gt;charge_ELA,$B289&gt;NDC!$H$22-0.1+MIN(3*$AJ$12,1.5)),0,1))</f>
        <v>#N/A</v>
      </c>
      <c r="AK289" s="86" t="b">
        <f t="shared" si="441"/>
        <v>0</v>
      </c>
      <c r="AL289" s="86">
        <f t="shared" si="470"/>
        <v>0.5</v>
      </c>
      <c r="AM289" s="86">
        <f t="shared" si="442"/>
        <v>0.5</v>
      </c>
      <c r="AN289" s="30" t="e">
        <f t="shared" ca="1" si="471"/>
        <v>#DIV/0!</v>
      </c>
      <c r="AO289" s="85" t="e">
        <f ca="1">IF(U289&lt;=Hypothèses!$V$7,Hypothèses!$W$7,IF(U289&lt;=Hypothèses!$V$8,Hypothèses!$W$8,IF(U289&lt;=Hypothèses!$V$9,Hypothèses!$W$9,IF(U289&lt;=Hypothèses!$V$10,Hypothèses!$W$10,IF(U289&lt;=Hypothèses!$V$11,Hypothèses!$W$11,IF(U289&lt;=Hypothèses!$V$12,Hypothèses!$W$12,IF(U289&lt;=Hypothèses!$V$13,Hypothèses!$W$13,IF(U289&lt;=Hypothèses!$V$14,Hypothèses!$W$14,IF(U289&lt;=Hypothèses!$V$15,Hypothèses!$W$15,IF(U289&lt;=Hypothèses!$V$16,Hypothèses!$W$16,IF(U289&lt;=Hypothèses!$V$17,Hypothèses!$W$17,IF(U289&lt;=Hypothèses!$V$18,Hypothèses!$W$18,""))))))))))))</f>
        <v>#DIV/0!</v>
      </c>
      <c r="AP289" s="87" t="e">
        <f t="shared" ca="1" si="517"/>
        <v>#DIV/0!</v>
      </c>
      <c r="AQ289" s="88" t="e">
        <f ca="1">IF(U289&lt;=Hypothèses!$V$7,Hypothèses!$X$7,IF(U289&lt;=Hypothèses!$V$8,Hypothèses!$X$8,IF(U289&lt;=Hypothèses!$V$9,Hypothèses!$X$9,IF(U289&lt;=Hypothèses!$V$10,Hypothèses!$X$10,IF(U289&lt;=Hypothèses!$V$11,Hypothèses!$X$11,IF(U289&lt;=Hypothèses!$V$12,Hypothèses!$X$12,IF(U289&lt;=Hypothèses!$V$13,Hypothèses!$X$13,IF(U289&lt;=Hypothèses!$V$14,Hypothèses!$X$14,IF(U289&lt;=Hypothèses!$V$15,Hypothèses!$X$15,IF(U289&lt;=Hypothèses!$V$16,Hypothèses!$X$16,IF(U289&lt;=Hypothèses!$U$17,Hypothèses!$W$17,IF(U289&lt;=Hypothèses!$U$18,Hypothèses!$W$18,""))))))))))))</f>
        <v>#DIV/0!</v>
      </c>
      <c r="AR289" s="95" t="e">
        <f t="shared" ca="1" si="472"/>
        <v>#DIV/0!</v>
      </c>
      <c r="AS289" s="101" t="e">
        <f t="shared" si="524"/>
        <v>#N/A</v>
      </c>
      <c r="AT289" s="91" t="e">
        <f t="shared" si="443"/>
        <v>#N/A</v>
      </c>
      <c r="AU289" s="30" t="e">
        <f t="shared" si="502"/>
        <v>#N/A</v>
      </c>
      <c r="AV289" s="30" t="e">
        <f t="shared" si="503"/>
        <v>#N/A</v>
      </c>
      <c r="AW289" s="31" t="e">
        <f>IF(OR(Hypothèses!$B$4=17,Hypothèses!$B$4=18,Hypothèses!$B$4=19,Hypothèses!$B$4=20),
IF($D289="Pressio.",
IF(OR($E289=3,$E289=1,$E289=4),AV289,AU289),
IF($D289="Pénétro.",
IF(OR($E289=3,$E289=1,$E289=4),AV289,AU289))),IF($D289="Pressio.",
IF($E289=3,AV289,AU289),
IF($D289="Pénétro.",
IF($E289=4,AV289,AU289))))</f>
        <v>#N/A</v>
      </c>
      <c r="AX289" s="31" t="e">
        <f>(IF(OR(Hypothèses!$B$4=17,Hypothèses!$B$4=18,Hypothèses!$B$4=19,Hypothèses!$B$4=20),
IF($D289="Pressio.",
IF(OR($E289=3,$E289=1,$E289=4),(PI()*AX$12^2)/4*(AT289*$W289*1000)/($H289*$B$5),(PI()*AX$12^2)/4*(AT289*$W289*1000)/($G289*$B$5)),
IF($D289="Pénétro.",
IF(OR($E289=4,$E289=1,$E289=5),(PI()*AX$12^2)/4*(AT289*$W289*1000)/($H289*$B$5),(PI()*AX$12^2)/4*(AT289*$W289*1000)/($G289*$B$5)))),
IF($D289="Pressio.",
IF($E289=3,(PI()*AX$12^2)/4*(AT289*$W289*1000)/($H289*$B$5),(PI()*AX$12^2)/4*(AT289*$W289*1000)/($G289*$B$5)),
IF($D289="Pénétro.",
IF($E289=4,(PI()*AX$12^2)/4*(AT289*$W289*1000)/($H289*$B$5),(PI()*AX$12^2)/4*(AT289*$W289*1000)/($G289*$B$5))))))/10</f>
        <v>#N/A</v>
      </c>
      <c r="AY289" s="102" t="e">
        <f>(VLOOKUP($B$3,'Coeff EC7'!$T$39:$X$59,2,0)*AW289+VLOOKUP($B$3,'Coeff EC7'!$T$65:$X$85,2,0)*Model0.1C!AX289)/1.1</f>
        <v>#N/A</v>
      </c>
      <c r="AZ289" s="102" t="e">
        <f>(VLOOKUP($B$3,'Coeff EC7'!$T$39:$X$59,3,0)*AW289+VLOOKUP($B$3,'Coeff EC7'!$T$65:$X$85,3,0)*Model0.1C!AX289)/0.9</f>
        <v>#N/A</v>
      </c>
      <c r="BA289" s="102" t="e">
        <f t="shared" si="473"/>
        <v>#N/A</v>
      </c>
      <c r="BB289" s="102" t="e">
        <f t="shared" si="474"/>
        <v>#N/A</v>
      </c>
      <c r="BC289" s="414" t="e">
        <f>IF(BC288=0,0,IF(AND(AY289&gt;charge_ELS_quasi,AZ289&gt;Charge_ELS_freq,BA289&gt;charge_ELU,BB289&gt;charge_ELA,$B289&gt;NDC!$H$22-0.1+MIN(3*$BC$12,1.5)),0,1))</f>
        <v>#N/A</v>
      </c>
      <c r="BD289" s="86" t="b">
        <f t="shared" si="444"/>
        <v>0</v>
      </c>
      <c r="BE289" s="86">
        <f t="shared" si="475"/>
        <v>0.5</v>
      </c>
      <c r="BF289" s="86">
        <f t="shared" si="445"/>
        <v>0.5</v>
      </c>
      <c r="BG289" s="30" t="e">
        <f t="shared" ca="1" si="476"/>
        <v>#DIV/0!</v>
      </c>
      <c r="BH289" s="85" t="e">
        <f ca="1">IF(AN289&lt;=Hypothèses!$V$7,Hypothèses!$W$7,IF(AN289&lt;=Hypothèses!$V$8,Hypothèses!$W$8,IF(AN289&lt;=Hypothèses!$V$9,Hypothèses!$W$9,IF(AN289&lt;=Hypothèses!$V$10,Hypothèses!$W$10,IF(AN289&lt;=Hypothèses!$V$11,Hypothèses!$W$11,IF(AN289&lt;=Hypothèses!$V$12,Hypothèses!$W$12,IF(AN289&lt;=Hypothèses!$V$13,Hypothèses!$W$13,IF(AN289&lt;=Hypothèses!$V$14,Hypothèses!$W$14,IF(AN289&lt;=Hypothèses!$V$15,Hypothèses!$W$15,IF(AN289&lt;=Hypothèses!$V$16,Hypothèses!$W$16,IF(AN289&lt;=Hypothèses!$V$17,Hypothèses!$W$17,IF(AN289&lt;=Hypothèses!$V$18,Hypothèses!$W$18,""))))))))))))</f>
        <v>#DIV/0!</v>
      </c>
      <c r="BI289" s="87" t="e">
        <f t="shared" ca="1" si="518"/>
        <v>#DIV/0!</v>
      </c>
      <c r="BJ289" s="88" t="e">
        <f ca="1">IF(AN289&lt;=Hypothèses!$V$7,Hypothèses!$X$7,IF(AN289&lt;=Hypothèses!$V$8,Hypothèses!$X$8,IF(AN289&lt;=Hypothèses!$V$9,Hypothèses!$X$9,IF(AN289&lt;=Hypothèses!$V$10,Hypothèses!$X$10,IF(AN289&lt;=Hypothèses!$V$11,Hypothèses!$X$11,IF(AN289&lt;=Hypothèses!$V$12,Hypothèses!$X$12,IF(AN289&lt;=Hypothèses!$V$13,Hypothèses!$X$13,IF(AN289&lt;=Hypothèses!$V$14,Hypothèses!$X$14,IF(AN289&lt;=Hypothèses!$V$15,Hypothèses!$X$15,IF(AN289&lt;=Hypothèses!$V$16,Hypothèses!$X$16,IF(AN289&lt;=Hypothèses!$U$17,Hypothèses!$W$17,IF(AN289&lt;=Hypothèses!$U$18,Hypothèses!$W$18,""))))))))))))</f>
        <v>#DIV/0!</v>
      </c>
      <c r="BK289" s="95" t="e">
        <f t="shared" ca="1" si="477"/>
        <v>#DIV/0!</v>
      </c>
      <c r="BL289" s="101" t="e">
        <f t="shared" si="525"/>
        <v>#N/A</v>
      </c>
      <c r="BM289" s="91" t="e">
        <f t="shared" si="446"/>
        <v>#N/A</v>
      </c>
      <c r="BN289" s="30" t="e">
        <f t="shared" si="504"/>
        <v>#N/A</v>
      </c>
      <c r="BO289" s="30" t="e">
        <f t="shared" si="505"/>
        <v>#N/A</v>
      </c>
      <c r="BP289" s="31" t="e">
        <f>IF(OR(Hypothèses!$B$4=17,Hypothèses!$B$4=18,Hypothèses!$B$4=19,Hypothèses!$B$4=20),
IF($D289="Pressio.",
IF(OR($E289=3,$E289=1,$E289=4),BO289,BN289),
IF($D289="Pénétro.",
IF(OR($E289=3,$E289=1,$E289=4),BO289,BN289))),IF($D289="Pressio.",
IF($E289=3,BO289,BN289),
IF($D289="Pénétro.",
IF($E289=4,BO289,BN289))))</f>
        <v>#N/A</v>
      </c>
      <c r="BQ289" s="31" t="e">
        <f>(IF(OR(Hypothèses!$B$4=17,Hypothèses!$B$4=18,Hypothèses!$B$4=19,Hypothèses!$B$4=20),
IF($D289="Pressio.",
IF(OR($E289=3,$E289=1,$E289=4),(PI()*BQ$12^2)/4*(BM289*$W289*1000)/($H289*$B$5),(PI()*BQ$12^2)/4*(BM289*$W289*1000)/($G289*$B$5)),
IF($D289="Pénétro.",
IF(OR($E289=4,$E289=1,$E289=5),(PI()*BQ$12^2)/4*(BM289*$W289*1000)/($H289*$B$5),(PI()*BQ$12^2)/4*(BM289*$W289*1000)/($G289*$B$5)))),
IF($D289="Pressio.",
IF($E289=3,(PI()*BQ$12^2)/4*(BM289*$W289*1000)/($H289*$B$5),(PI()*BQ$12^2)/4*(BM289*$W289*1000)/($G289*$B$5)),
IF($D289="Pénétro.",
IF($E289=4,(PI()*BQ$12^2)/4*(BM289*$W289*1000)/($H289*$B$5),(PI()*BQ$12^2)/4*(BM289*$W289*1000)/($G289*$B$5))))))/10</f>
        <v>#N/A</v>
      </c>
      <c r="BR289" s="102" t="e">
        <f>(VLOOKUP($B$3,'Coeff EC7'!$T$39:$X$59,2,0)*BP289+VLOOKUP($B$3,'Coeff EC7'!$T$65:$X$85,2,0)*Model0.1C!BQ289)/1.1</f>
        <v>#N/A</v>
      </c>
      <c r="BS289" s="102" t="e">
        <f>(VLOOKUP($B$3,'Coeff EC7'!$T$39:$X$59,3,0)*BP289+VLOOKUP($B$3,'Coeff EC7'!$T$65:$X$85,3,0)*Model0.1C!BQ289)/0.9</f>
        <v>#N/A</v>
      </c>
      <c r="BT289" s="102" t="e">
        <f t="shared" si="478"/>
        <v>#N/A</v>
      </c>
      <c r="BU289" s="102" t="e">
        <f t="shared" si="479"/>
        <v>#N/A</v>
      </c>
      <c r="BV289" s="414" t="e">
        <f>IF(BV288=0,0,IF(AND(BR289&gt;charge_ELS_quasi,BS289&gt;Charge_ELS_freq,BT289&gt;charge_ELU,BU289&gt;charge_ELA,$B289&gt;NDC!$H$22-0.1+MIN(3*$BV$12,1.5)),0,1))</f>
        <v>#N/A</v>
      </c>
      <c r="BW289" s="86" t="b">
        <f t="shared" si="447"/>
        <v>0</v>
      </c>
      <c r="BX289" s="86">
        <f t="shared" si="448"/>
        <v>0.5</v>
      </c>
      <c r="BY289" s="86">
        <f t="shared" si="449"/>
        <v>0.5</v>
      </c>
      <c r="BZ289" s="30" t="e">
        <f t="shared" ca="1" si="480"/>
        <v>#DIV/0!</v>
      </c>
      <c r="CA289" s="85" t="e">
        <f ca="1">IF(BG289&lt;=Hypothèses!$V$7,Hypothèses!$W$7,IF(BG289&lt;=Hypothèses!$V$8,Hypothèses!$W$8,IF(BG289&lt;=Hypothèses!$V$9,Hypothèses!$W$9,IF(BG289&lt;=Hypothèses!$V$10,Hypothèses!$W$10,IF(BG289&lt;=Hypothèses!$V$11,Hypothèses!$W$11,IF(BG289&lt;=Hypothèses!$V$12,Hypothèses!$W$12,IF(BG289&lt;=Hypothèses!$V$13,Hypothèses!$W$13,IF(BG289&lt;=Hypothèses!$V$14,Hypothèses!$W$14,IF(BG289&lt;=Hypothèses!$V$15,Hypothèses!$W$15,IF(BG289&lt;=Hypothèses!$V$16,Hypothèses!$W$16,IF(BG289&lt;=Hypothèses!$V$17,Hypothèses!$W$17,IF(BG289&lt;=Hypothèses!$V$18,Hypothèses!$W$18,""))))))))))))</f>
        <v>#DIV/0!</v>
      </c>
      <c r="CB289" s="87" t="e">
        <f t="shared" ca="1" si="519"/>
        <v>#DIV/0!</v>
      </c>
      <c r="CC289" s="88" t="e">
        <f ca="1">IF(BG289&lt;=Hypothèses!$V$7,Hypothèses!$X$7,IF(BG289&lt;=Hypothèses!$V$8,Hypothèses!$X$8,IF(BG289&lt;=Hypothèses!$V$9,Hypothèses!$X$9,IF(BG289&lt;=Hypothèses!$V$10,Hypothèses!$X$10,IF(BG289&lt;=Hypothèses!$V$11,Hypothèses!$X$11,IF(BG289&lt;=Hypothèses!$V$12,Hypothèses!$X$12,IF(BG289&lt;=Hypothèses!$V$13,Hypothèses!$X$13,IF(BG289&lt;=Hypothèses!$V$14,Hypothèses!$X$14,IF(BG289&lt;=Hypothèses!$V$15,Hypothèses!$X$15,IF(BG289&lt;=Hypothèses!$V$16,Hypothèses!$X$16,IF(BG289&lt;=Hypothèses!$U$17,Hypothèses!$W$17,IF(BG289&lt;=Hypothèses!$U$18,Hypothèses!$W$18,""))))))))))))</f>
        <v>#DIV/0!</v>
      </c>
      <c r="CD289" s="95" t="e">
        <f t="shared" ca="1" si="481"/>
        <v>#DIV/0!</v>
      </c>
      <c r="CE289" s="101" t="e">
        <f t="shared" si="526"/>
        <v>#N/A</v>
      </c>
      <c r="CF289" s="91" t="e">
        <f t="shared" si="450"/>
        <v>#N/A</v>
      </c>
      <c r="CG289" s="30" t="e">
        <f t="shared" si="506"/>
        <v>#N/A</v>
      </c>
      <c r="CH289" s="30" t="e">
        <f t="shared" si="507"/>
        <v>#N/A</v>
      </c>
      <c r="CI289" s="31" t="e">
        <f>IF(OR(Hypothèses!$B$4=17,Hypothèses!$B$4=18,Hypothèses!$B$4=19,Hypothèses!$B$4=20),
IF($D289="Pressio.",
IF(OR($E289=3,$E289=1,$E289=4),CH289,CG289),
IF($D289="Pénétro.",
IF(OR($E289=3,$E289=1,$E289=4),CH289,CG289))),IF($D289="Pressio.",
IF($E289=3,CH289,CG289),
IF($D289="Pénétro.",
IF($E289=4,CH289,CG289))))</f>
        <v>#N/A</v>
      </c>
      <c r="CJ289" s="31" t="e">
        <f>(IF(OR(Hypothèses!$B$4=17,Hypothèses!$B$4=18,Hypothèses!$B$4=19,Hypothèses!$B$4=20),
IF($D289="Pressio.",
IF(OR($E289=3,$E289=1,$E289=4),(PI()*CJ$12^2)/4*(CF289*$W289*1000)/($H289*$B$5),(PI()*CJ$12^2)/4*(CF289*$W289*1000)/($G289*$B$5)),
IF($D289="Pénétro.",
IF(OR($E289=4,$E289=1,$E289=5),(PI()*CJ$12^2)/4*(CF289*$W289*1000)/($H289*$B$5),(PI()*CJ$12^2)/4*(CF289*$W289*1000)/($G289*$B$5)))),
IF($D289="Pressio.",
IF($E289=3,(PI()*CJ$12^2)/4*(CF289*$W289*1000)/($H289*$B$5),(PI()*CJ$12^2)/4*(CF289*$W289*1000)/($G289*$B$5)),
IF($D289="Pénétro.",
IF($E289=4,(PI()*CJ$12^2)/4*(CF289*$W289*1000)/($H289*$B$5),(PI()*CJ$12^2)/4*(CF289*$W289*1000)/($G289*$B$5))))))/10</f>
        <v>#N/A</v>
      </c>
      <c r="CK289" s="102" t="e">
        <f>(VLOOKUP($B$3,'Coeff EC7'!$T$39:$X$59,2,0)*CI289+VLOOKUP($B$3,'Coeff EC7'!$T$65:$X$85,2,0)*Model0.1C!CJ289)/1.1</f>
        <v>#N/A</v>
      </c>
      <c r="CL289" s="102" t="e">
        <f>(VLOOKUP($B$3,'Coeff EC7'!$T$39:$X$59,3,0)*CI289+VLOOKUP($B$3,'Coeff EC7'!$T$65:$X$85,3,0)*Model0.1C!CJ289)/0.9</f>
        <v>#N/A</v>
      </c>
      <c r="CM289" s="102" t="e">
        <f t="shared" si="482"/>
        <v>#N/A</v>
      </c>
      <c r="CN289" s="102" t="e">
        <f t="shared" si="483"/>
        <v>#N/A</v>
      </c>
      <c r="CO289" s="414" t="e">
        <f>IF(CO288=0,0,IF(AND(CK289&gt;charge_ELS_quasi,CL289&gt;Charge_ELS_freq,CM289&gt;charge_ELU,CN289&gt;charge_ELA,$B289&gt;NDC!$H$22-0.1+MIN(3*$CO$12,1.5)),0,1))</f>
        <v>#N/A</v>
      </c>
      <c r="CP289" s="86" t="b">
        <f t="shared" si="451"/>
        <v>0</v>
      </c>
      <c r="CQ289" s="86">
        <f t="shared" si="452"/>
        <v>0.5</v>
      </c>
      <c r="CR289" s="86">
        <f t="shared" si="453"/>
        <v>0.5</v>
      </c>
      <c r="CS289" s="30" t="e">
        <f t="shared" ca="1" si="484"/>
        <v>#DIV/0!</v>
      </c>
      <c r="CT289" s="85" t="e">
        <f ca="1">IF(BZ289&lt;=Hypothèses!$V$7,Hypothèses!$W$7,IF(BZ289&lt;=Hypothèses!$V$8,Hypothèses!$W$8,IF(BZ289&lt;=Hypothèses!$V$9,Hypothèses!$W$9,IF(BZ289&lt;=Hypothèses!$V$10,Hypothèses!$W$10,IF(BZ289&lt;=Hypothèses!$V$11,Hypothèses!$W$11,IF(BZ289&lt;=Hypothèses!$V$12,Hypothèses!$W$12,IF(BZ289&lt;=Hypothèses!$V$13,Hypothèses!$W$13,IF(BZ289&lt;=Hypothèses!$V$14,Hypothèses!$W$14,IF(BZ289&lt;=Hypothèses!$V$15,Hypothèses!$W$15,IF(BZ289&lt;=Hypothèses!$V$16,Hypothèses!$W$16,IF(BZ289&lt;=Hypothèses!$V$17,Hypothèses!$W$17,IF(BZ289&lt;=Hypothèses!$V$18,Hypothèses!$W$18,""))))))))))))</f>
        <v>#DIV/0!</v>
      </c>
      <c r="CU289" s="87" t="e">
        <f t="shared" ca="1" si="520"/>
        <v>#DIV/0!</v>
      </c>
      <c r="CV289" s="88" t="e">
        <f ca="1">IF(BZ289&lt;=Hypothèses!$V$7,Hypothèses!$X$7,IF(BZ289&lt;=Hypothèses!$V$8,Hypothèses!$X$8,IF(BZ289&lt;=Hypothèses!$V$9,Hypothèses!$X$9,IF(BZ289&lt;=Hypothèses!$V$10,Hypothèses!$X$10,IF(BZ289&lt;=Hypothèses!$V$11,Hypothèses!$X$11,IF(BZ289&lt;=Hypothèses!$V$12,Hypothèses!$X$12,IF(BZ289&lt;=Hypothèses!$V$13,Hypothèses!$X$13,IF(BZ289&lt;=Hypothèses!$V$14,Hypothèses!$X$14,IF(BZ289&lt;=Hypothèses!$V$15,Hypothèses!$X$15,IF(BZ289&lt;=Hypothèses!$V$16,Hypothèses!$X$16,IF(BZ289&lt;=Hypothèses!$U$17,Hypothèses!$W$17,IF(BZ289&lt;=Hypothèses!$U$18,Hypothèses!$W$18,""))))))))))))</f>
        <v>#DIV/0!</v>
      </c>
      <c r="CW289" s="95" t="e">
        <f t="shared" ca="1" si="485"/>
        <v>#DIV/0!</v>
      </c>
      <c r="CX289" s="101" t="e">
        <f t="shared" si="527"/>
        <v>#N/A</v>
      </c>
      <c r="CY289" s="91" t="e">
        <f t="shared" si="454"/>
        <v>#N/A</v>
      </c>
      <c r="CZ289" s="30" t="e">
        <f t="shared" si="508"/>
        <v>#N/A</v>
      </c>
      <c r="DA289" s="30" t="e">
        <f t="shared" si="509"/>
        <v>#N/A</v>
      </c>
      <c r="DB289" s="31" t="e">
        <f>IF(OR(Hypothèses!$B$4=17,Hypothèses!$B$4=18,Hypothèses!$B$4=19,Hypothèses!$B$4=20),
IF($D289="Pressio.",
IF(OR($E289=3,$E289=1,$E289=4),DA289,CZ289),
IF($D289="Pénétro.",
IF(OR($E289=3,$E289=1,$E289=4),DA289,CZ289))),IF($D289="Pressio.",
IF($E289=3,DA289,CZ289),
IF($D289="Pénétro.",
IF($E289=4,DA289,CZ289))))</f>
        <v>#N/A</v>
      </c>
      <c r="DC289" s="31" t="e">
        <f>(IF(OR(Hypothèses!$B$4=17,Hypothèses!$B$4=18,Hypothèses!$B$4=19,Hypothèses!$B$4=20),
IF($D289="Pressio.",
IF(OR($E289=3,$E289=1,$E289=4),(PI()*DC$12^2)/4*(CY289*$W289*1000)/($H289*$B$5),(PI()*DC$12^2)/4*(CY289*$W289*1000)/($G289*$B$5)),
IF($D289="Pénétro.",
IF(OR($E289=4,$E289=1,$E289=5),(PI()*DC$12^2)/4*(CY289*$W289*1000)/($H289*$B$5),(PI()*DC$12^2)/4*(CY289*$W289*1000)/($G289*$B$5)))),
IF($D289="Pressio.",
IF($E289=3,(PI()*DC$12^2)/4*(CY289*$W289*1000)/($H289*$B$5),(PI()*DC$12^2)/4*(CY289*$W289*1000)/($G289*$B$5)),
IF($D289="Pénétro.",
IF($E289=4,(PI()*DC$12^2)/4*(CY289*$W289*1000)/($H289*$B$5),(PI()*DC$12^2)/4*(CY289*$W289*1000)/($G289*$B$5))))))/10</f>
        <v>#N/A</v>
      </c>
      <c r="DD289" s="102" t="e">
        <f>(VLOOKUP($B$3,'Coeff EC7'!$T$39:$X$59,2,0)*DB289+VLOOKUP($B$3,'Coeff EC7'!$T$65:$X$85,2,0)*Model0.1C!DC289)/1.1</f>
        <v>#N/A</v>
      </c>
      <c r="DE289" s="102" t="e">
        <f>(VLOOKUP($B$3,'Coeff EC7'!$T$39:$X$59,3,0)*DB289+VLOOKUP($B$3,'Coeff EC7'!$T$65:$X$85,3,0)*Model0.1C!DC289)/0.9</f>
        <v>#N/A</v>
      </c>
      <c r="DF289" s="102" t="e">
        <f t="shared" si="486"/>
        <v>#N/A</v>
      </c>
      <c r="DG289" s="102" t="e">
        <f t="shared" si="487"/>
        <v>#N/A</v>
      </c>
      <c r="DH289" s="414" t="e">
        <f>IF(DH288=0,0,IF(AND(DD289&gt;charge_ELS_quasi,DE289&gt;Charge_ELS_freq,DF289&gt;charge_ELU,DG289&gt;charge_ELA,$B289&gt;NDC!$H$22-0.1+MIN(3*$DH$12,1.5)),0,1))</f>
        <v>#N/A</v>
      </c>
      <c r="DI289" s="86" t="b">
        <f t="shared" si="455"/>
        <v>0</v>
      </c>
      <c r="DJ289" s="86">
        <f t="shared" si="456"/>
        <v>0.5</v>
      </c>
      <c r="DK289" s="86">
        <f t="shared" si="457"/>
        <v>0.5</v>
      </c>
      <c r="DL289" s="30" t="e">
        <f t="shared" ca="1" si="488"/>
        <v>#DIV/0!</v>
      </c>
      <c r="DM289" s="85" t="e">
        <f ca="1">IF(CS289&lt;=Hypothèses!$V$7,Hypothèses!$W$7,IF(CS289&lt;=Hypothèses!$V$8,Hypothèses!$W$8,IF(CS289&lt;=Hypothèses!$V$9,Hypothèses!$W$9,IF(CS289&lt;=Hypothèses!$V$10,Hypothèses!$W$10,IF(CS289&lt;=Hypothèses!$V$11,Hypothèses!$W$11,IF(CS289&lt;=Hypothèses!$V$12,Hypothèses!$W$12,IF(CS289&lt;=Hypothèses!$V$13,Hypothèses!$W$13,IF(CS289&lt;=Hypothèses!$V$14,Hypothèses!$W$14,IF(CS289&lt;=Hypothèses!$V$15,Hypothèses!$W$15,IF(CS289&lt;=Hypothèses!$V$16,Hypothèses!$W$16,IF(CS289&lt;=Hypothèses!$V$17,Hypothèses!$W$17,IF(CS289&lt;=Hypothèses!$V$18,Hypothèses!$W$18,""))))))))))))</f>
        <v>#DIV/0!</v>
      </c>
      <c r="DN289" s="87" t="e">
        <f t="shared" ca="1" si="521"/>
        <v>#DIV/0!</v>
      </c>
      <c r="DO289" s="88" t="e">
        <f ca="1">IF(CS289&lt;=Hypothèses!$V$7,Hypothèses!$X$7,IF(CS289&lt;=Hypothèses!$V$8,Hypothèses!$X$8,IF(CS289&lt;=Hypothèses!$V$9,Hypothèses!$X$9,IF(CS289&lt;=Hypothèses!$V$10,Hypothèses!$X$10,IF(CS289&lt;=Hypothèses!$V$11,Hypothèses!$X$11,IF(CS289&lt;=Hypothèses!$V$12,Hypothèses!$X$12,IF(CS289&lt;=Hypothèses!$V$13,Hypothèses!$X$13,IF(CS289&lt;=Hypothèses!$V$14,Hypothèses!$X$14,IF(CS289&lt;=Hypothèses!$V$15,Hypothèses!$X$15,IF(CS289&lt;=Hypothèses!$V$16,Hypothèses!$X$16,IF(CS289&lt;=Hypothèses!$U$17,Hypothèses!$W$17,IF(CS289&lt;=Hypothèses!$U$18,Hypothèses!$W$18,""))))))))))))</f>
        <v>#DIV/0!</v>
      </c>
      <c r="DP289" s="95" t="e">
        <f t="shared" ca="1" si="489"/>
        <v>#DIV/0!</v>
      </c>
      <c r="DQ289" s="101" t="e">
        <f t="shared" si="528"/>
        <v>#N/A</v>
      </c>
      <c r="DR289" s="91" t="e">
        <f t="shared" si="458"/>
        <v>#N/A</v>
      </c>
      <c r="DS289" s="30" t="e">
        <f t="shared" si="510"/>
        <v>#N/A</v>
      </c>
      <c r="DT289" s="30" t="e">
        <f t="shared" si="511"/>
        <v>#N/A</v>
      </c>
      <c r="DU289" s="31" t="e">
        <f>IF(OR(Hypothèses!$B$4=17,Hypothèses!$B$4=18,Hypothèses!$B$4=19,Hypothèses!$B$4=20),
IF($D289="Pressio.",
IF(OR($E289=3,$E289=1,$E289=4),DT289,DS289),
IF($D289="Pénétro.",
IF(OR($E289=3,$E289=1,$E289=4),DT289,DS289))),IF($D289="Pressio.",
IF($E289=3,DT289,DS289),
IF($D289="Pénétro.",
IF($E289=4,DT289,DS289))))</f>
        <v>#N/A</v>
      </c>
      <c r="DV289" s="31" t="e">
        <f>(IF(OR(Hypothèses!$B$4=17,Hypothèses!$B$4=18,Hypothèses!$B$4=19,Hypothèses!$B$4=20),
IF($D289="Pressio.",
IF(OR($E289=3,$E289=1,$E289=4),(PI()*DV$12^2)/4*(DR289*$W289*1000)/($H289*$B$5),(PI()*DV$12^2)/4*(DR289*$W289*1000)/($G289*$B$5)),
IF($D289="Pénétro.",
IF(OR($E289=4,$E289=1,$E289=5),(PI()*DV$12^2)/4*(DR289*$W289*1000)/($H289*$B$5),(PI()*DV$12^2)/4*(DR289*$W289*1000)/($G289*$B$5)))),
IF($D289="Pressio.",
IF($E289=3,(PI()*DV$12^2)/4*(DR289*$W289*1000)/($H289*$B$5),(PI()*DV$12^2)/4*(DR289*$W289*1000)/($G289*$B$5)),
IF($D289="Pénétro.",
IF($E289=4,(PI()*DV$12^2)/4*(DR289*$W289*1000)/($H289*$B$5),(PI()*DV$12^2)/4*(DR289*$W289*1000)/($G289*$B$5))))))/10</f>
        <v>#N/A</v>
      </c>
      <c r="DW289" s="102" t="e">
        <f>(VLOOKUP($B$3,'Coeff EC7'!$T$39:$X$59,2,0)*DU289+VLOOKUP($B$3,'Coeff EC7'!$T$65:$X$85,2,0)*Model0.1C!DV289)/1.1</f>
        <v>#N/A</v>
      </c>
      <c r="DX289" s="102" t="e">
        <f>(VLOOKUP($B$3,'Coeff EC7'!$T$39:$X$59,3,0)*DU289+VLOOKUP($B$3,'Coeff EC7'!$T$65:$X$85,3,0)*Model0.1C!DV289)/0.9</f>
        <v>#N/A</v>
      </c>
      <c r="DY289" s="102" t="e">
        <f t="shared" si="490"/>
        <v>#N/A</v>
      </c>
      <c r="DZ289" s="102" t="e">
        <f t="shared" si="491"/>
        <v>#N/A</v>
      </c>
      <c r="EA289" s="414" t="e">
        <f>IF(EA288=0,0,IF(AND(DW289&gt;charge_ELS_quasi,DX289&gt;Charge_ELS_freq,DY289&gt;charge_ELU,DZ289&gt;charge_ELA,$B289&gt;NDC!$H$22-0.1+MIN(3*$EA$12,1.5)),0,1))</f>
        <v>#N/A</v>
      </c>
      <c r="EB289" s="86" t="b">
        <f t="shared" si="459"/>
        <v>0</v>
      </c>
      <c r="EC289" s="418">
        <f t="shared" si="460"/>
        <v>0.51</v>
      </c>
      <c r="ED289" s="86">
        <f t="shared" si="461"/>
        <v>0.51</v>
      </c>
      <c r="EE289" s="30" t="e">
        <f t="shared" ca="1" si="492"/>
        <v>#DIV/0!</v>
      </c>
      <c r="EF289" s="85" t="e">
        <f ca="1">IF(DL289&lt;=Hypothèses!$V$7,Hypothèses!$W$7,IF(DL289&lt;=Hypothèses!$V$8,Hypothèses!$W$8,IF(DL289&lt;=Hypothèses!$V$9,Hypothèses!$W$9,IF(DL289&lt;=Hypothèses!$V$10,Hypothèses!$W$10,IF(DL289&lt;=Hypothèses!$V$11,Hypothèses!$W$11,IF(DL289&lt;=Hypothèses!$V$12,Hypothèses!$W$12,IF(DL289&lt;=Hypothèses!$V$13,Hypothèses!$W$13,IF(DL289&lt;=Hypothèses!$V$14,Hypothèses!$W$14,IF(DL289&lt;=Hypothèses!$V$15,Hypothèses!$W$15,IF(DL289&lt;=Hypothèses!$V$16,Hypothèses!$W$16,IF(DL289&lt;=Hypothèses!$V$17,Hypothèses!$W$17,IF(DL289&lt;=Hypothèses!$V$18,Hypothèses!$W$18,""))))))))))))</f>
        <v>#DIV/0!</v>
      </c>
      <c r="EG289" s="87" t="e">
        <f t="shared" ca="1" si="522"/>
        <v>#DIV/0!</v>
      </c>
      <c r="EH289" s="88" t="e">
        <f ca="1">IF(DL289&lt;=Hypothèses!$V$7,Hypothèses!$X$7,IF(DL289&lt;=Hypothèses!$V$8,Hypothèses!$X$8,IF(DL289&lt;=Hypothèses!$V$9,Hypothèses!$X$9,IF(DL289&lt;=Hypothèses!$V$10,Hypothèses!$X$10,IF(DL289&lt;=Hypothèses!$V$11,Hypothèses!$X$11,IF(DL289&lt;=Hypothèses!$V$12,Hypothèses!$X$12,IF(DL289&lt;=Hypothèses!$V$13,Hypothèses!$X$13,IF(DL289&lt;=Hypothèses!$V$14,Hypothèses!$X$14,IF(DL289&lt;=Hypothèses!$V$15,Hypothèses!$X$15,IF(DL289&lt;=Hypothèses!$V$16,Hypothèses!$X$16,IF(DL289&lt;=Hypothèses!$U$17,Hypothèses!$W$17,IF(DL289&lt;=Hypothèses!$U$18,Hypothèses!$W$18,""))))))))))))</f>
        <v>#DIV/0!</v>
      </c>
      <c r="EI289" s="95" t="e">
        <f t="shared" ca="1" si="493"/>
        <v>#DIV/0!</v>
      </c>
      <c r="EJ289" s="101" t="e">
        <f t="shared" si="529"/>
        <v>#N/A</v>
      </c>
      <c r="EK289" s="91" t="e">
        <f t="shared" si="462"/>
        <v>#N/A</v>
      </c>
      <c r="EL289" s="30" t="e">
        <f t="shared" si="512"/>
        <v>#N/A</v>
      </c>
      <c r="EM289" s="30" t="e">
        <f t="shared" si="513"/>
        <v>#N/A</v>
      </c>
      <c r="EN289" s="31" t="e">
        <f>IF(OR(Hypothèses!$B$4=17,Hypothèses!$B$4=18,Hypothèses!$B$4=19,Hypothèses!$B$4=20),
IF($D289="Pressio.",
IF(OR($E289=3,$E289=1,$E289=4),EM289,EL289),
IF($D289="Pénétro.",
IF(OR($E289=3,$E289=1,$E289=4),EM289,EL289))),IF($D289="Pressio.",
IF($E289=3,EM289,EL289),
IF($D289="Pénétro.",
IF($E289=4,EM289,EL289))))</f>
        <v>#N/A</v>
      </c>
      <c r="EO289" s="31" t="e">
        <f>(IF(OR(Hypothèses!$B$4=17,Hypothèses!$B$4=18,Hypothèses!$B$4=19,Hypothèses!$B$4=20),
IF($D289="Pressio.",
IF(OR($E289=3,$E289=1,$E289=4),(PI()*EO$12^2)/4*(EK289*$W289*1000)/($H289*$B$5),(PI()*EO$12^2)/4*(EK289*$W289*1000)/($G289*$B$5)),
IF($D289="Pénétro.",
IF(OR($E289=4,$E289=1,$E289=5),(PI()*EO$12^2)/4*(EK289*$W289*1000)/($H289*$B$5),(PI()*EO$12^2)/4*(EK289*$W289*1000)/($G289*$B$5)))),
IF($D289="Pressio.",
IF($E289=3,(PI()*EO$12^2)/4*(EK289*$W289*1000)/($H289*$B$5),(PI()*EO$12^2)/4*(EK289*$W289*1000)/($G289*$B$5)),
IF($D289="Pénétro.",
IF($E289=4,(PI()*EO$12^2)/4*(EK289*$W289*1000)/($H289*$B$5),(PI()*EO$12^2)/4*(EK289*$W289*1000)/($G289*$B$5))))))/10</f>
        <v>#N/A</v>
      </c>
      <c r="EP289" s="102" t="e">
        <f>(VLOOKUP($B$3,'Coeff EC7'!$T$39:$X$59,2,0)*EN289+VLOOKUP($B$3,'Coeff EC7'!$T$65:$X$85,2,0)*Model0.1C!EO289)/1.1</f>
        <v>#N/A</v>
      </c>
      <c r="EQ289" s="102" t="e">
        <f>(VLOOKUP($B$3,'Coeff EC7'!$T$39:$X$59,3,0)*EN289+VLOOKUP($B$3,'Coeff EC7'!$T$65:$X$85,3,0)*Model0.1C!EO289)/0.9</f>
        <v>#N/A</v>
      </c>
      <c r="ER289" s="102" t="e">
        <f t="shared" si="494"/>
        <v>#N/A</v>
      </c>
      <c r="ES289" s="102" t="e">
        <f t="shared" si="495"/>
        <v>#N/A</v>
      </c>
      <c r="ET289" s="414" t="e">
        <f>IF(ET288=0,0,IF(AND(EP289&gt;charge_ELS_quasi,EQ289&gt;Charge_ELS_freq,ER289&gt;charge_ELU,ES289&gt;charge_ELA,$B289&gt;NDC!$H$22-0.1+MIN(3*$ET$12,1.5)),0,1))</f>
        <v>#N/A</v>
      </c>
      <c r="EU289" s="86" t="b">
        <f t="shared" si="463"/>
        <v>0</v>
      </c>
      <c r="EV289" s="86">
        <f t="shared" si="464"/>
        <v>0.61</v>
      </c>
      <c r="EW289" s="86">
        <f t="shared" si="465"/>
        <v>0.61</v>
      </c>
      <c r="EX289" s="30" t="e">
        <f t="shared" ca="1" si="496"/>
        <v>#DIV/0!</v>
      </c>
      <c r="EY289" s="85" t="e">
        <f ca="1">IF(EE289&lt;=Hypothèses!$V$7,Hypothèses!$W$7,IF(EE289&lt;=Hypothèses!$V$8,Hypothèses!$W$8,IF(EE289&lt;=Hypothèses!$V$9,Hypothèses!$W$9,IF(EE289&lt;=Hypothèses!$V$10,Hypothèses!$W$10,IF(EE289&lt;=Hypothèses!$V$11,Hypothèses!$W$11,IF(EE289&lt;=Hypothèses!$V$12,Hypothèses!$W$12,IF(EE289&lt;=Hypothèses!$V$13,Hypothèses!$W$13,IF(EE289&lt;=Hypothèses!$V$14,Hypothèses!$W$14,IF(EE289&lt;=Hypothèses!$V$15,Hypothèses!$W$15,IF(EE289&lt;=Hypothèses!$V$16,Hypothèses!$W$16,IF(EE289&lt;=Hypothèses!$V$17,Hypothèses!$W$17,IF(EE289&lt;=Hypothèses!$V$18,Hypothèses!$W$18,""))))))))))))</f>
        <v>#DIV/0!</v>
      </c>
      <c r="EZ289" s="87" t="e">
        <f t="shared" ca="1" si="523"/>
        <v>#DIV/0!</v>
      </c>
      <c r="FA289" s="88" t="e">
        <f ca="1">IF(EE289&lt;=Hypothèses!$V$7,Hypothèses!$X$7,IF(EE289&lt;=Hypothèses!$V$8,Hypothèses!$X$8,IF(EE289&lt;=Hypothèses!$V$9,Hypothèses!$X$9,IF(EE289&lt;=Hypothèses!$V$10,Hypothèses!$X$10,IF(EE289&lt;=Hypothèses!$V$11,Hypothèses!$X$11,IF(EE289&lt;=Hypothèses!$V$12,Hypothèses!$X$12,IF(EE289&lt;=Hypothèses!$V$13,Hypothèses!$X$13,IF(EE289&lt;=Hypothèses!$V$14,Hypothèses!$X$14,IF(EE289&lt;=Hypothèses!$V$15,Hypothèses!$X$15,IF(EE289&lt;=Hypothèses!$V$16,Hypothèses!$X$16,IF(EE289&lt;=Hypothèses!$U$17,Hypothèses!$W$17,IF(EE289&lt;=Hypothèses!$U$18,Hypothèses!$W$18,""))))))))))))</f>
        <v>#DIV/0!</v>
      </c>
      <c r="FB289" s="95" t="e">
        <f t="shared" ca="1" si="497"/>
        <v>#DIV/0!</v>
      </c>
      <c r="FC289" s="101" t="e">
        <f t="shared" si="530"/>
        <v>#N/A</v>
      </c>
      <c r="FD289" s="91" t="e">
        <f t="shared" si="466"/>
        <v>#N/A</v>
      </c>
      <c r="FE289" s="30" t="e">
        <f t="shared" si="514"/>
        <v>#N/A</v>
      </c>
      <c r="FF289" s="30" t="e">
        <f t="shared" si="515"/>
        <v>#N/A</v>
      </c>
      <c r="FG289" s="31" t="e">
        <f>IF(OR(Hypothèses!$B$4=17,Hypothèses!$B$4=18,Hypothèses!$B$4=19,Hypothèses!$B$4=20),
IF($D289="Pressio.",
IF(OR($E289=3,$E289=1,$E289=4),FF289,FE289),
IF($D289="Pénétro.",
IF(OR($E289=3,$E289=1,$E289=4),FF289,FE289))),IF($D289="Pressio.",
IF($E289=3,FF289,FE289),
IF($D289="Pénétro.",
IF($E289=4,FF289,FE289))))</f>
        <v>#N/A</v>
      </c>
      <c r="FH289" s="31" t="e">
        <f>(IF(OR(Hypothèses!$B$4=17,Hypothèses!$B$4=18,Hypothèses!$B$4=19,Hypothèses!$B$4=20),
IF($D289="Pressio.",
IF(OR($E289=3,$E289=1,$E289=4),(PI()*FH$12^2)/4*(FD289*$W289*1000)/($H289*$B$5),(PI()*FH$12^2)/4*(FD289*$W289*1000)/($G289*$B$5)),
IF($D289="Pénétro.",
IF(OR($E289=4,$E289=1,$E289=5),(PI()*FH$12^2)/4*(FD289*$W289*1000)/($H289*$B$5),(PI()*FH$12^2)/4*(FD289*$W289*1000)/($G289*$B$5)))),
IF($D289="Pressio.",
IF($E289=3,(PI()*FH$12^2)/4*(FD289*$W289*1000)/($H289*$B$5),(PI()*FH$12^2)/4*(FD289*$W289*1000)/($G289*$B$5)),
IF($D289="Pénétro.",
IF($E289=4,(PI()*FH$12^2)/4*(FD289*$W289*1000)/($H289*$B$5),(PI()*FH$12^2)/4*(FD289*$W289*1000)/($G289*$B$5))))))/10</f>
        <v>#N/A</v>
      </c>
      <c r="FI289" s="102" t="e">
        <f>(VLOOKUP($B$3,'Coeff EC7'!$T$39:$X$59,2,0)*FG289+VLOOKUP($B$3,'Coeff EC7'!$T$65:$X$85,2,0)*Model0.1C!FH289)/1.1</f>
        <v>#N/A</v>
      </c>
      <c r="FJ289" s="102" t="e">
        <f>(VLOOKUP($B$3,'Coeff EC7'!$T$39:$X$59,3,0)*FG289+VLOOKUP($B$3,'Coeff EC7'!$T$65:$X$85,3,0)*Model0.1C!FH289)/0.9</f>
        <v>#N/A</v>
      </c>
      <c r="FK289" s="102" t="e">
        <f t="shared" si="498"/>
        <v>#N/A</v>
      </c>
      <c r="FL289" s="102" t="e">
        <f t="shared" si="499"/>
        <v>#N/A</v>
      </c>
      <c r="FM289" s="414" t="e">
        <f>IF(FM288=0,0,IF(AND(FI289&gt;charge_ELS_quasi,FJ289&gt;Charge_ELS_freq,FK289&gt;charge_ELU,FL289&gt;charge_ELA,$B289&gt;NDC!$H$22-0.1+MIN(3*$FM$12,1.5)),0,1))</f>
        <v>#N/A</v>
      </c>
    </row>
    <row r="290" spans="1:169">
      <c r="A290" s="96">
        <f t="shared" si="467"/>
        <v>72.300000000001575</v>
      </c>
      <c r="B290" s="97">
        <v>27.7</v>
      </c>
      <c r="C290" s="81">
        <f>IF(B290&lt;=Hypothèses!$C$7,Hypothèses!$A$7,IF(B290&lt;=Hypothèses!$C$8,Hypothèses!$A$8,IF(B290&lt;=Hypothèses!$C$9,Hypothèses!$A$9,IF(B290&lt;=Hypothèses!$C$10,Hypothèses!$A$10,IF(B290&lt;=Hypothèses!$C$11,Hypothèses!$A$11,IF(B290&lt;=Hypothèses!$C$12,Hypothèses!$A$12,IF(B290&lt;=Hypothèses!$C$13,Hypothèses!$A$13,IF(B290&lt;=Hypothèses!$C$14,Hypothèses!$A$14,IF(B290&lt;=Hypothèses!$C$15,Hypothèses!$A$15,IF(B290&lt;=Hypothèses!$C$16,Hypothèses!$A$16,IF(B290&lt;=Hypothèses!$C$17,Hypothèses!$A$17,IF(B290&lt;=Hypothèses!$C$18,Hypothèses!$A$18,C289))))))))))))</f>
        <v>11</v>
      </c>
      <c r="D290" s="82" t="str">
        <f>IF(B290&lt;=Hypothèses!$C$7,Hypothèses!$R$7,IF(B290&lt;=Hypothèses!$C$8,Hypothèses!$R$8,IF(B290&lt;=Hypothèses!$C$9,Hypothèses!$R$9,IF(B290&lt;=Hypothèses!$C$10,Hypothèses!$R$10,IF(B290&lt;=Hypothèses!$C$11,Hypothèses!$R$11,IF(B290&lt;=Hypothèses!$C$12,Hypothèses!$R$12,IF(B290&lt;=Hypothèses!$C$13,Hypothèses!$R$13,IF(B290&lt;=Hypothèses!$C$14,Hypothèses!$R$14,IF(B290&lt;=Hypothèses!$C$15,Hypothèses!$R$15,IF(B290&lt;=Hypothèses!$C$16,Hypothèses!$R$16,IF(B290&lt;=Hypothèses!$C$17,Hypothèses!$R$17,IF(B290&lt;=Hypothèses!$C$18,Hypothèses!$R$18,D289))))))))))))</f>
        <v>Pressio.</v>
      </c>
      <c r="E290" s="82" t="e">
        <f>IF(B290&lt;=Hypothèses!$C$7,Hypothèses!$G$7,IF(B290&lt;=Hypothèses!$C$8,Hypothèses!$G$8,IF(B290&lt;=Hypothèses!$C$9,Hypothèses!$G$9,IF(B290&lt;=Hypothèses!$C$10,Hypothèses!$G$10,IF(B290&lt;=Hypothèses!$C$11,Hypothèses!$G$11,IF(B290&lt;=Hypothèses!$C$12,Hypothèses!$G$12,IF(B290&lt;=Hypothèses!$C$13,Hypothèses!$G$13,IF(B290&lt;=Hypothèses!$C$14,Hypothèses!$G$14,IF(B290&lt;=Hypothèses!$C$15,Hypothèses!$G$15,IF(B290&lt;=Hypothèses!$C$16,Hypothèses!$G$16,IF(B290&lt;=Hypothèses!$C$17,Hypothèses!$G$17,IF(B290&lt;=Hypothèses!$C$18,Hypothèses!$G$18,E289))))))))))))</f>
        <v>#N/A</v>
      </c>
      <c r="F290" s="82" t="str">
        <f>IF(B290&lt;=Hypothèses!$C$7,Hypothèses!$F$7,IF(B290&lt;=Hypothèses!$C$8,Hypothèses!$F$8,IF(B290&lt;=Hypothèses!$C$9,Hypothèses!$F$9,IF(B290&lt;=Hypothèses!$C$10,Hypothèses!$F$10,IF(B290&lt;=Hypothèses!$C$11,Hypothèses!$F$11,IF(B290&lt;=Hypothèses!$C$12,Hypothèses!$F$12,IF(B290&lt;=Hypothèses!$C$13,Hypothèses!$F$13,IF(B290&lt;=Hypothèses!$C$14,Hypothèses!$F$14,IF(B290&lt;=Hypothèses!$C$15,Hypothèses!$F$15,IF(B290&lt;=Hypothèses!$C$16,Hypothèses!$F$16,IF(B290&lt;=Hypothèses!$C$17,Hypothèses!$F$17,IF(B290&lt;=Hypothèses!$C$18,Hypothèses!$F$18,F289))))))))))))</f>
        <v/>
      </c>
      <c r="G290" s="91">
        <f t="array" ref="G290">INDEX('Coeff EC7'!$U$7:$X$27,
MATCH(Model0.1C!$B$3,'Coeff EC7'!$T$7:$T$27,0),
MATCH(Model0.1C!$D290&amp;Model0.1C!$B$4,
'Coeff EC7'!$U$6:$X$6&amp;
'Coeff EC7'!$U$5:$X$5,0))</f>
        <v>1.1499999999999999</v>
      </c>
      <c r="H290" s="91">
        <f t="array" ref="H290">INDEX('Coeff EC7'!$Y$7:$AB$27,
MATCH(Model0.1C!$B$3,'Coeff EC7'!$T$7:$T$27,0),
MATCH(Model0.1C!$D290&amp;Model0.1C!$B$4,
'Coeff EC7'!$Y$6:$AB$6&amp;
'Coeff EC7'!$Y$5:$AB$5,0))</f>
        <v>1.4</v>
      </c>
      <c r="I290" s="83" t="e">
        <f>IF(B290&lt;=Hypothèses!$C$7,Hypothèses!$P$7,IF(B290&lt;=Hypothèses!$C$8,Hypothèses!$P$8,IF(B290&lt;=Hypothèses!$C$9,Hypothèses!$P$9,IF(B290&lt;=Hypothèses!$C$10,Hypothèses!$P$10,IF(B290&lt;=Hypothèses!$C$11,Hypothèses!$P$11,IF(B290&lt;=Hypothèses!$C$12,Hypothèses!$P$12,IF(B290&lt;=Hypothèses!$C$13,Hypothèses!$P$13,IF(B290&lt;=Hypothèses!$C$14,Hypothèses!$P$14,IF(B290&lt;=Hypothèses!$C$15,Hypothèses!$P$15,IF(B290&lt;=Hypothèses!$C$16,Hypothèses!$P$16,IF(B290&lt;=Hypothèses!$C$17,Hypothèses!$P$17,IF(B290&lt;=Hypothèses!$C$18,Hypothèses!$P$18,I289))))))))))))</f>
        <v>#N/A</v>
      </c>
      <c r="J290" s="91" t="e">
        <f t="array" ref="J290">INDEX('Coeff EC7'!$D$33:$Q$33,1,MATCH(D290&amp;E290,'Coeff EC7'!$D$31:$Q$31&amp;'Coeff EC7'!$D$32:$Q$32,0))</f>
        <v>#N/A</v>
      </c>
      <c r="K290" s="91" t="e">
        <f t="array" ref="K290">INDEX('Coeff EC7'!$D$34:$Q$34,1,MATCH(D290&amp;E290,'Coeff EC7'!$D$31:$Q$31&amp;'Coeff EC7'!$D$32:$Q$32,0))</f>
        <v>#N/A</v>
      </c>
      <c r="L290" s="91" t="e">
        <f t="array" ref="L290">INDEX('Coeff EC7'!$D$35:$Q$35,1,MATCH(D290&amp;E290,'Coeff EC7'!$D$31:$Q$31&amp;'Coeff EC7'!$D$32:$Q$32,0))</f>
        <v>#N/A</v>
      </c>
      <c r="M290" s="98" t="e">
        <f t="shared" si="431"/>
        <v>#N/A</v>
      </c>
      <c r="N290" s="99" t="e">
        <f t="array" ref="N290">INDEX('Coeff EC7'!$D$7:$Q$27,MATCH($B$3,'Coeff EC7'!$C$7:$C$27,0),MATCH(D290&amp;E290,'Coeff EC7'!$D$5:$Q$5&amp;'Coeff EC7'!$D$6:$Q$6,0))</f>
        <v>#N/A</v>
      </c>
      <c r="O290" s="99" t="e">
        <f t="array" ref="O290">INDEX('Coeff EC7'!$D$41:$Q$61,MATCH($B$3,'Coeff EC7'!$C$41:$C$61,0),MATCH(D290&amp;E290,'Coeff EC7'!$D$39:$Q$39&amp;'Coeff EC7'!$D$40:$Q$40,0))</f>
        <v>#N/A</v>
      </c>
      <c r="P290" s="30" t="e">
        <f t="shared" si="468"/>
        <v>#N/A</v>
      </c>
      <c r="Q290" s="100" t="e">
        <f t="shared" si="433"/>
        <v>#N/A</v>
      </c>
      <c r="R290" s="86" t="b">
        <f t="shared" si="434"/>
        <v>0</v>
      </c>
      <c r="S290" s="86">
        <f t="shared" si="432"/>
        <v>0.5</v>
      </c>
      <c r="T290" s="86">
        <f t="shared" si="435"/>
        <v>0.5</v>
      </c>
      <c r="U290" s="30" t="e">
        <f t="shared" ca="1" si="469"/>
        <v>#DIV/0!</v>
      </c>
      <c r="V290" s="85" t="str">
        <f>IF(B290&lt;=Hypothèses!$V$7,Hypothèses!$W$7,IF(B290&lt;=Hypothèses!$V$8,Hypothèses!$W$8,IF(B290&lt;=Hypothèses!$V$9,Hypothèses!$W$9,IF(B290&lt;=Hypothèses!$V$10,Hypothèses!$W$10,IF(B290&lt;=Hypothèses!$V$11,Hypothèses!$W$11,IF(B290&lt;=Hypothèses!$V$12,Hypothèses!$W$12,IF(B290&lt;=Hypothèses!$V$13,Hypothèses!$W$13,IF(B290&lt;=Hypothèses!$V$14,Hypothèses!$W$14,IF(B290&lt;=Hypothèses!$V$15,Hypothèses!$W$15,IF(B290&lt;=Hypothèses!$V$16,Hypothèses!$W$16,IF(B290&lt;=Hypothèses!$V$17,Hypothèses!$W$17,IF(B290&lt;=Hypothèses!$V$18,Hypothèses!$W$18,""))))))))))))</f>
        <v/>
      </c>
      <c r="W290" s="87" t="e">
        <f t="shared" ca="1" si="516"/>
        <v>#DIV/0!</v>
      </c>
      <c r="X290" s="88" t="str">
        <f>IF(B290&lt;=Hypothèses!$V$7,Hypothèses!$X$7,IF(B290&lt;=Hypothèses!$V$8,Hypothèses!$X$8,IF(B290&lt;=Hypothèses!$V$9,Hypothèses!$X$9,IF(B290&lt;=Hypothèses!$V$10,Hypothèses!$X$10,IF(B290&lt;=Hypothèses!$V$11,Hypothèses!$X$11,IF(B290&lt;=Hypothèses!$V$12,Hypothèses!$X$12,IF(B290&lt;=Hypothèses!$V$13,Hypothèses!$X$13,IF(B290&lt;=Hypothèses!$V$14,Hypothèses!$X$14,IF(B290&lt;=Hypothèses!$V$15,Hypothèses!$X$15,IF(B290&lt;=Hypothèses!$V$16,Hypothèses!$X$16,IF(B290&lt;=Hypothèses!$U$17,Hypothèses!$W$17,IF(B290&lt;=Hypothèses!$U$18,Hypothèses!$W$18,""))))))))))))</f>
        <v/>
      </c>
      <c r="Y290" s="95" t="e">
        <f t="shared" ca="1" si="436"/>
        <v>#DIV/0!</v>
      </c>
      <c r="Z290" s="101" t="e">
        <f t="shared" si="437"/>
        <v>#N/A</v>
      </c>
      <c r="AA290" s="91" t="e">
        <f t="shared" si="438"/>
        <v>#N/A</v>
      </c>
      <c r="AB290" s="30" t="e">
        <f t="shared" si="500"/>
        <v>#N/A</v>
      </c>
      <c r="AC290" s="30" t="e">
        <f t="shared" si="501"/>
        <v>#N/A</v>
      </c>
      <c r="AD290" s="31" t="e">
        <f>IF(OR(Hypothèses!$B$4=17,Hypothèses!$B$4=18,Hypothèses!$B$4=19,Hypothèses!$B$4=20),
IF($D290="Pressio.",
IF(OR($E290=3,$E290=1,$E290=4),AC290,AB290),
IF($D290="Pénétro.",
IF(OR($E290=3,$E290=1,$E290=4),AC290,AB290))),IF($D290="Pressio.",
IF($E290=3,AC290,AB290),
IF($D290="Pénétro.",
IF($E290=4,AC290,AB290))))</f>
        <v>#N/A</v>
      </c>
      <c r="AE290" s="31" t="e">
        <f>(IF(OR(Hypothèses!$B$4=17,Hypothèses!$B$4=18,Hypothèses!$B$4=19,Hypothèses!$B$4=20),
IF($D290="Pressio.",
IF(OR($E290=3,$E290=1,$E290=4),(PI()*AE$12^2)/4*(AA290*$W290*1000)/($H290*$B$5),(PI()*AE$12^2)/4*(AA290*$W290*1000)/($G290*$B$5)),
IF($D290="Pénétro.",
IF(OR($E290=4,$E290=1,$E290=5),(PI()*AE$12^2)/4*(AA290*$W290*1000)/($H290*$B$5),(PI()*AE$12^2)/4*(AA290*$W290*1000)/($G290*$B$5)))),
IF($D290="Pressio.",
IF($E290=3,(PI()*AE$12^2)/4*(AA290*$W290*1000)/($H290*$B$5),(PI()*AE$12^2)/4*(AA290*$W290*1000)/($G290*$B$5)),
IF($D290="Pénétro.",
IF($E290=4,(PI()*AE$12^2)/4*(AA290*$W290*1000)/($H290*$B$5),(PI()*AE$12^2)/4*(AA290*$W290*1000)/($G290*$B$5))))))/10</f>
        <v>#N/A</v>
      </c>
      <c r="AF290" s="102" t="e">
        <f>(VLOOKUP($B$3,'Coeff EC7'!$T$39:$X$59,2,0)*AD290+VLOOKUP($B$3,'Coeff EC7'!$T$65:$X$85,2,0)*Model0.1C!AE290)/1.1</f>
        <v>#N/A</v>
      </c>
      <c r="AG290" s="102" t="e">
        <f>(VLOOKUP($B$3,'Coeff EC7'!$T$39:$X$59,3,0)*AD290+VLOOKUP($B$3,'Coeff EC7'!$T$65:$X$85,3,0)*Model0.1C!AE290)/0.9</f>
        <v>#N/A</v>
      </c>
      <c r="AH290" s="102" t="e">
        <f t="shared" si="439"/>
        <v>#N/A</v>
      </c>
      <c r="AI290" s="102" t="e">
        <f t="shared" si="440"/>
        <v>#N/A</v>
      </c>
      <c r="AJ290" s="414" t="e">
        <f>IF(AJ289=0,0,IF(AND(AF290&gt;charge_ELS_quasi,AG290&gt;Charge_ELS_freq,AH290&gt;charge_ELU,AI290&gt;charge_ELA,$B290&gt;NDC!$H$22-0.1+MIN(3*$AJ$12,1.5)),0,1))</f>
        <v>#N/A</v>
      </c>
      <c r="AK290" s="86" t="b">
        <f t="shared" si="441"/>
        <v>0</v>
      </c>
      <c r="AL290" s="86">
        <f t="shared" si="470"/>
        <v>0.5</v>
      </c>
      <c r="AM290" s="86">
        <f t="shared" si="442"/>
        <v>0.5</v>
      </c>
      <c r="AN290" s="30" t="e">
        <f t="shared" ca="1" si="471"/>
        <v>#DIV/0!</v>
      </c>
      <c r="AO290" s="85" t="e">
        <f ca="1">IF(U290&lt;=Hypothèses!$V$7,Hypothèses!$W$7,IF(U290&lt;=Hypothèses!$V$8,Hypothèses!$W$8,IF(U290&lt;=Hypothèses!$V$9,Hypothèses!$W$9,IF(U290&lt;=Hypothèses!$V$10,Hypothèses!$W$10,IF(U290&lt;=Hypothèses!$V$11,Hypothèses!$W$11,IF(U290&lt;=Hypothèses!$V$12,Hypothèses!$W$12,IF(U290&lt;=Hypothèses!$V$13,Hypothèses!$W$13,IF(U290&lt;=Hypothèses!$V$14,Hypothèses!$W$14,IF(U290&lt;=Hypothèses!$V$15,Hypothèses!$W$15,IF(U290&lt;=Hypothèses!$V$16,Hypothèses!$W$16,IF(U290&lt;=Hypothèses!$V$17,Hypothèses!$W$17,IF(U290&lt;=Hypothèses!$V$18,Hypothèses!$W$18,""))))))))))))</f>
        <v>#DIV/0!</v>
      </c>
      <c r="AP290" s="87" t="e">
        <f t="shared" ca="1" si="517"/>
        <v>#DIV/0!</v>
      </c>
      <c r="AQ290" s="88" t="e">
        <f ca="1">IF(U290&lt;=Hypothèses!$V$7,Hypothèses!$X$7,IF(U290&lt;=Hypothèses!$V$8,Hypothèses!$X$8,IF(U290&lt;=Hypothèses!$V$9,Hypothèses!$X$9,IF(U290&lt;=Hypothèses!$V$10,Hypothèses!$X$10,IF(U290&lt;=Hypothèses!$V$11,Hypothèses!$X$11,IF(U290&lt;=Hypothèses!$V$12,Hypothèses!$X$12,IF(U290&lt;=Hypothèses!$V$13,Hypothèses!$X$13,IF(U290&lt;=Hypothèses!$V$14,Hypothèses!$X$14,IF(U290&lt;=Hypothèses!$V$15,Hypothèses!$X$15,IF(U290&lt;=Hypothèses!$V$16,Hypothèses!$X$16,IF(U290&lt;=Hypothèses!$U$17,Hypothèses!$W$17,IF(U290&lt;=Hypothèses!$U$18,Hypothèses!$W$18,""))))))))))))</f>
        <v>#DIV/0!</v>
      </c>
      <c r="AR290" s="95" t="e">
        <f t="shared" ca="1" si="472"/>
        <v>#DIV/0!</v>
      </c>
      <c r="AS290" s="101" t="e">
        <f t="shared" si="524"/>
        <v>#N/A</v>
      </c>
      <c r="AT290" s="91" t="e">
        <f t="shared" si="443"/>
        <v>#N/A</v>
      </c>
      <c r="AU290" s="30" t="e">
        <f t="shared" si="502"/>
        <v>#N/A</v>
      </c>
      <c r="AV290" s="30" t="e">
        <f t="shared" si="503"/>
        <v>#N/A</v>
      </c>
      <c r="AW290" s="31" t="e">
        <f>IF(OR(Hypothèses!$B$4=17,Hypothèses!$B$4=18,Hypothèses!$B$4=19,Hypothèses!$B$4=20),
IF($D290="Pressio.",
IF(OR($E290=3,$E290=1,$E290=4),AV290,AU290),
IF($D290="Pénétro.",
IF(OR($E290=3,$E290=1,$E290=4),AV290,AU290))),IF($D290="Pressio.",
IF($E290=3,AV290,AU290),
IF($D290="Pénétro.",
IF($E290=4,AV290,AU290))))</f>
        <v>#N/A</v>
      </c>
      <c r="AX290" s="31" t="e">
        <f>(IF(OR(Hypothèses!$B$4=17,Hypothèses!$B$4=18,Hypothèses!$B$4=19,Hypothèses!$B$4=20),
IF($D290="Pressio.",
IF(OR($E290=3,$E290=1,$E290=4),(PI()*AX$12^2)/4*(AT290*$W290*1000)/($H290*$B$5),(PI()*AX$12^2)/4*(AT290*$W290*1000)/($G290*$B$5)),
IF($D290="Pénétro.",
IF(OR($E290=4,$E290=1,$E290=5),(PI()*AX$12^2)/4*(AT290*$W290*1000)/($H290*$B$5),(PI()*AX$12^2)/4*(AT290*$W290*1000)/($G290*$B$5)))),
IF($D290="Pressio.",
IF($E290=3,(PI()*AX$12^2)/4*(AT290*$W290*1000)/($H290*$B$5),(PI()*AX$12^2)/4*(AT290*$W290*1000)/($G290*$B$5)),
IF($D290="Pénétro.",
IF($E290=4,(PI()*AX$12^2)/4*(AT290*$W290*1000)/($H290*$B$5),(PI()*AX$12^2)/4*(AT290*$W290*1000)/($G290*$B$5))))))/10</f>
        <v>#N/A</v>
      </c>
      <c r="AY290" s="102" t="e">
        <f>(VLOOKUP($B$3,'Coeff EC7'!$T$39:$X$59,2,0)*AW290+VLOOKUP($B$3,'Coeff EC7'!$T$65:$X$85,2,0)*Model0.1C!AX290)/1.1</f>
        <v>#N/A</v>
      </c>
      <c r="AZ290" s="102" t="e">
        <f>(VLOOKUP($B$3,'Coeff EC7'!$T$39:$X$59,3,0)*AW290+VLOOKUP($B$3,'Coeff EC7'!$T$65:$X$85,3,0)*Model0.1C!AX290)/0.9</f>
        <v>#N/A</v>
      </c>
      <c r="BA290" s="102" t="e">
        <f t="shared" si="473"/>
        <v>#N/A</v>
      </c>
      <c r="BB290" s="102" t="e">
        <f t="shared" si="474"/>
        <v>#N/A</v>
      </c>
      <c r="BC290" s="414" t="e">
        <f>IF(BC289=0,0,IF(AND(AY290&gt;charge_ELS_quasi,AZ290&gt;Charge_ELS_freq,BA290&gt;charge_ELU,BB290&gt;charge_ELA,$B290&gt;NDC!$H$22-0.1+MIN(3*$BC$12,1.5)),0,1))</f>
        <v>#N/A</v>
      </c>
      <c r="BD290" s="86" t="b">
        <f t="shared" si="444"/>
        <v>0</v>
      </c>
      <c r="BE290" s="86">
        <f t="shared" si="475"/>
        <v>0.5</v>
      </c>
      <c r="BF290" s="86">
        <f t="shared" si="445"/>
        <v>0.5</v>
      </c>
      <c r="BG290" s="30" t="e">
        <f t="shared" ca="1" si="476"/>
        <v>#DIV/0!</v>
      </c>
      <c r="BH290" s="85" t="e">
        <f ca="1">IF(AN290&lt;=Hypothèses!$V$7,Hypothèses!$W$7,IF(AN290&lt;=Hypothèses!$V$8,Hypothèses!$W$8,IF(AN290&lt;=Hypothèses!$V$9,Hypothèses!$W$9,IF(AN290&lt;=Hypothèses!$V$10,Hypothèses!$W$10,IF(AN290&lt;=Hypothèses!$V$11,Hypothèses!$W$11,IF(AN290&lt;=Hypothèses!$V$12,Hypothèses!$W$12,IF(AN290&lt;=Hypothèses!$V$13,Hypothèses!$W$13,IF(AN290&lt;=Hypothèses!$V$14,Hypothèses!$W$14,IF(AN290&lt;=Hypothèses!$V$15,Hypothèses!$W$15,IF(AN290&lt;=Hypothèses!$V$16,Hypothèses!$W$16,IF(AN290&lt;=Hypothèses!$V$17,Hypothèses!$W$17,IF(AN290&lt;=Hypothèses!$V$18,Hypothèses!$W$18,""))))))))))))</f>
        <v>#DIV/0!</v>
      </c>
      <c r="BI290" s="87" t="e">
        <f t="shared" ca="1" si="518"/>
        <v>#DIV/0!</v>
      </c>
      <c r="BJ290" s="88" t="e">
        <f ca="1">IF(AN290&lt;=Hypothèses!$V$7,Hypothèses!$X$7,IF(AN290&lt;=Hypothèses!$V$8,Hypothèses!$X$8,IF(AN290&lt;=Hypothèses!$V$9,Hypothèses!$X$9,IF(AN290&lt;=Hypothèses!$V$10,Hypothèses!$X$10,IF(AN290&lt;=Hypothèses!$V$11,Hypothèses!$X$11,IF(AN290&lt;=Hypothèses!$V$12,Hypothèses!$X$12,IF(AN290&lt;=Hypothèses!$V$13,Hypothèses!$X$13,IF(AN290&lt;=Hypothèses!$V$14,Hypothèses!$X$14,IF(AN290&lt;=Hypothèses!$V$15,Hypothèses!$X$15,IF(AN290&lt;=Hypothèses!$V$16,Hypothèses!$X$16,IF(AN290&lt;=Hypothèses!$U$17,Hypothèses!$W$17,IF(AN290&lt;=Hypothèses!$U$18,Hypothèses!$W$18,""))))))))))))</f>
        <v>#DIV/0!</v>
      </c>
      <c r="BK290" s="95" t="e">
        <f t="shared" ca="1" si="477"/>
        <v>#DIV/0!</v>
      </c>
      <c r="BL290" s="101" t="e">
        <f t="shared" si="525"/>
        <v>#N/A</v>
      </c>
      <c r="BM290" s="91" t="e">
        <f t="shared" si="446"/>
        <v>#N/A</v>
      </c>
      <c r="BN290" s="30" t="e">
        <f t="shared" si="504"/>
        <v>#N/A</v>
      </c>
      <c r="BO290" s="30" t="e">
        <f t="shared" si="505"/>
        <v>#N/A</v>
      </c>
      <c r="BP290" s="31" t="e">
        <f>IF(OR(Hypothèses!$B$4=17,Hypothèses!$B$4=18,Hypothèses!$B$4=19,Hypothèses!$B$4=20),
IF($D290="Pressio.",
IF(OR($E290=3,$E290=1,$E290=4),BO290,BN290),
IF($D290="Pénétro.",
IF(OR($E290=3,$E290=1,$E290=4),BO290,BN290))),IF($D290="Pressio.",
IF($E290=3,BO290,BN290),
IF($D290="Pénétro.",
IF($E290=4,BO290,BN290))))</f>
        <v>#N/A</v>
      </c>
      <c r="BQ290" s="31" t="e">
        <f>(IF(OR(Hypothèses!$B$4=17,Hypothèses!$B$4=18,Hypothèses!$B$4=19,Hypothèses!$B$4=20),
IF($D290="Pressio.",
IF(OR($E290=3,$E290=1,$E290=4),(PI()*BQ$12^2)/4*(BM290*$W290*1000)/($H290*$B$5),(PI()*BQ$12^2)/4*(BM290*$W290*1000)/($G290*$B$5)),
IF($D290="Pénétro.",
IF(OR($E290=4,$E290=1,$E290=5),(PI()*BQ$12^2)/4*(BM290*$W290*1000)/($H290*$B$5),(PI()*BQ$12^2)/4*(BM290*$W290*1000)/($G290*$B$5)))),
IF($D290="Pressio.",
IF($E290=3,(PI()*BQ$12^2)/4*(BM290*$W290*1000)/($H290*$B$5),(PI()*BQ$12^2)/4*(BM290*$W290*1000)/($G290*$B$5)),
IF($D290="Pénétro.",
IF($E290=4,(PI()*BQ$12^2)/4*(BM290*$W290*1000)/($H290*$B$5),(PI()*BQ$12^2)/4*(BM290*$W290*1000)/($G290*$B$5))))))/10</f>
        <v>#N/A</v>
      </c>
      <c r="BR290" s="102" t="e">
        <f>(VLOOKUP($B$3,'Coeff EC7'!$T$39:$X$59,2,0)*BP290+VLOOKUP($B$3,'Coeff EC7'!$T$65:$X$85,2,0)*Model0.1C!BQ290)/1.1</f>
        <v>#N/A</v>
      </c>
      <c r="BS290" s="102" t="e">
        <f>(VLOOKUP($B$3,'Coeff EC7'!$T$39:$X$59,3,0)*BP290+VLOOKUP($B$3,'Coeff EC7'!$T$65:$X$85,3,0)*Model0.1C!BQ290)/0.9</f>
        <v>#N/A</v>
      </c>
      <c r="BT290" s="102" t="e">
        <f t="shared" si="478"/>
        <v>#N/A</v>
      </c>
      <c r="BU290" s="102" t="e">
        <f t="shared" si="479"/>
        <v>#N/A</v>
      </c>
      <c r="BV290" s="414" t="e">
        <f>IF(BV289=0,0,IF(AND(BR290&gt;charge_ELS_quasi,BS290&gt;Charge_ELS_freq,BT290&gt;charge_ELU,BU290&gt;charge_ELA,$B290&gt;NDC!$H$22-0.1+MIN(3*$BV$12,1.5)),0,1))</f>
        <v>#N/A</v>
      </c>
      <c r="BW290" s="86" t="b">
        <f t="shared" si="447"/>
        <v>0</v>
      </c>
      <c r="BX290" s="86">
        <f t="shared" si="448"/>
        <v>0.5</v>
      </c>
      <c r="BY290" s="86">
        <f t="shared" si="449"/>
        <v>0.5</v>
      </c>
      <c r="BZ290" s="30" t="e">
        <f t="shared" ca="1" si="480"/>
        <v>#DIV/0!</v>
      </c>
      <c r="CA290" s="85" t="e">
        <f ca="1">IF(BG290&lt;=Hypothèses!$V$7,Hypothèses!$W$7,IF(BG290&lt;=Hypothèses!$V$8,Hypothèses!$W$8,IF(BG290&lt;=Hypothèses!$V$9,Hypothèses!$W$9,IF(BG290&lt;=Hypothèses!$V$10,Hypothèses!$W$10,IF(BG290&lt;=Hypothèses!$V$11,Hypothèses!$W$11,IF(BG290&lt;=Hypothèses!$V$12,Hypothèses!$W$12,IF(BG290&lt;=Hypothèses!$V$13,Hypothèses!$W$13,IF(BG290&lt;=Hypothèses!$V$14,Hypothèses!$W$14,IF(BG290&lt;=Hypothèses!$V$15,Hypothèses!$W$15,IF(BG290&lt;=Hypothèses!$V$16,Hypothèses!$W$16,IF(BG290&lt;=Hypothèses!$V$17,Hypothèses!$W$17,IF(BG290&lt;=Hypothèses!$V$18,Hypothèses!$W$18,""))))))))))))</f>
        <v>#DIV/0!</v>
      </c>
      <c r="CB290" s="87" t="e">
        <f t="shared" ca="1" si="519"/>
        <v>#DIV/0!</v>
      </c>
      <c r="CC290" s="88" t="e">
        <f ca="1">IF(BG290&lt;=Hypothèses!$V$7,Hypothèses!$X$7,IF(BG290&lt;=Hypothèses!$V$8,Hypothèses!$X$8,IF(BG290&lt;=Hypothèses!$V$9,Hypothèses!$X$9,IF(BG290&lt;=Hypothèses!$V$10,Hypothèses!$X$10,IF(BG290&lt;=Hypothèses!$V$11,Hypothèses!$X$11,IF(BG290&lt;=Hypothèses!$V$12,Hypothèses!$X$12,IF(BG290&lt;=Hypothèses!$V$13,Hypothèses!$X$13,IF(BG290&lt;=Hypothèses!$V$14,Hypothèses!$X$14,IF(BG290&lt;=Hypothèses!$V$15,Hypothèses!$X$15,IF(BG290&lt;=Hypothèses!$V$16,Hypothèses!$X$16,IF(BG290&lt;=Hypothèses!$U$17,Hypothèses!$W$17,IF(BG290&lt;=Hypothèses!$U$18,Hypothèses!$W$18,""))))))))))))</f>
        <v>#DIV/0!</v>
      </c>
      <c r="CD290" s="95" t="e">
        <f t="shared" ca="1" si="481"/>
        <v>#DIV/0!</v>
      </c>
      <c r="CE290" s="101" t="e">
        <f t="shared" si="526"/>
        <v>#N/A</v>
      </c>
      <c r="CF290" s="91" t="e">
        <f t="shared" si="450"/>
        <v>#N/A</v>
      </c>
      <c r="CG290" s="30" t="e">
        <f t="shared" si="506"/>
        <v>#N/A</v>
      </c>
      <c r="CH290" s="30" t="e">
        <f t="shared" si="507"/>
        <v>#N/A</v>
      </c>
      <c r="CI290" s="31" t="e">
        <f>IF(OR(Hypothèses!$B$4=17,Hypothèses!$B$4=18,Hypothèses!$B$4=19,Hypothèses!$B$4=20),
IF($D290="Pressio.",
IF(OR($E290=3,$E290=1,$E290=4),CH290,CG290),
IF($D290="Pénétro.",
IF(OR($E290=3,$E290=1,$E290=4),CH290,CG290))),IF($D290="Pressio.",
IF($E290=3,CH290,CG290),
IF($D290="Pénétro.",
IF($E290=4,CH290,CG290))))</f>
        <v>#N/A</v>
      </c>
      <c r="CJ290" s="31" t="e">
        <f>(IF(OR(Hypothèses!$B$4=17,Hypothèses!$B$4=18,Hypothèses!$B$4=19,Hypothèses!$B$4=20),
IF($D290="Pressio.",
IF(OR($E290=3,$E290=1,$E290=4),(PI()*CJ$12^2)/4*(CF290*$W290*1000)/($H290*$B$5),(PI()*CJ$12^2)/4*(CF290*$W290*1000)/($G290*$B$5)),
IF($D290="Pénétro.",
IF(OR($E290=4,$E290=1,$E290=5),(PI()*CJ$12^2)/4*(CF290*$W290*1000)/($H290*$B$5),(PI()*CJ$12^2)/4*(CF290*$W290*1000)/($G290*$B$5)))),
IF($D290="Pressio.",
IF($E290=3,(PI()*CJ$12^2)/4*(CF290*$W290*1000)/($H290*$B$5),(PI()*CJ$12^2)/4*(CF290*$W290*1000)/($G290*$B$5)),
IF($D290="Pénétro.",
IF($E290=4,(PI()*CJ$12^2)/4*(CF290*$W290*1000)/($H290*$B$5),(PI()*CJ$12^2)/4*(CF290*$W290*1000)/($G290*$B$5))))))/10</f>
        <v>#N/A</v>
      </c>
      <c r="CK290" s="102" t="e">
        <f>(VLOOKUP($B$3,'Coeff EC7'!$T$39:$X$59,2,0)*CI290+VLOOKUP($B$3,'Coeff EC7'!$T$65:$X$85,2,0)*Model0.1C!CJ290)/1.1</f>
        <v>#N/A</v>
      </c>
      <c r="CL290" s="102" t="e">
        <f>(VLOOKUP($B$3,'Coeff EC7'!$T$39:$X$59,3,0)*CI290+VLOOKUP($B$3,'Coeff EC7'!$T$65:$X$85,3,0)*Model0.1C!CJ290)/0.9</f>
        <v>#N/A</v>
      </c>
      <c r="CM290" s="102" t="e">
        <f t="shared" si="482"/>
        <v>#N/A</v>
      </c>
      <c r="CN290" s="102" t="e">
        <f t="shared" si="483"/>
        <v>#N/A</v>
      </c>
      <c r="CO290" s="414" t="e">
        <f>IF(CO289=0,0,IF(AND(CK290&gt;charge_ELS_quasi,CL290&gt;Charge_ELS_freq,CM290&gt;charge_ELU,CN290&gt;charge_ELA,$B290&gt;NDC!$H$22-0.1+MIN(3*$CO$12,1.5)),0,1))</f>
        <v>#N/A</v>
      </c>
      <c r="CP290" s="86" t="b">
        <f t="shared" si="451"/>
        <v>0</v>
      </c>
      <c r="CQ290" s="86">
        <f t="shared" si="452"/>
        <v>0.5</v>
      </c>
      <c r="CR290" s="86">
        <f t="shared" si="453"/>
        <v>0.5</v>
      </c>
      <c r="CS290" s="30" t="e">
        <f t="shared" ca="1" si="484"/>
        <v>#DIV/0!</v>
      </c>
      <c r="CT290" s="85" t="e">
        <f ca="1">IF(BZ290&lt;=Hypothèses!$V$7,Hypothèses!$W$7,IF(BZ290&lt;=Hypothèses!$V$8,Hypothèses!$W$8,IF(BZ290&lt;=Hypothèses!$V$9,Hypothèses!$W$9,IF(BZ290&lt;=Hypothèses!$V$10,Hypothèses!$W$10,IF(BZ290&lt;=Hypothèses!$V$11,Hypothèses!$W$11,IF(BZ290&lt;=Hypothèses!$V$12,Hypothèses!$W$12,IF(BZ290&lt;=Hypothèses!$V$13,Hypothèses!$W$13,IF(BZ290&lt;=Hypothèses!$V$14,Hypothèses!$W$14,IF(BZ290&lt;=Hypothèses!$V$15,Hypothèses!$W$15,IF(BZ290&lt;=Hypothèses!$V$16,Hypothèses!$W$16,IF(BZ290&lt;=Hypothèses!$V$17,Hypothèses!$W$17,IF(BZ290&lt;=Hypothèses!$V$18,Hypothèses!$W$18,""))))))))))))</f>
        <v>#DIV/0!</v>
      </c>
      <c r="CU290" s="87" t="e">
        <f t="shared" ca="1" si="520"/>
        <v>#DIV/0!</v>
      </c>
      <c r="CV290" s="88" t="e">
        <f ca="1">IF(BZ290&lt;=Hypothèses!$V$7,Hypothèses!$X$7,IF(BZ290&lt;=Hypothèses!$V$8,Hypothèses!$X$8,IF(BZ290&lt;=Hypothèses!$V$9,Hypothèses!$X$9,IF(BZ290&lt;=Hypothèses!$V$10,Hypothèses!$X$10,IF(BZ290&lt;=Hypothèses!$V$11,Hypothèses!$X$11,IF(BZ290&lt;=Hypothèses!$V$12,Hypothèses!$X$12,IF(BZ290&lt;=Hypothèses!$V$13,Hypothèses!$X$13,IF(BZ290&lt;=Hypothèses!$V$14,Hypothèses!$X$14,IF(BZ290&lt;=Hypothèses!$V$15,Hypothèses!$X$15,IF(BZ290&lt;=Hypothèses!$V$16,Hypothèses!$X$16,IF(BZ290&lt;=Hypothèses!$U$17,Hypothèses!$W$17,IF(BZ290&lt;=Hypothèses!$U$18,Hypothèses!$W$18,""))))))))))))</f>
        <v>#DIV/0!</v>
      </c>
      <c r="CW290" s="95" t="e">
        <f t="shared" ca="1" si="485"/>
        <v>#DIV/0!</v>
      </c>
      <c r="CX290" s="101" t="e">
        <f t="shared" si="527"/>
        <v>#N/A</v>
      </c>
      <c r="CY290" s="91" t="e">
        <f t="shared" si="454"/>
        <v>#N/A</v>
      </c>
      <c r="CZ290" s="30" t="e">
        <f t="shared" si="508"/>
        <v>#N/A</v>
      </c>
      <c r="DA290" s="30" t="e">
        <f t="shared" si="509"/>
        <v>#N/A</v>
      </c>
      <c r="DB290" s="31" t="e">
        <f>IF(OR(Hypothèses!$B$4=17,Hypothèses!$B$4=18,Hypothèses!$B$4=19,Hypothèses!$B$4=20),
IF($D290="Pressio.",
IF(OR($E290=3,$E290=1,$E290=4),DA290,CZ290),
IF($D290="Pénétro.",
IF(OR($E290=3,$E290=1,$E290=4),DA290,CZ290))),IF($D290="Pressio.",
IF($E290=3,DA290,CZ290),
IF($D290="Pénétro.",
IF($E290=4,DA290,CZ290))))</f>
        <v>#N/A</v>
      </c>
      <c r="DC290" s="31" t="e">
        <f>(IF(OR(Hypothèses!$B$4=17,Hypothèses!$B$4=18,Hypothèses!$B$4=19,Hypothèses!$B$4=20),
IF($D290="Pressio.",
IF(OR($E290=3,$E290=1,$E290=4),(PI()*DC$12^2)/4*(CY290*$W290*1000)/($H290*$B$5),(PI()*DC$12^2)/4*(CY290*$W290*1000)/($G290*$B$5)),
IF($D290="Pénétro.",
IF(OR($E290=4,$E290=1,$E290=5),(PI()*DC$12^2)/4*(CY290*$W290*1000)/($H290*$B$5),(PI()*DC$12^2)/4*(CY290*$W290*1000)/($G290*$B$5)))),
IF($D290="Pressio.",
IF($E290=3,(PI()*DC$12^2)/4*(CY290*$W290*1000)/($H290*$B$5),(PI()*DC$12^2)/4*(CY290*$W290*1000)/($G290*$B$5)),
IF($D290="Pénétro.",
IF($E290=4,(PI()*DC$12^2)/4*(CY290*$W290*1000)/($H290*$B$5),(PI()*DC$12^2)/4*(CY290*$W290*1000)/($G290*$B$5))))))/10</f>
        <v>#N/A</v>
      </c>
      <c r="DD290" s="102" t="e">
        <f>(VLOOKUP($B$3,'Coeff EC7'!$T$39:$X$59,2,0)*DB290+VLOOKUP($B$3,'Coeff EC7'!$T$65:$X$85,2,0)*Model0.1C!DC290)/1.1</f>
        <v>#N/A</v>
      </c>
      <c r="DE290" s="102" t="e">
        <f>(VLOOKUP($B$3,'Coeff EC7'!$T$39:$X$59,3,0)*DB290+VLOOKUP($B$3,'Coeff EC7'!$T$65:$X$85,3,0)*Model0.1C!DC290)/0.9</f>
        <v>#N/A</v>
      </c>
      <c r="DF290" s="102" t="e">
        <f t="shared" si="486"/>
        <v>#N/A</v>
      </c>
      <c r="DG290" s="102" t="e">
        <f t="shared" si="487"/>
        <v>#N/A</v>
      </c>
      <c r="DH290" s="414" t="e">
        <f>IF(DH289=0,0,IF(AND(DD290&gt;charge_ELS_quasi,DE290&gt;Charge_ELS_freq,DF290&gt;charge_ELU,DG290&gt;charge_ELA,$B290&gt;NDC!$H$22-0.1+MIN(3*$DH$12,1.5)),0,1))</f>
        <v>#N/A</v>
      </c>
      <c r="DI290" s="86" t="b">
        <f t="shared" si="455"/>
        <v>0</v>
      </c>
      <c r="DJ290" s="86">
        <f t="shared" si="456"/>
        <v>0.5</v>
      </c>
      <c r="DK290" s="86">
        <f t="shared" si="457"/>
        <v>0.5</v>
      </c>
      <c r="DL290" s="30" t="e">
        <f t="shared" ca="1" si="488"/>
        <v>#DIV/0!</v>
      </c>
      <c r="DM290" s="85" t="e">
        <f ca="1">IF(CS290&lt;=Hypothèses!$V$7,Hypothèses!$W$7,IF(CS290&lt;=Hypothèses!$V$8,Hypothèses!$W$8,IF(CS290&lt;=Hypothèses!$V$9,Hypothèses!$W$9,IF(CS290&lt;=Hypothèses!$V$10,Hypothèses!$W$10,IF(CS290&lt;=Hypothèses!$V$11,Hypothèses!$W$11,IF(CS290&lt;=Hypothèses!$V$12,Hypothèses!$W$12,IF(CS290&lt;=Hypothèses!$V$13,Hypothèses!$W$13,IF(CS290&lt;=Hypothèses!$V$14,Hypothèses!$W$14,IF(CS290&lt;=Hypothèses!$V$15,Hypothèses!$W$15,IF(CS290&lt;=Hypothèses!$V$16,Hypothèses!$W$16,IF(CS290&lt;=Hypothèses!$V$17,Hypothèses!$W$17,IF(CS290&lt;=Hypothèses!$V$18,Hypothèses!$W$18,""))))))))))))</f>
        <v>#DIV/0!</v>
      </c>
      <c r="DN290" s="87" t="e">
        <f t="shared" ca="1" si="521"/>
        <v>#DIV/0!</v>
      </c>
      <c r="DO290" s="88" t="e">
        <f ca="1">IF(CS290&lt;=Hypothèses!$V$7,Hypothèses!$X$7,IF(CS290&lt;=Hypothèses!$V$8,Hypothèses!$X$8,IF(CS290&lt;=Hypothèses!$V$9,Hypothèses!$X$9,IF(CS290&lt;=Hypothèses!$V$10,Hypothèses!$X$10,IF(CS290&lt;=Hypothèses!$V$11,Hypothèses!$X$11,IF(CS290&lt;=Hypothèses!$V$12,Hypothèses!$X$12,IF(CS290&lt;=Hypothèses!$V$13,Hypothèses!$X$13,IF(CS290&lt;=Hypothèses!$V$14,Hypothèses!$X$14,IF(CS290&lt;=Hypothèses!$V$15,Hypothèses!$X$15,IF(CS290&lt;=Hypothèses!$V$16,Hypothèses!$X$16,IF(CS290&lt;=Hypothèses!$U$17,Hypothèses!$W$17,IF(CS290&lt;=Hypothèses!$U$18,Hypothèses!$W$18,""))))))))))))</f>
        <v>#DIV/0!</v>
      </c>
      <c r="DP290" s="95" t="e">
        <f t="shared" ca="1" si="489"/>
        <v>#DIV/0!</v>
      </c>
      <c r="DQ290" s="101" t="e">
        <f t="shared" si="528"/>
        <v>#N/A</v>
      </c>
      <c r="DR290" s="91" t="e">
        <f t="shared" si="458"/>
        <v>#N/A</v>
      </c>
      <c r="DS290" s="30" t="e">
        <f t="shared" si="510"/>
        <v>#N/A</v>
      </c>
      <c r="DT290" s="30" t="e">
        <f t="shared" si="511"/>
        <v>#N/A</v>
      </c>
      <c r="DU290" s="31" t="e">
        <f>IF(OR(Hypothèses!$B$4=17,Hypothèses!$B$4=18,Hypothèses!$B$4=19,Hypothèses!$B$4=20),
IF($D290="Pressio.",
IF(OR($E290=3,$E290=1,$E290=4),DT290,DS290),
IF($D290="Pénétro.",
IF(OR($E290=3,$E290=1,$E290=4),DT290,DS290))),IF($D290="Pressio.",
IF($E290=3,DT290,DS290),
IF($D290="Pénétro.",
IF($E290=4,DT290,DS290))))</f>
        <v>#N/A</v>
      </c>
      <c r="DV290" s="31" t="e">
        <f>(IF(OR(Hypothèses!$B$4=17,Hypothèses!$B$4=18,Hypothèses!$B$4=19,Hypothèses!$B$4=20),
IF($D290="Pressio.",
IF(OR($E290=3,$E290=1,$E290=4),(PI()*DV$12^2)/4*(DR290*$W290*1000)/($H290*$B$5),(PI()*DV$12^2)/4*(DR290*$W290*1000)/($G290*$B$5)),
IF($D290="Pénétro.",
IF(OR($E290=4,$E290=1,$E290=5),(PI()*DV$12^2)/4*(DR290*$W290*1000)/($H290*$B$5),(PI()*DV$12^2)/4*(DR290*$W290*1000)/($G290*$B$5)))),
IF($D290="Pressio.",
IF($E290=3,(PI()*DV$12^2)/4*(DR290*$W290*1000)/($H290*$B$5),(PI()*DV$12^2)/4*(DR290*$W290*1000)/($G290*$B$5)),
IF($D290="Pénétro.",
IF($E290=4,(PI()*DV$12^2)/4*(DR290*$W290*1000)/($H290*$B$5),(PI()*DV$12^2)/4*(DR290*$W290*1000)/($G290*$B$5))))))/10</f>
        <v>#N/A</v>
      </c>
      <c r="DW290" s="102" t="e">
        <f>(VLOOKUP($B$3,'Coeff EC7'!$T$39:$X$59,2,0)*DU290+VLOOKUP($B$3,'Coeff EC7'!$T$65:$X$85,2,0)*Model0.1C!DV290)/1.1</f>
        <v>#N/A</v>
      </c>
      <c r="DX290" s="102" t="e">
        <f>(VLOOKUP($B$3,'Coeff EC7'!$T$39:$X$59,3,0)*DU290+VLOOKUP($B$3,'Coeff EC7'!$T$65:$X$85,3,0)*Model0.1C!DV290)/0.9</f>
        <v>#N/A</v>
      </c>
      <c r="DY290" s="102" t="e">
        <f t="shared" si="490"/>
        <v>#N/A</v>
      </c>
      <c r="DZ290" s="102" t="e">
        <f t="shared" si="491"/>
        <v>#N/A</v>
      </c>
      <c r="EA290" s="414" t="e">
        <f>IF(EA289=0,0,IF(AND(DW290&gt;charge_ELS_quasi,DX290&gt;Charge_ELS_freq,DY290&gt;charge_ELU,DZ290&gt;charge_ELA,$B290&gt;NDC!$H$22-0.1+MIN(3*$EA$12,1.5)),0,1))</f>
        <v>#N/A</v>
      </c>
      <c r="EB290" s="86" t="b">
        <f t="shared" si="459"/>
        <v>0</v>
      </c>
      <c r="EC290" s="418">
        <f t="shared" si="460"/>
        <v>0.51</v>
      </c>
      <c r="ED290" s="86">
        <f t="shared" si="461"/>
        <v>0.51</v>
      </c>
      <c r="EE290" s="30" t="e">
        <f t="shared" ca="1" si="492"/>
        <v>#DIV/0!</v>
      </c>
      <c r="EF290" s="85" t="e">
        <f ca="1">IF(DL290&lt;=Hypothèses!$V$7,Hypothèses!$W$7,IF(DL290&lt;=Hypothèses!$V$8,Hypothèses!$W$8,IF(DL290&lt;=Hypothèses!$V$9,Hypothèses!$W$9,IF(DL290&lt;=Hypothèses!$V$10,Hypothèses!$W$10,IF(DL290&lt;=Hypothèses!$V$11,Hypothèses!$W$11,IF(DL290&lt;=Hypothèses!$V$12,Hypothèses!$W$12,IF(DL290&lt;=Hypothèses!$V$13,Hypothèses!$W$13,IF(DL290&lt;=Hypothèses!$V$14,Hypothèses!$W$14,IF(DL290&lt;=Hypothèses!$V$15,Hypothèses!$W$15,IF(DL290&lt;=Hypothèses!$V$16,Hypothèses!$W$16,IF(DL290&lt;=Hypothèses!$V$17,Hypothèses!$W$17,IF(DL290&lt;=Hypothèses!$V$18,Hypothèses!$W$18,""))))))))))))</f>
        <v>#DIV/0!</v>
      </c>
      <c r="EG290" s="87" t="e">
        <f t="shared" ca="1" si="522"/>
        <v>#DIV/0!</v>
      </c>
      <c r="EH290" s="88" t="e">
        <f ca="1">IF(DL290&lt;=Hypothèses!$V$7,Hypothèses!$X$7,IF(DL290&lt;=Hypothèses!$V$8,Hypothèses!$X$8,IF(DL290&lt;=Hypothèses!$V$9,Hypothèses!$X$9,IF(DL290&lt;=Hypothèses!$V$10,Hypothèses!$X$10,IF(DL290&lt;=Hypothèses!$V$11,Hypothèses!$X$11,IF(DL290&lt;=Hypothèses!$V$12,Hypothèses!$X$12,IF(DL290&lt;=Hypothèses!$V$13,Hypothèses!$X$13,IF(DL290&lt;=Hypothèses!$V$14,Hypothèses!$X$14,IF(DL290&lt;=Hypothèses!$V$15,Hypothèses!$X$15,IF(DL290&lt;=Hypothèses!$V$16,Hypothèses!$X$16,IF(DL290&lt;=Hypothèses!$U$17,Hypothèses!$W$17,IF(DL290&lt;=Hypothèses!$U$18,Hypothèses!$W$18,""))))))))))))</f>
        <v>#DIV/0!</v>
      </c>
      <c r="EI290" s="95" t="e">
        <f t="shared" ca="1" si="493"/>
        <v>#DIV/0!</v>
      </c>
      <c r="EJ290" s="101" t="e">
        <f t="shared" si="529"/>
        <v>#N/A</v>
      </c>
      <c r="EK290" s="91" t="e">
        <f t="shared" si="462"/>
        <v>#N/A</v>
      </c>
      <c r="EL290" s="30" t="e">
        <f t="shared" si="512"/>
        <v>#N/A</v>
      </c>
      <c r="EM290" s="30" t="e">
        <f t="shared" si="513"/>
        <v>#N/A</v>
      </c>
      <c r="EN290" s="31" t="e">
        <f>IF(OR(Hypothèses!$B$4=17,Hypothèses!$B$4=18,Hypothèses!$B$4=19,Hypothèses!$B$4=20),
IF($D290="Pressio.",
IF(OR($E290=3,$E290=1,$E290=4),EM290,EL290),
IF($D290="Pénétro.",
IF(OR($E290=3,$E290=1,$E290=4),EM290,EL290))),IF($D290="Pressio.",
IF($E290=3,EM290,EL290),
IF($D290="Pénétro.",
IF($E290=4,EM290,EL290))))</f>
        <v>#N/A</v>
      </c>
      <c r="EO290" s="31" t="e">
        <f>(IF(OR(Hypothèses!$B$4=17,Hypothèses!$B$4=18,Hypothèses!$B$4=19,Hypothèses!$B$4=20),
IF($D290="Pressio.",
IF(OR($E290=3,$E290=1,$E290=4),(PI()*EO$12^2)/4*(EK290*$W290*1000)/($H290*$B$5),(PI()*EO$12^2)/4*(EK290*$W290*1000)/($G290*$B$5)),
IF($D290="Pénétro.",
IF(OR($E290=4,$E290=1,$E290=5),(PI()*EO$12^2)/4*(EK290*$W290*1000)/($H290*$B$5),(PI()*EO$12^2)/4*(EK290*$W290*1000)/($G290*$B$5)))),
IF($D290="Pressio.",
IF($E290=3,(PI()*EO$12^2)/4*(EK290*$W290*1000)/($H290*$B$5),(PI()*EO$12^2)/4*(EK290*$W290*1000)/($G290*$B$5)),
IF($D290="Pénétro.",
IF($E290=4,(PI()*EO$12^2)/4*(EK290*$W290*1000)/($H290*$B$5),(PI()*EO$12^2)/4*(EK290*$W290*1000)/($G290*$B$5))))))/10</f>
        <v>#N/A</v>
      </c>
      <c r="EP290" s="102" t="e">
        <f>(VLOOKUP($B$3,'Coeff EC7'!$T$39:$X$59,2,0)*EN290+VLOOKUP($B$3,'Coeff EC7'!$T$65:$X$85,2,0)*Model0.1C!EO290)/1.1</f>
        <v>#N/A</v>
      </c>
      <c r="EQ290" s="102" t="e">
        <f>(VLOOKUP($B$3,'Coeff EC7'!$T$39:$X$59,3,0)*EN290+VLOOKUP($B$3,'Coeff EC7'!$T$65:$X$85,3,0)*Model0.1C!EO290)/0.9</f>
        <v>#N/A</v>
      </c>
      <c r="ER290" s="102" t="e">
        <f t="shared" si="494"/>
        <v>#N/A</v>
      </c>
      <c r="ES290" s="102" t="e">
        <f t="shared" si="495"/>
        <v>#N/A</v>
      </c>
      <c r="ET290" s="414" t="e">
        <f>IF(ET289=0,0,IF(AND(EP290&gt;charge_ELS_quasi,EQ290&gt;Charge_ELS_freq,ER290&gt;charge_ELU,ES290&gt;charge_ELA,$B290&gt;NDC!$H$22-0.1+MIN(3*$ET$12,1.5)),0,1))</f>
        <v>#N/A</v>
      </c>
      <c r="EU290" s="86" t="b">
        <f t="shared" si="463"/>
        <v>0</v>
      </c>
      <c r="EV290" s="86">
        <f t="shared" si="464"/>
        <v>0.61</v>
      </c>
      <c r="EW290" s="86">
        <f t="shared" si="465"/>
        <v>0.61</v>
      </c>
      <c r="EX290" s="30" t="e">
        <f t="shared" ca="1" si="496"/>
        <v>#DIV/0!</v>
      </c>
      <c r="EY290" s="85" t="e">
        <f ca="1">IF(EE290&lt;=Hypothèses!$V$7,Hypothèses!$W$7,IF(EE290&lt;=Hypothèses!$V$8,Hypothèses!$W$8,IF(EE290&lt;=Hypothèses!$V$9,Hypothèses!$W$9,IF(EE290&lt;=Hypothèses!$V$10,Hypothèses!$W$10,IF(EE290&lt;=Hypothèses!$V$11,Hypothèses!$W$11,IF(EE290&lt;=Hypothèses!$V$12,Hypothèses!$W$12,IF(EE290&lt;=Hypothèses!$V$13,Hypothèses!$W$13,IF(EE290&lt;=Hypothèses!$V$14,Hypothèses!$W$14,IF(EE290&lt;=Hypothèses!$V$15,Hypothèses!$W$15,IF(EE290&lt;=Hypothèses!$V$16,Hypothèses!$W$16,IF(EE290&lt;=Hypothèses!$V$17,Hypothèses!$W$17,IF(EE290&lt;=Hypothèses!$V$18,Hypothèses!$W$18,""))))))))))))</f>
        <v>#DIV/0!</v>
      </c>
      <c r="EZ290" s="87" t="e">
        <f t="shared" ca="1" si="523"/>
        <v>#DIV/0!</v>
      </c>
      <c r="FA290" s="88" t="e">
        <f ca="1">IF(EE290&lt;=Hypothèses!$V$7,Hypothèses!$X$7,IF(EE290&lt;=Hypothèses!$V$8,Hypothèses!$X$8,IF(EE290&lt;=Hypothèses!$V$9,Hypothèses!$X$9,IF(EE290&lt;=Hypothèses!$V$10,Hypothèses!$X$10,IF(EE290&lt;=Hypothèses!$V$11,Hypothèses!$X$11,IF(EE290&lt;=Hypothèses!$V$12,Hypothèses!$X$12,IF(EE290&lt;=Hypothèses!$V$13,Hypothèses!$X$13,IF(EE290&lt;=Hypothèses!$V$14,Hypothèses!$X$14,IF(EE290&lt;=Hypothèses!$V$15,Hypothèses!$X$15,IF(EE290&lt;=Hypothèses!$V$16,Hypothèses!$X$16,IF(EE290&lt;=Hypothèses!$U$17,Hypothèses!$W$17,IF(EE290&lt;=Hypothèses!$U$18,Hypothèses!$W$18,""))))))))))))</f>
        <v>#DIV/0!</v>
      </c>
      <c r="FB290" s="95" t="e">
        <f t="shared" ca="1" si="497"/>
        <v>#DIV/0!</v>
      </c>
      <c r="FC290" s="101" t="e">
        <f t="shared" si="530"/>
        <v>#N/A</v>
      </c>
      <c r="FD290" s="91" t="e">
        <f t="shared" si="466"/>
        <v>#N/A</v>
      </c>
      <c r="FE290" s="30" t="e">
        <f t="shared" si="514"/>
        <v>#N/A</v>
      </c>
      <c r="FF290" s="30" t="e">
        <f t="shared" si="515"/>
        <v>#N/A</v>
      </c>
      <c r="FG290" s="31" t="e">
        <f>IF(OR(Hypothèses!$B$4=17,Hypothèses!$B$4=18,Hypothèses!$B$4=19,Hypothèses!$B$4=20),
IF($D290="Pressio.",
IF(OR($E290=3,$E290=1,$E290=4),FF290,FE290),
IF($D290="Pénétro.",
IF(OR($E290=3,$E290=1,$E290=4),FF290,FE290))),IF($D290="Pressio.",
IF($E290=3,FF290,FE290),
IF($D290="Pénétro.",
IF($E290=4,FF290,FE290))))</f>
        <v>#N/A</v>
      </c>
      <c r="FH290" s="31" t="e">
        <f>(IF(OR(Hypothèses!$B$4=17,Hypothèses!$B$4=18,Hypothèses!$B$4=19,Hypothèses!$B$4=20),
IF($D290="Pressio.",
IF(OR($E290=3,$E290=1,$E290=4),(PI()*FH$12^2)/4*(FD290*$W290*1000)/($H290*$B$5),(PI()*FH$12^2)/4*(FD290*$W290*1000)/($G290*$B$5)),
IF($D290="Pénétro.",
IF(OR($E290=4,$E290=1,$E290=5),(PI()*FH$12^2)/4*(FD290*$W290*1000)/($H290*$B$5),(PI()*FH$12^2)/4*(FD290*$W290*1000)/($G290*$B$5)))),
IF($D290="Pressio.",
IF($E290=3,(PI()*FH$12^2)/4*(FD290*$W290*1000)/($H290*$B$5),(PI()*FH$12^2)/4*(FD290*$W290*1000)/($G290*$B$5)),
IF($D290="Pénétro.",
IF($E290=4,(PI()*FH$12^2)/4*(FD290*$W290*1000)/($H290*$B$5),(PI()*FH$12^2)/4*(FD290*$W290*1000)/($G290*$B$5))))))/10</f>
        <v>#N/A</v>
      </c>
      <c r="FI290" s="102" t="e">
        <f>(VLOOKUP($B$3,'Coeff EC7'!$T$39:$X$59,2,0)*FG290+VLOOKUP($B$3,'Coeff EC7'!$T$65:$X$85,2,0)*Model0.1C!FH290)/1.1</f>
        <v>#N/A</v>
      </c>
      <c r="FJ290" s="102" t="e">
        <f>(VLOOKUP($B$3,'Coeff EC7'!$T$39:$X$59,3,0)*FG290+VLOOKUP($B$3,'Coeff EC7'!$T$65:$X$85,3,0)*Model0.1C!FH290)/0.9</f>
        <v>#N/A</v>
      </c>
      <c r="FK290" s="102" t="e">
        <f t="shared" si="498"/>
        <v>#N/A</v>
      </c>
      <c r="FL290" s="102" t="e">
        <f t="shared" si="499"/>
        <v>#N/A</v>
      </c>
      <c r="FM290" s="414" t="e">
        <f>IF(FM289=0,0,IF(AND(FI290&gt;charge_ELS_quasi,FJ290&gt;Charge_ELS_freq,FK290&gt;charge_ELU,FL290&gt;charge_ELA,$B290&gt;NDC!$H$22-0.1+MIN(3*$FM$12,1.5)),0,1))</f>
        <v>#N/A</v>
      </c>
    </row>
    <row r="291" spans="1:169">
      <c r="A291" s="96">
        <f t="shared" si="467"/>
        <v>72.20000000000158</v>
      </c>
      <c r="B291" s="97">
        <v>27.8</v>
      </c>
      <c r="C291" s="81">
        <f>IF(B291&lt;=Hypothèses!$C$7,Hypothèses!$A$7,IF(B291&lt;=Hypothèses!$C$8,Hypothèses!$A$8,IF(B291&lt;=Hypothèses!$C$9,Hypothèses!$A$9,IF(B291&lt;=Hypothèses!$C$10,Hypothèses!$A$10,IF(B291&lt;=Hypothèses!$C$11,Hypothèses!$A$11,IF(B291&lt;=Hypothèses!$C$12,Hypothèses!$A$12,IF(B291&lt;=Hypothèses!$C$13,Hypothèses!$A$13,IF(B291&lt;=Hypothèses!$C$14,Hypothèses!$A$14,IF(B291&lt;=Hypothèses!$C$15,Hypothèses!$A$15,IF(B291&lt;=Hypothèses!$C$16,Hypothèses!$A$16,IF(B291&lt;=Hypothèses!$C$17,Hypothèses!$A$17,IF(B291&lt;=Hypothèses!$C$18,Hypothèses!$A$18,C290))))))))))))</f>
        <v>11</v>
      </c>
      <c r="D291" s="82" t="str">
        <f>IF(B291&lt;=Hypothèses!$C$7,Hypothèses!$R$7,IF(B291&lt;=Hypothèses!$C$8,Hypothèses!$R$8,IF(B291&lt;=Hypothèses!$C$9,Hypothèses!$R$9,IF(B291&lt;=Hypothèses!$C$10,Hypothèses!$R$10,IF(B291&lt;=Hypothèses!$C$11,Hypothèses!$R$11,IF(B291&lt;=Hypothèses!$C$12,Hypothèses!$R$12,IF(B291&lt;=Hypothèses!$C$13,Hypothèses!$R$13,IF(B291&lt;=Hypothèses!$C$14,Hypothèses!$R$14,IF(B291&lt;=Hypothèses!$C$15,Hypothèses!$R$15,IF(B291&lt;=Hypothèses!$C$16,Hypothèses!$R$16,IF(B291&lt;=Hypothèses!$C$17,Hypothèses!$R$17,IF(B291&lt;=Hypothèses!$C$18,Hypothèses!$R$18,D290))))))))))))</f>
        <v>Pressio.</v>
      </c>
      <c r="E291" s="82" t="e">
        <f>IF(B291&lt;=Hypothèses!$C$7,Hypothèses!$G$7,IF(B291&lt;=Hypothèses!$C$8,Hypothèses!$G$8,IF(B291&lt;=Hypothèses!$C$9,Hypothèses!$G$9,IF(B291&lt;=Hypothèses!$C$10,Hypothèses!$G$10,IF(B291&lt;=Hypothèses!$C$11,Hypothèses!$G$11,IF(B291&lt;=Hypothèses!$C$12,Hypothèses!$G$12,IF(B291&lt;=Hypothèses!$C$13,Hypothèses!$G$13,IF(B291&lt;=Hypothèses!$C$14,Hypothèses!$G$14,IF(B291&lt;=Hypothèses!$C$15,Hypothèses!$G$15,IF(B291&lt;=Hypothèses!$C$16,Hypothèses!$G$16,IF(B291&lt;=Hypothèses!$C$17,Hypothèses!$G$17,IF(B291&lt;=Hypothèses!$C$18,Hypothèses!$G$18,E290))))))))))))</f>
        <v>#N/A</v>
      </c>
      <c r="F291" s="82" t="str">
        <f>IF(B291&lt;=Hypothèses!$C$7,Hypothèses!$F$7,IF(B291&lt;=Hypothèses!$C$8,Hypothèses!$F$8,IF(B291&lt;=Hypothèses!$C$9,Hypothèses!$F$9,IF(B291&lt;=Hypothèses!$C$10,Hypothèses!$F$10,IF(B291&lt;=Hypothèses!$C$11,Hypothèses!$F$11,IF(B291&lt;=Hypothèses!$C$12,Hypothèses!$F$12,IF(B291&lt;=Hypothèses!$C$13,Hypothèses!$F$13,IF(B291&lt;=Hypothèses!$C$14,Hypothèses!$F$14,IF(B291&lt;=Hypothèses!$C$15,Hypothèses!$F$15,IF(B291&lt;=Hypothèses!$C$16,Hypothèses!$F$16,IF(B291&lt;=Hypothèses!$C$17,Hypothèses!$F$17,IF(B291&lt;=Hypothèses!$C$18,Hypothèses!$F$18,F290))))))))))))</f>
        <v/>
      </c>
      <c r="G291" s="91">
        <f t="array" ref="G291">INDEX('Coeff EC7'!$U$7:$X$27,
MATCH(Model0.1C!$B$3,'Coeff EC7'!$T$7:$T$27,0),
MATCH(Model0.1C!$D291&amp;Model0.1C!$B$4,
'Coeff EC7'!$U$6:$X$6&amp;
'Coeff EC7'!$U$5:$X$5,0))</f>
        <v>1.1499999999999999</v>
      </c>
      <c r="H291" s="91">
        <f t="array" ref="H291">INDEX('Coeff EC7'!$Y$7:$AB$27,
MATCH(Model0.1C!$B$3,'Coeff EC7'!$T$7:$T$27,0),
MATCH(Model0.1C!$D291&amp;Model0.1C!$B$4,
'Coeff EC7'!$Y$6:$AB$6&amp;
'Coeff EC7'!$Y$5:$AB$5,0))</f>
        <v>1.4</v>
      </c>
      <c r="I291" s="83" t="e">
        <f>IF(B291&lt;=Hypothèses!$C$7,Hypothèses!$P$7,IF(B291&lt;=Hypothèses!$C$8,Hypothèses!$P$8,IF(B291&lt;=Hypothèses!$C$9,Hypothèses!$P$9,IF(B291&lt;=Hypothèses!$C$10,Hypothèses!$P$10,IF(B291&lt;=Hypothèses!$C$11,Hypothèses!$P$11,IF(B291&lt;=Hypothèses!$C$12,Hypothèses!$P$12,IF(B291&lt;=Hypothèses!$C$13,Hypothèses!$P$13,IF(B291&lt;=Hypothèses!$C$14,Hypothèses!$P$14,IF(B291&lt;=Hypothèses!$C$15,Hypothèses!$P$15,IF(B291&lt;=Hypothèses!$C$16,Hypothèses!$P$16,IF(B291&lt;=Hypothèses!$C$17,Hypothèses!$P$17,IF(B291&lt;=Hypothèses!$C$18,Hypothèses!$P$18,I290))))))))))))</f>
        <v>#N/A</v>
      </c>
      <c r="J291" s="91" t="e">
        <f t="array" ref="J291">INDEX('Coeff EC7'!$D$33:$Q$33,1,MATCH(D291&amp;E291,'Coeff EC7'!$D$31:$Q$31&amp;'Coeff EC7'!$D$32:$Q$32,0))</f>
        <v>#N/A</v>
      </c>
      <c r="K291" s="91" t="e">
        <f t="array" ref="K291">INDEX('Coeff EC7'!$D$34:$Q$34,1,MATCH(D291&amp;E291,'Coeff EC7'!$D$31:$Q$31&amp;'Coeff EC7'!$D$32:$Q$32,0))</f>
        <v>#N/A</v>
      </c>
      <c r="L291" s="91" t="e">
        <f t="array" ref="L291">INDEX('Coeff EC7'!$D$35:$Q$35,1,MATCH(D291&amp;E291,'Coeff EC7'!$D$31:$Q$31&amp;'Coeff EC7'!$D$32:$Q$32,0))</f>
        <v>#N/A</v>
      </c>
      <c r="M291" s="98" t="e">
        <f t="shared" si="431"/>
        <v>#N/A</v>
      </c>
      <c r="N291" s="99" t="e">
        <f t="array" ref="N291">INDEX('Coeff EC7'!$D$7:$Q$27,MATCH($B$3,'Coeff EC7'!$C$7:$C$27,0),MATCH(D291&amp;E291,'Coeff EC7'!$D$5:$Q$5&amp;'Coeff EC7'!$D$6:$Q$6,0))</f>
        <v>#N/A</v>
      </c>
      <c r="O291" s="99" t="e">
        <f t="array" ref="O291">INDEX('Coeff EC7'!$D$41:$Q$61,MATCH($B$3,'Coeff EC7'!$C$41:$C$61,0),MATCH(D291&amp;E291,'Coeff EC7'!$D$39:$Q$39&amp;'Coeff EC7'!$D$40:$Q$40,0))</f>
        <v>#N/A</v>
      </c>
      <c r="P291" s="30" t="e">
        <f t="shared" si="468"/>
        <v>#N/A</v>
      </c>
      <c r="Q291" s="100" t="e">
        <f t="shared" si="433"/>
        <v>#N/A</v>
      </c>
      <c r="R291" s="86" t="b">
        <f t="shared" si="434"/>
        <v>0</v>
      </c>
      <c r="S291" s="86">
        <f t="shared" si="432"/>
        <v>0.5</v>
      </c>
      <c r="T291" s="86">
        <f t="shared" si="435"/>
        <v>0.5</v>
      </c>
      <c r="U291" s="30" t="e">
        <f t="shared" ca="1" si="469"/>
        <v>#DIV/0!</v>
      </c>
      <c r="V291" s="85" t="str">
        <f>IF(B291&lt;=Hypothèses!$V$7,Hypothèses!$W$7,IF(B291&lt;=Hypothèses!$V$8,Hypothèses!$W$8,IF(B291&lt;=Hypothèses!$V$9,Hypothèses!$W$9,IF(B291&lt;=Hypothèses!$V$10,Hypothèses!$W$10,IF(B291&lt;=Hypothèses!$V$11,Hypothèses!$W$11,IF(B291&lt;=Hypothèses!$V$12,Hypothèses!$W$12,IF(B291&lt;=Hypothèses!$V$13,Hypothèses!$W$13,IF(B291&lt;=Hypothèses!$V$14,Hypothèses!$W$14,IF(B291&lt;=Hypothèses!$V$15,Hypothèses!$W$15,IF(B291&lt;=Hypothèses!$V$16,Hypothèses!$W$16,IF(B291&lt;=Hypothèses!$V$17,Hypothèses!$W$17,IF(B291&lt;=Hypothèses!$V$18,Hypothèses!$W$18,""))))))))))))</f>
        <v/>
      </c>
      <c r="W291" s="87" t="e">
        <f t="shared" ca="1" si="516"/>
        <v>#DIV/0!</v>
      </c>
      <c r="X291" s="88" t="str">
        <f>IF(B291&lt;=Hypothèses!$V$7,Hypothèses!$X$7,IF(B291&lt;=Hypothèses!$V$8,Hypothèses!$X$8,IF(B291&lt;=Hypothèses!$V$9,Hypothèses!$X$9,IF(B291&lt;=Hypothèses!$V$10,Hypothèses!$X$10,IF(B291&lt;=Hypothèses!$V$11,Hypothèses!$X$11,IF(B291&lt;=Hypothèses!$V$12,Hypothèses!$X$12,IF(B291&lt;=Hypothèses!$V$13,Hypothèses!$X$13,IF(B291&lt;=Hypothèses!$V$14,Hypothèses!$X$14,IF(B291&lt;=Hypothèses!$V$15,Hypothèses!$X$15,IF(B291&lt;=Hypothèses!$V$16,Hypothèses!$X$16,IF(B291&lt;=Hypothèses!$U$17,Hypothèses!$W$17,IF(B291&lt;=Hypothèses!$U$18,Hypothèses!$W$18,""))))))))))))</f>
        <v/>
      </c>
      <c r="Y291" s="95" t="e">
        <f t="shared" ca="1" si="436"/>
        <v>#DIV/0!</v>
      </c>
      <c r="Z291" s="101" t="e">
        <f t="shared" si="437"/>
        <v>#N/A</v>
      </c>
      <c r="AA291" s="91" t="e">
        <f t="shared" si="438"/>
        <v>#N/A</v>
      </c>
      <c r="AB291" s="30" t="e">
        <f t="shared" si="500"/>
        <v>#N/A</v>
      </c>
      <c r="AC291" s="30" t="e">
        <f t="shared" si="501"/>
        <v>#N/A</v>
      </c>
      <c r="AD291" s="31" t="e">
        <f>IF(OR(Hypothèses!$B$4=17,Hypothèses!$B$4=18,Hypothèses!$B$4=19,Hypothèses!$B$4=20),
IF($D291="Pressio.",
IF(OR($E291=3,$E291=1,$E291=4),AC291,AB291),
IF($D291="Pénétro.",
IF(OR($E291=3,$E291=1,$E291=4),AC291,AB291))),IF($D291="Pressio.",
IF($E291=3,AC291,AB291),
IF($D291="Pénétro.",
IF($E291=4,AC291,AB291))))</f>
        <v>#N/A</v>
      </c>
      <c r="AE291" s="31" t="e">
        <f>(IF(OR(Hypothèses!$B$4=17,Hypothèses!$B$4=18,Hypothèses!$B$4=19,Hypothèses!$B$4=20),
IF($D291="Pressio.",
IF(OR($E291=3,$E291=1,$E291=4),(PI()*AE$12^2)/4*(AA291*$W291*1000)/($H291*$B$5),(PI()*AE$12^2)/4*(AA291*$W291*1000)/($G291*$B$5)),
IF($D291="Pénétro.",
IF(OR($E291=4,$E291=1,$E291=5),(PI()*AE$12^2)/4*(AA291*$W291*1000)/($H291*$B$5),(PI()*AE$12^2)/4*(AA291*$W291*1000)/($G291*$B$5)))),
IF($D291="Pressio.",
IF($E291=3,(PI()*AE$12^2)/4*(AA291*$W291*1000)/($H291*$B$5),(PI()*AE$12^2)/4*(AA291*$W291*1000)/($G291*$B$5)),
IF($D291="Pénétro.",
IF($E291=4,(PI()*AE$12^2)/4*(AA291*$W291*1000)/($H291*$B$5),(PI()*AE$12^2)/4*(AA291*$W291*1000)/($G291*$B$5))))))/10</f>
        <v>#N/A</v>
      </c>
      <c r="AF291" s="102" t="e">
        <f>(VLOOKUP($B$3,'Coeff EC7'!$T$39:$X$59,2,0)*AD291+VLOOKUP($B$3,'Coeff EC7'!$T$65:$X$85,2,0)*Model0.1C!AE291)/1.1</f>
        <v>#N/A</v>
      </c>
      <c r="AG291" s="102" t="e">
        <f>(VLOOKUP($B$3,'Coeff EC7'!$T$39:$X$59,3,0)*AD291+VLOOKUP($B$3,'Coeff EC7'!$T$65:$X$85,3,0)*Model0.1C!AE291)/0.9</f>
        <v>#N/A</v>
      </c>
      <c r="AH291" s="102" t="e">
        <f t="shared" si="439"/>
        <v>#N/A</v>
      </c>
      <c r="AI291" s="102" t="e">
        <f t="shared" si="440"/>
        <v>#N/A</v>
      </c>
      <c r="AJ291" s="414" t="e">
        <f>IF(AJ290=0,0,IF(AND(AF291&gt;charge_ELS_quasi,AG291&gt;Charge_ELS_freq,AH291&gt;charge_ELU,AI291&gt;charge_ELA,$B291&gt;NDC!$H$22-0.1+MIN(3*$AJ$12,1.5)),0,1))</f>
        <v>#N/A</v>
      </c>
      <c r="AK291" s="86" t="b">
        <f t="shared" si="441"/>
        <v>0</v>
      </c>
      <c r="AL291" s="86">
        <f t="shared" si="470"/>
        <v>0.5</v>
      </c>
      <c r="AM291" s="86">
        <f t="shared" si="442"/>
        <v>0.5</v>
      </c>
      <c r="AN291" s="30" t="e">
        <f t="shared" ca="1" si="471"/>
        <v>#DIV/0!</v>
      </c>
      <c r="AO291" s="85" t="e">
        <f ca="1">IF(U291&lt;=Hypothèses!$V$7,Hypothèses!$W$7,IF(U291&lt;=Hypothèses!$V$8,Hypothèses!$W$8,IF(U291&lt;=Hypothèses!$V$9,Hypothèses!$W$9,IF(U291&lt;=Hypothèses!$V$10,Hypothèses!$W$10,IF(U291&lt;=Hypothèses!$V$11,Hypothèses!$W$11,IF(U291&lt;=Hypothèses!$V$12,Hypothèses!$W$12,IF(U291&lt;=Hypothèses!$V$13,Hypothèses!$W$13,IF(U291&lt;=Hypothèses!$V$14,Hypothèses!$W$14,IF(U291&lt;=Hypothèses!$V$15,Hypothèses!$W$15,IF(U291&lt;=Hypothèses!$V$16,Hypothèses!$W$16,IF(U291&lt;=Hypothèses!$V$17,Hypothèses!$W$17,IF(U291&lt;=Hypothèses!$V$18,Hypothèses!$W$18,""))))))))))))</f>
        <v>#DIV/0!</v>
      </c>
      <c r="AP291" s="87" t="e">
        <f t="shared" ca="1" si="517"/>
        <v>#DIV/0!</v>
      </c>
      <c r="AQ291" s="88" t="e">
        <f ca="1">IF(U291&lt;=Hypothèses!$V$7,Hypothèses!$X$7,IF(U291&lt;=Hypothèses!$V$8,Hypothèses!$X$8,IF(U291&lt;=Hypothèses!$V$9,Hypothèses!$X$9,IF(U291&lt;=Hypothèses!$V$10,Hypothèses!$X$10,IF(U291&lt;=Hypothèses!$V$11,Hypothèses!$X$11,IF(U291&lt;=Hypothèses!$V$12,Hypothèses!$X$12,IF(U291&lt;=Hypothèses!$V$13,Hypothèses!$X$13,IF(U291&lt;=Hypothèses!$V$14,Hypothèses!$X$14,IF(U291&lt;=Hypothèses!$V$15,Hypothèses!$X$15,IF(U291&lt;=Hypothèses!$V$16,Hypothèses!$X$16,IF(U291&lt;=Hypothèses!$U$17,Hypothèses!$W$17,IF(U291&lt;=Hypothèses!$U$18,Hypothèses!$W$18,""))))))))))))</f>
        <v>#DIV/0!</v>
      </c>
      <c r="AR291" s="95" t="e">
        <f t="shared" ca="1" si="472"/>
        <v>#DIV/0!</v>
      </c>
      <c r="AS291" s="101" t="e">
        <f t="shared" si="524"/>
        <v>#N/A</v>
      </c>
      <c r="AT291" s="91" t="e">
        <f t="shared" si="443"/>
        <v>#N/A</v>
      </c>
      <c r="AU291" s="30" t="e">
        <f t="shared" si="502"/>
        <v>#N/A</v>
      </c>
      <c r="AV291" s="30" t="e">
        <f t="shared" si="503"/>
        <v>#N/A</v>
      </c>
      <c r="AW291" s="31" t="e">
        <f>IF(OR(Hypothèses!$B$4=17,Hypothèses!$B$4=18,Hypothèses!$B$4=19,Hypothèses!$B$4=20),
IF($D291="Pressio.",
IF(OR($E291=3,$E291=1,$E291=4),AV291,AU291),
IF($D291="Pénétro.",
IF(OR($E291=3,$E291=1,$E291=4),AV291,AU291))),IF($D291="Pressio.",
IF($E291=3,AV291,AU291),
IF($D291="Pénétro.",
IF($E291=4,AV291,AU291))))</f>
        <v>#N/A</v>
      </c>
      <c r="AX291" s="31" t="e">
        <f>(IF(OR(Hypothèses!$B$4=17,Hypothèses!$B$4=18,Hypothèses!$B$4=19,Hypothèses!$B$4=20),
IF($D291="Pressio.",
IF(OR($E291=3,$E291=1,$E291=4),(PI()*AX$12^2)/4*(AT291*$W291*1000)/($H291*$B$5),(PI()*AX$12^2)/4*(AT291*$W291*1000)/($G291*$B$5)),
IF($D291="Pénétro.",
IF(OR($E291=4,$E291=1,$E291=5),(PI()*AX$12^2)/4*(AT291*$W291*1000)/($H291*$B$5),(PI()*AX$12^2)/4*(AT291*$W291*1000)/($G291*$B$5)))),
IF($D291="Pressio.",
IF($E291=3,(PI()*AX$12^2)/4*(AT291*$W291*1000)/($H291*$B$5),(PI()*AX$12^2)/4*(AT291*$W291*1000)/($G291*$B$5)),
IF($D291="Pénétro.",
IF($E291=4,(PI()*AX$12^2)/4*(AT291*$W291*1000)/($H291*$B$5),(PI()*AX$12^2)/4*(AT291*$W291*1000)/($G291*$B$5))))))/10</f>
        <v>#N/A</v>
      </c>
      <c r="AY291" s="102" t="e">
        <f>(VLOOKUP($B$3,'Coeff EC7'!$T$39:$X$59,2,0)*AW291+VLOOKUP($B$3,'Coeff EC7'!$T$65:$X$85,2,0)*Model0.1C!AX291)/1.1</f>
        <v>#N/A</v>
      </c>
      <c r="AZ291" s="102" t="e">
        <f>(VLOOKUP($B$3,'Coeff EC7'!$T$39:$X$59,3,0)*AW291+VLOOKUP($B$3,'Coeff EC7'!$T$65:$X$85,3,0)*Model0.1C!AX291)/0.9</f>
        <v>#N/A</v>
      </c>
      <c r="BA291" s="102" t="e">
        <f t="shared" si="473"/>
        <v>#N/A</v>
      </c>
      <c r="BB291" s="102" t="e">
        <f t="shared" si="474"/>
        <v>#N/A</v>
      </c>
      <c r="BC291" s="414" t="e">
        <f>IF(BC290=0,0,IF(AND(AY291&gt;charge_ELS_quasi,AZ291&gt;Charge_ELS_freq,BA291&gt;charge_ELU,BB291&gt;charge_ELA,$B291&gt;NDC!$H$22-0.1+MIN(3*$BC$12,1.5)),0,1))</f>
        <v>#N/A</v>
      </c>
      <c r="BD291" s="86" t="b">
        <f t="shared" si="444"/>
        <v>0</v>
      </c>
      <c r="BE291" s="86">
        <f t="shared" si="475"/>
        <v>0.5</v>
      </c>
      <c r="BF291" s="86">
        <f t="shared" si="445"/>
        <v>0.5</v>
      </c>
      <c r="BG291" s="30" t="e">
        <f t="shared" ca="1" si="476"/>
        <v>#DIV/0!</v>
      </c>
      <c r="BH291" s="85" t="e">
        <f ca="1">IF(AN291&lt;=Hypothèses!$V$7,Hypothèses!$W$7,IF(AN291&lt;=Hypothèses!$V$8,Hypothèses!$W$8,IF(AN291&lt;=Hypothèses!$V$9,Hypothèses!$W$9,IF(AN291&lt;=Hypothèses!$V$10,Hypothèses!$W$10,IF(AN291&lt;=Hypothèses!$V$11,Hypothèses!$W$11,IF(AN291&lt;=Hypothèses!$V$12,Hypothèses!$W$12,IF(AN291&lt;=Hypothèses!$V$13,Hypothèses!$W$13,IF(AN291&lt;=Hypothèses!$V$14,Hypothèses!$W$14,IF(AN291&lt;=Hypothèses!$V$15,Hypothèses!$W$15,IF(AN291&lt;=Hypothèses!$V$16,Hypothèses!$W$16,IF(AN291&lt;=Hypothèses!$V$17,Hypothèses!$W$17,IF(AN291&lt;=Hypothèses!$V$18,Hypothèses!$W$18,""))))))))))))</f>
        <v>#DIV/0!</v>
      </c>
      <c r="BI291" s="87" t="e">
        <f t="shared" ca="1" si="518"/>
        <v>#DIV/0!</v>
      </c>
      <c r="BJ291" s="88" t="e">
        <f ca="1">IF(AN291&lt;=Hypothèses!$V$7,Hypothèses!$X$7,IF(AN291&lt;=Hypothèses!$V$8,Hypothèses!$X$8,IF(AN291&lt;=Hypothèses!$V$9,Hypothèses!$X$9,IF(AN291&lt;=Hypothèses!$V$10,Hypothèses!$X$10,IF(AN291&lt;=Hypothèses!$V$11,Hypothèses!$X$11,IF(AN291&lt;=Hypothèses!$V$12,Hypothèses!$X$12,IF(AN291&lt;=Hypothèses!$V$13,Hypothèses!$X$13,IF(AN291&lt;=Hypothèses!$V$14,Hypothèses!$X$14,IF(AN291&lt;=Hypothèses!$V$15,Hypothèses!$X$15,IF(AN291&lt;=Hypothèses!$V$16,Hypothèses!$X$16,IF(AN291&lt;=Hypothèses!$U$17,Hypothèses!$W$17,IF(AN291&lt;=Hypothèses!$U$18,Hypothèses!$W$18,""))))))))))))</f>
        <v>#DIV/0!</v>
      </c>
      <c r="BK291" s="95" t="e">
        <f t="shared" ca="1" si="477"/>
        <v>#DIV/0!</v>
      </c>
      <c r="BL291" s="101" t="e">
        <f t="shared" si="525"/>
        <v>#N/A</v>
      </c>
      <c r="BM291" s="91" t="e">
        <f t="shared" si="446"/>
        <v>#N/A</v>
      </c>
      <c r="BN291" s="30" t="e">
        <f t="shared" si="504"/>
        <v>#N/A</v>
      </c>
      <c r="BO291" s="30" t="e">
        <f t="shared" si="505"/>
        <v>#N/A</v>
      </c>
      <c r="BP291" s="31" t="e">
        <f>IF(OR(Hypothèses!$B$4=17,Hypothèses!$B$4=18,Hypothèses!$B$4=19,Hypothèses!$B$4=20),
IF($D291="Pressio.",
IF(OR($E291=3,$E291=1,$E291=4),BO291,BN291),
IF($D291="Pénétro.",
IF(OR($E291=3,$E291=1,$E291=4),BO291,BN291))),IF($D291="Pressio.",
IF($E291=3,BO291,BN291),
IF($D291="Pénétro.",
IF($E291=4,BO291,BN291))))</f>
        <v>#N/A</v>
      </c>
      <c r="BQ291" s="31" t="e">
        <f>(IF(OR(Hypothèses!$B$4=17,Hypothèses!$B$4=18,Hypothèses!$B$4=19,Hypothèses!$B$4=20),
IF($D291="Pressio.",
IF(OR($E291=3,$E291=1,$E291=4),(PI()*BQ$12^2)/4*(BM291*$W291*1000)/($H291*$B$5),(PI()*BQ$12^2)/4*(BM291*$W291*1000)/($G291*$B$5)),
IF($D291="Pénétro.",
IF(OR($E291=4,$E291=1,$E291=5),(PI()*BQ$12^2)/4*(BM291*$W291*1000)/($H291*$B$5),(PI()*BQ$12^2)/4*(BM291*$W291*1000)/($G291*$B$5)))),
IF($D291="Pressio.",
IF($E291=3,(PI()*BQ$12^2)/4*(BM291*$W291*1000)/($H291*$B$5),(PI()*BQ$12^2)/4*(BM291*$W291*1000)/($G291*$B$5)),
IF($D291="Pénétro.",
IF($E291=4,(PI()*BQ$12^2)/4*(BM291*$W291*1000)/($H291*$B$5),(PI()*BQ$12^2)/4*(BM291*$W291*1000)/($G291*$B$5))))))/10</f>
        <v>#N/A</v>
      </c>
      <c r="BR291" s="102" t="e">
        <f>(VLOOKUP($B$3,'Coeff EC7'!$T$39:$X$59,2,0)*BP291+VLOOKUP($B$3,'Coeff EC7'!$T$65:$X$85,2,0)*Model0.1C!BQ291)/1.1</f>
        <v>#N/A</v>
      </c>
      <c r="BS291" s="102" t="e">
        <f>(VLOOKUP($B$3,'Coeff EC7'!$T$39:$X$59,3,0)*BP291+VLOOKUP($B$3,'Coeff EC7'!$T$65:$X$85,3,0)*Model0.1C!BQ291)/0.9</f>
        <v>#N/A</v>
      </c>
      <c r="BT291" s="102" t="e">
        <f t="shared" si="478"/>
        <v>#N/A</v>
      </c>
      <c r="BU291" s="102" t="e">
        <f t="shared" si="479"/>
        <v>#N/A</v>
      </c>
      <c r="BV291" s="414" t="e">
        <f>IF(BV290=0,0,IF(AND(BR291&gt;charge_ELS_quasi,BS291&gt;Charge_ELS_freq,BT291&gt;charge_ELU,BU291&gt;charge_ELA,$B291&gt;NDC!$H$22-0.1+MIN(3*$BV$12,1.5)),0,1))</f>
        <v>#N/A</v>
      </c>
      <c r="BW291" s="86" t="b">
        <f t="shared" si="447"/>
        <v>0</v>
      </c>
      <c r="BX291" s="86">
        <f t="shared" si="448"/>
        <v>0.5</v>
      </c>
      <c r="BY291" s="86">
        <f t="shared" si="449"/>
        <v>0.5</v>
      </c>
      <c r="BZ291" s="30" t="e">
        <f t="shared" ca="1" si="480"/>
        <v>#DIV/0!</v>
      </c>
      <c r="CA291" s="85" t="e">
        <f ca="1">IF(BG291&lt;=Hypothèses!$V$7,Hypothèses!$W$7,IF(BG291&lt;=Hypothèses!$V$8,Hypothèses!$W$8,IF(BG291&lt;=Hypothèses!$V$9,Hypothèses!$W$9,IF(BG291&lt;=Hypothèses!$V$10,Hypothèses!$W$10,IF(BG291&lt;=Hypothèses!$V$11,Hypothèses!$W$11,IF(BG291&lt;=Hypothèses!$V$12,Hypothèses!$W$12,IF(BG291&lt;=Hypothèses!$V$13,Hypothèses!$W$13,IF(BG291&lt;=Hypothèses!$V$14,Hypothèses!$W$14,IF(BG291&lt;=Hypothèses!$V$15,Hypothèses!$W$15,IF(BG291&lt;=Hypothèses!$V$16,Hypothèses!$W$16,IF(BG291&lt;=Hypothèses!$V$17,Hypothèses!$W$17,IF(BG291&lt;=Hypothèses!$V$18,Hypothèses!$W$18,""))))))))))))</f>
        <v>#DIV/0!</v>
      </c>
      <c r="CB291" s="87" t="e">
        <f t="shared" ca="1" si="519"/>
        <v>#DIV/0!</v>
      </c>
      <c r="CC291" s="88" t="e">
        <f ca="1">IF(BG291&lt;=Hypothèses!$V$7,Hypothèses!$X$7,IF(BG291&lt;=Hypothèses!$V$8,Hypothèses!$X$8,IF(BG291&lt;=Hypothèses!$V$9,Hypothèses!$X$9,IF(BG291&lt;=Hypothèses!$V$10,Hypothèses!$X$10,IF(BG291&lt;=Hypothèses!$V$11,Hypothèses!$X$11,IF(BG291&lt;=Hypothèses!$V$12,Hypothèses!$X$12,IF(BG291&lt;=Hypothèses!$V$13,Hypothèses!$X$13,IF(BG291&lt;=Hypothèses!$V$14,Hypothèses!$X$14,IF(BG291&lt;=Hypothèses!$V$15,Hypothèses!$X$15,IF(BG291&lt;=Hypothèses!$V$16,Hypothèses!$X$16,IF(BG291&lt;=Hypothèses!$U$17,Hypothèses!$W$17,IF(BG291&lt;=Hypothèses!$U$18,Hypothèses!$W$18,""))))))))))))</f>
        <v>#DIV/0!</v>
      </c>
      <c r="CD291" s="95" t="e">
        <f t="shared" ca="1" si="481"/>
        <v>#DIV/0!</v>
      </c>
      <c r="CE291" s="101" t="e">
        <f t="shared" si="526"/>
        <v>#N/A</v>
      </c>
      <c r="CF291" s="91" t="e">
        <f t="shared" si="450"/>
        <v>#N/A</v>
      </c>
      <c r="CG291" s="30" t="e">
        <f t="shared" si="506"/>
        <v>#N/A</v>
      </c>
      <c r="CH291" s="30" t="e">
        <f t="shared" si="507"/>
        <v>#N/A</v>
      </c>
      <c r="CI291" s="31" t="e">
        <f>IF(OR(Hypothèses!$B$4=17,Hypothèses!$B$4=18,Hypothèses!$B$4=19,Hypothèses!$B$4=20),
IF($D291="Pressio.",
IF(OR($E291=3,$E291=1,$E291=4),CH291,CG291),
IF($D291="Pénétro.",
IF(OR($E291=3,$E291=1,$E291=4),CH291,CG291))),IF($D291="Pressio.",
IF($E291=3,CH291,CG291),
IF($D291="Pénétro.",
IF($E291=4,CH291,CG291))))</f>
        <v>#N/A</v>
      </c>
      <c r="CJ291" s="31" t="e">
        <f>(IF(OR(Hypothèses!$B$4=17,Hypothèses!$B$4=18,Hypothèses!$B$4=19,Hypothèses!$B$4=20),
IF($D291="Pressio.",
IF(OR($E291=3,$E291=1,$E291=4),(PI()*CJ$12^2)/4*(CF291*$W291*1000)/($H291*$B$5),(PI()*CJ$12^2)/4*(CF291*$W291*1000)/($G291*$B$5)),
IF($D291="Pénétro.",
IF(OR($E291=4,$E291=1,$E291=5),(PI()*CJ$12^2)/4*(CF291*$W291*1000)/($H291*$B$5),(PI()*CJ$12^2)/4*(CF291*$W291*1000)/($G291*$B$5)))),
IF($D291="Pressio.",
IF($E291=3,(PI()*CJ$12^2)/4*(CF291*$W291*1000)/($H291*$B$5),(PI()*CJ$12^2)/4*(CF291*$W291*1000)/($G291*$B$5)),
IF($D291="Pénétro.",
IF($E291=4,(PI()*CJ$12^2)/4*(CF291*$W291*1000)/($H291*$B$5),(PI()*CJ$12^2)/4*(CF291*$W291*1000)/($G291*$B$5))))))/10</f>
        <v>#N/A</v>
      </c>
      <c r="CK291" s="102" t="e">
        <f>(VLOOKUP($B$3,'Coeff EC7'!$T$39:$X$59,2,0)*CI291+VLOOKUP($B$3,'Coeff EC7'!$T$65:$X$85,2,0)*Model0.1C!CJ291)/1.1</f>
        <v>#N/A</v>
      </c>
      <c r="CL291" s="102" t="e">
        <f>(VLOOKUP($B$3,'Coeff EC7'!$T$39:$X$59,3,0)*CI291+VLOOKUP($B$3,'Coeff EC7'!$T$65:$X$85,3,0)*Model0.1C!CJ291)/0.9</f>
        <v>#N/A</v>
      </c>
      <c r="CM291" s="102" t="e">
        <f t="shared" si="482"/>
        <v>#N/A</v>
      </c>
      <c r="CN291" s="102" t="e">
        <f t="shared" si="483"/>
        <v>#N/A</v>
      </c>
      <c r="CO291" s="414" t="e">
        <f>IF(CO290=0,0,IF(AND(CK291&gt;charge_ELS_quasi,CL291&gt;Charge_ELS_freq,CM291&gt;charge_ELU,CN291&gt;charge_ELA,$B291&gt;NDC!$H$22-0.1+MIN(3*$CO$12,1.5)),0,1))</f>
        <v>#N/A</v>
      </c>
      <c r="CP291" s="86" t="b">
        <f t="shared" si="451"/>
        <v>0</v>
      </c>
      <c r="CQ291" s="86">
        <f t="shared" si="452"/>
        <v>0.5</v>
      </c>
      <c r="CR291" s="86">
        <f t="shared" si="453"/>
        <v>0.5</v>
      </c>
      <c r="CS291" s="30" t="e">
        <f t="shared" ca="1" si="484"/>
        <v>#DIV/0!</v>
      </c>
      <c r="CT291" s="85" t="e">
        <f ca="1">IF(BZ291&lt;=Hypothèses!$V$7,Hypothèses!$W$7,IF(BZ291&lt;=Hypothèses!$V$8,Hypothèses!$W$8,IF(BZ291&lt;=Hypothèses!$V$9,Hypothèses!$W$9,IF(BZ291&lt;=Hypothèses!$V$10,Hypothèses!$W$10,IF(BZ291&lt;=Hypothèses!$V$11,Hypothèses!$W$11,IF(BZ291&lt;=Hypothèses!$V$12,Hypothèses!$W$12,IF(BZ291&lt;=Hypothèses!$V$13,Hypothèses!$W$13,IF(BZ291&lt;=Hypothèses!$V$14,Hypothèses!$W$14,IF(BZ291&lt;=Hypothèses!$V$15,Hypothèses!$W$15,IF(BZ291&lt;=Hypothèses!$V$16,Hypothèses!$W$16,IF(BZ291&lt;=Hypothèses!$V$17,Hypothèses!$W$17,IF(BZ291&lt;=Hypothèses!$V$18,Hypothèses!$W$18,""))))))))))))</f>
        <v>#DIV/0!</v>
      </c>
      <c r="CU291" s="87" t="e">
        <f t="shared" ca="1" si="520"/>
        <v>#DIV/0!</v>
      </c>
      <c r="CV291" s="88" t="e">
        <f ca="1">IF(BZ291&lt;=Hypothèses!$V$7,Hypothèses!$X$7,IF(BZ291&lt;=Hypothèses!$V$8,Hypothèses!$X$8,IF(BZ291&lt;=Hypothèses!$V$9,Hypothèses!$X$9,IF(BZ291&lt;=Hypothèses!$V$10,Hypothèses!$X$10,IF(BZ291&lt;=Hypothèses!$V$11,Hypothèses!$X$11,IF(BZ291&lt;=Hypothèses!$V$12,Hypothèses!$X$12,IF(BZ291&lt;=Hypothèses!$V$13,Hypothèses!$X$13,IF(BZ291&lt;=Hypothèses!$V$14,Hypothèses!$X$14,IF(BZ291&lt;=Hypothèses!$V$15,Hypothèses!$X$15,IF(BZ291&lt;=Hypothèses!$V$16,Hypothèses!$X$16,IF(BZ291&lt;=Hypothèses!$U$17,Hypothèses!$W$17,IF(BZ291&lt;=Hypothèses!$U$18,Hypothèses!$W$18,""))))))))))))</f>
        <v>#DIV/0!</v>
      </c>
      <c r="CW291" s="95" t="e">
        <f t="shared" ca="1" si="485"/>
        <v>#DIV/0!</v>
      </c>
      <c r="CX291" s="101" t="e">
        <f t="shared" si="527"/>
        <v>#N/A</v>
      </c>
      <c r="CY291" s="91" t="e">
        <f t="shared" si="454"/>
        <v>#N/A</v>
      </c>
      <c r="CZ291" s="30" t="e">
        <f t="shared" si="508"/>
        <v>#N/A</v>
      </c>
      <c r="DA291" s="30" t="e">
        <f t="shared" si="509"/>
        <v>#N/A</v>
      </c>
      <c r="DB291" s="31" t="e">
        <f>IF(OR(Hypothèses!$B$4=17,Hypothèses!$B$4=18,Hypothèses!$B$4=19,Hypothèses!$B$4=20),
IF($D291="Pressio.",
IF(OR($E291=3,$E291=1,$E291=4),DA291,CZ291),
IF($D291="Pénétro.",
IF(OR($E291=3,$E291=1,$E291=4),DA291,CZ291))),IF($D291="Pressio.",
IF($E291=3,DA291,CZ291),
IF($D291="Pénétro.",
IF($E291=4,DA291,CZ291))))</f>
        <v>#N/A</v>
      </c>
      <c r="DC291" s="31" t="e">
        <f>(IF(OR(Hypothèses!$B$4=17,Hypothèses!$B$4=18,Hypothèses!$B$4=19,Hypothèses!$B$4=20),
IF($D291="Pressio.",
IF(OR($E291=3,$E291=1,$E291=4),(PI()*DC$12^2)/4*(CY291*$W291*1000)/($H291*$B$5),(PI()*DC$12^2)/4*(CY291*$W291*1000)/($G291*$B$5)),
IF($D291="Pénétro.",
IF(OR($E291=4,$E291=1,$E291=5),(PI()*DC$12^2)/4*(CY291*$W291*1000)/($H291*$B$5),(PI()*DC$12^2)/4*(CY291*$W291*1000)/($G291*$B$5)))),
IF($D291="Pressio.",
IF($E291=3,(PI()*DC$12^2)/4*(CY291*$W291*1000)/($H291*$B$5),(PI()*DC$12^2)/4*(CY291*$W291*1000)/($G291*$B$5)),
IF($D291="Pénétro.",
IF($E291=4,(PI()*DC$12^2)/4*(CY291*$W291*1000)/($H291*$B$5),(PI()*DC$12^2)/4*(CY291*$W291*1000)/($G291*$B$5))))))/10</f>
        <v>#N/A</v>
      </c>
      <c r="DD291" s="102" t="e">
        <f>(VLOOKUP($B$3,'Coeff EC7'!$T$39:$X$59,2,0)*DB291+VLOOKUP($B$3,'Coeff EC7'!$T$65:$X$85,2,0)*Model0.1C!DC291)/1.1</f>
        <v>#N/A</v>
      </c>
      <c r="DE291" s="102" t="e">
        <f>(VLOOKUP($B$3,'Coeff EC7'!$T$39:$X$59,3,0)*DB291+VLOOKUP($B$3,'Coeff EC7'!$T$65:$X$85,3,0)*Model0.1C!DC291)/0.9</f>
        <v>#N/A</v>
      </c>
      <c r="DF291" s="102" t="e">
        <f t="shared" si="486"/>
        <v>#N/A</v>
      </c>
      <c r="DG291" s="102" t="e">
        <f t="shared" si="487"/>
        <v>#N/A</v>
      </c>
      <c r="DH291" s="414" t="e">
        <f>IF(DH290=0,0,IF(AND(DD291&gt;charge_ELS_quasi,DE291&gt;Charge_ELS_freq,DF291&gt;charge_ELU,DG291&gt;charge_ELA,$B291&gt;NDC!$H$22-0.1+MIN(3*$DH$12,1.5)),0,1))</f>
        <v>#N/A</v>
      </c>
      <c r="DI291" s="86" t="b">
        <f t="shared" si="455"/>
        <v>0</v>
      </c>
      <c r="DJ291" s="86">
        <f t="shared" si="456"/>
        <v>0.5</v>
      </c>
      <c r="DK291" s="86">
        <f t="shared" si="457"/>
        <v>0.5</v>
      </c>
      <c r="DL291" s="30" t="e">
        <f t="shared" ca="1" si="488"/>
        <v>#DIV/0!</v>
      </c>
      <c r="DM291" s="85" t="e">
        <f ca="1">IF(CS291&lt;=Hypothèses!$V$7,Hypothèses!$W$7,IF(CS291&lt;=Hypothèses!$V$8,Hypothèses!$W$8,IF(CS291&lt;=Hypothèses!$V$9,Hypothèses!$W$9,IF(CS291&lt;=Hypothèses!$V$10,Hypothèses!$W$10,IF(CS291&lt;=Hypothèses!$V$11,Hypothèses!$W$11,IF(CS291&lt;=Hypothèses!$V$12,Hypothèses!$W$12,IF(CS291&lt;=Hypothèses!$V$13,Hypothèses!$W$13,IF(CS291&lt;=Hypothèses!$V$14,Hypothèses!$W$14,IF(CS291&lt;=Hypothèses!$V$15,Hypothèses!$W$15,IF(CS291&lt;=Hypothèses!$V$16,Hypothèses!$W$16,IF(CS291&lt;=Hypothèses!$V$17,Hypothèses!$W$17,IF(CS291&lt;=Hypothèses!$V$18,Hypothèses!$W$18,""))))))))))))</f>
        <v>#DIV/0!</v>
      </c>
      <c r="DN291" s="87" t="e">
        <f t="shared" ca="1" si="521"/>
        <v>#DIV/0!</v>
      </c>
      <c r="DO291" s="88" t="e">
        <f ca="1">IF(CS291&lt;=Hypothèses!$V$7,Hypothèses!$X$7,IF(CS291&lt;=Hypothèses!$V$8,Hypothèses!$X$8,IF(CS291&lt;=Hypothèses!$V$9,Hypothèses!$X$9,IF(CS291&lt;=Hypothèses!$V$10,Hypothèses!$X$10,IF(CS291&lt;=Hypothèses!$V$11,Hypothèses!$X$11,IF(CS291&lt;=Hypothèses!$V$12,Hypothèses!$X$12,IF(CS291&lt;=Hypothèses!$V$13,Hypothèses!$X$13,IF(CS291&lt;=Hypothèses!$V$14,Hypothèses!$X$14,IF(CS291&lt;=Hypothèses!$V$15,Hypothèses!$X$15,IF(CS291&lt;=Hypothèses!$V$16,Hypothèses!$X$16,IF(CS291&lt;=Hypothèses!$U$17,Hypothèses!$W$17,IF(CS291&lt;=Hypothèses!$U$18,Hypothèses!$W$18,""))))))))))))</f>
        <v>#DIV/0!</v>
      </c>
      <c r="DP291" s="95" t="e">
        <f t="shared" ca="1" si="489"/>
        <v>#DIV/0!</v>
      </c>
      <c r="DQ291" s="101" t="e">
        <f t="shared" si="528"/>
        <v>#N/A</v>
      </c>
      <c r="DR291" s="91" t="e">
        <f t="shared" si="458"/>
        <v>#N/A</v>
      </c>
      <c r="DS291" s="30" t="e">
        <f t="shared" si="510"/>
        <v>#N/A</v>
      </c>
      <c r="DT291" s="30" t="e">
        <f t="shared" si="511"/>
        <v>#N/A</v>
      </c>
      <c r="DU291" s="31" t="e">
        <f>IF(OR(Hypothèses!$B$4=17,Hypothèses!$B$4=18,Hypothèses!$B$4=19,Hypothèses!$B$4=20),
IF($D291="Pressio.",
IF(OR($E291=3,$E291=1,$E291=4),DT291,DS291),
IF($D291="Pénétro.",
IF(OR($E291=3,$E291=1,$E291=4),DT291,DS291))),IF($D291="Pressio.",
IF($E291=3,DT291,DS291),
IF($D291="Pénétro.",
IF($E291=4,DT291,DS291))))</f>
        <v>#N/A</v>
      </c>
      <c r="DV291" s="31" t="e">
        <f>(IF(OR(Hypothèses!$B$4=17,Hypothèses!$B$4=18,Hypothèses!$B$4=19,Hypothèses!$B$4=20),
IF($D291="Pressio.",
IF(OR($E291=3,$E291=1,$E291=4),(PI()*DV$12^2)/4*(DR291*$W291*1000)/($H291*$B$5),(PI()*DV$12^2)/4*(DR291*$W291*1000)/($G291*$B$5)),
IF($D291="Pénétro.",
IF(OR($E291=4,$E291=1,$E291=5),(PI()*DV$12^2)/4*(DR291*$W291*1000)/($H291*$B$5),(PI()*DV$12^2)/4*(DR291*$W291*1000)/($G291*$B$5)))),
IF($D291="Pressio.",
IF($E291=3,(PI()*DV$12^2)/4*(DR291*$W291*1000)/($H291*$B$5),(PI()*DV$12^2)/4*(DR291*$W291*1000)/($G291*$B$5)),
IF($D291="Pénétro.",
IF($E291=4,(PI()*DV$12^2)/4*(DR291*$W291*1000)/($H291*$B$5),(PI()*DV$12^2)/4*(DR291*$W291*1000)/($G291*$B$5))))))/10</f>
        <v>#N/A</v>
      </c>
      <c r="DW291" s="102" t="e">
        <f>(VLOOKUP($B$3,'Coeff EC7'!$T$39:$X$59,2,0)*DU291+VLOOKUP($B$3,'Coeff EC7'!$T$65:$X$85,2,0)*Model0.1C!DV291)/1.1</f>
        <v>#N/A</v>
      </c>
      <c r="DX291" s="102" t="e">
        <f>(VLOOKUP($B$3,'Coeff EC7'!$T$39:$X$59,3,0)*DU291+VLOOKUP($B$3,'Coeff EC7'!$T$65:$X$85,3,0)*Model0.1C!DV291)/0.9</f>
        <v>#N/A</v>
      </c>
      <c r="DY291" s="102" t="e">
        <f t="shared" si="490"/>
        <v>#N/A</v>
      </c>
      <c r="DZ291" s="102" t="e">
        <f t="shared" si="491"/>
        <v>#N/A</v>
      </c>
      <c r="EA291" s="414" t="e">
        <f>IF(EA290=0,0,IF(AND(DW291&gt;charge_ELS_quasi,DX291&gt;Charge_ELS_freq,DY291&gt;charge_ELU,DZ291&gt;charge_ELA,$B291&gt;NDC!$H$22-0.1+MIN(3*$EA$12,1.5)),0,1))</f>
        <v>#N/A</v>
      </c>
      <c r="EB291" s="86" t="b">
        <f t="shared" si="459"/>
        <v>0</v>
      </c>
      <c r="EC291" s="418">
        <f t="shared" si="460"/>
        <v>0.51</v>
      </c>
      <c r="ED291" s="86">
        <f t="shared" si="461"/>
        <v>0.51</v>
      </c>
      <c r="EE291" s="30" t="e">
        <f t="shared" ca="1" si="492"/>
        <v>#DIV/0!</v>
      </c>
      <c r="EF291" s="85" t="e">
        <f ca="1">IF(DL291&lt;=Hypothèses!$V$7,Hypothèses!$W$7,IF(DL291&lt;=Hypothèses!$V$8,Hypothèses!$W$8,IF(DL291&lt;=Hypothèses!$V$9,Hypothèses!$W$9,IF(DL291&lt;=Hypothèses!$V$10,Hypothèses!$W$10,IF(DL291&lt;=Hypothèses!$V$11,Hypothèses!$W$11,IF(DL291&lt;=Hypothèses!$V$12,Hypothèses!$W$12,IF(DL291&lt;=Hypothèses!$V$13,Hypothèses!$W$13,IF(DL291&lt;=Hypothèses!$V$14,Hypothèses!$W$14,IF(DL291&lt;=Hypothèses!$V$15,Hypothèses!$W$15,IF(DL291&lt;=Hypothèses!$V$16,Hypothèses!$W$16,IF(DL291&lt;=Hypothèses!$V$17,Hypothèses!$W$17,IF(DL291&lt;=Hypothèses!$V$18,Hypothèses!$W$18,""))))))))))))</f>
        <v>#DIV/0!</v>
      </c>
      <c r="EG291" s="87" t="e">
        <f t="shared" ca="1" si="522"/>
        <v>#DIV/0!</v>
      </c>
      <c r="EH291" s="88" t="e">
        <f ca="1">IF(DL291&lt;=Hypothèses!$V$7,Hypothèses!$X$7,IF(DL291&lt;=Hypothèses!$V$8,Hypothèses!$X$8,IF(DL291&lt;=Hypothèses!$V$9,Hypothèses!$X$9,IF(DL291&lt;=Hypothèses!$V$10,Hypothèses!$X$10,IF(DL291&lt;=Hypothèses!$V$11,Hypothèses!$X$11,IF(DL291&lt;=Hypothèses!$V$12,Hypothèses!$X$12,IF(DL291&lt;=Hypothèses!$V$13,Hypothèses!$X$13,IF(DL291&lt;=Hypothèses!$V$14,Hypothèses!$X$14,IF(DL291&lt;=Hypothèses!$V$15,Hypothèses!$X$15,IF(DL291&lt;=Hypothèses!$V$16,Hypothèses!$X$16,IF(DL291&lt;=Hypothèses!$U$17,Hypothèses!$W$17,IF(DL291&lt;=Hypothèses!$U$18,Hypothèses!$W$18,""))))))))))))</f>
        <v>#DIV/0!</v>
      </c>
      <c r="EI291" s="95" t="e">
        <f t="shared" ca="1" si="493"/>
        <v>#DIV/0!</v>
      </c>
      <c r="EJ291" s="101" t="e">
        <f t="shared" si="529"/>
        <v>#N/A</v>
      </c>
      <c r="EK291" s="91" t="e">
        <f t="shared" si="462"/>
        <v>#N/A</v>
      </c>
      <c r="EL291" s="30" t="e">
        <f t="shared" si="512"/>
        <v>#N/A</v>
      </c>
      <c r="EM291" s="30" t="e">
        <f t="shared" si="513"/>
        <v>#N/A</v>
      </c>
      <c r="EN291" s="31" t="e">
        <f>IF(OR(Hypothèses!$B$4=17,Hypothèses!$B$4=18,Hypothèses!$B$4=19,Hypothèses!$B$4=20),
IF($D291="Pressio.",
IF(OR($E291=3,$E291=1,$E291=4),EM291,EL291),
IF($D291="Pénétro.",
IF(OR($E291=3,$E291=1,$E291=4),EM291,EL291))),IF($D291="Pressio.",
IF($E291=3,EM291,EL291),
IF($D291="Pénétro.",
IF($E291=4,EM291,EL291))))</f>
        <v>#N/A</v>
      </c>
      <c r="EO291" s="31" t="e">
        <f>(IF(OR(Hypothèses!$B$4=17,Hypothèses!$B$4=18,Hypothèses!$B$4=19,Hypothèses!$B$4=20),
IF($D291="Pressio.",
IF(OR($E291=3,$E291=1,$E291=4),(PI()*EO$12^2)/4*(EK291*$W291*1000)/($H291*$B$5),(PI()*EO$12^2)/4*(EK291*$W291*1000)/($G291*$B$5)),
IF($D291="Pénétro.",
IF(OR($E291=4,$E291=1,$E291=5),(PI()*EO$12^2)/4*(EK291*$W291*1000)/($H291*$B$5),(PI()*EO$12^2)/4*(EK291*$W291*1000)/($G291*$B$5)))),
IF($D291="Pressio.",
IF($E291=3,(PI()*EO$12^2)/4*(EK291*$W291*1000)/($H291*$B$5),(PI()*EO$12^2)/4*(EK291*$W291*1000)/($G291*$B$5)),
IF($D291="Pénétro.",
IF($E291=4,(PI()*EO$12^2)/4*(EK291*$W291*1000)/($H291*$B$5),(PI()*EO$12^2)/4*(EK291*$W291*1000)/($G291*$B$5))))))/10</f>
        <v>#N/A</v>
      </c>
      <c r="EP291" s="102" t="e">
        <f>(VLOOKUP($B$3,'Coeff EC7'!$T$39:$X$59,2,0)*EN291+VLOOKUP($B$3,'Coeff EC7'!$T$65:$X$85,2,0)*Model0.1C!EO291)/1.1</f>
        <v>#N/A</v>
      </c>
      <c r="EQ291" s="102" t="e">
        <f>(VLOOKUP($B$3,'Coeff EC7'!$T$39:$X$59,3,0)*EN291+VLOOKUP($B$3,'Coeff EC7'!$T$65:$X$85,3,0)*Model0.1C!EO291)/0.9</f>
        <v>#N/A</v>
      </c>
      <c r="ER291" s="102" t="e">
        <f t="shared" si="494"/>
        <v>#N/A</v>
      </c>
      <c r="ES291" s="102" t="e">
        <f t="shared" si="495"/>
        <v>#N/A</v>
      </c>
      <c r="ET291" s="414" t="e">
        <f>IF(ET290=0,0,IF(AND(EP291&gt;charge_ELS_quasi,EQ291&gt;Charge_ELS_freq,ER291&gt;charge_ELU,ES291&gt;charge_ELA,$B291&gt;NDC!$H$22-0.1+MIN(3*$ET$12,1.5)),0,1))</f>
        <v>#N/A</v>
      </c>
      <c r="EU291" s="86" t="b">
        <f t="shared" si="463"/>
        <v>0</v>
      </c>
      <c r="EV291" s="86">
        <f t="shared" si="464"/>
        <v>0.61</v>
      </c>
      <c r="EW291" s="86">
        <f t="shared" si="465"/>
        <v>0.61</v>
      </c>
      <c r="EX291" s="30" t="e">
        <f t="shared" ca="1" si="496"/>
        <v>#DIV/0!</v>
      </c>
      <c r="EY291" s="85" t="e">
        <f ca="1">IF(EE291&lt;=Hypothèses!$V$7,Hypothèses!$W$7,IF(EE291&lt;=Hypothèses!$V$8,Hypothèses!$W$8,IF(EE291&lt;=Hypothèses!$V$9,Hypothèses!$W$9,IF(EE291&lt;=Hypothèses!$V$10,Hypothèses!$W$10,IF(EE291&lt;=Hypothèses!$V$11,Hypothèses!$W$11,IF(EE291&lt;=Hypothèses!$V$12,Hypothèses!$W$12,IF(EE291&lt;=Hypothèses!$V$13,Hypothèses!$W$13,IF(EE291&lt;=Hypothèses!$V$14,Hypothèses!$W$14,IF(EE291&lt;=Hypothèses!$V$15,Hypothèses!$W$15,IF(EE291&lt;=Hypothèses!$V$16,Hypothèses!$W$16,IF(EE291&lt;=Hypothèses!$V$17,Hypothèses!$W$17,IF(EE291&lt;=Hypothèses!$V$18,Hypothèses!$W$18,""))))))))))))</f>
        <v>#DIV/0!</v>
      </c>
      <c r="EZ291" s="87" t="e">
        <f t="shared" ca="1" si="523"/>
        <v>#DIV/0!</v>
      </c>
      <c r="FA291" s="88" t="e">
        <f ca="1">IF(EE291&lt;=Hypothèses!$V$7,Hypothèses!$X$7,IF(EE291&lt;=Hypothèses!$V$8,Hypothèses!$X$8,IF(EE291&lt;=Hypothèses!$V$9,Hypothèses!$X$9,IF(EE291&lt;=Hypothèses!$V$10,Hypothèses!$X$10,IF(EE291&lt;=Hypothèses!$V$11,Hypothèses!$X$11,IF(EE291&lt;=Hypothèses!$V$12,Hypothèses!$X$12,IF(EE291&lt;=Hypothèses!$V$13,Hypothèses!$X$13,IF(EE291&lt;=Hypothèses!$V$14,Hypothèses!$X$14,IF(EE291&lt;=Hypothèses!$V$15,Hypothèses!$X$15,IF(EE291&lt;=Hypothèses!$V$16,Hypothèses!$X$16,IF(EE291&lt;=Hypothèses!$U$17,Hypothèses!$W$17,IF(EE291&lt;=Hypothèses!$U$18,Hypothèses!$W$18,""))))))))))))</f>
        <v>#DIV/0!</v>
      </c>
      <c r="FB291" s="95" t="e">
        <f t="shared" ca="1" si="497"/>
        <v>#DIV/0!</v>
      </c>
      <c r="FC291" s="101" t="e">
        <f t="shared" si="530"/>
        <v>#N/A</v>
      </c>
      <c r="FD291" s="91" t="e">
        <f t="shared" si="466"/>
        <v>#N/A</v>
      </c>
      <c r="FE291" s="30" t="e">
        <f t="shared" si="514"/>
        <v>#N/A</v>
      </c>
      <c r="FF291" s="30" t="e">
        <f t="shared" si="515"/>
        <v>#N/A</v>
      </c>
      <c r="FG291" s="31" t="e">
        <f>IF(OR(Hypothèses!$B$4=17,Hypothèses!$B$4=18,Hypothèses!$B$4=19,Hypothèses!$B$4=20),
IF($D291="Pressio.",
IF(OR($E291=3,$E291=1,$E291=4),FF291,FE291),
IF($D291="Pénétro.",
IF(OR($E291=3,$E291=1,$E291=4),FF291,FE291))),IF($D291="Pressio.",
IF($E291=3,FF291,FE291),
IF($D291="Pénétro.",
IF($E291=4,FF291,FE291))))</f>
        <v>#N/A</v>
      </c>
      <c r="FH291" s="31" t="e">
        <f>(IF(OR(Hypothèses!$B$4=17,Hypothèses!$B$4=18,Hypothèses!$B$4=19,Hypothèses!$B$4=20),
IF($D291="Pressio.",
IF(OR($E291=3,$E291=1,$E291=4),(PI()*FH$12^2)/4*(FD291*$W291*1000)/($H291*$B$5),(PI()*FH$12^2)/4*(FD291*$W291*1000)/($G291*$B$5)),
IF($D291="Pénétro.",
IF(OR($E291=4,$E291=1,$E291=5),(PI()*FH$12^2)/4*(FD291*$W291*1000)/($H291*$B$5),(PI()*FH$12^2)/4*(FD291*$W291*1000)/($G291*$B$5)))),
IF($D291="Pressio.",
IF($E291=3,(PI()*FH$12^2)/4*(FD291*$W291*1000)/($H291*$B$5),(PI()*FH$12^2)/4*(FD291*$W291*1000)/($G291*$B$5)),
IF($D291="Pénétro.",
IF($E291=4,(PI()*FH$12^2)/4*(FD291*$W291*1000)/($H291*$B$5),(PI()*FH$12^2)/4*(FD291*$W291*1000)/($G291*$B$5))))))/10</f>
        <v>#N/A</v>
      </c>
      <c r="FI291" s="102" t="e">
        <f>(VLOOKUP($B$3,'Coeff EC7'!$T$39:$X$59,2,0)*FG291+VLOOKUP($B$3,'Coeff EC7'!$T$65:$X$85,2,0)*Model0.1C!FH291)/1.1</f>
        <v>#N/A</v>
      </c>
      <c r="FJ291" s="102" t="e">
        <f>(VLOOKUP($B$3,'Coeff EC7'!$T$39:$X$59,3,0)*FG291+VLOOKUP($B$3,'Coeff EC7'!$T$65:$X$85,3,0)*Model0.1C!FH291)/0.9</f>
        <v>#N/A</v>
      </c>
      <c r="FK291" s="102" t="e">
        <f t="shared" si="498"/>
        <v>#N/A</v>
      </c>
      <c r="FL291" s="102" t="e">
        <f t="shared" si="499"/>
        <v>#N/A</v>
      </c>
      <c r="FM291" s="414" t="e">
        <f>IF(FM290=0,0,IF(AND(FI291&gt;charge_ELS_quasi,FJ291&gt;Charge_ELS_freq,FK291&gt;charge_ELU,FL291&gt;charge_ELA,$B291&gt;NDC!$H$22-0.1+MIN(3*$FM$12,1.5)),0,1))</f>
        <v>#N/A</v>
      </c>
    </row>
    <row r="292" spans="1:169">
      <c r="A292" s="96">
        <f t="shared" si="467"/>
        <v>72.100000000001586</v>
      </c>
      <c r="B292" s="97">
        <v>27.9</v>
      </c>
      <c r="C292" s="81">
        <f>IF(B292&lt;=Hypothèses!$C$7,Hypothèses!$A$7,IF(B292&lt;=Hypothèses!$C$8,Hypothèses!$A$8,IF(B292&lt;=Hypothèses!$C$9,Hypothèses!$A$9,IF(B292&lt;=Hypothèses!$C$10,Hypothèses!$A$10,IF(B292&lt;=Hypothèses!$C$11,Hypothèses!$A$11,IF(B292&lt;=Hypothèses!$C$12,Hypothèses!$A$12,IF(B292&lt;=Hypothèses!$C$13,Hypothèses!$A$13,IF(B292&lt;=Hypothèses!$C$14,Hypothèses!$A$14,IF(B292&lt;=Hypothèses!$C$15,Hypothèses!$A$15,IF(B292&lt;=Hypothèses!$C$16,Hypothèses!$A$16,IF(B292&lt;=Hypothèses!$C$17,Hypothèses!$A$17,IF(B292&lt;=Hypothèses!$C$18,Hypothèses!$A$18,C291))))))))))))</f>
        <v>11</v>
      </c>
      <c r="D292" s="82" t="str">
        <f>IF(B292&lt;=Hypothèses!$C$7,Hypothèses!$R$7,IF(B292&lt;=Hypothèses!$C$8,Hypothèses!$R$8,IF(B292&lt;=Hypothèses!$C$9,Hypothèses!$R$9,IF(B292&lt;=Hypothèses!$C$10,Hypothèses!$R$10,IF(B292&lt;=Hypothèses!$C$11,Hypothèses!$R$11,IF(B292&lt;=Hypothèses!$C$12,Hypothèses!$R$12,IF(B292&lt;=Hypothèses!$C$13,Hypothèses!$R$13,IF(B292&lt;=Hypothèses!$C$14,Hypothèses!$R$14,IF(B292&lt;=Hypothèses!$C$15,Hypothèses!$R$15,IF(B292&lt;=Hypothèses!$C$16,Hypothèses!$R$16,IF(B292&lt;=Hypothèses!$C$17,Hypothèses!$R$17,IF(B292&lt;=Hypothèses!$C$18,Hypothèses!$R$18,D291))))))))))))</f>
        <v>Pressio.</v>
      </c>
      <c r="E292" s="82" t="e">
        <f>IF(B292&lt;=Hypothèses!$C$7,Hypothèses!$G$7,IF(B292&lt;=Hypothèses!$C$8,Hypothèses!$G$8,IF(B292&lt;=Hypothèses!$C$9,Hypothèses!$G$9,IF(B292&lt;=Hypothèses!$C$10,Hypothèses!$G$10,IF(B292&lt;=Hypothèses!$C$11,Hypothèses!$G$11,IF(B292&lt;=Hypothèses!$C$12,Hypothèses!$G$12,IF(B292&lt;=Hypothèses!$C$13,Hypothèses!$G$13,IF(B292&lt;=Hypothèses!$C$14,Hypothèses!$G$14,IF(B292&lt;=Hypothèses!$C$15,Hypothèses!$G$15,IF(B292&lt;=Hypothèses!$C$16,Hypothèses!$G$16,IF(B292&lt;=Hypothèses!$C$17,Hypothèses!$G$17,IF(B292&lt;=Hypothèses!$C$18,Hypothèses!$G$18,E291))))))))))))</f>
        <v>#N/A</v>
      </c>
      <c r="F292" s="82" t="str">
        <f>IF(B292&lt;=Hypothèses!$C$7,Hypothèses!$F$7,IF(B292&lt;=Hypothèses!$C$8,Hypothèses!$F$8,IF(B292&lt;=Hypothèses!$C$9,Hypothèses!$F$9,IF(B292&lt;=Hypothèses!$C$10,Hypothèses!$F$10,IF(B292&lt;=Hypothèses!$C$11,Hypothèses!$F$11,IF(B292&lt;=Hypothèses!$C$12,Hypothèses!$F$12,IF(B292&lt;=Hypothèses!$C$13,Hypothèses!$F$13,IF(B292&lt;=Hypothèses!$C$14,Hypothèses!$F$14,IF(B292&lt;=Hypothèses!$C$15,Hypothèses!$F$15,IF(B292&lt;=Hypothèses!$C$16,Hypothèses!$F$16,IF(B292&lt;=Hypothèses!$C$17,Hypothèses!$F$17,IF(B292&lt;=Hypothèses!$C$18,Hypothèses!$F$18,F291))))))))))))</f>
        <v/>
      </c>
      <c r="G292" s="91">
        <f t="array" ref="G292">INDEX('Coeff EC7'!$U$7:$X$27,
MATCH(Model0.1C!$B$3,'Coeff EC7'!$T$7:$T$27,0),
MATCH(Model0.1C!$D292&amp;Model0.1C!$B$4,
'Coeff EC7'!$U$6:$X$6&amp;
'Coeff EC7'!$U$5:$X$5,0))</f>
        <v>1.1499999999999999</v>
      </c>
      <c r="H292" s="91">
        <f t="array" ref="H292">INDEX('Coeff EC7'!$Y$7:$AB$27,
MATCH(Model0.1C!$B$3,'Coeff EC7'!$T$7:$T$27,0),
MATCH(Model0.1C!$D292&amp;Model0.1C!$B$4,
'Coeff EC7'!$Y$6:$AB$6&amp;
'Coeff EC7'!$Y$5:$AB$5,0))</f>
        <v>1.4</v>
      </c>
      <c r="I292" s="83" t="e">
        <f>IF(B292&lt;=Hypothèses!$C$7,Hypothèses!$P$7,IF(B292&lt;=Hypothèses!$C$8,Hypothèses!$P$8,IF(B292&lt;=Hypothèses!$C$9,Hypothèses!$P$9,IF(B292&lt;=Hypothèses!$C$10,Hypothèses!$P$10,IF(B292&lt;=Hypothèses!$C$11,Hypothèses!$P$11,IF(B292&lt;=Hypothèses!$C$12,Hypothèses!$P$12,IF(B292&lt;=Hypothèses!$C$13,Hypothèses!$P$13,IF(B292&lt;=Hypothèses!$C$14,Hypothèses!$P$14,IF(B292&lt;=Hypothèses!$C$15,Hypothèses!$P$15,IF(B292&lt;=Hypothèses!$C$16,Hypothèses!$P$16,IF(B292&lt;=Hypothèses!$C$17,Hypothèses!$P$17,IF(B292&lt;=Hypothèses!$C$18,Hypothèses!$P$18,I291))))))))))))</f>
        <v>#N/A</v>
      </c>
      <c r="J292" s="91" t="e">
        <f t="array" ref="J292">INDEX('Coeff EC7'!$D$33:$Q$33,1,MATCH(D292&amp;E292,'Coeff EC7'!$D$31:$Q$31&amp;'Coeff EC7'!$D$32:$Q$32,0))</f>
        <v>#N/A</v>
      </c>
      <c r="K292" s="91" t="e">
        <f t="array" ref="K292">INDEX('Coeff EC7'!$D$34:$Q$34,1,MATCH(D292&amp;E292,'Coeff EC7'!$D$31:$Q$31&amp;'Coeff EC7'!$D$32:$Q$32,0))</f>
        <v>#N/A</v>
      </c>
      <c r="L292" s="91" t="e">
        <f t="array" ref="L292">INDEX('Coeff EC7'!$D$35:$Q$35,1,MATCH(D292&amp;E292,'Coeff EC7'!$D$31:$Q$31&amp;'Coeff EC7'!$D$32:$Q$32,0))</f>
        <v>#N/A</v>
      </c>
      <c r="M292" s="98" t="e">
        <f t="shared" si="431"/>
        <v>#N/A</v>
      </c>
      <c r="N292" s="99" t="e">
        <f t="array" ref="N292">INDEX('Coeff EC7'!$D$7:$Q$27,MATCH($B$3,'Coeff EC7'!$C$7:$C$27,0),MATCH(D292&amp;E292,'Coeff EC7'!$D$5:$Q$5&amp;'Coeff EC7'!$D$6:$Q$6,0))</f>
        <v>#N/A</v>
      </c>
      <c r="O292" s="99" t="e">
        <f t="array" ref="O292">INDEX('Coeff EC7'!$D$41:$Q$61,MATCH($B$3,'Coeff EC7'!$C$41:$C$61,0),MATCH(D292&amp;E292,'Coeff EC7'!$D$39:$Q$39&amp;'Coeff EC7'!$D$40:$Q$40,0))</f>
        <v>#N/A</v>
      </c>
      <c r="P292" s="30" t="e">
        <f t="shared" si="468"/>
        <v>#N/A</v>
      </c>
      <c r="Q292" s="100" t="e">
        <f t="shared" si="433"/>
        <v>#N/A</v>
      </c>
      <c r="R292" s="86" t="b">
        <f t="shared" si="434"/>
        <v>0</v>
      </c>
      <c r="S292" s="86">
        <f t="shared" si="432"/>
        <v>0.5</v>
      </c>
      <c r="T292" s="86">
        <f t="shared" si="435"/>
        <v>0.5</v>
      </c>
      <c r="U292" s="30" t="e">
        <f t="shared" ca="1" si="469"/>
        <v>#DIV/0!</v>
      </c>
      <c r="V292" s="85" t="str">
        <f>IF(B292&lt;=Hypothèses!$V$7,Hypothèses!$W$7,IF(B292&lt;=Hypothèses!$V$8,Hypothèses!$W$8,IF(B292&lt;=Hypothèses!$V$9,Hypothèses!$W$9,IF(B292&lt;=Hypothèses!$V$10,Hypothèses!$W$10,IF(B292&lt;=Hypothèses!$V$11,Hypothèses!$W$11,IF(B292&lt;=Hypothèses!$V$12,Hypothèses!$W$12,IF(B292&lt;=Hypothèses!$V$13,Hypothèses!$W$13,IF(B292&lt;=Hypothèses!$V$14,Hypothèses!$W$14,IF(B292&lt;=Hypothèses!$V$15,Hypothèses!$W$15,IF(B292&lt;=Hypothèses!$V$16,Hypothèses!$W$16,IF(B292&lt;=Hypothèses!$V$17,Hypothèses!$W$17,IF(B292&lt;=Hypothèses!$V$18,Hypothèses!$W$18,""))))))))))))</f>
        <v/>
      </c>
      <c r="W292" s="87" t="e">
        <f t="shared" ca="1" si="516"/>
        <v>#DIV/0!</v>
      </c>
      <c r="X292" s="88" t="str">
        <f>IF(B292&lt;=Hypothèses!$V$7,Hypothèses!$X$7,IF(B292&lt;=Hypothèses!$V$8,Hypothèses!$X$8,IF(B292&lt;=Hypothèses!$V$9,Hypothèses!$X$9,IF(B292&lt;=Hypothèses!$V$10,Hypothèses!$X$10,IF(B292&lt;=Hypothèses!$V$11,Hypothèses!$X$11,IF(B292&lt;=Hypothèses!$V$12,Hypothèses!$X$12,IF(B292&lt;=Hypothèses!$V$13,Hypothèses!$X$13,IF(B292&lt;=Hypothèses!$V$14,Hypothèses!$X$14,IF(B292&lt;=Hypothèses!$V$15,Hypothèses!$X$15,IF(B292&lt;=Hypothèses!$V$16,Hypothèses!$X$16,IF(B292&lt;=Hypothèses!$U$17,Hypothèses!$W$17,IF(B292&lt;=Hypothèses!$U$18,Hypothèses!$W$18,""))))))))))))</f>
        <v/>
      </c>
      <c r="Y292" s="95" t="e">
        <f t="shared" ca="1" si="436"/>
        <v>#DIV/0!</v>
      </c>
      <c r="Z292" s="101" t="e">
        <f t="shared" si="437"/>
        <v>#N/A</v>
      </c>
      <c r="AA292" s="91" t="e">
        <f t="shared" si="438"/>
        <v>#N/A</v>
      </c>
      <c r="AB292" s="30" t="e">
        <f t="shared" si="500"/>
        <v>#N/A</v>
      </c>
      <c r="AC292" s="30" t="e">
        <f t="shared" si="501"/>
        <v>#N/A</v>
      </c>
      <c r="AD292" s="31" t="e">
        <f>IF(OR(Hypothèses!$B$4=17,Hypothèses!$B$4=18,Hypothèses!$B$4=19,Hypothèses!$B$4=20),
IF($D292="Pressio.",
IF(OR($E292=3,$E292=1,$E292=4),AC292,AB292),
IF($D292="Pénétro.",
IF(OR($E292=3,$E292=1,$E292=4),AC292,AB292))),IF($D292="Pressio.",
IF($E292=3,AC292,AB292),
IF($D292="Pénétro.",
IF($E292=4,AC292,AB292))))</f>
        <v>#N/A</v>
      </c>
      <c r="AE292" s="31" t="e">
        <f>(IF(OR(Hypothèses!$B$4=17,Hypothèses!$B$4=18,Hypothèses!$B$4=19,Hypothèses!$B$4=20),
IF($D292="Pressio.",
IF(OR($E292=3,$E292=1,$E292=4),(PI()*AE$12^2)/4*(AA292*$W292*1000)/($H292*$B$5),(PI()*AE$12^2)/4*(AA292*$W292*1000)/($G292*$B$5)),
IF($D292="Pénétro.",
IF(OR($E292=4,$E292=1,$E292=5),(PI()*AE$12^2)/4*(AA292*$W292*1000)/($H292*$B$5),(PI()*AE$12^2)/4*(AA292*$W292*1000)/($G292*$B$5)))),
IF($D292="Pressio.",
IF($E292=3,(PI()*AE$12^2)/4*(AA292*$W292*1000)/($H292*$B$5),(PI()*AE$12^2)/4*(AA292*$W292*1000)/($G292*$B$5)),
IF($D292="Pénétro.",
IF($E292=4,(PI()*AE$12^2)/4*(AA292*$W292*1000)/($H292*$B$5),(PI()*AE$12^2)/4*(AA292*$W292*1000)/($G292*$B$5))))))/10</f>
        <v>#N/A</v>
      </c>
      <c r="AF292" s="102" t="e">
        <f>(VLOOKUP($B$3,'Coeff EC7'!$T$39:$X$59,2,0)*AD292+VLOOKUP($B$3,'Coeff EC7'!$T$65:$X$85,2,0)*Model0.1C!AE292)/1.1</f>
        <v>#N/A</v>
      </c>
      <c r="AG292" s="102" t="e">
        <f>(VLOOKUP($B$3,'Coeff EC7'!$T$39:$X$59,3,0)*AD292+VLOOKUP($B$3,'Coeff EC7'!$T$65:$X$85,3,0)*Model0.1C!AE292)/0.9</f>
        <v>#N/A</v>
      </c>
      <c r="AH292" s="102" t="e">
        <f t="shared" si="439"/>
        <v>#N/A</v>
      </c>
      <c r="AI292" s="102" t="e">
        <f t="shared" si="440"/>
        <v>#N/A</v>
      </c>
      <c r="AJ292" s="414" t="e">
        <f>IF(AJ291=0,0,IF(AND(AF292&gt;charge_ELS_quasi,AG292&gt;Charge_ELS_freq,AH292&gt;charge_ELU,AI292&gt;charge_ELA,$B292&gt;NDC!$H$22-0.1+MIN(3*$AJ$12,1.5)),0,1))</f>
        <v>#N/A</v>
      </c>
      <c r="AK292" s="86" t="b">
        <f t="shared" si="441"/>
        <v>0</v>
      </c>
      <c r="AL292" s="86">
        <f t="shared" si="470"/>
        <v>0.5</v>
      </c>
      <c r="AM292" s="86">
        <f t="shared" si="442"/>
        <v>0.5</v>
      </c>
      <c r="AN292" s="30" t="e">
        <f t="shared" ca="1" si="471"/>
        <v>#DIV/0!</v>
      </c>
      <c r="AO292" s="85" t="e">
        <f ca="1">IF(U292&lt;=Hypothèses!$V$7,Hypothèses!$W$7,IF(U292&lt;=Hypothèses!$V$8,Hypothèses!$W$8,IF(U292&lt;=Hypothèses!$V$9,Hypothèses!$W$9,IF(U292&lt;=Hypothèses!$V$10,Hypothèses!$W$10,IF(U292&lt;=Hypothèses!$V$11,Hypothèses!$W$11,IF(U292&lt;=Hypothèses!$V$12,Hypothèses!$W$12,IF(U292&lt;=Hypothèses!$V$13,Hypothèses!$W$13,IF(U292&lt;=Hypothèses!$V$14,Hypothèses!$W$14,IF(U292&lt;=Hypothèses!$V$15,Hypothèses!$W$15,IF(U292&lt;=Hypothèses!$V$16,Hypothèses!$W$16,IF(U292&lt;=Hypothèses!$V$17,Hypothèses!$W$17,IF(U292&lt;=Hypothèses!$V$18,Hypothèses!$W$18,""))))))))))))</f>
        <v>#DIV/0!</v>
      </c>
      <c r="AP292" s="87" t="e">
        <f t="shared" ca="1" si="517"/>
        <v>#DIV/0!</v>
      </c>
      <c r="AQ292" s="88" t="e">
        <f ca="1">IF(U292&lt;=Hypothèses!$V$7,Hypothèses!$X$7,IF(U292&lt;=Hypothèses!$V$8,Hypothèses!$X$8,IF(U292&lt;=Hypothèses!$V$9,Hypothèses!$X$9,IF(U292&lt;=Hypothèses!$V$10,Hypothèses!$X$10,IF(U292&lt;=Hypothèses!$V$11,Hypothèses!$X$11,IF(U292&lt;=Hypothèses!$V$12,Hypothèses!$X$12,IF(U292&lt;=Hypothèses!$V$13,Hypothèses!$X$13,IF(U292&lt;=Hypothèses!$V$14,Hypothèses!$X$14,IF(U292&lt;=Hypothèses!$V$15,Hypothèses!$X$15,IF(U292&lt;=Hypothèses!$V$16,Hypothèses!$X$16,IF(U292&lt;=Hypothèses!$U$17,Hypothèses!$W$17,IF(U292&lt;=Hypothèses!$U$18,Hypothèses!$W$18,""))))))))))))</f>
        <v>#DIV/0!</v>
      </c>
      <c r="AR292" s="95" t="e">
        <f t="shared" ca="1" si="472"/>
        <v>#DIV/0!</v>
      </c>
      <c r="AS292" s="101" t="e">
        <f t="shared" si="524"/>
        <v>#N/A</v>
      </c>
      <c r="AT292" s="91" t="e">
        <f t="shared" si="443"/>
        <v>#N/A</v>
      </c>
      <c r="AU292" s="30" t="e">
        <f t="shared" si="502"/>
        <v>#N/A</v>
      </c>
      <c r="AV292" s="30" t="e">
        <f t="shared" si="503"/>
        <v>#N/A</v>
      </c>
      <c r="AW292" s="31" t="e">
        <f>IF(OR(Hypothèses!$B$4=17,Hypothèses!$B$4=18,Hypothèses!$B$4=19,Hypothèses!$B$4=20),
IF($D292="Pressio.",
IF(OR($E292=3,$E292=1,$E292=4),AV292,AU292),
IF($D292="Pénétro.",
IF(OR($E292=3,$E292=1,$E292=4),AV292,AU292))),IF($D292="Pressio.",
IF($E292=3,AV292,AU292),
IF($D292="Pénétro.",
IF($E292=4,AV292,AU292))))</f>
        <v>#N/A</v>
      </c>
      <c r="AX292" s="31" t="e">
        <f>(IF(OR(Hypothèses!$B$4=17,Hypothèses!$B$4=18,Hypothèses!$B$4=19,Hypothèses!$B$4=20),
IF($D292="Pressio.",
IF(OR($E292=3,$E292=1,$E292=4),(PI()*AX$12^2)/4*(AT292*$W292*1000)/($H292*$B$5),(PI()*AX$12^2)/4*(AT292*$W292*1000)/($G292*$B$5)),
IF($D292="Pénétro.",
IF(OR($E292=4,$E292=1,$E292=5),(PI()*AX$12^2)/4*(AT292*$W292*1000)/($H292*$B$5),(PI()*AX$12^2)/4*(AT292*$W292*1000)/($G292*$B$5)))),
IF($D292="Pressio.",
IF($E292=3,(PI()*AX$12^2)/4*(AT292*$W292*1000)/($H292*$B$5),(PI()*AX$12^2)/4*(AT292*$W292*1000)/($G292*$B$5)),
IF($D292="Pénétro.",
IF($E292=4,(PI()*AX$12^2)/4*(AT292*$W292*1000)/($H292*$B$5),(PI()*AX$12^2)/4*(AT292*$W292*1000)/($G292*$B$5))))))/10</f>
        <v>#N/A</v>
      </c>
      <c r="AY292" s="102" t="e">
        <f>(VLOOKUP($B$3,'Coeff EC7'!$T$39:$X$59,2,0)*AW292+VLOOKUP($B$3,'Coeff EC7'!$T$65:$X$85,2,0)*Model0.1C!AX292)/1.1</f>
        <v>#N/A</v>
      </c>
      <c r="AZ292" s="102" t="e">
        <f>(VLOOKUP($B$3,'Coeff EC7'!$T$39:$X$59,3,0)*AW292+VLOOKUP($B$3,'Coeff EC7'!$T$65:$X$85,3,0)*Model0.1C!AX292)/0.9</f>
        <v>#N/A</v>
      </c>
      <c r="BA292" s="102" t="e">
        <f t="shared" si="473"/>
        <v>#N/A</v>
      </c>
      <c r="BB292" s="102" t="e">
        <f t="shared" si="474"/>
        <v>#N/A</v>
      </c>
      <c r="BC292" s="414" t="e">
        <f>IF(BC291=0,0,IF(AND(AY292&gt;charge_ELS_quasi,AZ292&gt;Charge_ELS_freq,BA292&gt;charge_ELU,BB292&gt;charge_ELA,$B292&gt;NDC!$H$22-0.1+MIN(3*$BC$12,1.5)),0,1))</f>
        <v>#N/A</v>
      </c>
      <c r="BD292" s="86" t="b">
        <f t="shared" si="444"/>
        <v>0</v>
      </c>
      <c r="BE292" s="86">
        <f t="shared" si="475"/>
        <v>0.5</v>
      </c>
      <c r="BF292" s="86">
        <f t="shared" si="445"/>
        <v>0.5</v>
      </c>
      <c r="BG292" s="30" t="e">
        <f t="shared" ca="1" si="476"/>
        <v>#DIV/0!</v>
      </c>
      <c r="BH292" s="85" t="e">
        <f ca="1">IF(AN292&lt;=Hypothèses!$V$7,Hypothèses!$W$7,IF(AN292&lt;=Hypothèses!$V$8,Hypothèses!$W$8,IF(AN292&lt;=Hypothèses!$V$9,Hypothèses!$W$9,IF(AN292&lt;=Hypothèses!$V$10,Hypothèses!$W$10,IF(AN292&lt;=Hypothèses!$V$11,Hypothèses!$W$11,IF(AN292&lt;=Hypothèses!$V$12,Hypothèses!$W$12,IF(AN292&lt;=Hypothèses!$V$13,Hypothèses!$W$13,IF(AN292&lt;=Hypothèses!$V$14,Hypothèses!$W$14,IF(AN292&lt;=Hypothèses!$V$15,Hypothèses!$W$15,IF(AN292&lt;=Hypothèses!$V$16,Hypothèses!$W$16,IF(AN292&lt;=Hypothèses!$V$17,Hypothèses!$W$17,IF(AN292&lt;=Hypothèses!$V$18,Hypothèses!$W$18,""))))))))))))</f>
        <v>#DIV/0!</v>
      </c>
      <c r="BI292" s="87" t="e">
        <f t="shared" ca="1" si="518"/>
        <v>#DIV/0!</v>
      </c>
      <c r="BJ292" s="88" t="e">
        <f ca="1">IF(AN292&lt;=Hypothèses!$V$7,Hypothèses!$X$7,IF(AN292&lt;=Hypothèses!$V$8,Hypothèses!$X$8,IF(AN292&lt;=Hypothèses!$V$9,Hypothèses!$X$9,IF(AN292&lt;=Hypothèses!$V$10,Hypothèses!$X$10,IF(AN292&lt;=Hypothèses!$V$11,Hypothèses!$X$11,IF(AN292&lt;=Hypothèses!$V$12,Hypothèses!$X$12,IF(AN292&lt;=Hypothèses!$V$13,Hypothèses!$X$13,IF(AN292&lt;=Hypothèses!$V$14,Hypothèses!$X$14,IF(AN292&lt;=Hypothèses!$V$15,Hypothèses!$X$15,IF(AN292&lt;=Hypothèses!$V$16,Hypothèses!$X$16,IF(AN292&lt;=Hypothèses!$U$17,Hypothèses!$W$17,IF(AN292&lt;=Hypothèses!$U$18,Hypothèses!$W$18,""))))))))))))</f>
        <v>#DIV/0!</v>
      </c>
      <c r="BK292" s="95" t="e">
        <f t="shared" ca="1" si="477"/>
        <v>#DIV/0!</v>
      </c>
      <c r="BL292" s="101" t="e">
        <f t="shared" si="525"/>
        <v>#N/A</v>
      </c>
      <c r="BM292" s="91" t="e">
        <f t="shared" si="446"/>
        <v>#N/A</v>
      </c>
      <c r="BN292" s="30" t="e">
        <f t="shared" si="504"/>
        <v>#N/A</v>
      </c>
      <c r="BO292" s="30" t="e">
        <f t="shared" si="505"/>
        <v>#N/A</v>
      </c>
      <c r="BP292" s="31" t="e">
        <f>IF(OR(Hypothèses!$B$4=17,Hypothèses!$B$4=18,Hypothèses!$B$4=19,Hypothèses!$B$4=20),
IF($D292="Pressio.",
IF(OR($E292=3,$E292=1,$E292=4),BO292,BN292),
IF($D292="Pénétro.",
IF(OR($E292=3,$E292=1,$E292=4),BO292,BN292))),IF($D292="Pressio.",
IF($E292=3,BO292,BN292),
IF($D292="Pénétro.",
IF($E292=4,BO292,BN292))))</f>
        <v>#N/A</v>
      </c>
      <c r="BQ292" s="31" t="e">
        <f>(IF(OR(Hypothèses!$B$4=17,Hypothèses!$B$4=18,Hypothèses!$B$4=19,Hypothèses!$B$4=20),
IF($D292="Pressio.",
IF(OR($E292=3,$E292=1,$E292=4),(PI()*BQ$12^2)/4*(BM292*$W292*1000)/($H292*$B$5),(PI()*BQ$12^2)/4*(BM292*$W292*1000)/($G292*$B$5)),
IF($D292="Pénétro.",
IF(OR($E292=4,$E292=1,$E292=5),(PI()*BQ$12^2)/4*(BM292*$W292*1000)/($H292*$B$5),(PI()*BQ$12^2)/4*(BM292*$W292*1000)/($G292*$B$5)))),
IF($D292="Pressio.",
IF($E292=3,(PI()*BQ$12^2)/4*(BM292*$W292*1000)/($H292*$B$5),(PI()*BQ$12^2)/4*(BM292*$W292*1000)/($G292*$B$5)),
IF($D292="Pénétro.",
IF($E292=4,(PI()*BQ$12^2)/4*(BM292*$W292*1000)/($H292*$B$5),(PI()*BQ$12^2)/4*(BM292*$W292*1000)/($G292*$B$5))))))/10</f>
        <v>#N/A</v>
      </c>
      <c r="BR292" s="102" t="e">
        <f>(VLOOKUP($B$3,'Coeff EC7'!$T$39:$X$59,2,0)*BP292+VLOOKUP($B$3,'Coeff EC7'!$T$65:$X$85,2,0)*Model0.1C!BQ292)/1.1</f>
        <v>#N/A</v>
      </c>
      <c r="BS292" s="102" t="e">
        <f>(VLOOKUP($B$3,'Coeff EC7'!$T$39:$X$59,3,0)*BP292+VLOOKUP($B$3,'Coeff EC7'!$T$65:$X$85,3,0)*Model0.1C!BQ292)/0.9</f>
        <v>#N/A</v>
      </c>
      <c r="BT292" s="102" t="e">
        <f t="shared" si="478"/>
        <v>#N/A</v>
      </c>
      <c r="BU292" s="102" t="e">
        <f t="shared" si="479"/>
        <v>#N/A</v>
      </c>
      <c r="BV292" s="414" t="e">
        <f>IF(BV291=0,0,IF(AND(BR292&gt;charge_ELS_quasi,BS292&gt;Charge_ELS_freq,BT292&gt;charge_ELU,BU292&gt;charge_ELA,$B292&gt;NDC!$H$22-0.1+MIN(3*$BV$12,1.5)),0,1))</f>
        <v>#N/A</v>
      </c>
      <c r="BW292" s="86" t="b">
        <f t="shared" si="447"/>
        <v>0</v>
      </c>
      <c r="BX292" s="86">
        <f t="shared" si="448"/>
        <v>0.5</v>
      </c>
      <c r="BY292" s="86">
        <f t="shared" si="449"/>
        <v>0.5</v>
      </c>
      <c r="BZ292" s="30" t="e">
        <f t="shared" ca="1" si="480"/>
        <v>#DIV/0!</v>
      </c>
      <c r="CA292" s="85" t="e">
        <f ca="1">IF(BG292&lt;=Hypothèses!$V$7,Hypothèses!$W$7,IF(BG292&lt;=Hypothèses!$V$8,Hypothèses!$W$8,IF(BG292&lt;=Hypothèses!$V$9,Hypothèses!$W$9,IF(BG292&lt;=Hypothèses!$V$10,Hypothèses!$W$10,IF(BG292&lt;=Hypothèses!$V$11,Hypothèses!$W$11,IF(BG292&lt;=Hypothèses!$V$12,Hypothèses!$W$12,IF(BG292&lt;=Hypothèses!$V$13,Hypothèses!$W$13,IF(BG292&lt;=Hypothèses!$V$14,Hypothèses!$W$14,IF(BG292&lt;=Hypothèses!$V$15,Hypothèses!$W$15,IF(BG292&lt;=Hypothèses!$V$16,Hypothèses!$W$16,IF(BG292&lt;=Hypothèses!$V$17,Hypothèses!$W$17,IF(BG292&lt;=Hypothèses!$V$18,Hypothèses!$W$18,""))))))))))))</f>
        <v>#DIV/0!</v>
      </c>
      <c r="CB292" s="87" t="e">
        <f t="shared" ca="1" si="519"/>
        <v>#DIV/0!</v>
      </c>
      <c r="CC292" s="88" t="e">
        <f ca="1">IF(BG292&lt;=Hypothèses!$V$7,Hypothèses!$X$7,IF(BG292&lt;=Hypothèses!$V$8,Hypothèses!$X$8,IF(BG292&lt;=Hypothèses!$V$9,Hypothèses!$X$9,IF(BG292&lt;=Hypothèses!$V$10,Hypothèses!$X$10,IF(BG292&lt;=Hypothèses!$V$11,Hypothèses!$X$11,IF(BG292&lt;=Hypothèses!$V$12,Hypothèses!$X$12,IF(BG292&lt;=Hypothèses!$V$13,Hypothèses!$X$13,IF(BG292&lt;=Hypothèses!$V$14,Hypothèses!$X$14,IF(BG292&lt;=Hypothèses!$V$15,Hypothèses!$X$15,IF(BG292&lt;=Hypothèses!$V$16,Hypothèses!$X$16,IF(BG292&lt;=Hypothèses!$U$17,Hypothèses!$W$17,IF(BG292&lt;=Hypothèses!$U$18,Hypothèses!$W$18,""))))))))))))</f>
        <v>#DIV/0!</v>
      </c>
      <c r="CD292" s="95" t="e">
        <f t="shared" ca="1" si="481"/>
        <v>#DIV/0!</v>
      </c>
      <c r="CE292" s="101" t="e">
        <f t="shared" si="526"/>
        <v>#N/A</v>
      </c>
      <c r="CF292" s="91" t="e">
        <f t="shared" si="450"/>
        <v>#N/A</v>
      </c>
      <c r="CG292" s="30" t="e">
        <f t="shared" si="506"/>
        <v>#N/A</v>
      </c>
      <c r="CH292" s="30" t="e">
        <f t="shared" si="507"/>
        <v>#N/A</v>
      </c>
      <c r="CI292" s="31" t="e">
        <f>IF(OR(Hypothèses!$B$4=17,Hypothèses!$B$4=18,Hypothèses!$B$4=19,Hypothèses!$B$4=20),
IF($D292="Pressio.",
IF(OR($E292=3,$E292=1,$E292=4),CH292,CG292),
IF($D292="Pénétro.",
IF(OR($E292=3,$E292=1,$E292=4),CH292,CG292))),IF($D292="Pressio.",
IF($E292=3,CH292,CG292),
IF($D292="Pénétro.",
IF($E292=4,CH292,CG292))))</f>
        <v>#N/A</v>
      </c>
      <c r="CJ292" s="31" t="e">
        <f>(IF(OR(Hypothèses!$B$4=17,Hypothèses!$B$4=18,Hypothèses!$B$4=19,Hypothèses!$B$4=20),
IF($D292="Pressio.",
IF(OR($E292=3,$E292=1,$E292=4),(PI()*CJ$12^2)/4*(CF292*$W292*1000)/($H292*$B$5),(PI()*CJ$12^2)/4*(CF292*$W292*1000)/($G292*$B$5)),
IF($D292="Pénétro.",
IF(OR($E292=4,$E292=1,$E292=5),(PI()*CJ$12^2)/4*(CF292*$W292*1000)/($H292*$B$5),(PI()*CJ$12^2)/4*(CF292*$W292*1000)/($G292*$B$5)))),
IF($D292="Pressio.",
IF($E292=3,(PI()*CJ$12^2)/4*(CF292*$W292*1000)/($H292*$B$5),(PI()*CJ$12^2)/4*(CF292*$W292*1000)/($G292*$B$5)),
IF($D292="Pénétro.",
IF($E292=4,(PI()*CJ$12^2)/4*(CF292*$W292*1000)/($H292*$B$5),(PI()*CJ$12^2)/4*(CF292*$W292*1000)/($G292*$B$5))))))/10</f>
        <v>#N/A</v>
      </c>
      <c r="CK292" s="102" t="e">
        <f>(VLOOKUP($B$3,'Coeff EC7'!$T$39:$X$59,2,0)*CI292+VLOOKUP($B$3,'Coeff EC7'!$T$65:$X$85,2,0)*Model0.1C!CJ292)/1.1</f>
        <v>#N/A</v>
      </c>
      <c r="CL292" s="102" t="e">
        <f>(VLOOKUP($B$3,'Coeff EC7'!$T$39:$X$59,3,0)*CI292+VLOOKUP($B$3,'Coeff EC7'!$T$65:$X$85,3,0)*Model0.1C!CJ292)/0.9</f>
        <v>#N/A</v>
      </c>
      <c r="CM292" s="102" t="e">
        <f t="shared" si="482"/>
        <v>#N/A</v>
      </c>
      <c r="CN292" s="102" t="e">
        <f t="shared" si="483"/>
        <v>#N/A</v>
      </c>
      <c r="CO292" s="414" t="e">
        <f>IF(CO291=0,0,IF(AND(CK292&gt;charge_ELS_quasi,CL292&gt;Charge_ELS_freq,CM292&gt;charge_ELU,CN292&gt;charge_ELA,$B292&gt;NDC!$H$22-0.1+MIN(3*$CO$12,1.5)),0,1))</f>
        <v>#N/A</v>
      </c>
      <c r="CP292" s="86" t="b">
        <f t="shared" si="451"/>
        <v>0</v>
      </c>
      <c r="CQ292" s="86">
        <f t="shared" si="452"/>
        <v>0.5</v>
      </c>
      <c r="CR292" s="86">
        <f t="shared" si="453"/>
        <v>0.5</v>
      </c>
      <c r="CS292" s="30" t="e">
        <f t="shared" ca="1" si="484"/>
        <v>#DIV/0!</v>
      </c>
      <c r="CT292" s="85" t="e">
        <f ca="1">IF(BZ292&lt;=Hypothèses!$V$7,Hypothèses!$W$7,IF(BZ292&lt;=Hypothèses!$V$8,Hypothèses!$W$8,IF(BZ292&lt;=Hypothèses!$V$9,Hypothèses!$W$9,IF(BZ292&lt;=Hypothèses!$V$10,Hypothèses!$W$10,IF(BZ292&lt;=Hypothèses!$V$11,Hypothèses!$W$11,IF(BZ292&lt;=Hypothèses!$V$12,Hypothèses!$W$12,IF(BZ292&lt;=Hypothèses!$V$13,Hypothèses!$W$13,IF(BZ292&lt;=Hypothèses!$V$14,Hypothèses!$W$14,IF(BZ292&lt;=Hypothèses!$V$15,Hypothèses!$W$15,IF(BZ292&lt;=Hypothèses!$V$16,Hypothèses!$W$16,IF(BZ292&lt;=Hypothèses!$V$17,Hypothèses!$W$17,IF(BZ292&lt;=Hypothèses!$V$18,Hypothèses!$W$18,""))))))))))))</f>
        <v>#DIV/0!</v>
      </c>
      <c r="CU292" s="87" t="e">
        <f t="shared" ca="1" si="520"/>
        <v>#DIV/0!</v>
      </c>
      <c r="CV292" s="88" t="e">
        <f ca="1">IF(BZ292&lt;=Hypothèses!$V$7,Hypothèses!$X$7,IF(BZ292&lt;=Hypothèses!$V$8,Hypothèses!$X$8,IF(BZ292&lt;=Hypothèses!$V$9,Hypothèses!$X$9,IF(BZ292&lt;=Hypothèses!$V$10,Hypothèses!$X$10,IF(BZ292&lt;=Hypothèses!$V$11,Hypothèses!$X$11,IF(BZ292&lt;=Hypothèses!$V$12,Hypothèses!$X$12,IF(BZ292&lt;=Hypothèses!$V$13,Hypothèses!$X$13,IF(BZ292&lt;=Hypothèses!$V$14,Hypothèses!$X$14,IF(BZ292&lt;=Hypothèses!$V$15,Hypothèses!$X$15,IF(BZ292&lt;=Hypothèses!$V$16,Hypothèses!$X$16,IF(BZ292&lt;=Hypothèses!$U$17,Hypothèses!$W$17,IF(BZ292&lt;=Hypothèses!$U$18,Hypothèses!$W$18,""))))))))))))</f>
        <v>#DIV/0!</v>
      </c>
      <c r="CW292" s="95" t="e">
        <f t="shared" ca="1" si="485"/>
        <v>#DIV/0!</v>
      </c>
      <c r="CX292" s="101" t="e">
        <f t="shared" si="527"/>
        <v>#N/A</v>
      </c>
      <c r="CY292" s="91" t="e">
        <f t="shared" si="454"/>
        <v>#N/A</v>
      </c>
      <c r="CZ292" s="30" t="e">
        <f t="shared" si="508"/>
        <v>#N/A</v>
      </c>
      <c r="DA292" s="30" t="e">
        <f t="shared" si="509"/>
        <v>#N/A</v>
      </c>
      <c r="DB292" s="31" t="e">
        <f>IF(OR(Hypothèses!$B$4=17,Hypothèses!$B$4=18,Hypothèses!$B$4=19,Hypothèses!$B$4=20),
IF($D292="Pressio.",
IF(OR($E292=3,$E292=1,$E292=4),DA292,CZ292),
IF($D292="Pénétro.",
IF(OR($E292=3,$E292=1,$E292=4),DA292,CZ292))),IF($D292="Pressio.",
IF($E292=3,DA292,CZ292),
IF($D292="Pénétro.",
IF($E292=4,DA292,CZ292))))</f>
        <v>#N/A</v>
      </c>
      <c r="DC292" s="31" t="e">
        <f>(IF(OR(Hypothèses!$B$4=17,Hypothèses!$B$4=18,Hypothèses!$B$4=19,Hypothèses!$B$4=20),
IF($D292="Pressio.",
IF(OR($E292=3,$E292=1,$E292=4),(PI()*DC$12^2)/4*(CY292*$W292*1000)/($H292*$B$5),(PI()*DC$12^2)/4*(CY292*$W292*1000)/($G292*$B$5)),
IF($D292="Pénétro.",
IF(OR($E292=4,$E292=1,$E292=5),(PI()*DC$12^2)/4*(CY292*$W292*1000)/($H292*$B$5),(PI()*DC$12^2)/4*(CY292*$W292*1000)/($G292*$B$5)))),
IF($D292="Pressio.",
IF($E292=3,(PI()*DC$12^2)/4*(CY292*$W292*1000)/($H292*$B$5),(PI()*DC$12^2)/4*(CY292*$W292*1000)/($G292*$B$5)),
IF($D292="Pénétro.",
IF($E292=4,(PI()*DC$12^2)/4*(CY292*$W292*1000)/($H292*$B$5),(PI()*DC$12^2)/4*(CY292*$W292*1000)/($G292*$B$5))))))/10</f>
        <v>#N/A</v>
      </c>
      <c r="DD292" s="102" t="e">
        <f>(VLOOKUP($B$3,'Coeff EC7'!$T$39:$X$59,2,0)*DB292+VLOOKUP($B$3,'Coeff EC7'!$T$65:$X$85,2,0)*Model0.1C!DC292)/1.1</f>
        <v>#N/A</v>
      </c>
      <c r="DE292" s="102" t="e">
        <f>(VLOOKUP($B$3,'Coeff EC7'!$T$39:$X$59,3,0)*DB292+VLOOKUP($B$3,'Coeff EC7'!$T$65:$X$85,3,0)*Model0.1C!DC292)/0.9</f>
        <v>#N/A</v>
      </c>
      <c r="DF292" s="102" t="e">
        <f t="shared" si="486"/>
        <v>#N/A</v>
      </c>
      <c r="DG292" s="102" t="e">
        <f t="shared" si="487"/>
        <v>#N/A</v>
      </c>
      <c r="DH292" s="414" t="e">
        <f>IF(DH291=0,0,IF(AND(DD292&gt;charge_ELS_quasi,DE292&gt;Charge_ELS_freq,DF292&gt;charge_ELU,DG292&gt;charge_ELA,$B292&gt;NDC!$H$22-0.1+MIN(3*$DH$12,1.5)),0,1))</f>
        <v>#N/A</v>
      </c>
      <c r="DI292" s="86" t="b">
        <f t="shared" si="455"/>
        <v>0</v>
      </c>
      <c r="DJ292" s="86">
        <f t="shared" si="456"/>
        <v>0.5</v>
      </c>
      <c r="DK292" s="86">
        <f t="shared" si="457"/>
        <v>0.5</v>
      </c>
      <c r="DL292" s="30" t="e">
        <f t="shared" ca="1" si="488"/>
        <v>#DIV/0!</v>
      </c>
      <c r="DM292" s="85" t="e">
        <f ca="1">IF(CS292&lt;=Hypothèses!$V$7,Hypothèses!$W$7,IF(CS292&lt;=Hypothèses!$V$8,Hypothèses!$W$8,IF(CS292&lt;=Hypothèses!$V$9,Hypothèses!$W$9,IF(CS292&lt;=Hypothèses!$V$10,Hypothèses!$W$10,IF(CS292&lt;=Hypothèses!$V$11,Hypothèses!$W$11,IF(CS292&lt;=Hypothèses!$V$12,Hypothèses!$W$12,IF(CS292&lt;=Hypothèses!$V$13,Hypothèses!$W$13,IF(CS292&lt;=Hypothèses!$V$14,Hypothèses!$W$14,IF(CS292&lt;=Hypothèses!$V$15,Hypothèses!$W$15,IF(CS292&lt;=Hypothèses!$V$16,Hypothèses!$W$16,IF(CS292&lt;=Hypothèses!$V$17,Hypothèses!$W$17,IF(CS292&lt;=Hypothèses!$V$18,Hypothèses!$W$18,""))))))))))))</f>
        <v>#DIV/0!</v>
      </c>
      <c r="DN292" s="87" t="e">
        <f t="shared" ca="1" si="521"/>
        <v>#DIV/0!</v>
      </c>
      <c r="DO292" s="88" t="e">
        <f ca="1">IF(CS292&lt;=Hypothèses!$V$7,Hypothèses!$X$7,IF(CS292&lt;=Hypothèses!$V$8,Hypothèses!$X$8,IF(CS292&lt;=Hypothèses!$V$9,Hypothèses!$X$9,IF(CS292&lt;=Hypothèses!$V$10,Hypothèses!$X$10,IF(CS292&lt;=Hypothèses!$V$11,Hypothèses!$X$11,IF(CS292&lt;=Hypothèses!$V$12,Hypothèses!$X$12,IF(CS292&lt;=Hypothèses!$V$13,Hypothèses!$X$13,IF(CS292&lt;=Hypothèses!$V$14,Hypothèses!$X$14,IF(CS292&lt;=Hypothèses!$V$15,Hypothèses!$X$15,IF(CS292&lt;=Hypothèses!$V$16,Hypothèses!$X$16,IF(CS292&lt;=Hypothèses!$U$17,Hypothèses!$W$17,IF(CS292&lt;=Hypothèses!$U$18,Hypothèses!$W$18,""))))))))))))</f>
        <v>#DIV/0!</v>
      </c>
      <c r="DP292" s="95" t="e">
        <f t="shared" ca="1" si="489"/>
        <v>#DIV/0!</v>
      </c>
      <c r="DQ292" s="101" t="e">
        <f t="shared" si="528"/>
        <v>#N/A</v>
      </c>
      <c r="DR292" s="91" t="e">
        <f t="shared" si="458"/>
        <v>#N/A</v>
      </c>
      <c r="DS292" s="30" t="e">
        <f t="shared" si="510"/>
        <v>#N/A</v>
      </c>
      <c r="DT292" s="30" t="e">
        <f t="shared" si="511"/>
        <v>#N/A</v>
      </c>
      <c r="DU292" s="31" t="e">
        <f>IF(OR(Hypothèses!$B$4=17,Hypothèses!$B$4=18,Hypothèses!$B$4=19,Hypothèses!$B$4=20),
IF($D292="Pressio.",
IF(OR($E292=3,$E292=1,$E292=4),DT292,DS292),
IF($D292="Pénétro.",
IF(OR($E292=3,$E292=1,$E292=4),DT292,DS292))),IF($D292="Pressio.",
IF($E292=3,DT292,DS292),
IF($D292="Pénétro.",
IF($E292=4,DT292,DS292))))</f>
        <v>#N/A</v>
      </c>
      <c r="DV292" s="31" t="e">
        <f>(IF(OR(Hypothèses!$B$4=17,Hypothèses!$B$4=18,Hypothèses!$B$4=19,Hypothèses!$B$4=20),
IF($D292="Pressio.",
IF(OR($E292=3,$E292=1,$E292=4),(PI()*DV$12^2)/4*(DR292*$W292*1000)/($H292*$B$5),(PI()*DV$12^2)/4*(DR292*$W292*1000)/($G292*$B$5)),
IF($D292="Pénétro.",
IF(OR($E292=4,$E292=1,$E292=5),(PI()*DV$12^2)/4*(DR292*$W292*1000)/($H292*$B$5),(PI()*DV$12^2)/4*(DR292*$W292*1000)/($G292*$B$5)))),
IF($D292="Pressio.",
IF($E292=3,(PI()*DV$12^2)/4*(DR292*$W292*1000)/($H292*$B$5),(PI()*DV$12^2)/4*(DR292*$W292*1000)/($G292*$B$5)),
IF($D292="Pénétro.",
IF($E292=4,(PI()*DV$12^2)/4*(DR292*$W292*1000)/($H292*$B$5),(PI()*DV$12^2)/4*(DR292*$W292*1000)/($G292*$B$5))))))/10</f>
        <v>#N/A</v>
      </c>
      <c r="DW292" s="102" t="e">
        <f>(VLOOKUP($B$3,'Coeff EC7'!$T$39:$X$59,2,0)*DU292+VLOOKUP($B$3,'Coeff EC7'!$T$65:$X$85,2,0)*Model0.1C!DV292)/1.1</f>
        <v>#N/A</v>
      </c>
      <c r="DX292" s="102" t="e">
        <f>(VLOOKUP($B$3,'Coeff EC7'!$T$39:$X$59,3,0)*DU292+VLOOKUP($B$3,'Coeff EC7'!$T$65:$X$85,3,0)*Model0.1C!DV292)/0.9</f>
        <v>#N/A</v>
      </c>
      <c r="DY292" s="102" t="e">
        <f t="shared" si="490"/>
        <v>#N/A</v>
      </c>
      <c r="DZ292" s="102" t="e">
        <f t="shared" si="491"/>
        <v>#N/A</v>
      </c>
      <c r="EA292" s="414" t="e">
        <f>IF(EA291=0,0,IF(AND(DW292&gt;charge_ELS_quasi,DX292&gt;Charge_ELS_freq,DY292&gt;charge_ELU,DZ292&gt;charge_ELA,$B292&gt;NDC!$H$22-0.1+MIN(3*$EA$12,1.5)),0,1))</f>
        <v>#N/A</v>
      </c>
      <c r="EB292" s="86" t="b">
        <f t="shared" si="459"/>
        <v>0</v>
      </c>
      <c r="EC292" s="418">
        <f t="shared" si="460"/>
        <v>0.51</v>
      </c>
      <c r="ED292" s="86">
        <f t="shared" si="461"/>
        <v>0.51</v>
      </c>
      <c r="EE292" s="30" t="e">
        <f t="shared" ca="1" si="492"/>
        <v>#DIV/0!</v>
      </c>
      <c r="EF292" s="85" t="e">
        <f ca="1">IF(DL292&lt;=Hypothèses!$V$7,Hypothèses!$W$7,IF(DL292&lt;=Hypothèses!$V$8,Hypothèses!$W$8,IF(DL292&lt;=Hypothèses!$V$9,Hypothèses!$W$9,IF(DL292&lt;=Hypothèses!$V$10,Hypothèses!$W$10,IF(DL292&lt;=Hypothèses!$V$11,Hypothèses!$W$11,IF(DL292&lt;=Hypothèses!$V$12,Hypothèses!$W$12,IF(DL292&lt;=Hypothèses!$V$13,Hypothèses!$W$13,IF(DL292&lt;=Hypothèses!$V$14,Hypothèses!$W$14,IF(DL292&lt;=Hypothèses!$V$15,Hypothèses!$W$15,IF(DL292&lt;=Hypothèses!$V$16,Hypothèses!$W$16,IF(DL292&lt;=Hypothèses!$V$17,Hypothèses!$W$17,IF(DL292&lt;=Hypothèses!$V$18,Hypothèses!$W$18,""))))))))))))</f>
        <v>#DIV/0!</v>
      </c>
      <c r="EG292" s="87" t="e">
        <f t="shared" ca="1" si="522"/>
        <v>#DIV/0!</v>
      </c>
      <c r="EH292" s="88" t="e">
        <f ca="1">IF(DL292&lt;=Hypothèses!$V$7,Hypothèses!$X$7,IF(DL292&lt;=Hypothèses!$V$8,Hypothèses!$X$8,IF(DL292&lt;=Hypothèses!$V$9,Hypothèses!$X$9,IF(DL292&lt;=Hypothèses!$V$10,Hypothèses!$X$10,IF(DL292&lt;=Hypothèses!$V$11,Hypothèses!$X$11,IF(DL292&lt;=Hypothèses!$V$12,Hypothèses!$X$12,IF(DL292&lt;=Hypothèses!$V$13,Hypothèses!$X$13,IF(DL292&lt;=Hypothèses!$V$14,Hypothèses!$X$14,IF(DL292&lt;=Hypothèses!$V$15,Hypothèses!$X$15,IF(DL292&lt;=Hypothèses!$V$16,Hypothèses!$X$16,IF(DL292&lt;=Hypothèses!$U$17,Hypothèses!$W$17,IF(DL292&lt;=Hypothèses!$U$18,Hypothèses!$W$18,""))))))))))))</f>
        <v>#DIV/0!</v>
      </c>
      <c r="EI292" s="95" t="e">
        <f t="shared" ca="1" si="493"/>
        <v>#DIV/0!</v>
      </c>
      <c r="EJ292" s="101" t="e">
        <f t="shared" si="529"/>
        <v>#N/A</v>
      </c>
      <c r="EK292" s="91" t="e">
        <f t="shared" si="462"/>
        <v>#N/A</v>
      </c>
      <c r="EL292" s="30" t="e">
        <f t="shared" si="512"/>
        <v>#N/A</v>
      </c>
      <c r="EM292" s="30" t="e">
        <f t="shared" si="513"/>
        <v>#N/A</v>
      </c>
      <c r="EN292" s="31" t="e">
        <f>IF(OR(Hypothèses!$B$4=17,Hypothèses!$B$4=18,Hypothèses!$B$4=19,Hypothèses!$B$4=20),
IF($D292="Pressio.",
IF(OR($E292=3,$E292=1,$E292=4),EM292,EL292),
IF($D292="Pénétro.",
IF(OR($E292=3,$E292=1,$E292=4),EM292,EL292))),IF($D292="Pressio.",
IF($E292=3,EM292,EL292),
IF($D292="Pénétro.",
IF($E292=4,EM292,EL292))))</f>
        <v>#N/A</v>
      </c>
      <c r="EO292" s="31" t="e">
        <f>(IF(OR(Hypothèses!$B$4=17,Hypothèses!$B$4=18,Hypothèses!$B$4=19,Hypothèses!$B$4=20),
IF($D292="Pressio.",
IF(OR($E292=3,$E292=1,$E292=4),(PI()*EO$12^2)/4*(EK292*$W292*1000)/($H292*$B$5),(PI()*EO$12^2)/4*(EK292*$W292*1000)/($G292*$B$5)),
IF($D292="Pénétro.",
IF(OR($E292=4,$E292=1,$E292=5),(PI()*EO$12^2)/4*(EK292*$W292*1000)/($H292*$B$5),(PI()*EO$12^2)/4*(EK292*$W292*1000)/($G292*$B$5)))),
IF($D292="Pressio.",
IF($E292=3,(PI()*EO$12^2)/4*(EK292*$W292*1000)/($H292*$B$5),(PI()*EO$12^2)/4*(EK292*$W292*1000)/($G292*$B$5)),
IF($D292="Pénétro.",
IF($E292=4,(PI()*EO$12^2)/4*(EK292*$W292*1000)/($H292*$B$5),(PI()*EO$12^2)/4*(EK292*$W292*1000)/($G292*$B$5))))))/10</f>
        <v>#N/A</v>
      </c>
      <c r="EP292" s="102" t="e">
        <f>(VLOOKUP($B$3,'Coeff EC7'!$T$39:$X$59,2,0)*EN292+VLOOKUP($B$3,'Coeff EC7'!$T$65:$X$85,2,0)*Model0.1C!EO292)/1.1</f>
        <v>#N/A</v>
      </c>
      <c r="EQ292" s="102" t="e">
        <f>(VLOOKUP($B$3,'Coeff EC7'!$T$39:$X$59,3,0)*EN292+VLOOKUP($B$3,'Coeff EC7'!$T$65:$X$85,3,0)*Model0.1C!EO292)/0.9</f>
        <v>#N/A</v>
      </c>
      <c r="ER292" s="102" t="e">
        <f t="shared" si="494"/>
        <v>#N/A</v>
      </c>
      <c r="ES292" s="102" t="e">
        <f t="shared" si="495"/>
        <v>#N/A</v>
      </c>
      <c r="ET292" s="414" t="e">
        <f>IF(ET291=0,0,IF(AND(EP292&gt;charge_ELS_quasi,EQ292&gt;Charge_ELS_freq,ER292&gt;charge_ELU,ES292&gt;charge_ELA,$B292&gt;NDC!$H$22-0.1+MIN(3*$ET$12,1.5)),0,1))</f>
        <v>#N/A</v>
      </c>
      <c r="EU292" s="86" t="b">
        <f t="shared" si="463"/>
        <v>0</v>
      </c>
      <c r="EV292" s="86">
        <f t="shared" si="464"/>
        <v>0.61</v>
      </c>
      <c r="EW292" s="86">
        <f t="shared" si="465"/>
        <v>0.61</v>
      </c>
      <c r="EX292" s="30" t="e">
        <f t="shared" ca="1" si="496"/>
        <v>#DIV/0!</v>
      </c>
      <c r="EY292" s="85" t="e">
        <f ca="1">IF(EE292&lt;=Hypothèses!$V$7,Hypothèses!$W$7,IF(EE292&lt;=Hypothèses!$V$8,Hypothèses!$W$8,IF(EE292&lt;=Hypothèses!$V$9,Hypothèses!$W$9,IF(EE292&lt;=Hypothèses!$V$10,Hypothèses!$W$10,IF(EE292&lt;=Hypothèses!$V$11,Hypothèses!$W$11,IF(EE292&lt;=Hypothèses!$V$12,Hypothèses!$W$12,IF(EE292&lt;=Hypothèses!$V$13,Hypothèses!$W$13,IF(EE292&lt;=Hypothèses!$V$14,Hypothèses!$W$14,IF(EE292&lt;=Hypothèses!$V$15,Hypothèses!$W$15,IF(EE292&lt;=Hypothèses!$V$16,Hypothèses!$W$16,IF(EE292&lt;=Hypothèses!$V$17,Hypothèses!$W$17,IF(EE292&lt;=Hypothèses!$V$18,Hypothèses!$W$18,""))))))))))))</f>
        <v>#DIV/0!</v>
      </c>
      <c r="EZ292" s="87" t="e">
        <f t="shared" ca="1" si="523"/>
        <v>#DIV/0!</v>
      </c>
      <c r="FA292" s="88" t="e">
        <f ca="1">IF(EE292&lt;=Hypothèses!$V$7,Hypothèses!$X$7,IF(EE292&lt;=Hypothèses!$V$8,Hypothèses!$X$8,IF(EE292&lt;=Hypothèses!$V$9,Hypothèses!$X$9,IF(EE292&lt;=Hypothèses!$V$10,Hypothèses!$X$10,IF(EE292&lt;=Hypothèses!$V$11,Hypothèses!$X$11,IF(EE292&lt;=Hypothèses!$V$12,Hypothèses!$X$12,IF(EE292&lt;=Hypothèses!$V$13,Hypothèses!$X$13,IF(EE292&lt;=Hypothèses!$V$14,Hypothèses!$X$14,IF(EE292&lt;=Hypothèses!$V$15,Hypothèses!$X$15,IF(EE292&lt;=Hypothèses!$V$16,Hypothèses!$X$16,IF(EE292&lt;=Hypothèses!$U$17,Hypothèses!$W$17,IF(EE292&lt;=Hypothèses!$U$18,Hypothèses!$W$18,""))))))))))))</f>
        <v>#DIV/0!</v>
      </c>
      <c r="FB292" s="95" t="e">
        <f t="shared" ca="1" si="497"/>
        <v>#DIV/0!</v>
      </c>
      <c r="FC292" s="101" t="e">
        <f t="shared" si="530"/>
        <v>#N/A</v>
      </c>
      <c r="FD292" s="91" t="e">
        <f t="shared" si="466"/>
        <v>#N/A</v>
      </c>
      <c r="FE292" s="30" t="e">
        <f t="shared" si="514"/>
        <v>#N/A</v>
      </c>
      <c r="FF292" s="30" t="e">
        <f t="shared" si="515"/>
        <v>#N/A</v>
      </c>
      <c r="FG292" s="31" t="e">
        <f>IF(OR(Hypothèses!$B$4=17,Hypothèses!$B$4=18,Hypothèses!$B$4=19,Hypothèses!$B$4=20),
IF($D292="Pressio.",
IF(OR($E292=3,$E292=1,$E292=4),FF292,FE292),
IF($D292="Pénétro.",
IF(OR($E292=3,$E292=1,$E292=4),FF292,FE292))),IF($D292="Pressio.",
IF($E292=3,FF292,FE292),
IF($D292="Pénétro.",
IF($E292=4,FF292,FE292))))</f>
        <v>#N/A</v>
      </c>
      <c r="FH292" s="31" t="e">
        <f>(IF(OR(Hypothèses!$B$4=17,Hypothèses!$B$4=18,Hypothèses!$B$4=19,Hypothèses!$B$4=20),
IF($D292="Pressio.",
IF(OR($E292=3,$E292=1,$E292=4),(PI()*FH$12^2)/4*(FD292*$W292*1000)/($H292*$B$5),(PI()*FH$12^2)/4*(FD292*$W292*1000)/($G292*$B$5)),
IF($D292="Pénétro.",
IF(OR($E292=4,$E292=1,$E292=5),(PI()*FH$12^2)/4*(FD292*$W292*1000)/($H292*$B$5),(PI()*FH$12^2)/4*(FD292*$W292*1000)/($G292*$B$5)))),
IF($D292="Pressio.",
IF($E292=3,(PI()*FH$12^2)/4*(FD292*$W292*1000)/($H292*$B$5),(PI()*FH$12^2)/4*(FD292*$W292*1000)/($G292*$B$5)),
IF($D292="Pénétro.",
IF($E292=4,(PI()*FH$12^2)/4*(FD292*$W292*1000)/($H292*$B$5),(PI()*FH$12^2)/4*(FD292*$W292*1000)/($G292*$B$5))))))/10</f>
        <v>#N/A</v>
      </c>
      <c r="FI292" s="102" t="e">
        <f>(VLOOKUP($B$3,'Coeff EC7'!$T$39:$X$59,2,0)*FG292+VLOOKUP($B$3,'Coeff EC7'!$T$65:$X$85,2,0)*Model0.1C!FH292)/1.1</f>
        <v>#N/A</v>
      </c>
      <c r="FJ292" s="102" t="e">
        <f>(VLOOKUP($B$3,'Coeff EC7'!$T$39:$X$59,3,0)*FG292+VLOOKUP($B$3,'Coeff EC7'!$T$65:$X$85,3,0)*Model0.1C!FH292)/0.9</f>
        <v>#N/A</v>
      </c>
      <c r="FK292" s="102" t="e">
        <f t="shared" si="498"/>
        <v>#N/A</v>
      </c>
      <c r="FL292" s="102" t="e">
        <f t="shared" si="499"/>
        <v>#N/A</v>
      </c>
      <c r="FM292" s="414" t="e">
        <f>IF(FM291=0,0,IF(AND(FI292&gt;charge_ELS_quasi,FJ292&gt;Charge_ELS_freq,FK292&gt;charge_ELU,FL292&gt;charge_ELA,$B292&gt;NDC!$H$22-0.1+MIN(3*$FM$12,1.5)),0,1))</f>
        <v>#N/A</v>
      </c>
    </row>
    <row r="293" spans="1:169">
      <c r="A293" s="96">
        <f t="shared" si="467"/>
        <v>72.000000000001592</v>
      </c>
      <c r="B293" s="97">
        <v>28</v>
      </c>
      <c r="C293" s="81">
        <f>IF(B293&lt;=Hypothèses!$C$7,Hypothèses!$A$7,IF(B293&lt;=Hypothèses!$C$8,Hypothèses!$A$8,IF(B293&lt;=Hypothèses!$C$9,Hypothèses!$A$9,IF(B293&lt;=Hypothèses!$C$10,Hypothèses!$A$10,IF(B293&lt;=Hypothèses!$C$11,Hypothèses!$A$11,IF(B293&lt;=Hypothèses!$C$12,Hypothèses!$A$12,IF(B293&lt;=Hypothèses!$C$13,Hypothèses!$A$13,IF(B293&lt;=Hypothèses!$C$14,Hypothèses!$A$14,IF(B293&lt;=Hypothèses!$C$15,Hypothèses!$A$15,IF(B293&lt;=Hypothèses!$C$16,Hypothèses!$A$16,IF(B293&lt;=Hypothèses!$C$17,Hypothèses!$A$17,IF(B293&lt;=Hypothèses!$C$18,Hypothèses!$A$18,C292))))))))))))</f>
        <v>11</v>
      </c>
      <c r="D293" s="82" t="str">
        <f>IF(B293&lt;=Hypothèses!$C$7,Hypothèses!$R$7,IF(B293&lt;=Hypothèses!$C$8,Hypothèses!$R$8,IF(B293&lt;=Hypothèses!$C$9,Hypothèses!$R$9,IF(B293&lt;=Hypothèses!$C$10,Hypothèses!$R$10,IF(B293&lt;=Hypothèses!$C$11,Hypothèses!$R$11,IF(B293&lt;=Hypothèses!$C$12,Hypothèses!$R$12,IF(B293&lt;=Hypothèses!$C$13,Hypothèses!$R$13,IF(B293&lt;=Hypothèses!$C$14,Hypothèses!$R$14,IF(B293&lt;=Hypothèses!$C$15,Hypothèses!$R$15,IF(B293&lt;=Hypothèses!$C$16,Hypothèses!$R$16,IF(B293&lt;=Hypothèses!$C$17,Hypothèses!$R$17,IF(B293&lt;=Hypothèses!$C$18,Hypothèses!$R$18,D292))))))))))))</f>
        <v>Pressio.</v>
      </c>
      <c r="E293" s="82" t="e">
        <f>IF(B293&lt;=Hypothèses!$C$7,Hypothèses!$G$7,IF(B293&lt;=Hypothèses!$C$8,Hypothèses!$G$8,IF(B293&lt;=Hypothèses!$C$9,Hypothèses!$G$9,IF(B293&lt;=Hypothèses!$C$10,Hypothèses!$G$10,IF(B293&lt;=Hypothèses!$C$11,Hypothèses!$G$11,IF(B293&lt;=Hypothèses!$C$12,Hypothèses!$G$12,IF(B293&lt;=Hypothèses!$C$13,Hypothèses!$G$13,IF(B293&lt;=Hypothèses!$C$14,Hypothèses!$G$14,IF(B293&lt;=Hypothèses!$C$15,Hypothèses!$G$15,IF(B293&lt;=Hypothèses!$C$16,Hypothèses!$G$16,IF(B293&lt;=Hypothèses!$C$17,Hypothèses!$G$17,IF(B293&lt;=Hypothèses!$C$18,Hypothèses!$G$18,E292))))))))))))</f>
        <v>#N/A</v>
      </c>
      <c r="F293" s="82" t="str">
        <f>IF(B293&lt;=Hypothèses!$C$7,Hypothèses!$F$7,IF(B293&lt;=Hypothèses!$C$8,Hypothèses!$F$8,IF(B293&lt;=Hypothèses!$C$9,Hypothèses!$F$9,IF(B293&lt;=Hypothèses!$C$10,Hypothèses!$F$10,IF(B293&lt;=Hypothèses!$C$11,Hypothèses!$F$11,IF(B293&lt;=Hypothèses!$C$12,Hypothèses!$F$12,IF(B293&lt;=Hypothèses!$C$13,Hypothèses!$F$13,IF(B293&lt;=Hypothèses!$C$14,Hypothèses!$F$14,IF(B293&lt;=Hypothèses!$C$15,Hypothèses!$F$15,IF(B293&lt;=Hypothèses!$C$16,Hypothèses!$F$16,IF(B293&lt;=Hypothèses!$C$17,Hypothèses!$F$17,IF(B293&lt;=Hypothèses!$C$18,Hypothèses!$F$18,F292))))))))))))</f>
        <v/>
      </c>
      <c r="G293" s="91">
        <f t="array" ref="G293">INDEX('Coeff EC7'!$U$7:$X$27,
MATCH(Model0.1C!$B$3,'Coeff EC7'!$T$7:$T$27,0),
MATCH(Model0.1C!$D293&amp;Model0.1C!$B$4,
'Coeff EC7'!$U$6:$X$6&amp;
'Coeff EC7'!$U$5:$X$5,0))</f>
        <v>1.1499999999999999</v>
      </c>
      <c r="H293" s="91">
        <f t="array" ref="H293">INDEX('Coeff EC7'!$Y$7:$AB$27,
MATCH(Model0.1C!$B$3,'Coeff EC7'!$T$7:$T$27,0),
MATCH(Model0.1C!$D293&amp;Model0.1C!$B$4,
'Coeff EC7'!$Y$6:$AB$6&amp;
'Coeff EC7'!$Y$5:$AB$5,0))</f>
        <v>1.4</v>
      </c>
      <c r="I293" s="83" t="e">
        <f>IF(B293&lt;=Hypothèses!$C$7,Hypothèses!$P$7,IF(B293&lt;=Hypothèses!$C$8,Hypothèses!$P$8,IF(B293&lt;=Hypothèses!$C$9,Hypothèses!$P$9,IF(B293&lt;=Hypothèses!$C$10,Hypothèses!$P$10,IF(B293&lt;=Hypothèses!$C$11,Hypothèses!$P$11,IF(B293&lt;=Hypothèses!$C$12,Hypothèses!$P$12,IF(B293&lt;=Hypothèses!$C$13,Hypothèses!$P$13,IF(B293&lt;=Hypothèses!$C$14,Hypothèses!$P$14,IF(B293&lt;=Hypothèses!$C$15,Hypothèses!$P$15,IF(B293&lt;=Hypothèses!$C$16,Hypothèses!$P$16,IF(B293&lt;=Hypothèses!$C$17,Hypothèses!$P$17,IF(B293&lt;=Hypothèses!$C$18,Hypothèses!$P$18,I292))))))))))))</f>
        <v>#N/A</v>
      </c>
      <c r="J293" s="91" t="e">
        <f t="array" ref="J293">INDEX('Coeff EC7'!$D$33:$Q$33,1,MATCH(D293&amp;E293,'Coeff EC7'!$D$31:$Q$31&amp;'Coeff EC7'!$D$32:$Q$32,0))</f>
        <v>#N/A</v>
      </c>
      <c r="K293" s="91" t="e">
        <f t="array" ref="K293">INDEX('Coeff EC7'!$D$34:$Q$34,1,MATCH(D293&amp;E293,'Coeff EC7'!$D$31:$Q$31&amp;'Coeff EC7'!$D$32:$Q$32,0))</f>
        <v>#N/A</v>
      </c>
      <c r="L293" s="91" t="e">
        <f t="array" ref="L293">INDEX('Coeff EC7'!$D$35:$Q$35,1,MATCH(D293&amp;E293,'Coeff EC7'!$D$31:$Q$31&amp;'Coeff EC7'!$D$32:$Q$32,0))</f>
        <v>#N/A</v>
      </c>
      <c r="M293" s="98" t="e">
        <f t="shared" si="431"/>
        <v>#N/A</v>
      </c>
      <c r="N293" s="99" t="e">
        <f t="array" ref="N293">INDEX('Coeff EC7'!$D$7:$Q$27,MATCH($B$3,'Coeff EC7'!$C$7:$C$27,0),MATCH(D293&amp;E293,'Coeff EC7'!$D$5:$Q$5&amp;'Coeff EC7'!$D$6:$Q$6,0))</f>
        <v>#N/A</v>
      </c>
      <c r="O293" s="99" t="e">
        <f t="array" ref="O293">INDEX('Coeff EC7'!$D$41:$Q$61,MATCH($B$3,'Coeff EC7'!$C$41:$C$61,0),MATCH(D293&amp;E293,'Coeff EC7'!$D$39:$Q$39&amp;'Coeff EC7'!$D$40:$Q$40,0))</f>
        <v>#N/A</v>
      </c>
      <c r="P293" s="30" t="e">
        <f t="shared" si="468"/>
        <v>#N/A</v>
      </c>
      <c r="Q293" s="100" t="e">
        <f t="shared" si="433"/>
        <v>#N/A</v>
      </c>
      <c r="R293" s="86" t="b">
        <f t="shared" si="434"/>
        <v>0</v>
      </c>
      <c r="S293" s="86">
        <f t="shared" si="432"/>
        <v>0.5</v>
      </c>
      <c r="T293" s="86">
        <f t="shared" si="435"/>
        <v>0.5</v>
      </c>
      <c r="U293" s="30" t="e">
        <f t="shared" ca="1" si="469"/>
        <v>#DIV/0!</v>
      </c>
      <c r="V293" s="85" t="str">
        <f>IF(B293&lt;=Hypothèses!$V$7,Hypothèses!$W$7,IF(B293&lt;=Hypothèses!$V$8,Hypothèses!$W$8,IF(B293&lt;=Hypothèses!$V$9,Hypothèses!$W$9,IF(B293&lt;=Hypothèses!$V$10,Hypothèses!$W$10,IF(B293&lt;=Hypothèses!$V$11,Hypothèses!$W$11,IF(B293&lt;=Hypothèses!$V$12,Hypothèses!$W$12,IF(B293&lt;=Hypothèses!$V$13,Hypothèses!$W$13,IF(B293&lt;=Hypothèses!$V$14,Hypothèses!$W$14,IF(B293&lt;=Hypothèses!$V$15,Hypothèses!$W$15,IF(B293&lt;=Hypothèses!$V$16,Hypothèses!$W$16,IF(B293&lt;=Hypothèses!$V$17,Hypothèses!$W$17,IF(B293&lt;=Hypothèses!$V$18,Hypothèses!$W$18,""))))))))))))</f>
        <v/>
      </c>
      <c r="W293" s="87" t="e">
        <f t="shared" ca="1" si="516"/>
        <v>#DIV/0!</v>
      </c>
      <c r="X293" s="88" t="str">
        <f>IF(B293&lt;=Hypothèses!$V$7,Hypothèses!$X$7,IF(B293&lt;=Hypothèses!$V$8,Hypothèses!$X$8,IF(B293&lt;=Hypothèses!$V$9,Hypothèses!$X$9,IF(B293&lt;=Hypothèses!$V$10,Hypothèses!$X$10,IF(B293&lt;=Hypothèses!$V$11,Hypothèses!$X$11,IF(B293&lt;=Hypothèses!$V$12,Hypothèses!$X$12,IF(B293&lt;=Hypothèses!$V$13,Hypothèses!$X$13,IF(B293&lt;=Hypothèses!$V$14,Hypothèses!$X$14,IF(B293&lt;=Hypothèses!$V$15,Hypothèses!$X$15,IF(B293&lt;=Hypothèses!$V$16,Hypothèses!$X$16,IF(B293&lt;=Hypothèses!$U$17,Hypothèses!$W$17,IF(B293&lt;=Hypothèses!$U$18,Hypothèses!$W$18,""))))))))))))</f>
        <v/>
      </c>
      <c r="Y293" s="95" t="e">
        <f t="shared" ca="1" si="436"/>
        <v>#DIV/0!</v>
      </c>
      <c r="Z293" s="101" t="e">
        <f t="shared" si="437"/>
        <v>#N/A</v>
      </c>
      <c r="AA293" s="91" t="e">
        <f t="shared" si="438"/>
        <v>#N/A</v>
      </c>
      <c r="AB293" s="30" t="e">
        <f t="shared" si="500"/>
        <v>#N/A</v>
      </c>
      <c r="AC293" s="30" t="e">
        <f t="shared" si="501"/>
        <v>#N/A</v>
      </c>
      <c r="AD293" s="31" t="e">
        <f>IF(OR(Hypothèses!$B$4=17,Hypothèses!$B$4=18,Hypothèses!$B$4=19,Hypothèses!$B$4=20),
IF($D293="Pressio.",
IF(OR($E293=3,$E293=1,$E293=4),AC293,AB293),
IF($D293="Pénétro.",
IF(OR($E293=3,$E293=1,$E293=4),AC293,AB293))),IF($D293="Pressio.",
IF($E293=3,AC293,AB293),
IF($D293="Pénétro.",
IF($E293=4,AC293,AB293))))</f>
        <v>#N/A</v>
      </c>
      <c r="AE293" s="31" t="e">
        <f>(IF(OR(Hypothèses!$B$4=17,Hypothèses!$B$4=18,Hypothèses!$B$4=19,Hypothèses!$B$4=20),
IF($D293="Pressio.",
IF(OR($E293=3,$E293=1,$E293=4),(PI()*AE$12^2)/4*(AA293*$W293*1000)/($H293*$B$5),(PI()*AE$12^2)/4*(AA293*$W293*1000)/($G293*$B$5)),
IF($D293="Pénétro.",
IF(OR($E293=4,$E293=1,$E293=5),(PI()*AE$12^2)/4*(AA293*$W293*1000)/($H293*$B$5),(PI()*AE$12^2)/4*(AA293*$W293*1000)/($G293*$B$5)))),
IF($D293="Pressio.",
IF($E293=3,(PI()*AE$12^2)/4*(AA293*$W293*1000)/($H293*$B$5),(PI()*AE$12^2)/4*(AA293*$W293*1000)/($G293*$B$5)),
IF($D293="Pénétro.",
IF($E293=4,(PI()*AE$12^2)/4*(AA293*$W293*1000)/($H293*$B$5),(PI()*AE$12^2)/4*(AA293*$W293*1000)/($G293*$B$5))))))/10</f>
        <v>#N/A</v>
      </c>
      <c r="AF293" s="102" t="e">
        <f>(VLOOKUP($B$3,'Coeff EC7'!$T$39:$X$59,2,0)*AD293+VLOOKUP($B$3,'Coeff EC7'!$T$65:$X$85,2,0)*Model0.1C!AE293)/1.1</f>
        <v>#N/A</v>
      </c>
      <c r="AG293" s="102" t="e">
        <f>(VLOOKUP($B$3,'Coeff EC7'!$T$39:$X$59,3,0)*AD293+VLOOKUP($B$3,'Coeff EC7'!$T$65:$X$85,3,0)*Model0.1C!AE293)/0.9</f>
        <v>#N/A</v>
      </c>
      <c r="AH293" s="102" t="e">
        <f t="shared" si="439"/>
        <v>#N/A</v>
      </c>
      <c r="AI293" s="102" t="e">
        <f t="shared" si="440"/>
        <v>#N/A</v>
      </c>
      <c r="AJ293" s="414" t="e">
        <f>IF(AJ292=0,0,IF(AND(AF293&gt;charge_ELS_quasi,AG293&gt;Charge_ELS_freq,AH293&gt;charge_ELU,AI293&gt;charge_ELA,$B293&gt;NDC!$H$22-0.1+MIN(3*$AJ$12,1.5)),0,1))</f>
        <v>#N/A</v>
      </c>
      <c r="AK293" s="86" t="b">
        <f t="shared" si="441"/>
        <v>0</v>
      </c>
      <c r="AL293" s="86">
        <f t="shared" si="470"/>
        <v>0.5</v>
      </c>
      <c r="AM293" s="86">
        <f t="shared" si="442"/>
        <v>0.5</v>
      </c>
      <c r="AN293" s="30" t="e">
        <f t="shared" ca="1" si="471"/>
        <v>#DIV/0!</v>
      </c>
      <c r="AO293" s="85" t="e">
        <f ca="1">IF(U293&lt;=Hypothèses!$V$7,Hypothèses!$W$7,IF(U293&lt;=Hypothèses!$V$8,Hypothèses!$W$8,IF(U293&lt;=Hypothèses!$V$9,Hypothèses!$W$9,IF(U293&lt;=Hypothèses!$V$10,Hypothèses!$W$10,IF(U293&lt;=Hypothèses!$V$11,Hypothèses!$W$11,IF(U293&lt;=Hypothèses!$V$12,Hypothèses!$W$12,IF(U293&lt;=Hypothèses!$V$13,Hypothèses!$W$13,IF(U293&lt;=Hypothèses!$V$14,Hypothèses!$W$14,IF(U293&lt;=Hypothèses!$V$15,Hypothèses!$W$15,IF(U293&lt;=Hypothèses!$V$16,Hypothèses!$W$16,IF(U293&lt;=Hypothèses!$V$17,Hypothèses!$W$17,IF(U293&lt;=Hypothèses!$V$18,Hypothèses!$W$18,""))))))))))))</f>
        <v>#DIV/0!</v>
      </c>
      <c r="AP293" s="87" t="e">
        <f t="shared" ca="1" si="517"/>
        <v>#DIV/0!</v>
      </c>
      <c r="AQ293" s="88" t="e">
        <f ca="1">IF(U293&lt;=Hypothèses!$V$7,Hypothèses!$X$7,IF(U293&lt;=Hypothèses!$V$8,Hypothèses!$X$8,IF(U293&lt;=Hypothèses!$V$9,Hypothèses!$X$9,IF(U293&lt;=Hypothèses!$V$10,Hypothèses!$X$10,IF(U293&lt;=Hypothèses!$V$11,Hypothèses!$X$11,IF(U293&lt;=Hypothèses!$V$12,Hypothèses!$X$12,IF(U293&lt;=Hypothèses!$V$13,Hypothèses!$X$13,IF(U293&lt;=Hypothèses!$V$14,Hypothèses!$X$14,IF(U293&lt;=Hypothèses!$V$15,Hypothèses!$X$15,IF(U293&lt;=Hypothèses!$V$16,Hypothèses!$X$16,IF(U293&lt;=Hypothèses!$U$17,Hypothèses!$W$17,IF(U293&lt;=Hypothèses!$U$18,Hypothèses!$W$18,""))))))))))))</f>
        <v>#DIV/0!</v>
      </c>
      <c r="AR293" s="95" t="e">
        <f t="shared" ca="1" si="472"/>
        <v>#DIV/0!</v>
      </c>
      <c r="AS293" s="101" t="e">
        <f t="shared" si="524"/>
        <v>#N/A</v>
      </c>
      <c r="AT293" s="91" t="e">
        <f t="shared" si="443"/>
        <v>#N/A</v>
      </c>
      <c r="AU293" s="30" t="e">
        <f t="shared" si="502"/>
        <v>#N/A</v>
      </c>
      <c r="AV293" s="30" t="e">
        <f t="shared" si="503"/>
        <v>#N/A</v>
      </c>
      <c r="AW293" s="31" t="e">
        <f>IF(OR(Hypothèses!$B$4=17,Hypothèses!$B$4=18,Hypothèses!$B$4=19,Hypothèses!$B$4=20),
IF($D293="Pressio.",
IF(OR($E293=3,$E293=1,$E293=4),AV293,AU293),
IF($D293="Pénétro.",
IF(OR($E293=3,$E293=1,$E293=4),AV293,AU293))),IF($D293="Pressio.",
IF($E293=3,AV293,AU293),
IF($D293="Pénétro.",
IF($E293=4,AV293,AU293))))</f>
        <v>#N/A</v>
      </c>
      <c r="AX293" s="31" t="e">
        <f>(IF(OR(Hypothèses!$B$4=17,Hypothèses!$B$4=18,Hypothèses!$B$4=19,Hypothèses!$B$4=20),
IF($D293="Pressio.",
IF(OR($E293=3,$E293=1,$E293=4),(PI()*AX$12^2)/4*(AT293*$W293*1000)/($H293*$B$5),(PI()*AX$12^2)/4*(AT293*$W293*1000)/($G293*$B$5)),
IF($D293="Pénétro.",
IF(OR($E293=4,$E293=1,$E293=5),(PI()*AX$12^2)/4*(AT293*$W293*1000)/($H293*$B$5),(PI()*AX$12^2)/4*(AT293*$W293*1000)/($G293*$B$5)))),
IF($D293="Pressio.",
IF($E293=3,(PI()*AX$12^2)/4*(AT293*$W293*1000)/($H293*$B$5),(PI()*AX$12^2)/4*(AT293*$W293*1000)/($G293*$B$5)),
IF($D293="Pénétro.",
IF($E293=4,(PI()*AX$12^2)/4*(AT293*$W293*1000)/($H293*$B$5),(PI()*AX$12^2)/4*(AT293*$W293*1000)/($G293*$B$5))))))/10</f>
        <v>#N/A</v>
      </c>
      <c r="AY293" s="102" t="e">
        <f>(VLOOKUP($B$3,'Coeff EC7'!$T$39:$X$59,2,0)*AW293+VLOOKUP($B$3,'Coeff EC7'!$T$65:$X$85,2,0)*Model0.1C!AX293)/1.1</f>
        <v>#N/A</v>
      </c>
      <c r="AZ293" s="102" t="e">
        <f>(VLOOKUP($B$3,'Coeff EC7'!$T$39:$X$59,3,0)*AW293+VLOOKUP($B$3,'Coeff EC7'!$T$65:$X$85,3,0)*Model0.1C!AX293)/0.9</f>
        <v>#N/A</v>
      </c>
      <c r="BA293" s="102" t="e">
        <f t="shared" si="473"/>
        <v>#N/A</v>
      </c>
      <c r="BB293" s="102" t="e">
        <f t="shared" si="474"/>
        <v>#N/A</v>
      </c>
      <c r="BC293" s="414" t="e">
        <f>IF(BC292=0,0,IF(AND(AY293&gt;charge_ELS_quasi,AZ293&gt;Charge_ELS_freq,BA293&gt;charge_ELU,BB293&gt;charge_ELA,$B293&gt;NDC!$H$22-0.1+MIN(3*$BC$12,1.5)),0,1))</f>
        <v>#N/A</v>
      </c>
      <c r="BD293" s="86" t="b">
        <f t="shared" si="444"/>
        <v>0</v>
      </c>
      <c r="BE293" s="86">
        <f t="shared" si="475"/>
        <v>0.5</v>
      </c>
      <c r="BF293" s="86">
        <f t="shared" si="445"/>
        <v>0.5</v>
      </c>
      <c r="BG293" s="30" t="e">
        <f t="shared" ca="1" si="476"/>
        <v>#DIV/0!</v>
      </c>
      <c r="BH293" s="85" t="e">
        <f ca="1">IF(AN293&lt;=Hypothèses!$V$7,Hypothèses!$W$7,IF(AN293&lt;=Hypothèses!$V$8,Hypothèses!$W$8,IF(AN293&lt;=Hypothèses!$V$9,Hypothèses!$W$9,IF(AN293&lt;=Hypothèses!$V$10,Hypothèses!$W$10,IF(AN293&lt;=Hypothèses!$V$11,Hypothèses!$W$11,IF(AN293&lt;=Hypothèses!$V$12,Hypothèses!$W$12,IF(AN293&lt;=Hypothèses!$V$13,Hypothèses!$W$13,IF(AN293&lt;=Hypothèses!$V$14,Hypothèses!$W$14,IF(AN293&lt;=Hypothèses!$V$15,Hypothèses!$W$15,IF(AN293&lt;=Hypothèses!$V$16,Hypothèses!$W$16,IF(AN293&lt;=Hypothèses!$V$17,Hypothèses!$W$17,IF(AN293&lt;=Hypothèses!$V$18,Hypothèses!$W$18,""))))))))))))</f>
        <v>#DIV/0!</v>
      </c>
      <c r="BI293" s="87" t="e">
        <f t="shared" ca="1" si="518"/>
        <v>#DIV/0!</v>
      </c>
      <c r="BJ293" s="88" t="e">
        <f ca="1">IF(AN293&lt;=Hypothèses!$V$7,Hypothèses!$X$7,IF(AN293&lt;=Hypothèses!$V$8,Hypothèses!$X$8,IF(AN293&lt;=Hypothèses!$V$9,Hypothèses!$X$9,IF(AN293&lt;=Hypothèses!$V$10,Hypothèses!$X$10,IF(AN293&lt;=Hypothèses!$V$11,Hypothèses!$X$11,IF(AN293&lt;=Hypothèses!$V$12,Hypothèses!$X$12,IF(AN293&lt;=Hypothèses!$V$13,Hypothèses!$X$13,IF(AN293&lt;=Hypothèses!$V$14,Hypothèses!$X$14,IF(AN293&lt;=Hypothèses!$V$15,Hypothèses!$X$15,IF(AN293&lt;=Hypothèses!$V$16,Hypothèses!$X$16,IF(AN293&lt;=Hypothèses!$U$17,Hypothèses!$W$17,IF(AN293&lt;=Hypothèses!$U$18,Hypothèses!$W$18,""))))))))))))</f>
        <v>#DIV/0!</v>
      </c>
      <c r="BK293" s="95" t="e">
        <f t="shared" ca="1" si="477"/>
        <v>#DIV/0!</v>
      </c>
      <c r="BL293" s="101" t="e">
        <f t="shared" si="525"/>
        <v>#N/A</v>
      </c>
      <c r="BM293" s="91" t="e">
        <f t="shared" si="446"/>
        <v>#N/A</v>
      </c>
      <c r="BN293" s="30" t="e">
        <f t="shared" si="504"/>
        <v>#N/A</v>
      </c>
      <c r="BO293" s="30" t="e">
        <f t="shared" si="505"/>
        <v>#N/A</v>
      </c>
      <c r="BP293" s="31" t="e">
        <f>IF(OR(Hypothèses!$B$4=17,Hypothèses!$B$4=18,Hypothèses!$B$4=19,Hypothèses!$B$4=20),
IF($D293="Pressio.",
IF(OR($E293=3,$E293=1,$E293=4),BO293,BN293),
IF($D293="Pénétro.",
IF(OR($E293=3,$E293=1,$E293=4),BO293,BN293))),IF($D293="Pressio.",
IF($E293=3,BO293,BN293),
IF($D293="Pénétro.",
IF($E293=4,BO293,BN293))))</f>
        <v>#N/A</v>
      </c>
      <c r="BQ293" s="31" t="e">
        <f>(IF(OR(Hypothèses!$B$4=17,Hypothèses!$B$4=18,Hypothèses!$B$4=19,Hypothèses!$B$4=20),
IF($D293="Pressio.",
IF(OR($E293=3,$E293=1,$E293=4),(PI()*BQ$12^2)/4*(BM293*$W293*1000)/($H293*$B$5),(PI()*BQ$12^2)/4*(BM293*$W293*1000)/($G293*$B$5)),
IF($D293="Pénétro.",
IF(OR($E293=4,$E293=1,$E293=5),(PI()*BQ$12^2)/4*(BM293*$W293*1000)/($H293*$B$5),(PI()*BQ$12^2)/4*(BM293*$W293*1000)/($G293*$B$5)))),
IF($D293="Pressio.",
IF($E293=3,(PI()*BQ$12^2)/4*(BM293*$W293*1000)/($H293*$B$5),(PI()*BQ$12^2)/4*(BM293*$W293*1000)/($G293*$B$5)),
IF($D293="Pénétro.",
IF($E293=4,(PI()*BQ$12^2)/4*(BM293*$W293*1000)/($H293*$B$5),(PI()*BQ$12^2)/4*(BM293*$W293*1000)/($G293*$B$5))))))/10</f>
        <v>#N/A</v>
      </c>
      <c r="BR293" s="102" t="e">
        <f>(VLOOKUP($B$3,'Coeff EC7'!$T$39:$X$59,2,0)*BP293+VLOOKUP($B$3,'Coeff EC7'!$T$65:$X$85,2,0)*Model0.1C!BQ293)/1.1</f>
        <v>#N/A</v>
      </c>
      <c r="BS293" s="102" t="e">
        <f>(VLOOKUP($B$3,'Coeff EC7'!$T$39:$X$59,3,0)*BP293+VLOOKUP($B$3,'Coeff EC7'!$T$65:$X$85,3,0)*Model0.1C!BQ293)/0.9</f>
        <v>#N/A</v>
      </c>
      <c r="BT293" s="102" t="e">
        <f t="shared" si="478"/>
        <v>#N/A</v>
      </c>
      <c r="BU293" s="102" t="e">
        <f t="shared" si="479"/>
        <v>#N/A</v>
      </c>
      <c r="BV293" s="414" t="e">
        <f>IF(BV292=0,0,IF(AND(BR293&gt;charge_ELS_quasi,BS293&gt;Charge_ELS_freq,BT293&gt;charge_ELU,BU293&gt;charge_ELA,$B293&gt;NDC!$H$22-0.1+MIN(3*$BV$12,1.5)),0,1))</f>
        <v>#N/A</v>
      </c>
      <c r="BW293" s="86" t="b">
        <f t="shared" si="447"/>
        <v>0</v>
      </c>
      <c r="BX293" s="86">
        <f t="shared" si="448"/>
        <v>0.5</v>
      </c>
      <c r="BY293" s="86">
        <f t="shared" si="449"/>
        <v>0.5</v>
      </c>
      <c r="BZ293" s="30" t="e">
        <f t="shared" ca="1" si="480"/>
        <v>#DIV/0!</v>
      </c>
      <c r="CA293" s="85" t="e">
        <f ca="1">IF(BG293&lt;=Hypothèses!$V$7,Hypothèses!$W$7,IF(BG293&lt;=Hypothèses!$V$8,Hypothèses!$W$8,IF(BG293&lt;=Hypothèses!$V$9,Hypothèses!$W$9,IF(BG293&lt;=Hypothèses!$V$10,Hypothèses!$W$10,IF(BG293&lt;=Hypothèses!$V$11,Hypothèses!$W$11,IF(BG293&lt;=Hypothèses!$V$12,Hypothèses!$W$12,IF(BG293&lt;=Hypothèses!$V$13,Hypothèses!$W$13,IF(BG293&lt;=Hypothèses!$V$14,Hypothèses!$W$14,IF(BG293&lt;=Hypothèses!$V$15,Hypothèses!$W$15,IF(BG293&lt;=Hypothèses!$V$16,Hypothèses!$W$16,IF(BG293&lt;=Hypothèses!$V$17,Hypothèses!$W$17,IF(BG293&lt;=Hypothèses!$V$18,Hypothèses!$W$18,""))))))))))))</f>
        <v>#DIV/0!</v>
      </c>
      <c r="CB293" s="87" t="e">
        <f t="shared" ca="1" si="519"/>
        <v>#DIV/0!</v>
      </c>
      <c r="CC293" s="88" t="e">
        <f ca="1">IF(BG293&lt;=Hypothèses!$V$7,Hypothèses!$X$7,IF(BG293&lt;=Hypothèses!$V$8,Hypothèses!$X$8,IF(BG293&lt;=Hypothèses!$V$9,Hypothèses!$X$9,IF(BG293&lt;=Hypothèses!$V$10,Hypothèses!$X$10,IF(BG293&lt;=Hypothèses!$V$11,Hypothèses!$X$11,IF(BG293&lt;=Hypothèses!$V$12,Hypothèses!$X$12,IF(BG293&lt;=Hypothèses!$V$13,Hypothèses!$X$13,IF(BG293&lt;=Hypothèses!$V$14,Hypothèses!$X$14,IF(BG293&lt;=Hypothèses!$V$15,Hypothèses!$X$15,IF(BG293&lt;=Hypothèses!$V$16,Hypothèses!$X$16,IF(BG293&lt;=Hypothèses!$U$17,Hypothèses!$W$17,IF(BG293&lt;=Hypothèses!$U$18,Hypothèses!$W$18,""))))))))))))</f>
        <v>#DIV/0!</v>
      </c>
      <c r="CD293" s="95" t="e">
        <f t="shared" ca="1" si="481"/>
        <v>#DIV/0!</v>
      </c>
      <c r="CE293" s="101" t="e">
        <f t="shared" si="526"/>
        <v>#N/A</v>
      </c>
      <c r="CF293" s="91" t="e">
        <f t="shared" si="450"/>
        <v>#N/A</v>
      </c>
      <c r="CG293" s="30" t="e">
        <f t="shared" si="506"/>
        <v>#N/A</v>
      </c>
      <c r="CH293" s="30" t="e">
        <f t="shared" si="507"/>
        <v>#N/A</v>
      </c>
      <c r="CI293" s="31" t="e">
        <f>IF(OR(Hypothèses!$B$4=17,Hypothèses!$B$4=18,Hypothèses!$B$4=19,Hypothèses!$B$4=20),
IF($D293="Pressio.",
IF(OR($E293=3,$E293=1,$E293=4),CH293,CG293),
IF($D293="Pénétro.",
IF(OR($E293=3,$E293=1,$E293=4),CH293,CG293))),IF($D293="Pressio.",
IF($E293=3,CH293,CG293),
IF($D293="Pénétro.",
IF($E293=4,CH293,CG293))))</f>
        <v>#N/A</v>
      </c>
      <c r="CJ293" s="31" t="e">
        <f>(IF(OR(Hypothèses!$B$4=17,Hypothèses!$B$4=18,Hypothèses!$B$4=19,Hypothèses!$B$4=20),
IF($D293="Pressio.",
IF(OR($E293=3,$E293=1,$E293=4),(PI()*CJ$12^2)/4*(CF293*$W293*1000)/($H293*$B$5),(PI()*CJ$12^2)/4*(CF293*$W293*1000)/($G293*$B$5)),
IF($D293="Pénétro.",
IF(OR($E293=4,$E293=1,$E293=5),(PI()*CJ$12^2)/4*(CF293*$W293*1000)/($H293*$B$5),(PI()*CJ$12^2)/4*(CF293*$W293*1000)/($G293*$B$5)))),
IF($D293="Pressio.",
IF($E293=3,(PI()*CJ$12^2)/4*(CF293*$W293*1000)/($H293*$B$5),(PI()*CJ$12^2)/4*(CF293*$W293*1000)/($G293*$B$5)),
IF($D293="Pénétro.",
IF($E293=4,(PI()*CJ$12^2)/4*(CF293*$W293*1000)/($H293*$B$5),(PI()*CJ$12^2)/4*(CF293*$W293*1000)/($G293*$B$5))))))/10</f>
        <v>#N/A</v>
      </c>
      <c r="CK293" s="102" t="e">
        <f>(VLOOKUP($B$3,'Coeff EC7'!$T$39:$X$59,2,0)*CI293+VLOOKUP($B$3,'Coeff EC7'!$T$65:$X$85,2,0)*Model0.1C!CJ293)/1.1</f>
        <v>#N/A</v>
      </c>
      <c r="CL293" s="102" t="e">
        <f>(VLOOKUP($B$3,'Coeff EC7'!$T$39:$X$59,3,0)*CI293+VLOOKUP($B$3,'Coeff EC7'!$T$65:$X$85,3,0)*Model0.1C!CJ293)/0.9</f>
        <v>#N/A</v>
      </c>
      <c r="CM293" s="102" t="e">
        <f t="shared" si="482"/>
        <v>#N/A</v>
      </c>
      <c r="CN293" s="102" t="e">
        <f t="shared" si="483"/>
        <v>#N/A</v>
      </c>
      <c r="CO293" s="414" t="e">
        <f>IF(CO292=0,0,IF(AND(CK293&gt;charge_ELS_quasi,CL293&gt;Charge_ELS_freq,CM293&gt;charge_ELU,CN293&gt;charge_ELA,$B293&gt;NDC!$H$22-0.1+MIN(3*$CO$12,1.5)),0,1))</f>
        <v>#N/A</v>
      </c>
      <c r="CP293" s="86" t="b">
        <f t="shared" si="451"/>
        <v>0</v>
      </c>
      <c r="CQ293" s="86">
        <f t="shared" si="452"/>
        <v>0.5</v>
      </c>
      <c r="CR293" s="86">
        <f t="shared" si="453"/>
        <v>0.5</v>
      </c>
      <c r="CS293" s="30" t="e">
        <f t="shared" ca="1" si="484"/>
        <v>#DIV/0!</v>
      </c>
      <c r="CT293" s="85" t="e">
        <f ca="1">IF(BZ293&lt;=Hypothèses!$V$7,Hypothèses!$W$7,IF(BZ293&lt;=Hypothèses!$V$8,Hypothèses!$W$8,IF(BZ293&lt;=Hypothèses!$V$9,Hypothèses!$W$9,IF(BZ293&lt;=Hypothèses!$V$10,Hypothèses!$W$10,IF(BZ293&lt;=Hypothèses!$V$11,Hypothèses!$W$11,IF(BZ293&lt;=Hypothèses!$V$12,Hypothèses!$W$12,IF(BZ293&lt;=Hypothèses!$V$13,Hypothèses!$W$13,IF(BZ293&lt;=Hypothèses!$V$14,Hypothèses!$W$14,IF(BZ293&lt;=Hypothèses!$V$15,Hypothèses!$W$15,IF(BZ293&lt;=Hypothèses!$V$16,Hypothèses!$W$16,IF(BZ293&lt;=Hypothèses!$V$17,Hypothèses!$W$17,IF(BZ293&lt;=Hypothèses!$V$18,Hypothèses!$W$18,""))))))))))))</f>
        <v>#DIV/0!</v>
      </c>
      <c r="CU293" s="87" t="e">
        <f t="shared" ca="1" si="520"/>
        <v>#DIV/0!</v>
      </c>
      <c r="CV293" s="88" t="e">
        <f ca="1">IF(BZ293&lt;=Hypothèses!$V$7,Hypothèses!$X$7,IF(BZ293&lt;=Hypothèses!$V$8,Hypothèses!$X$8,IF(BZ293&lt;=Hypothèses!$V$9,Hypothèses!$X$9,IF(BZ293&lt;=Hypothèses!$V$10,Hypothèses!$X$10,IF(BZ293&lt;=Hypothèses!$V$11,Hypothèses!$X$11,IF(BZ293&lt;=Hypothèses!$V$12,Hypothèses!$X$12,IF(BZ293&lt;=Hypothèses!$V$13,Hypothèses!$X$13,IF(BZ293&lt;=Hypothèses!$V$14,Hypothèses!$X$14,IF(BZ293&lt;=Hypothèses!$V$15,Hypothèses!$X$15,IF(BZ293&lt;=Hypothèses!$V$16,Hypothèses!$X$16,IF(BZ293&lt;=Hypothèses!$U$17,Hypothèses!$W$17,IF(BZ293&lt;=Hypothèses!$U$18,Hypothèses!$W$18,""))))))))))))</f>
        <v>#DIV/0!</v>
      </c>
      <c r="CW293" s="95" t="e">
        <f t="shared" ca="1" si="485"/>
        <v>#DIV/0!</v>
      </c>
      <c r="CX293" s="101" t="e">
        <f t="shared" si="527"/>
        <v>#N/A</v>
      </c>
      <c r="CY293" s="91" t="e">
        <f t="shared" si="454"/>
        <v>#N/A</v>
      </c>
      <c r="CZ293" s="30" t="e">
        <f t="shared" si="508"/>
        <v>#N/A</v>
      </c>
      <c r="DA293" s="30" t="e">
        <f t="shared" si="509"/>
        <v>#N/A</v>
      </c>
      <c r="DB293" s="31" t="e">
        <f>IF(OR(Hypothèses!$B$4=17,Hypothèses!$B$4=18,Hypothèses!$B$4=19,Hypothèses!$B$4=20),
IF($D293="Pressio.",
IF(OR($E293=3,$E293=1,$E293=4),DA293,CZ293),
IF($D293="Pénétro.",
IF(OR($E293=3,$E293=1,$E293=4),DA293,CZ293))),IF($D293="Pressio.",
IF($E293=3,DA293,CZ293),
IF($D293="Pénétro.",
IF($E293=4,DA293,CZ293))))</f>
        <v>#N/A</v>
      </c>
      <c r="DC293" s="31" t="e">
        <f>(IF(OR(Hypothèses!$B$4=17,Hypothèses!$B$4=18,Hypothèses!$B$4=19,Hypothèses!$B$4=20),
IF($D293="Pressio.",
IF(OR($E293=3,$E293=1,$E293=4),(PI()*DC$12^2)/4*(CY293*$W293*1000)/($H293*$B$5),(PI()*DC$12^2)/4*(CY293*$W293*1000)/($G293*$B$5)),
IF($D293="Pénétro.",
IF(OR($E293=4,$E293=1,$E293=5),(PI()*DC$12^2)/4*(CY293*$W293*1000)/($H293*$B$5),(PI()*DC$12^2)/4*(CY293*$W293*1000)/($G293*$B$5)))),
IF($D293="Pressio.",
IF($E293=3,(PI()*DC$12^2)/4*(CY293*$W293*1000)/($H293*$B$5),(PI()*DC$12^2)/4*(CY293*$W293*1000)/($G293*$B$5)),
IF($D293="Pénétro.",
IF($E293=4,(PI()*DC$12^2)/4*(CY293*$W293*1000)/($H293*$B$5),(PI()*DC$12^2)/4*(CY293*$W293*1000)/($G293*$B$5))))))/10</f>
        <v>#N/A</v>
      </c>
      <c r="DD293" s="102" t="e">
        <f>(VLOOKUP($B$3,'Coeff EC7'!$T$39:$X$59,2,0)*DB293+VLOOKUP($B$3,'Coeff EC7'!$T$65:$X$85,2,0)*Model0.1C!DC293)/1.1</f>
        <v>#N/A</v>
      </c>
      <c r="DE293" s="102" t="e">
        <f>(VLOOKUP($B$3,'Coeff EC7'!$T$39:$X$59,3,0)*DB293+VLOOKUP($B$3,'Coeff EC7'!$T$65:$X$85,3,0)*Model0.1C!DC293)/0.9</f>
        <v>#N/A</v>
      </c>
      <c r="DF293" s="102" t="e">
        <f t="shared" si="486"/>
        <v>#N/A</v>
      </c>
      <c r="DG293" s="102" t="e">
        <f t="shared" si="487"/>
        <v>#N/A</v>
      </c>
      <c r="DH293" s="414" t="e">
        <f>IF(DH292=0,0,IF(AND(DD293&gt;charge_ELS_quasi,DE293&gt;Charge_ELS_freq,DF293&gt;charge_ELU,DG293&gt;charge_ELA,$B293&gt;NDC!$H$22-0.1+MIN(3*$DH$12,1.5)),0,1))</f>
        <v>#N/A</v>
      </c>
      <c r="DI293" s="86" t="b">
        <f t="shared" si="455"/>
        <v>0</v>
      </c>
      <c r="DJ293" s="86">
        <f t="shared" si="456"/>
        <v>0.5</v>
      </c>
      <c r="DK293" s="86">
        <f t="shared" si="457"/>
        <v>0.5</v>
      </c>
      <c r="DL293" s="30" t="e">
        <f t="shared" ca="1" si="488"/>
        <v>#DIV/0!</v>
      </c>
      <c r="DM293" s="85" t="e">
        <f ca="1">IF(CS293&lt;=Hypothèses!$V$7,Hypothèses!$W$7,IF(CS293&lt;=Hypothèses!$V$8,Hypothèses!$W$8,IF(CS293&lt;=Hypothèses!$V$9,Hypothèses!$W$9,IF(CS293&lt;=Hypothèses!$V$10,Hypothèses!$W$10,IF(CS293&lt;=Hypothèses!$V$11,Hypothèses!$W$11,IF(CS293&lt;=Hypothèses!$V$12,Hypothèses!$W$12,IF(CS293&lt;=Hypothèses!$V$13,Hypothèses!$W$13,IF(CS293&lt;=Hypothèses!$V$14,Hypothèses!$W$14,IF(CS293&lt;=Hypothèses!$V$15,Hypothèses!$W$15,IF(CS293&lt;=Hypothèses!$V$16,Hypothèses!$W$16,IF(CS293&lt;=Hypothèses!$V$17,Hypothèses!$W$17,IF(CS293&lt;=Hypothèses!$V$18,Hypothèses!$W$18,""))))))))))))</f>
        <v>#DIV/0!</v>
      </c>
      <c r="DN293" s="87" t="e">
        <f t="shared" ca="1" si="521"/>
        <v>#DIV/0!</v>
      </c>
      <c r="DO293" s="88" t="e">
        <f ca="1">IF(CS293&lt;=Hypothèses!$V$7,Hypothèses!$X$7,IF(CS293&lt;=Hypothèses!$V$8,Hypothèses!$X$8,IF(CS293&lt;=Hypothèses!$V$9,Hypothèses!$X$9,IF(CS293&lt;=Hypothèses!$V$10,Hypothèses!$X$10,IF(CS293&lt;=Hypothèses!$V$11,Hypothèses!$X$11,IF(CS293&lt;=Hypothèses!$V$12,Hypothèses!$X$12,IF(CS293&lt;=Hypothèses!$V$13,Hypothèses!$X$13,IF(CS293&lt;=Hypothèses!$V$14,Hypothèses!$X$14,IF(CS293&lt;=Hypothèses!$V$15,Hypothèses!$X$15,IF(CS293&lt;=Hypothèses!$V$16,Hypothèses!$X$16,IF(CS293&lt;=Hypothèses!$U$17,Hypothèses!$W$17,IF(CS293&lt;=Hypothèses!$U$18,Hypothèses!$W$18,""))))))))))))</f>
        <v>#DIV/0!</v>
      </c>
      <c r="DP293" s="95" t="e">
        <f t="shared" ca="1" si="489"/>
        <v>#DIV/0!</v>
      </c>
      <c r="DQ293" s="101" t="e">
        <f t="shared" si="528"/>
        <v>#N/A</v>
      </c>
      <c r="DR293" s="91" t="e">
        <f t="shared" si="458"/>
        <v>#N/A</v>
      </c>
      <c r="DS293" s="30" t="e">
        <f t="shared" si="510"/>
        <v>#N/A</v>
      </c>
      <c r="DT293" s="30" t="e">
        <f t="shared" si="511"/>
        <v>#N/A</v>
      </c>
      <c r="DU293" s="31" t="e">
        <f>IF(OR(Hypothèses!$B$4=17,Hypothèses!$B$4=18,Hypothèses!$B$4=19,Hypothèses!$B$4=20),
IF($D293="Pressio.",
IF(OR($E293=3,$E293=1,$E293=4),DT293,DS293),
IF($D293="Pénétro.",
IF(OR($E293=3,$E293=1,$E293=4),DT293,DS293))),IF($D293="Pressio.",
IF($E293=3,DT293,DS293),
IF($D293="Pénétro.",
IF($E293=4,DT293,DS293))))</f>
        <v>#N/A</v>
      </c>
      <c r="DV293" s="31" t="e">
        <f>(IF(OR(Hypothèses!$B$4=17,Hypothèses!$B$4=18,Hypothèses!$B$4=19,Hypothèses!$B$4=20),
IF($D293="Pressio.",
IF(OR($E293=3,$E293=1,$E293=4),(PI()*DV$12^2)/4*(DR293*$W293*1000)/($H293*$B$5),(PI()*DV$12^2)/4*(DR293*$W293*1000)/($G293*$B$5)),
IF($D293="Pénétro.",
IF(OR($E293=4,$E293=1,$E293=5),(PI()*DV$12^2)/4*(DR293*$W293*1000)/($H293*$B$5),(PI()*DV$12^2)/4*(DR293*$W293*1000)/($G293*$B$5)))),
IF($D293="Pressio.",
IF($E293=3,(PI()*DV$12^2)/4*(DR293*$W293*1000)/($H293*$B$5),(PI()*DV$12^2)/4*(DR293*$W293*1000)/($G293*$B$5)),
IF($D293="Pénétro.",
IF($E293=4,(PI()*DV$12^2)/4*(DR293*$W293*1000)/($H293*$B$5),(PI()*DV$12^2)/4*(DR293*$W293*1000)/($G293*$B$5))))))/10</f>
        <v>#N/A</v>
      </c>
      <c r="DW293" s="102" t="e">
        <f>(VLOOKUP($B$3,'Coeff EC7'!$T$39:$X$59,2,0)*DU293+VLOOKUP($B$3,'Coeff EC7'!$T$65:$X$85,2,0)*Model0.1C!DV293)/1.1</f>
        <v>#N/A</v>
      </c>
      <c r="DX293" s="102" t="e">
        <f>(VLOOKUP($B$3,'Coeff EC7'!$T$39:$X$59,3,0)*DU293+VLOOKUP($B$3,'Coeff EC7'!$T$65:$X$85,3,0)*Model0.1C!DV293)/0.9</f>
        <v>#N/A</v>
      </c>
      <c r="DY293" s="102" t="e">
        <f t="shared" si="490"/>
        <v>#N/A</v>
      </c>
      <c r="DZ293" s="102" t="e">
        <f t="shared" si="491"/>
        <v>#N/A</v>
      </c>
      <c r="EA293" s="414" t="e">
        <f>IF(EA292=0,0,IF(AND(DW293&gt;charge_ELS_quasi,DX293&gt;Charge_ELS_freq,DY293&gt;charge_ELU,DZ293&gt;charge_ELA,$B293&gt;NDC!$H$22-0.1+MIN(3*$EA$12,1.5)),0,1))</f>
        <v>#N/A</v>
      </c>
      <c r="EB293" s="86" t="b">
        <f t="shared" si="459"/>
        <v>0</v>
      </c>
      <c r="EC293" s="418">
        <f t="shared" si="460"/>
        <v>0.51</v>
      </c>
      <c r="ED293" s="86">
        <f t="shared" si="461"/>
        <v>0.51</v>
      </c>
      <c r="EE293" s="30" t="e">
        <f t="shared" ca="1" si="492"/>
        <v>#DIV/0!</v>
      </c>
      <c r="EF293" s="85" t="e">
        <f ca="1">IF(DL293&lt;=Hypothèses!$V$7,Hypothèses!$W$7,IF(DL293&lt;=Hypothèses!$V$8,Hypothèses!$W$8,IF(DL293&lt;=Hypothèses!$V$9,Hypothèses!$W$9,IF(DL293&lt;=Hypothèses!$V$10,Hypothèses!$W$10,IF(DL293&lt;=Hypothèses!$V$11,Hypothèses!$W$11,IF(DL293&lt;=Hypothèses!$V$12,Hypothèses!$W$12,IF(DL293&lt;=Hypothèses!$V$13,Hypothèses!$W$13,IF(DL293&lt;=Hypothèses!$V$14,Hypothèses!$W$14,IF(DL293&lt;=Hypothèses!$V$15,Hypothèses!$W$15,IF(DL293&lt;=Hypothèses!$V$16,Hypothèses!$W$16,IF(DL293&lt;=Hypothèses!$V$17,Hypothèses!$W$17,IF(DL293&lt;=Hypothèses!$V$18,Hypothèses!$W$18,""))))))))))))</f>
        <v>#DIV/0!</v>
      </c>
      <c r="EG293" s="87" t="e">
        <f t="shared" ca="1" si="522"/>
        <v>#DIV/0!</v>
      </c>
      <c r="EH293" s="88" t="e">
        <f ca="1">IF(DL293&lt;=Hypothèses!$V$7,Hypothèses!$X$7,IF(DL293&lt;=Hypothèses!$V$8,Hypothèses!$X$8,IF(DL293&lt;=Hypothèses!$V$9,Hypothèses!$X$9,IF(DL293&lt;=Hypothèses!$V$10,Hypothèses!$X$10,IF(DL293&lt;=Hypothèses!$V$11,Hypothèses!$X$11,IF(DL293&lt;=Hypothèses!$V$12,Hypothèses!$X$12,IF(DL293&lt;=Hypothèses!$V$13,Hypothèses!$X$13,IF(DL293&lt;=Hypothèses!$V$14,Hypothèses!$X$14,IF(DL293&lt;=Hypothèses!$V$15,Hypothèses!$X$15,IF(DL293&lt;=Hypothèses!$V$16,Hypothèses!$X$16,IF(DL293&lt;=Hypothèses!$U$17,Hypothèses!$W$17,IF(DL293&lt;=Hypothèses!$U$18,Hypothèses!$W$18,""))))))))))))</f>
        <v>#DIV/0!</v>
      </c>
      <c r="EI293" s="95" t="e">
        <f t="shared" ca="1" si="493"/>
        <v>#DIV/0!</v>
      </c>
      <c r="EJ293" s="101" t="e">
        <f t="shared" si="529"/>
        <v>#N/A</v>
      </c>
      <c r="EK293" s="91" t="e">
        <f t="shared" si="462"/>
        <v>#N/A</v>
      </c>
      <c r="EL293" s="30" t="e">
        <f t="shared" si="512"/>
        <v>#N/A</v>
      </c>
      <c r="EM293" s="30" t="e">
        <f t="shared" si="513"/>
        <v>#N/A</v>
      </c>
      <c r="EN293" s="31" t="e">
        <f>IF(OR(Hypothèses!$B$4=17,Hypothèses!$B$4=18,Hypothèses!$B$4=19,Hypothèses!$B$4=20),
IF($D293="Pressio.",
IF(OR($E293=3,$E293=1,$E293=4),EM293,EL293),
IF($D293="Pénétro.",
IF(OR($E293=3,$E293=1,$E293=4),EM293,EL293))),IF($D293="Pressio.",
IF($E293=3,EM293,EL293),
IF($D293="Pénétro.",
IF($E293=4,EM293,EL293))))</f>
        <v>#N/A</v>
      </c>
      <c r="EO293" s="31" t="e">
        <f>(IF(OR(Hypothèses!$B$4=17,Hypothèses!$B$4=18,Hypothèses!$B$4=19,Hypothèses!$B$4=20),
IF($D293="Pressio.",
IF(OR($E293=3,$E293=1,$E293=4),(PI()*EO$12^2)/4*(EK293*$W293*1000)/($H293*$B$5),(PI()*EO$12^2)/4*(EK293*$W293*1000)/($G293*$B$5)),
IF($D293="Pénétro.",
IF(OR($E293=4,$E293=1,$E293=5),(PI()*EO$12^2)/4*(EK293*$W293*1000)/($H293*$B$5),(PI()*EO$12^2)/4*(EK293*$W293*1000)/($G293*$B$5)))),
IF($D293="Pressio.",
IF($E293=3,(PI()*EO$12^2)/4*(EK293*$W293*1000)/($H293*$B$5),(PI()*EO$12^2)/4*(EK293*$W293*1000)/($G293*$B$5)),
IF($D293="Pénétro.",
IF($E293=4,(PI()*EO$12^2)/4*(EK293*$W293*1000)/($H293*$B$5),(PI()*EO$12^2)/4*(EK293*$W293*1000)/($G293*$B$5))))))/10</f>
        <v>#N/A</v>
      </c>
      <c r="EP293" s="102" t="e">
        <f>(VLOOKUP($B$3,'Coeff EC7'!$T$39:$X$59,2,0)*EN293+VLOOKUP($B$3,'Coeff EC7'!$T$65:$X$85,2,0)*Model0.1C!EO293)/1.1</f>
        <v>#N/A</v>
      </c>
      <c r="EQ293" s="102" t="e">
        <f>(VLOOKUP($B$3,'Coeff EC7'!$T$39:$X$59,3,0)*EN293+VLOOKUP($B$3,'Coeff EC7'!$T$65:$X$85,3,0)*Model0.1C!EO293)/0.9</f>
        <v>#N/A</v>
      </c>
      <c r="ER293" s="102" t="e">
        <f t="shared" si="494"/>
        <v>#N/A</v>
      </c>
      <c r="ES293" s="102" t="e">
        <f t="shared" si="495"/>
        <v>#N/A</v>
      </c>
      <c r="ET293" s="414" t="e">
        <f>IF(ET292=0,0,IF(AND(EP293&gt;charge_ELS_quasi,EQ293&gt;Charge_ELS_freq,ER293&gt;charge_ELU,ES293&gt;charge_ELA,$B293&gt;NDC!$H$22-0.1+MIN(3*$ET$12,1.5)),0,1))</f>
        <v>#N/A</v>
      </c>
      <c r="EU293" s="86" t="b">
        <f t="shared" si="463"/>
        <v>0</v>
      </c>
      <c r="EV293" s="86">
        <f t="shared" si="464"/>
        <v>0.61</v>
      </c>
      <c r="EW293" s="86">
        <f t="shared" si="465"/>
        <v>0.61</v>
      </c>
      <c r="EX293" s="30" t="e">
        <f t="shared" ca="1" si="496"/>
        <v>#DIV/0!</v>
      </c>
      <c r="EY293" s="85" t="e">
        <f ca="1">IF(EE293&lt;=Hypothèses!$V$7,Hypothèses!$W$7,IF(EE293&lt;=Hypothèses!$V$8,Hypothèses!$W$8,IF(EE293&lt;=Hypothèses!$V$9,Hypothèses!$W$9,IF(EE293&lt;=Hypothèses!$V$10,Hypothèses!$W$10,IF(EE293&lt;=Hypothèses!$V$11,Hypothèses!$W$11,IF(EE293&lt;=Hypothèses!$V$12,Hypothèses!$W$12,IF(EE293&lt;=Hypothèses!$V$13,Hypothèses!$W$13,IF(EE293&lt;=Hypothèses!$V$14,Hypothèses!$W$14,IF(EE293&lt;=Hypothèses!$V$15,Hypothèses!$W$15,IF(EE293&lt;=Hypothèses!$V$16,Hypothèses!$W$16,IF(EE293&lt;=Hypothèses!$V$17,Hypothèses!$W$17,IF(EE293&lt;=Hypothèses!$V$18,Hypothèses!$W$18,""))))))))))))</f>
        <v>#DIV/0!</v>
      </c>
      <c r="EZ293" s="87" t="e">
        <f t="shared" ca="1" si="523"/>
        <v>#DIV/0!</v>
      </c>
      <c r="FA293" s="88" t="e">
        <f ca="1">IF(EE293&lt;=Hypothèses!$V$7,Hypothèses!$X$7,IF(EE293&lt;=Hypothèses!$V$8,Hypothèses!$X$8,IF(EE293&lt;=Hypothèses!$V$9,Hypothèses!$X$9,IF(EE293&lt;=Hypothèses!$V$10,Hypothèses!$X$10,IF(EE293&lt;=Hypothèses!$V$11,Hypothèses!$X$11,IF(EE293&lt;=Hypothèses!$V$12,Hypothèses!$X$12,IF(EE293&lt;=Hypothèses!$V$13,Hypothèses!$X$13,IF(EE293&lt;=Hypothèses!$V$14,Hypothèses!$X$14,IF(EE293&lt;=Hypothèses!$V$15,Hypothèses!$X$15,IF(EE293&lt;=Hypothèses!$V$16,Hypothèses!$X$16,IF(EE293&lt;=Hypothèses!$U$17,Hypothèses!$W$17,IF(EE293&lt;=Hypothèses!$U$18,Hypothèses!$W$18,""))))))))))))</f>
        <v>#DIV/0!</v>
      </c>
      <c r="FB293" s="95" t="e">
        <f t="shared" ca="1" si="497"/>
        <v>#DIV/0!</v>
      </c>
      <c r="FC293" s="101" t="e">
        <f t="shared" si="530"/>
        <v>#N/A</v>
      </c>
      <c r="FD293" s="91" t="e">
        <f t="shared" si="466"/>
        <v>#N/A</v>
      </c>
      <c r="FE293" s="30" t="e">
        <f t="shared" si="514"/>
        <v>#N/A</v>
      </c>
      <c r="FF293" s="30" t="e">
        <f t="shared" si="515"/>
        <v>#N/A</v>
      </c>
      <c r="FG293" s="31" t="e">
        <f>IF(OR(Hypothèses!$B$4=17,Hypothèses!$B$4=18,Hypothèses!$B$4=19,Hypothèses!$B$4=20),
IF($D293="Pressio.",
IF(OR($E293=3,$E293=1,$E293=4),FF293,FE293),
IF($D293="Pénétro.",
IF(OR($E293=3,$E293=1,$E293=4),FF293,FE293))),IF($D293="Pressio.",
IF($E293=3,FF293,FE293),
IF($D293="Pénétro.",
IF($E293=4,FF293,FE293))))</f>
        <v>#N/A</v>
      </c>
      <c r="FH293" s="31" t="e">
        <f>(IF(OR(Hypothèses!$B$4=17,Hypothèses!$B$4=18,Hypothèses!$B$4=19,Hypothèses!$B$4=20),
IF($D293="Pressio.",
IF(OR($E293=3,$E293=1,$E293=4),(PI()*FH$12^2)/4*(FD293*$W293*1000)/($H293*$B$5),(PI()*FH$12^2)/4*(FD293*$W293*1000)/($G293*$B$5)),
IF($D293="Pénétro.",
IF(OR($E293=4,$E293=1,$E293=5),(PI()*FH$12^2)/4*(FD293*$W293*1000)/($H293*$B$5),(PI()*FH$12^2)/4*(FD293*$W293*1000)/($G293*$B$5)))),
IF($D293="Pressio.",
IF($E293=3,(PI()*FH$12^2)/4*(FD293*$W293*1000)/($H293*$B$5),(PI()*FH$12^2)/4*(FD293*$W293*1000)/($G293*$B$5)),
IF($D293="Pénétro.",
IF($E293=4,(PI()*FH$12^2)/4*(FD293*$W293*1000)/($H293*$B$5),(PI()*FH$12^2)/4*(FD293*$W293*1000)/($G293*$B$5))))))/10</f>
        <v>#N/A</v>
      </c>
      <c r="FI293" s="102" t="e">
        <f>(VLOOKUP($B$3,'Coeff EC7'!$T$39:$X$59,2,0)*FG293+VLOOKUP($B$3,'Coeff EC7'!$T$65:$X$85,2,0)*Model0.1C!FH293)/1.1</f>
        <v>#N/A</v>
      </c>
      <c r="FJ293" s="102" t="e">
        <f>(VLOOKUP($B$3,'Coeff EC7'!$T$39:$X$59,3,0)*FG293+VLOOKUP($B$3,'Coeff EC7'!$T$65:$X$85,3,0)*Model0.1C!FH293)/0.9</f>
        <v>#N/A</v>
      </c>
      <c r="FK293" s="102" t="e">
        <f t="shared" si="498"/>
        <v>#N/A</v>
      </c>
      <c r="FL293" s="102" t="e">
        <f t="shared" si="499"/>
        <v>#N/A</v>
      </c>
      <c r="FM293" s="414" t="e">
        <f>IF(FM292=0,0,IF(AND(FI293&gt;charge_ELS_quasi,FJ293&gt;Charge_ELS_freq,FK293&gt;charge_ELU,FL293&gt;charge_ELA,$B293&gt;NDC!$H$22-0.1+MIN(3*$FM$12,1.5)),0,1))</f>
        <v>#N/A</v>
      </c>
    </row>
    <row r="294" spans="1:169">
      <c r="A294" s="96">
        <f t="shared" si="467"/>
        <v>71.900000000001597</v>
      </c>
      <c r="B294" s="97">
        <v>28.1</v>
      </c>
      <c r="C294" s="81">
        <f>IF(B294&lt;=Hypothèses!$C$7,Hypothèses!$A$7,IF(B294&lt;=Hypothèses!$C$8,Hypothèses!$A$8,IF(B294&lt;=Hypothèses!$C$9,Hypothèses!$A$9,IF(B294&lt;=Hypothèses!$C$10,Hypothèses!$A$10,IF(B294&lt;=Hypothèses!$C$11,Hypothèses!$A$11,IF(B294&lt;=Hypothèses!$C$12,Hypothèses!$A$12,IF(B294&lt;=Hypothèses!$C$13,Hypothèses!$A$13,IF(B294&lt;=Hypothèses!$C$14,Hypothèses!$A$14,IF(B294&lt;=Hypothèses!$C$15,Hypothèses!$A$15,IF(B294&lt;=Hypothèses!$C$16,Hypothèses!$A$16,IF(B294&lt;=Hypothèses!$C$17,Hypothèses!$A$17,IF(B294&lt;=Hypothèses!$C$18,Hypothèses!$A$18,C293))))))))))))</f>
        <v>11</v>
      </c>
      <c r="D294" s="82" t="str">
        <f>IF(B294&lt;=Hypothèses!$C$7,Hypothèses!$R$7,IF(B294&lt;=Hypothèses!$C$8,Hypothèses!$R$8,IF(B294&lt;=Hypothèses!$C$9,Hypothèses!$R$9,IF(B294&lt;=Hypothèses!$C$10,Hypothèses!$R$10,IF(B294&lt;=Hypothèses!$C$11,Hypothèses!$R$11,IF(B294&lt;=Hypothèses!$C$12,Hypothèses!$R$12,IF(B294&lt;=Hypothèses!$C$13,Hypothèses!$R$13,IF(B294&lt;=Hypothèses!$C$14,Hypothèses!$R$14,IF(B294&lt;=Hypothèses!$C$15,Hypothèses!$R$15,IF(B294&lt;=Hypothèses!$C$16,Hypothèses!$R$16,IF(B294&lt;=Hypothèses!$C$17,Hypothèses!$R$17,IF(B294&lt;=Hypothèses!$C$18,Hypothèses!$R$18,D293))))))))))))</f>
        <v>Pressio.</v>
      </c>
      <c r="E294" s="82" t="e">
        <f>IF(B294&lt;=Hypothèses!$C$7,Hypothèses!$G$7,IF(B294&lt;=Hypothèses!$C$8,Hypothèses!$G$8,IF(B294&lt;=Hypothèses!$C$9,Hypothèses!$G$9,IF(B294&lt;=Hypothèses!$C$10,Hypothèses!$G$10,IF(B294&lt;=Hypothèses!$C$11,Hypothèses!$G$11,IF(B294&lt;=Hypothèses!$C$12,Hypothèses!$G$12,IF(B294&lt;=Hypothèses!$C$13,Hypothèses!$G$13,IF(B294&lt;=Hypothèses!$C$14,Hypothèses!$G$14,IF(B294&lt;=Hypothèses!$C$15,Hypothèses!$G$15,IF(B294&lt;=Hypothèses!$C$16,Hypothèses!$G$16,IF(B294&lt;=Hypothèses!$C$17,Hypothèses!$G$17,IF(B294&lt;=Hypothèses!$C$18,Hypothèses!$G$18,E293))))))))))))</f>
        <v>#N/A</v>
      </c>
      <c r="F294" s="82" t="str">
        <f>IF(B294&lt;=Hypothèses!$C$7,Hypothèses!$F$7,IF(B294&lt;=Hypothèses!$C$8,Hypothèses!$F$8,IF(B294&lt;=Hypothèses!$C$9,Hypothèses!$F$9,IF(B294&lt;=Hypothèses!$C$10,Hypothèses!$F$10,IF(B294&lt;=Hypothèses!$C$11,Hypothèses!$F$11,IF(B294&lt;=Hypothèses!$C$12,Hypothèses!$F$12,IF(B294&lt;=Hypothèses!$C$13,Hypothèses!$F$13,IF(B294&lt;=Hypothèses!$C$14,Hypothèses!$F$14,IF(B294&lt;=Hypothèses!$C$15,Hypothèses!$F$15,IF(B294&lt;=Hypothèses!$C$16,Hypothèses!$F$16,IF(B294&lt;=Hypothèses!$C$17,Hypothèses!$F$17,IF(B294&lt;=Hypothèses!$C$18,Hypothèses!$F$18,F293))))))))))))</f>
        <v/>
      </c>
      <c r="G294" s="91">
        <f t="array" ref="G294">INDEX('Coeff EC7'!$U$7:$X$27,
MATCH(Model0.1C!$B$3,'Coeff EC7'!$T$7:$T$27,0),
MATCH(Model0.1C!$D294&amp;Model0.1C!$B$4,
'Coeff EC7'!$U$6:$X$6&amp;
'Coeff EC7'!$U$5:$X$5,0))</f>
        <v>1.1499999999999999</v>
      </c>
      <c r="H294" s="91">
        <f t="array" ref="H294">INDEX('Coeff EC7'!$Y$7:$AB$27,
MATCH(Model0.1C!$B$3,'Coeff EC7'!$T$7:$T$27,0),
MATCH(Model0.1C!$D294&amp;Model0.1C!$B$4,
'Coeff EC7'!$Y$6:$AB$6&amp;
'Coeff EC7'!$Y$5:$AB$5,0))</f>
        <v>1.4</v>
      </c>
      <c r="I294" s="83" t="e">
        <f>IF(B294&lt;=Hypothèses!$C$7,Hypothèses!$P$7,IF(B294&lt;=Hypothèses!$C$8,Hypothèses!$P$8,IF(B294&lt;=Hypothèses!$C$9,Hypothèses!$P$9,IF(B294&lt;=Hypothèses!$C$10,Hypothèses!$P$10,IF(B294&lt;=Hypothèses!$C$11,Hypothèses!$P$11,IF(B294&lt;=Hypothèses!$C$12,Hypothèses!$P$12,IF(B294&lt;=Hypothèses!$C$13,Hypothèses!$P$13,IF(B294&lt;=Hypothèses!$C$14,Hypothèses!$P$14,IF(B294&lt;=Hypothèses!$C$15,Hypothèses!$P$15,IF(B294&lt;=Hypothèses!$C$16,Hypothèses!$P$16,IF(B294&lt;=Hypothèses!$C$17,Hypothèses!$P$17,IF(B294&lt;=Hypothèses!$C$18,Hypothèses!$P$18,I293))))))))))))</f>
        <v>#N/A</v>
      </c>
      <c r="J294" s="91" t="e">
        <f t="array" ref="J294">INDEX('Coeff EC7'!$D$33:$Q$33,1,MATCH(D294&amp;E294,'Coeff EC7'!$D$31:$Q$31&amp;'Coeff EC7'!$D$32:$Q$32,0))</f>
        <v>#N/A</v>
      </c>
      <c r="K294" s="91" t="e">
        <f t="array" ref="K294">INDEX('Coeff EC7'!$D$34:$Q$34,1,MATCH(D294&amp;E294,'Coeff EC7'!$D$31:$Q$31&amp;'Coeff EC7'!$D$32:$Q$32,0))</f>
        <v>#N/A</v>
      </c>
      <c r="L294" s="91" t="e">
        <f t="array" ref="L294">INDEX('Coeff EC7'!$D$35:$Q$35,1,MATCH(D294&amp;E294,'Coeff EC7'!$D$31:$Q$31&amp;'Coeff EC7'!$D$32:$Q$32,0))</f>
        <v>#N/A</v>
      </c>
      <c r="M294" s="98" t="e">
        <f t="shared" si="431"/>
        <v>#N/A</v>
      </c>
      <c r="N294" s="99" t="e">
        <f t="array" ref="N294">INDEX('Coeff EC7'!$D$7:$Q$27,MATCH($B$3,'Coeff EC7'!$C$7:$C$27,0),MATCH(D294&amp;E294,'Coeff EC7'!$D$5:$Q$5&amp;'Coeff EC7'!$D$6:$Q$6,0))</f>
        <v>#N/A</v>
      </c>
      <c r="O294" s="99" t="e">
        <f t="array" ref="O294">INDEX('Coeff EC7'!$D$41:$Q$61,MATCH($B$3,'Coeff EC7'!$C$41:$C$61,0),MATCH(D294&amp;E294,'Coeff EC7'!$D$39:$Q$39&amp;'Coeff EC7'!$D$40:$Q$40,0))</f>
        <v>#N/A</v>
      </c>
      <c r="P294" s="30" t="e">
        <f t="shared" si="468"/>
        <v>#N/A</v>
      </c>
      <c r="Q294" s="100" t="e">
        <f t="shared" si="433"/>
        <v>#N/A</v>
      </c>
      <c r="R294" s="86" t="b">
        <f t="shared" si="434"/>
        <v>0</v>
      </c>
      <c r="S294" s="86">
        <f t="shared" si="432"/>
        <v>0.5</v>
      </c>
      <c r="T294" s="86">
        <f t="shared" si="435"/>
        <v>0.5</v>
      </c>
      <c r="U294" s="30" t="e">
        <f t="shared" ca="1" si="469"/>
        <v>#DIV/0!</v>
      </c>
      <c r="V294" s="85" t="str">
        <f>IF(B294&lt;=Hypothèses!$V$7,Hypothèses!$W$7,IF(B294&lt;=Hypothèses!$V$8,Hypothèses!$W$8,IF(B294&lt;=Hypothèses!$V$9,Hypothèses!$W$9,IF(B294&lt;=Hypothèses!$V$10,Hypothèses!$W$10,IF(B294&lt;=Hypothèses!$V$11,Hypothèses!$W$11,IF(B294&lt;=Hypothèses!$V$12,Hypothèses!$W$12,IF(B294&lt;=Hypothèses!$V$13,Hypothèses!$W$13,IF(B294&lt;=Hypothèses!$V$14,Hypothèses!$W$14,IF(B294&lt;=Hypothèses!$V$15,Hypothèses!$W$15,IF(B294&lt;=Hypothèses!$V$16,Hypothèses!$W$16,IF(B294&lt;=Hypothèses!$V$17,Hypothèses!$W$17,IF(B294&lt;=Hypothèses!$V$18,Hypothèses!$W$18,""))))))))))))</f>
        <v/>
      </c>
      <c r="W294" s="87" t="e">
        <f t="shared" ca="1" si="516"/>
        <v>#DIV/0!</v>
      </c>
      <c r="X294" s="88" t="str">
        <f>IF(B294&lt;=Hypothèses!$V$7,Hypothèses!$X$7,IF(B294&lt;=Hypothèses!$V$8,Hypothèses!$X$8,IF(B294&lt;=Hypothèses!$V$9,Hypothèses!$X$9,IF(B294&lt;=Hypothèses!$V$10,Hypothèses!$X$10,IF(B294&lt;=Hypothèses!$V$11,Hypothèses!$X$11,IF(B294&lt;=Hypothèses!$V$12,Hypothèses!$X$12,IF(B294&lt;=Hypothèses!$V$13,Hypothèses!$X$13,IF(B294&lt;=Hypothèses!$V$14,Hypothèses!$X$14,IF(B294&lt;=Hypothèses!$V$15,Hypothèses!$X$15,IF(B294&lt;=Hypothèses!$V$16,Hypothèses!$X$16,IF(B294&lt;=Hypothèses!$U$17,Hypothèses!$W$17,IF(B294&lt;=Hypothèses!$U$18,Hypothèses!$W$18,""))))))))))))</f>
        <v/>
      </c>
      <c r="Y294" s="95" t="e">
        <f t="shared" ca="1" si="436"/>
        <v>#DIV/0!</v>
      </c>
      <c r="Z294" s="101" t="e">
        <f t="shared" si="437"/>
        <v>#N/A</v>
      </c>
      <c r="AA294" s="91" t="e">
        <f t="shared" si="438"/>
        <v>#N/A</v>
      </c>
      <c r="AB294" s="30" t="e">
        <f t="shared" si="500"/>
        <v>#N/A</v>
      </c>
      <c r="AC294" s="30" t="e">
        <f t="shared" si="501"/>
        <v>#N/A</v>
      </c>
      <c r="AD294" s="31" t="e">
        <f>IF(OR(Hypothèses!$B$4=17,Hypothèses!$B$4=18,Hypothèses!$B$4=19,Hypothèses!$B$4=20),
IF($D294="Pressio.",
IF(OR($E294=3,$E294=1,$E294=4),AC294,AB294),
IF($D294="Pénétro.",
IF(OR($E294=3,$E294=1,$E294=4),AC294,AB294))),IF($D294="Pressio.",
IF($E294=3,AC294,AB294),
IF($D294="Pénétro.",
IF($E294=4,AC294,AB294))))</f>
        <v>#N/A</v>
      </c>
      <c r="AE294" s="31" t="e">
        <f>(IF(OR(Hypothèses!$B$4=17,Hypothèses!$B$4=18,Hypothèses!$B$4=19,Hypothèses!$B$4=20),
IF($D294="Pressio.",
IF(OR($E294=3,$E294=1,$E294=4),(PI()*AE$12^2)/4*(AA294*$W294*1000)/($H294*$B$5),(PI()*AE$12^2)/4*(AA294*$W294*1000)/($G294*$B$5)),
IF($D294="Pénétro.",
IF(OR($E294=4,$E294=1,$E294=5),(PI()*AE$12^2)/4*(AA294*$W294*1000)/($H294*$B$5),(PI()*AE$12^2)/4*(AA294*$W294*1000)/($G294*$B$5)))),
IF($D294="Pressio.",
IF($E294=3,(PI()*AE$12^2)/4*(AA294*$W294*1000)/($H294*$B$5),(PI()*AE$12^2)/4*(AA294*$W294*1000)/($G294*$B$5)),
IF($D294="Pénétro.",
IF($E294=4,(PI()*AE$12^2)/4*(AA294*$W294*1000)/($H294*$B$5),(PI()*AE$12^2)/4*(AA294*$W294*1000)/($G294*$B$5))))))/10</f>
        <v>#N/A</v>
      </c>
      <c r="AF294" s="102" t="e">
        <f>(VLOOKUP($B$3,'Coeff EC7'!$T$39:$X$59,2,0)*AD294+VLOOKUP($B$3,'Coeff EC7'!$T$65:$X$85,2,0)*Model0.1C!AE294)/1.1</f>
        <v>#N/A</v>
      </c>
      <c r="AG294" s="102" t="e">
        <f>(VLOOKUP($B$3,'Coeff EC7'!$T$39:$X$59,3,0)*AD294+VLOOKUP($B$3,'Coeff EC7'!$T$65:$X$85,3,0)*Model0.1C!AE294)/0.9</f>
        <v>#N/A</v>
      </c>
      <c r="AH294" s="102" t="e">
        <f t="shared" si="439"/>
        <v>#N/A</v>
      </c>
      <c r="AI294" s="102" t="e">
        <f t="shared" si="440"/>
        <v>#N/A</v>
      </c>
      <c r="AJ294" s="414" t="e">
        <f>IF(AJ293=0,0,IF(AND(AF294&gt;charge_ELS_quasi,AG294&gt;Charge_ELS_freq,AH294&gt;charge_ELU,AI294&gt;charge_ELA,$B294&gt;NDC!$H$22-0.1+MIN(3*$AJ$12,1.5)),0,1))</f>
        <v>#N/A</v>
      </c>
      <c r="AK294" s="86" t="b">
        <f t="shared" si="441"/>
        <v>0</v>
      </c>
      <c r="AL294" s="86">
        <f t="shared" si="470"/>
        <v>0.5</v>
      </c>
      <c r="AM294" s="86">
        <f t="shared" si="442"/>
        <v>0.5</v>
      </c>
      <c r="AN294" s="30" t="e">
        <f t="shared" ca="1" si="471"/>
        <v>#DIV/0!</v>
      </c>
      <c r="AO294" s="85" t="e">
        <f ca="1">IF(U294&lt;=Hypothèses!$V$7,Hypothèses!$W$7,IF(U294&lt;=Hypothèses!$V$8,Hypothèses!$W$8,IF(U294&lt;=Hypothèses!$V$9,Hypothèses!$W$9,IF(U294&lt;=Hypothèses!$V$10,Hypothèses!$W$10,IF(U294&lt;=Hypothèses!$V$11,Hypothèses!$W$11,IF(U294&lt;=Hypothèses!$V$12,Hypothèses!$W$12,IF(U294&lt;=Hypothèses!$V$13,Hypothèses!$W$13,IF(U294&lt;=Hypothèses!$V$14,Hypothèses!$W$14,IF(U294&lt;=Hypothèses!$V$15,Hypothèses!$W$15,IF(U294&lt;=Hypothèses!$V$16,Hypothèses!$W$16,IF(U294&lt;=Hypothèses!$V$17,Hypothèses!$W$17,IF(U294&lt;=Hypothèses!$V$18,Hypothèses!$W$18,""))))))))))))</f>
        <v>#DIV/0!</v>
      </c>
      <c r="AP294" s="87" t="e">
        <f t="shared" ca="1" si="517"/>
        <v>#DIV/0!</v>
      </c>
      <c r="AQ294" s="88" t="e">
        <f ca="1">IF(U294&lt;=Hypothèses!$V$7,Hypothèses!$X$7,IF(U294&lt;=Hypothèses!$V$8,Hypothèses!$X$8,IF(U294&lt;=Hypothèses!$V$9,Hypothèses!$X$9,IF(U294&lt;=Hypothèses!$V$10,Hypothèses!$X$10,IF(U294&lt;=Hypothèses!$V$11,Hypothèses!$X$11,IF(U294&lt;=Hypothèses!$V$12,Hypothèses!$X$12,IF(U294&lt;=Hypothèses!$V$13,Hypothèses!$X$13,IF(U294&lt;=Hypothèses!$V$14,Hypothèses!$X$14,IF(U294&lt;=Hypothèses!$V$15,Hypothèses!$X$15,IF(U294&lt;=Hypothèses!$V$16,Hypothèses!$X$16,IF(U294&lt;=Hypothèses!$U$17,Hypothèses!$W$17,IF(U294&lt;=Hypothèses!$U$18,Hypothèses!$W$18,""))))))))))))</f>
        <v>#DIV/0!</v>
      </c>
      <c r="AR294" s="95" t="e">
        <f t="shared" ca="1" si="472"/>
        <v>#DIV/0!</v>
      </c>
      <c r="AS294" s="101" t="e">
        <f t="shared" si="524"/>
        <v>#N/A</v>
      </c>
      <c r="AT294" s="91" t="e">
        <f t="shared" si="443"/>
        <v>#N/A</v>
      </c>
      <c r="AU294" s="30" t="e">
        <f t="shared" si="502"/>
        <v>#N/A</v>
      </c>
      <c r="AV294" s="30" t="e">
        <f t="shared" si="503"/>
        <v>#N/A</v>
      </c>
      <c r="AW294" s="31" t="e">
        <f>IF(OR(Hypothèses!$B$4=17,Hypothèses!$B$4=18,Hypothèses!$B$4=19,Hypothèses!$B$4=20),
IF($D294="Pressio.",
IF(OR($E294=3,$E294=1,$E294=4),AV294,AU294),
IF($D294="Pénétro.",
IF(OR($E294=3,$E294=1,$E294=4),AV294,AU294))),IF($D294="Pressio.",
IF($E294=3,AV294,AU294),
IF($D294="Pénétro.",
IF($E294=4,AV294,AU294))))</f>
        <v>#N/A</v>
      </c>
      <c r="AX294" s="31" t="e">
        <f>(IF(OR(Hypothèses!$B$4=17,Hypothèses!$B$4=18,Hypothèses!$B$4=19,Hypothèses!$B$4=20),
IF($D294="Pressio.",
IF(OR($E294=3,$E294=1,$E294=4),(PI()*AX$12^2)/4*(AT294*$W294*1000)/($H294*$B$5),(PI()*AX$12^2)/4*(AT294*$W294*1000)/($G294*$B$5)),
IF($D294="Pénétro.",
IF(OR($E294=4,$E294=1,$E294=5),(PI()*AX$12^2)/4*(AT294*$W294*1000)/($H294*$B$5),(PI()*AX$12^2)/4*(AT294*$W294*1000)/($G294*$B$5)))),
IF($D294="Pressio.",
IF($E294=3,(PI()*AX$12^2)/4*(AT294*$W294*1000)/($H294*$B$5),(PI()*AX$12^2)/4*(AT294*$W294*1000)/($G294*$B$5)),
IF($D294="Pénétro.",
IF($E294=4,(PI()*AX$12^2)/4*(AT294*$W294*1000)/($H294*$B$5),(PI()*AX$12^2)/4*(AT294*$W294*1000)/($G294*$B$5))))))/10</f>
        <v>#N/A</v>
      </c>
      <c r="AY294" s="102" t="e">
        <f>(VLOOKUP($B$3,'Coeff EC7'!$T$39:$X$59,2,0)*AW294+VLOOKUP($B$3,'Coeff EC7'!$T$65:$X$85,2,0)*Model0.1C!AX294)/1.1</f>
        <v>#N/A</v>
      </c>
      <c r="AZ294" s="102" t="e">
        <f>(VLOOKUP($B$3,'Coeff EC7'!$T$39:$X$59,3,0)*AW294+VLOOKUP($B$3,'Coeff EC7'!$T$65:$X$85,3,0)*Model0.1C!AX294)/0.9</f>
        <v>#N/A</v>
      </c>
      <c r="BA294" s="102" t="e">
        <f t="shared" si="473"/>
        <v>#N/A</v>
      </c>
      <c r="BB294" s="102" t="e">
        <f t="shared" si="474"/>
        <v>#N/A</v>
      </c>
      <c r="BC294" s="414" t="e">
        <f>IF(BC293=0,0,IF(AND(AY294&gt;charge_ELS_quasi,AZ294&gt;Charge_ELS_freq,BA294&gt;charge_ELU,BB294&gt;charge_ELA,$B294&gt;NDC!$H$22-0.1+MIN(3*$BC$12,1.5)),0,1))</f>
        <v>#N/A</v>
      </c>
      <c r="BD294" s="86" t="b">
        <f t="shared" si="444"/>
        <v>0</v>
      </c>
      <c r="BE294" s="86">
        <f t="shared" si="475"/>
        <v>0.5</v>
      </c>
      <c r="BF294" s="86">
        <f t="shared" si="445"/>
        <v>0.5</v>
      </c>
      <c r="BG294" s="30" t="e">
        <f t="shared" ca="1" si="476"/>
        <v>#DIV/0!</v>
      </c>
      <c r="BH294" s="85" t="e">
        <f ca="1">IF(AN294&lt;=Hypothèses!$V$7,Hypothèses!$W$7,IF(AN294&lt;=Hypothèses!$V$8,Hypothèses!$W$8,IF(AN294&lt;=Hypothèses!$V$9,Hypothèses!$W$9,IF(AN294&lt;=Hypothèses!$V$10,Hypothèses!$W$10,IF(AN294&lt;=Hypothèses!$V$11,Hypothèses!$W$11,IF(AN294&lt;=Hypothèses!$V$12,Hypothèses!$W$12,IF(AN294&lt;=Hypothèses!$V$13,Hypothèses!$W$13,IF(AN294&lt;=Hypothèses!$V$14,Hypothèses!$W$14,IF(AN294&lt;=Hypothèses!$V$15,Hypothèses!$W$15,IF(AN294&lt;=Hypothèses!$V$16,Hypothèses!$W$16,IF(AN294&lt;=Hypothèses!$V$17,Hypothèses!$W$17,IF(AN294&lt;=Hypothèses!$V$18,Hypothèses!$W$18,""))))))))))))</f>
        <v>#DIV/0!</v>
      </c>
      <c r="BI294" s="87" t="e">
        <f t="shared" ca="1" si="518"/>
        <v>#DIV/0!</v>
      </c>
      <c r="BJ294" s="88" t="e">
        <f ca="1">IF(AN294&lt;=Hypothèses!$V$7,Hypothèses!$X$7,IF(AN294&lt;=Hypothèses!$V$8,Hypothèses!$X$8,IF(AN294&lt;=Hypothèses!$V$9,Hypothèses!$X$9,IF(AN294&lt;=Hypothèses!$V$10,Hypothèses!$X$10,IF(AN294&lt;=Hypothèses!$V$11,Hypothèses!$X$11,IF(AN294&lt;=Hypothèses!$V$12,Hypothèses!$X$12,IF(AN294&lt;=Hypothèses!$V$13,Hypothèses!$X$13,IF(AN294&lt;=Hypothèses!$V$14,Hypothèses!$X$14,IF(AN294&lt;=Hypothèses!$V$15,Hypothèses!$X$15,IF(AN294&lt;=Hypothèses!$V$16,Hypothèses!$X$16,IF(AN294&lt;=Hypothèses!$U$17,Hypothèses!$W$17,IF(AN294&lt;=Hypothèses!$U$18,Hypothèses!$W$18,""))))))))))))</f>
        <v>#DIV/0!</v>
      </c>
      <c r="BK294" s="95" t="e">
        <f t="shared" ca="1" si="477"/>
        <v>#DIV/0!</v>
      </c>
      <c r="BL294" s="101" t="e">
        <f t="shared" si="525"/>
        <v>#N/A</v>
      </c>
      <c r="BM294" s="91" t="e">
        <f t="shared" si="446"/>
        <v>#N/A</v>
      </c>
      <c r="BN294" s="30" t="e">
        <f t="shared" si="504"/>
        <v>#N/A</v>
      </c>
      <c r="BO294" s="30" t="e">
        <f t="shared" si="505"/>
        <v>#N/A</v>
      </c>
      <c r="BP294" s="31" t="e">
        <f>IF(OR(Hypothèses!$B$4=17,Hypothèses!$B$4=18,Hypothèses!$B$4=19,Hypothèses!$B$4=20),
IF($D294="Pressio.",
IF(OR($E294=3,$E294=1,$E294=4),BO294,BN294),
IF($D294="Pénétro.",
IF(OR($E294=3,$E294=1,$E294=4),BO294,BN294))),IF($D294="Pressio.",
IF($E294=3,BO294,BN294),
IF($D294="Pénétro.",
IF($E294=4,BO294,BN294))))</f>
        <v>#N/A</v>
      </c>
      <c r="BQ294" s="31" t="e">
        <f>(IF(OR(Hypothèses!$B$4=17,Hypothèses!$B$4=18,Hypothèses!$B$4=19,Hypothèses!$B$4=20),
IF($D294="Pressio.",
IF(OR($E294=3,$E294=1,$E294=4),(PI()*BQ$12^2)/4*(BM294*$W294*1000)/($H294*$B$5),(PI()*BQ$12^2)/4*(BM294*$W294*1000)/($G294*$B$5)),
IF($D294="Pénétro.",
IF(OR($E294=4,$E294=1,$E294=5),(PI()*BQ$12^2)/4*(BM294*$W294*1000)/($H294*$B$5),(PI()*BQ$12^2)/4*(BM294*$W294*1000)/($G294*$B$5)))),
IF($D294="Pressio.",
IF($E294=3,(PI()*BQ$12^2)/4*(BM294*$W294*1000)/($H294*$B$5),(PI()*BQ$12^2)/4*(BM294*$W294*1000)/($G294*$B$5)),
IF($D294="Pénétro.",
IF($E294=4,(PI()*BQ$12^2)/4*(BM294*$W294*1000)/($H294*$B$5),(PI()*BQ$12^2)/4*(BM294*$W294*1000)/($G294*$B$5))))))/10</f>
        <v>#N/A</v>
      </c>
      <c r="BR294" s="102" t="e">
        <f>(VLOOKUP($B$3,'Coeff EC7'!$T$39:$X$59,2,0)*BP294+VLOOKUP($B$3,'Coeff EC7'!$T$65:$X$85,2,0)*Model0.1C!BQ294)/1.1</f>
        <v>#N/A</v>
      </c>
      <c r="BS294" s="102" t="e">
        <f>(VLOOKUP($B$3,'Coeff EC7'!$T$39:$X$59,3,0)*BP294+VLOOKUP($B$3,'Coeff EC7'!$T$65:$X$85,3,0)*Model0.1C!BQ294)/0.9</f>
        <v>#N/A</v>
      </c>
      <c r="BT294" s="102" t="e">
        <f t="shared" si="478"/>
        <v>#N/A</v>
      </c>
      <c r="BU294" s="102" t="e">
        <f t="shared" si="479"/>
        <v>#N/A</v>
      </c>
      <c r="BV294" s="414" t="e">
        <f>IF(BV293=0,0,IF(AND(BR294&gt;charge_ELS_quasi,BS294&gt;Charge_ELS_freq,BT294&gt;charge_ELU,BU294&gt;charge_ELA,$B294&gt;NDC!$H$22-0.1+MIN(3*$BV$12,1.5)),0,1))</f>
        <v>#N/A</v>
      </c>
      <c r="BW294" s="86" t="b">
        <f t="shared" si="447"/>
        <v>0</v>
      </c>
      <c r="BX294" s="86">
        <f t="shared" si="448"/>
        <v>0.5</v>
      </c>
      <c r="BY294" s="86">
        <f t="shared" si="449"/>
        <v>0.5</v>
      </c>
      <c r="BZ294" s="30" t="e">
        <f t="shared" ca="1" si="480"/>
        <v>#DIV/0!</v>
      </c>
      <c r="CA294" s="85" t="e">
        <f ca="1">IF(BG294&lt;=Hypothèses!$V$7,Hypothèses!$W$7,IF(BG294&lt;=Hypothèses!$V$8,Hypothèses!$W$8,IF(BG294&lt;=Hypothèses!$V$9,Hypothèses!$W$9,IF(BG294&lt;=Hypothèses!$V$10,Hypothèses!$W$10,IF(BG294&lt;=Hypothèses!$V$11,Hypothèses!$W$11,IF(BG294&lt;=Hypothèses!$V$12,Hypothèses!$W$12,IF(BG294&lt;=Hypothèses!$V$13,Hypothèses!$W$13,IF(BG294&lt;=Hypothèses!$V$14,Hypothèses!$W$14,IF(BG294&lt;=Hypothèses!$V$15,Hypothèses!$W$15,IF(BG294&lt;=Hypothèses!$V$16,Hypothèses!$W$16,IF(BG294&lt;=Hypothèses!$V$17,Hypothèses!$W$17,IF(BG294&lt;=Hypothèses!$V$18,Hypothèses!$W$18,""))))))))))))</f>
        <v>#DIV/0!</v>
      </c>
      <c r="CB294" s="87" t="e">
        <f t="shared" ca="1" si="519"/>
        <v>#DIV/0!</v>
      </c>
      <c r="CC294" s="88" t="e">
        <f ca="1">IF(BG294&lt;=Hypothèses!$V$7,Hypothèses!$X$7,IF(BG294&lt;=Hypothèses!$V$8,Hypothèses!$X$8,IF(BG294&lt;=Hypothèses!$V$9,Hypothèses!$X$9,IF(BG294&lt;=Hypothèses!$V$10,Hypothèses!$X$10,IF(BG294&lt;=Hypothèses!$V$11,Hypothèses!$X$11,IF(BG294&lt;=Hypothèses!$V$12,Hypothèses!$X$12,IF(BG294&lt;=Hypothèses!$V$13,Hypothèses!$X$13,IF(BG294&lt;=Hypothèses!$V$14,Hypothèses!$X$14,IF(BG294&lt;=Hypothèses!$V$15,Hypothèses!$X$15,IF(BG294&lt;=Hypothèses!$V$16,Hypothèses!$X$16,IF(BG294&lt;=Hypothèses!$U$17,Hypothèses!$W$17,IF(BG294&lt;=Hypothèses!$U$18,Hypothèses!$W$18,""))))))))))))</f>
        <v>#DIV/0!</v>
      </c>
      <c r="CD294" s="95" t="e">
        <f t="shared" ca="1" si="481"/>
        <v>#DIV/0!</v>
      </c>
      <c r="CE294" s="101" t="e">
        <f t="shared" si="526"/>
        <v>#N/A</v>
      </c>
      <c r="CF294" s="91" t="e">
        <f t="shared" si="450"/>
        <v>#N/A</v>
      </c>
      <c r="CG294" s="30" t="e">
        <f t="shared" si="506"/>
        <v>#N/A</v>
      </c>
      <c r="CH294" s="30" t="e">
        <f t="shared" si="507"/>
        <v>#N/A</v>
      </c>
      <c r="CI294" s="31" t="e">
        <f>IF(OR(Hypothèses!$B$4=17,Hypothèses!$B$4=18,Hypothèses!$B$4=19,Hypothèses!$B$4=20),
IF($D294="Pressio.",
IF(OR($E294=3,$E294=1,$E294=4),CH294,CG294),
IF($D294="Pénétro.",
IF(OR($E294=3,$E294=1,$E294=4),CH294,CG294))),IF($D294="Pressio.",
IF($E294=3,CH294,CG294),
IF($D294="Pénétro.",
IF($E294=4,CH294,CG294))))</f>
        <v>#N/A</v>
      </c>
      <c r="CJ294" s="31" t="e">
        <f>(IF(OR(Hypothèses!$B$4=17,Hypothèses!$B$4=18,Hypothèses!$B$4=19,Hypothèses!$B$4=20),
IF($D294="Pressio.",
IF(OR($E294=3,$E294=1,$E294=4),(PI()*CJ$12^2)/4*(CF294*$W294*1000)/($H294*$B$5),(PI()*CJ$12^2)/4*(CF294*$W294*1000)/($G294*$B$5)),
IF($D294="Pénétro.",
IF(OR($E294=4,$E294=1,$E294=5),(PI()*CJ$12^2)/4*(CF294*$W294*1000)/($H294*$B$5),(PI()*CJ$12^2)/4*(CF294*$W294*1000)/($G294*$B$5)))),
IF($D294="Pressio.",
IF($E294=3,(PI()*CJ$12^2)/4*(CF294*$W294*1000)/($H294*$B$5),(PI()*CJ$12^2)/4*(CF294*$W294*1000)/($G294*$B$5)),
IF($D294="Pénétro.",
IF($E294=4,(PI()*CJ$12^2)/4*(CF294*$W294*1000)/($H294*$B$5),(PI()*CJ$12^2)/4*(CF294*$W294*1000)/($G294*$B$5))))))/10</f>
        <v>#N/A</v>
      </c>
      <c r="CK294" s="102" t="e">
        <f>(VLOOKUP($B$3,'Coeff EC7'!$T$39:$X$59,2,0)*CI294+VLOOKUP($B$3,'Coeff EC7'!$T$65:$X$85,2,0)*Model0.1C!CJ294)/1.1</f>
        <v>#N/A</v>
      </c>
      <c r="CL294" s="102" t="e">
        <f>(VLOOKUP($B$3,'Coeff EC7'!$T$39:$X$59,3,0)*CI294+VLOOKUP($B$3,'Coeff EC7'!$T$65:$X$85,3,0)*Model0.1C!CJ294)/0.9</f>
        <v>#N/A</v>
      </c>
      <c r="CM294" s="102" t="e">
        <f t="shared" si="482"/>
        <v>#N/A</v>
      </c>
      <c r="CN294" s="102" t="e">
        <f t="shared" si="483"/>
        <v>#N/A</v>
      </c>
      <c r="CO294" s="414" t="e">
        <f>IF(CO293=0,0,IF(AND(CK294&gt;charge_ELS_quasi,CL294&gt;Charge_ELS_freq,CM294&gt;charge_ELU,CN294&gt;charge_ELA,$B294&gt;NDC!$H$22-0.1+MIN(3*$CO$12,1.5)),0,1))</f>
        <v>#N/A</v>
      </c>
      <c r="CP294" s="86" t="b">
        <f t="shared" si="451"/>
        <v>0</v>
      </c>
      <c r="CQ294" s="86">
        <f t="shared" si="452"/>
        <v>0.5</v>
      </c>
      <c r="CR294" s="86">
        <f t="shared" si="453"/>
        <v>0.5</v>
      </c>
      <c r="CS294" s="30" t="e">
        <f t="shared" ca="1" si="484"/>
        <v>#DIV/0!</v>
      </c>
      <c r="CT294" s="85" t="e">
        <f ca="1">IF(BZ294&lt;=Hypothèses!$V$7,Hypothèses!$W$7,IF(BZ294&lt;=Hypothèses!$V$8,Hypothèses!$W$8,IF(BZ294&lt;=Hypothèses!$V$9,Hypothèses!$W$9,IF(BZ294&lt;=Hypothèses!$V$10,Hypothèses!$W$10,IF(BZ294&lt;=Hypothèses!$V$11,Hypothèses!$W$11,IF(BZ294&lt;=Hypothèses!$V$12,Hypothèses!$W$12,IF(BZ294&lt;=Hypothèses!$V$13,Hypothèses!$W$13,IF(BZ294&lt;=Hypothèses!$V$14,Hypothèses!$W$14,IF(BZ294&lt;=Hypothèses!$V$15,Hypothèses!$W$15,IF(BZ294&lt;=Hypothèses!$V$16,Hypothèses!$W$16,IF(BZ294&lt;=Hypothèses!$V$17,Hypothèses!$W$17,IF(BZ294&lt;=Hypothèses!$V$18,Hypothèses!$W$18,""))))))))))))</f>
        <v>#DIV/0!</v>
      </c>
      <c r="CU294" s="87" t="e">
        <f t="shared" ca="1" si="520"/>
        <v>#DIV/0!</v>
      </c>
      <c r="CV294" s="88" t="e">
        <f ca="1">IF(BZ294&lt;=Hypothèses!$V$7,Hypothèses!$X$7,IF(BZ294&lt;=Hypothèses!$V$8,Hypothèses!$X$8,IF(BZ294&lt;=Hypothèses!$V$9,Hypothèses!$X$9,IF(BZ294&lt;=Hypothèses!$V$10,Hypothèses!$X$10,IF(BZ294&lt;=Hypothèses!$V$11,Hypothèses!$X$11,IF(BZ294&lt;=Hypothèses!$V$12,Hypothèses!$X$12,IF(BZ294&lt;=Hypothèses!$V$13,Hypothèses!$X$13,IF(BZ294&lt;=Hypothèses!$V$14,Hypothèses!$X$14,IF(BZ294&lt;=Hypothèses!$V$15,Hypothèses!$X$15,IF(BZ294&lt;=Hypothèses!$V$16,Hypothèses!$X$16,IF(BZ294&lt;=Hypothèses!$U$17,Hypothèses!$W$17,IF(BZ294&lt;=Hypothèses!$U$18,Hypothèses!$W$18,""))))))))))))</f>
        <v>#DIV/0!</v>
      </c>
      <c r="CW294" s="95" t="e">
        <f t="shared" ca="1" si="485"/>
        <v>#DIV/0!</v>
      </c>
      <c r="CX294" s="101" t="e">
        <f t="shared" si="527"/>
        <v>#N/A</v>
      </c>
      <c r="CY294" s="91" t="e">
        <f t="shared" si="454"/>
        <v>#N/A</v>
      </c>
      <c r="CZ294" s="30" t="e">
        <f t="shared" si="508"/>
        <v>#N/A</v>
      </c>
      <c r="DA294" s="30" t="e">
        <f t="shared" si="509"/>
        <v>#N/A</v>
      </c>
      <c r="DB294" s="31" t="e">
        <f>IF(OR(Hypothèses!$B$4=17,Hypothèses!$B$4=18,Hypothèses!$B$4=19,Hypothèses!$B$4=20),
IF($D294="Pressio.",
IF(OR($E294=3,$E294=1,$E294=4),DA294,CZ294),
IF($D294="Pénétro.",
IF(OR($E294=3,$E294=1,$E294=4),DA294,CZ294))),IF($D294="Pressio.",
IF($E294=3,DA294,CZ294),
IF($D294="Pénétro.",
IF($E294=4,DA294,CZ294))))</f>
        <v>#N/A</v>
      </c>
      <c r="DC294" s="31" t="e">
        <f>(IF(OR(Hypothèses!$B$4=17,Hypothèses!$B$4=18,Hypothèses!$B$4=19,Hypothèses!$B$4=20),
IF($D294="Pressio.",
IF(OR($E294=3,$E294=1,$E294=4),(PI()*DC$12^2)/4*(CY294*$W294*1000)/($H294*$B$5),(PI()*DC$12^2)/4*(CY294*$W294*1000)/($G294*$B$5)),
IF($D294="Pénétro.",
IF(OR($E294=4,$E294=1,$E294=5),(PI()*DC$12^2)/4*(CY294*$W294*1000)/($H294*$B$5),(PI()*DC$12^2)/4*(CY294*$W294*1000)/($G294*$B$5)))),
IF($D294="Pressio.",
IF($E294=3,(PI()*DC$12^2)/4*(CY294*$W294*1000)/($H294*$B$5),(PI()*DC$12^2)/4*(CY294*$W294*1000)/($G294*$B$5)),
IF($D294="Pénétro.",
IF($E294=4,(PI()*DC$12^2)/4*(CY294*$W294*1000)/($H294*$B$5),(PI()*DC$12^2)/4*(CY294*$W294*1000)/($G294*$B$5))))))/10</f>
        <v>#N/A</v>
      </c>
      <c r="DD294" s="102" t="e">
        <f>(VLOOKUP($B$3,'Coeff EC7'!$T$39:$X$59,2,0)*DB294+VLOOKUP($B$3,'Coeff EC7'!$T$65:$X$85,2,0)*Model0.1C!DC294)/1.1</f>
        <v>#N/A</v>
      </c>
      <c r="DE294" s="102" t="e">
        <f>(VLOOKUP($B$3,'Coeff EC7'!$T$39:$X$59,3,0)*DB294+VLOOKUP($B$3,'Coeff EC7'!$T$65:$X$85,3,0)*Model0.1C!DC294)/0.9</f>
        <v>#N/A</v>
      </c>
      <c r="DF294" s="102" t="e">
        <f t="shared" si="486"/>
        <v>#N/A</v>
      </c>
      <c r="DG294" s="102" t="e">
        <f t="shared" si="487"/>
        <v>#N/A</v>
      </c>
      <c r="DH294" s="414" t="e">
        <f>IF(DH293=0,0,IF(AND(DD294&gt;charge_ELS_quasi,DE294&gt;Charge_ELS_freq,DF294&gt;charge_ELU,DG294&gt;charge_ELA,$B294&gt;NDC!$H$22-0.1+MIN(3*$DH$12,1.5)),0,1))</f>
        <v>#N/A</v>
      </c>
      <c r="DI294" s="86" t="b">
        <f t="shared" si="455"/>
        <v>0</v>
      </c>
      <c r="DJ294" s="86">
        <f t="shared" si="456"/>
        <v>0.5</v>
      </c>
      <c r="DK294" s="86">
        <f t="shared" si="457"/>
        <v>0.5</v>
      </c>
      <c r="DL294" s="30" t="e">
        <f t="shared" ca="1" si="488"/>
        <v>#DIV/0!</v>
      </c>
      <c r="DM294" s="85" t="e">
        <f ca="1">IF(CS294&lt;=Hypothèses!$V$7,Hypothèses!$W$7,IF(CS294&lt;=Hypothèses!$V$8,Hypothèses!$W$8,IF(CS294&lt;=Hypothèses!$V$9,Hypothèses!$W$9,IF(CS294&lt;=Hypothèses!$V$10,Hypothèses!$W$10,IF(CS294&lt;=Hypothèses!$V$11,Hypothèses!$W$11,IF(CS294&lt;=Hypothèses!$V$12,Hypothèses!$W$12,IF(CS294&lt;=Hypothèses!$V$13,Hypothèses!$W$13,IF(CS294&lt;=Hypothèses!$V$14,Hypothèses!$W$14,IF(CS294&lt;=Hypothèses!$V$15,Hypothèses!$W$15,IF(CS294&lt;=Hypothèses!$V$16,Hypothèses!$W$16,IF(CS294&lt;=Hypothèses!$V$17,Hypothèses!$W$17,IF(CS294&lt;=Hypothèses!$V$18,Hypothèses!$W$18,""))))))))))))</f>
        <v>#DIV/0!</v>
      </c>
      <c r="DN294" s="87" t="e">
        <f t="shared" ca="1" si="521"/>
        <v>#DIV/0!</v>
      </c>
      <c r="DO294" s="88" t="e">
        <f ca="1">IF(CS294&lt;=Hypothèses!$V$7,Hypothèses!$X$7,IF(CS294&lt;=Hypothèses!$V$8,Hypothèses!$X$8,IF(CS294&lt;=Hypothèses!$V$9,Hypothèses!$X$9,IF(CS294&lt;=Hypothèses!$V$10,Hypothèses!$X$10,IF(CS294&lt;=Hypothèses!$V$11,Hypothèses!$X$11,IF(CS294&lt;=Hypothèses!$V$12,Hypothèses!$X$12,IF(CS294&lt;=Hypothèses!$V$13,Hypothèses!$X$13,IF(CS294&lt;=Hypothèses!$V$14,Hypothèses!$X$14,IF(CS294&lt;=Hypothèses!$V$15,Hypothèses!$X$15,IF(CS294&lt;=Hypothèses!$V$16,Hypothèses!$X$16,IF(CS294&lt;=Hypothèses!$U$17,Hypothèses!$W$17,IF(CS294&lt;=Hypothèses!$U$18,Hypothèses!$W$18,""))))))))))))</f>
        <v>#DIV/0!</v>
      </c>
      <c r="DP294" s="95" t="e">
        <f t="shared" ca="1" si="489"/>
        <v>#DIV/0!</v>
      </c>
      <c r="DQ294" s="101" t="e">
        <f t="shared" si="528"/>
        <v>#N/A</v>
      </c>
      <c r="DR294" s="91" t="e">
        <f t="shared" si="458"/>
        <v>#N/A</v>
      </c>
      <c r="DS294" s="30" t="e">
        <f t="shared" si="510"/>
        <v>#N/A</v>
      </c>
      <c r="DT294" s="30" t="e">
        <f t="shared" si="511"/>
        <v>#N/A</v>
      </c>
      <c r="DU294" s="31" t="e">
        <f>IF(OR(Hypothèses!$B$4=17,Hypothèses!$B$4=18,Hypothèses!$B$4=19,Hypothèses!$B$4=20),
IF($D294="Pressio.",
IF(OR($E294=3,$E294=1,$E294=4),DT294,DS294),
IF($D294="Pénétro.",
IF(OR($E294=3,$E294=1,$E294=4),DT294,DS294))),IF($D294="Pressio.",
IF($E294=3,DT294,DS294),
IF($D294="Pénétro.",
IF($E294=4,DT294,DS294))))</f>
        <v>#N/A</v>
      </c>
      <c r="DV294" s="31" t="e">
        <f>(IF(OR(Hypothèses!$B$4=17,Hypothèses!$B$4=18,Hypothèses!$B$4=19,Hypothèses!$B$4=20),
IF($D294="Pressio.",
IF(OR($E294=3,$E294=1,$E294=4),(PI()*DV$12^2)/4*(DR294*$W294*1000)/($H294*$B$5),(PI()*DV$12^2)/4*(DR294*$W294*1000)/($G294*$B$5)),
IF($D294="Pénétro.",
IF(OR($E294=4,$E294=1,$E294=5),(PI()*DV$12^2)/4*(DR294*$W294*1000)/($H294*$B$5),(PI()*DV$12^2)/4*(DR294*$W294*1000)/($G294*$B$5)))),
IF($D294="Pressio.",
IF($E294=3,(PI()*DV$12^2)/4*(DR294*$W294*1000)/($H294*$B$5),(PI()*DV$12^2)/4*(DR294*$W294*1000)/($G294*$B$5)),
IF($D294="Pénétro.",
IF($E294=4,(PI()*DV$12^2)/4*(DR294*$W294*1000)/($H294*$B$5),(PI()*DV$12^2)/4*(DR294*$W294*1000)/($G294*$B$5))))))/10</f>
        <v>#N/A</v>
      </c>
      <c r="DW294" s="102" t="e">
        <f>(VLOOKUP($B$3,'Coeff EC7'!$T$39:$X$59,2,0)*DU294+VLOOKUP($B$3,'Coeff EC7'!$T$65:$X$85,2,0)*Model0.1C!DV294)/1.1</f>
        <v>#N/A</v>
      </c>
      <c r="DX294" s="102" t="e">
        <f>(VLOOKUP($B$3,'Coeff EC7'!$T$39:$X$59,3,0)*DU294+VLOOKUP($B$3,'Coeff EC7'!$T$65:$X$85,3,0)*Model0.1C!DV294)/0.9</f>
        <v>#N/A</v>
      </c>
      <c r="DY294" s="102" t="e">
        <f t="shared" si="490"/>
        <v>#N/A</v>
      </c>
      <c r="DZ294" s="102" t="e">
        <f t="shared" si="491"/>
        <v>#N/A</v>
      </c>
      <c r="EA294" s="414" t="e">
        <f>IF(EA293=0,0,IF(AND(DW294&gt;charge_ELS_quasi,DX294&gt;Charge_ELS_freq,DY294&gt;charge_ELU,DZ294&gt;charge_ELA,$B294&gt;NDC!$H$22-0.1+MIN(3*$EA$12,1.5)),0,1))</f>
        <v>#N/A</v>
      </c>
      <c r="EB294" s="86" t="b">
        <f t="shared" si="459"/>
        <v>0</v>
      </c>
      <c r="EC294" s="418">
        <f t="shared" si="460"/>
        <v>0.51</v>
      </c>
      <c r="ED294" s="86">
        <f t="shared" si="461"/>
        <v>0.51</v>
      </c>
      <c r="EE294" s="30" t="e">
        <f t="shared" ca="1" si="492"/>
        <v>#DIV/0!</v>
      </c>
      <c r="EF294" s="85" t="e">
        <f ca="1">IF(DL294&lt;=Hypothèses!$V$7,Hypothèses!$W$7,IF(DL294&lt;=Hypothèses!$V$8,Hypothèses!$W$8,IF(DL294&lt;=Hypothèses!$V$9,Hypothèses!$W$9,IF(DL294&lt;=Hypothèses!$V$10,Hypothèses!$W$10,IF(DL294&lt;=Hypothèses!$V$11,Hypothèses!$W$11,IF(DL294&lt;=Hypothèses!$V$12,Hypothèses!$W$12,IF(DL294&lt;=Hypothèses!$V$13,Hypothèses!$W$13,IF(DL294&lt;=Hypothèses!$V$14,Hypothèses!$W$14,IF(DL294&lt;=Hypothèses!$V$15,Hypothèses!$W$15,IF(DL294&lt;=Hypothèses!$V$16,Hypothèses!$W$16,IF(DL294&lt;=Hypothèses!$V$17,Hypothèses!$W$17,IF(DL294&lt;=Hypothèses!$V$18,Hypothèses!$W$18,""))))))))))))</f>
        <v>#DIV/0!</v>
      </c>
      <c r="EG294" s="87" t="e">
        <f t="shared" ca="1" si="522"/>
        <v>#DIV/0!</v>
      </c>
      <c r="EH294" s="88" t="e">
        <f ca="1">IF(DL294&lt;=Hypothèses!$V$7,Hypothèses!$X$7,IF(DL294&lt;=Hypothèses!$V$8,Hypothèses!$X$8,IF(DL294&lt;=Hypothèses!$V$9,Hypothèses!$X$9,IF(DL294&lt;=Hypothèses!$V$10,Hypothèses!$X$10,IF(DL294&lt;=Hypothèses!$V$11,Hypothèses!$X$11,IF(DL294&lt;=Hypothèses!$V$12,Hypothèses!$X$12,IF(DL294&lt;=Hypothèses!$V$13,Hypothèses!$X$13,IF(DL294&lt;=Hypothèses!$V$14,Hypothèses!$X$14,IF(DL294&lt;=Hypothèses!$V$15,Hypothèses!$X$15,IF(DL294&lt;=Hypothèses!$V$16,Hypothèses!$X$16,IF(DL294&lt;=Hypothèses!$U$17,Hypothèses!$W$17,IF(DL294&lt;=Hypothèses!$U$18,Hypothèses!$W$18,""))))))))))))</f>
        <v>#DIV/0!</v>
      </c>
      <c r="EI294" s="95" t="e">
        <f t="shared" ca="1" si="493"/>
        <v>#DIV/0!</v>
      </c>
      <c r="EJ294" s="101" t="e">
        <f t="shared" si="529"/>
        <v>#N/A</v>
      </c>
      <c r="EK294" s="91" t="e">
        <f t="shared" si="462"/>
        <v>#N/A</v>
      </c>
      <c r="EL294" s="30" t="e">
        <f t="shared" si="512"/>
        <v>#N/A</v>
      </c>
      <c r="EM294" s="30" t="e">
        <f t="shared" si="513"/>
        <v>#N/A</v>
      </c>
      <c r="EN294" s="31" t="e">
        <f>IF(OR(Hypothèses!$B$4=17,Hypothèses!$B$4=18,Hypothèses!$B$4=19,Hypothèses!$B$4=20),
IF($D294="Pressio.",
IF(OR($E294=3,$E294=1,$E294=4),EM294,EL294),
IF($D294="Pénétro.",
IF(OR($E294=3,$E294=1,$E294=4),EM294,EL294))),IF($D294="Pressio.",
IF($E294=3,EM294,EL294),
IF($D294="Pénétro.",
IF($E294=4,EM294,EL294))))</f>
        <v>#N/A</v>
      </c>
      <c r="EO294" s="31" t="e">
        <f>(IF(OR(Hypothèses!$B$4=17,Hypothèses!$B$4=18,Hypothèses!$B$4=19,Hypothèses!$B$4=20),
IF($D294="Pressio.",
IF(OR($E294=3,$E294=1,$E294=4),(PI()*EO$12^2)/4*(EK294*$W294*1000)/($H294*$B$5),(PI()*EO$12^2)/4*(EK294*$W294*1000)/($G294*$B$5)),
IF($D294="Pénétro.",
IF(OR($E294=4,$E294=1,$E294=5),(PI()*EO$12^2)/4*(EK294*$W294*1000)/($H294*$B$5),(PI()*EO$12^2)/4*(EK294*$W294*1000)/($G294*$B$5)))),
IF($D294="Pressio.",
IF($E294=3,(PI()*EO$12^2)/4*(EK294*$W294*1000)/($H294*$B$5),(PI()*EO$12^2)/4*(EK294*$W294*1000)/($G294*$B$5)),
IF($D294="Pénétro.",
IF($E294=4,(PI()*EO$12^2)/4*(EK294*$W294*1000)/($H294*$B$5),(PI()*EO$12^2)/4*(EK294*$W294*1000)/($G294*$B$5))))))/10</f>
        <v>#N/A</v>
      </c>
      <c r="EP294" s="102" t="e">
        <f>(VLOOKUP($B$3,'Coeff EC7'!$T$39:$X$59,2,0)*EN294+VLOOKUP($B$3,'Coeff EC7'!$T$65:$X$85,2,0)*Model0.1C!EO294)/1.1</f>
        <v>#N/A</v>
      </c>
      <c r="EQ294" s="102" t="e">
        <f>(VLOOKUP($B$3,'Coeff EC7'!$T$39:$X$59,3,0)*EN294+VLOOKUP($B$3,'Coeff EC7'!$T$65:$X$85,3,0)*Model0.1C!EO294)/0.9</f>
        <v>#N/A</v>
      </c>
      <c r="ER294" s="102" t="e">
        <f t="shared" si="494"/>
        <v>#N/A</v>
      </c>
      <c r="ES294" s="102" t="e">
        <f t="shared" si="495"/>
        <v>#N/A</v>
      </c>
      <c r="ET294" s="414" t="e">
        <f>IF(ET293=0,0,IF(AND(EP294&gt;charge_ELS_quasi,EQ294&gt;Charge_ELS_freq,ER294&gt;charge_ELU,ES294&gt;charge_ELA,$B294&gt;NDC!$H$22-0.1+MIN(3*$ET$12,1.5)),0,1))</f>
        <v>#N/A</v>
      </c>
      <c r="EU294" s="86" t="b">
        <f t="shared" si="463"/>
        <v>0</v>
      </c>
      <c r="EV294" s="86">
        <f t="shared" si="464"/>
        <v>0.61</v>
      </c>
      <c r="EW294" s="86">
        <f t="shared" si="465"/>
        <v>0.61</v>
      </c>
      <c r="EX294" s="30" t="e">
        <f t="shared" ca="1" si="496"/>
        <v>#DIV/0!</v>
      </c>
      <c r="EY294" s="85" t="e">
        <f ca="1">IF(EE294&lt;=Hypothèses!$V$7,Hypothèses!$W$7,IF(EE294&lt;=Hypothèses!$V$8,Hypothèses!$W$8,IF(EE294&lt;=Hypothèses!$V$9,Hypothèses!$W$9,IF(EE294&lt;=Hypothèses!$V$10,Hypothèses!$W$10,IF(EE294&lt;=Hypothèses!$V$11,Hypothèses!$W$11,IF(EE294&lt;=Hypothèses!$V$12,Hypothèses!$W$12,IF(EE294&lt;=Hypothèses!$V$13,Hypothèses!$W$13,IF(EE294&lt;=Hypothèses!$V$14,Hypothèses!$W$14,IF(EE294&lt;=Hypothèses!$V$15,Hypothèses!$W$15,IF(EE294&lt;=Hypothèses!$V$16,Hypothèses!$W$16,IF(EE294&lt;=Hypothèses!$V$17,Hypothèses!$W$17,IF(EE294&lt;=Hypothèses!$V$18,Hypothèses!$W$18,""))))))))))))</f>
        <v>#DIV/0!</v>
      </c>
      <c r="EZ294" s="87" t="e">
        <f t="shared" ca="1" si="523"/>
        <v>#DIV/0!</v>
      </c>
      <c r="FA294" s="88" t="e">
        <f ca="1">IF(EE294&lt;=Hypothèses!$V$7,Hypothèses!$X$7,IF(EE294&lt;=Hypothèses!$V$8,Hypothèses!$X$8,IF(EE294&lt;=Hypothèses!$V$9,Hypothèses!$X$9,IF(EE294&lt;=Hypothèses!$V$10,Hypothèses!$X$10,IF(EE294&lt;=Hypothèses!$V$11,Hypothèses!$X$11,IF(EE294&lt;=Hypothèses!$V$12,Hypothèses!$X$12,IF(EE294&lt;=Hypothèses!$V$13,Hypothèses!$X$13,IF(EE294&lt;=Hypothèses!$V$14,Hypothèses!$X$14,IF(EE294&lt;=Hypothèses!$V$15,Hypothèses!$X$15,IF(EE294&lt;=Hypothèses!$V$16,Hypothèses!$X$16,IF(EE294&lt;=Hypothèses!$U$17,Hypothèses!$W$17,IF(EE294&lt;=Hypothèses!$U$18,Hypothèses!$W$18,""))))))))))))</f>
        <v>#DIV/0!</v>
      </c>
      <c r="FB294" s="95" t="e">
        <f t="shared" ca="1" si="497"/>
        <v>#DIV/0!</v>
      </c>
      <c r="FC294" s="101" t="e">
        <f t="shared" si="530"/>
        <v>#N/A</v>
      </c>
      <c r="FD294" s="91" t="e">
        <f t="shared" si="466"/>
        <v>#N/A</v>
      </c>
      <c r="FE294" s="30" t="e">
        <f t="shared" si="514"/>
        <v>#N/A</v>
      </c>
      <c r="FF294" s="30" t="e">
        <f t="shared" si="515"/>
        <v>#N/A</v>
      </c>
      <c r="FG294" s="31" t="e">
        <f>IF(OR(Hypothèses!$B$4=17,Hypothèses!$B$4=18,Hypothèses!$B$4=19,Hypothèses!$B$4=20),
IF($D294="Pressio.",
IF(OR($E294=3,$E294=1,$E294=4),FF294,FE294),
IF($D294="Pénétro.",
IF(OR($E294=3,$E294=1,$E294=4),FF294,FE294))),IF($D294="Pressio.",
IF($E294=3,FF294,FE294),
IF($D294="Pénétro.",
IF($E294=4,FF294,FE294))))</f>
        <v>#N/A</v>
      </c>
      <c r="FH294" s="31" t="e">
        <f>(IF(OR(Hypothèses!$B$4=17,Hypothèses!$B$4=18,Hypothèses!$B$4=19,Hypothèses!$B$4=20),
IF($D294="Pressio.",
IF(OR($E294=3,$E294=1,$E294=4),(PI()*FH$12^2)/4*(FD294*$W294*1000)/($H294*$B$5),(PI()*FH$12^2)/4*(FD294*$W294*1000)/($G294*$B$5)),
IF($D294="Pénétro.",
IF(OR($E294=4,$E294=1,$E294=5),(PI()*FH$12^2)/4*(FD294*$W294*1000)/($H294*$B$5),(PI()*FH$12^2)/4*(FD294*$W294*1000)/($G294*$B$5)))),
IF($D294="Pressio.",
IF($E294=3,(PI()*FH$12^2)/4*(FD294*$W294*1000)/($H294*$B$5),(PI()*FH$12^2)/4*(FD294*$W294*1000)/($G294*$B$5)),
IF($D294="Pénétro.",
IF($E294=4,(PI()*FH$12^2)/4*(FD294*$W294*1000)/($H294*$B$5),(PI()*FH$12^2)/4*(FD294*$W294*1000)/($G294*$B$5))))))/10</f>
        <v>#N/A</v>
      </c>
      <c r="FI294" s="102" t="e">
        <f>(VLOOKUP($B$3,'Coeff EC7'!$T$39:$X$59,2,0)*FG294+VLOOKUP($B$3,'Coeff EC7'!$T$65:$X$85,2,0)*Model0.1C!FH294)/1.1</f>
        <v>#N/A</v>
      </c>
      <c r="FJ294" s="102" t="e">
        <f>(VLOOKUP($B$3,'Coeff EC7'!$T$39:$X$59,3,0)*FG294+VLOOKUP($B$3,'Coeff EC7'!$T$65:$X$85,3,0)*Model0.1C!FH294)/0.9</f>
        <v>#N/A</v>
      </c>
      <c r="FK294" s="102" t="e">
        <f t="shared" si="498"/>
        <v>#N/A</v>
      </c>
      <c r="FL294" s="102" t="e">
        <f t="shared" si="499"/>
        <v>#N/A</v>
      </c>
      <c r="FM294" s="414" t="e">
        <f>IF(FM293=0,0,IF(AND(FI294&gt;charge_ELS_quasi,FJ294&gt;Charge_ELS_freq,FK294&gt;charge_ELU,FL294&gt;charge_ELA,$B294&gt;NDC!$H$22-0.1+MIN(3*$FM$12,1.5)),0,1))</f>
        <v>#N/A</v>
      </c>
    </row>
    <row r="295" spans="1:169">
      <c r="A295" s="96">
        <f t="shared" si="467"/>
        <v>71.800000000001603</v>
      </c>
      <c r="B295" s="97">
        <v>28.2</v>
      </c>
      <c r="C295" s="81">
        <f>IF(B295&lt;=Hypothèses!$C$7,Hypothèses!$A$7,IF(B295&lt;=Hypothèses!$C$8,Hypothèses!$A$8,IF(B295&lt;=Hypothèses!$C$9,Hypothèses!$A$9,IF(B295&lt;=Hypothèses!$C$10,Hypothèses!$A$10,IF(B295&lt;=Hypothèses!$C$11,Hypothèses!$A$11,IF(B295&lt;=Hypothèses!$C$12,Hypothèses!$A$12,IF(B295&lt;=Hypothèses!$C$13,Hypothèses!$A$13,IF(B295&lt;=Hypothèses!$C$14,Hypothèses!$A$14,IF(B295&lt;=Hypothèses!$C$15,Hypothèses!$A$15,IF(B295&lt;=Hypothèses!$C$16,Hypothèses!$A$16,IF(B295&lt;=Hypothèses!$C$17,Hypothèses!$A$17,IF(B295&lt;=Hypothèses!$C$18,Hypothèses!$A$18,C294))))))))))))</f>
        <v>11</v>
      </c>
      <c r="D295" s="82" t="str">
        <f>IF(B295&lt;=Hypothèses!$C$7,Hypothèses!$R$7,IF(B295&lt;=Hypothèses!$C$8,Hypothèses!$R$8,IF(B295&lt;=Hypothèses!$C$9,Hypothèses!$R$9,IF(B295&lt;=Hypothèses!$C$10,Hypothèses!$R$10,IF(B295&lt;=Hypothèses!$C$11,Hypothèses!$R$11,IF(B295&lt;=Hypothèses!$C$12,Hypothèses!$R$12,IF(B295&lt;=Hypothèses!$C$13,Hypothèses!$R$13,IF(B295&lt;=Hypothèses!$C$14,Hypothèses!$R$14,IF(B295&lt;=Hypothèses!$C$15,Hypothèses!$R$15,IF(B295&lt;=Hypothèses!$C$16,Hypothèses!$R$16,IF(B295&lt;=Hypothèses!$C$17,Hypothèses!$R$17,IF(B295&lt;=Hypothèses!$C$18,Hypothèses!$R$18,D294))))))))))))</f>
        <v>Pressio.</v>
      </c>
      <c r="E295" s="82" t="e">
        <f>IF(B295&lt;=Hypothèses!$C$7,Hypothèses!$G$7,IF(B295&lt;=Hypothèses!$C$8,Hypothèses!$G$8,IF(B295&lt;=Hypothèses!$C$9,Hypothèses!$G$9,IF(B295&lt;=Hypothèses!$C$10,Hypothèses!$G$10,IF(B295&lt;=Hypothèses!$C$11,Hypothèses!$G$11,IF(B295&lt;=Hypothèses!$C$12,Hypothèses!$G$12,IF(B295&lt;=Hypothèses!$C$13,Hypothèses!$G$13,IF(B295&lt;=Hypothèses!$C$14,Hypothèses!$G$14,IF(B295&lt;=Hypothèses!$C$15,Hypothèses!$G$15,IF(B295&lt;=Hypothèses!$C$16,Hypothèses!$G$16,IF(B295&lt;=Hypothèses!$C$17,Hypothèses!$G$17,IF(B295&lt;=Hypothèses!$C$18,Hypothèses!$G$18,E294))))))))))))</f>
        <v>#N/A</v>
      </c>
      <c r="F295" s="82" t="str">
        <f>IF(B295&lt;=Hypothèses!$C$7,Hypothèses!$F$7,IF(B295&lt;=Hypothèses!$C$8,Hypothèses!$F$8,IF(B295&lt;=Hypothèses!$C$9,Hypothèses!$F$9,IF(B295&lt;=Hypothèses!$C$10,Hypothèses!$F$10,IF(B295&lt;=Hypothèses!$C$11,Hypothèses!$F$11,IF(B295&lt;=Hypothèses!$C$12,Hypothèses!$F$12,IF(B295&lt;=Hypothèses!$C$13,Hypothèses!$F$13,IF(B295&lt;=Hypothèses!$C$14,Hypothèses!$F$14,IF(B295&lt;=Hypothèses!$C$15,Hypothèses!$F$15,IF(B295&lt;=Hypothèses!$C$16,Hypothèses!$F$16,IF(B295&lt;=Hypothèses!$C$17,Hypothèses!$F$17,IF(B295&lt;=Hypothèses!$C$18,Hypothèses!$F$18,F294))))))))))))</f>
        <v/>
      </c>
      <c r="G295" s="91">
        <f t="array" ref="G295">INDEX('Coeff EC7'!$U$7:$X$27,
MATCH(Model0.1C!$B$3,'Coeff EC7'!$T$7:$T$27,0),
MATCH(Model0.1C!$D295&amp;Model0.1C!$B$4,
'Coeff EC7'!$U$6:$X$6&amp;
'Coeff EC7'!$U$5:$X$5,0))</f>
        <v>1.1499999999999999</v>
      </c>
      <c r="H295" s="91">
        <f t="array" ref="H295">INDEX('Coeff EC7'!$Y$7:$AB$27,
MATCH(Model0.1C!$B$3,'Coeff EC7'!$T$7:$T$27,0),
MATCH(Model0.1C!$D295&amp;Model0.1C!$B$4,
'Coeff EC7'!$Y$6:$AB$6&amp;
'Coeff EC7'!$Y$5:$AB$5,0))</f>
        <v>1.4</v>
      </c>
      <c r="I295" s="83" t="e">
        <f>IF(B295&lt;=Hypothèses!$C$7,Hypothèses!$P$7,IF(B295&lt;=Hypothèses!$C$8,Hypothèses!$P$8,IF(B295&lt;=Hypothèses!$C$9,Hypothèses!$P$9,IF(B295&lt;=Hypothèses!$C$10,Hypothèses!$P$10,IF(B295&lt;=Hypothèses!$C$11,Hypothèses!$P$11,IF(B295&lt;=Hypothèses!$C$12,Hypothèses!$P$12,IF(B295&lt;=Hypothèses!$C$13,Hypothèses!$P$13,IF(B295&lt;=Hypothèses!$C$14,Hypothèses!$P$14,IF(B295&lt;=Hypothèses!$C$15,Hypothèses!$P$15,IF(B295&lt;=Hypothèses!$C$16,Hypothèses!$P$16,IF(B295&lt;=Hypothèses!$C$17,Hypothèses!$P$17,IF(B295&lt;=Hypothèses!$C$18,Hypothèses!$P$18,I294))))))))))))</f>
        <v>#N/A</v>
      </c>
      <c r="J295" s="91" t="e">
        <f t="array" ref="J295">INDEX('Coeff EC7'!$D$33:$Q$33,1,MATCH(D295&amp;E295,'Coeff EC7'!$D$31:$Q$31&amp;'Coeff EC7'!$D$32:$Q$32,0))</f>
        <v>#N/A</v>
      </c>
      <c r="K295" s="91" t="e">
        <f t="array" ref="K295">INDEX('Coeff EC7'!$D$34:$Q$34,1,MATCH(D295&amp;E295,'Coeff EC7'!$D$31:$Q$31&amp;'Coeff EC7'!$D$32:$Q$32,0))</f>
        <v>#N/A</v>
      </c>
      <c r="L295" s="91" t="e">
        <f t="array" ref="L295">INDEX('Coeff EC7'!$D$35:$Q$35,1,MATCH(D295&amp;E295,'Coeff EC7'!$D$31:$Q$31&amp;'Coeff EC7'!$D$32:$Q$32,0))</f>
        <v>#N/A</v>
      </c>
      <c r="M295" s="98" t="e">
        <f t="shared" si="431"/>
        <v>#N/A</v>
      </c>
      <c r="N295" s="99" t="e">
        <f t="array" ref="N295">INDEX('Coeff EC7'!$D$7:$Q$27,MATCH($B$3,'Coeff EC7'!$C$7:$C$27,0),MATCH(D295&amp;E295,'Coeff EC7'!$D$5:$Q$5&amp;'Coeff EC7'!$D$6:$Q$6,0))</f>
        <v>#N/A</v>
      </c>
      <c r="O295" s="99" t="e">
        <f t="array" ref="O295">INDEX('Coeff EC7'!$D$41:$Q$61,MATCH($B$3,'Coeff EC7'!$C$41:$C$61,0),MATCH(D295&amp;E295,'Coeff EC7'!$D$39:$Q$39&amp;'Coeff EC7'!$D$40:$Q$40,0))</f>
        <v>#N/A</v>
      </c>
      <c r="P295" s="30" t="e">
        <f t="shared" si="468"/>
        <v>#N/A</v>
      </c>
      <c r="Q295" s="100" t="e">
        <f t="shared" si="433"/>
        <v>#N/A</v>
      </c>
      <c r="R295" s="86" t="b">
        <f t="shared" si="434"/>
        <v>0</v>
      </c>
      <c r="S295" s="86">
        <f t="shared" si="432"/>
        <v>0.5</v>
      </c>
      <c r="T295" s="86">
        <f t="shared" si="435"/>
        <v>0.5</v>
      </c>
      <c r="U295" s="30" t="e">
        <f t="shared" ca="1" si="469"/>
        <v>#DIV/0!</v>
      </c>
      <c r="V295" s="85" t="str">
        <f>IF(B295&lt;=Hypothèses!$V$7,Hypothèses!$W$7,IF(B295&lt;=Hypothèses!$V$8,Hypothèses!$W$8,IF(B295&lt;=Hypothèses!$V$9,Hypothèses!$W$9,IF(B295&lt;=Hypothèses!$V$10,Hypothèses!$W$10,IF(B295&lt;=Hypothèses!$V$11,Hypothèses!$W$11,IF(B295&lt;=Hypothèses!$V$12,Hypothèses!$W$12,IF(B295&lt;=Hypothèses!$V$13,Hypothèses!$W$13,IF(B295&lt;=Hypothèses!$V$14,Hypothèses!$W$14,IF(B295&lt;=Hypothèses!$V$15,Hypothèses!$W$15,IF(B295&lt;=Hypothèses!$V$16,Hypothèses!$W$16,IF(B295&lt;=Hypothèses!$V$17,Hypothèses!$W$17,IF(B295&lt;=Hypothèses!$V$18,Hypothèses!$W$18,""))))))))))))</f>
        <v/>
      </c>
      <c r="W295" s="87" t="e">
        <f t="shared" ca="1" si="516"/>
        <v>#DIV/0!</v>
      </c>
      <c r="X295" s="88" t="str">
        <f>IF(B295&lt;=Hypothèses!$V$7,Hypothèses!$X$7,IF(B295&lt;=Hypothèses!$V$8,Hypothèses!$X$8,IF(B295&lt;=Hypothèses!$V$9,Hypothèses!$X$9,IF(B295&lt;=Hypothèses!$V$10,Hypothèses!$X$10,IF(B295&lt;=Hypothèses!$V$11,Hypothèses!$X$11,IF(B295&lt;=Hypothèses!$V$12,Hypothèses!$X$12,IF(B295&lt;=Hypothèses!$V$13,Hypothèses!$X$13,IF(B295&lt;=Hypothèses!$V$14,Hypothèses!$X$14,IF(B295&lt;=Hypothèses!$V$15,Hypothèses!$X$15,IF(B295&lt;=Hypothèses!$V$16,Hypothèses!$X$16,IF(B295&lt;=Hypothèses!$U$17,Hypothèses!$W$17,IF(B295&lt;=Hypothèses!$U$18,Hypothèses!$W$18,""))))))))))))</f>
        <v/>
      </c>
      <c r="Y295" s="95" t="e">
        <f t="shared" ca="1" si="436"/>
        <v>#DIV/0!</v>
      </c>
      <c r="Z295" s="101" t="e">
        <f t="shared" si="437"/>
        <v>#N/A</v>
      </c>
      <c r="AA295" s="91" t="e">
        <f t="shared" si="438"/>
        <v>#N/A</v>
      </c>
      <c r="AB295" s="30" t="e">
        <f t="shared" si="500"/>
        <v>#N/A</v>
      </c>
      <c r="AC295" s="30" t="e">
        <f t="shared" si="501"/>
        <v>#N/A</v>
      </c>
      <c r="AD295" s="31" t="e">
        <f>IF(OR(Hypothèses!$B$4=17,Hypothèses!$B$4=18,Hypothèses!$B$4=19,Hypothèses!$B$4=20),
IF($D295="Pressio.",
IF(OR($E295=3,$E295=1,$E295=4),AC295,AB295),
IF($D295="Pénétro.",
IF(OR($E295=3,$E295=1,$E295=4),AC295,AB295))),IF($D295="Pressio.",
IF($E295=3,AC295,AB295),
IF($D295="Pénétro.",
IF($E295=4,AC295,AB295))))</f>
        <v>#N/A</v>
      </c>
      <c r="AE295" s="31" t="e">
        <f>(IF(OR(Hypothèses!$B$4=17,Hypothèses!$B$4=18,Hypothèses!$B$4=19,Hypothèses!$B$4=20),
IF($D295="Pressio.",
IF(OR($E295=3,$E295=1,$E295=4),(PI()*AE$12^2)/4*(AA295*$W295*1000)/($H295*$B$5),(PI()*AE$12^2)/4*(AA295*$W295*1000)/($G295*$B$5)),
IF($D295="Pénétro.",
IF(OR($E295=4,$E295=1,$E295=5),(PI()*AE$12^2)/4*(AA295*$W295*1000)/($H295*$B$5),(PI()*AE$12^2)/4*(AA295*$W295*1000)/($G295*$B$5)))),
IF($D295="Pressio.",
IF($E295=3,(PI()*AE$12^2)/4*(AA295*$W295*1000)/($H295*$B$5),(PI()*AE$12^2)/4*(AA295*$W295*1000)/($G295*$B$5)),
IF($D295="Pénétro.",
IF($E295=4,(PI()*AE$12^2)/4*(AA295*$W295*1000)/($H295*$B$5),(PI()*AE$12^2)/4*(AA295*$W295*1000)/($G295*$B$5))))))/10</f>
        <v>#N/A</v>
      </c>
      <c r="AF295" s="102" t="e">
        <f>(VLOOKUP($B$3,'Coeff EC7'!$T$39:$X$59,2,0)*AD295+VLOOKUP($B$3,'Coeff EC7'!$T$65:$X$85,2,0)*Model0.1C!AE295)/1.1</f>
        <v>#N/A</v>
      </c>
      <c r="AG295" s="102" t="e">
        <f>(VLOOKUP($B$3,'Coeff EC7'!$T$39:$X$59,3,0)*AD295+VLOOKUP($B$3,'Coeff EC7'!$T$65:$X$85,3,0)*Model0.1C!AE295)/0.9</f>
        <v>#N/A</v>
      </c>
      <c r="AH295" s="102" t="e">
        <f t="shared" si="439"/>
        <v>#N/A</v>
      </c>
      <c r="AI295" s="102" t="e">
        <f t="shared" si="440"/>
        <v>#N/A</v>
      </c>
      <c r="AJ295" s="414" t="e">
        <f>IF(AJ294=0,0,IF(AND(AF295&gt;charge_ELS_quasi,AG295&gt;Charge_ELS_freq,AH295&gt;charge_ELU,AI295&gt;charge_ELA,$B295&gt;NDC!$H$22-0.1+MIN(3*$AJ$12,1.5)),0,1))</f>
        <v>#N/A</v>
      </c>
      <c r="AK295" s="86" t="b">
        <f t="shared" si="441"/>
        <v>0</v>
      </c>
      <c r="AL295" s="86">
        <f t="shared" si="470"/>
        <v>0.5</v>
      </c>
      <c r="AM295" s="86">
        <f t="shared" si="442"/>
        <v>0.5</v>
      </c>
      <c r="AN295" s="30" t="e">
        <f t="shared" ca="1" si="471"/>
        <v>#DIV/0!</v>
      </c>
      <c r="AO295" s="85" t="e">
        <f ca="1">IF(U295&lt;=Hypothèses!$V$7,Hypothèses!$W$7,IF(U295&lt;=Hypothèses!$V$8,Hypothèses!$W$8,IF(U295&lt;=Hypothèses!$V$9,Hypothèses!$W$9,IF(U295&lt;=Hypothèses!$V$10,Hypothèses!$W$10,IF(U295&lt;=Hypothèses!$V$11,Hypothèses!$W$11,IF(U295&lt;=Hypothèses!$V$12,Hypothèses!$W$12,IF(U295&lt;=Hypothèses!$V$13,Hypothèses!$W$13,IF(U295&lt;=Hypothèses!$V$14,Hypothèses!$W$14,IF(U295&lt;=Hypothèses!$V$15,Hypothèses!$W$15,IF(U295&lt;=Hypothèses!$V$16,Hypothèses!$W$16,IF(U295&lt;=Hypothèses!$V$17,Hypothèses!$W$17,IF(U295&lt;=Hypothèses!$V$18,Hypothèses!$W$18,""))))))))))))</f>
        <v>#DIV/0!</v>
      </c>
      <c r="AP295" s="87" t="e">
        <f t="shared" ca="1" si="517"/>
        <v>#DIV/0!</v>
      </c>
      <c r="AQ295" s="88" t="e">
        <f ca="1">IF(U295&lt;=Hypothèses!$V$7,Hypothèses!$X$7,IF(U295&lt;=Hypothèses!$V$8,Hypothèses!$X$8,IF(U295&lt;=Hypothèses!$V$9,Hypothèses!$X$9,IF(U295&lt;=Hypothèses!$V$10,Hypothèses!$X$10,IF(U295&lt;=Hypothèses!$V$11,Hypothèses!$X$11,IF(U295&lt;=Hypothèses!$V$12,Hypothèses!$X$12,IF(U295&lt;=Hypothèses!$V$13,Hypothèses!$X$13,IF(U295&lt;=Hypothèses!$V$14,Hypothèses!$X$14,IF(U295&lt;=Hypothèses!$V$15,Hypothèses!$X$15,IF(U295&lt;=Hypothèses!$V$16,Hypothèses!$X$16,IF(U295&lt;=Hypothèses!$U$17,Hypothèses!$W$17,IF(U295&lt;=Hypothèses!$U$18,Hypothèses!$W$18,""))))))))))))</f>
        <v>#DIV/0!</v>
      </c>
      <c r="AR295" s="95" t="e">
        <f t="shared" ca="1" si="472"/>
        <v>#DIV/0!</v>
      </c>
      <c r="AS295" s="101" t="e">
        <f t="shared" si="524"/>
        <v>#N/A</v>
      </c>
      <c r="AT295" s="91" t="e">
        <f t="shared" si="443"/>
        <v>#N/A</v>
      </c>
      <c r="AU295" s="30" t="e">
        <f t="shared" si="502"/>
        <v>#N/A</v>
      </c>
      <c r="AV295" s="30" t="e">
        <f t="shared" si="503"/>
        <v>#N/A</v>
      </c>
      <c r="AW295" s="31" t="e">
        <f>IF(OR(Hypothèses!$B$4=17,Hypothèses!$B$4=18,Hypothèses!$B$4=19,Hypothèses!$B$4=20),
IF($D295="Pressio.",
IF(OR($E295=3,$E295=1,$E295=4),AV295,AU295),
IF($D295="Pénétro.",
IF(OR($E295=3,$E295=1,$E295=4),AV295,AU295))),IF($D295="Pressio.",
IF($E295=3,AV295,AU295),
IF($D295="Pénétro.",
IF($E295=4,AV295,AU295))))</f>
        <v>#N/A</v>
      </c>
      <c r="AX295" s="31" t="e">
        <f>(IF(OR(Hypothèses!$B$4=17,Hypothèses!$B$4=18,Hypothèses!$B$4=19,Hypothèses!$B$4=20),
IF($D295="Pressio.",
IF(OR($E295=3,$E295=1,$E295=4),(PI()*AX$12^2)/4*(AT295*$W295*1000)/($H295*$B$5),(PI()*AX$12^2)/4*(AT295*$W295*1000)/($G295*$B$5)),
IF($D295="Pénétro.",
IF(OR($E295=4,$E295=1,$E295=5),(PI()*AX$12^2)/4*(AT295*$W295*1000)/($H295*$B$5),(PI()*AX$12^2)/4*(AT295*$W295*1000)/($G295*$B$5)))),
IF($D295="Pressio.",
IF($E295=3,(PI()*AX$12^2)/4*(AT295*$W295*1000)/($H295*$B$5),(PI()*AX$12^2)/4*(AT295*$W295*1000)/($G295*$B$5)),
IF($D295="Pénétro.",
IF($E295=4,(PI()*AX$12^2)/4*(AT295*$W295*1000)/($H295*$B$5),(PI()*AX$12^2)/4*(AT295*$W295*1000)/($G295*$B$5))))))/10</f>
        <v>#N/A</v>
      </c>
      <c r="AY295" s="102" t="e">
        <f>(VLOOKUP($B$3,'Coeff EC7'!$T$39:$X$59,2,0)*AW295+VLOOKUP($B$3,'Coeff EC7'!$T$65:$X$85,2,0)*Model0.1C!AX295)/1.1</f>
        <v>#N/A</v>
      </c>
      <c r="AZ295" s="102" t="e">
        <f>(VLOOKUP($B$3,'Coeff EC7'!$T$39:$X$59,3,0)*AW295+VLOOKUP($B$3,'Coeff EC7'!$T$65:$X$85,3,0)*Model0.1C!AX295)/0.9</f>
        <v>#N/A</v>
      </c>
      <c r="BA295" s="102" t="e">
        <f t="shared" si="473"/>
        <v>#N/A</v>
      </c>
      <c r="BB295" s="102" t="e">
        <f t="shared" si="474"/>
        <v>#N/A</v>
      </c>
      <c r="BC295" s="414" t="e">
        <f>IF(BC294=0,0,IF(AND(AY295&gt;charge_ELS_quasi,AZ295&gt;Charge_ELS_freq,BA295&gt;charge_ELU,BB295&gt;charge_ELA,$B295&gt;NDC!$H$22-0.1+MIN(3*$BC$12,1.5)),0,1))</f>
        <v>#N/A</v>
      </c>
      <c r="BD295" s="86" t="b">
        <f t="shared" si="444"/>
        <v>0</v>
      </c>
      <c r="BE295" s="86">
        <f t="shared" si="475"/>
        <v>0.5</v>
      </c>
      <c r="BF295" s="86">
        <f t="shared" si="445"/>
        <v>0.5</v>
      </c>
      <c r="BG295" s="30" t="e">
        <f t="shared" ca="1" si="476"/>
        <v>#DIV/0!</v>
      </c>
      <c r="BH295" s="85" t="e">
        <f ca="1">IF(AN295&lt;=Hypothèses!$V$7,Hypothèses!$W$7,IF(AN295&lt;=Hypothèses!$V$8,Hypothèses!$W$8,IF(AN295&lt;=Hypothèses!$V$9,Hypothèses!$W$9,IF(AN295&lt;=Hypothèses!$V$10,Hypothèses!$W$10,IF(AN295&lt;=Hypothèses!$V$11,Hypothèses!$W$11,IF(AN295&lt;=Hypothèses!$V$12,Hypothèses!$W$12,IF(AN295&lt;=Hypothèses!$V$13,Hypothèses!$W$13,IF(AN295&lt;=Hypothèses!$V$14,Hypothèses!$W$14,IF(AN295&lt;=Hypothèses!$V$15,Hypothèses!$W$15,IF(AN295&lt;=Hypothèses!$V$16,Hypothèses!$W$16,IF(AN295&lt;=Hypothèses!$V$17,Hypothèses!$W$17,IF(AN295&lt;=Hypothèses!$V$18,Hypothèses!$W$18,""))))))))))))</f>
        <v>#DIV/0!</v>
      </c>
      <c r="BI295" s="87" t="e">
        <f t="shared" ca="1" si="518"/>
        <v>#DIV/0!</v>
      </c>
      <c r="BJ295" s="88" t="e">
        <f ca="1">IF(AN295&lt;=Hypothèses!$V$7,Hypothèses!$X$7,IF(AN295&lt;=Hypothèses!$V$8,Hypothèses!$X$8,IF(AN295&lt;=Hypothèses!$V$9,Hypothèses!$X$9,IF(AN295&lt;=Hypothèses!$V$10,Hypothèses!$X$10,IF(AN295&lt;=Hypothèses!$V$11,Hypothèses!$X$11,IF(AN295&lt;=Hypothèses!$V$12,Hypothèses!$X$12,IF(AN295&lt;=Hypothèses!$V$13,Hypothèses!$X$13,IF(AN295&lt;=Hypothèses!$V$14,Hypothèses!$X$14,IF(AN295&lt;=Hypothèses!$V$15,Hypothèses!$X$15,IF(AN295&lt;=Hypothèses!$V$16,Hypothèses!$X$16,IF(AN295&lt;=Hypothèses!$U$17,Hypothèses!$W$17,IF(AN295&lt;=Hypothèses!$U$18,Hypothèses!$W$18,""))))))))))))</f>
        <v>#DIV/0!</v>
      </c>
      <c r="BK295" s="95" t="e">
        <f t="shared" ca="1" si="477"/>
        <v>#DIV/0!</v>
      </c>
      <c r="BL295" s="101" t="e">
        <f t="shared" si="525"/>
        <v>#N/A</v>
      </c>
      <c r="BM295" s="91" t="e">
        <f t="shared" si="446"/>
        <v>#N/A</v>
      </c>
      <c r="BN295" s="30" t="e">
        <f t="shared" si="504"/>
        <v>#N/A</v>
      </c>
      <c r="BO295" s="30" t="e">
        <f t="shared" si="505"/>
        <v>#N/A</v>
      </c>
      <c r="BP295" s="31" t="e">
        <f>IF(OR(Hypothèses!$B$4=17,Hypothèses!$B$4=18,Hypothèses!$B$4=19,Hypothèses!$B$4=20),
IF($D295="Pressio.",
IF(OR($E295=3,$E295=1,$E295=4),BO295,BN295),
IF($D295="Pénétro.",
IF(OR($E295=3,$E295=1,$E295=4),BO295,BN295))),IF($D295="Pressio.",
IF($E295=3,BO295,BN295),
IF($D295="Pénétro.",
IF($E295=4,BO295,BN295))))</f>
        <v>#N/A</v>
      </c>
      <c r="BQ295" s="31" t="e">
        <f>(IF(OR(Hypothèses!$B$4=17,Hypothèses!$B$4=18,Hypothèses!$B$4=19,Hypothèses!$B$4=20),
IF($D295="Pressio.",
IF(OR($E295=3,$E295=1,$E295=4),(PI()*BQ$12^2)/4*(BM295*$W295*1000)/($H295*$B$5),(PI()*BQ$12^2)/4*(BM295*$W295*1000)/($G295*$B$5)),
IF($D295="Pénétro.",
IF(OR($E295=4,$E295=1,$E295=5),(PI()*BQ$12^2)/4*(BM295*$W295*1000)/($H295*$B$5),(PI()*BQ$12^2)/4*(BM295*$W295*1000)/($G295*$B$5)))),
IF($D295="Pressio.",
IF($E295=3,(PI()*BQ$12^2)/4*(BM295*$W295*1000)/($H295*$B$5),(PI()*BQ$12^2)/4*(BM295*$W295*1000)/($G295*$B$5)),
IF($D295="Pénétro.",
IF($E295=4,(PI()*BQ$12^2)/4*(BM295*$W295*1000)/($H295*$B$5),(PI()*BQ$12^2)/4*(BM295*$W295*1000)/($G295*$B$5))))))/10</f>
        <v>#N/A</v>
      </c>
      <c r="BR295" s="102" t="e">
        <f>(VLOOKUP($B$3,'Coeff EC7'!$T$39:$X$59,2,0)*BP295+VLOOKUP($B$3,'Coeff EC7'!$T$65:$X$85,2,0)*Model0.1C!BQ295)/1.1</f>
        <v>#N/A</v>
      </c>
      <c r="BS295" s="102" t="e">
        <f>(VLOOKUP($B$3,'Coeff EC7'!$T$39:$X$59,3,0)*BP295+VLOOKUP($B$3,'Coeff EC7'!$T$65:$X$85,3,0)*Model0.1C!BQ295)/0.9</f>
        <v>#N/A</v>
      </c>
      <c r="BT295" s="102" t="e">
        <f t="shared" si="478"/>
        <v>#N/A</v>
      </c>
      <c r="BU295" s="102" t="e">
        <f t="shared" si="479"/>
        <v>#N/A</v>
      </c>
      <c r="BV295" s="414" t="e">
        <f>IF(BV294=0,0,IF(AND(BR295&gt;charge_ELS_quasi,BS295&gt;Charge_ELS_freq,BT295&gt;charge_ELU,BU295&gt;charge_ELA,$B295&gt;NDC!$H$22-0.1+MIN(3*$BV$12,1.5)),0,1))</f>
        <v>#N/A</v>
      </c>
      <c r="BW295" s="86" t="b">
        <f t="shared" si="447"/>
        <v>0</v>
      </c>
      <c r="BX295" s="86">
        <f t="shared" si="448"/>
        <v>0.5</v>
      </c>
      <c r="BY295" s="86">
        <f t="shared" si="449"/>
        <v>0.5</v>
      </c>
      <c r="BZ295" s="30" t="e">
        <f t="shared" ca="1" si="480"/>
        <v>#DIV/0!</v>
      </c>
      <c r="CA295" s="85" t="e">
        <f ca="1">IF(BG295&lt;=Hypothèses!$V$7,Hypothèses!$W$7,IF(BG295&lt;=Hypothèses!$V$8,Hypothèses!$W$8,IF(BG295&lt;=Hypothèses!$V$9,Hypothèses!$W$9,IF(BG295&lt;=Hypothèses!$V$10,Hypothèses!$W$10,IF(BG295&lt;=Hypothèses!$V$11,Hypothèses!$W$11,IF(BG295&lt;=Hypothèses!$V$12,Hypothèses!$W$12,IF(BG295&lt;=Hypothèses!$V$13,Hypothèses!$W$13,IF(BG295&lt;=Hypothèses!$V$14,Hypothèses!$W$14,IF(BG295&lt;=Hypothèses!$V$15,Hypothèses!$W$15,IF(BG295&lt;=Hypothèses!$V$16,Hypothèses!$W$16,IF(BG295&lt;=Hypothèses!$V$17,Hypothèses!$W$17,IF(BG295&lt;=Hypothèses!$V$18,Hypothèses!$W$18,""))))))))))))</f>
        <v>#DIV/0!</v>
      </c>
      <c r="CB295" s="87" t="e">
        <f t="shared" ca="1" si="519"/>
        <v>#DIV/0!</v>
      </c>
      <c r="CC295" s="88" t="e">
        <f ca="1">IF(BG295&lt;=Hypothèses!$V$7,Hypothèses!$X$7,IF(BG295&lt;=Hypothèses!$V$8,Hypothèses!$X$8,IF(BG295&lt;=Hypothèses!$V$9,Hypothèses!$X$9,IF(BG295&lt;=Hypothèses!$V$10,Hypothèses!$X$10,IF(BG295&lt;=Hypothèses!$V$11,Hypothèses!$X$11,IF(BG295&lt;=Hypothèses!$V$12,Hypothèses!$X$12,IF(BG295&lt;=Hypothèses!$V$13,Hypothèses!$X$13,IF(BG295&lt;=Hypothèses!$V$14,Hypothèses!$X$14,IF(BG295&lt;=Hypothèses!$V$15,Hypothèses!$X$15,IF(BG295&lt;=Hypothèses!$V$16,Hypothèses!$X$16,IF(BG295&lt;=Hypothèses!$U$17,Hypothèses!$W$17,IF(BG295&lt;=Hypothèses!$U$18,Hypothèses!$W$18,""))))))))))))</f>
        <v>#DIV/0!</v>
      </c>
      <c r="CD295" s="95" t="e">
        <f t="shared" ca="1" si="481"/>
        <v>#DIV/0!</v>
      </c>
      <c r="CE295" s="101" t="e">
        <f t="shared" si="526"/>
        <v>#N/A</v>
      </c>
      <c r="CF295" s="91" t="e">
        <f t="shared" si="450"/>
        <v>#N/A</v>
      </c>
      <c r="CG295" s="30" t="e">
        <f t="shared" si="506"/>
        <v>#N/A</v>
      </c>
      <c r="CH295" s="30" t="e">
        <f t="shared" si="507"/>
        <v>#N/A</v>
      </c>
      <c r="CI295" s="31" t="e">
        <f>IF(OR(Hypothèses!$B$4=17,Hypothèses!$B$4=18,Hypothèses!$B$4=19,Hypothèses!$B$4=20),
IF($D295="Pressio.",
IF(OR($E295=3,$E295=1,$E295=4),CH295,CG295),
IF($D295="Pénétro.",
IF(OR($E295=3,$E295=1,$E295=4),CH295,CG295))),IF($D295="Pressio.",
IF($E295=3,CH295,CG295),
IF($D295="Pénétro.",
IF($E295=4,CH295,CG295))))</f>
        <v>#N/A</v>
      </c>
      <c r="CJ295" s="31" t="e">
        <f>(IF(OR(Hypothèses!$B$4=17,Hypothèses!$B$4=18,Hypothèses!$B$4=19,Hypothèses!$B$4=20),
IF($D295="Pressio.",
IF(OR($E295=3,$E295=1,$E295=4),(PI()*CJ$12^2)/4*(CF295*$W295*1000)/($H295*$B$5),(PI()*CJ$12^2)/4*(CF295*$W295*1000)/($G295*$B$5)),
IF($D295="Pénétro.",
IF(OR($E295=4,$E295=1,$E295=5),(PI()*CJ$12^2)/4*(CF295*$W295*1000)/($H295*$B$5),(PI()*CJ$12^2)/4*(CF295*$W295*1000)/($G295*$B$5)))),
IF($D295="Pressio.",
IF($E295=3,(PI()*CJ$12^2)/4*(CF295*$W295*1000)/($H295*$B$5),(PI()*CJ$12^2)/4*(CF295*$W295*1000)/($G295*$B$5)),
IF($D295="Pénétro.",
IF($E295=4,(PI()*CJ$12^2)/4*(CF295*$W295*1000)/($H295*$B$5),(PI()*CJ$12^2)/4*(CF295*$W295*1000)/($G295*$B$5))))))/10</f>
        <v>#N/A</v>
      </c>
      <c r="CK295" s="102" t="e">
        <f>(VLOOKUP($B$3,'Coeff EC7'!$T$39:$X$59,2,0)*CI295+VLOOKUP($B$3,'Coeff EC7'!$T$65:$X$85,2,0)*Model0.1C!CJ295)/1.1</f>
        <v>#N/A</v>
      </c>
      <c r="CL295" s="102" t="e">
        <f>(VLOOKUP($B$3,'Coeff EC7'!$T$39:$X$59,3,0)*CI295+VLOOKUP($B$3,'Coeff EC7'!$T$65:$X$85,3,0)*Model0.1C!CJ295)/0.9</f>
        <v>#N/A</v>
      </c>
      <c r="CM295" s="102" t="e">
        <f t="shared" si="482"/>
        <v>#N/A</v>
      </c>
      <c r="CN295" s="102" t="e">
        <f t="shared" si="483"/>
        <v>#N/A</v>
      </c>
      <c r="CO295" s="414" t="e">
        <f>IF(CO294=0,0,IF(AND(CK295&gt;charge_ELS_quasi,CL295&gt;Charge_ELS_freq,CM295&gt;charge_ELU,CN295&gt;charge_ELA,$B295&gt;NDC!$H$22-0.1+MIN(3*$CO$12,1.5)),0,1))</f>
        <v>#N/A</v>
      </c>
      <c r="CP295" s="86" t="b">
        <f t="shared" si="451"/>
        <v>0</v>
      </c>
      <c r="CQ295" s="86">
        <f t="shared" si="452"/>
        <v>0.5</v>
      </c>
      <c r="CR295" s="86">
        <f t="shared" si="453"/>
        <v>0.5</v>
      </c>
      <c r="CS295" s="30" t="e">
        <f t="shared" ca="1" si="484"/>
        <v>#DIV/0!</v>
      </c>
      <c r="CT295" s="85" t="e">
        <f ca="1">IF(BZ295&lt;=Hypothèses!$V$7,Hypothèses!$W$7,IF(BZ295&lt;=Hypothèses!$V$8,Hypothèses!$W$8,IF(BZ295&lt;=Hypothèses!$V$9,Hypothèses!$W$9,IF(BZ295&lt;=Hypothèses!$V$10,Hypothèses!$W$10,IF(BZ295&lt;=Hypothèses!$V$11,Hypothèses!$W$11,IF(BZ295&lt;=Hypothèses!$V$12,Hypothèses!$W$12,IF(BZ295&lt;=Hypothèses!$V$13,Hypothèses!$W$13,IF(BZ295&lt;=Hypothèses!$V$14,Hypothèses!$W$14,IF(BZ295&lt;=Hypothèses!$V$15,Hypothèses!$W$15,IF(BZ295&lt;=Hypothèses!$V$16,Hypothèses!$W$16,IF(BZ295&lt;=Hypothèses!$V$17,Hypothèses!$W$17,IF(BZ295&lt;=Hypothèses!$V$18,Hypothèses!$W$18,""))))))))))))</f>
        <v>#DIV/0!</v>
      </c>
      <c r="CU295" s="87" t="e">
        <f t="shared" ca="1" si="520"/>
        <v>#DIV/0!</v>
      </c>
      <c r="CV295" s="88" t="e">
        <f ca="1">IF(BZ295&lt;=Hypothèses!$V$7,Hypothèses!$X$7,IF(BZ295&lt;=Hypothèses!$V$8,Hypothèses!$X$8,IF(BZ295&lt;=Hypothèses!$V$9,Hypothèses!$X$9,IF(BZ295&lt;=Hypothèses!$V$10,Hypothèses!$X$10,IF(BZ295&lt;=Hypothèses!$V$11,Hypothèses!$X$11,IF(BZ295&lt;=Hypothèses!$V$12,Hypothèses!$X$12,IF(BZ295&lt;=Hypothèses!$V$13,Hypothèses!$X$13,IF(BZ295&lt;=Hypothèses!$V$14,Hypothèses!$X$14,IF(BZ295&lt;=Hypothèses!$V$15,Hypothèses!$X$15,IF(BZ295&lt;=Hypothèses!$V$16,Hypothèses!$X$16,IF(BZ295&lt;=Hypothèses!$U$17,Hypothèses!$W$17,IF(BZ295&lt;=Hypothèses!$U$18,Hypothèses!$W$18,""))))))))))))</f>
        <v>#DIV/0!</v>
      </c>
      <c r="CW295" s="95" t="e">
        <f t="shared" ca="1" si="485"/>
        <v>#DIV/0!</v>
      </c>
      <c r="CX295" s="101" t="e">
        <f t="shared" si="527"/>
        <v>#N/A</v>
      </c>
      <c r="CY295" s="91" t="e">
        <f t="shared" si="454"/>
        <v>#N/A</v>
      </c>
      <c r="CZ295" s="30" t="e">
        <f t="shared" si="508"/>
        <v>#N/A</v>
      </c>
      <c r="DA295" s="30" t="e">
        <f t="shared" si="509"/>
        <v>#N/A</v>
      </c>
      <c r="DB295" s="31" t="e">
        <f>IF(OR(Hypothèses!$B$4=17,Hypothèses!$B$4=18,Hypothèses!$B$4=19,Hypothèses!$B$4=20),
IF($D295="Pressio.",
IF(OR($E295=3,$E295=1,$E295=4),DA295,CZ295),
IF($D295="Pénétro.",
IF(OR($E295=3,$E295=1,$E295=4),DA295,CZ295))),IF($D295="Pressio.",
IF($E295=3,DA295,CZ295),
IF($D295="Pénétro.",
IF($E295=4,DA295,CZ295))))</f>
        <v>#N/A</v>
      </c>
      <c r="DC295" s="31" t="e">
        <f>(IF(OR(Hypothèses!$B$4=17,Hypothèses!$B$4=18,Hypothèses!$B$4=19,Hypothèses!$B$4=20),
IF($D295="Pressio.",
IF(OR($E295=3,$E295=1,$E295=4),(PI()*DC$12^2)/4*(CY295*$W295*1000)/($H295*$B$5),(PI()*DC$12^2)/4*(CY295*$W295*1000)/($G295*$B$5)),
IF($D295="Pénétro.",
IF(OR($E295=4,$E295=1,$E295=5),(PI()*DC$12^2)/4*(CY295*$W295*1000)/($H295*$B$5),(PI()*DC$12^2)/4*(CY295*$W295*1000)/($G295*$B$5)))),
IF($D295="Pressio.",
IF($E295=3,(PI()*DC$12^2)/4*(CY295*$W295*1000)/($H295*$B$5),(PI()*DC$12^2)/4*(CY295*$W295*1000)/($G295*$B$5)),
IF($D295="Pénétro.",
IF($E295=4,(PI()*DC$12^2)/4*(CY295*$W295*1000)/($H295*$B$5),(PI()*DC$12^2)/4*(CY295*$W295*1000)/($G295*$B$5))))))/10</f>
        <v>#N/A</v>
      </c>
      <c r="DD295" s="102" t="e">
        <f>(VLOOKUP($B$3,'Coeff EC7'!$T$39:$X$59,2,0)*DB295+VLOOKUP($B$3,'Coeff EC7'!$T$65:$X$85,2,0)*Model0.1C!DC295)/1.1</f>
        <v>#N/A</v>
      </c>
      <c r="DE295" s="102" t="e">
        <f>(VLOOKUP($B$3,'Coeff EC7'!$T$39:$X$59,3,0)*DB295+VLOOKUP($B$3,'Coeff EC7'!$T$65:$X$85,3,0)*Model0.1C!DC295)/0.9</f>
        <v>#N/A</v>
      </c>
      <c r="DF295" s="102" t="e">
        <f t="shared" si="486"/>
        <v>#N/A</v>
      </c>
      <c r="DG295" s="102" t="e">
        <f t="shared" si="487"/>
        <v>#N/A</v>
      </c>
      <c r="DH295" s="414" t="e">
        <f>IF(DH294=0,0,IF(AND(DD295&gt;charge_ELS_quasi,DE295&gt;Charge_ELS_freq,DF295&gt;charge_ELU,DG295&gt;charge_ELA,$B295&gt;NDC!$H$22-0.1+MIN(3*$DH$12,1.5)),0,1))</f>
        <v>#N/A</v>
      </c>
      <c r="DI295" s="86" t="b">
        <f t="shared" si="455"/>
        <v>0</v>
      </c>
      <c r="DJ295" s="86">
        <f t="shared" si="456"/>
        <v>0.5</v>
      </c>
      <c r="DK295" s="86">
        <f t="shared" si="457"/>
        <v>0.5</v>
      </c>
      <c r="DL295" s="30" t="e">
        <f t="shared" ca="1" si="488"/>
        <v>#DIV/0!</v>
      </c>
      <c r="DM295" s="85" t="e">
        <f ca="1">IF(CS295&lt;=Hypothèses!$V$7,Hypothèses!$W$7,IF(CS295&lt;=Hypothèses!$V$8,Hypothèses!$W$8,IF(CS295&lt;=Hypothèses!$V$9,Hypothèses!$W$9,IF(CS295&lt;=Hypothèses!$V$10,Hypothèses!$W$10,IF(CS295&lt;=Hypothèses!$V$11,Hypothèses!$W$11,IF(CS295&lt;=Hypothèses!$V$12,Hypothèses!$W$12,IF(CS295&lt;=Hypothèses!$V$13,Hypothèses!$W$13,IF(CS295&lt;=Hypothèses!$V$14,Hypothèses!$W$14,IF(CS295&lt;=Hypothèses!$V$15,Hypothèses!$W$15,IF(CS295&lt;=Hypothèses!$V$16,Hypothèses!$W$16,IF(CS295&lt;=Hypothèses!$V$17,Hypothèses!$W$17,IF(CS295&lt;=Hypothèses!$V$18,Hypothèses!$W$18,""))))))))))))</f>
        <v>#DIV/0!</v>
      </c>
      <c r="DN295" s="87" t="e">
        <f t="shared" ca="1" si="521"/>
        <v>#DIV/0!</v>
      </c>
      <c r="DO295" s="88" t="e">
        <f ca="1">IF(CS295&lt;=Hypothèses!$V$7,Hypothèses!$X$7,IF(CS295&lt;=Hypothèses!$V$8,Hypothèses!$X$8,IF(CS295&lt;=Hypothèses!$V$9,Hypothèses!$X$9,IF(CS295&lt;=Hypothèses!$V$10,Hypothèses!$X$10,IF(CS295&lt;=Hypothèses!$V$11,Hypothèses!$X$11,IF(CS295&lt;=Hypothèses!$V$12,Hypothèses!$X$12,IF(CS295&lt;=Hypothèses!$V$13,Hypothèses!$X$13,IF(CS295&lt;=Hypothèses!$V$14,Hypothèses!$X$14,IF(CS295&lt;=Hypothèses!$V$15,Hypothèses!$X$15,IF(CS295&lt;=Hypothèses!$V$16,Hypothèses!$X$16,IF(CS295&lt;=Hypothèses!$U$17,Hypothèses!$W$17,IF(CS295&lt;=Hypothèses!$U$18,Hypothèses!$W$18,""))))))))))))</f>
        <v>#DIV/0!</v>
      </c>
      <c r="DP295" s="95" t="e">
        <f t="shared" ca="1" si="489"/>
        <v>#DIV/0!</v>
      </c>
      <c r="DQ295" s="101" t="e">
        <f t="shared" si="528"/>
        <v>#N/A</v>
      </c>
      <c r="DR295" s="91" t="e">
        <f t="shared" si="458"/>
        <v>#N/A</v>
      </c>
      <c r="DS295" s="30" t="e">
        <f t="shared" si="510"/>
        <v>#N/A</v>
      </c>
      <c r="DT295" s="30" t="e">
        <f t="shared" si="511"/>
        <v>#N/A</v>
      </c>
      <c r="DU295" s="31" t="e">
        <f>IF(OR(Hypothèses!$B$4=17,Hypothèses!$B$4=18,Hypothèses!$B$4=19,Hypothèses!$B$4=20),
IF($D295="Pressio.",
IF(OR($E295=3,$E295=1,$E295=4),DT295,DS295),
IF($D295="Pénétro.",
IF(OR($E295=3,$E295=1,$E295=4),DT295,DS295))),IF($D295="Pressio.",
IF($E295=3,DT295,DS295),
IF($D295="Pénétro.",
IF($E295=4,DT295,DS295))))</f>
        <v>#N/A</v>
      </c>
      <c r="DV295" s="31" t="e">
        <f>(IF(OR(Hypothèses!$B$4=17,Hypothèses!$B$4=18,Hypothèses!$B$4=19,Hypothèses!$B$4=20),
IF($D295="Pressio.",
IF(OR($E295=3,$E295=1,$E295=4),(PI()*DV$12^2)/4*(DR295*$W295*1000)/($H295*$B$5),(PI()*DV$12^2)/4*(DR295*$W295*1000)/($G295*$B$5)),
IF($D295="Pénétro.",
IF(OR($E295=4,$E295=1,$E295=5),(PI()*DV$12^2)/4*(DR295*$W295*1000)/($H295*$B$5),(PI()*DV$12^2)/4*(DR295*$W295*1000)/($G295*$B$5)))),
IF($D295="Pressio.",
IF($E295=3,(PI()*DV$12^2)/4*(DR295*$W295*1000)/($H295*$B$5),(PI()*DV$12^2)/4*(DR295*$W295*1000)/($G295*$B$5)),
IF($D295="Pénétro.",
IF($E295=4,(PI()*DV$12^2)/4*(DR295*$W295*1000)/($H295*$B$5),(PI()*DV$12^2)/4*(DR295*$W295*1000)/($G295*$B$5))))))/10</f>
        <v>#N/A</v>
      </c>
      <c r="DW295" s="102" t="e">
        <f>(VLOOKUP($B$3,'Coeff EC7'!$T$39:$X$59,2,0)*DU295+VLOOKUP($B$3,'Coeff EC7'!$T$65:$X$85,2,0)*Model0.1C!DV295)/1.1</f>
        <v>#N/A</v>
      </c>
      <c r="DX295" s="102" t="e">
        <f>(VLOOKUP($B$3,'Coeff EC7'!$T$39:$X$59,3,0)*DU295+VLOOKUP($B$3,'Coeff EC7'!$T$65:$X$85,3,0)*Model0.1C!DV295)/0.9</f>
        <v>#N/A</v>
      </c>
      <c r="DY295" s="102" t="e">
        <f t="shared" si="490"/>
        <v>#N/A</v>
      </c>
      <c r="DZ295" s="102" t="e">
        <f t="shared" si="491"/>
        <v>#N/A</v>
      </c>
      <c r="EA295" s="414" t="e">
        <f>IF(EA294=0,0,IF(AND(DW295&gt;charge_ELS_quasi,DX295&gt;Charge_ELS_freq,DY295&gt;charge_ELU,DZ295&gt;charge_ELA,$B295&gt;NDC!$H$22-0.1+MIN(3*$EA$12,1.5)),0,1))</f>
        <v>#N/A</v>
      </c>
      <c r="EB295" s="86" t="b">
        <f t="shared" si="459"/>
        <v>0</v>
      </c>
      <c r="EC295" s="418">
        <f t="shared" si="460"/>
        <v>0.51</v>
      </c>
      <c r="ED295" s="86">
        <f t="shared" si="461"/>
        <v>0.51</v>
      </c>
      <c r="EE295" s="30" t="e">
        <f t="shared" ca="1" si="492"/>
        <v>#DIV/0!</v>
      </c>
      <c r="EF295" s="85" t="e">
        <f ca="1">IF(DL295&lt;=Hypothèses!$V$7,Hypothèses!$W$7,IF(DL295&lt;=Hypothèses!$V$8,Hypothèses!$W$8,IF(DL295&lt;=Hypothèses!$V$9,Hypothèses!$W$9,IF(DL295&lt;=Hypothèses!$V$10,Hypothèses!$W$10,IF(DL295&lt;=Hypothèses!$V$11,Hypothèses!$W$11,IF(DL295&lt;=Hypothèses!$V$12,Hypothèses!$W$12,IF(DL295&lt;=Hypothèses!$V$13,Hypothèses!$W$13,IF(DL295&lt;=Hypothèses!$V$14,Hypothèses!$W$14,IF(DL295&lt;=Hypothèses!$V$15,Hypothèses!$W$15,IF(DL295&lt;=Hypothèses!$V$16,Hypothèses!$W$16,IF(DL295&lt;=Hypothèses!$V$17,Hypothèses!$W$17,IF(DL295&lt;=Hypothèses!$V$18,Hypothèses!$W$18,""))))))))))))</f>
        <v>#DIV/0!</v>
      </c>
      <c r="EG295" s="87" t="e">
        <f t="shared" ca="1" si="522"/>
        <v>#DIV/0!</v>
      </c>
      <c r="EH295" s="88" t="e">
        <f ca="1">IF(DL295&lt;=Hypothèses!$V$7,Hypothèses!$X$7,IF(DL295&lt;=Hypothèses!$V$8,Hypothèses!$X$8,IF(DL295&lt;=Hypothèses!$V$9,Hypothèses!$X$9,IF(DL295&lt;=Hypothèses!$V$10,Hypothèses!$X$10,IF(DL295&lt;=Hypothèses!$V$11,Hypothèses!$X$11,IF(DL295&lt;=Hypothèses!$V$12,Hypothèses!$X$12,IF(DL295&lt;=Hypothèses!$V$13,Hypothèses!$X$13,IF(DL295&lt;=Hypothèses!$V$14,Hypothèses!$X$14,IF(DL295&lt;=Hypothèses!$V$15,Hypothèses!$X$15,IF(DL295&lt;=Hypothèses!$V$16,Hypothèses!$X$16,IF(DL295&lt;=Hypothèses!$U$17,Hypothèses!$W$17,IF(DL295&lt;=Hypothèses!$U$18,Hypothèses!$W$18,""))))))))))))</f>
        <v>#DIV/0!</v>
      </c>
      <c r="EI295" s="95" t="e">
        <f t="shared" ca="1" si="493"/>
        <v>#DIV/0!</v>
      </c>
      <c r="EJ295" s="101" t="e">
        <f t="shared" si="529"/>
        <v>#N/A</v>
      </c>
      <c r="EK295" s="91" t="e">
        <f t="shared" si="462"/>
        <v>#N/A</v>
      </c>
      <c r="EL295" s="30" t="e">
        <f t="shared" si="512"/>
        <v>#N/A</v>
      </c>
      <c r="EM295" s="30" t="e">
        <f t="shared" si="513"/>
        <v>#N/A</v>
      </c>
      <c r="EN295" s="31" t="e">
        <f>IF(OR(Hypothèses!$B$4=17,Hypothèses!$B$4=18,Hypothèses!$B$4=19,Hypothèses!$B$4=20),
IF($D295="Pressio.",
IF(OR($E295=3,$E295=1,$E295=4),EM295,EL295),
IF($D295="Pénétro.",
IF(OR($E295=3,$E295=1,$E295=4),EM295,EL295))),IF($D295="Pressio.",
IF($E295=3,EM295,EL295),
IF($D295="Pénétro.",
IF($E295=4,EM295,EL295))))</f>
        <v>#N/A</v>
      </c>
      <c r="EO295" s="31" t="e">
        <f>(IF(OR(Hypothèses!$B$4=17,Hypothèses!$B$4=18,Hypothèses!$B$4=19,Hypothèses!$B$4=20),
IF($D295="Pressio.",
IF(OR($E295=3,$E295=1,$E295=4),(PI()*EO$12^2)/4*(EK295*$W295*1000)/($H295*$B$5),(PI()*EO$12^2)/4*(EK295*$W295*1000)/($G295*$B$5)),
IF($D295="Pénétro.",
IF(OR($E295=4,$E295=1,$E295=5),(PI()*EO$12^2)/4*(EK295*$W295*1000)/($H295*$B$5),(PI()*EO$12^2)/4*(EK295*$W295*1000)/($G295*$B$5)))),
IF($D295="Pressio.",
IF($E295=3,(PI()*EO$12^2)/4*(EK295*$W295*1000)/($H295*$B$5),(PI()*EO$12^2)/4*(EK295*$W295*1000)/($G295*$B$5)),
IF($D295="Pénétro.",
IF($E295=4,(PI()*EO$12^2)/4*(EK295*$W295*1000)/($H295*$B$5),(PI()*EO$12^2)/4*(EK295*$W295*1000)/($G295*$B$5))))))/10</f>
        <v>#N/A</v>
      </c>
      <c r="EP295" s="102" t="e">
        <f>(VLOOKUP($B$3,'Coeff EC7'!$T$39:$X$59,2,0)*EN295+VLOOKUP($B$3,'Coeff EC7'!$T$65:$X$85,2,0)*Model0.1C!EO295)/1.1</f>
        <v>#N/A</v>
      </c>
      <c r="EQ295" s="102" t="e">
        <f>(VLOOKUP($B$3,'Coeff EC7'!$T$39:$X$59,3,0)*EN295+VLOOKUP($B$3,'Coeff EC7'!$T$65:$X$85,3,0)*Model0.1C!EO295)/0.9</f>
        <v>#N/A</v>
      </c>
      <c r="ER295" s="102" t="e">
        <f t="shared" si="494"/>
        <v>#N/A</v>
      </c>
      <c r="ES295" s="102" t="e">
        <f t="shared" si="495"/>
        <v>#N/A</v>
      </c>
      <c r="ET295" s="414" t="e">
        <f>IF(ET294=0,0,IF(AND(EP295&gt;charge_ELS_quasi,EQ295&gt;Charge_ELS_freq,ER295&gt;charge_ELU,ES295&gt;charge_ELA,$B295&gt;NDC!$H$22-0.1+MIN(3*$ET$12,1.5)),0,1))</f>
        <v>#N/A</v>
      </c>
      <c r="EU295" s="86" t="b">
        <f t="shared" si="463"/>
        <v>0</v>
      </c>
      <c r="EV295" s="86">
        <f t="shared" si="464"/>
        <v>0.61</v>
      </c>
      <c r="EW295" s="86">
        <f t="shared" si="465"/>
        <v>0.61</v>
      </c>
      <c r="EX295" s="30" t="e">
        <f t="shared" ca="1" si="496"/>
        <v>#DIV/0!</v>
      </c>
      <c r="EY295" s="85" t="e">
        <f ca="1">IF(EE295&lt;=Hypothèses!$V$7,Hypothèses!$W$7,IF(EE295&lt;=Hypothèses!$V$8,Hypothèses!$W$8,IF(EE295&lt;=Hypothèses!$V$9,Hypothèses!$W$9,IF(EE295&lt;=Hypothèses!$V$10,Hypothèses!$W$10,IF(EE295&lt;=Hypothèses!$V$11,Hypothèses!$W$11,IF(EE295&lt;=Hypothèses!$V$12,Hypothèses!$W$12,IF(EE295&lt;=Hypothèses!$V$13,Hypothèses!$W$13,IF(EE295&lt;=Hypothèses!$V$14,Hypothèses!$W$14,IF(EE295&lt;=Hypothèses!$V$15,Hypothèses!$W$15,IF(EE295&lt;=Hypothèses!$V$16,Hypothèses!$W$16,IF(EE295&lt;=Hypothèses!$V$17,Hypothèses!$W$17,IF(EE295&lt;=Hypothèses!$V$18,Hypothèses!$W$18,""))))))))))))</f>
        <v>#DIV/0!</v>
      </c>
      <c r="EZ295" s="87" t="e">
        <f t="shared" ca="1" si="523"/>
        <v>#DIV/0!</v>
      </c>
      <c r="FA295" s="88" t="e">
        <f ca="1">IF(EE295&lt;=Hypothèses!$V$7,Hypothèses!$X$7,IF(EE295&lt;=Hypothèses!$V$8,Hypothèses!$X$8,IF(EE295&lt;=Hypothèses!$V$9,Hypothèses!$X$9,IF(EE295&lt;=Hypothèses!$V$10,Hypothèses!$X$10,IF(EE295&lt;=Hypothèses!$V$11,Hypothèses!$X$11,IF(EE295&lt;=Hypothèses!$V$12,Hypothèses!$X$12,IF(EE295&lt;=Hypothèses!$V$13,Hypothèses!$X$13,IF(EE295&lt;=Hypothèses!$V$14,Hypothèses!$X$14,IF(EE295&lt;=Hypothèses!$V$15,Hypothèses!$X$15,IF(EE295&lt;=Hypothèses!$V$16,Hypothèses!$X$16,IF(EE295&lt;=Hypothèses!$U$17,Hypothèses!$W$17,IF(EE295&lt;=Hypothèses!$U$18,Hypothèses!$W$18,""))))))))))))</f>
        <v>#DIV/0!</v>
      </c>
      <c r="FB295" s="95" t="e">
        <f t="shared" ca="1" si="497"/>
        <v>#DIV/0!</v>
      </c>
      <c r="FC295" s="101" t="e">
        <f t="shared" si="530"/>
        <v>#N/A</v>
      </c>
      <c r="FD295" s="91" t="e">
        <f t="shared" si="466"/>
        <v>#N/A</v>
      </c>
      <c r="FE295" s="30" t="e">
        <f t="shared" si="514"/>
        <v>#N/A</v>
      </c>
      <c r="FF295" s="30" t="e">
        <f t="shared" si="515"/>
        <v>#N/A</v>
      </c>
      <c r="FG295" s="31" t="e">
        <f>IF(OR(Hypothèses!$B$4=17,Hypothèses!$B$4=18,Hypothèses!$B$4=19,Hypothèses!$B$4=20),
IF($D295="Pressio.",
IF(OR($E295=3,$E295=1,$E295=4),FF295,FE295),
IF($D295="Pénétro.",
IF(OR($E295=3,$E295=1,$E295=4),FF295,FE295))),IF($D295="Pressio.",
IF($E295=3,FF295,FE295),
IF($D295="Pénétro.",
IF($E295=4,FF295,FE295))))</f>
        <v>#N/A</v>
      </c>
      <c r="FH295" s="31" t="e">
        <f>(IF(OR(Hypothèses!$B$4=17,Hypothèses!$B$4=18,Hypothèses!$B$4=19,Hypothèses!$B$4=20),
IF($D295="Pressio.",
IF(OR($E295=3,$E295=1,$E295=4),(PI()*FH$12^2)/4*(FD295*$W295*1000)/($H295*$B$5),(PI()*FH$12^2)/4*(FD295*$W295*1000)/($G295*$B$5)),
IF($D295="Pénétro.",
IF(OR($E295=4,$E295=1,$E295=5),(PI()*FH$12^2)/4*(FD295*$W295*1000)/($H295*$B$5),(PI()*FH$12^2)/4*(FD295*$W295*1000)/($G295*$B$5)))),
IF($D295="Pressio.",
IF($E295=3,(PI()*FH$12^2)/4*(FD295*$W295*1000)/($H295*$B$5),(PI()*FH$12^2)/4*(FD295*$W295*1000)/($G295*$B$5)),
IF($D295="Pénétro.",
IF($E295=4,(PI()*FH$12^2)/4*(FD295*$W295*1000)/($H295*$B$5),(PI()*FH$12^2)/4*(FD295*$W295*1000)/($G295*$B$5))))))/10</f>
        <v>#N/A</v>
      </c>
      <c r="FI295" s="102" t="e">
        <f>(VLOOKUP($B$3,'Coeff EC7'!$T$39:$X$59,2,0)*FG295+VLOOKUP($B$3,'Coeff EC7'!$T$65:$X$85,2,0)*Model0.1C!FH295)/1.1</f>
        <v>#N/A</v>
      </c>
      <c r="FJ295" s="102" t="e">
        <f>(VLOOKUP($B$3,'Coeff EC7'!$T$39:$X$59,3,0)*FG295+VLOOKUP($B$3,'Coeff EC7'!$T$65:$X$85,3,0)*Model0.1C!FH295)/0.9</f>
        <v>#N/A</v>
      </c>
      <c r="FK295" s="102" t="e">
        <f t="shared" si="498"/>
        <v>#N/A</v>
      </c>
      <c r="FL295" s="102" t="e">
        <f t="shared" si="499"/>
        <v>#N/A</v>
      </c>
      <c r="FM295" s="414" t="e">
        <f>IF(FM294=0,0,IF(AND(FI295&gt;charge_ELS_quasi,FJ295&gt;Charge_ELS_freq,FK295&gt;charge_ELU,FL295&gt;charge_ELA,$B295&gt;NDC!$H$22-0.1+MIN(3*$FM$12,1.5)),0,1))</f>
        <v>#N/A</v>
      </c>
    </row>
    <row r="296" spans="1:169">
      <c r="A296" s="96">
        <f t="shared" si="467"/>
        <v>71.700000000001609</v>
      </c>
      <c r="B296" s="97">
        <v>28.3</v>
      </c>
      <c r="C296" s="81">
        <f>IF(B296&lt;=Hypothèses!$C$7,Hypothèses!$A$7,IF(B296&lt;=Hypothèses!$C$8,Hypothèses!$A$8,IF(B296&lt;=Hypothèses!$C$9,Hypothèses!$A$9,IF(B296&lt;=Hypothèses!$C$10,Hypothèses!$A$10,IF(B296&lt;=Hypothèses!$C$11,Hypothèses!$A$11,IF(B296&lt;=Hypothèses!$C$12,Hypothèses!$A$12,IF(B296&lt;=Hypothèses!$C$13,Hypothèses!$A$13,IF(B296&lt;=Hypothèses!$C$14,Hypothèses!$A$14,IF(B296&lt;=Hypothèses!$C$15,Hypothèses!$A$15,IF(B296&lt;=Hypothèses!$C$16,Hypothèses!$A$16,IF(B296&lt;=Hypothèses!$C$17,Hypothèses!$A$17,IF(B296&lt;=Hypothèses!$C$18,Hypothèses!$A$18,C295))))))))))))</f>
        <v>11</v>
      </c>
      <c r="D296" s="82" t="str">
        <f>IF(B296&lt;=Hypothèses!$C$7,Hypothèses!$R$7,IF(B296&lt;=Hypothèses!$C$8,Hypothèses!$R$8,IF(B296&lt;=Hypothèses!$C$9,Hypothèses!$R$9,IF(B296&lt;=Hypothèses!$C$10,Hypothèses!$R$10,IF(B296&lt;=Hypothèses!$C$11,Hypothèses!$R$11,IF(B296&lt;=Hypothèses!$C$12,Hypothèses!$R$12,IF(B296&lt;=Hypothèses!$C$13,Hypothèses!$R$13,IF(B296&lt;=Hypothèses!$C$14,Hypothèses!$R$14,IF(B296&lt;=Hypothèses!$C$15,Hypothèses!$R$15,IF(B296&lt;=Hypothèses!$C$16,Hypothèses!$R$16,IF(B296&lt;=Hypothèses!$C$17,Hypothèses!$R$17,IF(B296&lt;=Hypothèses!$C$18,Hypothèses!$R$18,D295))))))))))))</f>
        <v>Pressio.</v>
      </c>
      <c r="E296" s="82" t="e">
        <f>IF(B296&lt;=Hypothèses!$C$7,Hypothèses!$G$7,IF(B296&lt;=Hypothèses!$C$8,Hypothèses!$G$8,IF(B296&lt;=Hypothèses!$C$9,Hypothèses!$G$9,IF(B296&lt;=Hypothèses!$C$10,Hypothèses!$G$10,IF(B296&lt;=Hypothèses!$C$11,Hypothèses!$G$11,IF(B296&lt;=Hypothèses!$C$12,Hypothèses!$G$12,IF(B296&lt;=Hypothèses!$C$13,Hypothèses!$G$13,IF(B296&lt;=Hypothèses!$C$14,Hypothèses!$G$14,IF(B296&lt;=Hypothèses!$C$15,Hypothèses!$G$15,IF(B296&lt;=Hypothèses!$C$16,Hypothèses!$G$16,IF(B296&lt;=Hypothèses!$C$17,Hypothèses!$G$17,IF(B296&lt;=Hypothèses!$C$18,Hypothèses!$G$18,E295))))))))))))</f>
        <v>#N/A</v>
      </c>
      <c r="F296" s="82" t="str">
        <f>IF(B296&lt;=Hypothèses!$C$7,Hypothèses!$F$7,IF(B296&lt;=Hypothèses!$C$8,Hypothèses!$F$8,IF(B296&lt;=Hypothèses!$C$9,Hypothèses!$F$9,IF(B296&lt;=Hypothèses!$C$10,Hypothèses!$F$10,IF(B296&lt;=Hypothèses!$C$11,Hypothèses!$F$11,IF(B296&lt;=Hypothèses!$C$12,Hypothèses!$F$12,IF(B296&lt;=Hypothèses!$C$13,Hypothèses!$F$13,IF(B296&lt;=Hypothèses!$C$14,Hypothèses!$F$14,IF(B296&lt;=Hypothèses!$C$15,Hypothèses!$F$15,IF(B296&lt;=Hypothèses!$C$16,Hypothèses!$F$16,IF(B296&lt;=Hypothèses!$C$17,Hypothèses!$F$17,IF(B296&lt;=Hypothèses!$C$18,Hypothèses!$F$18,F295))))))))))))</f>
        <v/>
      </c>
      <c r="G296" s="91">
        <f t="array" ref="G296">INDEX('Coeff EC7'!$U$7:$X$27,
MATCH(Model0.1C!$B$3,'Coeff EC7'!$T$7:$T$27,0),
MATCH(Model0.1C!$D296&amp;Model0.1C!$B$4,
'Coeff EC7'!$U$6:$X$6&amp;
'Coeff EC7'!$U$5:$X$5,0))</f>
        <v>1.1499999999999999</v>
      </c>
      <c r="H296" s="91">
        <f t="array" ref="H296">INDEX('Coeff EC7'!$Y$7:$AB$27,
MATCH(Model0.1C!$B$3,'Coeff EC7'!$T$7:$T$27,0),
MATCH(Model0.1C!$D296&amp;Model0.1C!$B$4,
'Coeff EC7'!$Y$6:$AB$6&amp;
'Coeff EC7'!$Y$5:$AB$5,0))</f>
        <v>1.4</v>
      </c>
      <c r="I296" s="83" t="e">
        <f>IF(B296&lt;=Hypothèses!$C$7,Hypothèses!$P$7,IF(B296&lt;=Hypothèses!$C$8,Hypothèses!$P$8,IF(B296&lt;=Hypothèses!$C$9,Hypothèses!$P$9,IF(B296&lt;=Hypothèses!$C$10,Hypothèses!$P$10,IF(B296&lt;=Hypothèses!$C$11,Hypothèses!$P$11,IF(B296&lt;=Hypothèses!$C$12,Hypothèses!$P$12,IF(B296&lt;=Hypothèses!$C$13,Hypothèses!$P$13,IF(B296&lt;=Hypothèses!$C$14,Hypothèses!$P$14,IF(B296&lt;=Hypothèses!$C$15,Hypothèses!$P$15,IF(B296&lt;=Hypothèses!$C$16,Hypothèses!$P$16,IF(B296&lt;=Hypothèses!$C$17,Hypothèses!$P$17,IF(B296&lt;=Hypothèses!$C$18,Hypothèses!$P$18,I295))))))))))))</f>
        <v>#N/A</v>
      </c>
      <c r="J296" s="91" t="e">
        <f t="array" ref="J296">INDEX('Coeff EC7'!$D$33:$Q$33,1,MATCH(D296&amp;E296,'Coeff EC7'!$D$31:$Q$31&amp;'Coeff EC7'!$D$32:$Q$32,0))</f>
        <v>#N/A</v>
      </c>
      <c r="K296" s="91" t="e">
        <f t="array" ref="K296">INDEX('Coeff EC7'!$D$34:$Q$34,1,MATCH(D296&amp;E296,'Coeff EC7'!$D$31:$Q$31&amp;'Coeff EC7'!$D$32:$Q$32,0))</f>
        <v>#N/A</v>
      </c>
      <c r="L296" s="91" t="e">
        <f t="array" ref="L296">INDEX('Coeff EC7'!$D$35:$Q$35,1,MATCH(D296&amp;E296,'Coeff EC7'!$D$31:$Q$31&amp;'Coeff EC7'!$D$32:$Q$32,0))</f>
        <v>#N/A</v>
      </c>
      <c r="M296" s="98" t="e">
        <f t="shared" si="431"/>
        <v>#N/A</v>
      </c>
      <c r="N296" s="99" t="e">
        <f t="array" ref="N296">INDEX('Coeff EC7'!$D$7:$Q$27,MATCH($B$3,'Coeff EC7'!$C$7:$C$27,0),MATCH(D296&amp;E296,'Coeff EC7'!$D$5:$Q$5&amp;'Coeff EC7'!$D$6:$Q$6,0))</f>
        <v>#N/A</v>
      </c>
      <c r="O296" s="99" t="e">
        <f t="array" ref="O296">INDEX('Coeff EC7'!$D$41:$Q$61,MATCH($B$3,'Coeff EC7'!$C$41:$C$61,0),MATCH(D296&amp;E296,'Coeff EC7'!$D$39:$Q$39&amp;'Coeff EC7'!$D$40:$Q$40,0))</f>
        <v>#N/A</v>
      </c>
      <c r="P296" s="30" t="e">
        <f t="shared" si="468"/>
        <v>#N/A</v>
      </c>
      <c r="Q296" s="100" t="e">
        <f t="shared" si="433"/>
        <v>#N/A</v>
      </c>
      <c r="R296" s="86" t="b">
        <f t="shared" si="434"/>
        <v>0</v>
      </c>
      <c r="S296" s="86">
        <f t="shared" si="432"/>
        <v>0.5</v>
      </c>
      <c r="T296" s="86">
        <f t="shared" si="435"/>
        <v>0.5</v>
      </c>
      <c r="U296" s="30" t="e">
        <f t="shared" ca="1" si="469"/>
        <v>#DIV/0!</v>
      </c>
      <c r="V296" s="85" t="str">
        <f>IF(B296&lt;=Hypothèses!$V$7,Hypothèses!$W$7,IF(B296&lt;=Hypothèses!$V$8,Hypothèses!$W$8,IF(B296&lt;=Hypothèses!$V$9,Hypothèses!$W$9,IF(B296&lt;=Hypothèses!$V$10,Hypothèses!$W$10,IF(B296&lt;=Hypothèses!$V$11,Hypothèses!$W$11,IF(B296&lt;=Hypothèses!$V$12,Hypothèses!$W$12,IF(B296&lt;=Hypothèses!$V$13,Hypothèses!$W$13,IF(B296&lt;=Hypothèses!$V$14,Hypothèses!$W$14,IF(B296&lt;=Hypothèses!$V$15,Hypothèses!$W$15,IF(B296&lt;=Hypothèses!$V$16,Hypothèses!$W$16,IF(B296&lt;=Hypothèses!$V$17,Hypothèses!$W$17,IF(B296&lt;=Hypothèses!$V$18,Hypothèses!$W$18,""))))))))))))</f>
        <v/>
      </c>
      <c r="W296" s="87" t="e">
        <f t="shared" ca="1" si="516"/>
        <v>#DIV/0!</v>
      </c>
      <c r="X296" s="88" t="str">
        <f>IF(B296&lt;=Hypothèses!$V$7,Hypothèses!$X$7,IF(B296&lt;=Hypothèses!$V$8,Hypothèses!$X$8,IF(B296&lt;=Hypothèses!$V$9,Hypothèses!$X$9,IF(B296&lt;=Hypothèses!$V$10,Hypothèses!$X$10,IF(B296&lt;=Hypothèses!$V$11,Hypothèses!$X$11,IF(B296&lt;=Hypothèses!$V$12,Hypothèses!$X$12,IF(B296&lt;=Hypothèses!$V$13,Hypothèses!$X$13,IF(B296&lt;=Hypothèses!$V$14,Hypothèses!$X$14,IF(B296&lt;=Hypothèses!$V$15,Hypothèses!$X$15,IF(B296&lt;=Hypothèses!$V$16,Hypothèses!$X$16,IF(B296&lt;=Hypothèses!$U$17,Hypothèses!$W$17,IF(B296&lt;=Hypothèses!$U$18,Hypothèses!$W$18,""))))))))))))</f>
        <v/>
      </c>
      <c r="Y296" s="95" t="e">
        <f t="shared" ca="1" si="436"/>
        <v>#DIV/0!</v>
      </c>
      <c r="Z296" s="101" t="e">
        <f t="shared" si="437"/>
        <v>#N/A</v>
      </c>
      <c r="AA296" s="91" t="e">
        <f t="shared" si="438"/>
        <v>#N/A</v>
      </c>
      <c r="AB296" s="30" t="e">
        <f t="shared" si="500"/>
        <v>#N/A</v>
      </c>
      <c r="AC296" s="30" t="e">
        <f t="shared" si="501"/>
        <v>#N/A</v>
      </c>
      <c r="AD296" s="31" t="e">
        <f>IF(OR(Hypothèses!$B$4=17,Hypothèses!$B$4=18,Hypothèses!$B$4=19,Hypothèses!$B$4=20),
IF($D296="Pressio.",
IF(OR($E296=3,$E296=1,$E296=4),AC296,AB296),
IF($D296="Pénétro.",
IF(OR($E296=3,$E296=1,$E296=4),AC296,AB296))),IF($D296="Pressio.",
IF($E296=3,AC296,AB296),
IF($D296="Pénétro.",
IF($E296=4,AC296,AB296))))</f>
        <v>#N/A</v>
      </c>
      <c r="AE296" s="31" t="e">
        <f>(IF(OR(Hypothèses!$B$4=17,Hypothèses!$B$4=18,Hypothèses!$B$4=19,Hypothèses!$B$4=20),
IF($D296="Pressio.",
IF(OR($E296=3,$E296=1,$E296=4),(PI()*AE$12^2)/4*(AA296*$W296*1000)/($H296*$B$5),(PI()*AE$12^2)/4*(AA296*$W296*1000)/($G296*$B$5)),
IF($D296="Pénétro.",
IF(OR($E296=4,$E296=1,$E296=5),(PI()*AE$12^2)/4*(AA296*$W296*1000)/($H296*$B$5),(PI()*AE$12^2)/4*(AA296*$W296*1000)/($G296*$B$5)))),
IF($D296="Pressio.",
IF($E296=3,(PI()*AE$12^2)/4*(AA296*$W296*1000)/($H296*$B$5),(PI()*AE$12^2)/4*(AA296*$W296*1000)/($G296*$B$5)),
IF($D296="Pénétro.",
IF($E296=4,(PI()*AE$12^2)/4*(AA296*$W296*1000)/($H296*$B$5),(PI()*AE$12^2)/4*(AA296*$W296*1000)/($G296*$B$5))))))/10</f>
        <v>#N/A</v>
      </c>
      <c r="AF296" s="102" t="e">
        <f>(VLOOKUP($B$3,'Coeff EC7'!$T$39:$X$59,2,0)*AD296+VLOOKUP($B$3,'Coeff EC7'!$T$65:$X$85,2,0)*Model0.1C!AE296)/1.1</f>
        <v>#N/A</v>
      </c>
      <c r="AG296" s="102" t="e">
        <f>(VLOOKUP($B$3,'Coeff EC7'!$T$39:$X$59,3,0)*AD296+VLOOKUP($B$3,'Coeff EC7'!$T$65:$X$85,3,0)*Model0.1C!AE296)/0.9</f>
        <v>#N/A</v>
      </c>
      <c r="AH296" s="102" t="e">
        <f t="shared" si="439"/>
        <v>#N/A</v>
      </c>
      <c r="AI296" s="102" t="e">
        <f t="shared" si="440"/>
        <v>#N/A</v>
      </c>
      <c r="AJ296" s="414" t="e">
        <f>IF(AJ295=0,0,IF(AND(AF296&gt;charge_ELS_quasi,AG296&gt;Charge_ELS_freq,AH296&gt;charge_ELU,AI296&gt;charge_ELA,$B296&gt;NDC!$H$22-0.1+MIN(3*$AJ$12,1.5)),0,1))</f>
        <v>#N/A</v>
      </c>
      <c r="AK296" s="86" t="b">
        <f t="shared" si="441"/>
        <v>0</v>
      </c>
      <c r="AL296" s="86">
        <f t="shared" si="470"/>
        <v>0.5</v>
      </c>
      <c r="AM296" s="86">
        <f t="shared" si="442"/>
        <v>0.5</v>
      </c>
      <c r="AN296" s="30" t="e">
        <f t="shared" ca="1" si="471"/>
        <v>#DIV/0!</v>
      </c>
      <c r="AO296" s="85" t="e">
        <f ca="1">IF(U296&lt;=Hypothèses!$V$7,Hypothèses!$W$7,IF(U296&lt;=Hypothèses!$V$8,Hypothèses!$W$8,IF(U296&lt;=Hypothèses!$V$9,Hypothèses!$W$9,IF(U296&lt;=Hypothèses!$V$10,Hypothèses!$W$10,IF(U296&lt;=Hypothèses!$V$11,Hypothèses!$W$11,IF(U296&lt;=Hypothèses!$V$12,Hypothèses!$W$12,IF(U296&lt;=Hypothèses!$V$13,Hypothèses!$W$13,IF(U296&lt;=Hypothèses!$V$14,Hypothèses!$W$14,IF(U296&lt;=Hypothèses!$V$15,Hypothèses!$W$15,IF(U296&lt;=Hypothèses!$V$16,Hypothèses!$W$16,IF(U296&lt;=Hypothèses!$V$17,Hypothèses!$W$17,IF(U296&lt;=Hypothèses!$V$18,Hypothèses!$W$18,""))))))))))))</f>
        <v>#DIV/0!</v>
      </c>
      <c r="AP296" s="87" t="e">
        <f t="shared" ca="1" si="517"/>
        <v>#DIV/0!</v>
      </c>
      <c r="AQ296" s="88" t="e">
        <f ca="1">IF(U296&lt;=Hypothèses!$V$7,Hypothèses!$X$7,IF(U296&lt;=Hypothèses!$V$8,Hypothèses!$X$8,IF(U296&lt;=Hypothèses!$V$9,Hypothèses!$X$9,IF(U296&lt;=Hypothèses!$V$10,Hypothèses!$X$10,IF(U296&lt;=Hypothèses!$V$11,Hypothèses!$X$11,IF(U296&lt;=Hypothèses!$V$12,Hypothèses!$X$12,IF(U296&lt;=Hypothèses!$V$13,Hypothèses!$X$13,IF(U296&lt;=Hypothèses!$V$14,Hypothèses!$X$14,IF(U296&lt;=Hypothèses!$V$15,Hypothèses!$X$15,IF(U296&lt;=Hypothèses!$V$16,Hypothèses!$X$16,IF(U296&lt;=Hypothèses!$U$17,Hypothèses!$W$17,IF(U296&lt;=Hypothèses!$U$18,Hypothèses!$W$18,""))))))))))))</f>
        <v>#DIV/0!</v>
      </c>
      <c r="AR296" s="95" t="e">
        <f t="shared" ca="1" si="472"/>
        <v>#DIV/0!</v>
      </c>
      <c r="AS296" s="101" t="e">
        <f t="shared" si="524"/>
        <v>#N/A</v>
      </c>
      <c r="AT296" s="91" t="e">
        <f t="shared" si="443"/>
        <v>#N/A</v>
      </c>
      <c r="AU296" s="30" t="e">
        <f t="shared" si="502"/>
        <v>#N/A</v>
      </c>
      <c r="AV296" s="30" t="e">
        <f t="shared" si="503"/>
        <v>#N/A</v>
      </c>
      <c r="AW296" s="31" t="e">
        <f>IF(OR(Hypothèses!$B$4=17,Hypothèses!$B$4=18,Hypothèses!$B$4=19,Hypothèses!$B$4=20),
IF($D296="Pressio.",
IF(OR($E296=3,$E296=1,$E296=4),AV296,AU296),
IF($D296="Pénétro.",
IF(OR($E296=3,$E296=1,$E296=4),AV296,AU296))),IF($D296="Pressio.",
IF($E296=3,AV296,AU296),
IF($D296="Pénétro.",
IF($E296=4,AV296,AU296))))</f>
        <v>#N/A</v>
      </c>
      <c r="AX296" s="31" t="e">
        <f>(IF(OR(Hypothèses!$B$4=17,Hypothèses!$B$4=18,Hypothèses!$B$4=19,Hypothèses!$B$4=20),
IF($D296="Pressio.",
IF(OR($E296=3,$E296=1,$E296=4),(PI()*AX$12^2)/4*(AT296*$W296*1000)/($H296*$B$5),(PI()*AX$12^2)/4*(AT296*$W296*1000)/($G296*$B$5)),
IF($D296="Pénétro.",
IF(OR($E296=4,$E296=1,$E296=5),(PI()*AX$12^2)/4*(AT296*$W296*1000)/($H296*$B$5),(PI()*AX$12^2)/4*(AT296*$W296*1000)/($G296*$B$5)))),
IF($D296="Pressio.",
IF($E296=3,(PI()*AX$12^2)/4*(AT296*$W296*1000)/($H296*$B$5),(PI()*AX$12^2)/4*(AT296*$W296*1000)/($G296*$B$5)),
IF($D296="Pénétro.",
IF($E296=4,(PI()*AX$12^2)/4*(AT296*$W296*1000)/($H296*$B$5),(PI()*AX$12^2)/4*(AT296*$W296*1000)/($G296*$B$5))))))/10</f>
        <v>#N/A</v>
      </c>
      <c r="AY296" s="102" t="e">
        <f>(VLOOKUP($B$3,'Coeff EC7'!$T$39:$X$59,2,0)*AW296+VLOOKUP($B$3,'Coeff EC7'!$T$65:$X$85,2,0)*Model0.1C!AX296)/1.1</f>
        <v>#N/A</v>
      </c>
      <c r="AZ296" s="102" t="e">
        <f>(VLOOKUP($B$3,'Coeff EC7'!$T$39:$X$59,3,0)*AW296+VLOOKUP($B$3,'Coeff EC7'!$T$65:$X$85,3,0)*Model0.1C!AX296)/0.9</f>
        <v>#N/A</v>
      </c>
      <c r="BA296" s="102" t="e">
        <f t="shared" si="473"/>
        <v>#N/A</v>
      </c>
      <c r="BB296" s="102" t="e">
        <f t="shared" si="474"/>
        <v>#N/A</v>
      </c>
      <c r="BC296" s="414" t="e">
        <f>IF(BC295=0,0,IF(AND(AY296&gt;charge_ELS_quasi,AZ296&gt;Charge_ELS_freq,BA296&gt;charge_ELU,BB296&gt;charge_ELA,$B296&gt;NDC!$H$22-0.1+MIN(3*$BC$12,1.5)),0,1))</f>
        <v>#N/A</v>
      </c>
      <c r="BD296" s="86" t="b">
        <f t="shared" si="444"/>
        <v>0</v>
      </c>
      <c r="BE296" s="86">
        <f t="shared" si="475"/>
        <v>0.5</v>
      </c>
      <c r="BF296" s="86">
        <f t="shared" si="445"/>
        <v>0.5</v>
      </c>
      <c r="BG296" s="30" t="e">
        <f t="shared" ca="1" si="476"/>
        <v>#DIV/0!</v>
      </c>
      <c r="BH296" s="85" t="e">
        <f ca="1">IF(AN296&lt;=Hypothèses!$V$7,Hypothèses!$W$7,IF(AN296&lt;=Hypothèses!$V$8,Hypothèses!$W$8,IF(AN296&lt;=Hypothèses!$V$9,Hypothèses!$W$9,IF(AN296&lt;=Hypothèses!$V$10,Hypothèses!$W$10,IF(AN296&lt;=Hypothèses!$V$11,Hypothèses!$W$11,IF(AN296&lt;=Hypothèses!$V$12,Hypothèses!$W$12,IF(AN296&lt;=Hypothèses!$V$13,Hypothèses!$W$13,IF(AN296&lt;=Hypothèses!$V$14,Hypothèses!$W$14,IF(AN296&lt;=Hypothèses!$V$15,Hypothèses!$W$15,IF(AN296&lt;=Hypothèses!$V$16,Hypothèses!$W$16,IF(AN296&lt;=Hypothèses!$V$17,Hypothèses!$W$17,IF(AN296&lt;=Hypothèses!$V$18,Hypothèses!$W$18,""))))))))))))</f>
        <v>#DIV/0!</v>
      </c>
      <c r="BI296" s="87" t="e">
        <f t="shared" ca="1" si="518"/>
        <v>#DIV/0!</v>
      </c>
      <c r="BJ296" s="88" t="e">
        <f ca="1">IF(AN296&lt;=Hypothèses!$V$7,Hypothèses!$X$7,IF(AN296&lt;=Hypothèses!$V$8,Hypothèses!$X$8,IF(AN296&lt;=Hypothèses!$V$9,Hypothèses!$X$9,IF(AN296&lt;=Hypothèses!$V$10,Hypothèses!$X$10,IF(AN296&lt;=Hypothèses!$V$11,Hypothèses!$X$11,IF(AN296&lt;=Hypothèses!$V$12,Hypothèses!$X$12,IF(AN296&lt;=Hypothèses!$V$13,Hypothèses!$X$13,IF(AN296&lt;=Hypothèses!$V$14,Hypothèses!$X$14,IF(AN296&lt;=Hypothèses!$V$15,Hypothèses!$X$15,IF(AN296&lt;=Hypothèses!$V$16,Hypothèses!$X$16,IF(AN296&lt;=Hypothèses!$U$17,Hypothèses!$W$17,IF(AN296&lt;=Hypothèses!$U$18,Hypothèses!$W$18,""))))))))))))</f>
        <v>#DIV/0!</v>
      </c>
      <c r="BK296" s="95" t="e">
        <f t="shared" ca="1" si="477"/>
        <v>#DIV/0!</v>
      </c>
      <c r="BL296" s="101" t="e">
        <f t="shared" si="525"/>
        <v>#N/A</v>
      </c>
      <c r="BM296" s="91" t="e">
        <f t="shared" si="446"/>
        <v>#N/A</v>
      </c>
      <c r="BN296" s="30" t="e">
        <f t="shared" si="504"/>
        <v>#N/A</v>
      </c>
      <c r="BO296" s="30" t="e">
        <f t="shared" si="505"/>
        <v>#N/A</v>
      </c>
      <c r="BP296" s="31" t="e">
        <f>IF(OR(Hypothèses!$B$4=17,Hypothèses!$B$4=18,Hypothèses!$B$4=19,Hypothèses!$B$4=20),
IF($D296="Pressio.",
IF(OR($E296=3,$E296=1,$E296=4),BO296,BN296),
IF($D296="Pénétro.",
IF(OR($E296=3,$E296=1,$E296=4),BO296,BN296))),IF($D296="Pressio.",
IF($E296=3,BO296,BN296),
IF($D296="Pénétro.",
IF($E296=4,BO296,BN296))))</f>
        <v>#N/A</v>
      </c>
      <c r="BQ296" s="31" t="e">
        <f>(IF(OR(Hypothèses!$B$4=17,Hypothèses!$B$4=18,Hypothèses!$B$4=19,Hypothèses!$B$4=20),
IF($D296="Pressio.",
IF(OR($E296=3,$E296=1,$E296=4),(PI()*BQ$12^2)/4*(BM296*$W296*1000)/($H296*$B$5),(PI()*BQ$12^2)/4*(BM296*$W296*1000)/($G296*$B$5)),
IF($D296="Pénétro.",
IF(OR($E296=4,$E296=1,$E296=5),(PI()*BQ$12^2)/4*(BM296*$W296*1000)/($H296*$B$5),(PI()*BQ$12^2)/4*(BM296*$W296*1000)/($G296*$B$5)))),
IF($D296="Pressio.",
IF($E296=3,(PI()*BQ$12^2)/4*(BM296*$W296*1000)/($H296*$B$5),(PI()*BQ$12^2)/4*(BM296*$W296*1000)/($G296*$B$5)),
IF($D296="Pénétro.",
IF($E296=4,(PI()*BQ$12^2)/4*(BM296*$W296*1000)/($H296*$B$5),(PI()*BQ$12^2)/4*(BM296*$W296*1000)/($G296*$B$5))))))/10</f>
        <v>#N/A</v>
      </c>
      <c r="BR296" s="102" t="e">
        <f>(VLOOKUP($B$3,'Coeff EC7'!$T$39:$X$59,2,0)*BP296+VLOOKUP($B$3,'Coeff EC7'!$T$65:$X$85,2,0)*Model0.1C!BQ296)/1.1</f>
        <v>#N/A</v>
      </c>
      <c r="BS296" s="102" t="e">
        <f>(VLOOKUP($B$3,'Coeff EC7'!$T$39:$X$59,3,0)*BP296+VLOOKUP($B$3,'Coeff EC7'!$T$65:$X$85,3,0)*Model0.1C!BQ296)/0.9</f>
        <v>#N/A</v>
      </c>
      <c r="BT296" s="102" t="e">
        <f t="shared" si="478"/>
        <v>#N/A</v>
      </c>
      <c r="BU296" s="102" t="e">
        <f t="shared" si="479"/>
        <v>#N/A</v>
      </c>
      <c r="BV296" s="414" t="e">
        <f>IF(BV295=0,0,IF(AND(BR296&gt;charge_ELS_quasi,BS296&gt;Charge_ELS_freq,BT296&gt;charge_ELU,BU296&gt;charge_ELA,$B296&gt;NDC!$H$22-0.1+MIN(3*$BV$12,1.5)),0,1))</f>
        <v>#N/A</v>
      </c>
      <c r="BW296" s="86" t="b">
        <f t="shared" si="447"/>
        <v>0</v>
      </c>
      <c r="BX296" s="86">
        <f t="shared" si="448"/>
        <v>0.5</v>
      </c>
      <c r="BY296" s="86">
        <f t="shared" si="449"/>
        <v>0.5</v>
      </c>
      <c r="BZ296" s="30" t="e">
        <f t="shared" ca="1" si="480"/>
        <v>#DIV/0!</v>
      </c>
      <c r="CA296" s="85" t="e">
        <f ca="1">IF(BG296&lt;=Hypothèses!$V$7,Hypothèses!$W$7,IF(BG296&lt;=Hypothèses!$V$8,Hypothèses!$W$8,IF(BG296&lt;=Hypothèses!$V$9,Hypothèses!$W$9,IF(BG296&lt;=Hypothèses!$V$10,Hypothèses!$W$10,IF(BG296&lt;=Hypothèses!$V$11,Hypothèses!$W$11,IF(BG296&lt;=Hypothèses!$V$12,Hypothèses!$W$12,IF(BG296&lt;=Hypothèses!$V$13,Hypothèses!$W$13,IF(BG296&lt;=Hypothèses!$V$14,Hypothèses!$W$14,IF(BG296&lt;=Hypothèses!$V$15,Hypothèses!$W$15,IF(BG296&lt;=Hypothèses!$V$16,Hypothèses!$W$16,IF(BG296&lt;=Hypothèses!$V$17,Hypothèses!$W$17,IF(BG296&lt;=Hypothèses!$V$18,Hypothèses!$W$18,""))))))))))))</f>
        <v>#DIV/0!</v>
      </c>
      <c r="CB296" s="87" t="e">
        <f t="shared" ca="1" si="519"/>
        <v>#DIV/0!</v>
      </c>
      <c r="CC296" s="88" t="e">
        <f ca="1">IF(BG296&lt;=Hypothèses!$V$7,Hypothèses!$X$7,IF(BG296&lt;=Hypothèses!$V$8,Hypothèses!$X$8,IF(BG296&lt;=Hypothèses!$V$9,Hypothèses!$X$9,IF(BG296&lt;=Hypothèses!$V$10,Hypothèses!$X$10,IF(BG296&lt;=Hypothèses!$V$11,Hypothèses!$X$11,IF(BG296&lt;=Hypothèses!$V$12,Hypothèses!$X$12,IF(BG296&lt;=Hypothèses!$V$13,Hypothèses!$X$13,IF(BG296&lt;=Hypothèses!$V$14,Hypothèses!$X$14,IF(BG296&lt;=Hypothèses!$V$15,Hypothèses!$X$15,IF(BG296&lt;=Hypothèses!$V$16,Hypothèses!$X$16,IF(BG296&lt;=Hypothèses!$U$17,Hypothèses!$W$17,IF(BG296&lt;=Hypothèses!$U$18,Hypothèses!$W$18,""))))))))))))</f>
        <v>#DIV/0!</v>
      </c>
      <c r="CD296" s="95" t="e">
        <f t="shared" ca="1" si="481"/>
        <v>#DIV/0!</v>
      </c>
      <c r="CE296" s="101" t="e">
        <f t="shared" si="526"/>
        <v>#N/A</v>
      </c>
      <c r="CF296" s="91" t="e">
        <f t="shared" si="450"/>
        <v>#N/A</v>
      </c>
      <c r="CG296" s="30" t="e">
        <f t="shared" si="506"/>
        <v>#N/A</v>
      </c>
      <c r="CH296" s="30" t="e">
        <f t="shared" si="507"/>
        <v>#N/A</v>
      </c>
      <c r="CI296" s="31" t="e">
        <f>IF(OR(Hypothèses!$B$4=17,Hypothèses!$B$4=18,Hypothèses!$B$4=19,Hypothèses!$B$4=20),
IF($D296="Pressio.",
IF(OR($E296=3,$E296=1,$E296=4),CH296,CG296),
IF($D296="Pénétro.",
IF(OR($E296=3,$E296=1,$E296=4),CH296,CG296))),IF($D296="Pressio.",
IF($E296=3,CH296,CG296),
IF($D296="Pénétro.",
IF($E296=4,CH296,CG296))))</f>
        <v>#N/A</v>
      </c>
      <c r="CJ296" s="31" t="e">
        <f>(IF(OR(Hypothèses!$B$4=17,Hypothèses!$B$4=18,Hypothèses!$B$4=19,Hypothèses!$B$4=20),
IF($D296="Pressio.",
IF(OR($E296=3,$E296=1,$E296=4),(PI()*CJ$12^2)/4*(CF296*$W296*1000)/($H296*$B$5),(PI()*CJ$12^2)/4*(CF296*$W296*1000)/($G296*$B$5)),
IF($D296="Pénétro.",
IF(OR($E296=4,$E296=1,$E296=5),(PI()*CJ$12^2)/4*(CF296*$W296*1000)/($H296*$B$5),(PI()*CJ$12^2)/4*(CF296*$W296*1000)/($G296*$B$5)))),
IF($D296="Pressio.",
IF($E296=3,(PI()*CJ$12^2)/4*(CF296*$W296*1000)/($H296*$B$5),(PI()*CJ$12^2)/4*(CF296*$W296*1000)/($G296*$B$5)),
IF($D296="Pénétro.",
IF($E296=4,(PI()*CJ$12^2)/4*(CF296*$W296*1000)/($H296*$B$5),(PI()*CJ$12^2)/4*(CF296*$W296*1000)/($G296*$B$5))))))/10</f>
        <v>#N/A</v>
      </c>
      <c r="CK296" s="102" t="e">
        <f>(VLOOKUP($B$3,'Coeff EC7'!$T$39:$X$59,2,0)*CI296+VLOOKUP($B$3,'Coeff EC7'!$T$65:$X$85,2,0)*Model0.1C!CJ296)/1.1</f>
        <v>#N/A</v>
      </c>
      <c r="CL296" s="102" t="e">
        <f>(VLOOKUP($B$3,'Coeff EC7'!$T$39:$X$59,3,0)*CI296+VLOOKUP($B$3,'Coeff EC7'!$T$65:$X$85,3,0)*Model0.1C!CJ296)/0.9</f>
        <v>#N/A</v>
      </c>
      <c r="CM296" s="102" t="e">
        <f t="shared" si="482"/>
        <v>#N/A</v>
      </c>
      <c r="CN296" s="102" t="e">
        <f t="shared" si="483"/>
        <v>#N/A</v>
      </c>
      <c r="CO296" s="414" t="e">
        <f>IF(CO295=0,0,IF(AND(CK296&gt;charge_ELS_quasi,CL296&gt;Charge_ELS_freq,CM296&gt;charge_ELU,CN296&gt;charge_ELA,$B296&gt;NDC!$H$22-0.1+MIN(3*$CO$12,1.5)),0,1))</f>
        <v>#N/A</v>
      </c>
      <c r="CP296" s="86" t="b">
        <f t="shared" si="451"/>
        <v>0</v>
      </c>
      <c r="CQ296" s="86">
        <f t="shared" si="452"/>
        <v>0.5</v>
      </c>
      <c r="CR296" s="86">
        <f t="shared" si="453"/>
        <v>0.5</v>
      </c>
      <c r="CS296" s="30" t="e">
        <f t="shared" ca="1" si="484"/>
        <v>#DIV/0!</v>
      </c>
      <c r="CT296" s="85" t="e">
        <f ca="1">IF(BZ296&lt;=Hypothèses!$V$7,Hypothèses!$W$7,IF(BZ296&lt;=Hypothèses!$V$8,Hypothèses!$W$8,IF(BZ296&lt;=Hypothèses!$V$9,Hypothèses!$W$9,IF(BZ296&lt;=Hypothèses!$V$10,Hypothèses!$W$10,IF(BZ296&lt;=Hypothèses!$V$11,Hypothèses!$W$11,IF(BZ296&lt;=Hypothèses!$V$12,Hypothèses!$W$12,IF(BZ296&lt;=Hypothèses!$V$13,Hypothèses!$W$13,IF(BZ296&lt;=Hypothèses!$V$14,Hypothèses!$W$14,IF(BZ296&lt;=Hypothèses!$V$15,Hypothèses!$W$15,IF(BZ296&lt;=Hypothèses!$V$16,Hypothèses!$W$16,IF(BZ296&lt;=Hypothèses!$V$17,Hypothèses!$W$17,IF(BZ296&lt;=Hypothèses!$V$18,Hypothèses!$W$18,""))))))))))))</f>
        <v>#DIV/0!</v>
      </c>
      <c r="CU296" s="87" t="e">
        <f t="shared" ca="1" si="520"/>
        <v>#DIV/0!</v>
      </c>
      <c r="CV296" s="88" t="e">
        <f ca="1">IF(BZ296&lt;=Hypothèses!$V$7,Hypothèses!$X$7,IF(BZ296&lt;=Hypothèses!$V$8,Hypothèses!$X$8,IF(BZ296&lt;=Hypothèses!$V$9,Hypothèses!$X$9,IF(BZ296&lt;=Hypothèses!$V$10,Hypothèses!$X$10,IF(BZ296&lt;=Hypothèses!$V$11,Hypothèses!$X$11,IF(BZ296&lt;=Hypothèses!$V$12,Hypothèses!$X$12,IF(BZ296&lt;=Hypothèses!$V$13,Hypothèses!$X$13,IF(BZ296&lt;=Hypothèses!$V$14,Hypothèses!$X$14,IF(BZ296&lt;=Hypothèses!$V$15,Hypothèses!$X$15,IF(BZ296&lt;=Hypothèses!$V$16,Hypothèses!$X$16,IF(BZ296&lt;=Hypothèses!$U$17,Hypothèses!$W$17,IF(BZ296&lt;=Hypothèses!$U$18,Hypothèses!$W$18,""))))))))))))</f>
        <v>#DIV/0!</v>
      </c>
      <c r="CW296" s="95" t="e">
        <f t="shared" ca="1" si="485"/>
        <v>#DIV/0!</v>
      </c>
      <c r="CX296" s="101" t="e">
        <f t="shared" si="527"/>
        <v>#N/A</v>
      </c>
      <c r="CY296" s="91" t="e">
        <f t="shared" si="454"/>
        <v>#N/A</v>
      </c>
      <c r="CZ296" s="30" t="e">
        <f t="shared" si="508"/>
        <v>#N/A</v>
      </c>
      <c r="DA296" s="30" t="e">
        <f t="shared" si="509"/>
        <v>#N/A</v>
      </c>
      <c r="DB296" s="31" t="e">
        <f>IF(OR(Hypothèses!$B$4=17,Hypothèses!$B$4=18,Hypothèses!$B$4=19,Hypothèses!$B$4=20),
IF($D296="Pressio.",
IF(OR($E296=3,$E296=1,$E296=4),DA296,CZ296),
IF($D296="Pénétro.",
IF(OR($E296=3,$E296=1,$E296=4),DA296,CZ296))),IF($D296="Pressio.",
IF($E296=3,DA296,CZ296),
IF($D296="Pénétro.",
IF($E296=4,DA296,CZ296))))</f>
        <v>#N/A</v>
      </c>
      <c r="DC296" s="31" t="e">
        <f>(IF(OR(Hypothèses!$B$4=17,Hypothèses!$B$4=18,Hypothèses!$B$4=19,Hypothèses!$B$4=20),
IF($D296="Pressio.",
IF(OR($E296=3,$E296=1,$E296=4),(PI()*DC$12^2)/4*(CY296*$W296*1000)/($H296*$B$5),(PI()*DC$12^2)/4*(CY296*$W296*1000)/($G296*$B$5)),
IF($D296="Pénétro.",
IF(OR($E296=4,$E296=1,$E296=5),(PI()*DC$12^2)/4*(CY296*$W296*1000)/($H296*$B$5),(PI()*DC$12^2)/4*(CY296*$W296*1000)/($G296*$B$5)))),
IF($D296="Pressio.",
IF($E296=3,(PI()*DC$12^2)/4*(CY296*$W296*1000)/($H296*$B$5),(PI()*DC$12^2)/4*(CY296*$W296*1000)/($G296*$B$5)),
IF($D296="Pénétro.",
IF($E296=4,(PI()*DC$12^2)/4*(CY296*$W296*1000)/($H296*$B$5),(PI()*DC$12^2)/4*(CY296*$W296*1000)/($G296*$B$5))))))/10</f>
        <v>#N/A</v>
      </c>
      <c r="DD296" s="102" t="e">
        <f>(VLOOKUP($B$3,'Coeff EC7'!$T$39:$X$59,2,0)*DB296+VLOOKUP($B$3,'Coeff EC7'!$T$65:$X$85,2,0)*Model0.1C!DC296)/1.1</f>
        <v>#N/A</v>
      </c>
      <c r="DE296" s="102" t="e">
        <f>(VLOOKUP($B$3,'Coeff EC7'!$T$39:$X$59,3,0)*DB296+VLOOKUP($B$3,'Coeff EC7'!$T$65:$X$85,3,0)*Model0.1C!DC296)/0.9</f>
        <v>#N/A</v>
      </c>
      <c r="DF296" s="102" t="e">
        <f t="shared" si="486"/>
        <v>#N/A</v>
      </c>
      <c r="DG296" s="102" t="e">
        <f t="shared" si="487"/>
        <v>#N/A</v>
      </c>
      <c r="DH296" s="414" t="e">
        <f>IF(DH295=0,0,IF(AND(DD296&gt;charge_ELS_quasi,DE296&gt;Charge_ELS_freq,DF296&gt;charge_ELU,DG296&gt;charge_ELA,$B296&gt;NDC!$H$22-0.1+MIN(3*$DH$12,1.5)),0,1))</f>
        <v>#N/A</v>
      </c>
      <c r="DI296" s="86" t="b">
        <f t="shared" si="455"/>
        <v>0</v>
      </c>
      <c r="DJ296" s="86">
        <f t="shared" si="456"/>
        <v>0.5</v>
      </c>
      <c r="DK296" s="86">
        <f t="shared" si="457"/>
        <v>0.5</v>
      </c>
      <c r="DL296" s="30" t="e">
        <f t="shared" ca="1" si="488"/>
        <v>#DIV/0!</v>
      </c>
      <c r="DM296" s="85" t="e">
        <f ca="1">IF(CS296&lt;=Hypothèses!$V$7,Hypothèses!$W$7,IF(CS296&lt;=Hypothèses!$V$8,Hypothèses!$W$8,IF(CS296&lt;=Hypothèses!$V$9,Hypothèses!$W$9,IF(CS296&lt;=Hypothèses!$V$10,Hypothèses!$W$10,IF(CS296&lt;=Hypothèses!$V$11,Hypothèses!$W$11,IF(CS296&lt;=Hypothèses!$V$12,Hypothèses!$W$12,IF(CS296&lt;=Hypothèses!$V$13,Hypothèses!$W$13,IF(CS296&lt;=Hypothèses!$V$14,Hypothèses!$W$14,IF(CS296&lt;=Hypothèses!$V$15,Hypothèses!$W$15,IF(CS296&lt;=Hypothèses!$V$16,Hypothèses!$W$16,IF(CS296&lt;=Hypothèses!$V$17,Hypothèses!$W$17,IF(CS296&lt;=Hypothèses!$V$18,Hypothèses!$W$18,""))))))))))))</f>
        <v>#DIV/0!</v>
      </c>
      <c r="DN296" s="87" t="e">
        <f t="shared" ca="1" si="521"/>
        <v>#DIV/0!</v>
      </c>
      <c r="DO296" s="88" t="e">
        <f ca="1">IF(CS296&lt;=Hypothèses!$V$7,Hypothèses!$X$7,IF(CS296&lt;=Hypothèses!$V$8,Hypothèses!$X$8,IF(CS296&lt;=Hypothèses!$V$9,Hypothèses!$X$9,IF(CS296&lt;=Hypothèses!$V$10,Hypothèses!$X$10,IF(CS296&lt;=Hypothèses!$V$11,Hypothèses!$X$11,IF(CS296&lt;=Hypothèses!$V$12,Hypothèses!$X$12,IF(CS296&lt;=Hypothèses!$V$13,Hypothèses!$X$13,IF(CS296&lt;=Hypothèses!$V$14,Hypothèses!$X$14,IF(CS296&lt;=Hypothèses!$V$15,Hypothèses!$X$15,IF(CS296&lt;=Hypothèses!$V$16,Hypothèses!$X$16,IF(CS296&lt;=Hypothèses!$U$17,Hypothèses!$W$17,IF(CS296&lt;=Hypothèses!$U$18,Hypothèses!$W$18,""))))))))))))</f>
        <v>#DIV/0!</v>
      </c>
      <c r="DP296" s="95" t="e">
        <f t="shared" ca="1" si="489"/>
        <v>#DIV/0!</v>
      </c>
      <c r="DQ296" s="101" t="e">
        <f t="shared" si="528"/>
        <v>#N/A</v>
      </c>
      <c r="DR296" s="91" t="e">
        <f t="shared" si="458"/>
        <v>#N/A</v>
      </c>
      <c r="DS296" s="30" t="e">
        <f t="shared" si="510"/>
        <v>#N/A</v>
      </c>
      <c r="DT296" s="30" t="e">
        <f t="shared" si="511"/>
        <v>#N/A</v>
      </c>
      <c r="DU296" s="31" t="e">
        <f>IF(OR(Hypothèses!$B$4=17,Hypothèses!$B$4=18,Hypothèses!$B$4=19,Hypothèses!$B$4=20),
IF($D296="Pressio.",
IF(OR($E296=3,$E296=1,$E296=4),DT296,DS296),
IF($D296="Pénétro.",
IF(OR($E296=3,$E296=1,$E296=4),DT296,DS296))),IF($D296="Pressio.",
IF($E296=3,DT296,DS296),
IF($D296="Pénétro.",
IF($E296=4,DT296,DS296))))</f>
        <v>#N/A</v>
      </c>
      <c r="DV296" s="31" t="e">
        <f>(IF(OR(Hypothèses!$B$4=17,Hypothèses!$B$4=18,Hypothèses!$B$4=19,Hypothèses!$B$4=20),
IF($D296="Pressio.",
IF(OR($E296=3,$E296=1,$E296=4),(PI()*DV$12^2)/4*(DR296*$W296*1000)/($H296*$B$5),(PI()*DV$12^2)/4*(DR296*$W296*1000)/($G296*$B$5)),
IF($D296="Pénétro.",
IF(OR($E296=4,$E296=1,$E296=5),(PI()*DV$12^2)/4*(DR296*$W296*1000)/($H296*$B$5),(PI()*DV$12^2)/4*(DR296*$W296*1000)/($G296*$B$5)))),
IF($D296="Pressio.",
IF($E296=3,(PI()*DV$12^2)/4*(DR296*$W296*1000)/($H296*$B$5),(PI()*DV$12^2)/4*(DR296*$W296*1000)/($G296*$B$5)),
IF($D296="Pénétro.",
IF($E296=4,(PI()*DV$12^2)/4*(DR296*$W296*1000)/($H296*$B$5),(PI()*DV$12^2)/4*(DR296*$W296*1000)/($G296*$B$5))))))/10</f>
        <v>#N/A</v>
      </c>
      <c r="DW296" s="102" t="e">
        <f>(VLOOKUP($B$3,'Coeff EC7'!$T$39:$X$59,2,0)*DU296+VLOOKUP($B$3,'Coeff EC7'!$T$65:$X$85,2,0)*Model0.1C!DV296)/1.1</f>
        <v>#N/A</v>
      </c>
      <c r="DX296" s="102" t="e">
        <f>(VLOOKUP($B$3,'Coeff EC7'!$T$39:$X$59,3,0)*DU296+VLOOKUP($B$3,'Coeff EC7'!$T$65:$X$85,3,0)*Model0.1C!DV296)/0.9</f>
        <v>#N/A</v>
      </c>
      <c r="DY296" s="102" t="e">
        <f t="shared" si="490"/>
        <v>#N/A</v>
      </c>
      <c r="DZ296" s="102" t="e">
        <f t="shared" si="491"/>
        <v>#N/A</v>
      </c>
      <c r="EA296" s="414" t="e">
        <f>IF(EA295=0,0,IF(AND(DW296&gt;charge_ELS_quasi,DX296&gt;Charge_ELS_freq,DY296&gt;charge_ELU,DZ296&gt;charge_ELA,$B296&gt;NDC!$H$22-0.1+MIN(3*$EA$12,1.5)),0,1))</f>
        <v>#N/A</v>
      </c>
      <c r="EB296" s="86" t="b">
        <f t="shared" si="459"/>
        <v>0</v>
      </c>
      <c r="EC296" s="418">
        <f t="shared" si="460"/>
        <v>0.51</v>
      </c>
      <c r="ED296" s="86">
        <f t="shared" si="461"/>
        <v>0.51</v>
      </c>
      <c r="EE296" s="30" t="e">
        <f t="shared" ca="1" si="492"/>
        <v>#DIV/0!</v>
      </c>
      <c r="EF296" s="85" t="e">
        <f ca="1">IF(DL296&lt;=Hypothèses!$V$7,Hypothèses!$W$7,IF(DL296&lt;=Hypothèses!$V$8,Hypothèses!$W$8,IF(DL296&lt;=Hypothèses!$V$9,Hypothèses!$W$9,IF(DL296&lt;=Hypothèses!$V$10,Hypothèses!$W$10,IF(DL296&lt;=Hypothèses!$V$11,Hypothèses!$W$11,IF(DL296&lt;=Hypothèses!$V$12,Hypothèses!$W$12,IF(DL296&lt;=Hypothèses!$V$13,Hypothèses!$W$13,IF(DL296&lt;=Hypothèses!$V$14,Hypothèses!$W$14,IF(DL296&lt;=Hypothèses!$V$15,Hypothèses!$W$15,IF(DL296&lt;=Hypothèses!$V$16,Hypothèses!$W$16,IF(DL296&lt;=Hypothèses!$V$17,Hypothèses!$W$17,IF(DL296&lt;=Hypothèses!$V$18,Hypothèses!$W$18,""))))))))))))</f>
        <v>#DIV/0!</v>
      </c>
      <c r="EG296" s="87" t="e">
        <f t="shared" ca="1" si="522"/>
        <v>#DIV/0!</v>
      </c>
      <c r="EH296" s="88" t="e">
        <f ca="1">IF(DL296&lt;=Hypothèses!$V$7,Hypothèses!$X$7,IF(DL296&lt;=Hypothèses!$V$8,Hypothèses!$X$8,IF(DL296&lt;=Hypothèses!$V$9,Hypothèses!$X$9,IF(DL296&lt;=Hypothèses!$V$10,Hypothèses!$X$10,IF(DL296&lt;=Hypothèses!$V$11,Hypothèses!$X$11,IF(DL296&lt;=Hypothèses!$V$12,Hypothèses!$X$12,IF(DL296&lt;=Hypothèses!$V$13,Hypothèses!$X$13,IF(DL296&lt;=Hypothèses!$V$14,Hypothèses!$X$14,IF(DL296&lt;=Hypothèses!$V$15,Hypothèses!$X$15,IF(DL296&lt;=Hypothèses!$V$16,Hypothèses!$X$16,IF(DL296&lt;=Hypothèses!$U$17,Hypothèses!$W$17,IF(DL296&lt;=Hypothèses!$U$18,Hypothèses!$W$18,""))))))))))))</f>
        <v>#DIV/0!</v>
      </c>
      <c r="EI296" s="95" t="e">
        <f t="shared" ca="1" si="493"/>
        <v>#DIV/0!</v>
      </c>
      <c r="EJ296" s="101" t="e">
        <f t="shared" si="529"/>
        <v>#N/A</v>
      </c>
      <c r="EK296" s="91" t="e">
        <f t="shared" si="462"/>
        <v>#N/A</v>
      </c>
      <c r="EL296" s="30" t="e">
        <f t="shared" si="512"/>
        <v>#N/A</v>
      </c>
      <c r="EM296" s="30" t="e">
        <f t="shared" si="513"/>
        <v>#N/A</v>
      </c>
      <c r="EN296" s="31" t="e">
        <f>IF(OR(Hypothèses!$B$4=17,Hypothèses!$B$4=18,Hypothèses!$B$4=19,Hypothèses!$B$4=20),
IF($D296="Pressio.",
IF(OR($E296=3,$E296=1,$E296=4),EM296,EL296),
IF($D296="Pénétro.",
IF(OR($E296=3,$E296=1,$E296=4),EM296,EL296))),IF($D296="Pressio.",
IF($E296=3,EM296,EL296),
IF($D296="Pénétro.",
IF($E296=4,EM296,EL296))))</f>
        <v>#N/A</v>
      </c>
      <c r="EO296" s="31" t="e">
        <f>(IF(OR(Hypothèses!$B$4=17,Hypothèses!$B$4=18,Hypothèses!$B$4=19,Hypothèses!$B$4=20),
IF($D296="Pressio.",
IF(OR($E296=3,$E296=1,$E296=4),(PI()*EO$12^2)/4*(EK296*$W296*1000)/($H296*$B$5),(PI()*EO$12^2)/4*(EK296*$W296*1000)/($G296*$B$5)),
IF($D296="Pénétro.",
IF(OR($E296=4,$E296=1,$E296=5),(PI()*EO$12^2)/4*(EK296*$W296*1000)/($H296*$B$5),(PI()*EO$12^2)/4*(EK296*$W296*1000)/($G296*$B$5)))),
IF($D296="Pressio.",
IF($E296=3,(PI()*EO$12^2)/4*(EK296*$W296*1000)/($H296*$B$5),(PI()*EO$12^2)/4*(EK296*$W296*1000)/($G296*$B$5)),
IF($D296="Pénétro.",
IF($E296=4,(PI()*EO$12^2)/4*(EK296*$W296*1000)/($H296*$B$5),(PI()*EO$12^2)/4*(EK296*$W296*1000)/($G296*$B$5))))))/10</f>
        <v>#N/A</v>
      </c>
      <c r="EP296" s="102" t="e">
        <f>(VLOOKUP($B$3,'Coeff EC7'!$T$39:$X$59,2,0)*EN296+VLOOKUP($B$3,'Coeff EC7'!$T$65:$X$85,2,0)*Model0.1C!EO296)/1.1</f>
        <v>#N/A</v>
      </c>
      <c r="EQ296" s="102" t="e">
        <f>(VLOOKUP($B$3,'Coeff EC7'!$T$39:$X$59,3,0)*EN296+VLOOKUP($B$3,'Coeff EC7'!$T$65:$X$85,3,0)*Model0.1C!EO296)/0.9</f>
        <v>#N/A</v>
      </c>
      <c r="ER296" s="102" t="e">
        <f t="shared" si="494"/>
        <v>#N/A</v>
      </c>
      <c r="ES296" s="102" t="e">
        <f t="shared" si="495"/>
        <v>#N/A</v>
      </c>
      <c r="ET296" s="414" t="e">
        <f>IF(ET295=0,0,IF(AND(EP296&gt;charge_ELS_quasi,EQ296&gt;Charge_ELS_freq,ER296&gt;charge_ELU,ES296&gt;charge_ELA,$B296&gt;NDC!$H$22-0.1+MIN(3*$ET$12,1.5)),0,1))</f>
        <v>#N/A</v>
      </c>
      <c r="EU296" s="86" t="b">
        <f t="shared" si="463"/>
        <v>0</v>
      </c>
      <c r="EV296" s="86">
        <f t="shared" si="464"/>
        <v>0.61</v>
      </c>
      <c r="EW296" s="86">
        <f t="shared" si="465"/>
        <v>0.61</v>
      </c>
      <c r="EX296" s="30" t="e">
        <f t="shared" ca="1" si="496"/>
        <v>#DIV/0!</v>
      </c>
      <c r="EY296" s="85" t="e">
        <f ca="1">IF(EE296&lt;=Hypothèses!$V$7,Hypothèses!$W$7,IF(EE296&lt;=Hypothèses!$V$8,Hypothèses!$W$8,IF(EE296&lt;=Hypothèses!$V$9,Hypothèses!$W$9,IF(EE296&lt;=Hypothèses!$V$10,Hypothèses!$W$10,IF(EE296&lt;=Hypothèses!$V$11,Hypothèses!$W$11,IF(EE296&lt;=Hypothèses!$V$12,Hypothèses!$W$12,IF(EE296&lt;=Hypothèses!$V$13,Hypothèses!$W$13,IF(EE296&lt;=Hypothèses!$V$14,Hypothèses!$W$14,IF(EE296&lt;=Hypothèses!$V$15,Hypothèses!$W$15,IF(EE296&lt;=Hypothèses!$V$16,Hypothèses!$W$16,IF(EE296&lt;=Hypothèses!$V$17,Hypothèses!$W$17,IF(EE296&lt;=Hypothèses!$V$18,Hypothèses!$W$18,""))))))))))))</f>
        <v>#DIV/0!</v>
      </c>
      <c r="EZ296" s="87" t="e">
        <f t="shared" ca="1" si="523"/>
        <v>#DIV/0!</v>
      </c>
      <c r="FA296" s="88" t="e">
        <f ca="1">IF(EE296&lt;=Hypothèses!$V$7,Hypothèses!$X$7,IF(EE296&lt;=Hypothèses!$V$8,Hypothèses!$X$8,IF(EE296&lt;=Hypothèses!$V$9,Hypothèses!$X$9,IF(EE296&lt;=Hypothèses!$V$10,Hypothèses!$X$10,IF(EE296&lt;=Hypothèses!$V$11,Hypothèses!$X$11,IF(EE296&lt;=Hypothèses!$V$12,Hypothèses!$X$12,IF(EE296&lt;=Hypothèses!$V$13,Hypothèses!$X$13,IF(EE296&lt;=Hypothèses!$V$14,Hypothèses!$X$14,IF(EE296&lt;=Hypothèses!$V$15,Hypothèses!$X$15,IF(EE296&lt;=Hypothèses!$V$16,Hypothèses!$X$16,IF(EE296&lt;=Hypothèses!$U$17,Hypothèses!$W$17,IF(EE296&lt;=Hypothèses!$U$18,Hypothèses!$W$18,""))))))))))))</f>
        <v>#DIV/0!</v>
      </c>
      <c r="FB296" s="95" t="e">
        <f t="shared" ca="1" si="497"/>
        <v>#DIV/0!</v>
      </c>
      <c r="FC296" s="101" t="e">
        <f t="shared" si="530"/>
        <v>#N/A</v>
      </c>
      <c r="FD296" s="91" t="e">
        <f t="shared" si="466"/>
        <v>#N/A</v>
      </c>
      <c r="FE296" s="30" t="e">
        <f t="shared" si="514"/>
        <v>#N/A</v>
      </c>
      <c r="FF296" s="30" t="e">
        <f t="shared" si="515"/>
        <v>#N/A</v>
      </c>
      <c r="FG296" s="31" t="e">
        <f>IF(OR(Hypothèses!$B$4=17,Hypothèses!$B$4=18,Hypothèses!$B$4=19,Hypothèses!$B$4=20),
IF($D296="Pressio.",
IF(OR($E296=3,$E296=1,$E296=4),FF296,FE296),
IF($D296="Pénétro.",
IF(OR($E296=3,$E296=1,$E296=4),FF296,FE296))),IF($D296="Pressio.",
IF($E296=3,FF296,FE296),
IF($D296="Pénétro.",
IF($E296=4,FF296,FE296))))</f>
        <v>#N/A</v>
      </c>
      <c r="FH296" s="31" t="e">
        <f>(IF(OR(Hypothèses!$B$4=17,Hypothèses!$B$4=18,Hypothèses!$B$4=19,Hypothèses!$B$4=20),
IF($D296="Pressio.",
IF(OR($E296=3,$E296=1,$E296=4),(PI()*FH$12^2)/4*(FD296*$W296*1000)/($H296*$B$5),(PI()*FH$12^2)/4*(FD296*$W296*1000)/($G296*$B$5)),
IF($D296="Pénétro.",
IF(OR($E296=4,$E296=1,$E296=5),(PI()*FH$12^2)/4*(FD296*$W296*1000)/($H296*$B$5),(PI()*FH$12^2)/4*(FD296*$W296*1000)/($G296*$B$5)))),
IF($D296="Pressio.",
IF($E296=3,(PI()*FH$12^2)/4*(FD296*$W296*1000)/($H296*$B$5),(PI()*FH$12^2)/4*(FD296*$W296*1000)/($G296*$B$5)),
IF($D296="Pénétro.",
IF($E296=4,(PI()*FH$12^2)/4*(FD296*$W296*1000)/($H296*$B$5),(PI()*FH$12^2)/4*(FD296*$W296*1000)/($G296*$B$5))))))/10</f>
        <v>#N/A</v>
      </c>
      <c r="FI296" s="102" t="e">
        <f>(VLOOKUP($B$3,'Coeff EC7'!$T$39:$X$59,2,0)*FG296+VLOOKUP($B$3,'Coeff EC7'!$T$65:$X$85,2,0)*Model0.1C!FH296)/1.1</f>
        <v>#N/A</v>
      </c>
      <c r="FJ296" s="102" t="e">
        <f>(VLOOKUP($B$3,'Coeff EC7'!$T$39:$X$59,3,0)*FG296+VLOOKUP($B$3,'Coeff EC7'!$T$65:$X$85,3,0)*Model0.1C!FH296)/0.9</f>
        <v>#N/A</v>
      </c>
      <c r="FK296" s="102" t="e">
        <f t="shared" si="498"/>
        <v>#N/A</v>
      </c>
      <c r="FL296" s="102" t="e">
        <f t="shared" si="499"/>
        <v>#N/A</v>
      </c>
      <c r="FM296" s="414" t="e">
        <f>IF(FM295=0,0,IF(AND(FI296&gt;charge_ELS_quasi,FJ296&gt;Charge_ELS_freq,FK296&gt;charge_ELU,FL296&gt;charge_ELA,$B296&gt;NDC!$H$22-0.1+MIN(3*$FM$12,1.5)),0,1))</f>
        <v>#N/A</v>
      </c>
    </row>
    <row r="297" spans="1:169">
      <c r="A297" s="96">
        <f t="shared" si="467"/>
        <v>71.600000000001614</v>
      </c>
      <c r="B297" s="97">
        <v>28.4</v>
      </c>
      <c r="C297" s="81">
        <f>IF(B297&lt;=Hypothèses!$C$7,Hypothèses!$A$7,IF(B297&lt;=Hypothèses!$C$8,Hypothèses!$A$8,IF(B297&lt;=Hypothèses!$C$9,Hypothèses!$A$9,IF(B297&lt;=Hypothèses!$C$10,Hypothèses!$A$10,IF(B297&lt;=Hypothèses!$C$11,Hypothèses!$A$11,IF(B297&lt;=Hypothèses!$C$12,Hypothèses!$A$12,IF(B297&lt;=Hypothèses!$C$13,Hypothèses!$A$13,IF(B297&lt;=Hypothèses!$C$14,Hypothèses!$A$14,IF(B297&lt;=Hypothèses!$C$15,Hypothèses!$A$15,IF(B297&lt;=Hypothèses!$C$16,Hypothèses!$A$16,IF(B297&lt;=Hypothèses!$C$17,Hypothèses!$A$17,IF(B297&lt;=Hypothèses!$C$18,Hypothèses!$A$18,C296))))))))))))</f>
        <v>11</v>
      </c>
      <c r="D297" s="82" t="str">
        <f>IF(B297&lt;=Hypothèses!$C$7,Hypothèses!$R$7,IF(B297&lt;=Hypothèses!$C$8,Hypothèses!$R$8,IF(B297&lt;=Hypothèses!$C$9,Hypothèses!$R$9,IF(B297&lt;=Hypothèses!$C$10,Hypothèses!$R$10,IF(B297&lt;=Hypothèses!$C$11,Hypothèses!$R$11,IF(B297&lt;=Hypothèses!$C$12,Hypothèses!$R$12,IF(B297&lt;=Hypothèses!$C$13,Hypothèses!$R$13,IF(B297&lt;=Hypothèses!$C$14,Hypothèses!$R$14,IF(B297&lt;=Hypothèses!$C$15,Hypothèses!$R$15,IF(B297&lt;=Hypothèses!$C$16,Hypothèses!$R$16,IF(B297&lt;=Hypothèses!$C$17,Hypothèses!$R$17,IF(B297&lt;=Hypothèses!$C$18,Hypothèses!$R$18,D296))))))))))))</f>
        <v>Pressio.</v>
      </c>
      <c r="E297" s="82" t="e">
        <f>IF(B297&lt;=Hypothèses!$C$7,Hypothèses!$G$7,IF(B297&lt;=Hypothèses!$C$8,Hypothèses!$G$8,IF(B297&lt;=Hypothèses!$C$9,Hypothèses!$G$9,IF(B297&lt;=Hypothèses!$C$10,Hypothèses!$G$10,IF(B297&lt;=Hypothèses!$C$11,Hypothèses!$G$11,IF(B297&lt;=Hypothèses!$C$12,Hypothèses!$G$12,IF(B297&lt;=Hypothèses!$C$13,Hypothèses!$G$13,IF(B297&lt;=Hypothèses!$C$14,Hypothèses!$G$14,IF(B297&lt;=Hypothèses!$C$15,Hypothèses!$G$15,IF(B297&lt;=Hypothèses!$C$16,Hypothèses!$G$16,IF(B297&lt;=Hypothèses!$C$17,Hypothèses!$G$17,IF(B297&lt;=Hypothèses!$C$18,Hypothèses!$G$18,E296))))))))))))</f>
        <v>#N/A</v>
      </c>
      <c r="F297" s="82" t="str">
        <f>IF(B297&lt;=Hypothèses!$C$7,Hypothèses!$F$7,IF(B297&lt;=Hypothèses!$C$8,Hypothèses!$F$8,IF(B297&lt;=Hypothèses!$C$9,Hypothèses!$F$9,IF(B297&lt;=Hypothèses!$C$10,Hypothèses!$F$10,IF(B297&lt;=Hypothèses!$C$11,Hypothèses!$F$11,IF(B297&lt;=Hypothèses!$C$12,Hypothèses!$F$12,IF(B297&lt;=Hypothèses!$C$13,Hypothèses!$F$13,IF(B297&lt;=Hypothèses!$C$14,Hypothèses!$F$14,IF(B297&lt;=Hypothèses!$C$15,Hypothèses!$F$15,IF(B297&lt;=Hypothèses!$C$16,Hypothèses!$F$16,IF(B297&lt;=Hypothèses!$C$17,Hypothèses!$F$17,IF(B297&lt;=Hypothèses!$C$18,Hypothèses!$F$18,F296))))))))))))</f>
        <v/>
      </c>
      <c r="G297" s="91">
        <f t="array" ref="G297">INDEX('Coeff EC7'!$U$7:$X$27,
MATCH(Model0.1C!$B$3,'Coeff EC7'!$T$7:$T$27,0),
MATCH(Model0.1C!$D297&amp;Model0.1C!$B$4,
'Coeff EC7'!$U$6:$X$6&amp;
'Coeff EC7'!$U$5:$X$5,0))</f>
        <v>1.1499999999999999</v>
      </c>
      <c r="H297" s="91">
        <f t="array" ref="H297">INDEX('Coeff EC7'!$Y$7:$AB$27,
MATCH(Model0.1C!$B$3,'Coeff EC7'!$T$7:$T$27,0),
MATCH(Model0.1C!$D297&amp;Model0.1C!$B$4,
'Coeff EC7'!$Y$6:$AB$6&amp;
'Coeff EC7'!$Y$5:$AB$5,0))</f>
        <v>1.4</v>
      </c>
      <c r="I297" s="83" t="e">
        <f>IF(B297&lt;=Hypothèses!$C$7,Hypothèses!$P$7,IF(B297&lt;=Hypothèses!$C$8,Hypothèses!$P$8,IF(B297&lt;=Hypothèses!$C$9,Hypothèses!$P$9,IF(B297&lt;=Hypothèses!$C$10,Hypothèses!$P$10,IF(B297&lt;=Hypothèses!$C$11,Hypothèses!$P$11,IF(B297&lt;=Hypothèses!$C$12,Hypothèses!$P$12,IF(B297&lt;=Hypothèses!$C$13,Hypothèses!$P$13,IF(B297&lt;=Hypothèses!$C$14,Hypothèses!$P$14,IF(B297&lt;=Hypothèses!$C$15,Hypothèses!$P$15,IF(B297&lt;=Hypothèses!$C$16,Hypothèses!$P$16,IF(B297&lt;=Hypothèses!$C$17,Hypothèses!$P$17,IF(B297&lt;=Hypothèses!$C$18,Hypothèses!$P$18,I296))))))))))))</f>
        <v>#N/A</v>
      </c>
      <c r="J297" s="91" t="e">
        <f t="array" ref="J297">INDEX('Coeff EC7'!$D$33:$Q$33,1,MATCH(D297&amp;E297,'Coeff EC7'!$D$31:$Q$31&amp;'Coeff EC7'!$D$32:$Q$32,0))</f>
        <v>#N/A</v>
      </c>
      <c r="K297" s="91" t="e">
        <f t="array" ref="K297">INDEX('Coeff EC7'!$D$34:$Q$34,1,MATCH(D297&amp;E297,'Coeff EC7'!$D$31:$Q$31&amp;'Coeff EC7'!$D$32:$Q$32,0))</f>
        <v>#N/A</v>
      </c>
      <c r="L297" s="91" t="e">
        <f t="array" ref="L297">INDEX('Coeff EC7'!$D$35:$Q$35,1,MATCH(D297&amp;E297,'Coeff EC7'!$D$31:$Q$31&amp;'Coeff EC7'!$D$32:$Q$32,0))</f>
        <v>#N/A</v>
      </c>
      <c r="M297" s="98" t="e">
        <f t="shared" si="431"/>
        <v>#N/A</v>
      </c>
      <c r="N297" s="99" t="e">
        <f t="array" ref="N297">INDEX('Coeff EC7'!$D$7:$Q$27,MATCH($B$3,'Coeff EC7'!$C$7:$C$27,0),MATCH(D297&amp;E297,'Coeff EC7'!$D$5:$Q$5&amp;'Coeff EC7'!$D$6:$Q$6,0))</f>
        <v>#N/A</v>
      </c>
      <c r="O297" s="99" t="e">
        <f t="array" ref="O297">INDEX('Coeff EC7'!$D$41:$Q$61,MATCH($B$3,'Coeff EC7'!$C$41:$C$61,0),MATCH(D297&amp;E297,'Coeff EC7'!$D$39:$Q$39&amp;'Coeff EC7'!$D$40:$Q$40,0))</f>
        <v>#N/A</v>
      </c>
      <c r="P297" s="30" t="e">
        <f t="shared" si="468"/>
        <v>#N/A</v>
      </c>
      <c r="Q297" s="100" t="e">
        <f t="shared" si="433"/>
        <v>#N/A</v>
      </c>
      <c r="R297" s="86" t="b">
        <f t="shared" si="434"/>
        <v>0</v>
      </c>
      <c r="S297" s="86">
        <f t="shared" si="432"/>
        <v>0.5</v>
      </c>
      <c r="T297" s="86">
        <f t="shared" si="435"/>
        <v>0.5</v>
      </c>
      <c r="U297" s="30" t="e">
        <f t="shared" ca="1" si="469"/>
        <v>#DIV/0!</v>
      </c>
      <c r="V297" s="85" t="str">
        <f>IF(B297&lt;=Hypothèses!$V$7,Hypothèses!$W$7,IF(B297&lt;=Hypothèses!$V$8,Hypothèses!$W$8,IF(B297&lt;=Hypothèses!$V$9,Hypothèses!$W$9,IF(B297&lt;=Hypothèses!$V$10,Hypothèses!$W$10,IF(B297&lt;=Hypothèses!$V$11,Hypothèses!$W$11,IF(B297&lt;=Hypothèses!$V$12,Hypothèses!$W$12,IF(B297&lt;=Hypothèses!$V$13,Hypothèses!$W$13,IF(B297&lt;=Hypothèses!$V$14,Hypothèses!$W$14,IF(B297&lt;=Hypothèses!$V$15,Hypothèses!$W$15,IF(B297&lt;=Hypothèses!$V$16,Hypothèses!$W$16,IF(B297&lt;=Hypothèses!$V$17,Hypothèses!$W$17,IF(B297&lt;=Hypothèses!$V$18,Hypothèses!$W$18,""))))))))))))</f>
        <v/>
      </c>
      <c r="W297" s="87" t="e">
        <f t="shared" ca="1" si="516"/>
        <v>#DIV/0!</v>
      </c>
      <c r="X297" s="88" t="str">
        <f>IF(B297&lt;=Hypothèses!$V$7,Hypothèses!$X$7,IF(B297&lt;=Hypothèses!$V$8,Hypothèses!$X$8,IF(B297&lt;=Hypothèses!$V$9,Hypothèses!$X$9,IF(B297&lt;=Hypothèses!$V$10,Hypothèses!$X$10,IF(B297&lt;=Hypothèses!$V$11,Hypothèses!$X$11,IF(B297&lt;=Hypothèses!$V$12,Hypothèses!$X$12,IF(B297&lt;=Hypothèses!$V$13,Hypothèses!$X$13,IF(B297&lt;=Hypothèses!$V$14,Hypothèses!$X$14,IF(B297&lt;=Hypothèses!$V$15,Hypothèses!$X$15,IF(B297&lt;=Hypothèses!$V$16,Hypothèses!$X$16,IF(B297&lt;=Hypothèses!$U$17,Hypothèses!$W$17,IF(B297&lt;=Hypothèses!$U$18,Hypothèses!$W$18,""))))))))))))</f>
        <v/>
      </c>
      <c r="Y297" s="95" t="e">
        <f t="shared" ca="1" si="436"/>
        <v>#DIV/0!</v>
      </c>
      <c r="Z297" s="101" t="e">
        <f t="shared" si="437"/>
        <v>#N/A</v>
      </c>
      <c r="AA297" s="91" t="e">
        <f t="shared" si="438"/>
        <v>#N/A</v>
      </c>
      <c r="AB297" s="30" t="e">
        <f t="shared" si="500"/>
        <v>#N/A</v>
      </c>
      <c r="AC297" s="30" t="e">
        <f t="shared" si="501"/>
        <v>#N/A</v>
      </c>
      <c r="AD297" s="31" t="e">
        <f>IF(OR(Hypothèses!$B$4=17,Hypothèses!$B$4=18,Hypothèses!$B$4=19,Hypothèses!$B$4=20),
IF($D297="Pressio.",
IF(OR($E297=3,$E297=1,$E297=4),AC297,AB297),
IF($D297="Pénétro.",
IF(OR($E297=3,$E297=1,$E297=4),AC297,AB297))),IF($D297="Pressio.",
IF($E297=3,AC297,AB297),
IF($D297="Pénétro.",
IF($E297=4,AC297,AB297))))</f>
        <v>#N/A</v>
      </c>
      <c r="AE297" s="31" t="e">
        <f>(IF(OR(Hypothèses!$B$4=17,Hypothèses!$B$4=18,Hypothèses!$B$4=19,Hypothèses!$B$4=20),
IF($D297="Pressio.",
IF(OR($E297=3,$E297=1,$E297=4),(PI()*AE$12^2)/4*(AA297*$W297*1000)/($H297*$B$5),(PI()*AE$12^2)/4*(AA297*$W297*1000)/($G297*$B$5)),
IF($D297="Pénétro.",
IF(OR($E297=4,$E297=1,$E297=5),(PI()*AE$12^2)/4*(AA297*$W297*1000)/($H297*$B$5),(PI()*AE$12^2)/4*(AA297*$W297*1000)/($G297*$B$5)))),
IF($D297="Pressio.",
IF($E297=3,(PI()*AE$12^2)/4*(AA297*$W297*1000)/($H297*$B$5),(PI()*AE$12^2)/4*(AA297*$W297*1000)/($G297*$B$5)),
IF($D297="Pénétro.",
IF($E297=4,(PI()*AE$12^2)/4*(AA297*$W297*1000)/($H297*$B$5),(PI()*AE$12^2)/4*(AA297*$W297*1000)/($G297*$B$5))))))/10</f>
        <v>#N/A</v>
      </c>
      <c r="AF297" s="102" t="e">
        <f>(VLOOKUP($B$3,'Coeff EC7'!$T$39:$X$59,2,0)*AD297+VLOOKUP($B$3,'Coeff EC7'!$T$65:$X$85,2,0)*Model0.1C!AE297)/1.1</f>
        <v>#N/A</v>
      </c>
      <c r="AG297" s="102" t="e">
        <f>(VLOOKUP($B$3,'Coeff EC7'!$T$39:$X$59,3,0)*AD297+VLOOKUP($B$3,'Coeff EC7'!$T$65:$X$85,3,0)*Model0.1C!AE297)/0.9</f>
        <v>#N/A</v>
      </c>
      <c r="AH297" s="102" t="e">
        <f t="shared" si="439"/>
        <v>#N/A</v>
      </c>
      <c r="AI297" s="102" t="e">
        <f t="shared" si="440"/>
        <v>#N/A</v>
      </c>
      <c r="AJ297" s="414" t="e">
        <f>IF(AJ296=0,0,IF(AND(AF297&gt;charge_ELS_quasi,AG297&gt;Charge_ELS_freq,AH297&gt;charge_ELU,AI297&gt;charge_ELA,$B297&gt;NDC!$H$22-0.1+MIN(3*$AJ$12,1.5)),0,1))</f>
        <v>#N/A</v>
      </c>
      <c r="AK297" s="86" t="b">
        <f t="shared" si="441"/>
        <v>0</v>
      </c>
      <c r="AL297" s="86">
        <f t="shared" si="470"/>
        <v>0.5</v>
      </c>
      <c r="AM297" s="86">
        <f t="shared" si="442"/>
        <v>0.5</v>
      </c>
      <c r="AN297" s="30" t="e">
        <f t="shared" ca="1" si="471"/>
        <v>#DIV/0!</v>
      </c>
      <c r="AO297" s="85" t="e">
        <f ca="1">IF(U297&lt;=Hypothèses!$V$7,Hypothèses!$W$7,IF(U297&lt;=Hypothèses!$V$8,Hypothèses!$W$8,IF(U297&lt;=Hypothèses!$V$9,Hypothèses!$W$9,IF(U297&lt;=Hypothèses!$V$10,Hypothèses!$W$10,IF(U297&lt;=Hypothèses!$V$11,Hypothèses!$W$11,IF(U297&lt;=Hypothèses!$V$12,Hypothèses!$W$12,IF(U297&lt;=Hypothèses!$V$13,Hypothèses!$W$13,IF(U297&lt;=Hypothèses!$V$14,Hypothèses!$W$14,IF(U297&lt;=Hypothèses!$V$15,Hypothèses!$W$15,IF(U297&lt;=Hypothèses!$V$16,Hypothèses!$W$16,IF(U297&lt;=Hypothèses!$V$17,Hypothèses!$W$17,IF(U297&lt;=Hypothèses!$V$18,Hypothèses!$W$18,""))))))))))))</f>
        <v>#DIV/0!</v>
      </c>
      <c r="AP297" s="87" t="e">
        <f t="shared" ca="1" si="517"/>
        <v>#DIV/0!</v>
      </c>
      <c r="AQ297" s="88" t="e">
        <f ca="1">IF(U297&lt;=Hypothèses!$V$7,Hypothèses!$X$7,IF(U297&lt;=Hypothèses!$V$8,Hypothèses!$X$8,IF(U297&lt;=Hypothèses!$V$9,Hypothèses!$X$9,IF(U297&lt;=Hypothèses!$V$10,Hypothèses!$X$10,IF(U297&lt;=Hypothèses!$V$11,Hypothèses!$X$11,IF(U297&lt;=Hypothèses!$V$12,Hypothèses!$X$12,IF(U297&lt;=Hypothèses!$V$13,Hypothèses!$X$13,IF(U297&lt;=Hypothèses!$V$14,Hypothèses!$X$14,IF(U297&lt;=Hypothèses!$V$15,Hypothèses!$X$15,IF(U297&lt;=Hypothèses!$V$16,Hypothèses!$X$16,IF(U297&lt;=Hypothèses!$U$17,Hypothèses!$W$17,IF(U297&lt;=Hypothèses!$U$18,Hypothèses!$W$18,""))))))))))))</f>
        <v>#DIV/0!</v>
      </c>
      <c r="AR297" s="95" t="e">
        <f t="shared" ca="1" si="472"/>
        <v>#DIV/0!</v>
      </c>
      <c r="AS297" s="101" t="e">
        <f t="shared" si="524"/>
        <v>#N/A</v>
      </c>
      <c r="AT297" s="91" t="e">
        <f t="shared" si="443"/>
        <v>#N/A</v>
      </c>
      <c r="AU297" s="30" t="e">
        <f t="shared" si="502"/>
        <v>#N/A</v>
      </c>
      <c r="AV297" s="30" t="e">
        <f t="shared" si="503"/>
        <v>#N/A</v>
      </c>
      <c r="AW297" s="31" t="e">
        <f>IF(OR(Hypothèses!$B$4=17,Hypothèses!$B$4=18,Hypothèses!$B$4=19,Hypothèses!$B$4=20),
IF($D297="Pressio.",
IF(OR($E297=3,$E297=1,$E297=4),AV297,AU297),
IF($D297="Pénétro.",
IF(OR($E297=3,$E297=1,$E297=4),AV297,AU297))),IF($D297="Pressio.",
IF($E297=3,AV297,AU297),
IF($D297="Pénétro.",
IF($E297=4,AV297,AU297))))</f>
        <v>#N/A</v>
      </c>
      <c r="AX297" s="31" t="e">
        <f>(IF(OR(Hypothèses!$B$4=17,Hypothèses!$B$4=18,Hypothèses!$B$4=19,Hypothèses!$B$4=20),
IF($D297="Pressio.",
IF(OR($E297=3,$E297=1,$E297=4),(PI()*AX$12^2)/4*(AT297*$W297*1000)/($H297*$B$5),(PI()*AX$12^2)/4*(AT297*$W297*1000)/($G297*$B$5)),
IF($D297="Pénétro.",
IF(OR($E297=4,$E297=1,$E297=5),(PI()*AX$12^2)/4*(AT297*$W297*1000)/($H297*$B$5),(PI()*AX$12^2)/4*(AT297*$W297*1000)/($G297*$B$5)))),
IF($D297="Pressio.",
IF($E297=3,(PI()*AX$12^2)/4*(AT297*$W297*1000)/($H297*$B$5),(PI()*AX$12^2)/4*(AT297*$W297*1000)/($G297*$B$5)),
IF($D297="Pénétro.",
IF($E297=4,(PI()*AX$12^2)/4*(AT297*$W297*1000)/($H297*$B$5),(PI()*AX$12^2)/4*(AT297*$W297*1000)/($G297*$B$5))))))/10</f>
        <v>#N/A</v>
      </c>
      <c r="AY297" s="102" t="e">
        <f>(VLOOKUP($B$3,'Coeff EC7'!$T$39:$X$59,2,0)*AW297+VLOOKUP($B$3,'Coeff EC7'!$T$65:$X$85,2,0)*Model0.1C!AX297)/1.1</f>
        <v>#N/A</v>
      </c>
      <c r="AZ297" s="102" t="e">
        <f>(VLOOKUP($B$3,'Coeff EC7'!$T$39:$X$59,3,0)*AW297+VLOOKUP($B$3,'Coeff EC7'!$T$65:$X$85,3,0)*Model0.1C!AX297)/0.9</f>
        <v>#N/A</v>
      </c>
      <c r="BA297" s="102" t="e">
        <f t="shared" si="473"/>
        <v>#N/A</v>
      </c>
      <c r="BB297" s="102" t="e">
        <f t="shared" si="474"/>
        <v>#N/A</v>
      </c>
      <c r="BC297" s="414" t="e">
        <f>IF(BC296=0,0,IF(AND(AY297&gt;charge_ELS_quasi,AZ297&gt;Charge_ELS_freq,BA297&gt;charge_ELU,BB297&gt;charge_ELA,$B297&gt;NDC!$H$22-0.1+MIN(3*$BC$12,1.5)),0,1))</f>
        <v>#N/A</v>
      </c>
      <c r="BD297" s="86" t="b">
        <f t="shared" si="444"/>
        <v>0</v>
      </c>
      <c r="BE297" s="86">
        <f t="shared" si="475"/>
        <v>0.5</v>
      </c>
      <c r="BF297" s="86">
        <f t="shared" si="445"/>
        <v>0.5</v>
      </c>
      <c r="BG297" s="30" t="e">
        <f t="shared" ca="1" si="476"/>
        <v>#DIV/0!</v>
      </c>
      <c r="BH297" s="85" t="e">
        <f ca="1">IF(AN297&lt;=Hypothèses!$V$7,Hypothèses!$W$7,IF(AN297&lt;=Hypothèses!$V$8,Hypothèses!$W$8,IF(AN297&lt;=Hypothèses!$V$9,Hypothèses!$W$9,IF(AN297&lt;=Hypothèses!$V$10,Hypothèses!$W$10,IF(AN297&lt;=Hypothèses!$V$11,Hypothèses!$W$11,IF(AN297&lt;=Hypothèses!$V$12,Hypothèses!$W$12,IF(AN297&lt;=Hypothèses!$V$13,Hypothèses!$W$13,IF(AN297&lt;=Hypothèses!$V$14,Hypothèses!$W$14,IF(AN297&lt;=Hypothèses!$V$15,Hypothèses!$W$15,IF(AN297&lt;=Hypothèses!$V$16,Hypothèses!$W$16,IF(AN297&lt;=Hypothèses!$V$17,Hypothèses!$W$17,IF(AN297&lt;=Hypothèses!$V$18,Hypothèses!$W$18,""))))))))))))</f>
        <v>#DIV/0!</v>
      </c>
      <c r="BI297" s="87" t="e">
        <f t="shared" ca="1" si="518"/>
        <v>#DIV/0!</v>
      </c>
      <c r="BJ297" s="88" t="e">
        <f ca="1">IF(AN297&lt;=Hypothèses!$V$7,Hypothèses!$X$7,IF(AN297&lt;=Hypothèses!$V$8,Hypothèses!$X$8,IF(AN297&lt;=Hypothèses!$V$9,Hypothèses!$X$9,IF(AN297&lt;=Hypothèses!$V$10,Hypothèses!$X$10,IF(AN297&lt;=Hypothèses!$V$11,Hypothèses!$X$11,IF(AN297&lt;=Hypothèses!$V$12,Hypothèses!$X$12,IF(AN297&lt;=Hypothèses!$V$13,Hypothèses!$X$13,IF(AN297&lt;=Hypothèses!$V$14,Hypothèses!$X$14,IF(AN297&lt;=Hypothèses!$V$15,Hypothèses!$X$15,IF(AN297&lt;=Hypothèses!$V$16,Hypothèses!$X$16,IF(AN297&lt;=Hypothèses!$U$17,Hypothèses!$W$17,IF(AN297&lt;=Hypothèses!$U$18,Hypothèses!$W$18,""))))))))))))</f>
        <v>#DIV/0!</v>
      </c>
      <c r="BK297" s="95" t="e">
        <f t="shared" ca="1" si="477"/>
        <v>#DIV/0!</v>
      </c>
      <c r="BL297" s="101" t="e">
        <f t="shared" si="525"/>
        <v>#N/A</v>
      </c>
      <c r="BM297" s="91" t="e">
        <f t="shared" si="446"/>
        <v>#N/A</v>
      </c>
      <c r="BN297" s="30" t="e">
        <f t="shared" si="504"/>
        <v>#N/A</v>
      </c>
      <c r="BO297" s="30" t="e">
        <f t="shared" si="505"/>
        <v>#N/A</v>
      </c>
      <c r="BP297" s="31" t="e">
        <f>IF(OR(Hypothèses!$B$4=17,Hypothèses!$B$4=18,Hypothèses!$B$4=19,Hypothèses!$B$4=20),
IF($D297="Pressio.",
IF(OR($E297=3,$E297=1,$E297=4),BO297,BN297),
IF($D297="Pénétro.",
IF(OR($E297=3,$E297=1,$E297=4),BO297,BN297))),IF($D297="Pressio.",
IF($E297=3,BO297,BN297),
IF($D297="Pénétro.",
IF($E297=4,BO297,BN297))))</f>
        <v>#N/A</v>
      </c>
      <c r="BQ297" s="31" t="e">
        <f>(IF(OR(Hypothèses!$B$4=17,Hypothèses!$B$4=18,Hypothèses!$B$4=19,Hypothèses!$B$4=20),
IF($D297="Pressio.",
IF(OR($E297=3,$E297=1,$E297=4),(PI()*BQ$12^2)/4*(BM297*$W297*1000)/($H297*$B$5),(PI()*BQ$12^2)/4*(BM297*$W297*1000)/($G297*$B$5)),
IF($D297="Pénétro.",
IF(OR($E297=4,$E297=1,$E297=5),(PI()*BQ$12^2)/4*(BM297*$W297*1000)/($H297*$B$5),(PI()*BQ$12^2)/4*(BM297*$W297*1000)/($G297*$B$5)))),
IF($D297="Pressio.",
IF($E297=3,(PI()*BQ$12^2)/4*(BM297*$W297*1000)/($H297*$B$5),(PI()*BQ$12^2)/4*(BM297*$W297*1000)/($G297*$B$5)),
IF($D297="Pénétro.",
IF($E297=4,(PI()*BQ$12^2)/4*(BM297*$W297*1000)/($H297*$B$5),(PI()*BQ$12^2)/4*(BM297*$W297*1000)/($G297*$B$5))))))/10</f>
        <v>#N/A</v>
      </c>
      <c r="BR297" s="102" t="e">
        <f>(VLOOKUP($B$3,'Coeff EC7'!$T$39:$X$59,2,0)*BP297+VLOOKUP($B$3,'Coeff EC7'!$T$65:$X$85,2,0)*Model0.1C!BQ297)/1.1</f>
        <v>#N/A</v>
      </c>
      <c r="BS297" s="102" t="e">
        <f>(VLOOKUP($B$3,'Coeff EC7'!$T$39:$X$59,3,0)*BP297+VLOOKUP($B$3,'Coeff EC7'!$T$65:$X$85,3,0)*Model0.1C!BQ297)/0.9</f>
        <v>#N/A</v>
      </c>
      <c r="BT297" s="102" t="e">
        <f t="shared" si="478"/>
        <v>#N/A</v>
      </c>
      <c r="BU297" s="102" t="e">
        <f t="shared" si="479"/>
        <v>#N/A</v>
      </c>
      <c r="BV297" s="414" t="e">
        <f>IF(BV296=0,0,IF(AND(BR297&gt;charge_ELS_quasi,BS297&gt;Charge_ELS_freq,BT297&gt;charge_ELU,BU297&gt;charge_ELA,$B297&gt;NDC!$H$22-0.1+MIN(3*$BV$12,1.5)),0,1))</f>
        <v>#N/A</v>
      </c>
      <c r="BW297" s="86" t="b">
        <f t="shared" si="447"/>
        <v>0</v>
      </c>
      <c r="BX297" s="86">
        <f t="shared" si="448"/>
        <v>0.5</v>
      </c>
      <c r="BY297" s="86">
        <f t="shared" si="449"/>
        <v>0.5</v>
      </c>
      <c r="BZ297" s="30" t="e">
        <f t="shared" ca="1" si="480"/>
        <v>#DIV/0!</v>
      </c>
      <c r="CA297" s="85" t="e">
        <f ca="1">IF(BG297&lt;=Hypothèses!$V$7,Hypothèses!$W$7,IF(BG297&lt;=Hypothèses!$V$8,Hypothèses!$W$8,IF(BG297&lt;=Hypothèses!$V$9,Hypothèses!$W$9,IF(BG297&lt;=Hypothèses!$V$10,Hypothèses!$W$10,IF(BG297&lt;=Hypothèses!$V$11,Hypothèses!$W$11,IF(BG297&lt;=Hypothèses!$V$12,Hypothèses!$W$12,IF(BG297&lt;=Hypothèses!$V$13,Hypothèses!$W$13,IF(BG297&lt;=Hypothèses!$V$14,Hypothèses!$W$14,IF(BG297&lt;=Hypothèses!$V$15,Hypothèses!$W$15,IF(BG297&lt;=Hypothèses!$V$16,Hypothèses!$W$16,IF(BG297&lt;=Hypothèses!$V$17,Hypothèses!$W$17,IF(BG297&lt;=Hypothèses!$V$18,Hypothèses!$W$18,""))))))))))))</f>
        <v>#DIV/0!</v>
      </c>
      <c r="CB297" s="87" t="e">
        <f t="shared" ca="1" si="519"/>
        <v>#DIV/0!</v>
      </c>
      <c r="CC297" s="88" t="e">
        <f ca="1">IF(BG297&lt;=Hypothèses!$V$7,Hypothèses!$X$7,IF(BG297&lt;=Hypothèses!$V$8,Hypothèses!$X$8,IF(BG297&lt;=Hypothèses!$V$9,Hypothèses!$X$9,IF(BG297&lt;=Hypothèses!$V$10,Hypothèses!$X$10,IF(BG297&lt;=Hypothèses!$V$11,Hypothèses!$X$11,IF(BG297&lt;=Hypothèses!$V$12,Hypothèses!$X$12,IF(BG297&lt;=Hypothèses!$V$13,Hypothèses!$X$13,IF(BG297&lt;=Hypothèses!$V$14,Hypothèses!$X$14,IF(BG297&lt;=Hypothèses!$V$15,Hypothèses!$X$15,IF(BG297&lt;=Hypothèses!$V$16,Hypothèses!$X$16,IF(BG297&lt;=Hypothèses!$U$17,Hypothèses!$W$17,IF(BG297&lt;=Hypothèses!$U$18,Hypothèses!$W$18,""))))))))))))</f>
        <v>#DIV/0!</v>
      </c>
      <c r="CD297" s="95" t="e">
        <f t="shared" ca="1" si="481"/>
        <v>#DIV/0!</v>
      </c>
      <c r="CE297" s="101" t="e">
        <f t="shared" si="526"/>
        <v>#N/A</v>
      </c>
      <c r="CF297" s="91" t="e">
        <f t="shared" si="450"/>
        <v>#N/A</v>
      </c>
      <c r="CG297" s="30" t="e">
        <f t="shared" si="506"/>
        <v>#N/A</v>
      </c>
      <c r="CH297" s="30" t="e">
        <f t="shared" si="507"/>
        <v>#N/A</v>
      </c>
      <c r="CI297" s="31" t="e">
        <f>IF(OR(Hypothèses!$B$4=17,Hypothèses!$B$4=18,Hypothèses!$B$4=19,Hypothèses!$B$4=20),
IF($D297="Pressio.",
IF(OR($E297=3,$E297=1,$E297=4),CH297,CG297),
IF($D297="Pénétro.",
IF(OR($E297=3,$E297=1,$E297=4),CH297,CG297))),IF($D297="Pressio.",
IF($E297=3,CH297,CG297),
IF($D297="Pénétro.",
IF($E297=4,CH297,CG297))))</f>
        <v>#N/A</v>
      </c>
      <c r="CJ297" s="31" t="e">
        <f>(IF(OR(Hypothèses!$B$4=17,Hypothèses!$B$4=18,Hypothèses!$B$4=19,Hypothèses!$B$4=20),
IF($D297="Pressio.",
IF(OR($E297=3,$E297=1,$E297=4),(PI()*CJ$12^2)/4*(CF297*$W297*1000)/($H297*$B$5),(PI()*CJ$12^2)/4*(CF297*$W297*1000)/($G297*$B$5)),
IF($D297="Pénétro.",
IF(OR($E297=4,$E297=1,$E297=5),(PI()*CJ$12^2)/4*(CF297*$W297*1000)/($H297*$B$5),(PI()*CJ$12^2)/4*(CF297*$W297*1000)/($G297*$B$5)))),
IF($D297="Pressio.",
IF($E297=3,(PI()*CJ$12^2)/4*(CF297*$W297*1000)/($H297*$B$5),(PI()*CJ$12^2)/4*(CF297*$W297*1000)/($G297*$B$5)),
IF($D297="Pénétro.",
IF($E297=4,(PI()*CJ$12^2)/4*(CF297*$W297*1000)/($H297*$B$5),(PI()*CJ$12^2)/4*(CF297*$W297*1000)/($G297*$B$5))))))/10</f>
        <v>#N/A</v>
      </c>
      <c r="CK297" s="102" t="e">
        <f>(VLOOKUP($B$3,'Coeff EC7'!$T$39:$X$59,2,0)*CI297+VLOOKUP($B$3,'Coeff EC7'!$T$65:$X$85,2,0)*Model0.1C!CJ297)/1.1</f>
        <v>#N/A</v>
      </c>
      <c r="CL297" s="102" t="e">
        <f>(VLOOKUP($B$3,'Coeff EC7'!$T$39:$X$59,3,0)*CI297+VLOOKUP($B$3,'Coeff EC7'!$T$65:$X$85,3,0)*Model0.1C!CJ297)/0.9</f>
        <v>#N/A</v>
      </c>
      <c r="CM297" s="102" t="e">
        <f t="shared" si="482"/>
        <v>#N/A</v>
      </c>
      <c r="CN297" s="102" t="e">
        <f t="shared" si="483"/>
        <v>#N/A</v>
      </c>
      <c r="CO297" s="414" t="e">
        <f>IF(CO296=0,0,IF(AND(CK297&gt;charge_ELS_quasi,CL297&gt;Charge_ELS_freq,CM297&gt;charge_ELU,CN297&gt;charge_ELA,$B297&gt;NDC!$H$22-0.1+MIN(3*$CO$12,1.5)),0,1))</f>
        <v>#N/A</v>
      </c>
      <c r="CP297" s="86" t="b">
        <f t="shared" si="451"/>
        <v>0</v>
      </c>
      <c r="CQ297" s="86">
        <f t="shared" si="452"/>
        <v>0.5</v>
      </c>
      <c r="CR297" s="86">
        <f t="shared" si="453"/>
        <v>0.5</v>
      </c>
      <c r="CS297" s="30" t="e">
        <f t="shared" ca="1" si="484"/>
        <v>#DIV/0!</v>
      </c>
      <c r="CT297" s="85" t="e">
        <f ca="1">IF(BZ297&lt;=Hypothèses!$V$7,Hypothèses!$W$7,IF(BZ297&lt;=Hypothèses!$V$8,Hypothèses!$W$8,IF(BZ297&lt;=Hypothèses!$V$9,Hypothèses!$W$9,IF(BZ297&lt;=Hypothèses!$V$10,Hypothèses!$W$10,IF(BZ297&lt;=Hypothèses!$V$11,Hypothèses!$W$11,IF(BZ297&lt;=Hypothèses!$V$12,Hypothèses!$W$12,IF(BZ297&lt;=Hypothèses!$V$13,Hypothèses!$W$13,IF(BZ297&lt;=Hypothèses!$V$14,Hypothèses!$W$14,IF(BZ297&lt;=Hypothèses!$V$15,Hypothèses!$W$15,IF(BZ297&lt;=Hypothèses!$V$16,Hypothèses!$W$16,IF(BZ297&lt;=Hypothèses!$V$17,Hypothèses!$W$17,IF(BZ297&lt;=Hypothèses!$V$18,Hypothèses!$W$18,""))))))))))))</f>
        <v>#DIV/0!</v>
      </c>
      <c r="CU297" s="87" t="e">
        <f t="shared" ca="1" si="520"/>
        <v>#DIV/0!</v>
      </c>
      <c r="CV297" s="88" t="e">
        <f ca="1">IF(BZ297&lt;=Hypothèses!$V$7,Hypothèses!$X$7,IF(BZ297&lt;=Hypothèses!$V$8,Hypothèses!$X$8,IF(BZ297&lt;=Hypothèses!$V$9,Hypothèses!$X$9,IF(BZ297&lt;=Hypothèses!$V$10,Hypothèses!$X$10,IF(BZ297&lt;=Hypothèses!$V$11,Hypothèses!$X$11,IF(BZ297&lt;=Hypothèses!$V$12,Hypothèses!$X$12,IF(BZ297&lt;=Hypothèses!$V$13,Hypothèses!$X$13,IF(BZ297&lt;=Hypothèses!$V$14,Hypothèses!$X$14,IF(BZ297&lt;=Hypothèses!$V$15,Hypothèses!$X$15,IF(BZ297&lt;=Hypothèses!$V$16,Hypothèses!$X$16,IF(BZ297&lt;=Hypothèses!$U$17,Hypothèses!$W$17,IF(BZ297&lt;=Hypothèses!$U$18,Hypothèses!$W$18,""))))))))))))</f>
        <v>#DIV/0!</v>
      </c>
      <c r="CW297" s="95" t="e">
        <f t="shared" ca="1" si="485"/>
        <v>#DIV/0!</v>
      </c>
      <c r="CX297" s="101" t="e">
        <f t="shared" si="527"/>
        <v>#N/A</v>
      </c>
      <c r="CY297" s="91" t="e">
        <f t="shared" si="454"/>
        <v>#N/A</v>
      </c>
      <c r="CZ297" s="30" t="e">
        <f t="shared" si="508"/>
        <v>#N/A</v>
      </c>
      <c r="DA297" s="30" t="e">
        <f t="shared" si="509"/>
        <v>#N/A</v>
      </c>
      <c r="DB297" s="31" t="e">
        <f>IF(OR(Hypothèses!$B$4=17,Hypothèses!$B$4=18,Hypothèses!$B$4=19,Hypothèses!$B$4=20),
IF($D297="Pressio.",
IF(OR($E297=3,$E297=1,$E297=4),DA297,CZ297),
IF($D297="Pénétro.",
IF(OR($E297=3,$E297=1,$E297=4),DA297,CZ297))),IF($D297="Pressio.",
IF($E297=3,DA297,CZ297),
IF($D297="Pénétro.",
IF($E297=4,DA297,CZ297))))</f>
        <v>#N/A</v>
      </c>
      <c r="DC297" s="31" t="e">
        <f>(IF(OR(Hypothèses!$B$4=17,Hypothèses!$B$4=18,Hypothèses!$B$4=19,Hypothèses!$B$4=20),
IF($D297="Pressio.",
IF(OR($E297=3,$E297=1,$E297=4),(PI()*DC$12^2)/4*(CY297*$W297*1000)/($H297*$B$5),(PI()*DC$12^2)/4*(CY297*$W297*1000)/($G297*$B$5)),
IF($D297="Pénétro.",
IF(OR($E297=4,$E297=1,$E297=5),(PI()*DC$12^2)/4*(CY297*$W297*1000)/($H297*$B$5),(PI()*DC$12^2)/4*(CY297*$W297*1000)/($G297*$B$5)))),
IF($D297="Pressio.",
IF($E297=3,(PI()*DC$12^2)/4*(CY297*$W297*1000)/($H297*$B$5),(PI()*DC$12^2)/4*(CY297*$W297*1000)/($G297*$B$5)),
IF($D297="Pénétro.",
IF($E297=4,(PI()*DC$12^2)/4*(CY297*$W297*1000)/($H297*$B$5),(PI()*DC$12^2)/4*(CY297*$W297*1000)/($G297*$B$5))))))/10</f>
        <v>#N/A</v>
      </c>
      <c r="DD297" s="102" t="e">
        <f>(VLOOKUP($B$3,'Coeff EC7'!$T$39:$X$59,2,0)*DB297+VLOOKUP($B$3,'Coeff EC7'!$T$65:$X$85,2,0)*Model0.1C!DC297)/1.1</f>
        <v>#N/A</v>
      </c>
      <c r="DE297" s="102" t="e">
        <f>(VLOOKUP($B$3,'Coeff EC7'!$T$39:$X$59,3,0)*DB297+VLOOKUP($B$3,'Coeff EC7'!$T$65:$X$85,3,0)*Model0.1C!DC297)/0.9</f>
        <v>#N/A</v>
      </c>
      <c r="DF297" s="102" t="e">
        <f t="shared" si="486"/>
        <v>#N/A</v>
      </c>
      <c r="DG297" s="102" t="e">
        <f t="shared" si="487"/>
        <v>#N/A</v>
      </c>
      <c r="DH297" s="414" t="e">
        <f>IF(DH296=0,0,IF(AND(DD297&gt;charge_ELS_quasi,DE297&gt;Charge_ELS_freq,DF297&gt;charge_ELU,DG297&gt;charge_ELA,$B297&gt;NDC!$H$22-0.1+MIN(3*$DH$12,1.5)),0,1))</f>
        <v>#N/A</v>
      </c>
      <c r="DI297" s="86" t="b">
        <f t="shared" si="455"/>
        <v>0</v>
      </c>
      <c r="DJ297" s="86">
        <f t="shared" si="456"/>
        <v>0.5</v>
      </c>
      <c r="DK297" s="86">
        <f t="shared" si="457"/>
        <v>0.5</v>
      </c>
      <c r="DL297" s="30" t="e">
        <f t="shared" ca="1" si="488"/>
        <v>#DIV/0!</v>
      </c>
      <c r="DM297" s="85" t="e">
        <f ca="1">IF(CS297&lt;=Hypothèses!$V$7,Hypothèses!$W$7,IF(CS297&lt;=Hypothèses!$V$8,Hypothèses!$W$8,IF(CS297&lt;=Hypothèses!$V$9,Hypothèses!$W$9,IF(CS297&lt;=Hypothèses!$V$10,Hypothèses!$W$10,IF(CS297&lt;=Hypothèses!$V$11,Hypothèses!$W$11,IF(CS297&lt;=Hypothèses!$V$12,Hypothèses!$W$12,IF(CS297&lt;=Hypothèses!$V$13,Hypothèses!$W$13,IF(CS297&lt;=Hypothèses!$V$14,Hypothèses!$W$14,IF(CS297&lt;=Hypothèses!$V$15,Hypothèses!$W$15,IF(CS297&lt;=Hypothèses!$V$16,Hypothèses!$W$16,IF(CS297&lt;=Hypothèses!$V$17,Hypothèses!$W$17,IF(CS297&lt;=Hypothèses!$V$18,Hypothèses!$W$18,""))))))))))))</f>
        <v>#DIV/0!</v>
      </c>
      <c r="DN297" s="87" t="e">
        <f t="shared" ca="1" si="521"/>
        <v>#DIV/0!</v>
      </c>
      <c r="DO297" s="88" t="e">
        <f ca="1">IF(CS297&lt;=Hypothèses!$V$7,Hypothèses!$X$7,IF(CS297&lt;=Hypothèses!$V$8,Hypothèses!$X$8,IF(CS297&lt;=Hypothèses!$V$9,Hypothèses!$X$9,IF(CS297&lt;=Hypothèses!$V$10,Hypothèses!$X$10,IF(CS297&lt;=Hypothèses!$V$11,Hypothèses!$X$11,IF(CS297&lt;=Hypothèses!$V$12,Hypothèses!$X$12,IF(CS297&lt;=Hypothèses!$V$13,Hypothèses!$X$13,IF(CS297&lt;=Hypothèses!$V$14,Hypothèses!$X$14,IF(CS297&lt;=Hypothèses!$V$15,Hypothèses!$X$15,IF(CS297&lt;=Hypothèses!$V$16,Hypothèses!$X$16,IF(CS297&lt;=Hypothèses!$U$17,Hypothèses!$W$17,IF(CS297&lt;=Hypothèses!$U$18,Hypothèses!$W$18,""))))))))))))</f>
        <v>#DIV/0!</v>
      </c>
      <c r="DP297" s="95" t="e">
        <f t="shared" ca="1" si="489"/>
        <v>#DIV/0!</v>
      </c>
      <c r="DQ297" s="101" t="e">
        <f t="shared" si="528"/>
        <v>#N/A</v>
      </c>
      <c r="DR297" s="91" t="e">
        <f t="shared" si="458"/>
        <v>#N/A</v>
      </c>
      <c r="DS297" s="30" t="e">
        <f t="shared" si="510"/>
        <v>#N/A</v>
      </c>
      <c r="DT297" s="30" t="e">
        <f t="shared" si="511"/>
        <v>#N/A</v>
      </c>
      <c r="DU297" s="31" t="e">
        <f>IF(OR(Hypothèses!$B$4=17,Hypothèses!$B$4=18,Hypothèses!$B$4=19,Hypothèses!$B$4=20),
IF($D297="Pressio.",
IF(OR($E297=3,$E297=1,$E297=4),DT297,DS297),
IF($D297="Pénétro.",
IF(OR($E297=3,$E297=1,$E297=4),DT297,DS297))),IF($D297="Pressio.",
IF($E297=3,DT297,DS297),
IF($D297="Pénétro.",
IF($E297=4,DT297,DS297))))</f>
        <v>#N/A</v>
      </c>
      <c r="DV297" s="31" t="e">
        <f>(IF(OR(Hypothèses!$B$4=17,Hypothèses!$B$4=18,Hypothèses!$B$4=19,Hypothèses!$B$4=20),
IF($D297="Pressio.",
IF(OR($E297=3,$E297=1,$E297=4),(PI()*DV$12^2)/4*(DR297*$W297*1000)/($H297*$B$5),(PI()*DV$12^2)/4*(DR297*$W297*1000)/($G297*$B$5)),
IF($D297="Pénétro.",
IF(OR($E297=4,$E297=1,$E297=5),(PI()*DV$12^2)/4*(DR297*$W297*1000)/($H297*$B$5),(PI()*DV$12^2)/4*(DR297*$W297*1000)/($G297*$B$5)))),
IF($D297="Pressio.",
IF($E297=3,(PI()*DV$12^2)/4*(DR297*$W297*1000)/($H297*$B$5),(PI()*DV$12^2)/4*(DR297*$W297*1000)/($G297*$B$5)),
IF($D297="Pénétro.",
IF($E297=4,(PI()*DV$12^2)/4*(DR297*$W297*1000)/($H297*$B$5),(PI()*DV$12^2)/4*(DR297*$W297*1000)/($G297*$B$5))))))/10</f>
        <v>#N/A</v>
      </c>
      <c r="DW297" s="102" t="e">
        <f>(VLOOKUP($B$3,'Coeff EC7'!$T$39:$X$59,2,0)*DU297+VLOOKUP($B$3,'Coeff EC7'!$T$65:$X$85,2,0)*Model0.1C!DV297)/1.1</f>
        <v>#N/A</v>
      </c>
      <c r="DX297" s="102" t="e">
        <f>(VLOOKUP($B$3,'Coeff EC7'!$T$39:$X$59,3,0)*DU297+VLOOKUP($B$3,'Coeff EC7'!$T$65:$X$85,3,0)*Model0.1C!DV297)/0.9</f>
        <v>#N/A</v>
      </c>
      <c r="DY297" s="102" t="e">
        <f t="shared" si="490"/>
        <v>#N/A</v>
      </c>
      <c r="DZ297" s="102" t="e">
        <f t="shared" si="491"/>
        <v>#N/A</v>
      </c>
      <c r="EA297" s="414" t="e">
        <f>IF(EA296=0,0,IF(AND(DW297&gt;charge_ELS_quasi,DX297&gt;Charge_ELS_freq,DY297&gt;charge_ELU,DZ297&gt;charge_ELA,$B297&gt;NDC!$H$22-0.1+MIN(3*$EA$12,1.5)),0,1))</f>
        <v>#N/A</v>
      </c>
      <c r="EB297" s="86" t="b">
        <f t="shared" si="459"/>
        <v>0</v>
      </c>
      <c r="EC297" s="418">
        <f t="shared" si="460"/>
        <v>0.51</v>
      </c>
      <c r="ED297" s="86">
        <f t="shared" si="461"/>
        <v>0.51</v>
      </c>
      <c r="EE297" s="30" t="e">
        <f t="shared" ca="1" si="492"/>
        <v>#DIV/0!</v>
      </c>
      <c r="EF297" s="85" t="e">
        <f ca="1">IF(DL297&lt;=Hypothèses!$V$7,Hypothèses!$W$7,IF(DL297&lt;=Hypothèses!$V$8,Hypothèses!$W$8,IF(DL297&lt;=Hypothèses!$V$9,Hypothèses!$W$9,IF(DL297&lt;=Hypothèses!$V$10,Hypothèses!$W$10,IF(DL297&lt;=Hypothèses!$V$11,Hypothèses!$W$11,IF(DL297&lt;=Hypothèses!$V$12,Hypothèses!$W$12,IF(DL297&lt;=Hypothèses!$V$13,Hypothèses!$W$13,IF(DL297&lt;=Hypothèses!$V$14,Hypothèses!$W$14,IF(DL297&lt;=Hypothèses!$V$15,Hypothèses!$W$15,IF(DL297&lt;=Hypothèses!$V$16,Hypothèses!$W$16,IF(DL297&lt;=Hypothèses!$V$17,Hypothèses!$W$17,IF(DL297&lt;=Hypothèses!$V$18,Hypothèses!$W$18,""))))))))))))</f>
        <v>#DIV/0!</v>
      </c>
      <c r="EG297" s="87" t="e">
        <f t="shared" ca="1" si="522"/>
        <v>#DIV/0!</v>
      </c>
      <c r="EH297" s="88" t="e">
        <f ca="1">IF(DL297&lt;=Hypothèses!$V$7,Hypothèses!$X$7,IF(DL297&lt;=Hypothèses!$V$8,Hypothèses!$X$8,IF(DL297&lt;=Hypothèses!$V$9,Hypothèses!$X$9,IF(DL297&lt;=Hypothèses!$V$10,Hypothèses!$X$10,IF(DL297&lt;=Hypothèses!$V$11,Hypothèses!$X$11,IF(DL297&lt;=Hypothèses!$V$12,Hypothèses!$X$12,IF(DL297&lt;=Hypothèses!$V$13,Hypothèses!$X$13,IF(DL297&lt;=Hypothèses!$V$14,Hypothèses!$X$14,IF(DL297&lt;=Hypothèses!$V$15,Hypothèses!$X$15,IF(DL297&lt;=Hypothèses!$V$16,Hypothèses!$X$16,IF(DL297&lt;=Hypothèses!$U$17,Hypothèses!$W$17,IF(DL297&lt;=Hypothèses!$U$18,Hypothèses!$W$18,""))))))))))))</f>
        <v>#DIV/0!</v>
      </c>
      <c r="EI297" s="95" t="e">
        <f t="shared" ca="1" si="493"/>
        <v>#DIV/0!</v>
      </c>
      <c r="EJ297" s="101" t="e">
        <f t="shared" si="529"/>
        <v>#N/A</v>
      </c>
      <c r="EK297" s="91" t="e">
        <f t="shared" si="462"/>
        <v>#N/A</v>
      </c>
      <c r="EL297" s="30" t="e">
        <f t="shared" si="512"/>
        <v>#N/A</v>
      </c>
      <c r="EM297" s="30" t="e">
        <f t="shared" si="513"/>
        <v>#N/A</v>
      </c>
      <c r="EN297" s="31" t="e">
        <f>IF(OR(Hypothèses!$B$4=17,Hypothèses!$B$4=18,Hypothèses!$B$4=19,Hypothèses!$B$4=20),
IF($D297="Pressio.",
IF(OR($E297=3,$E297=1,$E297=4),EM297,EL297),
IF($D297="Pénétro.",
IF(OR($E297=3,$E297=1,$E297=4),EM297,EL297))),IF($D297="Pressio.",
IF($E297=3,EM297,EL297),
IF($D297="Pénétro.",
IF($E297=4,EM297,EL297))))</f>
        <v>#N/A</v>
      </c>
      <c r="EO297" s="31" t="e">
        <f>(IF(OR(Hypothèses!$B$4=17,Hypothèses!$B$4=18,Hypothèses!$B$4=19,Hypothèses!$B$4=20),
IF($D297="Pressio.",
IF(OR($E297=3,$E297=1,$E297=4),(PI()*EO$12^2)/4*(EK297*$W297*1000)/($H297*$B$5),(PI()*EO$12^2)/4*(EK297*$W297*1000)/($G297*$B$5)),
IF($D297="Pénétro.",
IF(OR($E297=4,$E297=1,$E297=5),(PI()*EO$12^2)/4*(EK297*$W297*1000)/($H297*$B$5),(PI()*EO$12^2)/4*(EK297*$W297*1000)/($G297*$B$5)))),
IF($D297="Pressio.",
IF($E297=3,(PI()*EO$12^2)/4*(EK297*$W297*1000)/($H297*$B$5),(PI()*EO$12^2)/4*(EK297*$W297*1000)/($G297*$B$5)),
IF($D297="Pénétro.",
IF($E297=4,(PI()*EO$12^2)/4*(EK297*$W297*1000)/($H297*$B$5),(PI()*EO$12^2)/4*(EK297*$W297*1000)/($G297*$B$5))))))/10</f>
        <v>#N/A</v>
      </c>
      <c r="EP297" s="102" t="e">
        <f>(VLOOKUP($B$3,'Coeff EC7'!$T$39:$X$59,2,0)*EN297+VLOOKUP($B$3,'Coeff EC7'!$T$65:$X$85,2,0)*Model0.1C!EO297)/1.1</f>
        <v>#N/A</v>
      </c>
      <c r="EQ297" s="102" t="e">
        <f>(VLOOKUP($B$3,'Coeff EC7'!$T$39:$X$59,3,0)*EN297+VLOOKUP($B$3,'Coeff EC7'!$T$65:$X$85,3,0)*Model0.1C!EO297)/0.9</f>
        <v>#N/A</v>
      </c>
      <c r="ER297" s="102" t="e">
        <f t="shared" si="494"/>
        <v>#N/A</v>
      </c>
      <c r="ES297" s="102" t="e">
        <f t="shared" si="495"/>
        <v>#N/A</v>
      </c>
      <c r="ET297" s="414" t="e">
        <f>IF(ET296=0,0,IF(AND(EP297&gt;charge_ELS_quasi,EQ297&gt;Charge_ELS_freq,ER297&gt;charge_ELU,ES297&gt;charge_ELA,$B297&gt;NDC!$H$22-0.1+MIN(3*$ET$12,1.5)),0,1))</f>
        <v>#N/A</v>
      </c>
      <c r="EU297" s="86" t="b">
        <f t="shared" si="463"/>
        <v>0</v>
      </c>
      <c r="EV297" s="86">
        <f t="shared" si="464"/>
        <v>0.61</v>
      </c>
      <c r="EW297" s="86">
        <f t="shared" si="465"/>
        <v>0.61</v>
      </c>
      <c r="EX297" s="30" t="e">
        <f t="shared" ca="1" si="496"/>
        <v>#DIV/0!</v>
      </c>
      <c r="EY297" s="85" t="e">
        <f ca="1">IF(EE297&lt;=Hypothèses!$V$7,Hypothèses!$W$7,IF(EE297&lt;=Hypothèses!$V$8,Hypothèses!$W$8,IF(EE297&lt;=Hypothèses!$V$9,Hypothèses!$W$9,IF(EE297&lt;=Hypothèses!$V$10,Hypothèses!$W$10,IF(EE297&lt;=Hypothèses!$V$11,Hypothèses!$W$11,IF(EE297&lt;=Hypothèses!$V$12,Hypothèses!$W$12,IF(EE297&lt;=Hypothèses!$V$13,Hypothèses!$W$13,IF(EE297&lt;=Hypothèses!$V$14,Hypothèses!$W$14,IF(EE297&lt;=Hypothèses!$V$15,Hypothèses!$W$15,IF(EE297&lt;=Hypothèses!$V$16,Hypothèses!$W$16,IF(EE297&lt;=Hypothèses!$V$17,Hypothèses!$W$17,IF(EE297&lt;=Hypothèses!$V$18,Hypothèses!$W$18,""))))))))))))</f>
        <v>#DIV/0!</v>
      </c>
      <c r="EZ297" s="87" t="e">
        <f t="shared" ca="1" si="523"/>
        <v>#DIV/0!</v>
      </c>
      <c r="FA297" s="88" t="e">
        <f ca="1">IF(EE297&lt;=Hypothèses!$V$7,Hypothèses!$X$7,IF(EE297&lt;=Hypothèses!$V$8,Hypothèses!$X$8,IF(EE297&lt;=Hypothèses!$V$9,Hypothèses!$X$9,IF(EE297&lt;=Hypothèses!$V$10,Hypothèses!$X$10,IF(EE297&lt;=Hypothèses!$V$11,Hypothèses!$X$11,IF(EE297&lt;=Hypothèses!$V$12,Hypothèses!$X$12,IF(EE297&lt;=Hypothèses!$V$13,Hypothèses!$X$13,IF(EE297&lt;=Hypothèses!$V$14,Hypothèses!$X$14,IF(EE297&lt;=Hypothèses!$V$15,Hypothèses!$X$15,IF(EE297&lt;=Hypothèses!$V$16,Hypothèses!$X$16,IF(EE297&lt;=Hypothèses!$U$17,Hypothèses!$W$17,IF(EE297&lt;=Hypothèses!$U$18,Hypothèses!$W$18,""))))))))))))</f>
        <v>#DIV/0!</v>
      </c>
      <c r="FB297" s="95" t="e">
        <f t="shared" ca="1" si="497"/>
        <v>#DIV/0!</v>
      </c>
      <c r="FC297" s="101" t="e">
        <f t="shared" si="530"/>
        <v>#N/A</v>
      </c>
      <c r="FD297" s="91" t="e">
        <f t="shared" si="466"/>
        <v>#N/A</v>
      </c>
      <c r="FE297" s="30" t="e">
        <f t="shared" si="514"/>
        <v>#N/A</v>
      </c>
      <c r="FF297" s="30" t="e">
        <f t="shared" si="515"/>
        <v>#N/A</v>
      </c>
      <c r="FG297" s="31" t="e">
        <f>IF(OR(Hypothèses!$B$4=17,Hypothèses!$B$4=18,Hypothèses!$B$4=19,Hypothèses!$B$4=20),
IF($D297="Pressio.",
IF(OR($E297=3,$E297=1,$E297=4),FF297,FE297),
IF($D297="Pénétro.",
IF(OR($E297=3,$E297=1,$E297=4),FF297,FE297))),IF($D297="Pressio.",
IF($E297=3,FF297,FE297),
IF($D297="Pénétro.",
IF($E297=4,FF297,FE297))))</f>
        <v>#N/A</v>
      </c>
      <c r="FH297" s="31" t="e">
        <f>(IF(OR(Hypothèses!$B$4=17,Hypothèses!$B$4=18,Hypothèses!$B$4=19,Hypothèses!$B$4=20),
IF($D297="Pressio.",
IF(OR($E297=3,$E297=1,$E297=4),(PI()*FH$12^2)/4*(FD297*$W297*1000)/($H297*$B$5),(PI()*FH$12^2)/4*(FD297*$W297*1000)/($G297*$B$5)),
IF($D297="Pénétro.",
IF(OR($E297=4,$E297=1,$E297=5),(PI()*FH$12^2)/4*(FD297*$W297*1000)/($H297*$B$5),(PI()*FH$12^2)/4*(FD297*$W297*1000)/($G297*$B$5)))),
IF($D297="Pressio.",
IF($E297=3,(PI()*FH$12^2)/4*(FD297*$W297*1000)/($H297*$B$5),(PI()*FH$12^2)/4*(FD297*$W297*1000)/($G297*$B$5)),
IF($D297="Pénétro.",
IF($E297=4,(PI()*FH$12^2)/4*(FD297*$W297*1000)/($H297*$B$5),(PI()*FH$12^2)/4*(FD297*$W297*1000)/($G297*$B$5))))))/10</f>
        <v>#N/A</v>
      </c>
      <c r="FI297" s="102" t="e">
        <f>(VLOOKUP($B$3,'Coeff EC7'!$T$39:$X$59,2,0)*FG297+VLOOKUP($B$3,'Coeff EC7'!$T$65:$X$85,2,0)*Model0.1C!FH297)/1.1</f>
        <v>#N/A</v>
      </c>
      <c r="FJ297" s="102" t="e">
        <f>(VLOOKUP($B$3,'Coeff EC7'!$T$39:$X$59,3,0)*FG297+VLOOKUP($B$3,'Coeff EC7'!$T$65:$X$85,3,0)*Model0.1C!FH297)/0.9</f>
        <v>#N/A</v>
      </c>
      <c r="FK297" s="102" t="e">
        <f t="shared" si="498"/>
        <v>#N/A</v>
      </c>
      <c r="FL297" s="102" t="e">
        <f t="shared" si="499"/>
        <v>#N/A</v>
      </c>
      <c r="FM297" s="414" t="e">
        <f>IF(FM296=0,0,IF(AND(FI297&gt;charge_ELS_quasi,FJ297&gt;Charge_ELS_freq,FK297&gt;charge_ELU,FL297&gt;charge_ELA,$B297&gt;NDC!$H$22-0.1+MIN(3*$FM$12,1.5)),0,1))</f>
        <v>#N/A</v>
      </c>
    </row>
    <row r="298" spans="1:169">
      <c r="A298" s="96">
        <f t="shared" si="467"/>
        <v>71.50000000000162</v>
      </c>
      <c r="B298" s="97">
        <v>28.5</v>
      </c>
      <c r="C298" s="81">
        <f>IF(B298&lt;=Hypothèses!$C$7,Hypothèses!$A$7,IF(B298&lt;=Hypothèses!$C$8,Hypothèses!$A$8,IF(B298&lt;=Hypothèses!$C$9,Hypothèses!$A$9,IF(B298&lt;=Hypothèses!$C$10,Hypothèses!$A$10,IF(B298&lt;=Hypothèses!$C$11,Hypothèses!$A$11,IF(B298&lt;=Hypothèses!$C$12,Hypothèses!$A$12,IF(B298&lt;=Hypothèses!$C$13,Hypothèses!$A$13,IF(B298&lt;=Hypothèses!$C$14,Hypothèses!$A$14,IF(B298&lt;=Hypothèses!$C$15,Hypothèses!$A$15,IF(B298&lt;=Hypothèses!$C$16,Hypothèses!$A$16,IF(B298&lt;=Hypothèses!$C$17,Hypothèses!$A$17,IF(B298&lt;=Hypothèses!$C$18,Hypothèses!$A$18,C297))))))))))))</f>
        <v>11</v>
      </c>
      <c r="D298" s="82" t="str">
        <f>IF(B298&lt;=Hypothèses!$C$7,Hypothèses!$R$7,IF(B298&lt;=Hypothèses!$C$8,Hypothèses!$R$8,IF(B298&lt;=Hypothèses!$C$9,Hypothèses!$R$9,IF(B298&lt;=Hypothèses!$C$10,Hypothèses!$R$10,IF(B298&lt;=Hypothèses!$C$11,Hypothèses!$R$11,IF(B298&lt;=Hypothèses!$C$12,Hypothèses!$R$12,IF(B298&lt;=Hypothèses!$C$13,Hypothèses!$R$13,IF(B298&lt;=Hypothèses!$C$14,Hypothèses!$R$14,IF(B298&lt;=Hypothèses!$C$15,Hypothèses!$R$15,IF(B298&lt;=Hypothèses!$C$16,Hypothèses!$R$16,IF(B298&lt;=Hypothèses!$C$17,Hypothèses!$R$17,IF(B298&lt;=Hypothèses!$C$18,Hypothèses!$R$18,D297))))))))))))</f>
        <v>Pressio.</v>
      </c>
      <c r="E298" s="82" t="e">
        <f>IF(B298&lt;=Hypothèses!$C$7,Hypothèses!$G$7,IF(B298&lt;=Hypothèses!$C$8,Hypothèses!$G$8,IF(B298&lt;=Hypothèses!$C$9,Hypothèses!$G$9,IF(B298&lt;=Hypothèses!$C$10,Hypothèses!$G$10,IF(B298&lt;=Hypothèses!$C$11,Hypothèses!$G$11,IF(B298&lt;=Hypothèses!$C$12,Hypothèses!$G$12,IF(B298&lt;=Hypothèses!$C$13,Hypothèses!$G$13,IF(B298&lt;=Hypothèses!$C$14,Hypothèses!$G$14,IF(B298&lt;=Hypothèses!$C$15,Hypothèses!$G$15,IF(B298&lt;=Hypothèses!$C$16,Hypothèses!$G$16,IF(B298&lt;=Hypothèses!$C$17,Hypothèses!$G$17,IF(B298&lt;=Hypothèses!$C$18,Hypothèses!$G$18,E297))))))))))))</f>
        <v>#N/A</v>
      </c>
      <c r="F298" s="82" t="str">
        <f>IF(B298&lt;=Hypothèses!$C$7,Hypothèses!$F$7,IF(B298&lt;=Hypothèses!$C$8,Hypothèses!$F$8,IF(B298&lt;=Hypothèses!$C$9,Hypothèses!$F$9,IF(B298&lt;=Hypothèses!$C$10,Hypothèses!$F$10,IF(B298&lt;=Hypothèses!$C$11,Hypothèses!$F$11,IF(B298&lt;=Hypothèses!$C$12,Hypothèses!$F$12,IF(B298&lt;=Hypothèses!$C$13,Hypothèses!$F$13,IF(B298&lt;=Hypothèses!$C$14,Hypothèses!$F$14,IF(B298&lt;=Hypothèses!$C$15,Hypothèses!$F$15,IF(B298&lt;=Hypothèses!$C$16,Hypothèses!$F$16,IF(B298&lt;=Hypothèses!$C$17,Hypothèses!$F$17,IF(B298&lt;=Hypothèses!$C$18,Hypothèses!$F$18,F297))))))))))))</f>
        <v/>
      </c>
      <c r="G298" s="91">
        <f t="array" ref="G298">INDEX('Coeff EC7'!$U$7:$X$27,
MATCH(Model0.1C!$B$3,'Coeff EC7'!$T$7:$T$27,0),
MATCH(Model0.1C!$D298&amp;Model0.1C!$B$4,
'Coeff EC7'!$U$6:$X$6&amp;
'Coeff EC7'!$U$5:$X$5,0))</f>
        <v>1.1499999999999999</v>
      </c>
      <c r="H298" s="91">
        <f t="array" ref="H298">INDEX('Coeff EC7'!$Y$7:$AB$27,
MATCH(Model0.1C!$B$3,'Coeff EC7'!$T$7:$T$27,0),
MATCH(Model0.1C!$D298&amp;Model0.1C!$B$4,
'Coeff EC7'!$Y$6:$AB$6&amp;
'Coeff EC7'!$Y$5:$AB$5,0))</f>
        <v>1.4</v>
      </c>
      <c r="I298" s="83" t="e">
        <f>IF(B298&lt;=Hypothèses!$C$7,Hypothèses!$P$7,IF(B298&lt;=Hypothèses!$C$8,Hypothèses!$P$8,IF(B298&lt;=Hypothèses!$C$9,Hypothèses!$P$9,IF(B298&lt;=Hypothèses!$C$10,Hypothèses!$P$10,IF(B298&lt;=Hypothèses!$C$11,Hypothèses!$P$11,IF(B298&lt;=Hypothèses!$C$12,Hypothèses!$P$12,IF(B298&lt;=Hypothèses!$C$13,Hypothèses!$P$13,IF(B298&lt;=Hypothèses!$C$14,Hypothèses!$P$14,IF(B298&lt;=Hypothèses!$C$15,Hypothèses!$P$15,IF(B298&lt;=Hypothèses!$C$16,Hypothèses!$P$16,IF(B298&lt;=Hypothèses!$C$17,Hypothèses!$P$17,IF(B298&lt;=Hypothèses!$C$18,Hypothèses!$P$18,I297))))))))))))</f>
        <v>#N/A</v>
      </c>
      <c r="J298" s="91" t="e">
        <f t="array" ref="J298">INDEX('Coeff EC7'!$D$33:$Q$33,1,MATCH(D298&amp;E298,'Coeff EC7'!$D$31:$Q$31&amp;'Coeff EC7'!$D$32:$Q$32,0))</f>
        <v>#N/A</v>
      </c>
      <c r="K298" s="91" t="e">
        <f t="array" ref="K298">INDEX('Coeff EC7'!$D$34:$Q$34,1,MATCH(D298&amp;E298,'Coeff EC7'!$D$31:$Q$31&amp;'Coeff EC7'!$D$32:$Q$32,0))</f>
        <v>#N/A</v>
      </c>
      <c r="L298" s="91" t="e">
        <f t="array" ref="L298">INDEX('Coeff EC7'!$D$35:$Q$35,1,MATCH(D298&amp;E298,'Coeff EC7'!$D$31:$Q$31&amp;'Coeff EC7'!$D$32:$Q$32,0))</f>
        <v>#N/A</v>
      </c>
      <c r="M298" s="98" t="e">
        <f t="shared" si="431"/>
        <v>#N/A</v>
      </c>
      <c r="N298" s="99" t="e">
        <f t="array" ref="N298">INDEX('Coeff EC7'!$D$7:$Q$27,MATCH($B$3,'Coeff EC7'!$C$7:$C$27,0),MATCH(D298&amp;E298,'Coeff EC7'!$D$5:$Q$5&amp;'Coeff EC7'!$D$6:$Q$6,0))</f>
        <v>#N/A</v>
      </c>
      <c r="O298" s="99" t="e">
        <f t="array" ref="O298">INDEX('Coeff EC7'!$D$41:$Q$61,MATCH($B$3,'Coeff EC7'!$C$41:$C$61,0),MATCH(D298&amp;E298,'Coeff EC7'!$D$39:$Q$39&amp;'Coeff EC7'!$D$40:$Q$40,0))</f>
        <v>#N/A</v>
      </c>
      <c r="P298" s="30" t="e">
        <f t="shared" si="468"/>
        <v>#N/A</v>
      </c>
      <c r="Q298" s="100" t="e">
        <f t="shared" si="433"/>
        <v>#N/A</v>
      </c>
      <c r="R298" s="86" t="b">
        <f t="shared" si="434"/>
        <v>0</v>
      </c>
      <c r="S298" s="86">
        <f t="shared" si="432"/>
        <v>0.5</v>
      </c>
      <c r="T298" s="86">
        <f t="shared" si="435"/>
        <v>0.5</v>
      </c>
      <c r="U298" s="30" t="e">
        <f t="shared" ca="1" si="469"/>
        <v>#DIV/0!</v>
      </c>
      <c r="V298" s="85" t="str">
        <f>IF(B298&lt;=Hypothèses!$V$7,Hypothèses!$W$7,IF(B298&lt;=Hypothèses!$V$8,Hypothèses!$W$8,IF(B298&lt;=Hypothèses!$V$9,Hypothèses!$W$9,IF(B298&lt;=Hypothèses!$V$10,Hypothèses!$W$10,IF(B298&lt;=Hypothèses!$V$11,Hypothèses!$W$11,IF(B298&lt;=Hypothèses!$V$12,Hypothèses!$W$12,IF(B298&lt;=Hypothèses!$V$13,Hypothèses!$W$13,IF(B298&lt;=Hypothèses!$V$14,Hypothèses!$W$14,IF(B298&lt;=Hypothèses!$V$15,Hypothèses!$W$15,IF(B298&lt;=Hypothèses!$V$16,Hypothèses!$W$16,IF(B298&lt;=Hypothèses!$V$17,Hypothèses!$W$17,IF(B298&lt;=Hypothèses!$V$18,Hypothèses!$W$18,""))))))))))))</f>
        <v/>
      </c>
      <c r="W298" s="87" t="e">
        <f t="shared" ca="1" si="516"/>
        <v>#DIV/0!</v>
      </c>
      <c r="X298" s="88" t="str">
        <f>IF(B298&lt;=Hypothèses!$V$7,Hypothèses!$X$7,IF(B298&lt;=Hypothèses!$V$8,Hypothèses!$X$8,IF(B298&lt;=Hypothèses!$V$9,Hypothèses!$X$9,IF(B298&lt;=Hypothèses!$V$10,Hypothèses!$X$10,IF(B298&lt;=Hypothèses!$V$11,Hypothèses!$X$11,IF(B298&lt;=Hypothèses!$V$12,Hypothèses!$X$12,IF(B298&lt;=Hypothèses!$V$13,Hypothèses!$X$13,IF(B298&lt;=Hypothèses!$V$14,Hypothèses!$X$14,IF(B298&lt;=Hypothèses!$V$15,Hypothèses!$X$15,IF(B298&lt;=Hypothèses!$V$16,Hypothèses!$X$16,IF(B298&lt;=Hypothèses!$U$17,Hypothèses!$W$17,IF(B298&lt;=Hypothèses!$U$18,Hypothèses!$W$18,""))))))))))))</f>
        <v/>
      </c>
      <c r="Y298" s="95" t="e">
        <f t="shared" ca="1" si="436"/>
        <v>#DIV/0!</v>
      </c>
      <c r="Z298" s="101" t="e">
        <f t="shared" si="437"/>
        <v>#N/A</v>
      </c>
      <c r="AA298" s="91" t="e">
        <f t="shared" si="438"/>
        <v>#N/A</v>
      </c>
      <c r="AB298" s="30" t="e">
        <f t="shared" si="500"/>
        <v>#N/A</v>
      </c>
      <c r="AC298" s="30" t="e">
        <f t="shared" si="501"/>
        <v>#N/A</v>
      </c>
      <c r="AD298" s="31" t="e">
        <f>IF(OR(Hypothèses!$B$4=17,Hypothèses!$B$4=18,Hypothèses!$B$4=19,Hypothèses!$B$4=20),
IF($D298="Pressio.",
IF(OR($E298=3,$E298=1,$E298=4),AC298,AB298),
IF($D298="Pénétro.",
IF(OR($E298=3,$E298=1,$E298=4),AC298,AB298))),IF($D298="Pressio.",
IF($E298=3,AC298,AB298),
IF($D298="Pénétro.",
IF($E298=4,AC298,AB298))))</f>
        <v>#N/A</v>
      </c>
      <c r="AE298" s="31" t="e">
        <f>(IF(OR(Hypothèses!$B$4=17,Hypothèses!$B$4=18,Hypothèses!$B$4=19,Hypothèses!$B$4=20),
IF($D298="Pressio.",
IF(OR($E298=3,$E298=1,$E298=4),(PI()*AE$12^2)/4*(AA298*$W298*1000)/($H298*$B$5),(PI()*AE$12^2)/4*(AA298*$W298*1000)/($G298*$B$5)),
IF($D298="Pénétro.",
IF(OR($E298=4,$E298=1,$E298=5),(PI()*AE$12^2)/4*(AA298*$W298*1000)/($H298*$B$5),(PI()*AE$12^2)/4*(AA298*$W298*1000)/($G298*$B$5)))),
IF($D298="Pressio.",
IF($E298=3,(PI()*AE$12^2)/4*(AA298*$W298*1000)/($H298*$B$5),(PI()*AE$12^2)/4*(AA298*$W298*1000)/($G298*$B$5)),
IF($D298="Pénétro.",
IF($E298=4,(PI()*AE$12^2)/4*(AA298*$W298*1000)/($H298*$B$5),(PI()*AE$12^2)/4*(AA298*$W298*1000)/($G298*$B$5))))))/10</f>
        <v>#N/A</v>
      </c>
      <c r="AF298" s="102" t="e">
        <f>(VLOOKUP($B$3,'Coeff EC7'!$T$39:$X$59,2,0)*AD298+VLOOKUP($B$3,'Coeff EC7'!$T$65:$X$85,2,0)*Model0.1C!AE298)/1.1</f>
        <v>#N/A</v>
      </c>
      <c r="AG298" s="102" t="e">
        <f>(VLOOKUP($B$3,'Coeff EC7'!$T$39:$X$59,3,0)*AD298+VLOOKUP($B$3,'Coeff EC7'!$T$65:$X$85,3,0)*Model0.1C!AE298)/0.9</f>
        <v>#N/A</v>
      </c>
      <c r="AH298" s="102" t="e">
        <f t="shared" si="439"/>
        <v>#N/A</v>
      </c>
      <c r="AI298" s="102" t="e">
        <f t="shared" si="440"/>
        <v>#N/A</v>
      </c>
      <c r="AJ298" s="414" t="e">
        <f>IF(AJ297=0,0,IF(AND(AF298&gt;charge_ELS_quasi,AG298&gt;Charge_ELS_freq,AH298&gt;charge_ELU,AI298&gt;charge_ELA,$B298&gt;NDC!$H$22-0.1+MIN(3*$AJ$12,1.5)),0,1))</f>
        <v>#N/A</v>
      </c>
      <c r="AK298" s="86" t="b">
        <f t="shared" si="441"/>
        <v>0</v>
      </c>
      <c r="AL298" s="86">
        <f t="shared" si="470"/>
        <v>0.5</v>
      </c>
      <c r="AM298" s="86">
        <f t="shared" si="442"/>
        <v>0.5</v>
      </c>
      <c r="AN298" s="30" t="e">
        <f t="shared" ca="1" si="471"/>
        <v>#DIV/0!</v>
      </c>
      <c r="AO298" s="85" t="e">
        <f ca="1">IF(U298&lt;=Hypothèses!$V$7,Hypothèses!$W$7,IF(U298&lt;=Hypothèses!$V$8,Hypothèses!$W$8,IF(U298&lt;=Hypothèses!$V$9,Hypothèses!$W$9,IF(U298&lt;=Hypothèses!$V$10,Hypothèses!$W$10,IF(U298&lt;=Hypothèses!$V$11,Hypothèses!$W$11,IF(U298&lt;=Hypothèses!$V$12,Hypothèses!$W$12,IF(U298&lt;=Hypothèses!$V$13,Hypothèses!$W$13,IF(U298&lt;=Hypothèses!$V$14,Hypothèses!$W$14,IF(U298&lt;=Hypothèses!$V$15,Hypothèses!$W$15,IF(U298&lt;=Hypothèses!$V$16,Hypothèses!$W$16,IF(U298&lt;=Hypothèses!$V$17,Hypothèses!$W$17,IF(U298&lt;=Hypothèses!$V$18,Hypothèses!$W$18,""))))))))))))</f>
        <v>#DIV/0!</v>
      </c>
      <c r="AP298" s="87" t="e">
        <f t="shared" ca="1" si="517"/>
        <v>#DIV/0!</v>
      </c>
      <c r="AQ298" s="88" t="e">
        <f ca="1">IF(U298&lt;=Hypothèses!$V$7,Hypothèses!$X$7,IF(U298&lt;=Hypothèses!$V$8,Hypothèses!$X$8,IF(U298&lt;=Hypothèses!$V$9,Hypothèses!$X$9,IF(U298&lt;=Hypothèses!$V$10,Hypothèses!$X$10,IF(U298&lt;=Hypothèses!$V$11,Hypothèses!$X$11,IF(U298&lt;=Hypothèses!$V$12,Hypothèses!$X$12,IF(U298&lt;=Hypothèses!$V$13,Hypothèses!$X$13,IF(U298&lt;=Hypothèses!$V$14,Hypothèses!$X$14,IF(U298&lt;=Hypothèses!$V$15,Hypothèses!$X$15,IF(U298&lt;=Hypothèses!$V$16,Hypothèses!$X$16,IF(U298&lt;=Hypothèses!$U$17,Hypothèses!$W$17,IF(U298&lt;=Hypothèses!$U$18,Hypothèses!$W$18,""))))))))))))</f>
        <v>#DIV/0!</v>
      </c>
      <c r="AR298" s="95" t="e">
        <f t="shared" ca="1" si="472"/>
        <v>#DIV/0!</v>
      </c>
      <c r="AS298" s="101" t="e">
        <f t="shared" si="524"/>
        <v>#N/A</v>
      </c>
      <c r="AT298" s="91" t="e">
        <f t="shared" si="443"/>
        <v>#N/A</v>
      </c>
      <c r="AU298" s="30" t="e">
        <f t="shared" si="502"/>
        <v>#N/A</v>
      </c>
      <c r="AV298" s="30" t="e">
        <f t="shared" si="503"/>
        <v>#N/A</v>
      </c>
      <c r="AW298" s="31" t="e">
        <f>IF(OR(Hypothèses!$B$4=17,Hypothèses!$B$4=18,Hypothèses!$B$4=19,Hypothèses!$B$4=20),
IF($D298="Pressio.",
IF(OR($E298=3,$E298=1,$E298=4),AV298,AU298),
IF($D298="Pénétro.",
IF(OR($E298=3,$E298=1,$E298=4),AV298,AU298))),IF($D298="Pressio.",
IF($E298=3,AV298,AU298),
IF($D298="Pénétro.",
IF($E298=4,AV298,AU298))))</f>
        <v>#N/A</v>
      </c>
      <c r="AX298" s="31" t="e">
        <f>(IF(OR(Hypothèses!$B$4=17,Hypothèses!$B$4=18,Hypothèses!$B$4=19,Hypothèses!$B$4=20),
IF($D298="Pressio.",
IF(OR($E298=3,$E298=1,$E298=4),(PI()*AX$12^2)/4*(AT298*$W298*1000)/($H298*$B$5),(PI()*AX$12^2)/4*(AT298*$W298*1000)/($G298*$B$5)),
IF($D298="Pénétro.",
IF(OR($E298=4,$E298=1,$E298=5),(PI()*AX$12^2)/4*(AT298*$W298*1000)/($H298*$B$5),(PI()*AX$12^2)/4*(AT298*$W298*1000)/($G298*$B$5)))),
IF($D298="Pressio.",
IF($E298=3,(PI()*AX$12^2)/4*(AT298*$W298*1000)/($H298*$B$5),(PI()*AX$12^2)/4*(AT298*$W298*1000)/($G298*$B$5)),
IF($D298="Pénétro.",
IF($E298=4,(PI()*AX$12^2)/4*(AT298*$W298*1000)/($H298*$B$5),(PI()*AX$12^2)/4*(AT298*$W298*1000)/($G298*$B$5))))))/10</f>
        <v>#N/A</v>
      </c>
      <c r="AY298" s="102" t="e">
        <f>(VLOOKUP($B$3,'Coeff EC7'!$T$39:$X$59,2,0)*AW298+VLOOKUP($B$3,'Coeff EC7'!$T$65:$X$85,2,0)*Model0.1C!AX298)/1.1</f>
        <v>#N/A</v>
      </c>
      <c r="AZ298" s="102" t="e">
        <f>(VLOOKUP($B$3,'Coeff EC7'!$T$39:$X$59,3,0)*AW298+VLOOKUP($B$3,'Coeff EC7'!$T$65:$X$85,3,0)*Model0.1C!AX298)/0.9</f>
        <v>#N/A</v>
      </c>
      <c r="BA298" s="102" t="e">
        <f t="shared" si="473"/>
        <v>#N/A</v>
      </c>
      <c r="BB298" s="102" t="e">
        <f t="shared" si="474"/>
        <v>#N/A</v>
      </c>
      <c r="BC298" s="414" t="e">
        <f>IF(BC297=0,0,IF(AND(AY298&gt;charge_ELS_quasi,AZ298&gt;Charge_ELS_freq,BA298&gt;charge_ELU,BB298&gt;charge_ELA,$B298&gt;NDC!$H$22-0.1+MIN(3*$BC$12,1.5)),0,1))</f>
        <v>#N/A</v>
      </c>
      <c r="BD298" s="86" t="b">
        <f t="shared" si="444"/>
        <v>0</v>
      </c>
      <c r="BE298" s="86">
        <f t="shared" si="475"/>
        <v>0.5</v>
      </c>
      <c r="BF298" s="86">
        <f t="shared" si="445"/>
        <v>0.5</v>
      </c>
      <c r="BG298" s="30" t="e">
        <f t="shared" ca="1" si="476"/>
        <v>#DIV/0!</v>
      </c>
      <c r="BH298" s="85" t="e">
        <f ca="1">IF(AN298&lt;=Hypothèses!$V$7,Hypothèses!$W$7,IF(AN298&lt;=Hypothèses!$V$8,Hypothèses!$W$8,IF(AN298&lt;=Hypothèses!$V$9,Hypothèses!$W$9,IF(AN298&lt;=Hypothèses!$V$10,Hypothèses!$W$10,IF(AN298&lt;=Hypothèses!$V$11,Hypothèses!$W$11,IF(AN298&lt;=Hypothèses!$V$12,Hypothèses!$W$12,IF(AN298&lt;=Hypothèses!$V$13,Hypothèses!$W$13,IF(AN298&lt;=Hypothèses!$V$14,Hypothèses!$W$14,IF(AN298&lt;=Hypothèses!$V$15,Hypothèses!$W$15,IF(AN298&lt;=Hypothèses!$V$16,Hypothèses!$W$16,IF(AN298&lt;=Hypothèses!$V$17,Hypothèses!$W$17,IF(AN298&lt;=Hypothèses!$V$18,Hypothèses!$W$18,""))))))))))))</f>
        <v>#DIV/0!</v>
      </c>
      <c r="BI298" s="87" t="e">
        <f t="shared" ca="1" si="518"/>
        <v>#DIV/0!</v>
      </c>
      <c r="BJ298" s="88" t="e">
        <f ca="1">IF(AN298&lt;=Hypothèses!$V$7,Hypothèses!$X$7,IF(AN298&lt;=Hypothèses!$V$8,Hypothèses!$X$8,IF(AN298&lt;=Hypothèses!$V$9,Hypothèses!$X$9,IF(AN298&lt;=Hypothèses!$V$10,Hypothèses!$X$10,IF(AN298&lt;=Hypothèses!$V$11,Hypothèses!$X$11,IF(AN298&lt;=Hypothèses!$V$12,Hypothèses!$X$12,IF(AN298&lt;=Hypothèses!$V$13,Hypothèses!$X$13,IF(AN298&lt;=Hypothèses!$V$14,Hypothèses!$X$14,IF(AN298&lt;=Hypothèses!$V$15,Hypothèses!$X$15,IF(AN298&lt;=Hypothèses!$V$16,Hypothèses!$X$16,IF(AN298&lt;=Hypothèses!$U$17,Hypothèses!$W$17,IF(AN298&lt;=Hypothèses!$U$18,Hypothèses!$W$18,""))))))))))))</f>
        <v>#DIV/0!</v>
      </c>
      <c r="BK298" s="95" t="e">
        <f t="shared" ca="1" si="477"/>
        <v>#DIV/0!</v>
      </c>
      <c r="BL298" s="101" t="e">
        <f t="shared" si="525"/>
        <v>#N/A</v>
      </c>
      <c r="BM298" s="91" t="e">
        <f t="shared" si="446"/>
        <v>#N/A</v>
      </c>
      <c r="BN298" s="30" t="e">
        <f t="shared" si="504"/>
        <v>#N/A</v>
      </c>
      <c r="BO298" s="30" t="e">
        <f t="shared" si="505"/>
        <v>#N/A</v>
      </c>
      <c r="BP298" s="31" t="e">
        <f>IF(OR(Hypothèses!$B$4=17,Hypothèses!$B$4=18,Hypothèses!$B$4=19,Hypothèses!$B$4=20),
IF($D298="Pressio.",
IF(OR($E298=3,$E298=1,$E298=4),BO298,BN298),
IF($D298="Pénétro.",
IF(OR($E298=3,$E298=1,$E298=4),BO298,BN298))),IF($D298="Pressio.",
IF($E298=3,BO298,BN298),
IF($D298="Pénétro.",
IF($E298=4,BO298,BN298))))</f>
        <v>#N/A</v>
      </c>
      <c r="BQ298" s="31" t="e">
        <f>(IF(OR(Hypothèses!$B$4=17,Hypothèses!$B$4=18,Hypothèses!$B$4=19,Hypothèses!$B$4=20),
IF($D298="Pressio.",
IF(OR($E298=3,$E298=1,$E298=4),(PI()*BQ$12^2)/4*(BM298*$W298*1000)/($H298*$B$5),(PI()*BQ$12^2)/4*(BM298*$W298*1000)/($G298*$B$5)),
IF($D298="Pénétro.",
IF(OR($E298=4,$E298=1,$E298=5),(PI()*BQ$12^2)/4*(BM298*$W298*1000)/($H298*$B$5),(PI()*BQ$12^2)/4*(BM298*$W298*1000)/($G298*$B$5)))),
IF($D298="Pressio.",
IF($E298=3,(PI()*BQ$12^2)/4*(BM298*$W298*1000)/($H298*$B$5),(PI()*BQ$12^2)/4*(BM298*$W298*1000)/($G298*$B$5)),
IF($D298="Pénétro.",
IF($E298=4,(PI()*BQ$12^2)/4*(BM298*$W298*1000)/($H298*$B$5),(PI()*BQ$12^2)/4*(BM298*$W298*1000)/($G298*$B$5))))))/10</f>
        <v>#N/A</v>
      </c>
      <c r="BR298" s="102" t="e">
        <f>(VLOOKUP($B$3,'Coeff EC7'!$T$39:$X$59,2,0)*BP298+VLOOKUP($B$3,'Coeff EC7'!$T$65:$X$85,2,0)*Model0.1C!BQ298)/1.1</f>
        <v>#N/A</v>
      </c>
      <c r="BS298" s="102" t="e">
        <f>(VLOOKUP($B$3,'Coeff EC7'!$T$39:$X$59,3,0)*BP298+VLOOKUP($B$3,'Coeff EC7'!$T$65:$X$85,3,0)*Model0.1C!BQ298)/0.9</f>
        <v>#N/A</v>
      </c>
      <c r="BT298" s="102" t="e">
        <f t="shared" si="478"/>
        <v>#N/A</v>
      </c>
      <c r="BU298" s="102" t="e">
        <f t="shared" si="479"/>
        <v>#N/A</v>
      </c>
      <c r="BV298" s="414" t="e">
        <f>IF(BV297=0,0,IF(AND(BR298&gt;charge_ELS_quasi,BS298&gt;Charge_ELS_freq,BT298&gt;charge_ELU,BU298&gt;charge_ELA,$B298&gt;NDC!$H$22-0.1+MIN(3*$BV$12,1.5)),0,1))</f>
        <v>#N/A</v>
      </c>
      <c r="BW298" s="86" t="b">
        <f t="shared" si="447"/>
        <v>0</v>
      </c>
      <c r="BX298" s="86">
        <f t="shared" si="448"/>
        <v>0.5</v>
      </c>
      <c r="BY298" s="86">
        <f t="shared" si="449"/>
        <v>0.5</v>
      </c>
      <c r="BZ298" s="30" t="e">
        <f t="shared" ca="1" si="480"/>
        <v>#DIV/0!</v>
      </c>
      <c r="CA298" s="85" t="e">
        <f ca="1">IF(BG298&lt;=Hypothèses!$V$7,Hypothèses!$W$7,IF(BG298&lt;=Hypothèses!$V$8,Hypothèses!$W$8,IF(BG298&lt;=Hypothèses!$V$9,Hypothèses!$W$9,IF(BG298&lt;=Hypothèses!$V$10,Hypothèses!$W$10,IF(BG298&lt;=Hypothèses!$V$11,Hypothèses!$W$11,IF(BG298&lt;=Hypothèses!$V$12,Hypothèses!$W$12,IF(BG298&lt;=Hypothèses!$V$13,Hypothèses!$W$13,IF(BG298&lt;=Hypothèses!$V$14,Hypothèses!$W$14,IF(BG298&lt;=Hypothèses!$V$15,Hypothèses!$W$15,IF(BG298&lt;=Hypothèses!$V$16,Hypothèses!$W$16,IF(BG298&lt;=Hypothèses!$V$17,Hypothèses!$W$17,IF(BG298&lt;=Hypothèses!$V$18,Hypothèses!$W$18,""))))))))))))</f>
        <v>#DIV/0!</v>
      </c>
      <c r="CB298" s="87" t="e">
        <f t="shared" ca="1" si="519"/>
        <v>#DIV/0!</v>
      </c>
      <c r="CC298" s="88" t="e">
        <f ca="1">IF(BG298&lt;=Hypothèses!$V$7,Hypothèses!$X$7,IF(BG298&lt;=Hypothèses!$V$8,Hypothèses!$X$8,IF(BG298&lt;=Hypothèses!$V$9,Hypothèses!$X$9,IF(BG298&lt;=Hypothèses!$V$10,Hypothèses!$X$10,IF(BG298&lt;=Hypothèses!$V$11,Hypothèses!$X$11,IF(BG298&lt;=Hypothèses!$V$12,Hypothèses!$X$12,IF(BG298&lt;=Hypothèses!$V$13,Hypothèses!$X$13,IF(BG298&lt;=Hypothèses!$V$14,Hypothèses!$X$14,IF(BG298&lt;=Hypothèses!$V$15,Hypothèses!$X$15,IF(BG298&lt;=Hypothèses!$V$16,Hypothèses!$X$16,IF(BG298&lt;=Hypothèses!$U$17,Hypothèses!$W$17,IF(BG298&lt;=Hypothèses!$U$18,Hypothèses!$W$18,""))))))))))))</f>
        <v>#DIV/0!</v>
      </c>
      <c r="CD298" s="95" t="e">
        <f t="shared" ca="1" si="481"/>
        <v>#DIV/0!</v>
      </c>
      <c r="CE298" s="101" t="e">
        <f t="shared" si="526"/>
        <v>#N/A</v>
      </c>
      <c r="CF298" s="91" t="e">
        <f t="shared" si="450"/>
        <v>#N/A</v>
      </c>
      <c r="CG298" s="30" t="e">
        <f t="shared" si="506"/>
        <v>#N/A</v>
      </c>
      <c r="CH298" s="30" t="e">
        <f t="shared" si="507"/>
        <v>#N/A</v>
      </c>
      <c r="CI298" s="31" t="e">
        <f>IF(OR(Hypothèses!$B$4=17,Hypothèses!$B$4=18,Hypothèses!$B$4=19,Hypothèses!$B$4=20),
IF($D298="Pressio.",
IF(OR($E298=3,$E298=1,$E298=4),CH298,CG298),
IF($D298="Pénétro.",
IF(OR($E298=3,$E298=1,$E298=4),CH298,CG298))),IF($D298="Pressio.",
IF($E298=3,CH298,CG298),
IF($D298="Pénétro.",
IF($E298=4,CH298,CG298))))</f>
        <v>#N/A</v>
      </c>
      <c r="CJ298" s="31" t="e">
        <f>(IF(OR(Hypothèses!$B$4=17,Hypothèses!$B$4=18,Hypothèses!$B$4=19,Hypothèses!$B$4=20),
IF($D298="Pressio.",
IF(OR($E298=3,$E298=1,$E298=4),(PI()*CJ$12^2)/4*(CF298*$W298*1000)/($H298*$B$5),(PI()*CJ$12^2)/4*(CF298*$W298*1000)/($G298*$B$5)),
IF($D298="Pénétro.",
IF(OR($E298=4,$E298=1,$E298=5),(PI()*CJ$12^2)/4*(CF298*$W298*1000)/($H298*$B$5),(PI()*CJ$12^2)/4*(CF298*$W298*1000)/($G298*$B$5)))),
IF($D298="Pressio.",
IF($E298=3,(PI()*CJ$12^2)/4*(CF298*$W298*1000)/($H298*$B$5),(PI()*CJ$12^2)/4*(CF298*$W298*1000)/($G298*$B$5)),
IF($D298="Pénétro.",
IF($E298=4,(PI()*CJ$12^2)/4*(CF298*$W298*1000)/($H298*$B$5),(PI()*CJ$12^2)/4*(CF298*$W298*1000)/($G298*$B$5))))))/10</f>
        <v>#N/A</v>
      </c>
      <c r="CK298" s="102" t="e">
        <f>(VLOOKUP($B$3,'Coeff EC7'!$T$39:$X$59,2,0)*CI298+VLOOKUP($B$3,'Coeff EC7'!$T$65:$X$85,2,0)*Model0.1C!CJ298)/1.1</f>
        <v>#N/A</v>
      </c>
      <c r="CL298" s="102" t="e">
        <f>(VLOOKUP($B$3,'Coeff EC7'!$T$39:$X$59,3,0)*CI298+VLOOKUP($B$3,'Coeff EC7'!$T$65:$X$85,3,0)*Model0.1C!CJ298)/0.9</f>
        <v>#N/A</v>
      </c>
      <c r="CM298" s="102" t="e">
        <f t="shared" si="482"/>
        <v>#N/A</v>
      </c>
      <c r="CN298" s="102" t="e">
        <f t="shared" si="483"/>
        <v>#N/A</v>
      </c>
      <c r="CO298" s="414" t="e">
        <f>IF(CO297=0,0,IF(AND(CK298&gt;charge_ELS_quasi,CL298&gt;Charge_ELS_freq,CM298&gt;charge_ELU,CN298&gt;charge_ELA,$B298&gt;NDC!$H$22-0.1+MIN(3*$CO$12,1.5)),0,1))</f>
        <v>#N/A</v>
      </c>
      <c r="CP298" s="86" t="b">
        <f t="shared" si="451"/>
        <v>0</v>
      </c>
      <c r="CQ298" s="86">
        <f t="shared" si="452"/>
        <v>0.5</v>
      </c>
      <c r="CR298" s="86">
        <f t="shared" si="453"/>
        <v>0.5</v>
      </c>
      <c r="CS298" s="30" t="e">
        <f t="shared" ca="1" si="484"/>
        <v>#DIV/0!</v>
      </c>
      <c r="CT298" s="85" t="e">
        <f ca="1">IF(BZ298&lt;=Hypothèses!$V$7,Hypothèses!$W$7,IF(BZ298&lt;=Hypothèses!$V$8,Hypothèses!$W$8,IF(BZ298&lt;=Hypothèses!$V$9,Hypothèses!$W$9,IF(BZ298&lt;=Hypothèses!$V$10,Hypothèses!$W$10,IF(BZ298&lt;=Hypothèses!$V$11,Hypothèses!$W$11,IF(BZ298&lt;=Hypothèses!$V$12,Hypothèses!$W$12,IF(BZ298&lt;=Hypothèses!$V$13,Hypothèses!$W$13,IF(BZ298&lt;=Hypothèses!$V$14,Hypothèses!$W$14,IF(BZ298&lt;=Hypothèses!$V$15,Hypothèses!$W$15,IF(BZ298&lt;=Hypothèses!$V$16,Hypothèses!$W$16,IF(BZ298&lt;=Hypothèses!$V$17,Hypothèses!$W$17,IF(BZ298&lt;=Hypothèses!$V$18,Hypothèses!$W$18,""))))))))))))</f>
        <v>#DIV/0!</v>
      </c>
      <c r="CU298" s="87" t="e">
        <f t="shared" ca="1" si="520"/>
        <v>#DIV/0!</v>
      </c>
      <c r="CV298" s="88" t="e">
        <f ca="1">IF(BZ298&lt;=Hypothèses!$V$7,Hypothèses!$X$7,IF(BZ298&lt;=Hypothèses!$V$8,Hypothèses!$X$8,IF(BZ298&lt;=Hypothèses!$V$9,Hypothèses!$X$9,IF(BZ298&lt;=Hypothèses!$V$10,Hypothèses!$X$10,IF(BZ298&lt;=Hypothèses!$V$11,Hypothèses!$X$11,IF(BZ298&lt;=Hypothèses!$V$12,Hypothèses!$X$12,IF(BZ298&lt;=Hypothèses!$V$13,Hypothèses!$X$13,IF(BZ298&lt;=Hypothèses!$V$14,Hypothèses!$X$14,IF(BZ298&lt;=Hypothèses!$V$15,Hypothèses!$X$15,IF(BZ298&lt;=Hypothèses!$V$16,Hypothèses!$X$16,IF(BZ298&lt;=Hypothèses!$U$17,Hypothèses!$W$17,IF(BZ298&lt;=Hypothèses!$U$18,Hypothèses!$W$18,""))))))))))))</f>
        <v>#DIV/0!</v>
      </c>
      <c r="CW298" s="95" t="e">
        <f t="shared" ca="1" si="485"/>
        <v>#DIV/0!</v>
      </c>
      <c r="CX298" s="101" t="e">
        <f t="shared" si="527"/>
        <v>#N/A</v>
      </c>
      <c r="CY298" s="91" t="e">
        <f t="shared" si="454"/>
        <v>#N/A</v>
      </c>
      <c r="CZ298" s="30" t="e">
        <f t="shared" si="508"/>
        <v>#N/A</v>
      </c>
      <c r="DA298" s="30" t="e">
        <f t="shared" si="509"/>
        <v>#N/A</v>
      </c>
      <c r="DB298" s="31" t="e">
        <f>IF(OR(Hypothèses!$B$4=17,Hypothèses!$B$4=18,Hypothèses!$B$4=19,Hypothèses!$B$4=20),
IF($D298="Pressio.",
IF(OR($E298=3,$E298=1,$E298=4),DA298,CZ298),
IF($D298="Pénétro.",
IF(OR($E298=3,$E298=1,$E298=4),DA298,CZ298))),IF($D298="Pressio.",
IF($E298=3,DA298,CZ298),
IF($D298="Pénétro.",
IF($E298=4,DA298,CZ298))))</f>
        <v>#N/A</v>
      </c>
      <c r="DC298" s="31" t="e">
        <f>(IF(OR(Hypothèses!$B$4=17,Hypothèses!$B$4=18,Hypothèses!$B$4=19,Hypothèses!$B$4=20),
IF($D298="Pressio.",
IF(OR($E298=3,$E298=1,$E298=4),(PI()*DC$12^2)/4*(CY298*$W298*1000)/($H298*$B$5),(PI()*DC$12^2)/4*(CY298*$W298*1000)/($G298*$B$5)),
IF($D298="Pénétro.",
IF(OR($E298=4,$E298=1,$E298=5),(PI()*DC$12^2)/4*(CY298*$W298*1000)/($H298*$B$5),(PI()*DC$12^2)/4*(CY298*$W298*1000)/($G298*$B$5)))),
IF($D298="Pressio.",
IF($E298=3,(PI()*DC$12^2)/4*(CY298*$W298*1000)/($H298*$B$5),(PI()*DC$12^2)/4*(CY298*$W298*1000)/($G298*$B$5)),
IF($D298="Pénétro.",
IF($E298=4,(PI()*DC$12^2)/4*(CY298*$W298*1000)/($H298*$B$5),(PI()*DC$12^2)/4*(CY298*$W298*1000)/($G298*$B$5))))))/10</f>
        <v>#N/A</v>
      </c>
      <c r="DD298" s="102" t="e">
        <f>(VLOOKUP($B$3,'Coeff EC7'!$T$39:$X$59,2,0)*DB298+VLOOKUP($B$3,'Coeff EC7'!$T$65:$X$85,2,0)*Model0.1C!DC298)/1.1</f>
        <v>#N/A</v>
      </c>
      <c r="DE298" s="102" t="e">
        <f>(VLOOKUP($B$3,'Coeff EC7'!$T$39:$X$59,3,0)*DB298+VLOOKUP($B$3,'Coeff EC7'!$T$65:$X$85,3,0)*Model0.1C!DC298)/0.9</f>
        <v>#N/A</v>
      </c>
      <c r="DF298" s="102" t="e">
        <f t="shared" si="486"/>
        <v>#N/A</v>
      </c>
      <c r="DG298" s="102" t="e">
        <f t="shared" si="487"/>
        <v>#N/A</v>
      </c>
      <c r="DH298" s="414" t="e">
        <f>IF(DH297=0,0,IF(AND(DD298&gt;charge_ELS_quasi,DE298&gt;Charge_ELS_freq,DF298&gt;charge_ELU,DG298&gt;charge_ELA,$B298&gt;NDC!$H$22-0.1+MIN(3*$DH$12,1.5)),0,1))</f>
        <v>#N/A</v>
      </c>
      <c r="DI298" s="86" t="b">
        <f t="shared" si="455"/>
        <v>0</v>
      </c>
      <c r="DJ298" s="86">
        <f t="shared" si="456"/>
        <v>0.5</v>
      </c>
      <c r="DK298" s="86">
        <f t="shared" si="457"/>
        <v>0.5</v>
      </c>
      <c r="DL298" s="30" t="e">
        <f t="shared" ca="1" si="488"/>
        <v>#DIV/0!</v>
      </c>
      <c r="DM298" s="85" t="e">
        <f ca="1">IF(CS298&lt;=Hypothèses!$V$7,Hypothèses!$W$7,IF(CS298&lt;=Hypothèses!$V$8,Hypothèses!$W$8,IF(CS298&lt;=Hypothèses!$V$9,Hypothèses!$W$9,IF(CS298&lt;=Hypothèses!$V$10,Hypothèses!$W$10,IF(CS298&lt;=Hypothèses!$V$11,Hypothèses!$W$11,IF(CS298&lt;=Hypothèses!$V$12,Hypothèses!$W$12,IF(CS298&lt;=Hypothèses!$V$13,Hypothèses!$W$13,IF(CS298&lt;=Hypothèses!$V$14,Hypothèses!$W$14,IF(CS298&lt;=Hypothèses!$V$15,Hypothèses!$W$15,IF(CS298&lt;=Hypothèses!$V$16,Hypothèses!$W$16,IF(CS298&lt;=Hypothèses!$V$17,Hypothèses!$W$17,IF(CS298&lt;=Hypothèses!$V$18,Hypothèses!$W$18,""))))))))))))</f>
        <v>#DIV/0!</v>
      </c>
      <c r="DN298" s="87" t="e">
        <f t="shared" ca="1" si="521"/>
        <v>#DIV/0!</v>
      </c>
      <c r="DO298" s="88" t="e">
        <f ca="1">IF(CS298&lt;=Hypothèses!$V$7,Hypothèses!$X$7,IF(CS298&lt;=Hypothèses!$V$8,Hypothèses!$X$8,IF(CS298&lt;=Hypothèses!$V$9,Hypothèses!$X$9,IF(CS298&lt;=Hypothèses!$V$10,Hypothèses!$X$10,IF(CS298&lt;=Hypothèses!$V$11,Hypothèses!$X$11,IF(CS298&lt;=Hypothèses!$V$12,Hypothèses!$X$12,IF(CS298&lt;=Hypothèses!$V$13,Hypothèses!$X$13,IF(CS298&lt;=Hypothèses!$V$14,Hypothèses!$X$14,IF(CS298&lt;=Hypothèses!$V$15,Hypothèses!$X$15,IF(CS298&lt;=Hypothèses!$V$16,Hypothèses!$X$16,IF(CS298&lt;=Hypothèses!$U$17,Hypothèses!$W$17,IF(CS298&lt;=Hypothèses!$U$18,Hypothèses!$W$18,""))))))))))))</f>
        <v>#DIV/0!</v>
      </c>
      <c r="DP298" s="95" t="e">
        <f t="shared" ca="1" si="489"/>
        <v>#DIV/0!</v>
      </c>
      <c r="DQ298" s="101" t="e">
        <f t="shared" si="528"/>
        <v>#N/A</v>
      </c>
      <c r="DR298" s="91" t="e">
        <f t="shared" si="458"/>
        <v>#N/A</v>
      </c>
      <c r="DS298" s="30" t="e">
        <f t="shared" si="510"/>
        <v>#N/A</v>
      </c>
      <c r="DT298" s="30" t="e">
        <f t="shared" si="511"/>
        <v>#N/A</v>
      </c>
      <c r="DU298" s="31" t="e">
        <f>IF(OR(Hypothèses!$B$4=17,Hypothèses!$B$4=18,Hypothèses!$B$4=19,Hypothèses!$B$4=20),
IF($D298="Pressio.",
IF(OR($E298=3,$E298=1,$E298=4),DT298,DS298),
IF($D298="Pénétro.",
IF(OR($E298=3,$E298=1,$E298=4),DT298,DS298))),IF($D298="Pressio.",
IF($E298=3,DT298,DS298),
IF($D298="Pénétro.",
IF($E298=4,DT298,DS298))))</f>
        <v>#N/A</v>
      </c>
      <c r="DV298" s="31" t="e">
        <f>(IF(OR(Hypothèses!$B$4=17,Hypothèses!$B$4=18,Hypothèses!$B$4=19,Hypothèses!$B$4=20),
IF($D298="Pressio.",
IF(OR($E298=3,$E298=1,$E298=4),(PI()*DV$12^2)/4*(DR298*$W298*1000)/($H298*$B$5),(PI()*DV$12^2)/4*(DR298*$W298*1000)/($G298*$B$5)),
IF($D298="Pénétro.",
IF(OR($E298=4,$E298=1,$E298=5),(PI()*DV$12^2)/4*(DR298*$W298*1000)/($H298*$B$5),(PI()*DV$12^2)/4*(DR298*$W298*1000)/($G298*$B$5)))),
IF($D298="Pressio.",
IF($E298=3,(PI()*DV$12^2)/4*(DR298*$W298*1000)/($H298*$B$5),(PI()*DV$12^2)/4*(DR298*$W298*1000)/($G298*$B$5)),
IF($D298="Pénétro.",
IF($E298=4,(PI()*DV$12^2)/4*(DR298*$W298*1000)/($H298*$B$5),(PI()*DV$12^2)/4*(DR298*$W298*1000)/($G298*$B$5))))))/10</f>
        <v>#N/A</v>
      </c>
      <c r="DW298" s="102" t="e">
        <f>(VLOOKUP($B$3,'Coeff EC7'!$T$39:$X$59,2,0)*DU298+VLOOKUP($B$3,'Coeff EC7'!$T$65:$X$85,2,0)*Model0.1C!DV298)/1.1</f>
        <v>#N/A</v>
      </c>
      <c r="DX298" s="102" t="e">
        <f>(VLOOKUP($B$3,'Coeff EC7'!$T$39:$X$59,3,0)*DU298+VLOOKUP($B$3,'Coeff EC7'!$T$65:$X$85,3,0)*Model0.1C!DV298)/0.9</f>
        <v>#N/A</v>
      </c>
      <c r="DY298" s="102" t="e">
        <f t="shared" si="490"/>
        <v>#N/A</v>
      </c>
      <c r="DZ298" s="102" t="e">
        <f t="shared" si="491"/>
        <v>#N/A</v>
      </c>
      <c r="EA298" s="414" t="e">
        <f>IF(EA297=0,0,IF(AND(DW298&gt;charge_ELS_quasi,DX298&gt;Charge_ELS_freq,DY298&gt;charge_ELU,DZ298&gt;charge_ELA,$B298&gt;NDC!$H$22-0.1+MIN(3*$EA$12,1.5)),0,1))</f>
        <v>#N/A</v>
      </c>
      <c r="EB298" s="86" t="b">
        <f t="shared" si="459"/>
        <v>0</v>
      </c>
      <c r="EC298" s="418">
        <f t="shared" si="460"/>
        <v>0.51</v>
      </c>
      <c r="ED298" s="86">
        <f t="shared" si="461"/>
        <v>0.51</v>
      </c>
      <c r="EE298" s="30" t="e">
        <f t="shared" ca="1" si="492"/>
        <v>#DIV/0!</v>
      </c>
      <c r="EF298" s="85" t="e">
        <f ca="1">IF(DL298&lt;=Hypothèses!$V$7,Hypothèses!$W$7,IF(DL298&lt;=Hypothèses!$V$8,Hypothèses!$W$8,IF(DL298&lt;=Hypothèses!$V$9,Hypothèses!$W$9,IF(DL298&lt;=Hypothèses!$V$10,Hypothèses!$W$10,IF(DL298&lt;=Hypothèses!$V$11,Hypothèses!$W$11,IF(DL298&lt;=Hypothèses!$V$12,Hypothèses!$W$12,IF(DL298&lt;=Hypothèses!$V$13,Hypothèses!$W$13,IF(DL298&lt;=Hypothèses!$V$14,Hypothèses!$W$14,IF(DL298&lt;=Hypothèses!$V$15,Hypothèses!$W$15,IF(DL298&lt;=Hypothèses!$V$16,Hypothèses!$W$16,IF(DL298&lt;=Hypothèses!$V$17,Hypothèses!$W$17,IF(DL298&lt;=Hypothèses!$V$18,Hypothèses!$W$18,""))))))))))))</f>
        <v>#DIV/0!</v>
      </c>
      <c r="EG298" s="87" t="e">
        <f t="shared" ca="1" si="522"/>
        <v>#DIV/0!</v>
      </c>
      <c r="EH298" s="88" t="e">
        <f ca="1">IF(DL298&lt;=Hypothèses!$V$7,Hypothèses!$X$7,IF(DL298&lt;=Hypothèses!$V$8,Hypothèses!$X$8,IF(DL298&lt;=Hypothèses!$V$9,Hypothèses!$X$9,IF(DL298&lt;=Hypothèses!$V$10,Hypothèses!$X$10,IF(DL298&lt;=Hypothèses!$V$11,Hypothèses!$X$11,IF(DL298&lt;=Hypothèses!$V$12,Hypothèses!$X$12,IF(DL298&lt;=Hypothèses!$V$13,Hypothèses!$X$13,IF(DL298&lt;=Hypothèses!$V$14,Hypothèses!$X$14,IF(DL298&lt;=Hypothèses!$V$15,Hypothèses!$X$15,IF(DL298&lt;=Hypothèses!$V$16,Hypothèses!$X$16,IF(DL298&lt;=Hypothèses!$U$17,Hypothèses!$W$17,IF(DL298&lt;=Hypothèses!$U$18,Hypothèses!$W$18,""))))))))))))</f>
        <v>#DIV/0!</v>
      </c>
      <c r="EI298" s="95" t="e">
        <f t="shared" ca="1" si="493"/>
        <v>#DIV/0!</v>
      </c>
      <c r="EJ298" s="101" t="e">
        <f t="shared" si="529"/>
        <v>#N/A</v>
      </c>
      <c r="EK298" s="91" t="e">
        <f t="shared" si="462"/>
        <v>#N/A</v>
      </c>
      <c r="EL298" s="30" t="e">
        <f t="shared" si="512"/>
        <v>#N/A</v>
      </c>
      <c r="EM298" s="30" t="e">
        <f t="shared" si="513"/>
        <v>#N/A</v>
      </c>
      <c r="EN298" s="31" t="e">
        <f>IF(OR(Hypothèses!$B$4=17,Hypothèses!$B$4=18,Hypothèses!$B$4=19,Hypothèses!$B$4=20),
IF($D298="Pressio.",
IF(OR($E298=3,$E298=1,$E298=4),EM298,EL298),
IF($D298="Pénétro.",
IF(OR($E298=3,$E298=1,$E298=4),EM298,EL298))),IF($D298="Pressio.",
IF($E298=3,EM298,EL298),
IF($D298="Pénétro.",
IF($E298=4,EM298,EL298))))</f>
        <v>#N/A</v>
      </c>
      <c r="EO298" s="31" t="e">
        <f>(IF(OR(Hypothèses!$B$4=17,Hypothèses!$B$4=18,Hypothèses!$B$4=19,Hypothèses!$B$4=20),
IF($D298="Pressio.",
IF(OR($E298=3,$E298=1,$E298=4),(PI()*EO$12^2)/4*(EK298*$W298*1000)/($H298*$B$5),(PI()*EO$12^2)/4*(EK298*$W298*1000)/($G298*$B$5)),
IF($D298="Pénétro.",
IF(OR($E298=4,$E298=1,$E298=5),(PI()*EO$12^2)/4*(EK298*$W298*1000)/($H298*$B$5),(PI()*EO$12^2)/4*(EK298*$W298*1000)/($G298*$B$5)))),
IF($D298="Pressio.",
IF($E298=3,(PI()*EO$12^2)/4*(EK298*$W298*1000)/($H298*$B$5),(PI()*EO$12^2)/4*(EK298*$W298*1000)/($G298*$B$5)),
IF($D298="Pénétro.",
IF($E298=4,(PI()*EO$12^2)/4*(EK298*$W298*1000)/($H298*$B$5),(PI()*EO$12^2)/4*(EK298*$W298*1000)/($G298*$B$5))))))/10</f>
        <v>#N/A</v>
      </c>
      <c r="EP298" s="102" t="e">
        <f>(VLOOKUP($B$3,'Coeff EC7'!$T$39:$X$59,2,0)*EN298+VLOOKUP($B$3,'Coeff EC7'!$T$65:$X$85,2,0)*Model0.1C!EO298)/1.1</f>
        <v>#N/A</v>
      </c>
      <c r="EQ298" s="102" t="e">
        <f>(VLOOKUP($B$3,'Coeff EC7'!$T$39:$X$59,3,0)*EN298+VLOOKUP($B$3,'Coeff EC7'!$T$65:$X$85,3,0)*Model0.1C!EO298)/0.9</f>
        <v>#N/A</v>
      </c>
      <c r="ER298" s="102" t="e">
        <f t="shared" si="494"/>
        <v>#N/A</v>
      </c>
      <c r="ES298" s="102" t="e">
        <f t="shared" si="495"/>
        <v>#N/A</v>
      </c>
      <c r="ET298" s="414" t="e">
        <f>IF(ET297=0,0,IF(AND(EP298&gt;charge_ELS_quasi,EQ298&gt;Charge_ELS_freq,ER298&gt;charge_ELU,ES298&gt;charge_ELA,$B298&gt;NDC!$H$22-0.1+MIN(3*$ET$12,1.5)),0,1))</f>
        <v>#N/A</v>
      </c>
      <c r="EU298" s="86" t="b">
        <f t="shared" si="463"/>
        <v>0</v>
      </c>
      <c r="EV298" s="86">
        <f t="shared" si="464"/>
        <v>0.61</v>
      </c>
      <c r="EW298" s="86">
        <f t="shared" si="465"/>
        <v>0.61</v>
      </c>
      <c r="EX298" s="30" t="e">
        <f t="shared" ca="1" si="496"/>
        <v>#DIV/0!</v>
      </c>
      <c r="EY298" s="85" t="e">
        <f ca="1">IF(EE298&lt;=Hypothèses!$V$7,Hypothèses!$W$7,IF(EE298&lt;=Hypothèses!$V$8,Hypothèses!$W$8,IF(EE298&lt;=Hypothèses!$V$9,Hypothèses!$W$9,IF(EE298&lt;=Hypothèses!$V$10,Hypothèses!$W$10,IF(EE298&lt;=Hypothèses!$V$11,Hypothèses!$W$11,IF(EE298&lt;=Hypothèses!$V$12,Hypothèses!$W$12,IF(EE298&lt;=Hypothèses!$V$13,Hypothèses!$W$13,IF(EE298&lt;=Hypothèses!$V$14,Hypothèses!$W$14,IF(EE298&lt;=Hypothèses!$V$15,Hypothèses!$W$15,IF(EE298&lt;=Hypothèses!$V$16,Hypothèses!$W$16,IF(EE298&lt;=Hypothèses!$V$17,Hypothèses!$W$17,IF(EE298&lt;=Hypothèses!$V$18,Hypothèses!$W$18,""))))))))))))</f>
        <v>#DIV/0!</v>
      </c>
      <c r="EZ298" s="87" t="e">
        <f t="shared" ca="1" si="523"/>
        <v>#DIV/0!</v>
      </c>
      <c r="FA298" s="88" t="e">
        <f ca="1">IF(EE298&lt;=Hypothèses!$V$7,Hypothèses!$X$7,IF(EE298&lt;=Hypothèses!$V$8,Hypothèses!$X$8,IF(EE298&lt;=Hypothèses!$V$9,Hypothèses!$X$9,IF(EE298&lt;=Hypothèses!$V$10,Hypothèses!$X$10,IF(EE298&lt;=Hypothèses!$V$11,Hypothèses!$X$11,IF(EE298&lt;=Hypothèses!$V$12,Hypothèses!$X$12,IF(EE298&lt;=Hypothèses!$V$13,Hypothèses!$X$13,IF(EE298&lt;=Hypothèses!$V$14,Hypothèses!$X$14,IF(EE298&lt;=Hypothèses!$V$15,Hypothèses!$X$15,IF(EE298&lt;=Hypothèses!$V$16,Hypothèses!$X$16,IF(EE298&lt;=Hypothèses!$U$17,Hypothèses!$W$17,IF(EE298&lt;=Hypothèses!$U$18,Hypothèses!$W$18,""))))))))))))</f>
        <v>#DIV/0!</v>
      </c>
      <c r="FB298" s="95" t="e">
        <f t="shared" ca="1" si="497"/>
        <v>#DIV/0!</v>
      </c>
      <c r="FC298" s="101" t="e">
        <f t="shared" si="530"/>
        <v>#N/A</v>
      </c>
      <c r="FD298" s="91" t="e">
        <f t="shared" si="466"/>
        <v>#N/A</v>
      </c>
      <c r="FE298" s="30" t="e">
        <f t="shared" si="514"/>
        <v>#N/A</v>
      </c>
      <c r="FF298" s="30" t="e">
        <f t="shared" si="515"/>
        <v>#N/A</v>
      </c>
      <c r="FG298" s="31" t="e">
        <f>IF(OR(Hypothèses!$B$4=17,Hypothèses!$B$4=18,Hypothèses!$B$4=19,Hypothèses!$B$4=20),
IF($D298="Pressio.",
IF(OR($E298=3,$E298=1,$E298=4),FF298,FE298),
IF($D298="Pénétro.",
IF(OR($E298=3,$E298=1,$E298=4),FF298,FE298))),IF($D298="Pressio.",
IF($E298=3,FF298,FE298),
IF($D298="Pénétro.",
IF($E298=4,FF298,FE298))))</f>
        <v>#N/A</v>
      </c>
      <c r="FH298" s="31" t="e">
        <f>(IF(OR(Hypothèses!$B$4=17,Hypothèses!$B$4=18,Hypothèses!$B$4=19,Hypothèses!$B$4=20),
IF($D298="Pressio.",
IF(OR($E298=3,$E298=1,$E298=4),(PI()*FH$12^2)/4*(FD298*$W298*1000)/($H298*$B$5),(PI()*FH$12^2)/4*(FD298*$W298*1000)/($G298*$B$5)),
IF($D298="Pénétro.",
IF(OR($E298=4,$E298=1,$E298=5),(PI()*FH$12^2)/4*(FD298*$W298*1000)/($H298*$B$5),(PI()*FH$12^2)/4*(FD298*$W298*1000)/($G298*$B$5)))),
IF($D298="Pressio.",
IF($E298=3,(PI()*FH$12^2)/4*(FD298*$W298*1000)/($H298*$B$5),(PI()*FH$12^2)/4*(FD298*$W298*1000)/($G298*$B$5)),
IF($D298="Pénétro.",
IF($E298=4,(PI()*FH$12^2)/4*(FD298*$W298*1000)/($H298*$B$5),(PI()*FH$12^2)/4*(FD298*$W298*1000)/($G298*$B$5))))))/10</f>
        <v>#N/A</v>
      </c>
      <c r="FI298" s="102" t="e">
        <f>(VLOOKUP($B$3,'Coeff EC7'!$T$39:$X$59,2,0)*FG298+VLOOKUP($B$3,'Coeff EC7'!$T$65:$X$85,2,0)*Model0.1C!FH298)/1.1</f>
        <v>#N/A</v>
      </c>
      <c r="FJ298" s="102" t="e">
        <f>(VLOOKUP($B$3,'Coeff EC7'!$T$39:$X$59,3,0)*FG298+VLOOKUP($B$3,'Coeff EC7'!$T$65:$X$85,3,0)*Model0.1C!FH298)/0.9</f>
        <v>#N/A</v>
      </c>
      <c r="FK298" s="102" t="e">
        <f t="shared" si="498"/>
        <v>#N/A</v>
      </c>
      <c r="FL298" s="102" t="e">
        <f t="shared" si="499"/>
        <v>#N/A</v>
      </c>
      <c r="FM298" s="414" t="e">
        <f>IF(FM297=0,0,IF(AND(FI298&gt;charge_ELS_quasi,FJ298&gt;Charge_ELS_freq,FK298&gt;charge_ELU,FL298&gt;charge_ELA,$B298&gt;NDC!$H$22-0.1+MIN(3*$FM$12,1.5)),0,1))</f>
        <v>#N/A</v>
      </c>
    </row>
    <row r="299" spans="1:169">
      <c r="A299" s="96">
        <f t="shared" si="467"/>
        <v>71.400000000001626</v>
      </c>
      <c r="B299" s="97">
        <v>28.6</v>
      </c>
      <c r="C299" s="81">
        <f>IF(B299&lt;=Hypothèses!$C$7,Hypothèses!$A$7,IF(B299&lt;=Hypothèses!$C$8,Hypothèses!$A$8,IF(B299&lt;=Hypothèses!$C$9,Hypothèses!$A$9,IF(B299&lt;=Hypothèses!$C$10,Hypothèses!$A$10,IF(B299&lt;=Hypothèses!$C$11,Hypothèses!$A$11,IF(B299&lt;=Hypothèses!$C$12,Hypothèses!$A$12,IF(B299&lt;=Hypothèses!$C$13,Hypothèses!$A$13,IF(B299&lt;=Hypothèses!$C$14,Hypothèses!$A$14,IF(B299&lt;=Hypothèses!$C$15,Hypothèses!$A$15,IF(B299&lt;=Hypothèses!$C$16,Hypothèses!$A$16,IF(B299&lt;=Hypothèses!$C$17,Hypothèses!$A$17,IF(B299&lt;=Hypothèses!$C$18,Hypothèses!$A$18,C298))))))))))))</f>
        <v>11</v>
      </c>
      <c r="D299" s="82" t="str">
        <f>IF(B299&lt;=Hypothèses!$C$7,Hypothèses!$R$7,IF(B299&lt;=Hypothèses!$C$8,Hypothèses!$R$8,IF(B299&lt;=Hypothèses!$C$9,Hypothèses!$R$9,IF(B299&lt;=Hypothèses!$C$10,Hypothèses!$R$10,IF(B299&lt;=Hypothèses!$C$11,Hypothèses!$R$11,IF(B299&lt;=Hypothèses!$C$12,Hypothèses!$R$12,IF(B299&lt;=Hypothèses!$C$13,Hypothèses!$R$13,IF(B299&lt;=Hypothèses!$C$14,Hypothèses!$R$14,IF(B299&lt;=Hypothèses!$C$15,Hypothèses!$R$15,IF(B299&lt;=Hypothèses!$C$16,Hypothèses!$R$16,IF(B299&lt;=Hypothèses!$C$17,Hypothèses!$R$17,IF(B299&lt;=Hypothèses!$C$18,Hypothèses!$R$18,D298))))))))))))</f>
        <v>Pressio.</v>
      </c>
      <c r="E299" s="82" t="e">
        <f>IF(B299&lt;=Hypothèses!$C$7,Hypothèses!$G$7,IF(B299&lt;=Hypothèses!$C$8,Hypothèses!$G$8,IF(B299&lt;=Hypothèses!$C$9,Hypothèses!$G$9,IF(B299&lt;=Hypothèses!$C$10,Hypothèses!$G$10,IF(B299&lt;=Hypothèses!$C$11,Hypothèses!$G$11,IF(B299&lt;=Hypothèses!$C$12,Hypothèses!$G$12,IF(B299&lt;=Hypothèses!$C$13,Hypothèses!$G$13,IF(B299&lt;=Hypothèses!$C$14,Hypothèses!$G$14,IF(B299&lt;=Hypothèses!$C$15,Hypothèses!$G$15,IF(B299&lt;=Hypothèses!$C$16,Hypothèses!$G$16,IF(B299&lt;=Hypothèses!$C$17,Hypothèses!$G$17,IF(B299&lt;=Hypothèses!$C$18,Hypothèses!$G$18,E298))))))))))))</f>
        <v>#N/A</v>
      </c>
      <c r="F299" s="82" t="str">
        <f>IF(B299&lt;=Hypothèses!$C$7,Hypothèses!$F$7,IF(B299&lt;=Hypothèses!$C$8,Hypothèses!$F$8,IF(B299&lt;=Hypothèses!$C$9,Hypothèses!$F$9,IF(B299&lt;=Hypothèses!$C$10,Hypothèses!$F$10,IF(B299&lt;=Hypothèses!$C$11,Hypothèses!$F$11,IF(B299&lt;=Hypothèses!$C$12,Hypothèses!$F$12,IF(B299&lt;=Hypothèses!$C$13,Hypothèses!$F$13,IF(B299&lt;=Hypothèses!$C$14,Hypothèses!$F$14,IF(B299&lt;=Hypothèses!$C$15,Hypothèses!$F$15,IF(B299&lt;=Hypothèses!$C$16,Hypothèses!$F$16,IF(B299&lt;=Hypothèses!$C$17,Hypothèses!$F$17,IF(B299&lt;=Hypothèses!$C$18,Hypothèses!$F$18,F298))))))))))))</f>
        <v/>
      </c>
      <c r="G299" s="91">
        <f t="array" ref="G299">INDEX('Coeff EC7'!$U$7:$X$27,
MATCH(Model0.1C!$B$3,'Coeff EC7'!$T$7:$T$27,0),
MATCH(Model0.1C!$D299&amp;Model0.1C!$B$4,
'Coeff EC7'!$U$6:$X$6&amp;
'Coeff EC7'!$U$5:$X$5,0))</f>
        <v>1.1499999999999999</v>
      </c>
      <c r="H299" s="91">
        <f t="array" ref="H299">INDEX('Coeff EC7'!$Y$7:$AB$27,
MATCH(Model0.1C!$B$3,'Coeff EC7'!$T$7:$T$27,0),
MATCH(Model0.1C!$D299&amp;Model0.1C!$B$4,
'Coeff EC7'!$Y$6:$AB$6&amp;
'Coeff EC7'!$Y$5:$AB$5,0))</f>
        <v>1.4</v>
      </c>
      <c r="I299" s="83" t="e">
        <f>IF(B299&lt;=Hypothèses!$C$7,Hypothèses!$P$7,IF(B299&lt;=Hypothèses!$C$8,Hypothèses!$P$8,IF(B299&lt;=Hypothèses!$C$9,Hypothèses!$P$9,IF(B299&lt;=Hypothèses!$C$10,Hypothèses!$P$10,IF(B299&lt;=Hypothèses!$C$11,Hypothèses!$P$11,IF(B299&lt;=Hypothèses!$C$12,Hypothèses!$P$12,IF(B299&lt;=Hypothèses!$C$13,Hypothèses!$P$13,IF(B299&lt;=Hypothèses!$C$14,Hypothèses!$P$14,IF(B299&lt;=Hypothèses!$C$15,Hypothèses!$P$15,IF(B299&lt;=Hypothèses!$C$16,Hypothèses!$P$16,IF(B299&lt;=Hypothèses!$C$17,Hypothèses!$P$17,IF(B299&lt;=Hypothèses!$C$18,Hypothèses!$P$18,I298))))))))))))</f>
        <v>#N/A</v>
      </c>
      <c r="J299" s="91" t="e">
        <f t="array" ref="J299">INDEX('Coeff EC7'!$D$33:$Q$33,1,MATCH(D299&amp;E299,'Coeff EC7'!$D$31:$Q$31&amp;'Coeff EC7'!$D$32:$Q$32,0))</f>
        <v>#N/A</v>
      </c>
      <c r="K299" s="91" t="e">
        <f t="array" ref="K299">INDEX('Coeff EC7'!$D$34:$Q$34,1,MATCH(D299&amp;E299,'Coeff EC7'!$D$31:$Q$31&amp;'Coeff EC7'!$D$32:$Q$32,0))</f>
        <v>#N/A</v>
      </c>
      <c r="L299" s="91" t="e">
        <f t="array" ref="L299">INDEX('Coeff EC7'!$D$35:$Q$35,1,MATCH(D299&amp;E299,'Coeff EC7'!$D$31:$Q$31&amp;'Coeff EC7'!$D$32:$Q$32,0))</f>
        <v>#N/A</v>
      </c>
      <c r="M299" s="98" t="e">
        <f t="shared" si="431"/>
        <v>#N/A</v>
      </c>
      <c r="N299" s="99" t="e">
        <f t="array" ref="N299">INDEX('Coeff EC7'!$D$7:$Q$27,MATCH($B$3,'Coeff EC7'!$C$7:$C$27,0),MATCH(D299&amp;E299,'Coeff EC7'!$D$5:$Q$5&amp;'Coeff EC7'!$D$6:$Q$6,0))</f>
        <v>#N/A</v>
      </c>
      <c r="O299" s="99" t="e">
        <f t="array" ref="O299">INDEX('Coeff EC7'!$D$41:$Q$61,MATCH($B$3,'Coeff EC7'!$C$41:$C$61,0),MATCH(D299&amp;E299,'Coeff EC7'!$D$39:$Q$39&amp;'Coeff EC7'!$D$40:$Q$40,0))</f>
        <v>#N/A</v>
      </c>
      <c r="P299" s="30" t="e">
        <f t="shared" si="468"/>
        <v>#N/A</v>
      </c>
      <c r="Q299" s="100" t="e">
        <f t="shared" si="433"/>
        <v>#N/A</v>
      </c>
      <c r="R299" s="86" t="b">
        <f t="shared" si="434"/>
        <v>0</v>
      </c>
      <c r="S299" s="86">
        <f t="shared" si="432"/>
        <v>0.5</v>
      </c>
      <c r="T299" s="86">
        <f t="shared" si="435"/>
        <v>0.5</v>
      </c>
      <c r="U299" s="30" t="e">
        <f t="shared" ca="1" si="469"/>
        <v>#DIV/0!</v>
      </c>
      <c r="V299" s="85" t="str">
        <f>IF(B299&lt;=Hypothèses!$V$7,Hypothèses!$W$7,IF(B299&lt;=Hypothèses!$V$8,Hypothèses!$W$8,IF(B299&lt;=Hypothèses!$V$9,Hypothèses!$W$9,IF(B299&lt;=Hypothèses!$V$10,Hypothèses!$W$10,IF(B299&lt;=Hypothèses!$V$11,Hypothèses!$W$11,IF(B299&lt;=Hypothèses!$V$12,Hypothèses!$W$12,IF(B299&lt;=Hypothèses!$V$13,Hypothèses!$W$13,IF(B299&lt;=Hypothèses!$V$14,Hypothèses!$W$14,IF(B299&lt;=Hypothèses!$V$15,Hypothèses!$W$15,IF(B299&lt;=Hypothèses!$V$16,Hypothèses!$W$16,IF(B299&lt;=Hypothèses!$V$17,Hypothèses!$W$17,IF(B299&lt;=Hypothèses!$V$18,Hypothèses!$W$18,""))))))))))))</f>
        <v/>
      </c>
      <c r="W299" s="87" t="e">
        <f t="shared" ca="1" si="516"/>
        <v>#DIV/0!</v>
      </c>
      <c r="X299" s="88" t="str">
        <f>IF(B299&lt;=Hypothèses!$V$7,Hypothèses!$X$7,IF(B299&lt;=Hypothèses!$V$8,Hypothèses!$X$8,IF(B299&lt;=Hypothèses!$V$9,Hypothèses!$X$9,IF(B299&lt;=Hypothèses!$V$10,Hypothèses!$X$10,IF(B299&lt;=Hypothèses!$V$11,Hypothèses!$X$11,IF(B299&lt;=Hypothèses!$V$12,Hypothèses!$X$12,IF(B299&lt;=Hypothèses!$V$13,Hypothèses!$X$13,IF(B299&lt;=Hypothèses!$V$14,Hypothèses!$X$14,IF(B299&lt;=Hypothèses!$V$15,Hypothèses!$X$15,IF(B299&lt;=Hypothèses!$V$16,Hypothèses!$X$16,IF(B299&lt;=Hypothèses!$U$17,Hypothèses!$W$17,IF(B299&lt;=Hypothèses!$U$18,Hypothèses!$W$18,""))))))))))))</f>
        <v/>
      </c>
      <c r="Y299" s="95" t="e">
        <f t="shared" ca="1" si="436"/>
        <v>#DIV/0!</v>
      </c>
      <c r="Z299" s="101" t="e">
        <f t="shared" si="437"/>
        <v>#N/A</v>
      </c>
      <c r="AA299" s="91" t="e">
        <f t="shared" si="438"/>
        <v>#N/A</v>
      </c>
      <c r="AB299" s="30" t="e">
        <f t="shared" si="500"/>
        <v>#N/A</v>
      </c>
      <c r="AC299" s="30" t="e">
        <f t="shared" si="501"/>
        <v>#N/A</v>
      </c>
      <c r="AD299" s="31" t="e">
        <f>IF(OR(Hypothèses!$B$4=17,Hypothèses!$B$4=18,Hypothèses!$B$4=19,Hypothèses!$B$4=20),
IF($D299="Pressio.",
IF(OR($E299=3,$E299=1,$E299=4),AC299,AB299),
IF($D299="Pénétro.",
IF(OR($E299=3,$E299=1,$E299=4),AC299,AB299))),IF($D299="Pressio.",
IF($E299=3,AC299,AB299),
IF($D299="Pénétro.",
IF($E299=4,AC299,AB299))))</f>
        <v>#N/A</v>
      </c>
      <c r="AE299" s="31" t="e">
        <f>(IF(OR(Hypothèses!$B$4=17,Hypothèses!$B$4=18,Hypothèses!$B$4=19,Hypothèses!$B$4=20),
IF($D299="Pressio.",
IF(OR($E299=3,$E299=1,$E299=4),(PI()*AE$12^2)/4*(AA299*$W299*1000)/($H299*$B$5),(PI()*AE$12^2)/4*(AA299*$W299*1000)/($G299*$B$5)),
IF($D299="Pénétro.",
IF(OR($E299=4,$E299=1,$E299=5),(PI()*AE$12^2)/4*(AA299*$W299*1000)/($H299*$B$5),(PI()*AE$12^2)/4*(AA299*$W299*1000)/($G299*$B$5)))),
IF($D299="Pressio.",
IF($E299=3,(PI()*AE$12^2)/4*(AA299*$W299*1000)/($H299*$B$5),(PI()*AE$12^2)/4*(AA299*$W299*1000)/($G299*$B$5)),
IF($D299="Pénétro.",
IF($E299=4,(PI()*AE$12^2)/4*(AA299*$W299*1000)/($H299*$B$5),(PI()*AE$12^2)/4*(AA299*$W299*1000)/($G299*$B$5))))))/10</f>
        <v>#N/A</v>
      </c>
      <c r="AF299" s="102" t="e">
        <f>(VLOOKUP($B$3,'Coeff EC7'!$T$39:$X$59,2,0)*AD299+VLOOKUP($B$3,'Coeff EC7'!$T$65:$X$85,2,0)*Model0.1C!AE299)/1.1</f>
        <v>#N/A</v>
      </c>
      <c r="AG299" s="102" t="e">
        <f>(VLOOKUP($B$3,'Coeff EC7'!$T$39:$X$59,3,0)*AD299+VLOOKUP($B$3,'Coeff EC7'!$T$65:$X$85,3,0)*Model0.1C!AE299)/0.9</f>
        <v>#N/A</v>
      </c>
      <c r="AH299" s="102" t="e">
        <f t="shared" si="439"/>
        <v>#N/A</v>
      </c>
      <c r="AI299" s="102" t="e">
        <f t="shared" si="440"/>
        <v>#N/A</v>
      </c>
      <c r="AJ299" s="414" t="e">
        <f>IF(AJ298=0,0,IF(AND(AF299&gt;charge_ELS_quasi,AG299&gt;Charge_ELS_freq,AH299&gt;charge_ELU,AI299&gt;charge_ELA,$B299&gt;NDC!$H$22-0.1+MIN(3*$AJ$12,1.5)),0,1))</f>
        <v>#N/A</v>
      </c>
      <c r="AK299" s="86" t="b">
        <f t="shared" si="441"/>
        <v>0</v>
      </c>
      <c r="AL299" s="86">
        <f t="shared" si="470"/>
        <v>0.5</v>
      </c>
      <c r="AM299" s="86">
        <f t="shared" si="442"/>
        <v>0.5</v>
      </c>
      <c r="AN299" s="30" t="e">
        <f t="shared" ca="1" si="471"/>
        <v>#DIV/0!</v>
      </c>
      <c r="AO299" s="85" t="e">
        <f ca="1">IF(U299&lt;=Hypothèses!$V$7,Hypothèses!$W$7,IF(U299&lt;=Hypothèses!$V$8,Hypothèses!$W$8,IF(U299&lt;=Hypothèses!$V$9,Hypothèses!$W$9,IF(U299&lt;=Hypothèses!$V$10,Hypothèses!$W$10,IF(U299&lt;=Hypothèses!$V$11,Hypothèses!$W$11,IF(U299&lt;=Hypothèses!$V$12,Hypothèses!$W$12,IF(U299&lt;=Hypothèses!$V$13,Hypothèses!$W$13,IF(U299&lt;=Hypothèses!$V$14,Hypothèses!$W$14,IF(U299&lt;=Hypothèses!$V$15,Hypothèses!$W$15,IF(U299&lt;=Hypothèses!$V$16,Hypothèses!$W$16,IF(U299&lt;=Hypothèses!$V$17,Hypothèses!$W$17,IF(U299&lt;=Hypothèses!$V$18,Hypothèses!$W$18,""))))))))))))</f>
        <v>#DIV/0!</v>
      </c>
      <c r="AP299" s="87" t="e">
        <f t="shared" ca="1" si="517"/>
        <v>#DIV/0!</v>
      </c>
      <c r="AQ299" s="88" t="e">
        <f ca="1">IF(U299&lt;=Hypothèses!$V$7,Hypothèses!$X$7,IF(U299&lt;=Hypothèses!$V$8,Hypothèses!$X$8,IF(U299&lt;=Hypothèses!$V$9,Hypothèses!$X$9,IF(U299&lt;=Hypothèses!$V$10,Hypothèses!$X$10,IF(U299&lt;=Hypothèses!$V$11,Hypothèses!$X$11,IF(U299&lt;=Hypothèses!$V$12,Hypothèses!$X$12,IF(U299&lt;=Hypothèses!$V$13,Hypothèses!$X$13,IF(U299&lt;=Hypothèses!$V$14,Hypothèses!$X$14,IF(U299&lt;=Hypothèses!$V$15,Hypothèses!$X$15,IF(U299&lt;=Hypothèses!$V$16,Hypothèses!$X$16,IF(U299&lt;=Hypothèses!$U$17,Hypothèses!$W$17,IF(U299&lt;=Hypothèses!$U$18,Hypothèses!$W$18,""))))))))))))</f>
        <v>#DIV/0!</v>
      </c>
      <c r="AR299" s="95" t="e">
        <f t="shared" ca="1" si="472"/>
        <v>#DIV/0!</v>
      </c>
      <c r="AS299" s="101" t="e">
        <f t="shared" si="524"/>
        <v>#N/A</v>
      </c>
      <c r="AT299" s="91" t="e">
        <f t="shared" si="443"/>
        <v>#N/A</v>
      </c>
      <c r="AU299" s="30" t="e">
        <f t="shared" si="502"/>
        <v>#N/A</v>
      </c>
      <c r="AV299" s="30" t="e">
        <f t="shared" si="503"/>
        <v>#N/A</v>
      </c>
      <c r="AW299" s="31" t="e">
        <f>IF(OR(Hypothèses!$B$4=17,Hypothèses!$B$4=18,Hypothèses!$B$4=19,Hypothèses!$B$4=20),
IF($D299="Pressio.",
IF(OR($E299=3,$E299=1,$E299=4),AV299,AU299),
IF($D299="Pénétro.",
IF(OR($E299=3,$E299=1,$E299=4),AV299,AU299))),IF($D299="Pressio.",
IF($E299=3,AV299,AU299),
IF($D299="Pénétro.",
IF($E299=4,AV299,AU299))))</f>
        <v>#N/A</v>
      </c>
      <c r="AX299" s="31" t="e">
        <f>(IF(OR(Hypothèses!$B$4=17,Hypothèses!$B$4=18,Hypothèses!$B$4=19,Hypothèses!$B$4=20),
IF($D299="Pressio.",
IF(OR($E299=3,$E299=1,$E299=4),(PI()*AX$12^2)/4*(AT299*$W299*1000)/($H299*$B$5),(PI()*AX$12^2)/4*(AT299*$W299*1000)/($G299*$B$5)),
IF($D299="Pénétro.",
IF(OR($E299=4,$E299=1,$E299=5),(PI()*AX$12^2)/4*(AT299*$W299*1000)/($H299*$B$5),(PI()*AX$12^2)/4*(AT299*$W299*1000)/($G299*$B$5)))),
IF($D299="Pressio.",
IF($E299=3,(PI()*AX$12^2)/4*(AT299*$W299*1000)/($H299*$B$5),(PI()*AX$12^2)/4*(AT299*$W299*1000)/($G299*$B$5)),
IF($D299="Pénétro.",
IF($E299=4,(PI()*AX$12^2)/4*(AT299*$W299*1000)/($H299*$B$5),(PI()*AX$12^2)/4*(AT299*$W299*1000)/($G299*$B$5))))))/10</f>
        <v>#N/A</v>
      </c>
      <c r="AY299" s="102" t="e">
        <f>(VLOOKUP($B$3,'Coeff EC7'!$T$39:$X$59,2,0)*AW299+VLOOKUP($B$3,'Coeff EC7'!$T$65:$X$85,2,0)*Model0.1C!AX299)/1.1</f>
        <v>#N/A</v>
      </c>
      <c r="AZ299" s="102" t="e">
        <f>(VLOOKUP($B$3,'Coeff EC7'!$T$39:$X$59,3,0)*AW299+VLOOKUP($B$3,'Coeff EC7'!$T$65:$X$85,3,0)*Model0.1C!AX299)/0.9</f>
        <v>#N/A</v>
      </c>
      <c r="BA299" s="102" t="e">
        <f t="shared" si="473"/>
        <v>#N/A</v>
      </c>
      <c r="BB299" s="102" t="e">
        <f t="shared" si="474"/>
        <v>#N/A</v>
      </c>
      <c r="BC299" s="414" t="e">
        <f>IF(BC298=0,0,IF(AND(AY299&gt;charge_ELS_quasi,AZ299&gt;Charge_ELS_freq,BA299&gt;charge_ELU,BB299&gt;charge_ELA,$B299&gt;NDC!$H$22-0.1+MIN(3*$BC$12,1.5)),0,1))</f>
        <v>#N/A</v>
      </c>
      <c r="BD299" s="86" t="b">
        <f t="shared" si="444"/>
        <v>0</v>
      </c>
      <c r="BE299" s="86">
        <f t="shared" si="475"/>
        <v>0.5</v>
      </c>
      <c r="BF299" s="86">
        <f t="shared" si="445"/>
        <v>0.5</v>
      </c>
      <c r="BG299" s="30" t="e">
        <f t="shared" ca="1" si="476"/>
        <v>#DIV/0!</v>
      </c>
      <c r="BH299" s="85" t="e">
        <f ca="1">IF(AN299&lt;=Hypothèses!$V$7,Hypothèses!$W$7,IF(AN299&lt;=Hypothèses!$V$8,Hypothèses!$W$8,IF(AN299&lt;=Hypothèses!$V$9,Hypothèses!$W$9,IF(AN299&lt;=Hypothèses!$V$10,Hypothèses!$W$10,IF(AN299&lt;=Hypothèses!$V$11,Hypothèses!$W$11,IF(AN299&lt;=Hypothèses!$V$12,Hypothèses!$W$12,IF(AN299&lt;=Hypothèses!$V$13,Hypothèses!$W$13,IF(AN299&lt;=Hypothèses!$V$14,Hypothèses!$W$14,IF(AN299&lt;=Hypothèses!$V$15,Hypothèses!$W$15,IF(AN299&lt;=Hypothèses!$V$16,Hypothèses!$W$16,IF(AN299&lt;=Hypothèses!$V$17,Hypothèses!$W$17,IF(AN299&lt;=Hypothèses!$V$18,Hypothèses!$W$18,""))))))))))))</f>
        <v>#DIV/0!</v>
      </c>
      <c r="BI299" s="87" t="e">
        <f t="shared" ca="1" si="518"/>
        <v>#DIV/0!</v>
      </c>
      <c r="BJ299" s="88" t="e">
        <f ca="1">IF(AN299&lt;=Hypothèses!$V$7,Hypothèses!$X$7,IF(AN299&lt;=Hypothèses!$V$8,Hypothèses!$X$8,IF(AN299&lt;=Hypothèses!$V$9,Hypothèses!$X$9,IF(AN299&lt;=Hypothèses!$V$10,Hypothèses!$X$10,IF(AN299&lt;=Hypothèses!$V$11,Hypothèses!$X$11,IF(AN299&lt;=Hypothèses!$V$12,Hypothèses!$X$12,IF(AN299&lt;=Hypothèses!$V$13,Hypothèses!$X$13,IF(AN299&lt;=Hypothèses!$V$14,Hypothèses!$X$14,IF(AN299&lt;=Hypothèses!$V$15,Hypothèses!$X$15,IF(AN299&lt;=Hypothèses!$V$16,Hypothèses!$X$16,IF(AN299&lt;=Hypothèses!$U$17,Hypothèses!$W$17,IF(AN299&lt;=Hypothèses!$U$18,Hypothèses!$W$18,""))))))))))))</f>
        <v>#DIV/0!</v>
      </c>
      <c r="BK299" s="95" t="e">
        <f t="shared" ca="1" si="477"/>
        <v>#DIV/0!</v>
      </c>
      <c r="BL299" s="101" t="e">
        <f t="shared" si="525"/>
        <v>#N/A</v>
      </c>
      <c r="BM299" s="91" t="e">
        <f t="shared" si="446"/>
        <v>#N/A</v>
      </c>
      <c r="BN299" s="30" t="e">
        <f t="shared" si="504"/>
        <v>#N/A</v>
      </c>
      <c r="BO299" s="30" t="e">
        <f t="shared" si="505"/>
        <v>#N/A</v>
      </c>
      <c r="BP299" s="31" t="e">
        <f>IF(OR(Hypothèses!$B$4=17,Hypothèses!$B$4=18,Hypothèses!$B$4=19,Hypothèses!$B$4=20),
IF($D299="Pressio.",
IF(OR($E299=3,$E299=1,$E299=4),BO299,BN299),
IF($D299="Pénétro.",
IF(OR($E299=3,$E299=1,$E299=4),BO299,BN299))),IF($D299="Pressio.",
IF($E299=3,BO299,BN299),
IF($D299="Pénétro.",
IF($E299=4,BO299,BN299))))</f>
        <v>#N/A</v>
      </c>
      <c r="BQ299" s="31" t="e">
        <f>(IF(OR(Hypothèses!$B$4=17,Hypothèses!$B$4=18,Hypothèses!$B$4=19,Hypothèses!$B$4=20),
IF($D299="Pressio.",
IF(OR($E299=3,$E299=1,$E299=4),(PI()*BQ$12^2)/4*(BM299*$W299*1000)/($H299*$B$5),(PI()*BQ$12^2)/4*(BM299*$W299*1000)/($G299*$B$5)),
IF($D299="Pénétro.",
IF(OR($E299=4,$E299=1,$E299=5),(PI()*BQ$12^2)/4*(BM299*$W299*1000)/($H299*$B$5),(PI()*BQ$12^2)/4*(BM299*$W299*1000)/($G299*$B$5)))),
IF($D299="Pressio.",
IF($E299=3,(PI()*BQ$12^2)/4*(BM299*$W299*1000)/($H299*$B$5),(PI()*BQ$12^2)/4*(BM299*$W299*1000)/($G299*$B$5)),
IF($D299="Pénétro.",
IF($E299=4,(PI()*BQ$12^2)/4*(BM299*$W299*1000)/($H299*$B$5),(PI()*BQ$12^2)/4*(BM299*$W299*1000)/($G299*$B$5))))))/10</f>
        <v>#N/A</v>
      </c>
      <c r="BR299" s="102" t="e">
        <f>(VLOOKUP($B$3,'Coeff EC7'!$T$39:$X$59,2,0)*BP299+VLOOKUP($B$3,'Coeff EC7'!$T$65:$X$85,2,0)*Model0.1C!BQ299)/1.1</f>
        <v>#N/A</v>
      </c>
      <c r="BS299" s="102" t="e">
        <f>(VLOOKUP($B$3,'Coeff EC7'!$T$39:$X$59,3,0)*BP299+VLOOKUP($B$3,'Coeff EC7'!$T$65:$X$85,3,0)*Model0.1C!BQ299)/0.9</f>
        <v>#N/A</v>
      </c>
      <c r="BT299" s="102" t="e">
        <f t="shared" si="478"/>
        <v>#N/A</v>
      </c>
      <c r="BU299" s="102" t="e">
        <f t="shared" si="479"/>
        <v>#N/A</v>
      </c>
      <c r="BV299" s="414" t="e">
        <f>IF(BV298=0,0,IF(AND(BR299&gt;charge_ELS_quasi,BS299&gt;Charge_ELS_freq,BT299&gt;charge_ELU,BU299&gt;charge_ELA,$B299&gt;NDC!$H$22-0.1+MIN(3*$BV$12,1.5)),0,1))</f>
        <v>#N/A</v>
      </c>
      <c r="BW299" s="86" t="b">
        <f t="shared" si="447"/>
        <v>0</v>
      </c>
      <c r="BX299" s="86">
        <f t="shared" si="448"/>
        <v>0.5</v>
      </c>
      <c r="BY299" s="86">
        <f t="shared" si="449"/>
        <v>0.5</v>
      </c>
      <c r="BZ299" s="30" t="e">
        <f t="shared" ca="1" si="480"/>
        <v>#DIV/0!</v>
      </c>
      <c r="CA299" s="85" t="e">
        <f ca="1">IF(BG299&lt;=Hypothèses!$V$7,Hypothèses!$W$7,IF(BG299&lt;=Hypothèses!$V$8,Hypothèses!$W$8,IF(BG299&lt;=Hypothèses!$V$9,Hypothèses!$W$9,IF(BG299&lt;=Hypothèses!$V$10,Hypothèses!$W$10,IF(BG299&lt;=Hypothèses!$V$11,Hypothèses!$W$11,IF(BG299&lt;=Hypothèses!$V$12,Hypothèses!$W$12,IF(BG299&lt;=Hypothèses!$V$13,Hypothèses!$W$13,IF(BG299&lt;=Hypothèses!$V$14,Hypothèses!$W$14,IF(BG299&lt;=Hypothèses!$V$15,Hypothèses!$W$15,IF(BG299&lt;=Hypothèses!$V$16,Hypothèses!$W$16,IF(BG299&lt;=Hypothèses!$V$17,Hypothèses!$W$17,IF(BG299&lt;=Hypothèses!$V$18,Hypothèses!$W$18,""))))))))))))</f>
        <v>#DIV/0!</v>
      </c>
      <c r="CB299" s="87" t="e">
        <f t="shared" ca="1" si="519"/>
        <v>#DIV/0!</v>
      </c>
      <c r="CC299" s="88" t="e">
        <f ca="1">IF(BG299&lt;=Hypothèses!$V$7,Hypothèses!$X$7,IF(BG299&lt;=Hypothèses!$V$8,Hypothèses!$X$8,IF(BG299&lt;=Hypothèses!$V$9,Hypothèses!$X$9,IF(BG299&lt;=Hypothèses!$V$10,Hypothèses!$X$10,IF(BG299&lt;=Hypothèses!$V$11,Hypothèses!$X$11,IF(BG299&lt;=Hypothèses!$V$12,Hypothèses!$X$12,IF(BG299&lt;=Hypothèses!$V$13,Hypothèses!$X$13,IF(BG299&lt;=Hypothèses!$V$14,Hypothèses!$X$14,IF(BG299&lt;=Hypothèses!$V$15,Hypothèses!$X$15,IF(BG299&lt;=Hypothèses!$V$16,Hypothèses!$X$16,IF(BG299&lt;=Hypothèses!$U$17,Hypothèses!$W$17,IF(BG299&lt;=Hypothèses!$U$18,Hypothèses!$W$18,""))))))))))))</f>
        <v>#DIV/0!</v>
      </c>
      <c r="CD299" s="95" t="e">
        <f t="shared" ca="1" si="481"/>
        <v>#DIV/0!</v>
      </c>
      <c r="CE299" s="101" t="e">
        <f t="shared" si="526"/>
        <v>#N/A</v>
      </c>
      <c r="CF299" s="91" t="e">
        <f t="shared" si="450"/>
        <v>#N/A</v>
      </c>
      <c r="CG299" s="30" t="e">
        <f t="shared" si="506"/>
        <v>#N/A</v>
      </c>
      <c r="CH299" s="30" t="e">
        <f t="shared" si="507"/>
        <v>#N/A</v>
      </c>
      <c r="CI299" s="31" t="e">
        <f>IF(OR(Hypothèses!$B$4=17,Hypothèses!$B$4=18,Hypothèses!$B$4=19,Hypothèses!$B$4=20),
IF($D299="Pressio.",
IF(OR($E299=3,$E299=1,$E299=4),CH299,CG299),
IF($D299="Pénétro.",
IF(OR($E299=3,$E299=1,$E299=4),CH299,CG299))),IF($D299="Pressio.",
IF($E299=3,CH299,CG299),
IF($D299="Pénétro.",
IF($E299=4,CH299,CG299))))</f>
        <v>#N/A</v>
      </c>
      <c r="CJ299" s="31" t="e">
        <f>(IF(OR(Hypothèses!$B$4=17,Hypothèses!$B$4=18,Hypothèses!$B$4=19,Hypothèses!$B$4=20),
IF($D299="Pressio.",
IF(OR($E299=3,$E299=1,$E299=4),(PI()*CJ$12^2)/4*(CF299*$W299*1000)/($H299*$B$5),(PI()*CJ$12^2)/4*(CF299*$W299*1000)/($G299*$B$5)),
IF($D299="Pénétro.",
IF(OR($E299=4,$E299=1,$E299=5),(PI()*CJ$12^2)/4*(CF299*$W299*1000)/($H299*$B$5),(PI()*CJ$12^2)/4*(CF299*$W299*1000)/($G299*$B$5)))),
IF($D299="Pressio.",
IF($E299=3,(PI()*CJ$12^2)/4*(CF299*$W299*1000)/($H299*$B$5),(PI()*CJ$12^2)/4*(CF299*$W299*1000)/($G299*$B$5)),
IF($D299="Pénétro.",
IF($E299=4,(PI()*CJ$12^2)/4*(CF299*$W299*1000)/($H299*$B$5),(PI()*CJ$12^2)/4*(CF299*$W299*1000)/($G299*$B$5))))))/10</f>
        <v>#N/A</v>
      </c>
      <c r="CK299" s="102" t="e">
        <f>(VLOOKUP($B$3,'Coeff EC7'!$T$39:$X$59,2,0)*CI299+VLOOKUP($B$3,'Coeff EC7'!$T$65:$X$85,2,0)*Model0.1C!CJ299)/1.1</f>
        <v>#N/A</v>
      </c>
      <c r="CL299" s="102" t="e">
        <f>(VLOOKUP($B$3,'Coeff EC7'!$T$39:$X$59,3,0)*CI299+VLOOKUP($B$3,'Coeff EC7'!$T$65:$X$85,3,0)*Model0.1C!CJ299)/0.9</f>
        <v>#N/A</v>
      </c>
      <c r="CM299" s="102" t="e">
        <f t="shared" si="482"/>
        <v>#N/A</v>
      </c>
      <c r="CN299" s="102" t="e">
        <f t="shared" si="483"/>
        <v>#N/A</v>
      </c>
      <c r="CO299" s="414" t="e">
        <f>IF(CO298=0,0,IF(AND(CK299&gt;charge_ELS_quasi,CL299&gt;Charge_ELS_freq,CM299&gt;charge_ELU,CN299&gt;charge_ELA,$B299&gt;NDC!$H$22-0.1+MIN(3*$CO$12,1.5)),0,1))</f>
        <v>#N/A</v>
      </c>
      <c r="CP299" s="86" t="b">
        <f t="shared" si="451"/>
        <v>0</v>
      </c>
      <c r="CQ299" s="86">
        <f t="shared" si="452"/>
        <v>0.5</v>
      </c>
      <c r="CR299" s="86">
        <f t="shared" si="453"/>
        <v>0.5</v>
      </c>
      <c r="CS299" s="30" t="e">
        <f t="shared" ca="1" si="484"/>
        <v>#DIV/0!</v>
      </c>
      <c r="CT299" s="85" t="e">
        <f ca="1">IF(BZ299&lt;=Hypothèses!$V$7,Hypothèses!$W$7,IF(BZ299&lt;=Hypothèses!$V$8,Hypothèses!$W$8,IF(BZ299&lt;=Hypothèses!$V$9,Hypothèses!$W$9,IF(BZ299&lt;=Hypothèses!$V$10,Hypothèses!$W$10,IF(BZ299&lt;=Hypothèses!$V$11,Hypothèses!$W$11,IF(BZ299&lt;=Hypothèses!$V$12,Hypothèses!$W$12,IF(BZ299&lt;=Hypothèses!$V$13,Hypothèses!$W$13,IF(BZ299&lt;=Hypothèses!$V$14,Hypothèses!$W$14,IF(BZ299&lt;=Hypothèses!$V$15,Hypothèses!$W$15,IF(BZ299&lt;=Hypothèses!$V$16,Hypothèses!$W$16,IF(BZ299&lt;=Hypothèses!$V$17,Hypothèses!$W$17,IF(BZ299&lt;=Hypothèses!$V$18,Hypothèses!$W$18,""))))))))))))</f>
        <v>#DIV/0!</v>
      </c>
      <c r="CU299" s="87" t="e">
        <f t="shared" ca="1" si="520"/>
        <v>#DIV/0!</v>
      </c>
      <c r="CV299" s="88" t="e">
        <f ca="1">IF(BZ299&lt;=Hypothèses!$V$7,Hypothèses!$X$7,IF(BZ299&lt;=Hypothèses!$V$8,Hypothèses!$X$8,IF(BZ299&lt;=Hypothèses!$V$9,Hypothèses!$X$9,IF(BZ299&lt;=Hypothèses!$V$10,Hypothèses!$X$10,IF(BZ299&lt;=Hypothèses!$V$11,Hypothèses!$X$11,IF(BZ299&lt;=Hypothèses!$V$12,Hypothèses!$X$12,IF(BZ299&lt;=Hypothèses!$V$13,Hypothèses!$X$13,IF(BZ299&lt;=Hypothèses!$V$14,Hypothèses!$X$14,IF(BZ299&lt;=Hypothèses!$V$15,Hypothèses!$X$15,IF(BZ299&lt;=Hypothèses!$V$16,Hypothèses!$X$16,IF(BZ299&lt;=Hypothèses!$U$17,Hypothèses!$W$17,IF(BZ299&lt;=Hypothèses!$U$18,Hypothèses!$W$18,""))))))))))))</f>
        <v>#DIV/0!</v>
      </c>
      <c r="CW299" s="95" t="e">
        <f t="shared" ca="1" si="485"/>
        <v>#DIV/0!</v>
      </c>
      <c r="CX299" s="101" t="e">
        <f t="shared" si="527"/>
        <v>#N/A</v>
      </c>
      <c r="CY299" s="91" t="e">
        <f t="shared" si="454"/>
        <v>#N/A</v>
      </c>
      <c r="CZ299" s="30" t="e">
        <f t="shared" si="508"/>
        <v>#N/A</v>
      </c>
      <c r="DA299" s="30" t="e">
        <f t="shared" si="509"/>
        <v>#N/A</v>
      </c>
      <c r="DB299" s="31" t="e">
        <f>IF(OR(Hypothèses!$B$4=17,Hypothèses!$B$4=18,Hypothèses!$B$4=19,Hypothèses!$B$4=20),
IF($D299="Pressio.",
IF(OR($E299=3,$E299=1,$E299=4),DA299,CZ299),
IF($D299="Pénétro.",
IF(OR($E299=3,$E299=1,$E299=4),DA299,CZ299))),IF($D299="Pressio.",
IF($E299=3,DA299,CZ299),
IF($D299="Pénétro.",
IF($E299=4,DA299,CZ299))))</f>
        <v>#N/A</v>
      </c>
      <c r="DC299" s="31" t="e">
        <f>(IF(OR(Hypothèses!$B$4=17,Hypothèses!$B$4=18,Hypothèses!$B$4=19,Hypothèses!$B$4=20),
IF($D299="Pressio.",
IF(OR($E299=3,$E299=1,$E299=4),(PI()*DC$12^2)/4*(CY299*$W299*1000)/($H299*$B$5),(PI()*DC$12^2)/4*(CY299*$W299*1000)/($G299*$B$5)),
IF($D299="Pénétro.",
IF(OR($E299=4,$E299=1,$E299=5),(PI()*DC$12^2)/4*(CY299*$W299*1000)/($H299*$B$5),(PI()*DC$12^2)/4*(CY299*$W299*1000)/($G299*$B$5)))),
IF($D299="Pressio.",
IF($E299=3,(PI()*DC$12^2)/4*(CY299*$W299*1000)/($H299*$B$5),(PI()*DC$12^2)/4*(CY299*$W299*1000)/($G299*$B$5)),
IF($D299="Pénétro.",
IF($E299=4,(PI()*DC$12^2)/4*(CY299*$W299*1000)/($H299*$B$5),(PI()*DC$12^2)/4*(CY299*$W299*1000)/($G299*$B$5))))))/10</f>
        <v>#N/A</v>
      </c>
      <c r="DD299" s="102" t="e">
        <f>(VLOOKUP($B$3,'Coeff EC7'!$T$39:$X$59,2,0)*DB299+VLOOKUP($B$3,'Coeff EC7'!$T$65:$X$85,2,0)*Model0.1C!DC299)/1.1</f>
        <v>#N/A</v>
      </c>
      <c r="DE299" s="102" t="e">
        <f>(VLOOKUP($B$3,'Coeff EC7'!$T$39:$X$59,3,0)*DB299+VLOOKUP($B$3,'Coeff EC7'!$T$65:$X$85,3,0)*Model0.1C!DC299)/0.9</f>
        <v>#N/A</v>
      </c>
      <c r="DF299" s="102" t="e">
        <f t="shared" si="486"/>
        <v>#N/A</v>
      </c>
      <c r="DG299" s="102" t="e">
        <f t="shared" si="487"/>
        <v>#N/A</v>
      </c>
      <c r="DH299" s="414" t="e">
        <f>IF(DH298=0,0,IF(AND(DD299&gt;charge_ELS_quasi,DE299&gt;Charge_ELS_freq,DF299&gt;charge_ELU,DG299&gt;charge_ELA,$B299&gt;NDC!$H$22-0.1+MIN(3*$DH$12,1.5)),0,1))</f>
        <v>#N/A</v>
      </c>
      <c r="DI299" s="86" t="b">
        <f t="shared" si="455"/>
        <v>0</v>
      </c>
      <c r="DJ299" s="86">
        <f t="shared" si="456"/>
        <v>0.5</v>
      </c>
      <c r="DK299" s="86">
        <f t="shared" si="457"/>
        <v>0.5</v>
      </c>
      <c r="DL299" s="30" t="e">
        <f t="shared" ca="1" si="488"/>
        <v>#DIV/0!</v>
      </c>
      <c r="DM299" s="85" t="e">
        <f ca="1">IF(CS299&lt;=Hypothèses!$V$7,Hypothèses!$W$7,IF(CS299&lt;=Hypothèses!$V$8,Hypothèses!$W$8,IF(CS299&lt;=Hypothèses!$V$9,Hypothèses!$W$9,IF(CS299&lt;=Hypothèses!$V$10,Hypothèses!$W$10,IF(CS299&lt;=Hypothèses!$V$11,Hypothèses!$W$11,IF(CS299&lt;=Hypothèses!$V$12,Hypothèses!$W$12,IF(CS299&lt;=Hypothèses!$V$13,Hypothèses!$W$13,IF(CS299&lt;=Hypothèses!$V$14,Hypothèses!$W$14,IF(CS299&lt;=Hypothèses!$V$15,Hypothèses!$W$15,IF(CS299&lt;=Hypothèses!$V$16,Hypothèses!$W$16,IF(CS299&lt;=Hypothèses!$V$17,Hypothèses!$W$17,IF(CS299&lt;=Hypothèses!$V$18,Hypothèses!$W$18,""))))))))))))</f>
        <v>#DIV/0!</v>
      </c>
      <c r="DN299" s="87" t="e">
        <f t="shared" ca="1" si="521"/>
        <v>#DIV/0!</v>
      </c>
      <c r="DO299" s="88" t="e">
        <f ca="1">IF(CS299&lt;=Hypothèses!$V$7,Hypothèses!$X$7,IF(CS299&lt;=Hypothèses!$V$8,Hypothèses!$X$8,IF(CS299&lt;=Hypothèses!$V$9,Hypothèses!$X$9,IF(CS299&lt;=Hypothèses!$V$10,Hypothèses!$X$10,IF(CS299&lt;=Hypothèses!$V$11,Hypothèses!$X$11,IF(CS299&lt;=Hypothèses!$V$12,Hypothèses!$X$12,IF(CS299&lt;=Hypothèses!$V$13,Hypothèses!$X$13,IF(CS299&lt;=Hypothèses!$V$14,Hypothèses!$X$14,IF(CS299&lt;=Hypothèses!$V$15,Hypothèses!$X$15,IF(CS299&lt;=Hypothèses!$V$16,Hypothèses!$X$16,IF(CS299&lt;=Hypothèses!$U$17,Hypothèses!$W$17,IF(CS299&lt;=Hypothèses!$U$18,Hypothèses!$W$18,""))))))))))))</f>
        <v>#DIV/0!</v>
      </c>
      <c r="DP299" s="95" t="e">
        <f t="shared" ca="1" si="489"/>
        <v>#DIV/0!</v>
      </c>
      <c r="DQ299" s="101" t="e">
        <f t="shared" si="528"/>
        <v>#N/A</v>
      </c>
      <c r="DR299" s="91" t="e">
        <f t="shared" si="458"/>
        <v>#N/A</v>
      </c>
      <c r="DS299" s="30" t="e">
        <f t="shared" si="510"/>
        <v>#N/A</v>
      </c>
      <c r="DT299" s="30" t="e">
        <f t="shared" si="511"/>
        <v>#N/A</v>
      </c>
      <c r="DU299" s="31" t="e">
        <f>IF(OR(Hypothèses!$B$4=17,Hypothèses!$B$4=18,Hypothèses!$B$4=19,Hypothèses!$B$4=20),
IF($D299="Pressio.",
IF(OR($E299=3,$E299=1,$E299=4),DT299,DS299),
IF($D299="Pénétro.",
IF(OR($E299=3,$E299=1,$E299=4),DT299,DS299))),IF($D299="Pressio.",
IF($E299=3,DT299,DS299),
IF($D299="Pénétro.",
IF($E299=4,DT299,DS299))))</f>
        <v>#N/A</v>
      </c>
      <c r="DV299" s="31" t="e">
        <f>(IF(OR(Hypothèses!$B$4=17,Hypothèses!$B$4=18,Hypothèses!$B$4=19,Hypothèses!$B$4=20),
IF($D299="Pressio.",
IF(OR($E299=3,$E299=1,$E299=4),(PI()*DV$12^2)/4*(DR299*$W299*1000)/($H299*$B$5),(PI()*DV$12^2)/4*(DR299*$W299*1000)/($G299*$B$5)),
IF($D299="Pénétro.",
IF(OR($E299=4,$E299=1,$E299=5),(PI()*DV$12^2)/4*(DR299*$W299*1000)/($H299*$B$5),(PI()*DV$12^2)/4*(DR299*$W299*1000)/($G299*$B$5)))),
IF($D299="Pressio.",
IF($E299=3,(PI()*DV$12^2)/4*(DR299*$W299*1000)/($H299*$B$5),(PI()*DV$12^2)/4*(DR299*$W299*1000)/($G299*$B$5)),
IF($D299="Pénétro.",
IF($E299=4,(PI()*DV$12^2)/4*(DR299*$W299*1000)/($H299*$B$5),(PI()*DV$12^2)/4*(DR299*$W299*1000)/($G299*$B$5))))))/10</f>
        <v>#N/A</v>
      </c>
      <c r="DW299" s="102" t="e">
        <f>(VLOOKUP($B$3,'Coeff EC7'!$T$39:$X$59,2,0)*DU299+VLOOKUP($B$3,'Coeff EC7'!$T$65:$X$85,2,0)*Model0.1C!DV299)/1.1</f>
        <v>#N/A</v>
      </c>
      <c r="DX299" s="102" t="e">
        <f>(VLOOKUP($B$3,'Coeff EC7'!$T$39:$X$59,3,0)*DU299+VLOOKUP($B$3,'Coeff EC7'!$T$65:$X$85,3,0)*Model0.1C!DV299)/0.9</f>
        <v>#N/A</v>
      </c>
      <c r="DY299" s="102" t="e">
        <f t="shared" si="490"/>
        <v>#N/A</v>
      </c>
      <c r="DZ299" s="102" t="e">
        <f t="shared" si="491"/>
        <v>#N/A</v>
      </c>
      <c r="EA299" s="414" t="e">
        <f>IF(EA298=0,0,IF(AND(DW299&gt;charge_ELS_quasi,DX299&gt;Charge_ELS_freq,DY299&gt;charge_ELU,DZ299&gt;charge_ELA,$B299&gt;NDC!$H$22-0.1+MIN(3*$EA$12,1.5)),0,1))</f>
        <v>#N/A</v>
      </c>
      <c r="EB299" s="86" t="b">
        <f t="shared" si="459"/>
        <v>0</v>
      </c>
      <c r="EC299" s="418">
        <f t="shared" si="460"/>
        <v>0.51</v>
      </c>
      <c r="ED299" s="86">
        <f t="shared" si="461"/>
        <v>0.51</v>
      </c>
      <c r="EE299" s="30" t="e">
        <f t="shared" ca="1" si="492"/>
        <v>#DIV/0!</v>
      </c>
      <c r="EF299" s="85" t="e">
        <f ca="1">IF(DL299&lt;=Hypothèses!$V$7,Hypothèses!$W$7,IF(DL299&lt;=Hypothèses!$V$8,Hypothèses!$W$8,IF(DL299&lt;=Hypothèses!$V$9,Hypothèses!$W$9,IF(DL299&lt;=Hypothèses!$V$10,Hypothèses!$W$10,IF(DL299&lt;=Hypothèses!$V$11,Hypothèses!$W$11,IF(DL299&lt;=Hypothèses!$V$12,Hypothèses!$W$12,IF(DL299&lt;=Hypothèses!$V$13,Hypothèses!$W$13,IF(DL299&lt;=Hypothèses!$V$14,Hypothèses!$W$14,IF(DL299&lt;=Hypothèses!$V$15,Hypothèses!$W$15,IF(DL299&lt;=Hypothèses!$V$16,Hypothèses!$W$16,IF(DL299&lt;=Hypothèses!$V$17,Hypothèses!$W$17,IF(DL299&lt;=Hypothèses!$V$18,Hypothèses!$W$18,""))))))))))))</f>
        <v>#DIV/0!</v>
      </c>
      <c r="EG299" s="87" t="e">
        <f t="shared" ca="1" si="522"/>
        <v>#DIV/0!</v>
      </c>
      <c r="EH299" s="88" t="e">
        <f ca="1">IF(DL299&lt;=Hypothèses!$V$7,Hypothèses!$X$7,IF(DL299&lt;=Hypothèses!$V$8,Hypothèses!$X$8,IF(DL299&lt;=Hypothèses!$V$9,Hypothèses!$X$9,IF(DL299&lt;=Hypothèses!$V$10,Hypothèses!$X$10,IF(DL299&lt;=Hypothèses!$V$11,Hypothèses!$X$11,IF(DL299&lt;=Hypothèses!$V$12,Hypothèses!$X$12,IF(DL299&lt;=Hypothèses!$V$13,Hypothèses!$X$13,IF(DL299&lt;=Hypothèses!$V$14,Hypothèses!$X$14,IF(DL299&lt;=Hypothèses!$V$15,Hypothèses!$X$15,IF(DL299&lt;=Hypothèses!$V$16,Hypothèses!$X$16,IF(DL299&lt;=Hypothèses!$U$17,Hypothèses!$W$17,IF(DL299&lt;=Hypothèses!$U$18,Hypothèses!$W$18,""))))))))))))</f>
        <v>#DIV/0!</v>
      </c>
      <c r="EI299" s="95" t="e">
        <f t="shared" ca="1" si="493"/>
        <v>#DIV/0!</v>
      </c>
      <c r="EJ299" s="101" t="e">
        <f t="shared" si="529"/>
        <v>#N/A</v>
      </c>
      <c r="EK299" s="91" t="e">
        <f t="shared" si="462"/>
        <v>#N/A</v>
      </c>
      <c r="EL299" s="30" t="e">
        <f t="shared" si="512"/>
        <v>#N/A</v>
      </c>
      <c r="EM299" s="30" t="e">
        <f t="shared" si="513"/>
        <v>#N/A</v>
      </c>
      <c r="EN299" s="31" t="e">
        <f>IF(OR(Hypothèses!$B$4=17,Hypothèses!$B$4=18,Hypothèses!$B$4=19,Hypothèses!$B$4=20),
IF($D299="Pressio.",
IF(OR($E299=3,$E299=1,$E299=4),EM299,EL299),
IF($D299="Pénétro.",
IF(OR($E299=3,$E299=1,$E299=4),EM299,EL299))),IF($D299="Pressio.",
IF($E299=3,EM299,EL299),
IF($D299="Pénétro.",
IF($E299=4,EM299,EL299))))</f>
        <v>#N/A</v>
      </c>
      <c r="EO299" s="31" t="e">
        <f>(IF(OR(Hypothèses!$B$4=17,Hypothèses!$B$4=18,Hypothèses!$B$4=19,Hypothèses!$B$4=20),
IF($D299="Pressio.",
IF(OR($E299=3,$E299=1,$E299=4),(PI()*EO$12^2)/4*(EK299*$W299*1000)/($H299*$B$5),(PI()*EO$12^2)/4*(EK299*$W299*1000)/($G299*$B$5)),
IF($D299="Pénétro.",
IF(OR($E299=4,$E299=1,$E299=5),(PI()*EO$12^2)/4*(EK299*$W299*1000)/($H299*$B$5),(PI()*EO$12^2)/4*(EK299*$W299*1000)/($G299*$B$5)))),
IF($D299="Pressio.",
IF($E299=3,(PI()*EO$12^2)/4*(EK299*$W299*1000)/($H299*$B$5),(PI()*EO$12^2)/4*(EK299*$W299*1000)/($G299*$B$5)),
IF($D299="Pénétro.",
IF($E299=4,(PI()*EO$12^2)/4*(EK299*$W299*1000)/($H299*$B$5),(PI()*EO$12^2)/4*(EK299*$W299*1000)/($G299*$B$5))))))/10</f>
        <v>#N/A</v>
      </c>
      <c r="EP299" s="102" t="e">
        <f>(VLOOKUP($B$3,'Coeff EC7'!$T$39:$X$59,2,0)*EN299+VLOOKUP($B$3,'Coeff EC7'!$T$65:$X$85,2,0)*Model0.1C!EO299)/1.1</f>
        <v>#N/A</v>
      </c>
      <c r="EQ299" s="102" t="e">
        <f>(VLOOKUP($B$3,'Coeff EC7'!$T$39:$X$59,3,0)*EN299+VLOOKUP($B$3,'Coeff EC7'!$T$65:$X$85,3,0)*Model0.1C!EO299)/0.9</f>
        <v>#N/A</v>
      </c>
      <c r="ER299" s="102" t="e">
        <f t="shared" si="494"/>
        <v>#N/A</v>
      </c>
      <c r="ES299" s="102" t="e">
        <f t="shared" si="495"/>
        <v>#N/A</v>
      </c>
      <c r="ET299" s="414" t="e">
        <f>IF(ET298=0,0,IF(AND(EP299&gt;charge_ELS_quasi,EQ299&gt;Charge_ELS_freq,ER299&gt;charge_ELU,ES299&gt;charge_ELA,$B299&gt;NDC!$H$22-0.1+MIN(3*$ET$12,1.5)),0,1))</f>
        <v>#N/A</v>
      </c>
      <c r="EU299" s="86" t="b">
        <f t="shared" si="463"/>
        <v>0</v>
      </c>
      <c r="EV299" s="86">
        <f t="shared" si="464"/>
        <v>0.61</v>
      </c>
      <c r="EW299" s="86">
        <f t="shared" si="465"/>
        <v>0.61</v>
      </c>
      <c r="EX299" s="30" t="e">
        <f t="shared" ca="1" si="496"/>
        <v>#DIV/0!</v>
      </c>
      <c r="EY299" s="85" t="e">
        <f ca="1">IF(EE299&lt;=Hypothèses!$V$7,Hypothèses!$W$7,IF(EE299&lt;=Hypothèses!$V$8,Hypothèses!$W$8,IF(EE299&lt;=Hypothèses!$V$9,Hypothèses!$W$9,IF(EE299&lt;=Hypothèses!$V$10,Hypothèses!$W$10,IF(EE299&lt;=Hypothèses!$V$11,Hypothèses!$W$11,IF(EE299&lt;=Hypothèses!$V$12,Hypothèses!$W$12,IF(EE299&lt;=Hypothèses!$V$13,Hypothèses!$W$13,IF(EE299&lt;=Hypothèses!$V$14,Hypothèses!$W$14,IF(EE299&lt;=Hypothèses!$V$15,Hypothèses!$W$15,IF(EE299&lt;=Hypothèses!$V$16,Hypothèses!$W$16,IF(EE299&lt;=Hypothèses!$V$17,Hypothèses!$W$17,IF(EE299&lt;=Hypothèses!$V$18,Hypothèses!$W$18,""))))))))))))</f>
        <v>#DIV/0!</v>
      </c>
      <c r="EZ299" s="87" t="e">
        <f t="shared" ca="1" si="523"/>
        <v>#DIV/0!</v>
      </c>
      <c r="FA299" s="88" t="e">
        <f ca="1">IF(EE299&lt;=Hypothèses!$V$7,Hypothèses!$X$7,IF(EE299&lt;=Hypothèses!$V$8,Hypothèses!$X$8,IF(EE299&lt;=Hypothèses!$V$9,Hypothèses!$X$9,IF(EE299&lt;=Hypothèses!$V$10,Hypothèses!$X$10,IF(EE299&lt;=Hypothèses!$V$11,Hypothèses!$X$11,IF(EE299&lt;=Hypothèses!$V$12,Hypothèses!$X$12,IF(EE299&lt;=Hypothèses!$V$13,Hypothèses!$X$13,IF(EE299&lt;=Hypothèses!$V$14,Hypothèses!$X$14,IF(EE299&lt;=Hypothèses!$V$15,Hypothèses!$X$15,IF(EE299&lt;=Hypothèses!$V$16,Hypothèses!$X$16,IF(EE299&lt;=Hypothèses!$U$17,Hypothèses!$W$17,IF(EE299&lt;=Hypothèses!$U$18,Hypothèses!$W$18,""))))))))))))</f>
        <v>#DIV/0!</v>
      </c>
      <c r="FB299" s="95" t="e">
        <f t="shared" ca="1" si="497"/>
        <v>#DIV/0!</v>
      </c>
      <c r="FC299" s="101" t="e">
        <f t="shared" si="530"/>
        <v>#N/A</v>
      </c>
      <c r="FD299" s="91" t="e">
        <f t="shared" si="466"/>
        <v>#N/A</v>
      </c>
      <c r="FE299" s="30" t="e">
        <f t="shared" si="514"/>
        <v>#N/A</v>
      </c>
      <c r="FF299" s="30" t="e">
        <f t="shared" si="515"/>
        <v>#N/A</v>
      </c>
      <c r="FG299" s="31" t="e">
        <f>IF(OR(Hypothèses!$B$4=17,Hypothèses!$B$4=18,Hypothèses!$B$4=19,Hypothèses!$B$4=20),
IF($D299="Pressio.",
IF(OR($E299=3,$E299=1,$E299=4),FF299,FE299),
IF($D299="Pénétro.",
IF(OR($E299=3,$E299=1,$E299=4),FF299,FE299))),IF($D299="Pressio.",
IF($E299=3,FF299,FE299),
IF($D299="Pénétro.",
IF($E299=4,FF299,FE299))))</f>
        <v>#N/A</v>
      </c>
      <c r="FH299" s="31" t="e">
        <f>(IF(OR(Hypothèses!$B$4=17,Hypothèses!$B$4=18,Hypothèses!$B$4=19,Hypothèses!$B$4=20),
IF($D299="Pressio.",
IF(OR($E299=3,$E299=1,$E299=4),(PI()*FH$12^2)/4*(FD299*$W299*1000)/($H299*$B$5),(PI()*FH$12^2)/4*(FD299*$W299*1000)/($G299*$B$5)),
IF($D299="Pénétro.",
IF(OR($E299=4,$E299=1,$E299=5),(PI()*FH$12^2)/4*(FD299*$W299*1000)/($H299*$B$5),(PI()*FH$12^2)/4*(FD299*$W299*1000)/($G299*$B$5)))),
IF($D299="Pressio.",
IF($E299=3,(PI()*FH$12^2)/4*(FD299*$W299*1000)/($H299*$B$5),(PI()*FH$12^2)/4*(FD299*$W299*1000)/($G299*$B$5)),
IF($D299="Pénétro.",
IF($E299=4,(PI()*FH$12^2)/4*(FD299*$W299*1000)/($H299*$B$5),(PI()*FH$12^2)/4*(FD299*$W299*1000)/($G299*$B$5))))))/10</f>
        <v>#N/A</v>
      </c>
      <c r="FI299" s="102" t="e">
        <f>(VLOOKUP($B$3,'Coeff EC7'!$T$39:$X$59,2,0)*FG299+VLOOKUP($B$3,'Coeff EC7'!$T$65:$X$85,2,0)*Model0.1C!FH299)/1.1</f>
        <v>#N/A</v>
      </c>
      <c r="FJ299" s="102" t="e">
        <f>(VLOOKUP($B$3,'Coeff EC7'!$T$39:$X$59,3,0)*FG299+VLOOKUP($B$3,'Coeff EC7'!$T$65:$X$85,3,0)*Model0.1C!FH299)/0.9</f>
        <v>#N/A</v>
      </c>
      <c r="FK299" s="102" t="e">
        <f t="shared" si="498"/>
        <v>#N/A</v>
      </c>
      <c r="FL299" s="102" t="e">
        <f t="shared" si="499"/>
        <v>#N/A</v>
      </c>
      <c r="FM299" s="414" t="e">
        <f>IF(FM298=0,0,IF(AND(FI299&gt;charge_ELS_quasi,FJ299&gt;Charge_ELS_freq,FK299&gt;charge_ELU,FL299&gt;charge_ELA,$B299&gt;NDC!$H$22-0.1+MIN(3*$FM$12,1.5)),0,1))</f>
        <v>#N/A</v>
      </c>
    </row>
    <row r="300" spans="1:169">
      <c r="A300" s="96">
        <f t="shared" si="467"/>
        <v>71.300000000001631</v>
      </c>
      <c r="B300" s="97">
        <v>28.7</v>
      </c>
      <c r="C300" s="81">
        <f>IF(B300&lt;=Hypothèses!$C$7,Hypothèses!$A$7,IF(B300&lt;=Hypothèses!$C$8,Hypothèses!$A$8,IF(B300&lt;=Hypothèses!$C$9,Hypothèses!$A$9,IF(B300&lt;=Hypothèses!$C$10,Hypothèses!$A$10,IF(B300&lt;=Hypothèses!$C$11,Hypothèses!$A$11,IF(B300&lt;=Hypothèses!$C$12,Hypothèses!$A$12,IF(B300&lt;=Hypothèses!$C$13,Hypothèses!$A$13,IF(B300&lt;=Hypothèses!$C$14,Hypothèses!$A$14,IF(B300&lt;=Hypothèses!$C$15,Hypothèses!$A$15,IF(B300&lt;=Hypothèses!$C$16,Hypothèses!$A$16,IF(B300&lt;=Hypothèses!$C$17,Hypothèses!$A$17,IF(B300&lt;=Hypothèses!$C$18,Hypothèses!$A$18,C299))))))))))))</f>
        <v>11</v>
      </c>
      <c r="D300" s="82" t="str">
        <f>IF(B300&lt;=Hypothèses!$C$7,Hypothèses!$R$7,IF(B300&lt;=Hypothèses!$C$8,Hypothèses!$R$8,IF(B300&lt;=Hypothèses!$C$9,Hypothèses!$R$9,IF(B300&lt;=Hypothèses!$C$10,Hypothèses!$R$10,IF(B300&lt;=Hypothèses!$C$11,Hypothèses!$R$11,IF(B300&lt;=Hypothèses!$C$12,Hypothèses!$R$12,IF(B300&lt;=Hypothèses!$C$13,Hypothèses!$R$13,IF(B300&lt;=Hypothèses!$C$14,Hypothèses!$R$14,IF(B300&lt;=Hypothèses!$C$15,Hypothèses!$R$15,IF(B300&lt;=Hypothèses!$C$16,Hypothèses!$R$16,IF(B300&lt;=Hypothèses!$C$17,Hypothèses!$R$17,IF(B300&lt;=Hypothèses!$C$18,Hypothèses!$R$18,D299))))))))))))</f>
        <v>Pressio.</v>
      </c>
      <c r="E300" s="82" t="e">
        <f>IF(B300&lt;=Hypothèses!$C$7,Hypothèses!$G$7,IF(B300&lt;=Hypothèses!$C$8,Hypothèses!$G$8,IF(B300&lt;=Hypothèses!$C$9,Hypothèses!$G$9,IF(B300&lt;=Hypothèses!$C$10,Hypothèses!$G$10,IF(B300&lt;=Hypothèses!$C$11,Hypothèses!$G$11,IF(B300&lt;=Hypothèses!$C$12,Hypothèses!$G$12,IF(B300&lt;=Hypothèses!$C$13,Hypothèses!$G$13,IF(B300&lt;=Hypothèses!$C$14,Hypothèses!$G$14,IF(B300&lt;=Hypothèses!$C$15,Hypothèses!$G$15,IF(B300&lt;=Hypothèses!$C$16,Hypothèses!$G$16,IF(B300&lt;=Hypothèses!$C$17,Hypothèses!$G$17,IF(B300&lt;=Hypothèses!$C$18,Hypothèses!$G$18,E299))))))))))))</f>
        <v>#N/A</v>
      </c>
      <c r="F300" s="82" t="str">
        <f>IF(B300&lt;=Hypothèses!$C$7,Hypothèses!$F$7,IF(B300&lt;=Hypothèses!$C$8,Hypothèses!$F$8,IF(B300&lt;=Hypothèses!$C$9,Hypothèses!$F$9,IF(B300&lt;=Hypothèses!$C$10,Hypothèses!$F$10,IF(B300&lt;=Hypothèses!$C$11,Hypothèses!$F$11,IF(B300&lt;=Hypothèses!$C$12,Hypothèses!$F$12,IF(B300&lt;=Hypothèses!$C$13,Hypothèses!$F$13,IF(B300&lt;=Hypothèses!$C$14,Hypothèses!$F$14,IF(B300&lt;=Hypothèses!$C$15,Hypothèses!$F$15,IF(B300&lt;=Hypothèses!$C$16,Hypothèses!$F$16,IF(B300&lt;=Hypothèses!$C$17,Hypothèses!$F$17,IF(B300&lt;=Hypothèses!$C$18,Hypothèses!$F$18,F299))))))))))))</f>
        <v/>
      </c>
      <c r="G300" s="91">
        <f t="array" ref="G300">INDEX('Coeff EC7'!$U$7:$X$27,
MATCH(Model0.1C!$B$3,'Coeff EC7'!$T$7:$T$27,0),
MATCH(Model0.1C!$D300&amp;Model0.1C!$B$4,
'Coeff EC7'!$U$6:$X$6&amp;
'Coeff EC7'!$U$5:$X$5,0))</f>
        <v>1.1499999999999999</v>
      </c>
      <c r="H300" s="91">
        <f t="array" ref="H300">INDEX('Coeff EC7'!$Y$7:$AB$27,
MATCH(Model0.1C!$B$3,'Coeff EC7'!$T$7:$T$27,0),
MATCH(Model0.1C!$D300&amp;Model0.1C!$B$4,
'Coeff EC7'!$Y$6:$AB$6&amp;
'Coeff EC7'!$Y$5:$AB$5,0))</f>
        <v>1.4</v>
      </c>
      <c r="I300" s="83" t="e">
        <f>IF(B300&lt;=Hypothèses!$C$7,Hypothèses!$P$7,IF(B300&lt;=Hypothèses!$C$8,Hypothèses!$P$8,IF(B300&lt;=Hypothèses!$C$9,Hypothèses!$P$9,IF(B300&lt;=Hypothèses!$C$10,Hypothèses!$P$10,IF(B300&lt;=Hypothèses!$C$11,Hypothèses!$P$11,IF(B300&lt;=Hypothèses!$C$12,Hypothèses!$P$12,IF(B300&lt;=Hypothèses!$C$13,Hypothèses!$P$13,IF(B300&lt;=Hypothèses!$C$14,Hypothèses!$P$14,IF(B300&lt;=Hypothèses!$C$15,Hypothèses!$P$15,IF(B300&lt;=Hypothèses!$C$16,Hypothèses!$P$16,IF(B300&lt;=Hypothèses!$C$17,Hypothèses!$P$17,IF(B300&lt;=Hypothèses!$C$18,Hypothèses!$P$18,I299))))))))))))</f>
        <v>#N/A</v>
      </c>
      <c r="J300" s="91" t="e">
        <f t="array" ref="J300">INDEX('Coeff EC7'!$D$33:$Q$33,1,MATCH(D300&amp;E300,'Coeff EC7'!$D$31:$Q$31&amp;'Coeff EC7'!$D$32:$Q$32,0))</f>
        <v>#N/A</v>
      </c>
      <c r="K300" s="91" t="e">
        <f t="array" ref="K300">INDEX('Coeff EC7'!$D$34:$Q$34,1,MATCH(D300&amp;E300,'Coeff EC7'!$D$31:$Q$31&amp;'Coeff EC7'!$D$32:$Q$32,0))</f>
        <v>#N/A</v>
      </c>
      <c r="L300" s="91" t="e">
        <f t="array" ref="L300">INDEX('Coeff EC7'!$D$35:$Q$35,1,MATCH(D300&amp;E300,'Coeff EC7'!$D$31:$Q$31&amp;'Coeff EC7'!$D$32:$Q$32,0))</f>
        <v>#N/A</v>
      </c>
      <c r="M300" s="98" t="e">
        <f t="shared" si="431"/>
        <v>#N/A</v>
      </c>
      <c r="N300" s="99" t="e">
        <f t="array" ref="N300">INDEX('Coeff EC7'!$D$7:$Q$27,MATCH($B$3,'Coeff EC7'!$C$7:$C$27,0),MATCH(D300&amp;E300,'Coeff EC7'!$D$5:$Q$5&amp;'Coeff EC7'!$D$6:$Q$6,0))</f>
        <v>#N/A</v>
      </c>
      <c r="O300" s="99" t="e">
        <f t="array" ref="O300">INDEX('Coeff EC7'!$D$41:$Q$61,MATCH($B$3,'Coeff EC7'!$C$41:$C$61,0),MATCH(D300&amp;E300,'Coeff EC7'!$D$39:$Q$39&amp;'Coeff EC7'!$D$40:$Q$40,0))</f>
        <v>#N/A</v>
      </c>
      <c r="P300" s="30" t="e">
        <f t="shared" si="468"/>
        <v>#N/A</v>
      </c>
      <c r="Q300" s="100" t="e">
        <f t="shared" si="433"/>
        <v>#N/A</v>
      </c>
      <c r="R300" s="86" t="b">
        <f t="shared" si="434"/>
        <v>0</v>
      </c>
      <c r="S300" s="86">
        <f t="shared" si="432"/>
        <v>0.5</v>
      </c>
      <c r="T300" s="86">
        <f t="shared" si="435"/>
        <v>0.5</v>
      </c>
      <c r="U300" s="30" t="e">
        <f t="shared" ca="1" si="469"/>
        <v>#DIV/0!</v>
      </c>
      <c r="V300" s="85" t="str">
        <f>IF(B300&lt;=Hypothèses!$V$7,Hypothèses!$W$7,IF(B300&lt;=Hypothèses!$V$8,Hypothèses!$W$8,IF(B300&lt;=Hypothèses!$V$9,Hypothèses!$W$9,IF(B300&lt;=Hypothèses!$V$10,Hypothèses!$W$10,IF(B300&lt;=Hypothèses!$V$11,Hypothèses!$W$11,IF(B300&lt;=Hypothèses!$V$12,Hypothèses!$W$12,IF(B300&lt;=Hypothèses!$V$13,Hypothèses!$W$13,IF(B300&lt;=Hypothèses!$V$14,Hypothèses!$W$14,IF(B300&lt;=Hypothèses!$V$15,Hypothèses!$W$15,IF(B300&lt;=Hypothèses!$V$16,Hypothèses!$W$16,IF(B300&lt;=Hypothèses!$V$17,Hypothèses!$W$17,IF(B300&lt;=Hypothèses!$V$18,Hypothèses!$W$18,""))))))))))))</f>
        <v/>
      </c>
      <c r="W300" s="87" t="e">
        <f t="shared" ca="1" si="516"/>
        <v>#DIV/0!</v>
      </c>
      <c r="X300" s="88" t="str">
        <f>IF(B300&lt;=Hypothèses!$V$7,Hypothèses!$X$7,IF(B300&lt;=Hypothèses!$V$8,Hypothèses!$X$8,IF(B300&lt;=Hypothèses!$V$9,Hypothèses!$X$9,IF(B300&lt;=Hypothèses!$V$10,Hypothèses!$X$10,IF(B300&lt;=Hypothèses!$V$11,Hypothèses!$X$11,IF(B300&lt;=Hypothèses!$V$12,Hypothèses!$X$12,IF(B300&lt;=Hypothèses!$V$13,Hypothèses!$X$13,IF(B300&lt;=Hypothèses!$V$14,Hypothèses!$X$14,IF(B300&lt;=Hypothèses!$V$15,Hypothèses!$X$15,IF(B300&lt;=Hypothèses!$V$16,Hypothèses!$X$16,IF(B300&lt;=Hypothèses!$U$17,Hypothèses!$W$17,IF(B300&lt;=Hypothèses!$U$18,Hypothèses!$W$18,""))))))))))))</f>
        <v/>
      </c>
      <c r="Y300" s="95" t="e">
        <f t="shared" ca="1" si="436"/>
        <v>#DIV/0!</v>
      </c>
      <c r="Z300" s="101" t="e">
        <f t="shared" si="437"/>
        <v>#N/A</v>
      </c>
      <c r="AA300" s="91" t="e">
        <f t="shared" si="438"/>
        <v>#N/A</v>
      </c>
      <c r="AB300" s="30" t="e">
        <f t="shared" si="500"/>
        <v>#N/A</v>
      </c>
      <c r="AC300" s="30" t="e">
        <f t="shared" si="501"/>
        <v>#N/A</v>
      </c>
      <c r="AD300" s="31" t="e">
        <f>IF(OR(Hypothèses!$B$4=17,Hypothèses!$B$4=18,Hypothèses!$B$4=19,Hypothèses!$B$4=20),
IF($D300="Pressio.",
IF(OR($E300=3,$E300=1,$E300=4),AC300,AB300),
IF($D300="Pénétro.",
IF(OR($E300=3,$E300=1,$E300=4),AC300,AB300))),IF($D300="Pressio.",
IF($E300=3,AC300,AB300),
IF($D300="Pénétro.",
IF($E300=4,AC300,AB300))))</f>
        <v>#N/A</v>
      </c>
      <c r="AE300" s="31" t="e">
        <f>(IF(OR(Hypothèses!$B$4=17,Hypothèses!$B$4=18,Hypothèses!$B$4=19,Hypothèses!$B$4=20),
IF($D300="Pressio.",
IF(OR($E300=3,$E300=1,$E300=4),(PI()*AE$12^2)/4*(AA300*$W300*1000)/($H300*$B$5),(PI()*AE$12^2)/4*(AA300*$W300*1000)/($G300*$B$5)),
IF($D300="Pénétro.",
IF(OR($E300=4,$E300=1,$E300=5),(PI()*AE$12^2)/4*(AA300*$W300*1000)/($H300*$B$5),(PI()*AE$12^2)/4*(AA300*$W300*1000)/($G300*$B$5)))),
IF($D300="Pressio.",
IF($E300=3,(PI()*AE$12^2)/4*(AA300*$W300*1000)/($H300*$B$5),(PI()*AE$12^2)/4*(AA300*$W300*1000)/($G300*$B$5)),
IF($D300="Pénétro.",
IF($E300=4,(PI()*AE$12^2)/4*(AA300*$W300*1000)/($H300*$B$5),(PI()*AE$12^2)/4*(AA300*$W300*1000)/($G300*$B$5))))))/10</f>
        <v>#N/A</v>
      </c>
      <c r="AF300" s="102" t="e">
        <f>(VLOOKUP($B$3,'Coeff EC7'!$T$39:$X$59,2,0)*AD300+VLOOKUP($B$3,'Coeff EC7'!$T$65:$X$85,2,0)*Model0.1C!AE300)/1.1</f>
        <v>#N/A</v>
      </c>
      <c r="AG300" s="102" t="e">
        <f>(VLOOKUP($B$3,'Coeff EC7'!$T$39:$X$59,3,0)*AD300+VLOOKUP($B$3,'Coeff EC7'!$T$65:$X$85,3,0)*Model0.1C!AE300)/0.9</f>
        <v>#N/A</v>
      </c>
      <c r="AH300" s="102" t="e">
        <f t="shared" si="439"/>
        <v>#N/A</v>
      </c>
      <c r="AI300" s="102" t="e">
        <f t="shared" si="440"/>
        <v>#N/A</v>
      </c>
      <c r="AJ300" s="414" t="e">
        <f>IF(AJ299=0,0,IF(AND(AF300&gt;charge_ELS_quasi,AG300&gt;Charge_ELS_freq,AH300&gt;charge_ELU,AI300&gt;charge_ELA,$B300&gt;NDC!$H$22-0.1+MIN(3*$AJ$12,1.5)),0,1))</f>
        <v>#N/A</v>
      </c>
      <c r="AK300" s="86" t="b">
        <f t="shared" si="441"/>
        <v>0</v>
      </c>
      <c r="AL300" s="86">
        <f t="shared" si="470"/>
        <v>0.5</v>
      </c>
      <c r="AM300" s="86">
        <f t="shared" si="442"/>
        <v>0.5</v>
      </c>
      <c r="AN300" s="30" t="e">
        <f t="shared" ca="1" si="471"/>
        <v>#DIV/0!</v>
      </c>
      <c r="AO300" s="85" t="e">
        <f ca="1">IF(U300&lt;=Hypothèses!$V$7,Hypothèses!$W$7,IF(U300&lt;=Hypothèses!$V$8,Hypothèses!$W$8,IF(U300&lt;=Hypothèses!$V$9,Hypothèses!$W$9,IF(U300&lt;=Hypothèses!$V$10,Hypothèses!$W$10,IF(U300&lt;=Hypothèses!$V$11,Hypothèses!$W$11,IF(U300&lt;=Hypothèses!$V$12,Hypothèses!$W$12,IF(U300&lt;=Hypothèses!$V$13,Hypothèses!$W$13,IF(U300&lt;=Hypothèses!$V$14,Hypothèses!$W$14,IF(U300&lt;=Hypothèses!$V$15,Hypothèses!$W$15,IF(U300&lt;=Hypothèses!$V$16,Hypothèses!$W$16,IF(U300&lt;=Hypothèses!$V$17,Hypothèses!$W$17,IF(U300&lt;=Hypothèses!$V$18,Hypothèses!$W$18,""))))))))))))</f>
        <v>#DIV/0!</v>
      </c>
      <c r="AP300" s="87" t="e">
        <f t="shared" ca="1" si="517"/>
        <v>#DIV/0!</v>
      </c>
      <c r="AQ300" s="88" t="e">
        <f ca="1">IF(U300&lt;=Hypothèses!$V$7,Hypothèses!$X$7,IF(U300&lt;=Hypothèses!$V$8,Hypothèses!$X$8,IF(U300&lt;=Hypothèses!$V$9,Hypothèses!$X$9,IF(U300&lt;=Hypothèses!$V$10,Hypothèses!$X$10,IF(U300&lt;=Hypothèses!$V$11,Hypothèses!$X$11,IF(U300&lt;=Hypothèses!$V$12,Hypothèses!$X$12,IF(U300&lt;=Hypothèses!$V$13,Hypothèses!$X$13,IF(U300&lt;=Hypothèses!$V$14,Hypothèses!$X$14,IF(U300&lt;=Hypothèses!$V$15,Hypothèses!$X$15,IF(U300&lt;=Hypothèses!$V$16,Hypothèses!$X$16,IF(U300&lt;=Hypothèses!$U$17,Hypothèses!$W$17,IF(U300&lt;=Hypothèses!$U$18,Hypothèses!$W$18,""))))))))))))</f>
        <v>#DIV/0!</v>
      </c>
      <c r="AR300" s="95" t="e">
        <f t="shared" ca="1" si="472"/>
        <v>#DIV/0!</v>
      </c>
      <c r="AS300" s="101" t="e">
        <f t="shared" si="524"/>
        <v>#N/A</v>
      </c>
      <c r="AT300" s="91" t="e">
        <f t="shared" si="443"/>
        <v>#N/A</v>
      </c>
      <c r="AU300" s="30" t="e">
        <f t="shared" si="502"/>
        <v>#N/A</v>
      </c>
      <c r="AV300" s="30" t="e">
        <f t="shared" si="503"/>
        <v>#N/A</v>
      </c>
      <c r="AW300" s="31" t="e">
        <f>IF(OR(Hypothèses!$B$4=17,Hypothèses!$B$4=18,Hypothèses!$B$4=19,Hypothèses!$B$4=20),
IF($D300="Pressio.",
IF(OR($E300=3,$E300=1,$E300=4),AV300,AU300),
IF($D300="Pénétro.",
IF(OR($E300=3,$E300=1,$E300=4),AV300,AU300))),IF($D300="Pressio.",
IF($E300=3,AV300,AU300),
IF($D300="Pénétro.",
IF($E300=4,AV300,AU300))))</f>
        <v>#N/A</v>
      </c>
      <c r="AX300" s="31" t="e">
        <f>(IF(OR(Hypothèses!$B$4=17,Hypothèses!$B$4=18,Hypothèses!$B$4=19,Hypothèses!$B$4=20),
IF($D300="Pressio.",
IF(OR($E300=3,$E300=1,$E300=4),(PI()*AX$12^2)/4*(AT300*$W300*1000)/($H300*$B$5),(PI()*AX$12^2)/4*(AT300*$W300*1000)/($G300*$B$5)),
IF($D300="Pénétro.",
IF(OR($E300=4,$E300=1,$E300=5),(PI()*AX$12^2)/4*(AT300*$W300*1000)/($H300*$B$5),(PI()*AX$12^2)/4*(AT300*$W300*1000)/($G300*$B$5)))),
IF($D300="Pressio.",
IF($E300=3,(PI()*AX$12^2)/4*(AT300*$W300*1000)/($H300*$B$5),(PI()*AX$12^2)/4*(AT300*$W300*1000)/($G300*$B$5)),
IF($D300="Pénétro.",
IF($E300=4,(PI()*AX$12^2)/4*(AT300*$W300*1000)/($H300*$B$5),(PI()*AX$12^2)/4*(AT300*$W300*1000)/($G300*$B$5))))))/10</f>
        <v>#N/A</v>
      </c>
      <c r="AY300" s="102" t="e">
        <f>(VLOOKUP($B$3,'Coeff EC7'!$T$39:$X$59,2,0)*AW300+VLOOKUP($B$3,'Coeff EC7'!$T$65:$X$85,2,0)*Model0.1C!AX300)/1.1</f>
        <v>#N/A</v>
      </c>
      <c r="AZ300" s="102" t="e">
        <f>(VLOOKUP($B$3,'Coeff EC7'!$T$39:$X$59,3,0)*AW300+VLOOKUP($B$3,'Coeff EC7'!$T$65:$X$85,3,0)*Model0.1C!AX300)/0.9</f>
        <v>#N/A</v>
      </c>
      <c r="BA300" s="102" t="e">
        <f t="shared" si="473"/>
        <v>#N/A</v>
      </c>
      <c r="BB300" s="102" t="e">
        <f t="shared" si="474"/>
        <v>#N/A</v>
      </c>
      <c r="BC300" s="414" t="e">
        <f>IF(BC299=0,0,IF(AND(AY300&gt;charge_ELS_quasi,AZ300&gt;Charge_ELS_freq,BA300&gt;charge_ELU,BB300&gt;charge_ELA,$B300&gt;NDC!$H$22-0.1+MIN(3*$BC$12,1.5)),0,1))</f>
        <v>#N/A</v>
      </c>
      <c r="BD300" s="86" t="b">
        <f t="shared" si="444"/>
        <v>0</v>
      </c>
      <c r="BE300" s="86">
        <f t="shared" si="475"/>
        <v>0.5</v>
      </c>
      <c r="BF300" s="86">
        <f t="shared" si="445"/>
        <v>0.5</v>
      </c>
      <c r="BG300" s="30" t="e">
        <f t="shared" ca="1" si="476"/>
        <v>#DIV/0!</v>
      </c>
      <c r="BH300" s="85" t="e">
        <f ca="1">IF(AN300&lt;=Hypothèses!$V$7,Hypothèses!$W$7,IF(AN300&lt;=Hypothèses!$V$8,Hypothèses!$W$8,IF(AN300&lt;=Hypothèses!$V$9,Hypothèses!$W$9,IF(AN300&lt;=Hypothèses!$V$10,Hypothèses!$W$10,IF(AN300&lt;=Hypothèses!$V$11,Hypothèses!$W$11,IF(AN300&lt;=Hypothèses!$V$12,Hypothèses!$W$12,IF(AN300&lt;=Hypothèses!$V$13,Hypothèses!$W$13,IF(AN300&lt;=Hypothèses!$V$14,Hypothèses!$W$14,IF(AN300&lt;=Hypothèses!$V$15,Hypothèses!$W$15,IF(AN300&lt;=Hypothèses!$V$16,Hypothèses!$W$16,IF(AN300&lt;=Hypothèses!$V$17,Hypothèses!$W$17,IF(AN300&lt;=Hypothèses!$V$18,Hypothèses!$W$18,""))))))))))))</f>
        <v>#DIV/0!</v>
      </c>
      <c r="BI300" s="87" t="e">
        <f t="shared" ca="1" si="518"/>
        <v>#DIV/0!</v>
      </c>
      <c r="BJ300" s="88" t="e">
        <f ca="1">IF(AN300&lt;=Hypothèses!$V$7,Hypothèses!$X$7,IF(AN300&lt;=Hypothèses!$V$8,Hypothèses!$X$8,IF(AN300&lt;=Hypothèses!$V$9,Hypothèses!$X$9,IF(AN300&lt;=Hypothèses!$V$10,Hypothèses!$X$10,IF(AN300&lt;=Hypothèses!$V$11,Hypothèses!$X$11,IF(AN300&lt;=Hypothèses!$V$12,Hypothèses!$X$12,IF(AN300&lt;=Hypothèses!$V$13,Hypothèses!$X$13,IF(AN300&lt;=Hypothèses!$V$14,Hypothèses!$X$14,IF(AN300&lt;=Hypothèses!$V$15,Hypothèses!$X$15,IF(AN300&lt;=Hypothèses!$V$16,Hypothèses!$X$16,IF(AN300&lt;=Hypothèses!$U$17,Hypothèses!$W$17,IF(AN300&lt;=Hypothèses!$U$18,Hypothèses!$W$18,""))))))))))))</f>
        <v>#DIV/0!</v>
      </c>
      <c r="BK300" s="95" t="e">
        <f t="shared" ca="1" si="477"/>
        <v>#DIV/0!</v>
      </c>
      <c r="BL300" s="101" t="e">
        <f t="shared" si="525"/>
        <v>#N/A</v>
      </c>
      <c r="BM300" s="91" t="e">
        <f t="shared" si="446"/>
        <v>#N/A</v>
      </c>
      <c r="BN300" s="30" t="e">
        <f t="shared" si="504"/>
        <v>#N/A</v>
      </c>
      <c r="BO300" s="30" t="e">
        <f t="shared" si="505"/>
        <v>#N/A</v>
      </c>
      <c r="BP300" s="31" t="e">
        <f>IF(OR(Hypothèses!$B$4=17,Hypothèses!$B$4=18,Hypothèses!$B$4=19,Hypothèses!$B$4=20),
IF($D300="Pressio.",
IF(OR($E300=3,$E300=1,$E300=4),BO300,BN300),
IF($D300="Pénétro.",
IF(OR($E300=3,$E300=1,$E300=4),BO300,BN300))),IF($D300="Pressio.",
IF($E300=3,BO300,BN300),
IF($D300="Pénétro.",
IF($E300=4,BO300,BN300))))</f>
        <v>#N/A</v>
      </c>
      <c r="BQ300" s="31" t="e">
        <f>(IF(OR(Hypothèses!$B$4=17,Hypothèses!$B$4=18,Hypothèses!$B$4=19,Hypothèses!$B$4=20),
IF($D300="Pressio.",
IF(OR($E300=3,$E300=1,$E300=4),(PI()*BQ$12^2)/4*(BM300*$W300*1000)/($H300*$B$5),(PI()*BQ$12^2)/4*(BM300*$W300*1000)/($G300*$B$5)),
IF($D300="Pénétro.",
IF(OR($E300=4,$E300=1,$E300=5),(PI()*BQ$12^2)/4*(BM300*$W300*1000)/($H300*$B$5),(PI()*BQ$12^2)/4*(BM300*$W300*1000)/($G300*$B$5)))),
IF($D300="Pressio.",
IF($E300=3,(PI()*BQ$12^2)/4*(BM300*$W300*1000)/($H300*$B$5),(PI()*BQ$12^2)/4*(BM300*$W300*1000)/($G300*$B$5)),
IF($D300="Pénétro.",
IF($E300=4,(PI()*BQ$12^2)/4*(BM300*$W300*1000)/($H300*$B$5),(PI()*BQ$12^2)/4*(BM300*$W300*1000)/($G300*$B$5))))))/10</f>
        <v>#N/A</v>
      </c>
      <c r="BR300" s="102" t="e">
        <f>(VLOOKUP($B$3,'Coeff EC7'!$T$39:$X$59,2,0)*BP300+VLOOKUP($B$3,'Coeff EC7'!$T$65:$X$85,2,0)*Model0.1C!BQ300)/1.1</f>
        <v>#N/A</v>
      </c>
      <c r="BS300" s="102" t="e">
        <f>(VLOOKUP($B$3,'Coeff EC7'!$T$39:$X$59,3,0)*BP300+VLOOKUP($B$3,'Coeff EC7'!$T$65:$X$85,3,0)*Model0.1C!BQ300)/0.9</f>
        <v>#N/A</v>
      </c>
      <c r="BT300" s="102" t="e">
        <f t="shared" si="478"/>
        <v>#N/A</v>
      </c>
      <c r="BU300" s="102" t="e">
        <f t="shared" si="479"/>
        <v>#N/A</v>
      </c>
      <c r="BV300" s="414" t="e">
        <f>IF(BV299=0,0,IF(AND(BR300&gt;charge_ELS_quasi,BS300&gt;Charge_ELS_freq,BT300&gt;charge_ELU,BU300&gt;charge_ELA,$B300&gt;NDC!$H$22-0.1+MIN(3*$BV$12,1.5)),0,1))</f>
        <v>#N/A</v>
      </c>
      <c r="BW300" s="86" t="b">
        <f t="shared" si="447"/>
        <v>0</v>
      </c>
      <c r="BX300" s="86">
        <f t="shared" si="448"/>
        <v>0.5</v>
      </c>
      <c r="BY300" s="86">
        <f t="shared" si="449"/>
        <v>0.5</v>
      </c>
      <c r="BZ300" s="30" t="e">
        <f t="shared" ca="1" si="480"/>
        <v>#DIV/0!</v>
      </c>
      <c r="CA300" s="85" t="e">
        <f ca="1">IF(BG300&lt;=Hypothèses!$V$7,Hypothèses!$W$7,IF(BG300&lt;=Hypothèses!$V$8,Hypothèses!$W$8,IF(BG300&lt;=Hypothèses!$V$9,Hypothèses!$W$9,IF(BG300&lt;=Hypothèses!$V$10,Hypothèses!$W$10,IF(BG300&lt;=Hypothèses!$V$11,Hypothèses!$W$11,IF(BG300&lt;=Hypothèses!$V$12,Hypothèses!$W$12,IF(BG300&lt;=Hypothèses!$V$13,Hypothèses!$W$13,IF(BG300&lt;=Hypothèses!$V$14,Hypothèses!$W$14,IF(BG300&lt;=Hypothèses!$V$15,Hypothèses!$W$15,IF(BG300&lt;=Hypothèses!$V$16,Hypothèses!$W$16,IF(BG300&lt;=Hypothèses!$V$17,Hypothèses!$W$17,IF(BG300&lt;=Hypothèses!$V$18,Hypothèses!$W$18,""))))))))))))</f>
        <v>#DIV/0!</v>
      </c>
      <c r="CB300" s="87" t="e">
        <f t="shared" ca="1" si="519"/>
        <v>#DIV/0!</v>
      </c>
      <c r="CC300" s="88" t="e">
        <f ca="1">IF(BG300&lt;=Hypothèses!$V$7,Hypothèses!$X$7,IF(BG300&lt;=Hypothèses!$V$8,Hypothèses!$X$8,IF(BG300&lt;=Hypothèses!$V$9,Hypothèses!$X$9,IF(BG300&lt;=Hypothèses!$V$10,Hypothèses!$X$10,IF(BG300&lt;=Hypothèses!$V$11,Hypothèses!$X$11,IF(BG300&lt;=Hypothèses!$V$12,Hypothèses!$X$12,IF(BG300&lt;=Hypothèses!$V$13,Hypothèses!$X$13,IF(BG300&lt;=Hypothèses!$V$14,Hypothèses!$X$14,IF(BG300&lt;=Hypothèses!$V$15,Hypothèses!$X$15,IF(BG300&lt;=Hypothèses!$V$16,Hypothèses!$X$16,IF(BG300&lt;=Hypothèses!$U$17,Hypothèses!$W$17,IF(BG300&lt;=Hypothèses!$U$18,Hypothèses!$W$18,""))))))))))))</f>
        <v>#DIV/0!</v>
      </c>
      <c r="CD300" s="95" t="e">
        <f t="shared" ca="1" si="481"/>
        <v>#DIV/0!</v>
      </c>
      <c r="CE300" s="101" t="e">
        <f t="shared" si="526"/>
        <v>#N/A</v>
      </c>
      <c r="CF300" s="91" t="e">
        <f t="shared" si="450"/>
        <v>#N/A</v>
      </c>
      <c r="CG300" s="30" t="e">
        <f t="shared" si="506"/>
        <v>#N/A</v>
      </c>
      <c r="CH300" s="30" t="e">
        <f t="shared" si="507"/>
        <v>#N/A</v>
      </c>
      <c r="CI300" s="31" t="e">
        <f>IF(OR(Hypothèses!$B$4=17,Hypothèses!$B$4=18,Hypothèses!$B$4=19,Hypothèses!$B$4=20),
IF($D300="Pressio.",
IF(OR($E300=3,$E300=1,$E300=4),CH300,CG300),
IF($D300="Pénétro.",
IF(OR($E300=3,$E300=1,$E300=4),CH300,CG300))),IF($D300="Pressio.",
IF($E300=3,CH300,CG300),
IF($D300="Pénétro.",
IF($E300=4,CH300,CG300))))</f>
        <v>#N/A</v>
      </c>
      <c r="CJ300" s="31" t="e">
        <f>(IF(OR(Hypothèses!$B$4=17,Hypothèses!$B$4=18,Hypothèses!$B$4=19,Hypothèses!$B$4=20),
IF($D300="Pressio.",
IF(OR($E300=3,$E300=1,$E300=4),(PI()*CJ$12^2)/4*(CF300*$W300*1000)/($H300*$B$5),(PI()*CJ$12^2)/4*(CF300*$W300*1000)/($G300*$B$5)),
IF($D300="Pénétro.",
IF(OR($E300=4,$E300=1,$E300=5),(PI()*CJ$12^2)/4*(CF300*$W300*1000)/($H300*$B$5),(PI()*CJ$12^2)/4*(CF300*$W300*1000)/($G300*$B$5)))),
IF($D300="Pressio.",
IF($E300=3,(PI()*CJ$12^2)/4*(CF300*$W300*1000)/($H300*$B$5),(PI()*CJ$12^2)/4*(CF300*$W300*1000)/($G300*$B$5)),
IF($D300="Pénétro.",
IF($E300=4,(PI()*CJ$12^2)/4*(CF300*$W300*1000)/($H300*$B$5),(PI()*CJ$12^2)/4*(CF300*$W300*1000)/($G300*$B$5))))))/10</f>
        <v>#N/A</v>
      </c>
      <c r="CK300" s="102" t="e">
        <f>(VLOOKUP($B$3,'Coeff EC7'!$T$39:$X$59,2,0)*CI300+VLOOKUP($B$3,'Coeff EC7'!$T$65:$X$85,2,0)*Model0.1C!CJ300)/1.1</f>
        <v>#N/A</v>
      </c>
      <c r="CL300" s="102" t="e">
        <f>(VLOOKUP($B$3,'Coeff EC7'!$T$39:$X$59,3,0)*CI300+VLOOKUP($B$3,'Coeff EC7'!$T$65:$X$85,3,0)*Model0.1C!CJ300)/0.9</f>
        <v>#N/A</v>
      </c>
      <c r="CM300" s="102" t="e">
        <f t="shared" si="482"/>
        <v>#N/A</v>
      </c>
      <c r="CN300" s="102" t="e">
        <f t="shared" si="483"/>
        <v>#N/A</v>
      </c>
      <c r="CO300" s="414" t="e">
        <f>IF(CO299=0,0,IF(AND(CK300&gt;charge_ELS_quasi,CL300&gt;Charge_ELS_freq,CM300&gt;charge_ELU,CN300&gt;charge_ELA,$B300&gt;NDC!$H$22-0.1+MIN(3*$CO$12,1.5)),0,1))</f>
        <v>#N/A</v>
      </c>
      <c r="CP300" s="86" t="b">
        <f t="shared" si="451"/>
        <v>0</v>
      </c>
      <c r="CQ300" s="86">
        <f t="shared" si="452"/>
        <v>0.5</v>
      </c>
      <c r="CR300" s="86">
        <f t="shared" si="453"/>
        <v>0.5</v>
      </c>
      <c r="CS300" s="30" t="e">
        <f t="shared" ca="1" si="484"/>
        <v>#DIV/0!</v>
      </c>
      <c r="CT300" s="85" t="e">
        <f ca="1">IF(BZ300&lt;=Hypothèses!$V$7,Hypothèses!$W$7,IF(BZ300&lt;=Hypothèses!$V$8,Hypothèses!$W$8,IF(BZ300&lt;=Hypothèses!$V$9,Hypothèses!$W$9,IF(BZ300&lt;=Hypothèses!$V$10,Hypothèses!$W$10,IF(BZ300&lt;=Hypothèses!$V$11,Hypothèses!$W$11,IF(BZ300&lt;=Hypothèses!$V$12,Hypothèses!$W$12,IF(BZ300&lt;=Hypothèses!$V$13,Hypothèses!$W$13,IF(BZ300&lt;=Hypothèses!$V$14,Hypothèses!$W$14,IF(BZ300&lt;=Hypothèses!$V$15,Hypothèses!$W$15,IF(BZ300&lt;=Hypothèses!$V$16,Hypothèses!$W$16,IF(BZ300&lt;=Hypothèses!$V$17,Hypothèses!$W$17,IF(BZ300&lt;=Hypothèses!$V$18,Hypothèses!$W$18,""))))))))))))</f>
        <v>#DIV/0!</v>
      </c>
      <c r="CU300" s="87" t="e">
        <f t="shared" ca="1" si="520"/>
        <v>#DIV/0!</v>
      </c>
      <c r="CV300" s="88" t="e">
        <f ca="1">IF(BZ300&lt;=Hypothèses!$V$7,Hypothèses!$X$7,IF(BZ300&lt;=Hypothèses!$V$8,Hypothèses!$X$8,IF(BZ300&lt;=Hypothèses!$V$9,Hypothèses!$X$9,IF(BZ300&lt;=Hypothèses!$V$10,Hypothèses!$X$10,IF(BZ300&lt;=Hypothèses!$V$11,Hypothèses!$X$11,IF(BZ300&lt;=Hypothèses!$V$12,Hypothèses!$X$12,IF(BZ300&lt;=Hypothèses!$V$13,Hypothèses!$X$13,IF(BZ300&lt;=Hypothèses!$V$14,Hypothèses!$X$14,IF(BZ300&lt;=Hypothèses!$V$15,Hypothèses!$X$15,IF(BZ300&lt;=Hypothèses!$V$16,Hypothèses!$X$16,IF(BZ300&lt;=Hypothèses!$U$17,Hypothèses!$W$17,IF(BZ300&lt;=Hypothèses!$U$18,Hypothèses!$W$18,""))))))))))))</f>
        <v>#DIV/0!</v>
      </c>
      <c r="CW300" s="95" t="e">
        <f t="shared" ca="1" si="485"/>
        <v>#DIV/0!</v>
      </c>
      <c r="CX300" s="101" t="e">
        <f t="shared" si="527"/>
        <v>#N/A</v>
      </c>
      <c r="CY300" s="91" t="e">
        <f t="shared" si="454"/>
        <v>#N/A</v>
      </c>
      <c r="CZ300" s="30" t="e">
        <f t="shared" si="508"/>
        <v>#N/A</v>
      </c>
      <c r="DA300" s="30" t="e">
        <f t="shared" si="509"/>
        <v>#N/A</v>
      </c>
      <c r="DB300" s="31" t="e">
        <f>IF(OR(Hypothèses!$B$4=17,Hypothèses!$B$4=18,Hypothèses!$B$4=19,Hypothèses!$B$4=20),
IF($D300="Pressio.",
IF(OR($E300=3,$E300=1,$E300=4),DA300,CZ300),
IF($D300="Pénétro.",
IF(OR($E300=3,$E300=1,$E300=4),DA300,CZ300))),IF($D300="Pressio.",
IF($E300=3,DA300,CZ300),
IF($D300="Pénétro.",
IF($E300=4,DA300,CZ300))))</f>
        <v>#N/A</v>
      </c>
      <c r="DC300" s="31" t="e">
        <f>(IF(OR(Hypothèses!$B$4=17,Hypothèses!$B$4=18,Hypothèses!$B$4=19,Hypothèses!$B$4=20),
IF($D300="Pressio.",
IF(OR($E300=3,$E300=1,$E300=4),(PI()*DC$12^2)/4*(CY300*$W300*1000)/($H300*$B$5),(PI()*DC$12^2)/4*(CY300*$W300*1000)/($G300*$B$5)),
IF($D300="Pénétro.",
IF(OR($E300=4,$E300=1,$E300=5),(PI()*DC$12^2)/4*(CY300*$W300*1000)/($H300*$B$5),(PI()*DC$12^2)/4*(CY300*$W300*1000)/($G300*$B$5)))),
IF($D300="Pressio.",
IF($E300=3,(PI()*DC$12^2)/4*(CY300*$W300*1000)/($H300*$B$5),(PI()*DC$12^2)/4*(CY300*$W300*1000)/($G300*$B$5)),
IF($D300="Pénétro.",
IF($E300=4,(PI()*DC$12^2)/4*(CY300*$W300*1000)/($H300*$B$5),(PI()*DC$12^2)/4*(CY300*$W300*1000)/($G300*$B$5))))))/10</f>
        <v>#N/A</v>
      </c>
      <c r="DD300" s="102" t="e">
        <f>(VLOOKUP($B$3,'Coeff EC7'!$T$39:$X$59,2,0)*DB300+VLOOKUP($B$3,'Coeff EC7'!$T$65:$X$85,2,0)*Model0.1C!DC300)/1.1</f>
        <v>#N/A</v>
      </c>
      <c r="DE300" s="102" t="e">
        <f>(VLOOKUP($B$3,'Coeff EC7'!$T$39:$X$59,3,0)*DB300+VLOOKUP($B$3,'Coeff EC7'!$T$65:$X$85,3,0)*Model0.1C!DC300)/0.9</f>
        <v>#N/A</v>
      </c>
      <c r="DF300" s="102" t="e">
        <f t="shared" si="486"/>
        <v>#N/A</v>
      </c>
      <c r="DG300" s="102" t="e">
        <f t="shared" si="487"/>
        <v>#N/A</v>
      </c>
      <c r="DH300" s="414" t="e">
        <f>IF(DH299=0,0,IF(AND(DD300&gt;charge_ELS_quasi,DE300&gt;Charge_ELS_freq,DF300&gt;charge_ELU,DG300&gt;charge_ELA,$B300&gt;NDC!$H$22-0.1+MIN(3*$DH$12,1.5)),0,1))</f>
        <v>#N/A</v>
      </c>
      <c r="DI300" s="86" t="b">
        <f t="shared" si="455"/>
        <v>0</v>
      </c>
      <c r="DJ300" s="86">
        <f t="shared" si="456"/>
        <v>0.5</v>
      </c>
      <c r="DK300" s="86">
        <f t="shared" si="457"/>
        <v>0.5</v>
      </c>
      <c r="DL300" s="30" t="e">
        <f t="shared" ca="1" si="488"/>
        <v>#DIV/0!</v>
      </c>
      <c r="DM300" s="85" t="e">
        <f ca="1">IF(CS300&lt;=Hypothèses!$V$7,Hypothèses!$W$7,IF(CS300&lt;=Hypothèses!$V$8,Hypothèses!$W$8,IF(CS300&lt;=Hypothèses!$V$9,Hypothèses!$W$9,IF(CS300&lt;=Hypothèses!$V$10,Hypothèses!$W$10,IF(CS300&lt;=Hypothèses!$V$11,Hypothèses!$W$11,IF(CS300&lt;=Hypothèses!$V$12,Hypothèses!$W$12,IF(CS300&lt;=Hypothèses!$V$13,Hypothèses!$W$13,IF(CS300&lt;=Hypothèses!$V$14,Hypothèses!$W$14,IF(CS300&lt;=Hypothèses!$V$15,Hypothèses!$W$15,IF(CS300&lt;=Hypothèses!$V$16,Hypothèses!$W$16,IF(CS300&lt;=Hypothèses!$V$17,Hypothèses!$W$17,IF(CS300&lt;=Hypothèses!$V$18,Hypothèses!$W$18,""))))))))))))</f>
        <v>#DIV/0!</v>
      </c>
      <c r="DN300" s="87" t="e">
        <f t="shared" ca="1" si="521"/>
        <v>#DIV/0!</v>
      </c>
      <c r="DO300" s="88" t="e">
        <f ca="1">IF(CS300&lt;=Hypothèses!$V$7,Hypothèses!$X$7,IF(CS300&lt;=Hypothèses!$V$8,Hypothèses!$X$8,IF(CS300&lt;=Hypothèses!$V$9,Hypothèses!$X$9,IF(CS300&lt;=Hypothèses!$V$10,Hypothèses!$X$10,IF(CS300&lt;=Hypothèses!$V$11,Hypothèses!$X$11,IF(CS300&lt;=Hypothèses!$V$12,Hypothèses!$X$12,IF(CS300&lt;=Hypothèses!$V$13,Hypothèses!$X$13,IF(CS300&lt;=Hypothèses!$V$14,Hypothèses!$X$14,IF(CS300&lt;=Hypothèses!$V$15,Hypothèses!$X$15,IF(CS300&lt;=Hypothèses!$V$16,Hypothèses!$X$16,IF(CS300&lt;=Hypothèses!$U$17,Hypothèses!$W$17,IF(CS300&lt;=Hypothèses!$U$18,Hypothèses!$W$18,""))))))))))))</f>
        <v>#DIV/0!</v>
      </c>
      <c r="DP300" s="95" t="e">
        <f t="shared" ca="1" si="489"/>
        <v>#DIV/0!</v>
      </c>
      <c r="DQ300" s="101" t="e">
        <f t="shared" si="528"/>
        <v>#N/A</v>
      </c>
      <c r="DR300" s="91" t="e">
        <f t="shared" si="458"/>
        <v>#N/A</v>
      </c>
      <c r="DS300" s="30" t="e">
        <f t="shared" si="510"/>
        <v>#N/A</v>
      </c>
      <c r="DT300" s="30" t="e">
        <f t="shared" si="511"/>
        <v>#N/A</v>
      </c>
      <c r="DU300" s="31" t="e">
        <f>IF(OR(Hypothèses!$B$4=17,Hypothèses!$B$4=18,Hypothèses!$B$4=19,Hypothèses!$B$4=20),
IF($D300="Pressio.",
IF(OR($E300=3,$E300=1,$E300=4),DT300,DS300),
IF($D300="Pénétro.",
IF(OR($E300=3,$E300=1,$E300=4),DT300,DS300))),IF($D300="Pressio.",
IF($E300=3,DT300,DS300),
IF($D300="Pénétro.",
IF($E300=4,DT300,DS300))))</f>
        <v>#N/A</v>
      </c>
      <c r="DV300" s="31" t="e">
        <f>(IF(OR(Hypothèses!$B$4=17,Hypothèses!$B$4=18,Hypothèses!$B$4=19,Hypothèses!$B$4=20),
IF($D300="Pressio.",
IF(OR($E300=3,$E300=1,$E300=4),(PI()*DV$12^2)/4*(DR300*$W300*1000)/($H300*$B$5),(PI()*DV$12^2)/4*(DR300*$W300*1000)/($G300*$B$5)),
IF($D300="Pénétro.",
IF(OR($E300=4,$E300=1,$E300=5),(PI()*DV$12^2)/4*(DR300*$W300*1000)/($H300*$B$5),(PI()*DV$12^2)/4*(DR300*$W300*1000)/($G300*$B$5)))),
IF($D300="Pressio.",
IF($E300=3,(PI()*DV$12^2)/4*(DR300*$W300*1000)/($H300*$B$5),(PI()*DV$12^2)/4*(DR300*$W300*1000)/($G300*$B$5)),
IF($D300="Pénétro.",
IF($E300=4,(PI()*DV$12^2)/4*(DR300*$W300*1000)/($H300*$B$5),(PI()*DV$12^2)/4*(DR300*$W300*1000)/($G300*$B$5))))))/10</f>
        <v>#N/A</v>
      </c>
      <c r="DW300" s="102" t="e">
        <f>(VLOOKUP($B$3,'Coeff EC7'!$T$39:$X$59,2,0)*DU300+VLOOKUP($B$3,'Coeff EC7'!$T$65:$X$85,2,0)*Model0.1C!DV300)/1.1</f>
        <v>#N/A</v>
      </c>
      <c r="DX300" s="102" t="e">
        <f>(VLOOKUP($B$3,'Coeff EC7'!$T$39:$X$59,3,0)*DU300+VLOOKUP($B$3,'Coeff EC7'!$T$65:$X$85,3,0)*Model0.1C!DV300)/0.9</f>
        <v>#N/A</v>
      </c>
      <c r="DY300" s="102" t="e">
        <f t="shared" si="490"/>
        <v>#N/A</v>
      </c>
      <c r="DZ300" s="102" t="e">
        <f t="shared" si="491"/>
        <v>#N/A</v>
      </c>
      <c r="EA300" s="414" t="e">
        <f>IF(EA299=0,0,IF(AND(DW300&gt;charge_ELS_quasi,DX300&gt;Charge_ELS_freq,DY300&gt;charge_ELU,DZ300&gt;charge_ELA,$B300&gt;NDC!$H$22-0.1+MIN(3*$EA$12,1.5)),0,1))</f>
        <v>#N/A</v>
      </c>
      <c r="EB300" s="86" t="b">
        <f t="shared" si="459"/>
        <v>0</v>
      </c>
      <c r="EC300" s="418">
        <f t="shared" si="460"/>
        <v>0.51</v>
      </c>
      <c r="ED300" s="86">
        <f t="shared" si="461"/>
        <v>0.51</v>
      </c>
      <c r="EE300" s="30" t="e">
        <f t="shared" ca="1" si="492"/>
        <v>#DIV/0!</v>
      </c>
      <c r="EF300" s="85" t="e">
        <f ca="1">IF(DL300&lt;=Hypothèses!$V$7,Hypothèses!$W$7,IF(DL300&lt;=Hypothèses!$V$8,Hypothèses!$W$8,IF(DL300&lt;=Hypothèses!$V$9,Hypothèses!$W$9,IF(DL300&lt;=Hypothèses!$V$10,Hypothèses!$W$10,IF(DL300&lt;=Hypothèses!$V$11,Hypothèses!$W$11,IF(DL300&lt;=Hypothèses!$V$12,Hypothèses!$W$12,IF(DL300&lt;=Hypothèses!$V$13,Hypothèses!$W$13,IF(DL300&lt;=Hypothèses!$V$14,Hypothèses!$W$14,IF(DL300&lt;=Hypothèses!$V$15,Hypothèses!$W$15,IF(DL300&lt;=Hypothèses!$V$16,Hypothèses!$W$16,IF(DL300&lt;=Hypothèses!$V$17,Hypothèses!$W$17,IF(DL300&lt;=Hypothèses!$V$18,Hypothèses!$W$18,""))))))))))))</f>
        <v>#DIV/0!</v>
      </c>
      <c r="EG300" s="87" t="e">
        <f t="shared" ca="1" si="522"/>
        <v>#DIV/0!</v>
      </c>
      <c r="EH300" s="88" t="e">
        <f ca="1">IF(DL300&lt;=Hypothèses!$V$7,Hypothèses!$X$7,IF(DL300&lt;=Hypothèses!$V$8,Hypothèses!$X$8,IF(DL300&lt;=Hypothèses!$V$9,Hypothèses!$X$9,IF(DL300&lt;=Hypothèses!$V$10,Hypothèses!$X$10,IF(DL300&lt;=Hypothèses!$V$11,Hypothèses!$X$11,IF(DL300&lt;=Hypothèses!$V$12,Hypothèses!$X$12,IF(DL300&lt;=Hypothèses!$V$13,Hypothèses!$X$13,IF(DL300&lt;=Hypothèses!$V$14,Hypothèses!$X$14,IF(DL300&lt;=Hypothèses!$V$15,Hypothèses!$X$15,IF(DL300&lt;=Hypothèses!$V$16,Hypothèses!$X$16,IF(DL300&lt;=Hypothèses!$U$17,Hypothèses!$W$17,IF(DL300&lt;=Hypothèses!$U$18,Hypothèses!$W$18,""))))))))))))</f>
        <v>#DIV/0!</v>
      </c>
      <c r="EI300" s="95" t="e">
        <f t="shared" ca="1" si="493"/>
        <v>#DIV/0!</v>
      </c>
      <c r="EJ300" s="101" t="e">
        <f t="shared" si="529"/>
        <v>#N/A</v>
      </c>
      <c r="EK300" s="91" t="e">
        <f t="shared" si="462"/>
        <v>#N/A</v>
      </c>
      <c r="EL300" s="30" t="e">
        <f t="shared" si="512"/>
        <v>#N/A</v>
      </c>
      <c r="EM300" s="30" t="e">
        <f t="shared" si="513"/>
        <v>#N/A</v>
      </c>
      <c r="EN300" s="31" t="e">
        <f>IF(OR(Hypothèses!$B$4=17,Hypothèses!$B$4=18,Hypothèses!$B$4=19,Hypothèses!$B$4=20),
IF($D300="Pressio.",
IF(OR($E300=3,$E300=1,$E300=4),EM300,EL300),
IF($D300="Pénétro.",
IF(OR($E300=3,$E300=1,$E300=4),EM300,EL300))),IF($D300="Pressio.",
IF($E300=3,EM300,EL300),
IF($D300="Pénétro.",
IF($E300=4,EM300,EL300))))</f>
        <v>#N/A</v>
      </c>
      <c r="EO300" s="31" t="e">
        <f>(IF(OR(Hypothèses!$B$4=17,Hypothèses!$B$4=18,Hypothèses!$B$4=19,Hypothèses!$B$4=20),
IF($D300="Pressio.",
IF(OR($E300=3,$E300=1,$E300=4),(PI()*EO$12^2)/4*(EK300*$W300*1000)/($H300*$B$5),(PI()*EO$12^2)/4*(EK300*$W300*1000)/($G300*$B$5)),
IF($D300="Pénétro.",
IF(OR($E300=4,$E300=1,$E300=5),(PI()*EO$12^2)/4*(EK300*$W300*1000)/($H300*$B$5),(PI()*EO$12^2)/4*(EK300*$W300*1000)/($G300*$B$5)))),
IF($D300="Pressio.",
IF($E300=3,(PI()*EO$12^2)/4*(EK300*$W300*1000)/($H300*$B$5),(PI()*EO$12^2)/4*(EK300*$W300*1000)/($G300*$B$5)),
IF($D300="Pénétro.",
IF($E300=4,(PI()*EO$12^2)/4*(EK300*$W300*1000)/($H300*$B$5),(PI()*EO$12^2)/4*(EK300*$W300*1000)/($G300*$B$5))))))/10</f>
        <v>#N/A</v>
      </c>
      <c r="EP300" s="102" t="e">
        <f>(VLOOKUP($B$3,'Coeff EC7'!$T$39:$X$59,2,0)*EN300+VLOOKUP($B$3,'Coeff EC7'!$T$65:$X$85,2,0)*Model0.1C!EO300)/1.1</f>
        <v>#N/A</v>
      </c>
      <c r="EQ300" s="102" t="e">
        <f>(VLOOKUP($B$3,'Coeff EC7'!$T$39:$X$59,3,0)*EN300+VLOOKUP($B$3,'Coeff EC7'!$T$65:$X$85,3,0)*Model0.1C!EO300)/0.9</f>
        <v>#N/A</v>
      </c>
      <c r="ER300" s="102" t="e">
        <f t="shared" si="494"/>
        <v>#N/A</v>
      </c>
      <c r="ES300" s="102" t="e">
        <f t="shared" si="495"/>
        <v>#N/A</v>
      </c>
      <c r="ET300" s="414" t="e">
        <f>IF(ET299=0,0,IF(AND(EP300&gt;charge_ELS_quasi,EQ300&gt;Charge_ELS_freq,ER300&gt;charge_ELU,ES300&gt;charge_ELA,$B300&gt;NDC!$H$22-0.1+MIN(3*$ET$12,1.5)),0,1))</f>
        <v>#N/A</v>
      </c>
      <c r="EU300" s="86" t="b">
        <f t="shared" si="463"/>
        <v>0</v>
      </c>
      <c r="EV300" s="86">
        <f t="shared" si="464"/>
        <v>0.61</v>
      </c>
      <c r="EW300" s="86">
        <f t="shared" si="465"/>
        <v>0.61</v>
      </c>
      <c r="EX300" s="30" t="e">
        <f t="shared" ca="1" si="496"/>
        <v>#DIV/0!</v>
      </c>
      <c r="EY300" s="85" t="e">
        <f ca="1">IF(EE300&lt;=Hypothèses!$V$7,Hypothèses!$W$7,IF(EE300&lt;=Hypothèses!$V$8,Hypothèses!$W$8,IF(EE300&lt;=Hypothèses!$V$9,Hypothèses!$W$9,IF(EE300&lt;=Hypothèses!$V$10,Hypothèses!$W$10,IF(EE300&lt;=Hypothèses!$V$11,Hypothèses!$W$11,IF(EE300&lt;=Hypothèses!$V$12,Hypothèses!$W$12,IF(EE300&lt;=Hypothèses!$V$13,Hypothèses!$W$13,IF(EE300&lt;=Hypothèses!$V$14,Hypothèses!$W$14,IF(EE300&lt;=Hypothèses!$V$15,Hypothèses!$W$15,IF(EE300&lt;=Hypothèses!$V$16,Hypothèses!$W$16,IF(EE300&lt;=Hypothèses!$V$17,Hypothèses!$W$17,IF(EE300&lt;=Hypothèses!$V$18,Hypothèses!$W$18,""))))))))))))</f>
        <v>#DIV/0!</v>
      </c>
      <c r="EZ300" s="87" t="e">
        <f t="shared" ca="1" si="523"/>
        <v>#DIV/0!</v>
      </c>
      <c r="FA300" s="88" t="e">
        <f ca="1">IF(EE300&lt;=Hypothèses!$V$7,Hypothèses!$X$7,IF(EE300&lt;=Hypothèses!$V$8,Hypothèses!$X$8,IF(EE300&lt;=Hypothèses!$V$9,Hypothèses!$X$9,IF(EE300&lt;=Hypothèses!$V$10,Hypothèses!$X$10,IF(EE300&lt;=Hypothèses!$V$11,Hypothèses!$X$11,IF(EE300&lt;=Hypothèses!$V$12,Hypothèses!$X$12,IF(EE300&lt;=Hypothèses!$V$13,Hypothèses!$X$13,IF(EE300&lt;=Hypothèses!$V$14,Hypothèses!$X$14,IF(EE300&lt;=Hypothèses!$V$15,Hypothèses!$X$15,IF(EE300&lt;=Hypothèses!$V$16,Hypothèses!$X$16,IF(EE300&lt;=Hypothèses!$U$17,Hypothèses!$W$17,IF(EE300&lt;=Hypothèses!$U$18,Hypothèses!$W$18,""))))))))))))</f>
        <v>#DIV/0!</v>
      </c>
      <c r="FB300" s="95" t="e">
        <f t="shared" ca="1" si="497"/>
        <v>#DIV/0!</v>
      </c>
      <c r="FC300" s="101" t="e">
        <f t="shared" si="530"/>
        <v>#N/A</v>
      </c>
      <c r="FD300" s="91" t="e">
        <f t="shared" si="466"/>
        <v>#N/A</v>
      </c>
      <c r="FE300" s="30" t="e">
        <f t="shared" si="514"/>
        <v>#N/A</v>
      </c>
      <c r="FF300" s="30" t="e">
        <f t="shared" si="515"/>
        <v>#N/A</v>
      </c>
      <c r="FG300" s="31" t="e">
        <f>IF(OR(Hypothèses!$B$4=17,Hypothèses!$B$4=18,Hypothèses!$B$4=19,Hypothèses!$B$4=20),
IF($D300="Pressio.",
IF(OR($E300=3,$E300=1,$E300=4),FF300,FE300),
IF($D300="Pénétro.",
IF(OR($E300=3,$E300=1,$E300=4),FF300,FE300))),IF($D300="Pressio.",
IF($E300=3,FF300,FE300),
IF($D300="Pénétro.",
IF($E300=4,FF300,FE300))))</f>
        <v>#N/A</v>
      </c>
      <c r="FH300" s="31" t="e">
        <f>(IF(OR(Hypothèses!$B$4=17,Hypothèses!$B$4=18,Hypothèses!$B$4=19,Hypothèses!$B$4=20),
IF($D300="Pressio.",
IF(OR($E300=3,$E300=1,$E300=4),(PI()*FH$12^2)/4*(FD300*$W300*1000)/($H300*$B$5),(PI()*FH$12^2)/4*(FD300*$W300*1000)/($G300*$B$5)),
IF($D300="Pénétro.",
IF(OR($E300=4,$E300=1,$E300=5),(PI()*FH$12^2)/4*(FD300*$W300*1000)/($H300*$B$5),(PI()*FH$12^2)/4*(FD300*$W300*1000)/($G300*$B$5)))),
IF($D300="Pressio.",
IF($E300=3,(PI()*FH$12^2)/4*(FD300*$W300*1000)/($H300*$B$5),(PI()*FH$12^2)/4*(FD300*$W300*1000)/($G300*$B$5)),
IF($D300="Pénétro.",
IF($E300=4,(PI()*FH$12^2)/4*(FD300*$W300*1000)/($H300*$B$5),(PI()*FH$12^2)/4*(FD300*$W300*1000)/($G300*$B$5))))))/10</f>
        <v>#N/A</v>
      </c>
      <c r="FI300" s="102" t="e">
        <f>(VLOOKUP($B$3,'Coeff EC7'!$T$39:$X$59,2,0)*FG300+VLOOKUP($B$3,'Coeff EC7'!$T$65:$X$85,2,0)*Model0.1C!FH300)/1.1</f>
        <v>#N/A</v>
      </c>
      <c r="FJ300" s="102" t="e">
        <f>(VLOOKUP($B$3,'Coeff EC7'!$T$39:$X$59,3,0)*FG300+VLOOKUP($B$3,'Coeff EC7'!$T$65:$X$85,3,0)*Model0.1C!FH300)/0.9</f>
        <v>#N/A</v>
      </c>
      <c r="FK300" s="102" t="e">
        <f t="shared" si="498"/>
        <v>#N/A</v>
      </c>
      <c r="FL300" s="102" t="e">
        <f t="shared" si="499"/>
        <v>#N/A</v>
      </c>
      <c r="FM300" s="414" t="e">
        <f>IF(FM299=0,0,IF(AND(FI300&gt;charge_ELS_quasi,FJ300&gt;Charge_ELS_freq,FK300&gt;charge_ELU,FL300&gt;charge_ELA,$B300&gt;NDC!$H$22-0.1+MIN(3*$FM$12,1.5)),0,1))</f>
        <v>#N/A</v>
      </c>
    </row>
    <row r="301" spans="1:169">
      <c r="A301" s="96">
        <f t="shared" si="467"/>
        <v>71.200000000001637</v>
      </c>
      <c r="B301" s="97">
        <v>28.8</v>
      </c>
      <c r="C301" s="81">
        <f>IF(B301&lt;=Hypothèses!$C$7,Hypothèses!$A$7,IF(B301&lt;=Hypothèses!$C$8,Hypothèses!$A$8,IF(B301&lt;=Hypothèses!$C$9,Hypothèses!$A$9,IF(B301&lt;=Hypothèses!$C$10,Hypothèses!$A$10,IF(B301&lt;=Hypothèses!$C$11,Hypothèses!$A$11,IF(B301&lt;=Hypothèses!$C$12,Hypothèses!$A$12,IF(B301&lt;=Hypothèses!$C$13,Hypothèses!$A$13,IF(B301&lt;=Hypothèses!$C$14,Hypothèses!$A$14,IF(B301&lt;=Hypothèses!$C$15,Hypothèses!$A$15,IF(B301&lt;=Hypothèses!$C$16,Hypothèses!$A$16,IF(B301&lt;=Hypothèses!$C$17,Hypothèses!$A$17,IF(B301&lt;=Hypothèses!$C$18,Hypothèses!$A$18,C300))))))))))))</f>
        <v>11</v>
      </c>
      <c r="D301" s="82" t="str">
        <f>IF(B301&lt;=Hypothèses!$C$7,Hypothèses!$R$7,IF(B301&lt;=Hypothèses!$C$8,Hypothèses!$R$8,IF(B301&lt;=Hypothèses!$C$9,Hypothèses!$R$9,IF(B301&lt;=Hypothèses!$C$10,Hypothèses!$R$10,IF(B301&lt;=Hypothèses!$C$11,Hypothèses!$R$11,IF(B301&lt;=Hypothèses!$C$12,Hypothèses!$R$12,IF(B301&lt;=Hypothèses!$C$13,Hypothèses!$R$13,IF(B301&lt;=Hypothèses!$C$14,Hypothèses!$R$14,IF(B301&lt;=Hypothèses!$C$15,Hypothèses!$R$15,IF(B301&lt;=Hypothèses!$C$16,Hypothèses!$R$16,IF(B301&lt;=Hypothèses!$C$17,Hypothèses!$R$17,IF(B301&lt;=Hypothèses!$C$18,Hypothèses!$R$18,D300))))))))))))</f>
        <v>Pressio.</v>
      </c>
      <c r="E301" s="82" t="e">
        <f>IF(B301&lt;=Hypothèses!$C$7,Hypothèses!$G$7,IF(B301&lt;=Hypothèses!$C$8,Hypothèses!$G$8,IF(B301&lt;=Hypothèses!$C$9,Hypothèses!$G$9,IF(B301&lt;=Hypothèses!$C$10,Hypothèses!$G$10,IF(B301&lt;=Hypothèses!$C$11,Hypothèses!$G$11,IF(B301&lt;=Hypothèses!$C$12,Hypothèses!$G$12,IF(B301&lt;=Hypothèses!$C$13,Hypothèses!$G$13,IF(B301&lt;=Hypothèses!$C$14,Hypothèses!$G$14,IF(B301&lt;=Hypothèses!$C$15,Hypothèses!$G$15,IF(B301&lt;=Hypothèses!$C$16,Hypothèses!$G$16,IF(B301&lt;=Hypothèses!$C$17,Hypothèses!$G$17,IF(B301&lt;=Hypothèses!$C$18,Hypothèses!$G$18,E300))))))))))))</f>
        <v>#N/A</v>
      </c>
      <c r="F301" s="82" t="str">
        <f>IF(B301&lt;=Hypothèses!$C$7,Hypothèses!$F$7,IF(B301&lt;=Hypothèses!$C$8,Hypothèses!$F$8,IF(B301&lt;=Hypothèses!$C$9,Hypothèses!$F$9,IF(B301&lt;=Hypothèses!$C$10,Hypothèses!$F$10,IF(B301&lt;=Hypothèses!$C$11,Hypothèses!$F$11,IF(B301&lt;=Hypothèses!$C$12,Hypothèses!$F$12,IF(B301&lt;=Hypothèses!$C$13,Hypothèses!$F$13,IF(B301&lt;=Hypothèses!$C$14,Hypothèses!$F$14,IF(B301&lt;=Hypothèses!$C$15,Hypothèses!$F$15,IF(B301&lt;=Hypothèses!$C$16,Hypothèses!$F$16,IF(B301&lt;=Hypothèses!$C$17,Hypothèses!$F$17,IF(B301&lt;=Hypothèses!$C$18,Hypothèses!$F$18,F300))))))))))))</f>
        <v/>
      </c>
      <c r="G301" s="91">
        <f t="array" ref="G301">INDEX('Coeff EC7'!$U$7:$X$27,
MATCH(Model0.1C!$B$3,'Coeff EC7'!$T$7:$T$27,0),
MATCH(Model0.1C!$D301&amp;Model0.1C!$B$4,
'Coeff EC7'!$U$6:$X$6&amp;
'Coeff EC7'!$U$5:$X$5,0))</f>
        <v>1.1499999999999999</v>
      </c>
      <c r="H301" s="91">
        <f t="array" ref="H301">INDEX('Coeff EC7'!$Y$7:$AB$27,
MATCH(Model0.1C!$B$3,'Coeff EC7'!$T$7:$T$27,0),
MATCH(Model0.1C!$D301&amp;Model0.1C!$B$4,
'Coeff EC7'!$Y$6:$AB$6&amp;
'Coeff EC7'!$Y$5:$AB$5,0))</f>
        <v>1.4</v>
      </c>
      <c r="I301" s="83" t="e">
        <f>IF(B301&lt;=Hypothèses!$C$7,Hypothèses!$P$7,IF(B301&lt;=Hypothèses!$C$8,Hypothèses!$P$8,IF(B301&lt;=Hypothèses!$C$9,Hypothèses!$P$9,IF(B301&lt;=Hypothèses!$C$10,Hypothèses!$P$10,IF(B301&lt;=Hypothèses!$C$11,Hypothèses!$P$11,IF(B301&lt;=Hypothèses!$C$12,Hypothèses!$P$12,IF(B301&lt;=Hypothèses!$C$13,Hypothèses!$P$13,IF(B301&lt;=Hypothèses!$C$14,Hypothèses!$P$14,IF(B301&lt;=Hypothèses!$C$15,Hypothèses!$P$15,IF(B301&lt;=Hypothèses!$C$16,Hypothèses!$P$16,IF(B301&lt;=Hypothèses!$C$17,Hypothèses!$P$17,IF(B301&lt;=Hypothèses!$C$18,Hypothèses!$P$18,I300))))))))))))</f>
        <v>#N/A</v>
      </c>
      <c r="J301" s="91" t="e">
        <f t="array" ref="J301">INDEX('Coeff EC7'!$D$33:$Q$33,1,MATCH(D301&amp;E301,'Coeff EC7'!$D$31:$Q$31&amp;'Coeff EC7'!$D$32:$Q$32,0))</f>
        <v>#N/A</v>
      </c>
      <c r="K301" s="91" t="e">
        <f t="array" ref="K301">INDEX('Coeff EC7'!$D$34:$Q$34,1,MATCH(D301&amp;E301,'Coeff EC7'!$D$31:$Q$31&amp;'Coeff EC7'!$D$32:$Q$32,0))</f>
        <v>#N/A</v>
      </c>
      <c r="L301" s="91" t="e">
        <f t="array" ref="L301">INDEX('Coeff EC7'!$D$35:$Q$35,1,MATCH(D301&amp;E301,'Coeff EC7'!$D$31:$Q$31&amp;'Coeff EC7'!$D$32:$Q$32,0))</f>
        <v>#N/A</v>
      </c>
      <c r="M301" s="98" t="e">
        <f t="shared" si="431"/>
        <v>#N/A</v>
      </c>
      <c r="N301" s="99" t="e">
        <f t="array" ref="N301">INDEX('Coeff EC7'!$D$7:$Q$27,MATCH($B$3,'Coeff EC7'!$C$7:$C$27,0),MATCH(D301&amp;E301,'Coeff EC7'!$D$5:$Q$5&amp;'Coeff EC7'!$D$6:$Q$6,0))</f>
        <v>#N/A</v>
      </c>
      <c r="O301" s="99" t="e">
        <f t="array" ref="O301">INDEX('Coeff EC7'!$D$41:$Q$61,MATCH($B$3,'Coeff EC7'!$C$41:$C$61,0),MATCH(D301&amp;E301,'Coeff EC7'!$D$39:$Q$39&amp;'Coeff EC7'!$D$40:$Q$40,0))</f>
        <v>#N/A</v>
      </c>
      <c r="P301" s="30" t="e">
        <f t="shared" si="468"/>
        <v>#N/A</v>
      </c>
      <c r="Q301" s="100" t="e">
        <f t="shared" si="433"/>
        <v>#N/A</v>
      </c>
      <c r="R301" s="86" t="b">
        <f t="shared" si="434"/>
        <v>0</v>
      </c>
      <c r="S301" s="86">
        <f t="shared" si="432"/>
        <v>0.5</v>
      </c>
      <c r="T301" s="86">
        <f t="shared" si="435"/>
        <v>0.5</v>
      </c>
      <c r="U301" s="30" t="e">
        <f t="shared" ca="1" si="469"/>
        <v>#DIV/0!</v>
      </c>
      <c r="V301" s="85" t="str">
        <f>IF(B301&lt;=Hypothèses!$V$7,Hypothèses!$W$7,IF(B301&lt;=Hypothèses!$V$8,Hypothèses!$W$8,IF(B301&lt;=Hypothèses!$V$9,Hypothèses!$W$9,IF(B301&lt;=Hypothèses!$V$10,Hypothèses!$W$10,IF(B301&lt;=Hypothèses!$V$11,Hypothèses!$W$11,IF(B301&lt;=Hypothèses!$V$12,Hypothèses!$W$12,IF(B301&lt;=Hypothèses!$V$13,Hypothèses!$W$13,IF(B301&lt;=Hypothèses!$V$14,Hypothèses!$W$14,IF(B301&lt;=Hypothèses!$V$15,Hypothèses!$W$15,IF(B301&lt;=Hypothèses!$V$16,Hypothèses!$W$16,IF(B301&lt;=Hypothèses!$V$17,Hypothèses!$W$17,IF(B301&lt;=Hypothèses!$V$18,Hypothèses!$W$18,""))))))))))))</f>
        <v/>
      </c>
      <c r="W301" s="87" t="e">
        <f t="shared" ca="1" si="516"/>
        <v>#DIV/0!</v>
      </c>
      <c r="X301" s="88" t="str">
        <f>IF(B301&lt;=Hypothèses!$V$7,Hypothèses!$X$7,IF(B301&lt;=Hypothèses!$V$8,Hypothèses!$X$8,IF(B301&lt;=Hypothèses!$V$9,Hypothèses!$X$9,IF(B301&lt;=Hypothèses!$V$10,Hypothèses!$X$10,IF(B301&lt;=Hypothèses!$V$11,Hypothèses!$X$11,IF(B301&lt;=Hypothèses!$V$12,Hypothèses!$X$12,IF(B301&lt;=Hypothèses!$V$13,Hypothèses!$X$13,IF(B301&lt;=Hypothèses!$V$14,Hypothèses!$X$14,IF(B301&lt;=Hypothèses!$V$15,Hypothèses!$X$15,IF(B301&lt;=Hypothèses!$V$16,Hypothèses!$X$16,IF(B301&lt;=Hypothèses!$U$17,Hypothèses!$W$17,IF(B301&lt;=Hypothèses!$U$18,Hypothèses!$W$18,""))))))))))))</f>
        <v/>
      </c>
      <c r="Y301" s="95" t="e">
        <f t="shared" ca="1" si="436"/>
        <v>#DIV/0!</v>
      </c>
      <c r="Z301" s="101" t="e">
        <f t="shared" si="437"/>
        <v>#N/A</v>
      </c>
      <c r="AA301" s="91" t="e">
        <f t="shared" si="438"/>
        <v>#N/A</v>
      </c>
      <c r="AB301" s="30" t="e">
        <f t="shared" si="500"/>
        <v>#N/A</v>
      </c>
      <c r="AC301" s="30" t="e">
        <f t="shared" si="501"/>
        <v>#N/A</v>
      </c>
      <c r="AD301" s="31" t="e">
        <f>IF(OR(Hypothèses!$B$4=17,Hypothèses!$B$4=18,Hypothèses!$B$4=19,Hypothèses!$B$4=20),
IF($D301="Pressio.",
IF(OR($E301=3,$E301=1,$E301=4),AC301,AB301),
IF($D301="Pénétro.",
IF(OR($E301=3,$E301=1,$E301=4),AC301,AB301))),IF($D301="Pressio.",
IF($E301=3,AC301,AB301),
IF($D301="Pénétro.",
IF($E301=4,AC301,AB301))))</f>
        <v>#N/A</v>
      </c>
      <c r="AE301" s="31" t="e">
        <f>(IF(OR(Hypothèses!$B$4=17,Hypothèses!$B$4=18,Hypothèses!$B$4=19,Hypothèses!$B$4=20),
IF($D301="Pressio.",
IF(OR($E301=3,$E301=1,$E301=4),(PI()*AE$12^2)/4*(AA301*$W301*1000)/($H301*$B$5),(PI()*AE$12^2)/4*(AA301*$W301*1000)/($G301*$B$5)),
IF($D301="Pénétro.",
IF(OR($E301=4,$E301=1,$E301=5),(PI()*AE$12^2)/4*(AA301*$W301*1000)/($H301*$B$5),(PI()*AE$12^2)/4*(AA301*$W301*1000)/($G301*$B$5)))),
IF($D301="Pressio.",
IF($E301=3,(PI()*AE$12^2)/4*(AA301*$W301*1000)/($H301*$B$5),(PI()*AE$12^2)/4*(AA301*$W301*1000)/($G301*$B$5)),
IF($D301="Pénétro.",
IF($E301=4,(PI()*AE$12^2)/4*(AA301*$W301*1000)/($H301*$B$5),(PI()*AE$12^2)/4*(AA301*$W301*1000)/($G301*$B$5))))))/10</f>
        <v>#N/A</v>
      </c>
      <c r="AF301" s="102" t="e">
        <f>(VLOOKUP($B$3,'Coeff EC7'!$T$39:$X$59,2,0)*AD301+VLOOKUP($B$3,'Coeff EC7'!$T$65:$X$85,2,0)*Model0.1C!AE301)/1.1</f>
        <v>#N/A</v>
      </c>
      <c r="AG301" s="102" t="e">
        <f>(VLOOKUP($B$3,'Coeff EC7'!$T$39:$X$59,3,0)*AD301+VLOOKUP($B$3,'Coeff EC7'!$T$65:$X$85,3,0)*Model0.1C!AE301)/0.9</f>
        <v>#N/A</v>
      </c>
      <c r="AH301" s="102" t="e">
        <f t="shared" si="439"/>
        <v>#N/A</v>
      </c>
      <c r="AI301" s="102" t="e">
        <f t="shared" si="440"/>
        <v>#N/A</v>
      </c>
      <c r="AJ301" s="414" t="e">
        <f>IF(AJ300=0,0,IF(AND(AF301&gt;charge_ELS_quasi,AG301&gt;Charge_ELS_freq,AH301&gt;charge_ELU,AI301&gt;charge_ELA,$B301&gt;NDC!$H$22-0.1+MIN(3*$AJ$12,1.5)),0,1))</f>
        <v>#N/A</v>
      </c>
      <c r="AK301" s="86" t="b">
        <f t="shared" si="441"/>
        <v>0</v>
      </c>
      <c r="AL301" s="86">
        <f t="shared" si="470"/>
        <v>0.5</v>
      </c>
      <c r="AM301" s="86">
        <f t="shared" si="442"/>
        <v>0.5</v>
      </c>
      <c r="AN301" s="30" t="e">
        <f t="shared" ca="1" si="471"/>
        <v>#DIV/0!</v>
      </c>
      <c r="AO301" s="85" t="e">
        <f ca="1">IF(U301&lt;=Hypothèses!$V$7,Hypothèses!$W$7,IF(U301&lt;=Hypothèses!$V$8,Hypothèses!$W$8,IF(U301&lt;=Hypothèses!$V$9,Hypothèses!$W$9,IF(U301&lt;=Hypothèses!$V$10,Hypothèses!$W$10,IF(U301&lt;=Hypothèses!$V$11,Hypothèses!$W$11,IF(U301&lt;=Hypothèses!$V$12,Hypothèses!$W$12,IF(U301&lt;=Hypothèses!$V$13,Hypothèses!$W$13,IF(U301&lt;=Hypothèses!$V$14,Hypothèses!$W$14,IF(U301&lt;=Hypothèses!$V$15,Hypothèses!$W$15,IF(U301&lt;=Hypothèses!$V$16,Hypothèses!$W$16,IF(U301&lt;=Hypothèses!$V$17,Hypothèses!$W$17,IF(U301&lt;=Hypothèses!$V$18,Hypothèses!$W$18,""))))))))))))</f>
        <v>#DIV/0!</v>
      </c>
      <c r="AP301" s="87" t="e">
        <f t="shared" ca="1" si="517"/>
        <v>#DIV/0!</v>
      </c>
      <c r="AQ301" s="88" t="e">
        <f ca="1">IF(U301&lt;=Hypothèses!$V$7,Hypothèses!$X$7,IF(U301&lt;=Hypothèses!$V$8,Hypothèses!$X$8,IF(U301&lt;=Hypothèses!$V$9,Hypothèses!$X$9,IF(U301&lt;=Hypothèses!$V$10,Hypothèses!$X$10,IF(U301&lt;=Hypothèses!$V$11,Hypothèses!$X$11,IF(U301&lt;=Hypothèses!$V$12,Hypothèses!$X$12,IF(U301&lt;=Hypothèses!$V$13,Hypothèses!$X$13,IF(U301&lt;=Hypothèses!$V$14,Hypothèses!$X$14,IF(U301&lt;=Hypothèses!$V$15,Hypothèses!$X$15,IF(U301&lt;=Hypothèses!$V$16,Hypothèses!$X$16,IF(U301&lt;=Hypothèses!$U$17,Hypothèses!$W$17,IF(U301&lt;=Hypothèses!$U$18,Hypothèses!$W$18,""))))))))))))</f>
        <v>#DIV/0!</v>
      </c>
      <c r="AR301" s="95" t="e">
        <f t="shared" ca="1" si="472"/>
        <v>#DIV/0!</v>
      </c>
      <c r="AS301" s="101" t="e">
        <f t="shared" si="524"/>
        <v>#N/A</v>
      </c>
      <c r="AT301" s="91" t="e">
        <f t="shared" si="443"/>
        <v>#N/A</v>
      </c>
      <c r="AU301" s="30" t="e">
        <f t="shared" si="502"/>
        <v>#N/A</v>
      </c>
      <c r="AV301" s="30" t="e">
        <f t="shared" si="503"/>
        <v>#N/A</v>
      </c>
      <c r="AW301" s="31" t="e">
        <f>IF(OR(Hypothèses!$B$4=17,Hypothèses!$B$4=18,Hypothèses!$B$4=19,Hypothèses!$B$4=20),
IF($D301="Pressio.",
IF(OR($E301=3,$E301=1,$E301=4),AV301,AU301),
IF($D301="Pénétro.",
IF(OR($E301=3,$E301=1,$E301=4),AV301,AU301))),IF($D301="Pressio.",
IF($E301=3,AV301,AU301),
IF($D301="Pénétro.",
IF($E301=4,AV301,AU301))))</f>
        <v>#N/A</v>
      </c>
      <c r="AX301" s="31" t="e">
        <f>(IF(OR(Hypothèses!$B$4=17,Hypothèses!$B$4=18,Hypothèses!$B$4=19,Hypothèses!$B$4=20),
IF($D301="Pressio.",
IF(OR($E301=3,$E301=1,$E301=4),(PI()*AX$12^2)/4*(AT301*$W301*1000)/($H301*$B$5),(PI()*AX$12^2)/4*(AT301*$W301*1000)/($G301*$B$5)),
IF($D301="Pénétro.",
IF(OR($E301=4,$E301=1,$E301=5),(PI()*AX$12^2)/4*(AT301*$W301*1000)/($H301*$B$5),(PI()*AX$12^2)/4*(AT301*$W301*1000)/($G301*$B$5)))),
IF($D301="Pressio.",
IF($E301=3,(PI()*AX$12^2)/4*(AT301*$W301*1000)/($H301*$B$5),(PI()*AX$12^2)/4*(AT301*$W301*1000)/($G301*$B$5)),
IF($D301="Pénétro.",
IF($E301=4,(PI()*AX$12^2)/4*(AT301*$W301*1000)/($H301*$B$5),(PI()*AX$12^2)/4*(AT301*$W301*1000)/($G301*$B$5))))))/10</f>
        <v>#N/A</v>
      </c>
      <c r="AY301" s="102" t="e">
        <f>(VLOOKUP($B$3,'Coeff EC7'!$T$39:$X$59,2,0)*AW301+VLOOKUP($B$3,'Coeff EC7'!$T$65:$X$85,2,0)*Model0.1C!AX301)/1.1</f>
        <v>#N/A</v>
      </c>
      <c r="AZ301" s="102" t="e">
        <f>(VLOOKUP($B$3,'Coeff EC7'!$T$39:$X$59,3,0)*AW301+VLOOKUP($B$3,'Coeff EC7'!$T$65:$X$85,3,0)*Model0.1C!AX301)/0.9</f>
        <v>#N/A</v>
      </c>
      <c r="BA301" s="102" t="e">
        <f t="shared" si="473"/>
        <v>#N/A</v>
      </c>
      <c r="BB301" s="102" t="e">
        <f t="shared" si="474"/>
        <v>#N/A</v>
      </c>
      <c r="BC301" s="414" t="e">
        <f>IF(BC300=0,0,IF(AND(AY301&gt;charge_ELS_quasi,AZ301&gt;Charge_ELS_freq,BA301&gt;charge_ELU,BB301&gt;charge_ELA,$B301&gt;NDC!$H$22-0.1+MIN(3*$BC$12,1.5)),0,1))</f>
        <v>#N/A</v>
      </c>
      <c r="BD301" s="86" t="b">
        <f t="shared" si="444"/>
        <v>0</v>
      </c>
      <c r="BE301" s="86">
        <f t="shared" si="475"/>
        <v>0.5</v>
      </c>
      <c r="BF301" s="86">
        <f t="shared" si="445"/>
        <v>0.5</v>
      </c>
      <c r="BG301" s="30" t="e">
        <f t="shared" ca="1" si="476"/>
        <v>#DIV/0!</v>
      </c>
      <c r="BH301" s="85" t="e">
        <f ca="1">IF(AN301&lt;=Hypothèses!$V$7,Hypothèses!$W$7,IF(AN301&lt;=Hypothèses!$V$8,Hypothèses!$W$8,IF(AN301&lt;=Hypothèses!$V$9,Hypothèses!$W$9,IF(AN301&lt;=Hypothèses!$V$10,Hypothèses!$W$10,IF(AN301&lt;=Hypothèses!$V$11,Hypothèses!$W$11,IF(AN301&lt;=Hypothèses!$V$12,Hypothèses!$W$12,IF(AN301&lt;=Hypothèses!$V$13,Hypothèses!$W$13,IF(AN301&lt;=Hypothèses!$V$14,Hypothèses!$W$14,IF(AN301&lt;=Hypothèses!$V$15,Hypothèses!$W$15,IF(AN301&lt;=Hypothèses!$V$16,Hypothèses!$W$16,IF(AN301&lt;=Hypothèses!$V$17,Hypothèses!$W$17,IF(AN301&lt;=Hypothèses!$V$18,Hypothèses!$W$18,""))))))))))))</f>
        <v>#DIV/0!</v>
      </c>
      <c r="BI301" s="87" t="e">
        <f t="shared" ca="1" si="518"/>
        <v>#DIV/0!</v>
      </c>
      <c r="BJ301" s="88" t="e">
        <f ca="1">IF(AN301&lt;=Hypothèses!$V$7,Hypothèses!$X$7,IF(AN301&lt;=Hypothèses!$V$8,Hypothèses!$X$8,IF(AN301&lt;=Hypothèses!$V$9,Hypothèses!$X$9,IF(AN301&lt;=Hypothèses!$V$10,Hypothèses!$X$10,IF(AN301&lt;=Hypothèses!$V$11,Hypothèses!$X$11,IF(AN301&lt;=Hypothèses!$V$12,Hypothèses!$X$12,IF(AN301&lt;=Hypothèses!$V$13,Hypothèses!$X$13,IF(AN301&lt;=Hypothèses!$V$14,Hypothèses!$X$14,IF(AN301&lt;=Hypothèses!$V$15,Hypothèses!$X$15,IF(AN301&lt;=Hypothèses!$V$16,Hypothèses!$X$16,IF(AN301&lt;=Hypothèses!$U$17,Hypothèses!$W$17,IF(AN301&lt;=Hypothèses!$U$18,Hypothèses!$W$18,""))))))))))))</f>
        <v>#DIV/0!</v>
      </c>
      <c r="BK301" s="95" t="e">
        <f t="shared" ca="1" si="477"/>
        <v>#DIV/0!</v>
      </c>
      <c r="BL301" s="101" t="e">
        <f t="shared" si="525"/>
        <v>#N/A</v>
      </c>
      <c r="BM301" s="91" t="e">
        <f t="shared" si="446"/>
        <v>#N/A</v>
      </c>
      <c r="BN301" s="30" t="e">
        <f t="shared" si="504"/>
        <v>#N/A</v>
      </c>
      <c r="BO301" s="30" t="e">
        <f t="shared" si="505"/>
        <v>#N/A</v>
      </c>
      <c r="BP301" s="31" t="e">
        <f>IF(OR(Hypothèses!$B$4=17,Hypothèses!$B$4=18,Hypothèses!$B$4=19,Hypothèses!$B$4=20),
IF($D301="Pressio.",
IF(OR($E301=3,$E301=1,$E301=4),BO301,BN301),
IF($D301="Pénétro.",
IF(OR($E301=3,$E301=1,$E301=4),BO301,BN301))),IF($D301="Pressio.",
IF($E301=3,BO301,BN301),
IF($D301="Pénétro.",
IF($E301=4,BO301,BN301))))</f>
        <v>#N/A</v>
      </c>
      <c r="BQ301" s="31" t="e">
        <f>(IF(OR(Hypothèses!$B$4=17,Hypothèses!$B$4=18,Hypothèses!$B$4=19,Hypothèses!$B$4=20),
IF($D301="Pressio.",
IF(OR($E301=3,$E301=1,$E301=4),(PI()*BQ$12^2)/4*(BM301*$W301*1000)/($H301*$B$5),(PI()*BQ$12^2)/4*(BM301*$W301*1000)/($G301*$B$5)),
IF($D301="Pénétro.",
IF(OR($E301=4,$E301=1,$E301=5),(PI()*BQ$12^2)/4*(BM301*$W301*1000)/($H301*$B$5),(PI()*BQ$12^2)/4*(BM301*$W301*1000)/($G301*$B$5)))),
IF($D301="Pressio.",
IF($E301=3,(PI()*BQ$12^2)/4*(BM301*$W301*1000)/($H301*$B$5),(PI()*BQ$12^2)/4*(BM301*$W301*1000)/($G301*$B$5)),
IF($D301="Pénétro.",
IF($E301=4,(PI()*BQ$12^2)/4*(BM301*$W301*1000)/($H301*$B$5),(PI()*BQ$12^2)/4*(BM301*$W301*1000)/($G301*$B$5))))))/10</f>
        <v>#N/A</v>
      </c>
      <c r="BR301" s="102" t="e">
        <f>(VLOOKUP($B$3,'Coeff EC7'!$T$39:$X$59,2,0)*BP301+VLOOKUP($B$3,'Coeff EC7'!$T$65:$X$85,2,0)*Model0.1C!BQ301)/1.1</f>
        <v>#N/A</v>
      </c>
      <c r="BS301" s="102" t="e">
        <f>(VLOOKUP($B$3,'Coeff EC7'!$T$39:$X$59,3,0)*BP301+VLOOKUP($B$3,'Coeff EC7'!$T$65:$X$85,3,0)*Model0.1C!BQ301)/0.9</f>
        <v>#N/A</v>
      </c>
      <c r="BT301" s="102" t="e">
        <f t="shared" si="478"/>
        <v>#N/A</v>
      </c>
      <c r="BU301" s="102" t="e">
        <f t="shared" si="479"/>
        <v>#N/A</v>
      </c>
      <c r="BV301" s="414" t="e">
        <f>IF(BV300=0,0,IF(AND(BR301&gt;charge_ELS_quasi,BS301&gt;Charge_ELS_freq,BT301&gt;charge_ELU,BU301&gt;charge_ELA,$B301&gt;NDC!$H$22-0.1+MIN(3*$BV$12,1.5)),0,1))</f>
        <v>#N/A</v>
      </c>
      <c r="BW301" s="86" t="b">
        <f t="shared" si="447"/>
        <v>0</v>
      </c>
      <c r="BX301" s="86">
        <f t="shared" si="448"/>
        <v>0.5</v>
      </c>
      <c r="BY301" s="86">
        <f t="shared" si="449"/>
        <v>0.5</v>
      </c>
      <c r="BZ301" s="30" t="e">
        <f t="shared" ca="1" si="480"/>
        <v>#DIV/0!</v>
      </c>
      <c r="CA301" s="85" t="e">
        <f ca="1">IF(BG301&lt;=Hypothèses!$V$7,Hypothèses!$W$7,IF(BG301&lt;=Hypothèses!$V$8,Hypothèses!$W$8,IF(BG301&lt;=Hypothèses!$V$9,Hypothèses!$W$9,IF(BG301&lt;=Hypothèses!$V$10,Hypothèses!$W$10,IF(BG301&lt;=Hypothèses!$V$11,Hypothèses!$W$11,IF(BG301&lt;=Hypothèses!$V$12,Hypothèses!$W$12,IF(BG301&lt;=Hypothèses!$V$13,Hypothèses!$W$13,IF(BG301&lt;=Hypothèses!$V$14,Hypothèses!$W$14,IF(BG301&lt;=Hypothèses!$V$15,Hypothèses!$W$15,IF(BG301&lt;=Hypothèses!$V$16,Hypothèses!$W$16,IF(BG301&lt;=Hypothèses!$V$17,Hypothèses!$W$17,IF(BG301&lt;=Hypothèses!$V$18,Hypothèses!$W$18,""))))))))))))</f>
        <v>#DIV/0!</v>
      </c>
      <c r="CB301" s="87" t="e">
        <f t="shared" ca="1" si="519"/>
        <v>#DIV/0!</v>
      </c>
      <c r="CC301" s="88" t="e">
        <f ca="1">IF(BG301&lt;=Hypothèses!$V$7,Hypothèses!$X$7,IF(BG301&lt;=Hypothèses!$V$8,Hypothèses!$X$8,IF(BG301&lt;=Hypothèses!$V$9,Hypothèses!$X$9,IF(BG301&lt;=Hypothèses!$V$10,Hypothèses!$X$10,IF(BG301&lt;=Hypothèses!$V$11,Hypothèses!$X$11,IF(BG301&lt;=Hypothèses!$V$12,Hypothèses!$X$12,IF(BG301&lt;=Hypothèses!$V$13,Hypothèses!$X$13,IF(BG301&lt;=Hypothèses!$V$14,Hypothèses!$X$14,IF(BG301&lt;=Hypothèses!$V$15,Hypothèses!$X$15,IF(BG301&lt;=Hypothèses!$V$16,Hypothèses!$X$16,IF(BG301&lt;=Hypothèses!$U$17,Hypothèses!$W$17,IF(BG301&lt;=Hypothèses!$U$18,Hypothèses!$W$18,""))))))))))))</f>
        <v>#DIV/0!</v>
      </c>
      <c r="CD301" s="95" t="e">
        <f t="shared" ca="1" si="481"/>
        <v>#DIV/0!</v>
      </c>
      <c r="CE301" s="101" t="e">
        <f t="shared" si="526"/>
        <v>#N/A</v>
      </c>
      <c r="CF301" s="91" t="e">
        <f t="shared" si="450"/>
        <v>#N/A</v>
      </c>
      <c r="CG301" s="30" t="e">
        <f t="shared" si="506"/>
        <v>#N/A</v>
      </c>
      <c r="CH301" s="30" t="e">
        <f t="shared" si="507"/>
        <v>#N/A</v>
      </c>
      <c r="CI301" s="31" t="e">
        <f>IF(OR(Hypothèses!$B$4=17,Hypothèses!$B$4=18,Hypothèses!$B$4=19,Hypothèses!$B$4=20),
IF($D301="Pressio.",
IF(OR($E301=3,$E301=1,$E301=4),CH301,CG301),
IF($D301="Pénétro.",
IF(OR($E301=3,$E301=1,$E301=4),CH301,CG301))),IF($D301="Pressio.",
IF($E301=3,CH301,CG301),
IF($D301="Pénétro.",
IF($E301=4,CH301,CG301))))</f>
        <v>#N/A</v>
      </c>
      <c r="CJ301" s="31" t="e">
        <f>(IF(OR(Hypothèses!$B$4=17,Hypothèses!$B$4=18,Hypothèses!$B$4=19,Hypothèses!$B$4=20),
IF($D301="Pressio.",
IF(OR($E301=3,$E301=1,$E301=4),(PI()*CJ$12^2)/4*(CF301*$W301*1000)/($H301*$B$5),(PI()*CJ$12^2)/4*(CF301*$W301*1000)/($G301*$B$5)),
IF($D301="Pénétro.",
IF(OR($E301=4,$E301=1,$E301=5),(PI()*CJ$12^2)/4*(CF301*$W301*1000)/($H301*$B$5),(PI()*CJ$12^2)/4*(CF301*$W301*1000)/($G301*$B$5)))),
IF($D301="Pressio.",
IF($E301=3,(PI()*CJ$12^2)/4*(CF301*$W301*1000)/($H301*$B$5),(PI()*CJ$12^2)/4*(CF301*$W301*1000)/($G301*$B$5)),
IF($D301="Pénétro.",
IF($E301=4,(PI()*CJ$12^2)/4*(CF301*$W301*1000)/($H301*$B$5),(PI()*CJ$12^2)/4*(CF301*$W301*1000)/($G301*$B$5))))))/10</f>
        <v>#N/A</v>
      </c>
      <c r="CK301" s="102" t="e">
        <f>(VLOOKUP($B$3,'Coeff EC7'!$T$39:$X$59,2,0)*CI301+VLOOKUP($B$3,'Coeff EC7'!$T$65:$X$85,2,0)*Model0.1C!CJ301)/1.1</f>
        <v>#N/A</v>
      </c>
      <c r="CL301" s="102" t="e">
        <f>(VLOOKUP($B$3,'Coeff EC7'!$T$39:$X$59,3,0)*CI301+VLOOKUP($B$3,'Coeff EC7'!$T$65:$X$85,3,0)*Model0.1C!CJ301)/0.9</f>
        <v>#N/A</v>
      </c>
      <c r="CM301" s="102" t="e">
        <f t="shared" si="482"/>
        <v>#N/A</v>
      </c>
      <c r="CN301" s="102" t="e">
        <f t="shared" si="483"/>
        <v>#N/A</v>
      </c>
      <c r="CO301" s="414" t="e">
        <f>IF(CO300=0,0,IF(AND(CK301&gt;charge_ELS_quasi,CL301&gt;Charge_ELS_freq,CM301&gt;charge_ELU,CN301&gt;charge_ELA,$B301&gt;NDC!$H$22-0.1+MIN(3*$CO$12,1.5)),0,1))</f>
        <v>#N/A</v>
      </c>
      <c r="CP301" s="86" t="b">
        <f t="shared" si="451"/>
        <v>0</v>
      </c>
      <c r="CQ301" s="86">
        <f t="shared" si="452"/>
        <v>0.5</v>
      </c>
      <c r="CR301" s="86">
        <f t="shared" si="453"/>
        <v>0.5</v>
      </c>
      <c r="CS301" s="30" t="e">
        <f t="shared" ca="1" si="484"/>
        <v>#DIV/0!</v>
      </c>
      <c r="CT301" s="85" t="e">
        <f ca="1">IF(BZ301&lt;=Hypothèses!$V$7,Hypothèses!$W$7,IF(BZ301&lt;=Hypothèses!$V$8,Hypothèses!$W$8,IF(BZ301&lt;=Hypothèses!$V$9,Hypothèses!$W$9,IF(BZ301&lt;=Hypothèses!$V$10,Hypothèses!$W$10,IF(BZ301&lt;=Hypothèses!$V$11,Hypothèses!$W$11,IF(BZ301&lt;=Hypothèses!$V$12,Hypothèses!$W$12,IF(BZ301&lt;=Hypothèses!$V$13,Hypothèses!$W$13,IF(BZ301&lt;=Hypothèses!$V$14,Hypothèses!$W$14,IF(BZ301&lt;=Hypothèses!$V$15,Hypothèses!$W$15,IF(BZ301&lt;=Hypothèses!$V$16,Hypothèses!$W$16,IF(BZ301&lt;=Hypothèses!$V$17,Hypothèses!$W$17,IF(BZ301&lt;=Hypothèses!$V$18,Hypothèses!$W$18,""))))))))))))</f>
        <v>#DIV/0!</v>
      </c>
      <c r="CU301" s="87" t="e">
        <f t="shared" ca="1" si="520"/>
        <v>#DIV/0!</v>
      </c>
      <c r="CV301" s="88" t="e">
        <f ca="1">IF(BZ301&lt;=Hypothèses!$V$7,Hypothèses!$X$7,IF(BZ301&lt;=Hypothèses!$V$8,Hypothèses!$X$8,IF(BZ301&lt;=Hypothèses!$V$9,Hypothèses!$X$9,IF(BZ301&lt;=Hypothèses!$V$10,Hypothèses!$X$10,IF(BZ301&lt;=Hypothèses!$V$11,Hypothèses!$X$11,IF(BZ301&lt;=Hypothèses!$V$12,Hypothèses!$X$12,IF(BZ301&lt;=Hypothèses!$V$13,Hypothèses!$X$13,IF(BZ301&lt;=Hypothèses!$V$14,Hypothèses!$X$14,IF(BZ301&lt;=Hypothèses!$V$15,Hypothèses!$X$15,IF(BZ301&lt;=Hypothèses!$V$16,Hypothèses!$X$16,IF(BZ301&lt;=Hypothèses!$U$17,Hypothèses!$W$17,IF(BZ301&lt;=Hypothèses!$U$18,Hypothèses!$W$18,""))))))))))))</f>
        <v>#DIV/0!</v>
      </c>
      <c r="CW301" s="95" t="e">
        <f t="shared" ca="1" si="485"/>
        <v>#DIV/0!</v>
      </c>
      <c r="CX301" s="101" t="e">
        <f t="shared" si="527"/>
        <v>#N/A</v>
      </c>
      <c r="CY301" s="91" t="e">
        <f t="shared" si="454"/>
        <v>#N/A</v>
      </c>
      <c r="CZ301" s="30" t="e">
        <f t="shared" si="508"/>
        <v>#N/A</v>
      </c>
      <c r="DA301" s="30" t="e">
        <f t="shared" si="509"/>
        <v>#N/A</v>
      </c>
      <c r="DB301" s="31" t="e">
        <f>IF(OR(Hypothèses!$B$4=17,Hypothèses!$B$4=18,Hypothèses!$B$4=19,Hypothèses!$B$4=20),
IF($D301="Pressio.",
IF(OR($E301=3,$E301=1,$E301=4),DA301,CZ301),
IF($D301="Pénétro.",
IF(OR($E301=3,$E301=1,$E301=4),DA301,CZ301))),IF($D301="Pressio.",
IF($E301=3,DA301,CZ301),
IF($D301="Pénétro.",
IF($E301=4,DA301,CZ301))))</f>
        <v>#N/A</v>
      </c>
      <c r="DC301" s="31" t="e">
        <f>(IF(OR(Hypothèses!$B$4=17,Hypothèses!$B$4=18,Hypothèses!$B$4=19,Hypothèses!$B$4=20),
IF($D301="Pressio.",
IF(OR($E301=3,$E301=1,$E301=4),(PI()*DC$12^2)/4*(CY301*$W301*1000)/($H301*$B$5),(PI()*DC$12^2)/4*(CY301*$W301*1000)/($G301*$B$5)),
IF($D301="Pénétro.",
IF(OR($E301=4,$E301=1,$E301=5),(PI()*DC$12^2)/4*(CY301*$W301*1000)/($H301*$B$5),(PI()*DC$12^2)/4*(CY301*$W301*1000)/($G301*$B$5)))),
IF($D301="Pressio.",
IF($E301=3,(PI()*DC$12^2)/4*(CY301*$W301*1000)/($H301*$B$5),(PI()*DC$12^2)/4*(CY301*$W301*1000)/($G301*$B$5)),
IF($D301="Pénétro.",
IF($E301=4,(PI()*DC$12^2)/4*(CY301*$W301*1000)/($H301*$B$5),(PI()*DC$12^2)/4*(CY301*$W301*1000)/($G301*$B$5))))))/10</f>
        <v>#N/A</v>
      </c>
      <c r="DD301" s="102" t="e">
        <f>(VLOOKUP($B$3,'Coeff EC7'!$T$39:$X$59,2,0)*DB301+VLOOKUP($B$3,'Coeff EC7'!$T$65:$X$85,2,0)*Model0.1C!DC301)/1.1</f>
        <v>#N/A</v>
      </c>
      <c r="DE301" s="102" t="e">
        <f>(VLOOKUP($B$3,'Coeff EC7'!$T$39:$X$59,3,0)*DB301+VLOOKUP($B$3,'Coeff EC7'!$T$65:$X$85,3,0)*Model0.1C!DC301)/0.9</f>
        <v>#N/A</v>
      </c>
      <c r="DF301" s="102" t="e">
        <f t="shared" si="486"/>
        <v>#N/A</v>
      </c>
      <c r="DG301" s="102" t="e">
        <f t="shared" si="487"/>
        <v>#N/A</v>
      </c>
      <c r="DH301" s="414" t="e">
        <f>IF(DH300=0,0,IF(AND(DD301&gt;charge_ELS_quasi,DE301&gt;Charge_ELS_freq,DF301&gt;charge_ELU,DG301&gt;charge_ELA,$B301&gt;NDC!$H$22-0.1+MIN(3*$DH$12,1.5)),0,1))</f>
        <v>#N/A</v>
      </c>
      <c r="DI301" s="86" t="b">
        <f t="shared" si="455"/>
        <v>0</v>
      </c>
      <c r="DJ301" s="86">
        <f t="shared" si="456"/>
        <v>0.5</v>
      </c>
      <c r="DK301" s="86">
        <f t="shared" si="457"/>
        <v>0.5</v>
      </c>
      <c r="DL301" s="30" t="e">
        <f t="shared" ca="1" si="488"/>
        <v>#DIV/0!</v>
      </c>
      <c r="DM301" s="85" t="e">
        <f ca="1">IF(CS301&lt;=Hypothèses!$V$7,Hypothèses!$W$7,IF(CS301&lt;=Hypothèses!$V$8,Hypothèses!$W$8,IF(CS301&lt;=Hypothèses!$V$9,Hypothèses!$W$9,IF(CS301&lt;=Hypothèses!$V$10,Hypothèses!$W$10,IF(CS301&lt;=Hypothèses!$V$11,Hypothèses!$W$11,IF(CS301&lt;=Hypothèses!$V$12,Hypothèses!$W$12,IF(CS301&lt;=Hypothèses!$V$13,Hypothèses!$W$13,IF(CS301&lt;=Hypothèses!$V$14,Hypothèses!$W$14,IF(CS301&lt;=Hypothèses!$V$15,Hypothèses!$W$15,IF(CS301&lt;=Hypothèses!$V$16,Hypothèses!$W$16,IF(CS301&lt;=Hypothèses!$V$17,Hypothèses!$W$17,IF(CS301&lt;=Hypothèses!$V$18,Hypothèses!$W$18,""))))))))))))</f>
        <v>#DIV/0!</v>
      </c>
      <c r="DN301" s="87" t="e">
        <f t="shared" ca="1" si="521"/>
        <v>#DIV/0!</v>
      </c>
      <c r="DO301" s="88" t="e">
        <f ca="1">IF(CS301&lt;=Hypothèses!$V$7,Hypothèses!$X$7,IF(CS301&lt;=Hypothèses!$V$8,Hypothèses!$X$8,IF(CS301&lt;=Hypothèses!$V$9,Hypothèses!$X$9,IF(CS301&lt;=Hypothèses!$V$10,Hypothèses!$X$10,IF(CS301&lt;=Hypothèses!$V$11,Hypothèses!$X$11,IF(CS301&lt;=Hypothèses!$V$12,Hypothèses!$X$12,IF(CS301&lt;=Hypothèses!$V$13,Hypothèses!$X$13,IF(CS301&lt;=Hypothèses!$V$14,Hypothèses!$X$14,IF(CS301&lt;=Hypothèses!$V$15,Hypothèses!$X$15,IF(CS301&lt;=Hypothèses!$V$16,Hypothèses!$X$16,IF(CS301&lt;=Hypothèses!$U$17,Hypothèses!$W$17,IF(CS301&lt;=Hypothèses!$U$18,Hypothèses!$W$18,""))))))))))))</f>
        <v>#DIV/0!</v>
      </c>
      <c r="DP301" s="95" t="e">
        <f t="shared" ca="1" si="489"/>
        <v>#DIV/0!</v>
      </c>
      <c r="DQ301" s="101" t="e">
        <f t="shared" si="528"/>
        <v>#N/A</v>
      </c>
      <c r="DR301" s="91" t="e">
        <f t="shared" si="458"/>
        <v>#N/A</v>
      </c>
      <c r="DS301" s="30" t="e">
        <f t="shared" si="510"/>
        <v>#N/A</v>
      </c>
      <c r="DT301" s="30" t="e">
        <f t="shared" si="511"/>
        <v>#N/A</v>
      </c>
      <c r="DU301" s="31" t="e">
        <f>IF(OR(Hypothèses!$B$4=17,Hypothèses!$B$4=18,Hypothèses!$B$4=19,Hypothèses!$B$4=20),
IF($D301="Pressio.",
IF(OR($E301=3,$E301=1,$E301=4),DT301,DS301),
IF($D301="Pénétro.",
IF(OR($E301=3,$E301=1,$E301=4),DT301,DS301))),IF($D301="Pressio.",
IF($E301=3,DT301,DS301),
IF($D301="Pénétro.",
IF($E301=4,DT301,DS301))))</f>
        <v>#N/A</v>
      </c>
      <c r="DV301" s="31" t="e">
        <f>(IF(OR(Hypothèses!$B$4=17,Hypothèses!$B$4=18,Hypothèses!$B$4=19,Hypothèses!$B$4=20),
IF($D301="Pressio.",
IF(OR($E301=3,$E301=1,$E301=4),(PI()*DV$12^2)/4*(DR301*$W301*1000)/($H301*$B$5),(PI()*DV$12^2)/4*(DR301*$W301*1000)/($G301*$B$5)),
IF($D301="Pénétro.",
IF(OR($E301=4,$E301=1,$E301=5),(PI()*DV$12^2)/4*(DR301*$W301*1000)/($H301*$B$5),(PI()*DV$12^2)/4*(DR301*$W301*1000)/($G301*$B$5)))),
IF($D301="Pressio.",
IF($E301=3,(PI()*DV$12^2)/4*(DR301*$W301*1000)/($H301*$B$5),(PI()*DV$12^2)/4*(DR301*$W301*1000)/($G301*$B$5)),
IF($D301="Pénétro.",
IF($E301=4,(PI()*DV$12^2)/4*(DR301*$W301*1000)/($H301*$B$5),(PI()*DV$12^2)/4*(DR301*$W301*1000)/($G301*$B$5))))))/10</f>
        <v>#N/A</v>
      </c>
      <c r="DW301" s="102" t="e">
        <f>(VLOOKUP($B$3,'Coeff EC7'!$T$39:$X$59,2,0)*DU301+VLOOKUP($B$3,'Coeff EC7'!$T$65:$X$85,2,0)*Model0.1C!DV301)/1.1</f>
        <v>#N/A</v>
      </c>
      <c r="DX301" s="102" t="e">
        <f>(VLOOKUP($B$3,'Coeff EC7'!$T$39:$X$59,3,0)*DU301+VLOOKUP($B$3,'Coeff EC7'!$T$65:$X$85,3,0)*Model0.1C!DV301)/0.9</f>
        <v>#N/A</v>
      </c>
      <c r="DY301" s="102" t="e">
        <f t="shared" si="490"/>
        <v>#N/A</v>
      </c>
      <c r="DZ301" s="102" t="e">
        <f t="shared" si="491"/>
        <v>#N/A</v>
      </c>
      <c r="EA301" s="414" t="e">
        <f>IF(EA300=0,0,IF(AND(DW301&gt;charge_ELS_quasi,DX301&gt;Charge_ELS_freq,DY301&gt;charge_ELU,DZ301&gt;charge_ELA,$B301&gt;NDC!$H$22-0.1+MIN(3*$EA$12,1.5)),0,1))</f>
        <v>#N/A</v>
      </c>
      <c r="EB301" s="86" t="b">
        <f t="shared" si="459"/>
        <v>0</v>
      </c>
      <c r="EC301" s="418">
        <f t="shared" si="460"/>
        <v>0.51</v>
      </c>
      <c r="ED301" s="86">
        <f t="shared" si="461"/>
        <v>0.51</v>
      </c>
      <c r="EE301" s="30" t="e">
        <f t="shared" ca="1" si="492"/>
        <v>#DIV/0!</v>
      </c>
      <c r="EF301" s="85" t="e">
        <f ca="1">IF(DL301&lt;=Hypothèses!$V$7,Hypothèses!$W$7,IF(DL301&lt;=Hypothèses!$V$8,Hypothèses!$W$8,IF(DL301&lt;=Hypothèses!$V$9,Hypothèses!$W$9,IF(DL301&lt;=Hypothèses!$V$10,Hypothèses!$W$10,IF(DL301&lt;=Hypothèses!$V$11,Hypothèses!$W$11,IF(DL301&lt;=Hypothèses!$V$12,Hypothèses!$W$12,IF(DL301&lt;=Hypothèses!$V$13,Hypothèses!$W$13,IF(DL301&lt;=Hypothèses!$V$14,Hypothèses!$W$14,IF(DL301&lt;=Hypothèses!$V$15,Hypothèses!$W$15,IF(DL301&lt;=Hypothèses!$V$16,Hypothèses!$W$16,IF(DL301&lt;=Hypothèses!$V$17,Hypothèses!$W$17,IF(DL301&lt;=Hypothèses!$V$18,Hypothèses!$W$18,""))))))))))))</f>
        <v>#DIV/0!</v>
      </c>
      <c r="EG301" s="87" t="e">
        <f t="shared" ca="1" si="522"/>
        <v>#DIV/0!</v>
      </c>
      <c r="EH301" s="88" t="e">
        <f ca="1">IF(DL301&lt;=Hypothèses!$V$7,Hypothèses!$X$7,IF(DL301&lt;=Hypothèses!$V$8,Hypothèses!$X$8,IF(DL301&lt;=Hypothèses!$V$9,Hypothèses!$X$9,IF(DL301&lt;=Hypothèses!$V$10,Hypothèses!$X$10,IF(DL301&lt;=Hypothèses!$V$11,Hypothèses!$X$11,IF(DL301&lt;=Hypothèses!$V$12,Hypothèses!$X$12,IF(DL301&lt;=Hypothèses!$V$13,Hypothèses!$X$13,IF(DL301&lt;=Hypothèses!$V$14,Hypothèses!$X$14,IF(DL301&lt;=Hypothèses!$V$15,Hypothèses!$X$15,IF(DL301&lt;=Hypothèses!$V$16,Hypothèses!$X$16,IF(DL301&lt;=Hypothèses!$U$17,Hypothèses!$W$17,IF(DL301&lt;=Hypothèses!$U$18,Hypothèses!$W$18,""))))))))))))</f>
        <v>#DIV/0!</v>
      </c>
      <c r="EI301" s="95" t="e">
        <f t="shared" ca="1" si="493"/>
        <v>#DIV/0!</v>
      </c>
      <c r="EJ301" s="101" t="e">
        <f t="shared" si="529"/>
        <v>#N/A</v>
      </c>
      <c r="EK301" s="91" t="e">
        <f t="shared" si="462"/>
        <v>#N/A</v>
      </c>
      <c r="EL301" s="30" t="e">
        <f t="shared" si="512"/>
        <v>#N/A</v>
      </c>
      <c r="EM301" s="30" t="e">
        <f t="shared" si="513"/>
        <v>#N/A</v>
      </c>
      <c r="EN301" s="31" t="e">
        <f>IF(OR(Hypothèses!$B$4=17,Hypothèses!$B$4=18,Hypothèses!$B$4=19,Hypothèses!$B$4=20),
IF($D301="Pressio.",
IF(OR($E301=3,$E301=1,$E301=4),EM301,EL301),
IF($D301="Pénétro.",
IF(OR($E301=3,$E301=1,$E301=4),EM301,EL301))),IF($D301="Pressio.",
IF($E301=3,EM301,EL301),
IF($D301="Pénétro.",
IF($E301=4,EM301,EL301))))</f>
        <v>#N/A</v>
      </c>
      <c r="EO301" s="31" t="e">
        <f>(IF(OR(Hypothèses!$B$4=17,Hypothèses!$B$4=18,Hypothèses!$B$4=19,Hypothèses!$B$4=20),
IF($D301="Pressio.",
IF(OR($E301=3,$E301=1,$E301=4),(PI()*EO$12^2)/4*(EK301*$W301*1000)/($H301*$B$5),(PI()*EO$12^2)/4*(EK301*$W301*1000)/($G301*$B$5)),
IF($D301="Pénétro.",
IF(OR($E301=4,$E301=1,$E301=5),(PI()*EO$12^2)/4*(EK301*$W301*1000)/($H301*$B$5),(PI()*EO$12^2)/4*(EK301*$W301*1000)/($G301*$B$5)))),
IF($D301="Pressio.",
IF($E301=3,(PI()*EO$12^2)/4*(EK301*$W301*1000)/($H301*$B$5),(PI()*EO$12^2)/4*(EK301*$W301*1000)/($G301*$B$5)),
IF($D301="Pénétro.",
IF($E301=4,(PI()*EO$12^2)/4*(EK301*$W301*1000)/($H301*$B$5),(PI()*EO$12^2)/4*(EK301*$W301*1000)/($G301*$B$5))))))/10</f>
        <v>#N/A</v>
      </c>
      <c r="EP301" s="102" t="e">
        <f>(VLOOKUP($B$3,'Coeff EC7'!$T$39:$X$59,2,0)*EN301+VLOOKUP($B$3,'Coeff EC7'!$T$65:$X$85,2,0)*Model0.1C!EO301)/1.1</f>
        <v>#N/A</v>
      </c>
      <c r="EQ301" s="102" t="e">
        <f>(VLOOKUP($B$3,'Coeff EC7'!$T$39:$X$59,3,0)*EN301+VLOOKUP($B$3,'Coeff EC7'!$T$65:$X$85,3,0)*Model0.1C!EO301)/0.9</f>
        <v>#N/A</v>
      </c>
      <c r="ER301" s="102" t="e">
        <f t="shared" si="494"/>
        <v>#N/A</v>
      </c>
      <c r="ES301" s="102" t="e">
        <f t="shared" si="495"/>
        <v>#N/A</v>
      </c>
      <c r="ET301" s="414" t="e">
        <f>IF(ET300=0,0,IF(AND(EP301&gt;charge_ELS_quasi,EQ301&gt;Charge_ELS_freq,ER301&gt;charge_ELU,ES301&gt;charge_ELA,$B301&gt;NDC!$H$22-0.1+MIN(3*$ET$12,1.5)),0,1))</f>
        <v>#N/A</v>
      </c>
      <c r="EU301" s="86" t="b">
        <f t="shared" si="463"/>
        <v>0</v>
      </c>
      <c r="EV301" s="86">
        <f t="shared" si="464"/>
        <v>0.61</v>
      </c>
      <c r="EW301" s="86">
        <f t="shared" si="465"/>
        <v>0.61</v>
      </c>
      <c r="EX301" s="30" t="e">
        <f t="shared" ca="1" si="496"/>
        <v>#DIV/0!</v>
      </c>
      <c r="EY301" s="85" t="e">
        <f ca="1">IF(EE301&lt;=Hypothèses!$V$7,Hypothèses!$W$7,IF(EE301&lt;=Hypothèses!$V$8,Hypothèses!$W$8,IF(EE301&lt;=Hypothèses!$V$9,Hypothèses!$W$9,IF(EE301&lt;=Hypothèses!$V$10,Hypothèses!$W$10,IF(EE301&lt;=Hypothèses!$V$11,Hypothèses!$W$11,IF(EE301&lt;=Hypothèses!$V$12,Hypothèses!$W$12,IF(EE301&lt;=Hypothèses!$V$13,Hypothèses!$W$13,IF(EE301&lt;=Hypothèses!$V$14,Hypothèses!$W$14,IF(EE301&lt;=Hypothèses!$V$15,Hypothèses!$W$15,IF(EE301&lt;=Hypothèses!$V$16,Hypothèses!$W$16,IF(EE301&lt;=Hypothèses!$V$17,Hypothèses!$W$17,IF(EE301&lt;=Hypothèses!$V$18,Hypothèses!$W$18,""))))))))))))</f>
        <v>#DIV/0!</v>
      </c>
      <c r="EZ301" s="87" t="e">
        <f t="shared" ca="1" si="523"/>
        <v>#DIV/0!</v>
      </c>
      <c r="FA301" s="88" t="e">
        <f ca="1">IF(EE301&lt;=Hypothèses!$V$7,Hypothèses!$X$7,IF(EE301&lt;=Hypothèses!$V$8,Hypothèses!$X$8,IF(EE301&lt;=Hypothèses!$V$9,Hypothèses!$X$9,IF(EE301&lt;=Hypothèses!$V$10,Hypothèses!$X$10,IF(EE301&lt;=Hypothèses!$V$11,Hypothèses!$X$11,IF(EE301&lt;=Hypothèses!$V$12,Hypothèses!$X$12,IF(EE301&lt;=Hypothèses!$V$13,Hypothèses!$X$13,IF(EE301&lt;=Hypothèses!$V$14,Hypothèses!$X$14,IF(EE301&lt;=Hypothèses!$V$15,Hypothèses!$X$15,IF(EE301&lt;=Hypothèses!$V$16,Hypothèses!$X$16,IF(EE301&lt;=Hypothèses!$U$17,Hypothèses!$W$17,IF(EE301&lt;=Hypothèses!$U$18,Hypothèses!$W$18,""))))))))))))</f>
        <v>#DIV/0!</v>
      </c>
      <c r="FB301" s="95" t="e">
        <f t="shared" ca="1" si="497"/>
        <v>#DIV/0!</v>
      </c>
      <c r="FC301" s="101" t="e">
        <f t="shared" si="530"/>
        <v>#N/A</v>
      </c>
      <c r="FD301" s="91" t="e">
        <f t="shared" si="466"/>
        <v>#N/A</v>
      </c>
      <c r="FE301" s="30" t="e">
        <f t="shared" si="514"/>
        <v>#N/A</v>
      </c>
      <c r="FF301" s="30" t="e">
        <f t="shared" si="515"/>
        <v>#N/A</v>
      </c>
      <c r="FG301" s="31" t="e">
        <f>IF(OR(Hypothèses!$B$4=17,Hypothèses!$B$4=18,Hypothèses!$B$4=19,Hypothèses!$B$4=20),
IF($D301="Pressio.",
IF(OR($E301=3,$E301=1,$E301=4),FF301,FE301),
IF($D301="Pénétro.",
IF(OR($E301=3,$E301=1,$E301=4),FF301,FE301))),IF($D301="Pressio.",
IF($E301=3,FF301,FE301),
IF($D301="Pénétro.",
IF($E301=4,FF301,FE301))))</f>
        <v>#N/A</v>
      </c>
      <c r="FH301" s="31" t="e">
        <f>(IF(OR(Hypothèses!$B$4=17,Hypothèses!$B$4=18,Hypothèses!$B$4=19,Hypothèses!$B$4=20),
IF($D301="Pressio.",
IF(OR($E301=3,$E301=1,$E301=4),(PI()*FH$12^2)/4*(FD301*$W301*1000)/($H301*$B$5),(PI()*FH$12^2)/4*(FD301*$W301*1000)/($G301*$B$5)),
IF($D301="Pénétro.",
IF(OR($E301=4,$E301=1,$E301=5),(PI()*FH$12^2)/4*(FD301*$W301*1000)/($H301*$B$5),(PI()*FH$12^2)/4*(FD301*$W301*1000)/($G301*$B$5)))),
IF($D301="Pressio.",
IF($E301=3,(PI()*FH$12^2)/4*(FD301*$W301*1000)/($H301*$B$5),(PI()*FH$12^2)/4*(FD301*$W301*1000)/($G301*$B$5)),
IF($D301="Pénétro.",
IF($E301=4,(PI()*FH$12^2)/4*(FD301*$W301*1000)/($H301*$B$5),(PI()*FH$12^2)/4*(FD301*$W301*1000)/($G301*$B$5))))))/10</f>
        <v>#N/A</v>
      </c>
      <c r="FI301" s="102" t="e">
        <f>(VLOOKUP($B$3,'Coeff EC7'!$T$39:$X$59,2,0)*FG301+VLOOKUP($B$3,'Coeff EC7'!$T$65:$X$85,2,0)*Model0.1C!FH301)/1.1</f>
        <v>#N/A</v>
      </c>
      <c r="FJ301" s="102" t="e">
        <f>(VLOOKUP($B$3,'Coeff EC7'!$T$39:$X$59,3,0)*FG301+VLOOKUP($B$3,'Coeff EC7'!$T$65:$X$85,3,0)*Model0.1C!FH301)/0.9</f>
        <v>#N/A</v>
      </c>
      <c r="FK301" s="102" t="e">
        <f t="shared" si="498"/>
        <v>#N/A</v>
      </c>
      <c r="FL301" s="102" t="e">
        <f t="shared" si="499"/>
        <v>#N/A</v>
      </c>
      <c r="FM301" s="414" t="e">
        <f>IF(FM300=0,0,IF(AND(FI301&gt;charge_ELS_quasi,FJ301&gt;Charge_ELS_freq,FK301&gt;charge_ELU,FL301&gt;charge_ELA,$B301&gt;NDC!$H$22-0.1+MIN(3*$FM$12,1.5)),0,1))</f>
        <v>#N/A</v>
      </c>
    </row>
    <row r="302" spans="1:169">
      <c r="A302" s="96">
        <f t="shared" si="467"/>
        <v>71.100000000001643</v>
      </c>
      <c r="B302" s="97">
        <v>28.9</v>
      </c>
      <c r="C302" s="81">
        <f>IF(B302&lt;=Hypothèses!$C$7,Hypothèses!$A$7,IF(B302&lt;=Hypothèses!$C$8,Hypothèses!$A$8,IF(B302&lt;=Hypothèses!$C$9,Hypothèses!$A$9,IF(B302&lt;=Hypothèses!$C$10,Hypothèses!$A$10,IF(B302&lt;=Hypothèses!$C$11,Hypothèses!$A$11,IF(B302&lt;=Hypothèses!$C$12,Hypothèses!$A$12,IF(B302&lt;=Hypothèses!$C$13,Hypothèses!$A$13,IF(B302&lt;=Hypothèses!$C$14,Hypothèses!$A$14,IF(B302&lt;=Hypothèses!$C$15,Hypothèses!$A$15,IF(B302&lt;=Hypothèses!$C$16,Hypothèses!$A$16,IF(B302&lt;=Hypothèses!$C$17,Hypothèses!$A$17,IF(B302&lt;=Hypothèses!$C$18,Hypothèses!$A$18,C301))))))))))))</f>
        <v>11</v>
      </c>
      <c r="D302" s="82" t="str">
        <f>IF(B302&lt;=Hypothèses!$C$7,Hypothèses!$R$7,IF(B302&lt;=Hypothèses!$C$8,Hypothèses!$R$8,IF(B302&lt;=Hypothèses!$C$9,Hypothèses!$R$9,IF(B302&lt;=Hypothèses!$C$10,Hypothèses!$R$10,IF(B302&lt;=Hypothèses!$C$11,Hypothèses!$R$11,IF(B302&lt;=Hypothèses!$C$12,Hypothèses!$R$12,IF(B302&lt;=Hypothèses!$C$13,Hypothèses!$R$13,IF(B302&lt;=Hypothèses!$C$14,Hypothèses!$R$14,IF(B302&lt;=Hypothèses!$C$15,Hypothèses!$R$15,IF(B302&lt;=Hypothèses!$C$16,Hypothèses!$R$16,IF(B302&lt;=Hypothèses!$C$17,Hypothèses!$R$17,IF(B302&lt;=Hypothèses!$C$18,Hypothèses!$R$18,D301))))))))))))</f>
        <v>Pressio.</v>
      </c>
      <c r="E302" s="82" t="e">
        <f>IF(B302&lt;=Hypothèses!$C$7,Hypothèses!$G$7,IF(B302&lt;=Hypothèses!$C$8,Hypothèses!$G$8,IF(B302&lt;=Hypothèses!$C$9,Hypothèses!$G$9,IF(B302&lt;=Hypothèses!$C$10,Hypothèses!$G$10,IF(B302&lt;=Hypothèses!$C$11,Hypothèses!$G$11,IF(B302&lt;=Hypothèses!$C$12,Hypothèses!$G$12,IF(B302&lt;=Hypothèses!$C$13,Hypothèses!$G$13,IF(B302&lt;=Hypothèses!$C$14,Hypothèses!$G$14,IF(B302&lt;=Hypothèses!$C$15,Hypothèses!$G$15,IF(B302&lt;=Hypothèses!$C$16,Hypothèses!$G$16,IF(B302&lt;=Hypothèses!$C$17,Hypothèses!$G$17,IF(B302&lt;=Hypothèses!$C$18,Hypothèses!$G$18,E301))))))))))))</f>
        <v>#N/A</v>
      </c>
      <c r="F302" s="82" t="str">
        <f>IF(B302&lt;=Hypothèses!$C$7,Hypothèses!$F$7,IF(B302&lt;=Hypothèses!$C$8,Hypothèses!$F$8,IF(B302&lt;=Hypothèses!$C$9,Hypothèses!$F$9,IF(B302&lt;=Hypothèses!$C$10,Hypothèses!$F$10,IF(B302&lt;=Hypothèses!$C$11,Hypothèses!$F$11,IF(B302&lt;=Hypothèses!$C$12,Hypothèses!$F$12,IF(B302&lt;=Hypothèses!$C$13,Hypothèses!$F$13,IF(B302&lt;=Hypothèses!$C$14,Hypothèses!$F$14,IF(B302&lt;=Hypothèses!$C$15,Hypothèses!$F$15,IF(B302&lt;=Hypothèses!$C$16,Hypothèses!$F$16,IF(B302&lt;=Hypothèses!$C$17,Hypothèses!$F$17,IF(B302&lt;=Hypothèses!$C$18,Hypothèses!$F$18,F301))))))))))))</f>
        <v/>
      </c>
      <c r="G302" s="91">
        <f t="array" ref="G302">INDEX('Coeff EC7'!$U$7:$X$27,
MATCH(Model0.1C!$B$3,'Coeff EC7'!$T$7:$T$27,0),
MATCH(Model0.1C!$D302&amp;Model0.1C!$B$4,
'Coeff EC7'!$U$6:$X$6&amp;
'Coeff EC7'!$U$5:$X$5,0))</f>
        <v>1.1499999999999999</v>
      </c>
      <c r="H302" s="91">
        <f t="array" ref="H302">INDEX('Coeff EC7'!$Y$7:$AB$27,
MATCH(Model0.1C!$B$3,'Coeff EC7'!$T$7:$T$27,0),
MATCH(Model0.1C!$D302&amp;Model0.1C!$B$4,
'Coeff EC7'!$Y$6:$AB$6&amp;
'Coeff EC7'!$Y$5:$AB$5,0))</f>
        <v>1.4</v>
      </c>
      <c r="I302" s="83" t="e">
        <f>IF(B302&lt;=Hypothèses!$C$7,Hypothèses!$P$7,IF(B302&lt;=Hypothèses!$C$8,Hypothèses!$P$8,IF(B302&lt;=Hypothèses!$C$9,Hypothèses!$P$9,IF(B302&lt;=Hypothèses!$C$10,Hypothèses!$P$10,IF(B302&lt;=Hypothèses!$C$11,Hypothèses!$P$11,IF(B302&lt;=Hypothèses!$C$12,Hypothèses!$P$12,IF(B302&lt;=Hypothèses!$C$13,Hypothèses!$P$13,IF(B302&lt;=Hypothèses!$C$14,Hypothèses!$P$14,IF(B302&lt;=Hypothèses!$C$15,Hypothèses!$P$15,IF(B302&lt;=Hypothèses!$C$16,Hypothèses!$P$16,IF(B302&lt;=Hypothèses!$C$17,Hypothèses!$P$17,IF(B302&lt;=Hypothèses!$C$18,Hypothèses!$P$18,I301))))))))))))</f>
        <v>#N/A</v>
      </c>
      <c r="J302" s="91" t="e">
        <f t="array" ref="J302">INDEX('Coeff EC7'!$D$33:$Q$33,1,MATCH(D302&amp;E302,'Coeff EC7'!$D$31:$Q$31&amp;'Coeff EC7'!$D$32:$Q$32,0))</f>
        <v>#N/A</v>
      </c>
      <c r="K302" s="91" t="e">
        <f t="array" ref="K302">INDEX('Coeff EC7'!$D$34:$Q$34,1,MATCH(D302&amp;E302,'Coeff EC7'!$D$31:$Q$31&amp;'Coeff EC7'!$D$32:$Q$32,0))</f>
        <v>#N/A</v>
      </c>
      <c r="L302" s="91" t="e">
        <f t="array" ref="L302">INDEX('Coeff EC7'!$D$35:$Q$35,1,MATCH(D302&amp;E302,'Coeff EC7'!$D$31:$Q$31&amp;'Coeff EC7'!$D$32:$Q$32,0))</f>
        <v>#N/A</v>
      </c>
      <c r="M302" s="98" t="e">
        <f t="shared" si="431"/>
        <v>#N/A</v>
      </c>
      <c r="N302" s="99" t="e">
        <f t="array" ref="N302">INDEX('Coeff EC7'!$D$7:$Q$27,MATCH($B$3,'Coeff EC7'!$C$7:$C$27,0),MATCH(D302&amp;E302,'Coeff EC7'!$D$5:$Q$5&amp;'Coeff EC7'!$D$6:$Q$6,0))</f>
        <v>#N/A</v>
      </c>
      <c r="O302" s="99" t="e">
        <f t="array" ref="O302">INDEX('Coeff EC7'!$D$41:$Q$61,MATCH($B$3,'Coeff EC7'!$C$41:$C$61,0),MATCH(D302&amp;E302,'Coeff EC7'!$D$39:$Q$39&amp;'Coeff EC7'!$D$40:$Q$40,0))</f>
        <v>#N/A</v>
      </c>
      <c r="P302" s="30" t="e">
        <f t="shared" si="468"/>
        <v>#N/A</v>
      </c>
      <c r="Q302" s="100" t="e">
        <f t="shared" si="433"/>
        <v>#N/A</v>
      </c>
      <c r="R302" s="86" t="b">
        <f t="shared" si="434"/>
        <v>0</v>
      </c>
      <c r="S302" s="86">
        <f t="shared" si="432"/>
        <v>0.5</v>
      </c>
      <c r="T302" s="86">
        <f t="shared" si="435"/>
        <v>0.5</v>
      </c>
      <c r="U302" s="30" t="e">
        <f t="shared" ca="1" si="469"/>
        <v>#DIV/0!</v>
      </c>
      <c r="V302" s="85" t="str">
        <f>IF(B302&lt;=Hypothèses!$V$7,Hypothèses!$W$7,IF(B302&lt;=Hypothèses!$V$8,Hypothèses!$W$8,IF(B302&lt;=Hypothèses!$V$9,Hypothèses!$W$9,IF(B302&lt;=Hypothèses!$V$10,Hypothèses!$W$10,IF(B302&lt;=Hypothèses!$V$11,Hypothèses!$W$11,IF(B302&lt;=Hypothèses!$V$12,Hypothèses!$W$12,IF(B302&lt;=Hypothèses!$V$13,Hypothèses!$W$13,IF(B302&lt;=Hypothèses!$V$14,Hypothèses!$W$14,IF(B302&lt;=Hypothèses!$V$15,Hypothèses!$W$15,IF(B302&lt;=Hypothèses!$V$16,Hypothèses!$W$16,IF(B302&lt;=Hypothèses!$V$17,Hypothèses!$W$17,IF(B302&lt;=Hypothèses!$V$18,Hypothèses!$W$18,""))))))))))))</f>
        <v/>
      </c>
      <c r="W302" s="87" t="e">
        <f t="shared" ca="1" si="516"/>
        <v>#DIV/0!</v>
      </c>
      <c r="X302" s="88" t="str">
        <f>IF(B302&lt;=Hypothèses!$V$7,Hypothèses!$X$7,IF(B302&lt;=Hypothèses!$V$8,Hypothèses!$X$8,IF(B302&lt;=Hypothèses!$V$9,Hypothèses!$X$9,IF(B302&lt;=Hypothèses!$V$10,Hypothèses!$X$10,IF(B302&lt;=Hypothèses!$V$11,Hypothèses!$X$11,IF(B302&lt;=Hypothèses!$V$12,Hypothèses!$X$12,IF(B302&lt;=Hypothèses!$V$13,Hypothèses!$X$13,IF(B302&lt;=Hypothèses!$V$14,Hypothèses!$X$14,IF(B302&lt;=Hypothèses!$V$15,Hypothèses!$X$15,IF(B302&lt;=Hypothèses!$V$16,Hypothèses!$X$16,IF(B302&lt;=Hypothèses!$U$17,Hypothèses!$W$17,IF(B302&lt;=Hypothèses!$U$18,Hypothèses!$W$18,""))))))))))))</f>
        <v/>
      </c>
      <c r="Y302" s="95" t="e">
        <f t="shared" ca="1" si="436"/>
        <v>#DIV/0!</v>
      </c>
      <c r="Z302" s="101" t="e">
        <f t="shared" si="437"/>
        <v>#N/A</v>
      </c>
      <c r="AA302" s="91" t="e">
        <f t="shared" si="438"/>
        <v>#N/A</v>
      </c>
      <c r="AB302" s="30" t="e">
        <f t="shared" si="500"/>
        <v>#N/A</v>
      </c>
      <c r="AC302" s="30" t="e">
        <f t="shared" si="501"/>
        <v>#N/A</v>
      </c>
      <c r="AD302" s="31" t="e">
        <f>IF(OR(Hypothèses!$B$4=17,Hypothèses!$B$4=18,Hypothèses!$B$4=19,Hypothèses!$B$4=20),
IF($D302="Pressio.",
IF(OR($E302=3,$E302=1,$E302=4),AC302,AB302),
IF($D302="Pénétro.",
IF(OR($E302=3,$E302=1,$E302=4),AC302,AB302))),IF($D302="Pressio.",
IF($E302=3,AC302,AB302),
IF($D302="Pénétro.",
IF($E302=4,AC302,AB302))))</f>
        <v>#N/A</v>
      </c>
      <c r="AE302" s="31" t="e">
        <f>(IF(OR(Hypothèses!$B$4=17,Hypothèses!$B$4=18,Hypothèses!$B$4=19,Hypothèses!$B$4=20),
IF($D302="Pressio.",
IF(OR($E302=3,$E302=1,$E302=4),(PI()*AE$12^2)/4*(AA302*$W302*1000)/($H302*$B$5),(PI()*AE$12^2)/4*(AA302*$W302*1000)/($G302*$B$5)),
IF($D302="Pénétro.",
IF(OR($E302=4,$E302=1,$E302=5),(PI()*AE$12^2)/4*(AA302*$W302*1000)/($H302*$B$5),(PI()*AE$12^2)/4*(AA302*$W302*1000)/($G302*$B$5)))),
IF($D302="Pressio.",
IF($E302=3,(PI()*AE$12^2)/4*(AA302*$W302*1000)/($H302*$B$5),(PI()*AE$12^2)/4*(AA302*$W302*1000)/($G302*$B$5)),
IF($D302="Pénétro.",
IF($E302=4,(PI()*AE$12^2)/4*(AA302*$W302*1000)/($H302*$B$5),(PI()*AE$12^2)/4*(AA302*$W302*1000)/($G302*$B$5))))))/10</f>
        <v>#N/A</v>
      </c>
      <c r="AF302" s="102" t="e">
        <f>(VLOOKUP($B$3,'Coeff EC7'!$T$39:$X$59,2,0)*AD302+VLOOKUP($B$3,'Coeff EC7'!$T$65:$X$85,2,0)*Model0.1C!AE302)/1.1</f>
        <v>#N/A</v>
      </c>
      <c r="AG302" s="102" t="e">
        <f>(VLOOKUP($B$3,'Coeff EC7'!$T$39:$X$59,3,0)*AD302+VLOOKUP($B$3,'Coeff EC7'!$T$65:$X$85,3,0)*Model0.1C!AE302)/0.9</f>
        <v>#N/A</v>
      </c>
      <c r="AH302" s="102" t="e">
        <f t="shared" si="439"/>
        <v>#N/A</v>
      </c>
      <c r="AI302" s="102" t="e">
        <f t="shared" si="440"/>
        <v>#N/A</v>
      </c>
      <c r="AJ302" s="414" t="e">
        <f>IF(AJ301=0,0,IF(AND(AF302&gt;charge_ELS_quasi,AG302&gt;Charge_ELS_freq,AH302&gt;charge_ELU,AI302&gt;charge_ELA,$B302&gt;NDC!$H$22-0.1+MIN(3*$AJ$12,1.5)),0,1))</f>
        <v>#N/A</v>
      </c>
      <c r="AK302" s="86" t="b">
        <f t="shared" si="441"/>
        <v>0</v>
      </c>
      <c r="AL302" s="86">
        <f t="shared" si="470"/>
        <v>0.5</v>
      </c>
      <c r="AM302" s="86">
        <f t="shared" si="442"/>
        <v>0.5</v>
      </c>
      <c r="AN302" s="30" t="e">
        <f t="shared" ca="1" si="471"/>
        <v>#DIV/0!</v>
      </c>
      <c r="AO302" s="85" t="e">
        <f ca="1">IF(U302&lt;=Hypothèses!$V$7,Hypothèses!$W$7,IF(U302&lt;=Hypothèses!$V$8,Hypothèses!$W$8,IF(U302&lt;=Hypothèses!$V$9,Hypothèses!$W$9,IF(U302&lt;=Hypothèses!$V$10,Hypothèses!$W$10,IF(U302&lt;=Hypothèses!$V$11,Hypothèses!$W$11,IF(U302&lt;=Hypothèses!$V$12,Hypothèses!$W$12,IF(U302&lt;=Hypothèses!$V$13,Hypothèses!$W$13,IF(U302&lt;=Hypothèses!$V$14,Hypothèses!$W$14,IF(U302&lt;=Hypothèses!$V$15,Hypothèses!$W$15,IF(U302&lt;=Hypothèses!$V$16,Hypothèses!$W$16,IF(U302&lt;=Hypothèses!$V$17,Hypothèses!$W$17,IF(U302&lt;=Hypothèses!$V$18,Hypothèses!$W$18,""))))))))))))</f>
        <v>#DIV/0!</v>
      </c>
      <c r="AP302" s="87" t="e">
        <f t="shared" ca="1" si="517"/>
        <v>#DIV/0!</v>
      </c>
      <c r="AQ302" s="88" t="e">
        <f ca="1">IF(U302&lt;=Hypothèses!$V$7,Hypothèses!$X$7,IF(U302&lt;=Hypothèses!$V$8,Hypothèses!$X$8,IF(U302&lt;=Hypothèses!$V$9,Hypothèses!$X$9,IF(U302&lt;=Hypothèses!$V$10,Hypothèses!$X$10,IF(U302&lt;=Hypothèses!$V$11,Hypothèses!$X$11,IF(U302&lt;=Hypothèses!$V$12,Hypothèses!$X$12,IF(U302&lt;=Hypothèses!$V$13,Hypothèses!$X$13,IF(U302&lt;=Hypothèses!$V$14,Hypothèses!$X$14,IF(U302&lt;=Hypothèses!$V$15,Hypothèses!$X$15,IF(U302&lt;=Hypothèses!$V$16,Hypothèses!$X$16,IF(U302&lt;=Hypothèses!$U$17,Hypothèses!$W$17,IF(U302&lt;=Hypothèses!$U$18,Hypothèses!$W$18,""))))))))))))</f>
        <v>#DIV/0!</v>
      </c>
      <c r="AR302" s="95" t="e">
        <f t="shared" ca="1" si="472"/>
        <v>#DIV/0!</v>
      </c>
      <c r="AS302" s="101" t="e">
        <f t="shared" si="524"/>
        <v>#N/A</v>
      </c>
      <c r="AT302" s="91" t="e">
        <f t="shared" si="443"/>
        <v>#N/A</v>
      </c>
      <c r="AU302" s="30" t="e">
        <f t="shared" si="502"/>
        <v>#N/A</v>
      </c>
      <c r="AV302" s="30" t="e">
        <f t="shared" si="503"/>
        <v>#N/A</v>
      </c>
      <c r="AW302" s="31" t="e">
        <f>IF(OR(Hypothèses!$B$4=17,Hypothèses!$B$4=18,Hypothèses!$B$4=19,Hypothèses!$B$4=20),
IF($D302="Pressio.",
IF(OR($E302=3,$E302=1,$E302=4),AV302,AU302),
IF($D302="Pénétro.",
IF(OR($E302=3,$E302=1,$E302=4),AV302,AU302))),IF($D302="Pressio.",
IF($E302=3,AV302,AU302),
IF($D302="Pénétro.",
IF($E302=4,AV302,AU302))))</f>
        <v>#N/A</v>
      </c>
      <c r="AX302" s="31" t="e">
        <f>(IF(OR(Hypothèses!$B$4=17,Hypothèses!$B$4=18,Hypothèses!$B$4=19,Hypothèses!$B$4=20),
IF($D302="Pressio.",
IF(OR($E302=3,$E302=1,$E302=4),(PI()*AX$12^2)/4*(AT302*$W302*1000)/($H302*$B$5),(PI()*AX$12^2)/4*(AT302*$W302*1000)/($G302*$B$5)),
IF($D302="Pénétro.",
IF(OR($E302=4,$E302=1,$E302=5),(PI()*AX$12^2)/4*(AT302*$W302*1000)/($H302*$B$5),(PI()*AX$12^2)/4*(AT302*$W302*1000)/($G302*$B$5)))),
IF($D302="Pressio.",
IF($E302=3,(PI()*AX$12^2)/4*(AT302*$W302*1000)/($H302*$B$5),(PI()*AX$12^2)/4*(AT302*$W302*1000)/($G302*$B$5)),
IF($D302="Pénétro.",
IF($E302=4,(PI()*AX$12^2)/4*(AT302*$W302*1000)/($H302*$B$5),(PI()*AX$12^2)/4*(AT302*$W302*1000)/($G302*$B$5))))))/10</f>
        <v>#N/A</v>
      </c>
      <c r="AY302" s="102" t="e">
        <f>(VLOOKUP($B$3,'Coeff EC7'!$T$39:$X$59,2,0)*AW302+VLOOKUP($B$3,'Coeff EC7'!$T$65:$X$85,2,0)*Model0.1C!AX302)/1.1</f>
        <v>#N/A</v>
      </c>
      <c r="AZ302" s="102" t="e">
        <f>(VLOOKUP($B$3,'Coeff EC7'!$T$39:$X$59,3,0)*AW302+VLOOKUP($B$3,'Coeff EC7'!$T$65:$X$85,3,0)*Model0.1C!AX302)/0.9</f>
        <v>#N/A</v>
      </c>
      <c r="BA302" s="102" t="e">
        <f t="shared" si="473"/>
        <v>#N/A</v>
      </c>
      <c r="BB302" s="102" t="e">
        <f t="shared" si="474"/>
        <v>#N/A</v>
      </c>
      <c r="BC302" s="414" t="e">
        <f>IF(BC301=0,0,IF(AND(AY302&gt;charge_ELS_quasi,AZ302&gt;Charge_ELS_freq,BA302&gt;charge_ELU,BB302&gt;charge_ELA,$B302&gt;NDC!$H$22-0.1+MIN(3*$BC$12,1.5)),0,1))</f>
        <v>#N/A</v>
      </c>
      <c r="BD302" s="86" t="b">
        <f t="shared" si="444"/>
        <v>0</v>
      </c>
      <c r="BE302" s="86">
        <f t="shared" si="475"/>
        <v>0.5</v>
      </c>
      <c r="BF302" s="86">
        <f t="shared" si="445"/>
        <v>0.5</v>
      </c>
      <c r="BG302" s="30" t="e">
        <f t="shared" ca="1" si="476"/>
        <v>#DIV/0!</v>
      </c>
      <c r="BH302" s="85" t="e">
        <f ca="1">IF(AN302&lt;=Hypothèses!$V$7,Hypothèses!$W$7,IF(AN302&lt;=Hypothèses!$V$8,Hypothèses!$W$8,IF(AN302&lt;=Hypothèses!$V$9,Hypothèses!$W$9,IF(AN302&lt;=Hypothèses!$V$10,Hypothèses!$W$10,IF(AN302&lt;=Hypothèses!$V$11,Hypothèses!$W$11,IF(AN302&lt;=Hypothèses!$V$12,Hypothèses!$W$12,IF(AN302&lt;=Hypothèses!$V$13,Hypothèses!$W$13,IF(AN302&lt;=Hypothèses!$V$14,Hypothèses!$W$14,IF(AN302&lt;=Hypothèses!$V$15,Hypothèses!$W$15,IF(AN302&lt;=Hypothèses!$V$16,Hypothèses!$W$16,IF(AN302&lt;=Hypothèses!$V$17,Hypothèses!$W$17,IF(AN302&lt;=Hypothèses!$V$18,Hypothèses!$W$18,""))))))))))))</f>
        <v>#DIV/0!</v>
      </c>
      <c r="BI302" s="87" t="e">
        <f t="shared" ca="1" si="518"/>
        <v>#DIV/0!</v>
      </c>
      <c r="BJ302" s="88" t="e">
        <f ca="1">IF(AN302&lt;=Hypothèses!$V$7,Hypothèses!$X$7,IF(AN302&lt;=Hypothèses!$V$8,Hypothèses!$X$8,IF(AN302&lt;=Hypothèses!$V$9,Hypothèses!$X$9,IF(AN302&lt;=Hypothèses!$V$10,Hypothèses!$X$10,IF(AN302&lt;=Hypothèses!$V$11,Hypothèses!$X$11,IF(AN302&lt;=Hypothèses!$V$12,Hypothèses!$X$12,IF(AN302&lt;=Hypothèses!$V$13,Hypothèses!$X$13,IF(AN302&lt;=Hypothèses!$V$14,Hypothèses!$X$14,IF(AN302&lt;=Hypothèses!$V$15,Hypothèses!$X$15,IF(AN302&lt;=Hypothèses!$V$16,Hypothèses!$X$16,IF(AN302&lt;=Hypothèses!$U$17,Hypothèses!$W$17,IF(AN302&lt;=Hypothèses!$U$18,Hypothèses!$W$18,""))))))))))))</f>
        <v>#DIV/0!</v>
      </c>
      <c r="BK302" s="95" t="e">
        <f t="shared" ca="1" si="477"/>
        <v>#DIV/0!</v>
      </c>
      <c r="BL302" s="101" t="e">
        <f t="shared" si="525"/>
        <v>#N/A</v>
      </c>
      <c r="BM302" s="91" t="e">
        <f t="shared" si="446"/>
        <v>#N/A</v>
      </c>
      <c r="BN302" s="30" t="e">
        <f t="shared" si="504"/>
        <v>#N/A</v>
      </c>
      <c r="BO302" s="30" t="e">
        <f t="shared" si="505"/>
        <v>#N/A</v>
      </c>
      <c r="BP302" s="31" t="e">
        <f>IF(OR(Hypothèses!$B$4=17,Hypothèses!$B$4=18,Hypothèses!$B$4=19,Hypothèses!$B$4=20),
IF($D302="Pressio.",
IF(OR($E302=3,$E302=1,$E302=4),BO302,BN302),
IF($D302="Pénétro.",
IF(OR($E302=3,$E302=1,$E302=4),BO302,BN302))),IF($D302="Pressio.",
IF($E302=3,BO302,BN302),
IF($D302="Pénétro.",
IF($E302=4,BO302,BN302))))</f>
        <v>#N/A</v>
      </c>
      <c r="BQ302" s="31" t="e">
        <f>(IF(OR(Hypothèses!$B$4=17,Hypothèses!$B$4=18,Hypothèses!$B$4=19,Hypothèses!$B$4=20),
IF($D302="Pressio.",
IF(OR($E302=3,$E302=1,$E302=4),(PI()*BQ$12^2)/4*(BM302*$W302*1000)/($H302*$B$5),(PI()*BQ$12^2)/4*(BM302*$W302*1000)/($G302*$B$5)),
IF($D302="Pénétro.",
IF(OR($E302=4,$E302=1,$E302=5),(PI()*BQ$12^2)/4*(BM302*$W302*1000)/($H302*$B$5),(PI()*BQ$12^2)/4*(BM302*$W302*1000)/($G302*$B$5)))),
IF($D302="Pressio.",
IF($E302=3,(PI()*BQ$12^2)/4*(BM302*$W302*1000)/($H302*$B$5),(PI()*BQ$12^2)/4*(BM302*$W302*1000)/($G302*$B$5)),
IF($D302="Pénétro.",
IF($E302=4,(PI()*BQ$12^2)/4*(BM302*$W302*1000)/($H302*$B$5),(PI()*BQ$12^2)/4*(BM302*$W302*1000)/($G302*$B$5))))))/10</f>
        <v>#N/A</v>
      </c>
      <c r="BR302" s="102" t="e">
        <f>(VLOOKUP($B$3,'Coeff EC7'!$T$39:$X$59,2,0)*BP302+VLOOKUP($B$3,'Coeff EC7'!$T$65:$X$85,2,0)*Model0.1C!BQ302)/1.1</f>
        <v>#N/A</v>
      </c>
      <c r="BS302" s="102" t="e">
        <f>(VLOOKUP($B$3,'Coeff EC7'!$T$39:$X$59,3,0)*BP302+VLOOKUP($B$3,'Coeff EC7'!$T$65:$X$85,3,0)*Model0.1C!BQ302)/0.9</f>
        <v>#N/A</v>
      </c>
      <c r="BT302" s="102" t="e">
        <f t="shared" si="478"/>
        <v>#N/A</v>
      </c>
      <c r="BU302" s="102" t="e">
        <f t="shared" si="479"/>
        <v>#N/A</v>
      </c>
      <c r="BV302" s="414" t="e">
        <f>IF(BV301=0,0,IF(AND(BR302&gt;charge_ELS_quasi,BS302&gt;Charge_ELS_freq,BT302&gt;charge_ELU,BU302&gt;charge_ELA,$B302&gt;NDC!$H$22-0.1+MIN(3*$BV$12,1.5)),0,1))</f>
        <v>#N/A</v>
      </c>
      <c r="BW302" s="86" t="b">
        <f t="shared" si="447"/>
        <v>0</v>
      </c>
      <c r="BX302" s="86">
        <f t="shared" si="448"/>
        <v>0.5</v>
      </c>
      <c r="BY302" s="86">
        <f t="shared" si="449"/>
        <v>0.5</v>
      </c>
      <c r="BZ302" s="30" t="e">
        <f t="shared" ca="1" si="480"/>
        <v>#DIV/0!</v>
      </c>
      <c r="CA302" s="85" t="e">
        <f ca="1">IF(BG302&lt;=Hypothèses!$V$7,Hypothèses!$W$7,IF(BG302&lt;=Hypothèses!$V$8,Hypothèses!$W$8,IF(BG302&lt;=Hypothèses!$V$9,Hypothèses!$W$9,IF(BG302&lt;=Hypothèses!$V$10,Hypothèses!$W$10,IF(BG302&lt;=Hypothèses!$V$11,Hypothèses!$W$11,IF(BG302&lt;=Hypothèses!$V$12,Hypothèses!$W$12,IF(BG302&lt;=Hypothèses!$V$13,Hypothèses!$W$13,IF(BG302&lt;=Hypothèses!$V$14,Hypothèses!$W$14,IF(BG302&lt;=Hypothèses!$V$15,Hypothèses!$W$15,IF(BG302&lt;=Hypothèses!$V$16,Hypothèses!$W$16,IF(BG302&lt;=Hypothèses!$V$17,Hypothèses!$W$17,IF(BG302&lt;=Hypothèses!$V$18,Hypothèses!$W$18,""))))))))))))</f>
        <v>#DIV/0!</v>
      </c>
      <c r="CB302" s="87" t="e">
        <f t="shared" ca="1" si="519"/>
        <v>#DIV/0!</v>
      </c>
      <c r="CC302" s="88" t="e">
        <f ca="1">IF(BG302&lt;=Hypothèses!$V$7,Hypothèses!$X$7,IF(BG302&lt;=Hypothèses!$V$8,Hypothèses!$X$8,IF(BG302&lt;=Hypothèses!$V$9,Hypothèses!$X$9,IF(BG302&lt;=Hypothèses!$V$10,Hypothèses!$X$10,IF(BG302&lt;=Hypothèses!$V$11,Hypothèses!$X$11,IF(BG302&lt;=Hypothèses!$V$12,Hypothèses!$X$12,IF(BG302&lt;=Hypothèses!$V$13,Hypothèses!$X$13,IF(BG302&lt;=Hypothèses!$V$14,Hypothèses!$X$14,IF(BG302&lt;=Hypothèses!$V$15,Hypothèses!$X$15,IF(BG302&lt;=Hypothèses!$V$16,Hypothèses!$X$16,IF(BG302&lt;=Hypothèses!$U$17,Hypothèses!$W$17,IF(BG302&lt;=Hypothèses!$U$18,Hypothèses!$W$18,""))))))))))))</f>
        <v>#DIV/0!</v>
      </c>
      <c r="CD302" s="95" t="e">
        <f t="shared" ca="1" si="481"/>
        <v>#DIV/0!</v>
      </c>
      <c r="CE302" s="101" t="e">
        <f t="shared" si="526"/>
        <v>#N/A</v>
      </c>
      <c r="CF302" s="91" t="e">
        <f t="shared" si="450"/>
        <v>#N/A</v>
      </c>
      <c r="CG302" s="30" t="e">
        <f t="shared" si="506"/>
        <v>#N/A</v>
      </c>
      <c r="CH302" s="30" t="e">
        <f t="shared" si="507"/>
        <v>#N/A</v>
      </c>
      <c r="CI302" s="31" t="e">
        <f>IF(OR(Hypothèses!$B$4=17,Hypothèses!$B$4=18,Hypothèses!$B$4=19,Hypothèses!$B$4=20),
IF($D302="Pressio.",
IF(OR($E302=3,$E302=1,$E302=4),CH302,CG302),
IF($D302="Pénétro.",
IF(OR($E302=3,$E302=1,$E302=4),CH302,CG302))),IF($D302="Pressio.",
IF($E302=3,CH302,CG302),
IF($D302="Pénétro.",
IF($E302=4,CH302,CG302))))</f>
        <v>#N/A</v>
      </c>
      <c r="CJ302" s="31" t="e">
        <f>(IF(OR(Hypothèses!$B$4=17,Hypothèses!$B$4=18,Hypothèses!$B$4=19,Hypothèses!$B$4=20),
IF($D302="Pressio.",
IF(OR($E302=3,$E302=1,$E302=4),(PI()*CJ$12^2)/4*(CF302*$W302*1000)/($H302*$B$5),(PI()*CJ$12^2)/4*(CF302*$W302*1000)/($G302*$B$5)),
IF($D302="Pénétro.",
IF(OR($E302=4,$E302=1,$E302=5),(PI()*CJ$12^2)/4*(CF302*$W302*1000)/($H302*$B$5),(PI()*CJ$12^2)/4*(CF302*$W302*1000)/($G302*$B$5)))),
IF($D302="Pressio.",
IF($E302=3,(PI()*CJ$12^2)/4*(CF302*$W302*1000)/($H302*$B$5),(PI()*CJ$12^2)/4*(CF302*$W302*1000)/($G302*$B$5)),
IF($D302="Pénétro.",
IF($E302=4,(PI()*CJ$12^2)/4*(CF302*$W302*1000)/($H302*$B$5),(PI()*CJ$12^2)/4*(CF302*$W302*1000)/($G302*$B$5))))))/10</f>
        <v>#N/A</v>
      </c>
      <c r="CK302" s="102" t="e">
        <f>(VLOOKUP($B$3,'Coeff EC7'!$T$39:$X$59,2,0)*CI302+VLOOKUP($B$3,'Coeff EC7'!$T$65:$X$85,2,0)*Model0.1C!CJ302)/1.1</f>
        <v>#N/A</v>
      </c>
      <c r="CL302" s="102" t="e">
        <f>(VLOOKUP($B$3,'Coeff EC7'!$T$39:$X$59,3,0)*CI302+VLOOKUP($B$3,'Coeff EC7'!$T$65:$X$85,3,0)*Model0.1C!CJ302)/0.9</f>
        <v>#N/A</v>
      </c>
      <c r="CM302" s="102" t="e">
        <f t="shared" si="482"/>
        <v>#N/A</v>
      </c>
      <c r="CN302" s="102" t="e">
        <f t="shared" si="483"/>
        <v>#N/A</v>
      </c>
      <c r="CO302" s="414" t="e">
        <f>IF(CO301=0,0,IF(AND(CK302&gt;charge_ELS_quasi,CL302&gt;Charge_ELS_freq,CM302&gt;charge_ELU,CN302&gt;charge_ELA,$B302&gt;NDC!$H$22-0.1+MIN(3*$CO$12,1.5)),0,1))</f>
        <v>#N/A</v>
      </c>
      <c r="CP302" s="86" t="b">
        <f t="shared" si="451"/>
        <v>0</v>
      </c>
      <c r="CQ302" s="86">
        <f t="shared" si="452"/>
        <v>0.5</v>
      </c>
      <c r="CR302" s="86">
        <f t="shared" si="453"/>
        <v>0.5</v>
      </c>
      <c r="CS302" s="30" t="e">
        <f t="shared" ca="1" si="484"/>
        <v>#DIV/0!</v>
      </c>
      <c r="CT302" s="85" t="e">
        <f ca="1">IF(BZ302&lt;=Hypothèses!$V$7,Hypothèses!$W$7,IF(BZ302&lt;=Hypothèses!$V$8,Hypothèses!$W$8,IF(BZ302&lt;=Hypothèses!$V$9,Hypothèses!$W$9,IF(BZ302&lt;=Hypothèses!$V$10,Hypothèses!$W$10,IF(BZ302&lt;=Hypothèses!$V$11,Hypothèses!$W$11,IF(BZ302&lt;=Hypothèses!$V$12,Hypothèses!$W$12,IF(BZ302&lt;=Hypothèses!$V$13,Hypothèses!$W$13,IF(BZ302&lt;=Hypothèses!$V$14,Hypothèses!$W$14,IF(BZ302&lt;=Hypothèses!$V$15,Hypothèses!$W$15,IF(BZ302&lt;=Hypothèses!$V$16,Hypothèses!$W$16,IF(BZ302&lt;=Hypothèses!$V$17,Hypothèses!$W$17,IF(BZ302&lt;=Hypothèses!$V$18,Hypothèses!$W$18,""))))))))))))</f>
        <v>#DIV/0!</v>
      </c>
      <c r="CU302" s="87" t="e">
        <f t="shared" ca="1" si="520"/>
        <v>#DIV/0!</v>
      </c>
      <c r="CV302" s="88" t="e">
        <f ca="1">IF(BZ302&lt;=Hypothèses!$V$7,Hypothèses!$X$7,IF(BZ302&lt;=Hypothèses!$V$8,Hypothèses!$X$8,IF(BZ302&lt;=Hypothèses!$V$9,Hypothèses!$X$9,IF(BZ302&lt;=Hypothèses!$V$10,Hypothèses!$X$10,IF(BZ302&lt;=Hypothèses!$V$11,Hypothèses!$X$11,IF(BZ302&lt;=Hypothèses!$V$12,Hypothèses!$X$12,IF(BZ302&lt;=Hypothèses!$V$13,Hypothèses!$X$13,IF(BZ302&lt;=Hypothèses!$V$14,Hypothèses!$X$14,IF(BZ302&lt;=Hypothèses!$V$15,Hypothèses!$X$15,IF(BZ302&lt;=Hypothèses!$V$16,Hypothèses!$X$16,IF(BZ302&lt;=Hypothèses!$U$17,Hypothèses!$W$17,IF(BZ302&lt;=Hypothèses!$U$18,Hypothèses!$W$18,""))))))))))))</f>
        <v>#DIV/0!</v>
      </c>
      <c r="CW302" s="95" t="e">
        <f t="shared" ca="1" si="485"/>
        <v>#DIV/0!</v>
      </c>
      <c r="CX302" s="101" t="e">
        <f t="shared" si="527"/>
        <v>#N/A</v>
      </c>
      <c r="CY302" s="91" t="e">
        <f t="shared" si="454"/>
        <v>#N/A</v>
      </c>
      <c r="CZ302" s="30" t="e">
        <f t="shared" si="508"/>
        <v>#N/A</v>
      </c>
      <c r="DA302" s="30" t="e">
        <f t="shared" si="509"/>
        <v>#N/A</v>
      </c>
      <c r="DB302" s="31" t="e">
        <f>IF(OR(Hypothèses!$B$4=17,Hypothèses!$B$4=18,Hypothèses!$B$4=19,Hypothèses!$B$4=20),
IF($D302="Pressio.",
IF(OR($E302=3,$E302=1,$E302=4),DA302,CZ302),
IF($D302="Pénétro.",
IF(OR($E302=3,$E302=1,$E302=4),DA302,CZ302))),IF($D302="Pressio.",
IF($E302=3,DA302,CZ302),
IF($D302="Pénétro.",
IF($E302=4,DA302,CZ302))))</f>
        <v>#N/A</v>
      </c>
      <c r="DC302" s="31" t="e">
        <f>(IF(OR(Hypothèses!$B$4=17,Hypothèses!$B$4=18,Hypothèses!$B$4=19,Hypothèses!$B$4=20),
IF($D302="Pressio.",
IF(OR($E302=3,$E302=1,$E302=4),(PI()*DC$12^2)/4*(CY302*$W302*1000)/($H302*$B$5),(PI()*DC$12^2)/4*(CY302*$W302*1000)/($G302*$B$5)),
IF($D302="Pénétro.",
IF(OR($E302=4,$E302=1,$E302=5),(PI()*DC$12^2)/4*(CY302*$W302*1000)/($H302*$B$5),(PI()*DC$12^2)/4*(CY302*$W302*1000)/($G302*$B$5)))),
IF($D302="Pressio.",
IF($E302=3,(PI()*DC$12^2)/4*(CY302*$W302*1000)/($H302*$B$5),(PI()*DC$12^2)/4*(CY302*$W302*1000)/($G302*$B$5)),
IF($D302="Pénétro.",
IF($E302=4,(PI()*DC$12^2)/4*(CY302*$W302*1000)/($H302*$B$5),(PI()*DC$12^2)/4*(CY302*$W302*1000)/($G302*$B$5))))))/10</f>
        <v>#N/A</v>
      </c>
      <c r="DD302" s="102" t="e">
        <f>(VLOOKUP($B$3,'Coeff EC7'!$T$39:$X$59,2,0)*DB302+VLOOKUP($B$3,'Coeff EC7'!$T$65:$X$85,2,0)*Model0.1C!DC302)/1.1</f>
        <v>#N/A</v>
      </c>
      <c r="DE302" s="102" t="e">
        <f>(VLOOKUP($B$3,'Coeff EC7'!$T$39:$X$59,3,0)*DB302+VLOOKUP($B$3,'Coeff EC7'!$T$65:$X$85,3,0)*Model0.1C!DC302)/0.9</f>
        <v>#N/A</v>
      </c>
      <c r="DF302" s="102" t="e">
        <f t="shared" si="486"/>
        <v>#N/A</v>
      </c>
      <c r="DG302" s="102" t="e">
        <f t="shared" si="487"/>
        <v>#N/A</v>
      </c>
      <c r="DH302" s="414" t="e">
        <f>IF(DH301=0,0,IF(AND(DD302&gt;charge_ELS_quasi,DE302&gt;Charge_ELS_freq,DF302&gt;charge_ELU,DG302&gt;charge_ELA,$B302&gt;NDC!$H$22-0.1+MIN(3*$DH$12,1.5)),0,1))</f>
        <v>#N/A</v>
      </c>
      <c r="DI302" s="86" t="b">
        <f t="shared" si="455"/>
        <v>0</v>
      </c>
      <c r="DJ302" s="86">
        <f t="shared" si="456"/>
        <v>0.5</v>
      </c>
      <c r="DK302" s="86">
        <f t="shared" si="457"/>
        <v>0.5</v>
      </c>
      <c r="DL302" s="30" t="e">
        <f t="shared" ca="1" si="488"/>
        <v>#DIV/0!</v>
      </c>
      <c r="DM302" s="85" t="e">
        <f ca="1">IF(CS302&lt;=Hypothèses!$V$7,Hypothèses!$W$7,IF(CS302&lt;=Hypothèses!$V$8,Hypothèses!$W$8,IF(CS302&lt;=Hypothèses!$V$9,Hypothèses!$W$9,IF(CS302&lt;=Hypothèses!$V$10,Hypothèses!$W$10,IF(CS302&lt;=Hypothèses!$V$11,Hypothèses!$W$11,IF(CS302&lt;=Hypothèses!$V$12,Hypothèses!$W$12,IF(CS302&lt;=Hypothèses!$V$13,Hypothèses!$W$13,IF(CS302&lt;=Hypothèses!$V$14,Hypothèses!$W$14,IF(CS302&lt;=Hypothèses!$V$15,Hypothèses!$W$15,IF(CS302&lt;=Hypothèses!$V$16,Hypothèses!$W$16,IF(CS302&lt;=Hypothèses!$V$17,Hypothèses!$W$17,IF(CS302&lt;=Hypothèses!$V$18,Hypothèses!$W$18,""))))))))))))</f>
        <v>#DIV/0!</v>
      </c>
      <c r="DN302" s="87" t="e">
        <f t="shared" ca="1" si="521"/>
        <v>#DIV/0!</v>
      </c>
      <c r="DO302" s="88" t="e">
        <f ca="1">IF(CS302&lt;=Hypothèses!$V$7,Hypothèses!$X$7,IF(CS302&lt;=Hypothèses!$V$8,Hypothèses!$X$8,IF(CS302&lt;=Hypothèses!$V$9,Hypothèses!$X$9,IF(CS302&lt;=Hypothèses!$V$10,Hypothèses!$X$10,IF(CS302&lt;=Hypothèses!$V$11,Hypothèses!$X$11,IF(CS302&lt;=Hypothèses!$V$12,Hypothèses!$X$12,IF(CS302&lt;=Hypothèses!$V$13,Hypothèses!$X$13,IF(CS302&lt;=Hypothèses!$V$14,Hypothèses!$X$14,IF(CS302&lt;=Hypothèses!$V$15,Hypothèses!$X$15,IF(CS302&lt;=Hypothèses!$V$16,Hypothèses!$X$16,IF(CS302&lt;=Hypothèses!$U$17,Hypothèses!$W$17,IF(CS302&lt;=Hypothèses!$U$18,Hypothèses!$W$18,""))))))))))))</f>
        <v>#DIV/0!</v>
      </c>
      <c r="DP302" s="95" t="e">
        <f t="shared" ca="1" si="489"/>
        <v>#DIV/0!</v>
      </c>
      <c r="DQ302" s="101" t="e">
        <f t="shared" si="528"/>
        <v>#N/A</v>
      </c>
      <c r="DR302" s="91" t="e">
        <f t="shared" si="458"/>
        <v>#N/A</v>
      </c>
      <c r="DS302" s="30" t="e">
        <f t="shared" si="510"/>
        <v>#N/A</v>
      </c>
      <c r="DT302" s="30" t="e">
        <f t="shared" si="511"/>
        <v>#N/A</v>
      </c>
      <c r="DU302" s="31" t="e">
        <f>IF(OR(Hypothèses!$B$4=17,Hypothèses!$B$4=18,Hypothèses!$B$4=19,Hypothèses!$B$4=20),
IF($D302="Pressio.",
IF(OR($E302=3,$E302=1,$E302=4),DT302,DS302),
IF($D302="Pénétro.",
IF(OR($E302=3,$E302=1,$E302=4),DT302,DS302))),IF($D302="Pressio.",
IF($E302=3,DT302,DS302),
IF($D302="Pénétro.",
IF($E302=4,DT302,DS302))))</f>
        <v>#N/A</v>
      </c>
      <c r="DV302" s="31" t="e">
        <f>(IF(OR(Hypothèses!$B$4=17,Hypothèses!$B$4=18,Hypothèses!$B$4=19,Hypothèses!$B$4=20),
IF($D302="Pressio.",
IF(OR($E302=3,$E302=1,$E302=4),(PI()*DV$12^2)/4*(DR302*$W302*1000)/($H302*$B$5),(PI()*DV$12^2)/4*(DR302*$W302*1000)/($G302*$B$5)),
IF($D302="Pénétro.",
IF(OR($E302=4,$E302=1,$E302=5),(PI()*DV$12^2)/4*(DR302*$W302*1000)/($H302*$B$5),(PI()*DV$12^2)/4*(DR302*$W302*1000)/($G302*$B$5)))),
IF($D302="Pressio.",
IF($E302=3,(PI()*DV$12^2)/4*(DR302*$W302*1000)/($H302*$B$5),(PI()*DV$12^2)/4*(DR302*$W302*1000)/($G302*$B$5)),
IF($D302="Pénétro.",
IF($E302=4,(PI()*DV$12^2)/4*(DR302*$W302*1000)/($H302*$B$5),(PI()*DV$12^2)/4*(DR302*$W302*1000)/($G302*$B$5))))))/10</f>
        <v>#N/A</v>
      </c>
      <c r="DW302" s="102" t="e">
        <f>(VLOOKUP($B$3,'Coeff EC7'!$T$39:$X$59,2,0)*DU302+VLOOKUP($B$3,'Coeff EC7'!$T$65:$X$85,2,0)*Model0.1C!DV302)/1.1</f>
        <v>#N/A</v>
      </c>
      <c r="DX302" s="102" t="e">
        <f>(VLOOKUP($B$3,'Coeff EC7'!$T$39:$X$59,3,0)*DU302+VLOOKUP($B$3,'Coeff EC7'!$T$65:$X$85,3,0)*Model0.1C!DV302)/0.9</f>
        <v>#N/A</v>
      </c>
      <c r="DY302" s="102" t="e">
        <f t="shared" si="490"/>
        <v>#N/A</v>
      </c>
      <c r="DZ302" s="102" t="e">
        <f t="shared" si="491"/>
        <v>#N/A</v>
      </c>
      <c r="EA302" s="414" t="e">
        <f>IF(EA301=0,0,IF(AND(DW302&gt;charge_ELS_quasi,DX302&gt;Charge_ELS_freq,DY302&gt;charge_ELU,DZ302&gt;charge_ELA,$B302&gt;NDC!$H$22-0.1+MIN(3*$EA$12,1.5)),0,1))</f>
        <v>#N/A</v>
      </c>
      <c r="EB302" s="86" t="b">
        <f t="shared" si="459"/>
        <v>0</v>
      </c>
      <c r="EC302" s="418">
        <f t="shared" si="460"/>
        <v>0.51</v>
      </c>
      <c r="ED302" s="86">
        <f t="shared" si="461"/>
        <v>0.51</v>
      </c>
      <c r="EE302" s="30" t="e">
        <f t="shared" ca="1" si="492"/>
        <v>#DIV/0!</v>
      </c>
      <c r="EF302" s="85" t="e">
        <f ca="1">IF(DL302&lt;=Hypothèses!$V$7,Hypothèses!$W$7,IF(DL302&lt;=Hypothèses!$V$8,Hypothèses!$W$8,IF(DL302&lt;=Hypothèses!$V$9,Hypothèses!$W$9,IF(DL302&lt;=Hypothèses!$V$10,Hypothèses!$W$10,IF(DL302&lt;=Hypothèses!$V$11,Hypothèses!$W$11,IF(DL302&lt;=Hypothèses!$V$12,Hypothèses!$W$12,IF(DL302&lt;=Hypothèses!$V$13,Hypothèses!$W$13,IF(DL302&lt;=Hypothèses!$V$14,Hypothèses!$W$14,IF(DL302&lt;=Hypothèses!$V$15,Hypothèses!$W$15,IF(DL302&lt;=Hypothèses!$V$16,Hypothèses!$W$16,IF(DL302&lt;=Hypothèses!$V$17,Hypothèses!$W$17,IF(DL302&lt;=Hypothèses!$V$18,Hypothèses!$W$18,""))))))))))))</f>
        <v>#DIV/0!</v>
      </c>
      <c r="EG302" s="87" t="e">
        <f t="shared" ca="1" si="522"/>
        <v>#DIV/0!</v>
      </c>
      <c r="EH302" s="88" t="e">
        <f ca="1">IF(DL302&lt;=Hypothèses!$V$7,Hypothèses!$X$7,IF(DL302&lt;=Hypothèses!$V$8,Hypothèses!$X$8,IF(DL302&lt;=Hypothèses!$V$9,Hypothèses!$X$9,IF(DL302&lt;=Hypothèses!$V$10,Hypothèses!$X$10,IF(DL302&lt;=Hypothèses!$V$11,Hypothèses!$X$11,IF(DL302&lt;=Hypothèses!$V$12,Hypothèses!$X$12,IF(DL302&lt;=Hypothèses!$V$13,Hypothèses!$X$13,IF(DL302&lt;=Hypothèses!$V$14,Hypothèses!$X$14,IF(DL302&lt;=Hypothèses!$V$15,Hypothèses!$X$15,IF(DL302&lt;=Hypothèses!$V$16,Hypothèses!$X$16,IF(DL302&lt;=Hypothèses!$U$17,Hypothèses!$W$17,IF(DL302&lt;=Hypothèses!$U$18,Hypothèses!$W$18,""))))))))))))</f>
        <v>#DIV/0!</v>
      </c>
      <c r="EI302" s="95" t="e">
        <f t="shared" ca="1" si="493"/>
        <v>#DIV/0!</v>
      </c>
      <c r="EJ302" s="101" t="e">
        <f t="shared" si="529"/>
        <v>#N/A</v>
      </c>
      <c r="EK302" s="91" t="e">
        <f t="shared" si="462"/>
        <v>#N/A</v>
      </c>
      <c r="EL302" s="30" t="e">
        <f t="shared" si="512"/>
        <v>#N/A</v>
      </c>
      <c r="EM302" s="30" t="e">
        <f t="shared" si="513"/>
        <v>#N/A</v>
      </c>
      <c r="EN302" s="31" t="e">
        <f>IF(OR(Hypothèses!$B$4=17,Hypothèses!$B$4=18,Hypothèses!$B$4=19,Hypothèses!$B$4=20),
IF($D302="Pressio.",
IF(OR($E302=3,$E302=1,$E302=4),EM302,EL302),
IF($D302="Pénétro.",
IF(OR($E302=3,$E302=1,$E302=4),EM302,EL302))),IF($D302="Pressio.",
IF($E302=3,EM302,EL302),
IF($D302="Pénétro.",
IF($E302=4,EM302,EL302))))</f>
        <v>#N/A</v>
      </c>
      <c r="EO302" s="31" t="e">
        <f>(IF(OR(Hypothèses!$B$4=17,Hypothèses!$B$4=18,Hypothèses!$B$4=19,Hypothèses!$B$4=20),
IF($D302="Pressio.",
IF(OR($E302=3,$E302=1,$E302=4),(PI()*EO$12^2)/4*(EK302*$W302*1000)/($H302*$B$5),(PI()*EO$12^2)/4*(EK302*$W302*1000)/($G302*$B$5)),
IF($D302="Pénétro.",
IF(OR($E302=4,$E302=1,$E302=5),(PI()*EO$12^2)/4*(EK302*$W302*1000)/($H302*$B$5),(PI()*EO$12^2)/4*(EK302*$W302*1000)/($G302*$B$5)))),
IF($D302="Pressio.",
IF($E302=3,(PI()*EO$12^2)/4*(EK302*$W302*1000)/($H302*$B$5),(PI()*EO$12^2)/4*(EK302*$W302*1000)/($G302*$B$5)),
IF($D302="Pénétro.",
IF($E302=4,(PI()*EO$12^2)/4*(EK302*$W302*1000)/($H302*$B$5),(PI()*EO$12^2)/4*(EK302*$W302*1000)/($G302*$B$5))))))/10</f>
        <v>#N/A</v>
      </c>
      <c r="EP302" s="102" t="e">
        <f>(VLOOKUP($B$3,'Coeff EC7'!$T$39:$X$59,2,0)*EN302+VLOOKUP($B$3,'Coeff EC7'!$T$65:$X$85,2,0)*Model0.1C!EO302)/1.1</f>
        <v>#N/A</v>
      </c>
      <c r="EQ302" s="102" t="e">
        <f>(VLOOKUP($B$3,'Coeff EC7'!$T$39:$X$59,3,0)*EN302+VLOOKUP($B$3,'Coeff EC7'!$T$65:$X$85,3,0)*Model0.1C!EO302)/0.9</f>
        <v>#N/A</v>
      </c>
      <c r="ER302" s="102" t="e">
        <f t="shared" si="494"/>
        <v>#N/A</v>
      </c>
      <c r="ES302" s="102" t="e">
        <f t="shared" si="495"/>
        <v>#N/A</v>
      </c>
      <c r="ET302" s="414" t="e">
        <f>IF(ET301=0,0,IF(AND(EP302&gt;charge_ELS_quasi,EQ302&gt;Charge_ELS_freq,ER302&gt;charge_ELU,ES302&gt;charge_ELA,$B302&gt;NDC!$H$22-0.1+MIN(3*$ET$12,1.5)),0,1))</f>
        <v>#N/A</v>
      </c>
      <c r="EU302" s="86" t="b">
        <f t="shared" si="463"/>
        <v>0</v>
      </c>
      <c r="EV302" s="86">
        <f t="shared" si="464"/>
        <v>0.61</v>
      </c>
      <c r="EW302" s="86">
        <f t="shared" si="465"/>
        <v>0.61</v>
      </c>
      <c r="EX302" s="30" t="e">
        <f t="shared" ca="1" si="496"/>
        <v>#DIV/0!</v>
      </c>
      <c r="EY302" s="85" t="e">
        <f ca="1">IF(EE302&lt;=Hypothèses!$V$7,Hypothèses!$W$7,IF(EE302&lt;=Hypothèses!$V$8,Hypothèses!$W$8,IF(EE302&lt;=Hypothèses!$V$9,Hypothèses!$W$9,IF(EE302&lt;=Hypothèses!$V$10,Hypothèses!$W$10,IF(EE302&lt;=Hypothèses!$V$11,Hypothèses!$W$11,IF(EE302&lt;=Hypothèses!$V$12,Hypothèses!$W$12,IF(EE302&lt;=Hypothèses!$V$13,Hypothèses!$W$13,IF(EE302&lt;=Hypothèses!$V$14,Hypothèses!$W$14,IF(EE302&lt;=Hypothèses!$V$15,Hypothèses!$W$15,IF(EE302&lt;=Hypothèses!$V$16,Hypothèses!$W$16,IF(EE302&lt;=Hypothèses!$V$17,Hypothèses!$W$17,IF(EE302&lt;=Hypothèses!$V$18,Hypothèses!$W$18,""))))))))))))</f>
        <v>#DIV/0!</v>
      </c>
      <c r="EZ302" s="87" t="e">
        <f t="shared" ca="1" si="523"/>
        <v>#DIV/0!</v>
      </c>
      <c r="FA302" s="88" t="e">
        <f ca="1">IF(EE302&lt;=Hypothèses!$V$7,Hypothèses!$X$7,IF(EE302&lt;=Hypothèses!$V$8,Hypothèses!$X$8,IF(EE302&lt;=Hypothèses!$V$9,Hypothèses!$X$9,IF(EE302&lt;=Hypothèses!$V$10,Hypothèses!$X$10,IF(EE302&lt;=Hypothèses!$V$11,Hypothèses!$X$11,IF(EE302&lt;=Hypothèses!$V$12,Hypothèses!$X$12,IF(EE302&lt;=Hypothèses!$V$13,Hypothèses!$X$13,IF(EE302&lt;=Hypothèses!$V$14,Hypothèses!$X$14,IF(EE302&lt;=Hypothèses!$V$15,Hypothèses!$X$15,IF(EE302&lt;=Hypothèses!$V$16,Hypothèses!$X$16,IF(EE302&lt;=Hypothèses!$U$17,Hypothèses!$W$17,IF(EE302&lt;=Hypothèses!$U$18,Hypothèses!$W$18,""))))))))))))</f>
        <v>#DIV/0!</v>
      </c>
      <c r="FB302" s="95" t="e">
        <f t="shared" ca="1" si="497"/>
        <v>#DIV/0!</v>
      </c>
      <c r="FC302" s="101" t="e">
        <f t="shared" si="530"/>
        <v>#N/A</v>
      </c>
      <c r="FD302" s="91" t="e">
        <f t="shared" si="466"/>
        <v>#N/A</v>
      </c>
      <c r="FE302" s="30" t="e">
        <f t="shared" si="514"/>
        <v>#N/A</v>
      </c>
      <c r="FF302" s="30" t="e">
        <f t="shared" si="515"/>
        <v>#N/A</v>
      </c>
      <c r="FG302" s="31" t="e">
        <f>IF(OR(Hypothèses!$B$4=17,Hypothèses!$B$4=18,Hypothèses!$B$4=19,Hypothèses!$B$4=20),
IF($D302="Pressio.",
IF(OR($E302=3,$E302=1,$E302=4),FF302,FE302),
IF($D302="Pénétro.",
IF(OR($E302=3,$E302=1,$E302=4),FF302,FE302))),IF($D302="Pressio.",
IF($E302=3,FF302,FE302),
IF($D302="Pénétro.",
IF($E302=4,FF302,FE302))))</f>
        <v>#N/A</v>
      </c>
      <c r="FH302" s="31" t="e">
        <f>(IF(OR(Hypothèses!$B$4=17,Hypothèses!$B$4=18,Hypothèses!$B$4=19,Hypothèses!$B$4=20),
IF($D302="Pressio.",
IF(OR($E302=3,$E302=1,$E302=4),(PI()*FH$12^2)/4*(FD302*$W302*1000)/($H302*$B$5),(PI()*FH$12^2)/4*(FD302*$W302*1000)/($G302*$B$5)),
IF($D302="Pénétro.",
IF(OR($E302=4,$E302=1,$E302=5),(PI()*FH$12^2)/4*(FD302*$W302*1000)/($H302*$B$5),(PI()*FH$12^2)/4*(FD302*$W302*1000)/($G302*$B$5)))),
IF($D302="Pressio.",
IF($E302=3,(PI()*FH$12^2)/4*(FD302*$W302*1000)/($H302*$B$5),(PI()*FH$12^2)/4*(FD302*$W302*1000)/($G302*$B$5)),
IF($D302="Pénétro.",
IF($E302=4,(PI()*FH$12^2)/4*(FD302*$W302*1000)/($H302*$B$5),(PI()*FH$12^2)/4*(FD302*$W302*1000)/($G302*$B$5))))))/10</f>
        <v>#N/A</v>
      </c>
      <c r="FI302" s="102" t="e">
        <f>(VLOOKUP($B$3,'Coeff EC7'!$T$39:$X$59,2,0)*FG302+VLOOKUP($B$3,'Coeff EC7'!$T$65:$X$85,2,0)*Model0.1C!FH302)/1.1</f>
        <v>#N/A</v>
      </c>
      <c r="FJ302" s="102" t="e">
        <f>(VLOOKUP($B$3,'Coeff EC7'!$T$39:$X$59,3,0)*FG302+VLOOKUP($B$3,'Coeff EC7'!$T$65:$X$85,3,0)*Model0.1C!FH302)/0.9</f>
        <v>#N/A</v>
      </c>
      <c r="FK302" s="102" t="e">
        <f t="shared" si="498"/>
        <v>#N/A</v>
      </c>
      <c r="FL302" s="102" t="e">
        <f t="shared" si="499"/>
        <v>#N/A</v>
      </c>
      <c r="FM302" s="414" t="e">
        <f>IF(FM301=0,0,IF(AND(FI302&gt;charge_ELS_quasi,FJ302&gt;Charge_ELS_freq,FK302&gt;charge_ELU,FL302&gt;charge_ELA,$B302&gt;NDC!$H$22-0.1+MIN(3*$FM$12,1.5)),0,1))</f>
        <v>#N/A</v>
      </c>
    </row>
    <row r="303" spans="1:169">
      <c r="A303" s="96">
        <f t="shared" si="467"/>
        <v>71.000000000001648</v>
      </c>
      <c r="B303" s="97">
        <v>29</v>
      </c>
      <c r="C303" s="81">
        <f>IF(B303&lt;=Hypothèses!$C$7,Hypothèses!$A$7,IF(B303&lt;=Hypothèses!$C$8,Hypothèses!$A$8,IF(B303&lt;=Hypothèses!$C$9,Hypothèses!$A$9,IF(B303&lt;=Hypothèses!$C$10,Hypothèses!$A$10,IF(B303&lt;=Hypothèses!$C$11,Hypothèses!$A$11,IF(B303&lt;=Hypothèses!$C$12,Hypothèses!$A$12,IF(B303&lt;=Hypothèses!$C$13,Hypothèses!$A$13,IF(B303&lt;=Hypothèses!$C$14,Hypothèses!$A$14,IF(B303&lt;=Hypothèses!$C$15,Hypothèses!$A$15,IF(B303&lt;=Hypothèses!$C$16,Hypothèses!$A$16,IF(B303&lt;=Hypothèses!$C$17,Hypothèses!$A$17,IF(B303&lt;=Hypothèses!$C$18,Hypothèses!$A$18,C302))))))))))))</f>
        <v>11</v>
      </c>
      <c r="D303" s="82" t="str">
        <f>IF(B303&lt;=Hypothèses!$C$7,Hypothèses!$R$7,IF(B303&lt;=Hypothèses!$C$8,Hypothèses!$R$8,IF(B303&lt;=Hypothèses!$C$9,Hypothèses!$R$9,IF(B303&lt;=Hypothèses!$C$10,Hypothèses!$R$10,IF(B303&lt;=Hypothèses!$C$11,Hypothèses!$R$11,IF(B303&lt;=Hypothèses!$C$12,Hypothèses!$R$12,IF(B303&lt;=Hypothèses!$C$13,Hypothèses!$R$13,IF(B303&lt;=Hypothèses!$C$14,Hypothèses!$R$14,IF(B303&lt;=Hypothèses!$C$15,Hypothèses!$R$15,IF(B303&lt;=Hypothèses!$C$16,Hypothèses!$R$16,IF(B303&lt;=Hypothèses!$C$17,Hypothèses!$R$17,IF(B303&lt;=Hypothèses!$C$18,Hypothèses!$R$18,D302))))))))))))</f>
        <v>Pressio.</v>
      </c>
      <c r="E303" s="82" t="e">
        <f>IF(B303&lt;=Hypothèses!$C$7,Hypothèses!$G$7,IF(B303&lt;=Hypothèses!$C$8,Hypothèses!$G$8,IF(B303&lt;=Hypothèses!$C$9,Hypothèses!$G$9,IF(B303&lt;=Hypothèses!$C$10,Hypothèses!$G$10,IF(B303&lt;=Hypothèses!$C$11,Hypothèses!$G$11,IF(B303&lt;=Hypothèses!$C$12,Hypothèses!$G$12,IF(B303&lt;=Hypothèses!$C$13,Hypothèses!$G$13,IF(B303&lt;=Hypothèses!$C$14,Hypothèses!$G$14,IF(B303&lt;=Hypothèses!$C$15,Hypothèses!$G$15,IF(B303&lt;=Hypothèses!$C$16,Hypothèses!$G$16,IF(B303&lt;=Hypothèses!$C$17,Hypothèses!$G$17,IF(B303&lt;=Hypothèses!$C$18,Hypothèses!$G$18,E302))))))))))))</f>
        <v>#N/A</v>
      </c>
      <c r="F303" s="82" t="str">
        <f>IF(B303&lt;=Hypothèses!$C$7,Hypothèses!$F$7,IF(B303&lt;=Hypothèses!$C$8,Hypothèses!$F$8,IF(B303&lt;=Hypothèses!$C$9,Hypothèses!$F$9,IF(B303&lt;=Hypothèses!$C$10,Hypothèses!$F$10,IF(B303&lt;=Hypothèses!$C$11,Hypothèses!$F$11,IF(B303&lt;=Hypothèses!$C$12,Hypothèses!$F$12,IF(B303&lt;=Hypothèses!$C$13,Hypothèses!$F$13,IF(B303&lt;=Hypothèses!$C$14,Hypothèses!$F$14,IF(B303&lt;=Hypothèses!$C$15,Hypothèses!$F$15,IF(B303&lt;=Hypothèses!$C$16,Hypothèses!$F$16,IF(B303&lt;=Hypothèses!$C$17,Hypothèses!$F$17,IF(B303&lt;=Hypothèses!$C$18,Hypothèses!$F$18,F302))))))))))))</f>
        <v/>
      </c>
      <c r="G303" s="91">
        <f t="array" ref="G303">INDEX('Coeff EC7'!$U$7:$X$27,
MATCH(Model0.1C!$B$3,'Coeff EC7'!$T$7:$T$27,0),
MATCH(Model0.1C!$D303&amp;Model0.1C!$B$4,
'Coeff EC7'!$U$6:$X$6&amp;
'Coeff EC7'!$U$5:$X$5,0))</f>
        <v>1.1499999999999999</v>
      </c>
      <c r="H303" s="91">
        <f t="array" ref="H303">INDEX('Coeff EC7'!$Y$7:$AB$27,
MATCH(Model0.1C!$B$3,'Coeff EC7'!$T$7:$T$27,0),
MATCH(Model0.1C!$D303&amp;Model0.1C!$B$4,
'Coeff EC7'!$Y$6:$AB$6&amp;
'Coeff EC7'!$Y$5:$AB$5,0))</f>
        <v>1.4</v>
      </c>
      <c r="I303" s="83" t="e">
        <f>IF(B303&lt;=Hypothèses!$C$7,Hypothèses!$P$7,IF(B303&lt;=Hypothèses!$C$8,Hypothèses!$P$8,IF(B303&lt;=Hypothèses!$C$9,Hypothèses!$P$9,IF(B303&lt;=Hypothèses!$C$10,Hypothèses!$P$10,IF(B303&lt;=Hypothèses!$C$11,Hypothèses!$P$11,IF(B303&lt;=Hypothèses!$C$12,Hypothèses!$P$12,IF(B303&lt;=Hypothèses!$C$13,Hypothèses!$P$13,IF(B303&lt;=Hypothèses!$C$14,Hypothèses!$P$14,IF(B303&lt;=Hypothèses!$C$15,Hypothèses!$P$15,IF(B303&lt;=Hypothèses!$C$16,Hypothèses!$P$16,IF(B303&lt;=Hypothèses!$C$17,Hypothèses!$P$17,IF(B303&lt;=Hypothèses!$C$18,Hypothèses!$P$18,I302))))))))))))</f>
        <v>#N/A</v>
      </c>
      <c r="J303" s="91" t="e">
        <f t="array" ref="J303">INDEX('Coeff EC7'!$D$33:$Q$33,1,MATCH(D303&amp;E303,'Coeff EC7'!$D$31:$Q$31&amp;'Coeff EC7'!$D$32:$Q$32,0))</f>
        <v>#N/A</v>
      </c>
      <c r="K303" s="91" t="e">
        <f t="array" ref="K303">INDEX('Coeff EC7'!$D$34:$Q$34,1,MATCH(D303&amp;E303,'Coeff EC7'!$D$31:$Q$31&amp;'Coeff EC7'!$D$32:$Q$32,0))</f>
        <v>#N/A</v>
      </c>
      <c r="L303" s="91" t="e">
        <f t="array" ref="L303">INDEX('Coeff EC7'!$D$35:$Q$35,1,MATCH(D303&amp;E303,'Coeff EC7'!$D$31:$Q$31&amp;'Coeff EC7'!$D$32:$Q$32,0))</f>
        <v>#N/A</v>
      </c>
      <c r="M303" s="98" t="e">
        <f t="shared" si="431"/>
        <v>#N/A</v>
      </c>
      <c r="N303" s="99" t="e">
        <f t="array" ref="N303">INDEX('Coeff EC7'!$D$7:$Q$27,MATCH($B$3,'Coeff EC7'!$C$7:$C$27,0),MATCH(D303&amp;E303,'Coeff EC7'!$D$5:$Q$5&amp;'Coeff EC7'!$D$6:$Q$6,0))</f>
        <v>#N/A</v>
      </c>
      <c r="O303" s="99" t="e">
        <f t="array" ref="O303">INDEX('Coeff EC7'!$D$41:$Q$61,MATCH($B$3,'Coeff EC7'!$C$41:$C$61,0),MATCH(D303&amp;E303,'Coeff EC7'!$D$39:$Q$39&amp;'Coeff EC7'!$D$40:$Q$40,0))</f>
        <v>#N/A</v>
      </c>
      <c r="P303" s="30" t="e">
        <f t="shared" si="468"/>
        <v>#N/A</v>
      </c>
      <c r="Q303" s="100" t="e">
        <f t="shared" si="433"/>
        <v>#N/A</v>
      </c>
      <c r="R303" s="86" t="b">
        <f t="shared" si="434"/>
        <v>0</v>
      </c>
      <c r="S303" s="86">
        <f t="shared" si="432"/>
        <v>0.5</v>
      </c>
      <c r="T303" s="86">
        <f t="shared" si="435"/>
        <v>0.5</v>
      </c>
      <c r="U303" s="30" t="e">
        <f t="shared" ca="1" si="469"/>
        <v>#DIV/0!</v>
      </c>
      <c r="V303" s="85" t="str">
        <f>IF(B303&lt;=Hypothèses!$V$7,Hypothèses!$W$7,IF(B303&lt;=Hypothèses!$V$8,Hypothèses!$W$8,IF(B303&lt;=Hypothèses!$V$9,Hypothèses!$W$9,IF(B303&lt;=Hypothèses!$V$10,Hypothèses!$W$10,IF(B303&lt;=Hypothèses!$V$11,Hypothèses!$W$11,IF(B303&lt;=Hypothèses!$V$12,Hypothèses!$W$12,IF(B303&lt;=Hypothèses!$V$13,Hypothèses!$W$13,IF(B303&lt;=Hypothèses!$V$14,Hypothèses!$W$14,IF(B303&lt;=Hypothèses!$V$15,Hypothèses!$W$15,IF(B303&lt;=Hypothèses!$V$16,Hypothèses!$W$16,IF(B303&lt;=Hypothèses!$V$17,Hypothèses!$W$17,IF(B303&lt;=Hypothèses!$V$18,Hypothèses!$W$18,""))))))))))))</f>
        <v/>
      </c>
      <c r="W303" s="87" t="e">
        <f t="shared" ca="1" si="516"/>
        <v>#DIV/0!</v>
      </c>
      <c r="X303" s="88" t="str">
        <f>IF(B303&lt;=Hypothèses!$V$7,Hypothèses!$X$7,IF(B303&lt;=Hypothèses!$V$8,Hypothèses!$X$8,IF(B303&lt;=Hypothèses!$V$9,Hypothèses!$X$9,IF(B303&lt;=Hypothèses!$V$10,Hypothèses!$X$10,IF(B303&lt;=Hypothèses!$V$11,Hypothèses!$X$11,IF(B303&lt;=Hypothèses!$V$12,Hypothèses!$X$12,IF(B303&lt;=Hypothèses!$V$13,Hypothèses!$X$13,IF(B303&lt;=Hypothèses!$V$14,Hypothèses!$X$14,IF(B303&lt;=Hypothèses!$V$15,Hypothèses!$X$15,IF(B303&lt;=Hypothèses!$V$16,Hypothèses!$X$16,IF(B303&lt;=Hypothèses!$U$17,Hypothèses!$W$17,IF(B303&lt;=Hypothèses!$U$18,Hypothèses!$W$18,""))))))))))))</f>
        <v/>
      </c>
      <c r="Y303" s="95" t="e">
        <f t="shared" ca="1" si="436"/>
        <v>#DIV/0!</v>
      </c>
      <c r="Z303" s="101" t="e">
        <f t="shared" si="437"/>
        <v>#N/A</v>
      </c>
      <c r="AA303" s="91" t="e">
        <f t="shared" si="438"/>
        <v>#N/A</v>
      </c>
      <c r="AB303" s="30" t="e">
        <f t="shared" si="500"/>
        <v>#N/A</v>
      </c>
      <c r="AC303" s="30" t="e">
        <f t="shared" si="501"/>
        <v>#N/A</v>
      </c>
      <c r="AD303" s="31" t="e">
        <f>IF(OR(Hypothèses!$B$4=17,Hypothèses!$B$4=18,Hypothèses!$B$4=19,Hypothèses!$B$4=20),
IF($D303="Pressio.",
IF(OR($E303=3,$E303=1,$E303=4),AC303,AB303),
IF($D303="Pénétro.",
IF(OR($E303=3,$E303=1,$E303=4),AC303,AB303))),IF($D303="Pressio.",
IF($E303=3,AC303,AB303),
IF($D303="Pénétro.",
IF($E303=4,AC303,AB303))))</f>
        <v>#N/A</v>
      </c>
      <c r="AE303" s="31" t="e">
        <f>(IF(OR(Hypothèses!$B$4=17,Hypothèses!$B$4=18,Hypothèses!$B$4=19,Hypothèses!$B$4=20),
IF($D303="Pressio.",
IF(OR($E303=3,$E303=1,$E303=4),(PI()*AE$12^2)/4*(AA303*$W303*1000)/($H303*$B$5),(PI()*AE$12^2)/4*(AA303*$W303*1000)/($G303*$B$5)),
IF($D303="Pénétro.",
IF(OR($E303=4,$E303=1,$E303=5),(PI()*AE$12^2)/4*(AA303*$W303*1000)/($H303*$B$5),(PI()*AE$12^2)/4*(AA303*$W303*1000)/($G303*$B$5)))),
IF($D303="Pressio.",
IF($E303=3,(PI()*AE$12^2)/4*(AA303*$W303*1000)/($H303*$B$5),(PI()*AE$12^2)/4*(AA303*$W303*1000)/($G303*$B$5)),
IF($D303="Pénétro.",
IF($E303=4,(PI()*AE$12^2)/4*(AA303*$W303*1000)/($H303*$B$5),(PI()*AE$12^2)/4*(AA303*$W303*1000)/($G303*$B$5))))))/10</f>
        <v>#N/A</v>
      </c>
      <c r="AF303" s="102" t="e">
        <f>(VLOOKUP($B$3,'Coeff EC7'!$T$39:$X$59,2,0)*AD303+VLOOKUP($B$3,'Coeff EC7'!$T$65:$X$85,2,0)*Model0.1C!AE303)/1.1</f>
        <v>#N/A</v>
      </c>
      <c r="AG303" s="102" t="e">
        <f>(VLOOKUP($B$3,'Coeff EC7'!$T$39:$X$59,3,0)*AD303+VLOOKUP($B$3,'Coeff EC7'!$T$65:$X$85,3,0)*Model0.1C!AE303)/0.9</f>
        <v>#N/A</v>
      </c>
      <c r="AH303" s="102" t="e">
        <f t="shared" si="439"/>
        <v>#N/A</v>
      </c>
      <c r="AI303" s="102" t="e">
        <f t="shared" si="440"/>
        <v>#N/A</v>
      </c>
      <c r="AJ303" s="414" t="e">
        <f>IF(AJ302=0,0,IF(AND(AF303&gt;charge_ELS_quasi,AG303&gt;Charge_ELS_freq,AH303&gt;charge_ELU,AI303&gt;charge_ELA,$B303&gt;NDC!$H$22-0.1+MIN(3*$AJ$12,1.5)),0,1))</f>
        <v>#N/A</v>
      </c>
      <c r="AK303" s="86" t="b">
        <f t="shared" si="441"/>
        <v>0</v>
      </c>
      <c r="AL303" s="86">
        <f t="shared" si="470"/>
        <v>0.5</v>
      </c>
      <c r="AM303" s="86">
        <f t="shared" si="442"/>
        <v>0.5</v>
      </c>
      <c r="AN303" s="30" t="e">
        <f t="shared" ca="1" si="471"/>
        <v>#DIV/0!</v>
      </c>
      <c r="AO303" s="85" t="e">
        <f ca="1">IF(U303&lt;=Hypothèses!$V$7,Hypothèses!$W$7,IF(U303&lt;=Hypothèses!$V$8,Hypothèses!$W$8,IF(U303&lt;=Hypothèses!$V$9,Hypothèses!$W$9,IF(U303&lt;=Hypothèses!$V$10,Hypothèses!$W$10,IF(U303&lt;=Hypothèses!$V$11,Hypothèses!$W$11,IF(U303&lt;=Hypothèses!$V$12,Hypothèses!$W$12,IF(U303&lt;=Hypothèses!$V$13,Hypothèses!$W$13,IF(U303&lt;=Hypothèses!$V$14,Hypothèses!$W$14,IF(U303&lt;=Hypothèses!$V$15,Hypothèses!$W$15,IF(U303&lt;=Hypothèses!$V$16,Hypothèses!$W$16,IF(U303&lt;=Hypothèses!$V$17,Hypothèses!$W$17,IF(U303&lt;=Hypothèses!$V$18,Hypothèses!$W$18,""))))))))))))</f>
        <v>#DIV/0!</v>
      </c>
      <c r="AP303" s="87" t="e">
        <f t="shared" ca="1" si="517"/>
        <v>#DIV/0!</v>
      </c>
      <c r="AQ303" s="88" t="e">
        <f ca="1">IF(U303&lt;=Hypothèses!$V$7,Hypothèses!$X$7,IF(U303&lt;=Hypothèses!$V$8,Hypothèses!$X$8,IF(U303&lt;=Hypothèses!$V$9,Hypothèses!$X$9,IF(U303&lt;=Hypothèses!$V$10,Hypothèses!$X$10,IF(U303&lt;=Hypothèses!$V$11,Hypothèses!$X$11,IF(U303&lt;=Hypothèses!$V$12,Hypothèses!$X$12,IF(U303&lt;=Hypothèses!$V$13,Hypothèses!$X$13,IF(U303&lt;=Hypothèses!$V$14,Hypothèses!$X$14,IF(U303&lt;=Hypothèses!$V$15,Hypothèses!$X$15,IF(U303&lt;=Hypothèses!$V$16,Hypothèses!$X$16,IF(U303&lt;=Hypothèses!$U$17,Hypothèses!$W$17,IF(U303&lt;=Hypothèses!$U$18,Hypothèses!$W$18,""))))))))))))</f>
        <v>#DIV/0!</v>
      </c>
      <c r="AR303" s="95" t="e">
        <f t="shared" ca="1" si="472"/>
        <v>#DIV/0!</v>
      </c>
      <c r="AS303" s="101" t="e">
        <f t="shared" si="524"/>
        <v>#N/A</v>
      </c>
      <c r="AT303" s="91" t="e">
        <f t="shared" si="443"/>
        <v>#N/A</v>
      </c>
      <c r="AU303" s="30" t="e">
        <f t="shared" si="502"/>
        <v>#N/A</v>
      </c>
      <c r="AV303" s="30" t="e">
        <f t="shared" si="503"/>
        <v>#N/A</v>
      </c>
      <c r="AW303" s="31" t="e">
        <f>IF(OR(Hypothèses!$B$4=17,Hypothèses!$B$4=18,Hypothèses!$B$4=19,Hypothèses!$B$4=20),
IF($D303="Pressio.",
IF(OR($E303=3,$E303=1,$E303=4),AV303,AU303),
IF($D303="Pénétro.",
IF(OR($E303=3,$E303=1,$E303=4),AV303,AU303))),IF($D303="Pressio.",
IF($E303=3,AV303,AU303),
IF($D303="Pénétro.",
IF($E303=4,AV303,AU303))))</f>
        <v>#N/A</v>
      </c>
      <c r="AX303" s="31" t="e">
        <f>(IF(OR(Hypothèses!$B$4=17,Hypothèses!$B$4=18,Hypothèses!$B$4=19,Hypothèses!$B$4=20),
IF($D303="Pressio.",
IF(OR($E303=3,$E303=1,$E303=4),(PI()*AX$12^2)/4*(AT303*$W303*1000)/($H303*$B$5),(PI()*AX$12^2)/4*(AT303*$W303*1000)/($G303*$B$5)),
IF($D303="Pénétro.",
IF(OR($E303=4,$E303=1,$E303=5),(PI()*AX$12^2)/4*(AT303*$W303*1000)/($H303*$B$5),(PI()*AX$12^2)/4*(AT303*$W303*1000)/($G303*$B$5)))),
IF($D303="Pressio.",
IF($E303=3,(PI()*AX$12^2)/4*(AT303*$W303*1000)/($H303*$B$5),(PI()*AX$12^2)/4*(AT303*$W303*1000)/($G303*$B$5)),
IF($D303="Pénétro.",
IF($E303=4,(PI()*AX$12^2)/4*(AT303*$W303*1000)/($H303*$B$5),(PI()*AX$12^2)/4*(AT303*$W303*1000)/($G303*$B$5))))))/10</f>
        <v>#N/A</v>
      </c>
      <c r="AY303" s="102" t="e">
        <f>(VLOOKUP($B$3,'Coeff EC7'!$T$39:$X$59,2,0)*AW303+VLOOKUP($B$3,'Coeff EC7'!$T$65:$X$85,2,0)*Model0.1C!AX303)/1.1</f>
        <v>#N/A</v>
      </c>
      <c r="AZ303" s="102" t="e">
        <f>(VLOOKUP($B$3,'Coeff EC7'!$T$39:$X$59,3,0)*AW303+VLOOKUP($B$3,'Coeff EC7'!$T$65:$X$85,3,0)*Model0.1C!AX303)/0.9</f>
        <v>#N/A</v>
      </c>
      <c r="BA303" s="102" t="e">
        <f t="shared" si="473"/>
        <v>#N/A</v>
      </c>
      <c r="BB303" s="102" t="e">
        <f t="shared" si="474"/>
        <v>#N/A</v>
      </c>
      <c r="BC303" s="414" t="e">
        <f>IF(BC302=0,0,IF(AND(AY303&gt;charge_ELS_quasi,AZ303&gt;Charge_ELS_freq,BA303&gt;charge_ELU,BB303&gt;charge_ELA,$B303&gt;NDC!$H$22-0.1+MIN(3*$BC$12,1.5)),0,1))</f>
        <v>#N/A</v>
      </c>
      <c r="BD303" s="86" t="b">
        <f t="shared" si="444"/>
        <v>0</v>
      </c>
      <c r="BE303" s="86">
        <f t="shared" si="475"/>
        <v>0.5</v>
      </c>
      <c r="BF303" s="86">
        <f t="shared" si="445"/>
        <v>0.5</v>
      </c>
      <c r="BG303" s="30" t="e">
        <f t="shared" ca="1" si="476"/>
        <v>#DIV/0!</v>
      </c>
      <c r="BH303" s="85" t="e">
        <f ca="1">IF(AN303&lt;=Hypothèses!$V$7,Hypothèses!$W$7,IF(AN303&lt;=Hypothèses!$V$8,Hypothèses!$W$8,IF(AN303&lt;=Hypothèses!$V$9,Hypothèses!$W$9,IF(AN303&lt;=Hypothèses!$V$10,Hypothèses!$W$10,IF(AN303&lt;=Hypothèses!$V$11,Hypothèses!$W$11,IF(AN303&lt;=Hypothèses!$V$12,Hypothèses!$W$12,IF(AN303&lt;=Hypothèses!$V$13,Hypothèses!$W$13,IF(AN303&lt;=Hypothèses!$V$14,Hypothèses!$W$14,IF(AN303&lt;=Hypothèses!$V$15,Hypothèses!$W$15,IF(AN303&lt;=Hypothèses!$V$16,Hypothèses!$W$16,IF(AN303&lt;=Hypothèses!$V$17,Hypothèses!$W$17,IF(AN303&lt;=Hypothèses!$V$18,Hypothèses!$W$18,""))))))))))))</f>
        <v>#DIV/0!</v>
      </c>
      <c r="BI303" s="87" t="e">
        <f t="shared" ca="1" si="518"/>
        <v>#DIV/0!</v>
      </c>
      <c r="BJ303" s="88" t="e">
        <f ca="1">IF(AN303&lt;=Hypothèses!$V$7,Hypothèses!$X$7,IF(AN303&lt;=Hypothèses!$V$8,Hypothèses!$X$8,IF(AN303&lt;=Hypothèses!$V$9,Hypothèses!$X$9,IF(AN303&lt;=Hypothèses!$V$10,Hypothèses!$X$10,IF(AN303&lt;=Hypothèses!$V$11,Hypothèses!$X$11,IF(AN303&lt;=Hypothèses!$V$12,Hypothèses!$X$12,IF(AN303&lt;=Hypothèses!$V$13,Hypothèses!$X$13,IF(AN303&lt;=Hypothèses!$V$14,Hypothèses!$X$14,IF(AN303&lt;=Hypothèses!$V$15,Hypothèses!$X$15,IF(AN303&lt;=Hypothèses!$V$16,Hypothèses!$X$16,IF(AN303&lt;=Hypothèses!$U$17,Hypothèses!$W$17,IF(AN303&lt;=Hypothèses!$U$18,Hypothèses!$W$18,""))))))))))))</f>
        <v>#DIV/0!</v>
      </c>
      <c r="BK303" s="95" t="e">
        <f t="shared" ca="1" si="477"/>
        <v>#DIV/0!</v>
      </c>
      <c r="BL303" s="101" t="e">
        <f t="shared" si="525"/>
        <v>#N/A</v>
      </c>
      <c r="BM303" s="91" t="e">
        <f t="shared" si="446"/>
        <v>#N/A</v>
      </c>
      <c r="BN303" s="30" t="e">
        <f t="shared" si="504"/>
        <v>#N/A</v>
      </c>
      <c r="BO303" s="30" t="e">
        <f t="shared" si="505"/>
        <v>#N/A</v>
      </c>
      <c r="BP303" s="31" t="e">
        <f>IF(OR(Hypothèses!$B$4=17,Hypothèses!$B$4=18,Hypothèses!$B$4=19,Hypothèses!$B$4=20),
IF($D303="Pressio.",
IF(OR($E303=3,$E303=1,$E303=4),BO303,BN303),
IF($D303="Pénétro.",
IF(OR($E303=3,$E303=1,$E303=4),BO303,BN303))),IF($D303="Pressio.",
IF($E303=3,BO303,BN303),
IF($D303="Pénétro.",
IF($E303=4,BO303,BN303))))</f>
        <v>#N/A</v>
      </c>
      <c r="BQ303" s="31" t="e">
        <f>(IF(OR(Hypothèses!$B$4=17,Hypothèses!$B$4=18,Hypothèses!$B$4=19,Hypothèses!$B$4=20),
IF($D303="Pressio.",
IF(OR($E303=3,$E303=1,$E303=4),(PI()*BQ$12^2)/4*(BM303*$W303*1000)/($H303*$B$5),(PI()*BQ$12^2)/4*(BM303*$W303*1000)/($G303*$B$5)),
IF($D303="Pénétro.",
IF(OR($E303=4,$E303=1,$E303=5),(PI()*BQ$12^2)/4*(BM303*$W303*1000)/($H303*$B$5),(PI()*BQ$12^2)/4*(BM303*$W303*1000)/($G303*$B$5)))),
IF($D303="Pressio.",
IF($E303=3,(PI()*BQ$12^2)/4*(BM303*$W303*1000)/($H303*$B$5),(PI()*BQ$12^2)/4*(BM303*$W303*1000)/($G303*$B$5)),
IF($D303="Pénétro.",
IF($E303=4,(PI()*BQ$12^2)/4*(BM303*$W303*1000)/($H303*$B$5),(PI()*BQ$12^2)/4*(BM303*$W303*1000)/($G303*$B$5))))))/10</f>
        <v>#N/A</v>
      </c>
      <c r="BR303" s="102" t="e">
        <f>(VLOOKUP($B$3,'Coeff EC7'!$T$39:$X$59,2,0)*BP303+VLOOKUP($B$3,'Coeff EC7'!$T$65:$X$85,2,0)*Model0.1C!BQ303)/1.1</f>
        <v>#N/A</v>
      </c>
      <c r="BS303" s="102" t="e">
        <f>(VLOOKUP($B$3,'Coeff EC7'!$T$39:$X$59,3,0)*BP303+VLOOKUP($B$3,'Coeff EC7'!$T$65:$X$85,3,0)*Model0.1C!BQ303)/0.9</f>
        <v>#N/A</v>
      </c>
      <c r="BT303" s="102" t="e">
        <f t="shared" si="478"/>
        <v>#N/A</v>
      </c>
      <c r="BU303" s="102" t="e">
        <f t="shared" si="479"/>
        <v>#N/A</v>
      </c>
      <c r="BV303" s="414" t="e">
        <f>IF(BV302=0,0,IF(AND(BR303&gt;charge_ELS_quasi,BS303&gt;Charge_ELS_freq,BT303&gt;charge_ELU,BU303&gt;charge_ELA,$B303&gt;NDC!$H$22-0.1+MIN(3*$BV$12,1.5)),0,1))</f>
        <v>#N/A</v>
      </c>
      <c r="BW303" s="86" t="b">
        <f t="shared" si="447"/>
        <v>0</v>
      </c>
      <c r="BX303" s="86">
        <f t="shared" si="448"/>
        <v>0.5</v>
      </c>
      <c r="BY303" s="86">
        <f t="shared" si="449"/>
        <v>0.5</v>
      </c>
      <c r="BZ303" s="30" t="e">
        <f t="shared" ca="1" si="480"/>
        <v>#DIV/0!</v>
      </c>
      <c r="CA303" s="85" t="e">
        <f ca="1">IF(BG303&lt;=Hypothèses!$V$7,Hypothèses!$W$7,IF(BG303&lt;=Hypothèses!$V$8,Hypothèses!$W$8,IF(BG303&lt;=Hypothèses!$V$9,Hypothèses!$W$9,IF(BG303&lt;=Hypothèses!$V$10,Hypothèses!$W$10,IF(BG303&lt;=Hypothèses!$V$11,Hypothèses!$W$11,IF(BG303&lt;=Hypothèses!$V$12,Hypothèses!$W$12,IF(BG303&lt;=Hypothèses!$V$13,Hypothèses!$W$13,IF(BG303&lt;=Hypothèses!$V$14,Hypothèses!$W$14,IF(BG303&lt;=Hypothèses!$V$15,Hypothèses!$W$15,IF(BG303&lt;=Hypothèses!$V$16,Hypothèses!$W$16,IF(BG303&lt;=Hypothèses!$V$17,Hypothèses!$W$17,IF(BG303&lt;=Hypothèses!$V$18,Hypothèses!$W$18,""))))))))))))</f>
        <v>#DIV/0!</v>
      </c>
      <c r="CB303" s="87" t="e">
        <f t="shared" ca="1" si="519"/>
        <v>#DIV/0!</v>
      </c>
      <c r="CC303" s="88" t="e">
        <f ca="1">IF(BG303&lt;=Hypothèses!$V$7,Hypothèses!$X$7,IF(BG303&lt;=Hypothèses!$V$8,Hypothèses!$X$8,IF(BG303&lt;=Hypothèses!$V$9,Hypothèses!$X$9,IF(BG303&lt;=Hypothèses!$V$10,Hypothèses!$X$10,IF(BG303&lt;=Hypothèses!$V$11,Hypothèses!$X$11,IF(BG303&lt;=Hypothèses!$V$12,Hypothèses!$X$12,IF(BG303&lt;=Hypothèses!$V$13,Hypothèses!$X$13,IF(BG303&lt;=Hypothèses!$V$14,Hypothèses!$X$14,IF(BG303&lt;=Hypothèses!$V$15,Hypothèses!$X$15,IF(BG303&lt;=Hypothèses!$V$16,Hypothèses!$X$16,IF(BG303&lt;=Hypothèses!$U$17,Hypothèses!$W$17,IF(BG303&lt;=Hypothèses!$U$18,Hypothèses!$W$18,""))))))))))))</f>
        <v>#DIV/0!</v>
      </c>
      <c r="CD303" s="95" t="e">
        <f t="shared" ca="1" si="481"/>
        <v>#DIV/0!</v>
      </c>
      <c r="CE303" s="101" t="e">
        <f t="shared" si="526"/>
        <v>#N/A</v>
      </c>
      <c r="CF303" s="91" t="e">
        <f t="shared" si="450"/>
        <v>#N/A</v>
      </c>
      <c r="CG303" s="30" t="e">
        <f t="shared" si="506"/>
        <v>#N/A</v>
      </c>
      <c r="CH303" s="30" t="e">
        <f t="shared" si="507"/>
        <v>#N/A</v>
      </c>
      <c r="CI303" s="31" t="e">
        <f>IF(OR(Hypothèses!$B$4=17,Hypothèses!$B$4=18,Hypothèses!$B$4=19,Hypothèses!$B$4=20),
IF($D303="Pressio.",
IF(OR($E303=3,$E303=1,$E303=4),CH303,CG303),
IF($D303="Pénétro.",
IF(OR($E303=3,$E303=1,$E303=4),CH303,CG303))),IF($D303="Pressio.",
IF($E303=3,CH303,CG303),
IF($D303="Pénétro.",
IF($E303=4,CH303,CG303))))</f>
        <v>#N/A</v>
      </c>
      <c r="CJ303" s="31" t="e">
        <f>(IF(OR(Hypothèses!$B$4=17,Hypothèses!$B$4=18,Hypothèses!$B$4=19,Hypothèses!$B$4=20),
IF($D303="Pressio.",
IF(OR($E303=3,$E303=1,$E303=4),(PI()*CJ$12^2)/4*(CF303*$W303*1000)/($H303*$B$5),(PI()*CJ$12^2)/4*(CF303*$W303*1000)/($G303*$B$5)),
IF($D303="Pénétro.",
IF(OR($E303=4,$E303=1,$E303=5),(PI()*CJ$12^2)/4*(CF303*$W303*1000)/($H303*$B$5),(PI()*CJ$12^2)/4*(CF303*$W303*1000)/($G303*$B$5)))),
IF($D303="Pressio.",
IF($E303=3,(PI()*CJ$12^2)/4*(CF303*$W303*1000)/($H303*$B$5),(PI()*CJ$12^2)/4*(CF303*$W303*1000)/($G303*$B$5)),
IF($D303="Pénétro.",
IF($E303=4,(PI()*CJ$12^2)/4*(CF303*$W303*1000)/($H303*$B$5),(PI()*CJ$12^2)/4*(CF303*$W303*1000)/($G303*$B$5))))))/10</f>
        <v>#N/A</v>
      </c>
      <c r="CK303" s="102" t="e">
        <f>(VLOOKUP($B$3,'Coeff EC7'!$T$39:$X$59,2,0)*CI303+VLOOKUP($B$3,'Coeff EC7'!$T$65:$X$85,2,0)*Model0.1C!CJ303)/1.1</f>
        <v>#N/A</v>
      </c>
      <c r="CL303" s="102" t="e">
        <f>(VLOOKUP($B$3,'Coeff EC7'!$T$39:$X$59,3,0)*CI303+VLOOKUP($B$3,'Coeff EC7'!$T$65:$X$85,3,0)*Model0.1C!CJ303)/0.9</f>
        <v>#N/A</v>
      </c>
      <c r="CM303" s="102" t="e">
        <f t="shared" si="482"/>
        <v>#N/A</v>
      </c>
      <c r="CN303" s="102" t="e">
        <f t="shared" si="483"/>
        <v>#N/A</v>
      </c>
      <c r="CO303" s="414" t="e">
        <f>IF(CO302=0,0,IF(AND(CK303&gt;charge_ELS_quasi,CL303&gt;Charge_ELS_freq,CM303&gt;charge_ELU,CN303&gt;charge_ELA,$B303&gt;NDC!$H$22-0.1+MIN(3*$CO$12,1.5)),0,1))</f>
        <v>#N/A</v>
      </c>
      <c r="CP303" s="86" t="b">
        <f t="shared" si="451"/>
        <v>0</v>
      </c>
      <c r="CQ303" s="86">
        <f t="shared" si="452"/>
        <v>0.5</v>
      </c>
      <c r="CR303" s="86">
        <f t="shared" si="453"/>
        <v>0.5</v>
      </c>
      <c r="CS303" s="30" t="e">
        <f t="shared" ca="1" si="484"/>
        <v>#DIV/0!</v>
      </c>
      <c r="CT303" s="85" t="e">
        <f ca="1">IF(BZ303&lt;=Hypothèses!$V$7,Hypothèses!$W$7,IF(BZ303&lt;=Hypothèses!$V$8,Hypothèses!$W$8,IF(BZ303&lt;=Hypothèses!$V$9,Hypothèses!$W$9,IF(BZ303&lt;=Hypothèses!$V$10,Hypothèses!$W$10,IF(BZ303&lt;=Hypothèses!$V$11,Hypothèses!$W$11,IF(BZ303&lt;=Hypothèses!$V$12,Hypothèses!$W$12,IF(BZ303&lt;=Hypothèses!$V$13,Hypothèses!$W$13,IF(BZ303&lt;=Hypothèses!$V$14,Hypothèses!$W$14,IF(BZ303&lt;=Hypothèses!$V$15,Hypothèses!$W$15,IF(BZ303&lt;=Hypothèses!$V$16,Hypothèses!$W$16,IF(BZ303&lt;=Hypothèses!$V$17,Hypothèses!$W$17,IF(BZ303&lt;=Hypothèses!$V$18,Hypothèses!$W$18,""))))))))))))</f>
        <v>#DIV/0!</v>
      </c>
      <c r="CU303" s="87" t="e">
        <f t="shared" ca="1" si="520"/>
        <v>#DIV/0!</v>
      </c>
      <c r="CV303" s="88" t="e">
        <f ca="1">IF(BZ303&lt;=Hypothèses!$V$7,Hypothèses!$X$7,IF(BZ303&lt;=Hypothèses!$V$8,Hypothèses!$X$8,IF(BZ303&lt;=Hypothèses!$V$9,Hypothèses!$X$9,IF(BZ303&lt;=Hypothèses!$V$10,Hypothèses!$X$10,IF(BZ303&lt;=Hypothèses!$V$11,Hypothèses!$X$11,IF(BZ303&lt;=Hypothèses!$V$12,Hypothèses!$X$12,IF(BZ303&lt;=Hypothèses!$V$13,Hypothèses!$X$13,IF(BZ303&lt;=Hypothèses!$V$14,Hypothèses!$X$14,IF(BZ303&lt;=Hypothèses!$V$15,Hypothèses!$X$15,IF(BZ303&lt;=Hypothèses!$V$16,Hypothèses!$X$16,IF(BZ303&lt;=Hypothèses!$U$17,Hypothèses!$W$17,IF(BZ303&lt;=Hypothèses!$U$18,Hypothèses!$W$18,""))))))))))))</f>
        <v>#DIV/0!</v>
      </c>
      <c r="CW303" s="95" t="e">
        <f t="shared" ca="1" si="485"/>
        <v>#DIV/0!</v>
      </c>
      <c r="CX303" s="101" t="e">
        <f t="shared" si="527"/>
        <v>#N/A</v>
      </c>
      <c r="CY303" s="91" t="e">
        <f t="shared" si="454"/>
        <v>#N/A</v>
      </c>
      <c r="CZ303" s="30" t="e">
        <f t="shared" si="508"/>
        <v>#N/A</v>
      </c>
      <c r="DA303" s="30" t="e">
        <f t="shared" si="509"/>
        <v>#N/A</v>
      </c>
      <c r="DB303" s="31" t="e">
        <f>IF(OR(Hypothèses!$B$4=17,Hypothèses!$B$4=18,Hypothèses!$B$4=19,Hypothèses!$B$4=20),
IF($D303="Pressio.",
IF(OR($E303=3,$E303=1,$E303=4),DA303,CZ303),
IF($D303="Pénétro.",
IF(OR($E303=3,$E303=1,$E303=4),DA303,CZ303))),IF($D303="Pressio.",
IF($E303=3,DA303,CZ303),
IF($D303="Pénétro.",
IF($E303=4,DA303,CZ303))))</f>
        <v>#N/A</v>
      </c>
      <c r="DC303" s="31" t="e">
        <f>(IF(OR(Hypothèses!$B$4=17,Hypothèses!$B$4=18,Hypothèses!$B$4=19,Hypothèses!$B$4=20),
IF($D303="Pressio.",
IF(OR($E303=3,$E303=1,$E303=4),(PI()*DC$12^2)/4*(CY303*$W303*1000)/($H303*$B$5),(PI()*DC$12^2)/4*(CY303*$W303*1000)/($G303*$B$5)),
IF($D303="Pénétro.",
IF(OR($E303=4,$E303=1,$E303=5),(PI()*DC$12^2)/4*(CY303*$W303*1000)/($H303*$B$5),(PI()*DC$12^2)/4*(CY303*$W303*1000)/($G303*$B$5)))),
IF($D303="Pressio.",
IF($E303=3,(PI()*DC$12^2)/4*(CY303*$W303*1000)/($H303*$B$5),(PI()*DC$12^2)/4*(CY303*$W303*1000)/($G303*$B$5)),
IF($D303="Pénétro.",
IF($E303=4,(PI()*DC$12^2)/4*(CY303*$W303*1000)/($H303*$B$5),(PI()*DC$12^2)/4*(CY303*$W303*1000)/($G303*$B$5))))))/10</f>
        <v>#N/A</v>
      </c>
      <c r="DD303" s="102" t="e">
        <f>(VLOOKUP($B$3,'Coeff EC7'!$T$39:$X$59,2,0)*DB303+VLOOKUP($B$3,'Coeff EC7'!$T$65:$X$85,2,0)*Model0.1C!DC303)/1.1</f>
        <v>#N/A</v>
      </c>
      <c r="DE303" s="102" t="e">
        <f>(VLOOKUP($B$3,'Coeff EC7'!$T$39:$X$59,3,0)*DB303+VLOOKUP($B$3,'Coeff EC7'!$T$65:$X$85,3,0)*Model0.1C!DC303)/0.9</f>
        <v>#N/A</v>
      </c>
      <c r="DF303" s="102" t="e">
        <f t="shared" si="486"/>
        <v>#N/A</v>
      </c>
      <c r="DG303" s="102" t="e">
        <f t="shared" si="487"/>
        <v>#N/A</v>
      </c>
      <c r="DH303" s="414" t="e">
        <f>IF(DH302=0,0,IF(AND(DD303&gt;charge_ELS_quasi,DE303&gt;Charge_ELS_freq,DF303&gt;charge_ELU,DG303&gt;charge_ELA,$B303&gt;NDC!$H$22-0.1+MIN(3*$DH$12,1.5)),0,1))</f>
        <v>#N/A</v>
      </c>
      <c r="DI303" s="86" t="b">
        <f t="shared" si="455"/>
        <v>0</v>
      </c>
      <c r="DJ303" s="86">
        <f t="shared" si="456"/>
        <v>0.5</v>
      </c>
      <c r="DK303" s="86">
        <f t="shared" si="457"/>
        <v>0.5</v>
      </c>
      <c r="DL303" s="30" t="e">
        <f t="shared" ca="1" si="488"/>
        <v>#DIV/0!</v>
      </c>
      <c r="DM303" s="85" t="e">
        <f ca="1">IF(CS303&lt;=Hypothèses!$V$7,Hypothèses!$W$7,IF(CS303&lt;=Hypothèses!$V$8,Hypothèses!$W$8,IF(CS303&lt;=Hypothèses!$V$9,Hypothèses!$W$9,IF(CS303&lt;=Hypothèses!$V$10,Hypothèses!$W$10,IF(CS303&lt;=Hypothèses!$V$11,Hypothèses!$W$11,IF(CS303&lt;=Hypothèses!$V$12,Hypothèses!$W$12,IF(CS303&lt;=Hypothèses!$V$13,Hypothèses!$W$13,IF(CS303&lt;=Hypothèses!$V$14,Hypothèses!$W$14,IF(CS303&lt;=Hypothèses!$V$15,Hypothèses!$W$15,IF(CS303&lt;=Hypothèses!$V$16,Hypothèses!$W$16,IF(CS303&lt;=Hypothèses!$V$17,Hypothèses!$W$17,IF(CS303&lt;=Hypothèses!$V$18,Hypothèses!$W$18,""))))))))))))</f>
        <v>#DIV/0!</v>
      </c>
      <c r="DN303" s="87" t="e">
        <f t="shared" ca="1" si="521"/>
        <v>#DIV/0!</v>
      </c>
      <c r="DO303" s="88" t="e">
        <f ca="1">IF(CS303&lt;=Hypothèses!$V$7,Hypothèses!$X$7,IF(CS303&lt;=Hypothèses!$V$8,Hypothèses!$X$8,IF(CS303&lt;=Hypothèses!$V$9,Hypothèses!$X$9,IF(CS303&lt;=Hypothèses!$V$10,Hypothèses!$X$10,IF(CS303&lt;=Hypothèses!$V$11,Hypothèses!$X$11,IF(CS303&lt;=Hypothèses!$V$12,Hypothèses!$X$12,IF(CS303&lt;=Hypothèses!$V$13,Hypothèses!$X$13,IF(CS303&lt;=Hypothèses!$V$14,Hypothèses!$X$14,IF(CS303&lt;=Hypothèses!$V$15,Hypothèses!$X$15,IF(CS303&lt;=Hypothèses!$V$16,Hypothèses!$X$16,IF(CS303&lt;=Hypothèses!$U$17,Hypothèses!$W$17,IF(CS303&lt;=Hypothèses!$U$18,Hypothèses!$W$18,""))))))))))))</f>
        <v>#DIV/0!</v>
      </c>
      <c r="DP303" s="95" t="e">
        <f t="shared" ca="1" si="489"/>
        <v>#DIV/0!</v>
      </c>
      <c r="DQ303" s="101" t="e">
        <f t="shared" si="528"/>
        <v>#N/A</v>
      </c>
      <c r="DR303" s="91" t="e">
        <f t="shared" si="458"/>
        <v>#N/A</v>
      </c>
      <c r="DS303" s="30" t="e">
        <f t="shared" si="510"/>
        <v>#N/A</v>
      </c>
      <c r="DT303" s="30" t="e">
        <f t="shared" si="511"/>
        <v>#N/A</v>
      </c>
      <c r="DU303" s="31" t="e">
        <f>IF(OR(Hypothèses!$B$4=17,Hypothèses!$B$4=18,Hypothèses!$B$4=19,Hypothèses!$B$4=20),
IF($D303="Pressio.",
IF(OR($E303=3,$E303=1,$E303=4),DT303,DS303),
IF($D303="Pénétro.",
IF(OR($E303=3,$E303=1,$E303=4),DT303,DS303))),IF($D303="Pressio.",
IF($E303=3,DT303,DS303),
IF($D303="Pénétro.",
IF($E303=4,DT303,DS303))))</f>
        <v>#N/A</v>
      </c>
      <c r="DV303" s="31" t="e">
        <f>(IF(OR(Hypothèses!$B$4=17,Hypothèses!$B$4=18,Hypothèses!$B$4=19,Hypothèses!$B$4=20),
IF($D303="Pressio.",
IF(OR($E303=3,$E303=1,$E303=4),(PI()*DV$12^2)/4*(DR303*$W303*1000)/($H303*$B$5),(PI()*DV$12^2)/4*(DR303*$W303*1000)/($G303*$B$5)),
IF($D303="Pénétro.",
IF(OR($E303=4,$E303=1,$E303=5),(PI()*DV$12^2)/4*(DR303*$W303*1000)/($H303*$B$5),(PI()*DV$12^2)/4*(DR303*$W303*1000)/($G303*$B$5)))),
IF($D303="Pressio.",
IF($E303=3,(PI()*DV$12^2)/4*(DR303*$W303*1000)/($H303*$B$5),(PI()*DV$12^2)/4*(DR303*$W303*1000)/($G303*$B$5)),
IF($D303="Pénétro.",
IF($E303=4,(PI()*DV$12^2)/4*(DR303*$W303*1000)/($H303*$B$5),(PI()*DV$12^2)/4*(DR303*$W303*1000)/($G303*$B$5))))))/10</f>
        <v>#N/A</v>
      </c>
      <c r="DW303" s="102" t="e">
        <f>(VLOOKUP($B$3,'Coeff EC7'!$T$39:$X$59,2,0)*DU303+VLOOKUP($B$3,'Coeff EC7'!$T$65:$X$85,2,0)*Model0.1C!DV303)/1.1</f>
        <v>#N/A</v>
      </c>
      <c r="DX303" s="102" t="e">
        <f>(VLOOKUP($B$3,'Coeff EC7'!$T$39:$X$59,3,0)*DU303+VLOOKUP($B$3,'Coeff EC7'!$T$65:$X$85,3,0)*Model0.1C!DV303)/0.9</f>
        <v>#N/A</v>
      </c>
      <c r="DY303" s="102" t="e">
        <f t="shared" si="490"/>
        <v>#N/A</v>
      </c>
      <c r="DZ303" s="102" t="e">
        <f t="shared" si="491"/>
        <v>#N/A</v>
      </c>
      <c r="EA303" s="414" t="e">
        <f>IF(EA302=0,0,IF(AND(DW303&gt;charge_ELS_quasi,DX303&gt;Charge_ELS_freq,DY303&gt;charge_ELU,DZ303&gt;charge_ELA,$B303&gt;NDC!$H$22-0.1+MIN(3*$EA$12,1.5)),0,1))</f>
        <v>#N/A</v>
      </c>
      <c r="EB303" s="86" t="b">
        <f t="shared" si="459"/>
        <v>0</v>
      </c>
      <c r="EC303" s="418">
        <f t="shared" si="460"/>
        <v>0.51</v>
      </c>
      <c r="ED303" s="86">
        <f t="shared" si="461"/>
        <v>0.51</v>
      </c>
      <c r="EE303" s="30" t="e">
        <f t="shared" ca="1" si="492"/>
        <v>#DIV/0!</v>
      </c>
      <c r="EF303" s="85" t="e">
        <f ca="1">IF(DL303&lt;=Hypothèses!$V$7,Hypothèses!$W$7,IF(DL303&lt;=Hypothèses!$V$8,Hypothèses!$W$8,IF(DL303&lt;=Hypothèses!$V$9,Hypothèses!$W$9,IF(DL303&lt;=Hypothèses!$V$10,Hypothèses!$W$10,IF(DL303&lt;=Hypothèses!$V$11,Hypothèses!$W$11,IF(DL303&lt;=Hypothèses!$V$12,Hypothèses!$W$12,IF(DL303&lt;=Hypothèses!$V$13,Hypothèses!$W$13,IF(DL303&lt;=Hypothèses!$V$14,Hypothèses!$W$14,IF(DL303&lt;=Hypothèses!$V$15,Hypothèses!$W$15,IF(DL303&lt;=Hypothèses!$V$16,Hypothèses!$W$16,IF(DL303&lt;=Hypothèses!$V$17,Hypothèses!$W$17,IF(DL303&lt;=Hypothèses!$V$18,Hypothèses!$W$18,""))))))))))))</f>
        <v>#DIV/0!</v>
      </c>
      <c r="EG303" s="87" t="e">
        <f t="shared" ca="1" si="522"/>
        <v>#DIV/0!</v>
      </c>
      <c r="EH303" s="88" t="e">
        <f ca="1">IF(DL303&lt;=Hypothèses!$V$7,Hypothèses!$X$7,IF(DL303&lt;=Hypothèses!$V$8,Hypothèses!$X$8,IF(DL303&lt;=Hypothèses!$V$9,Hypothèses!$X$9,IF(DL303&lt;=Hypothèses!$V$10,Hypothèses!$X$10,IF(DL303&lt;=Hypothèses!$V$11,Hypothèses!$X$11,IF(DL303&lt;=Hypothèses!$V$12,Hypothèses!$X$12,IF(DL303&lt;=Hypothèses!$V$13,Hypothèses!$X$13,IF(DL303&lt;=Hypothèses!$V$14,Hypothèses!$X$14,IF(DL303&lt;=Hypothèses!$V$15,Hypothèses!$X$15,IF(DL303&lt;=Hypothèses!$V$16,Hypothèses!$X$16,IF(DL303&lt;=Hypothèses!$U$17,Hypothèses!$W$17,IF(DL303&lt;=Hypothèses!$U$18,Hypothèses!$W$18,""))))))))))))</f>
        <v>#DIV/0!</v>
      </c>
      <c r="EI303" s="95" t="e">
        <f t="shared" ca="1" si="493"/>
        <v>#DIV/0!</v>
      </c>
      <c r="EJ303" s="101" t="e">
        <f t="shared" si="529"/>
        <v>#N/A</v>
      </c>
      <c r="EK303" s="91" t="e">
        <f t="shared" si="462"/>
        <v>#N/A</v>
      </c>
      <c r="EL303" s="30" t="e">
        <f t="shared" si="512"/>
        <v>#N/A</v>
      </c>
      <c r="EM303" s="30" t="e">
        <f t="shared" si="513"/>
        <v>#N/A</v>
      </c>
      <c r="EN303" s="31" t="e">
        <f>IF(OR(Hypothèses!$B$4=17,Hypothèses!$B$4=18,Hypothèses!$B$4=19,Hypothèses!$B$4=20),
IF($D303="Pressio.",
IF(OR($E303=3,$E303=1,$E303=4),EM303,EL303),
IF($D303="Pénétro.",
IF(OR($E303=3,$E303=1,$E303=4),EM303,EL303))),IF($D303="Pressio.",
IF($E303=3,EM303,EL303),
IF($D303="Pénétro.",
IF($E303=4,EM303,EL303))))</f>
        <v>#N/A</v>
      </c>
      <c r="EO303" s="31" t="e">
        <f>(IF(OR(Hypothèses!$B$4=17,Hypothèses!$B$4=18,Hypothèses!$B$4=19,Hypothèses!$B$4=20),
IF($D303="Pressio.",
IF(OR($E303=3,$E303=1,$E303=4),(PI()*EO$12^2)/4*(EK303*$W303*1000)/($H303*$B$5),(PI()*EO$12^2)/4*(EK303*$W303*1000)/($G303*$B$5)),
IF($D303="Pénétro.",
IF(OR($E303=4,$E303=1,$E303=5),(PI()*EO$12^2)/4*(EK303*$W303*1000)/($H303*$B$5),(PI()*EO$12^2)/4*(EK303*$W303*1000)/($G303*$B$5)))),
IF($D303="Pressio.",
IF($E303=3,(PI()*EO$12^2)/4*(EK303*$W303*1000)/($H303*$B$5),(PI()*EO$12^2)/4*(EK303*$W303*1000)/($G303*$B$5)),
IF($D303="Pénétro.",
IF($E303=4,(PI()*EO$12^2)/4*(EK303*$W303*1000)/($H303*$B$5),(PI()*EO$12^2)/4*(EK303*$W303*1000)/($G303*$B$5))))))/10</f>
        <v>#N/A</v>
      </c>
      <c r="EP303" s="102" t="e">
        <f>(VLOOKUP($B$3,'Coeff EC7'!$T$39:$X$59,2,0)*EN303+VLOOKUP($B$3,'Coeff EC7'!$T$65:$X$85,2,0)*Model0.1C!EO303)/1.1</f>
        <v>#N/A</v>
      </c>
      <c r="EQ303" s="102" t="e">
        <f>(VLOOKUP($B$3,'Coeff EC7'!$T$39:$X$59,3,0)*EN303+VLOOKUP($B$3,'Coeff EC7'!$T$65:$X$85,3,0)*Model0.1C!EO303)/0.9</f>
        <v>#N/A</v>
      </c>
      <c r="ER303" s="102" t="e">
        <f t="shared" si="494"/>
        <v>#N/A</v>
      </c>
      <c r="ES303" s="102" t="e">
        <f t="shared" si="495"/>
        <v>#N/A</v>
      </c>
      <c r="ET303" s="414" t="e">
        <f>IF(ET302=0,0,IF(AND(EP303&gt;charge_ELS_quasi,EQ303&gt;Charge_ELS_freq,ER303&gt;charge_ELU,ES303&gt;charge_ELA,$B303&gt;NDC!$H$22-0.1+MIN(3*$ET$12,1.5)),0,1))</f>
        <v>#N/A</v>
      </c>
      <c r="EU303" s="86" t="b">
        <f t="shared" si="463"/>
        <v>0</v>
      </c>
      <c r="EV303" s="86">
        <f t="shared" si="464"/>
        <v>0.61</v>
      </c>
      <c r="EW303" s="86">
        <f t="shared" si="465"/>
        <v>0.61</v>
      </c>
      <c r="EX303" s="30" t="e">
        <f t="shared" ca="1" si="496"/>
        <v>#DIV/0!</v>
      </c>
      <c r="EY303" s="85" t="e">
        <f ca="1">IF(EE303&lt;=Hypothèses!$V$7,Hypothèses!$W$7,IF(EE303&lt;=Hypothèses!$V$8,Hypothèses!$W$8,IF(EE303&lt;=Hypothèses!$V$9,Hypothèses!$W$9,IF(EE303&lt;=Hypothèses!$V$10,Hypothèses!$W$10,IF(EE303&lt;=Hypothèses!$V$11,Hypothèses!$W$11,IF(EE303&lt;=Hypothèses!$V$12,Hypothèses!$W$12,IF(EE303&lt;=Hypothèses!$V$13,Hypothèses!$W$13,IF(EE303&lt;=Hypothèses!$V$14,Hypothèses!$W$14,IF(EE303&lt;=Hypothèses!$V$15,Hypothèses!$W$15,IF(EE303&lt;=Hypothèses!$V$16,Hypothèses!$W$16,IF(EE303&lt;=Hypothèses!$V$17,Hypothèses!$W$17,IF(EE303&lt;=Hypothèses!$V$18,Hypothèses!$W$18,""))))))))))))</f>
        <v>#DIV/0!</v>
      </c>
      <c r="EZ303" s="87" t="e">
        <f t="shared" ca="1" si="523"/>
        <v>#DIV/0!</v>
      </c>
      <c r="FA303" s="88" t="e">
        <f ca="1">IF(EE303&lt;=Hypothèses!$V$7,Hypothèses!$X$7,IF(EE303&lt;=Hypothèses!$V$8,Hypothèses!$X$8,IF(EE303&lt;=Hypothèses!$V$9,Hypothèses!$X$9,IF(EE303&lt;=Hypothèses!$V$10,Hypothèses!$X$10,IF(EE303&lt;=Hypothèses!$V$11,Hypothèses!$X$11,IF(EE303&lt;=Hypothèses!$V$12,Hypothèses!$X$12,IF(EE303&lt;=Hypothèses!$V$13,Hypothèses!$X$13,IF(EE303&lt;=Hypothèses!$V$14,Hypothèses!$X$14,IF(EE303&lt;=Hypothèses!$V$15,Hypothèses!$X$15,IF(EE303&lt;=Hypothèses!$V$16,Hypothèses!$X$16,IF(EE303&lt;=Hypothèses!$U$17,Hypothèses!$W$17,IF(EE303&lt;=Hypothèses!$U$18,Hypothèses!$W$18,""))))))))))))</f>
        <v>#DIV/0!</v>
      </c>
      <c r="FB303" s="95" t="e">
        <f t="shared" ca="1" si="497"/>
        <v>#DIV/0!</v>
      </c>
      <c r="FC303" s="101" t="e">
        <f t="shared" si="530"/>
        <v>#N/A</v>
      </c>
      <c r="FD303" s="91" t="e">
        <f t="shared" si="466"/>
        <v>#N/A</v>
      </c>
      <c r="FE303" s="30" t="e">
        <f t="shared" si="514"/>
        <v>#N/A</v>
      </c>
      <c r="FF303" s="30" t="e">
        <f t="shared" si="515"/>
        <v>#N/A</v>
      </c>
      <c r="FG303" s="31" t="e">
        <f>IF(OR(Hypothèses!$B$4=17,Hypothèses!$B$4=18,Hypothèses!$B$4=19,Hypothèses!$B$4=20),
IF($D303="Pressio.",
IF(OR($E303=3,$E303=1,$E303=4),FF303,FE303),
IF($D303="Pénétro.",
IF(OR($E303=3,$E303=1,$E303=4),FF303,FE303))),IF($D303="Pressio.",
IF($E303=3,FF303,FE303),
IF($D303="Pénétro.",
IF($E303=4,FF303,FE303))))</f>
        <v>#N/A</v>
      </c>
      <c r="FH303" s="31" t="e">
        <f>(IF(OR(Hypothèses!$B$4=17,Hypothèses!$B$4=18,Hypothèses!$B$4=19,Hypothèses!$B$4=20),
IF($D303="Pressio.",
IF(OR($E303=3,$E303=1,$E303=4),(PI()*FH$12^2)/4*(FD303*$W303*1000)/($H303*$B$5),(PI()*FH$12^2)/4*(FD303*$W303*1000)/($G303*$B$5)),
IF($D303="Pénétro.",
IF(OR($E303=4,$E303=1,$E303=5),(PI()*FH$12^2)/4*(FD303*$W303*1000)/($H303*$B$5),(PI()*FH$12^2)/4*(FD303*$W303*1000)/($G303*$B$5)))),
IF($D303="Pressio.",
IF($E303=3,(PI()*FH$12^2)/4*(FD303*$W303*1000)/($H303*$B$5),(PI()*FH$12^2)/4*(FD303*$W303*1000)/($G303*$B$5)),
IF($D303="Pénétro.",
IF($E303=4,(PI()*FH$12^2)/4*(FD303*$W303*1000)/($H303*$B$5),(PI()*FH$12^2)/4*(FD303*$W303*1000)/($G303*$B$5))))))/10</f>
        <v>#N/A</v>
      </c>
      <c r="FI303" s="102" t="e">
        <f>(VLOOKUP($B$3,'Coeff EC7'!$T$39:$X$59,2,0)*FG303+VLOOKUP($B$3,'Coeff EC7'!$T$65:$X$85,2,0)*Model0.1C!FH303)/1.1</f>
        <v>#N/A</v>
      </c>
      <c r="FJ303" s="102" t="e">
        <f>(VLOOKUP($B$3,'Coeff EC7'!$T$39:$X$59,3,0)*FG303+VLOOKUP($B$3,'Coeff EC7'!$T$65:$X$85,3,0)*Model0.1C!FH303)/0.9</f>
        <v>#N/A</v>
      </c>
      <c r="FK303" s="102" t="e">
        <f t="shared" si="498"/>
        <v>#N/A</v>
      </c>
      <c r="FL303" s="102" t="e">
        <f t="shared" si="499"/>
        <v>#N/A</v>
      </c>
      <c r="FM303" s="414" t="e">
        <f>IF(FM302=0,0,IF(AND(FI303&gt;charge_ELS_quasi,FJ303&gt;Charge_ELS_freq,FK303&gt;charge_ELU,FL303&gt;charge_ELA,$B303&gt;NDC!$H$22-0.1+MIN(3*$FM$12,1.5)),0,1))</f>
        <v>#N/A</v>
      </c>
    </row>
    <row r="304" spans="1:169">
      <c r="A304" s="96">
        <f t="shared" si="467"/>
        <v>70.900000000001654</v>
      </c>
      <c r="B304" s="97">
        <v>29.1</v>
      </c>
      <c r="C304" s="81">
        <f>IF(B304&lt;=Hypothèses!$C$7,Hypothèses!$A$7,IF(B304&lt;=Hypothèses!$C$8,Hypothèses!$A$8,IF(B304&lt;=Hypothèses!$C$9,Hypothèses!$A$9,IF(B304&lt;=Hypothèses!$C$10,Hypothèses!$A$10,IF(B304&lt;=Hypothèses!$C$11,Hypothèses!$A$11,IF(B304&lt;=Hypothèses!$C$12,Hypothèses!$A$12,IF(B304&lt;=Hypothèses!$C$13,Hypothèses!$A$13,IF(B304&lt;=Hypothèses!$C$14,Hypothèses!$A$14,IF(B304&lt;=Hypothèses!$C$15,Hypothèses!$A$15,IF(B304&lt;=Hypothèses!$C$16,Hypothèses!$A$16,IF(B304&lt;=Hypothèses!$C$17,Hypothèses!$A$17,IF(B304&lt;=Hypothèses!$C$18,Hypothèses!$A$18,C303))))))))))))</f>
        <v>11</v>
      </c>
      <c r="D304" s="82" t="str">
        <f>IF(B304&lt;=Hypothèses!$C$7,Hypothèses!$R$7,IF(B304&lt;=Hypothèses!$C$8,Hypothèses!$R$8,IF(B304&lt;=Hypothèses!$C$9,Hypothèses!$R$9,IF(B304&lt;=Hypothèses!$C$10,Hypothèses!$R$10,IF(B304&lt;=Hypothèses!$C$11,Hypothèses!$R$11,IF(B304&lt;=Hypothèses!$C$12,Hypothèses!$R$12,IF(B304&lt;=Hypothèses!$C$13,Hypothèses!$R$13,IF(B304&lt;=Hypothèses!$C$14,Hypothèses!$R$14,IF(B304&lt;=Hypothèses!$C$15,Hypothèses!$R$15,IF(B304&lt;=Hypothèses!$C$16,Hypothèses!$R$16,IF(B304&lt;=Hypothèses!$C$17,Hypothèses!$R$17,IF(B304&lt;=Hypothèses!$C$18,Hypothèses!$R$18,D303))))))))))))</f>
        <v>Pressio.</v>
      </c>
      <c r="E304" s="82" t="e">
        <f>IF(B304&lt;=Hypothèses!$C$7,Hypothèses!$G$7,IF(B304&lt;=Hypothèses!$C$8,Hypothèses!$G$8,IF(B304&lt;=Hypothèses!$C$9,Hypothèses!$G$9,IF(B304&lt;=Hypothèses!$C$10,Hypothèses!$G$10,IF(B304&lt;=Hypothèses!$C$11,Hypothèses!$G$11,IF(B304&lt;=Hypothèses!$C$12,Hypothèses!$G$12,IF(B304&lt;=Hypothèses!$C$13,Hypothèses!$G$13,IF(B304&lt;=Hypothèses!$C$14,Hypothèses!$G$14,IF(B304&lt;=Hypothèses!$C$15,Hypothèses!$G$15,IF(B304&lt;=Hypothèses!$C$16,Hypothèses!$G$16,IF(B304&lt;=Hypothèses!$C$17,Hypothèses!$G$17,IF(B304&lt;=Hypothèses!$C$18,Hypothèses!$G$18,E303))))))))))))</f>
        <v>#N/A</v>
      </c>
      <c r="F304" s="82" t="str">
        <f>IF(B304&lt;=Hypothèses!$C$7,Hypothèses!$F$7,IF(B304&lt;=Hypothèses!$C$8,Hypothèses!$F$8,IF(B304&lt;=Hypothèses!$C$9,Hypothèses!$F$9,IF(B304&lt;=Hypothèses!$C$10,Hypothèses!$F$10,IF(B304&lt;=Hypothèses!$C$11,Hypothèses!$F$11,IF(B304&lt;=Hypothèses!$C$12,Hypothèses!$F$12,IF(B304&lt;=Hypothèses!$C$13,Hypothèses!$F$13,IF(B304&lt;=Hypothèses!$C$14,Hypothèses!$F$14,IF(B304&lt;=Hypothèses!$C$15,Hypothèses!$F$15,IF(B304&lt;=Hypothèses!$C$16,Hypothèses!$F$16,IF(B304&lt;=Hypothèses!$C$17,Hypothèses!$F$17,IF(B304&lt;=Hypothèses!$C$18,Hypothèses!$F$18,F303))))))))))))</f>
        <v/>
      </c>
      <c r="G304" s="91">
        <f t="array" ref="G304">INDEX('Coeff EC7'!$U$7:$X$27,
MATCH(Model0.1C!$B$3,'Coeff EC7'!$T$7:$T$27,0),
MATCH(Model0.1C!$D304&amp;Model0.1C!$B$4,
'Coeff EC7'!$U$6:$X$6&amp;
'Coeff EC7'!$U$5:$X$5,0))</f>
        <v>1.1499999999999999</v>
      </c>
      <c r="H304" s="91">
        <f t="array" ref="H304">INDEX('Coeff EC7'!$Y$7:$AB$27,
MATCH(Model0.1C!$B$3,'Coeff EC7'!$T$7:$T$27,0),
MATCH(Model0.1C!$D304&amp;Model0.1C!$B$4,
'Coeff EC7'!$Y$6:$AB$6&amp;
'Coeff EC7'!$Y$5:$AB$5,0))</f>
        <v>1.4</v>
      </c>
      <c r="I304" s="83" t="e">
        <f>IF(B304&lt;=Hypothèses!$C$7,Hypothèses!$P$7,IF(B304&lt;=Hypothèses!$C$8,Hypothèses!$P$8,IF(B304&lt;=Hypothèses!$C$9,Hypothèses!$P$9,IF(B304&lt;=Hypothèses!$C$10,Hypothèses!$P$10,IF(B304&lt;=Hypothèses!$C$11,Hypothèses!$P$11,IF(B304&lt;=Hypothèses!$C$12,Hypothèses!$P$12,IF(B304&lt;=Hypothèses!$C$13,Hypothèses!$P$13,IF(B304&lt;=Hypothèses!$C$14,Hypothèses!$P$14,IF(B304&lt;=Hypothèses!$C$15,Hypothèses!$P$15,IF(B304&lt;=Hypothèses!$C$16,Hypothèses!$P$16,IF(B304&lt;=Hypothèses!$C$17,Hypothèses!$P$17,IF(B304&lt;=Hypothèses!$C$18,Hypothèses!$P$18,I303))))))))))))</f>
        <v>#N/A</v>
      </c>
      <c r="J304" s="91" t="e">
        <f t="array" ref="J304">INDEX('Coeff EC7'!$D$33:$Q$33,1,MATCH(D304&amp;E304,'Coeff EC7'!$D$31:$Q$31&amp;'Coeff EC7'!$D$32:$Q$32,0))</f>
        <v>#N/A</v>
      </c>
      <c r="K304" s="91" t="e">
        <f t="array" ref="K304">INDEX('Coeff EC7'!$D$34:$Q$34,1,MATCH(D304&amp;E304,'Coeff EC7'!$D$31:$Q$31&amp;'Coeff EC7'!$D$32:$Q$32,0))</f>
        <v>#N/A</v>
      </c>
      <c r="L304" s="91" t="e">
        <f t="array" ref="L304">INDEX('Coeff EC7'!$D$35:$Q$35,1,MATCH(D304&amp;E304,'Coeff EC7'!$D$31:$Q$31&amp;'Coeff EC7'!$D$32:$Q$32,0))</f>
        <v>#N/A</v>
      </c>
      <c r="M304" s="98" t="e">
        <f t="shared" si="431"/>
        <v>#N/A</v>
      </c>
      <c r="N304" s="99" t="e">
        <f t="array" ref="N304">INDEX('Coeff EC7'!$D$7:$Q$27,MATCH($B$3,'Coeff EC7'!$C$7:$C$27,0),MATCH(D304&amp;E304,'Coeff EC7'!$D$5:$Q$5&amp;'Coeff EC7'!$D$6:$Q$6,0))</f>
        <v>#N/A</v>
      </c>
      <c r="O304" s="99" t="e">
        <f t="array" ref="O304">INDEX('Coeff EC7'!$D$41:$Q$61,MATCH($B$3,'Coeff EC7'!$C$41:$C$61,0),MATCH(D304&amp;E304,'Coeff EC7'!$D$39:$Q$39&amp;'Coeff EC7'!$D$40:$Q$40,0))</f>
        <v>#N/A</v>
      </c>
      <c r="P304" s="30" t="e">
        <f t="shared" si="468"/>
        <v>#N/A</v>
      </c>
      <c r="Q304" s="100" t="e">
        <f t="shared" si="433"/>
        <v>#N/A</v>
      </c>
      <c r="R304" s="86" t="b">
        <f t="shared" si="434"/>
        <v>0</v>
      </c>
      <c r="S304" s="86">
        <f t="shared" si="432"/>
        <v>0.5</v>
      </c>
      <c r="T304" s="86">
        <f t="shared" si="435"/>
        <v>0.5</v>
      </c>
      <c r="U304" s="30" t="e">
        <f t="shared" ca="1" si="469"/>
        <v>#DIV/0!</v>
      </c>
      <c r="V304" s="85" t="str">
        <f>IF(B304&lt;=Hypothèses!$V$7,Hypothèses!$W$7,IF(B304&lt;=Hypothèses!$V$8,Hypothèses!$W$8,IF(B304&lt;=Hypothèses!$V$9,Hypothèses!$W$9,IF(B304&lt;=Hypothèses!$V$10,Hypothèses!$W$10,IF(B304&lt;=Hypothèses!$V$11,Hypothèses!$W$11,IF(B304&lt;=Hypothèses!$V$12,Hypothèses!$W$12,IF(B304&lt;=Hypothèses!$V$13,Hypothèses!$W$13,IF(B304&lt;=Hypothèses!$V$14,Hypothèses!$W$14,IF(B304&lt;=Hypothèses!$V$15,Hypothèses!$W$15,IF(B304&lt;=Hypothèses!$V$16,Hypothèses!$W$16,IF(B304&lt;=Hypothèses!$V$17,Hypothèses!$W$17,IF(B304&lt;=Hypothèses!$V$18,Hypothèses!$W$18,""))))))))))))</f>
        <v/>
      </c>
      <c r="W304" s="87" t="e">
        <f t="shared" ca="1" si="516"/>
        <v>#DIV/0!</v>
      </c>
      <c r="X304" s="88" t="str">
        <f>IF(B304&lt;=Hypothèses!$V$7,Hypothèses!$X$7,IF(B304&lt;=Hypothèses!$V$8,Hypothèses!$X$8,IF(B304&lt;=Hypothèses!$V$9,Hypothèses!$X$9,IF(B304&lt;=Hypothèses!$V$10,Hypothèses!$X$10,IF(B304&lt;=Hypothèses!$V$11,Hypothèses!$X$11,IF(B304&lt;=Hypothèses!$V$12,Hypothèses!$X$12,IF(B304&lt;=Hypothèses!$V$13,Hypothèses!$X$13,IF(B304&lt;=Hypothèses!$V$14,Hypothèses!$X$14,IF(B304&lt;=Hypothèses!$V$15,Hypothèses!$X$15,IF(B304&lt;=Hypothèses!$V$16,Hypothèses!$X$16,IF(B304&lt;=Hypothèses!$U$17,Hypothèses!$W$17,IF(B304&lt;=Hypothèses!$U$18,Hypothèses!$W$18,""))))))))))))</f>
        <v/>
      </c>
      <c r="Y304" s="95" t="e">
        <f t="shared" ca="1" si="436"/>
        <v>#DIV/0!</v>
      </c>
      <c r="Z304" s="101" t="e">
        <f t="shared" si="437"/>
        <v>#N/A</v>
      </c>
      <c r="AA304" s="91" t="e">
        <f t="shared" si="438"/>
        <v>#N/A</v>
      </c>
      <c r="AB304" s="30" t="e">
        <f t="shared" si="500"/>
        <v>#N/A</v>
      </c>
      <c r="AC304" s="30" t="e">
        <f t="shared" si="501"/>
        <v>#N/A</v>
      </c>
      <c r="AD304" s="31" t="e">
        <f>IF(OR(Hypothèses!$B$4=17,Hypothèses!$B$4=18,Hypothèses!$B$4=19,Hypothèses!$B$4=20),
IF($D304="Pressio.",
IF(OR($E304=3,$E304=1,$E304=4),AC304,AB304),
IF($D304="Pénétro.",
IF(OR($E304=3,$E304=1,$E304=4),AC304,AB304))),IF($D304="Pressio.",
IF($E304=3,AC304,AB304),
IF($D304="Pénétro.",
IF($E304=4,AC304,AB304))))</f>
        <v>#N/A</v>
      </c>
      <c r="AE304" s="31" t="e">
        <f>(IF(OR(Hypothèses!$B$4=17,Hypothèses!$B$4=18,Hypothèses!$B$4=19,Hypothèses!$B$4=20),
IF($D304="Pressio.",
IF(OR($E304=3,$E304=1,$E304=4),(PI()*AE$12^2)/4*(AA304*$W304*1000)/($H304*$B$5),(PI()*AE$12^2)/4*(AA304*$W304*1000)/($G304*$B$5)),
IF($D304="Pénétro.",
IF(OR($E304=4,$E304=1,$E304=5),(PI()*AE$12^2)/4*(AA304*$W304*1000)/($H304*$B$5),(PI()*AE$12^2)/4*(AA304*$W304*1000)/($G304*$B$5)))),
IF($D304="Pressio.",
IF($E304=3,(PI()*AE$12^2)/4*(AA304*$W304*1000)/($H304*$B$5),(PI()*AE$12^2)/4*(AA304*$W304*1000)/($G304*$B$5)),
IF($D304="Pénétro.",
IF($E304=4,(PI()*AE$12^2)/4*(AA304*$W304*1000)/($H304*$B$5),(PI()*AE$12^2)/4*(AA304*$W304*1000)/($G304*$B$5))))))/10</f>
        <v>#N/A</v>
      </c>
      <c r="AF304" s="102" t="e">
        <f>(VLOOKUP($B$3,'Coeff EC7'!$T$39:$X$59,2,0)*AD304+VLOOKUP($B$3,'Coeff EC7'!$T$65:$X$85,2,0)*Model0.1C!AE304)/1.1</f>
        <v>#N/A</v>
      </c>
      <c r="AG304" s="102" t="e">
        <f>(VLOOKUP($B$3,'Coeff EC7'!$T$39:$X$59,3,0)*AD304+VLOOKUP($B$3,'Coeff EC7'!$T$65:$X$85,3,0)*Model0.1C!AE304)/0.9</f>
        <v>#N/A</v>
      </c>
      <c r="AH304" s="102" t="e">
        <f t="shared" si="439"/>
        <v>#N/A</v>
      </c>
      <c r="AI304" s="102" t="e">
        <f t="shared" si="440"/>
        <v>#N/A</v>
      </c>
      <c r="AJ304" s="414" t="e">
        <f>IF(AJ303=0,0,IF(AND(AF304&gt;charge_ELS_quasi,AG304&gt;Charge_ELS_freq,AH304&gt;charge_ELU,AI304&gt;charge_ELA,$B304&gt;NDC!$H$22-0.1+MIN(3*$AJ$12,1.5)),0,1))</f>
        <v>#N/A</v>
      </c>
      <c r="AK304" s="86" t="b">
        <f t="shared" si="441"/>
        <v>0</v>
      </c>
      <c r="AL304" s="86">
        <f t="shared" si="470"/>
        <v>0.5</v>
      </c>
      <c r="AM304" s="86">
        <f t="shared" si="442"/>
        <v>0.5</v>
      </c>
      <c r="AN304" s="30" t="e">
        <f t="shared" ca="1" si="471"/>
        <v>#DIV/0!</v>
      </c>
      <c r="AO304" s="85" t="e">
        <f ca="1">IF(U304&lt;=Hypothèses!$V$7,Hypothèses!$W$7,IF(U304&lt;=Hypothèses!$V$8,Hypothèses!$W$8,IF(U304&lt;=Hypothèses!$V$9,Hypothèses!$W$9,IF(U304&lt;=Hypothèses!$V$10,Hypothèses!$W$10,IF(U304&lt;=Hypothèses!$V$11,Hypothèses!$W$11,IF(U304&lt;=Hypothèses!$V$12,Hypothèses!$W$12,IF(U304&lt;=Hypothèses!$V$13,Hypothèses!$W$13,IF(U304&lt;=Hypothèses!$V$14,Hypothèses!$W$14,IF(U304&lt;=Hypothèses!$V$15,Hypothèses!$W$15,IF(U304&lt;=Hypothèses!$V$16,Hypothèses!$W$16,IF(U304&lt;=Hypothèses!$V$17,Hypothèses!$W$17,IF(U304&lt;=Hypothèses!$V$18,Hypothèses!$W$18,""))))))))))))</f>
        <v>#DIV/0!</v>
      </c>
      <c r="AP304" s="87" t="e">
        <f t="shared" ca="1" si="517"/>
        <v>#DIV/0!</v>
      </c>
      <c r="AQ304" s="88" t="e">
        <f ca="1">IF(U304&lt;=Hypothèses!$V$7,Hypothèses!$X$7,IF(U304&lt;=Hypothèses!$V$8,Hypothèses!$X$8,IF(U304&lt;=Hypothèses!$V$9,Hypothèses!$X$9,IF(U304&lt;=Hypothèses!$V$10,Hypothèses!$X$10,IF(U304&lt;=Hypothèses!$V$11,Hypothèses!$X$11,IF(U304&lt;=Hypothèses!$V$12,Hypothèses!$X$12,IF(U304&lt;=Hypothèses!$V$13,Hypothèses!$X$13,IF(U304&lt;=Hypothèses!$V$14,Hypothèses!$X$14,IF(U304&lt;=Hypothèses!$V$15,Hypothèses!$X$15,IF(U304&lt;=Hypothèses!$V$16,Hypothèses!$X$16,IF(U304&lt;=Hypothèses!$U$17,Hypothèses!$W$17,IF(U304&lt;=Hypothèses!$U$18,Hypothèses!$W$18,""))))))))))))</f>
        <v>#DIV/0!</v>
      </c>
      <c r="AR304" s="95" t="e">
        <f t="shared" ca="1" si="472"/>
        <v>#DIV/0!</v>
      </c>
      <c r="AS304" s="101" t="e">
        <f t="shared" si="524"/>
        <v>#N/A</v>
      </c>
      <c r="AT304" s="91" t="e">
        <f t="shared" si="443"/>
        <v>#N/A</v>
      </c>
      <c r="AU304" s="30" t="e">
        <f t="shared" si="502"/>
        <v>#N/A</v>
      </c>
      <c r="AV304" s="30" t="e">
        <f t="shared" si="503"/>
        <v>#N/A</v>
      </c>
      <c r="AW304" s="31" t="e">
        <f>IF(OR(Hypothèses!$B$4=17,Hypothèses!$B$4=18,Hypothèses!$B$4=19,Hypothèses!$B$4=20),
IF($D304="Pressio.",
IF(OR($E304=3,$E304=1,$E304=4),AV304,AU304),
IF($D304="Pénétro.",
IF(OR($E304=3,$E304=1,$E304=4),AV304,AU304))),IF($D304="Pressio.",
IF($E304=3,AV304,AU304),
IF($D304="Pénétro.",
IF($E304=4,AV304,AU304))))</f>
        <v>#N/A</v>
      </c>
      <c r="AX304" s="31" t="e">
        <f>(IF(OR(Hypothèses!$B$4=17,Hypothèses!$B$4=18,Hypothèses!$B$4=19,Hypothèses!$B$4=20),
IF($D304="Pressio.",
IF(OR($E304=3,$E304=1,$E304=4),(PI()*AX$12^2)/4*(AT304*$W304*1000)/($H304*$B$5),(PI()*AX$12^2)/4*(AT304*$W304*1000)/($G304*$B$5)),
IF($D304="Pénétro.",
IF(OR($E304=4,$E304=1,$E304=5),(PI()*AX$12^2)/4*(AT304*$W304*1000)/($H304*$B$5),(PI()*AX$12^2)/4*(AT304*$W304*1000)/($G304*$B$5)))),
IF($D304="Pressio.",
IF($E304=3,(PI()*AX$12^2)/4*(AT304*$W304*1000)/($H304*$B$5),(PI()*AX$12^2)/4*(AT304*$W304*1000)/($G304*$B$5)),
IF($D304="Pénétro.",
IF($E304=4,(PI()*AX$12^2)/4*(AT304*$W304*1000)/($H304*$B$5),(PI()*AX$12^2)/4*(AT304*$W304*1000)/($G304*$B$5))))))/10</f>
        <v>#N/A</v>
      </c>
      <c r="AY304" s="102" t="e">
        <f>(VLOOKUP($B$3,'Coeff EC7'!$T$39:$X$59,2,0)*AW304+VLOOKUP($B$3,'Coeff EC7'!$T$65:$X$85,2,0)*Model0.1C!AX304)/1.1</f>
        <v>#N/A</v>
      </c>
      <c r="AZ304" s="102" t="e">
        <f>(VLOOKUP($B$3,'Coeff EC7'!$T$39:$X$59,3,0)*AW304+VLOOKUP($B$3,'Coeff EC7'!$T$65:$X$85,3,0)*Model0.1C!AX304)/0.9</f>
        <v>#N/A</v>
      </c>
      <c r="BA304" s="102" t="e">
        <f t="shared" si="473"/>
        <v>#N/A</v>
      </c>
      <c r="BB304" s="102" t="e">
        <f t="shared" si="474"/>
        <v>#N/A</v>
      </c>
      <c r="BC304" s="414" t="e">
        <f>IF(BC303=0,0,IF(AND(AY304&gt;charge_ELS_quasi,AZ304&gt;Charge_ELS_freq,BA304&gt;charge_ELU,BB304&gt;charge_ELA,$B304&gt;NDC!$H$22-0.1+MIN(3*$BC$12,1.5)),0,1))</f>
        <v>#N/A</v>
      </c>
      <c r="BD304" s="86" t="b">
        <f t="shared" si="444"/>
        <v>0</v>
      </c>
      <c r="BE304" s="86">
        <f t="shared" si="475"/>
        <v>0.5</v>
      </c>
      <c r="BF304" s="86">
        <f t="shared" si="445"/>
        <v>0.5</v>
      </c>
      <c r="BG304" s="30" t="e">
        <f t="shared" ca="1" si="476"/>
        <v>#DIV/0!</v>
      </c>
      <c r="BH304" s="85" t="e">
        <f ca="1">IF(AN304&lt;=Hypothèses!$V$7,Hypothèses!$W$7,IF(AN304&lt;=Hypothèses!$V$8,Hypothèses!$W$8,IF(AN304&lt;=Hypothèses!$V$9,Hypothèses!$W$9,IF(AN304&lt;=Hypothèses!$V$10,Hypothèses!$W$10,IF(AN304&lt;=Hypothèses!$V$11,Hypothèses!$W$11,IF(AN304&lt;=Hypothèses!$V$12,Hypothèses!$W$12,IF(AN304&lt;=Hypothèses!$V$13,Hypothèses!$W$13,IF(AN304&lt;=Hypothèses!$V$14,Hypothèses!$W$14,IF(AN304&lt;=Hypothèses!$V$15,Hypothèses!$W$15,IF(AN304&lt;=Hypothèses!$V$16,Hypothèses!$W$16,IF(AN304&lt;=Hypothèses!$V$17,Hypothèses!$W$17,IF(AN304&lt;=Hypothèses!$V$18,Hypothèses!$W$18,""))))))))))))</f>
        <v>#DIV/0!</v>
      </c>
      <c r="BI304" s="87" t="e">
        <f t="shared" ca="1" si="518"/>
        <v>#DIV/0!</v>
      </c>
      <c r="BJ304" s="88" t="e">
        <f ca="1">IF(AN304&lt;=Hypothèses!$V$7,Hypothèses!$X$7,IF(AN304&lt;=Hypothèses!$V$8,Hypothèses!$X$8,IF(AN304&lt;=Hypothèses!$V$9,Hypothèses!$X$9,IF(AN304&lt;=Hypothèses!$V$10,Hypothèses!$X$10,IF(AN304&lt;=Hypothèses!$V$11,Hypothèses!$X$11,IF(AN304&lt;=Hypothèses!$V$12,Hypothèses!$X$12,IF(AN304&lt;=Hypothèses!$V$13,Hypothèses!$X$13,IF(AN304&lt;=Hypothèses!$V$14,Hypothèses!$X$14,IF(AN304&lt;=Hypothèses!$V$15,Hypothèses!$X$15,IF(AN304&lt;=Hypothèses!$V$16,Hypothèses!$X$16,IF(AN304&lt;=Hypothèses!$U$17,Hypothèses!$W$17,IF(AN304&lt;=Hypothèses!$U$18,Hypothèses!$W$18,""))))))))))))</f>
        <v>#DIV/0!</v>
      </c>
      <c r="BK304" s="95" t="e">
        <f t="shared" ca="1" si="477"/>
        <v>#DIV/0!</v>
      </c>
      <c r="BL304" s="101" t="e">
        <f t="shared" si="525"/>
        <v>#N/A</v>
      </c>
      <c r="BM304" s="91" t="e">
        <f t="shared" si="446"/>
        <v>#N/A</v>
      </c>
      <c r="BN304" s="30" t="e">
        <f t="shared" si="504"/>
        <v>#N/A</v>
      </c>
      <c r="BO304" s="30" t="e">
        <f t="shared" si="505"/>
        <v>#N/A</v>
      </c>
      <c r="BP304" s="31" t="e">
        <f>IF(OR(Hypothèses!$B$4=17,Hypothèses!$B$4=18,Hypothèses!$B$4=19,Hypothèses!$B$4=20),
IF($D304="Pressio.",
IF(OR($E304=3,$E304=1,$E304=4),BO304,BN304),
IF($D304="Pénétro.",
IF(OR($E304=3,$E304=1,$E304=4),BO304,BN304))),IF($D304="Pressio.",
IF($E304=3,BO304,BN304),
IF($D304="Pénétro.",
IF($E304=4,BO304,BN304))))</f>
        <v>#N/A</v>
      </c>
      <c r="BQ304" s="31" t="e">
        <f>(IF(OR(Hypothèses!$B$4=17,Hypothèses!$B$4=18,Hypothèses!$B$4=19,Hypothèses!$B$4=20),
IF($D304="Pressio.",
IF(OR($E304=3,$E304=1,$E304=4),(PI()*BQ$12^2)/4*(BM304*$W304*1000)/($H304*$B$5),(PI()*BQ$12^2)/4*(BM304*$W304*1000)/($G304*$B$5)),
IF($D304="Pénétro.",
IF(OR($E304=4,$E304=1,$E304=5),(PI()*BQ$12^2)/4*(BM304*$W304*1000)/($H304*$B$5),(PI()*BQ$12^2)/4*(BM304*$W304*1000)/($G304*$B$5)))),
IF($D304="Pressio.",
IF($E304=3,(PI()*BQ$12^2)/4*(BM304*$W304*1000)/($H304*$B$5),(PI()*BQ$12^2)/4*(BM304*$W304*1000)/($G304*$B$5)),
IF($D304="Pénétro.",
IF($E304=4,(PI()*BQ$12^2)/4*(BM304*$W304*1000)/($H304*$B$5),(PI()*BQ$12^2)/4*(BM304*$W304*1000)/($G304*$B$5))))))/10</f>
        <v>#N/A</v>
      </c>
      <c r="BR304" s="102" t="e">
        <f>(VLOOKUP($B$3,'Coeff EC7'!$T$39:$X$59,2,0)*BP304+VLOOKUP($B$3,'Coeff EC7'!$T$65:$X$85,2,0)*Model0.1C!BQ304)/1.1</f>
        <v>#N/A</v>
      </c>
      <c r="BS304" s="102" t="e">
        <f>(VLOOKUP($B$3,'Coeff EC7'!$T$39:$X$59,3,0)*BP304+VLOOKUP($B$3,'Coeff EC7'!$T$65:$X$85,3,0)*Model0.1C!BQ304)/0.9</f>
        <v>#N/A</v>
      </c>
      <c r="BT304" s="102" t="e">
        <f t="shared" si="478"/>
        <v>#N/A</v>
      </c>
      <c r="BU304" s="102" t="e">
        <f t="shared" si="479"/>
        <v>#N/A</v>
      </c>
      <c r="BV304" s="414" t="e">
        <f>IF(BV303=0,0,IF(AND(BR304&gt;charge_ELS_quasi,BS304&gt;Charge_ELS_freq,BT304&gt;charge_ELU,BU304&gt;charge_ELA,$B304&gt;NDC!$H$22-0.1+MIN(3*$BV$12,1.5)),0,1))</f>
        <v>#N/A</v>
      </c>
      <c r="BW304" s="86" t="b">
        <f t="shared" si="447"/>
        <v>0</v>
      </c>
      <c r="BX304" s="86">
        <f t="shared" si="448"/>
        <v>0.5</v>
      </c>
      <c r="BY304" s="86">
        <f t="shared" si="449"/>
        <v>0.5</v>
      </c>
      <c r="BZ304" s="30" t="e">
        <f t="shared" ca="1" si="480"/>
        <v>#DIV/0!</v>
      </c>
      <c r="CA304" s="85" t="e">
        <f ca="1">IF(BG304&lt;=Hypothèses!$V$7,Hypothèses!$W$7,IF(BG304&lt;=Hypothèses!$V$8,Hypothèses!$W$8,IF(BG304&lt;=Hypothèses!$V$9,Hypothèses!$W$9,IF(BG304&lt;=Hypothèses!$V$10,Hypothèses!$W$10,IF(BG304&lt;=Hypothèses!$V$11,Hypothèses!$W$11,IF(BG304&lt;=Hypothèses!$V$12,Hypothèses!$W$12,IF(BG304&lt;=Hypothèses!$V$13,Hypothèses!$W$13,IF(BG304&lt;=Hypothèses!$V$14,Hypothèses!$W$14,IF(BG304&lt;=Hypothèses!$V$15,Hypothèses!$W$15,IF(BG304&lt;=Hypothèses!$V$16,Hypothèses!$W$16,IF(BG304&lt;=Hypothèses!$V$17,Hypothèses!$W$17,IF(BG304&lt;=Hypothèses!$V$18,Hypothèses!$W$18,""))))))))))))</f>
        <v>#DIV/0!</v>
      </c>
      <c r="CB304" s="87" t="e">
        <f t="shared" ca="1" si="519"/>
        <v>#DIV/0!</v>
      </c>
      <c r="CC304" s="88" t="e">
        <f ca="1">IF(BG304&lt;=Hypothèses!$V$7,Hypothèses!$X$7,IF(BG304&lt;=Hypothèses!$V$8,Hypothèses!$X$8,IF(BG304&lt;=Hypothèses!$V$9,Hypothèses!$X$9,IF(BG304&lt;=Hypothèses!$V$10,Hypothèses!$X$10,IF(BG304&lt;=Hypothèses!$V$11,Hypothèses!$X$11,IF(BG304&lt;=Hypothèses!$V$12,Hypothèses!$X$12,IF(BG304&lt;=Hypothèses!$V$13,Hypothèses!$X$13,IF(BG304&lt;=Hypothèses!$V$14,Hypothèses!$X$14,IF(BG304&lt;=Hypothèses!$V$15,Hypothèses!$X$15,IF(BG304&lt;=Hypothèses!$V$16,Hypothèses!$X$16,IF(BG304&lt;=Hypothèses!$U$17,Hypothèses!$W$17,IF(BG304&lt;=Hypothèses!$U$18,Hypothèses!$W$18,""))))))))))))</f>
        <v>#DIV/0!</v>
      </c>
      <c r="CD304" s="95" t="e">
        <f t="shared" ca="1" si="481"/>
        <v>#DIV/0!</v>
      </c>
      <c r="CE304" s="101" t="e">
        <f t="shared" si="526"/>
        <v>#N/A</v>
      </c>
      <c r="CF304" s="91" t="e">
        <f t="shared" si="450"/>
        <v>#N/A</v>
      </c>
      <c r="CG304" s="30" t="e">
        <f t="shared" si="506"/>
        <v>#N/A</v>
      </c>
      <c r="CH304" s="30" t="e">
        <f t="shared" si="507"/>
        <v>#N/A</v>
      </c>
      <c r="CI304" s="31" t="e">
        <f>IF(OR(Hypothèses!$B$4=17,Hypothèses!$B$4=18,Hypothèses!$B$4=19,Hypothèses!$B$4=20),
IF($D304="Pressio.",
IF(OR($E304=3,$E304=1,$E304=4),CH304,CG304),
IF($D304="Pénétro.",
IF(OR($E304=3,$E304=1,$E304=4),CH304,CG304))),IF($D304="Pressio.",
IF($E304=3,CH304,CG304),
IF($D304="Pénétro.",
IF($E304=4,CH304,CG304))))</f>
        <v>#N/A</v>
      </c>
      <c r="CJ304" s="31" t="e">
        <f>(IF(OR(Hypothèses!$B$4=17,Hypothèses!$B$4=18,Hypothèses!$B$4=19,Hypothèses!$B$4=20),
IF($D304="Pressio.",
IF(OR($E304=3,$E304=1,$E304=4),(PI()*CJ$12^2)/4*(CF304*$W304*1000)/($H304*$B$5),(PI()*CJ$12^2)/4*(CF304*$W304*1000)/($G304*$B$5)),
IF($D304="Pénétro.",
IF(OR($E304=4,$E304=1,$E304=5),(PI()*CJ$12^2)/4*(CF304*$W304*1000)/($H304*$B$5),(PI()*CJ$12^2)/4*(CF304*$W304*1000)/($G304*$B$5)))),
IF($D304="Pressio.",
IF($E304=3,(PI()*CJ$12^2)/4*(CF304*$W304*1000)/($H304*$B$5),(PI()*CJ$12^2)/4*(CF304*$W304*1000)/($G304*$B$5)),
IF($D304="Pénétro.",
IF($E304=4,(PI()*CJ$12^2)/4*(CF304*$W304*1000)/($H304*$B$5),(PI()*CJ$12^2)/4*(CF304*$W304*1000)/($G304*$B$5))))))/10</f>
        <v>#N/A</v>
      </c>
      <c r="CK304" s="102" t="e">
        <f>(VLOOKUP($B$3,'Coeff EC7'!$T$39:$X$59,2,0)*CI304+VLOOKUP($B$3,'Coeff EC7'!$T$65:$X$85,2,0)*Model0.1C!CJ304)/1.1</f>
        <v>#N/A</v>
      </c>
      <c r="CL304" s="102" t="e">
        <f>(VLOOKUP($B$3,'Coeff EC7'!$T$39:$X$59,3,0)*CI304+VLOOKUP($B$3,'Coeff EC7'!$T$65:$X$85,3,0)*Model0.1C!CJ304)/0.9</f>
        <v>#N/A</v>
      </c>
      <c r="CM304" s="102" t="e">
        <f t="shared" si="482"/>
        <v>#N/A</v>
      </c>
      <c r="CN304" s="102" t="e">
        <f t="shared" si="483"/>
        <v>#N/A</v>
      </c>
      <c r="CO304" s="414" t="e">
        <f>IF(CO303=0,0,IF(AND(CK304&gt;charge_ELS_quasi,CL304&gt;Charge_ELS_freq,CM304&gt;charge_ELU,CN304&gt;charge_ELA,$B304&gt;NDC!$H$22-0.1+MIN(3*$CO$12,1.5)),0,1))</f>
        <v>#N/A</v>
      </c>
      <c r="CP304" s="86" t="b">
        <f t="shared" si="451"/>
        <v>0</v>
      </c>
      <c r="CQ304" s="86">
        <f t="shared" si="452"/>
        <v>0.5</v>
      </c>
      <c r="CR304" s="86">
        <f t="shared" si="453"/>
        <v>0.5</v>
      </c>
      <c r="CS304" s="30" t="e">
        <f t="shared" ca="1" si="484"/>
        <v>#DIV/0!</v>
      </c>
      <c r="CT304" s="85" t="e">
        <f ca="1">IF(BZ304&lt;=Hypothèses!$V$7,Hypothèses!$W$7,IF(BZ304&lt;=Hypothèses!$V$8,Hypothèses!$W$8,IF(BZ304&lt;=Hypothèses!$V$9,Hypothèses!$W$9,IF(BZ304&lt;=Hypothèses!$V$10,Hypothèses!$W$10,IF(BZ304&lt;=Hypothèses!$V$11,Hypothèses!$W$11,IF(BZ304&lt;=Hypothèses!$V$12,Hypothèses!$W$12,IF(BZ304&lt;=Hypothèses!$V$13,Hypothèses!$W$13,IF(BZ304&lt;=Hypothèses!$V$14,Hypothèses!$W$14,IF(BZ304&lt;=Hypothèses!$V$15,Hypothèses!$W$15,IF(BZ304&lt;=Hypothèses!$V$16,Hypothèses!$W$16,IF(BZ304&lt;=Hypothèses!$V$17,Hypothèses!$W$17,IF(BZ304&lt;=Hypothèses!$V$18,Hypothèses!$W$18,""))))))))))))</f>
        <v>#DIV/0!</v>
      </c>
      <c r="CU304" s="87" t="e">
        <f t="shared" ca="1" si="520"/>
        <v>#DIV/0!</v>
      </c>
      <c r="CV304" s="88" t="e">
        <f ca="1">IF(BZ304&lt;=Hypothèses!$V$7,Hypothèses!$X$7,IF(BZ304&lt;=Hypothèses!$V$8,Hypothèses!$X$8,IF(BZ304&lt;=Hypothèses!$V$9,Hypothèses!$X$9,IF(BZ304&lt;=Hypothèses!$V$10,Hypothèses!$X$10,IF(BZ304&lt;=Hypothèses!$V$11,Hypothèses!$X$11,IF(BZ304&lt;=Hypothèses!$V$12,Hypothèses!$X$12,IF(BZ304&lt;=Hypothèses!$V$13,Hypothèses!$X$13,IF(BZ304&lt;=Hypothèses!$V$14,Hypothèses!$X$14,IF(BZ304&lt;=Hypothèses!$V$15,Hypothèses!$X$15,IF(BZ304&lt;=Hypothèses!$V$16,Hypothèses!$X$16,IF(BZ304&lt;=Hypothèses!$U$17,Hypothèses!$W$17,IF(BZ304&lt;=Hypothèses!$U$18,Hypothèses!$W$18,""))))))))))))</f>
        <v>#DIV/0!</v>
      </c>
      <c r="CW304" s="95" t="e">
        <f t="shared" ca="1" si="485"/>
        <v>#DIV/0!</v>
      </c>
      <c r="CX304" s="101" t="e">
        <f t="shared" si="527"/>
        <v>#N/A</v>
      </c>
      <c r="CY304" s="91" t="e">
        <f t="shared" si="454"/>
        <v>#N/A</v>
      </c>
      <c r="CZ304" s="30" t="e">
        <f t="shared" si="508"/>
        <v>#N/A</v>
      </c>
      <c r="DA304" s="30" t="e">
        <f t="shared" si="509"/>
        <v>#N/A</v>
      </c>
      <c r="DB304" s="31" t="e">
        <f>IF(OR(Hypothèses!$B$4=17,Hypothèses!$B$4=18,Hypothèses!$B$4=19,Hypothèses!$B$4=20),
IF($D304="Pressio.",
IF(OR($E304=3,$E304=1,$E304=4),DA304,CZ304),
IF($D304="Pénétro.",
IF(OR($E304=3,$E304=1,$E304=4),DA304,CZ304))),IF($D304="Pressio.",
IF($E304=3,DA304,CZ304),
IF($D304="Pénétro.",
IF($E304=4,DA304,CZ304))))</f>
        <v>#N/A</v>
      </c>
      <c r="DC304" s="31" t="e">
        <f>(IF(OR(Hypothèses!$B$4=17,Hypothèses!$B$4=18,Hypothèses!$B$4=19,Hypothèses!$B$4=20),
IF($D304="Pressio.",
IF(OR($E304=3,$E304=1,$E304=4),(PI()*DC$12^2)/4*(CY304*$W304*1000)/($H304*$B$5),(PI()*DC$12^2)/4*(CY304*$W304*1000)/($G304*$B$5)),
IF($D304="Pénétro.",
IF(OR($E304=4,$E304=1,$E304=5),(PI()*DC$12^2)/4*(CY304*$W304*1000)/($H304*$B$5),(PI()*DC$12^2)/4*(CY304*$W304*1000)/($G304*$B$5)))),
IF($D304="Pressio.",
IF($E304=3,(PI()*DC$12^2)/4*(CY304*$W304*1000)/($H304*$B$5),(PI()*DC$12^2)/4*(CY304*$W304*1000)/($G304*$B$5)),
IF($D304="Pénétro.",
IF($E304=4,(PI()*DC$12^2)/4*(CY304*$W304*1000)/($H304*$B$5),(PI()*DC$12^2)/4*(CY304*$W304*1000)/($G304*$B$5))))))/10</f>
        <v>#N/A</v>
      </c>
      <c r="DD304" s="102" t="e">
        <f>(VLOOKUP($B$3,'Coeff EC7'!$T$39:$X$59,2,0)*DB304+VLOOKUP($B$3,'Coeff EC7'!$T$65:$X$85,2,0)*Model0.1C!DC304)/1.1</f>
        <v>#N/A</v>
      </c>
      <c r="DE304" s="102" t="e">
        <f>(VLOOKUP($B$3,'Coeff EC7'!$T$39:$X$59,3,0)*DB304+VLOOKUP($B$3,'Coeff EC7'!$T$65:$X$85,3,0)*Model0.1C!DC304)/0.9</f>
        <v>#N/A</v>
      </c>
      <c r="DF304" s="102" t="e">
        <f t="shared" si="486"/>
        <v>#N/A</v>
      </c>
      <c r="DG304" s="102" t="e">
        <f t="shared" si="487"/>
        <v>#N/A</v>
      </c>
      <c r="DH304" s="414" t="e">
        <f>IF(DH303=0,0,IF(AND(DD304&gt;charge_ELS_quasi,DE304&gt;Charge_ELS_freq,DF304&gt;charge_ELU,DG304&gt;charge_ELA,$B304&gt;NDC!$H$22-0.1+MIN(3*$DH$12,1.5)),0,1))</f>
        <v>#N/A</v>
      </c>
      <c r="DI304" s="86" t="b">
        <f t="shared" si="455"/>
        <v>0</v>
      </c>
      <c r="DJ304" s="86">
        <f t="shared" si="456"/>
        <v>0.5</v>
      </c>
      <c r="DK304" s="86">
        <f t="shared" si="457"/>
        <v>0.5</v>
      </c>
      <c r="DL304" s="30" t="e">
        <f t="shared" ca="1" si="488"/>
        <v>#DIV/0!</v>
      </c>
      <c r="DM304" s="85" t="e">
        <f ca="1">IF(CS304&lt;=Hypothèses!$V$7,Hypothèses!$W$7,IF(CS304&lt;=Hypothèses!$V$8,Hypothèses!$W$8,IF(CS304&lt;=Hypothèses!$V$9,Hypothèses!$W$9,IF(CS304&lt;=Hypothèses!$V$10,Hypothèses!$W$10,IF(CS304&lt;=Hypothèses!$V$11,Hypothèses!$W$11,IF(CS304&lt;=Hypothèses!$V$12,Hypothèses!$W$12,IF(CS304&lt;=Hypothèses!$V$13,Hypothèses!$W$13,IF(CS304&lt;=Hypothèses!$V$14,Hypothèses!$W$14,IF(CS304&lt;=Hypothèses!$V$15,Hypothèses!$W$15,IF(CS304&lt;=Hypothèses!$V$16,Hypothèses!$W$16,IF(CS304&lt;=Hypothèses!$V$17,Hypothèses!$W$17,IF(CS304&lt;=Hypothèses!$V$18,Hypothèses!$W$18,""))))))))))))</f>
        <v>#DIV/0!</v>
      </c>
      <c r="DN304" s="87" t="e">
        <f t="shared" ca="1" si="521"/>
        <v>#DIV/0!</v>
      </c>
      <c r="DO304" s="88" t="e">
        <f ca="1">IF(CS304&lt;=Hypothèses!$V$7,Hypothèses!$X$7,IF(CS304&lt;=Hypothèses!$V$8,Hypothèses!$X$8,IF(CS304&lt;=Hypothèses!$V$9,Hypothèses!$X$9,IF(CS304&lt;=Hypothèses!$V$10,Hypothèses!$X$10,IF(CS304&lt;=Hypothèses!$V$11,Hypothèses!$X$11,IF(CS304&lt;=Hypothèses!$V$12,Hypothèses!$X$12,IF(CS304&lt;=Hypothèses!$V$13,Hypothèses!$X$13,IF(CS304&lt;=Hypothèses!$V$14,Hypothèses!$X$14,IF(CS304&lt;=Hypothèses!$V$15,Hypothèses!$X$15,IF(CS304&lt;=Hypothèses!$V$16,Hypothèses!$X$16,IF(CS304&lt;=Hypothèses!$U$17,Hypothèses!$W$17,IF(CS304&lt;=Hypothèses!$U$18,Hypothèses!$W$18,""))))))))))))</f>
        <v>#DIV/0!</v>
      </c>
      <c r="DP304" s="95" t="e">
        <f t="shared" ca="1" si="489"/>
        <v>#DIV/0!</v>
      </c>
      <c r="DQ304" s="101" t="e">
        <f t="shared" si="528"/>
        <v>#N/A</v>
      </c>
      <c r="DR304" s="91" t="e">
        <f t="shared" si="458"/>
        <v>#N/A</v>
      </c>
      <c r="DS304" s="30" t="e">
        <f t="shared" si="510"/>
        <v>#N/A</v>
      </c>
      <c r="DT304" s="30" t="e">
        <f t="shared" si="511"/>
        <v>#N/A</v>
      </c>
      <c r="DU304" s="31" t="e">
        <f>IF(OR(Hypothèses!$B$4=17,Hypothèses!$B$4=18,Hypothèses!$B$4=19,Hypothèses!$B$4=20),
IF($D304="Pressio.",
IF(OR($E304=3,$E304=1,$E304=4),DT304,DS304),
IF($D304="Pénétro.",
IF(OR($E304=3,$E304=1,$E304=4),DT304,DS304))),IF($D304="Pressio.",
IF($E304=3,DT304,DS304),
IF($D304="Pénétro.",
IF($E304=4,DT304,DS304))))</f>
        <v>#N/A</v>
      </c>
      <c r="DV304" s="31" t="e">
        <f>(IF(OR(Hypothèses!$B$4=17,Hypothèses!$B$4=18,Hypothèses!$B$4=19,Hypothèses!$B$4=20),
IF($D304="Pressio.",
IF(OR($E304=3,$E304=1,$E304=4),(PI()*DV$12^2)/4*(DR304*$W304*1000)/($H304*$B$5),(PI()*DV$12^2)/4*(DR304*$W304*1000)/($G304*$B$5)),
IF($D304="Pénétro.",
IF(OR($E304=4,$E304=1,$E304=5),(PI()*DV$12^2)/4*(DR304*$W304*1000)/($H304*$B$5),(PI()*DV$12^2)/4*(DR304*$W304*1000)/($G304*$B$5)))),
IF($D304="Pressio.",
IF($E304=3,(PI()*DV$12^2)/4*(DR304*$W304*1000)/($H304*$B$5),(PI()*DV$12^2)/4*(DR304*$W304*1000)/($G304*$B$5)),
IF($D304="Pénétro.",
IF($E304=4,(PI()*DV$12^2)/4*(DR304*$W304*1000)/($H304*$B$5),(PI()*DV$12^2)/4*(DR304*$W304*1000)/($G304*$B$5))))))/10</f>
        <v>#N/A</v>
      </c>
      <c r="DW304" s="102" t="e">
        <f>(VLOOKUP($B$3,'Coeff EC7'!$T$39:$X$59,2,0)*DU304+VLOOKUP($B$3,'Coeff EC7'!$T$65:$X$85,2,0)*Model0.1C!DV304)/1.1</f>
        <v>#N/A</v>
      </c>
      <c r="DX304" s="102" t="e">
        <f>(VLOOKUP($B$3,'Coeff EC7'!$T$39:$X$59,3,0)*DU304+VLOOKUP($B$3,'Coeff EC7'!$T$65:$X$85,3,0)*Model0.1C!DV304)/0.9</f>
        <v>#N/A</v>
      </c>
      <c r="DY304" s="102" t="e">
        <f t="shared" si="490"/>
        <v>#N/A</v>
      </c>
      <c r="DZ304" s="102" t="e">
        <f t="shared" si="491"/>
        <v>#N/A</v>
      </c>
      <c r="EA304" s="414" t="e">
        <f>IF(EA303=0,0,IF(AND(DW304&gt;charge_ELS_quasi,DX304&gt;Charge_ELS_freq,DY304&gt;charge_ELU,DZ304&gt;charge_ELA,$B304&gt;NDC!$H$22-0.1+MIN(3*$EA$12,1.5)),0,1))</f>
        <v>#N/A</v>
      </c>
      <c r="EB304" s="86" t="b">
        <f t="shared" si="459"/>
        <v>0</v>
      </c>
      <c r="EC304" s="418">
        <f t="shared" si="460"/>
        <v>0.51</v>
      </c>
      <c r="ED304" s="86">
        <f t="shared" si="461"/>
        <v>0.51</v>
      </c>
      <c r="EE304" s="30" t="e">
        <f t="shared" ca="1" si="492"/>
        <v>#DIV/0!</v>
      </c>
      <c r="EF304" s="85" t="e">
        <f ca="1">IF(DL304&lt;=Hypothèses!$V$7,Hypothèses!$W$7,IF(DL304&lt;=Hypothèses!$V$8,Hypothèses!$W$8,IF(DL304&lt;=Hypothèses!$V$9,Hypothèses!$W$9,IF(DL304&lt;=Hypothèses!$V$10,Hypothèses!$W$10,IF(DL304&lt;=Hypothèses!$V$11,Hypothèses!$W$11,IF(DL304&lt;=Hypothèses!$V$12,Hypothèses!$W$12,IF(DL304&lt;=Hypothèses!$V$13,Hypothèses!$W$13,IF(DL304&lt;=Hypothèses!$V$14,Hypothèses!$W$14,IF(DL304&lt;=Hypothèses!$V$15,Hypothèses!$W$15,IF(DL304&lt;=Hypothèses!$V$16,Hypothèses!$W$16,IF(DL304&lt;=Hypothèses!$V$17,Hypothèses!$W$17,IF(DL304&lt;=Hypothèses!$V$18,Hypothèses!$W$18,""))))))))))))</f>
        <v>#DIV/0!</v>
      </c>
      <c r="EG304" s="87" t="e">
        <f t="shared" ca="1" si="522"/>
        <v>#DIV/0!</v>
      </c>
      <c r="EH304" s="88" t="e">
        <f ca="1">IF(DL304&lt;=Hypothèses!$V$7,Hypothèses!$X$7,IF(DL304&lt;=Hypothèses!$V$8,Hypothèses!$X$8,IF(DL304&lt;=Hypothèses!$V$9,Hypothèses!$X$9,IF(DL304&lt;=Hypothèses!$V$10,Hypothèses!$X$10,IF(DL304&lt;=Hypothèses!$V$11,Hypothèses!$X$11,IF(DL304&lt;=Hypothèses!$V$12,Hypothèses!$X$12,IF(DL304&lt;=Hypothèses!$V$13,Hypothèses!$X$13,IF(DL304&lt;=Hypothèses!$V$14,Hypothèses!$X$14,IF(DL304&lt;=Hypothèses!$V$15,Hypothèses!$X$15,IF(DL304&lt;=Hypothèses!$V$16,Hypothèses!$X$16,IF(DL304&lt;=Hypothèses!$U$17,Hypothèses!$W$17,IF(DL304&lt;=Hypothèses!$U$18,Hypothèses!$W$18,""))))))))))))</f>
        <v>#DIV/0!</v>
      </c>
      <c r="EI304" s="95" t="e">
        <f t="shared" ca="1" si="493"/>
        <v>#DIV/0!</v>
      </c>
      <c r="EJ304" s="101" t="e">
        <f t="shared" si="529"/>
        <v>#N/A</v>
      </c>
      <c r="EK304" s="91" t="e">
        <f t="shared" si="462"/>
        <v>#N/A</v>
      </c>
      <c r="EL304" s="30" t="e">
        <f t="shared" si="512"/>
        <v>#N/A</v>
      </c>
      <c r="EM304" s="30" t="e">
        <f t="shared" si="513"/>
        <v>#N/A</v>
      </c>
      <c r="EN304" s="31" t="e">
        <f>IF(OR(Hypothèses!$B$4=17,Hypothèses!$B$4=18,Hypothèses!$B$4=19,Hypothèses!$B$4=20),
IF($D304="Pressio.",
IF(OR($E304=3,$E304=1,$E304=4),EM304,EL304),
IF($D304="Pénétro.",
IF(OR($E304=3,$E304=1,$E304=4),EM304,EL304))),IF($D304="Pressio.",
IF($E304=3,EM304,EL304),
IF($D304="Pénétro.",
IF($E304=4,EM304,EL304))))</f>
        <v>#N/A</v>
      </c>
      <c r="EO304" s="31" t="e">
        <f>(IF(OR(Hypothèses!$B$4=17,Hypothèses!$B$4=18,Hypothèses!$B$4=19,Hypothèses!$B$4=20),
IF($D304="Pressio.",
IF(OR($E304=3,$E304=1,$E304=4),(PI()*EO$12^2)/4*(EK304*$W304*1000)/($H304*$B$5),(PI()*EO$12^2)/4*(EK304*$W304*1000)/($G304*$B$5)),
IF($D304="Pénétro.",
IF(OR($E304=4,$E304=1,$E304=5),(PI()*EO$12^2)/4*(EK304*$W304*1000)/($H304*$B$5),(PI()*EO$12^2)/4*(EK304*$W304*1000)/($G304*$B$5)))),
IF($D304="Pressio.",
IF($E304=3,(PI()*EO$12^2)/4*(EK304*$W304*1000)/($H304*$B$5),(PI()*EO$12^2)/4*(EK304*$W304*1000)/($G304*$B$5)),
IF($D304="Pénétro.",
IF($E304=4,(PI()*EO$12^2)/4*(EK304*$W304*1000)/($H304*$B$5),(PI()*EO$12^2)/4*(EK304*$W304*1000)/($G304*$B$5))))))/10</f>
        <v>#N/A</v>
      </c>
      <c r="EP304" s="102" t="e">
        <f>(VLOOKUP($B$3,'Coeff EC7'!$T$39:$X$59,2,0)*EN304+VLOOKUP($B$3,'Coeff EC7'!$T$65:$X$85,2,0)*Model0.1C!EO304)/1.1</f>
        <v>#N/A</v>
      </c>
      <c r="EQ304" s="102" t="e">
        <f>(VLOOKUP($B$3,'Coeff EC7'!$T$39:$X$59,3,0)*EN304+VLOOKUP($B$3,'Coeff EC7'!$T$65:$X$85,3,0)*Model0.1C!EO304)/0.9</f>
        <v>#N/A</v>
      </c>
      <c r="ER304" s="102" t="e">
        <f t="shared" si="494"/>
        <v>#N/A</v>
      </c>
      <c r="ES304" s="102" t="e">
        <f t="shared" si="495"/>
        <v>#N/A</v>
      </c>
      <c r="ET304" s="414" t="e">
        <f>IF(ET303=0,0,IF(AND(EP304&gt;charge_ELS_quasi,EQ304&gt;Charge_ELS_freq,ER304&gt;charge_ELU,ES304&gt;charge_ELA,$B304&gt;NDC!$H$22-0.1+MIN(3*$ET$12,1.5)),0,1))</f>
        <v>#N/A</v>
      </c>
      <c r="EU304" s="86" t="b">
        <f t="shared" si="463"/>
        <v>0</v>
      </c>
      <c r="EV304" s="86">
        <f t="shared" si="464"/>
        <v>0.61</v>
      </c>
      <c r="EW304" s="86">
        <f t="shared" si="465"/>
        <v>0.61</v>
      </c>
      <c r="EX304" s="30" t="e">
        <f t="shared" ca="1" si="496"/>
        <v>#DIV/0!</v>
      </c>
      <c r="EY304" s="85" t="e">
        <f ca="1">IF(EE304&lt;=Hypothèses!$V$7,Hypothèses!$W$7,IF(EE304&lt;=Hypothèses!$V$8,Hypothèses!$W$8,IF(EE304&lt;=Hypothèses!$V$9,Hypothèses!$W$9,IF(EE304&lt;=Hypothèses!$V$10,Hypothèses!$W$10,IF(EE304&lt;=Hypothèses!$V$11,Hypothèses!$W$11,IF(EE304&lt;=Hypothèses!$V$12,Hypothèses!$W$12,IF(EE304&lt;=Hypothèses!$V$13,Hypothèses!$W$13,IF(EE304&lt;=Hypothèses!$V$14,Hypothèses!$W$14,IF(EE304&lt;=Hypothèses!$V$15,Hypothèses!$W$15,IF(EE304&lt;=Hypothèses!$V$16,Hypothèses!$W$16,IF(EE304&lt;=Hypothèses!$V$17,Hypothèses!$W$17,IF(EE304&lt;=Hypothèses!$V$18,Hypothèses!$W$18,""))))))))))))</f>
        <v>#DIV/0!</v>
      </c>
      <c r="EZ304" s="87" t="e">
        <f t="shared" ca="1" si="523"/>
        <v>#DIV/0!</v>
      </c>
      <c r="FA304" s="88" t="e">
        <f ca="1">IF(EE304&lt;=Hypothèses!$V$7,Hypothèses!$X$7,IF(EE304&lt;=Hypothèses!$V$8,Hypothèses!$X$8,IF(EE304&lt;=Hypothèses!$V$9,Hypothèses!$X$9,IF(EE304&lt;=Hypothèses!$V$10,Hypothèses!$X$10,IF(EE304&lt;=Hypothèses!$V$11,Hypothèses!$X$11,IF(EE304&lt;=Hypothèses!$V$12,Hypothèses!$X$12,IF(EE304&lt;=Hypothèses!$V$13,Hypothèses!$X$13,IF(EE304&lt;=Hypothèses!$V$14,Hypothèses!$X$14,IF(EE304&lt;=Hypothèses!$V$15,Hypothèses!$X$15,IF(EE304&lt;=Hypothèses!$V$16,Hypothèses!$X$16,IF(EE304&lt;=Hypothèses!$U$17,Hypothèses!$W$17,IF(EE304&lt;=Hypothèses!$U$18,Hypothèses!$W$18,""))))))))))))</f>
        <v>#DIV/0!</v>
      </c>
      <c r="FB304" s="95" t="e">
        <f t="shared" ca="1" si="497"/>
        <v>#DIV/0!</v>
      </c>
      <c r="FC304" s="101" t="e">
        <f t="shared" si="530"/>
        <v>#N/A</v>
      </c>
      <c r="FD304" s="91" t="e">
        <f t="shared" si="466"/>
        <v>#N/A</v>
      </c>
      <c r="FE304" s="30" t="e">
        <f t="shared" si="514"/>
        <v>#N/A</v>
      </c>
      <c r="FF304" s="30" t="e">
        <f t="shared" si="515"/>
        <v>#N/A</v>
      </c>
      <c r="FG304" s="31" t="e">
        <f>IF(OR(Hypothèses!$B$4=17,Hypothèses!$B$4=18,Hypothèses!$B$4=19,Hypothèses!$B$4=20),
IF($D304="Pressio.",
IF(OR($E304=3,$E304=1,$E304=4),FF304,FE304),
IF($D304="Pénétro.",
IF(OR($E304=3,$E304=1,$E304=4),FF304,FE304))),IF($D304="Pressio.",
IF($E304=3,FF304,FE304),
IF($D304="Pénétro.",
IF($E304=4,FF304,FE304))))</f>
        <v>#N/A</v>
      </c>
      <c r="FH304" s="31" t="e">
        <f>(IF(OR(Hypothèses!$B$4=17,Hypothèses!$B$4=18,Hypothèses!$B$4=19,Hypothèses!$B$4=20),
IF($D304="Pressio.",
IF(OR($E304=3,$E304=1,$E304=4),(PI()*FH$12^2)/4*(FD304*$W304*1000)/($H304*$B$5),(PI()*FH$12^2)/4*(FD304*$W304*1000)/($G304*$B$5)),
IF($D304="Pénétro.",
IF(OR($E304=4,$E304=1,$E304=5),(PI()*FH$12^2)/4*(FD304*$W304*1000)/($H304*$B$5),(PI()*FH$12^2)/4*(FD304*$W304*1000)/($G304*$B$5)))),
IF($D304="Pressio.",
IF($E304=3,(PI()*FH$12^2)/4*(FD304*$W304*1000)/($H304*$B$5),(PI()*FH$12^2)/4*(FD304*$W304*1000)/($G304*$B$5)),
IF($D304="Pénétro.",
IF($E304=4,(PI()*FH$12^2)/4*(FD304*$W304*1000)/($H304*$B$5),(PI()*FH$12^2)/4*(FD304*$W304*1000)/($G304*$B$5))))))/10</f>
        <v>#N/A</v>
      </c>
      <c r="FI304" s="102" t="e">
        <f>(VLOOKUP($B$3,'Coeff EC7'!$T$39:$X$59,2,0)*FG304+VLOOKUP($B$3,'Coeff EC7'!$T$65:$X$85,2,0)*Model0.1C!FH304)/1.1</f>
        <v>#N/A</v>
      </c>
      <c r="FJ304" s="102" t="e">
        <f>(VLOOKUP($B$3,'Coeff EC7'!$T$39:$X$59,3,0)*FG304+VLOOKUP($B$3,'Coeff EC7'!$T$65:$X$85,3,0)*Model0.1C!FH304)/0.9</f>
        <v>#N/A</v>
      </c>
      <c r="FK304" s="102" t="e">
        <f t="shared" si="498"/>
        <v>#N/A</v>
      </c>
      <c r="FL304" s="102" t="e">
        <f t="shared" si="499"/>
        <v>#N/A</v>
      </c>
      <c r="FM304" s="414" t="e">
        <f>IF(FM303=0,0,IF(AND(FI304&gt;charge_ELS_quasi,FJ304&gt;Charge_ELS_freq,FK304&gt;charge_ELU,FL304&gt;charge_ELA,$B304&gt;NDC!$H$22-0.1+MIN(3*$FM$12,1.5)),0,1))</f>
        <v>#N/A</v>
      </c>
    </row>
    <row r="305" spans="1:169">
      <c r="A305" s="96">
        <f t="shared" si="467"/>
        <v>70.80000000000166</v>
      </c>
      <c r="B305" s="97">
        <v>29.2</v>
      </c>
      <c r="C305" s="81">
        <f>IF(B305&lt;=Hypothèses!$C$7,Hypothèses!$A$7,IF(B305&lt;=Hypothèses!$C$8,Hypothèses!$A$8,IF(B305&lt;=Hypothèses!$C$9,Hypothèses!$A$9,IF(B305&lt;=Hypothèses!$C$10,Hypothèses!$A$10,IF(B305&lt;=Hypothèses!$C$11,Hypothèses!$A$11,IF(B305&lt;=Hypothèses!$C$12,Hypothèses!$A$12,IF(B305&lt;=Hypothèses!$C$13,Hypothèses!$A$13,IF(B305&lt;=Hypothèses!$C$14,Hypothèses!$A$14,IF(B305&lt;=Hypothèses!$C$15,Hypothèses!$A$15,IF(B305&lt;=Hypothèses!$C$16,Hypothèses!$A$16,IF(B305&lt;=Hypothèses!$C$17,Hypothèses!$A$17,IF(B305&lt;=Hypothèses!$C$18,Hypothèses!$A$18,C304))))))))))))</f>
        <v>11</v>
      </c>
      <c r="D305" s="82" t="str">
        <f>IF(B305&lt;=Hypothèses!$C$7,Hypothèses!$R$7,IF(B305&lt;=Hypothèses!$C$8,Hypothèses!$R$8,IF(B305&lt;=Hypothèses!$C$9,Hypothèses!$R$9,IF(B305&lt;=Hypothèses!$C$10,Hypothèses!$R$10,IF(B305&lt;=Hypothèses!$C$11,Hypothèses!$R$11,IF(B305&lt;=Hypothèses!$C$12,Hypothèses!$R$12,IF(B305&lt;=Hypothèses!$C$13,Hypothèses!$R$13,IF(B305&lt;=Hypothèses!$C$14,Hypothèses!$R$14,IF(B305&lt;=Hypothèses!$C$15,Hypothèses!$R$15,IF(B305&lt;=Hypothèses!$C$16,Hypothèses!$R$16,IF(B305&lt;=Hypothèses!$C$17,Hypothèses!$R$17,IF(B305&lt;=Hypothèses!$C$18,Hypothèses!$R$18,D304))))))))))))</f>
        <v>Pressio.</v>
      </c>
      <c r="E305" s="82" t="e">
        <f>IF(B305&lt;=Hypothèses!$C$7,Hypothèses!$G$7,IF(B305&lt;=Hypothèses!$C$8,Hypothèses!$G$8,IF(B305&lt;=Hypothèses!$C$9,Hypothèses!$G$9,IF(B305&lt;=Hypothèses!$C$10,Hypothèses!$G$10,IF(B305&lt;=Hypothèses!$C$11,Hypothèses!$G$11,IF(B305&lt;=Hypothèses!$C$12,Hypothèses!$G$12,IF(B305&lt;=Hypothèses!$C$13,Hypothèses!$G$13,IF(B305&lt;=Hypothèses!$C$14,Hypothèses!$G$14,IF(B305&lt;=Hypothèses!$C$15,Hypothèses!$G$15,IF(B305&lt;=Hypothèses!$C$16,Hypothèses!$G$16,IF(B305&lt;=Hypothèses!$C$17,Hypothèses!$G$17,IF(B305&lt;=Hypothèses!$C$18,Hypothèses!$G$18,E304))))))))))))</f>
        <v>#N/A</v>
      </c>
      <c r="F305" s="82" t="str">
        <f>IF(B305&lt;=Hypothèses!$C$7,Hypothèses!$F$7,IF(B305&lt;=Hypothèses!$C$8,Hypothèses!$F$8,IF(B305&lt;=Hypothèses!$C$9,Hypothèses!$F$9,IF(B305&lt;=Hypothèses!$C$10,Hypothèses!$F$10,IF(B305&lt;=Hypothèses!$C$11,Hypothèses!$F$11,IF(B305&lt;=Hypothèses!$C$12,Hypothèses!$F$12,IF(B305&lt;=Hypothèses!$C$13,Hypothèses!$F$13,IF(B305&lt;=Hypothèses!$C$14,Hypothèses!$F$14,IF(B305&lt;=Hypothèses!$C$15,Hypothèses!$F$15,IF(B305&lt;=Hypothèses!$C$16,Hypothèses!$F$16,IF(B305&lt;=Hypothèses!$C$17,Hypothèses!$F$17,IF(B305&lt;=Hypothèses!$C$18,Hypothèses!$F$18,F304))))))))))))</f>
        <v/>
      </c>
      <c r="G305" s="91">
        <f t="array" ref="G305">INDEX('Coeff EC7'!$U$7:$X$27,
MATCH(Model0.1C!$B$3,'Coeff EC7'!$T$7:$T$27,0),
MATCH(Model0.1C!$D305&amp;Model0.1C!$B$4,
'Coeff EC7'!$U$6:$X$6&amp;
'Coeff EC7'!$U$5:$X$5,0))</f>
        <v>1.1499999999999999</v>
      </c>
      <c r="H305" s="91">
        <f t="array" ref="H305">INDEX('Coeff EC7'!$Y$7:$AB$27,
MATCH(Model0.1C!$B$3,'Coeff EC7'!$T$7:$T$27,0),
MATCH(Model0.1C!$D305&amp;Model0.1C!$B$4,
'Coeff EC7'!$Y$6:$AB$6&amp;
'Coeff EC7'!$Y$5:$AB$5,0))</f>
        <v>1.4</v>
      </c>
      <c r="I305" s="83" t="e">
        <f>IF(B305&lt;=Hypothèses!$C$7,Hypothèses!$P$7,IF(B305&lt;=Hypothèses!$C$8,Hypothèses!$P$8,IF(B305&lt;=Hypothèses!$C$9,Hypothèses!$P$9,IF(B305&lt;=Hypothèses!$C$10,Hypothèses!$P$10,IF(B305&lt;=Hypothèses!$C$11,Hypothèses!$P$11,IF(B305&lt;=Hypothèses!$C$12,Hypothèses!$P$12,IF(B305&lt;=Hypothèses!$C$13,Hypothèses!$P$13,IF(B305&lt;=Hypothèses!$C$14,Hypothèses!$P$14,IF(B305&lt;=Hypothèses!$C$15,Hypothèses!$P$15,IF(B305&lt;=Hypothèses!$C$16,Hypothèses!$P$16,IF(B305&lt;=Hypothèses!$C$17,Hypothèses!$P$17,IF(B305&lt;=Hypothèses!$C$18,Hypothèses!$P$18,I304))))))))))))</f>
        <v>#N/A</v>
      </c>
      <c r="J305" s="91" t="e">
        <f t="array" ref="J305">INDEX('Coeff EC7'!$D$33:$Q$33,1,MATCH(D305&amp;E305,'Coeff EC7'!$D$31:$Q$31&amp;'Coeff EC7'!$D$32:$Q$32,0))</f>
        <v>#N/A</v>
      </c>
      <c r="K305" s="91" t="e">
        <f t="array" ref="K305">INDEX('Coeff EC7'!$D$34:$Q$34,1,MATCH(D305&amp;E305,'Coeff EC7'!$D$31:$Q$31&amp;'Coeff EC7'!$D$32:$Q$32,0))</f>
        <v>#N/A</v>
      </c>
      <c r="L305" s="91" t="e">
        <f t="array" ref="L305">INDEX('Coeff EC7'!$D$35:$Q$35,1,MATCH(D305&amp;E305,'Coeff EC7'!$D$31:$Q$31&amp;'Coeff EC7'!$D$32:$Q$32,0))</f>
        <v>#N/A</v>
      </c>
      <c r="M305" s="98" t="e">
        <f t="shared" si="431"/>
        <v>#N/A</v>
      </c>
      <c r="N305" s="99" t="e">
        <f t="array" ref="N305">INDEX('Coeff EC7'!$D$7:$Q$27,MATCH($B$3,'Coeff EC7'!$C$7:$C$27,0),MATCH(D305&amp;E305,'Coeff EC7'!$D$5:$Q$5&amp;'Coeff EC7'!$D$6:$Q$6,0))</f>
        <v>#N/A</v>
      </c>
      <c r="O305" s="99" t="e">
        <f t="array" ref="O305">INDEX('Coeff EC7'!$D$41:$Q$61,MATCH($B$3,'Coeff EC7'!$C$41:$C$61,0),MATCH(D305&amp;E305,'Coeff EC7'!$D$39:$Q$39&amp;'Coeff EC7'!$D$40:$Q$40,0))</f>
        <v>#N/A</v>
      </c>
      <c r="P305" s="30" t="e">
        <f t="shared" si="468"/>
        <v>#N/A</v>
      </c>
      <c r="Q305" s="100" t="e">
        <f t="shared" si="433"/>
        <v>#N/A</v>
      </c>
      <c r="R305" s="86" t="b">
        <f t="shared" si="434"/>
        <v>0</v>
      </c>
      <c r="S305" s="86">
        <f t="shared" si="432"/>
        <v>0.5</v>
      </c>
      <c r="T305" s="86">
        <f t="shared" si="435"/>
        <v>0.5</v>
      </c>
      <c r="U305" s="30" t="e">
        <f t="shared" ca="1" si="469"/>
        <v>#DIV/0!</v>
      </c>
      <c r="V305" s="85" t="str">
        <f>IF(B305&lt;=Hypothèses!$V$7,Hypothèses!$W$7,IF(B305&lt;=Hypothèses!$V$8,Hypothèses!$W$8,IF(B305&lt;=Hypothèses!$V$9,Hypothèses!$W$9,IF(B305&lt;=Hypothèses!$V$10,Hypothèses!$W$10,IF(B305&lt;=Hypothèses!$V$11,Hypothèses!$W$11,IF(B305&lt;=Hypothèses!$V$12,Hypothèses!$W$12,IF(B305&lt;=Hypothèses!$V$13,Hypothèses!$W$13,IF(B305&lt;=Hypothèses!$V$14,Hypothèses!$W$14,IF(B305&lt;=Hypothèses!$V$15,Hypothèses!$W$15,IF(B305&lt;=Hypothèses!$V$16,Hypothèses!$W$16,IF(B305&lt;=Hypothèses!$V$17,Hypothèses!$W$17,IF(B305&lt;=Hypothèses!$V$18,Hypothèses!$W$18,""))))))))))))</f>
        <v/>
      </c>
      <c r="W305" s="87" t="e">
        <f t="shared" ca="1" si="516"/>
        <v>#DIV/0!</v>
      </c>
      <c r="X305" s="88" t="str">
        <f>IF(B305&lt;=Hypothèses!$V$7,Hypothèses!$X$7,IF(B305&lt;=Hypothèses!$V$8,Hypothèses!$X$8,IF(B305&lt;=Hypothèses!$V$9,Hypothèses!$X$9,IF(B305&lt;=Hypothèses!$V$10,Hypothèses!$X$10,IF(B305&lt;=Hypothèses!$V$11,Hypothèses!$X$11,IF(B305&lt;=Hypothèses!$V$12,Hypothèses!$X$12,IF(B305&lt;=Hypothèses!$V$13,Hypothèses!$X$13,IF(B305&lt;=Hypothèses!$V$14,Hypothèses!$X$14,IF(B305&lt;=Hypothèses!$V$15,Hypothèses!$X$15,IF(B305&lt;=Hypothèses!$V$16,Hypothèses!$X$16,IF(B305&lt;=Hypothèses!$U$17,Hypothèses!$W$17,IF(B305&lt;=Hypothèses!$U$18,Hypothèses!$W$18,""))))))))))))</f>
        <v/>
      </c>
      <c r="Y305" s="95" t="e">
        <f t="shared" ca="1" si="436"/>
        <v>#DIV/0!</v>
      </c>
      <c r="Z305" s="101" t="e">
        <f t="shared" si="437"/>
        <v>#N/A</v>
      </c>
      <c r="AA305" s="91" t="e">
        <f t="shared" si="438"/>
        <v>#N/A</v>
      </c>
      <c r="AB305" s="30" t="e">
        <f t="shared" si="500"/>
        <v>#N/A</v>
      </c>
      <c r="AC305" s="30" t="e">
        <f t="shared" si="501"/>
        <v>#N/A</v>
      </c>
      <c r="AD305" s="31" t="e">
        <f>IF(OR(Hypothèses!$B$4=17,Hypothèses!$B$4=18,Hypothèses!$B$4=19,Hypothèses!$B$4=20),
IF($D305="Pressio.",
IF(OR($E305=3,$E305=1,$E305=4),AC305,AB305),
IF($D305="Pénétro.",
IF(OR($E305=3,$E305=1,$E305=4),AC305,AB305))),IF($D305="Pressio.",
IF($E305=3,AC305,AB305),
IF($D305="Pénétro.",
IF($E305=4,AC305,AB305))))</f>
        <v>#N/A</v>
      </c>
      <c r="AE305" s="31" t="e">
        <f>(IF(OR(Hypothèses!$B$4=17,Hypothèses!$B$4=18,Hypothèses!$B$4=19,Hypothèses!$B$4=20),
IF($D305="Pressio.",
IF(OR($E305=3,$E305=1,$E305=4),(PI()*AE$12^2)/4*(AA305*$W305*1000)/($H305*$B$5),(PI()*AE$12^2)/4*(AA305*$W305*1000)/($G305*$B$5)),
IF($D305="Pénétro.",
IF(OR($E305=4,$E305=1,$E305=5),(PI()*AE$12^2)/4*(AA305*$W305*1000)/($H305*$B$5),(PI()*AE$12^2)/4*(AA305*$W305*1000)/($G305*$B$5)))),
IF($D305="Pressio.",
IF($E305=3,(PI()*AE$12^2)/4*(AA305*$W305*1000)/($H305*$B$5),(PI()*AE$12^2)/4*(AA305*$W305*1000)/($G305*$B$5)),
IF($D305="Pénétro.",
IF($E305=4,(PI()*AE$12^2)/4*(AA305*$W305*1000)/($H305*$B$5),(PI()*AE$12^2)/4*(AA305*$W305*1000)/($G305*$B$5))))))/10</f>
        <v>#N/A</v>
      </c>
      <c r="AF305" s="102" t="e">
        <f>(VLOOKUP($B$3,'Coeff EC7'!$T$39:$X$59,2,0)*AD305+VLOOKUP($B$3,'Coeff EC7'!$T$65:$X$85,2,0)*Model0.1C!AE305)/1.1</f>
        <v>#N/A</v>
      </c>
      <c r="AG305" s="102" t="e">
        <f>(VLOOKUP($B$3,'Coeff EC7'!$T$39:$X$59,3,0)*AD305+VLOOKUP($B$3,'Coeff EC7'!$T$65:$X$85,3,0)*Model0.1C!AE305)/0.9</f>
        <v>#N/A</v>
      </c>
      <c r="AH305" s="102" t="e">
        <f t="shared" si="439"/>
        <v>#N/A</v>
      </c>
      <c r="AI305" s="102" t="e">
        <f t="shared" si="440"/>
        <v>#N/A</v>
      </c>
      <c r="AJ305" s="414" t="e">
        <f>IF(AJ304=0,0,IF(AND(AF305&gt;charge_ELS_quasi,AG305&gt;Charge_ELS_freq,AH305&gt;charge_ELU,AI305&gt;charge_ELA,$B305&gt;NDC!$H$22-0.1+MIN(3*$AJ$12,1.5)),0,1))</f>
        <v>#N/A</v>
      </c>
      <c r="AK305" s="86" t="b">
        <f t="shared" si="441"/>
        <v>0</v>
      </c>
      <c r="AL305" s="86">
        <f t="shared" si="470"/>
        <v>0.5</v>
      </c>
      <c r="AM305" s="86">
        <f t="shared" si="442"/>
        <v>0.5</v>
      </c>
      <c r="AN305" s="30" t="e">
        <f t="shared" ca="1" si="471"/>
        <v>#DIV/0!</v>
      </c>
      <c r="AO305" s="85" t="e">
        <f ca="1">IF(U305&lt;=Hypothèses!$V$7,Hypothèses!$W$7,IF(U305&lt;=Hypothèses!$V$8,Hypothèses!$W$8,IF(U305&lt;=Hypothèses!$V$9,Hypothèses!$W$9,IF(U305&lt;=Hypothèses!$V$10,Hypothèses!$W$10,IF(U305&lt;=Hypothèses!$V$11,Hypothèses!$W$11,IF(U305&lt;=Hypothèses!$V$12,Hypothèses!$W$12,IF(U305&lt;=Hypothèses!$V$13,Hypothèses!$W$13,IF(U305&lt;=Hypothèses!$V$14,Hypothèses!$W$14,IF(U305&lt;=Hypothèses!$V$15,Hypothèses!$W$15,IF(U305&lt;=Hypothèses!$V$16,Hypothèses!$W$16,IF(U305&lt;=Hypothèses!$V$17,Hypothèses!$W$17,IF(U305&lt;=Hypothèses!$V$18,Hypothèses!$W$18,""))))))))))))</f>
        <v>#DIV/0!</v>
      </c>
      <c r="AP305" s="87" t="e">
        <f t="shared" ca="1" si="517"/>
        <v>#DIV/0!</v>
      </c>
      <c r="AQ305" s="88" t="e">
        <f ca="1">IF(U305&lt;=Hypothèses!$V$7,Hypothèses!$X$7,IF(U305&lt;=Hypothèses!$V$8,Hypothèses!$X$8,IF(U305&lt;=Hypothèses!$V$9,Hypothèses!$X$9,IF(U305&lt;=Hypothèses!$V$10,Hypothèses!$X$10,IF(U305&lt;=Hypothèses!$V$11,Hypothèses!$X$11,IF(U305&lt;=Hypothèses!$V$12,Hypothèses!$X$12,IF(U305&lt;=Hypothèses!$V$13,Hypothèses!$X$13,IF(U305&lt;=Hypothèses!$V$14,Hypothèses!$X$14,IF(U305&lt;=Hypothèses!$V$15,Hypothèses!$X$15,IF(U305&lt;=Hypothèses!$V$16,Hypothèses!$X$16,IF(U305&lt;=Hypothèses!$U$17,Hypothèses!$W$17,IF(U305&lt;=Hypothèses!$U$18,Hypothèses!$W$18,""))))))))))))</f>
        <v>#DIV/0!</v>
      </c>
      <c r="AR305" s="95" t="e">
        <f t="shared" ca="1" si="472"/>
        <v>#DIV/0!</v>
      </c>
      <c r="AS305" s="101" t="e">
        <f t="shared" si="524"/>
        <v>#N/A</v>
      </c>
      <c r="AT305" s="91" t="e">
        <f t="shared" si="443"/>
        <v>#N/A</v>
      </c>
      <c r="AU305" s="30" t="e">
        <f t="shared" si="502"/>
        <v>#N/A</v>
      </c>
      <c r="AV305" s="30" t="e">
        <f t="shared" si="503"/>
        <v>#N/A</v>
      </c>
      <c r="AW305" s="31" t="e">
        <f>IF(OR(Hypothèses!$B$4=17,Hypothèses!$B$4=18,Hypothèses!$B$4=19,Hypothèses!$B$4=20),
IF($D305="Pressio.",
IF(OR($E305=3,$E305=1,$E305=4),AV305,AU305),
IF($D305="Pénétro.",
IF(OR($E305=3,$E305=1,$E305=4),AV305,AU305))),IF($D305="Pressio.",
IF($E305=3,AV305,AU305),
IF($D305="Pénétro.",
IF($E305=4,AV305,AU305))))</f>
        <v>#N/A</v>
      </c>
      <c r="AX305" s="31" t="e">
        <f>(IF(OR(Hypothèses!$B$4=17,Hypothèses!$B$4=18,Hypothèses!$B$4=19,Hypothèses!$B$4=20),
IF($D305="Pressio.",
IF(OR($E305=3,$E305=1,$E305=4),(PI()*AX$12^2)/4*(AT305*$W305*1000)/($H305*$B$5),(PI()*AX$12^2)/4*(AT305*$W305*1000)/($G305*$B$5)),
IF($D305="Pénétro.",
IF(OR($E305=4,$E305=1,$E305=5),(PI()*AX$12^2)/4*(AT305*$W305*1000)/($H305*$B$5),(PI()*AX$12^2)/4*(AT305*$W305*1000)/($G305*$B$5)))),
IF($D305="Pressio.",
IF($E305=3,(PI()*AX$12^2)/4*(AT305*$W305*1000)/($H305*$B$5),(PI()*AX$12^2)/4*(AT305*$W305*1000)/($G305*$B$5)),
IF($D305="Pénétro.",
IF($E305=4,(PI()*AX$12^2)/4*(AT305*$W305*1000)/($H305*$B$5),(PI()*AX$12^2)/4*(AT305*$W305*1000)/($G305*$B$5))))))/10</f>
        <v>#N/A</v>
      </c>
      <c r="AY305" s="102" t="e">
        <f>(VLOOKUP($B$3,'Coeff EC7'!$T$39:$X$59,2,0)*AW305+VLOOKUP($B$3,'Coeff EC7'!$T$65:$X$85,2,0)*Model0.1C!AX305)/1.1</f>
        <v>#N/A</v>
      </c>
      <c r="AZ305" s="102" t="e">
        <f>(VLOOKUP($B$3,'Coeff EC7'!$T$39:$X$59,3,0)*AW305+VLOOKUP($B$3,'Coeff EC7'!$T$65:$X$85,3,0)*Model0.1C!AX305)/0.9</f>
        <v>#N/A</v>
      </c>
      <c r="BA305" s="102" t="e">
        <f t="shared" si="473"/>
        <v>#N/A</v>
      </c>
      <c r="BB305" s="102" t="e">
        <f t="shared" si="474"/>
        <v>#N/A</v>
      </c>
      <c r="BC305" s="414" t="e">
        <f>IF(BC304=0,0,IF(AND(AY305&gt;charge_ELS_quasi,AZ305&gt;Charge_ELS_freq,BA305&gt;charge_ELU,BB305&gt;charge_ELA,$B305&gt;NDC!$H$22-0.1+MIN(3*$BC$12,1.5)),0,1))</f>
        <v>#N/A</v>
      </c>
      <c r="BD305" s="86" t="b">
        <f t="shared" si="444"/>
        <v>0</v>
      </c>
      <c r="BE305" s="86">
        <f t="shared" si="475"/>
        <v>0.5</v>
      </c>
      <c r="BF305" s="86">
        <f t="shared" si="445"/>
        <v>0.5</v>
      </c>
      <c r="BG305" s="30" t="e">
        <f t="shared" ca="1" si="476"/>
        <v>#DIV/0!</v>
      </c>
      <c r="BH305" s="85" t="e">
        <f ca="1">IF(AN305&lt;=Hypothèses!$V$7,Hypothèses!$W$7,IF(AN305&lt;=Hypothèses!$V$8,Hypothèses!$W$8,IF(AN305&lt;=Hypothèses!$V$9,Hypothèses!$W$9,IF(AN305&lt;=Hypothèses!$V$10,Hypothèses!$W$10,IF(AN305&lt;=Hypothèses!$V$11,Hypothèses!$W$11,IF(AN305&lt;=Hypothèses!$V$12,Hypothèses!$W$12,IF(AN305&lt;=Hypothèses!$V$13,Hypothèses!$W$13,IF(AN305&lt;=Hypothèses!$V$14,Hypothèses!$W$14,IF(AN305&lt;=Hypothèses!$V$15,Hypothèses!$W$15,IF(AN305&lt;=Hypothèses!$V$16,Hypothèses!$W$16,IF(AN305&lt;=Hypothèses!$V$17,Hypothèses!$W$17,IF(AN305&lt;=Hypothèses!$V$18,Hypothèses!$W$18,""))))))))))))</f>
        <v>#DIV/0!</v>
      </c>
      <c r="BI305" s="87" t="e">
        <f t="shared" ca="1" si="518"/>
        <v>#DIV/0!</v>
      </c>
      <c r="BJ305" s="88" t="e">
        <f ca="1">IF(AN305&lt;=Hypothèses!$V$7,Hypothèses!$X$7,IF(AN305&lt;=Hypothèses!$V$8,Hypothèses!$X$8,IF(AN305&lt;=Hypothèses!$V$9,Hypothèses!$X$9,IF(AN305&lt;=Hypothèses!$V$10,Hypothèses!$X$10,IF(AN305&lt;=Hypothèses!$V$11,Hypothèses!$X$11,IF(AN305&lt;=Hypothèses!$V$12,Hypothèses!$X$12,IF(AN305&lt;=Hypothèses!$V$13,Hypothèses!$X$13,IF(AN305&lt;=Hypothèses!$V$14,Hypothèses!$X$14,IF(AN305&lt;=Hypothèses!$V$15,Hypothèses!$X$15,IF(AN305&lt;=Hypothèses!$V$16,Hypothèses!$X$16,IF(AN305&lt;=Hypothèses!$U$17,Hypothèses!$W$17,IF(AN305&lt;=Hypothèses!$U$18,Hypothèses!$W$18,""))))))))))))</f>
        <v>#DIV/0!</v>
      </c>
      <c r="BK305" s="95" t="e">
        <f t="shared" ca="1" si="477"/>
        <v>#DIV/0!</v>
      </c>
      <c r="BL305" s="101" t="e">
        <f t="shared" si="525"/>
        <v>#N/A</v>
      </c>
      <c r="BM305" s="91" t="e">
        <f t="shared" si="446"/>
        <v>#N/A</v>
      </c>
      <c r="BN305" s="30" t="e">
        <f t="shared" si="504"/>
        <v>#N/A</v>
      </c>
      <c r="BO305" s="30" t="e">
        <f t="shared" si="505"/>
        <v>#N/A</v>
      </c>
      <c r="BP305" s="31" t="e">
        <f>IF(OR(Hypothèses!$B$4=17,Hypothèses!$B$4=18,Hypothèses!$B$4=19,Hypothèses!$B$4=20),
IF($D305="Pressio.",
IF(OR($E305=3,$E305=1,$E305=4),BO305,BN305),
IF($D305="Pénétro.",
IF(OR($E305=3,$E305=1,$E305=4),BO305,BN305))),IF($D305="Pressio.",
IF($E305=3,BO305,BN305),
IF($D305="Pénétro.",
IF($E305=4,BO305,BN305))))</f>
        <v>#N/A</v>
      </c>
      <c r="BQ305" s="31" t="e">
        <f>(IF(OR(Hypothèses!$B$4=17,Hypothèses!$B$4=18,Hypothèses!$B$4=19,Hypothèses!$B$4=20),
IF($D305="Pressio.",
IF(OR($E305=3,$E305=1,$E305=4),(PI()*BQ$12^2)/4*(BM305*$W305*1000)/($H305*$B$5),(PI()*BQ$12^2)/4*(BM305*$W305*1000)/($G305*$B$5)),
IF($D305="Pénétro.",
IF(OR($E305=4,$E305=1,$E305=5),(PI()*BQ$12^2)/4*(BM305*$W305*1000)/($H305*$B$5),(PI()*BQ$12^2)/4*(BM305*$W305*1000)/($G305*$B$5)))),
IF($D305="Pressio.",
IF($E305=3,(PI()*BQ$12^2)/4*(BM305*$W305*1000)/($H305*$B$5),(PI()*BQ$12^2)/4*(BM305*$W305*1000)/($G305*$B$5)),
IF($D305="Pénétro.",
IF($E305=4,(PI()*BQ$12^2)/4*(BM305*$W305*1000)/($H305*$B$5),(PI()*BQ$12^2)/4*(BM305*$W305*1000)/($G305*$B$5))))))/10</f>
        <v>#N/A</v>
      </c>
      <c r="BR305" s="102" t="e">
        <f>(VLOOKUP($B$3,'Coeff EC7'!$T$39:$X$59,2,0)*BP305+VLOOKUP($B$3,'Coeff EC7'!$T$65:$X$85,2,0)*Model0.1C!BQ305)/1.1</f>
        <v>#N/A</v>
      </c>
      <c r="BS305" s="102" t="e">
        <f>(VLOOKUP($B$3,'Coeff EC7'!$T$39:$X$59,3,0)*BP305+VLOOKUP($B$3,'Coeff EC7'!$T$65:$X$85,3,0)*Model0.1C!BQ305)/0.9</f>
        <v>#N/A</v>
      </c>
      <c r="BT305" s="102" t="e">
        <f t="shared" si="478"/>
        <v>#N/A</v>
      </c>
      <c r="BU305" s="102" t="e">
        <f t="shared" si="479"/>
        <v>#N/A</v>
      </c>
      <c r="BV305" s="414" t="e">
        <f>IF(BV304=0,0,IF(AND(BR305&gt;charge_ELS_quasi,BS305&gt;Charge_ELS_freq,BT305&gt;charge_ELU,BU305&gt;charge_ELA,$B305&gt;NDC!$H$22-0.1+MIN(3*$BV$12,1.5)),0,1))</f>
        <v>#N/A</v>
      </c>
      <c r="BW305" s="86" t="b">
        <f t="shared" si="447"/>
        <v>0</v>
      </c>
      <c r="BX305" s="86">
        <f t="shared" si="448"/>
        <v>0.5</v>
      </c>
      <c r="BY305" s="86">
        <f t="shared" si="449"/>
        <v>0.5</v>
      </c>
      <c r="BZ305" s="30" t="e">
        <f t="shared" ca="1" si="480"/>
        <v>#DIV/0!</v>
      </c>
      <c r="CA305" s="85" t="e">
        <f ca="1">IF(BG305&lt;=Hypothèses!$V$7,Hypothèses!$W$7,IF(BG305&lt;=Hypothèses!$V$8,Hypothèses!$W$8,IF(BG305&lt;=Hypothèses!$V$9,Hypothèses!$W$9,IF(BG305&lt;=Hypothèses!$V$10,Hypothèses!$W$10,IF(BG305&lt;=Hypothèses!$V$11,Hypothèses!$W$11,IF(BG305&lt;=Hypothèses!$V$12,Hypothèses!$W$12,IF(BG305&lt;=Hypothèses!$V$13,Hypothèses!$W$13,IF(BG305&lt;=Hypothèses!$V$14,Hypothèses!$W$14,IF(BG305&lt;=Hypothèses!$V$15,Hypothèses!$W$15,IF(BG305&lt;=Hypothèses!$V$16,Hypothèses!$W$16,IF(BG305&lt;=Hypothèses!$V$17,Hypothèses!$W$17,IF(BG305&lt;=Hypothèses!$V$18,Hypothèses!$W$18,""))))))))))))</f>
        <v>#DIV/0!</v>
      </c>
      <c r="CB305" s="87" t="e">
        <f t="shared" ca="1" si="519"/>
        <v>#DIV/0!</v>
      </c>
      <c r="CC305" s="88" t="e">
        <f ca="1">IF(BG305&lt;=Hypothèses!$V$7,Hypothèses!$X$7,IF(BG305&lt;=Hypothèses!$V$8,Hypothèses!$X$8,IF(BG305&lt;=Hypothèses!$V$9,Hypothèses!$X$9,IF(BG305&lt;=Hypothèses!$V$10,Hypothèses!$X$10,IF(BG305&lt;=Hypothèses!$V$11,Hypothèses!$X$11,IF(BG305&lt;=Hypothèses!$V$12,Hypothèses!$X$12,IF(BG305&lt;=Hypothèses!$V$13,Hypothèses!$X$13,IF(BG305&lt;=Hypothèses!$V$14,Hypothèses!$X$14,IF(BG305&lt;=Hypothèses!$V$15,Hypothèses!$X$15,IF(BG305&lt;=Hypothèses!$V$16,Hypothèses!$X$16,IF(BG305&lt;=Hypothèses!$U$17,Hypothèses!$W$17,IF(BG305&lt;=Hypothèses!$U$18,Hypothèses!$W$18,""))))))))))))</f>
        <v>#DIV/0!</v>
      </c>
      <c r="CD305" s="95" t="e">
        <f t="shared" ca="1" si="481"/>
        <v>#DIV/0!</v>
      </c>
      <c r="CE305" s="101" t="e">
        <f t="shared" si="526"/>
        <v>#N/A</v>
      </c>
      <c r="CF305" s="91" t="e">
        <f t="shared" si="450"/>
        <v>#N/A</v>
      </c>
      <c r="CG305" s="30" t="e">
        <f t="shared" si="506"/>
        <v>#N/A</v>
      </c>
      <c r="CH305" s="30" t="e">
        <f t="shared" si="507"/>
        <v>#N/A</v>
      </c>
      <c r="CI305" s="31" t="e">
        <f>IF(OR(Hypothèses!$B$4=17,Hypothèses!$B$4=18,Hypothèses!$B$4=19,Hypothèses!$B$4=20),
IF($D305="Pressio.",
IF(OR($E305=3,$E305=1,$E305=4),CH305,CG305),
IF($D305="Pénétro.",
IF(OR($E305=3,$E305=1,$E305=4),CH305,CG305))),IF($D305="Pressio.",
IF($E305=3,CH305,CG305),
IF($D305="Pénétro.",
IF($E305=4,CH305,CG305))))</f>
        <v>#N/A</v>
      </c>
      <c r="CJ305" s="31" t="e">
        <f>(IF(OR(Hypothèses!$B$4=17,Hypothèses!$B$4=18,Hypothèses!$B$4=19,Hypothèses!$B$4=20),
IF($D305="Pressio.",
IF(OR($E305=3,$E305=1,$E305=4),(PI()*CJ$12^2)/4*(CF305*$W305*1000)/($H305*$B$5),(PI()*CJ$12^2)/4*(CF305*$W305*1000)/($G305*$B$5)),
IF($D305="Pénétro.",
IF(OR($E305=4,$E305=1,$E305=5),(PI()*CJ$12^2)/4*(CF305*$W305*1000)/($H305*$B$5),(PI()*CJ$12^2)/4*(CF305*$W305*1000)/($G305*$B$5)))),
IF($D305="Pressio.",
IF($E305=3,(PI()*CJ$12^2)/4*(CF305*$W305*1000)/($H305*$B$5),(PI()*CJ$12^2)/4*(CF305*$W305*1000)/($G305*$B$5)),
IF($D305="Pénétro.",
IF($E305=4,(PI()*CJ$12^2)/4*(CF305*$W305*1000)/($H305*$B$5),(PI()*CJ$12^2)/4*(CF305*$W305*1000)/($G305*$B$5))))))/10</f>
        <v>#N/A</v>
      </c>
      <c r="CK305" s="102" t="e">
        <f>(VLOOKUP($B$3,'Coeff EC7'!$T$39:$X$59,2,0)*CI305+VLOOKUP($B$3,'Coeff EC7'!$T$65:$X$85,2,0)*Model0.1C!CJ305)/1.1</f>
        <v>#N/A</v>
      </c>
      <c r="CL305" s="102" t="e">
        <f>(VLOOKUP($B$3,'Coeff EC7'!$T$39:$X$59,3,0)*CI305+VLOOKUP($B$3,'Coeff EC7'!$T$65:$X$85,3,0)*Model0.1C!CJ305)/0.9</f>
        <v>#N/A</v>
      </c>
      <c r="CM305" s="102" t="e">
        <f t="shared" si="482"/>
        <v>#N/A</v>
      </c>
      <c r="CN305" s="102" t="e">
        <f t="shared" si="483"/>
        <v>#N/A</v>
      </c>
      <c r="CO305" s="414" t="e">
        <f>IF(CO304=0,0,IF(AND(CK305&gt;charge_ELS_quasi,CL305&gt;Charge_ELS_freq,CM305&gt;charge_ELU,CN305&gt;charge_ELA,$B305&gt;NDC!$H$22-0.1+MIN(3*$CO$12,1.5)),0,1))</f>
        <v>#N/A</v>
      </c>
      <c r="CP305" s="86" t="b">
        <f t="shared" si="451"/>
        <v>0</v>
      </c>
      <c r="CQ305" s="86">
        <f t="shared" si="452"/>
        <v>0.5</v>
      </c>
      <c r="CR305" s="86">
        <f t="shared" si="453"/>
        <v>0.5</v>
      </c>
      <c r="CS305" s="30" t="e">
        <f t="shared" ca="1" si="484"/>
        <v>#DIV/0!</v>
      </c>
      <c r="CT305" s="85" t="e">
        <f ca="1">IF(BZ305&lt;=Hypothèses!$V$7,Hypothèses!$W$7,IF(BZ305&lt;=Hypothèses!$V$8,Hypothèses!$W$8,IF(BZ305&lt;=Hypothèses!$V$9,Hypothèses!$W$9,IF(BZ305&lt;=Hypothèses!$V$10,Hypothèses!$W$10,IF(BZ305&lt;=Hypothèses!$V$11,Hypothèses!$W$11,IF(BZ305&lt;=Hypothèses!$V$12,Hypothèses!$W$12,IF(BZ305&lt;=Hypothèses!$V$13,Hypothèses!$W$13,IF(BZ305&lt;=Hypothèses!$V$14,Hypothèses!$W$14,IF(BZ305&lt;=Hypothèses!$V$15,Hypothèses!$W$15,IF(BZ305&lt;=Hypothèses!$V$16,Hypothèses!$W$16,IF(BZ305&lt;=Hypothèses!$V$17,Hypothèses!$W$17,IF(BZ305&lt;=Hypothèses!$V$18,Hypothèses!$W$18,""))))))))))))</f>
        <v>#DIV/0!</v>
      </c>
      <c r="CU305" s="87" t="e">
        <f t="shared" ca="1" si="520"/>
        <v>#DIV/0!</v>
      </c>
      <c r="CV305" s="88" t="e">
        <f ca="1">IF(BZ305&lt;=Hypothèses!$V$7,Hypothèses!$X$7,IF(BZ305&lt;=Hypothèses!$V$8,Hypothèses!$X$8,IF(BZ305&lt;=Hypothèses!$V$9,Hypothèses!$X$9,IF(BZ305&lt;=Hypothèses!$V$10,Hypothèses!$X$10,IF(BZ305&lt;=Hypothèses!$V$11,Hypothèses!$X$11,IF(BZ305&lt;=Hypothèses!$V$12,Hypothèses!$X$12,IF(BZ305&lt;=Hypothèses!$V$13,Hypothèses!$X$13,IF(BZ305&lt;=Hypothèses!$V$14,Hypothèses!$X$14,IF(BZ305&lt;=Hypothèses!$V$15,Hypothèses!$X$15,IF(BZ305&lt;=Hypothèses!$V$16,Hypothèses!$X$16,IF(BZ305&lt;=Hypothèses!$U$17,Hypothèses!$W$17,IF(BZ305&lt;=Hypothèses!$U$18,Hypothèses!$W$18,""))))))))))))</f>
        <v>#DIV/0!</v>
      </c>
      <c r="CW305" s="95" t="e">
        <f t="shared" ca="1" si="485"/>
        <v>#DIV/0!</v>
      </c>
      <c r="CX305" s="101" t="e">
        <f t="shared" si="527"/>
        <v>#N/A</v>
      </c>
      <c r="CY305" s="91" t="e">
        <f t="shared" si="454"/>
        <v>#N/A</v>
      </c>
      <c r="CZ305" s="30" t="e">
        <f t="shared" si="508"/>
        <v>#N/A</v>
      </c>
      <c r="DA305" s="30" t="e">
        <f t="shared" si="509"/>
        <v>#N/A</v>
      </c>
      <c r="DB305" s="31" t="e">
        <f>IF(OR(Hypothèses!$B$4=17,Hypothèses!$B$4=18,Hypothèses!$B$4=19,Hypothèses!$B$4=20),
IF($D305="Pressio.",
IF(OR($E305=3,$E305=1,$E305=4),DA305,CZ305),
IF($D305="Pénétro.",
IF(OR($E305=3,$E305=1,$E305=4),DA305,CZ305))),IF($D305="Pressio.",
IF($E305=3,DA305,CZ305),
IF($D305="Pénétro.",
IF($E305=4,DA305,CZ305))))</f>
        <v>#N/A</v>
      </c>
      <c r="DC305" s="31" t="e">
        <f>(IF(OR(Hypothèses!$B$4=17,Hypothèses!$B$4=18,Hypothèses!$B$4=19,Hypothèses!$B$4=20),
IF($D305="Pressio.",
IF(OR($E305=3,$E305=1,$E305=4),(PI()*DC$12^2)/4*(CY305*$W305*1000)/($H305*$B$5),(PI()*DC$12^2)/4*(CY305*$W305*1000)/($G305*$B$5)),
IF($D305="Pénétro.",
IF(OR($E305=4,$E305=1,$E305=5),(PI()*DC$12^2)/4*(CY305*$W305*1000)/($H305*$B$5),(PI()*DC$12^2)/4*(CY305*$W305*1000)/($G305*$B$5)))),
IF($D305="Pressio.",
IF($E305=3,(PI()*DC$12^2)/4*(CY305*$W305*1000)/($H305*$B$5),(PI()*DC$12^2)/4*(CY305*$W305*1000)/($G305*$B$5)),
IF($D305="Pénétro.",
IF($E305=4,(PI()*DC$12^2)/4*(CY305*$W305*1000)/($H305*$B$5),(PI()*DC$12^2)/4*(CY305*$W305*1000)/($G305*$B$5))))))/10</f>
        <v>#N/A</v>
      </c>
      <c r="DD305" s="102" t="e">
        <f>(VLOOKUP($B$3,'Coeff EC7'!$T$39:$X$59,2,0)*DB305+VLOOKUP($B$3,'Coeff EC7'!$T$65:$X$85,2,0)*Model0.1C!DC305)/1.1</f>
        <v>#N/A</v>
      </c>
      <c r="DE305" s="102" t="e">
        <f>(VLOOKUP($B$3,'Coeff EC7'!$T$39:$X$59,3,0)*DB305+VLOOKUP($B$3,'Coeff EC7'!$T$65:$X$85,3,0)*Model0.1C!DC305)/0.9</f>
        <v>#N/A</v>
      </c>
      <c r="DF305" s="102" t="e">
        <f t="shared" si="486"/>
        <v>#N/A</v>
      </c>
      <c r="DG305" s="102" t="e">
        <f t="shared" si="487"/>
        <v>#N/A</v>
      </c>
      <c r="DH305" s="414" t="e">
        <f>IF(DH304=0,0,IF(AND(DD305&gt;charge_ELS_quasi,DE305&gt;Charge_ELS_freq,DF305&gt;charge_ELU,DG305&gt;charge_ELA,$B305&gt;NDC!$H$22-0.1+MIN(3*$DH$12,1.5)),0,1))</f>
        <v>#N/A</v>
      </c>
      <c r="DI305" s="86" t="b">
        <f t="shared" si="455"/>
        <v>0</v>
      </c>
      <c r="DJ305" s="86">
        <f t="shared" si="456"/>
        <v>0.5</v>
      </c>
      <c r="DK305" s="86">
        <f t="shared" si="457"/>
        <v>0.5</v>
      </c>
      <c r="DL305" s="30" t="e">
        <f t="shared" ca="1" si="488"/>
        <v>#DIV/0!</v>
      </c>
      <c r="DM305" s="85" t="e">
        <f ca="1">IF(CS305&lt;=Hypothèses!$V$7,Hypothèses!$W$7,IF(CS305&lt;=Hypothèses!$V$8,Hypothèses!$W$8,IF(CS305&lt;=Hypothèses!$V$9,Hypothèses!$W$9,IF(CS305&lt;=Hypothèses!$V$10,Hypothèses!$W$10,IF(CS305&lt;=Hypothèses!$V$11,Hypothèses!$W$11,IF(CS305&lt;=Hypothèses!$V$12,Hypothèses!$W$12,IF(CS305&lt;=Hypothèses!$V$13,Hypothèses!$W$13,IF(CS305&lt;=Hypothèses!$V$14,Hypothèses!$W$14,IF(CS305&lt;=Hypothèses!$V$15,Hypothèses!$W$15,IF(CS305&lt;=Hypothèses!$V$16,Hypothèses!$W$16,IF(CS305&lt;=Hypothèses!$V$17,Hypothèses!$W$17,IF(CS305&lt;=Hypothèses!$V$18,Hypothèses!$W$18,""))))))))))))</f>
        <v>#DIV/0!</v>
      </c>
      <c r="DN305" s="87" t="e">
        <f t="shared" ca="1" si="521"/>
        <v>#DIV/0!</v>
      </c>
      <c r="DO305" s="88" t="e">
        <f ca="1">IF(CS305&lt;=Hypothèses!$V$7,Hypothèses!$X$7,IF(CS305&lt;=Hypothèses!$V$8,Hypothèses!$X$8,IF(CS305&lt;=Hypothèses!$V$9,Hypothèses!$X$9,IF(CS305&lt;=Hypothèses!$V$10,Hypothèses!$X$10,IF(CS305&lt;=Hypothèses!$V$11,Hypothèses!$X$11,IF(CS305&lt;=Hypothèses!$V$12,Hypothèses!$X$12,IF(CS305&lt;=Hypothèses!$V$13,Hypothèses!$X$13,IF(CS305&lt;=Hypothèses!$V$14,Hypothèses!$X$14,IF(CS305&lt;=Hypothèses!$V$15,Hypothèses!$X$15,IF(CS305&lt;=Hypothèses!$V$16,Hypothèses!$X$16,IF(CS305&lt;=Hypothèses!$U$17,Hypothèses!$W$17,IF(CS305&lt;=Hypothèses!$U$18,Hypothèses!$W$18,""))))))))))))</f>
        <v>#DIV/0!</v>
      </c>
      <c r="DP305" s="95" t="e">
        <f t="shared" ca="1" si="489"/>
        <v>#DIV/0!</v>
      </c>
      <c r="DQ305" s="101" t="e">
        <f t="shared" si="528"/>
        <v>#N/A</v>
      </c>
      <c r="DR305" s="91" t="e">
        <f t="shared" si="458"/>
        <v>#N/A</v>
      </c>
      <c r="DS305" s="30" t="e">
        <f t="shared" si="510"/>
        <v>#N/A</v>
      </c>
      <c r="DT305" s="30" t="e">
        <f t="shared" si="511"/>
        <v>#N/A</v>
      </c>
      <c r="DU305" s="31" t="e">
        <f>IF(OR(Hypothèses!$B$4=17,Hypothèses!$B$4=18,Hypothèses!$B$4=19,Hypothèses!$B$4=20),
IF($D305="Pressio.",
IF(OR($E305=3,$E305=1,$E305=4),DT305,DS305),
IF($D305="Pénétro.",
IF(OR($E305=3,$E305=1,$E305=4),DT305,DS305))),IF($D305="Pressio.",
IF($E305=3,DT305,DS305),
IF($D305="Pénétro.",
IF($E305=4,DT305,DS305))))</f>
        <v>#N/A</v>
      </c>
      <c r="DV305" s="31" t="e">
        <f>(IF(OR(Hypothèses!$B$4=17,Hypothèses!$B$4=18,Hypothèses!$B$4=19,Hypothèses!$B$4=20),
IF($D305="Pressio.",
IF(OR($E305=3,$E305=1,$E305=4),(PI()*DV$12^2)/4*(DR305*$W305*1000)/($H305*$B$5),(PI()*DV$12^2)/4*(DR305*$W305*1000)/($G305*$B$5)),
IF($D305="Pénétro.",
IF(OR($E305=4,$E305=1,$E305=5),(PI()*DV$12^2)/4*(DR305*$W305*1000)/($H305*$B$5),(PI()*DV$12^2)/4*(DR305*$W305*1000)/($G305*$B$5)))),
IF($D305="Pressio.",
IF($E305=3,(PI()*DV$12^2)/4*(DR305*$W305*1000)/($H305*$B$5),(PI()*DV$12^2)/4*(DR305*$W305*1000)/($G305*$B$5)),
IF($D305="Pénétro.",
IF($E305=4,(PI()*DV$12^2)/4*(DR305*$W305*1000)/($H305*$B$5),(PI()*DV$12^2)/4*(DR305*$W305*1000)/($G305*$B$5))))))/10</f>
        <v>#N/A</v>
      </c>
      <c r="DW305" s="102" t="e">
        <f>(VLOOKUP($B$3,'Coeff EC7'!$T$39:$X$59,2,0)*DU305+VLOOKUP($B$3,'Coeff EC7'!$T$65:$X$85,2,0)*Model0.1C!DV305)/1.1</f>
        <v>#N/A</v>
      </c>
      <c r="DX305" s="102" t="e">
        <f>(VLOOKUP($B$3,'Coeff EC7'!$T$39:$X$59,3,0)*DU305+VLOOKUP($B$3,'Coeff EC7'!$T$65:$X$85,3,0)*Model0.1C!DV305)/0.9</f>
        <v>#N/A</v>
      </c>
      <c r="DY305" s="102" t="e">
        <f t="shared" si="490"/>
        <v>#N/A</v>
      </c>
      <c r="DZ305" s="102" t="e">
        <f t="shared" si="491"/>
        <v>#N/A</v>
      </c>
      <c r="EA305" s="414" t="e">
        <f>IF(EA304=0,0,IF(AND(DW305&gt;charge_ELS_quasi,DX305&gt;Charge_ELS_freq,DY305&gt;charge_ELU,DZ305&gt;charge_ELA,$B305&gt;NDC!$H$22-0.1+MIN(3*$EA$12,1.5)),0,1))</f>
        <v>#N/A</v>
      </c>
      <c r="EB305" s="86" t="b">
        <f t="shared" si="459"/>
        <v>0</v>
      </c>
      <c r="EC305" s="418">
        <f t="shared" si="460"/>
        <v>0.51</v>
      </c>
      <c r="ED305" s="86">
        <f t="shared" si="461"/>
        <v>0.51</v>
      </c>
      <c r="EE305" s="30" t="e">
        <f t="shared" ca="1" si="492"/>
        <v>#DIV/0!</v>
      </c>
      <c r="EF305" s="85" t="e">
        <f ca="1">IF(DL305&lt;=Hypothèses!$V$7,Hypothèses!$W$7,IF(DL305&lt;=Hypothèses!$V$8,Hypothèses!$W$8,IF(DL305&lt;=Hypothèses!$V$9,Hypothèses!$W$9,IF(DL305&lt;=Hypothèses!$V$10,Hypothèses!$W$10,IF(DL305&lt;=Hypothèses!$V$11,Hypothèses!$W$11,IF(DL305&lt;=Hypothèses!$V$12,Hypothèses!$W$12,IF(DL305&lt;=Hypothèses!$V$13,Hypothèses!$W$13,IF(DL305&lt;=Hypothèses!$V$14,Hypothèses!$W$14,IF(DL305&lt;=Hypothèses!$V$15,Hypothèses!$W$15,IF(DL305&lt;=Hypothèses!$V$16,Hypothèses!$W$16,IF(DL305&lt;=Hypothèses!$V$17,Hypothèses!$W$17,IF(DL305&lt;=Hypothèses!$V$18,Hypothèses!$W$18,""))))))))))))</f>
        <v>#DIV/0!</v>
      </c>
      <c r="EG305" s="87" t="e">
        <f t="shared" ca="1" si="522"/>
        <v>#DIV/0!</v>
      </c>
      <c r="EH305" s="88" t="e">
        <f ca="1">IF(DL305&lt;=Hypothèses!$V$7,Hypothèses!$X$7,IF(DL305&lt;=Hypothèses!$V$8,Hypothèses!$X$8,IF(DL305&lt;=Hypothèses!$V$9,Hypothèses!$X$9,IF(DL305&lt;=Hypothèses!$V$10,Hypothèses!$X$10,IF(DL305&lt;=Hypothèses!$V$11,Hypothèses!$X$11,IF(DL305&lt;=Hypothèses!$V$12,Hypothèses!$X$12,IF(DL305&lt;=Hypothèses!$V$13,Hypothèses!$X$13,IF(DL305&lt;=Hypothèses!$V$14,Hypothèses!$X$14,IF(DL305&lt;=Hypothèses!$V$15,Hypothèses!$X$15,IF(DL305&lt;=Hypothèses!$V$16,Hypothèses!$X$16,IF(DL305&lt;=Hypothèses!$U$17,Hypothèses!$W$17,IF(DL305&lt;=Hypothèses!$U$18,Hypothèses!$W$18,""))))))))))))</f>
        <v>#DIV/0!</v>
      </c>
      <c r="EI305" s="95" t="e">
        <f t="shared" ca="1" si="493"/>
        <v>#DIV/0!</v>
      </c>
      <c r="EJ305" s="101" t="e">
        <f t="shared" si="529"/>
        <v>#N/A</v>
      </c>
      <c r="EK305" s="91" t="e">
        <f t="shared" si="462"/>
        <v>#N/A</v>
      </c>
      <c r="EL305" s="30" t="e">
        <f t="shared" si="512"/>
        <v>#N/A</v>
      </c>
      <c r="EM305" s="30" t="e">
        <f t="shared" si="513"/>
        <v>#N/A</v>
      </c>
      <c r="EN305" s="31" t="e">
        <f>IF(OR(Hypothèses!$B$4=17,Hypothèses!$B$4=18,Hypothèses!$B$4=19,Hypothèses!$B$4=20),
IF($D305="Pressio.",
IF(OR($E305=3,$E305=1,$E305=4),EM305,EL305),
IF($D305="Pénétro.",
IF(OR($E305=3,$E305=1,$E305=4),EM305,EL305))),IF($D305="Pressio.",
IF($E305=3,EM305,EL305),
IF($D305="Pénétro.",
IF($E305=4,EM305,EL305))))</f>
        <v>#N/A</v>
      </c>
      <c r="EO305" s="31" t="e">
        <f>(IF(OR(Hypothèses!$B$4=17,Hypothèses!$B$4=18,Hypothèses!$B$4=19,Hypothèses!$B$4=20),
IF($D305="Pressio.",
IF(OR($E305=3,$E305=1,$E305=4),(PI()*EO$12^2)/4*(EK305*$W305*1000)/($H305*$B$5),(PI()*EO$12^2)/4*(EK305*$W305*1000)/($G305*$B$5)),
IF($D305="Pénétro.",
IF(OR($E305=4,$E305=1,$E305=5),(PI()*EO$12^2)/4*(EK305*$W305*1000)/($H305*$B$5),(PI()*EO$12^2)/4*(EK305*$W305*1000)/($G305*$B$5)))),
IF($D305="Pressio.",
IF($E305=3,(PI()*EO$12^2)/4*(EK305*$W305*1000)/($H305*$B$5),(PI()*EO$12^2)/4*(EK305*$W305*1000)/($G305*$B$5)),
IF($D305="Pénétro.",
IF($E305=4,(PI()*EO$12^2)/4*(EK305*$W305*1000)/($H305*$B$5),(PI()*EO$12^2)/4*(EK305*$W305*1000)/($G305*$B$5))))))/10</f>
        <v>#N/A</v>
      </c>
      <c r="EP305" s="102" t="e">
        <f>(VLOOKUP($B$3,'Coeff EC7'!$T$39:$X$59,2,0)*EN305+VLOOKUP($B$3,'Coeff EC7'!$T$65:$X$85,2,0)*Model0.1C!EO305)/1.1</f>
        <v>#N/A</v>
      </c>
      <c r="EQ305" s="102" t="e">
        <f>(VLOOKUP($B$3,'Coeff EC7'!$T$39:$X$59,3,0)*EN305+VLOOKUP($B$3,'Coeff EC7'!$T$65:$X$85,3,0)*Model0.1C!EO305)/0.9</f>
        <v>#N/A</v>
      </c>
      <c r="ER305" s="102" t="e">
        <f t="shared" si="494"/>
        <v>#N/A</v>
      </c>
      <c r="ES305" s="102" t="e">
        <f t="shared" si="495"/>
        <v>#N/A</v>
      </c>
      <c r="ET305" s="414" t="e">
        <f>IF(ET304=0,0,IF(AND(EP305&gt;charge_ELS_quasi,EQ305&gt;Charge_ELS_freq,ER305&gt;charge_ELU,ES305&gt;charge_ELA,$B305&gt;NDC!$H$22-0.1+MIN(3*$ET$12,1.5)),0,1))</f>
        <v>#N/A</v>
      </c>
      <c r="EU305" s="86" t="b">
        <f t="shared" si="463"/>
        <v>0</v>
      </c>
      <c r="EV305" s="86">
        <f t="shared" si="464"/>
        <v>0.61</v>
      </c>
      <c r="EW305" s="86">
        <f t="shared" si="465"/>
        <v>0.61</v>
      </c>
      <c r="EX305" s="30" t="e">
        <f t="shared" ca="1" si="496"/>
        <v>#DIV/0!</v>
      </c>
      <c r="EY305" s="85" t="e">
        <f ca="1">IF(EE305&lt;=Hypothèses!$V$7,Hypothèses!$W$7,IF(EE305&lt;=Hypothèses!$V$8,Hypothèses!$W$8,IF(EE305&lt;=Hypothèses!$V$9,Hypothèses!$W$9,IF(EE305&lt;=Hypothèses!$V$10,Hypothèses!$W$10,IF(EE305&lt;=Hypothèses!$V$11,Hypothèses!$W$11,IF(EE305&lt;=Hypothèses!$V$12,Hypothèses!$W$12,IF(EE305&lt;=Hypothèses!$V$13,Hypothèses!$W$13,IF(EE305&lt;=Hypothèses!$V$14,Hypothèses!$W$14,IF(EE305&lt;=Hypothèses!$V$15,Hypothèses!$W$15,IF(EE305&lt;=Hypothèses!$V$16,Hypothèses!$W$16,IF(EE305&lt;=Hypothèses!$V$17,Hypothèses!$W$17,IF(EE305&lt;=Hypothèses!$V$18,Hypothèses!$W$18,""))))))))))))</f>
        <v>#DIV/0!</v>
      </c>
      <c r="EZ305" s="87" t="e">
        <f t="shared" ca="1" si="523"/>
        <v>#DIV/0!</v>
      </c>
      <c r="FA305" s="88" t="e">
        <f ca="1">IF(EE305&lt;=Hypothèses!$V$7,Hypothèses!$X$7,IF(EE305&lt;=Hypothèses!$V$8,Hypothèses!$X$8,IF(EE305&lt;=Hypothèses!$V$9,Hypothèses!$X$9,IF(EE305&lt;=Hypothèses!$V$10,Hypothèses!$X$10,IF(EE305&lt;=Hypothèses!$V$11,Hypothèses!$X$11,IF(EE305&lt;=Hypothèses!$V$12,Hypothèses!$X$12,IF(EE305&lt;=Hypothèses!$V$13,Hypothèses!$X$13,IF(EE305&lt;=Hypothèses!$V$14,Hypothèses!$X$14,IF(EE305&lt;=Hypothèses!$V$15,Hypothèses!$X$15,IF(EE305&lt;=Hypothèses!$V$16,Hypothèses!$X$16,IF(EE305&lt;=Hypothèses!$U$17,Hypothèses!$W$17,IF(EE305&lt;=Hypothèses!$U$18,Hypothèses!$W$18,""))))))))))))</f>
        <v>#DIV/0!</v>
      </c>
      <c r="FB305" s="95" t="e">
        <f t="shared" ca="1" si="497"/>
        <v>#DIV/0!</v>
      </c>
      <c r="FC305" s="101" t="e">
        <f t="shared" si="530"/>
        <v>#N/A</v>
      </c>
      <c r="FD305" s="91" t="e">
        <f t="shared" si="466"/>
        <v>#N/A</v>
      </c>
      <c r="FE305" s="30" t="e">
        <f t="shared" si="514"/>
        <v>#N/A</v>
      </c>
      <c r="FF305" s="30" t="e">
        <f t="shared" si="515"/>
        <v>#N/A</v>
      </c>
      <c r="FG305" s="31" t="e">
        <f>IF(OR(Hypothèses!$B$4=17,Hypothèses!$B$4=18,Hypothèses!$B$4=19,Hypothèses!$B$4=20),
IF($D305="Pressio.",
IF(OR($E305=3,$E305=1,$E305=4),FF305,FE305),
IF($D305="Pénétro.",
IF(OR($E305=3,$E305=1,$E305=4),FF305,FE305))),IF($D305="Pressio.",
IF($E305=3,FF305,FE305),
IF($D305="Pénétro.",
IF($E305=4,FF305,FE305))))</f>
        <v>#N/A</v>
      </c>
      <c r="FH305" s="31" t="e">
        <f>(IF(OR(Hypothèses!$B$4=17,Hypothèses!$B$4=18,Hypothèses!$B$4=19,Hypothèses!$B$4=20),
IF($D305="Pressio.",
IF(OR($E305=3,$E305=1,$E305=4),(PI()*FH$12^2)/4*(FD305*$W305*1000)/($H305*$B$5),(PI()*FH$12^2)/4*(FD305*$W305*1000)/($G305*$B$5)),
IF($D305="Pénétro.",
IF(OR($E305=4,$E305=1,$E305=5),(PI()*FH$12^2)/4*(FD305*$W305*1000)/($H305*$B$5),(PI()*FH$12^2)/4*(FD305*$W305*1000)/($G305*$B$5)))),
IF($D305="Pressio.",
IF($E305=3,(PI()*FH$12^2)/4*(FD305*$W305*1000)/($H305*$B$5),(PI()*FH$12^2)/4*(FD305*$W305*1000)/($G305*$B$5)),
IF($D305="Pénétro.",
IF($E305=4,(PI()*FH$12^2)/4*(FD305*$W305*1000)/($H305*$B$5),(PI()*FH$12^2)/4*(FD305*$W305*1000)/($G305*$B$5))))))/10</f>
        <v>#N/A</v>
      </c>
      <c r="FI305" s="102" t="e">
        <f>(VLOOKUP($B$3,'Coeff EC7'!$T$39:$X$59,2,0)*FG305+VLOOKUP($B$3,'Coeff EC7'!$T$65:$X$85,2,0)*Model0.1C!FH305)/1.1</f>
        <v>#N/A</v>
      </c>
      <c r="FJ305" s="102" t="e">
        <f>(VLOOKUP($B$3,'Coeff EC7'!$T$39:$X$59,3,0)*FG305+VLOOKUP($B$3,'Coeff EC7'!$T$65:$X$85,3,0)*Model0.1C!FH305)/0.9</f>
        <v>#N/A</v>
      </c>
      <c r="FK305" s="102" t="e">
        <f t="shared" si="498"/>
        <v>#N/A</v>
      </c>
      <c r="FL305" s="102" t="e">
        <f t="shared" si="499"/>
        <v>#N/A</v>
      </c>
      <c r="FM305" s="414" t="e">
        <f>IF(FM304=0,0,IF(AND(FI305&gt;charge_ELS_quasi,FJ305&gt;Charge_ELS_freq,FK305&gt;charge_ELU,FL305&gt;charge_ELA,$B305&gt;NDC!$H$22-0.1+MIN(3*$FM$12,1.5)),0,1))</f>
        <v>#N/A</v>
      </c>
    </row>
    <row r="306" spans="1:169">
      <c r="A306" s="96">
        <f t="shared" si="467"/>
        <v>70.700000000001666</v>
      </c>
      <c r="B306" s="97">
        <v>29.3</v>
      </c>
      <c r="C306" s="81">
        <f>IF(B306&lt;=Hypothèses!$C$7,Hypothèses!$A$7,IF(B306&lt;=Hypothèses!$C$8,Hypothèses!$A$8,IF(B306&lt;=Hypothèses!$C$9,Hypothèses!$A$9,IF(B306&lt;=Hypothèses!$C$10,Hypothèses!$A$10,IF(B306&lt;=Hypothèses!$C$11,Hypothèses!$A$11,IF(B306&lt;=Hypothèses!$C$12,Hypothèses!$A$12,IF(B306&lt;=Hypothèses!$C$13,Hypothèses!$A$13,IF(B306&lt;=Hypothèses!$C$14,Hypothèses!$A$14,IF(B306&lt;=Hypothèses!$C$15,Hypothèses!$A$15,IF(B306&lt;=Hypothèses!$C$16,Hypothèses!$A$16,IF(B306&lt;=Hypothèses!$C$17,Hypothèses!$A$17,IF(B306&lt;=Hypothèses!$C$18,Hypothèses!$A$18,C305))))))))))))</f>
        <v>11</v>
      </c>
      <c r="D306" s="82" t="str">
        <f>IF(B306&lt;=Hypothèses!$C$7,Hypothèses!$R$7,IF(B306&lt;=Hypothèses!$C$8,Hypothèses!$R$8,IF(B306&lt;=Hypothèses!$C$9,Hypothèses!$R$9,IF(B306&lt;=Hypothèses!$C$10,Hypothèses!$R$10,IF(B306&lt;=Hypothèses!$C$11,Hypothèses!$R$11,IF(B306&lt;=Hypothèses!$C$12,Hypothèses!$R$12,IF(B306&lt;=Hypothèses!$C$13,Hypothèses!$R$13,IF(B306&lt;=Hypothèses!$C$14,Hypothèses!$R$14,IF(B306&lt;=Hypothèses!$C$15,Hypothèses!$R$15,IF(B306&lt;=Hypothèses!$C$16,Hypothèses!$R$16,IF(B306&lt;=Hypothèses!$C$17,Hypothèses!$R$17,IF(B306&lt;=Hypothèses!$C$18,Hypothèses!$R$18,D305))))))))))))</f>
        <v>Pressio.</v>
      </c>
      <c r="E306" s="82" t="e">
        <f>IF(B306&lt;=Hypothèses!$C$7,Hypothèses!$G$7,IF(B306&lt;=Hypothèses!$C$8,Hypothèses!$G$8,IF(B306&lt;=Hypothèses!$C$9,Hypothèses!$G$9,IF(B306&lt;=Hypothèses!$C$10,Hypothèses!$G$10,IF(B306&lt;=Hypothèses!$C$11,Hypothèses!$G$11,IF(B306&lt;=Hypothèses!$C$12,Hypothèses!$G$12,IF(B306&lt;=Hypothèses!$C$13,Hypothèses!$G$13,IF(B306&lt;=Hypothèses!$C$14,Hypothèses!$G$14,IF(B306&lt;=Hypothèses!$C$15,Hypothèses!$G$15,IF(B306&lt;=Hypothèses!$C$16,Hypothèses!$G$16,IF(B306&lt;=Hypothèses!$C$17,Hypothèses!$G$17,IF(B306&lt;=Hypothèses!$C$18,Hypothèses!$G$18,E305))))))))))))</f>
        <v>#N/A</v>
      </c>
      <c r="F306" s="82" t="str">
        <f>IF(B306&lt;=Hypothèses!$C$7,Hypothèses!$F$7,IF(B306&lt;=Hypothèses!$C$8,Hypothèses!$F$8,IF(B306&lt;=Hypothèses!$C$9,Hypothèses!$F$9,IF(B306&lt;=Hypothèses!$C$10,Hypothèses!$F$10,IF(B306&lt;=Hypothèses!$C$11,Hypothèses!$F$11,IF(B306&lt;=Hypothèses!$C$12,Hypothèses!$F$12,IF(B306&lt;=Hypothèses!$C$13,Hypothèses!$F$13,IF(B306&lt;=Hypothèses!$C$14,Hypothèses!$F$14,IF(B306&lt;=Hypothèses!$C$15,Hypothèses!$F$15,IF(B306&lt;=Hypothèses!$C$16,Hypothèses!$F$16,IF(B306&lt;=Hypothèses!$C$17,Hypothèses!$F$17,IF(B306&lt;=Hypothèses!$C$18,Hypothèses!$F$18,F305))))))))))))</f>
        <v/>
      </c>
      <c r="G306" s="91">
        <f t="array" ref="G306">INDEX('Coeff EC7'!$U$7:$X$27,
MATCH(Model0.1C!$B$3,'Coeff EC7'!$T$7:$T$27,0),
MATCH(Model0.1C!$D306&amp;Model0.1C!$B$4,
'Coeff EC7'!$U$6:$X$6&amp;
'Coeff EC7'!$U$5:$X$5,0))</f>
        <v>1.1499999999999999</v>
      </c>
      <c r="H306" s="91">
        <f t="array" ref="H306">INDEX('Coeff EC7'!$Y$7:$AB$27,
MATCH(Model0.1C!$B$3,'Coeff EC7'!$T$7:$T$27,0),
MATCH(Model0.1C!$D306&amp;Model0.1C!$B$4,
'Coeff EC7'!$Y$6:$AB$6&amp;
'Coeff EC7'!$Y$5:$AB$5,0))</f>
        <v>1.4</v>
      </c>
      <c r="I306" s="83" t="e">
        <f>IF(B306&lt;=Hypothèses!$C$7,Hypothèses!$P$7,IF(B306&lt;=Hypothèses!$C$8,Hypothèses!$P$8,IF(B306&lt;=Hypothèses!$C$9,Hypothèses!$P$9,IF(B306&lt;=Hypothèses!$C$10,Hypothèses!$P$10,IF(B306&lt;=Hypothèses!$C$11,Hypothèses!$P$11,IF(B306&lt;=Hypothèses!$C$12,Hypothèses!$P$12,IF(B306&lt;=Hypothèses!$C$13,Hypothèses!$P$13,IF(B306&lt;=Hypothèses!$C$14,Hypothèses!$P$14,IF(B306&lt;=Hypothèses!$C$15,Hypothèses!$P$15,IF(B306&lt;=Hypothèses!$C$16,Hypothèses!$P$16,IF(B306&lt;=Hypothèses!$C$17,Hypothèses!$P$17,IF(B306&lt;=Hypothèses!$C$18,Hypothèses!$P$18,I305))))))))))))</f>
        <v>#N/A</v>
      </c>
      <c r="J306" s="91" t="e">
        <f t="array" ref="J306">INDEX('Coeff EC7'!$D$33:$Q$33,1,MATCH(D306&amp;E306,'Coeff EC7'!$D$31:$Q$31&amp;'Coeff EC7'!$D$32:$Q$32,0))</f>
        <v>#N/A</v>
      </c>
      <c r="K306" s="91" t="e">
        <f t="array" ref="K306">INDEX('Coeff EC7'!$D$34:$Q$34,1,MATCH(D306&amp;E306,'Coeff EC7'!$D$31:$Q$31&amp;'Coeff EC7'!$D$32:$Q$32,0))</f>
        <v>#N/A</v>
      </c>
      <c r="L306" s="91" t="e">
        <f t="array" ref="L306">INDEX('Coeff EC7'!$D$35:$Q$35,1,MATCH(D306&amp;E306,'Coeff EC7'!$D$31:$Q$31&amp;'Coeff EC7'!$D$32:$Q$32,0))</f>
        <v>#N/A</v>
      </c>
      <c r="M306" s="98" t="e">
        <f t="shared" si="431"/>
        <v>#N/A</v>
      </c>
      <c r="N306" s="99" t="e">
        <f t="array" ref="N306">INDEX('Coeff EC7'!$D$7:$Q$27,MATCH($B$3,'Coeff EC7'!$C$7:$C$27,0),MATCH(D306&amp;E306,'Coeff EC7'!$D$5:$Q$5&amp;'Coeff EC7'!$D$6:$Q$6,0))</f>
        <v>#N/A</v>
      </c>
      <c r="O306" s="99" t="e">
        <f t="array" ref="O306">INDEX('Coeff EC7'!$D$41:$Q$61,MATCH($B$3,'Coeff EC7'!$C$41:$C$61,0),MATCH(D306&amp;E306,'Coeff EC7'!$D$39:$Q$39&amp;'Coeff EC7'!$D$40:$Q$40,0))</f>
        <v>#N/A</v>
      </c>
      <c r="P306" s="30" t="e">
        <f t="shared" si="468"/>
        <v>#N/A</v>
      </c>
      <c r="Q306" s="100" t="e">
        <f t="shared" si="433"/>
        <v>#N/A</v>
      </c>
      <c r="R306" s="86" t="b">
        <f t="shared" si="434"/>
        <v>0</v>
      </c>
      <c r="S306" s="86">
        <f t="shared" si="432"/>
        <v>0.5</v>
      </c>
      <c r="T306" s="86">
        <f t="shared" si="435"/>
        <v>0.5</v>
      </c>
      <c r="U306" s="30" t="e">
        <f t="shared" ca="1" si="469"/>
        <v>#DIV/0!</v>
      </c>
      <c r="V306" s="85" t="str">
        <f>IF(B306&lt;=Hypothèses!$V$7,Hypothèses!$W$7,IF(B306&lt;=Hypothèses!$V$8,Hypothèses!$W$8,IF(B306&lt;=Hypothèses!$V$9,Hypothèses!$W$9,IF(B306&lt;=Hypothèses!$V$10,Hypothèses!$W$10,IF(B306&lt;=Hypothèses!$V$11,Hypothèses!$W$11,IF(B306&lt;=Hypothèses!$V$12,Hypothèses!$W$12,IF(B306&lt;=Hypothèses!$V$13,Hypothèses!$W$13,IF(B306&lt;=Hypothèses!$V$14,Hypothèses!$W$14,IF(B306&lt;=Hypothèses!$V$15,Hypothèses!$W$15,IF(B306&lt;=Hypothèses!$V$16,Hypothèses!$W$16,IF(B306&lt;=Hypothèses!$V$17,Hypothèses!$W$17,IF(B306&lt;=Hypothèses!$V$18,Hypothèses!$W$18,""))))))))))))</f>
        <v/>
      </c>
      <c r="W306" s="87" t="e">
        <f t="shared" ca="1" si="516"/>
        <v>#DIV/0!</v>
      </c>
      <c r="X306" s="88" t="str">
        <f>IF(B306&lt;=Hypothèses!$V$7,Hypothèses!$X$7,IF(B306&lt;=Hypothèses!$V$8,Hypothèses!$X$8,IF(B306&lt;=Hypothèses!$V$9,Hypothèses!$X$9,IF(B306&lt;=Hypothèses!$V$10,Hypothèses!$X$10,IF(B306&lt;=Hypothèses!$V$11,Hypothèses!$X$11,IF(B306&lt;=Hypothèses!$V$12,Hypothèses!$X$12,IF(B306&lt;=Hypothèses!$V$13,Hypothèses!$X$13,IF(B306&lt;=Hypothèses!$V$14,Hypothèses!$X$14,IF(B306&lt;=Hypothèses!$V$15,Hypothèses!$X$15,IF(B306&lt;=Hypothèses!$V$16,Hypothèses!$X$16,IF(B306&lt;=Hypothèses!$U$17,Hypothèses!$W$17,IF(B306&lt;=Hypothèses!$U$18,Hypothèses!$W$18,""))))))))))))</f>
        <v/>
      </c>
      <c r="Y306" s="95" t="e">
        <f t="shared" ca="1" si="436"/>
        <v>#DIV/0!</v>
      </c>
      <c r="Z306" s="101" t="e">
        <f t="shared" si="437"/>
        <v>#N/A</v>
      </c>
      <c r="AA306" s="91" t="e">
        <f t="shared" si="438"/>
        <v>#N/A</v>
      </c>
      <c r="AB306" s="30" t="e">
        <f t="shared" si="500"/>
        <v>#N/A</v>
      </c>
      <c r="AC306" s="30" t="e">
        <f t="shared" si="501"/>
        <v>#N/A</v>
      </c>
      <c r="AD306" s="31" t="e">
        <f>IF(OR(Hypothèses!$B$4=17,Hypothèses!$B$4=18,Hypothèses!$B$4=19,Hypothèses!$B$4=20),
IF($D306="Pressio.",
IF(OR($E306=3,$E306=1,$E306=4),AC306,AB306),
IF($D306="Pénétro.",
IF(OR($E306=3,$E306=1,$E306=4),AC306,AB306))),IF($D306="Pressio.",
IF($E306=3,AC306,AB306),
IF($D306="Pénétro.",
IF($E306=4,AC306,AB306))))</f>
        <v>#N/A</v>
      </c>
      <c r="AE306" s="31" t="e">
        <f>(IF(OR(Hypothèses!$B$4=17,Hypothèses!$B$4=18,Hypothèses!$B$4=19,Hypothèses!$B$4=20),
IF($D306="Pressio.",
IF(OR($E306=3,$E306=1,$E306=4),(PI()*AE$12^2)/4*(AA306*$W306*1000)/($H306*$B$5),(PI()*AE$12^2)/4*(AA306*$W306*1000)/($G306*$B$5)),
IF($D306="Pénétro.",
IF(OR($E306=4,$E306=1,$E306=5),(PI()*AE$12^2)/4*(AA306*$W306*1000)/($H306*$B$5),(PI()*AE$12^2)/4*(AA306*$W306*1000)/($G306*$B$5)))),
IF($D306="Pressio.",
IF($E306=3,(PI()*AE$12^2)/4*(AA306*$W306*1000)/($H306*$B$5),(PI()*AE$12^2)/4*(AA306*$W306*1000)/($G306*$B$5)),
IF($D306="Pénétro.",
IF($E306=4,(PI()*AE$12^2)/4*(AA306*$W306*1000)/($H306*$B$5),(PI()*AE$12^2)/4*(AA306*$W306*1000)/($G306*$B$5))))))/10</f>
        <v>#N/A</v>
      </c>
      <c r="AF306" s="102" t="e">
        <f>(VLOOKUP($B$3,'Coeff EC7'!$T$39:$X$59,2,0)*AD306+VLOOKUP($B$3,'Coeff EC7'!$T$65:$X$85,2,0)*Model0.1C!AE306)/1.1</f>
        <v>#N/A</v>
      </c>
      <c r="AG306" s="102" t="e">
        <f>(VLOOKUP($B$3,'Coeff EC7'!$T$39:$X$59,3,0)*AD306+VLOOKUP($B$3,'Coeff EC7'!$T$65:$X$85,3,0)*Model0.1C!AE306)/0.9</f>
        <v>#N/A</v>
      </c>
      <c r="AH306" s="102" t="e">
        <f t="shared" si="439"/>
        <v>#N/A</v>
      </c>
      <c r="AI306" s="102" t="e">
        <f t="shared" si="440"/>
        <v>#N/A</v>
      </c>
      <c r="AJ306" s="414" t="e">
        <f>IF(AJ305=0,0,IF(AND(AF306&gt;charge_ELS_quasi,AG306&gt;Charge_ELS_freq,AH306&gt;charge_ELU,AI306&gt;charge_ELA,$B306&gt;NDC!$H$22-0.1+MIN(3*$AJ$12,1.5)),0,1))</f>
        <v>#N/A</v>
      </c>
      <c r="AK306" s="86" t="b">
        <f t="shared" si="441"/>
        <v>0</v>
      </c>
      <c r="AL306" s="86">
        <f t="shared" si="470"/>
        <v>0.5</v>
      </c>
      <c r="AM306" s="86">
        <f t="shared" si="442"/>
        <v>0.5</v>
      </c>
      <c r="AN306" s="30" t="e">
        <f t="shared" ca="1" si="471"/>
        <v>#DIV/0!</v>
      </c>
      <c r="AO306" s="85" t="e">
        <f ca="1">IF(U306&lt;=Hypothèses!$V$7,Hypothèses!$W$7,IF(U306&lt;=Hypothèses!$V$8,Hypothèses!$W$8,IF(U306&lt;=Hypothèses!$V$9,Hypothèses!$W$9,IF(U306&lt;=Hypothèses!$V$10,Hypothèses!$W$10,IF(U306&lt;=Hypothèses!$V$11,Hypothèses!$W$11,IF(U306&lt;=Hypothèses!$V$12,Hypothèses!$W$12,IF(U306&lt;=Hypothèses!$V$13,Hypothèses!$W$13,IF(U306&lt;=Hypothèses!$V$14,Hypothèses!$W$14,IF(U306&lt;=Hypothèses!$V$15,Hypothèses!$W$15,IF(U306&lt;=Hypothèses!$V$16,Hypothèses!$W$16,IF(U306&lt;=Hypothèses!$V$17,Hypothèses!$W$17,IF(U306&lt;=Hypothèses!$V$18,Hypothèses!$W$18,""))))))))))))</f>
        <v>#DIV/0!</v>
      </c>
      <c r="AP306" s="87" t="e">
        <f t="shared" ca="1" si="517"/>
        <v>#DIV/0!</v>
      </c>
      <c r="AQ306" s="88" t="e">
        <f ca="1">IF(U306&lt;=Hypothèses!$V$7,Hypothèses!$X$7,IF(U306&lt;=Hypothèses!$V$8,Hypothèses!$X$8,IF(U306&lt;=Hypothèses!$V$9,Hypothèses!$X$9,IF(U306&lt;=Hypothèses!$V$10,Hypothèses!$X$10,IF(U306&lt;=Hypothèses!$V$11,Hypothèses!$X$11,IF(U306&lt;=Hypothèses!$V$12,Hypothèses!$X$12,IF(U306&lt;=Hypothèses!$V$13,Hypothèses!$X$13,IF(U306&lt;=Hypothèses!$V$14,Hypothèses!$X$14,IF(U306&lt;=Hypothèses!$V$15,Hypothèses!$X$15,IF(U306&lt;=Hypothèses!$V$16,Hypothèses!$X$16,IF(U306&lt;=Hypothèses!$U$17,Hypothèses!$W$17,IF(U306&lt;=Hypothèses!$U$18,Hypothèses!$W$18,""))))))))))))</f>
        <v>#DIV/0!</v>
      </c>
      <c r="AR306" s="95" t="e">
        <f t="shared" ca="1" si="472"/>
        <v>#DIV/0!</v>
      </c>
      <c r="AS306" s="101" t="e">
        <f t="shared" si="524"/>
        <v>#N/A</v>
      </c>
      <c r="AT306" s="91" t="e">
        <f t="shared" si="443"/>
        <v>#N/A</v>
      </c>
      <c r="AU306" s="30" t="e">
        <f t="shared" si="502"/>
        <v>#N/A</v>
      </c>
      <c r="AV306" s="30" t="e">
        <f t="shared" si="503"/>
        <v>#N/A</v>
      </c>
      <c r="AW306" s="31" t="e">
        <f>IF(OR(Hypothèses!$B$4=17,Hypothèses!$B$4=18,Hypothèses!$B$4=19,Hypothèses!$B$4=20),
IF($D306="Pressio.",
IF(OR($E306=3,$E306=1,$E306=4),AV306,AU306),
IF($D306="Pénétro.",
IF(OR($E306=3,$E306=1,$E306=4),AV306,AU306))),IF($D306="Pressio.",
IF($E306=3,AV306,AU306),
IF($D306="Pénétro.",
IF($E306=4,AV306,AU306))))</f>
        <v>#N/A</v>
      </c>
      <c r="AX306" s="31" t="e">
        <f>(IF(OR(Hypothèses!$B$4=17,Hypothèses!$B$4=18,Hypothèses!$B$4=19,Hypothèses!$B$4=20),
IF($D306="Pressio.",
IF(OR($E306=3,$E306=1,$E306=4),(PI()*AX$12^2)/4*(AT306*$W306*1000)/($H306*$B$5),(PI()*AX$12^2)/4*(AT306*$W306*1000)/($G306*$B$5)),
IF($D306="Pénétro.",
IF(OR($E306=4,$E306=1,$E306=5),(PI()*AX$12^2)/4*(AT306*$W306*1000)/($H306*$B$5),(PI()*AX$12^2)/4*(AT306*$W306*1000)/($G306*$B$5)))),
IF($D306="Pressio.",
IF($E306=3,(PI()*AX$12^2)/4*(AT306*$W306*1000)/($H306*$B$5),(PI()*AX$12^2)/4*(AT306*$W306*1000)/($G306*$B$5)),
IF($D306="Pénétro.",
IF($E306=4,(PI()*AX$12^2)/4*(AT306*$W306*1000)/($H306*$B$5),(PI()*AX$12^2)/4*(AT306*$W306*1000)/($G306*$B$5))))))/10</f>
        <v>#N/A</v>
      </c>
      <c r="AY306" s="102" t="e">
        <f>(VLOOKUP($B$3,'Coeff EC7'!$T$39:$X$59,2,0)*AW306+VLOOKUP($B$3,'Coeff EC7'!$T$65:$X$85,2,0)*Model0.1C!AX306)/1.1</f>
        <v>#N/A</v>
      </c>
      <c r="AZ306" s="102" t="e">
        <f>(VLOOKUP($B$3,'Coeff EC7'!$T$39:$X$59,3,0)*AW306+VLOOKUP($B$3,'Coeff EC7'!$T$65:$X$85,3,0)*Model0.1C!AX306)/0.9</f>
        <v>#N/A</v>
      </c>
      <c r="BA306" s="102" t="e">
        <f t="shared" si="473"/>
        <v>#N/A</v>
      </c>
      <c r="BB306" s="102" t="e">
        <f t="shared" si="474"/>
        <v>#N/A</v>
      </c>
      <c r="BC306" s="414" t="e">
        <f>IF(BC305=0,0,IF(AND(AY306&gt;charge_ELS_quasi,AZ306&gt;Charge_ELS_freq,BA306&gt;charge_ELU,BB306&gt;charge_ELA,$B306&gt;NDC!$H$22-0.1+MIN(3*$BC$12,1.5)),0,1))</f>
        <v>#N/A</v>
      </c>
      <c r="BD306" s="86" t="b">
        <f t="shared" si="444"/>
        <v>0</v>
      </c>
      <c r="BE306" s="86">
        <f t="shared" si="475"/>
        <v>0.5</v>
      </c>
      <c r="BF306" s="86">
        <f t="shared" si="445"/>
        <v>0.5</v>
      </c>
      <c r="BG306" s="30" t="e">
        <f t="shared" ca="1" si="476"/>
        <v>#DIV/0!</v>
      </c>
      <c r="BH306" s="85" t="e">
        <f ca="1">IF(AN306&lt;=Hypothèses!$V$7,Hypothèses!$W$7,IF(AN306&lt;=Hypothèses!$V$8,Hypothèses!$W$8,IF(AN306&lt;=Hypothèses!$V$9,Hypothèses!$W$9,IF(AN306&lt;=Hypothèses!$V$10,Hypothèses!$W$10,IF(AN306&lt;=Hypothèses!$V$11,Hypothèses!$W$11,IF(AN306&lt;=Hypothèses!$V$12,Hypothèses!$W$12,IF(AN306&lt;=Hypothèses!$V$13,Hypothèses!$W$13,IF(AN306&lt;=Hypothèses!$V$14,Hypothèses!$W$14,IF(AN306&lt;=Hypothèses!$V$15,Hypothèses!$W$15,IF(AN306&lt;=Hypothèses!$V$16,Hypothèses!$W$16,IF(AN306&lt;=Hypothèses!$V$17,Hypothèses!$W$17,IF(AN306&lt;=Hypothèses!$V$18,Hypothèses!$W$18,""))))))))))))</f>
        <v>#DIV/0!</v>
      </c>
      <c r="BI306" s="87" t="e">
        <f t="shared" ca="1" si="518"/>
        <v>#DIV/0!</v>
      </c>
      <c r="BJ306" s="88" t="e">
        <f ca="1">IF(AN306&lt;=Hypothèses!$V$7,Hypothèses!$X$7,IF(AN306&lt;=Hypothèses!$V$8,Hypothèses!$X$8,IF(AN306&lt;=Hypothèses!$V$9,Hypothèses!$X$9,IF(AN306&lt;=Hypothèses!$V$10,Hypothèses!$X$10,IF(AN306&lt;=Hypothèses!$V$11,Hypothèses!$X$11,IF(AN306&lt;=Hypothèses!$V$12,Hypothèses!$X$12,IF(AN306&lt;=Hypothèses!$V$13,Hypothèses!$X$13,IF(AN306&lt;=Hypothèses!$V$14,Hypothèses!$X$14,IF(AN306&lt;=Hypothèses!$V$15,Hypothèses!$X$15,IF(AN306&lt;=Hypothèses!$V$16,Hypothèses!$X$16,IF(AN306&lt;=Hypothèses!$U$17,Hypothèses!$W$17,IF(AN306&lt;=Hypothèses!$U$18,Hypothèses!$W$18,""))))))))))))</f>
        <v>#DIV/0!</v>
      </c>
      <c r="BK306" s="95" t="e">
        <f t="shared" ca="1" si="477"/>
        <v>#DIV/0!</v>
      </c>
      <c r="BL306" s="101" t="e">
        <f t="shared" si="525"/>
        <v>#N/A</v>
      </c>
      <c r="BM306" s="91" t="e">
        <f t="shared" si="446"/>
        <v>#N/A</v>
      </c>
      <c r="BN306" s="30" t="e">
        <f t="shared" si="504"/>
        <v>#N/A</v>
      </c>
      <c r="BO306" s="30" t="e">
        <f t="shared" si="505"/>
        <v>#N/A</v>
      </c>
      <c r="BP306" s="31" t="e">
        <f>IF(OR(Hypothèses!$B$4=17,Hypothèses!$B$4=18,Hypothèses!$B$4=19,Hypothèses!$B$4=20),
IF($D306="Pressio.",
IF(OR($E306=3,$E306=1,$E306=4),BO306,BN306),
IF($D306="Pénétro.",
IF(OR($E306=3,$E306=1,$E306=4),BO306,BN306))),IF($D306="Pressio.",
IF($E306=3,BO306,BN306),
IF($D306="Pénétro.",
IF($E306=4,BO306,BN306))))</f>
        <v>#N/A</v>
      </c>
      <c r="BQ306" s="31" t="e">
        <f>(IF(OR(Hypothèses!$B$4=17,Hypothèses!$B$4=18,Hypothèses!$B$4=19,Hypothèses!$B$4=20),
IF($D306="Pressio.",
IF(OR($E306=3,$E306=1,$E306=4),(PI()*BQ$12^2)/4*(BM306*$W306*1000)/($H306*$B$5),(PI()*BQ$12^2)/4*(BM306*$W306*1000)/($G306*$B$5)),
IF($D306="Pénétro.",
IF(OR($E306=4,$E306=1,$E306=5),(PI()*BQ$12^2)/4*(BM306*$W306*1000)/($H306*$B$5),(PI()*BQ$12^2)/4*(BM306*$W306*1000)/($G306*$B$5)))),
IF($D306="Pressio.",
IF($E306=3,(PI()*BQ$12^2)/4*(BM306*$W306*1000)/($H306*$B$5),(PI()*BQ$12^2)/4*(BM306*$W306*1000)/($G306*$B$5)),
IF($D306="Pénétro.",
IF($E306=4,(PI()*BQ$12^2)/4*(BM306*$W306*1000)/($H306*$B$5),(PI()*BQ$12^2)/4*(BM306*$W306*1000)/($G306*$B$5))))))/10</f>
        <v>#N/A</v>
      </c>
      <c r="BR306" s="102" t="e">
        <f>(VLOOKUP($B$3,'Coeff EC7'!$T$39:$X$59,2,0)*BP306+VLOOKUP($B$3,'Coeff EC7'!$T$65:$X$85,2,0)*Model0.1C!BQ306)/1.1</f>
        <v>#N/A</v>
      </c>
      <c r="BS306" s="102" t="e">
        <f>(VLOOKUP($B$3,'Coeff EC7'!$T$39:$X$59,3,0)*BP306+VLOOKUP($B$3,'Coeff EC7'!$T$65:$X$85,3,0)*Model0.1C!BQ306)/0.9</f>
        <v>#N/A</v>
      </c>
      <c r="BT306" s="102" t="e">
        <f t="shared" si="478"/>
        <v>#N/A</v>
      </c>
      <c r="BU306" s="102" t="e">
        <f t="shared" si="479"/>
        <v>#N/A</v>
      </c>
      <c r="BV306" s="414" t="e">
        <f>IF(BV305=0,0,IF(AND(BR306&gt;charge_ELS_quasi,BS306&gt;Charge_ELS_freq,BT306&gt;charge_ELU,BU306&gt;charge_ELA,$B306&gt;NDC!$H$22-0.1+MIN(3*$BV$12,1.5)),0,1))</f>
        <v>#N/A</v>
      </c>
      <c r="BW306" s="86" t="b">
        <f t="shared" si="447"/>
        <v>0</v>
      </c>
      <c r="BX306" s="86">
        <f t="shared" si="448"/>
        <v>0.5</v>
      </c>
      <c r="BY306" s="86">
        <f t="shared" si="449"/>
        <v>0.5</v>
      </c>
      <c r="BZ306" s="30" t="e">
        <f t="shared" ca="1" si="480"/>
        <v>#DIV/0!</v>
      </c>
      <c r="CA306" s="85" t="e">
        <f ca="1">IF(BG306&lt;=Hypothèses!$V$7,Hypothèses!$W$7,IF(BG306&lt;=Hypothèses!$V$8,Hypothèses!$W$8,IF(BG306&lt;=Hypothèses!$V$9,Hypothèses!$W$9,IF(BG306&lt;=Hypothèses!$V$10,Hypothèses!$W$10,IF(BG306&lt;=Hypothèses!$V$11,Hypothèses!$W$11,IF(BG306&lt;=Hypothèses!$V$12,Hypothèses!$W$12,IF(BG306&lt;=Hypothèses!$V$13,Hypothèses!$W$13,IF(BG306&lt;=Hypothèses!$V$14,Hypothèses!$W$14,IF(BG306&lt;=Hypothèses!$V$15,Hypothèses!$W$15,IF(BG306&lt;=Hypothèses!$V$16,Hypothèses!$W$16,IF(BG306&lt;=Hypothèses!$V$17,Hypothèses!$W$17,IF(BG306&lt;=Hypothèses!$V$18,Hypothèses!$W$18,""))))))))))))</f>
        <v>#DIV/0!</v>
      </c>
      <c r="CB306" s="87" t="e">
        <f t="shared" ca="1" si="519"/>
        <v>#DIV/0!</v>
      </c>
      <c r="CC306" s="88" t="e">
        <f ca="1">IF(BG306&lt;=Hypothèses!$V$7,Hypothèses!$X$7,IF(BG306&lt;=Hypothèses!$V$8,Hypothèses!$X$8,IF(BG306&lt;=Hypothèses!$V$9,Hypothèses!$X$9,IF(BG306&lt;=Hypothèses!$V$10,Hypothèses!$X$10,IF(BG306&lt;=Hypothèses!$V$11,Hypothèses!$X$11,IF(BG306&lt;=Hypothèses!$V$12,Hypothèses!$X$12,IF(BG306&lt;=Hypothèses!$V$13,Hypothèses!$X$13,IF(BG306&lt;=Hypothèses!$V$14,Hypothèses!$X$14,IF(BG306&lt;=Hypothèses!$V$15,Hypothèses!$X$15,IF(BG306&lt;=Hypothèses!$V$16,Hypothèses!$X$16,IF(BG306&lt;=Hypothèses!$U$17,Hypothèses!$W$17,IF(BG306&lt;=Hypothèses!$U$18,Hypothèses!$W$18,""))))))))))))</f>
        <v>#DIV/0!</v>
      </c>
      <c r="CD306" s="95" t="e">
        <f t="shared" ca="1" si="481"/>
        <v>#DIV/0!</v>
      </c>
      <c r="CE306" s="101" t="e">
        <f t="shared" si="526"/>
        <v>#N/A</v>
      </c>
      <c r="CF306" s="91" t="e">
        <f t="shared" si="450"/>
        <v>#N/A</v>
      </c>
      <c r="CG306" s="30" t="e">
        <f t="shared" si="506"/>
        <v>#N/A</v>
      </c>
      <c r="CH306" s="30" t="e">
        <f t="shared" si="507"/>
        <v>#N/A</v>
      </c>
      <c r="CI306" s="31" t="e">
        <f>IF(OR(Hypothèses!$B$4=17,Hypothèses!$B$4=18,Hypothèses!$B$4=19,Hypothèses!$B$4=20),
IF($D306="Pressio.",
IF(OR($E306=3,$E306=1,$E306=4),CH306,CG306),
IF($D306="Pénétro.",
IF(OR($E306=3,$E306=1,$E306=4),CH306,CG306))),IF($D306="Pressio.",
IF($E306=3,CH306,CG306),
IF($D306="Pénétro.",
IF($E306=4,CH306,CG306))))</f>
        <v>#N/A</v>
      </c>
      <c r="CJ306" s="31" t="e">
        <f>(IF(OR(Hypothèses!$B$4=17,Hypothèses!$B$4=18,Hypothèses!$B$4=19,Hypothèses!$B$4=20),
IF($D306="Pressio.",
IF(OR($E306=3,$E306=1,$E306=4),(PI()*CJ$12^2)/4*(CF306*$W306*1000)/($H306*$B$5),(PI()*CJ$12^2)/4*(CF306*$W306*1000)/($G306*$B$5)),
IF($D306="Pénétro.",
IF(OR($E306=4,$E306=1,$E306=5),(PI()*CJ$12^2)/4*(CF306*$W306*1000)/($H306*$B$5),(PI()*CJ$12^2)/4*(CF306*$W306*1000)/($G306*$B$5)))),
IF($D306="Pressio.",
IF($E306=3,(PI()*CJ$12^2)/4*(CF306*$W306*1000)/($H306*$B$5),(PI()*CJ$12^2)/4*(CF306*$W306*1000)/($G306*$B$5)),
IF($D306="Pénétro.",
IF($E306=4,(PI()*CJ$12^2)/4*(CF306*$W306*1000)/($H306*$B$5),(PI()*CJ$12^2)/4*(CF306*$W306*1000)/($G306*$B$5))))))/10</f>
        <v>#N/A</v>
      </c>
      <c r="CK306" s="102" t="e">
        <f>(VLOOKUP($B$3,'Coeff EC7'!$T$39:$X$59,2,0)*CI306+VLOOKUP($B$3,'Coeff EC7'!$T$65:$X$85,2,0)*Model0.1C!CJ306)/1.1</f>
        <v>#N/A</v>
      </c>
      <c r="CL306" s="102" t="e">
        <f>(VLOOKUP($B$3,'Coeff EC7'!$T$39:$X$59,3,0)*CI306+VLOOKUP($B$3,'Coeff EC7'!$T$65:$X$85,3,0)*Model0.1C!CJ306)/0.9</f>
        <v>#N/A</v>
      </c>
      <c r="CM306" s="102" t="e">
        <f t="shared" si="482"/>
        <v>#N/A</v>
      </c>
      <c r="CN306" s="102" t="e">
        <f t="shared" si="483"/>
        <v>#N/A</v>
      </c>
      <c r="CO306" s="414" t="e">
        <f>IF(CO305=0,0,IF(AND(CK306&gt;charge_ELS_quasi,CL306&gt;Charge_ELS_freq,CM306&gt;charge_ELU,CN306&gt;charge_ELA,$B306&gt;NDC!$H$22-0.1+MIN(3*$CO$12,1.5)),0,1))</f>
        <v>#N/A</v>
      </c>
      <c r="CP306" s="86" t="b">
        <f t="shared" si="451"/>
        <v>0</v>
      </c>
      <c r="CQ306" s="86">
        <f t="shared" si="452"/>
        <v>0.5</v>
      </c>
      <c r="CR306" s="86">
        <f t="shared" si="453"/>
        <v>0.5</v>
      </c>
      <c r="CS306" s="30" t="e">
        <f t="shared" ca="1" si="484"/>
        <v>#DIV/0!</v>
      </c>
      <c r="CT306" s="85" t="e">
        <f ca="1">IF(BZ306&lt;=Hypothèses!$V$7,Hypothèses!$W$7,IF(BZ306&lt;=Hypothèses!$V$8,Hypothèses!$W$8,IF(BZ306&lt;=Hypothèses!$V$9,Hypothèses!$W$9,IF(BZ306&lt;=Hypothèses!$V$10,Hypothèses!$W$10,IF(BZ306&lt;=Hypothèses!$V$11,Hypothèses!$W$11,IF(BZ306&lt;=Hypothèses!$V$12,Hypothèses!$W$12,IF(BZ306&lt;=Hypothèses!$V$13,Hypothèses!$W$13,IF(BZ306&lt;=Hypothèses!$V$14,Hypothèses!$W$14,IF(BZ306&lt;=Hypothèses!$V$15,Hypothèses!$W$15,IF(BZ306&lt;=Hypothèses!$V$16,Hypothèses!$W$16,IF(BZ306&lt;=Hypothèses!$V$17,Hypothèses!$W$17,IF(BZ306&lt;=Hypothèses!$V$18,Hypothèses!$W$18,""))))))))))))</f>
        <v>#DIV/0!</v>
      </c>
      <c r="CU306" s="87" t="e">
        <f t="shared" ca="1" si="520"/>
        <v>#DIV/0!</v>
      </c>
      <c r="CV306" s="88" t="e">
        <f ca="1">IF(BZ306&lt;=Hypothèses!$V$7,Hypothèses!$X$7,IF(BZ306&lt;=Hypothèses!$V$8,Hypothèses!$X$8,IF(BZ306&lt;=Hypothèses!$V$9,Hypothèses!$X$9,IF(BZ306&lt;=Hypothèses!$V$10,Hypothèses!$X$10,IF(BZ306&lt;=Hypothèses!$V$11,Hypothèses!$X$11,IF(BZ306&lt;=Hypothèses!$V$12,Hypothèses!$X$12,IF(BZ306&lt;=Hypothèses!$V$13,Hypothèses!$X$13,IF(BZ306&lt;=Hypothèses!$V$14,Hypothèses!$X$14,IF(BZ306&lt;=Hypothèses!$V$15,Hypothèses!$X$15,IF(BZ306&lt;=Hypothèses!$V$16,Hypothèses!$X$16,IF(BZ306&lt;=Hypothèses!$U$17,Hypothèses!$W$17,IF(BZ306&lt;=Hypothèses!$U$18,Hypothèses!$W$18,""))))))))))))</f>
        <v>#DIV/0!</v>
      </c>
      <c r="CW306" s="95" t="e">
        <f t="shared" ca="1" si="485"/>
        <v>#DIV/0!</v>
      </c>
      <c r="CX306" s="101" t="e">
        <f t="shared" si="527"/>
        <v>#N/A</v>
      </c>
      <c r="CY306" s="91" t="e">
        <f t="shared" si="454"/>
        <v>#N/A</v>
      </c>
      <c r="CZ306" s="30" t="e">
        <f t="shared" si="508"/>
        <v>#N/A</v>
      </c>
      <c r="DA306" s="30" t="e">
        <f t="shared" si="509"/>
        <v>#N/A</v>
      </c>
      <c r="DB306" s="31" t="e">
        <f>IF(OR(Hypothèses!$B$4=17,Hypothèses!$B$4=18,Hypothèses!$B$4=19,Hypothèses!$B$4=20),
IF($D306="Pressio.",
IF(OR($E306=3,$E306=1,$E306=4),DA306,CZ306),
IF($D306="Pénétro.",
IF(OR($E306=3,$E306=1,$E306=4),DA306,CZ306))),IF($D306="Pressio.",
IF($E306=3,DA306,CZ306),
IF($D306="Pénétro.",
IF($E306=4,DA306,CZ306))))</f>
        <v>#N/A</v>
      </c>
      <c r="DC306" s="31" t="e">
        <f>(IF(OR(Hypothèses!$B$4=17,Hypothèses!$B$4=18,Hypothèses!$B$4=19,Hypothèses!$B$4=20),
IF($D306="Pressio.",
IF(OR($E306=3,$E306=1,$E306=4),(PI()*DC$12^2)/4*(CY306*$W306*1000)/($H306*$B$5),(PI()*DC$12^2)/4*(CY306*$W306*1000)/($G306*$B$5)),
IF($D306="Pénétro.",
IF(OR($E306=4,$E306=1,$E306=5),(PI()*DC$12^2)/4*(CY306*$W306*1000)/($H306*$B$5),(PI()*DC$12^2)/4*(CY306*$W306*1000)/($G306*$B$5)))),
IF($D306="Pressio.",
IF($E306=3,(PI()*DC$12^2)/4*(CY306*$W306*1000)/($H306*$B$5),(PI()*DC$12^2)/4*(CY306*$W306*1000)/($G306*$B$5)),
IF($D306="Pénétro.",
IF($E306=4,(PI()*DC$12^2)/4*(CY306*$W306*1000)/($H306*$B$5),(PI()*DC$12^2)/4*(CY306*$W306*1000)/($G306*$B$5))))))/10</f>
        <v>#N/A</v>
      </c>
      <c r="DD306" s="102" t="e">
        <f>(VLOOKUP($B$3,'Coeff EC7'!$T$39:$X$59,2,0)*DB306+VLOOKUP($B$3,'Coeff EC7'!$T$65:$X$85,2,0)*Model0.1C!DC306)/1.1</f>
        <v>#N/A</v>
      </c>
      <c r="DE306" s="102" t="e">
        <f>(VLOOKUP($B$3,'Coeff EC7'!$T$39:$X$59,3,0)*DB306+VLOOKUP($B$3,'Coeff EC7'!$T$65:$X$85,3,0)*Model0.1C!DC306)/0.9</f>
        <v>#N/A</v>
      </c>
      <c r="DF306" s="102" t="e">
        <f t="shared" si="486"/>
        <v>#N/A</v>
      </c>
      <c r="DG306" s="102" t="e">
        <f t="shared" si="487"/>
        <v>#N/A</v>
      </c>
      <c r="DH306" s="414" t="e">
        <f>IF(DH305=0,0,IF(AND(DD306&gt;charge_ELS_quasi,DE306&gt;Charge_ELS_freq,DF306&gt;charge_ELU,DG306&gt;charge_ELA,$B306&gt;NDC!$H$22-0.1+MIN(3*$DH$12,1.5)),0,1))</f>
        <v>#N/A</v>
      </c>
      <c r="DI306" s="86" t="b">
        <f t="shared" si="455"/>
        <v>0</v>
      </c>
      <c r="DJ306" s="86">
        <f t="shared" si="456"/>
        <v>0.5</v>
      </c>
      <c r="DK306" s="86">
        <f t="shared" si="457"/>
        <v>0.5</v>
      </c>
      <c r="DL306" s="30" t="e">
        <f t="shared" ca="1" si="488"/>
        <v>#DIV/0!</v>
      </c>
      <c r="DM306" s="85" t="e">
        <f ca="1">IF(CS306&lt;=Hypothèses!$V$7,Hypothèses!$W$7,IF(CS306&lt;=Hypothèses!$V$8,Hypothèses!$W$8,IF(CS306&lt;=Hypothèses!$V$9,Hypothèses!$W$9,IF(CS306&lt;=Hypothèses!$V$10,Hypothèses!$W$10,IF(CS306&lt;=Hypothèses!$V$11,Hypothèses!$W$11,IF(CS306&lt;=Hypothèses!$V$12,Hypothèses!$W$12,IF(CS306&lt;=Hypothèses!$V$13,Hypothèses!$W$13,IF(CS306&lt;=Hypothèses!$V$14,Hypothèses!$W$14,IF(CS306&lt;=Hypothèses!$V$15,Hypothèses!$W$15,IF(CS306&lt;=Hypothèses!$V$16,Hypothèses!$W$16,IF(CS306&lt;=Hypothèses!$V$17,Hypothèses!$W$17,IF(CS306&lt;=Hypothèses!$V$18,Hypothèses!$W$18,""))))))))))))</f>
        <v>#DIV/0!</v>
      </c>
      <c r="DN306" s="87" t="e">
        <f t="shared" ca="1" si="521"/>
        <v>#DIV/0!</v>
      </c>
      <c r="DO306" s="88" t="e">
        <f ca="1">IF(CS306&lt;=Hypothèses!$V$7,Hypothèses!$X$7,IF(CS306&lt;=Hypothèses!$V$8,Hypothèses!$X$8,IF(CS306&lt;=Hypothèses!$V$9,Hypothèses!$X$9,IF(CS306&lt;=Hypothèses!$V$10,Hypothèses!$X$10,IF(CS306&lt;=Hypothèses!$V$11,Hypothèses!$X$11,IF(CS306&lt;=Hypothèses!$V$12,Hypothèses!$X$12,IF(CS306&lt;=Hypothèses!$V$13,Hypothèses!$X$13,IF(CS306&lt;=Hypothèses!$V$14,Hypothèses!$X$14,IF(CS306&lt;=Hypothèses!$V$15,Hypothèses!$X$15,IF(CS306&lt;=Hypothèses!$V$16,Hypothèses!$X$16,IF(CS306&lt;=Hypothèses!$U$17,Hypothèses!$W$17,IF(CS306&lt;=Hypothèses!$U$18,Hypothèses!$W$18,""))))))))))))</f>
        <v>#DIV/0!</v>
      </c>
      <c r="DP306" s="95" t="e">
        <f t="shared" ca="1" si="489"/>
        <v>#DIV/0!</v>
      </c>
      <c r="DQ306" s="101" t="e">
        <f t="shared" si="528"/>
        <v>#N/A</v>
      </c>
      <c r="DR306" s="91" t="e">
        <f t="shared" si="458"/>
        <v>#N/A</v>
      </c>
      <c r="DS306" s="30" t="e">
        <f t="shared" si="510"/>
        <v>#N/A</v>
      </c>
      <c r="DT306" s="30" t="e">
        <f t="shared" si="511"/>
        <v>#N/A</v>
      </c>
      <c r="DU306" s="31" t="e">
        <f>IF(OR(Hypothèses!$B$4=17,Hypothèses!$B$4=18,Hypothèses!$B$4=19,Hypothèses!$B$4=20),
IF($D306="Pressio.",
IF(OR($E306=3,$E306=1,$E306=4),DT306,DS306),
IF($D306="Pénétro.",
IF(OR($E306=3,$E306=1,$E306=4),DT306,DS306))),IF($D306="Pressio.",
IF($E306=3,DT306,DS306),
IF($D306="Pénétro.",
IF($E306=4,DT306,DS306))))</f>
        <v>#N/A</v>
      </c>
      <c r="DV306" s="31" t="e">
        <f>(IF(OR(Hypothèses!$B$4=17,Hypothèses!$B$4=18,Hypothèses!$B$4=19,Hypothèses!$B$4=20),
IF($D306="Pressio.",
IF(OR($E306=3,$E306=1,$E306=4),(PI()*DV$12^2)/4*(DR306*$W306*1000)/($H306*$B$5),(PI()*DV$12^2)/4*(DR306*$W306*1000)/($G306*$B$5)),
IF($D306="Pénétro.",
IF(OR($E306=4,$E306=1,$E306=5),(PI()*DV$12^2)/4*(DR306*$W306*1000)/($H306*$B$5),(PI()*DV$12^2)/4*(DR306*$W306*1000)/($G306*$B$5)))),
IF($D306="Pressio.",
IF($E306=3,(PI()*DV$12^2)/4*(DR306*$W306*1000)/($H306*$B$5),(PI()*DV$12^2)/4*(DR306*$W306*1000)/($G306*$B$5)),
IF($D306="Pénétro.",
IF($E306=4,(PI()*DV$12^2)/4*(DR306*$W306*1000)/($H306*$B$5),(PI()*DV$12^2)/4*(DR306*$W306*1000)/($G306*$B$5))))))/10</f>
        <v>#N/A</v>
      </c>
      <c r="DW306" s="102" t="e">
        <f>(VLOOKUP($B$3,'Coeff EC7'!$T$39:$X$59,2,0)*DU306+VLOOKUP($B$3,'Coeff EC7'!$T$65:$X$85,2,0)*Model0.1C!DV306)/1.1</f>
        <v>#N/A</v>
      </c>
      <c r="DX306" s="102" t="e">
        <f>(VLOOKUP($B$3,'Coeff EC7'!$T$39:$X$59,3,0)*DU306+VLOOKUP($B$3,'Coeff EC7'!$T$65:$X$85,3,0)*Model0.1C!DV306)/0.9</f>
        <v>#N/A</v>
      </c>
      <c r="DY306" s="102" t="e">
        <f t="shared" si="490"/>
        <v>#N/A</v>
      </c>
      <c r="DZ306" s="102" t="e">
        <f t="shared" si="491"/>
        <v>#N/A</v>
      </c>
      <c r="EA306" s="414" t="e">
        <f>IF(EA305=0,0,IF(AND(DW306&gt;charge_ELS_quasi,DX306&gt;Charge_ELS_freq,DY306&gt;charge_ELU,DZ306&gt;charge_ELA,$B306&gt;NDC!$H$22-0.1+MIN(3*$EA$12,1.5)),0,1))</f>
        <v>#N/A</v>
      </c>
      <c r="EB306" s="86" t="b">
        <f t="shared" si="459"/>
        <v>0</v>
      </c>
      <c r="EC306" s="418">
        <f t="shared" si="460"/>
        <v>0.51</v>
      </c>
      <c r="ED306" s="86">
        <f t="shared" si="461"/>
        <v>0.51</v>
      </c>
      <c r="EE306" s="30" t="e">
        <f t="shared" ca="1" si="492"/>
        <v>#DIV/0!</v>
      </c>
      <c r="EF306" s="85" t="e">
        <f ca="1">IF(DL306&lt;=Hypothèses!$V$7,Hypothèses!$W$7,IF(DL306&lt;=Hypothèses!$V$8,Hypothèses!$W$8,IF(DL306&lt;=Hypothèses!$V$9,Hypothèses!$W$9,IF(DL306&lt;=Hypothèses!$V$10,Hypothèses!$W$10,IF(DL306&lt;=Hypothèses!$V$11,Hypothèses!$W$11,IF(DL306&lt;=Hypothèses!$V$12,Hypothèses!$W$12,IF(DL306&lt;=Hypothèses!$V$13,Hypothèses!$W$13,IF(DL306&lt;=Hypothèses!$V$14,Hypothèses!$W$14,IF(DL306&lt;=Hypothèses!$V$15,Hypothèses!$W$15,IF(DL306&lt;=Hypothèses!$V$16,Hypothèses!$W$16,IF(DL306&lt;=Hypothèses!$V$17,Hypothèses!$W$17,IF(DL306&lt;=Hypothèses!$V$18,Hypothèses!$W$18,""))))))))))))</f>
        <v>#DIV/0!</v>
      </c>
      <c r="EG306" s="87" t="e">
        <f t="shared" ca="1" si="522"/>
        <v>#DIV/0!</v>
      </c>
      <c r="EH306" s="88" t="e">
        <f ca="1">IF(DL306&lt;=Hypothèses!$V$7,Hypothèses!$X$7,IF(DL306&lt;=Hypothèses!$V$8,Hypothèses!$X$8,IF(DL306&lt;=Hypothèses!$V$9,Hypothèses!$X$9,IF(DL306&lt;=Hypothèses!$V$10,Hypothèses!$X$10,IF(DL306&lt;=Hypothèses!$V$11,Hypothèses!$X$11,IF(DL306&lt;=Hypothèses!$V$12,Hypothèses!$X$12,IF(DL306&lt;=Hypothèses!$V$13,Hypothèses!$X$13,IF(DL306&lt;=Hypothèses!$V$14,Hypothèses!$X$14,IF(DL306&lt;=Hypothèses!$V$15,Hypothèses!$X$15,IF(DL306&lt;=Hypothèses!$V$16,Hypothèses!$X$16,IF(DL306&lt;=Hypothèses!$U$17,Hypothèses!$W$17,IF(DL306&lt;=Hypothèses!$U$18,Hypothèses!$W$18,""))))))))))))</f>
        <v>#DIV/0!</v>
      </c>
      <c r="EI306" s="95" t="e">
        <f t="shared" ca="1" si="493"/>
        <v>#DIV/0!</v>
      </c>
      <c r="EJ306" s="101" t="e">
        <f t="shared" si="529"/>
        <v>#N/A</v>
      </c>
      <c r="EK306" s="91" t="e">
        <f t="shared" si="462"/>
        <v>#N/A</v>
      </c>
      <c r="EL306" s="30" t="e">
        <f t="shared" si="512"/>
        <v>#N/A</v>
      </c>
      <c r="EM306" s="30" t="e">
        <f t="shared" si="513"/>
        <v>#N/A</v>
      </c>
      <c r="EN306" s="31" t="e">
        <f>IF(OR(Hypothèses!$B$4=17,Hypothèses!$B$4=18,Hypothèses!$B$4=19,Hypothèses!$B$4=20),
IF($D306="Pressio.",
IF(OR($E306=3,$E306=1,$E306=4),EM306,EL306),
IF($D306="Pénétro.",
IF(OR($E306=3,$E306=1,$E306=4),EM306,EL306))),IF($D306="Pressio.",
IF($E306=3,EM306,EL306),
IF($D306="Pénétro.",
IF($E306=4,EM306,EL306))))</f>
        <v>#N/A</v>
      </c>
      <c r="EO306" s="31" t="e">
        <f>(IF(OR(Hypothèses!$B$4=17,Hypothèses!$B$4=18,Hypothèses!$B$4=19,Hypothèses!$B$4=20),
IF($D306="Pressio.",
IF(OR($E306=3,$E306=1,$E306=4),(PI()*EO$12^2)/4*(EK306*$W306*1000)/($H306*$B$5),(PI()*EO$12^2)/4*(EK306*$W306*1000)/($G306*$B$5)),
IF($D306="Pénétro.",
IF(OR($E306=4,$E306=1,$E306=5),(PI()*EO$12^2)/4*(EK306*$W306*1000)/($H306*$B$5),(PI()*EO$12^2)/4*(EK306*$W306*1000)/($G306*$B$5)))),
IF($D306="Pressio.",
IF($E306=3,(PI()*EO$12^2)/4*(EK306*$W306*1000)/($H306*$B$5),(PI()*EO$12^2)/4*(EK306*$W306*1000)/($G306*$B$5)),
IF($D306="Pénétro.",
IF($E306=4,(PI()*EO$12^2)/4*(EK306*$W306*1000)/($H306*$B$5),(PI()*EO$12^2)/4*(EK306*$W306*1000)/($G306*$B$5))))))/10</f>
        <v>#N/A</v>
      </c>
      <c r="EP306" s="102" t="e">
        <f>(VLOOKUP($B$3,'Coeff EC7'!$T$39:$X$59,2,0)*EN306+VLOOKUP($B$3,'Coeff EC7'!$T$65:$X$85,2,0)*Model0.1C!EO306)/1.1</f>
        <v>#N/A</v>
      </c>
      <c r="EQ306" s="102" t="e">
        <f>(VLOOKUP($B$3,'Coeff EC7'!$T$39:$X$59,3,0)*EN306+VLOOKUP($B$3,'Coeff EC7'!$T$65:$X$85,3,0)*Model0.1C!EO306)/0.9</f>
        <v>#N/A</v>
      </c>
      <c r="ER306" s="102" t="e">
        <f t="shared" si="494"/>
        <v>#N/A</v>
      </c>
      <c r="ES306" s="102" t="e">
        <f t="shared" si="495"/>
        <v>#N/A</v>
      </c>
      <c r="ET306" s="414" t="e">
        <f>IF(ET305=0,0,IF(AND(EP306&gt;charge_ELS_quasi,EQ306&gt;Charge_ELS_freq,ER306&gt;charge_ELU,ES306&gt;charge_ELA,$B306&gt;NDC!$H$22-0.1+MIN(3*$ET$12,1.5)),0,1))</f>
        <v>#N/A</v>
      </c>
      <c r="EU306" s="86" t="b">
        <f t="shared" si="463"/>
        <v>0</v>
      </c>
      <c r="EV306" s="86">
        <f t="shared" si="464"/>
        <v>0.61</v>
      </c>
      <c r="EW306" s="86">
        <f t="shared" si="465"/>
        <v>0.61</v>
      </c>
      <c r="EX306" s="30" t="e">
        <f t="shared" ca="1" si="496"/>
        <v>#DIV/0!</v>
      </c>
      <c r="EY306" s="85" t="e">
        <f ca="1">IF(EE306&lt;=Hypothèses!$V$7,Hypothèses!$W$7,IF(EE306&lt;=Hypothèses!$V$8,Hypothèses!$W$8,IF(EE306&lt;=Hypothèses!$V$9,Hypothèses!$W$9,IF(EE306&lt;=Hypothèses!$V$10,Hypothèses!$W$10,IF(EE306&lt;=Hypothèses!$V$11,Hypothèses!$W$11,IF(EE306&lt;=Hypothèses!$V$12,Hypothèses!$W$12,IF(EE306&lt;=Hypothèses!$V$13,Hypothèses!$W$13,IF(EE306&lt;=Hypothèses!$V$14,Hypothèses!$W$14,IF(EE306&lt;=Hypothèses!$V$15,Hypothèses!$W$15,IF(EE306&lt;=Hypothèses!$V$16,Hypothèses!$W$16,IF(EE306&lt;=Hypothèses!$V$17,Hypothèses!$W$17,IF(EE306&lt;=Hypothèses!$V$18,Hypothèses!$W$18,""))))))))))))</f>
        <v>#DIV/0!</v>
      </c>
      <c r="EZ306" s="87" t="e">
        <f t="shared" ca="1" si="523"/>
        <v>#DIV/0!</v>
      </c>
      <c r="FA306" s="88" t="e">
        <f ca="1">IF(EE306&lt;=Hypothèses!$V$7,Hypothèses!$X$7,IF(EE306&lt;=Hypothèses!$V$8,Hypothèses!$X$8,IF(EE306&lt;=Hypothèses!$V$9,Hypothèses!$X$9,IF(EE306&lt;=Hypothèses!$V$10,Hypothèses!$X$10,IF(EE306&lt;=Hypothèses!$V$11,Hypothèses!$X$11,IF(EE306&lt;=Hypothèses!$V$12,Hypothèses!$X$12,IF(EE306&lt;=Hypothèses!$V$13,Hypothèses!$X$13,IF(EE306&lt;=Hypothèses!$V$14,Hypothèses!$X$14,IF(EE306&lt;=Hypothèses!$V$15,Hypothèses!$X$15,IF(EE306&lt;=Hypothèses!$V$16,Hypothèses!$X$16,IF(EE306&lt;=Hypothèses!$U$17,Hypothèses!$W$17,IF(EE306&lt;=Hypothèses!$U$18,Hypothèses!$W$18,""))))))))))))</f>
        <v>#DIV/0!</v>
      </c>
      <c r="FB306" s="95" t="e">
        <f t="shared" ca="1" si="497"/>
        <v>#DIV/0!</v>
      </c>
      <c r="FC306" s="101" t="e">
        <f t="shared" si="530"/>
        <v>#N/A</v>
      </c>
      <c r="FD306" s="91" t="e">
        <f t="shared" si="466"/>
        <v>#N/A</v>
      </c>
      <c r="FE306" s="30" t="e">
        <f t="shared" si="514"/>
        <v>#N/A</v>
      </c>
      <c r="FF306" s="30" t="e">
        <f t="shared" si="515"/>
        <v>#N/A</v>
      </c>
      <c r="FG306" s="31" t="e">
        <f>IF(OR(Hypothèses!$B$4=17,Hypothèses!$B$4=18,Hypothèses!$B$4=19,Hypothèses!$B$4=20),
IF($D306="Pressio.",
IF(OR($E306=3,$E306=1,$E306=4),FF306,FE306),
IF($D306="Pénétro.",
IF(OR($E306=3,$E306=1,$E306=4),FF306,FE306))),IF($D306="Pressio.",
IF($E306=3,FF306,FE306),
IF($D306="Pénétro.",
IF($E306=4,FF306,FE306))))</f>
        <v>#N/A</v>
      </c>
      <c r="FH306" s="31" t="e">
        <f>(IF(OR(Hypothèses!$B$4=17,Hypothèses!$B$4=18,Hypothèses!$B$4=19,Hypothèses!$B$4=20),
IF($D306="Pressio.",
IF(OR($E306=3,$E306=1,$E306=4),(PI()*FH$12^2)/4*(FD306*$W306*1000)/($H306*$B$5),(PI()*FH$12^2)/4*(FD306*$W306*1000)/($G306*$B$5)),
IF($D306="Pénétro.",
IF(OR($E306=4,$E306=1,$E306=5),(PI()*FH$12^2)/4*(FD306*$W306*1000)/($H306*$B$5),(PI()*FH$12^2)/4*(FD306*$W306*1000)/($G306*$B$5)))),
IF($D306="Pressio.",
IF($E306=3,(PI()*FH$12^2)/4*(FD306*$W306*1000)/($H306*$B$5),(PI()*FH$12^2)/4*(FD306*$W306*1000)/($G306*$B$5)),
IF($D306="Pénétro.",
IF($E306=4,(PI()*FH$12^2)/4*(FD306*$W306*1000)/($H306*$B$5),(PI()*FH$12^2)/4*(FD306*$W306*1000)/($G306*$B$5))))))/10</f>
        <v>#N/A</v>
      </c>
      <c r="FI306" s="102" t="e">
        <f>(VLOOKUP($B$3,'Coeff EC7'!$T$39:$X$59,2,0)*FG306+VLOOKUP($B$3,'Coeff EC7'!$T$65:$X$85,2,0)*Model0.1C!FH306)/1.1</f>
        <v>#N/A</v>
      </c>
      <c r="FJ306" s="102" t="e">
        <f>(VLOOKUP($B$3,'Coeff EC7'!$T$39:$X$59,3,0)*FG306+VLOOKUP($B$3,'Coeff EC7'!$T$65:$X$85,3,0)*Model0.1C!FH306)/0.9</f>
        <v>#N/A</v>
      </c>
      <c r="FK306" s="102" t="e">
        <f t="shared" si="498"/>
        <v>#N/A</v>
      </c>
      <c r="FL306" s="102" t="e">
        <f t="shared" si="499"/>
        <v>#N/A</v>
      </c>
      <c r="FM306" s="414" t="e">
        <f>IF(FM305=0,0,IF(AND(FI306&gt;charge_ELS_quasi,FJ306&gt;Charge_ELS_freq,FK306&gt;charge_ELU,FL306&gt;charge_ELA,$B306&gt;NDC!$H$22-0.1+MIN(3*$FM$12,1.5)),0,1))</f>
        <v>#N/A</v>
      </c>
    </row>
    <row r="307" spans="1:169">
      <c r="A307" s="96">
        <f t="shared" si="467"/>
        <v>70.600000000001671</v>
      </c>
      <c r="B307" s="97">
        <v>29.4</v>
      </c>
      <c r="C307" s="81">
        <f>IF(B307&lt;=Hypothèses!$C$7,Hypothèses!$A$7,IF(B307&lt;=Hypothèses!$C$8,Hypothèses!$A$8,IF(B307&lt;=Hypothèses!$C$9,Hypothèses!$A$9,IF(B307&lt;=Hypothèses!$C$10,Hypothèses!$A$10,IF(B307&lt;=Hypothèses!$C$11,Hypothèses!$A$11,IF(B307&lt;=Hypothèses!$C$12,Hypothèses!$A$12,IF(B307&lt;=Hypothèses!$C$13,Hypothèses!$A$13,IF(B307&lt;=Hypothèses!$C$14,Hypothèses!$A$14,IF(B307&lt;=Hypothèses!$C$15,Hypothèses!$A$15,IF(B307&lt;=Hypothèses!$C$16,Hypothèses!$A$16,IF(B307&lt;=Hypothèses!$C$17,Hypothèses!$A$17,IF(B307&lt;=Hypothèses!$C$18,Hypothèses!$A$18,C306))))))))))))</f>
        <v>11</v>
      </c>
      <c r="D307" s="82" t="str">
        <f>IF(B307&lt;=Hypothèses!$C$7,Hypothèses!$R$7,IF(B307&lt;=Hypothèses!$C$8,Hypothèses!$R$8,IF(B307&lt;=Hypothèses!$C$9,Hypothèses!$R$9,IF(B307&lt;=Hypothèses!$C$10,Hypothèses!$R$10,IF(B307&lt;=Hypothèses!$C$11,Hypothèses!$R$11,IF(B307&lt;=Hypothèses!$C$12,Hypothèses!$R$12,IF(B307&lt;=Hypothèses!$C$13,Hypothèses!$R$13,IF(B307&lt;=Hypothèses!$C$14,Hypothèses!$R$14,IF(B307&lt;=Hypothèses!$C$15,Hypothèses!$R$15,IF(B307&lt;=Hypothèses!$C$16,Hypothèses!$R$16,IF(B307&lt;=Hypothèses!$C$17,Hypothèses!$R$17,IF(B307&lt;=Hypothèses!$C$18,Hypothèses!$R$18,D306))))))))))))</f>
        <v>Pressio.</v>
      </c>
      <c r="E307" s="82" t="e">
        <f>IF(B307&lt;=Hypothèses!$C$7,Hypothèses!$G$7,IF(B307&lt;=Hypothèses!$C$8,Hypothèses!$G$8,IF(B307&lt;=Hypothèses!$C$9,Hypothèses!$G$9,IF(B307&lt;=Hypothèses!$C$10,Hypothèses!$G$10,IF(B307&lt;=Hypothèses!$C$11,Hypothèses!$G$11,IF(B307&lt;=Hypothèses!$C$12,Hypothèses!$G$12,IF(B307&lt;=Hypothèses!$C$13,Hypothèses!$G$13,IF(B307&lt;=Hypothèses!$C$14,Hypothèses!$G$14,IF(B307&lt;=Hypothèses!$C$15,Hypothèses!$G$15,IF(B307&lt;=Hypothèses!$C$16,Hypothèses!$G$16,IF(B307&lt;=Hypothèses!$C$17,Hypothèses!$G$17,IF(B307&lt;=Hypothèses!$C$18,Hypothèses!$G$18,E306))))))))))))</f>
        <v>#N/A</v>
      </c>
      <c r="F307" s="82" t="str">
        <f>IF(B307&lt;=Hypothèses!$C$7,Hypothèses!$F$7,IF(B307&lt;=Hypothèses!$C$8,Hypothèses!$F$8,IF(B307&lt;=Hypothèses!$C$9,Hypothèses!$F$9,IF(B307&lt;=Hypothèses!$C$10,Hypothèses!$F$10,IF(B307&lt;=Hypothèses!$C$11,Hypothèses!$F$11,IF(B307&lt;=Hypothèses!$C$12,Hypothèses!$F$12,IF(B307&lt;=Hypothèses!$C$13,Hypothèses!$F$13,IF(B307&lt;=Hypothèses!$C$14,Hypothèses!$F$14,IF(B307&lt;=Hypothèses!$C$15,Hypothèses!$F$15,IF(B307&lt;=Hypothèses!$C$16,Hypothèses!$F$16,IF(B307&lt;=Hypothèses!$C$17,Hypothèses!$F$17,IF(B307&lt;=Hypothèses!$C$18,Hypothèses!$F$18,F306))))))))))))</f>
        <v/>
      </c>
      <c r="G307" s="91">
        <f t="array" ref="G307">INDEX('Coeff EC7'!$U$7:$X$27,
MATCH(Model0.1C!$B$3,'Coeff EC7'!$T$7:$T$27,0),
MATCH(Model0.1C!$D307&amp;Model0.1C!$B$4,
'Coeff EC7'!$U$6:$X$6&amp;
'Coeff EC7'!$U$5:$X$5,0))</f>
        <v>1.1499999999999999</v>
      </c>
      <c r="H307" s="91">
        <f t="array" ref="H307">INDEX('Coeff EC7'!$Y$7:$AB$27,
MATCH(Model0.1C!$B$3,'Coeff EC7'!$T$7:$T$27,0),
MATCH(Model0.1C!$D307&amp;Model0.1C!$B$4,
'Coeff EC7'!$Y$6:$AB$6&amp;
'Coeff EC7'!$Y$5:$AB$5,0))</f>
        <v>1.4</v>
      </c>
      <c r="I307" s="83" t="e">
        <f>IF(B307&lt;=Hypothèses!$C$7,Hypothèses!$P$7,IF(B307&lt;=Hypothèses!$C$8,Hypothèses!$P$8,IF(B307&lt;=Hypothèses!$C$9,Hypothèses!$P$9,IF(B307&lt;=Hypothèses!$C$10,Hypothèses!$P$10,IF(B307&lt;=Hypothèses!$C$11,Hypothèses!$P$11,IF(B307&lt;=Hypothèses!$C$12,Hypothèses!$P$12,IF(B307&lt;=Hypothèses!$C$13,Hypothèses!$P$13,IF(B307&lt;=Hypothèses!$C$14,Hypothèses!$P$14,IF(B307&lt;=Hypothèses!$C$15,Hypothèses!$P$15,IF(B307&lt;=Hypothèses!$C$16,Hypothèses!$P$16,IF(B307&lt;=Hypothèses!$C$17,Hypothèses!$P$17,IF(B307&lt;=Hypothèses!$C$18,Hypothèses!$P$18,I306))))))))))))</f>
        <v>#N/A</v>
      </c>
      <c r="J307" s="91" t="e">
        <f t="array" ref="J307">INDEX('Coeff EC7'!$D$33:$Q$33,1,MATCH(D307&amp;E307,'Coeff EC7'!$D$31:$Q$31&amp;'Coeff EC7'!$D$32:$Q$32,0))</f>
        <v>#N/A</v>
      </c>
      <c r="K307" s="91" t="e">
        <f t="array" ref="K307">INDEX('Coeff EC7'!$D$34:$Q$34,1,MATCH(D307&amp;E307,'Coeff EC7'!$D$31:$Q$31&amp;'Coeff EC7'!$D$32:$Q$32,0))</f>
        <v>#N/A</v>
      </c>
      <c r="L307" s="91" t="e">
        <f t="array" ref="L307">INDEX('Coeff EC7'!$D$35:$Q$35,1,MATCH(D307&amp;E307,'Coeff EC7'!$D$31:$Q$31&amp;'Coeff EC7'!$D$32:$Q$32,0))</f>
        <v>#N/A</v>
      </c>
      <c r="M307" s="98" t="e">
        <f t="shared" si="431"/>
        <v>#N/A</v>
      </c>
      <c r="N307" s="99" t="e">
        <f t="array" ref="N307">INDEX('Coeff EC7'!$D$7:$Q$27,MATCH($B$3,'Coeff EC7'!$C$7:$C$27,0),MATCH(D307&amp;E307,'Coeff EC7'!$D$5:$Q$5&amp;'Coeff EC7'!$D$6:$Q$6,0))</f>
        <v>#N/A</v>
      </c>
      <c r="O307" s="99" t="e">
        <f t="array" ref="O307">INDEX('Coeff EC7'!$D$41:$Q$61,MATCH($B$3,'Coeff EC7'!$C$41:$C$61,0),MATCH(D307&amp;E307,'Coeff EC7'!$D$39:$Q$39&amp;'Coeff EC7'!$D$40:$Q$40,0))</f>
        <v>#N/A</v>
      </c>
      <c r="P307" s="30" t="e">
        <f t="shared" si="468"/>
        <v>#N/A</v>
      </c>
      <c r="Q307" s="100" t="e">
        <f t="shared" si="433"/>
        <v>#N/A</v>
      </c>
      <c r="R307" s="86" t="b">
        <f t="shared" si="434"/>
        <v>0</v>
      </c>
      <c r="S307" s="86">
        <f t="shared" si="432"/>
        <v>0.5</v>
      </c>
      <c r="T307" s="86">
        <f t="shared" si="435"/>
        <v>0.5</v>
      </c>
      <c r="U307" s="30" t="e">
        <f t="shared" ca="1" si="469"/>
        <v>#DIV/0!</v>
      </c>
      <c r="V307" s="85" t="str">
        <f>IF(B307&lt;=Hypothèses!$V$7,Hypothèses!$W$7,IF(B307&lt;=Hypothèses!$V$8,Hypothèses!$W$8,IF(B307&lt;=Hypothèses!$V$9,Hypothèses!$W$9,IF(B307&lt;=Hypothèses!$V$10,Hypothèses!$W$10,IF(B307&lt;=Hypothèses!$V$11,Hypothèses!$W$11,IF(B307&lt;=Hypothèses!$V$12,Hypothèses!$W$12,IF(B307&lt;=Hypothèses!$V$13,Hypothèses!$W$13,IF(B307&lt;=Hypothèses!$V$14,Hypothèses!$W$14,IF(B307&lt;=Hypothèses!$V$15,Hypothèses!$W$15,IF(B307&lt;=Hypothèses!$V$16,Hypothèses!$W$16,IF(B307&lt;=Hypothèses!$V$17,Hypothèses!$W$17,IF(B307&lt;=Hypothèses!$V$18,Hypothèses!$W$18,""))))))))))))</f>
        <v/>
      </c>
      <c r="W307" s="87" t="e">
        <f t="shared" ca="1" si="516"/>
        <v>#DIV/0!</v>
      </c>
      <c r="X307" s="88" t="str">
        <f>IF(B307&lt;=Hypothèses!$V$7,Hypothèses!$X$7,IF(B307&lt;=Hypothèses!$V$8,Hypothèses!$X$8,IF(B307&lt;=Hypothèses!$V$9,Hypothèses!$X$9,IF(B307&lt;=Hypothèses!$V$10,Hypothèses!$X$10,IF(B307&lt;=Hypothèses!$V$11,Hypothèses!$X$11,IF(B307&lt;=Hypothèses!$V$12,Hypothèses!$X$12,IF(B307&lt;=Hypothèses!$V$13,Hypothèses!$X$13,IF(B307&lt;=Hypothèses!$V$14,Hypothèses!$X$14,IF(B307&lt;=Hypothèses!$V$15,Hypothèses!$X$15,IF(B307&lt;=Hypothèses!$V$16,Hypothèses!$X$16,IF(B307&lt;=Hypothèses!$U$17,Hypothèses!$W$17,IF(B307&lt;=Hypothèses!$U$18,Hypothèses!$W$18,""))))))))))))</f>
        <v/>
      </c>
      <c r="Y307" s="95" t="e">
        <f t="shared" ca="1" si="436"/>
        <v>#DIV/0!</v>
      </c>
      <c r="Z307" s="101" t="e">
        <f t="shared" si="437"/>
        <v>#N/A</v>
      </c>
      <c r="AA307" s="91" t="e">
        <f t="shared" si="438"/>
        <v>#N/A</v>
      </c>
      <c r="AB307" s="30" t="e">
        <f t="shared" si="500"/>
        <v>#N/A</v>
      </c>
      <c r="AC307" s="30" t="e">
        <f t="shared" si="501"/>
        <v>#N/A</v>
      </c>
      <c r="AD307" s="31" t="e">
        <f>IF(OR(Hypothèses!$B$4=17,Hypothèses!$B$4=18,Hypothèses!$B$4=19,Hypothèses!$B$4=20),
IF($D307="Pressio.",
IF(OR($E307=3,$E307=1,$E307=4),AC307,AB307),
IF($D307="Pénétro.",
IF(OR($E307=3,$E307=1,$E307=4),AC307,AB307))),IF($D307="Pressio.",
IF($E307=3,AC307,AB307),
IF($D307="Pénétro.",
IF($E307=4,AC307,AB307))))</f>
        <v>#N/A</v>
      </c>
      <c r="AE307" s="31" t="e">
        <f>(IF(OR(Hypothèses!$B$4=17,Hypothèses!$B$4=18,Hypothèses!$B$4=19,Hypothèses!$B$4=20),
IF($D307="Pressio.",
IF(OR($E307=3,$E307=1,$E307=4),(PI()*AE$12^2)/4*(AA307*$W307*1000)/($H307*$B$5),(PI()*AE$12^2)/4*(AA307*$W307*1000)/($G307*$B$5)),
IF($D307="Pénétro.",
IF(OR($E307=4,$E307=1,$E307=5),(PI()*AE$12^2)/4*(AA307*$W307*1000)/($H307*$B$5),(PI()*AE$12^2)/4*(AA307*$W307*1000)/($G307*$B$5)))),
IF($D307="Pressio.",
IF($E307=3,(PI()*AE$12^2)/4*(AA307*$W307*1000)/($H307*$B$5),(PI()*AE$12^2)/4*(AA307*$W307*1000)/($G307*$B$5)),
IF($D307="Pénétro.",
IF($E307=4,(PI()*AE$12^2)/4*(AA307*$W307*1000)/($H307*$B$5),(PI()*AE$12^2)/4*(AA307*$W307*1000)/($G307*$B$5))))))/10</f>
        <v>#N/A</v>
      </c>
      <c r="AF307" s="102" t="e">
        <f>(VLOOKUP($B$3,'Coeff EC7'!$T$39:$X$59,2,0)*AD307+VLOOKUP($B$3,'Coeff EC7'!$T$65:$X$85,2,0)*Model0.1C!AE307)/1.1</f>
        <v>#N/A</v>
      </c>
      <c r="AG307" s="102" t="e">
        <f>(VLOOKUP($B$3,'Coeff EC7'!$T$39:$X$59,3,0)*AD307+VLOOKUP($B$3,'Coeff EC7'!$T$65:$X$85,3,0)*Model0.1C!AE307)/0.9</f>
        <v>#N/A</v>
      </c>
      <c r="AH307" s="102" t="e">
        <f t="shared" si="439"/>
        <v>#N/A</v>
      </c>
      <c r="AI307" s="102" t="e">
        <f t="shared" si="440"/>
        <v>#N/A</v>
      </c>
      <c r="AJ307" s="414" t="e">
        <f>IF(AJ306=0,0,IF(AND(AF307&gt;charge_ELS_quasi,AG307&gt;Charge_ELS_freq,AH307&gt;charge_ELU,AI307&gt;charge_ELA,$B307&gt;NDC!$H$22-0.1+MIN(3*$AJ$12,1.5)),0,1))</f>
        <v>#N/A</v>
      </c>
      <c r="AK307" s="86" t="b">
        <f t="shared" si="441"/>
        <v>0</v>
      </c>
      <c r="AL307" s="86">
        <f t="shared" si="470"/>
        <v>0.5</v>
      </c>
      <c r="AM307" s="86">
        <f t="shared" si="442"/>
        <v>0.5</v>
      </c>
      <c r="AN307" s="30" t="e">
        <f t="shared" ca="1" si="471"/>
        <v>#DIV/0!</v>
      </c>
      <c r="AO307" s="85" t="e">
        <f ca="1">IF(U307&lt;=Hypothèses!$V$7,Hypothèses!$W$7,IF(U307&lt;=Hypothèses!$V$8,Hypothèses!$W$8,IF(U307&lt;=Hypothèses!$V$9,Hypothèses!$W$9,IF(U307&lt;=Hypothèses!$V$10,Hypothèses!$W$10,IF(U307&lt;=Hypothèses!$V$11,Hypothèses!$W$11,IF(U307&lt;=Hypothèses!$V$12,Hypothèses!$W$12,IF(U307&lt;=Hypothèses!$V$13,Hypothèses!$W$13,IF(U307&lt;=Hypothèses!$V$14,Hypothèses!$W$14,IF(U307&lt;=Hypothèses!$V$15,Hypothèses!$W$15,IF(U307&lt;=Hypothèses!$V$16,Hypothèses!$W$16,IF(U307&lt;=Hypothèses!$V$17,Hypothèses!$W$17,IF(U307&lt;=Hypothèses!$V$18,Hypothèses!$W$18,""))))))))))))</f>
        <v>#DIV/0!</v>
      </c>
      <c r="AP307" s="87" t="e">
        <f t="shared" ca="1" si="517"/>
        <v>#DIV/0!</v>
      </c>
      <c r="AQ307" s="88" t="e">
        <f ca="1">IF(U307&lt;=Hypothèses!$V$7,Hypothèses!$X$7,IF(U307&lt;=Hypothèses!$V$8,Hypothèses!$X$8,IF(U307&lt;=Hypothèses!$V$9,Hypothèses!$X$9,IF(U307&lt;=Hypothèses!$V$10,Hypothèses!$X$10,IF(U307&lt;=Hypothèses!$V$11,Hypothèses!$X$11,IF(U307&lt;=Hypothèses!$V$12,Hypothèses!$X$12,IF(U307&lt;=Hypothèses!$V$13,Hypothèses!$X$13,IF(U307&lt;=Hypothèses!$V$14,Hypothèses!$X$14,IF(U307&lt;=Hypothèses!$V$15,Hypothèses!$X$15,IF(U307&lt;=Hypothèses!$V$16,Hypothèses!$X$16,IF(U307&lt;=Hypothèses!$U$17,Hypothèses!$W$17,IF(U307&lt;=Hypothèses!$U$18,Hypothèses!$W$18,""))))))))))))</f>
        <v>#DIV/0!</v>
      </c>
      <c r="AR307" s="95" t="e">
        <f t="shared" ca="1" si="472"/>
        <v>#DIV/0!</v>
      </c>
      <c r="AS307" s="101" t="e">
        <f t="shared" si="524"/>
        <v>#N/A</v>
      </c>
      <c r="AT307" s="91" t="e">
        <f t="shared" si="443"/>
        <v>#N/A</v>
      </c>
      <c r="AU307" s="30" t="e">
        <f t="shared" si="502"/>
        <v>#N/A</v>
      </c>
      <c r="AV307" s="30" t="e">
        <f t="shared" si="503"/>
        <v>#N/A</v>
      </c>
      <c r="AW307" s="31" t="e">
        <f>IF(OR(Hypothèses!$B$4=17,Hypothèses!$B$4=18,Hypothèses!$B$4=19,Hypothèses!$B$4=20),
IF($D307="Pressio.",
IF(OR($E307=3,$E307=1,$E307=4),AV307,AU307),
IF($D307="Pénétro.",
IF(OR($E307=3,$E307=1,$E307=4),AV307,AU307))),IF($D307="Pressio.",
IF($E307=3,AV307,AU307),
IF($D307="Pénétro.",
IF($E307=4,AV307,AU307))))</f>
        <v>#N/A</v>
      </c>
      <c r="AX307" s="31" t="e">
        <f>(IF(OR(Hypothèses!$B$4=17,Hypothèses!$B$4=18,Hypothèses!$B$4=19,Hypothèses!$B$4=20),
IF($D307="Pressio.",
IF(OR($E307=3,$E307=1,$E307=4),(PI()*AX$12^2)/4*(AT307*$W307*1000)/($H307*$B$5),(PI()*AX$12^2)/4*(AT307*$W307*1000)/($G307*$B$5)),
IF($D307="Pénétro.",
IF(OR($E307=4,$E307=1,$E307=5),(PI()*AX$12^2)/4*(AT307*$W307*1000)/($H307*$B$5),(PI()*AX$12^2)/4*(AT307*$W307*1000)/($G307*$B$5)))),
IF($D307="Pressio.",
IF($E307=3,(PI()*AX$12^2)/4*(AT307*$W307*1000)/($H307*$B$5),(PI()*AX$12^2)/4*(AT307*$W307*1000)/($G307*$B$5)),
IF($D307="Pénétro.",
IF($E307=4,(PI()*AX$12^2)/4*(AT307*$W307*1000)/($H307*$B$5),(PI()*AX$12^2)/4*(AT307*$W307*1000)/($G307*$B$5))))))/10</f>
        <v>#N/A</v>
      </c>
      <c r="AY307" s="102" t="e">
        <f>(VLOOKUP($B$3,'Coeff EC7'!$T$39:$X$59,2,0)*AW307+VLOOKUP($B$3,'Coeff EC7'!$T$65:$X$85,2,0)*Model0.1C!AX307)/1.1</f>
        <v>#N/A</v>
      </c>
      <c r="AZ307" s="102" t="e">
        <f>(VLOOKUP($B$3,'Coeff EC7'!$T$39:$X$59,3,0)*AW307+VLOOKUP($B$3,'Coeff EC7'!$T$65:$X$85,3,0)*Model0.1C!AX307)/0.9</f>
        <v>#N/A</v>
      </c>
      <c r="BA307" s="102" t="e">
        <f t="shared" si="473"/>
        <v>#N/A</v>
      </c>
      <c r="BB307" s="102" t="e">
        <f t="shared" si="474"/>
        <v>#N/A</v>
      </c>
      <c r="BC307" s="414" t="e">
        <f>IF(BC306=0,0,IF(AND(AY307&gt;charge_ELS_quasi,AZ307&gt;Charge_ELS_freq,BA307&gt;charge_ELU,BB307&gt;charge_ELA,$B307&gt;NDC!$H$22-0.1+MIN(3*$BC$12,1.5)),0,1))</f>
        <v>#N/A</v>
      </c>
      <c r="BD307" s="86" t="b">
        <f t="shared" si="444"/>
        <v>0</v>
      </c>
      <c r="BE307" s="86">
        <f t="shared" si="475"/>
        <v>0.5</v>
      </c>
      <c r="BF307" s="86">
        <f t="shared" si="445"/>
        <v>0.5</v>
      </c>
      <c r="BG307" s="30" t="e">
        <f t="shared" ca="1" si="476"/>
        <v>#DIV/0!</v>
      </c>
      <c r="BH307" s="85" t="e">
        <f ca="1">IF(AN307&lt;=Hypothèses!$V$7,Hypothèses!$W$7,IF(AN307&lt;=Hypothèses!$V$8,Hypothèses!$W$8,IF(AN307&lt;=Hypothèses!$V$9,Hypothèses!$W$9,IF(AN307&lt;=Hypothèses!$V$10,Hypothèses!$W$10,IF(AN307&lt;=Hypothèses!$V$11,Hypothèses!$W$11,IF(AN307&lt;=Hypothèses!$V$12,Hypothèses!$W$12,IF(AN307&lt;=Hypothèses!$V$13,Hypothèses!$W$13,IF(AN307&lt;=Hypothèses!$V$14,Hypothèses!$W$14,IF(AN307&lt;=Hypothèses!$V$15,Hypothèses!$W$15,IF(AN307&lt;=Hypothèses!$V$16,Hypothèses!$W$16,IF(AN307&lt;=Hypothèses!$V$17,Hypothèses!$W$17,IF(AN307&lt;=Hypothèses!$V$18,Hypothèses!$W$18,""))))))))))))</f>
        <v>#DIV/0!</v>
      </c>
      <c r="BI307" s="87" t="e">
        <f t="shared" ca="1" si="518"/>
        <v>#DIV/0!</v>
      </c>
      <c r="BJ307" s="88" t="e">
        <f ca="1">IF(AN307&lt;=Hypothèses!$V$7,Hypothèses!$X$7,IF(AN307&lt;=Hypothèses!$V$8,Hypothèses!$X$8,IF(AN307&lt;=Hypothèses!$V$9,Hypothèses!$X$9,IF(AN307&lt;=Hypothèses!$V$10,Hypothèses!$X$10,IF(AN307&lt;=Hypothèses!$V$11,Hypothèses!$X$11,IF(AN307&lt;=Hypothèses!$V$12,Hypothèses!$X$12,IF(AN307&lt;=Hypothèses!$V$13,Hypothèses!$X$13,IF(AN307&lt;=Hypothèses!$V$14,Hypothèses!$X$14,IF(AN307&lt;=Hypothèses!$V$15,Hypothèses!$X$15,IF(AN307&lt;=Hypothèses!$V$16,Hypothèses!$X$16,IF(AN307&lt;=Hypothèses!$U$17,Hypothèses!$W$17,IF(AN307&lt;=Hypothèses!$U$18,Hypothèses!$W$18,""))))))))))))</f>
        <v>#DIV/0!</v>
      </c>
      <c r="BK307" s="95" t="e">
        <f t="shared" ca="1" si="477"/>
        <v>#DIV/0!</v>
      </c>
      <c r="BL307" s="101" t="e">
        <f t="shared" si="525"/>
        <v>#N/A</v>
      </c>
      <c r="BM307" s="91" t="e">
        <f t="shared" si="446"/>
        <v>#N/A</v>
      </c>
      <c r="BN307" s="30" t="e">
        <f t="shared" si="504"/>
        <v>#N/A</v>
      </c>
      <c r="BO307" s="30" t="e">
        <f t="shared" si="505"/>
        <v>#N/A</v>
      </c>
      <c r="BP307" s="31" t="e">
        <f>IF(OR(Hypothèses!$B$4=17,Hypothèses!$B$4=18,Hypothèses!$B$4=19,Hypothèses!$B$4=20),
IF($D307="Pressio.",
IF(OR($E307=3,$E307=1,$E307=4),BO307,BN307),
IF($D307="Pénétro.",
IF(OR($E307=3,$E307=1,$E307=4),BO307,BN307))),IF($D307="Pressio.",
IF($E307=3,BO307,BN307),
IF($D307="Pénétro.",
IF($E307=4,BO307,BN307))))</f>
        <v>#N/A</v>
      </c>
      <c r="BQ307" s="31" t="e">
        <f>(IF(OR(Hypothèses!$B$4=17,Hypothèses!$B$4=18,Hypothèses!$B$4=19,Hypothèses!$B$4=20),
IF($D307="Pressio.",
IF(OR($E307=3,$E307=1,$E307=4),(PI()*BQ$12^2)/4*(BM307*$W307*1000)/($H307*$B$5),(PI()*BQ$12^2)/4*(BM307*$W307*1000)/($G307*$B$5)),
IF($D307="Pénétro.",
IF(OR($E307=4,$E307=1,$E307=5),(PI()*BQ$12^2)/4*(BM307*$W307*1000)/($H307*$B$5),(PI()*BQ$12^2)/4*(BM307*$W307*1000)/($G307*$B$5)))),
IF($D307="Pressio.",
IF($E307=3,(PI()*BQ$12^2)/4*(BM307*$W307*1000)/($H307*$B$5),(PI()*BQ$12^2)/4*(BM307*$W307*1000)/($G307*$B$5)),
IF($D307="Pénétro.",
IF($E307=4,(PI()*BQ$12^2)/4*(BM307*$W307*1000)/($H307*$B$5),(PI()*BQ$12^2)/4*(BM307*$W307*1000)/($G307*$B$5))))))/10</f>
        <v>#N/A</v>
      </c>
      <c r="BR307" s="102" t="e">
        <f>(VLOOKUP($B$3,'Coeff EC7'!$T$39:$X$59,2,0)*BP307+VLOOKUP($B$3,'Coeff EC7'!$T$65:$X$85,2,0)*Model0.1C!BQ307)/1.1</f>
        <v>#N/A</v>
      </c>
      <c r="BS307" s="102" t="e">
        <f>(VLOOKUP($B$3,'Coeff EC7'!$T$39:$X$59,3,0)*BP307+VLOOKUP($B$3,'Coeff EC7'!$T$65:$X$85,3,0)*Model0.1C!BQ307)/0.9</f>
        <v>#N/A</v>
      </c>
      <c r="BT307" s="102" t="e">
        <f t="shared" si="478"/>
        <v>#N/A</v>
      </c>
      <c r="BU307" s="102" t="e">
        <f t="shared" si="479"/>
        <v>#N/A</v>
      </c>
      <c r="BV307" s="414" t="e">
        <f>IF(BV306=0,0,IF(AND(BR307&gt;charge_ELS_quasi,BS307&gt;Charge_ELS_freq,BT307&gt;charge_ELU,BU307&gt;charge_ELA,$B307&gt;NDC!$H$22-0.1+MIN(3*$BV$12,1.5)),0,1))</f>
        <v>#N/A</v>
      </c>
      <c r="BW307" s="86" t="b">
        <f t="shared" si="447"/>
        <v>0</v>
      </c>
      <c r="BX307" s="86">
        <f t="shared" si="448"/>
        <v>0.5</v>
      </c>
      <c r="BY307" s="86">
        <f t="shared" si="449"/>
        <v>0.5</v>
      </c>
      <c r="BZ307" s="30" t="e">
        <f t="shared" ca="1" si="480"/>
        <v>#DIV/0!</v>
      </c>
      <c r="CA307" s="85" t="e">
        <f ca="1">IF(BG307&lt;=Hypothèses!$V$7,Hypothèses!$W$7,IF(BG307&lt;=Hypothèses!$V$8,Hypothèses!$W$8,IF(BG307&lt;=Hypothèses!$V$9,Hypothèses!$W$9,IF(BG307&lt;=Hypothèses!$V$10,Hypothèses!$W$10,IF(BG307&lt;=Hypothèses!$V$11,Hypothèses!$W$11,IF(BG307&lt;=Hypothèses!$V$12,Hypothèses!$W$12,IF(BG307&lt;=Hypothèses!$V$13,Hypothèses!$W$13,IF(BG307&lt;=Hypothèses!$V$14,Hypothèses!$W$14,IF(BG307&lt;=Hypothèses!$V$15,Hypothèses!$W$15,IF(BG307&lt;=Hypothèses!$V$16,Hypothèses!$W$16,IF(BG307&lt;=Hypothèses!$V$17,Hypothèses!$W$17,IF(BG307&lt;=Hypothèses!$V$18,Hypothèses!$W$18,""))))))))))))</f>
        <v>#DIV/0!</v>
      </c>
      <c r="CB307" s="87" t="e">
        <f t="shared" ca="1" si="519"/>
        <v>#DIV/0!</v>
      </c>
      <c r="CC307" s="88" t="e">
        <f ca="1">IF(BG307&lt;=Hypothèses!$V$7,Hypothèses!$X$7,IF(BG307&lt;=Hypothèses!$V$8,Hypothèses!$X$8,IF(BG307&lt;=Hypothèses!$V$9,Hypothèses!$X$9,IF(BG307&lt;=Hypothèses!$V$10,Hypothèses!$X$10,IF(BG307&lt;=Hypothèses!$V$11,Hypothèses!$X$11,IF(BG307&lt;=Hypothèses!$V$12,Hypothèses!$X$12,IF(BG307&lt;=Hypothèses!$V$13,Hypothèses!$X$13,IF(BG307&lt;=Hypothèses!$V$14,Hypothèses!$X$14,IF(BG307&lt;=Hypothèses!$V$15,Hypothèses!$X$15,IF(BG307&lt;=Hypothèses!$V$16,Hypothèses!$X$16,IF(BG307&lt;=Hypothèses!$U$17,Hypothèses!$W$17,IF(BG307&lt;=Hypothèses!$U$18,Hypothèses!$W$18,""))))))))))))</f>
        <v>#DIV/0!</v>
      </c>
      <c r="CD307" s="95" t="e">
        <f t="shared" ca="1" si="481"/>
        <v>#DIV/0!</v>
      </c>
      <c r="CE307" s="101" t="e">
        <f t="shared" si="526"/>
        <v>#N/A</v>
      </c>
      <c r="CF307" s="91" t="e">
        <f t="shared" si="450"/>
        <v>#N/A</v>
      </c>
      <c r="CG307" s="30" t="e">
        <f t="shared" si="506"/>
        <v>#N/A</v>
      </c>
      <c r="CH307" s="30" t="e">
        <f t="shared" si="507"/>
        <v>#N/A</v>
      </c>
      <c r="CI307" s="31" t="e">
        <f>IF(OR(Hypothèses!$B$4=17,Hypothèses!$B$4=18,Hypothèses!$B$4=19,Hypothèses!$B$4=20),
IF($D307="Pressio.",
IF(OR($E307=3,$E307=1,$E307=4),CH307,CG307),
IF($D307="Pénétro.",
IF(OR($E307=3,$E307=1,$E307=4),CH307,CG307))),IF($D307="Pressio.",
IF($E307=3,CH307,CG307),
IF($D307="Pénétro.",
IF($E307=4,CH307,CG307))))</f>
        <v>#N/A</v>
      </c>
      <c r="CJ307" s="31" t="e">
        <f>(IF(OR(Hypothèses!$B$4=17,Hypothèses!$B$4=18,Hypothèses!$B$4=19,Hypothèses!$B$4=20),
IF($D307="Pressio.",
IF(OR($E307=3,$E307=1,$E307=4),(PI()*CJ$12^2)/4*(CF307*$W307*1000)/($H307*$B$5),(PI()*CJ$12^2)/4*(CF307*$W307*1000)/($G307*$B$5)),
IF($D307="Pénétro.",
IF(OR($E307=4,$E307=1,$E307=5),(PI()*CJ$12^2)/4*(CF307*$W307*1000)/($H307*$B$5),(PI()*CJ$12^2)/4*(CF307*$W307*1000)/($G307*$B$5)))),
IF($D307="Pressio.",
IF($E307=3,(PI()*CJ$12^2)/4*(CF307*$W307*1000)/($H307*$B$5),(PI()*CJ$12^2)/4*(CF307*$W307*1000)/($G307*$B$5)),
IF($D307="Pénétro.",
IF($E307=4,(PI()*CJ$12^2)/4*(CF307*$W307*1000)/($H307*$B$5),(PI()*CJ$12^2)/4*(CF307*$W307*1000)/($G307*$B$5))))))/10</f>
        <v>#N/A</v>
      </c>
      <c r="CK307" s="102" t="e">
        <f>(VLOOKUP($B$3,'Coeff EC7'!$T$39:$X$59,2,0)*CI307+VLOOKUP($B$3,'Coeff EC7'!$T$65:$X$85,2,0)*Model0.1C!CJ307)/1.1</f>
        <v>#N/A</v>
      </c>
      <c r="CL307" s="102" t="e">
        <f>(VLOOKUP($B$3,'Coeff EC7'!$T$39:$X$59,3,0)*CI307+VLOOKUP($B$3,'Coeff EC7'!$T$65:$X$85,3,0)*Model0.1C!CJ307)/0.9</f>
        <v>#N/A</v>
      </c>
      <c r="CM307" s="102" t="e">
        <f t="shared" si="482"/>
        <v>#N/A</v>
      </c>
      <c r="CN307" s="102" t="e">
        <f t="shared" si="483"/>
        <v>#N/A</v>
      </c>
      <c r="CO307" s="414" t="e">
        <f>IF(CO306=0,0,IF(AND(CK307&gt;charge_ELS_quasi,CL307&gt;Charge_ELS_freq,CM307&gt;charge_ELU,CN307&gt;charge_ELA,$B307&gt;NDC!$H$22-0.1+MIN(3*$CO$12,1.5)),0,1))</f>
        <v>#N/A</v>
      </c>
      <c r="CP307" s="86" t="b">
        <f t="shared" si="451"/>
        <v>0</v>
      </c>
      <c r="CQ307" s="86">
        <f t="shared" si="452"/>
        <v>0.5</v>
      </c>
      <c r="CR307" s="86">
        <f t="shared" si="453"/>
        <v>0.5</v>
      </c>
      <c r="CS307" s="30" t="e">
        <f t="shared" ca="1" si="484"/>
        <v>#DIV/0!</v>
      </c>
      <c r="CT307" s="85" t="e">
        <f ca="1">IF(BZ307&lt;=Hypothèses!$V$7,Hypothèses!$W$7,IF(BZ307&lt;=Hypothèses!$V$8,Hypothèses!$W$8,IF(BZ307&lt;=Hypothèses!$V$9,Hypothèses!$W$9,IF(BZ307&lt;=Hypothèses!$V$10,Hypothèses!$W$10,IF(BZ307&lt;=Hypothèses!$V$11,Hypothèses!$W$11,IF(BZ307&lt;=Hypothèses!$V$12,Hypothèses!$W$12,IF(BZ307&lt;=Hypothèses!$V$13,Hypothèses!$W$13,IF(BZ307&lt;=Hypothèses!$V$14,Hypothèses!$W$14,IF(BZ307&lt;=Hypothèses!$V$15,Hypothèses!$W$15,IF(BZ307&lt;=Hypothèses!$V$16,Hypothèses!$W$16,IF(BZ307&lt;=Hypothèses!$V$17,Hypothèses!$W$17,IF(BZ307&lt;=Hypothèses!$V$18,Hypothèses!$W$18,""))))))))))))</f>
        <v>#DIV/0!</v>
      </c>
      <c r="CU307" s="87" t="e">
        <f t="shared" ca="1" si="520"/>
        <v>#DIV/0!</v>
      </c>
      <c r="CV307" s="88" t="e">
        <f ca="1">IF(BZ307&lt;=Hypothèses!$V$7,Hypothèses!$X$7,IF(BZ307&lt;=Hypothèses!$V$8,Hypothèses!$X$8,IF(BZ307&lt;=Hypothèses!$V$9,Hypothèses!$X$9,IF(BZ307&lt;=Hypothèses!$V$10,Hypothèses!$X$10,IF(BZ307&lt;=Hypothèses!$V$11,Hypothèses!$X$11,IF(BZ307&lt;=Hypothèses!$V$12,Hypothèses!$X$12,IF(BZ307&lt;=Hypothèses!$V$13,Hypothèses!$X$13,IF(BZ307&lt;=Hypothèses!$V$14,Hypothèses!$X$14,IF(BZ307&lt;=Hypothèses!$V$15,Hypothèses!$X$15,IF(BZ307&lt;=Hypothèses!$V$16,Hypothèses!$X$16,IF(BZ307&lt;=Hypothèses!$U$17,Hypothèses!$W$17,IF(BZ307&lt;=Hypothèses!$U$18,Hypothèses!$W$18,""))))))))))))</f>
        <v>#DIV/0!</v>
      </c>
      <c r="CW307" s="95" t="e">
        <f t="shared" ca="1" si="485"/>
        <v>#DIV/0!</v>
      </c>
      <c r="CX307" s="101" t="e">
        <f t="shared" si="527"/>
        <v>#N/A</v>
      </c>
      <c r="CY307" s="91" t="e">
        <f t="shared" si="454"/>
        <v>#N/A</v>
      </c>
      <c r="CZ307" s="30" t="e">
        <f t="shared" si="508"/>
        <v>#N/A</v>
      </c>
      <c r="DA307" s="30" t="e">
        <f t="shared" si="509"/>
        <v>#N/A</v>
      </c>
      <c r="DB307" s="31" t="e">
        <f>IF(OR(Hypothèses!$B$4=17,Hypothèses!$B$4=18,Hypothèses!$B$4=19,Hypothèses!$B$4=20),
IF($D307="Pressio.",
IF(OR($E307=3,$E307=1,$E307=4),DA307,CZ307),
IF($D307="Pénétro.",
IF(OR($E307=3,$E307=1,$E307=4),DA307,CZ307))),IF($D307="Pressio.",
IF($E307=3,DA307,CZ307),
IF($D307="Pénétro.",
IF($E307=4,DA307,CZ307))))</f>
        <v>#N/A</v>
      </c>
      <c r="DC307" s="31" t="e">
        <f>(IF(OR(Hypothèses!$B$4=17,Hypothèses!$B$4=18,Hypothèses!$B$4=19,Hypothèses!$B$4=20),
IF($D307="Pressio.",
IF(OR($E307=3,$E307=1,$E307=4),(PI()*DC$12^2)/4*(CY307*$W307*1000)/($H307*$B$5),(PI()*DC$12^2)/4*(CY307*$W307*1000)/($G307*$B$5)),
IF($D307="Pénétro.",
IF(OR($E307=4,$E307=1,$E307=5),(PI()*DC$12^2)/4*(CY307*$W307*1000)/($H307*$B$5),(PI()*DC$12^2)/4*(CY307*$W307*1000)/($G307*$B$5)))),
IF($D307="Pressio.",
IF($E307=3,(PI()*DC$12^2)/4*(CY307*$W307*1000)/($H307*$B$5),(PI()*DC$12^2)/4*(CY307*$W307*1000)/($G307*$B$5)),
IF($D307="Pénétro.",
IF($E307=4,(PI()*DC$12^2)/4*(CY307*$W307*1000)/($H307*$B$5),(PI()*DC$12^2)/4*(CY307*$W307*1000)/($G307*$B$5))))))/10</f>
        <v>#N/A</v>
      </c>
      <c r="DD307" s="102" t="e">
        <f>(VLOOKUP($B$3,'Coeff EC7'!$T$39:$X$59,2,0)*DB307+VLOOKUP($B$3,'Coeff EC7'!$T$65:$X$85,2,0)*Model0.1C!DC307)/1.1</f>
        <v>#N/A</v>
      </c>
      <c r="DE307" s="102" t="e">
        <f>(VLOOKUP($B$3,'Coeff EC7'!$T$39:$X$59,3,0)*DB307+VLOOKUP($B$3,'Coeff EC7'!$T$65:$X$85,3,0)*Model0.1C!DC307)/0.9</f>
        <v>#N/A</v>
      </c>
      <c r="DF307" s="102" t="e">
        <f t="shared" si="486"/>
        <v>#N/A</v>
      </c>
      <c r="DG307" s="102" t="e">
        <f t="shared" si="487"/>
        <v>#N/A</v>
      </c>
      <c r="DH307" s="414" t="e">
        <f>IF(DH306=0,0,IF(AND(DD307&gt;charge_ELS_quasi,DE307&gt;Charge_ELS_freq,DF307&gt;charge_ELU,DG307&gt;charge_ELA,$B307&gt;NDC!$H$22-0.1+MIN(3*$DH$12,1.5)),0,1))</f>
        <v>#N/A</v>
      </c>
      <c r="DI307" s="86" t="b">
        <f t="shared" si="455"/>
        <v>0</v>
      </c>
      <c r="DJ307" s="86">
        <f t="shared" si="456"/>
        <v>0.5</v>
      </c>
      <c r="DK307" s="86">
        <f t="shared" si="457"/>
        <v>0.5</v>
      </c>
      <c r="DL307" s="30" t="e">
        <f t="shared" ca="1" si="488"/>
        <v>#DIV/0!</v>
      </c>
      <c r="DM307" s="85" t="e">
        <f ca="1">IF(CS307&lt;=Hypothèses!$V$7,Hypothèses!$W$7,IF(CS307&lt;=Hypothèses!$V$8,Hypothèses!$W$8,IF(CS307&lt;=Hypothèses!$V$9,Hypothèses!$W$9,IF(CS307&lt;=Hypothèses!$V$10,Hypothèses!$W$10,IF(CS307&lt;=Hypothèses!$V$11,Hypothèses!$W$11,IF(CS307&lt;=Hypothèses!$V$12,Hypothèses!$W$12,IF(CS307&lt;=Hypothèses!$V$13,Hypothèses!$W$13,IF(CS307&lt;=Hypothèses!$V$14,Hypothèses!$W$14,IF(CS307&lt;=Hypothèses!$V$15,Hypothèses!$W$15,IF(CS307&lt;=Hypothèses!$V$16,Hypothèses!$W$16,IF(CS307&lt;=Hypothèses!$V$17,Hypothèses!$W$17,IF(CS307&lt;=Hypothèses!$V$18,Hypothèses!$W$18,""))))))))))))</f>
        <v>#DIV/0!</v>
      </c>
      <c r="DN307" s="87" t="e">
        <f t="shared" ca="1" si="521"/>
        <v>#DIV/0!</v>
      </c>
      <c r="DO307" s="88" t="e">
        <f ca="1">IF(CS307&lt;=Hypothèses!$V$7,Hypothèses!$X$7,IF(CS307&lt;=Hypothèses!$V$8,Hypothèses!$X$8,IF(CS307&lt;=Hypothèses!$V$9,Hypothèses!$X$9,IF(CS307&lt;=Hypothèses!$V$10,Hypothèses!$X$10,IF(CS307&lt;=Hypothèses!$V$11,Hypothèses!$X$11,IF(CS307&lt;=Hypothèses!$V$12,Hypothèses!$X$12,IF(CS307&lt;=Hypothèses!$V$13,Hypothèses!$X$13,IF(CS307&lt;=Hypothèses!$V$14,Hypothèses!$X$14,IF(CS307&lt;=Hypothèses!$V$15,Hypothèses!$X$15,IF(CS307&lt;=Hypothèses!$V$16,Hypothèses!$X$16,IF(CS307&lt;=Hypothèses!$U$17,Hypothèses!$W$17,IF(CS307&lt;=Hypothèses!$U$18,Hypothèses!$W$18,""))))))))))))</f>
        <v>#DIV/0!</v>
      </c>
      <c r="DP307" s="95" t="e">
        <f t="shared" ca="1" si="489"/>
        <v>#DIV/0!</v>
      </c>
      <c r="DQ307" s="101" t="e">
        <f t="shared" si="528"/>
        <v>#N/A</v>
      </c>
      <c r="DR307" s="91" t="e">
        <f t="shared" si="458"/>
        <v>#N/A</v>
      </c>
      <c r="DS307" s="30" t="e">
        <f t="shared" si="510"/>
        <v>#N/A</v>
      </c>
      <c r="DT307" s="30" t="e">
        <f t="shared" si="511"/>
        <v>#N/A</v>
      </c>
      <c r="DU307" s="31" t="e">
        <f>IF(OR(Hypothèses!$B$4=17,Hypothèses!$B$4=18,Hypothèses!$B$4=19,Hypothèses!$B$4=20),
IF($D307="Pressio.",
IF(OR($E307=3,$E307=1,$E307=4),DT307,DS307),
IF($D307="Pénétro.",
IF(OR($E307=3,$E307=1,$E307=4),DT307,DS307))),IF($D307="Pressio.",
IF($E307=3,DT307,DS307),
IF($D307="Pénétro.",
IF($E307=4,DT307,DS307))))</f>
        <v>#N/A</v>
      </c>
      <c r="DV307" s="31" t="e">
        <f>(IF(OR(Hypothèses!$B$4=17,Hypothèses!$B$4=18,Hypothèses!$B$4=19,Hypothèses!$B$4=20),
IF($D307="Pressio.",
IF(OR($E307=3,$E307=1,$E307=4),(PI()*DV$12^2)/4*(DR307*$W307*1000)/($H307*$B$5),(PI()*DV$12^2)/4*(DR307*$W307*1000)/($G307*$B$5)),
IF($D307="Pénétro.",
IF(OR($E307=4,$E307=1,$E307=5),(PI()*DV$12^2)/4*(DR307*$W307*1000)/($H307*$B$5),(PI()*DV$12^2)/4*(DR307*$W307*1000)/($G307*$B$5)))),
IF($D307="Pressio.",
IF($E307=3,(PI()*DV$12^2)/4*(DR307*$W307*1000)/($H307*$B$5),(PI()*DV$12^2)/4*(DR307*$W307*1000)/($G307*$B$5)),
IF($D307="Pénétro.",
IF($E307=4,(PI()*DV$12^2)/4*(DR307*$W307*1000)/($H307*$B$5),(PI()*DV$12^2)/4*(DR307*$W307*1000)/($G307*$B$5))))))/10</f>
        <v>#N/A</v>
      </c>
      <c r="DW307" s="102" t="e">
        <f>(VLOOKUP($B$3,'Coeff EC7'!$T$39:$X$59,2,0)*DU307+VLOOKUP($B$3,'Coeff EC7'!$T$65:$X$85,2,0)*Model0.1C!DV307)/1.1</f>
        <v>#N/A</v>
      </c>
      <c r="DX307" s="102" t="e">
        <f>(VLOOKUP($B$3,'Coeff EC7'!$T$39:$X$59,3,0)*DU307+VLOOKUP($B$3,'Coeff EC7'!$T$65:$X$85,3,0)*Model0.1C!DV307)/0.9</f>
        <v>#N/A</v>
      </c>
      <c r="DY307" s="102" t="e">
        <f t="shared" si="490"/>
        <v>#N/A</v>
      </c>
      <c r="DZ307" s="102" t="e">
        <f t="shared" si="491"/>
        <v>#N/A</v>
      </c>
      <c r="EA307" s="414" t="e">
        <f>IF(EA306=0,0,IF(AND(DW307&gt;charge_ELS_quasi,DX307&gt;Charge_ELS_freq,DY307&gt;charge_ELU,DZ307&gt;charge_ELA,$B307&gt;NDC!$H$22-0.1+MIN(3*$EA$12,1.5)),0,1))</f>
        <v>#N/A</v>
      </c>
      <c r="EB307" s="86" t="b">
        <f t="shared" si="459"/>
        <v>0</v>
      </c>
      <c r="EC307" s="418">
        <f t="shared" si="460"/>
        <v>0.51</v>
      </c>
      <c r="ED307" s="86">
        <f t="shared" si="461"/>
        <v>0.51</v>
      </c>
      <c r="EE307" s="30" t="e">
        <f t="shared" ca="1" si="492"/>
        <v>#DIV/0!</v>
      </c>
      <c r="EF307" s="85" t="e">
        <f ca="1">IF(DL307&lt;=Hypothèses!$V$7,Hypothèses!$W$7,IF(DL307&lt;=Hypothèses!$V$8,Hypothèses!$W$8,IF(DL307&lt;=Hypothèses!$V$9,Hypothèses!$W$9,IF(DL307&lt;=Hypothèses!$V$10,Hypothèses!$W$10,IF(DL307&lt;=Hypothèses!$V$11,Hypothèses!$W$11,IF(DL307&lt;=Hypothèses!$V$12,Hypothèses!$W$12,IF(DL307&lt;=Hypothèses!$V$13,Hypothèses!$W$13,IF(DL307&lt;=Hypothèses!$V$14,Hypothèses!$W$14,IF(DL307&lt;=Hypothèses!$V$15,Hypothèses!$W$15,IF(DL307&lt;=Hypothèses!$V$16,Hypothèses!$W$16,IF(DL307&lt;=Hypothèses!$V$17,Hypothèses!$W$17,IF(DL307&lt;=Hypothèses!$V$18,Hypothèses!$W$18,""))))))))))))</f>
        <v>#DIV/0!</v>
      </c>
      <c r="EG307" s="87" t="e">
        <f t="shared" ca="1" si="522"/>
        <v>#DIV/0!</v>
      </c>
      <c r="EH307" s="88" t="e">
        <f ca="1">IF(DL307&lt;=Hypothèses!$V$7,Hypothèses!$X$7,IF(DL307&lt;=Hypothèses!$V$8,Hypothèses!$X$8,IF(DL307&lt;=Hypothèses!$V$9,Hypothèses!$X$9,IF(DL307&lt;=Hypothèses!$V$10,Hypothèses!$X$10,IF(DL307&lt;=Hypothèses!$V$11,Hypothèses!$X$11,IF(DL307&lt;=Hypothèses!$V$12,Hypothèses!$X$12,IF(DL307&lt;=Hypothèses!$V$13,Hypothèses!$X$13,IF(DL307&lt;=Hypothèses!$V$14,Hypothèses!$X$14,IF(DL307&lt;=Hypothèses!$V$15,Hypothèses!$X$15,IF(DL307&lt;=Hypothèses!$V$16,Hypothèses!$X$16,IF(DL307&lt;=Hypothèses!$U$17,Hypothèses!$W$17,IF(DL307&lt;=Hypothèses!$U$18,Hypothèses!$W$18,""))))))))))))</f>
        <v>#DIV/0!</v>
      </c>
      <c r="EI307" s="95" t="e">
        <f t="shared" ca="1" si="493"/>
        <v>#DIV/0!</v>
      </c>
      <c r="EJ307" s="101" t="e">
        <f t="shared" si="529"/>
        <v>#N/A</v>
      </c>
      <c r="EK307" s="91" t="e">
        <f t="shared" si="462"/>
        <v>#N/A</v>
      </c>
      <c r="EL307" s="30" t="e">
        <f t="shared" si="512"/>
        <v>#N/A</v>
      </c>
      <c r="EM307" s="30" t="e">
        <f t="shared" si="513"/>
        <v>#N/A</v>
      </c>
      <c r="EN307" s="31" t="e">
        <f>IF(OR(Hypothèses!$B$4=17,Hypothèses!$B$4=18,Hypothèses!$B$4=19,Hypothèses!$B$4=20),
IF($D307="Pressio.",
IF(OR($E307=3,$E307=1,$E307=4),EM307,EL307),
IF($D307="Pénétro.",
IF(OR($E307=3,$E307=1,$E307=4),EM307,EL307))),IF($D307="Pressio.",
IF($E307=3,EM307,EL307),
IF($D307="Pénétro.",
IF($E307=4,EM307,EL307))))</f>
        <v>#N/A</v>
      </c>
      <c r="EO307" s="31" t="e">
        <f>(IF(OR(Hypothèses!$B$4=17,Hypothèses!$B$4=18,Hypothèses!$B$4=19,Hypothèses!$B$4=20),
IF($D307="Pressio.",
IF(OR($E307=3,$E307=1,$E307=4),(PI()*EO$12^2)/4*(EK307*$W307*1000)/($H307*$B$5),(PI()*EO$12^2)/4*(EK307*$W307*1000)/($G307*$B$5)),
IF($D307="Pénétro.",
IF(OR($E307=4,$E307=1,$E307=5),(PI()*EO$12^2)/4*(EK307*$W307*1000)/($H307*$B$5),(PI()*EO$12^2)/4*(EK307*$W307*1000)/($G307*$B$5)))),
IF($D307="Pressio.",
IF($E307=3,(PI()*EO$12^2)/4*(EK307*$W307*1000)/($H307*$B$5),(PI()*EO$12^2)/4*(EK307*$W307*1000)/($G307*$B$5)),
IF($D307="Pénétro.",
IF($E307=4,(PI()*EO$12^2)/4*(EK307*$W307*1000)/($H307*$B$5),(PI()*EO$12^2)/4*(EK307*$W307*1000)/($G307*$B$5))))))/10</f>
        <v>#N/A</v>
      </c>
      <c r="EP307" s="102" t="e">
        <f>(VLOOKUP($B$3,'Coeff EC7'!$T$39:$X$59,2,0)*EN307+VLOOKUP($B$3,'Coeff EC7'!$T$65:$X$85,2,0)*Model0.1C!EO307)/1.1</f>
        <v>#N/A</v>
      </c>
      <c r="EQ307" s="102" t="e">
        <f>(VLOOKUP($B$3,'Coeff EC7'!$T$39:$X$59,3,0)*EN307+VLOOKUP($B$3,'Coeff EC7'!$T$65:$X$85,3,0)*Model0.1C!EO307)/0.9</f>
        <v>#N/A</v>
      </c>
      <c r="ER307" s="102" t="e">
        <f t="shared" si="494"/>
        <v>#N/A</v>
      </c>
      <c r="ES307" s="102" t="e">
        <f t="shared" si="495"/>
        <v>#N/A</v>
      </c>
      <c r="ET307" s="414" t="e">
        <f>IF(ET306=0,0,IF(AND(EP307&gt;charge_ELS_quasi,EQ307&gt;Charge_ELS_freq,ER307&gt;charge_ELU,ES307&gt;charge_ELA,$B307&gt;NDC!$H$22-0.1+MIN(3*$ET$12,1.5)),0,1))</f>
        <v>#N/A</v>
      </c>
      <c r="EU307" s="86" t="b">
        <f t="shared" si="463"/>
        <v>0</v>
      </c>
      <c r="EV307" s="86">
        <f t="shared" si="464"/>
        <v>0.61</v>
      </c>
      <c r="EW307" s="86">
        <f t="shared" si="465"/>
        <v>0.61</v>
      </c>
      <c r="EX307" s="30" t="e">
        <f t="shared" ca="1" si="496"/>
        <v>#DIV/0!</v>
      </c>
      <c r="EY307" s="85" t="e">
        <f ca="1">IF(EE307&lt;=Hypothèses!$V$7,Hypothèses!$W$7,IF(EE307&lt;=Hypothèses!$V$8,Hypothèses!$W$8,IF(EE307&lt;=Hypothèses!$V$9,Hypothèses!$W$9,IF(EE307&lt;=Hypothèses!$V$10,Hypothèses!$W$10,IF(EE307&lt;=Hypothèses!$V$11,Hypothèses!$W$11,IF(EE307&lt;=Hypothèses!$V$12,Hypothèses!$W$12,IF(EE307&lt;=Hypothèses!$V$13,Hypothèses!$W$13,IF(EE307&lt;=Hypothèses!$V$14,Hypothèses!$W$14,IF(EE307&lt;=Hypothèses!$V$15,Hypothèses!$W$15,IF(EE307&lt;=Hypothèses!$V$16,Hypothèses!$W$16,IF(EE307&lt;=Hypothèses!$V$17,Hypothèses!$W$17,IF(EE307&lt;=Hypothèses!$V$18,Hypothèses!$W$18,""))))))))))))</f>
        <v>#DIV/0!</v>
      </c>
      <c r="EZ307" s="87" t="e">
        <f t="shared" ca="1" si="523"/>
        <v>#DIV/0!</v>
      </c>
      <c r="FA307" s="88" t="e">
        <f ca="1">IF(EE307&lt;=Hypothèses!$V$7,Hypothèses!$X$7,IF(EE307&lt;=Hypothèses!$V$8,Hypothèses!$X$8,IF(EE307&lt;=Hypothèses!$V$9,Hypothèses!$X$9,IF(EE307&lt;=Hypothèses!$V$10,Hypothèses!$X$10,IF(EE307&lt;=Hypothèses!$V$11,Hypothèses!$X$11,IF(EE307&lt;=Hypothèses!$V$12,Hypothèses!$X$12,IF(EE307&lt;=Hypothèses!$V$13,Hypothèses!$X$13,IF(EE307&lt;=Hypothèses!$V$14,Hypothèses!$X$14,IF(EE307&lt;=Hypothèses!$V$15,Hypothèses!$X$15,IF(EE307&lt;=Hypothèses!$V$16,Hypothèses!$X$16,IF(EE307&lt;=Hypothèses!$U$17,Hypothèses!$W$17,IF(EE307&lt;=Hypothèses!$U$18,Hypothèses!$W$18,""))))))))))))</f>
        <v>#DIV/0!</v>
      </c>
      <c r="FB307" s="95" t="e">
        <f t="shared" ca="1" si="497"/>
        <v>#DIV/0!</v>
      </c>
      <c r="FC307" s="101" t="e">
        <f t="shared" si="530"/>
        <v>#N/A</v>
      </c>
      <c r="FD307" s="91" t="e">
        <f t="shared" si="466"/>
        <v>#N/A</v>
      </c>
      <c r="FE307" s="30" t="e">
        <f t="shared" si="514"/>
        <v>#N/A</v>
      </c>
      <c r="FF307" s="30" t="e">
        <f t="shared" si="515"/>
        <v>#N/A</v>
      </c>
      <c r="FG307" s="31" t="e">
        <f>IF(OR(Hypothèses!$B$4=17,Hypothèses!$B$4=18,Hypothèses!$B$4=19,Hypothèses!$B$4=20),
IF($D307="Pressio.",
IF(OR($E307=3,$E307=1,$E307=4),FF307,FE307),
IF($D307="Pénétro.",
IF(OR($E307=3,$E307=1,$E307=4),FF307,FE307))),IF($D307="Pressio.",
IF($E307=3,FF307,FE307),
IF($D307="Pénétro.",
IF($E307=4,FF307,FE307))))</f>
        <v>#N/A</v>
      </c>
      <c r="FH307" s="31" t="e">
        <f>(IF(OR(Hypothèses!$B$4=17,Hypothèses!$B$4=18,Hypothèses!$B$4=19,Hypothèses!$B$4=20),
IF($D307="Pressio.",
IF(OR($E307=3,$E307=1,$E307=4),(PI()*FH$12^2)/4*(FD307*$W307*1000)/($H307*$B$5),(PI()*FH$12^2)/4*(FD307*$W307*1000)/($G307*$B$5)),
IF($D307="Pénétro.",
IF(OR($E307=4,$E307=1,$E307=5),(PI()*FH$12^2)/4*(FD307*$W307*1000)/($H307*$B$5),(PI()*FH$12^2)/4*(FD307*$W307*1000)/($G307*$B$5)))),
IF($D307="Pressio.",
IF($E307=3,(PI()*FH$12^2)/4*(FD307*$W307*1000)/($H307*$B$5),(PI()*FH$12^2)/4*(FD307*$W307*1000)/($G307*$B$5)),
IF($D307="Pénétro.",
IF($E307=4,(PI()*FH$12^2)/4*(FD307*$W307*1000)/($H307*$B$5),(PI()*FH$12^2)/4*(FD307*$W307*1000)/($G307*$B$5))))))/10</f>
        <v>#N/A</v>
      </c>
      <c r="FI307" s="102" t="e">
        <f>(VLOOKUP($B$3,'Coeff EC7'!$T$39:$X$59,2,0)*FG307+VLOOKUP($B$3,'Coeff EC7'!$T$65:$X$85,2,0)*Model0.1C!FH307)/1.1</f>
        <v>#N/A</v>
      </c>
      <c r="FJ307" s="102" t="e">
        <f>(VLOOKUP($B$3,'Coeff EC7'!$T$39:$X$59,3,0)*FG307+VLOOKUP($B$3,'Coeff EC7'!$T$65:$X$85,3,0)*Model0.1C!FH307)/0.9</f>
        <v>#N/A</v>
      </c>
      <c r="FK307" s="102" t="e">
        <f t="shared" si="498"/>
        <v>#N/A</v>
      </c>
      <c r="FL307" s="102" t="e">
        <f t="shared" si="499"/>
        <v>#N/A</v>
      </c>
      <c r="FM307" s="414" t="e">
        <f>IF(FM306=0,0,IF(AND(FI307&gt;charge_ELS_quasi,FJ307&gt;Charge_ELS_freq,FK307&gt;charge_ELU,FL307&gt;charge_ELA,$B307&gt;NDC!$H$22-0.1+MIN(3*$FM$12,1.5)),0,1))</f>
        <v>#N/A</v>
      </c>
    </row>
    <row r="308" spans="1:169">
      <c r="A308" s="96">
        <f t="shared" si="467"/>
        <v>70.500000000001677</v>
      </c>
      <c r="B308" s="97">
        <v>29.5</v>
      </c>
      <c r="C308" s="81">
        <f>IF(B308&lt;=Hypothèses!$C$7,Hypothèses!$A$7,IF(B308&lt;=Hypothèses!$C$8,Hypothèses!$A$8,IF(B308&lt;=Hypothèses!$C$9,Hypothèses!$A$9,IF(B308&lt;=Hypothèses!$C$10,Hypothèses!$A$10,IF(B308&lt;=Hypothèses!$C$11,Hypothèses!$A$11,IF(B308&lt;=Hypothèses!$C$12,Hypothèses!$A$12,IF(B308&lt;=Hypothèses!$C$13,Hypothèses!$A$13,IF(B308&lt;=Hypothèses!$C$14,Hypothèses!$A$14,IF(B308&lt;=Hypothèses!$C$15,Hypothèses!$A$15,IF(B308&lt;=Hypothèses!$C$16,Hypothèses!$A$16,IF(B308&lt;=Hypothèses!$C$17,Hypothèses!$A$17,IF(B308&lt;=Hypothèses!$C$18,Hypothèses!$A$18,C307))))))))))))</f>
        <v>11</v>
      </c>
      <c r="D308" s="82" t="str">
        <f>IF(B308&lt;=Hypothèses!$C$7,Hypothèses!$R$7,IF(B308&lt;=Hypothèses!$C$8,Hypothèses!$R$8,IF(B308&lt;=Hypothèses!$C$9,Hypothèses!$R$9,IF(B308&lt;=Hypothèses!$C$10,Hypothèses!$R$10,IF(B308&lt;=Hypothèses!$C$11,Hypothèses!$R$11,IF(B308&lt;=Hypothèses!$C$12,Hypothèses!$R$12,IF(B308&lt;=Hypothèses!$C$13,Hypothèses!$R$13,IF(B308&lt;=Hypothèses!$C$14,Hypothèses!$R$14,IF(B308&lt;=Hypothèses!$C$15,Hypothèses!$R$15,IF(B308&lt;=Hypothèses!$C$16,Hypothèses!$R$16,IF(B308&lt;=Hypothèses!$C$17,Hypothèses!$R$17,IF(B308&lt;=Hypothèses!$C$18,Hypothèses!$R$18,D307))))))))))))</f>
        <v>Pressio.</v>
      </c>
      <c r="E308" s="82" t="e">
        <f>IF(B308&lt;=Hypothèses!$C$7,Hypothèses!$G$7,IF(B308&lt;=Hypothèses!$C$8,Hypothèses!$G$8,IF(B308&lt;=Hypothèses!$C$9,Hypothèses!$G$9,IF(B308&lt;=Hypothèses!$C$10,Hypothèses!$G$10,IF(B308&lt;=Hypothèses!$C$11,Hypothèses!$G$11,IF(B308&lt;=Hypothèses!$C$12,Hypothèses!$G$12,IF(B308&lt;=Hypothèses!$C$13,Hypothèses!$G$13,IF(B308&lt;=Hypothèses!$C$14,Hypothèses!$G$14,IF(B308&lt;=Hypothèses!$C$15,Hypothèses!$G$15,IF(B308&lt;=Hypothèses!$C$16,Hypothèses!$G$16,IF(B308&lt;=Hypothèses!$C$17,Hypothèses!$G$17,IF(B308&lt;=Hypothèses!$C$18,Hypothèses!$G$18,E307))))))))))))</f>
        <v>#N/A</v>
      </c>
      <c r="F308" s="82" t="str">
        <f>IF(B308&lt;=Hypothèses!$C$7,Hypothèses!$F$7,IF(B308&lt;=Hypothèses!$C$8,Hypothèses!$F$8,IF(B308&lt;=Hypothèses!$C$9,Hypothèses!$F$9,IF(B308&lt;=Hypothèses!$C$10,Hypothèses!$F$10,IF(B308&lt;=Hypothèses!$C$11,Hypothèses!$F$11,IF(B308&lt;=Hypothèses!$C$12,Hypothèses!$F$12,IF(B308&lt;=Hypothèses!$C$13,Hypothèses!$F$13,IF(B308&lt;=Hypothèses!$C$14,Hypothèses!$F$14,IF(B308&lt;=Hypothèses!$C$15,Hypothèses!$F$15,IF(B308&lt;=Hypothèses!$C$16,Hypothèses!$F$16,IF(B308&lt;=Hypothèses!$C$17,Hypothèses!$F$17,IF(B308&lt;=Hypothèses!$C$18,Hypothèses!$F$18,F307))))))))))))</f>
        <v/>
      </c>
      <c r="G308" s="91">
        <f t="array" ref="G308">INDEX('Coeff EC7'!$U$7:$X$27,
MATCH(Model0.1C!$B$3,'Coeff EC7'!$T$7:$T$27,0),
MATCH(Model0.1C!$D308&amp;Model0.1C!$B$4,
'Coeff EC7'!$U$6:$X$6&amp;
'Coeff EC7'!$U$5:$X$5,0))</f>
        <v>1.1499999999999999</v>
      </c>
      <c r="H308" s="91">
        <f t="array" ref="H308">INDEX('Coeff EC7'!$Y$7:$AB$27,
MATCH(Model0.1C!$B$3,'Coeff EC7'!$T$7:$T$27,0),
MATCH(Model0.1C!$D308&amp;Model0.1C!$B$4,
'Coeff EC7'!$Y$6:$AB$6&amp;
'Coeff EC7'!$Y$5:$AB$5,0))</f>
        <v>1.4</v>
      </c>
      <c r="I308" s="83" t="e">
        <f>IF(B308&lt;=Hypothèses!$C$7,Hypothèses!$P$7,IF(B308&lt;=Hypothèses!$C$8,Hypothèses!$P$8,IF(B308&lt;=Hypothèses!$C$9,Hypothèses!$P$9,IF(B308&lt;=Hypothèses!$C$10,Hypothèses!$P$10,IF(B308&lt;=Hypothèses!$C$11,Hypothèses!$P$11,IF(B308&lt;=Hypothèses!$C$12,Hypothèses!$P$12,IF(B308&lt;=Hypothèses!$C$13,Hypothèses!$P$13,IF(B308&lt;=Hypothèses!$C$14,Hypothèses!$P$14,IF(B308&lt;=Hypothèses!$C$15,Hypothèses!$P$15,IF(B308&lt;=Hypothèses!$C$16,Hypothèses!$P$16,IF(B308&lt;=Hypothèses!$C$17,Hypothèses!$P$17,IF(B308&lt;=Hypothèses!$C$18,Hypothèses!$P$18,I307))))))))))))</f>
        <v>#N/A</v>
      </c>
      <c r="J308" s="91" t="e">
        <f t="array" ref="J308">INDEX('Coeff EC7'!$D$33:$Q$33,1,MATCH(D308&amp;E308,'Coeff EC7'!$D$31:$Q$31&amp;'Coeff EC7'!$D$32:$Q$32,0))</f>
        <v>#N/A</v>
      </c>
      <c r="K308" s="91" t="e">
        <f t="array" ref="K308">INDEX('Coeff EC7'!$D$34:$Q$34,1,MATCH(D308&amp;E308,'Coeff EC7'!$D$31:$Q$31&amp;'Coeff EC7'!$D$32:$Q$32,0))</f>
        <v>#N/A</v>
      </c>
      <c r="L308" s="91" t="e">
        <f t="array" ref="L308">INDEX('Coeff EC7'!$D$35:$Q$35,1,MATCH(D308&amp;E308,'Coeff EC7'!$D$31:$Q$31&amp;'Coeff EC7'!$D$32:$Q$32,0))</f>
        <v>#N/A</v>
      </c>
      <c r="M308" s="98" t="e">
        <f t="shared" si="431"/>
        <v>#N/A</v>
      </c>
      <c r="N308" s="99" t="e">
        <f t="array" ref="N308">INDEX('Coeff EC7'!$D$7:$Q$27,MATCH($B$3,'Coeff EC7'!$C$7:$C$27,0),MATCH(D308&amp;E308,'Coeff EC7'!$D$5:$Q$5&amp;'Coeff EC7'!$D$6:$Q$6,0))</f>
        <v>#N/A</v>
      </c>
      <c r="O308" s="99" t="e">
        <f t="array" ref="O308">INDEX('Coeff EC7'!$D$41:$Q$61,MATCH($B$3,'Coeff EC7'!$C$41:$C$61,0),MATCH(D308&amp;E308,'Coeff EC7'!$D$39:$Q$39&amp;'Coeff EC7'!$D$40:$Q$40,0))</f>
        <v>#N/A</v>
      </c>
      <c r="P308" s="30" t="e">
        <f t="shared" si="468"/>
        <v>#N/A</v>
      </c>
      <c r="Q308" s="100" t="e">
        <f t="shared" si="433"/>
        <v>#N/A</v>
      </c>
      <c r="R308" s="86" t="b">
        <f t="shared" si="434"/>
        <v>0</v>
      </c>
      <c r="S308" s="86">
        <f t="shared" si="432"/>
        <v>0.5</v>
      </c>
      <c r="T308" s="86">
        <f t="shared" si="435"/>
        <v>0.5</v>
      </c>
      <c r="U308" s="30" t="e">
        <f t="shared" ca="1" si="469"/>
        <v>#DIV/0!</v>
      </c>
      <c r="V308" s="85" t="str">
        <f>IF(B308&lt;=Hypothèses!$V$7,Hypothèses!$W$7,IF(B308&lt;=Hypothèses!$V$8,Hypothèses!$W$8,IF(B308&lt;=Hypothèses!$V$9,Hypothèses!$W$9,IF(B308&lt;=Hypothèses!$V$10,Hypothèses!$W$10,IF(B308&lt;=Hypothèses!$V$11,Hypothèses!$W$11,IF(B308&lt;=Hypothèses!$V$12,Hypothèses!$W$12,IF(B308&lt;=Hypothèses!$V$13,Hypothèses!$W$13,IF(B308&lt;=Hypothèses!$V$14,Hypothèses!$W$14,IF(B308&lt;=Hypothèses!$V$15,Hypothèses!$W$15,IF(B308&lt;=Hypothèses!$V$16,Hypothèses!$W$16,IF(B308&lt;=Hypothèses!$V$17,Hypothèses!$W$17,IF(B308&lt;=Hypothèses!$V$18,Hypothèses!$W$18,""))))))))))))</f>
        <v/>
      </c>
      <c r="W308" s="87" t="e">
        <f t="shared" ca="1" si="516"/>
        <v>#DIV/0!</v>
      </c>
      <c r="X308" s="88" t="str">
        <f>IF(B308&lt;=Hypothèses!$V$7,Hypothèses!$X$7,IF(B308&lt;=Hypothèses!$V$8,Hypothèses!$X$8,IF(B308&lt;=Hypothèses!$V$9,Hypothèses!$X$9,IF(B308&lt;=Hypothèses!$V$10,Hypothèses!$X$10,IF(B308&lt;=Hypothèses!$V$11,Hypothèses!$X$11,IF(B308&lt;=Hypothèses!$V$12,Hypothèses!$X$12,IF(B308&lt;=Hypothèses!$V$13,Hypothèses!$X$13,IF(B308&lt;=Hypothèses!$V$14,Hypothèses!$X$14,IF(B308&lt;=Hypothèses!$V$15,Hypothèses!$X$15,IF(B308&lt;=Hypothèses!$V$16,Hypothèses!$X$16,IF(B308&lt;=Hypothèses!$U$17,Hypothèses!$W$17,IF(B308&lt;=Hypothèses!$U$18,Hypothèses!$W$18,""))))))))))))</f>
        <v/>
      </c>
      <c r="Y308" s="95" t="e">
        <f t="shared" ca="1" si="436"/>
        <v>#DIV/0!</v>
      </c>
      <c r="Z308" s="101" t="e">
        <f t="shared" si="437"/>
        <v>#N/A</v>
      </c>
      <c r="AA308" s="91" t="e">
        <f t="shared" si="438"/>
        <v>#N/A</v>
      </c>
      <c r="AB308" s="30" t="e">
        <f t="shared" si="500"/>
        <v>#N/A</v>
      </c>
      <c r="AC308" s="30" t="e">
        <f t="shared" si="501"/>
        <v>#N/A</v>
      </c>
      <c r="AD308" s="31" t="e">
        <f>IF(OR(Hypothèses!$B$4=17,Hypothèses!$B$4=18,Hypothèses!$B$4=19,Hypothèses!$B$4=20),
IF($D308="Pressio.",
IF(OR($E308=3,$E308=1,$E308=4),AC308,AB308),
IF($D308="Pénétro.",
IF(OR($E308=3,$E308=1,$E308=4),AC308,AB308))),IF($D308="Pressio.",
IF($E308=3,AC308,AB308),
IF($D308="Pénétro.",
IF($E308=4,AC308,AB308))))</f>
        <v>#N/A</v>
      </c>
      <c r="AE308" s="31" t="e">
        <f>(IF(OR(Hypothèses!$B$4=17,Hypothèses!$B$4=18,Hypothèses!$B$4=19,Hypothèses!$B$4=20),
IF($D308="Pressio.",
IF(OR($E308=3,$E308=1,$E308=4),(PI()*AE$12^2)/4*(AA308*$W308*1000)/($H308*$B$5),(PI()*AE$12^2)/4*(AA308*$W308*1000)/($G308*$B$5)),
IF($D308="Pénétro.",
IF(OR($E308=4,$E308=1,$E308=5),(PI()*AE$12^2)/4*(AA308*$W308*1000)/($H308*$B$5),(PI()*AE$12^2)/4*(AA308*$W308*1000)/($G308*$B$5)))),
IF($D308="Pressio.",
IF($E308=3,(PI()*AE$12^2)/4*(AA308*$W308*1000)/($H308*$B$5),(PI()*AE$12^2)/4*(AA308*$W308*1000)/($G308*$B$5)),
IF($D308="Pénétro.",
IF($E308=4,(PI()*AE$12^2)/4*(AA308*$W308*1000)/($H308*$B$5),(PI()*AE$12^2)/4*(AA308*$W308*1000)/($G308*$B$5))))))/10</f>
        <v>#N/A</v>
      </c>
      <c r="AF308" s="102" t="e">
        <f>(VLOOKUP($B$3,'Coeff EC7'!$T$39:$X$59,2,0)*AD308+VLOOKUP($B$3,'Coeff EC7'!$T$65:$X$85,2,0)*Model0.1C!AE308)/1.1</f>
        <v>#N/A</v>
      </c>
      <c r="AG308" s="102" t="e">
        <f>(VLOOKUP($B$3,'Coeff EC7'!$T$39:$X$59,3,0)*AD308+VLOOKUP($B$3,'Coeff EC7'!$T$65:$X$85,3,0)*Model0.1C!AE308)/0.9</f>
        <v>#N/A</v>
      </c>
      <c r="AH308" s="102" t="e">
        <f t="shared" si="439"/>
        <v>#N/A</v>
      </c>
      <c r="AI308" s="102" t="e">
        <f t="shared" si="440"/>
        <v>#N/A</v>
      </c>
      <c r="AJ308" s="414" t="e">
        <f>IF(AJ307=0,0,IF(AND(AF308&gt;charge_ELS_quasi,AG308&gt;Charge_ELS_freq,AH308&gt;charge_ELU,AI308&gt;charge_ELA,$B308&gt;NDC!$H$22-0.1+MIN(3*$AJ$12,1.5)),0,1))</f>
        <v>#N/A</v>
      </c>
      <c r="AK308" s="86" t="b">
        <f t="shared" si="441"/>
        <v>0</v>
      </c>
      <c r="AL308" s="86">
        <f t="shared" si="470"/>
        <v>0.5</v>
      </c>
      <c r="AM308" s="86">
        <f t="shared" si="442"/>
        <v>0.5</v>
      </c>
      <c r="AN308" s="30" t="e">
        <f t="shared" ca="1" si="471"/>
        <v>#DIV/0!</v>
      </c>
      <c r="AO308" s="85" t="e">
        <f ca="1">IF(U308&lt;=Hypothèses!$V$7,Hypothèses!$W$7,IF(U308&lt;=Hypothèses!$V$8,Hypothèses!$W$8,IF(U308&lt;=Hypothèses!$V$9,Hypothèses!$W$9,IF(U308&lt;=Hypothèses!$V$10,Hypothèses!$W$10,IF(U308&lt;=Hypothèses!$V$11,Hypothèses!$W$11,IF(U308&lt;=Hypothèses!$V$12,Hypothèses!$W$12,IF(U308&lt;=Hypothèses!$V$13,Hypothèses!$W$13,IF(U308&lt;=Hypothèses!$V$14,Hypothèses!$W$14,IF(U308&lt;=Hypothèses!$V$15,Hypothèses!$W$15,IF(U308&lt;=Hypothèses!$V$16,Hypothèses!$W$16,IF(U308&lt;=Hypothèses!$V$17,Hypothèses!$W$17,IF(U308&lt;=Hypothèses!$V$18,Hypothèses!$W$18,""))))))))))))</f>
        <v>#DIV/0!</v>
      </c>
      <c r="AP308" s="87" t="e">
        <f t="shared" ca="1" si="517"/>
        <v>#DIV/0!</v>
      </c>
      <c r="AQ308" s="88" t="e">
        <f ca="1">IF(U308&lt;=Hypothèses!$V$7,Hypothèses!$X$7,IF(U308&lt;=Hypothèses!$V$8,Hypothèses!$X$8,IF(U308&lt;=Hypothèses!$V$9,Hypothèses!$X$9,IF(U308&lt;=Hypothèses!$V$10,Hypothèses!$X$10,IF(U308&lt;=Hypothèses!$V$11,Hypothèses!$X$11,IF(U308&lt;=Hypothèses!$V$12,Hypothèses!$X$12,IF(U308&lt;=Hypothèses!$V$13,Hypothèses!$X$13,IF(U308&lt;=Hypothèses!$V$14,Hypothèses!$X$14,IF(U308&lt;=Hypothèses!$V$15,Hypothèses!$X$15,IF(U308&lt;=Hypothèses!$V$16,Hypothèses!$X$16,IF(U308&lt;=Hypothèses!$U$17,Hypothèses!$W$17,IF(U308&lt;=Hypothèses!$U$18,Hypothèses!$W$18,""))))))))))))</f>
        <v>#DIV/0!</v>
      </c>
      <c r="AR308" s="95" t="e">
        <f t="shared" ca="1" si="472"/>
        <v>#DIV/0!</v>
      </c>
      <c r="AS308" s="101" t="e">
        <f t="shared" si="524"/>
        <v>#N/A</v>
      </c>
      <c r="AT308" s="91" t="e">
        <f t="shared" si="443"/>
        <v>#N/A</v>
      </c>
      <c r="AU308" s="30" t="e">
        <f t="shared" si="502"/>
        <v>#N/A</v>
      </c>
      <c r="AV308" s="30" t="e">
        <f t="shared" si="503"/>
        <v>#N/A</v>
      </c>
      <c r="AW308" s="31" t="e">
        <f>IF(OR(Hypothèses!$B$4=17,Hypothèses!$B$4=18,Hypothèses!$B$4=19,Hypothèses!$B$4=20),
IF($D308="Pressio.",
IF(OR($E308=3,$E308=1,$E308=4),AV308,AU308),
IF($D308="Pénétro.",
IF(OR($E308=3,$E308=1,$E308=4),AV308,AU308))),IF($D308="Pressio.",
IF($E308=3,AV308,AU308),
IF($D308="Pénétro.",
IF($E308=4,AV308,AU308))))</f>
        <v>#N/A</v>
      </c>
      <c r="AX308" s="31" t="e">
        <f>(IF(OR(Hypothèses!$B$4=17,Hypothèses!$B$4=18,Hypothèses!$B$4=19,Hypothèses!$B$4=20),
IF($D308="Pressio.",
IF(OR($E308=3,$E308=1,$E308=4),(PI()*AX$12^2)/4*(AT308*$W308*1000)/($H308*$B$5),(PI()*AX$12^2)/4*(AT308*$W308*1000)/($G308*$B$5)),
IF($D308="Pénétro.",
IF(OR($E308=4,$E308=1,$E308=5),(PI()*AX$12^2)/4*(AT308*$W308*1000)/($H308*$B$5),(PI()*AX$12^2)/4*(AT308*$W308*1000)/($G308*$B$5)))),
IF($D308="Pressio.",
IF($E308=3,(PI()*AX$12^2)/4*(AT308*$W308*1000)/($H308*$B$5),(PI()*AX$12^2)/4*(AT308*$W308*1000)/($G308*$B$5)),
IF($D308="Pénétro.",
IF($E308=4,(PI()*AX$12^2)/4*(AT308*$W308*1000)/($H308*$B$5),(PI()*AX$12^2)/4*(AT308*$W308*1000)/($G308*$B$5))))))/10</f>
        <v>#N/A</v>
      </c>
      <c r="AY308" s="102" t="e">
        <f>(VLOOKUP($B$3,'Coeff EC7'!$T$39:$X$59,2,0)*AW308+VLOOKUP($B$3,'Coeff EC7'!$T$65:$X$85,2,0)*Model0.1C!AX308)/1.1</f>
        <v>#N/A</v>
      </c>
      <c r="AZ308" s="102" t="e">
        <f>(VLOOKUP($B$3,'Coeff EC7'!$T$39:$X$59,3,0)*AW308+VLOOKUP($B$3,'Coeff EC7'!$T$65:$X$85,3,0)*Model0.1C!AX308)/0.9</f>
        <v>#N/A</v>
      </c>
      <c r="BA308" s="102" t="e">
        <f t="shared" si="473"/>
        <v>#N/A</v>
      </c>
      <c r="BB308" s="102" t="e">
        <f t="shared" si="474"/>
        <v>#N/A</v>
      </c>
      <c r="BC308" s="414" t="e">
        <f>IF(BC307=0,0,IF(AND(AY308&gt;charge_ELS_quasi,AZ308&gt;Charge_ELS_freq,BA308&gt;charge_ELU,BB308&gt;charge_ELA,$B308&gt;NDC!$H$22-0.1+MIN(3*$BC$12,1.5)),0,1))</f>
        <v>#N/A</v>
      </c>
      <c r="BD308" s="86" t="b">
        <f t="shared" si="444"/>
        <v>0</v>
      </c>
      <c r="BE308" s="86">
        <f t="shared" si="475"/>
        <v>0.5</v>
      </c>
      <c r="BF308" s="86">
        <f t="shared" si="445"/>
        <v>0.5</v>
      </c>
      <c r="BG308" s="30" t="e">
        <f t="shared" ca="1" si="476"/>
        <v>#DIV/0!</v>
      </c>
      <c r="BH308" s="85" t="e">
        <f ca="1">IF(AN308&lt;=Hypothèses!$V$7,Hypothèses!$W$7,IF(AN308&lt;=Hypothèses!$V$8,Hypothèses!$W$8,IF(AN308&lt;=Hypothèses!$V$9,Hypothèses!$W$9,IF(AN308&lt;=Hypothèses!$V$10,Hypothèses!$W$10,IF(AN308&lt;=Hypothèses!$V$11,Hypothèses!$W$11,IF(AN308&lt;=Hypothèses!$V$12,Hypothèses!$W$12,IF(AN308&lt;=Hypothèses!$V$13,Hypothèses!$W$13,IF(AN308&lt;=Hypothèses!$V$14,Hypothèses!$W$14,IF(AN308&lt;=Hypothèses!$V$15,Hypothèses!$W$15,IF(AN308&lt;=Hypothèses!$V$16,Hypothèses!$W$16,IF(AN308&lt;=Hypothèses!$V$17,Hypothèses!$W$17,IF(AN308&lt;=Hypothèses!$V$18,Hypothèses!$W$18,""))))))))))))</f>
        <v>#DIV/0!</v>
      </c>
      <c r="BI308" s="87" t="e">
        <f t="shared" ca="1" si="518"/>
        <v>#DIV/0!</v>
      </c>
      <c r="BJ308" s="88" t="e">
        <f ca="1">IF(AN308&lt;=Hypothèses!$V$7,Hypothèses!$X$7,IF(AN308&lt;=Hypothèses!$V$8,Hypothèses!$X$8,IF(AN308&lt;=Hypothèses!$V$9,Hypothèses!$X$9,IF(AN308&lt;=Hypothèses!$V$10,Hypothèses!$X$10,IF(AN308&lt;=Hypothèses!$V$11,Hypothèses!$X$11,IF(AN308&lt;=Hypothèses!$V$12,Hypothèses!$X$12,IF(AN308&lt;=Hypothèses!$V$13,Hypothèses!$X$13,IF(AN308&lt;=Hypothèses!$V$14,Hypothèses!$X$14,IF(AN308&lt;=Hypothèses!$V$15,Hypothèses!$X$15,IF(AN308&lt;=Hypothèses!$V$16,Hypothèses!$X$16,IF(AN308&lt;=Hypothèses!$U$17,Hypothèses!$W$17,IF(AN308&lt;=Hypothèses!$U$18,Hypothèses!$W$18,""))))))))))))</f>
        <v>#DIV/0!</v>
      </c>
      <c r="BK308" s="95" t="e">
        <f t="shared" ca="1" si="477"/>
        <v>#DIV/0!</v>
      </c>
      <c r="BL308" s="101" t="e">
        <f t="shared" si="525"/>
        <v>#N/A</v>
      </c>
      <c r="BM308" s="91" t="e">
        <f t="shared" si="446"/>
        <v>#N/A</v>
      </c>
      <c r="BN308" s="30" t="e">
        <f t="shared" si="504"/>
        <v>#N/A</v>
      </c>
      <c r="BO308" s="30" t="e">
        <f t="shared" si="505"/>
        <v>#N/A</v>
      </c>
      <c r="BP308" s="31" t="e">
        <f>IF(OR(Hypothèses!$B$4=17,Hypothèses!$B$4=18,Hypothèses!$B$4=19,Hypothèses!$B$4=20),
IF($D308="Pressio.",
IF(OR($E308=3,$E308=1,$E308=4),BO308,BN308),
IF($D308="Pénétro.",
IF(OR($E308=3,$E308=1,$E308=4),BO308,BN308))),IF($D308="Pressio.",
IF($E308=3,BO308,BN308),
IF($D308="Pénétro.",
IF($E308=4,BO308,BN308))))</f>
        <v>#N/A</v>
      </c>
      <c r="BQ308" s="31" t="e">
        <f>(IF(OR(Hypothèses!$B$4=17,Hypothèses!$B$4=18,Hypothèses!$B$4=19,Hypothèses!$B$4=20),
IF($D308="Pressio.",
IF(OR($E308=3,$E308=1,$E308=4),(PI()*BQ$12^2)/4*(BM308*$W308*1000)/($H308*$B$5),(PI()*BQ$12^2)/4*(BM308*$W308*1000)/($G308*$B$5)),
IF($D308="Pénétro.",
IF(OR($E308=4,$E308=1,$E308=5),(PI()*BQ$12^2)/4*(BM308*$W308*1000)/($H308*$B$5),(PI()*BQ$12^2)/4*(BM308*$W308*1000)/($G308*$B$5)))),
IF($D308="Pressio.",
IF($E308=3,(PI()*BQ$12^2)/4*(BM308*$W308*1000)/($H308*$B$5),(PI()*BQ$12^2)/4*(BM308*$W308*1000)/($G308*$B$5)),
IF($D308="Pénétro.",
IF($E308=4,(PI()*BQ$12^2)/4*(BM308*$W308*1000)/($H308*$B$5),(PI()*BQ$12^2)/4*(BM308*$W308*1000)/($G308*$B$5))))))/10</f>
        <v>#N/A</v>
      </c>
      <c r="BR308" s="102" t="e">
        <f>(VLOOKUP($B$3,'Coeff EC7'!$T$39:$X$59,2,0)*BP308+VLOOKUP($B$3,'Coeff EC7'!$T$65:$X$85,2,0)*Model0.1C!BQ308)/1.1</f>
        <v>#N/A</v>
      </c>
      <c r="BS308" s="102" t="e">
        <f>(VLOOKUP($B$3,'Coeff EC7'!$T$39:$X$59,3,0)*BP308+VLOOKUP($B$3,'Coeff EC7'!$T$65:$X$85,3,0)*Model0.1C!BQ308)/0.9</f>
        <v>#N/A</v>
      </c>
      <c r="BT308" s="102" t="e">
        <f t="shared" si="478"/>
        <v>#N/A</v>
      </c>
      <c r="BU308" s="102" t="e">
        <f t="shared" si="479"/>
        <v>#N/A</v>
      </c>
      <c r="BV308" s="414" t="e">
        <f>IF(BV307=0,0,IF(AND(BR308&gt;charge_ELS_quasi,BS308&gt;Charge_ELS_freq,BT308&gt;charge_ELU,BU308&gt;charge_ELA,$B308&gt;NDC!$H$22-0.1+MIN(3*$BV$12,1.5)),0,1))</f>
        <v>#N/A</v>
      </c>
      <c r="BW308" s="86" t="b">
        <f t="shared" si="447"/>
        <v>0</v>
      </c>
      <c r="BX308" s="86">
        <f t="shared" si="448"/>
        <v>0.5</v>
      </c>
      <c r="BY308" s="86">
        <f t="shared" si="449"/>
        <v>0.5</v>
      </c>
      <c r="BZ308" s="30" t="e">
        <f t="shared" ca="1" si="480"/>
        <v>#DIV/0!</v>
      </c>
      <c r="CA308" s="85" t="e">
        <f ca="1">IF(BG308&lt;=Hypothèses!$V$7,Hypothèses!$W$7,IF(BG308&lt;=Hypothèses!$V$8,Hypothèses!$W$8,IF(BG308&lt;=Hypothèses!$V$9,Hypothèses!$W$9,IF(BG308&lt;=Hypothèses!$V$10,Hypothèses!$W$10,IF(BG308&lt;=Hypothèses!$V$11,Hypothèses!$W$11,IF(BG308&lt;=Hypothèses!$V$12,Hypothèses!$W$12,IF(BG308&lt;=Hypothèses!$V$13,Hypothèses!$W$13,IF(BG308&lt;=Hypothèses!$V$14,Hypothèses!$W$14,IF(BG308&lt;=Hypothèses!$V$15,Hypothèses!$W$15,IF(BG308&lt;=Hypothèses!$V$16,Hypothèses!$W$16,IF(BG308&lt;=Hypothèses!$V$17,Hypothèses!$W$17,IF(BG308&lt;=Hypothèses!$V$18,Hypothèses!$W$18,""))))))))))))</f>
        <v>#DIV/0!</v>
      </c>
      <c r="CB308" s="87" t="e">
        <f t="shared" ca="1" si="519"/>
        <v>#DIV/0!</v>
      </c>
      <c r="CC308" s="88" t="e">
        <f ca="1">IF(BG308&lt;=Hypothèses!$V$7,Hypothèses!$X$7,IF(BG308&lt;=Hypothèses!$V$8,Hypothèses!$X$8,IF(BG308&lt;=Hypothèses!$V$9,Hypothèses!$X$9,IF(BG308&lt;=Hypothèses!$V$10,Hypothèses!$X$10,IF(BG308&lt;=Hypothèses!$V$11,Hypothèses!$X$11,IF(BG308&lt;=Hypothèses!$V$12,Hypothèses!$X$12,IF(BG308&lt;=Hypothèses!$V$13,Hypothèses!$X$13,IF(BG308&lt;=Hypothèses!$V$14,Hypothèses!$X$14,IF(BG308&lt;=Hypothèses!$V$15,Hypothèses!$X$15,IF(BG308&lt;=Hypothèses!$V$16,Hypothèses!$X$16,IF(BG308&lt;=Hypothèses!$U$17,Hypothèses!$W$17,IF(BG308&lt;=Hypothèses!$U$18,Hypothèses!$W$18,""))))))))))))</f>
        <v>#DIV/0!</v>
      </c>
      <c r="CD308" s="95" t="e">
        <f t="shared" ca="1" si="481"/>
        <v>#DIV/0!</v>
      </c>
      <c r="CE308" s="101" t="e">
        <f t="shared" si="526"/>
        <v>#N/A</v>
      </c>
      <c r="CF308" s="91" t="e">
        <f t="shared" si="450"/>
        <v>#N/A</v>
      </c>
      <c r="CG308" s="30" t="e">
        <f t="shared" si="506"/>
        <v>#N/A</v>
      </c>
      <c r="CH308" s="30" t="e">
        <f t="shared" si="507"/>
        <v>#N/A</v>
      </c>
      <c r="CI308" s="31" t="e">
        <f>IF(OR(Hypothèses!$B$4=17,Hypothèses!$B$4=18,Hypothèses!$B$4=19,Hypothèses!$B$4=20),
IF($D308="Pressio.",
IF(OR($E308=3,$E308=1,$E308=4),CH308,CG308),
IF($D308="Pénétro.",
IF(OR($E308=3,$E308=1,$E308=4),CH308,CG308))),IF($D308="Pressio.",
IF($E308=3,CH308,CG308),
IF($D308="Pénétro.",
IF($E308=4,CH308,CG308))))</f>
        <v>#N/A</v>
      </c>
      <c r="CJ308" s="31" t="e">
        <f>(IF(OR(Hypothèses!$B$4=17,Hypothèses!$B$4=18,Hypothèses!$B$4=19,Hypothèses!$B$4=20),
IF($D308="Pressio.",
IF(OR($E308=3,$E308=1,$E308=4),(PI()*CJ$12^2)/4*(CF308*$W308*1000)/($H308*$B$5),(PI()*CJ$12^2)/4*(CF308*$W308*1000)/($G308*$B$5)),
IF($D308="Pénétro.",
IF(OR($E308=4,$E308=1,$E308=5),(PI()*CJ$12^2)/4*(CF308*$W308*1000)/($H308*$B$5),(PI()*CJ$12^2)/4*(CF308*$W308*1000)/($G308*$B$5)))),
IF($D308="Pressio.",
IF($E308=3,(PI()*CJ$12^2)/4*(CF308*$W308*1000)/($H308*$B$5),(PI()*CJ$12^2)/4*(CF308*$W308*1000)/($G308*$B$5)),
IF($D308="Pénétro.",
IF($E308=4,(PI()*CJ$12^2)/4*(CF308*$W308*1000)/($H308*$B$5),(PI()*CJ$12^2)/4*(CF308*$W308*1000)/($G308*$B$5))))))/10</f>
        <v>#N/A</v>
      </c>
      <c r="CK308" s="102" t="e">
        <f>(VLOOKUP($B$3,'Coeff EC7'!$T$39:$X$59,2,0)*CI308+VLOOKUP($B$3,'Coeff EC7'!$T$65:$X$85,2,0)*Model0.1C!CJ308)/1.1</f>
        <v>#N/A</v>
      </c>
      <c r="CL308" s="102" t="e">
        <f>(VLOOKUP($B$3,'Coeff EC7'!$T$39:$X$59,3,0)*CI308+VLOOKUP($B$3,'Coeff EC7'!$T$65:$X$85,3,0)*Model0.1C!CJ308)/0.9</f>
        <v>#N/A</v>
      </c>
      <c r="CM308" s="102" t="e">
        <f t="shared" si="482"/>
        <v>#N/A</v>
      </c>
      <c r="CN308" s="102" t="e">
        <f t="shared" si="483"/>
        <v>#N/A</v>
      </c>
      <c r="CO308" s="414" t="e">
        <f>IF(CO307=0,0,IF(AND(CK308&gt;charge_ELS_quasi,CL308&gt;Charge_ELS_freq,CM308&gt;charge_ELU,CN308&gt;charge_ELA,$B308&gt;NDC!$H$22-0.1+MIN(3*$CO$12,1.5)),0,1))</f>
        <v>#N/A</v>
      </c>
      <c r="CP308" s="86" t="b">
        <f t="shared" si="451"/>
        <v>0</v>
      </c>
      <c r="CQ308" s="86">
        <f t="shared" si="452"/>
        <v>0.5</v>
      </c>
      <c r="CR308" s="86">
        <f t="shared" si="453"/>
        <v>0.5</v>
      </c>
      <c r="CS308" s="30" t="e">
        <f t="shared" ca="1" si="484"/>
        <v>#DIV/0!</v>
      </c>
      <c r="CT308" s="85" t="e">
        <f ca="1">IF(BZ308&lt;=Hypothèses!$V$7,Hypothèses!$W$7,IF(BZ308&lt;=Hypothèses!$V$8,Hypothèses!$W$8,IF(BZ308&lt;=Hypothèses!$V$9,Hypothèses!$W$9,IF(BZ308&lt;=Hypothèses!$V$10,Hypothèses!$W$10,IF(BZ308&lt;=Hypothèses!$V$11,Hypothèses!$W$11,IF(BZ308&lt;=Hypothèses!$V$12,Hypothèses!$W$12,IF(BZ308&lt;=Hypothèses!$V$13,Hypothèses!$W$13,IF(BZ308&lt;=Hypothèses!$V$14,Hypothèses!$W$14,IF(BZ308&lt;=Hypothèses!$V$15,Hypothèses!$W$15,IF(BZ308&lt;=Hypothèses!$V$16,Hypothèses!$W$16,IF(BZ308&lt;=Hypothèses!$V$17,Hypothèses!$W$17,IF(BZ308&lt;=Hypothèses!$V$18,Hypothèses!$W$18,""))))))))))))</f>
        <v>#DIV/0!</v>
      </c>
      <c r="CU308" s="87" t="e">
        <f t="shared" ca="1" si="520"/>
        <v>#DIV/0!</v>
      </c>
      <c r="CV308" s="88" t="e">
        <f ca="1">IF(BZ308&lt;=Hypothèses!$V$7,Hypothèses!$X$7,IF(BZ308&lt;=Hypothèses!$V$8,Hypothèses!$X$8,IF(BZ308&lt;=Hypothèses!$V$9,Hypothèses!$X$9,IF(BZ308&lt;=Hypothèses!$V$10,Hypothèses!$X$10,IF(BZ308&lt;=Hypothèses!$V$11,Hypothèses!$X$11,IF(BZ308&lt;=Hypothèses!$V$12,Hypothèses!$X$12,IF(BZ308&lt;=Hypothèses!$V$13,Hypothèses!$X$13,IF(BZ308&lt;=Hypothèses!$V$14,Hypothèses!$X$14,IF(BZ308&lt;=Hypothèses!$V$15,Hypothèses!$X$15,IF(BZ308&lt;=Hypothèses!$V$16,Hypothèses!$X$16,IF(BZ308&lt;=Hypothèses!$U$17,Hypothèses!$W$17,IF(BZ308&lt;=Hypothèses!$U$18,Hypothèses!$W$18,""))))))))))))</f>
        <v>#DIV/0!</v>
      </c>
      <c r="CW308" s="95" t="e">
        <f t="shared" ca="1" si="485"/>
        <v>#DIV/0!</v>
      </c>
      <c r="CX308" s="101" t="e">
        <f t="shared" si="527"/>
        <v>#N/A</v>
      </c>
      <c r="CY308" s="91" t="e">
        <f t="shared" si="454"/>
        <v>#N/A</v>
      </c>
      <c r="CZ308" s="30" t="e">
        <f t="shared" si="508"/>
        <v>#N/A</v>
      </c>
      <c r="DA308" s="30" t="e">
        <f t="shared" si="509"/>
        <v>#N/A</v>
      </c>
      <c r="DB308" s="31" t="e">
        <f>IF(OR(Hypothèses!$B$4=17,Hypothèses!$B$4=18,Hypothèses!$B$4=19,Hypothèses!$B$4=20),
IF($D308="Pressio.",
IF(OR($E308=3,$E308=1,$E308=4),DA308,CZ308),
IF($D308="Pénétro.",
IF(OR($E308=3,$E308=1,$E308=4),DA308,CZ308))),IF($D308="Pressio.",
IF($E308=3,DA308,CZ308),
IF($D308="Pénétro.",
IF($E308=4,DA308,CZ308))))</f>
        <v>#N/A</v>
      </c>
      <c r="DC308" s="31" t="e">
        <f>(IF(OR(Hypothèses!$B$4=17,Hypothèses!$B$4=18,Hypothèses!$B$4=19,Hypothèses!$B$4=20),
IF($D308="Pressio.",
IF(OR($E308=3,$E308=1,$E308=4),(PI()*DC$12^2)/4*(CY308*$W308*1000)/($H308*$B$5),(PI()*DC$12^2)/4*(CY308*$W308*1000)/($G308*$B$5)),
IF($D308="Pénétro.",
IF(OR($E308=4,$E308=1,$E308=5),(PI()*DC$12^2)/4*(CY308*$W308*1000)/($H308*$B$5),(PI()*DC$12^2)/4*(CY308*$W308*1000)/($G308*$B$5)))),
IF($D308="Pressio.",
IF($E308=3,(PI()*DC$12^2)/4*(CY308*$W308*1000)/($H308*$B$5),(PI()*DC$12^2)/4*(CY308*$W308*1000)/($G308*$B$5)),
IF($D308="Pénétro.",
IF($E308=4,(PI()*DC$12^2)/4*(CY308*$W308*1000)/($H308*$B$5),(PI()*DC$12^2)/4*(CY308*$W308*1000)/($G308*$B$5))))))/10</f>
        <v>#N/A</v>
      </c>
      <c r="DD308" s="102" t="e">
        <f>(VLOOKUP($B$3,'Coeff EC7'!$T$39:$X$59,2,0)*DB308+VLOOKUP($B$3,'Coeff EC7'!$T$65:$X$85,2,0)*Model0.1C!DC308)/1.1</f>
        <v>#N/A</v>
      </c>
      <c r="DE308" s="102" t="e">
        <f>(VLOOKUP($B$3,'Coeff EC7'!$T$39:$X$59,3,0)*DB308+VLOOKUP($B$3,'Coeff EC7'!$T$65:$X$85,3,0)*Model0.1C!DC308)/0.9</f>
        <v>#N/A</v>
      </c>
      <c r="DF308" s="102" t="e">
        <f t="shared" si="486"/>
        <v>#N/A</v>
      </c>
      <c r="DG308" s="102" t="e">
        <f t="shared" si="487"/>
        <v>#N/A</v>
      </c>
      <c r="DH308" s="414" t="e">
        <f>IF(DH307=0,0,IF(AND(DD308&gt;charge_ELS_quasi,DE308&gt;Charge_ELS_freq,DF308&gt;charge_ELU,DG308&gt;charge_ELA,$B308&gt;NDC!$H$22-0.1+MIN(3*$DH$12,1.5)),0,1))</f>
        <v>#N/A</v>
      </c>
      <c r="DI308" s="86" t="b">
        <f t="shared" si="455"/>
        <v>0</v>
      </c>
      <c r="DJ308" s="86">
        <f t="shared" si="456"/>
        <v>0.5</v>
      </c>
      <c r="DK308" s="86">
        <f t="shared" si="457"/>
        <v>0.5</v>
      </c>
      <c r="DL308" s="30" t="e">
        <f t="shared" ca="1" si="488"/>
        <v>#DIV/0!</v>
      </c>
      <c r="DM308" s="85" t="e">
        <f ca="1">IF(CS308&lt;=Hypothèses!$V$7,Hypothèses!$W$7,IF(CS308&lt;=Hypothèses!$V$8,Hypothèses!$W$8,IF(CS308&lt;=Hypothèses!$V$9,Hypothèses!$W$9,IF(CS308&lt;=Hypothèses!$V$10,Hypothèses!$W$10,IF(CS308&lt;=Hypothèses!$V$11,Hypothèses!$W$11,IF(CS308&lt;=Hypothèses!$V$12,Hypothèses!$W$12,IF(CS308&lt;=Hypothèses!$V$13,Hypothèses!$W$13,IF(CS308&lt;=Hypothèses!$V$14,Hypothèses!$W$14,IF(CS308&lt;=Hypothèses!$V$15,Hypothèses!$W$15,IF(CS308&lt;=Hypothèses!$V$16,Hypothèses!$W$16,IF(CS308&lt;=Hypothèses!$V$17,Hypothèses!$W$17,IF(CS308&lt;=Hypothèses!$V$18,Hypothèses!$W$18,""))))))))))))</f>
        <v>#DIV/0!</v>
      </c>
      <c r="DN308" s="87" t="e">
        <f t="shared" ca="1" si="521"/>
        <v>#DIV/0!</v>
      </c>
      <c r="DO308" s="88" t="e">
        <f ca="1">IF(CS308&lt;=Hypothèses!$V$7,Hypothèses!$X$7,IF(CS308&lt;=Hypothèses!$V$8,Hypothèses!$X$8,IF(CS308&lt;=Hypothèses!$V$9,Hypothèses!$X$9,IF(CS308&lt;=Hypothèses!$V$10,Hypothèses!$X$10,IF(CS308&lt;=Hypothèses!$V$11,Hypothèses!$X$11,IF(CS308&lt;=Hypothèses!$V$12,Hypothèses!$X$12,IF(CS308&lt;=Hypothèses!$V$13,Hypothèses!$X$13,IF(CS308&lt;=Hypothèses!$V$14,Hypothèses!$X$14,IF(CS308&lt;=Hypothèses!$V$15,Hypothèses!$X$15,IF(CS308&lt;=Hypothèses!$V$16,Hypothèses!$X$16,IF(CS308&lt;=Hypothèses!$U$17,Hypothèses!$W$17,IF(CS308&lt;=Hypothèses!$U$18,Hypothèses!$W$18,""))))))))))))</f>
        <v>#DIV/0!</v>
      </c>
      <c r="DP308" s="95" t="e">
        <f t="shared" ca="1" si="489"/>
        <v>#DIV/0!</v>
      </c>
      <c r="DQ308" s="101" t="e">
        <f t="shared" si="528"/>
        <v>#N/A</v>
      </c>
      <c r="DR308" s="91" t="e">
        <f t="shared" si="458"/>
        <v>#N/A</v>
      </c>
      <c r="DS308" s="30" t="e">
        <f t="shared" si="510"/>
        <v>#N/A</v>
      </c>
      <c r="DT308" s="30" t="e">
        <f t="shared" si="511"/>
        <v>#N/A</v>
      </c>
      <c r="DU308" s="31" t="e">
        <f>IF(OR(Hypothèses!$B$4=17,Hypothèses!$B$4=18,Hypothèses!$B$4=19,Hypothèses!$B$4=20),
IF($D308="Pressio.",
IF(OR($E308=3,$E308=1,$E308=4),DT308,DS308),
IF($D308="Pénétro.",
IF(OR($E308=3,$E308=1,$E308=4),DT308,DS308))),IF($D308="Pressio.",
IF($E308=3,DT308,DS308),
IF($D308="Pénétro.",
IF($E308=4,DT308,DS308))))</f>
        <v>#N/A</v>
      </c>
      <c r="DV308" s="31" t="e">
        <f>(IF(OR(Hypothèses!$B$4=17,Hypothèses!$B$4=18,Hypothèses!$B$4=19,Hypothèses!$B$4=20),
IF($D308="Pressio.",
IF(OR($E308=3,$E308=1,$E308=4),(PI()*DV$12^2)/4*(DR308*$W308*1000)/($H308*$B$5),(PI()*DV$12^2)/4*(DR308*$W308*1000)/($G308*$B$5)),
IF($D308="Pénétro.",
IF(OR($E308=4,$E308=1,$E308=5),(PI()*DV$12^2)/4*(DR308*$W308*1000)/($H308*$B$5),(PI()*DV$12^2)/4*(DR308*$W308*1000)/($G308*$B$5)))),
IF($D308="Pressio.",
IF($E308=3,(PI()*DV$12^2)/4*(DR308*$W308*1000)/($H308*$B$5),(PI()*DV$12^2)/4*(DR308*$W308*1000)/($G308*$B$5)),
IF($D308="Pénétro.",
IF($E308=4,(PI()*DV$12^2)/4*(DR308*$W308*1000)/($H308*$B$5),(PI()*DV$12^2)/4*(DR308*$W308*1000)/($G308*$B$5))))))/10</f>
        <v>#N/A</v>
      </c>
      <c r="DW308" s="102" t="e">
        <f>(VLOOKUP($B$3,'Coeff EC7'!$T$39:$X$59,2,0)*DU308+VLOOKUP($B$3,'Coeff EC7'!$T$65:$X$85,2,0)*Model0.1C!DV308)/1.1</f>
        <v>#N/A</v>
      </c>
      <c r="DX308" s="102" t="e">
        <f>(VLOOKUP($B$3,'Coeff EC7'!$T$39:$X$59,3,0)*DU308+VLOOKUP($B$3,'Coeff EC7'!$T$65:$X$85,3,0)*Model0.1C!DV308)/0.9</f>
        <v>#N/A</v>
      </c>
      <c r="DY308" s="102" t="e">
        <f t="shared" si="490"/>
        <v>#N/A</v>
      </c>
      <c r="DZ308" s="102" t="e">
        <f t="shared" si="491"/>
        <v>#N/A</v>
      </c>
      <c r="EA308" s="414" t="e">
        <f>IF(EA307=0,0,IF(AND(DW308&gt;charge_ELS_quasi,DX308&gt;Charge_ELS_freq,DY308&gt;charge_ELU,DZ308&gt;charge_ELA,$B308&gt;NDC!$H$22-0.1+MIN(3*$EA$12,1.5)),0,1))</f>
        <v>#N/A</v>
      </c>
      <c r="EB308" s="86" t="b">
        <f t="shared" si="459"/>
        <v>0</v>
      </c>
      <c r="EC308" s="418">
        <f t="shared" si="460"/>
        <v>0.51</v>
      </c>
      <c r="ED308" s="86">
        <f t="shared" si="461"/>
        <v>0.51</v>
      </c>
      <c r="EE308" s="30" t="e">
        <f t="shared" ca="1" si="492"/>
        <v>#DIV/0!</v>
      </c>
      <c r="EF308" s="85" t="e">
        <f ca="1">IF(DL308&lt;=Hypothèses!$V$7,Hypothèses!$W$7,IF(DL308&lt;=Hypothèses!$V$8,Hypothèses!$W$8,IF(DL308&lt;=Hypothèses!$V$9,Hypothèses!$W$9,IF(DL308&lt;=Hypothèses!$V$10,Hypothèses!$W$10,IF(DL308&lt;=Hypothèses!$V$11,Hypothèses!$W$11,IF(DL308&lt;=Hypothèses!$V$12,Hypothèses!$W$12,IF(DL308&lt;=Hypothèses!$V$13,Hypothèses!$W$13,IF(DL308&lt;=Hypothèses!$V$14,Hypothèses!$W$14,IF(DL308&lt;=Hypothèses!$V$15,Hypothèses!$W$15,IF(DL308&lt;=Hypothèses!$V$16,Hypothèses!$W$16,IF(DL308&lt;=Hypothèses!$V$17,Hypothèses!$W$17,IF(DL308&lt;=Hypothèses!$V$18,Hypothèses!$W$18,""))))))))))))</f>
        <v>#DIV/0!</v>
      </c>
      <c r="EG308" s="87" t="e">
        <f t="shared" ca="1" si="522"/>
        <v>#DIV/0!</v>
      </c>
      <c r="EH308" s="88" t="e">
        <f ca="1">IF(DL308&lt;=Hypothèses!$V$7,Hypothèses!$X$7,IF(DL308&lt;=Hypothèses!$V$8,Hypothèses!$X$8,IF(DL308&lt;=Hypothèses!$V$9,Hypothèses!$X$9,IF(DL308&lt;=Hypothèses!$V$10,Hypothèses!$X$10,IF(DL308&lt;=Hypothèses!$V$11,Hypothèses!$X$11,IF(DL308&lt;=Hypothèses!$V$12,Hypothèses!$X$12,IF(DL308&lt;=Hypothèses!$V$13,Hypothèses!$X$13,IF(DL308&lt;=Hypothèses!$V$14,Hypothèses!$X$14,IF(DL308&lt;=Hypothèses!$V$15,Hypothèses!$X$15,IF(DL308&lt;=Hypothèses!$V$16,Hypothèses!$X$16,IF(DL308&lt;=Hypothèses!$U$17,Hypothèses!$W$17,IF(DL308&lt;=Hypothèses!$U$18,Hypothèses!$W$18,""))))))))))))</f>
        <v>#DIV/0!</v>
      </c>
      <c r="EI308" s="95" t="e">
        <f t="shared" ca="1" si="493"/>
        <v>#DIV/0!</v>
      </c>
      <c r="EJ308" s="101" t="e">
        <f t="shared" si="529"/>
        <v>#N/A</v>
      </c>
      <c r="EK308" s="91" t="e">
        <f t="shared" si="462"/>
        <v>#N/A</v>
      </c>
      <c r="EL308" s="30" t="e">
        <f t="shared" si="512"/>
        <v>#N/A</v>
      </c>
      <c r="EM308" s="30" t="e">
        <f t="shared" si="513"/>
        <v>#N/A</v>
      </c>
      <c r="EN308" s="31" t="e">
        <f>IF(OR(Hypothèses!$B$4=17,Hypothèses!$B$4=18,Hypothèses!$B$4=19,Hypothèses!$B$4=20),
IF($D308="Pressio.",
IF(OR($E308=3,$E308=1,$E308=4),EM308,EL308),
IF($D308="Pénétro.",
IF(OR($E308=3,$E308=1,$E308=4),EM308,EL308))),IF($D308="Pressio.",
IF($E308=3,EM308,EL308),
IF($D308="Pénétro.",
IF($E308=4,EM308,EL308))))</f>
        <v>#N/A</v>
      </c>
      <c r="EO308" s="31" t="e">
        <f>(IF(OR(Hypothèses!$B$4=17,Hypothèses!$B$4=18,Hypothèses!$B$4=19,Hypothèses!$B$4=20),
IF($D308="Pressio.",
IF(OR($E308=3,$E308=1,$E308=4),(PI()*EO$12^2)/4*(EK308*$W308*1000)/($H308*$B$5),(PI()*EO$12^2)/4*(EK308*$W308*1000)/($G308*$B$5)),
IF($D308="Pénétro.",
IF(OR($E308=4,$E308=1,$E308=5),(PI()*EO$12^2)/4*(EK308*$W308*1000)/($H308*$B$5),(PI()*EO$12^2)/4*(EK308*$W308*1000)/($G308*$B$5)))),
IF($D308="Pressio.",
IF($E308=3,(PI()*EO$12^2)/4*(EK308*$W308*1000)/($H308*$B$5),(PI()*EO$12^2)/4*(EK308*$W308*1000)/($G308*$B$5)),
IF($D308="Pénétro.",
IF($E308=4,(PI()*EO$12^2)/4*(EK308*$W308*1000)/($H308*$B$5),(PI()*EO$12^2)/4*(EK308*$W308*1000)/($G308*$B$5))))))/10</f>
        <v>#N/A</v>
      </c>
      <c r="EP308" s="102" t="e">
        <f>(VLOOKUP($B$3,'Coeff EC7'!$T$39:$X$59,2,0)*EN308+VLOOKUP($B$3,'Coeff EC7'!$T$65:$X$85,2,0)*Model0.1C!EO308)/1.1</f>
        <v>#N/A</v>
      </c>
      <c r="EQ308" s="102" t="e">
        <f>(VLOOKUP($B$3,'Coeff EC7'!$T$39:$X$59,3,0)*EN308+VLOOKUP($B$3,'Coeff EC7'!$T$65:$X$85,3,0)*Model0.1C!EO308)/0.9</f>
        <v>#N/A</v>
      </c>
      <c r="ER308" s="102" t="e">
        <f t="shared" si="494"/>
        <v>#N/A</v>
      </c>
      <c r="ES308" s="102" t="e">
        <f t="shared" si="495"/>
        <v>#N/A</v>
      </c>
      <c r="ET308" s="414" t="e">
        <f>IF(ET307=0,0,IF(AND(EP308&gt;charge_ELS_quasi,EQ308&gt;Charge_ELS_freq,ER308&gt;charge_ELU,ES308&gt;charge_ELA,$B308&gt;NDC!$H$22-0.1+MIN(3*$ET$12,1.5)),0,1))</f>
        <v>#N/A</v>
      </c>
      <c r="EU308" s="86" t="b">
        <f t="shared" si="463"/>
        <v>0</v>
      </c>
      <c r="EV308" s="86">
        <f t="shared" si="464"/>
        <v>0.61</v>
      </c>
      <c r="EW308" s="86">
        <f t="shared" si="465"/>
        <v>0.61</v>
      </c>
      <c r="EX308" s="30" t="e">
        <f t="shared" ca="1" si="496"/>
        <v>#DIV/0!</v>
      </c>
      <c r="EY308" s="85" t="e">
        <f ca="1">IF(EE308&lt;=Hypothèses!$V$7,Hypothèses!$W$7,IF(EE308&lt;=Hypothèses!$V$8,Hypothèses!$W$8,IF(EE308&lt;=Hypothèses!$V$9,Hypothèses!$W$9,IF(EE308&lt;=Hypothèses!$V$10,Hypothèses!$W$10,IF(EE308&lt;=Hypothèses!$V$11,Hypothèses!$W$11,IF(EE308&lt;=Hypothèses!$V$12,Hypothèses!$W$12,IF(EE308&lt;=Hypothèses!$V$13,Hypothèses!$W$13,IF(EE308&lt;=Hypothèses!$V$14,Hypothèses!$W$14,IF(EE308&lt;=Hypothèses!$V$15,Hypothèses!$W$15,IF(EE308&lt;=Hypothèses!$V$16,Hypothèses!$W$16,IF(EE308&lt;=Hypothèses!$V$17,Hypothèses!$W$17,IF(EE308&lt;=Hypothèses!$V$18,Hypothèses!$W$18,""))))))))))))</f>
        <v>#DIV/0!</v>
      </c>
      <c r="EZ308" s="87" t="e">
        <f t="shared" ca="1" si="523"/>
        <v>#DIV/0!</v>
      </c>
      <c r="FA308" s="88" t="e">
        <f ca="1">IF(EE308&lt;=Hypothèses!$V$7,Hypothèses!$X$7,IF(EE308&lt;=Hypothèses!$V$8,Hypothèses!$X$8,IF(EE308&lt;=Hypothèses!$V$9,Hypothèses!$X$9,IF(EE308&lt;=Hypothèses!$V$10,Hypothèses!$X$10,IF(EE308&lt;=Hypothèses!$V$11,Hypothèses!$X$11,IF(EE308&lt;=Hypothèses!$V$12,Hypothèses!$X$12,IF(EE308&lt;=Hypothèses!$V$13,Hypothèses!$X$13,IF(EE308&lt;=Hypothèses!$V$14,Hypothèses!$X$14,IF(EE308&lt;=Hypothèses!$V$15,Hypothèses!$X$15,IF(EE308&lt;=Hypothèses!$V$16,Hypothèses!$X$16,IF(EE308&lt;=Hypothèses!$U$17,Hypothèses!$W$17,IF(EE308&lt;=Hypothèses!$U$18,Hypothèses!$W$18,""))))))))))))</f>
        <v>#DIV/0!</v>
      </c>
      <c r="FB308" s="95" t="e">
        <f t="shared" ca="1" si="497"/>
        <v>#DIV/0!</v>
      </c>
      <c r="FC308" s="101" t="e">
        <f t="shared" si="530"/>
        <v>#N/A</v>
      </c>
      <c r="FD308" s="91" t="e">
        <f t="shared" si="466"/>
        <v>#N/A</v>
      </c>
      <c r="FE308" s="30" t="e">
        <f t="shared" si="514"/>
        <v>#N/A</v>
      </c>
      <c r="FF308" s="30" t="e">
        <f t="shared" si="515"/>
        <v>#N/A</v>
      </c>
      <c r="FG308" s="31" t="e">
        <f>IF(OR(Hypothèses!$B$4=17,Hypothèses!$B$4=18,Hypothèses!$B$4=19,Hypothèses!$B$4=20),
IF($D308="Pressio.",
IF(OR($E308=3,$E308=1,$E308=4),FF308,FE308),
IF($D308="Pénétro.",
IF(OR($E308=3,$E308=1,$E308=4),FF308,FE308))),IF($D308="Pressio.",
IF($E308=3,FF308,FE308),
IF($D308="Pénétro.",
IF($E308=4,FF308,FE308))))</f>
        <v>#N/A</v>
      </c>
      <c r="FH308" s="31" t="e">
        <f>(IF(OR(Hypothèses!$B$4=17,Hypothèses!$B$4=18,Hypothèses!$B$4=19,Hypothèses!$B$4=20),
IF($D308="Pressio.",
IF(OR($E308=3,$E308=1,$E308=4),(PI()*FH$12^2)/4*(FD308*$W308*1000)/($H308*$B$5),(PI()*FH$12^2)/4*(FD308*$W308*1000)/($G308*$B$5)),
IF($D308="Pénétro.",
IF(OR($E308=4,$E308=1,$E308=5),(PI()*FH$12^2)/4*(FD308*$W308*1000)/($H308*$B$5),(PI()*FH$12^2)/4*(FD308*$W308*1000)/($G308*$B$5)))),
IF($D308="Pressio.",
IF($E308=3,(PI()*FH$12^2)/4*(FD308*$W308*1000)/($H308*$B$5),(PI()*FH$12^2)/4*(FD308*$W308*1000)/($G308*$B$5)),
IF($D308="Pénétro.",
IF($E308=4,(PI()*FH$12^2)/4*(FD308*$W308*1000)/($H308*$B$5),(PI()*FH$12^2)/4*(FD308*$W308*1000)/($G308*$B$5))))))/10</f>
        <v>#N/A</v>
      </c>
      <c r="FI308" s="102" t="e">
        <f>(VLOOKUP($B$3,'Coeff EC7'!$T$39:$X$59,2,0)*FG308+VLOOKUP($B$3,'Coeff EC7'!$T$65:$X$85,2,0)*Model0.1C!FH308)/1.1</f>
        <v>#N/A</v>
      </c>
      <c r="FJ308" s="102" t="e">
        <f>(VLOOKUP($B$3,'Coeff EC7'!$T$39:$X$59,3,0)*FG308+VLOOKUP($B$3,'Coeff EC7'!$T$65:$X$85,3,0)*Model0.1C!FH308)/0.9</f>
        <v>#N/A</v>
      </c>
      <c r="FK308" s="102" t="e">
        <f t="shared" si="498"/>
        <v>#N/A</v>
      </c>
      <c r="FL308" s="102" t="e">
        <f t="shared" si="499"/>
        <v>#N/A</v>
      </c>
      <c r="FM308" s="414" t="e">
        <f>IF(FM307=0,0,IF(AND(FI308&gt;charge_ELS_quasi,FJ308&gt;Charge_ELS_freq,FK308&gt;charge_ELU,FL308&gt;charge_ELA,$B308&gt;NDC!$H$22-0.1+MIN(3*$FM$12,1.5)),0,1))</f>
        <v>#N/A</v>
      </c>
    </row>
    <row r="309" spans="1:169">
      <c r="A309" s="96">
        <f t="shared" si="467"/>
        <v>70.400000000001683</v>
      </c>
      <c r="B309" s="97">
        <v>29.6</v>
      </c>
      <c r="C309" s="81">
        <f>IF(B309&lt;=Hypothèses!$C$7,Hypothèses!$A$7,IF(B309&lt;=Hypothèses!$C$8,Hypothèses!$A$8,IF(B309&lt;=Hypothèses!$C$9,Hypothèses!$A$9,IF(B309&lt;=Hypothèses!$C$10,Hypothèses!$A$10,IF(B309&lt;=Hypothèses!$C$11,Hypothèses!$A$11,IF(B309&lt;=Hypothèses!$C$12,Hypothèses!$A$12,IF(B309&lt;=Hypothèses!$C$13,Hypothèses!$A$13,IF(B309&lt;=Hypothèses!$C$14,Hypothèses!$A$14,IF(B309&lt;=Hypothèses!$C$15,Hypothèses!$A$15,IF(B309&lt;=Hypothèses!$C$16,Hypothèses!$A$16,IF(B309&lt;=Hypothèses!$C$17,Hypothèses!$A$17,IF(B309&lt;=Hypothèses!$C$18,Hypothèses!$A$18,C308))))))))))))</f>
        <v>11</v>
      </c>
      <c r="D309" s="82" t="str">
        <f>IF(B309&lt;=Hypothèses!$C$7,Hypothèses!$R$7,IF(B309&lt;=Hypothèses!$C$8,Hypothèses!$R$8,IF(B309&lt;=Hypothèses!$C$9,Hypothèses!$R$9,IF(B309&lt;=Hypothèses!$C$10,Hypothèses!$R$10,IF(B309&lt;=Hypothèses!$C$11,Hypothèses!$R$11,IF(B309&lt;=Hypothèses!$C$12,Hypothèses!$R$12,IF(B309&lt;=Hypothèses!$C$13,Hypothèses!$R$13,IF(B309&lt;=Hypothèses!$C$14,Hypothèses!$R$14,IF(B309&lt;=Hypothèses!$C$15,Hypothèses!$R$15,IF(B309&lt;=Hypothèses!$C$16,Hypothèses!$R$16,IF(B309&lt;=Hypothèses!$C$17,Hypothèses!$R$17,IF(B309&lt;=Hypothèses!$C$18,Hypothèses!$R$18,D308))))))))))))</f>
        <v>Pressio.</v>
      </c>
      <c r="E309" s="82" t="e">
        <f>IF(B309&lt;=Hypothèses!$C$7,Hypothèses!$G$7,IF(B309&lt;=Hypothèses!$C$8,Hypothèses!$G$8,IF(B309&lt;=Hypothèses!$C$9,Hypothèses!$G$9,IF(B309&lt;=Hypothèses!$C$10,Hypothèses!$G$10,IF(B309&lt;=Hypothèses!$C$11,Hypothèses!$G$11,IF(B309&lt;=Hypothèses!$C$12,Hypothèses!$G$12,IF(B309&lt;=Hypothèses!$C$13,Hypothèses!$G$13,IF(B309&lt;=Hypothèses!$C$14,Hypothèses!$G$14,IF(B309&lt;=Hypothèses!$C$15,Hypothèses!$G$15,IF(B309&lt;=Hypothèses!$C$16,Hypothèses!$G$16,IF(B309&lt;=Hypothèses!$C$17,Hypothèses!$G$17,IF(B309&lt;=Hypothèses!$C$18,Hypothèses!$G$18,E308))))))))))))</f>
        <v>#N/A</v>
      </c>
      <c r="F309" s="82" t="str">
        <f>IF(B309&lt;=Hypothèses!$C$7,Hypothèses!$F$7,IF(B309&lt;=Hypothèses!$C$8,Hypothèses!$F$8,IF(B309&lt;=Hypothèses!$C$9,Hypothèses!$F$9,IF(B309&lt;=Hypothèses!$C$10,Hypothèses!$F$10,IF(B309&lt;=Hypothèses!$C$11,Hypothèses!$F$11,IF(B309&lt;=Hypothèses!$C$12,Hypothèses!$F$12,IF(B309&lt;=Hypothèses!$C$13,Hypothèses!$F$13,IF(B309&lt;=Hypothèses!$C$14,Hypothèses!$F$14,IF(B309&lt;=Hypothèses!$C$15,Hypothèses!$F$15,IF(B309&lt;=Hypothèses!$C$16,Hypothèses!$F$16,IF(B309&lt;=Hypothèses!$C$17,Hypothèses!$F$17,IF(B309&lt;=Hypothèses!$C$18,Hypothèses!$F$18,F308))))))))))))</f>
        <v/>
      </c>
      <c r="G309" s="91">
        <f t="array" ref="G309">INDEX('Coeff EC7'!$U$7:$X$27,
MATCH(Model0.1C!$B$3,'Coeff EC7'!$T$7:$T$27,0),
MATCH(Model0.1C!$D309&amp;Model0.1C!$B$4,
'Coeff EC7'!$U$6:$X$6&amp;
'Coeff EC7'!$U$5:$X$5,0))</f>
        <v>1.1499999999999999</v>
      </c>
      <c r="H309" s="91">
        <f t="array" ref="H309">INDEX('Coeff EC7'!$Y$7:$AB$27,
MATCH(Model0.1C!$B$3,'Coeff EC7'!$T$7:$T$27,0),
MATCH(Model0.1C!$D309&amp;Model0.1C!$B$4,
'Coeff EC7'!$Y$6:$AB$6&amp;
'Coeff EC7'!$Y$5:$AB$5,0))</f>
        <v>1.4</v>
      </c>
      <c r="I309" s="83" t="e">
        <f>IF(B309&lt;=Hypothèses!$C$7,Hypothèses!$P$7,IF(B309&lt;=Hypothèses!$C$8,Hypothèses!$P$8,IF(B309&lt;=Hypothèses!$C$9,Hypothèses!$P$9,IF(B309&lt;=Hypothèses!$C$10,Hypothèses!$P$10,IF(B309&lt;=Hypothèses!$C$11,Hypothèses!$P$11,IF(B309&lt;=Hypothèses!$C$12,Hypothèses!$P$12,IF(B309&lt;=Hypothèses!$C$13,Hypothèses!$P$13,IF(B309&lt;=Hypothèses!$C$14,Hypothèses!$P$14,IF(B309&lt;=Hypothèses!$C$15,Hypothèses!$P$15,IF(B309&lt;=Hypothèses!$C$16,Hypothèses!$P$16,IF(B309&lt;=Hypothèses!$C$17,Hypothèses!$P$17,IF(B309&lt;=Hypothèses!$C$18,Hypothèses!$P$18,I308))))))))))))</f>
        <v>#N/A</v>
      </c>
      <c r="J309" s="91" t="e">
        <f t="array" ref="J309">INDEX('Coeff EC7'!$D$33:$Q$33,1,MATCH(D309&amp;E309,'Coeff EC7'!$D$31:$Q$31&amp;'Coeff EC7'!$D$32:$Q$32,0))</f>
        <v>#N/A</v>
      </c>
      <c r="K309" s="91" t="e">
        <f t="array" ref="K309">INDEX('Coeff EC7'!$D$34:$Q$34,1,MATCH(D309&amp;E309,'Coeff EC7'!$D$31:$Q$31&amp;'Coeff EC7'!$D$32:$Q$32,0))</f>
        <v>#N/A</v>
      </c>
      <c r="L309" s="91" t="e">
        <f t="array" ref="L309">INDEX('Coeff EC7'!$D$35:$Q$35,1,MATCH(D309&amp;E309,'Coeff EC7'!$D$31:$Q$31&amp;'Coeff EC7'!$D$32:$Q$32,0))</f>
        <v>#N/A</v>
      </c>
      <c r="M309" s="98" t="e">
        <f t="shared" si="431"/>
        <v>#N/A</v>
      </c>
      <c r="N309" s="99" t="e">
        <f t="array" ref="N309">INDEX('Coeff EC7'!$D$7:$Q$27,MATCH($B$3,'Coeff EC7'!$C$7:$C$27,0),MATCH(D309&amp;E309,'Coeff EC7'!$D$5:$Q$5&amp;'Coeff EC7'!$D$6:$Q$6,0))</f>
        <v>#N/A</v>
      </c>
      <c r="O309" s="99" t="e">
        <f t="array" ref="O309">INDEX('Coeff EC7'!$D$41:$Q$61,MATCH($B$3,'Coeff EC7'!$C$41:$C$61,0),MATCH(D309&amp;E309,'Coeff EC7'!$D$39:$Q$39&amp;'Coeff EC7'!$D$40:$Q$40,0))</f>
        <v>#N/A</v>
      </c>
      <c r="P309" s="30" t="e">
        <f t="shared" si="468"/>
        <v>#N/A</v>
      </c>
      <c r="Q309" s="100" t="e">
        <f t="shared" si="433"/>
        <v>#N/A</v>
      </c>
      <c r="R309" s="86" t="b">
        <f t="shared" si="434"/>
        <v>0</v>
      </c>
      <c r="S309" s="86">
        <f t="shared" si="432"/>
        <v>0.5</v>
      </c>
      <c r="T309" s="86">
        <f t="shared" si="435"/>
        <v>0.5</v>
      </c>
      <c r="U309" s="30" t="e">
        <f t="shared" ca="1" si="469"/>
        <v>#DIV/0!</v>
      </c>
      <c r="V309" s="85" t="str">
        <f>IF(B309&lt;=Hypothèses!$V$7,Hypothèses!$W$7,IF(B309&lt;=Hypothèses!$V$8,Hypothèses!$W$8,IF(B309&lt;=Hypothèses!$V$9,Hypothèses!$W$9,IF(B309&lt;=Hypothèses!$V$10,Hypothèses!$W$10,IF(B309&lt;=Hypothèses!$V$11,Hypothèses!$W$11,IF(B309&lt;=Hypothèses!$V$12,Hypothèses!$W$12,IF(B309&lt;=Hypothèses!$V$13,Hypothèses!$W$13,IF(B309&lt;=Hypothèses!$V$14,Hypothèses!$W$14,IF(B309&lt;=Hypothèses!$V$15,Hypothèses!$W$15,IF(B309&lt;=Hypothèses!$V$16,Hypothèses!$W$16,IF(B309&lt;=Hypothèses!$V$17,Hypothèses!$W$17,IF(B309&lt;=Hypothèses!$V$18,Hypothèses!$W$18,""))))))))))))</f>
        <v/>
      </c>
      <c r="W309" s="87" t="e">
        <f t="shared" ca="1" si="516"/>
        <v>#DIV/0!</v>
      </c>
      <c r="X309" s="88" t="str">
        <f>IF(B309&lt;=Hypothèses!$V$7,Hypothèses!$X$7,IF(B309&lt;=Hypothèses!$V$8,Hypothèses!$X$8,IF(B309&lt;=Hypothèses!$V$9,Hypothèses!$X$9,IF(B309&lt;=Hypothèses!$V$10,Hypothèses!$X$10,IF(B309&lt;=Hypothèses!$V$11,Hypothèses!$X$11,IF(B309&lt;=Hypothèses!$V$12,Hypothèses!$X$12,IF(B309&lt;=Hypothèses!$V$13,Hypothèses!$X$13,IF(B309&lt;=Hypothèses!$V$14,Hypothèses!$X$14,IF(B309&lt;=Hypothèses!$V$15,Hypothèses!$X$15,IF(B309&lt;=Hypothèses!$V$16,Hypothèses!$X$16,IF(B309&lt;=Hypothèses!$U$17,Hypothèses!$W$17,IF(B309&lt;=Hypothèses!$U$18,Hypothèses!$W$18,""))))))))))))</f>
        <v/>
      </c>
      <c r="Y309" s="95" t="e">
        <f t="shared" ca="1" si="436"/>
        <v>#DIV/0!</v>
      </c>
      <c r="Z309" s="101" t="e">
        <f t="shared" si="437"/>
        <v>#N/A</v>
      </c>
      <c r="AA309" s="91" t="e">
        <f t="shared" si="438"/>
        <v>#N/A</v>
      </c>
      <c r="AB309" s="30" t="e">
        <f t="shared" si="500"/>
        <v>#N/A</v>
      </c>
      <c r="AC309" s="30" t="e">
        <f t="shared" si="501"/>
        <v>#N/A</v>
      </c>
      <c r="AD309" s="31" t="e">
        <f>IF(OR(Hypothèses!$B$4=17,Hypothèses!$B$4=18,Hypothèses!$B$4=19,Hypothèses!$B$4=20),
IF($D309="Pressio.",
IF(OR($E309=3,$E309=1,$E309=4),AC309,AB309),
IF($D309="Pénétro.",
IF(OR($E309=3,$E309=1,$E309=4),AC309,AB309))),IF($D309="Pressio.",
IF($E309=3,AC309,AB309),
IF($D309="Pénétro.",
IF($E309=4,AC309,AB309))))</f>
        <v>#N/A</v>
      </c>
      <c r="AE309" s="31" t="e">
        <f>(IF(OR(Hypothèses!$B$4=17,Hypothèses!$B$4=18,Hypothèses!$B$4=19,Hypothèses!$B$4=20),
IF($D309="Pressio.",
IF(OR($E309=3,$E309=1,$E309=4),(PI()*AE$12^2)/4*(AA309*$W309*1000)/($H309*$B$5),(PI()*AE$12^2)/4*(AA309*$W309*1000)/($G309*$B$5)),
IF($D309="Pénétro.",
IF(OR($E309=4,$E309=1,$E309=5),(PI()*AE$12^2)/4*(AA309*$W309*1000)/($H309*$B$5),(PI()*AE$12^2)/4*(AA309*$W309*1000)/($G309*$B$5)))),
IF($D309="Pressio.",
IF($E309=3,(PI()*AE$12^2)/4*(AA309*$W309*1000)/($H309*$B$5),(PI()*AE$12^2)/4*(AA309*$W309*1000)/($G309*$B$5)),
IF($D309="Pénétro.",
IF($E309=4,(PI()*AE$12^2)/4*(AA309*$W309*1000)/($H309*$B$5),(PI()*AE$12^2)/4*(AA309*$W309*1000)/($G309*$B$5))))))/10</f>
        <v>#N/A</v>
      </c>
      <c r="AF309" s="102" t="e">
        <f>(VLOOKUP($B$3,'Coeff EC7'!$T$39:$X$59,2,0)*AD309+VLOOKUP($B$3,'Coeff EC7'!$T$65:$X$85,2,0)*Model0.1C!AE309)/1.1</f>
        <v>#N/A</v>
      </c>
      <c r="AG309" s="102" t="e">
        <f>(VLOOKUP($B$3,'Coeff EC7'!$T$39:$X$59,3,0)*AD309+VLOOKUP($B$3,'Coeff EC7'!$T$65:$X$85,3,0)*Model0.1C!AE309)/0.9</f>
        <v>#N/A</v>
      </c>
      <c r="AH309" s="102" t="e">
        <f t="shared" si="439"/>
        <v>#N/A</v>
      </c>
      <c r="AI309" s="102" t="e">
        <f t="shared" si="440"/>
        <v>#N/A</v>
      </c>
      <c r="AJ309" s="414" t="e">
        <f>IF(AJ308=0,0,IF(AND(AF309&gt;charge_ELS_quasi,AG309&gt;Charge_ELS_freq,AH309&gt;charge_ELU,AI309&gt;charge_ELA,$B309&gt;NDC!$H$22-0.1+MIN(3*$AJ$12,1.5)),0,1))</f>
        <v>#N/A</v>
      </c>
      <c r="AK309" s="86" t="b">
        <f t="shared" si="441"/>
        <v>0</v>
      </c>
      <c r="AL309" s="86">
        <f t="shared" si="470"/>
        <v>0.5</v>
      </c>
      <c r="AM309" s="86">
        <f t="shared" si="442"/>
        <v>0.5</v>
      </c>
      <c r="AN309" s="30" t="e">
        <f t="shared" ca="1" si="471"/>
        <v>#DIV/0!</v>
      </c>
      <c r="AO309" s="85" t="e">
        <f ca="1">IF(U309&lt;=Hypothèses!$V$7,Hypothèses!$W$7,IF(U309&lt;=Hypothèses!$V$8,Hypothèses!$W$8,IF(U309&lt;=Hypothèses!$V$9,Hypothèses!$W$9,IF(U309&lt;=Hypothèses!$V$10,Hypothèses!$W$10,IF(U309&lt;=Hypothèses!$V$11,Hypothèses!$W$11,IF(U309&lt;=Hypothèses!$V$12,Hypothèses!$W$12,IF(U309&lt;=Hypothèses!$V$13,Hypothèses!$W$13,IF(U309&lt;=Hypothèses!$V$14,Hypothèses!$W$14,IF(U309&lt;=Hypothèses!$V$15,Hypothèses!$W$15,IF(U309&lt;=Hypothèses!$V$16,Hypothèses!$W$16,IF(U309&lt;=Hypothèses!$V$17,Hypothèses!$W$17,IF(U309&lt;=Hypothèses!$V$18,Hypothèses!$W$18,""))))))))))))</f>
        <v>#DIV/0!</v>
      </c>
      <c r="AP309" s="87" t="e">
        <f t="shared" ca="1" si="517"/>
        <v>#DIV/0!</v>
      </c>
      <c r="AQ309" s="88" t="e">
        <f ca="1">IF(U309&lt;=Hypothèses!$V$7,Hypothèses!$X$7,IF(U309&lt;=Hypothèses!$V$8,Hypothèses!$X$8,IF(U309&lt;=Hypothèses!$V$9,Hypothèses!$X$9,IF(U309&lt;=Hypothèses!$V$10,Hypothèses!$X$10,IF(U309&lt;=Hypothèses!$V$11,Hypothèses!$X$11,IF(U309&lt;=Hypothèses!$V$12,Hypothèses!$X$12,IF(U309&lt;=Hypothèses!$V$13,Hypothèses!$X$13,IF(U309&lt;=Hypothèses!$V$14,Hypothèses!$X$14,IF(U309&lt;=Hypothèses!$V$15,Hypothèses!$X$15,IF(U309&lt;=Hypothèses!$V$16,Hypothèses!$X$16,IF(U309&lt;=Hypothèses!$U$17,Hypothèses!$W$17,IF(U309&lt;=Hypothèses!$U$18,Hypothèses!$W$18,""))))))))))))</f>
        <v>#DIV/0!</v>
      </c>
      <c r="AR309" s="95" t="e">
        <f t="shared" ca="1" si="472"/>
        <v>#DIV/0!</v>
      </c>
      <c r="AS309" s="101" t="e">
        <f t="shared" si="524"/>
        <v>#N/A</v>
      </c>
      <c r="AT309" s="91" t="e">
        <f t="shared" si="443"/>
        <v>#N/A</v>
      </c>
      <c r="AU309" s="30" t="e">
        <f t="shared" si="502"/>
        <v>#N/A</v>
      </c>
      <c r="AV309" s="30" t="e">
        <f t="shared" si="503"/>
        <v>#N/A</v>
      </c>
      <c r="AW309" s="31" t="e">
        <f>IF(OR(Hypothèses!$B$4=17,Hypothèses!$B$4=18,Hypothèses!$B$4=19,Hypothèses!$B$4=20),
IF($D309="Pressio.",
IF(OR($E309=3,$E309=1,$E309=4),AV309,AU309),
IF($D309="Pénétro.",
IF(OR($E309=3,$E309=1,$E309=4),AV309,AU309))),IF($D309="Pressio.",
IF($E309=3,AV309,AU309),
IF($D309="Pénétro.",
IF($E309=4,AV309,AU309))))</f>
        <v>#N/A</v>
      </c>
      <c r="AX309" s="31" t="e">
        <f>(IF(OR(Hypothèses!$B$4=17,Hypothèses!$B$4=18,Hypothèses!$B$4=19,Hypothèses!$B$4=20),
IF($D309="Pressio.",
IF(OR($E309=3,$E309=1,$E309=4),(PI()*AX$12^2)/4*(AT309*$W309*1000)/($H309*$B$5),(PI()*AX$12^2)/4*(AT309*$W309*1000)/($G309*$B$5)),
IF($D309="Pénétro.",
IF(OR($E309=4,$E309=1,$E309=5),(PI()*AX$12^2)/4*(AT309*$W309*1000)/($H309*$B$5),(PI()*AX$12^2)/4*(AT309*$W309*1000)/($G309*$B$5)))),
IF($D309="Pressio.",
IF($E309=3,(PI()*AX$12^2)/4*(AT309*$W309*1000)/($H309*$B$5),(PI()*AX$12^2)/4*(AT309*$W309*1000)/($G309*$B$5)),
IF($D309="Pénétro.",
IF($E309=4,(PI()*AX$12^2)/4*(AT309*$W309*1000)/($H309*$B$5),(PI()*AX$12^2)/4*(AT309*$W309*1000)/($G309*$B$5))))))/10</f>
        <v>#N/A</v>
      </c>
      <c r="AY309" s="102" t="e">
        <f>(VLOOKUP($B$3,'Coeff EC7'!$T$39:$X$59,2,0)*AW309+VLOOKUP($B$3,'Coeff EC7'!$T$65:$X$85,2,0)*Model0.1C!AX309)/1.1</f>
        <v>#N/A</v>
      </c>
      <c r="AZ309" s="102" t="e">
        <f>(VLOOKUP($B$3,'Coeff EC7'!$T$39:$X$59,3,0)*AW309+VLOOKUP($B$3,'Coeff EC7'!$T$65:$X$85,3,0)*Model0.1C!AX309)/0.9</f>
        <v>#N/A</v>
      </c>
      <c r="BA309" s="102" t="e">
        <f t="shared" si="473"/>
        <v>#N/A</v>
      </c>
      <c r="BB309" s="102" t="e">
        <f t="shared" si="474"/>
        <v>#N/A</v>
      </c>
      <c r="BC309" s="414" t="e">
        <f>IF(BC308=0,0,IF(AND(AY309&gt;charge_ELS_quasi,AZ309&gt;Charge_ELS_freq,BA309&gt;charge_ELU,BB309&gt;charge_ELA,$B309&gt;NDC!$H$22-0.1+MIN(3*$BC$12,1.5)),0,1))</f>
        <v>#N/A</v>
      </c>
      <c r="BD309" s="86" t="b">
        <f t="shared" si="444"/>
        <v>0</v>
      </c>
      <c r="BE309" s="86">
        <f t="shared" si="475"/>
        <v>0.5</v>
      </c>
      <c r="BF309" s="86">
        <f t="shared" si="445"/>
        <v>0.5</v>
      </c>
      <c r="BG309" s="30" t="e">
        <f t="shared" ca="1" si="476"/>
        <v>#DIV/0!</v>
      </c>
      <c r="BH309" s="85" t="e">
        <f ca="1">IF(AN309&lt;=Hypothèses!$V$7,Hypothèses!$W$7,IF(AN309&lt;=Hypothèses!$V$8,Hypothèses!$W$8,IF(AN309&lt;=Hypothèses!$V$9,Hypothèses!$W$9,IF(AN309&lt;=Hypothèses!$V$10,Hypothèses!$W$10,IF(AN309&lt;=Hypothèses!$V$11,Hypothèses!$W$11,IF(AN309&lt;=Hypothèses!$V$12,Hypothèses!$W$12,IF(AN309&lt;=Hypothèses!$V$13,Hypothèses!$W$13,IF(AN309&lt;=Hypothèses!$V$14,Hypothèses!$W$14,IF(AN309&lt;=Hypothèses!$V$15,Hypothèses!$W$15,IF(AN309&lt;=Hypothèses!$V$16,Hypothèses!$W$16,IF(AN309&lt;=Hypothèses!$V$17,Hypothèses!$W$17,IF(AN309&lt;=Hypothèses!$V$18,Hypothèses!$W$18,""))))))))))))</f>
        <v>#DIV/0!</v>
      </c>
      <c r="BI309" s="87" t="e">
        <f t="shared" ca="1" si="518"/>
        <v>#DIV/0!</v>
      </c>
      <c r="BJ309" s="88" t="e">
        <f ca="1">IF(AN309&lt;=Hypothèses!$V$7,Hypothèses!$X$7,IF(AN309&lt;=Hypothèses!$V$8,Hypothèses!$X$8,IF(AN309&lt;=Hypothèses!$V$9,Hypothèses!$X$9,IF(AN309&lt;=Hypothèses!$V$10,Hypothèses!$X$10,IF(AN309&lt;=Hypothèses!$V$11,Hypothèses!$X$11,IF(AN309&lt;=Hypothèses!$V$12,Hypothèses!$X$12,IF(AN309&lt;=Hypothèses!$V$13,Hypothèses!$X$13,IF(AN309&lt;=Hypothèses!$V$14,Hypothèses!$X$14,IF(AN309&lt;=Hypothèses!$V$15,Hypothèses!$X$15,IF(AN309&lt;=Hypothèses!$V$16,Hypothèses!$X$16,IF(AN309&lt;=Hypothèses!$U$17,Hypothèses!$W$17,IF(AN309&lt;=Hypothèses!$U$18,Hypothèses!$W$18,""))))))))))))</f>
        <v>#DIV/0!</v>
      </c>
      <c r="BK309" s="95" t="e">
        <f t="shared" ca="1" si="477"/>
        <v>#DIV/0!</v>
      </c>
      <c r="BL309" s="101" t="e">
        <f t="shared" si="525"/>
        <v>#N/A</v>
      </c>
      <c r="BM309" s="91" t="e">
        <f t="shared" si="446"/>
        <v>#N/A</v>
      </c>
      <c r="BN309" s="30" t="e">
        <f t="shared" si="504"/>
        <v>#N/A</v>
      </c>
      <c r="BO309" s="30" t="e">
        <f t="shared" si="505"/>
        <v>#N/A</v>
      </c>
      <c r="BP309" s="31" t="e">
        <f>IF(OR(Hypothèses!$B$4=17,Hypothèses!$B$4=18,Hypothèses!$B$4=19,Hypothèses!$B$4=20),
IF($D309="Pressio.",
IF(OR($E309=3,$E309=1,$E309=4),BO309,BN309),
IF($D309="Pénétro.",
IF(OR($E309=3,$E309=1,$E309=4),BO309,BN309))),IF($D309="Pressio.",
IF($E309=3,BO309,BN309),
IF($D309="Pénétro.",
IF($E309=4,BO309,BN309))))</f>
        <v>#N/A</v>
      </c>
      <c r="BQ309" s="31" t="e">
        <f>(IF(OR(Hypothèses!$B$4=17,Hypothèses!$B$4=18,Hypothèses!$B$4=19,Hypothèses!$B$4=20),
IF($D309="Pressio.",
IF(OR($E309=3,$E309=1,$E309=4),(PI()*BQ$12^2)/4*(BM309*$W309*1000)/($H309*$B$5),(PI()*BQ$12^2)/4*(BM309*$W309*1000)/($G309*$B$5)),
IF($D309="Pénétro.",
IF(OR($E309=4,$E309=1,$E309=5),(PI()*BQ$12^2)/4*(BM309*$W309*1000)/($H309*$B$5),(PI()*BQ$12^2)/4*(BM309*$W309*1000)/($G309*$B$5)))),
IF($D309="Pressio.",
IF($E309=3,(PI()*BQ$12^2)/4*(BM309*$W309*1000)/($H309*$B$5),(PI()*BQ$12^2)/4*(BM309*$W309*1000)/($G309*$B$5)),
IF($D309="Pénétro.",
IF($E309=4,(PI()*BQ$12^2)/4*(BM309*$W309*1000)/($H309*$B$5),(PI()*BQ$12^2)/4*(BM309*$W309*1000)/($G309*$B$5))))))/10</f>
        <v>#N/A</v>
      </c>
      <c r="BR309" s="102" t="e">
        <f>(VLOOKUP($B$3,'Coeff EC7'!$T$39:$X$59,2,0)*BP309+VLOOKUP($B$3,'Coeff EC7'!$T$65:$X$85,2,0)*Model0.1C!BQ309)/1.1</f>
        <v>#N/A</v>
      </c>
      <c r="BS309" s="102" t="e">
        <f>(VLOOKUP($B$3,'Coeff EC7'!$T$39:$X$59,3,0)*BP309+VLOOKUP($B$3,'Coeff EC7'!$T$65:$X$85,3,0)*Model0.1C!BQ309)/0.9</f>
        <v>#N/A</v>
      </c>
      <c r="BT309" s="102" t="e">
        <f t="shared" si="478"/>
        <v>#N/A</v>
      </c>
      <c r="BU309" s="102" t="e">
        <f t="shared" si="479"/>
        <v>#N/A</v>
      </c>
      <c r="BV309" s="414" t="e">
        <f>IF(BV308=0,0,IF(AND(BR309&gt;charge_ELS_quasi,BS309&gt;Charge_ELS_freq,BT309&gt;charge_ELU,BU309&gt;charge_ELA,$B309&gt;NDC!$H$22-0.1+MIN(3*$BV$12,1.5)),0,1))</f>
        <v>#N/A</v>
      </c>
      <c r="BW309" s="86" t="b">
        <f t="shared" si="447"/>
        <v>0</v>
      </c>
      <c r="BX309" s="86">
        <f t="shared" si="448"/>
        <v>0.5</v>
      </c>
      <c r="BY309" s="86">
        <f t="shared" si="449"/>
        <v>0.5</v>
      </c>
      <c r="BZ309" s="30" t="e">
        <f t="shared" ca="1" si="480"/>
        <v>#DIV/0!</v>
      </c>
      <c r="CA309" s="85" t="e">
        <f ca="1">IF(BG309&lt;=Hypothèses!$V$7,Hypothèses!$W$7,IF(BG309&lt;=Hypothèses!$V$8,Hypothèses!$W$8,IF(BG309&lt;=Hypothèses!$V$9,Hypothèses!$W$9,IF(BG309&lt;=Hypothèses!$V$10,Hypothèses!$W$10,IF(BG309&lt;=Hypothèses!$V$11,Hypothèses!$W$11,IF(BG309&lt;=Hypothèses!$V$12,Hypothèses!$W$12,IF(BG309&lt;=Hypothèses!$V$13,Hypothèses!$W$13,IF(BG309&lt;=Hypothèses!$V$14,Hypothèses!$W$14,IF(BG309&lt;=Hypothèses!$V$15,Hypothèses!$W$15,IF(BG309&lt;=Hypothèses!$V$16,Hypothèses!$W$16,IF(BG309&lt;=Hypothèses!$V$17,Hypothèses!$W$17,IF(BG309&lt;=Hypothèses!$V$18,Hypothèses!$W$18,""))))))))))))</f>
        <v>#DIV/0!</v>
      </c>
      <c r="CB309" s="87" t="e">
        <f t="shared" ca="1" si="519"/>
        <v>#DIV/0!</v>
      </c>
      <c r="CC309" s="88" t="e">
        <f ca="1">IF(BG309&lt;=Hypothèses!$V$7,Hypothèses!$X$7,IF(BG309&lt;=Hypothèses!$V$8,Hypothèses!$X$8,IF(BG309&lt;=Hypothèses!$V$9,Hypothèses!$X$9,IF(BG309&lt;=Hypothèses!$V$10,Hypothèses!$X$10,IF(BG309&lt;=Hypothèses!$V$11,Hypothèses!$X$11,IF(BG309&lt;=Hypothèses!$V$12,Hypothèses!$X$12,IF(BG309&lt;=Hypothèses!$V$13,Hypothèses!$X$13,IF(BG309&lt;=Hypothèses!$V$14,Hypothèses!$X$14,IF(BG309&lt;=Hypothèses!$V$15,Hypothèses!$X$15,IF(BG309&lt;=Hypothèses!$V$16,Hypothèses!$X$16,IF(BG309&lt;=Hypothèses!$U$17,Hypothèses!$W$17,IF(BG309&lt;=Hypothèses!$U$18,Hypothèses!$W$18,""))))))))))))</f>
        <v>#DIV/0!</v>
      </c>
      <c r="CD309" s="95" t="e">
        <f t="shared" ca="1" si="481"/>
        <v>#DIV/0!</v>
      </c>
      <c r="CE309" s="101" t="e">
        <f t="shared" si="526"/>
        <v>#N/A</v>
      </c>
      <c r="CF309" s="91" t="e">
        <f t="shared" si="450"/>
        <v>#N/A</v>
      </c>
      <c r="CG309" s="30" t="e">
        <f t="shared" si="506"/>
        <v>#N/A</v>
      </c>
      <c r="CH309" s="30" t="e">
        <f t="shared" si="507"/>
        <v>#N/A</v>
      </c>
      <c r="CI309" s="31" t="e">
        <f>IF(OR(Hypothèses!$B$4=17,Hypothèses!$B$4=18,Hypothèses!$B$4=19,Hypothèses!$B$4=20),
IF($D309="Pressio.",
IF(OR($E309=3,$E309=1,$E309=4),CH309,CG309),
IF($D309="Pénétro.",
IF(OR($E309=3,$E309=1,$E309=4),CH309,CG309))),IF($D309="Pressio.",
IF($E309=3,CH309,CG309),
IF($D309="Pénétro.",
IF($E309=4,CH309,CG309))))</f>
        <v>#N/A</v>
      </c>
      <c r="CJ309" s="31" t="e">
        <f>(IF(OR(Hypothèses!$B$4=17,Hypothèses!$B$4=18,Hypothèses!$B$4=19,Hypothèses!$B$4=20),
IF($D309="Pressio.",
IF(OR($E309=3,$E309=1,$E309=4),(PI()*CJ$12^2)/4*(CF309*$W309*1000)/($H309*$B$5),(PI()*CJ$12^2)/4*(CF309*$W309*1000)/($G309*$B$5)),
IF($D309="Pénétro.",
IF(OR($E309=4,$E309=1,$E309=5),(PI()*CJ$12^2)/4*(CF309*$W309*1000)/($H309*$B$5),(PI()*CJ$12^2)/4*(CF309*$W309*1000)/($G309*$B$5)))),
IF($D309="Pressio.",
IF($E309=3,(PI()*CJ$12^2)/4*(CF309*$W309*1000)/($H309*$B$5),(PI()*CJ$12^2)/4*(CF309*$W309*1000)/($G309*$B$5)),
IF($D309="Pénétro.",
IF($E309=4,(PI()*CJ$12^2)/4*(CF309*$W309*1000)/($H309*$B$5),(PI()*CJ$12^2)/4*(CF309*$W309*1000)/($G309*$B$5))))))/10</f>
        <v>#N/A</v>
      </c>
      <c r="CK309" s="102" t="e">
        <f>(VLOOKUP($B$3,'Coeff EC7'!$T$39:$X$59,2,0)*CI309+VLOOKUP($B$3,'Coeff EC7'!$T$65:$X$85,2,0)*Model0.1C!CJ309)/1.1</f>
        <v>#N/A</v>
      </c>
      <c r="CL309" s="102" t="e">
        <f>(VLOOKUP($B$3,'Coeff EC7'!$T$39:$X$59,3,0)*CI309+VLOOKUP($B$3,'Coeff EC7'!$T$65:$X$85,3,0)*Model0.1C!CJ309)/0.9</f>
        <v>#N/A</v>
      </c>
      <c r="CM309" s="102" t="e">
        <f t="shared" si="482"/>
        <v>#N/A</v>
      </c>
      <c r="CN309" s="102" t="e">
        <f t="shared" si="483"/>
        <v>#N/A</v>
      </c>
      <c r="CO309" s="414" t="e">
        <f>IF(CO308=0,0,IF(AND(CK309&gt;charge_ELS_quasi,CL309&gt;Charge_ELS_freq,CM309&gt;charge_ELU,CN309&gt;charge_ELA,$B309&gt;NDC!$H$22-0.1+MIN(3*$CO$12,1.5)),0,1))</f>
        <v>#N/A</v>
      </c>
      <c r="CP309" s="86" t="b">
        <f t="shared" si="451"/>
        <v>0</v>
      </c>
      <c r="CQ309" s="86">
        <f t="shared" si="452"/>
        <v>0.5</v>
      </c>
      <c r="CR309" s="86">
        <f t="shared" si="453"/>
        <v>0.5</v>
      </c>
      <c r="CS309" s="30" t="e">
        <f t="shared" ca="1" si="484"/>
        <v>#DIV/0!</v>
      </c>
      <c r="CT309" s="85" t="e">
        <f ca="1">IF(BZ309&lt;=Hypothèses!$V$7,Hypothèses!$W$7,IF(BZ309&lt;=Hypothèses!$V$8,Hypothèses!$W$8,IF(BZ309&lt;=Hypothèses!$V$9,Hypothèses!$W$9,IF(BZ309&lt;=Hypothèses!$V$10,Hypothèses!$W$10,IF(BZ309&lt;=Hypothèses!$V$11,Hypothèses!$W$11,IF(BZ309&lt;=Hypothèses!$V$12,Hypothèses!$W$12,IF(BZ309&lt;=Hypothèses!$V$13,Hypothèses!$W$13,IF(BZ309&lt;=Hypothèses!$V$14,Hypothèses!$W$14,IF(BZ309&lt;=Hypothèses!$V$15,Hypothèses!$W$15,IF(BZ309&lt;=Hypothèses!$V$16,Hypothèses!$W$16,IF(BZ309&lt;=Hypothèses!$V$17,Hypothèses!$W$17,IF(BZ309&lt;=Hypothèses!$V$18,Hypothèses!$W$18,""))))))))))))</f>
        <v>#DIV/0!</v>
      </c>
      <c r="CU309" s="87" t="e">
        <f t="shared" ca="1" si="520"/>
        <v>#DIV/0!</v>
      </c>
      <c r="CV309" s="88" t="e">
        <f ca="1">IF(BZ309&lt;=Hypothèses!$V$7,Hypothèses!$X$7,IF(BZ309&lt;=Hypothèses!$V$8,Hypothèses!$X$8,IF(BZ309&lt;=Hypothèses!$V$9,Hypothèses!$X$9,IF(BZ309&lt;=Hypothèses!$V$10,Hypothèses!$X$10,IF(BZ309&lt;=Hypothèses!$V$11,Hypothèses!$X$11,IF(BZ309&lt;=Hypothèses!$V$12,Hypothèses!$X$12,IF(BZ309&lt;=Hypothèses!$V$13,Hypothèses!$X$13,IF(BZ309&lt;=Hypothèses!$V$14,Hypothèses!$X$14,IF(BZ309&lt;=Hypothèses!$V$15,Hypothèses!$X$15,IF(BZ309&lt;=Hypothèses!$V$16,Hypothèses!$X$16,IF(BZ309&lt;=Hypothèses!$U$17,Hypothèses!$W$17,IF(BZ309&lt;=Hypothèses!$U$18,Hypothèses!$W$18,""))))))))))))</f>
        <v>#DIV/0!</v>
      </c>
      <c r="CW309" s="95" t="e">
        <f t="shared" ca="1" si="485"/>
        <v>#DIV/0!</v>
      </c>
      <c r="CX309" s="101" t="e">
        <f t="shared" si="527"/>
        <v>#N/A</v>
      </c>
      <c r="CY309" s="91" t="e">
        <f t="shared" si="454"/>
        <v>#N/A</v>
      </c>
      <c r="CZ309" s="30" t="e">
        <f t="shared" si="508"/>
        <v>#N/A</v>
      </c>
      <c r="DA309" s="30" t="e">
        <f t="shared" si="509"/>
        <v>#N/A</v>
      </c>
      <c r="DB309" s="31" t="e">
        <f>IF(OR(Hypothèses!$B$4=17,Hypothèses!$B$4=18,Hypothèses!$B$4=19,Hypothèses!$B$4=20),
IF($D309="Pressio.",
IF(OR($E309=3,$E309=1,$E309=4),DA309,CZ309),
IF($D309="Pénétro.",
IF(OR($E309=3,$E309=1,$E309=4),DA309,CZ309))),IF($D309="Pressio.",
IF($E309=3,DA309,CZ309),
IF($D309="Pénétro.",
IF($E309=4,DA309,CZ309))))</f>
        <v>#N/A</v>
      </c>
      <c r="DC309" s="31" t="e">
        <f>(IF(OR(Hypothèses!$B$4=17,Hypothèses!$B$4=18,Hypothèses!$B$4=19,Hypothèses!$B$4=20),
IF($D309="Pressio.",
IF(OR($E309=3,$E309=1,$E309=4),(PI()*DC$12^2)/4*(CY309*$W309*1000)/($H309*$B$5),(PI()*DC$12^2)/4*(CY309*$W309*1000)/($G309*$B$5)),
IF($D309="Pénétro.",
IF(OR($E309=4,$E309=1,$E309=5),(PI()*DC$12^2)/4*(CY309*$W309*1000)/($H309*$B$5),(PI()*DC$12^2)/4*(CY309*$W309*1000)/($G309*$B$5)))),
IF($D309="Pressio.",
IF($E309=3,(PI()*DC$12^2)/4*(CY309*$W309*1000)/($H309*$B$5),(PI()*DC$12^2)/4*(CY309*$W309*1000)/($G309*$B$5)),
IF($D309="Pénétro.",
IF($E309=4,(PI()*DC$12^2)/4*(CY309*$W309*1000)/($H309*$B$5),(PI()*DC$12^2)/4*(CY309*$W309*1000)/($G309*$B$5))))))/10</f>
        <v>#N/A</v>
      </c>
      <c r="DD309" s="102" t="e">
        <f>(VLOOKUP($B$3,'Coeff EC7'!$T$39:$X$59,2,0)*DB309+VLOOKUP($B$3,'Coeff EC7'!$T$65:$X$85,2,0)*Model0.1C!DC309)/1.1</f>
        <v>#N/A</v>
      </c>
      <c r="DE309" s="102" t="e">
        <f>(VLOOKUP($B$3,'Coeff EC7'!$T$39:$X$59,3,0)*DB309+VLOOKUP($B$3,'Coeff EC7'!$T$65:$X$85,3,0)*Model0.1C!DC309)/0.9</f>
        <v>#N/A</v>
      </c>
      <c r="DF309" s="102" t="e">
        <f t="shared" si="486"/>
        <v>#N/A</v>
      </c>
      <c r="DG309" s="102" t="e">
        <f t="shared" si="487"/>
        <v>#N/A</v>
      </c>
      <c r="DH309" s="414" t="e">
        <f>IF(DH308=0,0,IF(AND(DD309&gt;charge_ELS_quasi,DE309&gt;Charge_ELS_freq,DF309&gt;charge_ELU,DG309&gt;charge_ELA,$B309&gt;NDC!$H$22-0.1+MIN(3*$DH$12,1.5)),0,1))</f>
        <v>#N/A</v>
      </c>
      <c r="DI309" s="86" t="b">
        <f t="shared" si="455"/>
        <v>0</v>
      </c>
      <c r="DJ309" s="86">
        <f t="shared" si="456"/>
        <v>0.5</v>
      </c>
      <c r="DK309" s="86">
        <f t="shared" si="457"/>
        <v>0.5</v>
      </c>
      <c r="DL309" s="30" t="e">
        <f t="shared" ca="1" si="488"/>
        <v>#DIV/0!</v>
      </c>
      <c r="DM309" s="85" t="e">
        <f ca="1">IF(CS309&lt;=Hypothèses!$V$7,Hypothèses!$W$7,IF(CS309&lt;=Hypothèses!$V$8,Hypothèses!$W$8,IF(CS309&lt;=Hypothèses!$V$9,Hypothèses!$W$9,IF(CS309&lt;=Hypothèses!$V$10,Hypothèses!$W$10,IF(CS309&lt;=Hypothèses!$V$11,Hypothèses!$W$11,IF(CS309&lt;=Hypothèses!$V$12,Hypothèses!$W$12,IF(CS309&lt;=Hypothèses!$V$13,Hypothèses!$W$13,IF(CS309&lt;=Hypothèses!$V$14,Hypothèses!$W$14,IF(CS309&lt;=Hypothèses!$V$15,Hypothèses!$W$15,IF(CS309&lt;=Hypothèses!$V$16,Hypothèses!$W$16,IF(CS309&lt;=Hypothèses!$V$17,Hypothèses!$W$17,IF(CS309&lt;=Hypothèses!$V$18,Hypothèses!$W$18,""))))))))))))</f>
        <v>#DIV/0!</v>
      </c>
      <c r="DN309" s="87" t="e">
        <f t="shared" ca="1" si="521"/>
        <v>#DIV/0!</v>
      </c>
      <c r="DO309" s="88" t="e">
        <f ca="1">IF(CS309&lt;=Hypothèses!$V$7,Hypothèses!$X$7,IF(CS309&lt;=Hypothèses!$V$8,Hypothèses!$X$8,IF(CS309&lt;=Hypothèses!$V$9,Hypothèses!$X$9,IF(CS309&lt;=Hypothèses!$V$10,Hypothèses!$X$10,IF(CS309&lt;=Hypothèses!$V$11,Hypothèses!$X$11,IF(CS309&lt;=Hypothèses!$V$12,Hypothèses!$X$12,IF(CS309&lt;=Hypothèses!$V$13,Hypothèses!$X$13,IF(CS309&lt;=Hypothèses!$V$14,Hypothèses!$X$14,IF(CS309&lt;=Hypothèses!$V$15,Hypothèses!$X$15,IF(CS309&lt;=Hypothèses!$V$16,Hypothèses!$X$16,IF(CS309&lt;=Hypothèses!$U$17,Hypothèses!$W$17,IF(CS309&lt;=Hypothèses!$U$18,Hypothèses!$W$18,""))))))))))))</f>
        <v>#DIV/0!</v>
      </c>
      <c r="DP309" s="95" t="e">
        <f t="shared" ca="1" si="489"/>
        <v>#DIV/0!</v>
      </c>
      <c r="DQ309" s="101" t="e">
        <f t="shared" si="528"/>
        <v>#N/A</v>
      </c>
      <c r="DR309" s="91" t="e">
        <f t="shared" si="458"/>
        <v>#N/A</v>
      </c>
      <c r="DS309" s="30" t="e">
        <f t="shared" si="510"/>
        <v>#N/A</v>
      </c>
      <c r="DT309" s="30" t="e">
        <f t="shared" si="511"/>
        <v>#N/A</v>
      </c>
      <c r="DU309" s="31" t="e">
        <f>IF(OR(Hypothèses!$B$4=17,Hypothèses!$B$4=18,Hypothèses!$B$4=19,Hypothèses!$B$4=20),
IF($D309="Pressio.",
IF(OR($E309=3,$E309=1,$E309=4),DT309,DS309),
IF($D309="Pénétro.",
IF(OR($E309=3,$E309=1,$E309=4),DT309,DS309))),IF($D309="Pressio.",
IF($E309=3,DT309,DS309),
IF($D309="Pénétro.",
IF($E309=4,DT309,DS309))))</f>
        <v>#N/A</v>
      </c>
      <c r="DV309" s="31" t="e">
        <f>(IF(OR(Hypothèses!$B$4=17,Hypothèses!$B$4=18,Hypothèses!$B$4=19,Hypothèses!$B$4=20),
IF($D309="Pressio.",
IF(OR($E309=3,$E309=1,$E309=4),(PI()*DV$12^2)/4*(DR309*$W309*1000)/($H309*$B$5),(PI()*DV$12^2)/4*(DR309*$W309*1000)/($G309*$B$5)),
IF($D309="Pénétro.",
IF(OR($E309=4,$E309=1,$E309=5),(PI()*DV$12^2)/4*(DR309*$W309*1000)/($H309*$B$5),(PI()*DV$12^2)/4*(DR309*$W309*1000)/($G309*$B$5)))),
IF($D309="Pressio.",
IF($E309=3,(PI()*DV$12^2)/4*(DR309*$W309*1000)/($H309*$B$5),(PI()*DV$12^2)/4*(DR309*$W309*1000)/($G309*$B$5)),
IF($D309="Pénétro.",
IF($E309=4,(PI()*DV$12^2)/4*(DR309*$W309*1000)/($H309*$B$5),(PI()*DV$12^2)/4*(DR309*$W309*1000)/($G309*$B$5))))))/10</f>
        <v>#N/A</v>
      </c>
      <c r="DW309" s="102" t="e">
        <f>(VLOOKUP($B$3,'Coeff EC7'!$T$39:$X$59,2,0)*DU309+VLOOKUP($B$3,'Coeff EC7'!$T$65:$X$85,2,0)*Model0.1C!DV309)/1.1</f>
        <v>#N/A</v>
      </c>
      <c r="DX309" s="102" t="e">
        <f>(VLOOKUP($B$3,'Coeff EC7'!$T$39:$X$59,3,0)*DU309+VLOOKUP($B$3,'Coeff EC7'!$T$65:$X$85,3,0)*Model0.1C!DV309)/0.9</f>
        <v>#N/A</v>
      </c>
      <c r="DY309" s="102" t="e">
        <f t="shared" si="490"/>
        <v>#N/A</v>
      </c>
      <c r="DZ309" s="102" t="e">
        <f t="shared" si="491"/>
        <v>#N/A</v>
      </c>
      <c r="EA309" s="414" t="e">
        <f>IF(EA308=0,0,IF(AND(DW309&gt;charge_ELS_quasi,DX309&gt;Charge_ELS_freq,DY309&gt;charge_ELU,DZ309&gt;charge_ELA,$B309&gt;NDC!$H$22-0.1+MIN(3*$EA$12,1.5)),0,1))</f>
        <v>#N/A</v>
      </c>
      <c r="EB309" s="86" t="b">
        <f t="shared" si="459"/>
        <v>0</v>
      </c>
      <c r="EC309" s="418">
        <f t="shared" si="460"/>
        <v>0.51</v>
      </c>
      <c r="ED309" s="86">
        <f t="shared" si="461"/>
        <v>0.51</v>
      </c>
      <c r="EE309" s="30" t="e">
        <f t="shared" ca="1" si="492"/>
        <v>#DIV/0!</v>
      </c>
      <c r="EF309" s="85" t="e">
        <f ca="1">IF(DL309&lt;=Hypothèses!$V$7,Hypothèses!$W$7,IF(DL309&lt;=Hypothèses!$V$8,Hypothèses!$W$8,IF(DL309&lt;=Hypothèses!$V$9,Hypothèses!$W$9,IF(DL309&lt;=Hypothèses!$V$10,Hypothèses!$W$10,IF(DL309&lt;=Hypothèses!$V$11,Hypothèses!$W$11,IF(DL309&lt;=Hypothèses!$V$12,Hypothèses!$W$12,IF(DL309&lt;=Hypothèses!$V$13,Hypothèses!$W$13,IF(DL309&lt;=Hypothèses!$V$14,Hypothèses!$W$14,IF(DL309&lt;=Hypothèses!$V$15,Hypothèses!$W$15,IF(DL309&lt;=Hypothèses!$V$16,Hypothèses!$W$16,IF(DL309&lt;=Hypothèses!$V$17,Hypothèses!$W$17,IF(DL309&lt;=Hypothèses!$V$18,Hypothèses!$W$18,""))))))))))))</f>
        <v>#DIV/0!</v>
      </c>
      <c r="EG309" s="87" t="e">
        <f t="shared" ca="1" si="522"/>
        <v>#DIV/0!</v>
      </c>
      <c r="EH309" s="88" t="e">
        <f ca="1">IF(DL309&lt;=Hypothèses!$V$7,Hypothèses!$X$7,IF(DL309&lt;=Hypothèses!$V$8,Hypothèses!$X$8,IF(DL309&lt;=Hypothèses!$V$9,Hypothèses!$X$9,IF(DL309&lt;=Hypothèses!$V$10,Hypothèses!$X$10,IF(DL309&lt;=Hypothèses!$V$11,Hypothèses!$X$11,IF(DL309&lt;=Hypothèses!$V$12,Hypothèses!$X$12,IF(DL309&lt;=Hypothèses!$V$13,Hypothèses!$X$13,IF(DL309&lt;=Hypothèses!$V$14,Hypothèses!$X$14,IF(DL309&lt;=Hypothèses!$V$15,Hypothèses!$X$15,IF(DL309&lt;=Hypothèses!$V$16,Hypothèses!$X$16,IF(DL309&lt;=Hypothèses!$U$17,Hypothèses!$W$17,IF(DL309&lt;=Hypothèses!$U$18,Hypothèses!$W$18,""))))))))))))</f>
        <v>#DIV/0!</v>
      </c>
      <c r="EI309" s="95" t="e">
        <f t="shared" ca="1" si="493"/>
        <v>#DIV/0!</v>
      </c>
      <c r="EJ309" s="101" t="e">
        <f t="shared" si="529"/>
        <v>#N/A</v>
      </c>
      <c r="EK309" s="91" t="e">
        <f t="shared" si="462"/>
        <v>#N/A</v>
      </c>
      <c r="EL309" s="30" t="e">
        <f t="shared" si="512"/>
        <v>#N/A</v>
      </c>
      <c r="EM309" s="30" t="e">
        <f t="shared" si="513"/>
        <v>#N/A</v>
      </c>
      <c r="EN309" s="31" t="e">
        <f>IF(OR(Hypothèses!$B$4=17,Hypothèses!$B$4=18,Hypothèses!$B$4=19,Hypothèses!$B$4=20),
IF($D309="Pressio.",
IF(OR($E309=3,$E309=1,$E309=4),EM309,EL309),
IF($D309="Pénétro.",
IF(OR($E309=3,$E309=1,$E309=4),EM309,EL309))),IF($D309="Pressio.",
IF($E309=3,EM309,EL309),
IF($D309="Pénétro.",
IF($E309=4,EM309,EL309))))</f>
        <v>#N/A</v>
      </c>
      <c r="EO309" s="31" t="e">
        <f>(IF(OR(Hypothèses!$B$4=17,Hypothèses!$B$4=18,Hypothèses!$B$4=19,Hypothèses!$B$4=20),
IF($D309="Pressio.",
IF(OR($E309=3,$E309=1,$E309=4),(PI()*EO$12^2)/4*(EK309*$W309*1000)/($H309*$B$5),(PI()*EO$12^2)/4*(EK309*$W309*1000)/($G309*$B$5)),
IF($D309="Pénétro.",
IF(OR($E309=4,$E309=1,$E309=5),(PI()*EO$12^2)/4*(EK309*$W309*1000)/($H309*$B$5),(PI()*EO$12^2)/4*(EK309*$W309*1000)/($G309*$B$5)))),
IF($D309="Pressio.",
IF($E309=3,(PI()*EO$12^2)/4*(EK309*$W309*1000)/($H309*$B$5),(PI()*EO$12^2)/4*(EK309*$W309*1000)/($G309*$B$5)),
IF($D309="Pénétro.",
IF($E309=4,(PI()*EO$12^2)/4*(EK309*$W309*1000)/($H309*$B$5),(PI()*EO$12^2)/4*(EK309*$W309*1000)/($G309*$B$5))))))/10</f>
        <v>#N/A</v>
      </c>
      <c r="EP309" s="102" t="e">
        <f>(VLOOKUP($B$3,'Coeff EC7'!$T$39:$X$59,2,0)*EN309+VLOOKUP($B$3,'Coeff EC7'!$T$65:$X$85,2,0)*Model0.1C!EO309)/1.1</f>
        <v>#N/A</v>
      </c>
      <c r="EQ309" s="102" t="e">
        <f>(VLOOKUP($B$3,'Coeff EC7'!$T$39:$X$59,3,0)*EN309+VLOOKUP($B$3,'Coeff EC7'!$T$65:$X$85,3,0)*Model0.1C!EO309)/0.9</f>
        <v>#N/A</v>
      </c>
      <c r="ER309" s="102" t="e">
        <f t="shared" si="494"/>
        <v>#N/A</v>
      </c>
      <c r="ES309" s="102" t="e">
        <f t="shared" si="495"/>
        <v>#N/A</v>
      </c>
      <c r="ET309" s="414" t="e">
        <f>IF(ET308=0,0,IF(AND(EP309&gt;charge_ELS_quasi,EQ309&gt;Charge_ELS_freq,ER309&gt;charge_ELU,ES309&gt;charge_ELA,$B309&gt;NDC!$H$22-0.1+MIN(3*$ET$12,1.5)),0,1))</f>
        <v>#N/A</v>
      </c>
      <c r="EU309" s="86" t="b">
        <f t="shared" si="463"/>
        <v>0</v>
      </c>
      <c r="EV309" s="86">
        <f t="shared" si="464"/>
        <v>0.61</v>
      </c>
      <c r="EW309" s="86">
        <f t="shared" si="465"/>
        <v>0.61</v>
      </c>
      <c r="EX309" s="30" t="e">
        <f t="shared" ca="1" si="496"/>
        <v>#DIV/0!</v>
      </c>
      <c r="EY309" s="85" t="e">
        <f ca="1">IF(EE309&lt;=Hypothèses!$V$7,Hypothèses!$W$7,IF(EE309&lt;=Hypothèses!$V$8,Hypothèses!$W$8,IF(EE309&lt;=Hypothèses!$V$9,Hypothèses!$W$9,IF(EE309&lt;=Hypothèses!$V$10,Hypothèses!$W$10,IF(EE309&lt;=Hypothèses!$V$11,Hypothèses!$W$11,IF(EE309&lt;=Hypothèses!$V$12,Hypothèses!$W$12,IF(EE309&lt;=Hypothèses!$V$13,Hypothèses!$W$13,IF(EE309&lt;=Hypothèses!$V$14,Hypothèses!$W$14,IF(EE309&lt;=Hypothèses!$V$15,Hypothèses!$W$15,IF(EE309&lt;=Hypothèses!$V$16,Hypothèses!$W$16,IF(EE309&lt;=Hypothèses!$V$17,Hypothèses!$W$17,IF(EE309&lt;=Hypothèses!$V$18,Hypothèses!$W$18,""))))))))))))</f>
        <v>#DIV/0!</v>
      </c>
      <c r="EZ309" s="87" t="e">
        <f t="shared" ca="1" si="523"/>
        <v>#DIV/0!</v>
      </c>
      <c r="FA309" s="88" t="e">
        <f ca="1">IF(EE309&lt;=Hypothèses!$V$7,Hypothèses!$X$7,IF(EE309&lt;=Hypothèses!$V$8,Hypothèses!$X$8,IF(EE309&lt;=Hypothèses!$V$9,Hypothèses!$X$9,IF(EE309&lt;=Hypothèses!$V$10,Hypothèses!$X$10,IF(EE309&lt;=Hypothèses!$V$11,Hypothèses!$X$11,IF(EE309&lt;=Hypothèses!$V$12,Hypothèses!$X$12,IF(EE309&lt;=Hypothèses!$V$13,Hypothèses!$X$13,IF(EE309&lt;=Hypothèses!$V$14,Hypothèses!$X$14,IF(EE309&lt;=Hypothèses!$V$15,Hypothèses!$X$15,IF(EE309&lt;=Hypothèses!$V$16,Hypothèses!$X$16,IF(EE309&lt;=Hypothèses!$U$17,Hypothèses!$W$17,IF(EE309&lt;=Hypothèses!$U$18,Hypothèses!$W$18,""))))))))))))</f>
        <v>#DIV/0!</v>
      </c>
      <c r="FB309" s="95" t="e">
        <f t="shared" ca="1" si="497"/>
        <v>#DIV/0!</v>
      </c>
      <c r="FC309" s="101" t="e">
        <f t="shared" si="530"/>
        <v>#N/A</v>
      </c>
      <c r="FD309" s="91" t="e">
        <f t="shared" si="466"/>
        <v>#N/A</v>
      </c>
      <c r="FE309" s="30" t="e">
        <f t="shared" si="514"/>
        <v>#N/A</v>
      </c>
      <c r="FF309" s="30" t="e">
        <f t="shared" si="515"/>
        <v>#N/A</v>
      </c>
      <c r="FG309" s="31" t="e">
        <f>IF(OR(Hypothèses!$B$4=17,Hypothèses!$B$4=18,Hypothèses!$B$4=19,Hypothèses!$B$4=20),
IF($D309="Pressio.",
IF(OR($E309=3,$E309=1,$E309=4),FF309,FE309),
IF($D309="Pénétro.",
IF(OR($E309=3,$E309=1,$E309=4),FF309,FE309))),IF($D309="Pressio.",
IF($E309=3,FF309,FE309),
IF($D309="Pénétro.",
IF($E309=4,FF309,FE309))))</f>
        <v>#N/A</v>
      </c>
      <c r="FH309" s="31" t="e">
        <f>(IF(OR(Hypothèses!$B$4=17,Hypothèses!$B$4=18,Hypothèses!$B$4=19,Hypothèses!$B$4=20),
IF($D309="Pressio.",
IF(OR($E309=3,$E309=1,$E309=4),(PI()*FH$12^2)/4*(FD309*$W309*1000)/($H309*$B$5),(PI()*FH$12^2)/4*(FD309*$W309*1000)/($G309*$B$5)),
IF($D309="Pénétro.",
IF(OR($E309=4,$E309=1,$E309=5),(PI()*FH$12^2)/4*(FD309*$W309*1000)/($H309*$B$5),(PI()*FH$12^2)/4*(FD309*$W309*1000)/($G309*$B$5)))),
IF($D309="Pressio.",
IF($E309=3,(PI()*FH$12^2)/4*(FD309*$W309*1000)/($H309*$B$5),(PI()*FH$12^2)/4*(FD309*$W309*1000)/($G309*$B$5)),
IF($D309="Pénétro.",
IF($E309=4,(PI()*FH$12^2)/4*(FD309*$W309*1000)/($H309*$B$5),(PI()*FH$12^2)/4*(FD309*$W309*1000)/($G309*$B$5))))))/10</f>
        <v>#N/A</v>
      </c>
      <c r="FI309" s="102" t="e">
        <f>(VLOOKUP($B$3,'Coeff EC7'!$T$39:$X$59,2,0)*FG309+VLOOKUP($B$3,'Coeff EC7'!$T$65:$X$85,2,0)*Model0.1C!FH309)/1.1</f>
        <v>#N/A</v>
      </c>
      <c r="FJ309" s="102" t="e">
        <f>(VLOOKUP($B$3,'Coeff EC7'!$T$39:$X$59,3,0)*FG309+VLOOKUP($B$3,'Coeff EC7'!$T$65:$X$85,3,0)*Model0.1C!FH309)/0.9</f>
        <v>#N/A</v>
      </c>
      <c r="FK309" s="102" t="e">
        <f t="shared" si="498"/>
        <v>#N/A</v>
      </c>
      <c r="FL309" s="102" t="e">
        <f t="shared" si="499"/>
        <v>#N/A</v>
      </c>
      <c r="FM309" s="414" t="e">
        <f>IF(FM308=0,0,IF(AND(FI309&gt;charge_ELS_quasi,FJ309&gt;Charge_ELS_freq,FK309&gt;charge_ELU,FL309&gt;charge_ELA,$B309&gt;NDC!$H$22-0.1+MIN(3*$FM$12,1.5)),0,1))</f>
        <v>#N/A</v>
      </c>
    </row>
    <row r="310" spans="1:169">
      <c r="A310" s="96">
        <f t="shared" si="467"/>
        <v>70.300000000001688</v>
      </c>
      <c r="B310" s="97">
        <v>29.7</v>
      </c>
      <c r="C310" s="81">
        <f>IF(B310&lt;=Hypothèses!$C$7,Hypothèses!$A$7,IF(B310&lt;=Hypothèses!$C$8,Hypothèses!$A$8,IF(B310&lt;=Hypothèses!$C$9,Hypothèses!$A$9,IF(B310&lt;=Hypothèses!$C$10,Hypothèses!$A$10,IF(B310&lt;=Hypothèses!$C$11,Hypothèses!$A$11,IF(B310&lt;=Hypothèses!$C$12,Hypothèses!$A$12,IF(B310&lt;=Hypothèses!$C$13,Hypothèses!$A$13,IF(B310&lt;=Hypothèses!$C$14,Hypothèses!$A$14,IF(B310&lt;=Hypothèses!$C$15,Hypothèses!$A$15,IF(B310&lt;=Hypothèses!$C$16,Hypothèses!$A$16,IF(B310&lt;=Hypothèses!$C$17,Hypothèses!$A$17,IF(B310&lt;=Hypothèses!$C$18,Hypothèses!$A$18,C309))))))))))))</f>
        <v>11</v>
      </c>
      <c r="D310" s="82" t="str">
        <f>IF(B310&lt;=Hypothèses!$C$7,Hypothèses!$R$7,IF(B310&lt;=Hypothèses!$C$8,Hypothèses!$R$8,IF(B310&lt;=Hypothèses!$C$9,Hypothèses!$R$9,IF(B310&lt;=Hypothèses!$C$10,Hypothèses!$R$10,IF(B310&lt;=Hypothèses!$C$11,Hypothèses!$R$11,IF(B310&lt;=Hypothèses!$C$12,Hypothèses!$R$12,IF(B310&lt;=Hypothèses!$C$13,Hypothèses!$R$13,IF(B310&lt;=Hypothèses!$C$14,Hypothèses!$R$14,IF(B310&lt;=Hypothèses!$C$15,Hypothèses!$R$15,IF(B310&lt;=Hypothèses!$C$16,Hypothèses!$R$16,IF(B310&lt;=Hypothèses!$C$17,Hypothèses!$R$17,IF(B310&lt;=Hypothèses!$C$18,Hypothèses!$R$18,D309))))))))))))</f>
        <v>Pressio.</v>
      </c>
      <c r="E310" s="82" t="e">
        <f>IF(B310&lt;=Hypothèses!$C$7,Hypothèses!$G$7,IF(B310&lt;=Hypothèses!$C$8,Hypothèses!$G$8,IF(B310&lt;=Hypothèses!$C$9,Hypothèses!$G$9,IF(B310&lt;=Hypothèses!$C$10,Hypothèses!$G$10,IF(B310&lt;=Hypothèses!$C$11,Hypothèses!$G$11,IF(B310&lt;=Hypothèses!$C$12,Hypothèses!$G$12,IF(B310&lt;=Hypothèses!$C$13,Hypothèses!$G$13,IF(B310&lt;=Hypothèses!$C$14,Hypothèses!$G$14,IF(B310&lt;=Hypothèses!$C$15,Hypothèses!$G$15,IF(B310&lt;=Hypothèses!$C$16,Hypothèses!$G$16,IF(B310&lt;=Hypothèses!$C$17,Hypothèses!$G$17,IF(B310&lt;=Hypothèses!$C$18,Hypothèses!$G$18,E309))))))))))))</f>
        <v>#N/A</v>
      </c>
      <c r="F310" s="82" t="str">
        <f>IF(B310&lt;=Hypothèses!$C$7,Hypothèses!$F$7,IF(B310&lt;=Hypothèses!$C$8,Hypothèses!$F$8,IF(B310&lt;=Hypothèses!$C$9,Hypothèses!$F$9,IF(B310&lt;=Hypothèses!$C$10,Hypothèses!$F$10,IF(B310&lt;=Hypothèses!$C$11,Hypothèses!$F$11,IF(B310&lt;=Hypothèses!$C$12,Hypothèses!$F$12,IF(B310&lt;=Hypothèses!$C$13,Hypothèses!$F$13,IF(B310&lt;=Hypothèses!$C$14,Hypothèses!$F$14,IF(B310&lt;=Hypothèses!$C$15,Hypothèses!$F$15,IF(B310&lt;=Hypothèses!$C$16,Hypothèses!$F$16,IF(B310&lt;=Hypothèses!$C$17,Hypothèses!$F$17,IF(B310&lt;=Hypothèses!$C$18,Hypothèses!$F$18,F309))))))))))))</f>
        <v/>
      </c>
      <c r="G310" s="91">
        <f t="array" ref="G310">INDEX('Coeff EC7'!$U$7:$X$27,
MATCH(Model0.1C!$B$3,'Coeff EC7'!$T$7:$T$27,0),
MATCH(Model0.1C!$D310&amp;Model0.1C!$B$4,
'Coeff EC7'!$U$6:$X$6&amp;
'Coeff EC7'!$U$5:$X$5,0))</f>
        <v>1.1499999999999999</v>
      </c>
      <c r="H310" s="91">
        <f t="array" ref="H310">INDEX('Coeff EC7'!$Y$7:$AB$27,
MATCH(Model0.1C!$B$3,'Coeff EC7'!$T$7:$T$27,0),
MATCH(Model0.1C!$D310&amp;Model0.1C!$B$4,
'Coeff EC7'!$Y$6:$AB$6&amp;
'Coeff EC7'!$Y$5:$AB$5,0))</f>
        <v>1.4</v>
      </c>
      <c r="I310" s="83" t="e">
        <f>IF(B310&lt;=Hypothèses!$C$7,Hypothèses!$P$7,IF(B310&lt;=Hypothèses!$C$8,Hypothèses!$P$8,IF(B310&lt;=Hypothèses!$C$9,Hypothèses!$P$9,IF(B310&lt;=Hypothèses!$C$10,Hypothèses!$P$10,IF(B310&lt;=Hypothèses!$C$11,Hypothèses!$P$11,IF(B310&lt;=Hypothèses!$C$12,Hypothèses!$P$12,IF(B310&lt;=Hypothèses!$C$13,Hypothèses!$P$13,IF(B310&lt;=Hypothèses!$C$14,Hypothèses!$P$14,IF(B310&lt;=Hypothèses!$C$15,Hypothèses!$P$15,IF(B310&lt;=Hypothèses!$C$16,Hypothèses!$P$16,IF(B310&lt;=Hypothèses!$C$17,Hypothèses!$P$17,IF(B310&lt;=Hypothèses!$C$18,Hypothèses!$P$18,I309))))))))))))</f>
        <v>#N/A</v>
      </c>
      <c r="J310" s="91" t="e">
        <f t="array" ref="J310">INDEX('Coeff EC7'!$D$33:$Q$33,1,MATCH(D310&amp;E310,'Coeff EC7'!$D$31:$Q$31&amp;'Coeff EC7'!$D$32:$Q$32,0))</f>
        <v>#N/A</v>
      </c>
      <c r="K310" s="91" t="e">
        <f t="array" ref="K310">INDEX('Coeff EC7'!$D$34:$Q$34,1,MATCH(D310&amp;E310,'Coeff EC7'!$D$31:$Q$31&amp;'Coeff EC7'!$D$32:$Q$32,0))</f>
        <v>#N/A</v>
      </c>
      <c r="L310" s="91" t="e">
        <f t="array" ref="L310">INDEX('Coeff EC7'!$D$35:$Q$35,1,MATCH(D310&amp;E310,'Coeff EC7'!$D$31:$Q$31&amp;'Coeff EC7'!$D$32:$Q$32,0))</f>
        <v>#N/A</v>
      </c>
      <c r="M310" s="98" t="e">
        <f t="shared" si="431"/>
        <v>#N/A</v>
      </c>
      <c r="N310" s="99" t="e">
        <f t="array" ref="N310">INDEX('Coeff EC7'!$D$7:$Q$27,MATCH($B$3,'Coeff EC7'!$C$7:$C$27,0),MATCH(D310&amp;E310,'Coeff EC7'!$D$5:$Q$5&amp;'Coeff EC7'!$D$6:$Q$6,0))</f>
        <v>#N/A</v>
      </c>
      <c r="O310" s="99" t="e">
        <f t="array" ref="O310">INDEX('Coeff EC7'!$D$41:$Q$61,MATCH($B$3,'Coeff EC7'!$C$41:$C$61,0),MATCH(D310&amp;E310,'Coeff EC7'!$D$39:$Q$39&amp;'Coeff EC7'!$D$40:$Q$40,0))</f>
        <v>#N/A</v>
      </c>
      <c r="P310" s="30" t="e">
        <f t="shared" si="468"/>
        <v>#N/A</v>
      </c>
      <c r="Q310" s="100" t="e">
        <f t="shared" si="433"/>
        <v>#N/A</v>
      </c>
      <c r="R310" s="86" t="b">
        <f t="shared" si="434"/>
        <v>0</v>
      </c>
      <c r="S310" s="86">
        <f t="shared" si="432"/>
        <v>0.5</v>
      </c>
      <c r="T310" s="86">
        <f t="shared" si="435"/>
        <v>0.5</v>
      </c>
      <c r="U310" s="30" t="e">
        <f t="shared" ca="1" si="469"/>
        <v>#DIV/0!</v>
      </c>
      <c r="V310" s="85" t="str">
        <f>IF(B310&lt;=Hypothèses!$V$7,Hypothèses!$W$7,IF(B310&lt;=Hypothèses!$V$8,Hypothèses!$W$8,IF(B310&lt;=Hypothèses!$V$9,Hypothèses!$W$9,IF(B310&lt;=Hypothèses!$V$10,Hypothèses!$W$10,IF(B310&lt;=Hypothèses!$V$11,Hypothèses!$W$11,IF(B310&lt;=Hypothèses!$V$12,Hypothèses!$W$12,IF(B310&lt;=Hypothèses!$V$13,Hypothèses!$W$13,IF(B310&lt;=Hypothèses!$V$14,Hypothèses!$W$14,IF(B310&lt;=Hypothèses!$V$15,Hypothèses!$W$15,IF(B310&lt;=Hypothèses!$V$16,Hypothèses!$W$16,IF(B310&lt;=Hypothèses!$V$17,Hypothèses!$W$17,IF(B310&lt;=Hypothèses!$V$18,Hypothèses!$W$18,""))))))))))))</f>
        <v/>
      </c>
      <c r="W310" s="87" t="e">
        <f t="shared" ca="1" si="516"/>
        <v>#DIV/0!</v>
      </c>
      <c r="X310" s="88" t="str">
        <f>IF(B310&lt;=Hypothèses!$V$7,Hypothèses!$X$7,IF(B310&lt;=Hypothèses!$V$8,Hypothèses!$X$8,IF(B310&lt;=Hypothèses!$V$9,Hypothèses!$X$9,IF(B310&lt;=Hypothèses!$V$10,Hypothèses!$X$10,IF(B310&lt;=Hypothèses!$V$11,Hypothèses!$X$11,IF(B310&lt;=Hypothèses!$V$12,Hypothèses!$X$12,IF(B310&lt;=Hypothèses!$V$13,Hypothèses!$X$13,IF(B310&lt;=Hypothèses!$V$14,Hypothèses!$X$14,IF(B310&lt;=Hypothèses!$V$15,Hypothèses!$X$15,IF(B310&lt;=Hypothèses!$V$16,Hypothèses!$X$16,IF(B310&lt;=Hypothèses!$U$17,Hypothèses!$W$17,IF(B310&lt;=Hypothèses!$U$18,Hypothèses!$W$18,""))))))))))))</f>
        <v/>
      </c>
      <c r="Y310" s="95" t="e">
        <f t="shared" ca="1" si="436"/>
        <v>#DIV/0!</v>
      </c>
      <c r="Z310" s="101" t="e">
        <f t="shared" si="437"/>
        <v>#N/A</v>
      </c>
      <c r="AA310" s="91" t="e">
        <f t="shared" si="438"/>
        <v>#N/A</v>
      </c>
      <c r="AB310" s="30" t="e">
        <f t="shared" si="500"/>
        <v>#N/A</v>
      </c>
      <c r="AC310" s="30" t="e">
        <f t="shared" si="501"/>
        <v>#N/A</v>
      </c>
      <c r="AD310" s="31" t="e">
        <f>IF(OR(Hypothèses!$B$4=17,Hypothèses!$B$4=18,Hypothèses!$B$4=19,Hypothèses!$B$4=20),
IF($D310="Pressio.",
IF(OR($E310=3,$E310=1,$E310=4),AC310,AB310),
IF($D310="Pénétro.",
IF(OR($E310=3,$E310=1,$E310=4),AC310,AB310))),IF($D310="Pressio.",
IF($E310=3,AC310,AB310),
IF($D310="Pénétro.",
IF($E310=4,AC310,AB310))))</f>
        <v>#N/A</v>
      </c>
      <c r="AE310" s="31" t="e">
        <f>(IF(OR(Hypothèses!$B$4=17,Hypothèses!$B$4=18,Hypothèses!$B$4=19,Hypothèses!$B$4=20),
IF($D310="Pressio.",
IF(OR($E310=3,$E310=1,$E310=4),(PI()*AE$12^2)/4*(AA310*$W310*1000)/($H310*$B$5),(PI()*AE$12^2)/4*(AA310*$W310*1000)/($G310*$B$5)),
IF($D310="Pénétro.",
IF(OR($E310=4,$E310=1,$E310=5),(PI()*AE$12^2)/4*(AA310*$W310*1000)/($H310*$B$5),(PI()*AE$12^2)/4*(AA310*$W310*1000)/($G310*$B$5)))),
IF($D310="Pressio.",
IF($E310=3,(PI()*AE$12^2)/4*(AA310*$W310*1000)/($H310*$B$5),(PI()*AE$12^2)/4*(AA310*$W310*1000)/($G310*$B$5)),
IF($D310="Pénétro.",
IF($E310=4,(PI()*AE$12^2)/4*(AA310*$W310*1000)/($H310*$B$5),(PI()*AE$12^2)/4*(AA310*$W310*1000)/($G310*$B$5))))))/10</f>
        <v>#N/A</v>
      </c>
      <c r="AF310" s="102" t="e">
        <f>(VLOOKUP($B$3,'Coeff EC7'!$T$39:$X$59,2,0)*AD310+VLOOKUP($B$3,'Coeff EC7'!$T$65:$X$85,2,0)*Model0.1C!AE310)/1.1</f>
        <v>#N/A</v>
      </c>
      <c r="AG310" s="102" t="e">
        <f>(VLOOKUP($B$3,'Coeff EC7'!$T$39:$X$59,3,0)*AD310+VLOOKUP($B$3,'Coeff EC7'!$T$65:$X$85,3,0)*Model0.1C!AE310)/0.9</f>
        <v>#N/A</v>
      </c>
      <c r="AH310" s="102" t="e">
        <f t="shared" si="439"/>
        <v>#N/A</v>
      </c>
      <c r="AI310" s="102" t="e">
        <f t="shared" si="440"/>
        <v>#N/A</v>
      </c>
      <c r="AJ310" s="414" t="e">
        <f>IF(AJ309=0,0,IF(AND(AF310&gt;charge_ELS_quasi,AG310&gt;Charge_ELS_freq,AH310&gt;charge_ELU,AI310&gt;charge_ELA,$B310&gt;NDC!$H$22-0.1+MIN(3*$AJ$12,1.5)),0,1))</f>
        <v>#N/A</v>
      </c>
      <c r="AK310" s="86" t="b">
        <f t="shared" si="441"/>
        <v>0</v>
      </c>
      <c r="AL310" s="86">
        <f t="shared" si="470"/>
        <v>0.5</v>
      </c>
      <c r="AM310" s="86">
        <f t="shared" si="442"/>
        <v>0.5</v>
      </c>
      <c r="AN310" s="30" t="e">
        <f t="shared" ca="1" si="471"/>
        <v>#DIV/0!</v>
      </c>
      <c r="AO310" s="85" t="e">
        <f ca="1">IF(U310&lt;=Hypothèses!$V$7,Hypothèses!$W$7,IF(U310&lt;=Hypothèses!$V$8,Hypothèses!$W$8,IF(U310&lt;=Hypothèses!$V$9,Hypothèses!$W$9,IF(U310&lt;=Hypothèses!$V$10,Hypothèses!$W$10,IF(U310&lt;=Hypothèses!$V$11,Hypothèses!$W$11,IF(U310&lt;=Hypothèses!$V$12,Hypothèses!$W$12,IF(U310&lt;=Hypothèses!$V$13,Hypothèses!$W$13,IF(U310&lt;=Hypothèses!$V$14,Hypothèses!$W$14,IF(U310&lt;=Hypothèses!$V$15,Hypothèses!$W$15,IF(U310&lt;=Hypothèses!$V$16,Hypothèses!$W$16,IF(U310&lt;=Hypothèses!$V$17,Hypothèses!$W$17,IF(U310&lt;=Hypothèses!$V$18,Hypothèses!$W$18,""))))))))))))</f>
        <v>#DIV/0!</v>
      </c>
      <c r="AP310" s="87" t="e">
        <f t="shared" ca="1" si="517"/>
        <v>#DIV/0!</v>
      </c>
      <c r="AQ310" s="88" t="e">
        <f ca="1">IF(U310&lt;=Hypothèses!$V$7,Hypothèses!$X$7,IF(U310&lt;=Hypothèses!$V$8,Hypothèses!$X$8,IF(U310&lt;=Hypothèses!$V$9,Hypothèses!$X$9,IF(U310&lt;=Hypothèses!$V$10,Hypothèses!$X$10,IF(U310&lt;=Hypothèses!$V$11,Hypothèses!$X$11,IF(U310&lt;=Hypothèses!$V$12,Hypothèses!$X$12,IF(U310&lt;=Hypothèses!$V$13,Hypothèses!$X$13,IF(U310&lt;=Hypothèses!$V$14,Hypothèses!$X$14,IF(U310&lt;=Hypothèses!$V$15,Hypothèses!$X$15,IF(U310&lt;=Hypothèses!$V$16,Hypothèses!$X$16,IF(U310&lt;=Hypothèses!$U$17,Hypothèses!$W$17,IF(U310&lt;=Hypothèses!$U$18,Hypothèses!$W$18,""))))))))))))</f>
        <v>#DIV/0!</v>
      </c>
      <c r="AR310" s="95" t="e">
        <f t="shared" ca="1" si="472"/>
        <v>#DIV/0!</v>
      </c>
      <c r="AS310" s="101" t="e">
        <f t="shared" si="524"/>
        <v>#N/A</v>
      </c>
      <c r="AT310" s="91" t="e">
        <f t="shared" si="443"/>
        <v>#N/A</v>
      </c>
      <c r="AU310" s="30" t="e">
        <f t="shared" si="502"/>
        <v>#N/A</v>
      </c>
      <c r="AV310" s="30" t="e">
        <f t="shared" si="503"/>
        <v>#N/A</v>
      </c>
      <c r="AW310" s="31" t="e">
        <f>IF(OR(Hypothèses!$B$4=17,Hypothèses!$B$4=18,Hypothèses!$B$4=19,Hypothèses!$B$4=20),
IF($D310="Pressio.",
IF(OR($E310=3,$E310=1,$E310=4),AV310,AU310),
IF($D310="Pénétro.",
IF(OR($E310=3,$E310=1,$E310=4),AV310,AU310))),IF($D310="Pressio.",
IF($E310=3,AV310,AU310),
IF($D310="Pénétro.",
IF($E310=4,AV310,AU310))))</f>
        <v>#N/A</v>
      </c>
      <c r="AX310" s="31" t="e">
        <f>(IF(OR(Hypothèses!$B$4=17,Hypothèses!$B$4=18,Hypothèses!$B$4=19,Hypothèses!$B$4=20),
IF($D310="Pressio.",
IF(OR($E310=3,$E310=1,$E310=4),(PI()*AX$12^2)/4*(AT310*$W310*1000)/($H310*$B$5),(PI()*AX$12^2)/4*(AT310*$W310*1000)/($G310*$B$5)),
IF($D310="Pénétro.",
IF(OR($E310=4,$E310=1,$E310=5),(PI()*AX$12^2)/4*(AT310*$W310*1000)/($H310*$B$5),(PI()*AX$12^2)/4*(AT310*$W310*1000)/($G310*$B$5)))),
IF($D310="Pressio.",
IF($E310=3,(PI()*AX$12^2)/4*(AT310*$W310*1000)/($H310*$B$5),(PI()*AX$12^2)/4*(AT310*$W310*1000)/($G310*$B$5)),
IF($D310="Pénétro.",
IF($E310=4,(PI()*AX$12^2)/4*(AT310*$W310*1000)/($H310*$B$5),(PI()*AX$12^2)/4*(AT310*$W310*1000)/($G310*$B$5))))))/10</f>
        <v>#N/A</v>
      </c>
      <c r="AY310" s="102" t="e">
        <f>(VLOOKUP($B$3,'Coeff EC7'!$T$39:$X$59,2,0)*AW310+VLOOKUP($B$3,'Coeff EC7'!$T$65:$X$85,2,0)*Model0.1C!AX310)/1.1</f>
        <v>#N/A</v>
      </c>
      <c r="AZ310" s="102" t="e">
        <f>(VLOOKUP($B$3,'Coeff EC7'!$T$39:$X$59,3,0)*AW310+VLOOKUP($B$3,'Coeff EC7'!$T$65:$X$85,3,0)*Model0.1C!AX310)/0.9</f>
        <v>#N/A</v>
      </c>
      <c r="BA310" s="102" t="e">
        <f t="shared" si="473"/>
        <v>#N/A</v>
      </c>
      <c r="BB310" s="102" t="e">
        <f t="shared" si="474"/>
        <v>#N/A</v>
      </c>
      <c r="BC310" s="414" t="e">
        <f>IF(BC309=0,0,IF(AND(AY310&gt;charge_ELS_quasi,AZ310&gt;Charge_ELS_freq,BA310&gt;charge_ELU,BB310&gt;charge_ELA,$B310&gt;NDC!$H$22-0.1+MIN(3*$BC$12,1.5)),0,1))</f>
        <v>#N/A</v>
      </c>
      <c r="BD310" s="86" t="b">
        <f t="shared" si="444"/>
        <v>0</v>
      </c>
      <c r="BE310" s="86">
        <f t="shared" si="475"/>
        <v>0.5</v>
      </c>
      <c r="BF310" s="86">
        <f t="shared" si="445"/>
        <v>0.5</v>
      </c>
      <c r="BG310" s="30" t="e">
        <f t="shared" ca="1" si="476"/>
        <v>#DIV/0!</v>
      </c>
      <c r="BH310" s="85" t="e">
        <f ca="1">IF(AN310&lt;=Hypothèses!$V$7,Hypothèses!$W$7,IF(AN310&lt;=Hypothèses!$V$8,Hypothèses!$W$8,IF(AN310&lt;=Hypothèses!$V$9,Hypothèses!$W$9,IF(AN310&lt;=Hypothèses!$V$10,Hypothèses!$W$10,IF(AN310&lt;=Hypothèses!$V$11,Hypothèses!$W$11,IF(AN310&lt;=Hypothèses!$V$12,Hypothèses!$W$12,IF(AN310&lt;=Hypothèses!$V$13,Hypothèses!$W$13,IF(AN310&lt;=Hypothèses!$V$14,Hypothèses!$W$14,IF(AN310&lt;=Hypothèses!$V$15,Hypothèses!$W$15,IF(AN310&lt;=Hypothèses!$V$16,Hypothèses!$W$16,IF(AN310&lt;=Hypothèses!$V$17,Hypothèses!$W$17,IF(AN310&lt;=Hypothèses!$V$18,Hypothèses!$W$18,""))))))))))))</f>
        <v>#DIV/0!</v>
      </c>
      <c r="BI310" s="87" t="e">
        <f t="shared" ca="1" si="518"/>
        <v>#DIV/0!</v>
      </c>
      <c r="BJ310" s="88" t="e">
        <f ca="1">IF(AN310&lt;=Hypothèses!$V$7,Hypothèses!$X$7,IF(AN310&lt;=Hypothèses!$V$8,Hypothèses!$X$8,IF(AN310&lt;=Hypothèses!$V$9,Hypothèses!$X$9,IF(AN310&lt;=Hypothèses!$V$10,Hypothèses!$X$10,IF(AN310&lt;=Hypothèses!$V$11,Hypothèses!$X$11,IF(AN310&lt;=Hypothèses!$V$12,Hypothèses!$X$12,IF(AN310&lt;=Hypothèses!$V$13,Hypothèses!$X$13,IF(AN310&lt;=Hypothèses!$V$14,Hypothèses!$X$14,IF(AN310&lt;=Hypothèses!$V$15,Hypothèses!$X$15,IF(AN310&lt;=Hypothèses!$V$16,Hypothèses!$X$16,IF(AN310&lt;=Hypothèses!$U$17,Hypothèses!$W$17,IF(AN310&lt;=Hypothèses!$U$18,Hypothèses!$W$18,""))))))))))))</f>
        <v>#DIV/0!</v>
      </c>
      <c r="BK310" s="95" t="e">
        <f t="shared" ca="1" si="477"/>
        <v>#DIV/0!</v>
      </c>
      <c r="BL310" s="101" t="e">
        <f t="shared" si="525"/>
        <v>#N/A</v>
      </c>
      <c r="BM310" s="91" t="e">
        <f t="shared" si="446"/>
        <v>#N/A</v>
      </c>
      <c r="BN310" s="30" t="e">
        <f t="shared" si="504"/>
        <v>#N/A</v>
      </c>
      <c r="BO310" s="30" t="e">
        <f t="shared" si="505"/>
        <v>#N/A</v>
      </c>
      <c r="BP310" s="31" t="e">
        <f>IF(OR(Hypothèses!$B$4=17,Hypothèses!$B$4=18,Hypothèses!$B$4=19,Hypothèses!$B$4=20),
IF($D310="Pressio.",
IF(OR($E310=3,$E310=1,$E310=4),BO310,BN310),
IF($D310="Pénétro.",
IF(OR($E310=3,$E310=1,$E310=4),BO310,BN310))),IF($D310="Pressio.",
IF($E310=3,BO310,BN310),
IF($D310="Pénétro.",
IF($E310=4,BO310,BN310))))</f>
        <v>#N/A</v>
      </c>
      <c r="BQ310" s="31" t="e">
        <f>(IF(OR(Hypothèses!$B$4=17,Hypothèses!$B$4=18,Hypothèses!$B$4=19,Hypothèses!$B$4=20),
IF($D310="Pressio.",
IF(OR($E310=3,$E310=1,$E310=4),(PI()*BQ$12^2)/4*(BM310*$W310*1000)/($H310*$B$5),(PI()*BQ$12^2)/4*(BM310*$W310*1000)/($G310*$B$5)),
IF($D310="Pénétro.",
IF(OR($E310=4,$E310=1,$E310=5),(PI()*BQ$12^2)/4*(BM310*$W310*1000)/($H310*$B$5),(PI()*BQ$12^2)/4*(BM310*$W310*1000)/($G310*$B$5)))),
IF($D310="Pressio.",
IF($E310=3,(PI()*BQ$12^2)/4*(BM310*$W310*1000)/($H310*$B$5),(PI()*BQ$12^2)/4*(BM310*$W310*1000)/($G310*$B$5)),
IF($D310="Pénétro.",
IF($E310=4,(PI()*BQ$12^2)/4*(BM310*$W310*1000)/($H310*$B$5),(PI()*BQ$12^2)/4*(BM310*$W310*1000)/($G310*$B$5))))))/10</f>
        <v>#N/A</v>
      </c>
      <c r="BR310" s="102" t="e">
        <f>(VLOOKUP($B$3,'Coeff EC7'!$T$39:$X$59,2,0)*BP310+VLOOKUP($B$3,'Coeff EC7'!$T$65:$X$85,2,0)*Model0.1C!BQ310)/1.1</f>
        <v>#N/A</v>
      </c>
      <c r="BS310" s="102" t="e">
        <f>(VLOOKUP($B$3,'Coeff EC7'!$T$39:$X$59,3,0)*BP310+VLOOKUP($B$3,'Coeff EC7'!$T$65:$X$85,3,0)*Model0.1C!BQ310)/0.9</f>
        <v>#N/A</v>
      </c>
      <c r="BT310" s="102" t="e">
        <f t="shared" si="478"/>
        <v>#N/A</v>
      </c>
      <c r="BU310" s="102" t="e">
        <f t="shared" si="479"/>
        <v>#N/A</v>
      </c>
      <c r="BV310" s="414" t="e">
        <f>IF(BV309=0,0,IF(AND(BR310&gt;charge_ELS_quasi,BS310&gt;Charge_ELS_freq,BT310&gt;charge_ELU,BU310&gt;charge_ELA,$B310&gt;NDC!$H$22-0.1+MIN(3*$BV$12,1.5)),0,1))</f>
        <v>#N/A</v>
      </c>
      <c r="BW310" s="86" t="b">
        <f t="shared" si="447"/>
        <v>0</v>
      </c>
      <c r="BX310" s="86">
        <f t="shared" si="448"/>
        <v>0.5</v>
      </c>
      <c r="BY310" s="86">
        <f t="shared" si="449"/>
        <v>0.5</v>
      </c>
      <c r="BZ310" s="30" t="e">
        <f t="shared" ca="1" si="480"/>
        <v>#DIV/0!</v>
      </c>
      <c r="CA310" s="85" t="e">
        <f ca="1">IF(BG310&lt;=Hypothèses!$V$7,Hypothèses!$W$7,IF(BG310&lt;=Hypothèses!$V$8,Hypothèses!$W$8,IF(BG310&lt;=Hypothèses!$V$9,Hypothèses!$W$9,IF(BG310&lt;=Hypothèses!$V$10,Hypothèses!$W$10,IF(BG310&lt;=Hypothèses!$V$11,Hypothèses!$W$11,IF(BG310&lt;=Hypothèses!$V$12,Hypothèses!$W$12,IF(BG310&lt;=Hypothèses!$V$13,Hypothèses!$W$13,IF(BG310&lt;=Hypothèses!$V$14,Hypothèses!$W$14,IF(BG310&lt;=Hypothèses!$V$15,Hypothèses!$W$15,IF(BG310&lt;=Hypothèses!$V$16,Hypothèses!$W$16,IF(BG310&lt;=Hypothèses!$V$17,Hypothèses!$W$17,IF(BG310&lt;=Hypothèses!$V$18,Hypothèses!$W$18,""))))))))))))</f>
        <v>#DIV/0!</v>
      </c>
      <c r="CB310" s="87" t="e">
        <f t="shared" ca="1" si="519"/>
        <v>#DIV/0!</v>
      </c>
      <c r="CC310" s="88" t="e">
        <f ca="1">IF(BG310&lt;=Hypothèses!$V$7,Hypothèses!$X$7,IF(BG310&lt;=Hypothèses!$V$8,Hypothèses!$X$8,IF(BG310&lt;=Hypothèses!$V$9,Hypothèses!$X$9,IF(BG310&lt;=Hypothèses!$V$10,Hypothèses!$X$10,IF(BG310&lt;=Hypothèses!$V$11,Hypothèses!$X$11,IF(BG310&lt;=Hypothèses!$V$12,Hypothèses!$X$12,IF(BG310&lt;=Hypothèses!$V$13,Hypothèses!$X$13,IF(BG310&lt;=Hypothèses!$V$14,Hypothèses!$X$14,IF(BG310&lt;=Hypothèses!$V$15,Hypothèses!$X$15,IF(BG310&lt;=Hypothèses!$V$16,Hypothèses!$X$16,IF(BG310&lt;=Hypothèses!$U$17,Hypothèses!$W$17,IF(BG310&lt;=Hypothèses!$U$18,Hypothèses!$W$18,""))))))))))))</f>
        <v>#DIV/0!</v>
      </c>
      <c r="CD310" s="95" t="e">
        <f t="shared" ca="1" si="481"/>
        <v>#DIV/0!</v>
      </c>
      <c r="CE310" s="101" t="e">
        <f t="shared" si="526"/>
        <v>#N/A</v>
      </c>
      <c r="CF310" s="91" t="e">
        <f t="shared" si="450"/>
        <v>#N/A</v>
      </c>
      <c r="CG310" s="30" t="e">
        <f t="shared" si="506"/>
        <v>#N/A</v>
      </c>
      <c r="CH310" s="30" t="e">
        <f t="shared" si="507"/>
        <v>#N/A</v>
      </c>
      <c r="CI310" s="31" t="e">
        <f>IF(OR(Hypothèses!$B$4=17,Hypothèses!$B$4=18,Hypothèses!$B$4=19,Hypothèses!$B$4=20),
IF($D310="Pressio.",
IF(OR($E310=3,$E310=1,$E310=4),CH310,CG310),
IF($D310="Pénétro.",
IF(OR($E310=3,$E310=1,$E310=4),CH310,CG310))),IF($D310="Pressio.",
IF($E310=3,CH310,CG310),
IF($D310="Pénétro.",
IF($E310=4,CH310,CG310))))</f>
        <v>#N/A</v>
      </c>
      <c r="CJ310" s="31" t="e">
        <f>(IF(OR(Hypothèses!$B$4=17,Hypothèses!$B$4=18,Hypothèses!$B$4=19,Hypothèses!$B$4=20),
IF($D310="Pressio.",
IF(OR($E310=3,$E310=1,$E310=4),(PI()*CJ$12^2)/4*(CF310*$W310*1000)/($H310*$B$5),(PI()*CJ$12^2)/4*(CF310*$W310*1000)/($G310*$B$5)),
IF($D310="Pénétro.",
IF(OR($E310=4,$E310=1,$E310=5),(PI()*CJ$12^2)/4*(CF310*$W310*1000)/($H310*$B$5),(PI()*CJ$12^2)/4*(CF310*$W310*1000)/($G310*$B$5)))),
IF($D310="Pressio.",
IF($E310=3,(PI()*CJ$12^2)/4*(CF310*$W310*1000)/($H310*$B$5),(PI()*CJ$12^2)/4*(CF310*$W310*1000)/($G310*$B$5)),
IF($D310="Pénétro.",
IF($E310=4,(PI()*CJ$12^2)/4*(CF310*$W310*1000)/($H310*$B$5),(PI()*CJ$12^2)/4*(CF310*$W310*1000)/($G310*$B$5))))))/10</f>
        <v>#N/A</v>
      </c>
      <c r="CK310" s="102" t="e">
        <f>(VLOOKUP($B$3,'Coeff EC7'!$T$39:$X$59,2,0)*CI310+VLOOKUP($B$3,'Coeff EC7'!$T$65:$X$85,2,0)*Model0.1C!CJ310)/1.1</f>
        <v>#N/A</v>
      </c>
      <c r="CL310" s="102" t="e">
        <f>(VLOOKUP($B$3,'Coeff EC7'!$T$39:$X$59,3,0)*CI310+VLOOKUP($B$3,'Coeff EC7'!$T$65:$X$85,3,0)*Model0.1C!CJ310)/0.9</f>
        <v>#N/A</v>
      </c>
      <c r="CM310" s="102" t="e">
        <f t="shared" si="482"/>
        <v>#N/A</v>
      </c>
      <c r="CN310" s="102" t="e">
        <f t="shared" si="483"/>
        <v>#N/A</v>
      </c>
      <c r="CO310" s="414" t="e">
        <f>IF(CO309=0,0,IF(AND(CK310&gt;charge_ELS_quasi,CL310&gt;Charge_ELS_freq,CM310&gt;charge_ELU,CN310&gt;charge_ELA,$B310&gt;NDC!$H$22-0.1+MIN(3*$CO$12,1.5)),0,1))</f>
        <v>#N/A</v>
      </c>
      <c r="CP310" s="86" t="b">
        <f t="shared" si="451"/>
        <v>0</v>
      </c>
      <c r="CQ310" s="86">
        <f t="shared" si="452"/>
        <v>0.5</v>
      </c>
      <c r="CR310" s="86">
        <f t="shared" si="453"/>
        <v>0.5</v>
      </c>
      <c r="CS310" s="30" t="e">
        <f t="shared" ca="1" si="484"/>
        <v>#DIV/0!</v>
      </c>
      <c r="CT310" s="85" t="e">
        <f ca="1">IF(BZ310&lt;=Hypothèses!$V$7,Hypothèses!$W$7,IF(BZ310&lt;=Hypothèses!$V$8,Hypothèses!$W$8,IF(BZ310&lt;=Hypothèses!$V$9,Hypothèses!$W$9,IF(BZ310&lt;=Hypothèses!$V$10,Hypothèses!$W$10,IF(BZ310&lt;=Hypothèses!$V$11,Hypothèses!$W$11,IF(BZ310&lt;=Hypothèses!$V$12,Hypothèses!$W$12,IF(BZ310&lt;=Hypothèses!$V$13,Hypothèses!$W$13,IF(BZ310&lt;=Hypothèses!$V$14,Hypothèses!$W$14,IF(BZ310&lt;=Hypothèses!$V$15,Hypothèses!$W$15,IF(BZ310&lt;=Hypothèses!$V$16,Hypothèses!$W$16,IF(BZ310&lt;=Hypothèses!$V$17,Hypothèses!$W$17,IF(BZ310&lt;=Hypothèses!$V$18,Hypothèses!$W$18,""))))))))))))</f>
        <v>#DIV/0!</v>
      </c>
      <c r="CU310" s="87" t="e">
        <f t="shared" ca="1" si="520"/>
        <v>#DIV/0!</v>
      </c>
      <c r="CV310" s="88" t="e">
        <f ca="1">IF(BZ310&lt;=Hypothèses!$V$7,Hypothèses!$X$7,IF(BZ310&lt;=Hypothèses!$V$8,Hypothèses!$X$8,IF(BZ310&lt;=Hypothèses!$V$9,Hypothèses!$X$9,IF(BZ310&lt;=Hypothèses!$V$10,Hypothèses!$X$10,IF(BZ310&lt;=Hypothèses!$V$11,Hypothèses!$X$11,IF(BZ310&lt;=Hypothèses!$V$12,Hypothèses!$X$12,IF(BZ310&lt;=Hypothèses!$V$13,Hypothèses!$X$13,IF(BZ310&lt;=Hypothèses!$V$14,Hypothèses!$X$14,IF(BZ310&lt;=Hypothèses!$V$15,Hypothèses!$X$15,IF(BZ310&lt;=Hypothèses!$V$16,Hypothèses!$X$16,IF(BZ310&lt;=Hypothèses!$U$17,Hypothèses!$W$17,IF(BZ310&lt;=Hypothèses!$U$18,Hypothèses!$W$18,""))))))))))))</f>
        <v>#DIV/0!</v>
      </c>
      <c r="CW310" s="95" t="e">
        <f t="shared" ca="1" si="485"/>
        <v>#DIV/0!</v>
      </c>
      <c r="CX310" s="101" t="e">
        <f t="shared" si="527"/>
        <v>#N/A</v>
      </c>
      <c r="CY310" s="91" t="e">
        <f t="shared" si="454"/>
        <v>#N/A</v>
      </c>
      <c r="CZ310" s="30" t="e">
        <f t="shared" si="508"/>
        <v>#N/A</v>
      </c>
      <c r="DA310" s="30" t="e">
        <f t="shared" si="509"/>
        <v>#N/A</v>
      </c>
      <c r="DB310" s="31" t="e">
        <f>IF(OR(Hypothèses!$B$4=17,Hypothèses!$B$4=18,Hypothèses!$B$4=19,Hypothèses!$B$4=20),
IF($D310="Pressio.",
IF(OR($E310=3,$E310=1,$E310=4),DA310,CZ310),
IF($D310="Pénétro.",
IF(OR($E310=3,$E310=1,$E310=4),DA310,CZ310))),IF($D310="Pressio.",
IF($E310=3,DA310,CZ310),
IF($D310="Pénétro.",
IF($E310=4,DA310,CZ310))))</f>
        <v>#N/A</v>
      </c>
      <c r="DC310" s="31" t="e">
        <f>(IF(OR(Hypothèses!$B$4=17,Hypothèses!$B$4=18,Hypothèses!$B$4=19,Hypothèses!$B$4=20),
IF($D310="Pressio.",
IF(OR($E310=3,$E310=1,$E310=4),(PI()*DC$12^2)/4*(CY310*$W310*1000)/($H310*$B$5),(PI()*DC$12^2)/4*(CY310*$W310*1000)/($G310*$B$5)),
IF($D310="Pénétro.",
IF(OR($E310=4,$E310=1,$E310=5),(PI()*DC$12^2)/4*(CY310*$W310*1000)/($H310*$B$5),(PI()*DC$12^2)/4*(CY310*$W310*1000)/($G310*$B$5)))),
IF($D310="Pressio.",
IF($E310=3,(PI()*DC$12^2)/4*(CY310*$W310*1000)/($H310*$B$5),(PI()*DC$12^2)/4*(CY310*$W310*1000)/($G310*$B$5)),
IF($D310="Pénétro.",
IF($E310=4,(PI()*DC$12^2)/4*(CY310*$W310*1000)/($H310*$B$5),(PI()*DC$12^2)/4*(CY310*$W310*1000)/($G310*$B$5))))))/10</f>
        <v>#N/A</v>
      </c>
      <c r="DD310" s="102" t="e">
        <f>(VLOOKUP($B$3,'Coeff EC7'!$T$39:$X$59,2,0)*DB310+VLOOKUP($B$3,'Coeff EC7'!$T$65:$X$85,2,0)*Model0.1C!DC310)/1.1</f>
        <v>#N/A</v>
      </c>
      <c r="DE310" s="102" t="e">
        <f>(VLOOKUP($B$3,'Coeff EC7'!$T$39:$X$59,3,0)*DB310+VLOOKUP($B$3,'Coeff EC7'!$T$65:$X$85,3,0)*Model0.1C!DC310)/0.9</f>
        <v>#N/A</v>
      </c>
      <c r="DF310" s="102" t="e">
        <f t="shared" si="486"/>
        <v>#N/A</v>
      </c>
      <c r="DG310" s="102" t="e">
        <f t="shared" si="487"/>
        <v>#N/A</v>
      </c>
      <c r="DH310" s="414" t="e">
        <f>IF(DH309=0,0,IF(AND(DD310&gt;charge_ELS_quasi,DE310&gt;Charge_ELS_freq,DF310&gt;charge_ELU,DG310&gt;charge_ELA,$B310&gt;NDC!$H$22-0.1+MIN(3*$DH$12,1.5)),0,1))</f>
        <v>#N/A</v>
      </c>
      <c r="DI310" s="86" t="b">
        <f t="shared" si="455"/>
        <v>0</v>
      </c>
      <c r="DJ310" s="86">
        <f t="shared" si="456"/>
        <v>0.5</v>
      </c>
      <c r="DK310" s="86">
        <f t="shared" si="457"/>
        <v>0.5</v>
      </c>
      <c r="DL310" s="30" t="e">
        <f t="shared" ca="1" si="488"/>
        <v>#DIV/0!</v>
      </c>
      <c r="DM310" s="85" t="e">
        <f ca="1">IF(CS310&lt;=Hypothèses!$V$7,Hypothèses!$W$7,IF(CS310&lt;=Hypothèses!$V$8,Hypothèses!$W$8,IF(CS310&lt;=Hypothèses!$V$9,Hypothèses!$W$9,IF(CS310&lt;=Hypothèses!$V$10,Hypothèses!$W$10,IF(CS310&lt;=Hypothèses!$V$11,Hypothèses!$W$11,IF(CS310&lt;=Hypothèses!$V$12,Hypothèses!$W$12,IF(CS310&lt;=Hypothèses!$V$13,Hypothèses!$W$13,IF(CS310&lt;=Hypothèses!$V$14,Hypothèses!$W$14,IF(CS310&lt;=Hypothèses!$V$15,Hypothèses!$W$15,IF(CS310&lt;=Hypothèses!$V$16,Hypothèses!$W$16,IF(CS310&lt;=Hypothèses!$V$17,Hypothèses!$W$17,IF(CS310&lt;=Hypothèses!$V$18,Hypothèses!$W$18,""))))))))))))</f>
        <v>#DIV/0!</v>
      </c>
      <c r="DN310" s="87" t="e">
        <f t="shared" ca="1" si="521"/>
        <v>#DIV/0!</v>
      </c>
      <c r="DO310" s="88" t="e">
        <f ca="1">IF(CS310&lt;=Hypothèses!$V$7,Hypothèses!$X$7,IF(CS310&lt;=Hypothèses!$V$8,Hypothèses!$X$8,IF(CS310&lt;=Hypothèses!$V$9,Hypothèses!$X$9,IF(CS310&lt;=Hypothèses!$V$10,Hypothèses!$X$10,IF(CS310&lt;=Hypothèses!$V$11,Hypothèses!$X$11,IF(CS310&lt;=Hypothèses!$V$12,Hypothèses!$X$12,IF(CS310&lt;=Hypothèses!$V$13,Hypothèses!$X$13,IF(CS310&lt;=Hypothèses!$V$14,Hypothèses!$X$14,IF(CS310&lt;=Hypothèses!$V$15,Hypothèses!$X$15,IF(CS310&lt;=Hypothèses!$V$16,Hypothèses!$X$16,IF(CS310&lt;=Hypothèses!$U$17,Hypothèses!$W$17,IF(CS310&lt;=Hypothèses!$U$18,Hypothèses!$W$18,""))))))))))))</f>
        <v>#DIV/0!</v>
      </c>
      <c r="DP310" s="95" t="e">
        <f t="shared" ca="1" si="489"/>
        <v>#DIV/0!</v>
      </c>
      <c r="DQ310" s="101" t="e">
        <f t="shared" si="528"/>
        <v>#N/A</v>
      </c>
      <c r="DR310" s="91" t="e">
        <f t="shared" si="458"/>
        <v>#N/A</v>
      </c>
      <c r="DS310" s="30" t="e">
        <f t="shared" si="510"/>
        <v>#N/A</v>
      </c>
      <c r="DT310" s="30" t="e">
        <f t="shared" si="511"/>
        <v>#N/A</v>
      </c>
      <c r="DU310" s="31" t="e">
        <f>IF(OR(Hypothèses!$B$4=17,Hypothèses!$B$4=18,Hypothèses!$B$4=19,Hypothèses!$B$4=20),
IF($D310="Pressio.",
IF(OR($E310=3,$E310=1,$E310=4),DT310,DS310),
IF($D310="Pénétro.",
IF(OR($E310=3,$E310=1,$E310=4),DT310,DS310))),IF($D310="Pressio.",
IF($E310=3,DT310,DS310),
IF($D310="Pénétro.",
IF($E310=4,DT310,DS310))))</f>
        <v>#N/A</v>
      </c>
      <c r="DV310" s="31" t="e">
        <f>(IF(OR(Hypothèses!$B$4=17,Hypothèses!$B$4=18,Hypothèses!$B$4=19,Hypothèses!$B$4=20),
IF($D310="Pressio.",
IF(OR($E310=3,$E310=1,$E310=4),(PI()*DV$12^2)/4*(DR310*$W310*1000)/($H310*$B$5),(PI()*DV$12^2)/4*(DR310*$W310*1000)/($G310*$B$5)),
IF($D310="Pénétro.",
IF(OR($E310=4,$E310=1,$E310=5),(PI()*DV$12^2)/4*(DR310*$W310*1000)/($H310*$B$5),(PI()*DV$12^2)/4*(DR310*$W310*1000)/($G310*$B$5)))),
IF($D310="Pressio.",
IF($E310=3,(PI()*DV$12^2)/4*(DR310*$W310*1000)/($H310*$B$5),(PI()*DV$12^2)/4*(DR310*$W310*1000)/($G310*$B$5)),
IF($D310="Pénétro.",
IF($E310=4,(PI()*DV$12^2)/4*(DR310*$W310*1000)/($H310*$B$5),(PI()*DV$12^2)/4*(DR310*$W310*1000)/($G310*$B$5))))))/10</f>
        <v>#N/A</v>
      </c>
      <c r="DW310" s="102" t="e">
        <f>(VLOOKUP($B$3,'Coeff EC7'!$T$39:$X$59,2,0)*DU310+VLOOKUP($B$3,'Coeff EC7'!$T$65:$X$85,2,0)*Model0.1C!DV310)/1.1</f>
        <v>#N/A</v>
      </c>
      <c r="DX310" s="102" t="e">
        <f>(VLOOKUP($B$3,'Coeff EC7'!$T$39:$X$59,3,0)*DU310+VLOOKUP($B$3,'Coeff EC7'!$T$65:$X$85,3,0)*Model0.1C!DV310)/0.9</f>
        <v>#N/A</v>
      </c>
      <c r="DY310" s="102" t="e">
        <f t="shared" si="490"/>
        <v>#N/A</v>
      </c>
      <c r="DZ310" s="102" t="e">
        <f t="shared" si="491"/>
        <v>#N/A</v>
      </c>
      <c r="EA310" s="414" t="e">
        <f>IF(EA309=0,0,IF(AND(DW310&gt;charge_ELS_quasi,DX310&gt;Charge_ELS_freq,DY310&gt;charge_ELU,DZ310&gt;charge_ELA,$B310&gt;NDC!$H$22-0.1+MIN(3*$EA$12,1.5)),0,1))</f>
        <v>#N/A</v>
      </c>
      <c r="EB310" s="86" t="b">
        <f t="shared" si="459"/>
        <v>0</v>
      </c>
      <c r="EC310" s="418">
        <f t="shared" si="460"/>
        <v>0.51</v>
      </c>
      <c r="ED310" s="86">
        <f t="shared" si="461"/>
        <v>0.51</v>
      </c>
      <c r="EE310" s="30" t="e">
        <f t="shared" ca="1" si="492"/>
        <v>#DIV/0!</v>
      </c>
      <c r="EF310" s="85" t="e">
        <f ca="1">IF(DL310&lt;=Hypothèses!$V$7,Hypothèses!$W$7,IF(DL310&lt;=Hypothèses!$V$8,Hypothèses!$W$8,IF(DL310&lt;=Hypothèses!$V$9,Hypothèses!$W$9,IF(DL310&lt;=Hypothèses!$V$10,Hypothèses!$W$10,IF(DL310&lt;=Hypothèses!$V$11,Hypothèses!$W$11,IF(DL310&lt;=Hypothèses!$V$12,Hypothèses!$W$12,IF(DL310&lt;=Hypothèses!$V$13,Hypothèses!$W$13,IF(DL310&lt;=Hypothèses!$V$14,Hypothèses!$W$14,IF(DL310&lt;=Hypothèses!$V$15,Hypothèses!$W$15,IF(DL310&lt;=Hypothèses!$V$16,Hypothèses!$W$16,IF(DL310&lt;=Hypothèses!$V$17,Hypothèses!$W$17,IF(DL310&lt;=Hypothèses!$V$18,Hypothèses!$W$18,""))))))))))))</f>
        <v>#DIV/0!</v>
      </c>
      <c r="EG310" s="87" t="e">
        <f t="shared" ca="1" si="522"/>
        <v>#DIV/0!</v>
      </c>
      <c r="EH310" s="88" t="e">
        <f ca="1">IF(DL310&lt;=Hypothèses!$V$7,Hypothèses!$X$7,IF(DL310&lt;=Hypothèses!$V$8,Hypothèses!$X$8,IF(DL310&lt;=Hypothèses!$V$9,Hypothèses!$X$9,IF(DL310&lt;=Hypothèses!$V$10,Hypothèses!$X$10,IF(DL310&lt;=Hypothèses!$V$11,Hypothèses!$X$11,IF(DL310&lt;=Hypothèses!$V$12,Hypothèses!$X$12,IF(DL310&lt;=Hypothèses!$V$13,Hypothèses!$X$13,IF(DL310&lt;=Hypothèses!$V$14,Hypothèses!$X$14,IF(DL310&lt;=Hypothèses!$V$15,Hypothèses!$X$15,IF(DL310&lt;=Hypothèses!$V$16,Hypothèses!$X$16,IF(DL310&lt;=Hypothèses!$U$17,Hypothèses!$W$17,IF(DL310&lt;=Hypothèses!$U$18,Hypothèses!$W$18,""))))))))))))</f>
        <v>#DIV/0!</v>
      </c>
      <c r="EI310" s="95" t="e">
        <f t="shared" ca="1" si="493"/>
        <v>#DIV/0!</v>
      </c>
      <c r="EJ310" s="101" t="e">
        <f t="shared" si="529"/>
        <v>#N/A</v>
      </c>
      <c r="EK310" s="91" t="e">
        <f t="shared" si="462"/>
        <v>#N/A</v>
      </c>
      <c r="EL310" s="30" t="e">
        <f t="shared" si="512"/>
        <v>#N/A</v>
      </c>
      <c r="EM310" s="30" t="e">
        <f t="shared" si="513"/>
        <v>#N/A</v>
      </c>
      <c r="EN310" s="31" t="e">
        <f>IF(OR(Hypothèses!$B$4=17,Hypothèses!$B$4=18,Hypothèses!$B$4=19,Hypothèses!$B$4=20),
IF($D310="Pressio.",
IF(OR($E310=3,$E310=1,$E310=4),EM310,EL310),
IF($D310="Pénétro.",
IF(OR($E310=3,$E310=1,$E310=4),EM310,EL310))),IF($D310="Pressio.",
IF($E310=3,EM310,EL310),
IF($D310="Pénétro.",
IF($E310=4,EM310,EL310))))</f>
        <v>#N/A</v>
      </c>
      <c r="EO310" s="31" t="e">
        <f>(IF(OR(Hypothèses!$B$4=17,Hypothèses!$B$4=18,Hypothèses!$B$4=19,Hypothèses!$B$4=20),
IF($D310="Pressio.",
IF(OR($E310=3,$E310=1,$E310=4),(PI()*EO$12^2)/4*(EK310*$W310*1000)/($H310*$B$5),(PI()*EO$12^2)/4*(EK310*$W310*1000)/($G310*$B$5)),
IF($D310="Pénétro.",
IF(OR($E310=4,$E310=1,$E310=5),(PI()*EO$12^2)/4*(EK310*$W310*1000)/($H310*$B$5),(PI()*EO$12^2)/4*(EK310*$W310*1000)/($G310*$B$5)))),
IF($D310="Pressio.",
IF($E310=3,(PI()*EO$12^2)/4*(EK310*$W310*1000)/($H310*$B$5),(PI()*EO$12^2)/4*(EK310*$W310*1000)/($G310*$B$5)),
IF($D310="Pénétro.",
IF($E310=4,(PI()*EO$12^2)/4*(EK310*$W310*1000)/($H310*$B$5),(PI()*EO$12^2)/4*(EK310*$W310*1000)/($G310*$B$5))))))/10</f>
        <v>#N/A</v>
      </c>
      <c r="EP310" s="102" t="e">
        <f>(VLOOKUP($B$3,'Coeff EC7'!$T$39:$X$59,2,0)*EN310+VLOOKUP($B$3,'Coeff EC7'!$T$65:$X$85,2,0)*Model0.1C!EO310)/1.1</f>
        <v>#N/A</v>
      </c>
      <c r="EQ310" s="102" t="e">
        <f>(VLOOKUP($B$3,'Coeff EC7'!$T$39:$X$59,3,0)*EN310+VLOOKUP($B$3,'Coeff EC7'!$T$65:$X$85,3,0)*Model0.1C!EO310)/0.9</f>
        <v>#N/A</v>
      </c>
      <c r="ER310" s="102" t="e">
        <f t="shared" si="494"/>
        <v>#N/A</v>
      </c>
      <c r="ES310" s="102" t="e">
        <f t="shared" si="495"/>
        <v>#N/A</v>
      </c>
      <c r="ET310" s="414" t="e">
        <f>IF(ET309=0,0,IF(AND(EP310&gt;charge_ELS_quasi,EQ310&gt;Charge_ELS_freq,ER310&gt;charge_ELU,ES310&gt;charge_ELA,$B310&gt;NDC!$H$22-0.1+MIN(3*$ET$12,1.5)),0,1))</f>
        <v>#N/A</v>
      </c>
      <c r="EU310" s="86" t="b">
        <f t="shared" si="463"/>
        <v>0</v>
      </c>
      <c r="EV310" s="86">
        <f t="shared" si="464"/>
        <v>0.61</v>
      </c>
      <c r="EW310" s="86">
        <f t="shared" si="465"/>
        <v>0.61</v>
      </c>
      <c r="EX310" s="30" t="e">
        <f t="shared" ca="1" si="496"/>
        <v>#DIV/0!</v>
      </c>
      <c r="EY310" s="85" t="e">
        <f ca="1">IF(EE310&lt;=Hypothèses!$V$7,Hypothèses!$W$7,IF(EE310&lt;=Hypothèses!$V$8,Hypothèses!$W$8,IF(EE310&lt;=Hypothèses!$V$9,Hypothèses!$W$9,IF(EE310&lt;=Hypothèses!$V$10,Hypothèses!$W$10,IF(EE310&lt;=Hypothèses!$V$11,Hypothèses!$W$11,IF(EE310&lt;=Hypothèses!$V$12,Hypothèses!$W$12,IF(EE310&lt;=Hypothèses!$V$13,Hypothèses!$W$13,IF(EE310&lt;=Hypothèses!$V$14,Hypothèses!$W$14,IF(EE310&lt;=Hypothèses!$V$15,Hypothèses!$W$15,IF(EE310&lt;=Hypothèses!$V$16,Hypothèses!$W$16,IF(EE310&lt;=Hypothèses!$V$17,Hypothèses!$W$17,IF(EE310&lt;=Hypothèses!$V$18,Hypothèses!$W$18,""))))))))))))</f>
        <v>#DIV/0!</v>
      </c>
      <c r="EZ310" s="87" t="e">
        <f t="shared" ca="1" si="523"/>
        <v>#DIV/0!</v>
      </c>
      <c r="FA310" s="88" t="e">
        <f ca="1">IF(EE310&lt;=Hypothèses!$V$7,Hypothèses!$X$7,IF(EE310&lt;=Hypothèses!$V$8,Hypothèses!$X$8,IF(EE310&lt;=Hypothèses!$V$9,Hypothèses!$X$9,IF(EE310&lt;=Hypothèses!$V$10,Hypothèses!$X$10,IF(EE310&lt;=Hypothèses!$V$11,Hypothèses!$X$11,IF(EE310&lt;=Hypothèses!$V$12,Hypothèses!$X$12,IF(EE310&lt;=Hypothèses!$V$13,Hypothèses!$X$13,IF(EE310&lt;=Hypothèses!$V$14,Hypothèses!$X$14,IF(EE310&lt;=Hypothèses!$V$15,Hypothèses!$X$15,IF(EE310&lt;=Hypothèses!$V$16,Hypothèses!$X$16,IF(EE310&lt;=Hypothèses!$U$17,Hypothèses!$W$17,IF(EE310&lt;=Hypothèses!$U$18,Hypothèses!$W$18,""))))))))))))</f>
        <v>#DIV/0!</v>
      </c>
      <c r="FB310" s="95" t="e">
        <f t="shared" ca="1" si="497"/>
        <v>#DIV/0!</v>
      </c>
      <c r="FC310" s="101" t="e">
        <f t="shared" si="530"/>
        <v>#N/A</v>
      </c>
      <c r="FD310" s="91" t="e">
        <f t="shared" si="466"/>
        <v>#N/A</v>
      </c>
      <c r="FE310" s="30" t="e">
        <f t="shared" si="514"/>
        <v>#N/A</v>
      </c>
      <c r="FF310" s="30" t="e">
        <f t="shared" si="515"/>
        <v>#N/A</v>
      </c>
      <c r="FG310" s="31" t="e">
        <f>IF(OR(Hypothèses!$B$4=17,Hypothèses!$B$4=18,Hypothèses!$B$4=19,Hypothèses!$B$4=20),
IF($D310="Pressio.",
IF(OR($E310=3,$E310=1,$E310=4),FF310,FE310),
IF($D310="Pénétro.",
IF(OR($E310=3,$E310=1,$E310=4),FF310,FE310))),IF($D310="Pressio.",
IF($E310=3,FF310,FE310),
IF($D310="Pénétro.",
IF($E310=4,FF310,FE310))))</f>
        <v>#N/A</v>
      </c>
      <c r="FH310" s="31" t="e">
        <f>(IF(OR(Hypothèses!$B$4=17,Hypothèses!$B$4=18,Hypothèses!$B$4=19,Hypothèses!$B$4=20),
IF($D310="Pressio.",
IF(OR($E310=3,$E310=1,$E310=4),(PI()*FH$12^2)/4*(FD310*$W310*1000)/($H310*$B$5),(PI()*FH$12^2)/4*(FD310*$W310*1000)/($G310*$B$5)),
IF($D310="Pénétro.",
IF(OR($E310=4,$E310=1,$E310=5),(PI()*FH$12^2)/4*(FD310*$W310*1000)/($H310*$B$5),(PI()*FH$12^2)/4*(FD310*$W310*1000)/($G310*$B$5)))),
IF($D310="Pressio.",
IF($E310=3,(PI()*FH$12^2)/4*(FD310*$W310*1000)/($H310*$B$5),(PI()*FH$12^2)/4*(FD310*$W310*1000)/($G310*$B$5)),
IF($D310="Pénétro.",
IF($E310=4,(PI()*FH$12^2)/4*(FD310*$W310*1000)/($H310*$B$5),(PI()*FH$12^2)/4*(FD310*$W310*1000)/($G310*$B$5))))))/10</f>
        <v>#N/A</v>
      </c>
      <c r="FI310" s="102" t="e">
        <f>(VLOOKUP($B$3,'Coeff EC7'!$T$39:$X$59,2,0)*FG310+VLOOKUP($B$3,'Coeff EC7'!$T$65:$X$85,2,0)*Model0.1C!FH310)/1.1</f>
        <v>#N/A</v>
      </c>
      <c r="FJ310" s="102" t="e">
        <f>(VLOOKUP($B$3,'Coeff EC7'!$T$39:$X$59,3,0)*FG310+VLOOKUP($B$3,'Coeff EC7'!$T$65:$X$85,3,0)*Model0.1C!FH310)/0.9</f>
        <v>#N/A</v>
      </c>
      <c r="FK310" s="102" t="e">
        <f t="shared" si="498"/>
        <v>#N/A</v>
      </c>
      <c r="FL310" s="102" t="e">
        <f t="shared" si="499"/>
        <v>#N/A</v>
      </c>
      <c r="FM310" s="414" t="e">
        <f>IF(FM309=0,0,IF(AND(FI310&gt;charge_ELS_quasi,FJ310&gt;Charge_ELS_freq,FK310&gt;charge_ELU,FL310&gt;charge_ELA,$B310&gt;NDC!$H$22-0.1+MIN(3*$FM$12,1.5)),0,1))</f>
        <v>#N/A</v>
      </c>
    </row>
    <row r="311" spans="1:169">
      <c r="A311" s="96">
        <f t="shared" si="467"/>
        <v>70.200000000001694</v>
      </c>
      <c r="B311" s="97">
        <v>29.8</v>
      </c>
      <c r="C311" s="81">
        <f>IF(B311&lt;=Hypothèses!$C$7,Hypothèses!$A$7,IF(B311&lt;=Hypothèses!$C$8,Hypothèses!$A$8,IF(B311&lt;=Hypothèses!$C$9,Hypothèses!$A$9,IF(B311&lt;=Hypothèses!$C$10,Hypothèses!$A$10,IF(B311&lt;=Hypothèses!$C$11,Hypothèses!$A$11,IF(B311&lt;=Hypothèses!$C$12,Hypothèses!$A$12,IF(B311&lt;=Hypothèses!$C$13,Hypothèses!$A$13,IF(B311&lt;=Hypothèses!$C$14,Hypothèses!$A$14,IF(B311&lt;=Hypothèses!$C$15,Hypothèses!$A$15,IF(B311&lt;=Hypothèses!$C$16,Hypothèses!$A$16,IF(B311&lt;=Hypothèses!$C$17,Hypothèses!$A$17,IF(B311&lt;=Hypothèses!$C$18,Hypothèses!$A$18,C310))))))))))))</f>
        <v>11</v>
      </c>
      <c r="D311" s="82" t="str">
        <f>IF(B311&lt;=Hypothèses!$C$7,Hypothèses!$R$7,IF(B311&lt;=Hypothèses!$C$8,Hypothèses!$R$8,IF(B311&lt;=Hypothèses!$C$9,Hypothèses!$R$9,IF(B311&lt;=Hypothèses!$C$10,Hypothèses!$R$10,IF(B311&lt;=Hypothèses!$C$11,Hypothèses!$R$11,IF(B311&lt;=Hypothèses!$C$12,Hypothèses!$R$12,IF(B311&lt;=Hypothèses!$C$13,Hypothèses!$R$13,IF(B311&lt;=Hypothèses!$C$14,Hypothèses!$R$14,IF(B311&lt;=Hypothèses!$C$15,Hypothèses!$R$15,IF(B311&lt;=Hypothèses!$C$16,Hypothèses!$R$16,IF(B311&lt;=Hypothèses!$C$17,Hypothèses!$R$17,IF(B311&lt;=Hypothèses!$C$18,Hypothèses!$R$18,D310))))))))))))</f>
        <v>Pressio.</v>
      </c>
      <c r="E311" s="82" t="e">
        <f>IF(B311&lt;=Hypothèses!$C$7,Hypothèses!$G$7,IF(B311&lt;=Hypothèses!$C$8,Hypothèses!$G$8,IF(B311&lt;=Hypothèses!$C$9,Hypothèses!$G$9,IF(B311&lt;=Hypothèses!$C$10,Hypothèses!$G$10,IF(B311&lt;=Hypothèses!$C$11,Hypothèses!$G$11,IF(B311&lt;=Hypothèses!$C$12,Hypothèses!$G$12,IF(B311&lt;=Hypothèses!$C$13,Hypothèses!$G$13,IF(B311&lt;=Hypothèses!$C$14,Hypothèses!$G$14,IF(B311&lt;=Hypothèses!$C$15,Hypothèses!$G$15,IF(B311&lt;=Hypothèses!$C$16,Hypothèses!$G$16,IF(B311&lt;=Hypothèses!$C$17,Hypothèses!$G$17,IF(B311&lt;=Hypothèses!$C$18,Hypothèses!$G$18,E310))))))))))))</f>
        <v>#N/A</v>
      </c>
      <c r="F311" s="82" t="str">
        <f>IF(B311&lt;=Hypothèses!$C$7,Hypothèses!$F$7,IF(B311&lt;=Hypothèses!$C$8,Hypothèses!$F$8,IF(B311&lt;=Hypothèses!$C$9,Hypothèses!$F$9,IF(B311&lt;=Hypothèses!$C$10,Hypothèses!$F$10,IF(B311&lt;=Hypothèses!$C$11,Hypothèses!$F$11,IF(B311&lt;=Hypothèses!$C$12,Hypothèses!$F$12,IF(B311&lt;=Hypothèses!$C$13,Hypothèses!$F$13,IF(B311&lt;=Hypothèses!$C$14,Hypothèses!$F$14,IF(B311&lt;=Hypothèses!$C$15,Hypothèses!$F$15,IF(B311&lt;=Hypothèses!$C$16,Hypothèses!$F$16,IF(B311&lt;=Hypothèses!$C$17,Hypothèses!$F$17,IF(B311&lt;=Hypothèses!$C$18,Hypothèses!$F$18,F310))))))))))))</f>
        <v/>
      </c>
      <c r="G311" s="91">
        <f t="array" ref="G311">INDEX('Coeff EC7'!$U$7:$X$27,
MATCH(Model0.1C!$B$3,'Coeff EC7'!$T$7:$T$27,0),
MATCH(Model0.1C!$D311&amp;Model0.1C!$B$4,
'Coeff EC7'!$U$6:$X$6&amp;
'Coeff EC7'!$U$5:$X$5,0))</f>
        <v>1.1499999999999999</v>
      </c>
      <c r="H311" s="91">
        <f t="array" ref="H311">INDEX('Coeff EC7'!$Y$7:$AB$27,
MATCH(Model0.1C!$B$3,'Coeff EC7'!$T$7:$T$27,0),
MATCH(Model0.1C!$D311&amp;Model0.1C!$B$4,
'Coeff EC7'!$Y$6:$AB$6&amp;
'Coeff EC7'!$Y$5:$AB$5,0))</f>
        <v>1.4</v>
      </c>
      <c r="I311" s="83" t="e">
        <f>IF(B311&lt;=Hypothèses!$C$7,Hypothèses!$P$7,IF(B311&lt;=Hypothèses!$C$8,Hypothèses!$P$8,IF(B311&lt;=Hypothèses!$C$9,Hypothèses!$P$9,IF(B311&lt;=Hypothèses!$C$10,Hypothèses!$P$10,IF(B311&lt;=Hypothèses!$C$11,Hypothèses!$P$11,IF(B311&lt;=Hypothèses!$C$12,Hypothèses!$P$12,IF(B311&lt;=Hypothèses!$C$13,Hypothèses!$P$13,IF(B311&lt;=Hypothèses!$C$14,Hypothèses!$P$14,IF(B311&lt;=Hypothèses!$C$15,Hypothèses!$P$15,IF(B311&lt;=Hypothèses!$C$16,Hypothèses!$P$16,IF(B311&lt;=Hypothèses!$C$17,Hypothèses!$P$17,IF(B311&lt;=Hypothèses!$C$18,Hypothèses!$P$18,I310))))))))))))</f>
        <v>#N/A</v>
      </c>
      <c r="J311" s="91" t="e">
        <f t="array" ref="J311">INDEX('Coeff EC7'!$D$33:$Q$33,1,MATCH(D311&amp;E311,'Coeff EC7'!$D$31:$Q$31&amp;'Coeff EC7'!$D$32:$Q$32,0))</f>
        <v>#N/A</v>
      </c>
      <c r="K311" s="91" t="e">
        <f t="array" ref="K311">INDEX('Coeff EC7'!$D$34:$Q$34,1,MATCH(D311&amp;E311,'Coeff EC7'!$D$31:$Q$31&amp;'Coeff EC7'!$D$32:$Q$32,0))</f>
        <v>#N/A</v>
      </c>
      <c r="L311" s="91" t="e">
        <f t="array" ref="L311">INDEX('Coeff EC7'!$D$35:$Q$35,1,MATCH(D311&amp;E311,'Coeff EC7'!$D$31:$Q$31&amp;'Coeff EC7'!$D$32:$Q$32,0))</f>
        <v>#N/A</v>
      </c>
      <c r="M311" s="98" t="e">
        <f t="shared" si="431"/>
        <v>#N/A</v>
      </c>
      <c r="N311" s="99" t="e">
        <f t="array" ref="N311">INDEX('Coeff EC7'!$D$7:$Q$27,MATCH($B$3,'Coeff EC7'!$C$7:$C$27,0),MATCH(D311&amp;E311,'Coeff EC7'!$D$5:$Q$5&amp;'Coeff EC7'!$D$6:$Q$6,0))</f>
        <v>#N/A</v>
      </c>
      <c r="O311" s="99" t="e">
        <f t="array" ref="O311">INDEX('Coeff EC7'!$D$41:$Q$61,MATCH($B$3,'Coeff EC7'!$C$41:$C$61,0),MATCH(D311&amp;E311,'Coeff EC7'!$D$39:$Q$39&amp;'Coeff EC7'!$D$40:$Q$40,0))</f>
        <v>#N/A</v>
      </c>
      <c r="P311" s="30" t="e">
        <f t="shared" si="468"/>
        <v>#N/A</v>
      </c>
      <c r="Q311" s="100" t="e">
        <f t="shared" si="433"/>
        <v>#N/A</v>
      </c>
      <c r="R311" s="86" t="b">
        <f t="shared" si="434"/>
        <v>0</v>
      </c>
      <c r="S311" s="86">
        <f t="shared" si="432"/>
        <v>0.5</v>
      </c>
      <c r="T311" s="86">
        <f t="shared" si="435"/>
        <v>0.5</v>
      </c>
      <c r="U311" s="30" t="e">
        <f t="shared" ca="1" si="469"/>
        <v>#DIV/0!</v>
      </c>
      <c r="V311" s="85" t="str">
        <f>IF(B311&lt;=Hypothèses!$V$7,Hypothèses!$W$7,IF(B311&lt;=Hypothèses!$V$8,Hypothèses!$W$8,IF(B311&lt;=Hypothèses!$V$9,Hypothèses!$W$9,IF(B311&lt;=Hypothèses!$V$10,Hypothèses!$W$10,IF(B311&lt;=Hypothèses!$V$11,Hypothèses!$W$11,IF(B311&lt;=Hypothèses!$V$12,Hypothèses!$W$12,IF(B311&lt;=Hypothèses!$V$13,Hypothèses!$W$13,IF(B311&lt;=Hypothèses!$V$14,Hypothèses!$W$14,IF(B311&lt;=Hypothèses!$V$15,Hypothèses!$W$15,IF(B311&lt;=Hypothèses!$V$16,Hypothèses!$W$16,IF(B311&lt;=Hypothèses!$V$17,Hypothèses!$W$17,IF(B311&lt;=Hypothèses!$V$18,Hypothèses!$W$18,""))))))))))))</f>
        <v/>
      </c>
      <c r="W311" s="87" t="e">
        <f t="shared" ca="1" si="516"/>
        <v>#DIV/0!</v>
      </c>
      <c r="X311" s="88" t="str">
        <f>IF(B311&lt;=Hypothèses!$V$7,Hypothèses!$X$7,IF(B311&lt;=Hypothèses!$V$8,Hypothèses!$X$8,IF(B311&lt;=Hypothèses!$V$9,Hypothèses!$X$9,IF(B311&lt;=Hypothèses!$V$10,Hypothèses!$X$10,IF(B311&lt;=Hypothèses!$V$11,Hypothèses!$X$11,IF(B311&lt;=Hypothèses!$V$12,Hypothèses!$X$12,IF(B311&lt;=Hypothèses!$V$13,Hypothèses!$X$13,IF(B311&lt;=Hypothèses!$V$14,Hypothèses!$X$14,IF(B311&lt;=Hypothèses!$V$15,Hypothèses!$X$15,IF(B311&lt;=Hypothèses!$V$16,Hypothèses!$X$16,IF(B311&lt;=Hypothèses!$U$17,Hypothèses!$W$17,IF(B311&lt;=Hypothèses!$U$18,Hypothèses!$W$18,""))))))))))))</f>
        <v/>
      </c>
      <c r="Y311" s="95" t="e">
        <f t="shared" ca="1" si="436"/>
        <v>#DIV/0!</v>
      </c>
      <c r="Z311" s="101" t="e">
        <f t="shared" si="437"/>
        <v>#N/A</v>
      </c>
      <c r="AA311" s="91" t="e">
        <f t="shared" si="438"/>
        <v>#N/A</v>
      </c>
      <c r="AB311" s="30" t="e">
        <f t="shared" si="500"/>
        <v>#N/A</v>
      </c>
      <c r="AC311" s="30" t="e">
        <f t="shared" si="501"/>
        <v>#N/A</v>
      </c>
      <c r="AD311" s="31" t="e">
        <f>IF(OR(Hypothèses!$B$4=17,Hypothèses!$B$4=18,Hypothèses!$B$4=19,Hypothèses!$B$4=20),
IF($D311="Pressio.",
IF(OR($E311=3,$E311=1,$E311=4),AC311,AB311),
IF($D311="Pénétro.",
IF(OR($E311=3,$E311=1,$E311=4),AC311,AB311))),IF($D311="Pressio.",
IF($E311=3,AC311,AB311),
IF($D311="Pénétro.",
IF($E311=4,AC311,AB311))))</f>
        <v>#N/A</v>
      </c>
      <c r="AE311" s="31" t="e">
        <f>(IF(OR(Hypothèses!$B$4=17,Hypothèses!$B$4=18,Hypothèses!$B$4=19,Hypothèses!$B$4=20),
IF($D311="Pressio.",
IF(OR($E311=3,$E311=1,$E311=4),(PI()*AE$12^2)/4*(AA311*$W311*1000)/($H311*$B$5),(PI()*AE$12^2)/4*(AA311*$W311*1000)/($G311*$B$5)),
IF($D311="Pénétro.",
IF(OR($E311=4,$E311=1,$E311=5),(PI()*AE$12^2)/4*(AA311*$W311*1000)/($H311*$B$5),(PI()*AE$12^2)/4*(AA311*$W311*1000)/($G311*$B$5)))),
IF($D311="Pressio.",
IF($E311=3,(PI()*AE$12^2)/4*(AA311*$W311*1000)/($H311*$B$5),(PI()*AE$12^2)/4*(AA311*$W311*1000)/($G311*$B$5)),
IF($D311="Pénétro.",
IF($E311=4,(PI()*AE$12^2)/4*(AA311*$W311*1000)/($H311*$B$5),(PI()*AE$12^2)/4*(AA311*$W311*1000)/($G311*$B$5))))))/10</f>
        <v>#N/A</v>
      </c>
      <c r="AF311" s="102" t="e">
        <f>(VLOOKUP($B$3,'Coeff EC7'!$T$39:$X$59,2,0)*AD311+VLOOKUP($B$3,'Coeff EC7'!$T$65:$X$85,2,0)*Model0.1C!AE311)/1.1</f>
        <v>#N/A</v>
      </c>
      <c r="AG311" s="102" t="e">
        <f>(VLOOKUP($B$3,'Coeff EC7'!$T$39:$X$59,3,0)*AD311+VLOOKUP($B$3,'Coeff EC7'!$T$65:$X$85,3,0)*Model0.1C!AE311)/0.9</f>
        <v>#N/A</v>
      </c>
      <c r="AH311" s="102" t="e">
        <f t="shared" si="439"/>
        <v>#N/A</v>
      </c>
      <c r="AI311" s="102" t="e">
        <f t="shared" si="440"/>
        <v>#N/A</v>
      </c>
      <c r="AJ311" s="414" t="e">
        <f>IF(AJ310=0,0,IF(AND(AF311&gt;charge_ELS_quasi,AG311&gt;Charge_ELS_freq,AH311&gt;charge_ELU,AI311&gt;charge_ELA,$B311&gt;NDC!$H$22-0.1+MIN(3*$AJ$12,1.5)),0,1))</f>
        <v>#N/A</v>
      </c>
      <c r="AK311" s="86" t="b">
        <f t="shared" si="441"/>
        <v>0</v>
      </c>
      <c r="AL311" s="86">
        <f t="shared" si="470"/>
        <v>0.5</v>
      </c>
      <c r="AM311" s="86">
        <f t="shared" si="442"/>
        <v>0.5</v>
      </c>
      <c r="AN311" s="30" t="e">
        <f t="shared" ca="1" si="471"/>
        <v>#DIV/0!</v>
      </c>
      <c r="AO311" s="85" t="e">
        <f ca="1">IF(U311&lt;=Hypothèses!$V$7,Hypothèses!$W$7,IF(U311&lt;=Hypothèses!$V$8,Hypothèses!$W$8,IF(U311&lt;=Hypothèses!$V$9,Hypothèses!$W$9,IF(U311&lt;=Hypothèses!$V$10,Hypothèses!$W$10,IF(U311&lt;=Hypothèses!$V$11,Hypothèses!$W$11,IF(U311&lt;=Hypothèses!$V$12,Hypothèses!$W$12,IF(U311&lt;=Hypothèses!$V$13,Hypothèses!$W$13,IF(U311&lt;=Hypothèses!$V$14,Hypothèses!$W$14,IF(U311&lt;=Hypothèses!$V$15,Hypothèses!$W$15,IF(U311&lt;=Hypothèses!$V$16,Hypothèses!$W$16,IF(U311&lt;=Hypothèses!$V$17,Hypothèses!$W$17,IF(U311&lt;=Hypothèses!$V$18,Hypothèses!$W$18,""))))))))))))</f>
        <v>#DIV/0!</v>
      </c>
      <c r="AP311" s="87" t="e">
        <f t="shared" ca="1" si="517"/>
        <v>#DIV/0!</v>
      </c>
      <c r="AQ311" s="88" t="e">
        <f ca="1">IF(U311&lt;=Hypothèses!$V$7,Hypothèses!$X$7,IF(U311&lt;=Hypothèses!$V$8,Hypothèses!$X$8,IF(U311&lt;=Hypothèses!$V$9,Hypothèses!$X$9,IF(U311&lt;=Hypothèses!$V$10,Hypothèses!$X$10,IF(U311&lt;=Hypothèses!$V$11,Hypothèses!$X$11,IF(U311&lt;=Hypothèses!$V$12,Hypothèses!$X$12,IF(U311&lt;=Hypothèses!$V$13,Hypothèses!$X$13,IF(U311&lt;=Hypothèses!$V$14,Hypothèses!$X$14,IF(U311&lt;=Hypothèses!$V$15,Hypothèses!$X$15,IF(U311&lt;=Hypothèses!$V$16,Hypothèses!$X$16,IF(U311&lt;=Hypothèses!$U$17,Hypothèses!$W$17,IF(U311&lt;=Hypothèses!$U$18,Hypothèses!$W$18,""))))))))))))</f>
        <v>#DIV/0!</v>
      </c>
      <c r="AR311" s="95" t="e">
        <f t="shared" ca="1" si="472"/>
        <v>#DIV/0!</v>
      </c>
      <c r="AS311" s="101" t="e">
        <f t="shared" si="524"/>
        <v>#N/A</v>
      </c>
      <c r="AT311" s="91" t="e">
        <f t="shared" si="443"/>
        <v>#N/A</v>
      </c>
      <c r="AU311" s="30" t="e">
        <f t="shared" si="502"/>
        <v>#N/A</v>
      </c>
      <c r="AV311" s="30" t="e">
        <f t="shared" si="503"/>
        <v>#N/A</v>
      </c>
      <c r="AW311" s="31" t="e">
        <f>IF(OR(Hypothèses!$B$4=17,Hypothèses!$B$4=18,Hypothèses!$B$4=19,Hypothèses!$B$4=20),
IF($D311="Pressio.",
IF(OR($E311=3,$E311=1,$E311=4),AV311,AU311),
IF($D311="Pénétro.",
IF(OR($E311=3,$E311=1,$E311=4),AV311,AU311))),IF($D311="Pressio.",
IF($E311=3,AV311,AU311),
IF($D311="Pénétro.",
IF($E311=4,AV311,AU311))))</f>
        <v>#N/A</v>
      </c>
      <c r="AX311" s="31" t="e">
        <f>(IF(OR(Hypothèses!$B$4=17,Hypothèses!$B$4=18,Hypothèses!$B$4=19,Hypothèses!$B$4=20),
IF($D311="Pressio.",
IF(OR($E311=3,$E311=1,$E311=4),(PI()*AX$12^2)/4*(AT311*$W311*1000)/($H311*$B$5),(PI()*AX$12^2)/4*(AT311*$W311*1000)/($G311*$B$5)),
IF($D311="Pénétro.",
IF(OR($E311=4,$E311=1,$E311=5),(PI()*AX$12^2)/4*(AT311*$W311*1000)/($H311*$B$5),(PI()*AX$12^2)/4*(AT311*$W311*1000)/($G311*$B$5)))),
IF($D311="Pressio.",
IF($E311=3,(PI()*AX$12^2)/4*(AT311*$W311*1000)/($H311*$B$5),(PI()*AX$12^2)/4*(AT311*$W311*1000)/($G311*$B$5)),
IF($D311="Pénétro.",
IF($E311=4,(PI()*AX$12^2)/4*(AT311*$W311*1000)/($H311*$B$5),(PI()*AX$12^2)/4*(AT311*$W311*1000)/($G311*$B$5))))))/10</f>
        <v>#N/A</v>
      </c>
      <c r="AY311" s="102" t="e">
        <f>(VLOOKUP($B$3,'Coeff EC7'!$T$39:$X$59,2,0)*AW311+VLOOKUP($B$3,'Coeff EC7'!$T$65:$X$85,2,0)*Model0.1C!AX311)/1.1</f>
        <v>#N/A</v>
      </c>
      <c r="AZ311" s="102" t="e">
        <f>(VLOOKUP($B$3,'Coeff EC7'!$T$39:$X$59,3,0)*AW311+VLOOKUP($B$3,'Coeff EC7'!$T$65:$X$85,3,0)*Model0.1C!AX311)/0.9</f>
        <v>#N/A</v>
      </c>
      <c r="BA311" s="102" t="e">
        <f t="shared" si="473"/>
        <v>#N/A</v>
      </c>
      <c r="BB311" s="102" t="e">
        <f t="shared" si="474"/>
        <v>#N/A</v>
      </c>
      <c r="BC311" s="414" t="e">
        <f>IF(BC310=0,0,IF(AND(AY311&gt;charge_ELS_quasi,AZ311&gt;Charge_ELS_freq,BA311&gt;charge_ELU,BB311&gt;charge_ELA,$B311&gt;NDC!$H$22-0.1+MIN(3*$BC$12,1.5)),0,1))</f>
        <v>#N/A</v>
      </c>
      <c r="BD311" s="86" t="b">
        <f t="shared" si="444"/>
        <v>0</v>
      </c>
      <c r="BE311" s="86">
        <f t="shared" si="475"/>
        <v>0.5</v>
      </c>
      <c r="BF311" s="86">
        <f t="shared" si="445"/>
        <v>0.5</v>
      </c>
      <c r="BG311" s="30" t="e">
        <f t="shared" ca="1" si="476"/>
        <v>#DIV/0!</v>
      </c>
      <c r="BH311" s="85" t="e">
        <f ca="1">IF(AN311&lt;=Hypothèses!$V$7,Hypothèses!$W$7,IF(AN311&lt;=Hypothèses!$V$8,Hypothèses!$W$8,IF(AN311&lt;=Hypothèses!$V$9,Hypothèses!$W$9,IF(AN311&lt;=Hypothèses!$V$10,Hypothèses!$W$10,IF(AN311&lt;=Hypothèses!$V$11,Hypothèses!$W$11,IF(AN311&lt;=Hypothèses!$V$12,Hypothèses!$W$12,IF(AN311&lt;=Hypothèses!$V$13,Hypothèses!$W$13,IF(AN311&lt;=Hypothèses!$V$14,Hypothèses!$W$14,IF(AN311&lt;=Hypothèses!$V$15,Hypothèses!$W$15,IF(AN311&lt;=Hypothèses!$V$16,Hypothèses!$W$16,IF(AN311&lt;=Hypothèses!$V$17,Hypothèses!$W$17,IF(AN311&lt;=Hypothèses!$V$18,Hypothèses!$W$18,""))))))))))))</f>
        <v>#DIV/0!</v>
      </c>
      <c r="BI311" s="87" t="e">
        <f t="shared" ca="1" si="518"/>
        <v>#DIV/0!</v>
      </c>
      <c r="BJ311" s="88" t="e">
        <f ca="1">IF(AN311&lt;=Hypothèses!$V$7,Hypothèses!$X$7,IF(AN311&lt;=Hypothèses!$V$8,Hypothèses!$X$8,IF(AN311&lt;=Hypothèses!$V$9,Hypothèses!$X$9,IF(AN311&lt;=Hypothèses!$V$10,Hypothèses!$X$10,IF(AN311&lt;=Hypothèses!$V$11,Hypothèses!$X$11,IF(AN311&lt;=Hypothèses!$V$12,Hypothèses!$X$12,IF(AN311&lt;=Hypothèses!$V$13,Hypothèses!$X$13,IF(AN311&lt;=Hypothèses!$V$14,Hypothèses!$X$14,IF(AN311&lt;=Hypothèses!$V$15,Hypothèses!$X$15,IF(AN311&lt;=Hypothèses!$V$16,Hypothèses!$X$16,IF(AN311&lt;=Hypothèses!$U$17,Hypothèses!$W$17,IF(AN311&lt;=Hypothèses!$U$18,Hypothèses!$W$18,""))))))))))))</f>
        <v>#DIV/0!</v>
      </c>
      <c r="BK311" s="95" t="e">
        <f t="shared" ca="1" si="477"/>
        <v>#DIV/0!</v>
      </c>
      <c r="BL311" s="101" t="e">
        <f t="shared" si="525"/>
        <v>#N/A</v>
      </c>
      <c r="BM311" s="91" t="e">
        <f t="shared" si="446"/>
        <v>#N/A</v>
      </c>
      <c r="BN311" s="30" t="e">
        <f t="shared" si="504"/>
        <v>#N/A</v>
      </c>
      <c r="BO311" s="30" t="e">
        <f t="shared" si="505"/>
        <v>#N/A</v>
      </c>
      <c r="BP311" s="31" t="e">
        <f>IF(OR(Hypothèses!$B$4=17,Hypothèses!$B$4=18,Hypothèses!$B$4=19,Hypothèses!$B$4=20),
IF($D311="Pressio.",
IF(OR($E311=3,$E311=1,$E311=4),BO311,BN311),
IF($D311="Pénétro.",
IF(OR($E311=3,$E311=1,$E311=4),BO311,BN311))),IF($D311="Pressio.",
IF($E311=3,BO311,BN311),
IF($D311="Pénétro.",
IF($E311=4,BO311,BN311))))</f>
        <v>#N/A</v>
      </c>
      <c r="BQ311" s="31" t="e">
        <f>(IF(OR(Hypothèses!$B$4=17,Hypothèses!$B$4=18,Hypothèses!$B$4=19,Hypothèses!$B$4=20),
IF($D311="Pressio.",
IF(OR($E311=3,$E311=1,$E311=4),(PI()*BQ$12^2)/4*(BM311*$W311*1000)/($H311*$B$5),(PI()*BQ$12^2)/4*(BM311*$W311*1000)/($G311*$B$5)),
IF($D311="Pénétro.",
IF(OR($E311=4,$E311=1,$E311=5),(PI()*BQ$12^2)/4*(BM311*$W311*1000)/($H311*$B$5),(PI()*BQ$12^2)/4*(BM311*$W311*1000)/($G311*$B$5)))),
IF($D311="Pressio.",
IF($E311=3,(PI()*BQ$12^2)/4*(BM311*$W311*1000)/($H311*$B$5),(PI()*BQ$12^2)/4*(BM311*$W311*1000)/($G311*$B$5)),
IF($D311="Pénétro.",
IF($E311=4,(PI()*BQ$12^2)/4*(BM311*$W311*1000)/($H311*$B$5),(PI()*BQ$12^2)/4*(BM311*$W311*1000)/($G311*$B$5))))))/10</f>
        <v>#N/A</v>
      </c>
      <c r="BR311" s="102" t="e">
        <f>(VLOOKUP($B$3,'Coeff EC7'!$T$39:$X$59,2,0)*BP311+VLOOKUP($B$3,'Coeff EC7'!$T$65:$X$85,2,0)*Model0.1C!BQ311)/1.1</f>
        <v>#N/A</v>
      </c>
      <c r="BS311" s="102" t="e">
        <f>(VLOOKUP($B$3,'Coeff EC7'!$T$39:$X$59,3,0)*BP311+VLOOKUP($B$3,'Coeff EC7'!$T$65:$X$85,3,0)*Model0.1C!BQ311)/0.9</f>
        <v>#N/A</v>
      </c>
      <c r="BT311" s="102" t="e">
        <f t="shared" si="478"/>
        <v>#N/A</v>
      </c>
      <c r="BU311" s="102" t="e">
        <f t="shared" si="479"/>
        <v>#N/A</v>
      </c>
      <c r="BV311" s="414" t="e">
        <f>IF(BV310=0,0,IF(AND(BR311&gt;charge_ELS_quasi,BS311&gt;Charge_ELS_freq,BT311&gt;charge_ELU,BU311&gt;charge_ELA,$B311&gt;NDC!$H$22-0.1+MIN(3*$BV$12,1.5)),0,1))</f>
        <v>#N/A</v>
      </c>
      <c r="BW311" s="86" t="b">
        <f t="shared" si="447"/>
        <v>0</v>
      </c>
      <c r="BX311" s="86">
        <f t="shared" si="448"/>
        <v>0.5</v>
      </c>
      <c r="BY311" s="86">
        <f t="shared" si="449"/>
        <v>0.5</v>
      </c>
      <c r="BZ311" s="30" t="e">
        <f t="shared" ca="1" si="480"/>
        <v>#DIV/0!</v>
      </c>
      <c r="CA311" s="85" t="e">
        <f ca="1">IF(BG311&lt;=Hypothèses!$V$7,Hypothèses!$W$7,IF(BG311&lt;=Hypothèses!$V$8,Hypothèses!$W$8,IF(BG311&lt;=Hypothèses!$V$9,Hypothèses!$W$9,IF(BG311&lt;=Hypothèses!$V$10,Hypothèses!$W$10,IF(BG311&lt;=Hypothèses!$V$11,Hypothèses!$W$11,IF(BG311&lt;=Hypothèses!$V$12,Hypothèses!$W$12,IF(BG311&lt;=Hypothèses!$V$13,Hypothèses!$W$13,IF(BG311&lt;=Hypothèses!$V$14,Hypothèses!$W$14,IF(BG311&lt;=Hypothèses!$V$15,Hypothèses!$W$15,IF(BG311&lt;=Hypothèses!$V$16,Hypothèses!$W$16,IF(BG311&lt;=Hypothèses!$V$17,Hypothèses!$W$17,IF(BG311&lt;=Hypothèses!$V$18,Hypothèses!$W$18,""))))))))))))</f>
        <v>#DIV/0!</v>
      </c>
      <c r="CB311" s="87" t="e">
        <f t="shared" ca="1" si="519"/>
        <v>#DIV/0!</v>
      </c>
      <c r="CC311" s="88" t="e">
        <f ca="1">IF(BG311&lt;=Hypothèses!$V$7,Hypothèses!$X$7,IF(BG311&lt;=Hypothèses!$V$8,Hypothèses!$X$8,IF(BG311&lt;=Hypothèses!$V$9,Hypothèses!$X$9,IF(BG311&lt;=Hypothèses!$V$10,Hypothèses!$X$10,IF(BG311&lt;=Hypothèses!$V$11,Hypothèses!$X$11,IF(BG311&lt;=Hypothèses!$V$12,Hypothèses!$X$12,IF(BG311&lt;=Hypothèses!$V$13,Hypothèses!$X$13,IF(BG311&lt;=Hypothèses!$V$14,Hypothèses!$X$14,IF(BG311&lt;=Hypothèses!$V$15,Hypothèses!$X$15,IF(BG311&lt;=Hypothèses!$V$16,Hypothèses!$X$16,IF(BG311&lt;=Hypothèses!$U$17,Hypothèses!$W$17,IF(BG311&lt;=Hypothèses!$U$18,Hypothèses!$W$18,""))))))))))))</f>
        <v>#DIV/0!</v>
      </c>
      <c r="CD311" s="95" t="e">
        <f t="shared" ca="1" si="481"/>
        <v>#DIV/0!</v>
      </c>
      <c r="CE311" s="101" t="e">
        <f t="shared" si="526"/>
        <v>#N/A</v>
      </c>
      <c r="CF311" s="91" t="e">
        <f t="shared" si="450"/>
        <v>#N/A</v>
      </c>
      <c r="CG311" s="30" t="e">
        <f t="shared" si="506"/>
        <v>#N/A</v>
      </c>
      <c r="CH311" s="30" t="e">
        <f t="shared" si="507"/>
        <v>#N/A</v>
      </c>
      <c r="CI311" s="31" t="e">
        <f>IF(OR(Hypothèses!$B$4=17,Hypothèses!$B$4=18,Hypothèses!$B$4=19,Hypothèses!$B$4=20),
IF($D311="Pressio.",
IF(OR($E311=3,$E311=1,$E311=4),CH311,CG311),
IF($D311="Pénétro.",
IF(OR($E311=3,$E311=1,$E311=4),CH311,CG311))),IF($D311="Pressio.",
IF($E311=3,CH311,CG311),
IF($D311="Pénétro.",
IF($E311=4,CH311,CG311))))</f>
        <v>#N/A</v>
      </c>
      <c r="CJ311" s="31" t="e">
        <f>(IF(OR(Hypothèses!$B$4=17,Hypothèses!$B$4=18,Hypothèses!$B$4=19,Hypothèses!$B$4=20),
IF($D311="Pressio.",
IF(OR($E311=3,$E311=1,$E311=4),(PI()*CJ$12^2)/4*(CF311*$W311*1000)/($H311*$B$5),(PI()*CJ$12^2)/4*(CF311*$W311*1000)/($G311*$B$5)),
IF($D311="Pénétro.",
IF(OR($E311=4,$E311=1,$E311=5),(PI()*CJ$12^2)/4*(CF311*$W311*1000)/($H311*$B$5),(PI()*CJ$12^2)/4*(CF311*$W311*1000)/($G311*$B$5)))),
IF($D311="Pressio.",
IF($E311=3,(PI()*CJ$12^2)/4*(CF311*$W311*1000)/($H311*$B$5),(PI()*CJ$12^2)/4*(CF311*$W311*1000)/($G311*$B$5)),
IF($D311="Pénétro.",
IF($E311=4,(PI()*CJ$12^2)/4*(CF311*$W311*1000)/($H311*$B$5),(PI()*CJ$12^2)/4*(CF311*$W311*1000)/($G311*$B$5))))))/10</f>
        <v>#N/A</v>
      </c>
      <c r="CK311" s="102" t="e">
        <f>(VLOOKUP($B$3,'Coeff EC7'!$T$39:$X$59,2,0)*CI311+VLOOKUP($B$3,'Coeff EC7'!$T$65:$X$85,2,0)*Model0.1C!CJ311)/1.1</f>
        <v>#N/A</v>
      </c>
      <c r="CL311" s="102" t="e">
        <f>(VLOOKUP($B$3,'Coeff EC7'!$T$39:$X$59,3,0)*CI311+VLOOKUP($B$3,'Coeff EC7'!$T$65:$X$85,3,0)*Model0.1C!CJ311)/0.9</f>
        <v>#N/A</v>
      </c>
      <c r="CM311" s="102" t="e">
        <f t="shared" si="482"/>
        <v>#N/A</v>
      </c>
      <c r="CN311" s="102" t="e">
        <f t="shared" si="483"/>
        <v>#N/A</v>
      </c>
      <c r="CO311" s="414" t="e">
        <f>IF(CO310=0,0,IF(AND(CK311&gt;charge_ELS_quasi,CL311&gt;Charge_ELS_freq,CM311&gt;charge_ELU,CN311&gt;charge_ELA,$B311&gt;NDC!$H$22-0.1+MIN(3*$CO$12,1.5)),0,1))</f>
        <v>#N/A</v>
      </c>
      <c r="CP311" s="86" t="b">
        <f t="shared" si="451"/>
        <v>0</v>
      </c>
      <c r="CQ311" s="86">
        <f t="shared" si="452"/>
        <v>0.5</v>
      </c>
      <c r="CR311" s="86">
        <f t="shared" si="453"/>
        <v>0.5</v>
      </c>
      <c r="CS311" s="30" t="e">
        <f t="shared" ca="1" si="484"/>
        <v>#DIV/0!</v>
      </c>
      <c r="CT311" s="85" t="e">
        <f ca="1">IF(BZ311&lt;=Hypothèses!$V$7,Hypothèses!$W$7,IF(BZ311&lt;=Hypothèses!$V$8,Hypothèses!$W$8,IF(BZ311&lt;=Hypothèses!$V$9,Hypothèses!$W$9,IF(BZ311&lt;=Hypothèses!$V$10,Hypothèses!$W$10,IF(BZ311&lt;=Hypothèses!$V$11,Hypothèses!$W$11,IF(BZ311&lt;=Hypothèses!$V$12,Hypothèses!$W$12,IF(BZ311&lt;=Hypothèses!$V$13,Hypothèses!$W$13,IF(BZ311&lt;=Hypothèses!$V$14,Hypothèses!$W$14,IF(BZ311&lt;=Hypothèses!$V$15,Hypothèses!$W$15,IF(BZ311&lt;=Hypothèses!$V$16,Hypothèses!$W$16,IF(BZ311&lt;=Hypothèses!$V$17,Hypothèses!$W$17,IF(BZ311&lt;=Hypothèses!$V$18,Hypothèses!$W$18,""))))))))))))</f>
        <v>#DIV/0!</v>
      </c>
      <c r="CU311" s="87" t="e">
        <f t="shared" ca="1" si="520"/>
        <v>#DIV/0!</v>
      </c>
      <c r="CV311" s="88" t="e">
        <f ca="1">IF(BZ311&lt;=Hypothèses!$V$7,Hypothèses!$X$7,IF(BZ311&lt;=Hypothèses!$V$8,Hypothèses!$X$8,IF(BZ311&lt;=Hypothèses!$V$9,Hypothèses!$X$9,IF(BZ311&lt;=Hypothèses!$V$10,Hypothèses!$X$10,IF(BZ311&lt;=Hypothèses!$V$11,Hypothèses!$X$11,IF(BZ311&lt;=Hypothèses!$V$12,Hypothèses!$X$12,IF(BZ311&lt;=Hypothèses!$V$13,Hypothèses!$X$13,IF(BZ311&lt;=Hypothèses!$V$14,Hypothèses!$X$14,IF(BZ311&lt;=Hypothèses!$V$15,Hypothèses!$X$15,IF(BZ311&lt;=Hypothèses!$V$16,Hypothèses!$X$16,IF(BZ311&lt;=Hypothèses!$U$17,Hypothèses!$W$17,IF(BZ311&lt;=Hypothèses!$U$18,Hypothèses!$W$18,""))))))))))))</f>
        <v>#DIV/0!</v>
      </c>
      <c r="CW311" s="95" t="e">
        <f t="shared" ca="1" si="485"/>
        <v>#DIV/0!</v>
      </c>
      <c r="CX311" s="101" t="e">
        <f t="shared" si="527"/>
        <v>#N/A</v>
      </c>
      <c r="CY311" s="91" t="e">
        <f t="shared" si="454"/>
        <v>#N/A</v>
      </c>
      <c r="CZ311" s="30" t="e">
        <f t="shared" si="508"/>
        <v>#N/A</v>
      </c>
      <c r="DA311" s="30" t="e">
        <f t="shared" si="509"/>
        <v>#N/A</v>
      </c>
      <c r="DB311" s="31" t="e">
        <f>IF(OR(Hypothèses!$B$4=17,Hypothèses!$B$4=18,Hypothèses!$B$4=19,Hypothèses!$B$4=20),
IF($D311="Pressio.",
IF(OR($E311=3,$E311=1,$E311=4),DA311,CZ311),
IF($D311="Pénétro.",
IF(OR($E311=3,$E311=1,$E311=4),DA311,CZ311))),IF($D311="Pressio.",
IF($E311=3,DA311,CZ311),
IF($D311="Pénétro.",
IF($E311=4,DA311,CZ311))))</f>
        <v>#N/A</v>
      </c>
      <c r="DC311" s="31" t="e">
        <f>(IF(OR(Hypothèses!$B$4=17,Hypothèses!$B$4=18,Hypothèses!$B$4=19,Hypothèses!$B$4=20),
IF($D311="Pressio.",
IF(OR($E311=3,$E311=1,$E311=4),(PI()*DC$12^2)/4*(CY311*$W311*1000)/($H311*$B$5),(PI()*DC$12^2)/4*(CY311*$W311*1000)/($G311*$B$5)),
IF($D311="Pénétro.",
IF(OR($E311=4,$E311=1,$E311=5),(PI()*DC$12^2)/4*(CY311*$W311*1000)/($H311*$B$5),(PI()*DC$12^2)/4*(CY311*$W311*1000)/($G311*$B$5)))),
IF($D311="Pressio.",
IF($E311=3,(PI()*DC$12^2)/4*(CY311*$W311*1000)/($H311*$B$5),(PI()*DC$12^2)/4*(CY311*$W311*1000)/($G311*$B$5)),
IF($D311="Pénétro.",
IF($E311=4,(PI()*DC$12^2)/4*(CY311*$W311*1000)/($H311*$B$5),(PI()*DC$12^2)/4*(CY311*$W311*1000)/($G311*$B$5))))))/10</f>
        <v>#N/A</v>
      </c>
      <c r="DD311" s="102" t="e">
        <f>(VLOOKUP($B$3,'Coeff EC7'!$T$39:$X$59,2,0)*DB311+VLOOKUP($B$3,'Coeff EC7'!$T$65:$X$85,2,0)*Model0.1C!DC311)/1.1</f>
        <v>#N/A</v>
      </c>
      <c r="DE311" s="102" t="e">
        <f>(VLOOKUP($B$3,'Coeff EC7'!$T$39:$X$59,3,0)*DB311+VLOOKUP($B$3,'Coeff EC7'!$T$65:$X$85,3,0)*Model0.1C!DC311)/0.9</f>
        <v>#N/A</v>
      </c>
      <c r="DF311" s="102" t="e">
        <f t="shared" si="486"/>
        <v>#N/A</v>
      </c>
      <c r="DG311" s="102" t="e">
        <f t="shared" si="487"/>
        <v>#N/A</v>
      </c>
      <c r="DH311" s="414" t="e">
        <f>IF(DH310=0,0,IF(AND(DD311&gt;charge_ELS_quasi,DE311&gt;Charge_ELS_freq,DF311&gt;charge_ELU,DG311&gt;charge_ELA,$B311&gt;NDC!$H$22-0.1+MIN(3*$DH$12,1.5)),0,1))</f>
        <v>#N/A</v>
      </c>
      <c r="DI311" s="86" t="b">
        <f t="shared" si="455"/>
        <v>0</v>
      </c>
      <c r="DJ311" s="86">
        <f t="shared" si="456"/>
        <v>0.5</v>
      </c>
      <c r="DK311" s="86">
        <f t="shared" si="457"/>
        <v>0.5</v>
      </c>
      <c r="DL311" s="30" t="e">
        <f t="shared" ca="1" si="488"/>
        <v>#DIV/0!</v>
      </c>
      <c r="DM311" s="85" t="e">
        <f ca="1">IF(CS311&lt;=Hypothèses!$V$7,Hypothèses!$W$7,IF(CS311&lt;=Hypothèses!$V$8,Hypothèses!$W$8,IF(CS311&lt;=Hypothèses!$V$9,Hypothèses!$W$9,IF(CS311&lt;=Hypothèses!$V$10,Hypothèses!$W$10,IF(CS311&lt;=Hypothèses!$V$11,Hypothèses!$W$11,IF(CS311&lt;=Hypothèses!$V$12,Hypothèses!$W$12,IF(CS311&lt;=Hypothèses!$V$13,Hypothèses!$W$13,IF(CS311&lt;=Hypothèses!$V$14,Hypothèses!$W$14,IF(CS311&lt;=Hypothèses!$V$15,Hypothèses!$W$15,IF(CS311&lt;=Hypothèses!$V$16,Hypothèses!$W$16,IF(CS311&lt;=Hypothèses!$V$17,Hypothèses!$W$17,IF(CS311&lt;=Hypothèses!$V$18,Hypothèses!$W$18,""))))))))))))</f>
        <v>#DIV/0!</v>
      </c>
      <c r="DN311" s="87" t="e">
        <f t="shared" ca="1" si="521"/>
        <v>#DIV/0!</v>
      </c>
      <c r="DO311" s="88" t="e">
        <f ca="1">IF(CS311&lt;=Hypothèses!$V$7,Hypothèses!$X$7,IF(CS311&lt;=Hypothèses!$V$8,Hypothèses!$X$8,IF(CS311&lt;=Hypothèses!$V$9,Hypothèses!$X$9,IF(CS311&lt;=Hypothèses!$V$10,Hypothèses!$X$10,IF(CS311&lt;=Hypothèses!$V$11,Hypothèses!$X$11,IF(CS311&lt;=Hypothèses!$V$12,Hypothèses!$X$12,IF(CS311&lt;=Hypothèses!$V$13,Hypothèses!$X$13,IF(CS311&lt;=Hypothèses!$V$14,Hypothèses!$X$14,IF(CS311&lt;=Hypothèses!$V$15,Hypothèses!$X$15,IF(CS311&lt;=Hypothèses!$V$16,Hypothèses!$X$16,IF(CS311&lt;=Hypothèses!$U$17,Hypothèses!$W$17,IF(CS311&lt;=Hypothèses!$U$18,Hypothèses!$W$18,""))))))))))))</f>
        <v>#DIV/0!</v>
      </c>
      <c r="DP311" s="95" t="e">
        <f t="shared" ca="1" si="489"/>
        <v>#DIV/0!</v>
      </c>
      <c r="DQ311" s="101" t="e">
        <f t="shared" si="528"/>
        <v>#N/A</v>
      </c>
      <c r="DR311" s="91" t="e">
        <f t="shared" si="458"/>
        <v>#N/A</v>
      </c>
      <c r="DS311" s="30" t="e">
        <f t="shared" si="510"/>
        <v>#N/A</v>
      </c>
      <c r="DT311" s="30" t="e">
        <f t="shared" si="511"/>
        <v>#N/A</v>
      </c>
      <c r="DU311" s="31" t="e">
        <f>IF(OR(Hypothèses!$B$4=17,Hypothèses!$B$4=18,Hypothèses!$B$4=19,Hypothèses!$B$4=20),
IF($D311="Pressio.",
IF(OR($E311=3,$E311=1,$E311=4),DT311,DS311),
IF($D311="Pénétro.",
IF(OR($E311=3,$E311=1,$E311=4),DT311,DS311))),IF($D311="Pressio.",
IF($E311=3,DT311,DS311),
IF($D311="Pénétro.",
IF($E311=4,DT311,DS311))))</f>
        <v>#N/A</v>
      </c>
      <c r="DV311" s="31" t="e">
        <f>(IF(OR(Hypothèses!$B$4=17,Hypothèses!$B$4=18,Hypothèses!$B$4=19,Hypothèses!$B$4=20),
IF($D311="Pressio.",
IF(OR($E311=3,$E311=1,$E311=4),(PI()*DV$12^2)/4*(DR311*$W311*1000)/($H311*$B$5),(PI()*DV$12^2)/4*(DR311*$W311*1000)/($G311*$B$5)),
IF($D311="Pénétro.",
IF(OR($E311=4,$E311=1,$E311=5),(PI()*DV$12^2)/4*(DR311*$W311*1000)/($H311*$B$5),(PI()*DV$12^2)/4*(DR311*$W311*1000)/($G311*$B$5)))),
IF($D311="Pressio.",
IF($E311=3,(PI()*DV$12^2)/4*(DR311*$W311*1000)/($H311*$B$5),(PI()*DV$12^2)/4*(DR311*$W311*1000)/($G311*$B$5)),
IF($D311="Pénétro.",
IF($E311=4,(PI()*DV$12^2)/4*(DR311*$W311*1000)/($H311*$B$5),(PI()*DV$12^2)/4*(DR311*$W311*1000)/($G311*$B$5))))))/10</f>
        <v>#N/A</v>
      </c>
      <c r="DW311" s="102" t="e">
        <f>(VLOOKUP($B$3,'Coeff EC7'!$T$39:$X$59,2,0)*DU311+VLOOKUP($B$3,'Coeff EC7'!$T$65:$X$85,2,0)*Model0.1C!DV311)/1.1</f>
        <v>#N/A</v>
      </c>
      <c r="DX311" s="102" t="e">
        <f>(VLOOKUP($B$3,'Coeff EC7'!$T$39:$X$59,3,0)*DU311+VLOOKUP($B$3,'Coeff EC7'!$T$65:$X$85,3,0)*Model0.1C!DV311)/0.9</f>
        <v>#N/A</v>
      </c>
      <c r="DY311" s="102" t="e">
        <f t="shared" si="490"/>
        <v>#N/A</v>
      </c>
      <c r="DZ311" s="102" t="e">
        <f t="shared" si="491"/>
        <v>#N/A</v>
      </c>
      <c r="EA311" s="414" t="e">
        <f>IF(EA310=0,0,IF(AND(DW311&gt;charge_ELS_quasi,DX311&gt;Charge_ELS_freq,DY311&gt;charge_ELU,DZ311&gt;charge_ELA,$B311&gt;NDC!$H$22-0.1+MIN(3*$EA$12,1.5)),0,1))</f>
        <v>#N/A</v>
      </c>
      <c r="EB311" s="86" t="b">
        <f t="shared" si="459"/>
        <v>0</v>
      </c>
      <c r="EC311" s="418">
        <f t="shared" si="460"/>
        <v>0.51</v>
      </c>
      <c r="ED311" s="86">
        <f t="shared" si="461"/>
        <v>0.51</v>
      </c>
      <c r="EE311" s="30" t="e">
        <f t="shared" ca="1" si="492"/>
        <v>#DIV/0!</v>
      </c>
      <c r="EF311" s="85" t="e">
        <f ca="1">IF(DL311&lt;=Hypothèses!$V$7,Hypothèses!$W$7,IF(DL311&lt;=Hypothèses!$V$8,Hypothèses!$W$8,IF(DL311&lt;=Hypothèses!$V$9,Hypothèses!$W$9,IF(DL311&lt;=Hypothèses!$V$10,Hypothèses!$W$10,IF(DL311&lt;=Hypothèses!$V$11,Hypothèses!$W$11,IF(DL311&lt;=Hypothèses!$V$12,Hypothèses!$W$12,IF(DL311&lt;=Hypothèses!$V$13,Hypothèses!$W$13,IF(DL311&lt;=Hypothèses!$V$14,Hypothèses!$W$14,IF(DL311&lt;=Hypothèses!$V$15,Hypothèses!$W$15,IF(DL311&lt;=Hypothèses!$V$16,Hypothèses!$W$16,IF(DL311&lt;=Hypothèses!$V$17,Hypothèses!$W$17,IF(DL311&lt;=Hypothèses!$V$18,Hypothèses!$W$18,""))))))))))))</f>
        <v>#DIV/0!</v>
      </c>
      <c r="EG311" s="87" t="e">
        <f t="shared" ca="1" si="522"/>
        <v>#DIV/0!</v>
      </c>
      <c r="EH311" s="88" t="e">
        <f ca="1">IF(DL311&lt;=Hypothèses!$V$7,Hypothèses!$X$7,IF(DL311&lt;=Hypothèses!$V$8,Hypothèses!$X$8,IF(DL311&lt;=Hypothèses!$V$9,Hypothèses!$X$9,IF(DL311&lt;=Hypothèses!$V$10,Hypothèses!$X$10,IF(DL311&lt;=Hypothèses!$V$11,Hypothèses!$X$11,IF(DL311&lt;=Hypothèses!$V$12,Hypothèses!$X$12,IF(DL311&lt;=Hypothèses!$V$13,Hypothèses!$X$13,IF(DL311&lt;=Hypothèses!$V$14,Hypothèses!$X$14,IF(DL311&lt;=Hypothèses!$V$15,Hypothèses!$X$15,IF(DL311&lt;=Hypothèses!$V$16,Hypothèses!$X$16,IF(DL311&lt;=Hypothèses!$U$17,Hypothèses!$W$17,IF(DL311&lt;=Hypothèses!$U$18,Hypothèses!$W$18,""))))))))))))</f>
        <v>#DIV/0!</v>
      </c>
      <c r="EI311" s="95" t="e">
        <f t="shared" ca="1" si="493"/>
        <v>#DIV/0!</v>
      </c>
      <c r="EJ311" s="101" t="e">
        <f t="shared" si="529"/>
        <v>#N/A</v>
      </c>
      <c r="EK311" s="91" t="e">
        <f t="shared" si="462"/>
        <v>#N/A</v>
      </c>
      <c r="EL311" s="30" t="e">
        <f t="shared" si="512"/>
        <v>#N/A</v>
      </c>
      <c r="EM311" s="30" t="e">
        <f t="shared" si="513"/>
        <v>#N/A</v>
      </c>
      <c r="EN311" s="31" t="e">
        <f>IF(OR(Hypothèses!$B$4=17,Hypothèses!$B$4=18,Hypothèses!$B$4=19,Hypothèses!$B$4=20),
IF($D311="Pressio.",
IF(OR($E311=3,$E311=1,$E311=4),EM311,EL311),
IF($D311="Pénétro.",
IF(OR($E311=3,$E311=1,$E311=4),EM311,EL311))),IF($D311="Pressio.",
IF($E311=3,EM311,EL311),
IF($D311="Pénétro.",
IF($E311=4,EM311,EL311))))</f>
        <v>#N/A</v>
      </c>
      <c r="EO311" s="31" t="e">
        <f>(IF(OR(Hypothèses!$B$4=17,Hypothèses!$B$4=18,Hypothèses!$B$4=19,Hypothèses!$B$4=20),
IF($D311="Pressio.",
IF(OR($E311=3,$E311=1,$E311=4),(PI()*EO$12^2)/4*(EK311*$W311*1000)/($H311*$B$5),(PI()*EO$12^2)/4*(EK311*$W311*1000)/($G311*$B$5)),
IF($D311="Pénétro.",
IF(OR($E311=4,$E311=1,$E311=5),(PI()*EO$12^2)/4*(EK311*$W311*1000)/($H311*$B$5),(PI()*EO$12^2)/4*(EK311*$W311*1000)/($G311*$B$5)))),
IF($D311="Pressio.",
IF($E311=3,(PI()*EO$12^2)/4*(EK311*$W311*1000)/($H311*$B$5),(PI()*EO$12^2)/4*(EK311*$W311*1000)/($G311*$B$5)),
IF($D311="Pénétro.",
IF($E311=4,(PI()*EO$12^2)/4*(EK311*$W311*1000)/($H311*$B$5),(PI()*EO$12^2)/4*(EK311*$W311*1000)/($G311*$B$5))))))/10</f>
        <v>#N/A</v>
      </c>
      <c r="EP311" s="102" t="e">
        <f>(VLOOKUP($B$3,'Coeff EC7'!$T$39:$X$59,2,0)*EN311+VLOOKUP($B$3,'Coeff EC7'!$T$65:$X$85,2,0)*Model0.1C!EO311)/1.1</f>
        <v>#N/A</v>
      </c>
      <c r="EQ311" s="102" t="e">
        <f>(VLOOKUP($B$3,'Coeff EC7'!$T$39:$X$59,3,0)*EN311+VLOOKUP($B$3,'Coeff EC7'!$T$65:$X$85,3,0)*Model0.1C!EO311)/0.9</f>
        <v>#N/A</v>
      </c>
      <c r="ER311" s="102" t="e">
        <f t="shared" si="494"/>
        <v>#N/A</v>
      </c>
      <c r="ES311" s="102" t="e">
        <f t="shared" si="495"/>
        <v>#N/A</v>
      </c>
      <c r="ET311" s="414" t="e">
        <f>IF(ET310=0,0,IF(AND(EP311&gt;charge_ELS_quasi,EQ311&gt;Charge_ELS_freq,ER311&gt;charge_ELU,ES311&gt;charge_ELA,$B311&gt;NDC!$H$22-0.1+MIN(3*$ET$12,1.5)),0,1))</f>
        <v>#N/A</v>
      </c>
      <c r="EU311" s="86" t="b">
        <f t="shared" si="463"/>
        <v>0</v>
      </c>
      <c r="EV311" s="86">
        <f t="shared" si="464"/>
        <v>0.61</v>
      </c>
      <c r="EW311" s="86">
        <f t="shared" si="465"/>
        <v>0.61</v>
      </c>
      <c r="EX311" s="30" t="e">
        <f t="shared" ca="1" si="496"/>
        <v>#DIV/0!</v>
      </c>
      <c r="EY311" s="85" t="e">
        <f ca="1">IF(EE311&lt;=Hypothèses!$V$7,Hypothèses!$W$7,IF(EE311&lt;=Hypothèses!$V$8,Hypothèses!$W$8,IF(EE311&lt;=Hypothèses!$V$9,Hypothèses!$W$9,IF(EE311&lt;=Hypothèses!$V$10,Hypothèses!$W$10,IF(EE311&lt;=Hypothèses!$V$11,Hypothèses!$W$11,IF(EE311&lt;=Hypothèses!$V$12,Hypothèses!$W$12,IF(EE311&lt;=Hypothèses!$V$13,Hypothèses!$W$13,IF(EE311&lt;=Hypothèses!$V$14,Hypothèses!$W$14,IF(EE311&lt;=Hypothèses!$V$15,Hypothèses!$W$15,IF(EE311&lt;=Hypothèses!$V$16,Hypothèses!$W$16,IF(EE311&lt;=Hypothèses!$V$17,Hypothèses!$W$17,IF(EE311&lt;=Hypothèses!$V$18,Hypothèses!$W$18,""))))))))))))</f>
        <v>#DIV/0!</v>
      </c>
      <c r="EZ311" s="87" t="e">
        <f t="shared" ca="1" si="523"/>
        <v>#DIV/0!</v>
      </c>
      <c r="FA311" s="88" t="e">
        <f ca="1">IF(EE311&lt;=Hypothèses!$V$7,Hypothèses!$X$7,IF(EE311&lt;=Hypothèses!$V$8,Hypothèses!$X$8,IF(EE311&lt;=Hypothèses!$V$9,Hypothèses!$X$9,IF(EE311&lt;=Hypothèses!$V$10,Hypothèses!$X$10,IF(EE311&lt;=Hypothèses!$V$11,Hypothèses!$X$11,IF(EE311&lt;=Hypothèses!$V$12,Hypothèses!$X$12,IF(EE311&lt;=Hypothèses!$V$13,Hypothèses!$X$13,IF(EE311&lt;=Hypothèses!$V$14,Hypothèses!$X$14,IF(EE311&lt;=Hypothèses!$V$15,Hypothèses!$X$15,IF(EE311&lt;=Hypothèses!$V$16,Hypothèses!$X$16,IF(EE311&lt;=Hypothèses!$U$17,Hypothèses!$W$17,IF(EE311&lt;=Hypothèses!$U$18,Hypothèses!$W$18,""))))))))))))</f>
        <v>#DIV/0!</v>
      </c>
      <c r="FB311" s="95" t="e">
        <f t="shared" ca="1" si="497"/>
        <v>#DIV/0!</v>
      </c>
      <c r="FC311" s="101" t="e">
        <f t="shared" si="530"/>
        <v>#N/A</v>
      </c>
      <c r="FD311" s="91" t="e">
        <f t="shared" si="466"/>
        <v>#N/A</v>
      </c>
      <c r="FE311" s="30" t="e">
        <f t="shared" si="514"/>
        <v>#N/A</v>
      </c>
      <c r="FF311" s="30" t="e">
        <f t="shared" si="515"/>
        <v>#N/A</v>
      </c>
      <c r="FG311" s="31" t="e">
        <f>IF(OR(Hypothèses!$B$4=17,Hypothèses!$B$4=18,Hypothèses!$B$4=19,Hypothèses!$B$4=20),
IF($D311="Pressio.",
IF(OR($E311=3,$E311=1,$E311=4),FF311,FE311),
IF($D311="Pénétro.",
IF(OR($E311=3,$E311=1,$E311=4),FF311,FE311))),IF($D311="Pressio.",
IF($E311=3,FF311,FE311),
IF($D311="Pénétro.",
IF($E311=4,FF311,FE311))))</f>
        <v>#N/A</v>
      </c>
      <c r="FH311" s="31" t="e">
        <f>(IF(OR(Hypothèses!$B$4=17,Hypothèses!$B$4=18,Hypothèses!$B$4=19,Hypothèses!$B$4=20),
IF($D311="Pressio.",
IF(OR($E311=3,$E311=1,$E311=4),(PI()*FH$12^2)/4*(FD311*$W311*1000)/($H311*$B$5),(PI()*FH$12^2)/4*(FD311*$W311*1000)/($G311*$B$5)),
IF($D311="Pénétro.",
IF(OR($E311=4,$E311=1,$E311=5),(PI()*FH$12^2)/4*(FD311*$W311*1000)/($H311*$B$5),(PI()*FH$12^2)/4*(FD311*$W311*1000)/($G311*$B$5)))),
IF($D311="Pressio.",
IF($E311=3,(PI()*FH$12^2)/4*(FD311*$W311*1000)/($H311*$B$5),(PI()*FH$12^2)/4*(FD311*$W311*1000)/($G311*$B$5)),
IF($D311="Pénétro.",
IF($E311=4,(PI()*FH$12^2)/4*(FD311*$W311*1000)/($H311*$B$5),(PI()*FH$12^2)/4*(FD311*$W311*1000)/($G311*$B$5))))))/10</f>
        <v>#N/A</v>
      </c>
      <c r="FI311" s="102" t="e">
        <f>(VLOOKUP($B$3,'Coeff EC7'!$T$39:$X$59,2,0)*FG311+VLOOKUP($B$3,'Coeff EC7'!$T$65:$X$85,2,0)*Model0.1C!FH311)/1.1</f>
        <v>#N/A</v>
      </c>
      <c r="FJ311" s="102" t="e">
        <f>(VLOOKUP($B$3,'Coeff EC7'!$T$39:$X$59,3,0)*FG311+VLOOKUP($B$3,'Coeff EC7'!$T$65:$X$85,3,0)*Model0.1C!FH311)/0.9</f>
        <v>#N/A</v>
      </c>
      <c r="FK311" s="102" t="e">
        <f t="shared" si="498"/>
        <v>#N/A</v>
      </c>
      <c r="FL311" s="102" t="e">
        <f t="shared" si="499"/>
        <v>#N/A</v>
      </c>
      <c r="FM311" s="414" t="e">
        <f>IF(FM310=0,0,IF(AND(FI311&gt;charge_ELS_quasi,FJ311&gt;Charge_ELS_freq,FK311&gt;charge_ELU,FL311&gt;charge_ELA,$B311&gt;NDC!$H$22-0.1+MIN(3*$FM$12,1.5)),0,1))</f>
        <v>#N/A</v>
      </c>
    </row>
    <row r="312" spans="1:169">
      <c r="A312" s="96">
        <f t="shared" si="467"/>
        <v>70.1000000000017</v>
      </c>
      <c r="B312" s="97">
        <v>29.9</v>
      </c>
      <c r="C312" s="81">
        <f>IF(B312&lt;=Hypothèses!$C$7,Hypothèses!$A$7,IF(B312&lt;=Hypothèses!$C$8,Hypothèses!$A$8,IF(B312&lt;=Hypothèses!$C$9,Hypothèses!$A$9,IF(B312&lt;=Hypothèses!$C$10,Hypothèses!$A$10,IF(B312&lt;=Hypothèses!$C$11,Hypothèses!$A$11,IF(B312&lt;=Hypothèses!$C$12,Hypothèses!$A$12,IF(B312&lt;=Hypothèses!$C$13,Hypothèses!$A$13,IF(B312&lt;=Hypothèses!$C$14,Hypothèses!$A$14,IF(B312&lt;=Hypothèses!$C$15,Hypothèses!$A$15,IF(B312&lt;=Hypothèses!$C$16,Hypothèses!$A$16,IF(B312&lt;=Hypothèses!$C$17,Hypothèses!$A$17,IF(B312&lt;=Hypothèses!$C$18,Hypothèses!$A$18,C311))))))))))))</f>
        <v>11</v>
      </c>
      <c r="D312" s="82" t="str">
        <f>IF(B312&lt;=Hypothèses!$C$7,Hypothèses!$R$7,IF(B312&lt;=Hypothèses!$C$8,Hypothèses!$R$8,IF(B312&lt;=Hypothèses!$C$9,Hypothèses!$R$9,IF(B312&lt;=Hypothèses!$C$10,Hypothèses!$R$10,IF(B312&lt;=Hypothèses!$C$11,Hypothèses!$R$11,IF(B312&lt;=Hypothèses!$C$12,Hypothèses!$R$12,IF(B312&lt;=Hypothèses!$C$13,Hypothèses!$R$13,IF(B312&lt;=Hypothèses!$C$14,Hypothèses!$R$14,IF(B312&lt;=Hypothèses!$C$15,Hypothèses!$R$15,IF(B312&lt;=Hypothèses!$C$16,Hypothèses!$R$16,IF(B312&lt;=Hypothèses!$C$17,Hypothèses!$R$17,IF(B312&lt;=Hypothèses!$C$18,Hypothèses!$R$18,D311))))))))))))</f>
        <v>Pressio.</v>
      </c>
      <c r="E312" s="82" t="e">
        <f>IF(B312&lt;=Hypothèses!$C$7,Hypothèses!$G$7,IF(B312&lt;=Hypothèses!$C$8,Hypothèses!$G$8,IF(B312&lt;=Hypothèses!$C$9,Hypothèses!$G$9,IF(B312&lt;=Hypothèses!$C$10,Hypothèses!$G$10,IF(B312&lt;=Hypothèses!$C$11,Hypothèses!$G$11,IF(B312&lt;=Hypothèses!$C$12,Hypothèses!$G$12,IF(B312&lt;=Hypothèses!$C$13,Hypothèses!$G$13,IF(B312&lt;=Hypothèses!$C$14,Hypothèses!$G$14,IF(B312&lt;=Hypothèses!$C$15,Hypothèses!$G$15,IF(B312&lt;=Hypothèses!$C$16,Hypothèses!$G$16,IF(B312&lt;=Hypothèses!$C$17,Hypothèses!$G$17,IF(B312&lt;=Hypothèses!$C$18,Hypothèses!$G$18,E311))))))))))))</f>
        <v>#N/A</v>
      </c>
      <c r="F312" s="82" t="str">
        <f>IF(B312&lt;=Hypothèses!$C$7,Hypothèses!$F$7,IF(B312&lt;=Hypothèses!$C$8,Hypothèses!$F$8,IF(B312&lt;=Hypothèses!$C$9,Hypothèses!$F$9,IF(B312&lt;=Hypothèses!$C$10,Hypothèses!$F$10,IF(B312&lt;=Hypothèses!$C$11,Hypothèses!$F$11,IF(B312&lt;=Hypothèses!$C$12,Hypothèses!$F$12,IF(B312&lt;=Hypothèses!$C$13,Hypothèses!$F$13,IF(B312&lt;=Hypothèses!$C$14,Hypothèses!$F$14,IF(B312&lt;=Hypothèses!$C$15,Hypothèses!$F$15,IF(B312&lt;=Hypothèses!$C$16,Hypothèses!$F$16,IF(B312&lt;=Hypothèses!$C$17,Hypothèses!$F$17,IF(B312&lt;=Hypothèses!$C$18,Hypothèses!$F$18,F311))))))))))))</f>
        <v/>
      </c>
      <c r="G312" s="91">
        <f t="array" ref="G312">INDEX('Coeff EC7'!$U$7:$X$27,
MATCH(Model0.1C!$B$3,'Coeff EC7'!$T$7:$T$27,0),
MATCH(Model0.1C!$D312&amp;Model0.1C!$B$4,
'Coeff EC7'!$U$6:$X$6&amp;
'Coeff EC7'!$U$5:$X$5,0))</f>
        <v>1.1499999999999999</v>
      </c>
      <c r="H312" s="91">
        <f t="array" ref="H312">INDEX('Coeff EC7'!$Y$7:$AB$27,
MATCH(Model0.1C!$B$3,'Coeff EC7'!$T$7:$T$27,0),
MATCH(Model0.1C!$D312&amp;Model0.1C!$B$4,
'Coeff EC7'!$Y$6:$AB$6&amp;
'Coeff EC7'!$Y$5:$AB$5,0))</f>
        <v>1.4</v>
      </c>
      <c r="I312" s="83" t="e">
        <f>IF(B312&lt;=Hypothèses!$C$7,Hypothèses!$P$7,IF(B312&lt;=Hypothèses!$C$8,Hypothèses!$P$8,IF(B312&lt;=Hypothèses!$C$9,Hypothèses!$P$9,IF(B312&lt;=Hypothèses!$C$10,Hypothèses!$P$10,IF(B312&lt;=Hypothèses!$C$11,Hypothèses!$P$11,IF(B312&lt;=Hypothèses!$C$12,Hypothèses!$P$12,IF(B312&lt;=Hypothèses!$C$13,Hypothèses!$P$13,IF(B312&lt;=Hypothèses!$C$14,Hypothèses!$P$14,IF(B312&lt;=Hypothèses!$C$15,Hypothèses!$P$15,IF(B312&lt;=Hypothèses!$C$16,Hypothèses!$P$16,IF(B312&lt;=Hypothèses!$C$17,Hypothèses!$P$17,IF(B312&lt;=Hypothèses!$C$18,Hypothèses!$P$18,I311))))))))))))</f>
        <v>#N/A</v>
      </c>
      <c r="J312" s="91" t="e">
        <f t="array" ref="J312">INDEX('Coeff EC7'!$D$33:$Q$33,1,MATCH(D312&amp;E312,'Coeff EC7'!$D$31:$Q$31&amp;'Coeff EC7'!$D$32:$Q$32,0))</f>
        <v>#N/A</v>
      </c>
      <c r="K312" s="91" t="e">
        <f t="array" ref="K312">INDEX('Coeff EC7'!$D$34:$Q$34,1,MATCH(D312&amp;E312,'Coeff EC7'!$D$31:$Q$31&amp;'Coeff EC7'!$D$32:$Q$32,0))</f>
        <v>#N/A</v>
      </c>
      <c r="L312" s="91" t="e">
        <f t="array" ref="L312">INDEX('Coeff EC7'!$D$35:$Q$35,1,MATCH(D312&amp;E312,'Coeff EC7'!$D$31:$Q$31&amp;'Coeff EC7'!$D$32:$Q$32,0))</f>
        <v>#N/A</v>
      </c>
      <c r="M312" s="98" t="e">
        <f t="shared" si="431"/>
        <v>#N/A</v>
      </c>
      <c r="N312" s="99" t="e">
        <f t="array" ref="N312">INDEX('Coeff EC7'!$D$7:$Q$27,MATCH($B$3,'Coeff EC7'!$C$7:$C$27,0),MATCH(D312&amp;E312,'Coeff EC7'!$D$5:$Q$5&amp;'Coeff EC7'!$D$6:$Q$6,0))</f>
        <v>#N/A</v>
      </c>
      <c r="O312" s="99" t="e">
        <f t="array" ref="O312">INDEX('Coeff EC7'!$D$41:$Q$61,MATCH($B$3,'Coeff EC7'!$C$41:$C$61,0),MATCH(D312&amp;E312,'Coeff EC7'!$D$39:$Q$39&amp;'Coeff EC7'!$D$40:$Q$40,0))</f>
        <v>#N/A</v>
      </c>
      <c r="P312" s="30" t="e">
        <f t="shared" si="468"/>
        <v>#N/A</v>
      </c>
      <c r="Q312" s="100" t="e">
        <f t="shared" si="433"/>
        <v>#N/A</v>
      </c>
      <c r="R312" s="86" t="b">
        <f t="shared" si="434"/>
        <v>0</v>
      </c>
      <c r="S312" s="86">
        <f t="shared" si="432"/>
        <v>0.5</v>
      </c>
      <c r="T312" s="86">
        <f t="shared" si="435"/>
        <v>0.5</v>
      </c>
      <c r="U312" s="30" t="e">
        <f t="shared" ca="1" si="469"/>
        <v>#DIV/0!</v>
      </c>
      <c r="V312" s="85" t="str">
        <f>IF(B312&lt;=Hypothèses!$V$7,Hypothèses!$W$7,IF(B312&lt;=Hypothèses!$V$8,Hypothèses!$W$8,IF(B312&lt;=Hypothèses!$V$9,Hypothèses!$W$9,IF(B312&lt;=Hypothèses!$V$10,Hypothèses!$W$10,IF(B312&lt;=Hypothèses!$V$11,Hypothèses!$W$11,IF(B312&lt;=Hypothèses!$V$12,Hypothèses!$W$12,IF(B312&lt;=Hypothèses!$V$13,Hypothèses!$W$13,IF(B312&lt;=Hypothèses!$V$14,Hypothèses!$W$14,IF(B312&lt;=Hypothèses!$V$15,Hypothèses!$W$15,IF(B312&lt;=Hypothèses!$V$16,Hypothèses!$W$16,IF(B312&lt;=Hypothèses!$V$17,Hypothèses!$W$17,IF(B312&lt;=Hypothèses!$V$18,Hypothèses!$W$18,""))))))))))))</f>
        <v/>
      </c>
      <c r="W312" s="87" t="e">
        <f t="shared" ca="1" si="516"/>
        <v>#DIV/0!</v>
      </c>
      <c r="X312" s="88" t="str">
        <f>IF(B312&lt;=Hypothèses!$V$7,Hypothèses!$X$7,IF(B312&lt;=Hypothèses!$V$8,Hypothèses!$X$8,IF(B312&lt;=Hypothèses!$V$9,Hypothèses!$X$9,IF(B312&lt;=Hypothèses!$V$10,Hypothèses!$X$10,IF(B312&lt;=Hypothèses!$V$11,Hypothèses!$X$11,IF(B312&lt;=Hypothèses!$V$12,Hypothèses!$X$12,IF(B312&lt;=Hypothèses!$V$13,Hypothèses!$X$13,IF(B312&lt;=Hypothèses!$V$14,Hypothèses!$X$14,IF(B312&lt;=Hypothèses!$V$15,Hypothèses!$X$15,IF(B312&lt;=Hypothèses!$V$16,Hypothèses!$X$16,IF(B312&lt;=Hypothèses!$U$17,Hypothèses!$W$17,IF(B312&lt;=Hypothèses!$U$18,Hypothèses!$W$18,""))))))))))))</f>
        <v/>
      </c>
      <c r="Y312" s="95" t="e">
        <f t="shared" ca="1" si="436"/>
        <v>#DIV/0!</v>
      </c>
      <c r="Z312" s="101" t="e">
        <f t="shared" si="437"/>
        <v>#N/A</v>
      </c>
      <c r="AA312" s="91" t="e">
        <f t="shared" si="438"/>
        <v>#N/A</v>
      </c>
      <c r="AB312" s="30" t="e">
        <f t="shared" si="500"/>
        <v>#N/A</v>
      </c>
      <c r="AC312" s="30" t="e">
        <f t="shared" si="501"/>
        <v>#N/A</v>
      </c>
      <c r="AD312" s="31" t="e">
        <f>IF(OR(Hypothèses!$B$4=17,Hypothèses!$B$4=18,Hypothèses!$B$4=19,Hypothèses!$B$4=20),
IF($D312="Pressio.",
IF(OR($E312=3,$E312=1,$E312=4),AC312,AB312),
IF($D312="Pénétro.",
IF(OR($E312=3,$E312=1,$E312=4),AC312,AB312))),IF($D312="Pressio.",
IF($E312=3,AC312,AB312),
IF($D312="Pénétro.",
IF($E312=4,AC312,AB312))))</f>
        <v>#N/A</v>
      </c>
      <c r="AE312" s="31" t="e">
        <f>(IF(OR(Hypothèses!$B$4=17,Hypothèses!$B$4=18,Hypothèses!$B$4=19,Hypothèses!$B$4=20),
IF($D312="Pressio.",
IF(OR($E312=3,$E312=1,$E312=4),(PI()*AE$12^2)/4*(AA312*$W312*1000)/($H312*$B$5),(PI()*AE$12^2)/4*(AA312*$W312*1000)/($G312*$B$5)),
IF($D312="Pénétro.",
IF(OR($E312=4,$E312=1,$E312=5),(PI()*AE$12^2)/4*(AA312*$W312*1000)/($H312*$B$5),(PI()*AE$12^2)/4*(AA312*$W312*1000)/($G312*$B$5)))),
IF($D312="Pressio.",
IF($E312=3,(PI()*AE$12^2)/4*(AA312*$W312*1000)/($H312*$B$5),(PI()*AE$12^2)/4*(AA312*$W312*1000)/($G312*$B$5)),
IF($D312="Pénétro.",
IF($E312=4,(PI()*AE$12^2)/4*(AA312*$W312*1000)/($H312*$B$5),(PI()*AE$12^2)/4*(AA312*$W312*1000)/($G312*$B$5))))))/10</f>
        <v>#N/A</v>
      </c>
      <c r="AF312" s="102" t="e">
        <f>(VLOOKUP($B$3,'Coeff EC7'!$T$39:$X$59,2,0)*AD312+VLOOKUP($B$3,'Coeff EC7'!$T$65:$X$85,2,0)*Model0.1C!AE312)/1.1</f>
        <v>#N/A</v>
      </c>
      <c r="AG312" s="102" t="e">
        <f>(VLOOKUP($B$3,'Coeff EC7'!$T$39:$X$59,3,0)*AD312+VLOOKUP($B$3,'Coeff EC7'!$T$65:$X$85,3,0)*Model0.1C!AE312)/0.9</f>
        <v>#N/A</v>
      </c>
      <c r="AH312" s="102" t="e">
        <f t="shared" si="439"/>
        <v>#N/A</v>
      </c>
      <c r="AI312" s="102" t="e">
        <f t="shared" si="440"/>
        <v>#N/A</v>
      </c>
      <c r="AJ312" s="414" t="e">
        <f>IF(AJ311=0,0,IF(AND(AF312&gt;charge_ELS_quasi,AG312&gt;Charge_ELS_freq,AH312&gt;charge_ELU,AI312&gt;charge_ELA,$B312&gt;NDC!$H$22-0.1+MIN(3*$AJ$12,1.5)),0,1))</f>
        <v>#N/A</v>
      </c>
      <c r="AK312" s="86" t="b">
        <f t="shared" si="441"/>
        <v>0</v>
      </c>
      <c r="AL312" s="86">
        <f t="shared" si="470"/>
        <v>0.5</v>
      </c>
      <c r="AM312" s="86">
        <f t="shared" si="442"/>
        <v>0.5</v>
      </c>
      <c r="AN312" s="30" t="e">
        <f t="shared" ca="1" si="471"/>
        <v>#DIV/0!</v>
      </c>
      <c r="AO312" s="85" t="e">
        <f ca="1">IF(U312&lt;=Hypothèses!$V$7,Hypothèses!$W$7,IF(U312&lt;=Hypothèses!$V$8,Hypothèses!$W$8,IF(U312&lt;=Hypothèses!$V$9,Hypothèses!$W$9,IF(U312&lt;=Hypothèses!$V$10,Hypothèses!$W$10,IF(U312&lt;=Hypothèses!$V$11,Hypothèses!$W$11,IF(U312&lt;=Hypothèses!$V$12,Hypothèses!$W$12,IF(U312&lt;=Hypothèses!$V$13,Hypothèses!$W$13,IF(U312&lt;=Hypothèses!$V$14,Hypothèses!$W$14,IF(U312&lt;=Hypothèses!$V$15,Hypothèses!$W$15,IF(U312&lt;=Hypothèses!$V$16,Hypothèses!$W$16,IF(U312&lt;=Hypothèses!$V$17,Hypothèses!$W$17,IF(U312&lt;=Hypothèses!$V$18,Hypothèses!$W$18,""))))))))))))</f>
        <v>#DIV/0!</v>
      </c>
      <c r="AP312" s="87" t="e">
        <f t="shared" ca="1" si="517"/>
        <v>#DIV/0!</v>
      </c>
      <c r="AQ312" s="88" t="e">
        <f ca="1">IF(U312&lt;=Hypothèses!$V$7,Hypothèses!$X$7,IF(U312&lt;=Hypothèses!$V$8,Hypothèses!$X$8,IF(U312&lt;=Hypothèses!$V$9,Hypothèses!$X$9,IF(U312&lt;=Hypothèses!$V$10,Hypothèses!$X$10,IF(U312&lt;=Hypothèses!$V$11,Hypothèses!$X$11,IF(U312&lt;=Hypothèses!$V$12,Hypothèses!$X$12,IF(U312&lt;=Hypothèses!$V$13,Hypothèses!$X$13,IF(U312&lt;=Hypothèses!$V$14,Hypothèses!$X$14,IF(U312&lt;=Hypothèses!$V$15,Hypothèses!$X$15,IF(U312&lt;=Hypothèses!$V$16,Hypothèses!$X$16,IF(U312&lt;=Hypothèses!$U$17,Hypothèses!$W$17,IF(U312&lt;=Hypothèses!$U$18,Hypothèses!$W$18,""))))))))))))</f>
        <v>#DIV/0!</v>
      </c>
      <c r="AR312" s="95" t="e">
        <f t="shared" ca="1" si="472"/>
        <v>#DIV/0!</v>
      </c>
      <c r="AS312" s="101" t="e">
        <f t="shared" si="524"/>
        <v>#N/A</v>
      </c>
      <c r="AT312" s="91" t="e">
        <f t="shared" si="443"/>
        <v>#N/A</v>
      </c>
      <c r="AU312" s="30" t="e">
        <f t="shared" si="502"/>
        <v>#N/A</v>
      </c>
      <c r="AV312" s="30" t="e">
        <f t="shared" si="503"/>
        <v>#N/A</v>
      </c>
      <c r="AW312" s="31" t="e">
        <f>IF(OR(Hypothèses!$B$4=17,Hypothèses!$B$4=18,Hypothèses!$B$4=19,Hypothèses!$B$4=20),
IF($D312="Pressio.",
IF(OR($E312=3,$E312=1,$E312=4),AV312,AU312),
IF($D312="Pénétro.",
IF(OR($E312=3,$E312=1,$E312=4),AV312,AU312))),IF($D312="Pressio.",
IF($E312=3,AV312,AU312),
IF($D312="Pénétro.",
IF($E312=4,AV312,AU312))))</f>
        <v>#N/A</v>
      </c>
      <c r="AX312" s="31" t="e">
        <f>(IF(OR(Hypothèses!$B$4=17,Hypothèses!$B$4=18,Hypothèses!$B$4=19,Hypothèses!$B$4=20),
IF($D312="Pressio.",
IF(OR($E312=3,$E312=1,$E312=4),(PI()*AX$12^2)/4*(AT312*$W312*1000)/($H312*$B$5),(PI()*AX$12^2)/4*(AT312*$W312*1000)/($G312*$B$5)),
IF($D312="Pénétro.",
IF(OR($E312=4,$E312=1,$E312=5),(PI()*AX$12^2)/4*(AT312*$W312*1000)/($H312*$B$5),(PI()*AX$12^2)/4*(AT312*$W312*1000)/($G312*$B$5)))),
IF($D312="Pressio.",
IF($E312=3,(PI()*AX$12^2)/4*(AT312*$W312*1000)/($H312*$B$5),(PI()*AX$12^2)/4*(AT312*$W312*1000)/($G312*$B$5)),
IF($D312="Pénétro.",
IF($E312=4,(PI()*AX$12^2)/4*(AT312*$W312*1000)/($H312*$B$5),(PI()*AX$12^2)/4*(AT312*$W312*1000)/($G312*$B$5))))))/10</f>
        <v>#N/A</v>
      </c>
      <c r="AY312" s="102" t="e">
        <f>(VLOOKUP($B$3,'Coeff EC7'!$T$39:$X$59,2,0)*AW312+VLOOKUP($B$3,'Coeff EC7'!$T$65:$X$85,2,0)*Model0.1C!AX312)/1.1</f>
        <v>#N/A</v>
      </c>
      <c r="AZ312" s="102" t="e">
        <f>(VLOOKUP($B$3,'Coeff EC7'!$T$39:$X$59,3,0)*AW312+VLOOKUP($B$3,'Coeff EC7'!$T$65:$X$85,3,0)*Model0.1C!AX312)/0.9</f>
        <v>#N/A</v>
      </c>
      <c r="BA312" s="102" t="e">
        <f t="shared" si="473"/>
        <v>#N/A</v>
      </c>
      <c r="BB312" s="102" t="e">
        <f t="shared" si="474"/>
        <v>#N/A</v>
      </c>
      <c r="BC312" s="414" t="e">
        <f>IF(BC311=0,0,IF(AND(AY312&gt;charge_ELS_quasi,AZ312&gt;Charge_ELS_freq,BA312&gt;charge_ELU,BB312&gt;charge_ELA,$B312&gt;NDC!$H$22-0.1+MIN(3*$BC$12,1.5)),0,1))</f>
        <v>#N/A</v>
      </c>
      <c r="BD312" s="86" t="b">
        <f t="shared" si="444"/>
        <v>0</v>
      </c>
      <c r="BE312" s="86">
        <f t="shared" si="475"/>
        <v>0.5</v>
      </c>
      <c r="BF312" s="86">
        <f t="shared" si="445"/>
        <v>0.5</v>
      </c>
      <c r="BG312" s="30" t="e">
        <f t="shared" ca="1" si="476"/>
        <v>#DIV/0!</v>
      </c>
      <c r="BH312" s="85" t="e">
        <f ca="1">IF(AN312&lt;=Hypothèses!$V$7,Hypothèses!$W$7,IF(AN312&lt;=Hypothèses!$V$8,Hypothèses!$W$8,IF(AN312&lt;=Hypothèses!$V$9,Hypothèses!$W$9,IF(AN312&lt;=Hypothèses!$V$10,Hypothèses!$W$10,IF(AN312&lt;=Hypothèses!$V$11,Hypothèses!$W$11,IF(AN312&lt;=Hypothèses!$V$12,Hypothèses!$W$12,IF(AN312&lt;=Hypothèses!$V$13,Hypothèses!$W$13,IF(AN312&lt;=Hypothèses!$V$14,Hypothèses!$W$14,IF(AN312&lt;=Hypothèses!$V$15,Hypothèses!$W$15,IF(AN312&lt;=Hypothèses!$V$16,Hypothèses!$W$16,IF(AN312&lt;=Hypothèses!$V$17,Hypothèses!$W$17,IF(AN312&lt;=Hypothèses!$V$18,Hypothèses!$W$18,""))))))))))))</f>
        <v>#DIV/0!</v>
      </c>
      <c r="BI312" s="87" t="e">
        <f t="shared" ca="1" si="518"/>
        <v>#DIV/0!</v>
      </c>
      <c r="BJ312" s="88" t="e">
        <f ca="1">IF(AN312&lt;=Hypothèses!$V$7,Hypothèses!$X$7,IF(AN312&lt;=Hypothèses!$V$8,Hypothèses!$X$8,IF(AN312&lt;=Hypothèses!$V$9,Hypothèses!$X$9,IF(AN312&lt;=Hypothèses!$V$10,Hypothèses!$X$10,IF(AN312&lt;=Hypothèses!$V$11,Hypothèses!$X$11,IF(AN312&lt;=Hypothèses!$V$12,Hypothèses!$X$12,IF(AN312&lt;=Hypothèses!$V$13,Hypothèses!$X$13,IF(AN312&lt;=Hypothèses!$V$14,Hypothèses!$X$14,IF(AN312&lt;=Hypothèses!$V$15,Hypothèses!$X$15,IF(AN312&lt;=Hypothèses!$V$16,Hypothèses!$X$16,IF(AN312&lt;=Hypothèses!$U$17,Hypothèses!$W$17,IF(AN312&lt;=Hypothèses!$U$18,Hypothèses!$W$18,""))))))))))))</f>
        <v>#DIV/0!</v>
      </c>
      <c r="BK312" s="95" t="e">
        <f t="shared" ca="1" si="477"/>
        <v>#DIV/0!</v>
      </c>
      <c r="BL312" s="101" t="e">
        <f t="shared" si="525"/>
        <v>#N/A</v>
      </c>
      <c r="BM312" s="91" t="e">
        <f t="shared" si="446"/>
        <v>#N/A</v>
      </c>
      <c r="BN312" s="30" t="e">
        <f t="shared" si="504"/>
        <v>#N/A</v>
      </c>
      <c r="BO312" s="30" t="e">
        <f t="shared" si="505"/>
        <v>#N/A</v>
      </c>
      <c r="BP312" s="31" t="e">
        <f>IF(OR(Hypothèses!$B$4=17,Hypothèses!$B$4=18,Hypothèses!$B$4=19,Hypothèses!$B$4=20),
IF($D312="Pressio.",
IF(OR($E312=3,$E312=1,$E312=4),BO312,BN312),
IF($D312="Pénétro.",
IF(OR($E312=3,$E312=1,$E312=4),BO312,BN312))),IF($D312="Pressio.",
IF($E312=3,BO312,BN312),
IF($D312="Pénétro.",
IF($E312=4,BO312,BN312))))</f>
        <v>#N/A</v>
      </c>
      <c r="BQ312" s="31" t="e">
        <f>(IF(OR(Hypothèses!$B$4=17,Hypothèses!$B$4=18,Hypothèses!$B$4=19,Hypothèses!$B$4=20),
IF($D312="Pressio.",
IF(OR($E312=3,$E312=1,$E312=4),(PI()*BQ$12^2)/4*(BM312*$W312*1000)/($H312*$B$5),(PI()*BQ$12^2)/4*(BM312*$W312*1000)/($G312*$B$5)),
IF($D312="Pénétro.",
IF(OR($E312=4,$E312=1,$E312=5),(PI()*BQ$12^2)/4*(BM312*$W312*1000)/($H312*$B$5),(PI()*BQ$12^2)/4*(BM312*$W312*1000)/($G312*$B$5)))),
IF($D312="Pressio.",
IF($E312=3,(PI()*BQ$12^2)/4*(BM312*$W312*1000)/($H312*$B$5),(PI()*BQ$12^2)/4*(BM312*$W312*1000)/($G312*$B$5)),
IF($D312="Pénétro.",
IF($E312=4,(PI()*BQ$12^2)/4*(BM312*$W312*1000)/($H312*$B$5),(PI()*BQ$12^2)/4*(BM312*$W312*1000)/($G312*$B$5))))))/10</f>
        <v>#N/A</v>
      </c>
      <c r="BR312" s="102" t="e">
        <f>(VLOOKUP($B$3,'Coeff EC7'!$T$39:$X$59,2,0)*BP312+VLOOKUP($B$3,'Coeff EC7'!$T$65:$X$85,2,0)*Model0.1C!BQ312)/1.1</f>
        <v>#N/A</v>
      </c>
      <c r="BS312" s="102" t="e">
        <f>(VLOOKUP($B$3,'Coeff EC7'!$T$39:$X$59,3,0)*BP312+VLOOKUP($B$3,'Coeff EC7'!$T$65:$X$85,3,0)*Model0.1C!BQ312)/0.9</f>
        <v>#N/A</v>
      </c>
      <c r="BT312" s="102" t="e">
        <f t="shared" si="478"/>
        <v>#N/A</v>
      </c>
      <c r="BU312" s="102" t="e">
        <f t="shared" si="479"/>
        <v>#N/A</v>
      </c>
      <c r="BV312" s="414" t="e">
        <f>IF(BV311=0,0,IF(AND(BR312&gt;charge_ELS_quasi,BS312&gt;Charge_ELS_freq,BT312&gt;charge_ELU,BU312&gt;charge_ELA,$B312&gt;NDC!$H$22-0.1+MIN(3*$BV$12,1.5)),0,1))</f>
        <v>#N/A</v>
      </c>
      <c r="BW312" s="86" t="b">
        <f t="shared" si="447"/>
        <v>0</v>
      </c>
      <c r="BX312" s="86">
        <f t="shared" si="448"/>
        <v>0.5</v>
      </c>
      <c r="BY312" s="86">
        <f t="shared" si="449"/>
        <v>0.5</v>
      </c>
      <c r="BZ312" s="30" t="e">
        <f t="shared" ca="1" si="480"/>
        <v>#DIV/0!</v>
      </c>
      <c r="CA312" s="85" t="e">
        <f ca="1">IF(BG312&lt;=Hypothèses!$V$7,Hypothèses!$W$7,IF(BG312&lt;=Hypothèses!$V$8,Hypothèses!$W$8,IF(BG312&lt;=Hypothèses!$V$9,Hypothèses!$W$9,IF(BG312&lt;=Hypothèses!$V$10,Hypothèses!$W$10,IF(BG312&lt;=Hypothèses!$V$11,Hypothèses!$W$11,IF(BG312&lt;=Hypothèses!$V$12,Hypothèses!$W$12,IF(BG312&lt;=Hypothèses!$V$13,Hypothèses!$W$13,IF(BG312&lt;=Hypothèses!$V$14,Hypothèses!$W$14,IF(BG312&lt;=Hypothèses!$V$15,Hypothèses!$W$15,IF(BG312&lt;=Hypothèses!$V$16,Hypothèses!$W$16,IF(BG312&lt;=Hypothèses!$V$17,Hypothèses!$W$17,IF(BG312&lt;=Hypothèses!$V$18,Hypothèses!$W$18,""))))))))))))</f>
        <v>#DIV/0!</v>
      </c>
      <c r="CB312" s="87" t="e">
        <f t="shared" ca="1" si="519"/>
        <v>#DIV/0!</v>
      </c>
      <c r="CC312" s="88" t="e">
        <f ca="1">IF(BG312&lt;=Hypothèses!$V$7,Hypothèses!$X$7,IF(BG312&lt;=Hypothèses!$V$8,Hypothèses!$X$8,IF(BG312&lt;=Hypothèses!$V$9,Hypothèses!$X$9,IF(BG312&lt;=Hypothèses!$V$10,Hypothèses!$X$10,IF(BG312&lt;=Hypothèses!$V$11,Hypothèses!$X$11,IF(BG312&lt;=Hypothèses!$V$12,Hypothèses!$X$12,IF(BG312&lt;=Hypothèses!$V$13,Hypothèses!$X$13,IF(BG312&lt;=Hypothèses!$V$14,Hypothèses!$X$14,IF(BG312&lt;=Hypothèses!$V$15,Hypothèses!$X$15,IF(BG312&lt;=Hypothèses!$V$16,Hypothèses!$X$16,IF(BG312&lt;=Hypothèses!$U$17,Hypothèses!$W$17,IF(BG312&lt;=Hypothèses!$U$18,Hypothèses!$W$18,""))))))))))))</f>
        <v>#DIV/0!</v>
      </c>
      <c r="CD312" s="95" t="e">
        <f t="shared" ca="1" si="481"/>
        <v>#DIV/0!</v>
      </c>
      <c r="CE312" s="101" t="e">
        <f t="shared" si="526"/>
        <v>#N/A</v>
      </c>
      <c r="CF312" s="91" t="e">
        <f t="shared" si="450"/>
        <v>#N/A</v>
      </c>
      <c r="CG312" s="30" t="e">
        <f t="shared" si="506"/>
        <v>#N/A</v>
      </c>
      <c r="CH312" s="30" t="e">
        <f t="shared" si="507"/>
        <v>#N/A</v>
      </c>
      <c r="CI312" s="31" t="e">
        <f>IF(OR(Hypothèses!$B$4=17,Hypothèses!$B$4=18,Hypothèses!$B$4=19,Hypothèses!$B$4=20),
IF($D312="Pressio.",
IF(OR($E312=3,$E312=1,$E312=4),CH312,CG312),
IF($D312="Pénétro.",
IF(OR($E312=3,$E312=1,$E312=4),CH312,CG312))),IF($D312="Pressio.",
IF($E312=3,CH312,CG312),
IF($D312="Pénétro.",
IF($E312=4,CH312,CG312))))</f>
        <v>#N/A</v>
      </c>
      <c r="CJ312" s="31" t="e">
        <f>(IF(OR(Hypothèses!$B$4=17,Hypothèses!$B$4=18,Hypothèses!$B$4=19,Hypothèses!$B$4=20),
IF($D312="Pressio.",
IF(OR($E312=3,$E312=1,$E312=4),(PI()*CJ$12^2)/4*(CF312*$W312*1000)/($H312*$B$5),(PI()*CJ$12^2)/4*(CF312*$W312*1000)/($G312*$B$5)),
IF($D312="Pénétro.",
IF(OR($E312=4,$E312=1,$E312=5),(PI()*CJ$12^2)/4*(CF312*$W312*1000)/($H312*$B$5),(PI()*CJ$12^2)/4*(CF312*$W312*1000)/($G312*$B$5)))),
IF($D312="Pressio.",
IF($E312=3,(PI()*CJ$12^2)/4*(CF312*$W312*1000)/($H312*$B$5),(PI()*CJ$12^2)/4*(CF312*$W312*1000)/($G312*$B$5)),
IF($D312="Pénétro.",
IF($E312=4,(PI()*CJ$12^2)/4*(CF312*$W312*1000)/($H312*$B$5),(PI()*CJ$12^2)/4*(CF312*$W312*1000)/($G312*$B$5))))))/10</f>
        <v>#N/A</v>
      </c>
      <c r="CK312" s="102" t="e">
        <f>(VLOOKUP($B$3,'Coeff EC7'!$T$39:$X$59,2,0)*CI312+VLOOKUP($B$3,'Coeff EC7'!$T$65:$X$85,2,0)*Model0.1C!CJ312)/1.1</f>
        <v>#N/A</v>
      </c>
      <c r="CL312" s="102" t="e">
        <f>(VLOOKUP($B$3,'Coeff EC7'!$T$39:$X$59,3,0)*CI312+VLOOKUP($B$3,'Coeff EC7'!$T$65:$X$85,3,0)*Model0.1C!CJ312)/0.9</f>
        <v>#N/A</v>
      </c>
      <c r="CM312" s="102" t="e">
        <f t="shared" si="482"/>
        <v>#N/A</v>
      </c>
      <c r="CN312" s="102" t="e">
        <f t="shared" si="483"/>
        <v>#N/A</v>
      </c>
      <c r="CO312" s="414" t="e">
        <f>IF(CO311=0,0,IF(AND(CK312&gt;charge_ELS_quasi,CL312&gt;Charge_ELS_freq,CM312&gt;charge_ELU,CN312&gt;charge_ELA,$B312&gt;NDC!$H$22-0.1+MIN(3*$CO$12,1.5)),0,1))</f>
        <v>#N/A</v>
      </c>
      <c r="CP312" s="86" t="b">
        <f t="shared" si="451"/>
        <v>0</v>
      </c>
      <c r="CQ312" s="86">
        <f t="shared" si="452"/>
        <v>0.5</v>
      </c>
      <c r="CR312" s="86">
        <f t="shared" si="453"/>
        <v>0.5</v>
      </c>
      <c r="CS312" s="30" t="e">
        <f t="shared" ca="1" si="484"/>
        <v>#DIV/0!</v>
      </c>
      <c r="CT312" s="85" t="e">
        <f ca="1">IF(BZ312&lt;=Hypothèses!$V$7,Hypothèses!$W$7,IF(BZ312&lt;=Hypothèses!$V$8,Hypothèses!$W$8,IF(BZ312&lt;=Hypothèses!$V$9,Hypothèses!$W$9,IF(BZ312&lt;=Hypothèses!$V$10,Hypothèses!$W$10,IF(BZ312&lt;=Hypothèses!$V$11,Hypothèses!$W$11,IF(BZ312&lt;=Hypothèses!$V$12,Hypothèses!$W$12,IF(BZ312&lt;=Hypothèses!$V$13,Hypothèses!$W$13,IF(BZ312&lt;=Hypothèses!$V$14,Hypothèses!$W$14,IF(BZ312&lt;=Hypothèses!$V$15,Hypothèses!$W$15,IF(BZ312&lt;=Hypothèses!$V$16,Hypothèses!$W$16,IF(BZ312&lt;=Hypothèses!$V$17,Hypothèses!$W$17,IF(BZ312&lt;=Hypothèses!$V$18,Hypothèses!$W$18,""))))))))))))</f>
        <v>#DIV/0!</v>
      </c>
      <c r="CU312" s="87" t="e">
        <f t="shared" ca="1" si="520"/>
        <v>#DIV/0!</v>
      </c>
      <c r="CV312" s="88" t="e">
        <f ca="1">IF(BZ312&lt;=Hypothèses!$V$7,Hypothèses!$X$7,IF(BZ312&lt;=Hypothèses!$V$8,Hypothèses!$X$8,IF(BZ312&lt;=Hypothèses!$V$9,Hypothèses!$X$9,IF(BZ312&lt;=Hypothèses!$V$10,Hypothèses!$X$10,IF(BZ312&lt;=Hypothèses!$V$11,Hypothèses!$X$11,IF(BZ312&lt;=Hypothèses!$V$12,Hypothèses!$X$12,IF(BZ312&lt;=Hypothèses!$V$13,Hypothèses!$X$13,IF(BZ312&lt;=Hypothèses!$V$14,Hypothèses!$X$14,IF(BZ312&lt;=Hypothèses!$V$15,Hypothèses!$X$15,IF(BZ312&lt;=Hypothèses!$V$16,Hypothèses!$X$16,IF(BZ312&lt;=Hypothèses!$U$17,Hypothèses!$W$17,IF(BZ312&lt;=Hypothèses!$U$18,Hypothèses!$W$18,""))))))))))))</f>
        <v>#DIV/0!</v>
      </c>
      <c r="CW312" s="95" t="e">
        <f t="shared" ca="1" si="485"/>
        <v>#DIV/0!</v>
      </c>
      <c r="CX312" s="101" t="e">
        <f t="shared" si="527"/>
        <v>#N/A</v>
      </c>
      <c r="CY312" s="91" t="e">
        <f t="shared" si="454"/>
        <v>#N/A</v>
      </c>
      <c r="CZ312" s="30" t="e">
        <f t="shared" si="508"/>
        <v>#N/A</v>
      </c>
      <c r="DA312" s="30" t="e">
        <f t="shared" si="509"/>
        <v>#N/A</v>
      </c>
      <c r="DB312" s="31" t="e">
        <f>IF(OR(Hypothèses!$B$4=17,Hypothèses!$B$4=18,Hypothèses!$B$4=19,Hypothèses!$B$4=20),
IF($D312="Pressio.",
IF(OR($E312=3,$E312=1,$E312=4),DA312,CZ312),
IF($D312="Pénétro.",
IF(OR($E312=3,$E312=1,$E312=4),DA312,CZ312))),IF($D312="Pressio.",
IF($E312=3,DA312,CZ312),
IF($D312="Pénétro.",
IF($E312=4,DA312,CZ312))))</f>
        <v>#N/A</v>
      </c>
      <c r="DC312" s="31" t="e">
        <f>(IF(OR(Hypothèses!$B$4=17,Hypothèses!$B$4=18,Hypothèses!$B$4=19,Hypothèses!$B$4=20),
IF($D312="Pressio.",
IF(OR($E312=3,$E312=1,$E312=4),(PI()*DC$12^2)/4*(CY312*$W312*1000)/($H312*$B$5),(PI()*DC$12^2)/4*(CY312*$W312*1000)/($G312*$B$5)),
IF($D312="Pénétro.",
IF(OR($E312=4,$E312=1,$E312=5),(PI()*DC$12^2)/4*(CY312*$W312*1000)/($H312*$B$5),(PI()*DC$12^2)/4*(CY312*$W312*1000)/($G312*$B$5)))),
IF($D312="Pressio.",
IF($E312=3,(PI()*DC$12^2)/4*(CY312*$W312*1000)/($H312*$B$5),(PI()*DC$12^2)/4*(CY312*$W312*1000)/($G312*$B$5)),
IF($D312="Pénétro.",
IF($E312=4,(PI()*DC$12^2)/4*(CY312*$W312*1000)/($H312*$B$5),(PI()*DC$12^2)/4*(CY312*$W312*1000)/($G312*$B$5))))))/10</f>
        <v>#N/A</v>
      </c>
      <c r="DD312" s="102" t="e">
        <f>(VLOOKUP($B$3,'Coeff EC7'!$T$39:$X$59,2,0)*DB312+VLOOKUP($B$3,'Coeff EC7'!$T$65:$X$85,2,0)*Model0.1C!DC312)/1.1</f>
        <v>#N/A</v>
      </c>
      <c r="DE312" s="102" t="e">
        <f>(VLOOKUP($B$3,'Coeff EC7'!$T$39:$X$59,3,0)*DB312+VLOOKUP($B$3,'Coeff EC7'!$T$65:$X$85,3,0)*Model0.1C!DC312)/0.9</f>
        <v>#N/A</v>
      </c>
      <c r="DF312" s="102" t="e">
        <f t="shared" si="486"/>
        <v>#N/A</v>
      </c>
      <c r="DG312" s="102" t="e">
        <f t="shared" si="487"/>
        <v>#N/A</v>
      </c>
      <c r="DH312" s="414" t="e">
        <f>IF(DH311=0,0,IF(AND(DD312&gt;charge_ELS_quasi,DE312&gt;Charge_ELS_freq,DF312&gt;charge_ELU,DG312&gt;charge_ELA,$B312&gt;NDC!$H$22-0.1+MIN(3*$DH$12,1.5)),0,1))</f>
        <v>#N/A</v>
      </c>
      <c r="DI312" s="86" t="b">
        <f t="shared" si="455"/>
        <v>0</v>
      </c>
      <c r="DJ312" s="86">
        <f t="shared" si="456"/>
        <v>0.5</v>
      </c>
      <c r="DK312" s="86">
        <f t="shared" si="457"/>
        <v>0.5</v>
      </c>
      <c r="DL312" s="30" t="e">
        <f t="shared" ca="1" si="488"/>
        <v>#DIV/0!</v>
      </c>
      <c r="DM312" s="85" t="e">
        <f ca="1">IF(CS312&lt;=Hypothèses!$V$7,Hypothèses!$W$7,IF(CS312&lt;=Hypothèses!$V$8,Hypothèses!$W$8,IF(CS312&lt;=Hypothèses!$V$9,Hypothèses!$W$9,IF(CS312&lt;=Hypothèses!$V$10,Hypothèses!$W$10,IF(CS312&lt;=Hypothèses!$V$11,Hypothèses!$W$11,IF(CS312&lt;=Hypothèses!$V$12,Hypothèses!$W$12,IF(CS312&lt;=Hypothèses!$V$13,Hypothèses!$W$13,IF(CS312&lt;=Hypothèses!$V$14,Hypothèses!$W$14,IF(CS312&lt;=Hypothèses!$V$15,Hypothèses!$W$15,IF(CS312&lt;=Hypothèses!$V$16,Hypothèses!$W$16,IF(CS312&lt;=Hypothèses!$V$17,Hypothèses!$W$17,IF(CS312&lt;=Hypothèses!$V$18,Hypothèses!$W$18,""))))))))))))</f>
        <v>#DIV/0!</v>
      </c>
      <c r="DN312" s="87" t="e">
        <f t="shared" ca="1" si="521"/>
        <v>#DIV/0!</v>
      </c>
      <c r="DO312" s="88" t="e">
        <f ca="1">IF(CS312&lt;=Hypothèses!$V$7,Hypothèses!$X$7,IF(CS312&lt;=Hypothèses!$V$8,Hypothèses!$X$8,IF(CS312&lt;=Hypothèses!$V$9,Hypothèses!$X$9,IF(CS312&lt;=Hypothèses!$V$10,Hypothèses!$X$10,IF(CS312&lt;=Hypothèses!$V$11,Hypothèses!$X$11,IF(CS312&lt;=Hypothèses!$V$12,Hypothèses!$X$12,IF(CS312&lt;=Hypothèses!$V$13,Hypothèses!$X$13,IF(CS312&lt;=Hypothèses!$V$14,Hypothèses!$X$14,IF(CS312&lt;=Hypothèses!$V$15,Hypothèses!$X$15,IF(CS312&lt;=Hypothèses!$V$16,Hypothèses!$X$16,IF(CS312&lt;=Hypothèses!$U$17,Hypothèses!$W$17,IF(CS312&lt;=Hypothèses!$U$18,Hypothèses!$W$18,""))))))))))))</f>
        <v>#DIV/0!</v>
      </c>
      <c r="DP312" s="95" t="e">
        <f t="shared" ca="1" si="489"/>
        <v>#DIV/0!</v>
      </c>
      <c r="DQ312" s="101" t="e">
        <f t="shared" si="528"/>
        <v>#N/A</v>
      </c>
      <c r="DR312" s="91" t="e">
        <f t="shared" si="458"/>
        <v>#N/A</v>
      </c>
      <c r="DS312" s="30" t="e">
        <f t="shared" si="510"/>
        <v>#N/A</v>
      </c>
      <c r="DT312" s="30" t="e">
        <f t="shared" si="511"/>
        <v>#N/A</v>
      </c>
      <c r="DU312" s="31" t="e">
        <f>IF(OR(Hypothèses!$B$4=17,Hypothèses!$B$4=18,Hypothèses!$B$4=19,Hypothèses!$B$4=20),
IF($D312="Pressio.",
IF(OR($E312=3,$E312=1,$E312=4),DT312,DS312),
IF($D312="Pénétro.",
IF(OR($E312=3,$E312=1,$E312=4),DT312,DS312))),IF($D312="Pressio.",
IF($E312=3,DT312,DS312),
IF($D312="Pénétro.",
IF($E312=4,DT312,DS312))))</f>
        <v>#N/A</v>
      </c>
      <c r="DV312" s="31" t="e">
        <f>(IF(OR(Hypothèses!$B$4=17,Hypothèses!$B$4=18,Hypothèses!$B$4=19,Hypothèses!$B$4=20),
IF($D312="Pressio.",
IF(OR($E312=3,$E312=1,$E312=4),(PI()*DV$12^2)/4*(DR312*$W312*1000)/($H312*$B$5),(PI()*DV$12^2)/4*(DR312*$W312*1000)/($G312*$B$5)),
IF($D312="Pénétro.",
IF(OR($E312=4,$E312=1,$E312=5),(PI()*DV$12^2)/4*(DR312*$W312*1000)/($H312*$B$5),(PI()*DV$12^2)/4*(DR312*$W312*1000)/($G312*$B$5)))),
IF($D312="Pressio.",
IF($E312=3,(PI()*DV$12^2)/4*(DR312*$W312*1000)/($H312*$B$5),(PI()*DV$12^2)/4*(DR312*$W312*1000)/($G312*$B$5)),
IF($D312="Pénétro.",
IF($E312=4,(PI()*DV$12^2)/4*(DR312*$W312*1000)/($H312*$B$5),(PI()*DV$12^2)/4*(DR312*$W312*1000)/($G312*$B$5))))))/10</f>
        <v>#N/A</v>
      </c>
      <c r="DW312" s="102" t="e">
        <f>(VLOOKUP($B$3,'Coeff EC7'!$T$39:$X$59,2,0)*DU312+VLOOKUP($B$3,'Coeff EC7'!$T$65:$X$85,2,0)*Model0.1C!DV312)/1.1</f>
        <v>#N/A</v>
      </c>
      <c r="DX312" s="102" t="e">
        <f>(VLOOKUP($B$3,'Coeff EC7'!$T$39:$X$59,3,0)*DU312+VLOOKUP($B$3,'Coeff EC7'!$T$65:$X$85,3,0)*Model0.1C!DV312)/0.9</f>
        <v>#N/A</v>
      </c>
      <c r="DY312" s="102" t="e">
        <f t="shared" si="490"/>
        <v>#N/A</v>
      </c>
      <c r="DZ312" s="102" t="e">
        <f t="shared" si="491"/>
        <v>#N/A</v>
      </c>
      <c r="EA312" s="414" t="e">
        <f>IF(EA311=0,0,IF(AND(DW312&gt;charge_ELS_quasi,DX312&gt;Charge_ELS_freq,DY312&gt;charge_ELU,DZ312&gt;charge_ELA,$B312&gt;NDC!$H$22-0.1+MIN(3*$EA$12,1.5)),0,1))</f>
        <v>#N/A</v>
      </c>
      <c r="EB312" s="86" t="b">
        <f t="shared" si="459"/>
        <v>0</v>
      </c>
      <c r="EC312" s="418">
        <f t="shared" si="460"/>
        <v>0.51</v>
      </c>
      <c r="ED312" s="86">
        <f t="shared" si="461"/>
        <v>0.51</v>
      </c>
      <c r="EE312" s="30" t="e">
        <f t="shared" ca="1" si="492"/>
        <v>#DIV/0!</v>
      </c>
      <c r="EF312" s="85" t="e">
        <f ca="1">IF(DL312&lt;=Hypothèses!$V$7,Hypothèses!$W$7,IF(DL312&lt;=Hypothèses!$V$8,Hypothèses!$W$8,IF(DL312&lt;=Hypothèses!$V$9,Hypothèses!$W$9,IF(DL312&lt;=Hypothèses!$V$10,Hypothèses!$W$10,IF(DL312&lt;=Hypothèses!$V$11,Hypothèses!$W$11,IF(DL312&lt;=Hypothèses!$V$12,Hypothèses!$W$12,IF(DL312&lt;=Hypothèses!$V$13,Hypothèses!$W$13,IF(DL312&lt;=Hypothèses!$V$14,Hypothèses!$W$14,IF(DL312&lt;=Hypothèses!$V$15,Hypothèses!$W$15,IF(DL312&lt;=Hypothèses!$V$16,Hypothèses!$W$16,IF(DL312&lt;=Hypothèses!$V$17,Hypothèses!$W$17,IF(DL312&lt;=Hypothèses!$V$18,Hypothèses!$W$18,""))))))))))))</f>
        <v>#DIV/0!</v>
      </c>
      <c r="EG312" s="87" t="e">
        <f t="shared" ca="1" si="522"/>
        <v>#DIV/0!</v>
      </c>
      <c r="EH312" s="88" t="e">
        <f ca="1">IF(DL312&lt;=Hypothèses!$V$7,Hypothèses!$X$7,IF(DL312&lt;=Hypothèses!$V$8,Hypothèses!$X$8,IF(DL312&lt;=Hypothèses!$V$9,Hypothèses!$X$9,IF(DL312&lt;=Hypothèses!$V$10,Hypothèses!$X$10,IF(DL312&lt;=Hypothèses!$V$11,Hypothèses!$X$11,IF(DL312&lt;=Hypothèses!$V$12,Hypothèses!$X$12,IF(DL312&lt;=Hypothèses!$V$13,Hypothèses!$X$13,IF(DL312&lt;=Hypothèses!$V$14,Hypothèses!$X$14,IF(DL312&lt;=Hypothèses!$V$15,Hypothèses!$X$15,IF(DL312&lt;=Hypothèses!$V$16,Hypothèses!$X$16,IF(DL312&lt;=Hypothèses!$U$17,Hypothèses!$W$17,IF(DL312&lt;=Hypothèses!$U$18,Hypothèses!$W$18,""))))))))))))</f>
        <v>#DIV/0!</v>
      </c>
      <c r="EI312" s="95" t="e">
        <f t="shared" ca="1" si="493"/>
        <v>#DIV/0!</v>
      </c>
      <c r="EJ312" s="101" t="e">
        <f t="shared" si="529"/>
        <v>#N/A</v>
      </c>
      <c r="EK312" s="91" t="e">
        <f t="shared" si="462"/>
        <v>#N/A</v>
      </c>
      <c r="EL312" s="30" t="e">
        <f t="shared" si="512"/>
        <v>#N/A</v>
      </c>
      <c r="EM312" s="30" t="e">
        <f t="shared" si="513"/>
        <v>#N/A</v>
      </c>
      <c r="EN312" s="31" t="e">
        <f>IF(OR(Hypothèses!$B$4=17,Hypothèses!$B$4=18,Hypothèses!$B$4=19,Hypothèses!$B$4=20),
IF($D312="Pressio.",
IF(OR($E312=3,$E312=1,$E312=4),EM312,EL312),
IF($D312="Pénétro.",
IF(OR($E312=3,$E312=1,$E312=4),EM312,EL312))),IF($D312="Pressio.",
IF($E312=3,EM312,EL312),
IF($D312="Pénétro.",
IF($E312=4,EM312,EL312))))</f>
        <v>#N/A</v>
      </c>
      <c r="EO312" s="31" t="e">
        <f>(IF(OR(Hypothèses!$B$4=17,Hypothèses!$B$4=18,Hypothèses!$B$4=19,Hypothèses!$B$4=20),
IF($D312="Pressio.",
IF(OR($E312=3,$E312=1,$E312=4),(PI()*EO$12^2)/4*(EK312*$W312*1000)/($H312*$B$5),(PI()*EO$12^2)/4*(EK312*$W312*1000)/($G312*$B$5)),
IF($D312="Pénétro.",
IF(OR($E312=4,$E312=1,$E312=5),(PI()*EO$12^2)/4*(EK312*$W312*1000)/($H312*$B$5),(PI()*EO$12^2)/4*(EK312*$W312*1000)/($G312*$B$5)))),
IF($D312="Pressio.",
IF($E312=3,(PI()*EO$12^2)/4*(EK312*$W312*1000)/($H312*$B$5),(PI()*EO$12^2)/4*(EK312*$W312*1000)/($G312*$B$5)),
IF($D312="Pénétro.",
IF($E312=4,(PI()*EO$12^2)/4*(EK312*$W312*1000)/($H312*$B$5),(PI()*EO$12^2)/4*(EK312*$W312*1000)/($G312*$B$5))))))/10</f>
        <v>#N/A</v>
      </c>
      <c r="EP312" s="102" t="e">
        <f>(VLOOKUP($B$3,'Coeff EC7'!$T$39:$X$59,2,0)*EN312+VLOOKUP($B$3,'Coeff EC7'!$T$65:$X$85,2,0)*Model0.1C!EO312)/1.1</f>
        <v>#N/A</v>
      </c>
      <c r="EQ312" s="102" t="e">
        <f>(VLOOKUP($B$3,'Coeff EC7'!$T$39:$X$59,3,0)*EN312+VLOOKUP($B$3,'Coeff EC7'!$T$65:$X$85,3,0)*Model0.1C!EO312)/0.9</f>
        <v>#N/A</v>
      </c>
      <c r="ER312" s="102" t="e">
        <f t="shared" si="494"/>
        <v>#N/A</v>
      </c>
      <c r="ES312" s="102" t="e">
        <f t="shared" si="495"/>
        <v>#N/A</v>
      </c>
      <c r="ET312" s="414" t="e">
        <f>IF(ET311=0,0,IF(AND(EP312&gt;charge_ELS_quasi,EQ312&gt;Charge_ELS_freq,ER312&gt;charge_ELU,ES312&gt;charge_ELA,$B312&gt;NDC!$H$22-0.1+MIN(3*$ET$12,1.5)),0,1))</f>
        <v>#N/A</v>
      </c>
      <c r="EU312" s="86" t="b">
        <f t="shared" si="463"/>
        <v>0</v>
      </c>
      <c r="EV312" s="86">
        <f t="shared" si="464"/>
        <v>0.61</v>
      </c>
      <c r="EW312" s="86">
        <f t="shared" si="465"/>
        <v>0.61</v>
      </c>
      <c r="EX312" s="30" t="e">
        <f t="shared" ca="1" si="496"/>
        <v>#DIV/0!</v>
      </c>
      <c r="EY312" s="85" t="e">
        <f ca="1">IF(EE312&lt;=Hypothèses!$V$7,Hypothèses!$W$7,IF(EE312&lt;=Hypothèses!$V$8,Hypothèses!$W$8,IF(EE312&lt;=Hypothèses!$V$9,Hypothèses!$W$9,IF(EE312&lt;=Hypothèses!$V$10,Hypothèses!$W$10,IF(EE312&lt;=Hypothèses!$V$11,Hypothèses!$W$11,IF(EE312&lt;=Hypothèses!$V$12,Hypothèses!$W$12,IF(EE312&lt;=Hypothèses!$V$13,Hypothèses!$W$13,IF(EE312&lt;=Hypothèses!$V$14,Hypothèses!$W$14,IF(EE312&lt;=Hypothèses!$V$15,Hypothèses!$W$15,IF(EE312&lt;=Hypothèses!$V$16,Hypothèses!$W$16,IF(EE312&lt;=Hypothèses!$V$17,Hypothèses!$W$17,IF(EE312&lt;=Hypothèses!$V$18,Hypothèses!$W$18,""))))))))))))</f>
        <v>#DIV/0!</v>
      </c>
      <c r="EZ312" s="87" t="e">
        <f t="shared" ca="1" si="523"/>
        <v>#DIV/0!</v>
      </c>
      <c r="FA312" s="88" t="e">
        <f ca="1">IF(EE312&lt;=Hypothèses!$V$7,Hypothèses!$X$7,IF(EE312&lt;=Hypothèses!$V$8,Hypothèses!$X$8,IF(EE312&lt;=Hypothèses!$V$9,Hypothèses!$X$9,IF(EE312&lt;=Hypothèses!$V$10,Hypothèses!$X$10,IF(EE312&lt;=Hypothèses!$V$11,Hypothèses!$X$11,IF(EE312&lt;=Hypothèses!$V$12,Hypothèses!$X$12,IF(EE312&lt;=Hypothèses!$V$13,Hypothèses!$X$13,IF(EE312&lt;=Hypothèses!$V$14,Hypothèses!$X$14,IF(EE312&lt;=Hypothèses!$V$15,Hypothèses!$X$15,IF(EE312&lt;=Hypothèses!$V$16,Hypothèses!$X$16,IF(EE312&lt;=Hypothèses!$U$17,Hypothèses!$W$17,IF(EE312&lt;=Hypothèses!$U$18,Hypothèses!$W$18,""))))))))))))</f>
        <v>#DIV/0!</v>
      </c>
      <c r="FB312" s="95" t="e">
        <f t="shared" ca="1" si="497"/>
        <v>#DIV/0!</v>
      </c>
      <c r="FC312" s="101" t="e">
        <f t="shared" si="530"/>
        <v>#N/A</v>
      </c>
      <c r="FD312" s="91" t="e">
        <f t="shared" si="466"/>
        <v>#N/A</v>
      </c>
      <c r="FE312" s="30" t="e">
        <f t="shared" si="514"/>
        <v>#N/A</v>
      </c>
      <c r="FF312" s="30" t="e">
        <f t="shared" si="515"/>
        <v>#N/A</v>
      </c>
      <c r="FG312" s="31" t="e">
        <f>IF(OR(Hypothèses!$B$4=17,Hypothèses!$B$4=18,Hypothèses!$B$4=19,Hypothèses!$B$4=20),
IF($D312="Pressio.",
IF(OR($E312=3,$E312=1,$E312=4),FF312,FE312),
IF($D312="Pénétro.",
IF(OR($E312=3,$E312=1,$E312=4),FF312,FE312))),IF($D312="Pressio.",
IF($E312=3,FF312,FE312),
IF($D312="Pénétro.",
IF($E312=4,FF312,FE312))))</f>
        <v>#N/A</v>
      </c>
      <c r="FH312" s="31" t="e">
        <f>(IF(OR(Hypothèses!$B$4=17,Hypothèses!$B$4=18,Hypothèses!$B$4=19,Hypothèses!$B$4=20),
IF($D312="Pressio.",
IF(OR($E312=3,$E312=1,$E312=4),(PI()*FH$12^2)/4*(FD312*$W312*1000)/($H312*$B$5),(PI()*FH$12^2)/4*(FD312*$W312*1000)/($G312*$B$5)),
IF($D312="Pénétro.",
IF(OR($E312=4,$E312=1,$E312=5),(PI()*FH$12^2)/4*(FD312*$W312*1000)/($H312*$B$5),(PI()*FH$12^2)/4*(FD312*$W312*1000)/($G312*$B$5)))),
IF($D312="Pressio.",
IF($E312=3,(PI()*FH$12^2)/4*(FD312*$W312*1000)/($H312*$B$5),(PI()*FH$12^2)/4*(FD312*$W312*1000)/($G312*$B$5)),
IF($D312="Pénétro.",
IF($E312=4,(PI()*FH$12^2)/4*(FD312*$W312*1000)/($H312*$B$5),(PI()*FH$12^2)/4*(FD312*$W312*1000)/($G312*$B$5))))))/10</f>
        <v>#N/A</v>
      </c>
      <c r="FI312" s="102" t="e">
        <f>(VLOOKUP($B$3,'Coeff EC7'!$T$39:$X$59,2,0)*FG312+VLOOKUP($B$3,'Coeff EC7'!$T$65:$X$85,2,0)*Model0.1C!FH312)/1.1</f>
        <v>#N/A</v>
      </c>
      <c r="FJ312" s="102" t="e">
        <f>(VLOOKUP($B$3,'Coeff EC7'!$T$39:$X$59,3,0)*FG312+VLOOKUP($B$3,'Coeff EC7'!$T$65:$X$85,3,0)*Model0.1C!FH312)/0.9</f>
        <v>#N/A</v>
      </c>
      <c r="FK312" s="102" t="e">
        <f t="shared" si="498"/>
        <v>#N/A</v>
      </c>
      <c r="FL312" s="102" t="e">
        <f t="shared" si="499"/>
        <v>#N/A</v>
      </c>
      <c r="FM312" s="414" t="e">
        <f>IF(FM311=0,0,IF(AND(FI312&gt;charge_ELS_quasi,FJ312&gt;Charge_ELS_freq,FK312&gt;charge_ELU,FL312&gt;charge_ELA,$B312&gt;NDC!$H$22-0.1+MIN(3*$FM$12,1.5)),0,1))</f>
        <v>#N/A</v>
      </c>
    </row>
    <row r="313" spans="1:169">
      <c r="A313" s="96">
        <f t="shared" si="467"/>
        <v>70.000000000001705</v>
      </c>
      <c r="B313" s="97">
        <v>30</v>
      </c>
      <c r="C313" s="81">
        <f>IF(B313&lt;=Hypothèses!$C$7,Hypothèses!$A$7,IF(B313&lt;=Hypothèses!$C$8,Hypothèses!$A$8,IF(B313&lt;=Hypothèses!$C$9,Hypothèses!$A$9,IF(B313&lt;=Hypothèses!$C$10,Hypothèses!$A$10,IF(B313&lt;=Hypothèses!$C$11,Hypothèses!$A$11,IF(B313&lt;=Hypothèses!$C$12,Hypothèses!$A$12,IF(B313&lt;=Hypothèses!$C$13,Hypothèses!$A$13,IF(B313&lt;=Hypothèses!$C$14,Hypothèses!$A$14,IF(B313&lt;=Hypothèses!$C$15,Hypothèses!$A$15,IF(B313&lt;=Hypothèses!$C$16,Hypothèses!$A$16,IF(B313&lt;=Hypothèses!$C$17,Hypothèses!$A$17,IF(B313&lt;=Hypothèses!$C$18,Hypothèses!$A$18,C312))))))))))))</f>
        <v>11</v>
      </c>
      <c r="D313" s="82" t="str">
        <f>IF(B313&lt;=Hypothèses!$C$7,Hypothèses!$R$7,IF(B313&lt;=Hypothèses!$C$8,Hypothèses!$R$8,IF(B313&lt;=Hypothèses!$C$9,Hypothèses!$R$9,IF(B313&lt;=Hypothèses!$C$10,Hypothèses!$R$10,IF(B313&lt;=Hypothèses!$C$11,Hypothèses!$R$11,IF(B313&lt;=Hypothèses!$C$12,Hypothèses!$R$12,IF(B313&lt;=Hypothèses!$C$13,Hypothèses!$R$13,IF(B313&lt;=Hypothèses!$C$14,Hypothèses!$R$14,IF(B313&lt;=Hypothèses!$C$15,Hypothèses!$R$15,IF(B313&lt;=Hypothèses!$C$16,Hypothèses!$R$16,IF(B313&lt;=Hypothèses!$C$17,Hypothèses!$R$17,IF(B313&lt;=Hypothèses!$C$18,Hypothèses!$R$18,D312))))))))))))</f>
        <v>Pressio.</v>
      </c>
      <c r="E313" s="82" t="e">
        <f>IF(B313&lt;=Hypothèses!$C$7,Hypothèses!$G$7,IF(B313&lt;=Hypothèses!$C$8,Hypothèses!$G$8,IF(B313&lt;=Hypothèses!$C$9,Hypothèses!$G$9,IF(B313&lt;=Hypothèses!$C$10,Hypothèses!$G$10,IF(B313&lt;=Hypothèses!$C$11,Hypothèses!$G$11,IF(B313&lt;=Hypothèses!$C$12,Hypothèses!$G$12,IF(B313&lt;=Hypothèses!$C$13,Hypothèses!$G$13,IF(B313&lt;=Hypothèses!$C$14,Hypothèses!$G$14,IF(B313&lt;=Hypothèses!$C$15,Hypothèses!$G$15,IF(B313&lt;=Hypothèses!$C$16,Hypothèses!$G$16,IF(B313&lt;=Hypothèses!$C$17,Hypothèses!$G$17,IF(B313&lt;=Hypothèses!$C$18,Hypothèses!$G$18,E312))))))))))))</f>
        <v>#N/A</v>
      </c>
      <c r="F313" s="82" t="str">
        <f>IF(B313&lt;=Hypothèses!$C$7,Hypothèses!$F$7,IF(B313&lt;=Hypothèses!$C$8,Hypothèses!$F$8,IF(B313&lt;=Hypothèses!$C$9,Hypothèses!$F$9,IF(B313&lt;=Hypothèses!$C$10,Hypothèses!$F$10,IF(B313&lt;=Hypothèses!$C$11,Hypothèses!$F$11,IF(B313&lt;=Hypothèses!$C$12,Hypothèses!$F$12,IF(B313&lt;=Hypothèses!$C$13,Hypothèses!$F$13,IF(B313&lt;=Hypothèses!$C$14,Hypothèses!$F$14,IF(B313&lt;=Hypothèses!$C$15,Hypothèses!$F$15,IF(B313&lt;=Hypothèses!$C$16,Hypothèses!$F$16,IF(B313&lt;=Hypothèses!$C$17,Hypothèses!$F$17,IF(B313&lt;=Hypothèses!$C$18,Hypothèses!$F$18,F312))))))))))))</f>
        <v/>
      </c>
      <c r="G313" s="91">
        <f t="array" ref="G313">INDEX('Coeff EC7'!$U$7:$X$27,
MATCH(Model0.1C!$B$3,'Coeff EC7'!$T$7:$T$27,0),
MATCH(Model0.1C!$D313&amp;Model0.1C!$B$4,
'Coeff EC7'!$U$6:$X$6&amp;
'Coeff EC7'!$U$5:$X$5,0))</f>
        <v>1.1499999999999999</v>
      </c>
      <c r="H313" s="91">
        <f t="array" ref="H313">INDEX('Coeff EC7'!$Y$7:$AB$27,
MATCH(Model0.1C!$B$3,'Coeff EC7'!$T$7:$T$27,0),
MATCH(Model0.1C!$D313&amp;Model0.1C!$B$4,
'Coeff EC7'!$Y$6:$AB$6&amp;
'Coeff EC7'!$Y$5:$AB$5,0))</f>
        <v>1.4</v>
      </c>
      <c r="I313" s="83" t="e">
        <f>IF(B313&lt;=Hypothèses!$C$7,Hypothèses!$P$7,IF(B313&lt;=Hypothèses!$C$8,Hypothèses!$P$8,IF(B313&lt;=Hypothèses!$C$9,Hypothèses!$P$9,IF(B313&lt;=Hypothèses!$C$10,Hypothèses!$P$10,IF(B313&lt;=Hypothèses!$C$11,Hypothèses!$P$11,IF(B313&lt;=Hypothèses!$C$12,Hypothèses!$P$12,IF(B313&lt;=Hypothèses!$C$13,Hypothèses!$P$13,IF(B313&lt;=Hypothèses!$C$14,Hypothèses!$P$14,IF(B313&lt;=Hypothèses!$C$15,Hypothèses!$P$15,IF(B313&lt;=Hypothèses!$C$16,Hypothèses!$P$16,IF(B313&lt;=Hypothèses!$C$17,Hypothèses!$P$17,IF(B313&lt;=Hypothèses!$C$18,Hypothèses!$P$18,I312))))))))))))</f>
        <v>#N/A</v>
      </c>
      <c r="J313" s="91" t="e">
        <f t="array" ref="J313">INDEX('Coeff EC7'!$D$33:$Q$33,1,MATCH(D313&amp;E313,'Coeff EC7'!$D$31:$Q$31&amp;'Coeff EC7'!$D$32:$Q$32,0))</f>
        <v>#N/A</v>
      </c>
      <c r="K313" s="91" t="e">
        <f t="array" ref="K313">INDEX('Coeff EC7'!$D$34:$Q$34,1,MATCH(D313&amp;E313,'Coeff EC7'!$D$31:$Q$31&amp;'Coeff EC7'!$D$32:$Q$32,0))</f>
        <v>#N/A</v>
      </c>
      <c r="L313" s="91" t="e">
        <f t="array" ref="L313">INDEX('Coeff EC7'!$D$35:$Q$35,1,MATCH(D313&amp;E313,'Coeff EC7'!$D$31:$Q$31&amp;'Coeff EC7'!$D$32:$Q$32,0))</f>
        <v>#N/A</v>
      </c>
      <c r="M313" s="98" t="e">
        <f t="shared" si="431"/>
        <v>#N/A</v>
      </c>
      <c r="N313" s="99" t="e">
        <f t="array" ref="N313">INDEX('Coeff EC7'!$D$7:$Q$27,MATCH($B$3,'Coeff EC7'!$C$7:$C$27,0),MATCH(D313&amp;E313,'Coeff EC7'!$D$5:$Q$5&amp;'Coeff EC7'!$D$6:$Q$6,0))</f>
        <v>#N/A</v>
      </c>
      <c r="O313" s="99" t="e">
        <f t="array" ref="O313">INDEX('Coeff EC7'!$D$41:$Q$61,MATCH($B$3,'Coeff EC7'!$C$41:$C$61,0),MATCH(D313&amp;E313,'Coeff EC7'!$D$39:$Q$39&amp;'Coeff EC7'!$D$40:$Q$40,0))</f>
        <v>#N/A</v>
      </c>
      <c r="P313" s="30" t="e">
        <f t="shared" si="468"/>
        <v>#N/A</v>
      </c>
      <c r="Q313" s="100" t="e">
        <f t="shared" si="433"/>
        <v>#N/A</v>
      </c>
      <c r="R313" s="86" t="b">
        <f t="shared" si="434"/>
        <v>0</v>
      </c>
      <c r="S313" s="86">
        <f t="shared" si="432"/>
        <v>0.5</v>
      </c>
      <c r="T313" s="86">
        <f t="shared" si="435"/>
        <v>0.5</v>
      </c>
      <c r="U313" s="30" t="e">
        <f t="shared" ca="1" si="469"/>
        <v>#DIV/0!</v>
      </c>
      <c r="V313" s="85" t="str">
        <f>IF(B313&lt;=Hypothèses!$V$7,Hypothèses!$W$7,IF(B313&lt;=Hypothèses!$V$8,Hypothèses!$W$8,IF(B313&lt;=Hypothèses!$V$9,Hypothèses!$W$9,IF(B313&lt;=Hypothèses!$V$10,Hypothèses!$W$10,IF(B313&lt;=Hypothèses!$V$11,Hypothèses!$W$11,IF(B313&lt;=Hypothèses!$V$12,Hypothèses!$W$12,IF(B313&lt;=Hypothèses!$V$13,Hypothèses!$W$13,IF(B313&lt;=Hypothèses!$V$14,Hypothèses!$W$14,IF(B313&lt;=Hypothèses!$V$15,Hypothèses!$W$15,IF(B313&lt;=Hypothèses!$V$16,Hypothèses!$W$16,IF(B313&lt;=Hypothèses!$V$17,Hypothèses!$W$17,IF(B313&lt;=Hypothèses!$V$18,Hypothèses!$W$18,""))))))))))))</f>
        <v/>
      </c>
      <c r="W313" s="87" t="e">
        <f t="shared" ca="1" si="516"/>
        <v>#DIV/0!</v>
      </c>
      <c r="X313" s="88" t="str">
        <f>IF(B313&lt;=Hypothèses!$V$7,Hypothèses!$X$7,IF(B313&lt;=Hypothèses!$V$8,Hypothèses!$X$8,IF(B313&lt;=Hypothèses!$V$9,Hypothèses!$X$9,IF(B313&lt;=Hypothèses!$V$10,Hypothèses!$X$10,IF(B313&lt;=Hypothèses!$V$11,Hypothèses!$X$11,IF(B313&lt;=Hypothèses!$V$12,Hypothèses!$X$12,IF(B313&lt;=Hypothèses!$V$13,Hypothèses!$X$13,IF(B313&lt;=Hypothèses!$V$14,Hypothèses!$X$14,IF(B313&lt;=Hypothèses!$V$15,Hypothèses!$X$15,IF(B313&lt;=Hypothèses!$V$16,Hypothèses!$X$16,IF(B313&lt;=Hypothèses!$U$17,Hypothèses!$W$17,IF(B313&lt;=Hypothèses!$U$18,Hypothèses!$W$18,""))))))))))))</f>
        <v/>
      </c>
      <c r="Y313" s="95" t="e">
        <f t="shared" ca="1" si="436"/>
        <v>#DIV/0!</v>
      </c>
      <c r="Z313" s="101" t="e">
        <f t="shared" si="437"/>
        <v>#N/A</v>
      </c>
      <c r="AA313" s="91" t="e">
        <f t="shared" si="438"/>
        <v>#N/A</v>
      </c>
      <c r="AB313" s="30" t="e">
        <f t="shared" si="500"/>
        <v>#N/A</v>
      </c>
      <c r="AC313" s="30" t="e">
        <f t="shared" si="501"/>
        <v>#N/A</v>
      </c>
      <c r="AD313" s="31" t="e">
        <f>IF(OR(Hypothèses!$B$4=17,Hypothèses!$B$4=18,Hypothèses!$B$4=19,Hypothèses!$B$4=20),
IF($D313="Pressio.",
IF(OR($E313=3,$E313=1,$E313=4),AC313,AB313),
IF($D313="Pénétro.",
IF(OR($E313=3,$E313=1,$E313=4),AC313,AB313))),IF($D313="Pressio.",
IF($E313=3,AC313,AB313),
IF($D313="Pénétro.",
IF($E313=4,AC313,AB313))))</f>
        <v>#N/A</v>
      </c>
      <c r="AE313" s="31" t="e">
        <f>(IF(OR(Hypothèses!$B$4=17,Hypothèses!$B$4=18,Hypothèses!$B$4=19,Hypothèses!$B$4=20),
IF($D313="Pressio.",
IF(OR($E313=3,$E313=1,$E313=4),(PI()*AE$12^2)/4*(AA313*$W313*1000)/($H313*$B$5),(PI()*AE$12^2)/4*(AA313*$W313*1000)/($G313*$B$5)),
IF($D313="Pénétro.",
IF(OR($E313=4,$E313=1,$E313=5),(PI()*AE$12^2)/4*(AA313*$W313*1000)/($H313*$B$5),(PI()*AE$12^2)/4*(AA313*$W313*1000)/($G313*$B$5)))),
IF($D313="Pressio.",
IF($E313=3,(PI()*AE$12^2)/4*(AA313*$W313*1000)/($H313*$B$5),(PI()*AE$12^2)/4*(AA313*$W313*1000)/($G313*$B$5)),
IF($D313="Pénétro.",
IF($E313=4,(PI()*AE$12^2)/4*(AA313*$W313*1000)/($H313*$B$5),(PI()*AE$12^2)/4*(AA313*$W313*1000)/($G313*$B$5))))))/10</f>
        <v>#N/A</v>
      </c>
      <c r="AF313" s="102" t="e">
        <f>(VLOOKUP($B$3,'Coeff EC7'!$T$39:$X$59,2,0)*AD313+VLOOKUP($B$3,'Coeff EC7'!$T$65:$X$85,2,0)*Model0.1C!AE313)/1.1</f>
        <v>#N/A</v>
      </c>
      <c r="AG313" s="102" t="e">
        <f>(VLOOKUP($B$3,'Coeff EC7'!$T$39:$X$59,3,0)*AD313+VLOOKUP($B$3,'Coeff EC7'!$T$65:$X$85,3,0)*Model0.1C!AE313)/0.9</f>
        <v>#N/A</v>
      </c>
      <c r="AH313" s="102" t="e">
        <f t="shared" si="439"/>
        <v>#N/A</v>
      </c>
      <c r="AI313" s="102" t="e">
        <f t="shared" si="440"/>
        <v>#N/A</v>
      </c>
      <c r="AJ313" s="414" t="e">
        <f>IF(AJ312=0,0,IF(AND(AF313&gt;charge_ELS_quasi,AG313&gt;Charge_ELS_freq,AH313&gt;charge_ELU,AI313&gt;charge_ELA,$B313&gt;NDC!$H$22-0.1+MIN(3*$AJ$12,1.5)),0,1))</f>
        <v>#N/A</v>
      </c>
      <c r="AK313" s="86" t="b">
        <f t="shared" si="441"/>
        <v>0</v>
      </c>
      <c r="AL313" s="86">
        <f t="shared" si="470"/>
        <v>0.5</v>
      </c>
      <c r="AM313" s="86">
        <f t="shared" si="442"/>
        <v>0.5</v>
      </c>
      <c r="AN313" s="30" t="e">
        <f t="shared" ca="1" si="471"/>
        <v>#DIV/0!</v>
      </c>
      <c r="AO313" s="85" t="e">
        <f ca="1">IF(U313&lt;=Hypothèses!$V$7,Hypothèses!$W$7,IF(U313&lt;=Hypothèses!$V$8,Hypothèses!$W$8,IF(U313&lt;=Hypothèses!$V$9,Hypothèses!$W$9,IF(U313&lt;=Hypothèses!$V$10,Hypothèses!$W$10,IF(U313&lt;=Hypothèses!$V$11,Hypothèses!$W$11,IF(U313&lt;=Hypothèses!$V$12,Hypothèses!$W$12,IF(U313&lt;=Hypothèses!$V$13,Hypothèses!$W$13,IF(U313&lt;=Hypothèses!$V$14,Hypothèses!$W$14,IF(U313&lt;=Hypothèses!$V$15,Hypothèses!$W$15,IF(U313&lt;=Hypothèses!$V$16,Hypothèses!$W$16,IF(U313&lt;=Hypothèses!$V$17,Hypothèses!$W$17,IF(U313&lt;=Hypothèses!$V$18,Hypothèses!$W$18,""))))))))))))</f>
        <v>#DIV/0!</v>
      </c>
      <c r="AP313" s="87" t="e">
        <f t="shared" ca="1" si="517"/>
        <v>#DIV/0!</v>
      </c>
      <c r="AQ313" s="88" t="e">
        <f ca="1">IF(U313&lt;=Hypothèses!$V$7,Hypothèses!$X$7,IF(U313&lt;=Hypothèses!$V$8,Hypothèses!$X$8,IF(U313&lt;=Hypothèses!$V$9,Hypothèses!$X$9,IF(U313&lt;=Hypothèses!$V$10,Hypothèses!$X$10,IF(U313&lt;=Hypothèses!$V$11,Hypothèses!$X$11,IF(U313&lt;=Hypothèses!$V$12,Hypothèses!$X$12,IF(U313&lt;=Hypothèses!$V$13,Hypothèses!$X$13,IF(U313&lt;=Hypothèses!$V$14,Hypothèses!$X$14,IF(U313&lt;=Hypothèses!$V$15,Hypothèses!$X$15,IF(U313&lt;=Hypothèses!$V$16,Hypothèses!$X$16,IF(U313&lt;=Hypothèses!$U$17,Hypothèses!$W$17,IF(U313&lt;=Hypothèses!$U$18,Hypothèses!$W$18,""))))))))))))</f>
        <v>#DIV/0!</v>
      </c>
      <c r="AR313" s="95" t="e">
        <f t="shared" ca="1" si="472"/>
        <v>#DIV/0!</v>
      </c>
      <c r="AS313" s="101" t="e">
        <f t="shared" si="524"/>
        <v>#N/A</v>
      </c>
      <c r="AT313" s="91" t="e">
        <f t="shared" si="443"/>
        <v>#N/A</v>
      </c>
      <c r="AU313" s="30" t="e">
        <f t="shared" si="502"/>
        <v>#N/A</v>
      </c>
      <c r="AV313" s="30" t="e">
        <f t="shared" si="503"/>
        <v>#N/A</v>
      </c>
      <c r="AW313" s="31" t="e">
        <f>IF(OR(Hypothèses!$B$4=17,Hypothèses!$B$4=18,Hypothèses!$B$4=19,Hypothèses!$B$4=20),
IF($D313="Pressio.",
IF(OR($E313=3,$E313=1,$E313=4),AV313,AU313),
IF($D313="Pénétro.",
IF(OR($E313=3,$E313=1,$E313=4),AV313,AU313))),IF($D313="Pressio.",
IF($E313=3,AV313,AU313),
IF($D313="Pénétro.",
IF($E313=4,AV313,AU313))))</f>
        <v>#N/A</v>
      </c>
      <c r="AX313" s="31" t="e">
        <f>(IF(OR(Hypothèses!$B$4=17,Hypothèses!$B$4=18,Hypothèses!$B$4=19,Hypothèses!$B$4=20),
IF($D313="Pressio.",
IF(OR($E313=3,$E313=1,$E313=4),(PI()*AX$12^2)/4*(AT313*$W313*1000)/($H313*$B$5),(PI()*AX$12^2)/4*(AT313*$W313*1000)/($G313*$B$5)),
IF($D313="Pénétro.",
IF(OR($E313=4,$E313=1,$E313=5),(PI()*AX$12^2)/4*(AT313*$W313*1000)/($H313*$B$5),(PI()*AX$12^2)/4*(AT313*$W313*1000)/($G313*$B$5)))),
IF($D313="Pressio.",
IF($E313=3,(PI()*AX$12^2)/4*(AT313*$W313*1000)/($H313*$B$5),(PI()*AX$12^2)/4*(AT313*$W313*1000)/($G313*$B$5)),
IF($D313="Pénétro.",
IF($E313=4,(PI()*AX$12^2)/4*(AT313*$W313*1000)/($H313*$B$5),(PI()*AX$12^2)/4*(AT313*$W313*1000)/($G313*$B$5))))))/10</f>
        <v>#N/A</v>
      </c>
      <c r="AY313" s="102" t="e">
        <f>(VLOOKUP($B$3,'Coeff EC7'!$T$39:$X$59,2,0)*AW313+VLOOKUP($B$3,'Coeff EC7'!$T$65:$X$85,2,0)*Model0.1C!AX313)/1.1</f>
        <v>#N/A</v>
      </c>
      <c r="AZ313" s="102" t="e">
        <f>(VLOOKUP($B$3,'Coeff EC7'!$T$39:$X$59,3,0)*AW313+VLOOKUP($B$3,'Coeff EC7'!$T$65:$X$85,3,0)*Model0.1C!AX313)/0.9</f>
        <v>#N/A</v>
      </c>
      <c r="BA313" s="102" t="e">
        <f t="shared" si="473"/>
        <v>#N/A</v>
      </c>
      <c r="BB313" s="102" t="e">
        <f t="shared" si="474"/>
        <v>#N/A</v>
      </c>
      <c r="BC313" s="414" t="e">
        <f>IF(BC312=0,0,IF(AND(AY313&gt;charge_ELS_quasi,AZ313&gt;Charge_ELS_freq,BA313&gt;charge_ELU,BB313&gt;charge_ELA,$B313&gt;NDC!$H$22-0.1+MIN(3*$BC$12,1.5)),0,1))</f>
        <v>#N/A</v>
      </c>
      <c r="BD313" s="86" t="b">
        <f t="shared" si="444"/>
        <v>0</v>
      </c>
      <c r="BE313" s="86">
        <f t="shared" si="475"/>
        <v>0.5</v>
      </c>
      <c r="BF313" s="86">
        <f t="shared" si="445"/>
        <v>0.5</v>
      </c>
      <c r="BG313" s="30" t="e">
        <f t="shared" ca="1" si="476"/>
        <v>#DIV/0!</v>
      </c>
      <c r="BH313" s="85" t="e">
        <f ca="1">IF(AN313&lt;=Hypothèses!$V$7,Hypothèses!$W$7,IF(AN313&lt;=Hypothèses!$V$8,Hypothèses!$W$8,IF(AN313&lt;=Hypothèses!$V$9,Hypothèses!$W$9,IF(AN313&lt;=Hypothèses!$V$10,Hypothèses!$W$10,IF(AN313&lt;=Hypothèses!$V$11,Hypothèses!$W$11,IF(AN313&lt;=Hypothèses!$V$12,Hypothèses!$W$12,IF(AN313&lt;=Hypothèses!$V$13,Hypothèses!$W$13,IF(AN313&lt;=Hypothèses!$V$14,Hypothèses!$W$14,IF(AN313&lt;=Hypothèses!$V$15,Hypothèses!$W$15,IF(AN313&lt;=Hypothèses!$V$16,Hypothèses!$W$16,IF(AN313&lt;=Hypothèses!$V$17,Hypothèses!$W$17,IF(AN313&lt;=Hypothèses!$V$18,Hypothèses!$W$18,""))))))))))))</f>
        <v>#DIV/0!</v>
      </c>
      <c r="BI313" s="87" t="e">
        <f t="shared" ca="1" si="518"/>
        <v>#DIV/0!</v>
      </c>
      <c r="BJ313" s="88" t="e">
        <f ca="1">IF(AN313&lt;=Hypothèses!$V$7,Hypothèses!$X$7,IF(AN313&lt;=Hypothèses!$V$8,Hypothèses!$X$8,IF(AN313&lt;=Hypothèses!$V$9,Hypothèses!$X$9,IF(AN313&lt;=Hypothèses!$V$10,Hypothèses!$X$10,IF(AN313&lt;=Hypothèses!$V$11,Hypothèses!$X$11,IF(AN313&lt;=Hypothèses!$V$12,Hypothèses!$X$12,IF(AN313&lt;=Hypothèses!$V$13,Hypothèses!$X$13,IF(AN313&lt;=Hypothèses!$V$14,Hypothèses!$X$14,IF(AN313&lt;=Hypothèses!$V$15,Hypothèses!$X$15,IF(AN313&lt;=Hypothèses!$V$16,Hypothèses!$X$16,IF(AN313&lt;=Hypothèses!$U$17,Hypothèses!$W$17,IF(AN313&lt;=Hypothèses!$U$18,Hypothèses!$W$18,""))))))))))))</f>
        <v>#DIV/0!</v>
      </c>
      <c r="BK313" s="95" t="e">
        <f t="shared" ca="1" si="477"/>
        <v>#DIV/0!</v>
      </c>
      <c r="BL313" s="101" t="e">
        <f t="shared" si="525"/>
        <v>#N/A</v>
      </c>
      <c r="BM313" s="91" t="e">
        <f t="shared" si="446"/>
        <v>#N/A</v>
      </c>
      <c r="BN313" s="30" t="e">
        <f t="shared" si="504"/>
        <v>#N/A</v>
      </c>
      <c r="BO313" s="30" t="e">
        <f t="shared" si="505"/>
        <v>#N/A</v>
      </c>
      <c r="BP313" s="31" t="e">
        <f>IF(OR(Hypothèses!$B$4=17,Hypothèses!$B$4=18,Hypothèses!$B$4=19,Hypothèses!$B$4=20),
IF($D313="Pressio.",
IF(OR($E313=3,$E313=1,$E313=4),BO313,BN313),
IF($D313="Pénétro.",
IF(OR($E313=3,$E313=1,$E313=4),BO313,BN313))),IF($D313="Pressio.",
IF($E313=3,BO313,BN313),
IF($D313="Pénétro.",
IF($E313=4,BO313,BN313))))</f>
        <v>#N/A</v>
      </c>
      <c r="BQ313" s="31" t="e">
        <f>(IF(OR(Hypothèses!$B$4=17,Hypothèses!$B$4=18,Hypothèses!$B$4=19,Hypothèses!$B$4=20),
IF($D313="Pressio.",
IF(OR($E313=3,$E313=1,$E313=4),(PI()*BQ$12^2)/4*(BM313*$W313*1000)/($H313*$B$5),(PI()*BQ$12^2)/4*(BM313*$W313*1000)/($G313*$B$5)),
IF($D313="Pénétro.",
IF(OR($E313=4,$E313=1,$E313=5),(PI()*BQ$12^2)/4*(BM313*$W313*1000)/($H313*$B$5),(PI()*BQ$12^2)/4*(BM313*$W313*1000)/($G313*$B$5)))),
IF($D313="Pressio.",
IF($E313=3,(PI()*BQ$12^2)/4*(BM313*$W313*1000)/($H313*$B$5),(PI()*BQ$12^2)/4*(BM313*$W313*1000)/($G313*$B$5)),
IF($D313="Pénétro.",
IF($E313=4,(PI()*BQ$12^2)/4*(BM313*$W313*1000)/($H313*$B$5),(PI()*BQ$12^2)/4*(BM313*$W313*1000)/($G313*$B$5))))))/10</f>
        <v>#N/A</v>
      </c>
      <c r="BR313" s="102" t="e">
        <f>(VLOOKUP($B$3,'Coeff EC7'!$T$39:$X$59,2,0)*BP313+VLOOKUP($B$3,'Coeff EC7'!$T$65:$X$85,2,0)*Model0.1C!BQ313)/1.1</f>
        <v>#N/A</v>
      </c>
      <c r="BS313" s="102" t="e">
        <f>(VLOOKUP($B$3,'Coeff EC7'!$T$39:$X$59,3,0)*BP313+VLOOKUP($B$3,'Coeff EC7'!$T$65:$X$85,3,0)*Model0.1C!BQ313)/0.9</f>
        <v>#N/A</v>
      </c>
      <c r="BT313" s="102" t="e">
        <f t="shared" si="478"/>
        <v>#N/A</v>
      </c>
      <c r="BU313" s="102" t="e">
        <f t="shared" si="479"/>
        <v>#N/A</v>
      </c>
      <c r="BV313" s="414" t="e">
        <f>IF(BV312=0,0,IF(AND(BR313&gt;charge_ELS_quasi,BS313&gt;Charge_ELS_freq,BT313&gt;charge_ELU,BU313&gt;charge_ELA,$B313&gt;NDC!$H$22-0.1+MIN(3*$BV$12,1.5)),0,1))</f>
        <v>#N/A</v>
      </c>
      <c r="BW313" s="86" t="b">
        <f t="shared" si="447"/>
        <v>0</v>
      </c>
      <c r="BX313" s="86">
        <f t="shared" si="448"/>
        <v>0.5</v>
      </c>
      <c r="BY313" s="86">
        <f t="shared" si="449"/>
        <v>0.5</v>
      </c>
      <c r="BZ313" s="30" t="e">
        <f t="shared" ca="1" si="480"/>
        <v>#DIV/0!</v>
      </c>
      <c r="CA313" s="85" t="e">
        <f ca="1">IF(BG313&lt;=Hypothèses!$V$7,Hypothèses!$W$7,IF(BG313&lt;=Hypothèses!$V$8,Hypothèses!$W$8,IF(BG313&lt;=Hypothèses!$V$9,Hypothèses!$W$9,IF(BG313&lt;=Hypothèses!$V$10,Hypothèses!$W$10,IF(BG313&lt;=Hypothèses!$V$11,Hypothèses!$W$11,IF(BG313&lt;=Hypothèses!$V$12,Hypothèses!$W$12,IF(BG313&lt;=Hypothèses!$V$13,Hypothèses!$W$13,IF(BG313&lt;=Hypothèses!$V$14,Hypothèses!$W$14,IF(BG313&lt;=Hypothèses!$V$15,Hypothèses!$W$15,IF(BG313&lt;=Hypothèses!$V$16,Hypothèses!$W$16,IF(BG313&lt;=Hypothèses!$V$17,Hypothèses!$W$17,IF(BG313&lt;=Hypothèses!$V$18,Hypothèses!$W$18,""))))))))))))</f>
        <v>#DIV/0!</v>
      </c>
      <c r="CB313" s="87" t="e">
        <f t="shared" ca="1" si="519"/>
        <v>#DIV/0!</v>
      </c>
      <c r="CC313" s="88" t="e">
        <f ca="1">IF(BG313&lt;=Hypothèses!$V$7,Hypothèses!$X$7,IF(BG313&lt;=Hypothèses!$V$8,Hypothèses!$X$8,IF(BG313&lt;=Hypothèses!$V$9,Hypothèses!$X$9,IF(BG313&lt;=Hypothèses!$V$10,Hypothèses!$X$10,IF(BG313&lt;=Hypothèses!$V$11,Hypothèses!$X$11,IF(BG313&lt;=Hypothèses!$V$12,Hypothèses!$X$12,IF(BG313&lt;=Hypothèses!$V$13,Hypothèses!$X$13,IF(BG313&lt;=Hypothèses!$V$14,Hypothèses!$X$14,IF(BG313&lt;=Hypothèses!$V$15,Hypothèses!$X$15,IF(BG313&lt;=Hypothèses!$V$16,Hypothèses!$X$16,IF(BG313&lt;=Hypothèses!$U$17,Hypothèses!$W$17,IF(BG313&lt;=Hypothèses!$U$18,Hypothèses!$W$18,""))))))))))))</f>
        <v>#DIV/0!</v>
      </c>
      <c r="CD313" s="95" t="e">
        <f t="shared" ca="1" si="481"/>
        <v>#DIV/0!</v>
      </c>
      <c r="CE313" s="101" t="e">
        <f t="shared" si="526"/>
        <v>#N/A</v>
      </c>
      <c r="CF313" s="91" t="e">
        <f t="shared" si="450"/>
        <v>#N/A</v>
      </c>
      <c r="CG313" s="30" t="e">
        <f t="shared" si="506"/>
        <v>#N/A</v>
      </c>
      <c r="CH313" s="30" t="e">
        <f t="shared" si="507"/>
        <v>#N/A</v>
      </c>
      <c r="CI313" s="31" t="e">
        <f>IF(OR(Hypothèses!$B$4=17,Hypothèses!$B$4=18,Hypothèses!$B$4=19,Hypothèses!$B$4=20),
IF($D313="Pressio.",
IF(OR($E313=3,$E313=1,$E313=4),CH313,CG313),
IF($D313="Pénétro.",
IF(OR($E313=3,$E313=1,$E313=4),CH313,CG313))),IF($D313="Pressio.",
IF($E313=3,CH313,CG313),
IF($D313="Pénétro.",
IF($E313=4,CH313,CG313))))</f>
        <v>#N/A</v>
      </c>
      <c r="CJ313" s="31" t="e">
        <f>(IF(OR(Hypothèses!$B$4=17,Hypothèses!$B$4=18,Hypothèses!$B$4=19,Hypothèses!$B$4=20),
IF($D313="Pressio.",
IF(OR($E313=3,$E313=1,$E313=4),(PI()*CJ$12^2)/4*(CF313*$W313*1000)/($H313*$B$5),(PI()*CJ$12^2)/4*(CF313*$W313*1000)/($G313*$B$5)),
IF($D313="Pénétro.",
IF(OR($E313=4,$E313=1,$E313=5),(PI()*CJ$12^2)/4*(CF313*$W313*1000)/($H313*$B$5),(PI()*CJ$12^2)/4*(CF313*$W313*1000)/($G313*$B$5)))),
IF($D313="Pressio.",
IF($E313=3,(PI()*CJ$12^2)/4*(CF313*$W313*1000)/($H313*$B$5),(PI()*CJ$12^2)/4*(CF313*$W313*1000)/($G313*$B$5)),
IF($D313="Pénétro.",
IF($E313=4,(PI()*CJ$12^2)/4*(CF313*$W313*1000)/($H313*$B$5),(PI()*CJ$12^2)/4*(CF313*$W313*1000)/($G313*$B$5))))))/10</f>
        <v>#N/A</v>
      </c>
      <c r="CK313" s="102" t="e">
        <f>(VLOOKUP($B$3,'Coeff EC7'!$T$39:$X$59,2,0)*CI313+VLOOKUP($B$3,'Coeff EC7'!$T$65:$X$85,2,0)*Model0.1C!CJ313)/1.1</f>
        <v>#N/A</v>
      </c>
      <c r="CL313" s="102" t="e">
        <f>(VLOOKUP($B$3,'Coeff EC7'!$T$39:$X$59,3,0)*CI313+VLOOKUP($B$3,'Coeff EC7'!$T$65:$X$85,3,0)*Model0.1C!CJ313)/0.9</f>
        <v>#N/A</v>
      </c>
      <c r="CM313" s="102" t="e">
        <f t="shared" si="482"/>
        <v>#N/A</v>
      </c>
      <c r="CN313" s="102" t="e">
        <f t="shared" si="483"/>
        <v>#N/A</v>
      </c>
      <c r="CO313" s="414" t="e">
        <f>IF(CO312=0,0,IF(AND(CK313&gt;charge_ELS_quasi,CL313&gt;Charge_ELS_freq,CM313&gt;charge_ELU,CN313&gt;charge_ELA,$B313&gt;NDC!$H$22-0.1+MIN(3*$CO$12,1.5)),0,1))</f>
        <v>#N/A</v>
      </c>
      <c r="CP313" s="86" t="b">
        <f t="shared" si="451"/>
        <v>0</v>
      </c>
      <c r="CQ313" s="86">
        <f t="shared" si="452"/>
        <v>0.5</v>
      </c>
      <c r="CR313" s="86">
        <f t="shared" si="453"/>
        <v>0.5</v>
      </c>
      <c r="CS313" s="30" t="e">
        <f t="shared" ca="1" si="484"/>
        <v>#DIV/0!</v>
      </c>
      <c r="CT313" s="85" t="e">
        <f ca="1">IF(BZ313&lt;=Hypothèses!$V$7,Hypothèses!$W$7,IF(BZ313&lt;=Hypothèses!$V$8,Hypothèses!$W$8,IF(BZ313&lt;=Hypothèses!$V$9,Hypothèses!$W$9,IF(BZ313&lt;=Hypothèses!$V$10,Hypothèses!$W$10,IF(BZ313&lt;=Hypothèses!$V$11,Hypothèses!$W$11,IF(BZ313&lt;=Hypothèses!$V$12,Hypothèses!$W$12,IF(BZ313&lt;=Hypothèses!$V$13,Hypothèses!$W$13,IF(BZ313&lt;=Hypothèses!$V$14,Hypothèses!$W$14,IF(BZ313&lt;=Hypothèses!$V$15,Hypothèses!$W$15,IF(BZ313&lt;=Hypothèses!$V$16,Hypothèses!$W$16,IF(BZ313&lt;=Hypothèses!$V$17,Hypothèses!$W$17,IF(BZ313&lt;=Hypothèses!$V$18,Hypothèses!$W$18,""))))))))))))</f>
        <v>#DIV/0!</v>
      </c>
      <c r="CU313" s="87" t="e">
        <f t="shared" ca="1" si="520"/>
        <v>#DIV/0!</v>
      </c>
      <c r="CV313" s="88" t="e">
        <f ca="1">IF(BZ313&lt;=Hypothèses!$V$7,Hypothèses!$X$7,IF(BZ313&lt;=Hypothèses!$V$8,Hypothèses!$X$8,IF(BZ313&lt;=Hypothèses!$V$9,Hypothèses!$X$9,IF(BZ313&lt;=Hypothèses!$V$10,Hypothèses!$X$10,IF(BZ313&lt;=Hypothèses!$V$11,Hypothèses!$X$11,IF(BZ313&lt;=Hypothèses!$V$12,Hypothèses!$X$12,IF(BZ313&lt;=Hypothèses!$V$13,Hypothèses!$X$13,IF(BZ313&lt;=Hypothèses!$V$14,Hypothèses!$X$14,IF(BZ313&lt;=Hypothèses!$V$15,Hypothèses!$X$15,IF(BZ313&lt;=Hypothèses!$V$16,Hypothèses!$X$16,IF(BZ313&lt;=Hypothèses!$U$17,Hypothèses!$W$17,IF(BZ313&lt;=Hypothèses!$U$18,Hypothèses!$W$18,""))))))))))))</f>
        <v>#DIV/0!</v>
      </c>
      <c r="CW313" s="95" t="e">
        <f t="shared" ca="1" si="485"/>
        <v>#DIV/0!</v>
      </c>
      <c r="CX313" s="101" t="e">
        <f t="shared" si="527"/>
        <v>#N/A</v>
      </c>
      <c r="CY313" s="91" t="e">
        <f t="shared" si="454"/>
        <v>#N/A</v>
      </c>
      <c r="CZ313" s="30" t="e">
        <f t="shared" si="508"/>
        <v>#N/A</v>
      </c>
      <c r="DA313" s="30" t="e">
        <f t="shared" si="509"/>
        <v>#N/A</v>
      </c>
      <c r="DB313" s="31" t="e">
        <f>IF(OR(Hypothèses!$B$4=17,Hypothèses!$B$4=18,Hypothèses!$B$4=19,Hypothèses!$B$4=20),
IF($D313="Pressio.",
IF(OR($E313=3,$E313=1,$E313=4),DA313,CZ313),
IF($D313="Pénétro.",
IF(OR($E313=3,$E313=1,$E313=4),DA313,CZ313))),IF($D313="Pressio.",
IF($E313=3,DA313,CZ313),
IF($D313="Pénétro.",
IF($E313=4,DA313,CZ313))))</f>
        <v>#N/A</v>
      </c>
      <c r="DC313" s="31" t="e">
        <f>(IF(OR(Hypothèses!$B$4=17,Hypothèses!$B$4=18,Hypothèses!$B$4=19,Hypothèses!$B$4=20),
IF($D313="Pressio.",
IF(OR($E313=3,$E313=1,$E313=4),(PI()*DC$12^2)/4*(CY313*$W313*1000)/($H313*$B$5),(PI()*DC$12^2)/4*(CY313*$W313*1000)/($G313*$B$5)),
IF($D313="Pénétro.",
IF(OR($E313=4,$E313=1,$E313=5),(PI()*DC$12^2)/4*(CY313*$W313*1000)/($H313*$B$5),(PI()*DC$12^2)/4*(CY313*$W313*1000)/($G313*$B$5)))),
IF($D313="Pressio.",
IF($E313=3,(PI()*DC$12^2)/4*(CY313*$W313*1000)/($H313*$B$5),(PI()*DC$12^2)/4*(CY313*$W313*1000)/($G313*$B$5)),
IF($D313="Pénétro.",
IF($E313=4,(PI()*DC$12^2)/4*(CY313*$W313*1000)/($H313*$B$5),(PI()*DC$12^2)/4*(CY313*$W313*1000)/($G313*$B$5))))))/10</f>
        <v>#N/A</v>
      </c>
      <c r="DD313" s="102" t="e">
        <f>(VLOOKUP($B$3,'Coeff EC7'!$T$39:$X$59,2,0)*DB313+VLOOKUP($B$3,'Coeff EC7'!$T$65:$X$85,2,0)*Model0.1C!DC313)/1.1</f>
        <v>#N/A</v>
      </c>
      <c r="DE313" s="102" t="e">
        <f>(VLOOKUP($B$3,'Coeff EC7'!$T$39:$X$59,3,0)*DB313+VLOOKUP($B$3,'Coeff EC7'!$T$65:$X$85,3,0)*Model0.1C!DC313)/0.9</f>
        <v>#N/A</v>
      </c>
      <c r="DF313" s="102" t="e">
        <f t="shared" si="486"/>
        <v>#N/A</v>
      </c>
      <c r="DG313" s="102" t="e">
        <f t="shared" si="487"/>
        <v>#N/A</v>
      </c>
      <c r="DH313" s="414" t="e">
        <f>IF(DH312=0,0,IF(AND(DD313&gt;charge_ELS_quasi,DE313&gt;Charge_ELS_freq,DF313&gt;charge_ELU,DG313&gt;charge_ELA,$B313&gt;NDC!$H$22-0.1+MIN(3*$DH$12,1.5)),0,1))</f>
        <v>#N/A</v>
      </c>
      <c r="DI313" s="86" t="b">
        <f t="shared" si="455"/>
        <v>0</v>
      </c>
      <c r="DJ313" s="86">
        <f t="shared" si="456"/>
        <v>0.5</v>
      </c>
      <c r="DK313" s="86">
        <f t="shared" si="457"/>
        <v>0.5</v>
      </c>
      <c r="DL313" s="30" t="e">
        <f t="shared" ca="1" si="488"/>
        <v>#DIV/0!</v>
      </c>
      <c r="DM313" s="85" t="e">
        <f ca="1">IF(CS313&lt;=Hypothèses!$V$7,Hypothèses!$W$7,IF(CS313&lt;=Hypothèses!$V$8,Hypothèses!$W$8,IF(CS313&lt;=Hypothèses!$V$9,Hypothèses!$W$9,IF(CS313&lt;=Hypothèses!$V$10,Hypothèses!$W$10,IF(CS313&lt;=Hypothèses!$V$11,Hypothèses!$W$11,IF(CS313&lt;=Hypothèses!$V$12,Hypothèses!$W$12,IF(CS313&lt;=Hypothèses!$V$13,Hypothèses!$W$13,IF(CS313&lt;=Hypothèses!$V$14,Hypothèses!$W$14,IF(CS313&lt;=Hypothèses!$V$15,Hypothèses!$W$15,IF(CS313&lt;=Hypothèses!$V$16,Hypothèses!$W$16,IF(CS313&lt;=Hypothèses!$V$17,Hypothèses!$W$17,IF(CS313&lt;=Hypothèses!$V$18,Hypothèses!$W$18,""))))))))))))</f>
        <v>#DIV/0!</v>
      </c>
      <c r="DN313" s="87" t="e">
        <f t="shared" ca="1" si="521"/>
        <v>#DIV/0!</v>
      </c>
      <c r="DO313" s="88" t="e">
        <f ca="1">IF(CS313&lt;=Hypothèses!$V$7,Hypothèses!$X$7,IF(CS313&lt;=Hypothèses!$V$8,Hypothèses!$X$8,IF(CS313&lt;=Hypothèses!$V$9,Hypothèses!$X$9,IF(CS313&lt;=Hypothèses!$V$10,Hypothèses!$X$10,IF(CS313&lt;=Hypothèses!$V$11,Hypothèses!$X$11,IF(CS313&lt;=Hypothèses!$V$12,Hypothèses!$X$12,IF(CS313&lt;=Hypothèses!$V$13,Hypothèses!$X$13,IF(CS313&lt;=Hypothèses!$V$14,Hypothèses!$X$14,IF(CS313&lt;=Hypothèses!$V$15,Hypothèses!$X$15,IF(CS313&lt;=Hypothèses!$V$16,Hypothèses!$X$16,IF(CS313&lt;=Hypothèses!$U$17,Hypothèses!$W$17,IF(CS313&lt;=Hypothèses!$U$18,Hypothèses!$W$18,""))))))))))))</f>
        <v>#DIV/0!</v>
      </c>
      <c r="DP313" s="95" t="e">
        <f t="shared" ca="1" si="489"/>
        <v>#DIV/0!</v>
      </c>
      <c r="DQ313" s="101" t="e">
        <f t="shared" si="528"/>
        <v>#N/A</v>
      </c>
      <c r="DR313" s="91" t="e">
        <f t="shared" si="458"/>
        <v>#N/A</v>
      </c>
      <c r="DS313" s="30" t="e">
        <f t="shared" si="510"/>
        <v>#N/A</v>
      </c>
      <c r="DT313" s="30" t="e">
        <f t="shared" si="511"/>
        <v>#N/A</v>
      </c>
      <c r="DU313" s="31" t="e">
        <f>IF(OR(Hypothèses!$B$4=17,Hypothèses!$B$4=18,Hypothèses!$B$4=19,Hypothèses!$B$4=20),
IF($D313="Pressio.",
IF(OR($E313=3,$E313=1,$E313=4),DT313,DS313),
IF($D313="Pénétro.",
IF(OR($E313=3,$E313=1,$E313=4),DT313,DS313))),IF($D313="Pressio.",
IF($E313=3,DT313,DS313),
IF($D313="Pénétro.",
IF($E313=4,DT313,DS313))))</f>
        <v>#N/A</v>
      </c>
      <c r="DV313" s="31" t="e">
        <f>(IF(OR(Hypothèses!$B$4=17,Hypothèses!$B$4=18,Hypothèses!$B$4=19,Hypothèses!$B$4=20),
IF($D313="Pressio.",
IF(OR($E313=3,$E313=1,$E313=4),(PI()*DV$12^2)/4*(DR313*$W313*1000)/($H313*$B$5),(PI()*DV$12^2)/4*(DR313*$W313*1000)/($G313*$B$5)),
IF($D313="Pénétro.",
IF(OR($E313=4,$E313=1,$E313=5),(PI()*DV$12^2)/4*(DR313*$W313*1000)/($H313*$B$5),(PI()*DV$12^2)/4*(DR313*$W313*1000)/($G313*$B$5)))),
IF($D313="Pressio.",
IF($E313=3,(PI()*DV$12^2)/4*(DR313*$W313*1000)/($H313*$B$5),(PI()*DV$12^2)/4*(DR313*$W313*1000)/($G313*$B$5)),
IF($D313="Pénétro.",
IF($E313=4,(PI()*DV$12^2)/4*(DR313*$W313*1000)/($H313*$B$5),(PI()*DV$12^2)/4*(DR313*$W313*1000)/($G313*$B$5))))))/10</f>
        <v>#N/A</v>
      </c>
      <c r="DW313" s="102" t="e">
        <f>(VLOOKUP($B$3,'Coeff EC7'!$T$39:$X$59,2,0)*DU313+VLOOKUP($B$3,'Coeff EC7'!$T$65:$X$85,2,0)*Model0.1C!DV313)/1.1</f>
        <v>#N/A</v>
      </c>
      <c r="DX313" s="102" t="e">
        <f>(VLOOKUP($B$3,'Coeff EC7'!$T$39:$X$59,3,0)*DU313+VLOOKUP($B$3,'Coeff EC7'!$T$65:$X$85,3,0)*Model0.1C!DV313)/0.9</f>
        <v>#N/A</v>
      </c>
      <c r="DY313" s="102" t="e">
        <f t="shared" si="490"/>
        <v>#N/A</v>
      </c>
      <c r="DZ313" s="102" t="e">
        <f t="shared" si="491"/>
        <v>#N/A</v>
      </c>
      <c r="EA313" s="414" t="e">
        <f>IF(EA312=0,0,IF(AND(DW313&gt;charge_ELS_quasi,DX313&gt;Charge_ELS_freq,DY313&gt;charge_ELU,DZ313&gt;charge_ELA,$B313&gt;NDC!$H$22-0.1+MIN(3*$EA$12,1.5)),0,1))</f>
        <v>#N/A</v>
      </c>
      <c r="EB313" s="86" t="b">
        <f t="shared" si="459"/>
        <v>0</v>
      </c>
      <c r="EC313" s="418">
        <f t="shared" si="460"/>
        <v>0.51</v>
      </c>
      <c r="ED313" s="86">
        <f t="shared" si="461"/>
        <v>0.51</v>
      </c>
      <c r="EE313" s="30" t="e">
        <f t="shared" ca="1" si="492"/>
        <v>#DIV/0!</v>
      </c>
      <c r="EF313" s="85" t="e">
        <f ca="1">IF(DL313&lt;=Hypothèses!$V$7,Hypothèses!$W$7,IF(DL313&lt;=Hypothèses!$V$8,Hypothèses!$W$8,IF(DL313&lt;=Hypothèses!$V$9,Hypothèses!$W$9,IF(DL313&lt;=Hypothèses!$V$10,Hypothèses!$W$10,IF(DL313&lt;=Hypothèses!$V$11,Hypothèses!$W$11,IF(DL313&lt;=Hypothèses!$V$12,Hypothèses!$W$12,IF(DL313&lt;=Hypothèses!$V$13,Hypothèses!$W$13,IF(DL313&lt;=Hypothèses!$V$14,Hypothèses!$W$14,IF(DL313&lt;=Hypothèses!$V$15,Hypothèses!$W$15,IF(DL313&lt;=Hypothèses!$V$16,Hypothèses!$W$16,IF(DL313&lt;=Hypothèses!$V$17,Hypothèses!$W$17,IF(DL313&lt;=Hypothèses!$V$18,Hypothèses!$W$18,""))))))))))))</f>
        <v>#DIV/0!</v>
      </c>
      <c r="EG313" s="87" t="e">
        <f t="shared" ca="1" si="522"/>
        <v>#DIV/0!</v>
      </c>
      <c r="EH313" s="88" t="e">
        <f ca="1">IF(DL313&lt;=Hypothèses!$V$7,Hypothèses!$X$7,IF(DL313&lt;=Hypothèses!$V$8,Hypothèses!$X$8,IF(DL313&lt;=Hypothèses!$V$9,Hypothèses!$X$9,IF(DL313&lt;=Hypothèses!$V$10,Hypothèses!$X$10,IF(DL313&lt;=Hypothèses!$V$11,Hypothèses!$X$11,IF(DL313&lt;=Hypothèses!$V$12,Hypothèses!$X$12,IF(DL313&lt;=Hypothèses!$V$13,Hypothèses!$X$13,IF(DL313&lt;=Hypothèses!$V$14,Hypothèses!$X$14,IF(DL313&lt;=Hypothèses!$V$15,Hypothèses!$X$15,IF(DL313&lt;=Hypothèses!$V$16,Hypothèses!$X$16,IF(DL313&lt;=Hypothèses!$U$17,Hypothèses!$W$17,IF(DL313&lt;=Hypothèses!$U$18,Hypothèses!$W$18,""))))))))))))</f>
        <v>#DIV/0!</v>
      </c>
      <c r="EI313" s="95" t="e">
        <f t="shared" ca="1" si="493"/>
        <v>#DIV/0!</v>
      </c>
      <c r="EJ313" s="101" t="e">
        <f t="shared" si="529"/>
        <v>#N/A</v>
      </c>
      <c r="EK313" s="91" t="e">
        <f t="shared" si="462"/>
        <v>#N/A</v>
      </c>
      <c r="EL313" s="30" t="e">
        <f t="shared" si="512"/>
        <v>#N/A</v>
      </c>
      <c r="EM313" s="30" t="e">
        <f t="shared" si="513"/>
        <v>#N/A</v>
      </c>
      <c r="EN313" s="31" t="e">
        <f>IF(OR(Hypothèses!$B$4=17,Hypothèses!$B$4=18,Hypothèses!$B$4=19,Hypothèses!$B$4=20),
IF($D313="Pressio.",
IF(OR($E313=3,$E313=1,$E313=4),EM313,EL313),
IF($D313="Pénétro.",
IF(OR($E313=3,$E313=1,$E313=4),EM313,EL313))),IF($D313="Pressio.",
IF($E313=3,EM313,EL313),
IF($D313="Pénétro.",
IF($E313=4,EM313,EL313))))</f>
        <v>#N/A</v>
      </c>
      <c r="EO313" s="31" t="e">
        <f>(IF(OR(Hypothèses!$B$4=17,Hypothèses!$B$4=18,Hypothèses!$B$4=19,Hypothèses!$B$4=20),
IF($D313="Pressio.",
IF(OR($E313=3,$E313=1,$E313=4),(PI()*EO$12^2)/4*(EK313*$W313*1000)/($H313*$B$5),(PI()*EO$12^2)/4*(EK313*$W313*1000)/($G313*$B$5)),
IF($D313="Pénétro.",
IF(OR($E313=4,$E313=1,$E313=5),(PI()*EO$12^2)/4*(EK313*$W313*1000)/($H313*$B$5),(PI()*EO$12^2)/4*(EK313*$W313*1000)/($G313*$B$5)))),
IF($D313="Pressio.",
IF($E313=3,(PI()*EO$12^2)/4*(EK313*$W313*1000)/($H313*$B$5),(PI()*EO$12^2)/4*(EK313*$W313*1000)/($G313*$B$5)),
IF($D313="Pénétro.",
IF($E313=4,(PI()*EO$12^2)/4*(EK313*$W313*1000)/($H313*$B$5),(PI()*EO$12^2)/4*(EK313*$W313*1000)/($G313*$B$5))))))/10</f>
        <v>#N/A</v>
      </c>
      <c r="EP313" s="102" t="e">
        <f>(VLOOKUP($B$3,'Coeff EC7'!$T$39:$X$59,2,0)*EN313+VLOOKUP($B$3,'Coeff EC7'!$T$65:$X$85,2,0)*Model0.1C!EO313)/1.1</f>
        <v>#N/A</v>
      </c>
      <c r="EQ313" s="102" t="e">
        <f>(VLOOKUP($B$3,'Coeff EC7'!$T$39:$X$59,3,0)*EN313+VLOOKUP($B$3,'Coeff EC7'!$T$65:$X$85,3,0)*Model0.1C!EO313)/0.9</f>
        <v>#N/A</v>
      </c>
      <c r="ER313" s="102" t="e">
        <f t="shared" si="494"/>
        <v>#N/A</v>
      </c>
      <c r="ES313" s="102" t="e">
        <f t="shared" si="495"/>
        <v>#N/A</v>
      </c>
      <c r="ET313" s="414" t="e">
        <f>IF(ET312=0,0,IF(AND(EP313&gt;charge_ELS_quasi,EQ313&gt;Charge_ELS_freq,ER313&gt;charge_ELU,ES313&gt;charge_ELA,$B313&gt;NDC!$H$22-0.1+MIN(3*$ET$12,1.5)),0,1))</f>
        <v>#N/A</v>
      </c>
      <c r="EU313" s="86" t="b">
        <f t="shared" si="463"/>
        <v>0</v>
      </c>
      <c r="EV313" s="86">
        <f t="shared" si="464"/>
        <v>0.61</v>
      </c>
      <c r="EW313" s="86">
        <f t="shared" si="465"/>
        <v>0.61</v>
      </c>
      <c r="EX313" s="30" t="e">
        <f t="shared" ca="1" si="496"/>
        <v>#DIV/0!</v>
      </c>
      <c r="EY313" s="85" t="e">
        <f ca="1">IF(EE313&lt;=Hypothèses!$V$7,Hypothèses!$W$7,IF(EE313&lt;=Hypothèses!$V$8,Hypothèses!$W$8,IF(EE313&lt;=Hypothèses!$V$9,Hypothèses!$W$9,IF(EE313&lt;=Hypothèses!$V$10,Hypothèses!$W$10,IF(EE313&lt;=Hypothèses!$V$11,Hypothèses!$W$11,IF(EE313&lt;=Hypothèses!$V$12,Hypothèses!$W$12,IF(EE313&lt;=Hypothèses!$V$13,Hypothèses!$W$13,IF(EE313&lt;=Hypothèses!$V$14,Hypothèses!$W$14,IF(EE313&lt;=Hypothèses!$V$15,Hypothèses!$W$15,IF(EE313&lt;=Hypothèses!$V$16,Hypothèses!$W$16,IF(EE313&lt;=Hypothèses!$V$17,Hypothèses!$W$17,IF(EE313&lt;=Hypothèses!$V$18,Hypothèses!$W$18,""))))))))))))</f>
        <v>#DIV/0!</v>
      </c>
      <c r="EZ313" s="87" t="e">
        <f t="shared" ca="1" si="523"/>
        <v>#DIV/0!</v>
      </c>
      <c r="FA313" s="88" t="e">
        <f ca="1">IF(EE313&lt;=Hypothèses!$V$7,Hypothèses!$X$7,IF(EE313&lt;=Hypothèses!$V$8,Hypothèses!$X$8,IF(EE313&lt;=Hypothèses!$V$9,Hypothèses!$X$9,IF(EE313&lt;=Hypothèses!$V$10,Hypothèses!$X$10,IF(EE313&lt;=Hypothèses!$V$11,Hypothèses!$X$11,IF(EE313&lt;=Hypothèses!$V$12,Hypothèses!$X$12,IF(EE313&lt;=Hypothèses!$V$13,Hypothèses!$X$13,IF(EE313&lt;=Hypothèses!$V$14,Hypothèses!$X$14,IF(EE313&lt;=Hypothèses!$V$15,Hypothèses!$X$15,IF(EE313&lt;=Hypothèses!$V$16,Hypothèses!$X$16,IF(EE313&lt;=Hypothèses!$U$17,Hypothèses!$W$17,IF(EE313&lt;=Hypothèses!$U$18,Hypothèses!$W$18,""))))))))))))</f>
        <v>#DIV/0!</v>
      </c>
      <c r="FB313" s="95" t="e">
        <f t="shared" ca="1" si="497"/>
        <v>#DIV/0!</v>
      </c>
      <c r="FC313" s="101" t="e">
        <f t="shared" si="530"/>
        <v>#N/A</v>
      </c>
      <c r="FD313" s="91" t="e">
        <f t="shared" si="466"/>
        <v>#N/A</v>
      </c>
      <c r="FE313" s="30" t="e">
        <f t="shared" si="514"/>
        <v>#N/A</v>
      </c>
      <c r="FF313" s="30" t="e">
        <f t="shared" si="515"/>
        <v>#N/A</v>
      </c>
      <c r="FG313" s="31" t="e">
        <f>IF(OR(Hypothèses!$B$4=17,Hypothèses!$B$4=18,Hypothèses!$B$4=19,Hypothèses!$B$4=20),
IF($D313="Pressio.",
IF(OR($E313=3,$E313=1,$E313=4),FF313,FE313),
IF($D313="Pénétro.",
IF(OR($E313=3,$E313=1,$E313=4),FF313,FE313))),IF($D313="Pressio.",
IF($E313=3,FF313,FE313),
IF($D313="Pénétro.",
IF($E313=4,FF313,FE313))))</f>
        <v>#N/A</v>
      </c>
      <c r="FH313" s="31" t="e">
        <f>(IF(OR(Hypothèses!$B$4=17,Hypothèses!$B$4=18,Hypothèses!$B$4=19,Hypothèses!$B$4=20),
IF($D313="Pressio.",
IF(OR($E313=3,$E313=1,$E313=4),(PI()*FH$12^2)/4*(FD313*$W313*1000)/($H313*$B$5),(PI()*FH$12^2)/4*(FD313*$W313*1000)/($G313*$B$5)),
IF($D313="Pénétro.",
IF(OR($E313=4,$E313=1,$E313=5),(PI()*FH$12^2)/4*(FD313*$W313*1000)/($H313*$B$5),(PI()*FH$12^2)/4*(FD313*$W313*1000)/($G313*$B$5)))),
IF($D313="Pressio.",
IF($E313=3,(PI()*FH$12^2)/4*(FD313*$W313*1000)/($H313*$B$5),(PI()*FH$12^2)/4*(FD313*$W313*1000)/($G313*$B$5)),
IF($D313="Pénétro.",
IF($E313=4,(PI()*FH$12^2)/4*(FD313*$W313*1000)/($H313*$B$5),(PI()*FH$12^2)/4*(FD313*$W313*1000)/($G313*$B$5))))))/10</f>
        <v>#N/A</v>
      </c>
      <c r="FI313" s="102" t="e">
        <f>(VLOOKUP($B$3,'Coeff EC7'!$T$39:$X$59,2,0)*FG313+VLOOKUP($B$3,'Coeff EC7'!$T$65:$X$85,2,0)*Model0.1C!FH313)/1.1</f>
        <v>#N/A</v>
      </c>
      <c r="FJ313" s="102" t="e">
        <f>(VLOOKUP($B$3,'Coeff EC7'!$T$39:$X$59,3,0)*FG313+VLOOKUP($B$3,'Coeff EC7'!$T$65:$X$85,3,0)*Model0.1C!FH313)/0.9</f>
        <v>#N/A</v>
      </c>
      <c r="FK313" s="102" t="e">
        <f t="shared" si="498"/>
        <v>#N/A</v>
      </c>
      <c r="FL313" s="102" t="e">
        <f t="shared" si="499"/>
        <v>#N/A</v>
      </c>
      <c r="FM313" s="414" t="e">
        <f>IF(FM312=0,0,IF(AND(FI313&gt;charge_ELS_quasi,FJ313&gt;Charge_ELS_freq,FK313&gt;charge_ELU,FL313&gt;charge_ELA,$B313&gt;NDC!$H$22-0.1+MIN(3*$FM$12,1.5)),0,1))</f>
        <v>#N/A</v>
      </c>
    </row>
    <row r="314" spans="1:169">
      <c r="A314" s="96">
        <f t="shared" si="467"/>
        <v>69.900000000001711</v>
      </c>
      <c r="B314" s="97">
        <v>30.1</v>
      </c>
      <c r="C314" s="81">
        <f>IF(B314&lt;=Hypothèses!$C$7,Hypothèses!$A$7,IF(B314&lt;=Hypothèses!$C$8,Hypothèses!$A$8,IF(B314&lt;=Hypothèses!$C$9,Hypothèses!$A$9,IF(B314&lt;=Hypothèses!$C$10,Hypothèses!$A$10,IF(B314&lt;=Hypothèses!$C$11,Hypothèses!$A$11,IF(B314&lt;=Hypothèses!$C$12,Hypothèses!$A$12,IF(B314&lt;=Hypothèses!$C$13,Hypothèses!$A$13,IF(B314&lt;=Hypothèses!$C$14,Hypothèses!$A$14,IF(B314&lt;=Hypothèses!$C$15,Hypothèses!$A$15,IF(B314&lt;=Hypothèses!$C$16,Hypothèses!$A$16,IF(B314&lt;=Hypothèses!$C$17,Hypothèses!$A$17,IF(B314&lt;=Hypothèses!$C$18,Hypothèses!$A$18,C313))))))))))))</f>
        <v>11</v>
      </c>
      <c r="D314" s="82" t="str">
        <f>IF(B314&lt;=Hypothèses!$C$7,Hypothèses!$R$7,IF(B314&lt;=Hypothèses!$C$8,Hypothèses!$R$8,IF(B314&lt;=Hypothèses!$C$9,Hypothèses!$R$9,IF(B314&lt;=Hypothèses!$C$10,Hypothèses!$R$10,IF(B314&lt;=Hypothèses!$C$11,Hypothèses!$R$11,IF(B314&lt;=Hypothèses!$C$12,Hypothèses!$R$12,IF(B314&lt;=Hypothèses!$C$13,Hypothèses!$R$13,IF(B314&lt;=Hypothèses!$C$14,Hypothèses!$R$14,IF(B314&lt;=Hypothèses!$C$15,Hypothèses!$R$15,IF(B314&lt;=Hypothèses!$C$16,Hypothèses!$R$16,IF(B314&lt;=Hypothèses!$C$17,Hypothèses!$R$17,IF(B314&lt;=Hypothèses!$C$18,Hypothèses!$R$18,D313))))))))))))</f>
        <v>Pressio.</v>
      </c>
      <c r="E314" s="82" t="e">
        <f>IF(B314&lt;=Hypothèses!$C$7,Hypothèses!$G$7,IF(B314&lt;=Hypothèses!$C$8,Hypothèses!$G$8,IF(B314&lt;=Hypothèses!$C$9,Hypothèses!$G$9,IF(B314&lt;=Hypothèses!$C$10,Hypothèses!$G$10,IF(B314&lt;=Hypothèses!$C$11,Hypothèses!$G$11,IF(B314&lt;=Hypothèses!$C$12,Hypothèses!$G$12,IF(B314&lt;=Hypothèses!$C$13,Hypothèses!$G$13,IF(B314&lt;=Hypothèses!$C$14,Hypothèses!$G$14,IF(B314&lt;=Hypothèses!$C$15,Hypothèses!$G$15,IF(B314&lt;=Hypothèses!$C$16,Hypothèses!$G$16,IF(B314&lt;=Hypothèses!$C$17,Hypothèses!$G$17,IF(B314&lt;=Hypothèses!$C$18,Hypothèses!$G$18,E313))))))))))))</f>
        <v>#N/A</v>
      </c>
      <c r="F314" s="82" t="str">
        <f>IF(B314&lt;=Hypothèses!$C$7,Hypothèses!$F$7,IF(B314&lt;=Hypothèses!$C$8,Hypothèses!$F$8,IF(B314&lt;=Hypothèses!$C$9,Hypothèses!$F$9,IF(B314&lt;=Hypothèses!$C$10,Hypothèses!$F$10,IF(B314&lt;=Hypothèses!$C$11,Hypothèses!$F$11,IF(B314&lt;=Hypothèses!$C$12,Hypothèses!$F$12,IF(B314&lt;=Hypothèses!$C$13,Hypothèses!$F$13,IF(B314&lt;=Hypothèses!$C$14,Hypothèses!$F$14,IF(B314&lt;=Hypothèses!$C$15,Hypothèses!$F$15,IF(B314&lt;=Hypothèses!$C$16,Hypothèses!$F$16,IF(B314&lt;=Hypothèses!$C$17,Hypothèses!$F$17,IF(B314&lt;=Hypothèses!$C$18,Hypothèses!$F$18,F313))))))))))))</f>
        <v/>
      </c>
      <c r="G314" s="91">
        <f t="array" ref="G314">INDEX('Coeff EC7'!$U$7:$X$27,
MATCH(Model0.1C!$B$3,'Coeff EC7'!$T$7:$T$27,0),
MATCH(Model0.1C!$D314&amp;Model0.1C!$B$4,
'Coeff EC7'!$U$6:$X$6&amp;
'Coeff EC7'!$U$5:$X$5,0))</f>
        <v>1.1499999999999999</v>
      </c>
      <c r="H314" s="91">
        <f t="array" ref="H314">INDEX('Coeff EC7'!$Y$7:$AB$27,
MATCH(Model0.1C!$B$3,'Coeff EC7'!$T$7:$T$27,0),
MATCH(Model0.1C!$D314&amp;Model0.1C!$B$4,
'Coeff EC7'!$Y$6:$AB$6&amp;
'Coeff EC7'!$Y$5:$AB$5,0))</f>
        <v>1.4</v>
      </c>
      <c r="I314" s="83" t="e">
        <f>IF(B314&lt;=Hypothèses!$C$7,Hypothèses!$P$7,IF(B314&lt;=Hypothèses!$C$8,Hypothèses!$P$8,IF(B314&lt;=Hypothèses!$C$9,Hypothèses!$P$9,IF(B314&lt;=Hypothèses!$C$10,Hypothèses!$P$10,IF(B314&lt;=Hypothèses!$C$11,Hypothèses!$P$11,IF(B314&lt;=Hypothèses!$C$12,Hypothèses!$P$12,IF(B314&lt;=Hypothèses!$C$13,Hypothèses!$P$13,IF(B314&lt;=Hypothèses!$C$14,Hypothèses!$P$14,IF(B314&lt;=Hypothèses!$C$15,Hypothèses!$P$15,IF(B314&lt;=Hypothèses!$C$16,Hypothèses!$P$16,IF(B314&lt;=Hypothèses!$C$17,Hypothèses!$P$17,IF(B314&lt;=Hypothèses!$C$18,Hypothèses!$P$18,I313))))))))))))</f>
        <v>#N/A</v>
      </c>
      <c r="J314" s="91" t="e">
        <f t="array" ref="J314">INDEX('Coeff EC7'!$D$33:$Q$33,1,MATCH(D314&amp;E314,'Coeff EC7'!$D$31:$Q$31&amp;'Coeff EC7'!$D$32:$Q$32,0))</f>
        <v>#N/A</v>
      </c>
      <c r="K314" s="91" t="e">
        <f t="array" ref="K314">INDEX('Coeff EC7'!$D$34:$Q$34,1,MATCH(D314&amp;E314,'Coeff EC7'!$D$31:$Q$31&amp;'Coeff EC7'!$D$32:$Q$32,0))</f>
        <v>#N/A</v>
      </c>
      <c r="L314" s="91" t="e">
        <f t="array" ref="L314">INDEX('Coeff EC7'!$D$35:$Q$35,1,MATCH(D314&amp;E314,'Coeff EC7'!$D$31:$Q$31&amp;'Coeff EC7'!$D$32:$Q$32,0))</f>
        <v>#N/A</v>
      </c>
      <c r="M314" s="98" t="e">
        <f t="shared" si="431"/>
        <v>#N/A</v>
      </c>
      <c r="N314" s="99" t="e">
        <f t="array" ref="N314">INDEX('Coeff EC7'!$D$7:$Q$27,MATCH($B$3,'Coeff EC7'!$C$7:$C$27,0),MATCH(D314&amp;E314,'Coeff EC7'!$D$5:$Q$5&amp;'Coeff EC7'!$D$6:$Q$6,0))</f>
        <v>#N/A</v>
      </c>
      <c r="O314" s="99" t="e">
        <f t="array" ref="O314">INDEX('Coeff EC7'!$D$41:$Q$61,MATCH($B$3,'Coeff EC7'!$C$41:$C$61,0),MATCH(D314&amp;E314,'Coeff EC7'!$D$39:$Q$39&amp;'Coeff EC7'!$D$40:$Q$40,0))</f>
        <v>#N/A</v>
      </c>
      <c r="P314" s="30" t="e">
        <f t="shared" si="468"/>
        <v>#N/A</v>
      </c>
      <c r="Q314" s="100" t="e">
        <f t="shared" si="433"/>
        <v>#N/A</v>
      </c>
      <c r="R314" s="86" t="b">
        <f t="shared" si="434"/>
        <v>0</v>
      </c>
      <c r="S314" s="86">
        <f t="shared" si="432"/>
        <v>0.5</v>
      </c>
      <c r="T314" s="86">
        <f t="shared" si="435"/>
        <v>0.5</v>
      </c>
      <c r="U314" s="30" t="e">
        <f t="shared" ca="1" si="469"/>
        <v>#DIV/0!</v>
      </c>
      <c r="V314" s="85" t="str">
        <f>IF(B314&lt;=Hypothèses!$V$7,Hypothèses!$W$7,IF(B314&lt;=Hypothèses!$V$8,Hypothèses!$W$8,IF(B314&lt;=Hypothèses!$V$9,Hypothèses!$W$9,IF(B314&lt;=Hypothèses!$V$10,Hypothèses!$W$10,IF(B314&lt;=Hypothèses!$V$11,Hypothèses!$W$11,IF(B314&lt;=Hypothèses!$V$12,Hypothèses!$W$12,IF(B314&lt;=Hypothèses!$V$13,Hypothèses!$W$13,IF(B314&lt;=Hypothèses!$V$14,Hypothèses!$W$14,IF(B314&lt;=Hypothèses!$V$15,Hypothèses!$W$15,IF(B314&lt;=Hypothèses!$V$16,Hypothèses!$W$16,IF(B314&lt;=Hypothèses!$V$17,Hypothèses!$W$17,IF(B314&lt;=Hypothèses!$V$18,Hypothèses!$W$18,""))))))))))))</f>
        <v/>
      </c>
      <c r="W314" s="87" t="e">
        <f t="shared" ca="1" si="516"/>
        <v>#DIV/0!</v>
      </c>
      <c r="X314" s="88" t="str">
        <f>IF(B314&lt;=Hypothèses!$V$7,Hypothèses!$X$7,IF(B314&lt;=Hypothèses!$V$8,Hypothèses!$X$8,IF(B314&lt;=Hypothèses!$V$9,Hypothèses!$X$9,IF(B314&lt;=Hypothèses!$V$10,Hypothèses!$X$10,IF(B314&lt;=Hypothèses!$V$11,Hypothèses!$X$11,IF(B314&lt;=Hypothèses!$V$12,Hypothèses!$X$12,IF(B314&lt;=Hypothèses!$V$13,Hypothèses!$X$13,IF(B314&lt;=Hypothèses!$V$14,Hypothèses!$X$14,IF(B314&lt;=Hypothèses!$V$15,Hypothèses!$X$15,IF(B314&lt;=Hypothèses!$V$16,Hypothèses!$X$16,IF(B314&lt;=Hypothèses!$U$17,Hypothèses!$W$17,IF(B314&lt;=Hypothèses!$U$18,Hypothèses!$W$18,""))))))))))))</f>
        <v/>
      </c>
      <c r="Y314" s="95" t="e">
        <f t="shared" ca="1" si="436"/>
        <v>#DIV/0!</v>
      </c>
      <c r="Z314" s="101" t="e">
        <f t="shared" si="437"/>
        <v>#N/A</v>
      </c>
      <c r="AA314" s="91" t="e">
        <f t="shared" si="438"/>
        <v>#N/A</v>
      </c>
      <c r="AB314" s="30" t="e">
        <f t="shared" si="500"/>
        <v>#N/A</v>
      </c>
      <c r="AC314" s="30" t="e">
        <f t="shared" si="501"/>
        <v>#N/A</v>
      </c>
      <c r="AD314" s="31" t="e">
        <f>IF(OR(Hypothèses!$B$4=17,Hypothèses!$B$4=18,Hypothèses!$B$4=19,Hypothèses!$B$4=20),
IF($D314="Pressio.",
IF(OR($E314=3,$E314=1,$E314=4),AC314,AB314),
IF($D314="Pénétro.",
IF(OR($E314=3,$E314=1,$E314=4),AC314,AB314))),IF($D314="Pressio.",
IF($E314=3,AC314,AB314),
IF($D314="Pénétro.",
IF($E314=4,AC314,AB314))))</f>
        <v>#N/A</v>
      </c>
      <c r="AE314" s="31" t="e">
        <f>(IF(OR(Hypothèses!$B$4=17,Hypothèses!$B$4=18,Hypothèses!$B$4=19,Hypothèses!$B$4=20),
IF($D314="Pressio.",
IF(OR($E314=3,$E314=1,$E314=4),(PI()*AE$12^2)/4*(AA314*$W314*1000)/($H314*$B$5),(PI()*AE$12^2)/4*(AA314*$W314*1000)/($G314*$B$5)),
IF($D314="Pénétro.",
IF(OR($E314=4,$E314=1,$E314=5),(PI()*AE$12^2)/4*(AA314*$W314*1000)/($H314*$B$5),(PI()*AE$12^2)/4*(AA314*$W314*1000)/($G314*$B$5)))),
IF($D314="Pressio.",
IF($E314=3,(PI()*AE$12^2)/4*(AA314*$W314*1000)/($H314*$B$5),(PI()*AE$12^2)/4*(AA314*$W314*1000)/($G314*$B$5)),
IF($D314="Pénétro.",
IF($E314=4,(PI()*AE$12^2)/4*(AA314*$W314*1000)/($H314*$B$5),(PI()*AE$12^2)/4*(AA314*$W314*1000)/($G314*$B$5))))))/10</f>
        <v>#N/A</v>
      </c>
      <c r="AF314" s="102" t="e">
        <f>(VLOOKUP($B$3,'Coeff EC7'!$T$39:$X$59,2,0)*AD314+VLOOKUP($B$3,'Coeff EC7'!$T$65:$X$85,2,0)*Model0.1C!AE314)/1.1</f>
        <v>#N/A</v>
      </c>
      <c r="AG314" s="102" t="e">
        <f>(VLOOKUP($B$3,'Coeff EC7'!$T$39:$X$59,3,0)*AD314+VLOOKUP($B$3,'Coeff EC7'!$T$65:$X$85,3,0)*Model0.1C!AE314)/0.9</f>
        <v>#N/A</v>
      </c>
      <c r="AH314" s="102" t="e">
        <f t="shared" si="439"/>
        <v>#N/A</v>
      </c>
      <c r="AI314" s="102" t="e">
        <f t="shared" si="440"/>
        <v>#N/A</v>
      </c>
      <c r="AJ314" s="414" t="e">
        <f>IF(AJ313=0,0,IF(AND(AF314&gt;charge_ELS_quasi,AG314&gt;Charge_ELS_freq,AH314&gt;charge_ELU,AI314&gt;charge_ELA,$B314&gt;NDC!$H$22-0.1+MIN(3*$AJ$12,1.5)),0,1))</f>
        <v>#N/A</v>
      </c>
      <c r="AK314" s="86" t="b">
        <f t="shared" si="441"/>
        <v>0</v>
      </c>
      <c r="AL314" s="86">
        <f t="shared" si="470"/>
        <v>0.5</v>
      </c>
      <c r="AM314" s="86">
        <f t="shared" si="442"/>
        <v>0.5</v>
      </c>
      <c r="AN314" s="30" t="e">
        <f t="shared" ca="1" si="471"/>
        <v>#DIV/0!</v>
      </c>
      <c r="AO314" s="85" t="e">
        <f ca="1">IF(U314&lt;=Hypothèses!$V$7,Hypothèses!$W$7,IF(U314&lt;=Hypothèses!$V$8,Hypothèses!$W$8,IF(U314&lt;=Hypothèses!$V$9,Hypothèses!$W$9,IF(U314&lt;=Hypothèses!$V$10,Hypothèses!$W$10,IF(U314&lt;=Hypothèses!$V$11,Hypothèses!$W$11,IF(U314&lt;=Hypothèses!$V$12,Hypothèses!$W$12,IF(U314&lt;=Hypothèses!$V$13,Hypothèses!$W$13,IF(U314&lt;=Hypothèses!$V$14,Hypothèses!$W$14,IF(U314&lt;=Hypothèses!$V$15,Hypothèses!$W$15,IF(U314&lt;=Hypothèses!$V$16,Hypothèses!$W$16,IF(U314&lt;=Hypothèses!$V$17,Hypothèses!$W$17,IF(U314&lt;=Hypothèses!$V$18,Hypothèses!$W$18,""))))))))))))</f>
        <v>#DIV/0!</v>
      </c>
      <c r="AP314" s="87" t="e">
        <f t="shared" ca="1" si="517"/>
        <v>#DIV/0!</v>
      </c>
      <c r="AQ314" s="88" t="e">
        <f ca="1">IF(U314&lt;=Hypothèses!$V$7,Hypothèses!$X$7,IF(U314&lt;=Hypothèses!$V$8,Hypothèses!$X$8,IF(U314&lt;=Hypothèses!$V$9,Hypothèses!$X$9,IF(U314&lt;=Hypothèses!$V$10,Hypothèses!$X$10,IF(U314&lt;=Hypothèses!$V$11,Hypothèses!$X$11,IF(U314&lt;=Hypothèses!$V$12,Hypothèses!$X$12,IF(U314&lt;=Hypothèses!$V$13,Hypothèses!$X$13,IF(U314&lt;=Hypothèses!$V$14,Hypothèses!$X$14,IF(U314&lt;=Hypothèses!$V$15,Hypothèses!$X$15,IF(U314&lt;=Hypothèses!$V$16,Hypothèses!$X$16,IF(U314&lt;=Hypothèses!$U$17,Hypothèses!$W$17,IF(U314&lt;=Hypothèses!$U$18,Hypothèses!$W$18,""))))))))))))</f>
        <v>#DIV/0!</v>
      </c>
      <c r="AR314" s="95" t="e">
        <f t="shared" ca="1" si="472"/>
        <v>#DIV/0!</v>
      </c>
      <c r="AS314" s="101" t="e">
        <f t="shared" si="524"/>
        <v>#N/A</v>
      </c>
      <c r="AT314" s="91" t="e">
        <f t="shared" si="443"/>
        <v>#N/A</v>
      </c>
      <c r="AU314" s="30" t="e">
        <f t="shared" si="502"/>
        <v>#N/A</v>
      </c>
      <c r="AV314" s="30" t="e">
        <f t="shared" si="503"/>
        <v>#N/A</v>
      </c>
      <c r="AW314" s="31" t="e">
        <f>IF(OR(Hypothèses!$B$4=17,Hypothèses!$B$4=18,Hypothèses!$B$4=19,Hypothèses!$B$4=20),
IF($D314="Pressio.",
IF(OR($E314=3,$E314=1,$E314=4),AV314,AU314),
IF($D314="Pénétro.",
IF(OR($E314=3,$E314=1,$E314=4),AV314,AU314))),IF($D314="Pressio.",
IF($E314=3,AV314,AU314),
IF($D314="Pénétro.",
IF($E314=4,AV314,AU314))))</f>
        <v>#N/A</v>
      </c>
      <c r="AX314" s="31" t="e">
        <f>(IF(OR(Hypothèses!$B$4=17,Hypothèses!$B$4=18,Hypothèses!$B$4=19,Hypothèses!$B$4=20),
IF($D314="Pressio.",
IF(OR($E314=3,$E314=1,$E314=4),(PI()*AX$12^2)/4*(AT314*$W314*1000)/($H314*$B$5),(PI()*AX$12^2)/4*(AT314*$W314*1000)/($G314*$B$5)),
IF($D314="Pénétro.",
IF(OR($E314=4,$E314=1,$E314=5),(PI()*AX$12^2)/4*(AT314*$W314*1000)/($H314*$B$5),(PI()*AX$12^2)/4*(AT314*$W314*1000)/($G314*$B$5)))),
IF($D314="Pressio.",
IF($E314=3,(PI()*AX$12^2)/4*(AT314*$W314*1000)/($H314*$B$5),(PI()*AX$12^2)/4*(AT314*$W314*1000)/($G314*$B$5)),
IF($D314="Pénétro.",
IF($E314=4,(PI()*AX$12^2)/4*(AT314*$W314*1000)/($H314*$B$5),(PI()*AX$12^2)/4*(AT314*$W314*1000)/($G314*$B$5))))))/10</f>
        <v>#N/A</v>
      </c>
      <c r="AY314" s="102" t="e">
        <f>(VLOOKUP($B$3,'Coeff EC7'!$T$39:$X$59,2,0)*AW314+VLOOKUP($B$3,'Coeff EC7'!$T$65:$X$85,2,0)*Model0.1C!AX314)/1.1</f>
        <v>#N/A</v>
      </c>
      <c r="AZ314" s="102" t="e">
        <f>(VLOOKUP($B$3,'Coeff EC7'!$T$39:$X$59,3,0)*AW314+VLOOKUP($B$3,'Coeff EC7'!$T$65:$X$85,3,0)*Model0.1C!AX314)/0.9</f>
        <v>#N/A</v>
      </c>
      <c r="BA314" s="102" t="e">
        <f t="shared" si="473"/>
        <v>#N/A</v>
      </c>
      <c r="BB314" s="102" t="e">
        <f t="shared" si="474"/>
        <v>#N/A</v>
      </c>
      <c r="BC314" s="414" t="e">
        <f>IF(BC313=0,0,IF(AND(AY314&gt;charge_ELS_quasi,AZ314&gt;Charge_ELS_freq,BA314&gt;charge_ELU,BB314&gt;charge_ELA,$B314&gt;NDC!$H$22-0.1+MIN(3*$BC$12,1.5)),0,1))</f>
        <v>#N/A</v>
      </c>
      <c r="BD314" s="86" t="b">
        <f t="shared" si="444"/>
        <v>0</v>
      </c>
      <c r="BE314" s="86">
        <f t="shared" si="475"/>
        <v>0.5</v>
      </c>
      <c r="BF314" s="86">
        <f t="shared" si="445"/>
        <v>0.5</v>
      </c>
      <c r="BG314" s="30" t="e">
        <f t="shared" ca="1" si="476"/>
        <v>#DIV/0!</v>
      </c>
      <c r="BH314" s="85" t="e">
        <f ca="1">IF(AN314&lt;=Hypothèses!$V$7,Hypothèses!$W$7,IF(AN314&lt;=Hypothèses!$V$8,Hypothèses!$W$8,IF(AN314&lt;=Hypothèses!$V$9,Hypothèses!$W$9,IF(AN314&lt;=Hypothèses!$V$10,Hypothèses!$W$10,IF(AN314&lt;=Hypothèses!$V$11,Hypothèses!$W$11,IF(AN314&lt;=Hypothèses!$V$12,Hypothèses!$W$12,IF(AN314&lt;=Hypothèses!$V$13,Hypothèses!$W$13,IF(AN314&lt;=Hypothèses!$V$14,Hypothèses!$W$14,IF(AN314&lt;=Hypothèses!$V$15,Hypothèses!$W$15,IF(AN314&lt;=Hypothèses!$V$16,Hypothèses!$W$16,IF(AN314&lt;=Hypothèses!$V$17,Hypothèses!$W$17,IF(AN314&lt;=Hypothèses!$V$18,Hypothèses!$W$18,""))))))))))))</f>
        <v>#DIV/0!</v>
      </c>
      <c r="BI314" s="87" t="e">
        <f t="shared" ca="1" si="518"/>
        <v>#DIV/0!</v>
      </c>
      <c r="BJ314" s="88" t="e">
        <f ca="1">IF(AN314&lt;=Hypothèses!$V$7,Hypothèses!$X$7,IF(AN314&lt;=Hypothèses!$V$8,Hypothèses!$X$8,IF(AN314&lt;=Hypothèses!$V$9,Hypothèses!$X$9,IF(AN314&lt;=Hypothèses!$V$10,Hypothèses!$X$10,IF(AN314&lt;=Hypothèses!$V$11,Hypothèses!$X$11,IF(AN314&lt;=Hypothèses!$V$12,Hypothèses!$X$12,IF(AN314&lt;=Hypothèses!$V$13,Hypothèses!$X$13,IF(AN314&lt;=Hypothèses!$V$14,Hypothèses!$X$14,IF(AN314&lt;=Hypothèses!$V$15,Hypothèses!$X$15,IF(AN314&lt;=Hypothèses!$V$16,Hypothèses!$X$16,IF(AN314&lt;=Hypothèses!$U$17,Hypothèses!$W$17,IF(AN314&lt;=Hypothèses!$U$18,Hypothèses!$W$18,""))))))))))))</f>
        <v>#DIV/0!</v>
      </c>
      <c r="BK314" s="95" t="e">
        <f t="shared" ca="1" si="477"/>
        <v>#DIV/0!</v>
      </c>
      <c r="BL314" s="101" t="e">
        <f t="shared" si="525"/>
        <v>#N/A</v>
      </c>
      <c r="BM314" s="91" t="e">
        <f t="shared" si="446"/>
        <v>#N/A</v>
      </c>
      <c r="BN314" s="30" t="e">
        <f t="shared" si="504"/>
        <v>#N/A</v>
      </c>
      <c r="BO314" s="30" t="e">
        <f t="shared" si="505"/>
        <v>#N/A</v>
      </c>
      <c r="BP314" s="31" t="e">
        <f>IF(OR(Hypothèses!$B$4=17,Hypothèses!$B$4=18,Hypothèses!$B$4=19,Hypothèses!$B$4=20),
IF($D314="Pressio.",
IF(OR($E314=3,$E314=1,$E314=4),BO314,BN314),
IF($D314="Pénétro.",
IF(OR($E314=3,$E314=1,$E314=4),BO314,BN314))),IF($D314="Pressio.",
IF($E314=3,BO314,BN314),
IF($D314="Pénétro.",
IF($E314=4,BO314,BN314))))</f>
        <v>#N/A</v>
      </c>
      <c r="BQ314" s="31" t="e">
        <f>(IF(OR(Hypothèses!$B$4=17,Hypothèses!$B$4=18,Hypothèses!$B$4=19,Hypothèses!$B$4=20),
IF($D314="Pressio.",
IF(OR($E314=3,$E314=1,$E314=4),(PI()*BQ$12^2)/4*(BM314*$W314*1000)/($H314*$B$5),(PI()*BQ$12^2)/4*(BM314*$W314*1000)/($G314*$B$5)),
IF($D314="Pénétro.",
IF(OR($E314=4,$E314=1,$E314=5),(PI()*BQ$12^2)/4*(BM314*$W314*1000)/($H314*$B$5),(PI()*BQ$12^2)/4*(BM314*$W314*1000)/($G314*$B$5)))),
IF($D314="Pressio.",
IF($E314=3,(PI()*BQ$12^2)/4*(BM314*$W314*1000)/($H314*$B$5),(PI()*BQ$12^2)/4*(BM314*$W314*1000)/($G314*$B$5)),
IF($D314="Pénétro.",
IF($E314=4,(PI()*BQ$12^2)/4*(BM314*$W314*1000)/($H314*$B$5),(PI()*BQ$12^2)/4*(BM314*$W314*1000)/($G314*$B$5))))))/10</f>
        <v>#N/A</v>
      </c>
      <c r="BR314" s="102" t="e">
        <f>(VLOOKUP($B$3,'Coeff EC7'!$T$39:$X$59,2,0)*BP314+VLOOKUP($B$3,'Coeff EC7'!$T$65:$X$85,2,0)*Model0.1C!BQ314)/1.1</f>
        <v>#N/A</v>
      </c>
      <c r="BS314" s="102" t="e">
        <f>(VLOOKUP($B$3,'Coeff EC7'!$T$39:$X$59,3,0)*BP314+VLOOKUP($B$3,'Coeff EC7'!$T$65:$X$85,3,0)*Model0.1C!BQ314)/0.9</f>
        <v>#N/A</v>
      </c>
      <c r="BT314" s="102" t="e">
        <f t="shared" si="478"/>
        <v>#N/A</v>
      </c>
      <c r="BU314" s="102" t="e">
        <f t="shared" si="479"/>
        <v>#N/A</v>
      </c>
      <c r="BV314" s="414" t="e">
        <f>IF(BV313=0,0,IF(AND(BR314&gt;charge_ELS_quasi,BS314&gt;Charge_ELS_freq,BT314&gt;charge_ELU,BU314&gt;charge_ELA,$B314&gt;NDC!$H$22-0.1+MIN(3*$BV$12,1.5)),0,1))</f>
        <v>#N/A</v>
      </c>
      <c r="BW314" s="86" t="b">
        <f t="shared" si="447"/>
        <v>0</v>
      </c>
      <c r="BX314" s="86">
        <f t="shared" si="448"/>
        <v>0.5</v>
      </c>
      <c r="BY314" s="86">
        <f t="shared" si="449"/>
        <v>0.5</v>
      </c>
      <c r="BZ314" s="30" t="e">
        <f t="shared" ca="1" si="480"/>
        <v>#DIV/0!</v>
      </c>
      <c r="CA314" s="85" t="e">
        <f ca="1">IF(BG314&lt;=Hypothèses!$V$7,Hypothèses!$W$7,IF(BG314&lt;=Hypothèses!$V$8,Hypothèses!$W$8,IF(BG314&lt;=Hypothèses!$V$9,Hypothèses!$W$9,IF(BG314&lt;=Hypothèses!$V$10,Hypothèses!$W$10,IF(BG314&lt;=Hypothèses!$V$11,Hypothèses!$W$11,IF(BG314&lt;=Hypothèses!$V$12,Hypothèses!$W$12,IF(BG314&lt;=Hypothèses!$V$13,Hypothèses!$W$13,IF(BG314&lt;=Hypothèses!$V$14,Hypothèses!$W$14,IF(BG314&lt;=Hypothèses!$V$15,Hypothèses!$W$15,IF(BG314&lt;=Hypothèses!$V$16,Hypothèses!$W$16,IF(BG314&lt;=Hypothèses!$V$17,Hypothèses!$W$17,IF(BG314&lt;=Hypothèses!$V$18,Hypothèses!$W$18,""))))))))))))</f>
        <v>#DIV/0!</v>
      </c>
      <c r="CB314" s="87" t="e">
        <f t="shared" ca="1" si="519"/>
        <v>#DIV/0!</v>
      </c>
      <c r="CC314" s="88" t="e">
        <f ca="1">IF(BG314&lt;=Hypothèses!$V$7,Hypothèses!$X$7,IF(BG314&lt;=Hypothèses!$V$8,Hypothèses!$X$8,IF(BG314&lt;=Hypothèses!$V$9,Hypothèses!$X$9,IF(BG314&lt;=Hypothèses!$V$10,Hypothèses!$X$10,IF(BG314&lt;=Hypothèses!$V$11,Hypothèses!$X$11,IF(BG314&lt;=Hypothèses!$V$12,Hypothèses!$X$12,IF(BG314&lt;=Hypothèses!$V$13,Hypothèses!$X$13,IF(BG314&lt;=Hypothèses!$V$14,Hypothèses!$X$14,IF(BG314&lt;=Hypothèses!$V$15,Hypothèses!$X$15,IF(BG314&lt;=Hypothèses!$V$16,Hypothèses!$X$16,IF(BG314&lt;=Hypothèses!$U$17,Hypothèses!$W$17,IF(BG314&lt;=Hypothèses!$U$18,Hypothèses!$W$18,""))))))))))))</f>
        <v>#DIV/0!</v>
      </c>
      <c r="CD314" s="95" t="e">
        <f t="shared" ca="1" si="481"/>
        <v>#DIV/0!</v>
      </c>
      <c r="CE314" s="101" t="e">
        <f t="shared" si="526"/>
        <v>#N/A</v>
      </c>
      <c r="CF314" s="91" t="e">
        <f t="shared" si="450"/>
        <v>#N/A</v>
      </c>
      <c r="CG314" s="30" t="e">
        <f t="shared" si="506"/>
        <v>#N/A</v>
      </c>
      <c r="CH314" s="30" t="e">
        <f t="shared" si="507"/>
        <v>#N/A</v>
      </c>
      <c r="CI314" s="31" t="e">
        <f>IF(OR(Hypothèses!$B$4=17,Hypothèses!$B$4=18,Hypothèses!$B$4=19,Hypothèses!$B$4=20),
IF($D314="Pressio.",
IF(OR($E314=3,$E314=1,$E314=4),CH314,CG314),
IF($D314="Pénétro.",
IF(OR($E314=3,$E314=1,$E314=4),CH314,CG314))),IF($D314="Pressio.",
IF($E314=3,CH314,CG314),
IF($D314="Pénétro.",
IF($E314=4,CH314,CG314))))</f>
        <v>#N/A</v>
      </c>
      <c r="CJ314" s="31" t="e">
        <f>(IF(OR(Hypothèses!$B$4=17,Hypothèses!$B$4=18,Hypothèses!$B$4=19,Hypothèses!$B$4=20),
IF($D314="Pressio.",
IF(OR($E314=3,$E314=1,$E314=4),(PI()*CJ$12^2)/4*(CF314*$W314*1000)/($H314*$B$5),(PI()*CJ$12^2)/4*(CF314*$W314*1000)/($G314*$B$5)),
IF($D314="Pénétro.",
IF(OR($E314=4,$E314=1,$E314=5),(PI()*CJ$12^2)/4*(CF314*$W314*1000)/($H314*$B$5),(PI()*CJ$12^2)/4*(CF314*$W314*1000)/($G314*$B$5)))),
IF($D314="Pressio.",
IF($E314=3,(PI()*CJ$12^2)/4*(CF314*$W314*1000)/($H314*$B$5),(PI()*CJ$12^2)/4*(CF314*$W314*1000)/($G314*$B$5)),
IF($D314="Pénétro.",
IF($E314=4,(PI()*CJ$12^2)/4*(CF314*$W314*1000)/($H314*$B$5),(PI()*CJ$12^2)/4*(CF314*$W314*1000)/($G314*$B$5))))))/10</f>
        <v>#N/A</v>
      </c>
      <c r="CK314" s="102" t="e">
        <f>(VLOOKUP($B$3,'Coeff EC7'!$T$39:$X$59,2,0)*CI314+VLOOKUP($B$3,'Coeff EC7'!$T$65:$X$85,2,0)*Model0.1C!CJ314)/1.1</f>
        <v>#N/A</v>
      </c>
      <c r="CL314" s="102" t="e">
        <f>(VLOOKUP($B$3,'Coeff EC7'!$T$39:$X$59,3,0)*CI314+VLOOKUP($B$3,'Coeff EC7'!$T$65:$X$85,3,0)*Model0.1C!CJ314)/0.9</f>
        <v>#N/A</v>
      </c>
      <c r="CM314" s="102" t="e">
        <f t="shared" si="482"/>
        <v>#N/A</v>
      </c>
      <c r="CN314" s="102" t="e">
        <f t="shared" si="483"/>
        <v>#N/A</v>
      </c>
      <c r="CO314" s="414" t="e">
        <f>IF(CO313=0,0,IF(AND(CK314&gt;charge_ELS_quasi,CL314&gt;Charge_ELS_freq,CM314&gt;charge_ELU,CN314&gt;charge_ELA,$B314&gt;NDC!$H$22-0.1+MIN(3*$CO$12,1.5)),0,1))</f>
        <v>#N/A</v>
      </c>
      <c r="CP314" s="86" t="b">
        <f t="shared" si="451"/>
        <v>0</v>
      </c>
      <c r="CQ314" s="86">
        <f t="shared" si="452"/>
        <v>0.5</v>
      </c>
      <c r="CR314" s="86">
        <f t="shared" si="453"/>
        <v>0.5</v>
      </c>
      <c r="CS314" s="30" t="e">
        <f t="shared" ca="1" si="484"/>
        <v>#DIV/0!</v>
      </c>
      <c r="CT314" s="85" t="e">
        <f ca="1">IF(BZ314&lt;=Hypothèses!$V$7,Hypothèses!$W$7,IF(BZ314&lt;=Hypothèses!$V$8,Hypothèses!$W$8,IF(BZ314&lt;=Hypothèses!$V$9,Hypothèses!$W$9,IF(BZ314&lt;=Hypothèses!$V$10,Hypothèses!$W$10,IF(BZ314&lt;=Hypothèses!$V$11,Hypothèses!$W$11,IF(BZ314&lt;=Hypothèses!$V$12,Hypothèses!$W$12,IF(BZ314&lt;=Hypothèses!$V$13,Hypothèses!$W$13,IF(BZ314&lt;=Hypothèses!$V$14,Hypothèses!$W$14,IF(BZ314&lt;=Hypothèses!$V$15,Hypothèses!$W$15,IF(BZ314&lt;=Hypothèses!$V$16,Hypothèses!$W$16,IF(BZ314&lt;=Hypothèses!$V$17,Hypothèses!$W$17,IF(BZ314&lt;=Hypothèses!$V$18,Hypothèses!$W$18,""))))))))))))</f>
        <v>#DIV/0!</v>
      </c>
      <c r="CU314" s="87" t="e">
        <f t="shared" ca="1" si="520"/>
        <v>#DIV/0!</v>
      </c>
      <c r="CV314" s="88" t="e">
        <f ca="1">IF(BZ314&lt;=Hypothèses!$V$7,Hypothèses!$X$7,IF(BZ314&lt;=Hypothèses!$V$8,Hypothèses!$X$8,IF(BZ314&lt;=Hypothèses!$V$9,Hypothèses!$X$9,IF(BZ314&lt;=Hypothèses!$V$10,Hypothèses!$X$10,IF(BZ314&lt;=Hypothèses!$V$11,Hypothèses!$X$11,IF(BZ314&lt;=Hypothèses!$V$12,Hypothèses!$X$12,IF(BZ314&lt;=Hypothèses!$V$13,Hypothèses!$X$13,IF(BZ314&lt;=Hypothèses!$V$14,Hypothèses!$X$14,IF(BZ314&lt;=Hypothèses!$V$15,Hypothèses!$X$15,IF(BZ314&lt;=Hypothèses!$V$16,Hypothèses!$X$16,IF(BZ314&lt;=Hypothèses!$U$17,Hypothèses!$W$17,IF(BZ314&lt;=Hypothèses!$U$18,Hypothèses!$W$18,""))))))))))))</f>
        <v>#DIV/0!</v>
      </c>
      <c r="CW314" s="95" t="e">
        <f t="shared" ca="1" si="485"/>
        <v>#DIV/0!</v>
      </c>
      <c r="CX314" s="101" t="e">
        <f t="shared" si="527"/>
        <v>#N/A</v>
      </c>
      <c r="CY314" s="91" t="e">
        <f t="shared" si="454"/>
        <v>#N/A</v>
      </c>
      <c r="CZ314" s="30" t="e">
        <f t="shared" si="508"/>
        <v>#N/A</v>
      </c>
      <c r="DA314" s="30" t="e">
        <f t="shared" si="509"/>
        <v>#N/A</v>
      </c>
      <c r="DB314" s="31" t="e">
        <f>IF(OR(Hypothèses!$B$4=17,Hypothèses!$B$4=18,Hypothèses!$B$4=19,Hypothèses!$B$4=20),
IF($D314="Pressio.",
IF(OR($E314=3,$E314=1,$E314=4),DA314,CZ314),
IF($D314="Pénétro.",
IF(OR($E314=3,$E314=1,$E314=4),DA314,CZ314))),IF($D314="Pressio.",
IF($E314=3,DA314,CZ314),
IF($D314="Pénétro.",
IF($E314=4,DA314,CZ314))))</f>
        <v>#N/A</v>
      </c>
      <c r="DC314" s="31" t="e">
        <f>(IF(OR(Hypothèses!$B$4=17,Hypothèses!$B$4=18,Hypothèses!$B$4=19,Hypothèses!$B$4=20),
IF($D314="Pressio.",
IF(OR($E314=3,$E314=1,$E314=4),(PI()*DC$12^2)/4*(CY314*$W314*1000)/($H314*$B$5),(PI()*DC$12^2)/4*(CY314*$W314*1000)/($G314*$B$5)),
IF($D314="Pénétro.",
IF(OR($E314=4,$E314=1,$E314=5),(PI()*DC$12^2)/4*(CY314*$W314*1000)/($H314*$B$5),(PI()*DC$12^2)/4*(CY314*$W314*1000)/($G314*$B$5)))),
IF($D314="Pressio.",
IF($E314=3,(PI()*DC$12^2)/4*(CY314*$W314*1000)/($H314*$B$5),(PI()*DC$12^2)/4*(CY314*$W314*1000)/($G314*$B$5)),
IF($D314="Pénétro.",
IF($E314=4,(PI()*DC$12^2)/4*(CY314*$W314*1000)/($H314*$B$5),(PI()*DC$12^2)/4*(CY314*$W314*1000)/($G314*$B$5))))))/10</f>
        <v>#N/A</v>
      </c>
      <c r="DD314" s="102" t="e">
        <f>(VLOOKUP($B$3,'Coeff EC7'!$T$39:$X$59,2,0)*DB314+VLOOKUP($B$3,'Coeff EC7'!$T$65:$X$85,2,0)*Model0.1C!DC314)/1.1</f>
        <v>#N/A</v>
      </c>
      <c r="DE314" s="102" t="e">
        <f>(VLOOKUP($B$3,'Coeff EC7'!$T$39:$X$59,3,0)*DB314+VLOOKUP($B$3,'Coeff EC7'!$T$65:$X$85,3,0)*Model0.1C!DC314)/0.9</f>
        <v>#N/A</v>
      </c>
      <c r="DF314" s="102" t="e">
        <f t="shared" si="486"/>
        <v>#N/A</v>
      </c>
      <c r="DG314" s="102" t="e">
        <f t="shared" si="487"/>
        <v>#N/A</v>
      </c>
      <c r="DH314" s="414" t="e">
        <f>IF(DH313=0,0,IF(AND(DD314&gt;charge_ELS_quasi,DE314&gt;Charge_ELS_freq,DF314&gt;charge_ELU,DG314&gt;charge_ELA,$B314&gt;NDC!$H$22-0.1+MIN(3*$DH$12,1.5)),0,1))</f>
        <v>#N/A</v>
      </c>
      <c r="DI314" s="86" t="b">
        <f t="shared" si="455"/>
        <v>0</v>
      </c>
      <c r="DJ314" s="86">
        <f t="shared" si="456"/>
        <v>0.5</v>
      </c>
      <c r="DK314" s="86">
        <f t="shared" si="457"/>
        <v>0.5</v>
      </c>
      <c r="DL314" s="30" t="e">
        <f t="shared" ca="1" si="488"/>
        <v>#DIV/0!</v>
      </c>
      <c r="DM314" s="85" t="e">
        <f ca="1">IF(CS314&lt;=Hypothèses!$V$7,Hypothèses!$W$7,IF(CS314&lt;=Hypothèses!$V$8,Hypothèses!$W$8,IF(CS314&lt;=Hypothèses!$V$9,Hypothèses!$W$9,IF(CS314&lt;=Hypothèses!$V$10,Hypothèses!$W$10,IF(CS314&lt;=Hypothèses!$V$11,Hypothèses!$W$11,IF(CS314&lt;=Hypothèses!$V$12,Hypothèses!$W$12,IF(CS314&lt;=Hypothèses!$V$13,Hypothèses!$W$13,IF(CS314&lt;=Hypothèses!$V$14,Hypothèses!$W$14,IF(CS314&lt;=Hypothèses!$V$15,Hypothèses!$W$15,IF(CS314&lt;=Hypothèses!$V$16,Hypothèses!$W$16,IF(CS314&lt;=Hypothèses!$V$17,Hypothèses!$W$17,IF(CS314&lt;=Hypothèses!$V$18,Hypothèses!$W$18,""))))))))))))</f>
        <v>#DIV/0!</v>
      </c>
      <c r="DN314" s="87" t="e">
        <f t="shared" ca="1" si="521"/>
        <v>#DIV/0!</v>
      </c>
      <c r="DO314" s="88" t="e">
        <f ca="1">IF(CS314&lt;=Hypothèses!$V$7,Hypothèses!$X$7,IF(CS314&lt;=Hypothèses!$V$8,Hypothèses!$X$8,IF(CS314&lt;=Hypothèses!$V$9,Hypothèses!$X$9,IF(CS314&lt;=Hypothèses!$V$10,Hypothèses!$X$10,IF(CS314&lt;=Hypothèses!$V$11,Hypothèses!$X$11,IF(CS314&lt;=Hypothèses!$V$12,Hypothèses!$X$12,IF(CS314&lt;=Hypothèses!$V$13,Hypothèses!$X$13,IF(CS314&lt;=Hypothèses!$V$14,Hypothèses!$X$14,IF(CS314&lt;=Hypothèses!$V$15,Hypothèses!$X$15,IF(CS314&lt;=Hypothèses!$V$16,Hypothèses!$X$16,IF(CS314&lt;=Hypothèses!$U$17,Hypothèses!$W$17,IF(CS314&lt;=Hypothèses!$U$18,Hypothèses!$W$18,""))))))))))))</f>
        <v>#DIV/0!</v>
      </c>
      <c r="DP314" s="95" t="e">
        <f t="shared" ca="1" si="489"/>
        <v>#DIV/0!</v>
      </c>
      <c r="DQ314" s="101" t="e">
        <f t="shared" si="528"/>
        <v>#N/A</v>
      </c>
      <c r="DR314" s="91" t="e">
        <f t="shared" si="458"/>
        <v>#N/A</v>
      </c>
      <c r="DS314" s="30" t="e">
        <f t="shared" si="510"/>
        <v>#N/A</v>
      </c>
      <c r="DT314" s="30" t="e">
        <f t="shared" si="511"/>
        <v>#N/A</v>
      </c>
      <c r="DU314" s="31" t="e">
        <f>IF(OR(Hypothèses!$B$4=17,Hypothèses!$B$4=18,Hypothèses!$B$4=19,Hypothèses!$B$4=20),
IF($D314="Pressio.",
IF(OR($E314=3,$E314=1,$E314=4),DT314,DS314),
IF($D314="Pénétro.",
IF(OR($E314=3,$E314=1,$E314=4),DT314,DS314))),IF($D314="Pressio.",
IF($E314=3,DT314,DS314),
IF($D314="Pénétro.",
IF($E314=4,DT314,DS314))))</f>
        <v>#N/A</v>
      </c>
      <c r="DV314" s="31" t="e">
        <f>(IF(OR(Hypothèses!$B$4=17,Hypothèses!$B$4=18,Hypothèses!$B$4=19,Hypothèses!$B$4=20),
IF($D314="Pressio.",
IF(OR($E314=3,$E314=1,$E314=4),(PI()*DV$12^2)/4*(DR314*$W314*1000)/($H314*$B$5),(PI()*DV$12^2)/4*(DR314*$W314*1000)/($G314*$B$5)),
IF($D314="Pénétro.",
IF(OR($E314=4,$E314=1,$E314=5),(PI()*DV$12^2)/4*(DR314*$W314*1000)/($H314*$B$5),(PI()*DV$12^2)/4*(DR314*$W314*1000)/($G314*$B$5)))),
IF($D314="Pressio.",
IF($E314=3,(PI()*DV$12^2)/4*(DR314*$W314*1000)/($H314*$B$5),(PI()*DV$12^2)/4*(DR314*$W314*1000)/($G314*$B$5)),
IF($D314="Pénétro.",
IF($E314=4,(PI()*DV$12^2)/4*(DR314*$W314*1000)/($H314*$B$5),(PI()*DV$12^2)/4*(DR314*$W314*1000)/($G314*$B$5))))))/10</f>
        <v>#N/A</v>
      </c>
      <c r="DW314" s="102" t="e">
        <f>(VLOOKUP($B$3,'Coeff EC7'!$T$39:$X$59,2,0)*DU314+VLOOKUP($B$3,'Coeff EC7'!$T$65:$X$85,2,0)*Model0.1C!DV314)/1.1</f>
        <v>#N/A</v>
      </c>
      <c r="DX314" s="102" t="e">
        <f>(VLOOKUP($B$3,'Coeff EC7'!$T$39:$X$59,3,0)*DU314+VLOOKUP($B$3,'Coeff EC7'!$T$65:$X$85,3,0)*Model0.1C!DV314)/0.9</f>
        <v>#N/A</v>
      </c>
      <c r="DY314" s="102" t="e">
        <f t="shared" si="490"/>
        <v>#N/A</v>
      </c>
      <c r="DZ314" s="102" t="e">
        <f t="shared" si="491"/>
        <v>#N/A</v>
      </c>
      <c r="EA314" s="414" t="e">
        <f>IF(EA313=0,0,IF(AND(DW314&gt;charge_ELS_quasi,DX314&gt;Charge_ELS_freq,DY314&gt;charge_ELU,DZ314&gt;charge_ELA,$B314&gt;NDC!$H$22-0.1+MIN(3*$EA$12,1.5)),0,1))</f>
        <v>#N/A</v>
      </c>
      <c r="EB314" s="86" t="b">
        <f t="shared" si="459"/>
        <v>0</v>
      </c>
      <c r="EC314" s="418">
        <f t="shared" si="460"/>
        <v>0.51</v>
      </c>
      <c r="ED314" s="86">
        <f t="shared" si="461"/>
        <v>0.51</v>
      </c>
      <c r="EE314" s="30" t="e">
        <f t="shared" ca="1" si="492"/>
        <v>#DIV/0!</v>
      </c>
      <c r="EF314" s="85" t="e">
        <f ca="1">IF(DL314&lt;=Hypothèses!$V$7,Hypothèses!$W$7,IF(DL314&lt;=Hypothèses!$V$8,Hypothèses!$W$8,IF(DL314&lt;=Hypothèses!$V$9,Hypothèses!$W$9,IF(DL314&lt;=Hypothèses!$V$10,Hypothèses!$W$10,IF(DL314&lt;=Hypothèses!$V$11,Hypothèses!$W$11,IF(DL314&lt;=Hypothèses!$V$12,Hypothèses!$W$12,IF(DL314&lt;=Hypothèses!$V$13,Hypothèses!$W$13,IF(DL314&lt;=Hypothèses!$V$14,Hypothèses!$W$14,IF(DL314&lt;=Hypothèses!$V$15,Hypothèses!$W$15,IF(DL314&lt;=Hypothèses!$V$16,Hypothèses!$W$16,IF(DL314&lt;=Hypothèses!$V$17,Hypothèses!$W$17,IF(DL314&lt;=Hypothèses!$V$18,Hypothèses!$W$18,""))))))))))))</f>
        <v>#DIV/0!</v>
      </c>
      <c r="EG314" s="87" t="e">
        <f t="shared" ca="1" si="522"/>
        <v>#DIV/0!</v>
      </c>
      <c r="EH314" s="88" t="e">
        <f ca="1">IF(DL314&lt;=Hypothèses!$V$7,Hypothèses!$X$7,IF(DL314&lt;=Hypothèses!$V$8,Hypothèses!$X$8,IF(DL314&lt;=Hypothèses!$V$9,Hypothèses!$X$9,IF(DL314&lt;=Hypothèses!$V$10,Hypothèses!$X$10,IF(DL314&lt;=Hypothèses!$V$11,Hypothèses!$X$11,IF(DL314&lt;=Hypothèses!$V$12,Hypothèses!$X$12,IF(DL314&lt;=Hypothèses!$V$13,Hypothèses!$X$13,IF(DL314&lt;=Hypothèses!$V$14,Hypothèses!$X$14,IF(DL314&lt;=Hypothèses!$V$15,Hypothèses!$X$15,IF(DL314&lt;=Hypothèses!$V$16,Hypothèses!$X$16,IF(DL314&lt;=Hypothèses!$U$17,Hypothèses!$W$17,IF(DL314&lt;=Hypothèses!$U$18,Hypothèses!$W$18,""))))))))))))</f>
        <v>#DIV/0!</v>
      </c>
      <c r="EI314" s="95" t="e">
        <f t="shared" ca="1" si="493"/>
        <v>#DIV/0!</v>
      </c>
      <c r="EJ314" s="101" t="e">
        <f t="shared" si="529"/>
        <v>#N/A</v>
      </c>
      <c r="EK314" s="91" t="e">
        <f t="shared" si="462"/>
        <v>#N/A</v>
      </c>
      <c r="EL314" s="30" t="e">
        <f t="shared" si="512"/>
        <v>#N/A</v>
      </c>
      <c r="EM314" s="30" t="e">
        <f t="shared" si="513"/>
        <v>#N/A</v>
      </c>
      <c r="EN314" s="31" t="e">
        <f>IF(OR(Hypothèses!$B$4=17,Hypothèses!$B$4=18,Hypothèses!$B$4=19,Hypothèses!$B$4=20),
IF($D314="Pressio.",
IF(OR($E314=3,$E314=1,$E314=4),EM314,EL314),
IF($D314="Pénétro.",
IF(OR($E314=3,$E314=1,$E314=4),EM314,EL314))),IF($D314="Pressio.",
IF($E314=3,EM314,EL314),
IF($D314="Pénétro.",
IF($E314=4,EM314,EL314))))</f>
        <v>#N/A</v>
      </c>
      <c r="EO314" s="31" t="e">
        <f>(IF(OR(Hypothèses!$B$4=17,Hypothèses!$B$4=18,Hypothèses!$B$4=19,Hypothèses!$B$4=20),
IF($D314="Pressio.",
IF(OR($E314=3,$E314=1,$E314=4),(PI()*EO$12^2)/4*(EK314*$W314*1000)/($H314*$B$5),(PI()*EO$12^2)/4*(EK314*$W314*1000)/($G314*$B$5)),
IF($D314="Pénétro.",
IF(OR($E314=4,$E314=1,$E314=5),(PI()*EO$12^2)/4*(EK314*$W314*1000)/($H314*$B$5),(PI()*EO$12^2)/4*(EK314*$W314*1000)/($G314*$B$5)))),
IF($D314="Pressio.",
IF($E314=3,(PI()*EO$12^2)/4*(EK314*$W314*1000)/($H314*$B$5),(PI()*EO$12^2)/4*(EK314*$W314*1000)/($G314*$B$5)),
IF($D314="Pénétro.",
IF($E314=4,(PI()*EO$12^2)/4*(EK314*$W314*1000)/($H314*$B$5),(PI()*EO$12^2)/4*(EK314*$W314*1000)/($G314*$B$5))))))/10</f>
        <v>#N/A</v>
      </c>
      <c r="EP314" s="102" t="e">
        <f>(VLOOKUP($B$3,'Coeff EC7'!$T$39:$X$59,2,0)*EN314+VLOOKUP($B$3,'Coeff EC7'!$T$65:$X$85,2,0)*Model0.1C!EO314)/1.1</f>
        <v>#N/A</v>
      </c>
      <c r="EQ314" s="102" t="e">
        <f>(VLOOKUP($B$3,'Coeff EC7'!$T$39:$X$59,3,0)*EN314+VLOOKUP($B$3,'Coeff EC7'!$T$65:$X$85,3,0)*Model0.1C!EO314)/0.9</f>
        <v>#N/A</v>
      </c>
      <c r="ER314" s="102" t="e">
        <f t="shared" si="494"/>
        <v>#N/A</v>
      </c>
      <c r="ES314" s="102" t="e">
        <f t="shared" si="495"/>
        <v>#N/A</v>
      </c>
      <c r="ET314" s="414" t="e">
        <f>IF(ET313=0,0,IF(AND(EP314&gt;charge_ELS_quasi,EQ314&gt;Charge_ELS_freq,ER314&gt;charge_ELU,ES314&gt;charge_ELA,$B314&gt;NDC!$H$22-0.1+MIN(3*$ET$12,1.5)),0,1))</f>
        <v>#N/A</v>
      </c>
      <c r="EU314" s="86" t="b">
        <f t="shared" si="463"/>
        <v>0</v>
      </c>
      <c r="EV314" s="86">
        <f t="shared" si="464"/>
        <v>0.61</v>
      </c>
      <c r="EW314" s="86">
        <f t="shared" si="465"/>
        <v>0.61</v>
      </c>
      <c r="EX314" s="30" t="e">
        <f t="shared" ca="1" si="496"/>
        <v>#DIV/0!</v>
      </c>
      <c r="EY314" s="85" t="e">
        <f ca="1">IF(EE314&lt;=Hypothèses!$V$7,Hypothèses!$W$7,IF(EE314&lt;=Hypothèses!$V$8,Hypothèses!$W$8,IF(EE314&lt;=Hypothèses!$V$9,Hypothèses!$W$9,IF(EE314&lt;=Hypothèses!$V$10,Hypothèses!$W$10,IF(EE314&lt;=Hypothèses!$V$11,Hypothèses!$W$11,IF(EE314&lt;=Hypothèses!$V$12,Hypothèses!$W$12,IF(EE314&lt;=Hypothèses!$V$13,Hypothèses!$W$13,IF(EE314&lt;=Hypothèses!$V$14,Hypothèses!$W$14,IF(EE314&lt;=Hypothèses!$V$15,Hypothèses!$W$15,IF(EE314&lt;=Hypothèses!$V$16,Hypothèses!$W$16,IF(EE314&lt;=Hypothèses!$V$17,Hypothèses!$W$17,IF(EE314&lt;=Hypothèses!$V$18,Hypothèses!$W$18,""))))))))))))</f>
        <v>#DIV/0!</v>
      </c>
      <c r="EZ314" s="87" t="e">
        <f t="shared" ca="1" si="523"/>
        <v>#DIV/0!</v>
      </c>
      <c r="FA314" s="88" t="e">
        <f ca="1">IF(EE314&lt;=Hypothèses!$V$7,Hypothèses!$X$7,IF(EE314&lt;=Hypothèses!$V$8,Hypothèses!$X$8,IF(EE314&lt;=Hypothèses!$V$9,Hypothèses!$X$9,IF(EE314&lt;=Hypothèses!$V$10,Hypothèses!$X$10,IF(EE314&lt;=Hypothèses!$V$11,Hypothèses!$X$11,IF(EE314&lt;=Hypothèses!$V$12,Hypothèses!$X$12,IF(EE314&lt;=Hypothèses!$V$13,Hypothèses!$X$13,IF(EE314&lt;=Hypothèses!$V$14,Hypothèses!$X$14,IF(EE314&lt;=Hypothèses!$V$15,Hypothèses!$X$15,IF(EE314&lt;=Hypothèses!$V$16,Hypothèses!$X$16,IF(EE314&lt;=Hypothèses!$U$17,Hypothèses!$W$17,IF(EE314&lt;=Hypothèses!$U$18,Hypothèses!$W$18,""))))))))))))</f>
        <v>#DIV/0!</v>
      </c>
      <c r="FB314" s="95" t="e">
        <f t="shared" ca="1" si="497"/>
        <v>#DIV/0!</v>
      </c>
      <c r="FC314" s="101" t="e">
        <f t="shared" si="530"/>
        <v>#N/A</v>
      </c>
      <c r="FD314" s="91" t="e">
        <f t="shared" si="466"/>
        <v>#N/A</v>
      </c>
      <c r="FE314" s="30" t="e">
        <f t="shared" si="514"/>
        <v>#N/A</v>
      </c>
      <c r="FF314" s="30" t="e">
        <f t="shared" si="515"/>
        <v>#N/A</v>
      </c>
      <c r="FG314" s="31" t="e">
        <f>IF(OR(Hypothèses!$B$4=17,Hypothèses!$B$4=18,Hypothèses!$B$4=19,Hypothèses!$B$4=20),
IF($D314="Pressio.",
IF(OR($E314=3,$E314=1,$E314=4),FF314,FE314),
IF($D314="Pénétro.",
IF(OR($E314=3,$E314=1,$E314=4),FF314,FE314))),IF($D314="Pressio.",
IF($E314=3,FF314,FE314),
IF($D314="Pénétro.",
IF($E314=4,FF314,FE314))))</f>
        <v>#N/A</v>
      </c>
      <c r="FH314" s="31" t="e">
        <f>(IF(OR(Hypothèses!$B$4=17,Hypothèses!$B$4=18,Hypothèses!$B$4=19,Hypothèses!$B$4=20),
IF($D314="Pressio.",
IF(OR($E314=3,$E314=1,$E314=4),(PI()*FH$12^2)/4*(FD314*$W314*1000)/($H314*$B$5),(PI()*FH$12^2)/4*(FD314*$W314*1000)/($G314*$B$5)),
IF($D314="Pénétro.",
IF(OR($E314=4,$E314=1,$E314=5),(PI()*FH$12^2)/4*(FD314*$W314*1000)/($H314*$B$5),(PI()*FH$12^2)/4*(FD314*$W314*1000)/($G314*$B$5)))),
IF($D314="Pressio.",
IF($E314=3,(PI()*FH$12^2)/4*(FD314*$W314*1000)/($H314*$B$5),(PI()*FH$12^2)/4*(FD314*$W314*1000)/($G314*$B$5)),
IF($D314="Pénétro.",
IF($E314=4,(PI()*FH$12^2)/4*(FD314*$W314*1000)/($H314*$B$5),(PI()*FH$12^2)/4*(FD314*$W314*1000)/($G314*$B$5))))))/10</f>
        <v>#N/A</v>
      </c>
      <c r="FI314" s="102" t="e">
        <f>(VLOOKUP($B$3,'Coeff EC7'!$T$39:$X$59,2,0)*FG314+VLOOKUP($B$3,'Coeff EC7'!$T$65:$X$85,2,0)*Model0.1C!FH314)/1.1</f>
        <v>#N/A</v>
      </c>
      <c r="FJ314" s="102" t="e">
        <f>(VLOOKUP($B$3,'Coeff EC7'!$T$39:$X$59,3,0)*FG314+VLOOKUP($B$3,'Coeff EC7'!$T$65:$X$85,3,0)*Model0.1C!FH314)/0.9</f>
        <v>#N/A</v>
      </c>
      <c r="FK314" s="102" t="e">
        <f t="shared" si="498"/>
        <v>#N/A</v>
      </c>
      <c r="FL314" s="102" t="e">
        <f t="shared" si="499"/>
        <v>#N/A</v>
      </c>
      <c r="FM314" s="414" t="e">
        <f>IF(FM313=0,0,IF(AND(FI314&gt;charge_ELS_quasi,FJ314&gt;Charge_ELS_freq,FK314&gt;charge_ELU,FL314&gt;charge_ELA,$B314&gt;NDC!$H$22-0.1+MIN(3*$FM$12,1.5)),0,1))</f>
        <v>#N/A</v>
      </c>
    </row>
    <row r="315" spans="1:169">
      <c r="A315" s="96">
        <f t="shared" si="467"/>
        <v>69.800000000001717</v>
      </c>
      <c r="B315" s="97">
        <v>30.2</v>
      </c>
      <c r="C315" s="81">
        <f>IF(B315&lt;=Hypothèses!$C$7,Hypothèses!$A$7,IF(B315&lt;=Hypothèses!$C$8,Hypothèses!$A$8,IF(B315&lt;=Hypothèses!$C$9,Hypothèses!$A$9,IF(B315&lt;=Hypothèses!$C$10,Hypothèses!$A$10,IF(B315&lt;=Hypothèses!$C$11,Hypothèses!$A$11,IF(B315&lt;=Hypothèses!$C$12,Hypothèses!$A$12,IF(B315&lt;=Hypothèses!$C$13,Hypothèses!$A$13,IF(B315&lt;=Hypothèses!$C$14,Hypothèses!$A$14,IF(B315&lt;=Hypothèses!$C$15,Hypothèses!$A$15,IF(B315&lt;=Hypothèses!$C$16,Hypothèses!$A$16,IF(B315&lt;=Hypothèses!$C$17,Hypothèses!$A$17,IF(B315&lt;=Hypothèses!$C$18,Hypothèses!$A$18,C314))))))))))))</f>
        <v>11</v>
      </c>
      <c r="D315" s="82" t="str">
        <f>IF(B315&lt;=Hypothèses!$C$7,Hypothèses!$R$7,IF(B315&lt;=Hypothèses!$C$8,Hypothèses!$R$8,IF(B315&lt;=Hypothèses!$C$9,Hypothèses!$R$9,IF(B315&lt;=Hypothèses!$C$10,Hypothèses!$R$10,IF(B315&lt;=Hypothèses!$C$11,Hypothèses!$R$11,IF(B315&lt;=Hypothèses!$C$12,Hypothèses!$R$12,IF(B315&lt;=Hypothèses!$C$13,Hypothèses!$R$13,IF(B315&lt;=Hypothèses!$C$14,Hypothèses!$R$14,IF(B315&lt;=Hypothèses!$C$15,Hypothèses!$R$15,IF(B315&lt;=Hypothèses!$C$16,Hypothèses!$R$16,IF(B315&lt;=Hypothèses!$C$17,Hypothèses!$R$17,IF(B315&lt;=Hypothèses!$C$18,Hypothèses!$R$18,D314))))))))))))</f>
        <v>Pressio.</v>
      </c>
      <c r="E315" s="82" t="e">
        <f>IF(B315&lt;=Hypothèses!$C$7,Hypothèses!$G$7,IF(B315&lt;=Hypothèses!$C$8,Hypothèses!$G$8,IF(B315&lt;=Hypothèses!$C$9,Hypothèses!$G$9,IF(B315&lt;=Hypothèses!$C$10,Hypothèses!$G$10,IF(B315&lt;=Hypothèses!$C$11,Hypothèses!$G$11,IF(B315&lt;=Hypothèses!$C$12,Hypothèses!$G$12,IF(B315&lt;=Hypothèses!$C$13,Hypothèses!$G$13,IF(B315&lt;=Hypothèses!$C$14,Hypothèses!$G$14,IF(B315&lt;=Hypothèses!$C$15,Hypothèses!$G$15,IF(B315&lt;=Hypothèses!$C$16,Hypothèses!$G$16,IF(B315&lt;=Hypothèses!$C$17,Hypothèses!$G$17,IF(B315&lt;=Hypothèses!$C$18,Hypothèses!$G$18,E314))))))))))))</f>
        <v>#N/A</v>
      </c>
      <c r="F315" s="82" t="str">
        <f>IF(B315&lt;=Hypothèses!$C$7,Hypothèses!$F$7,IF(B315&lt;=Hypothèses!$C$8,Hypothèses!$F$8,IF(B315&lt;=Hypothèses!$C$9,Hypothèses!$F$9,IF(B315&lt;=Hypothèses!$C$10,Hypothèses!$F$10,IF(B315&lt;=Hypothèses!$C$11,Hypothèses!$F$11,IF(B315&lt;=Hypothèses!$C$12,Hypothèses!$F$12,IF(B315&lt;=Hypothèses!$C$13,Hypothèses!$F$13,IF(B315&lt;=Hypothèses!$C$14,Hypothèses!$F$14,IF(B315&lt;=Hypothèses!$C$15,Hypothèses!$F$15,IF(B315&lt;=Hypothèses!$C$16,Hypothèses!$F$16,IF(B315&lt;=Hypothèses!$C$17,Hypothèses!$F$17,IF(B315&lt;=Hypothèses!$C$18,Hypothèses!$F$18,F314))))))))))))</f>
        <v/>
      </c>
      <c r="G315" s="91">
        <f t="array" ref="G315">INDEX('Coeff EC7'!$U$7:$X$27,
MATCH(Model0.1C!$B$3,'Coeff EC7'!$T$7:$T$27,0),
MATCH(Model0.1C!$D315&amp;Model0.1C!$B$4,
'Coeff EC7'!$U$6:$X$6&amp;
'Coeff EC7'!$U$5:$X$5,0))</f>
        <v>1.1499999999999999</v>
      </c>
      <c r="H315" s="91">
        <f t="array" ref="H315">INDEX('Coeff EC7'!$Y$7:$AB$27,
MATCH(Model0.1C!$B$3,'Coeff EC7'!$T$7:$T$27,0),
MATCH(Model0.1C!$D315&amp;Model0.1C!$B$4,
'Coeff EC7'!$Y$6:$AB$6&amp;
'Coeff EC7'!$Y$5:$AB$5,0))</f>
        <v>1.4</v>
      </c>
      <c r="I315" s="83" t="e">
        <f>IF(B315&lt;=Hypothèses!$C$7,Hypothèses!$P$7,IF(B315&lt;=Hypothèses!$C$8,Hypothèses!$P$8,IF(B315&lt;=Hypothèses!$C$9,Hypothèses!$P$9,IF(B315&lt;=Hypothèses!$C$10,Hypothèses!$P$10,IF(B315&lt;=Hypothèses!$C$11,Hypothèses!$P$11,IF(B315&lt;=Hypothèses!$C$12,Hypothèses!$P$12,IF(B315&lt;=Hypothèses!$C$13,Hypothèses!$P$13,IF(B315&lt;=Hypothèses!$C$14,Hypothèses!$P$14,IF(B315&lt;=Hypothèses!$C$15,Hypothèses!$P$15,IF(B315&lt;=Hypothèses!$C$16,Hypothèses!$P$16,IF(B315&lt;=Hypothèses!$C$17,Hypothèses!$P$17,IF(B315&lt;=Hypothèses!$C$18,Hypothèses!$P$18,I314))))))))))))</f>
        <v>#N/A</v>
      </c>
      <c r="J315" s="91" t="e">
        <f t="array" ref="J315">INDEX('Coeff EC7'!$D$33:$Q$33,1,MATCH(D315&amp;E315,'Coeff EC7'!$D$31:$Q$31&amp;'Coeff EC7'!$D$32:$Q$32,0))</f>
        <v>#N/A</v>
      </c>
      <c r="K315" s="91" t="e">
        <f t="array" ref="K315">INDEX('Coeff EC7'!$D$34:$Q$34,1,MATCH(D315&amp;E315,'Coeff EC7'!$D$31:$Q$31&amp;'Coeff EC7'!$D$32:$Q$32,0))</f>
        <v>#N/A</v>
      </c>
      <c r="L315" s="91" t="e">
        <f t="array" ref="L315">INDEX('Coeff EC7'!$D$35:$Q$35,1,MATCH(D315&amp;E315,'Coeff EC7'!$D$31:$Q$31&amp;'Coeff EC7'!$D$32:$Q$32,0))</f>
        <v>#N/A</v>
      </c>
      <c r="M315" s="98" t="e">
        <f t="shared" si="431"/>
        <v>#N/A</v>
      </c>
      <c r="N315" s="99" t="e">
        <f t="array" ref="N315">INDEX('Coeff EC7'!$D$7:$Q$27,MATCH($B$3,'Coeff EC7'!$C$7:$C$27,0),MATCH(D315&amp;E315,'Coeff EC7'!$D$5:$Q$5&amp;'Coeff EC7'!$D$6:$Q$6,0))</f>
        <v>#N/A</v>
      </c>
      <c r="O315" s="99" t="e">
        <f t="array" ref="O315">INDEX('Coeff EC7'!$D$41:$Q$61,MATCH($B$3,'Coeff EC7'!$C$41:$C$61,0),MATCH(D315&amp;E315,'Coeff EC7'!$D$39:$Q$39&amp;'Coeff EC7'!$D$40:$Q$40,0))</f>
        <v>#N/A</v>
      </c>
      <c r="P315" s="30" t="e">
        <f t="shared" si="468"/>
        <v>#N/A</v>
      </c>
      <c r="Q315" s="100" t="e">
        <f t="shared" si="433"/>
        <v>#N/A</v>
      </c>
      <c r="R315" s="86" t="b">
        <f t="shared" si="434"/>
        <v>0</v>
      </c>
      <c r="S315" s="86">
        <f t="shared" si="432"/>
        <v>0.5</v>
      </c>
      <c r="T315" s="86">
        <f t="shared" si="435"/>
        <v>0.5</v>
      </c>
      <c r="U315" s="30" t="e">
        <f t="shared" ca="1" si="469"/>
        <v>#DIV/0!</v>
      </c>
      <c r="V315" s="85" t="str">
        <f>IF(B315&lt;=Hypothèses!$V$7,Hypothèses!$W$7,IF(B315&lt;=Hypothèses!$V$8,Hypothèses!$W$8,IF(B315&lt;=Hypothèses!$V$9,Hypothèses!$W$9,IF(B315&lt;=Hypothèses!$V$10,Hypothèses!$W$10,IF(B315&lt;=Hypothèses!$V$11,Hypothèses!$W$11,IF(B315&lt;=Hypothèses!$V$12,Hypothèses!$W$12,IF(B315&lt;=Hypothèses!$V$13,Hypothèses!$W$13,IF(B315&lt;=Hypothèses!$V$14,Hypothèses!$W$14,IF(B315&lt;=Hypothèses!$V$15,Hypothèses!$W$15,IF(B315&lt;=Hypothèses!$V$16,Hypothèses!$W$16,IF(B315&lt;=Hypothèses!$V$17,Hypothèses!$W$17,IF(B315&lt;=Hypothèses!$V$18,Hypothèses!$W$18,""))))))))))))</f>
        <v/>
      </c>
      <c r="W315" s="87" t="e">
        <f t="shared" ca="1" si="516"/>
        <v>#DIV/0!</v>
      </c>
      <c r="X315" s="88" t="str">
        <f>IF(B315&lt;=Hypothèses!$V$7,Hypothèses!$X$7,IF(B315&lt;=Hypothèses!$V$8,Hypothèses!$X$8,IF(B315&lt;=Hypothèses!$V$9,Hypothèses!$X$9,IF(B315&lt;=Hypothèses!$V$10,Hypothèses!$X$10,IF(B315&lt;=Hypothèses!$V$11,Hypothèses!$X$11,IF(B315&lt;=Hypothèses!$V$12,Hypothèses!$X$12,IF(B315&lt;=Hypothèses!$V$13,Hypothèses!$X$13,IF(B315&lt;=Hypothèses!$V$14,Hypothèses!$X$14,IF(B315&lt;=Hypothèses!$V$15,Hypothèses!$X$15,IF(B315&lt;=Hypothèses!$V$16,Hypothèses!$X$16,IF(B315&lt;=Hypothèses!$U$17,Hypothèses!$W$17,IF(B315&lt;=Hypothèses!$U$18,Hypothèses!$W$18,""))))))))))))</f>
        <v/>
      </c>
      <c r="Y315" s="95" t="e">
        <f t="shared" ca="1" si="436"/>
        <v>#DIV/0!</v>
      </c>
      <c r="Z315" s="101" t="e">
        <f t="shared" si="437"/>
        <v>#N/A</v>
      </c>
      <c r="AA315" s="91" t="e">
        <f t="shared" si="438"/>
        <v>#N/A</v>
      </c>
      <c r="AB315" s="30" t="e">
        <f t="shared" si="500"/>
        <v>#N/A</v>
      </c>
      <c r="AC315" s="30" t="e">
        <f t="shared" si="501"/>
        <v>#N/A</v>
      </c>
      <c r="AD315" s="31" t="e">
        <f>IF(OR(Hypothèses!$B$4=17,Hypothèses!$B$4=18,Hypothèses!$B$4=19,Hypothèses!$B$4=20),
IF($D315="Pressio.",
IF(OR($E315=3,$E315=1,$E315=4),AC315,AB315),
IF($D315="Pénétro.",
IF(OR($E315=3,$E315=1,$E315=4),AC315,AB315))),IF($D315="Pressio.",
IF($E315=3,AC315,AB315),
IF($D315="Pénétro.",
IF($E315=4,AC315,AB315))))</f>
        <v>#N/A</v>
      </c>
      <c r="AE315" s="31" t="e">
        <f>(IF(OR(Hypothèses!$B$4=17,Hypothèses!$B$4=18,Hypothèses!$B$4=19,Hypothèses!$B$4=20),
IF($D315="Pressio.",
IF(OR($E315=3,$E315=1,$E315=4),(PI()*AE$12^2)/4*(AA315*$W315*1000)/($H315*$B$5),(PI()*AE$12^2)/4*(AA315*$W315*1000)/($G315*$B$5)),
IF($D315="Pénétro.",
IF(OR($E315=4,$E315=1,$E315=5),(PI()*AE$12^2)/4*(AA315*$W315*1000)/($H315*$B$5),(PI()*AE$12^2)/4*(AA315*$W315*1000)/($G315*$B$5)))),
IF($D315="Pressio.",
IF($E315=3,(PI()*AE$12^2)/4*(AA315*$W315*1000)/($H315*$B$5),(PI()*AE$12^2)/4*(AA315*$W315*1000)/($G315*$B$5)),
IF($D315="Pénétro.",
IF($E315=4,(PI()*AE$12^2)/4*(AA315*$W315*1000)/($H315*$B$5),(PI()*AE$12^2)/4*(AA315*$W315*1000)/($G315*$B$5))))))/10</f>
        <v>#N/A</v>
      </c>
      <c r="AF315" s="102" t="e">
        <f>(VLOOKUP($B$3,'Coeff EC7'!$T$39:$X$59,2,0)*AD315+VLOOKUP($B$3,'Coeff EC7'!$T$65:$X$85,2,0)*Model0.1C!AE315)/1.1</f>
        <v>#N/A</v>
      </c>
      <c r="AG315" s="102" t="e">
        <f>(VLOOKUP($B$3,'Coeff EC7'!$T$39:$X$59,3,0)*AD315+VLOOKUP($B$3,'Coeff EC7'!$T$65:$X$85,3,0)*Model0.1C!AE315)/0.9</f>
        <v>#N/A</v>
      </c>
      <c r="AH315" s="102" t="e">
        <f t="shared" si="439"/>
        <v>#N/A</v>
      </c>
      <c r="AI315" s="102" t="e">
        <f t="shared" si="440"/>
        <v>#N/A</v>
      </c>
      <c r="AJ315" s="414" t="e">
        <f>IF(AJ314=0,0,IF(AND(AF315&gt;charge_ELS_quasi,AG315&gt;Charge_ELS_freq,AH315&gt;charge_ELU,AI315&gt;charge_ELA,$B315&gt;NDC!$H$22-0.1+MIN(3*$AJ$12,1.5)),0,1))</f>
        <v>#N/A</v>
      </c>
      <c r="AK315" s="86" t="b">
        <f t="shared" si="441"/>
        <v>0</v>
      </c>
      <c r="AL315" s="86">
        <f t="shared" si="470"/>
        <v>0.5</v>
      </c>
      <c r="AM315" s="86">
        <f t="shared" si="442"/>
        <v>0.5</v>
      </c>
      <c r="AN315" s="30" t="e">
        <f t="shared" ca="1" si="471"/>
        <v>#DIV/0!</v>
      </c>
      <c r="AO315" s="85" t="e">
        <f ca="1">IF(U315&lt;=Hypothèses!$V$7,Hypothèses!$W$7,IF(U315&lt;=Hypothèses!$V$8,Hypothèses!$W$8,IF(U315&lt;=Hypothèses!$V$9,Hypothèses!$W$9,IF(U315&lt;=Hypothèses!$V$10,Hypothèses!$W$10,IF(U315&lt;=Hypothèses!$V$11,Hypothèses!$W$11,IF(U315&lt;=Hypothèses!$V$12,Hypothèses!$W$12,IF(U315&lt;=Hypothèses!$V$13,Hypothèses!$W$13,IF(U315&lt;=Hypothèses!$V$14,Hypothèses!$W$14,IF(U315&lt;=Hypothèses!$V$15,Hypothèses!$W$15,IF(U315&lt;=Hypothèses!$V$16,Hypothèses!$W$16,IF(U315&lt;=Hypothèses!$V$17,Hypothèses!$W$17,IF(U315&lt;=Hypothèses!$V$18,Hypothèses!$W$18,""))))))))))))</f>
        <v>#DIV/0!</v>
      </c>
      <c r="AP315" s="87" t="e">
        <f t="shared" ca="1" si="517"/>
        <v>#DIV/0!</v>
      </c>
      <c r="AQ315" s="88" t="e">
        <f ca="1">IF(U315&lt;=Hypothèses!$V$7,Hypothèses!$X$7,IF(U315&lt;=Hypothèses!$V$8,Hypothèses!$X$8,IF(U315&lt;=Hypothèses!$V$9,Hypothèses!$X$9,IF(U315&lt;=Hypothèses!$V$10,Hypothèses!$X$10,IF(U315&lt;=Hypothèses!$V$11,Hypothèses!$X$11,IF(U315&lt;=Hypothèses!$V$12,Hypothèses!$X$12,IF(U315&lt;=Hypothèses!$V$13,Hypothèses!$X$13,IF(U315&lt;=Hypothèses!$V$14,Hypothèses!$X$14,IF(U315&lt;=Hypothèses!$V$15,Hypothèses!$X$15,IF(U315&lt;=Hypothèses!$V$16,Hypothèses!$X$16,IF(U315&lt;=Hypothèses!$U$17,Hypothèses!$W$17,IF(U315&lt;=Hypothèses!$U$18,Hypothèses!$W$18,""))))))))))))</f>
        <v>#DIV/0!</v>
      </c>
      <c r="AR315" s="95" t="e">
        <f t="shared" ca="1" si="472"/>
        <v>#DIV/0!</v>
      </c>
      <c r="AS315" s="101" t="e">
        <f t="shared" si="524"/>
        <v>#N/A</v>
      </c>
      <c r="AT315" s="91" t="e">
        <f t="shared" si="443"/>
        <v>#N/A</v>
      </c>
      <c r="AU315" s="30" t="e">
        <f t="shared" si="502"/>
        <v>#N/A</v>
      </c>
      <c r="AV315" s="30" t="e">
        <f t="shared" si="503"/>
        <v>#N/A</v>
      </c>
      <c r="AW315" s="31" t="e">
        <f>IF(OR(Hypothèses!$B$4=17,Hypothèses!$B$4=18,Hypothèses!$B$4=19,Hypothèses!$B$4=20),
IF($D315="Pressio.",
IF(OR($E315=3,$E315=1,$E315=4),AV315,AU315),
IF($D315="Pénétro.",
IF(OR($E315=3,$E315=1,$E315=4),AV315,AU315))),IF($D315="Pressio.",
IF($E315=3,AV315,AU315),
IF($D315="Pénétro.",
IF($E315=4,AV315,AU315))))</f>
        <v>#N/A</v>
      </c>
      <c r="AX315" s="31" t="e">
        <f>(IF(OR(Hypothèses!$B$4=17,Hypothèses!$B$4=18,Hypothèses!$B$4=19,Hypothèses!$B$4=20),
IF($D315="Pressio.",
IF(OR($E315=3,$E315=1,$E315=4),(PI()*AX$12^2)/4*(AT315*$W315*1000)/($H315*$B$5),(PI()*AX$12^2)/4*(AT315*$W315*1000)/($G315*$B$5)),
IF($D315="Pénétro.",
IF(OR($E315=4,$E315=1,$E315=5),(PI()*AX$12^2)/4*(AT315*$W315*1000)/($H315*$B$5),(PI()*AX$12^2)/4*(AT315*$W315*1000)/($G315*$B$5)))),
IF($D315="Pressio.",
IF($E315=3,(PI()*AX$12^2)/4*(AT315*$W315*1000)/($H315*$B$5),(PI()*AX$12^2)/4*(AT315*$W315*1000)/($G315*$B$5)),
IF($D315="Pénétro.",
IF($E315=4,(PI()*AX$12^2)/4*(AT315*$W315*1000)/($H315*$B$5),(PI()*AX$12^2)/4*(AT315*$W315*1000)/($G315*$B$5))))))/10</f>
        <v>#N/A</v>
      </c>
      <c r="AY315" s="102" t="e">
        <f>(VLOOKUP($B$3,'Coeff EC7'!$T$39:$X$59,2,0)*AW315+VLOOKUP($B$3,'Coeff EC7'!$T$65:$X$85,2,0)*Model0.1C!AX315)/1.1</f>
        <v>#N/A</v>
      </c>
      <c r="AZ315" s="102" t="e">
        <f>(VLOOKUP($B$3,'Coeff EC7'!$T$39:$X$59,3,0)*AW315+VLOOKUP($B$3,'Coeff EC7'!$T$65:$X$85,3,0)*Model0.1C!AX315)/0.9</f>
        <v>#N/A</v>
      </c>
      <c r="BA315" s="102" t="e">
        <f t="shared" si="473"/>
        <v>#N/A</v>
      </c>
      <c r="BB315" s="102" t="e">
        <f t="shared" si="474"/>
        <v>#N/A</v>
      </c>
      <c r="BC315" s="414" t="e">
        <f>IF(BC314=0,0,IF(AND(AY315&gt;charge_ELS_quasi,AZ315&gt;Charge_ELS_freq,BA315&gt;charge_ELU,BB315&gt;charge_ELA,$B315&gt;NDC!$H$22-0.1+MIN(3*$BC$12,1.5)),0,1))</f>
        <v>#N/A</v>
      </c>
      <c r="BD315" s="86" t="b">
        <f t="shared" si="444"/>
        <v>0</v>
      </c>
      <c r="BE315" s="86">
        <f t="shared" si="475"/>
        <v>0.5</v>
      </c>
      <c r="BF315" s="86">
        <f t="shared" si="445"/>
        <v>0.5</v>
      </c>
      <c r="BG315" s="30" t="e">
        <f t="shared" ca="1" si="476"/>
        <v>#DIV/0!</v>
      </c>
      <c r="BH315" s="85" t="e">
        <f ca="1">IF(AN315&lt;=Hypothèses!$V$7,Hypothèses!$W$7,IF(AN315&lt;=Hypothèses!$V$8,Hypothèses!$W$8,IF(AN315&lt;=Hypothèses!$V$9,Hypothèses!$W$9,IF(AN315&lt;=Hypothèses!$V$10,Hypothèses!$W$10,IF(AN315&lt;=Hypothèses!$V$11,Hypothèses!$W$11,IF(AN315&lt;=Hypothèses!$V$12,Hypothèses!$W$12,IF(AN315&lt;=Hypothèses!$V$13,Hypothèses!$W$13,IF(AN315&lt;=Hypothèses!$V$14,Hypothèses!$W$14,IF(AN315&lt;=Hypothèses!$V$15,Hypothèses!$W$15,IF(AN315&lt;=Hypothèses!$V$16,Hypothèses!$W$16,IF(AN315&lt;=Hypothèses!$V$17,Hypothèses!$W$17,IF(AN315&lt;=Hypothèses!$V$18,Hypothèses!$W$18,""))))))))))))</f>
        <v>#DIV/0!</v>
      </c>
      <c r="BI315" s="87" t="e">
        <f t="shared" ca="1" si="518"/>
        <v>#DIV/0!</v>
      </c>
      <c r="BJ315" s="88" t="e">
        <f ca="1">IF(AN315&lt;=Hypothèses!$V$7,Hypothèses!$X$7,IF(AN315&lt;=Hypothèses!$V$8,Hypothèses!$X$8,IF(AN315&lt;=Hypothèses!$V$9,Hypothèses!$X$9,IF(AN315&lt;=Hypothèses!$V$10,Hypothèses!$X$10,IF(AN315&lt;=Hypothèses!$V$11,Hypothèses!$X$11,IF(AN315&lt;=Hypothèses!$V$12,Hypothèses!$X$12,IF(AN315&lt;=Hypothèses!$V$13,Hypothèses!$X$13,IF(AN315&lt;=Hypothèses!$V$14,Hypothèses!$X$14,IF(AN315&lt;=Hypothèses!$V$15,Hypothèses!$X$15,IF(AN315&lt;=Hypothèses!$V$16,Hypothèses!$X$16,IF(AN315&lt;=Hypothèses!$U$17,Hypothèses!$W$17,IF(AN315&lt;=Hypothèses!$U$18,Hypothèses!$W$18,""))))))))))))</f>
        <v>#DIV/0!</v>
      </c>
      <c r="BK315" s="95" t="e">
        <f t="shared" ca="1" si="477"/>
        <v>#DIV/0!</v>
      </c>
      <c r="BL315" s="101" t="e">
        <f t="shared" si="525"/>
        <v>#N/A</v>
      </c>
      <c r="BM315" s="91" t="e">
        <f t="shared" si="446"/>
        <v>#N/A</v>
      </c>
      <c r="BN315" s="30" t="e">
        <f t="shared" si="504"/>
        <v>#N/A</v>
      </c>
      <c r="BO315" s="30" t="e">
        <f t="shared" si="505"/>
        <v>#N/A</v>
      </c>
      <c r="BP315" s="31" t="e">
        <f>IF(OR(Hypothèses!$B$4=17,Hypothèses!$B$4=18,Hypothèses!$B$4=19,Hypothèses!$B$4=20),
IF($D315="Pressio.",
IF(OR($E315=3,$E315=1,$E315=4),BO315,BN315),
IF($D315="Pénétro.",
IF(OR($E315=3,$E315=1,$E315=4),BO315,BN315))),IF($D315="Pressio.",
IF($E315=3,BO315,BN315),
IF($D315="Pénétro.",
IF($E315=4,BO315,BN315))))</f>
        <v>#N/A</v>
      </c>
      <c r="BQ315" s="31" t="e">
        <f>(IF(OR(Hypothèses!$B$4=17,Hypothèses!$B$4=18,Hypothèses!$B$4=19,Hypothèses!$B$4=20),
IF($D315="Pressio.",
IF(OR($E315=3,$E315=1,$E315=4),(PI()*BQ$12^2)/4*(BM315*$W315*1000)/($H315*$B$5),(PI()*BQ$12^2)/4*(BM315*$W315*1000)/($G315*$B$5)),
IF($D315="Pénétro.",
IF(OR($E315=4,$E315=1,$E315=5),(PI()*BQ$12^2)/4*(BM315*$W315*1000)/($H315*$B$5),(PI()*BQ$12^2)/4*(BM315*$W315*1000)/($G315*$B$5)))),
IF($D315="Pressio.",
IF($E315=3,(PI()*BQ$12^2)/4*(BM315*$W315*1000)/($H315*$B$5),(PI()*BQ$12^2)/4*(BM315*$W315*1000)/($G315*$B$5)),
IF($D315="Pénétro.",
IF($E315=4,(PI()*BQ$12^2)/4*(BM315*$W315*1000)/($H315*$B$5),(PI()*BQ$12^2)/4*(BM315*$W315*1000)/($G315*$B$5))))))/10</f>
        <v>#N/A</v>
      </c>
      <c r="BR315" s="102" t="e">
        <f>(VLOOKUP($B$3,'Coeff EC7'!$T$39:$X$59,2,0)*BP315+VLOOKUP($B$3,'Coeff EC7'!$T$65:$X$85,2,0)*Model0.1C!BQ315)/1.1</f>
        <v>#N/A</v>
      </c>
      <c r="BS315" s="102" t="e">
        <f>(VLOOKUP($B$3,'Coeff EC7'!$T$39:$X$59,3,0)*BP315+VLOOKUP($B$3,'Coeff EC7'!$T$65:$X$85,3,0)*Model0.1C!BQ315)/0.9</f>
        <v>#N/A</v>
      </c>
      <c r="BT315" s="102" t="e">
        <f t="shared" si="478"/>
        <v>#N/A</v>
      </c>
      <c r="BU315" s="102" t="e">
        <f t="shared" si="479"/>
        <v>#N/A</v>
      </c>
      <c r="BV315" s="414" t="e">
        <f>IF(BV314=0,0,IF(AND(BR315&gt;charge_ELS_quasi,BS315&gt;Charge_ELS_freq,BT315&gt;charge_ELU,BU315&gt;charge_ELA,$B315&gt;NDC!$H$22-0.1+MIN(3*$BV$12,1.5)),0,1))</f>
        <v>#N/A</v>
      </c>
      <c r="BW315" s="86" t="b">
        <f t="shared" si="447"/>
        <v>0</v>
      </c>
      <c r="BX315" s="86">
        <f t="shared" si="448"/>
        <v>0.5</v>
      </c>
      <c r="BY315" s="86">
        <f t="shared" si="449"/>
        <v>0.5</v>
      </c>
      <c r="BZ315" s="30" t="e">
        <f t="shared" ca="1" si="480"/>
        <v>#DIV/0!</v>
      </c>
      <c r="CA315" s="85" t="e">
        <f ca="1">IF(BG315&lt;=Hypothèses!$V$7,Hypothèses!$W$7,IF(BG315&lt;=Hypothèses!$V$8,Hypothèses!$W$8,IF(BG315&lt;=Hypothèses!$V$9,Hypothèses!$W$9,IF(BG315&lt;=Hypothèses!$V$10,Hypothèses!$W$10,IF(BG315&lt;=Hypothèses!$V$11,Hypothèses!$W$11,IF(BG315&lt;=Hypothèses!$V$12,Hypothèses!$W$12,IF(BG315&lt;=Hypothèses!$V$13,Hypothèses!$W$13,IF(BG315&lt;=Hypothèses!$V$14,Hypothèses!$W$14,IF(BG315&lt;=Hypothèses!$V$15,Hypothèses!$W$15,IF(BG315&lt;=Hypothèses!$V$16,Hypothèses!$W$16,IF(BG315&lt;=Hypothèses!$V$17,Hypothèses!$W$17,IF(BG315&lt;=Hypothèses!$V$18,Hypothèses!$W$18,""))))))))))))</f>
        <v>#DIV/0!</v>
      </c>
      <c r="CB315" s="87" t="e">
        <f t="shared" ca="1" si="519"/>
        <v>#DIV/0!</v>
      </c>
      <c r="CC315" s="88" t="e">
        <f ca="1">IF(BG315&lt;=Hypothèses!$V$7,Hypothèses!$X$7,IF(BG315&lt;=Hypothèses!$V$8,Hypothèses!$X$8,IF(BG315&lt;=Hypothèses!$V$9,Hypothèses!$X$9,IF(BG315&lt;=Hypothèses!$V$10,Hypothèses!$X$10,IF(BG315&lt;=Hypothèses!$V$11,Hypothèses!$X$11,IF(BG315&lt;=Hypothèses!$V$12,Hypothèses!$X$12,IF(BG315&lt;=Hypothèses!$V$13,Hypothèses!$X$13,IF(BG315&lt;=Hypothèses!$V$14,Hypothèses!$X$14,IF(BG315&lt;=Hypothèses!$V$15,Hypothèses!$X$15,IF(BG315&lt;=Hypothèses!$V$16,Hypothèses!$X$16,IF(BG315&lt;=Hypothèses!$U$17,Hypothèses!$W$17,IF(BG315&lt;=Hypothèses!$U$18,Hypothèses!$W$18,""))))))))))))</f>
        <v>#DIV/0!</v>
      </c>
      <c r="CD315" s="95" t="e">
        <f t="shared" ca="1" si="481"/>
        <v>#DIV/0!</v>
      </c>
      <c r="CE315" s="101" t="e">
        <f t="shared" si="526"/>
        <v>#N/A</v>
      </c>
      <c r="CF315" s="91" t="e">
        <f t="shared" si="450"/>
        <v>#N/A</v>
      </c>
      <c r="CG315" s="30" t="e">
        <f t="shared" si="506"/>
        <v>#N/A</v>
      </c>
      <c r="CH315" s="30" t="e">
        <f t="shared" si="507"/>
        <v>#N/A</v>
      </c>
      <c r="CI315" s="31" t="e">
        <f>IF(OR(Hypothèses!$B$4=17,Hypothèses!$B$4=18,Hypothèses!$B$4=19,Hypothèses!$B$4=20),
IF($D315="Pressio.",
IF(OR($E315=3,$E315=1,$E315=4),CH315,CG315),
IF($D315="Pénétro.",
IF(OR($E315=3,$E315=1,$E315=4),CH315,CG315))),IF($D315="Pressio.",
IF($E315=3,CH315,CG315),
IF($D315="Pénétro.",
IF($E315=4,CH315,CG315))))</f>
        <v>#N/A</v>
      </c>
      <c r="CJ315" s="31" t="e">
        <f>(IF(OR(Hypothèses!$B$4=17,Hypothèses!$B$4=18,Hypothèses!$B$4=19,Hypothèses!$B$4=20),
IF($D315="Pressio.",
IF(OR($E315=3,$E315=1,$E315=4),(PI()*CJ$12^2)/4*(CF315*$W315*1000)/($H315*$B$5),(PI()*CJ$12^2)/4*(CF315*$W315*1000)/($G315*$B$5)),
IF($D315="Pénétro.",
IF(OR($E315=4,$E315=1,$E315=5),(PI()*CJ$12^2)/4*(CF315*$W315*1000)/($H315*$B$5),(PI()*CJ$12^2)/4*(CF315*$W315*1000)/($G315*$B$5)))),
IF($D315="Pressio.",
IF($E315=3,(PI()*CJ$12^2)/4*(CF315*$W315*1000)/($H315*$B$5),(PI()*CJ$12^2)/4*(CF315*$W315*1000)/($G315*$B$5)),
IF($D315="Pénétro.",
IF($E315=4,(PI()*CJ$12^2)/4*(CF315*$W315*1000)/($H315*$B$5),(PI()*CJ$12^2)/4*(CF315*$W315*1000)/($G315*$B$5))))))/10</f>
        <v>#N/A</v>
      </c>
      <c r="CK315" s="102" t="e">
        <f>(VLOOKUP($B$3,'Coeff EC7'!$T$39:$X$59,2,0)*CI315+VLOOKUP($B$3,'Coeff EC7'!$T$65:$X$85,2,0)*Model0.1C!CJ315)/1.1</f>
        <v>#N/A</v>
      </c>
      <c r="CL315" s="102" t="e">
        <f>(VLOOKUP($B$3,'Coeff EC7'!$T$39:$X$59,3,0)*CI315+VLOOKUP($B$3,'Coeff EC7'!$T$65:$X$85,3,0)*Model0.1C!CJ315)/0.9</f>
        <v>#N/A</v>
      </c>
      <c r="CM315" s="102" t="e">
        <f t="shared" si="482"/>
        <v>#N/A</v>
      </c>
      <c r="CN315" s="102" t="e">
        <f t="shared" si="483"/>
        <v>#N/A</v>
      </c>
      <c r="CO315" s="414" t="e">
        <f>IF(CO314=0,0,IF(AND(CK315&gt;charge_ELS_quasi,CL315&gt;Charge_ELS_freq,CM315&gt;charge_ELU,CN315&gt;charge_ELA,$B315&gt;NDC!$H$22-0.1+MIN(3*$CO$12,1.5)),0,1))</f>
        <v>#N/A</v>
      </c>
      <c r="CP315" s="86" t="b">
        <f t="shared" si="451"/>
        <v>0</v>
      </c>
      <c r="CQ315" s="86">
        <f t="shared" si="452"/>
        <v>0.5</v>
      </c>
      <c r="CR315" s="86">
        <f t="shared" si="453"/>
        <v>0.5</v>
      </c>
      <c r="CS315" s="30" t="e">
        <f t="shared" ca="1" si="484"/>
        <v>#DIV/0!</v>
      </c>
      <c r="CT315" s="85" t="e">
        <f ca="1">IF(BZ315&lt;=Hypothèses!$V$7,Hypothèses!$W$7,IF(BZ315&lt;=Hypothèses!$V$8,Hypothèses!$W$8,IF(BZ315&lt;=Hypothèses!$V$9,Hypothèses!$W$9,IF(BZ315&lt;=Hypothèses!$V$10,Hypothèses!$W$10,IF(BZ315&lt;=Hypothèses!$V$11,Hypothèses!$W$11,IF(BZ315&lt;=Hypothèses!$V$12,Hypothèses!$W$12,IF(BZ315&lt;=Hypothèses!$V$13,Hypothèses!$W$13,IF(BZ315&lt;=Hypothèses!$V$14,Hypothèses!$W$14,IF(BZ315&lt;=Hypothèses!$V$15,Hypothèses!$W$15,IF(BZ315&lt;=Hypothèses!$V$16,Hypothèses!$W$16,IF(BZ315&lt;=Hypothèses!$V$17,Hypothèses!$W$17,IF(BZ315&lt;=Hypothèses!$V$18,Hypothèses!$W$18,""))))))))))))</f>
        <v>#DIV/0!</v>
      </c>
      <c r="CU315" s="87" t="e">
        <f t="shared" ca="1" si="520"/>
        <v>#DIV/0!</v>
      </c>
      <c r="CV315" s="88" t="e">
        <f ca="1">IF(BZ315&lt;=Hypothèses!$V$7,Hypothèses!$X$7,IF(BZ315&lt;=Hypothèses!$V$8,Hypothèses!$X$8,IF(BZ315&lt;=Hypothèses!$V$9,Hypothèses!$X$9,IF(BZ315&lt;=Hypothèses!$V$10,Hypothèses!$X$10,IF(BZ315&lt;=Hypothèses!$V$11,Hypothèses!$X$11,IF(BZ315&lt;=Hypothèses!$V$12,Hypothèses!$X$12,IF(BZ315&lt;=Hypothèses!$V$13,Hypothèses!$X$13,IF(BZ315&lt;=Hypothèses!$V$14,Hypothèses!$X$14,IF(BZ315&lt;=Hypothèses!$V$15,Hypothèses!$X$15,IF(BZ315&lt;=Hypothèses!$V$16,Hypothèses!$X$16,IF(BZ315&lt;=Hypothèses!$U$17,Hypothèses!$W$17,IF(BZ315&lt;=Hypothèses!$U$18,Hypothèses!$W$18,""))))))))))))</f>
        <v>#DIV/0!</v>
      </c>
      <c r="CW315" s="95" t="e">
        <f t="shared" ca="1" si="485"/>
        <v>#DIV/0!</v>
      </c>
      <c r="CX315" s="101" t="e">
        <f t="shared" si="527"/>
        <v>#N/A</v>
      </c>
      <c r="CY315" s="91" t="e">
        <f t="shared" si="454"/>
        <v>#N/A</v>
      </c>
      <c r="CZ315" s="30" t="e">
        <f t="shared" si="508"/>
        <v>#N/A</v>
      </c>
      <c r="DA315" s="30" t="e">
        <f t="shared" si="509"/>
        <v>#N/A</v>
      </c>
      <c r="DB315" s="31" t="e">
        <f>IF(OR(Hypothèses!$B$4=17,Hypothèses!$B$4=18,Hypothèses!$B$4=19,Hypothèses!$B$4=20),
IF($D315="Pressio.",
IF(OR($E315=3,$E315=1,$E315=4),DA315,CZ315),
IF($D315="Pénétro.",
IF(OR($E315=3,$E315=1,$E315=4),DA315,CZ315))),IF($D315="Pressio.",
IF($E315=3,DA315,CZ315),
IF($D315="Pénétro.",
IF($E315=4,DA315,CZ315))))</f>
        <v>#N/A</v>
      </c>
      <c r="DC315" s="31" t="e">
        <f>(IF(OR(Hypothèses!$B$4=17,Hypothèses!$B$4=18,Hypothèses!$B$4=19,Hypothèses!$B$4=20),
IF($D315="Pressio.",
IF(OR($E315=3,$E315=1,$E315=4),(PI()*DC$12^2)/4*(CY315*$W315*1000)/($H315*$B$5),(PI()*DC$12^2)/4*(CY315*$W315*1000)/($G315*$B$5)),
IF($D315="Pénétro.",
IF(OR($E315=4,$E315=1,$E315=5),(PI()*DC$12^2)/4*(CY315*$W315*1000)/($H315*$B$5),(PI()*DC$12^2)/4*(CY315*$W315*1000)/($G315*$B$5)))),
IF($D315="Pressio.",
IF($E315=3,(PI()*DC$12^2)/4*(CY315*$W315*1000)/($H315*$B$5),(PI()*DC$12^2)/4*(CY315*$W315*1000)/($G315*$B$5)),
IF($D315="Pénétro.",
IF($E315=4,(PI()*DC$12^2)/4*(CY315*$W315*1000)/($H315*$B$5),(PI()*DC$12^2)/4*(CY315*$W315*1000)/($G315*$B$5))))))/10</f>
        <v>#N/A</v>
      </c>
      <c r="DD315" s="102" t="e">
        <f>(VLOOKUP($B$3,'Coeff EC7'!$T$39:$X$59,2,0)*DB315+VLOOKUP($B$3,'Coeff EC7'!$T$65:$X$85,2,0)*Model0.1C!DC315)/1.1</f>
        <v>#N/A</v>
      </c>
      <c r="DE315" s="102" t="e">
        <f>(VLOOKUP($B$3,'Coeff EC7'!$T$39:$X$59,3,0)*DB315+VLOOKUP($B$3,'Coeff EC7'!$T$65:$X$85,3,0)*Model0.1C!DC315)/0.9</f>
        <v>#N/A</v>
      </c>
      <c r="DF315" s="102" t="e">
        <f t="shared" si="486"/>
        <v>#N/A</v>
      </c>
      <c r="DG315" s="102" t="e">
        <f t="shared" si="487"/>
        <v>#N/A</v>
      </c>
      <c r="DH315" s="414" t="e">
        <f>IF(DH314=0,0,IF(AND(DD315&gt;charge_ELS_quasi,DE315&gt;Charge_ELS_freq,DF315&gt;charge_ELU,DG315&gt;charge_ELA,$B315&gt;NDC!$H$22-0.1+MIN(3*$DH$12,1.5)),0,1))</f>
        <v>#N/A</v>
      </c>
      <c r="DI315" s="86" t="b">
        <f t="shared" si="455"/>
        <v>0</v>
      </c>
      <c r="DJ315" s="86">
        <f t="shared" si="456"/>
        <v>0.5</v>
      </c>
      <c r="DK315" s="86">
        <f t="shared" si="457"/>
        <v>0.5</v>
      </c>
      <c r="DL315" s="30" t="e">
        <f t="shared" ca="1" si="488"/>
        <v>#DIV/0!</v>
      </c>
      <c r="DM315" s="85" t="e">
        <f ca="1">IF(CS315&lt;=Hypothèses!$V$7,Hypothèses!$W$7,IF(CS315&lt;=Hypothèses!$V$8,Hypothèses!$W$8,IF(CS315&lt;=Hypothèses!$V$9,Hypothèses!$W$9,IF(CS315&lt;=Hypothèses!$V$10,Hypothèses!$W$10,IF(CS315&lt;=Hypothèses!$V$11,Hypothèses!$W$11,IF(CS315&lt;=Hypothèses!$V$12,Hypothèses!$W$12,IF(CS315&lt;=Hypothèses!$V$13,Hypothèses!$W$13,IF(CS315&lt;=Hypothèses!$V$14,Hypothèses!$W$14,IF(CS315&lt;=Hypothèses!$V$15,Hypothèses!$W$15,IF(CS315&lt;=Hypothèses!$V$16,Hypothèses!$W$16,IF(CS315&lt;=Hypothèses!$V$17,Hypothèses!$W$17,IF(CS315&lt;=Hypothèses!$V$18,Hypothèses!$W$18,""))))))))))))</f>
        <v>#DIV/0!</v>
      </c>
      <c r="DN315" s="87" t="e">
        <f t="shared" ca="1" si="521"/>
        <v>#DIV/0!</v>
      </c>
      <c r="DO315" s="88" t="e">
        <f ca="1">IF(CS315&lt;=Hypothèses!$V$7,Hypothèses!$X$7,IF(CS315&lt;=Hypothèses!$V$8,Hypothèses!$X$8,IF(CS315&lt;=Hypothèses!$V$9,Hypothèses!$X$9,IF(CS315&lt;=Hypothèses!$V$10,Hypothèses!$X$10,IF(CS315&lt;=Hypothèses!$V$11,Hypothèses!$X$11,IF(CS315&lt;=Hypothèses!$V$12,Hypothèses!$X$12,IF(CS315&lt;=Hypothèses!$V$13,Hypothèses!$X$13,IF(CS315&lt;=Hypothèses!$V$14,Hypothèses!$X$14,IF(CS315&lt;=Hypothèses!$V$15,Hypothèses!$X$15,IF(CS315&lt;=Hypothèses!$V$16,Hypothèses!$X$16,IF(CS315&lt;=Hypothèses!$U$17,Hypothèses!$W$17,IF(CS315&lt;=Hypothèses!$U$18,Hypothèses!$W$18,""))))))))))))</f>
        <v>#DIV/0!</v>
      </c>
      <c r="DP315" s="95" t="e">
        <f t="shared" ca="1" si="489"/>
        <v>#DIV/0!</v>
      </c>
      <c r="DQ315" s="101" t="e">
        <f t="shared" si="528"/>
        <v>#N/A</v>
      </c>
      <c r="DR315" s="91" t="e">
        <f t="shared" si="458"/>
        <v>#N/A</v>
      </c>
      <c r="DS315" s="30" t="e">
        <f t="shared" si="510"/>
        <v>#N/A</v>
      </c>
      <c r="DT315" s="30" t="e">
        <f t="shared" si="511"/>
        <v>#N/A</v>
      </c>
      <c r="DU315" s="31" t="e">
        <f>IF(OR(Hypothèses!$B$4=17,Hypothèses!$B$4=18,Hypothèses!$B$4=19,Hypothèses!$B$4=20),
IF($D315="Pressio.",
IF(OR($E315=3,$E315=1,$E315=4),DT315,DS315),
IF($D315="Pénétro.",
IF(OR($E315=3,$E315=1,$E315=4),DT315,DS315))),IF($D315="Pressio.",
IF($E315=3,DT315,DS315),
IF($D315="Pénétro.",
IF($E315=4,DT315,DS315))))</f>
        <v>#N/A</v>
      </c>
      <c r="DV315" s="31" t="e">
        <f>(IF(OR(Hypothèses!$B$4=17,Hypothèses!$B$4=18,Hypothèses!$B$4=19,Hypothèses!$B$4=20),
IF($D315="Pressio.",
IF(OR($E315=3,$E315=1,$E315=4),(PI()*DV$12^2)/4*(DR315*$W315*1000)/($H315*$B$5),(PI()*DV$12^2)/4*(DR315*$W315*1000)/($G315*$B$5)),
IF($D315="Pénétro.",
IF(OR($E315=4,$E315=1,$E315=5),(PI()*DV$12^2)/4*(DR315*$W315*1000)/($H315*$B$5),(PI()*DV$12^2)/4*(DR315*$W315*1000)/($G315*$B$5)))),
IF($D315="Pressio.",
IF($E315=3,(PI()*DV$12^2)/4*(DR315*$W315*1000)/($H315*$B$5),(PI()*DV$12^2)/4*(DR315*$W315*1000)/($G315*$B$5)),
IF($D315="Pénétro.",
IF($E315=4,(PI()*DV$12^2)/4*(DR315*$W315*1000)/($H315*$B$5),(PI()*DV$12^2)/4*(DR315*$W315*1000)/($G315*$B$5))))))/10</f>
        <v>#N/A</v>
      </c>
      <c r="DW315" s="102" t="e">
        <f>(VLOOKUP($B$3,'Coeff EC7'!$T$39:$X$59,2,0)*DU315+VLOOKUP($B$3,'Coeff EC7'!$T$65:$X$85,2,0)*Model0.1C!DV315)/1.1</f>
        <v>#N/A</v>
      </c>
      <c r="DX315" s="102" t="e">
        <f>(VLOOKUP($B$3,'Coeff EC7'!$T$39:$X$59,3,0)*DU315+VLOOKUP($B$3,'Coeff EC7'!$T$65:$X$85,3,0)*Model0.1C!DV315)/0.9</f>
        <v>#N/A</v>
      </c>
      <c r="DY315" s="102" t="e">
        <f t="shared" si="490"/>
        <v>#N/A</v>
      </c>
      <c r="DZ315" s="102" t="e">
        <f t="shared" si="491"/>
        <v>#N/A</v>
      </c>
      <c r="EA315" s="414" t="e">
        <f>IF(EA314=0,0,IF(AND(DW315&gt;charge_ELS_quasi,DX315&gt;Charge_ELS_freq,DY315&gt;charge_ELU,DZ315&gt;charge_ELA,$B315&gt;NDC!$H$22-0.1+MIN(3*$EA$12,1.5)),0,1))</f>
        <v>#N/A</v>
      </c>
      <c r="EB315" s="86" t="b">
        <f t="shared" si="459"/>
        <v>0</v>
      </c>
      <c r="EC315" s="418">
        <f t="shared" si="460"/>
        <v>0.51</v>
      </c>
      <c r="ED315" s="86">
        <f t="shared" si="461"/>
        <v>0.51</v>
      </c>
      <c r="EE315" s="30" t="e">
        <f t="shared" ca="1" si="492"/>
        <v>#DIV/0!</v>
      </c>
      <c r="EF315" s="85" t="e">
        <f ca="1">IF(DL315&lt;=Hypothèses!$V$7,Hypothèses!$W$7,IF(DL315&lt;=Hypothèses!$V$8,Hypothèses!$W$8,IF(DL315&lt;=Hypothèses!$V$9,Hypothèses!$W$9,IF(DL315&lt;=Hypothèses!$V$10,Hypothèses!$W$10,IF(DL315&lt;=Hypothèses!$V$11,Hypothèses!$W$11,IF(DL315&lt;=Hypothèses!$V$12,Hypothèses!$W$12,IF(DL315&lt;=Hypothèses!$V$13,Hypothèses!$W$13,IF(DL315&lt;=Hypothèses!$V$14,Hypothèses!$W$14,IF(DL315&lt;=Hypothèses!$V$15,Hypothèses!$W$15,IF(DL315&lt;=Hypothèses!$V$16,Hypothèses!$W$16,IF(DL315&lt;=Hypothèses!$V$17,Hypothèses!$W$17,IF(DL315&lt;=Hypothèses!$V$18,Hypothèses!$W$18,""))))))))))))</f>
        <v>#DIV/0!</v>
      </c>
      <c r="EG315" s="87" t="e">
        <f t="shared" ca="1" si="522"/>
        <v>#DIV/0!</v>
      </c>
      <c r="EH315" s="88" t="e">
        <f ca="1">IF(DL315&lt;=Hypothèses!$V$7,Hypothèses!$X$7,IF(DL315&lt;=Hypothèses!$V$8,Hypothèses!$X$8,IF(DL315&lt;=Hypothèses!$V$9,Hypothèses!$X$9,IF(DL315&lt;=Hypothèses!$V$10,Hypothèses!$X$10,IF(DL315&lt;=Hypothèses!$V$11,Hypothèses!$X$11,IF(DL315&lt;=Hypothèses!$V$12,Hypothèses!$X$12,IF(DL315&lt;=Hypothèses!$V$13,Hypothèses!$X$13,IF(DL315&lt;=Hypothèses!$V$14,Hypothèses!$X$14,IF(DL315&lt;=Hypothèses!$V$15,Hypothèses!$X$15,IF(DL315&lt;=Hypothèses!$V$16,Hypothèses!$X$16,IF(DL315&lt;=Hypothèses!$U$17,Hypothèses!$W$17,IF(DL315&lt;=Hypothèses!$U$18,Hypothèses!$W$18,""))))))))))))</f>
        <v>#DIV/0!</v>
      </c>
      <c r="EI315" s="95" t="e">
        <f t="shared" ca="1" si="493"/>
        <v>#DIV/0!</v>
      </c>
      <c r="EJ315" s="101" t="e">
        <f t="shared" si="529"/>
        <v>#N/A</v>
      </c>
      <c r="EK315" s="91" t="e">
        <f t="shared" si="462"/>
        <v>#N/A</v>
      </c>
      <c r="EL315" s="30" t="e">
        <f t="shared" si="512"/>
        <v>#N/A</v>
      </c>
      <c r="EM315" s="30" t="e">
        <f t="shared" si="513"/>
        <v>#N/A</v>
      </c>
      <c r="EN315" s="31" t="e">
        <f>IF(OR(Hypothèses!$B$4=17,Hypothèses!$B$4=18,Hypothèses!$B$4=19,Hypothèses!$B$4=20),
IF($D315="Pressio.",
IF(OR($E315=3,$E315=1,$E315=4),EM315,EL315),
IF($D315="Pénétro.",
IF(OR($E315=3,$E315=1,$E315=4),EM315,EL315))),IF($D315="Pressio.",
IF($E315=3,EM315,EL315),
IF($D315="Pénétro.",
IF($E315=4,EM315,EL315))))</f>
        <v>#N/A</v>
      </c>
      <c r="EO315" s="31" t="e">
        <f>(IF(OR(Hypothèses!$B$4=17,Hypothèses!$B$4=18,Hypothèses!$B$4=19,Hypothèses!$B$4=20),
IF($D315="Pressio.",
IF(OR($E315=3,$E315=1,$E315=4),(PI()*EO$12^2)/4*(EK315*$W315*1000)/($H315*$B$5),(PI()*EO$12^2)/4*(EK315*$W315*1000)/($G315*$B$5)),
IF($D315="Pénétro.",
IF(OR($E315=4,$E315=1,$E315=5),(PI()*EO$12^2)/4*(EK315*$W315*1000)/($H315*$B$5),(PI()*EO$12^2)/4*(EK315*$W315*1000)/($G315*$B$5)))),
IF($D315="Pressio.",
IF($E315=3,(PI()*EO$12^2)/4*(EK315*$W315*1000)/($H315*$B$5),(PI()*EO$12^2)/4*(EK315*$W315*1000)/($G315*$B$5)),
IF($D315="Pénétro.",
IF($E315=4,(PI()*EO$12^2)/4*(EK315*$W315*1000)/($H315*$B$5),(PI()*EO$12^2)/4*(EK315*$W315*1000)/($G315*$B$5))))))/10</f>
        <v>#N/A</v>
      </c>
      <c r="EP315" s="102" t="e">
        <f>(VLOOKUP($B$3,'Coeff EC7'!$T$39:$X$59,2,0)*EN315+VLOOKUP($B$3,'Coeff EC7'!$T$65:$X$85,2,0)*Model0.1C!EO315)/1.1</f>
        <v>#N/A</v>
      </c>
      <c r="EQ315" s="102" t="e">
        <f>(VLOOKUP($B$3,'Coeff EC7'!$T$39:$X$59,3,0)*EN315+VLOOKUP($B$3,'Coeff EC7'!$T$65:$X$85,3,0)*Model0.1C!EO315)/0.9</f>
        <v>#N/A</v>
      </c>
      <c r="ER315" s="102" t="e">
        <f t="shared" si="494"/>
        <v>#N/A</v>
      </c>
      <c r="ES315" s="102" t="e">
        <f t="shared" si="495"/>
        <v>#N/A</v>
      </c>
      <c r="ET315" s="414" t="e">
        <f>IF(ET314=0,0,IF(AND(EP315&gt;charge_ELS_quasi,EQ315&gt;Charge_ELS_freq,ER315&gt;charge_ELU,ES315&gt;charge_ELA,$B315&gt;NDC!$H$22-0.1+MIN(3*$ET$12,1.5)),0,1))</f>
        <v>#N/A</v>
      </c>
      <c r="EU315" s="86" t="b">
        <f t="shared" si="463"/>
        <v>0</v>
      </c>
      <c r="EV315" s="86">
        <f t="shared" si="464"/>
        <v>0.61</v>
      </c>
      <c r="EW315" s="86">
        <f t="shared" si="465"/>
        <v>0.61</v>
      </c>
      <c r="EX315" s="30" t="e">
        <f t="shared" ca="1" si="496"/>
        <v>#DIV/0!</v>
      </c>
      <c r="EY315" s="85" t="e">
        <f ca="1">IF(EE315&lt;=Hypothèses!$V$7,Hypothèses!$W$7,IF(EE315&lt;=Hypothèses!$V$8,Hypothèses!$W$8,IF(EE315&lt;=Hypothèses!$V$9,Hypothèses!$W$9,IF(EE315&lt;=Hypothèses!$V$10,Hypothèses!$W$10,IF(EE315&lt;=Hypothèses!$V$11,Hypothèses!$W$11,IF(EE315&lt;=Hypothèses!$V$12,Hypothèses!$W$12,IF(EE315&lt;=Hypothèses!$V$13,Hypothèses!$W$13,IF(EE315&lt;=Hypothèses!$V$14,Hypothèses!$W$14,IF(EE315&lt;=Hypothèses!$V$15,Hypothèses!$W$15,IF(EE315&lt;=Hypothèses!$V$16,Hypothèses!$W$16,IF(EE315&lt;=Hypothèses!$V$17,Hypothèses!$W$17,IF(EE315&lt;=Hypothèses!$V$18,Hypothèses!$W$18,""))))))))))))</f>
        <v>#DIV/0!</v>
      </c>
      <c r="EZ315" s="87" t="e">
        <f t="shared" ca="1" si="523"/>
        <v>#DIV/0!</v>
      </c>
      <c r="FA315" s="88" t="e">
        <f ca="1">IF(EE315&lt;=Hypothèses!$V$7,Hypothèses!$X$7,IF(EE315&lt;=Hypothèses!$V$8,Hypothèses!$X$8,IF(EE315&lt;=Hypothèses!$V$9,Hypothèses!$X$9,IF(EE315&lt;=Hypothèses!$V$10,Hypothèses!$X$10,IF(EE315&lt;=Hypothèses!$V$11,Hypothèses!$X$11,IF(EE315&lt;=Hypothèses!$V$12,Hypothèses!$X$12,IF(EE315&lt;=Hypothèses!$V$13,Hypothèses!$X$13,IF(EE315&lt;=Hypothèses!$V$14,Hypothèses!$X$14,IF(EE315&lt;=Hypothèses!$V$15,Hypothèses!$X$15,IF(EE315&lt;=Hypothèses!$V$16,Hypothèses!$X$16,IF(EE315&lt;=Hypothèses!$U$17,Hypothèses!$W$17,IF(EE315&lt;=Hypothèses!$U$18,Hypothèses!$W$18,""))))))))))))</f>
        <v>#DIV/0!</v>
      </c>
      <c r="FB315" s="95" t="e">
        <f t="shared" ca="1" si="497"/>
        <v>#DIV/0!</v>
      </c>
      <c r="FC315" s="101" t="e">
        <f t="shared" si="530"/>
        <v>#N/A</v>
      </c>
      <c r="FD315" s="91" t="e">
        <f t="shared" si="466"/>
        <v>#N/A</v>
      </c>
      <c r="FE315" s="30" t="e">
        <f t="shared" si="514"/>
        <v>#N/A</v>
      </c>
      <c r="FF315" s="30" t="e">
        <f t="shared" si="515"/>
        <v>#N/A</v>
      </c>
      <c r="FG315" s="31" t="e">
        <f>IF(OR(Hypothèses!$B$4=17,Hypothèses!$B$4=18,Hypothèses!$B$4=19,Hypothèses!$B$4=20),
IF($D315="Pressio.",
IF(OR($E315=3,$E315=1,$E315=4),FF315,FE315),
IF($D315="Pénétro.",
IF(OR($E315=3,$E315=1,$E315=4),FF315,FE315))),IF($D315="Pressio.",
IF($E315=3,FF315,FE315),
IF($D315="Pénétro.",
IF($E315=4,FF315,FE315))))</f>
        <v>#N/A</v>
      </c>
      <c r="FH315" s="31" t="e">
        <f>(IF(OR(Hypothèses!$B$4=17,Hypothèses!$B$4=18,Hypothèses!$B$4=19,Hypothèses!$B$4=20),
IF($D315="Pressio.",
IF(OR($E315=3,$E315=1,$E315=4),(PI()*FH$12^2)/4*(FD315*$W315*1000)/($H315*$B$5),(PI()*FH$12^2)/4*(FD315*$W315*1000)/($G315*$B$5)),
IF($D315="Pénétro.",
IF(OR($E315=4,$E315=1,$E315=5),(PI()*FH$12^2)/4*(FD315*$W315*1000)/($H315*$B$5),(PI()*FH$12^2)/4*(FD315*$W315*1000)/($G315*$B$5)))),
IF($D315="Pressio.",
IF($E315=3,(PI()*FH$12^2)/4*(FD315*$W315*1000)/($H315*$B$5),(PI()*FH$12^2)/4*(FD315*$W315*1000)/($G315*$B$5)),
IF($D315="Pénétro.",
IF($E315=4,(PI()*FH$12^2)/4*(FD315*$W315*1000)/($H315*$B$5),(PI()*FH$12^2)/4*(FD315*$W315*1000)/($G315*$B$5))))))/10</f>
        <v>#N/A</v>
      </c>
      <c r="FI315" s="102" t="e">
        <f>(VLOOKUP($B$3,'Coeff EC7'!$T$39:$X$59,2,0)*FG315+VLOOKUP($B$3,'Coeff EC7'!$T$65:$X$85,2,0)*Model0.1C!FH315)/1.1</f>
        <v>#N/A</v>
      </c>
      <c r="FJ315" s="102" t="e">
        <f>(VLOOKUP($B$3,'Coeff EC7'!$T$39:$X$59,3,0)*FG315+VLOOKUP($B$3,'Coeff EC7'!$T$65:$X$85,3,0)*Model0.1C!FH315)/0.9</f>
        <v>#N/A</v>
      </c>
      <c r="FK315" s="102" t="e">
        <f t="shared" si="498"/>
        <v>#N/A</v>
      </c>
      <c r="FL315" s="102" t="e">
        <f t="shared" si="499"/>
        <v>#N/A</v>
      </c>
      <c r="FM315" s="414" t="e">
        <f>IF(FM314=0,0,IF(AND(FI315&gt;charge_ELS_quasi,FJ315&gt;Charge_ELS_freq,FK315&gt;charge_ELU,FL315&gt;charge_ELA,$B315&gt;NDC!$H$22-0.1+MIN(3*$FM$12,1.5)),0,1))</f>
        <v>#N/A</v>
      </c>
    </row>
    <row r="316" spans="1:169">
      <c r="A316" s="96">
        <f t="shared" si="467"/>
        <v>69.700000000001722</v>
      </c>
      <c r="B316" s="97">
        <v>30.3</v>
      </c>
      <c r="C316" s="81">
        <f>IF(B316&lt;=Hypothèses!$C$7,Hypothèses!$A$7,IF(B316&lt;=Hypothèses!$C$8,Hypothèses!$A$8,IF(B316&lt;=Hypothèses!$C$9,Hypothèses!$A$9,IF(B316&lt;=Hypothèses!$C$10,Hypothèses!$A$10,IF(B316&lt;=Hypothèses!$C$11,Hypothèses!$A$11,IF(B316&lt;=Hypothèses!$C$12,Hypothèses!$A$12,IF(B316&lt;=Hypothèses!$C$13,Hypothèses!$A$13,IF(B316&lt;=Hypothèses!$C$14,Hypothèses!$A$14,IF(B316&lt;=Hypothèses!$C$15,Hypothèses!$A$15,IF(B316&lt;=Hypothèses!$C$16,Hypothèses!$A$16,IF(B316&lt;=Hypothèses!$C$17,Hypothèses!$A$17,IF(B316&lt;=Hypothèses!$C$18,Hypothèses!$A$18,C315))))))))))))</f>
        <v>11</v>
      </c>
      <c r="D316" s="82" t="str">
        <f>IF(B316&lt;=Hypothèses!$C$7,Hypothèses!$R$7,IF(B316&lt;=Hypothèses!$C$8,Hypothèses!$R$8,IF(B316&lt;=Hypothèses!$C$9,Hypothèses!$R$9,IF(B316&lt;=Hypothèses!$C$10,Hypothèses!$R$10,IF(B316&lt;=Hypothèses!$C$11,Hypothèses!$R$11,IF(B316&lt;=Hypothèses!$C$12,Hypothèses!$R$12,IF(B316&lt;=Hypothèses!$C$13,Hypothèses!$R$13,IF(B316&lt;=Hypothèses!$C$14,Hypothèses!$R$14,IF(B316&lt;=Hypothèses!$C$15,Hypothèses!$R$15,IF(B316&lt;=Hypothèses!$C$16,Hypothèses!$R$16,IF(B316&lt;=Hypothèses!$C$17,Hypothèses!$R$17,IF(B316&lt;=Hypothèses!$C$18,Hypothèses!$R$18,D315))))))))))))</f>
        <v>Pressio.</v>
      </c>
      <c r="E316" s="82" t="e">
        <f>IF(B316&lt;=Hypothèses!$C$7,Hypothèses!$G$7,IF(B316&lt;=Hypothèses!$C$8,Hypothèses!$G$8,IF(B316&lt;=Hypothèses!$C$9,Hypothèses!$G$9,IF(B316&lt;=Hypothèses!$C$10,Hypothèses!$G$10,IF(B316&lt;=Hypothèses!$C$11,Hypothèses!$G$11,IF(B316&lt;=Hypothèses!$C$12,Hypothèses!$G$12,IF(B316&lt;=Hypothèses!$C$13,Hypothèses!$G$13,IF(B316&lt;=Hypothèses!$C$14,Hypothèses!$G$14,IF(B316&lt;=Hypothèses!$C$15,Hypothèses!$G$15,IF(B316&lt;=Hypothèses!$C$16,Hypothèses!$G$16,IF(B316&lt;=Hypothèses!$C$17,Hypothèses!$G$17,IF(B316&lt;=Hypothèses!$C$18,Hypothèses!$G$18,E315))))))))))))</f>
        <v>#N/A</v>
      </c>
      <c r="F316" s="82" t="str">
        <f>IF(B316&lt;=Hypothèses!$C$7,Hypothèses!$F$7,IF(B316&lt;=Hypothèses!$C$8,Hypothèses!$F$8,IF(B316&lt;=Hypothèses!$C$9,Hypothèses!$F$9,IF(B316&lt;=Hypothèses!$C$10,Hypothèses!$F$10,IF(B316&lt;=Hypothèses!$C$11,Hypothèses!$F$11,IF(B316&lt;=Hypothèses!$C$12,Hypothèses!$F$12,IF(B316&lt;=Hypothèses!$C$13,Hypothèses!$F$13,IF(B316&lt;=Hypothèses!$C$14,Hypothèses!$F$14,IF(B316&lt;=Hypothèses!$C$15,Hypothèses!$F$15,IF(B316&lt;=Hypothèses!$C$16,Hypothèses!$F$16,IF(B316&lt;=Hypothèses!$C$17,Hypothèses!$F$17,IF(B316&lt;=Hypothèses!$C$18,Hypothèses!$F$18,F315))))))))))))</f>
        <v/>
      </c>
      <c r="G316" s="91">
        <f t="array" ref="G316">INDEX('Coeff EC7'!$U$7:$X$27,
MATCH(Model0.1C!$B$3,'Coeff EC7'!$T$7:$T$27,0),
MATCH(Model0.1C!$D316&amp;Model0.1C!$B$4,
'Coeff EC7'!$U$6:$X$6&amp;
'Coeff EC7'!$U$5:$X$5,0))</f>
        <v>1.1499999999999999</v>
      </c>
      <c r="H316" s="91">
        <f t="array" ref="H316">INDEX('Coeff EC7'!$Y$7:$AB$27,
MATCH(Model0.1C!$B$3,'Coeff EC7'!$T$7:$T$27,0),
MATCH(Model0.1C!$D316&amp;Model0.1C!$B$4,
'Coeff EC7'!$Y$6:$AB$6&amp;
'Coeff EC7'!$Y$5:$AB$5,0))</f>
        <v>1.4</v>
      </c>
      <c r="I316" s="83" t="e">
        <f>IF(B316&lt;=Hypothèses!$C$7,Hypothèses!$P$7,IF(B316&lt;=Hypothèses!$C$8,Hypothèses!$P$8,IF(B316&lt;=Hypothèses!$C$9,Hypothèses!$P$9,IF(B316&lt;=Hypothèses!$C$10,Hypothèses!$P$10,IF(B316&lt;=Hypothèses!$C$11,Hypothèses!$P$11,IF(B316&lt;=Hypothèses!$C$12,Hypothèses!$P$12,IF(B316&lt;=Hypothèses!$C$13,Hypothèses!$P$13,IF(B316&lt;=Hypothèses!$C$14,Hypothèses!$P$14,IF(B316&lt;=Hypothèses!$C$15,Hypothèses!$P$15,IF(B316&lt;=Hypothèses!$C$16,Hypothèses!$P$16,IF(B316&lt;=Hypothèses!$C$17,Hypothèses!$P$17,IF(B316&lt;=Hypothèses!$C$18,Hypothèses!$P$18,I315))))))))))))</f>
        <v>#N/A</v>
      </c>
      <c r="J316" s="91" t="e">
        <f t="array" ref="J316">INDEX('Coeff EC7'!$D$33:$Q$33,1,MATCH(D316&amp;E316,'Coeff EC7'!$D$31:$Q$31&amp;'Coeff EC7'!$D$32:$Q$32,0))</f>
        <v>#N/A</v>
      </c>
      <c r="K316" s="91" t="e">
        <f t="array" ref="K316">INDEX('Coeff EC7'!$D$34:$Q$34,1,MATCH(D316&amp;E316,'Coeff EC7'!$D$31:$Q$31&amp;'Coeff EC7'!$D$32:$Q$32,0))</f>
        <v>#N/A</v>
      </c>
      <c r="L316" s="91" t="e">
        <f t="array" ref="L316">INDEX('Coeff EC7'!$D$35:$Q$35,1,MATCH(D316&amp;E316,'Coeff EC7'!$D$31:$Q$31&amp;'Coeff EC7'!$D$32:$Q$32,0))</f>
        <v>#N/A</v>
      </c>
      <c r="M316" s="98" t="e">
        <f t="shared" si="431"/>
        <v>#N/A</v>
      </c>
      <c r="N316" s="99" t="e">
        <f t="array" ref="N316">INDEX('Coeff EC7'!$D$7:$Q$27,MATCH($B$3,'Coeff EC7'!$C$7:$C$27,0),MATCH(D316&amp;E316,'Coeff EC7'!$D$5:$Q$5&amp;'Coeff EC7'!$D$6:$Q$6,0))</f>
        <v>#N/A</v>
      </c>
      <c r="O316" s="99" t="e">
        <f t="array" ref="O316">INDEX('Coeff EC7'!$D$41:$Q$61,MATCH($B$3,'Coeff EC7'!$C$41:$C$61,0),MATCH(D316&amp;E316,'Coeff EC7'!$D$39:$Q$39&amp;'Coeff EC7'!$D$40:$Q$40,0))</f>
        <v>#N/A</v>
      </c>
      <c r="P316" s="30" t="e">
        <f t="shared" si="468"/>
        <v>#N/A</v>
      </c>
      <c r="Q316" s="100" t="e">
        <f t="shared" si="433"/>
        <v>#N/A</v>
      </c>
      <c r="R316" s="86" t="b">
        <f t="shared" si="434"/>
        <v>0</v>
      </c>
      <c r="S316" s="86">
        <f t="shared" si="432"/>
        <v>0.5</v>
      </c>
      <c r="T316" s="86">
        <f t="shared" si="435"/>
        <v>0.5</v>
      </c>
      <c r="U316" s="30" t="e">
        <f t="shared" ca="1" si="469"/>
        <v>#DIV/0!</v>
      </c>
      <c r="V316" s="85" t="str">
        <f>IF(B316&lt;=Hypothèses!$V$7,Hypothèses!$W$7,IF(B316&lt;=Hypothèses!$V$8,Hypothèses!$W$8,IF(B316&lt;=Hypothèses!$V$9,Hypothèses!$W$9,IF(B316&lt;=Hypothèses!$V$10,Hypothèses!$W$10,IF(B316&lt;=Hypothèses!$V$11,Hypothèses!$W$11,IF(B316&lt;=Hypothèses!$V$12,Hypothèses!$W$12,IF(B316&lt;=Hypothèses!$V$13,Hypothèses!$W$13,IF(B316&lt;=Hypothèses!$V$14,Hypothèses!$W$14,IF(B316&lt;=Hypothèses!$V$15,Hypothèses!$W$15,IF(B316&lt;=Hypothèses!$V$16,Hypothèses!$W$16,IF(B316&lt;=Hypothèses!$V$17,Hypothèses!$W$17,IF(B316&lt;=Hypothèses!$V$18,Hypothèses!$W$18,""))))))))))))</f>
        <v/>
      </c>
      <c r="W316" s="87" t="e">
        <f t="shared" ca="1" si="516"/>
        <v>#DIV/0!</v>
      </c>
      <c r="X316" s="88" t="str">
        <f>IF(B316&lt;=Hypothèses!$V$7,Hypothèses!$X$7,IF(B316&lt;=Hypothèses!$V$8,Hypothèses!$X$8,IF(B316&lt;=Hypothèses!$V$9,Hypothèses!$X$9,IF(B316&lt;=Hypothèses!$V$10,Hypothèses!$X$10,IF(B316&lt;=Hypothèses!$V$11,Hypothèses!$X$11,IF(B316&lt;=Hypothèses!$V$12,Hypothèses!$X$12,IF(B316&lt;=Hypothèses!$V$13,Hypothèses!$X$13,IF(B316&lt;=Hypothèses!$V$14,Hypothèses!$X$14,IF(B316&lt;=Hypothèses!$V$15,Hypothèses!$X$15,IF(B316&lt;=Hypothèses!$V$16,Hypothèses!$X$16,IF(B316&lt;=Hypothèses!$U$17,Hypothèses!$W$17,IF(B316&lt;=Hypothèses!$U$18,Hypothèses!$W$18,""))))))))))))</f>
        <v/>
      </c>
      <c r="Y316" s="95" t="e">
        <f t="shared" ca="1" si="436"/>
        <v>#DIV/0!</v>
      </c>
      <c r="Z316" s="101" t="e">
        <f t="shared" si="437"/>
        <v>#N/A</v>
      </c>
      <c r="AA316" s="91" t="e">
        <f t="shared" si="438"/>
        <v>#N/A</v>
      </c>
      <c r="AB316" s="30" t="e">
        <f t="shared" si="500"/>
        <v>#N/A</v>
      </c>
      <c r="AC316" s="30" t="e">
        <f t="shared" si="501"/>
        <v>#N/A</v>
      </c>
      <c r="AD316" s="31" t="e">
        <f>IF(OR(Hypothèses!$B$4=17,Hypothèses!$B$4=18,Hypothèses!$B$4=19,Hypothèses!$B$4=20),
IF($D316="Pressio.",
IF(OR($E316=3,$E316=1,$E316=4),AC316,AB316),
IF($D316="Pénétro.",
IF(OR($E316=3,$E316=1,$E316=4),AC316,AB316))),IF($D316="Pressio.",
IF($E316=3,AC316,AB316),
IF($D316="Pénétro.",
IF($E316=4,AC316,AB316))))</f>
        <v>#N/A</v>
      </c>
      <c r="AE316" s="31" t="e">
        <f>(IF(OR(Hypothèses!$B$4=17,Hypothèses!$B$4=18,Hypothèses!$B$4=19,Hypothèses!$B$4=20),
IF($D316="Pressio.",
IF(OR($E316=3,$E316=1,$E316=4),(PI()*AE$12^2)/4*(AA316*$W316*1000)/($H316*$B$5),(PI()*AE$12^2)/4*(AA316*$W316*1000)/($G316*$B$5)),
IF($D316="Pénétro.",
IF(OR($E316=4,$E316=1,$E316=5),(PI()*AE$12^2)/4*(AA316*$W316*1000)/($H316*$B$5),(PI()*AE$12^2)/4*(AA316*$W316*1000)/($G316*$B$5)))),
IF($D316="Pressio.",
IF($E316=3,(PI()*AE$12^2)/4*(AA316*$W316*1000)/($H316*$B$5),(PI()*AE$12^2)/4*(AA316*$W316*1000)/($G316*$B$5)),
IF($D316="Pénétro.",
IF($E316=4,(PI()*AE$12^2)/4*(AA316*$W316*1000)/($H316*$B$5),(PI()*AE$12^2)/4*(AA316*$W316*1000)/($G316*$B$5))))))/10</f>
        <v>#N/A</v>
      </c>
      <c r="AF316" s="102" t="e">
        <f>(VLOOKUP($B$3,'Coeff EC7'!$T$39:$X$59,2,0)*AD316+VLOOKUP($B$3,'Coeff EC7'!$T$65:$X$85,2,0)*Model0.1C!AE316)/1.1</f>
        <v>#N/A</v>
      </c>
      <c r="AG316" s="102" t="e">
        <f>(VLOOKUP($B$3,'Coeff EC7'!$T$39:$X$59,3,0)*AD316+VLOOKUP($B$3,'Coeff EC7'!$T$65:$X$85,3,0)*Model0.1C!AE316)/0.9</f>
        <v>#N/A</v>
      </c>
      <c r="AH316" s="102" t="e">
        <f t="shared" si="439"/>
        <v>#N/A</v>
      </c>
      <c r="AI316" s="102" t="e">
        <f t="shared" si="440"/>
        <v>#N/A</v>
      </c>
      <c r="AJ316" s="414" t="e">
        <f>IF(AJ315=0,0,IF(AND(AF316&gt;charge_ELS_quasi,AG316&gt;Charge_ELS_freq,AH316&gt;charge_ELU,AI316&gt;charge_ELA,$B316&gt;NDC!$H$22-0.1+MIN(3*$AJ$12,1.5)),0,1))</f>
        <v>#N/A</v>
      </c>
      <c r="AK316" s="86" t="b">
        <f t="shared" si="441"/>
        <v>0</v>
      </c>
      <c r="AL316" s="86">
        <f t="shared" si="470"/>
        <v>0.5</v>
      </c>
      <c r="AM316" s="86">
        <f t="shared" si="442"/>
        <v>0.5</v>
      </c>
      <c r="AN316" s="30" t="e">
        <f t="shared" ca="1" si="471"/>
        <v>#DIV/0!</v>
      </c>
      <c r="AO316" s="85" t="e">
        <f ca="1">IF(U316&lt;=Hypothèses!$V$7,Hypothèses!$W$7,IF(U316&lt;=Hypothèses!$V$8,Hypothèses!$W$8,IF(U316&lt;=Hypothèses!$V$9,Hypothèses!$W$9,IF(U316&lt;=Hypothèses!$V$10,Hypothèses!$W$10,IF(U316&lt;=Hypothèses!$V$11,Hypothèses!$W$11,IF(U316&lt;=Hypothèses!$V$12,Hypothèses!$W$12,IF(U316&lt;=Hypothèses!$V$13,Hypothèses!$W$13,IF(U316&lt;=Hypothèses!$V$14,Hypothèses!$W$14,IF(U316&lt;=Hypothèses!$V$15,Hypothèses!$W$15,IF(U316&lt;=Hypothèses!$V$16,Hypothèses!$W$16,IF(U316&lt;=Hypothèses!$V$17,Hypothèses!$W$17,IF(U316&lt;=Hypothèses!$V$18,Hypothèses!$W$18,""))))))))))))</f>
        <v>#DIV/0!</v>
      </c>
      <c r="AP316" s="87" t="e">
        <f t="shared" ca="1" si="517"/>
        <v>#DIV/0!</v>
      </c>
      <c r="AQ316" s="88" t="e">
        <f ca="1">IF(U316&lt;=Hypothèses!$V$7,Hypothèses!$X$7,IF(U316&lt;=Hypothèses!$V$8,Hypothèses!$X$8,IF(U316&lt;=Hypothèses!$V$9,Hypothèses!$X$9,IF(U316&lt;=Hypothèses!$V$10,Hypothèses!$X$10,IF(U316&lt;=Hypothèses!$V$11,Hypothèses!$X$11,IF(U316&lt;=Hypothèses!$V$12,Hypothèses!$X$12,IF(U316&lt;=Hypothèses!$V$13,Hypothèses!$X$13,IF(U316&lt;=Hypothèses!$V$14,Hypothèses!$X$14,IF(U316&lt;=Hypothèses!$V$15,Hypothèses!$X$15,IF(U316&lt;=Hypothèses!$V$16,Hypothèses!$X$16,IF(U316&lt;=Hypothèses!$U$17,Hypothèses!$W$17,IF(U316&lt;=Hypothèses!$U$18,Hypothèses!$W$18,""))))))))))))</f>
        <v>#DIV/0!</v>
      </c>
      <c r="AR316" s="95" t="e">
        <f t="shared" ca="1" si="472"/>
        <v>#DIV/0!</v>
      </c>
      <c r="AS316" s="101" t="e">
        <f t="shared" si="524"/>
        <v>#N/A</v>
      </c>
      <c r="AT316" s="91" t="e">
        <f t="shared" si="443"/>
        <v>#N/A</v>
      </c>
      <c r="AU316" s="30" t="e">
        <f t="shared" si="502"/>
        <v>#N/A</v>
      </c>
      <c r="AV316" s="30" t="e">
        <f t="shared" si="503"/>
        <v>#N/A</v>
      </c>
      <c r="AW316" s="31" t="e">
        <f>IF(OR(Hypothèses!$B$4=17,Hypothèses!$B$4=18,Hypothèses!$B$4=19,Hypothèses!$B$4=20),
IF($D316="Pressio.",
IF(OR($E316=3,$E316=1,$E316=4),AV316,AU316),
IF($D316="Pénétro.",
IF(OR($E316=3,$E316=1,$E316=4),AV316,AU316))),IF($D316="Pressio.",
IF($E316=3,AV316,AU316),
IF($D316="Pénétro.",
IF($E316=4,AV316,AU316))))</f>
        <v>#N/A</v>
      </c>
      <c r="AX316" s="31" t="e">
        <f>(IF(OR(Hypothèses!$B$4=17,Hypothèses!$B$4=18,Hypothèses!$B$4=19,Hypothèses!$B$4=20),
IF($D316="Pressio.",
IF(OR($E316=3,$E316=1,$E316=4),(PI()*AX$12^2)/4*(AT316*$W316*1000)/($H316*$B$5),(PI()*AX$12^2)/4*(AT316*$W316*1000)/($G316*$B$5)),
IF($D316="Pénétro.",
IF(OR($E316=4,$E316=1,$E316=5),(PI()*AX$12^2)/4*(AT316*$W316*1000)/($H316*$B$5),(PI()*AX$12^2)/4*(AT316*$W316*1000)/($G316*$B$5)))),
IF($D316="Pressio.",
IF($E316=3,(PI()*AX$12^2)/4*(AT316*$W316*1000)/($H316*$B$5),(PI()*AX$12^2)/4*(AT316*$W316*1000)/($G316*$B$5)),
IF($D316="Pénétro.",
IF($E316=4,(PI()*AX$12^2)/4*(AT316*$W316*1000)/($H316*$B$5),(PI()*AX$12^2)/4*(AT316*$W316*1000)/($G316*$B$5))))))/10</f>
        <v>#N/A</v>
      </c>
      <c r="AY316" s="102" t="e">
        <f>(VLOOKUP($B$3,'Coeff EC7'!$T$39:$X$59,2,0)*AW316+VLOOKUP($B$3,'Coeff EC7'!$T$65:$X$85,2,0)*Model0.1C!AX316)/1.1</f>
        <v>#N/A</v>
      </c>
      <c r="AZ316" s="102" t="e">
        <f>(VLOOKUP($B$3,'Coeff EC7'!$T$39:$X$59,3,0)*AW316+VLOOKUP($B$3,'Coeff EC7'!$T$65:$X$85,3,0)*Model0.1C!AX316)/0.9</f>
        <v>#N/A</v>
      </c>
      <c r="BA316" s="102" t="e">
        <f t="shared" si="473"/>
        <v>#N/A</v>
      </c>
      <c r="BB316" s="102" t="e">
        <f t="shared" si="474"/>
        <v>#N/A</v>
      </c>
      <c r="BC316" s="414" t="e">
        <f>IF(BC315=0,0,IF(AND(AY316&gt;charge_ELS_quasi,AZ316&gt;Charge_ELS_freq,BA316&gt;charge_ELU,BB316&gt;charge_ELA,$B316&gt;NDC!$H$22-0.1+MIN(3*$BC$12,1.5)),0,1))</f>
        <v>#N/A</v>
      </c>
      <c r="BD316" s="86" t="b">
        <f t="shared" si="444"/>
        <v>0</v>
      </c>
      <c r="BE316" s="86">
        <f t="shared" si="475"/>
        <v>0.5</v>
      </c>
      <c r="BF316" s="86">
        <f t="shared" si="445"/>
        <v>0.5</v>
      </c>
      <c r="BG316" s="30" t="e">
        <f t="shared" ca="1" si="476"/>
        <v>#DIV/0!</v>
      </c>
      <c r="BH316" s="85" t="e">
        <f ca="1">IF(AN316&lt;=Hypothèses!$V$7,Hypothèses!$W$7,IF(AN316&lt;=Hypothèses!$V$8,Hypothèses!$W$8,IF(AN316&lt;=Hypothèses!$V$9,Hypothèses!$W$9,IF(AN316&lt;=Hypothèses!$V$10,Hypothèses!$W$10,IF(AN316&lt;=Hypothèses!$V$11,Hypothèses!$W$11,IF(AN316&lt;=Hypothèses!$V$12,Hypothèses!$W$12,IF(AN316&lt;=Hypothèses!$V$13,Hypothèses!$W$13,IF(AN316&lt;=Hypothèses!$V$14,Hypothèses!$W$14,IF(AN316&lt;=Hypothèses!$V$15,Hypothèses!$W$15,IF(AN316&lt;=Hypothèses!$V$16,Hypothèses!$W$16,IF(AN316&lt;=Hypothèses!$V$17,Hypothèses!$W$17,IF(AN316&lt;=Hypothèses!$V$18,Hypothèses!$W$18,""))))))))))))</f>
        <v>#DIV/0!</v>
      </c>
      <c r="BI316" s="87" t="e">
        <f t="shared" ca="1" si="518"/>
        <v>#DIV/0!</v>
      </c>
      <c r="BJ316" s="88" t="e">
        <f ca="1">IF(AN316&lt;=Hypothèses!$V$7,Hypothèses!$X$7,IF(AN316&lt;=Hypothèses!$V$8,Hypothèses!$X$8,IF(AN316&lt;=Hypothèses!$V$9,Hypothèses!$X$9,IF(AN316&lt;=Hypothèses!$V$10,Hypothèses!$X$10,IF(AN316&lt;=Hypothèses!$V$11,Hypothèses!$X$11,IF(AN316&lt;=Hypothèses!$V$12,Hypothèses!$X$12,IF(AN316&lt;=Hypothèses!$V$13,Hypothèses!$X$13,IF(AN316&lt;=Hypothèses!$V$14,Hypothèses!$X$14,IF(AN316&lt;=Hypothèses!$V$15,Hypothèses!$X$15,IF(AN316&lt;=Hypothèses!$V$16,Hypothèses!$X$16,IF(AN316&lt;=Hypothèses!$U$17,Hypothèses!$W$17,IF(AN316&lt;=Hypothèses!$U$18,Hypothèses!$W$18,""))))))))))))</f>
        <v>#DIV/0!</v>
      </c>
      <c r="BK316" s="95" t="e">
        <f t="shared" ca="1" si="477"/>
        <v>#DIV/0!</v>
      </c>
      <c r="BL316" s="101" t="e">
        <f t="shared" si="525"/>
        <v>#N/A</v>
      </c>
      <c r="BM316" s="91" t="e">
        <f t="shared" si="446"/>
        <v>#N/A</v>
      </c>
      <c r="BN316" s="30" t="e">
        <f t="shared" si="504"/>
        <v>#N/A</v>
      </c>
      <c r="BO316" s="30" t="e">
        <f t="shared" si="505"/>
        <v>#N/A</v>
      </c>
      <c r="BP316" s="31" t="e">
        <f>IF(OR(Hypothèses!$B$4=17,Hypothèses!$B$4=18,Hypothèses!$B$4=19,Hypothèses!$B$4=20),
IF($D316="Pressio.",
IF(OR($E316=3,$E316=1,$E316=4),BO316,BN316),
IF($D316="Pénétro.",
IF(OR($E316=3,$E316=1,$E316=4),BO316,BN316))),IF($D316="Pressio.",
IF($E316=3,BO316,BN316),
IF($D316="Pénétro.",
IF($E316=4,BO316,BN316))))</f>
        <v>#N/A</v>
      </c>
      <c r="BQ316" s="31" t="e">
        <f>(IF(OR(Hypothèses!$B$4=17,Hypothèses!$B$4=18,Hypothèses!$B$4=19,Hypothèses!$B$4=20),
IF($D316="Pressio.",
IF(OR($E316=3,$E316=1,$E316=4),(PI()*BQ$12^2)/4*(BM316*$W316*1000)/($H316*$B$5),(PI()*BQ$12^2)/4*(BM316*$W316*1000)/($G316*$B$5)),
IF($D316="Pénétro.",
IF(OR($E316=4,$E316=1,$E316=5),(PI()*BQ$12^2)/4*(BM316*$W316*1000)/($H316*$B$5),(PI()*BQ$12^2)/4*(BM316*$W316*1000)/($G316*$B$5)))),
IF($D316="Pressio.",
IF($E316=3,(PI()*BQ$12^2)/4*(BM316*$W316*1000)/($H316*$B$5),(PI()*BQ$12^2)/4*(BM316*$W316*1000)/($G316*$B$5)),
IF($D316="Pénétro.",
IF($E316=4,(PI()*BQ$12^2)/4*(BM316*$W316*1000)/($H316*$B$5),(PI()*BQ$12^2)/4*(BM316*$W316*1000)/($G316*$B$5))))))/10</f>
        <v>#N/A</v>
      </c>
      <c r="BR316" s="102" t="e">
        <f>(VLOOKUP($B$3,'Coeff EC7'!$T$39:$X$59,2,0)*BP316+VLOOKUP($B$3,'Coeff EC7'!$T$65:$X$85,2,0)*Model0.1C!BQ316)/1.1</f>
        <v>#N/A</v>
      </c>
      <c r="BS316" s="102" t="e">
        <f>(VLOOKUP($B$3,'Coeff EC7'!$T$39:$X$59,3,0)*BP316+VLOOKUP($B$3,'Coeff EC7'!$T$65:$X$85,3,0)*Model0.1C!BQ316)/0.9</f>
        <v>#N/A</v>
      </c>
      <c r="BT316" s="102" t="e">
        <f t="shared" si="478"/>
        <v>#N/A</v>
      </c>
      <c r="BU316" s="102" t="e">
        <f t="shared" si="479"/>
        <v>#N/A</v>
      </c>
      <c r="BV316" s="414" t="e">
        <f>IF(BV315=0,0,IF(AND(BR316&gt;charge_ELS_quasi,BS316&gt;Charge_ELS_freq,BT316&gt;charge_ELU,BU316&gt;charge_ELA,$B316&gt;NDC!$H$22-0.1+MIN(3*$BV$12,1.5)),0,1))</f>
        <v>#N/A</v>
      </c>
      <c r="BW316" s="86" t="b">
        <f t="shared" si="447"/>
        <v>0</v>
      </c>
      <c r="BX316" s="86">
        <f t="shared" si="448"/>
        <v>0.5</v>
      </c>
      <c r="BY316" s="86">
        <f t="shared" si="449"/>
        <v>0.5</v>
      </c>
      <c r="BZ316" s="30" t="e">
        <f t="shared" ca="1" si="480"/>
        <v>#DIV/0!</v>
      </c>
      <c r="CA316" s="85" t="e">
        <f ca="1">IF(BG316&lt;=Hypothèses!$V$7,Hypothèses!$W$7,IF(BG316&lt;=Hypothèses!$V$8,Hypothèses!$W$8,IF(BG316&lt;=Hypothèses!$V$9,Hypothèses!$W$9,IF(BG316&lt;=Hypothèses!$V$10,Hypothèses!$W$10,IF(BG316&lt;=Hypothèses!$V$11,Hypothèses!$W$11,IF(BG316&lt;=Hypothèses!$V$12,Hypothèses!$W$12,IF(BG316&lt;=Hypothèses!$V$13,Hypothèses!$W$13,IF(BG316&lt;=Hypothèses!$V$14,Hypothèses!$W$14,IF(BG316&lt;=Hypothèses!$V$15,Hypothèses!$W$15,IF(BG316&lt;=Hypothèses!$V$16,Hypothèses!$W$16,IF(BG316&lt;=Hypothèses!$V$17,Hypothèses!$W$17,IF(BG316&lt;=Hypothèses!$V$18,Hypothèses!$W$18,""))))))))))))</f>
        <v>#DIV/0!</v>
      </c>
      <c r="CB316" s="87" t="e">
        <f t="shared" ca="1" si="519"/>
        <v>#DIV/0!</v>
      </c>
      <c r="CC316" s="88" t="e">
        <f ca="1">IF(BG316&lt;=Hypothèses!$V$7,Hypothèses!$X$7,IF(BG316&lt;=Hypothèses!$V$8,Hypothèses!$X$8,IF(BG316&lt;=Hypothèses!$V$9,Hypothèses!$X$9,IF(BG316&lt;=Hypothèses!$V$10,Hypothèses!$X$10,IF(BG316&lt;=Hypothèses!$V$11,Hypothèses!$X$11,IF(BG316&lt;=Hypothèses!$V$12,Hypothèses!$X$12,IF(BG316&lt;=Hypothèses!$V$13,Hypothèses!$X$13,IF(BG316&lt;=Hypothèses!$V$14,Hypothèses!$X$14,IF(BG316&lt;=Hypothèses!$V$15,Hypothèses!$X$15,IF(BG316&lt;=Hypothèses!$V$16,Hypothèses!$X$16,IF(BG316&lt;=Hypothèses!$U$17,Hypothèses!$W$17,IF(BG316&lt;=Hypothèses!$U$18,Hypothèses!$W$18,""))))))))))))</f>
        <v>#DIV/0!</v>
      </c>
      <c r="CD316" s="95" t="e">
        <f t="shared" ca="1" si="481"/>
        <v>#DIV/0!</v>
      </c>
      <c r="CE316" s="101" t="e">
        <f t="shared" si="526"/>
        <v>#N/A</v>
      </c>
      <c r="CF316" s="91" t="e">
        <f t="shared" si="450"/>
        <v>#N/A</v>
      </c>
      <c r="CG316" s="30" t="e">
        <f t="shared" si="506"/>
        <v>#N/A</v>
      </c>
      <c r="CH316" s="30" t="e">
        <f t="shared" si="507"/>
        <v>#N/A</v>
      </c>
      <c r="CI316" s="31" t="e">
        <f>IF(OR(Hypothèses!$B$4=17,Hypothèses!$B$4=18,Hypothèses!$B$4=19,Hypothèses!$B$4=20),
IF($D316="Pressio.",
IF(OR($E316=3,$E316=1,$E316=4),CH316,CG316),
IF($D316="Pénétro.",
IF(OR($E316=3,$E316=1,$E316=4),CH316,CG316))),IF($D316="Pressio.",
IF($E316=3,CH316,CG316),
IF($D316="Pénétro.",
IF($E316=4,CH316,CG316))))</f>
        <v>#N/A</v>
      </c>
      <c r="CJ316" s="31" t="e">
        <f>(IF(OR(Hypothèses!$B$4=17,Hypothèses!$B$4=18,Hypothèses!$B$4=19,Hypothèses!$B$4=20),
IF($D316="Pressio.",
IF(OR($E316=3,$E316=1,$E316=4),(PI()*CJ$12^2)/4*(CF316*$W316*1000)/($H316*$B$5),(PI()*CJ$12^2)/4*(CF316*$W316*1000)/($G316*$B$5)),
IF($D316="Pénétro.",
IF(OR($E316=4,$E316=1,$E316=5),(PI()*CJ$12^2)/4*(CF316*$W316*1000)/($H316*$B$5),(PI()*CJ$12^2)/4*(CF316*$W316*1000)/($G316*$B$5)))),
IF($D316="Pressio.",
IF($E316=3,(PI()*CJ$12^2)/4*(CF316*$W316*1000)/($H316*$B$5),(PI()*CJ$12^2)/4*(CF316*$W316*1000)/($G316*$B$5)),
IF($D316="Pénétro.",
IF($E316=4,(PI()*CJ$12^2)/4*(CF316*$W316*1000)/($H316*$B$5),(PI()*CJ$12^2)/4*(CF316*$W316*1000)/($G316*$B$5))))))/10</f>
        <v>#N/A</v>
      </c>
      <c r="CK316" s="102" t="e">
        <f>(VLOOKUP($B$3,'Coeff EC7'!$T$39:$X$59,2,0)*CI316+VLOOKUP($B$3,'Coeff EC7'!$T$65:$X$85,2,0)*Model0.1C!CJ316)/1.1</f>
        <v>#N/A</v>
      </c>
      <c r="CL316" s="102" t="e">
        <f>(VLOOKUP($B$3,'Coeff EC7'!$T$39:$X$59,3,0)*CI316+VLOOKUP($B$3,'Coeff EC7'!$T$65:$X$85,3,0)*Model0.1C!CJ316)/0.9</f>
        <v>#N/A</v>
      </c>
      <c r="CM316" s="102" t="e">
        <f t="shared" si="482"/>
        <v>#N/A</v>
      </c>
      <c r="CN316" s="102" t="e">
        <f t="shared" si="483"/>
        <v>#N/A</v>
      </c>
      <c r="CO316" s="414" t="e">
        <f>IF(CO315=0,0,IF(AND(CK316&gt;charge_ELS_quasi,CL316&gt;Charge_ELS_freq,CM316&gt;charge_ELU,CN316&gt;charge_ELA,$B316&gt;NDC!$H$22-0.1+MIN(3*$CO$12,1.5)),0,1))</f>
        <v>#N/A</v>
      </c>
      <c r="CP316" s="86" t="b">
        <f t="shared" si="451"/>
        <v>0</v>
      </c>
      <c r="CQ316" s="86">
        <f t="shared" si="452"/>
        <v>0.5</v>
      </c>
      <c r="CR316" s="86">
        <f t="shared" si="453"/>
        <v>0.5</v>
      </c>
      <c r="CS316" s="30" t="e">
        <f t="shared" ca="1" si="484"/>
        <v>#DIV/0!</v>
      </c>
      <c r="CT316" s="85" t="e">
        <f ca="1">IF(BZ316&lt;=Hypothèses!$V$7,Hypothèses!$W$7,IF(BZ316&lt;=Hypothèses!$V$8,Hypothèses!$W$8,IF(BZ316&lt;=Hypothèses!$V$9,Hypothèses!$W$9,IF(BZ316&lt;=Hypothèses!$V$10,Hypothèses!$W$10,IF(BZ316&lt;=Hypothèses!$V$11,Hypothèses!$W$11,IF(BZ316&lt;=Hypothèses!$V$12,Hypothèses!$W$12,IF(BZ316&lt;=Hypothèses!$V$13,Hypothèses!$W$13,IF(BZ316&lt;=Hypothèses!$V$14,Hypothèses!$W$14,IF(BZ316&lt;=Hypothèses!$V$15,Hypothèses!$W$15,IF(BZ316&lt;=Hypothèses!$V$16,Hypothèses!$W$16,IF(BZ316&lt;=Hypothèses!$V$17,Hypothèses!$W$17,IF(BZ316&lt;=Hypothèses!$V$18,Hypothèses!$W$18,""))))))))))))</f>
        <v>#DIV/0!</v>
      </c>
      <c r="CU316" s="87" t="e">
        <f t="shared" ca="1" si="520"/>
        <v>#DIV/0!</v>
      </c>
      <c r="CV316" s="88" t="e">
        <f ca="1">IF(BZ316&lt;=Hypothèses!$V$7,Hypothèses!$X$7,IF(BZ316&lt;=Hypothèses!$V$8,Hypothèses!$X$8,IF(BZ316&lt;=Hypothèses!$V$9,Hypothèses!$X$9,IF(BZ316&lt;=Hypothèses!$V$10,Hypothèses!$X$10,IF(BZ316&lt;=Hypothèses!$V$11,Hypothèses!$X$11,IF(BZ316&lt;=Hypothèses!$V$12,Hypothèses!$X$12,IF(BZ316&lt;=Hypothèses!$V$13,Hypothèses!$X$13,IF(BZ316&lt;=Hypothèses!$V$14,Hypothèses!$X$14,IF(BZ316&lt;=Hypothèses!$V$15,Hypothèses!$X$15,IF(BZ316&lt;=Hypothèses!$V$16,Hypothèses!$X$16,IF(BZ316&lt;=Hypothèses!$U$17,Hypothèses!$W$17,IF(BZ316&lt;=Hypothèses!$U$18,Hypothèses!$W$18,""))))))))))))</f>
        <v>#DIV/0!</v>
      </c>
      <c r="CW316" s="95" t="e">
        <f t="shared" ca="1" si="485"/>
        <v>#DIV/0!</v>
      </c>
      <c r="CX316" s="101" t="e">
        <f t="shared" si="527"/>
        <v>#N/A</v>
      </c>
      <c r="CY316" s="91" t="e">
        <f t="shared" si="454"/>
        <v>#N/A</v>
      </c>
      <c r="CZ316" s="30" t="e">
        <f t="shared" si="508"/>
        <v>#N/A</v>
      </c>
      <c r="DA316" s="30" t="e">
        <f t="shared" si="509"/>
        <v>#N/A</v>
      </c>
      <c r="DB316" s="31" t="e">
        <f>IF(OR(Hypothèses!$B$4=17,Hypothèses!$B$4=18,Hypothèses!$B$4=19,Hypothèses!$B$4=20),
IF($D316="Pressio.",
IF(OR($E316=3,$E316=1,$E316=4),DA316,CZ316),
IF($D316="Pénétro.",
IF(OR($E316=3,$E316=1,$E316=4),DA316,CZ316))),IF($D316="Pressio.",
IF($E316=3,DA316,CZ316),
IF($D316="Pénétro.",
IF($E316=4,DA316,CZ316))))</f>
        <v>#N/A</v>
      </c>
      <c r="DC316" s="31" t="e">
        <f>(IF(OR(Hypothèses!$B$4=17,Hypothèses!$B$4=18,Hypothèses!$B$4=19,Hypothèses!$B$4=20),
IF($D316="Pressio.",
IF(OR($E316=3,$E316=1,$E316=4),(PI()*DC$12^2)/4*(CY316*$W316*1000)/($H316*$B$5),(PI()*DC$12^2)/4*(CY316*$W316*1000)/($G316*$B$5)),
IF($D316="Pénétro.",
IF(OR($E316=4,$E316=1,$E316=5),(PI()*DC$12^2)/4*(CY316*$W316*1000)/($H316*$B$5),(PI()*DC$12^2)/4*(CY316*$W316*1000)/($G316*$B$5)))),
IF($D316="Pressio.",
IF($E316=3,(PI()*DC$12^2)/4*(CY316*$W316*1000)/($H316*$B$5),(PI()*DC$12^2)/4*(CY316*$W316*1000)/($G316*$B$5)),
IF($D316="Pénétro.",
IF($E316=4,(PI()*DC$12^2)/4*(CY316*$W316*1000)/($H316*$B$5),(PI()*DC$12^2)/4*(CY316*$W316*1000)/($G316*$B$5))))))/10</f>
        <v>#N/A</v>
      </c>
      <c r="DD316" s="102" t="e">
        <f>(VLOOKUP($B$3,'Coeff EC7'!$T$39:$X$59,2,0)*DB316+VLOOKUP($B$3,'Coeff EC7'!$T$65:$X$85,2,0)*Model0.1C!DC316)/1.1</f>
        <v>#N/A</v>
      </c>
      <c r="DE316" s="102" t="e">
        <f>(VLOOKUP($B$3,'Coeff EC7'!$T$39:$X$59,3,0)*DB316+VLOOKUP($B$3,'Coeff EC7'!$T$65:$X$85,3,0)*Model0.1C!DC316)/0.9</f>
        <v>#N/A</v>
      </c>
      <c r="DF316" s="102" t="e">
        <f t="shared" si="486"/>
        <v>#N/A</v>
      </c>
      <c r="DG316" s="102" t="e">
        <f t="shared" si="487"/>
        <v>#N/A</v>
      </c>
      <c r="DH316" s="414" t="e">
        <f>IF(DH315=0,0,IF(AND(DD316&gt;charge_ELS_quasi,DE316&gt;Charge_ELS_freq,DF316&gt;charge_ELU,DG316&gt;charge_ELA,$B316&gt;NDC!$H$22-0.1+MIN(3*$DH$12,1.5)),0,1))</f>
        <v>#N/A</v>
      </c>
      <c r="DI316" s="86" t="b">
        <f t="shared" si="455"/>
        <v>0</v>
      </c>
      <c r="DJ316" s="86">
        <f t="shared" si="456"/>
        <v>0.5</v>
      </c>
      <c r="DK316" s="86">
        <f t="shared" si="457"/>
        <v>0.5</v>
      </c>
      <c r="DL316" s="30" t="e">
        <f t="shared" ca="1" si="488"/>
        <v>#DIV/0!</v>
      </c>
      <c r="DM316" s="85" t="e">
        <f ca="1">IF(CS316&lt;=Hypothèses!$V$7,Hypothèses!$W$7,IF(CS316&lt;=Hypothèses!$V$8,Hypothèses!$W$8,IF(CS316&lt;=Hypothèses!$V$9,Hypothèses!$W$9,IF(CS316&lt;=Hypothèses!$V$10,Hypothèses!$W$10,IF(CS316&lt;=Hypothèses!$V$11,Hypothèses!$W$11,IF(CS316&lt;=Hypothèses!$V$12,Hypothèses!$W$12,IF(CS316&lt;=Hypothèses!$V$13,Hypothèses!$W$13,IF(CS316&lt;=Hypothèses!$V$14,Hypothèses!$W$14,IF(CS316&lt;=Hypothèses!$V$15,Hypothèses!$W$15,IF(CS316&lt;=Hypothèses!$V$16,Hypothèses!$W$16,IF(CS316&lt;=Hypothèses!$V$17,Hypothèses!$W$17,IF(CS316&lt;=Hypothèses!$V$18,Hypothèses!$W$18,""))))))))))))</f>
        <v>#DIV/0!</v>
      </c>
      <c r="DN316" s="87" t="e">
        <f t="shared" ca="1" si="521"/>
        <v>#DIV/0!</v>
      </c>
      <c r="DO316" s="88" t="e">
        <f ca="1">IF(CS316&lt;=Hypothèses!$V$7,Hypothèses!$X$7,IF(CS316&lt;=Hypothèses!$V$8,Hypothèses!$X$8,IF(CS316&lt;=Hypothèses!$V$9,Hypothèses!$X$9,IF(CS316&lt;=Hypothèses!$V$10,Hypothèses!$X$10,IF(CS316&lt;=Hypothèses!$V$11,Hypothèses!$X$11,IF(CS316&lt;=Hypothèses!$V$12,Hypothèses!$X$12,IF(CS316&lt;=Hypothèses!$V$13,Hypothèses!$X$13,IF(CS316&lt;=Hypothèses!$V$14,Hypothèses!$X$14,IF(CS316&lt;=Hypothèses!$V$15,Hypothèses!$X$15,IF(CS316&lt;=Hypothèses!$V$16,Hypothèses!$X$16,IF(CS316&lt;=Hypothèses!$U$17,Hypothèses!$W$17,IF(CS316&lt;=Hypothèses!$U$18,Hypothèses!$W$18,""))))))))))))</f>
        <v>#DIV/0!</v>
      </c>
      <c r="DP316" s="95" t="e">
        <f t="shared" ca="1" si="489"/>
        <v>#DIV/0!</v>
      </c>
      <c r="DQ316" s="101" t="e">
        <f t="shared" si="528"/>
        <v>#N/A</v>
      </c>
      <c r="DR316" s="91" t="e">
        <f t="shared" si="458"/>
        <v>#N/A</v>
      </c>
      <c r="DS316" s="30" t="e">
        <f t="shared" si="510"/>
        <v>#N/A</v>
      </c>
      <c r="DT316" s="30" t="e">
        <f t="shared" si="511"/>
        <v>#N/A</v>
      </c>
      <c r="DU316" s="31" t="e">
        <f>IF(OR(Hypothèses!$B$4=17,Hypothèses!$B$4=18,Hypothèses!$B$4=19,Hypothèses!$B$4=20),
IF($D316="Pressio.",
IF(OR($E316=3,$E316=1,$E316=4),DT316,DS316),
IF($D316="Pénétro.",
IF(OR($E316=3,$E316=1,$E316=4),DT316,DS316))),IF($D316="Pressio.",
IF($E316=3,DT316,DS316),
IF($D316="Pénétro.",
IF($E316=4,DT316,DS316))))</f>
        <v>#N/A</v>
      </c>
      <c r="DV316" s="31" t="e">
        <f>(IF(OR(Hypothèses!$B$4=17,Hypothèses!$B$4=18,Hypothèses!$B$4=19,Hypothèses!$B$4=20),
IF($D316="Pressio.",
IF(OR($E316=3,$E316=1,$E316=4),(PI()*DV$12^2)/4*(DR316*$W316*1000)/($H316*$B$5),(PI()*DV$12^2)/4*(DR316*$W316*1000)/($G316*$B$5)),
IF($D316="Pénétro.",
IF(OR($E316=4,$E316=1,$E316=5),(PI()*DV$12^2)/4*(DR316*$W316*1000)/($H316*$B$5),(PI()*DV$12^2)/4*(DR316*$W316*1000)/($G316*$B$5)))),
IF($D316="Pressio.",
IF($E316=3,(PI()*DV$12^2)/4*(DR316*$W316*1000)/($H316*$B$5),(PI()*DV$12^2)/4*(DR316*$W316*1000)/($G316*$B$5)),
IF($D316="Pénétro.",
IF($E316=4,(PI()*DV$12^2)/4*(DR316*$W316*1000)/($H316*$B$5),(PI()*DV$12^2)/4*(DR316*$W316*1000)/($G316*$B$5))))))/10</f>
        <v>#N/A</v>
      </c>
      <c r="DW316" s="102" t="e">
        <f>(VLOOKUP($B$3,'Coeff EC7'!$T$39:$X$59,2,0)*DU316+VLOOKUP($B$3,'Coeff EC7'!$T$65:$X$85,2,0)*Model0.1C!DV316)/1.1</f>
        <v>#N/A</v>
      </c>
      <c r="DX316" s="102" t="e">
        <f>(VLOOKUP($B$3,'Coeff EC7'!$T$39:$X$59,3,0)*DU316+VLOOKUP($B$3,'Coeff EC7'!$T$65:$X$85,3,0)*Model0.1C!DV316)/0.9</f>
        <v>#N/A</v>
      </c>
      <c r="DY316" s="102" t="e">
        <f t="shared" si="490"/>
        <v>#N/A</v>
      </c>
      <c r="DZ316" s="102" t="e">
        <f t="shared" si="491"/>
        <v>#N/A</v>
      </c>
      <c r="EA316" s="414" t="e">
        <f>IF(EA315=0,0,IF(AND(DW316&gt;charge_ELS_quasi,DX316&gt;Charge_ELS_freq,DY316&gt;charge_ELU,DZ316&gt;charge_ELA,$B316&gt;NDC!$H$22-0.1+MIN(3*$EA$12,1.5)),0,1))</f>
        <v>#N/A</v>
      </c>
      <c r="EB316" s="86" t="b">
        <f t="shared" si="459"/>
        <v>0</v>
      </c>
      <c r="EC316" s="418">
        <f t="shared" si="460"/>
        <v>0.51</v>
      </c>
      <c r="ED316" s="86">
        <f t="shared" si="461"/>
        <v>0.51</v>
      </c>
      <c r="EE316" s="30" t="e">
        <f t="shared" ca="1" si="492"/>
        <v>#DIV/0!</v>
      </c>
      <c r="EF316" s="85" t="e">
        <f ca="1">IF(DL316&lt;=Hypothèses!$V$7,Hypothèses!$W$7,IF(DL316&lt;=Hypothèses!$V$8,Hypothèses!$W$8,IF(DL316&lt;=Hypothèses!$V$9,Hypothèses!$W$9,IF(DL316&lt;=Hypothèses!$V$10,Hypothèses!$W$10,IF(DL316&lt;=Hypothèses!$V$11,Hypothèses!$W$11,IF(DL316&lt;=Hypothèses!$V$12,Hypothèses!$W$12,IF(DL316&lt;=Hypothèses!$V$13,Hypothèses!$W$13,IF(DL316&lt;=Hypothèses!$V$14,Hypothèses!$W$14,IF(DL316&lt;=Hypothèses!$V$15,Hypothèses!$W$15,IF(DL316&lt;=Hypothèses!$V$16,Hypothèses!$W$16,IF(DL316&lt;=Hypothèses!$V$17,Hypothèses!$W$17,IF(DL316&lt;=Hypothèses!$V$18,Hypothèses!$W$18,""))))))))))))</f>
        <v>#DIV/0!</v>
      </c>
      <c r="EG316" s="87" t="e">
        <f t="shared" ca="1" si="522"/>
        <v>#DIV/0!</v>
      </c>
      <c r="EH316" s="88" t="e">
        <f ca="1">IF(DL316&lt;=Hypothèses!$V$7,Hypothèses!$X$7,IF(DL316&lt;=Hypothèses!$V$8,Hypothèses!$X$8,IF(DL316&lt;=Hypothèses!$V$9,Hypothèses!$X$9,IF(DL316&lt;=Hypothèses!$V$10,Hypothèses!$X$10,IF(DL316&lt;=Hypothèses!$V$11,Hypothèses!$X$11,IF(DL316&lt;=Hypothèses!$V$12,Hypothèses!$X$12,IF(DL316&lt;=Hypothèses!$V$13,Hypothèses!$X$13,IF(DL316&lt;=Hypothèses!$V$14,Hypothèses!$X$14,IF(DL316&lt;=Hypothèses!$V$15,Hypothèses!$X$15,IF(DL316&lt;=Hypothèses!$V$16,Hypothèses!$X$16,IF(DL316&lt;=Hypothèses!$U$17,Hypothèses!$W$17,IF(DL316&lt;=Hypothèses!$U$18,Hypothèses!$W$18,""))))))))))))</f>
        <v>#DIV/0!</v>
      </c>
      <c r="EI316" s="95" t="e">
        <f t="shared" ca="1" si="493"/>
        <v>#DIV/0!</v>
      </c>
      <c r="EJ316" s="101" t="e">
        <f t="shared" si="529"/>
        <v>#N/A</v>
      </c>
      <c r="EK316" s="91" t="e">
        <f t="shared" si="462"/>
        <v>#N/A</v>
      </c>
      <c r="EL316" s="30" t="e">
        <f t="shared" si="512"/>
        <v>#N/A</v>
      </c>
      <c r="EM316" s="30" t="e">
        <f t="shared" si="513"/>
        <v>#N/A</v>
      </c>
      <c r="EN316" s="31" t="e">
        <f>IF(OR(Hypothèses!$B$4=17,Hypothèses!$B$4=18,Hypothèses!$B$4=19,Hypothèses!$B$4=20),
IF($D316="Pressio.",
IF(OR($E316=3,$E316=1,$E316=4),EM316,EL316),
IF($D316="Pénétro.",
IF(OR($E316=3,$E316=1,$E316=4),EM316,EL316))),IF($D316="Pressio.",
IF($E316=3,EM316,EL316),
IF($D316="Pénétro.",
IF($E316=4,EM316,EL316))))</f>
        <v>#N/A</v>
      </c>
      <c r="EO316" s="31" t="e">
        <f>(IF(OR(Hypothèses!$B$4=17,Hypothèses!$B$4=18,Hypothèses!$B$4=19,Hypothèses!$B$4=20),
IF($D316="Pressio.",
IF(OR($E316=3,$E316=1,$E316=4),(PI()*EO$12^2)/4*(EK316*$W316*1000)/($H316*$B$5),(PI()*EO$12^2)/4*(EK316*$W316*1000)/($G316*$B$5)),
IF($D316="Pénétro.",
IF(OR($E316=4,$E316=1,$E316=5),(PI()*EO$12^2)/4*(EK316*$W316*1000)/($H316*$B$5),(PI()*EO$12^2)/4*(EK316*$W316*1000)/($G316*$B$5)))),
IF($D316="Pressio.",
IF($E316=3,(PI()*EO$12^2)/4*(EK316*$W316*1000)/($H316*$B$5),(PI()*EO$12^2)/4*(EK316*$W316*1000)/($G316*$B$5)),
IF($D316="Pénétro.",
IF($E316=4,(PI()*EO$12^2)/4*(EK316*$W316*1000)/($H316*$B$5),(PI()*EO$12^2)/4*(EK316*$W316*1000)/($G316*$B$5))))))/10</f>
        <v>#N/A</v>
      </c>
      <c r="EP316" s="102" t="e">
        <f>(VLOOKUP($B$3,'Coeff EC7'!$T$39:$X$59,2,0)*EN316+VLOOKUP($B$3,'Coeff EC7'!$T$65:$X$85,2,0)*Model0.1C!EO316)/1.1</f>
        <v>#N/A</v>
      </c>
      <c r="EQ316" s="102" t="e">
        <f>(VLOOKUP($B$3,'Coeff EC7'!$T$39:$X$59,3,0)*EN316+VLOOKUP($B$3,'Coeff EC7'!$T$65:$X$85,3,0)*Model0.1C!EO316)/0.9</f>
        <v>#N/A</v>
      </c>
      <c r="ER316" s="102" t="e">
        <f t="shared" si="494"/>
        <v>#N/A</v>
      </c>
      <c r="ES316" s="102" t="e">
        <f t="shared" si="495"/>
        <v>#N/A</v>
      </c>
      <c r="ET316" s="414" t="e">
        <f>IF(ET315=0,0,IF(AND(EP316&gt;charge_ELS_quasi,EQ316&gt;Charge_ELS_freq,ER316&gt;charge_ELU,ES316&gt;charge_ELA,$B316&gt;NDC!$H$22-0.1+MIN(3*$ET$12,1.5)),0,1))</f>
        <v>#N/A</v>
      </c>
      <c r="EU316" s="86" t="b">
        <f t="shared" si="463"/>
        <v>0</v>
      </c>
      <c r="EV316" s="86">
        <f t="shared" si="464"/>
        <v>0.61</v>
      </c>
      <c r="EW316" s="86">
        <f t="shared" si="465"/>
        <v>0.61</v>
      </c>
      <c r="EX316" s="30" t="e">
        <f t="shared" ca="1" si="496"/>
        <v>#DIV/0!</v>
      </c>
      <c r="EY316" s="85" t="e">
        <f ca="1">IF(EE316&lt;=Hypothèses!$V$7,Hypothèses!$W$7,IF(EE316&lt;=Hypothèses!$V$8,Hypothèses!$W$8,IF(EE316&lt;=Hypothèses!$V$9,Hypothèses!$W$9,IF(EE316&lt;=Hypothèses!$V$10,Hypothèses!$W$10,IF(EE316&lt;=Hypothèses!$V$11,Hypothèses!$W$11,IF(EE316&lt;=Hypothèses!$V$12,Hypothèses!$W$12,IF(EE316&lt;=Hypothèses!$V$13,Hypothèses!$W$13,IF(EE316&lt;=Hypothèses!$V$14,Hypothèses!$W$14,IF(EE316&lt;=Hypothèses!$V$15,Hypothèses!$W$15,IF(EE316&lt;=Hypothèses!$V$16,Hypothèses!$W$16,IF(EE316&lt;=Hypothèses!$V$17,Hypothèses!$W$17,IF(EE316&lt;=Hypothèses!$V$18,Hypothèses!$W$18,""))))))))))))</f>
        <v>#DIV/0!</v>
      </c>
      <c r="EZ316" s="87" t="e">
        <f t="shared" ca="1" si="523"/>
        <v>#DIV/0!</v>
      </c>
      <c r="FA316" s="88" t="e">
        <f ca="1">IF(EE316&lt;=Hypothèses!$V$7,Hypothèses!$X$7,IF(EE316&lt;=Hypothèses!$V$8,Hypothèses!$X$8,IF(EE316&lt;=Hypothèses!$V$9,Hypothèses!$X$9,IF(EE316&lt;=Hypothèses!$V$10,Hypothèses!$X$10,IF(EE316&lt;=Hypothèses!$V$11,Hypothèses!$X$11,IF(EE316&lt;=Hypothèses!$V$12,Hypothèses!$X$12,IF(EE316&lt;=Hypothèses!$V$13,Hypothèses!$X$13,IF(EE316&lt;=Hypothèses!$V$14,Hypothèses!$X$14,IF(EE316&lt;=Hypothèses!$V$15,Hypothèses!$X$15,IF(EE316&lt;=Hypothèses!$V$16,Hypothèses!$X$16,IF(EE316&lt;=Hypothèses!$U$17,Hypothèses!$W$17,IF(EE316&lt;=Hypothèses!$U$18,Hypothèses!$W$18,""))))))))))))</f>
        <v>#DIV/0!</v>
      </c>
      <c r="FB316" s="95" t="e">
        <f t="shared" ca="1" si="497"/>
        <v>#DIV/0!</v>
      </c>
      <c r="FC316" s="101" t="e">
        <f t="shared" si="530"/>
        <v>#N/A</v>
      </c>
      <c r="FD316" s="91" t="e">
        <f t="shared" si="466"/>
        <v>#N/A</v>
      </c>
      <c r="FE316" s="30" t="e">
        <f t="shared" si="514"/>
        <v>#N/A</v>
      </c>
      <c r="FF316" s="30" t="e">
        <f t="shared" si="515"/>
        <v>#N/A</v>
      </c>
      <c r="FG316" s="31" t="e">
        <f>IF(OR(Hypothèses!$B$4=17,Hypothèses!$B$4=18,Hypothèses!$B$4=19,Hypothèses!$B$4=20),
IF($D316="Pressio.",
IF(OR($E316=3,$E316=1,$E316=4),FF316,FE316),
IF($D316="Pénétro.",
IF(OR($E316=3,$E316=1,$E316=4),FF316,FE316))),IF($D316="Pressio.",
IF($E316=3,FF316,FE316),
IF($D316="Pénétro.",
IF($E316=4,FF316,FE316))))</f>
        <v>#N/A</v>
      </c>
      <c r="FH316" s="31" t="e">
        <f>(IF(OR(Hypothèses!$B$4=17,Hypothèses!$B$4=18,Hypothèses!$B$4=19,Hypothèses!$B$4=20),
IF($D316="Pressio.",
IF(OR($E316=3,$E316=1,$E316=4),(PI()*FH$12^2)/4*(FD316*$W316*1000)/($H316*$B$5),(PI()*FH$12^2)/4*(FD316*$W316*1000)/($G316*$B$5)),
IF($D316="Pénétro.",
IF(OR($E316=4,$E316=1,$E316=5),(PI()*FH$12^2)/4*(FD316*$W316*1000)/($H316*$B$5),(PI()*FH$12^2)/4*(FD316*$W316*1000)/($G316*$B$5)))),
IF($D316="Pressio.",
IF($E316=3,(PI()*FH$12^2)/4*(FD316*$W316*1000)/($H316*$B$5),(PI()*FH$12^2)/4*(FD316*$W316*1000)/($G316*$B$5)),
IF($D316="Pénétro.",
IF($E316=4,(PI()*FH$12^2)/4*(FD316*$W316*1000)/($H316*$B$5),(PI()*FH$12^2)/4*(FD316*$W316*1000)/($G316*$B$5))))))/10</f>
        <v>#N/A</v>
      </c>
      <c r="FI316" s="102" t="e">
        <f>(VLOOKUP($B$3,'Coeff EC7'!$T$39:$X$59,2,0)*FG316+VLOOKUP($B$3,'Coeff EC7'!$T$65:$X$85,2,0)*Model0.1C!FH316)/1.1</f>
        <v>#N/A</v>
      </c>
      <c r="FJ316" s="102" t="e">
        <f>(VLOOKUP($B$3,'Coeff EC7'!$T$39:$X$59,3,0)*FG316+VLOOKUP($B$3,'Coeff EC7'!$T$65:$X$85,3,0)*Model0.1C!FH316)/0.9</f>
        <v>#N/A</v>
      </c>
      <c r="FK316" s="102" t="e">
        <f t="shared" si="498"/>
        <v>#N/A</v>
      </c>
      <c r="FL316" s="102" t="e">
        <f t="shared" si="499"/>
        <v>#N/A</v>
      </c>
      <c r="FM316" s="414" t="e">
        <f>IF(FM315=0,0,IF(AND(FI316&gt;charge_ELS_quasi,FJ316&gt;Charge_ELS_freq,FK316&gt;charge_ELU,FL316&gt;charge_ELA,$B316&gt;NDC!$H$22-0.1+MIN(3*$FM$12,1.5)),0,1))</f>
        <v>#N/A</v>
      </c>
    </row>
    <row r="317" spans="1:169">
      <c r="A317" s="96">
        <f t="shared" si="467"/>
        <v>69.600000000001728</v>
      </c>
      <c r="B317" s="97">
        <v>30.4</v>
      </c>
      <c r="C317" s="81">
        <f>IF(B317&lt;=Hypothèses!$C$7,Hypothèses!$A$7,IF(B317&lt;=Hypothèses!$C$8,Hypothèses!$A$8,IF(B317&lt;=Hypothèses!$C$9,Hypothèses!$A$9,IF(B317&lt;=Hypothèses!$C$10,Hypothèses!$A$10,IF(B317&lt;=Hypothèses!$C$11,Hypothèses!$A$11,IF(B317&lt;=Hypothèses!$C$12,Hypothèses!$A$12,IF(B317&lt;=Hypothèses!$C$13,Hypothèses!$A$13,IF(B317&lt;=Hypothèses!$C$14,Hypothèses!$A$14,IF(B317&lt;=Hypothèses!$C$15,Hypothèses!$A$15,IF(B317&lt;=Hypothèses!$C$16,Hypothèses!$A$16,IF(B317&lt;=Hypothèses!$C$17,Hypothèses!$A$17,IF(B317&lt;=Hypothèses!$C$18,Hypothèses!$A$18,C316))))))))))))</f>
        <v>11</v>
      </c>
      <c r="D317" s="82" t="str">
        <f>IF(B317&lt;=Hypothèses!$C$7,Hypothèses!$R$7,IF(B317&lt;=Hypothèses!$C$8,Hypothèses!$R$8,IF(B317&lt;=Hypothèses!$C$9,Hypothèses!$R$9,IF(B317&lt;=Hypothèses!$C$10,Hypothèses!$R$10,IF(B317&lt;=Hypothèses!$C$11,Hypothèses!$R$11,IF(B317&lt;=Hypothèses!$C$12,Hypothèses!$R$12,IF(B317&lt;=Hypothèses!$C$13,Hypothèses!$R$13,IF(B317&lt;=Hypothèses!$C$14,Hypothèses!$R$14,IF(B317&lt;=Hypothèses!$C$15,Hypothèses!$R$15,IF(B317&lt;=Hypothèses!$C$16,Hypothèses!$R$16,IF(B317&lt;=Hypothèses!$C$17,Hypothèses!$R$17,IF(B317&lt;=Hypothèses!$C$18,Hypothèses!$R$18,D316))))))))))))</f>
        <v>Pressio.</v>
      </c>
      <c r="E317" s="82" t="e">
        <f>IF(B317&lt;=Hypothèses!$C$7,Hypothèses!$G$7,IF(B317&lt;=Hypothèses!$C$8,Hypothèses!$G$8,IF(B317&lt;=Hypothèses!$C$9,Hypothèses!$G$9,IF(B317&lt;=Hypothèses!$C$10,Hypothèses!$G$10,IF(B317&lt;=Hypothèses!$C$11,Hypothèses!$G$11,IF(B317&lt;=Hypothèses!$C$12,Hypothèses!$G$12,IF(B317&lt;=Hypothèses!$C$13,Hypothèses!$G$13,IF(B317&lt;=Hypothèses!$C$14,Hypothèses!$G$14,IF(B317&lt;=Hypothèses!$C$15,Hypothèses!$G$15,IF(B317&lt;=Hypothèses!$C$16,Hypothèses!$G$16,IF(B317&lt;=Hypothèses!$C$17,Hypothèses!$G$17,IF(B317&lt;=Hypothèses!$C$18,Hypothèses!$G$18,E316))))))))))))</f>
        <v>#N/A</v>
      </c>
      <c r="F317" s="82" t="str">
        <f>IF(B317&lt;=Hypothèses!$C$7,Hypothèses!$F$7,IF(B317&lt;=Hypothèses!$C$8,Hypothèses!$F$8,IF(B317&lt;=Hypothèses!$C$9,Hypothèses!$F$9,IF(B317&lt;=Hypothèses!$C$10,Hypothèses!$F$10,IF(B317&lt;=Hypothèses!$C$11,Hypothèses!$F$11,IF(B317&lt;=Hypothèses!$C$12,Hypothèses!$F$12,IF(B317&lt;=Hypothèses!$C$13,Hypothèses!$F$13,IF(B317&lt;=Hypothèses!$C$14,Hypothèses!$F$14,IF(B317&lt;=Hypothèses!$C$15,Hypothèses!$F$15,IF(B317&lt;=Hypothèses!$C$16,Hypothèses!$F$16,IF(B317&lt;=Hypothèses!$C$17,Hypothèses!$F$17,IF(B317&lt;=Hypothèses!$C$18,Hypothèses!$F$18,F316))))))))))))</f>
        <v/>
      </c>
      <c r="G317" s="91">
        <f t="array" ref="G317">INDEX('Coeff EC7'!$U$7:$X$27,
MATCH(Model0.1C!$B$3,'Coeff EC7'!$T$7:$T$27,0),
MATCH(Model0.1C!$D317&amp;Model0.1C!$B$4,
'Coeff EC7'!$U$6:$X$6&amp;
'Coeff EC7'!$U$5:$X$5,0))</f>
        <v>1.1499999999999999</v>
      </c>
      <c r="H317" s="91">
        <f t="array" ref="H317">INDEX('Coeff EC7'!$Y$7:$AB$27,
MATCH(Model0.1C!$B$3,'Coeff EC7'!$T$7:$T$27,0),
MATCH(Model0.1C!$D317&amp;Model0.1C!$B$4,
'Coeff EC7'!$Y$6:$AB$6&amp;
'Coeff EC7'!$Y$5:$AB$5,0))</f>
        <v>1.4</v>
      </c>
      <c r="I317" s="83" t="e">
        <f>IF(B317&lt;=Hypothèses!$C$7,Hypothèses!$P$7,IF(B317&lt;=Hypothèses!$C$8,Hypothèses!$P$8,IF(B317&lt;=Hypothèses!$C$9,Hypothèses!$P$9,IF(B317&lt;=Hypothèses!$C$10,Hypothèses!$P$10,IF(B317&lt;=Hypothèses!$C$11,Hypothèses!$P$11,IF(B317&lt;=Hypothèses!$C$12,Hypothèses!$P$12,IF(B317&lt;=Hypothèses!$C$13,Hypothèses!$P$13,IF(B317&lt;=Hypothèses!$C$14,Hypothèses!$P$14,IF(B317&lt;=Hypothèses!$C$15,Hypothèses!$P$15,IF(B317&lt;=Hypothèses!$C$16,Hypothèses!$P$16,IF(B317&lt;=Hypothèses!$C$17,Hypothèses!$P$17,IF(B317&lt;=Hypothèses!$C$18,Hypothèses!$P$18,I316))))))))))))</f>
        <v>#N/A</v>
      </c>
      <c r="J317" s="91" t="e">
        <f t="array" ref="J317">INDEX('Coeff EC7'!$D$33:$Q$33,1,MATCH(D317&amp;E317,'Coeff EC7'!$D$31:$Q$31&amp;'Coeff EC7'!$D$32:$Q$32,0))</f>
        <v>#N/A</v>
      </c>
      <c r="K317" s="91" t="e">
        <f t="array" ref="K317">INDEX('Coeff EC7'!$D$34:$Q$34,1,MATCH(D317&amp;E317,'Coeff EC7'!$D$31:$Q$31&amp;'Coeff EC7'!$D$32:$Q$32,0))</f>
        <v>#N/A</v>
      </c>
      <c r="L317" s="91" t="e">
        <f t="array" ref="L317">INDEX('Coeff EC7'!$D$35:$Q$35,1,MATCH(D317&amp;E317,'Coeff EC7'!$D$31:$Q$31&amp;'Coeff EC7'!$D$32:$Q$32,0))</f>
        <v>#N/A</v>
      </c>
      <c r="M317" s="98" t="e">
        <f t="shared" si="431"/>
        <v>#N/A</v>
      </c>
      <c r="N317" s="99" t="e">
        <f t="array" ref="N317">INDEX('Coeff EC7'!$D$7:$Q$27,MATCH($B$3,'Coeff EC7'!$C$7:$C$27,0),MATCH(D317&amp;E317,'Coeff EC7'!$D$5:$Q$5&amp;'Coeff EC7'!$D$6:$Q$6,0))</f>
        <v>#N/A</v>
      </c>
      <c r="O317" s="99" t="e">
        <f t="array" ref="O317">INDEX('Coeff EC7'!$D$41:$Q$61,MATCH($B$3,'Coeff EC7'!$C$41:$C$61,0),MATCH(D317&amp;E317,'Coeff EC7'!$D$39:$Q$39&amp;'Coeff EC7'!$D$40:$Q$40,0))</f>
        <v>#N/A</v>
      </c>
      <c r="P317" s="30" t="e">
        <f t="shared" si="468"/>
        <v>#N/A</v>
      </c>
      <c r="Q317" s="100" t="e">
        <f t="shared" si="433"/>
        <v>#N/A</v>
      </c>
      <c r="R317" s="86" t="b">
        <f t="shared" si="434"/>
        <v>0</v>
      </c>
      <c r="S317" s="86">
        <f t="shared" si="432"/>
        <v>0.5</v>
      </c>
      <c r="T317" s="86">
        <f t="shared" si="435"/>
        <v>0.5</v>
      </c>
      <c r="U317" s="30" t="e">
        <f t="shared" ca="1" si="469"/>
        <v>#DIV/0!</v>
      </c>
      <c r="V317" s="85" t="str">
        <f>IF(B317&lt;=Hypothèses!$V$7,Hypothèses!$W$7,IF(B317&lt;=Hypothèses!$V$8,Hypothèses!$W$8,IF(B317&lt;=Hypothèses!$V$9,Hypothèses!$W$9,IF(B317&lt;=Hypothèses!$V$10,Hypothèses!$W$10,IF(B317&lt;=Hypothèses!$V$11,Hypothèses!$W$11,IF(B317&lt;=Hypothèses!$V$12,Hypothèses!$W$12,IF(B317&lt;=Hypothèses!$V$13,Hypothèses!$W$13,IF(B317&lt;=Hypothèses!$V$14,Hypothèses!$W$14,IF(B317&lt;=Hypothèses!$V$15,Hypothèses!$W$15,IF(B317&lt;=Hypothèses!$V$16,Hypothèses!$W$16,IF(B317&lt;=Hypothèses!$V$17,Hypothèses!$W$17,IF(B317&lt;=Hypothèses!$V$18,Hypothèses!$W$18,""))))))))))))</f>
        <v/>
      </c>
      <c r="W317" s="87" t="e">
        <f t="shared" ca="1" si="516"/>
        <v>#DIV/0!</v>
      </c>
      <c r="X317" s="88" t="str">
        <f>IF(B317&lt;=Hypothèses!$V$7,Hypothèses!$X$7,IF(B317&lt;=Hypothèses!$V$8,Hypothèses!$X$8,IF(B317&lt;=Hypothèses!$V$9,Hypothèses!$X$9,IF(B317&lt;=Hypothèses!$V$10,Hypothèses!$X$10,IF(B317&lt;=Hypothèses!$V$11,Hypothèses!$X$11,IF(B317&lt;=Hypothèses!$V$12,Hypothèses!$X$12,IF(B317&lt;=Hypothèses!$V$13,Hypothèses!$X$13,IF(B317&lt;=Hypothèses!$V$14,Hypothèses!$X$14,IF(B317&lt;=Hypothèses!$V$15,Hypothèses!$X$15,IF(B317&lt;=Hypothèses!$V$16,Hypothèses!$X$16,IF(B317&lt;=Hypothèses!$U$17,Hypothèses!$W$17,IF(B317&lt;=Hypothèses!$U$18,Hypothèses!$W$18,""))))))))))))</f>
        <v/>
      </c>
      <c r="Y317" s="95" t="e">
        <f t="shared" ca="1" si="436"/>
        <v>#DIV/0!</v>
      </c>
      <c r="Z317" s="101" t="e">
        <f t="shared" si="437"/>
        <v>#N/A</v>
      </c>
      <c r="AA317" s="91" t="e">
        <f t="shared" si="438"/>
        <v>#N/A</v>
      </c>
      <c r="AB317" s="30" t="e">
        <f t="shared" si="500"/>
        <v>#N/A</v>
      </c>
      <c r="AC317" s="30" t="e">
        <f t="shared" si="501"/>
        <v>#N/A</v>
      </c>
      <c r="AD317" s="31" t="e">
        <f>IF(OR(Hypothèses!$B$4=17,Hypothèses!$B$4=18,Hypothèses!$B$4=19,Hypothèses!$B$4=20),
IF($D317="Pressio.",
IF(OR($E317=3,$E317=1,$E317=4),AC317,AB317),
IF($D317="Pénétro.",
IF(OR($E317=3,$E317=1,$E317=4),AC317,AB317))),IF($D317="Pressio.",
IF($E317=3,AC317,AB317),
IF($D317="Pénétro.",
IF($E317=4,AC317,AB317))))</f>
        <v>#N/A</v>
      </c>
      <c r="AE317" s="31" t="e">
        <f>(IF(OR(Hypothèses!$B$4=17,Hypothèses!$B$4=18,Hypothèses!$B$4=19,Hypothèses!$B$4=20),
IF($D317="Pressio.",
IF(OR($E317=3,$E317=1,$E317=4),(PI()*AE$12^2)/4*(AA317*$W317*1000)/($H317*$B$5),(PI()*AE$12^2)/4*(AA317*$W317*1000)/($G317*$B$5)),
IF($D317="Pénétro.",
IF(OR($E317=4,$E317=1,$E317=5),(PI()*AE$12^2)/4*(AA317*$W317*1000)/($H317*$B$5),(PI()*AE$12^2)/4*(AA317*$W317*1000)/($G317*$B$5)))),
IF($D317="Pressio.",
IF($E317=3,(PI()*AE$12^2)/4*(AA317*$W317*1000)/($H317*$B$5),(PI()*AE$12^2)/4*(AA317*$W317*1000)/($G317*$B$5)),
IF($D317="Pénétro.",
IF($E317=4,(PI()*AE$12^2)/4*(AA317*$W317*1000)/($H317*$B$5),(PI()*AE$12^2)/4*(AA317*$W317*1000)/($G317*$B$5))))))/10</f>
        <v>#N/A</v>
      </c>
      <c r="AF317" s="102" t="e">
        <f>(VLOOKUP($B$3,'Coeff EC7'!$T$39:$X$59,2,0)*AD317+VLOOKUP($B$3,'Coeff EC7'!$T$65:$X$85,2,0)*Model0.1C!AE317)/1.1</f>
        <v>#N/A</v>
      </c>
      <c r="AG317" s="102" t="e">
        <f>(VLOOKUP($B$3,'Coeff EC7'!$T$39:$X$59,3,0)*AD317+VLOOKUP($B$3,'Coeff EC7'!$T$65:$X$85,3,0)*Model0.1C!AE317)/0.9</f>
        <v>#N/A</v>
      </c>
      <c r="AH317" s="102" t="e">
        <f t="shared" si="439"/>
        <v>#N/A</v>
      </c>
      <c r="AI317" s="102" t="e">
        <f t="shared" si="440"/>
        <v>#N/A</v>
      </c>
      <c r="AJ317" s="414" t="e">
        <f>IF(AJ316=0,0,IF(AND(AF317&gt;charge_ELS_quasi,AG317&gt;Charge_ELS_freq,AH317&gt;charge_ELU,AI317&gt;charge_ELA,$B317&gt;NDC!$H$22-0.1+MIN(3*$AJ$12,1.5)),0,1))</f>
        <v>#N/A</v>
      </c>
      <c r="AK317" s="86" t="b">
        <f t="shared" si="441"/>
        <v>0</v>
      </c>
      <c r="AL317" s="86">
        <f t="shared" si="470"/>
        <v>0.5</v>
      </c>
      <c r="AM317" s="86">
        <f t="shared" si="442"/>
        <v>0.5</v>
      </c>
      <c r="AN317" s="30" t="e">
        <f t="shared" ca="1" si="471"/>
        <v>#DIV/0!</v>
      </c>
      <c r="AO317" s="85" t="e">
        <f ca="1">IF(U317&lt;=Hypothèses!$V$7,Hypothèses!$W$7,IF(U317&lt;=Hypothèses!$V$8,Hypothèses!$W$8,IF(U317&lt;=Hypothèses!$V$9,Hypothèses!$W$9,IF(U317&lt;=Hypothèses!$V$10,Hypothèses!$W$10,IF(U317&lt;=Hypothèses!$V$11,Hypothèses!$W$11,IF(U317&lt;=Hypothèses!$V$12,Hypothèses!$W$12,IF(U317&lt;=Hypothèses!$V$13,Hypothèses!$W$13,IF(U317&lt;=Hypothèses!$V$14,Hypothèses!$W$14,IF(U317&lt;=Hypothèses!$V$15,Hypothèses!$W$15,IF(U317&lt;=Hypothèses!$V$16,Hypothèses!$W$16,IF(U317&lt;=Hypothèses!$V$17,Hypothèses!$W$17,IF(U317&lt;=Hypothèses!$V$18,Hypothèses!$W$18,""))))))))))))</f>
        <v>#DIV/0!</v>
      </c>
      <c r="AP317" s="87" t="e">
        <f t="shared" ca="1" si="517"/>
        <v>#DIV/0!</v>
      </c>
      <c r="AQ317" s="88" t="e">
        <f ca="1">IF(U317&lt;=Hypothèses!$V$7,Hypothèses!$X$7,IF(U317&lt;=Hypothèses!$V$8,Hypothèses!$X$8,IF(U317&lt;=Hypothèses!$V$9,Hypothèses!$X$9,IF(U317&lt;=Hypothèses!$V$10,Hypothèses!$X$10,IF(U317&lt;=Hypothèses!$V$11,Hypothèses!$X$11,IF(U317&lt;=Hypothèses!$V$12,Hypothèses!$X$12,IF(U317&lt;=Hypothèses!$V$13,Hypothèses!$X$13,IF(U317&lt;=Hypothèses!$V$14,Hypothèses!$X$14,IF(U317&lt;=Hypothèses!$V$15,Hypothèses!$X$15,IF(U317&lt;=Hypothèses!$V$16,Hypothèses!$X$16,IF(U317&lt;=Hypothèses!$U$17,Hypothèses!$W$17,IF(U317&lt;=Hypothèses!$U$18,Hypothèses!$W$18,""))))))))))))</f>
        <v>#DIV/0!</v>
      </c>
      <c r="AR317" s="95" t="e">
        <f t="shared" ca="1" si="472"/>
        <v>#DIV/0!</v>
      </c>
      <c r="AS317" s="101" t="e">
        <f t="shared" si="524"/>
        <v>#N/A</v>
      </c>
      <c r="AT317" s="91" t="e">
        <f t="shared" si="443"/>
        <v>#N/A</v>
      </c>
      <c r="AU317" s="30" t="e">
        <f t="shared" si="502"/>
        <v>#N/A</v>
      </c>
      <c r="AV317" s="30" t="e">
        <f t="shared" si="503"/>
        <v>#N/A</v>
      </c>
      <c r="AW317" s="31" t="e">
        <f>IF(OR(Hypothèses!$B$4=17,Hypothèses!$B$4=18,Hypothèses!$B$4=19,Hypothèses!$B$4=20),
IF($D317="Pressio.",
IF(OR($E317=3,$E317=1,$E317=4),AV317,AU317),
IF($D317="Pénétro.",
IF(OR($E317=3,$E317=1,$E317=4),AV317,AU317))),IF($D317="Pressio.",
IF($E317=3,AV317,AU317),
IF($D317="Pénétro.",
IF($E317=4,AV317,AU317))))</f>
        <v>#N/A</v>
      </c>
      <c r="AX317" s="31" t="e">
        <f>(IF(OR(Hypothèses!$B$4=17,Hypothèses!$B$4=18,Hypothèses!$B$4=19,Hypothèses!$B$4=20),
IF($D317="Pressio.",
IF(OR($E317=3,$E317=1,$E317=4),(PI()*AX$12^2)/4*(AT317*$W317*1000)/($H317*$B$5),(PI()*AX$12^2)/4*(AT317*$W317*1000)/($G317*$B$5)),
IF($D317="Pénétro.",
IF(OR($E317=4,$E317=1,$E317=5),(PI()*AX$12^2)/4*(AT317*$W317*1000)/($H317*$B$5),(PI()*AX$12^2)/4*(AT317*$W317*1000)/($G317*$B$5)))),
IF($D317="Pressio.",
IF($E317=3,(PI()*AX$12^2)/4*(AT317*$W317*1000)/($H317*$B$5),(PI()*AX$12^2)/4*(AT317*$W317*1000)/($G317*$B$5)),
IF($D317="Pénétro.",
IF($E317=4,(PI()*AX$12^2)/4*(AT317*$W317*1000)/($H317*$B$5),(PI()*AX$12^2)/4*(AT317*$W317*1000)/($G317*$B$5))))))/10</f>
        <v>#N/A</v>
      </c>
      <c r="AY317" s="102" t="e">
        <f>(VLOOKUP($B$3,'Coeff EC7'!$T$39:$X$59,2,0)*AW317+VLOOKUP($B$3,'Coeff EC7'!$T$65:$X$85,2,0)*Model0.1C!AX317)/1.1</f>
        <v>#N/A</v>
      </c>
      <c r="AZ317" s="102" t="e">
        <f>(VLOOKUP($B$3,'Coeff EC7'!$T$39:$X$59,3,0)*AW317+VLOOKUP($B$3,'Coeff EC7'!$T$65:$X$85,3,0)*Model0.1C!AX317)/0.9</f>
        <v>#N/A</v>
      </c>
      <c r="BA317" s="102" t="e">
        <f t="shared" si="473"/>
        <v>#N/A</v>
      </c>
      <c r="BB317" s="102" t="e">
        <f t="shared" si="474"/>
        <v>#N/A</v>
      </c>
      <c r="BC317" s="414" t="e">
        <f>IF(BC316=0,0,IF(AND(AY317&gt;charge_ELS_quasi,AZ317&gt;Charge_ELS_freq,BA317&gt;charge_ELU,BB317&gt;charge_ELA,$B317&gt;NDC!$H$22-0.1+MIN(3*$BC$12,1.5)),0,1))</f>
        <v>#N/A</v>
      </c>
      <c r="BD317" s="86" t="b">
        <f t="shared" si="444"/>
        <v>0</v>
      </c>
      <c r="BE317" s="86">
        <f t="shared" si="475"/>
        <v>0.5</v>
      </c>
      <c r="BF317" s="86">
        <f t="shared" si="445"/>
        <v>0.5</v>
      </c>
      <c r="BG317" s="30" t="e">
        <f t="shared" ca="1" si="476"/>
        <v>#DIV/0!</v>
      </c>
      <c r="BH317" s="85" t="e">
        <f ca="1">IF(AN317&lt;=Hypothèses!$V$7,Hypothèses!$W$7,IF(AN317&lt;=Hypothèses!$V$8,Hypothèses!$W$8,IF(AN317&lt;=Hypothèses!$V$9,Hypothèses!$W$9,IF(AN317&lt;=Hypothèses!$V$10,Hypothèses!$W$10,IF(AN317&lt;=Hypothèses!$V$11,Hypothèses!$W$11,IF(AN317&lt;=Hypothèses!$V$12,Hypothèses!$W$12,IF(AN317&lt;=Hypothèses!$V$13,Hypothèses!$W$13,IF(AN317&lt;=Hypothèses!$V$14,Hypothèses!$W$14,IF(AN317&lt;=Hypothèses!$V$15,Hypothèses!$W$15,IF(AN317&lt;=Hypothèses!$V$16,Hypothèses!$W$16,IF(AN317&lt;=Hypothèses!$V$17,Hypothèses!$W$17,IF(AN317&lt;=Hypothèses!$V$18,Hypothèses!$W$18,""))))))))))))</f>
        <v>#DIV/0!</v>
      </c>
      <c r="BI317" s="87" t="e">
        <f t="shared" ca="1" si="518"/>
        <v>#DIV/0!</v>
      </c>
      <c r="BJ317" s="88" t="e">
        <f ca="1">IF(AN317&lt;=Hypothèses!$V$7,Hypothèses!$X$7,IF(AN317&lt;=Hypothèses!$V$8,Hypothèses!$X$8,IF(AN317&lt;=Hypothèses!$V$9,Hypothèses!$X$9,IF(AN317&lt;=Hypothèses!$V$10,Hypothèses!$X$10,IF(AN317&lt;=Hypothèses!$V$11,Hypothèses!$X$11,IF(AN317&lt;=Hypothèses!$V$12,Hypothèses!$X$12,IF(AN317&lt;=Hypothèses!$V$13,Hypothèses!$X$13,IF(AN317&lt;=Hypothèses!$V$14,Hypothèses!$X$14,IF(AN317&lt;=Hypothèses!$V$15,Hypothèses!$X$15,IF(AN317&lt;=Hypothèses!$V$16,Hypothèses!$X$16,IF(AN317&lt;=Hypothèses!$U$17,Hypothèses!$W$17,IF(AN317&lt;=Hypothèses!$U$18,Hypothèses!$W$18,""))))))))))))</f>
        <v>#DIV/0!</v>
      </c>
      <c r="BK317" s="95" t="e">
        <f t="shared" ca="1" si="477"/>
        <v>#DIV/0!</v>
      </c>
      <c r="BL317" s="101" t="e">
        <f t="shared" si="525"/>
        <v>#N/A</v>
      </c>
      <c r="BM317" s="91" t="e">
        <f t="shared" si="446"/>
        <v>#N/A</v>
      </c>
      <c r="BN317" s="30" t="e">
        <f t="shared" si="504"/>
        <v>#N/A</v>
      </c>
      <c r="BO317" s="30" t="e">
        <f t="shared" si="505"/>
        <v>#N/A</v>
      </c>
      <c r="BP317" s="31" t="e">
        <f>IF(OR(Hypothèses!$B$4=17,Hypothèses!$B$4=18,Hypothèses!$B$4=19,Hypothèses!$B$4=20),
IF($D317="Pressio.",
IF(OR($E317=3,$E317=1,$E317=4),BO317,BN317),
IF($D317="Pénétro.",
IF(OR($E317=3,$E317=1,$E317=4),BO317,BN317))),IF($D317="Pressio.",
IF($E317=3,BO317,BN317),
IF($D317="Pénétro.",
IF($E317=4,BO317,BN317))))</f>
        <v>#N/A</v>
      </c>
      <c r="BQ317" s="31" t="e">
        <f>(IF(OR(Hypothèses!$B$4=17,Hypothèses!$B$4=18,Hypothèses!$B$4=19,Hypothèses!$B$4=20),
IF($D317="Pressio.",
IF(OR($E317=3,$E317=1,$E317=4),(PI()*BQ$12^2)/4*(BM317*$W317*1000)/($H317*$B$5),(PI()*BQ$12^2)/4*(BM317*$W317*1000)/($G317*$B$5)),
IF($D317="Pénétro.",
IF(OR($E317=4,$E317=1,$E317=5),(PI()*BQ$12^2)/4*(BM317*$W317*1000)/($H317*$B$5),(PI()*BQ$12^2)/4*(BM317*$W317*1000)/($G317*$B$5)))),
IF($D317="Pressio.",
IF($E317=3,(PI()*BQ$12^2)/4*(BM317*$W317*1000)/($H317*$B$5),(PI()*BQ$12^2)/4*(BM317*$W317*1000)/($G317*$B$5)),
IF($D317="Pénétro.",
IF($E317=4,(PI()*BQ$12^2)/4*(BM317*$W317*1000)/($H317*$B$5),(PI()*BQ$12^2)/4*(BM317*$W317*1000)/($G317*$B$5))))))/10</f>
        <v>#N/A</v>
      </c>
      <c r="BR317" s="102" t="e">
        <f>(VLOOKUP($B$3,'Coeff EC7'!$T$39:$X$59,2,0)*BP317+VLOOKUP($B$3,'Coeff EC7'!$T$65:$X$85,2,0)*Model0.1C!BQ317)/1.1</f>
        <v>#N/A</v>
      </c>
      <c r="BS317" s="102" t="e">
        <f>(VLOOKUP($B$3,'Coeff EC7'!$T$39:$X$59,3,0)*BP317+VLOOKUP($B$3,'Coeff EC7'!$T$65:$X$85,3,0)*Model0.1C!BQ317)/0.9</f>
        <v>#N/A</v>
      </c>
      <c r="BT317" s="102" t="e">
        <f t="shared" si="478"/>
        <v>#N/A</v>
      </c>
      <c r="BU317" s="102" t="e">
        <f t="shared" si="479"/>
        <v>#N/A</v>
      </c>
      <c r="BV317" s="414" t="e">
        <f>IF(BV316=0,0,IF(AND(BR317&gt;charge_ELS_quasi,BS317&gt;Charge_ELS_freq,BT317&gt;charge_ELU,BU317&gt;charge_ELA,$B317&gt;NDC!$H$22-0.1+MIN(3*$BV$12,1.5)),0,1))</f>
        <v>#N/A</v>
      </c>
      <c r="BW317" s="86" t="b">
        <f t="shared" si="447"/>
        <v>0</v>
      </c>
      <c r="BX317" s="86">
        <f t="shared" si="448"/>
        <v>0.5</v>
      </c>
      <c r="BY317" s="86">
        <f t="shared" si="449"/>
        <v>0.5</v>
      </c>
      <c r="BZ317" s="30" t="e">
        <f t="shared" ca="1" si="480"/>
        <v>#DIV/0!</v>
      </c>
      <c r="CA317" s="85" t="e">
        <f ca="1">IF(BG317&lt;=Hypothèses!$V$7,Hypothèses!$W$7,IF(BG317&lt;=Hypothèses!$V$8,Hypothèses!$W$8,IF(BG317&lt;=Hypothèses!$V$9,Hypothèses!$W$9,IF(BG317&lt;=Hypothèses!$V$10,Hypothèses!$W$10,IF(BG317&lt;=Hypothèses!$V$11,Hypothèses!$W$11,IF(BG317&lt;=Hypothèses!$V$12,Hypothèses!$W$12,IF(BG317&lt;=Hypothèses!$V$13,Hypothèses!$W$13,IF(BG317&lt;=Hypothèses!$V$14,Hypothèses!$W$14,IF(BG317&lt;=Hypothèses!$V$15,Hypothèses!$W$15,IF(BG317&lt;=Hypothèses!$V$16,Hypothèses!$W$16,IF(BG317&lt;=Hypothèses!$V$17,Hypothèses!$W$17,IF(BG317&lt;=Hypothèses!$V$18,Hypothèses!$W$18,""))))))))))))</f>
        <v>#DIV/0!</v>
      </c>
      <c r="CB317" s="87" t="e">
        <f t="shared" ca="1" si="519"/>
        <v>#DIV/0!</v>
      </c>
      <c r="CC317" s="88" t="e">
        <f ca="1">IF(BG317&lt;=Hypothèses!$V$7,Hypothèses!$X$7,IF(BG317&lt;=Hypothèses!$V$8,Hypothèses!$X$8,IF(BG317&lt;=Hypothèses!$V$9,Hypothèses!$X$9,IF(BG317&lt;=Hypothèses!$V$10,Hypothèses!$X$10,IF(BG317&lt;=Hypothèses!$V$11,Hypothèses!$X$11,IF(BG317&lt;=Hypothèses!$V$12,Hypothèses!$X$12,IF(BG317&lt;=Hypothèses!$V$13,Hypothèses!$X$13,IF(BG317&lt;=Hypothèses!$V$14,Hypothèses!$X$14,IF(BG317&lt;=Hypothèses!$V$15,Hypothèses!$X$15,IF(BG317&lt;=Hypothèses!$V$16,Hypothèses!$X$16,IF(BG317&lt;=Hypothèses!$U$17,Hypothèses!$W$17,IF(BG317&lt;=Hypothèses!$U$18,Hypothèses!$W$18,""))))))))))))</f>
        <v>#DIV/0!</v>
      </c>
      <c r="CD317" s="95" t="e">
        <f t="shared" ca="1" si="481"/>
        <v>#DIV/0!</v>
      </c>
      <c r="CE317" s="101" t="e">
        <f t="shared" si="526"/>
        <v>#N/A</v>
      </c>
      <c r="CF317" s="91" t="e">
        <f t="shared" si="450"/>
        <v>#N/A</v>
      </c>
      <c r="CG317" s="30" t="e">
        <f t="shared" si="506"/>
        <v>#N/A</v>
      </c>
      <c r="CH317" s="30" t="e">
        <f t="shared" si="507"/>
        <v>#N/A</v>
      </c>
      <c r="CI317" s="31" t="e">
        <f>IF(OR(Hypothèses!$B$4=17,Hypothèses!$B$4=18,Hypothèses!$B$4=19,Hypothèses!$B$4=20),
IF($D317="Pressio.",
IF(OR($E317=3,$E317=1,$E317=4),CH317,CG317),
IF($D317="Pénétro.",
IF(OR($E317=3,$E317=1,$E317=4),CH317,CG317))),IF($D317="Pressio.",
IF($E317=3,CH317,CG317),
IF($D317="Pénétro.",
IF($E317=4,CH317,CG317))))</f>
        <v>#N/A</v>
      </c>
      <c r="CJ317" s="31" t="e">
        <f>(IF(OR(Hypothèses!$B$4=17,Hypothèses!$B$4=18,Hypothèses!$B$4=19,Hypothèses!$B$4=20),
IF($D317="Pressio.",
IF(OR($E317=3,$E317=1,$E317=4),(PI()*CJ$12^2)/4*(CF317*$W317*1000)/($H317*$B$5),(PI()*CJ$12^2)/4*(CF317*$W317*1000)/($G317*$B$5)),
IF($D317="Pénétro.",
IF(OR($E317=4,$E317=1,$E317=5),(PI()*CJ$12^2)/4*(CF317*$W317*1000)/($H317*$B$5),(PI()*CJ$12^2)/4*(CF317*$W317*1000)/($G317*$B$5)))),
IF($D317="Pressio.",
IF($E317=3,(PI()*CJ$12^2)/4*(CF317*$W317*1000)/($H317*$B$5),(PI()*CJ$12^2)/4*(CF317*$W317*1000)/($G317*$B$5)),
IF($D317="Pénétro.",
IF($E317=4,(PI()*CJ$12^2)/4*(CF317*$W317*1000)/($H317*$B$5),(PI()*CJ$12^2)/4*(CF317*$W317*1000)/($G317*$B$5))))))/10</f>
        <v>#N/A</v>
      </c>
      <c r="CK317" s="102" t="e">
        <f>(VLOOKUP($B$3,'Coeff EC7'!$T$39:$X$59,2,0)*CI317+VLOOKUP($B$3,'Coeff EC7'!$T$65:$X$85,2,0)*Model0.1C!CJ317)/1.1</f>
        <v>#N/A</v>
      </c>
      <c r="CL317" s="102" t="e">
        <f>(VLOOKUP($B$3,'Coeff EC7'!$T$39:$X$59,3,0)*CI317+VLOOKUP($B$3,'Coeff EC7'!$T$65:$X$85,3,0)*Model0.1C!CJ317)/0.9</f>
        <v>#N/A</v>
      </c>
      <c r="CM317" s="102" t="e">
        <f t="shared" si="482"/>
        <v>#N/A</v>
      </c>
      <c r="CN317" s="102" t="e">
        <f t="shared" si="483"/>
        <v>#N/A</v>
      </c>
      <c r="CO317" s="414" t="e">
        <f>IF(CO316=0,0,IF(AND(CK317&gt;charge_ELS_quasi,CL317&gt;Charge_ELS_freq,CM317&gt;charge_ELU,CN317&gt;charge_ELA,$B317&gt;NDC!$H$22-0.1+MIN(3*$CO$12,1.5)),0,1))</f>
        <v>#N/A</v>
      </c>
      <c r="CP317" s="86" t="b">
        <f t="shared" si="451"/>
        <v>0</v>
      </c>
      <c r="CQ317" s="86">
        <f t="shared" si="452"/>
        <v>0.5</v>
      </c>
      <c r="CR317" s="86">
        <f t="shared" si="453"/>
        <v>0.5</v>
      </c>
      <c r="CS317" s="30" t="e">
        <f t="shared" ca="1" si="484"/>
        <v>#DIV/0!</v>
      </c>
      <c r="CT317" s="85" t="e">
        <f ca="1">IF(BZ317&lt;=Hypothèses!$V$7,Hypothèses!$W$7,IF(BZ317&lt;=Hypothèses!$V$8,Hypothèses!$W$8,IF(BZ317&lt;=Hypothèses!$V$9,Hypothèses!$W$9,IF(BZ317&lt;=Hypothèses!$V$10,Hypothèses!$W$10,IF(BZ317&lt;=Hypothèses!$V$11,Hypothèses!$W$11,IF(BZ317&lt;=Hypothèses!$V$12,Hypothèses!$W$12,IF(BZ317&lt;=Hypothèses!$V$13,Hypothèses!$W$13,IF(BZ317&lt;=Hypothèses!$V$14,Hypothèses!$W$14,IF(BZ317&lt;=Hypothèses!$V$15,Hypothèses!$W$15,IF(BZ317&lt;=Hypothèses!$V$16,Hypothèses!$W$16,IF(BZ317&lt;=Hypothèses!$V$17,Hypothèses!$W$17,IF(BZ317&lt;=Hypothèses!$V$18,Hypothèses!$W$18,""))))))))))))</f>
        <v>#DIV/0!</v>
      </c>
      <c r="CU317" s="87" t="e">
        <f t="shared" ca="1" si="520"/>
        <v>#DIV/0!</v>
      </c>
      <c r="CV317" s="88" t="e">
        <f ca="1">IF(BZ317&lt;=Hypothèses!$V$7,Hypothèses!$X$7,IF(BZ317&lt;=Hypothèses!$V$8,Hypothèses!$X$8,IF(BZ317&lt;=Hypothèses!$V$9,Hypothèses!$X$9,IF(BZ317&lt;=Hypothèses!$V$10,Hypothèses!$X$10,IF(BZ317&lt;=Hypothèses!$V$11,Hypothèses!$X$11,IF(BZ317&lt;=Hypothèses!$V$12,Hypothèses!$X$12,IF(BZ317&lt;=Hypothèses!$V$13,Hypothèses!$X$13,IF(BZ317&lt;=Hypothèses!$V$14,Hypothèses!$X$14,IF(BZ317&lt;=Hypothèses!$V$15,Hypothèses!$X$15,IF(BZ317&lt;=Hypothèses!$V$16,Hypothèses!$X$16,IF(BZ317&lt;=Hypothèses!$U$17,Hypothèses!$W$17,IF(BZ317&lt;=Hypothèses!$U$18,Hypothèses!$W$18,""))))))))))))</f>
        <v>#DIV/0!</v>
      </c>
      <c r="CW317" s="95" t="e">
        <f t="shared" ca="1" si="485"/>
        <v>#DIV/0!</v>
      </c>
      <c r="CX317" s="101" t="e">
        <f t="shared" si="527"/>
        <v>#N/A</v>
      </c>
      <c r="CY317" s="91" t="e">
        <f t="shared" si="454"/>
        <v>#N/A</v>
      </c>
      <c r="CZ317" s="30" t="e">
        <f t="shared" si="508"/>
        <v>#N/A</v>
      </c>
      <c r="DA317" s="30" t="e">
        <f t="shared" si="509"/>
        <v>#N/A</v>
      </c>
      <c r="DB317" s="31" t="e">
        <f>IF(OR(Hypothèses!$B$4=17,Hypothèses!$B$4=18,Hypothèses!$B$4=19,Hypothèses!$B$4=20),
IF($D317="Pressio.",
IF(OR($E317=3,$E317=1,$E317=4),DA317,CZ317),
IF($D317="Pénétro.",
IF(OR($E317=3,$E317=1,$E317=4),DA317,CZ317))),IF($D317="Pressio.",
IF($E317=3,DA317,CZ317),
IF($D317="Pénétro.",
IF($E317=4,DA317,CZ317))))</f>
        <v>#N/A</v>
      </c>
      <c r="DC317" s="31" t="e">
        <f>(IF(OR(Hypothèses!$B$4=17,Hypothèses!$B$4=18,Hypothèses!$B$4=19,Hypothèses!$B$4=20),
IF($D317="Pressio.",
IF(OR($E317=3,$E317=1,$E317=4),(PI()*DC$12^2)/4*(CY317*$W317*1000)/($H317*$B$5),(PI()*DC$12^2)/4*(CY317*$W317*1000)/($G317*$B$5)),
IF($D317="Pénétro.",
IF(OR($E317=4,$E317=1,$E317=5),(PI()*DC$12^2)/4*(CY317*$W317*1000)/($H317*$B$5),(PI()*DC$12^2)/4*(CY317*$W317*1000)/($G317*$B$5)))),
IF($D317="Pressio.",
IF($E317=3,(PI()*DC$12^2)/4*(CY317*$W317*1000)/($H317*$B$5),(PI()*DC$12^2)/4*(CY317*$W317*1000)/($G317*$B$5)),
IF($D317="Pénétro.",
IF($E317=4,(PI()*DC$12^2)/4*(CY317*$W317*1000)/($H317*$B$5),(PI()*DC$12^2)/4*(CY317*$W317*1000)/($G317*$B$5))))))/10</f>
        <v>#N/A</v>
      </c>
      <c r="DD317" s="102" t="e">
        <f>(VLOOKUP($B$3,'Coeff EC7'!$T$39:$X$59,2,0)*DB317+VLOOKUP($B$3,'Coeff EC7'!$T$65:$X$85,2,0)*Model0.1C!DC317)/1.1</f>
        <v>#N/A</v>
      </c>
      <c r="DE317" s="102" t="e">
        <f>(VLOOKUP($B$3,'Coeff EC7'!$T$39:$X$59,3,0)*DB317+VLOOKUP($B$3,'Coeff EC7'!$T$65:$X$85,3,0)*Model0.1C!DC317)/0.9</f>
        <v>#N/A</v>
      </c>
      <c r="DF317" s="102" t="e">
        <f t="shared" si="486"/>
        <v>#N/A</v>
      </c>
      <c r="DG317" s="102" t="e">
        <f t="shared" si="487"/>
        <v>#N/A</v>
      </c>
      <c r="DH317" s="414" t="e">
        <f>IF(DH316=0,0,IF(AND(DD317&gt;charge_ELS_quasi,DE317&gt;Charge_ELS_freq,DF317&gt;charge_ELU,DG317&gt;charge_ELA,$B317&gt;NDC!$H$22-0.1+MIN(3*$DH$12,1.5)),0,1))</f>
        <v>#N/A</v>
      </c>
      <c r="DI317" s="86" t="b">
        <f t="shared" si="455"/>
        <v>0</v>
      </c>
      <c r="DJ317" s="86">
        <f t="shared" si="456"/>
        <v>0.5</v>
      </c>
      <c r="DK317" s="86">
        <f t="shared" si="457"/>
        <v>0.5</v>
      </c>
      <c r="DL317" s="30" t="e">
        <f t="shared" ca="1" si="488"/>
        <v>#DIV/0!</v>
      </c>
      <c r="DM317" s="85" t="e">
        <f ca="1">IF(CS317&lt;=Hypothèses!$V$7,Hypothèses!$W$7,IF(CS317&lt;=Hypothèses!$V$8,Hypothèses!$W$8,IF(CS317&lt;=Hypothèses!$V$9,Hypothèses!$W$9,IF(CS317&lt;=Hypothèses!$V$10,Hypothèses!$W$10,IF(CS317&lt;=Hypothèses!$V$11,Hypothèses!$W$11,IF(CS317&lt;=Hypothèses!$V$12,Hypothèses!$W$12,IF(CS317&lt;=Hypothèses!$V$13,Hypothèses!$W$13,IF(CS317&lt;=Hypothèses!$V$14,Hypothèses!$W$14,IF(CS317&lt;=Hypothèses!$V$15,Hypothèses!$W$15,IF(CS317&lt;=Hypothèses!$V$16,Hypothèses!$W$16,IF(CS317&lt;=Hypothèses!$V$17,Hypothèses!$W$17,IF(CS317&lt;=Hypothèses!$V$18,Hypothèses!$W$18,""))))))))))))</f>
        <v>#DIV/0!</v>
      </c>
      <c r="DN317" s="87" t="e">
        <f t="shared" ca="1" si="521"/>
        <v>#DIV/0!</v>
      </c>
      <c r="DO317" s="88" t="e">
        <f ca="1">IF(CS317&lt;=Hypothèses!$V$7,Hypothèses!$X$7,IF(CS317&lt;=Hypothèses!$V$8,Hypothèses!$X$8,IF(CS317&lt;=Hypothèses!$V$9,Hypothèses!$X$9,IF(CS317&lt;=Hypothèses!$V$10,Hypothèses!$X$10,IF(CS317&lt;=Hypothèses!$V$11,Hypothèses!$X$11,IF(CS317&lt;=Hypothèses!$V$12,Hypothèses!$X$12,IF(CS317&lt;=Hypothèses!$V$13,Hypothèses!$X$13,IF(CS317&lt;=Hypothèses!$V$14,Hypothèses!$X$14,IF(CS317&lt;=Hypothèses!$V$15,Hypothèses!$X$15,IF(CS317&lt;=Hypothèses!$V$16,Hypothèses!$X$16,IF(CS317&lt;=Hypothèses!$U$17,Hypothèses!$W$17,IF(CS317&lt;=Hypothèses!$U$18,Hypothèses!$W$18,""))))))))))))</f>
        <v>#DIV/0!</v>
      </c>
      <c r="DP317" s="95" t="e">
        <f t="shared" ca="1" si="489"/>
        <v>#DIV/0!</v>
      </c>
      <c r="DQ317" s="101" t="e">
        <f t="shared" si="528"/>
        <v>#N/A</v>
      </c>
      <c r="DR317" s="91" t="e">
        <f t="shared" si="458"/>
        <v>#N/A</v>
      </c>
      <c r="DS317" s="30" t="e">
        <f t="shared" si="510"/>
        <v>#N/A</v>
      </c>
      <c r="DT317" s="30" t="e">
        <f t="shared" si="511"/>
        <v>#N/A</v>
      </c>
      <c r="DU317" s="31" t="e">
        <f>IF(OR(Hypothèses!$B$4=17,Hypothèses!$B$4=18,Hypothèses!$B$4=19,Hypothèses!$B$4=20),
IF($D317="Pressio.",
IF(OR($E317=3,$E317=1,$E317=4),DT317,DS317),
IF($D317="Pénétro.",
IF(OR($E317=3,$E317=1,$E317=4),DT317,DS317))),IF($D317="Pressio.",
IF($E317=3,DT317,DS317),
IF($D317="Pénétro.",
IF($E317=4,DT317,DS317))))</f>
        <v>#N/A</v>
      </c>
      <c r="DV317" s="31" t="e">
        <f>(IF(OR(Hypothèses!$B$4=17,Hypothèses!$B$4=18,Hypothèses!$B$4=19,Hypothèses!$B$4=20),
IF($D317="Pressio.",
IF(OR($E317=3,$E317=1,$E317=4),(PI()*DV$12^2)/4*(DR317*$W317*1000)/($H317*$B$5),(PI()*DV$12^2)/4*(DR317*$W317*1000)/($G317*$B$5)),
IF($D317="Pénétro.",
IF(OR($E317=4,$E317=1,$E317=5),(PI()*DV$12^2)/4*(DR317*$W317*1000)/($H317*$B$5),(PI()*DV$12^2)/4*(DR317*$W317*1000)/($G317*$B$5)))),
IF($D317="Pressio.",
IF($E317=3,(PI()*DV$12^2)/4*(DR317*$W317*1000)/($H317*$B$5),(PI()*DV$12^2)/4*(DR317*$W317*1000)/($G317*$B$5)),
IF($D317="Pénétro.",
IF($E317=4,(PI()*DV$12^2)/4*(DR317*$W317*1000)/($H317*$B$5),(PI()*DV$12^2)/4*(DR317*$W317*1000)/($G317*$B$5))))))/10</f>
        <v>#N/A</v>
      </c>
      <c r="DW317" s="102" t="e">
        <f>(VLOOKUP($B$3,'Coeff EC7'!$T$39:$X$59,2,0)*DU317+VLOOKUP($B$3,'Coeff EC7'!$T$65:$X$85,2,0)*Model0.1C!DV317)/1.1</f>
        <v>#N/A</v>
      </c>
      <c r="DX317" s="102" t="e">
        <f>(VLOOKUP($B$3,'Coeff EC7'!$T$39:$X$59,3,0)*DU317+VLOOKUP($B$3,'Coeff EC7'!$T$65:$X$85,3,0)*Model0.1C!DV317)/0.9</f>
        <v>#N/A</v>
      </c>
      <c r="DY317" s="102" t="e">
        <f t="shared" si="490"/>
        <v>#N/A</v>
      </c>
      <c r="DZ317" s="102" t="e">
        <f t="shared" si="491"/>
        <v>#N/A</v>
      </c>
      <c r="EA317" s="414" t="e">
        <f>IF(EA316=0,0,IF(AND(DW317&gt;charge_ELS_quasi,DX317&gt;Charge_ELS_freq,DY317&gt;charge_ELU,DZ317&gt;charge_ELA,$B317&gt;NDC!$H$22-0.1+MIN(3*$EA$12,1.5)),0,1))</f>
        <v>#N/A</v>
      </c>
      <c r="EB317" s="86" t="b">
        <f t="shared" si="459"/>
        <v>0</v>
      </c>
      <c r="EC317" s="418">
        <f t="shared" si="460"/>
        <v>0.51</v>
      </c>
      <c r="ED317" s="86">
        <f t="shared" si="461"/>
        <v>0.51</v>
      </c>
      <c r="EE317" s="30" t="e">
        <f t="shared" ca="1" si="492"/>
        <v>#DIV/0!</v>
      </c>
      <c r="EF317" s="85" t="e">
        <f ca="1">IF(DL317&lt;=Hypothèses!$V$7,Hypothèses!$W$7,IF(DL317&lt;=Hypothèses!$V$8,Hypothèses!$W$8,IF(DL317&lt;=Hypothèses!$V$9,Hypothèses!$W$9,IF(DL317&lt;=Hypothèses!$V$10,Hypothèses!$W$10,IF(DL317&lt;=Hypothèses!$V$11,Hypothèses!$W$11,IF(DL317&lt;=Hypothèses!$V$12,Hypothèses!$W$12,IF(DL317&lt;=Hypothèses!$V$13,Hypothèses!$W$13,IF(DL317&lt;=Hypothèses!$V$14,Hypothèses!$W$14,IF(DL317&lt;=Hypothèses!$V$15,Hypothèses!$W$15,IF(DL317&lt;=Hypothèses!$V$16,Hypothèses!$W$16,IF(DL317&lt;=Hypothèses!$V$17,Hypothèses!$W$17,IF(DL317&lt;=Hypothèses!$V$18,Hypothèses!$W$18,""))))))))))))</f>
        <v>#DIV/0!</v>
      </c>
      <c r="EG317" s="87" t="e">
        <f t="shared" ca="1" si="522"/>
        <v>#DIV/0!</v>
      </c>
      <c r="EH317" s="88" t="e">
        <f ca="1">IF(DL317&lt;=Hypothèses!$V$7,Hypothèses!$X$7,IF(DL317&lt;=Hypothèses!$V$8,Hypothèses!$X$8,IF(DL317&lt;=Hypothèses!$V$9,Hypothèses!$X$9,IF(DL317&lt;=Hypothèses!$V$10,Hypothèses!$X$10,IF(DL317&lt;=Hypothèses!$V$11,Hypothèses!$X$11,IF(DL317&lt;=Hypothèses!$V$12,Hypothèses!$X$12,IF(DL317&lt;=Hypothèses!$V$13,Hypothèses!$X$13,IF(DL317&lt;=Hypothèses!$V$14,Hypothèses!$X$14,IF(DL317&lt;=Hypothèses!$V$15,Hypothèses!$X$15,IF(DL317&lt;=Hypothèses!$V$16,Hypothèses!$X$16,IF(DL317&lt;=Hypothèses!$U$17,Hypothèses!$W$17,IF(DL317&lt;=Hypothèses!$U$18,Hypothèses!$W$18,""))))))))))))</f>
        <v>#DIV/0!</v>
      </c>
      <c r="EI317" s="95" t="e">
        <f t="shared" ca="1" si="493"/>
        <v>#DIV/0!</v>
      </c>
      <c r="EJ317" s="101" t="e">
        <f t="shared" si="529"/>
        <v>#N/A</v>
      </c>
      <c r="EK317" s="91" t="e">
        <f t="shared" si="462"/>
        <v>#N/A</v>
      </c>
      <c r="EL317" s="30" t="e">
        <f t="shared" si="512"/>
        <v>#N/A</v>
      </c>
      <c r="EM317" s="30" t="e">
        <f t="shared" si="513"/>
        <v>#N/A</v>
      </c>
      <c r="EN317" s="31" t="e">
        <f>IF(OR(Hypothèses!$B$4=17,Hypothèses!$B$4=18,Hypothèses!$B$4=19,Hypothèses!$B$4=20),
IF($D317="Pressio.",
IF(OR($E317=3,$E317=1,$E317=4),EM317,EL317),
IF($D317="Pénétro.",
IF(OR($E317=3,$E317=1,$E317=4),EM317,EL317))),IF($D317="Pressio.",
IF($E317=3,EM317,EL317),
IF($D317="Pénétro.",
IF($E317=4,EM317,EL317))))</f>
        <v>#N/A</v>
      </c>
      <c r="EO317" s="31" t="e">
        <f>(IF(OR(Hypothèses!$B$4=17,Hypothèses!$B$4=18,Hypothèses!$B$4=19,Hypothèses!$B$4=20),
IF($D317="Pressio.",
IF(OR($E317=3,$E317=1,$E317=4),(PI()*EO$12^2)/4*(EK317*$W317*1000)/($H317*$B$5),(PI()*EO$12^2)/4*(EK317*$W317*1000)/($G317*$B$5)),
IF($D317="Pénétro.",
IF(OR($E317=4,$E317=1,$E317=5),(PI()*EO$12^2)/4*(EK317*$W317*1000)/($H317*$B$5),(PI()*EO$12^2)/4*(EK317*$W317*1000)/($G317*$B$5)))),
IF($D317="Pressio.",
IF($E317=3,(PI()*EO$12^2)/4*(EK317*$W317*1000)/($H317*$B$5),(PI()*EO$12^2)/4*(EK317*$W317*1000)/($G317*$B$5)),
IF($D317="Pénétro.",
IF($E317=4,(PI()*EO$12^2)/4*(EK317*$W317*1000)/($H317*$B$5),(PI()*EO$12^2)/4*(EK317*$W317*1000)/($G317*$B$5))))))/10</f>
        <v>#N/A</v>
      </c>
      <c r="EP317" s="102" t="e">
        <f>(VLOOKUP($B$3,'Coeff EC7'!$T$39:$X$59,2,0)*EN317+VLOOKUP($B$3,'Coeff EC7'!$T$65:$X$85,2,0)*Model0.1C!EO317)/1.1</f>
        <v>#N/A</v>
      </c>
      <c r="EQ317" s="102" t="e">
        <f>(VLOOKUP($B$3,'Coeff EC7'!$T$39:$X$59,3,0)*EN317+VLOOKUP($B$3,'Coeff EC7'!$T$65:$X$85,3,0)*Model0.1C!EO317)/0.9</f>
        <v>#N/A</v>
      </c>
      <c r="ER317" s="102" t="e">
        <f t="shared" si="494"/>
        <v>#N/A</v>
      </c>
      <c r="ES317" s="102" t="e">
        <f t="shared" si="495"/>
        <v>#N/A</v>
      </c>
      <c r="ET317" s="414" t="e">
        <f>IF(ET316=0,0,IF(AND(EP317&gt;charge_ELS_quasi,EQ317&gt;Charge_ELS_freq,ER317&gt;charge_ELU,ES317&gt;charge_ELA,$B317&gt;NDC!$H$22-0.1+MIN(3*$ET$12,1.5)),0,1))</f>
        <v>#N/A</v>
      </c>
      <c r="EU317" s="86" t="b">
        <f t="shared" si="463"/>
        <v>0</v>
      </c>
      <c r="EV317" s="86">
        <f t="shared" si="464"/>
        <v>0.61</v>
      </c>
      <c r="EW317" s="86">
        <f t="shared" si="465"/>
        <v>0.61</v>
      </c>
      <c r="EX317" s="30" t="e">
        <f t="shared" ca="1" si="496"/>
        <v>#DIV/0!</v>
      </c>
      <c r="EY317" s="85" t="e">
        <f ca="1">IF(EE317&lt;=Hypothèses!$V$7,Hypothèses!$W$7,IF(EE317&lt;=Hypothèses!$V$8,Hypothèses!$W$8,IF(EE317&lt;=Hypothèses!$V$9,Hypothèses!$W$9,IF(EE317&lt;=Hypothèses!$V$10,Hypothèses!$W$10,IF(EE317&lt;=Hypothèses!$V$11,Hypothèses!$W$11,IF(EE317&lt;=Hypothèses!$V$12,Hypothèses!$W$12,IF(EE317&lt;=Hypothèses!$V$13,Hypothèses!$W$13,IF(EE317&lt;=Hypothèses!$V$14,Hypothèses!$W$14,IF(EE317&lt;=Hypothèses!$V$15,Hypothèses!$W$15,IF(EE317&lt;=Hypothèses!$V$16,Hypothèses!$W$16,IF(EE317&lt;=Hypothèses!$V$17,Hypothèses!$W$17,IF(EE317&lt;=Hypothèses!$V$18,Hypothèses!$W$18,""))))))))))))</f>
        <v>#DIV/0!</v>
      </c>
      <c r="EZ317" s="87" t="e">
        <f t="shared" ca="1" si="523"/>
        <v>#DIV/0!</v>
      </c>
      <c r="FA317" s="88" t="e">
        <f ca="1">IF(EE317&lt;=Hypothèses!$V$7,Hypothèses!$X$7,IF(EE317&lt;=Hypothèses!$V$8,Hypothèses!$X$8,IF(EE317&lt;=Hypothèses!$V$9,Hypothèses!$X$9,IF(EE317&lt;=Hypothèses!$V$10,Hypothèses!$X$10,IF(EE317&lt;=Hypothèses!$V$11,Hypothèses!$X$11,IF(EE317&lt;=Hypothèses!$V$12,Hypothèses!$X$12,IF(EE317&lt;=Hypothèses!$V$13,Hypothèses!$X$13,IF(EE317&lt;=Hypothèses!$V$14,Hypothèses!$X$14,IF(EE317&lt;=Hypothèses!$V$15,Hypothèses!$X$15,IF(EE317&lt;=Hypothèses!$V$16,Hypothèses!$X$16,IF(EE317&lt;=Hypothèses!$U$17,Hypothèses!$W$17,IF(EE317&lt;=Hypothèses!$U$18,Hypothèses!$W$18,""))))))))))))</f>
        <v>#DIV/0!</v>
      </c>
      <c r="FB317" s="95" t="e">
        <f t="shared" ca="1" si="497"/>
        <v>#DIV/0!</v>
      </c>
      <c r="FC317" s="101" t="e">
        <f t="shared" si="530"/>
        <v>#N/A</v>
      </c>
      <c r="FD317" s="91" t="e">
        <f t="shared" si="466"/>
        <v>#N/A</v>
      </c>
      <c r="FE317" s="30" t="e">
        <f t="shared" si="514"/>
        <v>#N/A</v>
      </c>
      <c r="FF317" s="30" t="e">
        <f t="shared" si="515"/>
        <v>#N/A</v>
      </c>
      <c r="FG317" s="31" t="e">
        <f>IF(OR(Hypothèses!$B$4=17,Hypothèses!$B$4=18,Hypothèses!$B$4=19,Hypothèses!$B$4=20),
IF($D317="Pressio.",
IF(OR($E317=3,$E317=1,$E317=4),FF317,FE317),
IF($D317="Pénétro.",
IF(OR($E317=3,$E317=1,$E317=4),FF317,FE317))),IF($D317="Pressio.",
IF($E317=3,FF317,FE317),
IF($D317="Pénétro.",
IF($E317=4,FF317,FE317))))</f>
        <v>#N/A</v>
      </c>
      <c r="FH317" s="31" t="e">
        <f>(IF(OR(Hypothèses!$B$4=17,Hypothèses!$B$4=18,Hypothèses!$B$4=19,Hypothèses!$B$4=20),
IF($D317="Pressio.",
IF(OR($E317=3,$E317=1,$E317=4),(PI()*FH$12^2)/4*(FD317*$W317*1000)/($H317*$B$5),(PI()*FH$12^2)/4*(FD317*$W317*1000)/($G317*$B$5)),
IF($D317="Pénétro.",
IF(OR($E317=4,$E317=1,$E317=5),(PI()*FH$12^2)/4*(FD317*$W317*1000)/($H317*$B$5),(PI()*FH$12^2)/4*(FD317*$W317*1000)/($G317*$B$5)))),
IF($D317="Pressio.",
IF($E317=3,(PI()*FH$12^2)/4*(FD317*$W317*1000)/($H317*$B$5),(PI()*FH$12^2)/4*(FD317*$W317*1000)/($G317*$B$5)),
IF($D317="Pénétro.",
IF($E317=4,(PI()*FH$12^2)/4*(FD317*$W317*1000)/($H317*$B$5),(PI()*FH$12^2)/4*(FD317*$W317*1000)/($G317*$B$5))))))/10</f>
        <v>#N/A</v>
      </c>
      <c r="FI317" s="102" t="e">
        <f>(VLOOKUP($B$3,'Coeff EC7'!$T$39:$X$59,2,0)*FG317+VLOOKUP($B$3,'Coeff EC7'!$T$65:$X$85,2,0)*Model0.1C!FH317)/1.1</f>
        <v>#N/A</v>
      </c>
      <c r="FJ317" s="102" t="e">
        <f>(VLOOKUP($B$3,'Coeff EC7'!$T$39:$X$59,3,0)*FG317+VLOOKUP($B$3,'Coeff EC7'!$T$65:$X$85,3,0)*Model0.1C!FH317)/0.9</f>
        <v>#N/A</v>
      </c>
      <c r="FK317" s="102" t="e">
        <f t="shared" si="498"/>
        <v>#N/A</v>
      </c>
      <c r="FL317" s="102" t="e">
        <f t="shared" si="499"/>
        <v>#N/A</v>
      </c>
      <c r="FM317" s="414" t="e">
        <f>IF(FM316=0,0,IF(AND(FI317&gt;charge_ELS_quasi,FJ317&gt;Charge_ELS_freq,FK317&gt;charge_ELU,FL317&gt;charge_ELA,$B317&gt;NDC!$H$22-0.1+MIN(3*$FM$12,1.5)),0,1))</f>
        <v>#N/A</v>
      </c>
    </row>
    <row r="318" spans="1:169">
      <c r="A318" s="96">
        <f t="shared" si="467"/>
        <v>69.500000000001734</v>
      </c>
      <c r="B318" s="97">
        <v>30.5</v>
      </c>
      <c r="C318" s="81">
        <f>IF(B318&lt;=Hypothèses!$C$7,Hypothèses!$A$7,IF(B318&lt;=Hypothèses!$C$8,Hypothèses!$A$8,IF(B318&lt;=Hypothèses!$C$9,Hypothèses!$A$9,IF(B318&lt;=Hypothèses!$C$10,Hypothèses!$A$10,IF(B318&lt;=Hypothèses!$C$11,Hypothèses!$A$11,IF(B318&lt;=Hypothèses!$C$12,Hypothèses!$A$12,IF(B318&lt;=Hypothèses!$C$13,Hypothèses!$A$13,IF(B318&lt;=Hypothèses!$C$14,Hypothèses!$A$14,IF(B318&lt;=Hypothèses!$C$15,Hypothèses!$A$15,IF(B318&lt;=Hypothèses!$C$16,Hypothèses!$A$16,IF(B318&lt;=Hypothèses!$C$17,Hypothèses!$A$17,IF(B318&lt;=Hypothèses!$C$18,Hypothèses!$A$18,C317))))))))))))</f>
        <v>11</v>
      </c>
      <c r="D318" s="82" t="str">
        <f>IF(B318&lt;=Hypothèses!$C$7,Hypothèses!$R$7,IF(B318&lt;=Hypothèses!$C$8,Hypothèses!$R$8,IF(B318&lt;=Hypothèses!$C$9,Hypothèses!$R$9,IF(B318&lt;=Hypothèses!$C$10,Hypothèses!$R$10,IF(B318&lt;=Hypothèses!$C$11,Hypothèses!$R$11,IF(B318&lt;=Hypothèses!$C$12,Hypothèses!$R$12,IF(B318&lt;=Hypothèses!$C$13,Hypothèses!$R$13,IF(B318&lt;=Hypothèses!$C$14,Hypothèses!$R$14,IF(B318&lt;=Hypothèses!$C$15,Hypothèses!$R$15,IF(B318&lt;=Hypothèses!$C$16,Hypothèses!$R$16,IF(B318&lt;=Hypothèses!$C$17,Hypothèses!$R$17,IF(B318&lt;=Hypothèses!$C$18,Hypothèses!$R$18,D317))))))))))))</f>
        <v>Pressio.</v>
      </c>
      <c r="E318" s="82" t="e">
        <f>IF(B318&lt;=Hypothèses!$C$7,Hypothèses!$G$7,IF(B318&lt;=Hypothèses!$C$8,Hypothèses!$G$8,IF(B318&lt;=Hypothèses!$C$9,Hypothèses!$G$9,IF(B318&lt;=Hypothèses!$C$10,Hypothèses!$G$10,IF(B318&lt;=Hypothèses!$C$11,Hypothèses!$G$11,IF(B318&lt;=Hypothèses!$C$12,Hypothèses!$G$12,IF(B318&lt;=Hypothèses!$C$13,Hypothèses!$G$13,IF(B318&lt;=Hypothèses!$C$14,Hypothèses!$G$14,IF(B318&lt;=Hypothèses!$C$15,Hypothèses!$G$15,IF(B318&lt;=Hypothèses!$C$16,Hypothèses!$G$16,IF(B318&lt;=Hypothèses!$C$17,Hypothèses!$G$17,IF(B318&lt;=Hypothèses!$C$18,Hypothèses!$G$18,E317))))))))))))</f>
        <v>#N/A</v>
      </c>
      <c r="F318" s="82" t="str">
        <f>IF(B318&lt;=Hypothèses!$C$7,Hypothèses!$F$7,IF(B318&lt;=Hypothèses!$C$8,Hypothèses!$F$8,IF(B318&lt;=Hypothèses!$C$9,Hypothèses!$F$9,IF(B318&lt;=Hypothèses!$C$10,Hypothèses!$F$10,IF(B318&lt;=Hypothèses!$C$11,Hypothèses!$F$11,IF(B318&lt;=Hypothèses!$C$12,Hypothèses!$F$12,IF(B318&lt;=Hypothèses!$C$13,Hypothèses!$F$13,IF(B318&lt;=Hypothèses!$C$14,Hypothèses!$F$14,IF(B318&lt;=Hypothèses!$C$15,Hypothèses!$F$15,IF(B318&lt;=Hypothèses!$C$16,Hypothèses!$F$16,IF(B318&lt;=Hypothèses!$C$17,Hypothèses!$F$17,IF(B318&lt;=Hypothèses!$C$18,Hypothèses!$F$18,F317))))))))))))</f>
        <v/>
      </c>
      <c r="G318" s="91">
        <f t="array" ref="G318">INDEX('Coeff EC7'!$U$7:$X$27,
MATCH(Model0.1C!$B$3,'Coeff EC7'!$T$7:$T$27,0),
MATCH(Model0.1C!$D318&amp;Model0.1C!$B$4,
'Coeff EC7'!$U$6:$X$6&amp;
'Coeff EC7'!$U$5:$X$5,0))</f>
        <v>1.1499999999999999</v>
      </c>
      <c r="H318" s="91">
        <f t="array" ref="H318">INDEX('Coeff EC7'!$Y$7:$AB$27,
MATCH(Model0.1C!$B$3,'Coeff EC7'!$T$7:$T$27,0),
MATCH(Model0.1C!$D318&amp;Model0.1C!$B$4,
'Coeff EC7'!$Y$6:$AB$6&amp;
'Coeff EC7'!$Y$5:$AB$5,0))</f>
        <v>1.4</v>
      </c>
      <c r="I318" s="83" t="e">
        <f>IF(B318&lt;=Hypothèses!$C$7,Hypothèses!$P$7,IF(B318&lt;=Hypothèses!$C$8,Hypothèses!$P$8,IF(B318&lt;=Hypothèses!$C$9,Hypothèses!$P$9,IF(B318&lt;=Hypothèses!$C$10,Hypothèses!$P$10,IF(B318&lt;=Hypothèses!$C$11,Hypothèses!$P$11,IF(B318&lt;=Hypothèses!$C$12,Hypothèses!$P$12,IF(B318&lt;=Hypothèses!$C$13,Hypothèses!$P$13,IF(B318&lt;=Hypothèses!$C$14,Hypothèses!$P$14,IF(B318&lt;=Hypothèses!$C$15,Hypothèses!$P$15,IF(B318&lt;=Hypothèses!$C$16,Hypothèses!$P$16,IF(B318&lt;=Hypothèses!$C$17,Hypothèses!$P$17,IF(B318&lt;=Hypothèses!$C$18,Hypothèses!$P$18,I317))))))))))))</f>
        <v>#N/A</v>
      </c>
      <c r="J318" s="91" t="e">
        <f t="array" ref="J318">INDEX('Coeff EC7'!$D$33:$Q$33,1,MATCH(D318&amp;E318,'Coeff EC7'!$D$31:$Q$31&amp;'Coeff EC7'!$D$32:$Q$32,0))</f>
        <v>#N/A</v>
      </c>
      <c r="K318" s="91" t="e">
        <f t="array" ref="K318">INDEX('Coeff EC7'!$D$34:$Q$34,1,MATCH(D318&amp;E318,'Coeff EC7'!$D$31:$Q$31&amp;'Coeff EC7'!$D$32:$Q$32,0))</f>
        <v>#N/A</v>
      </c>
      <c r="L318" s="91" t="e">
        <f t="array" ref="L318">INDEX('Coeff EC7'!$D$35:$Q$35,1,MATCH(D318&amp;E318,'Coeff EC7'!$D$31:$Q$31&amp;'Coeff EC7'!$D$32:$Q$32,0))</f>
        <v>#N/A</v>
      </c>
      <c r="M318" s="98" t="e">
        <f t="shared" si="431"/>
        <v>#N/A</v>
      </c>
      <c r="N318" s="99" t="e">
        <f t="array" ref="N318">INDEX('Coeff EC7'!$D$7:$Q$27,MATCH($B$3,'Coeff EC7'!$C$7:$C$27,0),MATCH(D318&amp;E318,'Coeff EC7'!$D$5:$Q$5&amp;'Coeff EC7'!$D$6:$Q$6,0))</f>
        <v>#N/A</v>
      </c>
      <c r="O318" s="99" t="e">
        <f t="array" ref="O318">INDEX('Coeff EC7'!$D$41:$Q$61,MATCH($B$3,'Coeff EC7'!$C$41:$C$61,0),MATCH(D318&amp;E318,'Coeff EC7'!$D$39:$Q$39&amp;'Coeff EC7'!$D$40:$Q$40,0))</f>
        <v>#N/A</v>
      </c>
      <c r="P318" s="30" t="e">
        <f t="shared" si="468"/>
        <v>#N/A</v>
      </c>
      <c r="Q318" s="100" t="e">
        <f t="shared" si="433"/>
        <v>#N/A</v>
      </c>
      <c r="R318" s="86" t="b">
        <f t="shared" si="434"/>
        <v>0</v>
      </c>
      <c r="S318" s="86">
        <f t="shared" si="432"/>
        <v>0.5</v>
      </c>
      <c r="T318" s="86">
        <f t="shared" si="435"/>
        <v>0.5</v>
      </c>
      <c r="U318" s="30" t="e">
        <f t="shared" ca="1" si="469"/>
        <v>#DIV/0!</v>
      </c>
      <c r="V318" s="85" t="str">
        <f>IF(B318&lt;=Hypothèses!$V$7,Hypothèses!$W$7,IF(B318&lt;=Hypothèses!$V$8,Hypothèses!$W$8,IF(B318&lt;=Hypothèses!$V$9,Hypothèses!$W$9,IF(B318&lt;=Hypothèses!$V$10,Hypothèses!$W$10,IF(B318&lt;=Hypothèses!$V$11,Hypothèses!$W$11,IF(B318&lt;=Hypothèses!$V$12,Hypothèses!$W$12,IF(B318&lt;=Hypothèses!$V$13,Hypothèses!$W$13,IF(B318&lt;=Hypothèses!$V$14,Hypothèses!$W$14,IF(B318&lt;=Hypothèses!$V$15,Hypothèses!$W$15,IF(B318&lt;=Hypothèses!$V$16,Hypothèses!$W$16,IF(B318&lt;=Hypothèses!$V$17,Hypothèses!$W$17,IF(B318&lt;=Hypothèses!$V$18,Hypothèses!$W$18,""))))))))))))</f>
        <v/>
      </c>
      <c r="W318" s="87" t="e">
        <f t="shared" ca="1" si="516"/>
        <v>#DIV/0!</v>
      </c>
      <c r="X318" s="88" t="str">
        <f>IF(B318&lt;=Hypothèses!$V$7,Hypothèses!$X$7,IF(B318&lt;=Hypothèses!$V$8,Hypothèses!$X$8,IF(B318&lt;=Hypothèses!$V$9,Hypothèses!$X$9,IF(B318&lt;=Hypothèses!$V$10,Hypothèses!$X$10,IF(B318&lt;=Hypothèses!$V$11,Hypothèses!$X$11,IF(B318&lt;=Hypothèses!$V$12,Hypothèses!$X$12,IF(B318&lt;=Hypothèses!$V$13,Hypothèses!$X$13,IF(B318&lt;=Hypothèses!$V$14,Hypothèses!$X$14,IF(B318&lt;=Hypothèses!$V$15,Hypothèses!$X$15,IF(B318&lt;=Hypothèses!$V$16,Hypothèses!$X$16,IF(B318&lt;=Hypothèses!$U$17,Hypothèses!$W$17,IF(B318&lt;=Hypothèses!$U$18,Hypothèses!$W$18,""))))))))))))</f>
        <v/>
      </c>
      <c r="Y318" s="95" t="e">
        <f t="shared" ca="1" si="436"/>
        <v>#DIV/0!</v>
      </c>
      <c r="Z318" s="101" t="e">
        <f t="shared" si="437"/>
        <v>#N/A</v>
      </c>
      <c r="AA318" s="91" t="e">
        <f t="shared" si="438"/>
        <v>#N/A</v>
      </c>
      <c r="AB318" s="30" t="e">
        <f t="shared" si="500"/>
        <v>#N/A</v>
      </c>
      <c r="AC318" s="30" t="e">
        <f t="shared" si="501"/>
        <v>#N/A</v>
      </c>
      <c r="AD318" s="31" t="e">
        <f>IF(OR(Hypothèses!$B$4=17,Hypothèses!$B$4=18,Hypothèses!$B$4=19,Hypothèses!$B$4=20),
IF($D318="Pressio.",
IF(OR($E318=3,$E318=1,$E318=4),AC318,AB318),
IF($D318="Pénétro.",
IF(OR($E318=3,$E318=1,$E318=4),AC318,AB318))),IF($D318="Pressio.",
IF($E318=3,AC318,AB318),
IF($D318="Pénétro.",
IF($E318=4,AC318,AB318))))</f>
        <v>#N/A</v>
      </c>
      <c r="AE318" s="31" t="e">
        <f>(IF(OR(Hypothèses!$B$4=17,Hypothèses!$B$4=18,Hypothèses!$B$4=19,Hypothèses!$B$4=20),
IF($D318="Pressio.",
IF(OR($E318=3,$E318=1,$E318=4),(PI()*AE$12^2)/4*(AA318*$W318*1000)/($H318*$B$5),(PI()*AE$12^2)/4*(AA318*$W318*1000)/($G318*$B$5)),
IF($D318="Pénétro.",
IF(OR($E318=4,$E318=1,$E318=5),(PI()*AE$12^2)/4*(AA318*$W318*1000)/($H318*$B$5),(PI()*AE$12^2)/4*(AA318*$W318*1000)/($G318*$B$5)))),
IF($D318="Pressio.",
IF($E318=3,(PI()*AE$12^2)/4*(AA318*$W318*1000)/($H318*$B$5),(PI()*AE$12^2)/4*(AA318*$W318*1000)/($G318*$B$5)),
IF($D318="Pénétro.",
IF($E318=4,(PI()*AE$12^2)/4*(AA318*$W318*1000)/($H318*$B$5),(PI()*AE$12^2)/4*(AA318*$W318*1000)/($G318*$B$5))))))/10</f>
        <v>#N/A</v>
      </c>
      <c r="AF318" s="102" t="e">
        <f>(VLOOKUP($B$3,'Coeff EC7'!$T$39:$X$59,2,0)*AD318+VLOOKUP($B$3,'Coeff EC7'!$T$65:$X$85,2,0)*Model0.1C!AE318)/1.1</f>
        <v>#N/A</v>
      </c>
      <c r="AG318" s="102" t="e">
        <f>(VLOOKUP($B$3,'Coeff EC7'!$T$39:$X$59,3,0)*AD318+VLOOKUP($B$3,'Coeff EC7'!$T$65:$X$85,3,0)*Model0.1C!AE318)/0.9</f>
        <v>#N/A</v>
      </c>
      <c r="AH318" s="102" t="e">
        <f t="shared" si="439"/>
        <v>#N/A</v>
      </c>
      <c r="AI318" s="102" t="e">
        <f t="shared" si="440"/>
        <v>#N/A</v>
      </c>
      <c r="AJ318" s="414" t="e">
        <f>IF(AJ317=0,0,IF(AND(AF318&gt;charge_ELS_quasi,AG318&gt;Charge_ELS_freq,AH318&gt;charge_ELU,AI318&gt;charge_ELA,$B318&gt;NDC!$H$22-0.1+MIN(3*$AJ$12,1.5)),0,1))</f>
        <v>#N/A</v>
      </c>
      <c r="AK318" s="86" t="b">
        <f t="shared" si="441"/>
        <v>0</v>
      </c>
      <c r="AL318" s="86">
        <f t="shared" si="470"/>
        <v>0.5</v>
      </c>
      <c r="AM318" s="86">
        <f t="shared" si="442"/>
        <v>0.5</v>
      </c>
      <c r="AN318" s="30" t="e">
        <f t="shared" ca="1" si="471"/>
        <v>#DIV/0!</v>
      </c>
      <c r="AO318" s="85" t="e">
        <f ca="1">IF(U318&lt;=Hypothèses!$V$7,Hypothèses!$W$7,IF(U318&lt;=Hypothèses!$V$8,Hypothèses!$W$8,IF(U318&lt;=Hypothèses!$V$9,Hypothèses!$W$9,IF(U318&lt;=Hypothèses!$V$10,Hypothèses!$W$10,IF(U318&lt;=Hypothèses!$V$11,Hypothèses!$W$11,IF(U318&lt;=Hypothèses!$V$12,Hypothèses!$W$12,IF(U318&lt;=Hypothèses!$V$13,Hypothèses!$W$13,IF(U318&lt;=Hypothèses!$V$14,Hypothèses!$W$14,IF(U318&lt;=Hypothèses!$V$15,Hypothèses!$W$15,IF(U318&lt;=Hypothèses!$V$16,Hypothèses!$W$16,IF(U318&lt;=Hypothèses!$V$17,Hypothèses!$W$17,IF(U318&lt;=Hypothèses!$V$18,Hypothèses!$W$18,""))))))))))))</f>
        <v>#DIV/0!</v>
      </c>
      <c r="AP318" s="87" t="e">
        <f t="shared" ca="1" si="517"/>
        <v>#DIV/0!</v>
      </c>
      <c r="AQ318" s="88" t="e">
        <f ca="1">IF(U318&lt;=Hypothèses!$V$7,Hypothèses!$X$7,IF(U318&lt;=Hypothèses!$V$8,Hypothèses!$X$8,IF(U318&lt;=Hypothèses!$V$9,Hypothèses!$X$9,IF(U318&lt;=Hypothèses!$V$10,Hypothèses!$X$10,IF(U318&lt;=Hypothèses!$V$11,Hypothèses!$X$11,IF(U318&lt;=Hypothèses!$V$12,Hypothèses!$X$12,IF(U318&lt;=Hypothèses!$V$13,Hypothèses!$X$13,IF(U318&lt;=Hypothèses!$V$14,Hypothèses!$X$14,IF(U318&lt;=Hypothèses!$V$15,Hypothèses!$X$15,IF(U318&lt;=Hypothèses!$V$16,Hypothèses!$X$16,IF(U318&lt;=Hypothèses!$U$17,Hypothèses!$W$17,IF(U318&lt;=Hypothèses!$U$18,Hypothèses!$W$18,""))))))))))))</f>
        <v>#DIV/0!</v>
      </c>
      <c r="AR318" s="95" t="e">
        <f t="shared" ca="1" si="472"/>
        <v>#DIV/0!</v>
      </c>
      <c r="AS318" s="101" t="e">
        <f t="shared" si="524"/>
        <v>#N/A</v>
      </c>
      <c r="AT318" s="91" t="e">
        <f t="shared" si="443"/>
        <v>#N/A</v>
      </c>
      <c r="AU318" s="30" t="e">
        <f t="shared" si="502"/>
        <v>#N/A</v>
      </c>
      <c r="AV318" s="30" t="e">
        <f t="shared" si="503"/>
        <v>#N/A</v>
      </c>
      <c r="AW318" s="31" t="e">
        <f>IF(OR(Hypothèses!$B$4=17,Hypothèses!$B$4=18,Hypothèses!$B$4=19,Hypothèses!$B$4=20),
IF($D318="Pressio.",
IF(OR($E318=3,$E318=1,$E318=4),AV318,AU318),
IF($D318="Pénétro.",
IF(OR($E318=3,$E318=1,$E318=4),AV318,AU318))),IF($D318="Pressio.",
IF($E318=3,AV318,AU318),
IF($D318="Pénétro.",
IF($E318=4,AV318,AU318))))</f>
        <v>#N/A</v>
      </c>
      <c r="AX318" s="31" t="e">
        <f>(IF(OR(Hypothèses!$B$4=17,Hypothèses!$B$4=18,Hypothèses!$B$4=19,Hypothèses!$B$4=20),
IF($D318="Pressio.",
IF(OR($E318=3,$E318=1,$E318=4),(PI()*AX$12^2)/4*(AT318*$W318*1000)/($H318*$B$5),(PI()*AX$12^2)/4*(AT318*$W318*1000)/($G318*$B$5)),
IF($D318="Pénétro.",
IF(OR($E318=4,$E318=1,$E318=5),(PI()*AX$12^2)/4*(AT318*$W318*1000)/($H318*$B$5),(PI()*AX$12^2)/4*(AT318*$W318*1000)/($G318*$B$5)))),
IF($D318="Pressio.",
IF($E318=3,(PI()*AX$12^2)/4*(AT318*$W318*1000)/($H318*$B$5),(PI()*AX$12^2)/4*(AT318*$W318*1000)/($G318*$B$5)),
IF($D318="Pénétro.",
IF($E318=4,(PI()*AX$12^2)/4*(AT318*$W318*1000)/($H318*$B$5),(PI()*AX$12^2)/4*(AT318*$W318*1000)/($G318*$B$5))))))/10</f>
        <v>#N/A</v>
      </c>
      <c r="AY318" s="102" t="e">
        <f>(VLOOKUP($B$3,'Coeff EC7'!$T$39:$X$59,2,0)*AW318+VLOOKUP($B$3,'Coeff EC7'!$T$65:$X$85,2,0)*Model0.1C!AX318)/1.1</f>
        <v>#N/A</v>
      </c>
      <c r="AZ318" s="102" t="e">
        <f>(VLOOKUP($B$3,'Coeff EC7'!$T$39:$X$59,3,0)*AW318+VLOOKUP($B$3,'Coeff EC7'!$T$65:$X$85,3,0)*Model0.1C!AX318)/0.9</f>
        <v>#N/A</v>
      </c>
      <c r="BA318" s="102" t="e">
        <f t="shared" si="473"/>
        <v>#N/A</v>
      </c>
      <c r="BB318" s="102" t="e">
        <f t="shared" si="474"/>
        <v>#N/A</v>
      </c>
      <c r="BC318" s="414" t="e">
        <f>IF(BC317=0,0,IF(AND(AY318&gt;charge_ELS_quasi,AZ318&gt;Charge_ELS_freq,BA318&gt;charge_ELU,BB318&gt;charge_ELA,$B318&gt;NDC!$H$22-0.1+MIN(3*$BC$12,1.5)),0,1))</f>
        <v>#N/A</v>
      </c>
      <c r="BD318" s="86" t="b">
        <f t="shared" si="444"/>
        <v>0</v>
      </c>
      <c r="BE318" s="86">
        <f t="shared" si="475"/>
        <v>0.5</v>
      </c>
      <c r="BF318" s="86">
        <f t="shared" si="445"/>
        <v>0.5</v>
      </c>
      <c r="BG318" s="30" t="e">
        <f t="shared" ca="1" si="476"/>
        <v>#DIV/0!</v>
      </c>
      <c r="BH318" s="85" t="e">
        <f ca="1">IF(AN318&lt;=Hypothèses!$V$7,Hypothèses!$W$7,IF(AN318&lt;=Hypothèses!$V$8,Hypothèses!$W$8,IF(AN318&lt;=Hypothèses!$V$9,Hypothèses!$W$9,IF(AN318&lt;=Hypothèses!$V$10,Hypothèses!$W$10,IF(AN318&lt;=Hypothèses!$V$11,Hypothèses!$W$11,IF(AN318&lt;=Hypothèses!$V$12,Hypothèses!$W$12,IF(AN318&lt;=Hypothèses!$V$13,Hypothèses!$W$13,IF(AN318&lt;=Hypothèses!$V$14,Hypothèses!$W$14,IF(AN318&lt;=Hypothèses!$V$15,Hypothèses!$W$15,IF(AN318&lt;=Hypothèses!$V$16,Hypothèses!$W$16,IF(AN318&lt;=Hypothèses!$V$17,Hypothèses!$W$17,IF(AN318&lt;=Hypothèses!$V$18,Hypothèses!$W$18,""))))))))))))</f>
        <v>#DIV/0!</v>
      </c>
      <c r="BI318" s="87" t="e">
        <f t="shared" ca="1" si="518"/>
        <v>#DIV/0!</v>
      </c>
      <c r="BJ318" s="88" t="e">
        <f ca="1">IF(AN318&lt;=Hypothèses!$V$7,Hypothèses!$X$7,IF(AN318&lt;=Hypothèses!$V$8,Hypothèses!$X$8,IF(AN318&lt;=Hypothèses!$V$9,Hypothèses!$X$9,IF(AN318&lt;=Hypothèses!$V$10,Hypothèses!$X$10,IF(AN318&lt;=Hypothèses!$V$11,Hypothèses!$X$11,IF(AN318&lt;=Hypothèses!$V$12,Hypothèses!$X$12,IF(AN318&lt;=Hypothèses!$V$13,Hypothèses!$X$13,IF(AN318&lt;=Hypothèses!$V$14,Hypothèses!$X$14,IF(AN318&lt;=Hypothèses!$V$15,Hypothèses!$X$15,IF(AN318&lt;=Hypothèses!$V$16,Hypothèses!$X$16,IF(AN318&lt;=Hypothèses!$U$17,Hypothèses!$W$17,IF(AN318&lt;=Hypothèses!$U$18,Hypothèses!$W$18,""))))))))))))</f>
        <v>#DIV/0!</v>
      </c>
      <c r="BK318" s="95" t="e">
        <f t="shared" ca="1" si="477"/>
        <v>#DIV/0!</v>
      </c>
      <c r="BL318" s="101" t="e">
        <f t="shared" si="525"/>
        <v>#N/A</v>
      </c>
      <c r="BM318" s="91" t="e">
        <f t="shared" si="446"/>
        <v>#N/A</v>
      </c>
      <c r="BN318" s="30" t="e">
        <f t="shared" si="504"/>
        <v>#N/A</v>
      </c>
      <c r="BO318" s="30" t="e">
        <f t="shared" si="505"/>
        <v>#N/A</v>
      </c>
      <c r="BP318" s="31" t="e">
        <f>IF(OR(Hypothèses!$B$4=17,Hypothèses!$B$4=18,Hypothèses!$B$4=19,Hypothèses!$B$4=20),
IF($D318="Pressio.",
IF(OR($E318=3,$E318=1,$E318=4),BO318,BN318),
IF($D318="Pénétro.",
IF(OR($E318=3,$E318=1,$E318=4),BO318,BN318))),IF($D318="Pressio.",
IF($E318=3,BO318,BN318),
IF($D318="Pénétro.",
IF($E318=4,BO318,BN318))))</f>
        <v>#N/A</v>
      </c>
      <c r="BQ318" s="31" t="e">
        <f>(IF(OR(Hypothèses!$B$4=17,Hypothèses!$B$4=18,Hypothèses!$B$4=19,Hypothèses!$B$4=20),
IF($D318="Pressio.",
IF(OR($E318=3,$E318=1,$E318=4),(PI()*BQ$12^2)/4*(BM318*$W318*1000)/($H318*$B$5),(PI()*BQ$12^2)/4*(BM318*$W318*1000)/($G318*$B$5)),
IF($D318="Pénétro.",
IF(OR($E318=4,$E318=1,$E318=5),(PI()*BQ$12^2)/4*(BM318*$W318*1000)/($H318*$B$5),(PI()*BQ$12^2)/4*(BM318*$W318*1000)/($G318*$B$5)))),
IF($D318="Pressio.",
IF($E318=3,(PI()*BQ$12^2)/4*(BM318*$W318*1000)/($H318*$B$5),(PI()*BQ$12^2)/4*(BM318*$W318*1000)/($G318*$B$5)),
IF($D318="Pénétro.",
IF($E318=4,(PI()*BQ$12^2)/4*(BM318*$W318*1000)/($H318*$B$5),(PI()*BQ$12^2)/4*(BM318*$W318*1000)/($G318*$B$5))))))/10</f>
        <v>#N/A</v>
      </c>
      <c r="BR318" s="102" t="e">
        <f>(VLOOKUP($B$3,'Coeff EC7'!$T$39:$X$59,2,0)*BP318+VLOOKUP($B$3,'Coeff EC7'!$T$65:$X$85,2,0)*Model0.1C!BQ318)/1.1</f>
        <v>#N/A</v>
      </c>
      <c r="BS318" s="102" t="e">
        <f>(VLOOKUP($B$3,'Coeff EC7'!$T$39:$X$59,3,0)*BP318+VLOOKUP($B$3,'Coeff EC7'!$T$65:$X$85,3,0)*Model0.1C!BQ318)/0.9</f>
        <v>#N/A</v>
      </c>
      <c r="BT318" s="102" t="e">
        <f t="shared" si="478"/>
        <v>#N/A</v>
      </c>
      <c r="BU318" s="102" t="e">
        <f t="shared" si="479"/>
        <v>#N/A</v>
      </c>
      <c r="BV318" s="414" t="e">
        <f>IF(BV317=0,0,IF(AND(BR318&gt;charge_ELS_quasi,BS318&gt;Charge_ELS_freq,BT318&gt;charge_ELU,BU318&gt;charge_ELA,$B318&gt;NDC!$H$22-0.1+MIN(3*$BV$12,1.5)),0,1))</f>
        <v>#N/A</v>
      </c>
      <c r="BW318" s="86" t="b">
        <f t="shared" si="447"/>
        <v>0</v>
      </c>
      <c r="BX318" s="86">
        <f t="shared" si="448"/>
        <v>0.5</v>
      </c>
      <c r="BY318" s="86">
        <f t="shared" si="449"/>
        <v>0.5</v>
      </c>
      <c r="BZ318" s="30" t="e">
        <f t="shared" ca="1" si="480"/>
        <v>#DIV/0!</v>
      </c>
      <c r="CA318" s="85" t="e">
        <f ca="1">IF(BG318&lt;=Hypothèses!$V$7,Hypothèses!$W$7,IF(BG318&lt;=Hypothèses!$V$8,Hypothèses!$W$8,IF(BG318&lt;=Hypothèses!$V$9,Hypothèses!$W$9,IF(BG318&lt;=Hypothèses!$V$10,Hypothèses!$W$10,IF(BG318&lt;=Hypothèses!$V$11,Hypothèses!$W$11,IF(BG318&lt;=Hypothèses!$V$12,Hypothèses!$W$12,IF(BG318&lt;=Hypothèses!$V$13,Hypothèses!$W$13,IF(BG318&lt;=Hypothèses!$V$14,Hypothèses!$W$14,IF(BG318&lt;=Hypothèses!$V$15,Hypothèses!$W$15,IF(BG318&lt;=Hypothèses!$V$16,Hypothèses!$W$16,IF(BG318&lt;=Hypothèses!$V$17,Hypothèses!$W$17,IF(BG318&lt;=Hypothèses!$V$18,Hypothèses!$W$18,""))))))))))))</f>
        <v>#DIV/0!</v>
      </c>
      <c r="CB318" s="87" t="e">
        <f t="shared" ca="1" si="519"/>
        <v>#DIV/0!</v>
      </c>
      <c r="CC318" s="88" t="e">
        <f ca="1">IF(BG318&lt;=Hypothèses!$V$7,Hypothèses!$X$7,IF(BG318&lt;=Hypothèses!$V$8,Hypothèses!$X$8,IF(BG318&lt;=Hypothèses!$V$9,Hypothèses!$X$9,IF(BG318&lt;=Hypothèses!$V$10,Hypothèses!$X$10,IF(BG318&lt;=Hypothèses!$V$11,Hypothèses!$X$11,IF(BG318&lt;=Hypothèses!$V$12,Hypothèses!$X$12,IF(BG318&lt;=Hypothèses!$V$13,Hypothèses!$X$13,IF(BG318&lt;=Hypothèses!$V$14,Hypothèses!$X$14,IF(BG318&lt;=Hypothèses!$V$15,Hypothèses!$X$15,IF(BG318&lt;=Hypothèses!$V$16,Hypothèses!$X$16,IF(BG318&lt;=Hypothèses!$U$17,Hypothèses!$W$17,IF(BG318&lt;=Hypothèses!$U$18,Hypothèses!$W$18,""))))))))))))</f>
        <v>#DIV/0!</v>
      </c>
      <c r="CD318" s="95" t="e">
        <f t="shared" ca="1" si="481"/>
        <v>#DIV/0!</v>
      </c>
      <c r="CE318" s="101" t="e">
        <f t="shared" si="526"/>
        <v>#N/A</v>
      </c>
      <c r="CF318" s="91" t="e">
        <f t="shared" si="450"/>
        <v>#N/A</v>
      </c>
      <c r="CG318" s="30" t="e">
        <f t="shared" si="506"/>
        <v>#N/A</v>
      </c>
      <c r="CH318" s="30" t="e">
        <f t="shared" si="507"/>
        <v>#N/A</v>
      </c>
      <c r="CI318" s="31" t="e">
        <f>IF(OR(Hypothèses!$B$4=17,Hypothèses!$B$4=18,Hypothèses!$B$4=19,Hypothèses!$B$4=20),
IF($D318="Pressio.",
IF(OR($E318=3,$E318=1,$E318=4),CH318,CG318),
IF($D318="Pénétro.",
IF(OR($E318=3,$E318=1,$E318=4),CH318,CG318))),IF($D318="Pressio.",
IF($E318=3,CH318,CG318),
IF($D318="Pénétro.",
IF($E318=4,CH318,CG318))))</f>
        <v>#N/A</v>
      </c>
      <c r="CJ318" s="31" t="e">
        <f>(IF(OR(Hypothèses!$B$4=17,Hypothèses!$B$4=18,Hypothèses!$B$4=19,Hypothèses!$B$4=20),
IF($D318="Pressio.",
IF(OR($E318=3,$E318=1,$E318=4),(PI()*CJ$12^2)/4*(CF318*$W318*1000)/($H318*$B$5),(PI()*CJ$12^2)/4*(CF318*$W318*1000)/($G318*$B$5)),
IF($D318="Pénétro.",
IF(OR($E318=4,$E318=1,$E318=5),(PI()*CJ$12^2)/4*(CF318*$W318*1000)/($H318*$B$5),(PI()*CJ$12^2)/4*(CF318*$W318*1000)/($G318*$B$5)))),
IF($D318="Pressio.",
IF($E318=3,(PI()*CJ$12^2)/4*(CF318*$W318*1000)/($H318*$B$5),(PI()*CJ$12^2)/4*(CF318*$W318*1000)/($G318*$B$5)),
IF($D318="Pénétro.",
IF($E318=4,(PI()*CJ$12^2)/4*(CF318*$W318*1000)/($H318*$B$5),(PI()*CJ$12^2)/4*(CF318*$W318*1000)/($G318*$B$5))))))/10</f>
        <v>#N/A</v>
      </c>
      <c r="CK318" s="102" t="e">
        <f>(VLOOKUP($B$3,'Coeff EC7'!$T$39:$X$59,2,0)*CI318+VLOOKUP($B$3,'Coeff EC7'!$T$65:$X$85,2,0)*Model0.1C!CJ318)/1.1</f>
        <v>#N/A</v>
      </c>
      <c r="CL318" s="102" t="e">
        <f>(VLOOKUP($B$3,'Coeff EC7'!$T$39:$X$59,3,0)*CI318+VLOOKUP($B$3,'Coeff EC7'!$T$65:$X$85,3,0)*Model0.1C!CJ318)/0.9</f>
        <v>#N/A</v>
      </c>
      <c r="CM318" s="102" t="e">
        <f t="shared" si="482"/>
        <v>#N/A</v>
      </c>
      <c r="CN318" s="102" t="e">
        <f t="shared" si="483"/>
        <v>#N/A</v>
      </c>
      <c r="CO318" s="414" t="e">
        <f>IF(CO317=0,0,IF(AND(CK318&gt;charge_ELS_quasi,CL318&gt;Charge_ELS_freq,CM318&gt;charge_ELU,CN318&gt;charge_ELA,$B318&gt;NDC!$H$22-0.1+MIN(3*$CO$12,1.5)),0,1))</f>
        <v>#N/A</v>
      </c>
      <c r="CP318" s="86" t="b">
        <f t="shared" si="451"/>
        <v>0</v>
      </c>
      <c r="CQ318" s="86">
        <f t="shared" si="452"/>
        <v>0.5</v>
      </c>
      <c r="CR318" s="86">
        <f t="shared" si="453"/>
        <v>0.5</v>
      </c>
      <c r="CS318" s="30" t="e">
        <f t="shared" ca="1" si="484"/>
        <v>#DIV/0!</v>
      </c>
      <c r="CT318" s="85" t="e">
        <f ca="1">IF(BZ318&lt;=Hypothèses!$V$7,Hypothèses!$W$7,IF(BZ318&lt;=Hypothèses!$V$8,Hypothèses!$W$8,IF(BZ318&lt;=Hypothèses!$V$9,Hypothèses!$W$9,IF(BZ318&lt;=Hypothèses!$V$10,Hypothèses!$W$10,IF(BZ318&lt;=Hypothèses!$V$11,Hypothèses!$W$11,IF(BZ318&lt;=Hypothèses!$V$12,Hypothèses!$W$12,IF(BZ318&lt;=Hypothèses!$V$13,Hypothèses!$W$13,IF(BZ318&lt;=Hypothèses!$V$14,Hypothèses!$W$14,IF(BZ318&lt;=Hypothèses!$V$15,Hypothèses!$W$15,IF(BZ318&lt;=Hypothèses!$V$16,Hypothèses!$W$16,IF(BZ318&lt;=Hypothèses!$V$17,Hypothèses!$W$17,IF(BZ318&lt;=Hypothèses!$V$18,Hypothèses!$W$18,""))))))))))))</f>
        <v>#DIV/0!</v>
      </c>
      <c r="CU318" s="87" t="e">
        <f t="shared" ca="1" si="520"/>
        <v>#DIV/0!</v>
      </c>
      <c r="CV318" s="88" t="e">
        <f ca="1">IF(BZ318&lt;=Hypothèses!$V$7,Hypothèses!$X$7,IF(BZ318&lt;=Hypothèses!$V$8,Hypothèses!$X$8,IF(BZ318&lt;=Hypothèses!$V$9,Hypothèses!$X$9,IF(BZ318&lt;=Hypothèses!$V$10,Hypothèses!$X$10,IF(BZ318&lt;=Hypothèses!$V$11,Hypothèses!$X$11,IF(BZ318&lt;=Hypothèses!$V$12,Hypothèses!$X$12,IF(BZ318&lt;=Hypothèses!$V$13,Hypothèses!$X$13,IF(BZ318&lt;=Hypothèses!$V$14,Hypothèses!$X$14,IF(BZ318&lt;=Hypothèses!$V$15,Hypothèses!$X$15,IF(BZ318&lt;=Hypothèses!$V$16,Hypothèses!$X$16,IF(BZ318&lt;=Hypothèses!$U$17,Hypothèses!$W$17,IF(BZ318&lt;=Hypothèses!$U$18,Hypothèses!$W$18,""))))))))))))</f>
        <v>#DIV/0!</v>
      </c>
      <c r="CW318" s="95" t="e">
        <f t="shared" ca="1" si="485"/>
        <v>#DIV/0!</v>
      </c>
      <c r="CX318" s="101" t="e">
        <f t="shared" si="527"/>
        <v>#N/A</v>
      </c>
      <c r="CY318" s="91" t="e">
        <f t="shared" si="454"/>
        <v>#N/A</v>
      </c>
      <c r="CZ318" s="30" t="e">
        <f t="shared" si="508"/>
        <v>#N/A</v>
      </c>
      <c r="DA318" s="30" t="e">
        <f t="shared" si="509"/>
        <v>#N/A</v>
      </c>
      <c r="DB318" s="31" t="e">
        <f>IF(OR(Hypothèses!$B$4=17,Hypothèses!$B$4=18,Hypothèses!$B$4=19,Hypothèses!$B$4=20),
IF($D318="Pressio.",
IF(OR($E318=3,$E318=1,$E318=4),DA318,CZ318),
IF($D318="Pénétro.",
IF(OR($E318=3,$E318=1,$E318=4),DA318,CZ318))),IF($D318="Pressio.",
IF($E318=3,DA318,CZ318),
IF($D318="Pénétro.",
IF($E318=4,DA318,CZ318))))</f>
        <v>#N/A</v>
      </c>
      <c r="DC318" s="31" t="e">
        <f>(IF(OR(Hypothèses!$B$4=17,Hypothèses!$B$4=18,Hypothèses!$B$4=19,Hypothèses!$B$4=20),
IF($D318="Pressio.",
IF(OR($E318=3,$E318=1,$E318=4),(PI()*DC$12^2)/4*(CY318*$W318*1000)/($H318*$B$5),(PI()*DC$12^2)/4*(CY318*$W318*1000)/($G318*$B$5)),
IF($D318="Pénétro.",
IF(OR($E318=4,$E318=1,$E318=5),(PI()*DC$12^2)/4*(CY318*$W318*1000)/($H318*$B$5),(PI()*DC$12^2)/4*(CY318*$W318*1000)/($G318*$B$5)))),
IF($D318="Pressio.",
IF($E318=3,(PI()*DC$12^2)/4*(CY318*$W318*1000)/($H318*$B$5),(PI()*DC$12^2)/4*(CY318*$W318*1000)/($G318*$B$5)),
IF($D318="Pénétro.",
IF($E318=4,(PI()*DC$12^2)/4*(CY318*$W318*1000)/($H318*$B$5),(PI()*DC$12^2)/4*(CY318*$W318*1000)/($G318*$B$5))))))/10</f>
        <v>#N/A</v>
      </c>
      <c r="DD318" s="102" t="e">
        <f>(VLOOKUP($B$3,'Coeff EC7'!$T$39:$X$59,2,0)*DB318+VLOOKUP($B$3,'Coeff EC7'!$T$65:$X$85,2,0)*Model0.1C!DC318)/1.1</f>
        <v>#N/A</v>
      </c>
      <c r="DE318" s="102" t="e">
        <f>(VLOOKUP($B$3,'Coeff EC7'!$T$39:$X$59,3,0)*DB318+VLOOKUP($B$3,'Coeff EC7'!$T$65:$X$85,3,0)*Model0.1C!DC318)/0.9</f>
        <v>#N/A</v>
      </c>
      <c r="DF318" s="102" t="e">
        <f t="shared" si="486"/>
        <v>#N/A</v>
      </c>
      <c r="DG318" s="102" t="e">
        <f t="shared" si="487"/>
        <v>#N/A</v>
      </c>
      <c r="DH318" s="414" t="e">
        <f>IF(DH317=0,0,IF(AND(DD318&gt;charge_ELS_quasi,DE318&gt;Charge_ELS_freq,DF318&gt;charge_ELU,DG318&gt;charge_ELA,$B318&gt;NDC!$H$22-0.1+MIN(3*$DH$12,1.5)),0,1))</f>
        <v>#N/A</v>
      </c>
      <c r="DI318" s="86" t="b">
        <f t="shared" si="455"/>
        <v>0</v>
      </c>
      <c r="DJ318" s="86">
        <f t="shared" si="456"/>
        <v>0.5</v>
      </c>
      <c r="DK318" s="86">
        <f t="shared" si="457"/>
        <v>0.5</v>
      </c>
      <c r="DL318" s="30" t="e">
        <f t="shared" ca="1" si="488"/>
        <v>#DIV/0!</v>
      </c>
      <c r="DM318" s="85" t="e">
        <f ca="1">IF(CS318&lt;=Hypothèses!$V$7,Hypothèses!$W$7,IF(CS318&lt;=Hypothèses!$V$8,Hypothèses!$W$8,IF(CS318&lt;=Hypothèses!$V$9,Hypothèses!$W$9,IF(CS318&lt;=Hypothèses!$V$10,Hypothèses!$W$10,IF(CS318&lt;=Hypothèses!$V$11,Hypothèses!$W$11,IF(CS318&lt;=Hypothèses!$V$12,Hypothèses!$W$12,IF(CS318&lt;=Hypothèses!$V$13,Hypothèses!$W$13,IF(CS318&lt;=Hypothèses!$V$14,Hypothèses!$W$14,IF(CS318&lt;=Hypothèses!$V$15,Hypothèses!$W$15,IF(CS318&lt;=Hypothèses!$V$16,Hypothèses!$W$16,IF(CS318&lt;=Hypothèses!$V$17,Hypothèses!$W$17,IF(CS318&lt;=Hypothèses!$V$18,Hypothèses!$W$18,""))))))))))))</f>
        <v>#DIV/0!</v>
      </c>
      <c r="DN318" s="87" t="e">
        <f t="shared" ca="1" si="521"/>
        <v>#DIV/0!</v>
      </c>
      <c r="DO318" s="88" t="e">
        <f ca="1">IF(CS318&lt;=Hypothèses!$V$7,Hypothèses!$X$7,IF(CS318&lt;=Hypothèses!$V$8,Hypothèses!$X$8,IF(CS318&lt;=Hypothèses!$V$9,Hypothèses!$X$9,IF(CS318&lt;=Hypothèses!$V$10,Hypothèses!$X$10,IF(CS318&lt;=Hypothèses!$V$11,Hypothèses!$X$11,IF(CS318&lt;=Hypothèses!$V$12,Hypothèses!$X$12,IF(CS318&lt;=Hypothèses!$V$13,Hypothèses!$X$13,IF(CS318&lt;=Hypothèses!$V$14,Hypothèses!$X$14,IF(CS318&lt;=Hypothèses!$V$15,Hypothèses!$X$15,IF(CS318&lt;=Hypothèses!$V$16,Hypothèses!$X$16,IF(CS318&lt;=Hypothèses!$U$17,Hypothèses!$W$17,IF(CS318&lt;=Hypothèses!$U$18,Hypothèses!$W$18,""))))))))))))</f>
        <v>#DIV/0!</v>
      </c>
      <c r="DP318" s="95" t="e">
        <f t="shared" ca="1" si="489"/>
        <v>#DIV/0!</v>
      </c>
      <c r="DQ318" s="101" t="e">
        <f t="shared" si="528"/>
        <v>#N/A</v>
      </c>
      <c r="DR318" s="91" t="e">
        <f t="shared" si="458"/>
        <v>#N/A</v>
      </c>
      <c r="DS318" s="30" t="e">
        <f t="shared" si="510"/>
        <v>#N/A</v>
      </c>
      <c r="DT318" s="30" t="e">
        <f t="shared" si="511"/>
        <v>#N/A</v>
      </c>
      <c r="DU318" s="31" t="e">
        <f>IF(OR(Hypothèses!$B$4=17,Hypothèses!$B$4=18,Hypothèses!$B$4=19,Hypothèses!$B$4=20),
IF($D318="Pressio.",
IF(OR($E318=3,$E318=1,$E318=4),DT318,DS318),
IF($D318="Pénétro.",
IF(OR($E318=3,$E318=1,$E318=4),DT318,DS318))),IF($D318="Pressio.",
IF($E318=3,DT318,DS318),
IF($D318="Pénétro.",
IF($E318=4,DT318,DS318))))</f>
        <v>#N/A</v>
      </c>
      <c r="DV318" s="31" t="e">
        <f>(IF(OR(Hypothèses!$B$4=17,Hypothèses!$B$4=18,Hypothèses!$B$4=19,Hypothèses!$B$4=20),
IF($D318="Pressio.",
IF(OR($E318=3,$E318=1,$E318=4),(PI()*DV$12^2)/4*(DR318*$W318*1000)/($H318*$B$5),(PI()*DV$12^2)/4*(DR318*$W318*1000)/($G318*$B$5)),
IF($D318="Pénétro.",
IF(OR($E318=4,$E318=1,$E318=5),(PI()*DV$12^2)/4*(DR318*$W318*1000)/($H318*$B$5),(PI()*DV$12^2)/4*(DR318*$W318*1000)/($G318*$B$5)))),
IF($D318="Pressio.",
IF($E318=3,(PI()*DV$12^2)/4*(DR318*$W318*1000)/($H318*$B$5),(PI()*DV$12^2)/4*(DR318*$W318*1000)/($G318*$B$5)),
IF($D318="Pénétro.",
IF($E318=4,(PI()*DV$12^2)/4*(DR318*$W318*1000)/($H318*$B$5),(PI()*DV$12^2)/4*(DR318*$W318*1000)/($G318*$B$5))))))/10</f>
        <v>#N/A</v>
      </c>
      <c r="DW318" s="102" t="e">
        <f>(VLOOKUP($B$3,'Coeff EC7'!$T$39:$X$59,2,0)*DU318+VLOOKUP($B$3,'Coeff EC7'!$T$65:$X$85,2,0)*Model0.1C!DV318)/1.1</f>
        <v>#N/A</v>
      </c>
      <c r="DX318" s="102" t="e">
        <f>(VLOOKUP($B$3,'Coeff EC7'!$T$39:$X$59,3,0)*DU318+VLOOKUP($B$3,'Coeff EC7'!$T$65:$X$85,3,0)*Model0.1C!DV318)/0.9</f>
        <v>#N/A</v>
      </c>
      <c r="DY318" s="102" t="e">
        <f t="shared" si="490"/>
        <v>#N/A</v>
      </c>
      <c r="DZ318" s="102" t="e">
        <f t="shared" si="491"/>
        <v>#N/A</v>
      </c>
      <c r="EA318" s="414" t="e">
        <f>IF(EA317=0,0,IF(AND(DW318&gt;charge_ELS_quasi,DX318&gt;Charge_ELS_freq,DY318&gt;charge_ELU,DZ318&gt;charge_ELA,$B318&gt;NDC!$H$22-0.1+MIN(3*$EA$12,1.5)),0,1))</f>
        <v>#N/A</v>
      </c>
      <c r="EB318" s="86" t="b">
        <f t="shared" si="459"/>
        <v>0</v>
      </c>
      <c r="EC318" s="418">
        <f t="shared" si="460"/>
        <v>0.51</v>
      </c>
      <c r="ED318" s="86">
        <f t="shared" si="461"/>
        <v>0.51</v>
      </c>
      <c r="EE318" s="30" t="e">
        <f t="shared" ca="1" si="492"/>
        <v>#DIV/0!</v>
      </c>
      <c r="EF318" s="85" t="e">
        <f ca="1">IF(DL318&lt;=Hypothèses!$V$7,Hypothèses!$W$7,IF(DL318&lt;=Hypothèses!$V$8,Hypothèses!$W$8,IF(DL318&lt;=Hypothèses!$V$9,Hypothèses!$W$9,IF(DL318&lt;=Hypothèses!$V$10,Hypothèses!$W$10,IF(DL318&lt;=Hypothèses!$V$11,Hypothèses!$W$11,IF(DL318&lt;=Hypothèses!$V$12,Hypothèses!$W$12,IF(DL318&lt;=Hypothèses!$V$13,Hypothèses!$W$13,IF(DL318&lt;=Hypothèses!$V$14,Hypothèses!$W$14,IF(DL318&lt;=Hypothèses!$V$15,Hypothèses!$W$15,IF(DL318&lt;=Hypothèses!$V$16,Hypothèses!$W$16,IF(DL318&lt;=Hypothèses!$V$17,Hypothèses!$W$17,IF(DL318&lt;=Hypothèses!$V$18,Hypothèses!$W$18,""))))))))))))</f>
        <v>#DIV/0!</v>
      </c>
      <c r="EG318" s="87" t="e">
        <f t="shared" ca="1" si="522"/>
        <v>#DIV/0!</v>
      </c>
      <c r="EH318" s="88" t="e">
        <f ca="1">IF(DL318&lt;=Hypothèses!$V$7,Hypothèses!$X$7,IF(DL318&lt;=Hypothèses!$V$8,Hypothèses!$X$8,IF(DL318&lt;=Hypothèses!$V$9,Hypothèses!$X$9,IF(DL318&lt;=Hypothèses!$V$10,Hypothèses!$X$10,IF(DL318&lt;=Hypothèses!$V$11,Hypothèses!$X$11,IF(DL318&lt;=Hypothèses!$V$12,Hypothèses!$X$12,IF(DL318&lt;=Hypothèses!$V$13,Hypothèses!$X$13,IF(DL318&lt;=Hypothèses!$V$14,Hypothèses!$X$14,IF(DL318&lt;=Hypothèses!$V$15,Hypothèses!$X$15,IF(DL318&lt;=Hypothèses!$V$16,Hypothèses!$X$16,IF(DL318&lt;=Hypothèses!$U$17,Hypothèses!$W$17,IF(DL318&lt;=Hypothèses!$U$18,Hypothèses!$W$18,""))))))))))))</f>
        <v>#DIV/0!</v>
      </c>
      <c r="EI318" s="95" t="e">
        <f t="shared" ca="1" si="493"/>
        <v>#DIV/0!</v>
      </c>
      <c r="EJ318" s="101" t="e">
        <f t="shared" si="529"/>
        <v>#N/A</v>
      </c>
      <c r="EK318" s="91" t="e">
        <f t="shared" si="462"/>
        <v>#N/A</v>
      </c>
      <c r="EL318" s="30" t="e">
        <f t="shared" si="512"/>
        <v>#N/A</v>
      </c>
      <c r="EM318" s="30" t="e">
        <f t="shared" si="513"/>
        <v>#N/A</v>
      </c>
      <c r="EN318" s="31" t="e">
        <f>IF(OR(Hypothèses!$B$4=17,Hypothèses!$B$4=18,Hypothèses!$B$4=19,Hypothèses!$B$4=20),
IF($D318="Pressio.",
IF(OR($E318=3,$E318=1,$E318=4),EM318,EL318),
IF($D318="Pénétro.",
IF(OR($E318=3,$E318=1,$E318=4),EM318,EL318))),IF($D318="Pressio.",
IF($E318=3,EM318,EL318),
IF($D318="Pénétro.",
IF($E318=4,EM318,EL318))))</f>
        <v>#N/A</v>
      </c>
      <c r="EO318" s="31" t="e">
        <f>(IF(OR(Hypothèses!$B$4=17,Hypothèses!$B$4=18,Hypothèses!$B$4=19,Hypothèses!$B$4=20),
IF($D318="Pressio.",
IF(OR($E318=3,$E318=1,$E318=4),(PI()*EO$12^2)/4*(EK318*$W318*1000)/($H318*$B$5),(PI()*EO$12^2)/4*(EK318*$W318*1000)/($G318*$B$5)),
IF($D318="Pénétro.",
IF(OR($E318=4,$E318=1,$E318=5),(PI()*EO$12^2)/4*(EK318*$W318*1000)/($H318*$B$5),(PI()*EO$12^2)/4*(EK318*$W318*1000)/($G318*$B$5)))),
IF($D318="Pressio.",
IF($E318=3,(PI()*EO$12^2)/4*(EK318*$W318*1000)/($H318*$B$5),(PI()*EO$12^2)/4*(EK318*$W318*1000)/($G318*$B$5)),
IF($D318="Pénétro.",
IF($E318=4,(PI()*EO$12^2)/4*(EK318*$W318*1000)/($H318*$B$5),(PI()*EO$12^2)/4*(EK318*$W318*1000)/($G318*$B$5))))))/10</f>
        <v>#N/A</v>
      </c>
      <c r="EP318" s="102" t="e">
        <f>(VLOOKUP($B$3,'Coeff EC7'!$T$39:$X$59,2,0)*EN318+VLOOKUP($B$3,'Coeff EC7'!$T$65:$X$85,2,0)*Model0.1C!EO318)/1.1</f>
        <v>#N/A</v>
      </c>
      <c r="EQ318" s="102" t="e">
        <f>(VLOOKUP($B$3,'Coeff EC7'!$T$39:$X$59,3,0)*EN318+VLOOKUP($B$3,'Coeff EC7'!$T$65:$X$85,3,0)*Model0.1C!EO318)/0.9</f>
        <v>#N/A</v>
      </c>
      <c r="ER318" s="102" t="e">
        <f t="shared" si="494"/>
        <v>#N/A</v>
      </c>
      <c r="ES318" s="102" t="e">
        <f t="shared" si="495"/>
        <v>#N/A</v>
      </c>
      <c r="ET318" s="414" t="e">
        <f>IF(ET317=0,0,IF(AND(EP318&gt;charge_ELS_quasi,EQ318&gt;Charge_ELS_freq,ER318&gt;charge_ELU,ES318&gt;charge_ELA,$B318&gt;NDC!$H$22-0.1+MIN(3*$ET$12,1.5)),0,1))</f>
        <v>#N/A</v>
      </c>
      <c r="EU318" s="86" t="b">
        <f t="shared" si="463"/>
        <v>0</v>
      </c>
      <c r="EV318" s="86">
        <f t="shared" si="464"/>
        <v>0.61</v>
      </c>
      <c r="EW318" s="86">
        <f t="shared" si="465"/>
        <v>0.61</v>
      </c>
      <c r="EX318" s="30" t="e">
        <f t="shared" ca="1" si="496"/>
        <v>#DIV/0!</v>
      </c>
      <c r="EY318" s="85" t="e">
        <f ca="1">IF(EE318&lt;=Hypothèses!$V$7,Hypothèses!$W$7,IF(EE318&lt;=Hypothèses!$V$8,Hypothèses!$W$8,IF(EE318&lt;=Hypothèses!$V$9,Hypothèses!$W$9,IF(EE318&lt;=Hypothèses!$V$10,Hypothèses!$W$10,IF(EE318&lt;=Hypothèses!$V$11,Hypothèses!$W$11,IF(EE318&lt;=Hypothèses!$V$12,Hypothèses!$W$12,IF(EE318&lt;=Hypothèses!$V$13,Hypothèses!$W$13,IF(EE318&lt;=Hypothèses!$V$14,Hypothèses!$W$14,IF(EE318&lt;=Hypothèses!$V$15,Hypothèses!$W$15,IF(EE318&lt;=Hypothèses!$V$16,Hypothèses!$W$16,IF(EE318&lt;=Hypothèses!$V$17,Hypothèses!$W$17,IF(EE318&lt;=Hypothèses!$V$18,Hypothèses!$W$18,""))))))))))))</f>
        <v>#DIV/0!</v>
      </c>
      <c r="EZ318" s="87" t="e">
        <f t="shared" ca="1" si="523"/>
        <v>#DIV/0!</v>
      </c>
      <c r="FA318" s="88" t="e">
        <f ca="1">IF(EE318&lt;=Hypothèses!$V$7,Hypothèses!$X$7,IF(EE318&lt;=Hypothèses!$V$8,Hypothèses!$X$8,IF(EE318&lt;=Hypothèses!$V$9,Hypothèses!$X$9,IF(EE318&lt;=Hypothèses!$V$10,Hypothèses!$X$10,IF(EE318&lt;=Hypothèses!$V$11,Hypothèses!$X$11,IF(EE318&lt;=Hypothèses!$V$12,Hypothèses!$X$12,IF(EE318&lt;=Hypothèses!$V$13,Hypothèses!$X$13,IF(EE318&lt;=Hypothèses!$V$14,Hypothèses!$X$14,IF(EE318&lt;=Hypothèses!$V$15,Hypothèses!$X$15,IF(EE318&lt;=Hypothèses!$V$16,Hypothèses!$X$16,IF(EE318&lt;=Hypothèses!$U$17,Hypothèses!$W$17,IF(EE318&lt;=Hypothèses!$U$18,Hypothèses!$W$18,""))))))))))))</f>
        <v>#DIV/0!</v>
      </c>
      <c r="FB318" s="95" t="e">
        <f t="shared" ca="1" si="497"/>
        <v>#DIV/0!</v>
      </c>
      <c r="FC318" s="101" t="e">
        <f t="shared" si="530"/>
        <v>#N/A</v>
      </c>
      <c r="FD318" s="91" t="e">
        <f t="shared" si="466"/>
        <v>#N/A</v>
      </c>
      <c r="FE318" s="30" t="e">
        <f t="shared" si="514"/>
        <v>#N/A</v>
      </c>
      <c r="FF318" s="30" t="e">
        <f t="shared" si="515"/>
        <v>#N/A</v>
      </c>
      <c r="FG318" s="31" t="e">
        <f>IF(OR(Hypothèses!$B$4=17,Hypothèses!$B$4=18,Hypothèses!$B$4=19,Hypothèses!$B$4=20),
IF($D318="Pressio.",
IF(OR($E318=3,$E318=1,$E318=4),FF318,FE318),
IF($D318="Pénétro.",
IF(OR($E318=3,$E318=1,$E318=4),FF318,FE318))),IF($D318="Pressio.",
IF($E318=3,FF318,FE318),
IF($D318="Pénétro.",
IF($E318=4,FF318,FE318))))</f>
        <v>#N/A</v>
      </c>
      <c r="FH318" s="31" t="e">
        <f>(IF(OR(Hypothèses!$B$4=17,Hypothèses!$B$4=18,Hypothèses!$B$4=19,Hypothèses!$B$4=20),
IF($D318="Pressio.",
IF(OR($E318=3,$E318=1,$E318=4),(PI()*FH$12^2)/4*(FD318*$W318*1000)/($H318*$B$5),(PI()*FH$12^2)/4*(FD318*$W318*1000)/($G318*$B$5)),
IF($D318="Pénétro.",
IF(OR($E318=4,$E318=1,$E318=5),(PI()*FH$12^2)/4*(FD318*$W318*1000)/($H318*$B$5),(PI()*FH$12^2)/4*(FD318*$W318*1000)/($G318*$B$5)))),
IF($D318="Pressio.",
IF($E318=3,(PI()*FH$12^2)/4*(FD318*$W318*1000)/($H318*$B$5),(PI()*FH$12^2)/4*(FD318*$W318*1000)/($G318*$B$5)),
IF($D318="Pénétro.",
IF($E318=4,(PI()*FH$12^2)/4*(FD318*$W318*1000)/($H318*$B$5),(PI()*FH$12^2)/4*(FD318*$W318*1000)/($G318*$B$5))))))/10</f>
        <v>#N/A</v>
      </c>
      <c r="FI318" s="102" t="e">
        <f>(VLOOKUP($B$3,'Coeff EC7'!$T$39:$X$59,2,0)*FG318+VLOOKUP($B$3,'Coeff EC7'!$T$65:$X$85,2,0)*Model0.1C!FH318)/1.1</f>
        <v>#N/A</v>
      </c>
      <c r="FJ318" s="102" t="e">
        <f>(VLOOKUP($B$3,'Coeff EC7'!$T$39:$X$59,3,0)*FG318+VLOOKUP($B$3,'Coeff EC7'!$T$65:$X$85,3,0)*Model0.1C!FH318)/0.9</f>
        <v>#N/A</v>
      </c>
      <c r="FK318" s="102" t="e">
        <f t="shared" si="498"/>
        <v>#N/A</v>
      </c>
      <c r="FL318" s="102" t="e">
        <f t="shared" si="499"/>
        <v>#N/A</v>
      </c>
      <c r="FM318" s="414" t="e">
        <f>IF(FM317=0,0,IF(AND(FI318&gt;charge_ELS_quasi,FJ318&gt;Charge_ELS_freq,FK318&gt;charge_ELU,FL318&gt;charge_ELA,$B318&gt;NDC!$H$22-0.1+MIN(3*$FM$12,1.5)),0,1))</f>
        <v>#N/A</v>
      </c>
    </row>
    <row r="319" spans="1:169">
      <c r="A319" s="96">
        <f t="shared" si="467"/>
        <v>69.400000000001739</v>
      </c>
      <c r="B319" s="97">
        <v>30.6</v>
      </c>
      <c r="C319" s="81">
        <f>IF(B319&lt;=Hypothèses!$C$7,Hypothèses!$A$7,IF(B319&lt;=Hypothèses!$C$8,Hypothèses!$A$8,IF(B319&lt;=Hypothèses!$C$9,Hypothèses!$A$9,IF(B319&lt;=Hypothèses!$C$10,Hypothèses!$A$10,IF(B319&lt;=Hypothèses!$C$11,Hypothèses!$A$11,IF(B319&lt;=Hypothèses!$C$12,Hypothèses!$A$12,IF(B319&lt;=Hypothèses!$C$13,Hypothèses!$A$13,IF(B319&lt;=Hypothèses!$C$14,Hypothèses!$A$14,IF(B319&lt;=Hypothèses!$C$15,Hypothèses!$A$15,IF(B319&lt;=Hypothèses!$C$16,Hypothèses!$A$16,IF(B319&lt;=Hypothèses!$C$17,Hypothèses!$A$17,IF(B319&lt;=Hypothèses!$C$18,Hypothèses!$A$18,C318))))))))))))</f>
        <v>11</v>
      </c>
      <c r="D319" s="82" t="str">
        <f>IF(B319&lt;=Hypothèses!$C$7,Hypothèses!$R$7,IF(B319&lt;=Hypothèses!$C$8,Hypothèses!$R$8,IF(B319&lt;=Hypothèses!$C$9,Hypothèses!$R$9,IF(B319&lt;=Hypothèses!$C$10,Hypothèses!$R$10,IF(B319&lt;=Hypothèses!$C$11,Hypothèses!$R$11,IF(B319&lt;=Hypothèses!$C$12,Hypothèses!$R$12,IF(B319&lt;=Hypothèses!$C$13,Hypothèses!$R$13,IF(B319&lt;=Hypothèses!$C$14,Hypothèses!$R$14,IF(B319&lt;=Hypothèses!$C$15,Hypothèses!$R$15,IF(B319&lt;=Hypothèses!$C$16,Hypothèses!$R$16,IF(B319&lt;=Hypothèses!$C$17,Hypothèses!$R$17,IF(B319&lt;=Hypothèses!$C$18,Hypothèses!$R$18,D318))))))))))))</f>
        <v>Pressio.</v>
      </c>
      <c r="E319" s="82" t="e">
        <f>IF(B319&lt;=Hypothèses!$C$7,Hypothèses!$G$7,IF(B319&lt;=Hypothèses!$C$8,Hypothèses!$G$8,IF(B319&lt;=Hypothèses!$C$9,Hypothèses!$G$9,IF(B319&lt;=Hypothèses!$C$10,Hypothèses!$G$10,IF(B319&lt;=Hypothèses!$C$11,Hypothèses!$G$11,IF(B319&lt;=Hypothèses!$C$12,Hypothèses!$G$12,IF(B319&lt;=Hypothèses!$C$13,Hypothèses!$G$13,IF(B319&lt;=Hypothèses!$C$14,Hypothèses!$G$14,IF(B319&lt;=Hypothèses!$C$15,Hypothèses!$G$15,IF(B319&lt;=Hypothèses!$C$16,Hypothèses!$G$16,IF(B319&lt;=Hypothèses!$C$17,Hypothèses!$G$17,IF(B319&lt;=Hypothèses!$C$18,Hypothèses!$G$18,E318))))))))))))</f>
        <v>#N/A</v>
      </c>
      <c r="F319" s="82" t="str">
        <f>IF(B319&lt;=Hypothèses!$C$7,Hypothèses!$F$7,IF(B319&lt;=Hypothèses!$C$8,Hypothèses!$F$8,IF(B319&lt;=Hypothèses!$C$9,Hypothèses!$F$9,IF(B319&lt;=Hypothèses!$C$10,Hypothèses!$F$10,IF(B319&lt;=Hypothèses!$C$11,Hypothèses!$F$11,IF(B319&lt;=Hypothèses!$C$12,Hypothèses!$F$12,IF(B319&lt;=Hypothèses!$C$13,Hypothèses!$F$13,IF(B319&lt;=Hypothèses!$C$14,Hypothèses!$F$14,IF(B319&lt;=Hypothèses!$C$15,Hypothèses!$F$15,IF(B319&lt;=Hypothèses!$C$16,Hypothèses!$F$16,IF(B319&lt;=Hypothèses!$C$17,Hypothèses!$F$17,IF(B319&lt;=Hypothèses!$C$18,Hypothèses!$F$18,F318))))))))))))</f>
        <v/>
      </c>
      <c r="G319" s="91">
        <f t="array" ref="G319">INDEX('Coeff EC7'!$U$7:$X$27,
MATCH(Model0.1C!$B$3,'Coeff EC7'!$T$7:$T$27,0),
MATCH(Model0.1C!$D319&amp;Model0.1C!$B$4,
'Coeff EC7'!$U$6:$X$6&amp;
'Coeff EC7'!$U$5:$X$5,0))</f>
        <v>1.1499999999999999</v>
      </c>
      <c r="H319" s="91">
        <f t="array" ref="H319">INDEX('Coeff EC7'!$Y$7:$AB$27,
MATCH(Model0.1C!$B$3,'Coeff EC7'!$T$7:$T$27,0),
MATCH(Model0.1C!$D319&amp;Model0.1C!$B$4,
'Coeff EC7'!$Y$6:$AB$6&amp;
'Coeff EC7'!$Y$5:$AB$5,0))</f>
        <v>1.4</v>
      </c>
      <c r="I319" s="83" t="e">
        <f>IF(B319&lt;=Hypothèses!$C$7,Hypothèses!$P$7,IF(B319&lt;=Hypothèses!$C$8,Hypothèses!$P$8,IF(B319&lt;=Hypothèses!$C$9,Hypothèses!$P$9,IF(B319&lt;=Hypothèses!$C$10,Hypothèses!$P$10,IF(B319&lt;=Hypothèses!$C$11,Hypothèses!$P$11,IF(B319&lt;=Hypothèses!$C$12,Hypothèses!$P$12,IF(B319&lt;=Hypothèses!$C$13,Hypothèses!$P$13,IF(B319&lt;=Hypothèses!$C$14,Hypothèses!$P$14,IF(B319&lt;=Hypothèses!$C$15,Hypothèses!$P$15,IF(B319&lt;=Hypothèses!$C$16,Hypothèses!$P$16,IF(B319&lt;=Hypothèses!$C$17,Hypothèses!$P$17,IF(B319&lt;=Hypothèses!$C$18,Hypothèses!$P$18,I318))))))))))))</f>
        <v>#N/A</v>
      </c>
      <c r="J319" s="91" t="e">
        <f t="array" ref="J319">INDEX('Coeff EC7'!$D$33:$Q$33,1,MATCH(D319&amp;E319,'Coeff EC7'!$D$31:$Q$31&amp;'Coeff EC7'!$D$32:$Q$32,0))</f>
        <v>#N/A</v>
      </c>
      <c r="K319" s="91" t="e">
        <f t="array" ref="K319">INDEX('Coeff EC7'!$D$34:$Q$34,1,MATCH(D319&amp;E319,'Coeff EC7'!$D$31:$Q$31&amp;'Coeff EC7'!$D$32:$Q$32,0))</f>
        <v>#N/A</v>
      </c>
      <c r="L319" s="91" t="e">
        <f t="array" ref="L319">INDEX('Coeff EC7'!$D$35:$Q$35,1,MATCH(D319&amp;E319,'Coeff EC7'!$D$31:$Q$31&amp;'Coeff EC7'!$D$32:$Q$32,0))</f>
        <v>#N/A</v>
      </c>
      <c r="M319" s="98" t="e">
        <f t="shared" si="431"/>
        <v>#N/A</v>
      </c>
      <c r="N319" s="99" t="e">
        <f t="array" ref="N319">INDEX('Coeff EC7'!$D$7:$Q$27,MATCH($B$3,'Coeff EC7'!$C$7:$C$27,0),MATCH(D319&amp;E319,'Coeff EC7'!$D$5:$Q$5&amp;'Coeff EC7'!$D$6:$Q$6,0))</f>
        <v>#N/A</v>
      </c>
      <c r="O319" s="99" t="e">
        <f t="array" ref="O319">INDEX('Coeff EC7'!$D$41:$Q$61,MATCH($B$3,'Coeff EC7'!$C$41:$C$61,0),MATCH(D319&amp;E319,'Coeff EC7'!$D$39:$Q$39&amp;'Coeff EC7'!$D$40:$Q$40,0))</f>
        <v>#N/A</v>
      </c>
      <c r="P319" s="30" t="e">
        <f t="shared" si="468"/>
        <v>#N/A</v>
      </c>
      <c r="Q319" s="100" t="e">
        <f t="shared" si="433"/>
        <v>#N/A</v>
      </c>
      <c r="R319" s="86" t="b">
        <f t="shared" si="434"/>
        <v>0</v>
      </c>
      <c r="S319" s="86">
        <f t="shared" si="432"/>
        <v>0.5</v>
      </c>
      <c r="T319" s="86">
        <f t="shared" si="435"/>
        <v>0.5</v>
      </c>
      <c r="U319" s="30" t="e">
        <f t="shared" ca="1" si="469"/>
        <v>#DIV/0!</v>
      </c>
      <c r="V319" s="85" t="str">
        <f>IF(B319&lt;=Hypothèses!$V$7,Hypothèses!$W$7,IF(B319&lt;=Hypothèses!$V$8,Hypothèses!$W$8,IF(B319&lt;=Hypothèses!$V$9,Hypothèses!$W$9,IF(B319&lt;=Hypothèses!$V$10,Hypothèses!$W$10,IF(B319&lt;=Hypothèses!$V$11,Hypothèses!$W$11,IF(B319&lt;=Hypothèses!$V$12,Hypothèses!$W$12,IF(B319&lt;=Hypothèses!$V$13,Hypothèses!$W$13,IF(B319&lt;=Hypothèses!$V$14,Hypothèses!$W$14,IF(B319&lt;=Hypothèses!$V$15,Hypothèses!$W$15,IF(B319&lt;=Hypothèses!$V$16,Hypothèses!$W$16,IF(B319&lt;=Hypothèses!$V$17,Hypothèses!$W$17,IF(B319&lt;=Hypothèses!$V$18,Hypothèses!$W$18,""))))))))))))</f>
        <v/>
      </c>
      <c r="W319" s="87" t="e">
        <f t="shared" ca="1" si="516"/>
        <v>#DIV/0!</v>
      </c>
      <c r="X319" s="88" t="str">
        <f>IF(B319&lt;=Hypothèses!$V$7,Hypothèses!$X$7,IF(B319&lt;=Hypothèses!$V$8,Hypothèses!$X$8,IF(B319&lt;=Hypothèses!$V$9,Hypothèses!$X$9,IF(B319&lt;=Hypothèses!$V$10,Hypothèses!$X$10,IF(B319&lt;=Hypothèses!$V$11,Hypothèses!$X$11,IF(B319&lt;=Hypothèses!$V$12,Hypothèses!$X$12,IF(B319&lt;=Hypothèses!$V$13,Hypothèses!$X$13,IF(B319&lt;=Hypothèses!$V$14,Hypothèses!$X$14,IF(B319&lt;=Hypothèses!$V$15,Hypothèses!$X$15,IF(B319&lt;=Hypothèses!$V$16,Hypothèses!$X$16,IF(B319&lt;=Hypothèses!$U$17,Hypothèses!$W$17,IF(B319&lt;=Hypothèses!$U$18,Hypothèses!$W$18,""))))))))))))</f>
        <v/>
      </c>
      <c r="Y319" s="95" t="e">
        <f t="shared" ca="1" si="436"/>
        <v>#DIV/0!</v>
      </c>
      <c r="Z319" s="101" t="e">
        <f t="shared" si="437"/>
        <v>#N/A</v>
      </c>
      <c r="AA319" s="91" t="e">
        <f t="shared" si="438"/>
        <v>#N/A</v>
      </c>
      <c r="AB319" s="30" t="e">
        <f t="shared" si="500"/>
        <v>#N/A</v>
      </c>
      <c r="AC319" s="30" t="e">
        <f t="shared" si="501"/>
        <v>#N/A</v>
      </c>
      <c r="AD319" s="31" t="e">
        <f>IF(OR(Hypothèses!$B$4=17,Hypothèses!$B$4=18,Hypothèses!$B$4=19,Hypothèses!$B$4=20),
IF($D319="Pressio.",
IF(OR($E319=3,$E319=1,$E319=4),AC319,AB319),
IF($D319="Pénétro.",
IF(OR($E319=3,$E319=1,$E319=4),AC319,AB319))),IF($D319="Pressio.",
IF($E319=3,AC319,AB319),
IF($D319="Pénétro.",
IF($E319=4,AC319,AB319))))</f>
        <v>#N/A</v>
      </c>
      <c r="AE319" s="31" t="e">
        <f>(IF(OR(Hypothèses!$B$4=17,Hypothèses!$B$4=18,Hypothèses!$B$4=19,Hypothèses!$B$4=20),
IF($D319="Pressio.",
IF(OR($E319=3,$E319=1,$E319=4),(PI()*AE$12^2)/4*(AA319*$W319*1000)/($H319*$B$5),(PI()*AE$12^2)/4*(AA319*$W319*1000)/($G319*$B$5)),
IF($D319="Pénétro.",
IF(OR($E319=4,$E319=1,$E319=5),(PI()*AE$12^2)/4*(AA319*$W319*1000)/($H319*$B$5),(PI()*AE$12^2)/4*(AA319*$W319*1000)/($G319*$B$5)))),
IF($D319="Pressio.",
IF($E319=3,(PI()*AE$12^2)/4*(AA319*$W319*1000)/($H319*$B$5),(PI()*AE$12^2)/4*(AA319*$W319*1000)/($G319*$B$5)),
IF($D319="Pénétro.",
IF($E319=4,(PI()*AE$12^2)/4*(AA319*$W319*1000)/($H319*$B$5),(PI()*AE$12^2)/4*(AA319*$W319*1000)/($G319*$B$5))))))/10</f>
        <v>#N/A</v>
      </c>
      <c r="AF319" s="102" t="e">
        <f>(VLOOKUP($B$3,'Coeff EC7'!$T$39:$X$59,2,0)*AD319+VLOOKUP($B$3,'Coeff EC7'!$T$65:$X$85,2,0)*Model0.1C!AE319)/1.1</f>
        <v>#N/A</v>
      </c>
      <c r="AG319" s="102" t="e">
        <f>(VLOOKUP($B$3,'Coeff EC7'!$T$39:$X$59,3,0)*AD319+VLOOKUP($B$3,'Coeff EC7'!$T$65:$X$85,3,0)*Model0.1C!AE319)/0.9</f>
        <v>#N/A</v>
      </c>
      <c r="AH319" s="102" t="e">
        <f t="shared" si="439"/>
        <v>#N/A</v>
      </c>
      <c r="AI319" s="102" t="e">
        <f t="shared" si="440"/>
        <v>#N/A</v>
      </c>
      <c r="AJ319" s="414" t="e">
        <f>IF(AJ318=0,0,IF(AND(AF319&gt;charge_ELS_quasi,AG319&gt;Charge_ELS_freq,AH319&gt;charge_ELU,AI319&gt;charge_ELA,$B319&gt;NDC!$H$22-0.1+MIN(3*$AJ$12,1.5)),0,1))</f>
        <v>#N/A</v>
      </c>
      <c r="AK319" s="86" t="b">
        <f t="shared" si="441"/>
        <v>0</v>
      </c>
      <c r="AL319" s="86">
        <f t="shared" si="470"/>
        <v>0.5</v>
      </c>
      <c r="AM319" s="86">
        <f t="shared" si="442"/>
        <v>0.5</v>
      </c>
      <c r="AN319" s="30" t="e">
        <f t="shared" ca="1" si="471"/>
        <v>#DIV/0!</v>
      </c>
      <c r="AO319" s="85" t="e">
        <f ca="1">IF(U319&lt;=Hypothèses!$V$7,Hypothèses!$W$7,IF(U319&lt;=Hypothèses!$V$8,Hypothèses!$W$8,IF(U319&lt;=Hypothèses!$V$9,Hypothèses!$W$9,IF(U319&lt;=Hypothèses!$V$10,Hypothèses!$W$10,IF(U319&lt;=Hypothèses!$V$11,Hypothèses!$W$11,IF(U319&lt;=Hypothèses!$V$12,Hypothèses!$W$12,IF(U319&lt;=Hypothèses!$V$13,Hypothèses!$W$13,IF(U319&lt;=Hypothèses!$V$14,Hypothèses!$W$14,IF(U319&lt;=Hypothèses!$V$15,Hypothèses!$W$15,IF(U319&lt;=Hypothèses!$V$16,Hypothèses!$W$16,IF(U319&lt;=Hypothèses!$V$17,Hypothèses!$W$17,IF(U319&lt;=Hypothèses!$V$18,Hypothèses!$W$18,""))))))))))))</f>
        <v>#DIV/0!</v>
      </c>
      <c r="AP319" s="87" t="e">
        <f t="shared" ca="1" si="517"/>
        <v>#DIV/0!</v>
      </c>
      <c r="AQ319" s="88" t="e">
        <f ca="1">IF(U319&lt;=Hypothèses!$V$7,Hypothèses!$X$7,IF(U319&lt;=Hypothèses!$V$8,Hypothèses!$X$8,IF(U319&lt;=Hypothèses!$V$9,Hypothèses!$X$9,IF(U319&lt;=Hypothèses!$V$10,Hypothèses!$X$10,IF(U319&lt;=Hypothèses!$V$11,Hypothèses!$X$11,IF(U319&lt;=Hypothèses!$V$12,Hypothèses!$X$12,IF(U319&lt;=Hypothèses!$V$13,Hypothèses!$X$13,IF(U319&lt;=Hypothèses!$V$14,Hypothèses!$X$14,IF(U319&lt;=Hypothèses!$V$15,Hypothèses!$X$15,IF(U319&lt;=Hypothèses!$V$16,Hypothèses!$X$16,IF(U319&lt;=Hypothèses!$U$17,Hypothèses!$W$17,IF(U319&lt;=Hypothèses!$U$18,Hypothèses!$W$18,""))))))))))))</f>
        <v>#DIV/0!</v>
      </c>
      <c r="AR319" s="95" t="e">
        <f t="shared" ca="1" si="472"/>
        <v>#DIV/0!</v>
      </c>
      <c r="AS319" s="101" t="e">
        <f t="shared" si="524"/>
        <v>#N/A</v>
      </c>
      <c r="AT319" s="91" t="e">
        <f t="shared" si="443"/>
        <v>#N/A</v>
      </c>
      <c r="AU319" s="30" t="e">
        <f t="shared" si="502"/>
        <v>#N/A</v>
      </c>
      <c r="AV319" s="30" t="e">
        <f t="shared" si="503"/>
        <v>#N/A</v>
      </c>
      <c r="AW319" s="31" t="e">
        <f>IF(OR(Hypothèses!$B$4=17,Hypothèses!$B$4=18,Hypothèses!$B$4=19,Hypothèses!$B$4=20),
IF($D319="Pressio.",
IF(OR($E319=3,$E319=1,$E319=4),AV319,AU319),
IF($D319="Pénétro.",
IF(OR($E319=3,$E319=1,$E319=4),AV319,AU319))),IF($D319="Pressio.",
IF($E319=3,AV319,AU319),
IF($D319="Pénétro.",
IF($E319=4,AV319,AU319))))</f>
        <v>#N/A</v>
      </c>
      <c r="AX319" s="31" t="e">
        <f>(IF(OR(Hypothèses!$B$4=17,Hypothèses!$B$4=18,Hypothèses!$B$4=19,Hypothèses!$B$4=20),
IF($D319="Pressio.",
IF(OR($E319=3,$E319=1,$E319=4),(PI()*AX$12^2)/4*(AT319*$W319*1000)/($H319*$B$5),(PI()*AX$12^2)/4*(AT319*$W319*1000)/($G319*$B$5)),
IF($D319="Pénétro.",
IF(OR($E319=4,$E319=1,$E319=5),(PI()*AX$12^2)/4*(AT319*$W319*1000)/($H319*$B$5),(PI()*AX$12^2)/4*(AT319*$W319*1000)/($G319*$B$5)))),
IF($D319="Pressio.",
IF($E319=3,(PI()*AX$12^2)/4*(AT319*$W319*1000)/($H319*$B$5),(PI()*AX$12^2)/4*(AT319*$W319*1000)/($G319*$B$5)),
IF($D319="Pénétro.",
IF($E319=4,(PI()*AX$12^2)/4*(AT319*$W319*1000)/($H319*$B$5),(PI()*AX$12^2)/4*(AT319*$W319*1000)/($G319*$B$5))))))/10</f>
        <v>#N/A</v>
      </c>
      <c r="AY319" s="102" t="e">
        <f>(VLOOKUP($B$3,'Coeff EC7'!$T$39:$X$59,2,0)*AW319+VLOOKUP($B$3,'Coeff EC7'!$T$65:$X$85,2,0)*Model0.1C!AX319)/1.1</f>
        <v>#N/A</v>
      </c>
      <c r="AZ319" s="102" t="e">
        <f>(VLOOKUP($B$3,'Coeff EC7'!$T$39:$X$59,3,0)*AW319+VLOOKUP($B$3,'Coeff EC7'!$T$65:$X$85,3,0)*Model0.1C!AX319)/0.9</f>
        <v>#N/A</v>
      </c>
      <c r="BA319" s="102" t="e">
        <f t="shared" si="473"/>
        <v>#N/A</v>
      </c>
      <c r="BB319" s="102" t="e">
        <f t="shared" si="474"/>
        <v>#N/A</v>
      </c>
      <c r="BC319" s="414" t="e">
        <f>IF(BC318=0,0,IF(AND(AY319&gt;charge_ELS_quasi,AZ319&gt;Charge_ELS_freq,BA319&gt;charge_ELU,BB319&gt;charge_ELA,$B319&gt;NDC!$H$22-0.1+MIN(3*$BC$12,1.5)),0,1))</f>
        <v>#N/A</v>
      </c>
      <c r="BD319" s="86" t="b">
        <f t="shared" si="444"/>
        <v>0</v>
      </c>
      <c r="BE319" s="86">
        <f t="shared" si="475"/>
        <v>0.5</v>
      </c>
      <c r="BF319" s="86">
        <f t="shared" si="445"/>
        <v>0.5</v>
      </c>
      <c r="BG319" s="30" t="e">
        <f t="shared" ca="1" si="476"/>
        <v>#DIV/0!</v>
      </c>
      <c r="BH319" s="85" t="e">
        <f ca="1">IF(AN319&lt;=Hypothèses!$V$7,Hypothèses!$W$7,IF(AN319&lt;=Hypothèses!$V$8,Hypothèses!$W$8,IF(AN319&lt;=Hypothèses!$V$9,Hypothèses!$W$9,IF(AN319&lt;=Hypothèses!$V$10,Hypothèses!$W$10,IF(AN319&lt;=Hypothèses!$V$11,Hypothèses!$W$11,IF(AN319&lt;=Hypothèses!$V$12,Hypothèses!$W$12,IF(AN319&lt;=Hypothèses!$V$13,Hypothèses!$W$13,IF(AN319&lt;=Hypothèses!$V$14,Hypothèses!$W$14,IF(AN319&lt;=Hypothèses!$V$15,Hypothèses!$W$15,IF(AN319&lt;=Hypothèses!$V$16,Hypothèses!$W$16,IF(AN319&lt;=Hypothèses!$V$17,Hypothèses!$W$17,IF(AN319&lt;=Hypothèses!$V$18,Hypothèses!$W$18,""))))))))))))</f>
        <v>#DIV/0!</v>
      </c>
      <c r="BI319" s="87" t="e">
        <f t="shared" ca="1" si="518"/>
        <v>#DIV/0!</v>
      </c>
      <c r="BJ319" s="88" t="e">
        <f ca="1">IF(AN319&lt;=Hypothèses!$V$7,Hypothèses!$X$7,IF(AN319&lt;=Hypothèses!$V$8,Hypothèses!$X$8,IF(AN319&lt;=Hypothèses!$V$9,Hypothèses!$X$9,IF(AN319&lt;=Hypothèses!$V$10,Hypothèses!$X$10,IF(AN319&lt;=Hypothèses!$V$11,Hypothèses!$X$11,IF(AN319&lt;=Hypothèses!$V$12,Hypothèses!$X$12,IF(AN319&lt;=Hypothèses!$V$13,Hypothèses!$X$13,IF(AN319&lt;=Hypothèses!$V$14,Hypothèses!$X$14,IF(AN319&lt;=Hypothèses!$V$15,Hypothèses!$X$15,IF(AN319&lt;=Hypothèses!$V$16,Hypothèses!$X$16,IF(AN319&lt;=Hypothèses!$U$17,Hypothèses!$W$17,IF(AN319&lt;=Hypothèses!$U$18,Hypothèses!$W$18,""))))))))))))</f>
        <v>#DIV/0!</v>
      </c>
      <c r="BK319" s="95" t="e">
        <f t="shared" ca="1" si="477"/>
        <v>#DIV/0!</v>
      </c>
      <c r="BL319" s="101" t="e">
        <f t="shared" si="525"/>
        <v>#N/A</v>
      </c>
      <c r="BM319" s="91" t="e">
        <f t="shared" si="446"/>
        <v>#N/A</v>
      </c>
      <c r="BN319" s="30" t="e">
        <f t="shared" si="504"/>
        <v>#N/A</v>
      </c>
      <c r="BO319" s="30" t="e">
        <f t="shared" si="505"/>
        <v>#N/A</v>
      </c>
      <c r="BP319" s="31" t="e">
        <f>IF(OR(Hypothèses!$B$4=17,Hypothèses!$B$4=18,Hypothèses!$B$4=19,Hypothèses!$B$4=20),
IF($D319="Pressio.",
IF(OR($E319=3,$E319=1,$E319=4),BO319,BN319),
IF($D319="Pénétro.",
IF(OR($E319=3,$E319=1,$E319=4),BO319,BN319))),IF($D319="Pressio.",
IF($E319=3,BO319,BN319),
IF($D319="Pénétro.",
IF($E319=4,BO319,BN319))))</f>
        <v>#N/A</v>
      </c>
      <c r="BQ319" s="31" t="e">
        <f>(IF(OR(Hypothèses!$B$4=17,Hypothèses!$B$4=18,Hypothèses!$B$4=19,Hypothèses!$B$4=20),
IF($D319="Pressio.",
IF(OR($E319=3,$E319=1,$E319=4),(PI()*BQ$12^2)/4*(BM319*$W319*1000)/($H319*$B$5),(PI()*BQ$12^2)/4*(BM319*$W319*1000)/($G319*$B$5)),
IF($D319="Pénétro.",
IF(OR($E319=4,$E319=1,$E319=5),(PI()*BQ$12^2)/4*(BM319*$W319*1000)/($H319*$B$5),(PI()*BQ$12^2)/4*(BM319*$W319*1000)/($G319*$B$5)))),
IF($D319="Pressio.",
IF($E319=3,(PI()*BQ$12^2)/4*(BM319*$W319*1000)/($H319*$B$5),(PI()*BQ$12^2)/4*(BM319*$W319*1000)/($G319*$B$5)),
IF($D319="Pénétro.",
IF($E319=4,(PI()*BQ$12^2)/4*(BM319*$W319*1000)/($H319*$B$5),(PI()*BQ$12^2)/4*(BM319*$W319*1000)/($G319*$B$5))))))/10</f>
        <v>#N/A</v>
      </c>
      <c r="BR319" s="102" t="e">
        <f>(VLOOKUP($B$3,'Coeff EC7'!$T$39:$X$59,2,0)*BP319+VLOOKUP($B$3,'Coeff EC7'!$T$65:$X$85,2,0)*Model0.1C!BQ319)/1.1</f>
        <v>#N/A</v>
      </c>
      <c r="BS319" s="102" t="e">
        <f>(VLOOKUP($B$3,'Coeff EC7'!$T$39:$X$59,3,0)*BP319+VLOOKUP($B$3,'Coeff EC7'!$T$65:$X$85,3,0)*Model0.1C!BQ319)/0.9</f>
        <v>#N/A</v>
      </c>
      <c r="BT319" s="102" t="e">
        <f t="shared" si="478"/>
        <v>#N/A</v>
      </c>
      <c r="BU319" s="102" t="e">
        <f t="shared" si="479"/>
        <v>#N/A</v>
      </c>
      <c r="BV319" s="414" t="e">
        <f>IF(BV318=0,0,IF(AND(BR319&gt;charge_ELS_quasi,BS319&gt;Charge_ELS_freq,BT319&gt;charge_ELU,BU319&gt;charge_ELA,$B319&gt;NDC!$H$22-0.1+MIN(3*$BV$12,1.5)),0,1))</f>
        <v>#N/A</v>
      </c>
      <c r="BW319" s="86" t="b">
        <f t="shared" si="447"/>
        <v>0</v>
      </c>
      <c r="BX319" s="86">
        <f t="shared" si="448"/>
        <v>0.5</v>
      </c>
      <c r="BY319" s="86">
        <f t="shared" si="449"/>
        <v>0.5</v>
      </c>
      <c r="BZ319" s="30" t="e">
        <f t="shared" ca="1" si="480"/>
        <v>#DIV/0!</v>
      </c>
      <c r="CA319" s="85" t="e">
        <f ca="1">IF(BG319&lt;=Hypothèses!$V$7,Hypothèses!$W$7,IF(BG319&lt;=Hypothèses!$V$8,Hypothèses!$W$8,IF(BG319&lt;=Hypothèses!$V$9,Hypothèses!$W$9,IF(BG319&lt;=Hypothèses!$V$10,Hypothèses!$W$10,IF(BG319&lt;=Hypothèses!$V$11,Hypothèses!$W$11,IF(BG319&lt;=Hypothèses!$V$12,Hypothèses!$W$12,IF(BG319&lt;=Hypothèses!$V$13,Hypothèses!$W$13,IF(BG319&lt;=Hypothèses!$V$14,Hypothèses!$W$14,IF(BG319&lt;=Hypothèses!$V$15,Hypothèses!$W$15,IF(BG319&lt;=Hypothèses!$V$16,Hypothèses!$W$16,IF(BG319&lt;=Hypothèses!$V$17,Hypothèses!$W$17,IF(BG319&lt;=Hypothèses!$V$18,Hypothèses!$W$18,""))))))))))))</f>
        <v>#DIV/0!</v>
      </c>
      <c r="CB319" s="87" t="e">
        <f t="shared" ca="1" si="519"/>
        <v>#DIV/0!</v>
      </c>
      <c r="CC319" s="88" t="e">
        <f ca="1">IF(BG319&lt;=Hypothèses!$V$7,Hypothèses!$X$7,IF(BG319&lt;=Hypothèses!$V$8,Hypothèses!$X$8,IF(BG319&lt;=Hypothèses!$V$9,Hypothèses!$X$9,IF(BG319&lt;=Hypothèses!$V$10,Hypothèses!$X$10,IF(BG319&lt;=Hypothèses!$V$11,Hypothèses!$X$11,IF(BG319&lt;=Hypothèses!$V$12,Hypothèses!$X$12,IF(BG319&lt;=Hypothèses!$V$13,Hypothèses!$X$13,IF(BG319&lt;=Hypothèses!$V$14,Hypothèses!$X$14,IF(BG319&lt;=Hypothèses!$V$15,Hypothèses!$X$15,IF(BG319&lt;=Hypothèses!$V$16,Hypothèses!$X$16,IF(BG319&lt;=Hypothèses!$U$17,Hypothèses!$W$17,IF(BG319&lt;=Hypothèses!$U$18,Hypothèses!$W$18,""))))))))))))</f>
        <v>#DIV/0!</v>
      </c>
      <c r="CD319" s="95" t="e">
        <f t="shared" ca="1" si="481"/>
        <v>#DIV/0!</v>
      </c>
      <c r="CE319" s="101" t="e">
        <f t="shared" si="526"/>
        <v>#N/A</v>
      </c>
      <c r="CF319" s="91" t="e">
        <f t="shared" si="450"/>
        <v>#N/A</v>
      </c>
      <c r="CG319" s="30" t="e">
        <f t="shared" si="506"/>
        <v>#N/A</v>
      </c>
      <c r="CH319" s="30" t="e">
        <f t="shared" si="507"/>
        <v>#N/A</v>
      </c>
      <c r="CI319" s="31" t="e">
        <f>IF(OR(Hypothèses!$B$4=17,Hypothèses!$B$4=18,Hypothèses!$B$4=19,Hypothèses!$B$4=20),
IF($D319="Pressio.",
IF(OR($E319=3,$E319=1,$E319=4),CH319,CG319),
IF($D319="Pénétro.",
IF(OR($E319=3,$E319=1,$E319=4),CH319,CG319))),IF($D319="Pressio.",
IF($E319=3,CH319,CG319),
IF($D319="Pénétro.",
IF($E319=4,CH319,CG319))))</f>
        <v>#N/A</v>
      </c>
      <c r="CJ319" s="31" t="e">
        <f>(IF(OR(Hypothèses!$B$4=17,Hypothèses!$B$4=18,Hypothèses!$B$4=19,Hypothèses!$B$4=20),
IF($D319="Pressio.",
IF(OR($E319=3,$E319=1,$E319=4),(PI()*CJ$12^2)/4*(CF319*$W319*1000)/($H319*$B$5),(PI()*CJ$12^2)/4*(CF319*$W319*1000)/($G319*$B$5)),
IF($D319="Pénétro.",
IF(OR($E319=4,$E319=1,$E319=5),(PI()*CJ$12^2)/4*(CF319*$W319*1000)/($H319*$B$5),(PI()*CJ$12^2)/4*(CF319*$W319*1000)/($G319*$B$5)))),
IF($D319="Pressio.",
IF($E319=3,(PI()*CJ$12^2)/4*(CF319*$W319*1000)/($H319*$B$5),(PI()*CJ$12^2)/4*(CF319*$W319*1000)/($G319*$B$5)),
IF($D319="Pénétro.",
IF($E319=4,(PI()*CJ$12^2)/4*(CF319*$W319*1000)/($H319*$B$5),(PI()*CJ$12^2)/4*(CF319*$W319*1000)/($G319*$B$5))))))/10</f>
        <v>#N/A</v>
      </c>
      <c r="CK319" s="102" t="e">
        <f>(VLOOKUP($B$3,'Coeff EC7'!$T$39:$X$59,2,0)*CI319+VLOOKUP($B$3,'Coeff EC7'!$T$65:$X$85,2,0)*Model0.1C!CJ319)/1.1</f>
        <v>#N/A</v>
      </c>
      <c r="CL319" s="102" t="e">
        <f>(VLOOKUP($B$3,'Coeff EC7'!$T$39:$X$59,3,0)*CI319+VLOOKUP($B$3,'Coeff EC7'!$T$65:$X$85,3,0)*Model0.1C!CJ319)/0.9</f>
        <v>#N/A</v>
      </c>
      <c r="CM319" s="102" t="e">
        <f t="shared" si="482"/>
        <v>#N/A</v>
      </c>
      <c r="CN319" s="102" t="e">
        <f t="shared" si="483"/>
        <v>#N/A</v>
      </c>
      <c r="CO319" s="414" t="e">
        <f>IF(CO318=0,0,IF(AND(CK319&gt;charge_ELS_quasi,CL319&gt;Charge_ELS_freq,CM319&gt;charge_ELU,CN319&gt;charge_ELA,$B319&gt;NDC!$H$22-0.1+MIN(3*$CO$12,1.5)),0,1))</f>
        <v>#N/A</v>
      </c>
      <c r="CP319" s="86" t="b">
        <f t="shared" si="451"/>
        <v>0</v>
      </c>
      <c r="CQ319" s="86">
        <f t="shared" si="452"/>
        <v>0.5</v>
      </c>
      <c r="CR319" s="86">
        <f t="shared" si="453"/>
        <v>0.5</v>
      </c>
      <c r="CS319" s="30" t="e">
        <f t="shared" ca="1" si="484"/>
        <v>#DIV/0!</v>
      </c>
      <c r="CT319" s="85" t="e">
        <f ca="1">IF(BZ319&lt;=Hypothèses!$V$7,Hypothèses!$W$7,IF(BZ319&lt;=Hypothèses!$V$8,Hypothèses!$W$8,IF(BZ319&lt;=Hypothèses!$V$9,Hypothèses!$W$9,IF(BZ319&lt;=Hypothèses!$V$10,Hypothèses!$W$10,IF(BZ319&lt;=Hypothèses!$V$11,Hypothèses!$W$11,IF(BZ319&lt;=Hypothèses!$V$12,Hypothèses!$W$12,IF(BZ319&lt;=Hypothèses!$V$13,Hypothèses!$W$13,IF(BZ319&lt;=Hypothèses!$V$14,Hypothèses!$W$14,IF(BZ319&lt;=Hypothèses!$V$15,Hypothèses!$W$15,IF(BZ319&lt;=Hypothèses!$V$16,Hypothèses!$W$16,IF(BZ319&lt;=Hypothèses!$V$17,Hypothèses!$W$17,IF(BZ319&lt;=Hypothèses!$V$18,Hypothèses!$W$18,""))))))))))))</f>
        <v>#DIV/0!</v>
      </c>
      <c r="CU319" s="87" t="e">
        <f t="shared" ca="1" si="520"/>
        <v>#DIV/0!</v>
      </c>
      <c r="CV319" s="88" t="e">
        <f ca="1">IF(BZ319&lt;=Hypothèses!$V$7,Hypothèses!$X$7,IF(BZ319&lt;=Hypothèses!$V$8,Hypothèses!$X$8,IF(BZ319&lt;=Hypothèses!$V$9,Hypothèses!$X$9,IF(BZ319&lt;=Hypothèses!$V$10,Hypothèses!$X$10,IF(BZ319&lt;=Hypothèses!$V$11,Hypothèses!$X$11,IF(BZ319&lt;=Hypothèses!$V$12,Hypothèses!$X$12,IF(BZ319&lt;=Hypothèses!$V$13,Hypothèses!$X$13,IF(BZ319&lt;=Hypothèses!$V$14,Hypothèses!$X$14,IF(BZ319&lt;=Hypothèses!$V$15,Hypothèses!$X$15,IF(BZ319&lt;=Hypothèses!$V$16,Hypothèses!$X$16,IF(BZ319&lt;=Hypothèses!$U$17,Hypothèses!$W$17,IF(BZ319&lt;=Hypothèses!$U$18,Hypothèses!$W$18,""))))))))))))</f>
        <v>#DIV/0!</v>
      </c>
      <c r="CW319" s="95" t="e">
        <f t="shared" ca="1" si="485"/>
        <v>#DIV/0!</v>
      </c>
      <c r="CX319" s="101" t="e">
        <f t="shared" si="527"/>
        <v>#N/A</v>
      </c>
      <c r="CY319" s="91" t="e">
        <f t="shared" si="454"/>
        <v>#N/A</v>
      </c>
      <c r="CZ319" s="30" t="e">
        <f t="shared" si="508"/>
        <v>#N/A</v>
      </c>
      <c r="DA319" s="30" t="e">
        <f t="shared" si="509"/>
        <v>#N/A</v>
      </c>
      <c r="DB319" s="31" t="e">
        <f>IF(OR(Hypothèses!$B$4=17,Hypothèses!$B$4=18,Hypothèses!$B$4=19,Hypothèses!$B$4=20),
IF($D319="Pressio.",
IF(OR($E319=3,$E319=1,$E319=4),DA319,CZ319),
IF($D319="Pénétro.",
IF(OR($E319=3,$E319=1,$E319=4),DA319,CZ319))),IF($D319="Pressio.",
IF($E319=3,DA319,CZ319),
IF($D319="Pénétro.",
IF($E319=4,DA319,CZ319))))</f>
        <v>#N/A</v>
      </c>
      <c r="DC319" s="31" t="e">
        <f>(IF(OR(Hypothèses!$B$4=17,Hypothèses!$B$4=18,Hypothèses!$B$4=19,Hypothèses!$B$4=20),
IF($D319="Pressio.",
IF(OR($E319=3,$E319=1,$E319=4),(PI()*DC$12^2)/4*(CY319*$W319*1000)/($H319*$B$5),(PI()*DC$12^2)/4*(CY319*$W319*1000)/($G319*$B$5)),
IF($D319="Pénétro.",
IF(OR($E319=4,$E319=1,$E319=5),(PI()*DC$12^2)/4*(CY319*$W319*1000)/($H319*$B$5),(PI()*DC$12^2)/4*(CY319*$W319*1000)/($G319*$B$5)))),
IF($D319="Pressio.",
IF($E319=3,(PI()*DC$12^2)/4*(CY319*$W319*1000)/($H319*$B$5),(PI()*DC$12^2)/4*(CY319*$W319*1000)/($G319*$B$5)),
IF($D319="Pénétro.",
IF($E319=4,(PI()*DC$12^2)/4*(CY319*$W319*1000)/($H319*$B$5),(PI()*DC$12^2)/4*(CY319*$W319*1000)/($G319*$B$5))))))/10</f>
        <v>#N/A</v>
      </c>
      <c r="DD319" s="102" t="e">
        <f>(VLOOKUP($B$3,'Coeff EC7'!$T$39:$X$59,2,0)*DB319+VLOOKUP($B$3,'Coeff EC7'!$T$65:$X$85,2,0)*Model0.1C!DC319)/1.1</f>
        <v>#N/A</v>
      </c>
      <c r="DE319" s="102" t="e">
        <f>(VLOOKUP($B$3,'Coeff EC7'!$T$39:$X$59,3,0)*DB319+VLOOKUP($B$3,'Coeff EC7'!$T$65:$X$85,3,0)*Model0.1C!DC319)/0.9</f>
        <v>#N/A</v>
      </c>
      <c r="DF319" s="102" t="e">
        <f t="shared" si="486"/>
        <v>#N/A</v>
      </c>
      <c r="DG319" s="102" t="e">
        <f t="shared" si="487"/>
        <v>#N/A</v>
      </c>
      <c r="DH319" s="414" t="e">
        <f>IF(DH318=0,0,IF(AND(DD319&gt;charge_ELS_quasi,DE319&gt;Charge_ELS_freq,DF319&gt;charge_ELU,DG319&gt;charge_ELA,$B319&gt;NDC!$H$22-0.1+MIN(3*$DH$12,1.5)),0,1))</f>
        <v>#N/A</v>
      </c>
      <c r="DI319" s="86" t="b">
        <f t="shared" si="455"/>
        <v>0</v>
      </c>
      <c r="DJ319" s="86">
        <f t="shared" si="456"/>
        <v>0.5</v>
      </c>
      <c r="DK319" s="86">
        <f t="shared" si="457"/>
        <v>0.5</v>
      </c>
      <c r="DL319" s="30" t="e">
        <f t="shared" ca="1" si="488"/>
        <v>#DIV/0!</v>
      </c>
      <c r="DM319" s="85" t="e">
        <f ca="1">IF(CS319&lt;=Hypothèses!$V$7,Hypothèses!$W$7,IF(CS319&lt;=Hypothèses!$V$8,Hypothèses!$W$8,IF(CS319&lt;=Hypothèses!$V$9,Hypothèses!$W$9,IF(CS319&lt;=Hypothèses!$V$10,Hypothèses!$W$10,IF(CS319&lt;=Hypothèses!$V$11,Hypothèses!$W$11,IF(CS319&lt;=Hypothèses!$V$12,Hypothèses!$W$12,IF(CS319&lt;=Hypothèses!$V$13,Hypothèses!$W$13,IF(CS319&lt;=Hypothèses!$V$14,Hypothèses!$W$14,IF(CS319&lt;=Hypothèses!$V$15,Hypothèses!$W$15,IF(CS319&lt;=Hypothèses!$V$16,Hypothèses!$W$16,IF(CS319&lt;=Hypothèses!$V$17,Hypothèses!$W$17,IF(CS319&lt;=Hypothèses!$V$18,Hypothèses!$W$18,""))))))))))))</f>
        <v>#DIV/0!</v>
      </c>
      <c r="DN319" s="87" t="e">
        <f t="shared" ca="1" si="521"/>
        <v>#DIV/0!</v>
      </c>
      <c r="DO319" s="88" t="e">
        <f ca="1">IF(CS319&lt;=Hypothèses!$V$7,Hypothèses!$X$7,IF(CS319&lt;=Hypothèses!$V$8,Hypothèses!$X$8,IF(CS319&lt;=Hypothèses!$V$9,Hypothèses!$X$9,IF(CS319&lt;=Hypothèses!$V$10,Hypothèses!$X$10,IF(CS319&lt;=Hypothèses!$V$11,Hypothèses!$X$11,IF(CS319&lt;=Hypothèses!$V$12,Hypothèses!$X$12,IF(CS319&lt;=Hypothèses!$V$13,Hypothèses!$X$13,IF(CS319&lt;=Hypothèses!$V$14,Hypothèses!$X$14,IF(CS319&lt;=Hypothèses!$V$15,Hypothèses!$X$15,IF(CS319&lt;=Hypothèses!$V$16,Hypothèses!$X$16,IF(CS319&lt;=Hypothèses!$U$17,Hypothèses!$W$17,IF(CS319&lt;=Hypothèses!$U$18,Hypothèses!$W$18,""))))))))))))</f>
        <v>#DIV/0!</v>
      </c>
      <c r="DP319" s="95" t="e">
        <f t="shared" ca="1" si="489"/>
        <v>#DIV/0!</v>
      </c>
      <c r="DQ319" s="101" t="e">
        <f t="shared" si="528"/>
        <v>#N/A</v>
      </c>
      <c r="DR319" s="91" t="e">
        <f t="shared" si="458"/>
        <v>#N/A</v>
      </c>
      <c r="DS319" s="30" t="e">
        <f t="shared" si="510"/>
        <v>#N/A</v>
      </c>
      <c r="DT319" s="30" t="e">
        <f t="shared" si="511"/>
        <v>#N/A</v>
      </c>
      <c r="DU319" s="31" t="e">
        <f>IF(OR(Hypothèses!$B$4=17,Hypothèses!$B$4=18,Hypothèses!$B$4=19,Hypothèses!$B$4=20),
IF($D319="Pressio.",
IF(OR($E319=3,$E319=1,$E319=4),DT319,DS319),
IF($D319="Pénétro.",
IF(OR($E319=3,$E319=1,$E319=4),DT319,DS319))),IF($D319="Pressio.",
IF($E319=3,DT319,DS319),
IF($D319="Pénétro.",
IF($E319=4,DT319,DS319))))</f>
        <v>#N/A</v>
      </c>
      <c r="DV319" s="31" t="e">
        <f>(IF(OR(Hypothèses!$B$4=17,Hypothèses!$B$4=18,Hypothèses!$B$4=19,Hypothèses!$B$4=20),
IF($D319="Pressio.",
IF(OR($E319=3,$E319=1,$E319=4),(PI()*DV$12^2)/4*(DR319*$W319*1000)/($H319*$B$5),(PI()*DV$12^2)/4*(DR319*$W319*1000)/($G319*$B$5)),
IF($D319="Pénétro.",
IF(OR($E319=4,$E319=1,$E319=5),(PI()*DV$12^2)/4*(DR319*$W319*1000)/($H319*$B$5),(PI()*DV$12^2)/4*(DR319*$W319*1000)/($G319*$B$5)))),
IF($D319="Pressio.",
IF($E319=3,(PI()*DV$12^2)/4*(DR319*$W319*1000)/($H319*$B$5),(PI()*DV$12^2)/4*(DR319*$W319*1000)/($G319*$B$5)),
IF($D319="Pénétro.",
IF($E319=4,(PI()*DV$12^2)/4*(DR319*$W319*1000)/($H319*$B$5),(PI()*DV$12^2)/4*(DR319*$W319*1000)/($G319*$B$5))))))/10</f>
        <v>#N/A</v>
      </c>
      <c r="DW319" s="102" t="e">
        <f>(VLOOKUP($B$3,'Coeff EC7'!$T$39:$X$59,2,0)*DU319+VLOOKUP($B$3,'Coeff EC7'!$T$65:$X$85,2,0)*Model0.1C!DV319)/1.1</f>
        <v>#N/A</v>
      </c>
      <c r="DX319" s="102" t="e">
        <f>(VLOOKUP($B$3,'Coeff EC7'!$T$39:$X$59,3,0)*DU319+VLOOKUP($B$3,'Coeff EC7'!$T$65:$X$85,3,0)*Model0.1C!DV319)/0.9</f>
        <v>#N/A</v>
      </c>
      <c r="DY319" s="102" t="e">
        <f t="shared" si="490"/>
        <v>#N/A</v>
      </c>
      <c r="DZ319" s="102" t="e">
        <f t="shared" si="491"/>
        <v>#N/A</v>
      </c>
      <c r="EA319" s="414" t="e">
        <f>IF(EA318=0,0,IF(AND(DW319&gt;charge_ELS_quasi,DX319&gt;Charge_ELS_freq,DY319&gt;charge_ELU,DZ319&gt;charge_ELA,$B319&gt;NDC!$H$22-0.1+MIN(3*$EA$12,1.5)),0,1))</f>
        <v>#N/A</v>
      </c>
      <c r="EB319" s="86" t="b">
        <f t="shared" si="459"/>
        <v>0</v>
      </c>
      <c r="EC319" s="418">
        <f t="shared" si="460"/>
        <v>0.51</v>
      </c>
      <c r="ED319" s="86">
        <f t="shared" si="461"/>
        <v>0.51</v>
      </c>
      <c r="EE319" s="30" t="e">
        <f t="shared" ca="1" si="492"/>
        <v>#DIV/0!</v>
      </c>
      <c r="EF319" s="85" t="e">
        <f ca="1">IF(DL319&lt;=Hypothèses!$V$7,Hypothèses!$W$7,IF(DL319&lt;=Hypothèses!$V$8,Hypothèses!$W$8,IF(DL319&lt;=Hypothèses!$V$9,Hypothèses!$W$9,IF(DL319&lt;=Hypothèses!$V$10,Hypothèses!$W$10,IF(DL319&lt;=Hypothèses!$V$11,Hypothèses!$W$11,IF(DL319&lt;=Hypothèses!$V$12,Hypothèses!$W$12,IF(DL319&lt;=Hypothèses!$V$13,Hypothèses!$W$13,IF(DL319&lt;=Hypothèses!$V$14,Hypothèses!$W$14,IF(DL319&lt;=Hypothèses!$V$15,Hypothèses!$W$15,IF(DL319&lt;=Hypothèses!$V$16,Hypothèses!$W$16,IF(DL319&lt;=Hypothèses!$V$17,Hypothèses!$W$17,IF(DL319&lt;=Hypothèses!$V$18,Hypothèses!$W$18,""))))))))))))</f>
        <v>#DIV/0!</v>
      </c>
      <c r="EG319" s="87" t="e">
        <f t="shared" ca="1" si="522"/>
        <v>#DIV/0!</v>
      </c>
      <c r="EH319" s="88" t="e">
        <f ca="1">IF(DL319&lt;=Hypothèses!$V$7,Hypothèses!$X$7,IF(DL319&lt;=Hypothèses!$V$8,Hypothèses!$X$8,IF(DL319&lt;=Hypothèses!$V$9,Hypothèses!$X$9,IF(DL319&lt;=Hypothèses!$V$10,Hypothèses!$X$10,IF(DL319&lt;=Hypothèses!$V$11,Hypothèses!$X$11,IF(DL319&lt;=Hypothèses!$V$12,Hypothèses!$X$12,IF(DL319&lt;=Hypothèses!$V$13,Hypothèses!$X$13,IF(DL319&lt;=Hypothèses!$V$14,Hypothèses!$X$14,IF(DL319&lt;=Hypothèses!$V$15,Hypothèses!$X$15,IF(DL319&lt;=Hypothèses!$V$16,Hypothèses!$X$16,IF(DL319&lt;=Hypothèses!$U$17,Hypothèses!$W$17,IF(DL319&lt;=Hypothèses!$U$18,Hypothèses!$W$18,""))))))))))))</f>
        <v>#DIV/0!</v>
      </c>
      <c r="EI319" s="95" t="e">
        <f t="shared" ca="1" si="493"/>
        <v>#DIV/0!</v>
      </c>
      <c r="EJ319" s="101" t="e">
        <f t="shared" si="529"/>
        <v>#N/A</v>
      </c>
      <c r="EK319" s="91" t="e">
        <f t="shared" si="462"/>
        <v>#N/A</v>
      </c>
      <c r="EL319" s="30" t="e">
        <f t="shared" si="512"/>
        <v>#N/A</v>
      </c>
      <c r="EM319" s="30" t="e">
        <f t="shared" si="513"/>
        <v>#N/A</v>
      </c>
      <c r="EN319" s="31" t="e">
        <f>IF(OR(Hypothèses!$B$4=17,Hypothèses!$B$4=18,Hypothèses!$B$4=19,Hypothèses!$B$4=20),
IF($D319="Pressio.",
IF(OR($E319=3,$E319=1,$E319=4),EM319,EL319),
IF($D319="Pénétro.",
IF(OR($E319=3,$E319=1,$E319=4),EM319,EL319))),IF($D319="Pressio.",
IF($E319=3,EM319,EL319),
IF($D319="Pénétro.",
IF($E319=4,EM319,EL319))))</f>
        <v>#N/A</v>
      </c>
      <c r="EO319" s="31" t="e">
        <f>(IF(OR(Hypothèses!$B$4=17,Hypothèses!$B$4=18,Hypothèses!$B$4=19,Hypothèses!$B$4=20),
IF($D319="Pressio.",
IF(OR($E319=3,$E319=1,$E319=4),(PI()*EO$12^2)/4*(EK319*$W319*1000)/($H319*$B$5),(PI()*EO$12^2)/4*(EK319*$W319*1000)/($G319*$B$5)),
IF($D319="Pénétro.",
IF(OR($E319=4,$E319=1,$E319=5),(PI()*EO$12^2)/4*(EK319*$W319*1000)/($H319*$B$5),(PI()*EO$12^2)/4*(EK319*$W319*1000)/($G319*$B$5)))),
IF($D319="Pressio.",
IF($E319=3,(PI()*EO$12^2)/4*(EK319*$W319*1000)/($H319*$B$5),(PI()*EO$12^2)/4*(EK319*$W319*1000)/($G319*$B$5)),
IF($D319="Pénétro.",
IF($E319=4,(PI()*EO$12^2)/4*(EK319*$W319*1000)/($H319*$B$5),(PI()*EO$12^2)/4*(EK319*$W319*1000)/($G319*$B$5))))))/10</f>
        <v>#N/A</v>
      </c>
      <c r="EP319" s="102" t="e">
        <f>(VLOOKUP($B$3,'Coeff EC7'!$T$39:$X$59,2,0)*EN319+VLOOKUP($B$3,'Coeff EC7'!$T$65:$X$85,2,0)*Model0.1C!EO319)/1.1</f>
        <v>#N/A</v>
      </c>
      <c r="EQ319" s="102" t="e">
        <f>(VLOOKUP($B$3,'Coeff EC7'!$T$39:$X$59,3,0)*EN319+VLOOKUP($B$3,'Coeff EC7'!$T$65:$X$85,3,0)*Model0.1C!EO319)/0.9</f>
        <v>#N/A</v>
      </c>
      <c r="ER319" s="102" t="e">
        <f t="shared" si="494"/>
        <v>#N/A</v>
      </c>
      <c r="ES319" s="102" t="e">
        <f t="shared" si="495"/>
        <v>#N/A</v>
      </c>
      <c r="ET319" s="414" t="e">
        <f>IF(ET318=0,0,IF(AND(EP319&gt;charge_ELS_quasi,EQ319&gt;Charge_ELS_freq,ER319&gt;charge_ELU,ES319&gt;charge_ELA,$B319&gt;NDC!$H$22-0.1+MIN(3*$ET$12,1.5)),0,1))</f>
        <v>#N/A</v>
      </c>
      <c r="EU319" s="86" t="b">
        <f t="shared" si="463"/>
        <v>0</v>
      </c>
      <c r="EV319" s="86">
        <f t="shared" si="464"/>
        <v>0.61</v>
      </c>
      <c r="EW319" s="86">
        <f t="shared" si="465"/>
        <v>0.61</v>
      </c>
      <c r="EX319" s="30" t="e">
        <f t="shared" ca="1" si="496"/>
        <v>#DIV/0!</v>
      </c>
      <c r="EY319" s="85" t="e">
        <f ca="1">IF(EE319&lt;=Hypothèses!$V$7,Hypothèses!$W$7,IF(EE319&lt;=Hypothèses!$V$8,Hypothèses!$W$8,IF(EE319&lt;=Hypothèses!$V$9,Hypothèses!$W$9,IF(EE319&lt;=Hypothèses!$V$10,Hypothèses!$W$10,IF(EE319&lt;=Hypothèses!$V$11,Hypothèses!$W$11,IF(EE319&lt;=Hypothèses!$V$12,Hypothèses!$W$12,IF(EE319&lt;=Hypothèses!$V$13,Hypothèses!$W$13,IF(EE319&lt;=Hypothèses!$V$14,Hypothèses!$W$14,IF(EE319&lt;=Hypothèses!$V$15,Hypothèses!$W$15,IF(EE319&lt;=Hypothèses!$V$16,Hypothèses!$W$16,IF(EE319&lt;=Hypothèses!$V$17,Hypothèses!$W$17,IF(EE319&lt;=Hypothèses!$V$18,Hypothèses!$W$18,""))))))))))))</f>
        <v>#DIV/0!</v>
      </c>
      <c r="EZ319" s="87" t="e">
        <f t="shared" ca="1" si="523"/>
        <v>#DIV/0!</v>
      </c>
      <c r="FA319" s="88" t="e">
        <f ca="1">IF(EE319&lt;=Hypothèses!$V$7,Hypothèses!$X$7,IF(EE319&lt;=Hypothèses!$V$8,Hypothèses!$X$8,IF(EE319&lt;=Hypothèses!$V$9,Hypothèses!$X$9,IF(EE319&lt;=Hypothèses!$V$10,Hypothèses!$X$10,IF(EE319&lt;=Hypothèses!$V$11,Hypothèses!$X$11,IF(EE319&lt;=Hypothèses!$V$12,Hypothèses!$X$12,IF(EE319&lt;=Hypothèses!$V$13,Hypothèses!$X$13,IF(EE319&lt;=Hypothèses!$V$14,Hypothèses!$X$14,IF(EE319&lt;=Hypothèses!$V$15,Hypothèses!$X$15,IF(EE319&lt;=Hypothèses!$V$16,Hypothèses!$X$16,IF(EE319&lt;=Hypothèses!$U$17,Hypothèses!$W$17,IF(EE319&lt;=Hypothèses!$U$18,Hypothèses!$W$18,""))))))))))))</f>
        <v>#DIV/0!</v>
      </c>
      <c r="FB319" s="95" t="e">
        <f t="shared" ca="1" si="497"/>
        <v>#DIV/0!</v>
      </c>
      <c r="FC319" s="101" t="e">
        <f t="shared" si="530"/>
        <v>#N/A</v>
      </c>
      <c r="FD319" s="91" t="e">
        <f t="shared" si="466"/>
        <v>#N/A</v>
      </c>
      <c r="FE319" s="30" t="e">
        <f t="shared" si="514"/>
        <v>#N/A</v>
      </c>
      <c r="FF319" s="30" t="e">
        <f t="shared" si="515"/>
        <v>#N/A</v>
      </c>
      <c r="FG319" s="31" t="e">
        <f>IF(OR(Hypothèses!$B$4=17,Hypothèses!$B$4=18,Hypothèses!$B$4=19,Hypothèses!$B$4=20),
IF($D319="Pressio.",
IF(OR($E319=3,$E319=1,$E319=4),FF319,FE319),
IF($D319="Pénétro.",
IF(OR($E319=3,$E319=1,$E319=4),FF319,FE319))),IF($D319="Pressio.",
IF($E319=3,FF319,FE319),
IF($D319="Pénétro.",
IF($E319=4,FF319,FE319))))</f>
        <v>#N/A</v>
      </c>
      <c r="FH319" s="31" t="e">
        <f>(IF(OR(Hypothèses!$B$4=17,Hypothèses!$B$4=18,Hypothèses!$B$4=19,Hypothèses!$B$4=20),
IF($D319="Pressio.",
IF(OR($E319=3,$E319=1,$E319=4),(PI()*FH$12^2)/4*(FD319*$W319*1000)/($H319*$B$5),(PI()*FH$12^2)/4*(FD319*$W319*1000)/($G319*$B$5)),
IF($D319="Pénétro.",
IF(OR($E319=4,$E319=1,$E319=5),(PI()*FH$12^2)/4*(FD319*$W319*1000)/($H319*$B$5),(PI()*FH$12^2)/4*(FD319*$W319*1000)/($G319*$B$5)))),
IF($D319="Pressio.",
IF($E319=3,(PI()*FH$12^2)/4*(FD319*$W319*1000)/($H319*$B$5),(PI()*FH$12^2)/4*(FD319*$W319*1000)/($G319*$B$5)),
IF($D319="Pénétro.",
IF($E319=4,(PI()*FH$12^2)/4*(FD319*$W319*1000)/($H319*$B$5),(PI()*FH$12^2)/4*(FD319*$W319*1000)/($G319*$B$5))))))/10</f>
        <v>#N/A</v>
      </c>
      <c r="FI319" s="102" t="e">
        <f>(VLOOKUP($B$3,'Coeff EC7'!$T$39:$X$59,2,0)*FG319+VLOOKUP($B$3,'Coeff EC7'!$T$65:$X$85,2,0)*Model0.1C!FH319)/1.1</f>
        <v>#N/A</v>
      </c>
      <c r="FJ319" s="102" t="e">
        <f>(VLOOKUP($B$3,'Coeff EC7'!$T$39:$X$59,3,0)*FG319+VLOOKUP($B$3,'Coeff EC7'!$T$65:$X$85,3,0)*Model0.1C!FH319)/0.9</f>
        <v>#N/A</v>
      </c>
      <c r="FK319" s="102" t="e">
        <f t="shared" si="498"/>
        <v>#N/A</v>
      </c>
      <c r="FL319" s="102" t="e">
        <f t="shared" si="499"/>
        <v>#N/A</v>
      </c>
      <c r="FM319" s="414" t="e">
        <f>IF(FM318=0,0,IF(AND(FI319&gt;charge_ELS_quasi,FJ319&gt;Charge_ELS_freq,FK319&gt;charge_ELU,FL319&gt;charge_ELA,$B319&gt;NDC!$H$22-0.1+MIN(3*$FM$12,1.5)),0,1))</f>
        <v>#N/A</v>
      </c>
    </row>
    <row r="320" spans="1:169">
      <c r="A320" s="96">
        <f t="shared" si="467"/>
        <v>69.300000000001745</v>
      </c>
      <c r="B320" s="97">
        <v>30.7</v>
      </c>
      <c r="C320" s="81">
        <f>IF(B320&lt;=Hypothèses!$C$7,Hypothèses!$A$7,IF(B320&lt;=Hypothèses!$C$8,Hypothèses!$A$8,IF(B320&lt;=Hypothèses!$C$9,Hypothèses!$A$9,IF(B320&lt;=Hypothèses!$C$10,Hypothèses!$A$10,IF(B320&lt;=Hypothèses!$C$11,Hypothèses!$A$11,IF(B320&lt;=Hypothèses!$C$12,Hypothèses!$A$12,IF(B320&lt;=Hypothèses!$C$13,Hypothèses!$A$13,IF(B320&lt;=Hypothèses!$C$14,Hypothèses!$A$14,IF(B320&lt;=Hypothèses!$C$15,Hypothèses!$A$15,IF(B320&lt;=Hypothèses!$C$16,Hypothèses!$A$16,IF(B320&lt;=Hypothèses!$C$17,Hypothèses!$A$17,IF(B320&lt;=Hypothèses!$C$18,Hypothèses!$A$18,C319))))))))))))</f>
        <v>11</v>
      </c>
      <c r="D320" s="82" t="str">
        <f>IF(B320&lt;=Hypothèses!$C$7,Hypothèses!$R$7,IF(B320&lt;=Hypothèses!$C$8,Hypothèses!$R$8,IF(B320&lt;=Hypothèses!$C$9,Hypothèses!$R$9,IF(B320&lt;=Hypothèses!$C$10,Hypothèses!$R$10,IF(B320&lt;=Hypothèses!$C$11,Hypothèses!$R$11,IF(B320&lt;=Hypothèses!$C$12,Hypothèses!$R$12,IF(B320&lt;=Hypothèses!$C$13,Hypothèses!$R$13,IF(B320&lt;=Hypothèses!$C$14,Hypothèses!$R$14,IF(B320&lt;=Hypothèses!$C$15,Hypothèses!$R$15,IF(B320&lt;=Hypothèses!$C$16,Hypothèses!$R$16,IF(B320&lt;=Hypothèses!$C$17,Hypothèses!$R$17,IF(B320&lt;=Hypothèses!$C$18,Hypothèses!$R$18,D319))))))))))))</f>
        <v>Pressio.</v>
      </c>
      <c r="E320" s="82" t="e">
        <f>IF(B320&lt;=Hypothèses!$C$7,Hypothèses!$G$7,IF(B320&lt;=Hypothèses!$C$8,Hypothèses!$G$8,IF(B320&lt;=Hypothèses!$C$9,Hypothèses!$G$9,IF(B320&lt;=Hypothèses!$C$10,Hypothèses!$G$10,IF(B320&lt;=Hypothèses!$C$11,Hypothèses!$G$11,IF(B320&lt;=Hypothèses!$C$12,Hypothèses!$G$12,IF(B320&lt;=Hypothèses!$C$13,Hypothèses!$G$13,IF(B320&lt;=Hypothèses!$C$14,Hypothèses!$G$14,IF(B320&lt;=Hypothèses!$C$15,Hypothèses!$G$15,IF(B320&lt;=Hypothèses!$C$16,Hypothèses!$G$16,IF(B320&lt;=Hypothèses!$C$17,Hypothèses!$G$17,IF(B320&lt;=Hypothèses!$C$18,Hypothèses!$G$18,E319))))))))))))</f>
        <v>#N/A</v>
      </c>
      <c r="F320" s="82" t="str">
        <f>IF(B320&lt;=Hypothèses!$C$7,Hypothèses!$F$7,IF(B320&lt;=Hypothèses!$C$8,Hypothèses!$F$8,IF(B320&lt;=Hypothèses!$C$9,Hypothèses!$F$9,IF(B320&lt;=Hypothèses!$C$10,Hypothèses!$F$10,IF(B320&lt;=Hypothèses!$C$11,Hypothèses!$F$11,IF(B320&lt;=Hypothèses!$C$12,Hypothèses!$F$12,IF(B320&lt;=Hypothèses!$C$13,Hypothèses!$F$13,IF(B320&lt;=Hypothèses!$C$14,Hypothèses!$F$14,IF(B320&lt;=Hypothèses!$C$15,Hypothèses!$F$15,IF(B320&lt;=Hypothèses!$C$16,Hypothèses!$F$16,IF(B320&lt;=Hypothèses!$C$17,Hypothèses!$F$17,IF(B320&lt;=Hypothèses!$C$18,Hypothèses!$F$18,F319))))))))))))</f>
        <v/>
      </c>
      <c r="G320" s="91">
        <f t="array" ref="G320">INDEX('Coeff EC7'!$U$7:$X$27,
MATCH(Model0.1C!$B$3,'Coeff EC7'!$T$7:$T$27,0),
MATCH(Model0.1C!$D320&amp;Model0.1C!$B$4,
'Coeff EC7'!$U$6:$X$6&amp;
'Coeff EC7'!$U$5:$X$5,0))</f>
        <v>1.1499999999999999</v>
      </c>
      <c r="H320" s="91">
        <f t="array" ref="H320">INDEX('Coeff EC7'!$Y$7:$AB$27,
MATCH(Model0.1C!$B$3,'Coeff EC7'!$T$7:$T$27,0),
MATCH(Model0.1C!$D320&amp;Model0.1C!$B$4,
'Coeff EC7'!$Y$6:$AB$6&amp;
'Coeff EC7'!$Y$5:$AB$5,0))</f>
        <v>1.4</v>
      </c>
      <c r="I320" s="83" t="e">
        <f>IF(B320&lt;=Hypothèses!$C$7,Hypothèses!$P$7,IF(B320&lt;=Hypothèses!$C$8,Hypothèses!$P$8,IF(B320&lt;=Hypothèses!$C$9,Hypothèses!$P$9,IF(B320&lt;=Hypothèses!$C$10,Hypothèses!$P$10,IF(B320&lt;=Hypothèses!$C$11,Hypothèses!$P$11,IF(B320&lt;=Hypothèses!$C$12,Hypothèses!$P$12,IF(B320&lt;=Hypothèses!$C$13,Hypothèses!$P$13,IF(B320&lt;=Hypothèses!$C$14,Hypothèses!$P$14,IF(B320&lt;=Hypothèses!$C$15,Hypothèses!$P$15,IF(B320&lt;=Hypothèses!$C$16,Hypothèses!$P$16,IF(B320&lt;=Hypothèses!$C$17,Hypothèses!$P$17,IF(B320&lt;=Hypothèses!$C$18,Hypothèses!$P$18,I319))))))))))))</f>
        <v>#N/A</v>
      </c>
      <c r="J320" s="91" t="e">
        <f t="array" ref="J320">INDEX('Coeff EC7'!$D$33:$Q$33,1,MATCH(D320&amp;E320,'Coeff EC7'!$D$31:$Q$31&amp;'Coeff EC7'!$D$32:$Q$32,0))</f>
        <v>#N/A</v>
      </c>
      <c r="K320" s="91" t="e">
        <f t="array" ref="K320">INDEX('Coeff EC7'!$D$34:$Q$34,1,MATCH(D320&amp;E320,'Coeff EC7'!$D$31:$Q$31&amp;'Coeff EC7'!$D$32:$Q$32,0))</f>
        <v>#N/A</v>
      </c>
      <c r="L320" s="91" t="e">
        <f t="array" ref="L320">INDEX('Coeff EC7'!$D$35:$Q$35,1,MATCH(D320&amp;E320,'Coeff EC7'!$D$31:$Q$31&amp;'Coeff EC7'!$D$32:$Q$32,0))</f>
        <v>#N/A</v>
      </c>
      <c r="M320" s="98" t="e">
        <f t="shared" si="431"/>
        <v>#N/A</v>
      </c>
      <c r="N320" s="99" t="e">
        <f t="array" ref="N320">INDEX('Coeff EC7'!$D$7:$Q$27,MATCH($B$3,'Coeff EC7'!$C$7:$C$27,0),MATCH(D320&amp;E320,'Coeff EC7'!$D$5:$Q$5&amp;'Coeff EC7'!$D$6:$Q$6,0))</f>
        <v>#N/A</v>
      </c>
      <c r="O320" s="99" t="e">
        <f t="array" ref="O320">INDEX('Coeff EC7'!$D$41:$Q$61,MATCH($B$3,'Coeff EC7'!$C$41:$C$61,0),MATCH(D320&amp;E320,'Coeff EC7'!$D$39:$Q$39&amp;'Coeff EC7'!$D$40:$Q$40,0))</f>
        <v>#N/A</v>
      </c>
      <c r="P320" s="30" t="e">
        <f t="shared" si="468"/>
        <v>#N/A</v>
      </c>
      <c r="Q320" s="100" t="e">
        <f t="shared" si="433"/>
        <v>#N/A</v>
      </c>
      <c r="R320" s="86" t="b">
        <f t="shared" si="434"/>
        <v>0</v>
      </c>
      <c r="S320" s="86">
        <f t="shared" si="432"/>
        <v>0.5</v>
      </c>
      <c r="T320" s="86">
        <f t="shared" si="435"/>
        <v>0.5</v>
      </c>
      <c r="U320" s="30" t="e">
        <f t="shared" ca="1" si="469"/>
        <v>#DIV/0!</v>
      </c>
      <c r="V320" s="85" t="str">
        <f>IF(B320&lt;=Hypothèses!$V$7,Hypothèses!$W$7,IF(B320&lt;=Hypothèses!$V$8,Hypothèses!$W$8,IF(B320&lt;=Hypothèses!$V$9,Hypothèses!$W$9,IF(B320&lt;=Hypothèses!$V$10,Hypothèses!$W$10,IF(B320&lt;=Hypothèses!$V$11,Hypothèses!$W$11,IF(B320&lt;=Hypothèses!$V$12,Hypothèses!$W$12,IF(B320&lt;=Hypothèses!$V$13,Hypothèses!$W$13,IF(B320&lt;=Hypothèses!$V$14,Hypothèses!$W$14,IF(B320&lt;=Hypothèses!$V$15,Hypothèses!$W$15,IF(B320&lt;=Hypothèses!$V$16,Hypothèses!$W$16,IF(B320&lt;=Hypothèses!$V$17,Hypothèses!$W$17,IF(B320&lt;=Hypothèses!$V$18,Hypothèses!$W$18,""))))))))))))</f>
        <v/>
      </c>
      <c r="W320" s="87" t="e">
        <f t="shared" ca="1" si="516"/>
        <v>#DIV/0!</v>
      </c>
      <c r="X320" s="88" t="str">
        <f>IF(B320&lt;=Hypothèses!$V$7,Hypothèses!$X$7,IF(B320&lt;=Hypothèses!$V$8,Hypothèses!$X$8,IF(B320&lt;=Hypothèses!$V$9,Hypothèses!$X$9,IF(B320&lt;=Hypothèses!$V$10,Hypothèses!$X$10,IF(B320&lt;=Hypothèses!$V$11,Hypothèses!$X$11,IF(B320&lt;=Hypothèses!$V$12,Hypothèses!$X$12,IF(B320&lt;=Hypothèses!$V$13,Hypothèses!$X$13,IF(B320&lt;=Hypothèses!$V$14,Hypothèses!$X$14,IF(B320&lt;=Hypothèses!$V$15,Hypothèses!$X$15,IF(B320&lt;=Hypothèses!$V$16,Hypothèses!$X$16,IF(B320&lt;=Hypothèses!$U$17,Hypothèses!$W$17,IF(B320&lt;=Hypothèses!$U$18,Hypothèses!$W$18,""))))))))))))</f>
        <v/>
      </c>
      <c r="Y320" s="95" t="e">
        <f t="shared" ca="1" si="436"/>
        <v>#DIV/0!</v>
      </c>
      <c r="Z320" s="101" t="e">
        <f t="shared" si="437"/>
        <v>#N/A</v>
      </c>
      <c r="AA320" s="91" t="e">
        <f t="shared" si="438"/>
        <v>#N/A</v>
      </c>
      <c r="AB320" s="30" t="e">
        <f t="shared" si="500"/>
        <v>#N/A</v>
      </c>
      <c r="AC320" s="30" t="e">
        <f t="shared" si="501"/>
        <v>#N/A</v>
      </c>
      <c r="AD320" s="31" t="e">
        <f>IF(OR(Hypothèses!$B$4=17,Hypothèses!$B$4=18,Hypothèses!$B$4=19,Hypothèses!$B$4=20),
IF($D320="Pressio.",
IF(OR($E320=3,$E320=1,$E320=4),AC320,AB320),
IF($D320="Pénétro.",
IF(OR($E320=3,$E320=1,$E320=4),AC320,AB320))),IF($D320="Pressio.",
IF($E320=3,AC320,AB320),
IF($D320="Pénétro.",
IF($E320=4,AC320,AB320))))</f>
        <v>#N/A</v>
      </c>
      <c r="AE320" s="31" t="e">
        <f>(IF(OR(Hypothèses!$B$4=17,Hypothèses!$B$4=18,Hypothèses!$B$4=19,Hypothèses!$B$4=20),
IF($D320="Pressio.",
IF(OR($E320=3,$E320=1,$E320=4),(PI()*AE$12^2)/4*(AA320*$W320*1000)/($H320*$B$5),(PI()*AE$12^2)/4*(AA320*$W320*1000)/($G320*$B$5)),
IF($D320="Pénétro.",
IF(OR($E320=4,$E320=1,$E320=5),(PI()*AE$12^2)/4*(AA320*$W320*1000)/($H320*$B$5),(PI()*AE$12^2)/4*(AA320*$W320*1000)/($G320*$B$5)))),
IF($D320="Pressio.",
IF($E320=3,(PI()*AE$12^2)/4*(AA320*$W320*1000)/($H320*$B$5),(PI()*AE$12^2)/4*(AA320*$W320*1000)/($G320*$B$5)),
IF($D320="Pénétro.",
IF($E320=4,(PI()*AE$12^2)/4*(AA320*$W320*1000)/($H320*$B$5),(PI()*AE$12^2)/4*(AA320*$W320*1000)/($G320*$B$5))))))/10</f>
        <v>#N/A</v>
      </c>
      <c r="AF320" s="102" t="e">
        <f>(VLOOKUP($B$3,'Coeff EC7'!$T$39:$X$59,2,0)*AD320+VLOOKUP($B$3,'Coeff EC7'!$T$65:$X$85,2,0)*Model0.1C!AE320)/1.1</f>
        <v>#N/A</v>
      </c>
      <c r="AG320" s="102" t="e">
        <f>(VLOOKUP($B$3,'Coeff EC7'!$T$39:$X$59,3,0)*AD320+VLOOKUP($B$3,'Coeff EC7'!$T$65:$X$85,3,0)*Model0.1C!AE320)/0.9</f>
        <v>#N/A</v>
      </c>
      <c r="AH320" s="102" t="e">
        <f t="shared" si="439"/>
        <v>#N/A</v>
      </c>
      <c r="AI320" s="102" t="e">
        <f t="shared" si="440"/>
        <v>#N/A</v>
      </c>
      <c r="AJ320" s="414" t="e">
        <f>IF(AJ319=0,0,IF(AND(AF320&gt;charge_ELS_quasi,AG320&gt;Charge_ELS_freq,AH320&gt;charge_ELU,AI320&gt;charge_ELA,$B320&gt;NDC!$H$22-0.1+MIN(3*$AJ$12,1.5)),0,1))</f>
        <v>#N/A</v>
      </c>
      <c r="AK320" s="86" t="b">
        <f t="shared" si="441"/>
        <v>0</v>
      </c>
      <c r="AL320" s="86">
        <f t="shared" si="470"/>
        <v>0.5</v>
      </c>
      <c r="AM320" s="86">
        <f t="shared" si="442"/>
        <v>0.5</v>
      </c>
      <c r="AN320" s="30" t="e">
        <f t="shared" ca="1" si="471"/>
        <v>#DIV/0!</v>
      </c>
      <c r="AO320" s="85" t="e">
        <f ca="1">IF(U320&lt;=Hypothèses!$V$7,Hypothèses!$W$7,IF(U320&lt;=Hypothèses!$V$8,Hypothèses!$W$8,IF(U320&lt;=Hypothèses!$V$9,Hypothèses!$W$9,IF(U320&lt;=Hypothèses!$V$10,Hypothèses!$W$10,IF(U320&lt;=Hypothèses!$V$11,Hypothèses!$W$11,IF(U320&lt;=Hypothèses!$V$12,Hypothèses!$W$12,IF(U320&lt;=Hypothèses!$V$13,Hypothèses!$W$13,IF(U320&lt;=Hypothèses!$V$14,Hypothèses!$W$14,IF(U320&lt;=Hypothèses!$V$15,Hypothèses!$W$15,IF(U320&lt;=Hypothèses!$V$16,Hypothèses!$W$16,IF(U320&lt;=Hypothèses!$V$17,Hypothèses!$W$17,IF(U320&lt;=Hypothèses!$V$18,Hypothèses!$W$18,""))))))))))))</f>
        <v>#DIV/0!</v>
      </c>
      <c r="AP320" s="87" t="e">
        <f t="shared" ca="1" si="517"/>
        <v>#DIV/0!</v>
      </c>
      <c r="AQ320" s="88" t="e">
        <f ca="1">IF(U320&lt;=Hypothèses!$V$7,Hypothèses!$X$7,IF(U320&lt;=Hypothèses!$V$8,Hypothèses!$X$8,IF(U320&lt;=Hypothèses!$V$9,Hypothèses!$X$9,IF(U320&lt;=Hypothèses!$V$10,Hypothèses!$X$10,IF(U320&lt;=Hypothèses!$V$11,Hypothèses!$X$11,IF(U320&lt;=Hypothèses!$V$12,Hypothèses!$X$12,IF(U320&lt;=Hypothèses!$V$13,Hypothèses!$X$13,IF(U320&lt;=Hypothèses!$V$14,Hypothèses!$X$14,IF(U320&lt;=Hypothèses!$V$15,Hypothèses!$X$15,IF(U320&lt;=Hypothèses!$V$16,Hypothèses!$X$16,IF(U320&lt;=Hypothèses!$U$17,Hypothèses!$W$17,IF(U320&lt;=Hypothèses!$U$18,Hypothèses!$W$18,""))))))))))))</f>
        <v>#DIV/0!</v>
      </c>
      <c r="AR320" s="95" t="e">
        <f t="shared" ca="1" si="472"/>
        <v>#DIV/0!</v>
      </c>
      <c r="AS320" s="101" t="e">
        <f t="shared" si="524"/>
        <v>#N/A</v>
      </c>
      <c r="AT320" s="91" t="e">
        <f t="shared" si="443"/>
        <v>#N/A</v>
      </c>
      <c r="AU320" s="30" t="e">
        <f t="shared" si="502"/>
        <v>#N/A</v>
      </c>
      <c r="AV320" s="30" t="e">
        <f t="shared" si="503"/>
        <v>#N/A</v>
      </c>
      <c r="AW320" s="31" t="e">
        <f>IF(OR(Hypothèses!$B$4=17,Hypothèses!$B$4=18,Hypothèses!$B$4=19,Hypothèses!$B$4=20),
IF($D320="Pressio.",
IF(OR($E320=3,$E320=1,$E320=4),AV320,AU320),
IF($D320="Pénétro.",
IF(OR($E320=3,$E320=1,$E320=4),AV320,AU320))),IF($D320="Pressio.",
IF($E320=3,AV320,AU320),
IF($D320="Pénétro.",
IF($E320=4,AV320,AU320))))</f>
        <v>#N/A</v>
      </c>
      <c r="AX320" s="31" t="e">
        <f>(IF(OR(Hypothèses!$B$4=17,Hypothèses!$B$4=18,Hypothèses!$B$4=19,Hypothèses!$B$4=20),
IF($D320="Pressio.",
IF(OR($E320=3,$E320=1,$E320=4),(PI()*AX$12^2)/4*(AT320*$W320*1000)/($H320*$B$5),(PI()*AX$12^2)/4*(AT320*$W320*1000)/($G320*$B$5)),
IF($D320="Pénétro.",
IF(OR($E320=4,$E320=1,$E320=5),(PI()*AX$12^2)/4*(AT320*$W320*1000)/($H320*$B$5),(PI()*AX$12^2)/4*(AT320*$W320*1000)/($G320*$B$5)))),
IF($D320="Pressio.",
IF($E320=3,(PI()*AX$12^2)/4*(AT320*$W320*1000)/($H320*$B$5),(PI()*AX$12^2)/4*(AT320*$W320*1000)/($G320*$B$5)),
IF($D320="Pénétro.",
IF($E320=4,(PI()*AX$12^2)/4*(AT320*$W320*1000)/($H320*$B$5),(PI()*AX$12^2)/4*(AT320*$W320*1000)/($G320*$B$5))))))/10</f>
        <v>#N/A</v>
      </c>
      <c r="AY320" s="102" t="e">
        <f>(VLOOKUP($B$3,'Coeff EC7'!$T$39:$X$59,2,0)*AW320+VLOOKUP($B$3,'Coeff EC7'!$T$65:$X$85,2,0)*Model0.1C!AX320)/1.1</f>
        <v>#N/A</v>
      </c>
      <c r="AZ320" s="102" t="e">
        <f>(VLOOKUP($B$3,'Coeff EC7'!$T$39:$X$59,3,0)*AW320+VLOOKUP($B$3,'Coeff EC7'!$T$65:$X$85,3,0)*Model0.1C!AX320)/0.9</f>
        <v>#N/A</v>
      </c>
      <c r="BA320" s="102" t="e">
        <f t="shared" si="473"/>
        <v>#N/A</v>
      </c>
      <c r="BB320" s="102" t="e">
        <f t="shared" si="474"/>
        <v>#N/A</v>
      </c>
      <c r="BC320" s="414" t="e">
        <f>IF(BC319=0,0,IF(AND(AY320&gt;charge_ELS_quasi,AZ320&gt;Charge_ELS_freq,BA320&gt;charge_ELU,BB320&gt;charge_ELA,$B320&gt;NDC!$H$22-0.1+MIN(3*$BC$12,1.5)),0,1))</f>
        <v>#N/A</v>
      </c>
      <c r="BD320" s="86" t="b">
        <f t="shared" si="444"/>
        <v>0</v>
      </c>
      <c r="BE320" s="86">
        <f t="shared" si="475"/>
        <v>0.5</v>
      </c>
      <c r="BF320" s="86">
        <f t="shared" si="445"/>
        <v>0.5</v>
      </c>
      <c r="BG320" s="30" t="e">
        <f t="shared" ca="1" si="476"/>
        <v>#DIV/0!</v>
      </c>
      <c r="BH320" s="85" t="e">
        <f ca="1">IF(AN320&lt;=Hypothèses!$V$7,Hypothèses!$W$7,IF(AN320&lt;=Hypothèses!$V$8,Hypothèses!$W$8,IF(AN320&lt;=Hypothèses!$V$9,Hypothèses!$W$9,IF(AN320&lt;=Hypothèses!$V$10,Hypothèses!$W$10,IF(AN320&lt;=Hypothèses!$V$11,Hypothèses!$W$11,IF(AN320&lt;=Hypothèses!$V$12,Hypothèses!$W$12,IF(AN320&lt;=Hypothèses!$V$13,Hypothèses!$W$13,IF(AN320&lt;=Hypothèses!$V$14,Hypothèses!$W$14,IF(AN320&lt;=Hypothèses!$V$15,Hypothèses!$W$15,IF(AN320&lt;=Hypothèses!$V$16,Hypothèses!$W$16,IF(AN320&lt;=Hypothèses!$V$17,Hypothèses!$W$17,IF(AN320&lt;=Hypothèses!$V$18,Hypothèses!$W$18,""))))))))))))</f>
        <v>#DIV/0!</v>
      </c>
      <c r="BI320" s="87" t="e">
        <f t="shared" ca="1" si="518"/>
        <v>#DIV/0!</v>
      </c>
      <c r="BJ320" s="88" t="e">
        <f ca="1">IF(AN320&lt;=Hypothèses!$V$7,Hypothèses!$X$7,IF(AN320&lt;=Hypothèses!$V$8,Hypothèses!$X$8,IF(AN320&lt;=Hypothèses!$V$9,Hypothèses!$X$9,IF(AN320&lt;=Hypothèses!$V$10,Hypothèses!$X$10,IF(AN320&lt;=Hypothèses!$V$11,Hypothèses!$X$11,IF(AN320&lt;=Hypothèses!$V$12,Hypothèses!$X$12,IF(AN320&lt;=Hypothèses!$V$13,Hypothèses!$X$13,IF(AN320&lt;=Hypothèses!$V$14,Hypothèses!$X$14,IF(AN320&lt;=Hypothèses!$V$15,Hypothèses!$X$15,IF(AN320&lt;=Hypothèses!$V$16,Hypothèses!$X$16,IF(AN320&lt;=Hypothèses!$U$17,Hypothèses!$W$17,IF(AN320&lt;=Hypothèses!$U$18,Hypothèses!$W$18,""))))))))))))</f>
        <v>#DIV/0!</v>
      </c>
      <c r="BK320" s="95" t="e">
        <f t="shared" ca="1" si="477"/>
        <v>#DIV/0!</v>
      </c>
      <c r="BL320" s="101" t="e">
        <f t="shared" si="525"/>
        <v>#N/A</v>
      </c>
      <c r="BM320" s="91" t="e">
        <f t="shared" si="446"/>
        <v>#N/A</v>
      </c>
      <c r="BN320" s="30" t="e">
        <f t="shared" si="504"/>
        <v>#N/A</v>
      </c>
      <c r="BO320" s="30" t="e">
        <f t="shared" si="505"/>
        <v>#N/A</v>
      </c>
      <c r="BP320" s="31" t="e">
        <f>IF(OR(Hypothèses!$B$4=17,Hypothèses!$B$4=18,Hypothèses!$B$4=19,Hypothèses!$B$4=20),
IF($D320="Pressio.",
IF(OR($E320=3,$E320=1,$E320=4),BO320,BN320),
IF($D320="Pénétro.",
IF(OR($E320=3,$E320=1,$E320=4),BO320,BN320))),IF($D320="Pressio.",
IF($E320=3,BO320,BN320),
IF($D320="Pénétro.",
IF($E320=4,BO320,BN320))))</f>
        <v>#N/A</v>
      </c>
      <c r="BQ320" s="31" t="e">
        <f>(IF(OR(Hypothèses!$B$4=17,Hypothèses!$B$4=18,Hypothèses!$B$4=19,Hypothèses!$B$4=20),
IF($D320="Pressio.",
IF(OR($E320=3,$E320=1,$E320=4),(PI()*BQ$12^2)/4*(BM320*$W320*1000)/($H320*$B$5),(PI()*BQ$12^2)/4*(BM320*$W320*1000)/($G320*$B$5)),
IF($D320="Pénétro.",
IF(OR($E320=4,$E320=1,$E320=5),(PI()*BQ$12^2)/4*(BM320*$W320*1000)/($H320*$B$5),(PI()*BQ$12^2)/4*(BM320*$W320*1000)/($G320*$B$5)))),
IF($D320="Pressio.",
IF($E320=3,(PI()*BQ$12^2)/4*(BM320*$W320*1000)/($H320*$B$5),(PI()*BQ$12^2)/4*(BM320*$W320*1000)/($G320*$B$5)),
IF($D320="Pénétro.",
IF($E320=4,(PI()*BQ$12^2)/4*(BM320*$W320*1000)/($H320*$B$5),(PI()*BQ$12^2)/4*(BM320*$W320*1000)/($G320*$B$5))))))/10</f>
        <v>#N/A</v>
      </c>
      <c r="BR320" s="102" t="e">
        <f>(VLOOKUP($B$3,'Coeff EC7'!$T$39:$X$59,2,0)*BP320+VLOOKUP($B$3,'Coeff EC7'!$T$65:$X$85,2,0)*Model0.1C!BQ320)/1.1</f>
        <v>#N/A</v>
      </c>
      <c r="BS320" s="102" t="e">
        <f>(VLOOKUP($B$3,'Coeff EC7'!$T$39:$X$59,3,0)*BP320+VLOOKUP($B$3,'Coeff EC7'!$T$65:$X$85,3,0)*Model0.1C!BQ320)/0.9</f>
        <v>#N/A</v>
      </c>
      <c r="BT320" s="102" t="e">
        <f t="shared" si="478"/>
        <v>#N/A</v>
      </c>
      <c r="BU320" s="102" t="e">
        <f t="shared" si="479"/>
        <v>#N/A</v>
      </c>
      <c r="BV320" s="414" t="e">
        <f>IF(BV319=0,0,IF(AND(BR320&gt;charge_ELS_quasi,BS320&gt;Charge_ELS_freq,BT320&gt;charge_ELU,BU320&gt;charge_ELA,$B320&gt;NDC!$H$22-0.1+MIN(3*$BV$12,1.5)),0,1))</f>
        <v>#N/A</v>
      </c>
      <c r="BW320" s="86" t="b">
        <f t="shared" si="447"/>
        <v>0</v>
      </c>
      <c r="BX320" s="86">
        <f t="shared" si="448"/>
        <v>0.5</v>
      </c>
      <c r="BY320" s="86">
        <f t="shared" si="449"/>
        <v>0.5</v>
      </c>
      <c r="BZ320" s="30" t="e">
        <f t="shared" ca="1" si="480"/>
        <v>#DIV/0!</v>
      </c>
      <c r="CA320" s="85" t="e">
        <f ca="1">IF(BG320&lt;=Hypothèses!$V$7,Hypothèses!$W$7,IF(BG320&lt;=Hypothèses!$V$8,Hypothèses!$W$8,IF(BG320&lt;=Hypothèses!$V$9,Hypothèses!$W$9,IF(BG320&lt;=Hypothèses!$V$10,Hypothèses!$W$10,IF(BG320&lt;=Hypothèses!$V$11,Hypothèses!$W$11,IF(BG320&lt;=Hypothèses!$V$12,Hypothèses!$W$12,IF(BG320&lt;=Hypothèses!$V$13,Hypothèses!$W$13,IF(BG320&lt;=Hypothèses!$V$14,Hypothèses!$W$14,IF(BG320&lt;=Hypothèses!$V$15,Hypothèses!$W$15,IF(BG320&lt;=Hypothèses!$V$16,Hypothèses!$W$16,IF(BG320&lt;=Hypothèses!$V$17,Hypothèses!$W$17,IF(BG320&lt;=Hypothèses!$V$18,Hypothèses!$W$18,""))))))))))))</f>
        <v>#DIV/0!</v>
      </c>
      <c r="CB320" s="87" t="e">
        <f t="shared" ca="1" si="519"/>
        <v>#DIV/0!</v>
      </c>
      <c r="CC320" s="88" t="e">
        <f ca="1">IF(BG320&lt;=Hypothèses!$V$7,Hypothèses!$X$7,IF(BG320&lt;=Hypothèses!$V$8,Hypothèses!$X$8,IF(BG320&lt;=Hypothèses!$V$9,Hypothèses!$X$9,IF(BG320&lt;=Hypothèses!$V$10,Hypothèses!$X$10,IF(BG320&lt;=Hypothèses!$V$11,Hypothèses!$X$11,IF(BG320&lt;=Hypothèses!$V$12,Hypothèses!$X$12,IF(BG320&lt;=Hypothèses!$V$13,Hypothèses!$X$13,IF(BG320&lt;=Hypothèses!$V$14,Hypothèses!$X$14,IF(BG320&lt;=Hypothèses!$V$15,Hypothèses!$X$15,IF(BG320&lt;=Hypothèses!$V$16,Hypothèses!$X$16,IF(BG320&lt;=Hypothèses!$U$17,Hypothèses!$W$17,IF(BG320&lt;=Hypothèses!$U$18,Hypothèses!$W$18,""))))))))))))</f>
        <v>#DIV/0!</v>
      </c>
      <c r="CD320" s="95" t="e">
        <f t="shared" ca="1" si="481"/>
        <v>#DIV/0!</v>
      </c>
      <c r="CE320" s="101" t="e">
        <f t="shared" si="526"/>
        <v>#N/A</v>
      </c>
      <c r="CF320" s="91" t="e">
        <f t="shared" si="450"/>
        <v>#N/A</v>
      </c>
      <c r="CG320" s="30" t="e">
        <f t="shared" si="506"/>
        <v>#N/A</v>
      </c>
      <c r="CH320" s="30" t="e">
        <f t="shared" si="507"/>
        <v>#N/A</v>
      </c>
      <c r="CI320" s="31" t="e">
        <f>IF(OR(Hypothèses!$B$4=17,Hypothèses!$B$4=18,Hypothèses!$B$4=19,Hypothèses!$B$4=20),
IF($D320="Pressio.",
IF(OR($E320=3,$E320=1,$E320=4),CH320,CG320),
IF($D320="Pénétro.",
IF(OR($E320=3,$E320=1,$E320=4),CH320,CG320))),IF($D320="Pressio.",
IF($E320=3,CH320,CG320),
IF($D320="Pénétro.",
IF($E320=4,CH320,CG320))))</f>
        <v>#N/A</v>
      </c>
      <c r="CJ320" s="31" t="e">
        <f>(IF(OR(Hypothèses!$B$4=17,Hypothèses!$B$4=18,Hypothèses!$B$4=19,Hypothèses!$B$4=20),
IF($D320="Pressio.",
IF(OR($E320=3,$E320=1,$E320=4),(PI()*CJ$12^2)/4*(CF320*$W320*1000)/($H320*$B$5),(PI()*CJ$12^2)/4*(CF320*$W320*1000)/($G320*$B$5)),
IF($D320="Pénétro.",
IF(OR($E320=4,$E320=1,$E320=5),(PI()*CJ$12^2)/4*(CF320*$W320*1000)/($H320*$B$5),(PI()*CJ$12^2)/4*(CF320*$W320*1000)/($G320*$B$5)))),
IF($D320="Pressio.",
IF($E320=3,(PI()*CJ$12^2)/4*(CF320*$W320*1000)/($H320*$B$5),(PI()*CJ$12^2)/4*(CF320*$W320*1000)/($G320*$B$5)),
IF($D320="Pénétro.",
IF($E320=4,(PI()*CJ$12^2)/4*(CF320*$W320*1000)/($H320*$B$5),(PI()*CJ$12^2)/4*(CF320*$W320*1000)/($G320*$B$5))))))/10</f>
        <v>#N/A</v>
      </c>
      <c r="CK320" s="102" t="e">
        <f>(VLOOKUP($B$3,'Coeff EC7'!$T$39:$X$59,2,0)*CI320+VLOOKUP($B$3,'Coeff EC7'!$T$65:$X$85,2,0)*Model0.1C!CJ320)/1.1</f>
        <v>#N/A</v>
      </c>
      <c r="CL320" s="102" t="e">
        <f>(VLOOKUP($B$3,'Coeff EC7'!$T$39:$X$59,3,0)*CI320+VLOOKUP($B$3,'Coeff EC7'!$T$65:$X$85,3,0)*Model0.1C!CJ320)/0.9</f>
        <v>#N/A</v>
      </c>
      <c r="CM320" s="102" t="e">
        <f t="shared" si="482"/>
        <v>#N/A</v>
      </c>
      <c r="CN320" s="102" t="e">
        <f t="shared" si="483"/>
        <v>#N/A</v>
      </c>
      <c r="CO320" s="414" t="e">
        <f>IF(CO319=0,0,IF(AND(CK320&gt;charge_ELS_quasi,CL320&gt;Charge_ELS_freq,CM320&gt;charge_ELU,CN320&gt;charge_ELA,$B320&gt;NDC!$H$22-0.1+MIN(3*$CO$12,1.5)),0,1))</f>
        <v>#N/A</v>
      </c>
      <c r="CP320" s="86" t="b">
        <f t="shared" si="451"/>
        <v>0</v>
      </c>
      <c r="CQ320" s="86">
        <f t="shared" si="452"/>
        <v>0.5</v>
      </c>
      <c r="CR320" s="86">
        <f t="shared" si="453"/>
        <v>0.5</v>
      </c>
      <c r="CS320" s="30" t="e">
        <f t="shared" ca="1" si="484"/>
        <v>#DIV/0!</v>
      </c>
      <c r="CT320" s="85" t="e">
        <f ca="1">IF(BZ320&lt;=Hypothèses!$V$7,Hypothèses!$W$7,IF(BZ320&lt;=Hypothèses!$V$8,Hypothèses!$W$8,IF(BZ320&lt;=Hypothèses!$V$9,Hypothèses!$W$9,IF(BZ320&lt;=Hypothèses!$V$10,Hypothèses!$W$10,IF(BZ320&lt;=Hypothèses!$V$11,Hypothèses!$W$11,IF(BZ320&lt;=Hypothèses!$V$12,Hypothèses!$W$12,IF(BZ320&lt;=Hypothèses!$V$13,Hypothèses!$W$13,IF(BZ320&lt;=Hypothèses!$V$14,Hypothèses!$W$14,IF(BZ320&lt;=Hypothèses!$V$15,Hypothèses!$W$15,IF(BZ320&lt;=Hypothèses!$V$16,Hypothèses!$W$16,IF(BZ320&lt;=Hypothèses!$V$17,Hypothèses!$W$17,IF(BZ320&lt;=Hypothèses!$V$18,Hypothèses!$W$18,""))))))))))))</f>
        <v>#DIV/0!</v>
      </c>
      <c r="CU320" s="87" t="e">
        <f t="shared" ca="1" si="520"/>
        <v>#DIV/0!</v>
      </c>
      <c r="CV320" s="88" t="e">
        <f ca="1">IF(BZ320&lt;=Hypothèses!$V$7,Hypothèses!$X$7,IF(BZ320&lt;=Hypothèses!$V$8,Hypothèses!$X$8,IF(BZ320&lt;=Hypothèses!$V$9,Hypothèses!$X$9,IF(BZ320&lt;=Hypothèses!$V$10,Hypothèses!$X$10,IF(BZ320&lt;=Hypothèses!$V$11,Hypothèses!$X$11,IF(BZ320&lt;=Hypothèses!$V$12,Hypothèses!$X$12,IF(BZ320&lt;=Hypothèses!$V$13,Hypothèses!$X$13,IF(BZ320&lt;=Hypothèses!$V$14,Hypothèses!$X$14,IF(BZ320&lt;=Hypothèses!$V$15,Hypothèses!$X$15,IF(BZ320&lt;=Hypothèses!$V$16,Hypothèses!$X$16,IF(BZ320&lt;=Hypothèses!$U$17,Hypothèses!$W$17,IF(BZ320&lt;=Hypothèses!$U$18,Hypothèses!$W$18,""))))))))))))</f>
        <v>#DIV/0!</v>
      </c>
      <c r="CW320" s="95" t="e">
        <f t="shared" ca="1" si="485"/>
        <v>#DIV/0!</v>
      </c>
      <c r="CX320" s="101" t="e">
        <f t="shared" si="527"/>
        <v>#N/A</v>
      </c>
      <c r="CY320" s="91" t="e">
        <f t="shared" si="454"/>
        <v>#N/A</v>
      </c>
      <c r="CZ320" s="30" t="e">
        <f t="shared" si="508"/>
        <v>#N/A</v>
      </c>
      <c r="DA320" s="30" t="e">
        <f t="shared" si="509"/>
        <v>#N/A</v>
      </c>
      <c r="DB320" s="31" t="e">
        <f>IF(OR(Hypothèses!$B$4=17,Hypothèses!$B$4=18,Hypothèses!$B$4=19,Hypothèses!$B$4=20),
IF($D320="Pressio.",
IF(OR($E320=3,$E320=1,$E320=4),DA320,CZ320),
IF($D320="Pénétro.",
IF(OR($E320=3,$E320=1,$E320=4),DA320,CZ320))),IF($D320="Pressio.",
IF($E320=3,DA320,CZ320),
IF($D320="Pénétro.",
IF($E320=4,DA320,CZ320))))</f>
        <v>#N/A</v>
      </c>
      <c r="DC320" s="31" t="e">
        <f>(IF(OR(Hypothèses!$B$4=17,Hypothèses!$B$4=18,Hypothèses!$B$4=19,Hypothèses!$B$4=20),
IF($D320="Pressio.",
IF(OR($E320=3,$E320=1,$E320=4),(PI()*DC$12^2)/4*(CY320*$W320*1000)/($H320*$B$5),(PI()*DC$12^2)/4*(CY320*$W320*1000)/($G320*$B$5)),
IF($D320="Pénétro.",
IF(OR($E320=4,$E320=1,$E320=5),(PI()*DC$12^2)/4*(CY320*$W320*1000)/($H320*$B$5),(PI()*DC$12^2)/4*(CY320*$W320*1000)/($G320*$B$5)))),
IF($D320="Pressio.",
IF($E320=3,(PI()*DC$12^2)/4*(CY320*$W320*1000)/($H320*$B$5),(PI()*DC$12^2)/4*(CY320*$W320*1000)/($G320*$B$5)),
IF($D320="Pénétro.",
IF($E320=4,(PI()*DC$12^2)/4*(CY320*$W320*1000)/($H320*$B$5),(PI()*DC$12^2)/4*(CY320*$W320*1000)/($G320*$B$5))))))/10</f>
        <v>#N/A</v>
      </c>
      <c r="DD320" s="102" t="e">
        <f>(VLOOKUP($B$3,'Coeff EC7'!$T$39:$X$59,2,0)*DB320+VLOOKUP($B$3,'Coeff EC7'!$T$65:$X$85,2,0)*Model0.1C!DC320)/1.1</f>
        <v>#N/A</v>
      </c>
      <c r="DE320" s="102" t="e">
        <f>(VLOOKUP($B$3,'Coeff EC7'!$T$39:$X$59,3,0)*DB320+VLOOKUP($B$3,'Coeff EC7'!$T$65:$X$85,3,0)*Model0.1C!DC320)/0.9</f>
        <v>#N/A</v>
      </c>
      <c r="DF320" s="102" t="e">
        <f t="shared" si="486"/>
        <v>#N/A</v>
      </c>
      <c r="DG320" s="102" t="e">
        <f t="shared" si="487"/>
        <v>#N/A</v>
      </c>
      <c r="DH320" s="414" t="e">
        <f>IF(DH319=0,0,IF(AND(DD320&gt;charge_ELS_quasi,DE320&gt;Charge_ELS_freq,DF320&gt;charge_ELU,DG320&gt;charge_ELA,$B320&gt;NDC!$H$22-0.1+MIN(3*$DH$12,1.5)),0,1))</f>
        <v>#N/A</v>
      </c>
      <c r="DI320" s="86" t="b">
        <f t="shared" si="455"/>
        <v>0</v>
      </c>
      <c r="DJ320" s="86">
        <f t="shared" si="456"/>
        <v>0.5</v>
      </c>
      <c r="DK320" s="86">
        <f t="shared" si="457"/>
        <v>0.5</v>
      </c>
      <c r="DL320" s="30" t="e">
        <f t="shared" ca="1" si="488"/>
        <v>#DIV/0!</v>
      </c>
      <c r="DM320" s="85" t="e">
        <f ca="1">IF(CS320&lt;=Hypothèses!$V$7,Hypothèses!$W$7,IF(CS320&lt;=Hypothèses!$V$8,Hypothèses!$W$8,IF(CS320&lt;=Hypothèses!$V$9,Hypothèses!$W$9,IF(CS320&lt;=Hypothèses!$V$10,Hypothèses!$W$10,IF(CS320&lt;=Hypothèses!$V$11,Hypothèses!$W$11,IF(CS320&lt;=Hypothèses!$V$12,Hypothèses!$W$12,IF(CS320&lt;=Hypothèses!$V$13,Hypothèses!$W$13,IF(CS320&lt;=Hypothèses!$V$14,Hypothèses!$W$14,IF(CS320&lt;=Hypothèses!$V$15,Hypothèses!$W$15,IF(CS320&lt;=Hypothèses!$V$16,Hypothèses!$W$16,IF(CS320&lt;=Hypothèses!$V$17,Hypothèses!$W$17,IF(CS320&lt;=Hypothèses!$V$18,Hypothèses!$W$18,""))))))))))))</f>
        <v>#DIV/0!</v>
      </c>
      <c r="DN320" s="87" t="e">
        <f t="shared" ca="1" si="521"/>
        <v>#DIV/0!</v>
      </c>
      <c r="DO320" s="88" t="e">
        <f ca="1">IF(CS320&lt;=Hypothèses!$V$7,Hypothèses!$X$7,IF(CS320&lt;=Hypothèses!$V$8,Hypothèses!$X$8,IF(CS320&lt;=Hypothèses!$V$9,Hypothèses!$X$9,IF(CS320&lt;=Hypothèses!$V$10,Hypothèses!$X$10,IF(CS320&lt;=Hypothèses!$V$11,Hypothèses!$X$11,IF(CS320&lt;=Hypothèses!$V$12,Hypothèses!$X$12,IF(CS320&lt;=Hypothèses!$V$13,Hypothèses!$X$13,IF(CS320&lt;=Hypothèses!$V$14,Hypothèses!$X$14,IF(CS320&lt;=Hypothèses!$V$15,Hypothèses!$X$15,IF(CS320&lt;=Hypothèses!$V$16,Hypothèses!$X$16,IF(CS320&lt;=Hypothèses!$U$17,Hypothèses!$W$17,IF(CS320&lt;=Hypothèses!$U$18,Hypothèses!$W$18,""))))))))))))</f>
        <v>#DIV/0!</v>
      </c>
      <c r="DP320" s="95" t="e">
        <f t="shared" ca="1" si="489"/>
        <v>#DIV/0!</v>
      </c>
      <c r="DQ320" s="101" t="e">
        <f t="shared" si="528"/>
        <v>#N/A</v>
      </c>
      <c r="DR320" s="91" t="e">
        <f t="shared" si="458"/>
        <v>#N/A</v>
      </c>
      <c r="DS320" s="30" t="e">
        <f t="shared" si="510"/>
        <v>#N/A</v>
      </c>
      <c r="DT320" s="30" t="e">
        <f t="shared" si="511"/>
        <v>#N/A</v>
      </c>
      <c r="DU320" s="31" t="e">
        <f>IF(OR(Hypothèses!$B$4=17,Hypothèses!$B$4=18,Hypothèses!$B$4=19,Hypothèses!$B$4=20),
IF($D320="Pressio.",
IF(OR($E320=3,$E320=1,$E320=4),DT320,DS320),
IF($D320="Pénétro.",
IF(OR($E320=3,$E320=1,$E320=4),DT320,DS320))),IF($D320="Pressio.",
IF($E320=3,DT320,DS320),
IF($D320="Pénétro.",
IF($E320=4,DT320,DS320))))</f>
        <v>#N/A</v>
      </c>
      <c r="DV320" s="31" t="e">
        <f>(IF(OR(Hypothèses!$B$4=17,Hypothèses!$B$4=18,Hypothèses!$B$4=19,Hypothèses!$B$4=20),
IF($D320="Pressio.",
IF(OR($E320=3,$E320=1,$E320=4),(PI()*DV$12^2)/4*(DR320*$W320*1000)/($H320*$B$5),(PI()*DV$12^2)/4*(DR320*$W320*1000)/($G320*$B$5)),
IF($D320="Pénétro.",
IF(OR($E320=4,$E320=1,$E320=5),(PI()*DV$12^2)/4*(DR320*$W320*1000)/($H320*$B$5),(PI()*DV$12^2)/4*(DR320*$W320*1000)/($G320*$B$5)))),
IF($D320="Pressio.",
IF($E320=3,(PI()*DV$12^2)/4*(DR320*$W320*1000)/($H320*$B$5),(PI()*DV$12^2)/4*(DR320*$W320*1000)/($G320*$B$5)),
IF($D320="Pénétro.",
IF($E320=4,(PI()*DV$12^2)/4*(DR320*$W320*1000)/($H320*$B$5),(PI()*DV$12^2)/4*(DR320*$W320*1000)/($G320*$B$5))))))/10</f>
        <v>#N/A</v>
      </c>
      <c r="DW320" s="102" t="e">
        <f>(VLOOKUP($B$3,'Coeff EC7'!$T$39:$X$59,2,0)*DU320+VLOOKUP($B$3,'Coeff EC7'!$T$65:$X$85,2,0)*Model0.1C!DV320)/1.1</f>
        <v>#N/A</v>
      </c>
      <c r="DX320" s="102" t="e">
        <f>(VLOOKUP($B$3,'Coeff EC7'!$T$39:$X$59,3,0)*DU320+VLOOKUP($B$3,'Coeff EC7'!$T$65:$X$85,3,0)*Model0.1C!DV320)/0.9</f>
        <v>#N/A</v>
      </c>
      <c r="DY320" s="102" t="e">
        <f t="shared" si="490"/>
        <v>#N/A</v>
      </c>
      <c r="DZ320" s="102" t="e">
        <f t="shared" si="491"/>
        <v>#N/A</v>
      </c>
      <c r="EA320" s="414" t="e">
        <f>IF(EA319=0,0,IF(AND(DW320&gt;charge_ELS_quasi,DX320&gt;Charge_ELS_freq,DY320&gt;charge_ELU,DZ320&gt;charge_ELA,$B320&gt;NDC!$H$22-0.1+MIN(3*$EA$12,1.5)),0,1))</f>
        <v>#N/A</v>
      </c>
      <c r="EB320" s="86" t="b">
        <f t="shared" si="459"/>
        <v>0</v>
      </c>
      <c r="EC320" s="418">
        <f t="shared" si="460"/>
        <v>0.51</v>
      </c>
      <c r="ED320" s="86">
        <f t="shared" si="461"/>
        <v>0.51</v>
      </c>
      <c r="EE320" s="30" t="e">
        <f t="shared" ca="1" si="492"/>
        <v>#DIV/0!</v>
      </c>
      <c r="EF320" s="85" t="e">
        <f ca="1">IF(DL320&lt;=Hypothèses!$V$7,Hypothèses!$W$7,IF(DL320&lt;=Hypothèses!$V$8,Hypothèses!$W$8,IF(DL320&lt;=Hypothèses!$V$9,Hypothèses!$W$9,IF(DL320&lt;=Hypothèses!$V$10,Hypothèses!$W$10,IF(DL320&lt;=Hypothèses!$V$11,Hypothèses!$W$11,IF(DL320&lt;=Hypothèses!$V$12,Hypothèses!$W$12,IF(DL320&lt;=Hypothèses!$V$13,Hypothèses!$W$13,IF(DL320&lt;=Hypothèses!$V$14,Hypothèses!$W$14,IF(DL320&lt;=Hypothèses!$V$15,Hypothèses!$W$15,IF(DL320&lt;=Hypothèses!$V$16,Hypothèses!$W$16,IF(DL320&lt;=Hypothèses!$V$17,Hypothèses!$W$17,IF(DL320&lt;=Hypothèses!$V$18,Hypothèses!$W$18,""))))))))))))</f>
        <v>#DIV/0!</v>
      </c>
      <c r="EG320" s="87" t="e">
        <f t="shared" ca="1" si="522"/>
        <v>#DIV/0!</v>
      </c>
      <c r="EH320" s="88" t="e">
        <f ca="1">IF(DL320&lt;=Hypothèses!$V$7,Hypothèses!$X$7,IF(DL320&lt;=Hypothèses!$V$8,Hypothèses!$X$8,IF(DL320&lt;=Hypothèses!$V$9,Hypothèses!$X$9,IF(DL320&lt;=Hypothèses!$V$10,Hypothèses!$X$10,IF(DL320&lt;=Hypothèses!$V$11,Hypothèses!$X$11,IF(DL320&lt;=Hypothèses!$V$12,Hypothèses!$X$12,IF(DL320&lt;=Hypothèses!$V$13,Hypothèses!$X$13,IF(DL320&lt;=Hypothèses!$V$14,Hypothèses!$X$14,IF(DL320&lt;=Hypothèses!$V$15,Hypothèses!$X$15,IF(DL320&lt;=Hypothèses!$V$16,Hypothèses!$X$16,IF(DL320&lt;=Hypothèses!$U$17,Hypothèses!$W$17,IF(DL320&lt;=Hypothèses!$U$18,Hypothèses!$W$18,""))))))))))))</f>
        <v>#DIV/0!</v>
      </c>
      <c r="EI320" s="95" t="e">
        <f t="shared" ca="1" si="493"/>
        <v>#DIV/0!</v>
      </c>
      <c r="EJ320" s="101" t="e">
        <f t="shared" si="529"/>
        <v>#N/A</v>
      </c>
      <c r="EK320" s="91" t="e">
        <f t="shared" si="462"/>
        <v>#N/A</v>
      </c>
      <c r="EL320" s="30" t="e">
        <f t="shared" si="512"/>
        <v>#N/A</v>
      </c>
      <c r="EM320" s="30" t="e">
        <f t="shared" si="513"/>
        <v>#N/A</v>
      </c>
      <c r="EN320" s="31" t="e">
        <f>IF(OR(Hypothèses!$B$4=17,Hypothèses!$B$4=18,Hypothèses!$B$4=19,Hypothèses!$B$4=20),
IF($D320="Pressio.",
IF(OR($E320=3,$E320=1,$E320=4),EM320,EL320),
IF($D320="Pénétro.",
IF(OR($E320=3,$E320=1,$E320=4),EM320,EL320))),IF($D320="Pressio.",
IF($E320=3,EM320,EL320),
IF($D320="Pénétro.",
IF($E320=4,EM320,EL320))))</f>
        <v>#N/A</v>
      </c>
      <c r="EO320" s="31" t="e">
        <f>(IF(OR(Hypothèses!$B$4=17,Hypothèses!$B$4=18,Hypothèses!$B$4=19,Hypothèses!$B$4=20),
IF($D320="Pressio.",
IF(OR($E320=3,$E320=1,$E320=4),(PI()*EO$12^2)/4*(EK320*$W320*1000)/($H320*$B$5),(PI()*EO$12^2)/4*(EK320*$W320*1000)/($G320*$B$5)),
IF($D320="Pénétro.",
IF(OR($E320=4,$E320=1,$E320=5),(PI()*EO$12^2)/4*(EK320*$W320*1000)/($H320*$B$5),(PI()*EO$12^2)/4*(EK320*$W320*1000)/($G320*$B$5)))),
IF($D320="Pressio.",
IF($E320=3,(PI()*EO$12^2)/4*(EK320*$W320*1000)/($H320*$B$5),(PI()*EO$12^2)/4*(EK320*$W320*1000)/($G320*$B$5)),
IF($D320="Pénétro.",
IF($E320=4,(PI()*EO$12^2)/4*(EK320*$W320*1000)/($H320*$B$5),(PI()*EO$12^2)/4*(EK320*$W320*1000)/($G320*$B$5))))))/10</f>
        <v>#N/A</v>
      </c>
      <c r="EP320" s="102" t="e">
        <f>(VLOOKUP($B$3,'Coeff EC7'!$T$39:$X$59,2,0)*EN320+VLOOKUP($B$3,'Coeff EC7'!$T$65:$X$85,2,0)*Model0.1C!EO320)/1.1</f>
        <v>#N/A</v>
      </c>
      <c r="EQ320" s="102" t="e">
        <f>(VLOOKUP($B$3,'Coeff EC7'!$T$39:$X$59,3,0)*EN320+VLOOKUP($B$3,'Coeff EC7'!$T$65:$X$85,3,0)*Model0.1C!EO320)/0.9</f>
        <v>#N/A</v>
      </c>
      <c r="ER320" s="102" t="e">
        <f t="shared" si="494"/>
        <v>#N/A</v>
      </c>
      <c r="ES320" s="102" t="e">
        <f t="shared" si="495"/>
        <v>#N/A</v>
      </c>
      <c r="ET320" s="414" t="e">
        <f>IF(ET319=0,0,IF(AND(EP320&gt;charge_ELS_quasi,EQ320&gt;Charge_ELS_freq,ER320&gt;charge_ELU,ES320&gt;charge_ELA,$B320&gt;NDC!$H$22-0.1+MIN(3*$ET$12,1.5)),0,1))</f>
        <v>#N/A</v>
      </c>
      <c r="EU320" s="86" t="b">
        <f t="shared" si="463"/>
        <v>0</v>
      </c>
      <c r="EV320" s="86">
        <f t="shared" si="464"/>
        <v>0.61</v>
      </c>
      <c r="EW320" s="86">
        <f t="shared" si="465"/>
        <v>0.61</v>
      </c>
      <c r="EX320" s="30" t="e">
        <f t="shared" ca="1" si="496"/>
        <v>#DIV/0!</v>
      </c>
      <c r="EY320" s="85" t="e">
        <f ca="1">IF(EE320&lt;=Hypothèses!$V$7,Hypothèses!$W$7,IF(EE320&lt;=Hypothèses!$V$8,Hypothèses!$W$8,IF(EE320&lt;=Hypothèses!$V$9,Hypothèses!$W$9,IF(EE320&lt;=Hypothèses!$V$10,Hypothèses!$W$10,IF(EE320&lt;=Hypothèses!$V$11,Hypothèses!$W$11,IF(EE320&lt;=Hypothèses!$V$12,Hypothèses!$W$12,IF(EE320&lt;=Hypothèses!$V$13,Hypothèses!$W$13,IF(EE320&lt;=Hypothèses!$V$14,Hypothèses!$W$14,IF(EE320&lt;=Hypothèses!$V$15,Hypothèses!$W$15,IF(EE320&lt;=Hypothèses!$V$16,Hypothèses!$W$16,IF(EE320&lt;=Hypothèses!$V$17,Hypothèses!$W$17,IF(EE320&lt;=Hypothèses!$V$18,Hypothèses!$W$18,""))))))))))))</f>
        <v>#DIV/0!</v>
      </c>
      <c r="EZ320" s="87" t="e">
        <f t="shared" ca="1" si="523"/>
        <v>#DIV/0!</v>
      </c>
      <c r="FA320" s="88" t="e">
        <f ca="1">IF(EE320&lt;=Hypothèses!$V$7,Hypothèses!$X$7,IF(EE320&lt;=Hypothèses!$V$8,Hypothèses!$X$8,IF(EE320&lt;=Hypothèses!$V$9,Hypothèses!$X$9,IF(EE320&lt;=Hypothèses!$V$10,Hypothèses!$X$10,IF(EE320&lt;=Hypothèses!$V$11,Hypothèses!$X$11,IF(EE320&lt;=Hypothèses!$V$12,Hypothèses!$X$12,IF(EE320&lt;=Hypothèses!$V$13,Hypothèses!$X$13,IF(EE320&lt;=Hypothèses!$V$14,Hypothèses!$X$14,IF(EE320&lt;=Hypothèses!$V$15,Hypothèses!$X$15,IF(EE320&lt;=Hypothèses!$V$16,Hypothèses!$X$16,IF(EE320&lt;=Hypothèses!$U$17,Hypothèses!$W$17,IF(EE320&lt;=Hypothèses!$U$18,Hypothèses!$W$18,""))))))))))))</f>
        <v>#DIV/0!</v>
      </c>
      <c r="FB320" s="95" t="e">
        <f t="shared" ca="1" si="497"/>
        <v>#DIV/0!</v>
      </c>
      <c r="FC320" s="101" t="e">
        <f t="shared" si="530"/>
        <v>#N/A</v>
      </c>
      <c r="FD320" s="91" t="e">
        <f t="shared" si="466"/>
        <v>#N/A</v>
      </c>
      <c r="FE320" s="30" t="e">
        <f t="shared" si="514"/>
        <v>#N/A</v>
      </c>
      <c r="FF320" s="30" t="e">
        <f t="shared" si="515"/>
        <v>#N/A</v>
      </c>
      <c r="FG320" s="31" t="e">
        <f>IF(OR(Hypothèses!$B$4=17,Hypothèses!$B$4=18,Hypothèses!$B$4=19,Hypothèses!$B$4=20),
IF($D320="Pressio.",
IF(OR($E320=3,$E320=1,$E320=4),FF320,FE320),
IF($D320="Pénétro.",
IF(OR($E320=3,$E320=1,$E320=4),FF320,FE320))),IF($D320="Pressio.",
IF($E320=3,FF320,FE320),
IF($D320="Pénétro.",
IF($E320=4,FF320,FE320))))</f>
        <v>#N/A</v>
      </c>
      <c r="FH320" s="31" t="e">
        <f>(IF(OR(Hypothèses!$B$4=17,Hypothèses!$B$4=18,Hypothèses!$B$4=19,Hypothèses!$B$4=20),
IF($D320="Pressio.",
IF(OR($E320=3,$E320=1,$E320=4),(PI()*FH$12^2)/4*(FD320*$W320*1000)/($H320*$B$5),(PI()*FH$12^2)/4*(FD320*$W320*1000)/($G320*$B$5)),
IF($D320="Pénétro.",
IF(OR($E320=4,$E320=1,$E320=5),(PI()*FH$12^2)/4*(FD320*$W320*1000)/($H320*$B$5),(PI()*FH$12^2)/4*(FD320*$W320*1000)/($G320*$B$5)))),
IF($D320="Pressio.",
IF($E320=3,(PI()*FH$12^2)/4*(FD320*$W320*1000)/($H320*$B$5),(PI()*FH$12^2)/4*(FD320*$W320*1000)/($G320*$B$5)),
IF($D320="Pénétro.",
IF($E320=4,(PI()*FH$12^2)/4*(FD320*$W320*1000)/($H320*$B$5),(PI()*FH$12^2)/4*(FD320*$W320*1000)/($G320*$B$5))))))/10</f>
        <v>#N/A</v>
      </c>
      <c r="FI320" s="102" t="e">
        <f>(VLOOKUP($B$3,'Coeff EC7'!$T$39:$X$59,2,0)*FG320+VLOOKUP($B$3,'Coeff EC7'!$T$65:$X$85,2,0)*Model0.1C!FH320)/1.1</f>
        <v>#N/A</v>
      </c>
      <c r="FJ320" s="102" t="e">
        <f>(VLOOKUP($B$3,'Coeff EC7'!$T$39:$X$59,3,0)*FG320+VLOOKUP($B$3,'Coeff EC7'!$T$65:$X$85,3,0)*Model0.1C!FH320)/0.9</f>
        <v>#N/A</v>
      </c>
      <c r="FK320" s="102" t="e">
        <f t="shared" si="498"/>
        <v>#N/A</v>
      </c>
      <c r="FL320" s="102" t="e">
        <f t="shared" si="499"/>
        <v>#N/A</v>
      </c>
      <c r="FM320" s="414" t="e">
        <f>IF(FM319=0,0,IF(AND(FI320&gt;charge_ELS_quasi,FJ320&gt;Charge_ELS_freq,FK320&gt;charge_ELU,FL320&gt;charge_ELA,$B320&gt;NDC!$H$22-0.1+MIN(3*$FM$12,1.5)),0,1))</f>
        <v>#N/A</v>
      </c>
    </row>
    <row r="321" spans="1:169">
      <c r="A321" s="96">
        <f t="shared" si="467"/>
        <v>69.200000000001751</v>
      </c>
      <c r="B321" s="97">
        <v>30.8</v>
      </c>
      <c r="C321" s="81">
        <f>IF(B321&lt;=Hypothèses!$C$7,Hypothèses!$A$7,IF(B321&lt;=Hypothèses!$C$8,Hypothèses!$A$8,IF(B321&lt;=Hypothèses!$C$9,Hypothèses!$A$9,IF(B321&lt;=Hypothèses!$C$10,Hypothèses!$A$10,IF(B321&lt;=Hypothèses!$C$11,Hypothèses!$A$11,IF(B321&lt;=Hypothèses!$C$12,Hypothèses!$A$12,IF(B321&lt;=Hypothèses!$C$13,Hypothèses!$A$13,IF(B321&lt;=Hypothèses!$C$14,Hypothèses!$A$14,IF(B321&lt;=Hypothèses!$C$15,Hypothèses!$A$15,IF(B321&lt;=Hypothèses!$C$16,Hypothèses!$A$16,IF(B321&lt;=Hypothèses!$C$17,Hypothèses!$A$17,IF(B321&lt;=Hypothèses!$C$18,Hypothèses!$A$18,C320))))))))))))</f>
        <v>11</v>
      </c>
      <c r="D321" s="82" t="str">
        <f>IF(B321&lt;=Hypothèses!$C$7,Hypothèses!$R$7,IF(B321&lt;=Hypothèses!$C$8,Hypothèses!$R$8,IF(B321&lt;=Hypothèses!$C$9,Hypothèses!$R$9,IF(B321&lt;=Hypothèses!$C$10,Hypothèses!$R$10,IF(B321&lt;=Hypothèses!$C$11,Hypothèses!$R$11,IF(B321&lt;=Hypothèses!$C$12,Hypothèses!$R$12,IF(B321&lt;=Hypothèses!$C$13,Hypothèses!$R$13,IF(B321&lt;=Hypothèses!$C$14,Hypothèses!$R$14,IF(B321&lt;=Hypothèses!$C$15,Hypothèses!$R$15,IF(B321&lt;=Hypothèses!$C$16,Hypothèses!$R$16,IF(B321&lt;=Hypothèses!$C$17,Hypothèses!$R$17,IF(B321&lt;=Hypothèses!$C$18,Hypothèses!$R$18,D320))))))))))))</f>
        <v>Pressio.</v>
      </c>
      <c r="E321" s="82" t="e">
        <f>IF(B321&lt;=Hypothèses!$C$7,Hypothèses!$G$7,IF(B321&lt;=Hypothèses!$C$8,Hypothèses!$G$8,IF(B321&lt;=Hypothèses!$C$9,Hypothèses!$G$9,IF(B321&lt;=Hypothèses!$C$10,Hypothèses!$G$10,IF(B321&lt;=Hypothèses!$C$11,Hypothèses!$G$11,IF(B321&lt;=Hypothèses!$C$12,Hypothèses!$G$12,IF(B321&lt;=Hypothèses!$C$13,Hypothèses!$G$13,IF(B321&lt;=Hypothèses!$C$14,Hypothèses!$G$14,IF(B321&lt;=Hypothèses!$C$15,Hypothèses!$G$15,IF(B321&lt;=Hypothèses!$C$16,Hypothèses!$G$16,IF(B321&lt;=Hypothèses!$C$17,Hypothèses!$G$17,IF(B321&lt;=Hypothèses!$C$18,Hypothèses!$G$18,E320))))))))))))</f>
        <v>#N/A</v>
      </c>
      <c r="F321" s="82" t="str">
        <f>IF(B321&lt;=Hypothèses!$C$7,Hypothèses!$F$7,IF(B321&lt;=Hypothèses!$C$8,Hypothèses!$F$8,IF(B321&lt;=Hypothèses!$C$9,Hypothèses!$F$9,IF(B321&lt;=Hypothèses!$C$10,Hypothèses!$F$10,IF(B321&lt;=Hypothèses!$C$11,Hypothèses!$F$11,IF(B321&lt;=Hypothèses!$C$12,Hypothèses!$F$12,IF(B321&lt;=Hypothèses!$C$13,Hypothèses!$F$13,IF(B321&lt;=Hypothèses!$C$14,Hypothèses!$F$14,IF(B321&lt;=Hypothèses!$C$15,Hypothèses!$F$15,IF(B321&lt;=Hypothèses!$C$16,Hypothèses!$F$16,IF(B321&lt;=Hypothèses!$C$17,Hypothèses!$F$17,IF(B321&lt;=Hypothèses!$C$18,Hypothèses!$F$18,F320))))))))))))</f>
        <v/>
      </c>
      <c r="G321" s="91">
        <f t="array" ref="G321">INDEX('Coeff EC7'!$U$7:$X$27,
MATCH(Model0.1C!$B$3,'Coeff EC7'!$T$7:$T$27,0),
MATCH(Model0.1C!$D321&amp;Model0.1C!$B$4,
'Coeff EC7'!$U$6:$X$6&amp;
'Coeff EC7'!$U$5:$X$5,0))</f>
        <v>1.1499999999999999</v>
      </c>
      <c r="H321" s="91">
        <f t="array" ref="H321">INDEX('Coeff EC7'!$Y$7:$AB$27,
MATCH(Model0.1C!$B$3,'Coeff EC7'!$T$7:$T$27,0),
MATCH(Model0.1C!$D321&amp;Model0.1C!$B$4,
'Coeff EC7'!$Y$6:$AB$6&amp;
'Coeff EC7'!$Y$5:$AB$5,0))</f>
        <v>1.4</v>
      </c>
      <c r="I321" s="83" t="e">
        <f>IF(B321&lt;=Hypothèses!$C$7,Hypothèses!$P$7,IF(B321&lt;=Hypothèses!$C$8,Hypothèses!$P$8,IF(B321&lt;=Hypothèses!$C$9,Hypothèses!$P$9,IF(B321&lt;=Hypothèses!$C$10,Hypothèses!$P$10,IF(B321&lt;=Hypothèses!$C$11,Hypothèses!$P$11,IF(B321&lt;=Hypothèses!$C$12,Hypothèses!$P$12,IF(B321&lt;=Hypothèses!$C$13,Hypothèses!$P$13,IF(B321&lt;=Hypothèses!$C$14,Hypothèses!$P$14,IF(B321&lt;=Hypothèses!$C$15,Hypothèses!$P$15,IF(B321&lt;=Hypothèses!$C$16,Hypothèses!$P$16,IF(B321&lt;=Hypothèses!$C$17,Hypothèses!$P$17,IF(B321&lt;=Hypothèses!$C$18,Hypothèses!$P$18,I320))))))))))))</f>
        <v>#N/A</v>
      </c>
      <c r="J321" s="91" t="e">
        <f t="array" ref="J321">INDEX('Coeff EC7'!$D$33:$Q$33,1,MATCH(D321&amp;E321,'Coeff EC7'!$D$31:$Q$31&amp;'Coeff EC7'!$D$32:$Q$32,0))</f>
        <v>#N/A</v>
      </c>
      <c r="K321" s="91" t="e">
        <f t="array" ref="K321">INDEX('Coeff EC7'!$D$34:$Q$34,1,MATCH(D321&amp;E321,'Coeff EC7'!$D$31:$Q$31&amp;'Coeff EC7'!$D$32:$Q$32,0))</f>
        <v>#N/A</v>
      </c>
      <c r="L321" s="91" t="e">
        <f t="array" ref="L321">INDEX('Coeff EC7'!$D$35:$Q$35,1,MATCH(D321&amp;E321,'Coeff EC7'!$D$31:$Q$31&amp;'Coeff EC7'!$D$32:$Q$32,0))</f>
        <v>#N/A</v>
      </c>
      <c r="M321" s="98" t="e">
        <f t="shared" si="431"/>
        <v>#N/A</v>
      </c>
      <c r="N321" s="99" t="e">
        <f t="array" ref="N321">INDEX('Coeff EC7'!$D$7:$Q$27,MATCH($B$3,'Coeff EC7'!$C$7:$C$27,0),MATCH(D321&amp;E321,'Coeff EC7'!$D$5:$Q$5&amp;'Coeff EC7'!$D$6:$Q$6,0))</f>
        <v>#N/A</v>
      </c>
      <c r="O321" s="99" t="e">
        <f t="array" ref="O321">INDEX('Coeff EC7'!$D$41:$Q$61,MATCH($B$3,'Coeff EC7'!$C$41:$C$61,0),MATCH(D321&amp;E321,'Coeff EC7'!$D$39:$Q$39&amp;'Coeff EC7'!$D$40:$Q$40,0))</f>
        <v>#N/A</v>
      </c>
      <c r="P321" s="30" t="e">
        <f t="shared" si="468"/>
        <v>#N/A</v>
      </c>
      <c r="Q321" s="100" t="e">
        <f t="shared" si="433"/>
        <v>#N/A</v>
      </c>
      <c r="R321" s="86" t="b">
        <f t="shared" si="434"/>
        <v>0</v>
      </c>
      <c r="S321" s="86">
        <f t="shared" si="432"/>
        <v>0.5</v>
      </c>
      <c r="T321" s="86">
        <f t="shared" si="435"/>
        <v>0.5</v>
      </c>
      <c r="U321" s="30" t="e">
        <f t="shared" ca="1" si="469"/>
        <v>#DIV/0!</v>
      </c>
      <c r="V321" s="85" t="str">
        <f>IF(B321&lt;=Hypothèses!$V$7,Hypothèses!$W$7,IF(B321&lt;=Hypothèses!$V$8,Hypothèses!$W$8,IF(B321&lt;=Hypothèses!$V$9,Hypothèses!$W$9,IF(B321&lt;=Hypothèses!$V$10,Hypothèses!$W$10,IF(B321&lt;=Hypothèses!$V$11,Hypothèses!$W$11,IF(B321&lt;=Hypothèses!$V$12,Hypothèses!$W$12,IF(B321&lt;=Hypothèses!$V$13,Hypothèses!$W$13,IF(B321&lt;=Hypothèses!$V$14,Hypothèses!$W$14,IF(B321&lt;=Hypothèses!$V$15,Hypothèses!$W$15,IF(B321&lt;=Hypothèses!$V$16,Hypothèses!$W$16,IF(B321&lt;=Hypothèses!$V$17,Hypothèses!$W$17,IF(B321&lt;=Hypothèses!$V$18,Hypothèses!$W$18,""))))))))))))</f>
        <v/>
      </c>
      <c r="W321" s="87" t="e">
        <f t="shared" ca="1" si="516"/>
        <v>#DIV/0!</v>
      </c>
      <c r="X321" s="88" t="str">
        <f>IF(B321&lt;=Hypothèses!$V$7,Hypothèses!$X$7,IF(B321&lt;=Hypothèses!$V$8,Hypothèses!$X$8,IF(B321&lt;=Hypothèses!$V$9,Hypothèses!$X$9,IF(B321&lt;=Hypothèses!$V$10,Hypothèses!$X$10,IF(B321&lt;=Hypothèses!$V$11,Hypothèses!$X$11,IF(B321&lt;=Hypothèses!$V$12,Hypothèses!$X$12,IF(B321&lt;=Hypothèses!$V$13,Hypothèses!$X$13,IF(B321&lt;=Hypothèses!$V$14,Hypothèses!$X$14,IF(B321&lt;=Hypothèses!$V$15,Hypothèses!$X$15,IF(B321&lt;=Hypothèses!$V$16,Hypothèses!$X$16,IF(B321&lt;=Hypothèses!$U$17,Hypothèses!$W$17,IF(B321&lt;=Hypothèses!$U$18,Hypothèses!$W$18,""))))))))))))</f>
        <v/>
      </c>
      <c r="Y321" s="95" t="e">
        <f t="shared" ca="1" si="436"/>
        <v>#DIV/0!</v>
      </c>
      <c r="Z321" s="101" t="e">
        <f t="shared" si="437"/>
        <v>#N/A</v>
      </c>
      <c r="AA321" s="91" t="e">
        <f t="shared" si="438"/>
        <v>#N/A</v>
      </c>
      <c r="AB321" s="30" t="e">
        <f t="shared" si="500"/>
        <v>#N/A</v>
      </c>
      <c r="AC321" s="30" t="e">
        <f t="shared" si="501"/>
        <v>#N/A</v>
      </c>
      <c r="AD321" s="31" t="e">
        <f>IF(OR(Hypothèses!$B$4=17,Hypothèses!$B$4=18,Hypothèses!$B$4=19,Hypothèses!$B$4=20),
IF($D321="Pressio.",
IF(OR($E321=3,$E321=1,$E321=4),AC321,AB321),
IF($D321="Pénétro.",
IF(OR($E321=3,$E321=1,$E321=4),AC321,AB321))),IF($D321="Pressio.",
IF($E321=3,AC321,AB321),
IF($D321="Pénétro.",
IF($E321=4,AC321,AB321))))</f>
        <v>#N/A</v>
      </c>
      <c r="AE321" s="31" t="e">
        <f>(IF(OR(Hypothèses!$B$4=17,Hypothèses!$B$4=18,Hypothèses!$B$4=19,Hypothèses!$B$4=20),
IF($D321="Pressio.",
IF(OR($E321=3,$E321=1,$E321=4),(PI()*AE$12^2)/4*(AA321*$W321*1000)/($H321*$B$5),(PI()*AE$12^2)/4*(AA321*$W321*1000)/($G321*$B$5)),
IF($D321="Pénétro.",
IF(OR($E321=4,$E321=1,$E321=5),(PI()*AE$12^2)/4*(AA321*$W321*1000)/($H321*$B$5),(PI()*AE$12^2)/4*(AA321*$W321*1000)/($G321*$B$5)))),
IF($D321="Pressio.",
IF($E321=3,(PI()*AE$12^2)/4*(AA321*$W321*1000)/($H321*$B$5),(PI()*AE$12^2)/4*(AA321*$W321*1000)/($G321*$B$5)),
IF($D321="Pénétro.",
IF($E321=4,(PI()*AE$12^2)/4*(AA321*$W321*1000)/($H321*$B$5),(PI()*AE$12^2)/4*(AA321*$W321*1000)/($G321*$B$5))))))/10</f>
        <v>#N/A</v>
      </c>
      <c r="AF321" s="102" t="e">
        <f>(VLOOKUP($B$3,'Coeff EC7'!$T$39:$X$59,2,0)*AD321+VLOOKUP($B$3,'Coeff EC7'!$T$65:$X$85,2,0)*Model0.1C!AE321)/1.1</f>
        <v>#N/A</v>
      </c>
      <c r="AG321" s="102" t="e">
        <f>(VLOOKUP($B$3,'Coeff EC7'!$T$39:$X$59,3,0)*AD321+VLOOKUP($B$3,'Coeff EC7'!$T$65:$X$85,3,0)*Model0.1C!AE321)/0.9</f>
        <v>#N/A</v>
      </c>
      <c r="AH321" s="102" t="e">
        <f t="shared" si="439"/>
        <v>#N/A</v>
      </c>
      <c r="AI321" s="102" t="e">
        <f t="shared" si="440"/>
        <v>#N/A</v>
      </c>
      <c r="AJ321" s="414" t="e">
        <f>IF(AJ320=0,0,IF(AND(AF321&gt;charge_ELS_quasi,AG321&gt;Charge_ELS_freq,AH321&gt;charge_ELU,AI321&gt;charge_ELA,$B321&gt;NDC!$H$22-0.1+MIN(3*$AJ$12,1.5)),0,1))</f>
        <v>#N/A</v>
      </c>
      <c r="AK321" s="86" t="b">
        <f t="shared" si="441"/>
        <v>0</v>
      </c>
      <c r="AL321" s="86">
        <f t="shared" si="470"/>
        <v>0.5</v>
      </c>
      <c r="AM321" s="86">
        <f t="shared" si="442"/>
        <v>0.5</v>
      </c>
      <c r="AN321" s="30" t="e">
        <f t="shared" ca="1" si="471"/>
        <v>#DIV/0!</v>
      </c>
      <c r="AO321" s="85" t="e">
        <f ca="1">IF(U321&lt;=Hypothèses!$V$7,Hypothèses!$W$7,IF(U321&lt;=Hypothèses!$V$8,Hypothèses!$W$8,IF(U321&lt;=Hypothèses!$V$9,Hypothèses!$W$9,IF(U321&lt;=Hypothèses!$V$10,Hypothèses!$W$10,IF(U321&lt;=Hypothèses!$V$11,Hypothèses!$W$11,IF(U321&lt;=Hypothèses!$V$12,Hypothèses!$W$12,IF(U321&lt;=Hypothèses!$V$13,Hypothèses!$W$13,IF(U321&lt;=Hypothèses!$V$14,Hypothèses!$W$14,IF(U321&lt;=Hypothèses!$V$15,Hypothèses!$W$15,IF(U321&lt;=Hypothèses!$V$16,Hypothèses!$W$16,IF(U321&lt;=Hypothèses!$V$17,Hypothèses!$W$17,IF(U321&lt;=Hypothèses!$V$18,Hypothèses!$W$18,""))))))))))))</f>
        <v>#DIV/0!</v>
      </c>
      <c r="AP321" s="87" t="e">
        <f t="shared" ca="1" si="517"/>
        <v>#DIV/0!</v>
      </c>
      <c r="AQ321" s="88" t="e">
        <f ca="1">IF(U321&lt;=Hypothèses!$V$7,Hypothèses!$X$7,IF(U321&lt;=Hypothèses!$V$8,Hypothèses!$X$8,IF(U321&lt;=Hypothèses!$V$9,Hypothèses!$X$9,IF(U321&lt;=Hypothèses!$V$10,Hypothèses!$X$10,IF(U321&lt;=Hypothèses!$V$11,Hypothèses!$X$11,IF(U321&lt;=Hypothèses!$V$12,Hypothèses!$X$12,IF(U321&lt;=Hypothèses!$V$13,Hypothèses!$X$13,IF(U321&lt;=Hypothèses!$V$14,Hypothèses!$X$14,IF(U321&lt;=Hypothèses!$V$15,Hypothèses!$X$15,IF(U321&lt;=Hypothèses!$V$16,Hypothèses!$X$16,IF(U321&lt;=Hypothèses!$U$17,Hypothèses!$W$17,IF(U321&lt;=Hypothèses!$U$18,Hypothèses!$W$18,""))))))))))))</f>
        <v>#DIV/0!</v>
      </c>
      <c r="AR321" s="95" t="e">
        <f t="shared" ca="1" si="472"/>
        <v>#DIV/0!</v>
      </c>
      <c r="AS321" s="101" t="e">
        <f t="shared" si="524"/>
        <v>#N/A</v>
      </c>
      <c r="AT321" s="91" t="e">
        <f t="shared" si="443"/>
        <v>#N/A</v>
      </c>
      <c r="AU321" s="30" t="e">
        <f t="shared" si="502"/>
        <v>#N/A</v>
      </c>
      <c r="AV321" s="30" t="e">
        <f t="shared" si="503"/>
        <v>#N/A</v>
      </c>
      <c r="AW321" s="31" t="e">
        <f>IF(OR(Hypothèses!$B$4=17,Hypothèses!$B$4=18,Hypothèses!$B$4=19,Hypothèses!$B$4=20),
IF($D321="Pressio.",
IF(OR($E321=3,$E321=1,$E321=4),AV321,AU321),
IF($D321="Pénétro.",
IF(OR($E321=3,$E321=1,$E321=4),AV321,AU321))),IF($D321="Pressio.",
IF($E321=3,AV321,AU321),
IF($D321="Pénétro.",
IF($E321=4,AV321,AU321))))</f>
        <v>#N/A</v>
      </c>
      <c r="AX321" s="31" t="e">
        <f>(IF(OR(Hypothèses!$B$4=17,Hypothèses!$B$4=18,Hypothèses!$B$4=19,Hypothèses!$B$4=20),
IF($D321="Pressio.",
IF(OR($E321=3,$E321=1,$E321=4),(PI()*AX$12^2)/4*(AT321*$W321*1000)/($H321*$B$5),(PI()*AX$12^2)/4*(AT321*$W321*1000)/($G321*$B$5)),
IF($D321="Pénétro.",
IF(OR($E321=4,$E321=1,$E321=5),(PI()*AX$12^2)/4*(AT321*$W321*1000)/($H321*$B$5),(PI()*AX$12^2)/4*(AT321*$W321*1000)/($G321*$B$5)))),
IF($D321="Pressio.",
IF($E321=3,(PI()*AX$12^2)/4*(AT321*$W321*1000)/($H321*$B$5),(PI()*AX$12^2)/4*(AT321*$W321*1000)/($G321*$B$5)),
IF($D321="Pénétro.",
IF($E321=4,(PI()*AX$12^2)/4*(AT321*$W321*1000)/($H321*$B$5),(PI()*AX$12^2)/4*(AT321*$W321*1000)/($G321*$B$5))))))/10</f>
        <v>#N/A</v>
      </c>
      <c r="AY321" s="102" t="e">
        <f>(VLOOKUP($B$3,'Coeff EC7'!$T$39:$X$59,2,0)*AW321+VLOOKUP($B$3,'Coeff EC7'!$T$65:$X$85,2,0)*Model0.1C!AX321)/1.1</f>
        <v>#N/A</v>
      </c>
      <c r="AZ321" s="102" t="e">
        <f>(VLOOKUP($B$3,'Coeff EC7'!$T$39:$X$59,3,0)*AW321+VLOOKUP($B$3,'Coeff EC7'!$T$65:$X$85,3,0)*Model0.1C!AX321)/0.9</f>
        <v>#N/A</v>
      </c>
      <c r="BA321" s="102" t="e">
        <f t="shared" si="473"/>
        <v>#N/A</v>
      </c>
      <c r="BB321" s="102" t="e">
        <f t="shared" si="474"/>
        <v>#N/A</v>
      </c>
      <c r="BC321" s="414" t="e">
        <f>IF(BC320=0,0,IF(AND(AY321&gt;charge_ELS_quasi,AZ321&gt;Charge_ELS_freq,BA321&gt;charge_ELU,BB321&gt;charge_ELA,$B321&gt;NDC!$H$22-0.1+MIN(3*$BC$12,1.5)),0,1))</f>
        <v>#N/A</v>
      </c>
      <c r="BD321" s="86" t="b">
        <f t="shared" si="444"/>
        <v>0</v>
      </c>
      <c r="BE321" s="86">
        <f t="shared" si="475"/>
        <v>0.5</v>
      </c>
      <c r="BF321" s="86">
        <f t="shared" si="445"/>
        <v>0.5</v>
      </c>
      <c r="BG321" s="30" t="e">
        <f t="shared" ca="1" si="476"/>
        <v>#DIV/0!</v>
      </c>
      <c r="BH321" s="85" t="e">
        <f ca="1">IF(AN321&lt;=Hypothèses!$V$7,Hypothèses!$W$7,IF(AN321&lt;=Hypothèses!$V$8,Hypothèses!$W$8,IF(AN321&lt;=Hypothèses!$V$9,Hypothèses!$W$9,IF(AN321&lt;=Hypothèses!$V$10,Hypothèses!$W$10,IF(AN321&lt;=Hypothèses!$V$11,Hypothèses!$W$11,IF(AN321&lt;=Hypothèses!$V$12,Hypothèses!$W$12,IF(AN321&lt;=Hypothèses!$V$13,Hypothèses!$W$13,IF(AN321&lt;=Hypothèses!$V$14,Hypothèses!$W$14,IF(AN321&lt;=Hypothèses!$V$15,Hypothèses!$W$15,IF(AN321&lt;=Hypothèses!$V$16,Hypothèses!$W$16,IF(AN321&lt;=Hypothèses!$V$17,Hypothèses!$W$17,IF(AN321&lt;=Hypothèses!$V$18,Hypothèses!$W$18,""))))))))))))</f>
        <v>#DIV/0!</v>
      </c>
      <c r="BI321" s="87" t="e">
        <f t="shared" ca="1" si="518"/>
        <v>#DIV/0!</v>
      </c>
      <c r="BJ321" s="88" t="e">
        <f ca="1">IF(AN321&lt;=Hypothèses!$V$7,Hypothèses!$X$7,IF(AN321&lt;=Hypothèses!$V$8,Hypothèses!$X$8,IF(AN321&lt;=Hypothèses!$V$9,Hypothèses!$X$9,IF(AN321&lt;=Hypothèses!$V$10,Hypothèses!$X$10,IF(AN321&lt;=Hypothèses!$V$11,Hypothèses!$X$11,IF(AN321&lt;=Hypothèses!$V$12,Hypothèses!$X$12,IF(AN321&lt;=Hypothèses!$V$13,Hypothèses!$X$13,IF(AN321&lt;=Hypothèses!$V$14,Hypothèses!$X$14,IF(AN321&lt;=Hypothèses!$V$15,Hypothèses!$X$15,IF(AN321&lt;=Hypothèses!$V$16,Hypothèses!$X$16,IF(AN321&lt;=Hypothèses!$U$17,Hypothèses!$W$17,IF(AN321&lt;=Hypothèses!$U$18,Hypothèses!$W$18,""))))))))))))</f>
        <v>#DIV/0!</v>
      </c>
      <c r="BK321" s="95" t="e">
        <f t="shared" ca="1" si="477"/>
        <v>#DIV/0!</v>
      </c>
      <c r="BL321" s="101" t="e">
        <f t="shared" si="525"/>
        <v>#N/A</v>
      </c>
      <c r="BM321" s="91" t="e">
        <f t="shared" si="446"/>
        <v>#N/A</v>
      </c>
      <c r="BN321" s="30" t="e">
        <f t="shared" si="504"/>
        <v>#N/A</v>
      </c>
      <c r="BO321" s="30" t="e">
        <f t="shared" si="505"/>
        <v>#N/A</v>
      </c>
      <c r="BP321" s="31" t="e">
        <f>IF(OR(Hypothèses!$B$4=17,Hypothèses!$B$4=18,Hypothèses!$B$4=19,Hypothèses!$B$4=20),
IF($D321="Pressio.",
IF(OR($E321=3,$E321=1,$E321=4),BO321,BN321),
IF($D321="Pénétro.",
IF(OR($E321=3,$E321=1,$E321=4),BO321,BN321))),IF($D321="Pressio.",
IF($E321=3,BO321,BN321),
IF($D321="Pénétro.",
IF($E321=4,BO321,BN321))))</f>
        <v>#N/A</v>
      </c>
      <c r="BQ321" s="31" t="e">
        <f>(IF(OR(Hypothèses!$B$4=17,Hypothèses!$B$4=18,Hypothèses!$B$4=19,Hypothèses!$B$4=20),
IF($D321="Pressio.",
IF(OR($E321=3,$E321=1,$E321=4),(PI()*BQ$12^2)/4*(BM321*$W321*1000)/($H321*$B$5),(PI()*BQ$12^2)/4*(BM321*$W321*1000)/($G321*$B$5)),
IF($D321="Pénétro.",
IF(OR($E321=4,$E321=1,$E321=5),(PI()*BQ$12^2)/4*(BM321*$W321*1000)/($H321*$B$5),(PI()*BQ$12^2)/4*(BM321*$W321*1000)/($G321*$B$5)))),
IF($D321="Pressio.",
IF($E321=3,(PI()*BQ$12^2)/4*(BM321*$W321*1000)/($H321*$B$5),(PI()*BQ$12^2)/4*(BM321*$W321*1000)/($G321*$B$5)),
IF($D321="Pénétro.",
IF($E321=4,(PI()*BQ$12^2)/4*(BM321*$W321*1000)/($H321*$B$5),(PI()*BQ$12^2)/4*(BM321*$W321*1000)/($G321*$B$5))))))/10</f>
        <v>#N/A</v>
      </c>
      <c r="BR321" s="102" t="e">
        <f>(VLOOKUP($B$3,'Coeff EC7'!$T$39:$X$59,2,0)*BP321+VLOOKUP($B$3,'Coeff EC7'!$T$65:$X$85,2,0)*Model0.1C!BQ321)/1.1</f>
        <v>#N/A</v>
      </c>
      <c r="BS321" s="102" t="e">
        <f>(VLOOKUP($B$3,'Coeff EC7'!$T$39:$X$59,3,0)*BP321+VLOOKUP($B$3,'Coeff EC7'!$T$65:$X$85,3,0)*Model0.1C!BQ321)/0.9</f>
        <v>#N/A</v>
      </c>
      <c r="BT321" s="102" t="e">
        <f t="shared" si="478"/>
        <v>#N/A</v>
      </c>
      <c r="BU321" s="102" t="e">
        <f t="shared" si="479"/>
        <v>#N/A</v>
      </c>
      <c r="BV321" s="414" t="e">
        <f>IF(BV320=0,0,IF(AND(BR321&gt;charge_ELS_quasi,BS321&gt;Charge_ELS_freq,BT321&gt;charge_ELU,BU321&gt;charge_ELA,$B321&gt;NDC!$H$22-0.1+MIN(3*$BV$12,1.5)),0,1))</f>
        <v>#N/A</v>
      </c>
      <c r="BW321" s="86" t="b">
        <f t="shared" si="447"/>
        <v>0</v>
      </c>
      <c r="BX321" s="86">
        <f t="shared" si="448"/>
        <v>0.5</v>
      </c>
      <c r="BY321" s="86">
        <f t="shared" si="449"/>
        <v>0.5</v>
      </c>
      <c r="BZ321" s="30" t="e">
        <f t="shared" ca="1" si="480"/>
        <v>#DIV/0!</v>
      </c>
      <c r="CA321" s="85" t="e">
        <f ca="1">IF(BG321&lt;=Hypothèses!$V$7,Hypothèses!$W$7,IF(BG321&lt;=Hypothèses!$V$8,Hypothèses!$W$8,IF(BG321&lt;=Hypothèses!$V$9,Hypothèses!$W$9,IF(BG321&lt;=Hypothèses!$V$10,Hypothèses!$W$10,IF(BG321&lt;=Hypothèses!$V$11,Hypothèses!$W$11,IF(BG321&lt;=Hypothèses!$V$12,Hypothèses!$W$12,IF(BG321&lt;=Hypothèses!$V$13,Hypothèses!$W$13,IF(BG321&lt;=Hypothèses!$V$14,Hypothèses!$W$14,IF(BG321&lt;=Hypothèses!$V$15,Hypothèses!$W$15,IF(BG321&lt;=Hypothèses!$V$16,Hypothèses!$W$16,IF(BG321&lt;=Hypothèses!$V$17,Hypothèses!$W$17,IF(BG321&lt;=Hypothèses!$V$18,Hypothèses!$W$18,""))))))))))))</f>
        <v>#DIV/0!</v>
      </c>
      <c r="CB321" s="87" t="e">
        <f t="shared" ca="1" si="519"/>
        <v>#DIV/0!</v>
      </c>
      <c r="CC321" s="88" t="e">
        <f ca="1">IF(BG321&lt;=Hypothèses!$V$7,Hypothèses!$X$7,IF(BG321&lt;=Hypothèses!$V$8,Hypothèses!$X$8,IF(BG321&lt;=Hypothèses!$V$9,Hypothèses!$X$9,IF(BG321&lt;=Hypothèses!$V$10,Hypothèses!$X$10,IF(BG321&lt;=Hypothèses!$V$11,Hypothèses!$X$11,IF(BG321&lt;=Hypothèses!$V$12,Hypothèses!$X$12,IF(BG321&lt;=Hypothèses!$V$13,Hypothèses!$X$13,IF(BG321&lt;=Hypothèses!$V$14,Hypothèses!$X$14,IF(BG321&lt;=Hypothèses!$V$15,Hypothèses!$X$15,IF(BG321&lt;=Hypothèses!$V$16,Hypothèses!$X$16,IF(BG321&lt;=Hypothèses!$U$17,Hypothèses!$W$17,IF(BG321&lt;=Hypothèses!$U$18,Hypothèses!$W$18,""))))))))))))</f>
        <v>#DIV/0!</v>
      </c>
      <c r="CD321" s="95" t="e">
        <f t="shared" ca="1" si="481"/>
        <v>#DIV/0!</v>
      </c>
      <c r="CE321" s="101" t="e">
        <f t="shared" si="526"/>
        <v>#N/A</v>
      </c>
      <c r="CF321" s="91" t="e">
        <f t="shared" si="450"/>
        <v>#N/A</v>
      </c>
      <c r="CG321" s="30" t="e">
        <f t="shared" si="506"/>
        <v>#N/A</v>
      </c>
      <c r="CH321" s="30" t="e">
        <f t="shared" si="507"/>
        <v>#N/A</v>
      </c>
      <c r="CI321" s="31" t="e">
        <f>IF(OR(Hypothèses!$B$4=17,Hypothèses!$B$4=18,Hypothèses!$B$4=19,Hypothèses!$B$4=20),
IF($D321="Pressio.",
IF(OR($E321=3,$E321=1,$E321=4),CH321,CG321),
IF($D321="Pénétro.",
IF(OR($E321=3,$E321=1,$E321=4),CH321,CG321))),IF($D321="Pressio.",
IF($E321=3,CH321,CG321),
IF($D321="Pénétro.",
IF($E321=4,CH321,CG321))))</f>
        <v>#N/A</v>
      </c>
      <c r="CJ321" s="31" t="e">
        <f>(IF(OR(Hypothèses!$B$4=17,Hypothèses!$B$4=18,Hypothèses!$B$4=19,Hypothèses!$B$4=20),
IF($D321="Pressio.",
IF(OR($E321=3,$E321=1,$E321=4),(PI()*CJ$12^2)/4*(CF321*$W321*1000)/($H321*$B$5),(PI()*CJ$12^2)/4*(CF321*$W321*1000)/($G321*$B$5)),
IF($D321="Pénétro.",
IF(OR($E321=4,$E321=1,$E321=5),(PI()*CJ$12^2)/4*(CF321*$W321*1000)/($H321*$B$5),(PI()*CJ$12^2)/4*(CF321*$W321*1000)/($G321*$B$5)))),
IF($D321="Pressio.",
IF($E321=3,(PI()*CJ$12^2)/4*(CF321*$W321*1000)/($H321*$B$5),(PI()*CJ$12^2)/4*(CF321*$W321*1000)/($G321*$B$5)),
IF($D321="Pénétro.",
IF($E321=4,(PI()*CJ$12^2)/4*(CF321*$W321*1000)/($H321*$B$5),(PI()*CJ$12^2)/4*(CF321*$W321*1000)/($G321*$B$5))))))/10</f>
        <v>#N/A</v>
      </c>
      <c r="CK321" s="102" t="e">
        <f>(VLOOKUP($B$3,'Coeff EC7'!$T$39:$X$59,2,0)*CI321+VLOOKUP($B$3,'Coeff EC7'!$T$65:$X$85,2,0)*Model0.1C!CJ321)/1.1</f>
        <v>#N/A</v>
      </c>
      <c r="CL321" s="102" t="e">
        <f>(VLOOKUP($B$3,'Coeff EC7'!$T$39:$X$59,3,0)*CI321+VLOOKUP($B$3,'Coeff EC7'!$T$65:$X$85,3,0)*Model0.1C!CJ321)/0.9</f>
        <v>#N/A</v>
      </c>
      <c r="CM321" s="102" t="e">
        <f t="shared" si="482"/>
        <v>#N/A</v>
      </c>
      <c r="CN321" s="102" t="e">
        <f t="shared" si="483"/>
        <v>#N/A</v>
      </c>
      <c r="CO321" s="414" t="e">
        <f>IF(CO320=0,0,IF(AND(CK321&gt;charge_ELS_quasi,CL321&gt;Charge_ELS_freq,CM321&gt;charge_ELU,CN321&gt;charge_ELA,$B321&gt;NDC!$H$22-0.1+MIN(3*$CO$12,1.5)),0,1))</f>
        <v>#N/A</v>
      </c>
      <c r="CP321" s="86" t="b">
        <f t="shared" si="451"/>
        <v>0</v>
      </c>
      <c r="CQ321" s="86">
        <f t="shared" si="452"/>
        <v>0.5</v>
      </c>
      <c r="CR321" s="86">
        <f t="shared" si="453"/>
        <v>0.5</v>
      </c>
      <c r="CS321" s="30" t="e">
        <f t="shared" ca="1" si="484"/>
        <v>#DIV/0!</v>
      </c>
      <c r="CT321" s="85" t="e">
        <f ca="1">IF(BZ321&lt;=Hypothèses!$V$7,Hypothèses!$W$7,IF(BZ321&lt;=Hypothèses!$V$8,Hypothèses!$W$8,IF(BZ321&lt;=Hypothèses!$V$9,Hypothèses!$W$9,IF(BZ321&lt;=Hypothèses!$V$10,Hypothèses!$W$10,IF(BZ321&lt;=Hypothèses!$V$11,Hypothèses!$W$11,IF(BZ321&lt;=Hypothèses!$V$12,Hypothèses!$W$12,IF(BZ321&lt;=Hypothèses!$V$13,Hypothèses!$W$13,IF(BZ321&lt;=Hypothèses!$V$14,Hypothèses!$W$14,IF(BZ321&lt;=Hypothèses!$V$15,Hypothèses!$W$15,IF(BZ321&lt;=Hypothèses!$V$16,Hypothèses!$W$16,IF(BZ321&lt;=Hypothèses!$V$17,Hypothèses!$W$17,IF(BZ321&lt;=Hypothèses!$V$18,Hypothèses!$W$18,""))))))))))))</f>
        <v>#DIV/0!</v>
      </c>
      <c r="CU321" s="87" t="e">
        <f t="shared" ca="1" si="520"/>
        <v>#DIV/0!</v>
      </c>
      <c r="CV321" s="88" t="e">
        <f ca="1">IF(BZ321&lt;=Hypothèses!$V$7,Hypothèses!$X$7,IF(BZ321&lt;=Hypothèses!$V$8,Hypothèses!$X$8,IF(BZ321&lt;=Hypothèses!$V$9,Hypothèses!$X$9,IF(BZ321&lt;=Hypothèses!$V$10,Hypothèses!$X$10,IF(BZ321&lt;=Hypothèses!$V$11,Hypothèses!$X$11,IF(BZ321&lt;=Hypothèses!$V$12,Hypothèses!$X$12,IF(BZ321&lt;=Hypothèses!$V$13,Hypothèses!$X$13,IF(BZ321&lt;=Hypothèses!$V$14,Hypothèses!$X$14,IF(BZ321&lt;=Hypothèses!$V$15,Hypothèses!$X$15,IF(BZ321&lt;=Hypothèses!$V$16,Hypothèses!$X$16,IF(BZ321&lt;=Hypothèses!$U$17,Hypothèses!$W$17,IF(BZ321&lt;=Hypothèses!$U$18,Hypothèses!$W$18,""))))))))))))</f>
        <v>#DIV/0!</v>
      </c>
      <c r="CW321" s="95" t="e">
        <f t="shared" ca="1" si="485"/>
        <v>#DIV/0!</v>
      </c>
      <c r="CX321" s="101" t="e">
        <f t="shared" si="527"/>
        <v>#N/A</v>
      </c>
      <c r="CY321" s="91" t="e">
        <f t="shared" si="454"/>
        <v>#N/A</v>
      </c>
      <c r="CZ321" s="30" t="e">
        <f t="shared" si="508"/>
        <v>#N/A</v>
      </c>
      <c r="DA321" s="30" t="e">
        <f t="shared" si="509"/>
        <v>#N/A</v>
      </c>
      <c r="DB321" s="31" t="e">
        <f>IF(OR(Hypothèses!$B$4=17,Hypothèses!$B$4=18,Hypothèses!$B$4=19,Hypothèses!$B$4=20),
IF($D321="Pressio.",
IF(OR($E321=3,$E321=1,$E321=4),DA321,CZ321),
IF($D321="Pénétro.",
IF(OR($E321=3,$E321=1,$E321=4),DA321,CZ321))),IF($D321="Pressio.",
IF($E321=3,DA321,CZ321),
IF($D321="Pénétro.",
IF($E321=4,DA321,CZ321))))</f>
        <v>#N/A</v>
      </c>
      <c r="DC321" s="31" t="e">
        <f>(IF(OR(Hypothèses!$B$4=17,Hypothèses!$B$4=18,Hypothèses!$B$4=19,Hypothèses!$B$4=20),
IF($D321="Pressio.",
IF(OR($E321=3,$E321=1,$E321=4),(PI()*DC$12^2)/4*(CY321*$W321*1000)/($H321*$B$5),(PI()*DC$12^2)/4*(CY321*$W321*1000)/($G321*$B$5)),
IF($D321="Pénétro.",
IF(OR($E321=4,$E321=1,$E321=5),(PI()*DC$12^2)/4*(CY321*$W321*1000)/($H321*$B$5),(PI()*DC$12^2)/4*(CY321*$W321*1000)/($G321*$B$5)))),
IF($D321="Pressio.",
IF($E321=3,(PI()*DC$12^2)/4*(CY321*$W321*1000)/($H321*$B$5),(PI()*DC$12^2)/4*(CY321*$W321*1000)/($G321*$B$5)),
IF($D321="Pénétro.",
IF($E321=4,(PI()*DC$12^2)/4*(CY321*$W321*1000)/($H321*$B$5),(PI()*DC$12^2)/4*(CY321*$W321*1000)/($G321*$B$5))))))/10</f>
        <v>#N/A</v>
      </c>
      <c r="DD321" s="102" t="e">
        <f>(VLOOKUP($B$3,'Coeff EC7'!$T$39:$X$59,2,0)*DB321+VLOOKUP($B$3,'Coeff EC7'!$T$65:$X$85,2,0)*Model0.1C!DC321)/1.1</f>
        <v>#N/A</v>
      </c>
      <c r="DE321" s="102" t="e">
        <f>(VLOOKUP($B$3,'Coeff EC7'!$T$39:$X$59,3,0)*DB321+VLOOKUP($B$3,'Coeff EC7'!$T$65:$X$85,3,0)*Model0.1C!DC321)/0.9</f>
        <v>#N/A</v>
      </c>
      <c r="DF321" s="102" t="e">
        <f t="shared" si="486"/>
        <v>#N/A</v>
      </c>
      <c r="DG321" s="102" t="e">
        <f t="shared" si="487"/>
        <v>#N/A</v>
      </c>
      <c r="DH321" s="414" t="e">
        <f>IF(DH320=0,0,IF(AND(DD321&gt;charge_ELS_quasi,DE321&gt;Charge_ELS_freq,DF321&gt;charge_ELU,DG321&gt;charge_ELA,$B321&gt;NDC!$H$22-0.1+MIN(3*$DH$12,1.5)),0,1))</f>
        <v>#N/A</v>
      </c>
      <c r="DI321" s="86" t="b">
        <f t="shared" si="455"/>
        <v>0</v>
      </c>
      <c r="DJ321" s="86">
        <f t="shared" si="456"/>
        <v>0.5</v>
      </c>
      <c r="DK321" s="86">
        <f t="shared" si="457"/>
        <v>0.5</v>
      </c>
      <c r="DL321" s="30" t="e">
        <f t="shared" ca="1" si="488"/>
        <v>#DIV/0!</v>
      </c>
      <c r="DM321" s="85" t="e">
        <f ca="1">IF(CS321&lt;=Hypothèses!$V$7,Hypothèses!$W$7,IF(CS321&lt;=Hypothèses!$V$8,Hypothèses!$W$8,IF(CS321&lt;=Hypothèses!$V$9,Hypothèses!$W$9,IF(CS321&lt;=Hypothèses!$V$10,Hypothèses!$W$10,IF(CS321&lt;=Hypothèses!$V$11,Hypothèses!$W$11,IF(CS321&lt;=Hypothèses!$V$12,Hypothèses!$W$12,IF(CS321&lt;=Hypothèses!$V$13,Hypothèses!$W$13,IF(CS321&lt;=Hypothèses!$V$14,Hypothèses!$W$14,IF(CS321&lt;=Hypothèses!$V$15,Hypothèses!$W$15,IF(CS321&lt;=Hypothèses!$V$16,Hypothèses!$W$16,IF(CS321&lt;=Hypothèses!$V$17,Hypothèses!$W$17,IF(CS321&lt;=Hypothèses!$V$18,Hypothèses!$W$18,""))))))))))))</f>
        <v>#DIV/0!</v>
      </c>
      <c r="DN321" s="87" t="e">
        <f t="shared" ca="1" si="521"/>
        <v>#DIV/0!</v>
      </c>
      <c r="DO321" s="88" t="e">
        <f ca="1">IF(CS321&lt;=Hypothèses!$V$7,Hypothèses!$X$7,IF(CS321&lt;=Hypothèses!$V$8,Hypothèses!$X$8,IF(CS321&lt;=Hypothèses!$V$9,Hypothèses!$X$9,IF(CS321&lt;=Hypothèses!$V$10,Hypothèses!$X$10,IF(CS321&lt;=Hypothèses!$V$11,Hypothèses!$X$11,IF(CS321&lt;=Hypothèses!$V$12,Hypothèses!$X$12,IF(CS321&lt;=Hypothèses!$V$13,Hypothèses!$X$13,IF(CS321&lt;=Hypothèses!$V$14,Hypothèses!$X$14,IF(CS321&lt;=Hypothèses!$V$15,Hypothèses!$X$15,IF(CS321&lt;=Hypothèses!$V$16,Hypothèses!$X$16,IF(CS321&lt;=Hypothèses!$U$17,Hypothèses!$W$17,IF(CS321&lt;=Hypothèses!$U$18,Hypothèses!$W$18,""))))))))))))</f>
        <v>#DIV/0!</v>
      </c>
      <c r="DP321" s="95" t="e">
        <f t="shared" ca="1" si="489"/>
        <v>#DIV/0!</v>
      </c>
      <c r="DQ321" s="101" t="e">
        <f t="shared" si="528"/>
        <v>#N/A</v>
      </c>
      <c r="DR321" s="91" t="e">
        <f t="shared" si="458"/>
        <v>#N/A</v>
      </c>
      <c r="DS321" s="30" t="e">
        <f t="shared" si="510"/>
        <v>#N/A</v>
      </c>
      <c r="DT321" s="30" t="e">
        <f t="shared" si="511"/>
        <v>#N/A</v>
      </c>
      <c r="DU321" s="31" t="e">
        <f>IF(OR(Hypothèses!$B$4=17,Hypothèses!$B$4=18,Hypothèses!$B$4=19,Hypothèses!$B$4=20),
IF($D321="Pressio.",
IF(OR($E321=3,$E321=1,$E321=4),DT321,DS321),
IF($D321="Pénétro.",
IF(OR($E321=3,$E321=1,$E321=4),DT321,DS321))),IF($D321="Pressio.",
IF($E321=3,DT321,DS321),
IF($D321="Pénétro.",
IF($E321=4,DT321,DS321))))</f>
        <v>#N/A</v>
      </c>
      <c r="DV321" s="31" t="e">
        <f>(IF(OR(Hypothèses!$B$4=17,Hypothèses!$B$4=18,Hypothèses!$B$4=19,Hypothèses!$B$4=20),
IF($D321="Pressio.",
IF(OR($E321=3,$E321=1,$E321=4),(PI()*DV$12^2)/4*(DR321*$W321*1000)/($H321*$B$5),(PI()*DV$12^2)/4*(DR321*$W321*1000)/($G321*$B$5)),
IF($D321="Pénétro.",
IF(OR($E321=4,$E321=1,$E321=5),(PI()*DV$12^2)/4*(DR321*$W321*1000)/($H321*$B$5),(PI()*DV$12^2)/4*(DR321*$W321*1000)/($G321*$B$5)))),
IF($D321="Pressio.",
IF($E321=3,(PI()*DV$12^2)/4*(DR321*$W321*1000)/($H321*$B$5),(PI()*DV$12^2)/4*(DR321*$W321*1000)/($G321*$B$5)),
IF($D321="Pénétro.",
IF($E321=4,(PI()*DV$12^2)/4*(DR321*$W321*1000)/($H321*$B$5),(PI()*DV$12^2)/4*(DR321*$W321*1000)/($G321*$B$5))))))/10</f>
        <v>#N/A</v>
      </c>
      <c r="DW321" s="102" t="e">
        <f>(VLOOKUP($B$3,'Coeff EC7'!$T$39:$X$59,2,0)*DU321+VLOOKUP($B$3,'Coeff EC7'!$T$65:$X$85,2,0)*Model0.1C!DV321)/1.1</f>
        <v>#N/A</v>
      </c>
      <c r="DX321" s="102" t="e">
        <f>(VLOOKUP($B$3,'Coeff EC7'!$T$39:$X$59,3,0)*DU321+VLOOKUP($B$3,'Coeff EC7'!$T$65:$X$85,3,0)*Model0.1C!DV321)/0.9</f>
        <v>#N/A</v>
      </c>
      <c r="DY321" s="102" t="e">
        <f t="shared" si="490"/>
        <v>#N/A</v>
      </c>
      <c r="DZ321" s="102" t="e">
        <f t="shared" si="491"/>
        <v>#N/A</v>
      </c>
      <c r="EA321" s="414" t="e">
        <f>IF(EA320=0,0,IF(AND(DW321&gt;charge_ELS_quasi,DX321&gt;Charge_ELS_freq,DY321&gt;charge_ELU,DZ321&gt;charge_ELA,$B321&gt;NDC!$H$22-0.1+MIN(3*$EA$12,1.5)),0,1))</f>
        <v>#N/A</v>
      </c>
      <c r="EB321" s="86" t="b">
        <f t="shared" si="459"/>
        <v>0</v>
      </c>
      <c r="EC321" s="418">
        <f t="shared" si="460"/>
        <v>0.51</v>
      </c>
      <c r="ED321" s="86">
        <f t="shared" si="461"/>
        <v>0.51</v>
      </c>
      <c r="EE321" s="30" t="e">
        <f t="shared" ca="1" si="492"/>
        <v>#DIV/0!</v>
      </c>
      <c r="EF321" s="85" t="e">
        <f ca="1">IF(DL321&lt;=Hypothèses!$V$7,Hypothèses!$W$7,IF(DL321&lt;=Hypothèses!$V$8,Hypothèses!$W$8,IF(DL321&lt;=Hypothèses!$V$9,Hypothèses!$W$9,IF(DL321&lt;=Hypothèses!$V$10,Hypothèses!$W$10,IF(DL321&lt;=Hypothèses!$V$11,Hypothèses!$W$11,IF(DL321&lt;=Hypothèses!$V$12,Hypothèses!$W$12,IF(DL321&lt;=Hypothèses!$V$13,Hypothèses!$W$13,IF(DL321&lt;=Hypothèses!$V$14,Hypothèses!$W$14,IF(DL321&lt;=Hypothèses!$V$15,Hypothèses!$W$15,IF(DL321&lt;=Hypothèses!$V$16,Hypothèses!$W$16,IF(DL321&lt;=Hypothèses!$V$17,Hypothèses!$W$17,IF(DL321&lt;=Hypothèses!$V$18,Hypothèses!$W$18,""))))))))))))</f>
        <v>#DIV/0!</v>
      </c>
      <c r="EG321" s="87" t="e">
        <f t="shared" ca="1" si="522"/>
        <v>#DIV/0!</v>
      </c>
      <c r="EH321" s="88" t="e">
        <f ca="1">IF(DL321&lt;=Hypothèses!$V$7,Hypothèses!$X$7,IF(DL321&lt;=Hypothèses!$V$8,Hypothèses!$X$8,IF(DL321&lt;=Hypothèses!$V$9,Hypothèses!$X$9,IF(DL321&lt;=Hypothèses!$V$10,Hypothèses!$X$10,IF(DL321&lt;=Hypothèses!$V$11,Hypothèses!$X$11,IF(DL321&lt;=Hypothèses!$V$12,Hypothèses!$X$12,IF(DL321&lt;=Hypothèses!$V$13,Hypothèses!$X$13,IF(DL321&lt;=Hypothèses!$V$14,Hypothèses!$X$14,IF(DL321&lt;=Hypothèses!$V$15,Hypothèses!$X$15,IF(DL321&lt;=Hypothèses!$V$16,Hypothèses!$X$16,IF(DL321&lt;=Hypothèses!$U$17,Hypothèses!$W$17,IF(DL321&lt;=Hypothèses!$U$18,Hypothèses!$W$18,""))))))))))))</f>
        <v>#DIV/0!</v>
      </c>
      <c r="EI321" s="95" t="e">
        <f t="shared" ca="1" si="493"/>
        <v>#DIV/0!</v>
      </c>
      <c r="EJ321" s="101" t="e">
        <f t="shared" si="529"/>
        <v>#N/A</v>
      </c>
      <c r="EK321" s="91" t="e">
        <f t="shared" si="462"/>
        <v>#N/A</v>
      </c>
      <c r="EL321" s="30" t="e">
        <f t="shared" si="512"/>
        <v>#N/A</v>
      </c>
      <c r="EM321" s="30" t="e">
        <f t="shared" si="513"/>
        <v>#N/A</v>
      </c>
      <c r="EN321" s="31" t="e">
        <f>IF(OR(Hypothèses!$B$4=17,Hypothèses!$B$4=18,Hypothèses!$B$4=19,Hypothèses!$B$4=20),
IF($D321="Pressio.",
IF(OR($E321=3,$E321=1,$E321=4),EM321,EL321),
IF($D321="Pénétro.",
IF(OR($E321=3,$E321=1,$E321=4),EM321,EL321))),IF($D321="Pressio.",
IF($E321=3,EM321,EL321),
IF($D321="Pénétro.",
IF($E321=4,EM321,EL321))))</f>
        <v>#N/A</v>
      </c>
      <c r="EO321" s="31" t="e">
        <f>(IF(OR(Hypothèses!$B$4=17,Hypothèses!$B$4=18,Hypothèses!$B$4=19,Hypothèses!$B$4=20),
IF($D321="Pressio.",
IF(OR($E321=3,$E321=1,$E321=4),(PI()*EO$12^2)/4*(EK321*$W321*1000)/($H321*$B$5),(PI()*EO$12^2)/4*(EK321*$W321*1000)/($G321*$B$5)),
IF($D321="Pénétro.",
IF(OR($E321=4,$E321=1,$E321=5),(PI()*EO$12^2)/4*(EK321*$W321*1000)/($H321*$B$5),(PI()*EO$12^2)/4*(EK321*$W321*1000)/($G321*$B$5)))),
IF($D321="Pressio.",
IF($E321=3,(PI()*EO$12^2)/4*(EK321*$W321*1000)/($H321*$B$5),(PI()*EO$12^2)/4*(EK321*$W321*1000)/($G321*$B$5)),
IF($D321="Pénétro.",
IF($E321=4,(PI()*EO$12^2)/4*(EK321*$W321*1000)/($H321*$B$5),(PI()*EO$12^2)/4*(EK321*$W321*1000)/($G321*$B$5))))))/10</f>
        <v>#N/A</v>
      </c>
      <c r="EP321" s="102" t="e">
        <f>(VLOOKUP($B$3,'Coeff EC7'!$T$39:$X$59,2,0)*EN321+VLOOKUP($B$3,'Coeff EC7'!$T$65:$X$85,2,0)*Model0.1C!EO321)/1.1</f>
        <v>#N/A</v>
      </c>
      <c r="EQ321" s="102" t="e">
        <f>(VLOOKUP($B$3,'Coeff EC7'!$T$39:$X$59,3,0)*EN321+VLOOKUP($B$3,'Coeff EC7'!$T$65:$X$85,3,0)*Model0.1C!EO321)/0.9</f>
        <v>#N/A</v>
      </c>
      <c r="ER321" s="102" t="e">
        <f t="shared" si="494"/>
        <v>#N/A</v>
      </c>
      <c r="ES321" s="102" t="e">
        <f t="shared" si="495"/>
        <v>#N/A</v>
      </c>
      <c r="ET321" s="414" t="e">
        <f>IF(ET320=0,0,IF(AND(EP321&gt;charge_ELS_quasi,EQ321&gt;Charge_ELS_freq,ER321&gt;charge_ELU,ES321&gt;charge_ELA,$B321&gt;NDC!$H$22-0.1+MIN(3*$ET$12,1.5)),0,1))</f>
        <v>#N/A</v>
      </c>
      <c r="EU321" s="86" t="b">
        <f t="shared" si="463"/>
        <v>0</v>
      </c>
      <c r="EV321" s="86">
        <f t="shared" si="464"/>
        <v>0.61</v>
      </c>
      <c r="EW321" s="86">
        <f t="shared" si="465"/>
        <v>0.61</v>
      </c>
      <c r="EX321" s="30" t="e">
        <f t="shared" ca="1" si="496"/>
        <v>#DIV/0!</v>
      </c>
      <c r="EY321" s="85" t="e">
        <f ca="1">IF(EE321&lt;=Hypothèses!$V$7,Hypothèses!$W$7,IF(EE321&lt;=Hypothèses!$V$8,Hypothèses!$W$8,IF(EE321&lt;=Hypothèses!$V$9,Hypothèses!$W$9,IF(EE321&lt;=Hypothèses!$V$10,Hypothèses!$W$10,IF(EE321&lt;=Hypothèses!$V$11,Hypothèses!$W$11,IF(EE321&lt;=Hypothèses!$V$12,Hypothèses!$W$12,IF(EE321&lt;=Hypothèses!$V$13,Hypothèses!$W$13,IF(EE321&lt;=Hypothèses!$V$14,Hypothèses!$W$14,IF(EE321&lt;=Hypothèses!$V$15,Hypothèses!$W$15,IF(EE321&lt;=Hypothèses!$V$16,Hypothèses!$W$16,IF(EE321&lt;=Hypothèses!$V$17,Hypothèses!$W$17,IF(EE321&lt;=Hypothèses!$V$18,Hypothèses!$W$18,""))))))))))))</f>
        <v>#DIV/0!</v>
      </c>
      <c r="EZ321" s="87" t="e">
        <f t="shared" ca="1" si="523"/>
        <v>#DIV/0!</v>
      </c>
      <c r="FA321" s="88" t="e">
        <f ca="1">IF(EE321&lt;=Hypothèses!$V$7,Hypothèses!$X$7,IF(EE321&lt;=Hypothèses!$V$8,Hypothèses!$X$8,IF(EE321&lt;=Hypothèses!$V$9,Hypothèses!$X$9,IF(EE321&lt;=Hypothèses!$V$10,Hypothèses!$X$10,IF(EE321&lt;=Hypothèses!$V$11,Hypothèses!$X$11,IF(EE321&lt;=Hypothèses!$V$12,Hypothèses!$X$12,IF(EE321&lt;=Hypothèses!$V$13,Hypothèses!$X$13,IF(EE321&lt;=Hypothèses!$V$14,Hypothèses!$X$14,IF(EE321&lt;=Hypothèses!$V$15,Hypothèses!$X$15,IF(EE321&lt;=Hypothèses!$V$16,Hypothèses!$X$16,IF(EE321&lt;=Hypothèses!$U$17,Hypothèses!$W$17,IF(EE321&lt;=Hypothèses!$U$18,Hypothèses!$W$18,""))))))))))))</f>
        <v>#DIV/0!</v>
      </c>
      <c r="FB321" s="95" t="e">
        <f t="shared" ca="1" si="497"/>
        <v>#DIV/0!</v>
      </c>
      <c r="FC321" s="101" t="e">
        <f t="shared" si="530"/>
        <v>#N/A</v>
      </c>
      <c r="FD321" s="91" t="e">
        <f t="shared" si="466"/>
        <v>#N/A</v>
      </c>
      <c r="FE321" s="30" t="e">
        <f t="shared" si="514"/>
        <v>#N/A</v>
      </c>
      <c r="FF321" s="30" t="e">
        <f t="shared" si="515"/>
        <v>#N/A</v>
      </c>
      <c r="FG321" s="31" t="e">
        <f>IF(OR(Hypothèses!$B$4=17,Hypothèses!$B$4=18,Hypothèses!$B$4=19,Hypothèses!$B$4=20),
IF($D321="Pressio.",
IF(OR($E321=3,$E321=1,$E321=4),FF321,FE321),
IF($D321="Pénétro.",
IF(OR($E321=3,$E321=1,$E321=4),FF321,FE321))),IF($D321="Pressio.",
IF($E321=3,FF321,FE321),
IF($D321="Pénétro.",
IF($E321=4,FF321,FE321))))</f>
        <v>#N/A</v>
      </c>
      <c r="FH321" s="31" t="e">
        <f>(IF(OR(Hypothèses!$B$4=17,Hypothèses!$B$4=18,Hypothèses!$B$4=19,Hypothèses!$B$4=20),
IF($D321="Pressio.",
IF(OR($E321=3,$E321=1,$E321=4),(PI()*FH$12^2)/4*(FD321*$W321*1000)/($H321*$B$5),(PI()*FH$12^2)/4*(FD321*$W321*1000)/($G321*$B$5)),
IF($D321="Pénétro.",
IF(OR($E321=4,$E321=1,$E321=5),(PI()*FH$12^2)/4*(FD321*$W321*1000)/($H321*$B$5),(PI()*FH$12^2)/4*(FD321*$W321*1000)/($G321*$B$5)))),
IF($D321="Pressio.",
IF($E321=3,(PI()*FH$12^2)/4*(FD321*$W321*1000)/($H321*$B$5),(PI()*FH$12^2)/4*(FD321*$W321*1000)/($G321*$B$5)),
IF($D321="Pénétro.",
IF($E321=4,(PI()*FH$12^2)/4*(FD321*$W321*1000)/($H321*$B$5),(PI()*FH$12^2)/4*(FD321*$W321*1000)/($G321*$B$5))))))/10</f>
        <v>#N/A</v>
      </c>
      <c r="FI321" s="102" t="e">
        <f>(VLOOKUP($B$3,'Coeff EC7'!$T$39:$X$59,2,0)*FG321+VLOOKUP($B$3,'Coeff EC7'!$T$65:$X$85,2,0)*Model0.1C!FH321)/1.1</f>
        <v>#N/A</v>
      </c>
      <c r="FJ321" s="102" t="e">
        <f>(VLOOKUP($B$3,'Coeff EC7'!$T$39:$X$59,3,0)*FG321+VLOOKUP($B$3,'Coeff EC7'!$T$65:$X$85,3,0)*Model0.1C!FH321)/0.9</f>
        <v>#N/A</v>
      </c>
      <c r="FK321" s="102" t="e">
        <f t="shared" si="498"/>
        <v>#N/A</v>
      </c>
      <c r="FL321" s="102" t="e">
        <f t="shared" si="499"/>
        <v>#N/A</v>
      </c>
      <c r="FM321" s="414" t="e">
        <f>IF(FM320=0,0,IF(AND(FI321&gt;charge_ELS_quasi,FJ321&gt;Charge_ELS_freq,FK321&gt;charge_ELU,FL321&gt;charge_ELA,$B321&gt;NDC!$H$22-0.1+MIN(3*$FM$12,1.5)),0,1))</f>
        <v>#N/A</v>
      </c>
    </row>
    <row r="322" spans="1:169">
      <c r="A322" s="96">
        <f t="shared" si="467"/>
        <v>69.100000000001756</v>
      </c>
      <c r="B322" s="97">
        <v>30.9</v>
      </c>
      <c r="C322" s="81">
        <f>IF(B322&lt;=Hypothèses!$C$7,Hypothèses!$A$7,IF(B322&lt;=Hypothèses!$C$8,Hypothèses!$A$8,IF(B322&lt;=Hypothèses!$C$9,Hypothèses!$A$9,IF(B322&lt;=Hypothèses!$C$10,Hypothèses!$A$10,IF(B322&lt;=Hypothèses!$C$11,Hypothèses!$A$11,IF(B322&lt;=Hypothèses!$C$12,Hypothèses!$A$12,IF(B322&lt;=Hypothèses!$C$13,Hypothèses!$A$13,IF(B322&lt;=Hypothèses!$C$14,Hypothèses!$A$14,IF(B322&lt;=Hypothèses!$C$15,Hypothèses!$A$15,IF(B322&lt;=Hypothèses!$C$16,Hypothèses!$A$16,IF(B322&lt;=Hypothèses!$C$17,Hypothèses!$A$17,IF(B322&lt;=Hypothèses!$C$18,Hypothèses!$A$18,C321))))))))))))</f>
        <v>11</v>
      </c>
      <c r="D322" s="82" t="str">
        <f>IF(B322&lt;=Hypothèses!$C$7,Hypothèses!$R$7,IF(B322&lt;=Hypothèses!$C$8,Hypothèses!$R$8,IF(B322&lt;=Hypothèses!$C$9,Hypothèses!$R$9,IF(B322&lt;=Hypothèses!$C$10,Hypothèses!$R$10,IF(B322&lt;=Hypothèses!$C$11,Hypothèses!$R$11,IF(B322&lt;=Hypothèses!$C$12,Hypothèses!$R$12,IF(B322&lt;=Hypothèses!$C$13,Hypothèses!$R$13,IF(B322&lt;=Hypothèses!$C$14,Hypothèses!$R$14,IF(B322&lt;=Hypothèses!$C$15,Hypothèses!$R$15,IF(B322&lt;=Hypothèses!$C$16,Hypothèses!$R$16,IF(B322&lt;=Hypothèses!$C$17,Hypothèses!$R$17,IF(B322&lt;=Hypothèses!$C$18,Hypothèses!$R$18,D321))))))))))))</f>
        <v>Pressio.</v>
      </c>
      <c r="E322" s="82" t="e">
        <f>IF(B322&lt;=Hypothèses!$C$7,Hypothèses!$G$7,IF(B322&lt;=Hypothèses!$C$8,Hypothèses!$G$8,IF(B322&lt;=Hypothèses!$C$9,Hypothèses!$G$9,IF(B322&lt;=Hypothèses!$C$10,Hypothèses!$G$10,IF(B322&lt;=Hypothèses!$C$11,Hypothèses!$G$11,IF(B322&lt;=Hypothèses!$C$12,Hypothèses!$G$12,IF(B322&lt;=Hypothèses!$C$13,Hypothèses!$G$13,IF(B322&lt;=Hypothèses!$C$14,Hypothèses!$G$14,IF(B322&lt;=Hypothèses!$C$15,Hypothèses!$G$15,IF(B322&lt;=Hypothèses!$C$16,Hypothèses!$G$16,IF(B322&lt;=Hypothèses!$C$17,Hypothèses!$G$17,IF(B322&lt;=Hypothèses!$C$18,Hypothèses!$G$18,E321))))))))))))</f>
        <v>#N/A</v>
      </c>
      <c r="F322" s="82" t="str">
        <f>IF(B322&lt;=Hypothèses!$C$7,Hypothèses!$F$7,IF(B322&lt;=Hypothèses!$C$8,Hypothèses!$F$8,IF(B322&lt;=Hypothèses!$C$9,Hypothèses!$F$9,IF(B322&lt;=Hypothèses!$C$10,Hypothèses!$F$10,IF(B322&lt;=Hypothèses!$C$11,Hypothèses!$F$11,IF(B322&lt;=Hypothèses!$C$12,Hypothèses!$F$12,IF(B322&lt;=Hypothèses!$C$13,Hypothèses!$F$13,IF(B322&lt;=Hypothèses!$C$14,Hypothèses!$F$14,IF(B322&lt;=Hypothèses!$C$15,Hypothèses!$F$15,IF(B322&lt;=Hypothèses!$C$16,Hypothèses!$F$16,IF(B322&lt;=Hypothèses!$C$17,Hypothèses!$F$17,IF(B322&lt;=Hypothèses!$C$18,Hypothèses!$F$18,F321))))))))))))</f>
        <v/>
      </c>
      <c r="G322" s="91">
        <f t="array" ref="G322">INDEX('Coeff EC7'!$U$7:$X$27,
MATCH(Model0.1C!$B$3,'Coeff EC7'!$T$7:$T$27,0),
MATCH(Model0.1C!$D322&amp;Model0.1C!$B$4,
'Coeff EC7'!$U$6:$X$6&amp;
'Coeff EC7'!$U$5:$X$5,0))</f>
        <v>1.1499999999999999</v>
      </c>
      <c r="H322" s="91">
        <f t="array" ref="H322">INDEX('Coeff EC7'!$Y$7:$AB$27,
MATCH(Model0.1C!$B$3,'Coeff EC7'!$T$7:$T$27,0),
MATCH(Model0.1C!$D322&amp;Model0.1C!$B$4,
'Coeff EC7'!$Y$6:$AB$6&amp;
'Coeff EC7'!$Y$5:$AB$5,0))</f>
        <v>1.4</v>
      </c>
      <c r="I322" s="83" t="e">
        <f>IF(B322&lt;=Hypothèses!$C$7,Hypothèses!$P$7,IF(B322&lt;=Hypothèses!$C$8,Hypothèses!$P$8,IF(B322&lt;=Hypothèses!$C$9,Hypothèses!$P$9,IF(B322&lt;=Hypothèses!$C$10,Hypothèses!$P$10,IF(B322&lt;=Hypothèses!$C$11,Hypothèses!$P$11,IF(B322&lt;=Hypothèses!$C$12,Hypothèses!$P$12,IF(B322&lt;=Hypothèses!$C$13,Hypothèses!$P$13,IF(B322&lt;=Hypothèses!$C$14,Hypothèses!$P$14,IF(B322&lt;=Hypothèses!$C$15,Hypothèses!$P$15,IF(B322&lt;=Hypothèses!$C$16,Hypothèses!$P$16,IF(B322&lt;=Hypothèses!$C$17,Hypothèses!$P$17,IF(B322&lt;=Hypothèses!$C$18,Hypothèses!$P$18,I321))))))))))))</f>
        <v>#N/A</v>
      </c>
      <c r="J322" s="91" t="e">
        <f t="array" ref="J322">INDEX('Coeff EC7'!$D$33:$Q$33,1,MATCH(D322&amp;E322,'Coeff EC7'!$D$31:$Q$31&amp;'Coeff EC7'!$D$32:$Q$32,0))</f>
        <v>#N/A</v>
      </c>
      <c r="K322" s="91" t="e">
        <f t="array" ref="K322">INDEX('Coeff EC7'!$D$34:$Q$34,1,MATCH(D322&amp;E322,'Coeff EC7'!$D$31:$Q$31&amp;'Coeff EC7'!$D$32:$Q$32,0))</f>
        <v>#N/A</v>
      </c>
      <c r="L322" s="91" t="e">
        <f t="array" ref="L322">INDEX('Coeff EC7'!$D$35:$Q$35,1,MATCH(D322&amp;E322,'Coeff EC7'!$D$31:$Q$31&amp;'Coeff EC7'!$D$32:$Q$32,0))</f>
        <v>#N/A</v>
      </c>
      <c r="M322" s="98" t="e">
        <f t="shared" si="431"/>
        <v>#N/A</v>
      </c>
      <c r="N322" s="99" t="e">
        <f t="array" ref="N322">INDEX('Coeff EC7'!$D$7:$Q$27,MATCH($B$3,'Coeff EC7'!$C$7:$C$27,0),MATCH(D322&amp;E322,'Coeff EC7'!$D$5:$Q$5&amp;'Coeff EC7'!$D$6:$Q$6,0))</f>
        <v>#N/A</v>
      </c>
      <c r="O322" s="99" t="e">
        <f t="array" ref="O322">INDEX('Coeff EC7'!$D$41:$Q$61,MATCH($B$3,'Coeff EC7'!$C$41:$C$61,0),MATCH(D322&amp;E322,'Coeff EC7'!$D$39:$Q$39&amp;'Coeff EC7'!$D$40:$Q$40,0))</f>
        <v>#N/A</v>
      </c>
      <c r="P322" s="30" t="e">
        <f t="shared" si="468"/>
        <v>#N/A</v>
      </c>
      <c r="Q322" s="100" t="e">
        <f t="shared" si="433"/>
        <v>#N/A</v>
      </c>
      <c r="R322" s="86" t="b">
        <f t="shared" si="434"/>
        <v>0</v>
      </c>
      <c r="S322" s="86">
        <f t="shared" si="432"/>
        <v>0.5</v>
      </c>
      <c r="T322" s="86">
        <f t="shared" si="435"/>
        <v>0.5</v>
      </c>
      <c r="U322" s="30" t="e">
        <f t="shared" ca="1" si="469"/>
        <v>#DIV/0!</v>
      </c>
      <c r="V322" s="85" t="str">
        <f>IF(B322&lt;=Hypothèses!$V$7,Hypothèses!$W$7,IF(B322&lt;=Hypothèses!$V$8,Hypothèses!$W$8,IF(B322&lt;=Hypothèses!$V$9,Hypothèses!$W$9,IF(B322&lt;=Hypothèses!$V$10,Hypothèses!$W$10,IF(B322&lt;=Hypothèses!$V$11,Hypothèses!$W$11,IF(B322&lt;=Hypothèses!$V$12,Hypothèses!$W$12,IF(B322&lt;=Hypothèses!$V$13,Hypothèses!$W$13,IF(B322&lt;=Hypothèses!$V$14,Hypothèses!$W$14,IF(B322&lt;=Hypothèses!$V$15,Hypothèses!$W$15,IF(B322&lt;=Hypothèses!$V$16,Hypothèses!$W$16,IF(B322&lt;=Hypothèses!$V$17,Hypothèses!$W$17,IF(B322&lt;=Hypothèses!$V$18,Hypothèses!$W$18,""))))))))))))</f>
        <v/>
      </c>
      <c r="W322" s="87" t="e">
        <f t="shared" ca="1" si="516"/>
        <v>#DIV/0!</v>
      </c>
      <c r="X322" s="88" t="str">
        <f>IF(B322&lt;=Hypothèses!$V$7,Hypothèses!$X$7,IF(B322&lt;=Hypothèses!$V$8,Hypothèses!$X$8,IF(B322&lt;=Hypothèses!$V$9,Hypothèses!$X$9,IF(B322&lt;=Hypothèses!$V$10,Hypothèses!$X$10,IF(B322&lt;=Hypothèses!$V$11,Hypothèses!$X$11,IF(B322&lt;=Hypothèses!$V$12,Hypothèses!$X$12,IF(B322&lt;=Hypothèses!$V$13,Hypothèses!$X$13,IF(B322&lt;=Hypothèses!$V$14,Hypothèses!$X$14,IF(B322&lt;=Hypothèses!$V$15,Hypothèses!$X$15,IF(B322&lt;=Hypothèses!$V$16,Hypothèses!$X$16,IF(B322&lt;=Hypothèses!$U$17,Hypothèses!$W$17,IF(B322&lt;=Hypothèses!$U$18,Hypothèses!$W$18,""))))))))))))</f>
        <v/>
      </c>
      <c r="Y322" s="95" t="e">
        <f t="shared" ca="1" si="436"/>
        <v>#DIV/0!</v>
      </c>
      <c r="Z322" s="101" t="e">
        <f t="shared" si="437"/>
        <v>#N/A</v>
      </c>
      <c r="AA322" s="91" t="e">
        <f t="shared" si="438"/>
        <v>#N/A</v>
      </c>
      <c r="AB322" s="30" t="e">
        <f t="shared" si="500"/>
        <v>#N/A</v>
      </c>
      <c r="AC322" s="30" t="e">
        <f t="shared" si="501"/>
        <v>#N/A</v>
      </c>
      <c r="AD322" s="31" t="e">
        <f>IF(OR(Hypothèses!$B$4=17,Hypothèses!$B$4=18,Hypothèses!$B$4=19,Hypothèses!$B$4=20),
IF($D322="Pressio.",
IF(OR($E322=3,$E322=1,$E322=4),AC322,AB322),
IF($D322="Pénétro.",
IF(OR($E322=3,$E322=1,$E322=4),AC322,AB322))),IF($D322="Pressio.",
IF($E322=3,AC322,AB322),
IF($D322="Pénétro.",
IF($E322=4,AC322,AB322))))</f>
        <v>#N/A</v>
      </c>
      <c r="AE322" s="31" t="e">
        <f>(IF(OR(Hypothèses!$B$4=17,Hypothèses!$B$4=18,Hypothèses!$B$4=19,Hypothèses!$B$4=20),
IF($D322="Pressio.",
IF(OR($E322=3,$E322=1,$E322=4),(PI()*AE$12^2)/4*(AA322*$W322*1000)/($H322*$B$5),(PI()*AE$12^2)/4*(AA322*$W322*1000)/($G322*$B$5)),
IF($D322="Pénétro.",
IF(OR($E322=4,$E322=1,$E322=5),(PI()*AE$12^2)/4*(AA322*$W322*1000)/($H322*$B$5),(PI()*AE$12^2)/4*(AA322*$W322*1000)/($G322*$B$5)))),
IF($D322="Pressio.",
IF($E322=3,(PI()*AE$12^2)/4*(AA322*$W322*1000)/($H322*$B$5),(PI()*AE$12^2)/4*(AA322*$W322*1000)/($G322*$B$5)),
IF($D322="Pénétro.",
IF($E322=4,(PI()*AE$12^2)/4*(AA322*$W322*1000)/($H322*$B$5),(PI()*AE$12^2)/4*(AA322*$W322*1000)/($G322*$B$5))))))/10</f>
        <v>#N/A</v>
      </c>
      <c r="AF322" s="102" t="e">
        <f>(VLOOKUP($B$3,'Coeff EC7'!$T$39:$X$59,2,0)*AD322+VLOOKUP($B$3,'Coeff EC7'!$T$65:$X$85,2,0)*Model0.1C!AE322)/1.1</f>
        <v>#N/A</v>
      </c>
      <c r="AG322" s="102" t="e">
        <f>(VLOOKUP($B$3,'Coeff EC7'!$T$39:$X$59,3,0)*AD322+VLOOKUP($B$3,'Coeff EC7'!$T$65:$X$85,3,0)*Model0.1C!AE322)/0.9</f>
        <v>#N/A</v>
      </c>
      <c r="AH322" s="102" t="e">
        <f t="shared" si="439"/>
        <v>#N/A</v>
      </c>
      <c r="AI322" s="102" t="e">
        <f t="shared" si="440"/>
        <v>#N/A</v>
      </c>
      <c r="AJ322" s="414" t="e">
        <f>IF(AJ321=0,0,IF(AND(AF322&gt;charge_ELS_quasi,AG322&gt;Charge_ELS_freq,AH322&gt;charge_ELU,AI322&gt;charge_ELA,$B322&gt;NDC!$H$22-0.1+MIN(3*$AJ$12,1.5)),0,1))</f>
        <v>#N/A</v>
      </c>
      <c r="AK322" s="86" t="b">
        <f t="shared" si="441"/>
        <v>0</v>
      </c>
      <c r="AL322" s="86">
        <f t="shared" si="470"/>
        <v>0.5</v>
      </c>
      <c r="AM322" s="86">
        <f t="shared" si="442"/>
        <v>0.5</v>
      </c>
      <c r="AN322" s="30" t="e">
        <f t="shared" ca="1" si="471"/>
        <v>#DIV/0!</v>
      </c>
      <c r="AO322" s="85" t="e">
        <f ca="1">IF(U322&lt;=Hypothèses!$V$7,Hypothèses!$W$7,IF(U322&lt;=Hypothèses!$V$8,Hypothèses!$W$8,IF(U322&lt;=Hypothèses!$V$9,Hypothèses!$W$9,IF(U322&lt;=Hypothèses!$V$10,Hypothèses!$W$10,IF(U322&lt;=Hypothèses!$V$11,Hypothèses!$W$11,IF(U322&lt;=Hypothèses!$V$12,Hypothèses!$W$12,IF(U322&lt;=Hypothèses!$V$13,Hypothèses!$W$13,IF(U322&lt;=Hypothèses!$V$14,Hypothèses!$W$14,IF(U322&lt;=Hypothèses!$V$15,Hypothèses!$W$15,IF(U322&lt;=Hypothèses!$V$16,Hypothèses!$W$16,IF(U322&lt;=Hypothèses!$V$17,Hypothèses!$W$17,IF(U322&lt;=Hypothèses!$V$18,Hypothèses!$W$18,""))))))))))))</f>
        <v>#DIV/0!</v>
      </c>
      <c r="AP322" s="87" t="e">
        <f t="shared" ca="1" si="517"/>
        <v>#DIV/0!</v>
      </c>
      <c r="AQ322" s="88" t="e">
        <f ca="1">IF(U322&lt;=Hypothèses!$V$7,Hypothèses!$X$7,IF(U322&lt;=Hypothèses!$V$8,Hypothèses!$X$8,IF(U322&lt;=Hypothèses!$V$9,Hypothèses!$X$9,IF(U322&lt;=Hypothèses!$V$10,Hypothèses!$X$10,IF(U322&lt;=Hypothèses!$V$11,Hypothèses!$X$11,IF(U322&lt;=Hypothèses!$V$12,Hypothèses!$X$12,IF(U322&lt;=Hypothèses!$V$13,Hypothèses!$X$13,IF(U322&lt;=Hypothèses!$V$14,Hypothèses!$X$14,IF(U322&lt;=Hypothèses!$V$15,Hypothèses!$X$15,IF(U322&lt;=Hypothèses!$V$16,Hypothèses!$X$16,IF(U322&lt;=Hypothèses!$U$17,Hypothèses!$W$17,IF(U322&lt;=Hypothèses!$U$18,Hypothèses!$W$18,""))))))))))))</f>
        <v>#DIV/0!</v>
      </c>
      <c r="AR322" s="95" t="e">
        <f t="shared" ca="1" si="472"/>
        <v>#DIV/0!</v>
      </c>
      <c r="AS322" s="101" t="e">
        <f t="shared" si="524"/>
        <v>#N/A</v>
      </c>
      <c r="AT322" s="91" t="e">
        <f t="shared" si="443"/>
        <v>#N/A</v>
      </c>
      <c r="AU322" s="30" t="e">
        <f t="shared" si="502"/>
        <v>#N/A</v>
      </c>
      <c r="AV322" s="30" t="e">
        <f t="shared" si="503"/>
        <v>#N/A</v>
      </c>
      <c r="AW322" s="31" t="e">
        <f>IF(OR(Hypothèses!$B$4=17,Hypothèses!$B$4=18,Hypothèses!$B$4=19,Hypothèses!$B$4=20),
IF($D322="Pressio.",
IF(OR($E322=3,$E322=1,$E322=4),AV322,AU322),
IF($D322="Pénétro.",
IF(OR($E322=3,$E322=1,$E322=4),AV322,AU322))),IF($D322="Pressio.",
IF($E322=3,AV322,AU322),
IF($D322="Pénétro.",
IF($E322=4,AV322,AU322))))</f>
        <v>#N/A</v>
      </c>
      <c r="AX322" s="31" t="e">
        <f>(IF(OR(Hypothèses!$B$4=17,Hypothèses!$B$4=18,Hypothèses!$B$4=19,Hypothèses!$B$4=20),
IF($D322="Pressio.",
IF(OR($E322=3,$E322=1,$E322=4),(PI()*AX$12^2)/4*(AT322*$W322*1000)/($H322*$B$5),(PI()*AX$12^2)/4*(AT322*$W322*1000)/($G322*$B$5)),
IF($D322="Pénétro.",
IF(OR($E322=4,$E322=1,$E322=5),(PI()*AX$12^2)/4*(AT322*$W322*1000)/($H322*$B$5),(PI()*AX$12^2)/4*(AT322*$W322*1000)/($G322*$B$5)))),
IF($D322="Pressio.",
IF($E322=3,(PI()*AX$12^2)/4*(AT322*$W322*1000)/($H322*$B$5),(PI()*AX$12^2)/4*(AT322*$W322*1000)/($G322*$B$5)),
IF($D322="Pénétro.",
IF($E322=4,(PI()*AX$12^2)/4*(AT322*$W322*1000)/($H322*$B$5),(PI()*AX$12^2)/4*(AT322*$W322*1000)/($G322*$B$5))))))/10</f>
        <v>#N/A</v>
      </c>
      <c r="AY322" s="102" t="e">
        <f>(VLOOKUP($B$3,'Coeff EC7'!$T$39:$X$59,2,0)*AW322+VLOOKUP($B$3,'Coeff EC7'!$T$65:$X$85,2,0)*Model0.1C!AX322)/1.1</f>
        <v>#N/A</v>
      </c>
      <c r="AZ322" s="102" t="e">
        <f>(VLOOKUP($B$3,'Coeff EC7'!$T$39:$X$59,3,0)*AW322+VLOOKUP($B$3,'Coeff EC7'!$T$65:$X$85,3,0)*Model0.1C!AX322)/0.9</f>
        <v>#N/A</v>
      </c>
      <c r="BA322" s="102" t="e">
        <f t="shared" si="473"/>
        <v>#N/A</v>
      </c>
      <c r="BB322" s="102" t="e">
        <f t="shared" si="474"/>
        <v>#N/A</v>
      </c>
      <c r="BC322" s="414" t="e">
        <f>IF(BC321=0,0,IF(AND(AY322&gt;charge_ELS_quasi,AZ322&gt;Charge_ELS_freq,BA322&gt;charge_ELU,BB322&gt;charge_ELA,$B322&gt;NDC!$H$22-0.1+MIN(3*$BC$12,1.5)),0,1))</f>
        <v>#N/A</v>
      </c>
      <c r="BD322" s="86" t="b">
        <f t="shared" si="444"/>
        <v>0</v>
      </c>
      <c r="BE322" s="86">
        <f t="shared" si="475"/>
        <v>0.5</v>
      </c>
      <c r="BF322" s="86">
        <f t="shared" si="445"/>
        <v>0.5</v>
      </c>
      <c r="BG322" s="30" t="e">
        <f t="shared" ca="1" si="476"/>
        <v>#DIV/0!</v>
      </c>
      <c r="BH322" s="85" t="e">
        <f ca="1">IF(AN322&lt;=Hypothèses!$V$7,Hypothèses!$W$7,IF(AN322&lt;=Hypothèses!$V$8,Hypothèses!$W$8,IF(AN322&lt;=Hypothèses!$V$9,Hypothèses!$W$9,IF(AN322&lt;=Hypothèses!$V$10,Hypothèses!$W$10,IF(AN322&lt;=Hypothèses!$V$11,Hypothèses!$W$11,IF(AN322&lt;=Hypothèses!$V$12,Hypothèses!$W$12,IF(AN322&lt;=Hypothèses!$V$13,Hypothèses!$W$13,IF(AN322&lt;=Hypothèses!$V$14,Hypothèses!$W$14,IF(AN322&lt;=Hypothèses!$V$15,Hypothèses!$W$15,IF(AN322&lt;=Hypothèses!$V$16,Hypothèses!$W$16,IF(AN322&lt;=Hypothèses!$V$17,Hypothèses!$W$17,IF(AN322&lt;=Hypothèses!$V$18,Hypothèses!$W$18,""))))))))))))</f>
        <v>#DIV/0!</v>
      </c>
      <c r="BI322" s="87" t="e">
        <f t="shared" ca="1" si="518"/>
        <v>#DIV/0!</v>
      </c>
      <c r="BJ322" s="88" t="e">
        <f ca="1">IF(AN322&lt;=Hypothèses!$V$7,Hypothèses!$X$7,IF(AN322&lt;=Hypothèses!$V$8,Hypothèses!$X$8,IF(AN322&lt;=Hypothèses!$V$9,Hypothèses!$X$9,IF(AN322&lt;=Hypothèses!$V$10,Hypothèses!$X$10,IF(AN322&lt;=Hypothèses!$V$11,Hypothèses!$X$11,IF(AN322&lt;=Hypothèses!$V$12,Hypothèses!$X$12,IF(AN322&lt;=Hypothèses!$V$13,Hypothèses!$X$13,IF(AN322&lt;=Hypothèses!$V$14,Hypothèses!$X$14,IF(AN322&lt;=Hypothèses!$V$15,Hypothèses!$X$15,IF(AN322&lt;=Hypothèses!$V$16,Hypothèses!$X$16,IF(AN322&lt;=Hypothèses!$U$17,Hypothèses!$W$17,IF(AN322&lt;=Hypothèses!$U$18,Hypothèses!$W$18,""))))))))))))</f>
        <v>#DIV/0!</v>
      </c>
      <c r="BK322" s="95" t="e">
        <f t="shared" ca="1" si="477"/>
        <v>#DIV/0!</v>
      </c>
      <c r="BL322" s="101" t="e">
        <f t="shared" si="525"/>
        <v>#N/A</v>
      </c>
      <c r="BM322" s="91" t="e">
        <f t="shared" si="446"/>
        <v>#N/A</v>
      </c>
      <c r="BN322" s="30" t="e">
        <f t="shared" si="504"/>
        <v>#N/A</v>
      </c>
      <c r="BO322" s="30" t="e">
        <f t="shared" si="505"/>
        <v>#N/A</v>
      </c>
      <c r="BP322" s="31" t="e">
        <f>IF(OR(Hypothèses!$B$4=17,Hypothèses!$B$4=18,Hypothèses!$B$4=19,Hypothèses!$B$4=20),
IF($D322="Pressio.",
IF(OR($E322=3,$E322=1,$E322=4),BO322,BN322),
IF($D322="Pénétro.",
IF(OR($E322=3,$E322=1,$E322=4),BO322,BN322))),IF($D322="Pressio.",
IF($E322=3,BO322,BN322),
IF($D322="Pénétro.",
IF($E322=4,BO322,BN322))))</f>
        <v>#N/A</v>
      </c>
      <c r="BQ322" s="31" t="e">
        <f>(IF(OR(Hypothèses!$B$4=17,Hypothèses!$B$4=18,Hypothèses!$B$4=19,Hypothèses!$B$4=20),
IF($D322="Pressio.",
IF(OR($E322=3,$E322=1,$E322=4),(PI()*BQ$12^2)/4*(BM322*$W322*1000)/($H322*$B$5),(PI()*BQ$12^2)/4*(BM322*$W322*1000)/($G322*$B$5)),
IF($D322="Pénétro.",
IF(OR($E322=4,$E322=1,$E322=5),(PI()*BQ$12^2)/4*(BM322*$W322*1000)/($H322*$B$5),(PI()*BQ$12^2)/4*(BM322*$W322*1000)/($G322*$B$5)))),
IF($D322="Pressio.",
IF($E322=3,(PI()*BQ$12^2)/4*(BM322*$W322*1000)/($H322*$B$5),(PI()*BQ$12^2)/4*(BM322*$W322*1000)/($G322*$B$5)),
IF($D322="Pénétro.",
IF($E322=4,(PI()*BQ$12^2)/4*(BM322*$W322*1000)/($H322*$B$5),(PI()*BQ$12^2)/4*(BM322*$W322*1000)/($G322*$B$5))))))/10</f>
        <v>#N/A</v>
      </c>
      <c r="BR322" s="102" t="e">
        <f>(VLOOKUP($B$3,'Coeff EC7'!$T$39:$X$59,2,0)*BP322+VLOOKUP($B$3,'Coeff EC7'!$T$65:$X$85,2,0)*Model0.1C!BQ322)/1.1</f>
        <v>#N/A</v>
      </c>
      <c r="BS322" s="102" t="e">
        <f>(VLOOKUP($B$3,'Coeff EC7'!$T$39:$X$59,3,0)*BP322+VLOOKUP($B$3,'Coeff EC7'!$T$65:$X$85,3,0)*Model0.1C!BQ322)/0.9</f>
        <v>#N/A</v>
      </c>
      <c r="BT322" s="102" t="e">
        <f t="shared" si="478"/>
        <v>#N/A</v>
      </c>
      <c r="BU322" s="102" t="e">
        <f t="shared" si="479"/>
        <v>#N/A</v>
      </c>
      <c r="BV322" s="414" t="e">
        <f>IF(BV321=0,0,IF(AND(BR322&gt;charge_ELS_quasi,BS322&gt;Charge_ELS_freq,BT322&gt;charge_ELU,BU322&gt;charge_ELA,$B322&gt;NDC!$H$22-0.1+MIN(3*$BV$12,1.5)),0,1))</f>
        <v>#N/A</v>
      </c>
      <c r="BW322" s="86" t="b">
        <f t="shared" si="447"/>
        <v>0</v>
      </c>
      <c r="BX322" s="86">
        <f t="shared" si="448"/>
        <v>0.5</v>
      </c>
      <c r="BY322" s="86">
        <f t="shared" si="449"/>
        <v>0.5</v>
      </c>
      <c r="BZ322" s="30" t="e">
        <f t="shared" ca="1" si="480"/>
        <v>#DIV/0!</v>
      </c>
      <c r="CA322" s="85" t="e">
        <f ca="1">IF(BG322&lt;=Hypothèses!$V$7,Hypothèses!$W$7,IF(BG322&lt;=Hypothèses!$V$8,Hypothèses!$W$8,IF(BG322&lt;=Hypothèses!$V$9,Hypothèses!$W$9,IF(BG322&lt;=Hypothèses!$V$10,Hypothèses!$W$10,IF(BG322&lt;=Hypothèses!$V$11,Hypothèses!$W$11,IF(BG322&lt;=Hypothèses!$V$12,Hypothèses!$W$12,IF(BG322&lt;=Hypothèses!$V$13,Hypothèses!$W$13,IF(BG322&lt;=Hypothèses!$V$14,Hypothèses!$W$14,IF(BG322&lt;=Hypothèses!$V$15,Hypothèses!$W$15,IF(BG322&lt;=Hypothèses!$V$16,Hypothèses!$W$16,IF(BG322&lt;=Hypothèses!$V$17,Hypothèses!$W$17,IF(BG322&lt;=Hypothèses!$V$18,Hypothèses!$W$18,""))))))))))))</f>
        <v>#DIV/0!</v>
      </c>
      <c r="CB322" s="87" t="e">
        <f t="shared" ca="1" si="519"/>
        <v>#DIV/0!</v>
      </c>
      <c r="CC322" s="88" t="e">
        <f ca="1">IF(BG322&lt;=Hypothèses!$V$7,Hypothèses!$X$7,IF(BG322&lt;=Hypothèses!$V$8,Hypothèses!$X$8,IF(BG322&lt;=Hypothèses!$V$9,Hypothèses!$X$9,IF(BG322&lt;=Hypothèses!$V$10,Hypothèses!$X$10,IF(BG322&lt;=Hypothèses!$V$11,Hypothèses!$X$11,IF(BG322&lt;=Hypothèses!$V$12,Hypothèses!$X$12,IF(BG322&lt;=Hypothèses!$V$13,Hypothèses!$X$13,IF(BG322&lt;=Hypothèses!$V$14,Hypothèses!$X$14,IF(BG322&lt;=Hypothèses!$V$15,Hypothèses!$X$15,IF(BG322&lt;=Hypothèses!$V$16,Hypothèses!$X$16,IF(BG322&lt;=Hypothèses!$U$17,Hypothèses!$W$17,IF(BG322&lt;=Hypothèses!$U$18,Hypothèses!$W$18,""))))))))))))</f>
        <v>#DIV/0!</v>
      </c>
      <c r="CD322" s="95" t="e">
        <f t="shared" ca="1" si="481"/>
        <v>#DIV/0!</v>
      </c>
      <c r="CE322" s="101" t="e">
        <f t="shared" si="526"/>
        <v>#N/A</v>
      </c>
      <c r="CF322" s="91" t="e">
        <f t="shared" si="450"/>
        <v>#N/A</v>
      </c>
      <c r="CG322" s="30" t="e">
        <f t="shared" si="506"/>
        <v>#N/A</v>
      </c>
      <c r="CH322" s="30" t="e">
        <f t="shared" si="507"/>
        <v>#N/A</v>
      </c>
      <c r="CI322" s="31" t="e">
        <f>IF(OR(Hypothèses!$B$4=17,Hypothèses!$B$4=18,Hypothèses!$B$4=19,Hypothèses!$B$4=20),
IF($D322="Pressio.",
IF(OR($E322=3,$E322=1,$E322=4),CH322,CG322),
IF($D322="Pénétro.",
IF(OR($E322=3,$E322=1,$E322=4),CH322,CG322))),IF($D322="Pressio.",
IF($E322=3,CH322,CG322),
IF($D322="Pénétro.",
IF($E322=4,CH322,CG322))))</f>
        <v>#N/A</v>
      </c>
      <c r="CJ322" s="31" t="e">
        <f>(IF(OR(Hypothèses!$B$4=17,Hypothèses!$B$4=18,Hypothèses!$B$4=19,Hypothèses!$B$4=20),
IF($D322="Pressio.",
IF(OR($E322=3,$E322=1,$E322=4),(PI()*CJ$12^2)/4*(CF322*$W322*1000)/($H322*$B$5),(PI()*CJ$12^2)/4*(CF322*$W322*1000)/($G322*$B$5)),
IF($D322="Pénétro.",
IF(OR($E322=4,$E322=1,$E322=5),(PI()*CJ$12^2)/4*(CF322*$W322*1000)/($H322*$B$5),(PI()*CJ$12^2)/4*(CF322*$W322*1000)/($G322*$B$5)))),
IF($D322="Pressio.",
IF($E322=3,(PI()*CJ$12^2)/4*(CF322*$W322*1000)/($H322*$B$5),(PI()*CJ$12^2)/4*(CF322*$W322*1000)/($G322*$B$5)),
IF($D322="Pénétro.",
IF($E322=4,(PI()*CJ$12^2)/4*(CF322*$W322*1000)/($H322*$B$5),(PI()*CJ$12^2)/4*(CF322*$W322*1000)/($G322*$B$5))))))/10</f>
        <v>#N/A</v>
      </c>
      <c r="CK322" s="102" t="e">
        <f>(VLOOKUP($B$3,'Coeff EC7'!$T$39:$X$59,2,0)*CI322+VLOOKUP($B$3,'Coeff EC7'!$T$65:$X$85,2,0)*Model0.1C!CJ322)/1.1</f>
        <v>#N/A</v>
      </c>
      <c r="CL322" s="102" t="e">
        <f>(VLOOKUP($B$3,'Coeff EC7'!$T$39:$X$59,3,0)*CI322+VLOOKUP($B$3,'Coeff EC7'!$T$65:$X$85,3,0)*Model0.1C!CJ322)/0.9</f>
        <v>#N/A</v>
      </c>
      <c r="CM322" s="102" t="e">
        <f t="shared" si="482"/>
        <v>#N/A</v>
      </c>
      <c r="CN322" s="102" t="e">
        <f t="shared" si="483"/>
        <v>#N/A</v>
      </c>
      <c r="CO322" s="414" t="e">
        <f>IF(CO321=0,0,IF(AND(CK322&gt;charge_ELS_quasi,CL322&gt;Charge_ELS_freq,CM322&gt;charge_ELU,CN322&gt;charge_ELA,$B322&gt;NDC!$H$22-0.1+MIN(3*$CO$12,1.5)),0,1))</f>
        <v>#N/A</v>
      </c>
      <c r="CP322" s="86" t="b">
        <f t="shared" si="451"/>
        <v>0</v>
      </c>
      <c r="CQ322" s="86">
        <f t="shared" si="452"/>
        <v>0.5</v>
      </c>
      <c r="CR322" s="86">
        <f t="shared" si="453"/>
        <v>0.5</v>
      </c>
      <c r="CS322" s="30" t="e">
        <f t="shared" ca="1" si="484"/>
        <v>#DIV/0!</v>
      </c>
      <c r="CT322" s="85" t="e">
        <f ca="1">IF(BZ322&lt;=Hypothèses!$V$7,Hypothèses!$W$7,IF(BZ322&lt;=Hypothèses!$V$8,Hypothèses!$W$8,IF(BZ322&lt;=Hypothèses!$V$9,Hypothèses!$W$9,IF(BZ322&lt;=Hypothèses!$V$10,Hypothèses!$W$10,IF(BZ322&lt;=Hypothèses!$V$11,Hypothèses!$W$11,IF(BZ322&lt;=Hypothèses!$V$12,Hypothèses!$W$12,IF(BZ322&lt;=Hypothèses!$V$13,Hypothèses!$W$13,IF(BZ322&lt;=Hypothèses!$V$14,Hypothèses!$W$14,IF(BZ322&lt;=Hypothèses!$V$15,Hypothèses!$W$15,IF(BZ322&lt;=Hypothèses!$V$16,Hypothèses!$W$16,IF(BZ322&lt;=Hypothèses!$V$17,Hypothèses!$W$17,IF(BZ322&lt;=Hypothèses!$V$18,Hypothèses!$W$18,""))))))))))))</f>
        <v>#DIV/0!</v>
      </c>
      <c r="CU322" s="87" t="e">
        <f t="shared" ca="1" si="520"/>
        <v>#DIV/0!</v>
      </c>
      <c r="CV322" s="88" t="e">
        <f ca="1">IF(BZ322&lt;=Hypothèses!$V$7,Hypothèses!$X$7,IF(BZ322&lt;=Hypothèses!$V$8,Hypothèses!$X$8,IF(BZ322&lt;=Hypothèses!$V$9,Hypothèses!$X$9,IF(BZ322&lt;=Hypothèses!$V$10,Hypothèses!$X$10,IF(BZ322&lt;=Hypothèses!$V$11,Hypothèses!$X$11,IF(BZ322&lt;=Hypothèses!$V$12,Hypothèses!$X$12,IF(BZ322&lt;=Hypothèses!$V$13,Hypothèses!$X$13,IF(BZ322&lt;=Hypothèses!$V$14,Hypothèses!$X$14,IF(BZ322&lt;=Hypothèses!$V$15,Hypothèses!$X$15,IF(BZ322&lt;=Hypothèses!$V$16,Hypothèses!$X$16,IF(BZ322&lt;=Hypothèses!$U$17,Hypothèses!$W$17,IF(BZ322&lt;=Hypothèses!$U$18,Hypothèses!$W$18,""))))))))))))</f>
        <v>#DIV/0!</v>
      </c>
      <c r="CW322" s="95" t="e">
        <f t="shared" ca="1" si="485"/>
        <v>#DIV/0!</v>
      </c>
      <c r="CX322" s="101" t="e">
        <f t="shared" si="527"/>
        <v>#N/A</v>
      </c>
      <c r="CY322" s="91" t="e">
        <f t="shared" si="454"/>
        <v>#N/A</v>
      </c>
      <c r="CZ322" s="30" t="e">
        <f t="shared" si="508"/>
        <v>#N/A</v>
      </c>
      <c r="DA322" s="30" t="e">
        <f t="shared" si="509"/>
        <v>#N/A</v>
      </c>
      <c r="DB322" s="31" t="e">
        <f>IF(OR(Hypothèses!$B$4=17,Hypothèses!$B$4=18,Hypothèses!$B$4=19,Hypothèses!$B$4=20),
IF($D322="Pressio.",
IF(OR($E322=3,$E322=1,$E322=4),DA322,CZ322),
IF($D322="Pénétro.",
IF(OR($E322=3,$E322=1,$E322=4),DA322,CZ322))),IF($D322="Pressio.",
IF($E322=3,DA322,CZ322),
IF($D322="Pénétro.",
IF($E322=4,DA322,CZ322))))</f>
        <v>#N/A</v>
      </c>
      <c r="DC322" s="31" t="e">
        <f>(IF(OR(Hypothèses!$B$4=17,Hypothèses!$B$4=18,Hypothèses!$B$4=19,Hypothèses!$B$4=20),
IF($D322="Pressio.",
IF(OR($E322=3,$E322=1,$E322=4),(PI()*DC$12^2)/4*(CY322*$W322*1000)/($H322*$B$5),(PI()*DC$12^2)/4*(CY322*$W322*1000)/($G322*$B$5)),
IF($D322="Pénétro.",
IF(OR($E322=4,$E322=1,$E322=5),(PI()*DC$12^2)/4*(CY322*$W322*1000)/($H322*$B$5),(PI()*DC$12^2)/4*(CY322*$W322*1000)/($G322*$B$5)))),
IF($D322="Pressio.",
IF($E322=3,(PI()*DC$12^2)/4*(CY322*$W322*1000)/($H322*$B$5),(PI()*DC$12^2)/4*(CY322*$W322*1000)/($G322*$B$5)),
IF($D322="Pénétro.",
IF($E322=4,(PI()*DC$12^2)/4*(CY322*$W322*1000)/($H322*$B$5),(PI()*DC$12^2)/4*(CY322*$W322*1000)/($G322*$B$5))))))/10</f>
        <v>#N/A</v>
      </c>
      <c r="DD322" s="102" t="e">
        <f>(VLOOKUP($B$3,'Coeff EC7'!$T$39:$X$59,2,0)*DB322+VLOOKUP($B$3,'Coeff EC7'!$T$65:$X$85,2,0)*Model0.1C!DC322)/1.1</f>
        <v>#N/A</v>
      </c>
      <c r="DE322" s="102" t="e">
        <f>(VLOOKUP($B$3,'Coeff EC7'!$T$39:$X$59,3,0)*DB322+VLOOKUP($B$3,'Coeff EC7'!$T$65:$X$85,3,0)*Model0.1C!DC322)/0.9</f>
        <v>#N/A</v>
      </c>
      <c r="DF322" s="102" t="e">
        <f t="shared" si="486"/>
        <v>#N/A</v>
      </c>
      <c r="DG322" s="102" t="e">
        <f t="shared" si="487"/>
        <v>#N/A</v>
      </c>
      <c r="DH322" s="414" t="e">
        <f>IF(DH321=0,0,IF(AND(DD322&gt;charge_ELS_quasi,DE322&gt;Charge_ELS_freq,DF322&gt;charge_ELU,DG322&gt;charge_ELA,$B322&gt;NDC!$H$22-0.1+MIN(3*$DH$12,1.5)),0,1))</f>
        <v>#N/A</v>
      </c>
      <c r="DI322" s="86" t="b">
        <f t="shared" si="455"/>
        <v>0</v>
      </c>
      <c r="DJ322" s="86">
        <f t="shared" si="456"/>
        <v>0.5</v>
      </c>
      <c r="DK322" s="86">
        <f t="shared" si="457"/>
        <v>0.5</v>
      </c>
      <c r="DL322" s="30" t="e">
        <f t="shared" ca="1" si="488"/>
        <v>#DIV/0!</v>
      </c>
      <c r="DM322" s="85" t="e">
        <f ca="1">IF(CS322&lt;=Hypothèses!$V$7,Hypothèses!$W$7,IF(CS322&lt;=Hypothèses!$V$8,Hypothèses!$W$8,IF(CS322&lt;=Hypothèses!$V$9,Hypothèses!$W$9,IF(CS322&lt;=Hypothèses!$V$10,Hypothèses!$W$10,IF(CS322&lt;=Hypothèses!$V$11,Hypothèses!$W$11,IF(CS322&lt;=Hypothèses!$V$12,Hypothèses!$W$12,IF(CS322&lt;=Hypothèses!$V$13,Hypothèses!$W$13,IF(CS322&lt;=Hypothèses!$V$14,Hypothèses!$W$14,IF(CS322&lt;=Hypothèses!$V$15,Hypothèses!$W$15,IF(CS322&lt;=Hypothèses!$V$16,Hypothèses!$W$16,IF(CS322&lt;=Hypothèses!$V$17,Hypothèses!$W$17,IF(CS322&lt;=Hypothèses!$V$18,Hypothèses!$W$18,""))))))))))))</f>
        <v>#DIV/0!</v>
      </c>
      <c r="DN322" s="87" t="e">
        <f t="shared" ca="1" si="521"/>
        <v>#DIV/0!</v>
      </c>
      <c r="DO322" s="88" t="e">
        <f ca="1">IF(CS322&lt;=Hypothèses!$V$7,Hypothèses!$X$7,IF(CS322&lt;=Hypothèses!$V$8,Hypothèses!$X$8,IF(CS322&lt;=Hypothèses!$V$9,Hypothèses!$X$9,IF(CS322&lt;=Hypothèses!$V$10,Hypothèses!$X$10,IF(CS322&lt;=Hypothèses!$V$11,Hypothèses!$X$11,IF(CS322&lt;=Hypothèses!$V$12,Hypothèses!$X$12,IF(CS322&lt;=Hypothèses!$V$13,Hypothèses!$X$13,IF(CS322&lt;=Hypothèses!$V$14,Hypothèses!$X$14,IF(CS322&lt;=Hypothèses!$V$15,Hypothèses!$X$15,IF(CS322&lt;=Hypothèses!$V$16,Hypothèses!$X$16,IF(CS322&lt;=Hypothèses!$U$17,Hypothèses!$W$17,IF(CS322&lt;=Hypothèses!$U$18,Hypothèses!$W$18,""))))))))))))</f>
        <v>#DIV/0!</v>
      </c>
      <c r="DP322" s="95" t="e">
        <f t="shared" ca="1" si="489"/>
        <v>#DIV/0!</v>
      </c>
      <c r="DQ322" s="101" t="e">
        <f t="shared" si="528"/>
        <v>#N/A</v>
      </c>
      <c r="DR322" s="91" t="e">
        <f t="shared" si="458"/>
        <v>#N/A</v>
      </c>
      <c r="DS322" s="30" t="e">
        <f t="shared" si="510"/>
        <v>#N/A</v>
      </c>
      <c r="DT322" s="30" t="e">
        <f t="shared" si="511"/>
        <v>#N/A</v>
      </c>
      <c r="DU322" s="31" t="e">
        <f>IF(OR(Hypothèses!$B$4=17,Hypothèses!$B$4=18,Hypothèses!$B$4=19,Hypothèses!$B$4=20),
IF($D322="Pressio.",
IF(OR($E322=3,$E322=1,$E322=4),DT322,DS322),
IF($D322="Pénétro.",
IF(OR($E322=3,$E322=1,$E322=4),DT322,DS322))),IF($D322="Pressio.",
IF($E322=3,DT322,DS322),
IF($D322="Pénétro.",
IF($E322=4,DT322,DS322))))</f>
        <v>#N/A</v>
      </c>
      <c r="DV322" s="31" t="e">
        <f>(IF(OR(Hypothèses!$B$4=17,Hypothèses!$B$4=18,Hypothèses!$B$4=19,Hypothèses!$B$4=20),
IF($D322="Pressio.",
IF(OR($E322=3,$E322=1,$E322=4),(PI()*DV$12^2)/4*(DR322*$W322*1000)/($H322*$B$5),(PI()*DV$12^2)/4*(DR322*$W322*1000)/($G322*$B$5)),
IF($D322="Pénétro.",
IF(OR($E322=4,$E322=1,$E322=5),(PI()*DV$12^2)/4*(DR322*$W322*1000)/($H322*$B$5),(PI()*DV$12^2)/4*(DR322*$W322*1000)/($G322*$B$5)))),
IF($D322="Pressio.",
IF($E322=3,(PI()*DV$12^2)/4*(DR322*$W322*1000)/($H322*$B$5),(PI()*DV$12^2)/4*(DR322*$W322*1000)/($G322*$B$5)),
IF($D322="Pénétro.",
IF($E322=4,(PI()*DV$12^2)/4*(DR322*$W322*1000)/($H322*$B$5),(PI()*DV$12^2)/4*(DR322*$W322*1000)/($G322*$B$5))))))/10</f>
        <v>#N/A</v>
      </c>
      <c r="DW322" s="102" t="e">
        <f>(VLOOKUP($B$3,'Coeff EC7'!$T$39:$X$59,2,0)*DU322+VLOOKUP($B$3,'Coeff EC7'!$T$65:$X$85,2,0)*Model0.1C!DV322)/1.1</f>
        <v>#N/A</v>
      </c>
      <c r="DX322" s="102" t="e">
        <f>(VLOOKUP($B$3,'Coeff EC7'!$T$39:$X$59,3,0)*DU322+VLOOKUP($B$3,'Coeff EC7'!$T$65:$X$85,3,0)*Model0.1C!DV322)/0.9</f>
        <v>#N/A</v>
      </c>
      <c r="DY322" s="102" t="e">
        <f t="shared" si="490"/>
        <v>#N/A</v>
      </c>
      <c r="DZ322" s="102" t="e">
        <f t="shared" si="491"/>
        <v>#N/A</v>
      </c>
      <c r="EA322" s="414" t="e">
        <f>IF(EA321=0,0,IF(AND(DW322&gt;charge_ELS_quasi,DX322&gt;Charge_ELS_freq,DY322&gt;charge_ELU,DZ322&gt;charge_ELA,$B322&gt;NDC!$H$22-0.1+MIN(3*$EA$12,1.5)),0,1))</f>
        <v>#N/A</v>
      </c>
      <c r="EB322" s="86" t="b">
        <f t="shared" si="459"/>
        <v>0</v>
      </c>
      <c r="EC322" s="418">
        <f t="shared" si="460"/>
        <v>0.51</v>
      </c>
      <c r="ED322" s="86">
        <f t="shared" si="461"/>
        <v>0.51</v>
      </c>
      <c r="EE322" s="30" t="e">
        <f t="shared" ca="1" si="492"/>
        <v>#DIV/0!</v>
      </c>
      <c r="EF322" s="85" t="e">
        <f ca="1">IF(DL322&lt;=Hypothèses!$V$7,Hypothèses!$W$7,IF(DL322&lt;=Hypothèses!$V$8,Hypothèses!$W$8,IF(DL322&lt;=Hypothèses!$V$9,Hypothèses!$W$9,IF(DL322&lt;=Hypothèses!$V$10,Hypothèses!$W$10,IF(DL322&lt;=Hypothèses!$V$11,Hypothèses!$W$11,IF(DL322&lt;=Hypothèses!$V$12,Hypothèses!$W$12,IF(DL322&lt;=Hypothèses!$V$13,Hypothèses!$W$13,IF(DL322&lt;=Hypothèses!$V$14,Hypothèses!$W$14,IF(DL322&lt;=Hypothèses!$V$15,Hypothèses!$W$15,IF(DL322&lt;=Hypothèses!$V$16,Hypothèses!$W$16,IF(DL322&lt;=Hypothèses!$V$17,Hypothèses!$W$17,IF(DL322&lt;=Hypothèses!$V$18,Hypothèses!$W$18,""))))))))))))</f>
        <v>#DIV/0!</v>
      </c>
      <c r="EG322" s="87" t="e">
        <f t="shared" ca="1" si="522"/>
        <v>#DIV/0!</v>
      </c>
      <c r="EH322" s="88" t="e">
        <f ca="1">IF(DL322&lt;=Hypothèses!$V$7,Hypothèses!$X$7,IF(DL322&lt;=Hypothèses!$V$8,Hypothèses!$X$8,IF(DL322&lt;=Hypothèses!$V$9,Hypothèses!$X$9,IF(DL322&lt;=Hypothèses!$V$10,Hypothèses!$X$10,IF(DL322&lt;=Hypothèses!$V$11,Hypothèses!$X$11,IF(DL322&lt;=Hypothèses!$V$12,Hypothèses!$X$12,IF(DL322&lt;=Hypothèses!$V$13,Hypothèses!$X$13,IF(DL322&lt;=Hypothèses!$V$14,Hypothèses!$X$14,IF(DL322&lt;=Hypothèses!$V$15,Hypothèses!$X$15,IF(DL322&lt;=Hypothèses!$V$16,Hypothèses!$X$16,IF(DL322&lt;=Hypothèses!$U$17,Hypothèses!$W$17,IF(DL322&lt;=Hypothèses!$U$18,Hypothèses!$W$18,""))))))))))))</f>
        <v>#DIV/0!</v>
      </c>
      <c r="EI322" s="95" t="e">
        <f t="shared" ca="1" si="493"/>
        <v>#DIV/0!</v>
      </c>
      <c r="EJ322" s="101" t="e">
        <f t="shared" si="529"/>
        <v>#N/A</v>
      </c>
      <c r="EK322" s="91" t="e">
        <f t="shared" si="462"/>
        <v>#N/A</v>
      </c>
      <c r="EL322" s="30" t="e">
        <f t="shared" si="512"/>
        <v>#N/A</v>
      </c>
      <c r="EM322" s="30" t="e">
        <f t="shared" si="513"/>
        <v>#N/A</v>
      </c>
      <c r="EN322" s="31" t="e">
        <f>IF(OR(Hypothèses!$B$4=17,Hypothèses!$B$4=18,Hypothèses!$B$4=19,Hypothèses!$B$4=20),
IF($D322="Pressio.",
IF(OR($E322=3,$E322=1,$E322=4),EM322,EL322),
IF($D322="Pénétro.",
IF(OR($E322=3,$E322=1,$E322=4),EM322,EL322))),IF($D322="Pressio.",
IF($E322=3,EM322,EL322),
IF($D322="Pénétro.",
IF($E322=4,EM322,EL322))))</f>
        <v>#N/A</v>
      </c>
      <c r="EO322" s="31" t="e">
        <f>(IF(OR(Hypothèses!$B$4=17,Hypothèses!$B$4=18,Hypothèses!$B$4=19,Hypothèses!$B$4=20),
IF($D322="Pressio.",
IF(OR($E322=3,$E322=1,$E322=4),(PI()*EO$12^2)/4*(EK322*$W322*1000)/($H322*$B$5),(PI()*EO$12^2)/4*(EK322*$W322*1000)/($G322*$B$5)),
IF($D322="Pénétro.",
IF(OR($E322=4,$E322=1,$E322=5),(PI()*EO$12^2)/4*(EK322*$W322*1000)/($H322*$B$5),(PI()*EO$12^2)/4*(EK322*$W322*1000)/($G322*$B$5)))),
IF($D322="Pressio.",
IF($E322=3,(PI()*EO$12^2)/4*(EK322*$W322*1000)/($H322*$B$5),(PI()*EO$12^2)/4*(EK322*$W322*1000)/($G322*$B$5)),
IF($D322="Pénétro.",
IF($E322=4,(PI()*EO$12^2)/4*(EK322*$W322*1000)/($H322*$B$5),(PI()*EO$12^2)/4*(EK322*$W322*1000)/($G322*$B$5))))))/10</f>
        <v>#N/A</v>
      </c>
      <c r="EP322" s="102" t="e">
        <f>(VLOOKUP($B$3,'Coeff EC7'!$T$39:$X$59,2,0)*EN322+VLOOKUP($B$3,'Coeff EC7'!$T$65:$X$85,2,0)*Model0.1C!EO322)/1.1</f>
        <v>#N/A</v>
      </c>
      <c r="EQ322" s="102" t="e">
        <f>(VLOOKUP($B$3,'Coeff EC7'!$T$39:$X$59,3,0)*EN322+VLOOKUP($B$3,'Coeff EC7'!$T$65:$X$85,3,0)*Model0.1C!EO322)/0.9</f>
        <v>#N/A</v>
      </c>
      <c r="ER322" s="102" t="e">
        <f t="shared" si="494"/>
        <v>#N/A</v>
      </c>
      <c r="ES322" s="102" t="e">
        <f t="shared" si="495"/>
        <v>#N/A</v>
      </c>
      <c r="ET322" s="414" t="e">
        <f>IF(ET321=0,0,IF(AND(EP322&gt;charge_ELS_quasi,EQ322&gt;Charge_ELS_freq,ER322&gt;charge_ELU,ES322&gt;charge_ELA,$B322&gt;NDC!$H$22-0.1+MIN(3*$ET$12,1.5)),0,1))</f>
        <v>#N/A</v>
      </c>
      <c r="EU322" s="86" t="b">
        <f t="shared" si="463"/>
        <v>0</v>
      </c>
      <c r="EV322" s="86">
        <f t="shared" si="464"/>
        <v>0.61</v>
      </c>
      <c r="EW322" s="86">
        <f t="shared" si="465"/>
        <v>0.61</v>
      </c>
      <c r="EX322" s="30" t="e">
        <f t="shared" ca="1" si="496"/>
        <v>#DIV/0!</v>
      </c>
      <c r="EY322" s="85" t="e">
        <f ca="1">IF(EE322&lt;=Hypothèses!$V$7,Hypothèses!$W$7,IF(EE322&lt;=Hypothèses!$V$8,Hypothèses!$W$8,IF(EE322&lt;=Hypothèses!$V$9,Hypothèses!$W$9,IF(EE322&lt;=Hypothèses!$V$10,Hypothèses!$W$10,IF(EE322&lt;=Hypothèses!$V$11,Hypothèses!$W$11,IF(EE322&lt;=Hypothèses!$V$12,Hypothèses!$W$12,IF(EE322&lt;=Hypothèses!$V$13,Hypothèses!$W$13,IF(EE322&lt;=Hypothèses!$V$14,Hypothèses!$W$14,IF(EE322&lt;=Hypothèses!$V$15,Hypothèses!$W$15,IF(EE322&lt;=Hypothèses!$V$16,Hypothèses!$W$16,IF(EE322&lt;=Hypothèses!$V$17,Hypothèses!$W$17,IF(EE322&lt;=Hypothèses!$V$18,Hypothèses!$W$18,""))))))))))))</f>
        <v>#DIV/0!</v>
      </c>
      <c r="EZ322" s="87" t="e">
        <f t="shared" ca="1" si="523"/>
        <v>#DIV/0!</v>
      </c>
      <c r="FA322" s="88" t="e">
        <f ca="1">IF(EE322&lt;=Hypothèses!$V$7,Hypothèses!$X$7,IF(EE322&lt;=Hypothèses!$V$8,Hypothèses!$X$8,IF(EE322&lt;=Hypothèses!$V$9,Hypothèses!$X$9,IF(EE322&lt;=Hypothèses!$V$10,Hypothèses!$X$10,IF(EE322&lt;=Hypothèses!$V$11,Hypothèses!$X$11,IF(EE322&lt;=Hypothèses!$V$12,Hypothèses!$X$12,IF(EE322&lt;=Hypothèses!$V$13,Hypothèses!$X$13,IF(EE322&lt;=Hypothèses!$V$14,Hypothèses!$X$14,IF(EE322&lt;=Hypothèses!$V$15,Hypothèses!$X$15,IF(EE322&lt;=Hypothèses!$V$16,Hypothèses!$X$16,IF(EE322&lt;=Hypothèses!$U$17,Hypothèses!$W$17,IF(EE322&lt;=Hypothèses!$U$18,Hypothèses!$W$18,""))))))))))))</f>
        <v>#DIV/0!</v>
      </c>
      <c r="FB322" s="95" t="e">
        <f t="shared" ca="1" si="497"/>
        <v>#DIV/0!</v>
      </c>
      <c r="FC322" s="101" t="e">
        <f t="shared" si="530"/>
        <v>#N/A</v>
      </c>
      <c r="FD322" s="91" t="e">
        <f t="shared" si="466"/>
        <v>#N/A</v>
      </c>
      <c r="FE322" s="30" t="e">
        <f t="shared" si="514"/>
        <v>#N/A</v>
      </c>
      <c r="FF322" s="30" t="e">
        <f t="shared" si="515"/>
        <v>#N/A</v>
      </c>
      <c r="FG322" s="31" t="e">
        <f>IF(OR(Hypothèses!$B$4=17,Hypothèses!$B$4=18,Hypothèses!$B$4=19,Hypothèses!$B$4=20),
IF($D322="Pressio.",
IF(OR($E322=3,$E322=1,$E322=4),FF322,FE322),
IF($D322="Pénétro.",
IF(OR($E322=3,$E322=1,$E322=4),FF322,FE322))),IF($D322="Pressio.",
IF($E322=3,FF322,FE322),
IF($D322="Pénétro.",
IF($E322=4,FF322,FE322))))</f>
        <v>#N/A</v>
      </c>
      <c r="FH322" s="31" t="e">
        <f>(IF(OR(Hypothèses!$B$4=17,Hypothèses!$B$4=18,Hypothèses!$B$4=19,Hypothèses!$B$4=20),
IF($D322="Pressio.",
IF(OR($E322=3,$E322=1,$E322=4),(PI()*FH$12^2)/4*(FD322*$W322*1000)/($H322*$B$5),(PI()*FH$12^2)/4*(FD322*$W322*1000)/($G322*$B$5)),
IF($D322="Pénétro.",
IF(OR($E322=4,$E322=1,$E322=5),(PI()*FH$12^2)/4*(FD322*$W322*1000)/($H322*$B$5),(PI()*FH$12^2)/4*(FD322*$W322*1000)/($G322*$B$5)))),
IF($D322="Pressio.",
IF($E322=3,(PI()*FH$12^2)/4*(FD322*$W322*1000)/($H322*$B$5),(PI()*FH$12^2)/4*(FD322*$W322*1000)/($G322*$B$5)),
IF($D322="Pénétro.",
IF($E322=4,(PI()*FH$12^2)/4*(FD322*$W322*1000)/($H322*$B$5),(PI()*FH$12^2)/4*(FD322*$W322*1000)/($G322*$B$5))))))/10</f>
        <v>#N/A</v>
      </c>
      <c r="FI322" s="102" t="e">
        <f>(VLOOKUP($B$3,'Coeff EC7'!$T$39:$X$59,2,0)*FG322+VLOOKUP($B$3,'Coeff EC7'!$T$65:$X$85,2,0)*Model0.1C!FH322)/1.1</f>
        <v>#N/A</v>
      </c>
      <c r="FJ322" s="102" t="e">
        <f>(VLOOKUP($B$3,'Coeff EC7'!$T$39:$X$59,3,0)*FG322+VLOOKUP($B$3,'Coeff EC7'!$T$65:$X$85,3,0)*Model0.1C!FH322)/0.9</f>
        <v>#N/A</v>
      </c>
      <c r="FK322" s="102" t="e">
        <f t="shared" si="498"/>
        <v>#N/A</v>
      </c>
      <c r="FL322" s="102" t="e">
        <f t="shared" si="499"/>
        <v>#N/A</v>
      </c>
      <c r="FM322" s="414" t="e">
        <f>IF(FM321=0,0,IF(AND(FI322&gt;charge_ELS_quasi,FJ322&gt;Charge_ELS_freq,FK322&gt;charge_ELU,FL322&gt;charge_ELA,$B322&gt;NDC!$H$22-0.1+MIN(3*$FM$12,1.5)),0,1))</f>
        <v>#N/A</v>
      </c>
    </row>
    <row r="323" spans="1:169">
      <c r="A323" s="96">
        <f t="shared" si="467"/>
        <v>69.000000000001762</v>
      </c>
      <c r="B323" s="97">
        <v>31</v>
      </c>
      <c r="C323" s="81">
        <f>IF(B323&lt;=Hypothèses!$C$7,Hypothèses!$A$7,IF(B323&lt;=Hypothèses!$C$8,Hypothèses!$A$8,IF(B323&lt;=Hypothèses!$C$9,Hypothèses!$A$9,IF(B323&lt;=Hypothèses!$C$10,Hypothèses!$A$10,IF(B323&lt;=Hypothèses!$C$11,Hypothèses!$A$11,IF(B323&lt;=Hypothèses!$C$12,Hypothèses!$A$12,IF(B323&lt;=Hypothèses!$C$13,Hypothèses!$A$13,IF(B323&lt;=Hypothèses!$C$14,Hypothèses!$A$14,IF(B323&lt;=Hypothèses!$C$15,Hypothèses!$A$15,IF(B323&lt;=Hypothèses!$C$16,Hypothèses!$A$16,IF(B323&lt;=Hypothèses!$C$17,Hypothèses!$A$17,IF(B323&lt;=Hypothèses!$C$18,Hypothèses!$A$18,C322))))))))))))</f>
        <v>11</v>
      </c>
      <c r="D323" s="82" t="str">
        <f>IF(B323&lt;=Hypothèses!$C$7,Hypothèses!$R$7,IF(B323&lt;=Hypothèses!$C$8,Hypothèses!$R$8,IF(B323&lt;=Hypothèses!$C$9,Hypothèses!$R$9,IF(B323&lt;=Hypothèses!$C$10,Hypothèses!$R$10,IF(B323&lt;=Hypothèses!$C$11,Hypothèses!$R$11,IF(B323&lt;=Hypothèses!$C$12,Hypothèses!$R$12,IF(B323&lt;=Hypothèses!$C$13,Hypothèses!$R$13,IF(B323&lt;=Hypothèses!$C$14,Hypothèses!$R$14,IF(B323&lt;=Hypothèses!$C$15,Hypothèses!$R$15,IF(B323&lt;=Hypothèses!$C$16,Hypothèses!$R$16,IF(B323&lt;=Hypothèses!$C$17,Hypothèses!$R$17,IF(B323&lt;=Hypothèses!$C$18,Hypothèses!$R$18,D322))))))))))))</f>
        <v>Pressio.</v>
      </c>
      <c r="E323" s="82" t="e">
        <f>IF(B323&lt;=Hypothèses!$C$7,Hypothèses!$G$7,IF(B323&lt;=Hypothèses!$C$8,Hypothèses!$G$8,IF(B323&lt;=Hypothèses!$C$9,Hypothèses!$G$9,IF(B323&lt;=Hypothèses!$C$10,Hypothèses!$G$10,IF(B323&lt;=Hypothèses!$C$11,Hypothèses!$G$11,IF(B323&lt;=Hypothèses!$C$12,Hypothèses!$G$12,IF(B323&lt;=Hypothèses!$C$13,Hypothèses!$G$13,IF(B323&lt;=Hypothèses!$C$14,Hypothèses!$G$14,IF(B323&lt;=Hypothèses!$C$15,Hypothèses!$G$15,IF(B323&lt;=Hypothèses!$C$16,Hypothèses!$G$16,IF(B323&lt;=Hypothèses!$C$17,Hypothèses!$G$17,IF(B323&lt;=Hypothèses!$C$18,Hypothèses!$G$18,E322))))))))))))</f>
        <v>#N/A</v>
      </c>
      <c r="F323" s="82" t="str">
        <f>IF(B323&lt;=Hypothèses!$C$7,Hypothèses!$F$7,IF(B323&lt;=Hypothèses!$C$8,Hypothèses!$F$8,IF(B323&lt;=Hypothèses!$C$9,Hypothèses!$F$9,IF(B323&lt;=Hypothèses!$C$10,Hypothèses!$F$10,IF(B323&lt;=Hypothèses!$C$11,Hypothèses!$F$11,IF(B323&lt;=Hypothèses!$C$12,Hypothèses!$F$12,IF(B323&lt;=Hypothèses!$C$13,Hypothèses!$F$13,IF(B323&lt;=Hypothèses!$C$14,Hypothèses!$F$14,IF(B323&lt;=Hypothèses!$C$15,Hypothèses!$F$15,IF(B323&lt;=Hypothèses!$C$16,Hypothèses!$F$16,IF(B323&lt;=Hypothèses!$C$17,Hypothèses!$F$17,IF(B323&lt;=Hypothèses!$C$18,Hypothèses!$F$18,F322))))))))))))</f>
        <v/>
      </c>
      <c r="G323" s="91">
        <f t="array" ref="G323">INDEX('Coeff EC7'!$U$7:$X$27,
MATCH(Model0.1C!$B$3,'Coeff EC7'!$T$7:$T$27,0),
MATCH(Model0.1C!$D323&amp;Model0.1C!$B$4,
'Coeff EC7'!$U$6:$X$6&amp;
'Coeff EC7'!$U$5:$X$5,0))</f>
        <v>1.1499999999999999</v>
      </c>
      <c r="H323" s="91">
        <f t="array" ref="H323">INDEX('Coeff EC7'!$Y$7:$AB$27,
MATCH(Model0.1C!$B$3,'Coeff EC7'!$T$7:$T$27,0),
MATCH(Model0.1C!$D323&amp;Model0.1C!$B$4,
'Coeff EC7'!$Y$6:$AB$6&amp;
'Coeff EC7'!$Y$5:$AB$5,0))</f>
        <v>1.4</v>
      </c>
      <c r="I323" s="83" t="e">
        <f>IF(B323&lt;=Hypothèses!$C$7,Hypothèses!$P$7,IF(B323&lt;=Hypothèses!$C$8,Hypothèses!$P$8,IF(B323&lt;=Hypothèses!$C$9,Hypothèses!$P$9,IF(B323&lt;=Hypothèses!$C$10,Hypothèses!$P$10,IF(B323&lt;=Hypothèses!$C$11,Hypothèses!$P$11,IF(B323&lt;=Hypothèses!$C$12,Hypothèses!$P$12,IF(B323&lt;=Hypothèses!$C$13,Hypothèses!$P$13,IF(B323&lt;=Hypothèses!$C$14,Hypothèses!$P$14,IF(B323&lt;=Hypothèses!$C$15,Hypothèses!$P$15,IF(B323&lt;=Hypothèses!$C$16,Hypothèses!$P$16,IF(B323&lt;=Hypothèses!$C$17,Hypothèses!$P$17,IF(B323&lt;=Hypothèses!$C$18,Hypothèses!$P$18,I322))))))))))))</f>
        <v>#N/A</v>
      </c>
      <c r="J323" s="91" t="e">
        <f t="array" ref="J323">INDEX('Coeff EC7'!$D$33:$Q$33,1,MATCH(D323&amp;E323,'Coeff EC7'!$D$31:$Q$31&amp;'Coeff EC7'!$D$32:$Q$32,0))</f>
        <v>#N/A</v>
      </c>
      <c r="K323" s="91" t="e">
        <f t="array" ref="K323">INDEX('Coeff EC7'!$D$34:$Q$34,1,MATCH(D323&amp;E323,'Coeff EC7'!$D$31:$Q$31&amp;'Coeff EC7'!$D$32:$Q$32,0))</f>
        <v>#N/A</v>
      </c>
      <c r="L323" s="91" t="e">
        <f t="array" ref="L323">INDEX('Coeff EC7'!$D$35:$Q$35,1,MATCH(D323&amp;E323,'Coeff EC7'!$D$31:$Q$31&amp;'Coeff EC7'!$D$32:$Q$32,0))</f>
        <v>#N/A</v>
      </c>
      <c r="M323" s="98" t="e">
        <f t="shared" si="431"/>
        <v>#N/A</v>
      </c>
      <c r="N323" s="99" t="e">
        <f t="array" ref="N323">INDEX('Coeff EC7'!$D$7:$Q$27,MATCH($B$3,'Coeff EC7'!$C$7:$C$27,0),MATCH(D323&amp;E323,'Coeff EC7'!$D$5:$Q$5&amp;'Coeff EC7'!$D$6:$Q$6,0))</f>
        <v>#N/A</v>
      </c>
      <c r="O323" s="99" t="e">
        <f t="array" ref="O323">INDEX('Coeff EC7'!$D$41:$Q$61,MATCH($B$3,'Coeff EC7'!$C$41:$C$61,0),MATCH(D323&amp;E323,'Coeff EC7'!$D$39:$Q$39&amp;'Coeff EC7'!$D$40:$Q$40,0))</f>
        <v>#N/A</v>
      </c>
      <c r="P323" s="30" t="e">
        <f t="shared" si="468"/>
        <v>#N/A</v>
      </c>
      <c r="Q323" s="100" t="e">
        <f t="shared" si="433"/>
        <v>#N/A</v>
      </c>
      <c r="R323" s="86" t="b">
        <f t="shared" si="434"/>
        <v>0</v>
      </c>
      <c r="S323" s="86">
        <f t="shared" si="432"/>
        <v>0.5</v>
      </c>
      <c r="T323" s="86">
        <f t="shared" si="435"/>
        <v>0.5</v>
      </c>
      <c r="U323" s="30" t="e">
        <f t="shared" ca="1" si="469"/>
        <v>#DIV/0!</v>
      </c>
      <c r="V323" s="85" t="str">
        <f>IF(B323&lt;=Hypothèses!$V$7,Hypothèses!$W$7,IF(B323&lt;=Hypothèses!$V$8,Hypothèses!$W$8,IF(B323&lt;=Hypothèses!$V$9,Hypothèses!$W$9,IF(B323&lt;=Hypothèses!$V$10,Hypothèses!$W$10,IF(B323&lt;=Hypothèses!$V$11,Hypothèses!$W$11,IF(B323&lt;=Hypothèses!$V$12,Hypothèses!$W$12,IF(B323&lt;=Hypothèses!$V$13,Hypothèses!$W$13,IF(B323&lt;=Hypothèses!$V$14,Hypothèses!$W$14,IF(B323&lt;=Hypothèses!$V$15,Hypothèses!$W$15,IF(B323&lt;=Hypothèses!$V$16,Hypothèses!$W$16,IF(B323&lt;=Hypothèses!$V$17,Hypothèses!$W$17,IF(B323&lt;=Hypothèses!$V$18,Hypothèses!$W$18,""))))))))))))</f>
        <v/>
      </c>
      <c r="W323" s="87" t="e">
        <f t="shared" ca="1" si="516"/>
        <v>#DIV/0!</v>
      </c>
      <c r="X323" s="88" t="str">
        <f>IF(B323&lt;=Hypothèses!$V$7,Hypothèses!$X$7,IF(B323&lt;=Hypothèses!$V$8,Hypothèses!$X$8,IF(B323&lt;=Hypothèses!$V$9,Hypothèses!$X$9,IF(B323&lt;=Hypothèses!$V$10,Hypothèses!$X$10,IF(B323&lt;=Hypothèses!$V$11,Hypothèses!$X$11,IF(B323&lt;=Hypothèses!$V$12,Hypothèses!$X$12,IF(B323&lt;=Hypothèses!$V$13,Hypothèses!$X$13,IF(B323&lt;=Hypothèses!$V$14,Hypothèses!$X$14,IF(B323&lt;=Hypothèses!$V$15,Hypothèses!$X$15,IF(B323&lt;=Hypothèses!$V$16,Hypothèses!$X$16,IF(B323&lt;=Hypothèses!$U$17,Hypothèses!$W$17,IF(B323&lt;=Hypothèses!$U$18,Hypothèses!$W$18,""))))))))))))</f>
        <v/>
      </c>
      <c r="Y323" s="95" t="e">
        <f t="shared" ca="1" si="436"/>
        <v>#DIV/0!</v>
      </c>
      <c r="Z323" s="101" t="e">
        <f t="shared" si="437"/>
        <v>#N/A</v>
      </c>
      <c r="AA323" s="91" t="e">
        <f t="shared" si="438"/>
        <v>#N/A</v>
      </c>
      <c r="AB323" s="30" t="e">
        <f t="shared" si="500"/>
        <v>#N/A</v>
      </c>
      <c r="AC323" s="30" t="e">
        <f t="shared" si="501"/>
        <v>#N/A</v>
      </c>
      <c r="AD323" s="31" t="e">
        <f>IF(OR(Hypothèses!$B$4=17,Hypothèses!$B$4=18,Hypothèses!$B$4=19,Hypothèses!$B$4=20),
IF($D323="Pressio.",
IF(OR($E323=3,$E323=1,$E323=4),AC323,AB323),
IF($D323="Pénétro.",
IF(OR($E323=3,$E323=1,$E323=4),AC323,AB323))),IF($D323="Pressio.",
IF($E323=3,AC323,AB323),
IF($D323="Pénétro.",
IF($E323=4,AC323,AB323))))</f>
        <v>#N/A</v>
      </c>
      <c r="AE323" s="31" t="e">
        <f>(IF(OR(Hypothèses!$B$4=17,Hypothèses!$B$4=18,Hypothèses!$B$4=19,Hypothèses!$B$4=20),
IF($D323="Pressio.",
IF(OR($E323=3,$E323=1,$E323=4),(PI()*AE$12^2)/4*(AA323*$W323*1000)/($H323*$B$5),(PI()*AE$12^2)/4*(AA323*$W323*1000)/($G323*$B$5)),
IF($D323="Pénétro.",
IF(OR($E323=4,$E323=1,$E323=5),(PI()*AE$12^2)/4*(AA323*$W323*1000)/($H323*$B$5),(PI()*AE$12^2)/4*(AA323*$W323*1000)/($G323*$B$5)))),
IF($D323="Pressio.",
IF($E323=3,(PI()*AE$12^2)/4*(AA323*$W323*1000)/($H323*$B$5),(PI()*AE$12^2)/4*(AA323*$W323*1000)/($G323*$B$5)),
IF($D323="Pénétro.",
IF($E323=4,(PI()*AE$12^2)/4*(AA323*$W323*1000)/($H323*$B$5),(PI()*AE$12^2)/4*(AA323*$W323*1000)/($G323*$B$5))))))/10</f>
        <v>#N/A</v>
      </c>
      <c r="AF323" s="102" t="e">
        <f>(VLOOKUP($B$3,'Coeff EC7'!$T$39:$X$59,2,0)*AD323+VLOOKUP($B$3,'Coeff EC7'!$T$65:$X$85,2,0)*Model0.1C!AE323)/1.1</f>
        <v>#N/A</v>
      </c>
      <c r="AG323" s="102" t="e">
        <f>(VLOOKUP($B$3,'Coeff EC7'!$T$39:$X$59,3,0)*AD323+VLOOKUP($B$3,'Coeff EC7'!$T$65:$X$85,3,0)*Model0.1C!AE323)/0.9</f>
        <v>#N/A</v>
      </c>
      <c r="AH323" s="102" t="e">
        <f t="shared" si="439"/>
        <v>#N/A</v>
      </c>
      <c r="AI323" s="102" t="e">
        <f t="shared" si="440"/>
        <v>#N/A</v>
      </c>
      <c r="AJ323" s="414" t="e">
        <f>IF(AJ322=0,0,IF(AND(AF323&gt;charge_ELS_quasi,AG323&gt;Charge_ELS_freq,AH323&gt;charge_ELU,AI323&gt;charge_ELA,$B323&gt;NDC!$H$22-0.1+MIN(3*$AJ$12,1.5)),0,1))</f>
        <v>#N/A</v>
      </c>
      <c r="AK323" s="86" t="b">
        <f t="shared" si="441"/>
        <v>0</v>
      </c>
      <c r="AL323" s="86">
        <f t="shared" si="470"/>
        <v>0.5</v>
      </c>
      <c r="AM323" s="86">
        <f t="shared" si="442"/>
        <v>0.5</v>
      </c>
      <c r="AN323" s="30" t="e">
        <f t="shared" ca="1" si="471"/>
        <v>#DIV/0!</v>
      </c>
      <c r="AO323" s="85" t="e">
        <f ca="1">IF(U323&lt;=Hypothèses!$V$7,Hypothèses!$W$7,IF(U323&lt;=Hypothèses!$V$8,Hypothèses!$W$8,IF(U323&lt;=Hypothèses!$V$9,Hypothèses!$W$9,IF(U323&lt;=Hypothèses!$V$10,Hypothèses!$W$10,IF(U323&lt;=Hypothèses!$V$11,Hypothèses!$W$11,IF(U323&lt;=Hypothèses!$V$12,Hypothèses!$W$12,IF(U323&lt;=Hypothèses!$V$13,Hypothèses!$W$13,IF(U323&lt;=Hypothèses!$V$14,Hypothèses!$W$14,IF(U323&lt;=Hypothèses!$V$15,Hypothèses!$W$15,IF(U323&lt;=Hypothèses!$V$16,Hypothèses!$W$16,IF(U323&lt;=Hypothèses!$V$17,Hypothèses!$W$17,IF(U323&lt;=Hypothèses!$V$18,Hypothèses!$W$18,""))))))))))))</f>
        <v>#DIV/0!</v>
      </c>
      <c r="AP323" s="87" t="e">
        <f t="shared" ca="1" si="517"/>
        <v>#DIV/0!</v>
      </c>
      <c r="AQ323" s="88" t="e">
        <f ca="1">IF(U323&lt;=Hypothèses!$V$7,Hypothèses!$X$7,IF(U323&lt;=Hypothèses!$V$8,Hypothèses!$X$8,IF(U323&lt;=Hypothèses!$V$9,Hypothèses!$X$9,IF(U323&lt;=Hypothèses!$V$10,Hypothèses!$X$10,IF(U323&lt;=Hypothèses!$V$11,Hypothèses!$X$11,IF(U323&lt;=Hypothèses!$V$12,Hypothèses!$X$12,IF(U323&lt;=Hypothèses!$V$13,Hypothèses!$X$13,IF(U323&lt;=Hypothèses!$V$14,Hypothèses!$X$14,IF(U323&lt;=Hypothèses!$V$15,Hypothèses!$X$15,IF(U323&lt;=Hypothèses!$V$16,Hypothèses!$X$16,IF(U323&lt;=Hypothèses!$U$17,Hypothèses!$W$17,IF(U323&lt;=Hypothèses!$U$18,Hypothèses!$W$18,""))))))))))))</f>
        <v>#DIV/0!</v>
      </c>
      <c r="AR323" s="95" t="e">
        <f t="shared" ca="1" si="472"/>
        <v>#DIV/0!</v>
      </c>
      <c r="AS323" s="101" t="e">
        <f t="shared" si="524"/>
        <v>#N/A</v>
      </c>
      <c r="AT323" s="91" t="e">
        <f t="shared" si="443"/>
        <v>#N/A</v>
      </c>
      <c r="AU323" s="30" t="e">
        <f t="shared" si="502"/>
        <v>#N/A</v>
      </c>
      <c r="AV323" s="30" t="e">
        <f t="shared" si="503"/>
        <v>#N/A</v>
      </c>
      <c r="AW323" s="31" t="e">
        <f>IF(OR(Hypothèses!$B$4=17,Hypothèses!$B$4=18,Hypothèses!$B$4=19,Hypothèses!$B$4=20),
IF($D323="Pressio.",
IF(OR($E323=3,$E323=1,$E323=4),AV323,AU323),
IF($D323="Pénétro.",
IF(OR($E323=3,$E323=1,$E323=4),AV323,AU323))),IF($D323="Pressio.",
IF($E323=3,AV323,AU323),
IF($D323="Pénétro.",
IF($E323=4,AV323,AU323))))</f>
        <v>#N/A</v>
      </c>
      <c r="AX323" s="31" t="e">
        <f>(IF(OR(Hypothèses!$B$4=17,Hypothèses!$B$4=18,Hypothèses!$B$4=19,Hypothèses!$B$4=20),
IF($D323="Pressio.",
IF(OR($E323=3,$E323=1,$E323=4),(PI()*AX$12^2)/4*(AT323*$W323*1000)/($H323*$B$5),(PI()*AX$12^2)/4*(AT323*$W323*1000)/($G323*$B$5)),
IF($D323="Pénétro.",
IF(OR($E323=4,$E323=1,$E323=5),(PI()*AX$12^2)/4*(AT323*$W323*1000)/($H323*$B$5),(PI()*AX$12^2)/4*(AT323*$W323*1000)/($G323*$B$5)))),
IF($D323="Pressio.",
IF($E323=3,(PI()*AX$12^2)/4*(AT323*$W323*1000)/($H323*$B$5),(PI()*AX$12^2)/4*(AT323*$W323*1000)/($G323*$B$5)),
IF($D323="Pénétro.",
IF($E323=4,(PI()*AX$12^2)/4*(AT323*$W323*1000)/($H323*$B$5),(PI()*AX$12^2)/4*(AT323*$W323*1000)/($G323*$B$5))))))/10</f>
        <v>#N/A</v>
      </c>
      <c r="AY323" s="102" t="e">
        <f>(VLOOKUP($B$3,'Coeff EC7'!$T$39:$X$59,2,0)*AW323+VLOOKUP($B$3,'Coeff EC7'!$T$65:$X$85,2,0)*Model0.1C!AX323)/1.1</f>
        <v>#N/A</v>
      </c>
      <c r="AZ323" s="102" t="e">
        <f>(VLOOKUP($B$3,'Coeff EC7'!$T$39:$X$59,3,0)*AW323+VLOOKUP($B$3,'Coeff EC7'!$T$65:$X$85,3,0)*Model0.1C!AX323)/0.9</f>
        <v>#N/A</v>
      </c>
      <c r="BA323" s="102" t="e">
        <f t="shared" si="473"/>
        <v>#N/A</v>
      </c>
      <c r="BB323" s="102" t="e">
        <f t="shared" si="474"/>
        <v>#N/A</v>
      </c>
      <c r="BC323" s="414" t="e">
        <f>IF(BC322=0,0,IF(AND(AY323&gt;charge_ELS_quasi,AZ323&gt;Charge_ELS_freq,BA323&gt;charge_ELU,BB323&gt;charge_ELA,$B323&gt;NDC!$H$22-0.1+MIN(3*$BC$12,1.5)),0,1))</f>
        <v>#N/A</v>
      </c>
      <c r="BD323" s="86" t="b">
        <f t="shared" si="444"/>
        <v>0</v>
      </c>
      <c r="BE323" s="86">
        <f t="shared" si="475"/>
        <v>0.5</v>
      </c>
      <c r="BF323" s="86">
        <f t="shared" si="445"/>
        <v>0.5</v>
      </c>
      <c r="BG323" s="30" t="e">
        <f t="shared" ca="1" si="476"/>
        <v>#DIV/0!</v>
      </c>
      <c r="BH323" s="85" t="e">
        <f ca="1">IF(AN323&lt;=Hypothèses!$V$7,Hypothèses!$W$7,IF(AN323&lt;=Hypothèses!$V$8,Hypothèses!$W$8,IF(AN323&lt;=Hypothèses!$V$9,Hypothèses!$W$9,IF(AN323&lt;=Hypothèses!$V$10,Hypothèses!$W$10,IF(AN323&lt;=Hypothèses!$V$11,Hypothèses!$W$11,IF(AN323&lt;=Hypothèses!$V$12,Hypothèses!$W$12,IF(AN323&lt;=Hypothèses!$V$13,Hypothèses!$W$13,IF(AN323&lt;=Hypothèses!$V$14,Hypothèses!$W$14,IF(AN323&lt;=Hypothèses!$V$15,Hypothèses!$W$15,IF(AN323&lt;=Hypothèses!$V$16,Hypothèses!$W$16,IF(AN323&lt;=Hypothèses!$V$17,Hypothèses!$W$17,IF(AN323&lt;=Hypothèses!$V$18,Hypothèses!$W$18,""))))))))))))</f>
        <v>#DIV/0!</v>
      </c>
      <c r="BI323" s="87" t="e">
        <f t="shared" ca="1" si="518"/>
        <v>#DIV/0!</v>
      </c>
      <c r="BJ323" s="88" t="e">
        <f ca="1">IF(AN323&lt;=Hypothèses!$V$7,Hypothèses!$X$7,IF(AN323&lt;=Hypothèses!$V$8,Hypothèses!$X$8,IF(AN323&lt;=Hypothèses!$V$9,Hypothèses!$X$9,IF(AN323&lt;=Hypothèses!$V$10,Hypothèses!$X$10,IF(AN323&lt;=Hypothèses!$V$11,Hypothèses!$X$11,IF(AN323&lt;=Hypothèses!$V$12,Hypothèses!$X$12,IF(AN323&lt;=Hypothèses!$V$13,Hypothèses!$X$13,IF(AN323&lt;=Hypothèses!$V$14,Hypothèses!$X$14,IF(AN323&lt;=Hypothèses!$V$15,Hypothèses!$X$15,IF(AN323&lt;=Hypothèses!$V$16,Hypothèses!$X$16,IF(AN323&lt;=Hypothèses!$U$17,Hypothèses!$W$17,IF(AN323&lt;=Hypothèses!$U$18,Hypothèses!$W$18,""))))))))))))</f>
        <v>#DIV/0!</v>
      </c>
      <c r="BK323" s="95" t="e">
        <f t="shared" ca="1" si="477"/>
        <v>#DIV/0!</v>
      </c>
      <c r="BL323" s="101" t="e">
        <f t="shared" si="525"/>
        <v>#N/A</v>
      </c>
      <c r="BM323" s="91" t="e">
        <f t="shared" si="446"/>
        <v>#N/A</v>
      </c>
      <c r="BN323" s="30" t="e">
        <f t="shared" si="504"/>
        <v>#N/A</v>
      </c>
      <c r="BO323" s="30" t="e">
        <f t="shared" si="505"/>
        <v>#N/A</v>
      </c>
      <c r="BP323" s="31" t="e">
        <f>IF(OR(Hypothèses!$B$4=17,Hypothèses!$B$4=18,Hypothèses!$B$4=19,Hypothèses!$B$4=20),
IF($D323="Pressio.",
IF(OR($E323=3,$E323=1,$E323=4),BO323,BN323),
IF($D323="Pénétro.",
IF(OR($E323=3,$E323=1,$E323=4),BO323,BN323))),IF($D323="Pressio.",
IF($E323=3,BO323,BN323),
IF($D323="Pénétro.",
IF($E323=4,BO323,BN323))))</f>
        <v>#N/A</v>
      </c>
      <c r="BQ323" s="31" t="e">
        <f>(IF(OR(Hypothèses!$B$4=17,Hypothèses!$B$4=18,Hypothèses!$B$4=19,Hypothèses!$B$4=20),
IF($D323="Pressio.",
IF(OR($E323=3,$E323=1,$E323=4),(PI()*BQ$12^2)/4*(BM323*$W323*1000)/($H323*$B$5),(PI()*BQ$12^2)/4*(BM323*$W323*1000)/($G323*$B$5)),
IF($D323="Pénétro.",
IF(OR($E323=4,$E323=1,$E323=5),(PI()*BQ$12^2)/4*(BM323*$W323*1000)/($H323*$B$5),(PI()*BQ$12^2)/4*(BM323*$W323*1000)/($G323*$B$5)))),
IF($D323="Pressio.",
IF($E323=3,(PI()*BQ$12^2)/4*(BM323*$W323*1000)/($H323*$B$5),(PI()*BQ$12^2)/4*(BM323*$W323*1000)/($G323*$B$5)),
IF($D323="Pénétro.",
IF($E323=4,(PI()*BQ$12^2)/4*(BM323*$W323*1000)/($H323*$B$5),(PI()*BQ$12^2)/4*(BM323*$W323*1000)/($G323*$B$5))))))/10</f>
        <v>#N/A</v>
      </c>
      <c r="BR323" s="102" t="e">
        <f>(VLOOKUP($B$3,'Coeff EC7'!$T$39:$X$59,2,0)*BP323+VLOOKUP($B$3,'Coeff EC7'!$T$65:$X$85,2,0)*Model0.1C!BQ323)/1.1</f>
        <v>#N/A</v>
      </c>
      <c r="BS323" s="102" t="e">
        <f>(VLOOKUP($B$3,'Coeff EC7'!$T$39:$X$59,3,0)*BP323+VLOOKUP($B$3,'Coeff EC7'!$T$65:$X$85,3,0)*Model0.1C!BQ323)/0.9</f>
        <v>#N/A</v>
      </c>
      <c r="BT323" s="102" t="e">
        <f t="shared" si="478"/>
        <v>#N/A</v>
      </c>
      <c r="BU323" s="102" t="e">
        <f t="shared" si="479"/>
        <v>#N/A</v>
      </c>
      <c r="BV323" s="414" t="e">
        <f>IF(BV322=0,0,IF(AND(BR323&gt;charge_ELS_quasi,BS323&gt;Charge_ELS_freq,BT323&gt;charge_ELU,BU323&gt;charge_ELA,$B323&gt;NDC!$H$22-0.1+MIN(3*$BV$12,1.5)),0,1))</f>
        <v>#N/A</v>
      </c>
      <c r="BW323" s="86" t="b">
        <f t="shared" si="447"/>
        <v>0</v>
      </c>
      <c r="BX323" s="86">
        <f t="shared" si="448"/>
        <v>0.5</v>
      </c>
      <c r="BY323" s="86">
        <f t="shared" si="449"/>
        <v>0.5</v>
      </c>
      <c r="BZ323" s="30" t="e">
        <f t="shared" ca="1" si="480"/>
        <v>#DIV/0!</v>
      </c>
      <c r="CA323" s="85" t="e">
        <f ca="1">IF(BG323&lt;=Hypothèses!$V$7,Hypothèses!$W$7,IF(BG323&lt;=Hypothèses!$V$8,Hypothèses!$W$8,IF(BG323&lt;=Hypothèses!$V$9,Hypothèses!$W$9,IF(BG323&lt;=Hypothèses!$V$10,Hypothèses!$W$10,IF(BG323&lt;=Hypothèses!$V$11,Hypothèses!$W$11,IF(BG323&lt;=Hypothèses!$V$12,Hypothèses!$W$12,IF(BG323&lt;=Hypothèses!$V$13,Hypothèses!$W$13,IF(BG323&lt;=Hypothèses!$V$14,Hypothèses!$W$14,IF(BG323&lt;=Hypothèses!$V$15,Hypothèses!$W$15,IF(BG323&lt;=Hypothèses!$V$16,Hypothèses!$W$16,IF(BG323&lt;=Hypothèses!$V$17,Hypothèses!$W$17,IF(BG323&lt;=Hypothèses!$V$18,Hypothèses!$W$18,""))))))))))))</f>
        <v>#DIV/0!</v>
      </c>
      <c r="CB323" s="87" t="e">
        <f t="shared" ca="1" si="519"/>
        <v>#DIV/0!</v>
      </c>
      <c r="CC323" s="88" t="e">
        <f ca="1">IF(BG323&lt;=Hypothèses!$V$7,Hypothèses!$X$7,IF(BG323&lt;=Hypothèses!$V$8,Hypothèses!$X$8,IF(BG323&lt;=Hypothèses!$V$9,Hypothèses!$X$9,IF(BG323&lt;=Hypothèses!$V$10,Hypothèses!$X$10,IF(BG323&lt;=Hypothèses!$V$11,Hypothèses!$X$11,IF(BG323&lt;=Hypothèses!$V$12,Hypothèses!$X$12,IF(BG323&lt;=Hypothèses!$V$13,Hypothèses!$X$13,IF(BG323&lt;=Hypothèses!$V$14,Hypothèses!$X$14,IF(BG323&lt;=Hypothèses!$V$15,Hypothèses!$X$15,IF(BG323&lt;=Hypothèses!$V$16,Hypothèses!$X$16,IF(BG323&lt;=Hypothèses!$U$17,Hypothèses!$W$17,IF(BG323&lt;=Hypothèses!$U$18,Hypothèses!$W$18,""))))))))))))</f>
        <v>#DIV/0!</v>
      </c>
      <c r="CD323" s="95" t="e">
        <f t="shared" ca="1" si="481"/>
        <v>#DIV/0!</v>
      </c>
      <c r="CE323" s="101" t="e">
        <f t="shared" si="526"/>
        <v>#N/A</v>
      </c>
      <c r="CF323" s="91" t="e">
        <f t="shared" si="450"/>
        <v>#N/A</v>
      </c>
      <c r="CG323" s="30" t="e">
        <f t="shared" si="506"/>
        <v>#N/A</v>
      </c>
      <c r="CH323" s="30" t="e">
        <f t="shared" si="507"/>
        <v>#N/A</v>
      </c>
      <c r="CI323" s="31" t="e">
        <f>IF(OR(Hypothèses!$B$4=17,Hypothèses!$B$4=18,Hypothèses!$B$4=19,Hypothèses!$B$4=20),
IF($D323="Pressio.",
IF(OR($E323=3,$E323=1,$E323=4),CH323,CG323),
IF($D323="Pénétro.",
IF(OR($E323=3,$E323=1,$E323=4),CH323,CG323))),IF($D323="Pressio.",
IF($E323=3,CH323,CG323),
IF($D323="Pénétro.",
IF($E323=4,CH323,CG323))))</f>
        <v>#N/A</v>
      </c>
      <c r="CJ323" s="31" t="e">
        <f>(IF(OR(Hypothèses!$B$4=17,Hypothèses!$B$4=18,Hypothèses!$B$4=19,Hypothèses!$B$4=20),
IF($D323="Pressio.",
IF(OR($E323=3,$E323=1,$E323=4),(PI()*CJ$12^2)/4*(CF323*$W323*1000)/($H323*$B$5),(PI()*CJ$12^2)/4*(CF323*$W323*1000)/($G323*$B$5)),
IF($D323="Pénétro.",
IF(OR($E323=4,$E323=1,$E323=5),(PI()*CJ$12^2)/4*(CF323*$W323*1000)/($H323*$B$5),(PI()*CJ$12^2)/4*(CF323*$W323*1000)/($G323*$B$5)))),
IF($D323="Pressio.",
IF($E323=3,(PI()*CJ$12^2)/4*(CF323*$W323*1000)/($H323*$B$5),(PI()*CJ$12^2)/4*(CF323*$W323*1000)/($G323*$B$5)),
IF($D323="Pénétro.",
IF($E323=4,(PI()*CJ$12^2)/4*(CF323*$W323*1000)/($H323*$B$5),(PI()*CJ$12^2)/4*(CF323*$W323*1000)/($G323*$B$5))))))/10</f>
        <v>#N/A</v>
      </c>
      <c r="CK323" s="102" t="e">
        <f>(VLOOKUP($B$3,'Coeff EC7'!$T$39:$X$59,2,0)*CI323+VLOOKUP($B$3,'Coeff EC7'!$T$65:$X$85,2,0)*Model0.1C!CJ323)/1.1</f>
        <v>#N/A</v>
      </c>
      <c r="CL323" s="102" t="e">
        <f>(VLOOKUP($B$3,'Coeff EC7'!$T$39:$X$59,3,0)*CI323+VLOOKUP($B$3,'Coeff EC7'!$T$65:$X$85,3,0)*Model0.1C!CJ323)/0.9</f>
        <v>#N/A</v>
      </c>
      <c r="CM323" s="102" t="e">
        <f t="shared" si="482"/>
        <v>#N/A</v>
      </c>
      <c r="CN323" s="102" t="e">
        <f t="shared" si="483"/>
        <v>#N/A</v>
      </c>
      <c r="CO323" s="414" t="e">
        <f>IF(CO322=0,0,IF(AND(CK323&gt;charge_ELS_quasi,CL323&gt;Charge_ELS_freq,CM323&gt;charge_ELU,CN323&gt;charge_ELA,$B323&gt;NDC!$H$22-0.1+MIN(3*$CO$12,1.5)),0,1))</f>
        <v>#N/A</v>
      </c>
      <c r="CP323" s="86" t="b">
        <f t="shared" si="451"/>
        <v>0</v>
      </c>
      <c r="CQ323" s="86">
        <f t="shared" si="452"/>
        <v>0.5</v>
      </c>
      <c r="CR323" s="86">
        <f t="shared" si="453"/>
        <v>0.5</v>
      </c>
      <c r="CS323" s="30" t="e">
        <f t="shared" ca="1" si="484"/>
        <v>#DIV/0!</v>
      </c>
      <c r="CT323" s="85" t="e">
        <f ca="1">IF(BZ323&lt;=Hypothèses!$V$7,Hypothèses!$W$7,IF(BZ323&lt;=Hypothèses!$V$8,Hypothèses!$W$8,IF(BZ323&lt;=Hypothèses!$V$9,Hypothèses!$W$9,IF(BZ323&lt;=Hypothèses!$V$10,Hypothèses!$W$10,IF(BZ323&lt;=Hypothèses!$V$11,Hypothèses!$W$11,IF(BZ323&lt;=Hypothèses!$V$12,Hypothèses!$W$12,IF(BZ323&lt;=Hypothèses!$V$13,Hypothèses!$W$13,IF(BZ323&lt;=Hypothèses!$V$14,Hypothèses!$W$14,IF(BZ323&lt;=Hypothèses!$V$15,Hypothèses!$W$15,IF(BZ323&lt;=Hypothèses!$V$16,Hypothèses!$W$16,IF(BZ323&lt;=Hypothèses!$V$17,Hypothèses!$W$17,IF(BZ323&lt;=Hypothèses!$V$18,Hypothèses!$W$18,""))))))))))))</f>
        <v>#DIV/0!</v>
      </c>
      <c r="CU323" s="87" t="e">
        <f t="shared" ca="1" si="520"/>
        <v>#DIV/0!</v>
      </c>
      <c r="CV323" s="88" t="e">
        <f ca="1">IF(BZ323&lt;=Hypothèses!$V$7,Hypothèses!$X$7,IF(BZ323&lt;=Hypothèses!$V$8,Hypothèses!$X$8,IF(BZ323&lt;=Hypothèses!$V$9,Hypothèses!$X$9,IF(BZ323&lt;=Hypothèses!$V$10,Hypothèses!$X$10,IF(BZ323&lt;=Hypothèses!$V$11,Hypothèses!$X$11,IF(BZ323&lt;=Hypothèses!$V$12,Hypothèses!$X$12,IF(BZ323&lt;=Hypothèses!$V$13,Hypothèses!$X$13,IF(BZ323&lt;=Hypothèses!$V$14,Hypothèses!$X$14,IF(BZ323&lt;=Hypothèses!$V$15,Hypothèses!$X$15,IF(BZ323&lt;=Hypothèses!$V$16,Hypothèses!$X$16,IF(BZ323&lt;=Hypothèses!$U$17,Hypothèses!$W$17,IF(BZ323&lt;=Hypothèses!$U$18,Hypothèses!$W$18,""))))))))))))</f>
        <v>#DIV/0!</v>
      </c>
      <c r="CW323" s="95" t="e">
        <f t="shared" ca="1" si="485"/>
        <v>#DIV/0!</v>
      </c>
      <c r="CX323" s="101" t="e">
        <f t="shared" si="527"/>
        <v>#N/A</v>
      </c>
      <c r="CY323" s="91" t="e">
        <f t="shared" si="454"/>
        <v>#N/A</v>
      </c>
      <c r="CZ323" s="30" t="e">
        <f t="shared" si="508"/>
        <v>#N/A</v>
      </c>
      <c r="DA323" s="30" t="e">
        <f t="shared" si="509"/>
        <v>#N/A</v>
      </c>
      <c r="DB323" s="31" t="e">
        <f>IF(OR(Hypothèses!$B$4=17,Hypothèses!$B$4=18,Hypothèses!$B$4=19,Hypothèses!$B$4=20),
IF($D323="Pressio.",
IF(OR($E323=3,$E323=1,$E323=4),DA323,CZ323),
IF($D323="Pénétro.",
IF(OR($E323=3,$E323=1,$E323=4),DA323,CZ323))),IF($D323="Pressio.",
IF($E323=3,DA323,CZ323),
IF($D323="Pénétro.",
IF($E323=4,DA323,CZ323))))</f>
        <v>#N/A</v>
      </c>
      <c r="DC323" s="31" t="e">
        <f>(IF(OR(Hypothèses!$B$4=17,Hypothèses!$B$4=18,Hypothèses!$B$4=19,Hypothèses!$B$4=20),
IF($D323="Pressio.",
IF(OR($E323=3,$E323=1,$E323=4),(PI()*DC$12^2)/4*(CY323*$W323*1000)/($H323*$B$5),(PI()*DC$12^2)/4*(CY323*$W323*1000)/($G323*$B$5)),
IF($D323="Pénétro.",
IF(OR($E323=4,$E323=1,$E323=5),(PI()*DC$12^2)/4*(CY323*$W323*1000)/($H323*$B$5),(PI()*DC$12^2)/4*(CY323*$W323*1000)/($G323*$B$5)))),
IF($D323="Pressio.",
IF($E323=3,(PI()*DC$12^2)/4*(CY323*$W323*1000)/($H323*$B$5),(PI()*DC$12^2)/4*(CY323*$W323*1000)/($G323*$B$5)),
IF($D323="Pénétro.",
IF($E323=4,(PI()*DC$12^2)/4*(CY323*$W323*1000)/($H323*$B$5),(PI()*DC$12^2)/4*(CY323*$W323*1000)/($G323*$B$5))))))/10</f>
        <v>#N/A</v>
      </c>
      <c r="DD323" s="102" t="e">
        <f>(VLOOKUP($B$3,'Coeff EC7'!$T$39:$X$59,2,0)*DB323+VLOOKUP($B$3,'Coeff EC7'!$T$65:$X$85,2,0)*Model0.1C!DC323)/1.1</f>
        <v>#N/A</v>
      </c>
      <c r="DE323" s="102" t="e">
        <f>(VLOOKUP($B$3,'Coeff EC7'!$T$39:$X$59,3,0)*DB323+VLOOKUP($B$3,'Coeff EC7'!$T$65:$X$85,3,0)*Model0.1C!DC323)/0.9</f>
        <v>#N/A</v>
      </c>
      <c r="DF323" s="102" t="e">
        <f t="shared" si="486"/>
        <v>#N/A</v>
      </c>
      <c r="DG323" s="102" t="e">
        <f t="shared" si="487"/>
        <v>#N/A</v>
      </c>
      <c r="DH323" s="414" t="e">
        <f>IF(DH322=0,0,IF(AND(DD323&gt;charge_ELS_quasi,DE323&gt;Charge_ELS_freq,DF323&gt;charge_ELU,DG323&gt;charge_ELA,$B323&gt;NDC!$H$22-0.1+MIN(3*$DH$12,1.5)),0,1))</f>
        <v>#N/A</v>
      </c>
      <c r="DI323" s="86" t="b">
        <f t="shared" si="455"/>
        <v>0</v>
      </c>
      <c r="DJ323" s="86">
        <f t="shared" si="456"/>
        <v>0.5</v>
      </c>
      <c r="DK323" s="86">
        <f t="shared" si="457"/>
        <v>0.5</v>
      </c>
      <c r="DL323" s="30" t="e">
        <f t="shared" ca="1" si="488"/>
        <v>#DIV/0!</v>
      </c>
      <c r="DM323" s="85" t="e">
        <f ca="1">IF(CS323&lt;=Hypothèses!$V$7,Hypothèses!$W$7,IF(CS323&lt;=Hypothèses!$V$8,Hypothèses!$W$8,IF(CS323&lt;=Hypothèses!$V$9,Hypothèses!$W$9,IF(CS323&lt;=Hypothèses!$V$10,Hypothèses!$W$10,IF(CS323&lt;=Hypothèses!$V$11,Hypothèses!$W$11,IF(CS323&lt;=Hypothèses!$V$12,Hypothèses!$W$12,IF(CS323&lt;=Hypothèses!$V$13,Hypothèses!$W$13,IF(CS323&lt;=Hypothèses!$V$14,Hypothèses!$W$14,IF(CS323&lt;=Hypothèses!$V$15,Hypothèses!$W$15,IF(CS323&lt;=Hypothèses!$V$16,Hypothèses!$W$16,IF(CS323&lt;=Hypothèses!$V$17,Hypothèses!$W$17,IF(CS323&lt;=Hypothèses!$V$18,Hypothèses!$W$18,""))))))))))))</f>
        <v>#DIV/0!</v>
      </c>
      <c r="DN323" s="87" t="e">
        <f t="shared" ca="1" si="521"/>
        <v>#DIV/0!</v>
      </c>
      <c r="DO323" s="88" t="e">
        <f ca="1">IF(CS323&lt;=Hypothèses!$V$7,Hypothèses!$X$7,IF(CS323&lt;=Hypothèses!$V$8,Hypothèses!$X$8,IF(CS323&lt;=Hypothèses!$V$9,Hypothèses!$X$9,IF(CS323&lt;=Hypothèses!$V$10,Hypothèses!$X$10,IF(CS323&lt;=Hypothèses!$V$11,Hypothèses!$X$11,IF(CS323&lt;=Hypothèses!$V$12,Hypothèses!$X$12,IF(CS323&lt;=Hypothèses!$V$13,Hypothèses!$X$13,IF(CS323&lt;=Hypothèses!$V$14,Hypothèses!$X$14,IF(CS323&lt;=Hypothèses!$V$15,Hypothèses!$X$15,IF(CS323&lt;=Hypothèses!$V$16,Hypothèses!$X$16,IF(CS323&lt;=Hypothèses!$U$17,Hypothèses!$W$17,IF(CS323&lt;=Hypothèses!$U$18,Hypothèses!$W$18,""))))))))))))</f>
        <v>#DIV/0!</v>
      </c>
      <c r="DP323" s="95" t="e">
        <f t="shared" ca="1" si="489"/>
        <v>#DIV/0!</v>
      </c>
      <c r="DQ323" s="101" t="e">
        <f t="shared" si="528"/>
        <v>#N/A</v>
      </c>
      <c r="DR323" s="91" t="e">
        <f t="shared" si="458"/>
        <v>#N/A</v>
      </c>
      <c r="DS323" s="30" t="e">
        <f t="shared" si="510"/>
        <v>#N/A</v>
      </c>
      <c r="DT323" s="30" t="e">
        <f t="shared" si="511"/>
        <v>#N/A</v>
      </c>
      <c r="DU323" s="31" t="e">
        <f>IF(OR(Hypothèses!$B$4=17,Hypothèses!$B$4=18,Hypothèses!$B$4=19,Hypothèses!$B$4=20),
IF($D323="Pressio.",
IF(OR($E323=3,$E323=1,$E323=4),DT323,DS323),
IF($D323="Pénétro.",
IF(OR($E323=3,$E323=1,$E323=4),DT323,DS323))),IF($D323="Pressio.",
IF($E323=3,DT323,DS323),
IF($D323="Pénétro.",
IF($E323=4,DT323,DS323))))</f>
        <v>#N/A</v>
      </c>
      <c r="DV323" s="31" t="e">
        <f>(IF(OR(Hypothèses!$B$4=17,Hypothèses!$B$4=18,Hypothèses!$B$4=19,Hypothèses!$B$4=20),
IF($D323="Pressio.",
IF(OR($E323=3,$E323=1,$E323=4),(PI()*DV$12^2)/4*(DR323*$W323*1000)/($H323*$B$5),(PI()*DV$12^2)/4*(DR323*$W323*1000)/($G323*$B$5)),
IF($D323="Pénétro.",
IF(OR($E323=4,$E323=1,$E323=5),(PI()*DV$12^2)/4*(DR323*$W323*1000)/($H323*$B$5),(PI()*DV$12^2)/4*(DR323*$W323*1000)/($G323*$B$5)))),
IF($D323="Pressio.",
IF($E323=3,(PI()*DV$12^2)/4*(DR323*$W323*1000)/($H323*$B$5),(PI()*DV$12^2)/4*(DR323*$W323*1000)/($G323*$B$5)),
IF($D323="Pénétro.",
IF($E323=4,(PI()*DV$12^2)/4*(DR323*$W323*1000)/($H323*$B$5),(PI()*DV$12^2)/4*(DR323*$W323*1000)/($G323*$B$5))))))/10</f>
        <v>#N/A</v>
      </c>
      <c r="DW323" s="102" t="e">
        <f>(VLOOKUP($B$3,'Coeff EC7'!$T$39:$X$59,2,0)*DU323+VLOOKUP($B$3,'Coeff EC7'!$T$65:$X$85,2,0)*Model0.1C!DV323)/1.1</f>
        <v>#N/A</v>
      </c>
      <c r="DX323" s="102" t="e">
        <f>(VLOOKUP($B$3,'Coeff EC7'!$T$39:$X$59,3,0)*DU323+VLOOKUP($B$3,'Coeff EC7'!$T$65:$X$85,3,0)*Model0.1C!DV323)/0.9</f>
        <v>#N/A</v>
      </c>
      <c r="DY323" s="102" t="e">
        <f t="shared" si="490"/>
        <v>#N/A</v>
      </c>
      <c r="DZ323" s="102" t="e">
        <f t="shared" si="491"/>
        <v>#N/A</v>
      </c>
      <c r="EA323" s="414" t="e">
        <f>IF(EA322=0,0,IF(AND(DW323&gt;charge_ELS_quasi,DX323&gt;Charge_ELS_freq,DY323&gt;charge_ELU,DZ323&gt;charge_ELA,$B323&gt;NDC!$H$22-0.1+MIN(3*$EA$12,1.5)),0,1))</f>
        <v>#N/A</v>
      </c>
      <c r="EB323" s="86" t="b">
        <f t="shared" si="459"/>
        <v>0</v>
      </c>
      <c r="EC323" s="418">
        <f t="shared" si="460"/>
        <v>0.51</v>
      </c>
      <c r="ED323" s="86">
        <f t="shared" si="461"/>
        <v>0.51</v>
      </c>
      <c r="EE323" s="30" t="e">
        <f t="shared" ca="1" si="492"/>
        <v>#DIV/0!</v>
      </c>
      <c r="EF323" s="85" t="e">
        <f ca="1">IF(DL323&lt;=Hypothèses!$V$7,Hypothèses!$W$7,IF(DL323&lt;=Hypothèses!$V$8,Hypothèses!$W$8,IF(DL323&lt;=Hypothèses!$V$9,Hypothèses!$W$9,IF(DL323&lt;=Hypothèses!$V$10,Hypothèses!$W$10,IF(DL323&lt;=Hypothèses!$V$11,Hypothèses!$W$11,IF(DL323&lt;=Hypothèses!$V$12,Hypothèses!$W$12,IF(DL323&lt;=Hypothèses!$V$13,Hypothèses!$W$13,IF(DL323&lt;=Hypothèses!$V$14,Hypothèses!$W$14,IF(DL323&lt;=Hypothèses!$V$15,Hypothèses!$W$15,IF(DL323&lt;=Hypothèses!$V$16,Hypothèses!$W$16,IF(DL323&lt;=Hypothèses!$V$17,Hypothèses!$W$17,IF(DL323&lt;=Hypothèses!$V$18,Hypothèses!$W$18,""))))))))))))</f>
        <v>#DIV/0!</v>
      </c>
      <c r="EG323" s="87" t="e">
        <f t="shared" ca="1" si="522"/>
        <v>#DIV/0!</v>
      </c>
      <c r="EH323" s="88" t="e">
        <f ca="1">IF(DL323&lt;=Hypothèses!$V$7,Hypothèses!$X$7,IF(DL323&lt;=Hypothèses!$V$8,Hypothèses!$X$8,IF(DL323&lt;=Hypothèses!$V$9,Hypothèses!$X$9,IF(DL323&lt;=Hypothèses!$V$10,Hypothèses!$X$10,IF(DL323&lt;=Hypothèses!$V$11,Hypothèses!$X$11,IF(DL323&lt;=Hypothèses!$V$12,Hypothèses!$X$12,IF(DL323&lt;=Hypothèses!$V$13,Hypothèses!$X$13,IF(DL323&lt;=Hypothèses!$V$14,Hypothèses!$X$14,IF(DL323&lt;=Hypothèses!$V$15,Hypothèses!$X$15,IF(DL323&lt;=Hypothèses!$V$16,Hypothèses!$X$16,IF(DL323&lt;=Hypothèses!$U$17,Hypothèses!$W$17,IF(DL323&lt;=Hypothèses!$U$18,Hypothèses!$W$18,""))))))))))))</f>
        <v>#DIV/0!</v>
      </c>
      <c r="EI323" s="95" t="e">
        <f t="shared" ca="1" si="493"/>
        <v>#DIV/0!</v>
      </c>
      <c r="EJ323" s="101" t="e">
        <f t="shared" si="529"/>
        <v>#N/A</v>
      </c>
      <c r="EK323" s="91" t="e">
        <f t="shared" si="462"/>
        <v>#N/A</v>
      </c>
      <c r="EL323" s="30" t="e">
        <f t="shared" si="512"/>
        <v>#N/A</v>
      </c>
      <c r="EM323" s="30" t="e">
        <f t="shared" si="513"/>
        <v>#N/A</v>
      </c>
      <c r="EN323" s="31" t="e">
        <f>IF(OR(Hypothèses!$B$4=17,Hypothèses!$B$4=18,Hypothèses!$B$4=19,Hypothèses!$B$4=20),
IF($D323="Pressio.",
IF(OR($E323=3,$E323=1,$E323=4),EM323,EL323),
IF($D323="Pénétro.",
IF(OR($E323=3,$E323=1,$E323=4),EM323,EL323))),IF($D323="Pressio.",
IF($E323=3,EM323,EL323),
IF($D323="Pénétro.",
IF($E323=4,EM323,EL323))))</f>
        <v>#N/A</v>
      </c>
      <c r="EO323" s="31" t="e">
        <f>(IF(OR(Hypothèses!$B$4=17,Hypothèses!$B$4=18,Hypothèses!$B$4=19,Hypothèses!$B$4=20),
IF($D323="Pressio.",
IF(OR($E323=3,$E323=1,$E323=4),(PI()*EO$12^2)/4*(EK323*$W323*1000)/($H323*$B$5),(PI()*EO$12^2)/4*(EK323*$W323*1000)/($G323*$B$5)),
IF($D323="Pénétro.",
IF(OR($E323=4,$E323=1,$E323=5),(PI()*EO$12^2)/4*(EK323*$W323*1000)/($H323*$B$5),(PI()*EO$12^2)/4*(EK323*$W323*1000)/($G323*$B$5)))),
IF($D323="Pressio.",
IF($E323=3,(PI()*EO$12^2)/4*(EK323*$W323*1000)/($H323*$B$5),(PI()*EO$12^2)/4*(EK323*$W323*1000)/($G323*$B$5)),
IF($D323="Pénétro.",
IF($E323=4,(PI()*EO$12^2)/4*(EK323*$W323*1000)/($H323*$B$5),(PI()*EO$12^2)/4*(EK323*$W323*1000)/($G323*$B$5))))))/10</f>
        <v>#N/A</v>
      </c>
      <c r="EP323" s="102" t="e">
        <f>(VLOOKUP($B$3,'Coeff EC7'!$T$39:$X$59,2,0)*EN323+VLOOKUP($B$3,'Coeff EC7'!$T$65:$X$85,2,0)*Model0.1C!EO323)/1.1</f>
        <v>#N/A</v>
      </c>
      <c r="EQ323" s="102" t="e">
        <f>(VLOOKUP($B$3,'Coeff EC7'!$T$39:$X$59,3,0)*EN323+VLOOKUP($B$3,'Coeff EC7'!$T$65:$X$85,3,0)*Model0.1C!EO323)/0.9</f>
        <v>#N/A</v>
      </c>
      <c r="ER323" s="102" t="e">
        <f t="shared" si="494"/>
        <v>#N/A</v>
      </c>
      <c r="ES323" s="102" t="e">
        <f t="shared" si="495"/>
        <v>#N/A</v>
      </c>
      <c r="ET323" s="414" t="e">
        <f>IF(ET322=0,0,IF(AND(EP323&gt;charge_ELS_quasi,EQ323&gt;Charge_ELS_freq,ER323&gt;charge_ELU,ES323&gt;charge_ELA,$B323&gt;NDC!$H$22-0.1+MIN(3*$ET$12,1.5)),0,1))</f>
        <v>#N/A</v>
      </c>
      <c r="EU323" s="86" t="b">
        <f t="shared" si="463"/>
        <v>0</v>
      </c>
      <c r="EV323" s="86">
        <f t="shared" si="464"/>
        <v>0.61</v>
      </c>
      <c r="EW323" s="86">
        <f t="shared" si="465"/>
        <v>0.61</v>
      </c>
      <c r="EX323" s="30" t="e">
        <f t="shared" ca="1" si="496"/>
        <v>#DIV/0!</v>
      </c>
      <c r="EY323" s="85" t="e">
        <f ca="1">IF(EE323&lt;=Hypothèses!$V$7,Hypothèses!$W$7,IF(EE323&lt;=Hypothèses!$V$8,Hypothèses!$W$8,IF(EE323&lt;=Hypothèses!$V$9,Hypothèses!$W$9,IF(EE323&lt;=Hypothèses!$V$10,Hypothèses!$W$10,IF(EE323&lt;=Hypothèses!$V$11,Hypothèses!$W$11,IF(EE323&lt;=Hypothèses!$V$12,Hypothèses!$W$12,IF(EE323&lt;=Hypothèses!$V$13,Hypothèses!$W$13,IF(EE323&lt;=Hypothèses!$V$14,Hypothèses!$W$14,IF(EE323&lt;=Hypothèses!$V$15,Hypothèses!$W$15,IF(EE323&lt;=Hypothèses!$V$16,Hypothèses!$W$16,IF(EE323&lt;=Hypothèses!$V$17,Hypothèses!$W$17,IF(EE323&lt;=Hypothèses!$V$18,Hypothèses!$W$18,""))))))))))))</f>
        <v>#DIV/0!</v>
      </c>
      <c r="EZ323" s="87" t="e">
        <f t="shared" ca="1" si="523"/>
        <v>#DIV/0!</v>
      </c>
      <c r="FA323" s="88" t="e">
        <f ca="1">IF(EE323&lt;=Hypothèses!$V$7,Hypothèses!$X$7,IF(EE323&lt;=Hypothèses!$V$8,Hypothèses!$X$8,IF(EE323&lt;=Hypothèses!$V$9,Hypothèses!$X$9,IF(EE323&lt;=Hypothèses!$V$10,Hypothèses!$X$10,IF(EE323&lt;=Hypothèses!$V$11,Hypothèses!$X$11,IF(EE323&lt;=Hypothèses!$V$12,Hypothèses!$X$12,IF(EE323&lt;=Hypothèses!$V$13,Hypothèses!$X$13,IF(EE323&lt;=Hypothèses!$V$14,Hypothèses!$X$14,IF(EE323&lt;=Hypothèses!$V$15,Hypothèses!$X$15,IF(EE323&lt;=Hypothèses!$V$16,Hypothèses!$X$16,IF(EE323&lt;=Hypothèses!$U$17,Hypothèses!$W$17,IF(EE323&lt;=Hypothèses!$U$18,Hypothèses!$W$18,""))))))))))))</f>
        <v>#DIV/0!</v>
      </c>
      <c r="FB323" s="95" t="e">
        <f t="shared" ca="1" si="497"/>
        <v>#DIV/0!</v>
      </c>
      <c r="FC323" s="101" t="e">
        <f t="shared" si="530"/>
        <v>#N/A</v>
      </c>
      <c r="FD323" s="91" t="e">
        <f t="shared" si="466"/>
        <v>#N/A</v>
      </c>
      <c r="FE323" s="30" t="e">
        <f t="shared" si="514"/>
        <v>#N/A</v>
      </c>
      <c r="FF323" s="30" t="e">
        <f t="shared" si="515"/>
        <v>#N/A</v>
      </c>
      <c r="FG323" s="31" t="e">
        <f>IF(OR(Hypothèses!$B$4=17,Hypothèses!$B$4=18,Hypothèses!$B$4=19,Hypothèses!$B$4=20),
IF($D323="Pressio.",
IF(OR($E323=3,$E323=1,$E323=4),FF323,FE323),
IF($D323="Pénétro.",
IF(OR($E323=3,$E323=1,$E323=4),FF323,FE323))),IF($D323="Pressio.",
IF($E323=3,FF323,FE323),
IF($D323="Pénétro.",
IF($E323=4,FF323,FE323))))</f>
        <v>#N/A</v>
      </c>
      <c r="FH323" s="31" t="e">
        <f>(IF(OR(Hypothèses!$B$4=17,Hypothèses!$B$4=18,Hypothèses!$B$4=19,Hypothèses!$B$4=20),
IF($D323="Pressio.",
IF(OR($E323=3,$E323=1,$E323=4),(PI()*FH$12^2)/4*(FD323*$W323*1000)/($H323*$B$5),(PI()*FH$12^2)/4*(FD323*$W323*1000)/($G323*$B$5)),
IF($D323="Pénétro.",
IF(OR($E323=4,$E323=1,$E323=5),(PI()*FH$12^2)/4*(FD323*$W323*1000)/($H323*$B$5),(PI()*FH$12^2)/4*(FD323*$W323*1000)/($G323*$B$5)))),
IF($D323="Pressio.",
IF($E323=3,(PI()*FH$12^2)/4*(FD323*$W323*1000)/($H323*$B$5),(PI()*FH$12^2)/4*(FD323*$W323*1000)/($G323*$B$5)),
IF($D323="Pénétro.",
IF($E323=4,(PI()*FH$12^2)/4*(FD323*$W323*1000)/($H323*$B$5),(PI()*FH$12^2)/4*(FD323*$W323*1000)/($G323*$B$5))))))/10</f>
        <v>#N/A</v>
      </c>
      <c r="FI323" s="102" t="e">
        <f>(VLOOKUP($B$3,'Coeff EC7'!$T$39:$X$59,2,0)*FG323+VLOOKUP($B$3,'Coeff EC7'!$T$65:$X$85,2,0)*Model0.1C!FH323)/1.1</f>
        <v>#N/A</v>
      </c>
      <c r="FJ323" s="102" t="e">
        <f>(VLOOKUP($B$3,'Coeff EC7'!$T$39:$X$59,3,0)*FG323+VLOOKUP($B$3,'Coeff EC7'!$T$65:$X$85,3,0)*Model0.1C!FH323)/0.9</f>
        <v>#N/A</v>
      </c>
      <c r="FK323" s="102" t="e">
        <f t="shared" si="498"/>
        <v>#N/A</v>
      </c>
      <c r="FL323" s="102" t="e">
        <f t="shared" si="499"/>
        <v>#N/A</v>
      </c>
      <c r="FM323" s="414" t="e">
        <f>IF(FM322=0,0,IF(AND(FI323&gt;charge_ELS_quasi,FJ323&gt;Charge_ELS_freq,FK323&gt;charge_ELU,FL323&gt;charge_ELA,$B323&gt;NDC!$H$22-0.1+MIN(3*$FM$12,1.5)),0,1))</f>
        <v>#N/A</v>
      </c>
    </row>
    <row r="324" spans="1:169">
      <c r="A324" s="96">
        <f t="shared" si="467"/>
        <v>68.900000000001768</v>
      </c>
      <c r="B324" s="97">
        <v>31.1</v>
      </c>
      <c r="C324" s="81">
        <f>IF(B324&lt;=Hypothèses!$C$7,Hypothèses!$A$7,IF(B324&lt;=Hypothèses!$C$8,Hypothèses!$A$8,IF(B324&lt;=Hypothèses!$C$9,Hypothèses!$A$9,IF(B324&lt;=Hypothèses!$C$10,Hypothèses!$A$10,IF(B324&lt;=Hypothèses!$C$11,Hypothèses!$A$11,IF(B324&lt;=Hypothèses!$C$12,Hypothèses!$A$12,IF(B324&lt;=Hypothèses!$C$13,Hypothèses!$A$13,IF(B324&lt;=Hypothèses!$C$14,Hypothèses!$A$14,IF(B324&lt;=Hypothèses!$C$15,Hypothèses!$A$15,IF(B324&lt;=Hypothèses!$C$16,Hypothèses!$A$16,IF(B324&lt;=Hypothèses!$C$17,Hypothèses!$A$17,IF(B324&lt;=Hypothèses!$C$18,Hypothèses!$A$18,C323))))))))))))</f>
        <v>11</v>
      </c>
      <c r="D324" s="82" t="str">
        <f>IF(B324&lt;=Hypothèses!$C$7,Hypothèses!$R$7,IF(B324&lt;=Hypothèses!$C$8,Hypothèses!$R$8,IF(B324&lt;=Hypothèses!$C$9,Hypothèses!$R$9,IF(B324&lt;=Hypothèses!$C$10,Hypothèses!$R$10,IF(B324&lt;=Hypothèses!$C$11,Hypothèses!$R$11,IF(B324&lt;=Hypothèses!$C$12,Hypothèses!$R$12,IF(B324&lt;=Hypothèses!$C$13,Hypothèses!$R$13,IF(B324&lt;=Hypothèses!$C$14,Hypothèses!$R$14,IF(B324&lt;=Hypothèses!$C$15,Hypothèses!$R$15,IF(B324&lt;=Hypothèses!$C$16,Hypothèses!$R$16,IF(B324&lt;=Hypothèses!$C$17,Hypothèses!$R$17,IF(B324&lt;=Hypothèses!$C$18,Hypothèses!$R$18,D323))))))))))))</f>
        <v>Pressio.</v>
      </c>
      <c r="E324" s="82" t="e">
        <f>IF(B324&lt;=Hypothèses!$C$7,Hypothèses!$G$7,IF(B324&lt;=Hypothèses!$C$8,Hypothèses!$G$8,IF(B324&lt;=Hypothèses!$C$9,Hypothèses!$G$9,IF(B324&lt;=Hypothèses!$C$10,Hypothèses!$G$10,IF(B324&lt;=Hypothèses!$C$11,Hypothèses!$G$11,IF(B324&lt;=Hypothèses!$C$12,Hypothèses!$G$12,IF(B324&lt;=Hypothèses!$C$13,Hypothèses!$G$13,IF(B324&lt;=Hypothèses!$C$14,Hypothèses!$G$14,IF(B324&lt;=Hypothèses!$C$15,Hypothèses!$G$15,IF(B324&lt;=Hypothèses!$C$16,Hypothèses!$G$16,IF(B324&lt;=Hypothèses!$C$17,Hypothèses!$G$17,IF(B324&lt;=Hypothèses!$C$18,Hypothèses!$G$18,E323))))))))))))</f>
        <v>#N/A</v>
      </c>
      <c r="F324" s="82" t="str">
        <f>IF(B324&lt;=Hypothèses!$C$7,Hypothèses!$F$7,IF(B324&lt;=Hypothèses!$C$8,Hypothèses!$F$8,IF(B324&lt;=Hypothèses!$C$9,Hypothèses!$F$9,IF(B324&lt;=Hypothèses!$C$10,Hypothèses!$F$10,IF(B324&lt;=Hypothèses!$C$11,Hypothèses!$F$11,IF(B324&lt;=Hypothèses!$C$12,Hypothèses!$F$12,IF(B324&lt;=Hypothèses!$C$13,Hypothèses!$F$13,IF(B324&lt;=Hypothèses!$C$14,Hypothèses!$F$14,IF(B324&lt;=Hypothèses!$C$15,Hypothèses!$F$15,IF(B324&lt;=Hypothèses!$C$16,Hypothèses!$F$16,IF(B324&lt;=Hypothèses!$C$17,Hypothèses!$F$17,IF(B324&lt;=Hypothèses!$C$18,Hypothèses!$F$18,F323))))))))))))</f>
        <v/>
      </c>
      <c r="G324" s="91">
        <f t="array" ref="G324">INDEX('Coeff EC7'!$U$7:$X$27,
MATCH(Model0.1C!$B$3,'Coeff EC7'!$T$7:$T$27,0),
MATCH(Model0.1C!$D324&amp;Model0.1C!$B$4,
'Coeff EC7'!$U$6:$X$6&amp;
'Coeff EC7'!$U$5:$X$5,0))</f>
        <v>1.1499999999999999</v>
      </c>
      <c r="H324" s="91">
        <f t="array" ref="H324">INDEX('Coeff EC7'!$Y$7:$AB$27,
MATCH(Model0.1C!$B$3,'Coeff EC7'!$T$7:$T$27,0),
MATCH(Model0.1C!$D324&amp;Model0.1C!$B$4,
'Coeff EC7'!$Y$6:$AB$6&amp;
'Coeff EC7'!$Y$5:$AB$5,0))</f>
        <v>1.4</v>
      </c>
      <c r="I324" s="83" t="e">
        <f>IF(B324&lt;=Hypothèses!$C$7,Hypothèses!$P$7,IF(B324&lt;=Hypothèses!$C$8,Hypothèses!$P$8,IF(B324&lt;=Hypothèses!$C$9,Hypothèses!$P$9,IF(B324&lt;=Hypothèses!$C$10,Hypothèses!$P$10,IF(B324&lt;=Hypothèses!$C$11,Hypothèses!$P$11,IF(B324&lt;=Hypothèses!$C$12,Hypothèses!$P$12,IF(B324&lt;=Hypothèses!$C$13,Hypothèses!$P$13,IF(B324&lt;=Hypothèses!$C$14,Hypothèses!$P$14,IF(B324&lt;=Hypothèses!$C$15,Hypothèses!$P$15,IF(B324&lt;=Hypothèses!$C$16,Hypothèses!$P$16,IF(B324&lt;=Hypothèses!$C$17,Hypothèses!$P$17,IF(B324&lt;=Hypothèses!$C$18,Hypothèses!$P$18,I323))))))))))))</f>
        <v>#N/A</v>
      </c>
      <c r="J324" s="91" t="e">
        <f t="array" ref="J324">INDEX('Coeff EC7'!$D$33:$Q$33,1,MATCH(D324&amp;E324,'Coeff EC7'!$D$31:$Q$31&amp;'Coeff EC7'!$D$32:$Q$32,0))</f>
        <v>#N/A</v>
      </c>
      <c r="K324" s="91" t="e">
        <f t="array" ref="K324">INDEX('Coeff EC7'!$D$34:$Q$34,1,MATCH(D324&amp;E324,'Coeff EC7'!$D$31:$Q$31&amp;'Coeff EC7'!$D$32:$Q$32,0))</f>
        <v>#N/A</v>
      </c>
      <c r="L324" s="91" t="e">
        <f t="array" ref="L324">INDEX('Coeff EC7'!$D$35:$Q$35,1,MATCH(D324&amp;E324,'Coeff EC7'!$D$31:$Q$31&amp;'Coeff EC7'!$D$32:$Q$32,0))</f>
        <v>#N/A</v>
      </c>
      <c r="M324" s="98" t="e">
        <f t="shared" si="431"/>
        <v>#N/A</v>
      </c>
      <c r="N324" s="99" t="e">
        <f t="array" ref="N324">INDEX('Coeff EC7'!$D$7:$Q$27,MATCH($B$3,'Coeff EC7'!$C$7:$C$27,0),MATCH(D324&amp;E324,'Coeff EC7'!$D$5:$Q$5&amp;'Coeff EC7'!$D$6:$Q$6,0))</f>
        <v>#N/A</v>
      </c>
      <c r="O324" s="99" t="e">
        <f t="array" ref="O324">INDEX('Coeff EC7'!$D$41:$Q$61,MATCH($B$3,'Coeff EC7'!$C$41:$C$61,0),MATCH(D324&amp;E324,'Coeff EC7'!$D$39:$Q$39&amp;'Coeff EC7'!$D$40:$Q$40,0))</f>
        <v>#N/A</v>
      </c>
      <c r="P324" s="30" t="e">
        <f t="shared" si="468"/>
        <v>#N/A</v>
      </c>
      <c r="Q324" s="100" t="e">
        <f t="shared" si="433"/>
        <v>#N/A</v>
      </c>
      <c r="R324" s="86" t="b">
        <f t="shared" si="434"/>
        <v>0</v>
      </c>
      <c r="S324" s="86">
        <f t="shared" si="432"/>
        <v>0.5</v>
      </c>
      <c r="T324" s="86">
        <f t="shared" si="435"/>
        <v>0.5</v>
      </c>
      <c r="U324" s="30" t="e">
        <f t="shared" ca="1" si="469"/>
        <v>#DIV/0!</v>
      </c>
      <c r="V324" s="85" t="str">
        <f>IF(B324&lt;=Hypothèses!$V$7,Hypothèses!$W$7,IF(B324&lt;=Hypothèses!$V$8,Hypothèses!$W$8,IF(B324&lt;=Hypothèses!$V$9,Hypothèses!$W$9,IF(B324&lt;=Hypothèses!$V$10,Hypothèses!$W$10,IF(B324&lt;=Hypothèses!$V$11,Hypothèses!$W$11,IF(B324&lt;=Hypothèses!$V$12,Hypothèses!$W$12,IF(B324&lt;=Hypothèses!$V$13,Hypothèses!$W$13,IF(B324&lt;=Hypothèses!$V$14,Hypothèses!$W$14,IF(B324&lt;=Hypothèses!$V$15,Hypothèses!$W$15,IF(B324&lt;=Hypothèses!$V$16,Hypothèses!$W$16,IF(B324&lt;=Hypothèses!$V$17,Hypothèses!$W$17,IF(B324&lt;=Hypothèses!$V$18,Hypothèses!$W$18,""))))))))))))</f>
        <v/>
      </c>
      <c r="W324" s="87" t="e">
        <f t="shared" ca="1" si="516"/>
        <v>#DIV/0!</v>
      </c>
      <c r="X324" s="88" t="str">
        <f>IF(B324&lt;=Hypothèses!$V$7,Hypothèses!$X$7,IF(B324&lt;=Hypothèses!$V$8,Hypothèses!$X$8,IF(B324&lt;=Hypothèses!$V$9,Hypothèses!$X$9,IF(B324&lt;=Hypothèses!$V$10,Hypothèses!$X$10,IF(B324&lt;=Hypothèses!$V$11,Hypothèses!$X$11,IF(B324&lt;=Hypothèses!$V$12,Hypothèses!$X$12,IF(B324&lt;=Hypothèses!$V$13,Hypothèses!$X$13,IF(B324&lt;=Hypothèses!$V$14,Hypothèses!$X$14,IF(B324&lt;=Hypothèses!$V$15,Hypothèses!$X$15,IF(B324&lt;=Hypothèses!$V$16,Hypothèses!$X$16,IF(B324&lt;=Hypothèses!$U$17,Hypothèses!$W$17,IF(B324&lt;=Hypothèses!$U$18,Hypothèses!$W$18,""))))))))))))</f>
        <v/>
      </c>
      <c r="Y324" s="95" t="e">
        <f t="shared" ca="1" si="436"/>
        <v>#DIV/0!</v>
      </c>
      <c r="Z324" s="101" t="e">
        <f t="shared" si="437"/>
        <v>#N/A</v>
      </c>
      <c r="AA324" s="91" t="e">
        <f t="shared" si="438"/>
        <v>#N/A</v>
      </c>
      <c r="AB324" s="30" t="e">
        <f t="shared" si="500"/>
        <v>#N/A</v>
      </c>
      <c r="AC324" s="30" t="e">
        <f t="shared" si="501"/>
        <v>#N/A</v>
      </c>
      <c r="AD324" s="31" t="e">
        <f>IF(OR(Hypothèses!$B$4=17,Hypothèses!$B$4=18,Hypothèses!$B$4=19,Hypothèses!$B$4=20),
IF($D324="Pressio.",
IF(OR($E324=3,$E324=1,$E324=4),AC324,AB324),
IF($D324="Pénétro.",
IF(OR($E324=3,$E324=1,$E324=4),AC324,AB324))),IF($D324="Pressio.",
IF($E324=3,AC324,AB324),
IF($D324="Pénétro.",
IF($E324=4,AC324,AB324))))</f>
        <v>#N/A</v>
      </c>
      <c r="AE324" s="31" t="e">
        <f>(IF(OR(Hypothèses!$B$4=17,Hypothèses!$B$4=18,Hypothèses!$B$4=19,Hypothèses!$B$4=20),
IF($D324="Pressio.",
IF(OR($E324=3,$E324=1,$E324=4),(PI()*AE$12^2)/4*(AA324*$W324*1000)/($H324*$B$5),(PI()*AE$12^2)/4*(AA324*$W324*1000)/($G324*$B$5)),
IF($D324="Pénétro.",
IF(OR($E324=4,$E324=1,$E324=5),(PI()*AE$12^2)/4*(AA324*$W324*1000)/($H324*$B$5),(PI()*AE$12^2)/4*(AA324*$W324*1000)/($G324*$B$5)))),
IF($D324="Pressio.",
IF($E324=3,(PI()*AE$12^2)/4*(AA324*$W324*1000)/($H324*$B$5),(PI()*AE$12^2)/4*(AA324*$W324*1000)/($G324*$B$5)),
IF($D324="Pénétro.",
IF($E324=4,(PI()*AE$12^2)/4*(AA324*$W324*1000)/($H324*$B$5),(PI()*AE$12^2)/4*(AA324*$W324*1000)/($G324*$B$5))))))/10</f>
        <v>#N/A</v>
      </c>
      <c r="AF324" s="102" t="e">
        <f>(VLOOKUP($B$3,'Coeff EC7'!$T$39:$X$59,2,0)*AD324+VLOOKUP($B$3,'Coeff EC7'!$T$65:$X$85,2,0)*Model0.1C!AE324)/1.1</f>
        <v>#N/A</v>
      </c>
      <c r="AG324" s="102" t="e">
        <f>(VLOOKUP($B$3,'Coeff EC7'!$T$39:$X$59,3,0)*AD324+VLOOKUP($B$3,'Coeff EC7'!$T$65:$X$85,3,0)*Model0.1C!AE324)/0.9</f>
        <v>#N/A</v>
      </c>
      <c r="AH324" s="102" t="e">
        <f t="shared" si="439"/>
        <v>#N/A</v>
      </c>
      <c r="AI324" s="102" t="e">
        <f t="shared" si="440"/>
        <v>#N/A</v>
      </c>
      <c r="AJ324" s="414" t="e">
        <f>IF(AJ323=0,0,IF(AND(AF324&gt;charge_ELS_quasi,AG324&gt;Charge_ELS_freq,AH324&gt;charge_ELU,AI324&gt;charge_ELA,$B324&gt;NDC!$H$22-0.1+MIN(3*$AJ$12,1.5)),0,1))</f>
        <v>#N/A</v>
      </c>
      <c r="AK324" s="86" t="b">
        <f t="shared" si="441"/>
        <v>0</v>
      </c>
      <c r="AL324" s="86">
        <f t="shared" si="470"/>
        <v>0.5</v>
      </c>
      <c r="AM324" s="86">
        <f t="shared" si="442"/>
        <v>0.5</v>
      </c>
      <c r="AN324" s="30" t="e">
        <f t="shared" ca="1" si="471"/>
        <v>#DIV/0!</v>
      </c>
      <c r="AO324" s="85" t="e">
        <f ca="1">IF(U324&lt;=Hypothèses!$V$7,Hypothèses!$W$7,IF(U324&lt;=Hypothèses!$V$8,Hypothèses!$W$8,IF(U324&lt;=Hypothèses!$V$9,Hypothèses!$W$9,IF(U324&lt;=Hypothèses!$V$10,Hypothèses!$W$10,IF(U324&lt;=Hypothèses!$V$11,Hypothèses!$W$11,IF(U324&lt;=Hypothèses!$V$12,Hypothèses!$W$12,IF(U324&lt;=Hypothèses!$V$13,Hypothèses!$W$13,IF(U324&lt;=Hypothèses!$V$14,Hypothèses!$W$14,IF(U324&lt;=Hypothèses!$V$15,Hypothèses!$W$15,IF(U324&lt;=Hypothèses!$V$16,Hypothèses!$W$16,IF(U324&lt;=Hypothèses!$V$17,Hypothèses!$W$17,IF(U324&lt;=Hypothèses!$V$18,Hypothèses!$W$18,""))))))))))))</f>
        <v>#DIV/0!</v>
      </c>
      <c r="AP324" s="87" t="e">
        <f t="shared" ca="1" si="517"/>
        <v>#DIV/0!</v>
      </c>
      <c r="AQ324" s="88" t="e">
        <f ca="1">IF(U324&lt;=Hypothèses!$V$7,Hypothèses!$X$7,IF(U324&lt;=Hypothèses!$V$8,Hypothèses!$X$8,IF(U324&lt;=Hypothèses!$V$9,Hypothèses!$X$9,IF(U324&lt;=Hypothèses!$V$10,Hypothèses!$X$10,IF(U324&lt;=Hypothèses!$V$11,Hypothèses!$X$11,IF(U324&lt;=Hypothèses!$V$12,Hypothèses!$X$12,IF(U324&lt;=Hypothèses!$V$13,Hypothèses!$X$13,IF(U324&lt;=Hypothèses!$V$14,Hypothèses!$X$14,IF(U324&lt;=Hypothèses!$V$15,Hypothèses!$X$15,IF(U324&lt;=Hypothèses!$V$16,Hypothèses!$X$16,IF(U324&lt;=Hypothèses!$U$17,Hypothèses!$W$17,IF(U324&lt;=Hypothèses!$U$18,Hypothèses!$W$18,""))))))))))))</f>
        <v>#DIV/0!</v>
      </c>
      <c r="AR324" s="95" t="e">
        <f t="shared" ca="1" si="472"/>
        <v>#DIV/0!</v>
      </c>
      <c r="AS324" s="101" t="e">
        <f t="shared" si="524"/>
        <v>#N/A</v>
      </c>
      <c r="AT324" s="91" t="e">
        <f t="shared" si="443"/>
        <v>#N/A</v>
      </c>
      <c r="AU324" s="30" t="e">
        <f t="shared" si="502"/>
        <v>#N/A</v>
      </c>
      <c r="AV324" s="30" t="e">
        <f t="shared" si="503"/>
        <v>#N/A</v>
      </c>
      <c r="AW324" s="31" t="e">
        <f>IF(OR(Hypothèses!$B$4=17,Hypothèses!$B$4=18,Hypothèses!$B$4=19,Hypothèses!$B$4=20),
IF($D324="Pressio.",
IF(OR($E324=3,$E324=1,$E324=4),AV324,AU324),
IF($D324="Pénétro.",
IF(OR($E324=3,$E324=1,$E324=4),AV324,AU324))),IF($D324="Pressio.",
IF($E324=3,AV324,AU324),
IF($D324="Pénétro.",
IF($E324=4,AV324,AU324))))</f>
        <v>#N/A</v>
      </c>
      <c r="AX324" s="31" t="e">
        <f>(IF(OR(Hypothèses!$B$4=17,Hypothèses!$B$4=18,Hypothèses!$B$4=19,Hypothèses!$B$4=20),
IF($D324="Pressio.",
IF(OR($E324=3,$E324=1,$E324=4),(PI()*AX$12^2)/4*(AT324*$W324*1000)/($H324*$B$5),(PI()*AX$12^2)/4*(AT324*$W324*1000)/($G324*$B$5)),
IF($D324="Pénétro.",
IF(OR($E324=4,$E324=1,$E324=5),(PI()*AX$12^2)/4*(AT324*$W324*1000)/($H324*$B$5),(PI()*AX$12^2)/4*(AT324*$W324*1000)/($G324*$B$5)))),
IF($D324="Pressio.",
IF($E324=3,(PI()*AX$12^2)/4*(AT324*$W324*1000)/($H324*$B$5),(PI()*AX$12^2)/4*(AT324*$W324*1000)/($G324*$B$5)),
IF($D324="Pénétro.",
IF($E324=4,(PI()*AX$12^2)/4*(AT324*$W324*1000)/($H324*$B$5),(PI()*AX$12^2)/4*(AT324*$W324*1000)/($G324*$B$5))))))/10</f>
        <v>#N/A</v>
      </c>
      <c r="AY324" s="102" t="e">
        <f>(VLOOKUP($B$3,'Coeff EC7'!$T$39:$X$59,2,0)*AW324+VLOOKUP($B$3,'Coeff EC7'!$T$65:$X$85,2,0)*Model0.1C!AX324)/1.1</f>
        <v>#N/A</v>
      </c>
      <c r="AZ324" s="102" t="e">
        <f>(VLOOKUP($B$3,'Coeff EC7'!$T$39:$X$59,3,0)*AW324+VLOOKUP($B$3,'Coeff EC7'!$T$65:$X$85,3,0)*Model0.1C!AX324)/0.9</f>
        <v>#N/A</v>
      </c>
      <c r="BA324" s="102" t="e">
        <f t="shared" si="473"/>
        <v>#N/A</v>
      </c>
      <c r="BB324" s="102" t="e">
        <f t="shared" si="474"/>
        <v>#N/A</v>
      </c>
      <c r="BC324" s="414" t="e">
        <f>IF(BC323=0,0,IF(AND(AY324&gt;charge_ELS_quasi,AZ324&gt;Charge_ELS_freq,BA324&gt;charge_ELU,BB324&gt;charge_ELA,$B324&gt;NDC!$H$22-0.1+MIN(3*$BC$12,1.5)),0,1))</f>
        <v>#N/A</v>
      </c>
      <c r="BD324" s="86" t="b">
        <f t="shared" si="444"/>
        <v>0</v>
      </c>
      <c r="BE324" s="86">
        <f t="shared" si="475"/>
        <v>0.5</v>
      </c>
      <c r="BF324" s="86">
        <f t="shared" si="445"/>
        <v>0.5</v>
      </c>
      <c r="BG324" s="30" t="e">
        <f t="shared" ca="1" si="476"/>
        <v>#DIV/0!</v>
      </c>
      <c r="BH324" s="85" t="e">
        <f ca="1">IF(AN324&lt;=Hypothèses!$V$7,Hypothèses!$W$7,IF(AN324&lt;=Hypothèses!$V$8,Hypothèses!$W$8,IF(AN324&lt;=Hypothèses!$V$9,Hypothèses!$W$9,IF(AN324&lt;=Hypothèses!$V$10,Hypothèses!$W$10,IF(AN324&lt;=Hypothèses!$V$11,Hypothèses!$W$11,IF(AN324&lt;=Hypothèses!$V$12,Hypothèses!$W$12,IF(AN324&lt;=Hypothèses!$V$13,Hypothèses!$W$13,IF(AN324&lt;=Hypothèses!$V$14,Hypothèses!$W$14,IF(AN324&lt;=Hypothèses!$V$15,Hypothèses!$W$15,IF(AN324&lt;=Hypothèses!$V$16,Hypothèses!$W$16,IF(AN324&lt;=Hypothèses!$V$17,Hypothèses!$W$17,IF(AN324&lt;=Hypothèses!$V$18,Hypothèses!$W$18,""))))))))))))</f>
        <v>#DIV/0!</v>
      </c>
      <c r="BI324" s="87" t="e">
        <f t="shared" ca="1" si="518"/>
        <v>#DIV/0!</v>
      </c>
      <c r="BJ324" s="88" t="e">
        <f ca="1">IF(AN324&lt;=Hypothèses!$V$7,Hypothèses!$X$7,IF(AN324&lt;=Hypothèses!$V$8,Hypothèses!$X$8,IF(AN324&lt;=Hypothèses!$V$9,Hypothèses!$X$9,IF(AN324&lt;=Hypothèses!$V$10,Hypothèses!$X$10,IF(AN324&lt;=Hypothèses!$V$11,Hypothèses!$X$11,IF(AN324&lt;=Hypothèses!$V$12,Hypothèses!$X$12,IF(AN324&lt;=Hypothèses!$V$13,Hypothèses!$X$13,IF(AN324&lt;=Hypothèses!$V$14,Hypothèses!$X$14,IF(AN324&lt;=Hypothèses!$V$15,Hypothèses!$X$15,IF(AN324&lt;=Hypothèses!$V$16,Hypothèses!$X$16,IF(AN324&lt;=Hypothèses!$U$17,Hypothèses!$W$17,IF(AN324&lt;=Hypothèses!$U$18,Hypothèses!$W$18,""))))))))))))</f>
        <v>#DIV/0!</v>
      </c>
      <c r="BK324" s="95" t="e">
        <f t="shared" ca="1" si="477"/>
        <v>#DIV/0!</v>
      </c>
      <c r="BL324" s="101" t="e">
        <f t="shared" si="525"/>
        <v>#N/A</v>
      </c>
      <c r="BM324" s="91" t="e">
        <f t="shared" si="446"/>
        <v>#N/A</v>
      </c>
      <c r="BN324" s="30" t="e">
        <f t="shared" si="504"/>
        <v>#N/A</v>
      </c>
      <c r="BO324" s="30" t="e">
        <f t="shared" si="505"/>
        <v>#N/A</v>
      </c>
      <c r="BP324" s="31" t="e">
        <f>IF(OR(Hypothèses!$B$4=17,Hypothèses!$B$4=18,Hypothèses!$B$4=19,Hypothèses!$B$4=20),
IF($D324="Pressio.",
IF(OR($E324=3,$E324=1,$E324=4),BO324,BN324),
IF($D324="Pénétro.",
IF(OR($E324=3,$E324=1,$E324=4),BO324,BN324))),IF($D324="Pressio.",
IF($E324=3,BO324,BN324),
IF($D324="Pénétro.",
IF($E324=4,BO324,BN324))))</f>
        <v>#N/A</v>
      </c>
      <c r="BQ324" s="31" t="e">
        <f>(IF(OR(Hypothèses!$B$4=17,Hypothèses!$B$4=18,Hypothèses!$B$4=19,Hypothèses!$B$4=20),
IF($D324="Pressio.",
IF(OR($E324=3,$E324=1,$E324=4),(PI()*BQ$12^2)/4*(BM324*$W324*1000)/($H324*$B$5),(PI()*BQ$12^2)/4*(BM324*$W324*1000)/($G324*$B$5)),
IF($D324="Pénétro.",
IF(OR($E324=4,$E324=1,$E324=5),(PI()*BQ$12^2)/4*(BM324*$W324*1000)/($H324*$B$5),(PI()*BQ$12^2)/4*(BM324*$W324*1000)/($G324*$B$5)))),
IF($D324="Pressio.",
IF($E324=3,(PI()*BQ$12^2)/4*(BM324*$W324*1000)/($H324*$B$5),(PI()*BQ$12^2)/4*(BM324*$W324*1000)/($G324*$B$5)),
IF($D324="Pénétro.",
IF($E324=4,(PI()*BQ$12^2)/4*(BM324*$W324*1000)/($H324*$B$5),(PI()*BQ$12^2)/4*(BM324*$W324*1000)/($G324*$B$5))))))/10</f>
        <v>#N/A</v>
      </c>
      <c r="BR324" s="102" t="e">
        <f>(VLOOKUP($B$3,'Coeff EC7'!$T$39:$X$59,2,0)*BP324+VLOOKUP($B$3,'Coeff EC7'!$T$65:$X$85,2,0)*Model0.1C!BQ324)/1.1</f>
        <v>#N/A</v>
      </c>
      <c r="BS324" s="102" t="e">
        <f>(VLOOKUP($B$3,'Coeff EC7'!$T$39:$X$59,3,0)*BP324+VLOOKUP($B$3,'Coeff EC7'!$T$65:$X$85,3,0)*Model0.1C!BQ324)/0.9</f>
        <v>#N/A</v>
      </c>
      <c r="BT324" s="102" t="e">
        <f t="shared" si="478"/>
        <v>#N/A</v>
      </c>
      <c r="BU324" s="102" t="e">
        <f t="shared" si="479"/>
        <v>#N/A</v>
      </c>
      <c r="BV324" s="414" t="e">
        <f>IF(BV323=0,0,IF(AND(BR324&gt;charge_ELS_quasi,BS324&gt;Charge_ELS_freq,BT324&gt;charge_ELU,BU324&gt;charge_ELA,$B324&gt;NDC!$H$22-0.1+MIN(3*$BV$12,1.5)),0,1))</f>
        <v>#N/A</v>
      </c>
      <c r="BW324" s="86" t="b">
        <f t="shared" si="447"/>
        <v>0</v>
      </c>
      <c r="BX324" s="86">
        <f t="shared" si="448"/>
        <v>0.5</v>
      </c>
      <c r="BY324" s="86">
        <f t="shared" si="449"/>
        <v>0.5</v>
      </c>
      <c r="BZ324" s="30" t="e">
        <f t="shared" ca="1" si="480"/>
        <v>#DIV/0!</v>
      </c>
      <c r="CA324" s="85" t="e">
        <f ca="1">IF(BG324&lt;=Hypothèses!$V$7,Hypothèses!$W$7,IF(BG324&lt;=Hypothèses!$V$8,Hypothèses!$W$8,IF(BG324&lt;=Hypothèses!$V$9,Hypothèses!$W$9,IF(BG324&lt;=Hypothèses!$V$10,Hypothèses!$W$10,IF(BG324&lt;=Hypothèses!$V$11,Hypothèses!$W$11,IF(BG324&lt;=Hypothèses!$V$12,Hypothèses!$W$12,IF(BG324&lt;=Hypothèses!$V$13,Hypothèses!$W$13,IF(BG324&lt;=Hypothèses!$V$14,Hypothèses!$W$14,IF(BG324&lt;=Hypothèses!$V$15,Hypothèses!$W$15,IF(BG324&lt;=Hypothèses!$V$16,Hypothèses!$W$16,IF(BG324&lt;=Hypothèses!$V$17,Hypothèses!$W$17,IF(BG324&lt;=Hypothèses!$V$18,Hypothèses!$W$18,""))))))))))))</f>
        <v>#DIV/0!</v>
      </c>
      <c r="CB324" s="87" t="e">
        <f t="shared" ca="1" si="519"/>
        <v>#DIV/0!</v>
      </c>
      <c r="CC324" s="88" t="e">
        <f ca="1">IF(BG324&lt;=Hypothèses!$V$7,Hypothèses!$X$7,IF(BG324&lt;=Hypothèses!$V$8,Hypothèses!$X$8,IF(BG324&lt;=Hypothèses!$V$9,Hypothèses!$X$9,IF(BG324&lt;=Hypothèses!$V$10,Hypothèses!$X$10,IF(BG324&lt;=Hypothèses!$V$11,Hypothèses!$X$11,IF(BG324&lt;=Hypothèses!$V$12,Hypothèses!$X$12,IF(BG324&lt;=Hypothèses!$V$13,Hypothèses!$X$13,IF(BG324&lt;=Hypothèses!$V$14,Hypothèses!$X$14,IF(BG324&lt;=Hypothèses!$V$15,Hypothèses!$X$15,IF(BG324&lt;=Hypothèses!$V$16,Hypothèses!$X$16,IF(BG324&lt;=Hypothèses!$U$17,Hypothèses!$W$17,IF(BG324&lt;=Hypothèses!$U$18,Hypothèses!$W$18,""))))))))))))</f>
        <v>#DIV/0!</v>
      </c>
      <c r="CD324" s="95" t="e">
        <f t="shared" ca="1" si="481"/>
        <v>#DIV/0!</v>
      </c>
      <c r="CE324" s="101" t="e">
        <f t="shared" si="526"/>
        <v>#N/A</v>
      </c>
      <c r="CF324" s="91" t="e">
        <f t="shared" si="450"/>
        <v>#N/A</v>
      </c>
      <c r="CG324" s="30" t="e">
        <f t="shared" si="506"/>
        <v>#N/A</v>
      </c>
      <c r="CH324" s="30" t="e">
        <f t="shared" si="507"/>
        <v>#N/A</v>
      </c>
      <c r="CI324" s="31" t="e">
        <f>IF(OR(Hypothèses!$B$4=17,Hypothèses!$B$4=18,Hypothèses!$B$4=19,Hypothèses!$B$4=20),
IF($D324="Pressio.",
IF(OR($E324=3,$E324=1,$E324=4),CH324,CG324),
IF($D324="Pénétro.",
IF(OR($E324=3,$E324=1,$E324=4),CH324,CG324))),IF($D324="Pressio.",
IF($E324=3,CH324,CG324),
IF($D324="Pénétro.",
IF($E324=4,CH324,CG324))))</f>
        <v>#N/A</v>
      </c>
      <c r="CJ324" s="31" t="e">
        <f>(IF(OR(Hypothèses!$B$4=17,Hypothèses!$B$4=18,Hypothèses!$B$4=19,Hypothèses!$B$4=20),
IF($D324="Pressio.",
IF(OR($E324=3,$E324=1,$E324=4),(PI()*CJ$12^2)/4*(CF324*$W324*1000)/($H324*$B$5),(PI()*CJ$12^2)/4*(CF324*$W324*1000)/($G324*$B$5)),
IF($D324="Pénétro.",
IF(OR($E324=4,$E324=1,$E324=5),(PI()*CJ$12^2)/4*(CF324*$W324*1000)/($H324*$B$5),(PI()*CJ$12^2)/4*(CF324*$W324*1000)/($G324*$B$5)))),
IF($D324="Pressio.",
IF($E324=3,(PI()*CJ$12^2)/4*(CF324*$W324*1000)/($H324*$B$5),(PI()*CJ$12^2)/4*(CF324*$W324*1000)/($G324*$B$5)),
IF($D324="Pénétro.",
IF($E324=4,(PI()*CJ$12^2)/4*(CF324*$W324*1000)/($H324*$B$5),(PI()*CJ$12^2)/4*(CF324*$W324*1000)/($G324*$B$5))))))/10</f>
        <v>#N/A</v>
      </c>
      <c r="CK324" s="102" t="e">
        <f>(VLOOKUP($B$3,'Coeff EC7'!$T$39:$X$59,2,0)*CI324+VLOOKUP($B$3,'Coeff EC7'!$T$65:$X$85,2,0)*Model0.1C!CJ324)/1.1</f>
        <v>#N/A</v>
      </c>
      <c r="CL324" s="102" t="e">
        <f>(VLOOKUP($B$3,'Coeff EC7'!$T$39:$X$59,3,0)*CI324+VLOOKUP($B$3,'Coeff EC7'!$T$65:$X$85,3,0)*Model0.1C!CJ324)/0.9</f>
        <v>#N/A</v>
      </c>
      <c r="CM324" s="102" t="e">
        <f t="shared" si="482"/>
        <v>#N/A</v>
      </c>
      <c r="CN324" s="102" t="e">
        <f t="shared" si="483"/>
        <v>#N/A</v>
      </c>
      <c r="CO324" s="414" t="e">
        <f>IF(CO323=0,0,IF(AND(CK324&gt;charge_ELS_quasi,CL324&gt;Charge_ELS_freq,CM324&gt;charge_ELU,CN324&gt;charge_ELA,$B324&gt;NDC!$H$22-0.1+MIN(3*$CO$12,1.5)),0,1))</f>
        <v>#N/A</v>
      </c>
      <c r="CP324" s="86" t="b">
        <f t="shared" si="451"/>
        <v>0</v>
      </c>
      <c r="CQ324" s="86">
        <f t="shared" si="452"/>
        <v>0.5</v>
      </c>
      <c r="CR324" s="86">
        <f t="shared" si="453"/>
        <v>0.5</v>
      </c>
      <c r="CS324" s="30" t="e">
        <f t="shared" ca="1" si="484"/>
        <v>#DIV/0!</v>
      </c>
      <c r="CT324" s="85" t="e">
        <f ca="1">IF(BZ324&lt;=Hypothèses!$V$7,Hypothèses!$W$7,IF(BZ324&lt;=Hypothèses!$V$8,Hypothèses!$W$8,IF(BZ324&lt;=Hypothèses!$V$9,Hypothèses!$W$9,IF(BZ324&lt;=Hypothèses!$V$10,Hypothèses!$W$10,IF(BZ324&lt;=Hypothèses!$V$11,Hypothèses!$W$11,IF(BZ324&lt;=Hypothèses!$V$12,Hypothèses!$W$12,IF(BZ324&lt;=Hypothèses!$V$13,Hypothèses!$W$13,IF(BZ324&lt;=Hypothèses!$V$14,Hypothèses!$W$14,IF(BZ324&lt;=Hypothèses!$V$15,Hypothèses!$W$15,IF(BZ324&lt;=Hypothèses!$V$16,Hypothèses!$W$16,IF(BZ324&lt;=Hypothèses!$V$17,Hypothèses!$W$17,IF(BZ324&lt;=Hypothèses!$V$18,Hypothèses!$W$18,""))))))))))))</f>
        <v>#DIV/0!</v>
      </c>
      <c r="CU324" s="87" t="e">
        <f t="shared" ca="1" si="520"/>
        <v>#DIV/0!</v>
      </c>
      <c r="CV324" s="88" t="e">
        <f ca="1">IF(BZ324&lt;=Hypothèses!$V$7,Hypothèses!$X$7,IF(BZ324&lt;=Hypothèses!$V$8,Hypothèses!$X$8,IF(BZ324&lt;=Hypothèses!$V$9,Hypothèses!$X$9,IF(BZ324&lt;=Hypothèses!$V$10,Hypothèses!$X$10,IF(BZ324&lt;=Hypothèses!$V$11,Hypothèses!$X$11,IF(BZ324&lt;=Hypothèses!$V$12,Hypothèses!$X$12,IF(BZ324&lt;=Hypothèses!$V$13,Hypothèses!$X$13,IF(BZ324&lt;=Hypothèses!$V$14,Hypothèses!$X$14,IF(BZ324&lt;=Hypothèses!$V$15,Hypothèses!$X$15,IF(BZ324&lt;=Hypothèses!$V$16,Hypothèses!$X$16,IF(BZ324&lt;=Hypothèses!$U$17,Hypothèses!$W$17,IF(BZ324&lt;=Hypothèses!$U$18,Hypothèses!$W$18,""))))))))))))</f>
        <v>#DIV/0!</v>
      </c>
      <c r="CW324" s="95" t="e">
        <f t="shared" ca="1" si="485"/>
        <v>#DIV/0!</v>
      </c>
      <c r="CX324" s="101" t="e">
        <f t="shared" si="527"/>
        <v>#N/A</v>
      </c>
      <c r="CY324" s="91" t="e">
        <f t="shared" si="454"/>
        <v>#N/A</v>
      </c>
      <c r="CZ324" s="30" t="e">
        <f t="shared" si="508"/>
        <v>#N/A</v>
      </c>
      <c r="DA324" s="30" t="e">
        <f t="shared" si="509"/>
        <v>#N/A</v>
      </c>
      <c r="DB324" s="31" t="e">
        <f>IF(OR(Hypothèses!$B$4=17,Hypothèses!$B$4=18,Hypothèses!$B$4=19,Hypothèses!$B$4=20),
IF($D324="Pressio.",
IF(OR($E324=3,$E324=1,$E324=4),DA324,CZ324),
IF($D324="Pénétro.",
IF(OR($E324=3,$E324=1,$E324=4),DA324,CZ324))),IF($D324="Pressio.",
IF($E324=3,DA324,CZ324),
IF($D324="Pénétro.",
IF($E324=4,DA324,CZ324))))</f>
        <v>#N/A</v>
      </c>
      <c r="DC324" s="31" t="e">
        <f>(IF(OR(Hypothèses!$B$4=17,Hypothèses!$B$4=18,Hypothèses!$B$4=19,Hypothèses!$B$4=20),
IF($D324="Pressio.",
IF(OR($E324=3,$E324=1,$E324=4),(PI()*DC$12^2)/4*(CY324*$W324*1000)/($H324*$B$5),(PI()*DC$12^2)/4*(CY324*$W324*1000)/($G324*$B$5)),
IF($D324="Pénétro.",
IF(OR($E324=4,$E324=1,$E324=5),(PI()*DC$12^2)/4*(CY324*$W324*1000)/($H324*$B$5),(PI()*DC$12^2)/4*(CY324*$W324*1000)/($G324*$B$5)))),
IF($D324="Pressio.",
IF($E324=3,(PI()*DC$12^2)/4*(CY324*$W324*1000)/($H324*$B$5),(PI()*DC$12^2)/4*(CY324*$W324*1000)/($G324*$B$5)),
IF($D324="Pénétro.",
IF($E324=4,(PI()*DC$12^2)/4*(CY324*$W324*1000)/($H324*$B$5),(PI()*DC$12^2)/4*(CY324*$W324*1000)/($G324*$B$5))))))/10</f>
        <v>#N/A</v>
      </c>
      <c r="DD324" s="102" t="e">
        <f>(VLOOKUP($B$3,'Coeff EC7'!$T$39:$X$59,2,0)*DB324+VLOOKUP($B$3,'Coeff EC7'!$T$65:$X$85,2,0)*Model0.1C!DC324)/1.1</f>
        <v>#N/A</v>
      </c>
      <c r="DE324" s="102" t="e">
        <f>(VLOOKUP($B$3,'Coeff EC7'!$T$39:$X$59,3,0)*DB324+VLOOKUP($B$3,'Coeff EC7'!$T$65:$X$85,3,0)*Model0.1C!DC324)/0.9</f>
        <v>#N/A</v>
      </c>
      <c r="DF324" s="102" t="e">
        <f t="shared" si="486"/>
        <v>#N/A</v>
      </c>
      <c r="DG324" s="102" t="e">
        <f t="shared" si="487"/>
        <v>#N/A</v>
      </c>
      <c r="DH324" s="414" t="e">
        <f>IF(DH323=0,0,IF(AND(DD324&gt;charge_ELS_quasi,DE324&gt;Charge_ELS_freq,DF324&gt;charge_ELU,DG324&gt;charge_ELA,$B324&gt;NDC!$H$22-0.1+MIN(3*$DH$12,1.5)),0,1))</f>
        <v>#N/A</v>
      </c>
      <c r="DI324" s="86" t="b">
        <f t="shared" si="455"/>
        <v>0</v>
      </c>
      <c r="DJ324" s="86">
        <f t="shared" si="456"/>
        <v>0.5</v>
      </c>
      <c r="DK324" s="86">
        <f t="shared" si="457"/>
        <v>0.5</v>
      </c>
      <c r="DL324" s="30" t="e">
        <f t="shared" ca="1" si="488"/>
        <v>#DIV/0!</v>
      </c>
      <c r="DM324" s="85" t="e">
        <f ca="1">IF(CS324&lt;=Hypothèses!$V$7,Hypothèses!$W$7,IF(CS324&lt;=Hypothèses!$V$8,Hypothèses!$W$8,IF(CS324&lt;=Hypothèses!$V$9,Hypothèses!$W$9,IF(CS324&lt;=Hypothèses!$V$10,Hypothèses!$W$10,IF(CS324&lt;=Hypothèses!$V$11,Hypothèses!$W$11,IF(CS324&lt;=Hypothèses!$V$12,Hypothèses!$W$12,IF(CS324&lt;=Hypothèses!$V$13,Hypothèses!$W$13,IF(CS324&lt;=Hypothèses!$V$14,Hypothèses!$W$14,IF(CS324&lt;=Hypothèses!$V$15,Hypothèses!$W$15,IF(CS324&lt;=Hypothèses!$V$16,Hypothèses!$W$16,IF(CS324&lt;=Hypothèses!$V$17,Hypothèses!$W$17,IF(CS324&lt;=Hypothèses!$V$18,Hypothèses!$W$18,""))))))))))))</f>
        <v>#DIV/0!</v>
      </c>
      <c r="DN324" s="87" t="e">
        <f t="shared" ca="1" si="521"/>
        <v>#DIV/0!</v>
      </c>
      <c r="DO324" s="88" t="e">
        <f ca="1">IF(CS324&lt;=Hypothèses!$V$7,Hypothèses!$X$7,IF(CS324&lt;=Hypothèses!$V$8,Hypothèses!$X$8,IF(CS324&lt;=Hypothèses!$V$9,Hypothèses!$X$9,IF(CS324&lt;=Hypothèses!$V$10,Hypothèses!$X$10,IF(CS324&lt;=Hypothèses!$V$11,Hypothèses!$X$11,IF(CS324&lt;=Hypothèses!$V$12,Hypothèses!$X$12,IF(CS324&lt;=Hypothèses!$V$13,Hypothèses!$X$13,IF(CS324&lt;=Hypothèses!$V$14,Hypothèses!$X$14,IF(CS324&lt;=Hypothèses!$V$15,Hypothèses!$X$15,IF(CS324&lt;=Hypothèses!$V$16,Hypothèses!$X$16,IF(CS324&lt;=Hypothèses!$U$17,Hypothèses!$W$17,IF(CS324&lt;=Hypothèses!$U$18,Hypothèses!$W$18,""))))))))))))</f>
        <v>#DIV/0!</v>
      </c>
      <c r="DP324" s="95" t="e">
        <f t="shared" ca="1" si="489"/>
        <v>#DIV/0!</v>
      </c>
      <c r="DQ324" s="101" t="e">
        <f t="shared" si="528"/>
        <v>#N/A</v>
      </c>
      <c r="DR324" s="91" t="e">
        <f t="shared" si="458"/>
        <v>#N/A</v>
      </c>
      <c r="DS324" s="30" t="e">
        <f t="shared" si="510"/>
        <v>#N/A</v>
      </c>
      <c r="DT324" s="30" t="e">
        <f t="shared" si="511"/>
        <v>#N/A</v>
      </c>
      <c r="DU324" s="31" t="e">
        <f>IF(OR(Hypothèses!$B$4=17,Hypothèses!$B$4=18,Hypothèses!$B$4=19,Hypothèses!$B$4=20),
IF($D324="Pressio.",
IF(OR($E324=3,$E324=1,$E324=4),DT324,DS324),
IF($D324="Pénétro.",
IF(OR($E324=3,$E324=1,$E324=4),DT324,DS324))),IF($D324="Pressio.",
IF($E324=3,DT324,DS324),
IF($D324="Pénétro.",
IF($E324=4,DT324,DS324))))</f>
        <v>#N/A</v>
      </c>
      <c r="DV324" s="31" t="e">
        <f>(IF(OR(Hypothèses!$B$4=17,Hypothèses!$B$4=18,Hypothèses!$B$4=19,Hypothèses!$B$4=20),
IF($D324="Pressio.",
IF(OR($E324=3,$E324=1,$E324=4),(PI()*DV$12^2)/4*(DR324*$W324*1000)/($H324*$B$5),(PI()*DV$12^2)/4*(DR324*$W324*1000)/($G324*$B$5)),
IF($D324="Pénétro.",
IF(OR($E324=4,$E324=1,$E324=5),(PI()*DV$12^2)/4*(DR324*$W324*1000)/($H324*$B$5),(PI()*DV$12^2)/4*(DR324*$W324*1000)/($G324*$B$5)))),
IF($D324="Pressio.",
IF($E324=3,(PI()*DV$12^2)/4*(DR324*$W324*1000)/($H324*$B$5),(PI()*DV$12^2)/4*(DR324*$W324*1000)/($G324*$B$5)),
IF($D324="Pénétro.",
IF($E324=4,(PI()*DV$12^2)/4*(DR324*$W324*1000)/($H324*$B$5),(PI()*DV$12^2)/4*(DR324*$W324*1000)/($G324*$B$5))))))/10</f>
        <v>#N/A</v>
      </c>
      <c r="DW324" s="102" t="e">
        <f>(VLOOKUP($B$3,'Coeff EC7'!$T$39:$X$59,2,0)*DU324+VLOOKUP($B$3,'Coeff EC7'!$T$65:$X$85,2,0)*Model0.1C!DV324)/1.1</f>
        <v>#N/A</v>
      </c>
      <c r="DX324" s="102" t="e">
        <f>(VLOOKUP($B$3,'Coeff EC7'!$T$39:$X$59,3,0)*DU324+VLOOKUP($B$3,'Coeff EC7'!$T$65:$X$85,3,0)*Model0.1C!DV324)/0.9</f>
        <v>#N/A</v>
      </c>
      <c r="DY324" s="102" t="e">
        <f t="shared" si="490"/>
        <v>#N/A</v>
      </c>
      <c r="DZ324" s="102" t="e">
        <f t="shared" si="491"/>
        <v>#N/A</v>
      </c>
      <c r="EA324" s="414" t="e">
        <f>IF(EA323=0,0,IF(AND(DW324&gt;charge_ELS_quasi,DX324&gt;Charge_ELS_freq,DY324&gt;charge_ELU,DZ324&gt;charge_ELA,$B324&gt;NDC!$H$22-0.1+MIN(3*$EA$12,1.5)),0,1))</f>
        <v>#N/A</v>
      </c>
      <c r="EB324" s="86" t="b">
        <f t="shared" si="459"/>
        <v>0</v>
      </c>
      <c r="EC324" s="418">
        <f t="shared" si="460"/>
        <v>0.51</v>
      </c>
      <c r="ED324" s="86">
        <f t="shared" si="461"/>
        <v>0.51</v>
      </c>
      <c r="EE324" s="30" t="e">
        <f t="shared" ca="1" si="492"/>
        <v>#DIV/0!</v>
      </c>
      <c r="EF324" s="85" t="e">
        <f ca="1">IF(DL324&lt;=Hypothèses!$V$7,Hypothèses!$W$7,IF(DL324&lt;=Hypothèses!$V$8,Hypothèses!$W$8,IF(DL324&lt;=Hypothèses!$V$9,Hypothèses!$W$9,IF(DL324&lt;=Hypothèses!$V$10,Hypothèses!$W$10,IF(DL324&lt;=Hypothèses!$V$11,Hypothèses!$W$11,IF(DL324&lt;=Hypothèses!$V$12,Hypothèses!$W$12,IF(DL324&lt;=Hypothèses!$V$13,Hypothèses!$W$13,IF(DL324&lt;=Hypothèses!$V$14,Hypothèses!$W$14,IF(DL324&lt;=Hypothèses!$V$15,Hypothèses!$W$15,IF(DL324&lt;=Hypothèses!$V$16,Hypothèses!$W$16,IF(DL324&lt;=Hypothèses!$V$17,Hypothèses!$W$17,IF(DL324&lt;=Hypothèses!$V$18,Hypothèses!$W$18,""))))))))))))</f>
        <v>#DIV/0!</v>
      </c>
      <c r="EG324" s="87" t="e">
        <f t="shared" ca="1" si="522"/>
        <v>#DIV/0!</v>
      </c>
      <c r="EH324" s="88" t="e">
        <f ca="1">IF(DL324&lt;=Hypothèses!$V$7,Hypothèses!$X$7,IF(DL324&lt;=Hypothèses!$V$8,Hypothèses!$X$8,IF(DL324&lt;=Hypothèses!$V$9,Hypothèses!$X$9,IF(DL324&lt;=Hypothèses!$V$10,Hypothèses!$X$10,IF(DL324&lt;=Hypothèses!$V$11,Hypothèses!$X$11,IF(DL324&lt;=Hypothèses!$V$12,Hypothèses!$X$12,IF(DL324&lt;=Hypothèses!$V$13,Hypothèses!$X$13,IF(DL324&lt;=Hypothèses!$V$14,Hypothèses!$X$14,IF(DL324&lt;=Hypothèses!$V$15,Hypothèses!$X$15,IF(DL324&lt;=Hypothèses!$V$16,Hypothèses!$X$16,IF(DL324&lt;=Hypothèses!$U$17,Hypothèses!$W$17,IF(DL324&lt;=Hypothèses!$U$18,Hypothèses!$W$18,""))))))))))))</f>
        <v>#DIV/0!</v>
      </c>
      <c r="EI324" s="95" t="e">
        <f t="shared" ca="1" si="493"/>
        <v>#DIV/0!</v>
      </c>
      <c r="EJ324" s="101" t="e">
        <f t="shared" si="529"/>
        <v>#N/A</v>
      </c>
      <c r="EK324" s="91" t="e">
        <f t="shared" si="462"/>
        <v>#N/A</v>
      </c>
      <c r="EL324" s="30" t="e">
        <f t="shared" si="512"/>
        <v>#N/A</v>
      </c>
      <c r="EM324" s="30" t="e">
        <f t="shared" si="513"/>
        <v>#N/A</v>
      </c>
      <c r="EN324" s="31" t="e">
        <f>IF(OR(Hypothèses!$B$4=17,Hypothèses!$B$4=18,Hypothèses!$B$4=19,Hypothèses!$B$4=20),
IF($D324="Pressio.",
IF(OR($E324=3,$E324=1,$E324=4),EM324,EL324),
IF($D324="Pénétro.",
IF(OR($E324=3,$E324=1,$E324=4),EM324,EL324))),IF($D324="Pressio.",
IF($E324=3,EM324,EL324),
IF($D324="Pénétro.",
IF($E324=4,EM324,EL324))))</f>
        <v>#N/A</v>
      </c>
      <c r="EO324" s="31" t="e">
        <f>(IF(OR(Hypothèses!$B$4=17,Hypothèses!$B$4=18,Hypothèses!$B$4=19,Hypothèses!$B$4=20),
IF($D324="Pressio.",
IF(OR($E324=3,$E324=1,$E324=4),(PI()*EO$12^2)/4*(EK324*$W324*1000)/($H324*$B$5),(PI()*EO$12^2)/4*(EK324*$W324*1000)/($G324*$B$5)),
IF($D324="Pénétro.",
IF(OR($E324=4,$E324=1,$E324=5),(PI()*EO$12^2)/4*(EK324*$W324*1000)/($H324*$B$5),(PI()*EO$12^2)/4*(EK324*$W324*1000)/($G324*$B$5)))),
IF($D324="Pressio.",
IF($E324=3,(PI()*EO$12^2)/4*(EK324*$W324*1000)/($H324*$B$5),(PI()*EO$12^2)/4*(EK324*$W324*1000)/($G324*$B$5)),
IF($D324="Pénétro.",
IF($E324=4,(PI()*EO$12^2)/4*(EK324*$W324*1000)/($H324*$B$5),(PI()*EO$12^2)/4*(EK324*$W324*1000)/($G324*$B$5))))))/10</f>
        <v>#N/A</v>
      </c>
      <c r="EP324" s="102" t="e">
        <f>(VLOOKUP($B$3,'Coeff EC7'!$T$39:$X$59,2,0)*EN324+VLOOKUP($B$3,'Coeff EC7'!$T$65:$X$85,2,0)*Model0.1C!EO324)/1.1</f>
        <v>#N/A</v>
      </c>
      <c r="EQ324" s="102" t="e">
        <f>(VLOOKUP($B$3,'Coeff EC7'!$T$39:$X$59,3,0)*EN324+VLOOKUP($B$3,'Coeff EC7'!$T$65:$X$85,3,0)*Model0.1C!EO324)/0.9</f>
        <v>#N/A</v>
      </c>
      <c r="ER324" s="102" t="e">
        <f t="shared" si="494"/>
        <v>#N/A</v>
      </c>
      <c r="ES324" s="102" t="e">
        <f t="shared" si="495"/>
        <v>#N/A</v>
      </c>
      <c r="ET324" s="414" t="e">
        <f>IF(ET323=0,0,IF(AND(EP324&gt;charge_ELS_quasi,EQ324&gt;Charge_ELS_freq,ER324&gt;charge_ELU,ES324&gt;charge_ELA,$B324&gt;NDC!$H$22-0.1+MIN(3*$ET$12,1.5)),0,1))</f>
        <v>#N/A</v>
      </c>
      <c r="EU324" s="86" t="b">
        <f t="shared" si="463"/>
        <v>0</v>
      </c>
      <c r="EV324" s="86">
        <f t="shared" si="464"/>
        <v>0.61</v>
      </c>
      <c r="EW324" s="86">
        <f t="shared" si="465"/>
        <v>0.61</v>
      </c>
      <c r="EX324" s="30" t="e">
        <f t="shared" ca="1" si="496"/>
        <v>#DIV/0!</v>
      </c>
      <c r="EY324" s="85" t="e">
        <f ca="1">IF(EE324&lt;=Hypothèses!$V$7,Hypothèses!$W$7,IF(EE324&lt;=Hypothèses!$V$8,Hypothèses!$W$8,IF(EE324&lt;=Hypothèses!$V$9,Hypothèses!$W$9,IF(EE324&lt;=Hypothèses!$V$10,Hypothèses!$W$10,IF(EE324&lt;=Hypothèses!$V$11,Hypothèses!$W$11,IF(EE324&lt;=Hypothèses!$V$12,Hypothèses!$W$12,IF(EE324&lt;=Hypothèses!$V$13,Hypothèses!$W$13,IF(EE324&lt;=Hypothèses!$V$14,Hypothèses!$W$14,IF(EE324&lt;=Hypothèses!$V$15,Hypothèses!$W$15,IF(EE324&lt;=Hypothèses!$V$16,Hypothèses!$W$16,IF(EE324&lt;=Hypothèses!$V$17,Hypothèses!$W$17,IF(EE324&lt;=Hypothèses!$V$18,Hypothèses!$W$18,""))))))))))))</f>
        <v>#DIV/0!</v>
      </c>
      <c r="EZ324" s="87" t="e">
        <f t="shared" ca="1" si="523"/>
        <v>#DIV/0!</v>
      </c>
      <c r="FA324" s="88" t="e">
        <f ca="1">IF(EE324&lt;=Hypothèses!$V$7,Hypothèses!$X$7,IF(EE324&lt;=Hypothèses!$V$8,Hypothèses!$X$8,IF(EE324&lt;=Hypothèses!$V$9,Hypothèses!$X$9,IF(EE324&lt;=Hypothèses!$V$10,Hypothèses!$X$10,IF(EE324&lt;=Hypothèses!$V$11,Hypothèses!$X$11,IF(EE324&lt;=Hypothèses!$V$12,Hypothèses!$X$12,IF(EE324&lt;=Hypothèses!$V$13,Hypothèses!$X$13,IF(EE324&lt;=Hypothèses!$V$14,Hypothèses!$X$14,IF(EE324&lt;=Hypothèses!$V$15,Hypothèses!$X$15,IF(EE324&lt;=Hypothèses!$V$16,Hypothèses!$X$16,IF(EE324&lt;=Hypothèses!$U$17,Hypothèses!$W$17,IF(EE324&lt;=Hypothèses!$U$18,Hypothèses!$W$18,""))))))))))))</f>
        <v>#DIV/0!</v>
      </c>
      <c r="FB324" s="95" t="e">
        <f t="shared" ca="1" si="497"/>
        <v>#DIV/0!</v>
      </c>
      <c r="FC324" s="101" t="e">
        <f t="shared" si="530"/>
        <v>#N/A</v>
      </c>
      <c r="FD324" s="91" t="e">
        <f t="shared" si="466"/>
        <v>#N/A</v>
      </c>
      <c r="FE324" s="30" t="e">
        <f t="shared" si="514"/>
        <v>#N/A</v>
      </c>
      <c r="FF324" s="30" t="e">
        <f t="shared" si="515"/>
        <v>#N/A</v>
      </c>
      <c r="FG324" s="31" t="e">
        <f>IF(OR(Hypothèses!$B$4=17,Hypothèses!$B$4=18,Hypothèses!$B$4=19,Hypothèses!$B$4=20),
IF($D324="Pressio.",
IF(OR($E324=3,$E324=1,$E324=4),FF324,FE324),
IF($D324="Pénétro.",
IF(OR($E324=3,$E324=1,$E324=4),FF324,FE324))),IF($D324="Pressio.",
IF($E324=3,FF324,FE324),
IF($D324="Pénétro.",
IF($E324=4,FF324,FE324))))</f>
        <v>#N/A</v>
      </c>
      <c r="FH324" s="31" t="e">
        <f>(IF(OR(Hypothèses!$B$4=17,Hypothèses!$B$4=18,Hypothèses!$B$4=19,Hypothèses!$B$4=20),
IF($D324="Pressio.",
IF(OR($E324=3,$E324=1,$E324=4),(PI()*FH$12^2)/4*(FD324*$W324*1000)/($H324*$B$5),(PI()*FH$12^2)/4*(FD324*$W324*1000)/($G324*$B$5)),
IF($D324="Pénétro.",
IF(OR($E324=4,$E324=1,$E324=5),(PI()*FH$12^2)/4*(FD324*$W324*1000)/($H324*$B$5),(PI()*FH$12^2)/4*(FD324*$W324*1000)/($G324*$B$5)))),
IF($D324="Pressio.",
IF($E324=3,(PI()*FH$12^2)/4*(FD324*$W324*1000)/($H324*$B$5),(PI()*FH$12^2)/4*(FD324*$W324*1000)/($G324*$B$5)),
IF($D324="Pénétro.",
IF($E324=4,(PI()*FH$12^2)/4*(FD324*$W324*1000)/($H324*$B$5),(PI()*FH$12^2)/4*(FD324*$W324*1000)/($G324*$B$5))))))/10</f>
        <v>#N/A</v>
      </c>
      <c r="FI324" s="102" t="e">
        <f>(VLOOKUP($B$3,'Coeff EC7'!$T$39:$X$59,2,0)*FG324+VLOOKUP($B$3,'Coeff EC7'!$T$65:$X$85,2,0)*Model0.1C!FH324)/1.1</f>
        <v>#N/A</v>
      </c>
      <c r="FJ324" s="102" t="e">
        <f>(VLOOKUP($B$3,'Coeff EC7'!$T$39:$X$59,3,0)*FG324+VLOOKUP($B$3,'Coeff EC7'!$T$65:$X$85,3,0)*Model0.1C!FH324)/0.9</f>
        <v>#N/A</v>
      </c>
      <c r="FK324" s="102" t="e">
        <f t="shared" si="498"/>
        <v>#N/A</v>
      </c>
      <c r="FL324" s="102" t="e">
        <f t="shared" si="499"/>
        <v>#N/A</v>
      </c>
      <c r="FM324" s="414" t="e">
        <f>IF(FM323=0,0,IF(AND(FI324&gt;charge_ELS_quasi,FJ324&gt;Charge_ELS_freq,FK324&gt;charge_ELU,FL324&gt;charge_ELA,$B324&gt;NDC!$H$22-0.1+MIN(3*$FM$12,1.5)),0,1))</f>
        <v>#N/A</v>
      </c>
    </row>
    <row r="325" spans="1:169">
      <c r="A325" s="96">
        <f t="shared" si="467"/>
        <v>68.800000000001774</v>
      </c>
      <c r="B325" s="97">
        <v>31.2</v>
      </c>
      <c r="C325" s="81">
        <f>IF(B325&lt;=Hypothèses!$C$7,Hypothèses!$A$7,IF(B325&lt;=Hypothèses!$C$8,Hypothèses!$A$8,IF(B325&lt;=Hypothèses!$C$9,Hypothèses!$A$9,IF(B325&lt;=Hypothèses!$C$10,Hypothèses!$A$10,IF(B325&lt;=Hypothèses!$C$11,Hypothèses!$A$11,IF(B325&lt;=Hypothèses!$C$12,Hypothèses!$A$12,IF(B325&lt;=Hypothèses!$C$13,Hypothèses!$A$13,IF(B325&lt;=Hypothèses!$C$14,Hypothèses!$A$14,IF(B325&lt;=Hypothèses!$C$15,Hypothèses!$A$15,IF(B325&lt;=Hypothèses!$C$16,Hypothèses!$A$16,IF(B325&lt;=Hypothèses!$C$17,Hypothèses!$A$17,IF(B325&lt;=Hypothèses!$C$18,Hypothèses!$A$18,C324))))))))))))</f>
        <v>11</v>
      </c>
      <c r="D325" s="82" t="str">
        <f>IF(B325&lt;=Hypothèses!$C$7,Hypothèses!$R$7,IF(B325&lt;=Hypothèses!$C$8,Hypothèses!$R$8,IF(B325&lt;=Hypothèses!$C$9,Hypothèses!$R$9,IF(B325&lt;=Hypothèses!$C$10,Hypothèses!$R$10,IF(B325&lt;=Hypothèses!$C$11,Hypothèses!$R$11,IF(B325&lt;=Hypothèses!$C$12,Hypothèses!$R$12,IF(B325&lt;=Hypothèses!$C$13,Hypothèses!$R$13,IF(B325&lt;=Hypothèses!$C$14,Hypothèses!$R$14,IF(B325&lt;=Hypothèses!$C$15,Hypothèses!$R$15,IF(B325&lt;=Hypothèses!$C$16,Hypothèses!$R$16,IF(B325&lt;=Hypothèses!$C$17,Hypothèses!$R$17,IF(B325&lt;=Hypothèses!$C$18,Hypothèses!$R$18,D324))))))))))))</f>
        <v>Pressio.</v>
      </c>
      <c r="E325" s="82" t="e">
        <f>IF(B325&lt;=Hypothèses!$C$7,Hypothèses!$G$7,IF(B325&lt;=Hypothèses!$C$8,Hypothèses!$G$8,IF(B325&lt;=Hypothèses!$C$9,Hypothèses!$G$9,IF(B325&lt;=Hypothèses!$C$10,Hypothèses!$G$10,IF(B325&lt;=Hypothèses!$C$11,Hypothèses!$G$11,IF(B325&lt;=Hypothèses!$C$12,Hypothèses!$G$12,IF(B325&lt;=Hypothèses!$C$13,Hypothèses!$G$13,IF(B325&lt;=Hypothèses!$C$14,Hypothèses!$G$14,IF(B325&lt;=Hypothèses!$C$15,Hypothèses!$G$15,IF(B325&lt;=Hypothèses!$C$16,Hypothèses!$G$16,IF(B325&lt;=Hypothèses!$C$17,Hypothèses!$G$17,IF(B325&lt;=Hypothèses!$C$18,Hypothèses!$G$18,E324))))))))))))</f>
        <v>#N/A</v>
      </c>
      <c r="F325" s="82" t="str">
        <f>IF(B325&lt;=Hypothèses!$C$7,Hypothèses!$F$7,IF(B325&lt;=Hypothèses!$C$8,Hypothèses!$F$8,IF(B325&lt;=Hypothèses!$C$9,Hypothèses!$F$9,IF(B325&lt;=Hypothèses!$C$10,Hypothèses!$F$10,IF(B325&lt;=Hypothèses!$C$11,Hypothèses!$F$11,IF(B325&lt;=Hypothèses!$C$12,Hypothèses!$F$12,IF(B325&lt;=Hypothèses!$C$13,Hypothèses!$F$13,IF(B325&lt;=Hypothèses!$C$14,Hypothèses!$F$14,IF(B325&lt;=Hypothèses!$C$15,Hypothèses!$F$15,IF(B325&lt;=Hypothèses!$C$16,Hypothèses!$F$16,IF(B325&lt;=Hypothèses!$C$17,Hypothèses!$F$17,IF(B325&lt;=Hypothèses!$C$18,Hypothèses!$F$18,F324))))))))))))</f>
        <v/>
      </c>
      <c r="G325" s="91">
        <f t="array" ref="G325">INDEX('Coeff EC7'!$U$7:$X$27,
MATCH(Model0.1C!$B$3,'Coeff EC7'!$T$7:$T$27,0),
MATCH(Model0.1C!$D325&amp;Model0.1C!$B$4,
'Coeff EC7'!$U$6:$X$6&amp;
'Coeff EC7'!$U$5:$X$5,0))</f>
        <v>1.1499999999999999</v>
      </c>
      <c r="H325" s="91">
        <f t="array" ref="H325">INDEX('Coeff EC7'!$Y$7:$AB$27,
MATCH(Model0.1C!$B$3,'Coeff EC7'!$T$7:$T$27,0),
MATCH(Model0.1C!$D325&amp;Model0.1C!$B$4,
'Coeff EC7'!$Y$6:$AB$6&amp;
'Coeff EC7'!$Y$5:$AB$5,0))</f>
        <v>1.4</v>
      </c>
      <c r="I325" s="83" t="e">
        <f>IF(B325&lt;=Hypothèses!$C$7,Hypothèses!$P$7,IF(B325&lt;=Hypothèses!$C$8,Hypothèses!$P$8,IF(B325&lt;=Hypothèses!$C$9,Hypothèses!$P$9,IF(B325&lt;=Hypothèses!$C$10,Hypothèses!$P$10,IF(B325&lt;=Hypothèses!$C$11,Hypothèses!$P$11,IF(B325&lt;=Hypothèses!$C$12,Hypothèses!$P$12,IF(B325&lt;=Hypothèses!$C$13,Hypothèses!$P$13,IF(B325&lt;=Hypothèses!$C$14,Hypothèses!$P$14,IF(B325&lt;=Hypothèses!$C$15,Hypothèses!$P$15,IF(B325&lt;=Hypothèses!$C$16,Hypothèses!$P$16,IF(B325&lt;=Hypothèses!$C$17,Hypothèses!$P$17,IF(B325&lt;=Hypothèses!$C$18,Hypothèses!$P$18,I324))))))))))))</f>
        <v>#N/A</v>
      </c>
      <c r="J325" s="91" t="e">
        <f t="array" ref="J325">INDEX('Coeff EC7'!$D$33:$Q$33,1,MATCH(D325&amp;E325,'Coeff EC7'!$D$31:$Q$31&amp;'Coeff EC7'!$D$32:$Q$32,0))</f>
        <v>#N/A</v>
      </c>
      <c r="K325" s="91" t="e">
        <f t="array" ref="K325">INDEX('Coeff EC7'!$D$34:$Q$34,1,MATCH(D325&amp;E325,'Coeff EC7'!$D$31:$Q$31&amp;'Coeff EC7'!$D$32:$Q$32,0))</f>
        <v>#N/A</v>
      </c>
      <c r="L325" s="91" t="e">
        <f t="array" ref="L325">INDEX('Coeff EC7'!$D$35:$Q$35,1,MATCH(D325&amp;E325,'Coeff EC7'!$D$31:$Q$31&amp;'Coeff EC7'!$D$32:$Q$32,0))</f>
        <v>#N/A</v>
      </c>
      <c r="M325" s="98" t="e">
        <f t="shared" si="431"/>
        <v>#N/A</v>
      </c>
      <c r="N325" s="99" t="e">
        <f t="array" ref="N325">INDEX('Coeff EC7'!$D$7:$Q$27,MATCH($B$3,'Coeff EC7'!$C$7:$C$27,0),MATCH(D325&amp;E325,'Coeff EC7'!$D$5:$Q$5&amp;'Coeff EC7'!$D$6:$Q$6,0))</f>
        <v>#N/A</v>
      </c>
      <c r="O325" s="99" t="e">
        <f t="array" ref="O325">INDEX('Coeff EC7'!$D$41:$Q$61,MATCH($B$3,'Coeff EC7'!$C$41:$C$61,0),MATCH(D325&amp;E325,'Coeff EC7'!$D$39:$Q$39&amp;'Coeff EC7'!$D$40:$Q$40,0))</f>
        <v>#N/A</v>
      </c>
      <c r="P325" s="30" t="e">
        <f t="shared" si="468"/>
        <v>#N/A</v>
      </c>
      <c r="Q325" s="100" t="e">
        <f t="shared" si="433"/>
        <v>#N/A</v>
      </c>
      <c r="R325" s="86" t="b">
        <f t="shared" si="434"/>
        <v>0</v>
      </c>
      <c r="S325" s="86">
        <f t="shared" si="432"/>
        <v>0.5</v>
      </c>
      <c r="T325" s="86">
        <f t="shared" si="435"/>
        <v>0.5</v>
      </c>
      <c r="U325" s="30" t="e">
        <f t="shared" ca="1" si="469"/>
        <v>#DIV/0!</v>
      </c>
      <c r="V325" s="85" t="str">
        <f>IF(B325&lt;=Hypothèses!$V$7,Hypothèses!$W$7,IF(B325&lt;=Hypothèses!$V$8,Hypothèses!$W$8,IF(B325&lt;=Hypothèses!$V$9,Hypothèses!$W$9,IF(B325&lt;=Hypothèses!$V$10,Hypothèses!$W$10,IF(B325&lt;=Hypothèses!$V$11,Hypothèses!$W$11,IF(B325&lt;=Hypothèses!$V$12,Hypothèses!$W$12,IF(B325&lt;=Hypothèses!$V$13,Hypothèses!$W$13,IF(B325&lt;=Hypothèses!$V$14,Hypothèses!$W$14,IF(B325&lt;=Hypothèses!$V$15,Hypothèses!$W$15,IF(B325&lt;=Hypothèses!$V$16,Hypothèses!$W$16,IF(B325&lt;=Hypothèses!$V$17,Hypothèses!$W$17,IF(B325&lt;=Hypothèses!$V$18,Hypothèses!$W$18,""))))))))))))</f>
        <v/>
      </c>
      <c r="W325" s="87" t="e">
        <f t="shared" ca="1" si="516"/>
        <v>#DIV/0!</v>
      </c>
      <c r="X325" s="88" t="str">
        <f>IF(B325&lt;=Hypothèses!$V$7,Hypothèses!$X$7,IF(B325&lt;=Hypothèses!$V$8,Hypothèses!$X$8,IF(B325&lt;=Hypothèses!$V$9,Hypothèses!$X$9,IF(B325&lt;=Hypothèses!$V$10,Hypothèses!$X$10,IF(B325&lt;=Hypothèses!$V$11,Hypothèses!$X$11,IF(B325&lt;=Hypothèses!$V$12,Hypothèses!$X$12,IF(B325&lt;=Hypothèses!$V$13,Hypothèses!$X$13,IF(B325&lt;=Hypothèses!$V$14,Hypothèses!$X$14,IF(B325&lt;=Hypothèses!$V$15,Hypothèses!$X$15,IF(B325&lt;=Hypothèses!$V$16,Hypothèses!$X$16,IF(B325&lt;=Hypothèses!$U$17,Hypothèses!$W$17,IF(B325&lt;=Hypothèses!$U$18,Hypothèses!$W$18,""))))))))))))</f>
        <v/>
      </c>
      <c r="Y325" s="95" t="e">
        <f t="shared" ca="1" si="436"/>
        <v>#DIV/0!</v>
      </c>
      <c r="Z325" s="101" t="e">
        <f t="shared" si="437"/>
        <v>#N/A</v>
      </c>
      <c r="AA325" s="91" t="e">
        <f t="shared" si="438"/>
        <v>#N/A</v>
      </c>
      <c r="AB325" s="30" t="e">
        <f t="shared" si="500"/>
        <v>#N/A</v>
      </c>
      <c r="AC325" s="30" t="e">
        <f t="shared" si="501"/>
        <v>#N/A</v>
      </c>
      <c r="AD325" s="31" t="e">
        <f>IF(OR(Hypothèses!$B$4=17,Hypothèses!$B$4=18,Hypothèses!$B$4=19,Hypothèses!$B$4=20),
IF($D325="Pressio.",
IF(OR($E325=3,$E325=1,$E325=4),AC325,AB325),
IF($D325="Pénétro.",
IF(OR($E325=3,$E325=1,$E325=4),AC325,AB325))),IF($D325="Pressio.",
IF($E325=3,AC325,AB325),
IF($D325="Pénétro.",
IF($E325=4,AC325,AB325))))</f>
        <v>#N/A</v>
      </c>
      <c r="AE325" s="31" t="e">
        <f>(IF(OR(Hypothèses!$B$4=17,Hypothèses!$B$4=18,Hypothèses!$B$4=19,Hypothèses!$B$4=20),
IF($D325="Pressio.",
IF(OR($E325=3,$E325=1,$E325=4),(PI()*AE$12^2)/4*(AA325*$W325*1000)/($H325*$B$5),(PI()*AE$12^2)/4*(AA325*$W325*1000)/($G325*$B$5)),
IF($D325="Pénétro.",
IF(OR($E325=4,$E325=1,$E325=5),(PI()*AE$12^2)/4*(AA325*$W325*1000)/($H325*$B$5),(PI()*AE$12^2)/4*(AA325*$W325*1000)/($G325*$B$5)))),
IF($D325="Pressio.",
IF($E325=3,(PI()*AE$12^2)/4*(AA325*$W325*1000)/($H325*$B$5),(PI()*AE$12^2)/4*(AA325*$W325*1000)/($G325*$B$5)),
IF($D325="Pénétro.",
IF($E325=4,(PI()*AE$12^2)/4*(AA325*$W325*1000)/($H325*$B$5),(PI()*AE$12^2)/4*(AA325*$W325*1000)/($G325*$B$5))))))/10</f>
        <v>#N/A</v>
      </c>
      <c r="AF325" s="102" t="e">
        <f>(VLOOKUP($B$3,'Coeff EC7'!$T$39:$X$59,2,0)*AD325+VLOOKUP($B$3,'Coeff EC7'!$T$65:$X$85,2,0)*Model0.1C!AE325)/1.1</f>
        <v>#N/A</v>
      </c>
      <c r="AG325" s="102" t="e">
        <f>(VLOOKUP($B$3,'Coeff EC7'!$T$39:$X$59,3,0)*AD325+VLOOKUP($B$3,'Coeff EC7'!$T$65:$X$85,3,0)*Model0.1C!AE325)/0.9</f>
        <v>#N/A</v>
      </c>
      <c r="AH325" s="102" t="e">
        <f t="shared" si="439"/>
        <v>#N/A</v>
      </c>
      <c r="AI325" s="102" t="e">
        <f t="shared" si="440"/>
        <v>#N/A</v>
      </c>
      <c r="AJ325" s="414" t="e">
        <f>IF(AJ324=0,0,IF(AND(AF325&gt;charge_ELS_quasi,AG325&gt;Charge_ELS_freq,AH325&gt;charge_ELU,AI325&gt;charge_ELA,$B325&gt;NDC!$H$22-0.1+MIN(3*$AJ$12,1.5)),0,1))</f>
        <v>#N/A</v>
      </c>
      <c r="AK325" s="86" t="b">
        <f t="shared" si="441"/>
        <v>0</v>
      </c>
      <c r="AL325" s="86">
        <f t="shared" si="470"/>
        <v>0.5</v>
      </c>
      <c r="AM325" s="86">
        <f t="shared" si="442"/>
        <v>0.5</v>
      </c>
      <c r="AN325" s="30" t="e">
        <f t="shared" ca="1" si="471"/>
        <v>#DIV/0!</v>
      </c>
      <c r="AO325" s="85" t="e">
        <f ca="1">IF(U325&lt;=Hypothèses!$V$7,Hypothèses!$W$7,IF(U325&lt;=Hypothèses!$V$8,Hypothèses!$W$8,IF(U325&lt;=Hypothèses!$V$9,Hypothèses!$W$9,IF(U325&lt;=Hypothèses!$V$10,Hypothèses!$W$10,IF(U325&lt;=Hypothèses!$V$11,Hypothèses!$W$11,IF(U325&lt;=Hypothèses!$V$12,Hypothèses!$W$12,IF(U325&lt;=Hypothèses!$V$13,Hypothèses!$W$13,IF(U325&lt;=Hypothèses!$V$14,Hypothèses!$W$14,IF(U325&lt;=Hypothèses!$V$15,Hypothèses!$W$15,IF(U325&lt;=Hypothèses!$V$16,Hypothèses!$W$16,IF(U325&lt;=Hypothèses!$V$17,Hypothèses!$W$17,IF(U325&lt;=Hypothèses!$V$18,Hypothèses!$W$18,""))))))))))))</f>
        <v>#DIV/0!</v>
      </c>
      <c r="AP325" s="87" t="e">
        <f t="shared" ca="1" si="517"/>
        <v>#DIV/0!</v>
      </c>
      <c r="AQ325" s="88" t="e">
        <f ca="1">IF(U325&lt;=Hypothèses!$V$7,Hypothèses!$X$7,IF(U325&lt;=Hypothèses!$V$8,Hypothèses!$X$8,IF(U325&lt;=Hypothèses!$V$9,Hypothèses!$X$9,IF(U325&lt;=Hypothèses!$V$10,Hypothèses!$X$10,IF(U325&lt;=Hypothèses!$V$11,Hypothèses!$X$11,IF(U325&lt;=Hypothèses!$V$12,Hypothèses!$X$12,IF(U325&lt;=Hypothèses!$V$13,Hypothèses!$X$13,IF(U325&lt;=Hypothèses!$V$14,Hypothèses!$X$14,IF(U325&lt;=Hypothèses!$V$15,Hypothèses!$X$15,IF(U325&lt;=Hypothèses!$V$16,Hypothèses!$X$16,IF(U325&lt;=Hypothèses!$U$17,Hypothèses!$W$17,IF(U325&lt;=Hypothèses!$U$18,Hypothèses!$W$18,""))))))))))))</f>
        <v>#DIV/0!</v>
      </c>
      <c r="AR325" s="95" t="e">
        <f t="shared" ca="1" si="472"/>
        <v>#DIV/0!</v>
      </c>
      <c r="AS325" s="101" t="e">
        <f t="shared" si="524"/>
        <v>#N/A</v>
      </c>
      <c r="AT325" s="91" t="e">
        <f t="shared" si="443"/>
        <v>#N/A</v>
      </c>
      <c r="AU325" s="30" t="e">
        <f t="shared" si="502"/>
        <v>#N/A</v>
      </c>
      <c r="AV325" s="30" t="e">
        <f t="shared" si="503"/>
        <v>#N/A</v>
      </c>
      <c r="AW325" s="31" t="e">
        <f>IF(OR(Hypothèses!$B$4=17,Hypothèses!$B$4=18,Hypothèses!$B$4=19,Hypothèses!$B$4=20),
IF($D325="Pressio.",
IF(OR($E325=3,$E325=1,$E325=4),AV325,AU325),
IF($D325="Pénétro.",
IF(OR($E325=3,$E325=1,$E325=4),AV325,AU325))),IF($D325="Pressio.",
IF($E325=3,AV325,AU325),
IF($D325="Pénétro.",
IF($E325=4,AV325,AU325))))</f>
        <v>#N/A</v>
      </c>
      <c r="AX325" s="31" t="e">
        <f>(IF(OR(Hypothèses!$B$4=17,Hypothèses!$B$4=18,Hypothèses!$B$4=19,Hypothèses!$B$4=20),
IF($D325="Pressio.",
IF(OR($E325=3,$E325=1,$E325=4),(PI()*AX$12^2)/4*(AT325*$W325*1000)/($H325*$B$5),(PI()*AX$12^2)/4*(AT325*$W325*1000)/($G325*$B$5)),
IF($D325="Pénétro.",
IF(OR($E325=4,$E325=1,$E325=5),(PI()*AX$12^2)/4*(AT325*$W325*1000)/($H325*$B$5),(PI()*AX$12^2)/4*(AT325*$W325*1000)/($G325*$B$5)))),
IF($D325="Pressio.",
IF($E325=3,(PI()*AX$12^2)/4*(AT325*$W325*1000)/($H325*$B$5),(PI()*AX$12^2)/4*(AT325*$W325*1000)/($G325*$B$5)),
IF($D325="Pénétro.",
IF($E325=4,(PI()*AX$12^2)/4*(AT325*$W325*1000)/($H325*$B$5),(PI()*AX$12^2)/4*(AT325*$W325*1000)/($G325*$B$5))))))/10</f>
        <v>#N/A</v>
      </c>
      <c r="AY325" s="102" t="e">
        <f>(VLOOKUP($B$3,'Coeff EC7'!$T$39:$X$59,2,0)*AW325+VLOOKUP($B$3,'Coeff EC7'!$T$65:$X$85,2,0)*Model0.1C!AX325)/1.1</f>
        <v>#N/A</v>
      </c>
      <c r="AZ325" s="102" t="e">
        <f>(VLOOKUP($B$3,'Coeff EC7'!$T$39:$X$59,3,0)*AW325+VLOOKUP($B$3,'Coeff EC7'!$T$65:$X$85,3,0)*Model0.1C!AX325)/0.9</f>
        <v>#N/A</v>
      </c>
      <c r="BA325" s="102" t="e">
        <f t="shared" si="473"/>
        <v>#N/A</v>
      </c>
      <c r="BB325" s="102" t="e">
        <f t="shared" si="474"/>
        <v>#N/A</v>
      </c>
      <c r="BC325" s="414" t="e">
        <f>IF(BC324=0,0,IF(AND(AY325&gt;charge_ELS_quasi,AZ325&gt;Charge_ELS_freq,BA325&gt;charge_ELU,BB325&gt;charge_ELA,$B325&gt;NDC!$H$22-0.1+MIN(3*$BC$12,1.5)),0,1))</f>
        <v>#N/A</v>
      </c>
      <c r="BD325" s="86" t="b">
        <f t="shared" si="444"/>
        <v>0</v>
      </c>
      <c r="BE325" s="86">
        <f t="shared" si="475"/>
        <v>0.5</v>
      </c>
      <c r="BF325" s="86">
        <f t="shared" si="445"/>
        <v>0.5</v>
      </c>
      <c r="BG325" s="30" t="e">
        <f t="shared" ca="1" si="476"/>
        <v>#DIV/0!</v>
      </c>
      <c r="BH325" s="85" t="e">
        <f ca="1">IF(AN325&lt;=Hypothèses!$V$7,Hypothèses!$W$7,IF(AN325&lt;=Hypothèses!$V$8,Hypothèses!$W$8,IF(AN325&lt;=Hypothèses!$V$9,Hypothèses!$W$9,IF(AN325&lt;=Hypothèses!$V$10,Hypothèses!$W$10,IF(AN325&lt;=Hypothèses!$V$11,Hypothèses!$W$11,IF(AN325&lt;=Hypothèses!$V$12,Hypothèses!$W$12,IF(AN325&lt;=Hypothèses!$V$13,Hypothèses!$W$13,IF(AN325&lt;=Hypothèses!$V$14,Hypothèses!$W$14,IF(AN325&lt;=Hypothèses!$V$15,Hypothèses!$W$15,IF(AN325&lt;=Hypothèses!$V$16,Hypothèses!$W$16,IF(AN325&lt;=Hypothèses!$V$17,Hypothèses!$W$17,IF(AN325&lt;=Hypothèses!$V$18,Hypothèses!$W$18,""))))))))))))</f>
        <v>#DIV/0!</v>
      </c>
      <c r="BI325" s="87" t="e">
        <f t="shared" ca="1" si="518"/>
        <v>#DIV/0!</v>
      </c>
      <c r="BJ325" s="88" t="e">
        <f ca="1">IF(AN325&lt;=Hypothèses!$V$7,Hypothèses!$X$7,IF(AN325&lt;=Hypothèses!$V$8,Hypothèses!$X$8,IF(AN325&lt;=Hypothèses!$V$9,Hypothèses!$X$9,IF(AN325&lt;=Hypothèses!$V$10,Hypothèses!$X$10,IF(AN325&lt;=Hypothèses!$V$11,Hypothèses!$X$11,IF(AN325&lt;=Hypothèses!$V$12,Hypothèses!$X$12,IF(AN325&lt;=Hypothèses!$V$13,Hypothèses!$X$13,IF(AN325&lt;=Hypothèses!$V$14,Hypothèses!$X$14,IF(AN325&lt;=Hypothèses!$V$15,Hypothèses!$X$15,IF(AN325&lt;=Hypothèses!$V$16,Hypothèses!$X$16,IF(AN325&lt;=Hypothèses!$U$17,Hypothèses!$W$17,IF(AN325&lt;=Hypothèses!$U$18,Hypothèses!$W$18,""))))))))))))</f>
        <v>#DIV/0!</v>
      </c>
      <c r="BK325" s="95" t="e">
        <f t="shared" ca="1" si="477"/>
        <v>#DIV/0!</v>
      </c>
      <c r="BL325" s="101" t="e">
        <f t="shared" si="525"/>
        <v>#N/A</v>
      </c>
      <c r="BM325" s="91" t="e">
        <f t="shared" si="446"/>
        <v>#N/A</v>
      </c>
      <c r="BN325" s="30" t="e">
        <f t="shared" si="504"/>
        <v>#N/A</v>
      </c>
      <c r="BO325" s="30" t="e">
        <f t="shared" si="505"/>
        <v>#N/A</v>
      </c>
      <c r="BP325" s="31" t="e">
        <f>IF(OR(Hypothèses!$B$4=17,Hypothèses!$B$4=18,Hypothèses!$B$4=19,Hypothèses!$B$4=20),
IF($D325="Pressio.",
IF(OR($E325=3,$E325=1,$E325=4),BO325,BN325),
IF($D325="Pénétro.",
IF(OR($E325=3,$E325=1,$E325=4),BO325,BN325))),IF($D325="Pressio.",
IF($E325=3,BO325,BN325),
IF($D325="Pénétro.",
IF($E325=4,BO325,BN325))))</f>
        <v>#N/A</v>
      </c>
      <c r="BQ325" s="31" t="e">
        <f>(IF(OR(Hypothèses!$B$4=17,Hypothèses!$B$4=18,Hypothèses!$B$4=19,Hypothèses!$B$4=20),
IF($D325="Pressio.",
IF(OR($E325=3,$E325=1,$E325=4),(PI()*BQ$12^2)/4*(BM325*$W325*1000)/($H325*$B$5),(PI()*BQ$12^2)/4*(BM325*$W325*1000)/($G325*$B$5)),
IF($D325="Pénétro.",
IF(OR($E325=4,$E325=1,$E325=5),(PI()*BQ$12^2)/4*(BM325*$W325*1000)/($H325*$B$5),(PI()*BQ$12^2)/4*(BM325*$W325*1000)/($G325*$B$5)))),
IF($D325="Pressio.",
IF($E325=3,(PI()*BQ$12^2)/4*(BM325*$W325*1000)/($H325*$B$5),(PI()*BQ$12^2)/4*(BM325*$W325*1000)/($G325*$B$5)),
IF($D325="Pénétro.",
IF($E325=4,(PI()*BQ$12^2)/4*(BM325*$W325*1000)/($H325*$B$5),(PI()*BQ$12^2)/4*(BM325*$W325*1000)/($G325*$B$5))))))/10</f>
        <v>#N/A</v>
      </c>
      <c r="BR325" s="102" t="e">
        <f>(VLOOKUP($B$3,'Coeff EC7'!$T$39:$X$59,2,0)*BP325+VLOOKUP($B$3,'Coeff EC7'!$T$65:$X$85,2,0)*Model0.1C!BQ325)/1.1</f>
        <v>#N/A</v>
      </c>
      <c r="BS325" s="102" t="e">
        <f>(VLOOKUP($B$3,'Coeff EC7'!$T$39:$X$59,3,0)*BP325+VLOOKUP($B$3,'Coeff EC7'!$T$65:$X$85,3,0)*Model0.1C!BQ325)/0.9</f>
        <v>#N/A</v>
      </c>
      <c r="BT325" s="102" t="e">
        <f t="shared" si="478"/>
        <v>#N/A</v>
      </c>
      <c r="BU325" s="102" t="e">
        <f t="shared" si="479"/>
        <v>#N/A</v>
      </c>
      <c r="BV325" s="414" t="e">
        <f>IF(BV324=0,0,IF(AND(BR325&gt;charge_ELS_quasi,BS325&gt;Charge_ELS_freq,BT325&gt;charge_ELU,BU325&gt;charge_ELA,$B325&gt;NDC!$H$22-0.1+MIN(3*$BV$12,1.5)),0,1))</f>
        <v>#N/A</v>
      </c>
      <c r="BW325" s="86" t="b">
        <f t="shared" si="447"/>
        <v>0</v>
      </c>
      <c r="BX325" s="86">
        <f t="shared" si="448"/>
        <v>0.5</v>
      </c>
      <c r="BY325" s="86">
        <f t="shared" si="449"/>
        <v>0.5</v>
      </c>
      <c r="BZ325" s="30" t="e">
        <f t="shared" ca="1" si="480"/>
        <v>#DIV/0!</v>
      </c>
      <c r="CA325" s="85" t="e">
        <f ca="1">IF(BG325&lt;=Hypothèses!$V$7,Hypothèses!$W$7,IF(BG325&lt;=Hypothèses!$V$8,Hypothèses!$W$8,IF(BG325&lt;=Hypothèses!$V$9,Hypothèses!$W$9,IF(BG325&lt;=Hypothèses!$V$10,Hypothèses!$W$10,IF(BG325&lt;=Hypothèses!$V$11,Hypothèses!$W$11,IF(BG325&lt;=Hypothèses!$V$12,Hypothèses!$W$12,IF(BG325&lt;=Hypothèses!$V$13,Hypothèses!$W$13,IF(BG325&lt;=Hypothèses!$V$14,Hypothèses!$W$14,IF(BG325&lt;=Hypothèses!$V$15,Hypothèses!$W$15,IF(BG325&lt;=Hypothèses!$V$16,Hypothèses!$W$16,IF(BG325&lt;=Hypothèses!$V$17,Hypothèses!$W$17,IF(BG325&lt;=Hypothèses!$V$18,Hypothèses!$W$18,""))))))))))))</f>
        <v>#DIV/0!</v>
      </c>
      <c r="CB325" s="87" t="e">
        <f t="shared" ca="1" si="519"/>
        <v>#DIV/0!</v>
      </c>
      <c r="CC325" s="88" t="e">
        <f ca="1">IF(BG325&lt;=Hypothèses!$V$7,Hypothèses!$X$7,IF(BG325&lt;=Hypothèses!$V$8,Hypothèses!$X$8,IF(BG325&lt;=Hypothèses!$V$9,Hypothèses!$X$9,IF(BG325&lt;=Hypothèses!$V$10,Hypothèses!$X$10,IF(BG325&lt;=Hypothèses!$V$11,Hypothèses!$X$11,IF(BG325&lt;=Hypothèses!$V$12,Hypothèses!$X$12,IF(BG325&lt;=Hypothèses!$V$13,Hypothèses!$X$13,IF(BG325&lt;=Hypothèses!$V$14,Hypothèses!$X$14,IF(BG325&lt;=Hypothèses!$V$15,Hypothèses!$X$15,IF(BG325&lt;=Hypothèses!$V$16,Hypothèses!$X$16,IF(BG325&lt;=Hypothèses!$U$17,Hypothèses!$W$17,IF(BG325&lt;=Hypothèses!$U$18,Hypothèses!$W$18,""))))))))))))</f>
        <v>#DIV/0!</v>
      </c>
      <c r="CD325" s="95" t="e">
        <f t="shared" ca="1" si="481"/>
        <v>#DIV/0!</v>
      </c>
      <c r="CE325" s="101" t="e">
        <f t="shared" si="526"/>
        <v>#N/A</v>
      </c>
      <c r="CF325" s="91" t="e">
        <f t="shared" si="450"/>
        <v>#N/A</v>
      </c>
      <c r="CG325" s="30" t="e">
        <f t="shared" si="506"/>
        <v>#N/A</v>
      </c>
      <c r="CH325" s="30" t="e">
        <f t="shared" si="507"/>
        <v>#N/A</v>
      </c>
      <c r="CI325" s="31" t="e">
        <f>IF(OR(Hypothèses!$B$4=17,Hypothèses!$B$4=18,Hypothèses!$B$4=19,Hypothèses!$B$4=20),
IF($D325="Pressio.",
IF(OR($E325=3,$E325=1,$E325=4),CH325,CG325),
IF($D325="Pénétro.",
IF(OR($E325=3,$E325=1,$E325=4),CH325,CG325))),IF($D325="Pressio.",
IF($E325=3,CH325,CG325),
IF($D325="Pénétro.",
IF($E325=4,CH325,CG325))))</f>
        <v>#N/A</v>
      </c>
      <c r="CJ325" s="31" t="e">
        <f>(IF(OR(Hypothèses!$B$4=17,Hypothèses!$B$4=18,Hypothèses!$B$4=19,Hypothèses!$B$4=20),
IF($D325="Pressio.",
IF(OR($E325=3,$E325=1,$E325=4),(PI()*CJ$12^2)/4*(CF325*$W325*1000)/($H325*$B$5),(PI()*CJ$12^2)/4*(CF325*$W325*1000)/($G325*$B$5)),
IF($D325="Pénétro.",
IF(OR($E325=4,$E325=1,$E325=5),(PI()*CJ$12^2)/4*(CF325*$W325*1000)/($H325*$B$5),(PI()*CJ$12^2)/4*(CF325*$W325*1000)/($G325*$B$5)))),
IF($D325="Pressio.",
IF($E325=3,(PI()*CJ$12^2)/4*(CF325*$W325*1000)/($H325*$B$5),(PI()*CJ$12^2)/4*(CF325*$W325*1000)/($G325*$B$5)),
IF($D325="Pénétro.",
IF($E325=4,(PI()*CJ$12^2)/4*(CF325*$W325*1000)/($H325*$B$5),(PI()*CJ$12^2)/4*(CF325*$W325*1000)/($G325*$B$5))))))/10</f>
        <v>#N/A</v>
      </c>
      <c r="CK325" s="102" t="e">
        <f>(VLOOKUP($B$3,'Coeff EC7'!$T$39:$X$59,2,0)*CI325+VLOOKUP($B$3,'Coeff EC7'!$T$65:$X$85,2,0)*Model0.1C!CJ325)/1.1</f>
        <v>#N/A</v>
      </c>
      <c r="CL325" s="102" t="e">
        <f>(VLOOKUP($B$3,'Coeff EC7'!$T$39:$X$59,3,0)*CI325+VLOOKUP($B$3,'Coeff EC7'!$T$65:$X$85,3,0)*Model0.1C!CJ325)/0.9</f>
        <v>#N/A</v>
      </c>
      <c r="CM325" s="102" t="e">
        <f t="shared" si="482"/>
        <v>#N/A</v>
      </c>
      <c r="CN325" s="102" t="e">
        <f t="shared" si="483"/>
        <v>#N/A</v>
      </c>
      <c r="CO325" s="414" t="e">
        <f>IF(CO324=0,0,IF(AND(CK325&gt;charge_ELS_quasi,CL325&gt;Charge_ELS_freq,CM325&gt;charge_ELU,CN325&gt;charge_ELA,$B325&gt;NDC!$H$22-0.1+MIN(3*$CO$12,1.5)),0,1))</f>
        <v>#N/A</v>
      </c>
      <c r="CP325" s="86" t="b">
        <f t="shared" si="451"/>
        <v>0</v>
      </c>
      <c r="CQ325" s="86">
        <f t="shared" si="452"/>
        <v>0.5</v>
      </c>
      <c r="CR325" s="86">
        <f t="shared" si="453"/>
        <v>0.5</v>
      </c>
      <c r="CS325" s="30" t="e">
        <f t="shared" ca="1" si="484"/>
        <v>#DIV/0!</v>
      </c>
      <c r="CT325" s="85" t="e">
        <f ca="1">IF(BZ325&lt;=Hypothèses!$V$7,Hypothèses!$W$7,IF(BZ325&lt;=Hypothèses!$V$8,Hypothèses!$W$8,IF(BZ325&lt;=Hypothèses!$V$9,Hypothèses!$W$9,IF(BZ325&lt;=Hypothèses!$V$10,Hypothèses!$W$10,IF(BZ325&lt;=Hypothèses!$V$11,Hypothèses!$W$11,IF(BZ325&lt;=Hypothèses!$V$12,Hypothèses!$W$12,IF(BZ325&lt;=Hypothèses!$V$13,Hypothèses!$W$13,IF(BZ325&lt;=Hypothèses!$V$14,Hypothèses!$W$14,IF(BZ325&lt;=Hypothèses!$V$15,Hypothèses!$W$15,IF(BZ325&lt;=Hypothèses!$V$16,Hypothèses!$W$16,IF(BZ325&lt;=Hypothèses!$V$17,Hypothèses!$W$17,IF(BZ325&lt;=Hypothèses!$V$18,Hypothèses!$W$18,""))))))))))))</f>
        <v>#DIV/0!</v>
      </c>
      <c r="CU325" s="87" t="e">
        <f t="shared" ca="1" si="520"/>
        <v>#DIV/0!</v>
      </c>
      <c r="CV325" s="88" t="e">
        <f ca="1">IF(BZ325&lt;=Hypothèses!$V$7,Hypothèses!$X$7,IF(BZ325&lt;=Hypothèses!$V$8,Hypothèses!$X$8,IF(BZ325&lt;=Hypothèses!$V$9,Hypothèses!$X$9,IF(BZ325&lt;=Hypothèses!$V$10,Hypothèses!$X$10,IF(BZ325&lt;=Hypothèses!$V$11,Hypothèses!$X$11,IF(BZ325&lt;=Hypothèses!$V$12,Hypothèses!$X$12,IF(BZ325&lt;=Hypothèses!$V$13,Hypothèses!$X$13,IF(BZ325&lt;=Hypothèses!$V$14,Hypothèses!$X$14,IF(BZ325&lt;=Hypothèses!$V$15,Hypothèses!$X$15,IF(BZ325&lt;=Hypothèses!$V$16,Hypothèses!$X$16,IF(BZ325&lt;=Hypothèses!$U$17,Hypothèses!$W$17,IF(BZ325&lt;=Hypothèses!$U$18,Hypothèses!$W$18,""))))))))))))</f>
        <v>#DIV/0!</v>
      </c>
      <c r="CW325" s="95" t="e">
        <f t="shared" ca="1" si="485"/>
        <v>#DIV/0!</v>
      </c>
      <c r="CX325" s="101" t="e">
        <f t="shared" si="527"/>
        <v>#N/A</v>
      </c>
      <c r="CY325" s="91" t="e">
        <f t="shared" si="454"/>
        <v>#N/A</v>
      </c>
      <c r="CZ325" s="30" t="e">
        <f t="shared" si="508"/>
        <v>#N/A</v>
      </c>
      <c r="DA325" s="30" t="e">
        <f t="shared" si="509"/>
        <v>#N/A</v>
      </c>
      <c r="DB325" s="31" t="e">
        <f>IF(OR(Hypothèses!$B$4=17,Hypothèses!$B$4=18,Hypothèses!$B$4=19,Hypothèses!$B$4=20),
IF($D325="Pressio.",
IF(OR($E325=3,$E325=1,$E325=4),DA325,CZ325),
IF($D325="Pénétro.",
IF(OR($E325=3,$E325=1,$E325=4),DA325,CZ325))),IF($D325="Pressio.",
IF($E325=3,DA325,CZ325),
IF($D325="Pénétro.",
IF($E325=4,DA325,CZ325))))</f>
        <v>#N/A</v>
      </c>
      <c r="DC325" s="31" t="e">
        <f>(IF(OR(Hypothèses!$B$4=17,Hypothèses!$B$4=18,Hypothèses!$B$4=19,Hypothèses!$B$4=20),
IF($D325="Pressio.",
IF(OR($E325=3,$E325=1,$E325=4),(PI()*DC$12^2)/4*(CY325*$W325*1000)/($H325*$B$5),(PI()*DC$12^2)/4*(CY325*$W325*1000)/($G325*$B$5)),
IF($D325="Pénétro.",
IF(OR($E325=4,$E325=1,$E325=5),(PI()*DC$12^2)/4*(CY325*$W325*1000)/($H325*$B$5),(PI()*DC$12^2)/4*(CY325*$W325*1000)/($G325*$B$5)))),
IF($D325="Pressio.",
IF($E325=3,(PI()*DC$12^2)/4*(CY325*$W325*1000)/($H325*$B$5),(PI()*DC$12^2)/4*(CY325*$W325*1000)/($G325*$B$5)),
IF($D325="Pénétro.",
IF($E325=4,(PI()*DC$12^2)/4*(CY325*$W325*1000)/($H325*$B$5),(PI()*DC$12^2)/4*(CY325*$W325*1000)/($G325*$B$5))))))/10</f>
        <v>#N/A</v>
      </c>
      <c r="DD325" s="102" t="e">
        <f>(VLOOKUP($B$3,'Coeff EC7'!$T$39:$X$59,2,0)*DB325+VLOOKUP($B$3,'Coeff EC7'!$T$65:$X$85,2,0)*Model0.1C!DC325)/1.1</f>
        <v>#N/A</v>
      </c>
      <c r="DE325" s="102" t="e">
        <f>(VLOOKUP($B$3,'Coeff EC7'!$T$39:$X$59,3,0)*DB325+VLOOKUP($B$3,'Coeff EC7'!$T$65:$X$85,3,0)*Model0.1C!DC325)/0.9</f>
        <v>#N/A</v>
      </c>
      <c r="DF325" s="102" t="e">
        <f t="shared" si="486"/>
        <v>#N/A</v>
      </c>
      <c r="DG325" s="102" t="e">
        <f t="shared" si="487"/>
        <v>#N/A</v>
      </c>
      <c r="DH325" s="414" t="e">
        <f>IF(DH324=0,0,IF(AND(DD325&gt;charge_ELS_quasi,DE325&gt;Charge_ELS_freq,DF325&gt;charge_ELU,DG325&gt;charge_ELA,$B325&gt;NDC!$H$22-0.1+MIN(3*$DH$12,1.5)),0,1))</f>
        <v>#N/A</v>
      </c>
      <c r="DI325" s="86" t="b">
        <f t="shared" si="455"/>
        <v>0</v>
      </c>
      <c r="DJ325" s="86">
        <f t="shared" si="456"/>
        <v>0.5</v>
      </c>
      <c r="DK325" s="86">
        <f t="shared" si="457"/>
        <v>0.5</v>
      </c>
      <c r="DL325" s="30" t="e">
        <f t="shared" ca="1" si="488"/>
        <v>#DIV/0!</v>
      </c>
      <c r="DM325" s="85" t="e">
        <f ca="1">IF(CS325&lt;=Hypothèses!$V$7,Hypothèses!$W$7,IF(CS325&lt;=Hypothèses!$V$8,Hypothèses!$W$8,IF(CS325&lt;=Hypothèses!$V$9,Hypothèses!$W$9,IF(CS325&lt;=Hypothèses!$V$10,Hypothèses!$W$10,IF(CS325&lt;=Hypothèses!$V$11,Hypothèses!$W$11,IF(CS325&lt;=Hypothèses!$V$12,Hypothèses!$W$12,IF(CS325&lt;=Hypothèses!$V$13,Hypothèses!$W$13,IF(CS325&lt;=Hypothèses!$V$14,Hypothèses!$W$14,IF(CS325&lt;=Hypothèses!$V$15,Hypothèses!$W$15,IF(CS325&lt;=Hypothèses!$V$16,Hypothèses!$W$16,IF(CS325&lt;=Hypothèses!$V$17,Hypothèses!$W$17,IF(CS325&lt;=Hypothèses!$V$18,Hypothèses!$W$18,""))))))))))))</f>
        <v>#DIV/0!</v>
      </c>
      <c r="DN325" s="87" t="e">
        <f t="shared" ca="1" si="521"/>
        <v>#DIV/0!</v>
      </c>
      <c r="DO325" s="88" t="e">
        <f ca="1">IF(CS325&lt;=Hypothèses!$V$7,Hypothèses!$X$7,IF(CS325&lt;=Hypothèses!$V$8,Hypothèses!$X$8,IF(CS325&lt;=Hypothèses!$V$9,Hypothèses!$X$9,IF(CS325&lt;=Hypothèses!$V$10,Hypothèses!$X$10,IF(CS325&lt;=Hypothèses!$V$11,Hypothèses!$X$11,IF(CS325&lt;=Hypothèses!$V$12,Hypothèses!$X$12,IF(CS325&lt;=Hypothèses!$V$13,Hypothèses!$X$13,IF(CS325&lt;=Hypothèses!$V$14,Hypothèses!$X$14,IF(CS325&lt;=Hypothèses!$V$15,Hypothèses!$X$15,IF(CS325&lt;=Hypothèses!$V$16,Hypothèses!$X$16,IF(CS325&lt;=Hypothèses!$U$17,Hypothèses!$W$17,IF(CS325&lt;=Hypothèses!$U$18,Hypothèses!$W$18,""))))))))))))</f>
        <v>#DIV/0!</v>
      </c>
      <c r="DP325" s="95" t="e">
        <f t="shared" ca="1" si="489"/>
        <v>#DIV/0!</v>
      </c>
      <c r="DQ325" s="101" t="e">
        <f t="shared" si="528"/>
        <v>#N/A</v>
      </c>
      <c r="DR325" s="91" t="e">
        <f t="shared" si="458"/>
        <v>#N/A</v>
      </c>
      <c r="DS325" s="30" t="e">
        <f t="shared" si="510"/>
        <v>#N/A</v>
      </c>
      <c r="DT325" s="30" t="e">
        <f t="shared" si="511"/>
        <v>#N/A</v>
      </c>
      <c r="DU325" s="31" t="e">
        <f>IF(OR(Hypothèses!$B$4=17,Hypothèses!$B$4=18,Hypothèses!$B$4=19,Hypothèses!$B$4=20),
IF($D325="Pressio.",
IF(OR($E325=3,$E325=1,$E325=4),DT325,DS325),
IF($D325="Pénétro.",
IF(OR($E325=3,$E325=1,$E325=4),DT325,DS325))),IF($D325="Pressio.",
IF($E325=3,DT325,DS325),
IF($D325="Pénétro.",
IF($E325=4,DT325,DS325))))</f>
        <v>#N/A</v>
      </c>
      <c r="DV325" s="31" t="e">
        <f>(IF(OR(Hypothèses!$B$4=17,Hypothèses!$B$4=18,Hypothèses!$B$4=19,Hypothèses!$B$4=20),
IF($D325="Pressio.",
IF(OR($E325=3,$E325=1,$E325=4),(PI()*DV$12^2)/4*(DR325*$W325*1000)/($H325*$B$5),(PI()*DV$12^2)/4*(DR325*$W325*1000)/($G325*$B$5)),
IF($D325="Pénétro.",
IF(OR($E325=4,$E325=1,$E325=5),(PI()*DV$12^2)/4*(DR325*$W325*1000)/($H325*$B$5),(PI()*DV$12^2)/4*(DR325*$W325*1000)/($G325*$B$5)))),
IF($D325="Pressio.",
IF($E325=3,(PI()*DV$12^2)/4*(DR325*$W325*1000)/($H325*$B$5),(PI()*DV$12^2)/4*(DR325*$W325*1000)/($G325*$B$5)),
IF($D325="Pénétro.",
IF($E325=4,(PI()*DV$12^2)/4*(DR325*$W325*1000)/($H325*$B$5),(PI()*DV$12^2)/4*(DR325*$W325*1000)/($G325*$B$5))))))/10</f>
        <v>#N/A</v>
      </c>
      <c r="DW325" s="102" t="e">
        <f>(VLOOKUP($B$3,'Coeff EC7'!$T$39:$X$59,2,0)*DU325+VLOOKUP($B$3,'Coeff EC7'!$T$65:$X$85,2,0)*Model0.1C!DV325)/1.1</f>
        <v>#N/A</v>
      </c>
      <c r="DX325" s="102" t="e">
        <f>(VLOOKUP($B$3,'Coeff EC7'!$T$39:$X$59,3,0)*DU325+VLOOKUP($B$3,'Coeff EC7'!$T$65:$X$85,3,0)*Model0.1C!DV325)/0.9</f>
        <v>#N/A</v>
      </c>
      <c r="DY325" s="102" t="e">
        <f t="shared" si="490"/>
        <v>#N/A</v>
      </c>
      <c r="DZ325" s="102" t="e">
        <f t="shared" si="491"/>
        <v>#N/A</v>
      </c>
      <c r="EA325" s="414" t="e">
        <f>IF(EA324=0,0,IF(AND(DW325&gt;charge_ELS_quasi,DX325&gt;Charge_ELS_freq,DY325&gt;charge_ELU,DZ325&gt;charge_ELA,$B325&gt;NDC!$H$22-0.1+MIN(3*$EA$12,1.5)),0,1))</f>
        <v>#N/A</v>
      </c>
      <c r="EB325" s="86" t="b">
        <f t="shared" si="459"/>
        <v>0</v>
      </c>
      <c r="EC325" s="418">
        <f t="shared" si="460"/>
        <v>0.51</v>
      </c>
      <c r="ED325" s="86">
        <f t="shared" si="461"/>
        <v>0.51</v>
      </c>
      <c r="EE325" s="30" t="e">
        <f t="shared" ca="1" si="492"/>
        <v>#DIV/0!</v>
      </c>
      <c r="EF325" s="85" t="e">
        <f ca="1">IF(DL325&lt;=Hypothèses!$V$7,Hypothèses!$W$7,IF(DL325&lt;=Hypothèses!$V$8,Hypothèses!$W$8,IF(DL325&lt;=Hypothèses!$V$9,Hypothèses!$W$9,IF(DL325&lt;=Hypothèses!$V$10,Hypothèses!$W$10,IF(DL325&lt;=Hypothèses!$V$11,Hypothèses!$W$11,IF(DL325&lt;=Hypothèses!$V$12,Hypothèses!$W$12,IF(DL325&lt;=Hypothèses!$V$13,Hypothèses!$W$13,IF(DL325&lt;=Hypothèses!$V$14,Hypothèses!$W$14,IF(DL325&lt;=Hypothèses!$V$15,Hypothèses!$W$15,IF(DL325&lt;=Hypothèses!$V$16,Hypothèses!$W$16,IF(DL325&lt;=Hypothèses!$V$17,Hypothèses!$W$17,IF(DL325&lt;=Hypothèses!$V$18,Hypothèses!$W$18,""))))))))))))</f>
        <v>#DIV/0!</v>
      </c>
      <c r="EG325" s="87" t="e">
        <f t="shared" ca="1" si="522"/>
        <v>#DIV/0!</v>
      </c>
      <c r="EH325" s="88" t="e">
        <f ca="1">IF(DL325&lt;=Hypothèses!$V$7,Hypothèses!$X$7,IF(DL325&lt;=Hypothèses!$V$8,Hypothèses!$X$8,IF(DL325&lt;=Hypothèses!$V$9,Hypothèses!$X$9,IF(DL325&lt;=Hypothèses!$V$10,Hypothèses!$X$10,IF(DL325&lt;=Hypothèses!$V$11,Hypothèses!$X$11,IF(DL325&lt;=Hypothèses!$V$12,Hypothèses!$X$12,IF(DL325&lt;=Hypothèses!$V$13,Hypothèses!$X$13,IF(DL325&lt;=Hypothèses!$V$14,Hypothèses!$X$14,IF(DL325&lt;=Hypothèses!$V$15,Hypothèses!$X$15,IF(DL325&lt;=Hypothèses!$V$16,Hypothèses!$X$16,IF(DL325&lt;=Hypothèses!$U$17,Hypothèses!$W$17,IF(DL325&lt;=Hypothèses!$U$18,Hypothèses!$W$18,""))))))))))))</f>
        <v>#DIV/0!</v>
      </c>
      <c r="EI325" s="95" t="e">
        <f t="shared" ca="1" si="493"/>
        <v>#DIV/0!</v>
      </c>
      <c r="EJ325" s="101" t="e">
        <f t="shared" si="529"/>
        <v>#N/A</v>
      </c>
      <c r="EK325" s="91" t="e">
        <f t="shared" si="462"/>
        <v>#N/A</v>
      </c>
      <c r="EL325" s="30" t="e">
        <f t="shared" si="512"/>
        <v>#N/A</v>
      </c>
      <c r="EM325" s="30" t="e">
        <f t="shared" si="513"/>
        <v>#N/A</v>
      </c>
      <c r="EN325" s="31" t="e">
        <f>IF(OR(Hypothèses!$B$4=17,Hypothèses!$B$4=18,Hypothèses!$B$4=19,Hypothèses!$B$4=20),
IF($D325="Pressio.",
IF(OR($E325=3,$E325=1,$E325=4),EM325,EL325),
IF($D325="Pénétro.",
IF(OR($E325=3,$E325=1,$E325=4),EM325,EL325))),IF($D325="Pressio.",
IF($E325=3,EM325,EL325),
IF($D325="Pénétro.",
IF($E325=4,EM325,EL325))))</f>
        <v>#N/A</v>
      </c>
      <c r="EO325" s="31" t="e">
        <f>(IF(OR(Hypothèses!$B$4=17,Hypothèses!$B$4=18,Hypothèses!$B$4=19,Hypothèses!$B$4=20),
IF($D325="Pressio.",
IF(OR($E325=3,$E325=1,$E325=4),(PI()*EO$12^2)/4*(EK325*$W325*1000)/($H325*$B$5),(PI()*EO$12^2)/4*(EK325*$W325*1000)/($G325*$B$5)),
IF($D325="Pénétro.",
IF(OR($E325=4,$E325=1,$E325=5),(PI()*EO$12^2)/4*(EK325*$W325*1000)/($H325*$B$5),(PI()*EO$12^2)/4*(EK325*$W325*1000)/($G325*$B$5)))),
IF($D325="Pressio.",
IF($E325=3,(PI()*EO$12^2)/4*(EK325*$W325*1000)/($H325*$B$5),(PI()*EO$12^2)/4*(EK325*$W325*1000)/($G325*$B$5)),
IF($D325="Pénétro.",
IF($E325=4,(PI()*EO$12^2)/4*(EK325*$W325*1000)/($H325*$B$5),(PI()*EO$12^2)/4*(EK325*$W325*1000)/($G325*$B$5))))))/10</f>
        <v>#N/A</v>
      </c>
      <c r="EP325" s="102" t="e">
        <f>(VLOOKUP($B$3,'Coeff EC7'!$T$39:$X$59,2,0)*EN325+VLOOKUP($B$3,'Coeff EC7'!$T$65:$X$85,2,0)*Model0.1C!EO325)/1.1</f>
        <v>#N/A</v>
      </c>
      <c r="EQ325" s="102" t="e">
        <f>(VLOOKUP($B$3,'Coeff EC7'!$T$39:$X$59,3,0)*EN325+VLOOKUP($B$3,'Coeff EC7'!$T$65:$X$85,3,0)*Model0.1C!EO325)/0.9</f>
        <v>#N/A</v>
      </c>
      <c r="ER325" s="102" t="e">
        <f t="shared" si="494"/>
        <v>#N/A</v>
      </c>
      <c r="ES325" s="102" t="e">
        <f t="shared" si="495"/>
        <v>#N/A</v>
      </c>
      <c r="ET325" s="414" t="e">
        <f>IF(ET324=0,0,IF(AND(EP325&gt;charge_ELS_quasi,EQ325&gt;Charge_ELS_freq,ER325&gt;charge_ELU,ES325&gt;charge_ELA,$B325&gt;NDC!$H$22-0.1+MIN(3*$ET$12,1.5)),0,1))</f>
        <v>#N/A</v>
      </c>
      <c r="EU325" s="86" t="b">
        <f t="shared" si="463"/>
        <v>0</v>
      </c>
      <c r="EV325" s="86">
        <f t="shared" si="464"/>
        <v>0.61</v>
      </c>
      <c r="EW325" s="86">
        <f t="shared" si="465"/>
        <v>0.61</v>
      </c>
      <c r="EX325" s="30" t="e">
        <f t="shared" ca="1" si="496"/>
        <v>#DIV/0!</v>
      </c>
      <c r="EY325" s="85" t="e">
        <f ca="1">IF(EE325&lt;=Hypothèses!$V$7,Hypothèses!$W$7,IF(EE325&lt;=Hypothèses!$V$8,Hypothèses!$W$8,IF(EE325&lt;=Hypothèses!$V$9,Hypothèses!$W$9,IF(EE325&lt;=Hypothèses!$V$10,Hypothèses!$W$10,IF(EE325&lt;=Hypothèses!$V$11,Hypothèses!$W$11,IF(EE325&lt;=Hypothèses!$V$12,Hypothèses!$W$12,IF(EE325&lt;=Hypothèses!$V$13,Hypothèses!$W$13,IF(EE325&lt;=Hypothèses!$V$14,Hypothèses!$W$14,IF(EE325&lt;=Hypothèses!$V$15,Hypothèses!$W$15,IF(EE325&lt;=Hypothèses!$V$16,Hypothèses!$W$16,IF(EE325&lt;=Hypothèses!$V$17,Hypothèses!$W$17,IF(EE325&lt;=Hypothèses!$V$18,Hypothèses!$W$18,""))))))))))))</f>
        <v>#DIV/0!</v>
      </c>
      <c r="EZ325" s="87" t="e">
        <f t="shared" ca="1" si="523"/>
        <v>#DIV/0!</v>
      </c>
      <c r="FA325" s="88" t="e">
        <f ca="1">IF(EE325&lt;=Hypothèses!$V$7,Hypothèses!$X$7,IF(EE325&lt;=Hypothèses!$V$8,Hypothèses!$X$8,IF(EE325&lt;=Hypothèses!$V$9,Hypothèses!$X$9,IF(EE325&lt;=Hypothèses!$V$10,Hypothèses!$X$10,IF(EE325&lt;=Hypothèses!$V$11,Hypothèses!$X$11,IF(EE325&lt;=Hypothèses!$V$12,Hypothèses!$X$12,IF(EE325&lt;=Hypothèses!$V$13,Hypothèses!$X$13,IF(EE325&lt;=Hypothèses!$V$14,Hypothèses!$X$14,IF(EE325&lt;=Hypothèses!$V$15,Hypothèses!$X$15,IF(EE325&lt;=Hypothèses!$V$16,Hypothèses!$X$16,IF(EE325&lt;=Hypothèses!$U$17,Hypothèses!$W$17,IF(EE325&lt;=Hypothèses!$U$18,Hypothèses!$W$18,""))))))))))))</f>
        <v>#DIV/0!</v>
      </c>
      <c r="FB325" s="95" t="e">
        <f t="shared" ca="1" si="497"/>
        <v>#DIV/0!</v>
      </c>
      <c r="FC325" s="101" t="e">
        <f t="shared" si="530"/>
        <v>#N/A</v>
      </c>
      <c r="FD325" s="91" t="e">
        <f t="shared" si="466"/>
        <v>#N/A</v>
      </c>
      <c r="FE325" s="30" t="e">
        <f t="shared" si="514"/>
        <v>#N/A</v>
      </c>
      <c r="FF325" s="30" t="e">
        <f t="shared" si="515"/>
        <v>#N/A</v>
      </c>
      <c r="FG325" s="31" t="e">
        <f>IF(OR(Hypothèses!$B$4=17,Hypothèses!$B$4=18,Hypothèses!$B$4=19,Hypothèses!$B$4=20),
IF($D325="Pressio.",
IF(OR($E325=3,$E325=1,$E325=4),FF325,FE325),
IF($D325="Pénétro.",
IF(OR($E325=3,$E325=1,$E325=4),FF325,FE325))),IF($D325="Pressio.",
IF($E325=3,FF325,FE325),
IF($D325="Pénétro.",
IF($E325=4,FF325,FE325))))</f>
        <v>#N/A</v>
      </c>
      <c r="FH325" s="31" t="e">
        <f>(IF(OR(Hypothèses!$B$4=17,Hypothèses!$B$4=18,Hypothèses!$B$4=19,Hypothèses!$B$4=20),
IF($D325="Pressio.",
IF(OR($E325=3,$E325=1,$E325=4),(PI()*FH$12^2)/4*(FD325*$W325*1000)/($H325*$B$5),(PI()*FH$12^2)/4*(FD325*$W325*1000)/($G325*$B$5)),
IF($D325="Pénétro.",
IF(OR($E325=4,$E325=1,$E325=5),(PI()*FH$12^2)/4*(FD325*$W325*1000)/($H325*$B$5),(PI()*FH$12^2)/4*(FD325*$W325*1000)/($G325*$B$5)))),
IF($D325="Pressio.",
IF($E325=3,(PI()*FH$12^2)/4*(FD325*$W325*1000)/($H325*$B$5),(PI()*FH$12^2)/4*(FD325*$W325*1000)/($G325*$B$5)),
IF($D325="Pénétro.",
IF($E325=4,(PI()*FH$12^2)/4*(FD325*$W325*1000)/($H325*$B$5),(PI()*FH$12^2)/4*(FD325*$W325*1000)/($G325*$B$5))))))/10</f>
        <v>#N/A</v>
      </c>
      <c r="FI325" s="102" t="e">
        <f>(VLOOKUP($B$3,'Coeff EC7'!$T$39:$X$59,2,0)*FG325+VLOOKUP($B$3,'Coeff EC7'!$T$65:$X$85,2,0)*Model0.1C!FH325)/1.1</f>
        <v>#N/A</v>
      </c>
      <c r="FJ325" s="102" t="e">
        <f>(VLOOKUP($B$3,'Coeff EC7'!$T$39:$X$59,3,0)*FG325+VLOOKUP($B$3,'Coeff EC7'!$T$65:$X$85,3,0)*Model0.1C!FH325)/0.9</f>
        <v>#N/A</v>
      </c>
      <c r="FK325" s="102" t="e">
        <f t="shared" si="498"/>
        <v>#N/A</v>
      </c>
      <c r="FL325" s="102" t="e">
        <f t="shared" si="499"/>
        <v>#N/A</v>
      </c>
      <c r="FM325" s="414" t="e">
        <f>IF(FM324=0,0,IF(AND(FI325&gt;charge_ELS_quasi,FJ325&gt;Charge_ELS_freq,FK325&gt;charge_ELU,FL325&gt;charge_ELA,$B325&gt;NDC!$H$22-0.1+MIN(3*$FM$12,1.5)),0,1))</f>
        <v>#N/A</v>
      </c>
    </row>
    <row r="326" spans="1:169">
      <c r="A326" s="96">
        <f t="shared" si="467"/>
        <v>68.700000000001779</v>
      </c>
      <c r="B326" s="97">
        <v>31.3</v>
      </c>
      <c r="C326" s="81">
        <f>IF(B326&lt;=Hypothèses!$C$7,Hypothèses!$A$7,IF(B326&lt;=Hypothèses!$C$8,Hypothèses!$A$8,IF(B326&lt;=Hypothèses!$C$9,Hypothèses!$A$9,IF(B326&lt;=Hypothèses!$C$10,Hypothèses!$A$10,IF(B326&lt;=Hypothèses!$C$11,Hypothèses!$A$11,IF(B326&lt;=Hypothèses!$C$12,Hypothèses!$A$12,IF(B326&lt;=Hypothèses!$C$13,Hypothèses!$A$13,IF(B326&lt;=Hypothèses!$C$14,Hypothèses!$A$14,IF(B326&lt;=Hypothèses!$C$15,Hypothèses!$A$15,IF(B326&lt;=Hypothèses!$C$16,Hypothèses!$A$16,IF(B326&lt;=Hypothèses!$C$17,Hypothèses!$A$17,IF(B326&lt;=Hypothèses!$C$18,Hypothèses!$A$18,C325))))))))))))</f>
        <v>11</v>
      </c>
      <c r="D326" s="82" t="str">
        <f>IF(B326&lt;=Hypothèses!$C$7,Hypothèses!$R$7,IF(B326&lt;=Hypothèses!$C$8,Hypothèses!$R$8,IF(B326&lt;=Hypothèses!$C$9,Hypothèses!$R$9,IF(B326&lt;=Hypothèses!$C$10,Hypothèses!$R$10,IF(B326&lt;=Hypothèses!$C$11,Hypothèses!$R$11,IF(B326&lt;=Hypothèses!$C$12,Hypothèses!$R$12,IF(B326&lt;=Hypothèses!$C$13,Hypothèses!$R$13,IF(B326&lt;=Hypothèses!$C$14,Hypothèses!$R$14,IF(B326&lt;=Hypothèses!$C$15,Hypothèses!$R$15,IF(B326&lt;=Hypothèses!$C$16,Hypothèses!$R$16,IF(B326&lt;=Hypothèses!$C$17,Hypothèses!$R$17,IF(B326&lt;=Hypothèses!$C$18,Hypothèses!$R$18,D325))))))))))))</f>
        <v>Pressio.</v>
      </c>
      <c r="E326" s="82" t="e">
        <f>IF(B326&lt;=Hypothèses!$C$7,Hypothèses!$G$7,IF(B326&lt;=Hypothèses!$C$8,Hypothèses!$G$8,IF(B326&lt;=Hypothèses!$C$9,Hypothèses!$G$9,IF(B326&lt;=Hypothèses!$C$10,Hypothèses!$G$10,IF(B326&lt;=Hypothèses!$C$11,Hypothèses!$G$11,IF(B326&lt;=Hypothèses!$C$12,Hypothèses!$G$12,IF(B326&lt;=Hypothèses!$C$13,Hypothèses!$G$13,IF(B326&lt;=Hypothèses!$C$14,Hypothèses!$G$14,IF(B326&lt;=Hypothèses!$C$15,Hypothèses!$G$15,IF(B326&lt;=Hypothèses!$C$16,Hypothèses!$G$16,IF(B326&lt;=Hypothèses!$C$17,Hypothèses!$G$17,IF(B326&lt;=Hypothèses!$C$18,Hypothèses!$G$18,E325))))))))))))</f>
        <v>#N/A</v>
      </c>
      <c r="F326" s="82" t="str">
        <f>IF(B326&lt;=Hypothèses!$C$7,Hypothèses!$F$7,IF(B326&lt;=Hypothèses!$C$8,Hypothèses!$F$8,IF(B326&lt;=Hypothèses!$C$9,Hypothèses!$F$9,IF(B326&lt;=Hypothèses!$C$10,Hypothèses!$F$10,IF(B326&lt;=Hypothèses!$C$11,Hypothèses!$F$11,IF(B326&lt;=Hypothèses!$C$12,Hypothèses!$F$12,IF(B326&lt;=Hypothèses!$C$13,Hypothèses!$F$13,IF(B326&lt;=Hypothèses!$C$14,Hypothèses!$F$14,IF(B326&lt;=Hypothèses!$C$15,Hypothèses!$F$15,IF(B326&lt;=Hypothèses!$C$16,Hypothèses!$F$16,IF(B326&lt;=Hypothèses!$C$17,Hypothèses!$F$17,IF(B326&lt;=Hypothèses!$C$18,Hypothèses!$F$18,F325))))))))))))</f>
        <v/>
      </c>
      <c r="G326" s="91">
        <f t="array" ref="G326">INDEX('Coeff EC7'!$U$7:$X$27,
MATCH(Model0.1C!$B$3,'Coeff EC7'!$T$7:$T$27,0),
MATCH(Model0.1C!$D326&amp;Model0.1C!$B$4,
'Coeff EC7'!$U$6:$X$6&amp;
'Coeff EC7'!$U$5:$X$5,0))</f>
        <v>1.1499999999999999</v>
      </c>
      <c r="H326" s="91">
        <f t="array" ref="H326">INDEX('Coeff EC7'!$Y$7:$AB$27,
MATCH(Model0.1C!$B$3,'Coeff EC7'!$T$7:$T$27,0),
MATCH(Model0.1C!$D326&amp;Model0.1C!$B$4,
'Coeff EC7'!$Y$6:$AB$6&amp;
'Coeff EC7'!$Y$5:$AB$5,0))</f>
        <v>1.4</v>
      </c>
      <c r="I326" s="83" t="e">
        <f>IF(B326&lt;=Hypothèses!$C$7,Hypothèses!$P$7,IF(B326&lt;=Hypothèses!$C$8,Hypothèses!$P$8,IF(B326&lt;=Hypothèses!$C$9,Hypothèses!$P$9,IF(B326&lt;=Hypothèses!$C$10,Hypothèses!$P$10,IF(B326&lt;=Hypothèses!$C$11,Hypothèses!$P$11,IF(B326&lt;=Hypothèses!$C$12,Hypothèses!$P$12,IF(B326&lt;=Hypothèses!$C$13,Hypothèses!$P$13,IF(B326&lt;=Hypothèses!$C$14,Hypothèses!$P$14,IF(B326&lt;=Hypothèses!$C$15,Hypothèses!$P$15,IF(B326&lt;=Hypothèses!$C$16,Hypothèses!$P$16,IF(B326&lt;=Hypothèses!$C$17,Hypothèses!$P$17,IF(B326&lt;=Hypothèses!$C$18,Hypothèses!$P$18,I325))))))))))))</f>
        <v>#N/A</v>
      </c>
      <c r="J326" s="91" t="e">
        <f t="array" ref="J326">INDEX('Coeff EC7'!$D$33:$Q$33,1,MATCH(D326&amp;E326,'Coeff EC7'!$D$31:$Q$31&amp;'Coeff EC7'!$D$32:$Q$32,0))</f>
        <v>#N/A</v>
      </c>
      <c r="K326" s="91" t="e">
        <f t="array" ref="K326">INDEX('Coeff EC7'!$D$34:$Q$34,1,MATCH(D326&amp;E326,'Coeff EC7'!$D$31:$Q$31&amp;'Coeff EC7'!$D$32:$Q$32,0))</f>
        <v>#N/A</v>
      </c>
      <c r="L326" s="91" t="e">
        <f t="array" ref="L326">INDEX('Coeff EC7'!$D$35:$Q$35,1,MATCH(D326&amp;E326,'Coeff EC7'!$D$31:$Q$31&amp;'Coeff EC7'!$D$32:$Q$32,0))</f>
        <v>#N/A</v>
      </c>
      <c r="M326" s="98" t="e">
        <f t="shared" si="431"/>
        <v>#N/A</v>
      </c>
      <c r="N326" s="99" t="e">
        <f t="array" ref="N326">INDEX('Coeff EC7'!$D$7:$Q$27,MATCH($B$3,'Coeff EC7'!$C$7:$C$27,0),MATCH(D326&amp;E326,'Coeff EC7'!$D$5:$Q$5&amp;'Coeff EC7'!$D$6:$Q$6,0))</f>
        <v>#N/A</v>
      </c>
      <c r="O326" s="99" t="e">
        <f t="array" ref="O326">INDEX('Coeff EC7'!$D$41:$Q$61,MATCH($B$3,'Coeff EC7'!$C$41:$C$61,0),MATCH(D326&amp;E326,'Coeff EC7'!$D$39:$Q$39&amp;'Coeff EC7'!$D$40:$Q$40,0))</f>
        <v>#N/A</v>
      </c>
      <c r="P326" s="30" t="e">
        <f t="shared" si="468"/>
        <v>#N/A</v>
      </c>
      <c r="Q326" s="100" t="e">
        <f t="shared" si="433"/>
        <v>#N/A</v>
      </c>
      <c r="R326" s="86" t="b">
        <f t="shared" si="434"/>
        <v>0</v>
      </c>
      <c r="S326" s="86">
        <f t="shared" si="432"/>
        <v>0.5</v>
      </c>
      <c r="T326" s="86">
        <f t="shared" si="435"/>
        <v>0.5</v>
      </c>
      <c r="U326" s="30" t="e">
        <f t="shared" ca="1" si="469"/>
        <v>#DIV/0!</v>
      </c>
      <c r="V326" s="85" t="str">
        <f>IF(B326&lt;=Hypothèses!$V$7,Hypothèses!$W$7,IF(B326&lt;=Hypothèses!$V$8,Hypothèses!$W$8,IF(B326&lt;=Hypothèses!$V$9,Hypothèses!$W$9,IF(B326&lt;=Hypothèses!$V$10,Hypothèses!$W$10,IF(B326&lt;=Hypothèses!$V$11,Hypothèses!$W$11,IF(B326&lt;=Hypothèses!$V$12,Hypothèses!$W$12,IF(B326&lt;=Hypothèses!$V$13,Hypothèses!$W$13,IF(B326&lt;=Hypothèses!$V$14,Hypothèses!$W$14,IF(B326&lt;=Hypothèses!$V$15,Hypothèses!$W$15,IF(B326&lt;=Hypothèses!$V$16,Hypothèses!$W$16,IF(B326&lt;=Hypothèses!$V$17,Hypothèses!$W$17,IF(B326&lt;=Hypothèses!$V$18,Hypothèses!$W$18,""))))))))))))</f>
        <v/>
      </c>
      <c r="W326" s="87" t="e">
        <f t="shared" ca="1" si="516"/>
        <v>#DIV/0!</v>
      </c>
      <c r="X326" s="88" t="str">
        <f>IF(B326&lt;=Hypothèses!$V$7,Hypothèses!$X$7,IF(B326&lt;=Hypothèses!$V$8,Hypothèses!$X$8,IF(B326&lt;=Hypothèses!$V$9,Hypothèses!$X$9,IF(B326&lt;=Hypothèses!$V$10,Hypothèses!$X$10,IF(B326&lt;=Hypothèses!$V$11,Hypothèses!$X$11,IF(B326&lt;=Hypothèses!$V$12,Hypothèses!$X$12,IF(B326&lt;=Hypothèses!$V$13,Hypothèses!$X$13,IF(B326&lt;=Hypothèses!$V$14,Hypothèses!$X$14,IF(B326&lt;=Hypothèses!$V$15,Hypothèses!$X$15,IF(B326&lt;=Hypothèses!$V$16,Hypothèses!$X$16,IF(B326&lt;=Hypothèses!$U$17,Hypothèses!$W$17,IF(B326&lt;=Hypothèses!$U$18,Hypothèses!$W$18,""))))))))))))</f>
        <v/>
      </c>
      <c r="Y326" s="95" t="e">
        <f t="shared" ca="1" si="436"/>
        <v>#DIV/0!</v>
      </c>
      <c r="Z326" s="101" t="e">
        <f t="shared" si="437"/>
        <v>#N/A</v>
      </c>
      <c r="AA326" s="91" t="e">
        <f t="shared" si="438"/>
        <v>#N/A</v>
      </c>
      <c r="AB326" s="30" t="e">
        <f t="shared" si="500"/>
        <v>#N/A</v>
      </c>
      <c r="AC326" s="30" t="e">
        <f t="shared" si="501"/>
        <v>#N/A</v>
      </c>
      <c r="AD326" s="31" t="e">
        <f>IF(OR(Hypothèses!$B$4=17,Hypothèses!$B$4=18,Hypothèses!$B$4=19,Hypothèses!$B$4=20),
IF($D326="Pressio.",
IF(OR($E326=3,$E326=1,$E326=4),AC326,AB326),
IF($D326="Pénétro.",
IF(OR($E326=3,$E326=1,$E326=4),AC326,AB326))),IF($D326="Pressio.",
IF($E326=3,AC326,AB326),
IF($D326="Pénétro.",
IF($E326=4,AC326,AB326))))</f>
        <v>#N/A</v>
      </c>
      <c r="AE326" s="31" t="e">
        <f>(IF(OR(Hypothèses!$B$4=17,Hypothèses!$B$4=18,Hypothèses!$B$4=19,Hypothèses!$B$4=20),
IF($D326="Pressio.",
IF(OR($E326=3,$E326=1,$E326=4),(PI()*AE$12^2)/4*(AA326*$W326*1000)/($H326*$B$5),(PI()*AE$12^2)/4*(AA326*$W326*1000)/($G326*$B$5)),
IF($D326="Pénétro.",
IF(OR($E326=4,$E326=1,$E326=5),(PI()*AE$12^2)/4*(AA326*$W326*1000)/($H326*$B$5),(PI()*AE$12^2)/4*(AA326*$W326*1000)/($G326*$B$5)))),
IF($D326="Pressio.",
IF($E326=3,(PI()*AE$12^2)/4*(AA326*$W326*1000)/($H326*$B$5),(PI()*AE$12^2)/4*(AA326*$W326*1000)/($G326*$B$5)),
IF($D326="Pénétro.",
IF($E326=4,(PI()*AE$12^2)/4*(AA326*$W326*1000)/($H326*$B$5),(PI()*AE$12^2)/4*(AA326*$W326*1000)/($G326*$B$5))))))/10</f>
        <v>#N/A</v>
      </c>
      <c r="AF326" s="102" t="e">
        <f>(VLOOKUP($B$3,'Coeff EC7'!$T$39:$X$59,2,0)*AD326+VLOOKUP($B$3,'Coeff EC7'!$T$65:$X$85,2,0)*Model0.1C!AE326)/1.1</f>
        <v>#N/A</v>
      </c>
      <c r="AG326" s="102" t="e">
        <f>(VLOOKUP($B$3,'Coeff EC7'!$T$39:$X$59,3,0)*AD326+VLOOKUP($B$3,'Coeff EC7'!$T$65:$X$85,3,0)*Model0.1C!AE326)/0.9</f>
        <v>#N/A</v>
      </c>
      <c r="AH326" s="102" t="e">
        <f t="shared" si="439"/>
        <v>#N/A</v>
      </c>
      <c r="AI326" s="102" t="e">
        <f t="shared" si="440"/>
        <v>#N/A</v>
      </c>
      <c r="AJ326" s="414" t="e">
        <f>IF(AJ325=0,0,IF(AND(AF326&gt;charge_ELS_quasi,AG326&gt;Charge_ELS_freq,AH326&gt;charge_ELU,AI326&gt;charge_ELA,$B326&gt;NDC!$H$22-0.1+MIN(3*$AJ$12,1.5)),0,1))</f>
        <v>#N/A</v>
      </c>
      <c r="AK326" s="86" t="b">
        <f t="shared" si="441"/>
        <v>0</v>
      </c>
      <c r="AL326" s="86">
        <f t="shared" si="470"/>
        <v>0.5</v>
      </c>
      <c r="AM326" s="86">
        <f t="shared" si="442"/>
        <v>0.5</v>
      </c>
      <c r="AN326" s="30" t="e">
        <f t="shared" ca="1" si="471"/>
        <v>#DIV/0!</v>
      </c>
      <c r="AO326" s="85" t="e">
        <f ca="1">IF(U326&lt;=Hypothèses!$V$7,Hypothèses!$W$7,IF(U326&lt;=Hypothèses!$V$8,Hypothèses!$W$8,IF(U326&lt;=Hypothèses!$V$9,Hypothèses!$W$9,IF(U326&lt;=Hypothèses!$V$10,Hypothèses!$W$10,IF(U326&lt;=Hypothèses!$V$11,Hypothèses!$W$11,IF(U326&lt;=Hypothèses!$V$12,Hypothèses!$W$12,IF(U326&lt;=Hypothèses!$V$13,Hypothèses!$W$13,IF(U326&lt;=Hypothèses!$V$14,Hypothèses!$W$14,IF(U326&lt;=Hypothèses!$V$15,Hypothèses!$W$15,IF(U326&lt;=Hypothèses!$V$16,Hypothèses!$W$16,IF(U326&lt;=Hypothèses!$V$17,Hypothèses!$W$17,IF(U326&lt;=Hypothèses!$V$18,Hypothèses!$W$18,""))))))))))))</f>
        <v>#DIV/0!</v>
      </c>
      <c r="AP326" s="87" t="e">
        <f t="shared" ca="1" si="517"/>
        <v>#DIV/0!</v>
      </c>
      <c r="AQ326" s="88" t="e">
        <f ca="1">IF(U326&lt;=Hypothèses!$V$7,Hypothèses!$X$7,IF(U326&lt;=Hypothèses!$V$8,Hypothèses!$X$8,IF(U326&lt;=Hypothèses!$V$9,Hypothèses!$X$9,IF(U326&lt;=Hypothèses!$V$10,Hypothèses!$X$10,IF(U326&lt;=Hypothèses!$V$11,Hypothèses!$X$11,IF(U326&lt;=Hypothèses!$V$12,Hypothèses!$X$12,IF(U326&lt;=Hypothèses!$V$13,Hypothèses!$X$13,IF(U326&lt;=Hypothèses!$V$14,Hypothèses!$X$14,IF(U326&lt;=Hypothèses!$V$15,Hypothèses!$X$15,IF(U326&lt;=Hypothèses!$V$16,Hypothèses!$X$16,IF(U326&lt;=Hypothèses!$U$17,Hypothèses!$W$17,IF(U326&lt;=Hypothèses!$U$18,Hypothèses!$W$18,""))))))))))))</f>
        <v>#DIV/0!</v>
      </c>
      <c r="AR326" s="95" t="e">
        <f t="shared" ca="1" si="472"/>
        <v>#DIV/0!</v>
      </c>
      <c r="AS326" s="101" t="e">
        <f t="shared" si="524"/>
        <v>#N/A</v>
      </c>
      <c r="AT326" s="91" t="e">
        <f t="shared" si="443"/>
        <v>#N/A</v>
      </c>
      <c r="AU326" s="30" t="e">
        <f t="shared" si="502"/>
        <v>#N/A</v>
      </c>
      <c r="AV326" s="30" t="e">
        <f t="shared" si="503"/>
        <v>#N/A</v>
      </c>
      <c r="AW326" s="31" t="e">
        <f>IF(OR(Hypothèses!$B$4=17,Hypothèses!$B$4=18,Hypothèses!$B$4=19,Hypothèses!$B$4=20),
IF($D326="Pressio.",
IF(OR($E326=3,$E326=1,$E326=4),AV326,AU326),
IF($D326="Pénétro.",
IF(OR($E326=3,$E326=1,$E326=4),AV326,AU326))),IF($D326="Pressio.",
IF($E326=3,AV326,AU326),
IF($D326="Pénétro.",
IF($E326=4,AV326,AU326))))</f>
        <v>#N/A</v>
      </c>
      <c r="AX326" s="31" t="e">
        <f>(IF(OR(Hypothèses!$B$4=17,Hypothèses!$B$4=18,Hypothèses!$B$4=19,Hypothèses!$B$4=20),
IF($D326="Pressio.",
IF(OR($E326=3,$E326=1,$E326=4),(PI()*AX$12^2)/4*(AT326*$W326*1000)/($H326*$B$5),(PI()*AX$12^2)/4*(AT326*$W326*1000)/($G326*$B$5)),
IF($D326="Pénétro.",
IF(OR($E326=4,$E326=1,$E326=5),(PI()*AX$12^2)/4*(AT326*$W326*1000)/($H326*$B$5),(PI()*AX$12^2)/4*(AT326*$W326*1000)/($G326*$B$5)))),
IF($D326="Pressio.",
IF($E326=3,(PI()*AX$12^2)/4*(AT326*$W326*1000)/($H326*$B$5),(PI()*AX$12^2)/4*(AT326*$W326*1000)/($G326*$B$5)),
IF($D326="Pénétro.",
IF($E326=4,(PI()*AX$12^2)/4*(AT326*$W326*1000)/($H326*$B$5),(PI()*AX$12^2)/4*(AT326*$W326*1000)/($G326*$B$5))))))/10</f>
        <v>#N/A</v>
      </c>
      <c r="AY326" s="102" t="e">
        <f>(VLOOKUP($B$3,'Coeff EC7'!$T$39:$X$59,2,0)*AW326+VLOOKUP($B$3,'Coeff EC7'!$T$65:$X$85,2,0)*Model0.1C!AX326)/1.1</f>
        <v>#N/A</v>
      </c>
      <c r="AZ326" s="102" t="e">
        <f>(VLOOKUP($B$3,'Coeff EC7'!$T$39:$X$59,3,0)*AW326+VLOOKUP($B$3,'Coeff EC7'!$T$65:$X$85,3,0)*Model0.1C!AX326)/0.9</f>
        <v>#N/A</v>
      </c>
      <c r="BA326" s="102" t="e">
        <f t="shared" si="473"/>
        <v>#N/A</v>
      </c>
      <c r="BB326" s="102" t="e">
        <f t="shared" si="474"/>
        <v>#N/A</v>
      </c>
      <c r="BC326" s="414" t="e">
        <f>IF(BC325=0,0,IF(AND(AY326&gt;charge_ELS_quasi,AZ326&gt;Charge_ELS_freq,BA326&gt;charge_ELU,BB326&gt;charge_ELA,$B326&gt;NDC!$H$22-0.1+MIN(3*$BC$12,1.5)),0,1))</f>
        <v>#N/A</v>
      </c>
      <c r="BD326" s="86" t="b">
        <f t="shared" si="444"/>
        <v>0</v>
      </c>
      <c r="BE326" s="86">
        <f t="shared" si="475"/>
        <v>0.5</v>
      </c>
      <c r="BF326" s="86">
        <f t="shared" si="445"/>
        <v>0.5</v>
      </c>
      <c r="BG326" s="30" t="e">
        <f t="shared" ca="1" si="476"/>
        <v>#DIV/0!</v>
      </c>
      <c r="BH326" s="85" t="e">
        <f ca="1">IF(AN326&lt;=Hypothèses!$V$7,Hypothèses!$W$7,IF(AN326&lt;=Hypothèses!$V$8,Hypothèses!$W$8,IF(AN326&lt;=Hypothèses!$V$9,Hypothèses!$W$9,IF(AN326&lt;=Hypothèses!$V$10,Hypothèses!$W$10,IF(AN326&lt;=Hypothèses!$V$11,Hypothèses!$W$11,IF(AN326&lt;=Hypothèses!$V$12,Hypothèses!$W$12,IF(AN326&lt;=Hypothèses!$V$13,Hypothèses!$W$13,IF(AN326&lt;=Hypothèses!$V$14,Hypothèses!$W$14,IF(AN326&lt;=Hypothèses!$V$15,Hypothèses!$W$15,IF(AN326&lt;=Hypothèses!$V$16,Hypothèses!$W$16,IF(AN326&lt;=Hypothèses!$V$17,Hypothèses!$W$17,IF(AN326&lt;=Hypothèses!$V$18,Hypothèses!$W$18,""))))))))))))</f>
        <v>#DIV/0!</v>
      </c>
      <c r="BI326" s="87" t="e">
        <f t="shared" ca="1" si="518"/>
        <v>#DIV/0!</v>
      </c>
      <c r="BJ326" s="88" t="e">
        <f ca="1">IF(AN326&lt;=Hypothèses!$V$7,Hypothèses!$X$7,IF(AN326&lt;=Hypothèses!$V$8,Hypothèses!$X$8,IF(AN326&lt;=Hypothèses!$V$9,Hypothèses!$X$9,IF(AN326&lt;=Hypothèses!$V$10,Hypothèses!$X$10,IF(AN326&lt;=Hypothèses!$V$11,Hypothèses!$X$11,IF(AN326&lt;=Hypothèses!$V$12,Hypothèses!$X$12,IF(AN326&lt;=Hypothèses!$V$13,Hypothèses!$X$13,IF(AN326&lt;=Hypothèses!$V$14,Hypothèses!$X$14,IF(AN326&lt;=Hypothèses!$V$15,Hypothèses!$X$15,IF(AN326&lt;=Hypothèses!$V$16,Hypothèses!$X$16,IF(AN326&lt;=Hypothèses!$U$17,Hypothèses!$W$17,IF(AN326&lt;=Hypothèses!$U$18,Hypothèses!$W$18,""))))))))))))</f>
        <v>#DIV/0!</v>
      </c>
      <c r="BK326" s="95" t="e">
        <f t="shared" ca="1" si="477"/>
        <v>#DIV/0!</v>
      </c>
      <c r="BL326" s="101" t="e">
        <f t="shared" si="525"/>
        <v>#N/A</v>
      </c>
      <c r="BM326" s="91" t="e">
        <f t="shared" si="446"/>
        <v>#N/A</v>
      </c>
      <c r="BN326" s="30" t="e">
        <f t="shared" si="504"/>
        <v>#N/A</v>
      </c>
      <c r="BO326" s="30" t="e">
        <f t="shared" si="505"/>
        <v>#N/A</v>
      </c>
      <c r="BP326" s="31" t="e">
        <f>IF(OR(Hypothèses!$B$4=17,Hypothèses!$B$4=18,Hypothèses!$B$4=19,Hypothèses!$B$4=20),
IF($D326="Pressio.",
IF(OR($E326=3,$E326=1,$E326=4),BO326,BN326),
IF($D326="Pénétro.",
IF(OR($E326=3,$E326=1,$E326=4),BO326,BN326))),IF($D326="Pressio.",
IF($E326=3,BO326,BN326),
IF($D326="Pénétro.",
IF($E326=4,BO326,BN326))))</f>
        <v>#N/A</v>
      </c>
      <c r="BQ326" s="31" t="e">
        <f>(IF(OR(Hypothèses!$B$4=17,Hypothèses!$B$4=18,Hypothèses!$B$4=19,Hypothèses!$B$4=20),
IF($D326="Pressio.",
IF(OR($E326=3,$E326=1,$E326=4),(PI()*BQ$12^2)/4*(BM326*$W326*1000)/($H326*$B$5),(PI()*BQ$12^2)/4*(BM326*$W326*1000)/($G326*$B$5)),
IF($D326="Pénétro.",
IF(OR($E326=4,$E326=1,$E326=5),(PI()*BQ$12^2)/4*(BM326*$W326*1000)/($H326*$B$5),(PI()*BQ$12^2)/4*(BM326*$W326*1000)/($G326*$B$5)))),
IF($D326="Pressio.",
IF($E326=3,(PI()*BQ$12^2)/4*(BM326*$W326*1000)/($H326*$B$5),(PI()*BQ$12^2)/4*(BM326*$W326*1000)/($G326*$B$5)),
IF($D326="Pénétro.",
IF($E326=4,(PI()*BQ$12^2)/4*(BM326*$W326*1000)/($H326*$B$5),(PI()*BQ$12^2)/4*(BM326*$W326*1000)/($G326*$B$5))))))/10</f>
        <v>#N/A</v>
      </c>
      <c r="BR326" s="102" t="e">
        <f>(VLOOKUP($B$3,'Coeff EC7'!$T$39:$X$59,2,0)*BP326+VLOOKUP($B$3,'Coeff EC7'!$T$65:$X$85,2,0)*Model0.1C!BQ326)/1.1</f>
        <v>#N/A</v>
      </c>
      <c r="BS326" s="102" t="e">
        <f>(VLOOKUP($B$3,'Coeff EC7'!$T$39:$X$59,3,0)*BP326+VLOOKUP($B$3,'Coeff EC7'!$T$65:$X$85,3,0)*Model0.1C!BQ326)/0.9</f>
        <v>#N/A</v>
      </c>
      <c r="BT326" s="102" t="e">
        <f t="shared" si="478"/>
        <v>#N/A</v>
      </c>
      <c r="BU326" s="102" t="e">
        <f t="shared" si="479"/>
        <v>#N/A</v>
      </c>
      <c r="BV326" s="414" t="e">
        <f>IF(BV325=0,0,IF(AND(BR326&gt;charge_ELS_quasi,BS326&gt;Charge_ELS_freq,BT326&gt;charge_ELU,BU326&gt;charge_ELA,$B326&gt;NDC!$H$22-0.1+MIN(3*$BV$12,1.5)),0,1))</f>
        <v>#N/A</v>
      </c>
      <c r="BW326" s="86" t="b">
        <f t="shared" si="447"/>
        <v>0</v>
      </c>
      <c r="BX326" s="86">
        <f t="shared" si="448"/>
        <v>0.5</v>
      </c>
      <c r="BY326" s="86">
        <f t="shared" si="449"/>
        <v>0.5</v>
      </c>
      <c r="BZ326" s="30" t="e">
        <f t="shared" ca="1" si="480"/>
        <v>#DIV/0!</v>
      </c>
      <c r="CA326" s="85" t="e">
        <f ca="1">IF(BG326&lt;=Hypothèses!$V$7,Hypothèses!$W$7,IF(BG326&lt;=Hypothèses!$V$8,Hypothèses!$W$8,IF(BG326&lt;=Hypothèses!$V$9,Hypothèses!$W$9,IF(BG326&lt;=Hypothèses!$V$10,Hypothèses!$W$10,IF(BG326&lt;=Hypothèses!$V$11,Hypothèses!$W$11,IF(BG326&lt;=Hypothèses!$V$12,Hypothèses!$W$12,IF(BG326&lt;=Hypothèses!$V$13,Hypothèses!$W$13,IF(BG326&lt;=Hypothèses!$V$14,Hypothèses!$W$14,IF(BG326&lt;=Hypothèses!$V$15,Hypothèses!$W$15,IF(BG326&lt;=Hypothèses!$V$16,Hypothèses!$W$16,IF(BG326&lt;=Hypothèses!$V$17,Hypothèses!$W$17,IF(BG326&lt;=Hypothèses!$V$18,Hypothèses!$W$18,""))))))))))))</f>
        <v>#DIV/0!</v>
      </c>
      <c r="CB326" s="87" t="e">
        <f t="shared" ca="1" si="519"/>
        <v>#DIV/0!</v>
      </c>
      <c r="CC326" s="88" t="e">
        <f ca="1">IF(BG326&lt;=Hypothèses!$V$7,Hypothèses!$X$7,IF(BG326&lt;=Hypothèses!$V$8,Hypothèses!$X$8,IF(BG326&lt;=Hypothèses!$V$9,Hypothèses!$X$9,IF(BG326&lt;=Hypothèses!$V$10,Hypothèses!$X$10,IF(BG326&lt;=Hypothèses!$V$11,Hypothèses!$X$11,IF(BG326&lt;=Hypothèses!$V$12,Hypothèses!$X$12,IF(BG326&lt;=Hypothèses!$V$13,Hypothèses!$X$13,IF(BG326&lt;=Hypothèses!$V$14,Hypothèses!$X$14,IF(BG326&lt;=Hypothèses!$V$15,Hypothèses!$X$15,IF(BG326&lt;=Hypothèses!$V$16,Hypothèses!$X$16,IF(BG326&lt;=Hypothèses!$U$17,Hypothèses!$W$17,IF(BG326&lt;=Hypothèses!$U$18,Hypothèses!$W$18,""))))))))))))</f>
        <v>#DIV/0!</v>
      </c>
      <c r="CD326" s="95" t="e">
        <f t="shared" ca="1" si="481"/>
        <v>#DIV/0!</v>
      </c>
      <c r="CE326" s="101" t="e">
        <f t="shared" si="526"/>
        <v>#N/A</v>
      </c>
      <c r="CF326" s="91" t="e">
        <f t="shared" si="450"/>
        <v>#N/A</v>
      </c>
      <c r="CG326" s="30" t="e">
        <f t="shared" si="506"/>
        <v>#N/A</v>
      </c>
      <c r="CH326" s="30" t="e">
        <f t="shared" si="507"/>
        <v>#N/A</v>
      </c>
      <c r="CI326" s="31" t="e">
        <f>IF(OR(Hypothèses!$B$4=17,Hypothèses!$B$4=18,Hypothèses!$B$4=19,Hypothèses!$B$4=20),
IF($D326="Pressio.",
IF(OR($E326=3,$E326=1,$E326=4),CH326,CG326),
IF($D326="Pénétro.",
IF(OR($E326=3,$E326=1,$E326=4),CH326,CG326))),IF($D326="Pressio.",
IF($E326=3,CH326,CG326),
IF($D326="Pénétro.",
IF($E326=4,CH326,CG326))))</f>
        <v>#N/A</v>
      </c>
      <c r="CJ326" s="31" t="e">
        <f>(IF(OR(Hypothèses!$B$4=17,Hypothèses!$B$4=18,Hypothèses!$B$4=19,Hypothèses!$B$4=20),
IF($D326="Pressio.",
IF(OR($E326=3,$E326=1,$E326=4),(PI()*CJ$12^2)/4*(CF326*$W326*1000)/($H326*$B$5),(PI()*CJ$12^2)/4*(CF326*$W326*1000)/($G326*$B$5)),
IF($D326="Pénétro.",
IF(OR($E326=4,$E326=1,$E326=5),(PI()*CJ$12^2)/4*(CF326*$W326*1000)/($H326*$B$5),(PI()*CJ$12^2)/4*(CF326*$W326*1000)/($G326*$B$5)))),
IF($D326="Pressio.",
IF($E326=3,(PI()*CJ$12^2)/4*(CF326*$W326*1000)/($H326*$B$5),(PI()*CJ$12^2)/4*(CF326*$W326*1000)/($G326*$B$5)),
IF($D326="Pénétro.",
IF($E326=4,(PI()*CJ$12^2)/4*(CF326*$W326*1000)/($H326*$B$5),(PI()*CJ$12^2)/4*(CF326*$W326*1000)/($G326*$B$5))))))/10</f>
        <v>#N/A</v>
      </c>
      <c r="CK326" s="102" t="e">
        <f>(VLOOKUP($B$3,'Coeff EC7'!$T$39:$X$59,2,0)*CI326+VLOOKUP($B$3,'Coeff EC7'!$T$65:$X$85,2,0)*Model0.1C!CJ326)/1.1</f>
        <v>#N/A</v>
      </c>
      <c r="CL326" s="102" t="e">
        <f>(VLOOKUP($B$3,'Coeff EC7'!$T$39:$X$59,3,0)*CI326+VLOOKUP($B$3,'Coeff EC7'!$T$65:$X$85,3,0)*Model0.1C!CJ326)/0.9</f>
        <v>#N/A</v>
      </c>
      <c r="CM326" s="102" t="e">
        <f t="shared" si="482"/>
        <v>#N/A</v>
      </c>
      <c r="CN326" s="102" t="e">
        <f t="shared" si="483"/>
        <v>#N/A</v>
      </c>
      <c r="CO326" s="414" t="e">
        <f>IF(CO325=0,0,IF(AND(CK326&gt;charge_ELS_quasi,CL326&gt;Charge_ELS_freq,CM326&gt;charge_ELU,CN326&gt;charge_ELA,$B326&gt;NDC!$H$22-0.1+MIN(3*$CO$12,1.5)),0,1))</f>
        <v>#N/A</v>
      </c>
      <c r="CP326" s="86" t="b">
        <f t="shared" si="451"/>
        <v>0</v>
      </c>
      <c r="CQ326" s="86">
        <f t="shared" si="452"/>
        <v>0.5</v>
      </c>
      <c r="CR326" s="86">
        <f t="shared" si="453"/>
        <v>0.5</v>
      </c>
      <c r="CS326" s="30" t="e">
        <f t="shared" ca="1" si="484"/>
        <v>#DIV/0!</v>
      </c>
      <c r="CT326" s="85" t="e">
        <f ca="1">IF(BZ326&lt;=Hypothèses!$V$7,Hypothèses!$W$7,IF(BZ326&lt;=Hypothèses!$V$8,Hypothèses!$W$8,IF(BZ326&lt;=Hypothèses!$V$9,Hypothèses!$W$9,IF(BZ326&lt;=Hypothèses!$V$10,Hypothèses!$W$10,IF(BZ326&lt;=Hypothèses!$V$11,Hypothèses!$W$11,IF(BZ326&lt;=Hypothèses!$V$12,Hypothèses!$W$12,IF(BZ326&lt;=Hypothèses!$V$13,Hypothèses!$W$13,IF(BZ326&lt;=Hypothèses!$V$14,Hypothèses!$W$14,IF(BZ326&lt;=Hypothèses!$V$15,Hypothèses!$W$15,IF(BZ326&lt;=Hypothèses!$V$16,Hypothèses!$W$16,IF(BZ326&lt;=Hypothèses!$V$17,Hypothèses!$W$17,IF(BZ326&lt;=Hypothèses!$V$18,Hypothèses!$W$18,""))))))))))))</f>
        <v>#DIV/0!</v>
      </c>
      <c r="CU326" s="87" t="e">
        <f t="shared" ca="1" si="520"/>
        <v>#DIV/0!</v>
      </c>
      <c r="CV326" s="88" t="e">
        <f ca="1">IF(BZ326&lt;=Hypothèses!$V$7,Hypothèses!$X$7,IF(BZ326&lt;=Hypothèses!$V$8,Hypothèses!$X$8,IF(BZ326&lt;=Hypothèses!$V$9,Hypothèses!$X$9,IF(BZ326&lt;=Hypothèses!$V$10,Hypothèses!$X$10,IF(BZ326&lt;=Hypothèses!$V$11,Hypothèses!$X$11,IF(BZ326&lt;=Hypothèses!$V$12,Hypothèses!$X$12,IF(BZ326&lt;=Hypothèses!$V$13,Hypothèses!$X$13,IF(BZ326&lt;=Hypothèses!$V$14,Hypothèses!$X$14,IF(BZ326&lt;=Hypothèses!$V$15,Hypothèses!$X$15,IF(BZ326&lt;=Hypothèses!$V$16,Hypothèses!$X$16,IF(BZ326&lt;=Hypothèses!$U$17,Hypothèses!$W$17,IF(BZ326&lt;=Hypothèses!$U$18,Hypothèses!$W$18,""))))))))))))</f>
        <v>#DIV/0!</v>
      </c>
      <c r="CW326" s="95" t="e">
        <f t="shared" ca="1" si="485"/>
        <v>#DIV/0!</v>
      </c>
      <c r="CX326" s="101" t="e">
        <f t="shared" si="527"/>
        <v>#N/A</v>
      </c>
      <c r="CY326" s="91" t="e">
        <f t="shared" si="454"/>
        <v>#N/A</v>
      </c>
      <c r="CZ326" s="30" t="e">
        <f t="shared" si="508"/>
        <v>#N/A</v>
      </c>
      <c r="DA326" s="30" t="e">
        <f t="shared" si="509"/>
        <v>#N/A</v>
      </c>
      <c r="DB326" s="31" t="e">
        <f>IF(OR(Hypothèses!$B$4=17,Hypothèses!$B$4=18,Hypothèses!$B$4=19,Hypothèses!$B$4=20),
IF($D326="Pressio.",
IF(OR($E326=3,$E326=1,$E326=4),DA326,CZ326),
IF($D326="Pénétro.",
IF(OR($E326=3,$E326=1,$E326=4),DA326,CZ326))),IF($D326="Pressio.",
IF($E326=3,DA326,CZ326),
IF($D326="Pénétro.",
IF($E326=4,DA326,CZ326))))</f>
        <v>#N/A</v>
      </c>
      <c r="DC326" s="31" t="e">
        <f>(IF(OR(Hypothèses!$B$4=17,Hypothèses!$B$4=18,Hypothèses!$B$4=19,Hypothèses!$B$4=20),
IF($D326="Pressio.",
IF(OR($E326=3,$E326=1,$E326=4),(PI()*DC$12^2)/4*(CY326*$W326*1000)/($H326*$B$5),(PI()*DC$12^2)/4*(CY326*$W326*1000)/($G326*$B$5)),
IF($D326="Pénétro.",
IF(OR($E326=4,$E326=1,$E326=5),(PI()*DC$12^2)/4*(CY326*$W326*1000)/($H326*$B$5),(PI()*DC$12^2)/4*(CY326*$W326*1000)/($G326*$B$5)))),
IF($D326="Pressio.",
IF($E326=3,(PI()*DC$12^2)/4*(CY326*$W326*1000)/($H326*$B$5),(PI()*DC$12^2)/4*(CY326*$W326*1000)/($G326*$B$5)),
IF($D326="Pénétro.",
IF($E326=4,(PI()*DC$12^2)/4*(CY326*$W326*1000)/($H326*$B$5),(PI()*DC$12^2)/4*(CY326*$W326*1000)/($G326*$B$5))))))/10</f>
        <v>#N/A</v>
      </c>
      <c r="DD326" s="102" t="e">
        <f>(VLOOKUP($B$3,'Coeff EC7'!$T$39:$X$59,2,0)*DB326+VLOOKUP($B$3,'Coeff EC7'!$T$65:$X$85,2,0)*Model0.1C!DC326)/1.1</f>
        <v>#N/A</v>
      </c>
      <c r="DE326" s="102" t="e">
        <f>(VLOOKUP($B$3,'Coeff EC7'!$T$39:$X$59,3,0)*DB326+VLOOKUP($B$3,'Coeff EC7'!$T$65:$X$85,3,0)*Model0.1C!DC326)/0.9</f>
        <v>#N/A</v>
      </c>
      <c r="DF326" s="102" t="e">
        <f t="shared" si="486"/>
        <v>#N/A</v>
      </c>
      <c r="DG326" s="102" t="e">
        <f t="shared" si="487"/>
        <v>#N/A</v>
      </c>
      <c r="DH326" s="414" t="e">
        <f>IF(DH325=0,0,IF(AND(DD326&gt;charge_ELS_quasi,DE326&gt;Charge_ELS_freq,DF326&gt;charge_ELU,DG326&gt;charge_ELA,$B326&gt;NDC!$H$22-0.1+MIN(3*$DH$12,1.5)),0,1))</f>
        <v>#N/A</v>
      </c>
      <c r="DI326" s="86" t="b">
        <f t="shared" si="455"/>
        <v>0</v>
      </c>
      <c r="DJ326" s="86">
        <f t="shared" si="456"/>
        <v>0.5</v>
      </c>
      <c r="DK326" s="86">
        <f t="shared" si="457"/>
        <v>0.5</v>
      </c>
      <c r="DL326" s="30" t="e">
        <f t="shared" ca="1" si="488"/>
        <v>#DIV/0!</v>
      </c>
      <c r="DM326" s="85" t="e">
        <f ca="1">IF(CS326&lt;=Hypothèses!$V$7,Hypothèses!$W$7,IF(CS326&lt;=Hypothèses!$V$8,Hypothèses!$W$8,IF(CS326&lt;=Hypothèses!$V$9,Hypothèses!$W$9,IF(CS326&lt;=Hypothèses!$V$10,Hypothèses!$W$10,IF(CS326&lt;=Hypothèses!$V$11,Hypothèses!$W$11,IF(CS326&lt;=Hypothèses!$V$12,Hypothèses!$W$12,IF(CS326&lt;=Hypothèses!$V$13,Hypothèses!$W$13,IF(CS326&lt;=Hypothèses!$V$14,Hypothèses!$W$14,IF(CS326&lt;=Hypothèses!$V$15,Hypothèses!$W$15,IF(CS326&lt;=Hypothèses!$V$16,Hypothèses!$W$16,IF(CS326&lt;=Hypothèses!$V$17,Hypothèses!$W$17,IF(CS326&lt;=Hypothèses!$V$18,Hypothèses!$W$18,""))))))))))))</f>
        <v>#DIV/0!</v>
      </c>
      <c r="DN326" s="87" t="e">
        <f t="shared" ca="1" si="521"/>
        <v>#DIV/0!</v>
      </c>
      <c r="DO326" s="88" t="e">
        <f ca="1">IF(CS326&lt;=Hypothèses!$V$7,Hypothèses!$X$7,IF(CS326&lt;=Hypothèses!$V$8,Hypothèses!$X$8,IF(CS326&lt;=Hypothèses!$V$9,Hypothèses!$X$9,IF(CS326&lt;=Hypothèses!$V$10,Hypothèses!$X$10,IF(CS326&lt;=Hypothèses!$V$11,Hypothèses!$X$11,IF(CS326&lt;=Hypothèses!$V$12,Hypothèses!$X$12,IF(CS326&lt;=Hypothèses!$V$13,Hypothèses!$X$13,IF(CS326&lt;=Hypothèses!$V$14,Hypothèses!$X$14,IF(CS326&lt;=Hypothèses!$V$15,Hypothèses!$X$15,IF(CS326&lt;=Hypothèses!$V$16,Hypothèses!$X$16,IF(CS326&lt;=Hypothèses!$U$17,Hypothèses!$W$17,IF(CS326&lt;=Hypothèses!$U$18,Hypothèses!$W$18,""))))))))))))</f>
        <v>#DIV/0!</v>
      </c>
      <c r="DP326" s="95" t="e">
        <f t="shared" ca="1" si="489"/>
        <v>#DIV/0!</v>
      </c>
      <c r="DQ326" s="101" t="e">
        <f t="shared" si="528"/>
        <v>#N/A</v>
      </c>
      <c r="DR326" s="91" t="e">
        <f t="shared" si="458"/>
        <v>#N/A</v>
      </c>
      <c r="DS326" s="30" t="e">
        <f t="shared" si="510"/>
        <v>#N/A</v>
      </c>
      <c r="DT326" s="30" t="e">
        <f t="shared" si="511"/>
        <v>#N/A</v>
      </c>
      <c r="DU326" s="31" t="e">
        <f>IF(OR(Hypothèses!$B$4=17,Hypothèses!$B$4=18,Hypothèses!$B$4=19,Hypothèses!$B$4=20),
IF($D326="Pressio.",
IF(OR($E326=3,$E326=1,$E326=4),DT326,DS326),
IF($D326="Pénétro.",
IF(OR($E326=3,$E326=1,$E326=4),DT326,DS326))),IF($D326="Pressio.",
IF($E326=3,DT326,DS326),
IF($D326="Pénétro.",
IF($E326=4,DT326,DS326))))</f>
        <v>#N/A</v>
      </c>
      <c r="DV326" s="31" t="e">
        <f>(IF(OR(Hypothèses!$B$4=17,Hypothèses!$B$4=18,Hypothèses!$B$4=19,Hypothèses!$B$4=20),
IF($D326="Pressio.",
IF(OR($E326=3,$E326=1,$E326=4),(PI()*DV$12^2)/4*(DR326*$W326*1000)/($H326*$B$5),(PI()*DV$12^2)/4*(DR326*$W326*1000)/($G326*$B$5)),
IF($D326="Pénétro.",
IF(OR($E326=4,$E326=1,$E326=5),(PI()*DV$12^2)/4*(DR326*$W326*1000)/($H326*$B$5),(PI()*DV$12^2)/4*(DR326*$W326*1000)/($G326*$B$5)))),
IF($D326="Pressio.",
IF($E326=3,(PI()*DV$12^2)/4*(DR326*$W326*1000)/($H326*$B$5),(PI()*DV$12^2)/4*(DR326*$W326*1000)/($G326*$B$5)),
IF($D326="Pénétro.",
IF($E326=4,(PI()*DV$12^2)/4*(DR326*$W326*1000)/($H326*$B$5),(PI()*DV$12^2)/4*(DR326*$W326*1000)/($G326*$B$5))))))/10</f>
        <v>#N/A</v>
      </c>
      <c r="DW326" s="102" t="e">
        <f>(VLOOKUP($B$3,'Coeff EC7'!$T$39:$X$59,2,0)*DU326+VLOOKUP($B$3,'Coeff EC7'!$T$65:$X$85,2,0)*Model0.1C!DV326)/1.1</f>
        <v>#N/A</v>
      </c>
      <c r="DX326" s="102" t="e">
        <f>(VLOOKUP($B$3,'Coeff EC7'!$T$39:$X$59,3,0)*DU326+VLOOKUP($B$3,'Coeff EC7'!$T$65:$X$85,3,0)*Model0.1C!DV326)/0.9</f>
        <v>#N/A</v>
      </c>
      <c r="DY326" s="102" t="e">
        <f t="shared" si="490"/>
        <v>#N/A</v>
      </c>
      <c r="DZ326" s="102" t="e">
        <f t="shared" si="491"/>
        <v>#N/A</v>
      </c>
      <c r="EA326" s="414" t="e">
        <f>IF(EA325=0,0,IF(AND(DW326&gt;charge_ELS_quasi,DX326&gt;Charge_ELS_freq,DY326&gt;charge_ELU,DZ326&gt;charge_ELA,$B326&gt;NDC!$H$22-0.1+MIN(3*$EA$12,1.5)),0,1))</f>
        <v>#N/A</v>
      </c>
      <c r="EB326" s="86" t="b">
        <f t="shared" si="459"/>
        <v>0</v>
      </c>
      <c r="EC326" s="418">
        <f t="shared" si="460"/>
        <v>0.51</v>
      </c>
      <c r="ED326" s="86">
        <f t="shared" si="461"/>
        <v>0.51</v>
      </c>
      <c r="EE326" s="30" t="e">
        <f t="shared" ca="1" si="492"/>
        <v>#DIV/0!</v>
      </c>
      <c r="EF326" s="85" t="e">
        <f ca="1">IF(DL326&lt;=Hypothèses!$V$7,Hypothèses!$W$7,IF(DL326&lt;=Hypothèses!$V$8,Hypothèses!$W$8,IF(DL326&lt;=Hypothèses!$V$9,Hypothèses!$W$9,IF(DL326&lt;=Hypothèses!$V$10,Hypothèses!$W$10,IF(DL326&lt;=Hypothèses!$V$11,Hypothèses!$W$11,IF(DL326&lt;=Hypothèses!$V$12,Hypothèses!$W$12,IF(DL326&lt;=Hypothèses!$V$13,Hypothèses!$W$13,IF(DL326&lt;=Hypothèses!$V$14,Hypothèses!$W$14,IF(DL326&lt;=Hypothèses!$V$15,Hypothèses!$W$15,IF(DL326&lt;=Hypothèses!$V$16,Hypothèses!$W$16,IF(DL326&lt;=Hypothèses!$V$17,Hypothèses!$W$17,IF(DL326&lt;=Hypothèses!$V$18,Hypothèses!$W$18,""))))))))))))</f>
        <v>#DIV/0!</v>
      </c>
      <c r="EG326" s="87" t="e">
        <f t="shared" ca="1" si="522"/>
        <v>#DIV/0!</v>
      </c>
      <c r="EH326" s="88" t="e">
        <f ca="1">IF(DL326&lt;=Hypothèses!$V$7,Hypothèses!$X$7,IF(DL326&lt;=Hypothèses!$V$8,Hypothèses!$X$8,IF(DL326&lt;=Hypothèses!$V$9,Hypothèses!$X$9,IF(DL326&lt;=Hypothèses!$V$10,Hypothèses!$X$10,IF(DL326&lt;=Hypothèses!$V$11,Hypothèses!$X$11,IF(DL326&lt;=Hypothèses!$V$12,Hypothèses!$X$12,IF(DL326&lt;=Hypothèses!$V$13,Hypothèses!$X$13,IF(DL326&lt;=Hypothèses!$V$14,Hypothèses!$X$14,IF(DL326&lt;=Hypothèses!$V$15,Hypothèses!$X$15,IF(DL326&lt;=Hypothèses!$V$16,Hypothèses!$X$16,IF(DL326&lt;=Hypothèses!$U$17,Hypothèses!$W$17,IF(DL326&lt;=Hypothèses!$U$18,Hypothèses!$W$18,""))))))))))))</f>
        <v>#DIV/0!</v>
      </c>
      <c r="EI326" s="95" t="e">
        <f t="shared" ca="1" si="493"/>
        <v>#DIV/0!</v>
      </c>
      <c r="EJ326" s="101" t="e">
        <f t="shared" si="529"/>
        <v>#N/A</v>
      </c>
      <c r="EK326" s="91" t="e">
        <f t="shared" si="462"/>
        <v>#N/A</v>
      </c>
      <c r="EL326" s="30" t="e">
        <f t="shared" si="512"/>
        <v>#N/A</v>
      </c>
      <c r="EM326" s="30" t="e">
        <f t="shared" si="513"/>
        <v>#N/A</v>
      </c>
      <c r="EN326" s="31" t="e">
        <f>IF(OR(Hypothèses!$B$4=17,Hypothèses!$B$4=18,Hypothèses!$B$4=19,Hypothèses!$B$4=20),
IF($D326="Pressio.",
IF(OR($E326=3,$E326=1,$E326=4),EM326,EL326),
IF($D326="Pénétro.",
IF(OR($E326=3,$E326=1,$E326=4),EM326,EL326))),IF($D326="Pressio.",
IF($E326=3,EM326,EL326),
IF($D326="Pénétro.",
IF($E326=4,EM326,EL326))))</f>
        <v>#N/A</v>
      </c>
      <c r="EO326" s="31" t="e">
        <f>(IF(OR(Hypothèses!$B$4=17,Hypothèses!$B$4=18,Hypothèses!$B$4=19,Hypothèses!$B$4=20),
IF($D326="Pressio.",
IF(OR($E326=3,$E326=1,$E326=4),(PI()*EO$12^2)/4*(EK326*$W326*1000)/($H326*$B$5),(PI()*EO$12^2)/4*(EK326*$W326*1000)/($G326*$B$5)),
IF($D326="Pénétro.",
IF(OR($E326=4,$E326=1,$E326=5),(PI()*EO$12^2)/4*(EK326*$W326*1000)/($H326*$B$5),(PI()*EO$12^2)/4*(EK326*$W326*1000)/($G326*$B$5)))),
IF($D326="Pressio.",
IF($E326=3,(PI()*EO$12^2)/4*(EK326*$W326*1000)/($H326*$B$5),(PI()*EO$12^2)/4*(EK326*$W326*1000)/($G326*$B$5)),
IF($D326="Pénétro.",
IF($E326=4,(PI()*EO$12^2)/4*(EK326*$W326*1000)/($H326*$B$5),(PI()*EO$12^2)/4*(EK326*$W326*1000)/($G326*$B$5))))))/10</f>
        <v>#N/A</v>
      </c>
      <c r="EP326" s="102" t="e">
        <f>(VLOOKUP($B$3,'Coeff EC7'!$T$39:$X$59,2,0)*EN326+VLOOKUP($B$3,'Coeff EC7'!$T$65:$X$85,2,0)*Model0.1C!EO326)/1.1</f>
        <v>#N/A</v>
      </c>
      <c r="EQ326" s="102" t="e">
        <f>(VLOOKUP($B$3,'Coeff EC7'!$T$39:$X$59,3,0)*EN326+VLOOKUP($B$3,'Coeff EC7'!$T$65:$X$85,3,0)*Model0.1C!EO326)/0.9</f>
        <v>#N/A</v>
      </c>
      <c r="ER326" s="102" t="e">
        <f t="shared" si="494"/>
        <v>#N/A</v>
      </c>
      <c r="ES326" s="102" t="e">
        <f t="shared" si="495"/>
        <v>#N/A</v>
      </c>
      <c r="ET326" s="414" t="e">
        <f>IF(ET325=0,0,IF(AND(EP326&gt;charge_ELS_quasi,EQ326&gt;Charge_ELS_freq,ER326&gt;charge_ELU,ES326&gt;charge_ELA,$B326&gt;NDC!$H$22-0.1+MIN(3*$ET$12,1.5)),0,1))</f>
        <v>#N/A</v>
      </c>
      <c r="EU326" s="86" t="b">
        <f t="shared" si="463"/>
        <v>0</v>
      </c>
      <c r="EV326" s="86">
        <f t="shared" si="464"/>
        <v>0.61</v>
      </c>
      <c r="EW326" s="86">
        <f t="shared" si="465"/>
        <v>0.61</v>
      </c>
      <c r="EX326" s="30" t="e">
        <f t="shared" ca="1" si="496"/>
        <v>#DIV/0!</v>
      </c>
      <c r="EY326" s="85" t="e">
        <f ca="1">IF(EE326&lt;=Hypothèses!$V$7,Hypothèses!$W$7,IF(EE326&lt;=Hypothèses!$V$8,Hypothèses!$W$8,IF(EE326&lt;=Hypothèses!$V$9,Hypothèses!$W$9,IF(EE326&lt;=Hypothèses!$V$10,Hypothèses!$W$10,IF(EE326&lt;=Hypothèses!$V$11,Hypothèses!$W$11,IF(EE326&lt;=Hypothèses!$V$12,Hypothèses!$W$12,IF(EE326&lt;=Hypothèses!$V$13,Hypothèses!$W$13,IF(EE326&lt;=Hypothèses!$V$14,Hypothèses!$W$14,IF(EE326&lt;=Hypothèses!$V$15,Hypothèses!$W$15,IF(EE326&lt;=Hypothèses!$V$16,Hypothèses!$W$16,IF(EE326&lt;=Hypothèses!$V$17,Hypothèses!$W$17,IF(EE326&lt;=Hypothèses!$V$18,Hypothèses!$W$18,""))))))))))))</f>
        <v>#DIV/0!</v>
      </c>
      <c r="EZ326" s="87" t="e">
        <f t="shared" ca="1" si="523"/>
        <v>#DIV/0!</v>
      </c>
      <c r="FA326" s="88" t="e">
        <f ca="1">IF(EE326&lt;=Hypothèses!$V$7,Hypothèses!$X$7,IF(EE326&lt;=Hypothèses!$V$8,Hypothèses!$X$8,IF(EE326&lt;=Hypothèses!$V$9,Hypothèses!$X$9,IF(EE326&lt;=Hypothèses!$V$10,Hypothèses!$X$10,IF(EE326&lt;=Hypothèses!$V$11,Hypothèses!$X$11,IF(EE326&lt;=Hypothèses!$V$12,Hypothèses!$X$12,IF(EE326&lt;=Hypothèses!$V$13,Hypothèses!$X$13,IF(EE326&lt;=Hypothèses!$V$14,Hypothèses!$X$14,IF(EE326&lt;=Hypothèses!$V$15,Hypothèses!$X$15,IF(EE326&lt;=Hypothèses!$V$16,Hypothèses!$X$16,IF(EE326&lt;=Hypothèses!$U$17,Hypothèses!$W$17,IF(EE326&lt;=Hypothèses!$U$18,Hypothèses!$W$18,""))))))))))))</f>
        <v>#DIV/0!</v>
      </c>
      <c r="FB326" s="95" t="e">
        <f t="shared" ca="1" si="497"/>
        <v>#DIV/0!</v>
      </c>
      <c r="FC326" s="101" t="e">
        <f t="shared" si="530"/>
        <v>#N/A</v>
      </c>
      <c r="FD326" s="91" t="e">
        <f t="shared" si="466"/>
        <v>#N/A</v>
      </c>
      <c r="FE326" s="30" t="e">
        <f t="shared" si="514"/>
        <v>#N/A</v>
      </c>
      <c r="FF326" s="30" t="e">
        <f t="shared" si="515"/>
        <v>#N/A</v>
      </c>
      <c r="FG326" s="31" t="e">
        <f>IF(OR(Hypothèses!$B$4=17,Hypothèses!$B$4=18,Hypothèses!$B$4=19,Hypothèses!$B$4=20),
IF($D326="Pressio.",
IF(OR($E326=3,$E326=1,$E326=4),FF326,FE326),
IF($D326="Pénétro.",
IF(OR($E326=3,$E326=1,$E326=4),FF326,FE326))),IF($D326="Pressio.",
IF($E326=3,FF326,FE326),
IF($D326="Pénétro.",
IF($E326=4,FF326,FE326))))</f>
        <v>#N/A</v>
      </c>
      <c r="FH326" s="31" t="e">
        <f>(IF(OR(Hypothèses!$B$4=17,Hypothèses!$B$4=18,Hypothèses!$B$4=19,Hypothèses!$B$4=20),
IF($D326="Pressio.",
IF(OR($E326=3,$E326=1,$E326=4),(PI()*FH$12^2)/4*(FD326*$W326*1000)/($H326*$B$5),(PI()*FH$12^2)/4*(FD326*$W326*1000)/($G326*$B$5)),
IF($D326="Pénétro.",
IF(OR($E326=4,$E326=1,$E326=5),(PI()*FH$12^2)/4*(FD326*$W326*1000)/($H326*$B$5),(PI()*FH$12^2)/4*(FD326*$W326*1000)/($G326*$B$5)))),
IF($D326="Pressio.",
IF($E326=3,(PI()*FH$12^2)/4*(FD326*$W326*1000)/($H326*$B$5),(PI()*FH$12^2)/4*(FD326*$W326*1000)/($G326*$B$5)),
IF($D326="Pénétro.",
IF($E326=4,(PI()*FH$12^2)/4*(FD326*$W326*1000)/($H326*$B$5),(PI()*FH$12^2)/4*(FD326*$W326*1000)/($G326*$B$5))))))/10</f>
        <v>#N/A</v>
      </c>
      <c r="FI326" s="102" t="e">
        <f>(VLOOKUP($B$3,'Coeff EC7'!$T$39:$X$59,2,0)*FG326+VLOOKUP($B$3,'Coeff EC7'!$T$65:$X$85,2,0)*Model0.1C!FH326)/1.1</f>
        <v>#N/A</v>
      </c>
      <c r="FJ326" s="102" t="e">
        <f>(VLOOKUP($B$3,'Coeff EC7'!$T$39:$X$59,3,0)*FG326+VLOOKUP($B$3,'Coeff EC7'!$T$65:$X$85,3,0)*Model0.1C!FH326)/0.9</f>
        <v>#N/A</v>
      </c>
      <c r="FK326" s="102" t="e">
        <f t="shared" si="498"/>
        <v>#N/A</v>
      </c>
      <c r="FL326" s="102" t="e">
        <f t="shared" si="499"/>
        <v>#N/A</v>
      </c>
      <c r="FM326" s="414" t="e">
        <f>IF(FM325=0,0,IF(AND(FI326&gt;charge_ELS_quasi,FJ326&gt;Charge_ELS_freq,FK326&gt;charge_ELU,FL326&gt;charge_ELA,$B326&gt;NDC!$H$22-0.1+MIN(3*$FM$12,1.5)),0,1))</f>
        <v>#N/A</v>
      </c>
    </row>
    <row r="327" spans="1:169">
      <c r="A327" s="96">
        <f t="shared" si="467"/>
        <v>68.600000000001785</v>
      </c>
      <c r="B327" s="97">
        <v>31.4</v>
      </c>
      <c r="C327" s="81">
        <f>IF(B327&lt;=Hypothèses!$C$7,Hypothèses!$A$7,IF(B327&lt;=Hypothèses!$C$8,Hypothèses!$A$8,IF(B327&lt;=Hypothèses!$C$9,Hypothèses!$A$9,IF(B327&lt;=Hypothèses!$C$10,Hypothèses!$A$10,IF(B327&lt;=Hypothèses!$C$11,Hypothèses!$A$11,IF(B327&lt;=Hypothèses!$C$12,Hypothèses!$A$12,IF(B327&lt;=Hypothèses!$C$13,Hypothèses!$A$13,IF(B327&lt;=Hypothèses!$C$14,Hypothèses!$A$14,IF(B327&lt;=Hypothèses!$C$15,Hypothèses!$A$15,IF(B327&lt;=Hypothèses!$C$16,Hypothèses!$A$16,IF(B327&lt;=Hypothèses!$C$17,Hypothèses!$A$17,IF(B327&lt;=Hypothèses!$C$18,Hypothèses!$A$18,C326))))))))))))</f>
        <v>11</v>
      </c>
      <c r="D327" s="82" t="str">
        <f>IF(B327&lt;=Hypothèses!$C$7,Hypothèses!$R$7,IF(B327&lt;=Hypothèses!$C$8,Hypothèses!$R$8,IF(B327&lt;=Hypothèses!$C$9,Hypothèses!$R$9,IF(B327&lt;=Hypothèses!$C$10,Hypothèses!$R$10,IF(B327&lt;=Hypothèses!$C$11,Hypothèses!$R$11,IF(B327&lt;=Hypothèses!$C$12,Hypothèses!$R$12,IF(B327&lt;=Hypothèses!$C$13,Hypothèses!$R$13,IF(B327&lt;=Hypothèses!$C$14,Hypothèses!$R$14,IF(B327&lt;=Hypothèses!$C$15,Hypothèses!$R$15,IF(B327&lt;=Hypothèses!$C$16,Hypothèses!$R$16,IF(B327&lt;=Hypothèses!$C$17,Hypothèses!$R$17,IF(B327&lt;=Hypothèses!$C$18,Hypothèses!$R$18,D326))))))))))))</f>
        <v>Pressio.</v>
      </c>
      <c r="E327" s="82" t="e">
        <f>IF(B327&lt;=Hypothèses!$C$7,Hypothèses!$G$7,IF(B327&lt;=Hypothèses!$C$8,Hypothèses!$G$8,IF(B327&lt;=Hypothèses!$C$9,Hypothèses!$G$9,IF(B327&lt;=Hypothèses!$C$10,Hypothèses!$G$10,IF(B327&lt;=Hypothèses!$C$11,Hypothèses!$G$11,IF(B327&lt;=Hypothèses!$C$12,Hypothèses!$G$12,IF(B327&lt;=Hypothèses!$C$13,Hypothèses!$G$13,IF(B327&lt;=Hypothèses!$C$14,Hypothèses!$G$14,IF(B327&lt;=Hypothèses!$C$15,Hypothèses!$G$15,IF(B327&lt;=Hypothèses!$C$16,Hypothèses!$G$16,IF(B327&lt;=Hypothèses!$C$17,Hypothèses!$G$17,IF(B327&lt;=Hypothèses!$C$18,Hypothèses!$G$18,E326))))))))))))</f>
        <v>#N/A</v>
      </c>
      <c r="F327" s="82" t="str">
        <f>IF(B327&lt;=Hypothèses!$C$7,Hypothèses!$F$7,IF(B327&lt;=Hypothèses!$C$8,Hypothèses!$F$8,IF(B327&lt;=Hypothèses!$C$9,Hypothèses!$F$9,IF(B327&lt;=Hypothèses!$C$10,Hypothèses!$F$10,IF(B327&lt;=Hypothèses!$C$11,Hypothèses!$F$11,IF(B327&lt;=Hypothèses!$C$12,Hypothèses!$F$12,IF(B327&lt;=Hypothèses!$C$13,Hypothèses!$F$13,IF(B327&lt;=Hypothèses!$C$14,Hypothèses!$F$14,IF(B327&lt;=Hypothèses!$C$15,Hypothèses!$F$15,IF(B327&lt;=Hypothèses!$C$16,Hypothèses!$F$16,IF(B327&lt;=Hypothèses!$C$17,Hypothèses!$F$17,IF(B327&lt;=Hypothèses!$C$18,Hypothèses!$F$18,F326))))))))))))</f>
        <v/>
      </c>
      <c r="G327" s="91">
        <f t="array" ref="G327">INDEX('Coeff EC7'!$U$7:$X$27,
MATCH(Model0.1C!$B$3,'Coeff EC7'!$T$7:$T$27,0),
MATCH(Model0.1C!$D327&amp;Model0.1C!$B$4,
'Coeff EC7'!$U$6:$X$6&amp;
'Coeff EC7'!$U$5:$X$5,0))</f>
        <v>1.1499999999999999</v>
      </c>
      <c r="H327" s="91">
        <f t="array" ref="H327">INDEX('Coeff EC7'!$Y$7:$AB$27,
MATCH(Model0.1C!$B$3,'Coeff EC7'!$T$7:$T$27,0),
MATCH(Model0.1C!$D327&amp;Model0.1C!$B$4,
'Coeff EC7'!$Y$6:$AB$6&amp;
'Coeff EC7'!$Y$5:$AB$5,0))</f>
        <v>1.4</v>
      </c>
      <c r="I327" s="83" t="e">
        <f>IF(B327&lt;=Hypothèses!$C$7,Hypothèses!$P$7,IF(B327&lt;=Hypothèses!$C$8,Hypothèses!$P$8,IF(B327&lt;=Hypothèses!$C$9,Hypothèses!$P$9,IF(B327&lt;=Hypothèses!$C$10,Hypothèses!$P$10,IF(B327&lt;=Hypothèses!$C$11,Hypothèses!$P$11,IF(B327&lt;=Hypothèses!$C$12,Hypothèses!$P$12,IF(B327&lt;=Hypothèses!$C$13,Hypothèses!$P$13,IF(B327&lt;=Hypothèses!$C$14,Hypothèses!$P$14,IF(B327&lt;=Hypothèses!$C$15,Hypothèses!$P$15,IF(B327&lt;=Hypothèses!$C$16,Hypothèses!$P$16,IF(B327&lt;=Hypothèses!$C$17,Hypothèses!$P$17,IF(B327&lt;=Hypothèses!$C$18,Hypothèses!$P$18,I326))))))))))))</f>
        <v>#N/A</v>
      </c>
      <c r="J327" s="91" t="e">
        <f t="array" ref="J327">INDEX('Coeff EC7'!$D$33:$Q$33,1,MATCH(D327&amp;E327,'Coeff EC7'!$D$31:$Q$31&amp;'Coeff EC7'!$D$32:$Q$32,0))</f>
        <v>#N/A</v>
      </c>
      <c r="K327" s="91" t="e">
        <f t="array" ref="K327">INDEX('Coeff EC7'!$D$34:$Q$34,1,MATCH(D327&amp;E327,'Coeff EC7'!$D$31:$Q$31&amp;'Coeff EC7'!$D$32:$Q$32,0))</f>
        <v>#N/A</v>
      </c>
      <c r="L327" s="91" t="e">
        <f t="array" ref="L327">INDEX('Coeff EC7'!$D$35:$Q$35,1,MATCH(D327&amp;E327,'Coeff EC7'!$D$31:$Q$31&amp;'Coeff EC7'!$D$32:$Q$32,0))</f>
        <v>#N/A</v>
      </c>
      <c r="M327" s="98" t="e">
        <f t="shared" si="431"/>
        <v>#N/A</v>
      </c>
      <c r="N327" s="99" t="e">
        <f t="array" ref="N327">INDEX('Coeff EC7'!$D$7:$Q$27,MATCH($B$3,'Coeff EC7'!$C$7:$C$27,0),MATCH(D327&amp;E327,'Coeff EC7'!$D$5:$Q$5&amp;'Coeff EC7'!$D$6:$Q$6,0))</f>
        <v>#N/A</v>
      </c>
      <c r="O327" s="99" t="e">
        <f t="array" ref="O327">INDEX('Coeff EC7'!$D$41:$Q$61,MATCH($B$3,'Coeff EC7'!$C$41:$C$61,0),MATCH(D327&amp;E327,'Coeff EC7'!$D$39:$Q$39&amp;'Coeff EC7'!$D$40:$Q$40,0))</f>
        <v>#N/A</v>
      </c>
      <c r="P327" s="30" t="e">
        <f t="shared" si="468"/>
        <v>#N/A</v>
      </c>
      <c r="Q327" s="100" t="e">
        <f t="shared" si="433"/>
        <v>#N/A</v>
      </c>
      <c r="R327" s="86" t="b">
        <f t="shared" si="434"/>
        <v>0</v>
      </c>
      <c r="S327" s="86">
        <f t="shared" si="432"/>
        <v>0.5</v>
      </c>
      <c r="T327" s="86">
        <f t="shared" si="435"/>
        <v>0.5</v>
      </c>
      <c r="U327" s="30" t="e">
        <f t="shared" ca="1" si="469"/>
        <v>#DIV/0!</v>
      </c>
      <c r="V327" s="85" t="str">
        <f>IF(B327&lt;=Hypothèses!$V$7,Hypothèses!$W$7,IF(B327&lt;=Hypothèses!$V$8,Hypothèses!$W$8,IF(B327&lt;=Hypothèses!$V$9,Hypothèses!$W$9,IF(B327&lt;=Hypothèses!$V$10,Hypothèses!$W$10,IF(B327&lt;=Hypothèses!$V$11,Hypothèses!$W$11,IF(B327&lt;=Hypothèses!$V$12,Hypothèses!$W$12,IF(B327&lt;=Hypothèses!$V$13,Hypothèses!$W$13,IF(B327&lt;=Hypothèses!$V$14,Hypothèses!$W$14,IF(B327&lt;=Hypothèses!$V$15,Hypothèses!$W$15,IF(B327&lt;=Hypothèses!$V$16,Hypothèses!$W$16,IF(B327&lt;=Hypothèses!$V$17,Hypothèses!$W$17,IF(B327&lt;=Hypothèses!$V$18,Hypothèses!$W$18,""))))))))))))</f>
        <v/>
      </c>
      <c r="W327" s="87" t="e">
        <f t="shared" ca="1" si="516"/>
        <v>#DIV/0!</v>
      </c>
      <c r="X327" s="88" t="str">
        <f>IF(B327&lt;=Hypothèses!$V$7,Hypothèses!$X$7,IF(B327&lt;=Hypothèses!$V$8,Hypothèses!$X$8,IF(B327&lt;=Hypothèses!$V$9,Hypothèses!$X$9,IF(B327&lt;=Hypothèses!$V$10,Hypothèses!$X$10,IF(B327&lt;=Hypothèses!$V$11,Hypothèses!$X$11,IF(B327&lt;=Hypothèses!$V$12,Hypothèses!$X$12,IF(B327&lt;=Hypothèses!$V$13,Hypothèses!$X$13,IF(B327&lt;=Hypothèses!$V$14,Hypothèses!$X$14,IF(B327&lt;=Hypothèses!$V$15,Hypothèses!$X$15,IF(B327&lt;=Hypothèses!$V$16,Hypothèses!$X$16,IF(B327&lt;=Hypothèses!$U$17,Hypothèses!$W$17,IF(B327&lt;=Hypothèses!$U$18,Hypothèses!$W$18,""))))))))))))</f>
        <v/>
      </c>
      <c r="Y327" s="95" t="e">
        <f t="shared" ca="1" si="436"/>
        <v>#DIV/0!</v>
      </c>
      <c r="Z327" s="101" t="e">
        <f t="shared" si="437"/>
        <v>#N/A</v>
      </c>
      <c r="AA327" s="91" t="e">
        <f t="shared" si="438"/>
        <v>#N/A</v>
      </c>
      <c r="AB327" s="30" t="e">
        <f t="shared" si="500"/>
        <v>#N/A</v>
      </c>
      <c r="AC327" s="30" t="e">
        <f t="shared" si="501"/>
        <v>#N/A</v>
      </c>
      <c r="AD327" s="31" t="e">
        <f>IF(OR(Hypothèses!$B$4=17,Hypothèses!$B$4=18,Hypothèses!$B$4=19,Hypothèses!$B$4=20),
IF($D327="Pressio.",
IF(OR($E327=3,$E327=1,$E327=4),AC327,AB327),
IF($D327="Pénétro.",
IF(OR($E327=3,$E327=1,$E327=4),AC327,AB327))),IF($D327="Pressio.",
IF($E327=3,AC327,AB327),
IF($D327="Pénétro.",
IF($E327=4,AC327,AB327))))</f>
        <v>#N/A</v>
      </c>
      <c r="AE327" s="31" t="e">
        <f>(IF(OR(Hypothèses!$B$4=17,Hypothèses!$B$4=18,Hypothèses!$B$4=19,Hypothèses!$B$4=20),
IF($D327="Pressio.",
IF(OR($E327=3,$E327=1,$E327=4),(PI()*AE$12^2)/4*(AA327*$W327*1000)/($H327*$B$5),(PI()*AE$12^2)/4*(AA327*$W327*1000)/($G327*$B$5)),
IF($D327="Pénétro.",
IF(OR($E327=4,$E327=1,$E327=5),(PI()*AE$12^2)/4*(AA327*$W327*1000)/($H327*$B$5),(PI()*AE$12^2)/4*(AA327*$W327*1000)/($G327*$B$5)))),
IF($D327="Pressio.",
IF($E327=3,(PI()*AE$12^2)/4*(AA327*$W327*1000)/($H327*$B$5),(PI()*AE$12^2)/4*(AA327*$W327*1000)/($G327*$B$5)),
IF($D327="Pénétro.",
IF($E327=4,(PI()*AE$12^2)/4*(AA327*$W327*1000)/($H327*$B$5),(PI()*AE$12^2)/4*(AA327*$W327*1000)/($G327*$B$5))))))/10</f>
        <v>#N/A</v>
      </c>
      <c r="AF327" s="102" t="e">
        <f>(VLOOKUP($B$3,'Coeff EC7'!$T$39:$X$59,2,0)*AD327+VLOOKUP($B$3,'Coeff EC7'!$T$65:$X$85,2,0)*Model0.1C!AE327)/1.1</f>
        <v>#N/A</v>
      </c>
      <c r="AG327" s="102" t="e">
        <f>(VLOOKUP($B$3,'Coeff EC7'!$T$39:$X$59,3,0)*AD327+VLOOKUP($B$3,'Coeff EC7'!$T$65:$X$85,3,0)*Model0.1C!AE327)/0.9</f>
        <v>#N/A</v>
      </c>
      <c r="AH327" s="102" t="e">
        <f t="shared" si="439"/>
        <v>#N/A</v>
      </c>
      <c r="AI327" s="102" t="e">
        <f t="shared" si="440"/>
        <v>#N/A</v>
      </c>
      <c r="AJ327" s="414" t="e">
        <f>IF(AJ326=0,0,IF(AND(AF327&gt;charge_ELS_quasi,AG327&gt;Charge_ELS_freq,AH327&gt;charge_ELU,AI327&gt;charge_ELA,$B327&gt;NDC!$H$22-0.1+MIN(3*$AJ$12,1.5)),0,1))</f>
        <v>#N/A</v>
      </c>
      <c r="AK327" s="86" t="b">
        <f t="shared" si="441"/>
        <v>0</v>
      </c>
      <c r="AL327" s="86">
        <f t="shared" si="470"/>
        <v>0.5</v>
      </c>
      <c r="AM327" s="86">
        <f t="shared" si="442"/>
        <v>0.5</v>
      </c>
      <c r="AN327" s="30" t="e">
        <f t="shared" ca="1" si="471"/>
        <v>#DIV/0!</v>
      </c>
      <c r="AO327" s="85" t="e">
        <f ca="1">IF(U327&lt;=Hypothèses!$V$7,Hypothèses!$W$7,IF(U327&lt;=Hypothèses!$V$8,Hypothèses!$W$8,IF(U327&lt;=Hypothèses!$V$9,Hypothèses!$W$9,IF(U327&lt;=Hypothèses!$V$10,Hypothèses!$W$10,IF(U327&lt;=Hypothèses!$V$11,Hypothèses!$W$11,IF(U327&lt;=Hypothèses!$V$12,Hypothèses!$W$12,IF(U327&lt;=Hypothèses!$V$13,Hypothèses!$W$13,IF(U327&lt;=Hypothèses!$V$14,Hypothèses!$W$14,IF(U327&lt;=Hypothèses!$V$15,Hypothèses!$W$15,IF(U327&lt;=Hypothèses!$V$16,Hypothèses!$W$16,IF(U327&lt;=Hypothèses!$V$17,Hypothèses!$W$17,IF(U327&lt;=Hypothèses!$V$18,Hypothèses!$W$18,""))))))))))))</f>
        <v>#DIV/0!</v>
      </c>
      <c r="AP327" s="87" t="e">
        <f t="shared" ca="1" si="517"/>
        <v>#DIV/0!</v>
      </c>
      <c r="AQ327" s="88" t="e">
        <f ca="1">IF(U327&lt;=Hypothèses!$V$7,Hypothèses!$X$7,IF(U327&lt;=Hypothèses!$V$8,Hypothèses!$X$8,IF(U327&lt;=Hypothèses!$V$9,Hypothèses!$X$9,IF(U327&lt;=Hypothèses!$V$10,Hypothèses!$X$10,IF(U327&lt;=Hypothèses!$V$11,Hypothèses!$X$11,IF(U327&lt;=Hypothèses!$V$12,Hypothèses!$X$12,IF(U327&lt;=Hypothèses!$V$13,Hypothèses!$X$13,IF(U327&lt;=Hypothèses!$V$14,Hypothèses!$X$14,IF(U327&lt;=Hypothèses!$V$15,Hypothèses!$X$15,IF(U327&lt;=Hypothèses!$V$16,Hypothèses!$X$16,IF(U327&lt;=Hypothèses!$U$17,Hypothèses!$W$17,IF(U327&lt;=Hypothèses!$U$18,Hypothèses!$W$18,""))))))))))))</f>
        <v>#DIV/0!</v>
      </c>
      <c r="AR327" s="95" t="e">
        <f t="shared" ca="1" si="472"/>
        <v>#DIV/0!</v>
      </c>
      <c r="AS327" s="101" t="e">
        <f t="shared" si="524"/>
        <v>#N/A</v>
      </c>
      <c r="AT327" s="91" t="e">
        <f t="shared" si="443"/>
        <v>#N/A</v>
      </c>
      <c r="AU327" s="30" t="e">
        <f t="shared" si="502"/>
        <v>#N/A</v>
      </c>
      <c r="AV327" s="30" t="e">
        <f t="shared" si="503"/>
        <v>#N/A</v>
      </c>
      <c r="AW327" s="31" t="e">
        <f>IF(OR(Hypothèses!$B$4=17,Hypothèses!$B$4=18,Hypothèses!$B$4=19,Hypothèses!$B$4=20),
IF($D327="Pressio.",
IF(OR($E327=3,$E327=1,$E327=4),AV327,AU327),
IF($D327="Pénétro.",
IF(OR($E327=3,$E327=1,$E327=4),AV327,AU327))),IF($D327="Pressio.",
IF($E327=3,AV327,AU327),
IF($D327="Pénétro.",
IF($E327=4,AV327,AU327))))</f>
        <v>#N/A</v>
      </c>
      <c r="AX327" s="31" t="e">
        <f>(IF(OR(Hypothèses!$B$4=17,Hypothèses!$B$4=18,Hypothèses!$B$4=19,Hypothèses!$B$4=20),
IF($D327="Pressio.",
IF(OR($E327=3,$E327=1,$E327=4),(PI()*AX$12^2)/4*(AT327*$W327*1000)/($H327*$B$5),(PI()*AX$12^2)/4*(AT327*$W327*1000)/($G327*$B$5)),
IF($D327="Pénétro.",
IF(OR($E327=4,$E327=1,$E327=5),(PI()*AX$12^2)/4*(AT327*$W327*1000)/($H327*$B$5),(PI()*AX$12^2)/4*(AT327*$W327*1000)/($G327*$B$5)))),
IF($D327="Pressio.",
IF($E327=3,(PI()*AX$12^2)/4*(AT327*$W327*1000)/($H327*$B$5),(PI()*AX$12^2)/4*(AT327*$W327*1000)/($G327*$B$5)),
IF($D327="Pénétro.",
IF($E327=4,(PI()*AX$12^2)/4*(AT327*$W327*1000)/($H327*$B$5),(PI()*AX$12^2)/4*(AT327*$W327*1000)/($G327*$B$5))))))/10</f>
        <v>#N/A</v>
      </c>
      <c r="AY327" s="102" t="e">
        <f>(VLOOKUP($B$3,'Coeff EC7'!$T$39:$X$59,2,0)*AW327+VLOOKUP($B$3,'Coeff EC7'!$T$65:$X$85,2,0)*Model0.1C!AX327)/1.1</f>
        <v>#N/A</v>
      </c>
      <c r="AZ327" s="102" t="e">
        <f>(VLOOKUP($B$3,'Coeff EC7'!$T$39:$X$59,3,0)*AW327+VLOOKUP($B$3,'Coeff EC7'!$T$65:$X$85,3,0)*Model0.1C!AX327)/0.9</f>
        <v>#N/A</v>
      </c>
      <c r="BA327" s="102" t="e">
        <f t="shared" si="473"/>
        <v>#N/A</v>
      </c>
      <c r="BB327" s="102" t="e">
        <f t="shared" si="474"/>
        <v>#N/A</v>
      </c>
      <c r="BC327" s="414" t="e">
        <f>IF(BC326=0,0,IF(AND(AY327&gt;charge_ELS_quasi,AZ327&gt;Charge_ELS_freq,BA327&gt;charge_ELU,BB327&gt;charge_ELA,$B327&gt;NDC!$H$22-0.1+MIN(3*$BC$12,1.5)),0,1))</f>
        <v>#N/A</v>
      </c>
      <c r="BD327" s="86" t="b">
        <f t="shared" si="444"/>
        <v>0</v>
      </c>
      <c r="BE327" s="86">
        <f t="shared" si="475"/>
        <v>0.5</v>
      </c>
      <c r="BF327" s="86">
        <f t="shared" si="445"/>
        <v>0.5</v>
      </c>
      <c r="BG327" s="30" t="e">
        <f t="shared" ca="1" si="476"/>
        <v>#DIV/0!</v>
      </c>
      <c r="BH327" s="85" t="e">
        <f ca="1">IF(AN327&lt;=Hypothèses!$V$7,Hypothèses!$W$7,IF(AN327&lt;=Hypothèses!$V$8,Hypothèses!$W$8,IF(AN327&lt;=Hypothèses!$V$9,Hypothèses!$W$9,IF(AN327&lt;=Hypothèses!$V$10,Hypothèses!$W$10,IF(AN327&lt;=Hypothèses!$V$11,Hypothèses!$W$11,IF(AN327&lt;=Hypothèses!$V$12,Hypothèses!$W$12,IF(AN327&lt;=Hypothèses!$V$13,Hypothèses!$W$13,IF(AN327&lt;=Hypothèses!$V$14,Hypothèses!$W$14,IF(AN327&lt;=Hypothèses!$V$15,Hypothèses!$W$15,IF(AN327&lt;=Hypothèses!$V$16,Hypothèses!$W$16,IF(AN327&lt;=Hypothèses!$V$17,Hypothèses!$W$17,IF(AN327&lt;=Hypothèses!$V$18,Hypothèses!$W$18,""))))))))))))</f>
        <v>#DIV/0!</v>
      </c>
      <c r="BI327" s="87" t="e">
        <f t="shared" ca="1" si="518"/>
        <v>#DIV/0!</v>
      </c>
      <c r="BJ327" s="88" t="e">
        <f ca="1">IF(AN327&lt;=Hypothèses!$V$7,Hypothèses!$X$7,IF(AN327&lt;=Hypothèses!$V$8,Hypothèses!$X$8,IF(AN327&lt;=Hypothèses!$V$9,Hypothèses!$X$9,IF(AN327&lt;=Hypothèses!$V$10,Hypothèses!$X$10,IF(AN327&lt;=Hypothèses!$V$11,Hypothèses!$X$11,IF(AN327&lt;=Hypothèses!$V$12,Hypothèses!$X$12,IF(AN327&lt;=Hypothèses!$V$13,Hypothèses!$X$13,IF(AN327&lt;=Hypothèses!$V$14,Hypothèses!$X$14,IF(AN327&lt;=Hypothèses!$V$15,Hypothèses!$X$15,IF(AN327&lt;=Hypothèses!$V$16,Hypothèses!$X$16,IF(AN327&lt;=Hypothèses!$U$17,Hypothèses!$W$17,IF(AN327&lt;=Hypothèses!$U$18,Hypothèses!$W$18,""))))))))))))</f>
        <v>#DIV/0!</v>
      </c>
      <c r="BK327" s="95" t="e">
        <f t="shared" ca="1" si="477"/>
        <v>#DIV/0!</v>
      </c>
      <c r="BL327" s="101" t="e">
        <f t="shared" si="525"/>
        <v>#N/A</v>
      </c>
      <c r="BM327" s="91" t="e">
        <f t="shared" si="446"/>
        <v>#N/A</v>
      </c>
      <c r="BN327" s="30" t="e">
        <f t="shared" si="504"/>
        <v>#N/A</v>
      </c>
      <c r="BO327" s="30" t="e">
        <f t="shared" si="505"/>
        <v>#N/A</v>
      </c>
      <c r="BP327" s="31" t="e">
        <f>IF(OR(Hypothèses!$B$4=17,Hypothèses!$B$4=18,Hypothèses!$B$4=19,Hypothèses!$B$4=20),
IF($D327="Pressio.",
IF(OR($E327=3,$E327=1,$E327=4),BO327,BN327),
IF($D327="Pénétro.",
IF(OR($E327=3,$E327=1,$E327=4),BO327,BN327))),IF($D327="Pressio.",
IF($E327=3,BO327,BN327),
IF($D327="Pénétro.",
IF($E327=4,BO327,BN327))))</f>
        <v>#N/A</v>
      </c>
      <c r="BQ327" s="31" t="e">
        <f>(IF(OR(Hypothèses!$B$4=17,Hypothèses!$B$4=18,Hypothèses!$B$4=19,Hypothèses!$B$4=20),
IF($D327="Pressio.",
IF(OR($E327=3,$E327=1,$E327=4),(PI()*BQ$12^2)/4*(BM327*$W327*1000)/($H327*$B$5),(PI()*BQ$12^2)/4*(BM327*$W327*1000)/($G327*$B$5)),
IF($D327="Pénétro.",
IF(OR($E327=4,$E327=1,$E327=5),(PI()*BQ$12^2)/4*(BM327*$W327*1000)/($H327*$B$5),(PI()*BQ$12^2)/4*(BM327*$W327*1000)/($G327*$B$5)))),
IF($D327="Pressio.",
IF($E327=3,(PI()*BQ$12^2)/4*(BM327*$W327*1000)/($H327*$B$5),(PI()*BQ$12^2)/4*(BM327*$W327*1000)/($G327*$B$5)),
IF($D327="Pénétro.",
IF($E327=4,(PI()*BQ$12^2)/4*(BM327*$W327*1000)/($H327*$B$5),(PI()*BQ$12^2)/4*(BM327*$W327*1000)/($G327*$B$5))))))/10</f>
        <v>#N/A</v>
      </c>
      <c r="BR327" s="102" t="e">
        <f>(VLOOKUP($B$3,'Coeff EC7'!$T$39:$X$59,2,0)*BP327+VLOOKUP($B$3,'Coeff EC7'!$T$65:$X$85,2,0)*Model0.1C!BQ327)/1.1</f>
        <v>#N/A</v>
      </c>
      <c r="BS327" s="102" t="e">
        <f>(VLOOKUP($B$3,'Coeff EC7'!$T$39:$X$59,3,0)*BP327+VLOOKUP($B$3,'Coeff EC7'!$T$65:$X$85,3,0)*Model0.1C!BQ327)/0.9</f>
        <v>#N/A</v>
      </c>
      <c r="BT327" s="102" t="e">
        <f t="shared" si="478"/>
        <v>#N/A</v>
      </c>
      <c r="BU327" s="102" t="e">
        <f t="shared" si="479"/>
        <v>#N/A</v>
      </c>
      <c r="BV327" s="414" t="e">
        <f>IF(BV326=0,0,IF(AND(BR327&gt;charge_ELS_quasi,BS327&gt;Charge_ELS_freq,BT327&gt;charge_ELU,BU327&gt;charge_ELA,$B327&gt;NDC!$H$22-0.1+MIN(3*$BV$12,1.5)),0,1))</f>
        <v>#N/A</v>
      </c>
      <c r="BW327" s="86" t="b">
        <f t="shared" si="447"/>
        <v>0</v>
      </c>
      <c r="BX327" s="86">
        <f t="shared" si="448"/>
        <v>0.5</v>
      </c>
      <c r="BY327" s="86">
        <f t="shared" si="449"/>
        <v>0.5</v>
      </c>
      <c r="BZ327" s="30" t="e">
        <f t="shared" ca="1" si="480"/>
        <v>#DIV/0!</v>
      </c>
      <c r="CA327" s="85" t="e">
        <f ca="1">IF(BG327&lt;=Hypothèses!$V$7,Hypothèses!$W$7,IF(BG327&lt;=Hypothèses!$V$8,Hypothèses!$W$8,IF(BG327&lt;=Hypothèses!$V$9,Hypothèses!$W$9,IF(BG327&lt;=Hypothèses!$V$10,Hypothèses!$W$10,IF(BG327&lt;=Hypothèses!$V$11,Hypothèses!$W$11,IF(BG327&lt;=Hypothèses!$V$12,Hypothèses!$W$12,IF(BG327&lt;=Hypothèses!$V$13,Hypothèses!$W$13,IF(BG327&lt;=Hypothèses!$V$14,Hypothèses!$W$14,IF(BG327&lt;=Hypothèses!$V$15,Hypothèses!$W$15,IF(BG327&lt;=Hypothèses!$V$16,Hypothèses!$W$16,IF(BG327&lt;=Hypothèses!$V$17,Hypothèses!$W$17,IF(BG327&lt;=Hypothèses!$V$18,Hypothèses!$W$18,""))))))))))))</f>
        <v>#DIV/0!</v>
      </c>
      <c r="CB327" s="87" t="e">
        <f t="shared" ca="1" si="519"/>
        <v>#DIV/0!</v>
      </c>
      <c r="CC327" s="88" t="e">
        <f ca="1">IF(BG327&lt;=Hypothèses!$V$7,Hypothèses!$X$7,IF(BG327&lt;=Hypothèses!$V$8,Hypothèses!$X$8,IF(BG327&lt;=Hypothèses!$V$9,Hypothèses!$X$9,IF(BG327&lt;=Hypothèses!$V$10,Hypothèses!$X$10,IF(BG327&lt;=Hypothèses!$V$11,Hypothèses!$X$11,IF(BG327&lt;=Hypothèses!$V$12,Hypothèses!$X$12,IF(BG327&lt;=Hypothèses!$V$13,Hypothèses!$X$13,IF(BG327&lt;=Hypothèses!$V$14,Hypothèses!$X$14,IF(BG327&lt;=Hypothèses!$V$15,Hypothèses!$X$15,IF(BG327&lt;=Hypothèses!$V$16,Hypothèses!$X$16,IF(BG327&lt;=Hypothèses!$U$17,Hypothèses!$W$17,IF(BG327&lt;=Hypothèses!$U$18,Hypothèses!$W$18,""))))))))))))</f>
        <v>#DIV/0!</v>
      </c>
      <c r="CD327" s="95" t="e">
        <f t="shared" ca="1" si="481"/>
        <v>#DIV/0!</v>
      </c>
      <c r="CE327" s="101" t="e">
        <f t="shared" si="526"/>
        <v>#N/A</v>
      </c>
      <c r="CF327" s="91" t="e">
        <f t="shared" si="450"/>
        <v>#N/A</v>
      </c>
      <c r="CG327" s="30" t="e">
        <f t="shared" si="506"/>
        <v>#N/A</v>
      </c>
      <c r="CH327" s="30" t="e">
        <f t="shared" si="507"/>
        <v>#N/A</v>
      </c>
      <c r="CI327" s="31" t="e">
        <f>IF(OR(Hypothèses!$B$4=17,Hypothèses!$B$4=18,Hypothèses!$B$4=19,Hypothèses!$B$4=20),
IF($D327="Pressio.",
IF(OR($E327=3,$E327=1,$E327=4),CH327,CG327),
IF($D327="Pénétro.",
IF(OR($E327=3,$E327=1,$E327=4),CH327,CG327))),IF($D327="Pressio.",
IF($E327=3,CH327,CG327),
IF($D327="Pénétro.",
IF($E327=4,CH327,CG327))))</f>
        <v>#N/A</v>
      </c>
      <c r="CJ327" s="31" t="e">
        <f>(IF(OR(Hypothèses!$B$4=17,Hypothèses!$B$4=18,Hypothèses!$B$4=19,Hypothèses!$B$4=20),
IF($D327="Pressio.",
IF(OR($E327=3,$E327=1,$E327=4),(PI()*CJ$12^2)/4*(CF327*$W327*1000)/($H327*$B$5),(PI()*CJ$12^2)/4*(CF327*$W327*1000)/($G327*$B$5)),
IF($D327="Pénétro.",
IF(OR($E327=4,$E327=1,$E327=5),(PI()*CJ$12^2)/4*(CF327*$W327*1000)/($H327*$B$5),(PI()*CJ$12^2)/4*(CF327*$W327*1000)/($G327*$B$5)))),
IF($D327="Pressio.",
IF($E327=3,(PI()*CJ$12^2)/4*(CF327*$W327*1000)/($H327*$B$5),(PI()*CJ$12^2)/4*(CF327*$W327*1000)/($G327*$B$5)),
IF($D327="Pénétro.",
IF($E327=4,(PI()*CJ$12^2)/4*(CF327*$W327*1000)/($H327*$B$5),(PI()*CJ$12^2)/4*(CF327*$W327*1000)/($G327*$B$5))))))/10</f>
        <v>#N/A</v>
      </c>
      <c r="CK327" s="102" t="e">
        <f>(VLOOKUP($B$3,'Coeff EC7'!$T$39:$X$59,2,0)*CI327+VLOOKUP($B$3,'Coeff EC7'!$T$65:$X$85,2,0)*Model0.1C!CJ327)/1.1</f>
        <v>#N/A</v>
      </c>
      <c r="CL327" s="102" t="e">
        <f>(VLOOKUP($B$3,'Coeff EC7'!$T$39:$X$59,3,0)*CI327+VLOOKUP($B$3,'Coeff EC7'!$T$65:$X$85,3,0)*Model0.1C!CJ327)/0.9</f>
        <v>#N/A</v>
      </c>
      <c r="CM327" s="102" t="e">
        <f t="shared" si="482"/>
        <v>#N/A</v>
      </c>
      <c r="CN327" s="102" t="e">
        <f t="shared" si="483"/>
        <v>#N/A</v>
      </c>
      <c r="CO327" s="414" t="e">
        <f>IF(CO326=0,0,IF(AND(CK327&gt;charge_ELS_quasi,CL327&gt;Charge_ELS_freq,CM327&gt;charge_ELU,CN327&gt;charge_ELA,$B327&gt;NDC!$H$22-0.1+MIN(3*$CO$12,1.5)),0,1))</f>
        <v>#N/A</v>
      </c>
      <c r="CP327" s="86" t="b">
        <f t="shared" si="451"/>
        <v>0</v>
      </c>
      <c r="CQ327" s="86">
        <f t="shared" si="452"/>
        <v>0.5</v>
      </c>
      <c r="CR327" s="86">
        <f t="shared" si="453"/>
        <v>0.5</v>
      </c>
      <c r="CS327" s="30" t="e">
        <f t="shared" ca="1" si="484"/>
        <v>#DIV/0!</v>
      </c>
      <c r="CT327" s="85" t="e">
        <f ca="1">IF(BZ327&lt;=Hypothèses!$V$7,Hypothèses!$W$7,IF(BZ327&lt;=Hypothèses!$V$8,Hypothèses!$W$8,IF(BZ327&lt;=Hypothèses!$V$9,Hypothèses!$W$9,IF(BZ327&lt;=Hypothèses!$V$10,Hypothèses!$W$10,IF(BZ327&lt;=Hypothèses!$V$11,Hypothèses!$W$11,IF(BZ327&lt;=Hypothèses!$V$12,Hypothèses!$W$12,IF(BZ327&lt;=Hypothèses!$V$13,Hypothèses!$W$13,IF(BZ327&lt;=Hypothèses!$V$14,Hypothèses!$W$14,IF(BZ327&lt;=Hypothèses!$V$15,Hypothèses!$W$15,IF(BZ327&lt;=Hypothèses!$V$16,Hypothèses!$W$16,IF(BZ327&lt;=Hypothèses!$V$17,Hypothèses!$W$17,IF(BZ327&lt;=Hypothèses!$V$18,Hypothèses!$W$18,""))))))))))))</f>
        <v>#DIV/0!</v>
      </c>
      <c r="CU327" s="87" t="e">
        <f t="shared" ca="1" si="520"/>
        <v>#DIV/0!</v>
      </c>
      <c r="CV327" s="88" t="e">
        <f ca="1">IF(BZ327&lt;=Hypothèses!$V$7,Hypothèses!$X$7,IF(BZ327&lt;=Hypothèses!$V$8,Hypothèses!$X$8,IF(BZ327&lt;=Hypothèses!$V$9,Hypothèses!$X$9,IF(BZ327&lt;=Hypothèses!$V$10,Hypothèses!$X$10,IF(BZ327&lt;=Hypothèses!$V$11,Hypothèses!$X$11,IF(BZ327&lt;=Hypothèses!$V$12,Hypothèses!$X$12,IF(BZ327&lt;=Hypothèses!$V$13,Hypothèses!$X$13,IF(BZ327&lt;=Hypothèses!$V$14,Hypothèses!$X$14,IF(BZ327&lt;=Hypothèses!$V$15,Hypothèses!$X$15,IF(BZ327&lt;=Hypothèses!$V$16,Hypothèses!$X$16,IF(BZ327&lt;=Hypothèses!$U$17,Hypothèses!$W$17,IF(BZ327&lt;=Hypothèses!$U$18,Hypothèses!$W$18,""))))))))))))</f>
        <v>#DIV/0!</v>
      </c>
      <c r="CW327" s="95" t="e">
        <f t="shared" ca="1" si="485"/>
        <v>#DIV/0!</v>
      </c>
      <c r="CX327" s="101" t="e">
        <f t="shared" si="527"/>
        <v>#N/A</v>
      </c>
      <c r="CY327" s="91" t="e">
        <f t="shared" si="454"/>
        <v>#N/A</v>
      </c>
      <c r="CZ327" s="30" t="e">
        <f t="shared" si="508"/>
        <v>#N/A</v>
      </c>
      <c r="DA327" s="30" t="e">
        <f t="shared" si="509"/>
        <v>#N/A</v>
      </c>
      <c r="DB327" s="31" t="e">
        <f>IF(OR(Hypothèses!$B$4=17,Hypothèses!$B$4=18,Hypothèses!$B$4=19,Hypothèses!$B$4=20),
IF($D327="Pressio.",
IF(OR($E327=3,$E327=1,$E327=4),DA327,CZ327),
IF($D327="Pénétro.",
IF(OR($E327=3,$E327=1,$E327=4),DA327,CZ327))),IF($D327="Pressio.",
IF($E327=3,DA327,CZ327),
IF($D327="Pénétro.",
IF($E327=4,DA327,CZ327))))</f>
        <v>#N/A</v>
      </c>
      <c r="DC327" s="31" t="e">
        <f>(IF(OR(Hypothèses!$B$4=17,Hypothèses!$B$4=18,Hypothèses!$B$4=19,Hypothèses!$B$4=20),
IF($D327="Pressio.",
IF(OR($E327=3,$E327=1,$E327=4),(PI()*DC$12^2)/4*(CY327*$W327*1000)/($H327*$B$5),(PI()*DC$12^2)/4*(CY327*$W327*1000)/($G327*$B$5)),
IF($D327="Pénétro.",
IF(OR($E327=4,$E327=1,$E327=5),(PI()*DC$12^2)/4*(CY327*$W327*1000)/($H327*$B$5),(PI()*DC$12^2)/4*(CY327*$W327*1000)/($G327*$B$5)))),
IF($D327="Pressio.",
IF($E327=3,(PI()*DC$12^2)/4*(CY327*$W327*1000)/($H327*$B$5),(PI()*DC$12^2)/4*(CY327*$W327*1000)/($G327*$B$5)),
IF($D327="Pénétro.",
IF($E327=4,(PI()*DC$12^2)/4*(CY327*$W327*1000)/($H327*$B$5),(PI()*DC$12^2)/4*(CY327*$W327*1000)/($G327*$B$5))))))/10</f>
        <v>#N/A</v>
      </c>
      <c r="DD327" s="102" t="e">
        <f>(VLOOKUP($B$3,'Coeff EC7'!$T$39:$X$59,2,0)*DB327+VLOOKUP($B$3,'Coeff EC7'!$T$65:$X$85,2,0)*Model0.1C!DC327)/1.1</f>
        <v>#N/A</v>
      </c>
      <c r="DE327" s="102" t="e">
        <f>(VLOOKUP($B$3,'Coeff EC7'!$T$39:$X$59,3,0)*DB327+VLOOKUP($B$3,'Coeff EC7'!$T$65:$X$85,3,0)*Model0.1C!DC327)/0.9</f>
        <v>#N/A</v>
      </c>
      <c r="DF327" s="102" t="e">
        <f t="shared" si="486"/>
        <v>#N/A</v>
      </c>
      <c r="DG327" s="102" t="e">
        <f t="shared" si="487"/>
        <v>#N/A</v>
      </c>
      <c r="DH327" s="414" t="e">
        <f>IF(DH326=0,0,IF(AND(DD327&gt;charge_ELS_quasi,DE327&gt;Charge_ELS_freq,DF327&gt;charge_ELU,DG327&gt;charge_ELA,$B327&gt;NDC!$H$22-0.1+MIN(3*$DH$12,1.5)),0,1))</f>
        <v>#N/A</v>
      </c>
      <c r="DI327" s="86" t="b">
        <f t="shared" si="455"/>
        <v>0</v>
      </c>
      <c r="DJ327" s="86">
        <f t="shared" si="456"/>
        <v>0.5</v>
      </c>
      <c r="DK327" s="86">
        <f t="shared" si="457"/>
        <v>0.5</v>
      </c>
      <c r="DL327" s="30" t="e">
        <f t="shared" ca="1" si="488"/>
        <v>#DIV/0!</v>
      </c>
      <c r="DM327" s="85" t="e">
        <f ca="1">IF(CS327&lt;=Hypothèses!$V$7,Hypothèses!$W$7,IF(CS327&lt;=Hypothèses!$V$8,Hypothèses!$W$8,IF(CS327&lt;=Hypothèses!$V$9,Hypothèses!$W$9,IF(CS327&lt;=Hypothèses!$V$10,Hypothèses!$W$10,IF(CS327&lt;=Hypothèses!$V$11,Hypothèses!$W$11,IF(CS327&lt;=Hypothèses!$V$12,Hypothèses!$W$12,IF(CS327&lt;=Hypothèses!$V$13,Hypothèses!$W$13,IF(CS327&lt;=Hypothèses!$V$14,Hypothèses!$W$14,IF(CS327&lt;=Hypothèses!$V$15,Hypothèses!$W$15,IF(CS327&lt;=Hypothèses!$V$16,Hypothèses!$W$16,IF(CS327&lt;=Hypothèses!$V$17,Hypothèses!$W$17,IF(CS327&lt;=Hypothèses!$V$18,Hypothèses!$W$18,""))))))))))))</f>
        <v>#DIV/0!</v>
      </c>
      <c r="DN327" s="87" t="e">
        <f t="shared" ca="1" si="521"/>
        <v>#DIV/0!</v>
      </c>
      <c r="DO327" s="88" t="e">
        <f ca="1">IF(CS327&lt;=Hypothèses!$V$7,Hypothèses!$X$7,IF(CS327&lt;=Hypothèses!$V$8,Hypothèses!$X$8,IF(CS327&lt;=Hypothèses!$V$9,Hypothèses!$X$9,IF(CS327&lt;=Hypothèses!$V$10,Hypothèses!$X$10,IF(CS327&lt;=Hypothèses!$V$11,Hypothèses!$X$11,IF(CS327&lt;=Hypothèses!$V$12,Hypothèses!$X$12,IF(CS327&lt;=Hypothèses!$V$13,Hypothèses!$X$13,IF(CS327&lt;=Hypothèses!$V$14,Hypothèses!$X$14,IF(CS327&lt;=Hypothèses!$V$15,Hypothèses!$X$15,IF(CS327&lt;=Hypothèses!$V$16,Hypothèses!$X$16,IF(CS327&lt;=Hypothèses!$U$17,Hypothèses!$W$17,IF(CS327&lt;=Hypothèses!$U$18,Hypothèses!$W$18,""))))))))))))</f>
        <v>#DIV/0!</v>
      </c>
      <c r="DP327" s="95" t="e">
        <f t="shared" ca="1" si="489"/>
        <v>#DIV/0!</v>
      </c>
      <c r="DQ327" s="101" t="e">
        <f t="shared" si="528"/>
        <v>#N/A</v>
      </c>
      <c r="DR327" s="91" t="e">
        <f t="shared" si="458"/>
        <v>#N/A</v>
      </c>
      <c r="DS327" s="30" t="e">
        <f t="shared" si="510"/>
        <v>#N/A</v>
      </c>
      <c r="DT327" s="30" t="e">
        <f t="shared" si="511"/>
        <v>#N/A</v>
      </c>
      <c r="DU327" s="31" t="e">
        <f>IF(OR(Hypothèses!$B$4=17,Hypothèses!$B$4=18,Hypothèses!$B$4=19,Hypothèses!$B$4=20),
IF($D327="Pressio.",
IF(OR($E327=3,$E327=1,$E327=4),DT327,DS327),
IF($D327="Pénétro.",
IF(OR($E327=3,$E327=1,$E327=4),DT327,DS327))),IF($D327="Pressio.",
IF($E327=3,DT327,DS327),
IF($D327="Pénétro.",
IF($E327=4,DT327,DS327))))</f>
        <v>#N/A</v>
      </c>
      <c r="DV327" s="31" t="e">
        <f>(IF(OR(Hypothèses!$B$4=17,Hypothèses!$B$4=18,Hypothèses!$B$4=19,Hypothèses!$B$4=20),
IF($D327="Pressio.",
IF(OR($E327=3,$E327=1,$E327=4),(PI()*DV$12^2)/4*(DR327*$W327*1000)/($H327*$B$5),(PI()*DV$12^2)/4*(DR327*$W327*1000)/($G327*$B$5)),
IF($D327="Pénétro.",
IF(OR($E327=4,$E327=1,$E327=5),(PI()*DV$12^2)/4*(DR327*$W327*1000)/($H327*$B$5),(PI()*DV$12^2)/4*(DR327*$W327*1000)/($G327*$B$5)))),
IF($D327="Pressio.",
IF($E327=3,(PI()*DV$12^2)/4*(DR327*$W327*1000)/($H327*$B$5),(PI()*DV$12^2)/4*(DR327*$W327*1000)/($G327*$B$5)),
IF($D327="Pénétro.",
IF($E327=4,(PI()*DV$12^2)/4*(DR327*$W327*1000)/($H327*$B$5),(PI()*DV$12^2)/4*(DR327*$W327*1000)/($G327*$B$5))))))/10</f>
        <v>#N/A</v>
      </c>
      <c r="DW327" s="102" t="e">
        <f>(VLOOKUP($B$3,'Coeff EC7'!$T$39:$X$59,2,0)*DU327+VLOOKUP($B$3,'Coeff EC7'!$T$65:$X$85,2,0)*Model0.1C!DV327)/1.1</f>
        <v>#N/A</v>
      </c>
      <c r="DX327" s="102" t="e">
        <f>(VLOOKUP($B$3,'Coeff EC7'!$T$39:$X$59,3,0)*DU327+VLOOKUP($B$3,'Coeff EC7'!$T$65:$X$85,3,0)*Model0.1C!DV327)/0.9</f>
        <v>#N/A</v>
      </c>
      <c r="DY327" s="102" t="e">
        <f t="shared" si="490"/>
        <v>#N/A</v>
      </c>
      <c r="DZ327" s="102" t="e">
        <f t="shared" si="491"/>
        <v>#N/A</v>
      </c>
      <c r="EA327" s="414" t="e">
        <f>IF(EA326=0,0,IF(AND(DW327&gt;charge_ELS_quasi,DX327&gt;Charge_ELS_freq,DY327&gt;charge_ELU,DZ327&gt;charge_ELA,$B327&gt;NDC!$H$22-0.1+MIN(3*$EA$12,1.5)),0,1))</f>
        <v>#N/A</v>
      </c>
      <c r="EB327" s="86" t="b">
        <f t="shared" si="459"/>
        <v>0</v>
      </c>
      <c r="EC327" s="418">
        <f t="shared" si="460"/>
        <v>0.51</v>
      </c>
      <c r="ED327" s="86">
        <f t="shared" si="461"/>
        <v>0.51</v>
      </c>
      <c r="EE327" s="30" t="e">
        <f t="shared" ca="1" si="492"/>
        <v>#DIV/0!</v>
      </c>
      <c r="EF327" s="85" t="e">
        <f ca="1">IF(DL327&lt;=Hypothèses!$V$7,Hypothèses!$W$7,IF(DL327&lt;=Hypothèses!$V$8,Hypothèses!$W$8,IF(DL327&lt;=Hypothèses!$V$9,Hypothèses!$W$9,IF(DL327&lt;=Hypothèses!$V$10,Hypothèses!$W$10,IF(DL327&lt;=Hypothèses!$V$11,Hypothèses!$W$11,IF(DL327&lt;=Hypothèses!$V$12,Hypothèses!$W$12,IF(DL327&lt;=Hypothèses!$V$13,Hypothèses!$W$13,IF(DL327&lt;=Hypothèses!$V$14,Hypothèses!$W$14,IF(DL327&lt;=Hypothèses!$V$15,Hypothèses!$W$15,IF(DL327&lt;=Hypothèses!$V$16,Hypothèses!$W$16,IF(DL327&lt;=Hypothèses!$V$17,Hypothèses!$W$17,IF(DL327&lt;=Hypothèses!$V$18,Hypothèses!$W$18,""))))))))))))</f>
        <v>#DIV/0!</v>
      </c>
      <c r="EG327" s="87" t="e">
        <f t="shared" ca="1" si="522"/>
        <v>#DIV/0!</v>
      </c>
      <c r="EH327" s="88" t="e">
        <f ca="1">IF(DL327&lt;=Hypothèses!$V$7,Hypothèses!$X$7,IF(DL327&lt;=Hypothèses!$V$8,Hypothèses!$X$8,IF(DL327&lt;=Hypothèses!$V$9,Hypothèses!$X$9,IF(DL327&lt;=Hypothèses!$V$10,Hypothèses!$X$10,IF(DL327&lt;=Hypothèses!$V$11,Hypothèses!$X$11,IF(DL327&lt;=Hypothèses!$V$12,Hypothèses!$X$12,IF(DL327&lt;=Hypothèses!$V$13,Hypothèses!$X$13,IF(DL327&lt;=Hypothèses!$V$14,Hypothèses!$X$14,IF(DL327&lt;=Hypothèses!$V$15,Hypothèses!$X$15,IF(DL327&lt;=Hypothèses!$V$16,Hypothèses!$X$16,IF(DL327&lt;=Hypothèses!$U$17,Hypothèses!$W$17,IF(DL327&lt;=Hypothèses!$U$18,Hypothèses!$W$18,""))))))))))))</f>
        <v>#DIV/0!</v>
      </c>
      <c r="EI327" s="95" t="e">
        <f t="shared" ca="1" si="493"/>
        <v>#DIV/0!</v>
      </c>
      <c r="EJ327" s="101" t="e">
        <f t="shared" si="529"/>
        <v>#N/A</v>
      </c>
      <c r="EK327" s="91" t="e">
        <f t="shared" si="462"/>
        <v>#N/A</v>
      </c>
      <c r="EL327" s="30" t="e">
        <f t="shared" si="512"/>
        <v>#N/A</v>
      </c>
      <c r="EM327" s="30" t="e">
        <f t="shared" si="513"/>
        <v>#N/A</v>
      </c>
      <c r="EN327" s="31" t="e">
        <f>IF(OR(Hypothèses!$B$4=17,Hypothèses!$B$4=18,Hypothèses!$B$4=19,Hypothèses!$B$4=20),
IF($D327="Pressio.",
IF(OR($E327=3,$E327=1,$E327=4),EM327,EL327),
IF($D327="Pénétro.",
IF(OR($E327=3,$E327=1,$E327=4),EM327,EL327))),IF($D327="Pressio.",
IF($E327=3,EM327,EL327),
IF($D327="Pénétro.",
IF($E327=4,EM327,EL327))))</f>
        <v>#N/A</v>
      </c>
      <c r="EO327" s="31" t="e">
        <f>(IF(OR(Hypothèses!$B$4=17,Hypothèses!$B$4=18,Hypothèses!$B$4=19,Hypothèses!$B$4=20),
IF($D327="Pressio.",
IF(OR($E327=3,$E327=1,$E327=4),(PI()*EO$12^2)/4*(EK327*$W327*1000)/($H327*$B$5),(PI()*EO$12^2)/4*(EK327*$W327*1000)/($G327*$B$5)),
IF($D327="Pénétro.",
IF(OR($E327=4,$E327=1,$E327=5),(PI()*EO$12^2)/4*(EK327*$W327*1000)/($H327*$B$5),(PI()*EO$12^2)/4*(EK327*$W327*1000)/($G327*$B$5)))),
IF($D327="Pressio.",
IF($E327=3,(PI()*EO$12^2)/4*(EK327*$W327*1000)/($H327*$B$5),(PI()*EO$12^2)/4*(EK327*$W327*1000)/($G327*$B$5)),
IF($D327="Pénétro.",
IF($E327=4,(PI()*EO$12^2)/4*(EK327*$W327*1000)/($H327*$B$5),(PI()*EO$12^2)/4*(EK327*$W327*1000)/($G327*$B$5))))))/10</f>
        <v>#N/A</v>
      </c>
      <c r="EP327" s="102" t="e">
        <f>(VLOOKUP($B$3,'Coeff EC7'!$T$39:$X$59,2,0)*EN327+VLOOKUP($B$3,'Coeff EC7'!$T$65:$X$85,2,0)*Model0.1C!EO327)/1.1</f>
        <v>#N/A</v>
      </c>
      <c r="EQ327" s="102" t="e">
        <f>(VLOOKUP($B$3,'Coeff EC7'!$T$39:$X$59,3,0)*EN327+VLOOKUP($B$3,'Coeff EC7'!$T$65:$X$85,3,0)*Model0.1C!EO327)/0.9</f>
        <v>#N/A</v>
      </c>
      <c r="ER327" s="102" t="e">
        <f t="shared" si="494"/>
        <v>#N/A</v>
      </c>
      <c r="ES327" s="102" t="e">
        <f t="shared" si="495"/>
        <v>#N/A</v>
      </c>
      <c r="ET327" s="414" t="e">
        <f>IF(ET326=0,0,IF(AND(EP327&gt;charge_ELS_quasi,EQ327&gt;Charge_ELS_freq,ER327&gt;charge_ELU,ES327&gt;charge_ELA,$B327&gt;NDC!$H$22-0.1+MIN(3*$ET$12,1.5)),0,1))</f>
        <v>#N/A</v>
      </c>
      <c r="EU327" s="86" t="b">
        <f t="shared" si="463"/>
        <v>0</v>
      </c>
      <c r="EV327" s="86">
        <f t="shared" si="464"/>
        <v>0.61</v>
      </c>
      <c r="EW327" s="86">
        <f t="shared" si="465"/>
        <v>0.61</v>
      </c>
      <c r="EX327" s="30" t="e">
        <f t="shared" ca="1" si="496"/>
        <v>#DIV/0!</v>
      </c>
      <c r="EY327" s="85" t="e">
        <f ca="1">IF(EE327&lt;=Hypothèses!$V$7,Hypothèses!$W$7,IF(EE327&lt;=Hypothèses!$V$8,Hypothèses!$W$8,IF(EE327&lt;=Hypothèses!$V$9,Hypothèses!$W$9,IF(EE327&lt;=Hypothèses!$V$10,Hypothèses!$W$10,IF(EE327&lt;=Hypothèses!$V$11,Hypothèses!$W$11,IF(EE327&lt;=Hypothèses!$V$12,Hypothèses!$W$12,IF(EE327&lt;=Hypothèses!$V$13,Hypothèses!$W$13,IF(EE327&lt;=Hypothèses!$V$14,Hypothèses!$W$14,IF(EE327&lt;=Hypothèses!$V$15,Hypothèses!$W$15,IF(EE327&lt;=Hypothèses!$V$16,Hypothèses!$W$16,IF(EE327&lt;=Hypothèses!$V$17,Hypothèses!$W$17,IF(EE327&lt;=Hypothèses!$V$18,Hypothèses!$W$18,""))))))))))))</f>
        <v>#DIV/0!</v>
      </c>
      <c r="EZ327" s="87" t="e">
        <f t="shared" ca="1" si="523"/>
        <v>#DIV/0!</v>
      </c>
      <c r="FA327" s="88" t="e">
        <f ca="1">IF(EE327&lt;=Hypothèses!$V$7,Hypothèses!$X$7,IF(EE327&lt;=Hypothèses!$V$8,Hypothèses!$X$8,IF(EE327&lt;=Hypothèses!$V$9,Hypothèses!$X$9,IF(EE327&lt;=Hypothèses!$V$10,Hypothèses!$X$10,IF(EE327&lt;=Hypothèses!$V$11,Hypothèses!$X$11,IF(EE327&lt;=Hypothèses!$V$12,Hypothèses!$X$12,IF(EE327&lt;=Hypothèses!$V$13,Hypothèses!$X$13,IF(EE327&lt;=Hypothèses!$V$14,Hypothèses!$X$14,IF(EE327&lt;=Hypothèses!$V$15,Hypothèses!$X$15,IF(EE327&lt;=Hypothèses!$V$16,Hypothèses!$X$16,IF(EE327&lt;=Hypothèses!$U$17,Hypothèses!$W$17,IF(EE327&lt;=Hypothèses!$U$18,Hypothèses!$W$18,""))))))))))))</f>
        <v>#DIV/0!</v>
      </c>
      <c r="FB327" s="95" t="e">
        <f t="shared" ca="1" si="497"/>
        <v>#DIV/0!</v>
      </c>
      <c r="FC327" s="101" t="e">
        <f t="shared" si="530"/>
        <v>#N/A</v>
      </c>
      <c r="FD327" s="91" t="e">
        <f t="shared" si="466"/>
        <v>#N/A</v>
      </c>
      <c r="FE327" s="30" t="e">
        <f t="shared" si="514"/>
        <v>#N/A</v>
      </c>
      <c r="FF327" s="30" t="e">
        <f t="shared" si="515"/>
        <v>#N/A</v>
      </c>
      <c r="FG327" s="31" t="e">
        <f>IF(OR(Hypothèses!$B$4=17,Hypothèses!$B$4=18,Hypothèses!$B$4=19,Hypothèses!$B$4=20),
IF($D327="Pressio.",
IF(OR($E327=3,$E327=1,$E327=4),FF327,FE327),
IF($D327="Pénétro.",
IF(OR($E327=3,$E327=1,$E327=4),FF327,FE327))),IF($D327="Pressio.",
IF($E327=3,FF327,FE327),
IF($D327="Pénétro.",
IF($E327=4,FF327,FE327))))</f>
        <v>#N/A</v>
      </c>
      <c r="FH327" s="31" t="e">
        <f>(IF(OR(Hypothèses!$B$4=17,Hypothèses!$B$4=18,Hypothèses!$B$4=19,Hypothèses!$B$4=20),
IF($D327="Pressio.",
IF(OR($E327=3,$E327=1,$E327=4),(PI()*FH$12^2)/4*(FD327*$W327*1000)/($H327*$B$5),(PI()*FH$12^2)/4*(FD327*$W327*1000)/($G327*$B$5)),
IF($D327="Pénétro.",
IF(OR($E327=4,$E327=1,$E327=5),(PI()*FH$12^2)/4*(FD327*$W327*1000)/($H327*$B$5),(PI()*FH$12^2)/4*(FD327*$W327*1000)/($G327*$B$5)))),
IF($D327="Pressio.",
IF($E327=3,(PI()*FH$12^2)/4*(FD327*$W327*1000)/($H327*$B$5),(PI()*FH$12^2)/4*(FD327*$W327*1000)/($G327*$B$5)),
IF($D327="Pénétro.",
IF($E327=4,(PI()*FH$12^2)/4*(FD327*$W327*1000)/($H327*$B$5),(PI()*FH$12^2)/4*(FD327*$W327*1000)/($G327*$B$5))))))/10</f>
        <v>#N/A</v>
      </c>
      <c r="FI327" s="102" t="e">
        <f>(VLOOKUP($B$3,'Coeff EC7'!$T$39:$X$59,2,0)*FG327+VLOOKUP($B$3,'Coeff EC7'!$T$65:$X$85,2,0)*Model0.1C!FH327)/1.1</f>
        <v>#N/A</v>
      </c>
      <c r="FJ327" s="102" t="e">
        <f>(VLOOKUP($B$3,'Coeff EC7'!$T$39:$X$59,3,0)*FG327+VLOOKUP($B$3,'Coeff EC7'!$T$65:$X$85,3,0)*Model0.1C!FH327)/0.9</f>
        <v>#N/A</v>
      </c>
      <c r="FK327" s="102" t="e">
        <f t="shared" si="498"/>
        <v>#N/A</v>
      </c>
      <c r="FL327" s="102" t="e">
        <f t="shared" si="499"/>
        <v>#N/A</v>
      </c>
      <c r="FM327" s="414" t="e">
        <f>IF(FM326=0,0,IF(AND(FI327&gt;charge_ELS_quasi,FJ327&gt;Charge_ELS_freq,FK327&gt;charge_ELU,FL327&gt;charge_ELA,$B327&gt;NDC!$H$22-0.1+MIN(3*$FM$12,1.5)),0,1))</f>
        <v>#N/A</v>
      </c>
    </row>
    <row r="328" spans="1:169">
      <c r="A328" s="96">
        <f t="shared" si="467"/>
        <v>68.500000000001791</v>
      </c>
      <c r="B328" s="97">
        <v>31.5</v>
      </c>
      <c r="C328" s="81">
        <f>IF(B328&lt;=Hypothèses!$C$7,Hypothèses!$A$7,IF(B328&lt;=Hypothèses!$C$8,Hypothèses!$A$8,IF(B328&lt;=Hypothèses!$C$9,Hypothèses!$A$9,IF(B328&lt;=Hypothèses!$C$10,Hypothèses!$A$10,IF(B328&lt;=Hypothèses!$C$11,Hypothèses!$A$11,IF(B328&lt;=Hypothèses!$C$12,Hypothèses!$A$12,IF(B328&lt;=Hypothèses!$C$13,Hypothèses!$A$13,IF(B328&lt;=Hypothèses!$C$14,Hypothèses!$A$14,IF(B328&lt;=Hypothèses!$C$15,Hypothèses!$A$15,IF(B328&lt;=Hypothèses!$C$16,Hypothèses!$A$16,IF(B328&lt;=Hypothèses!$C$17,Hypothèses!$A$17,IF(B328&lt;=Hypothèses!$C$18,Hypothèses!$A$18,C327))))))))))))</f>
        <v>11</v>
      </c>
      <c r="D328" s="82" t="str">
        <f>IF(B328&lt;=Hypothèses!$C$7,Hypothèses!$R$7,IF(B328&lt;=Hypothèses!$C$8,Hypothèses!$R$8,IF(B328&lt;=Hypothèses!$C$9,Hypothèses!$R$9,IF(B328&lt;=Hypothèses!$C$10,Hypothèses!$R$10,IF(B328&lt;=Hypothèses!$C$11,Hypothèses!$R$11,IF(B328&lt;=Hypothèses!$C$12,Hypothèses!$R$12,IF(B328&lt;=Hypothèses!$C$13,Hypothèses!$R$13,IF(B328&lt;=Hypothèses!$C$14,Hypothèses!$R$14,IF(B328&lt;=Hypothèses!$C$15,Hypothèses!$R$15,IF(B328&lt;=Hypothèses!$C$16,Hypothèses!$R$16,IF(B328&lt;=Hypothèses!$C$17,Hypothèses!$R$17,IF(B328&lt;=Hypothèses!$C$18,Hypothèses!$R$18,D327))))))))))))</f>
        <v>Pressio.</v>
      </c>
      <c r="E328" s="82" t="e">
        <f>IF(B328&lt;=Hypothèses!$C$7,Hypothèses!$G$7,IF(B328&lt;=Hypothèses!$C$8,Hypothèses!$G$8,IF(B328&lt;=Hypothèses!$C$9,Hypothèses!$G$9,IF(B328&lt;=Hypothèses!$C$10,Hypothèses!$G$10,IF(B328&lt;=Hypothèses!$C$11,Hypothèses!$G$11,IF(B328&lt;=Hypothèses!$C$12,Hypothèses!$G$12,IF(B328&lt;=Hypothèses!$C$13,Hypothèses!$G$13,IF(B328&lt;=Hypothèses!$C$14,Hypothèses!$G$14,IF(B328&lt;=Hypothèses!$C$15,Hypothèses!$G$15,IF(B328&lt;=Hypothèses!$C$16,Hypothèses!$G$16,IF(B328&lt;=Hypothèses!$C$17,Hypothèses!$G$17,IF(B328&lt;=Hypothèses!$C$18,Hypothèses!$G$18,E327))))))))))))</f>
        <v>#N/A</v>
      </c>
      <c r="F328" s="82" t="str">
        <f>IF(B328&lt;=Hypothèses!$C$7,Hypothèses!$F$7,IF(B328&lt;=Hypothèses!$C$8,Hypothèses!$F$8,IF(B328&lt;=Hypothèses!$C$9,Hypothèses!$F$9,IF(B328&lt;=Hypothèses!$C$10,Hypothèses!$F$10,IF(B328&lt;=Hypothèses!$C$11,Hypothèses!$F$11,IF(B328&lt;=Hypothèses!$C$12,Hypothèses!$F$12,IF(B328&lt;=Hypothèses!$C$13,Hypothèses!$F$13,IF(B328&lt;=Hypothèses!$C$14,Hypothèses!$F$14,IF(B328&lt;=Hypothèses!$C$15,Hypothèses!$F$15,IF(B328&lt;=Hypothèses!$C$16,Hypothèses!$F$16,IF(B328&lt;=Hypothèses!$C$17,Hypothèses!$F$17,IF(B328&lt;=Hypothèses!$C$18,Hypothèses!$F$18,F327))))))))))))</f>
        <v/>
      </c>
      <c r="G328" s="91">
        <f t="array" ref="G328">INDEX('Coeff EC7'!$U$7:$X$27,
MATCH(Model0.1C!$B$3,'Coeff EC7'!$T$7:$T$27,0),
MATCH(Model0.1C!$D328&amp;Model0.1C!$B$4,
'Coeff EC7'!$U$6:$X$6&amp;
'Coeff EC7'!$U$5:$X$5,0))</f>
        <v>1.1499999999999999</v>
      </c>
      <c r="H328" s="91">
        <f t="array" ref="H328">INDEX('Coeff EC7'!$Y$7:$AB$27,
MATCH(Model0.1C!$B$3,'Coeff EC7'!$T$7:$T$27,0),
MATCH(Model0.1C!$D328&amp;Model0.1C!$B$4,
'Coeff EC7'!$Y$6:$AB$6&amp;
'Coeff EC7'!$Y$5:$AB$5,0))</f>
        <v>1.4</v>
      </c>
      <c r="I328" s="83" t="e">
        <f>IF(B328&lt;=Hypothèses!$C$7,Hypothèses!$P$7,IF(B328&lt;=Hypothèses!$C$8,Hypothèses!$P$8,IF(B328&lt;=Hypothèses!$C$9,Hypothèses!$P$9,IF(B328&lt;=Hypothèses!$C$10,Hypothèses!$P$10,IF(B328&lt;=Hypothèses!$C$11,Hypothèses!$P$11,IF(B328&lt;=Hypothèses!$C$12,Hypothèses!$P$12,IF(B328&lt;=Hypothèses!$C$13,Hypothèses!$P$13,IF(B328&lt;=Hypothèses!$C$14,Hypothèses!$P$14,IF(B328&lt;=Hypothèses!$C$15,Hypothèses!$P$15,IF(B328&lt;=Hypothèses!$C$16,Hypothèses!$P$16,IF(B328&lt;=Hypothèses!$C$17,Hypothèses!$P$17,IF(B328&lt;=Hypothèses!$C$18,Hypothèses!$P$18,I327))))))))))))</f>
        <v>#N/A</v>
      </c>
      <c r="J328" s="91" t="e">
        <f t="array" ref="J328">INDEX('Coeff EC7'!$D$33:$Q$33,1,MATCH(D328&amp;E328,'Coeff EC7'!$D$31:$Q$31&amp;'Coeff EC7'!$D$32:$Q$32,0))</f>
        <v>#N/A</v>
      </c>
      <c r="K328" s="91" t="e">
        <f t="array" ref="K328">INDEX('Coeff EC7'!$D$34:$Q$34,1,MATCH(D328&amp;E328,'Coeff EC7'!$D$31:$Q$31&amp;'Coeff EC7'!$D$32:$Q$32,0))</f>
        <v>#N/A</v>
      </c>
      <c r="L328" s="91" t="e">
        <f t="array" ref="L328">INDEX('Coeff EC7'!$D$35:$Q$35,1,MATCH(D328&amp;E328,'Coeff EC7'!$D$31:$Q$31&amp;'Coeff EC7'!$D$32:$Q$32,0))</f>
        <v>#N/A</v>
      </c>
      <c r="M328" s="98" t="e">
        <f t="shared" si="431"/>
        <v>#N/A</v>
      </c>
      <c r="N328" s="99" t="e">
        <f t="array" ref="N328">INDEX('Coeff EC7'!$D$7:$Q$27,MATCH($B$3,'Coeff EC7'!$C$7:$C$27,0),MATCH(D328&amp;E328,'Coeff EC7'!$D$5:$Q$5&amp;'Coeff EC7'!$D$6:$Q$6,0))</f>
        <v>#N/A</v>
      </c>
      <c r="O328" s="99" t="e">
        <f t="array" ref="O328">INDEX('Coeff EC7'!$D$41:$Q$61,MATCH($B$3,'Coeff EC7'!$C$41:$C$61,0),MATCH(D328&amp;E328,'Coeff EC7'!$D$39:$Q$39&amp;'Coeff EC7'!$D$40:$Q$40,0))</f>
        <v>#N/A</v>
      </c>
      <c r="P328" s="30" t="e">
        <f t="shared" si="468"/>
        <v>#N/A</v>
      </c>
      <c r="Q328" s="100" t="e">
        <f t="shared" si="433"/>
        <v>#N/A</v>
      </c>
      <c r="R328" s="86" t="b">
        <f t="shared" si="434"/>
        <v>0</v>
      </c>
      <c r="S328" s="86">
        <f t="shared" si="432"/>
        <v>0.5</v>
      </c>
      <c r="T328" s="86">
        <f t="shared" si="435"/>
        <v>0.5</v>
      </c>
      <c r="U328" s="30" t="e">
        <f t="shared" ca="1" si="469"/>
        <v>#DIV/0!</v>
      </c>
      <c r="V328" s="85" t="str">
        <f>IF(B328&lt;=Hypothèses!$V$7,Hypothèses!$W$7,IF(B328&lt;=Hypothèses!$V$8,Hypothèses!$W$8,IF(B328&lt;=Hypothèses!$V$9,Hypothèses!$W$9,IF(B328&lt;=Hypothèses!$V$10,Hypothèses!$W$10,IF(B328&lt;=Hypothèses!$V$11,Hypothèses!$W$11,IF(B328&lt;=Hypothèses!$V$12,Hypothèses!$W$12,IF(B328&lt;=Hypothèses!$V$13,Hypothèses!$W$13,IF(B328&lt;=Hypothèses!$V$14,Hypothèses!$W$14,IF(B328&lt;=Hypothèses!$V$15,Hypothèses!$W$15,IF(B328&lt;=Hypothèses!$V$16,Hypothèses!$W$16,IF(B328&lt;=Hypothèses!$V$17,Hypothèses!$W$17,IF(B328&lt;=Hypothèses!$V$18,Hypothèses!$W$18,""))))))))))))</f>
        <v/>
      </c>
      <c r="W328" s="87" t="e">
        <f t="shared" ca="1" si="516"/>
        <v>#DIV/0!</v>
      </c>
      <c r="X328" s="88" t="str">
        <f>IF(B328&lt;=Hypothèses!$V$7,Hypothèses!$X$7,IF(B328&lt;=Hypothèses!$V$8,Hypothèses!$X$8,IF(B328&lt;=Hypothèses!$V$9,Hypothèses!$X$9,IF(B328&lt;=Hypothèses!$V$10,Hypothèses!$X$10,IF(B328&lt;=Hypothèses!$V$11,Hypothèses!$X$11,IF(B328&lt;=Hypothèses!$V$12,Hypothèses!$X$12,IF(B328&lt;=Hypothèses!$V$13,Hypothèses!$X$13,IF(B328&lt;=Hypothèses!$V$14,Hypothèses!$X$14,IF(B328&lt;=Hypothèses!$V$15,Hypothèses!$X$15,IF(B328&lt;=Hypothèses!$V$16,Hypothèses!$X$16,IF(B328&lt;=Hypothèses!$U$17,Hypothèses!$W$17,IF(B328&lt;=Hypothèses!$U$18,Hypothèses!$W$18,""))))))))))))</f>
        <v/>
      </c>
      <c r="Y328" s="95" t="e">
        <f t="shared" ca="1" si="436"/>
        <v>#DIV/0!</v>
      </c>
      <c r="Z328" s="101" t="e">
        <f t="shared" si="437"/>
        <v>#N/A</v>
      </c>
      <c r="AA328" s="91" t="e">
        <f t="shared" si="438"/>
        <v>#N/A</v>
      </c>
      <c r="AB328" s="30" t="e">
        <f t="shared" si="500"/>
        <v>#N/A</v>
      </c>
      <c r="AC328" s="30" t="e">
        <f t="shared" si="501"/>
        <v>#N/A</v>
      </c>
      <c r="AD328" s="31" t="e">
        <f>IF(OR(Hypothèses!$B$4=17,Hypothèses!$B$4=18,Hypothèses!$B$4=19,Hypothèses!$B$4=20),
IF($D328="Pressio.",
IF(OR($E328=3,$E328=1,$E328=4),AC328,AB328),
IF($D328="Pénétro.",
IF(OR($E328=3,$E328=1,$E328=4),AC328,AB328))),IF($D328="Pressio.",
IF($E328=3,AC328,AB328),
IF($D328="Pénétro.",
IF($E328=4,AC328,AB328))))</f>
        <v>#N/A</v>
      </c>
      <c r="AE328" s="31" t="e">
        <f>(IF(OR(Hypothèses!$B$4=17,Hypothèses!$B$4=18,Hypothèses!$B$4=19,Hypothèses!$B$4=20),
IF($D328="Pressio.",
IF(OR($E328=3,$E328=1,$E328=4),(PI()*AE$12^2)/4*(AA328*$W328*1000)/($H328*$B$5),(PI()*AE$12^2)/4*(AA328*$W328*1000)/($G328*$B$5)),
IF($D328="Pénétro.",
IF(OR($E328=4,$E328=1,$E328=5),(PI()*AE$12^2)/4*(AA328*$W328*1000)/($H328*$B$5),(PI()*AE$12^2)/4*(AA328*$W328*1000)/($G328*$B$5)))),
IF($D328="Pressio.",
IF($E328=3,(PI()*AE$12^2)/4*(AA328*$W328*1000)/($H328*$B$5),(PI()*AE$12^2)/4*(AA328*$W328*1000)/($G328*$B$5)),
IF($D328="Pénétro.",
IF($E328=4,(PI()*AE$12^2)/4*(AA328*$W328*1000)/($H328*$B$5),(PI()*AE$12^2)/4*(AA328*$W328*1000)/($G328*$B$5))))))/10</f>
        <v>#N/A</v>
      </c>
      <c r="AF328" s="102" t="e">
        <f>(VLOOKUP($B$3,'Coeff EC7'!$T$39:$X$59,2,0)*AD328+VLOOKUP($B$3,'Coeff EC7'!$T$65:$X$85,2,0)*Model0.1C!AE328)/1.1</f>
        <v>#N/A</v>
      </c>
      <c r="AG328" s="102" t="e">
        <f>(VLOOKUP($B$3,'Coeff EC7'!$T$39:$X$59,3,0)*AD328+VLOOKUP($B$3,'Coeff EC7'!$T$65:$X$85,3,0)*Model0.1C!AE328)/0.9</f>
        <v>#N/A</v>
      </c>
      <c r="AH328" s="102" t="e">
        <f t="shared" si="439"/>
        <v>#N/A</v>
      </c>
      <c r="AI328" s="102" t="e">
        <f t="shared" si="440"/>
        <v>#N/A</v>
      </c>
      <c r="AJ328" s="414" t="e">
        <f>IF(AJ327=0,0,IF(AND(AF328&gt;charge_ELS_quasi,AG328&gt;Charge_ELS_freq,AH328&gt;charge_ELU,AI328&gt;charge_ELA,$B328&gt;NDC!$H$22-0.1+MIN(3*$AJ$12,1.5)),0,1))</f>
        <v>#N/A</v>
      </c>
      <c r="AK328" s="86" t="b">
        <f t="shared" si="441"/>
        <v>0</v>
      </c>
      <c r="AL328" s="86">
        <f t="shared" si="470"/>
        <v>0.5</v>
      </c>
      <c r="AM328" s="86">
        <f t="shared" si="442"/>
        <v>0.5</v>
      </c>
      <c r="AN328" s="30" t="e">
        <f t="shared" ca="1" si="471"/>
        <v>#DIV/0!</v>
      </c>
      <c r="AO328" s="85" t="e">
        <f ca="1">IF(U328&lt;=Hypothèses!$V$7,Hypothèses!$W$7,IF(U328&lt;=Hypothèses!$V$8,Hypothèses!$W$8,IF(U328&lt;=Hypothèses!$V$9,Hypothèses!$W$9,IF(U328&lt;=Hypothèses!$V$10,Hypothèses!$W$10,IF(U328&lt;=Hypothèses!$V$11,Hypothèses!$W$11,IF(U328&lt;=Hypothèses!$V$12,Hypothèses!$W$12,IF(U328&lt;=Hypothèses!$V$13,Hypothèses!$W$13,IF(U328&lt;=Hypothèses!$V$14,Hypothèses!$W$14,IF(U328&lt;=Hypothèses!$V$15,Hypothèses!$W$15,IF(U328&lt;=Hypothèses!$V$16,Hypothèses!$W$16,IF(U328&lt;=Hypothèses!$V$17,Hypothèses!$W$17,IF(U328&lt;=Hypothèses!$V$18,Hypothèses!$W$18,""))))))))))))</f>
        <v>#DIV/0!</v>
      </c>
      <c r="AP328" s="87" t="e">
        <f t="shared" ca="1" si="517"/>
        <v>#DIV/0!</v>
      </c>
      <c r="AQ328" s="88" t="e">
        <f ca="1">IF(U328&lt;=Hypothèses!$V$7,Hypothèses!$X$7,IF(U328&lt;=Hypothèses!$V$8,Hypothèses!$X$8,IF(U328&lt;=Hypothèses!$V$9,Hypothèses!$X$9,IF(U328&lt;=Hypothèses!$V$10,Hypothèses!$X$10,IF(U328&lt;=Hypothèses!$V$11,Hypothèses!$X$11,IF(U328&lt;=Hypothèses!$V$12,Hypothèses!$X$12,IF(U328&lt;=Hypothèses!$V$13,Hypothèses!$X$13,IF(U328&lt;=Hypothèses!$V$14,Hypothèses!$X$14,IF(U328&lt;=Hypothèses!$V$15,Hypothèses!$X$15,IF(U328&lt;=Hypothèses!$V$16,Hypothèses!$X$16,IF(U328&lt;=Hypothèses!$U$17,Hypothèses!$W$17,IF(U328&lt;=Hypothèses!$U$18,Hypothèses!$W$18,""))))))))))))</f>
        <v>#DIV/0!</v>
      </c>
      <c r="AR328" s="95" t="e">
        <f t="shared" ca="1" si="472"/>
        <v>#DIV/0!</v>
      </c>
      <c r="AS328" s="101" t="e">
        <f t="shared" si="524"/>
        <v>#N/A</v>
      </c>
      <c r="AT328" s="91" t="e">
        <f t="shared" si="443"/>
        <v>#N/A</v>
      </c>
      <c r="AU328" s="30" t="e">
        <f t="shared" si="502"/>
        <v>#N/A</v>
      </c>
      <c r="AV328" s="30" t="e">
        <f t="shared" si="503"/>
        <v>#N/A</v>
      </c>
      <c r="AW328" s="31" t="e">
        <f>IF(OR(Hypothèses!$B$4=17,Hypothèses!$B$4=18,Hypothèses!$B$4=19,Hypothèses!$B$4=20),
IF($D328="Pressio.",
IF(OR($E328=3,$E328=1,$E328=4),AV328,AU328),
IF($D328="Pénétro.",
IF(OR($E328=3,$E328=1,$E328=4),AV328,AU328))),IF($D328="Pressio.",
IF($E328=3,AV328,AU328),
IF($D328="Pénétro.",
IF($E328=4,AV328,AU328))))</f>
        <v>#N/A</v>
      </c>
      <c r="AX328" s="31" t="e">
        <f>(IF(OR(Hypothèses!$B$4=17,Hypothèses!$B$4=18,Hypothèses!$B$4=19,Hypothèses!$B$4=20),
IF($D328="Pressio.",
IF(OR($E328=3,$E328=1,$E328=4),(PI()*AX$12^2)/4*(AT328*$W328*1000)/($H328*$B$5),(PI()*AX$12^2)/4*(AT328*$W328*1000)/($G328*$B$5)),
IF($D328="Pénétro.",
IF(OR($E328=4,$E328=1,$E328=5),(PI()*AX$12^2)/4*(AT328*$W328*1000)/($H328*$B$5),(PI()*AX$12^2)/4*(AT328*$W328*1000)/($G328*$B$5)))),
IF($D328="Pressio.",
IF($E328=3,(PI()*AX$12^2)/4*(AT328*$W328*1000)/($H328*$B$5),(PI()*AX$12^2)/4*(AT328*$W328*1000)/($G328*$B$5)),
IF($D328="Pénétro.",
IF($E328=4,(PI()*AX$12^2)/4*(AT328*$W328*1000)/($H328*$B$5),(PI()*AX$12^2)/4*(AT328*$W328*1000)/($G328*$B$5))))))/10</f>
        <v>#N/A</v>
      </c>
      <c r="AY328" s="102" t="e">
        <f>(VLOOKUP($B$3,'Coeff EC7'!$T$39:$X$59,2,0)*AW328+VLOOKUP($B$3,'Coeff EC7'!$T$65:$X$85,2,0)*Model0.1C!AX328)/1.1</f>
        <v>#N/A</v>
      </c>
      <c r="AZ328" s="102" t="e">
        <f>(VLOOKUP($B$3,'Coeff EC7'!$T$39:$X$59,3,0)*AW328+VLOOKUP($B$3,'Coeff EC7'!$T$65:$X$85,3,0)*Model0.1C!AX328)/0.9</f>
        <v>#N/A</v>
      </c>
      <c r="BA328" s="102" t="e">
        <f t="shared" si="473"/>
        <v>#N/A</v>
      </c>
      <c r="BB328" s="102" t="e">
        <f t="shared" si="474"/>
        <v>#N/A</v>
      </c>
      <c r="BC328" s="414" t="e">
        <f>IF(BC327=0,0,IF(AND(AY328&gt;charge_ELS_quasi,AZ328&gt;Charge_ELS_freq,BA328&gt;charge_ELU,BB328&gt;charge_ELA,$B328&gt;NDC!$H$22-0.1+MIN(3*$BC$12,1.5)),0,1))</f>
        <v>#N/A</v>
      </c>
      <c r="BD328" s="86" t="b">
        <f t="shared" si="444"/>
        <v>0</v>
      </c>
      <c r="BE328" s="86">
        <f t="shared" si="475"/>
        <v>0.5</v>
      </c>
      <c r="BF328" s="86">
        <f t="shared" si="445"/>
        <v>0.5</v>
      </c>
      <c r="BG328" s="30" t="e">
        <f t="shared" ca="1" si="476"/>
        <v>#DIV/0!</v>
      </c>
      <c r="BH328" s="85" t="e">
        <f ca="1">IF(AN328&lt;=Hypothèses!$V$7,Hypothèses!$W$7,IF(AN328&lt;=Hypothèses!$V$8,Hypothèses!$W$8,IF(AN328&lt;=Hypothèses!$V$9,Hypothèses!$W$9,IF(AN328&lt;=Hypothèses!$V$10,Hypothèses!$W$10,IF(AN328&lt;=Hypothèses!$V$11,Hypothèses!$W$11,IF(AN328&lt;=Hypothèses!$V$12,Hypothèses!$W$12,IF(AN328&lt;=Hypothèses!$V$13,Hypothèses!$W$13,IF(AN328&lt;=Hypothèses!$V$14,Hypothèses!$W$14,IF(AN328&lt;=Hypothèses!$V$15,Hypothèses!$W$15,IF(AN328&lt;=Hypothèses!$V$16,Hypothèses!$W$16,IF(AN328&lt;=Hypothèses!$V$17,Hypothèses!$W$17,IF(AN328&lt;=Hypothèses!$V$18,Hypothèses!$W$18,""))))))))))))</f>
        <v>#DIV/0!</v>
      </c>
      <c r="BI328" s="87" t="e">
        <f t="shared" ca="1" si="518"/>
        <v>#DIV/0!</v>
      </c>
      <c r="BJ328" s="88" t="e">
        <f ca="1">IF(AN328&lt;=Hypothèses!$V$7,Hypothèses!$X$7,IF(AN328&lt;=Hypothèses!$V$8,Hypothèses!$X$8,IF(AN328&lt;=Hypothèses!$V$9,Hypothèses!$X$9,IF(AN328&lt;=Hypothèses!$V$10,Hypothèses!$X$10,IF(AN328&lt;=Hypothèses!$V$11,Hypothèses!$X$11,IF(AN328&lt;=Hypothèses!$V$12,Hypothèses!$X$12,IF(AN328&lt;=Hypothèses!$V$13,Hypothèses!$X$13,IF(AN328&lt;=Hypothèses!$V$14,Hypothèses!$X$14,IF(AN328&lt;=Hypothèses!$V$15,Hypothèses!$X$15,IF(AN328&lt;=Hypothèses!$V$16,Hypothèses!$X$16,IF(AN328&lt;=Hypothèses!$U$17,Hypothèses!$W$17,IF(AN328&lt;=Hypothèses!$U$18,Hypothèses!$W$18,""))))))))))))</f>
        <v>#DIV/0!</v>
      </c>
      <c r="BK328" s="95" t="e">
        <f t="shared" ca="1" si="477"/>
        <v>#DIV/0!</v>
      </c>
      <c r="BL328" s="101" t="e">
        <f t="shared" si="525"/>
        <v>#N/A</v>
      </c>
      <c r="BM328" s="91" t="e">
        <f t="shared" si="446"/>
        <v>#N/A</v>
      </c>
      <c r="BN328" s="30" t="e">
        <f t="shared" si="504"/>
        <v>#N/A</v>
      </c>
      <c r="BO328" s="30" t="e">
        <f t="shared" si="505"/>
        <v>#N/A</v>
      </c>
      <c r="BP328" s="31" t="e">
        <f>IF(OR(Hypothèses!$B$4=17,Hypothèses!$B$4=18,Hypothèses!$B$4=19,Hypothèses!$B$4=20),
IF($D328="Pressio.",
IF(OR($E328=3,$E328=1,$E328=4),BO328,BN328),
IF($D328="Pénétro.",
IF(OR($E328=3,$E328=1,$E328=4),BO328,BN328))),IF($D328="Pressio.",
IF($E328=3,BO328,BN328),
IF($D328="Pénétro.",
IF($E328=4,BO328,BN328))))</f>
        <v>#N/A</v>
      </c>
      <c r="BQ328" s="31" t="e">
        <f>(IF(OR(Hypothèses!$B$4=17,Hypothèses!$B$4=18,Hypothèses!$B$4=19,Hypothèses!$B$4=20),
IF($D328="Pressio.",
IF(OR($E328=3,$E328=1,$E328=4),(PI()*BQ$12^2)/4*(BM328*$W328*1000)/($H328*$B$5),(PI()*BQ$12^2)/4*(BM328*$W328*1000)/($G328*$B$5)),
IF($D328="Pénétro.",
IF(OR($E328=4,$E328=1,$E328=5),(PI()*BQ$12^2)/4*(BM328*$W328*1000)/($H328*$B$5),(PI()*BQ$12^2)/4*(BM328*$W328*1000)/($G328*$B$5)))),
IF($D328="Pressio.",
IF($E328=3,(PI()*BQ$12^2)/4*(BM328*$W328*1000)/($H328*$B$5),(PI()*BQ$12^2)/4*(BM328*$W328*1000)/($G328*$B$5)),
IF($D328="Pénétro.",
IF($E328=4,(PI()*BQ$12^2)/4*(BM328*$W328*1000)/($H328*$B$5),(PI()*BQ$12^2)/4*(BM328*$W328*1000)/($G328*$B$5))))))/10</f>
        <v>#N/A</v>
      </c>
      <c r="BR328" s="102" t="e">
        <f>(VLOOKUP($B$3,'Coeff EC7'!$T$39:$X$59,2,0)*BP328+VLOOKUP($B$3,'Coeff EC7'!$T$65:$X$85,2,0)*Model0.1C!BQ328)/1.1</f>
        <v>#N/A</v>
      </c>
      <c r="BS328" s="102" t="e">
        <f>(VLOOKUP($B$3,'Coeff EC7'!$T$39:$X$59,3,0)*BP328+VLOOKUP($B$3,'Coeff EC7'!$T$65:$X$85,3,0)*Model0.1C!BQ328)/0.9</f>
        <v>#N/A</v>
      </c>
      <c r="BT328" s="102" t="e">
        <f t="shared" si="478"/>
        <v>#N/A</v>
      </c>
      <c r="BU328" s="102" t="e">
        <f t="shared" si="479"/>
        <v>#N/A</v>
      </c>
      <c r="BV328" s="414" t="e">
        <f>IF(BV327=0,0,IF(AND(BR328&gt;charge_ELS_quasi,BS328&gt;Charge_ELS_freq,BT328&gt;charge_ELU,BU328&gt;charge_ELA,$B328&gt;NDC!$H$22-0.1+MIN(3*$BV$12,1.5)),0,1))</f>
        <v>#N/A</v>
      </c>
      <c r="BW328" s="86" t="b">
        <f t="shared" si="447"/>
        <v>0</v>
      </c>
      <c r="BX328" s="86">
        <f t="shared" si="448"/>
        <v>0.5</v>
      </c>
      <c r="BY328" s="86">
        <f t="shared" si="449"/>
        <v>0.5</v>
      </c>
      <c r="BZ328" s="30" t="e">
        <f t="shared" ca="1" si="480"/>
        <v>#DIV/0!</v>
      </c>
      <c r="CA328" s="85" t="e">
        <f ca="1">IF(BG328&lt;=Hypothèses!$V$7,Hypothèses!$W$7,IF(BG328&lt;=Hypothèses!$V$8,Hypothèses!$W$8,IF(BG328&lt;=Hypothèses!$V$9,Hypothèses!$W$9,IF(BG328&lt;=Hypothèses!$V$10,Hypothèses!$W$10,IF(BG328&lt;=Hypothèses!$V$11,Hypothèses!$W$11,IF(BG328&lt;=Hypothèses!$V$12,Hypothèses!$W$12,IF(BG328&lt;=Hypothèses!$V$13,Hypothèses!$W$13,IF(BG328&lt;=Hypothèses!$V$14,Hypothèses!$W$14,IF(BG328&lt;=Hypothèses!$V$15,Hypothèses!$W$15,IF(BG328&lt;=Hypothèses!$V$16,Hypothèses!$W$16,IF(BG328&lt;=Hypothèses!$V$17,Hypothèses!$W$17,IF(BG328&lt;=Hypothèses!$V$18,Hypothèses!$W$18,""))))))))))))</f>
        <v>#DIV/0!</v>
      </c>
      <c r="CB328" s="87" t="e">
        <f t="shared" ca="1" si="519"/>
        <v>#DIV/0!</v>
      </c>
      <c r="CC328" s="88" t="e">
        <f ca="1">IF(BG328&lt;=Hypothèses!$V$7,Hypothèses!$X$7,IF(BG328&lt;=Hypothèses!$V$8,Hypothèses!$X$8,IF(BG328&lt;=Hypothèses!$V$9,Hypothèses!$X$9,IF(BG328&lt;=Hypothèses!$V$10,Hypothèses!$X$10,IF(BG328&lt;=Hypothèses!$V$11,Hypothèses!$X$11,IF(BG328&lt;=Hypothèses!$V$12,Hypothèses!$X$12,IF(BG328&lt;=Hypothèses!$V$13,Hypothèses!$X$13,IF(BG328&lt;=Hypothèses!$V$14,Hypothèses!$X$14,IF(BG328&lt;=Hypothèses!$V$15,Hypothèses!$X$15,IF(BG328&lt;=Hypothèses!$V$16,Hypothèses!$X$16,IF(BG328&lt;=Hypothèses!$U$17,Hypothèses!$W$17,IF(BG328&lt;=Hypothèses!$U$18,Hypothèses!$W$18,""))))))))))))</f>
        <v>#DIV/0!</v>
      </c>
      <c r="CD328" s="95" t="e">
        <f t="shared" ca="1" si="481"/>
        <v>#DIV/0!</v>
      </c>
      <c r="CE328" s="101" t="e">
        <f t="shared" si="526"/>
        <v>#N/A</v>
      </c>
      <c r="CF328" s="91" t="e">
        <f t="shared" si="450"/>
        <v>#N/A</v>
      </c>
      <c r="CG328" s="30" t="e">
        <f t="shared" si="506"/>
        <v>#N/A</v>
      </c>
      <c r="CH328" s="30" t="e">
        <f t="shared" si="507"/>
        <v>#N/A</v>
      </c>
      <c r="CI328" s="31" t="e">
        <f>IF(OR(Hypothèses!$B$4=17,Hypothèses!$B$4=18,Hypothèses!$B$4=19,Hypothèses!$B$4=20),
IF($D328="Pressio.",
IF(OR($E328=3,$E328=1,$E328=4),CH328,CG328),
IF($D328="Pénétro.",
IF(OR($E328=3,$E328=1,$E328=4),CH328,CG328))),IF($D328="Pressio.",
IF($E328=3,CH328,CG328),
IF($D328="Pénétro.",
IF($E328=4,CH328,CG328))))</f>
        <v>#N/A</v>
      </c>
      <c r="CJ328" s="31" t="e">
        <f>(IF(OR(Hypothèses!$B$4=17,Hypothèses!$B$4=18,Hypothèses!$B$4=19,Hypothèses!$B$4=20),
IF($D328="Pressio.",
IF(OR($E328=3,$E328=1,$E328=4),(PI()*CJ$12^2)/4*(CF328*$W328*1000)/($H328*$B$5),(PI()*CJ$12^2)/4*(CF328*$W328*1000)/($G328*$B$5)),
IF($D328="Pénétro.",
IF(OR($E328=4,$E328=1,$E328=5),(PI()*CJ$12^2)/4*(CF328*$W328*1000)/($H328*$B$5),(PI()*CJ$12^2)/4*(CF328*$W328*1000)/($G328*$B$5)))),
IF($D328="Pressio.",
IF($E328=3,(PI()*CJ$12^2)/4*(CF328*$W328*1000)/($H328*$B$5),(PI()*CJ$12^2)/4*(CF328*$W328*1000)/($G328*$B$5)),
IF($D328="Pénétro.",
IF($E328=4,(PI()*CJ$12^2)/4*(CF328*$W328*1000)/($H328*$B$5),(PI()*CJ$12^2)/4*(CF328*$W328*1000)/($G328*$B$5))))))/10</f>
        <v>#N/A</v>
      </c>
      <c r="CK328" s="102" t="e">
        <f>(VLOOKUP($B$3,'Coeff EC7'!$T$39:$X$59,2,0)*CI328+VLOOKUP($B$3,'Coeff EC7'!$T$65:$X$85,2,0)*Model0.1C!CJ328)/1.1</f>
        <v>#N/A</v>
      </c>
      <c r="CL328" s="102" t="e">
        <f>(VLOOKUP($B$3,'Coeff EC7'!$T$39:$X$59,3,0)*CI328+VLOOKUP($B$3,'Coeff EC7'!$T$65:$X$85,3,0)*Model0.1C!CJ328)/0.9</f>
        <v>#N/A</v>
      </c>
      <c r="CM328" s="102" t="e">
        <f t="shared" si="482"/>
        <v>#N/A</v>
      </c>
      <c r="CN328" s="102" t="e">
        <f t="shared" si="483"/>
        <v>#N/A</v>
      </c>
      <c r="CO328" s="414" t="e">
        <f>IF(CO327=0,0,IF(AND(CK328&gt;charge_ELS_quasi,CL328&gt;Charge_ELS_freq,CM328&gt;charge_ELU,CN328&gt;charge_ELA,$B328&gt;NDC!$H$22-0.1+MIN(3*$CO$12,1.5)),0,1))</f>
        <v>#N/A</v>
      </c>
      <c r="CP328" s="86" t="b">
        <f t="shared" si="451"/>
        <v>0</v>
      </c>
      <c r="CQ328" s="86">
        <f t="shared" si="452"/>
        <v>0.5</v>
      </c>
      <c r="CR328" s="86">
        <f t="shared" si="453"/>
        <v>0.5</v>
      </c>
      <c r="CS328" s="30" t="e">
        <f t="shared" ca="1" si="484"/>
        <v>#DIV/0!</v>
      </c>
      <c r="CT328" s="85" t="e">
        <f ca="1">IF(BZ328&lt;=Hypothèses!$V$7,Hypothèses!$W$7,IF(BZ328&lt;=Hypothèses!$V$8,Hypothèses!$W$8,IF(BZ328&lt;=Hypothèses!$V$9,Hypothèses!$W$9,IF(BZ328&lt;=Hypothèses!$V$10,Hypothèses!$W$10,IF(BZ328&lt;=Hypothèses!$V$11,Hypothèses!$W$11,IF(BZ328&lt;=Hypothèses!$V$12,Hypothèses!$W$12,IF(BZ328&lt;=Hypothèses!$V$13,Hypothèses!$W$13,IF(BZ328&lt;=Hypothèses!$V$14,Hypothèses!$W$14,IF(BZ328&lt;=Hypothèses!$V$15,Hypothèses!$W$15,IF(BZ328&lt;=Hypothèses!$V$16,Hypothèses!$W$16,IF(BZ328&lt;=Hypothèses!$V$17,Hypothèses!$W$17,IF(BZ328&lt;=Hypothèses!$V$18,Hypothèses!$W$18,""))))))))))))</f>
        <v>#DIV/0!</v>
      </c>
      <c r="CU328" s="87" t="e">
        <f t="shared" ca="1" si="520"/>
        <v>#DIV/0!</v>
      </c>
      <c r="CV328" s="88" t="e">
        <f ca="1">IF(BZ328&lt;=Hypothèses!$V$7,Hypothèses!$X$7,IF(BZ328&lt;=Hypothèses!$V$8,Hypothèses!$X$8,IF(BZ328&lt;=Hypothèses!$V$9,Hypothèses!$X$9,IF(BZ328&lt;=Hypothèses!$V$10,Hypothèses!$X$10,IF(BZ328&lt;=Hypothèses!$V$11,Hypothèses!$X$11,IF(BZ328&lt;=Hypothèses!$V$12,Hypothèses!$X$12,IF(BZ328&lt;=Hypothèses!$V$13,Hypothèses!$X$13,IF(BZ328&lt;=Hypothèses!$V$14,Hypothèses!$X$14,IF(BZ328&lt;=Hypothèses!$V$15,Hypothèses!$X$15,IF(BZ328&lt;=Hypothèses!$V$16,Hypothèses!$X$16,IF(BZ328&lt;=Hypothèses!$U$17,Hypothèses!$W$17,IF(BZ328&lt;=Hypothèses!$U$18,Hypothèses!$W$18,""))))))))))))</f>
        <v>#DIV/0!</v>
      </c>
      <c r="CW328" s="95" t="e">
        <f t="shared" ca="1" si="485"/>
        <v>#DIV/0!</v>
      </c>
      <c r="CX328" s="101" t="e">
        <f t="shared" si="527"/>
        <v>#N/A</v>
      </c>
      <c r="CY328" s="91" t="e">
        <f t="shared" si="454"/>
        <v>#N/A</v>
      </c>
      <c r="CZ328" s="30" t="e">
        <f t="shared" si="508"/>
        <v>#N/A</v>
      </c>
      <c r="DA328" s="30" t="e">
        <f t="shared" si="509"/>
        <v>#N/A</v>
      </c>
      <c r="DB328" s="31" t="e">
        <f>IF(OR(Hypothèses!$B$4=17,Hypothèses!$B$4=18,Hypothèses!$B$4=19,Hypothèses!$B$4=20),
IF($D328="Pressio.",
IF(OR($E328=3,$E328=1,$E328=4),DA328,CZ328),
IF($D328="Pénétro.",
IF(OR($E328=3,$E328=1,$E328=4),DA328,CZ328))),IF($D328="Pressio.",
IF($E328=3,DA328,CZ328),
IF($D328="Pénétro.",
IF($E328=4,DA328,CZ328))))</f>
        <v>#N/A</v>
      </c>
      <c r="DC328" s="31" t="e">
        <f>(IF(OR(Hypothèses!$B$4=17,Hypothèses!$B$4=18,Hypothèses!$B$4=19,Hypothèses!$B$4=20),
IF($D328="Pressio.",
IF(OR($E328=3,$E328=1,$E328=4),(PI()*DC$12^2)/4*(CY328*$W328*1000)/($H328*$B$5),(PI()*DC$12^2)/4*(CY328*$W328*1000)/($G328*$B$5)),
IF($D328="Pénétro.",
IF(OR($E328=4,$E328=1,$E328=5),(PI()*DC$12^2)/4*(CY328*$W328*1000)/($H328*$B$5),(PI()*DC$12^2)/4*(CY328*$W328*1000)/($G328*$B$5)))),
IF($D328="Pressio.",
IF($E328=3,(PI()*DC$12^2)/4*(CY328*$W328*1000)/($H328*$B$5),(PI()*DC$12^2)/4*(CY328*$W328*1000)/($G328*$B$5)),
IF($D328="Pénétro.",
IF($E328=4,(PI()*DC$12^2)/4*(CY328*$W328*1000)/($H328*$B$5),(PI()*DC$12^2)/4*(CY328*$W328*1000)/($G328*$B$5))))))/10</f>
        <v>#N/A</v>
      </c>
      <c r="DD328" s="102" t="e">
        <f>(VLOOKUP($B$3,'Coeff EC7'!$T$39:$X$59,2,0)*DB328+VLOOKUP($B$3,'Coeff EC7'!$T$65:$X$85,2,0)*Model0.1C!DC328)/1.1</f>
        <v>#N/A</v>
      </c>
      <c r="DE328" s="102" t="e">
        <f>(VLOOKUP($B$3,'Coeff EC7'!$T$39:$X$59,3,0)*DB328+VLOOKUP($B$3,'Coeff EC7'!$T$65:$X$85,3,0)*Model0.1C!DC328)/0.9</f>
        <v>#N/A</v>
      </c>
      <c r="DF328" s="102" t="e">
        <f t="shared" si="486"/>
        <v>#N/A</v>
      </c>
      <c r="DG328" s="102" t="e">
        <f t="shared" si="487"/>
        <v>#N/A</v>
      </c>
      <c r="DH328" s="414" t="e">
        <f>IF(DH327=0,0,IF(AND(DD328&gt;charge_ELS_quasi,DE328&gt;Charge_ELS_freq,DF328&gt;charge_ELU,DG328&gt;charge_ELA,$B328&gt;NDC!$H$22-0.1+MIN(3*$DH$12,1.5)),0,1))</f>
        <v>#N/A</v>
      </c>
      <c r="DI328" s="86" t="b">
        <f t="shared" si="455"/>
        <v>0</v>
      </c>
      <c r="DJ328" s="86">
        <f t="shared" si="456"/>
        <v>0.5</v>
      </c>
      <c r="DK328" s="86">
        <f t="shared" si="457"/>
        <v>0.5</v>
      </c>
      <c r="DL328" s="30" t="e">
        <f t="shared" ca="1" si="488"/>
        <v>#DIV/0!</v>
      </c>
      <c r="DM328" s="85" t="e">
        <f ca="1">IF(CS328&lt;=Hypothèses!$V$7,Hypothèses!$W$7,IF(CS328&lt;=Hypothèses!$V$8,Hypothèses!$W$8,IF(CS328&lt;=Hypothèses!$V$9,Hypothèses!$W$9,IF(CS328&lt;=Hypothèses!$V$10,Hypothèses!$W$10,IF(CS328&lt;=Hypothèses!$V$11,Hypothèses!$W$11,IF(CS328&lt;=Hypothèses!$V$12,Hypothèses!$W$12,IF(CS328&lt;=Hypothèses!$V$13,Hypothèses!$W$13,IF(CS328&lt;=Hypothèses!$V$14,Hypothèses!$W$14,IF(CS328&lt;=Hypothèses!$V$15,Hypothèses!$W$15,IF(CS328&lt;=Hypothèses!$V$16,Hypothèses!$W$16,IF(CS328&lt;=Hypothèses!$V$17,Hypothèses!$W$17,IF(CS328&lt;=Hypothèses!$V$18,Hypothèses!$W$18,""))))))))))))</f>
        <v>#DIV/0!</v>
      </c>
      <c r="DN328" s="87" t="e">
        <f t="shared" ca="1" si="521"/>
        <v>#DIV/0!</v>
      </c>
      <c r="DO328" s="88" t="e">
        <f ca="1">IF(CS328&lt;=Hypothèses!$V$7,Hypothèses!$X$7,IF(CS328&lt;=Hypothèses!$V$8,Hypothèses!$X$8,IF(CS328&lt;=Hypothèses!$V$9,Hypothèses!$X$9,IF(CS328&lt;=Hypothèses!$V$10,Hypothèses!$X$10,IF(CS328&lt;=Hypothèses!$V$11,Hypothèses!$X$11,IF(CS328&lt;=Hypothèses!$V$12,Hypothèses!$X$12,IF(CS328&lt;=Hypothèses!$V$13,Hypothèses!$X$13,IF(CS328&lt;=Hypothèses!$V$14,Hypothèses!$X$14,IF(CS328&lt;=Hypothèses!$V$15,Hypothèses!$X$15,IF(CS328&lt;=Hypothèses!$V$16,Hypothèses!$X$16,IF(CS328&lt;=Hypothèses!$U$17,Hypothèses!$W$17,IF(CS328&lt;=Hypothèses!$U$18,Hypothèses!$W$18,""))))))))))))</f>
        <v>#DIV/0!</v>
      </c>
      <c r="DP328" s="95" t="e">
        <f t="shared" ca="1" si="489"/>
        <v>#DIV/0!</v>
      </c>
      <c r="DQ328" s="101" t="e">
        <f t="shared" si="528"/>
        <v>#N/A</v>
      </c>
      <c r="DR328" s="91" t="e">
        <f t="shared" si="458"/>
        <v>#N/A</v>
      </c>
      <c r="DS328" s="30" t="e">
        <f t="shared" si="510"/>
        <v>#N/A</v>
      </c>
      <c r="DT328" s="30" t="e">
        <f t="shared" si="511"/>
        <v>#N/A</v>
      </c>
      <c r="DU328" s="31" t="e">
        <f>IF(OR(Hypothèses!$B$4=17,Hypothèses!$B$4=18,Hypothèses!$B$4=19,Hypothèses!$B$4=20),
IF($D328="Pressio.",
IF(OR($E328=3,$E328=1,$E328=4),DT328,DS328),
IF($D328="Pénétro.",
IF(OR($E328=3,$E328=1,$E328=4),DT328,DS328))),IF($D328="Pressio.",
IF($E328=3,DT328,DS328),
IF($D328="Pénétro.",
IF($E328=4,DT328,DS328))))</f>
        <v>#N/A</v>
      </c>
      <c r="DV328" s="31" t="e">
        <f>(IF(OR(Hypothèses!$B$4=17,Hypothèses!$B$4=18,Hypothèses!$B$4=19,Hypothèses!$B$4=20),
IF($D328="Pressio.",
IF(OR($E328=3,$E328=1,$E328=4),(PI()*DV$12^2)/4*(DR328*$W328*1000)/($H328*$B$5),(PI()*DV$12^2)/4*(DR328*$W328*1000)/($G328*$B$5)),
IF($D328="Pénétro.",
IF(OR($E328=4,$E328=1,$E328=5),(PI()*DV$12^2)/4*(DR328*$W328*1000)/($H328*$B$5),(PI()*DV$12^2)/4*(DR328*$W328*1000)/($G328*$B$5)))),
IF($D328="Pressio.",
IF($E328=3,(PI()*DV$12^2)/4*(DR328*$W328*1000)/($H328*$B$5),(PI()*DV$12^2)/4*(DR328*$W328*1000)/($G328*$B$5)),
IF($D328="Pénétro.",
IF($E328=4,(PI()*DV$12^2)/4*(DR328*$W328*1000)/($H328*$B$5),(PI()*DV$12^2)/4*(DR328*$W328*1000)/($G328*$B$5))))))/10</f>
        <v>#N/A</v>
      </c>
      <c r="DW328" s="102" t="e">
        <f>(VLOOKUP($B$3,'Coeff EC7'!$T$39:$X$59,2,0)*DU328+VLOOKUP($B$3,'Coeff EC7'!$T$65:$X$85,2,0)*Model0.1C!DV328)/1.1</f>
        <v>#N/A</v>
      </c>
      <c r="DX328" s="102" t="e">
        <f>(VLOOKUP($B$3,'Coeff EC7'!$T$39:$X$59,3,0)*DU328+VLOOKUP($B$3,'Coeff EC7'!$T$65:$X$85,3,0)*Model0.1C!DV328)/0.9</f>
        <v>#N/A</v>
      </c>
      <c r="DY328" s="102" t="e">
        <f t="shared" si="490"/>
        <v>#N/A</v>
      </c>
      <c r="DZ328" s="102" t="e">
        <f t="shared" si="491"/>
        <v>#N/A</v>
      </c>
      <c r="EA328" s="414" t="e">
        <f>IF(EA327=0,0,IF(AND(DW328&gt;charge_ELS_quasi,DX328&gt;Charge_ELS_freq,DY328&gt;charge_ELU,DZ328&gt;charge_ELA,$B328&gt;NDC!$H$22-0.1+MIN(3*$EA$12,1.5)),0,1))</f>
        <v>#N/A</v>
      </c>
      <c r="EB328" s="86" t="b">
        <f t="shared" si="459"/>
        <v>0</v>
      </c>
      <c r="EC328" s="418">
        <f t="shared" si="460"/>
        <v>0.51</v>
      </c>
      <c r="ED328" s="86">
        <f t="shared" si="461"/>
        <v>0.51</v>
      </c>
      <c r="EE328" s="30" t="e">
        <f t="shared" ca="1" si="492"/>
        <v>#DIV/0!</v>
      </c>
      <c r="EF328" s="85" t="e">
        <f ca="1">IF(DL328&lt;=Hypothèses!$V$7,Hypothèses!$W$7,IF(DL328&lt;=Hypothèses!$V$8,Hypothèses!$W$8,IF(DL328&lt;=Hypothèses!$V$9,Hypothèses!$W$9,IF(DL328&lt;=Hypothèses!$V$10,Hypothèses!$W$10,IF(DL328&lt;=Hypothèses!$V$11,Hypothèses!$W$11,IF(DL328&lt;=Hypothèses!$V$12,Hypothèses!$W$12,IF(DL328&lt;=Hypothèses!$V$13,Hypothèses!$W$13,IF(DL328&lt;=Hypothèses!$V$14,Hypothèses!$W$14,IF(DL328&lt;=Hypothèses!$V$15,Hypothèses!$W$15,IF(DL328&lt;=Hypothèses!$V$16,Hypothèses!$W$16,IF(DL328&lt;=Hypothèses!$V$17,Hypothèses!$W$17,IF(DL328&lt;=Hypothèses!$V$18,Hypothèses!$W$18,""))))))))))))</f>
        <v>#DIV/0!</v>
      </c>
      <c r="EG328" s="87" t="e">
        <f t="shared" ca="1" si="522"/>
        <v>#DIV/0!</v>
      </c>
      <c r="EH328" s="88" t="e">
        <f ca="1">IF(DL328&lt;=Hypothèses!$V$7,Hypothèses!$X$7,IF(DL328&lt;=Hypothèses!$V$8,Hypothèses!$X$8,IF(DL328&lt;=Hypothèses!$V$9,Hypothèses!$X$9,IF(DL328&lt;=Hypothèses!$V$10,Hypothèses!$X$10,IF(DL328&lt;=Hypothèses!$V$11,Hypothèses!$X$11,IF(DL328&lt;=Hypothèses!$V$12,Hypothèses!$X$12,IF(DL328&lt;=Hypothèses!$V$13,Hypothèses!$X$13,IF(DL328&lt;=Hypothèses!$V$14,Hypothèses!$X$14,IF(DL328&lt;=Hypothèses!$V$15,Hypothèses!$X$15,IF(DL328&lt;=Hypothèses!$V$16,Hypothèses!$X$16,IF(DL328&lt;=Hypothèses!$U$17,Hypothèses!$W$17,IF(DL328&lt;=Hypothèses!$U$18,Hypothèses!$W$18,""))))))))))))</f>
        <v>#DIV/0!</v>
      </c>
      <c r="EI328" s="95" t="e">
        <f t="shared" ca="1" si="493"/>
        <v>#DIV/0!</v>
      </c>
      <c r="EJ328" s="101" t="e">
        <f t="shared" si="529"/>
        <v>#N/A</v>
      </c>
      <c r="EK328" s="91" t="e">
        <f t="shared" si="462"/>
        <v>#N/A</v>
      </c>
      <c r="EL328" s="30" t="e">
        <f t="shared" si="512"/>
        <v>#N/A</v>
      </c>
      <c r="EM328" s="30" t="e">
        <f t="shared" si="513"/>
        <v>#N/A</v>
      </c>
      <c r="EN328" s="31" t="e">
        <f>IF(OR(Hypothèses!$B$4=17,Hypothèses!$B$4=18,Hypothèses!$B$4=19,Hypothèses!$B$4=20),
IF($D328="Pressio.",
IF(OR($E328=3,$E328=1,$E328=4),EM328,EL328),
IF($D328="Pénétro.",
IF(OR($E328=3,$E328=1,$E328=4),EM328,EL328))),IF($D328="Pressio.",
IF($E328=3,EM328,EL328),
IF($D328="Pénétro.",
IF($E328=4,EM328,EL328))))</f>
        <v>#N/A</v>
      </c>
      <c r="EO328" s="31" t="e">
        <f>(IF(OR(Hypothèses!$B$4=17,Hypothèses!$B$4=18,Hypothèses!$B$4=19,Hypothèses!$B$4=20),
IF($D328="Pressio.",
IF(OR($E328=3,$E328=1,$E328=4),(PI()*EO$12^2)/4*(EK328*$W328*1000)/($H328*$B$5),(PI()*EO$12^2)/4*(EK328*$W328*1000)/($G328*$B$5)),
IF($D328="Pénétro.",
IF(OR($E328=4,$E328=1,$E328=5),(PI()*EO$12^2)/4*(EK328*$W328*1000)/($H328*$B$5),(PI()*EO$12^2)/4*(EK328*$W328*1000)/($G328*$B$5)))),
IF($D328="Pressio.",
IF($E328=3,(PI()*EO$12^2)/4*(EK328*$W328*1000)/($H328*$B$5),(PI()*EO$12^2)/4*(EK328*$W328*1000)/($G328*$B$5)),
IF($D328="Pénétro.",
IF($E328=4,(PI()*EO$12^2)/4*(EK328*$W328*1000)/($H328*$B$5),(PI()*EO$12^2)/4*(EK328*$W328*1000)/($G328*$B$5))))))/10</f>
        <v>#N/A</v>
      </c>
      <c r="EP328" s="102" t="e">
        <f>(VLOOKUP($B$3,'Coeff EC7'!$T$39:$X$59,2,0)*EN328+VLOOKUP($B$3,'Coeff EC7'!$T$65:$X$85,2,0)*Model0.1C!EO328)/1.1</f>
        <v>#N/A</v>
      </c>
      <c r="EQ328" s="102" t="e">
        <f>(VLOOKUP($B$3,'Coeff EC7'!$T$39:$X$59,3,0)*EN328+VLOOKUP($B$3,'Coeff EC7'!$T$65:$X$85,3,0)*Model0.1C!EO328)/0.9</f>
        <v>#N/A</v>
      </c>
      <c r="ER328" s="102" t="e">
        <f t="shared" si="494"/>
        <v>#N/A</v>
      </c>
      <c r="ES328" s="102" t="e">
        <f t="shared" si="495"/>
        <v>#N/A</v>
      </c>
      <c r="ET328" s="414" t="e">
        <f>IF(ET327=0,0,IF(AND(EP328&gt;charge_ELS_quasi,EQ328&gt;Charge_ELS_freq,ER328&gt;charge_ELU,ES328&gt;charge_ELA,$B328&gt;NDC!$H$22-0.1+MIN(3*$ET$12,1.5)),0,1))</f>
        <v>#N/A</v>
      </c>
      <c r="EU328" s="86" t="b">
        <f t="shared" si="463"/>
        <v>0</v>
      </c>
      <c r="EV328" s="86">
        <f t="shared" si="464"/>
        <v>0.61</v>
      </c>
      <c r="EW328" s="86">
        <f t="shared" si="465"/>
        <v>0.61</v>
      </c>
      <c r="EX328" s="30" t="e">
        <f t="shared" ca="1" si="496"/>
        <v>#DIV/0!</v>
      </c>
      <c r="EY328" s="85" t="e">
        <f ca="1">IF(EE328&lt;=Hypothèses!$V$7,Hypothèses!$W$7,IF(EE328&lt;=Hypothèses!$V$8,Hypothèses!$W$8,IF(EE328&lt;=Hypothèses!$V$9,Hypothèses!$W$9,IF(EE328&lt;=Hypothèses!$V$10,Hypothèses!$W$10,IF(EE328&lt;=Hypothèses!$V$11,Hypothèses!$W$11,IF(EE328&lt;=Hypothèses!$V$12,Hypothèses!$W$12,IF(EE328&lt;=Hypothèses!$V$13,Hypothèses!$W$13,IF(EE328&lt;=Hypothèses!$V$14,Hypothèses!$W$14,IF(EE328&lt;=Hypothèses!$V$15,Hypothèses!$W$15,IF(EE328&lt;=Hypothèses!$V$16,Hypothèses!$W$16,IF(EE328&lt;=Hypothèses!$V$17,Hypothèses!$W$17,IF(EE328&lt;=Hypothèses!$V$18,Hypothèses!$W$18,""))))))))))))</f>
        <v>#DIV/0!</v>
      </c>
      <c r="EZ328" s="87" t="e">
        <f t="shared" ca="1" si="523"/>
        <v>#DIV/0!</v>
      </c>
      <c r="FA328" s="88" t="e">
        <f ca="1">IF(EE328&lt;=Hypothèses!$V$7,Hypothèses!$X$7,IF(EE328&lt;=Hypothèses!$V$8,Hypothèses!$X$8,IF(EE328&lt;=Hypothèses!$V$9,Hypothèses!$X$9,IF(EE328&lt;=Hypothèses!$V$10,Hypothèses!$X$10,IF(EE328&lt;=Hypothèses!$V$11,Hypothèses!$X$11,IF(EE328&lt;=Hypothèses!$V$12,Hypothèses!$X$12,IF(EE328&lt;=Hypothèses!$V$13,Hypothèses!$X$13,IF(EE328&lt;=Hypothèses!$V$14,Hypothèses!$X$14,IF(EE328&lt;=Hypothèses!$V$15,Hypothèses!$X$15,IF(EE328&lt;=Hypothèses!$V$16,Hypothèses!$X$16,IF(EE328&lt;=Hypothèses!$U$17,Hypothèses!$W$17,IF(EE328&lt;=Hypothèses!$U$18,Hypothèses!$W$18,""))))))))))))</f>
        <v>#DIV/0!</v>
      </c>
      <c r="FB328" s="95" t="e">
        <f t="shared" ca="1" si="497"/>
        <v>#DIV/0!</v>
      </c>
      <c r="FC328" s="101" t="e">
        <f t="shared" si="530"/>
        <v>#N/A</v>
      </c>
      <c r="FD328" s="91" t="e">
        <f t="shared" si="466"/>
        <v>#N/A</v>
      </c>
      <c r="FE328" s="30" t="e">
        <f t="shared" si="514"/>
        <v>#N/A</v>
      </c>
      <c r="FF328" s="30" t="e">
        <f t="shared" si="515"/>
        <v>#N/A</v>
      </c>
      <c r="FG328" s="31" t="e">
        <f>IF(OR(Hypothèses!$B$4=17,Hypothèses!$B$4=18,Hypothèses!$B$4=19,Hypothèses!$B$4=20),
IF($D328="Pressio.",
IF(OR($E328=3,$E328=1,$E328=4),FF328,FE328),
IF($D328="Pénétro.",
IF(OR($E328=3,$E328=1,$E328=4),FF328,FE328))),IF($D328="Pressio.",
IF($E328=3,FF328,FE328),
IF($D328="Pénétro.",
IF($E328=4,FF328,FE328))))</f>
        <v>#N/A</v>
      </c>
      <c r="FH328" s="31" t="e">
        <f>(IF(OR(Hypothèses!$B$4=17,Hypothèses!$B$4=18,Hypothèses!$B$4=19,Hypothèses!$B$4=20),
IF($D328="Pressio.",
IF(OR($E328=3,$E328=1,$E328=4),(PI()*FH$12^2)/4*(FD328*$W328*1000)/($H328*$B$5),(PI()*FH$12^2)/4*(FD328*$W328*1000)/($G328*$B$5)),
IF($D328="Pénétro.",
IF(OR($E328=4,$E328=1,$E328=5),(PI()*FH$12^2)/4*(FD328*$W328*1000)/($H328*$B$5),(PI()*FH$12^2)/4*(FD328*$W328*1000)/($G328*$B$5)))),
IF($D328="Pressio.",
IF($E328=3,(PI()*FH$12^2)/4*(FD328*$W328*1000)/($H328*$B$5),(PI()*FH$12^2)/4*(FD328*$W328*1000)/($G328*$B$5)),
IF($D328="Pénétro.",
IF($E328=4,(PI()*FH$12^2)/4*(FD328*$W328*1000)/($H328*$B$5),(PI()*FH$12^2)/4*(FD328*$W328*1000)/($G328*$B$5))))))/10</f>
        <v>#N/A</v>
      </c>
      <c r="FI328" s="102" t="e">
        <f>(VLOOKUP($B$3,'Coeff EC7'!$T$39:$X$59,2,0)*FG328+VLOOKUP($B$3,'Coeff EC7'!$T$65:$X$85,2,0)*Model0.1C!FH328)/1.1</f>
        <v>#N/A</v>
      </c>
      <c r="FJ328" s="102" t="e">
        <f>(VLOOKUP($B$3,'Coeff EC7'!$T$39:$X$59,3,0)*FG328+VLOOKUP($B$3,'Coeff EC7'!$T$65:$X$85,3,0)*Model0.1C!FH328)/0.9</f>
        <v>#N/A</v>
      </c>
      <c r="FK328" s="102" t="e">
        <f t="shared" si="498"/>
        <v>#N/A</v>
      </c>
      <c r="FL328" s="102" t="e">
        <f t="shared" si="499"/>
        <v>#N/A</v>
      </c>
      <c r="FM328" s="414" t="e">
        <f>IF(FM327=0,0,IF(AND(FI328&gt;charge_ELS_quasi,FJ328&gt;Charge_ELS_freq,FK328&gt;charge_ELU,FL328&gt;charge_ELA,$B328&gt;NDC!$H$22-0.1+MIN(3*$FM$12,1.5)),0,1))</f>
        <v>#N/A</v>
      </c>
    </row>
    <row r="329" spans="1:169">
      <c r="A329" s="96">
        <f t="shared" si="467"/>
        <v>68.400000000001796</v>
      </c>
      <c r="B329" s="97">
        <v>31.6</v>
      </c>
      <c r="C329" s="81">
        <f>IF(B329&lt;=Hypothèses!$C$7,Hypothèses!$A$7,IF(B329&lt;=Hypothèses!$C$8,Hypothèses!$A$8,IF(B329&lt;=Hypothèses!$C$9,Hypothèses!$A$9,IF(B329&lt;=Hypothèses!$C$10,Hypothèses!$A$10,IF(B329&lt;=Hypothèses!$C$11,Hypothèses!$A$11,IF(B329&lt;=Hypothèses!$C$12,Hypothèses!$A$12,IF(B329&lt;=Hypothèses!$C$13,Hypothèses!$A$13,IF(B329&lt;=Hypothèses!$C$14,Hypothèses!$A$14,IF(B329&lt;=Hypothèses!$C$15,Hypothèses!$A$15,IF(B329&lt;=Hypothèses!$C$16,Hypothèses!$A$16,IF(B329&lt;=Hypothèses!$C$17,Hypothèses!$A$17,IF(B329&lt;=Hypothèses!$C$18,Hypothèses!$A$18,C328))))))))))))</f>
        <v>11</v>
      </c>
      <c r="D329" s="82" t="str">
        <f>IF(B329&lt;=Hypothèses!$C$7,Hypothèses!$R$7,IF(B329&lt;=Hypothèses!$C$8,Hypothèses!$R$8,IF(B329&lt;=Hypothèses!$C$9,Hypothèses!$R$9,IF(B329&lt;=Hypothèses!$C$10,Hypothèses!$R$10,IF(B329&lt;=Hypothèses!$C$11,Hypothèses!$R$11,IF(B329&lt;=Hypothèses!$C$12,Hypothèses!$R$12,IF(B329&lt;=Hypothèses!$C$13,Hypothèses!$R$13,IF(B329&lt;=Hypothèses!$C$14,Hypothèses!$R$14,IF(B329&lt;=Hypothèses!$C$15,Hypothèses!$R$15,IF(B329&lt;=Hypothèses!$C$16,Hypothèses!$R$16,IF(B329&lt;=Hypothèses!$C$17,Hypothèses!$R$17,IF(B329&lt;=Hypothèses!$C$18,Hypothèses!$R$18,D328))))))))))))</f>
        <v>Pressio.</v>
      </c>
      <c r="E329" s="82" t="e">
        <f>IF(B329&lt;=Hypothèses!$C$7,Hypothèses!$G$7,IF(B329&lt;=Hypothèses!$C$8,Hypothèses!$G$8,IF(B329&lt;=Hypothèses!$C$9,Hypothèses!$G$9,IF(B329&lt;=Hypothèses!$C$10,Hypothèses!$G$10,IF(B329&lt;=Hypothèses!$C$11,Hypothèses!$G$11,IF(B329&lt;=Hypothèses!$C$12,Hypothèses!$G$12,IF(B329&lt;=Hypothèses!$C$13,Hypothèses!$G$13,IF(B329&lt;=Hypothèses!$C$14,Hypothèses!$G$14,IF(B329&lt;=Hypothèses!$C$15,Hypothèses!$G$15,IF(B329&lt;=Hypothèses!$C$16,Hypothèses!$G$16,IF(B329&lt;=Hypothèses!$C$17,Hypothèses!$G$17,IF(B329&lt;=Hypothèses!$C$18,Hypothèses!$G$18,E328))))))))))))</f>
        <v>#N/A</v>
      </c>
      <c r="F329" s="82" t="str">
        <f>IF(B329&lt;=Hypothèses!$C$7,Hypothèses!$F$7,IF(B329&lt;=Hypothèses!$C$8,Hypothèses!$F$8,IF(B329&lt;=Hypothèses!$C$9,Hypothèses!$F$9,IF(B329&lt;=Hypothèses!$C$10,Hypothèses!$F$10,IF(B329&lt;=Hypothèses!$C$11,Hypothèses!$F$11,IF(B329&lt;=Hypothèses!$C$12,Hypothèses!$F$12,IF(B329&lt;=Hypothèses!$C$13,Hypothèses!$F$13,IF(B329&lt;=Hypothèses!$C$14,Hypothèses!$F$14,IF(B329&lt;=Hypothèses!$C$15,Hypothèses!$F$15,IF(B329&lt;=Hypothèses!$C$16,Hypothèses!$F$16,IF(B329&lt;=Hypothèses!$C$17,Hypothèses!$F$17,IF(B329&lt;=Hypothèses!$C$18,Hypothèses!$F$18,F328))))))))))))</f>
        <v/>
      </c>
      <c r="G329" s="91">
        <f t="array" ref="G329">INDEX('Coeff EC7'!$U$7:$X$27,
MATCH(Model0.1C!$B$3,'Coeff EC7'!$T$7:$T$27,0),
MATCH(Model0.1C!$D329&amp;Model0.1C!$B$4,
'Coeff EC7'!$U$6:$X$6&amp;
'Coeff EC7'!$U$5:$X$5,0))</f>
        <v>1.1499999999999999</v>
      </c>
      <c r="H329" s="91">
        <f t="array" ref="H329">INDEX('Coeff EC7'!$Y$7:$AB$27,
MATCH(Model0.1C!$B$3,'Coeff EC7'!$T$7:$T$27,0),
MATCH(Model0.1C!$D329&amp;Model0.1C!$B$4,
'Coeff EC7'!$Y$6:$AB$6&amp;
'Coeff EC7'!$Y$5:$AB$5,0))</f>
        <v>1.4</v>
      </c>
      <c r="I329" s="83" t="e">
        <f>IF(B329&lt;=Hypothèses!$C$7,Hypothèses!$P$7,IF(B329&lt;=Hypothèses!$C$8,Hypothèses!$P$8,IF(B329&lt;=Hypothèses!$C$9,Hypothèses!$P$9,IF(B329&lt;=Hypothèses!$C$10,Hypothèses!$P$10,IF(B329&lt;=Hypothèses!$C$11,Hypothèses!$P$11,IF(B329&lt;=Hypothèses!$C$12,Hypothèses!$P$12,IF(B329&lt;=Hypothèses!$C$13,Hypothèses!$P$13,IF(B329&lt;=Hypothèses!$C$14,Hypothèses!$P$14,IF(B329&lt;=Hypothèses!$C$15,Hypothèses!$P$15,IF(B329&lt;=Hypothèses!$C$16,Hypothèses!$P$16,IF(B329&lt;=Hypothèses!$C$17,Hypothèses!$P$17,IF(B329&lt;=Hypothèses!$C$18,Hypothèses!$P$18,I328))))))))))))</f>
        <v>#N/A</v>
      </c>
      <c r="J329" s="91" t="e">
        <f t="array" ref="J329">INDEX('Coeff EC7'!$D$33:$Q$33,1,MATCH(D329&amp;E329,'Coeff EC7'!$D$31:$Q$31&amp;'Coeff EC7'!$D$32:$Q$32,0))</f>
        <v>#N/A</v>
      </c>
      <c r="K329" s="91" t="e">
        <f t="array" ref="K329">INDEX('Coeff EC7'!$D$34:$Q$34,1,MATCH(D329&amp;E329,'Coeff EC7'!$D$31:$Q$31&amp;'Coeff EC7'!$D$32:$Q$32,0))</f>
        <v>#N/A</v>
      </c>
      <c r="L329" s="91" t="e">
        <f t="array" ref="L329">INDEX('Coeff EC7'!$D$35:$Q$35,1,MATCH(D329&amp;E329,'Coeff EC7'!$D$31:$Q$31&amp;'Coeff EC7'!$D$32:$Q$32,0))</f>
        <v>#N/A</v>
      </c>
      <c r="M329" s="98" t="e">
        <f t="shared" si="431"/>
        <v>#N/A</v>
      </c>
      <c r="N329" s="99" t="e">
        <f t="array" ref="N329">INDEX('Coeff EC7'!$D$7:$Q$27,MATCH($B$3,'Coeff EC7'!$C$7:$C$27,0),MATCH(D329&amp;E329,'Coeff EC7'!$D$5:$Q$5&amp;'Coeff EC7'!$D$6:$Q$6,0))</f>
        <v>#N/A</v>
      </c>
      <c r="O329" s="99" t="e">
        <f t="array" ref="O329">INDEX('Coeff EC7'!$D$41:$Q$61,MATCH($B$3,'Coeff EC7'!$C$41:$C$61,0),MATCH(D329&amp;E329,'Coeff EC7'!$D$39:$Q$39&amp;'Coeff EC7'!$D$40:$Q$40,0))</f>
        <v>#N/A</v>
      </c>
      <c r="P329" s="30" t="e">
        <f t="shared" si="468"/>
        <v>#N/A</v>
      </c>
      <c r="Q329" s="100" t="e">
        <f t="shared" si="433"/>
        <v>#N/A</v>
      </c>
      <c r="R329" s="86" t="b">
        <f t="shared" si="434"/>
        <v>0</v>
      </c>
      <c r="S329" s="86">
        <f t="shared" si="432"/>
        <v>0.5</v>
      </c>
      <c r="T329" s="86">
        <f t="shared" si="435"/>
        <v>0.5</v>
      </c>
      <c r="U329" s="30" t="e">
        <f t="shared" ca="1" si="469"/>
        <v>#DIV/0!</v>
      </c>
      <c r="V329" s="85" t="str">
        <f>IF(B329&lt;=Hypothèses!$V$7,Hypothèses!$W$7,IF(B329&lt;=Hypothèses!$V$8,Hypothèses!$W$8,IF(B329&lt;=Hypothèses!$V$9,Hypothèses!$W$9,IF(B329&lt;=Hypothèses!$V$10,Hypothèses!$W$10,IF(B329&lt;=Hypothèses!$V$11,Hypothèses!$W$11,IF(B329&lt;=Hypothèses!$V$12,Hypothèses!$W$12,IF(B329&lt;=Hypothèses!$V$13,Hypothèses!$W$13,IF(B329&lt;=Hypothèses!$V$14,Hypothèses!$W$14,IF(B329&lt;=Hypothèses!$V$15,Hypothèses!$W$15,IF(B329&lt;=Hypothèses!$V$16,Hypothèses!$W$16,IF(B329&lt;=Hypothèses!$V$17,Hypothèses!$W$17,IF(B329&lt;=Hypothèses!$V$18,Hypothèses!$W$18,""))))))))))))</f>
        <v/>
      </c>
      <c r="W329" s="87" t="e">
        <f t="shared" ca="1" si="516"/>
        <v>#DIV/0!</v>
      </c>
      <c r="X329" s="88" t="str">
        <f>IF(B329&lt;=Hypothèses!$V$7,Hypothèses!$X$7,IF(B329&lt;=Hypothèses!$V$8,Hypothèses!$X$8,IF(B329&lt;=Hypothèses!$V$9,Hypothèses!$X$9,IF(B329&lt;=Hypothèses!$V$10,Hypothèses!$X$10,IF(B329&lt;=Hypothèses!$V$11,Hypothèses!$X$11,IF(B329&lt;=Hypothèses!$V$12,Hypothèses!$X$12,IF(B329&lt;=Hypothèses!$V$13,Hypothèses!$X$13,IF(B329&lt;=Hypothèses!$V$14,Hypothèses!$X$14,IF(B329&lt;=Hypothèses!$V$15,Hypothèses!$X$15,IF(B329&lt;=Hypothèses!$V$16,Hypothèses!$X$16,IF(B329&lt;=Hypothèses!$U$17,Hypothèses!$W$17,IF(B329&lt;=Hypothèses!$U$18,Hypothèses!$W$18,""))))))))))))</f>
        <v/>
      </c>
      <c r="Y329" s="95" t="e">
        <f t="shared" ca="1" si="436"/>
        <v>#DIV/0!</v>
      </c>
      <c r="Z329" s="101" t="e">
        <f t="shared" si="437"/>
        <v>#N/A</v>
      </c>
      <c r="AA329" s="91" t="e">
        <f t="shared" si="438"/>
        <v>#N/A</v>
      </c>
      <c r="AB329" s="30" t="e">
        <f t="shared" si="500"/>
        <v>#N/A</v>
      </c>
      <c r="AC329" s="30" t="e">
        <f t="shared" si="501"/>
        <v>#N/A</v>
      </c>
      <c r="AD329" s="31" t="e">
        <f>IF(OR(Hypothèses!$B$4=17,Hypothèses!$B$4=18,Hypothèses!$B$4=19,Hypothèses!$B$4=20),
IF($D329="Pressio.",
IF(OR($E329=3,$E329=1,$E329=4),AC329,AB329),
IF($D329="Pénétro.",
IF(OR($E329=3,$E329=1,$E329=4),AC329,AB329))),IF($D329="Pressio.",
IF($E329=3,AC329,AB329),
IF($D329="Pénétro.",
IF($E329=4,AC329,AB329))))</f>
        <v>#N/A</v>
      </c>
      <c r="AE329" s="31" t="e">
        <f>(IF(OR(Hypothèses!$B$4=17,Hypothèses!$B$4=18,Hypothèses!$B$4=19,Hypothèses!$B$4=20),
IF($D329="Pressio.",
IF(OR($E329=3,$E329=1,$E329=4),(PI()*AE$12^2)/4*(AA329*$W329*1000)/($H329*$B$5),(PI()*AE$12^2)/4*(AA329*$W329*1000)/($G329*$B$5)),
IF($D329="Pénétro.",
IF(OR($E329=4,$E329=1,$E329=5),(PI()*AE$12^2)/4*(AA329*$W329*1000)/($H329*$B$5),(PI()*AE$12^2)/4*(AA329*$W329*1000)/($G329*$B$5)))),
IF($D329="Pressio.",
IF($E329=3,(PI()*AE$12^2)/4*(AA329*$W329*1000)/($H329*$B$5),(PI()*AE$12^2)/4*(AA329*$W329*1000)/($G329*$B$5)),
IF($D329="Pénétro.",
IF($E329=4,(PI()*AE$12^2)/4*(AA329*$W329*1000)/($H329*$B$5),(PI()*AE$12^2)/4*(AA329*$W329*1000)/($G329*$B$5))))))/10</f>
        <v>#N/A</v>
      </c>
      <c r="AF329" s="102" t="e">
        <f>(VLOOKUP($B$3,'Coeff EC7'!$T$39:$X$59,2,0)*AD329+VLOOKUP($B$3,'Coeff EC7'!$T$65:$X$85,2,0)*Model0.1C!AE329)/1.1</f>
        <v>#N/A</v>
      </c>
      <c r="AG329" s="102" t="e">
        <f>(VLOOKUP($B$3,'Coeff EC7'!$T$39:$X$59,3,0)*AD329+VLOOKUP($B$3,'Coeff EC7'!$T$65:$X$85,3,0)*Model0.1C!AE329)/0.9</f>
        <v>#N/A</v>
      </c>
      <c r="AH329" s="102" t="e">
        <f t="shared" si="439"/>
        <v>#N/A</v>
      </c>
      <c r="AI329" s="102" t="e">
        <f t="shared" si="440"/>
        <v>#N/A</v>
      </c>
      <c r="AJ329" s="414" t="e">
        <f>IF(AJ328=0,0,IF(AND(AF329&gt;charge_ELS_quasi,AG329&gt;Charge_ELS_freq,AH329&gt;charge_ELU,AI329&gt;charge_ELA,$B329&gt;NDC!$H$22-0.1+MIN(3*$AJ$12,1.5)),0,1))</f>
        <v>#N/A</v>
      </c>
      <c r="AK329" s="86" t="b">
        <f t="shared" si="441"/>
        <v>0</v>
      </c>
      <c r="AL329" s="86">
        <f t="shared" si="470"/>
        <v>0.5</v>
      </c>
      <c r="AM329" s="86">
        <f t="shared" si="442"/>
        <v>0.5</v>
      </c>
      <c r="AN329" s="30" t="e">
        <f t="shared" ca="1" si="471"/>
        <v>#DIV/0!</v>
      </c>
      <c r="AO329" s="85" t="e">
        <f ca="1">IF(U329&lt;=Hypothèses!$V$7,Hypothèses!$W$7,IF(U329&lt;=Hypothèses!$V$8,Hypothèses!$W$8,IF(U329&lt;=Hypothèses!$V$9,Hypothèses!$W$9,IF(U329&lt;=Hypothèses!$V$10,Hypothèses!$W$10,IF(U329&lt;=Hypothèses!$V$11,Hypothèses!$W$11,IF(U329&lt;=Hypothèses!$V$12,Hypothèses!$W$12,IF(U329&lt;=Hypothèses!$V$13,Hypothèses!$W$13,IF(U329&lt;=Hypothèses!$V$14,Hypothèses!$W$14,IF(U329&lt;=Hypothèses!$V$15,Hypothèses!$W$15,IF(U329&lt;=Hypothèses!$V$16,Hypothèses!$W$16,IF(U329&lt;=Hypothèses!$V$17,Hypothèses!$W$17,IF(U329&lt;=Hypothèses!$V$18,Hypothèses!$W$18,""))))))))))))</f>
        <v>#DIV/0!</v>
      </c>
      <c r="AP329" s="87" t="e">
        <f t="shared" ca="1" si="517"/>
        <v>#DIV/0!</v>
      </c>
      <c r="AQ329" s="88" t="e">
        <f ca="1">IF(U329&lt;=Hypothèses!$V$7,Hypothèses!$X$7,IF(U329&lt;=Hypothèses!$V$8,Hypothèses!$X$8,IF(U329&lt;=Hypothèses!$V$9,Hypothèses!$X$9,IF(U329&lt;=Hypothèses!$V$10,Hypothèses!$X$10,IF(U329&lt;=Hypothèses!$V$11,Hypothèses!$X$11,IF(U329&lt;=Hypothèses!$V$12,Hypothèses!$X$12,IF(U329&lt;=Hypothèses!$V$13,Hypothèses!$X$13,IF(U329&lt;=Hypothèses!$V$14,Hypothèses!$X$14,IF(U329&lt;=Hypothèses!$V$15,Hypothèses!$X$15,IF(U329&lt;=Hypothèses!$V$16,Hypothèses!$X$16,IF(U329&lt;=Hypothèses!$U$17,Hypothèses!$W$17,IF(U329&lt;=Hypothèses!$U$18,Hypothèses!$W$18,""))))))))))))</f>
        <v>#DIV/0!</v>
      </c>
      <c r="AR329" s="95" t="e">
        <f t="shared" ca="1" si="472"/>
        <v>#DIV/0!</v>
      </c>
      <c r="AS329" s="101" t="e">
        <f t="shared" si="524"/>
        <v>#N/A</v>
      </c>
      <c r="AT329" s="91" t="e">
        <f t="shared" si="443"/>
        <v>#N/A</v>
      </c>
      <c r="AU329" s="30" t="e">
        <f t="shared" si="502"/>
        <v>#N/A</v>
      </c>
      <c r="AV329" s="30" t="e">
        <f t="shared" si="503"/>
        <v>#N/A</v>
      </c>
      <c r="AW329" s="31" t="e">
        <f>IF(OR(Hypothèses!$B$4=17,Hypothèses!$B$4=18,Hypothèses!$B$4=19,Hypothèses!$B$4=20),
IF($D329="Pressio.",
IF(OR($E329=3,$E329=1,$E329=4),AV329,AU329),
IF($D329="Pénétro.",
IF(OR($E329=3,$E329=1,$E329=4),AV329,AU329))),IF($D329="Pressio.",
IF($E329=3,AV329,AU329),
IF($D329="Pénétro.",
IF($E329=4,AV329,AU329))))</f>
        <v>#N/A</v>
      </c>
      <c r="AX329" s="31" t="e">
        <f>(IF(OR(Hypothèses!$B$4=17,Hypothèses!$B$4=18,Hypothèses!$B$4=19,Hypothèses!$B$4=20),
IF($D329="Pressio.",
IF(OR($E329=3,$E329=1,$E329=4),(PI()*AX$12^2)/4*(AT329*$W329*1000)/($H329*$B$5),(PI()*AX$12^2)/4*(AT329*$W329*1000)/($G329*$B$5)),
IF($D329="Pénétro.",
IF(OR($E329=4,$E329=1,$E329=5),(PI()*AX$12^2)/4*(AT329*$W329*1000)/($H329*$B$5),(PI()*AX$12^2)/4*(AT329*$W329*1000)/($G329*$B$5)))),
IF($D329="Pressio.",
IF($E329=3,(PI()*AX$12^2)/4*(AT329*$W329*1000)/($H329*$B$5),(PI()*AX$12^2)/4*(AT329*$W329*1000)/($G329*$B$5)),
IF($D329="Pénétro.",
IF($E329=4,(PI()*AX$12^2)/4*(AT329*$W329*1000)/($H329*$B$5),(PI()*AX$12^2)/4*(AT329*$W329*1000)/($G329*$B$5))))))/10</f>
        <v>#N/A</v>
      </c>
      <c r="AY329" s="102" t="e">
        <f>(VLOOKUP($B$3,'Coeff EC7'!$T$39:$X$59,2,0)*AW329+VLOOKUP($B$3,'Coeff EC7'!$T$65:$X$85,2,0)*Model0.1C!AX329)/1.1</f>
        <v>#N/A</v>
      </c>
      <c r="AZ329" s="102" t="e">
        <f>(VLOOKUP($B$3,'Coeff EC7'!$T$39:$X$59,3,0)*AW329+VLOOKUP($B$3,'Coeff EC7'!$T$65:$X$85,3,0)*Model0.1C!AX329)/0.9</f>
        <v>#N/A</v>
      </c>
      <c r="BA329" s="102" t="e">
        <f t="shared" si="473"/>
        <v>#N/A</v>
      </c>
      <c r="BB329" s="102" t="e">
        <f t="shared" si="474"/>
        <v>#N/A</v>
      </c>
      <c r="BC329" s="414" t="e">
        <f>IF(BC328=0,0,IF(AND(AY329&gt;charge_ELS_quasi,AZ329&gt;Charge_ELS_freq,BA329&gt;charge_ELU,BB329&gt;charge_ELA,$B329&gt;NDC!$H$22-0.1+MIN(3*$BC$12,1.5)),0,1))</f>
        <v>#N/A</v>
      </c>
      <c r="BD329" s="86" t="b">
        <f t="shared" si="444"/>
        <v>0</v>
      </c>
      <c r="BE329" s="86">
        <f t="shared" si="475"/>
        <v>0.5</v>
      </c>
      <c r="BF329" s="86">
        <f t="shared" si="445"/>
        <v>0.5</v>
      </c>
      <c r="BG329" s="30" t="e">
        <f t="shared" ca="1" si="476"/>
        <v>#DIV/0!</v>
      </c>
      <c r="BH329" s="85" t="e">
        <f ca="1">IF(AN329&lt;=Hypothèses!$V$7,Hypothèses!$W$7,IF(AN329&lt;=Hypothèses!$V$8,Hypothèses!$W$8,IF(AN329&lt;=Hypothèses!$V$9,Hypothèses!$W$9,IF(AN329&lt;=Hypothèses!$V$10,Hypothèses!$W$10,IF(AN329&lt;=Hypothèses!$V$11,Hypothèses!$W$11,IF(AN329&lt;=Hypothèses!$V$12,Hypothèses!$W$12,IF(AN329&lt;=Hypothèses!$V$13,Hypothèses!$W$13,IF(AN329&lt;=Hypothèses!$V$14,Hypothèses!$W$14,IF(AN329&lt;=Hypothèses!$V$15,Hypothèses!$W$15,IF(AN329&lt;=Hypothèses!$V$16,Hypothèses!$W$16,IF(AN329&lt;=Hypothèses!$V$17,Hypothèses!$W$17,IF(AN329&lt;=Hypothèses!$V$18,Hypothèses!$W$18,""))))))))))))</f>
        <v>#DIV/0!</v>
      </c>
      <c r="BI329" s="87" t="e">
        <f t="shared" ca="1" si="518"/>
        <v>#DIV/0!</v>
      </c>
      <c r="BJ329" s="88" t="e">
        <f ca="1">IF(AN329&lt;=Hypothèses!$V$7,Hypothèses!$X$7,IF(AN329&lt;=Hypothèses!$V$8,Hypothèses!$X$8,IF(AN329&lt;=Hypothèses!$V$9,Hypothèses!$X$9,IF(AN329&lt;=Hypothèses!$V$10,Hypothèses!$X$10,IF(AN329&lt;=Hypothèses!$V$11,Hypothèses!$X$11,IF(AN329&lt;=Hypothèses!$V$12,Hypothèses!$X$12,IF(AN329&lt;=Hypothèses!$V$13,Hypothèses!$X$13,IF(AN329&lt;=Hypothèses!$V$14,Hypothèses!$X$14,IF(AN329&lt;=Hypothèses!$V$15,Hypothèses!$X$15,IF(AN329&lt;=Hypothèses!$V$16,Hypothèses!$X$16,IF(AN329&lt;=Hypothèses!$U$17,Hypothèses!$W$17,IF(AN329&lt;=Hypothèses!$U$18,Hypothèses!$W$18,""))))))))))))</f>
        <v>#DIV/0!</v>
      </c>
      <c r="BK329" s="95" t="e">
        <f t="shared" ca="1" si="477"/>
        <v>#DIV/0!</v>
      </c>
      <c r="BL329" s="101" t="e">
        <f t="shared" si="525"/>
        <v>#N/A</v>
      </c>
      <c r="BM329" s="91" t="e">
        <f t="shared" si="446"/>
        <v>#N/A</v>
      </c>
      <c r="BN329" s="30" t="e">
        <f t="shared" si="504"/>
        <v>#N/A</v>
      </c>
      <c r="BO329" s="30" t="e">
        <f t="shared" si="505"/>
        <v>#N/A</v>
      </c>
      <c r="BP329" s="31" t="e">
        <f>IF(OR(Hypothèses!$B$4=17,Hypothèses!$B$4=18,Hypothèses!$B$4=19,Hypothèses!$B$4=20),
IF($D329="Pressio.",
IF(OR($E329=3,$E329=1,$E329=4),BO329,BN329),
IF($D329="Pénétro.",
IF(OR($E329=3,$E329=1,$E329=4),BO329,BN329))),IF($D329="Pressio.",
IF($E329=3,BO329,BN329),
IF($D329="Pénétro.",
IF($E329=4,BO329,BN329))))</f>
        <v>#N/A</v>
      </c>
      <c r="BQ329" s="31" t="e">
        <f>(IF(OR(Hypothèses!$B$4=17,Hypothèses!$B$4=18,Hypothèses!$B$4=19,Hypothèses!$B$4=20),
IF($D329="Pressio.",
IF(OR($E329=3,$E329=1,$E329=4),(PI()*BQ$12^2)/4*(BM329*$W329*1000)/($H329*$B$5),(PI()*BQ$12^2)/4*(BM329*$W329*1000)/($G329*$B$5)),
IF($D329="Pénétro.",
IF(OR($E329=4,$E329=1,$E329=5),(PI()*BQ$12^2)/4*(BM329*$W329*1000)/($H329*$B$5),(PI()*BQ$12^2)/4*(BM329*$W329*1000)/($G329*$B$5)))),
IF($D329="Pressio.",
IF($E329=3,(PI()*BQ$12^2)/4*(BM329*$W329*1000)/($H329*$B$5),(PI()*BQ$12^2)/4*(BM329*$W329*1000)/($G329*$B$5)),
IF($D329="Pénétro.",
IF($E329=4,(PI()*BQ$12^2)/4*(BM329*$W329*1000)/($H329*$B$5),(PI()*BQ$12^2)/4*(BM329*$W329*1000)/($G329*$B$5))))))/10</f>
        <v>#N/A</v>
      </c>
      <c r="BR329" s="102" t="e">
        <f>(VLOOKUP($B$3,'Coeff EC7'!$T$39:$X$59,2,0)*BP329+VLOOKUP($B$3,'Coeff EC7'!$T$65:$X$85,2,0)*Model0.1C!BQ329)/1.1</f>
        <v>#N/A</v>
      </c>
      <c r="BS329" s="102" t="e">
        <f>(VLOOKUP($B$3,'Coeff EC7'!$T$39:$X$59,3,0)*BP329+VLOOKUP($B$3,'Coeff EC7'!$T$65:$X$85,3,0)*Model0.1C!BQ329)/0.9</f>
        <v>#N/A</v>
      </c>
      <c r="BT329" s="102" t="e">
        <f t="shared" si="478"/>
        <v>#N/A</v>
      </c>
      <c r="BU329" s="102" t="e">
        <f t="shared" si="479"/>
        <v>#N/A</v>
      </c>
      <c r="BV329" s="414" t="e">
        <f>IF(BV328=0,0,IF(AND(BR329&gt;charge_ELS_quasi,BS329&gt;Charge_ELS_freq,BT329&gt;charge_ELU,BU329&gt;charge_ELA,$B329&gt;NDC!$H$22-0.1+MIN(3*$BV$12,1.5)),0,1))</f>
        <v>#N/A</v>
      </c>
      <c r="BW329" s="86" t="b">
        <f t="shared" si="447"/>
        <v>0</v>
      </c>
      <c r="BX329" s="86">
        <f t="shared" si="448"/>
        <v>0.5</v>
      </c>
      <c r="BY329" s="86">
        <f t="shared" si="449"/>
        <v>0.5</v>
      </c>
      <c r="BZ329" s="30" t="e">
        <f t="shared" ca="1" si="480"/>
        <v>#DIV/0!</v>
      </c>
      <c r="CA329" s="85" t="e">
        <f ca="1">IF(BG329&lt;=Hypothèses!$V$7,Hypothèses!$W$7,IF(BG329&lt;=Hypothèses!$V$8,Hypothèses!$W$8,IF(BG329&lt;=Hypothèses!$V$9,Hypothèses!$W$9,IF(BG329&lt;=Hypothèses!$V$10,Hypothèses!$W$10,IF(BG329&lt;=Hypothèses!$V$11,Hypothèses!$W$11,IF(BG329&lt;=Hypothèses!$V$12,Hypothèses!$W$12,IF(BG329&lt;=Hypothèses!$V$13,Hypothèses!$W$13,IF(BG329&lt;=Hypothèses!$V$14,Hypothèses!$W$14,IF(BG329&lt;=Hypothèses!$V$15,Hypothèses!$W$15,IF(BG329&lt;=Hypothèses!$V$16,Hypothèses!$W$16,IF(BG329&lt;=Hypothèses!$V$17,Hypothèses!$W$17,IF(BG329&lt;=Hypothèses!$V$18,Hypothèses!$W$18,""))))))))))))</f>
        <v>#DIV/0!</v>
      </c>
      <c r="CB329" s="87" t="e">
        <f t="shared" ca="1" si="519"/>
        <v>#DIV/0!</v>
      </c>
      <c r="CC329" s="88" t="e">
        <f ca="1">IF(BG329&lt;=Hypothèses!$V$7,Hypothèses!$X$7,IF(BG329&lt;=Hypothèses!$V$8,Hypothèses!$X$8,IF(BG329&lt;=Hypothèses!$V$9,Hypothèses!$X$9,IF(BG329&lt;=Hypothèses!$V$10,Hypothèses!$X$10,IF(BG329&lt;=Hypothèses!$V$11,Hypothèses!$X$11,IF(BG329&lt;=Hypothèses!$V$12,Hypothèses!$X$12,IF(BG329&lt;=Hypothèses!$V$13,Hypothèses!$X$13,IF(BG329&lt;=Hypothèses!$V$14,Hypothèses!$X$14,IF(BG329&lt;=Hypothèses!$V$15,Hypothèses!$X$15,IF(BG329&lt;=Hypothèses!$V$16,Hypothèses!$X$16,IF(BG329&lt;=Hypothèses!$U$17,Hypothèses!$W$17,IF(BG329&lt;=Hypothèses!$U$18,Hypothèses!$W$18,""))))))))))))</f>
        <v>#DIV/0!</v>
      </c>
      <c r="CD329" s="95" t="e">
        <f t="shared" ca="1" si="481"/>
        <v>#DIV/0!</v>
      </c>
      <c r="CE329" s="101" t="e">
        <f t="shared" si="526"/>
        <v>#N/A</v>
      </c>
      <c r="CF329" s="91" t="e">
        <f t="shared" si="450"/>
        <v>#N/A</v>
      </c>
      <c r="CG329" s="30" t="e">
        <f t="shared" si="506"/>
        <v>#N/A</v>
      </c>
      <c r="CH329" s="30" t="e">
        <f t="shared" si="507"/>
        <v>#N/A</v>
      </c>
      <c r="CI329" s="31" t="e">
        <f>IF(OR(Hypothèses!$B$4=17,Hypothèses!$B$4=18,Hypothèses!$B$4=19,Hypothèses!$B$4=20),
IF($D329="Pressio.",
IF(OR($E329=3,$E329=1,$E329=4),CH329,CG329),
IF($D329="Pénétro.",
IF(OR($E329=3,$E329=1,$E329=4),CH329,CG329))),IF($D329="Pressio.",
IF($E329=3,CH329,CG329),
IF($D329="Pénétro.",
IF($E329=4,CH329,CG329))))</f>
        <v>#N/A</v>
      </c>
      <c r="CJ329" s="31" t="e">
        <f>(IF(OR(Hypothèses!$B$4=17,Hypothèses!$B$4=18,Hypothèses!$B$4=19,Hypothèses!$B$4=20),
IF($D329="Pressio.",
IF(OR($E329=3,$E329=1,$E329=4),(PI()*CJ$12^2)/4*(CF329*$W329*1000)/($H329*$B$5),(PI()*CJ$12^2)/4*(CF329*$W329*1000)/($G329*$B$5)),
IF($D329="Pénétro.",
IF(OR($E329=4,$E329=1,$E329=5),(PI()*CJ$12^2)/4*(CF329*$W329*1000)/($H329*$B$5),(PI()*CJ$12^2)/4*(CF329*$W329*1000)/($G329*$B$5)))),
IF($D329="Pressio.",
IF($E329=3,(PI()*CJ$12^2)/4*(CF329*$W329*1000)/($H329*$B$5),(PI()*CJ$12^2)/4*(CF329*$W329*1000)/($G329*$B$5)),
IF($D329="Pénétro.",
IF($E329=4,(PI()*CJ$12^2)/4*(CF329*$W329*1000)/($H329*$B$5),(PI()*CJ$12^2)/4*(CF329*$W329*1000)/($G329*$B$5))))))/10</f>
        <v>#N/A</v>
      </c>
      <c r="CK329" s="102" t="e">
        <f>(VLOOKUP($B$3,'Coeff EC7'!$T$39:$X$59,2,0)*CI329+VLOOKUP($B$3,'Coeff EC7'!$T$65:$X$85,2,0)*Model0.1C!CJ329)/1.1</f>
        <v>#N/A</v>
      </c>
      <c r="CL329" s="102" t="e">
        <f>(VLOOKUP($B$3,'Coeff EC7'!$T$39:$X$59,3,0)*CI329+VLOOKUP($B$3,'Coeff EC7'!$T$65:$X$85,3,0)*Model0.1C!CJ329)/0.9</f>
        <v>#N/A</v>
      </c>
      <c r="CM329" s="102" t="e">
        <f t="shared" si="482"/>
        <v>#N/A</v>
      </c>
      <c r="CN329" s="102" t="e">
        <f t="shared" si="483"/>
        <v>#N/A</v>
      </c>
      <c r="CO329" s="414" t="e">
        <f>IF(CO328=0,0,IF(AND(CK329&gt;charge_ELS_quasi,CL329&gt;Charge_ELS_freq,CM329&gt;charge_ELU,CN329&gt;charge_ELA,$B329&gt;NDC!$H$22-0.1+MIN(3*$CO$12,1.5)),0,1))</f>
        <v>#N/A</v>
      </c>
      <c r="CP329" s="86" t="b">
        <f t="shared" si="451"/>
        <v>0</v>
      </c>
      <c r="CQ329" s="86">
        <f t="shared" si="452"/>
        <v>0.5</v>
      </c>
      <c r="CR329" s="86">
        <f t="shared" si="453"/>
        <v>0.5</v>
      </c>
      <c r="CS329" s="30" t="e">
        <f t="shared" ca="1" si="484"/>
        <v>#DIV/0!</v>
      </c>
      <c r="CT329" s="85" t="e">
        <f ca="1">IF(BZ329&lt;=Hypothèses!$V$7,Hypothèses!$W$7,IF(BZ329&lt;=Hypothèses!$V$8,Hypothèses!$W$8,IF(BZ329&lt;=Hypothèses!$V$9,Hypothèses!$W$9,IF(BZ329&lt;=Hypothèses!$V$10,Hypothèses!$W$10,IF(BZ329&lt;=Hypothèses!$V$11,Hypothèses!$W$11,IF(BZ329&lt;=Hypothèses!$V$12,Hypothèses!$W$12,IF(BZ329&lt;=Hypothèses!$V$13,Hypothèses!$W$13,IF(BZ329&lt;=Hypothèses!$V$14,Hypothèses!$W$14,IF(BZ329&lt;=Hypothèses!$V$15,Hypothèses!$W$15,IF(BZ329&lt;=Hypothèses!$V$16,Hypothèses!$W$16,IF(BZ329&lt;=Hypothèses!$V$17,Hypothèses!$W$17,IF(BZ329&lt;=Hypothèses!$V$18,Hypothèses!$W$18,""))))))))))))</f>
        <v>#DIV/0!</v>
      </c>
      <c r="CU329" s="87" t="e">
        <f t="shared" ca="1" si="520"/>
        <v>#DIV/0!</v>
      </c>
      <c r="CV329" s="88" t="e">
        <f ca="1">IF(BZ329&lt;=Hypothèses!$V$7,Hypothèses!$X$7,IF(BZ329&lt;=Hypothèses!$V$8,Hypothèses!$X$8,IF(BZ329&lt;=Hypothèses!$V$9,Hypothèses!$X$9,IF(BZ329&lt;=Hypothèses!$V$10,Hypothèses!$X$10,IF(BZ329&lt;=Hypothèses!$V$11,Hypothèses!$X$11,IF(BZ329&lt;=Hypothèses!$V$12,Hypothèses!$X$12,IF(BZ329&lt;=Hypothèses!$V$13,Hypothèses!$X$13,IF(BZ329&lt;=Hypothèses!$V$14,Hypothèses!$X$14,IF(BZ329&lt;=Hypothèses!$V$15,Hypothèses!$X$15,IF(BZ329&lt;=Hypothèses!$V$16,Hypothèses!$X$16,IF(BZ329&lt;=Hypothèses!$U$17,Hypothèses!$W$17,IF(BZ329&lt;=Hypothèses!$U$18,Hypothèses!$W$18,""))))))))))))</f>
        <v>#DIV/0!</v>
      </c>
      <c r="CW329" s="95" t="e">
        <f t="shared" ca="1" si="485"/>
        <v>#DIV/0!</v>
      </c>
      <c r="CX329" s="101" t="e">
        <f t="shared" si="527"/>
        <v>#N/A</v>
      </c>
      <c r="CY329" s="91" t="e">
        <f t="shared" si="454"/>
        <v>#N/A</v>
      </c>
      <c r="CZ329" s="30" t="e">
        <f t="shared" si="508"/>
        <v>#N/A</v>
      </c>
      <c r="DA329" s="30" t="e">
        <f t="shared" si="509"/>
        <v>#N/A</v>
      </c>
      <c r="DB329" s="31" t="e">
        <f>IF(OR(Hypothèses!$B$4=17,Hypothèses!$B$4=18,Hypothèses!$B$4=19,Hypothèses!$B$4=20),
IF($D329="Pressio.",
IF(OR($E329=3,$E329=1,$E329=4),DA329,CZ329),
IF($D329="Pénétro.",
IF(OR($E329=3,$E329=1,$E329=4),DA329,CZ329))),IF($D329="Pressio.",
IF($E329=3,DA329,CZ329),
IF($D329="Pénétro.",
IF($E329=4,DA329,CZ329))))</f>
        <v>#N/A</v>
      </c>
      <c r="DC329" s="31" t="e">
        <f>(IF(OR(Hypothèses!$B$4=17,Hypothèses!$B$4=18,Hypothèses!$B$4=19,Hypothèses!$B$4=20),
IF($D329="Pressio.",
IF(OR($E329=3,$E329=1,$E329=4),(PI()*DC$12^2)/4*(CY329*$W329*1000)/($H329*$B$5),(PI()*DC$12^2)/4*(CY329*$W329*1000)/($G329*$B$5)),
IF($D329="Pénétro.",
IF(OR($E329=4,$E329=1,$E329=5),(PI()*DC$12^2)/4*(CY329*$W329*1000)/($H329*$B$5),(PI()*DC$12^2)/4*(CY329*$W329*1000)/($G329*$B$5)))),
IF($D329="Pressio.",
IF($E329=3,(PI()*DC$12^2)/4*(CY329*$W329*1000)/($H329*$B$5),(PI()*DC$12^2)/4*(CY329*$W329*1000)/($G329*$B$5)),
IF($D329="Pénétro.",
IF($E329=4,(PI()*DC$12^2)/4*(CY329*$W329*1000)/($H329*$B$5),(PI()*DC$12^2)/4*(CY329*$W329*1000)/($G329*$B$5))))))/10</f>
        <v>#N/A</v>
      </c>
      <c r="DD329" s="102" t="e">
        <f>(VLOOKUP($B$3,'Coeff EC7'!$T$39:$X$59,2,0)*DB329+VLOOKUP($B$3,'Coeff EC7'!$T$65:$X$85,2,0)*Model0.1C!DC329)/1.1</f>
        <v>#N/A</v>
      </c>
      <c r="DE329" s="102" t="e">
        <f>(VLOOKUP($B$3,'Coeff EC7'!$T$39:$X$59,3,0)*DB329+VLOOKUP($B$3,'Coeff EC7'!$T$65:$X$85,3,0)*Model0.1C!DC329)/0.9</f>
        <v>#N/A</v>
      </c>
      <c r="DF329" s="102" t="e">
        <f t="shared" si="486"/>
        <v>#N/A</v>
      </c>
      <c r="DG329" s="102" t="e">
        <f t="shared" si="487"/>
        <v>#N/A</v>
      </c>
      <c r="DH329" s="414" t="e">
        <f>IF(DH328=0,0,IF(AND(DD329&gt;charge_ELS_quasi,DE329&gt;Charge_ELS_freq,DF329&gt;charge_ELU,DG329&gt;charge_ELA,$B329&gt;NDC!$H$22-0.1+MIN(3*$DH$12,1.5)),0,1))</f>
        <v>#N/A</v>
      </c>
      <c r="DI329" s="86" t="b">
        <f t="shared" si="455"/>
        <v>0</v>
      </c>
      <c r="DJ329" s="86">
        <f t="shared" si="456"/>
        <v>0.5</v>
      </c>
      <c r="DK329" s="86">
        <f t="shared" si="457"/>
        <v>0.5</v>
      </c>
      <c r="DL329" s="30" t="e">
        <f t="shared" ca="1" si="488"/>
        <v>#DIV/0!</v>
      </c>
      <c r="DM329" s="85" t="e">
        <f ca="1">IF(CS329&lt;=Hypothèses!$V$7,Hypothèses!$W$7,IF(CS329&lt;=Hypothèses!$V$8,Hypothèses!$W$8,IF(CS329&lt;=Hypothèses!$V$9,Hypothèses!$W$9,IF(CS329&lt;=Hypothèses!$V$10,Hypothèses!$W$10,IF(CS329&lt;=Hypothèses!$V$11,Hypothèses!$W$11,IF(CS329&lt;=Hypothèses!$V$12,Hypothèses!$W$12,IF(CS329&lt;=Hypothèses!$V$13,Hypothèses!$W$13,IF(CS329&lt;=Hypothèses!$V$14,Hypothèses!$W$14,IF(CS329&lt;=Hypothèses!$V$15,Hypothèses!$W$15,IF(CS329&lt;=Hypothèses!$V$16,Hypothèses!$W$16,IF(CS329&lt;=Hypothèses!$V$17,Hypothèses!$W$17,IF(CS329&lt;=Hypothèses!$V$18,Hypothèses!$W$18,""))))))))))))</f>
        <v>#DIV/0!</v>
      </c>
      <c r="DN329" s="87" t="e">
        <f t="shared" ca="1" si="521"/>
        <v>#DIV/0!</v>
      </c>
      <c r="DO329" s="88" t="e">
        <f ca="1">IF(CS329&lt;=Hypothèses!$V$7,Hypothèses!$X$7,IF(CS329&lt;=Hypothèses!$V$8,Hypothèses!$X$8,IF(CS329&lt;=Hypothèses!$V$9,Hypothèses!$X$9,IF(CS329&lt;=Hypothèses!$V$10,Hypothèses!$X$10,IF(CS329&lt;=Hypothèses!$V$11,Hypothèses!$X$11,IF(CS329&lt;=Hypothèses!$V$12,Hypothèses!$X$12,IF(CS329&lt;=Hypothèses!$V$13,Hypothèses!$X$13,IF(CS329&lt;=Hypothèses!$V$14,Hypothèses!$X$14,IF(CS329&lt;=Hypothèses!$V$15,Hypothèses!$X$15,IF(CS329&lt;=Hypothèses!$V$16,Hypothèses!$X$16,IF(CS329&lt;=Hypothèses!$U$17,Hypothèses!$W$17,IF(CS329&lt;=Hypothèses!$U$18,Hypothèses!$W$18,""))))))))))))</f>
        <v>#DIV/0!</v>
      </c>
      <c r="DP329" s="95" t="e">
        <f t="shared" ca="1" si="489"/>
        <v>#DIV/0!</v>
      </c>
      <c r="DQ329" s="101" t="e">
        <f t="shared" si="528"/>
        <v>#N/A</v>
      </c>
      <c r="DR329" s="91" t="e">
        <f t="shared" si="458"/>
        <v>#N/A</v>
      </c>
      <c r="DS329" s="30" t="e">
        <f t="shared" si="510"/>
        <v>#N/A</v>
      </c>
      <c r="DT329" s="30" t="e">
        <f t="shared" si="511"/>
        <v>#N/A</v>
      </c>
      <c r="DU329" s="31" t="e">
        <f>IF(OR(Hypothèses!$B$4=17,Hypothèses!$B$4=18,Hypothèses!$B$4=19,Hypothèses!$B$4=20),
IF($D329="Pressio.",
IF(OR($E329=3,$E329=1,$E329=4),DT329,DS329),
IF($D329="Pénétro.",
IF(OR($E329=3,$E329=1,$E329=4),DT329,DS329))),IF($D329="Pressio.",
IF($E329=3,DT329,DS329),
IF($D329="Pénétro.",
IF($E329=4,DT329,DS329))))</f>
        <v>#N/A</v>
      </c>
      <c r="DV329" s="31" t="e">
        <f>(IF(OR(Hypothèses!$B$4=17,Hypothèses!$B$4=18,Hypothèses!$B$4=19,Hypothèses!$B$4=20),
IF($D329="Pressio.",
IF(OR($E329=3,$E329=1,$E329=4),(PI()*DV$12^2)/4*(DR329*$W329*1000)/($H329*$B$5),(PI()*DV$12^2)/4*(DR329*$W329*1000)/($G329*$B$5)),
IF($D329="Pénétro.",
IF(OR($E329=4,$E329=1,$E329=5),(PI()*DV$12^2)/4*(DR329*$W329*1000)/($H329*$B$5),(PI()*DV$12^2)/4*(DR329*$W329*1000)/($G329*$B$5)))),
IF($D329="Pressio.",
IF($E329=3,(PI()*DV$12^2)/4*(DR329*$W329*1000)/($H329*$B$5),(PI()*DV$12^2)/4*(DR329*$W329*1000)/($G329*$B$5)),
IF($D329="Pénétro.",
IF($E329=4,(PI()*DV$12^2)/4*(DR329*$W329*1000)/($H329*$B$5),(PI()*DV$12^2)/4*(DR329*$W329*1000)/($G329*$B$5))))))/10</f>
        <v>#N/A</v>
      </c>
      <c r="DW329" s="102" t="e">
        <f>(VLOOKUP($B$3,'Coeff EC7'!$T$39:$X$59,2,0)*DU329+VLOOKUP($B$3,'Coeff EC7'!$T$65:$X$85,2,0)*Model0.1C!DV329)/1.1</f>
        <v>#N/A</v>
      </c>
      <c r="DX329" s="102" t="e">
        <f>(VLOOKUP($B$3,'Coeff EC7'!$T$39:$X$59,3,0)*DU329+VLOOKUP($B$3,'Coeff EC7'!$T$65:$X$85,3,0)*Model0.1C!DV329)/0.9</f>
        <v>#N/A</v>
      </c>
      <c r="DY329" s="102" t="e">
        <f t="shared" si="490"/>
        <v>#N/A</v>
      </c>
      <c r="DZ329" s="102" t="e">
        <f t="shared" si="491"/>
        <v>#N/A</v>
      </c>
      <c r="EA329" s="414" t="e">
        <f>IF(EA328=0,0,IF(AND(DW329&gt;charge_ELS_quasi,DX329&gt;Charge_ELS_freq,DY329&gt;charge_ELU,DZ329&gt;charge_ELA,$B329&gt;NDC!$H$22-0.1+MIN(3*$EA$12,1.5)),0,1))</f>
        <v>#N/A</v>
      </c>
      <c r="EB329" s="86" t="b">
        <f t="shared" si="459"/>
        <v>0</v>
      </c>
      <c r="EC329" s="418">
        <f t="shared" si="460"/>
        <v>0.51</v>
      </c>
      <c r="ED329" s="86">
        <f t="shared" si="461"/>
        <v>0.51</v>
      </c>
      <c r="EE329" s="30" t="e">
        <f t="shared" ca="1" si="492"/>
        <v>#DIV/0!</v>
      </c>
      <c r="EF329" s="85" t="e">
        <f ca="1">IF(DL329&lt;=Hypothèses!$V$7,Hypothèses!$W$7,IF(DL329&lt;=Hypothèses!$V$8,Hypothèses!$W$8,IF(DL329&lt;=Hypothèses!$V$9,Hypothèses!$W$9,IF(DL329&lt;=Hypothèses!$V$10,Hypothèses!$W$10,IF(DL329&lt;=Hypothèses!$V$11,Hypothèses!$W$11,IF(DL329&lt;=Hypothèses!$V$12,Hypothèses!$W$12,IF(DL329&lt;=Hypothèses!$V$13,Hypothèses!$W$13,IF(DL329&lt;=Hypothèses!$V$14,Hypothèses!$W$14,IF(DL329&lt;=Hypothèses!$V$15,Hypothèses!$W$15,IF(DL329&lt;=Hypothèses!$V$16,Hypothèses!$W$16,IF(DL329&lt;=Hypothèses!$V$17,Hypothèses!$W$17,IF(DL329&lt;=Hypothèses!$V$18,Hypothèses!$W$18,""))))))))))))</f>
        <v>#DIV/0!</v>
      </c>
      <c r="EG329" s="87" t="e">
        <f t="shared" ca="1" si="522"/>
        <v>#DIV/0!</v>
      </c>
      <c r="EH329" s="88" t="e">
        <f ca="1">IF(DL329&lt;=Hypothèses!$V$7,Hypothèses!$X$7,IF(DL329&lt;=Hypothèses!$V$8,Hypothèses!$X$8,IF(DL329&lt;=Hypothèses!$V$9,Hypothèses!$X$9,IF(DL329&lt;=Hypothèses!$V$10,Hypothèses!$X$10,IF(DL329&lt;=Hypothèses!$V$11,Hypothèses!$X$11,IF(DL329&lt;=Hypothèses!$V$12,Hypothèses!$X$12,IF(DL329&lt;=Hypothèses!$V$13,Hypothèses!$X$13,IF(DL329&lt;=Hypothèses!$V$14,Hypothèses!$X$14,IF(DL329&lt;=Hypothèses!$V$15,Hypothèses!$X$15,IF(DL329&lt;=Hypothèses!$V$16,Hypothèses!$X$16,IF(DL329&lt;=Hypothèses!$U$17,Hypothèses!$W$17,IF(DL329&lt;=Hypothèses!$U$18,Hypothèses!$W$18,""))))))))))))</f>
        <v>#DIV/0!</v>
      </c>
      <c r="EI329" s="95" t="e">
        <f t="shared" ca="1" si="493"/>
        <v>#DIV/0!</v>
      </c>
      <c r="EJ329" s="101" t="e">
        <f t="shared" si="529"/>
        <v>#N/A</v>
      </c>
      <c r="EK329" s="91" t="e">
        <f t="shared" si="462"/>
        <v>#N/A</v>
      </c>
      <c r="EL329" s="30" t="e">
        <f t="shared" si="512"/>
        <v>#N/A</v>
      </c>
      <c r="EM329" s="30" t="e">
        <f t="shared" si="513"/>
        <v>#N/A</v>
      </c>
      <c r="EN329" s="31" t="e">
        <f>IF(OR(Hypothèses!$B$4=17,Hypothèses!$B$4=18,Hypothèses!$B$4=19,Hypothèses!$B$4=20),
IF($D329="Pressio.",
IF(OR($E329=3,$E329=1,$E329=4),EM329,EL329),
IF($D329="Pénétro.",
IF(OR($E329=3,$E329=1,$E329=4),EM329,EL329))),IF($D329="Pressio.",
IF($E329=3,EM329,EL329),
IF($D329="Pénétro.",
IF($E329=4,EM329,EL329))))</f>
        <v>#N/A</v>
      </c>
      <c r="EO329" s="31" t="e">
        <f>(IF(OR(Hypothèses!$B$4=17,Hypothèses!$B$4=18,Hypothèses!$B$4=19,Hypothèses!$B$4=20),
IF($D329="Pressio.",
IF(OR($E329=3,$E329=1,$E329=4),(PI()*EO$12^2)/4*(EK329*$W329*1000)/($H329*$B$5),(PI()*EO$12^2)/4*(EK329*$W329*1000)/($G329*$B$5)),
IF($D329="Pénétro.",
IF(OR($E329=4,$E329=1,$E329=5),(PI()*EO$12^2)/4*(EK329*$W329*1000)/($H329*$B$5),(PI()*EO$12^2)/4*(EK329*$W329*1000)/($G329*$B$5)))),
IF($D329="Pressio.",
IF($E329=3,(PI()*EO$12^2)/4*(EK329*$W329*1000)/($H329*$B$5),(PI()*EO$12^2)/4*(EK329*$W329*1000)/($G329*$B$5)),
IF($D329="Pénétro.",
IF($E329=4,(PI()*EO$12^2)/4*(EK329*$W329*1000)/($H329*$B$5),(PI()*EO$12^2)/4*(EK329*$W329*1000)/($G329*$B$5))))))/10</f>
        <v>#N/A</v>
      </c>
      <c r="EP329" s="102" t="e">
        <f>(VLOOKUP($B$3,'Coeff EC7'!$T$39:$X$59,2,0)*EN329+VLOOKUP($B$3,'Coeff EC7'!$T$65:$X$85,2,0)*Model0.1C!EO329)/1.1</f>
        <v>#N/A</v>
      </c>
      <c r="EQ329" s="102" t="e">
        <f>(VLOOKUP($B$3,'Coeff EC7'!$T$39:$X$59,3,0)*EN329+VLOOKUP($B$3,'Coeff EC7'!$T$65:$X$85,3,0)*Model0.1C!EO329)/0.9</f>
        <v>#N/A</v>
      </c>
      <c r="ER329" s="102" t="e">
        <f t="shared" si="494"/>
        <v>#N/A</v>
      </c>
      <c r="ES329" s="102" t="e">
        <f t="shared" si="495"/>
        <v>#N/A</v>
      </c>
      <c r="ET329" s="414" t="e">
        <f>IF(ET328=0,0,IF(AND(EP329&gt;charge_ELS_quasi,EQ329&gt;Charge_ELS_freq,ER329&gt;charge_ELU,ES329&gt;charge_ELA,$B329&gt;NDC!$H$22-0.1+MIN(3*$ET$12,1.5)),0,1))</f>
        <v>#N/A</v>
      </c>
      <c r="EU329" s="86" t="b">
        <f t="shared" si="463"/>
        <v>0</v>
      </c>
      <c r="EV329" s="86">
        <f t="shared" si="464"/>
        <v>0.61</v>
      </c>
      <c r="EW329" s="86">
        <f t="shared" si="465"/>
        <v>0.61</v>
      </c>
      <c r="EX329" s="30" t="e">
        <f t="shared" ca="1" si="496"/>
        <v>#DIV/0!</v>
      </c>
      <c r="EY329" s="85" t="e">
        <f ca="1">IF(EE329&lt;=Hypothèses!$V$7,Hypothèses!$W$7,IF(EE329&lt;=Hypothèses!$V$8,Hypothèses!$W$8,IF(EE329&lt;=Hypothèses!$V$9,Hypothèses!$W$9,IF(EE329&lt;=Hypothèses!$V$10,Hypothèses!$W$10,IF(EE329&lt;=Hypothèses!$V$11,Hypothèses!$W$11,IF(EE329&lt;=Hypothèses!$V$12,Hypothèses!$W$12,IF(EE329&lt;=Hypothèses!$V$13,Hypothèses!$W$13,IF(EE329&lt;=Hypothèses!$V$14,Hypothèses!$W$14,IF(EE329&lt;=Hypothèses!$V$15,Hypothèses!$W$15,IF(EE329&lt;=Hypothèses!$V$16,Hypothèses!$W$16,IF(EE329&lt;=Hypothèses!$V$17,Hypothèses!$W$17,IF(EE329&lt;=Hypothèses!$V$18,Hypothèses!$W$18,""))))))))))))</f>
        <v>#DIV/0!</v>
      </c>
      <c r="EZ329" s="87" t="e">
        <f t="shared" ca="1" si="523"/>
        <v>#DIV/0!</v>
      </c>
      <c r="FA329" s="88" t="e">
        <f ca="1">IF(EE329&lt;=Hypothèses!$V$7,Hypothèses!$X$7,IF(EE329&lt;=Hypothèses!$V$8,Hypothèses!$X$8,IF(EE329&lt;=Hypothèses!$V$9,Hypothèses!$X$9,IF(EE329&lt;=Hypothèses!$V$10,Hypothèses!$X$10,IF(EE329&lt;=Hypothèses!$V$11,Hypothèses!$X$11,IF(EE329&lt;=Hypothèses!$V$12,Hypothèses!$X$12,IF(EE329&lt;=Hypothèses!$V$13,Hypothèses!$X$13,IF(EE329&lt;=Hypothèses!$V$14,Hypothèses!$X$14,IF(EE329&lt;=Hypothèses!$V$15,Hypothèses!$X$15,IF(EE329&lt;=Hypothèses!$V$16,Hypothèses!$X$16,IF(EE329&lt;=Hypothèses!$U$17,Hypothèses!$W$17,IF(EE329&lt;=Hypothèses!$U$18,Hypothèses!$W$18,""))))))))))))</f>
        <v>#DIV/0!</v>
      </c>
      <c r="FB329" s="95" t="e">
        <f t="shared" ca="1" si="497"/>
        <v>#DIV/0!</v>
      </c>
      <c r="FC329" s="101" t="e">
        <f t="shared" si="530"/>
        <v>#N/A</v>
      </c>
      <c r="FD329" s="91" t="e">
        <f t="shared" si="466"/>
        <v>#N/A</v>
      </c>
      <c r="FE329" s="30" t="e">
        <f t="shared" si="514"/>
        <v>#N/A</v>
      </c>
      <c r="FF329" s="30" t="e">
        <f t="shared" si="515"/>
        <v>#N/A</v>
      </c>
      <c r="FG329" s="31" t="e">
        <f>IF(OR(Hypothèses!$B$4=17,Hypothèses!$B$4=18,Hypothèses!$B$4=19,Hypothèses!$B$4=20),
IF($D329="Pressio.",
IF(OR($E329=3,$E329=1,$E329=4),FF329,FE329),
IF($D329="Pénétro.",
IF(OR($E329=3,$E329=1,$E329=4),FF329,FE329))),IF($D329="Pressio.",
IF($E329=3,FF329,FE329),
IF($D329="Pénétro.",
IF($E329=4,FF329,FE329))))</f>
        <v>#N/A</v>
      </c>
      <c r="FH329" s="31" t="e">
        <f>(IF(OR(Hypothèses!$B$4=17,Hypothèses!$B$4=18,Hypothèses!$B$4=19,Hypothèses!$B$4=20),
IF($D329="Pressio.",
IF(OR($E329=3,$E329=1,$E329=4),(PI()*FH$12^2)/4*(FD329*$W329*1000)/($H329*$B$5),(PI()*FH$12^2)/4*(FD329*$W329*1000)/($G329*$B$5)),
IF($D329="Pénétro.",
IF(OR($E329=4,$E329=1,$E329=5),(PI()*FH$12^2)/4*(FD329*$W329*1000)/($H329*$B$5),(PI()*FH$12^2)/4*(FD329*$W329*1000)/($G329*$B$5)))),
IF($D329="Pressio.",
IF($E329=3,(PI()*FH$12^2)/4*(FD329*$W329*1000)/($H329*$B$5),(PI()*FH$12^2)/4*(FD329*$W329*1000)/($G329*$B$5)),
IF($D329="Pénétro.",
IF($E329=4,(PI()*FH$12^2)/4*(FD329*$W329*1000)/($H329*$B$5),(PI()*FH$12^2)/4*(FD329*$W329*1000)/($G329*$B$5))))))/10</f>
        <v>#N/A</v>
      </c>
      <c r="FI329" s="102" t="e">
        <f>(VLOOKUP($B$3,'Coeff EC7'!$T$39:$X$59,2,0)*FG329+VLOOKUP($B$3,'Coeff EC7'!$T$65:$X$85,2,0)*Model0.1C!FH329)/1.1</f>
        <v>#N/A</v>
      </c>
      <c r="FJ329" s="102" t="e">
        <f>(VLOOKUP($B$3,'Coeff EC7'!$T$39:$X$59,3,0)*FG329+VLOOKUP($B$3,'Coeff EC7'!$T$65:$X$85,3,0)*Model0.1C!FH329)/0.9</f>
        <v>#N/A</v>
      </c>
      <c r="FK329" s="102" t="e">
        <f t="shared" si="498"/>
        <v>#N/A</v>
      </c>
      <c r="FL329" s="102" t="e">
        <f t="shared" si="499"/>
        <v>#N/A</v>
      </c>
      <c r="FM329" s="414" t="e">
        <f>IF(FM328=0,0,IF(AND(FI329&gt;charge_ELS_quasi,FJ329&gt;Charge_ELS_freq,FK329&gt;charge_ELU,FL329&gt;charge_ELA,$B329&gt;NDC!$H$22-0.1+MIN(3*$FM$12,1.5)),0,1))</f>
        <v>#N/A</v>
      </c>
    </row>
    <row r="330" spans="1:169">
      <c r="A330" s="96">
        <f t="shared" si="467"/>
        <v>68.300000000001802</v>
      </c>
      <c r="B330" s="97">
        <v>31.7</v>
      </c>
      <c r="C330" s="81">
        <f>IF(B330&lt;=Hypothèses!$C$7,Hypothèses!$A$7,IF(B330&lt;=Hypothèses!$C$8,Hypothèses!$A$8,IF(B330&lt;=Hypothèses!$C$9,Hypothèses!$A$9,IF(B330&lt;=Hypothèses!$C$10,Hypothèses!$A$10,IF(B330&lt;=Hypothèses!$C$11,Hypothèses!$A$11,IF(B330&lt;=Hypothèses!$C$12,Hypothèses!$A$12,IF(B330&lt;=Hypothèses!$C$13,Hypothèses!$A$13,IF(B330&lt;=Hypothèses!$C$14,Hypothèses!$A$14,IF(B330&lt;=Hypothèses!$C$15,Hypothèses!$A$15,IF(B330&lt;=Hypothèses!$C$16,Hypothèses!$A$16,IF(B330&lt;=Hypothèses!$C$17,Hypothèses!$A$17,IF(B330&lt;=Hypothèses!$C$18,Hypothèses!$A$18,C329))))))))))))</f>
        <v>11</v>
      </c>
      <c r="D330" s="82" t="str">
        <f>IF(B330&lt;=Hypothèses!$C$7,Hypothèses!$R$7,IF(B330&lt;=Hypothèses!$C$8,Hypothèses!$R$8,IF(B330&lt;=Hypothèses!$C$9,Hypothèses!$R$9,IF(B330&lt;=Hypothèses!$C$10,Hypothèses!$R$10,IF(B330&lt;=Hypothèses!$C$11,Hypothèses!$R$11,IF(B330&lt;=Hypothèses!$C$12,Hypothèses!$R$12,IF(B330&lt;=Hypothèses!$C$13,Hypothèses!$R$13,IF(B330&lt;=Hypothèses!$C$14,Hypothèses!$R$14,IF(B330&lt;=Hypothèses!$C$15,Hypothèses!$R$15,IF(B330&lt;=Hypothèses!$C$16,Hypothèses!$R$16,IF(B330&lt;=Hypothèses!$C$17,Hypothèses!$R$17,IF(B330&lt;=Hypothèses!$C$18,Hypothèses!$R$18,D329))))))))))))</f>
        <v>Pressio.</v>
      </c>
      <c r="E330" s="82" t="e">
        <f>IF(B330&lt;=Hypothèses!$C$7,Hypothèses!$G$7,IF(B330&lt;=Hypothèses!$C$8,Hypothèses!$G$8,IF(B330&lt;=Hypothèses!$C$9,Hypothèses!$G$9,IF(B330&lt;=Hypothèses!$C$10,Hypothèses!$G$10,IF(B330&lt;=Hypothèses!$C$11,Hypothèses!$G$11,IF(B330&lt;=Hypothèses!$C$12,Hypothèses!$G$12,IF(B330&lt;=Hypothèses!$C$13,Hypothèses!$G$13,IF(B330&lt;=Hypothèses!$C$14,Hypothèses!$G$14,IF(B330&lt;=Hypothèses!$C$15,Hypothèses!$G$15,IF(B330&lt;=Hypothèses!$C$16,Hypothèses!$G$16,IF(B330&lt;=Hypothèses!$C$17,Hypothèses!$G$17,IF(B330&lt;=Hypothèses!$C$18,Hypothèses!$G$18,E329))))))))))))</f>
        <v>#N/A</v>
      </c>
      <c r="F330" s="82" t="str">
        <f>IF(B330&lt;=Hypothèses!$C$7,Hypothèses!$F$7,IF(B330&lt;=Hypothèses!$C$8,Hypothèses!$F$8,IF(B330&lt;=Hypothèses!$C$9,Hypothèses!$F$9,IF(B330&lt;=Hypothèses!$C$10,Hypothèses!$F$10,IF(B330&lt;=Hypothèses!$C$11,Hypothèses!$F$11,IF(B330&lt;=Hypothèses!$C$12,Hypothèses!$F$12,IF(B330&lt;=Hypothèses!$C$13,Hypothèses!$F$13,IF(B330&lt;=Hypothèses!$C$14,Hypothèses!$F$14,IF(B330&lt;=Hypothèses!$C$15,Hypothèses!$F$15,IF(B330&lt;=Hypothèses!$C$16,Hypothèses!$F$16,IF(B330&lt;=Hypothèses!$C$17,Hypothèses!$F$17,IF(B330&lt;=Hypothèses!$C$18,Hypothèses!$F$18,F329))))))))))))</f>
        <v/>
      </c>
      <c r="G330" s="91">
        <f t="array" ref="G330">INDEX('Coeff EC7'!$U$7:$X$27,
MATCH(Model0.1C!$B$3,'Coeff EC7'!$T$7:$T$27,0),
MATCH(Model0.1C!$D330&amp;Model0.1C!$B$4,
'Coeff EC7'!$U$6:$X$6&amp;
'Coeff EC7'!$U$5:$X$5,0))</f>
        <v>1.1499999999999999</v>
      </c>
      <c r="H330" s="91">
        <f t="array" ref="H330">INDEX('Coeff EC7'!$Y$7:$AB$27,
MATCH(Model0.1C!$B$3,'Coeff EC7'!$T$7:$T$27,0),
MATCH(Model0.1C!$D330&amp;Model0.1C!$B$4,
'Coeff EC7'!$Y$6:$AB$6&amp;
'Coeff EC7'!$Y$5:$AB$5,0))</f>
        <v>1.4</v>
      </c>
      <c r="I330" s="83" t="e">
        <f>IF(B330&lt;=Hypothèses!$C$7,Hypothèses!$P$7,IF(B330&lt;=Hypothèses!$C$8,Hypothèses!$P$8,IF(B330&lt;=Hypothèses!$C$9,Hypothèses!$P$9,IF(B330&lt;=Hypothèses!$C$10,Hypothèses!$P$10,IF(B330&lt;=Hypothèses!$C$11,Hypothèses!$P$11,IF(B330&lt;=Hypothèses!$C$12,Hypothèses!$P$12,IF(B330&lt;=Hypothèses!$C$13,Hypothèses!$P$13,IF(B330&lt;=Hypothèses!$C$14,Hypothèses!$P$14,IF(B330&lt;=Hypothèses!$C$15,Hypothèses!$P$15,IF(B330&lt;=Hypothèses!$C$16,Hypothèses!$P$16,IF(B330&lt;=Hypothèses!$C$17,Hypothèses!$P$17,IF(B330&lt;=Hypothèses!$C$18,Hypothèses!$P$18,I329))))))))))))</f>
        <v>#N/A</v>
      </c>
      <c r="J330" s="91" t="e">
        <f t="array" ref="J330">INDEX('Coeff EC7'!$D$33:$Q$33,1,MATCH(D330&amp;E330,'Coeff EC7'!$D$31:$Q$31&amp;'Coeff EC7'!$D$32:$Q$32,0))</f>
        <v>#N/A</v>
      </c>
      <c r="K330" s="91" t="e">
        <f t="array" ref="K330">INDEX('Coeff EC7'!$D$34:$Q$34,1,MATCH(D330&amp;E330,'Coeff EC7'!$D$31:$Q$31&amp;'Coeff EC7'!$D$32:$Q$32,0))</f>
        <v>#N/A</v>
      </c>
      <c r="L330" s="91" t="e">
        <f t="array" ref="L330">INDEX('Coeff EC7'!$D$35:$Q$35,1,MATCH(D330&amp;E330,'Coeff EC7'!$D$31:$Q$31&amp;'Coeff EC7'!$D$32:$Q$32,0))</f>
        <v>#N/A</v>
      </c>
      <c r="M330" s="98" t="e">
        <f t="shared" si="431"/>
        <v>#N/A</v>
      </c>
      <c r="N330" s="99" t="e">
        <f t="array" ref="N330">INDEX('Coeff EC7'!$D$7:$Q$27,MATCH($B$3,'Coeff EC7'!$C$7:$C$27,0),MATCH(D330&amp;E330,'Coeff EC7'!$D$5:$Q$5&amp;'Coeff EC7'!$D$6:$Q$6,0))</f>
        <v>#N/A</v>
      </c>
      <c r="O330" s="99" t="e">
        <f t="array" ref="O330">INDEX('Coeff EC7'!$D$41:$Q$61,MATCH($B$3,'Coeff EC7'!$C$41:$C$61,0),MATCH(D330&amp;E330,'Coeff EC7'!$D$39:$Q$39&amp;'Coeff EC7'!$D$40:$Q$40,0))</f>
        <v>#N/A</v>
      </c>
      <c r="P330" s="30" t="e">
        <f t="shared" si="468"/>
        <v>#N/A</v>
      </c>
      <c r="Q330" s="100" t="e">
        <f t="shared" si="433"/>
        <v>#N/A</v>
      </c>
      <c r="R330" s="86" t="b">
        <f t="shared" si="434"/>
        <v>0</v>
      </c>
      <c r="S330" s="86">
        <f t="shared" si="432"/>
        <v>0.5</v>
      </c>
      <c r="T330" s="86">
        <f t="shared" si="435"/>
        <v>0.5</v>
      </c>
      <c r="U330" s="30" t="e">
        <f t="shared" ca="1" si="469"/>
        <v>#DIV/0!</v>
      </c>
      <c r="V330" s="85" t="str">
        <f>IF(B330&lt;=Hypothèses!$V$7,Hypothèses!$W$7,IF(B330&lt;=Hypothèses!$V$8,Hypothèses!$W$8,IF(B330&lt;=Hypothèses!$V$9,Hypothèses!$W$9,IF(B330&lt;=Hypothèses!$V$10,Hypothèses!$W$10,IF(B330&lt;=Hypothèses!$V$11,Hypothèses!$W$11,IF(B330&lt;=Hypothèses!$V$12,Hypothèses!$W$12,IF(B330&lt;=Hypothèses!$V$13,Hypothèses!$W$13,IF(B330&lt;=Hypothèses!$V$14,Hypothèses!$W$14,IF(B330&lt;=Hypothèses!$V$15,Hypothèses!$W$15,IF(B330&lt;=Hypothèses!$V$16,Hypothèses!$W$16,IF(B330&lt;=Hypothèses!$V$17,Hypothèses!$W$17,IF(B330&lt;=Hypothèses!$V$18,Hypothèses!$W$18,""))))))))))))</f>
        <v/>
      </c>
      <c r="W330" s="87" t="e">
        <f t="shared" ca="1" si="516"/>
        <v>#DIV/0!</v>
      </c>
      <c r="X330" s="88" t="str">
        <f>IF(B330&lt;=Hypothèses!$V$7,Hypothèses!$X$7,IF(B330&lt;=Hypothèses!$V$8,Hypothèses!$X$8,IF(B330&lt;=Hypothèses!$V$9,Hypothèses!$X$9,IF(B330&lt;=Hypothèses!$V$10,Hypothèses!$X$10,IF(B330&lt;=Hypothèses!$V$11,Hypothèses!$X$11,IF(B330&lt;=Hypothèses!$V$12,Hypothèses!$X$12,IF(B330&lt;=Hypothèses!$V$13,Hypothèses!$X$13,IF(B330&lt;=Hypothèses!$V$14,Hypothèses!$X$14,IF(B330&lt;=Hypothèses!$V$15,Hypothèses!$X$15,IF(B330&lt;=Hypothèses!$V$16,Hypothèses!$X$16,IF(B330&lt;=Hypothèses!$U$17,Hypothèses!$W$17,IF(B330&lt;=Hypothèses!$U$18,Hypothèses!$W$18,""))))))))))))</f>
        <v/>
      </c>
      <c r="Y330" s="95" t="e">
        <f t="shared" ca="1" si="436"/>
        <v>#DIV/0!</v>
      </c>
      <c r="Z330" s="101" t="e">
        <f t="shared" si="437"/>
        <v>#N/A</v>
      </c>
      <c r="AA330" s="91" t="e">
        <f t="shared" si="438"/>
        <v>#N/A</v>
      </c>
      <c r="AB330" s="30" t="e">
        <f t="shared" si="500"/>
        <v>#N/A</v>
      </c>
      <c r="AC330" s="30" t="e">
        <f t="shared" si="501"/>
        <v>#N/A</v>
      </c>
      <c r="AD330" s="31" t="e">
        <f>IF(OR(Hypothèses!$B$4=17,Hypothèses!$B$4=18,Hypothèses!$B$4=19,Hypothèses!$B$4=20),
IF($D330="Pressio.",
IF(OR($E330=3,$E330=1,$E330=4),AC330,AB330),
IF($D330="Pénétro.",
IF(OR($E330=3,$E330=1,$E330=4),AC330,AB330))),IF($D330="Pressio.",
IF($E330=3,AC330,AB330),
IF($D330="Pénétro.",
IF($E330=4,AC330,AB330))))</f>
        <v>#N/A</v>
      </c>
      <c r="AE330" s="31" t="e">
        <f>(IF(OR(Hypothèses!$B$4=17,Hypothèses!$B$4=18,Hypothèses!$B$4=19,Hypothèses!$B$4=20),
IF($D330="Pressio.",
IF(OR($E330=3,$E330=1,$E330=4),(PI()*AE$12^2)/4*(AA330*$W330*1000)/($H330*$B$5),(PI()*AE$12^2)/4*(AA330*$W330*1000)/($G330*$B$5)),
IF($D330="Pénétro.",
IF(OR($E330=4,$E330=1,$E330=5),(PI()*AE$12^2)/4*(AA330*$W330*1000)/($H330*$B$5),(PI()*AE$12^2)/4*(AA330*$W330*1000)/($G330*$B$5)))),
IF($D330="Pressio.",
IF($E330=3,(PI()*AE$12^2)/4*(AA330*$W330*1000)/($H330*$B$5),(PI()*AE$12^2)/4*(AA330*$W330*1000)/($G330*$B$5)),
IF($D330="Pénétro.",
IF($E330=4,(PI()*AE$12^2)/4*(AA330*$W330*1000)/($H330*$B$5),(PI()*AE$12^2)/4*(AA330*$W330*1000)/($G330*$B$5))))))/10</f>
        <v>#N/A</v>
      </c>
      <c r="AF330" s="102" t="e">
        <f>(VLOOKUP($B$3,'Coeff EC7'!$T$39:$X$59,2,0)*AD330+VLOOKUP($B$3,'Coeff EC7'!$T$65:$X$85,2,0)*Model0.1C!AE330)/1.1</f>
        <v>#N/A</v>
      </c>
      <c r="AG330" s="102" t="e">
        <f>(VLOOKUP($B$3,'Coeff EC7'!$T$39:$X$59,3,0)*AD330+VLOOKUP($B$3,'Coeff EC7'!$T$65:$X$85,3,0)*Model0.1C!AE330)/0.9</f>
        <v>#N/A</v>
      </c>
      <c r="AH330" s="102" t="e">
        <f t="shared" si="439"/>
        <v>#N/A</v>
      </c>
      <c r="AI330" s="102" t="e">
        <f t="shared" si="440"/>
        <v>#N/A</v>
      </c>
      <c r="AJ330" s="414" t="e">
        <f>IF(AJ329=0,0,IF(AND(AF330&gt;charge_ELS_quasi,AG330&gt;Charge_ELS_freq,AH330&gt;charge_ELU,AI330&gt;charge_ELA,$B330&gt;NDC!$H$22-0.1+MIN(3*$AJ$12,1.5)),0,1))</f>
        <v>#N/A</v>
      </c>
      <c r="AK330" s="86" t="b">
        <f t="shared" si="441"/>
        <v>0</v>
      </c>
      <c r="AL330" s="86">
        <f t="shared" si="470"/>
        <v>0.5</v>
      </c>
      <c r="AM330" s="86">
        <f t="shared" si="442"/>
        <v>0.5</v>
      </c>
      <c r="AN330" s="30" t="e">
        <f t="shared" ca="1" si="471"/>
        <v>#DIV/0!</v>
      </c>
      <c r="AO330" s="85" t="e">
        <f ca="1">IF(U330&lt;=Hypothèses!$V$7,Hypothèses!$W$7,IF(U330&lt;=Hypothèses!$V$8,Hypothèses!$W$8,IF(U330&lt;=Hypothèses!$V$9,Hypothèses!$W$9,IF(U330&lt;=Hypothèses!$V$10,Hypothèses!$W$10,IF(U330&lt;=Hypothèses!$V$11,Hypothèses!$W$11,IF(U330&lt;=Hypothèses!$V$12,Hypothèses!$W$12,IF(U330&lt;=Hypothèses!$V$13,Hypothèses!$W$13,IF(U330&lt;=Hypothèses!$V$14,Hypothèses!$W$14,IF(U330&lt;=Hypothèses!$V$15,Hypothèses!$W$15,IF(U330&lt;=Hypothèses!$V$16,Hypothèses!$W$16,IF(U330&lt;=Hypothèses!$V$17,Hypothèses!$W$17,IF(U330&lt;=Hypothèses!$V$18,Hypothèses!$W$18,""))))))))))))</f>
        <v>#DIV/0!</v>
      </c>
      <c r="AP330" s="87" t="e">
        <f t="shared" ca="1" si="517"/>
        <v>#DIV/0!</v>
      </c>
      <c r="AQ330" s="88" t="e">
        <f ca="1">IF(U330&lt;=Hypothèses!$V$7,Hypothèses!$X$7,IF(U330&lt;=Hypothèses!$V$8,Hypothèses!$X$8,IF(U330&lt;=Hypothèses!$V$9,Hypothèses!$X$9,IF(U330&lt;=Hypothèses!$V$10,Hypothèses!$X$10,IF(U330&lt;=Hypothèses!$V$11,Hypothèses!$X$11,IF(U330&lt;=Hypothèses!$V$12,Hypothèses!$X$12,IF(U330&lt;=Hypothèses!$V$13,Hypothèses!$X$13,IF(U330&lt;=Hypothèses!$V$14,Hypothèses!$X$14,IF(U330&lt;=Hypothèses!$V$15,Hypothèses!$X$15,IF(U330&lt;=Hypothèses!$V$16,Hypothèses!$X$16,IF(U330&lt;=Hypothèses!$U$17,Hypothèses!$W$17,IF(U330&lt;=Hypothèses!$U$18,Hypothèses!$W$18,""))))))))))))</f>
        <v>#DIV/0!</v>
      </c>
      <c r="AR330" s="95" t="e">
        <f t="shared" ca="1" si="472"/>
        <v>#DIV/0!</v>
      </c>
      <c r="AS330" s="101" t="e">
        <f t="shared" si="524"/>
        <v>#N/A</v>
      </c>
      <c r="AT330" s="91" t="e">
        <f t="shared" si="443"/>
        <v>#N/A</v>
      </c>
      <c r="AU330" s="30" t="e">
        <f t="shared" si="502"/>
        <v>#N/A</v>
      </c>
      <c r="AV330" s="30" t="e">
        <f t="shared" si="503"/>
        <v>#N/A</v>
      </c>
      <c r="AW330" s="31" t="e">
        <f>IF(OR(Hypothèses!$B$4=17,Hypothèses!$B$4=18,Hypothèses!$B$4=19,Hypothèses!$B$4=20),
IF($D330="Pressio.",
IF(OR($E330=3,$E330=1,$E330=4),AV330,AU330),
IF($D330="Pénétro.",
IF(OR($E330=3,$E330=1,$E330=4),AV330,AU330))),IF($D330="Pressio.",
IF($E330=3,AV330,AU330),
IF($D330="Pénétro.",
IF($E330=4,AV330,AU330))))</f>
        <v>#N/A</v>
      </c>
      <c r="AX330" s="31" t="e">
        <f>(IF(OR(Hypothèses!$B$4=17,Hypothèses!$B$4=18,Hypothèses!$B$4=19,Hypothèses!$B$4=20),
IF($D330="Pressio.",
IF(OR($E330=3,$E330=1,$E330=4),(PI()*AX$12^2)/4*(AT330*$W330*1000)/($H330*$B$5),(PI()*AX$12^2)/4*(AT330*$W330*1000)/($G330*$B$5)),
IF($D330="Pénétro.",
IF(OR($E330=4,$E330=1,$E330=5),(PI()*AX$12^2)/4*(AT330*$W330*1000)/($H330*$B$5),(PI()*AX$12^2)/4*(AT330*$W330*1000)/($G330*$B$5)))),
IF($D330="Pressio.",
IF($E330=3,(PI()*AX$12^2)/4*(AT330*$W330*1000)/($H330*$B$5),(PI()*AX$12^2)/4*(AT330*$W330*1000)/($G330*$B$5)),
IF($D330="Pénétro.",
IF($E330=4,(PI()*AX$12^2)/4*(AT330*$W330*1000)/($H330*$B$5),(PI()*AX$12^2)/4*(AT330*$W330*1000)/($G330*$B$5))))))/10</f>
        <v>#N/A</v>
      </c>
      <c r="AY330" s="102" t="e">
        <f>(VLOOKUP($B$3,'Coeff EC7'!$T$39:$X$59,2,0)*AW330+VLOOKUP($B$3,'Coeff EC7'!$T$65:$X$85,2,0)*Model0.1C!AX330)/1.1</f>
        <v>#N/A</v>
      </c>
      <c r="AZ330" s="102" t="e">
        <f>(VLOOKUP($B$3,'Coeff EC7'!$T$39:$X$59,3,0)*AW330+VLOOKUP($B$3,'Coeff EC7'!$T$65:$X$85,3,0)*Model0.1C!AX330)/0.9</f>
        <v>#N/A</v>
      </c>
      <c r="BA330" s="102" t="e">
        <f t="shared" si="473"/>
        <v>#N/A</v>
      </c>
      <c r="BB330" s="102" t="e">
        <f t="shared" si="474"/>
        <v>#N/A</v>
      </c>
      <c r="BC330" s="414" t="e">
        <f>IF(BC329=0,0,IF(AND(AY330&gt;charge_ELS_quasi,AZ330&gt;Charge_ELS_freq,BA330&gt;charge_ELU,BB330&gt;charge_ELA,$B330&gt;NDC!$H$22-0.1+MIN(3*$BC$12,1.5)),0,1))</f>
        <v>#N/A</v>
      </c>
      <c r="BD330" s="86" t="b">
        <f t="shared" si="444"/>
        <v>0</v>
      </c>
      <c r="BE330" s="86">
        <f t="shared" si="475"/>
        <v>0.5</v>
      </c>
      <c r="BF330" s="86">
        <f t="shared" si="445"/>
        <v>0.5</v>
      </c>
      <c r="BG330" s="30" t="e">
        <f t="shared" ca="1" si="476"/>
        <v>#DIV/0!</v>
      </c>
      <c r="BH330" s="85" t="e">
        <f ca="1">IF(AN330&lt;=Hypothèses!$V$7,Hypothèses!$W$7,IF(AN330&lt;=Hypothèses!$V$8,Hypothèses!$W$8,IF(AN330&lt;=Hypothèses!$V$9,Hypothèses!$W$9,IF(AN330&lt;=Hypothèses!$V$10,Hypothèses!$W$10,IF(AN330&lt;=Hypothèses!$V$11,Hypothèses!$W$11,IF(AN330&lt;=Hypothèses!$V$12,Hypothèses!$W$12,IF(AN330&lt;=Hypothèses!$V$13,Hypothèses!$W$13,IF(AN330&lt;=Hypothèses!$V$14,Hypothèses!$W$14,IF(AN330&lt;=Hypothèses!$V$15,Hypothèses!$W$15,IF(AN330&lt;=Hypothèses!$V$16,Hypothèses!$W$16,IF(AN330&lt;=Hypothèses!$V$17,Hypothèses!$W$17,IF(AN330&lt;=Hypothèses!$V$18,Hypothèses!$W$18,""))))))))))))</f>
        <v>#DIV/0!</v>
      </c>
      <c r="BI330" s="87" t="e">
        <f t="shared" ca="1" si="518"/>
        <v>#DIV/0!</v>
      </c>
      <c r="BJ330" s="88" t="e">
        <f ca="1">IF(AN330&lt;=Hypothèses!$V$7,Hypothèses!$X$7,IF(AN330&lt;=Hypothèses!$V$8,Hypothèses!$X$8,IF(AN330&lt;=Hypothèses!$V$9,Hypothèses!$X$9,IF(AN330&lt;=Hypothèses!$V$10,Hypothèses!$X$10,IF(AN330&lt;=Hypothèses!$V$11,Hypothèses!$X$11,IF(AN330&lt;=Hypothèses!$V$12,Hypothèses!$X$12,IF(AN330&lt;=Hypothèses!$V$13,Hypothèses!$X$13,IF(AN330&lt;=Hypothèses!$V$14,Hypothèses!$X$14,IF(AN330&lt;=Hypothèses!$V$15,Hypothèses!$X$15,IF(AN330&lt;=Hypothèses!$V$16,Hypothèses!$X$16,IF(AN330&lt;=Hypothèses!$U$17,Hypothèses!$W$17,IF(AN330&lt;=Hypothèses!$U$18,Hypothèses!$W$18,""))))))))))))</f>
        <v>#DIV/0!</v>
      </c>
      <c r="BK330" s="95" t="e">
        <f t="shared" ca="1" si="477"/>
        <v>#DIV/0!</v>
      </c>
      <c r="BL330" s="101" t="e">
        <f t="shared" si="525"/>
        <v>#N/A</v>
      </c>
      <c r="BM330" s="91" t="e">
        <f t="shared" si="446"/>
        <v>#N/A</v>
      </c>
      <c r="BN330" s="30" t="e">
        <f t="shared" si="504"/>
        <v>#N/A</v>
      </c>
      <c r="BO330" s="30" t="e">
        <f t="shared" si="505"/>
        <v>#N/A</v>
      </c>
      <c r="BP330" s="31" t="e">
        <f>IF(OR(Hypothèses!$B$4=17,Hypothèses!$B$4=18,Hypothèses!$B$4=19,Hypothèses!$B$4=20),
IF($D330="Pressio.",
IF(OR($E330=3,$E330=1,$E330=4),BO330,BN330),
IF($D330="Pénétro.",
IF(OR($E330=3,$E330=1,$E330=4),BO330,BN330))),IF($D330="Pressio.",
IF($E330=3,BO330,BN330),
IF($D330="Pénétro.",
IF($E330=4,BO330,BN330))))</f>
        <v>#N/A</v>
      </c>
      <c r="BQ330" s="31" t="e">
        <f>(IF(OR(Hypothèses!$B$4=17,Hypothèses!$B$4=18,Hypothèses!$B$4=19,Hypothèses!$B$4=20),
IF($D330="Pressio.",
IF(OR($E330=3,$E330=1,$E330=4),(PI()*BQ$12^2)/4*(BM330*$W330*1000)/($H330*$B$5),(PI()*BQ$12^2)/4*(BM330*$W330*1000)/($G330*$B$5)),
IF($D330="Pénétro.",
IF(OR($E330=4,$E330=1,$E330=5),(PI()*BQ$12^2)/4*(BM330*$W330*1000)/($H330*$B$5),(PI()*BQ$12^2)/4*(BM330*$W330*1000)/($G330*$B$5)))),
IF($D330="Pressio.",
IF($E330=3,(PI()*BQ$12^2)/4*(BM330*$W330*1000)/($H330*$B$5),(PI()*BQ$12^2)/4*(BM330*$W330*1000)/($G330*$B$5)),
IF($D330="Pénétro.",
IF($E330=4,(PI()*BQ$12^2)/4*(BM330*$W330*1000)/($H330*$B$5),(PI()*BQ$12^2)/4*(BM330*$W330*1000)/($G330*$B$5))))))/10</f>
        <v>#N/A</v>
      </c>
      <c r="BR330" s="102" t="e">
        <f>(VLOOKUP($B$3,'Coeff EC7'!$T$39:$X$59,2,0)*BP330+VLOOKUP($B$3,'Coeff EC7'!$T$65:$X$85,2,0)*Model0.1C!BQ330)/1.1</f>
        <v>#N/A</v>
      </c>
      <c r="BS330" s="102" t="e">
        <f>(VLOOKUP($B$3,'Coeff EC7'!$T$39:$X$59,3,0)*BP330+VLOOKUP($B$3,'Coeff EC7'!$T$65:$X$85,3,0)*Model0.1C!BQ330)/0.9</f>
        <v>#N/A</v>
      </c>
      <c r="BT330" s="102" t="e">
        <f t="shared" si="478"/>
        <v>#N/A</v>
      </c>
      <c r="BU330" s="102" t="e">
        <f t="shared" si="479"/>
        <v>#N/A</v>
      </c>
      <c r="BV330" s="414" t="e">
        <f>IF(BV329=0,0,IF(AND(BR330&gt;charge_ELS_quasi,BS330&gt;Charge_ELS_freq,BT330&gt;charge_ELU,BU330&gt;charge_ELA,$B330&gt;NDC!$H$22-0.1+MIN(3*$BV$12,1.5)),0,1))</f>
        <v>#N/A</v>
      </c>
      <c r="BW330" s="86" t="b">
        <f t="shared" si="447"/>
        <v>0</v>
      </c>
      <c r="BX330" s="86">
        <f t="shared" si="448"/>
        <v>0.5</v>
      </c>
      <c r="BY330" s="86">
        <f t="shared" si="449"/>
        <v>0.5</v>
      </c>
      <c r="BZ330" s="30" t="e">
        <f t="shared" ca="1" si="480"/>
        <v>#DIV/0!</v>
      </c>
      <c r="CA330" s="85" t="e">
        <f ca="1">IF(BG330&lt;=Hypothèses!$V$7,Hypothèses!$W$7,IF(BG330&lt;=Hypothèses!$V$8,Hypothèses!$W$8,IF(BG330&lt;=Hypothèses!$V$9,Hypothèses!$W$9,IF(BG330&lt;=Hypothèses!$V$10,Hypothèses!$W$10,IF(BG330&lt;=Hypothèses!$V$11,Hypothèses!$W$11,IF(BG330&lt;=Hypothèses!$V$12,Hypothèses!$W$12,IF(BG330&lt;=Hypothèses!$V$13,Hypothèses!$W$13,IF(BG330&lt;=Hypothèses!$V$14,Hypothèses!$W$14,IF(BG330&lt;=Hypothèses!$V$15,Hypothèses!$W$15,IF(BG330&lt;=Hypothèses!$V$16,Hypothèses!$W$16,IF(BG330&lt;=Hypothèses!$V$17,Hypothèses!$W$17,IF(BG330&lt;=Hypothèses!$V$18,Hypothèses!$W$18,""))))))))))))</f>
        <v>#DIV/0!</v>
      </c>
      <c r="CB330" s="87" t="e">
        <f t="shared" ca="1" si="519"/>
        <v>#DIV/0!</v>
      </c>
      <c r="CC330" s="88" t="e">
        <f ca="1">IF(BG330&lt;=Hypothèses!$V$7,Hypothèses!$X$7,IF(BG330&lt;=Hypothèses!$V$8,Hypothèses!$X$8,IF(BG330&lt;=Hypothèses!$V$9,Hypothèses!$X$9,IF(BG330&lt;=Hypothèses!$V$10,Hypothèses!$X$10,IF(BG330&lt;=Hypothèses!$V$11,Hypothèses!$X$11,IF(BG330&lt;=Hypothèses!$V$12,Hypothèses!$X$12,IF(BG330&lt;=Hypothèses!$V$13,Hypothèses!$X$13,IF(BG330&lt;=Hypothèses!$V$14,Hypothèses!$X$14,IF(BG330&lt;=Hypothèses!$V$15,Hypothèses!$X$15,IF(BG330&lt;=Hypothèses!$V$16,Hypothèses!$X$16,IF(BG330&lt;=Hypothèses!$U$17,Hypothèses!$W$17,IF(BG330&lt;=Hypothèses!$U$18,Hypothèses!$W$18,""))))))))))))</f>
        <v>#DIV/0!</v>
      </c>
      <c r="CD330" s="95" t="e">
        <f t="shared" ca="1" si="481"/>
        <v>#DIV/0!</v>
      </c>
      <c r="CE330" s="101" t="e">
        <f t="shared" si="526"/>
        <v>#N/A</v>
      </c>
      <c r="CF330" s="91" t="e">
        <f t="shared" si="450"/>
        <v>#N/A</v>
      </c>
      <c r="CG330" s="30" t="e">
        <f t="shared" si="506"/>
        <v>#N/A</v>
      </c>
      <c r="CH330" s="30" t="e">
        <f t="shared" si="507"/>
        <v>#N/A</v>
      </c>
      <c r="CI330" s="31" t="e">
        <f>IF(OR(Hypothèses!$B$4=17,Hypothèses!$B$4=18,Hypothèses!$B$4=19,Hypothèses!$B$4=20),
IF($D330="Pressio.",
IF(OR($E330=3,$E330=1,$E330=4),CH330,CG330),
IF($D330="Pénétro.",
IF(OR($E330=3,$E330=1,$E330=4),CH330,CG330))),IF($D330="Pressio.",
IF($E330=3,CH330,CG330),
IF($D330="Pénétro.",
IF($E330=4,CH330,CG330))))</f>
        <v>#N/A</v>
      </c>
      <c r="CJ330" s="31" t="e">
        <f>(IF(OR(Hypothèses!$B$4=17,Hypothèses!$B$4=18,Hypothèses!$B$4=19,Hypothèses!$B$4=20),
IF($D330="Pressio.",
IF(OR($E330=3,$E330=1,$E330=4),(PI()*CJ$12^2)/4*(CF330*$W330*1000)/($H330*$B$5),(PI()*CJ$12^2)/4*(CF330*$W330*1000)/($G330*$B$5)),
IF($D330="Pénétro.",
IF(OR($E330=4,$E330=1,$E330=5),(PI()*CJ$12^2)/4*(CF330*$W330*1000)/($H330*$B$5),(PI()*CJ$12^2)/4*(CF330*$W330*1000)/($G330*$B$5)))),
IF($D330="Pressio.",
IF($E330=3,(PI()*CJ$12^2)/4*(CF330*$W330*1000)/($H330*$B$5),(PI()*CJ$12^2)/4*(CF330*$W330*1000)/($G330*$B$5)),
IF($D330="Pénétro.",
IF($E330=4,(PI()*CJ$12^2)/4*(CF330*$W330*1000)/($H330*$B$5),(PI()*CJ$12^2)/4*(CF330*$W330*1000)/($G330*$B$5))))))/10</f>
        <v>#N/A</v>
      </c>
      <c r="CK330" s="102" t="e">
        <f>(VLOOKUP($B$3,'Coeff EC7'!$T$39:$X$59,2,0)*CI330+VLOOKUP($B$3,'Coeff EC7'!$T$65:$X$85,2,0)*Model0.1C!CJ330)/1.1</f>
        <v>#N/A</v>
      </c>
      <c r="CL330" s="102" t="e">
        <f>(VLOOKUP($B$3,'Coeff EC7'!$T$39:$X$59,3,0)*CI330+VLOOKUP($B$3,'Coeff EC7'!$T$65:$X$85,3,0)*Model0.1C!CJ330)/0.9</f>
        <v>#N/A</v>
      </c>
      <c r="CM330" s="102" t="e">
        <f t="shared" si="482"/>
        <v>#N/A</v>
      </c>
      <c r="CN330" s="102" t="e">
        <f t="shared" si="483"/>
        <v>#N/A</v>
      </c>
      <c r="CO330" s="414" t="e">
        <f>IF(CO329=0,0,IF(AND(CK330&gt;charge_ELS_quasi,CL330&gt;Charge_ELS_freq,CM330&gt;charge_ELU,CN330&gt;charge_ELA,$B330&gt;NDC!$H$22-0.1+MIN(3*$CO$12,1.5)),0,1))</f>
        <v>#N/A</v>
      </c>
      <c r="CP330" s="86" t="b">
        <f t="shared" si="451"/>
        <v>0</v>
      </c>
      <c r="CQ330" s="86">
        <f t="shared" si="452"/>
        <v>0.5</v>
      </c>
      <c r="CR330" s="86">
        <f t="shared" si="453"/>
        <v>0.5</v>
      </c>
      <c r="CS330" s="30" t="e">
        <f t="shared" ca="1" si="484"/>
        <v>#DIV/0!</v>
      </c>
      <c r="CT330" s="85" t="e">
        <f ca="1">IF(BZ330&lt;=Hypothèses!$V$7,Hypothèses!$W$7,IF(BZ330&lt;=Hypothèses!$V$8,Hypothèses!$W$8,IF(BZ330&lt;=Hypothèses!$V$9,Hypothèses!$W$9,IF(BZ330&lt;=Hypothèses!$V$10,Hypothèses!$W$10,IF(BZ330&lt;=Hypothèses!$V$11,Hypothèses!$W$11,IF(BZ330&lt;=Hypothèses!$V$12,Hypothèses!$W$12,IF(BZ330&lt;=Hypothèses!$V$13,Hypothèses!$W$13,IF(BZ330&lt;=Hypothèses!$V$14,Hypothèses!$W$14,IF(BZ330&lt;=Hypothèses!$V$15,Hypothèses!$W$15,IF(BZ330&lt;=Hypothèses!$V$16,Hypothèses!$W$16,IF(BZ330&lt;=Hypothèses!$V$17,Hypothèses!$W$17,IF(BZ330&lt;=Hypothèses!$V$18,Hypothèses!$W$18,""))))))))))))</f>
        <v>#DIV/0!</v>
      </c>
      <c r="CU330" s="87" t="e">
        <f t="shared" ca="1" si="520"/>
        <v>#DIV/0!</v>
      </c>
      <c r="CV330" s="88" t="e">
        <f ca="1">IF(BZ330&lt;=Hypothèses!$V$7,Hypothèses!$X$7,IF(BZ330&lt;=Hypothèses!$V$8,Hypothèses!$X$8,IF(BZ330&lt;=Hypothèses!$V$9,Hypothèses!$X$9,IF(BZ330&lt;=Hypothèses!$V$10,Hypothèses!$X$10,IF(BZ330&lt;=Hypothèses!$V$11,Hypothèses!$X$11,IF(BZ330&lt;=Hypothèses!$V$12,Hypothèses!$X$12,IF(BZ330&lt;=Hypothèses!$V$13,Hypothèses!$X$13,IF(BZ330&lt;=Hypothèses!$V$14,Hypothèses!$X$14,IF(BZ330&lt;=Hypothèses!$V$15,Hypothèses!$X$15,IF(BZ330&lt;=Hypothèses!$V$16,Hypothèses!$X$16,IF(BZ330&lt;=Hypothèses!$U$17,Hypothèses!$W$17,IF(BZ330&lt;=Hypothèses!$U$18,Hypothèses!$W$18,""))))))))))))</f>
        <v>#DIV/0!</v>
      </c>
      <c r="CW330" s="95" t="e">
        <f t="shared" ca="1" si="485"/>
        <v>#DIV/0!</v>
      </c>
      <c r="CX330" s="101" t="e">
        <f t="shared" si="527"/>
        <v>#N/A</v>
      </c>
      <c r="CY330" s="91" t="e">
        <f t="shared" si="454"/>
        <v>#N/A</v>
      </c>
      <c r="CZ330" s="30" t="e">
        <f t="shared" si="508"/>
        <v>#N/A</v>
      </c>
      <c r="DA330" s="30" t="e">
        <f t="shared" si="509"/>
        <v>#N/A</v>
      </c>
      <c r="DB330" s="31" t="e">
        <f>IF(OR(Hypothèses!$B$4=17,Hypothèses!$B$4=18,Hypothèses!$B$4=19,Hypothèses!$B$4=20),
IF($D330="Pressio.",
IF(OR($E330=3,$E330=1,$E330=4),DA330,CZ330),
IF($D330="Pénétro.",
IF(OR($E330=3,$E330=1,$E330=4),DA330,CZ330))),IF($D330="Pressio.",
IF($E330=3,DA330,CZ330),
IF($D330="Pénétro.",
IF($E330=4,DA330,CZ330))))</f>
        <v>#N/A</v>
      </c>
      <c r="DC330" s="31" t="e">
        <f>(IF(OR(Hypothèses!$B$4=17,Hypothèses!$B$4=18,Hypothèses!$B$4=19,Hypothèses!$B$4=20),
IF($D330="Pressio.",
IF(OR($E330=3,$E330=1,$E330=4),(PI()*DC$12^2)/4*(CY330*$W330*1000)/($H330*$B$5),(PI()*DC$12^2)/4*(CY330*$W330*1000)/($G330*$B$5)),
IF($D330="Pénétro.",
IF(OR($E330=4,$E330=1,$E330=5),(PI()*DC$12^2)/4*(CY330*$W330*1000)/($H330*$B$5),(PI()*DC$12^2)/4*(CY330*$W330*1000)/($G330*$B$5)))),
IF($D330="Pressio.",
IF($E330=3,(PI()*DC$12^2)/4*(CY330*$W330*1000)/($H330*$B$5),(PI()*DC$12^2)/4*(CY330*$W330*1000)/($G330*$B$5)),
IF($D330="Pénétro.",
IF($E330=4,(PI()*DC$12^2)/4*(CY330*$W330*1000)/($H330*$B$5),(PI()*DC$12^2)/4*(CY330*$W330*1000)/($G330*$B$5))))))/10</f>
        <v>#N/A</v>
      </c>
      <c r="DD330" s="102" t="e">
        <f>(VLOOKUP($B$3,'Coeff EC7'!$T$39:$X$59,2,0)*DB330+VLOOKUP($B$3,'Coeff EC7'!$T$65:$X$85,2,0)*Model0.1C!DC330)/1.1</f>
        <v>#N/A</v>
      </c>
      <c r="DE330" s="102" t="e">
        <f>(VLOOKUP($B$3,'Coeff EC7'!$T$39:$X$59,3,0)*DB330+VLOOKUP($B$3,'Coeff EC7'!$T$65:$X$85,3,0)*Model0.1C!DC330)/0.9</f>
        <v>#N/A</v>
      </c>
      <c r="DF330" s="102" t="e">
        <f t="shared" si="486"/>
        <v>#N/A</v>
      </c>
      <c r="DG330" s="102" t="e">
        <f t="shared" si="487"/>
        <v>#N/A</v>
      </c>
      <c r="DH330" s="414" t="e">
        <f>IF(DH329=0,0,IF(AND(DD330&gt;charge_ELS_quasi,DE330&gt;Charge_ELS_freq,DF330&gt;charge_ELU,DG330&gt;charge_ELA,$B330&gt;NDC!$H$22-0.1+MIN(3*$DH$12,1.5)),0,1))</f>
        <v>#N/A</v>
      </c>
      <c r="DI330" s="86" t="b">
        <f t="shared" si="455"/>
        <v>0</v>
      </c>
      <c r="DJ330" s="86">
        <f t="shared" si="456"/>
        <v>0.5</v>
      </c>
      <c r="DK330" s="86">
        <f t="shared" si="457"/>
        <v>0.5</v>
      </c>
      <c r="DL330" s="30" t="e">
        <f t="shared" ca="1" si="488"/>
        <v>#DIV/0!</v>
      </c>
      <c r="DM330" s="85" t="e">
        <f ca="1">IF(CS330&lt;=Hypothèses!$V$7,Hypothèses!$W$7,IF(CS330&lt;=Hypothèses!$V$8,Hypothèses!$W$8,IF(CS330&lt;=Hypothèses!$V$9,Hypothèses!$W$9,IF(CS330&lt;=Hypothèses!$V$10,Hypothèses!$W$10,IF(CS330&lt;=Hypothèses!$V$11,Hypothèses!$W$11,IF(CS330&lt;=Hypothèses!$V$12,Hypothèses!$W$12,IF(CS330&lt;=Hypothèses!$V$13,Hypothèses!$W$13,IF(CS330&lt;=Hypothèses!$V$14,Hypothèses!$W$14,IF(CS330&lt;=Hypothèses!$V$15,Hypothèses!$W$15,IF(CS330&lt;=Hypothèses!$V$16,Hypothèses!$W$16,IF(CS330&lt;=Hypothèses!$V$17,Hypothèses!$W$17,IF(CS330&lt;=Hypothèses!$V$18,Hypothèses!$W$18,""))))))))))))</f>
        <v>#DIV/0!</v>
      </c>
      <c r="DN330" s="87" t="e">
        <f t="shared" ca="1" si="521"/>
        <v>#DIV/0!</v>
      </c>
      <c r="DO330" s="88" t="e">
        <f ca="1">IF(CS330&lt;=Hypothèses!$V$7,Hypothèses!$X$7,IF(CS330&lt;=Hypothèses!$V$8,Hypothèses!$X$8,IF(CS330&lt;=Hypothèses!$V$9,Hypothèses!$X$9,IF(CS330&lt;=Hypothèses!$V$10,Hypothèses!$X$10,IF(CS330&lt;=Hypothèses!$V$11,Hypothèses!$X$11,IF(CS330&lt;=Hypothèses!$V$12,Hypothèses!$X$12,IF(CS330&lt;=Hypothèses!$V$13,Hypothèses!$X$13,IF(CS330&lt;=Hypothèses!$V$14,Hypothèses!$X$14,IF(CS330&lt;=Hypothèses!$V$15,Hypothèses!$X$15,IF(CS330&lt;=Hypothèses!$V$16,Hypothèses!$X$16,IF(CS330&lt;=Hypothèses!$U$17,Hypothèses!$W$17,IF(CS330&lt;=Hypothèses!$U$18,Hypothèses!$W$18,""))))))))))))</f>
        <v>#DIV/0!</v>
      </c>
      <c r="DP330" s="95" t="e">
        <f t="shared" ca="1" si="489"/>
        <v>#DIV/0!</v>
      </c>
      <c r="DQ330" s="101" t="e">
        <f t="shared" si="528"/>
        <v>#N/A</v>
      </c>
      <c r="DR330" s="91" t="e">
        <f t="shared" si="458"/>
        <v>#N/A</v>
      </c>
      <c r="DS330" s="30" t="e">
        <f t="shared" si="510"/>
        <v>#N/A</v>
      </c>
      <c r="DT330" s="30" t="e">
        <f t="shared" si="511"/>
        <v>#N/A</v>
      </c>
      <c r="DU330" s="31" t="e">
        <f>IF(OR(Hypothèses!$B$4=17,Hypothèses!$B$4=18,Hypothèses!$B$4=19,Hypothèses!$B$4=20),
IF($D330="Pressio.",
IF(OR($E330=3,$E330=1,$E330=4),DT330,DS330),
IF($D330="Pénétro.",
IF(OR($E330=3,$E330=1,$E330=4),DT330,DS330))),IF($D330="Pressio.",
IF($E330=3,DT330,DS330),
IF($D330="Pénétro.",
IF($E330=4,DT330,DS330))))</f>
        <v>#N/A</v>
      </c>
      <c r="DV330" s="31" t="e">
        <f>(IF(OR(Hypothèses!$B$4=17,Hypothèses!$B$4=18,Hypothèses!$B$4=19,Hypothèses!$B$4=20),
IF($D330="Pressio.",
IF(OR($E330=3,$E330=1,$E330=4),(PI()*DV$12^2)/4*(DR330*$W330*1000)/($H330*$B$5),(PI()*DV$12^2)/4*(DR330*$W330*1000)/($G330*$B$5)),
IF($D330="Pénétro.",
IF(OR($E330=4,$E330=1,$E330=5),(PI()*DV$12^2)/4*(DR330*$W330*1000)/($H330*$B$5),(PI()*DV$12^2)/4*(DR330*$W330*1000)/($G330*$B$5)))),
IF($D330="Pressio.",
IF($E330=3,(PI()*DV$12^2)/4*(DR330*$W330*1000)/($H330*$B$5),(PI()*DV$12^2)/4*(DR330*$W330*1000)/($G330*$B$5)),
IF($D330="Pénétro.",
IF($E330=4,(PI()*DV$12^2)/4*(DR330*$W330*1000)/($H330*$B$5),(PI()*DV$12^2)/4*(DR330*$W330*1000)/($G330*$B$5))))))/10</f>
        <v>#N/A</v>
      </c>
      <c r="DW330" s="102" t="e">
        <f>(VLOOKUP($B$3,'Coeff EC7'!$T$39:$X$59,2,0)*DU330+VLOOKUP($B$3,'Coeff EC7'!$T$65:$X$85,2,0)*Model0.1C!DV330)/1.1</f>
        <v>#N/A</v>
      </c>
      <c r="DX330" s="102" t="e">
        <f>(VLOOKUP($B$3,'Coeff EC7'!$T$39:$X$59,3,0)*DU330+VLOOKUP($B$3,'Coeff EC7'!$T$65:$X$85,3,0)*Model0.1C!DV330)/0.9</f>
        <v>#N/A</v>
      </c>
      <c r="DY330" s="102" t="e">
        <f t="shared" si="490"/>
        <v>#N/A</v>
      </c>
      <c r="DZ330" s="102" t="e">
        <f t="shared" si="491"/>
        <v>#N/A</v>
      </c>
      <c r="EA330" s="414" t="e">
        <f>IF(EA329=0,0,IF(AND(DW330&gt;charge_ELS_quasi,DX330&gt;Charge_ELS_freq,DY330&gt;charge_ELU,DZ330&gt;charge_ELA,$B330&gt;NDC!$H$22-0.1+MIN(3*$EA$12,1.5)),0,1))</f>
        <v>#N/A</v>
      </c>
      <c r="EB330" s="86" t="b">
        <f t="shared" si="459"/>
        <v>0</v>
      </c>
      <c r="EC330" s="418">
        <f t="shared" si="460"/>
        <v>0.51</v>
      </c>
      <c r="ED330" s="86">
        <f t="shared" si="461"/>
        <v>0.51</v>
      </c>
      <c r="EE330" s="30" t="e">
        <f t="shared" ca="1" si="492"/>
        <v>#DIV/0!</v>
      </c>
      <c r="EF330" s="85" t="e">
        <f ca="1">IF(DL330&lt;=Hypothèses!$V$7,Hypothèses!$W$7,IF(DL330&lt;=Hypothèses!$V$8,Hypothèses!$W$8,IF(DL330&lt;=Hypothèses!$V$9,Hypothèses!$W$9,IF(DL330&lt;=Hypothèses!$V$10,Hypothèses!$W$10,IF(DL330&lt;=Hypothèses!$V$11,Hypothèses!$W$11,IF(DL330&lt;=Hypothèses!$V$12,Hypothèses!$W$12,IF(DL330&lt;=Hypothèses!$V$13,Hypothèses!$W$13,IF(DL330&lt;=Hypothèses!$V$14,Hypothèses!$W$14,IF(DL330&lt;=Hypothèses!$V$15,Hypothèses!$W$15,IF(DL330&lt;=Hypothèses!$V$16,Hypothèses!$W$16,IF(DL330&lt;=Hypothèses!$V$17,Hypothèses!$W$17,IF(DL330&lt;=Hypothèses!$V$18,Hypothèses!$W$18,""))))))))))))</f>
        <v>#DIV/0!</v>
      </c>
      <c r="EG330" s="87" t="e">
        <f t="shared" ca="1" si="522"/>
        <v>#DIV/0!</v>
      </c>
      <c r="EH330" s="88" t="e">
        <f ca="1">IF(DL330&lt;=Hypothèses!$V$7,Hypothèses!$X$7,IF(DL330&lt;=Hypothèses!$V$8,Hypothèses!$X$8,IF(DL330&lt;=Hypothèses!$V$9,Hypothèses!$X$9,IF(DL330&lt;=Hypothèses!$V$10,Hypothèses!$X$10,IF(DL330&lt;=Hypothèses!$V$11,Hypothèses!$X$11,IF(DL330&lt;=Hypothèses!$V$12,Hypothèses!$X$12,IF(DL330&lt;=Hypothèses!$V$13,Hypothèses!$X$13,IF(DL330&lt;=Hypothèses!$V$14,Hypothèses!$X$14,IF(DL330&lt;=Hypothèses!$V$15,Hypothèses!$X$15,IF(DL330&lt;=Hypothèses!$V$16,Hypothèses!$X$16,IF(DL330&lt;=Hypothèses!$U$17,Hypothèses!$W$17,IF(DL330&lt;=Hypothèses!$U$18,Hypothèses!$W$18,""))))))))))))</f>
        <v>#DIV/0!</v>
      </c>
      <c r="EI330" s="95" t="e">
        <f t="shared" ca="1" si="493"/>
        <v>#DIV/0!</v>
      </c>
      <c r="EJ330" s="101" t="e">
        <f t="shared" si="529"/>
        <v>#N/A</v>
      </c>
      <c r="EK330" s="91" t="e">
        <f t="shared" si="462"/>
        <v>#N/A</v>
      </c>
      <c r="EL330" s="30" t="e">
        <f t="shared" si="512"/>
        <v>#N/A</v>
      </c>
      <c r="EM330" s="30" t="e">
        <f t="shared" si="513"/>
        <v>#N/A</v>
      </c>
      <c r="EN330" s="31" t="e">
        <f>IF(OR(Hypothèses!$B$4=17,Hypothèses!$B$4=18,Hypothèses!$B$4=19,Hypothèses!$B$4=20),
IF($D330="Pressio.",
IF(OR($E330=3,$E330=1,$E330=4),EM330,EL330),
IF($D330="Pénétro.",
IF(OR($E330=3,$E330=1,$E330=4),EM330,EL330))),IF($D330="Pressio.",
IF($E330=3,EM330,EL330),
IF($D330="Pénétro.",
IF($E330=4,EM330,EL330))))</f>
        <v>#N/A</v>
      </c>
      <c r="EO330" s="31" t="e">
        <f>(IF(OR(Hypothèses!$B$4=17,Hypothèses!$B$4=18,Hypothèses!$B$4=19,Hypothèses!$B$4=20),
IF($D330="Pressio.",
IF(OR($E330=3,$E330=1,$E330=4),(PI()*EO$12^2)/4*(EK330*$W330*1000)/($H330*$B$5),(PI()*EO$12^2)/4*(EK330*$W330*1000)/($G330*$B$5)),
IF($D330="Pénétro.",
IF(OR($E330=4,$E330=1,$E330=5),(PI()*EO$12^2)/4*(EK330*$W330*1000)/($H330*$B$5),(PI()*EO$12^2)/4*(EK330*$W330*1000)/($G330*$B$5)))),
IF($D330="Pressio.",
IF($E330=3,(PI()*EO$12^2)/4*(EK330*$W330*1000)/($H330*$B$5),(PI()*EO$12^2)/4*(EK330*$W330*1000)/($G330*$B$5)),
IF($D330="Pénétro.",
IF($E330=4,(PI()*EO$12^2)/4*(EK330*$W330*1000)/($H330*$B$5),(PI()*EO$12^2)/4*(EK330*$W330*1000)/($G330*$B$5))))))/10</f>
        <v>#N/A</v>
      </c>
      <c r="EP330" s="102" t="e">
        <f>(VLOOKUP($B$3,'Coeff EC7'!$T$39:$X$59,2,0)*EN330+VLOOKUP($B$3,'Coeff EC7'!$T$65:$X$85,2,0)*Model0.1C!EO330)/1.1</f>
        <v>#N/A</v>
      </c>
      <c r="EQ330" s="102" t="e">
        <f>(VLOOKUP($B$3,'Coeff EC7'!$T$39:$X$59,3,0)*EN330+VLOOKUP($B$3,'Coeff EC7'!$T$65:$X$85,3,0)*Model0.1C!EO330)/0.9</f>
        <v>#N/A</v>
      </c>
      <c r="ER330" s="102" t="e">
        <f t="shared" si="494"/>
        <v>#N/A</v>
      </c>
      <c r="ES330" s="102" t="e">
        <f t="shared" si="495"/>
        <v>#N/A</v>
      </c>
      <c r="ET330" s="414" t="e">
        <f>IF(ET329=0,0,IF(AND(EP330&gt;charge_ELS_quasi,EQ330&gt;Charge_ELS_freq,ER330&gt;charge_ELU,ES330&gt;charge_ELA,$B330&gt;NDC!$H$22-0.1+MIN(3*$ET$12,1.5)),0,1))</f>
        <v>#N/A</v>
      </c>
      <c r="EU330" s="86" t="b">
        <f t="shared" si="463"/>
        <v>0</v>
      </c>
      <c r="EV330" s="86">
        <f t="shared" si="464"/>
        <v>0.61</v>
      </c>
      <c r="EW330" s="86">
        <f t="shared" si="465"/>
        <v>0.61</v>
      </c>
      <c r="EX330" s="30" t="e">
        <f t="shared" ca="1" si="496"/>
        <v>#DIV/0!</v>
      </c>
      <c r="EY330" s="85" t="e">
        <f ca="1">IF(EE330&lt;=Hypothèses!$V$7,Hypothèses!$W$7,IF(EE330&lt;=Hypothèses!$V$8,Hypothèses!$W$8,IF(EE330&lt;=Hypothèses!$V$9,Hypothèses!$W$9,IF(EE330&lt;=Hypothèses!$V$10,Hypothèses!$W$10,IF(EE330&lt;=Hypothèses!$V$11,Hypothèses!$W$11,IF(EE330&lt;=Hypothèses!$V$12,Hypothèses!$W$12,IF(EE330&lt;=Hypothèses!$V$13,Hypothèses!$W$13,IF(EE330&lt;=Hypothèses!$V$14,Hypothèses!$W$14,IF(EE330&lt;=Hypothèses!$V$15,Hypothèses!$W$15,IF(EE330&lt;=Hypothèses!$V$16,Hypothèses!$W$16,IF(EE330&lt;=Hypothèses!$V$17,Hypothèses!$W$17,IF(EE330&lt;=Hypothèses!$V$18,Hypothèses!$W$18,""))))))))))))</f>
        <v>#DIV/0!</v>
      </c>
      <c r="EZ330" s="87" t="e">
        <f t="shared" ca="1" si="523"/>
        <v>#DIV/0!</v>
      </c>
      <c r="FA330" s="88" t="e">
        <f ca="1">IF(EE330&lt;=Hypothèses!$V$7,Hypothèses!$X$7,IF(EE330&lt;=Hypothèses!$V$8,Hypothèses!$X$8,IF(EE330&lt;=Hypothèses!$V$9,Hypothèses!$X$9,IF(EE330&lt;=Hypothèses!$V$10,Hypothèses!$X$10,IF(EE330&lt;=Hypothèses!$V$11,Hypothèses!$X$11,IF(EE330&lt;=Hypothèses!$V$12,Hypothèses!$X$12,IF(EE330&lt;=Hypothèses!$V$13,Hypothèses!$X$13,IF(EE330&lt;=Hypothèses!$V$14,Hypothèses!$X$14,IF(EE330&lt;=Hypothèses!$V$15,Hypothèses!$X$15,IF(EE330&lt;=Hypothèses!$V$16,Hypothèses!$X$16,IF(EE330&lt;=Hypothèses!$U$17,Hypothèses!$W$17,IF(EE330&lt;=Hypothèses!$U$18,Hypothèses!$W$18,""))))))))))))</f>
        <v>#DIV/0!</v>
      </c>
      <c r="FB330" s="95" t="e">
        <f t="shared" ca="1" si="497"/>
        <v>#DIV/0!</v>
      </c>
      <c r="FC330" s="101" t="e">
        <f t="shared" si="530"/>
        <v>#N/A</v>
      </c>
      <c r="FD330" s="91" t="e">
        <f t="shared" si="466"/>
        <v>#N/A</v>
      </c>
      <c r="FE330" s="30" t="e">
        <f t="shared" si="514"/>
        <v>#N/A</v>
      </c>
      <c r="FF330" s="30" t="e">
        <f t="shared" si="515"/>
        <v>#N/A</v>
      </c>
      <c r="FG330" s="31" t="e">
        <f>IF(OR(Hypothèses!$B$4=17,Hypothèses!$B$4=18,Hypothèses!$B$4=19,Hypothèses!$B$4=20),
IF($D330="Pressio.",
IF(OR($E330=3,$E330=1,$E330=4),FF330,FE330),
IF($D330="Pénétro.",
IF(OR($E330=3,$E330=1,$E330=4),FF330,FE330))),IF($D330="Pressio.",
IF($E330=3,FF330,FE330),
IF($D330="Pénétro.",
IF($E330=4,FF330,FE330))))</f>
        <v>#N/A</v>
      </c>
      <c r="FH330" s="31" t="e">
        <f>(IF(OR(Hypothèses!$B$4=17,Hypothèses!$B$4=18,Hypothèses!$B$4=19,Hypothèses!$B$4=20),
IF($D330="Pressio.",
IF(OR($E330=3,$E330=1,$E330=4),(PI()*FH$12^2)/4*(FD330*$W330*1000)/($H330*$B$5),(PI()*FH$12^2)/4*(FD330*$W330*1000)/($G330*$B$5)),
IF($D330="Pénétro.",
IF(OR($E330=4,$E330=1,$E330=5),(PI()*FH$12^2)/4*(FD330*$W330*1000)/($H330*$B$5),(PI()*FH$12^2)/4*(FD330*$W330*1000)/($G330*$B$5)))),
IF($D330="Pressio.",
IF($E330=3,(PI()*FH$12^2)/4*(FD330*$W330*1000)/($H330*$B$5),(PI()*FH$12^2)/4*(FD330*$W330*1000)/($G330*$B$5)),
IF($D330="Pénétro.",
IF($E330=4,(PI()*FH$12^2)/4*(FD330*$W330*1000)/($H330*$B$5),(PI()*FH$12^2)/4*(FD330*$W330*1000)/($G330*$B$5))))))/10</f>
        <v>#N/A</v>
      </c>
      <c r="FI330" s="102" t="e">
        <f>(VLOOKUP($B$3,'Coeff EC7'!$T$39:$X$59,2,0)*FG330+VLOOKUP($B$3,'Coeff EC7'!$T$65:$X$85,2,0)*Model0.1C!FH330)/1.1</f>
        <v>#N/A</v>
      </c>
      <c r="FJ330" s="102" t="e">
        <f>(VLOOKUP($B$3,'Coeff EC7'!$T$39:$X$59,3,0)*FG330+VLOOKUP($B$3,'Coeff EC7'!$T$65:$X$85,3,0)*Model0.1C!FH330)/0.9</f>
        <v>#N/A</v>
      </c>
      <c r="FK330" s="102" t="e">
        <f t="shared" si="498"/>
        <v>#N/A</v>
      </c>
      <c r="FL330" s="102" t="e">
        <f t="shared" si="499"/>
        <v>#N/A</v>
      </c>
      <c r="FM330" s="414" t="e">
        <f>IF(FM329=0,0,IF(AND(FI330&gt;charge_ELS_quasi,FJ330&gt;Charge_ELS_freq,FK330&gt;charge_ELU,FL330&gt;charge_ELA,$B330&gt;NDC!$H$22-0.1+MIN(3*$FM$12,1.5)),0,1))</f>
        <v>#N/A</v>
      </c>
    </row>
    <row r="331" spans="1:169">
      <c r="A331" s="96">
        <f t="shared" si="467"/>
        <v>68.200000000001808</v>
      </c>
      <c r="B331" s="97">
        <v>31.8</v>
      </c>
      <c r="C331" s="81">
        <f>IF(B331&lt;=Hypothèses!$C$7,Hypothèses!$A$7,IF(B331&lt;=Hypothèses!$C$8,Hypothèses!$A$8,IF(B331&lt;=Hypothèses!$C$9,Hypothèses!$A$9,IF(B331&lt;=Hypothèses!$C$10,Hypothèses!$A$10,IF(B331&lt;=Hypothèses!$C$11,Hypothèses!$A$11,IF(B331&lt;=Hypothèses!$C$12,Hypothèses!$A$12,IF(B331&lt;=Hypothèses!$C$13,Hypothèses!$A$13,IF(B331&lt;=Hypothèses!$C$14,Hypothèses!$A$14,IF(B331&lt;=Hypothèses!$C$15,Hypothèses!$A$15,IF(B331&lt;=Hypothèses!$C$16,Hypothèses!$A$16,IF(B331&lt;=Hypothèses!$C$17,Hypothèses!$A$17,IF(B331&lt;=Hypothèses!$C$18,Hypothèses!$A$18,C330))))))))))))</f>
        <v>11</v>
      </c>
      <c r="D331" s="82" t="str">
        <f>IF(B331&lt;=Hypothèses!$C$7,Hypothèses!$R$7,IF(B331&lt;=Hypothèses!$C$8,Hypothèses!$R$8,IF(B331&lt;=Hypothèses!$C$9,Hypothèses!$R$9,IF(B331&lt;=Hypothèses!$C$10,Hypothèses!$R$10,IF(B331&lt;=Hypothèses!$C$11,Hypothèses!$R$11,IF(B331&lt;=Hypothèses!$C$12,Hypothèses!$R$12,IF(B331&lt;=Hypothèses!$C$13,Hypothèses!$R$13,IF(B331&lt;=Hypothèses!$C$14,Hypothèses!$R$14,IF(B331&lt;=Hypothèses!$C$15,Hypothèses!$R$15,IF(B331&lt;=Hypothèses!$C$16,Hypothèses!$R$16,IF(B331&lt;=Hypothèses!$C$17,Hypothèses!$R$17,IF(B331&lt;=Hypothèses!$C$18,Hypothèses!$R$18,D330))))))))))))</f>
        <v>Pressio.</v>
      </c>
      <c r="E331" s="82" t="e">
        <f>IF(B331&lt;=Hypothèses!$C$7,Hypothèses!$G$7,IF(B331&lt;=Hypothèses!$C$8,Hypothèses!$G$8,IF(B331&lt;=Hypothèses!$C$9,Hypothèses!$G$9,IF(B331&lt;=Hypothèses!$C$10,Hypothèses!$G$10,IF(B331&lt;=Hypothèses!$C$11,Hypothèses!$G$11,IF(B331&lt;=Hypothèses!$C$12,Hypothèses!$G$12,IF(B331&lt;=Hypothèses!$C$13,Hypothèses!$G$13,IF(B331&lt;=Hypothèses!$C$14,Hypothèses!$G$14,IF(B331&lt;=Hypothèses!$C$15,Hypothèses!$G$15,IF(B331&lt;=Hypothèses!$C$16,Hypothèses!$G$16,IF(B331&lt;=Hypothèses!$C$17,Hypothèses!$G$17,IF(B331&lt;=Hypothèses!$C$18,Hypothèses!$G$18,E330))))))))))))</f>
        <v>#N/A</v>
      </c>
      <c r="F331" s="82" t="str">
        <f>IF(B331&lt;=Hypothèses!$C$7,Hypothèses!$F$7,IF(B331&lt;=Hypothèses!$C$8,Hypothèses!$F$8,IF(B331&lt;=Hypothèses!$C$9,Hypothèses!$F$9,IF(B331&lt;=Hypothèses!$C$10,Hypothèses!$F$10,IF(B331&lt;=Hypothèses!$C$11,Hypothèses!$F$11,IF(B331&lt;=Hypothèses!$C$12,Hypothèses!$F$12,IF(B331&lt;=Hypothèses!$C$13,Hypothèses!$F$13,IF(B331&lt;=Hypothèses!$C$14,Hypothèses!$F$14,IF(B331&lt;=Hypothèses!$C$15,Hypothèses!$F$15,IF(B331&lt;=Hypothèses!$C$16,Hypothèses!$F$16,IF(B331&lt;=Hypothèses!$C$17,Hypothèses!$F$17,IF(B331&lt;=Hypothèses!$C$18,Hypothèses!$F$18,F330))))))))))))</f>
        <v/>
      </c>
      <c r="G331" s="91">
        <f t="array" ref="G331">INDEX('Coeff EC7'!$U$7:$X$27,
MATCH(Model0.1C!$B$3,'Coeff EC7'!$T$7:$T$27,0),
MATCH(Model0.1C!$D331&amp;Model0.1C!$B$4,
'Coeff EC7'!$U$6:$X$6&amp;
'Coeff EC7'!$U$5:$X$5,0))</f>
        <v>1.1499999999999999</v>
      </c>
      <c r="H331" s="91">
        <f t="array" ref="H331">INDEX('Coeff EC7'!$Y$7:$AB$27,
MATCH(Model0.1C!$B$3,'Coeff EC7'!$T$7:$T$27,0),
MATCH(Model0.1C!$D331&amp;Model0.1C!$B$4,
'Coeff EC7'!$Y$6:$AB$6&amp;
'Coeff EC7'!$Y$5:$AB$5,0))</f>
        <v>1.4</v>
      </c>
      <c r="I331" s="83" t="e">
        <f>IF(B331&lt;=Hypothèses!$C$7,Hypothèses!$P$7,IF(B331&lt;=Hypothèses!$C$8,Hypothèses!$P$8,IF(B331&lt;=Hypothèses!$C$9,Hypothèses!$P$9,IF(B331&lt;=Hypothèses!$C$10,Hypothèses!$P$10,IF(B331&lt;=Hypothèses!$C$11,Hypothèses!$P$11,IF(B331&lt;=Hypothèses!$C$12,Hypothèses!$P$12,IF(B331&lt;=Hypothèses!$C$13,Hypothèses!$P$13,IF(B331&lt;=Hypothèses!$C$14,Hypothèses!$P$14,IF(B331&lt;=Hypothèses!$C$15,Hypothèses!$P$15,IF(B331&lt;=Hypothèses!$C$16,Hypothèses!$P$16,IF(B331&lt;=Hypothèses!$C$17,Hypothèses!$P$17,IF(B331&lt;=Hypothèses!$C$18,Hypothèses!$P$18,I330))))))))))))</f>
        <v>#N/A</v>
      </c>
      <c r="J331" s="91" t="e">
        <f t="array" ref="J331">INDEX('Coeff EC7'!$D$33:$Q$33,1,MATCH(D331&amp;E331,'Coeff EC7'!$D$31:$Q$31&amp;'Coeff EC7'!$D$32:$Q$32,0))</f>
        <v>#N/A</v>
      </c>
      <c r="K331" s="91" t="e">
        <f t="array" ref="K331">INDEX('Coeff EC7'!$D$34:$Q$34,1,MATCH(D331&amp;E331,'Coeff EC7'!$D$31:$Q$31&amp;'Coeff EC7'!$D$32:$Q$32,0))</f>
        <v>#N/A</v>
      </c>
      <c r="L331" s="91" t="e">
        <f t="array" ref="L331">INDEX('Coeff EC7'!$D$35:$Q$35,1,MATCH(D331&amp;E331,'Coeff EC7'!$D$31:$Q$31&amp;'Coeff EC7'!$D$32:$Q$32,0))</f>
        <v>#N/A</v>
      </c>
      <c r="M331" s="98" t="e">
        <f t="shared" si="431"/>
        <v>#N/A</v>
      </c>
      <c r="N331" s="99" t="e">
        <f t="array" ref="N331">INDEX('Coeff EC7'!$D$7:$Q$27,MATCH($B$3,'Coeff EC7'!$C$7:$C$27,0),MATCH(D331&amp;E331,'Coeff EC7'!$D$5:$Q$5&amp;'Coeff EC7'!$D$6:$Q$6,0))</f>
        <v>#N/A</v>
      </c>
      <c r="O331" s="99" t="e">
        <f t="array" ref="O331">INDEX('Coeff EC7'!$D$41:$Q$61,MATCH($B$3,'Coeff EC7'!$C$41:$C$61,0),MATCH(D331&amp;E331,'Coeff EC7'!$D$39:$Q$39&amp;'Coeff EC7'!$D$40:$Q$40,0))</f>
        <v>#N/A</v>
      </c>
      <c r="P331" s="30" t="e">
        <f t="shared" si="468"/>
        <v>#N/A</v>
      </c>
      <c r="Q331" s="100" t="e">
        <f t="shared" si="433"/>
        <v>#N/A</v>
      </c>
      <c r="R331" s="86" t="b">
        <f t="shared" si="434"/>
        <v>0</v>
      </c>
      <c r="S331" s="86">
        <f t="shared" si="432"/>
        <v>0.5</v>
      </c>
      <c r="T331" s="86">
        <f t="shared" si="435"/>
        <v>0.5</v>
      </c>
      <c r="U331" s="30" t="e">
        <f t="shared" ca="1" si="469"/>
        <v>#DIV/0!</v>
      </c>
      <c r="V331" s="85" t="str">
        <f>IF(B331&lt;=Hypothèses!$V$7,Hypothèses!$W$7,IF(B331&lt;=Hypothèses!$V$8,Hypothèses!$W$8,IF(B331&lt;=Hypothèses!$V$9,Hypothèses!$W$9,IF(B331&lt;=Hypothèses!$V$10,Hypothèses!$W$10,IF(B331&lt;=Hypothèses!$V$11,Hypothèses!$W$11,IF(B331&lt;=Hypothèses!$V$12,Hypothèses!$W$12,IF(B331&lt;=Hypothèses!$V$13,Hypothèses!$W$13,IF(B331&lt;=Hypothèses!$V$14,Hypothèses!$W$14,IF(B331&lt;=Hypothèses!$V$15,Hypothèses!$W$15,IF(B331&lt;=Hypothèses!$V$16,Hypothèses!$W$16,IF(B331&lt;=Hypothèses!$V$17,Hypothèses!$W$17,IF(B331&lt;=Hypothèses!$V$18,Hypothèses!$W$18,""))))))))))))</f>
        <v/>
      </c>
      <c r="W331" s="87" t="e">
        <f t="shared" ca="1" si="516"/>
        <v>#DIV/0!</v>
      </c>
      <c r="X331" s="88" t="str">
        <f>IF(B331&lt;=Hypothèses!$V$7,Hypothèses!$X$7,IF(B331&lt;=Hypothèses!$V$8,Hypothèses!$X$8,IF(B331&lt;=Hypothèses!$V$9,Hypothèses!$X$9,IF(B331&lt;=Hypothèses!$V$10,Hypothèses!$X$10,IF(B331&lt;=Hypothèses!$V$11,Hypothèses!$X$11,IF(B331&lt;=Hypothèses!$V$12,Hypothèses!$X$12,IF(B331&lt;=Hypothèses!$V$13,Hypothèses!$X$13,IF(B331&lt;=Hypothèses!$V$14,Hypothèses!$X$14,IF(B331&lt;=Hypothèses!$V$15,Hypothèses!$X$15,IF(B331&lt;=Hypothèses!$V$16,Hypothèses!$X$16,IF(B331&lt;=Hypothèses!$U$17,Hypothèses!$W$17,IF(B331&lt;=Hypothèses!$U$18,Hypothèses!$W$18,""))))))))))))</f>
        <v/>
      </c>
      <c r="Y331" s="95" t="e">
        <f t="shared" ca="1" si="436"/>
        <v>#DIV/0!</v>
      </c>
      <c r="Z331" s="101" t="e">
        <f t="shared" si="437"/>
        <v>#N/A</v>
      </c>
      <c r="AA331" s="91" t="e">
        <f t="shared" si="438"/>
        <v>#N/A</v>
      </c>
      <c r="AB331" s="30" t="e">
        <f t="shared" si="500"/>
        <v>#N/A</v>
      </c>
      <c r="AC331" s="30" t="e">
        <f t="shared" si="501"/>
        <v>#N/A</v>
      </c>
      <c r="AD331" s="31" t="e">
        <f>IF(OR(Hypothèses!$B$4=17,Hypothèses!$B$4=18,Hypothèses!$B$4=19,Hypothèses!$B$4=20),
IF($D331="Pressio.",
IF(OR($E331=3,$E331=1,$E331=4),AC331,AB331),
IF($D331="Pénétro.",
IF(OR($E331=3,$E331=1,$E331=4),AC331,AB331))),IF($D331="Pressio.",
IF($E331=3,AC331,AB331),
IF($D331="Pénétro.",
IF($E331=4,AC331,AB331))))</f>
        <v>#N/A</v>
      </c>
      <c r="AE331" s="31" t="e">
        <f>(IF(OR(Hypothèses!$B$4=17,Hypothèses!$B$4=18,Hypothèses!$B$4=19,Hypothèses!$B$4=20),
IF($D331="Pressio.",
IF(OR($E331=3,$E331=1,$E331=4),(PI()*AE$12^2)/4*(AA331*$W331*1000)/($H331*$B$5),(PI()*AE$12^2)/4*(AA331*$W331*1000)/($G331*$B$5)),
IF($D331="Pénétro.",
IF(OR($E331=4,$E331=1,$E331=5),(PI()*AE$12^2)/4*(AA331*$W331*1000)/($H331*$B$5),(PI()*AE$12^2)/4*(AA331*$W331*1000)/($G331*$B$5)))),
IF($D331="Pressio.",
IF($E331=3,(PI()*AE$12^2)/4*(AA331*$W331*1000)/($H331*$B$5),(PI()*AE$12^2)/4*(AA331*$W331*1000)/($G331*$B$5)),
IF($D331="Pénétro.",
IF($E331=4,(PI()*AE$12^2)/4*(AA331*$W331*1000)/($H331*$B$5),(PI()*AE$12^2)/4*(AA331*$W331*1000)/($G331*$B$5))))))/10</f>
        <v>#N/A</v>
      </c>
      <c r="AF331" s="102" t="e">
        <f>(VLOOKUP($B$3,'Coeff EC7'!$T$39:$X$59,2,0)*AD331+VLOOKUP($B$3,'Coeff EC7'!$T$65:$X$85,2,0)*Model0.1C!AE331)/1.1</f>
        <v>#N/A</v>
      </c>
      <c r="AG331" s="102" t="e">
        <f>(VLOOKUP($B$3,'Coeff EC7'!$T$39:$X$59,3,0)*AD331+VLOOKUP($B$3,'Coeff EC7'!$T$65:$X$85,3,0)*Model0.1C!AE331)/0.9</f>
        <v>#N/A</v>
      </c>
      <c r="AH331" s="102" t="e">
        <f t="shared" si="439"/>
        <v>#N/A</v>
      </c>
      <c r="AI331" s="102" t="e">
        <f t="shared" si="440"/>
        <v>#N/A</v>
      </c>
      <c r="AJ331" s="414" t="e">
        <f>IF(AJ330=0,0,IF(AND(AF331&gt;charge_ELS_quasi,AG331&gt;Charge_ELS_freq,AH331&gt;charge_ELU,AI331&gt;charge_ELA,$B331&gt;NDC!$H$22-0.1+MIN(3*$AJ$12,1.5)),0,1))</f>
        <v>#N/A</v>
      </c>
      <c r="AK331" s="86" t="b">
        <f t="shared" si="441"/>
        <v>0</v>
      </c>
      <c r="AL331" s="86">
        <f t="shared" si="470"/>
        <v>0.5</v>
      </c>
      <c r="AM331" s="86">
        <f t="shared" si="442"/>
        <v>0.5</v>
      </c>
      <c r="AN331" s="30" t="e">
        <f t="shared" ca="1" si="471"/>
        <v>#DIV/0!</v>
      </c>
      <c r="AO331" s="85" t="e">
        <f ca="1">IF(U331&lt;=Hypothèses!$V$7,Hypothèses!$W$7,IF(U331&lt;=Hypothèses!$V$8,Hypothèses!$W$8,IF(U331&lt;=Hypothèses!$V$9,Hypothèses!$W$9,IF(U331&lt;=Hypothèses!$V$10,Hypothèses!$W$10,IF(U331&lt;=Hypothèses!$V$11,Hypothèses!$W$11,IF(U331&lt;=Hypothèses!$V$12,Hypothèses!$W$12,IF(U331&lt;=Hypothèses!$V$13,Hypothèses!$W$13,IF(U331&lt;=Hypothèses!$V$14,Hypothèses!$W$14,IF(U331&lt;=Hypothèses!$V$15,Hypothèses!$W$15,IF(U331&lt;=Hypothèses!$V$16,Hypothèses!$W$16,IF(U331&lt;=Hypothèses!$V$17,Hypothèses!$W$17,IF(U331&lt;=Hypothèses!$V$18,Hypothèses!$W$18,""))))))))))))</f>
        <v>#DIV/0!</v>
      </c>
      <c r="AP331" s="87" t="e">
        <f t="shared" ca="1" si="517"/>
        <v>#DIV/0!</v>
      </c>
      <c r="AQ331" s="88" t="e">
        <f ca="1">IF(U331&lt;=Hypothèses!$V$7,Hypothèses!$X$7,IF(U331&lt;=Hypothèses!$V$8,Hypothèses!$X$8,IF(U331&lt;=Hypothèses!$V$9,Hypothèses!$X$9,IF(U331&lt;=Hypothèses!$V$10,Hypothèses!$X$10,IF(U331&lt;=Hypothèses!$V$11,Hypothèses!$X$11,IF(U331&lt;=Hypothèses!$V$12,Hypothèses!$X$12,IF(U331&lt;=Hypothèses!$V$13,Hypothèses!$X$13,IF(U331&lt;=Hypothèses!$V$14,Hypothèses!$X$14,IF(U331&lt;=Hypothèses!$V$15,Hypothèses!$X$15,IF(U331&lt;=Hypothèses!$V$16,Hypothèses!$X$16,IF(U331&lt;=Hypothèses!$U$17,Hypothèses!$W$17,IF(U331&lt;=Hypothèses!$U$18,Hypothèses!$W$18,""))))))))))))</f>
        <v>#DIV/0!</v>
      </c>
      <c r="AR331" s="95" t="e">
        <f t="shared" ca="1" si="472"/>
        <v>#DIV/0!</v>
      </c>
      <c r="AS331" s="101" t="e">
        <f t="shared" si="524"/>
        <v>#N/A</v>
      </c>
      <c r="AT331" s="91" t="e">
        <f t="shared" si="443"/>
        <v>#N/A</v>
      </c>
      <c r="AU331" s="30" t="e">
        <f t="shared" si="502"/>
        <v>#N/A</v>
      </c>
      <c r="AV331" s="30" t="e">
        <f t="shared" si="503"/>
        <v>#N/A</v>
      </c>
      <c r="AW331" s="31" t="e">
        <f>IF(OR(Hypothèses!$B$4=17,Hypothèses!$B$4=18,Hypothèses!$B$4=19,Hypothèses!$B$4=20),
IF($D331="Pressio.",
IF(OR($E331=3,$E331=1,$E331=4),AV331,AU331),
IF($D331="Pénétro.",
IF(OR($E331=3,$E331=1,$E331=4),AV331,AU331))),IF($D331="Pressio.",
IF($E331=3,AV331,AU331),
IF($D331="Pénétro.",
IF($E331=4,AV331,AU331))))</f>
        <v>#N/A</v>
      </c>
      <c r="AX331" s="31" t="e">
        <f>(IF(OR(Hypothèses!$B$4=17,Hypothèses!$B$4=18,Hypothèses!$B$4=19,Hypothèses!$B$4=20),
IF($D331="Pressio.",
IF(OR($E331=3,$E331=1,$E331=4),(PI()*AX$12^2)/4*(AT331*$W331*1000)/($H331*$B$5),(PI()*AX$12^2)/4*(AT331*$W331*1000)/($G331*$B$5)),
IF($D331="Pénétro.",
IF(OR($E331=4,$E331=1,$E331=5),(PI()*AX$12^2)/4*(AT331*$W331*1000)/($H331*$B$5),(PI()*AX$12^2)/4*(AT331*$W331*1000)/($G331*$B$5)))),
IF($D331="Pressio.",
IF($E331=3,(PI()*AX$12^2)/4*(AT331*$W331*1000)/($H331*$B$5),(PI()*AX$12^2)/4*(AT331*$W331*1000)/($G331*$B$5)),
IF($D331="Pénétro.",
IF($E331=4,(PI()*AX$12^2)/4*(AT331*$W331*1000)/($H331*$B$5),(PI()*AX$12^2)/4*(AT331*$W331*1000)/($G331*$B$5))))))/10</f>
        <v>#N/A</v>
      </c>
      <c r="AY331" s="102" t="e">
        <f>(VLOOKUP($B$3,'Coeff EC7'!$T$39:$X$59,2,0)*AW331+VLOOKUP($B$3,'Coeff EC7'!$T$65:$X$85,2,0)*Model0.1C!AX331)/1.1</f>
        <v>#N/A</v>
      </c>
      <c r="AZ331" s="102" t="e">
        <f>(VLOOKUP($B$3,'Coeff EC7'!$T$39:$X$59,3,0)*AW331+VLOOKUP($B$3,'Coeff EC7'!$T$65:$X$85,3,0)*Model0.1C!AX331)/0.9</f>
        <v>#N/A</v>
      </c>
      <c r="BA331" s="102" t="e">
        <f t="shared" si="473"/>
        <v>#N/A</v>
      </c>
      <c r="BB331" s="102" t="e">
        <f t="shared" si="474"/>
        <v>#N/A</v>
      </c>
      <c r="BC331" s="414" t="e">
        <f>IF(BC330=0,0,IF(AND(AY331&gt;charge_ELS_quasi,AZ331&gt;Charge_ELS_freq,BA331&gt;charge_ELU,BB331&gt;charge_ELA,$B331&gt;NDC!$H$22-0.1+MIN(3*$BC$12,1.5)),0,1))</f>
        <v>#N/A</v>
      </c>
      <c r="BD331" s="86" t="b">
        <f t="shared" si="444"/>
        <v>0</v>
      </c>
      <c r="BE331" s="86">
        <f t="shared" si="475"/>
        <v>0.5</v>
      </c>
      <c r="BF331" s="86">
        <f t="shared" si="445"/>
        <v>0.5</v>
      </c>
      <c r="BG331" s="30" t="e">
        <f t="shared" ca="1" si="476"/>
        <v>#DIV/0!</v>
      </c>
      <c r="BH331" s="85" t="e">
        <f ca="1">IF(AN331&lt;=Hypothèses!$V$7,Hypothèses!$W$7,IF(AN331&lt;=Hypothèses!$V$8,Hypothèses!$W$8,IF(AN331&lt;=Hypothèses!$V$9,Hypothèses!$W$9,IF(AN331&lt;=Hypothèses!$V$10,Hypothèses!$W$10,IF(AN331&lt;=Hypothèses!$V$11,Hypothèses!$W$11,IF(AN331&lt;=Hypothèses!$V$12,Hypothèses!$W$12,IF(AN331&lt;=Hypothèses!$V$13,Hypothèses!$W$13,IF(AN331&lt;=Hypothèses!$V$14,Hypothèses!$W$14,IF(AN331&lt;=Hypothèses!$V$15,Hypothèses!$W$15,IF(AN331&lt;=Hypothèses!$V$16,Hypothèses!$W$16,IF(AN331&lt;=Hypothèses!$V$17,Hypothèses!$W$17,IF(AN331&lt;=Hypothèses!$V$18,Hypothèses!$W$18,""))))))))))))</f>
        <v>#DIV/0!</v>
      </c>
      <c r="BI331" s="87" t="e">
        <f t="shared" ca="1" si="518"/>
        <v>#DIV/0!</v>
      </c>
      <c r="BJ331" s="88" t="e">
        <f ca="1">IF(AN331&lt;=Hypothèses!$V$7,Hypothèses!$X$7,IF(AN331&lt;=Hypothèses!$V$8,Hypothèses!$X$8,IF(AN331&lt;=Hypothèses!$V$9,Hypothèses!$X$9,IF(AN331&lt;=Hypothèses!$V$10,Hypothèses!$X$10,IF(AN331&lt;=Hypothèses!$V$11,Hypothèses!$X$11,IF(AN331&lt;=Hypothèses!$V$12,Hypothèses!$X$12,IF(AN331&lt;=Hypothèses!$V$13,Hypothèses!$X$13,IF(AN331&lt;=Hypothèses!$V$14,Hypothèses!$X$14,IF(AN331&lt;=Hypothèses!$V$15,Hypothèses!$X$15,IF(AN331&lt;=Hypothèses!$V$16,Hypothèses!$X$16,IF(AN331&lt;=Hypothèses!$U$17,Hypothèses!$W$17,IF(AN331&lt;=Hypothèses!$U$18,Hypothèses!$W$18,""))))))))))))</f>
        <v>#DIV/0!</v>
      </c>
      <c r="BK331" s="95" t="e">
        <f t="shared" ca="1" si="477"/>
        <v>#DIV/0!</v>
      </c>
      <c r="BL331" s="101" t="e">
        <f t="shared" si="525"/>
        <v>#N/A</v>
      </c>
      <c r="BM331" s="91" t="e">
        <f t="shared" si="446"/>
        <v>#N/A</v>
      </c>
      <c r="BN331" s="30" t="e">
        <f t="shared" si="504"/>
        <v>#N/A</v>
      </c>
      <c r="BO331" s="30" t="e">
        <f t="shared" si="505"/>
        <v>#N/A</v>
      </c>
      <c r="BP331" s="31" t="e">
        <f>IF(OR(Hypothèses!$B$4=17,Hypothèses!$B$4=18,Hypothèses!$B$4=19,Hypothèses!$B$4=20),
IF($D331="Pressio.",
IF(OR($E331=3,$E331=1,$E331=4),BO331,BN331),
IF($D331="Pénétro.",
IF(OR($E331=3,$E331=1,$E331=4),BO331,BN331))),IF($D331="Pressio.",
IF($E331=3,BO331,BN331),
IF($D331="Pénétro.",
IF($E331=4,BO331,BN331))))</f>
        <v>#N/A</v>
      </c>
      <c r="BQ331" s="31" t="e">
        <f>(IF(OR(Hypothèses!$B$4=17,Hypothèses!$B$4=18,Hypothèses!$B$4=19,Hypothèses!$B$4=20),
IF($D331="Pressio.",
IF(OR($E331=3,$E331=1,$E331=4),(PI()*BQ$12^2)/4*(BM331*$W331*1000)/($H331*$B$5),(PI()*BQ$12^2)/4*(BM331*$W331*1000)/($G331*$B$5)),
IF($D331="Pénétro.",
IF(OR($E331=4,$E331=1,$E331=5),(PI()*BQ$12^2)/4*(BM331*$W331*1000)/($H331*$B$5),(PI()*BQ$12^2)/4*(BM331*$W331*1000)/($G331*$B$5)))),
IF($D331="Pressio.",
IF($E331=3,(PI()*BQ$12^2)/4*(BM331*$W331*1000)/($H331*$B$5),(PI()*BQ$12^2)/4*(BM331*$W331*1000)/($G331*$B$5)),
IF($D331="Pénétro.",
IF($E331=4,(PI()*BQ$12^2)/4*(BM331*$W331*1000)/($H331*$B$5),(PI()*BQ$12^2)/4*(BM331*$W331*1000)/($G331*$B$5))))))/10</f>
        <v>#N/A</v>
      </c>
      <c r="BR331" s="102" t="e">
        <f>(VLOOKUP($B$3,'Coeff EC7'!$T$39:$X$59,2,0)*BP331+VLOOKUP($B$3,'Coeff EC7'!$T$65:$X$85,2,0)*Model0.1C!BQ331)/1.1</f>
        <v>#N/A</v>
      </c>
      <c r="BS331" s="102" t="e">
        <f>(VLOOKUP($B$3,'Coeff EC7'!$T$39:$X$59,3,0)*BP331+VLOOKUP($B$3,'Coeff EC7'!$T$65:$X$85,3,0)*Model0.1C!BQ331)/0.9</f>
        <v>#N/A</v>
      </c>
      <c r="BT331" s="102" t="e">
        <f t="shared" si="478"/>
        <v>#N/A</v>
      </c>
      <c r="BU331" s="102" t="e">
        <f t="shared" si="479"/>
        <v>#N/A</v>
      </c>
      <c r="BV331" s="414" t="e">
        <f>IF(BV330=0,0,IF(AND(BR331&gt;charge_ELS_quasi,BS331&gt;Charge_ELS_freq,BT331&gt;charge_ELU,BU331&gt;charge_ELA,$B331&gt;NDC!$H$22-0.1+MIN(3*$BV$12,1.5)),0,1))</f>
        <v>#N/A</v>
      </c>
      <c r="BW331" s="86" t="b">
        <f t="shared" si="447"/>
        <v>0</v>
      </c>
      <c r="BX331" s="86">
        <f t="shared" si="448"/>
        <v>0.5</v>
      </c>
      <c r="BY331" s="86">
        <f t="shared" si="449"/>
        <v>0.5</v>
      </c>
      <c r="BZ331" s="30" t="e">
        <f t="shared" ca="1" si="480"/>
        <v>#DIV/0!</v>
      </c>
      <c r="CA331" s="85" t="e">
        <f ca="1">IF(BG331&lt;=Hypothèses!$V$7,Hypothèses!$W$7,IF(BG331&lt;=Hypothèses!$V$8,Hypothèses!$W$8,IF(BG331&lt;=Hypothèses!$V$9,Hypothèses!$W$9,IF(BG331&lt;=Hypothèses!$V$10,Hypothèses!$W$10,IF(BG331&lt;=Hypothèses!$V$11,Hypothèses!$W$11,IF(BG331&lt;=Hypothèses!$V$12,Hypothèses!$W$12,IF(BG331&lt;=Hypothèses!$V$13,Hypothèses!$W$13,IF(BG331&lt;=Hypothèses!$V$14,Hypothèses!$W$14,IF(BG331&lt;=Hypothèses!$V$15,Hypothèses!$W$15,IF(BG331&lt;=Hypothèses!$V$16,Hypothèses!$W$16,IF(BG331&lt;=Hypothèses!$V$17,Hypothèses!$W$17,IF(BG331&lt;=Hypothèses!$V$18,Hypothèses!$W$18,""))))))))))))</f>
        <v>#DIV/0!</v>
      </c>
      <c r="CB331" s="87" t="e">
        <f t="shared" ca="1" si="519"/>
        <v>#DIV/0!</v>
      </c>
      <c r="CC331" s="88" t="e">
        <f ca="1">IF(BG331&lt;=Hypothèses!$V$7,Hypothèses!$X$7,IF(BG331&lt;=Hypothèses!$V$8,Hypothèses!$X$8,IF(BG331&lt;=Hypothèses!$V$9,Hypothèses!$X$9,IF(BG331&lt;=Hypothèses!$V$10,Hypothèses!$X$10,IF(BG331&lt;=Hypothèses!$V$11,Hypothèses!$X$11,IF(BG331&lt;=Hypothèses!$V$12,Hypothèses!$X$12,IF(BG331&lt;=Hypothèses!$V$13,Hypothèses!$X$13,IF(BG331&lt;=Hypothèses!$V$14,Hypothèses!$X$14,IF(BG331&lt;=Hypothèses!$V$15,Hypothèses!$X$15,IF(BG331&lt;=Hypothèses!$V$16,Hypothèses!$X$16,IF(BG331&lt;=Hypothèses!$U$17,Hypothèses!$W$17,IF(BG331&lt;=Hypothèses!$U$18,Hypothèses!$W$18,""))))))))))))</f>
        <v>#DIV/0!</v>
      </c>
      <c r="CD331" s="95" t="e">
        <f t="shared" ca="1" si="481"/>
        <v>#DIV/0!</v>
      </c>
      <c r="CE331" s="101" t="e">
        <f t="shared" si="526"/>
        <v>#N/A</v>
      </c>
      <c r="CF331" s="91" t="e">
        <f t="shared" si="450"/>
        <v>#N/A</v>
      </c>
      <c r="CG331" s="30" t="e">
        <f t="shared" si="506"/>
        <v>#N/A</v>
      </c>
      <c r="CH331" s="30" t="e">
        <f t="shared" si="507"/>
        <v>#N/A</v>
      </c>
      <c r="CI331" s="31" t="e">
        <f>IF(OR(Hypothèses!$B$4=17,Hypothèses!$B$4=18,Hypothèses!$B$4=19,Hypothèses!$B$4=20),
IF($D331="Pressio.",
IF(OR($E331=3,$E331=1,$E331=4),CH331,CG331),
IF($D331="Pénétro.",
IF(OR($E331=3,$E331=1,$E331=4),CH331,CG331))),IF($D331="Pressio.",
IF($E331=3,CH331,CG331),
IF($D331="Pénétro.",
IF($E331=4,CH331,CG331))))</f>
        <v>#N/A</v>
      </c>
      <c r="CJ331" s="31" t="e">
        <f>(IF(OR(Hypothèses!$B$4=17,Hypothèses!$B$4=18,Hypothèses!$B$4=19,Hypothèses!$B$4=20),
IF($D331="Pressio.",
IF(OR($E331=3,$E331=1,$E331=4),(PI()*CJ$12^2)/4*(CF331*$W331*1000)/($H331*$B$5),(PI()*CJ$12^2)/4*(CF331*$W331*1000)/($G331*$B$5)),
IF($D331="Pénétro.",
IF(OR($E331=4,$E331=1,$E331=5),(PI()*CJ$12^2)/4*(CF331*$W331*1000)/($H331*$B$5),(PI()*CJ$12^2)/4*(CF331*$W331*1000)/($G331*$B$5)))),
IF($D331="Pressio.",
IF($E331=3,(PI()*CJ$12^2)/4*(CF331*$W331*1000)/($H331*$B$5),(PI()*CJ$12^2)/4*(CF331*$W331*1000)/($G331*$B$5)),
IF($D331="Pénétro.",
IF($E331=4,(PI()*CJ$12^2)/4*(CF331*$W331*1000)/($H331*$B$5),(PI()*CJ$12^2)/4*(CF331*$W331*1000)/($G331*$B$5))))))/10</f>
        <v>#N/A</v>
      </c>
      <c r="CK331" s="102" t="e">
        <f>(VLOOKUP($B$3,'Coeff EC7'!$T$39:$X$59,2,0)*CI331+VLOOKUP($B$3,'Coeff EC7'!$T$65:$X$85,2,0)*Model0.1C!CJ331)/1.1</f>
        <v>#N/A</v>
      </c>
      <c r="CL331" s="102" t="e">
        <f>(VLOOKUP($B$3,'Coeff EC7'!$T$39:$X$59,3,0)*CI331+VLOOKUP($B$3,'Coeff EC7'!$T$65:$X$85,3,0)*Model0.1C!CJ331)/0.9</f>
        <v>#N/A</v>
      </c>
      <c r="CM331" s="102" t="e">
        <f t="shared" si="482"/>
        <v>#N/A</v>
      </c>
      <c r="CN331" s="102" t="e">
        <f t="shared" si="483"/>
        <v>#N/A</v>
      </c>
      <c r="CO331" s="414" t="e">
        <f>IF(CO330=0,0,IF(AND(CK331&gt;charge_ELS_quasi,CL331&gt;Charge_ELS_freq,CM331&gt;charge_ELU,CN331&gt;charge_ELA,$B331&gt;NDC!$H$22-0.1+MIN(3*$CO$12,1.5)),0,1))</f>
        <v>#N/A</v>
      </c>
      <c r="CP331" s="86" t="b">
        <f t="shared" si="451"/>
        <v>0</v>
      </c>
      <c r="CQ331" s="86">
        <f t="shared" si="452"/>
        <v>0.5</v>
      </c>
      <c r="CR331" s="86">
        <f t="shared" si="453"/>
        <v>0.5</v>
      </c>
      <c r="CS331" s="30" t="e">
        <f t="shared" ca="1" si="484"/>
        <v>#DIV/0!</v>
      </c>
      <c r="CT331" s="85" t="e">
        <f ca="1">IF(BZ331&lt;=Hypothèses!$V$7,Hypothèses!$W$7,IF(BZ331&lt;=Hypothèses!$V$8,Hypothèses!$W$8,IF(BZ331&lt;=Hypothèses!$V$9,Hypothèses!$W$9,IF(BZ331&lt;=Hypothèses!$V$10,Hypothèses!$W$10,IF(BZ331&lt;=Hypothèses!$V$11,Hypothèses!$W$11,IF(BZ331&lt;=Hypothèses!$V$12,Hypothèses!$W$12,IF(BZ331&lt;=Hypothèses!$V$13,Hypothèses!$W$13,IF(BZ331&lt;=Hypothèses!$V$14,Hypothèses!$W$14,IF(BZ331&lt;=Hypothèses!$V$15,Hypothèses!$W$15,IF(BZ331&lt;=Hypothèses!$V$16,Hypothèses!$W$16,IF(BZ331&lt;=Hypothèses!$V$17,Hypothèses!$W$17,IF(BZ331&lt;=Hypothèses!$V$18,Hypothèses!$W$18,""))))))))))))</f>
        <v>#DIV/0!</v>
      </c>
      <c r="CU331" s="87" t="e">
        <f t="shared" ca="1" si="520"/>
        <v>#DIV/0!</v>
      </c>
      <c r="CV331" s="88" t="e">
        <f ca="1">IF(BZ331&lt;=Hypothèses!$V$7,Hypothèses!$X$7,IF(BZ331&lt;=Hypothèses!$V$8,Hypothèses!$X$8,IF(BZ331&lt;=Hypothèses!$V$9,Hypothèses!$X$9,IF(BZ331&lt;=Hypothèses!$V$10,Hypothèses!$X$10,IF(BZ331&lt;=Hypothèses!$V$11,Hypothèses!$X$11,IF(BZ331&lt;=Hypothèses!$V$12,Hypothèses!$X$12,IF(BZ331&lt;=Hypothèses!$V$13,Hypothèses!$X$13,IF(BZ331&lt;=Hypothèses!$V$14,Hypothèses!$X$14,IF(BZ331&lt;=Hypothèses!$V$15,Hypothèses!$X$15,IF(BZ331&lt;=Hypothèses!$V$16,Hypothèses!$X$16,IF(BZ331&lt;=Hypothèses!$U$17,Hypothèses!$W$17,IF(BZ331&lt;=Hypothèses!$U$18,Hypothèses!$W$18,""))))))))))))</f>
        <v>#DIV/0!</v>
      </c>
      <c r="CW331" s="95" t="e">
        <f t="shared" ca="1" si="485"/>
        <v>#DIV/0!</v>
      </c>
      <c r="CX331" s="101" t="e">
        <f t="shared" si="527"/>
        <v>#N/A</v>
      </c>
      <c r="CY331" s="91" t="e">
        <f t="shared" si="454"/>
        <v>#N/A</v>
      </c>
      <c r="CZ331" s="30" t="e">
        <f t="shared" si="508"/>
        <v>#N/A</v>
      </c>
      <c r="DA331" s="30" t="e">
        <f t="shared" si="509"/>
        <v>#N/A</v>
      </c>
      <c r="DB331" s="31" t="e">
        <f>IF(OR(Hypothèses!$B$4=17,Hypothèses!$B$4=18,Hypothèses!$B$4=19,Hypothèses!$B$4=20),
IF($D331="Pressio.",
IF(OR($E331=3,$E331=1,$E331=4),DA331,CZ331),
IF($D331="Pénétro.",
IF(OR($E331=3,$E331=1,$E331=4),DA331,CZ331))),IF($D331="Pressio.",
IF($E331=3,DA331,CZ331),
IF($D331="Pénétro.",
IF($E331=4,DA331,CZ331))))</f>
        <v>#N/A</v>
      </c>
      <c r="DC331" s="31" t="e">
        <f>(IF(OR(Hypothèses!$B$4=17,Hypothèses!$B$4=18,Hypothèses!$B$4=19,Hypothèses!$B$4=20),
IF($D331="Pressio.",
IF(OR($E331=3,$E331=1,$E331=4),(PI()*DC$12^2)/4*(CY331*$W331*1000)/($H331*$B$5),(PI()*DC$12^2)/4*(CY331*$W331*1000)/($G331*$B$5)),
IF($D331="Pénétro.",
IF(OR($E331=4,$E331=1,$E331=5),(PI()*DC$12^2)/4*(CY331*$W331*1000)/($H331*$B$5),(PI()*DC$12^2)/4*(CY331*$W331*1000)/($G331*$B$5)))),
IF($D331="Pressio.",
IF($E331=3,(PI()*DC$12^2)/4*(CY331*$W331*1000)/($H331*$B$5),(PI()*DC$12^2)/4*(CY331*$W331*1000)/($G331*$B$5)),
IF($D331="Pénétro.",
IF($E331=4,(PI()*DC$12^2)/4*(CY331*$W331*1000)/($H331*$B$5),(PI()*DC$12^2)/4*(CY331*$W331*1000)/($G331*$B$5))))))/10</f>
        <v>#N/A</v>
      </c>
      <c r="DD331" s="102" t="e">
        <f>(VLOOKUP($B$3,'Coeff EC7'!$T$39:$X$59,2,0)*DB331+VLOOKUP($B$3,'Coeff EC7'!$T$65:$X$85,2,0)*Model0.1C!DC331)/1.1</f>
        <v>#N/A</v>
      </c>
      <c r="DE331" s="102" t="e">
        <f>(VLOOKUP($B$3,'Coeff EC7'!$T$39:$X$59,3,0)*DB331+VLOOKUP($B$3,'Coeff EC7'!$T$65:$X$85,3,0)*Model0.1C!DC331)/0.9</f>
        <v>#N/A</v>
      </c>
      <c r="DF331" s="102" t="e">
        <f t="shared" si="486"/>
        <v>#N/A</v>
      </c>
      <c r="DG331" s="102" t="e">
        <f t="shared" si="487"/>
        <v>#N/A</v>
      </c>
      <c r="DH331" s="414" t="e">
        <f>IF(DH330=0,0,IF(AND(DD331&gt;charge_ELS_quasi,DE331&gt;Charge_ELS_freq,DF331&gt;charge_ELU,DG331&gt;charge_ELA,$B331&gt;NDC!$H$22-0.1+MIN(3*$DH$12,1.5)),0,1))</f>
        <v>#N/A</v>
      </c>
      <c r="DI331" s="86" t="b">
        <f t="shared" si="455"/>
        <v>0</v>
      </c>
      <c r="DJ331" s="86">
        <f t="shared" si="456"/>
        <v>0.5</v>
      </c>
      <c r="DK331" s="86">
        <f t="shared" si="457"/>
        <v>0.5</v>
      </c>
      <c r="DL331" s="30" t="e">
        <f t="shared" ca="1" si="488"/>
        <v>#DIV/0!</v>
      </c>
      <c r="DM331" s="85" t="e">
        <f ca="1">IF(CS331&lt;=Hypothèses!$V$7,Hypothèses!$W$7,IF(CS331&lt;=Hypothèses!$V$8,Hypothèses!$W$8,IF(CS331&lt;=Hypothèses!$V$9,Hypothèses!$W$9,IF(CS331&lt;=Hypothèses!$V$10,Hypothèses!$W$10,IF(CS331&lt;=Hypothèses!$V$11,Hypothèses!$W$11,IF(CS331&lt;=Hypothèses!$V$12,Hypothèses!$W$12,IF(CS331&lt;=Hypothèses!$V$13,Hypothèses!$W$13,IF(CS331&lt;=Hypothèses!$V$14,Hypothèses!$W$14,IF(CS331&lt;=Hypothèses!$V$15,Hypothèses!$W$15,IF(CS331&lt;=Hypothèses!$V$16,Hypothèses!$W$16,IF(CS331&lt;=Hypothèses!$V$17,Hypothèses!$W$17,IF(CS331&lt;=Hypothèses!$V$18,Hypothèses!$W$18,""))))))))))))</f>
        <v>#DIV/0!</v>
      </c>
      <c r="DN331" s="87" t="e">
        <f t="shared" ca="1" si="521"/>
        <v>#DIV/0!</v>
      </c>
      <c r="DO331" s="88" t="e">
        <f ca="1">IF(CS331&lt;=Hypothèses!$V$7,Hypothèses!$X$7,IF(CS331&lt;=Hypothèses!$V$8,Hypothèses!$X$8,IF(CS331&lt;=Hypothèses!$V$9,Hypothèses!$X$9,IF(CS331&lt;=Hypothèses!$V$10,Hypothèses!$X$10,IF(CS331&lt;=Hypothèses!$V$11,Hypothèses!$X$11,IF(CS331&lt;=Hypothèses!$V$12,Hypothèses!$X$12,IF(CS331&lt;=Hypothèses!$V$13,Hypothèses!$X$13,IF(CS331&lt;=Hypothèses!$V$14,Hypothèses!$X$14,IF(CS331&lt;=Hypothèses!$V$15,Hypothèses!$X$15,IF(CS331&lt;=Hypothèses!$V$16,Hypothèses!$X$16,IF(CS331&lt;=Hypothèses!$U$17,Hypothèses!$W$17,IF(CS331&lt;=Hypothèses!$U$18,Hypothèses!$W$18,""))))))))))))</f>
        <v>#DIV/0!</v>
      </c>
      <c r="DP331" s="95" t="e">
        <f t="shared" ca="1" si="489"/>
        <v>#DIV/0!</v>
      </c>
      <c r="DQ331" s="101" t="e">
        <f t="shared" si="528"/>
        <v>#N/A</v>
      </c>
      <c r="DR331" s="91" t="e">
        <f t="shared" si="458"/>
        <v>#N/A</v>
      </c>
      <c r="DS331" s="30" t="e">
        <f t="shared" si="510"/>
        <v>#N/A</v>
      </c>
      <c r="DT331" s="30" t="e">
        <f t="shared" si="511"/>
        <v>#N/A</v>
      </c>
      <c r="DU331" s="31" t="e">
        <f>IF(OR(Hypothèses!$B$4=17,Hypothèses!$B$4=18,Hypothèses!$B$4=19,Hypothèses!$B$4=20),
IF($D331="Pressio.",
IF(OR($E331=3,$E331=1,$E331=4),DT331,DS331),
IF($D331="Pénétro.",
IF(OR($E331=3,$E331=1,$E331=4),DT331,DS331))),IF($D331="Pressio.",
IF($E331=3,DT331,DS331),
IF($D331="Pénétro.",
IF($E331=4,DT331,DS331))))</f>
        <v>#N/A</v>
      </c>
      <c r="DV331" s="31" t="e">
        <f>(IF(OR(Hypothèses!$B$4=17,Hypothèses!$B$4=18,Hypothèses!$B$4=19,Hypothèses!$B$4=20),
IF($D331="Pressio.",
IF(OR($E331=3,$E331=1,$E331=4),(PI()*DV$12^2)/4*(DR331*$W331*1000)/($H331*$B$5),(PI()*DV$12^2)/4*(DR331*$W331*1000)/($G331*$B$5)),
IF($D331="Pénétro.",
IF(OR($E331=4,$E331=1,$E331=5),(PI()*DV$12^2)/4*(DR331*$W331*1000)/($H331*$B$5),(PI()*DV$12^2)/4*(DR331*$W331*1000)/($G331*$B$5)))),
IF($D331="Pressio.",
IF($E331=3,(PI()*DV$12^2)/4*(DR331*$W331*1000)/($H331*$B$5),(PI()*DV$12^2)/4*(DR331*$W331*1000)/($G331*$B$5)),
IF($D331="Pénétro.",
IF($E331=4,(PI()*DV$12^2)/4*(DR331*$W331*1000)/($H331*$B$5),(PI()*DV$12^2)/4*(DR331*$W331*1000)/($G331*$B$5))))))/10</f>
        <v>#N/A</v>
      </c>
      <c r="DW331" s="102" t="e">
        <f>(VLOOKUP($B$3,'Coeff EC7'!$T$39:$X$59,2,0)*DU331+VLOOKUP($B$3,'Coeff EC7'!$T$65:$X$85,2,0)*Model0.1C!DV331)/1.1</f>
        <v>#N/A</v>
      </c>
      <c r="DX331" s="102" t="e">
        <f>(VLOOKUP($B$3,'Coeff EC7'!$T$39:$X$59,3,0)*DU331+VLOOKUP($B$3,'Coeff EC7'!$T$65:$X$85,3,0)*Model0.1C!DV331)/0.9</f>
        <v>#N/A</v>
      </c>
      <c r="DY331" s="102" t="e">
        <f t="shared" si="490"/>
        <v>#N/A</v>
      </c>
      <c r="DZ331" s="102" t="e">
        <f t="shared" si="491"/>
        <v>#N/A</v>
      </c>
      <c r="EA331" s="414" t="e">
        <f>IF(EA330=0,0,IF(AND(DW331&gt;charge_ELS_quasi,DX331&gt;Charge_ELS_freq,DY331&gt;charge_ELU,DZ331&gt;charge_ELA,$B331&gt;NDC!$H$22-0.1+MIN(3*$EA$12,1.5)),0,1))</f>
        <v>#N/A</v>
      </c>
      <c r="EB331" s="86" t="b">
        <f t="shared" si="459"/>
        <v>0</v>
      </c>
      <c r="EC331" s="418">
        <f t="shared" si="460"/>
        <v>0.51</v>
      </c>
      <c r="ED331" s="86">
        <f t="shared" si="461"/>
        <v>0.51</v>
      </c>
      <c r="EE331" s="30" t="e">
        <f t="shared" ca="1" si="492"/>
        <v>#DIV/0!</v>
      </c>
      <c r="EF331" s="85" t="e">
        <f ca="1">IF(DL331&lt;=Hypothèses!$V$7,Hypothèses!$W$7,IF(DL331&lt;=Hypothèses!$V$8,Hypothèses!$W$8,IF(DL331&lt;=Hypothèses!$V$9,Hypothèses!$W$9,IF(DL331&lt;=Hypothèses!$V$10,Hypothèses!$W$10,IF(DL331&lt;=Hypothèses!$V$11,Hypothèses!$W$11,IF(DL331&lt;=Hypothèses!$V$12,Hypothèses!$W$12,IF(DL331&lt;=Hypothèses!$V$13,Hypothèses!$W$13,IF(DL331&lt;=Hypothèses!$V$14,Hypothèses!$W$14,IF(DL331&lt;=Hypothèses!$V$15,Hypothèses!$W$15,IF(DL331&lt;=Hypothèses!$V$16,Hypothèses!$W$16,IF(DL331&lt;=Hypothèses!$V$17,Hypothèses!$W$17,IF(DL331&lt;=Hypothèses!$V$18,Hypothèses!$W$18,""))))))))))))</f>
        <v>#DIV/0!</v>
      </c>
      <c r="EG331" s="87" t="e">
        <f t="shared" ca="1" si="522"/>
        <v>#DIV/0!</v>
      </c>
      <c r="EH331" s="88" t="e">
        <f ca="1">IF(DL331&lt;=Hypothèses!$V$7,Hypothèses!$X$7,IF(DL331&lt;=Hypothèses!$V$8,Hypothèses!$X$8,IF(DL331&lt;=Hypothèses!$V$9,Hypothèses!$X$9,IF(DL331&lt;=Hypothèses!$V$10,Hypothèses!$X$10,IF(DL331&lt;=Hypothèses!$V$11,Hypothèses!$X$11,IF(DL331&lt;=Hypothèses!$V$12,Hypothèses!$X$12,IF(DL331&lt;=Hypothèses!$V$13,Hypothèses!$X$13,IF(DL331&lt;=Hypothèses!$V$14,Hypothèses!$X$14,IF(DL331&lt;=Hypothèses!$V$15,Hypothèses!$X$15,IF(DL331&lt;=Hypothèses!$V$16,Hypothèses!$X$16,IF(DL331&lt;=Hypothèses!$U$17,Hypothèses!$W$17,IF(DL331&lt;=Hypothèses!$U$18,Hypothèses!$W$18,""))))))))))))</f>
        <v>#DIV/0!</v>
      </c>
      <c r="EI331" s="95" t="e">
        <f t="shared" ca="1" si="493"/>
        <v>#DIV/0!</v>
      </c>
      <c r="EJ331" s="101" t="e">
        <f t="shared" si="529"/>
        <v>#N/A</v>
      </c>
      <c r="EK331" s="91" t="e">
        <f t="shared" si="462"/>
        <v>#N/A</v>
      </c>
      <c r="EL331" s="30" t="e">
        <f t="shared" si="512"/>
        <v>#N/A</v>
      </c>
      <c r="EM331" s="30" t="e">
        <f t="shared" si="513"/>
        <v>#N/A</v>
      </c>
      <c r="EN331" s="31" t="e">
        <f>IF(OR(Hypothèses!$B$4=17,Hypothèses!$B$4=18,Hypothèses!$B$4=19,Hypothèses!$B$4=20),
IF($D331="Pressio.",
IF(OR($E331=3,$E331=1,$E331=4),EM331,EL331),
IF($D331="Pénétro.",
IF(OR($E331=3,$E331=1,$E331=4),EM331,EL331))),IF($D331="Pressio.",
IF($E331=3,EM331,EL331),
IF($D331="Pénétro.",
IF($E331=4,EM331,EL331))))</f>
        <v>#N/A</v>
      </c>
      <c r="EO331" s="31" t="e">
        <f>(IF(OR(Hypothèses!$B$4=17,Hypothèses!$B$4=18,Hypothèses!$B$4=19,Hypothèses!$B$4=20),
IF($D331="Pressio.",
IF(OR($E331=3,$E331=1,$E331=4),(PI()*EO$12^2)/4*(EK331*$W331*1000)/($H331*$B$5),(PI()*EO$12^2)/4*(EK331*$W331*1000)/($G331*$B$5)),
IF($D331="Pénétro.",
IF(OR($E331=4,$E331=1,$E331=5),(PI()*EO$12^2)/4*(EK331*$W331*1000)/($H331*$B$5),(PI()*EO$12^2)/4*(EK331*$W331*1000)/($G331*$B$5)))),
IF($D331="Pressio.",
IF($E331=3,(PI()*EO$12^2)/4*(EK331*$W331*1000)/($H331*$B$5),(PI()*EO$12^2)/4*(EK331*$W331*1000)/($G331*$B$5)),
IF($D331="Pénétro.",
IF($E331=4,(PI()*EO$12^2)/4*(EK331*$W331*1000)/($H331*$B$5),(PI()*EO$12^2)/4*(EK331*$W331*1000)/($G331*$B$5))))))/10</f>
        <v>#N/A</v>
      </c>
      <c r="EP331" s="102" t="e">
        <f>(VLOOKUP($B$3,'Coeff EC7'!$T$39:$X$59,2,0)*EN331+VLOOKUP($B$3,'Coeff EC7'!$T$65:$X$85,2,0)*Model0.1C!EO331)/1.1</f>
        <v>#N/A</v>
      </c>
      <c r="EQ331" s="102" t="e">
        <f>(VLOOKUP($B$3,'Coeff EC7'!$T$39:$X$59,3,0)*EN331+VLOOKUP($B$3,'Coeff EC7'!$T$65:$X$85,3,0)*Model0.1C!EO331)/0.9</f>
        <v>#N/A</v>
      </c>
      <c r="ER331" s="102" t="e">
        <f t="shared" si="494"/>
        <v>#N/A</v>
      </c>
      <c r="ES331" s="102" t="e">
        <f t="shared" si="495"/>
        <v>#N/A</v>
      </c>
      <c r="ET331" s="414" t="e">
        <f>IF(ET330=0,0,IF(AND(EP331&gt;charge_ELS_quasi,EQ331&gt;Charge_ELS_freq,ER331&gt;charge_ELU,ES331&gt;charge_ELA,$B331&gt;NDC!$H$22-0.1+MIN(3*$ET$12,1.5)),0,1))</f>
        <v>#N/A</v>
      </c>
      <c r="EU331" s="86" t="b">
        <f t="shared" si="463"/>
        <v>0</v>
      </c>
      <c r="EV331" s="86">
        <f t="shared" si="464"/>
        <v>0.61</v>
      </c>
      <c r="EW331" s="86">
        <f t="shared" si="465"/>
        <v>0.61</v>
      </c>
      <c r="EX331" s="30" t="e">
        <f t="shared" ca="1" si="496"/>
        <v>#DIV/0!</v>
      </c>
      <c r="EY331" s="85" t="e">
        <f ca="1">IF(EE331&lt;=Hypothèses!$V$7,Hypothèses!$W$7,IF(EE331&lt;=Hypothèses!$V$8,Hypothèses!$W$8,IF(EE331&lt;=Hypothèses!$V$9,Hypothèses!$W$9,IF(EE331&lt;=Hypothèses!$V$10,Hypothèses!$W$10,IF(EE331&lt;=Hypothèses!$V$11,Hypothèses!$W$11,IF(EE331&lt;=Hypothèses!$V$12,Hypothèses!$W$12,IF(EE331&lt;=Hypothèses!$V$13,Hypothèses!$W$13,IF(EE331&lt;=Hypothèses!$V$14,Hypothèses!$W$14,IF(EE331&lt;=Hypothèses!$V$15,Hypothèses!$W$15,IF(EE331&lt;=Hypothèses!$V$16,Hypothèses!$W$16,IF(EE331&lt;=Hypothèses!$V$17,Hypothèses!$W$17,IF(EE331&lt;=Hypothèses!$V$18,Hypothèses!$W$18,""))))))))))))</f>
        <v>#DIV/0!</v>
      </c>
      <c r="EZ331" s="87" t="e">
        <f t="shared" ca="1" si="523"/>
        <v>#DIV/0!</v>
      </c>
      <c r="FA331" s="88" t="e">
        <f ca="1">IF(EE331&lt;=Hypothèses!$V$7,Hypothèses!$X$7,IF(EE331&lt;=Hypothèses!$V$8,Hypothèses!$X$8,IF(EE331&lt;=Hypothèses!$V$9,Hypothèses!$X$9,IF(EE331&lt;=Hypothèses!$V$10,Hypothèses!$X$10,IF(EE331&lt;=Hypothèses!$V$11,Hypothèses!$X$11,IF(EE331&lt;=Hypothèses!$V$12,Hypothèses!$X$12,IF(EE331&lt;=Hypothèses!$V$13,Hypothèses!$X$13,IF(EE331&lt;=Hypothèses!$V$14,Hypothèses!$X$14,IF(EE331&lt;=Hypothèses!$V$15,Hypothèses!$X$15,IF(EE331&lt;=Hypothèses!$V$16,Hypothèses!$X$16,IF(EE331&lt;=Hypothèses!$U$17,Hypothèses!$W$17,IF(EE331&lt;=Hypothèses!$U$18,Hypothèses!$W$18,""))))))))))))</f>
        <v>#DIV/0!</v>
      </c>
      <c r="FB331" s="95" t="e">
        <f t="shared" ca="1" si="497"/>
        <v>#DIV/0!</v>
      </c>
      <c r="FC331" s="101" t="e">
        <f t="shared" si="530"/>
        <v>#N/A</v>
      </c>
      <c r="FD331" s="91" t="e">
        <f t="shared" si="466"/>
        <v>#N/A</v>
      </c>
      <c r="FE331" s="30" t="e">
        <f t="shared" si="514"/>
        <v>#N/A</v>
      </c>
      <c r="FF331" s="30" t="e">
        <f t="shared" si="515"/>
        <v>#N/A</v>
      </c>
      <c r="FG331" s="31" t="e">
        <f>IF(OR(Hypothèses!$B$4=17,Hypothèses!$B$4=18,Hypothèses!$B$4=19,Hypothèses!$B$4=20),
IF($D331="Pressio.",
IF(OR($E331=3,$E331=1,$E331=4),FF331,FE331),
IF($D331="Pénétro.",
IF(OR($E331=3,$E331=1,$E331=4),FF331,FE331))),IF($D331="Pressio.",
IF($E331=3,FF331,FE331),
IF($D331="Pénétro.",
IF($E331=4,FF331,FE331))))</f>
        <v>#N/A</v>
      </c>
      <c r="FH331" s="31" t="e">
        <f>(IF(OR(Hypothèses!$B$4=17,Hypothèses!$B$4=18,Hypothèses!$B$4=19,Hypothèses!$B$4=20),
IF($D331="Pressio.",
IF(OR($E331=3,$E331=1,$E331=4),(PI()*FH$12^2)/4*(FD331*$W331*1000)/($H331*$B$5),(PI()*FH$12^2)/4*(FD331*$W331*1000)/($G331*$B$5)),
IF($D331="Pénétro.",
IF(OR($E331=4,$E331=1,$E331=5),(PI()*FH$12^2)/4*(FD331*$W331*1000)/($H331*$B$5),(PI()*FH$12^2)/4*(FD331*$W331*1000)/($G331*$B$5)))),
IF($D331="Pressio.",
IF($E331=3,(PI()*FH$12^2)/4*(FD331*$W331*1000)/($H331*$B$5),(PI()*FH$12^2)/4*(FD331*$W331*1000)/($G331*$B$5)),
IF($D331="Pénétro.",
IF($E331=4,(PI()*FH$12^2)/4*(FD331*$W331*1000)/($H331*$B$5),(PI()*FH$12^2)/4*(FD331*$W331*1000)/($G331*$B$5))))))/10</f>
        <v>#N/A</v>
      </c>
      <c r="FI331" s="102" t="e">
        <f>(VLOOKUP($B$3,'Coeff EC7'!$T$39:$X$59,2,0)*FG331+VLOOKUP($B$3,'Coeff EC7'!$T$65:$X$85,2,0)*Model0.1C!FH331)/1.1</f>
        <v>#N/A</v>
      </c>
      <c r="FJ331" s="102" t="e">
        <f>(VLOOKUP($B$3,'Coeff EC7'!$T$39:$X$59,3,0)*FG331+VLOOKUP($B$3,'Coeff EC7'!$T$65:$X$85,3,0)*Model0.1C!FH331)/0.9</f>
        <v>#N/A</v>
      </c>
      <c r="FK331" s="102" t="e">
        <f t="shared" si="498"/>
        <v>#N/A</v>
      </c>
      <c r="FL331" s="102" t="e">
        <f t="shared" si="499"/>
        <v>#N/A</v>
      </c>
      <c r="FM331" s="414" t="e">
        <f>IF(FM330=0,0,IF(AND(FI331&gt;charge_ELS_quasi,FJ331&gt;Charge_ELS_freq,FK331&gt;charge_ELU,FL331&gt;charge_ELA,$B331&gt;NDC!$H$22-0.1+MIN(3*$FM$12,1.5)),0,1))</f>
        <v>#N/A</v>
      </c>
    </row>
    <row r="332" spans="1:169">
      <c r="A332" s="96">
        <f t="shared" si="467"/>
        <v>68.100000000001813</v>
      </c>
      <c r="B332" s="97">
        <v>31.9</v>
      </c>
      <c r="C332" s="81">
        <f>IF(B332&lt;=Hypothèses!$C$7,Hypothèses!$A$7,IF(B332&lt;=Hypothèses!$C$8,Hypothèses!$A$8,IF(B332&lt;=Hypothèses!$C$9,Hypothèses!$A$9,IF(B332&lt;=Hypothèses!$C$10,Hypothèses!$A$10,IF(B332&lt;=Hypothèses!$C$11,Hypothèses!$A$11,IF(B332&lt;=Hypothèses!$C$12,Hypothèses!$A$12,IF(B332&lt;=Hypothèses!$C$13,Hypothèses!$A$13,IF(B332&lt;=Hypothèses!$C$14,Hypothèses!$A$14,IF(B332&lt;=Hypothèses!$C$15,Hypothèses!$A$15,IF(B332&lt;=Hypothèses!$C$16,Hypothèses!$A$16,IF(B332&lt;=Hypothèses!$C$17,Hypothèses!$A$17,IF(B332&lt;=Hypothèses!$C$18,Hypothèses!$A$18,C331))))))))))))</f>
        <v>11</v>
      </c>
      <c r="D332" s="82" t="str">
        <f>IF(B332&lt;=Hypothèses!$C$7,Hypothèses!$R$7,IF(B332&lt;=Hypothèses!$C$8,Hypothèses!$R$8,IF(B332&lt;=Hypothèses!$C$9,Hypothèses!$R$9,IF(B332&lt;=Hypothèses!$C$10,Hypothèses!$R$10,IF(B332&lt;=Hypothèses!$C$11,Hypothèses!$R$11,IF(B332&lt;=Hypothèses!$C$12,Hypothèses!$R$12,IF(B332&lt;=Hypothèses!$C$13,Hypothèses!$R$13,IF(B332&lt;=Hypothèses!$C$14,Hypothèses!$R$14,IF(B332&lt;=Hypothèses!$C$15,Hypothèses!$R$15,IF(B332&lt;=Hypothèses!$C$16,Hypothèses!$R$16,IF(B332&lt;=Hypothèses!$C$17,Hypothèses!$R$17,IF(B332&lt;=Hypothèses!$C$18,Hypothèses!$R$18,D331))))))))))))</f>
        <v>Pressio.</v>
      </c>
      <c r="E332" s="82" t="e">
        <f>IF(B332&lt;=Hypothèses!$C$7,Hypothèses!$G$7,IF(B332&lt;=Hypothèses!$C$8,Hypothèses!$G$8,IF(B332&lt;=Hypothèses!$C$9,Hypothèses!$G$9,IF(B332&lt;=Hypothèses!$C$10,Hypothèses!$G$10,IF(B332&lt;=Hypothèses!$C$11,Hypothèses!$G$11,IF(B332&lt;=Hypothèses!$C$12,Hypothèses!$G$12,IF(B332&lt;=Hypothèses!$C$13,Hypothèses!$G$13,IF(B332&lt;=Hypothèses!$C$14,Hypothèses!$G$14,IF(B332&lt;=Hypothèses!$C$15,Hypothèses!$G$15,IF(B332&lt;=Hypothèses!$C$16,Hypothèses!$G$16,IF(B332&lt;=Hypothèses!$C$17,Hypothèses!$G$17,IF(B332&lt;=Hypothèses!$C$18,Hypothèses!$G$18,E331))))))))))))</f>
        <v>#N/A</v>
      </c>
      <c r="F332" s="82" t="str">
        <f>IF(B332&lt;=Hypothèses!$C$7,Hypothèses!$F$7,IF(B332&lt;=Hypothèses!$C$8,Hypothèses!$F$8,IF(B332&lt;=Hypothèses!$C$9,Hypothèses!$F$9,IF(B332&lt;=Hypothèses!$C$10,Hypothèses!$F$10,IF(B332&lt;=Hypothèses!$C$11,Hypothèses!$F$11,IF(B332&lt;=Hypothèses!$C$12,Hypothèses!$F$12,IF(B332&lt;=Hypothèses!$C$13,Hypothèses!$F$13,IF(B332&lt;=Hypothèses!$C$14,Hypothèses!$F$14,IF(B332&lt;=Hypothèses!$C$15,Hypothèses!$F$15,IF(B332&lt;=Hypothèses!$C$16,Hypothèses!$F$16,IF(B332&lt;=Hypothèses!$C$17,Hypothèses!$F$17,IF(B332&lt;=Hypothèses!$C$18,Hypothèses!$F$18,F331))))))))))))</f>
        <v/>
      </c>
      <c r="G332" s="91">
        <f t="array" ref="G332">INDEX('Coeff EC7'!$U$7:$X$27,
MATCH(Model0.1C!$B$3,'Coeff EC7'!$T$7:$T$27,0),
MATCH(Model0.1C!$D332&amp;Model0.1C!$B$4,
'Coeff EC7'!$U$6:$X$6&amp;
'Coeff EC7'!$U$5:$X$5,0))</f>
        <v>1.1499999999999999</v>
      </c>
      <c r="H332" s="91">
        <f t="array" ref="H332">INDEX('Coeff EC7'!$Y$7:$AB$27,
MATCH(Model0.1C!$B$3,'Coeff EC7'!$T$7:$T$27,0),
MATCH(Model0.1C!$D332&amp;Model0.1C!$B$4,
'Coeff EC7'!$Y$6:$AB$6&amp;
'Coeff EC7'!$Y$5:$AB$5,0))</f>
        <v>1.4</v>
      </c>
      <c r="I332" s="83" t="e">
        <f>IF(B332&lt;=Hypothèses!$C$7,Hypothèses!$P$7,IF(B332&lt;=Hypothèses!$C$8,Hypothèses!$P$8,IF(B332&lt;=Hypothèses!$C$9,Hypothèses!$P$9,IF(B332&lt;=Hypothèses!$C$10,Hypothèses!$P$10,IF(B332&lt;=Hypothèses!$C$11,Hypothèses!$P$11,IF(B332&lt;=Hypothèses!$C$12,Hypothèses!$P$12,IF(B332&lt;=Hypothèses!$C$13,Hypothèses!$P$13,IF(B332&lt;=Hypothèses!$C$14,Hypothèses!$P$14,IF(B332&lt;=Hypothèses!$C$15,Hypothèses!$P$15,IF(B332&lt;=Hypothèses!$C$16,Hypothèses!$P$16,IF(B332&lt;=Hypothèses!$C$17,Hypothèses!$P$17,IF(B332&lt;=Hypothèses!$C$18,Hypothèses!$P$18,I331))))))))))))</f>
        <v>#N/A</v>
      </c>
      <c r="J332" s="91" t="e">
        <f t="array" ref="J332">INDEX('Coeff EC7'!$D$33:$Q$33,1,MATCH(D332&amp;E332,'Coeff EC7'!$D$31:$Q$31&amp;'Coeff EC7'!$D$32:$Q$32,0))</f>
        <v>#N/A</v>
      </c>
      <c r="K332" s="91" t="e">
        <f t="array" ref="K332">INDEX('Coeff EC7'!$D$34:$Q$34,1,MATCH(D332&amp;E332,'Coeff EC7'!$D$31:$Q$31&amp;'Coeff EC7'!$D$32:$Q$32,0))</f>
        <v>#N/A</v>
      </c>
      <c r="L332" s="91" t="e">
        <f t="array" ref="L332">INDEX('Coeff EC7'!$D$35:$Q$35,1,MATCH(D332&amp;E332,'Coeff EC7'!$D$31:$Q$31&amp;'Coeff EC7'!$D$32:$Q$32,0))</f>
        <v>#N/A</v>
      </c>
      <c r="M332" s="98" t="e">
        <f t="shared" si="431"/>
        <v>#N/A</v>
      </c>
      <c r="N332" s="99" t="e">
        <f t="array" ref="N332">INDEX('Coeff EC7'!$D$7:$Q$27,MATCH($B$3,'Coeff EC7'!$C$7:$C$27,0),MATCH(D332&amp;E332,'Coeff EC7'!$D$5:$Q$5&amp;'Coeff EC7'!$D$6:$Q$6,0))</f>
        <v>#N/A</v>
      </c>
      <c r="O332" s="99" t="e">
        <f t="array" ref="O332">INDEX('Coeff EC7'!$D$41:$Q$61,MATCH($B$3,'Coeff EC7'!$C$41:$C$61,0),MATCH(D332&amp;E332,'Coeff EC7'!$D$39:$Q$39&amp;'Coeff EC7'!$D$40:$Q$40,0))</f>
        <v>#N/A</v>
      </c>
      <c r="P332" s="30" t="e">
        <f t="shared" si="468"/>
        <v>#N/A</v>
      </c>
      <c r="Q332" s="100" t="e">
        <f t="shared" si="433"/>
        <v>#N/A</v>
      </c>
      <c r="R332" s="86" t="b">
        <f t="shared" si="434"/>
        <v>0</v>
      </c>
      <c r="S332" s="86">
        <f t="shared" si="432"/>
        <v>0.5</v>
      </c>
      <c r="T332" s="86">
        <f t="shared" si="435"/>
        <v>0.5</v>
      </c>
      <c r="U332" s="30" t="e">
        <f t="shared" ca="1" si="469"/>
        <v>#DIV/0!</v>
      </c>
      <c r="V332" s="85" t="str">
        <f>IF(B332&lt;=Hypothèses!$V$7,Hypothèses!$W$7,IF(B332&lt;=Hypothèses!$V$8,Hypothèses!$W$8,IF(B332&lt;=Hypothèses!$V$9,Hypothèses!$W$9,IF(B332&lt;=Hypothèses!$V$10,Hypothèses!$W$10,IF(B332&lt;=Hypothèses!$V$11,Hypothèses!$W$11,IF(B332&lt;=Hypothèses!$V$12,Hypothèses!$W$12,IF(B332&lt;=Hypothèses!$V$13,Hypothèses!$W$13,IF(B332&lt;=Hypothèses!$V$14,Hypothèses!$W$14,IF(B332&lt;=Hypothèses!$V$15,Hypothèses!$W$15,IF(B332&lt;=Hypothèses!$V$16,Hypothèses!$W$16,IF(B332&lt;=Hypothèses!$V$17,Hypothèses!$W$17,IF(B332&lt;=Hypothèses!$V$18,Hypothèses!$W$18,""))))))))))))</f>
        <v/>
      </c>
      <c r="W332" s="87" t="e">
        <f t="shared" ca="1" si="516"/>
        <v>#DIV/0!</v>
      </c>
      <c r="X332" s="88" t="str">
        <f>IF(B332&lt;=Hypothèses!$V$7,Hypothèses!$X$7,IF(B332&lt;=Hypothèses!$V$8,Hypothèses!$X$8,IF(B332&lt;=Hypothèses!$V$9,Hypothèses!$X$9,IF(B332&lt;=Hypothèses!$V$10,Hypothèses!$X$10,IF(B332&lt;=Hypothèses!$V$11,Hypothèses!$X$11,IF(B332&lt;=Hypothèses!$V$12,Hypothèses!$X$12,IF(B332&lt;=Hypothèses!$V$13,Hypothèses!$X$13,IF(B332&lt;=Hypothèses!$V$14,Hypothèses!$X$14,IF(B332&lt;=Hypothèses!$V$15,Hypothèses!$X$15,IF(B332&lt;=Hypothèses!$V$16,Hypothèses!$X$16,IF(B332&lt;=Hypothèses!$U$17,Hypothèses!$W$17,IF(B332&lt;=Hypothèses!$U$18,Hypothèses!$W$18,""))))))))))))</f>
        <v/>
      </c>
      <c r="Y332" s="95" t="e">
        <f t="shared" ca="1" si="436"/>
        <v>#DIV/0!</v>
      </c>
      <c r="Z332" s="101" t="e">
        <f t="shared" si="437"/>
        <v>#N/A</v>
      </c>
      <c r="AA332" s="91" t="e">
        <f t="shared" si="438"/>
        <v>#N/A</v>
      </c>
      <c r="AB332" s="30" t="e">
        <f t="shared" si="500"/>
        <v>#N/A</v>
      </c>
      <c r="AC332" s="30" t="e">
        <f t="shared" si="501"/>
        <v>#N/A</v>
      </c>
      <c r="AD332" s="31" t="e">
        <f>IF(OR(Hypothèses!$B$4=17,Hypothèses!$B$4=18,Hypothèses!$B$4=19,Hypothèses!$B$4=20),
IF($D332="Pressio.",
IF(OR($E332=3,$E332=1,$E332=4),AC332,AB332),
IF($D332="Pénétro.",
IF(OR($E332=3,$E332=1,$E332=4),AC332,AB332))),IF($D332="Pressio.",
IF($E332=3,AC332,AB332),
IF($D332="Pénétro.",
IF($E332=4,AC332,AB332))))</f>
        <v>#N/A</v>
      </c>
      <c r="AE332" s="31" t="e">
        <f>(IF(OR(Hypothèses!$B$4=17,Hypothèses!$B$4=18,Hypothèses!$B$4=19,Hypothèses!$B$4=20),
IF($D332="Pressio.",
IF(OR($E332=3,$E332=1,$E332=4),(PI()*AE$12^2)/4*(AA332*$W332*1000)/($H332*$B$5),(PI()*AE$12^2)/4*(AA332*$W332*1000)/($G332*$B$5)),
IF($D332="Pénétro.",
IF(OR($E332=4,$E332=1,$E332=5),(PI()*AE$12^2)/4*(AA332*$W332*1000)/($H332*$B$5),(PI()*AE$12^2)/4*(AA332*$W332*1000)/($G332*$B$5)))),
IF($D332="Pressio.",
IF($E332=3,(PI()*AE$12^2)/4*(AA332*$W332*1000)/($H332*$B$5),(PI()*AE$12^2)/4*(AA332*$W332*1000)/($G332*$B$5)),
IF($D332="Pénétro.",
IF($E332=4,(PI()*AE$12^2)/4*(AA332*$W332*1000)/($H332*$B$5),(PI()*AE$12^2)/4*(AA332*$W332*1000)/($G332*$B$5))))))/10</f>
        <v>#N/A</v>
      </c>
      <c r="AF332" s="102" t="e">
        <f>(VLOOKUP($B$3,'Coeff EC7'!$T$39:$X$59,2,0)*AD332+VLOOKUP($B$3,'Coeff EC7'!$T$65:$X$85,2,0)*Model0.1C!AE332)/1.1</f>
        <v>#N/A</v>
      </c>
      <c r="AG332" s="102" t="e">
        <f>(VLOOKUP($B$3,'Coeff EC7'!$T$39:$X$59,3,0)*AD332+VLOOKUP($B$3,'Coeff EC7'!$T$65:$X$85,3,0)*Model0.1C!AE332)/0.9</f>
        <v>#N/A</v>
      </c>
      <c r="AH332" s="102" t="e">
        <f t="shared" si="439"/>
        <v>#N/A</v>
      </c>
      <c r="AI332" s="102" t="e">
        <f t="shared" si="440"/>
        <v>#N/A</v>
      </c>
      <c r="AJ332" s="414" t="e">
        <f>IF(AJ331=0,0,IF(AND(AF332&gt;charge_ELS_quasi,AG332&gt;Charge_ELS_freq,AH332&gt;charge_ELU,AI332&gt;charge_ELA,$B332&gt;NDC!$H$22-0.1+MIN(3*$AJ$12,1.5)),0,1))</f>
        <v>#N/A</v>
      </c>
      <c r="AK332" s="86" t="b">
        <f t="shared" si="441"/>
        <v>0</v>
      </c>
      <c r="AL332" s="86">
        <f t="shared" si="470"/>
        <v>0.5</v>
      </c>
      <c r="AM332" s="86">
        <f t="shared" si="442"/>
        <v>0.5</v>
      </c>
      <c r="AN332" s="30" t="e">
        <f t="shared" ca="1" si="471"/>
        <v>#DIV/0!</v>
      </c>
      <c r="AO332" s="85" t="e">
        <f ca="1">IF(U332&lt;=Hypothèses!$V$7,Hypothèses!$W$7,IF(U332&lt;=Hypothèses!$V$8,Hypothèses!$W$8,IF(U332&lt;=Hypothèses!$V$9,Hypothèses!$W$9,IF(U332&lt;=Hypothèses!$V$10,Hypothèses!$W$10,IF(U332&lt;=Hypothèses!$V$11,Hypothèses!$W$11,IF(U332&lt;=Hypothèses!$V$12,Hypothèses!$W$12,IF(U332&lt;=Hypothèses!$V$13,Hypothèses!$W$13,IF(U332&lt;=Hypothèses!$V$14,Hypothèses!$W$14,IF(U332&lt;=Hypothèses!$V$15,Hypothèses!$W$15,IF(U332&lt;=Hypothèses!$V$16,Hypothèses!$W$16,IF(U332&lt;=Hypothèses!$V$17,Hypothèses!$W$17,IF(U332&lt;=Hypothèses!$V$18,Hypothèses!$W$18,""))))))))))))</f>
        <v>#DIV/0!</v>
      </c>
      <c r="AP332" s="87" t="e">
        <f t="shared" ca="1" si="517"/>
        <v>#DIV/0!</v>
      </c>
      <c r="AQ332" s="88" t="e">
        <f ca="1">IF(U332&lt;=Hypothèses!$V$7,Hypothèses!$X$7,IF(U332&lt;=Hypothèses!$V$8,Hypothèses!$X$8,IF(U332&lt;=Hypothèses!$V$9,Hypothèses!$X$9,IF(U332&lt;=Hypothèses!$V$10,Hypothèses!$X$10,IF(U332&lt;=Hypothèses!$V$11,Hypothèses!$X$11,IF(U332&lt;=Hypothèses!$V$12,Hypothèses!$X$12,IF(U332&lt;=Hypothèses!$V$13,Hypothèses!$X$13,IF(U332&lt;=Hypothèses!$V$14,Hypothèses!$X$14,IF(U332&lt;=Hypothèses!$V$15,Hypothèses!$X$15,IF(U332&lt;=Hypothèses!$V$16,Hypothèses!$X$16,IF(U332&lt;=Hypothèses!$U$17,Hypothèses!$W$17,IF(U332&lt;=Hypothèses!$U$18,Hypothèses!$W$18,""))))))))))))</f>
        <v>#DIV/0!</v>
      </c>
      <c r="AR332" s="95" t="e">
        <f t="shared" ca="1" si="472"/>
        <v>#DIV/0!</v>
      </c>
      <c r="AS332" s="101" t="e">
        <f t="shared" si="524"/>
        <v>#N/A</v>
      </c>
      <c r="AT332" s="91" t="e">
        <f t="shared" si="443"/>
        <v>#N/A</v>
      </c>
      <c r="AU332" s="30" t="e">
        <f t="shared" si="502"/>
        <v>#N/A</v>
      </c>
      <c r="AV332" s="30" t="e">
        <f t="shared" si="503"/>
        <v>#N/A</v>
      </c>
      <c r="AW332" s="31" t="e">
        <f>IF(OR(Hypothèses!$B$4=17,Hypothèses!$B$4=18,Hypothèses!$B$4=19,Hypothèses!$B$4=20),
IF($D332="Pressio.",
IF(OR($E332=3,$E332=1,$E332=4),AV332,AU332),
IF($D332="Pénétro.",
IF(OR($E332=3,$E332=1,$E332=4),AV332,AU332))),IF($D332="Pressio.",
IF($E332=3,AV332,AU332),
IF($D332="Pénétro.",
IF($E332=4,AV332,AU332))))</f>
        <v>#N/A</v>
      </c>
      <c r="AX332" s="31" t="e">
        <f>(IF(OR(Hypothèses!$B$4=17,Hypothèses!$B$4=18,Hypothèses!$B$4=19,Hypothèses!$B$4=20),
IF($D332="Pressio.",
IF(OR($E332=3,$E332=1,$E332=4),(PI()*AX$12^2)/4*(AT332*$W332*1000)/($H332*$B$5),(PI()*AX$12^2)/4*(AT332*$W332*1000)/($G332*$B$5)),
IF($D332="Pénétro.",
IF(OR($E332=4,$E332=1,$E332=5),(PI()*AX$12^2)/4*(AT332*$W332*1000)/($H332*$B$5),(PI()*AX$12^2)/4*(AT332*$W332*1000)/($G332*$B$5)))),
IF($D332="Pressio.",
IF($E332=3,(PI()*AX$12^2)/4*(AT332*$W332*1000)/($H332*$B$5),(PI()*AX$12^2)/4*(AT332*$W332*1000)/($G332*$B$5)),
IF($D332="Pénétro.",
IF($E332=4,(PI()*AX$12^2)/4*(AT332*$W332*1000)/($H332*$B$5),(PI()*AX$12^2)/4*(AT332*$W332*1000)/($G332*$B$5))))))/10</f>
        <v>#N/A</v>
      </c>
      <c r="AY332" s="102" t="e">
        <f>(VLOOKUP($B$3,'Coeff EC7'!$T$39:$X$59,2,0)*AW332+VLOOKUP($B$3,'Coeff EC7'!$T$65:$X$85,2,0)*Model0.1C!AX332)/1.1</f>
        <v>#N/A</v>
      </c>
      <c r="AZ332" s="102" t="e">
        <f>(VLOOKUP($B$3,'Coeff EC7'!$T$39:$X$59,3,0)*AW332+VLOOKUP($B$3,'Coeff EC7'!$T$65:$X$85,3,0)*Model0.1C!AX332)/0.9</f>
        <v>#N/A</v>
      </c>
      <c r="BA332" s="102" t="e">
        <f t="shared" si="473"/>
        <v>#N/A</v>
      </c>
      <c r="BB332" s="102" t="e">
        <f t="shared" si="474"/>
        <v>#N/A</v>
      </c>
      <c r="BC332" s="414" t="e">
        <f>IF(BC331=0,0,IF(AND(AY332&gt;charge_ELS_quasi,AZ332&gt;Charge_ELS_freq,BA332&gt;charge_ELU,BB332&gt;charge_ELA,$B332&gt;NDC!$H$22-0.1+MIN(3*$BC$12,1.5)),0,1))</f>
        <v>#N/A</v>
      </c>
      <c r="BD332" s="86" t="b">
        <f t="shared" si="444"/>
        <v>0</v>
      </c>
      <c r="BE332" s="86">
        <f t="shared" si="475"/>
        <v>0.5</v>
      </c>
      <c r="BF332" s="86">
        <f t="shared" si="445"/>
        <v>0.5</v>
      </c>
      <c r="BG332" s="30" t="e">
        <f t="shared" ca="1" si="476"/>
        <v>#DIV/0!</v>
      </c>
      <c r="BH332" s="85" t="e">
        <f ca="1">IF(AN332&lt;=Hypothèses!$V$7,Hypothèses!$W$7,IF(AN332&lt;=Hypothèses!$V$8,Hypothèses!$W$8,IF(AN332&lt;=Hypothèses!$V$9,Hypothèses!$W$9,IF(AN332&lt;=Hypothèses!$V$10,Hypothèses!$W$10,IF(AN332&lt;=Hypothèses!$V$11,Hypothèses!$W$11,IF(AN332&lt;=Hypothèses!$V$12,Hypothèses!$W$12,IF(AN332&lt;=Hypothèses!$V$13,Hypothèses!$W$13,IF(AN332&lt;=Hypothèses!$V$14,Hypothèses!$W$14,IF(AN332&lt;=Hypothèses!$V$15,Hypothèses!$W$15,IF(AN332&lt;=Hypothèses!$V$16,Hypothèses!$W$16,IF(AN332&lt;=Hypothèses!$V$17,Hypothèses!$W$17,IF(AN332&lt;=Hypothèses!$V$18,Hypothèses!$W$18,""))))))))))))</f>
        <v>#DIV/0!</v>
      </c>
      <c r="BI332" s="87" t="e">
        <f t="shared" ca="1" si="518"/>
        <v>#DIV/0!</v>
      </c>
      <c r="BJ332" s="88" t="e">
        <f ca="1">IF(AN332&lt;=Hypothèses!$V$7,Hypothèses!$X$7,IF(AN332&lt;=Hypothèses!$V$8,Hypothèses!$X$8,IF(AN332&lt;=Hypothèses!$V$9,Hypothèses!$X$9,IF(AN332&lt;=Hypothèses!$V$10,Hypothèses!$X$10,IF(AN332&lt;=Hypothèses!$V$11,Hypothèses!$X$11,IF(AN332&lt;=Hypothèses!$V$12,Hypothèses!$X$12,IF(AN332&lt;=Hypothèses!$V$13,Hypothèses!$X$13,IF(AN332&lt;=Hypothèses!$V$14,Hypothèses!$X$14,IF(AN332&lt;=Hypothèses!$V$15,Hypothèses!$X$15,IF(AN332&lt;=Hypothèses!$V$16,Hypothèses!$X$16,IF(AN332&lt;=Hypothèses!$U$17,Hypothèses!$W$17,IF(AN332&lt;=Hypothèses!$U$18,Hypothèses!$W$18,""))))))))))))</f>
        <v>#DIV/0!</v>
      </c>
      <c r="BK332" s="95" t="e">
        <f t="shared" ca="1" si="477"/>
        <v>#DIV/0!</v>
      </c>
      <c r="BL332" s="101" t="e">
        <f t="shared" si="525"/>
        <v>#N/A</v>
      </c>
      <c r="BM332" s="91" t="e">
        <f t="shared" si="446"/>
        <v>#N/A</v>
      </c>
      <c r="BN332" s="30" t="e">
        <f t="shared" si="504"/>
        <v>#N/A</v>
      </c>
      <c r="BO332" s="30" t="e">
        <f t="shared" si="505"/>
        <v>#N/A</v>
      </c>
      <c r="BP332" s="31" t="e">
        <f>IF(OR(Hypothèses!$B$4=17,Hypothèses!$B$4=18,Hypothèses!$B$4=19,Hypothèses!$B$4=20),
IF($D332="Pressio.",
IF(OR($E332=3,$E332=1,$E332=4),BO332,BN332),
IF($D332="Pénétro.",
IF(OR($E332=3,$E332=1,$E332=4),BO332,BN332))),IF($D332="Pressio.",
IF($E332=3,BO332,BN332),
IF($D332="Pénétro.",
IF($E332=4,BO332,BN332))))</f>
        <v>#N/A</v>
      </c>
      <c r="BQ332" s="31" t="e">
        <f>(IF(OR(Hypothèses!$B$4=17,Hypothèses!$B$4=18,Hypothèses!$B$4=19,Hypothèses!$B$4=20),
IF($D332="Pressio.",
IF(OR($E332=3,$E332=1,$E332=4),(PI()*BQ$12^2)/4*(BM332*$W332*1000)/($H332*$B$5),(PI()*BQ$12^2)/4*(BM332*$W332*1000)/($G332*$B$5)),
IF($D332="Pénétro.",
IF(OR($E332=4,$E332=1,$E332=5),(PI()*BQ$12^2)/4*(BM332*$W332*1000)/($H332*$B$5),(PI()*BQ$12^2)/4*(BM332*$W332*1000)/($G332*$B$5)))),
IF($D332="Pressio.",
IF($E332=3,(PI()*BQ$12^2)/4*(BM332*$W332*1000)/($H332*$B$5),(PI()*BQ$12^2)/4*(BM332*$W332*1000)/($G332*$B$5)),
IF($D332="Pénétro.",
IF($E332=4,(PI()*BQ$12^2)/4*(BM332*$W332*1000)/($H332*$B$5),(PI()*BQ$12^2)/4*(BM332*$W332*1000)/($G332*$B$5))))))/10</f>
        <v>#N/A</v>
      </c>
      <c r="BR332" s="102" t="e">
        <f>(VLOOKUP($B$3,'Coeff EC7'!$T$39:$X$59,2,0)*BP332+VLOOKUP($B$3,'Coeff EC7'!$T$65:$X$85,2,0)*Model0.1C!BQ332)/1.1</f>
        <v>#N/A</v>
      </c>
      <c r="BS332" s="102" t="e">
        <f>(VLOOKUP($B$3,'Coeff EC7'!$T$39:$X$59,3,0)*BP332+VLOOKUP($B$3,'Coeff EC7'!$T$65:$X$85,3,0)*Model0.1C!BQ332)/0.9</f>
        <v>#N/A</v>
      </c>
      <c r="BT332" s="102" t="e">
        <f t="shared" si="478"/>
        <v>#N/A</v>
      </c>
      <c r="BU332" s="102" t="e">
        <f t="shared" si="479"/>
        <v>#N/A</v>
      </c>
      <c r="BV332" s="414" t="e">
        <f>IF(BV331=0,0,IF(AND(BR332&gt;charge_ELS_quasi,BS332&gt;Charge_ELS_freq,BT332&gt;charge_ELU,BU332&gt;charge_ELA,$B332&gt;NDC!$H$22-0.1+MIN(3*$BV$12,1.5)),0,1))</f>
        <v>#N/A</v>
      </c>
      <c r="BW332" s="86" t="b">
        <f t="shared" si="447"/>
        <v>0</v>
      </c>
      <c r="BX332" s="86">
        <f t="shared" si="448"/>
        <v>0.5</v>
      </c>
      <c r="BY332" s="86">
        <f t="shared" si="449"/>
        <v>0.5</v>
      </c>
      <c r="BZ332" s="30" t="e">
        <f t="shared" ca="1" si="480"/>
        <v>#DIV/0!</v>
      </c>
      <c r="CA332" s="85" t="e">
        <f ca="1">IF(BG332&lt;=Hypothèses!$V$7,Hypothèses!$W$7,IF(BG332&lt;=Hypothèses!$V$8,Hypothèses!$W$8,IF(BG332&lt;=Hypothèses!$V$9,Hypothèses!$W$9,IF(BG332&lt;=Hypothèses!$V$10,Hypothèses!$W$10,IF(BG332&lt;=Hypothèses!$V$11,Hypothèses!$W$11,IF(BG332&lt;=Hypothèses!$V$12,Hypothèses!$W$12,IF(BG332&lt;=Hypothèses!$V$13,Hypothèses!$W$13,IF(BG332&lt;=Hypothèses!$V$14,Hypothèses!$W$14,IF(BG332&lt;=Hypothèses!$V$15,Hypothèses!$W$15,IF(BG332&lt;=Hypothèses!$V$16,Hypothèses!$W$16,IF(BG332&lt;=Hypothèses!$V$17,Hypothèses!$W$17,IF(BG332&lt;=Hypothèses!$V$18,Hypothèses!$W$18,""))))))))))))</f>
        <v>#DIV/0!</v>
      </c>
      <c r="CB332" s="87" t="e">
        <f t="shared" ca="1" si="519"/>
        <v>#DIV/0!</v>
      </c>
      <c r="CC332" s="88" t="e">
        <f ca="1">IF(BG332&lt;=Hypothèses!$V$7,Hypothèses!$X$7,IF(BG332&lt;=Hypothèses!$V$8,Hypothèses!$X$8,IF(BG332&lt;=Hypothèses!$V$9,Hypothèses!$X$9,IF(BG332&lt;=Hypothèses!$V$10,Hypothèses!$X$10,IF(BG332&lt;=Hypothèses!$V$11,Hypothèses!$X$11,IF(BG332&lt;=Hypothèses!$V$12,Hypothèses!$X$12,IF(BG332&lt;=Hypothèses!$V$13,Hypothèses!$X$13,IF(BG332&lt;=Hypothèses!$V$14,Hypothèses!$X$14,IF(BG332&lt;=Hypothèses!$V$15,Hypothèses!$X$15,IF(BG332&lt;=Hypothèses!$V$16,Hypothèses!$X$16,IF(BG332&lt;=Hypothèses!$U$17,Hypothèses!$W$17,IF(BG332&lt;=Hypothèses!$U$18,Hypothèses!$W$18,""))))))))))))</f>
        <v>#DIV/0!</v>
      </c>
      <c r="CD332" s="95" t="e">
        <f t="shared" ca="1" si="481"/>
        <v>#DIV/0!</v>
      </c>
      <c r="CE332" s="101" t="e">
        <f t="shared" si="526"/>
        <v>#N/A</v>
      </c>
      <c r="CF332" s="91" t="e">
        <f t="shared" si="450"/>
        <v>#N/A</v>
      </c>
      <c r="CG332" s="30" t="e">
        <f t="shared" si="506"/>
        <v>#N/A</v>
      </c>
      <c r="CH332" s="30" t="e">
        <f t="shared" si="507"/>
        <v>#N/A</v>
      </c>
      <c r="CI332" s="31" t="e">
        <f>IF(OR(Hypothèses!$B$4=17,Hypothèses!$B$4=18,Hypothèses!$B$4=19,Hypothèses!$B$4=20),
IF($D332="Pressio.",
IF(OR($E332=3,$E332=1,$E332=4),CH332,CG332),
IF($D332="Pénétro.",
IF(OR($E332=3,$E332=1,$E332=4),CH332,CG332))),IF($D332="Pressio.",
IF($E332=3,CH332,CG332),
IF($D332="Pénétro.",
IF($E332=4,CH332,CG332))))</f>
        <v>#N/A</v>
      </c>
      <c r="CJ332" s="31" t="e">
        <f>(IF(OR(Hypothèses!$B$4=17,Hypothèses!$B$4=18,Hypothèses!$B$4=19,Hypothèses!$B$4=20),
IF($D332="Pressio.",
IF(OR($E332=3,$E332=1,$E332=4),(PI()*CJ$12^2)/4*(CF332*$W332*1000)/($H332*$B$5),(PI()*CJ$12^2)/4*(CF332*$W332*1000)/($G332*$B$5)),
IF($D332="Pénétro.",
IF(OR($E332=4,$E332=1,$E332=5),(PI()*CJ$12^2)/4*(CF332*$W332*1000)/($H332*$B$5),(PI()*CJ$12^2)/4*(CF332*$W332*1000)/($G332*$B$5)))),
IF($D332="Pressio.",
IF($E332=3,(PI()*CJ$12^2)/4*(CF332*$W332*1000)/($H332*$B$5),(PI()*CJ$12^2)/4*(CF332*$W332*1000)/($G332*$B$5)),
IF($D332="Pénétro.",
IF($E332=4,(PI()*CJ$12^2)/4*(CF332*$W332*1000)/($H332*$B$5),(PI()*CJ$12^2)/4*(CF332*$W332*1000)/($G332*$B$5))))))/10</f>
        <v>#N/A</v>
      </c>
      <c r="CK332" s="102" t="e">
        <f>(VLOOKUP($B$3,'Coeff EC7'!$T$39:$X$59,2,0)*CI332+VLOOKUP($B$3,'Coeff EC7'!$T$65:$X$85,2,0)*Model0.1C!CJ332)/1.1</f>
        <v>#N/A</v>
      </c>
      <c r="CL332" s="102" t="e">
        <f>(VLOOKUP($B$3,'Coeff EC7'!$T$39:$X$59,3,0)*CI332+VLOOKUP($B$3,'Coeff EC7'!$T$65:$X$85,3,0)*Model0.1C!CJ332)/0.9</f>
        <v>#N/A</v>
      </c>
      <c r="CM332" s="102" t="e">
        <f t="shared" si="482"/>
        <v>#N/A</v>
      </c>
      <c r="CN332" s="102" t="e">
        <f t="shared" si="483"/>
        <v>#N/A</v>
      </c>
      <c r="CO332" s="414" t="e">
        <f>IF(CO331=0,0,IF(AND(CK332&gt;charge_ELS_quasi,CL332&gt;Charge_ELS_freq,CM332&gt;charge_ELU,CN332&gt;charge_ELA,$B332&gt;NDC!$H$22-0.1+MIN(3*$CO$12,1.5)),0,1))</f>
        <v>#N/A</v>
      </c>
      <c r="CP332" s="86" t="b">
        <f t="shared" si="451"/>
        <v>0</v>
      </c>
      <c r="CQ332" s="86">
        <f t="shared" si="452"/>
        <v>0.5</v>
      </c>
      <c r="CR332" s="86">
        <f t="shared" si="453"/>
        <v>0.5</v>
      </c>
      <c r="CS332" s="30" t="e">
        <f t="shared" ca="1" si="484"/>
        <v>#DIV/0!</v>
      </c>
      <c r="CT332" s="85" t="e">
        <f ca="1">IF(BZ332&lt;=Hypothèses!$V$7,Hypothèses!$W$7,IF(BZ332&lt;=Hypothèses!$V$8,Hypothèses!$W$8,IF(BZ332&lt;=Hypothèses!$V$9,Hypothèses!$W$9,IF(BZ332&lt;=Hypothèses!$V$10,Hypothèses!$W$10,IF(BZ332&lt;=Hypothèses!$V$11,Hypothèses!$W$11,IF(BZ332&lt;=Hypothèses!$V$12,Hypothèses!$W$12,IF(BZ332&lt;=Hypothèses!$V$13,Hypothèses!$W$13,IF(BZ332&lt;=Hypothèses!$V$14,Hypothèses!$W$14,IF(BZ332&lt;=Hypothèses!$V$15,Hypothèses!$W$15,IF(BZ332&lt;=Hypothèses!$V$16,Hypothèses!$W$16,IF(BZ332&lt;=Hypothèses!$V$17,Hypothèses!$W$17,IF(BZ332&lt;=Hypothèses!$V$18,Hypothèses!$W$18,""))))))))))))</f>
        <v>#DIV/0!</v>
      </c>
      <c r="CU332" s="87" t="e">
        <f t="shared" ca="1" si="520"/>
        <v>#DIV/0!</v>
      </c>
      <c r="CV332" s="88" t="e">
        <f ca="1">IF(BZ332&lt;=Hypothèses!$V$7,Hypothèses!$X$7,IF(BZ332&lt;=Hypothèses!$V$8,Hypothèses!$X$8,IF(BZ332&lt;=Hypothèses!$V$9,Hypothèses!$X$9,IF(BZ332&lt;=Hypothèses!$V$10,Hypothèses!$X$10,IF(BZ332&lt;=Hypothèses!$V$11,Hypothèses!$X$11,IF(BZ332&lt;=Hypothèses!$V$12,Hypothèses!$X$12,IF(BZ332&lt;=Hypothèses!$V$13,Hypothèses!$X$13,IF(BZ332&lt;=Hypothèses!$V$14,Hypothèses!$X$14,IF(BZ332&lt;=Hypothèses!$V$15,Hypothèses!$X$15,IF(BZ332&lt;=Hypothèses!$V$16,Hypothèses!$X$16,IF(BZ332&lt;=Hypothèses!$U$17,Hypothèses!$W$17,IF(BZ332&lt;=Hypothèses!$U$18,Hypothèses!$W$18,""))))))))))))</f>
        <v>#DIV/0!</v>
      </c>
      <c r="CW332" s="95" t="e">
        <f t="shared" ca="1" si="485"/>
        <v>#DIV/0!</v>
      </c>
      <c r="CX332" s="101" t="e">
        <f t="shared" si="527"/>
        <v>#N/A</v>
      </c>
      <c r="CY332" s="91" t="e">
        <f t="shared" si="454"/>
        <v>#N/A</v>
      </c>
      <c r="CZ332" s="30" t="e">
        <f t="shared" si="508"/>
        <v>#N/A</v>
      </c>
      <c r="DA332" s="30" t="e">
        <f t="shared" si="509"/>
        <v>#N/A</v>
      </c>
      <c r="DB332" s="31" t="e">
        <f>IF(OR(Hypothèses!$B$4=17,Hypothèses!$B$4=18,Hypothèses!$B$4=19,Hypothèses!$B$4=20),
IF($D332="Pressio.",
IF(OR($E332=3,$E332=1,$E332=4),DA332,CZ332),
IF($D332="Pénétro.",
IF(OR($E332=3,$E332=1,$E332=4),DA332,CZ332))),IF($D332="Pressio.",
IF($E332=3,DA332,CZ332),
IF($D332="Pénétro.",
IF($E332=4,DA332,CZ332))))</f>
        <v>#N/A</v>
      </c>
      <c r="DC332" s="31" t="e">
        <f>(IF(OR(Hypothèses!$B$4=17,Hypothèses!$B$4=18,Hypothèses!$B$4=19,Hypothèses!$B$4=20),
IF($D332="Pressio.",
IF(OR($E332=3,$E332=1,$E332=4),(PI()*DC$12^2)/4*(CY332*$W332*1000)/($H332*$B$5),(PI()*DC$12^2)/4*(CY332*$W332*1000)/($G332*$B$5)),
IF($D332="Pénétro.",
IF(OR($E332=4,$E332=1,$E332=5),(PI()*DC$12^2)/4*(CY332*$W332*1000)/($H332*$B$5),(PI()*DC$12^2)/4*(CY332*$W332*1000)/($G332*$B$5)))),
IF($D332="Pressio.",
IF($E332=3,(PI()*DC$12^2)/4*(CY332*$W332*1000)/($H332*$B$5),(PI()*DC$12^2)/4*(CY332*$W332*1000)/($G332*$B$5)),
IF($D332="Pénétro.",
IF($E332=4,(PI()*DC$12^2)/4*(CY332*$W332*1000)/($H332*$B$5),(PI()*DC$12^2)/4*(CY332*$W332*1000)/($G332*$B$5))))))/10</f>
        <v>#N/A</v>
      </c>
      <c r="DD332" s="102" t="e">
        <f>(VLOOKUP($B$3,'Coeff EC7'!$T$39:$X$59,2,0)*DB332+VLOOKUP($B$3,'Coeff EC7'!$T$65:$X$85,2,0)*Model0.1C!DC332)/1.1</f>
        <v>#N/A</v>
      </c>
      <c r="DE332" s="102" t="e">
        <f>(VLOOKUP($B$3,'Coeff EC7'!$T$39:$X$59,3,0)*DB332+VLOOKUP($B$3,'Coeff EC7'!$T$65:$X$85,3,0)*Model0.1C!DC332)/0.9</f>
        <v>#N/A</v>
      </c>
      <c r="DF332" s="102" t="e">
        <f t="shared" si="486"/>
        <v>#N/A</v>
      </c>
      <c r="DG332" s="102" t="e">
        <f t="shared" si="487"/>
        <v>#N/A</v>
      </c>
      <c r="DH332" s="414" t="e">
        <f>IF(DH331=0,0,IF(AND(DD332&gt;charge_ELS_quasi,DE332&gt;Charge_ELS_freq,DF332&gt;charge_ELU,DG332&gt;charge_ELA,$B332&gt;NDC!$H$22-0.1+MIN(3*$DH$12,1.5)),0,1))</f>
        <v>#N/A</v>
      </c>
      <c r="DI332" s="86" t="b">
        <f t="shared" si="455"/>
        <v>0</v>
      </c>
      <c r="DJ332" s="86">
        <f t="shared" si="456"/>
        <v>0.5</v>
      </c>
      <c r="DK332" s="86">
        <f t="shared" si="457"/>
        <v>0.5</v>
      </c>
      <c r="DL332" s="30" t="e">
        <f t="shared" ca="1" si="488"/>
        <v>#DIV/0!</v>
      </c>
      <c r="DM332" s="85" t="e">
        <f ca="1">IF(CS332&lt;=Hypothèses!$V$7,Hypothèses!$W$7,IF(CS332&lt;=Hypothèses!$V$8,Hypothèses!$W$8,IF(CS332&lt;=Hypothèses!$V$9,Hypothèses!$W$9,IF(CS332&lt;=Hypothèses!$V$10,Hypothèses!$W$10,IF(CS332&lt;=Hypothèses!$V$11,Hypothèses!$W$11,IF(CS332&lt;=Hypothèses!$V$12,Hypothèses!$W$12,IF(CS332&lt;=Hypothèses!$V$13,Hypothèses!$W$13,IF(CS332&lt;=Hypothèses!$V$14,Hypothèses!$W$14,IF(CS332&lt;=Hypothèses!$V$15,Hypothèses!$W$15,IF(CS332&lt;=Hypothèses!$V$16,Hypothèses!$W$16,IF(CS332&lt;=Hypothèses!$V$17,Hypothèses!$W$17,IF(CS332&lt;=Hypothèses!$V$18,Hypothèses!$W$18,""))))))))))))</f>
        <v>#DIV/0!</v>
      </c>
      <c r="DN332" s="87" t="e">
        <f t="shared" ca="1" si="521"/>
        <v>#DIV/0!</v>
      </c>
      <c r="DO332" s="88" t="e">
        <f ca="1">IF(CS332&lt;=Hypothèses!$V$7,Hypothèses!$X$7,IF(CS332&lt;=Hypothèses!$V$8,Hypothèses!$X$8,IF(CS332&lt;=Hypothèses!$V$9,Hypothèses!$X$9,IF(CS332&lt;=Hypothèses!$V$10,Hypothèses!$X$10,IF(CS332&lt;=Hypothèses!$V$11,Hypothèses!$X$11,IF(CS332&lt;=Hypothèses!$V$12,Hypothèses!$X$12,IF(CS332&lt;=Hypothèses!$V$13,Hypothèses!$X$13,IF(CS332&lt;=Hypothèses!$V$14,Hypothèses!$X$14,IF(CS332&lt;=Hypothèses!$V$15,Hypothèses!$X$15,IF(CS332&lt;=Hypothèses!$V$16,Hypothèses!$X$16,IF(CS332&lt;=Hypothèses!$U$17,Hypothèses!$W$17,IF(CS332&lt;=Hypothèses!$U$18,Hypothèses!$W$18,""))))))))))))</f>
        <v>#DIV/0!</v>
      </c>
      <c r="DP332" s="95" t="e">
        <f t="shared" ca="1" si="489"/>
        <v>#DIV/0!</v>
      </c>
      <c r="DQ332" s="101" t="e">
        <f t="shared" si="528"/>
        <v>#N/A</v>
      </c>
      <c r="DR332" s="91" t="e">
        <f t="shared" si="458"/>
        <v>#N/A</v>
      </c>
      <c r="DS332" s="30" t="e">
        <f t="shared" si="510"/>
        <v>#N/A</v>
      </c>
      <c r="DT332" s="30" t="e">
        <f t="shared" si="511"/>
        <v>#N/A</v>
      </c>
      <c r="DU332" s="31" t="e">
        <f>IF(OR(Hypothèses!$B$4=17,Hypothèses!$B$4=18,Hypothèses!$B$4=19,Hypothèses!$B$4=20),
IF($D332="Pressio.",
IF(OR($E332=3,$E332=1,$E332=4),DT332,DS332),
IF($D332="Pénétro.",
IF(OR($E332=3,$E332=1,$E332=4),DT332,DS332))),IF($D332="Pressio.",
IF($E332=3,DT332,DS332),
IF($D332="Pénétro.",
IF($E332=4,DT332,DS332))))</f>
        <v>#N/A</v>
      </c>
      <c r="DV332" s="31" t="e">
        <f>(IF(OR(Hypothèses!$B$4=17,Hypothèses!$B$4=18,Hypothèses!$B$4=19,Hypothèses!$B$4=20),
IF($D332="Pressio.",
IF(OR($E332=3,$E332=1,$E332=4),(PI()*DV$12^2)/4*(DR332*$W332*1000)/($H332*$B$5),(PI()*DV$12^2)/4*(DR332*$W332*1000)/($G332*$B$5)),
IF($D332="Pénétro.",
IF(OR($E332=4,$E332=1,$E332=5),(PI()*DV$12^2)/4*(DR332*$W332*1000)/($H332*$B$5),(PI()*DV$12^2)/4*(DR332*$W332*1000)/($G332*$B$5)))),
IF($D332="Pressio.",
IF($E332=3,(PI()*DV$12^2)/4*(DR332*$W332*1000)/($H332*$B$5),(PI()*DV$12^2)/4*(DR332*$W332*1000)/($G332*$B$5)),
IF($D332="Pénétro.",
IF($E332=4,(PI()*DV$12^2)/4*(DR332*$W332*1000)/($H332*$B$5),(PI()*DV$12^2)/4*(DR332*$W332*1000)/($G332*$B$5))))))/10</f>
        <v>#N/A</v>
      </c>
      <c r="DW332" s="102" t="e">
        <f>(VLOOKUP($B$3,'Coeff EC7'!$T$39:$X$59,2,0)*DU332+VLOOKUP($B$3,'Coeff EC7'!$T$65:$X$85,2,0)*Model0.1C!DV332)/1.1</f>
        <v>#N/A</v>
      </c>
      <c r="DX332" s="102" t="e">
        <f>(VLOOKUP($B$3,'Coeff EC7'!$T$39:$X$59,3,0)*DU332+VLOOKUP($B$3,'Coeff EC7'!$T$65:$X$85,3,0)*Model0.1C!DV332)/0.9</f>
        <v>#N/A</v>
      </c>
      <c r="DY332" s="102" t="e">
        <f t="shared" si="490"/>
        <v>#N/A</v>
      </c>
      <c r="DZ332" s="102" t="e">
        <f t="shared" si="491"/>
        <v>#N/A</v>
      </c>
      <c r="EA332" s="414" t="e">
        <f>IF(EA331=0,0,IF(AND(DW332&gt;charge_ELS_quasi,DX332&gt;Charge_ELS_freq,DY332&gt;charge_ELU,DZ332&gt;charge_ELA,$B332&gt;NDC!$H$22-0.1+MIN(3*$EA$12,1.5)),0,1))</f>
        <v>#N/A</v>
      </c>
      <c r="EB332" s="86" t="b">
        <f t="shared" si="459"/>
        <v>0</v>
      </c>
      <c r="EC332" s="418">
        <f t="shared" si="460"/>
        <v>0.51</v>
      </c>
      <c r="ED332" s="86">
        <f t="shared" si="461"/>
        <v>0.51</v>
      </c>
      <c r="EE332" s="30" t="e">
        <f t="shared" ca="1" si="492"/>
        <v>#DIV/0!</v>
      </c>
      <c r="EF332" s="85" t="e">
        <f ca="1">IF(DL332&lt;=Hypothèses!$V$7,Hypothèses!$W$7,IF(DL332&lt;=Hypothèses!$V$8,Hypothèses!$W$8,IF(DL332&lt;=Hypothèses!$V$9,Hypothèses!$W$9,IF(DL332&lt;=Hypothèses!$V$10,Hypothèses!$W$10,IF(DL332&lt;=Hypothèses!$V$11,Hypothèses!$W$11,IF(DL332&lt;=Hypothèses!$V$12,Hypothèses!$W$12,IF(DL332&lt;=Hypothèses!$V$13,Hypothèses!$W$13,IF(DL332&lt;=Hypothèses!$V$14,Hypothèses!$W$14,IF(DL332&lt;=Hypothèses!$V$15,Hypothèses!$W$15,IF(DL332&lt;=Hypothèses!$V$16,Hypothèses!$W$16,IF(DL332&lt;=Hypothèses!$V$17,Hypothèses!$W$17,IF(DL332&lt;=Hypothèses!$V$18,Hypothèses!$W$18,""))))))))))))</f>
        <v>#DIV/0!</v>
      </c>
      <c r="EG332" s="87" t="e">
        <f t="shared" ca="1" si="522"/>
        <v>#DIV/0!</v>
      </c>
      <c r="EH332" s="88" t="e">
        <f ca="1">IF(DL332&lt;=Hypothèses!$V$7,Hypothèses!$X$7,IF(DL332&lt;=Hypothèses!$V$8,Hypothèses!$X$8,IF(DL332&lt;=Hypothèses!$V$9,Hypothèses!$X$9,IF(DL332&lt;=Hypothèses!$V$10,Hypothèses!$X$10,IF(DL332&lt;=Hypothèses!$V$11,Hypothèses!$X$11,IF(DL332&lt;=Hypothèses!$V$12,Hypothèses!$X$12,IF(DL332&lt;=Hypothèses!$V$13,Hypothèses!$X$13,IF(DL332&lt;=Hypothèses!$V$14,Hypothèses!$X$14,IF(DL332&lt;=Hypothèses!$V$15,Hypothèses!$X$15,IF(DL332&lt;=Hypothèses!$V$16,Hypothèses!$X$16,IF(DL332&lt;=Hypothèses!$U$17,Hypothèses!$W$17,IF(DL332&lt;=Hypothèses!$U$18,Hypothèses!$W$18,""))))))))))))</f>
        <v>#DIV/0!</v>
      </c>
      <c r="EI332" s="95" t="e">
        <f t="shared" ca="1" si="493"/>
        <v>#DIV/0!</v>
      </c>
      <c r="EJ332" s="101" t="e">
        <f t="shared" si="529"/>
        <v>#N/A</v>
      </c>
      <c r="EK332" s="91" t="e">
        <f t="shared" si="462"/>
        <v>#N/A</v>
      </c>
      <c r="EL332" s="30" t="e">
        <f t="shared" si="512"/>
        <v>#N/A</v>
      </c>
      <c r="EM332" s="30" t="e">
        <f t="shared" si="513"/>
        <v>#N/A</v>
      </c>
      <c r="EN332" s="31" t="e">
        <f>IF(OR(Hypothèses!$B$4=17,Hypothèses!$B$4=18,Hypothèses!$B$4=19,Hypothèses!$B$4=20),
IF($D332="Pressio.",
IF(OR($E332=3,$E332=1,$E332=4),EM332,EL332),
IF($D332="Pénétro.",
IF(OR($E332=3,$E332=1,$E332=4),EM332,EL332))),IF($D332="Pressio.",
IF($E332=3,EM332,EL332),
IF($D332="Pénétro.",
IF($E332=4,EM332,EL332))))</f>
        <v>#N/A</v>
      </c>
      <c r="EO332" s="31" t="e">
        <f>(IF(OR(Hypothèses!$B$4=17,Hypothèses!$B$4=18,Hypothèses!$B$4=19,Hypothèses!$B$4=20),
IF($D332="Pressio.",
IF(OR($E332=3,$E332=1,$E332=4),(PI()*EO$12^2)/4*(EK332*$W332*1000)/($H332*$B$5),(PI()*EO$12^2)/4*(EK332*$W332*1000)/($G332*$B$5)),
IF($D332="Pénétro.",
IF(OR($E332=4,$E332=1,$E332=5),(PI()*EO$12^2)/4*(EK332*$W332*1000)/($H332*$B$5),(PI()*EO$12^2)/4*(EK332*$W332*1000)/($G332*$B$5)))),
IF($D332="Pressio.",
IF($E332=3,(PI()*EO$12^2)/4*(EK332*$W332*1000)/($H332*$B$5),(PI()*EO$12^2)/4*(EK332*$W332*1000)/($G332*$B$5)),
IF($D332="Pénétro.",
IF($E332=4,(PI()*EO$12^2)/4*(EK332*$W332*1000)/($H332*$B$5),(PI()*EO$12^2)/4*(EK332*$W332*1000)/($G332*$B$5))))))/10</f>
        <v>#N/A</v>
      </c>
      <c r="EP332" s="102" t="e">
        <f>(VLOOKUP($B$3,'Coeff EC7'!$T$39:$X$59,2,0)*EN332+VLOOKUP($B$3,'Coeff EC7'!$T$65:$X$85,2,0)*Model0.1C!EO332)/1.1</f>
        <v>#N/A</v>
      </c>
      <c r="EQ332" s="102" t="e">
        <f>(VLOOKUP($B$3,'Coeff EC7'!$T$39:$X$59,3,0)*EN332+VLOOKUP($B$3,'Coeff EC7'!$T$65:$X$85,3,0)*Model0.1C!EO332)/0.9</f>
        <v>#N/A</v>
      </c>
      <c r="ER332" s="102" t="e">
        <f t="shared" si="494"/>
        <v>#N/A</v>
      </c>
      <c r="ES332" s="102" t="e">
        <f t="shared" si="495"/>
        <v>#N/A</v>
      </c>
      <c r="ET332" s="414" t="e">
        <f>IF(ET331=0,0,IF(AND(EP332&gt;charge_ELS_quasi,EQ332&gt;Charge_ELS_freq,ER332&gt;charge_ELU,ES332&gt;charge_ELA,$B332&gt;NDC!$H$22-0.1+MIN(3*$ET$12,1.5)),0,1))</f>
        <v>#N/A</v>
      </c>
      <c r="EU332" s="86" t="b">
        <f t="shared" si="463"/>
        <v>0</v>
      </c>
      <c r="EV332" s="86">
        <f t="shared" si="464"/>
        <v>0.61</v>
      </c>
      <c r="EW332" s="86">
        <f t="shared" si="465"/>
        <v>0.61</v>
      </c>
      <c r="EX332" s="30" t="e">
        <f t="shared" ca="1" si="496"/>
        <v>#DIV/0!</v>
      </c>
      <c r="EY332" s="85" t="e">
        <f ca="1">IF(EE332&lt;=Hypothèses!$V$7,Hypothèses!$W$7,IF(EE332&lt;=Hypothèses!$V$8,Hypothèses!$W$8,IF(EE332&lt;=Hypothèses!$V$9,Hypothèses!$W$9,IF(EE332&lt;=Hypothèses!$V$10,Hypothèses!$W$10,IF(EE332&lt;=Hypothèses!$V$11,Hypothèses!$W$11,IF(EE332&lt;=Hypothèses!$V$12,Hypothèses!$W$12,IF(EE332&lt;=Hypothèses!$V$13,Hypothèses!$W$13,IF(EE332&lt;=Hypothèses!$V$14,Hypothèses!$W$14,IF(EE332&lt;=Hypothèses!$V$15,Hypothèses!$W$15,IF(EE332&lt;=Hypothèses!$V$16,Hypothèses!$W$16,IF(EE332&lt;=Hypothèses!$V$17,Hypothèses!$W$17,IF(EE332&lt;=Hypothèses!$V$18,Hypothèses!$W$18,""))))))))))))</f>
        <v>#DIV/0!</v>
      </c>
      <c r="EZ332" s="87" t="e">
        <f t="shared" ca="1" si="523"/>
        <v>#DIV/0!</v>
      </c>
      <c r="FA332" s="88" t="e">
        <f ca="1">IF(EE332&lt;=Hypothèses!$V$7,Hypothèses!$X$7,IF(EE332&lt;=Hypothèses!$V$8,Hypothèses!$X$8,IF(EE332&lt;=Hypothèses!$V$9,Hypothèses!$X$9,IF(EE332&lt;=Hypothèses!$V$10,Hypothèses!$X$10,IF(EE332&lt;=Hypothèses!$V$11,Hypothèses!$X$11,IF(EE332&lt;=Hypothèses!$V$12,Hypothèses!$X$12,IF(EE332&lt;=Hypothèses!$V$13,Hypothèses!$X$13,IF(EE332&lt;=Hypothèses!$V$14,Hypothèses!$X$14,IF(EE332&lt;=Hypothèses!$V$15,Hypothèses!$X$15,IF(EE332&lt;=Hypothèses!$V$16,Hypothèses!$X$16,IF(EE332&lt;=Hypothèses!$U$17,Hypothèses!$W$17,IF(EE332&lt;=Hypothèses!$U$18,Hypothèses!$W$18,""))))))))))))</f>
        <v>#DIV/0!</v>
      </c>
      <c r="FB332" s="95" t="e">
        <f t="shared" ca="1" si="497"/>
        <v>#DIV/0!</v>
      </c>
      <c r="FC332" s="101" t="e">
        <f t="shared" si="530"/>
        <v>#N/A</v>
      </c>
      <c r="FD332" s="91" t="e">
        <f t="shared" si="466"/>
        <v>#N/A</v>
      </c>
      <c r="FE332" s="30" t="e">
        <f t="shared" si="514"/>
        <v>#N/A</v>
      </c>
      <c r="FF332" s="30" t="e">
        <f t="shared" si="515"/>
        <v>#N/A</v>
      </c>
      <c r="FG332" s="31" t="e">
        <f>IF(OR(Hypothèses!$B$4=17,Hypothèses!$B$4=18,Hypothèses!$B$4=19,Hypothèses!$B$4=20),
IF($D332="Pressio.",
IF(OR($E332=3,$E332=1,$E332=4),FF332,FE332),
IF($D332="Pénétro.",
IF(OR($E332=3,$E332=1,$E332=4),FF332,FE332))),IF($D332="Pressio.",
IF($E332=3,FF332,FE332),
IF($D332="Pénétro.",
IF($E332=4,FF332,FE332))))</f>
        <v>#N/A</v>
      </c>
      <c r="FH332" s="31" t="e">
        <f>(IF(OR(Hypothèses!$B$4=17,Hypothèses!$B$4=18,Hypothèses!$B$4=19,Hypothèses!$B$4=20),
IF($D332="Pressio.",
IF(OR($E332=3,$E332=1,$E332=4),(PI()*FH$12^2)/4*(FD332*$W332*1000)/($H332*$B$5),(PI()*FH$12^2)/4*(FD332*$W332*1000)/($G332*$B$5)),
IF($D332="Pénétro.",
IF(OR($E332=4,$E332=1,$E332=5),(PI()*FH$12^2)/4*(FD332*$W332*1000)/($H332*$B$5),(PI()*FH$12^2)/4*(FD332*$W332*1000)/($G332*$B$5)))),
IF($D332="Pressio.",
IF($E332=3,(PI()*FH$12^2)/4*(FD332*$W332*1000)/($H332*$B$5),(PI()*FH$12^2)/4*(FD332*$W332*1000)/($G332*$B$5)),
IF($D332="Pénétro.",
IF($E332=4,(PI()*FH$12^2)/4*(FD332*$W332*1000)/($H332*$B$5),(PI()*FH$12^2)/4*(FD332*$W332*1000)/($G332*$B$5))))))/10</f>
        <v>#N/A</v>
      </c>
      <c r="FI332" s="102" t="e">
        <f>(VLOOKUP($B$3,'Coeff EC7'!$T$39:$X$59,2,0)*FG332+VLOOKUP($B$3,'Coeff EC7'!$T$65:$X$85,2,0)*Model0.1C!FH332)/1.1</f>
        <v>#N/A</v>
      </c>
      <c r="FJ332" s="102" t="e">
        <f>(VLOOKUP($B$3,'Coeff EC7'!$T$39:$X$59,3,0)*FG332+VLOOKUP($B$3,'Coeff EC7'!$T$65:$X$85,3,0)*Model0.1C!FH332)/0.9</f>
        <v>#N/A</v>
      </c>
      <c r="FK332" s="102" t="e">
        <f t="shared" si="498"/>
        <v>#N/A</v>
      </c>
      <c r="FL332" s="102" t="e">
        <f t="shared" si="499"/>
        <v>#N/A</v>
      </c>
      <c r="FM332" s="414" t="e">
        <f>IF(FM331=0,0,IF(AND(FI332&gt;charge_ELS_quasi,FJ332&gt;Charge_ELS_freq,FK332&gt;charge_ELU,FL332&gt;charge_ELA,$B332&gt;NDC!$H$22-0.1+MIN(3*$FM$12,1.5)),0,1))</f>
        <v>#N/A</v>
      </c>
    </row>
    <row r="333" spans="1:169">
      <c r="A333" s="96">
        <f t="shared" si="467"/>
        <v>68.000000000001819</v>
      </c>
      <c r="B333" s="97">
        <v>32</v>
      </c>
      <c r="C333" s="81">
        <f>IF(B333&lt;=Hypothèses!$C$7,Hypothèses!$A$7,IF(B333&lt;=Hypothèses!$C$8,Hypothèses!$A$8,IF(B333&lt;=Hypothèses!$C$9,Hypothèses!$A$9,IF(B333&lt;=Hypothèses!$C$10,Hypothèses!$A$10,IF(B333&lt;=Hypothèses!$C$11,Hypothèses!$A$11,IF(B333&lt;=Hypothèses!$C$12,Hypothèses!$A$12,IF(B333&lt;=Hypothèses!$C$13,Hypothèses!$A$13,IF(B333&lt;=Hypothèses!$C$14,Hypothèses!$A$14,IF(B333&lt;=Hypothèses!$C$15,Hypothèses!$A$15,IF(B333&lt;=Hypothèses!$C$16,Hypothèses!$A$16,IF(B333&lt;=Hypothèses!$C$17,Hypothèses!$A$17,IF(B333&lt;=Hypothèses!$C$18,Hypothèses!$A$18,C332))))))))))))</f>
        <v>11</v>
      </c>
      <c r="D333" s="82" t="str">
        <f>IF(B333&lt;=Hypothèses!$C$7,Hypothèses!$R$7,IF(B333&lt;=Hypothèses!$C$8,Hypothèses!$R$8,IF(B333&lt;=Hypothèses!$C$9,Hypothèses!$R$9,IF(B333&lt;=Hypothèses!$C$10,Hypothèses!$R$10,IF(B333&lt;=Hypothèses!$C$11,Hypothèses!$R$11,IF(B333&lt;=Hypothèses!$C$12,Hypothèses!$R$12,IF(B333&lt;=Hypothèses!$C$13,Hypothèses!$R$13,IF(B333&lt;=Hypothèses!$C$14,Hypothèses!$R$14,IF(B333&lt;=Hypothèses!$C$15,Hypothèses!$R$15,IF(B333&lt;=Hypothèses!$C$16,Hypothèses!$R$16,IF(B333&lt;=Hypothèses!$C$17,Hypothèses!$R$17,IF(B333&lt;=Hypothèses!$C$18,Hypothèses!$R$18,D332))))))))))))</f>
        <v>Pressio.</v>
      </c>
      <c r="E333" s="82" t="e">
        <f>IF(B333&lt;=Hypothèses!$C$7,Hypothèses!$G$7,IF(B333&lt;=Hypothèses!$C$8,Hypothèses!$G$8,IF(B333&lt;=Hypothèses!$C$9,Hypothèses!$G$9,IF(B333&lt;=Hypothèses!$C$10,Hypothèses!$G$10,IF(B333&lt;=Hypothèses!$C$11,Hypothèses!$G$11,IF(B333&lt;=Hypothèses!$C$12,Hypothèses!$G$12,IF(B333&lt;=Hypothèses!$C$13,Hypothèses!$G$13,IF(B333&lt;=Hypothèses!$C$14,Hypothèses!$G$14,IF(B333&lt;=Hypothèses!$C$15,Hypothèses!$G$15,IF(B333&lt;=Hypothèses!$C$16,Hypothèses!$G$16,IF(B333&lt;=Hypothèses!$C$17,Hypothèses!$G$17,IF(B333&lt;=Hypothèses!$C$18,Hypothèses!$G$18,E332))))))))))))</f>
        <v>#N/A</v>
      </c>
      <c r="F333" s="82" t="str">
        <f>IF(B333&lt;=Hypothèses!$C$7,Hypothèses!$F$7,IF(B333&lt;=Hypothèses!$C$8,Hypothèses!$F$8,IF(B333&lt;=Hypothèses!$C$9,Hypothèses!$F$9,IF(B333&lt;=Hypothèses!$C$10,Hypothèses!$F$10,IF(B333&lt;=Hypothèses!$C$11,Hypothèses!$F$11,IF(B333&lt;=Hypothèses!$C$12,Hypothèses!$F$12,IF(B333&lt;=Hypothèses!$C$13,Hypothèses!$F$13,IF(B333&lt;=Hypothèses!$C$14,Hypothèses!$F$14,IF(B333&lt;=Hypothèses!$C$15,Hypothèses!$F$15,IF(B333&lt;=Hypothèses!$C$16,Hypothèses!$F$16,IF(B333&lt;=Hypothèses!$C$17,Hypothèses!$F$17,IF(B333&lt;=Hypothèses!$C$18,Hypothèses!$F$18,F332))))))))))))</f>
        <v/>
      </c>
      <c r="G333" s="91">
        <f t="array" ref="G333">INDEX('Coeff EC7'!$U$7:$X$27,
MATCH(Model0.1C!$B$3,'Coeff EC7'!$T$7:$T$27,0),
MATCH(Model0.1C!$D333&amp;Model0.1C!$B$4,
'Coeff EC7'!$U$6:$X$6&amp;
'Coeff EC7'!$U$5:$X$5,0))</f>
        <v>1.1499999999999999</v>
      </c>
      <c r="H333" s="91">
        <f t="array" ref="H333">INDEX('Coeff EC7'!$Y$7:$AB$27,
MATCH(Model0.1C!$B$3,'Coeff EC7'!$T$7:$T$27,0),
MATCH(Model0.1C!$D333&amp;Model0.1C!$B$4,
'Coeff EC7'!$Y$6:$AB$6&amp;
'Coeff EC7'!$Y$5:$AB$5,0))</f>
        <v>1.4</v>
      </c>
      <c r="I333" s="83" t="e">
        <f>IF(B333&lt;=Hypothèses!$C$7,Hypothèses!$P$7,IF(B333&lt;=Hypothèses!$C$8,Hypothèses!$P$8,IF(B333&lt;=Hypothèses!$C$9,Hypothèses!$P$9,IF(B333&lt;=Hypothèses!$C$10,Hypothèses!$P$10,IF(B333&lt;=Hypothèses!$C$11,Hypothèses!$P$11,IF(B333&lt;=Hypothèses!$C$12,Hypothèses!$P$12,IF(B333&lt;=Hypothèses!$C$13,Hypothèses!$P$13,IF(B333&lt;=Hypothèses!$C$14,Hypothèses!$P$14,IF(B333&lt;=Hypothèses!$C$15,Hypothèses!$P$15,IF(B333&lt;=Hypothèses!$C$16,Hypothèses!$P$16,IF(B333&lt;=Hypothèses!$C$17,Hypothèses!$P$17,IF(B333&lt;=Hypothèses!$C$18,Hypothèses!$P$18,I332))))))))))))</f>
        <v>#N/A</v>
      </c>
      <c r="J333" s="91" t="e">
        <f t="array" ref="J333">INDEX('Coeff EC7'!$D$33:$Q$33,1,MATCH(D333&amp;E333,'Coeff EC7'!$D$31:$Q$31&amp;'Coeff EC7'!$D$32:$Q$32,0))</f>
        <v>#N/A</v>
      </c>
      <c r="K333" s="91" t="e">
        <f t="array" ref="K333">INDEX('Coeff EC7'!$D$34:$Q$34,1,MATCH(D333&amp;E333,'Coeff EC7'!$D$31:$Q$31&amp;'Coeff EC7'!$D$32:$Q$32,0))</f>
        <v>#N/A</v>
      </c>
      <c r="L333" s="91" t="e">
        <f t="array" ref="L333">INDEX('Coeff EC7'!$D$35:$Q$35,1,MATCH(D333&amp;E333,'Coeff EC7'!$D$31:$Q$31&amp;'Coeff EC7'!$D$32:$Q$32,0))</f>
        <v>#N/A</v>
      </c>
      <c r="M333" s="98" t="e">
        <f t="shared" ref="M333:M363" si="531">((J333*F333+K333)*(1-(EXP(-L333*F333))))</f>
        <v>#N/A</v>
      </c>
      <c r="N333" s="99" t="e">
        <f t="array" ref="N333">INDEX('Coeff EC7'!$D$7:$Q$27,MATCH($B$3,'Coeff EC7'!$C$7:$C$27,0),MATCH(D333&amp;E333,'Coeff EC7'!$D$5:$Q$5&amp;'Coeff EC7'!$D$6:$Q$6,0))</f>
        <v>#N/A</v>
      </c>
      <c r="O333" s="99" t="e">
        <f t="array" ref="O333">INDEX('Coeff EC7'!$D$41:$Q$61,MATCH($B$3,'Coeff EC7'!$C$41:$C$61,0),MATCH(D333&amp;E333,'Coeff EC7'!$D$39:$Q$39&amp;'Coeff EC7'!$D$40:$Q$40,0))</f>
        <v>#N/A</v>
      </c>
      <c r="P333" s="30" t="e">
        <f t="shared" si="468"/>
        <v>#N/A</v>
      </c>
      <c r="Q333" s="100" t="e">
        <f t="shared" si="433"/>
        <v>#N/A</v>
      </c>
      <c r="R333" s="86" t="b">
        <f t="shared" si="434"/>
        <v>0</v>
      </c>
      <c r="S333" s="86">
        <f t="shared" ref="S333:S363" si="532">MAX($AF$12/2,0.5)</f>
        <v>0.5</v>
      </c>
      <c r="T333" s="86">
        <f t="shared" si="435"/>
        <v>0.5</v>
      </c>
      <c r="U333" s="30" t="e">
        <f t="shared" ca="1" si="469"/>
        <v>#DIV/0!</v>
      </c>
      <c r="V333" s="85" t="str">
        <f>IF(B333&lt;=Hypothèses!$V$7,Hypothèses!$W$7,IF(B333&lt;=Hypothèses!$V$8,Hypothèses!$W$8,IF(B333&lt;=Hypothèses!$V$9,Hypothèses!$W$9,IF(B333&lt;=Hypothèses!$V$10,Hypothèses!$W$10,IF(B333&lt;=Hypothèses!$V$11,Hypothèses!$W$11,IF(B333&lt;=Hypothèses!$V$12,Hypothèses!$W$12,IF(B333&lt;=Hypothèses!$V$13,Hypothèses!$W$13,IF(B333&lt;=Hypothèses!$V$14,Hypothèses!$W$14,IF(B333&lt;=Hypothèses!$V$15,Hypothèses!$W$15,IF(B333&lt;=Hypothèses!$V$16,Hypothèses!$W$16,IF(B333&lt;=Hypothèses!$V$17,Hypothèses!$W$17,IF(B333&lt;=Hypothèses!$V$18,Hypothèses!$W$18,""))))))))))))</f>
        <v/>
      </c>
      <c r="W333" s="87" t="e">
        <f t="shared" ca="1" si="516"/>
        <v>#DIV/0!</v>
      </c>
      <c r="X333" s="88" t="str">
        <f>IF(B333&lt;=Hypothèses!$V$7,Hypothèses!$X$7,IF(B333&lt;=Hypothèses!$V$8,Hypothèses!$X$8,IF(B333&lt;=Hypothèses!$V$9,Hypothèses!$X$9,IF(B333&lt;=Hypothèses!$V$10,Hypothèses!$X$10,IF(B333&lt;=Hypothèses!$V$11,Hypothèses!$X$11,IF(B333&lt;=Hypothèses!$V$12,Hypothèses!$X$12,IF(B333&lt;=Hypothèses!$V$13,Hypothèses!$X$13,IF(B333&lt;=Hypothèses!$V$14,Hypothèses!$X$14,IF(B333&lt;=Hypothèses!$V$15,Hypothèses!$X$15,IF(B333&lt;=Hypothèses!$V$16,Hypothèses!$X$16,IF(B333&lt;=Hypothèses!$U$17,Hypothèses!$W$17,IF(B333&lt;=Hypothèses!$U$18,Hypothèses!$W$18,""))))))))))))</f>
        <v/>
      </c>
      <c r="Y333" s="95" t="e">
        <f t="shared" ca="1" si="436"/>
        <v>#DIV/0!</v>
      </c>
      <c r="Z333" s="101" t="e">
        <f t="shared" si="437"/>
        <v>#N/A</v>
      </c>
      <c r="AA333" s="91" t="e">
        <f t="shared" si="438"/>
        <v>#N/A</v>
      </c>
      <c r="AB333" s="30" t="e">
        <f t="shared" si="500"/>
        <v>#N/A</v>
      </c>
      <c r="AC333" s="30" t="e">
        <f t="shared" si="501"/>
        <v>#N/A</v>
      </c>
      <c r="AD333" s="31" t="e">
        <f>IF(OR(Hypothèses!$B$4=17,Hypothèses!$B$4=18,Hypothèses!$B$4=19,Hypothèses!$B$4=20),
IF($D333="Pressio.",
IF(OR($E333=3,$E333=1,$E333=4),AC333,AB333),
IF($D333="Pénétro.",
IF(OR($E333=3,$E333=1,$E333=4),AC333,AB333))),IF($D333="Pressio.",
IF($E333=3,AC333,AB333),
IF($D333="Pénétro.",
IF($E333=4,AC333,AB333))))</f>
        <v>#N/A</v>
      </c>
      <c r="AE333" s="31" t="e">
        <f>(IF(OR(Hypothèses!$B$4=17,Hypothèses!$B$4=18,Hypothèses!$B$4=19,Hypothèses!$B$4=20),
IF($D333="Pressio.",
IF(OR($E333=3,$E333=1,$E333=4),(PI()*AE$12^2)/4*(AA333*$W333*1000)/($H333*$B$5),(PI()*AE$12^2)/4*(AA333*$W333*1000)/($G333*$B$5)),
IF($D333="Pénétro.",
IF(OR($E333=4,$E333=1,$E333=5),(PI()*AE$12^2)/4*(AA333*$W333*1000)/($H333*$B$5),(PI()*AE$12^2)/4*(AA333*$W333*1000)/($G333*$B$5)))),
IF($D333="Pressio.",
IF($E333=3,(PI()*AE$12^2)/4*(AA333*$W333*1000)/($H333*$B$5),(PI()*AE$12^2)/4*(AA333*$W333*1000)/($G333*$B$5)),
IF($D333="Pénétro.",
IF($E333=4,(PI()*AE$12^2)/4*(AA333*$W333*1000)/($H333*$B$5),(PI()*AE$12^2)/4*(AA333*$W333*1000)/($G333*$B$5))))))/10</f>
        <v>#N/A</v>
      </c>
      <c r="AF333" s="102" t="e">
        <f>(VLOOKUP($B$3,'Coeff EC7'!$T$39:$X$59,2,0)*AD333+VLOOKUP($B$3,'Coeff EC7'!$T$65:$X$85,2,0)*Model0.1C!AE333)/1.1</f>
        <v>#N/A</v>
      </c>
      <c r="AG333" s="102" t="e">
        <f>(VLOOKUP($B$3,'Coeff EC7'!$T$39:$X$59,3,0)*AD333+VLOOKUP($B$3,'Coeff EC7'!$T$65:$X$85,3,0)*Model0.1C!AE333)/0.9</f>
        <v>#N/A</v>
      </c>
      <c r="AH333" s="102" t="e">
        <f t="shared" si="439"/>
        <v>#N/A</v>
      </c>
      <c r="AI333" s="102" t="e">
        <f t="shared" si="440"/>
        <v>#N/A</v>
      </c>
      <c r="AJ333" s="414" t="e">
        <f>IF(AJ332=0,0,IF(AND(AF333&gt;charge_ELS_quasi,AG333&gt;Charge_ELS_freq,AH333&gt;charge_ELU,AI333&gt;charge_ELA,$B333&gt;NDC!$H$22-0.1+MIN(3*$AJ$12,1.5)),0,1))</f>
        <v>#N/A</v>
      </c>
      <c r="AK333" s="86" t="b">
        <f t="shared" si="441"/>
        <v>0</v>
      </c>
      <c r="AL333" s="86">
        <f t="shared" si="470"/>
        <v>0.5</v>
      </c>
      <c r="AM333" s="86">
        <f t="shared" si="442"/>
        <v>0.5</v>
      </c>
      <c r="AN333" s="30" t="e">
        <f t="shared" ca="1" si="471"/>
        <v>#DIV/0!</v>
      </c>
      <c r="AO333" s="85" t="e">
        <f ca="1">IF(U333&lt;=Hypothèses!$V$7,Hypothèses!$W$7,IF(U333&lt;=Hypothèses!$V$8,Hypothèses!$W$8,IF(U333&lt;=Hypothèses!$V$9,Hypothèses!$W$9,IF(U333&lt;=Hypothèses!$V$10,Hypothèses!$W$10,IF(U333&lt;=Hypothèses!$V$11,Hypothèses!$W$11,IF(U333&lt;=Hypothèses!$V$12,Hypothèses!$W$12,IF(U333&lt;=Hypothèses!$V$13,Hypothèses!$W$13,IF(U333&lt;=Hypothèses!$V$14,Hypothèses!$W$14,IF(U333&lt;=Hypothèses!$V$15,Hypothèses!$W$15,IF(U333&lt;=Hypothèses!$V$16,Hypothèses!$W$16,IF(U333&lt;=Hypothèses!$V$17,Hypothèses!$W$17,IF(U333&lt;=Hypothèses!$V$18,Hypothèses!$W$18,""))))))))))))</f>
        <v>#DIV/0!</v>
      </c>
      <c r="AP333" s="87" t="e">
        <f t="shared" ca="1" si="517"/>
        <v>#DIV/0!</v>
      </c>
      <c r="AQ333" s="88" t="e">
        <f ca="1">IF(U333&lt;=Hypothèses!$V$7,Hypothèses!$X$7,IF(U333&lt;=Hypothèses!$V$8,Hypothèses!$X$8,IF(U333&lt;=Hypothèses!$V$9,Hypothèses!$X$9,IF(U333&lt;=Hypothèses!$V$10,Hypothèses!$X$10,IF(U333&lt;=Hypothèses!$V$11,Hypothèses!$X$11,IF(U333&lt;=Hypothèses!$V$12,Hypothèses!$X$12,IF(U333&lt;=Hypothèses!$V$13,Hypothèses!$X$13,IF(U333&lt;=Hypothèses!$V$14,Hypothèses!$X$14,IF(U333&lt;=Hypothèses!$V$15,Hypothèses!$X$15,IF(U333&lt;=Hypothèses!$V$16,Hypothèses!$X$16,IF(U333&lt;=Hypothèses!$U$17,Hypothèses!$W$17,IF(U333&lt;=Hypothèses!$U$18,Hypothèses!$W$18,""))))))))))))</f>
        <v>#DIV/0!</v>
      </c>
      <c r="AR333" s="95" t="e">
        <f t="shared" ca="1" si="472"/>
        <v>#DIV/0!</v>
      </c>
      <c r="AS333" s="101" t="e">
        <f t="shared" si="524"/>
        <v>#N/A</v>
      </c>
      <c r="AT333" s="91" t="e">
        <f t="shared" si="443"/>
        <v>#N/A</v>
      </c>
      <c r="AU333" s="30" t="e">
        <f t="shared" si="502"/>
        <v>#N/A</v>
      </c>
      <c r="AV333" s="30" t="e">
        <f t="shared" si="503"/>
        <v>#N/A</v>
      </c>
      <c r="AW333" s="31" t="e">
        <f>IF(OR(Hypothèses!$B$4=17,Hypothèses!$B$4=18,Hypothèses!$B$4=19,Hypothèses!$B$4=20),
IF($D333="Pressio.",
IF(OR($E333=3,$E333=1,$E333=4),AV333,AU333),
IF($D333="Pénétro.",
IF(OR($E333=3,$E333=1,$E333=4),AV333,AU333))),IF($D333="Pressio.",
IF($E333=3,AV333,AU333),
IF($D333="Pénétro.",
IF($E333=4,AV333,AU333))))</f>
        <v>#N/A</v>
      </c>
      <c r="AX333" s="31" t="e">
        <f>(IF(OR(Hypothèses!$B$4=17,Hypothèses!$B$4=18,Hypothèses!$B$4=19,Hypothèses!$B$4=20),
IF($D333="Pressio.",
IF(OR($E333=3,$E333=1,$E333=4),(PI()*AX$12^2)/4*(AT333*$W333*1000)/($H333*$B$5),(PI()*AX$12^2)/4*(AT333*$W333*1000)/($G333*$B$5)),
IF($D333="Pénétro.",
IF(OR($E333=4,$E333=1,$E333=5),(PI()*AX$12^2)/4*(AT333*$W333*1000)/($H333*$B$5),(PI()*AX$12^2)/4*(AT333*$W333*1000)/($G333*$B$5)))),
IF($D333="Pressio.",
IF($E333=3,(PI()*AX$12^2)/4*(AT333*$W333*1000)/($H333*$B$5),(PI()*AX$12^2)/4*(AT333*$W333*1000)/($G333*$B$5)),
IF($D333="Pénétro.",
IF($E333=4,(PI()*AX$12^2)/4*(AT333*$W333*1000)/($H333*$B$5),(PI()*AX$12^2)/4*(AT333*$W333*1000)/($G333*$B$5))))))/10</f>
        <v>#N/A</v>
      </c>
      <c r="AY333" s="102" t="e">
        <f>(VLOOKUP($B$3,'Coeff EC7'!$T$39:$X$59,2,0)*AW333+VLOOKUP($B$3,'Coeff EC7'!$T$65:$X$85,2,0)*Model0.1C!AX333)/1.1</f>
        <v>#N/A</v>
      </c>
      <c r="AZ333" s="102" t="e">
        <f>(VLOOKUP($B$3,'Coeff EC7'!$T$39:$X$59,3,0)*AW333+VLOOKUP($B$3,'Coeff EC7'!$T$65:$X$85,3,0)*Model0.1C!AX333)/0.9</f>
        <v>#N/A</v>
      </c>
      <c r="BA333" s="102" t="e">
        <f t="shared" si="473"/>
        <v>#N/A</v>
      </c>
      <c r="BB333" s="102" t="e">
        <f t="shared" si="474"/>
        <v>#N/A</v>
      </c>
      <c r="BC333" s="414" t="e">
        <f>IF(BC332=0,0,IF(AND(AY333&gt;charge_ELS_quasi,AZ333&gt;Charge_ELS_freq,BA333&gt;charge_ELU,BB333&gt;charge_ELA,$B333&gt;NDC!$H$22-0.1+MIN(3*$BC$12,1.5)),0,1))</f>
        <v>#N/A</v>
      </c>
      <c r="BD333" s="86" t="b">
        <f t="shared" si="444"/>
        <v>0</v>
      </c>
      <c r="BE333" s="86">
        <f t="shared" si="475"/>
        <v>0.5</v>
      </c>
      <c r="BF333" s="86">
        <f t="shared" si="445"/>
        <v>0.5</v>
      </c>
      <c r="BG333" s="30" t="e">
        <f t="shared" ca="1" si="476"/>
        <v>#DIV/0!</v>
      </c>
      <c r="BH333" s="85" t="e">
        <f ca="1">IF(AN333&lt;=Hypothèses!$V$7,Hypothèses!$W$7,IF(AN333&lt;=Hypothèses!$V$8,Hypothèses!$W$8,IF(AN333&lt;=Hypothèses!$V$9,Hypothèses!$W$9,IF(AN333&lt;=Hypothèses!$V$10,Hypothèses!$W$10,IF(AN333&lt;=Hypothèses!$V$11,Hypothèses!$W$11,IF(AN333&lt;=Hypothèses!$V$12,Hypothèses!$W$12,IF(AN333&lt;=Hypothèses!$V$13,Hypothèses!$W$13,IF(AN333&lt;=Hypothèses!$V$14,Hypothèses!$W$14,IF(AN333&lt;=Hypothèses!$V$15,Hypothèses!$W$15,IF(AN333&lt;=Hypothèses!$V$16,Hypothèses!$W$16,IF(AN333&lt;=Hypothèses!$V$17,Hypothèses!$W$17,IF(AN333&lt;=Hypothèses!$V$18,Hypothèses!$W$18,""))))))))))))</f>
        <v>#DIV/0!</v>
      </c>
      <c r="BI333" s="87" t="e">
        <f t="shared" ca="1" si="518"/>
        <v>#DIV/0!</v>
      </c>
      <c r="BJ333" s="88" t="e">
        <f ca="1">IF(AN333&lt;=Hypothèses!$V$7,Hypothèses!$X$7,IF(AN333&lt;=Hypothèses!$V$8,Hypothèses!$X$8,IF(AN333&lt;=Hypothèses!$V$9,Hypothèses!$X$9,IF(AN333&lt;=Hypothèses!$V$10,Hypothèses!$X$10,IF(AN333&lt;=Hypothèses!$V$11,Hypothèses!$X$11,IF(AN333&lt;=Hypothèses!$V$12,Hypothèses!$X$12,IF(AN333&lt;=Hypothèses!$V$13,Hypothèses!$X$13,IF(AN333&lt;=Hypothèses!$V$14,Hypothèses!$X$14,IF(AN333&lt;=Hypothèses!$V$15,Hypothèses!$X$15,IF(AN333&lt;=Hypothèses!$V$16,Hypothèses!$X$16,IF(AN333&lt;=Hypothèses!$U$17,Hypothèses!$W$17,IF(AN333&lt;=Hypothèses!$U$18,Hypothèses!$W$18,""))))))))))))</f>
        <v>#DIV/0!</v>
      </c>
      <c r="BK333" s="95" t="e">
        <f t="shared" ca="1" si="477"/>
        <v>#DIV/0!</v>
      </c>
      <c r="BL333" s="101" t="e">
        <f t="shared" si="525"/>
        <v>#N/A</v>
      </c>
      <c r="BM333" s="91" t="e">
        <f t="shared" si="446"/>
        <v>#N/A</v>
      </c>
      <c r="BN333" s="30" t="e">
        <f t="shared" si="504"/>
        <v>#N/A</v>
      </c>
      <c r="BO333" s="30" t="e">
        <f t="shared" si="505"/>
        <v>#N/A</v>
      </c>
      <c r="BP333" s="31" t="e">
        <f>IF(OR(Hypothèses!$B$4=17,Hypothèses!$B$4=18,Hypothèses!$B$4=19,Hypothèses!$B$4=20),
IF($D333="Pressio.",
IF(OR($E333=3,$E333=1,$E333=4),BO333,BN333),
IF($D333="Pénétro.",
IF(OR($E333=3,$E333=1,$E333=4),BO333,BN333))),IF($D333="Pressio.",
IF($E333=3,BO333,BN333),
IF($D333="Pénétro.",
IF($E333=4,BO333,BN333))))</f>
        <v>#N/A</v>
      </c>
      <c r="BQ333" s="31" t="e">
        <f>(IF(OR(Hypothèses!$B$4=17,Hypothèses!$B$4=18,Hypothèses!$B$4=19,Hypothèses!$B$4=20),
IF($D333="Pressio.",
IF(OR($E333=3,$E333=1,$E333=4),(PI()*BQ$12^2)/4*(BM333*$W333*1000)/($H333*$B$5),(PI()*BQ$12^2)/4*(BM333*$W333*1000)/($G333*$B$5)),
IF($D333="Pénétro.",
IF(OR($E333=4,$E333=1,$E333=5),(PI()*BQ$12^2)/4*(BM333*$W333*1000)/($H333*$B$5),(PI()*BQ$12^2)/4*(BM333*$W333*1000)/($G333*$B$5)))),
IF($D333="Pressio.",
IF($E333=3,(PI()*BQ$12^2)/4*(BM333*$W333*1000)/($H333*$B$5),(PI()*BQ$12^2)/4*(BM333*$W333*1000)/($G333*$B$5)),
IF($D333="Pénétro.",
IF($E333=4,(PI()*BQ$12^2)/4*(BM333*$W333*1000)/($H333*$B$5),(PI()*BQ$12^2)/4*(BM333*$W333*1000)/($G333*$B$5))))))/10</f>
        <v>#N/A</v>
      </c>
      <c r="BR333" s="102" t="e">
        <f>(VLOOKUP($B$3,'Coeff EC7'!$T$39:$X$59,2,0)*BP333+VLOOKUP($B$3,'Coeff EC7'!$T$65:$X$85,2,0)*Model0.1C!BQ333)/1.1</f>
        <v>#N/A</v>
      </c>
      <c r="BS333" s="102" t="e">
        <f>(VLOOKUP($B$3,'Coeff EC7'!$T$39:$X$59,3,0)*BP333+VLOOKUP($B$3,'Coeff EC7'!$T$65:$X$85,3,0)*Model0.1C!BQ333)/0.9</f>
        <v>#N/A</v>
      </c>
      <c r="BT333" s="102" t="e">
        <f t="shared" si="478"/>
        <v>#N/A</v>
      </c>
      <c r="BU333" s="102" t="e">
        <f t="shared" si="479"/>
        <v>#N/A</v>
      </c>
      <c r="BV333" s="414" t="e">
        <f>IF(BV332=0,0,IF(AND(BR333&gt;charge_ELS_quasi,BS333&gt;Charge_ELS_freq,BT333&gt;charge_ELU,BU333&gt;charge_ELA,$B333&gt;NDC!$H$22-0.1+MIN(3*$BV$12,1.5)),0,1))</f>
        <v>#N/A</v>
      </c>
      <c r="BW333" s="86" t="b">
        <f t="shared" si="447"/>
        <v>0</v>
      </c>
      <c r="BX333" s="86">
        <f t="shared" si="448"/>
        <v>0.5</v>
      </c>
      <c r="BY333" s="86">
        <f t="shared" si="449"/>
        <v>0.5</v>
      </c>
      <c r="BZ333" s="30" t="e">
        <f t="shared" ca="1" si="480"/>
        <v>#DIV/0!</v>
      </c>
      <c r="CA333" s="85" t="e">
        <f ca="1">IF(BG333&lt;=Hypothèses!$V$7,Hypothèses!$W$7,IF(BG333&lt;=Hypothèses!$V$8,Hypothèses!$W$8,IF(BG333&lt;=Hypothèses!$V$9,Hypothèses!$W$9,IF(BG333&lt;=Hypothèses!$V$10,Hypothèses!$W$10,IF(BG333&lt;=Hypothèses!$V$11,Hypothèses!$W$11,IF(BG333&lt;=Hypothèses!$V$12,Hypothèses!$W$12,IF(BG333&lt;=Hypothèses!$V$13,Hypothèses!$W$13,IF(BG333&lt;=Hypothèses!$V$14,Hypothèses!$W$14,IF(BG333&lt;=Hypothèses!$V$15,Hypothèses!$W$15,IF(BG333&lt;=Hypothèses!$V$16,Hypothèses!$W$16,IF(BG333&lt;=Hypothèses!$V$17,Hypothèses!$W$17,IF(BG333&lt;=Hypothèses!$V$18,Hypothèses!$W$18,""))))))))))))</f>
        <v>#DIV/0!</v>
      </c>
      <c r="CB333" s="87" t="e">
        <f t="shared" ca="1" si="519"/>
        <v>#DIV/0!</v>
      </c>
      <c r="CC333" s="88" t="e">
        <f ca="1">IF(BG333&lt;=Hypothèses!$V$7,Hypothèses!$X$7,IF(BG333&lt;=Hypothèses!$V$8,Hypothèses!$X$8,IF(BG333&lt;=Hypothèses!$V$9,Hypothèses!$X$9,IF(BG333&lt;=Hypothèses!$V$10,Hypothèses!$X$10,IF(BG333&lt;=Hypothèses!$V$11,Hypothèses!$X$11,IF(BG333&lt;=Hypothèses!$V$12,Hypothèses!$X$12,IF(BG333&lt;=Hypothèses!$V$13,Hypothèses!$X$13,IF(BG333&lt;=Hypothèses!$V$14,Hypothèses!$X$14,IF(BG333&lt;=Hypothèses!$V$15,Hypothèses!$X$15,IF(BG333&lt;=Hypothèses!$V$16,Hypothèses!$X$16,IF(BG333&lt;=Hypothèses!$U$17,Hypothèses!$W$17,IF(BG333&lt;=Hypothèses!$U$18,Hypothèses!$W$18,""))))))))))))</f>
        <v>#DIV/0!</v>
      </c>
      <c r="CD333" s="95" t="e">
        <f t="shared" ca="1" si="481"/>
        <v>#DIV/0!</v>
      </c>
      <c r="CE333" s="101" t="e">
        <f t="shared" si="526"/>
        <v>#N/A</v>
      </c>
      <c r="CF333" s="91" t="e">
        <f t="shared" si="450"/>
        <v>#N/A</v>
      </c>
      <c r="CG333" s="30" t="e">
        <f t="shared" si="506"/>
        <v>#N/A</v>
      </c>
      <c r="CH333" s="30" t="e">
        <f t="shared" si="507"/>
        <v>#N/A</v>
      </c>
      <c r="CI333" s="31" t="e">
        <f>IF(OR(Hypothèses!$B$4=17,Hypothèses!$B$4=18,Hypothèses!$B$4=19,Hypothèses!$B$4=20),
IF($D333="Pressio.",
IF(OR($E333=3,$E333=1,$E333=4),CH333,CG333),
IF($D333="Pénétro.",
IF(OR($E333=3,$E333=1,$E333=4),CH333,CG333))),IF($D333="Pressio.",
IF($E333=3,CH333,CG333),
IF($D333="Pénétro.",
IF($E333=4,CH333,CG333))))</f>
        <v>#N/A</v>
      </c>
      <c r="CJ333" s="31" t="e">
        <f>(IF(OR(Hypothèses!$B$4=17,Hypothèses!$B$4=18,Hypothèses!$B$4=19,Hypothèses!$B$4=20),
IF($D333="Pressio.",
IF(OR($E333=3,$E333=1,$E333=4),(PI()*CJ$12^2)/4*(CF333*$W333*1000)/($H333*$B$5),(PI()*CJ$12^2)/4*(CF333*$W333*1000)/($G333*$B$5)),
IF($D333="Pénétro.",
IF(OR($E333=4,$E333=1,$E333=5),(PI()*CJ$12^2)/4*(CF333*$W333*1000)/($H333*$B$5),(PI()*CJ$12^2)/4*(CF333*$W333*1000)/($G333*$B$5)))),
IF($D333="Pressio.",
IF($E333=3,(PI()*CJ$12^2)/4*(CF333*$W333*1000)/($H333*$B$5),(PI()*CJ$12^2)/4*(CF333*$W333*1000)/($G333*$B$5)),
IF($D333="Pénétro.",
IF($E333=4,(PI()*CJ$12^2)/4*(CF333*$W333*1000)/($H333*$B$5),(PI()*CJ$12^2)/4*(CF333*$W333*1000)/($G333*$B$5))))))/10</f>
        <v>#N/A</v>
      </c>
      <c r="CK333" s="102" t="e">
        <f>(VLOOKUP($B$3,'Coeff EC7'!$T$39:$X$59,2,0)*CI333+VLOOKUP($B$3,'Coeff EC7'!$T$65:$X$85,2,0)*Model0.1C!CJ333)/1.1</f>
        <v>#N/A</v>
      </c>
      <c r="CL333" s="102" t="e">
        <f>(VLOOKUP($B$3,'Coeff EC7'!$T$39:$X$59,3,0)*CI333+VLOOKUP($B$3,'Coeff EC7'!$T$65:$X$85,3,0)*Model0.1C!CJ333)/0.9</f>
        <v>#N/A</v>
      </c>
      <c r="CM333" s="102" t="e">
        <f t="shared" si="482"/>
        <v>#N/A</v>
      </c>
      <c r="CN333" s="102" t="e">
        <f t="shared" si="483"/>
        <v>#N/A</v>
      </c>
      <c r="CO333" s="414" t="e">
        <f>IF(CO332=0,0,IF(AND(CK333&gt;charge_ELS_quasi,CL333&gt;Charge_ELS_freq,CM333&gt;charge_ELU,CN333&gt;charge_ELA,$B333&gt;NDC!$H$22-0.1+MIN(3*$CO$12,1.5)),0,1))</f>
        <v>#N/A</v>
      </c>
      <c r="CP333" s="86" t="b">
        <f t="shared" si="451"/>
        <v>0</v>
      </c>
      <c r="CQ333" s="86">
        <f t="shared" si="452"/>
        <v>0.5</v>
      </c>
      <c r="CR333" s="86">
        <f t="shared" si="453"/>
        <v>0.5</v>
      </c>
      <c r="CS333" s="30" t="e">
        <f t="shared" ca="1" si="484"/>
        <v>#DIV/0!</v>
      </c>
      <c r="CT333" s="85" t="e">
        <f ca="1">IF(BZ333&lt;=Hypothèses!$V$7,Hypothèses!$W$7,IF(BZ333&lt;=Hypothèses!$V$8,Hypothèses!$W$8,IF(BZ333&lt;=Hypothèses!$V$9,Hypothèses!$W$9,IF(BZ333&lt;=Hypothèses!$V$10,Hypothèses!$W$10,IF(BZ333&lt;=Hypothèses!$V$11,Hypothèses!$W$11,IF(BZ333&lt;=Hypothèses!$V$12,Hypothèses!$W$12,IF(BZ333&lt;=Hypothèses!$V$13,Hypothèses!$W$13,IF(BZ333&lt;=Hypothèses!$V$14,Hypothèses!$W$14,IF(BZ333&lt;=Hypothèses!$V$15,Hypothèses!$W$15,IF(BZ333&lt;=Hypothèses!$V$16,Hypothèses!$W$16,IF(BZ333&lt;=Hypothèses!$V$17,Hypothèses!$W$17,IF(BZ333&lt;=Hypothèses!$V$18,Hypothèses!$W$18,""))))))))))))</f>
        <v>#DIV/0!</v>
      </c>
      <c r="CU333" s="87" t="e">
        <f t="shared" ca="1" si="520"/>
        <v>#DIV/0!</v>
      </c>
      <c r="CV333" s="88" t="e">
        <f ca="1">IF(BZ333&lt;=Hypothèses!$V$7,Hypothèses!$X$7,IF(BZ333&lt;=Hypothèses!$V$8,Hypothèses!$X$8,IF(BZ333&lt;=Hypothèses!$V$9,Hypothèses!$X$9,IF(BZ333&lt;=Hypothèses!$V$10,Hypothèses!$X$10,IF(BZ333&lt;=Hypothèses!$V$11,Hypothèses!$X$11,IF(BZ333&lt;=Hypothèses!$V$12,Hypothèses!$X$12,IF(BZ333&lt;=Hypothèses!$V$13,Hypothèses!$X$13,IF(BZ333&lt;=Hypothèses!$V$14,Hypothèses!$X$14,IF(BZ333&lt;=Hypothèses!$V$15,Hypothèses!$X$15,IF(BZ333&lt;=Hypothèses!$V$16,Hypothèses!$X$16,IF(BZ333&lt;=Hypothèses!$U$17,Hypothèses!$W$17,IF(BZ333&lt;=Hypothèses!$U$18,Hypothèses!$W$18,""))))))))))))</f>
        <v>#DIV/0!</v>
      </c>
      <c r="CW333" s="95" t="e">
        <f t="shared" ca="1" si="485"/>
        <v>#DIV/0!</v>
      </c>
      <c r="CX333" s="101" t="e">
        <f t="shared" si="527"/>
        <v>#N/A</v>
      </c>
      <c r="CY333" s="91" t="e">
        <f t="shared" si="454"/>
        <v>#N/A</v>
      </c>
      <c r="CZ333" s="30" t="e">
        <f t="shared" si="508"/>
        <v>#N/A</v>
      </c>
      <c r="DA333" s="30" t="e">
        <f t="shared" si="509"/>
        <v>#N/A</v>
      </c>
      <c r="DB333" s="31" t="e">
        <f>IF(OR(Hypothèses!$B$4=17,Hypothèses!$B$4=18,Hypothèses!$B$4=19,Hypothèses!$B$4=20),
IF($D333="Pressio.",
IF(OR($E333=3,$E333=1,$E333=4),DA333,CZ333),
IF($D333="Pénétro.",
IF(OR($E333=3,$E333=1,$E333=4),DA333,CZ333))),IF($D333="Pressio.",
IF($E333=3,DA333,CZ333),
IF($D333="Pénétro.",
IF($E333=4,DA333,CZ333))))</f>
        <v>#N/A</v>
      </c>
      <c r="DC333" s="31" t="e">
        <f>(IF(OR(Hypothèses!$B$4=17,Hypothèses!$B$4=18,Hypothèses!$B$4=19,Hypothèses!$B$4=20),
IF($D333="Pressio.",
IF(OR($E333=3,$E333=1,$E333=4),(PI()*DC$12^2)/4*(CY333*$W333*1000)/($H333*$B$5),(PI()*DC$12^2)/4*(CY333*$W333*1000)/($G333*$B$5)),
IF($D333="Pénétro.",
IF(OR($E333=4,$E333=1,$E333=5),(PI()*DC$12^2)/4*(CY333*$W333*1000)/($H333*$B$5),(PI()*DC$12^2)/4*(CY333*$W333*1000)/($G333*$B$5)))),
IF($D333="Pressio.",
IF($E333=3,(PI()*DC$12^2)/4*(CY333*$W333*1000)/($H333*$B$5),(PI()*DC$12^2)/4*(CY333*$W333*1000)/($G333*$B$5)),
IF($D333="Pénétro.",
IF($E333=4,(PI()*DC$12^2)/4*(CY333*$W333*1000)/($H333*$B$5),(PI()*DC$12^2)/4*(CY333*$W333*1000)/($G333*$B$5))))))/10</f>
        <v>#N/A</v>
      </c>
      <c r="DD333" s="102" t="e">
        <f>(VLOOKUP($B$3,'Coeff EC7'!$T$39:$X$59,2,0)*DB333+VLOOKUP($B$3,'Coeff EC7'!$T$65:$X$85,2,0)*Model0.1C!DC333)/1.1</f>
        <v>#N/A</v>
      </c>
      <c r="DE333" s="102" t="e">
        <f>(VLOOKUP($B$3,'Coeff EC7'!$T$39:$X$59,3,0)*DB333+VLOOKUP($B$3,'Coeff EC7'!$T$65:$X$85,3,0)*Model0.1C!DC333)/0.9</f>
        <v>#N/A</v>
      </c>
      <c r="DF333" s="102" t="e">
        <f t="shared" si="486"/>
        <v>#N/A</v>
      </c>
      <c r="DG333" s="102" t="e">
        <f t="shared" si="487"/>
        <v>#N/A</v>
      </c>
      <c r="DH333" s="414" t="e">
        <f>IF(DH332=0,0,IF(AND(DD333&gt;charge_ELS_quasi,DE333&gt;Charge_ELS_freq,DF333&gt;charge_ELU,DG333&gt;charge_ELA,$B333&gt;NDC!$H$22-0.1+MIN(3*$DH$12,1.5)),0,1))</f>
        <v>#N/A</v>
      </c>
      <c r="DI333" s="86" t="b">
        <f t="shared" si="455"/>
        <v>0</v>
      </c>
      <c r="DJ333" s="86">
        <f t="shared" si="456"/>
        <v>0.5</v>
      </c>
      <c r="DK333" s="86">
        <f t="shared" si="457"/>
        <v>0.5</v>
      </c>
      <c r="DL333" s="30" t="e">
        <f t="shared" ca="1" si="488"/>
        <v>#DIV/0!</v>
      </c>
      <c r="DM333" s="85" t="e">
        <f ca="1">IF(CS333&lt;=Hypothèses!$V$7,Hypothèses!$W$7,IF(CS333&lt;=Hypothèses!$V$8,Hypothèses!$W$8,IF(CS333&lt;=Hypothèses!$V$9,Hypothèses!$W$9,IF(CS333&lt;=Hypothèses!$V$10,Hypothèses!$W$10,IF(CS333&lt;=Hypothèses!$V$11,Hypothèses!$W$11,IF(CS333&lt;=Hypothèses!$V$12,Hypothèses!$W$12,IF(CS333&lt;=Hypothèses!$V$13,Hypothèses!$W$13,IF(CS333&lt;=Hypothèses!$V$14,Hypothèses!$W$14,IF(CS333&lt;=Hypothèses!$V$15,Hypothèses!$W$15,IF(CS333&lt;=Hypothèses!$V$16,Hypothèses!$W$16,IF(CS333&lt;=Hypothèses!$V$17,Hypothèses!$W$17,IF(CS333&lt;=Hypothèses!$V$18,Hypothèses!$W$18,""))))))))))))</f>
        <v>#DIV/0!</v>
      </c>
      <c r="DN333" s="87" t="e">
        <f t="shared" ca="1" si="521"/>
        <v>#DIV/0!</v>
      </c>
      <c r="DO333" s="88" t="e">
        <f ca="1">IF(CS333&lt;=Hypothèses!$V$7,Hypothèses!$X$7,IF(CS333&lt;=Hypothèses!$V$8,Hypothèses!$X$8,IF(CS333&lt;=Hypothèses!$V$9,Hypothèses!$X$9,IF(CS333&lt;=Hypothèses!$V$10,Hypothèses!$X$10,IF(CS333&lt;=Hypothèses!$V$11,Hypothèses!$X$11,IF(CS333&lt;=Hypothèses!$V$12,Hypothèses!$X$12,IF(CS333&lt;=Hypothèses!$V$13,Hypothèses!$X$13,IF(CS333&lt;=Hypothèses!$V$14,Hypothèses!$X$14,IF(CS333&lt;=Hypothèses!$V$15,Hypothèses!$X$15,IF(CS333&lt;=Hypothèses!$V$16,Hypothèses!$X$16,IF(CS333&lt;=Hypothèses!$U$17,Hypothèses!$W$17,IF(CS333&lt;=Hypothèses!$U$18,Hypothèses!$W$18,""))))))))))))</f>
        <v>#DIV/0!</v>
      </c>
      <c r="DP333" s="95" t="e">
        <f t="shared" ca="1" si="489"/>
        <v>#DIV/0!</v>
      </c>
      <c r="DQ333" s="101" t="e">
        <f t="shared" si="528"/>
        <v>#N/A</v>
      </c>
      <c r="DR333" s="91" t="e">
        <f t="shared" si="458"/>
        <v>#N/A</v>
      </c>
      <c r="DS333" s="30" t="e">
        <f t="shared" si="510"/>
        <v>#N/A</v>
      </c>
      <c r="DT333" s="30" t="e">
        <f t="shared" si="511"/>
        <v>#N/A</v>
      </c>
      <c r="DU333" s="31" t="e">
        <f>IF(OR(Hypothèses!$B$4=17,Hypothèses!$B$4=18,Hypothèses!$B$4=19,Hypothèses!$B$4=20),
IF($D333="Pressio.",
IF(OR($E333=3,$E333=1,$E333=4),DT333,DS333),
IF($D333="Pénétro.",
IF(OR($E333=3,$E333=1,$E333=4),DT333,DS333))),IF($D333="Pressio.",
IF($E333=3,DT333,DS333),
IF($D333="Pénétro.",
IF($E333=4,DT333,DS333))))</f>
        <v>#N/A</v>
      </c>
      <c r="DV333" s="31" t="e">
        <f>(IF(OR(Hypothèses!$B$4=17,Hypothèses!$B$4=18,Hypothèses!$B$4=19,Hypothèses!$B$4=20),
IF($D333="Pressio.",
IF(OR($E333=3,$E333=1,$E333=4),(PI()*DV$12^2)/4*(DR333*$W333*1000)/($H333*$B$5),(PI()*DV$12^2)/4*(DR333*$W333*1000)/($G333*$B$5)),
IF($D333="Pénétro.",
IF(OR($E333=4,$E333=1,$E333=5),(PI()*DV$12^2)/4*(DR333*$W333*1000)/($H333*$B$5),(PI()*DV$12^2)/4*(DR333*$W333*1000)/($G333*$B$5)))),
IF($D333="Pressio.",
IF($E333=3,(PI()*DV$12^2)/4*(DR333*$W333*1000)/($H333*$B$5),(PI()*DV$12^2)/4*(DR333*$W333*1000)/($G333*$B$5)),
IF($D333="Pénétro.",
IF($E333=4,(PI()*DV$12^2)/4*(DR333*$W333*1000)/($H333*$B$5),(PI()*DV$12^2)/4*(DR333*$W333*1000)/($G333*$B$5))))))/10</f>
        <v>#N/A</v>
      </c>
      <c r="DW333" s="102" t="e">
        <f>(VLOOKUP($B$3,'Coeff EC7'!$T$39:$X$59,2,0)*DU333+VLOOKUP($B$3,'Coeff EC7'!$T$65:$X$85,2,0)*Model0.1C!DV333)/1.1</f>
        <v>#N/A</v>
      </c>
      <c r="DX333" s="102" t="e">
        <f>(VLOOKUP($B$3,'Coeff EC7'!$T$39:$X$59,3,0)*DU333+VLOOKUP($B$3,'Coeff EC7'!$T$65:$X$85,3,0)*Model0.1C!DV333)/0.9</f>
        <v>#N/A</v>
      </c>
      <c r="DY333" s="102" t="e">
        <f t="shared" si="490"/>
        <v>#N/A</v>
      </c>
      <c r="DZ333" s="102" t="e">
        <f t="shared" si="491"/>
        <v>#N/A</v>
      </c>
      <c r="EA333" s="414" t="e">
        <f>IF(EA332=0,0,IF(AND(DW333&gt;charge_ELS_quasi,DX333&gt;Charge_ELS_freq,DY333&gt;charge_ELU,DZ333&gt;charge_ELA,$B333&gt;NDC!$H$22-0.1+MIN(3*$EA$12,1.5)),0,1))</f>
        <v>#N/A</v>
      </c>
      <c r="EB333" s="86" t="b">
        <f t="shared" si="459"/>
        <v>0</v>
      </c>
      <c r="EC333" s="418">
        <f t="shared" si="460"/>
        <v>0.51</v>
      </c>
      <c r="ED333" s="86">
        <f t="shared" si="461"/>
        <v>0.51</v>
      </c>
      <c r="EE333" s="30" t="e">
        <f t="shared" ca="1" si="492"/>
        <v>#DIV/0!</v>
      </c>
      <c r="EF333" s="85" t="e">
        <f ca="1">IF(DL333&lt;=Hypothèses!$V$7,Hypothèses!$W$7,IF(DL333&lt;=Hypothèses!$V$8,Hypothèses!$W$8,IF(DL333&lt;=Hypothèses!$V$9,Hypothèses!$W$9,IF(DL333&lt;=Hypothèses!$V$10,Hypothèses!$W$10,IF(DL333&lt;=Hypothèses!$V$11,Hypothèses!$W$11,IF(DL333&lt;=Hypothèses!$V$12,Hypothèses!$W$12,IF(DL333&lt;=Hypothèses!$V$13,Hypothèses!$W$13,IF(DL333&lt;=Hypothèses!$V$14,Hypothèses!$W$14,IF(DL333&lt;=Hypothèses!$V$15,Hypothèses!$W$15,IF(DL333&lt;=Hypothèses!$V$16,Hypothèses!$W$16,IF(DL333&lt;=Hypothèses!$V$17,Hypothèses!$W$17,IF(DL333&lt;=Hypothèses!$V$18,Hypothèses!$W$18,""))))))))))))</f>
        <v>#DIV/0!</v>
      </c>
      <c r="EG333" s="87" t="e">
        <f t="shared" ca="1" si="522"/>
        <v>#DIV/0!</v>
      </c>
      <c r="EH333" s="88" t="e">
        <f ca="1">IF(DL333&lt;=Hypothèses!$V$7,Hypothèses!$X$7,IF(DL333&lt;=Hypothèses!$V$8,Hypothèses!$X$8,IF(DL333&lt;=Hypothèses!$V$9,Hypothèses!$X$9,IF(DL333&lt;=Hypothèses!$V$10,Hypothèses!$X$10,IF(DL333&lt;=Hypothèses!$V$11,Hypothèses!$X$11,IF(DL333&lt;=Hypothèses!$V$12,Hypothèses!$X$12,IF(DL333&lt;=Hypothèses!$V$13,Hypothèses!$X$13,IF(DL333&lt;=Hypothèses!$V$14,Hypothèses!$X$14,IF(DL333&lt;=Hypothèses!$V$15,Hypothèses!$X$15,IF(DL333&lt;=Hypothèses!$V$16,Hypothèses!$X$16,IF(DL333&lt;=Hypothèses!$U$17,Hypothèses!$W$17,IF(DL333&lt;=Hypothèses!$U$18,Hypothèses!$W$18,""))))))))))))</f>
        <v>#DIV/0!</v>
      </c>
      <c r="EI333" s="95" t="e">
        <f t="shared" ca="1" si="493"/>
        <v>#DIV/0!</v>
      </c>
      <c r="EJ333" s="101" t="e">
        <f t="shared" si="529"/>
        <v>#N/A</v>
      </c>
      <c r="EK333" s="91" t="e">
        <f t="shared" si="462"/>
        <v>#N/A</v>
      </c>
      <c r="EL333" s="30" t="e">
        <f t="shared" si="512"/>
        <v>#N/A</v>
      </c>
      <c r="EM333" s="30" t="e">
        <f t="shared" si="513"/>
        <v>#N/A</v>
      </c>
      <c r="EN333" s="31" t="e">
        <f>IF(OR(Hypothèses!$B$4=17,Hypothèses!$B$4=18,Hypothèses!$B$4=19,Hypothèses!$B$4=20),
IF($D333="Pressio.",
IF(OR($E333=3,$E333=1,$E333=4),EM333,EL333),
IF($D333="Pénétro.",
IF(OR($E333=3,$E333=1,$E333=4),EM333,EL333))),IF($D333="Pressio.",
IF($E333=3,EM333,EL333),
IF($D333="Pénétro.",
IF($E333=4,EM333,EL333))))</f>
        <v>#N/A</v>
      </c>
      <c r="EO333" s="31" t="e">
        <f>(IF(OR(Hypothèses!$B$4=17,Hypothèses!$B$4=18,Hypothèses!$B$4=19,Hypothèses!$B$4=20),
IF($D333="Pressio.",
IF(OR($E333=3,$E333=1,$E333=4),(PI()*EO$12^2)/4*(EK333*$W333*1000)/($H333*$B$5),(PI()*EO$12^2)/4*(EK333*$W333*1000)/($G333*$B$5)),
IF($D333="Pénétro.",
IF(OR($E333=4,$E333=1,$E333=5),(PI()*EO$12^2)/4*(EK333*$W333*1000)/($H333*$B$5),(PI()*EO$12^2)/4*(EK333*$W333*1000)/($G333*$B$5)))),
IF($D333="Pressio.",
IF($E333=3,(PI()*EO$12^2)/4*(EK333*$W333*1000)/($H333*$B$5),(PI()*EO$12^2)/4*(EK333*$W333*1000)/($G333*$B$5)),
IF($D333="Pénétro.",
IF($E333=4,(PI()*EO$12^2)/4*(EK333*$W333*1000)/($H333*$B$5),(PI()*EO$12^2)/4*(EK333*$W333*1000)/($G333*$B$5))))))/10</f>
        <v>#N/A</v>
      </c>
      <c r="EP333" s="102" t="e">
        <f>(VLOOKUP($B$3,'Coeff EC7'!$T$39:$X$59,2,0)*EN333+VLOOKUP($B$3,'Coeff EC7'!$T$65:$X$85,2,0)*Model0.1C!EO333)/1.1</f>
        <v>#N/A</v>
      </c>
      <c r="EQ333" s="102" t="e">
        <f>(VLOOKUP($B$3,'Coeff EC7'!$T$39:$X$59,3,0)*EN333+VLOOKUP($B$3,'Coeff EC7'!$T$65:$X$85,3,0)*Model0.1C!EO333)/0.9</f>
        <v>#N/A</v>
      </c>
      <c r="ER333" s="102" t="e">
        <f t="shared" si="494"/>
        <v>#N/A</v>
      </c>
      <c r="ES333" s="102" t="e">
        <f t="shared" si="495"/>
        <v>#N/A</v>
      </c>
      <c r="ET333" s="414" t="e">
        <f>IF(ET332=0,0,IF(AND(EP333&gt;charge_ELS_quasi,EQ333&gt;Charge_ELS_freq,ER333&gt;charge_ELU,ES333&gt;charge_ELA,$B333&gt;NDC!$H$22-0.1+MIN(3*$ET$12,1.5)),0,1))</f>
        <v>#N/A</v>
      </c>
      <c r="EU333" s="86" t="b">
        <f t="shared" si="463"/>
        <v>0</v>
      </c>
      <c r="EV333" s="86">
        <f t="shared" si="464"/>
        <v>0.61</v>
      </c>
      <c r="EW333" s="86">
        <f t="shared" si="465"/>
        <v>0.61</v>
      </c>
      <c r="EX333" s="30" t="e">
        <f t="shared" ca="1" si="496"/>
        <v>#DIV/0!</v>
      </c>
      <c r="EY333" s="85" t="e">
        <f ca="1">IF(EE333&lt;=Hypothèses!$V$7,Hypothèses!$W$7,IF(EE333&lt;=Hypothèses!$V$8,Hypothèses!$W$8,IF(EE333&lt;=Hypothèses!$V$9,Hypothèses!$W$9,IF(EE333&lt;=Hypothèses!$V$10,Hypothèses!$W$10,IF(EE333&lt;=Hypothèses!$V$11,Hypothèses!$W$11,IF(EE333&lt;=Hypothèses!$V$12,Hypothèses!$W$12,IF(EE333&lt;=Hypothèses!$V$13,Hypothèses!$W$13,IF(EE333&lt;=Hypothèses!$V$14,Hypothèses!$W$14,IF(EE333&lt;=Hypothèses!$V$15,Hypothèses!$W$15,IF(EE333&lt;=Hypothèses!$V$16,Hypothèses!$W$16,IF(EE333&lt;=Hypothèses!$V$17,Hypothèses!$W$17,IF(EE333&lt;=Hypothèses!$V$18,Hypothèses!$W$18,""))))))))))))</f>
        <v>#DIV/0!</v>
      </c>
      <c r="EZ333" s="87" t="e">
        <f t="shared" ca="1" si="523"/>
        <v>#DIV/0!</v>
      </c>
      <c r="FA333" s="88" t="e">
        <f ca="1">IF(EE333&lt;=Hypothèses!$V$7,Hypothèses!$X$7,IF(EE333&lt;=Hypothèses!$V$8,Hypothèses!$X$8,IF(EE333&lt;=Hypothèses!$V$9,Hypothèses!$X$9,IF(EE333&lt;=Hypothèses!$V$10,Hypothèses!$X$10,IF(EE333&lt;=Hypothèses!$V$11,Hypothèses!$X$11,IF(EE333&lt;=Hypothèses!$V$12,Hypothèses!$X$12,IF(EE333&lt;=Hypothèses!$V$13,Hypothèses!$X$13,IF(EE333&lt;=Hypothèses!$V$14,Hypothèses!$X$14,IF(EE333&lt;=Hypothèses!$V$15,Hypothèses!$X$15,IF(EE333&lt;=Hypothèses!$V$16,Hypothèses!$X$16,IF(EE333&lt;=Hypothèses!$U$17,Hypothèses!$W$17,IF(EE333&lt;=Hypothèses!$U$18,Hypothèses!$W$18,""))))))))))))</f>
        <v>#DIV/0!</v>
      </c>
      <c r="FB333" s="95" t="e">
        <f t="shared" ca="1" si="497"/>
        <v>#DIV/0!</v>
      </c>
      <c r="FC333" s="101" t="e">
        <f t="shared" si="530"/>
        <v>#N/A</v>
      </c>
      <c r="FD333" s="91" t="e">
        <f t="shared" si="466"/>
        <v>#N/A</v>
      </c>
      <c r="FE333" s="30" t="e">
        <f t="shared" si="514"/>
        <v>#N/A</v>
      </c>
      <c r="FF333" s="30" t="e">
        <f t="shared" si="515"/>
        <v>#N/A</v>
      </c>
      <c r="FG333" s="31" t="e">
        <f>IF(OR(Hypothèses!$B$4=17,Hypothèses!$B$4=18,Hypothèses!$B$4=19,Hypothèses!$B$4=20),
IF($D333="Pressio.",
IF(OR($E333=3,$E333=1,$E333=4),FF333,FE333),
IF($D333="Pénétro.",
IF(OR($E333=3,$E333=1,$E333=4),FF333,FE333))),IF($D333="Pressio.",
IF($E333=3,FF333,FE333),
IF($D333="Pénétro.",
IF($E333=4,FF333,FE333))))</f>
        <v>#N/A</v>
      </c>
      <c r="FH333" s="31" t="e">
        <f>(IF(OR(Hypothèses!$B$4=17,Hypothèses!$B$4=18,Hypothèses!$B$4=19,Hypothèses!$B$4=20),
IF($D333="Pressio.",
IF(OR($E333=3,$E333=1,$E333=4),(PI()*FH$12^2)/4*(FD333*$W333*1000)/($H333*$B$5),(PI()*FH$12^2)/4*(FD333*$W333*1000)/($G333*$B$5)),
IF($D333="Pénétro.",
IF(OR($E333=4,$E333=1,$E333=5),(PI()*FH$12^2)/4*(FD333*$W333*1000)/($H333*$B$5),(PI()*FH$12^2)/4*(FD333*$W333*1000)/($G333*$B$5)))),
IF($D333="Pressio.",
IF($E333=3,(PI()*FH$12^2)/4*(FD333*$W333*1000)/($H333*$B$5),(PI()*FH$12^2)/4*(FD333*$W333*1000)/($G333*$B$5)),
IF($D333="Pénétro.",
IF($E333=4,(PI()*FH$12^2)/4*(FD333*$W333*1000)/($H333*$B$5),(PI()*FH$12^2)/4*(FD333*$W333*1000)/($G333*$B$5))))))/10</f>
        <v>#N/A</v>
      </c>
      <c r="FI333" s="102" t="e">
        <f>(VLOOKUP($B$3,'Coeff EC7'!$T$39:$X$59,2,0)*FG333+VLOOKUP($B$3,'Coeff EC7'!$T$65:$X$85,2,0)*Model0.1C!FH333)/1.1</f>
        <v>#N/A</v>
      </c>
      <c r="FJ333" s="102" t="e">
        <f>(VLOOKUP($B$3,'Coeff EC7'!$T$39:$X$59,3,0)*FG333+VLOOKUP($B$3,'Coeff EC7'!$T$65:$X$85,3,0)*Model0.1C!FH333)/0.9</f>
        <v>#N/A</v>
      </c>
      <c r="FK333" s="102" t="e">
        <f t="shared" si="498"/>
        <v>#N/A</v>
      </c>
      <c r="FL333" s="102" t="e">
        <f t="shared" si="499"/>
        <v>#N/A</v>
      </c>
      <c r="FM333" s="414" t="e">
        <f>IF(FM332=0,0,IF(AND(FI333&gt;charge_ELS_quasi,FJ333&gt;Charge_ELS_freq,FK333&gt;charge_ELU,FL333&gt;charge_ELA,$B333&gt;NDC!$H$22-0.1+MIN(3*$FM$12,1.5)),0,1))</f>
        <v>#N/A</v>
      </c>
    </row>
    <row r="334" spans="1:169">
      <c r="A334" s="96">
        <f t="shared" si="467"/>
        <v>67.900000000001825</v>
      </c>
      <c r="B334" s="97">
        <v>32.1</v>
      </c>
      <c r="C334" s="81">
        <f>IF(B334&lt;=Hypothèses!$C$7,Hypothèses!$A$7,IF(B334&lt;=Hypothèses!$C$8,Hypothèses!$A$8,IF(B334&lt;=Hypothèses!$C$9,Hypothèses!$A$9,IF(B334&lt;=Hypothèses!$C$10,Hypothèses!$A$10,IF(B334&lt;=Hypothèses!$C$11,Hypothèses!$A$11,IF(B334&lt;=Hypothèses!$C$12,Hypothèses!$A$12,IF(B334&lt;=Hypothèses!$C$13,Hypothèses!$A$13,IF(B334&lt;=Hypothèses!$C$14,Hypothèses!$A$14,IF(B334&lt;=Hypothèses!$C$15,Hypothèses!$A$15,IF(B334&lt;=Hypothèses!$C$16,Hypothèses!$A$16,IF(B334&lt;=Hypothèses!$C$17,Hypothèses!$A$17,IF(B334&lt;=Hypothèses!$C$18,Hypothèses!$A$18,C333))))))))))))</f>
        <v>11</v>
      </c>
      <c r="D334" s="82" t="str">
        <f>IF(B334&lt;=Hypothèses!$C$7,Hypothèses!$R$7,IF(B334&lt;=Hypothèses!$C$8,Hypothèses!$R$8,IF(B334&lt;=Hypothèses!$C$9,Hypothèses!$R$9,IF(B334&lt;=Hypothèses!$C$10,Hypothèses!$R$10,IF(B334&lt;=Hypothèses!$C$11,Hypothèses!$R$11,IF(B334&lt;=Hypothèses!$C$12,Hypothèses!$R$12,IF(B334&lt;=Hypothèses!$C$13,Hypothèses!$R$13,IF(B334&lt;=Hypothèses!$C$14,Hypothèses!$R$14,IF(B334&lt;=Hypothèses!$C$15,Hypothèses!$R$15,IF(B334&lt;=Hypothèses!$C$16,Hypothèses!$R$16,IF(B334&lt;=Hypothèses!$C$17,Hypothèses!$R$17,IF(B334&lt;=Hypothèses!$C$18,Hypothèses!$R$18,D333))))))))))))</f>
        <v>Pressio.</v>
      </c>
      <c r="E334" s="82" t="e">
        <f>IF(B334&lt;=Hypothèses!$C$7,Hypothèses!$G$7,IF(B334&lt;=Hypothèses!$C$8,Hypothèses!$G$8,IF(B334&lt;=Hypothèses!$C$9,Hypothèses!$G$9,IF(B334&lt;=Hypothèses!$C$10,Hypothèses!$G$10,IF(B334&lt;=Hypothèses!$C$11,Hypothèses!$G$11,IF(B334&lt;=Hypothèses!$C$12,Hypothèses!$G$12,IF(B334&lt;=Hypothèses!$C$13,Hypothèses!$G$13,IF(B334&lt;=Hypothèses!$C$14,Hypothèses!$G$14,IF(B334&lt;=Hypothèses!$C$15,Hypothèses!$G$15,IF(B334&lt;=Hypothèses!$C$16,Hypothèses!$G$16,IF(B334&lt;=Hypothèses!$C$17,Hypothèses!$G$17,IF(B334&lt;=Hypothèses!$C$18,Hypothèses!$G$18,E333))))))))))))</f>
        <v>#N/A</v>
      </c>
      <c r="F334" s="82" t="str">
        <f>IF(B334&lt;=Hypothèses!$C$7,Hypothèses!$F$7,IF(B334&lt;=Hypothèses!$C$8,Hypothèses!$F$8,IF(B334&lt;=Hypothèses!$C$9,Hypothèses!$F$9,IF(B334&lt;=Hypothèses!$C$10,Hypothèses!$F$10,IF(B334&lt;=Hypothèses!$C$11,Hypothèses!$F$11,IF(B334&lt;=Hypothèses!$C$12,Hypothèses!$F$12,IF(B334&lt;=Hypothèses!$C$13,Hypothèses!$F$13,IF(B334&lt;=Hypothèses!$C$14,Hypothèses!$F$14,IF(B334&lt;=Hypothèses!$C$15,Hypothèses!$F$15,IF(B334&lt;=Hypothèses!$C$16,Hypothèses!$F$16,IF(B334&lt;=Hypothèses!$C$17,Hypothèses!$F$17,IF(B334&lt;=Hypothèses!$C$18,Hypothèses!$F$18,F333))))))))))))</f>
        <v/>
      </c>
      <c r="G334" s="91">
        <f t="array" ref="G334">INDEX('Coeff EC7'!$U$7:$X$27,
MATCH(Model0.1C!$B$3,'Coeff EC7'!$T$7:$T$27,0),
MATCH(Model0.1C!$D334&amp;Model0.1C!$B$4,
'Coeff EC7'!$U$6:$X$6&amp;
'Coeff EC7'!$U$5:$X$5,0))</f>
        <v>1.1499999999999999</v>
      </c>
      <c r="H334" s="91">
        <f t="array" ref="H334">INDEX('Coeff EC7'!$Y$7:$AB$27,
MATCH(Model0.1C!$B$3,'Coeff EC7'!$T$7:$T$27,0),
MATCH(Model0.1C!$D334&amp;Model0.1C!$B$4,
'Coeff EC7'!$Y$6:$AB$6&amp;
'Coeff EC7'!$Y$5:$AB$5,0))</f>
        <v>1.4</v>
      </c>
      <c r="I334" s="83" t="e">
        <f>IF(B334&lt;=Hypothèses!$C$7,Hypothèses!$P$7,IF(B334&lt;=Hypothèses!$C$8,Hypothèses!$P$8,IF(B334&lt;=Hypothèses!$C$9,Hypothèses!$P$9,IF(B334&lt;=Hypothèses!$C$10,Hypothèses!$P$10,IF(B334&lt;=Hypothèses!$C$11,Hypothèses!$P$11,IF(B334&lt;=Hypothèses!$C$12,Hypothèses!$P$12,IF(B334&lt;=Hypothèses!$C$13,Hypothèses!$P$13,IF(B334&lt;=Hypothèses!$C$14,Hypothèses!$P$14,IF(B334&lt;=Hypothèses!$C$15,Hypothèses!$P$15,IF(B334&lt;=Hypothèses!$C$16,Hypothèses!$P$16,IF(B334&lt;=Hypothèses!$C$17,Hypothèses!$P$17,IF(B334&lt;=Hypothèses!$C$18,Hypothèses!$P$18,I333))))))))))))</f>
        <v>#N/A</v>
      </c>
      <c r="J334" s="91" t="e">
        <f t="array" ref="J334">INDEX('Coeff EC7'!$D$33:$Q$33,1,MATCH(D334&amp;E334,'Coeff EC7'!$D$31:$Q$31&amp;'Coeff EC7'!$D$32:$Q$32,0))</f>
        <v>#N/A</v>
      </c>
      <c r="K334" s="91" t="e">
        <f t="array" ref="K334">INDEX('Coeff EC7'!$D$34:$Q$34,1,MATCH(D334&amp;E334,'Coeff EC7'!$D$31:$Q$31&amp;'Coeff EC7'!$D$32:$Q$32,0))</f>
        <v>#N/A</v>
      </c>
      <c r="L334" s="91" t="e">
        <f t="array" ref="L334">INDEX('Coeff EC7'!$D$35:$Q$35,1,MATCH(D334&amp;E334,'Coeff EC7'!$D$31:$Q$31&amp;'Coeff EC7'!$D$32:$Q$32,0))</f>
        <v>#N/A</v>
      </c>
      <c r="M334" s="98" t="e">
        <f t="shared" si="531"/>
        <v>#N/A</v>
      </c>
      <c r="N334" s="99" t="e">
        <f t="array" ref="N334">INDEX('Coeff EC7'!$D$7:$Q$27,MATCH($B$3,'Coeff EC7'!$C$7:$C$27,0),MATCH(D334&amp;E334,'Coeff EC7'!$D$5:$Q$5&amp;'Coeff EC7'!$D$6:$Q$6,0))</f>
        <v>#N/A</v>
      </c>
      <c r="O334" s="99" t="e">
        <f t="array" ref="O334">INDEX('Coeff EC7'!$D$41:$Q$61,MATCH($B$3,'Coeff EC7'!$C$41:$C$61,0),MATCH(D334&amp;E334,'Coeff EC7'!$D$39:$Q$39&amp;'Coeff EC7'!$D$40:$Q$40,0))</f>
        <v>#N/A</v>
      </c>
      <c r="P334" s="30" t="e">
        <f t="shared" si="468"/>
        <v>#N/A</v>
      </c>
      <c r="Q334" s="100" t="e">
        <f t="shared" ref="Q334:Q363" si="533">MIN(O334,P334)*$B$10</f>
        <v>#N/A</v>
      </c>
      <c r="R334" s="86" t="b">
        <f t="shared" ref="R334:R363" si="534">IF($B334&lt;=$P$4, $B334, IF($B334&lt;=$P$5, $B334-$P$4, IF($B334&lt;=$P$6, $B334-$P$5, IF($B334&lt;=$P$7,$B334-$P$6, IF($B334&lt;=$P$8, $B334-$P$7, IF($B334&lt;=$P$9, $B334-$P$8, IF($B334&lt;=$P$10,$B334-$P$9)))))))</f>
        <v>0</v>
      </c>
      <c r="S334" s="86">
        <f t="shared" si="532"/>
        <v>0.5</v>
      </c>
      <c r="T334" s="86">
        <f t="shared" ref="T334:T363" si="535">MIN(S334,R334)</f>
        <v>0.5</v>
      </c>
      <c r="U334" s="30" t="e">
        <f t="shared" ca="1" si="469"/>
        <v>#DIV/0!</v>
      </c>
      <c r="V334" s="85" t="str">
        <f>IF(B334&lt;=Hypothèses!$V$7,Hypothèses!$W$7,IF(B334&lt;=Hypothèses!$V$8,Hypothèses!$W$8,IF(B334&lt;=Hypothèses!$V$9,Hypothèses!$W$9,IF(B334&lt;=Hypothèses!$V$10,Hypothèses!$W$10,IF(B334&lt;=Hypothèses!$V$11,Hypothèses!$W$11,IF(B334&lt;=Hypothèses!$V$12,Hypothèses!$W$12,IF(B334&lt;=Hypothèses!$V$13,Hypothèses!$W$13,IF(B334&lt;=Hypothèses!$V$14,Hypothèses!$W$14,IF(B334&lt;=Hypothèses!$V$15,Hypothèses!$W$15,IF(B334&lt;=Hypothèses!$V$16,Hypothèses!$W$16,IF(B334&lt;=Hypothèses!$V$17,Hypothèses!$W$17,IF(B334&lt;=Hypothèses!$V$18,Hypothèses!$W$18,""))))))))))))</f>
        <v/>
      </c>
      <c r="W334" s="87" t="e">
        <f t="shared" ca="1" si="516"/>
        <v>#DIV/0!</v>
      </c>
      <c r="X334" s="88" t="str">
        <f>IF(B334&lt;=Hypothèses!$V$7,Hypothèses!$X$7,IF(B334&lt;=Hypothèses!$V$8,Hypothèses!$X$8,IF(B334&lt;=Hypothèses!$V$9,Hypothèses!$X$9,IF(B334&lt;=Hypothèses!$V$10,Hypothèses!$X$10,IF(B334&lt;=Hypothèses!$V$11,Hypothèses!$X$11,IF(B334&lt;=Hypothèses!$V$12,Hypothèses!$X$12,IF(B334&lt;=Hypothèses!$V$13,Hypothèses!$X$13,IF(B334&lt;=Hypothèses!$V$14,Hypothèses!$X$14,IF(B334&lt;=Hypothèses!$V$15,Hypothèses!$X$15,IF(B334&lt;=Hypothèses!$V$16,Hypothèses!$X$16,IF(B334&lt;=Hypothèses!$U$17,Hypothèses!$W$17,IF(B334&lt;=Hypothèses!$U$18,Hypothèses!$W$18,""))))))))))))</f>
        <v/>
      </c>
      <c r="Y334" s="95" t="e">
        <f t="shared" ref="Y334:Y363" ca="1" si="536">IF($B334&lt;10*$AI$12,0.1/W334*SUM(OFFSET(F334,-10*$B334+1,0,10*$B334,1)),0.1/W334*SUM(OFFSET(F334,-100*$AI$12+1,0,100*$AI$12,1)))</f>
        <v>#DIV/0!</v>
      </c>
      <c r="Z334" s="101" t="e">
        <f t="shared" ref="Z334:Z363" si="537">IF($I334=0,0,
IF(Y334&gt;5*AD$12,$I334,
IF($D334="Pressio.",1+($I334-1)*(Y334/AD$12)/5,
IF($D334="Pénétro.",IF($E334=1,0.3+($I334-0.3)*(Y334/AD$12)/5,
IF($E334=2,0.2+($I334-0.2)*(Y334/AD$12)/5,
IF($E334=3,0.1+($I334-0.1)*(Y334/AD$12)/5,
0.15+($I334-0.15)*(Y334/AD$12)/5)))))))</f>
        <v>#N/A</v>
      </c>
      <c r="AA334" s="91" t="e">
        <f t="shared" ref="AA334:AA363" si="538">IF($X334&lt;&gt;"",$X334,Z334)</f>
        <v>#N/A</v>
      </c>
      <c r="AB334" s="30" t="e">
        <f t="shared" si="500"/>
        <v>#N/A</v>
      </c>
      <c r="AC334" s="30" t="e">
        <f t="shared" si="501"/>
        <v>#N/A</v>
      </c>
      <c r="AD334" s="31" t="e">
        <f>IF(OR(Hypothèses!$B$4=17,Hypothèses!$B$4=18,Hypothèses!$B$4=19,Hypothèses!$B$4=20),
IF($D334="Pressio.",
IF(OR($E334=3,$E334=1,$E334=4),AC334,AB334),
IF($D334="Pénétro.",
IF(OR($E334=3,$E334=1,$E334=4),AC334,AB334))),IF($D334="Pressio.",
IF($E334=3,AC334,AB334),
IF($D334="Pénétro.",
IF($E334=4,AC334,AB334))))</f>
        <v>#N/A</v>
      </c>
      <c r="AE334" s="31" t="e">
        <f>(IF(OR(Hypothèses!$B$4=17,Hypothèses!$B$4=18,Hypothèses!$B$4=19,Hypothèses!$B$4=20),
IF($D334="Pressio.",
IF(OR($E334=3,$E334=1,$E334=4),(PI()*AE$12^2)/4*(AA334*$W334*1000)/($H334*$B$5),(PI()*AE$12^2)/4*(AA334*$W334*1000)/($G334*$B$5)),
IF($D334="Pénétro.",
IF(OR($E334=4,$E334=1,$E334=5),(PI()*AE$12^2)/4*(AA334*$W334*1000)/($H334*$B$5),(PI()*AE$12^2)/4*(AA334*$W334*1000)/($G334*$B$5)))),
IF($D334="Pressio.",
IF($E334=3,(PI()*AE$12^2)/4*(AA334*$W334*1000)/($H334*$B$5),(PI()*AE$12^2)/4*(AA334*$W334*1000)/($G334*$B$5)),
IF($D334="Pénétro.",
IF($E334=4,(PI()*AE$12^2)/4*(AA334*$W334*1000)/($H334*$B$5),(PI()*AE$12^2)/4*(AA334*$W334*1000)/($G334*$B$5))))))/10</f>
        <v>#N/A</v>
      </c>
      <c r="AF334" s="102" t="e">
        <f>(VLOOKUP($B$3,'Coeff EC7'!$T$39:$X$59,2,0)*AD334+VLOOKUP($B$3,'Coeff EC7'!$T$65:$X$85,2,0)*Model0.1C!AE334)/1.1</f>
        <v>#N/A</v>
      </c>
      <c r="AG334" s="102" t="e">
        <f>(VLOOKUP($B$3,'Coeff EC7'!$T$39:$X$59,3,0)*AD334+VLOOKUP($B$3,'Coeff EC7'!$T$65:$X$85,3,0)*Model0.1C!AE334)/0.9</f>
        <v>#N/A</v>
      </c>
      <c r="AH334" s="102" t="e">
        <f t="shared" ref="AH334:AH363" si="539">AD334/1.1+AE334/1.1</f>
        <v>#N/A</v>
      </c>
      <c r="AI334" s="102" t="e">
        <f t="shared" ref="AI334:AI363" si="540">AD334+AE334</f>
        <v>#N/A</v>
      </c>
      <c r="AJ334" s="414" t="e">
        <f>IF(AJ333=0,0,IF(AND(AF334&gt;charge_ELS_quasi,AG334&gt;Charge_ELS_freq,AH334&gt;charge_ELU,AI334&gt;charge_ELA,$B334&gt;NDC!$H$22-0.1+MIN(3*$AJ$12,1.5)),0,1))</f>
        <v>#N/A</v>
      </c>
      <c r="AK334" s="86" t="b">
        <f t="shared" ref="AK334:AK363" si="541">IF($B334&lt;=$P$4, $B334, IF($B334&lt;=$P$5, $B334-$P$4, IF($B334&lt;=$P$6, $B334-$P$5, IF($B334&lt;=$P$7,$B334-$P$6, IF($B334&lt;=$P$8, $B334-$P$7, IF($B334&lt;=$P$9, $B334-$P$8, IF($B334&lt;=$P$10,$B334-$P$9)))))))</f>
        <v>0</v>
      </c>
      <c r="AL334" s="86">
        <f t="shared" si="470"/>
        <v>0.5</v>
      </c>
      <c r="AM334" s="86">
        <f t="shared" ref="AM334:AM363" si="542">MIN(AL334,AK334)</f>
        <v>0.5</v>
      </c>
      <c r="AN334" s="30" t="e">
        <f t="shared" ca="1" si="471"/>
        <v>#DIV/0!</v>
      </c>
      <c r="AO334" s="85" t="e">
        <f ca="1">IF(U334&lt;=Hypothèses!$V$7,Hypothèses!$W$7,IF(U334&lt;=Hypothèses!$V$8,Hypothèses!$W$8,IF(U334&lt;=Hypothèses!$V$9,Hypothèses!$W$9,IF(U334&lt;=Hypothèses!$V$10,Hypothèses!$W$10,IF(U334&lt;=Hypothèses!$V$11,Hypothèses!$W$11,IF(U334&lt;=Hypothèses!$V$12,Hypothèses!$W$12,IF(U334&lt;=Hypothèses!$V$13,Hypothèses!$W$13,IF(U334&lt;=Hypothèses!$V$14,Hypothèses!$W$14,IF(U334&lt;=Hypothèses!$V$15,Hypothèses!$W$15,IF(U334&lt;=Hypothèses!$V$16,Hypothèses!$W$16,IF(U334&lt;=Hypothèses!$V$17,Hypothèses!$W$17,IF(U334&lt;=Hypothèses!$V$18,Hypothèses!$W$18,""))))))))))))</f>
        <v>#DIV/0!</v>
      </c>
      <c r="AP334" s="87" t="e">
        <f t="shared" ca="1" si="517"/>
        <v>#DIV/0!</v>
      </c>
      <c r="AQ334" s="88" t="e">
        <f ca="1">IF(U334&lt;=Hypothèses!$V$7,Hypothèses!$X$7,IF(U334&lt;=Hypothèses!$V$8,Hypothèses!$X$8,IF(U334&lt;=Hypothèses!$V$9,Hypothèses!$X$9,IF(U334&lt;=Hypothèses!$V$10,Hypothèses!$X$10,IF(U334&lt;=Hypothèses!$V$11,Hypothèses!$X$11,IF(U334&lt;=Hypothèses!$V$12,Hypothèses!$X$12,IF(U334&lt;=Hypothèses!$V$13,Hypothèses!$X$13,IF(U334&lt;=Hypothèses!$V$14,Hypothèses!$X$14,IF(U334&lt;=Hypothèses!$V$15,Hypothèses!$X$15,IF(U334&lt;=Hypothèses!$V$16,Hypothèses!$X$16,IF(U334&lt;=Hypothèses!$U$17,Hypothèses!$W$17,IF(U334&lt;=Hypothèses!$U$18,Hypothèses!$W$18,""))))))))))))</f>
        <v>#DIV/0!</v>
      </c>
      <c r="AR334" s="95" t="e">
        <f t="shared" ca="1" si="472"/>
        <v>#DIV/0!</v>
      </c>
      <c r="AS334" s="101" t="e">
        <f t="shared" si="524"/>
        <v>#N/A</v>
      </c>
      <c r="AT334" s="91" t="e">
        <f t="shared" ref="AT334:AT363" si="543">IF($X334&lt;&gt;"",$X334,AS334)</f>
        <v>#N/A</v>
      </c>
      <c r="AU334" s="30" t="e">
        <f t="shared" si="502"/>
        <v>#N/A</v>
      </c>
      <c r="AV334" s="30" t="e">
        <f t="shared" si="503"/>
        <v>#N/A</v>
      </c>
      <c r="AW334" s="31" t="e">
        <f>IF(OR(Hypothèses!$B$4=17,Hypothèses!$B$4=18,Hypothèses!$B$4=19,Hypothèses!$B$4=20),
IF($D334="Pressio.",
IF(OR($E334=3,$E334=1,$E334=4),AV334,AU334),
IF($D334="Pénétro.",
IF(OR($E334=3,$E334=1,$E334=4),AV334,AU334))),IF($D334="Pressio.",
IF($E334=3,AV334,AU334),
IF($D334="Pénétro.",
IF($E334=4,AV334,AU334))))</f>
        <v>#N/A</v>
      </c>
      <c r="AX334" s="31" t="e">
        <f>(IF(OR(Hypothèses!$B$4=17,Hypothèses!$B$4=18,Hypothèses!$B$4=19,Hypothèses!$B$4=20),
IF($D334="Pressio.",
IF(OR($E334=3,$E334=1,$E334=4),(PI()*AX$12^2)/4*(AT334*$W334*1000)/($H334*$B$5),(PI()*AX$12^2)/4*(AT334*$W334*1000)/($G334*$B$5)),
IF($D334="Pénétro.",
IF(OR($E334=4,$E334=1,$E334=5),(PI()*AX$12^2)/4*(AT334*$W334*1000)/($H334*$B$5),(PI()*AX$12^2)/4*(AT334*$W334*1000)/($G334*$B$5)))),
IF($D334="Pressio.",
IF($E334=3,(PI()*AX$12^2)/4*(AT334*$W334*1000)/($H334*$B$5),(PI()*AX$12^2)/4*(AT334*$W334*1000)/($G334*$B$5)),
IF($D334="Pénétro.",
IF($E334=4,(PI()*AX$12^2)/4*(AT334*$W334*1000)/($H334*$B$5),(PI()*AX$12^2)/4*(AT334*$W334*1000)/($G334*$B$5))))))/10</f>
        <v>#N/A</v>
      </c>
      <c r="AY334" s="102" t="e">
        <f>(VLOOKUP($B$3,'Coeff EC7'!$T$39:$X$59,2,0)*AW334+VLOOKUP($B$3,'Coeff EC7'!$T$65:$X$85,2,0)*Model0.1C!AX334)/1.1</f>
        <v>#N/A</v>
      </c>
      <c r="AZ334" s="102" t="e">
        <f>(VLOOKUP($B$3,'Coeff EC7'!$T$39:$X$59,3,0)*AW334+VLOOKUP($B$3,'Coeff EC7'!$T$65:$X$85,3,0)*Model0.1C!AX334)/0.9</f>
        <v>#N/A</v>
      </c>
      <c r="BA334" s="102" t="e">
        <f t="shared" si="473"/>
        <v>#N/A</v>
      </c>
      <c r="BB334" s="102" t="e">
        <f t="shared" si="474"/>
        <v>#N/A</v>
      </c>
      <c r="BC334" s="414" t="e">
        <f>IF(BC333=0,0,IF(AND(AY334&gt;charge_ELS_quasi,AZ334&gt;Charge_ELS_freq,BA334&gt;charge_ELU,BB334&gt;charge_ELA,$B334&gt;NDC!$H$22-0.1+MIN(3*$BC$12,1.5)),0,1))</f>
        <v>#N/A</v>
      </c>
      <c r="BD334" s="86" t="b">
        <f t="shared" ref="BD334:BD363" si="544">IF($B334&lt;=$P$4, $B334, IF($B334&lt;=$P$5, $B334-$P$4, IF($B334&lt;=$P$6, $B334-$P$5, IF($B334&lt;=$P$7,$B334-$P$6, IF($B334&lt;=$P$8, $B334-$P$7, IF($B334&lt;=$P$9, $B334-$P$8, IF($B334&lt;=$P$10,$B334-$P$9)))))))</f>
        <v>0</v>
      </c>
      <c r="BE334" s="86">
        <f t="shared" si="475"/>
        <v>0.5</v>
      </c>
      <c r="BF334" s="86">
        <f t="shared" ref="BF334:BF363" si="545">MIN(BE334,BD334)</f>
        <v>0.5</v>
      </c>
      <c r="BG334" s="30" t="e">
        <f t="shared" ca="1" si="476"/>
        <v>#DIV/0!</v>
      </c>
      <c r="BH334" s="85" t="e">
        <f ca="1">IF(AN334&lt;=Hypothèses!$V$7,Hypothèses!$W$7,IF(AN334&lt;=Hypothèses!$V$8,Hypothèses!$W$8,IF(AN334&lt;=Hypothèses!$V$9,Hypothèses!$W$9,IF(AN334&lt;=Hypothèses!$V$10,Hypothèses!$W$10,IF(AN334&lt;=Hypothèses!$V$11,Hypothèses!$W$11,IF(AN334&lt;=Hypothèses!$V$12,Hypothèses!$W$12,IF(AN334&lt;=Hypothèses!$V$13,Hypothèses!$W$13,IF(AN334&lt;=Hypothèses!$V$14,Hypothèses!$W$14,IF(AN334&lt;=Hypothèses!$V$15,Hypothèses!$W$15,IF(AN334&lt;=Hypothèses!$V$16,Hypothèses!$W$16,IF(AN334&lt;=Hypothèses!$V$17,Hypothèses!$W$17,IF(AN334&lt;=Hypothèses!$V$18,Hypothèses!$W$18,""))))))))))))</f>
        <v>#DIV/0!</v>
      </c>
      <c r="BI334" s="87" t="e">
        <f t="shared" ca="1" si="518"/>
        <v>#DIV/0!</v>
      </c>
      <c r="BJ334" s="88" t="e">
        <f ca="1">IF(AN334&lt;=Hypothèses!$V$7,Hypothèses!$X$7,IF(AN334&lt;=Hypothèses!$V$8,Hypothèses!$X$8,IF(AN334&lt;=Hypothèses!$V$9,Hypothèses!$X$9,IF(AN334&lt;=Hypothèses!$V$10,Hypothèses!$X$10,IF(AN334&lt;=Hypothèses!$V$11,Hypothèses!$X$11,IF(AN334&lt;=Hypothèses!$V$12,Hypothèses!$X$12,IF(AN334&lt;=Hypothèses!$V$13,Hypothèses!$X$13,IF(AN334&lt;=Hypothèses!$V$14,Hypothèses!$X$14,IF(AN334&lt;=Hypothèses!$V$15,Hypothèses!$X$15,IF(AN334&lt;=Hypothèses!$V$16,Hypothèses!$X$16,IF(AN334&lt;=Hypothèses!$U$17,Hypothèses!$W$17,IF(AN334&lt;=Hypothèses!$U$18,Hypothèses!$W$18,""))))))))))))</f>
        <v>#DIV/0!</v>
      </c>
      <c r="BK334" s="95" t="e">
        <f t="shared" ca="1" si="477"/>
        <v>#DIV/0!</v>
      </c>
      <c r="BL334" s="101" t="e">
        <f t="shared" si="525"/>
        <v>#N/A</v>
      </c>
      <c r="BM334" s="91" t="e">
        <f t="shared" ref="BM334:BM363" si="546">IF($X334&lt;&gt;"",$X334,BL334)</f>
        <v>#N/A</v>
      </c>
      <c r="BN334" s="30" t="e">
        <f t="shared" si="504"/>
        <v>#N/A</v>
      </c>
      <c r="BO334" s="30" t="e">
        <f t="shared" si="505"/>
        <v>#N/A</v>
      </c>
      <c r="BP334" s="31" t="e">
        <f>IF(OR(Hypothèses!$B$4=17,Hypothèses!$B$4=18,Hypothèses!$B$4=19,Hypothèses!$B$4=20),
IF($D334="Pressio.",
IF(OR($E334=3,$E334=1,$E334=4),BO334,BN334),
IF($D334="Pénétro.",
IF(OR($E334=3,$E334=1,$E334=4),BO334,BN334))),IF($D334="Pressio.",
IF($E334=3,BO334,BN334),
IF($D334="Pénétro.",
IF($E334=4,BO334,BN334))))</f>
        <v>#N/A</v>
      </c>
      <c r="BQ334" s="31" t="e">
        <f>(IF(OR(Hypothèses!$B$4=17,Hypothèses!$B$4=18,Hypothèses!$B$4=19,Hypothèses!$B$4=20),
IF($D334="Pressio.",
IF(OR($E334=3,$E334=1,$E334=4),(PI()*BQ$12^2)/4*(BM334*$W334*1000)/($H334*$B$5),(PI()*BQ$12^2)/4*(BM334*$W334*1000)/($G334*$B$5)),
IF($D334="Pénétro.",
IF(OR($E334=4,$E334=1,$E334=5),(PI()*BQ$12^2)/4*(BM334*$W334*1000)/($H334*$B$5),(PI()*BQ$12^2)/4*(BM334*$W334*1000)/($G334*$B$5)))),
IF($D334="Pressio.",
IF($E334=3,(PI()*BQ$12^2)/4*(BM334*$W334*1000)/($H334*$B$5),(PI()*BQ$12^2)/4*(BM334*$W334*1000)/($G334*$B$5)),
IF($D334="Pénétro.",
IF($E334=4,(PI()*BQ$12^2)/4*(BM334*$W334*1000)/($H334*$B$5),(PI()*BQ$12^2)/4*(BM334*$W334*1000)/($G334*$B$5))))))/10</f>
        <v>#N/A</v>
      </c>
      <c r="BR334" s="102" t="e">
        <f>(VLOOKUP($B$3,'Coeff EC7'!$T$39:$X$59,2,0)*BP334+VLOOKUP($B$3,'Coeff EC7'!$T$65:$X$85,2,0)*Model0.1C!BQ334)/1.1</f>
        <v>#N/A</v>
      </c>
      <c r="BS334" s="102" t="e">
        <f>(VLOOKUP($B$3,'Coeff EC7'!$T$39:$X$59,3,0)*BP334+VLOOKUP($B$3,'Coeff EC7'!$T$65:$X$85,3,0)*Model0.1C!BQ334)/0.9</f>
        <v>#N/A</v>
      </c>
      <c r="BT334" s="102" t="e">
        <f t="shared" si="478"/>
        <v>#N/A</v>
      </c>
      <c r="BU334" s="102" t="e">
        <f t="shared" si="479"/>
        <v>#N/A</v>
      </c>
      <c r="BV334" s="414" t="e">
        <f>IF(BV333=0,0,IF(AND(BR334&gt;charge_ELS_quasi,BS334&gt;Charge_ELS_freq,BT334&gt;charge_ELU,BU334&gt;charge_ELA,$B334&gt;NDC!$H$22-0.1+MIN(3*$BV$12,1.5)),0,1))</f>
        <v>#N/A</v>
      </c>
      <c r="BW334" s="86" t="b">
        <f t="shared" ref="BW334:BW363" si="547">IF($B334&lt;=$P$4, $B334, IF($B334&lt;=$P$5, $B334-$P$4, IF($B334&lt;=$P$6, $B334-$P$5, IF($B334&lt;=$P$7,$B334-$P$6, IF($B334&lt;=$P$8, $B334-$P$7, IF($B334&lt;=$P$9, $B334-$P$8, IF($B334&lt;=$P$10,$B334-$P$9)))))))</f>
        <v>0</v>
      </c>
      <c r="BX334" s="86">
        <f t="shared" ref="BX334:BX363" si="548">MAX($CK$12/2,0.5)</f>
        <v>0.5</v>
      </c>
      <c r="BY334" s="86">
        <f t="shared" ref="BY334:BY363" si="549">MIN(BX334,BW334)</f>
        <v>0.5</v>
      </c>
      <c r="BZ334" s="30" t="e">
        <f t="shared" ca="1" si="480"/>
        <v>#DIV/0!</v>
      </c>
      <c r="CA334" s="85" t="e">
        <f ca="1">IF(BG334&lt;=Hypothèses!$V$7,Hypothèses!$W$7,IF(BG334&lt;=Hypothèses!$V$8,Hypothèses!$W$8,IF(BG334&lt;=Hypothèses!$V$9,Hypothèses!$W$9,IF(BG334&lt;=Hypothèses!$V$10,Hypothèses!$W$10,IF(BG334&lt;=Hypothèses!$V$11,Hypothèses!$W$11,IF(BG334&lt;=Hypothèses!$V$12,Hypothèses!$W$12,IF(BG334&lt;=Hypothèses!$V$13,Hypothèses!$W$13,IF(BG334&lt;=Hypothèses!$V$14,Hypothèses!$W$14,IF(BG334&lt;=Hypothèses!$V$15,Hypothèses!$W$15,IF(BG334&lt;=Hypothèses!$V$16,Hypothèses!$W$16,IF(BG334&lt;=Hypothèses!$V$17,Hypothèses!$W$17,IF(BG334&lt;=Hypothèses!$V$18,Hypothèses!$W$18,""))))))))))))</f>
        <v>#DIV/0!</v>
      </c>
      <c r="CB334" s="87" t="e">
        <f t="shared" ca="1" si="519"/>
        <v>#DIV/0!</v>
      </c>
      <c r="CC334" s="88" t="e">
        <f ca="1">IF(BG334&lt;=Hypothèses!$V$7,Hypothèses!$X$7,IF(BG334&lt;=Hypothèses!$V$8,Hypothèses!$X$8,IF(BG334&lt;=Hypothèses!$V$9,Hypothèses!$X$9,IF(BG334&lt;=Hypothèses!$V$10,Hypothèses!$X$10,IF(BG334&lt;=Hypothèses!$V$11,Hypothèses!$X$11,IF(BG334&lt;=Hypothèses!$V$12,Hypothèses!$X$12,IF(BG334&lt;=Hypothèses!$V$13,Hypothèses!$X$13,IF(BG334&lt;=Hypothèses!$V$14,Hypothèses!$X$14,IF(BG334&lt;=Hypothèses!$V$15,Hypothèses!$X$15,IF(BG334&lt;=Hypothèses!$V$16,Hypothèses!$X$16,IF(BG334&lt;=Hypothèses!$U$17,Hypothèses!$W$17,IF(BG334&lt;=Hypothèses!$U$18,Hypothèses!$W$18,""))))))))))))</f>
        <v>#DIV/0!</v>
      </c>
      <c r="CD334" s="95" t="e">
        <f t="shared" ca="1" si="481"/>
        <v>#DIV/0!</v>
      </c>
      <c r="CE334" s="101" t="e">
        <f t="shared" si="526"/>
        <v>#N/A</v>
      </c>
      <c r="CF334" s="91" t="e">
        <f t="shared" ref="CF334:CF363" si="550">IF($X334&lt;&gt;"",$X334,CE334)</f>
        <v>#N/A</v>
      </c>
      <c r="CG334" s="30" t="e">
        <f t="shared" si="506"/>
        <v>#N/A</v>
      </c>
      <c r="CH334" s="30" t="e">
        <f t="shared" si="507"/>
        <v>#N/A</v>
      </c>
      <c r="CI334" s="31" t="e">
        <f>IF(OR(Hypothèses!$B$4=17,Hypothèses!$B$4=18,Hypothèses!$B$4=19,Hypothèses!$B$4=20),
IF($D334="Pressio.",
IF(OR($E334=3,$E334=1,$E334=4),CH334,CG334),
IF($D334="Pénétro.",
IF(OR($E334=3,$E334=1,$E334=4),CH334,CG334))),IF($D334="Pressio.",
IF($E334=3,CH334,CG334),
IF($D334="Pénétro.",
IF($E334=4,CH334,CG334))))</f>
        <v>#N/A</v>
      </c>
      <c r="CJ334" s="31" t="e">
        <f>(IF(OR(Hypothèses!$B$4=17,Hypothèses!$B$4=18,Hypothèses!$B$4=19,Hypothèses!$B$4=20),
IF($D334="Pressio.",
IF(OR($E334=3,$E334=1,$E334=4),(PI()*CJ$12^2)/4*(CF334*$W334*1000)/($H334*$B$5),(PI()*CJ$12^2)/4*(CF334*$W334*1000)/($G334*$B$5)),
IF($D334="Pénétro.",
IF(OR($E334=4,$E334=1,$E334=5),(PI()*CJ$12^2)/4*(CF334*$W334*1000)/($H334*$B$5),(PI()*CJ$12^2)/4*(CF334*$W334*1000)/($G334*$B$5)))),
IF($D334="Pressio.",
IF($E334=3,(PI()*CJ$12^2)/4*(CF334*$W334*1000)/($H334*$B$5),(PI()*CJ$12^2)/4*(CF334*$W334*1000)/($G334*$B$5)),
IF($D334="Pénétro.",
IF($E334=4,(PI()*CJ$12^2)/4*(CF334*$W334*1000)/($H334*$B$5),(PI()*CJ$12^2)/4*(CF334*$W334*1000)/($G334*$B$5))))))/10</f>
        <v>#N/A</v>
      </c>
      <c r="CK334" s="102" t="e">
        <f>(VLOOKUP($B$3,'Coeff EC7'!$T$39:$X$59,2,0)*CI334+VLOOKUP($B$3,'Coeff EC7'!$T$65:$X$85,2,0)*Model0.1C!CJ334)/1.1</f>
        <v>#N/A</v>
      </c>
      <c r="CL334" s="102" t="e">
        <f>(VLOOKUP($B$3,'Coeff EC7'!$T$39:$X$59,3,0)*CI334+VLOOKUP($B$3,'Coeff EC7'!$T$65:$X$85,3,0)*Model0.1C!CJ334)/0.9</f>
        <v>#N/A</v>
      </c>
      <c r="CM334" s="102" t="e">
        <f t="shared" si="482"/>
        <v>#N/A</v>
      </c>
      <c r="CN334" s="102" t="e">
        <f t="shared" si="483"/>
        <v>#N/A</v>
      </c>
      <c r="CO334" s="414" t="e">
        <f>IF(CO333=0,0,IF(AND(CK334&gt;charge_ELS_quasi,CL334&gt;Charge_ELS_freq,CM334&gt;charge_ELU,CN334&gt;charge_ELA,$B334&gt;NDC!$H$22-0.1+MIN(3*$CO$12,1.5)),0,1))</f>
        <v>#N/A</v>
      </c>
      <c r="CP334" s="86" t="b">
        <f t="shared" ref="CP334:CP363" si="551">IF($B334&lt;=$P$4, $B334, IF($B334&lt;=$P$5, $B334-$P$4, IF($B334&lt;=$P$6, $B334-$P$5, IF($B334&lt;=$P$7,$B334-$P$6, IF($B334&lt;=$P$8, $B334-$P$7, IF($B334&lt;=$P$9, $B334-$P$8, IF($B334&lt;=$P$10,$B334-$P$9)))))))</f>
        <v>0</v>
      </c>
      <c r="CQ334" s="86">
        <f t="shared" ref="CQ334:CQ363" si="552">MAX($DD$12/2,0.5)</f>
        <v>0.5</v>
      </c>
      <c r="CR334" s="86">
        <f t="shared" ref="CR334:CR363" si="553">MIN(CQ334,CP334)</f>
        <v>0.5</v>
      </c>
      <c r="CS334" s="30" t="e">
        <f t="shared" ca="1" si="484"/>
        <v>#DIV/0!</v>
      </c>
      <c r="CT334" s="85" t="e">
        <f ca="1">IF(BZ334&lt;=Hypothèses!$V$7,Hypothèses!$W$7,IF(BZ334&lt;=Hypothèses!$V$8,Hypothèses!$W$8,IF(BZ334&lt;=Hypothèses!$V$9,Hypothèses!$W$9,IF(BZ334&lt;=Hypothèses!$V$10,Hypothèses!$W$10,IF(BZ334&lt;=Hypothèses!$V$11,Hypothèses!$W$11,IF(BZ334&lt;=Hypothèses!$V$12,Hypothèses!$W$12,IF(BZ334&lt;=Hypothèses!$V$13,Hypothèses!$W$13,IF(BZ334&lt;=Hypothèses!$V$14,Hypothèses!$W$14,IF(BZ334&lt;=Hypothèses!$V$15,Hypothèses!$W$15,IF(BZ334&lt;=Hypothèses!$V$16,Hypothèses!$W$16,IF(BZ334&lt;=Hypothèses!$V$17,Hypothèses!$W$17,IF(BZ334&lt;=Hypothèses!$V$18,Hypothèses!$W$18,""))))))))))))</f>
        <v>#DIV/0!</v>
      </c>
      <c r="CU334" s="87" t="e">
        <f t="shared" ca="1" si="520"/>
        <v>#DIV/0!</v>
      </c>
      <c r="CV334" s="88" t="e">
        <f ca="1">IF(BZ334&lt;=Hypothèses!$V$7,Hypothèses!$X$7,IF(BZ334&lt;=Hypothèses!$V$8,Hypothèses!$X$8,IF(BZ334&lt;=Hypothèses!$V$9,Hypothèses!$X$9,IF(BZ334&lt;=Hypothèses!$V$10,Hypothèses!$X$10,IF(BZ334&lt;=Hypothèses!$V$11,Hypothèses!$X$11,IF(BZ334&lt;=Hypothèses!$V$12,Hypothèses!$X$12,IF(BZ334&lt;=Hypothèses!$V$13,Hypothèses!$X$13,IF(BZ334&lt;=Hypothèses!$V$14,Hypothèses!$X$14,IF(BZ334&lt;=Hypothèses!$V$15,Hypothèses!$X$15,IF(BZ334&lt;=Hypothèses!$V$16,Hypothèses!$X$16,IF(BZ334&lt;=Hypothèses!$U$17,Hypothèses!$W$17,IF(BZ334&lt;=Hypothèses!$U$18,Hypothèses!$W$18,""))))))))))))</f>
        <v>#DIV/0!</v>
      </c>
      <c r="CW334" s="95" t="e">
        <f t="shared" ca="1" si="485"/>
        <v>#DIV/0!</v>
      </c>
      <c r="CX334" s="101" t="e">
        <f t="shared" si="527"/>
        <v>#N/A</v>
      </c>
      <c r="CY334" s="91" t="e">
        <f t="shared" ref="CY334:CY363" si="554">IF($X334&lt;&gt;"",$X334,CX334)</f>
        <v>#N/A</v>
      </c>
      <c r="CZ334" s="30" t="e">
        <f t="shared" si="508"/>
        <v>#N/A</v>
      </c>
      <c r="DA334" s="30" t="e">
        <f t="shared" si="509"/>
        <v>#N/A</v>
      </c>
      <c r="DB334" s="31" t="e">
        <f>IF(OR(Hypothèses!$B$4=17,Hypothèses!$B$4=18,Hypothèses!$B$4=19,Hypothèses!$B$4=20),
IF($D334="Pressio.",
IF(OR($E334=3,$E334=1,$E334=4),DA334,CZ334),
IF($D334="Pénétro.",
IF(OR($E334=3,$E334=1,$E334=4),DA334,CZ334))),IF($D334="Pressio.",
IF($E334=3,DA334,CZ334),
IF($D334="Pénétro.",
IF($E334=4,DA334,CZ334))))</f>
        <v>#N/A</v>
      </c>
      <c r="DC334" s="31" t="e">
        <f>(IF(OR(Hypothèses!$B$4=17,Hypothèses!$B$4=18,Hypothèses!$B$4=19,Hypothèses!$B$4=20),
IF($D334="Pressio.",
IF(OR($E334=3,$E334=1,$E334=4),(PI()*DC$12^2)/4*(CY334*$W334*1000)/($H334*$B$5),(PI()*DC$12^2)/4*(CY334*$W334*1000)/($G334*$B$5)),
IF($D334="Pénétro.",
IF(OR($E334=4,$E334=1,$E334=5),(PI()*DC$12^2)/4*(CY334*$W334*1000)/($H334*$B$5),(PI()*DC$12^2)/4*(CY334*$W334*1000)/($G334*$B$5)))),
IF($D334="Pressio.",
IF($E334=3,(PI()*DC$12^2)/4*(CY334*$W334*1000)/($H334*$B$5),(PI()*DC$12^2)/4*(CY334*$W334*1000)/($G334*$B$5)),
IF($D334="Pénétro.",
IF($E334=4,(PI()*DC$12^2)/4*(CY334*$W334*1000)/($H334*$B$5),(PI()*DC$12^2)/4*(CY334*$W334*1000)/($G334*$B$5))))))/10</f>
        <v>#N/A</v>
      </c>
      <c r="DD334" s="102" t="e">
        <f>(VLOOKUP($B$3,'Coeff EC7'!$T$39:$X$59,2,0)*DB334+VLOOKUP($B$3,'Coeff EC7'!$T$65:$X$85,2,0)*Model0.1C!DC334)/1.1</f>
        <v>#N/A</v>
      </c>
      <c r="DE334" s="102" t="e">
        <f>(VLOOKUP($B$3,'Coeff EC7'!$T$39:$X$59,3,0)*DB334+VLOOKUP($B$3,'Coeff EC7'!$T$65:$X$85,3,0)*Model0.1C!DC334)/0.9</f>
        <v>#N/A</v>
      </c>
      <c r="DF334" s="102" t="e">
        <f t="shared" si="486"/>
        <v>#N/A</v>
      </c>
      <c r="DG334" s="102" t="e">
        <f t="shared" si="487"/>
        <v>#N/A</v>
      </c>
      <c r="DH334" s="414" t="e">
        <f>IF(DH333=0,0,IF(AND(DD334&gt;charge_ELS_quasi,DE334&gt;Charge_ELS_freq,DF334&gt;charge_ELU,DG334&gt;charge_ELA,$B334&gt;NDC!$H$22-0.1+MIN(3*$DH$12,1.5)),0,1))</f>
        <v>#N/A</v>
      </c>
      <c r="DI334" s="86" t="b">
        <f t="shared" ref="DI334:DI363" si="555">IF($B334&lt;=$P$4, $B334, IF($B334&lt;=$P$5, $B334-$P$4, IF($B334&lt;=$P$6, $B334-$P$5, IF($B334&lt;=$P$7,$B334-$P$6, IF($B334&lt;=$P$8, $B334-$P$7, IF($B334&lt;=$P$9, $B334-$P$8, IF($B334&lt;=$P$10,$B334-$P$9)))))))</f>
        <v>0</v>
      </c>
      <c r="DJ334" s="86">
        <f t="shared" ref="DJ334:DJ363" si="556">MAX($DW$12/2,0.5)</f>
        <v>0.5</v>
      </c>
      <c r="DK334" s="86">
        <f t="shared" ref="DK334:DK363" si="557">MIN(DJ334,DI334)</f>
        <v>0.5</v>
      </c>
      <c r="DL334" s="30" t="e">
        <f t="shared" ca="1" si="488"/>
        <v>#DIV/0!</v>
      </c>
      <c r="DM334" s="85" t="e">
        <f ca="1">IF(CS334&lt;=Hypothèses!$V$7,Hypothèses!$W$7,IF(CS334&lt;=Hypothèses!$V$8,Hypothèses!$W$8,IF(CS334&lt;=Hypothèses!$V$9,Hypothèses!$W$9,IF(CS334&lt;=Hypothèses!$V$10,Hypothèses!$W$10,IF(CS334&lt;=Hypothèses!$V$11,Hypothèses!$W$11,IF(CS334&lt;=Hypothèses!$V$12,Hypothèses!$W$12,IF(CS334&lt;=Hypothèses!$V$13,Hypothèses!$W$13,IF(CS334&lt;=Hypothèses!$V$14,Hypothèses!$W$14,IF(CS334&lt;=Hypothèses!$V$15,Hypothèses!$W$15,IF(CS334&lt;=Hypothèses!$V$16,Hypothèses!$W$16,IF(CS334&lt;=Hypothèses!$V$17,Hypothèses!$W$17,IF(CS334&lt;=Hypothèses!$V$18,Hypothèses!$W$18,""))))))))))))</f>
        <v>#DIV/0!</v>
      </c>
      <c r="DN334" s="87" t="e">
        <f t="shared" ca="1" si="521"/>
        <v>#DIV/0!</v>
      </c>
      <c r="DO334" s="88" t="e">
        <f ca="1">IF(CS334&lt;=Hypothèses!$V$7,Hypothèses!$X$7,IF(CS334&lt;=Hypothèses!$V$8,Hypothèses!$X$8,IF(CS334&lt;=Hypothèses!$V$9,Hypothèses!$X$9,IF(CS334&lt;=Hypothèses!$V$10,Hypothèses!$X$10,IF(CS334&lt;=Hypothèses!$V$11,Hypothèses!$X$11,IF(CS334&lt;=Hypothèses!$V$12,Hypothèses!$X$12,IF(CS334&lt;=Hypothèses!$V$13,Hypothèses!$X$13,IF(CS334&lt;=Hypothèses!$V$14,Hypothèses!$X$14,IF(CS334&lt;=Hypothèses!$V$15,Hypothèses!$X$15,IF(CS334&lt;=Hypothèses!$V$16,Hypothèses!$X$16,IF(CS334&lt;=Hypothèses!$U$17,Hypothèses!$W$17,IF(CS334&lt;=Hypothèses!$U$18,Hypothèses!$W$18,""))))))))))))</f>
        <v>#DIV/0!</v>
      </c>
      <c r="DP334" s="95" t="e">
        <f t="shared" ca="1" si="489"/>
        <v>#DIV/0!</v>
      </c>
      <c r="DQ334" s="101" t="e">
        <f t="shared" si="528"/>
        <v>#N/A</v>
      </c>
      <c r="DR334" s="91" t="e">
        <f t="shared" ref="DR334:DR363" si="558">IF($X334&lt;&gt;"",$X334,DQ334)</f>
        <v>#N/A</v>
      </c>
      <c r="DS334" s="30" t="e">
        <f t="shared" si="510"/>
        <v>#N/A</v>
      </c>
      <c r="DT334" s="30" t="e">
        <f t="shared" si="511"/>
        <v>#N/A</v>
      </c>
      <c r="DU334" s="31" t="e">
        <f>IF(OR(Hypothèses!$B$4=17,Hypothèses!$B$4=18,Hypothèses!$B$4=19,Hypothèses!$B$4=20),
IF($D334="Pressio.",
IF(OR($E334=3,$E334=1,$E334=4),DT334,DS334),
IF($D334="Pénétro.",
IF(OR($E334=3,$E334=1,$E334=4),DT334,DS334))),IF($D334="Pressio.",
IF($E334=3,DT334,DS334),
IF($D334="Pénétro.",
IF($E334=4,DT334,DS334))))</f>
        <v>#N/A</v>
      </c>
      <c r="DV334" s="31" t="e">
        <f>(IF(OR(Hypothèses!$B$4=17,Hypothèses!$B$4=18,Hypothèses!$B$4=19,Hypothèses!$B$4=20),
IF($D334="Pressio.",
IF(OR($E334=3,$E334=1,$E334=4),(PI()*DV$12^2)/4*(DR334*$W334*1000)/($H334*$B$5),(PI()*DV$12^2)/4*(DR334*$W334*1000)/($G334*$B$5)),
IF($D334="Pénétro.",
IF(OR($E334=4,$E334=1,$E334=5),(PI()*DV$12^2)/4*(DR334*$W334*1000)/($H334*$B$5),(PI()*DV$12^2)/4*(DR334*$W334*1000)/($G334*$B$5)))),
IF($D334="Pressio.",
IF($E334=3,(PI()*DV$12^2)/4*(DR334*$W334*1000)/($H334*$B$5),(PI()*DV$12^2)/4*(DR334*$W334*1000)/($G334*$B$5)),
IF($D334="Pénétro.",
IF($E334=4,(PI()*DV$12^2)/4*(DR334*$W334*1000)/($H334*$B$5),(PI()*DV$12^2)/4*(DR334*$W334*1000)/($G334*$B$5))))))/10</f>
        <v>#N/A</v>
      </c>
      <c r="DW334" s="102" t="e">
        <f>(VLOOKUP($B$3,'Coeff EC7'!$T$39:$X$59,2,0)*DU334+VLOOKUP($B$3,'Coeff EC7'!$T$65:$X$85,2,0)*Model0.1C!DV334)/1.1</f>
        <v>#N/A</v>
      </c>
      <c r="DX334" s="102" t="e">
        <f>(VLOOKUP($B$3,'Coeff EC7'!$T$39:$X$59,3,0)*DU334+VLOOKUP($B$3,'Coeff EC7'!$T$65:$X$85,3,0)*Model0.1C!DV334)/0.9</f>
        <v>#N/A</v>
      </c>
      <c r="DY334" s="102" t="e">
        <f t="shared" si="490"/>
        <v>#N/A</v>
      </c>
      <c r="DZ334" s="102" t="e">
        <f t="shared" si="491"/>
        <v>#N/A</v>
      </c>
      <c r="EA334" s="414" t="e">
        <f>IF(EA333=0,0,IF(AND(DW334&gt;charge_ELS_quasi,DX334&gt;Charge_ELS_freq,DY334&gt;charge_ELU,DZ334&gt;charge_ELA,$B334&gt;NDC!$H$22-0.1+MIN(3*$EA$12,1.5)),0,1))</f>
        <v>#N/A</v>
      </c>
      <c r="EB334" s="86" t="b">
        <f t="shared" ref="EB334:EB363" si="559">IF($B334&lt;=$P$4, $B334, IF($B334&lt;=$P$5, $B334-$P$4, IF($B334&lt;=$P$6, $B334-$P$5, IF($B334&lt;=$P$7,$B334-$P$6, IF($B334&lt;=$P$8, $B334-$P$7, IF($B334&lt;=$P$9, $B334-$P$8, IF($B334&lt;=$P$10,$B334-$P$9)))))))</f>
        <v>0</v>
      </c>
      <c r="EC334" s="418">
        <f t="shared" ref="EC334:EC363" si="560">MAX($EP$12/2,0.5)</f>
        <v>0.51</v>
      </c>
      <c r="ED334" s="86">
        <f t="shared" ref="ED334:ED363" si="561">MIN(EC334,EB334)</f>
        <v>0.51</v>
      </c>
      <c r="EE334" s="30" t="e">
        <f t="shared" ca="1" si="492"/>
        <v>#DIV/0!</v>
      </c>
      <c r="EF334" s="85" t="e">
        <f ca="1">IF(DL334&lt;=Hypothèses!$V$7,Hypothèses!$W$7,IF(DL334&lt;=Hypothèses!$V$8,Hypothèses!$W$8,IF(DL334&lt;=Hypothèses!$V$9,Hypothèses!$W$9,IF(DL334&lt;=Hypothèses!$V$10,Hypothèses!$W$10,IF(DL334&lt;=Hypothèses!$V$11,Hypothèses!$W$11,IF(DL334&lt;=Hypothèses!$V$12,Hypothèses!$W$12,IF(DL334&lt;=Hypothèses!$V$13,Hypothèses!$W$13,IF(DL334&lt;=Hypothèses!$V$14,Hypothèses!$W$14,IF(DL334&lt;=Hypothèses!$V$15,Hypothèses!$W$15,IF(DL334&lt;=Hypothèses!$V$16,Hypothèses!$W$16,IF(DL334&lt;=Hypothèses!$V$17,Hypothèses!$W$17,IF(DL334&lt;=Hypothèses!$V$18,Hypothèses!$W$18,""))))))))))))</f>
        <v>#DIV/0!</v>
      </c>
      <c r="EG334" s="87" t="e">
        <f t="shared" ca="1" si="522"/>
        <v>#DIV/0!</v>
      </c>
      <c r="EH334" s="88" t="e">
        <f ca="1">IF(DL334&lt;=Hypothèses!$V$7,Hypothèses!$X$7,IF(DL334&lt;=Hypothèses!$V$8,Hypothèses!$X$8,IF(DL334&lt;=Hypothèses!$V$9,Hypothèses!$X$9,IF(DL334&lt;=Hypothèses!$V$10,Hypothèses!$X$10,IF(DL334&lt;=Hypothèses!$V$11,Hypothèses!$X$11,IF(DL334&lt;=Hypothèses!$V$12,Hypothèses!$X$12,IF(DL334&lt;=Hypothèses!$V$13,Hypothèses!$X$13,IF(DL334&lt;=Hypothèses!$V$14,Hypothèses!$X$14,IF(DL334&lt;=Hypothèses!$V$15,Hypothèses!$X$15,IF(DL334&lt;=Hypothèses!$V$16,Hypothèses!$X$16,IF(DL334&lt;=Hypothèses!$U$17,Hypothèses!$W$17,IF(DL334&lt;=Hypothèses!$U$18,Hypothèses!$W$18,""))))))))))))</f>
        <v>#DIV/0!</v>
      </c>
      <c r="EI334" s="95" t="e">
        <f t="shared" ca="1" si="493"/>
        <v>#DIV/0!</v>
      </c>
      <c r="EJ334" s="101" t="e">
        <f t="shared" si="529"/>
        <v>#N/A</v>
      </c>
      <c r="EK334" s="91" t="e">
        <f t="shared" ref="EK334:EK363" si="562">IF($X334&lt;&gt;"",$X334,EJ334)</f>
        <v>#N/A</v>
      </c>
      <c r="EL334" s="30" t="e">
        <f t="shared" si="512"/>
        <v>#N/A</v>
      </c>
      <c r="EM334" s="30" t="e">
        <f t="shared" si="513"/>
        <v>#N/A</v>
      </c>
      <c r="EN334" s="31" t="e">
        <f>IF(OR(Hypothèses!$B$4=17,Hypothèses!$B$4=18,Hypothèses!$B$4=19,Hypothèses!$B$4=20),
IF($D334="Pressio.",
IF(OR($E334=3,$E334=1,$E334=4),EM334,EL334),
IF($D334="Pénétro.",
IF(OR($E334=3,$E334=1,$E334=4),EM334,EL334))),IF($D334="Pressio.",
IF($E334=3,EM334,EL334),
IF($D334="Pénétro.",
IF($E334=4,EM334,EL334))))</f>
        <v>#N/A</v>
      </c>
      <c r="EO334" s="31" t="e">
        <f>(IF(OR(Hypothèses!$B$4=17,Hypothèses!$B$4=18,Hypothèses!$B$4=19,Hypothèses!$B$4=20),
IF($D334="Pressio.",
IF(OR($E334=3,$E334=1,$E334=4),(PI()*EO$12^2)/4*(EK334*$W334*1000)/($H334*$B$5),(PI()*EO$12^2)/4*(EK334*$W334*1000)/($G334*$B$5)),
IF($D334="Pénétro.",
IF(OR($E334=4,$E334=1,$E334=5),(PI()*EO$12^2)/4*(EK334*$W334*1000)/($H334*$B$5),(PI()*EO$12^2)/4*(EK334*$W334*1000)/($G334*$B$5)))),
IF($D334="Pressio.",
IF($E334=3,(PI()*EO$12^2)/4*(EK334*$W334*1000)/($H334*$B$5),(PI()*EO$12^2)/4*(EK334*$W334*1000)/($G334*$B$5)),
IF($D334="Pénétro.",
IF($E334=4,(PI()*EO$12^2)/4*(EK334*$W334*1000)/($H334*$B$5),(PI()*EO$12^2)/4*(EK334*$W334*1000)/($G334*$B$5))))))/10</f>
        <v>#N/A</v>
      </c>
      <c r="EP334" s="102" t="e">
        <f>(VLOOKUP($B$3,'Coeff EC7'!$T$39:$X$59,2,0)*EN334+VLOOKUP($B$3,'Coeff EC7'!$T$65:$X$85,2,0)*Model0.1C!EO334)/1.1</f>
        <v>#N/A</v>
      </c>
      <c r="EQ334" s="102" t="e">
        <f>(VLOOKUP($B$3,'Coeff EC7'!$T$39:$X$59,3,0)*EN334+VLOOKUP($B$3,'Coeff EC7'!$T$65:$X$85,3,0)*Model0.1C!EO334)/0.9</f>
        <v>#N/A</v>
      </c>
      <c r="ER334" s="102" t="e">
        <f t="shared" si="494"/>
        <v>#N/A</v>
      </c>
      <c r="ES334" s="102" t="e">
        <f t="shared" si="495"/>
        <v>#N/A</v>
      </c>
      <c r="ET334" s="414" t="e">
        <f>IF(ET333=0,0,IF(AND(EP334&gt;charge_ELS_quasi,EQ334&gt;Charge_ELS_freq,ER334&gt;charge_ELU,ES334&gt;charge_ELA,$B334&gt;NDC!$H$22-0.1+MIN(3*$ET$12,1.5)),0,1))</f>
        <v>#N/A</v>
      </c>
      <c r="EU334" s="86" t="b">
        <f t="shared" ref="EU334:EU363" si="563">IF($B334&lt;=$P$4, $B334, IF($B334&lt;=$P$5, $B334-$P$4, IF($B334&lt;=$P$6, $B334-$P$5, IF($B334&lt;=$P$7,$B334-$P$6, IF($B334&lt;=$P$8, $B334-$P$7, IF($B334&lt;=$P$9, $B334-$P$8, IF($B334&lt;=$P$10,$B334-$P$9)))))))</f>
        <v>0</v>
      </c>
      <c r="EV334" s="86">
        <f t="shared" ref="EV334:EV363" si="564">MAX($FI$12/2,0.5)</f>
        <v>0.61</v>
      </c>
      <c r="EW334" s="86">
        <f t="shared" ref="EW334:EW363" si="565">MIN(EV334,EU334)</f>
        <v>0.61</v>
      </c>
      <c r="EX334" s="30" t="e">
        <f t="shared" ca="1" si="496"/>
        <v>#DIV/0!</v>
      </c>
      <c r="EY334" s="85" t="e">
        <f ca="1">IF(EE334&lt;=Hypothèses!$V$7,Hypothèses!$W$7,IF(EE334&lt;=Hypothèses!$V$8,Hypothèses!$W$8,IF(EE334&lt;=Hypothèses!$V$9,Hypothèses!$W$9,IF(EE334&lt;=Hypothèses!$V$10,Hypothèses!$W$10,IF(EE334&lt;=Hypothèses!$V$11,Hypothèses!$W$11,IF(EE334&lt;=Hypothèses!$V$12,Hypothèses!$W$12,IF(EE334&lt;=Hypothèses!$V$13,Hypothèses!$W$13,IF(EE334&lt;=Hypothèses!$V$14,Hypothèses!$W$14,IF(EE334&lt;=Hypothèses!$V$15,Hypothèses!$W$15,IF(EE334&lt;=Hypothèses!$V$16,Hypothèses!$W$16,IF(EE334&lt;=Hypothèses!$V$17,Hypothèses!$W$17,IF(EE334&lt;=Hypothèses!$V$18,Hypothèses!$W$18,""))))))))))))</f>
        <v>#DIV/0!</v>
      </c>
      <c r="EZ334" s="87" t="e">
        <f t="shared" ca="1" si="523"/>
        <v>#DIV/0!</v>
      </c>
      <c r="FA334" s="88" t="e">
        <f ca="1">IF(EE334&lt;=Hypothèses!$V$7,Hypothèses!$X$7,IF(EE334&lt;=Hypothèses!$V$8,Hypothèses!$X$8,IF(EE334&lt;=Hypothèses!$V$9,Hypothèses!$X$9,IF(EE334&lt;=Hypothèses!$V$10,Hypothèses!$X$10,IF(EE334&lt;=Hypothèses!$V$11,Hypothèses!$X$11,IF(EE334&lt;=Hypothèses!$V$12,Hypothèses!$X$12,IF(EE334&lt;=Hypothèses!$V$13,Hypothèses!$X$13,IF(EE334&lt;=Hypothèses!$V$14,Hypothèses!$X$14,IF(EE334&lt;=Hypothèses!$V$15,Hypothèses!$X$15,IF(EE334&lt;=Hypothèses!$V$16,Hypothèses!$X$16,IF(EE334&lt;=Hypothèses!$U$17,Hypothèses!$W$17,IF(EE334&lt;=Hypothèses!$U$18,Hypothèses!$W$18,""))))))))))))</f>
        <v>#DIV/0!</v>
      </c>
      <c r="FB334" s="95" t="e">
        <f t="shared" ca="1" si="497"/>
        <v>#DIV/0!</v>
      </c>
      <c r="FC334" s="101" t="e">
        <f t="shared" si="530"/>
        <v>#N/A</v>
      </c>
      <c r="FD334" s="91" t="e">
        <f t="shared" ref="FD334:FD363" si="566">IF($X334&lt;&gt;"",$X334,FC334)</f>
        <v>#N/A</v>
      </c>
      <c r="FE334" s="30" t="e">
        <f t="shared" si="514"/>
        <v>#N/A</v>
      </c>
      <c r="FF334" s="30" t="e">
        <f t="shared" si="515"/>
        <v>#N/A</v>
      </c>
      <c r="FG334" s="31" t="e">
        <f>IF(OR(Hypothèses!$B$4=17,Hypothèses!$B$4=18,Hypothèses!$B$4=19,Hypothèses!$B$4=20),
IF($D334="Pressio.",
IF(OR($E334=3,$E334=1,$E334=4),FF334,FE334),
IF($D334="Pénétro.",
IF(OR($E334=3,$E334=1,$E334=4),FF334,FE334))),IF($D334="Pressio.",
IF($E334=3,FF334,FE334),
IF($D334="Pénétro.",
IF($E334=4,FF334,FE334))))</f>
        <v>#N/A</v>
      </c>
      <c r="FH334" s="31" t="e">
        <f>(IF(OR(Hypothèses!$B$4=17,Hypothèses!$B$4=18,Hypothèses!$B$4=19,Hypothèses!$B$4=20),
IF($D334="Pressio.",
IF(OR($E334=3,$E334=1,$E334=4),(PI()*FH$12^2)/4*(FD334*$W334*1000)/($H334*$B$5),(PI()*FH$12^2)/4*(FD334*$W334*1000)/($G334*$B$5)),
IF($D334="Pénétro.",
IF(OR($E334=4,$E334=1,$E334=5),(PI()*FH$12^2)/4*(FD334*$W334*1000)/($H334*$B$5),(PI()*FH$12^2)/4*(FD334*$W334*1000)/($G334*$B$5)))),
IF($D334="Pressio.",
IF($E334=3,(PI()*FH$12^2)/4*(FD334*$W334*1000)/($H334*$B$5),(PI()*FH$12^2)/4*(FD334*$W334*1000)/($G334*$B$5)),
IF($D334="Pénétro.",
IF($E334=4,(PI()*FH$12^2)/4*(FD334*$W334*1000)/($H334*$B$5),(PI()*FH$12^2)/4*(FD334*$W334*1000)/($G334*$B$5))))))/10</f>
        <v>#N/A</v>
      </c>
      <c r="FI334" s="102" t="e">
        <f>(VLOOKUP($B$3,'Coeff EC7'!$T$39:$X$59,2,0)*FG334+VLOOKUP($B$3,'Coeff EC7'!$T$65:$X$85,2,0)*Model0.1C!FH334)/1.1</f>
        <v>#N/A</v>
      </c>
      <c r="FJ334" s="102" t="e">
        <f>(VLOOKUP($B$3,'Coeff EC7'!$T$39:$X$59,3,0)*FG334+VLOOKUP($B$3,'Coeff EC7'!$T$65:$X$85,3,0)*Model0.1C!FH334)/0.9</f>
        <v>#N/A</v>
      </c>
      <c r="FK334" s="102" t="e">
        <f t="shared" si="498"/>
        <v>#N/A</v>
      </c>
      <c r="FL334" s="102" t="e">
        <f t="shared" si="499"/>
        <v>#N/A</v>
      </c>
      <c r="FM334" s="414" t="e">
        <f>IF(FM333=0,0,IF(AND(FI334&gt;charge_ELS_quasi,FJ334&gt;Charge_ELS_freq,FK334&gt;charge_ELU,FL334&gt;charge_ELA,$B334&gt;NDC!$H$22-0.1+MIN(3*$FM$12,1.5)),0,1))</f>
        <v>#N/A</v>
      </c>
    </row>
    <row r="335" spans="1:169">
      <c r="A335" s="96">
        <f t="shared" ref="A335:A363" si="567">A334-0.1</f>
        <v>67.80000000000183</v>
      </c>
      <c r="B335" s="97">
        <v>32.200000000000003</v>
      </c>
      <c r="C335" s="81">
        <f>IF(B335&lt;=Hypothèses!$C$7,Hypothèses!$A$7,IF(B335&lt;=Hypothèses!$C$8,Hypothèses!$A$8,IF(B335&lt;=Hypothèses!$C$9,Hypothèses!$A$9,IF(B335&lt;=Hypothèses!$C$10,Hypothèses!$A$10,IF(B335&lt;=Hypothèses!$C$11,Hypothèses!$A$11,IF(B335&lt;=Hypothèses!$C$12,Hypothèses!$A$12,IF(B335&lt;=Hypothèses!$C$13,Hypothèses!$A$13,IF(B335&lt;=Hypothèses!$C$14,Hypothèses!$A$14,IF(B335&lt;=Hypothèses!$C$15,Hypothèses!$A$15,IF(B335&lt;=Hypothèses!$C$16,Hypothèses!$A$16,IF(B335&lt;=Hypothèses!$C$17,Hypothèses!$A$17,IF(B335&lt;=Hypothèses!$C$18,Hypothèses!$A$18,C334))))))))))))</f>
        <v>11</v>
      </c>
      <c r="D335" s="82" t="str">
        <f>IF(B335&lt;=Hypothèses!$C$7,Hypothèses!$R$7,IF(B335&lt;=Hypothèses!$C$8,Hypothèses!$R$8,IF(B335&lt;=Hypothèses!$C$9,Hypothèses!$R$9,IF(B335&lt;=Hypothèses!$C$10,Hypothèses!$R$10,IF(B335&lt;=Hypothèses!$C$11,Hypothèses!$R$11,IF(B335&lt;=Hypothèses!$C$12,Hypothèses!$R$12,IF(B335&lt;=Hypothèses!$C$13,Hypothèses!$R$13,IF(B335&lt;=Hypothèses!$C$14,Hypothèses!$R$14,IF(B335&lt;=Hypothèses!$C$15,Hypothèses!$R$15,IF(B335&lt;=Hypothèses!$C$16,Hypothèses!$R$16,IF(B335&lt;=Hypothèses!$C$17,Hypothèses!$R$17,IF(B335&lt;=Hypothèses!$C$18,Hypothèses!$R$18,D334))))))))))))</f>
        <v>Pressio.</v>
      </c>
      <c r="E335" s="82" t="e">
        <f>IF(B335&lt;=Hypothèses!$C$7,Hypothèses!$G$7,IF(B335&lt;=Hypothèses!$C$8,Hypothèses!$G$8,IF(B335&lt;=Hypothèses!$C$9,Hypothèses!$G$9,IF(B335&lt;=Hypothèses!$C$10,Hypothèses!$G$10,IF(B335&lt;=Hypothèses!$C$11,Hypothèses!$G$11,IF(B335&lt;=Hypothèses!$C$12,Hypothèses!$G$12,IF(B335&lt;=Hypothèses!$C$13,Hypothèses!$G$13,IF(B335&lt;=Hypothèses!$C$14,Hypothèses!$G$14,IF(B335&lt;=Hypothèses!$C$15,Hypothèses!$G$15,IF(B335&lt;=Hypothèses!$C$16,Hypothèses!$G$16,IF(B335&lt;=Hypothèses!$C$17,Hypothèses!$G$17,IF(B335&lt;=Hypothèses!$C$18,Hypothèses!$G$18,E334))))))))))))</f>
        <v>#N/A</v>
      </c>
      <c r="F335" s="82" t="str">
        <f>IF(B335&lt;=Hypothèses!$C$7,Hypothèses!$F$7,IF(B335&lt;=Hypothèses!$C$8,Hypothèses!$F$8,IF(B335&lt;=Hypothèses!$C$9,Hypothèses!$F$9,IF(B335&lt;=Hypothèses!$C$10,Hypothèses!$F$10,IF(B335&lt;=Hypothèses!$C$11,Hypothèses!$F$11,IF(B335&lt;=Hypothèses!$C$12,Hypothèses!$F$12,IF(B335&lt;=Hypothèses!$C$13,Hypothèses!$F$13,IF(B335&lt;=Hypothèses!$C$14,Hypothèses!$F$14,IF(B335&lt;=Hypothèses!$C$15,Hypothèses!$F$15,IF(B335&lt;=Hypothèses!$C$16,Hypothèses!$F$16,IF(B335&lt;=Hypothèses!$C$17,Hypothèses!$F$17,IF(B335&lt;=Hypothèses!$C$18,Hypothèses!$F$18,F334))))))))))))</f>
        <v/>
      </c>
      <c r="G335" s="91">
        <f t="array" ref="G335">INDEX('Coeff EC7'!$U$7:$X$27,
MATCH(Model0.1C!$B$3,'Coeff EC7'!$T$7:$T$27,0),
MATCH(Model0.1C!$D335&amp;Model0.1C!$B$4,
'Coeff EC7'!$U$6:$X$6&amp;
'Coeff EC7'!$U$5:$X$5,0))</f>
        <v>1.1499999999999999</v>
      </c>
      <c r="H335" s="91">
        <f t="array" ref="H335">INDEX('Coeff EC7'!$Y$7:$AB$27,
MATCH(Model0.1C!$B$3,'Coeff EC7'!$T$7:$T$27,0),
MATCH(Model0.1C!$D335&amp;Model0.1C!$B$4,
'Coeff EC7'!$Y$6:$AB$6&amp;
'Coeff EC7'!$Y$5:$AB$5,0))</f>
        <v>1.4</v>
      </c>
      <c r="I335" s="83" t="e">
        <f>IF(B335&lt;=Hypothèses!$C$7,Hypothèses!$P$7,IF(B335&lt;=Hypothèses!$C$8,Hypothèses!$P$8,IF(B335&lt;=Hypothèses!$C$9,Hypothèses!$P$9,IF(B335&lt;=Hypothèses!$C$10,Hypothèses!$P$10,IF(B335&lt;=Hypothèses!$C$11,Hypothèses!$P$11,IF(B335&lt;=Hypothèses!$C$12,Hypothèses!$P$12,IF(B335&lt;=Hypothèses!$C$13,Hypothèses!$P$13,IF(B335&lt;=Hypothèses!$C$14,Hypothèses!$P$14,IF(B335&lt;=Hypothèses!$C$15,Hypothèses!$P$15,IF(B335&lt;=Hypothèses!$C$16,Hypothèses!$P$16,IF(B335&lt;=Hypothèses!$C$17,Hypothèses!$P$17,IF(B335&lt;=Hypothèses!$C$18,Hypothèses!$P$18,I334))))))))))))</f>
        <v>#N/A</v>
      </c>
      <c r="J335" s="91" t="e">
        <f t="array" ref="J335">INDEX('Coeff EC7'!$D$33:$Q$33,1,MATCH(D335&amp;E335,'Coeff EC7'!$D$31:$Q$31&amp;'Coeff EC7'!$D$32:$Q$32,0))</f>
        <v>#N/A</v>
      </c>
      <c r="K335" s="91" t="e">
        <f t="array" ref="K335">INDEX('Coeff EC7'!$D$34:$Q$34,1,MATCH(D335&amp;E335,'Coeff EC7'!$D$31:$Q$31&amp;'Coeff EC7'!$D$32:$Q$32,0))</f>
        <v>#N/A</v>
      </c>
      <c r="L335" s="91" t="e">
        <f t="array" ref="L335">INDEX('Coeff EC7'!$D$35:$Q$35,1,MATCH(D335&amp;E335,'Coeff EC7'!$D$31:$Q$31&amp;'Coeff EC7'!$D$32:$Q$32,0))</f>
        <v>#N/A</v>
      </c>
      <c r="M335" s="98" t="e">
        <f t="shared" si="531"/>
        <v>#N/A</v>
      </c>
      <c r="N335" s="99" t="e">
        <f t="array" ref="N335">INDEX('Coeff EC7'!$D$7:$Q$27,MATCH($B$3,'Coeff EC7'!$C$7:$C$27,0),MATCH(D335&amp;E335,'Coeff EC7'!$D$5:$Q$5&amp;'Coeff EC7'!$D$6:$Q$6,0))</f>
        <v>#N/A</v>
      </c>
      <c r="O335" s="99" t="e">
        <f t="array" ref="O335">INDEX('Coeff EC7'!$D$41:$Q$61,MATCH($B$3,'Coeff EC7'!$C$41:$C$61,0),MATCH(D335&amp;E335,'Coeff EC7'!$D$39:$Q$39&amp;'Coeff EC7'!$D$40:$Q$40,0))</f>
        <v>#N/A</v>
      </c>
      <c r="P335" s="30" t="e">
        <f t="shared" ref="P335:P363" si="568">N335*M335*1000</f>
        <v>#N/A</v>
      </c>
      <c r="Q335" s="100" t="e">
        <f t="shared" si="533"/>
        <v>#N/A</v>
      </c>
      <c r="R335" s="86" t="b">
        <f t="shared" si="534"/>
        <v>0</v>
      </c>
      <c r="S335" s="86">
        <f t="shared" si="532"/>
        <v>0.5</v>
      </c>
      <c r="T335" s="86">
        <f t="shared" si="535"/>
        <v>0.5</v>
      </c>
      <c r="U335" s="30" t="e">
        <f t="shared" ref="U335:U363" ca="1" si="569">AVERAGE(OFFSET($F335, -10*T335, 0,10*T335, 1), OFFSET($F335, 1, 0, 30*S335, 1))</f>
        <v>#DIV/0!</v>
      </c>
      <c r="V335" s="85" t="str">
        <f>IF(B335&lt;=Hypothèses!$V$7,Hypothèses!$W$7,IF(B335&lt;=Hypothèses!$V$8,Hypothèses!$W$8,IF(B335&lt;=Hypothèses!$V$9,Hypothèses!$W$9,IF(B335&lt;=Hypothèses!$V$10,Hypothèses!$W$10,IF(B335&lt;=Hypothèses!$V$11,Hypothèses!$W$11,IF(B335&lt;=Hypothèses!$V$12,Hypothèses!$W$12,IF(B335&lt;=Hypothèses!$V$13,Hypothèses!$W$13,IF(B335&lt;=Hypothèses!$V$14,Hypothèses!$W$14,IF(B335&lt;=Hypothèses!$V$15,Hypothèses!$W$15,IF(B335&lt;=Hypothèses!$V$16,Hypothèses!$W$16,IF(B335&lt;=Hypothèses!$V$17,Hypothèses!$W$17,IF(B335&lt;=Hypothèses!$V$18,Hypothèses!$W$18,""))))))))))))</f>
        <v/>
      </c>
      <c r="W335" s="87" t="e">
        <f t="shared" ca="1" si="516"/>
        <v>#DIV/0!</v>
      </c>
      <c r="X335" s="88" t="str">
        <f>IF(B335&lt;=Hypothèses!$V$7,Hypothèses!$X$7,IF(B335&lt;=Hypothèses!$V$8,Hypothèses!$X$8,IF(B335&lt;=Hypothèses!$V$9,Hypothèses!$X$9,IF(B335&lt;=Hypothèses!$V$10,Hypothèses!$X$10,IF(B335&lt;=Hypothèses!$V$11,Hypothèses!$X$11,IF(B335&lt;=Hypothèses!$V$12,Hypothèses!$X$12,IF(B335&lt;=Hypothèses!$V$13,Hypothèses!$X$13,IF(B335&lt;=Hypothèses!$V$14,Hypothèses!$X$14,IF(B335&lt;=Hypothèses!$V$15,Hypothèses!$X$15,IF(B335&lt;=Hypothèses!$V$16,Hypothèses!$X$16,IF(B335&lt;=Hypothèses!$U$17,Hypothèses!$W$17,IF(B335&lt;=Hypothèses!$U$18,Hypothèses!$W$18,""))))))))))))</f>
        <v/>
      </c>
      <c r="Y335" s="95" t="e">
        <f t="shared" ca="1" si="536"/>
        <v>#DIV/0!</v>
      </c>
      <c r="Z335" s="101" t="e">
        <f t="shared" si="537"/>
        <v>#N/A</v>
      </c>
      <c r="AA335" s="91" t="e">
        <f t="shared" si="538"/>
        <v>#N/A</v>
      </c>
      <c r="AB335" s="30" t="e">
        <f t="shared" si="500"/>
        <v>#N/A</v>
      </c>
      <c r="AC335" s="30" t="e">
        <f t="shared" si="501"/>
        <v>#N/A</v>
      </c>
      <c r="AD335" s="31" t="e">
        <f>IF(OR(Hypothèses!$B$4=17,Hypothèses!$B$4=18,Hypothèses!$B$4=19,Hypothèses!$B$4=20),
IF($D335="Pressio.",
IF(OR($E335=3,$E335=1,$E335=4),AC335,AB335),
IF($D335="Pénétro.",
IF(OR($E335=3,$E335=1,$E335=4),AC335,AB335))),IF($D335="Pressio.",
IF($E335=3,AC335,AB335),
IF($D335="Pénétro.",
IF($E335=4,AC335,AB335))))</f>
        <v>#N/A</v>
      </c>
      <c r="AE335" s="31" t="e">
        <f>(IF(OR(Hypothèses!$B$4=17,Hypothèses!$B$4=18,Hypothèses!$B$4=19,Hypothèses!$B$4=20),
IF($D335="Pressio.",
IF(OR($E335=3,$E335=1,$E335=4),(PI()*AE$12^2)/4*(AA335*$W335*1000)/($H335*$B$5),(PI()*AE$12^2)/4*(AA335*$W335*1000)/($G335*$B$5)),
IF($D335="Pénétro.",
IF(OR($E335=4,$E335=1,$E335=5),(PI()*AE$12^2)/4*(AA335*$W335*1000)/($H335*$B$5),(PI()*AE$12^2)/4*(AA335*$W335*1000)/($G335*$B$5)))),
IF($D335="Pressio.",
IF($E335=3,(PI()*AE$12^2)/4*(AA335*$W335*1000)/($H335*$B$5),(PI()*AE$12^2)/4*(AA335*$W335*1000)/($G335*$B$5)),
IF($D335="Pénétro.",
IF($E335=4,(PI()*AE$12^2)/4*(AA335*$W335*1000)/($H335*$B$5),(PI()*AE$12^2)/4*(AA335*$W335*1000)/($G335*$B$5))))))/10</f>
        <v>#N/A</v>
      </c>
      <c r="AF335" s="102" t="e">
        <f>(VLOOKUP($B$3,'Coeff EC7'!$T$39:$X$59,2,0)*AD335+VLOOKUP($B$3,'Coeff EC7'!$T$65:$X$85,2,0)*Model0.1C!AE335)/1.1</f>
        <v>#N/A</v>
      </c>
      <c r="AG335" s="102" t="e">
        <f>(VLOOKUP($B$3,'Coeff EC7'!$T$39:$X$59,3,0)*AD335+VLOOKUP($B$3,'Coeff EC7'!$T$65:$X$85,3,0)*Model0.1C!AE335)/0.9</f>
        <v>#N/A</v>
      </c>
      <c r="AH335" s="102" t="e">
        <f t="shared" si="539"/>
        <v>#N/A</v>
      </c>
      <c r="AI335" s="102" t="e">
        <f t="shared" si="540"/>
        <v>#N/A</v>
      </c>
      <c r="AJ335" s="414" t="e">
        <f>IF(AJ334=0,0,IF(AND(AF335&gt;charge_ELS_quasi,AG335&gt;Charge_ELS_freq,AH335&gt;charge_ELU,AI335&gt;charge_ELA,$B335&gt;NDC!$H$22-0.1+MIN(3*$AJ$12,1.5)),0,1))</f>
        <v>#N/A</v>
      </c>
      <c r="AK335" s="86" t="b">
        <f t="shared" si="541"/>
        <v>0</v>
      </c>
      <c r="AL335" s="86">
        <f t="shared" ref="AL335:AL363" si="570">MAX($AY$12/2,0.5)</f>
        <v>0.5</v>
      </c>
      <c r="AM335" s="86">
        <f t="shared" si="542"/>
        <v>0.5</v>
      </c>
      <c r="AN335" s="30" t="e">
        <f t="shared" ref="AN335:AN363" ca="1" si="571">AVERAGE(OFFSET($F335, -10*AM335, 0,10*AM335, 1), OFFSET($F335, 1, 0, 30*AL335, 1))</f>
        <v>#DIV/0!</v>
      </c>
      <c r="AO335" s="85" t="e">
        <f ca="1">IF(U335&lt;=Hypothèses!$V$7,Hypothèses!$W$7,IF(U335&lt;=Hypothèses!$V$8,Hypothèses!$W$8,IF(U335&lt;=Hypothèses!$V$9,Hypothèses!$W$9,IF(U335&lt;=Hypothèses!$V$10,Hypothèses!$W$10,IF(U335&lt;=Hypothèses!$V$11,Hypothèses!$W$11,IF(U335&lt;=Hypothèses!$V$12,Hypothèses!$W$12,IF(U335&lt;=Hypothèses!$V$13,Hypothèses!$W$13,IF(U335&lt;=Hypothèses!$V$14,Hypothèses!$W$14,IF(U335&lt;=Hypothèses!$V$15,Hypothèses!$W$15,IF(U335&lt;=Hypothèses!$V$16,Hypothèses!$W$16,IF(U335&lt;=Hypothèses!$V$17,Hypothèses!$W$17,IF(U335&lt;=Hypothèses!$V$18,Hypothèses!$W$18,""))))))))))))</f>
        <v>#DIV/0!</v>
      </c>
      <c r="AP335" s="87" t="e">
        <f t="shared" ca="1" si="517"/>
        <v>#DIV/0!</v>
      </c>
      <c r="AQ335" s="88" t="e">
        <f ca="1">IF(U335&lt;=Hypothèses!$V$7,Hypothèses!$X$7,IF(U335&lt;=Hypothèses!$V$8,Hypothèses!$X$8,IF(U335&lt;=Hypothèses!$V$9,Hypothèses!$X$9,IF(U335&lt;=Hypothèses!$V$10,Hypothèses!$X$10,IF(U335&lt;=Hypothèses!$V$11,Hypothèses!$X$11,IF(U335&lt;=Hypothèses!$V$12,Hypothèses!$X$12,IF(U335&lt;=Hypothèses!$V$13,Hypothèses!$X$13,IF(U335&lt;=Hypothèses!$V$14,Hypothèses!$X$14,IF(U335&lt;=Hypothèses!$V$15,Hypothèses!$X$15,IF(U335&lt;=Hypothèses!$V$16,Hypothèses!$X$16,IF(U335&lt;=Hypothèses!$U$17,Hypothèses!$W$17,IF(U335&lt;=Hypothèses!$U$18,Hypothèses!$W$18,""))))))))))))</f>
        <v>#DIV/0!</v>
      </c>
      <c r="AR335" s="95" t="e">
        <f t="shared" ref="AR335:AR363" ca="1" si="572">IF($B335&lt;10*$BB$12,0.1/AP335*SUM(OFFSET(F335,-10*$B335+1,0,10*$B335,1)),0.1/AP335*SUM(OFFSET(F335,-100*$BB$12+1,0,100*$BB$12,1)))</f>
        <v>#DIV/0!</v>
      </c>
      <c r="AS335" s="101" t="e">
        <f t="shared" si="524"/>
        <v>#N/A</v>
      </c>
      <c r="AT335" s="91" t="e">
        <f t="shared" si="543"/>
        <v>#N/A</v>
      </c>
      <c r="AU335" s="30" t="e">
        <f t="shared" si="502"/>
        <v>#N/A</v>
      </c>
      <c r="AV335" s="30" t="e">
        <f t="shared" si="503"/>
        <v>#N/A</v>
      </c>
      <c r="AW335" s="31" t="e">
        <f>IF(OR(Hypothèses!$B$4=17,Hypothèses!$B$4=18,Hypothèses!$B$4=19,Hypothèses!$B$4=20),
IF($D335="Pressio.",
IF(OR($E335=3,$E335=1,$E335=4),AV335,AU335),
IF($D335="Pénétro.",
IF(OR($E335=3,$E335=1,$E335=4),AV335,AU335))),IF($D335="Pressio.",
IF($E335=3,AV335,AU335),
IF($D335="Pénétro.",
IF($E335=4,AV335,AU335))))</f>
        <v>#N/A</v>
      </c>
      <c r="AX335" s="31" t="e">
        <f>(IF(OR(Hypothèses!$B$4=17,Hypothèses!$B$4=18,Hypothèses!$B$4=19,Hypothèses!$B$4=20),
IF($D335="Pressio.",
IF(OR($E335=3,$E335=1,$E335=4),(PI()*AX$12^2)/4*(AT335*$W335*1000)/($H335*$B$5),(PI()*AX$12^2)/4*(AT335*$W335*1000)/($G335*$B$5)),
IF($D335="Pénétro.",
IF(OR($E335=4,$E335=1,$E335=5),(PI()*AX$12^2)/4*(AT335*$W335*1000)/($H335*$B$5),(PI()*AX$12^2)/4*(AT335*$W335*1000)/($G335*$B$5)))),
IF($D335="Pressio.",
IF($E335=3,(PI()*AX$12^2)/4*(AT335*$W335*1000)/($H335*$B$5),(PI()*AX$12^2)/4*(AT335*$W335*1000)/($G335*$B$5)),
IF($D335="Pénétro.",
IF($E335=4,(PI()*AX$12^2)/4*(AT335*$W335*1000)/($H335*$B$5),(PI()*AX$12^2)/4*(AT335*$W335*1000)/($G335*$B$5))))))/10</f>
        <v>#N/A</v>
      </c>
      <c r="AY335" s="102" t="e">
        <f>(VLOOKUP($B$3,'Coeff EC7'!$T$39:$X$59,2,0)*AW335+VLOOKUP($B$3,'Coeff EC7'!$T$65:$X$85,2,0)*Model0.1C!AX335)/1.1</f>
        <v>#N/A</v>
      </c>
      <c r="AZ335" s="102" t="e">
        <f>(VLOOKUP($B$3,'Coeff EC7'!$T$39:$X$59,3,0)*AW335+VLOOKUP($B$3,'Coeff EC7'!$T$65:$X$85,3,0)*Model0.1C!AX335)/0.9</f>
        <v>#N/A</v>
      </c>
      <c r="BA335" s="102" t="e">
        <f t="shared" ref="BA335:BA363" si="573">AW335/1.1+AX335/1.1</f>
        <v>#N/A</v>
      </c>
      <c r="BB335" s="102" t="e">
        <f t="shared" ref="BB335:BB363" si="574">AW335+AX335</f>
        <v>#N/A</v>
      </c>
      <c r="BC335" s="414" t="e">
        <f>IF(BC334=0,0,IF(AND(AY335&gt;charge_ELS_quasi,AZ335&gt;Charge_ELS_freq,BA335&gt;charge_ELU,BB335&gt;charge_ELA,$B335&gt;NDC!$H$22-0.1+MIN(3*$BC$12,1.5)),0,1))</f>
        <v>#N/A</v>
      </c>
      <c r="BD335" s="86" t="b">
        <f t="shared" si="544"/>
        <v>0</v>
      </c>
      <c r="BE335" s="86">
        <f t="shared" ref="BE335:BE363" si="575">MAX($BR$12/2,0.5)</f>
        <v>0.5</v>
      </c>
      <c r="BF335" s="86">
        <f t="shared" si="545"/>
        <v>0.5</v>
      </c>
      <c r="BG335" s="30" t="e">
        <f t="shared" ref="BG335:BG363" ca="1" si="576">AVERAGE(OFFSET($F335, -10*BF335, 0,10*BF335, 1), OFFSET($F335, 1, 0, 30*BE335, 1))</f>
        <v>#DIV/0!</v>
      </c>
      <c r="BH335" s="85" t="e">
        <f ca="1">IF(AN335&lt;=Hypothèses!$V$7,Hypothèses!$W$7,IF(AN335&lt;=Hypothèses!$V$8,Hypothèses!$W$8,IF(AN335&lt;=Hypothèses!$V$9,Hypothèses!$W$9,IF(AN335&lt;=Hypothèses!$V$10,Hypothèses!$W$10,IF(AN335&lt;=Hypothèses!$V$11,Hypothèses!$W$11,IF(AN335&lt;=Hypothèses!$V$12,Hypothèses!$W$12,IF(AN335&lt;=Hypothèses!$V$13,Hypothèses!$W$13,IF(AN335&lt;=Hypothèses!$V$14,Hypothèses!$W$14,IF(AN335&lt;=Hypothèses!$V$15,Hypothèses!$W$15,IF(AN335&lt;=Hypothèses!$V$16,Hypothèses!$W$16,IF(AN335&lt;=Hypothèses!$V$17,Hypothèses!$W$17,IF(AN335&lt;=Hypothèses!$V$18,Hypothèses!$W$18,""))))))))))))</f>
        <v>#DIV/0!</v>
      </c>
      <c r="BI335" s="87" t="e">
        <f t="shared" ca="1" si="518"/>
        <v>#DIV/0!</v>
      </c>
      <c r="BJ335" s="88" t="e">
        <f ca="1">IF(AN335&lt;=Hypothèses!$V$7,Hypothèses!$X$7,IF(AN335&lt;=Hypothèses!$V$8,Hypothèses!$X$8,IF(AN335&lt;=Hypothèses!$V$9,Hypothèses!$X$9,IF(AN335&lt;=Hypothèses!$V$10,Hypothèses!$X$10,IF(AN335&lt;=Hypothèses!$V$11,Hypothèses!$X$11,IF(AN335&lt;=Hypothèses!$V$12,Hypothèses!$X$12,IF(AN335&lt;=Hypothèses!$V$13,Hypothèses!$X$13,IF(AN335&lt;=Hypothèses!$V$14,Hypothèses!$X$14,IF(AN335&lt;=Hypothèses!$V$15,Hypothèses!$X$15,IF(AN335&lt;=Hypothèses!$V$16,Hypothèses!$X$16,IF(AN335&lt;=Hypothèses!$U$17,Hypothèses!$W$17,IF(AN335&lt;=Hypothèses!$U$18,Hypothèses!$W$18,""))))))))))))</f>
        <v>#DIV/0!</v>
      </c>
      <c r="BK335" s="95" t="e">
        <f t="shared" ref="BK335:BK363" ca="1" si="577">IF($B335&lt;10*$BU$12,0.1/BI335*SUM(OFFSET(F335,-10*$B335+1,0,10*$B335,1)),0.1/BI335*SUM(OFFSET(F335,-100*$BU$12+1,0,100*$BU$12,1)))</f>
        <v>#DIV/0!</v>
      </c>
      <c r="BL335" s="101" t="e">
        <f t="shared" si="525"/>
        <v>#N/A</v>
      </c>
      <c r="BM335" s="91" t="e">
        <f t="shared" si="546"/>
        <v>#N/A</v>
      </c>
      <c r="BN335" s="30" t="e">
        <f t="shared" si="504"/>
        <v>#N/A</v>
      </c>
      <c r="BO335" s="30" t="e">
        <f t="shared" si="505"/>
        <v>#N/A</v>
      </c>
      <c r="BP335" s="31" t="e">
        <f>IF(OR(Hypothèses!$B$4=17,Hypothèses!$B$4=18,Hypothèses!$B$4=19,Hypothèses!$B$4=20),
IF($D335="Pressio.",
IF(OR($E335=3,$E335=1,$E335=4),BO335,BN335),
IF($D335="Pénétro.",
IF(OR($E335=3,$E335=1,$E335=4),BO335,BN335))),IF($D335="Pressio.",
IF($E335=3,BO335,BN335),
IF($D335="Pénétro.",
IF($E335=4,BO335,BN335))))</f>
        <v>#N/A</v>
      </c>
      <c r="BQ335" s="31" t="e">
        <f>(IF(OR(Hypothèses!$B$4=17,Hypothèses!$B$4=18,Hypothèses!$B$4=19,Hypothèses!$B$4=20),
IF($D335="Pressio.",
IF(OR($E335=3,$E335=1,$E335=4),(PI()*BQ$12^2)/4*(BM335*$W335*1000)/($H335*$B$5),(PI()*BQ$12^2)/4*(BM335*$W335*1000)/($G335*$B$5)),
IF($D335="Pénétro.",
IF(OR($E335=4,$E335=1,$E335=5),(PI()*BQ$12^2)/4*(BM335*$W335*1000)/($H335*$B$5),(PI()*BQ$12^2)/4*(BM335*$W335*1000)/($G335*$B$5)))),
IF($D335="Pressio.",
IF($E335=3,(PI()*BQ$12^2)/4*(BM335*$W335*1000)/($H335*$B$5),(PI()*BQ$12^2)/4*(BM335*$W335*1000)/($G335*$B$5)),
IF($D335="Pénétro.",
IF($E335=4,(PI()*BQ$12^2)/4*(BM335*$W335*1000)/($H335*$B$5),(PI()*BQ$12^2)/4*(BM335*$W335*1000)/($G335*$B$5))))))/10</f>
        <v>#N/A</v>
      </c>
      <c r="BR335" s="102" t="e">
        <f>(VLOOKUP($B$3,'Coeff EC7'!$T$39:$X$59,2,0)*BP335+VLOOKUP($B$3,'Coeff EC7'!$T$65:$X$85,2,0)*Model0.1C!BQ335)/1.1</f>
        <v>#N/A</v>
      </c>
      <c r="BS335" s="102" t="e">
        <f>(VLOOKUP($B$3,'Coeff EC7'!$T$39:$X$59,3,0)*BP335+VLOOKUP($B$3,'Coeff EC7'!$T$65:$X$85,3,0)*Model0.1C!BQ335)/0.9</f>
        <v>#N/A</v>
      </c>
      <c r="BT335" s="102" t="e">
        <f t="shared" ref="BT335:BT363" si="578">BP335/1.1+BQ335/1.1</f>
        <v>#N/A</v>
      </c>
      <c r="BU335" s="102" t="e">
        <f t="shared" ref="BU335:BU363" si="579">BP335+BQ335</f>
        <v>#N/A</v>
      </c>
      <c r="BV335" s="414" t="e">
        <f>IF(BV334=0,0,IF(AND(BR335&gt;charge_ELS_quasi,BS335&gt;Charge_ELS_freq,BT335&gt;charge_ELU,BU335&gt;charge_ELA,$B335&gt;NDC!$H$22-0.1+MIN(3*$BV$12,1.5)),0,1))</f>
        <v>#N/A</v>
      </c>
      <c r="BW335" s="86" t="b">
        <f t="shared" si="547"/>
        <v>0</v>
      </c>
      <c r="BX335" s="86">
        <f t="shared" si="548"/>
        <v>0.5</v>
      </c>
      <c r="BY335" s="86">
        <f t="shared" si="549"/>
        <v>0.5</v>
      </c>
      <c r="BZ335" s="30" t="e">
        <f t="shared" ref="BZ335:BZ363" ca="1" si="580">AVERAGE(OFFSET($F335, -10*BY335, 0,10*BY335, 1), OFFSET($F335, 1, 0, 30*BX335, 1))</f>
        <v>#DIV/0!</v>
      </c>
      <c r="CA335" s="85" t="e">
        <f ca="1">IF(BG335&lt;=Hypothèses!$V$7,Hypothèses!$W$7,IF(BG335&lt;=Hypothèses!$V$8,Hypothèses!$W$8,IF(BG335&lt;=Hypothèses!$V$9,Hypothèses!$W$9,IF(BG335&lt;=Hypothèses!$V$10,Hypothèses!$W$10,IF(BG335&lt;=Hypothèses!$V$11,Hypothèses!$W$11,IF(BG335&lt;=Hypothèses!$V$12,Hypothèses!$W$12,IF(BG335&lt;=Hypothèses!$V$13,Hypothèses!$W$13,IF(BG335&lt;=Hypothèses!$V$14,Hypothèses!$W$14,IF(BG335&lt;=Hypothèses!$V$15,Hypothèses!$W$15,IF(BG335&lt;=Hypothèses!$V$16,Hypothèses!$W$16,IF(BG335&lt;=Hypothèses!$V$17,Hypothèses!$W$17,IF(BG335&lt;=Hypothèses!$V$18,Hypothèses!$W$18,""))))))))))))</f>
        <v>#DIV/0!</v>
      </c>
      <c r="CB335" s="87" t="e">
        <f t="shared" ca="1" si="519"/>
        <v>#DIV/0!</v>
      </c>
      <c r="CC335" s="88" t="e">
        <f ca="1">IF(BG335&lt;=Hypothèses!$V$7,Hypothèses!$X$7,IF(BG335&lt;=Hypothèses!$V$8,Hypothèses!$X$8,IF(BG335&lt;=Hypothèses!$V$9,Hypothèses!$X$9,IF(BG335&lt;=Hypothèses!$V$10,Hypothèses!$X$10,IF(BG335&lt;=Hypothèses!$V$11,Hypothèses!$X$11,IF(BG335&lt;=Hypothèses!$V$12,Hypothèses!$X$12,IF(BG335&lt;=Hypothèses!$V$13,Hypothèses!$X$13,IF(BG335&lt;=Hypothèses!$V$14,Hypothèses!$X$14,IF(BG335&lt;=Hypothèses!$V$15,Hypothèses!$X$15,IF(BG335&lt;=Hypothèses!$V$16,Hypothèses!$X$16,IF(BG335&lt;=Hypothèses!$U$17,Hypothèses!$W$17,IF(BG335&lt;=Hypothèses!$U$18,Hypothèses!$W$18,""))))))))))))</f>
        <v>#DIV/0!</v>
      </c>
      <c r="CD335" s="95" t="e">
        <f t="shared" ref="CD335:CD363" ca="1" si="581">IF($B335&lt;10*$CN$12,0.1/CB335*SUM(OFFSET(F335,-10*$B335+1,0,10*$B335,1)),0.1/CB335*SUM(OFFSET(F335,-100*$CN$12+1,0,100*$CN$12,1)))</f>
        <v>#DIV/0!</v>
      </c>
      <c r="CE335" s="101" t="e">
        <f t="shared" si="526"/>
        <v>#N/A</v>
      </c>
      <c r="CF335" s="91" t="e">
        <f t="shared" si="550"/>
        <v>#N/A</v>
      </c>
      <c r="CG335" s="30" t="e">
        <f t="shared" si="506"/>
        <v>#N/A</v>
      </c>
      <c r="CH335" s="30" t="e">
        <f t="shared" si="507"/>
        <v>#N/A</v>
      </c>
      <c r="CI335" s="31" t="e">
        <f>IF(OR(Hypothèses!$B$4=17,Hypothèses!$B$4=18,Hypothèses!$B$4=19,Hypothèses!$B$4=20),
IF($D335="Pressio.",
IF(OR($E335=3,$E335=1,$E335=4),CH335,CG335),
IF($D335="Pénétro.",
IF(OR($E335=3,$E335=1,$E335=4),CH335,CG335))),IF($D335="Pressio.",
IF($E335=3,CH335,CG335),
IF($D335="Pénétro.",
IF($E335=4,CH335,CG335))))</f>
        <v>#N/A</v>
      </c>
      <c r="CJ335" s="31" t="e">
        <f>(IF(OR(Hypothèses!$B$4=17,Hypothèses!$B$4=18,Hypothèses!$B$4=19,Hypothèses!$B$4=20),
IF($D335="Pressio.",
IF(OR($E335=3,$E335=1,$E335=4),(PI()*CJ$12^2)/4*(CF335*$W335*1000)/($H335*$B$5),(PI()*CJ$12^2)/4*(CF335*$W335*1000)/($G335*$B$5)),
IF($D335="Pénétro.",
IF(OR($E335=4,$E335=1,$E335=5),(PI()*CJ$12^2)/4*(CF335*$W335*1000)/($H335*$B$5),(PI()*CJ$12^2)/4*(CF335*$W335*1000)/($G335*$B$5)))),
IF($D335="Pressio.",
IF($E335=3,(PI()*CJ$12^2)/4*(CF335*$W335*1000)/($H335*$B$5),(PI()*CJ$12^2)/4*(CF335*$W335*1000)/($G335*$B$5)),
IF($D335="Pénétro.",
IF($E335=4,(PI()*CJ$12^2)/4*(CF335*$W335*1000)/($H335*$B$5),(PI()*CJ$12^2)/4*(CF335*$W335*1000)/($G335*$B$5))))))/10</f>
        <v>#N/A</v>
      </c>
      <c r="CK335" s="102" t="e">
        <f>(VLOOKUP($B$3,'Coeff EC7'!$T$39:$X$59,2,0)*CI335+VLOOKUP($B$3,'Coeff EC7'!$T$65:$X$85,2,0)*Model0.1C!CJ335)/1.1</f>
        <v>#N/A</v>
      </c>
      <c r="CL335" s="102" t="e">
        <f>(VLOOKUP($B$3,'Coeff EC7'!$T$39:$X$59,3,0)*CI335+VLOOKUP($B$3,'Coeff EC7'!$T$65:$X$85,3,0)*Model0.1C!CJ335)/0.9</f>
        <v>#N/A</v>
      </c>
      <c r="CM335" s="102" t="e">
        <f t="shared" ref="CM335:CM363" si="582">CI335/1.1+CJ335/1.1</f>
        <v>#N/A</v>
      </c>
      <c r="CN335" s="102" t="e">
        <f t="shared" ref="CN335:CN363" si="583">CI335+CJ335</f>
        <v>#N/A</v>
      </c>
      <c r="CO335" s="414" t="e">
        <f>IF(CO334=0,0,IF(AND(CK335&gt;charge_ELS_quasi,CL335&gt;Charge_ELS_freq,CM335&gt;charge_ELU,CN335&gt;charge_ELA,$B335&gt;NDC!$H$22-0.1+MIN(3*$CO$12,1.5)),0,1))</f>
        <v>#N/A</v>
      </c>
      <c r="CP335" s="86" t="b">
        <f t="shared" si="551"/>
        <v>0</v>
      </c>
      <c r="CQ335" s="86">
        <f t="shared" si="552"/>
        <v>0.5</v>
      </c>
      <c r="CR335" s="86">
        <f t="shared" si="553"/>
        <v>0.5</v>
      </c>
      <c r="CS335" s="30" t="e">
        <f t="shared" ref="CS335:CS363" ca="1" si="584">AVERAGE(OFFSET($F335, -10*CR335, 0,10*CR335, 1), OFFSET($F335, 1, 0, 30*CQ335, 1))</f>
        <v>#DIV/0!</v>
      </c>
      <c r="CT335" s="85" t="e">
        <f ca="1">IF(BZ335&lt;=Hypothèses!$V$7,Hypothèses!$W$7,IF(BZ335&lt;=Hypothèses!$V$8,Hypothèses!$W$8,IF(BZ335&lt;=Hypothèses!$V$9,Hypothèses!$W$9,IF(BZ335&lt;=Hypothèses!$V$10,Hypothèses!$W$10,IF(BZ335&lt;=Hypothèses!$V$11,Hypothèses!$W$11,IF(BZ335&lt;=Hypothèses!$V$12,Hypothèses!$W$12,IF(BZ335&lt;=Hypothèses!$V$13,Hypothèses!$W$13,IF(BZ335&lt;=Hypothèses!$V$14,Hypothèses!$W$14,IF(BZ335&lt;=Hypothèses!$V$15,Hypothèses!$W$15,IF(BZ335&lt;=Hypothèses!$V$16,Hypothèses!$W$16,IF(BZ335&lt;=Hypothèses!$V$17,Hypothèses!$W$17,IF(BZ335&lt;=Hypothèses!$V$18,Hypothèses!$W$18,""))))))))))))</f>
        <v>#DIV/0!</v>
      </c>
      <c r="CU335" s="87" t="e">
        <f t="shared" ca="1" si="520"/>
        <v>#DIV/0!</v>
      </c>
      <c r="CV335" s="88" t="e">
        <f ca="1">IF(BZ335&lt;=Hypothèses!$V$7,Hypothèses!$X$7,IF(BZ335&lt;=Hypothèses!$V$8,Hypothèses!$X$8,IF(BZ335&lt;=Hypothèses!$V$9,Hypothèses!$X$9,IF(BZ335&lt;=Hypothèses!$V$10,Hypothèses!$X$10,IF(BZ335&lt;=Hypothèses!$V$11,Hypothèses!$X$11,IF(BZ335&lt;=Hypothèses!$V$12,Hypothèses!$X$12,IF(BZ335&lt;=Hypothèses!$V$13,Hypothèses!$X$13,IF(BZ335&lt;=Hypothèses!$V$14,Hypothèses!$X$14,IF(BZ335&lt;=Hypothèses!$V$15,Hypothèses!$X$15,IF(BZ335&lt;=Hypothèses!$V$16,Hypothèses!$X$16,IF(BZ335&lt;=Hypothèses!$U$17,Hypothèses!$W$17,IF(BZ335&lt;=Hypothèses!$U$18,Hypothèses!$W$18,""))))))))))))</f>
        <v>#DIV/0!</v>
      </c>
      <c r="CW335" s="95" t="e">
        <f t="shared" ref="CW335:CW363" ca="1" si="585">IF($B335&lt;10*$DG$12,0.1/CU335*SUM(OFFSET(F335,-10*$B335+1,0,10*$B335,1)),0.1/CU335*SUM(OFFSET(F335,-100*$DG$12+1,0,100*$DG$12,1)))</f>
        <v>#DIV/0!</v>
      </c>
      <c r="CX335" s="101" t="e">
        <f t="shared" si="527"/>
        <v>#N/A</v>
      </c>
      <c r="CY335" s="91" t="e">
        <f t="shared" si="554"/>
        <v>#N/A</v>
      </c>
      <c r="CZ335" s="30" t="e">
        <f t="shared" si="508"/>
        <v>#N/A</v>
      </c>
      <c r="DA335" s="30" t="e">
        <f t="shared" si="509"/>
        <v>#N/A</v>
      </c>
      <c r="DB335" s="31" t="e">
        <f>IF(OR(Hypothèses!$B$4=17,Hypothèses!$B$4=18,Hypothèses!$B$4=19,Hypothèses!$B$4=20),
IF($D335="Pressio.",
IF(OR($E335=3,$E335=1,$E335=4),DA335,CZ335),
IF($D335="Pénétro.",
IF(OR($E335=3,$E335=1,$E335=4),DA335,CZ335))),IF($D335="Pressio.",
IF($E335=3,DA335,CZ335),
IF($D335="Pénétro.",
IF($E335=4,DA335,CZ335))))</f>
        <v>#N/A</v>
      </c>
      <c r="DC335" s="31" t="e">
        <f>(IF(OR(Hypothèses!$B$4=17,Hypothèses!$B$4=18,Hypothèses!$B$4=19,Hypothèses!$B$4=20),
IF($D335="Pressio.",
IF(OR($E335=3,$E335=1,$E335=4),(PI()*DC$12^2)/4*(CY335*$W335*1000)/($H335*$B$5),(PI()*DC$12^2)/4*(CY335*$W335*1000)/($G335*$B$5)),
IF($D335="Pénétro.",
IF(OR($E335=4,$E335=1,$E335=5),(PI()*DC$12^2)/4*(CY335*$W335*1000)/($H335*$B$5),(PI()*DC$12^2)/4*(CY335*$W335*1000)/($G335*$B$5)))),
IF($D335="Pressio.",
IF($E335=3,(PI()*DC$12^2)/4*(CY335*$W335*1000)/($H335*$B$5),(PI()*DC$12^2)/4*(CY335*$W335*1000)/($G335*$B$5)),
IF($D335="Pénétro.",
IF($E335=4,(PI()*DC$12^2)/4*(CY335*$W335*1000)/($H335*$B$5),(PI()*DC$12^2)/4*(CY335*$W335*1000)/($G335*$B$5))))))/10</f>
        <v>#N/A</v>
      </c>
      <c r="DD335" s="102" t="e">
        <f>(VLOOKUP($B$3,'Coeff EC7'!$T$39:$X$59,2,0)*DB335+VLOOKUP($B$3,'Coeff EC7'!$T$65:$X$85,2,0)*Model0.1C!DC335)/1.1</f>
        <v>#N/A</v>
      </c>
      <c r="DE335" s="102" t="e">
        <f>(VLOOKUP($B$3,'Coeff EC7'!$T$39:$X$59,3,0)*DB335+VLOOKUP($B$3,'Coeff EC7'!$T$65:$X$85,3,0)*Model0.1C!DC335)/0.9</f>
        <v>#N/A</v>
      </c>
      <c r="DF335" s="102" t="e">
        <f t="shared" ref="DF335:DF363" si="586">DB335/1.1+DC335/1.1</f>
        <v>#N/A</v>
      </c>
      <c r="DG335" s="102" t="e">
        <f t="shared" ref="DG335:DG363" si="587">DB335+DC335</f>
        <v>#N/A</v>
      </c>
      <c r="DH335" s="414" t="e">
        <f>IF(DH334=0,0,IF(AND(DD335&gt;charge_ELS_quasi,DE335&gt;Charge_ELS_freq,DF335&gt;charge_ELU,DG335&gt;charge_ELA,$B335&gt;NDC!$H$22-0.1+MIN(3*$DH$12,1.5)),0,1))</f>
        <v>#N/A</v>
      </c>
      <c r="DI335" s="86" t="b">
        <f t="shared" si="555"/>
        <v>0</v>
      </c>
      <c r="DJ335" s="86">
        <f t="shared" si="556"/>
        <v>0.5</v>
      </c>
      <c r="DK335" s="86">
        <f t="shared" si="557"/>
        <v>0.5</v>
      </c>
      <c r="DL335" s="30" t="e">
        <f t="shared" ref="DL335:DL363" ca="1" si="588">AVERAGE(OFFSET($F335, -10*DK335, 0,10*DK335, 1), OFFSET($F335, 1, 0, 30*DJ335, 1))</f>
        <v>#DIV/0!</v>
      </c>
      <c r="DM335" s="85" t="e">
        <f ca="1">IF(CS335&lt;=Hypothèses!$V$7,Hypothèses!$W$7,IF(CS335&lt;=Hypothèses!$V$8,Hypothèses!$W$8,IF(CS335&lt;=Hypothèses!$V$9,Hypothèses!$W$9,IF(CS335&lt;=Hypothèses!$V$10,Hypothèses!$W$10,IF(CS335&lt;=Hypothèses!$V$11,Hypothèses!$W$11,IF(CS335&lt;=Hypothèses!$V$12,Hypothèses!$W$12,IF(CS335&lt;=Hypothèses!$V$13,Hypothèses!$W$13,IF(CS335&lt;=Hypothèses!$V$14,Hypothèses!$W$14,IF(CS335&lt;=Hypothèses!$V$15,Hypothèses!$W$15,IF(CS335&lt;=Hypothèses!$V$16,Hypothèses!$W$16,IF(CS335&lt;=Hypothèses!$V$17,Hypothèses!$W$17,IF(CS335&lt;=Hypothèses!$V$18,Hypothèses!$W$18,""))))))))))))</f>
        <v>#DIV/0!</v>
      </c>
      <c r="DN335" s="87" t="e">
        <f t="shared" ca="1" si="521"/>
        <v>#DIV/0!</v>
      </c>
      <c r="DO335" s="88" t="e">
        <f ca="1">IF(CS335&lt;=Hypothèses!$V$7,Hypothèses!$X$7,IF(CS335&lt;=Hypothèses!$V$8,Hypothèses!$X$8,IF(CS335&lt;=Hypothèses!$V$9,Hypothèses!$X$9,IF(CS335&lt;=Hypothèses!$V$10,Hypothèses!$X$10,IF(CS335&lt;=Hypothèses!$V$11,Hypothèses!$X$11,IF(CS335&lt;=Hypothèses!$V$12,Hypothèses!$X$12,IF(CS335&lt;=Hypothèses!$V$13,Hypothèses!$X$13,IF(CS335&lt;=Hypothèses!$V$14,Hypothèses!$X$14,IF(CS335&lt;=Hypothèses!$V$15,Hypothèses!$X$15,IF(CS335&lt;=Hypothèses!$V$16,Hypothèses!$X$16,IF(CS335&lt;=Hypothèses!$U$17,Hypothèses!$W$17,IF(CS335&lt;=Hypothèses!$U$18,Hypothèses!$W$18,""))))))))))))</f>
        <v>#DIV/0!</v>
      </c>
      <c r="DP335" s="95" t="e">
        <f t="shared" ref="DP335:DP363" ca="1" si="589">IF($B335&lt;10*$DZ$12,0.1/DN335*SUM(OFFSET(F335,-10*$B335+1,0,10*$B335,1)),0.1/DN335*SUM(OFFSET(F335,-100*$DZ$12+1,0,100*$DZ$12,1)))</f>
        <v>#DIV/0!</v>
      </c>
      <c r="DQ335" s="101" t="e">
        <f t="shared" si="528"/>
        <v>#N/A</v>
      </c>
      <c r="DR335" s="91" t="e">
        <f t="shared" si="558"/>
        <v>#N/A</v>
      </c>
      <c r="DS335" s="30" t="e">
        <f t="shared" si="510"/>
        <v>#N/A</v>
      </c>
      <c r="DT335" s="30" t="e">
        <f t="shared" si="511"/>
        <v>#N/A</v>
      </c>
      <c r="DU335" s="31" t="e">
        <f>IF(OR(Hypothèses!$B$4=17,Hypothèses!$B$4=18,Hypothèses!$B$4=19,Hypothèses!$B$4=20),
IF($D335="Pressio.",
IF(OR($E335=3,$E335=1,$E335=4),DT335,DS335),
IF($D335="Pénétro.",
IF(OR($E335=3,$E335=1,$E335=4),DT335,DS335))),IF($D335="Pressio.",
IF($E335=3,DT335,DS335),
IF($D335="Pénétro.",
IF($E335=4,DT335,DS335))))</f>
        <v>#N/A</v>
      </c>
      <c r="DV335" s="31" t="e">
        <f>(IF(OR(Hypothèses!$B$4=17,Hypothèses!$B$4=18,Hypothèses!$B$4=19,Hypothèses!$B$4=20),
IF($D335="Pressio.",
IF(OR($E335=3,$E335=1,$E335=4),(PI()*DV$12^2)/4*(DR335*$W335*1000)/($H335*$B$5),(PI()*DV$12^2)/4*(DR335*$W335*1000)/($G335*$B$5)),
IF($D335="Pénétro.",
IF(OR($E335=4,$E335=1,$E335=5),(PI()*DV$12^2)/4*(DR335*$W335*1000)/($H335*$B$5),(PI()*DV$12^2)/4*(DR335*$W335*1000)/($G335*$B$5)))),
IF($D335="Pressio.",
IF($E335=3,(PI()*DV$12^2)/4*(DR335*$W335*1000)/($H335*$B$5),(PI()*DV$12^2)/4*(DR335*$W335*1000)/($G335*$B$5)),
IF($D335="Pénétro.",
IF($E335=4,(PI()*DV$12^2)/4*(DR335*$W335*1000)/($H335*$B$5),(PI()*DV$12^2)/4*(DR335*$W335*1000)/($G335*$B$5))))))/10</f>
        <v>#N/A</v>
      </c>
      <c r="DW335" s="102" t="e">
        <f>(VLOOKUP($B$3,'Coeff EC7'!$T$39:$X$59,2,0)*DU335+VLOOKUP($B$3,'Coeff EC7'!$T$65:$X$85,2,0)*Model0.1C!DV335)/1.1</f>
        <v>#N/A</v>
      </c>
      <c r="DX335" s="102" t="e">
        <f>(VLOOKUP($B$3,'Coeff EC7'!$T$39:$X$59,3,0)*DU335+VLOOKUP($B$3,'Coeff EC7'!$T$65:$X$85,3,0)*Model0.1C!DV335)/0.9</f>
        <v>#N/A</v>
      </c>
      <c r="DY335" s="102" t="e">
        <f t="shared" ref="DY335:DY363" si="590">DU335/1.1+DV335/1.1</f>
        <v>#N/A</v>
      </c>
      <c r="DZ335" s="102" t="e">
        <f t="shared" ref="DZ335:DZ363" si="591">DU335+DV335</f>
        <v>#N/A</v>
      </c>
      <c r="EA335" s="414" t="e">
        <f>IF(EA334=0,0,IF(AND(DW335&gt;charge_ELS_quasi,DX335&gt;Charge_ELS_freq,DY335&gt;charge_ELU,DZ335&gt;charge_ELA,$B335&gt;NDC!$H$22-0.1+MIN(3*$EA$12,1.5)),0,1))</f>
        <v>#N/A</v>
      </c>
      <c r="EB335" s="86" t="b">
        <f t="shared" si="559"/>
        <v>0</v>
      </c>
      <c r="EC335" s="418">
        <f t="shared" si="560"/>
        <v>0.51</v>
      </c>
      <c r="ED335" s="86">
        <f t="shared" si="561"/>
        <v>0.51</v>
      </c>
      <c r="EE335" s="30" t="e">
        <f t="shared" ref="EE335:EE363" ca="1" si="592">AVERAGE(OFFSET($F335, -10*ED335, 0,10*ED335, 1), OFFSET($F335, 1, 0, 30*EC335, 1))</f>
        <v>#DIV/0!</v>
      </c>
      <c r="EF335" s="85" t="e">
        <f ca="1">IF(DL335&lt;=Hypothèses!$V$7,Hypothèses!$W$7,IF(DL335&lt;=Hypothèses!$V$8,Hypothèses!$W$8,IF(DL335&lt;=Hypothèses!$V$9,Hypothèses!$W$9,IF(DL335&lt;=Hypothèses!$V$10,Hypothèses!$W$10,IF(DL335&lt;=Hypothèses!$V$11,Hypothèses!$W$11,IF(DL335&lt;=Hypothèses!$V$12,Hypothèses!$W$12,IF(DL335&lt;=Hypothèses!$V$13,Hypothèses!$W$13,IF(DL335&lt;=Hypothèses!$V$14,Hypothèses!$W$14,IF(DL335&lt;=Hypothèses!$V$15,Hypothèses!$W$15,IF(DL335&lt;=Hypothèses!$V$16,Hypothèses!$W$16,IF(DL335&lt;=Hypothèses!$V$17,Hypothèses!$W$17,IF(DL335&lt;=Hypothèses!$V$18,Hypothèses!$W$18,""))))))))))))</f>
        <v>#DIV/0!</v>
      </c>
      <c r="EG335" s="87" t="e">
        <f t="shared" ca="1" si="522"/>
        <v>#DIV/0!</v>
      </c>
      <c r="EH335" s="88" t="e">
        <f ca="1">IF(DL335&lt;=Hypothèses!$V$7,Hypothèses!$X$7,IF(DL335&lt;=Hypothèses!$V$8,Hypothèses!$X$8,IF(DL335&lt;=Hypothèses!$V$9,Hypothèses!$X$9,IF(DL335&lt;=Hypothèses!$V$10,Hypothèses!$X$10,IF(DL335&lt;=Hypothèses!$V$11,Hypothèses!$X$11,IF(DL335&lt;=Hypothèses!$V$12,Hypothèses!$X$12,IF(DL335&lt;=Hypothèses!$V$13,Hypothèses!$X$13,IF(DL335&lt;=Hypothèses!$V$14,Hypothèses!$X$14,IF(DL335&lt;=Hypothèses!$V$15,Hypothèses!$X$15,IF(DL335&lt;=Hypothèses!$V$16,Hypothèses!$X$16,IF(DL335&lt;=Hypothèses!$U$17,Hypothèses!$W$17,IF(DL335&lt;=Hypothèses!$U$18,Hypothèses!$W$18,""))))))))))))</f>
        <v>#DIV/0!</v>
      </c>
      <c r="EI335" s="95" t="e">
        <f t="shared" ref="EI335:EI363" ca="1" si="593">IF($B335&lt;10*$ES$12,0.1/EG335*SUM(OFFSET(F335,-10*$B335+1,0,10*$B335,1)),0.1/EG335*SUM(OFFSET(F335,-100*$ES$12+1,0,100*$ES$12,1)))</f>
        <v>#DIV/0!</v>
      </c>
      <c r="EJ335" s="101" t="e">
        <f t="shared" si="529"/>
        <v>#N/A</v>
      </c>
      <c r="EK335" s="91" t="e">
        <f t="shared" si="562"/>
        <v>#N/A</v>
      </c>
      <c r="EL335" s="30" t="e">
        <f t="shared" si="512"/>
        <v>#N/A</v>
      </c>
      <c r="EM335" s="30" t="e">
        <f t="shared" si="513"/>
        <v>#N/A</v>
      </c>
      <c r="EN335" s="31" t="e">
        <f>IF(OR(Hypothèses!$B$4=17,Hypothèses!$B$4=18,Hypothèses!$B$4=19,Hypothèses!$B$4=20),
IF($D335="Pressio.",
IF(OR($E335=3,$E335=1,$E335=4),EM335,EL335),
IF($D335="Pénétro.",
IF(OR($E335=3,$E335=1,$E335=4),EM335,EL335))),IF($D335="Pressio.",
IF($E335=3,EM335,EL335),
IF($D335="Pénétro.",
IF($E335=4,EM335,EL335))))</f>
        <v>#N/A</v>
      </c>
      <c r="EO335" s="31" t="e">
        <f>(IF(OR(Hypothèses!$B$4=17,Hypothèses!$B$4=18,Hypothèses!$B$4=19,Hypothèses!$B$4=20),
IF($D335="Pressio.",
IF(OR($E335=3,$E335=1,$E335=4),(PI()*EO$12^2)/4*(EK335*$W335*1000)/($H335*$B$5),(PI()*EO$12^2)/4*(EK335*$W335*1000)/($G335*$B$5)),
IF($D335="Pénétro.",
IF(OR($E335=4,$E335=1,$E335=5),(PI()*EO$12^2)/4*(EK335*$W335*1000)/($H335*$B$5),(PI()*EO$12^2)/4*(EK335*$W335*1000)/($G335*$B$5)))),
IF($D335="Pressio.",
IF($E335=3,(PI()*EO$12^2)/4*(EK335*$W335*1000)/($H335*$B$5),(PI()*EO$12^2)/4*(EK335*$W335*1000)/($G335*$B$5)),
IF($D335="Pénétro.",
IF($E335=4,(PI()*EO$12^2)/4*(EK335*$W335*1000)/($H335*$B$5),(PI()*EO$12^2)/4*(EK335*$W335*1000)/($G335*$B$5))))))/10</f>
        <v>#N/A</v>
      </c>
      <c r="EP335" s="102" t="e">
        <f>(VLOOKUP($B$3,'Coeff EC7'!$T$39:$X$59,2,0)*EN335+VLOOKUP($B$3,'Coeff EC7'!$T$65:$X$85,2,0)*Model0.1C!EO335)/1.1</f>
        <v>#N/A</v>
      </c>
      <c r="EQ335" s="102" t="e">
        <f>(VLOOKUP($B$3,'Coeff EC7'!$T$39:$X$59,3,0)*EN335+VLOOKUP($B$3,'Coeff EC7'!$T$65:$X$85,3,0)*Model0.1C!EO335)/0.9</f>
        <v>#N/A</v>
      </c>
      <c r="ER335" s="102" t="e">
        <f t="shared" ref="ER335:ER363" si="594">EN335/1.1+EO335/1.1</f>
        <v>#N/A</v>
      </c>
      <c r="ES335" s="102" t="e">
        <f t="shared" ref="ES335:ES363" si="595">EN335+EO335</f>
        <v>#N/A</v>
      </c>
      <c r="ET335" s="414" t="e">
        <f>IF(ET334=0,0,IF(AND(EP335&gt;charge_ELS_quasi,EQ335&gt;Charge_ELS_freq,ER335&gt;charge_ELU,ES335&gt;charge_ELA,$B335&gt;NDC!$H$22-0.1+MIN(3*$ET$12,1.5)),0,1))</f>
        <v>#N/A</v>
      </c>
      <c r="EU335" s="86" t="b">
        <f t="shared" si="563"/>
        <v>0</v>
      </c>
      <c r="EV335" s="86">
        <f t="shared" si="564"/>
        <v>0.61</v>
      </c>
      <c r="EW335" s="86">
        <f t="shared" si="565"/>
        <v>0.61</v>
      </c>
      <c r="EX335" s="30" t="e">
        <f t="shared" ref="EX335:EX363" ca="1" si="596">AVERAGE(OFFSET($F335, -10*EW335, 0,10*EW335, 1), OFFSET($F335, 1, 0, 30*EV335, 1))</f>
        <v>#DIV/0!</v>
      </c>
      <c r="EY335" s="85" t="e">
        <f ca="1">IF(EE335&lt;=Hypothèses!$V$7,Hypothèses!$W$7,IF(EE335&lt;=Hypothèses!$V$8,Hypothèses!$W$8,IF(EE335&lt;=Hypothèses!$V$9,Hypothèses!$W$9,IF(EE335&lt;=Hypothèses!$V$10,Hypothèses!$W$10,IF(EE335&lt;=Hypothèses!$V$11,Hypothèses!$W$11,IF(EE335&lt;=Hypothèses!$V$12,Hypothèses!$W$12,IF(EE335&lt;=Hypothèses!$V$13,Hypothèses!$W$13,IF(EE335&lt;=Hypothèses!$V$14,Hypothèses!$W$14,IF(EE335&lt;=Hypothèses!$V$15,Hypothèses!$W$15,IF(EE335&lt;=Hypothèses!$V$16,Hypothèses!$W$16,IF(EE335&lt;=Hypothèses!$V$17,Hypothèses!$W$17,IF(EE335&lt;=Hypothèses!$V$18,Hypothèses!$W$18,""))))))))))))</f>
        <v>#DIV/0!</v>
      </c>
      <c r="EZ335" s="87" t="e">
        <f t="shared" ca="1" si="523"/>
        <v>#DIV/0!</v>
      </c>
      <c r="FA335" s="88" t="e">
        <f ca="1">IF(EE335&lt;=Hypothèses!$V$7,Hypothèses!$X$7,IF(EE335&lt;=Hypothèses!$V$8,Hypothèses!$X$8,IF(EE335&lt;=Hypothèses!$V$9,Hypothèses!$X$9,IF(EE335&lt;=Hypothèses!$V$10,Hypothèses!$X$10,IF(EE335&lt;=Hypothèses!$V$11,Hypothèses!$X$11,IF(EE335&lt;=Hypothèses!$V$12,Hypothèses!$X$12,IF(EE335&lt;=Hypothèses!$V$13,Hypothèses!$X$13,IF(EE335&lt;=Hypothèses!$V$14,Hypothèses!$X$14,IF(EE335&lt;=Hypothèses!$V$15,Hypothèses!$X$15,IF(EE335&lt;=Hypothèses!$V$16,Hypothèses!$X$16,IF(EE335&lt;=Hypothèses!$U$17,Hypothèses!$W$17,IF(EE335&lt;=Hypothèses!$U$18,Hypothèses!$W$18,""))))))))))))</f>
        <v>#DIV/0!</v>
      </c>
      <c r="FB335" s="95" t="e">
        <f t="shared" ref="FB335:FB363" ca="1" si="597">IF($B335&lt;10*$FL$12,0.1/EZ335*SUM(OFFSET(F335,-10*$B335+1,0,10*$B335,1)),0.1/EZ335*SUM(OFFSET(F335,-100*$FL$12+1,0,100*$FL$12,1)))</f>
        <v>#DIV/0!</v>
      </c>
      <c r="FC335" s="101" t="e">
        <f t="shared" si="530"/>
        <v>#N/A</v>
      </c>
      <c r="FD335" s="91" t="e">
        <f t="shared" si="566"/>
        <v>#N/A</v>
      </c>
      <c r="FE335" s="30" t="e">
        <f t="shared" si="514"/>
        <v>#N/A</v>
      </c>
      <c r="FF335" s="30" t="e">
        <f t="shared" si="515"/>
        <v>#N/A</v>
      </c>
      <c r="FG335" s="31" t="e">
        <f>IF(OR(Hypothèses!$B$4=17,Hypothèses!$B$4=18,Hypothèses!$B$4=19,Hypothèses!$B$4=20),
IF($D335="Pressio.",
IF(OR($E335=3,$E335=1,$E335=4),FF335,FE335),
IF($D335="Pénétro.",
IF(OR($E335=3,$E335=1,$E335=4),FF335,FE335))),IF($D335="Pressio.",
IF($E335=3,FF335,FE335),
IF($D335="Pénétro.",
IF($E335=4,FF335,FE335))))</f>
        <v>#N/A</v>
      </c>
      <c r="FH335" s="31" t="e">
        <f>(IF(OR(Hypothèses!$B$4=17,Hypothèses!$B$4=18,Hypothèses!$B$4=19,Hypothèses!$B$4=20),
IF($D335="Pressio.",
IF(OR($E335=3,$E335=1,$E335=4),(PI()*FH$12^2)/4*(FD335*$W335*1000)/($H335*$B$5),(PI()*FH$12^2)/4*(FD335*$W335*1000)/($G335*$B$5)),
IF($D335="Pénétro.",
IF(OR($E335=4,$E335=1,$E335=5),(PI()*FH$12^2)/4*(FD335*$W335*1000)/($H335*$B$5),(PI()*FH$12^2)/4*(FD335*$W335*1000)/($G335*$B$5)))),
IF($D335="Pressio.",
IF($E335=3,(PI()*FH$12^2)/4*(FD335*$W335*1000)/($H335*$B$5),(PI()*FH$12^2)/4*(FD335*$W335*1000)/($G335*$B$5)),
IF($D335="Pénétro.",
IF($E335=4,(PI()*FH$12^2)/4*(FD335*$W335*1000)/($H335*$B$5),(PI()*FH$12^2)/4*(FD335*$W335*1000)/($G335*$B$5))))))/10</f>
        <v>#N/A</v>
      </c>
      <c r="FI335" s="102" t="e">
        <f>(VLOOKUP($B$3,'Coeff EC7'!$T$39:$X$59,2,0)*FG335+VLOOKUP($B$3,'Coeff EC7'!$T$65:$X$85,2,0)*Model0.1C!FH335)/1.1</f>
        <v>#N/A</v>
      </c>
      <c r="FJ335" s="102" t="e">
        <f>(VLOOKUP($B$3,'Coeff EC7'!$T$39:$X$59,3,0)*FG335+VLOOKUP($B$3,'Coeff EC7'!$T$65:$X$85,3,0)*Model0.1C!FH335)/0.9</f>
        <v>#N/A</v>
      </c>
      <c r="FK335" s="102" t="e">
        <f t="shared" ref="FK335:FK363" si="598">FG335/1.1+FH335/1.1</f>
        <v>#N/A</v>
      </c>
      <c r="FL335" s="102" t="e">
        <f t="shared" ref="FL335:FL363" si="599">FG335+FH335</f>
        <v>#N/A</v>
      </c>
      <c r="FM335" s="414" t="e">
        <f>IF(FM334=0,0,IF(AND(FI335&gt;charge_ELS_quasi,FJ335&gt;Charge_ELS_freq,FK335&gt;charge_ELU,FL335&gt;charge_ELA,$B335&gt;NDC!$H$22-0.1+MIN(3*$FM$12,1.5)),0,1))</f>
        <v>#N/A</v>
      </c>
    </row>
    <row r="336" spans="1:169">
      <c r="A336" s="96">
        <f t="shared" si="567"/>
        <v>67.700000000001836</v>
      </c>
      <c r="B336" s="97">
        <v>32.299999999999997</v>
      </c>
      <c r="C336" s="81">
        <f>IF(B336&lt;=Hypothèses!$C$7,Hypothèses!$A$7,IF(B336&lt;=Hypothèses!$C$8,Hypothèses!$A$8,IF(B336&lt;=Hypothèses!$C$9,Hypothèses!$A$9,IF(B336&lt;=Hypothèses!$C$10,Hypothèses!$A$10,IF(B336&lt;=Hypothèses!$C$11,Hypothèses!$A$11,IF(B336&lt;=Hypothèses!$C$12,Hypothèses!$A$12,IF(B336&lt;=Hypothèses!$C$13,Hypothèses!$A$13,IF(B336&lt;=Hypothèses!$C$14,Hypothèses!$A$14,IF(B336&lt;=Hypothèses!$C$15,Hypothèses!$A$15,IF(B336&lt;=Hypothèses!$C$16,Hypothèses!$A$16,IF(B336&lt;=Hypothèses!$C$17,Hypothèses!$A$17,IF(B336&lt;=Hypothèses!$C$18,Hypothèses!$A$18,C335))))))))))))</f>
        <v>11</v>
      </c>
      <c r="D336" s="82" t="str">
        <f>IF(B336&lt;=Hypothèses!$C$7,Hypothèses!$R$7,IF(B336&lt;=Hypothèses!$C$8,Hypothèses!$R$8,IF(B336&lt;=Hypothèses!$C$9,Hypothèses!$R$9,IF(B336&lt;=Hypothèses!$C$10,Hypothèses!$R$10,IF(B336&lt;=Hypothèses!$C$11,Hypothèses!$R$11,IF(B336&lt;=Hypothèses!$C$12,Hypothèses!$R$12,IF(B336&lt;=Hypothèses!$C$13,Hypothèses!$R$13,IF(B336&lt;=Hypothèses!$C$14,Hypothèses!$R$14,IF(B336&lt;=Hypothèses!$C$15,Hypothèses!$R$15,IF(B336&lt;=Hypothèses!$C$16,Hypothèses!$R$16,IF(B336&lt;=Hypothèses!$C$17,Hypothèses!$R$17,IF(B336&lt;=Hypothèses!$C$18,Hypothèses!$R$18,D335))))))))))))</f>
        <v>Pressio.</v>
      </c>
      <c r="E336" s="82" t="e">
        <f>IF(B336&lt;=Hypothèses!$C$7,Hypothèses!$G$7,IF(B336&lt;=Hypothèses!$C$8,Hypothèses!$G$8,IF(B336&lt;=Hypothèses!$C$9,Hypothèses!$G$9,IF(B336&lt;=Hypothèses!$C$10,Hypothèses!$G$10,IF(B336&lt;=Hypothèses!$C$11,Hypothèses!$G$11,IF(B336&lt;=Hypothèses!$C$12,Hypothèses!$G$12,IF(B336&lt;=Hypothèses!$C$13,Hypothèses!$G$13,IF(B336&lt;=Hypothèses!$C$14,Hypothèses!$G$14,IF(B336&lt;=Hypothèses!$C$15,Hypothèses!$G$15,IF(B336&lt;=Hypothèses!$C$16,Hypothèses!$G$16,IF(B336&lt;=Hypothèses!$C$17,Hypothèses!$G$17,IF(B336&lt;=Hypothèses!$C$18,Hypothèses!$G$18,E335))))))))))))</f>
        <v>#N/A</v>
      </c>
      <c r="F336" s="82" t="str">
        <f>IF(B336&lt;=Hypothèses!$C$7,Hypothèses!$F$7,IF(B336&lt;=Hypothèses!$C$8,Hypothèses!$F$8,IF(B336&lt;=Hypothèses!$C$9,Hypothèses!$F$9,IF(B336&lt;=Hypothèses!$C$10,Hypothèses!$F$10,IF(B336&lt;=Hypothèses!$C$11,Hypothèses!$F$11,IF(B336&lt;=Hypothèses!$C$12,Hypothèses!$F$12,IF(B336&lt;=Hypothèses!$C$13,Hypothèses!$F$13,IF(B336&lt;=Hypothèses!$C$14,Hypothèses!$F$14,IF(B336&lt;=Hypothèses!$C$15,Hypothèses!$F$15,IF(B336&lt;=Hypothèses!$C$16,Hypothèses!$F$16,IF(B336&lt;=Hypothèses!$C$17,Hypothèses!$F$17,IF(B336&lt;=Hypothèses!$C$18,Hypothèses!$F$18,F335))))))))))))</f>
        <v/>
      </c>
      <c r="G336" s="91">
        <f t="array" ref="G336">INDEX('Coeff EC7'!$U$7:$X$27,
MATCH(Model0.1C!$B$3,'Coeff EC7'!$T$7:$T$27,0),
MATCH(Model0.1C!$D336&amp;Model0.1C!$B$4,
'Coeff EC7'!$U$6:$X$6&amp;
'Coeff EC7'!$U$5:$X$5,0))</f>
        <v>1.1499999999999999</v>
      </c>
      <c r="H336" s="91">
        <f t="array" ref="H336">INDEX('Coeff EC7'!$Y$7:$AB$27,
MATCH(Model0.1C!$B$3,'Coeff EC7'!$T$7:$T$27,0),
MATCH(Model0.1C!$D336&amp;Model0.1C!$B$4,
'Coeff EC7'!$Y$6:$AB$6&amp;
'Coeff EC7'!$Y$5:$AB$5,0))</f>
        <v>1.4</v>
      </c>
      <c r="I336" s="83" t="e">
        <f>IF(B336&lt;=Hypothèses!$C$7,Hypothèses!$P$7,IF(B336&lt;=Hypothèses!$C$8,Hypothèses!$P$8,IF(B336&lt;=Hypothèses!$C$9,Hypothèses!$P$9,IF(B336&lt;=Hypothèses!$C$10,Hypothèses!$P$10,IF(B336&lt;=Hypothèses!$C$11,Hypothèses!$P$11,IF(B336&lt;=Hypothèses!$C$12,Hypothèses!$P$12,IF(B336&lt;=Hypothèses!$C$13,Hypothèses!$P$13,IF(B336&lt;=Hypothèses!$C$14,Hypothèses!$P$14,IF(B336&lt;=Hypothèses!$C$15,Hypothèses!$P$15,IF(B336&lt;=Hypothèses!$C$16,Hypothèses!$P$16,IF(B336&lt;=Hypothèses!$C$17,Hypothèses!$P$17,IF(B336&lt;=Hypothèses!$C$18,Hypothèses!$P$18,I335))))))))))))</f>
        <v>#N/A</v>
      </c>
      <c r="J336" s="91" t="e">
        <f t="array" ref="J336">INDEX('Coeff EC7'!$D$33:$Q$33,1,MATCH(D336&amp;E336,'Coeff EC7'!$D$31:$Q$31&amp;'Coeff EC7'!$D$32:$Q$32,0))</f>
        <v>#N/A</v>
      </c>
      <c r="K336" s="91" t="e">
        <f t="array" ref="K336">INDEX('Coeff EC7'!$D$34:$Q$34,1,MATCH(D336&amp;E336,'Coeff EC7'!$D$31:$Q$31&amp;'Coeff EC7'!$D$32:$Q$32,0))</f>
        <v>#N/A</v>
      </c>
      <c r="L336" s="91" t="e">
        <f t="array" ref="L336">INDEX('Coeff EC7'!$D$35:$Q$35,1,MATCH(D336&amp;E336,'Coeff EC7'!$D$31:$Q$31&amp;'Coeff EC7'!$D$32:$Q$32,0))</f>
        <v>#N/A</v>
      </c>
      <c r="M336" s="98" t="e">
        <f t="shared" si="531"/>
        <v>#N/A</v>
      </c>
      <c r="N336" s="99" t="e">
        <f t="array" ref="N336">INDEX('Coeff EC7'!$D$7:$Q$27,MATCH($B$3,'Coeff EC7'!$C$7:$C$27,0),MATCH(D336&amp;E336,'Coeff EC7'!$D$5:$Q$5&amp;'Coeff EC7'!$D$6:$Q$6,0))</f>
        <v>#N/A</v>
      </c>
      <c r="O336" s="99" t="e">
        <f t="array" ref="O336">INDEX('Coeff EC7'!$D$41:$Q$61,MATCH($B$3,'Coeff EC7'!$C$41:$C$61,0),MATCH(D336&amp;E336,'Coeff EC7'!$D$39:$Q$39&amp;'Coeff EC7'!$D$40:$Q$40,0))</f>
        <v>#N/A</v>
      </c>
      <c r="P336" s="30" t="e">
        <f t="shared" si="568"/>
        <v>#N/A</v>
      </c>
      <c r="Q336" s="100" t="e">
        <f t="shared" si="533"/>
        <v>#N/A</v>
      </c>
      <c r="R336" s="86" t="b">
        <f t="shared" si="534"/>
        <v>0</v>
      </c>
      <c r="S336" s="86">
        <f t="shared" si="532"/>
        <v>0.5</v>
      </c>
      <c r="T336" s="86">
        <f t="shared" si="535"/>
        <v>0.5</v>
      </c>
      <c r="U336" s="30" t="e">
        <f t="shared" ca="1" si="569"/>
        <v>#DIV/0!</v>
      </c>
      <c r="V336" s="85" t="str">
        <f>IF(B336&lt;=Hypothèses!$V$7,Hypothèses!$W$7,IF(B336&lt;=Hypothèses!$V$8,Hypothèses!$W$8,IF(B336&lt;=Hypothèses!$V$9,Hypothèses!$W$9,IF(B336&lt;=Hypothèses!$V$10,Hypothèses!$W$10,IF(B336&lt;=Hypothèses!$V$11,Hypothèses!$W$11,IF(B336&lt;=Hypothèses!$V$12,Hypothèses!$W$12,IF(B336&lt;=Hypothèses!$V$13,Hypothèses!$W$13,IF(B336&lt;=Hypothèses!$V$14,Hypothèses!$W$14,IF(B336&lt;=Hypothèses!$V$15,Hypothèses!$W$15,IF(B336&lt;=Hypothèses!$V$16,Hypothèses!$W$16,IF(B336&lt;=Hypothèses!$V$17,Hypothèses!$W$17,IF(B336&lt;=Hypothèses!$V$18,Hypothèses!$W$18,""))))))))))))</f>
        <v/>
      </c>
      <c r="W336" s="87" t="e">
        <f t="shared" ca="1" si="516"/>
        <v>#DIV/0!</v>
      </c>
      <c r="X336" s="88" t="str">
        <f>IF(B336&lt;=Hypothèses!$V$7,Hypothèses!$X$7,IF(B336&lt;=Hypothèses!$V$8,Hypothèses!$X$8,IF(B336&lt;=Hypothèses!$V$9,Hypothèses!$X$9,IF(B336&lt;=Hypothèses!$V$10,Hypothèses!$X$10,IF(B336&lt;=Hypothèses!$V$11,Hypothèses!$X$11,IF(B336&lt;=Hypothèses!$V$12,Hypothèses!$X$12,IF(B336&lt;=Hypothèses!$V$13,Hypothèses!$X$13,IF(B336&lt;=Hypothèses!$V$14,Hypothèses!$X$14,IF(B336&lt;=Hypothèses!$V$15,Hypothèses!$X$15,IF(B336&lt;=Hypothèses!$V$16,Hypothèses!$X$16,IF(B336&lt;=Hypothèses!$U$17,Hypothèses!$W$17,IF(B336&lt;=Hypothèses!$U$18,Hypothèses!$W$18,""))))))))))))</f>
        <v/>
      </c>
      <c r="Y336" s="95" t="e">
        <f t="shared" ca="1" si="536"/>
        <v>#DIV/0!</v>
      </c>
      <c r="Z336" s="101" t="e">
        <f t="shared" si="537"/>
        <v>#N/A</v>
      </c>
      <c r="AA336" s="91" t="e">
        <f t="shared" si="538"/>
        <v>#N/A</v>
      </c>
      <c r="AB336" s="30" t="e">
        <f t="shared" ref="AB336:AB363" si="600">PI()*AB$12*$Q336*($B336-$B335)/($G336*$B$5)/10+AD335</f>
        <v>#N/A</v>
      </c>
      <c r="AC336" s="30" t="e">
        <f t="shared" ref="AC336:AC363" si="601">(PI()*AC$12*$Q336*($B336-$B335))/($H336*$B$5)/10+AD335</f>
        <v>#N/A</v>
      </c>
      <c r="AD336" s="31" t="e">
        <f>IF(OR(Hypothèses!$B$4=17,Hypothèses!$B$4=18,Hypothèses!$B$4=19,Hypothèses!$B$4=20),
IF($D336="Pressio.",
IF(OR($E336=3,$E336=1,$E336=4),AC336,AB336),
IF($D336="Pénétro.",
IF(OR($E336=3,$E336=1,$E336=4),AC336,AB336))),IF($D336="Pressio.",
IF($E336=3,AC336,AB336),
IF($D336="Pénétro.",
IF($E336=4,AC336,AB336))))</f>
        <v>#N/A</v>
      </c>
      <c r="AE336" s="31" t="e">
        <f>(IF(OR(Hypothèses!$B$4=17,Hypothèses!$B$4=18,Hypothèses!$B$4=19,Hypothèses!$B$4=20),
IF($D336="Pressio.",
IF(OR($E336=3,$E336=1,$E336=4),(PI()*AE$12^2)/4*(AA336*$W336*1000)/($H336*$B$5),(PI()*AE$12^2)/4*(AA336*$W336*1000)/($G336*$B$5)),
IF($D336="Pénétro.",
IF(OR($E336=4,$E336=1,$E336=5),(PI()*AE$12^2)/4*(AA336*$W336*1000)/($H336*$B$5),(PI()*AE$12^2)/4*(AA336*$W336*1000)/($G336*$B$5)))),
IF($D336="Pressio.",
IF($E336=3,(PI()*AE$12^2)/4*(AA336*$W336*1000)/($H336*$B$5),(PI()*AE$12^2)/4*(AA336*$W336*1000)/($G336*$B$5)),
IF($D336="Pénétro.",
IF($E336=4,(PI()*AE$12^2)/4*(AA336*$W336*1000)/($H336*$B$5),(PI()*AE$12^2)/4*(AA336*$W336*1000)/($G336*$B$5))))))/10</f>
        <v>#N/A</v>
      </c>
      <c r="AF336" s="102" t="e">
        <f>(VLOOKUP($B$3,'Coeff EC7'!$T$39:$X$59,2,0)*AD336+VLOOKUP($B$3,'Coeff EC7'!$T$65:$X$85,2,0)*Model0.1C!AE336)/1.1</f>
        <v>#N/A</v>
      </c>
      <c r="AG336" s="102" t="e">
        <f>(VLOOKUP($B$3,'Coeff EC7'!$T$39:$X$59,3,0)*AD336+VLOOKUP($B$3,'Coeff EC7'!$T$65:$X$85,3,0)*Model0.1C!AE336)/0.9</f>
        <v>#N/A</v>
      </c>
      <c r="AH336" s="102" t="e">
        <f t="shared" si="539"/>
        <v>#N/A</v>
      </c>
      <c r="AI336" s="102" t="e">
        <f t="shared" si="540"/>
        <v>#N/A</v>
      </c>
      <c r="AJ336" s="414" t="e">
        <f>IF(AJ335=0,0,IF(AND(AF336&gt;charge_ELS_quasi,AG336&gt;Charge_ELS_freq,AH336&gt;charge_ELU,AI336&gt;charge_ELA,$B336&gt;NDC!$H$22-0.1+MIN(3*$AJ$12,1.5)),0,1))</f>
        <v>#N/A</v>
      </c>
      <c r="AK336" s="86" t="b">
        <f t="shared" si="541"/>
        <v>0</v>
      </c>
      <c r="AL336" s="86">
        <f t="shared" si="570"/>
        <v>0.5</v>
      </c>
      <c r="AM336" s="86">
        <f t="shared" si="542"/>
        <v>0.5</v>
      </c>
      <c r="AN336" s="30" t="e">
        <f t="shared" ca="1" si="571"/>
        <v>#DIV/0!</v>
      </c>
      <c r="AO336" s="85" t="e">
        <f ca="1">IF(U336&lt;=Hypothèses!$V$7,Hypothèses!$W$7,IF(U336&lt;=Hypothèses!$V$8,Hypothèses!$W$8,IF(U336&lt;=Hypothèses!$V$9,Hypothèses!$W$9,IF(U336&lt;=Hypothèses!$V$10,Hypothèses!$W$10,IF(U336&lt;=Hypothèses!$V$11,Hypothèses!$W$11,IF(U336&lt;=Hypothèses!$V$12,Hypothèses!$W$12,IF(U336&lt;=Hypothèses!$V$13,Hypothèses!$W$13,IF(U336&lt;=Hypothèses!$V$14,Hypothèses!$W$14,IF(U336&lt;=Hypothèses!$V$15,Hypothèses!$W$15,IF(U336&lt;=Hypothèses!$V$16,Hypothèses!$W$16,IF(U336&lt;=Hypothèses!$V$17,Hypothèses!$W$17,IF(U336&lt;=Hypothèses!$V$18,Hypothèses!$W$18,""))))))))))))</f>
        <v>#DIV/0!</v>
      </c>
      <c r="AP336" s="87" t="e">
        <f t="shared" ca="1" si="517"/>
        <v>#DIV/0!</v>
      </c>
      <c r="AQ336" s="88" t="e">
        <f ca="1">IF(U336&lt;=Hypothèses!$V$7,Hypothèses!$X$7,IF(U336&lt;=Hypothèses!$V$8,Hypothèses!$X$8,IF(U336&lt;=Hypothèses!$V$9,Hypothèses!$X$9,IF(U336&lt;=Hypothèses!$V$10,Hypothèses!$X$10,IF(U336&lt;=Hypothèses!$V$11,Hypothèses!$X$11,IF(U336&lt;=Hypothèses!$V$12,Hypothèses!$X$12,IF(U336&lt;=Hypothèses!$V$13,Hypothèses!$X$13,IF(U336&lt;=Hypothèses!$V$14,Hypothèses!$X$14,IF(U336&lt;=Hypothèses!$V$15,Hypothèses!$X$15,IF(U336&lt;=Hypothèses!$V$16,Hypothèses!$X$16,IF(U336&lt;=Hypothèses!$U$17,Hypothèses!$W$17,IF(U336&lt;=Hypothèses!$U$18,Hypothèses!$W$18,""))))))))))))</f>
        <v>#DIV/0!</v>
      </c>
      <c r="AR336" s="95" t="e">
        <f t="shared" ca="1" si="572"/>
        <v>#DIV/0!</v>
      </c>
      <c r="AS336" s="101" t="e">
        <f t="shared" si="524"/>
        <v>#N/A</v>
      </c>
      <c r="AT336" s="91" t="e">
        <f t="shared" si="543"/>
        <v>#N/A</v>
      </c>
      <c r="AU336" s="30" t="e">
        <f t="shared" ref="AU336:AU363" si="602">PI()*AU$12*$Q336*($B336-$B335)/($G336*$B$5)/10+AW335</f>
        <v>#N/A</v>
      </c>
      <c r="AV336" s="30" t="e">
        <f t="shared" ref="AV336:AV363" si="603">(PI()*AV$12*$Q336*($B336-$B335))/($H336*$B$5)/10+AW335</f>
        <v>#N/A</v>
      </c>
      <c r="AW336" s="31" t="e">
        <f>IF(OR(Hypothèses!$B$4=17,Hypothèses!$B$4=18,Hypothèses!$B$4=19,Hypothèses!$B$4=20),
IF($D336="Pressio.",
IF(OR($E336=3,$E336=1,$E336=4),AV336,AU336),
IF($D336="Pénétro.",
IF(OR($E336=3,$E336=1,$E336=4),AV336,AU336))),IF($D336="Pressio.",
IF($E336=3,AV336,AU336),
IF($D336="Pénétro.",
IF($E336=4,AV336,AU336))))</f>
        <v>#N/A</v>
      </c>
      <c r="AX336" s="31" t="e">
        <f>(IF(OR(Hypothèses!$B$4=17,Hypothèses!$B$4=18,Hypothèses!$B$4=19,Hypothèses!$B$4=20),
IF($D336="Pressio.",
IF(OR($E336=3,$E336=1,$E336=4),(PI()*AX$12^2)/4*(AT336*$W336*1000)/($H336*$B$5),(PI()*AX$12^2)/4*(AT336*$W336*1000)/($G336*$B$5)),
IF($D336="Pénétro.",
IF(OR($E336=4,$E336=1,$E336=5),(PI()*AX$12^2)/4*(AT336*$W336*1000)/($H336*$B$5),(PI()*AX$12^2)/4*(AT336*$W336*1000)/($G336*$B$5)))),
IF($D336="Pressio.",
IF($E336=3,(PI()*AX$12^2)/4*(AT336*$W336*1000)/($H336*$B$5),(PI()*AX$12^2)/4*(AT336*$W336*1000)/($G336*$B$5)),
IF($D336="Pénétro.",
IF($E336=4,(PI()*AX$12^2)/4*(AT336*$W336*1000)/($H336*$B$5),(PI()*AX$12^2)/4*(AT336*$W336*1000)/($G336*$B$5))))))/10</f>
        <v>#N/A</v>
      </c>
      <c r="AY336" s="102" t="e">
        <f>(VLOOKUP($B$3,'Coeff EC7'!$T$39:$X$59,2,0)*AW336+VLOOKUP($B$3,'Coeff EC7'!$T$65:$X$85,2,0)*Model0.1C!AX336)/1.1</f>
        <v>#N/A</v>
      </c>
      <c r="AZ336" s="102" t="e">
        <f>(VLOOKUP($B$3,'Coeff EC7'!$T$39:$X$59,3,0)*AW336+VLOOKUP($B$3,'Coeff EC7'!$T$65:$X$85,3,0)*Model0.1C!AX336)/0.9</f>
        <v>#N/A</v>
      </c>
      <c r="BA336" s="102" t="e">
        <f t="shared" si="573"/>
        <v>#N/A</v>
      </c>
      <c r="BB336" s="102" t="e">
        <f t="shared" si="574"/>
        <v>#N/A</v>
      </c>
      <c r="BC336" s="414" t="e">
        <f>IF(BC335=0,0,IF(AND(AY336&gt;charge_ELS_quasi,AZ336&gt;Charge_ELS_freq,BA336&gt;charge_ELU,BB336&gt;charge_ELA,$B336&gt;NDC!$H$22-0.1+MIN(3*$BC$12,1.5)),0,1))</f>
        <v>#N/A</v>
      </c>
      <c r="BD336" s="86" t="b">
        <f t="shared" si="544"/>
        <v>0</v>
      </c>
      <c r="BE336" s="86">
        <f t="shared" si="575"/>
        <v>0.5</v>
      </c>
      <c r="BF336" s="86">
        <f t="shared" si="545"/>
        <v>0.5</v>
      </c>
      <c r="BG336" s="30" t="e">
        <f t="shared" ca="1" si="576"/>
        <v>#DIV/0!</v>
      </c>
      <c r="BH336" s="85" t="e">
        <f ca="1">IF(AN336&lt;=Hypothèses!$V$7,Hypothèses!$W$7,IF(AN336&lt;=Hypothèses!$V$8,Hypothèses!$W$8,IF(AN336&lt;=Hypothèses!$V$9,Hypothèses!$W$9,IF(AN336&lt;=Hypothèses!$V$10,Hypothèses!$W$10,IF(AN336&lt;=Hypothèses!$V$11,Hypothèses!$W$11,IF(AN336&lt;=Hypothèses!$V$12,Hypothèses!$W$12,IF(AN336&lt;=Hypothèses!$V$13,Hypothèses!$W$13,IF(AN336&lt;=Hypothèses!$V$14,Hypothèses!$W$14,IF(AN336&lt;=Hypothèses!$V$15,Hypothèses!$W$15,IF(AN336&lt;=Hypothèses!$V$16,Hypothèses!$W$16,IF(AN336&lt;=Hypothèses!$V$17,Hypothèses!$W$17,IF(AN336&lt;=Hypothèses!$V$18,Hypothèses!$W$18,""))))))))))))</f>
        <v>#DIV/0!</v>
      </c>
      <c r="BI336" s="87" t="e">
        <f t="shared" ca="1" si="518"/>
        <v>#DIV/0!</v>
      </c>
      <c r="BJ336" s="88" t="e">
        <f ca="1">IF(AN336&lt;=Hypothèses!$V$7,Hypothèses!$X$7,IF(AN336&lt;=Hypothèses!$V$8,Hypothèses!$X$8,IF(AN336&lt;=Hypothèses!$V$9,Hypothèses!$X$9,IF(AN336&lt;=Hypothèses!$V$10,Hypothèses!$X$10,IF(AN336&lt;=Hypothèses!$V$11,Hypothèses!$X$11,IF(AN336&lt;=Hypothèses!$V$12,Hypothèses!$X$12,IF(AN336&lt;=Hypothèses!$V$13,Hypothèses!$X$13,IF(AN336&lt;=Hypothèses!$V$14,Hypothèses!$X$14,IF(AN336&lt;=Hypothèses!$V$15,Hypothèses!$X$15,IF(AN336&lt;=Hypothèses!$V$16,Hypothèses!$X$16,IF(AN336&lt;=Hypothèses!$U$17,Hypothèses!$W$17,IF(AN336&lt;=Hypothèses!$U$18,Hypothèses!$W$18,""))))))))))))</f>
        <v>#DIV/0!</v>
      </c>
      <c r="BK336" s="95" t="e">
        <f t="shared" ca="1" si="577"/>
        <v>#DIV/0!</v>
      </c>
      <c r="BL336" s="101" t="e">
        <f t="shared" si="525"/>
        <v>#N/A</v>
      </c>
      <c r="BM336" s="91" t="e">
        <f t="shared" si="546"/>
        <v>#N/A</v>
      </c>
      <c r="BN336" s="30" t="e">
        <f t="shared" ref="BN336:BN363" si="604">PI()*BN$12*$Q336*($B336-$B335)/($G336*$B$5)/10+BP335</f>
        <v>#N/A</v>
      </c>
      <c r="BO336" s="30" t="e">
        <f t="shared" ref="BO336:BO363" si="605">(PI()*BO$12*$Q336*($B336-$B335))/($H336*$B$5)/10+BP335</f>
        <v>#N/A</v>
      </c>
      <c r="BP336" s="31" t="e">
        <f>IF(OR(Hypothèses!$B$4=17,Hypothèses!$B$4=18,Hypothèses!$B$4=19,Hypothèses!$B$4=20),
IF($D336="Pressio.",
IF(OR($E336=3,$E336=1,$E336=4),BO336,BN336),
IF($D336="Pénétro.",
IF(OR($E336=3,$E336=1,$E336=4),BO336,BN336))),IF($D336="Pressio.",
IF($E336=3,BO336,BN336),
IF($D336="Pénétro.",
IF($E336=4,BO336,BN336))))</f>
        <v>#N/A</v>
      </c>
      <c r="BQ336" s="31" t="e">
        <f>(IF(OR(Hypothèses!$B$4=17,Hypothèses!$B$4=18,Hypothèses!$B$4=19,Hypothèses!$B$4=20),
IF($D336="Pressio.",
IF(OR($E336=3,$E336=1,$E336=4),(PI()*BQ$12^2)/4*(BM336*$W336*1000)/($H336*$B$5),(PI()*BQ$12^2)/4*(BM336*$W336*1000)/($G336*$B$5)),
IF($D336="Pénétro.",
IF(OR($E336=4,$E336=1,$E336=5),(PI()*BQ$12^2)/4*(BM336*$W336*1000)/($H336*$B$5),(PI()*BQ$12^2)/4*(BM336*$W336*1000)/($G336*$B$5)))),
IF($D336="Pressio.",
IF($E336=3,(PI()*BQ$12^2)/4*(BM336*$W336*1000)/($H336*$B$5),(PI()*BQ$12^2)/4*(BM336*$W336*1000)/($G336*$B$5)),
IF($D336="Pénétro.",
IF($E336=4,(PI()*BQ$12^2)/4*(BM336*$W336*1000)/($H336*$B$5),(PI()*BQ$12^2)/4*(BM336*$W336*1000)/($G336*$B$5))))))/10</f>
        <v>#N/A</v>
      </c>
      <c r="BR336" s="102" t="e">
        <f>(VLOOKUP($B$3,'Coeff EC7'!$T$39:$X$59,2,0)*BP336+VLOOKUP($B$3,'Coeff EC7'!$T$65:$X$85,2,0)*Model0.1C!BQ336)/1.1</f>
        <v>#N/A</v>
      </c>
      <c r="BS336" s="102" t="e">
        <f>(VLOOKUP($B$3,'Coeff EC7'!$T$39:$X$59,3,0)*BP336+VLOOKUP($B$3,'Coeff EC7'!$T$65:$X$85,3,0)*Model0.1C!BQ336)/0.9</f>
        <v>#N/A</v>
      </c>
      <c r="BT336" s="102" t="e">
        <f t="shared" si="578"/>
        <v>#N/A</v>
      </c>
      <c r="BU336" s="102" t="e">
        <f t="shared" si="579"/>
        <v>#N/A</v>
      </c>
      <c r="BV336" s="414" t="e">
        <f>IF(BV335=0,0,IF(AND(BR336&gt;charge_ELS_quasi,BS336&gt;Charge_ELS_freq,BT336&gt;charge_ELU,BU336&gt;charge_ELA,$B336&gt;NDC!$H$22-0.1+MIN(3*$BV$12,1.5)),0,1))</f>
        <v>#N/A</v>
      </c>
      <c r="BW336" s="86" t="b">
        <f t="shared" si="547"/>
        <v>0</v>
      </c>
      <c r="BX336" s="86">
        <f t="shared" si="548"/>
        <v>0.5</v>
      </c>
      <c r="BY336" s="86">
        <f t="shared" si="549"/>
        <v>0.5</v>
      </c>
      <c r="BZ336" s="30" t="e">
        <f t="shared" ca="1" si="580"/>
        <v>#DIV/0!</v>
      </c>
      <c r="CA336" s="85" t="e">
        <f ca="1">IF(BG336&lt;=Hypothèses!$V$7,Hypothèses!$W$7,IF(BG336&lt;=Hypothèses!$V$8,Hypothèses!$W$8,IF(BG336&lt;=Hypothèses!$V$9,Hypothèses!$W$9,IF(BG336&lt;=Hypothèses!$V$10,Hypothèses!$W$10,IF(BG336&lt;=Hypothèses!$V$11,Hypothèses!$W$11,IF(BG336&lt;=Hypothèses!$V$12,Hypothèses!$W$12,IF(BG336&lt;=Hypothèses!$V$13,Hypothèses!$W$13,IF(BG336&lt;=Hypothèses!$V$14,Hypothèses!$W$14,IF(BG336&lt;=Hypothèses!$V$15,Hypothèses!$W$15,IF(BG336&lt;=Hypothèses!$V$16,Hypothèses!$W$16,IF(BG336&lt;=Hypothèses!$V$17,Hypothèses!$W$17,IF(BG336&lt;=Hypothèses!$V$18,Hypothèses!$W$18,""))))))))))))</f>
        <v>#DIV/0!</v>
      </c>
      <c r="CB336" s="87" t="e">
        <f t="shared" ca="1" si="519"/>
        <v>#DIV/0!</v>
      </c>
      <c r="CC336" s="88" t="e">
        <f ca="1">IF(BG336&lt;=Hypothèses!$V$7,Hypothèses!$X$7,IF(BG336&lt;=Hypothèses!$V$8,Hypothèses!$X$8,IF(BG336&lt;=Hypothèses!$V$9,Hypothèses!$X$9,IF(BG336&lt;=Hypothèses!$V$10,Hypothèses!$X$10,IF(BG336&lt;=Hypothèses!$V$11,Hypothèses!$X$11,IF(BG336&lt;=Hypothèses!$V$12,Hypothèses!$X$12,IF(BG336&lt;=Hypothèses!$V$13,Hypothèses!$X$13,IF(BG336&lt;=Hypothèses!$V$14,Hypothèses!$X$14,IF(BG336&lt;=Hypothèses!$V$15,Hypothèses!$X$15,IF(BG336&lt;=Hypothèses!$V$16,Hypothèses!$X$16,IF(BG336&lt;=Hypothèses!$U$17,Hypothèses!$W$17,IF(BG336&lt;=Hypothèses!$U$18,Hypothèses!$W$18,""))))))))))))</f>
        <v>#DIV/0!</v>
      </c>
      <c r="CD336" s="95" t="e">
        <f t="shared" ca="1" si="581"/>
        <v>#DIV/0!</v>
      </c>
      <c r="CE336" s="101" t="e">
        <f t="shared" si="526"/>
        <v>#N/A</v>
      </c>
      <c r="CF336" s="91" t="e">
        <f t="shared" si="550"/>
        <v>#N/A</v>
      </c>
      <c r="CG336" s="30" t="e">
        <f t="shared" ref="CG336:CG363" si="606">PI()*CG$12*$Q336*($B336-$B335)/($G336*$B$5)/10+CI335</f>
        <v>#N/A</v>
      </c>
      <c r="CH336" s="30" t="e">
        <f t="shared" ref="CH336:CH363" si="607">(PI()*CH$12*$Q336*($B336-$B335))/($H336*$B$5)/10+CI335</f>
        <v>#N/A</v>
      </c>
      <c r="CI336" s="31" t="e">
        <f>IF(OR(Hypothèses!$B$4=17,Hypothèses!$B$4=18,Hypothèses!$B$4=19,Hypothèses!$B$4=20),
IF($D336="Pressio.",
IF(OR($E336=3,$E336=1,$E336=4),CH336,CG336),
IF($D336="Pénétro.",
IF(OR($E336=3,$E336=1,$E336=4),CH336,CG336))),IF($D336="Pressio.",
IF($E336=3,CH336,CG336),
IF($D336="Pénétro.",
IF($E336=4,CH336,CG336))))</f>
        <v>#N/A</v>
      </c>
      <c r="CJ336" s="31" t="e">
        <f>(IF(OR(Hypothèses!$B$4=17,Hypothèses!$B$4=18,Hypothèses!$B$4=19,Hypothèses!$B$4=20),
IF($D336="Pressio.",
IF(OR($E336=3,$E336=1,$E336=4),(PI()*CJ$12^2)/4*(CF336*$W336*1000)/($H336*$B$5),(PI()*CJ$12^2)/4*(CF336*$W336*1000)/($G336*$B$5)),
IF($D336="Pénétro.",
IF(OR($E336=4,$E336=1,$E336=5),(PI()*CJ$12^2)/4*(CF336*$W336*1000)/($H336*$B$5),(PI()*CJ$12^2)/4*(CF336*$W336*1000)/($G336*$B$5)))),
IF($D336="Pressio.",
IF($E336=3,(PI()*CJ$12^2)/4*(CF336*$W336*1000)/($H336*$B$5),(PI()*CJ$12^2)/4*(CF336*$W336*1000)/($G336*$B$5)),
IF($D336="Pénétro.",
IF($E336=4,(PI()*CJ$12^2)/4*(CF336*$W336*1000)/($H336*$B$5),(PI()*CJ$12^2)/4*(CF336*$W336*1000)/($G336*$B$5))))))/10</f>
        <v>#N/A</v>
      </c>
      <c r="CK336" s="102" t="e">
        <f>(VLOOKUP($B$3,'Coeff EC7'!$T$39:$X$59,2,0)*CI336+VLOOKUP($B$3,'Coeff EC7'!$T$65:$X$85,2,0)*Model0.1C!CJ336)/1.1</f>
        <v>#N/A</v>
      </c>
      <c r="CL336" s="102" t="e">
        <f>(VLOOKUP($B$3,'Coeff EC7'!$T$39:$X$59,3,0)*CI336+VLOOKUP($B$3,'Coeff EC7'!$T$65:$X$85,3,0)*Model0.1C!CJ336)/0.9</f>
        <v>#N/A</v>
      </c>
      <c r="CM336" s="102" t="e">
        <f t="shared" si="582"/>
        <v>#N/A</v>
      </c>
      <c r="CN336" s="102" t="e">
        <f t="shared" si="583"/>
        <v>#N/A</v>
      </c>
      <c r="CO336" s="414" t="e">
        <f>IF(CO335=0,0,IF(AND(CK336&gt;charge_ELS_quasi,CL336&gt;Charge_ELS_freq,CM336&gt;charge_ELU,CN336&gt;charge_ELA,$B336&gt;NDC!$H$22-0.1+MIN(3*$CO$12,1.5)),0,1))</f>
        <v>#N/A</v>
      </c>
      <c r="CP336" s="86" t="b">
        <f t="shared" si="551"/>
        <v>0</v>
      </c>
      <c r="CQ336" s="86">
        <f t="shared" si="552"/>
        <v>0.5</v>
      </c>
      <c r="CR336" s="86">
        <f t="shared" si="553"/>
        <v>0.5</v>
      </c>
      <c r="CS336" s="30" t="e">
        <f t="shared" ca="1" si="584"/>
        <v>#DIV/0!</v>
      </c>
      <c r="CT336" s="85" t="e">
        <f ca="1">IF(BZ336&lt;=Hypothèses!$V$7,Hypothèses!$W$7,IF(BZ336&lt;=Hypothèses!$V$8,Hypothèses!$W$8,IF(BZ336&lt;=Hypothèses!$V$9,Hypothèses!$W$9,IF(BZ336&lt;=Hypothèses!$V$10,Hypothèses!$W$10,IF(BZ336&lt;=Hypothèses!$V$11,Hypothèses!$W$11,IF(BZ336&lt;=Hypothèses!$V$12,Hypothèses!$W$12,IF(BZ336&lt;=Hypothèses!$V$13,Hypothèses!$W$13,IF(BZ336&lt;=Hypothèses!$V$14,Hypothèses!$W$14,IF(BZ336&lt;=Hypothèses!$V$15,Hypothèses!$W$15,IF(BZ336&lt;=Hypothèses!$V$16,Hypothèses!$W$16,IF(BZ336&lt;=Hypothèses!$V$17,Hypothèses!$W$17,IF(BZ336&lt;=Hypothèses!$V$18,Hypothèses!$W$18,""))))))))))))</f>
        <v>#DIV/0!</v>
      </c>
      <c r="CU336" s="87" t="e">
        <f t="shared" ca="1" si="520"/>
        <v>#DIV/0!</v>
      </c>
      <c r="CV336" s="88" t="e">
        <f ca="1">IF(BZ336&lt;=Hypothèses!$V$7,Hypothèses!$X$7,IF(BZ336&lt;=Hypothèses!$V$8,Hypothèses!$X$8,IF(BZ336&lt;=Hypothèses!$V$9,Hypothèses!$X$9,IF(BZ336&lt;=Hypothèses!$V$10,Hypothèses!$X$10,IF(BZ336&lt;=Hypothèses!$V$11,Hypothèses!$X$11,IF(BZ336&lt;=Hypothèses!$V$12,Hypothèses!$X$12,IF(BZ336&lt;=Hypothèses!$V$13,Hypothèses!$X$13,IF(BZ336&lt;=Hypothèses!$V$14,Hypothèses!$X$14,IF(BZ336&lt;=Hypothèses!$V$15,Hypothèses!$X$15,IF(BZ336&lt;=Hypothèses!$V$16,Hypothèses!$X$16,IF(BZ336&lt;=Hypothèses!$U$17,Hypothèses!$W$17,IF(BZ336&lt;=Hypothèses!$U$18,Hypothèses!$W$18,""))))))))))))</f>
        <v>#DIV/0!</v>
      </c>
      <c r="CW336" s="95" t="e">
        <f t="shared" ca="1" si="585"/>
        <v>#DIV/0!</v>
      </c>
      <c r="CX336" s="101" t="e">
        <f t="shared" si="527"/>
        <v>#N/A</v>
      </c>
      <c r="CY336" s="91" t="e">
        <f t="shared" si="554"/>
        <v>#N/A</v>
      </c>
      <c r="CZ336" s="30" t="e">
        <f t="shared" ref="CZ336:CZ363" si="608">PI()*CZ$12*$Q336*($B336-$B335)/($G336*$B$5)/10+DB335</f>
        <v>#N/A</v>
      </c>
      <c r="DA336" s="30" t="e">
        <f t="shared" ref="DA336:DA363" si="609">(PI()*DA$12*$Q336*($B336-$B335))/($H336*$B$5)/10+DB335</f>
        <v>#N/A</v>
      </c>
      <c r="DB336" s="31" t="e">
        <f>IF(OR(Hypothèses!$B$4=17,Hypothèses!$B$4=18,Hypothèses!$B$4=19,Hypothèses!$B$4=20),
IF($D336="Pressio.",
IF(OR($E336=3,$E336=1,$E336=4),DA336,CZ336),
IF($D336="Pénétro.",
IF(OR($E336=3,$E336=1,$E336=4),DA336,CZ336))),IF($D336="Pressio.",
IF($E336=3,DA336,CZ336),
IF($D336="Pénétro.",
IF($E336=4,DA336,CZ336))))</f>
        <v>#N/A</v>
      </c>
      <c r="DC336" s="31" t="e">
        <f>(IF(OR(Hypothèses!$B$4=17,Hypothèses!$B$4=18,Hypothèses!$B$4=19,Hypothèses!$B$4=20),
IF($D336="Pressio.",
IF(OR($E336=3,$E336=1,$E336=4),(PI()*DC$12^2)/4*(CY336*$W336*1000)/($H336*$B$5),(PI()*DC$12^2)/4*(CY336*$W336*1000)/($G336*$B$5)),
IF($D336="Pénétro.",
IF(OR($E336=4,$E336=1,$E336=5),(PI()*DC$12^2)/4*(CY336*$W336*1000)/($H336*$B$5),(PI()*DC$12^2)/4*(CY336*$W336*1000)/($G336*$B$5)))),
IF($D336="Pressio.",
IF($E336=3,(PI()*DC$12^2)/4*(CY336*$W336*1000)/($H336*$B$5),(PI()*DC$12^2)/4*(CY336*$W336*1000)/($G336*$B$5)),
IF($D336="Pénétro.",
IF($E336=4,(PI()*DC$12^2)/4*(CY336*$W336*1000)/($H336*$B$5),(PI()*DC$12^2)/4*(CY336*$W336*1000)/($G336*$B$5))))))/10</f>
        <v>#N/A</v>
      </c>
      <c r="DD336" s="102" t="e">
        <f>(VLOOKUP($B$3,'Coeff EC7'!$T$39:$X$59,2,0)*DB336+VLOOKUP($B$3,'Coeff EC7'!$T$65:$X$85,2,0)*Model0.1C!DC336)/1.1</f>
        <v>#N/A</v>
      </c>
      <c r="DE336" s="102" t="e">
        <f>(VLOOKUP($B$3,'Coeff EC7'!$T$39:$X$59,3,0)*DB336+VLOOKUP($B$3,'Coeff EC7'!$T$65:$X$85,3,0)*Model0.1C!DC336)/0.9</f>
        <v>#N/A</v>
      </c>
      <c r="DF336" s="102" t="e">
        <f t="shared" si="586"/>
        <v>#N/A</v>
      </c>
      <c r="DG336" s="102" t="e">
        <f t="shared" si="587"/>
        <v>#N/A</v>
      </c>
      <c r="DH336" s="414" t="e">
        <f>IF(DH335=0,0,IF(AND(DD336&gt;charge_ELS_quasi,DE336&gt;Charge_ELS_freq,DF336&gt;charge_ELU,DG336&gt;charge_ELA,$B336&gt;NDC!$H$22-0.1+MIN(3*$DH$12,1.5)),0,1))</f>
        <v>#N/A</v>
      </c>
      <c r="DI336" s="86" t="b">
        <f t="shared" si="555"/>
        <v>0</v>
      </c>
      <c r="DJ336" s="86">
        <f t="shared" si="556"/>
        <v>0.5</v>
      </c>
      <c r="DK336" s="86">
        <f t="shared" si="557"/>
        <v>0.5</v>
      </c>
      <c r="DL336" s="30" t="e">
        <f t="shared" ca="1" si="588"/>
        <v>#DIV/0!</v>
      </c>
      <c r="DM336" s="85" t="e">
        <f ca="1">IF(CS336&lt;=Hypothèses!$V$7,Hypothèses!$W$7,IF(CS336&lt;=Hypothèses!$V$8,Hypothèses!$W$8,IF(CS336&lt;=Hypothèses!$V$9,Hypothèses!$W$9,IF(CS336&lt;=Hypothèses!$V$10,Hypothèses!$W$10,IF(CS336&lt;=Hypothèses!$V$11,Hypothèses!$W$11,IF(CS336&lt;=Hypothèses!$V$12,Hypothèses!$W$12,IF(CS336&lt;=Hypothèses!$V$13,Hypothèses!$W$13,IF(CS336&lt;=Hypothèses!$V$14,Hypothèses!$W$14,IF(CS336&lt;=Hypothèses!$V$15,Hypothèses!$W$15,IF(CS336&lt;=Hypothèses!$V$16,Hypothèses!$W$16,IF(CS336&lt;=Hypothèses!$V$17,Hypothèses!$W$17,IF(CS336&lt;=Hypothèses!$V$18,Hypothèses!$W$18,""))))))))))))</f>
        <v>#DIV/0!</v>
      </c>
      <c r="DN336" s="87" t="e">
        <f t="shared" ca="1" si="521"/>
        <v>#DIV/0!</v>
      </c>
      <c r="DO336" s="88" t="e">
        <f ca="1">IF(CS336&lt;=Hypothèses!$V$7,Hypothèses!$X$7,IF(CS336&lt;=Hypothèses!$V$8,Hypothèses!$X$8,IF(CS336&lt;=Hypothèses!$V$9,Hypothèses!$X$9,IF(CS336&lt;=Hypothèses!$V$10,Hypothèses!$X$10,IF(CS336&lt;=Hypothèses!$V$11,Hypothèses!$X$11,IF(CS336&lt;=Hypothèses!$V$12,Hypothèses!$X$12,IF(CS336&lt;=Hypothèses!$V$13,Hypothèses!$X$13,IF(CS336&lt;=Hypothèses!$V$14,Hypothèses!$X$14,IF(CS336&lt;=Hypothèses!$V$15,Hypothèses!$X$15,IF(CS336&lt;=Hypothèses!$V$16,Hypothèses!$X$16,IF(CS336&lt;=Hypothèses!$U$17,Hypothèses!$W$17,IF(CS336&lt;=Hypothèses!$U$18,Hypothèses!$W$18,""))))))))))))</f>
        <v>#DIV/0!</v>
      </c>
      <c r="DP336" s="95" t="e">
        <f t="shared" ca="1" si="589"/>
        <v>#DIV/0!</v>
      </c>
      <c r="DQ336" s="101" t="e">
        <f t="shared" si="528"/>
        <v>#N/A</v>
      </c>
      <c r="DR336" s="91" t="e">
        <f t="shared" si="558"/>
        <v>#N/A</v>
      </c>
      <c r="DS336" s="30" t="e">
        <f t="shared" ref="DS336:DS363" si="610">PI()*DS$12*$Q336*($B336-$B335)/($G336*$B$5)/10+DU335</f>
        <v>#N/A</v>
      </c>
      <c r="DT336" s="30" t="e">
        <f t="shared" ref="DT336:DT363" si="611">(PI()*DT$12*$Q336*($B336-$B335))/($H336*$B$5)/10+DU335</f>
        <v>#N/A</v>
      </c>
      <c r="DU336" s="31" t="e">
        <f>IF(OR(Hypothèses!$B$4=17,Hypothèses!$B$4=18,Hypothèses!$B$4=19,Hypothèses!$B$4=20),
IF($D336="Pressio.",
IF(OR($E336=3,$E336=1,$E336=4),DT336,DS336),
IF($D336="Pénétro.",
IF(OR($E336=3,$E336=1,$E336=4),DT336,DS336))),IF($D336="Pressio.",
IF($E336=3,DT336,DS336),
IF($D336="Pénétro.",
IF($E336=4,DT336,DS336))))</f>
        <v>#N/A</v>
      </c>
      <c r="DV336" s="31" t="e">
        <f>(IF(OR(Hypothèses!$B$4=17,Hypothèses!$B$4=18,Hypothèses!$B$4=19,Hypothèses!$B$4=20),
IF($D336="Pressio.",
IF(OR($E336=3,$E336=1,$E336=4),(PI()*DV$12^2)/4*(DR336*$W336*1000)/($H336*$B$5),(PI()*DV$12^2)/4*(DR336*$W336*1000)/($G336*$B$5)),
IF($D336="Pénétro.",
IF(OR($E336=4,$E336=1,$E336=5),(PI()*DV$12^2)/4*(DR336*$W336*1000)/($H336*$B$5),(PI()*DV$12^2)/4*(DR336*$W336*1000)/($G336*$B$5)))),
IF($D336="Pressio.",
IF($E336=3,(PI()*DV$12^2)/4*(DR336*$W336*1000)/($H336*$B$5),(PI()*DV$12^2)/4*(DR336*$W336*1000)/($G336*$B$5)),
IF($D336="Pénétro.",
IF($E336=4,(PI()*DV$12^2)/4*(DR336*$W336*1000)/($H336*$B$5),(PI()*DV$12^2)/4*(DR336*$W336*1000)/($G336*$B$5))))))/10</f>
        <v>#N/A</v>
      </c>
      <c r="DW336" s="102" t="e">
        <f>(VLOOKUP($B$3,'Coeff EC7'!$T$39:$X$59,2,0)*DU336+VLOOKUP($B$3,'Coeff EC7'!$T$65:$X$85,2,0)*Model0.1C!DV336)/1.1</f>
        <v>#N/A</v>
      </c>
      <c r="DX336" s="102" t="e">
        <f>(VLOOKUP($B$3,'Coeff EC7'!$T$39:$X$59,3,0)*DU336+VLOOKUP($B$3,'Coeff EC7'!$T$65:$X$85,3,0)*Model0.1C!DV336)/0.9</f>
        <v>#N/A</v>
      </c>
      <c r="DY336" s="102" t="e">
        <f t="shared" si="590"/>
        <v>#N/A</v>
      </c>
      <c r="DZ336" s="102" t="e">
        <f t="shared" si="591"/>
        <v>#N/A</v>
      </c>
      <c r="EA336" s="414" t="e">
        <f>IF(EA335=0,0,IF(AND(DW336&gt;charge_ELS_quasi,DX336&gt;Charge_ELS_freq,DY336&gt;charge_ELU,DZ336&gt;charge_ELA,$B336&gt;NDC!$H$22-0.1+MIN(3*$EA$12,1.5)),0,1))</f>
        <v>#N/A</v>
      </c>
      <c r="EB336" s="86" t="b">
        <f t="shared" si="559"/>
        <v>0</v>
      </c>
      <c r="EC336" s="418">
        <f t="shared" si="560"/>
        <v>0.51</v>
      </c>
      <c r="ED336" s="86">
        <f t="shared" si="561"/>
        <v>0.51</v>
      </c>
      <c r="EE336" s="30" t="e">
        <f t="shared" ca="1" si="592"/>
        <v>#DIV/0!</v>
      </c>
      <c r="EF336" s="85" t="e">
        <f ca="1">IF(DL336&lt;=Hypothèses!$V$7,Hypothèses!$W$7,IF(DL336&lt;=Hypothèses!$V$8,Hypothèses!$W$8,IF(DL336&lt;=Hypothèses!$V$9,Hypothèses!$W$9,IF(DL336&lt;=Hypothèses!$V$10,Hypothèses!$W$10,IF(DL336&lt;=Hypothèses!$V$11,Hypothèses!$W$11,IF(DL336&lt;=Hypothèses!$V$12,Hypothèses!$W$12,IF(DL336&lt;=Hypothèses!$V$13,Hypothèses!$W$13,IF(DL336&lt;=Hypothèses!$V$14,Hypothèses!$W$14,IF(DL336&lt;=Hypothèses!$V$15,Hypothèses!$W$15,IF(DL336&lt;=Hypothèses!$V$16,Hypothèses!$W$16,IF(DL336&lt;=Hypothèses!$V$17,Hypothèses!$W$17,IF(DL336&lt;=Hypothèses!$V$18,Hypothèses!$W$18,""))))))))))))</f>
        <v>#DIV/0!</v>
      </c>
      <c r="EG336" s="87" t="e">
        <f t="shared" ca="1" si="522"/>
        <v>#DIV/0!</v>
      </c>
      <c r="EH336" s="88" t="e">
        <f ca="1">IF(DL336&lt;=Hypothèses!$V$7,Hypothèses!$X$7,IF(DL336&lt;=Hypothèses!$V$8,Hypothèses!$X$8,IF(DL336&lt;=Hypothèses!$V$9,Hypothèses!$X$9,IF(DL336&lt;=Hypothèses!$V$10,Hypothèses!$X$10,IF(DL336&lt;=Hypothèses!$V$11,Hypothèses!$X$11,IF(DL336&lt;=Hypothèses!$V$12,Hypothèses!$X$12,IF(DL336&lt;=Hypothèses!$V$13,Hypothèses!$X$13,IF(DL336&lt;=Hypothèses!$V$14,Hypothèses!$X$14,IF(DL336&lt;=Hypothèses!$V$15,Hypothèses!$X$15,IF(DL336&lt;=Hypothèses!$V$16,Hypothèses!$X$16,IF(DL336&lt;=Hypothèses!$U$17,Hypothèses!$W$17,IF(DL336&lt;=Hypothèses!$U$18,Hypothèses!$W$18,""))))))))))))</f>
        <v>#DIV/0!</v>
      </c>
      <c r="EI336" s="95" t="e">
        <f t="shared" ca="1" si="593"/>
        <v>#DIV/0!</v>
      </c>
      <c r="EJ336" s="101" t="e">
        <f t="shared" si="529"/>
        <v>#N/A</v>
      </c>
      <c r="EK336" s="91" t="e">
        <f t="shared" si="562"/>
        <v>#N/A</v>
      </c>
      <c r="EL336" s="30" t="e">
        <f t="shared" ref="EL336:EL363" si="612">PI()*EL$12*$Q336*($B336-$B335)/($G336*$B$5)/10+EN335</f>
        <v>#N/A</v>
      </c>
      <c r="EM336" s="30" t="e">
        <f t="shared" ref="EM336:EM363" si="613">(PI()*EM$12*$Q336*($B336-$B335))/($H336*$B$5)/10+EN335</f>
        <v>#N/A</v>
      </c>
      <c r="EN336" s="31" t="e">
        <f>IF(OR(Hypothèses!$B$4=17,Hypothèses!$B$4=18,Hypothèses!$B$4=19,Hypothèses!$B$4=20),
IF($D336="Pressio.",
IF(OR($E336=3,$E336=1,$E336=4),EM336,EL336),
IF($D336="Pénétro.",
IF(OR($E336=3,$E336=1,$E336=4),EM336,EL336))),IF($D336="Pressio.",
IF($E336=3,EM336,EL336),
IF($D336="Pénétro.",
IF($E336=4,EM336,EL336))))</f>
        <v>#N/A</v>
      </c>
      <c r="EO336" s="31" t="e">
        <f>(IF(OR(Hypothèses!$B$4=17,Hypothèses!$B$4=18,Hypothèses!$B$4=19,Hypothèses!$B$4=20),
IF($D336="Pressio.",
IF(OR($E336=3,$E336=1,$E336=4),(PI()*EO$12^2)/4*(EK336*$W336*1000)/($H336*$B$5),(PI()*EO$12^2)/4*(EK336*$W336*1000)/($G336*$B$5)),
IF($D336="Pénétro.",
IF(OR($E336=4,$E336=1,$E336=5),(PI()*EO$12^2)/4*(EK336*$W336*1000)/($H336*$B$5),(PI()*EO$12^2)/4*(EK336*$W336*1000)/($G336*$B$5)))),
IF($D336="Pressio.",
IF($E336=3,(PI()*EO$12^2)/4*(EK336*$W336*1000)/($H336*$B$5),(PI()*EO$12^2)/4*(EK336*$W336*1000)/($G336*$B$5)),
IF($D336="Pénétro.",
IF($E336=4,(PI()*EO$12^2)/4*(EK336*$W336*1000)/($H336*$B$5),(PI()*EO$12^2)/4*(EK336*$W336*1000)/($G336*$B$5))))))/10</f>
        <v>#N/A</v>
      </c>
      <c r="EP336" s="102" t="e">
        <f>(VLOOKUP($B$3,'Coeff EC7'!$T$39:$X$59,2,0)*EN336+VLOOKUP($B$3,'Coeff EC7'!$T$65:$X$85,2,0)*Model0.1C!EO336)/1.1</f>
        <v>#N/A</v>
      </c>
      <c r="EQ336" s="102" t="e">
        <f>(VLOOKUP($B$3,'Coeff EC7'!$T$39:$X$59,3,0)*EN336+VLOOKUP($B$3,'Coeff EC7'!$T$65:$X$85,3,0)*Model0.1C!EO336)/0.9</f>
        <v>#N/A</v>
      </c>
      <c r="ER336" s="102" t="e">
        <f t="shared" si="594"/>
        <v>#N/A</v>
      </c>
      <c r="ES336" s="102" t="e">
        <f t="shared" si="595"/>
        <v>#N/A</v>
      </c>
      <c r="ET336" s="414" t="e">
        <f>IF(ET335=0,0,IF(AND(EP336&gt;charge_ELS_quasi,EQ336&gt;Charge_ELS_freq,ER336&gt;charge_ELU,ES336&gt;charge_ELA,$B336&gt;NDC!$H$22-0.1+MIN(3*$ET$12,1.5)),0,1))</f>
        <v>#N/A</v>
      </c>
      <c r="EU336" s="86" t="b">
        <f t="shared" si="563"/>
        <v>0</v>
      </c>
      <c r="EV336" s="86">
        <f t="shared" si="564"/>
        <v>0.61</v>
      </c>
      <c r="EW336" s="86">
        <f t="shared" si="565"/>
        <v>0.61</v>
      </c>
      <c r="EX336" s="30" t="e">
        <f t="shared" ca="1" si="596"/>
        <v>#DIV/0!</v>
      </c>
      <c r="EY336" s="85" t="e">
        <f ca="1">IF(EE336&lt;=Hypothèses!$V$7,Hypothèses!$W$7,IF(EE336&lt;=Hypothèses!$V$8,Hypothèses!$W$8,IF(EE336&lt;=Hypothèses!$V$9,Hypothèses!$W$9,IF(EE336&lt;=Hypothèses!$V$10,Hypothèses!$W$10,IF(EE336&lt;=Hypothèses!$V$11,Hypothèses!$W$11,IF(EE336&lt;=Hypothèses!$V$12,Hypothèses!$W$12,IF(EE336&lt;=Hypothèses!$V$13,Hypothèses!$W$13,IF(EE336&lt;=Hypothèses!$V$14,Hypothèses!$W$14,IF(EE336&lt;=Hypothèses!$V$15,Hypothèses!$W$15,IF(EE336&lt;=Hypothèses!$V$16,Hypothèses!$W$16,IF(EE336&lt;=Hypothèses!$V$17,Hypothèses!$W$17,IF(EE336&lt;=Hypothèses!$V$18,Hypothèses!$W$18,""))))))))))))</f>
        <v>#DIV/0!</v>
      </c>
      <c r="EZ336" s="87" t="e">
        <f t="shared" ca="1" si="523"/>
        <v>#DIV/0!</v>
      </c>
      <c r="FA336" s="88" t="e">
        <f ca="1">IF(EE336&lt;=Hypothèses!$V$7,Hypothèses!$X$7,IF(EE336&lt;=Hypothèses!$V$8,Hypothèses!$X$8,IF(EE336&lt;=Hypothèses!$V$9,Hypothèses!$X$9,IF(EE336&lt;=Hypothèses!$V$10,Hypothèses!$X$10,IF(EE336&lt;=Hypothèses!$V$11,Hypothèses!$X$11,IF(EE336&lt;=Hypothèses!$V$12,Hypothèses!$X$12,IF(EE336&lt;=Hypothèses!$V$13,Hypothèses!$X$13,IF(EE336&lt;=Hypothèses!$V$14,Hypothèses!$X$14,IF(EE336&lt;=Hypothèses!$V$15,Hypothèses!$X$15,IF(EE336&lt;=Hypothèses!$V$16,Hypothèses!$X$16,IF(EE336&lt;=Hypothèses!$U$17,Hypothèses!$W$17,IF(EE336&lt;=Hypothèses!$U$18,Hypothèses!$W$18,""))))))))))))</f>
        <v>#DIV/0!</v>
      </c>
      <c r="FB336" s="95" t="e">
        <f t="shared" ca="1" si="597"/>
        <v>#DIV/0!</v>
      </c>
      <c r="FC336" s="101" t="e">
        <f t="shared" si="530"/>
        <v>#N/A</v>
      </c>
      <c r="FD336" s="91" t="e">
        <f t="shared" si="566"/>
        <v>#N/A</v>
      </c>
      <c r="FE336" s="30" t="e">
        <f t="shared" ref="FE336:FE363" si="614">PI()*FE$12*$Q336*($B336-$B335)/($G336*$B$5)/10+FG335</f>
        <v>#N/A</v>
      </c>
      <c r="FF336" s="30" t="e">
        <f t="shared" ref="FF336:FF363" si="615">(PI()*FF$12*$Q336*($B336-$B335))/($H336*$B$5)/10+FG335</f>
        <v>#N/A</v>
      </c>
      <c r="FG336" s="31" t="e">
        <f>IF(OR(Hypothèses!$B$4=17,Hypothèses!$B$4=18,Hypothèses!$B$4=19,Hypothèses!$B$4=20),
IF($D336="Pressio.",
IF(OR($E336=3,$E336=1,$E336=4),FF336,FE336),
IF($D336="Pénétro.",
IF(OR($E336=3,$E336=1,$E336=4),FF336,FE336))),IF($D336="Pressio.",
IF($E336=3,FF336,FE336),
IF($D336="Pénétro.",
IF($E336=4,FF336,FE336))))</f>
        <v>#N/A</v>
      </c>
      <c r="FH336" s="31" t="e">
        <f>(IF(OR(Hypothèses!$B$4=17,Hypothèses!$B$4=18,Hypothèses!$B$4=19,Hypothèses!$B$4=20),
IF($D336="Pressio.",
IF(OR($E336=3,$E336=1,$E336=4),(PI()*FH$12^2)/4*(FD336*$W336*1000)/($H336*$B$5),(PI()*FH$12^2)/4*(FD336*$W336*1000)/($G336*$B$5)),
IF($D336="Pénétro.",
IF(OR($E336=4,$E336=1,$E336=5),(PI()*FH$12^2)/4*(FD336*$W336*1000)/($H336*$B$5),(PI()*FH$12^2)/4*(FD336*$W336*1000)/($G336*$B$5)))),
IF($D336="Pressio.",
IF($E336=3,(PI()*FH$12^2)/4*(FD336*$W336*1000)/($H336*$B$5),(PI()*FH$12^2)/4*(FD336*$W336*1000)/($G336*$B$5)),
IF($D336="Pénétro.",
IF($E336=4,(PI()*FH$12^2)/4*(FD336*$W336*1000)/($H336*$B$5),(PI()*FH$12^2)/4*(FD336*$W336*1000)/($G336*$B$5))))))/10</f>
        <v>#N/A</v>
      </c>
      <c r="FI336" s="102" t="e">
        <f>(VLOOKUP($B$3,'Coeff EC7'!$T$39:$X$59,2,0)*FG336+VLOOKUP($B$3,'Coeff EC7'!$T$65:$X$85,2,0)*Model0.1C!FH336)/1.1</f>
        <v>#N/A</v>
      </c>
      <c r="FJ336" s="102" t="e">
        <f>(VLOOKUP($B$3,'Coeff EC7'!$T$39:$X$59,3,0)*FG336+VLOOKUP($B$3,'Coeff EC7'!$T$65:$X$85,3,0)*Model0.1C!FH336)/0.9</f>
        <v>#N/A</v>
      </c>
      <c r="FK336" s="102" t="e">
        <f t="shared" si="598"/>
        <v>#N/A</v>
      </c>
      <c r="FL336" s="102" t="e">
        <f t="shared" si="599"/>
        <v>#N/A</v>
      </c>
      <c r="FM336" s="414" t="e">
        <f>IF(FM335=0,0,IF(AND(FI336&gt;charge_ELS_quasi,FJ336&gt;Charge_ELS_freq,FK336&gt;charge_ELU,FL336&gt;charge_ELA,$B336&gt;NDC!$H$22-0.1+MIN(3*$FM$12,1.5)),0,1))</f>
        <v>#N/A</v>
      </c>
    </row>
    <row r="337" spans="1:169">
      <c r="A337" s="96">
        <f t="shared" si="567"/>
        <v>67.600000000001842</v>
      </c>
      <c r="B337" s="97">
        <v>32.4</v>
      </c>
      <c r="C337" s="81">
        <f>IF(B337&lt;=Hypothèses!$C$7,Hypothèses!$A$7,IF(B337&lt;=Hypothèses!$C$8,Hypothèses!$A$8,IF(B337&lt;=Hypothèses!$C$9,Hypothèses!$A$9,IF(B337&lt;=Hypothèses!$C$10,Hypothèses!$A$10,IF(B337&lt;=Hypothèses!$C$11,Hypothèses!$A$11,IF(B337&lt;=Hypothèses!$C$12,Hypothèses!$A$12,IF(B337&lt;=Hypothèses!$C$13,Hypothèses!$A$13,IF(B337&lt;=Hypothèses!$C$14,Hypothèses!$A$14,IF(B337&lt;=Hypothèses!$C$15,Hypothèses!$A$15,IF(B337&lt;=Hypothèses!$C$16,Hypothèses!$A$16,IF(B337&lt;=Hypothèses!$C$17,Hypothèses!$A$17,IF(B337&lt;=Hypothèses!$C$18,Hypothèses!$A$18,C336))))))))))))</f>
        <v>11</v>
      </c>
      <c r="D337" s="82" t="str">
        <f>IF(B337&lt;=Hypothèses!$C$7,Hypothèses!$R$7,IF(B337&lt;=Hypothèses!$C$8,Hypothèses!$R$8,IF(B337&lt;=Hypothèses!$C$9,Hypothèses!$R$9,IF(B337&lt;=Hypothèses!$C$10,Hypothèses!$R$10,IF(B337&lt;=Hypothèses!$C$11,Hypothèses!$R$11,IF(B337&lt;=Hypothèses!$C$12,Hypothèses!$R$12,IF(B337&lt;=Hypothèses!$C$13,Hypothèses!$R$13,IF(B337&lt;=Hypothèses!$C$14,Hypothèses!$R$14,IF(B337&lt;=Hypothèses!$C$15,Hypothèses!$R$15,IF(B337&lt;=Hypothèses!$C$16,Hypothèses!$R$16,IF(B337&lt;=Hypothèses!$C$17,Hypothèses!$R$17,IF(B337&lt;=Hypothèses!$C$18,Hypothèses!$R$18,D336))))))))))))</f>
        <v>Pressio.</v>
      </c>
      <c r="E337" s="82" t="e">
        <f>IF(B337&lt;=Hypothèses!$C$7,Hypothèses!$G$7,IF(B337&lt;=Hypothèses!$C$8,Hypothèses!$G$8,IF(B337&lt;=Hypothèses!$C$9,Hypothèses!$G$9,IF(B337&lt;=Hypothèses!$C$10,Hypothèses!$G$10,IF(B337&lt;=Hypothèses!$C$11,Hypothèses!$G$11,IF(B337&lt;=Hypothèses!$C$12,Hypothèses!$G$12,IF(B337&lt;=Hypothèses!$C$13,Hypothèses!$G$13,IF(B337&lt;=Hypothèses!$C$14,Hypothèses!$G$14,IF(B337&lt;=Hypothèses!$C$15,Hypothèses!$G$15,IF(B337&lt;=Hypothèses!$C$16,Hypothèses!$G$16,IF(B337&lt;=Hypothèses!$C$17,Hypothèses!$G$17,IF(B337&lt;=Hypothèses!$C$18,Hypothèses!$G$18,E336))))))))))))</f>
        <v>#N/A</v>
      </c>
      <c r="F337" s="82" t="str">
        <f>IF(B337&lt;=Hypothèses!$C$7,Hypothèses!$F$7,IF(B337&lt;=Hypothèses!$C$8,Hypothèses!$F$8,IF(B337&lt;=Hypothèses!$C$9,Hypothèses!$F$9,IF(B337&lt;=Hypothèses!$C$10,Hypothèses!$F$10,IF(B337&lt;=Hypothèses!$C$11,Hypothèses!$F$11,IF(B337&lt;=Hypothèses!$C$12,Hypothèses!$F$12,IF(B337&lt;=Hypothèses!$C$13,Hypothèses!$F$13,IF(B337&lt;=Hypothèses!$C$14,Hypothèses!$F$14,IF(B337&lt;=Hypothèses!$C$15,Hypothèses!$F$15,IF(B337&lt;=Hypothèses!$C$16,Hypothèses!$F$16,IF(B337&lt;=Hypothèses!$C$17,Hypothèses!$F$17,IF(B337&lt;=Hypothèses!$C$18,Hypothèses!$F$18,F336))))))))))))</f>
        <v/>
      </c>
      <c r="G337" s="91">
        <f t="array" ref="G337">INDEX('Coeff EC7'!$U$7:$X$27,
MATCH(Model0.1C!$B$3,'Coeff EC7'!$T$7:$T$27,0),
MATCH(Model0.1C!$D337&amp;Model0.1C!$B$4,
'Coeff EC7'!$U$6:$X$6&amp;
'Coeff EC7'!$U$5:$X$5,0))</f>
        <v>1.1499999999999999</v>
      </c>
      <c r="H337" s="91">
        <f t="array" ref="H337">INDEX('Coeff EC7'!$Y$7:$AB$27,
MATCH(Model0.1C!$B$3,'Coeff EC7'!$T$7:$T$27,0),
MATCH(Model0.1C!$D337&amp;Model0.1C!$B$4,
'Coeff EC7'!$Y$6:$AB$6&amp;
'Coeff EC7'!$Y$5:$AB$5,0))</f>
        <v>1.4</v>
      </c>
      <c r="I337" s="83" t="e">
        <f>IF(B337&lt;=Hypothèses!$C$7,Hypothèses!$P$7,IF(B337&lt;=Hypothèses!$C$8,Hypothèses!$P$8,IF(B337&lt;=Hypothèses!$C$9,Hypothèses!$P$9,IF(B337&lt;=Hypothèses!$C$10,Hypothèses!$P$10,IF(B337&lt;=Hypothèses!$C$11,Hypothèses!$P$11,IF(B337&lt;=Hypothèses!$C$12,Hypothèses!$P$12,IF(B337&lt;=Hypothèses!$C$13,Hypothèses!$P$13,IF(B337&lt;=Hypothèses!$C$14,Hypothèses!$P$14,IF(B337&lt;=Hypothèses!$C$15,Hypothèses!$P$15,IF(B337&lt;=Hypothèses!$C$16,Hypothèses!$P$16,IF(B337&lt;=Hypothèses!$C$17,Hypothèses!$P$17,IF(B337&lt;=Hypothèses!$C$18,Hypothèses!$P$18,I336))))))))))))</f>
        <v>#N/A</v>
      </c>
      <c r="J337" s="91" t="e">
        <f t="array" ref="J337">INDEX('Coeff EC7'!$D$33:$Q$33,1,MATCH(D337&amp;E337,'Coeff EC7'!$D$31:$Q$31&amp;'Coeff EC7'!$D$32:$Q$32,0))</f>
        <v>#N/A</v>
      </c>
      <c r="K337" s="91" t="e">
        <f t="array" ref="K337">INDEX('Coeff EC7'!$D$34:$Q$34,1,MATCH(D337&amp;E337,'Coeff EC7'!$D$31:$Q$31&amp;'Coeff EC7'!$D$32:$Q$32,0))</f>
        <v>#N/A</v>
      </c>
      <c r="L337" s="91" t="e">
        <f t="array" ref="L337">INDEX('Coeff EC7'!$D$35:$Q$35,1,MATCH(D337&amp;E337,'Coeff EC7'!$D$31:$Q$31&amp;'Coeff EC7'!$D$32:$Q$32,0))</f>
        <v>#N/A</v>
      </c>
      <c r="M337" s="98" t="e">
        <f t="shared" si="531"/>
        <v>#N/A</v>
      </c>
      <c r="N337" s="99" t="e">
        <f t="array" ref="N337">INDEX('Coeff EC7'!$D$7:$Q$27,MATCH($B$3,'Coeff EC7'!$C$7:$C$27,0),MATCH(D337&amp;E337,'Coeff EC7'!$D$5:$Q$5&amp;'Coeff EC7'!$D$6:$Q$6,0))</f>
        <v>#N/A</v>
      </c>
      <c r="O337" s="99" t="e">
        <f t="array" ref="O337">INDEX('Coeff EC7'!$D$41:$Q$61,MATCH($B$3,'Coeff EC7'!$C$41:$C$61,0),MATCH(D337&amp;E337,'Coeff EC7'!$D$39:$Q$39&amp;'Coeff EC7'!$D$40:$Q$40,0))</f>
        <v>#N/A</v>
      </c>
      <c r="P337" s="30" t="e">
        <f t="shared" si="568"/>
        <v>#N/A</v>
      </c>
      <c r="Q337" s="100" t="e">
        <f t="shared" si="533"/>
        <v>#N/A</v>
      </c>
      <c r="R337" s="86" t="b">
        <f t="shared" si="534"/>
        <v>0</v>
      </c>
      <c r="S337" s="86">
        <f t="shared" si="532"/>
        <v>0.5</v>
      </c>
      <c r="T337" s="86">
        <f t="shared" si="535"/>
        <v>0.5</v>
      </c>
      <c r="U337" s="30" t="e">
        <f t="shared" ca="1" si="569"/>
        <v>#DIV/0!</v>
      </c>
      <c r="V337" s="85" t="str">
        <f>IF(B337&lt;=Hypothèses!$V$7,Hypothèses!$W$7,IF(B337&lt;=Hypothèses!$V$8,Hypothèses!$W$8,IF(B337&lt;=Hypothèses!$V$9,Hypothèses!$W$9,IF(B337&lt;=Hypothèses!$V$10,Hypothèses!$W$10,IF(B337&lt;=Hypothèses!$V$11,Hypothèses!$W$11,IF(B337&lt;=Hypothèses!$V$12,Hypothèses!$W$12,IF(B337&lt;=Hypothèses!$V$13,Hypothèses!$W$13,IF(B337&lt;=Hypothèses!$V$14,Hypothèses!$W$14,IF(B337&lt;=Hypothèses!$V$15,Hypothèses!$W$15,IF(B337&lt;=Hypothèses!$V$16,Hypothèses!$W$16,IF(B337&lt;=Hypothèses!$V$17,Hypothèses!$W$17,IF(B337&lt;=Hypothèses!$V$18,Hypothèses!$W$18,""))))))))))))</f>
        <v/>
      </c>
      <c r="W337" s="87" t="e">
        <f t="shared" ref="W337:W363" ca="1" si="616">IF(V337&lt;&gt;"",V337,U337)</f>
        <v>#DIV/0!</v>
      </c>
      <c r="X337" s="88" t="str">
        <f>IF(B337&lt;=Hypothèses!$V$7,Hypothèses!$X$7,IF(B337&lt;=Hypothèses!$V$8,Hypothèses!$X$8,IF(B337&lt;=Hypothèses!$V$9,Hypothèses!$X$9,IF(B337&lt;=Hypothèses!$V$10,Hypothèses!$X$10,IF(B337&lt;=Hypothèses!$V$11,Hypothèses!$X$11,IF(B337&lt;=Hypothèses!$V$12,Hypothèses!$X$12,IF(B337&lt;=Hypothèses!$V$13,Hypothèses!$X$13,IF(B337&lt;=Hypothèses!$V$14,Hypothèses!$X$14,IF(B337&lt;=Hypothèses!$V$15,Hypothèses!$X$15,IF(B337&lt;=Hypothèses!$V$16,Hypothèses!$X$16,IF(B337&lt;=Hypothèses!$U$17,Hypothèses!$W$17,IF(B337&lt;=Hypothèses!$U$18,Hypothèses!$W$18,""))))))))))))</f>
        <v/>
      </c>
      <c r="Y337" s="95" t="e">
        <f t="shared" ca="1" si="536"/>
        <v>#DIV/0!</v>
      </c>
      <c r="Z337" s="101" t="e">
        <f t="shared" si="537"/>
        <v>#N/A</v>
      </c>
      <c r="AA337" s="91" t="e">
        <f t="shared" si="538"/>
        <v>#N/A</v>
      </c>
      <c r="AB337" s="30" t="e">
        <f t="shared" si="600"/>
        <v>#N/A</v>
      </c>
      <c r="AC337" s="30" t="e">
        <f t="shared" si="601"/>
        <v>#N/A</v>
      </c>
      <c r="AD337" s="31" t="e">
        <f>IF(OR(Hypothèses!$B$4=17,Hypothèses!$B$4=18,Hypothèses!$B$4=19,Hypothèses!$B$4=20),
IF($D337="Pressio.",
IF(OR($E337=3,$E337=1,$E337=4),AC337,AB337),
IF($D337="Pénétro.",
IF(OR($E337=3,$E337=1,$E337=4),AC337,AB337))),IF($D337="Pressio.",
IF($E337=3,AC337,AB337),
IF($D337="Pénétro.",
IF($E337=4,AC337,AB337))))</f>
        <v>#N/A</v>
      </c>
      <c r="AE337" s="31" t="e">
        <f>(IF(OR(Hypothèses!$B$4=17,Hypothèses!$B$4=18,Hypothèses!$B$4=19,Hypothèses!$B$4=20),
IF($D337="Pressio.",
IF(OR($E337=3,$E337=1,$E337=4),(PI()*AE$12^2)/4*(AA337*$W337*1000)/($H337*$B$5),(PI()*AE$12^2)/4*(AA337*$W337*1000)/($G337*$B$5)),
IF($D337="Pénétro.",
IF(OR($E337=4,$E337=1,$E337=5),(PI()*AE$12^2)/4*(AA337*$W337*1000)/($H337*$B$5),(PI()*AE$12^2)/4*(AA337*$W337*1000)/($G337*$B$5)))),
IF($D337="Pressio.",
IF($E337=3,(PI()*AE$12^2)/4*(AA337*$W337*1000)/($H337*$B$5),(PI()*AE$12^2)/4*(AA337*$W337*1000)/($G337*$B$5)),
IF($D337="Pénétro.",
IF($E337=4,(PI()*AE$12^2)/4*(AA337*$W337*1000)/($H337*$B$5),(PI()*AE$12^2)/4*(AA337*$W337*1000)/($G337*$B$5))))))/10</f>
        <v>#N/A</v>
      </c>
      <c r="AF337" s="102" t="e">
        <f>(VLOOKUP($B$3,'Coeff EC7'!$T$39:$X$59,2,0)*AD337+VLOOKUP($B$3,'Coeff EC7'!$T$65:$X$85,2,0)*Model0.1C!AE337)/1.1</f>
        <v>#N/A</v>
      </c>
      <c r="AG337" s="102" t="e">
        <f>(VLOOKUP($B$3,'Coeff EC7'!$T$39:$X$59,3,0)*AD337+VLOOKUP($B$3,'Coeff EC7'!$T$65:$X$85,3,0)*Model0.1C!AE337)/0.9</f>
        <v>#N/A</v>
      </c>
      <c r="AH337" s="102" t="e">
        <f t="shared" si="539"/>
        <v>#N/A</v>
      </c>
      <c r="AI337" s="102" t="e">
        <f t="shared" si="540"/>
        <v>#N/A</v>
      </c>
      <c r="AJ337" s="414" t="e">
        <f>IF(AJ336=0,0,IF(AND(AF337&gt;charge_ELS_quasi,AG337&gt;Charge_ELS_freq,AH337&gt;charge_ELU,AI337&gt;charge_ELA,$B337&gt;NDC!$H$22-0.1+MIN(3*$AJ$12,1.5)),0,1))</f>
        <v>#N/A</v>
      </c>
      <c r="AK337" s="86" t="b">
        <f t="shared" si="541"/>
        <v>0</v>
      </c>
      <c r="AL337" s="86">
        <f t="shared" si="570"/>
        <v>0.5</v>
      </c>
      <c r="AM337" s="86">
        <f t="shared" si="542"/>
        <v>0.5</v>
      </c>
      <c r="AN337" s="30" t="e">
        <f t="shared" ca="1" si="571"/>
        <v>#DIV/0!</v>
      </c>
      <c r="AO337" s="85" t="e">
        <f ca="1">IF(U337&lt;=Hypothèses!$V$7,Hypothèses!$W$7,IF(U337&lt;=Hypothèses!$V$8,Hypothèses!$W$8,IF(U337&lt;=Hypothèses!$V$9,Hypothèses!$W$9,IF(U337&lt;=Hypothèses!$V$10,Hypothèses!$W$10,IF(U337&lt;=Hypothèses!$V$11,Hypothèses!$W$11,IF(U337&lt;=Hypothèses!$V$12,Hypothèses!$W$12,IF(U337&lt;=Hypothèses!$V$13,Hypothèses!$W$13,IF(U337&lt;=Hypothèses!$V$14,Hypothèses!$W$14,IF(U337&lt;=Hypothèses!$V$15,Hypothèses!$W$15,IF(U337&lt;=Hypothèses!$V$16,Hypothèses!$W$16,IF(U337&lt;=Hypothèses!$V$17,Hypothèses!$W$17,IF(U337&lt;=Hypothèses!$V$18,Hypothèses!$W$18,""))))))))))))</f>
        <v>#DIV/0!</v>
      </c>
      <c r="AP337" s="87" t="e">
        <f t="shared" ref="AP337:AP363" ca="1" si="617">IF(AO337&lt;&gt;"",AO337,AN337)</f>
        <v>#DIV/0!</v>
      </c>
      <c r="AQ337" s="88" t="e">
        <f ca="1">IF(U337&lt;=Hypothèses!$V$7,Hypothèses!$X$7,IF(U337&lt;=Hypothèses!$V$8,Hypothèses!$X$8,IF(U337&lt;=Hypothèses!$V$9,Hypothèses!$X$9,IF(U337&lt;=Hypothèses!$V$10,Hypothèses!$X$10,IF(U337&lt;=Hypothèses!$V$11,Hypothèses!$X$11,IF(U337&lt;=Hypothèses!$V$12,Hypothèses!$X$12,IF(U337&lt;=Hypothèses!$V$13,Hypothèses!$X$13,IF(U337&lt;=Hypothèses!$V$14,Hypothèses!$X$14,IF(U337&lt;=Hypothèses!$V$15,Hypothèses!$X$15,IF(U337&lt;=Hypothèses!$V$16,Hypothèses!$X$16,IF(U337&lt;=Hypothèses!$U$17,Hypothèses!$W$17,IF(U337&lt;=Hypothèses!$U$18,Hypothèses!$W$18,""))))))))))))</f>
        <v>#DIV/0!</v>
      </c>
      <c r="AR337" s="95" t="e">
        <f t="shared" ca="1" si="572"/>
        <v>#DIV/0!</v>
      </c>
      <c r="AS337" s="101" t="e">
        <f t="shared" si="524"/>
        <v>#N/A</v>
      </c>
      <c r="AT337" s="91" t="e">
        <f t="shared" si="543"/>
        <v>#N/A</v>
      </c>
      <c r="AU337" s="30" t="e">
        <f t="shared" si="602"/>
        <v>#N/A</v>
      </c>
      <c r="AV337" s="30" t="e">
        <f t="shared" si="603"/>
        <v>#N/A</v>
      </c>
      <c r="AW337" s="31" t="e">
        <f>IF(OR(Hypothèses!$B$4=17,Hypothèses!$B$4=18,Hypothèses!$B$4=19,Hypothèses!$B$4=20),
IF($D337="Pressio.",
IF(OR($E337=3,$E337=1,$E337=4),AV337,AU337),
IF($D337="Pénétro.",
IF(OR($E337=3,$E337=1,$E337=4),AV337,AU337))),IF($D337="Pressio.",
IF($E337=3,AV337,AU337),
IF($D337="Pénétro.",
IF($E337=4,AV337,AU337))))</f>
        <v>#N/A</v>
      </c>
      <c r="AX337" s="31" t="e">
        <f>(IF(OR(Hypothèses!$B$4=17,Hypothèses!$B$4=18,Hypothèses!$B$4=19,Hypothèses!$B$4=20),
IF($D337="Pressio.",
IF(OR($E337=3,$E337=1,$E337=4),(PI()*AX$12^2)/4*(AT337*$W337*1000)/($H337*$B$5),(PI()*AX$12^2)/4*(AT337*$W337*1000)/($G337*$B$5)),
IF($D337="Pénétro.",
IF(OR($E337=4,$E337=1,$E337=5),(PI()*AX$12^2)/4*(AT337*$W337*1000)/($H337*$B$5),(PI()*AX$12^2)/4*(AT337*$W337*1000)/($G337*$B$5)))),
IF($D337="Pressio.",
IF($E337=3,(PI()*AX$12^2)/4*(AT337*$W337*1000)/($H337*$B$5),(PI()*AX$12^2)/4*(AT337*$W337*1000)/($G337*$B$5)),
IF($D337="Pénétro.",
IF($E337=4,(PI()*AX$12^2)/4*(AT337*$W337*1000)/($H337*$B$5),(PI()*AX$12^2)/4*(AT337*$W337*1000)/($G337*$B$5))))))/10</f>
        <v>#N/A</v>
      </c>
      <c r="AY337" s="102" t="e">
        <f>(VLOOKUP($B$3,'Coeff EC7'!$T$39:$X$59,2,0)*AW337+VLOOKUP($B$3,'Coeff EC7'!$T$65:$X$85,2,0)*Model0.1C!AX337)/1.1</f>
        <v>#N/A</v>
      </c>
      <c r="AZ337" s="102" t="e">
        <f>(VLOOKUP($B$3,'Coeff EC7'!$T$39:$X$59,3,0)*AW337+VLOOKUP($B$3,'Coeff EC7'!$T$65:$X$85,3,0)*Model0.1C!AX337)/0.9</f>
        <v>#N/A</v>
      </c>
      <c r="BA337" s="102" t="e">
        <f t="shared" si="573"/>
        <v>#N/A</v>
      </c>
      <c r="BB337" s="102" t="e">
        <f t="shared" si="574"/>
        <v>#N/A</v>
      </c>
      <c r="BC337" s="414" t="e">
        <f>IF(BC336=0,0,IF(AND(AY337&gt;charge_ELS_quasi,AZ337&gt;Charge_ELS_freq,BA337&gt;charge_ELU,BB337&gt;charge_ELA,$B337&gt;NDC!$H$22-0.1+MIN(3*$BC$12,1.5)),0,1))</f>
        <v>#N/A</v>
      </c>
      <c r="BD337" s="86" t="b">
        <f t="shared" si="544"/>
        <v>0</v>
      </c>
      <c r="BE337" s="86">
        <f t="shared" si="575"/>
        <v>0.5</v>
      </c>
      <c r="BF337" s="86">
        <f t="shared" si="545"/>
        <v>0.5</v>
      </c>
      <c r="BG337" s="30" t="e">
        <f t="shared" ca="1" si="576"/>
        <v>#DIV/0!</v>
      </c>
      <c r="BH337" s="85" t="e">
        <f ca="1">IF(AN337&lt;=Hypothèses!$V$7,Hypothèses!$W$7,IF(AN337&lt;=Hypothèses!$V$8,Hypothèses!$W$8,IF(AN337&lt;=Hypothèses!$V$9,Hypothèses!$W$9,IF(AN337&lt;=Hypothèses!$V$10,Hypothèses!$W$10,IF(AN337&lt;=Hypothèses!$V$11,Hypothèses!$W$11,IF(AN337&lt;=Hypothèses!$V$12,Hypothèses!$W$12,IF(AN337&lt;=Hypothèses!$V$13,Hypothèses!$W$13,IF(AN337&lt;=Hypothèses!$V$14,Hypothèses!$W$14,IF(AN337&lt;=Hypothèses!$V$15,Hypothèses!$W$15,IF(AN337&lt;=Hypothèses!$V$16,Hypothèses!$W$16,IF(AN337&lt;=Hypothèses!$V$17,Hypothèses!$W$17,IF(AN337&lt;=Hypothèses!$V$18,Hypothèses!$W$18,""))))))))))))</f>
        <v>#DIV/0!</v>
      </c>
      <c r="BI337" s="87" t="e">
        <f t="shared" ref="BI337:BI363" ca="1" si="618">IF(BH337&lt;&gt;"",BH337,BG337)</f>
        <v>#DIV/0!</v>
      </c>
      <c r="BJ337" s="88" t="e">
        <f ca="1">IF(AN337&lt;=Hypothèses!$V$7,Hypothèses!$X$7,IF(AN337&lt;=Hypothèses!$V$8,Hypothèses!$X$8,IF(AN337&lt;=Hypothèses!$V$9,Hypothèses!$X$9,IF(AN337&lt;=Hypothèses!$V$10,Hypothèses!$X$10,IF(AN337&lt;=Hypothèses!$V$11,Hypothèses!$X$11,IF(AN337&lt;=Hypothèses!$V$12,Hypothèses!$X$12,IF(AN337&lt;=Hypothèses!$V$13,Hypothèses!$X$13,IF(AN337&lt;=Hypothèses!$V$14,Hypothèses!$X$14,IF(AN337&lt;=Hypothèses!$V$15,Hypothèses!$X$15,IF(AN337&lt;=Hypothèses!$V$16,Hypothèses!$X$16,IF(AN337&lt;=Hypothèses!$U$17,Hypothèses!$W$17,IF(AN337&lt;=Hypothèses!$U$18,Hypothèses!$W$18,""))))))))))))</f>
        <v>#DIV/0!</v>
      </c>
      <c r="BK337" s="95" t="e">
        <f t="shared" ca="1" si="577"/>
        <v>#DIV/0!</v>
      </c>
      <c r="BL337" s="101" t="e">
        <f t="shared" si="525"/>
        <v>#N/A</v>
      </c>
      <c r="BM337" s="91" t="e">
        <f t="shared" si="546"/>
        <v>#N/A</v>
      </c>
      <c r="BN337" s="30" t="e">
        <f t="shared" si="604"/>
        <v>#N/A</v>
      </c>
      <c r="BO337" s="30" t="e">
        <f t="shared" si="605"/>
        <v>#N/A</v>
      </c>
      <c r="BP337" s="31" t="e">
        <f>IF(OR(Hypothèses!$B$4=17,Hypothèses!$B$4=18,Hypothèses!$B$4=19,Hypothèses!$B$4=20),
IF($D337="Pressio.",
IF(OR($E337=3,$E337=1,$E337=4),BO337,BN337),
IF($D337="Pénétro.",
IF(OR($E337=3,$E337=1,$E337=4),BO337,BN337))),IF($D337="Pressio.",
IF($E337=3,BO337,BN337),
IF($D337="Pénétro.",
IF($E337=4,BO337,BN337))))</f>
        <v>#N/A</v>
      </c>
      <c r="BQ337" s="31" t="e">
        <f>(IF(OR(Hypothèses!$B$4=17,Hypothèses!$B$4=18,Hypothèses!$B$4=19,Hypothèses!$B$4=20),
IF($D337="Pressio.",
IF(OR($E337=3,$E337=1,$E337=4),(PI()*BQ$12^2)/4*(BM337*$W337*1000)/($H337*$B$5),(PI()*BQ$12^2)/4*(BM337*$W337*1000)/($G337*$B$5)),
IF($D337="Pénétro.",
IF(OR($E337=4,$E337=1,$E337=5),(PI()*BQ$12^2)/4*(BM337*$W337*1000)/($H337*$B$5),(PI()*BQ$12^2)/4*(BM337*$W337*1000)/($G337*$B$5)))),
IF($D337="Pressio.",
IF($E337=3,(PI()*BQ$12^2)/4*(BM337*$W337*1000)/($H337*$B$5),(PI()*BQ$12^2)/4*(BM337*$W337*1000)/($G337*$B$5)),
IF($D337="Pénétro.",
IF($E337=4,(PI()*BQ$12^2)/4*(BM337*$W337*1000)/($H337*$B$5),(PI()*BQ$12^2)/4*(BM337*$W337*1000)/($G337*$B$5))))))/10</f>
        <v>#N/A</v>
      </c>
      <c r="BR337" s="102" t="e">
        <f>(VLOOKUP($B$3,'Coeff EC7'!$T$39:$X$59,2,0)*BP337+VLOOKUP($B$3,'Coeff EC7'!$T$65:$X$85,2,0)*Model0.1C!BQ337)/1.1</f>
        <v>#N/A</v>
      </c>
      <c r="BS337" s="102" t="e">
        <f>(VLOOKUP($B$3,'Coeff EC7'!$T$39:$X$59,3,0)*BP337+VLOOKUP($B$3,'Coeff EC7'!$T$65:$X$85,3,0)*Model0.1C!BQ337)/0.9</f>
        <v>#N/A</v>
      </c>
      <c r="BT337" s="102" t="e">
        <f t="shared" si="578"/>
        <v>#N/A</v>
      </c>
      <c r="BU337" s="102" t="e">
        <f t="shared" si="579"/>
        <v>#N/A</v>
      </c>
      <c r="BV337" s="414" t="e">
        <f>IF(BV336=0,0,IF(AND(BR337&gt;charge_ELS_quasi,BS337&gt;Charge_ELS_freq,BT337&gt;charge_ELU,BU337&gt;charge_ELA,$B337&gt;NDC!$H$22-0.1+MIN(3*$BV$12,1.5)),0,1))</f>
        <v>#N/A</v>
      </c>
      <c r="BW337" s="86" t="b">
        <f t="shared" si="547"/>
        <v>0</v>
      </c>
      <c r="BX337" s="86">
        <f t="shared" si="548"/>
        <v>0.5</v>
      </c>
      <c r="BY337" s="86">
        <f t="shared" si="549"/>
        <v>0.5</v>
      </c>
      <c r="BZ337" s="30" t="e">
        <f t="shared" ca="1" si="580"/>
        <v>#DIV/0!</v>
      </c>
      <c r="CA337" s="85" t="e">
        <f ca="1">IF(BG337&lt;=Hypothèses!$V$7,Hypothèses!$W$7,IF(BG337&lt;=Hypothèses!$V$8,Hypothèses!$W$8,IF(BG337&lt;=Hypothèses!$V$9,Hypothèses!$W$9,IF(BG337&lt;=Hypothèses!$V$10,Hypothèses!$W$10,IF(BG337&lt;=Hypothèses!$V$11,Hypothèses!$W$11,IF(BG337&lt;=Hypothèses!$V$12,Hypothèses!$W$12,IF(BG337&lt;=Hypothèses!$V$13,Hypothèses!$W$13,IF(BG337&lt;=Hypothèses!$V$14,Hypothèses!$W$14,IF(BG337&lt;=Hypothèses!$V$15,Hypothèses!$W$15,IF(BG337&lt;=Hypothèses!$V$16,Hypothèses!$W$16,IF(BG337&lt;=Hypothèses!$V$17,Hypothèses!$W$17,IF(BG337&lt;=Hypothèses!$V$18,Hypothèses!$W$18,""))))))))))))</f>
        <v>#DIV/0!</v>
      </c>
      <c r="CB337" s="87" t="e">
        <f t="shared" ref="CB337:CB363" ca="1" si="619">IF(CA337&lt;&gt;"",CA337,BZ337)</f>
        <v>#DIV/0!</v>
      </c>
      <c r="CC337" s="88" t="e">
        <f ca="1">IF(BG337&lt;=Hypothèses!$V$7,Hypothèses!$X$7,IF(BG337&lt;=Hypothèses!$V$8,Hypothèses!$X$8,IF(BG337&lt;=Hypothèses!$V$9,Hypothèses!$X$9,IF(BG337&lt;=Hypothèses!$V$10,Hypothèses!$X$10,IF(BG337&lt;=Hypothèses!$V$11,Hypothèses!$X$11,IF(BG337&lt;=Hypothèses!$V$12,Hypothèses!$X$12,IF(BG337&lt;=Hypothèses!$V$13,Hypothèses!$X$13,IF(BG337&lt;=Hypothèses!$V$14,Hypothèses!$X$14,IF(BG337&lt;=Hypothèses!$V$15,Hypothèses!$X$15,IF(BG337&lt;=Hypothèses!$V$16,Hypothèses!$X$16,IF(BG337&lt;=Hypothèses!$U$17,Hypothèses!$W$17,IF(BG337&lt;=Hypothèses!$U$18,Hypothèses!$W$18,""))))))))))))</f>
        <v>#DIV/0!</v>
      </c>
      <c r="CD337" s="95" t="e">
        <f t="shared" ca="1" si="581"/>
        <v>#DIV/0!</v>
      </c>
      <c r="CE337" s="101" t="e">
        <f t="shared" si="526"/>
        <v>#N/A</v>
      </c>
      <c r="CF337" s="91" t="e">
        <f t="shared" si="550"/>
        <v>#N/A</v>
      </c>
      <c r="CG337" s="30" t="e">
        <f t="shared" si="606"/>
        <v>#N/A</v>
      </c>
      <c r="CH337" s="30" t="e">
        <f t="shared" si="607"/>
        <v>#N/A</v>
      </c>
      <c r="CI337" s="31" t="e">
        <f>IF(OR(Hypothèses!$B$4=17,Hypothèses!$B$4=18,Hypothèses!$B$4=19,Hypothèses!$B$4=20),
IF($D337="Pressio.",
IF(OR($E337=3,$E337=1,$E337=4),CH337,CG337),
IF($D337="Pénétro.",
IF(OR($E337=3,$E337=1,$E337=4),CH337,CG337))),IF($D337="Pressio.",
IF($E337=3,CH337,CG337),
IF($D337="Pénétro.",
IF($E337=4,CH337,CG337))))</f>
        <v>#N/A</v>
      </c>
      <c r="CJ337" s="31" t="e">
        <f>(IF(OR(Hypothèses!$B$4=17,Hypothèses!$B$4=18,Hypothèses!$B$4=19,Hypothèses!$B$4=20),
IF($D337="Pressio.",
IF(OR($E337=3,$E337=1,$E337=4),(PI()*CJ$12^2)/4*(CF337*$W337*1000)/($H337*$B$5),(PI()*CJ$12^2)/4*(CF337*$W337*1000)/($G337*$B$5)),
IF($D337="Pénétro.",
IF(OR($E337=4,$E337=1,$E337=5),(PI()*CJ$12^2)/4*(CF337*$W337*1000)/($H337*$B$5),(PI()*CJ$12^2)/4*(CF337*$W337*1000)/($G337*$B$5)))),
IF($D337="Pressio.",
IF($E337=3,(PI()*CJ$12^2)/4*(CF337*$W337*1000)/($H337*$B$5),(PI()*CJ$12^2)/4*(CF337*$W337*1000)/($G337*$B$5)),
IF($D337="Pénétro.",
IF($E337=4,(PI()*CJ$12^2)/4*(CF337*$W337*1000)/($H337*$B$5),(PI()*CJ$12^2)/4*(CF337*$W337*1000)/($G337*$B$5))))))/10</f>
        <v>#N/A</v>
      </c>
      <c r="CK337" s="102" t="e">
        <f>(VLOOKUP($B$3,'Coeff EC7'!$T$39:$X$59,2,0)*CI337+VLOOKUP($B$3,'Coeff EC7'!$T$65:$X$85,2,0)*Model0.1C!CJ337)/1.1</f>
        <v>#N/A</v>
      </c>
      <c r="CL337" s="102" t="e">
        <f>(VLOOKUP($B$3,'Coeff EC7'!$T$39:$X$59,3,0)*CI337+VLOOKUP($B$3,'Coeff EC7'!$T$65:$X$85,3,0)*Model0.1C!CJ337)/0.9</f>
        <v>#N/A</v>
      </c>
      <c r="CM337" s="102" t="e">
        <f t="shared" si="582"/>
        <v>#N/A</v>
      </c>
      <c r="CN337" s="102" t="e">
        <f t="shared" si="583"/>
        <v>#N/A</v>
      </c>
      <c r="CO337" s="414" t="e">
        <f>IF(CO336=0,0,IF(AND(CK337&gt;charge_ELS_quasi,CL337&gt;Charge_ELS_freq,CM337&gt;charge_ELU,CN337&gt;charge_ELA,$B337&gt;NDC!$H$22-0.1+MIN(3*$CO$12,1.5)),0,1))</f>
        <v>#N/A</v>
      </c>
      <c r="CP337" s="86" t="b">
        <f t="shared" si="551"/>
        <v>0</v>
      </c>
      <c r="CQ337" s="86">
        <f t="shared" si="552"/>
        <v>0.5</v>
      </c>
      <c r="CR337" s="86">
        <f t="shared" si="553"/>
        <v>0.5</v>
      </c>
      <c r="CS337" s="30" t="e">
        <f t="shared" ca="1" si="584"/>
        <v>#DIV/0!</v>
      </c>
      <c r="CT337" s="85" t="e">
        <f ca="1">IF(BZ337&lt;=Hypothèses!$V$7,Hypothèses!$W$7,IF(BZ337&lt;=Hypothèses!$V$8,Hypothèses!$W$8,IF(BZ337&lt;=Hypothèses!$V$9,Hypothèses!$W$9,IF(BZ337&lt;=Hypothèses!$V$10,Hypothèses!$W$10,IF(BZ337&lt;=Hypothèses!$V$11,Hypothèses!$W$11,IF(BZ337&lt;=Hypothèses!$V$12,Hypothèses!$W$12,IF(BZ337&lt;=Hypothèses!$V$13,Hypothèses!$W$13,IF(BZ337&lt;=Hypothèses!$V$14,Hypothèses!$W$14,IF(BZ337&lt;=Hypothèses!$V$15,Hypothèses!$W$15,IF(BZ337&lt;=Hypothèses!$V$16,Hypothèses!$W$16,IF(BZ337&lt;=Hypothèses!$V$17,Hypothèses!$W$17,IF(BZ337&lt;=Hypothèses!$V$18,Hypothèses!$W$18,""))))))))))))</f>
        <v>#DIV/0!</v>
      </c>
      <c r="CU337" s="87" t="e">
        <f t="shared" ref="CU337:CU363" ca="1" si="620">IF(CT337&lt;&gt;"",CT337,CS337)</f>
        <v>#DIV/0!</v>
      </c>
      <c r="CV337" s="88" t="e">
        <f ca="1">IF(BZ337&lt;=Hypothèses!$V$7,Hypothèses!$X$7,IF(BZ337&lt;=Hypothèses!$V$8,Hypothèses!$X$8,IF(BZ337&lt;=Hypothèses!$V$9,Hypothèses!$X$9,IF(BZ337&lt;=Hypothèses!$V$10,Hypothèses!$X$10,IF(BZ337&lt;=Hypothèses!$V$11,Hypothèses!$X$11,IF(BZ337&lt;=Hypothèses!$V$12,Hypothèses!$X$12,IF(BZ337&lt;=Hypothèses!$V$13,Hypothèses!$X$13,IF(BZ337&lt;=Hypothèses!$V$14,Hypothèses!$X$14,IF(BZ337&lt;=Hypothèses!$V$15,Hypothèses!$X$15,IF(BZ337&lt;=Hypothèses!$V$16,Hypothèses!$X$16,IF(BZ337&lt;=Hypothèses!$U$17,Hypothèses!$W$17,IF(BZ337&lt;=Hypothèses!$U$18,Hypothèses!$W$18,""))))))))))))</f>
        <v>#DIV/0!</v>
      </c>
      <c r="CW337" s="95" t="e">
        <f t="shared" ca="1" si="585"/>
        <v>#DIV/0!</v>
      </c>
      <c r="CX337" s="101" t="e">
        <f t="shared" si="527"/>
        <v>#N/A</v>
      </c>
      <c r="CY337" s="91" t="e">
        <f t="shared" si="554"/>
        <v>#N/A</v>
      </c>
      <c r="CZ337" s="30" t="e">
        <f t="shared" si="608"/>
        <v>#N/A</v>
      </c>
      <c r="DA337" s="30" t="e">
        <f t="shared" si="609"/>
        <v>#N/A</v>
      </c>
      <c r="DB337" s="31" t="e">
        <f>IF(OR(Hypothèses!$B$4=17,Hypothèses!$B$4=18,Hypothèses!$B$4=19,Hypothèses!$B$4=20),
IF($D337="Pressio.",
IF(OR($E337=3,$E337=1,$E337=4),DA337,CZ337),
IF($D337="Pénétro.",
IF(OR($E337=3,$E337=1,$E337=4),DA337,CZ337))),IF($D337="Pressio.",
IF($E337=3,DA337,CZ337),
IF($D337="Pénétro.",
IF($E337=4,DA337,CZ337))))</f>
        <v>#N/A</v>
      </c>
      <c r="DC337" s="31" t="e">
        <f>(IF(OR(Hypothèses!$B$4=17,Hypothèses!$B$4=18,Hypothèses!$B$4=19,Hypothèses!$B$4=20),
IF($D337="Pressio.",
IF(OR($E337=3,$E337=1,$E337=4),(PI()*DC$12^2)/4*(CY337*$W337*1000)/($H337*$B$5),(PI()*DC$12^2)/4*(CY337*$W337*1000)/($G337*$B$5)),
IF($D337="Pénétro.",
IF(OR($E337=4,$E337=1,$E337=5),(PI()*DC$12^2)/4*(CY337*$W337*1000)/($H337*$B$5),(PI()*DC$12^2)/4*(CY337*$W337*1000)/($G337*$B$5)))),
IF($D337="Pressio.",
IF($E337=3,(PI()*DC$12^2)/4*(CY337*$W337*1000)/($H337*$B$5),(PI()*DC$12^2)/4*(CY337*$W337*1000)/($G337*$B$5)),
IF($D337="Pénétro.",
IF($E337=4,(PI()*DC$12^2)/4*(CY337*$W337*1000)/($H337*$B$5),(PI()*DC$12^2)/4*(CY337*$W337*1000)/($G337*$B$5))))))/10</f>
        <v>#N/A</v>
      </c>
      <c r="DD337" s="102" t="e">
        <f>(VLOOKUP($B$3,'Coeff EC7'!$T$39:$X$59,2,0)*DB337+VLOOKUP($B$3,'Coeff EC7'!$T$65:$X$85,2,0)*Model0.1C!DC337)/1.1</f>
        <v>#N/A</v>
      </c>
      <c r="DE337" s="102" t="e">
        <f>(VLOOKUP($B$3,'Coeff EC7'!$T$39:$X$59,3,0)*DB337+VLOOKUP($B$3,'Coeff EC7'!$T$65:$X$85,3,0)*Model0.1C!DC337)/0.9</f>
        <v>#N/A</v>
      </c>
      <c r="DF337" s="102" t="e">
        <f t="shared" si="586"/>
        <v>#N/A</v>
      </c>
      <c r="DG337" s="102" t="e">
        <f t="shared" si="587"/>
        <v>#N/A</v>
      </c>
      <c r="DH337" s="414" t="e">
        <f>IF(DH336=0,0,IF(AND(DD337&gt;charge_ELS_quasi,DE337&gt;Charge_ELS_freq,DF337&gt;charge_ELU,DG337&gt;charge_ELA,$B337&gt;NDC!$H$22-0.1+MIN(3*$DH$12,1.5)),0,1))</f>
        <v>#N/A</v>
      </c>
      <c r="DI337" s="86" t="b">
        <f t="shared" si="555"/>
        <v>0</v>
      </c>
      <c r="DJ337" s="86">
        <f t="shared" si="556"/>
        <v>0.5</v>
      </c>
      <c r="DK337" s="86">
        <f t="shared" si="557"/>
        <v>0.5</v>
      </c>
      <c r="DL337" s="30" t="e">
        <f t="shared" ca="1" si="588"/>
        <v>#DIV/0!</v>
      </c>
      <c r="DM337" s="85" t="e">
        <f ca="1">IF(CS337&lt;=Hypothèses!$V$7,Hypothèses!$W$7,IF(CS337&lt;=Hypothèses!$V$8,Hypothèses!$W$8,IF(CS337&lt;=Hypothèses!$V$9,Hypothèses!$W$9,IF(CS337&lt;=Hypothèses!$V$10,Hypothèses!$W$10,IF(CS337&lt;=Hypothèses!$V$11,Hypothèses!$W$11,IF(CS337&lt;=Hypothèses!$V$12,Hypothèses!$W$12,IF(CS337&lt;=Hypothèses!$V$13,Hypothèses!$W$13,IF(CS337&lt;=Hypothèses!$V$14,Hypothèses!$W$14,IF(CS337&lt;=Hypothèses!$V$15,Hypothèses!$W$15,IF(CS337&lt;=Hypothèses!$V$16,Hypothèses!$W$16,IF(CS337&lt;=Hypothèses!$V$17,Hypothèses!$W$17,IF(CS337&lt;=Hypothèses!$V$18,Hypothèses!$W$18,""))))))))))))</f>
        <v>#DIV/0!</v>
      </c>
      <c r="DN337" s="87" t="e">
        <f t="shared" ref="DN337:DN363" ca="1" si="621">IF(DM337&lt;&gt;"",DM337,DL337)</f>
        <v>#DIV/0!</v>
      </c>
      <c r="DO337" s="88" t="e">
        <f ca="1">IF(CS337&lt;=Hypothèses!$V$7,Hypothèses!$X$7,IF(CS337&lt;=Hypothèses!$V$8,Hypothèses!$X$8,IF(CS337&lt;=Hypothèses!$V$9,Hypothèses!$X$9,IF(CS337&lt;=Hypothèses!$V$10,Hypothèses!$X$10,IF(CS337&lt;=Hypothèses!$V$11,Hypothèses!$X$11,IF(CS337&lt;=Hypothèses!$V$12,Hypothèses!$X$12,IF(CS337&lt;=Hypothèses!$V$13,Hypothèses!$X$13,IF(CS337&lt;=Hypothèses!$V$14,Hypothèses!$X$14,IF(CS337&lt;=Hypothèses!$V$15,Hypothèses!$X$15,IF(CS337&lt;=Hypothèses!$V$16,Hypothèses!$X$16,IF(CS337&lt;=Hypothèses!$U$17,Hypothèses!$W$17,IF(CS337&lt;=Hypothèses!$U$18,Hypothèses!$W$18,""))))))))))))</f>
        <v>#DIV/0!</v>
      </c>
      <c r="DP337" s="95" t="e">
        <f t="shared" ca="1" si="589"/>
        <v>#DIV/0!</v>
      </c>
      <c r="DQ337" s="101" t="e">
        <f t="shared" si="528"/>
        <v>#N/A</v>
      </c>
      <c r="DR337" s="91" t="e">
        <f t="shared" si="558"/>
        <v>#N/A</v>
      </c>
      <c r="DS337" s="30" t="e">
        <f t="shared" si="610"/>
        <v>#N/A</v>
      </c>
      <c r="DT337" s="30" t="e">
        <f t="shared" si="611"/>
        <v>#N/A</v>
      </c>
      <c r="DU337" s="31" t="e">
        <f>IF(OR(Hypothèses!$B$4=17,Hypothèses!$B$4=18,Hypothèses!$B$4=19,Hypothèses!$B$4=20),
IF($D337="Pressio.",
IF(OR($E337=3,$E337=1,$E337=4),DT337,DS337),
IF($D337="Pénétro.",
IF(OR($E337=3,$E337=1,$E337=4),DT337,DS337))),IF($D337="Pressio.",
IF($E337=3,DT337,DS337),
IF($D337="Pénétro.",
IF($E337=4,DT337,DS337))))</f>
        <v>#N/A</v>
      </c>
      <c r="DV337" s="31" t="e">
        <f>(IF(OR(Hypothèses!$B$4=17,Hypothèses!$B$4=18,Hypothèses!$B$4=19,Hypothèses!$B$4=20),
IF($D337="Pressio.",
IF(OR($E337=3,$E337=1,$E337=4),(PI()*DV$12^2)/4*(DR337*$W337*1000)/($H337*$B$5),(PI()*DV$12^2)/4*(DR337*$W337*1000)/($G337*$B$5)),
IF($D337="Pénétro.",
IF(OR($E337=4,$E337=1,$E337=5),(PI()*DV$12^2)/4*(DR337*$W337*1000)/($H337*$B$5),(PI()*DV$12^2)/4*(DR337*$W337*1000)/($G337*$B$5)))),
IF($D337="Pressio.",
IF($E337=3,(PI()*DV$12^2)/4*(DR337*$W337*1000)/($H337*$B$5),(PI()*DV$12^2)/4*(DR337*$W337*1000)/($G337*$B$5)),
IF($D337="Pénétro.",
IF($E337=4,(PI()*DV$12^2)/4*(DR337*$W337*1000)/($H337*$B$5),(PI()*DV$12^2)/4*(DR337*$W337*1000)/($G337*$B$5))))))/10</f>
        <v>#N/A</v>
      </c>
      <c r="DW337" s="102" t="e">
        <f>(VLOOKUP($B$3,'Coeff EC7'!$T$39:$X$59,2,0)*DU337+VLOOKUP($B$3,'Coeff EC7'!$T$65:$X$85,2,0)*Model0.1C!DV337)/1.1</f>
        <v>#N/A</v>
      </c>
      <c r="DX337" s="102" t="e">
        <f>(VLOOKUP($B$3,'Coeff EC7'!$T$39:$X$59,3,0)*DU337+VLOOKUP($B$3,'Coeff EC7'!$T$65:$X$85,3,0)*Model0.1C!DV337)/0.9</f>
        <v>#N/A</v>
      </c>
      <c r="DY337" s="102" t="e">
        <f t="shared" si="590"/>
        <v>#N/A</v>
      </c>
      <c r="DZ337" s="102" t="e">
        <f t="shared" si="591"/>
        <v>#N/A</v>
      </c>
      <c r="EA337" s="414" t="e">
        <f>IF(EA336=0,0,IF(AND(DW337&gt;charge_ELS_quasi,DX337&gt;Charge_ELS_freq,DY337&gt;charge_ELU,DZ337&gt;charge_ELA,$B337&gt;NDC!$H$22-0.1+MIN(3*$EA$12,1.5)),0,1))</f>
        <v>#N/A</v>
      </c>
      <c r="EB337" s="86" t="b">
        <f t="shared" si="559"/>
        <v>0</v>
      </c>
      <c r="EC337" s="418">
        <f t="shared" si="560"/>
        <v>0.51</v>
      </c>
      <c r="ED337" s="86">
        <f t="shared" si="561"/>
        <v>0.51</v>
      </c>
      <c r="EE337" s="30" t="e">
        <f t="shared" ca="1" si="592"/>
        <v>#DIV/0!</v>
      </c>
      <c r="EF337" s="85" t="e">
        <f ca="1">IF(DL337&lt;=Hypothèses!$V$7,Hypothèses!$W$7,IF(DL337&lt;=Hypothèses!$V$8,Hypothèses!$W$8,IF(DL337&lt;=Hypothèses!$V$9,Hypothèses!$W$9,IF(DL337&lt;=Hypothèses!$V$10,Hypothèses!$W$10,IF(DL337&lt;=Hypothèses!$V$11,Hypothèses!$W$11,IF(DL337&lt;=Hypothèses!$V$12,Hypothèses!$W$12,IF(DL337&lt;=Hypothèses!$V$13,Hypothèses!$W$13,IF(DL337&lt;=Hypothèses!$V$14,Hypothèses!$W$14,IF(DL337&lt;=Hypothèses!$V$15,Hypothèses!$W$15,IF(DL337&lt;=Hypothèses!$V$16,Hypothèses!$W$16,IF(DL337&lt;=Hypothèses!$V$17,Hypothèses!$W$17,IF(DL337&lt;=Hypothèses!$V$18,Hypothèses!$W$18,""))))))))))))</f>
        <v>#DIV/0!</v>
      </c>
      <c r="EG337" s="87" t="e">
        <f t="shared" ref="EG337:EG363" ca="1" si="622">IF(EF337&lt;&gt;"",EF337,EE337)</f>
        <v>#DIV/0!</v>
      </c>
      <c r="EH337" s="88" t="e">
        <f ca="1">IF(DL337&lt;=Hypothèses!$V$7,Hypothèses!$X$7,IF(DL337&lt;=Hypothèses!$V$8,Hypothèses!$X$8,IF(DL337&lt;=Hypothèses!$V$9,Hypothèses!$X$9,IF(DL337&lt;=Hypothèses!$V$10,Hypothèses!$X$10,IF(DL337&lt;=Hypothèses!$V$11,Hypothèses!$X$11,IF(DL337&lt;=Hypothèses!$V$12,Hypothèses!$X$12,IF(DL337&lt;=Hypothèses!$V$13,Hypothèses!$X$13,IF(DL337&lt;=Hypothèses!$V$14,Hypothèses!$X$14,IF(DL337&lt;=Hypothèses!$V$15,Hypothèses!$X$15,IF(DL337&lt;=Hypothèses!$V$16,Hypothèses!$X$16,IF(DL337&lt;=Hypothèses!$U$17,Hypothèses!$W$17,IF(DL337&lt;=Hypothèses!$U$18,Hypothèses!$W$18,""))))))))))))</f>
        <v>#DIV/0!</v>
      </c>
      <c r="EI337" s="95" t="e">
        <f t="shared" ca="1" si="593"/>
        <v>#DIV/0!</v>
      </c>
      <c r="EJ337" s="101" t="e">
        <f t="shared" si="529"/>
        <v>#N/A</v>
      </c>
      <c r="EK337" s="91" t="e">
        <f t="shared" si="562"/>
        <v>#N/A</v>
      </c>
      <c r="EL337" s="30" t="e">
        <f t="shared" si="612"/>
        <v>#N/A</v>
      </c>
      <c r="EM337" s="30" t="e">
        <f t="shared" si="613"/>
        <v>#N/A</v>
      </c>
      <c r="EN337" s="31" t="e">
        <f>IF(OR(Hypothèses!$B$4=17,Hypothèses!$B$4=18,Hypothèses!$B$4=19,Hypothèses!$B$4=20),
IF($D337="Pressio.",
IF(OR($E337=3,$E337=1,$E337=4),EM337,EL337),
IF($D337="Pénétro.",
IF(OR($E337=3,$E337=1,$E337=4),EM337,EL337))),IF($D337="Pressio.",
IF($E337=3,EM337,EL337),
IF($D337="Pénétro.",
IF($E337=4,EM337,EL337))))</f>
        <v>#N/A</v>
      </c>
      <c r="EO337" s="31" t="e">
        <f>(IF(OR(Hypothèses!$B$4=17,Hypothèses!$B$4=18,Hypothèses!$B$4=19,Hypothèses!$B$4=20),
IF($D337="Pressio.",
IF(OR($E337=3,$E337=1,$E337=4),(PI()*EO$12^2)/4*(EK337*$W337*1000)/($H337*$B$5),(PI()*EO$12^2)/4*(EK337*$W337*1000)/($G337*$B$5)),
IF($D337="Pénétro.",
IF(OR($E337=4,$E337=1,$E337=5),(PI()*EO$12^2)/4*(EK337*$W337*1000)/($H337*$B$5),(PI()*EO$12^2)/4*(EK337*$W337*1000)/($G337*$B$5)))),
IF($D337="Pressio.",
IF($E337=3,(PI()*EO$12^2)/4*(EK337*$W337*1000)/($H337*$B$5),(PI()*EO$12^2)/4*(EK337*$W337*1000)/($G337*$B$5)),
IF($D337="Pénétro.",
IF($E337=4,(PI()*EO$12^2)/4*(EK337*$W337*1000)/($H337*$B$5),(PI()*EO$12^2)/4*(EK337*$W337*1000)/($G337*$B$5))))))/10</f>
        <v>#N/A</v>
      </c>
      <c r="EP337" s="102" t="e">
        <f>(VLOOKUP($B$3,'Coeff EC7'!$T$39:$X$59,2,0)*EN337+VLOOKUP($B$3,'Coeff EC7'!$T$65:$X$85,2,0)*Model0.1C!EO337)/1.1</f>
        <v>#N/A</v>
      </c>
      <c r="EQ337" s="102" t="e">
        <f>(VLOOKUP($B$3,'Coeff EC7'!$T$39:$X$59,3,0)*EN337+VLOOKUP($B$3,'Coeff EC7'!$T$65:$X$85,3,0)*Model0.1C!EO337)/0.9</f>
        <v>#N/A</v>
      </c>
      <c r="ER337" s="102" t="e">
        <f t="shared" si="594"/>
        <v>#N/A</v>
      </c>
      <c r="ES337" s="102" t="e">
        <f t="shared" si="595"/>
        <v>#N/A</v>
      </c>
      <c r="ET337" s="414" t="e">
        <f>IF(ET336=0,0,IF(AND(EP337&gt;charge_ELS_quasi,EQ337&gt;Charge_ELS_freq,ER337&gt;charge_ELU,ES337&gt;charge_ELA,$B337&gt;NDC!$H$22-0.1+MIN(3*$ET$12,1.5)),0,1))</f>
        <v>#N/A</v>
      </c>
      <c r="EU337" s="86" t="b">
        <f t="shared" si="563"/>
        <v>0</v>
      </c>
      <c r="EV337" s="86">
        <f t="shared" si="564"/>
        <v>0.61</v>
      </c>
      <c r="EW337" s="86">
        <f t="shared" si="565"/>
        <v>0.61</v>
      </c>
      <c r="EX337" s="30" t="e">
        <f t="shared" ca="1" si="596"/>
        <v>#DIV/0!</v>
      </c>
      <c r="EY337" s="85" t="e">
        <f ca="1">IF(EE337&lt;=Hypothèses!$V$7,Hypothèses!$W$7,IF(EE337&lt;=Hypothèses!$V$8,Hypothèses!$W$8,IF(EE337&lt;=Hypothèses!$V$9,Hypothèses!$W$9,IF(EE337&lt;=Hypothèses!$V$10,Hypothèses!$W$10,IF(EE337&lt;=Hypothèses!$V$11,Hypothèses!$W$11,IF(EE337&lt;=Hypothèses!$V$12,Hypothèses!$W$12,IF(EE337&lt;=Hypothèses!$V$13,Hypothèses!$W$13,IF(EE337&lt;=Hypothèses!$V$14,Hypothèses!$W$14,IF(EE337&lt;=Hypothèses!$V$15,Hypothèses!$W$15,IF(EE337&lt;=Hypothèses!$V$16,Hypothèses!$W$16,IF(EE337&lt;=Hypothèses!$V$17,Hypothèses!$W$17,IF(EE337&lt;=Hypothèses!$V$18,Hypothèses!$W$18,""))))))))))))</f>
        <v>#DIV/0!</v>
      </c>
      <c r="EZ337" s="87" t="e">
        <f t="shared" ref="EZ337:EZ363" ca="1" si="623">IF(EY337&lt;&gt;"",EY337,EX337)</f>
        <v>#DIV/0!</v>
      </c>
      <c r="FA337" s="88" t="e">
        <f ca="1">IF(EE337&lt;=Hypothèses!$V$7,Hypothèses!$X$7,IF(EE337&lt;=Hypothèses!$V$8,Hypothèses!$X$8,IF(EE337&lt;=Hypothèses!$V$9,Hypothèses!$X$9,IF(EE337&lt;=Hypothèses!$V$10,Hypothèses!$X$10,IF(EE337&lt;=Hypothèses!$V$11,Hypothèses!$X$11,IF(EE337&lt;=Hypothèses!$V$12,Hypothèses!$X$12,IF(EE337&lt;=Hypothèses!$V$13,Hypothèses!$X$13,IF(EE337&lt;=Hypothèses!$V$14,Hypothèses!$X$14,IF(EE337&lt;=Hypothèses!$V$15,Hypothèses!$X$15,IF(EE337&lt;=Hypothèses!$V$16,Hypothèses!$X$16,IF(EE337&lt;=Hypothèses!$U$17,Hypothèses!$W$17,IF(EE337&lt;=Hypothèses!$U$18,Hypothèses!$W$18,""))))))))))))</f>
        <v>#DIV/0!</v>
      </c>
      <c r="FB337" s="95" t="e">
        <f t="shared" ca="1" si="597"/>
        <v>#DIV/0!</v>
      </c>
      <c r="FC337" s="101" t="e">
        <f t="shared" si="530"/>
        <v>#N/A</v>
      </c>
      <c r="FD337" s="91" t="e">
        <f t="shared" si="566"/>
        <v>#N/A</v>
      </c>
      <c r="FE337" s="30" t="e">
        <f t="shared" si="614"/>
        <v>#N/A</v>
      </c>
      <c r="FF337" s="30" t="e">
        <f t="shared" si="615"/>
        <v>#N/A</v>
      </c>
      <c r="FG337" s="31" t="e">
        <f>IF(OR(Hypothèses!$B$4=17,Hypothèses!$B$4=18,Hypothèses!$B$4=19,Hypothèses!$B$4=20),
IF($D337="Pressio.",
IF(OR($E337=3,$E337=1,$E337=4),FF337,FE337),
IF($D337="Pénétro.",
IF(OR($E337=3,$E337=1,$E337=4),FF337,FE337))),IF($D337="Pressio.",
IF($E337=3,FF337,FE337),
IF($D337="Pénétro.",
IF($E337=4,FF337,FE337))))</f>
        <v>#N/A</v>
      </c>
      <c r="FH337" s="31" t="e">
        <f>(IF(OR(Hypothèses!$B$4=17,Hypothèses!$B$4=18,Hypothèses!$B$4=19,Hypothèses!$B$4=20),
IF($D337="Pressio.",
IF(OR($E337=3,$E337=1,$E337=4),(PI()*FH$12^2)/4*(FD337*$W337*1000)/($H337*$B$5),(PI()*FH$12^2)/4*(FD337*$W337*1000)/($G337*$B$5)),
IF($D337="Pénétro.",
IF(OR($E337=4,$E337=1,$E337=5),(PI()*FH$12^2)/4*(FD337*$W337*1000)/($H337*$B$5),(PI()*FH$12^2)/4*(FD337*$W337*1000)/($G337*$B$5)))),
IF($D337="Pressio.",
IF($E337=3,(PI()*FH$12^2)/4*(FD337*$W337*1000)/($H337*$B$5),(PI()*FH$12^2)/4*(FD337*$W337*1000)/($G337*$B$5)),
IF($D337="Pénétro.",
IF($E337=4,(PI()*FH$12^2)/4*(FD337*$W337*1000)/($H337*$B$5),(PI()*FH$12^2)/4*(FD337*$W337*1000)/($G337*$B$5))))))/10</f>
        <v>#N/A</v>
      </c>
      <c r="FI337" s="102" t="e">
        <f>(VLOOKUP($B$3,'Coeff EC7'!$T$39:$X$59,2,0)*FG337+VLOOKUP($B$3,'Coeff EC7'!$T$65:$X$85,2,0)*Model0.1C!FH337)/1.1</f>
        <v>#N/A</v>
      </c>
      <c r="FJ337" s="102" t="e">
        <f>(VLOOKUP($B$3,'Coeff EC7'!$T$39:$X$59,3,0)*FG337+VLOOKUP($B$3,'Coeff EC7'!$T$65:$X$85,3,0)*Model0.1C!FH337)/0.9</f>
        <v>#N/A</v>
      </c>
      <c r="FK337" s="102" t="e">
        <f t="shared" si="598"/>
        <v>#N/A</v>
      </c>
      <c r="FL337" s="102" t="e">
        <f t="shared" si="599"/>
        <v>#N/A</v>
      </c>
      <c r="FM337" s="414" t="e">
        <f>IF(FM336=0,0,IF(AND(FI337&gt;charge_ELS_quasi,FJ337&gt;Charge_ELS_freq,FK337&gt;charge_ELU,FL337&gt;charge_ELA,$B337&gt;NDC!$H$22-0.1+MIN(3*$FM$12,1.5)),0,1))</f>
        <v>#N/A</v>
      </c>
    </row>
    <row r="338" spans="1:169">
      <c r="A338" s="96">
        <f t="shared" si="567"/>
        <v>67.500000000001847</v>
      </c>
      <c r="B338" s="97">
        <v>32.5</v>
      </c>
      <c r="C338" s="81">
        <f>IF(B338&lt;=Hypothèses!$C$7,Hypothèses!$A$7,IF(B338&lt;=Hypothèses!$C$8,Hypothèses!$A$8,IF(B338&lt;=Hypothèses!$C$9,Hypothèses!$A$9,IF(B338&lt;=Hypothèses!$C$10,Hypothèses!$A$10,IF(B338&lt;=Hypothèses!$C$11,Hypothèses!$A$11,IF(B338&lt;=Hypothèses!$C$12,Hypothèses!$A$12,IF(B338&lt;=Hypothèses!$C$13,Hypothèses!$A$13,IF(B338&lt;=Hypothèses!$C$14,Hypothèses!$A$14,IF(B338&lt;=Hypothèses!$C$15,Hypothèses!$A$15,IF(B338&lt;=Hypothèses!$C$16,Hypothèses!$A$16,IF(B338&lt;=Hypothèses!$C$17,Hypothèses!$A$17,IF(B338&lt;=Hypothèses!$C$18,Hypothèses!$A$18,C337))))))))))))</f>
        <v>11</v>
      </c>
      <c r="D338" s="82" t="str">
        <f>IF(B338&lt;=Hypothèses!$C$7,Hypothèses!$R$7,IF(B338&lt;=Hypothèses!$C$8,Hypothèses!$R$8,IF(B338&lt;=Hypothèses!$C$9,Hypothèses!$R$9,IF(B338&lt;=Hypothèses!$C$10,Hypothèses!$R$10,IF(B338&lt;=Hypothèses!$C$11,Hypothèses!$R$11,IF(B338&lt;=Hypothèses!$C$12,Hypothèses!$R$12,IF(B338&lt;=Hypothèses!$C$13,Hypothèses!$R$13,IF(B338&lt;=Hypothèses!$C$14,Hypothèses!$R$14,IF(B338&lt;=Hypothèses!$C$15,Hypothèses!$R$15,IF(B338&lt;=Hypothèses!$C$16,Hypothèses!$R$16,IF(B338&lt;=Hypothèses!$C$17,Hypothèses!$R$17,IF(B338&lt;=Hypothèses!$C$18,Hypothèses!$R$18,D337))))))))))))</f>
        <v>Pressio.</v>
      </c>
      <c r="E338" s="82" t="e">
        <f>IF(B338&lt;=Hypothèses!$C$7,Hypothèses!$G$7,IF(B338&lt;=Hypothèses!$C$8,Hypothèses!$G$8,IF(B338&lt;=Hypothèses!$C$9,Hypothèses!$G$9,IF(B338&lt;=Hypothèses!$C$10,Hypothèses!$G$10,IF(B338&lt;=Hypothèses!$C$11,Hypothèses!$G$11,IF(B338&lt;=Hypothèses!$C$12,Hypothèses!$G$12,IF(B338&lt;=Hypothèses!$C$13,Hypothèses!$G$13,IF(B338&lt;=Hypothèses!$C$14,Hypothèses!$G$14,IF(B338&lt;=Hypothèses!$C$15,Hypothèses!$G$15,IF(B338&lt;=Hypothèses!$C$16,Hypothèses!$G$16,IF(B338&lt;=Hypothèses!$C$17,Hypothèses!$G$17,IF(B338&lt;=Hypothèses!$C$18,Hypothèses!$G$18,E337))))))))))))</f>
        <v>#N/A</v>
      </c>
      <c r="F338" s="82" t="str">
        <f>IF(B338&lt;=Hypothèses!$C$7,Hypothèses!$F$7,IF(B338&lt;=Hypothèses!$C$8,Hypothèses!$F$8,IF(B338&lt;=Hypothèses!$C$9,Hypothèses!$F$9,IF(B338&lt;=Hypothèses!$C$10,Hypothèses!$F$10,IF(B338&lt;=Hypothèses!$C$11,Hypothèses!$F$11,IF(B338&lt;=Hypothèses!$C$12,Hypothèses!$F$12,IF(B338&lt;=Hypothèses!$C$13,Hypothèses!$F$13,IF(B338&lt;=Hypothèses!$C$14,Hypothèses!$F$14,IF(B338&lt;=Hypothèses!$C$15,Hypothèses!$F$15,IF(B338&lt;=Hypothèses!$C$16,Hypothèses!$F$16,IF(B338&lt;=Hypothèses!$C$17,Hypothèses!$F$17,IF(B338&lt;=Hypothèses!$C$18,Hypothèses!$F$18,F337))))))))))))</f>
        <v/>
      </c>
      <c r="G338" s="91">
        <f t="array" ref="G338">INDEX('Coeff EC7'!$U$7:$X$27,
MATCH(Model0.1C!$B$3,'Coeff EC7'!$T$7:$T$27,0),
MATCH(Model0.1C!$D338&amp;Model0.1C!$B$4,
'Coeff EC7'!$U$6:$X$6&amp;
'Coeff EC7'!$U$5:$X$5,0))</f>
        <v>1.1499999999999999</v>
      </c>
      <c r="H338" s="91">
        <f t="array" ref="H338">INDEX('Coeff EC7'!$Y$7:$AB$27,
MATCH(Model0.1C!$B$3,'Coeff EC7'!$T$7:$T$27,0),
MATCH(Model0.1C!$D338&amp;Model0.1C!$B$4,
'Coeff EC7'!$Y$6:$AB$6&amp;
'Coeff EC7'!$Y$5:$AB$5,0))</f>
        <v>1.4</v>
      </c>
      <c r="I338" s="83" t="e">
        <f>IF(B338&lt;=Hypothèses!$C$7,Hypothèses!$P$7,IF(B338&lt;=Hypothèses!$C$8,Hypothèses!$P$8,IF(B338&lt;=Hypothèses!$C$9,Hypothèses!$P$9,IF(B338&lt;=Hypothèses!$C$10,Hypothèses!$P$10,IF(B338&lt;=Hypothèses!$C$11,Hypothèses!$P$11,IF(B338&lt;=Hypothèses!$C$12,Hypothèses!$P$12,IF(B338&lt;=Hypothèses!$C$13,Hypothèses!$P$13,IF(B338&lt;=Hypothèses!$C$14,Hypothèses!$P$14,IF(B338&lt;=Hypothèses!$C$15,Hypothèses!$P$15,IF(B338&lt;=Hypothèses!$C$16,Hypothèses!$P$16,IF(B338&lt;=Hypothèses!$C$17,Hypothèses!$P$17,IF(B338&lt;=Hypothèses!$C$18,Hypothèses!$P$18,I337))))))))))))</f>
        <v>#N/A</v>
      </c>
      <c r="J338" s="91" t="e">
        <f t="array" ref="J338">INDEX('Coeff EC7'!$D$33:$Q$33,1,MATCH(D338&amp;E338,'Coeff EC7'!$D$31:$Q$31&amp;'Coeff EC7'!$D$32:$Q$32,0))</f>
        <v>#N/A</v>
      </c>
      <c r="K338" s="91" t="e">
        <f t="array" ref="K338">INDEX('Coeff EC7'!$D$34:$Q$34,1,MATCH(D338&amp;E338,'Coeff EC7'!$D$31:$Q$31&amp;'Coeff EC7'!$D$32:$Q$32,0))</f>
        <v>#N/A</v>
      </c>
      <c r="L338" s="91" t="e">
        <f t="array" ref="L338">INDEX('Coeff EC7'!$D$35:$Q$35,1,MATCH(D338&amp;E338,'Coeff EC7'!$D$31:$Q$31&amp;'Coeff EC7'!$D$32:$Q$32,0))</f>
        <v>#N/A</v>
      </c>
      <c r="M338" s="98" t="e">
        <f t="shared" si="531"/>
        <v>#N/A</v>
      </c>
      <c r="N338" s="99" t="e">
        <f t="array" ref="N338">INDEX('Coeff EC7'!$D$7:$Q$27,MATCH($B$3,'Coeff EC7'!$C$7:$C$27,0),MATCH(D338&amp;E338,'Coeff EC7'!$D$5:$Q$5&amp;'Coeff EC7'!$D$6:$Q$6,0))</f>
        <v>#N/A</v>
      </c>
      <c r="O338" s="99" t="e">
        <f t="array" ref="O338">INDEX('Coeff EC7'!$D$41:$Q$61,MATCH($B$3,'Coeff EC7'!$C$41:$C$61,0),MATCH(D338&amp;E338,'Coeff EC7'!$D$39:$Q$39&amp;'Coeff EC7'!$D$40:$Q$40,0))</f>
        <v>#N/A</v>
      </c>
      <c r="P338" s="30" t="e">
        <f t="shared" si="568"/>
        <v>#N/A</v>
      </c>
      <c r="Q338" s="100" t="e">
        <f t="shared" si="533"/>
        <v>#N/A</v>
      </c>
      <c r="R338" s="86" t="b">
        <f t="shared" si="534"/>
        <v>0</v>
      </c>
      <c r="S338" s="86">
        <f t="shared" si="532"/>
        <v>0.5</v>
      </c>
      <c r="T338" s="86">
        <f t="shared" si="535"/>
        <v>0.5</v>
      </c>
      <c r="U338" s="30" t="e">
        <f t="shared" ca="1" si="569"/>
        <v>#DIV/0!</v>
      </c>
      <c r="V338" s="85" t="str">
        <f>IF(B338&lt;=Hypothèses!$V$7,Hypothèses!$W$7,IF(B338&lt;=Hypothèses!$V$8,Hypothèses!$W$8,IF(B338&lt;=Hypothèses!$V$9,Hypothèses!$W$9,IF(B338&lt;=Hypothèses!$V$10,Hypothèses!$W$10,IF(B338&lt;=Hypothèses!$V$11,Hypothèses!$W$11,IF(B338&lt;=Hypothèses!$V$12,Hypothèses!$W$12,IF(B338&lt;=Hypothèses!$V$13,Hypothèses!$W$13,IF(B338&lt;=Hypothèses!$V$14,Hypothèses!$W$14,IF(B338&lt;=Hypothèses!$V$15,Hypothèses!$W$15,IF(B338&lt;=Hypothèses!$V$16,Hypothèses!$W$16,IF(B338&lt;=Hypothèses!$V$17,Hypothèses!$W$17,IF(B338&lt;=Hypothèses!$V$18,Hypothèses!$W$18,""))))))))))))</f>
        <v/>
      </c>
      <c r="W338" s="87" t="e">
        <f t="shared" ca="1" si="616"/>
        <v>#DIV/0!</v>
      </c>
      <c r="X338" s="88" t="str">
        <f>IF(B338&lt;=Hypothèses!$V$7,Hypothèses!$X$7,IF(B338&lt;=Hypothèses!$V$8,Hypothèses!$X$8,IF(B338&lt;=Hypothèses!$V$9,Hypothèses!$X$9,IF(B338&lt;=Hypothèses!$V$10,Hypothèses!$X$10,IF(B338&lt;=Hypothèses!$V$11,Hypothèses!$X$11,IF(B338&lt;=Hypothèses!$V$12,Hypothèses!$X$12,IF(B338&lt;=Hypothèses!$V$13,Hypothèses!$X$13,IF(B338&lt;=Hypothèses!$V$14,Hypothèses!$X$14,IF(B338&lt;=Hypothèses!$V$15,Hypothèses!$X$15,IF(B338&lt;=Hypothèses!$V$16,Hypothèses!$X$16,IF(B338&lt;=Hypothèses!$U$17,Hypothèses!$W$17,IF(B338&lt;=Hypothèses!$U$18,Hypothèses!$W$18,""))))))))))))</f>
        <v/>
      </c>
      <c r="Y338" s="95" t="e">
        <f t="shared" ca="1" si="536"/>
        <v>#DIV/0!</v>
      </c>
      <c r="Z338" s="101" t="e">
        <f t="shared" si="537"/>
        <v>#N/A</v>
      </c>
      <c r="AA338" s="91" t="e">
        <f t="shared" si="538"/>
        <v>#N/A</v>
      </c>
      <c r="AB338" s="30" t="e">
        <f t="shared" si="600"/>
        <v>#N/A</v>
      </c>
      <c r="AC338" s="30" t="e">
        <f t="shared" si="601"/>
        <v>#N/A</v>
      </c>
      <c r="AD338" s="31" t="e">
        <f>IF(OR(Hypothèses!$B$4=17,Hypothèses!$B$4=18,Hypothèses!$B$4=19,Hypothèses!$B$4=20),
IF($D338="Pressio.",
IF(OR($E338=3,$E338=1,$E338=4),AC338,AB338),
IF($D338="Pénétro.",
IF(OR($E338=3,$E338=1,$E338=4),AC338,AB338))),IF($D338="Pressio.",
IF($E338=3,AC338,AB338),
IF($D338="Pénétro.",
IF($E338=4,AC338,AB338))))</f>
        <v>#N/A</v>
      </c>
      <c r="AE338" s="31" t="e">
        <f>(IF(OR(Hypothèses!$B$4=17,Hypothèses!$B$4=18,Hypothèses!$B$4=19,Hypothèses!$B$4=20),
IF($D338="Pressio.",
IF(OR($E338=3,$E338=1,$E338=4),(PI()*AE$12^2)/4*(AA338*$W338*1000)/($H338*$B$5),(PI()*AE$12^2)/4*(AA338*$W338*1000)/($G338*$B$5)),
IF($D338="Pénétro.",
IF(OR($E338=4,$E338=1,$E338=5),(PI()*AE$12^2)/4*(AA338*$W338*1000)/($H338*$B$5),(PI()*AE$12^2)/4*(AA338*$W338*1000)/($G338*$B$5)))),
IF($D338="Pressio.",
IF($E338=3,(PI()*AE$12^2)/4*(AA338*$W338*1000)/($H338*$B$5),(PI()*AE$12^2)/4*(AA338*$W338*1000)/($G338*$B$5)),
IF($D338="Pénétro.",
IF($E338=4,(PI()*AE$12^2)/4*(AA338*$W338*1000)/($H338*$B$5),(PI()*AE$12^2)/4*(AA338*$W338*1000)/($G338*$B$5))))))/10</f>
        <v>#N/A</v>
      </c>
      <c r="AF338" s="102" t="e">
        <f>(VLOOKUP($B$3,'Coeff EC7'!$T$39:$X$59,2,0)*AD338+VLOOKUP($B$3,'Coeff EC7'!$T$65:$X$85,2,0)*Model0.1C!AE338)/1.1</f>
        <v>#N/A</v>
      </c>
      <c r="AG338" s="102" t="e">
        <f>(VLOOKUP($B$3,'Coeff EC7'!$T$39:$X$59,3,0)*AD338+VLOOKUP($B$3,'Coeff EC7'!$T$65:$X$85,3,0)*Model0.1C!AE338)/0.9</f>
        <v>#N/A</v>
      </c>
      <c r="AH338" s="102" t="e">
        <f t="shared" si="539"/>
        <v>#N/A</v>
      </c>
      <c r="AI338" s="102" t="e">
        <f t="shared" si="540"/>
        <v>#N/A</v>
      </c>
      <c r="AJ338" s="414" t="e">
        <f>IF(AJ337=0,0,IF(AND(AF338&gt;charge_ELS_quasi,AG338&gt;Charge_ELS_freq,AH338&gt;charge_ELU,AI338&gt;charge_ELA,$B338&gt;NDC!$H$22-0.1+MIN(3*$AJ$12,1.5)),0,1))</f>
        <v>#N/A</v>
      </c>
      <c r="AK338" s="86" t="b">
        <f t="shared" si="541"/>
        <v>0</v>
      </c>
      <c r="AL338" s="86">
        <f t="shared" si="570"/>
        <v>0.5</v>
      </c>
      <c r="AM338" s="86">
        <f t="shared" si="542"/>
        <v>0.5</v>
      </c>
      <c r="AN338" s="30" t="e">
        <f t="shared" ca="1" si="571"/>
        <v>#DIV/0!</v>
      </c>
      <c r="AO338" s="85" t="e">
        <f ca="1">IF(U338&lt;=Hypothèses!$V$7,Hypothèses!$W$7,IF(U338&lt;=Hypothèses!$V$8,Hypothèses!$W$8,IF(U338&lt;=Hypothèses!$V$9,Hypothèses!$W$9,IF(U338&lt;=Hypothèses!$V$10,Hypothèses!$W$10,IF(U338&lt;=Hypothèses!$V$11,Hypothèses!$W$11,IF(U338&lt;=Hypothèses!$V$12,Hypothèses!$W$12,IF(U338&lt;=Hypothèses!$V$13,Hypothèses!$W$13,IF(U338&lt;=Hypothèses!$V$14,Hypothèses!$W$14,IF(U338&lt;=Hypothèses!$V$15,Hypothèses!$W$15,IF(U338&lt;=Hypothèses!$V$16,Hypothèses!$W$16,IF(U338&lt;=Hypothèses!$V$17,Hypothèses!$W$17,IF(U338&lt;=Hypothèses!$V$18,Hypothèses!$W$18,""))))))))))))</f>
        <v>#DIV/0!</v>
      </c>
      <c r="AP338" s="87" t="e">
        <f t="shared" ca="1" si="617"/>
        <v>#DIV/0!</v>
      </c>
      <c r="AQ338" s="88" t="e">
        <f ca="1">IF(U338&lt;=Hypothèses!$V$7,Hypothèses!$X$7,IF(U338&lt;=Hypothèses!$V$8,Hypothèses!$X$8,IF(U338&lt;=Hypothèses!$V$9,Hypothèses!$X$9,IF(U338&lt;=Hypothèses!$V$10,Hypothèses!$X$10,IF(U338&lt;=Hypothèses!$V$11,Hypothèses!$X$11,IF(U338&lt;=Hypothèses!$V$12,Hypothèses!$X$12,IF(U338&lt;=Hypothèses!$V$13,Hypothèses!$X$13,IF(U338&lt;=Hypothèses!$V$14,Hypothèses!$X$14,IF(U338&lt;=Hypothèses!$V$15,Hypothèses!$X$15,IF(U338&lt;=Hypothèses!$V$16,Hypothèses!$X$16,IF(U338&lt;=Hypothèses!$U$17,Hypothèses!$W$17,IF(U338&lt;=Hypothèses!$U$18,Hypothèses!$W$18,""))))))))))))</f>
        <v>#DIV/0!</v>
      </c>
      <c r="AR338" s="95" t="e">
        <f t="shared" ca="1" si="572"/>
        <v>#DIV/0!</v>
      </c>
      <c r="AS338" s="101" t="e">
        <f t="shared" ref="AS338:AS363" si="624">IF($I338=0,0,
IF(AR338&gt;5*AW$12,$I338,
IF($D338="Pressio.",1+($I338-1)*(AR338/AW$12)/5,
IF($D338="Pénétro.",IF($E338=1,0.3+($I338-0.3)*(AR338/AW$12)/5,
IF($E338=2,0.2+($I338-0.2)*(AR338/AW$12)/5,
IF($E338=3,0.1+($I338-0.1)*(AR338/AW$12)/5,
0.15+($I338-0.15)*(AR338/AW$12)/5)))))))</f>
        <v>#N/A</v>
      </c>
      <c r="AT338" s="91" t="e">
        <f t="shared" si="543"/>
        <v>#N/A</v>
      </c>
      <c r="AU338" s="30" t="e">
        <f t="shared" si="602"/>
        <v>#N/A</v>
      </c>
      <c r="AV338" s="30" t="e">
        <f t="shared" si="603"/>
        <v>#N/A</v>
      </c>
      <c r="AW338" s="31" t="e">
        <f>IF(OR(Hypothèses!$B$4=17,Hypothèses!$B$4=18,Hypothèses!$B$4=19,Hypothèses!$B$4=20),
IF($D338="Pressio.",
IF(OR($E338=3,$E338=1,$E338=4),AV338,AU338),
IF($D338="Pénétro.",
IF(OR($E338=3,$E338=1,$E338=4),AV338,AU338))),IF($D338="Pressio.",
IF($E338=3,AV338,AU338),
IF($D338="Pénétro.",
IF($E338=4,AV338,AU338))))</f>
        <v>#N/A</v>
      </c>
      <c r="AX338" s="31" t="e">
        <f>(IF(OR(Hypothèses!$B$4=17,Hypothèses!$B$4=18,Hypothèses!$B$4=19,Hypothèses!$B$4=20),
IF($D338="Pressio.",
IF(OR($E338=3,$E338=1,$E338=4),(PI()*AX$12^2)/4*(AT338*$W338*1000)/($H338*$B$5),(PI()*AX$12^2)/4*(AT338*$W338*1000)/($G338*$B$5)),
IF($D338="Pénétro.",
IF(OR($E338=4,$E338=1,$E338=5),(PI()*AX$12^2)/4*(AT338*$W338*1000)/($H338*$B$5),(PI()*AX$12^2)/4*(AT338*$W338*1000)/($G338*$B$5)))),
IF($D338="Pressio.",
IF($E338=3,(PI()*AX$12^2)/4*(AT338*$W338*1000)/($H338*$B$5),(PI()*AX$12^2)/4*(AT338*$W338*1000)/($G338*$B$5)),
IF($D338="Pénétro.",
IF($E338=4,(PI()*AX$12^2)/4*(AT338*$W338*1000)/($H338*$B$5),(PI()*AX$12^2)/4*(AT338*$W338*1000)/($G338*$B$5))))))/10</f>
        <v>#N/A</v>
      </c>
      <c r="AY338" s="102" t="e">
        <f>(VLOOKUP($B$3,'Coeff EC7'!$T$39:$X$59,2,0)*AW338+VLOOKUP($B$3,'Coeff EC7'!$T$65:$X$85,2,0)*Model0.1C!AX338)/1.1</f>
        <v>#N/A</v>
      </c>
      <c r="AZ338" s="102" t="e">
        <f>(VLOOKUP($B$3,'Coeff EC7'!$T$39:$X$59,3,0)*AW338+VLOOKUP($B$3,'Coeff EC7'!$T$65:$X$85,3,0)*Model0.1C!AX338)/0.9</f>
        <v>#N/A</v>
      </c>
      <c r="BA338" s="102" t="e">
        <f t="shared" si="573"/>
        <v>#N/A</v>
      </c>
      <c r="BB338" s="102" t="e">
        <f t="shared" si="574"/>
        <v>#N/A</v>
      </c>
      <c r="BC338" s="414" t="e">
        <f>IF(BC337=0,0,IF(AND(AY338&gt;charge_ELS_quasi,AZ338&gt;Charge_ELS_freq,BA338&gt;charge_ELU,BB338&gt;charge_ELA,$B338&gt;NDC!$H$22-0.1+MIN(3*$BC$12,1.5)),0,1))</f>
        <v>#N/A</v>
      </c>
      <c r="BD338" s="86" t="b">
        <f t="shared" si="544"/>
        <v>0</v>
      </c>
      <c r="BE338" s="86">
        <f t="shared" si="575"/>
        <v>0.5</v>
      </c>
      <c r="BF338" s="86">
        <f t="shared" si="545"/>
        <v>0.5</v>
      </c>
      <c r="BG338" s="30" t="e">
        <f t="shared" ca="1" si="576"/>
        <v>#DIV/0!</v>
      </c>
      <c r="BH338" s="85" t="e">
        <f ca="1">IF(AN338&lt;=Hypothèses!$V$7,Hypothèses!$W$7,IF(AN338&lt;=Hypothèses!$V$8,Hypothèses!$W$8,IF(AN338&lt;=Hypothèses!$V$9,Hypothèses!$W$9,IF(AN338&lt;=Hypothèses!$V$10,Hypothèses!$W$10,IF(AN338&lt;=Hypothèses!$V$11,Hypothèses!$W$11,IF(AN338&lt;=Hypothèses!$V$12,Hypothèses!$W$12,IF(AN338&lt;=Hypothèses!$V$13,Hypothèses!$W$13,IF(AN338&lt;=Hypothèses!$V$14,Hypothèses!$W$14,IF(AN338&lt;=Hypothèses!$V$15,Hypothèses!$W$15,IF(AN338&lt;=Hypothèses!$V$16,Hypothèses!$W$16,IF(AN338&lt;=Hypothèses!$V$17,Hypothèses!$W$17,IF(AN338&lt;=Hypothèses!$V$18,Hypothèses!$W$18,""))))))))))))</f>
        <v>#DIV/0!</v>
      </c>
      <c r="BI338" s="87" t="e">
        <f t="shared" ca="1" si="618"/>
        <v>#DIV/0!</v>
      </c>
      <c r="BJ338" s="88" t="e">
        <f ca="1">IF(AN338&lt;=Hypothèses!$V$7,Hypothèses!$X$7,IF(AN338&lt;=Hypothèses!$V$8,Hypothèses!$X$8,IF(AN338&lt;=Hypothèses!$V$9,Hypothèses!$X$9,IF(AN338&lt;=Hypothèses!$V$10,Hypothèses!$X$10,IF(AN338&lt;=Hypothèses!$V$11,Hypothèses!$X$11,IF(AN338&lt;=Hypothèses!$V$12,Hypothèses!$X$12,IF(AN338&lt;=Hypothèses!$V$13,Hypothèses!$X$13,IF(AN338&lt;=Hypothèses!$V$14,Hypothèses!$X$14,IF(AN338&lt;=Hypothèses!$V$15,Hypothèses!$X$15,IF(AN338&lt;=Hypothèses!$V$16,Hypothèses!$X$16,IF(AN338&lt;=Hypothèses!$U$17,Hypothèses!$W$17,IF(AN338&lt;=Hypothèses!$U$18,Hypothèses!$W$18,""))))))))))))</f>
        <v>#DIV/0!</v>
      </c>
      <c r="BK338" s="95" t="e">
        <f t="shared" ca="1" si="577"/>
        <v>#DIV/0!</v>
      </c>
      <c r="BL338" s="101" t="e">
        <f t="shared" ref="BL338:BL363" si="625">IF($I338=0,0,
IF(BK338&gt;5*BP$12,$I338,
IF($D338="Pressio.",1+($I338-1)*(BK338/BP$12)/5,
IF($D338="Pénétro.",IF($E338=1,0.3+($I338-0.3)*(BK338/BP$12)/5,
IF($E338=2,0.2+($I338-0.2)*(BK338/BP$12)/5,
IF($E338=3,0.1+($I338-0.1)*(BK338/BP$12)/5,
0.15+($I338-0.15)*(BK338/BP$12)/5)))))))</f>
        <v>#N/A</v>
      </c>
      <c r="BM338" s="91" t="e">
        <f t="shared" si="546"/>
        <v>#N/A</v>
      </c>
      <c r="BN338" s="30" t="e">
        <f t="shared" si="604"/>
        <v>#N/A</v>
      </c>
      <c r="BO338" s="30" t="e">
        <f t="shared" si="605"/>
        <v>#N/A</v>
      </c>
      <c r="BP338" s="31" t="e">
        <f>IF(OR(Hypothèses!$B$4=17,Hypothèses!$B$4=18,Hypothèses!$B$4=19,Hypothèses!$B$4=20),
IF($D338="Pressio.",
IF(OR($E338=3,$E338=1,$E338=4),BO338,BN338),
IF($D338="Pénétro.",
IF(OR($E338=3,$E338=1,$E338=4),BO338,BN338))),IF($D338="Pressio.",
IF($E338=3,BO338,BN338),
IF($D338="Pénétro.",
IF($E338=4,BO338,BN338))))</f>
        <v>#N/A</v>
      </c>
      <c r="BQ338" s="31" t="e">
        <f>(IF(OR(Hypothèses!$B$4=17,Hypothèses!$B$4=18,Hypothèses!$B$4=19,Hypothèses!$B$4=20),
IF($D338="Pressio.",
IF(OR($E338=3,$E338=1,$E338=4),(PI()*BQ$12^2)/4*(BM338*$W338*1000)/($H338*$B$5),(PI()*BQ$12^2)/4*(BM338*$W338*1000)/($G338*$B$5)),
IF($D338="Pénétro.",
IF(OR($E338=4,$E338=1,$E338=5),(PI()*BQ$12^2)/4*(BM338*$W338*1000)/($H338*$B$5),(PI()*BQ$12^2)/4*(BM338*$W338*1000)/($G338*$B$5)))),
IF($D338="Pressio.",
IF($E338=3,(PI()*BQ$12^2)/4*(BM338*$W338*1000)/($H338*$B$5),(PI()*BQ$12^2)/4*(BM338*$W338*1000)/($G338*$B$5)),
IF($D338="Pénétro.",
IF($E338=4,(PI()*BQ$12^2)/4*(BM338*$W338*1000)/($H338*$B$5),(PI()*BQ$12^2)/4*(BM338*$W338*1000)/($G338*$B$5))))))/10</f>
        <v>#N/A</v>
      </c>
      <c r="BR338" s="102" t="e">
        <f>(VLOOKUP($B$3,'Coeff EC7'!$T$39:$X$59,2,0)*BP338+VLOOKUP($B$3,'Coeff EC7'!$T$65:$X$85,2,0)*Model0.1C!BQ338)/1.1</f>
        <v>#N/A</v>
      </c>
      <c r="BS338" s="102" t="e">
        <f>(VLOOKUP($B$3,'Coeff EC7'!$T$39:$X$59,3,0)*BP338+VLOOKUP($B$3,'Coeff EC7'!$T$65:$X$85,3,0)*Model0.1C!BQ338)/0.9</f>
        <v>#N/A</v>
      </c>
      <c r="BT338" s="102" t="e">
        <f t="shared" si="578"/>
        <v>#N/A</v>
      </c>
      <c r="BU338" s="102" t="e">
        <f t="shared" si="579"/>
        <v>#N/A</v>
      </c>
      <c r="BV338" s="414" t="e">
        <f>IF(BV337=0,0,IF(AND(BR338&gt;charge_ELS_quasi,BS338&gt;Charge_ELS_freq,BT338&gt;charge_ELU,BU338&gt;charge_ELA,$B338&gt;NDC!$H$22-0.1+MIN(3*$BV$12,1.5)),0,1))</f>
        <v>#N/A</v>
      </c>
      <c r="BW338" s="86" t="b">
        <f t="shared" si="547"/>
        <v>0</v>
      </c>
      <c r="BX338" s="86">
        <f t="shared" si="548"/>
        <v>0.5</v>
      </c>
      <c r="BY338" s="86">
        <f t="shared" si="549"/>
        <v>0.5</v>
      </c>
      <c r="BZ338" s="30" t="e">
        <f t="shared" ca="1" si="580"/>
        <v>#DIV/0!</v>
      </c>
      <c r="CA338" s="85" t="e">
        <f ca="1">IF(BG338&lt;=Hypothèses!$V$7,Hypothèses!$W$7,IF(BG338&lt;=Hypothèses!$V$8,Hypothèses!$W$8,IF(BG338&lt;=Hypothèses!$V$9,Hypothèses!$W$9,IF(BG338&lt;=Hypothèses!$V$10,Hypothèses!$W$10,IF(BG338&lt;=Hypothèses!$V$11,Hypothèses!$W$11,IF(BG338&lt;=Hypothèses!$V$12,Hypothèses!$W$12,IF(BG338&lt;=Hypothèses!$V$13,Hypothèses!$W$13,IF(BG338&lt;=Hypothèses!$V$14,Hypothèses!$W$14,IF(BG338&lt;=Hypothèses!$V$15,Hypothèses!$W$15,IF(BG338&lt;=Hypothèses!$V$16,Hypothèses!$W$16,IF(BG338&lt;=Hypothèses!$V$17,Hypothèses!$W$17,IF(BG338&lt;=Hypothèses!$V$18,Hypothèses!$W$18,""))))))))))))</f>
        <v>#DIV/0!</v>
      </c>
      <c r="CB338" s="87" t="e">
        <f t="shared" ca="1" si="619"/>
        <v>#DIV/0!</v>
      </c>
      <c r="CC338" s="88" t="e">
        <f ca="1">IF(BG338&lt;=Hypothèses!$V$7,Hypothèses!$X$7,IF(BG338&lt;=Hypothèses!$V$8,Hypothèses!$X$8,IF(BG338&lt;=Hypothèses!$V$9,Hypothèses!$X$9,IF(BG338&lt;=Hypothèses!$V$10,Hypothèses!$X$10,IF(BG338&lt;=Hypothèses!$V$11,Hypothèses!$X$11,IF(BG338&lt;=Hypothèses!$V$12,Hypothèses!$X$12,IF(BG338&lt;=Hypothèses!$V$13,Hypothèses!$X$13,IF(BG338&lt;=Hypothèses!$V$14,Hypothèses!$X$14,IF(BG338&lt;=Hypothèses!$V$15,Hypothèses!$X$15,IF(BG338&lt;=Hypothèses!$V$16,Hypothèses!$X$16,IF(BG338&lt;=Hypothèses!$U$17,Hypothèses!$W$17,IF(BG338&lt;=Hypothèses!$U$18,Hypothèses!$W$18,""))))))))))))</f>
        <v>#DIV/0!</v>
      </c>
      <c r="CD338" s="95" t="e">
        <f t="shared" ca="1" si="581"/>
        <v>#DIV/0!</v>
      </c>
      <c r="CE338" s="101" t="e">
        <f t="shared" ref="CE338:CE363" si="626">IF($I338=0,0,
IF(CD338&gt;5*CI$12,$I338,
IF($D338="Pressio.",1+($I338-1)*(CD338/CI$12)/5,
IF($D338="Pénétro.",IF($E338=1,0.3+($I338-0.3)*(CD338/CI$12)/5,
IF($E338=2,0.2+($I338-0.2)*(CD338/CI$12)/5,
IF($E338=3,0.1+($I338-0.1)*(CD338/CI$12)/5,
0.15+($I338-0.15)*(CD338/CI$12)/5)))))))</f>
        <v>#N/A</v>
      </c>
      <c r="CF338" s="91" t="e">
        <f t="shared" si="550"/>
        <v>#N/A</v>
      </c>
      <c r="CG338" s="30" t="e">
        <f t="shared" si="606"/>
        <v>#N/A</v>
      </c>
      <c r="CH338" s="30" t="e">
        <f t="shared" si="607"/>
        <v>#N/A</v>
      </c>
      <c r="CI338" s="31" t="e">
        <f>IF(OR(Hypothèses!$B$4=17,Hypothèses!$B$4=18,Hypothèses!$B$4=19,Hypothèses!$B$4=20),
IF($D338="Pressio.",
IF(OR($E338=3,$E338=1,$E338=4),CH338,CG338),
IF($D338="Pénétro.",
IF(OR($E338=3,$E338=1,$E338=4),CH338,CG338))),IF($D338="Pressio.",
IF($E338=3,CH338,CG338),
IF($D338="Pénétro.",
IF($E338=4,CH338,CG338))))</f>
        <v>#N/A</v>
      </c>
      <c r="CJ338" s="31" t="e">
        <f>(IF(OR(Hypothèses!$B$4=17,Hypothèses!$B$4=18,Hypothèses!$B$4=19,Hypothèses!$B$4=20),
IF($D338="Pressio.",
IF(OR($E338=3,$E338=1,$E338=4),(PI()*CJ$12^2)/4*(CF338*$W338*1000)/($H338*$B$5),(PI()*CJ$12^2)/4*(CF338*$W338*1000)/($G338*$B$5)),
IF($D338="Pénétro.",
IF(OR($E338=4,$E338=1,$E338=5),(PI()*CJ$12^2)/4*(CF338*$W338*1000)/($H338*$B$5),(PI()*CJ$12^2)/4*(CF338*$W338*1000)/($G338*$B$5)))),
IF($D338="Pressio.",
IF($E338=3,(PI()*CJ$12^2)/4*(CF338*$W338*1000)/($H338*$B$5),(PI()*CJ$12^2)/4*(CF338*$W338*1000)/($G338*$B$5)),
IF($D338="Pénétro.",
IF($E338=4,(PI()*CJ$12^2)/4*(CF338*$W338*1000)/($H338*$B$5),(PI()*CJ$12^2)/4*(CF338*$W338*1000)/($G338*$B$5))))))/10</f>
        <v>#N/A</v>
      </c>
      <c r="CK338" s="102" t="e">
        <f>(VLOOKUP($B$3,'Coeff EC7'!$T$39:$X$59,2,0)*CI338+VLOOKUP($B$3,'Coeff EC7'!$T$65:$X$85,2,0)*Model0.1C!CJ338)/1.1</f>
        <v>#N/A</v>
      </c>
      <c r="CL338" s="102" t="e">
        <f>(VLOOKUP($B$3,'Coeff EC7'!$T$39:$X$59,3,0)*CI338+VLOOKUP($B$3,'Coeff EC7'!$T$65:$X$85,3,0)*Model0.1C!CJ338)/0.9</f>
        <v>#N/A</v>
      </c>
      <c r="CM338" s="102" t="e">
        <f t="shared" si="582"/>
        <v>#N/A</v>
      </c>
      <c r="CN338" s="102" t="e">
        <f t="shared" si="583"/>
        <v>#N/A</v>
      </c>
      <c r="CO338" s="414" t="e">
        <f>IF(CO337=0,0,IF(AND(CK338&gt;charge_ELS_quasi,CL338&gt;Charge_ELS_freq,CM338&gt;charge_ELU,CN338&gt;charge_ELA,$B338&gt;NDC!$H$22-0.1+MIN(3*$CO$12,1.5)),0,1))</f>
        <v>#N/A</v>
      </c>
      <c r="CP338" s="86" t="b">
        <f t="shared" si="551"/>
        <v>0</v>
      </c>
      <c r="CQ338" s="86">
        <f t="shared" si="552"/>
        <v>0.5</v>
      </c>
      <c r="CR338" s="86">
        <f t="shared" si="553"/>
        <v>0.5</v>
      </c>
      <c r="CS338" s="30" t="e">
        <f t="shared" ca="1" si="584"/>
        <v>#DIV/0!</v>
      </c>
      <c r="CT338" s="85" t="e">
        <f ca="1">IF(BZ338&lt;=Hypothèses!$V$7,Hypothèses!$W$7,IF(BZ338&lt;=Hypothèses!$V$8,Hypothèses!$W$8,IF(BZ338&lt;=Hypothèses!$V$9,Hypothèses!$W$9,IF(BZ338&lt;=Hypothèses!$V$10,Hypothèses!$W$10,IF(BZ338&lt;=Hypothèses!$V$11,Hypothèses!$W$11,IF(BZ338&lt;=Hypothèses!$V$12,Hypothèses!$W$12,IF(BZ338&lt;=Hypothèses!$V$13,Hypothèses!$W$13,IF(BZ338&lt;=Hypothèses!$V$14,Hypothèses!$W$14,IF(BZ338&lt;=Hypothèses!$V$15,Hypothèses!$W$15,IF(BZ338&lt;=Hypothèses!$V$16,Hypothèses!$W$16,IF(BZ338&lt;=Hypothèses!$V$17,Hypothèses!$W$17,IF(BZ338&lt;=Hypothèses!$V$18,Hypothèses!$W$18,""))))))))))))</f>
        <v>#DIV/0!</v>
      </c>
      <c r="CU338" s="87" t="e">
        <f t="shared" ca="1" si="620"/>
        <v>#DIV/0!</v>
      </c>
      <c r="CV338" s="88" t="e">
        <f ca="1">IF(BZ338&lt;=Hypothèses!$V$7,Hypothèses!$X$7,IF(BZ338&lt;=Hypothèses!$V$8,Hypothèses!$X$8,IF(BZ338&lt;=Hypothèses!$V$9,Hypothèses!$X$9,IF(BZ338&lt;=Hypothèses!$V$10,Hypothèses!$X$10,IF(BZ338&lt;=Hypothèses!$V$11,Hypothèses!$X$11,IF(BZ338&lt;=Hypothèses!$V$12,Hypothèses!$X$12,IF(BZ338&lt;=Hypothèses!$V$13,Hypothèses!$X$13,IF(BZ338&lt;=Hypothèses!$V$14,Hypothèses!$X$14,IF(BZ338&lt;=Hypothèses!$V$15,Hypothèses!$X$15,IF(BZ338&lt;=Hypothèses!$V$16,Hypothèses!$X$16,IF(BZ338&lt;=Hypothèses!$U$17,Hypothèses!$W$17,IF(BZ338&lt;=Hypothèses!$U$18,Hypothèses!$W$18,""))))))))))))</f>
        <v>#DIV/0!</v>
      </c>
      <c r="CW338" s="95" t="e">
        <f t="shared" ca="1" si="585"/>
        <v>#DIV/0!</v>
      </c>
      <c r="CX338" s="101" t="e">
        <f t="shared" ref="CX338:CX363" si="627">IF($I338=0,0,
IF(CW338&gt;5*DB$12,$I338,
IF($D338="Pressio.",1+($I338-1)*(CW338/DB$12)/5,
IF($D338="Pénétro.",IF($E338=1,0.3+($I338-0.3)*(CW338/DB$12)/5,
IF($E338=2,0.2+($I338-0.2)*(CW338/DB$12)/5,
IF($E338=3,0.1+($I338-0.1)*(CW338/DB$12)/5,
0.15+($I338-0.15)*(CW338/DB$12)/5)))))))</f>
        <v>#N/A</v>
      </c>
      <c r="CY338" s="91" t="e">
        <f t="shared" si="554"/>
        <v>#N/A</v>
      </c>
      <c r="CZ338" s="30" t="e">
        <f t="shared" si="608"/>
        <v>#N/A</v>
      </c>
      <c r="DA338" s="30" t="e">
        <f t="shared" si="609"/>
        <v>#N/A</v>
      </c>
      <c r="DB338" s="31" t="e">
        <f>IF(OR(Hypothèses!$B$4=17,Hypothèses!$B$4=18,Hypothèses!$B$4=19,Hypothèses!$B$4=20),
IF($D338="Pressio.",
IF(OR($E338=3,$E338=1,$E338=4),DA338,CZ338),
IF($D338="Pénétro.",
IF(OR($E338=3,$E338=1,$E338=4),DA338,CZ338))),IF($D338="Pressio.",
IF($E338=3,DA338,CZ338),
IF($D338="Pénétro.",
IF($E338=4,DA338,CZ338))))</f>
        <v>#N/A</v>
      </c>
      <c r="DC338" s="31" t="e">
        <f>(IF(OR(Hypothèses!$B$4=17,Hypothèses!$B$4=18,Hypothèses!$B$4=19,Hypothèses!$B$4=20),
IF($D338="Pressio.",
IF(OR($E338=3,$E338=1,$E338=4),(PI()*DC$12^2)/4*(CY338*$W338*1000)/($H338*$B$5),(PI()*DC$12^2)/4*(CY338*$W338*1000)/($G338*$B$5)),
IF($D338="Pénétro.",
IF(OR($E338=4,$E338=1,$E338=5),(PI()*DC$12^2)/4*(CY338*$W338*1000)/($H338*$B$5),(PI()*DC$12^2)/4*(CY338*$W338*1000)/($G338*$B$5)))),
IF($D338="Pressio.",
IF($E338=3,(PI()*DC$12^2)/4*(CY338*$W338*1000)/($H338*$B$5),(PI()*DC$12^2)/4*(CY338*$W338*1000)/($G338*$B$5)),
IF($D338="Pénétro.",
IF($E338=4,(PI()*DC$12^2)/4*(CY338*$W338*1000)/($H338*$B$5),(PI()*DC$12^2)/4*(CY338*$W338*1000)/($G338*$B$5))))))/10</f>
        <v>#N/A</v>
      </c>
      <c r="DD338" s="102" t="e">
        <f>(VLOOKUP($B$3,'Coeff EC7'!$T$39:$X$59,2,0)*DB338+VLOOKUP($B$3,'Coeff EC7'!$T$65:$X$85,2,0)*Model0.1C!DC338)/1.1</f>
        <v>#N/A</v>
      </c>
      <c r="DE338" s="102" t="e">
        <f>(VLOOKUP($B$3,'Coeff EC7'!$T$39:$X$59,3,0)*DB338+VLOOKUP($B$3,'Coeff EC7'!$T$65:$X$85,3,0)*Model0.1C!DC338)/0.9</f>
        <v>#N/A</v>
      </c>
      <c r="DF338" s="102" t="e">
        <f t="shared" si="586"/>
        <v>#N/A</v>
      </c>
      <c r="DG338" s="102" t="e">
        <f t="shared" si="587"/>
        <v>#N/A</v>
      </c>
      <c r="DH338" s="414" t="e">
        <f>IF(DH337=0,0,IF(AND(DD338&gt;charge_ELS_quasi,DE338&gt;Charge_ELS_freq,DF338&gt;charge_ELU,DG338&gt;charge_ELA,$B338&gt;NDC!$H$22-0.1+MIN(3*$DH$12,1.5)),0,1))</f>
        <v>#N/A</v>
      </c>
      <c r="DI338" s="86" t="b">
        <f t="shared" si="555"/>
        <v>0</v>
      </c>
      <c r="DJ338" s="86">
        <f t="shared" si="556"/>
        <v>0.5</v>
      </c>
      <c r="DK338" s="86">
        <f t="shared" si="557"/>
        <v>0.5</v>
      </c>
      <c r="DL338" s="30" t="e">
        <f t="shared" ca="1" si="588"/>
        <v>#DIV/0!</v>
      </c>
      <c r="DM338" s="85" t="e">
        <f ca="1">IF(CS338&lt;=Hypothèses!$V$7,Hypothèses!$W$7,IF(CS338&lt;=Hypothèses!$V$8,Hypothèses!$W$8,IF(CS338&lt;=Hypothèses!$V$9,Hypothèses!$W$9,IF(CS338&lt;=Hypothèses!$V$10,Hypothèses!$W$10,IF(CS338&lt;=Hypothèses!$V$11,Hypothèses!$W$11,IF(CS338&lt;=Hypothèses!$V$12,Hypothèses!$W$12,IF(CS338&lt;=Hypothèses!$V$13,Hypothèses!$W$13,IF(CS338&lt;=Hypothèses!$V$14,Hypothèses!$W$14,IF(CS338&lt;=Hypothèses!$V$15,Hypothèses!$W$15,IF(CS338&lt;=Hypothèses!$V$16,Hypothèses!$W$16,IF(CS338&lt;=Hypothèses!$V$17,Hypothèses!$W$17,IF(CS338&lt;=Hypothèses!$V$18,Hypothèses!$W$18,""))))))))))))</f>
        <v>#DIV/0!</v>
      </c>
      <c r="DN338" s="87" t="e">
        <f t="shared" ca="1" si="621"/>
        <v>#DIV/0!</v>
      </c>
      <c r="DO338" s="88" t="e">
        <f ca="1">IF(CS338&lt;=Hypothèses!$V$7,Hypothèses!$X$7,IF(CS338&lt;=Hypothèses!$V$8,Hypothèses!$X$8,IF(CS338&lt;=Hypothèses!$V$9,Hypothèses!$X$9,IF(CS338&lt;=Hypothèses!$V$10,Hypothèses!$X$10,IF(CS338&lt;=Hypothèses!$V$11,Hypothèses!$X$11,IF(CS338&lt;=Hypothèses!$V$12,Hypothèses!$X$12,IF(CS338&lt;=Hypothèses!$V$13,Hypothèses!$X$13,IF(CS338&lt;=Hypothèses!$V$14,Hypothèses!$X$14,IF(CS338&lt;=Hypothèses!$V$15,Hypothèses!$X$15,IF(CS338&lt;=Hypothèses!$V$16,Hypothèses!$X$16,IF(CS338&lt;=Hypothèses!$U$17,Hypothèses!$W$17,IF(CS338&lt;=Hypothèses!$U$18,Hypothèses!$W$18,""))))))))))))</f>
        <v>#DIV/0!</v>
      </c>
      <c r="DP338" s="95" t="e">
        <f t="shared" ca="1" si="589"/>
        <v>#DIV/0!</v>
      </c>
      <c r="DQ338" s="101" t="e">
        <f t="shared" ref="DQ338:DQ363" si="628">IF($I338=0,0,
IF(DP338&gt;5*DU$12,$I338,
IF($D338="Pressio.",1+($I338-1)*(DP338/DU$12)/5,
IF($D338="Pénétro.",IF($E338=1,0.3+($I338-0.3)*(DP338/DU$12)/5,
IF($E338=2,0.2+($I338-0.2)*(DP338/DU$12)/5,
IF($E338=3,0.1+($I338-0.1)*(DP338/DU$12)/5,
0.15+($I338-0.15)*(DP338/DU$12)/5)))))))</f>
        <v>#N/A</v>
      </c>
      <c r="DR338" s="91" t="e">
        <f t="shared" si="558"/>
        <v>#N/A</v>
      </c>
      <c r="DS338" s="30" t="e">
        <f t="shared" si="610"/>
        <v>#N/A</v>
      </c>
      <c r="DT338" s="30" t="e">
        <f t="shared" si="611"/>
        <v>#N/A</v>
      </c>
      <c r="DU338" s="31" t="e">
        <f>IF(OR(Hypothèses!$B$4=17,Hypothèses!$B$4=18,Hypothèses!$B$4=19,Hypothèses!$B$4=20),
IF($D338="Pressio.",
IF(OR($E338=3,$E338=1,$E338=4),DT338,DS338),
IF($D338="Pénétro.",
IF(OR($E338=3,$E338=1,$E338=4),DT338,DS338))),IF($D338="Pressio.",
IF($E338=3,DT338,DS338),
IF($D338="Pénétro.",
IF($E338=4,DT338,DS338))))</f>
        <v>#N/A</v>
      </c>
      <c r="DV338" s="31" t="e">
        <f>(IF(OR(Hypothèses!$B$4=17,Hypothèses!$B$4=18,Hypothèses!$B$4=19,Hypothèses!$B$4=20),
IF($D338="Pressio.",
IF(OR($E338=3,$E338=1,$E338=4),(PI()*DV$12^2)/4*(DR338*$W338*1000)/($H338*$B$5),(PI()*DV$12^2)/4*(DR338*$W338*1000)/($G338*$B$5)),
IF($D338="Pénétro.",
IF(OR($E338=4,$E338=1,$E338=5),(PI()*DV$12^2)/4*(DR338*$W338*1000)/($H338*$B$5),(PI()*DV$12^2)/4*(DR338*$W338*1000)/($G338*$B$5)))),
IF($D338="Pressio.",
IF($E338=3,(PI()*DV$12^2)/4*(DR338*$W338*1000)/($H338*$B$5),(PI()*DV$12^2)/4*(DR338*$W338*1000)/($G338*$B$5)),
IF($D338="Pénétro.",
IF($E338=4,(PI()*DV$12^2)/4*(DR338*$W338*1000)/($H338*$B$5),(PI()*DV$12^2)/4*(DR338*$W338*1000)/($G338*$B$5))))))/10</f>
        <v>#N/A</v>
      </c>
      <c r="DW338" s="102" t="e">
        <f>(VLOOKUP($B$3,'Coeff EC7'!$T$39:$X$59,2,0)*DU338+VLOOKUP($B$3,'Coeff EC7'!$T$65:$X$85,2,0)*Model0.1C!DV338)/1.1</f>
        <v>#N/A</v>
      </c>
      <c r="DX338" s="102" t="e">
        <f>(VLOOKUP($B$3,'Coeff EC7'!$T$39:$X$59,3,0)*DU338+VLOOKUP($B$3,'Coeff EC7'!$T$65:$X$85,3,0)*Model0.1C!DV338)/0.9</f>
        <v>#N/A</v>
      </c>
      <c r="DY338" s="102" t="e">
        <f t="shared" si="590"/>
        <v>#N/A</v>
      </c>
      <c r="DZ338" s="102" t="e">
        <f t="shared" si="591"/>
        <v>#N/A</v>
      </c>
      <c r="EA338" s="414" t="e">
        <f>IF(EA337=0,0,IF(AND(DW338&gt;charge_ELS_quasi,DX338&gt;Charge_ELS_freq,DY338&gt;charge_ELU,DZ338&gt;charge_ELA,$B338&gt;NDC!$H$22-0.1+MIN(3*$EA$12,1.5)),0,1))</f>
        <v>#N/A</v>
      </c>
      <c r="EB338" s="86" t="b">
        <f t="shared" si="559"/>
        <v>0</v>
      </c>
      <c r="EC338" s="418">
        <f t="shared" si="560"/>
        <v>0.51</v>
      </c>
      <c r="ED338" s="86">
        <f t="shared" si="561"/>
        <v>0.51</v>
      </c>
      <c r="EE338" s="30" t="e">
        <f t="shared" ca="1" si="592"/>
        <v>#DIV/0!</v>
      </c>
      <c r="EF338" s="85" t="e">
        <f ca="1">IF(DL338&lt;=Hypothèses!$V$7,Hypothèses!$W$7,IF(DL338&lt;=Hypothèses!$V$8,Hypothèses!$W$8,IF(DL338&lt;=Hypothèses!$V$9,Hypothèses!$W$9,IF(DL338&lt;=Hypothèses!$V$10,Hypothèses!$W$10,IF(DL338&lt;=Hypothèses!$V$11,Hypothèses!$W$11,IF(DL338&lt;=Hypothèses!$V$12,Hypothèses!$W$12,IF(DL338&lt;=Hypothèses!$V$13,Hypothèses!$W$13,IF(DL338&lt;=Hypothèses!$V$14,Hypothèses!$W$14,IF(DL338&lt;=Hypothèses!$V$15,Hypothèses!$W$15,IF(DL338&lt;=Hypothèses!$V$16,Hypothèses!$W$16,IF(DL338&lt;=Hypothèses!$V$17,Hypothèses!$W$17,IF(DL338&lt;=Hypothèses!$V$18,Hypothèses!$W$18,""))))))))))))</f>
        <v>#DIV/0!</v>
      </c>
      <c r="EG338" s="87" t="e">
        <f t="shared" ca="1" si="622"/>
        <v>#DIV/0!</v>
      </c>
      <c r="EH338" s="88" t="e">
        <f ca="1">IF(DL338&lt;=Hypothèses!$V$7,Hypothèses!$X$7,IF(DL338&lt;=Hypothèses!$V$8,Hypothèses!$X$8,IF(DL338&lt;=Hypothèses!$V$9,Hypothèses!$X$9,IF(DL338&lt;=Hypothèses!$V$10,Hypothèses!$X$10,IF(DL338&lt;=Hypothèses!$V$11,Hypothèses!$X$11,IF(DL338&lt;=Hypothèses!$V$12,Hypothèses!$X$12,IF(DL338&lt;=Hypothèses!$V$13,Hypothèses!$X$13,IF(DL338&lt;=Hypothèses!$V$14,Hypothèses!$X$14,IF(DL338&lt;=Hypothèses!$V$15,Hypothèses!$X$15,IF(DL338&lt;=Hypothèses!$V$16,Hypothèses!$X$16,IF(DL338&lt;=Hypothèses!$U$17,Hypothèses!$W$17,IF(DL338&lt;=Hypothèses!$U$18,Hypothèses!$W$18,""))))))))))))</f>
        <v>#DIV/0!</v>
      </c>
      <c r="EI338" s="95" t="e">
        <f t="shared" ca="1" si="593"/>
        <v>#DIV/0!</v>
      </c>
      <c r="EJ338" s="101" t="e">
        <f t="shared" ref="EJ338:EJ363" si="629">IF($I338=0,0,
IF(EI338&gt;5*EN$12,$I338,
IF($D338="Pressio.",1+($I338-1)*(EI338/EN$12)/5,
IF($D338="Pénétro.",IF($E338=1,0.3+($I338-0.3)*(EI338/EN$12)/5,
IF($E338=2,0.2+($I338-0.2)*(EI338/EN$12)/5,
IF($E338=3,0.1+($I338-0.1)*(EI338/EN$12)/5,
0.15+($I338-0.15)*(EI338/EN$12)/5)))))))</f>
        <v>#N/A</v>
      </c>
      <c r="EK338" s="91" t="e">
        <f t="shared" si="562"/>
        <v>#N/A</v>
      </c>
      <c r="EL338" s="30" t="e">
        <f t="shared" si="612"/>
        <v>#N/A</v>
      </c>
      <c r="EM338" s="30" t="e">
        <f t="shared" si="613"/>
        <v>#N/A</v>
      </c>
      <c r="EN338" s="31" t="e">
        <f>IF(OR(Hypothèses!$B$4=17,Hypothèses!$B$4=18,Hypothèses!$B$4=19,Hypothèses!$B$4=20),
IF($D338="Pressio.",
IF(OR($E338=3,$E338=1,$E338=4),EM338,EL338),
IF($D338="Pénétro.",
IF(OR($E338=3,$E338=1,$E338=4),EM338,EL338))),IF($D338="Pressio.",
IF($E338=3,EM338,EL338),
IF($D338="Pénétro.",
IF($E338=4,EM338,EL338))))</f>
        <v>#N/A</v>
      </c>
      <c r="EO338" s="31" t="e">
        <f>(IF(OR(Hypothèses!$B$4=17,Hypothèses!$B$4=18,Hypothèses!$B$4=19,Hypothèses!$B$4=20),
IF($D338="Pressio.",
IF(OR($E338=3,$E338=1,$E338=4),(PI()*EO$12^2)/4*(EK338*$W338*1000)/($H338*$B$5),(PI()*EO$12^2)/4*(EK338*$W338*1000)/($G338*$B$5)),
IF($D338="Pénétro.",
IF(OR($E338=4,$E338=1,$E338=5),(PI()*EO$12^2)/4*(EK338*$W338*1000)/($H338*$B$5),(PI()*EO$12^2)/4*(EK338*$W338*1000)/($G338*$B$5)))),
IF($D338="Pressio.",
IF($E338=3,(PI()*EO$12^2)/4*(EK338*$W338*1000)/($H338*$B$5),(PI()*EO$12^2)/4*(EK338*$W338*1000)/($G338*$B$5)),
IF($D338="Pénétro.",
IF($E338=4,(PI()*EO$12^2)/4*(EK338*$W338*1000)/($H338*$B$5),(PI()*EO$12^2)/4*(EK338*$W338*1000)/($G338*$B$5))))))/10</f>
        <v>#N/A</v>
      </c>
      <c r="EP338" s="102" t="e">
        <f>(VLOOKUP($B$3,'Coeff EC7'!$T$39:$X$59,2,0)*EN338+VLOOKUP($B$3,'Coeff EC7'!$T$65:$X$85,2,0)*Model0.1C!EO338)/1.1</f>
        <v>#N/A</v>
      </c>
      <c r="EQ338" s="102" t="e">
        <f>(VLOOKUP($B$3,'Coeff EC7'!$T$39:$X$59,3,0)*EN338+VLOOKUP($B$3,'Coeff EC7'!$T$65:$X$85,3,0)*Model0.1C!EO338)/0.9</f>
        <v>#N/A</v>
      </c>
      <c r="ER338" s="102" t="e">
        <f t="shared" si="594"/>
        <v>#N/A</v>
      </c>
      <c r="ES338" s="102" t="e">
        <f t="shared" si="595"/>
        <v>#N/A</v>
      </c>
      <c r="ET338" s="414" t="e">
        <f>IF(ET337=0,0,IF(AND(EP338&gt;charge_ELS_quasi,EQ338&gt;Charge_ELS_freq,ER338&gt;charge_ELU,ES338&gt;charge_ELA,$B338&gt;NDC!$H$22-0.1+MIN(3*$ET$12,1.5)),0,1))</f>
        <v>#N/A</v>
      </c>
      <c r="EU338" s="86" t="b">
        <f t="shared" si="563"/>
        <v>0</v>
      </c>
      <c r="EV338" s="86">
        <f t="shared" si="564"/>
        <v>0.61</v>
      </c>
      <c r="EW338" s="86">
        <f t="shared" si="565"/>
        <v>0.61</v>
      </c>
      <c r="EX338" s="30" t="e">
        <f t="shared" ca="1" si="596"/>
        <v>#DIV/0!</v>
      </c>
      <c r="EY338" s="85" t="e">
        <f ca="1">IF(EE338&lt;=Hypothèses!$V$7,Hypothèses!$W$7,IF(EE338&lt;=Hypothèses!$V$8,Hypothèses!$W$8,IF(EE338&lt;=Hypothèses!$V$9,Hypothèses!$W$9,IF(EE338&lt;=Hypothèses!$V$10,Hypothèses!$W$10,IF(EE338&lt;=Hypothèses!$V$11,Hypothèses!$W$11,IF(EE338&lt;=Hypothèses!$V$12,Hypothèses!$W$12,IF(EE338&lt;=Hypothèses!$V$13,Hypothèses!$W$13,IF(EE338&lt;=Hypothèses!$V$14,Hypothèses!$W$14,IF(EE338&lt;=Hypothèses!$V$15,Hypothèses!$W$15,IF(EE338&lt;=Hypothèses!$V$16,Hypothèses!$W$16,IF(EE338&lt;=Hypothèses!$V$17,Hypothèses!$W$17,IF(EE338&lt;=Hypothèses!$V$18,Hypothèses!$W$18,""))))))))))))</f>
        <v>#DIV/0!</v>
      </c>
      <c r="EZ338" s="87" t="e">
        <f t="shared" ca="1" si="623"/>
        <v>#DIV/0!</v>
      </c>
      <c r="FA338" s="88" t="e">
        <f ca="1">IF(EE338&lt;=Hypothèses!$V$7,Hypothèses!$X$7,IF(EE338&lt;=Hypothèses!$V$8,Hypothèses!$X$8,IF(EE338&lt;=Hypothèses!$V$9,Hypothèses!$X$9,IF(EE338&lt;=Hypothèses!$V$10,Hypothèses!$X$10,IF(EE338&lt;=Hypothèses!$V$11,Hypothèses!$X$11,IF(EE338&lt;=Hypothèses!$V$12,Hypothèses!$X$12,IF(EE338&lt;=Hypothèses!$V$13,Hypothèses!$X$13,IF(EE338&lt;=Hypothèses!$V$14,Hypothèses!$X$14,IF(EE338&lt;=Hypothèses!$V$15,Hypothèses!$X$15,IF(EE338&lt;=Hypothèses!$V$16,Hypothèses!$X$16,IF(EE338&lt;=Hypothèses!$U$17,Hypothèses!$W$17,IF(EE338&lt;=Hypothèses!$U$18,Hypothèses!$W$18,""))))))))))))</f>
        <v>#DIV/0!</v>
      </c>
      <c r="FB338" s="95" t="e">
        <f t="shared" ca="1" si="597"/>
        <v>#DIV/0!</v>
      </c>
      <c r="FC338" s="101" t="e">
        <f t="shared" ref="FC338:FC363" si="630">IF($I338=0,0,
IF(FB338&gt;5*FG$12,$I338,
IF($D338="Pressio.",1+($I338-1)*(FB338/FG$12)/5,
IF($D338="Pénétro.",IF($E338=1,0.3+($I338-0.3)*(FB338/FG$12)/5,
IF($E338=2,0.2+($I338-0.2)*(FB338/FG$12)/5,
IF($E338=3,0.1+($I338-0.1)*(FB338/FG$12)/5,
0.15+($I338-0.15)*(FB338/FG$12)/5)))))))</f>
        <v>#N/A</v>
      </c>
      <c r="FD338" s="91" t="e">
        <f t="shared" si="566"/>
        <v>#N/A</v>
      </c>
      <c r="FE338" s="30" t="e">
        <f t="shared" si="614"/>
        <v>#N/A</v>
      </c>
      <c r="FF338" s="30" t="e">
        <f t="shared" si="615"/>
        <v>#N/A</v>
      </c>
      <c r="FG338" s="31" t="e">
        <f>IF(OR(Hypothèses!$B$4=17,Hypothèses!$B$4=18,Hypothèses!$B$4=19,Hypothèses!$B$4=20),
IF($D338="Pressio.",
IF(OR($E338=3,$E338=1,$E338=4),FF338,FE338),
IF($D338="Pénétro.",
IF(OR($E338=3,$E338=1,$E338=4),FF338,FE338))),IF($D338="Pressio.",
IF($E338=3,FF338,FE338),
IF($D338="Pénétro.",
IF($E338=4,FF338,FE338))))</f>
        <v>#N/A</v>
      </c>
      <c r="FH338" s="31" t="e">
        <f>(IF(OR(Hypothèses!$B$4=17,Hypothèses!$B$4=18,Hypothèses!$B$4=19,Hypothèses!$B$4=20),
IF($D338="Pressio.",
IF(OR($E338=3,$E338=1,$E338=4),(PI()*FH$12^2)/4*(FD338*$W338*1000)/($H338*$B$5),(PI()*FH$12^2)/4*(FD338*$W338*1000)/($G338*$B$5)),
IF($D338="Pénétro.",
IF(OR($E338=4,$E338=1,$E338=5),(PI()*FH$12^2)/4*(FD338*$W338*1000)/($H338*$B$5),(PI()*FH$12^2)/4*(FD338*$W338*1000)/($G338*$B$5)))),
IF($D338="Pressio.",
IF($E338=3,(PI()*FH$12^2)/4*(FD338*$W338*1000)/($H338*$B$5),(PI()*FH$12^2)/4*(FD338*$W338*1000)/($G338*$B$5)),
IF($D338="Pénétro.",
IF($E338=4,(PI()*FH$12^2)/4*(FD338*$W338*1000)/($H338*$B$5),(PI()*FH$12^2)/4*(FD338*$W338*1000)/($G338*$B$5))))))/10</f>
        <v>#N/A</v>
      </c>
      <c r="FI338" s="102" t="e">
        <f>(VLOOKUP($B$3,'Coeff EC7'!$T$39:$X$59,2,0)*FG338+VLOOKUP($B$3,'Coeff EC7'!$T$65:$X$85,2,0)*Model0.1C!FH338)/1.1</f>
        <v>#N/A</v>
      </c>
      <c r="FJ338" s="102" t="e">
        <f>(VLOOKUP($B$3,'Coeff EC7'!$T$39:$X$59,3,0)*FG338+VLOOKUP($B$3,'Coeff EC7'!$T$65:$X$85,3,0)*Model0.1C!FH338)/0.9</f>
        <v>#N/A</v>
      </c>
      <c r="FK338" s="102" t="e">
        <f t="shared" si="598"/>
        <v>#N/A</v>
      </c>
      <c r="FL338" s="102" t="e">
        <f t="shared" si="599"/>
        <v>#N/A</v>
      </c>
      <c r="FM338" s="414" t="e">
        <f>IF(FM337=0,0,IF(AND(FI338&gt;charge_ELS_quasi,FJ338&gt;Charge_ELS_freq,FK338&gt;charge_ELU,FL338&gt;charge_ELA,$B338&gt;NDC!$H$22-0.1+MIN(3*$FM$12,1.5)),0,1))</f>
        <v>#N/A</v>
      </c>
    </row>
    <row r="339" spans="1:169">
      <c r="A339" s="96">
        <f t="shared" si="567"/>
        <v>67.400000000001853</v>
      </c>
      <c r="B339" s="97">
        <v>32.6</v>
      </c>
      <c r="C339" s="81">
        <f>IF(B339&lt;=Hypothèses!$C$7,Hypothèses!$A$7,IF(B339&lt;=Hypothèses!$C$8,Hypothèses!$A$8,IF(B339&lt;=Hypothèses!$C$9,Hypothèses!$A$9,IF(B339&lt;=Hypothèses!$C$10,Hypothèses!$A$10,IF(B339&lt;=Hypothèses!$C$11,Hypothèses!$A$11,IF(B339&lt;=Hypothèses!$C$12,Hypothèses!$A$12,IF(B339&lt;=Hypothèses!$C$13,Hypothèses!$A$13,IF(B339&lt;=Hypothèses!$C$14,Hypothèses!$A$14,IF(B339&lt;=Hypothèses!$C$15,Hypothèses!$A$15,IF(B339&lt;=Hypothèses!$C$16,Hypothèses!$A$16,IF(B339&lt;=Hypothèses!$C$17,Hypothèses!$A$17,IF(B339&lt;=Hypothèses!$C$18,Hypothèses!$A$18,C338))))))))))))</f>
        <v>11</v>
      </c>
      <c r="D339" s="82" t="str">
        <f>IF(B339&lt;=Hypothèses!$C$7,Hypothèses!$R$7,IF(B339&lt;=Hypothèses!$C$8,Hypothèses!$R$8,IF(B339&lt;=Hypothèses!$C$9,Hypothèses!$R$9,IF(B339&lt;=Hypothèses!$C$10,Hypothèses!$R$10,IF(B339&lt;=Hypothèses!$C$11,Hypothèses!$R$11,IF(B339&lt;=Hypothèses!$C$12,Hypothèses!$R$12,IF(B339&lt;=Hypothèses!$C$13,Hypothèses!$R$13,IF(B339&lt;=Hypothèses!$C$14,Hypothèses!$R$14,IF(B339&lt;=Hypothèses!$C$15,Hypothèses!$R$15,IF(B339&lt;=Hypothèses!$C$16,Hypothèses!$R$16,IF(B339&lt;=Hypothèses!$C$17,Hypothèses!$R$17,IF(B339&lt;=Hypothèses!$C$18,Hypothèses!$R$18,D338))))))))))))</f>
        <v>Pressio.</v>
      </c>
      <c r="E339" s="82" t="e">
        <f>IF(B339&lt;=Hypothèses!$C$7,Hypothèses!$G$7,IF(B339&lt;=Hypothèses!$C$8,Hypothèses!$G$8,IF(B339&lt;=Hypothèses!$C$9,Hypothèses!$G$9,IF(B339&lt;=Hypothèses!$C$10,Hypothèses!$G$10,IF(B339&lt;=Hypothèses!$C$11,Hypothèses!$G$11,IF(B339&lt;=Hypothèses!$C$12,Hypothèses!$G$12,IF(B339&lt;=Hypothèses!$C$13,Hypothèses!$G$13,IF(B339&lt;=Hypothèses!$C$14,Hypothèses!$G$14,IF(B339&lt;=Hypothèses!$C$15,Hypothèses!$G$15,IF(B339&lt;=Hypothèses!$C$16,Hypothèses!$G$16,IF(B339&lt;=Hypothèses!$C$17,Hypothèses!$G$17,IF(B339&lt;=Hypothèses!$C$18,Hypothèses!$G$18,E338))))))))))))</f>
        <v>#N/A</v>
      </c>
      <c r="F339" s="82" t="str">
        <f>IF(B339&lt;=Hypothèses!$C$7,Hypothèses!$F$7,IF(B339&lt;=Hypothèses!$C$8,Hypothèses!$F$8,IF(B339&lt;=Hypothèses!$C$9,Hypothèses!$F$9,IF(B339&lt;=Hypothèses!$C$10,Hypothèses!$F$10,IF(B339&lt;=Hypothèses!$C$11,Hypothèses!$F$11,IF(B339&lt;=Hypothèses!$C$12,Hypothèses!$F$12,IF(B339&lt;=Hypothèses!$C$13,Hypothèses!$F$13,IF(B339&lt;=Hypothèses!$C$14,Hypothèses!$F$14,IF(B339&lt;=Hypothèses!$C$15,Hypothèses!$F$15,IF(B339&lt;=Hypothèses!$C$16,Hypothèses!$F$16,IF(B339&lt;=Hypothèses!$C$17,Hypothèses!$F$17,IF(B339&lt;=Hypothèses!$C$18,Hypothèses!$F$18,F338))))))))))))</f>
        <v/>
      </c>
      <c r="G339" s="91">
        <f t="array" ref="G339">INDEX('Coeff EC7'!$U$7:$X$27,
MATCH(Model0.1C!$B$3,'Coeff EC7'!$T$7:$T$27,0),
MATCH(Model0.1C!$D339&amp;Model0.1C!$B$4,
'Coeff EC7'!$U$6:$X$6&amp;
'Coeff EC7'!$U$5:$X$5,0))</f>
        <v>1.1499999999999999</v>
      </c>
      <c r="H339" s="91">
        <f t="array" ref="H339">INDEX('Coeff EC7'!$Y$7:$AB$27,
MATCH(Model0.1C!$B$3,'Coeff EC7'!$T$7:$T$27,0),
MATCH(Model0.1C!$D339&amp;Model0.1C!$B$4,
'Coeff EC7'!$Y$6:$AB$6&amp;
'Coeff EC7'!$Y$5:$AB$5,0))</f>
        <v>1.4</v>
      </c>
      <c r="I339" s="83" t="e">
        <f>IF(B339&lt;=Hypothèses!$C$7,Hypothèses!$P$7,IF(B339&lt;=Hypothèses!$C$8,Hypothèses!$P$8,IF(B339&lt;=Hypothèses!$C$9,Hypothèses!$P$9,IF(B339&lt;=Hypothèses!$C$10,Hypothèses!$P$10,IF(B339&lt;=Hypothèses!$C$11,Hypothèses!$P$11,IF(B339&lt;=Hypothèses!$C$12,Hypothèses!$P$12,IF(B339&lt;=Hypothèses!$C$13,Hypothèses!$P$13,IF(B339&lt;=Hypothèses!$C$14,Hypothèses!$P$14,IF(B339&lt;=Hypothèses!$C$15,Hypothèses!$P$15,IF(B339&lt;=Hypothèses!$C$16,Hypothèses!$P$16,IF(B339&lt;=Hypothèses!$C$17,Hypothèses!$P$17,IF(B339&lt;=Hypothèses!$C$18,Hypothèses!$P$18,I338))))))))))))</f>
        <v>#N/A</v>
      </c>
      <c r="J339" s="91" t="e">
        <f t="array" ref="J339">INDEX('Coeff EC7'!$D$33:$Q$33,1,MATCH(D339&amp;E339,'Coeff EC7'!$D$31:$Q$31&amp;'Coeff EC7'!$D$32:$Q$32,0))</f>
        <v>#N/A</v>
      </c>
      <c r="K339" s="91" t="e">
        <f t="array" ref="K339">INDEX('Coeff EC7'!$D$34:$Q$34,1,MATCH(D339&amp;E339,'Coeff EC7'!$D$31:$Q$31&amp;'Coeff EC7'!$D$32:$Q$32,0))</f>
        <v>#N/A</v>
      </c>
      <c r="L339" s="91" t="e">
        <f t="array" ref="L339">INDEX('Coeff EC7'!$D$35:$Q$35,1,MATCH(D339&amp;E339,'Coeff EC7'!$D$31:$Q$31&amp;'Coeff EC7'!$D$32:$Q$32,0))</f>
        <v>#N/A</v>
      </c>
      <c r="M339" s="98" t="e">
        <f t="shared" si="531"/>
        <v>#N/A</v>
      </c>
      <c r="N339" s="99" t="e">
        <f t="array" ref="N339">INDEX('Coeff EC7'!$D$7:$Q$27,MATCH($B$3,'Coeff EC7'!$C$7:$C$27,0),MATCH(D339&amp;E339,'Coeff EC7'!$D$5:$Q$5&amp;'Coeff EC7'!$D$6:$Q$6,0))</f>
        <v>#N/A</v>
      </c>
      <c r="O339" s="99" t="e">
        <f t="array" ref="O339">INDEX('Coeff EC7'!$D$41:$Q$61,MATCH($B$3,'Coeff EC7'!$C$41:$C$61,0),MATCH(D339&amp;E339,'Coeff EC7'!$D$39:$Q$39&amp;'Coeff EC7'!$D$40:$Q$40,0))</f>
        <v>#N/A</v>
      </c>
      <c r="P339" s="30" t="e">
        <f t="shared" si="568"/>
        <v>#N/A</v>
      </c>
      <c r="Q339" s="100" t="e">
        <f t="shared" si="533"/>
        <v>#N/A</v>
      </c>
      <c r="R339" s="86" t="b">
        <f t="shared" si="534"/>
        <v>0</v>
      </c>
      <c r="S339" s="86">
        <f t="shared" si="532"/>
        <v>0.5</v>
      </c>
      <c r="T339" s="86">
        <f t="shared" si="535"/>
        <v>0.5</v>
      </c>
      <c r="U339" s="30" t="e">
        <f t="shared" ca="1" si="569"/>
        <v>#DIV/0!</v>
      </c>
      <c r="V339" s="85" t="str">
        <f>IF(B339&lt;=Hypothèses!$V$7,Hypothèses!$W$7,IF(B339&lt;=Hypothèses!$V$8,Hypothèses!$W$8,IF(B339&lt;=Hypothèses!$V$9,Hypothèses!$W$9,IF(B339&lt;=Hypothèses!$V$10,Hypothèses!$W$10,IF(B339&lt;=Hypothèses!$V$11,Hypothèses!$W$11,IF(B339&lt;=Hypothèses!$V$12,Hypothèses!$W$12,IF(B339&lt;=Hypothèses!$V$13,Hypothèses!$W$13,IF(B339&lt;=Hypothèses!$V$14,Hypothèses!$W$14,IF(B339&lt;=Hypothèses!$V$15,Hypothèses!$W$15,IF(B339&lt;=Hypothèses!$V$16,Hypothèses!$W$16,IF(B339&lt;=Hypothèses!$V$17,Hypothèses!$W$17,IF(B339&lt;=Hypothèses!$V$18,Hypothèses!$W$18,""))))))))))))</f>
        <v/>
      </c>
      <c r="W339" s="87" t="e">
        <f t="shared" ca="1" si="616"/>
        <v>#DIV/0!</v>
      </c>
      <c r="X339" s="88" t="str">
        <f>IF(B339&lt;=Hypothèses!$V$7,Hypothèses!$X$7,IF(B339&lt;=Hypothèses!$V$8,Hypothèses!$X$8,IF(B339&lt;=Hypothèses!$V$9,Hypothèses!$X$9,IF(B339&lt;=Hypothèses!$V$10,Hypothèses!$X$10,IF(B339&lt;=Hypothèses!$V$11,Hypothèses!$X$11,IF(B339&lt;=Hypothèses!$V$12,Hypothèses!$X$12,IF(B339&lt;=Hypothèses!$V$13,Hypothèses!$X$13,IF(B339&lt;=Hypothèses!$V$14,Hypothèses!$X$14,IF(B339&lt;=Hypothèses!$V$15,Hypothèses!$X$15,IF(B339&lt;=Hypothèses!$V$16,Hypothèses!$X$16,IF(B339&lt;=Hypothèses!$U$17,Hypothèses!$W$17,IF(B339&lt;=Hypothèses!$U$18,Hypothèses!$W$18,""))))))))))))</f>
        <v/>
      </c>
      <c r="Y339" s="95" t="e">
        <f t="shared" ca="1" si="536"/>
        <v>#DIV/0!</v>
      </c>
      <c r="Z339" s="101" t="e">
        <f t="shared" si="537"/>
        <v>#N/A</v>
      </c>
      <c r="AA339" s="91" t="e">
        <f t="shared" si="538"/>
        <v>#N/A</v>
      </c>
      <c r="AB339" s="30" t="e">
        <f t="shared" si="600"/>
        <v>#N/A</v>
      </c>
      <c r="AC339" s="30" t="e">
        <f t="shared" si="601"/>
        <v>#N/A</v>
      </c>
      <c r="AD339" s="31" t="e">
        <f>IF(OR(Hypothèses!$B$4=17,Hypothèses!$B$4=18,Hypothèses!$B$4=19,Hypothèses!$B$4=20),
IF($D339="Pressio.",
IF(OR($E339=3,$E339=1,$E339=4),AC339,AB339),
IF($D339="Pénétro.",
IF(OR($E339=3,$E339=1,$E339=4),AC339,AB339))),IF($D339="Pressio.",
IF($E339=3,AC339,AB339),
IF($D339="Pénétro.",
IF($E339=4,AC339,AB339))))</f>
        <v>#N/A</v>
      </c>
      <c r="AE339" s="31" t="e">
        <f>(IF(OR(Hypothèses!$B$4=17,Hypothèses!$B$4=18,Hypothèses!$B$4=19,Hypothèses!$B$4=20),
IF($D339="Pressio.",
IF(OR($E339=3,$E339=1,$E339=4),(PI()*AE$12^2)/4*(AA339*$W339*1000)/($H339*$B$5),(PI()*AE$12^2)/4*(AA339*$W339*1000)/($G339*$B$5)),
IF($D339="Pénétro.",
IF(OR($E339=4,$E339=1,$E339=5),(PI()*AE$12^2)/4*(AA339*$W339*1000)/($H339*$B$5),(PI()*AE$12^2)/4*(AA339*$W339*1000)/($G339*$B$5)))),
IF($D339="Pressio.",
IF($E339=3,(PI()*AE$12^2)/4*(AA339*$W339*1000)/($H339*$B$5),(PI()*AE$12^2)/4*(AA339*$W339*1000)/($G339*$B$5)),
IF($D339="Pénétro.",
IF($E339=4,(PI()*AE$12^2)/4*(AA339*$W339*1000)/($H339*$B$5),(PI()*AE$12^2)/4*(AA339*$W339*1000)/($G339*$B$5))))))/10</f>
        <v>#N/A</v>
      </c>
      <c r="AF339" s="102" t="e">
        <f>(VLOOKUP($B$3,'Coeff EC7'!$T$39:$X$59,2,0)*AD339+VLOOKUP($B$3,'Coeff EC7'!$T$65:$X$85,2,0)*Model0.1C!AE339)/1.1</f>
        <v>#N/A</v>
      </c>
      <c r="AG339" s="102" t="e">
        <f>(VLOOKUP($B$3,'Coeff EC7'!$T$39:$X$59,3,0)*AD339+VLOOKUP($B$3,'Coeff EC7'!$T$65:$X$85,3,0)*Model0.1C!AE339)/0.9</f>
        <v>#N/A</v>
      </c>
      <c r="AH339" s="102" t="e">
        <f t="shared" si="539"/>
        <v>#N/A</v>
      </c>
      <c r="AI339" s="102" t="e">
        <f t="shared" si="540"/>
        <v>#N/A</v>
      </c>
      <c r="AJ339" s="414" t="e">
        <f>IF(AJ338=0,0,IF(AND(AF339&gt;charge_ELS_quasi,AG339&gt;Charge_ELS_freq,AH339&gt;charge_ELU,AI339&gt;charge_ELA,$B339&gt;NDC!$H$22-0.1+MIN(3*$AJ$12,1.5)),0,1))</f>
        <v>#N/A</v>
      </c>
      <c r="AK339" s="86" t="b">
        <f t="shared" si="541"/>
        <v>0</v>
      </c>
      <c r="AL339" s="86">
        <f t="shared" si="570"/>
        <v>0.5</v>
      </c>
      <c r="AM339" s="86">
        <f t="shared" si="542"/>
        <v>0.5</v>
      </c>
      <c r="AN339" s="30" t="e">
        <f t="shared" ca="1" si="571"/>
        <v>#DIV/0!</v>
      </c>
      <c r="AO339" s="85" t="e">
        <f ca="1">IF(U339&lt;=Hypothèses!$V$7,Hypothèses!$W$7,IF(U339&lt;=Hypothèses!$V$8,Hypothèses!$W$8,IF(U339&lt;=Hypothèses!$V$9,Hypothèses!$W$9,IF(U339&lt;=Hypothèses!$V$10,Hypothèses!$W$10,IF(U339&lt;=Hypothèses!$V$11,Hypothèses!$W$11,IF(U339&lt;=Hypothèses!$V$12,Hypothèses!$W$12,IF(U339&lt;=Hypothèses!$V$13,Hypothèses!$W$13,IF(U339&lt;=Hypothèses!$V$14,Hypothèses!$W$14,IF(U339&lt;=Hypothèses!$V$15,Hypothèses!$W$15,IF(U339&lt;=Hypothèses!$V$16,Hypothèses!$W$16,IF(U339&lt;=Hypothèses!$V$17,Hypothèses!$W$17,IF(U339&lt;=Hypothèses!$V$18,Hypothèses!$W$18,""))))))))))))</f>
        <v>#DIV/0!</v>
      </c>
      <c r="AP339" s="87" t="e">
        <f t="shared" ca="1" si="617"/>
        <v>#DIV/0!</v>
      </c>
      <c r="AQ339" s="88" t="e">
        <f ca="1">IF(U339&lt;=Hypothèses!$V$7,Hypothèses!$X$7,IF(U339&lt;=Hypothèses!$V$8,Hypothèses!$X$8,IF(U339&lt;=Hypothèses!$V$9,Hypothèses!$X$9,IF(U339&lt;=Hypothèses!$V$10,Hypothèses!$X$10,IF(U339&lt;=Hypothèses!$V$11,Hypothèses!$X$11,IF(U339&lt;=Hypothèses!$V$12,Hypothèses!$X$12,IF(U339&lt;=Hypothèses!$V$13,Hypothèses!$X$13,IF(U339&lt;=Hypothèses!$V$14,Hypothèses!$X$14,IF(U339&lt;=Hypothèses!$V$15,Hypothèses!$X$15,IF(U339&lt;=Hypothèses!$V$16,Hypothèses!$X$16,IF(U339&lt;=Hypothèses!$U$17,Hypothèses!$W$17,IF(U339&lt;=Hypothèses!$U$18,Hypothèses!$W$18,""))))))))))))</f>
        <v>#DIV/0!</v>
      </c>
      <c r="AR339" s="95" t="e">
        <f t="shared" ca="1" si="572"/>
        <v>#DIV/0!</v>
      </c>
      <c r="AS339" s="101" t="e">
        <f t="shared" si="624"/>
        <v>#N/A</v>
      </c>
      <c r="AT339" s="91" t="e">
        <f t="shared" si="543"/>
        <v>#N/A</v>
      </c>
      <c r="AU339" s="30" t="e">
        <f t="shared" si="602"/>
        <v>#N/A</v>
      </c>
      <c r="AV339" s="30" t="e">
        <f t="shared" si="603"/>
        <v>#N/A</v>
      </c>
      <c r="AW339" s="31" t="e">
        <f>IF(OR(Hypothèses!$B$4=17,Hypothèses!$B$4=18,Hypothèses!$B$4=19,Hypothèses!$B$4=20),
IF($D339="Pressio.",
IF(OR($E339=3,$E339=1,$E339=4),AV339,AU339),
IF($D339="Pénétro.",
IF(OR($E339=3,$E339=1,$E339=4),AV339,AU339))),IF($D339="Pressio.",
IF($E339=3,AV339,AU339),
IF($D339="Pénétro.",
IF($E339=4,AV339,AU339))))</f>
        <v>#N/A</v>
      </c>
      <c r="AX339" s="31" t="e">
        <f>(IF(OR(Hypothèses!$B$4=17,Hypothèses!$B$4=18,Hypothèses!$B$4=19,Hypothèses!$B$4=20),
IF($D339="Pressio.",
IF(OR($E339=3,$E339=1,$E339=4),(PI()*AX$12^2)/4*(AT339*$W339*1000)/($H339*$B$5),(PI()*AX$12^2)/4*(AT339*$W339*1000)/($G339*$B$5)),
IF($D339="Pénétro.",
IF(OR($E339=4,$E339=1,$E339=5),(PI()*AX$12^2)/4*(AT339*$W339*1000)/($H339*$B$5),(PI()*AX$12^2)/4*(AT339*$W339*1000)/($G339*$B$5)))),
IF($D339="Pressio.",
IF($E339=3,(PI()*AX$12^2)/4*(AT339*$W339*1000)/($H339*$B$5),(PI()*AX$12^2)/4*(AT339*$W339*1000)/($G339*$B$5)),
IF($D339="Pénétro.",
IF($E339=4,(PI()*AX$12^2)/4*(AT339*$W339*1000)/($H339*$B$5),(PI()*AX$12^2)/4*(AT339*$W339*1000)/($G339*$B$5))))))/10</f>
        <v>#N/A</v>
      </c>
      <c r="AY339" s="102" t="e">
        <f>(VLOOKUP($B$3,'Coeff EC7'!$T$39:$X$59,2,0)*AW339+VLOOKUP($B$3,'Coeff EC7'!$T$65:$X$85,2,0)*Model0.1C!AX339)/1.1</f>
        <v>#N/A</v>
      </c>
      <c r="AZ339" s="102" t="e">
        <f>(VLOOKUP($B$3,'Coeff EC7'!$T$39:$X$59,3,0)*AW339+VLOOKUP($B$3,'Coeff EC7'!$T$65:$X$85,3,0)*Model0.1C!AX339)/0.9</f>
        <v>#N/A</v>
      </c>
      <c r="BA339" s="102" t="e">
        <f t="shared" si="573"/>
        <v>#N/A</v>
      </c>
      <c r="BB339" s="102" t="e">
        <f t="shared" si="574"/>
        <v>#N/A</v>
      </c>
      <c r="BC339" s="414" t="e">
        <f>IF(BC338=0,0,IF(AND(AY339&gt;charge_ELS_quasi,AZ339&gt;Charge_ELS_freq,BA339&gt;charge_ELU,BB339&gt;charge_ELA,$B339&gt;NDC!$H$22-0.1+MIN(3*$BC$12,1.5)),0,1))</f>
        <v>#N/A</v>
      </c>
      <c r="BD339" s="86" t="b">
        <f t="shared" si="544"/>
        <v>0</v>
      </c>
      <c r="BE339" s="86">
        <f t="shared" si="575"/>
        <v>0.5</v>
      </c>
      <c r="BF339" s="86">
        <f t="shared" si="545"/>
        <v>0.5</v>
      </c>
      <c r="BG339" s="30" t="e">
        <f t="shared" ca="1" si="576"/>
        <v>#DIV/0!</v>
      </c>
      <c r="BH339" s="85" t="e">
        <f ca="1">IF(AN339&lt;=Hypothèses!$V$7,Hypothèses!$W$7,IF(AN339&lt;=Hypothèses!$V$8,Hypothèses!$W$8,IF(AN339&lt;=Hypothèses!$V$9,Hypothèses!$W$9,IF(AN339&lt;=Hypothèses!$V$10,Hypothèses!$W$10,IF(AN339&lt;=Hypothèses!$V$11,Hypothèses!$W$11,IF(AN339&lt;=Hypothèses!$V$12,Hypothèses!$W$12,IF(AN339&lt;=Hypothèses!$V$13,Hypothèses!$W$13,IF(AN339&lt;=Hypothèses!$V$14,Hypothèses!$W$14,IF(AN339&lt;=Hypothèses!$V$15,Hypothèses!$W$15,IF(AN339&lt;=Hypothèses!$V$16,Hypothèses!$W$16,IF(AN339&lt;=Hypothèses!$V$17,Hypothèses!$W$17,IF(AN339&lt;=Hypothèses!$V$18,Hypothèses!$W$18,""))))))))))))</f>
        <v>#DIV/0!</v>
      </c>
      <c r="BI339" s="87" t="e">
        <f t="shared" ca="1" si="618"/>
        <v>#DIV/0!</v>
      </c>
      <c r="BJ339" s="88" t="e">
        <f ca="1">IF(AN339&lt;=Hypothèses!$V$7,Hypothèses!$X$7,IF(AN339&lt;=Hypothèses!$V$8,Hypothèses!$X$8,IF(AN339&lt;=Hypothèses!$V$9,Hypothèses!$X$9,IF(AN339&lt;=Hypothèses!$V$10,Hypothèses!$X$10,IF(AN339&lt;=Hypothèses!$V$11,Hypothèses!$X$11,IF(AN339&lt;=Hypothèses!$V$12,Hypothèses!$X$12,IF(AN339&lt;=Hypothèses!$V$13,Hypothèses!$X$13,IF(AN339&lt;=Hypothèses!$V$14,Hypothèses!$X$14,IF(AN339&lt;=Hypothèses!$V$15,Hypothèses!$X$15,IF(AN339&lt;=Hypothèses!$V$16,Hypothèses!$X$16,IF(AN339&lt;=Hypothèses!$U$17,Hypothèses!$W$17,IF(AN339&lt;=Hypothèses!$U$18,Hypothèses!$W$18,""))))))))))))</f>
        <v>#DIV/0!</v>
      </c>
      <c r="BK339" s="95" t="e">
        <f t="shared" ca="1" si="577"/>
        <v>#DIV/0!</v>
      </c>
      <c r="BL339" s="101" t="e">
        <f t="shared" si="625"/>
        <v>#N/A</v>
      </c>
      <c r="BM339" s="91" t="e">
        <f t="shared" si="546"/>
        <v>#N/A</v>
      </c>
      <c r="BN339" s="30" t="e">
        <f t="shared" si="604"/>
        <v>#N/A</v>
      </c>
      <c r="BO339" s="30" t="e">
        <f t="shared" si="605"/>
        <v>#N/A</v>
      </c>
      <c r="BP339" s="31" t="e">
        <f>IF(OR(Hypothèses!$B$4=17,Hypothèses!$B$4=18,Hypothèses!$B$4=19,Hypothèses!$B$4=20),
IF($D339="Pressio.",
IF(OR($E339=3,$E339=1,$E339=4),BO339,BN339),
IF($D339="Pénétro.",
IF(OR($E339=3,$E339=1,$E339=4),BO339,BN339))),IF($D339="Pressio.",
IF($E339=3,BO339,BN339),
IF($D339="Pénétro.",
IF($E339=4,BO339,BN339))))</f>
        <v>#N/A</v>
      </c>
      <c r="BQ339" s="31" t="e">
        <f>(IF(OR(Hypothèses!$B$4=17,Hypothèses!$B$4=18,Hypothèses!$B$4=19,Hypothèses!$B$4=20),
IF($D339="Pressio.",
IF(OR($E339=3,$E339=1,$E339=4),(PI()*BQ$12^2)/4*(BM339*$W339*1000)/($H339*$B$5),(PI()*BQ$12^2)/4*(BM339*$W339*1000)/($G339*$B$5)),
IF($D339="Pénétro.",
IF(OR($E339=4,$E339=1,$E339=5),(PI()*BQ$12^2)/4*(BM339*$W339*1000)/($H339*$B$5),(PI()*BQ$12^2)/4*(BM339*$W339*1000)/($G339*$B$5)))),
IF($D339="Pressio.",
IF($E339=3,(PI()*BQ$12^2)/4*(BM339*$W339*1000)/($H339*$B$5),(PI()*BQ$12^2)/4*(BM339*$W339*1000)/($G339*$B$5)),
IF($D339="Pénétro.",
IF($E339=4,(PI()*BQ$12^2)/4*(BM339*$W339*1000)/($H339*$B$5),(PI()*BQ$12^2)/4*(BM339*$W339*1000)/($G339*$B$5))))))/10</f>
        <v>#N/A</v>
      </c>
      <c r="BR339" s="102" t="e">
        <f>(VLOOKUP($B$3,'Coeff EC7'!$T$39:$X$59,2,0)*BP339+VLOOKUP($B$3,'Coeff EC7'!$T$65:$X$85,2,0)*Model0.1C!BQ339)/1.1</f>
        <v>#N/A</v>
      </c>
      <c r="BS339" s="102" t="e">
        <f>(VLOOKUP($B$3,'Coeff EC7'!$T$39:$X$59,3,0)*BP339+VLOOKUP($B$3,'Coeff EC7'!$T$65:$X$85,3,0)*Model0.1C!BQ339)/0.9</f>
        <v>#N/A</v>
      </c>
      <c r="BT339" s="102" t="e">
        <f t="shared" si="578"/>
        <v>#N/A</v>
      </c>
      <c r="BU339" s="102" t="e">
        <f t="shared" si="579"/>
        <v>#N/A</v>
      </c>
      <c r="BV339" s="414" t="e">
        <f>IF(BV338=0,0,IF(AND(BR339&gt;charge_ELS_quasi,BS339&gt;Charge_ELS_freq,BT339&gt;charge_ELU,BU339&gt;charge_ELA,$B339&gt;NDC!$H$22-0.1+MIN(3*$BV$12,1.5)),0,1))</f>
        <v>#N/A</v>
      </c>
      <c r="BW339" s="86" t="b">
        <f t="shared" si="547"/>
        <v>0</v>
      </c>
      <c r="BX339" s="86">
        <f t="shared" si="548"/>
        <v>0.5</v>
      </c>
      <c r="BY339" s="86">
        <f t="shared" si="549"/>
        <v>0.5</v>
      </c>
      <c r="BZ339" s="30" t="e">
        <f t="shared" ca="1" si="580"/>
        <v>#DIV/0!</v>
      </c>
      <c r="CA339" s="85" t="e">
        <f ca="1">IF(BG339&lt;=Hypothèses!$V$7,Hypothèses!$W$7,IF(BG339&lt;=Hypothèses!$V$8,Hypothèses!$W$8,IF(BG339&lt;=Hypothèses!$V$9,Hypothèses!$W$9,IF(BG339&lt;=Hypothèses!$V$10,Hypothèses!$W$10,IF(BG339&lt;=Hypothèses!$V$11,Hypothèses!$W$11,IF(BG339&lt;=Hypothèses!$V$12,Hypothèses!$W$12,IF(BG339&lt;=Hypothèses!$V$13,Hypothèses!$W$13,IF(BG339&lt;=Hypothèses!$V$14,Hypothèses!$W$14,IF(BG339&lt;=Hypothèses!$V$15,Hypothèses!$W$15,IF(BG339&lt;=Hypothèses!$V$16,Hypothèses!$W$16,IF(BG339&lt;=Hypothèses!$V$17,Hypothèses!$W$17,IF(BG339&lt;=Hypothèses!$V$18,Hypothèses!$W$18,""))))))))))))</f>
        <v>#DIV/0!</v>
      </c>
      <c r="CB339" s="87" t="e">
        <f t="shared" ca="1" si="619"/>
        <v>#DIV/0!</v>
      </c>
      <c r="CC339" s="88" t="e">
        <f ca="1">IF(BG339&lt;=Hypothèses!$V$7,Hypothèses!$X$7,IF(BG339&lt;=Hypothèses!$V$8,Hypothèses!$X$8,IF(BG339&lt;=Hypothèses!$V$9,Hypothèses!$X$9,IF(BG339&lt;=Hypothèses!$V$10,Hypothèses!$X$10,IF(BG339&lt;=Hypothèses!$V$11,Hypothèses!$X$11,IF(BG339&lt;=Hypothèses!$V$12,Hypothèses!$X$12,IF(BG339&lt;=Hypothèses!$V$13,Hypothèses!$X$13,IF(BG339&lt;=Hypothèses!$V$14,Hypothèses!$X$14,IF(BG339&lt;=Hypothèses!$V$15,Hypothèses!$X$15,IF(BG339&lt;=Hypothèses!$V$16,Hypothèses!$X$16,IF(BG339&lt;=Hypothèses!$U$17,Hypothèses!$W$17,IF(BG339&lt;=Hypothèses!$U$18,Hypothèses!$W$18,""))))))))))))</f>
        <v>#DIV/0!</v>
      </c>
      <c r="CD339" s="95" t="e">
        <f t="shared" ca="1" si="581"/>
        <v>#DIV/0!</v>
      </c>
      <c r="CE339" s="101" t="e">
        <f t="shared" si="626"/>
        <v>#N/A</v>
      </c>
      <c r="CF339" s="91" t="e">
        <f t="shared" si="550"/>
        <v>#N/A</v>
      </c>
      <c r="CG339" s="30" t="e">
        <f t="shared" si="606"/>
        <v>#N/A</v>
      </c>
      <c r="CH339" s="30" t="e">
        <f t="shared" si="607"/>
        <v>#N/A</v>
      </c>
      <c r="CI339" s="31" t="e">
        <f>IF(OR(Hypothèses!$B$4=17,Hypothèses!$B$4=18,Hypothèses!$B$4=19,Hypothèses!$B$4=20),
IF($D339="Pressio.",
IF(OR($E339=3,$E339=1,$E339=4),CH339,CG339),
IF($D339="Pénétro.",
IF(OR($E339=3,$E339=1,$E339=4),CH339,CG339))),IF($D339="Pressio.",
IF($E339=3,CH339,CG339),
IF($D339="Pénétro.",
IF($E339=4,CH339,CG339))))</f>
        <v>#N/A</v>
      </c>
      <c r="CJ339" s="31" t="e">
        <f>(IF(OR(Hypothèses!$B$4=17,Hypothèses!$B$4=18,Hypothèses!$B$4=19,Hypothèses!$B$4=20),
IF($D339="Pressio.",
IF(OR($E339=3,$E339=1,$E339=4),(PI()*CJ$12^2)/4*(CF339*$W339*1000)/($H339*$B$5),(PI()*CJ$12^2)/4*(CF339*$W339*1000)/($G339*$B$5)),
IF($D339="Pénétro.",
IF(OR($E339=4,$E339=1,$E339=5),(PI()*CJ$12^2)/4*(CF339*$W339*1000)/($H339*$B$5),(PI()*CJ$12^2)/4*(CF339*$W339*1000)/($G339*$B$5)))),
IF($D339="Pressio.",
IF($E339=3,(PI()*CJ$12^2)/4*(CF339*$W339*1000)/($H339*$B$5),(PI()*CJ$12^2)/4*(CF339*$W339*1000)/($G339*$B$5)),
IF($D339="Pénétro.",
IF($E339=4,(PI()*CJ$12^2)/4*(CF339*$W339*1000)/($H339*$B$5),(PI()*CJ$12^2)/4*(CF339*$W339*1000)/($G339*$B$5))))))/10</f>
        <v>#N/A</v>
      </c>
      <c r="CK339" s="102" t="e">
        <f>(VLOOKUP($B$3,'Coeff EC7'!$T$39:$X$59,2,0)*CI339+VLOOKUP($B$3,'Coeff EC7'!$T$65:$X$85,2,0)*Model0.1C!CJ339)/1.1</f>
        <v>#N/A</v>
      </c>
      <c r="CL339" s="102" t="e">
        <f>(VLOOKUP($B$3,'Coeff EC7'!$T$39:$X$59,3,0)*CI339+VLOOKUP($B$3,'Coeff EC7'!$T$65:$X$85,3,0)*Model0.1C!CJ339)/0.9</f>
        <v>#N/A</v>
      </c>
      <c r="CM339" s="102" t="e">
        <f t="shared" si="582"/>
        <v>#N/A</v>
      </c>
      <c r="CN339" s="102" t="e">
        <f t="shared" si="583"/>
        <v>#N/A</v>
      </c>
      <c r="CO339" s="414" t="e">
        <f>IF(CO338=0,0,IF(AND(CK339&gt;charge_ELS_quasi,CL339&gt;Charge_ELS_freq,CM339&gt;charge_ELU,CN339&gt;charge_ELA,$B339&gt;NDC!$H$22-0.1+MIN(3*$CO$12,1.5)),0,1))</f>
        <v>#N/A</v>
      </c>
      <c r="CP339" s="86" t="b">
        <f t="shared" si="551"/>
        <v>0</v>
      </c>
      <c r="CQ339" s="86">
        <f t="shared" si="552"/>
        <v>0.5</v>
      </c>
      <c r="CR339" s="86">
        <f t="shared" si="553"/>
        <v>0.5</v>
      </c>
      <c r="CS339" s="30" t="e">
        <f t="shared" ca="1" si="584"/>
        <v>#DIV/0!</v>
      </c>
      <c r="CT339" s="85" t="e">
        <f ca="1">IF(BZ339&lt;=Hypothèses!$V$7,Hypothèses!$W$7,IF(BZ339&lt;=Hypothèses!$V$8,Hypothèses!$W$8,IF(BZ339&lt;=Hypothèses!$V$9,Hypothèses!$W$9,IF(BZ339&lt;=Hypothèses!$V$10,Hypothèses!$W$10,IF(BZ339&lt;=Hypothèses!$V$11,Hypothèses!$W$11,IF(BZ339&lt;=Hypothèses!$V$12,Hypothèses!$W$12,IF(BZ339&lt;=Hypothèses!$V$13,Hypothèses!$W$13,IF(BZ339&lt;=Hypothèses!$V$14,Hypothèses!$W$14,IF(BZ339&lt;=Hypothèses!$V$15,Hypothèses!$W$15,IF(BZ339&lt;=Hypothèses!$V$16,Hypothèses!$W$16,IF(BZ339&lt;=Hypothèses!$V$17,Hypothèses!$W$17,IF(BZ339&lt;=Hypothèses!$V$18,Hypothèses!$W$18,""))))))))))))</f>
        <v>#DIV/0!</v>
      </c>
      <c r="CU339" s="87" t="e">
        <f t="shared" ca="1" si="620"/>
        <v>#DIV/0!</v>
      </c>
      <c r="CV339" s="88" t="e">
        <f ca="1">IF(BZ339&lt;=Hypothèses!$V$7,Hypothèses!$X$7,IF(BZ339&lt;=Hypothèses!$V$8,Hypothèses!$X$8,IF(BZ339&lt;=Hypothèses!$V$9,Hypothèses!$X$9,IF(BZ339&lt;=Hypothèses!$V$10,Hypothèses!$X$10,IF(BZ339&lt;=Hypothèses!$V$11,Hypothèses!$X$11,IF(BZ339&lt;=Hypothèses!$V$12,Hypothèses!$X$12,IF(BZ339&lt;=Hypothèses!$V$13,Hypothèses!$X$13,IF(BZ339&lt;=Hypothèses!$V$14,Hypothèses!$X$14,IF(BZ339&lt;=Hypothèses!$V$15,Hypothèses!$X$15,IF(BZ339&lt;=Hypothèses!$V$16,Hypothèses!$X$16,IF(BZ339&lt;=Hypothèses!$U$17,Hypothèses!$W$17,IF(BZ339&lt;=Hypothèses!$U$18,Hypothèses!$W$18,""))))))))))))</f>
        <v>#DIV/0!</v>
      </c>
      <c r="CW339" s="95" t="e">
        <f t="shared" ca="1" si="585"/>
        <v>#DIV/0!</v>
      </c>
      <c r="CX339" s="101" t="e">
        <f t="shared" si="627"/>
        <v>#N/A</v>
      </c>
      <c r="CY339" s="91" t="e">
        <f t="shared" si="554"/>
        <v>#N/A</v>
      </c>
      <c r="CZ339" s="30" t="e">
        <f t="shared" si="608"/>
        <v>#N/A</v>
      </c>
      <c r="DA339" s="30" t="e">
        <f t="shared" si="609"/>
        <v>#N/A</v>
      </c>
      <c r="DB339" s="31" t="e">
        <f>IF(OR(Hypothèses!$B$4=17,Hypothèses!$B$4=18,Hypothèses!$B$4=19,Hypothèses!$B$4=20),
IF($D339="Pressio.",
IF(OR($E339=3,$E339=1,$E339=4),DA339,CZ339),
IF($D339="Pénétro.",
IF(OR($E339=3,$E339=1,$E339=4),DA339,CZ339))),IF($D339="Pressio.",
IF($E339=3,DA339,CZ339),
IF($D339="Pénétro.",
IF($E339=4,DA339,CZ339))))</f>
        <v>#N/A</v>
      </c>
      <c r="DC339" s="31" t="e">
        <f>(IF(OR(Hypothèses!$B$4=17,Hypothèses!$B$4=18,Hypothèses!$B$4=19,Hypothèses!$B$4=20),
IF($D339="Pressio.",
IF(OR($E339=3,$E339=1,$E339=4),(PI()*DC$12^2)/4*(CY339*$W339*1000)/($H339*$B$5),(PI()*DC$12^2)/4*(CY339*$W339*1000)/($G339*$B$5)),
IF($D339="Pénétro.",
IF(OR($E339=4,$E339=1,$E339=5),(PI()*DC$12^2)/4*(CY339*$W339*1000)/($H339*$B$5),(PI()*DC$12^2)/4*(CY339*$W339*1000)/($G339*$B$5)))),
IF($D339="Pressio.",
IF($E339=3,(PI()*DC$12^2)/4*(CY339*$W339*1000)/($H339*$B$5),(PI()*DC$12^2)/4*(CY339*$W339*1000)/($G339*$B$5)),
IF($D339="Pénétro.",
IF($E339=4,(PI()*DC$12^2)/4*(CY339*$W339*1000)/($H339*$B$5),(PI()*DC$12^2)/4*(CY339*$W339*1000)/($G339*$B$5))))))/10</f>
        <v>#N/A</v>
      </c>
      <c r="DD339" s="102" t="e">
        <f>(VLOOKUP($B$3,'Coeff EC7'!$T$39:$X$59,2,0)*DB339+VLOOKUP($B$3,'Coeff EC7'!$T$65:$X$85,2,0)*Model0.1C!DC339)/1.1</f>
        <v>#N/A</v>
      </c>
      <c r="DE339" s="102" t="e">
        <f>(VLOOKUP($B$3,'Coeff EC7'!$T$39:$X$59,3,0)*DB339+VLOOKUP($B$3,'Coeff EC7'!$T$65:$X$85,3,0)*Model0.1C!DC339)/0.9</f>
        <v>#N/A</v>
      </c>
      <c r="DF339" s="102" t="e">
        <f t="shared" si="586"/>
        <v>#N/A</v>
      </c>
      <c r="DG339" s="102" t="e">
        <f t="shared" si="587"/>
        <v>#N/A</v>
      </c>
      <c r="DH339" s="414" t="e">
        <f>IF(DH338=0,0,IF(AND(DD339&gt;charge_ELS_quasi,DE339&gt;Charge_ELS_freq,DF339&gt;charge_ELU,DG339&gt;charge_ELA,$B339&gt;NDC!$H$22-0.1+MIN(3*$DH$12,1.5)),0,1))</f>
        <v>#N/A</v>
      </c>
      <c r="DI339" s="86" t="b">
        <f t="shared" si="555"/>
        <v>0</v>
      </c>
      <c r="DJ339" s="86">
        <f t="shared" si="556"/>
        <v>0.5</v>
      </c>
      <c r="DK339" s="86">
        <f t="shared" si="557"/>
        <v>0.5</v>
      </c>
      <c r="DL339" s="30" t="e">
        <f t="shared" ca="1" si="588"/>
        <v>#DIV/0!</v>
      </c>
      <c r="DM339" s="85" t="e">
        <f ca="1">IF(CS339&lt;=Hypothèses!$V$7,Hypothèses!$W$7,IF(CS339&lt;=Hypothèses!$V$8,Hypothèses!$W$8,IF(CS339&lt;=Hypothèses!$V$9,Hypothèses!$W$9,IF(CS339&lt;=Hypothèses!$V$10,Hypothèses!$W$10,IF(CS339&lt;=Hypothèses!$V$11,Hypothèses!$W$11,IF(CS339&lt;=Hypothèses!$V$12,Hypothèses!$W$12,IF(CS339&lt;=Hypothèses!$V$13,Hypothèses!$W$13,IF(CS339&lt;=Hypothèses!$V$14,Hypothèses!$W$14,IF(CS339&lt;=Hypothèses!$V$15,Hypothèses!$W$15,IF(CS339&lt;=Hypothèses!$V$16,Hypothèses!$W$16,IF(CS339&lt;=Hypothèses!$V$17,Hypothèses!$W$17,IF(CS339&lt;=Hypothèses!$V$18,Hypothèses!$W$18,""))))))))))))</f>
        <v>#DIV/0!</v>
      </c>
      <c r="DN339" s="87" t="e">
        <f t="shared" ca="1" si="621"/>
        <v>#DIV/0!</v>
      </c>
      <c r="DO339" s="88" t="e">
        <f ca="1">IF(CS339&lt;=Hypothèses!$V$7,Hypothèses!$X$7,IF(CS339&lt;=Hypothèses!$V$8,Hypothèses!$X$8,IF(CS339&lt;=Hypothèses!$V$9,Hypothèses!$X$9,IF(CS339&lt;=Hypothèses!$V$10,Hypothèses!$X$10,IF(CS339&lt;=Hypothèses!$V$11,Hypothèses!$X$11,IF(CS339&lt;=Hypothèses!$V$12,Hypothèses!$X$12,IF(CS339&lt;=Hypothèses!$V$13,Hypothèses!$X$13,IF(CS339&lt;=Hypothèses!$V$14,Hypothèses!$X$14,IF(CS339&lt;=Hypothèses!$V$15,Hypothèses!$X$15,IF(CS339&lt;=Hypothèses!$V$16,Hypothèses!$X$16,IF(CS339&lt;=Hypothèses!$U$17,Hypothèses!$W$17,IF(CS339&lt;=Hypothèses!$U$18,Hypothèses!$W$18,""))))))))))))</f>
        <v>#DIV/0!</v>
      </c>
      <c r="DP339" s="95" t="e">
        <f t="shared" ca="1" si="589"/>
        <v>#DIV/0!</v>
      </c>
      <c r="DQ339" s="101" t="e">
        <f t="shared" si="628"/>
        <v>#N/A</v>
      </c>
      <c r="DR339" s="91" t="e">
        <f t="shared" si="558"/>
        <v>#N/A</v>
      </c>
      <c r="DS339" s="30" t="e">
        <f t="shared" si="610"/>
        <v>#N/A</v>
      </c>
      <c r="DT339" s="30" t="e">
        <f t="shared" si="611"/>
        <v>#N/A</v>
      </c>
      <c r="DU339" s="31" t="e">
        <f>IF(OR(Hypothèses!$B$4=17,Hypothèses!$B$4=18,Hypothèses!$B$4=19,Hypothèses!$B$4=20),
IF($D339="Pressio.",
IF(OR($E339=3,$E339=1,$E339=4),DT339,DS339),
IF($D339="Pénétro.",
IF(OR($E339=3,$E339=1,$E339=4),DT339,DS339))),IF($D339="Pressio.",
IF($E339=3,DT339,DS339),
IF($D339="Pénétro.",
IF($E339=4,DT339,DS339))))</f>
        <v>#N/A</v>
      </c>
      <c r="DV339" s="31" t="e">
        <f>(IF(OR(Hypothèses!$B$4=17,Hypothèses!$B$4=18,Hypothèses!$B$4=19,Hypothèses!$B$4=20),
IF($D339="Pressio.",
IF(OR($E339=3,$E339=1,$E339=4),(PI()*DV$12^2)/4*(DR339*$W339*1000)/($H339*$B$5),(PI()*DV$12^2)/4*(DR339*$W339*1000)/($G339*$B$5)),
IF($D339="Pénétro.",
IF(OR($E339=4,$E339=1,$E339=5),(PI()*DV$12^2)/4*(DR339*$W339*1000)/($H339*$B$5),(PI()*DV$12^2)/4*(DR339*$W339*1000)/($G339*$B$5)))),
IF($D339="Pressio.",
IF($E339=3,(PI()*DV$12^2)/4*(DR339*$W339*1000)/($H339*$B$5),(PI()*DV$12^2)/4*(DR339*$W339*1000)/($G339*$B$5)),
IF($D339="Pénétro.",
IF($E339=4,(PI()*DV$12^2)/4*(DR339*$W339*1000)/($H339*$B$5),(PI()*DV$12^2)/4*(DR339*$W339*1000)/($G339*$B$5))))))/10</f>
        <v>#N/A</v>
      </c>
      <c r="DW339" s="102" t="e">
        <f>(VLOOKUP($B$3,'Coeff EC7'!$T$39:$X$59,2,0)*DU339+VLOOKUP($B$3,'Coeff EC7'!$T$65:$X$85,2,0)*Model0.1C!DV339)/1.1</f>
        <v>#N/A</v>
      </c>
      <c r="DX339" s="102" t="e">
        <f>(VLOOKUP($B$3,'Coeff EC7'!$T$39:$X$59,3,0)*DU339+VLOOKUP($B$3,'Coeff EC7'!$T$65:$X$85,3,0)*Model0.1C!DV339)/0.9</f>
        <v>#N/A</v>
      </c>
      <c r="DY339" s="102" t="e">
        <f t="shared" si="590"/>
        <v>#N/A</v>
      </c>
      <c r="DZ339" s="102" t="e">
        <f t="shared" si="591"/>
        <v>#N/A</v>
      </c>
      <c r="EA339" s="414" t="e">
        <f>IF(EA338=0,0,IF(AND(DW339&gt;charge_ELS_quasi,DX339&gt;Charge_ELS_freq,DY339&gt;charge_ELU,DZ339&gt;charge_ELA,$B339&gt;NDC!$H$22-0.1+MIN(3*$EA$12,1.5)),0,1))</f>
        <v>#N/A</v>
      </c>
      <c r="EB339" s="86" t="b">
        <f t="shared" si="559"/>
        <v>0</v>
      </c>
      <c r="EC339" s="418">
        <f t="shared" si="560"/>
        <v>0.51</v>
      </c>
      <c r="ED339" s="86">
        <f t="shared" si="561"/>
        <v>0.51</v>
      </c>
      <c r="EE339" s="30" t="e">
        <f t="shared" ca="1" si="592"/>
        <v>#DIV/0!</v>
      </c>
      <c r="EF339" s="85" t="e">
        <f ca="1">IF(DL339&lt;=Hypothèses!$V$7,Hypothèses!$W$7,IF(DL339&lt;=Hypothèses!$V$8,Hypothèses!$W$8,IF(DL339&lt;=Hypothèses!$V$9,Hypothèses!$W$9,IF(DL339&lt;=Hypothèses!$V$10,Hypothèses!$W$10,IF(DL339&lt;=Hypothèses!$V$11,Hypothèses!$W$11,IF(DL339&lt;=Hypothèses!$V$12,Hypothèses!$W$12,IF(DL339&lt;=Hypothèses!$V$13,Hypothèses!$W$13,IF(DL339&lt;=Hypothèses!$V$14,Hypothèses!$W$14,IF(DL339&lt;=Hypothèses!$V$15,Hypothèses!$W$15,IF(DL339&lt;=Hypothèses!$V$16,Hypothèses!$W$16,IF(DL339&lt;=Hypothèses!$V$17,Hypothèses!$W$17,IF(DL339&lt;=Hypothèses!$V$18,Hypothèses!$W$18,""))))))))))))</f>
        <v>#DIV/0!</v>
      </c>
      <c r="EG339" s="87" t="e">
        <f t="shared" ca="1" si="622"/>
        <v>#DIV/0!</v>
      </c>
      <c r="EH339" s="88" t="e">
        <f ca="1">IF(DL339&lt;=Hypothèses!$V$7,Hypothèses!$X$7,IF(DL339&lt;=Hypothèses!$V$8,Hypothèses!$X$8,IF(DL339&lt;=Hypothèses!$V$9,Hypothèses!$X$9,IF(DL339&lt;=Hypothèses!$V$10,Hypothèses!$X$10,IF(DL339&lt;=Hypothèses!$V$11,Hypothèses!$X$11,IF(DL339&lt;=Hypothèses!$V$12,Hypothèses!$X$12,IF(DL339&lt;=Hypothèses!$V$13,Hypothèses!$X$13,IF(DL339&lt;=Hypothèses!$V$14,Hypothèses!$X$14,IF(DL339&lt;=Hypothèses!$V$15,Hypothèses!$X$15,IF(DL339&lt;=Hypothèses!$V$16,Hypothèses!$X$16,IF(DL339&lt;=Hypothèses!$U$17,Hypothèses!$W$17,IF(DL339&lt;=Hypothèses!$U$18,Hypothèses!$W$18,""))))))))))))</f>
        <v>#DIV/0!</v>
      </c>
      <c r="EI339" s="95" t="e">
        <f t="shared" ca="1" si="593"/>
        <v>#DIV/0!</v>
      </c>
      <c r="EJ339" s="101" t="e">
        <f t="shared" si="629"/>
        <v>#N/A</v>
      </c>
      <c r="EK339" s="91" t="e">
        <f t="shared" si="562"/>
        <v>#N/A</v>
      </c>
      <c r="EL339" s="30" t="e">
        <f t="shared" si="612"/>
        <v>#N/A</v>
      </c>
      <c r="EM339" s="30" t="e">
        <f t="shared" si="613"/>
        <v>#N/A</v>
      </c>
      <c r="EN339" s="31" t="e">
        <f>IF(OR(Hypothèses!$B$4=17,Hypothèses!$B$4=18,Hypothèses!$B$4=19,Hypothèses!$B$4=20),
IF($D339="Pressio.",
IF(OR($E339=3,$E339=1,$E339=4),EM339,EL339),
IF($D339="Pénétro.",
IF(OR($E339=3,$E339=1,$E339=4),EM339,EL339))),IF($D339="Pressio.",
IF($E339=3,EM339,EL339),
IF($D339="Pénétro.",
IF($E339=4,EM339,EL339))))</f>
        <v>#N/A</v>
      </c>
      <c r="EO339" s="31" t="e">
        <f>(IF(OR(Hypothèses!$B$4=17,Hypothèses!$B$4=18,Hypothèses!$B$4=19,Hypothèses!$B$4=20),
IF($D339="Pressio.",
IF(OR($E339=3,$E339=1,$E339=4),(PI()*EO$12^2)/4*(EK339*$W339*1000)/($H339*$B$5),(PI()*EO$12^2)/4*(EK339*$W339*1000)/($G339*$B$5)),
IF($D339="Pénétro.",
IF(OR($E339=4,$E339=1,$E339=5),(PI()*EO$12^2)/4*(EK339*$W339*1000)/($H339*$B$5),(PI()*EO$12^2)/4*(EK339*$W339*1000)/($G339*$B$5)))),
IF($D339="Pressio.",
IF($E339=3,(PI()*EO$12^2)/4*(EK339*$W339*1000)/($H339*$B$5),(PI()*EO$12^2)/4*(EK339*$W339*1000)/($G339*$B$5)),
IF($D339="Pénétro.",
IF($E339=4,(PI()*EO$12^2)/4*(EK339*$W339*1000)/($H339*$B$5),(PI()*EO$12^2)/4*(EK339*$W339*1000)/($G339*$B$5))))))/10</f>
        <v>#N/A</v>
      </c>
      <c r="EP339" s="102" t="e">
        <f>(VLOOKUP($B$3,'Coeff EC7'!$T$39:$X$59,2,0)*EN339+VLOOKUP($B$3,'Coeff EC7'!$T$65:$X$85,2,0)*Model0.1C!EO339)/1.1</f>
        <v>#N/A</v>
      </c>
      <c r="EQ339" s="102" t="e">
        <f>(VLOOKUP($B$3,'Coeff EC7'!$T$39:$X$59,3,0)*EN339+VLOOKUP($B$3,'Coeff EC7'!$T$65:$X$85,3,0)*Model0.1C!EO339)/0.9</f>
        <v>#N/A</v>
      </c>
      <c r="ER339" s="102" t="e">
        <f t="shared" si="594"/>
        <v>#N/A</v>
      </c>
      <c r="ES339" s="102" t="e">
        <f t="shared" si="595"/>
        <v>#N/A</v>
      </c>
      <c r="ET339" s="414" t="e">
        <f>IF(ET338=0,0,IF(AND(EP339&gt;charge_ELS_quasi,EQ339&gt;Charge_ELS_freq,ER339&gt;charge_ELU,ES339&gt;charge_ELA,$B339&gt;NDC!$H$22-0.1+MIN(3*$ET$12,1.5)),0,1))</f>
        <v>#N/A</v>
      </c>
      <c r="EU339" s="86" t="b">
        <f t="shared" si="563"/>
        <v>0</v>
      </c>
      <c r="EV339" s="86">
        <f t="shared" si="564"/>
        <v>0.61</v>
      </c>
      <c r="EW339" s="86">
        <f t="shared" si="565"/>
        <v>0.61</v>
      </c>
      <c r="EX339" s="30" t="e">
        <f t="shared" ca="1" si="596"/>
        <v>#DIV/0!</v>
      </c>
      <c r="EY339" s="85" t="e">
        <f ca="1">IF(EE339&lt;=Hypothèses!$V$7,Hypothèses!$W$7,IF(EE339&lt;=Hypothèses!$V$8,Hypothèses!$W$8,IF(EE339&lt;=Hypothèses!$V$9,Hypothèses!$W$9,IF(EE339&lt;=Hypothèses!$V$10,Hypothèses!$W$10,IF(EE339&lt;=Hypothèses!$V$11,Hypothèses!$W$11,IF(EE339&lt;=Hypothèses!$V$12,Hypothèses!$W$12,IF(EE339&lt;=Hypothèses!$V$13,Hypothèses!$W$13,IF(EE339&lt;=Hypothèses!$V$14,Hypothèses!$W$14,IF(EE339&lt;=Hypothèses!$V$15,Hypothèses!$W$15,IF(EE339&lt;=Hypothèses!$V$16,Hypothèses!$W$16,IF(EE339&lt;=Hypothèses!$V$17,Hypothèses!$W$17,IF(EE339&lt;=Hypothèses!$V$18,Hypothèses!$W$18,""))))))))))))</f>
        <v>#DIV/0!</v>
      </c>
      <c r="EZ339" s="87" t="e">
        <f t="shared" ca="1" si="623"/>
        <v>#DIV/0!</v>
      </c>
      <c r="FA339" s="88" t="e">
        <f ca="1">IF(EE339&lt;=Hypothèses!$V$7,Hypothèses!$X$7,IF(EE339&lt;=Hypothèses!$V$8,Hypothèses!$X$8,IF(EE339&lt;=Hypothèses!$V$9,Hypothèses!$X$9,IF(EE339&lt;=Hypothèses!$V$10,Hypothèses!$X$10,IF(EE339&lt;=Hypothèses!$V$11,Hypothèses!$X$11,IF(EE339&lt;=Hypothèses!$V$12,Hypothèses!$X$12,IF(EE339&lt;=Hypothèses!$V$13,Hypothèses!$X$13,IF(EE339&lt;=Hypothèses!$V$14,Hypothèses!$X$14,IF(EE339&lt;=Hypothèses!$V$15,Hypothèses!$X$15,IF(EE339&lt;=Hypothèses!$V$16,Hypothèses!$X$16,IF(EE339&lt;=Hypothèses!$U$17,Hypothèses!$W$17,IF(EE339&lt;=Hypothèses!$U$18,Hypothèses!$W$18,""))))))))))))</f>
        <v>#DIV/0!</v>
      </c>
      <c r="FB339" s="95" t="e">
        <f t="shared" ca="1" si="597"/>
        <v>#DIV/0!</v>
      </c>
      <c r="FC339" s="101" t="e">
        <f t="shared" si="630"/>
        <v>#N/A</v>
      </c>
      <c r="FD339" s="91" t="e">
        <f t="shared" si="566"/>
        <v>#N/A</v>
      </c>
      <c r="FE339" s="30" t="e">
        <f t="shared" si="614"/>
        <v>#N/A</v>
      </c>
      <c r="FF339" s="30" t="e">
        <f t="shared" si="615"/>
        <v>#N/A</v>
      </c>
      <c r="FG339" s="31" t="e">
        <f>IF(OR(Hypothèses!$B$4=17,Hypothèses!$B$4=18,Hypothèses!$B$4=19,Hypothèses!$B$4=20),
IF($D339="Pressio.",
IF(OR($E339=3,$E339=1,$E339=4),FF339,FE339),
IF($D339="Pénétro.",
IF(OR($E339=3,$E339=1,$E339=4),FF339,FE339))),IF($D339="Pressio.",
IF($E339=3,FF339,FE339),
IF($D339="Pénétro.",
IF($E339=4,FF339,FE339))))</f>
        <v>#N/A</v>
      </c>
      <c r="FH339" s="31" t="e">
        <f>(IF(OR(Hypothèses!$B$4=17,Hypothèses!$B$4=18,Hypothèses!$B$4=19,Hypothèses!$B$4=20),
IF($D339="Pressio.",
IF(OR($E339=3,$E339=1,$E339=4),(PI()*FH$12^2)/4*(FD339*$W339*1000)/($H339*$B$5),(PI()*FH$12^2)/4*(FD339*$W339*1000)/($G339*$B$5)),
IF($D339="Pénétro.",
IF(OR($E339=4,$E339=1,$E339=5),(PI()*FH$12^2)/4*(FD339*$W339*1000)/($H339*$B$5),(PI()*FH$12^2)/4*(FD339*$W339*1000)/($G339*$B$5)))),
IF($D339="Pressio.",
IF($E339=3,(PI()*FH$12^2)/4*(FD339*$W339*1000)/($H339*$B$5),(PI()*FH$12^2)/4*(FD339*$W339*1000)/($G339*$B$5)),
IF($D339="Pénétro.",
IF($E339=4,(PI()*FH$12^2)/4*(FD339*$W339*1000)/($H339*$B$5),(PI()*FH$12^2)/4*(FD339*$W339*1000)/($G339*$B$5))))))/10</f>
        <v>#N/A</v>
      </c>
      <c r="FI339" s="102" t="e">
        <f>(VLOOKUP($B$3,'Coeff EC7'!$T$39:$X$59,2,0)*FG339+VLOOKUP($B$3,'Coeff EC7'!$T$65:$X$85,2,0)*Model0.1C!FH339)/1.1</f>
        <v>#N/A</v>
      </c>
      <c r="FJ339" s="102" t="e">
        <f>(VLOOKUP($B$3,'Coeff EC7'!$T$39:$X$59,3,0)*FG339+VLOOKUP($B$3,'Coeff EC7'!$T$65:$X$85,3,0)*Model0.1C!FH339)/0.9</f>
        <v>#N/A</v>
      </c>
      <c r="FK339" s="102" t="e">
        <f t="shared" si="598"/>
        <v>#N/A</v>
      </c>
      <c r="FL339" s="102" t="e">
        <f t="shared" si="599"/>
        <v>#N/A</v>
      </c>
      <c r="FM339" s="414" t="e">
        <f>IF(FM338=0,0,IF(AND(FI339&gt;charge_ELS_quasi,FJ339&gt;Charge_ELS_freq,FK339&gt;charge_ELU,FL339&gt;charge_ELA,$B339&gt;NDC!$H$22-0.1+MIN(3*$FM$12,1.5)),0,1))</f>
        <v>#N/A</v>
      </c>
    </row>
    <row r="340" spans="1:169">
      <c r="A340" s="96">
        <f t="shared" si="567"/>
        <v>67.300000000001859</v>
      </c>
      <c r="B340" s="97">
        <v>32.700000000000003</v>
      </c>
      <c r="C340" s="81">
        <f>IF(B340&lt;=Hypothèses!$C$7,Hypothèses!$A$7,IF(B340&lt;=Hypothèses!$C$8,Hypothèses!$A$8,IF(B340&lt;=Hypothèses!$C$9,Hypothèses!$A$9,IF(B340&lt;=Hypothèses!$C$10,Hypothèses!$A$10,IF(B340&lt;=Hypothèses!$C$11,Hypothèses!$A$11,IF(B340&lt;=Hypothèses!$C$12,Hypothèses!$A$12,IF(B340&lt;=Hypothèses!$C$13,Hypothèses!$A$13,IF(B340&lt;=Hypothèses!$C$14,Hypothèses!$A$14,IF(B340&lt;=Hypothèses!$C$15,Hypothèses!$A$15,IF(B340&lt;=Hypothèses!$C$16,Hypothèses!$A$16,IF(B340&lt;=Hypothèses!$C$17,Hypothèses!$A$17,IF(B340&lt;=Hypothèses!$C$18,Hypothèses!$A$18,C339))))))))))))</f>
        <v>11</v>
      </c>
      <c r="D340" s="82" t="str">
        <f>IF(B340&lt;=Hypothèses!$C$7,Hypothèses!$R$7,IF(B340&lt;=Hypothèses!$C$8,Hypothèses!$R$8,IF(B340&lt;=Hypothèses!$C$9,Hypothèses!$R$9,IF(B340&lt;=Hypothèses!$C$10,Hypothèses!$R$10,IF(B340&lt;=Hypothèses!$C$11,Hypothèses!$R$11,IF(B340&lt;=Hypothèses!$C$12,Hypothèses!$R$12,IF(B340&lt;=Hypothèses!$C$13,Hypothèses!$R$13,IF(B340&lt;=Hypothèses!$C$14,Hypothèses!$R$14,IF(B340&lt;=Hypothèses!$C$15,Hypothèses!$R$15,IF(B340&lt;=Hypothèses!$C$16,Hypothèses!$R$16,IF(B340&lt;=Hypothèses!$C$17,Hypothèses!$R$17,IF(B340&lt;=Hypothèses!$C$18,Hypothèses!$R$18,D339))))))))))))</f>
        <v>Pressio.</v>
      </c>
      <c r="E340" s="82" t="e">
        <f>IF(B340&lt;=Hypothèses!$C$7,Hypothèses!$G$7,IF(B340&lt;=Hypothèses!$C$8,Hypothèses!$G$8,IF(B340&lt;=Hypothèses!$C$9,Hypothèses!$G$9,IF(B340&lt;=Hypothèses!$C$10,Hypothèses!$G$10,IF(B340&lt;=Hypothèses!$C$11,Hypothèses!$G$11,IF(B340&lt;=Hypothèses!$C$12,Hypothèses!$G$12,IF(B340&lt;=Hypothèses!$C$13,Hypothèses!$G$13,IF(B340&lt;=Hypothèses!$C$14,Hypothèses!$G$14,IF(B340&lt;=Hypothèses!$C$15,Hypothèses!$G$15,IF(B340&lt;=Hypothèses!$C$16,Hypothèses!$G$16,IF(B340&lt;=Hypothèses!$C$17,Hypothèses!$G$17,IF(B340&lt;=Hypothèses!$C$18,Hypothèses!$G$18,E339))))))))))))</f>
        <v>#N/A</v>
      </c>
      <c r="F340" s="82" t="str">
        <f>IF(B340&lt;=Hypothèses!$C$7,Hypothèses!$F$7,IF(B340&lt;=Hypothèses!$C$8,Hypothèses!$F$8,IF(B340&lt;=Hypothèses!$C$9,Hypothèses!$F$9,IF(B340&lt;=Hypothèses!$C$10,Hypothèses!$F$10,IF(B340&lt;=Hypothèses!$C$11,Hypothèses!$F$11,IF(B340&lt;=Hypothèses!$C$12,Hypothèses!$F$12,IF(B340&lt;=Hypothèses!$C$13,Hypothèses!$F$13,IF(B340&lt;=Hypothèses!$C$14,Hypothèses!$F$14,IF(B340&lt;=Hypothèses!$C$15,Hypothèses!$F$15,IF(B340&lt;=Hypothèses!$C$16,Hypothèses!$F$16,IF(B340&lt;=Hypothèses!$C$17,Hypothèses!$F$17,IF(B340&lt;=Hypothèses!$C$18,Hypothèses!$F$18,F339))))))))))))</f>
        <v/>
      </c>
      <c r="G340" s="91">
        <f t="array" ref="G340">INDEX('Coeff EC7'!$U$7:$X$27,
MATCH(Model0.1C!$B$3,'Coeff EC7'!$T$7:$T$27,0),
MATCH(Model0.1C!$D340&amp;Model0.1C!$B$4,
'Coeff EC7'!$U$6:$X$6&amp;
'Coeff EC7'!$U$5:$X$5,0))</f>
        <v>1.1499999999999999</v>
      </c>
      <c r="H340" s="91">
        <f t="array" ref="H340">INDEX('Coeff EC7'!$Y$7:$AB$27,
MATCH(Model0.1C!$B$3,'Coeff EC7'!$T$7:$T$27,0),
MATCH(Model0.1C!$D340&amp;Model0.1C!$B$4,
'Coeff EC7'!$Y$6:$AB$6&amp;
'Coeff EC7'!$Y$5:$AB$5,0))</f>
        <v>1.4</v>
      </c>
      <c r="I340" s="83" t="e">
        <f>IF(B340&lt;=Hypothèses!$C$7,Hypothèses!$P$7,IF(B340&lt;=Hypothèses!$C$8,Hypothèses!$P$8,IF(B340&lt;=Hypothèses!$C$9,Hypothèses!$P$9,IF(B340&lt;=Hypothèses!$C$10,Hypothèses!$P$10,IF(B340&lt;=Hypothèses!$C$11,Hypothèses!$P$11,IF(B340&lt;=Hypothèses!$C$12,Hypothèses!$P$12,IF(B340&lt;=Hypothèses!$C$13,Hypothèses!$P$13,IF(B340&lt;=Hypothèses!$C$14,Hypothèses!$P$14,IF(B340&lt;=Hypothèses!$C$15,Hypothèses!$P$15,IF(B340&lt;=Hypothèses!$C$16,Hypothèses!$P$16,IF(B340&lt;=Hypothèses!$C$17,Hypothèses!$P$17,IF(B340&lt;=Hypothèses!$C$18,Hypothèses!$P$18,I339))))))))))))</f>
        <v>#N/A</v>
      </c>
      <c r="J340" s="91" t="e">
        <f t="array" ref="J340">INDEX('Coeff EC7'!$D$33:$Q$33,1,MATCH(D340&amp;E340,'Coeff EC7'!$D$31:$Q$31&amp;'Coeff EC7'!$D$32:$Q$32,0))</f>
        <v>#N/A</v>
      </c>
      <c r="K340" s="91" t="e">
        <f t="array" ref="K340">INDEX('Coeff EC7'!$D$34:$Q$34,1,MATCH(D340&amp;E340,'Coeff EC7'!$D$31:$Q$31&amp;'Coeff EC7'!$D$32:$Q$32,0))</f>
        <v>#N/A</v>
      </c>
      <c r="L340" s="91" t="e">
        <f t="array" ref="L340">INDEX('Coeff EC7'!$D$35:$Q$35,1,MATCH(D340&amp;E340,'Coeff EC7'!$D$31:$Q$31&amp;'Coeff EC7'!$D$32:$Q$32,0))</f>
        <v>#N/A</v>
      </c>
      <c r="M340" s="98" t="e">
        <f t="shared" si="531"/>
        <v>#N/A</v>
      </c>
      <c r="N340" s="99" t="e">
        <f t="array" ref="N340">INDEX('Coeff EC7'!$D$7:$Q$27,MATCH($B$3,'Coeff EC7'!$C$7:$C$27,0),MATCH(D340&amp;E340,'Coeff EC7'!$D$5:$Q$5&amp;'Coeff EC7'!$D$6:$Q$6,0))</f>
        <v>#N/A</v>
      </c>
      <c r="O340" s="99" t="e">
        <f t="array" ref="O340">INDEX('Coeff EC7'!$D$41:$Q$61,MATCH($B$3,'Coeff EC7'!$C$41:$C$61,0),MATCH(D340&amp;E340,'Coeff EC7'!$D$39:$Q$39&amp;'Coeff EC7'!$D$40:$Q$40,0))</f>
        <v>#N/A</v>
      </c>
      <c r="P340" s="30" t="e">
        <f t="shared" si="568"/>
        <v>#N/A</v>
      </c>
      <c r="Q340" s="100" t="e">
        <f t="shared" si="533"/>
        <v>#N/A</v>
      </c>
      <c r="R340" s="86" t="b">
        <f t="shared" si="534"/>
        <v>0</v>
      </c>
      <c r="S340" s="86">
        <f t="shared" si="532"/>
        <v>0.5</v>
      </c>
      <c r="T340" s="86">
        <f t="shared" si="535"/>
        <v>0.5</v>
      </c>
      <c r="U340" s="30" t="e">
        <f t="shared" ca="1" si="569"/>
        <v>#DIV/0!</v>
      </c>
      <c r="V340" s="85" t="str">
        <f>IF(B340&lt;=Hypothèses!$V$7,Hypothèses!$W$7,IF(B340&lt;=Hypothèses!$V$8,Hypothèses!$W$8,IF(B340&lt;=Hypothèses!$V$9,Hypothèses!$W$9,IF(B340&lt;=Hypothèses!$V$10,Hypothèses!$W$10,IF(B340&lt;=Hypothèses!$V$11,Hypothèses!$W$11,IF(B340&lt;=Hypothèses!$V$12,Hypothèses!$W$12,IF(B340&lt;=Hypothèses!$V$13,Hypothèses!$W$13,IF(B340&lt;=Hypothèses!$V$14,Hypothèses!$W$14,IF(B340&lt;=Hypothèses!$V$15,Hypothèses!$W$15,IF(B340&lt;=Hypothèses!$V$16,Hypothèses!$W$16,IF(B340&lt;=Hypothèses!$V$17,Hypothèses!$W$17,IF(B340&lt;=Hypothèses!$V$18,Hypothèses!$W$18,""))))))))))))</f>
        <v/>
      </c>
      <c r="W340" s="87" t="e">
        <f t="shared" ca="1" si="616"/>
        <v>#DIV/0!</v>
      </c>
      <c r="X340" s="88" t="str">
        <f>IF(B340&lt;=Hypothèses!$V$7,Hypothèses!$X$7,IF(B340&lt;=Hypothèses!$V$8,Hypothèses!$X$8,IF(B340&lt;=Hypothèses!$V$9,Hypothèses!$X$9,IF(B340&lt;=Hypothèses!$V$10,Hypothèses!$X$10,IF(B340&lt;=Hypothèses!$V$11,Hypothèses!$X$11,IF(B340&lt;=Hypothèses!$V$12,Hypothèses!$X$12,IF(B340&lt;=Hypothèses!$V$13,Hypothèses!$X$13,IF(B340&lt;=Hypothèses!$V$14,Hypothèses!$X$14,IF(B340&lt;=Hypothèses!$V$15,Hypothèses!$X$15,IF(B340&lt;=Hypothèses!$V$16,Hypothèses!$X$16,IF(B340&lt;=Hypothèses!$U$17,Hypothèses!$W$17,IF(B340&lt;=Hypothèses!$U$18,Hypothèses!$W$18,""))))))))))))</f>
        <v/>
      </c>
      <c r="Y340" s="95" t="e">
        <f t="shared" ca="1" si="536"/>
        <v>#DIV/0!</v>
      </c>
      <c r="Z340" s="101" t="e">
        <f t="shared" si="537"/>
        <v>#N/A</v>
      </c>
      <c r="AA340" s="91" t="e">
        <f t="shared" si="538"/>
        <v>#N/A</v>
      </c>
      <c r="AB340" s="30" t="e">
        <f t="shared" si="600"/>
        <v>#N/A</v>
      </c>
      <c r="AC340" s="30" t="e">
        <f t="shared" si="601"/>
        <v>#N/A</v>
      </c>
      <c r="AD340" s="31" t="e">
        <f>IF(OR(Hypothèses!$B$4=17,Hypothèses!$B$4=18,Hypothèses!$B$4=19,Hypothèses!$B$4=20),
IF($D340="Pressio.",
IF(OR($E340=3,$E340=1,$E340=4),AC340,AB340),
IF($D340="Pénétro.",
IF(OR($E340=3,$E340=1,$E340=4),AC340,AB340))),IF($D340="Pressio.",
IF($E340=3,AC340,AB340),
IF($D340="Pénétro.",
IF($E340=4,AC340,AB340))))</f>
        <v>#N/A</v>
      </c>
      <c r="AE340" s="31" t="e">
        <f>(IF(OR(Hypothèses!$B$4=17,Hypothèses!$B$4=18,Hypothèses!$B$4=19,Hypothèses!$B$4=20),
IF($D340="Pressio.",
IF(OR($E340=3,$E340=1,$E340=4),(PI()*AE$12^2)/4*(AA340*$W340*1000)/($H340*$B$5),(PI()*AE$12^2)/4*(AA340*$W340*1000)/($G340*$B$5)),
IF($D340="Pénétro.",
IF(OR($E340=4,$E340=1,$E340=5),(PI()*AE$12^2)/4*(AA340*$W340*1000)/($H340*$B$5),(PI()*AE$12^2)/4*(AA340*$W340*1000)/($G340*$B$5)))),
IF($D340="Pressio.",
IF($E340=3,(PI()*AE$12^2)/4*(AA340*$W340*1000)/($H340*$B$5),(PI()*AE$12^2)/4*(AA340*$W340*1000)/($G340*$B$5)),
IF($D340="Pénétro.",
IF($E340=4,(PI()*AE$12^2)/4*(AA340*$W340*1000)/($H340*$B$5),(PI()*AE$12^2)/4*(AA340*$W340*1000)/($G340*$B$5))))))/10</f>
        <v>#N/A</v>
      </c>
      <c r="AF340" s="102" t="e">
        <f>(VLOOKUP($B$3,'Coeff EC7'!$T$39:$X$59,2,0)*AD340+VLOOKUP($B$3,'Coeff EC7'!$T$65:$X$85,2,0)*Model0.1C!AE340)/1.1</f>
        <v>#N/A</v>
      </c>
      <c r="AG340" s="102" t="e">
        <f>(VLOOKUP($B$3,'Coeff EC7'!$T$39:$X$59,3,0)*AD340+VLOOKUP($B$3,'Coeff EC7'!$T$65:$X$85,3,0)*Model0.1C!AE340)/0.9</f>
        <v>#N/A</v>
      </c>
      <c r="AH340" s="102" t="e">
        <f t="shared" si="539"/>
        <v>#N/A</v>
      </c>
      <c r="AI340" s="102" t="e">
        <f t="shared" si="540"/>
        <v>#N/A</v>
      </c>
      <c r="AJ340" s="414" t="e">
        <f>IF(AJ339=0,0,IF(AND(AF340&gt;charge_ELS_quasi,AG340&gt;Charge_ELS_freq,AH340&gt;charge_ELU,AI340&gt;charge_ELA,$B340&gt;NDC!$H$22-0.1+MIN(3*$AJ$12,1.5)),0,1))</f>
        <v>#N/A</v>
      </c>
      <c r="AK340" s="86" t="b">
        <f t="shared" si="541"/>
        <v>0</v>
      </c>
      <c r="AL340" s="86">
        <f t="shared" si="570"/>
        <v>0.5</v>
      </c>
      <c r="AM340" s="86">
        <f t="shared" si="542"/>
        <v>0.5</v>
      </c>
      <c r="AN340" s="30" t="e">
        <f t="shared" ca="1" si="571"/>
        <v>#DIV/0!</v>
      </c>
      <c r="AO340" s="85" t="e">
        <f ca="1">IF(U340&lt;=Hypothèses!$V$7,Hypothèses!$W$7,IF(U340&lt;=Hypothèses!$V$8,Hypothèses!$W$8,IF(U340&lt;=Hypothèses!$V$9,Hypothèses!$W$9,IF(U340&lt;=Hypothèses!$V$10,Hypothèses!$W$10,IF(U340&lt;=Hypothèses!$V$11,Hypothèses!$W$11,IF(U340&lt;=Hypothèses!$V$12,Hypothèses!$W$12,IF(U340&lt;=Hypothèses!$V$13,Hypothèses!$W$13,IF(U340&lt;=Hypothèses!$V$14,Hypothèses!$W$14,IF(U340&lt;=Hypothèses!$V$15,Hypothèses!$W$15,IF(U340&lt;=Hypothèses!$V$16,Hypothèses!$W$16,IF(U340&lt;=Hypothèses!$V$17,Hypothèses!$W$17,IF(U340&lt;=Hypothèses!$V$18,Hypothèses!$W$18,""))))))))))))</f>
        <v>#DIV/0!</v>
      </c>
      <c r="AP340" s="87" t="e">
        <f t="shared" ca="1" si="617"/>
        <v>#DIV/0!</v>
      </c>
      <c r="AQ340" s="88" t="e">
        <f ca="1">IF(U340&lt;=Hypothèses!$V$7,Hypothèses!$X$7,IF(U340&lt;=Hypothèses!$V$8,Hypothèses!$X$8,IF(U340&lt;=Hypothèses!$V$9,Hypothèses!$X$9,IF(U340&lt;=Hypothèses!$V$10,Hypothèses!$X$10,IF(U340&lt;=Hypothèses!$V$11,Hypothèses!$X$11,IF(U340&lt;=Hypothèses!$V$12,Hypothèses!$X$12,IF(U340&lt;=Hypothèses!$V$13,Hypothèses!$X$13,IF(U340&lt;=Hypothèses!$V$14,Hypothèses!$X$14,IF(U340&lt;=Hypothèses!$V$15,Hypothèses!$X$15,IF(U340&lt;=Hypothèses!$V$16,Hypothèses!$X$16,IF(U340&lt;=Hypothèses!$U$17,Hypothèses!$W$17,IF(U340&lt;=Hypothèses!$U$18,Hypothèses!$W$18,""))))))))))))</f>
        <v>#DIV/0!</v>
      </c>
      <c r="AR340" s="95" t="e">
        <f t="shared" ca="1" si="572"/>
        <v>#DIV/0!</v>
      </c>
      <c r="AS340" s="101" t="e">
        <f t="shared" si="624"/>
        <v>#N/A</v>
      </c>
      <c r="AT340" s="91" t="e">
        <f t="shared" si="543"/>
        <v>#N/A</v>
      </c>
      <c r="AU340" s="30" t="e">
        <f t="shared" si="602"/>
        <v>#N/A</v>
      </c>
      <c r="AV340" s="30" t="e">
        <f t="shared" si="603"/>
        <v>#N/A</v>
      </c>
      <c r="AW340" s="31" t="e">
        <f>IF(OR(Hypothèses!$B$4=17,Hypothèses!$B$4=18,Hypothèses!$B$4=19,Hypothèses!$B$4=20),
IF($D340="Pressio.",
IF(OR($E340=3,$E340=1,$E340=4),AV340,AU340),
IF($D340="Pénétro.",
IF(OR($E340=3,$E340=1,$E340=4),AV340,AU340))),IF($D340="Pressio.",
IF($E340=3,AV340,AU340),
IF($D340="Pénétro.",
IF($E340=4,AV340,AU340))))</f>
        <v>#N/A</v>
      </c>
      <c r="AX340" s="31" t="e">
        <f>(IF(OR(Hypothèses!$B$4=17,Hypothèses!$B$4=18,Hypothèses!$B$4=19,Hypothèses!$B$4=20),
IF($D340="Pressio.",
IF(OR($E340=3,$E340=1,$E340=4),(PI()*AX$12^2)/4*(AT340*$W340*1000)/($H340*$B$5),(PI()*AX$12^2)/4*(AT340*$W340*1000)/($G340*$B$5)),
IF($D340="Pénétro.",
IF(OR($E340=4,$E340=1,$E340=5),(PI()*AX$12^2)/4*(AT340*$W340*1000)/($H340*$B$5),(PI()*AX$12^2)/4*(AT340*$W340*1000)/($G340*$B$5)))),
IF($D340="Pressio.",
IF($E340=3,(PI()*AX$12^2)/4*(AT340*$W340*1000)/($H340*$B$5),(PI()*AX$12^2)/4*(AT340*$W340*1000)/($G340*$B$5)),
IF($D340="Pénétro.",
IF($E340=4,(PI()*AX$12^2)/4*(AT340*$W340*1000)/($H340*$B$5),(PI()*AX$12^2)/4*(AT340*$W340*1000)/($G340*$B$5))))))/10</f>
        <v>#N/A</v>
      </c>
      <c r="AY340" s="102" t="e">
        <f>(VLOOKUP($B$3,'Coeff EC7'!$T$39:$X$59,2,0)*AW340+VLOOKUP($B$3,'Coeff EC7'!$T$65:$X$85,2,0)*Model0.1C!AX340)/1.1</f>
        <v>#N/A</v>
      </c>
      <c r="AZ340" s="102" t="e">
        <f>(VLOOKUP($B$3,'Coeff EC7'!$T$39:$X$59,3,0)*AW340+VLOOKUP($B$3,'Coeff EC7'!$T$65:$X$85,3,0)*Model0.1C!AX340)/0.9</f>
        <v>#N/A</v>
      </c>
      <c r="BA340" s="102" t="e">
        <f t="shared" si="573"/>
        <v>#N/A</v>
      </c>
      <c r="BB340" s="102" t="e">
        <f t="shared" si="574"/>
        <v>#N/A</v>
      </c>
      <c r="BC340" s="414" t="e">
        <f>IF(BC339=0,0,IF(AND(AY340&gt;charge_ELS_quasi,AZ340&gt;Charge_ELS_freq,BA340&gt;charge_ELU,BB340&gt;charge_ELA,$B340&gt;NDC!$H$22-0.1+MIN(3*$BC$12,1.5)),0,1))</f>
        <v>#N/A</v>
      </c>
      <c r="BD340" s="86" t="b">
        <f t="shared" si="544"/>
        <v>0</v>
      </c>
      <c r="BE340" s="86">
        <f t="shared" si="575"/>
        <v>0.5</v>
      </c>
      <c r="BF340" s="86">
        <f t="shared" si="545"/>
        <v>0.5</v>
      </c>
      <c r="BG340" s="30" t="e">
        <f t="shared" ca="1" si="576"/>
        <v>#DIV/0!</v>
      </c>
      <c r="BH340" s="85" t="e">
        <f ca="1">IF(AN340&lt;=Hypothèses!$V$7,Hypothèses!$W$7,IF(AN340&lt;=Hypothèses!$V$8,Hypothèses!$W$8,IF(AN340&lt;=Hypothèses!$V$9,Hypothèses!$W$9,IF(AN340&lt;=Hypothèses!$V$10,Hypothèses!$W$10,IF(AN340&lt;=Hypothèses!$V$11,Hypothèses!$W$11,IF(AN340&lt;=Hypothèses!$V$12,Hypothèses!$W$12,IF(AN340&lt;=Hypothèses!$V$13,Hypothèses!$W$13,IF(AN340&lt;=Hypothèses!$V$14,Hypothèses!$W$14,IF(AN340&lt;=Hypothèses!$V$15,Hypothèses!$W$15,IF(AN340&lt;=Hypothèses!$V$16,Hypothèses!$W$16,IF(AN340&lt;=Hypothèses!$V$17,Hypothèses!$W$17,IF(AN340&lt;=Hypothèses!$V$18,Hypothèses!$W$18,""))))))))))))</f>
        <v>#DIV/0!</v>
      </c>
      <c r="BI340" s="87" t="e">
        <f t="shared" ca="1" si="618"/>
        <v>#DIV/0!</v>
      </c>
      <c r="BJ340" s="88" t="e">
        <f ca="1">IF(AN340&lt;=Hypothèses!$V$7,Hypothèses!$X$7,IF(AN340&lt;=Hypothèses!$V$8,Hypothèses!$X$8,IF(AN340&lt;=Hypothèses!$V$9,Hypothèses!$X$9,IF(AN340&lt;=Hypothèses!$V$10,Hypothèses!$X$10,IF(AN340&lt;=Hypothèses!$V$11,Hypothèses!$X$11,IF(AN340&lt;=Hypothèses!$V$12,Hypothèses!$X$12,IF(AN340&lt;=Hypothèses!$V$13,Hypothèses!$X$13,IF(AN340&lt;=Hypothèses!$V$14,Hypothèses!$X$14,IF(AN340&lt;=Hypothèses!$V$15,Hypothèses!$X$15,IF(AN340&lt;=Hypothèses!$V$16,Hypothèses!$X$16,IF(AN340&lt;=Hypothèses!$U$17,Hypothèses!$W$17,IF(AN340&lt;=Hypothèses!$U$18,Hypothèses!$W$18,""))))))))))))</f>
        <v>#DIV/0!</v>
      </c>
      <c r="BK340" s="95" t="e">
        <f t="shared" ca="1" si="577"/>
        <v>#DIV/0!</v>
      </c>
      <c r="BL340" s="101" t="e">
        <f t="shared" si="625"/>
        <v>#N/A</v>
      </c>
      <c r="BM340" s="91" t="e">
        <f t="shared" si="546"/>
        <v>#N/A</v>
      </c>
      <c r="BN340" s="30" t="e">
        <f t="shared" si="604"/>
        <v>#N/A</v>
      </c>
      <c r="BO340" s="30" t="e">
        <f t="shared" si="605"/>
        <v>#N/A</v>
      </c>
      <c r="BP340" s="31" t="e">
        <f>IF(OR(Hypothèses!$B$4=17,Hypothèses!$B$4=18,Hypothèses!$B$4=19,Hypothèses!$B$4=20),
IF($D340="Pressio.",
IF(OR($E340=3,$E340=1,$E340=4),BO340,BN340),
IF($D340="Pénétro.",
IF(OR($E340=3,$E340=1,$E340=4),BO340,BN340))),IF($D340="Pressio.",
IF($E340=3,BO340,BN340),
IF($D340="Pénétro.",
IF($E340=4,BO340,BN340))))</f>
        <v>#N/A</v>
      </c>
      <c r="BQ340" s="31" t="e">
        <f>(IF(OR(Hypothèses!$B$4=17,Hypothèses!$B$4=18,Hypothèses!$B$4=19,Hypothèses!$B$4=20),
IF($D340="Pressio.",
IF(OR($E340=3,$E340=1,$E340=4),(PI()*BQ$12^2)/4*(BM340*$W340*1000)/($H340*$B$5),(PI()*BQ$12^2)/4*(BM340*$W340*1000)/($G340*$B$5)),
IF($D340="Pénétro.",
IF(OR($E340=4,$E340=1,$E340=5),(PI()*BQ$12^2)/4*(BM340*$W340*1000)/($H340*$B$5),(PI()*BQ$12^2)/4*(BM340*$W340*1000)/($G340*$B$5)))),
IF($D340="Pressio.",
IF($E340=3,(PI()*BQ$12^2)/4*(BM340*$W340*1000)/($H340*$B$5),(PI()*BQ$12^2)/4*(BM340*$W340*1000)/($G340*$B$5)),
IF($D340="Pénétro.",
IF($E340=4,(PI()*BQ$12^2)/4*(BM340*$W340*1000)/($H340*$B$5),(PI()*BQ$12^2)/4*(BM340*$W340*1000)/($G340*$B$5))))))/10</f>
        <v>#N/A</v>
      </c>
      <c r="BR340" s="102" t="e">
        <f>(VLOOKUP($B$3,'Coeff EC7'!$T$39:$X$59,2,0)*BP340+VLOOKUP($B$3,'Coeff EC7'!$T$65:$X$85,2,0)*Model0.1C!BQ340)/1.1</f>
        <v>#N/A</v>
      </c>
      <c r="BS340" s="102" t="e">
        <f>(VLOOKUP($B$3,'Coeff EC7'!$T$39:$X$59,3,0)*BP340+VLOOKUP($B$3,'Coeff EC7'!$T$65:$X$85,3,0)*Model0.1C!BQ340)/0.9</f>
        <v>#N/A</v>
      </c>
      <c r="BT340" s="102" t="e">
        <f t="shared" si="578"/>
        <v>#N/A</v>
      </c>
      <c r="BU340" s="102" t="e">
        <f t="shared" si="579"/>
        <v>#N/A</v>
      </c>
      <c r="BV340" s="414" t="e">
        <f>IF(BV339=0,0,IF(AND(BR340&gt;charge_ELS_quasi,BS340&gt;Charge_ELS_freq,BT340&gt;charge_ELU,BU340&gt;charge_ELA,$B340&gt;NDC!$H$22-0.1+MIN(3*$BV$12,1.5)),0,1))</f>
        <v>#N/A</v>
      </c>
      <c r="BW340" s="86" t="b">
        <f t="shared" si="547"/>
        <v>0</v>
      </c>
      <c r="BX340" s="86">
        <f t="shared" si="548"/>
        <v>0.5</v>
      </c>
      <c r="BY340" s="86">
        <f t="shared" si="549"/>
        <v>0.5</v>
      </c>
      <c r="BZ340" s="30" t="e">
        <f t="shared" ca="1" si="580"/>
        <v>#DIV/0!</v>
      </c>
      <c r="CA340" s="85" t="e">
        <f ca="1">IF(BG340&lt;=Hypothèses!$V$7,Hypothèses!$W$7,IF(BG340&lt;=Hypothèses!$V$8,Hypothèses!$W$8,IF(BG340&lt;=Hypothèses!$V$9,Hypothèses!$W$9,IF(BG340&lt;=Hypothèses!$V$10,Hypothèses!$W$10,IF(BG340&lt;=Hypothèses!$V$11,Hypothèses!$W$11,IF(BG340&lt;=Hypothèses!$V$12,Hypothèses!$W$12,IF(BG340&lt;=Hypothèses!$V$13,Hypothèses!$W$13,IF(BG340&lt;=Hypothèses!$V$14,Hypothèses!$W$14,IF(BG340&lt;=Hypothèses!$V$15,Hypothèses!$W$15,IF(BG340&lt;=Hypothèses!$V$16,Hypothèses!$W$16,IF(BG340&lt;=Hypothèses!$V$17,Hypothèses!$W$17,IF(BG340&lt;=Hypothèses!$V$18,Hypothèses!$W$18,""))))))))))))</f>
        <v>#DIV/0!</v>
      </c>
      <c r="CB340" s="87" t="e">
        <f t="shared" ca="1" si="619"/>
        <v>#DIV/0!</v>
      </c>
      <c r="CC340" s="88" t="e">
        <f ca="1">IF(BG340&lt;=Hypothèses!$V$7,Hypothèses!$X$7,IF(BG340&lt;=Hypothèses!$V$8,Hypothèses!$X$8,IF(BG340&lt;=Hypothèses!$V$9,Hypothèses!$X$9,IF(BG340&lt;=Hypothèses!$V$10,Hypothèses!$X$10,IF(BG340&lt;=Hypothèses!$V$11,Hypothèses!$X$11,IF(BG340&lt;=Hypothèses!$V$12,Hypothèses!$X$12,IF(BG340&lt;=Hypothèses!$V$13,Hypothèses!$X$13,IF(BG340&lt;=Hypothèses!$V$14,Hypothèses!$X$14,IF(BG340&lt;=Hypothèses!$V$15,Hypothèses!$X$15,IF(BG340&lt;=Hypothèses!$V$16,Hypothèses!$X$16,IF(BG340&lt;=Hypothèses!$U$17,Hypothèses!$W$17,IF(BG340&lt;=Hypothèses!$U$18,Hypothèses!$W$18,""))))))))))))</f>
        <v>#DIV/0!</v>
      </c>
      <c r="CD340" s="95" t="e">
        <f t="shared" ca="1" si="581"/>
        <v>#DIV/0!</v>
      </c>
      <c r="CE340" s="101" t="e">
        <f t="shared" si="626"/>
        <v>#N/A</v>
      </c>
      <c r="CF340" s="91" t="e">
        <f t="shared" si="550"/>
        <v>#N/A</v>
      </c>
      <c r="CG340" s="30" t="e">
        <f t="shared" si="606"/>
        <v>#N/A</v>
      </c>
      <c r="CH340" s="30" t="e">
        <f t="shared" si="607"/>
        <v>#N/A</v>
      </c>
      <c r="CI340" s="31" t="e">
        <f>IF(OR(Hypothèses!$B$4=17,Hypothèses!$B$4=18,Hypothèses!$B$4=19,Hypothèses!$B$4=20),
IF($D340="Pressio.",
IF(OR($E340=3,$E340=1,$E340=4),CH340,CG340),
IF($D340="Pénétro.",
IF(OR($E340=3,$E340=1,$E340=4),CH340,CG340))),IF($D340="Pressio.",
IF($E340=3,CH340,CG340),
IF($D340="Pénétro.",
IF($E340=4,CH340,CG340))))</f>
        <v>#N/A</v>
      </c>
      <c r="CJ340" s="31" t="e">
        <f>(IF(OR(Hypothèses!$B$4=17,Hypothèses!$B$4=18,Hypothèses!$B$4=19,Hypothèses!$B$4=20),
IF($D340="Pressio.",
IF(OR($E340=3,$E340=1,$E340=4),(PI()*CJ$12^2)/4*(CF340*$W340*1000)/($H340*$B$5),(PI()*CJ$12^2)/4*(CF340*$W340*1000)/($G340*$B$5)),
IF($D340="Pénétro.",
IF(OR($E340=4,$E340=1,$E340=5),(PI()*CJ$12^2)/4*(CF340*$W340*1000)/($H340*$B$5),(PI()*CJ$12^2)/4*(CF340*$W340*1000)/($G340*$B$5)))),
IF($D340="Pressio.",
IF($E340=3,(PI()*CJ$12^2)/4*(CF340*$W340*1000)/($H340*$B$5),(PI()*CJ$12^2)/4*(CF340*$W340*1000)/($G340*$B$5)),
IF($D340="Pénétro.",
IF($E340=4,(PI()*CJ$12^2)/4*(CF340*$W340*1000)/($H340*$B$5),(PI()*CJ$12^2)/4*(CF340*$W340*1000)/($G340*$B$5))))))/10</f>
        <v>#N/A</v>
      </c>
      <c r="CK340" s="102" t="e">
        <f>(VLOOKUP($B$3,'Coeff EC7'!$T$39:$X$59,2,0)*CI340+VLOOKUP($B$3,'Coeff EC7'!$T$65:$X$85,2,0)*Model0.1C!CJ340)/1.1</f>
        <v>#N/A</v>
      </c>
      <c r="CL340" s="102" t="e">
        <f>(VLOOKUP($B$3,'Coeff EC7'!$T$39:$X$59,3,0)*CI340+VLOOKUP($B$3,'Coeff EC7'!$T$65:$X$85,3,0)*Model0.1C!CJ340)/0.9</f>
        <v>#N/A</v>
      </c>
      <c r="CM340" s="102" t="e">
        <f t="shared" si="582"/>
        <v>#N/A</v>
      </c>
      <c r="CN340" s="102" t="e">
        <f t="shared" si="583"/>
        <v>#N/A</v>
      </c>
      <c r="CO340" s="414" t="e">
        <f>IF(CO339=0,0,IF(AND(CK340&gt;charge_ELS_quasi,CL340&gt;Charge_ELS_freq,CM340&gt;charge_ELU,CN340&gt;charge_ELA,$B340&gt;NDC!$H$22-0.1+MIN(3*$CO$12,1.5)),0,1))</f>
        <v>#N/A</v>
      </c>
      <c r="CP340" s="86" t="b">
        <f t="shared" si="551"/>
        <v>0</v>
      </c>
      <c r="CQ340" s="86">
        <f t="shared" si="552"/>
        <v>0.5</v>
      </c>
      <c r="CR340" s="86">
        <f t="shared" si="553"/>
        <v>0.5</v>
      </c>
      <c r="CS340" s="30" t="e">
        <f t="shared" ca="1" si="584"/>
        <v>#DIV/0!</v>
      </c>
      <c r="CT340" s="85" t="e">
        <f ca="1">IF(BZ340&lt;=Hypothèses!$V$7,Hypothèses!$W$7,IF(BZ340&lt;=Hypothèses!$V$8,Hypothèses!$W$8,IF(BZ340&lt;=Hypothèses!$V$9,Hypothèses!$W$9,IF(BZ340&lt;=Hypothèses!$V$10,Hypothèses!$W$10,IF(BZ340&lt;=Hypothèses!$V$11,Hypothèses!$W$11,IF(BZ340&lt;=Hypothèses!$V$12,Hypothèses!$W$12,IF(BZ340&lt;=Hypothèses!$V$13,Hypothèses!$W$13,IF(BZ340&lt;=Hypothèses!$V$14,Hypothèses!$W$14,IF(BZ340&lt;=Hypothèses!$V$15,Hypothèses!$W$15,IF(BZ340&lt;=Hypothèses!$V$16,Hypothèses!$W$16,IF(BZ340&lt;=Hypothèses!$V$17,Hypothèses!$W$17,IF(BZ340&lt;=Hypothèses!$V$18,Hypothèses!$W$18,""))))))))))))</f>
        <v>#DIV/0!</v>
      </c>
      <c r="CU340" s="87" t="e">
        <f t="shared" ca="1" si="620"/>
        <v>#DIV/0!</v>
      </c>
      <c r="CV340" s="88" t="e">
        <f ca="1">IF(BZ340&lt;=Hypothèses!$V$7,Hypothèses!$X$7,IF(BZ340&lt;=Hypothèses!$V$8,Hypothèses!$X$8,IF(BZ340&lt;=Hypothèses!$V$9,Hypothèses!$X$9,IF(BZ340&lt;=Hypothèses!$V$10,Hypothèses!$X$10,IF(BZ340&lt;=Hypothèses!$V$11,Hypothèses!$X$11,IF(BZ340&lt;=Hypothèses!$V$12,Hypothèses!$X$12,IF(BZ340&lt;=Hypothèses!$V$13,Hypothèses!$X$13,IF(BZ340&lt;=Hypothèses!$V$14,Hypothèses!$X$14,IF(BZ340&lt;=Hypothèses!$V$15,Hypothèses!$X$15,IF(BZ340&lt;=Hypothèses!$V$16,Hypothèses!$X$16,IF(BZ340&lt;=Hypothèses!$U$17,Hypothèses!$W$17,IF(BZ340&lt;=Hypothèses!$U$18,Hypothèses!$W$18,""))))))))))))</f>
        <v>#DIV/0!</v>
      </c>
      <c r="CW340" s="95" t="e">
        <f t="shared" ca="1" si="585"/>
        <v>#DIV/0!</v>
      </c>
      <c r="CX340" s="101" t="e">
        <f t="shared" si="627"/>
        <v>#N/A</v>
      </c>
      <c r="CY340" s="91" t="e">
        <f t="shared" si="554"/>
        <v>#N/A</v>
      </c>
      <c r="CZ340" s="30" t="e">
        <f t="shared" si="608"/>
        <v>#N/A</v>
      </c>
      <c r="DA340" s="30" t="e">
        <f t="shared" si="609"/>
        <v>#N/A</v>
      </c>
      <c r="DB340" s="31" t="e">
        <f>IF(OR(Hypothèses!$B$4=17,Hypothèses!$B$4=18,Hypothèses!$B$4=19,Hypothèses!$B$4=20),
IF($D340="Pressio.",
IF(OR($E340=3,$E340=1,$E340=4),DA340,CZ340),
IF($D340="Pénétro.",
IF(OR($E340=3,$E340=1,$E340=4),DA340,CZ340))),IF($D340="Pressio.",
IF($E340=3,DA340,CZ340),
IF($D340="Pénétro.",
IF($E340=4,DA340,CZ340))))</f>
        <v>#N/A</v>
      </c>
      <c r="DC340" s="31" t="e">
        <f>(IF(OR(Hypothèses!$B$4=17,Hypothèses!$B$4=18,Hypothèses!$B$4=19,Hypothèses!$B$4=20),
IF($D340="Pressio.",
IF(OR($E340=3,$E340=1,$E340=4),(PI()*DC$12^2)/4*(CY340*$W340*1000)/($H340*$B$5),(PI()*DC$12^2)/4*(CY340*$W340*1000)/($G340*$B$5)),
IF($D340="Pénétro.",
IF(OR($E340=4,$E340=1,$E340=5),(PI()*DC$12^2)/4*(CY340*$W340*1000)/($H340*$B$5),(PI()*DC$12^2)/4*(CY340*$W340*1000)/($G340*$B$5)))),
IF($D340="Pressio.",
IF($E340=3,(PI()*DC$12^2)/4*(CY340*$W340*1000)/($H340*$B$5),(PI()*DC$12^2)/4*(CY340*$W340*1000)/($G340*$B$5)),
IF($D340="Pénétro.",
IF($E340=4,(PI()*DC$12^2)/4*(CY340*$W340*1000)/($H340*$B$5),(PI()*DC$12^2)/4*(CY340*$W340*1000)/($G340*$B$5))))))/10</f>
        <v>#N/A</v>
      </c>
      <c r="DD340" s="102" t="e">
        <f>(VLOOKUP($B$3,'Coeff EC7'!$T$39:$X$59,2,0)*DB340+VLOOKUP($B$3,'Coeff EC7'!$T$65:$X$85,2,0)*Model0.1C!DC340)/1.1</f>
        <v>#N/A</v>
      </c>
      <c r="DE340" s="102" t="e">
        <f>(VLOOKUP($B$3,'Coeff EC7'!$T$39:$X$59,3,0)*DB340+VLOOKUP($B$3,'Coeff EC7'!$T$65:$X$85,3,0)*Model0.1C!DC340)/0.9</f>
        <v>#N/A</v>
      </c>
      <c r="DF340" s="102" t="e">
        <f t="shared" si="586"/>
        <v>#N/A</v>
      </c>
      <c r="DG340" s="102" t="e">
        <f t="shared" si="587"/>
        <v>#N/A</v>
      </c>
      <c r="DH340" s="414" t="e">
        <f>IF(DH339=0,0,IF(AND(DD340&gt;charge_ELS_quasi,DE340&gt;Charge_ELS_freq,DF340&gt;charge_ELU,DG340&gt;charge_ELA,$B340&gt;NDC!$H$22-0.1+MIN(3*$DH$12,1.5)),0,1))</f>
        <v>#N/A</v>
      </c>
      <c r="DI340" s="86" t="b">
        <f t="shared" si="555"/>
        <v>0</v>
      </c>
      <c r="DJ340" s="86">
        <f t="shared" si="556"/>
        <v>0.5</v>
      </c>
      <c r="DK340" s="86">
        <f t="shared" si="557"/>
        <v>0.5</v>
      </c>
      <c r="DL340" s="30" t="e">
        <f t="shared" ca="1" si="588"/>
        <v>#DIV/0!</v>
      </c>
      <c r="DM340" s="85" t="e">
        <f ca="1">IF(CS340&lt;=Hypothèses!$V$7,Hypothèses!$W$7,IF(CS340&lt;=Hypothèses!$V$8,Hypothèses!$W$8,IF(CS340&lt;=Hypothèses!$V$9,Hypothèses!$W$9,IF(CS340&lt;=Hypothèses!$V$10,Hypothèses!$W$10,IF(CS340&lt;=Hypothèses!$V$11,Hypothèses!$W$11,IF(CS340&lt;=Hypothèses!$V$12,Hypothèses!$W$12,IF(CS340&lt;=Hypothèses!$V$13,Hypothèses!$W$13,IF(CS340&lt;=Hypothèses!$V$14,Hypothèses!$W$14,IF(CS340&lt;=Hypothèses!$V$15,Hypothèses!$W$15,IF(CS340&lt;=Hypothèses!$V$16,Hypothèses!$W$16,IF(CS340&lt;=Hypothèses!$V$17,Hypothèses!$W$17,IF(CS340&lt;=Hypothèses!$V$18,Hypothèses!$W$18,""))))))))))))</f>
        <v>#DIV/0!</v>
      </c>
      <c r="DN340" s="87" t="e">
        <f t="shared" ca="1" si="621"/>
        <v>#DIV/0!</v>
      </c>
      <c r="DO340" s="88" t="e">
        <f ca="1">IF(CS340&lt;=Hypothèses!$V$7,Hypothèses!$X$7,IF(CS340&lt;=Hypothèses!$V$8,Hypothèses!$X$8,IF(CS340&lt;=Hypothèses!$V$9,Hypothèses!$X$9,IF(CS340&lt;=Hypothèses!$V$10,Hypothèses!$X$10,IF(CS340&lt;=Hypothèses!$V$11,Hypothèses!$X$11,IF(CS340&lt;=Hypothèses!$V$12,Hypothèses!$X$12,IF(CS340&lt;=Hypothèses!$V$13,Hypothèses!$X$13,IF(CS340&lt;=Hypothèses!$V$14,Hypothèses!$X$14,IF(CS340&lt;=Hypothèses!$V$15,Hypothèses!$X$15,IF(CS340&lt;=Hypothèses!$V$16,Hypothèses!$X$16,IF(CS340&lt;=Hypothèses!$U$17,Hypothèses!$W$17,IF(CS340&lt;=Hypothèses!$U$18,Hypothèses!$W$18,""))))))))))))</f>
        <v>#DIV/0!</v>
      </c>
      <c r="DP340" s="95" t="e">
        <f t="shared" ca="1" si="589"/>
        <v>#DIV/0!</v>
      </c>
      <c r="DQ340" s="101" t="e">
        <f t="shared" si="628"/>
        <v>#N/A</v>
      </c>
      <c r="DR340" s="91" t="e">
        <f t="shared" si="558"/>
        <v>#N/A</v>
      </c>
      <c r="DS340" s="30" t="e">
        <f t="shared" si="610"/>
        <v>#N/A</v>
      </c>
      <c r="DT340" s="30" t="e">
        <f t="shared" si="611"/>
        <v>#N/A</v>
      </c>
      <c r="DU340" s="31" t="e">
        <f>IF(OR(Hypothèses!$B$4=17,Hypothèses!$B$4=18,Hypothèses!$B$4=19,Hypothèses!$B$4=20),
IF($D340="Pressio.",
IF(OR($E340=3,$E340=1,$E340=4),DT340,DS340),
IF($D340="Pénétro.",
IF(OR($E340=3,$E340=1,$E340=4),DT340,DS340))),IF($D340="Pressio.",
IF($E340=3,DT340,DS340),
IF($D340="Pénétro.",
IF($E340=4,DT340,DS340))))</f>
        <v>#N/A</v>
      </c>
      <c r="DV340" s="31" t="e">
        <f>(IF(OR(Hypothèses!$B$4=17,Hypothèses!$B$4=18,Hypothèses!$B$4=19,Hypothèses!$B$4=20),
IF($D340="Pressio.",
IF(OR($E340=3,$E340=1,$E340=4),(PI()*DV$12^2)/4*(DR340*$W340*1000)/($H340*$B$5),(PI()*DV$12^2)/4*(DR340*$W340*1000)/($G340*$B$5)),
IF($D340="Pénétro.",
IF(OR($E340=4,$E340=1,$E340=5),(PI()*DV$12^2)/4*(DR340*$W340*1000)/($H340*$B$5),(PI()*DV$12^2)/4*(DR340*$W340*1000)/($G340*$B$5)))),
IF($D340="Pressio.",
IF($E340=3,(PI()*DV$12^2)/4*(DR340*$W340*1000)/($H340*$B$5),(PI()*DV$12^2)/4*(DR340*$W340*1000)/($G340*$B$5)),
IF($D340="Pénétro.",
IF($E340=4,(PI()*DV$12^2)/4*(DR340*$W340*1000)/($H340*$B$5),(PI()*DV$12^2)/4*(DR340*$W340*1000)/($G340*$B$5))))))/10</f>
        <v>#N/A</v>
      </c>
      <c r="DW340" s="102" t="e">
        <f>(VLOOKUP($B$3,'Coeff EC7'!$T$39:$X$59,2,0)*DU340+VLOOKUP($B$3,'Coeff EC7'!$T$65:$X$85,2,0)*Model0.1C!DV340)/1.1</f>
        <v>#N/A</v>
      </c>
      <c r="DX340" s="102" t="e">
        <f>(VLOOKUP($B$3,'Coeff EC7'!$T$39:$X$59,3,0)*DU340+VLOOKUP($B$3,'Coeff EC7'!$T$65:$X$85,3,0)*Model0.1C!DV340)/0.9</f>
        <v>#N/A</v>
      </c>
      <c r="DY340" s="102" t="e">
        <f t="shared" si="590"/>
        <v>#N/A</v>
      </c>
      <c r="DZ340" s="102" t="e">
        <f t="shared" si="591"/>
        <v>#N/A</v>
      </c>
      <c r="EA340" s="414" t="e">
        <f>IF(EA339=0,0,IF(AND(DW340&gt;charge_ELS_quasi,DX340&gt;Charge_ELS_freq,DY340&gt;charge_ELU,DZ340&gt;charge_ELA,$B340&gt;NDC!$H$22-0.1+MIN(3*$EA$12,1.5)),0,1))</f>
        <v>#N/A</v>
      </c>
      <c r="EB340" s="86" t="b">
        <f t="shared" si="559"/>
        <v>0</v>
      </c>
      <c r="EC340" s="418">
        <f t="shared" si="560"/>
        <v>0.51</v>
      </c>
      <c r="ED340" s="86">
        <f t="shared" si="561"/>
        <v>0.51</v>
      </c>
      <c r="EE340" s="30" t="e">
        <f t="shared" ca="1" si="592"/>
        <v>#DIV/0!</v>
      </c>
      <c r="EF340" s="85" t="e">
        <f ca="1">IF(DL340&lt;=Hypothèses!$V$7,Hypothèses!$W$7,IF(DL340&lt;=Hypothèses!$V$8,Hypothèses!$W$8,IF(DL340&lt;=Hypothèses!$V$9,Hypothèses!$W$9,IF(DL340&lt;=Hypothèses!$V$10,Hypothèses!$W$10,IF(DL340&lt;=Hypothèses!$V$11,Hypothèses!$W$11,IF(DL340&lt;=Hypothèses!$V$12,Hypothèses!$W$12,IF(DL340&lt;=Hypothèses!$V$13,Hypothèses!$W$13,IF(DL340&lt;=Hypothèses!$V$14,Hypothèses!$W$14,IF(DL340&lt;=Hypothèses!$V$15,Hypothèses!$W$15,IF(DL340&lt;=Hypothèses!$V$16,Hypothèses!$W$16,IF(DL340&lt;=Hypothèses!$V$17,Hypothèses!$W$17,IF(DL340&lt;=Hypothèses!$V$18,Hypothèses!$W$18,""))))))))))))</f>
        <v>#DIV/0!</v>
      </c>
      <c r="EG340" s="87" t="e">
        <f t="shared" ca="1" si="622"/>
        <v>#DIV/0!</v>
      </c>
      <c r="EH340" s="88" t="e">
        <f ca="1">IF(DL340&lt;=Hypothèses!$V$7,Hypothèses!$X$7,IF(DL340&lt;=Hypothèses!$V$8,Hypothèses!$X$8,IF(DL340&lt;=Hypothèses!$V$9,Hypothèses!$X$9,IF(DL340&lt;=Hypothèses!$V$10,Hypothèses!$X$10,IF(DL340&lt;=Hypothèses!$V$11,Hypothèses!$X$11,IF(DL340&lt;=Hypothèses!$V$12,Hypothèses!$X$12,IF(DL340&lt;=Hypothèses!$V$13,Hypothèses!$X$13,IF(DL340&lt;=Hypothèses!$V$14,Hypothèses!$X$14,IF(DL340&lt;=Hypothèses!$V$15,Hypothèses!$X$15,IF(DL340&lt;=Hypothèses!$V$16,Hypothèses!$X$16,IF(DL340&lt;=Hypothèses!$U$17,Hypothèses!$W$17,IF(DL340&lt;=Hypothèses!$U$18,Hypothèses!$W$18,""))))))))))))</f>
        <v>#DIV/0!</v>
      </c>
      <c r="EI340" s="95" t="e">
        <f t="shared" ca="1" si="593"/>
        <v>#DIV/0!</v>
      </c>
      <c r="EJ340" s="101" t="e">
        <f t="shared" si="629"/>
        <v>#N/A</v>
      </c>
      <c r="EK340" s="91" t="e">
        <f t="shared" si="562"/>
        <v>#N/A</v>
      </c>
      <c r="EL340" s="30" t="e">
        <f t="shared" si="612"/>
        <v>#N/A</v>
      </c>
      <c r="EM340" s="30" t="e">
        <f t="shared" si="613"/>
        <v>#N/A</v>
      </c>
      <c r="EN340" s="31" t="e">
        <f>IF(OR(Hypothèses!$B$4=17,Hypothèses!$B$4=18,Hypothèses!$B$4=19,Hypothèses!$B$4=20),
IF($D340="Pressio.",
IF(OR($E340=3,$E340=1,$E340=4),EM340,EL340),
IF($D340="Pénétro.",
IF(OR($E340=3,$E340=1,$E340=4),EM340,EL340))),IF($D340="Pressio.",
IF($E340=3,EM340,EL340),
IF($D340="Pénétro.",
IF($E340=4,EM340,EL340))))</f>
        <v>#N/A</v>
      </c>
      <c r="EO340" s="31" t="e">
        <f>(IF(OR(Hypothèses!$B$4=17,Hypothèses!$B$4=18,Hypothèses!$B$4=19,Hypothèses!$B$4=20),
IF($D340="Pressio.",
IF(OR($E340=3,$E340=1,$E340=4),(PI()*EO$12^2)/4*(EK340*$W340*1000)/($H340*$B$5),(PI()*EO$12^2)/4*(EK340*$W340*1000)/($G340*$B$5)),
IF($D340="Pénétro.",
IF(OR($E340=4,$E340=1,$E340=5),(PI()*EO$12^2)/4*(EK340*$W340*1000)/($H340*$B$5),(PI()*EO$12^2)/4*(EK340*$W340*1000)/($G340*$B$5)))),
IF($D340="Pressio.",
IF($E340=3,(PI()*EO$12^2)/4*(EK340*$W340*1000)/($H340*$B$5),(PI()*EO$12^2)/4*(EK340*$W340*1000)/($G340*$B$5)),
IF($D340="Pénétro.",
IF($E340=4,(PI()*EO$12^2)/4*(EK340*$W340*1000)/($H340*$B$5),(PI()*EO$12^2)/4*(EK340*$W340*1000)/($G340*$B$5))))))/10</f>
        <v>#N/A</v>
      </c>
      <c r="EP340" s="102" t="e">
        <f>(VLOOKUP($B$3,'Coeff EC7'!$T$39:$X$59,2,0)*EN340+VLOOKUP($B$3,'Coeff EC7'!$T$65:$X$85,2,0)*Model0.1C!EO340)/1.1</f>
        <v>#N/A</v>
      </c>
      <c r="EQ340" s="102" t="e">
        <f>(VLOOKUP($B$3,'Coeff EC7'!$T$39:$X$59,3,0)*EN340+VLOOKUP($B$3,'Coeff EC7'!$T$65:$X$85,3,0)*Model0.1C!EO340)/0.9</f>
        <v>#N/A</v>
      </c>
      <c r="ER340" s="102" t="e">
        <f t="shared" si="594"/>
        <v>#N/A</v>
      </c>
      <c r="ES340" s="102" t="e">
        <f t="shared" si="595"/>
        <v>#N/A</v>
      </c>
      <c r="ET340" s="414" t="e">
        <f>IF(ET339=0,0,IF(AND(EP340&gt;charge_ELS_quasi,EQ340&gt;Charge_ELS_freq,ER340&gt;charge_ELU,ES340&gt;charge_ELA,$B340&gt;NDC!$H$22-0.1+MIN(3*$ET$12,1.5)),0,1))</f>
        <v>#N/A</v>
      </c>
      <c r="EU340" s="86" t="b">
        <f t="shared" si="563"/>
        <v>0</v>
      </c>
      <c r="EV340" s="86">
        <f t="shared" si="564"/>
        <v>0.61</v>
      </c>
      <c r="EW340" s="86">
        <f t="shared" si="565"/>
        <v>0.61</v>
      </c>
      <c r="EX340" s="30" t="e">
        <f t="shared" ca="1" si="596"/>
        <v>#DIV/0!</v>
      </c>
      <c r="EY340" s="85" t="e">
        <f ca="1">IF(EE340&lt;=Hypothèses!$V$7,Hypothèses!$W$7,IF(EE340&lt;=Hypothèses!$V$8,Hypothèses!$W$8,IF(EE340&lt;=Hypothèses!$V$9,Hypothèses!$W$9,IF(EE340&lt;=Hypothèses!$V$10,Hypothèses!$W$10,IF(EE340&lt;=Hypothèses!$V$11,Hypothèses!$W$11,IF(EE340&lt;=Hypothèses!$V$12,Hypothèses!$W$12,IF(EE340&lt;=Hypothèses!$V$13,Hypothèses!$W$13,IF(EE340&lt;=Hypothèses!$V$14,Hypothèses!$W$14,IF(EE340&lt;=Hypothèses!$V$15,Hypothèses!$W$15,IF(EE340&lt;=Hypothèses!$V$16,Hypothèses!$W$16,IF(EE340&lt;=Hypothèses!$V$17,Hypothèses!$W$17,IF(EE340&lt;=Hypothèses!$V$18,Hypothèses!$W$18,""))))))))))))</f>
        <v>#DIV/0!</v>
      </c>
      <c r="EZ340" s="87" t="e">
        <f t="shared" ca="1" si="623"/>
        <v>#DIV/0!</v>
      </c>
      <c r="FA340" s="88" t="e">
        <f ca="1">IF(EE340&lt;=Hypothèses!$V$7,Hypothèses!$X$7,IF(EE340&lt;=Hypothèses!$V$8,Hypothèses!$X$8,IF(EE340&lt;=Hypothèses!$V$9,Hypothèses!$X$9,IF(EE340&lt;=Hypothèses!$V$10,Hypothèses!$X$10,IF(EE340&lt;=Hypothèses!$V$11,Hypothèses!$X$11,IF(EE340&lt;=Hypothèses!$V$12,Hypothèses!$X$12,IF(EE340&lt;=Hypothèses!$V$13,Hypothèses!$X$13,IF(EE340&lt;=Hypothèses!$V$14,Hypothèses!$X$14,IF(EE340&lt;=Hypothèses!$V$15,Hypothèses!$X$15,IF(EE340&lt;=Hypothèses!$V$16,Hypothèses!$X$16,IF(EE340&lt;=Hypothèses!$U$17,Hypothèses!$W$17,IF(EE340&lt;=Hypothèses!$U$18,Hypothèses!$W$18,""))))))))))))</f>
        <v>#DIV/0!</v>
      </c>
      <c r="FB340" s="95" t="e">
        <f t="shared" ca="1" si="597"/>
        <v>#DIV/0!</v>
      </c>
      <c r="FC340" s="101" t="e">
        <f t="shared" si="630"/>
        <v>#N/A</v>
      </c>
      <c r="FD340" s="91" t="e">
        <f t="shared" si="566"/>
        <v>#N/A</v>
      </c>
      <c r="FE340" s="30" t="e">
        <f t="shared" si="614"/>
        <v>#N/A</v>
      </c>
      <c r="FF340" s="30" t="e">
        <f t="shared" si="615"/>
        <v>#N/A</v>
      </c>
      <c r="FG340" s="31" t="e">
        <f>IF(OR(Hypothèses!$B$4=17,Hypothèses!$B$4=18,Hypothèses!$B$4=19,Hypothèses!$B$4=20),
IF($D340="Pressio.",
IF(OR($E340=3,$E340=1,$E340=4),FF340,FE340),
IF($D340="Pénétro.",
IF(OR($E340=3,$E340=1,$E340=4),FF340,FE340))),IF($D340="Pressio.",
IF($E340=3,FF340,FE340),
IF($D340="Pénétro.",
IF($E340=4,FF340,FE340))))</f>
        <v>#N/A</v>
      </c>
      <c r="FH340" s="31" t="e">
        <f>(IF(OR(Hypothèses!$B$4=17,Hypothèses!$B$4=18,Hypothèses!$B$4=19,Hypothèses!$B$4=20),
IF($D340="Pressio.",
IF(OR($E340=3,$E340=1,$E340=4),(PI()*FH$12^2)/4*(FD340*$W340*1000)/($H340*$B$5),(PI()*FH$12^2)/4*(FD340*$W340*1000)/($G340*$B$5)),
IF($D340="Pénétro.",
IF(OR($E340=4,$E340=1,$E340=5),(PI()*FH$12^2)/4*(FD340*$W340*1000)/($H340*$B$5),(PI()*FH$12^2)/4*(FD340*$W340*1000)/($G340*$B$5)))),
IF($D340="Pressio.",
IF($E340=3,(PI()*FH$12^2)/4*(FD340*$W340*1000)/($H340*$B$5),(PI()*FH$12^2)/4*(FD340*$W340*1000)/($G340*$B$5)),
IF($D340="Pénétro.",
IF($E340=4,(PI()*FH$12^2)/4*(FD340*$W340*1000)/($H340*$B$5),(PI()*FH$12^2)/4*(FD340*$W340*1000)/($G340*$B$5))))))/10</f>
        <v>#N/A</v>
      </c>
      <c r="FI340" s="102" t="e">
        <f>(VLOOKUP($B$3,'Coeff EC7'!$T$39:$X$59,2,0)*FG340+VLOOKUP($B$3,'Coeff EC7'!$T$65:$X$85,2,0)*Model0.1C!FH340)/1.1</f>
        <v>#N/A</v>
      </c>
      <c r="FJ340" s="102" t="e">
        <f>(VLOOKUP($B$3,'Coeff EC7'!$T$39:$X$59,3,0)*FG340+VLOOKUP($B$3,'Coeff EC7'!$T$65:$X$85,3,0)*Model0.1C!FH340)/0.9</f>
        <v>#N/A</v>
      </c>
      <c r="FK340" s="102" t="e">
        <f t="shared" si="598"/>
        <v>#N/A</v>
      </c>
      <c r="FL340" s="102" t="e">
        <f t="shared" si="599"/>
        <v>#N/A</v>
      </c>
      <c r="FM340" s="414" t="e">
        <f>IF(FM339=0,0,IF(AND(FI340&gt;charge_ELS_quasi,FJ340&gt;Charge_ELS_freq,FK340&gt;charge_ELU,FL340&gt;charge_ELA,$B340&gt;NDC!$H$22-0.1+MIN(3*$FM$12,1.5)),0,1))</f>
        <v>#N/A</v>
      </c>
    </row>
    <row r="341" spans="1:169">
      <c r="A341" s="96">
        <f t="shared" si="567"/>
        <v>67.200000000001864</v>
      </c>
      <c r="B341" s="97">
        <v>32.799999999999997</v>
      </c>
      <c r="C341" s="81">
        <f>IF(B341&lt;=Hypothèses!$C$7,Hypothèses!$A$7,IF(B341&lt;=Hypothèses!$C$8,Hypothèses!$A$8,IF(B341&lt;=Hypothèses!$C$9,Hypothèses!$A$9,IF(B341&lt;=Hypothèses!$C$10,Hypothèses!$A$10,IF(B341&lt;=Hypothèses!$C$11,Hypothèses!$A$11,IF(B341&lt;=Hypothèses!$C$12,Hypothèses!$A$12,IF(B341&lt;=Hypothèses!$C$13,Hypothèses!$A$13,IF(B341&lt;=Hypothèses!$C$14,Hypothèses!$A$14,IF(B341&lt;=Hypothèses!$C$15,Hypothèses!$A$15,IF(B341&lt;=Hypothèses!$C$16,Hypothèses!$A$16,IF(B341&lt;=Hypothèses!$C$17,Hypothèses!$A$17,IF(B341&lt;=Hypothèses!$C$18,Hypothèses!$A$18,C340))))))))))))</f>
        <v>11</v>
      </c>
      <c r="D341" s="82" t="str">
        <f>IF(B341&lt;=Hypothèses!$C$7,Hypothèses!$R$7,IF(B341&lt;=Hypothèses!$C$8,Hypothèses!$R$8,IF(B341&lt;=Hypothèses!$C$9,Hypothèses!$R$9,IF(B341&lt;=Hypothèses!$C$10,Hypothèses!$R$10,IF(B341&lt;=Hypothèses!$C$11,Hypothèses!$R$11,IF(B341&lt;=Hypothèses!$C$12,Hypothèses!$R$12,IF(B341&lt;=Hypothèses!$C$13,Hypothèses!$R$13,IF(B341&lt;=Hypothèses!$C$14,Hypothèses!$R$14,IF(B341&lt;=Hypothèses!$C$15,Hypothèses!$R$15,IF(B341&lt;=Hypothèses!$C$16,Hypothèses!$R$16,IF(B341&lt;=Hypothèses!$C$17,Hypothèses!$R$17,IF(B341&lt;=Hypothèses!$C$18,Hypothèses!$R$18,D340))))))))))))</f>
        <v>Pressio.</v>
      </c>
      <c r="E341" s="82" t="e">
        <f>IF(B341&lt;=Hypothèses!$C$7,Hypothèses!$G$7,IF(B341&lt;=Hypothèses!$C$8,Hypothèses!$G$8,IF(B341&lt;=Hypothèses!$C$9,Hypothèses!$G$9,IF(B341&lt;=Hypothèses!$C$10,Hypothèses!$G$10,IF(B341&lt;=Hypothèses!$C$11,Hypothèses!$G$11,IF(B341&lt;=Hypothèses!$C$12,Hypothèses!$G$12,IF(B341&lt;=Hypothèses!$C$13,Hypothèses!$G$13,IF(B341&lt;=Hypothèses!$C$14,Hypothèses!$G$14,IF(B341&lt;=Hypothèses!$C$15,Hypothèses!$G$15,IF(B341&lt;=Hypothèses!$C$16,Hypothèses!$G$16,IF(B341&lt;=Hypothèses!$C$17,Hypothèses!$G$17,IF(B341&lt;=Hypothèses!$C$18,Hypothèses!$G$18,E340))))))))))))</f>
        <v>#N/A</v>
      </c>
      <c r="F341" s="82" t="str">
        <f>IF(B341&lt;=Hypothèses!$C$7,Hypothèses!$F$7,IF(B341&lt;=Hypothèses!$C$8,Hypothèses!$F$8,IF(B341&lt;=Hypothèses!$C$9,Hypothèses!$F$9,IF(B341&lt;=Hypothèses!$C$10,Hypothèses!$F$10,IF(B341&lt;=Hypothèses!$C$11,Hypothèses!$F$11,IF(B341&lt;=Hypothèses!$C$12,Hypothèses!$F$12,IF(B341&lt;=Hypothèses!$C$13,Hypothèses!$F$13,IF(B341&lt;=Hypothèses!$C$14,Hypothèses!$F$14,IF(B341&lt;=Hypothèses!$C$15,Hypothèses!$F$15,IF(B341&lt;=Hypothèses!$C$16,Hypothèses!$F$16,IF(B341&lt;=Hypothèses!$C$17,Hypothèses!$F$17,IF(B341&lt;=Hypothèses!$C$18,Hypothèses!$F$18,F340))))))))))))</f>
        <v/>
      </c>
      <c r="G341" s="91">
        <f t="array" ref="G341">INDEX('Coeff EC7'!$U$7:$X$27,
MATCH(Model0.1C!$B$3,'Coeff EC7'!$T$7:$T$27,0),
MATCH(Model0.1C!$D341&amp;Model0.1C!$B$4,
'Coeff EC7'!$U$6:$X$6&amp;
'Coeff EC7'!$U$5:$X$5,0))</f>
        <v>1.1499999999999999</v>
      </c>
      <c r="H341" s="91">
        <f t="array" ref="H341">INDEX('Coeff EC7'!$Y$7:$AB$27,
MATCH(Model0.1C!$B$3,'Coeff EC7'!$T$7:$T$27,0),
MATCH(Model0.1C!$D341&amp;Model0.1C!$B$4,
'Coeff EC7'!$Y$6:$AB$6&amp;
'Coeff EC7'!$Y$5:$AB$5,0))</f>
        <v>1.4</v>
      </c>
      <c r="I341" s="83" t="e">
        <f>IF(B341&lt;=Hypothèses!$C$7,Hypothèses!$P$7,IF(B341&lt;=Hypothèses!$C$8,Hypothèses!$P$8,IF(B341&lt;=Hypothèses!$C$9,Hypothèses!$P$9,IF(B341&lt;=Hypothèses!$C$10,Hypothèses!$P$10,IF(B341&lt;=Hypothèses!$C$11,Hypothèses!$P$11,IF(B341&lt;=Hypothèses!$C$12,Hypothèses!$P$12,IF(B341&lt;=Hypothèses!$C$13,Hypothèses!$P$13,IF(B341&lt;=Hypothèses!$C$14,Hypothèses!$P$14,IF(B341&lt;=Hypothèses!$C$15,Hypothèses!$P$15,IF(B341&lt;=Hypothèses!$C$16,Hypothèses!$P$16,IF(B341&lt;=Hypothèses!$C$17,Hypothèses!$P$17,IF(B341&lt;=Hypothèses!$C$18,Hypothèses!$P$18,I340))))))))))))</f>
        <v>#N/A</v>
      </c>
      <c r="J341" s="91" t="e">
        <f t="array" ref="J341">INDEX('Coeff EC7'!$D$33:$Q$33,1,MATCH(D341&amp;E341,'Coeff EC7'!$D$31:$Q$31&amp;'Coeff EC7'!$D$32:$Q$32,0))</f>
        <v>#N/A</v>
      </c>
      <c r="K341" s="91" t="e">
        <f t="array" ref="K341">INDEX('Coeff EC7'!$D$34:$Q$34,1,MATCH(D341&amp;E341,'Coeff EC7'!$D$31:$Q$31&amp;'Coeff EC7'!$D$32:$Q$32,0))</f>
        <v>#N/A</v>
      </c>
      <c r="L341" s="91" t="e">
        <f t="array" ref="L341">INDEX('Coeff EC7'!$D$35:$Q$35,1,MATCH(D341&amp;E341,'Coeff EC7'!$D$31:$Q$31&amp;'Coeff EC7'!$D$32:$Q$32,0))</f>
        <v>#N/A</v>
      </c>
      <c r="M341" s="98" t="e">
        <f t="shared" si="531"/>
        <v>#N/A</v>
      </c>
      <c r="N341" s="99" t="e">
        <f t="array" ref="N341">INDEX('Coeff EC7'!$D$7:$Q$27,MATCH($B$3,'Coeff EC7'!$C$7:$C$27,0),MATCH(D341&amp;E341,'Coeff EC7'!$D$5:$Q$5&amp;'Coeff EC7'!$D$6:$Q$6,0))</f>
        <v>#N/A</v>
      </c>
      <c r="O341" s="99" t="e">
        <f t="array" ref="O341">INDEX('Coeff EC7'!$D$41:$Q$61,MATCH($B$3,'Coeff EC7'!$C$41:$C$61,0),MATCH(D341&amp;E341,'Coeff EC7'!$D$39:$Q$39&amp;'Coeff EC7'!$D$40:$Q$40,0))</f>
        <v>#N/A</v>
      </c>
      <c r="P341" s="30" t="e">
        <f t="shared" si="568"/>
        <v>#N/A</v>
      </c>
      <c r="Q341" s="100" t="e">
        <f t="shared" si="533"/>
        <v>#N/A</v>
      </c>
      <c r="R341" s="86" t="b">
        <f t="shared" si="534"/>
        <v>0</v>
      </c>
      <c r="S341" s="86">
        <f t="shared" si="532"/>
        <v>0.5</v>
      </c>
      <c r="T341" s="86">
        <f t="shared" si="535"/>
        <v>0.5</v>
      </c>
      <c r="U341" s="30" t="e">
        <f t="shared" ca="1" si="569"/>
        <v>#DIV/0!</v>
      </c>
      <c r="V341" s="85" t="str">
        <f>IF(B341&lt;=Hypothèses!$V$7,Hypothèses!$W$7,IF(B341&lt;=Hypothèses!$V$8,Hypothèses!$W$8,IF(B341&lt;=Hypothèses!$V$9,Hypothèses!$W$9,IF(B341&lt;=Hypothèses!$V$10,Hypothèses!$W$10,IF(B341&lt;=Hypothèses!$V$11,Hypothèses!$W$11,IF(B341&lt;=Hypothèses!$V$12,Hypothèses!$W$12,IF(B341&lt;=Hypothèses!$V$13,Hypothèses!$W$13,IF(B341&lt;=Hypothèses!$V$14,Hypothèses!$W$14,IF(B341&lt;=Hypothèses!$V$15,Hypothèses!$W$15,IF(B341&lt;=Hypothèses!$V$16,Hypothèses!$W$16,IF(B341&lt;=Hypothèses!$V$17,Hypothèses!$W$17,IF(B341&lt;=Hypothèses!$V$18,Hypothèses!$W$18,""))))))))))))</f>
        <v/>
      </c>
      <c r="W341" s="87" t="e">
        <f t="shared" ca="1" si="616"/>
        <v>#DIV/0!</v>
      </c>
      <c r="X341" s="88" t="str">
        <f>IF(B341&lt;=Hypothèses!$V$7,Hypothèses!$X$7,IF(B341&lt;=Hypothèses!$V$8,Hypothèses!$X$8,IF(B341&lt;=Hypothèses!$V$9,Hypothèses!$X$9,IF(B341&lt;=Hypothèses!$V$10,Hypothèses!$X$10,IF(B341&lt;=Hypothèses!$V$11,Hypothèses!$X$11,IF(B341&lt;=Hypothèses!$V$12,Hypothèses!$X$12,IF(B341&lt;=Hypothèses!$V$13,Hypothèses!$X$13,IF(B341&lt;=Hypothèses!$V$14,Hypothèses!$X$14,IF(B341&lt;=Hypothèses!$V$15,Hypothèses!$X$15,IF(B341&lt;=Hypothèses!$V$16,Hypothèses!$X$16,IF(B341&lt;=Hypothèses!$U$17,Hypothèses!$W$17,IF(B341&lt;=Hypothèses!$U$18,Hypothèses!$W$18,""))))))))))))</f>
        <v/>
      </c>
      <c r="Y341" s="95" t="e">
        <f t="shared" ca="1" si="536"/>
        <v>#DIV/0!</v>
      </c>
      <c r="Z341" s="101" t="e">
        <f t="shared" si="537"/>
        <v>#N/A</v>
      </c>
      <c r="AA341" s="91" t="e">
        <f t="shared" si="538"/>
        <v>#N/A</v>
      </c>
      <c r="AB341" s="30" t="e">
        <f t="shared" si="600"/>
        <v>#N/A</v>
      </c>
      <c r="AC341" s="30" t="e">
        <f t="shared" si="601"/>
        <v>#N/A</v>
      </c>
      <c r="AD341" s="31" t="e">
        <f>IF(OR(Hypothèses!$B$4=17,Hypothèses!$B$4=18,Hypothèses!$B$4=19,Hypothèses!$B$4=20),
IF($D341="Pressio.",
IF(OR($E341=3,$E341=1,$E341=4),AC341,AB341),
IF($D341="Pénétro.",
IF(OR($E341=3,$E341=1,$E341=4),AC341,AB341))),IF($D341="Pressio.",
IF($E341=3,AC341,AB341),
IF($D341="Pénétro.",
IF($E341=4,AC341,AB341))))</f>
        <v>#N/A</v>
      </c>
      <c r="AE341" s="31" t="e">
        <f>(IF(OR(Hypothèses!$B$4=17,Hypothèses!$B$4=18,Hypothèses!$B$4=19,Hypothèses!$B$4=20),
IF($D341="Pressio.",
IF(OR($E341=3,$E341=1,$E341=4),(PI()*AE$12^2)/4*(AA341*$W341*1000)/($H341*$B$5),(PI()*AE$12^2)/4*(AA341*$W341*1000)/($G341*$B$5)),
IF($D341="Pénétro.",
IF(OR($E341=4,$E341=1,$E341=5),(PI()*AE$12^2)/4*(AA341*$W341*1000)/($H341*$B$5),(PI()*AE$12^2)/4*(AA341*$W341*1000)/($G341*$B$5)))),
IF($D341="Pressio.",
IF($E341=3,(PI()*AE$12^2)/4*(AA341*$W341*1000)/($H341*$B$5),(PI()*AE$12^2)/4*(AA341*$W341*1000)/($G341*$B$5)),
IF($D341="Pénétro.",
IF($E341=4,(PI()*AE$12^2)/4*(AA341*$W341*1000)/($H341*$B$5),(PI()*AE$12^2)/4*(AA341*$W341*1000)/($G341*$B$5))))))/10</f>
        <v>#N/A</v>
      </c>
      <c r="AF341" s="102" t="e">
        <f>(VLOOKUP($B$3,'Coeff EC7'!$T$39:$X$59,2,0)*AD341+VLOOKUP($B$3,'Coeff EC7'!$T$65:$X$85,2,0)*Model0.1C!AE341)/1.1</f>
        <v>#N/A</v>
      </c>
      <c r="AG341" s="102" t="e">
        <f>(VLOOKUP($B$3,'Coeff EC7'!$T$39:$X$59,3,0)*AD341+VLOOKUP($B$3,'Coeff EC7'!$T$65:$X$85,3,0)*Model0.1C!AE341)/0.9</f>
        <v>#N/A</v>
      </c>
      <c r="AH341" s="102" t="e">
        <f t="shared" si="539"/>
        <v>#N/A</v>
      </c>
      <c r="AI341" s="102" t="e">
        <f t="shared" si="540"/>
        <v>#N/A</v>
      </c>
      <c r="AJ341" s="414" t="e">
        <f>IF(AJ340=0,0,IF(AND(AF341&gt;charge_ELS_quasi,AG341&gt;Charge_ELS_freq,AH341&gt;charge_ELU,AI341&gt;charge_ELA,$B341&gt;NDC!$H$22-0.1+MIN(3*$AJ$12,1.5)),0,1))</f>
        <v>#N/A</v>
      </c>
      <c r="AK341" s="86" t="b">
        <f t="shared" si="541"/>
        <v>0</v>
      </c>
      <c r="AL341" s="86">
        <f t="shared" si="570"/>
        <v>0.5</v>
      </c>
      <c r="AM341" s="86">
        <f t="shared" si="542"/>
        <v>0.5</v>
      </c>
      <c r="AN341" s="30" t="e">
        <f t="shared" ca="1" si="571"/>
        <v>#DIV/0!</v>
      </c>
      <c r="AO341" s="85" t="e">
        <f ca="1">IF(U341&lt;=Hypothèses!$V$7,Hypothèses!$W$7,IF(U341&lt;=Hypothèses!$V$8,Hypothèses!$W$8,IF(U341&lt;=Hypothèses!$V$9,Hypothèses!$W$9,IF(U341&lt;=Hypothèses!$V$10,Hypothèses!$W$10,IF(U341&lt;=Hypothèses!$V$11,Hypothèses!$W$11,IF(U341&lt;=Hypothèses!$V$12,Hypothèses!$W$12,IF(U341&lt;=Hypothèses!$V$13,Hypothèses!$W$13,IF(U341&lt;=Hypothèses!$V$14,Hypothèses!$W$14,IF(U341&lt;=Hypothèses!$V$15,Hypothèses!$W$15,IF(U341&lt;=Hypothèses!$V$16,Hypothèses!$W$16,IF(U341&lt;=Hypothèses!$V$17,Hypothèses!$W$17,IF(U341&lt;=Hypothèses!$V$18,Hypothèses!$W$18,""))))))))))))</f>
        <v>#DIV/0!</v>
      </c>
      <c r="AP341" s="87" t="e">
        <f t="shared" ca="1" si="617"/>
        <v>#DIV/0!</v>
      </c>
      <c r="AQ341" s="88" t="e">
        <f ca="1">IF(U341&lt;=Hypothèses!$V$7,Hypothèses!$X$7,IF(U341&lt;=Hypothèses!$V$8,Hypothèses!$X$8,IF(U341&lt;=Hypothèses!$V$9,Hypothèses!$X$9,IF(U341&lt;=Hypothèses!$V$10,Hypothèses!$X$10,IF(U341&lt;=Hypothèses!$V$11,Hypothèses!$X$11,IF(U341&lt;=Hypothèses!$V$12,Hypothèses!$X$12,IF(U341&lt;=Hypothèses!$V$13,Hypothèses!$X$13,IF(U341&lt;=Hypothèses!$V$14,Hypothèses!$X$14,IF(U341&lt;=Hypothèses!$V$15,Hypothèses!$X$15,IF(U341&lt;=Hypothèses!$V$16,Hypothèses!$X$16,IF(U341&lt;=Hypothèses!$U$17,Hypothèses!$W$17,IF(U341&lt;=Hypothèses!$U$18,Hypothèses!$W$18,""))))))))))))</f>
        <v>#DIV/0!</v>
      </c>
      <c r="AR341" s="95" t="e">
        <f t="shared" ca="1" si="572"/>
        <v>#DIV/0!</v>
      </c>
      <c r="AS341" s="101" t="e">
        <f t="shared" si="624"/>
        <v>#N/A</v>
      </c>
      <c r="AT341" s="91" t="e">
        <f t="shared" si="543"/>
        <v>#N/A</v>
      </c>
      <c r="AU341" s="30" t="e">
        <f t="shared" si="602"/>
        <v>#N/A</v>
      </c>
      <c r="AV341" s="30" t="e">
        <f t="shared" si="603"/>
        <v>#N/A</v>
      </c>
      <c r="AW341" s="31" t="e">
        <f>IF(OR(Hypothèses!$B$4=17,Hypothèses!$B$4=18,Hypothèses!$B$4=19,Hypothèses!$B$4=20),
IF($D341="Pressio.",
IF(OR($E341=3,$E341=1,$E341=4),AV341,AU341),
IF($D341="Pénétro.",
IF(OR($E341=3,$E341=1,$E341=4),AV341,AU341))),IF($D341="Pressio.",
IF($E341=3,AV341,AU341),
IF($D341="Pénétro.",
IF($E341=4,AV341,AU341))))</f>
        <v>#N/A</v>
      </c>
      <c r="AX341" s="31" t="e">
        <f>(IF(OR(Hypothèses!$B$4=17,Hypothèses!$B$4=18,Hypothèses!$B$4=19,Hypothèses!$B$4=20),
IF($D341="Pressio.",
IF(OR($E341=3,$E341=1,$E341=4),(PI()*AX$12^2)/4*(AT341*$W341*1000)/($H341*$B$5),(PI()*AX$12^2)/4*(AT341*$W341*1000)/($G341*$B$5)),
IF($D341="Pénétro.",
IF(OR($E341=4,$E341=1,$E341=5),(PI()*AX$12^2)/4*(AT341*$W341*1000)/($H341*$B$5),(PI()*AX$12^2)/4*(AT341*$W341*1000)/($G341*$B$5)))),
IF($D341="Pressio.",
IF($E341=3,(PI()*AX$12^2)/4*(AT341*$W341*1000)/($H341*$B$5),(PI()*AX$12^2)/4*(AT341*$W341*1000)/($G341*$B$5)),
IF($D341="Pénétro.",
IF($E341=4,(PI()*AX$12^2)/4*(AT341*$W341*1000)/($H341*$B$5),(PI()*AX$12^2)/4*(AT341*$W341*1000)/($G341*$B$5))))))/10</f>
        <v>#N/A</v>
      </c>
      <c r="AY341" s="102" t="e">
        <f>(VLOOKUP($B$3,'Coeff EC7'!$T$39:$X$59,2,0)*AW341+VLOOKUP($B$3,'Coeff EC7'!$T$65:$X$85,2,0)*Model0.1C!AX341)/1.1</f>
        <v>#N/A</v>
      </c>
      <c r="AZ341" s="102" t="e">
        <f>(VLOOKUP($B$3,'Coeff EC7'!$T$39:$X$59,3,0)*AW341+VLOOKUP($B$3,'Coeff EC7'!$T$65:$X$85,3,0)*Model0.1C!AX341)/0.9</f>
        <v>#N/A</v>
      </c>
      <c r="BA341" s="102" t="e">
        <f t="shared" si="573"/>
        <v>#N/A</v>
      </c>
      <c r="BB341" s="102" t="e">
        <f t="shared" si="574"/>
        <v>#N/A</v>
      </c>
      <c r="BC341" s="414" t="e">
        <f>IF(BC340=0,0,IF(AND(AY341&gt;charge_ELS_quasi,AZ341&gt;Charge_ELS_freq,BA341&gt;charge_ELU,BB341&gt;charge_ELA,$B341&gt;NDC!$H$22-0.1+MIN(3*$BC$12,1.5)),0,1))</f>
        <v>#N/A</v>
      </c>
      <c r="BD341" s="86" t="b">
        <f t="shared" si="544"/>
        <v>0</v>
      </c>
      <c r="BE341" s="86">
        <f t="shared" si="575"/>
        <v>0.5</v>
      </c>
      <c r="BF341" s="86">
        <f t="shared" si="545"/>
        <v>0.5</v>
      </c>
      <c r="BG341" s="30" t="e">
        <f t="shared" ca="1" si="576"/>
        <v>#DIV/0!</v>
      </c>
      <c r="BH341" s="85" t="e">
        <f ca="1">IF(AN341&lt;=Hypothèses!$V$7,Hypothèses!$W$7,IF(AN341&lt;=Hypothèses!$V$8,Hypothèses!$W$8,IF(AN341&lt;=Hypothèses!$V$9,Hypothèses!$W$9,IF(AN341&lt;=Hypothèses!$V$10,Hypothèses!$W$10,IF(AN341&lt;=Hypothèses!$V$11,Hypothèses!$W$11,IF(AN341&lt;=Hypothèses!$V$12,Hypothèses!$W$12,IF(AN341&lt;=Hypothèses!$V$13,Hypothèses!$W$13,IF(AN341&lt;=Hypothèses!$V$14,Hypothèses!$W$14,IF(AN341&lt;=Hypothèses!$V$15,Hypothèses!$W$15,IF(AN341&lt;=Hypothèses!$V$16,Hypothèses!$W$16,IF(AN341&lt;=Hypothèses!$V$17,Hypothèses!$W$17,IF(AN341&lt;=Hypothèses!$V$18,Hypothèses!$W$18,""))))))))))))</f>
        <v>#DIV/0!</v>
      </c>
      <c r="BI341" s="87" t="e">
        <f t="shared" ca="1" si="618"/>
        <v>#DIV/0!</v>
      </c>
      <c r="BJ341" s="88" t="e">
        <f ca="1">IF(AN341&lt;=Hypothèses!$V$7,Hypothèses!$X$7,IF(AN341&lt;=Hypothèses!$V$8,Hypothèses!$X$8,IF(AN341&lt;=Hypothèses!$V$9,Hypothèses!$X$9,IF(AN341&lt;=Hypothèses!$V$10,Hypothèses!$X$10,IF(AN341&lt;=Hypothèses!$V$11,Hypothèses!$X$11,IF(AN341&lt;=Hypothèses!$V$12,Hypothèses!$X$12,IF(AN341&lt;=Hypothèses!$V$13,Hypothèses!$X$13,IF(AN341&lt;=Hypothèses!$V$14,Hypothèses!$X$14,IF(AN341&lt;=Hypothèses!$V$15,Hypothèses!$X$15,IF(AN341&lt;=Hypothèses!$V$16,Hypothèses!$X$16,IF(AN341&lt;=Hypothèses!$U$17,Hypothèses!$W$17,IF(AN341&lt;=Hypothèses!$U$18,Hypothèses!$W$18,""))))))))))))</f>
        <v>#DIV/0!</v>
      </c>
      <c r="BK341" s="95" t="e">
        <f t="shared" ca="1" si="577"/>
        <v>#DIV/0!</v>
      </c>
      <c r="BL341" s="101" t="e">
        <f t="shared" si="625"/>
        <v>#N/A</v>
      </c>
      <c r="BM341" s="91" t="e">
        <f t="shared" si="546"/>
        <v>#N/A</v>
      </c>
      <c r="BN341" s="30" t="e">
        <f t="shared" si="604"/>
        <v>#N/A</v>
      </c>
      <c r="BO341" s="30" t="e">
        <f t="shared" si="605"/>
        <v>#N/A</v>
      </c>
      <c r="BP341" s="31" t="e">
        <f>IF(OR(Hypothèses!$B$4=17,Hypothèses!$B$4=18,Hypothèses!$B$4=19,Hypothèses!$B$4=20),
IF($D341="Pressio.",
IF(OR($E341=3,$E341=1,$E341=4),BO341,BN341),
IF($D341="Pénétro.",
IF(OR($E341=3,$E341=1,$E341=4),BO341,BN341))),IF($D341="Pressio.",
IF($E341=3,BO341,BN341),
IF($D341="Pénétro.",
IF($E341=4,BO341,BN341))))</f>
        <v>#N/A</v>
      </c>
      <c r="BQ341" s="31" t="e">
        <f>(IF(OR(Hypothèses!$B$4=17,Hypothèses!$B$4=18,Hypothèses!$B$4=19,Hypothèses!$B$4=20),
IF($D341="Pressio.",
IF(OR($E341=3,$E341=1,$E341=4),(PI()*BQ$12^2)/4*(BM341*$W341*1000)/($H341*$B$5),(PI()*BQ$12^2)/4*(BM341*$W341*1000)/($G341*$B$5)),
IF($D341="Pénétro.",
IF(OR($E341=4,$E341=1,$E341=5),(PI()*BQ$12^2)/4*(BM341*$W341*1000)/($H341*$B$5),(PI()*BQ$12^2)/4*(BM341*$W341*1000)/($G341*$B$5)))),
IF($D341="Pressio.",
IF($E341=3,(PI()*BQ$12^2)/4*(BM341*$W341*1000)/($H341*$B$5),(PI()*BQ$12^2)/4*(BM341*$W341*1000)/($G341*$B$5)),
IF($D341="Pénétro.",
IF($E341=4,(PI()*BQ$12^2)/4*(BM341*$W341*1000)/($H341*$B$5),(PI()*BQ$12^2)/4*(BM341*$W341*1000)/($G341*$B$5))))))/10</f>
        <v>#N/A</v>
      </c>
      <c r="BR341" s="102" t="e">
        <f>(VLOOKUP($B$3,'Coeff EC7'!$T$39:$X$59,2,0)*BP341+VLOOKUP($B$3,'Coeff EC7'!$T$65:$X$85,2,0)*Model0.1C!BQ341)/1.1</f>
        <v>#N/A</v>
      </c>
      <c r="BS341" s="102" t="e">
        <f>(VLOOKUP($B$3,'Coeff EC7'!$T$39:$X$59,3,0)*BP341+VLOOKUP($B$3,'Coeff EC7'!$T$65:$X$85,3,0)*Model0.1C!BQ341)/0.9</f>
        <v>#N/A</v>
      </c>
      <c r="BT341" s="102" t="e">
        <f t="shared" si="578"/>
        <v>#N/A</v>
      </c>
      <c r="BU341" s="102" t="e">
        <f t="shared" si="579"/>
        <v>#N/A</v>
      </c>
      <c r="BV341" s="414" t="e">
        <f>IF(BV340=0,0,IF(AND(BR341&gt;charge_ELS_quasi,BS341&gt;Charge_ELS_freq,BT341&gt;charge_ELU,BU341&gt;charge_ELA,$B341&gt;NDC!$H$22-0.1+MIN(3*$BV$12,1.5)),0,1))</f>
        <v>#N/A</v>
      </c>
      <c r="BW341" s="86" t="b">
        <f t="shared" si="547"/>
        <v>0</v>
      </c>
      <c r="BX341" s="86">
        <f t="shared" si="548"/>
        <v>0.5</v>
      </c>
      <c r="BY341" s="86">
        <f t="shared" si="549"/>
        <v>0.5</v>
      </c>
      <c r="BZ341" s="30" t="e">
        <f t="shared" ca="1" si="580"/>
        <v>#DIV/0!</v>
      </c>
      <c r="CA341" s="85" t="e">
        <f ca="1">IF(BG341&lt;=Hypothèses!$V$7,Hypothèses!$W$7,IF(BG341&lt;=Hypothèses!$V$8,Hypothèses!$W$8,IF(BG341&lt;=Hypothèses!$V$9,Hypothèses!$W$9,IF(BG341&lt;=Hypothèses!$V$10,Hypothèses!$W$10,IF(BG341&lt;=Hypothèses!$V$11,Hypothèses!$W$11,IF(BG341&lt;=Hypothèses!$V$12,Hypothèses!$W$12,IF(BG341&lt;=Hypothèses!$V$13,Hypothèses!$W$13,IF(BG341&lt;=Hypothèses!$V$14,Hypothèses!$W$14,IF(BG341&lt;=Hypothèses!$V$15,Hypothèses!$W$15,IF(BG341&lt;=Hypothèses!$V$16,Hypothèses!$W$16,IF(BG341&lt;=Hypothèses!$V$17,Hypothèses!$W$17,IF(BG341&lt;=Hypothèses!$V$18,Hypothèses!$W$18,""))))))))))))</f>
        <v>#DIV/0!</v>
      </c>
      <c r="CB341" s="87" t="e">
        <f t="shared" ca="1" si="619"/>
        <v>#DIV/0!</v>
      </c>
      <c r="CC341" s="88" t="e">
        <f ca="1">IF(BG341&lt;=Hypothèses!$V$7,Hypothèses!$X$7,IF(BG341&lt;=Hypothèses!$V$8,Hypothèses!$X$8,IF(BG341&lt;=Hypothèses!$V$9,Hypothèses!$X$9,IF(BG341&lt;=Hypothèses!$V$10,Hypothèses!$X$10,IF(BG341&lt;=Hypothèses!$V$11,Hypothèses!$X$11,IF(BG341&lt;=Hypothèses!$V$12,Hypothèses!$X$12,IF(BG341&lt;=Hypothèses!$V$13,Hypothèses!$X$13,IF(BG341&lt;=Hypothèses!$V$14,Hypothèses!$X$14,IF(BG341&lt;=Hypothèses!$V$15,Hypothèses!$X$15,IF(BG341&lt;=Hypothèses!$V$16,Hypothèses!$X$16,IF(BG341&lt;=Hypothèses!$U$17,Hypothèses!$W$17,IF(BG341&lt;=Hypothèses!$U$18,Hypothèses!$W$18,""))))))))))))</f>
        <v>#DIV/0!</v>
      </c>
      <c r="CD341" s="95" t="e">
        <f t="shared" ca="1" si="581"/>
        <v>#DIV/0!</v>
      </c>
      <c r="CE341" s="101" t="e">
        <f t="shared" si="626"/>
        <v>#N/A</v>
      </c>
      <c r="CF341" s="91" t="e">
        <f t="shared" si="550"/>
        <v>#N/A</v>
      </c>
      <c r="CG341" s="30" t="e">
        <f t="shared" si="606"/>
        <v>#N/A</v>
      </c>
      <c r="CH341" s="30" t="e">
        <f t="shared" si="607"/>
        <v>#N/A</v>
      </c>
      <c r="CI341" s="31" t="e">
        <f>IF(OR(Hypothèses!$B$4=17,Hypothèses!$B$4=18,Hypothèses!$B$4=19,Hypothèses!$B$4=20),
IF($D341="Pressio.",
IF(OR($E341=3,$E341=1,$E341=4),CH341,CG341),
IF($D341="Pénétro.",
IF(OR($E341=3,$E341=1,$E341=4),CH341,CG341))),IF($D341="Pressio.",
IF($E341=3,CH341,CG341),
IF($D341="Pénétro.",
IF($E341=4,CH341,CG341))))</f>
        <v>#N/A</v>
      </c>
      <c r="CJ341" s="31" t="e">
        <f>(IF(OR(Hypothèses!$B$4=17,Hypothèses!$B$4=18,Hypothèses!$B$4=19,Hypothèses!$B$4=20),
IF($D341="Pressio.",
IF(OR($E341=3,$E341=1,$E341=4),(PI()*CJ$12^2)/4*(CF341*$W341*1000)/($H341*$B$5),(PI()*CJ$12^2)/4*(CF341*$W341*1000)/($G341*$B$5)),
IF($D341="Pénétro.",
IF(OR($E341=4,$E341=1,$E341=5),(PI()*CJ$12^2)/4*(CF341*$W341*1000)/($H341*$B$5),(PI()*CJ$12^2)/4*(CF341*$W341*1000)/($G341*$B$5)))),
IF($D341="Pressio.",
IF($E341=3,(PI()*CJ$12^2)/4*(CF341*$W341*1000)/($H341*$B$5),(PI()*CJ$12^2)/4*(CF341*$W341*1000)/($G341*$B$5)),
IF($D341="Pénétro.",
IF($E341=4,(PI()*CJ$12^2)/4*(CF341*$W341*1000)/($H341*$B$5),(PI()*CJ$12^2)/4*(CF341*$W341*1000)/($G341*$B$5))))))/10</f>
        <v>#N/A</v>
      </c>
      <c r="CK341" s="102" t="e">
        <f>(VLOOKUP($B$3,'Coeff EC7'!$T$39:$X$59,2,0)*CI341+VLOOKUP($B$3,'Coeff EC7'!$T$65:$X$85,2,0)*Model0.1C!CJ341)/1.1</f>
        <v>#N/A</v>
      </c>
      <c r="CL341" s="102" t="e">
        <f>(VLOOKUP($B$3,'Coeff EC7'!$T$39:$X$59,3,0)*CI341+VLOOKUP($B$3,'Coeff EC7'!$T$65:$X$85,3,0)*Model0.1C!CJ341)/0.9</f>
        <v>#N/A</v>
      </c>
      <c r="CM341" s="102" t="e">
        <f t="shared" si="582"/>
        <v>#N/A</v>
      </c>
      <c r="CN341" s="102" t="e">
        <f t="shared" si="583"/>
        <v>#N/A</v>
      </c>
      <c r="CO341" s="414" t="e">
        <f>IF(CO340=0,0,IF(AND(CK341&gt;charge_ELS_quasi,CL341&gt;Charge_ELS_freq,CM341&gt;charge_ELU,CN341&gt;charge_ELA,$B341&gt;NDC!$H$22-0.1+MIN(3*$CO$12,1.5)),0,1))</f>
        <v>#N/A</v>
      </c>
      <c r="CP341" s="86" t="b">
        <f t="shared" si="551"/>
        <v>0</v>
      </c>
      <c r="CQ341" s="86">
        <f t="shared" si="552"/>
        <v>0.5</v>
      </c>
      <c r="CR341" s="86">
        <f t="shared" si="553"/>
        <v>0.5</v>
      </c>
      <c r="CS341" s="30" t="e">
        <f t="shared" ca="1" si="584"/>
        <v>#DIV/0!</v>
      </c>
      <c r="CT341" s="85" t="e">
        <f ca="1">IF(BZ341&lt;=Hypothèses!$V$7,Hypothèses!$W$7,IF(BZ341&lt;=Hypothèses!$V$8,Hypothèses!$W$8,IF(BZ341&lt;=Hypothèses!$V$9,Hypothèses!$W$9,IF(BZ341&lt;=Hypothèses!$V$10,Hypothèses!$W$10,IF(BZ341&lt;=Hypothèses!$V$11,Hypothèses!$W$11,IF(BZ341&lt;=Hypothèses!$V$12,Hypothèses!$W$12,IF(BZ341&lt;=Hypothèses!$V$13,Hypothèses!$W$13,IF(BZ341&lt;=Hypothèses!$V$14,Hypothèses!$W$14,IF(BZ341&lt;=Hypothèses!$V$15,Hypothèses!$W$15,IF(BZ341&lt;=Hypothèses!$V$16,Hypothèses!$W$16,IF(BZ341&lt;=Hypothèses!$V$17,Hypothèses!$W$17,IF(BZ341&lt;=Hypothèses!$V$18,Hypothèses!$W$18,""))))))))))))</f>
        <v>#DIV/0!</v>
      </c>
      <c r="CU341" s="87" t="e">
        <f t="shared" ca="1" si="620"/>
        <v>#DIV/0!</v>
      </c>
      <c r="CV341" s="88" t="e">
        <f ca="1">IF(BZ341&lt;=Hypothèses!$V$7,Hypothèses!$X$7,IF(BZ341&lt;=Hypothèses!$V$8,Hypothèses!$X$8,IF(BZ341&lt;=Hypothèses!$V$9,Hypothèses!$X$9,IF(BZ341&lt;=Hypothèses!$V$10,Hypothèses!$X$10,IF(BZ341&lt;=Hypothèses!$V$11,Hypothèses!$X$11,IF(BZ341&lt;=Hypothèses!$V$12,Hypothèses!$X$12,IF(BZ341&lt;=Hypothèses!$V$13,Hypothèses!$X$13,IF(BZ341&lt;=Hypothèses!$V$14,Hypothèses!$X$14,IF(BZ341&lt;=Hypothèses!$V$15,Hypothèses!$X$15,IF(BZ341&lt;=Hypothèses!$V$16,Hypothèses!$X$16,IF(BZ341&lt;=Hypothèses!$U$17,Hypothèses!$W$17,IF(BZ341&lt;=Hypothèses!$U$18,Hypothèses!$W$18,""))))))))))))</f>
        <v>#DIV/0!</v>
      </c>
      <c r="CW341" s="95" t="e">
        <f t="shared" ca="1" si="585"/>
        <v>#DIV/0!</v>
      </c>
      <c r="CX341" s="101" t="e">
        <f t="shared" si="627"/>
        <v>#N/A</v>
      </c>
      <c r="CY341" s="91" t="e">
        <f t="shared" si="554"/>
        <v>#N/A</v>
      </c>
      <c r="CZ341" s="30" t="e">
        <f t="shared" si="608"/>
        <v>#N/A</v>
      </c>
      <c r="DA341" s="30" t="e">
        <f t="shared" si="609"/>
        <v>#N/A</v>
      </c>
      <c r="DB341" s="31" t="e">
        <f>IF(OR(Hypothèses!$B$4=17,Hypothèses!$B$4=18,Hypothèses!$B$4=19,Hypothèses!$B$4=20),
IF($D341="Pressio.",
IF(OR($E341=3,$E341=1,$E341=4),DA341,CZ341),
IF($D341="Pénétro.",
IF(OR($E341=3,$E341=1,$E341=4),DA341,CZ341))),IF($D341="Pressio.",
IF($E341=3,DA341,CZ341),
IF($D341="Pénétro.",
IF($E341=4,DA341,CZ341))))</f>
        <v>#N/A</v>
      </c>
      <c r="DC341" s="31" t="e">
        <f>(IF(OR(Hypothèses!$B$4=17,Hypothèses!$B$4=18,Hypothèses!$B$4=19,Hypothèses!$B$4=20),
IF($D341="Pressio.",
IF(OR($E341=3,$E341=1,$E341=4),(PI()*DC$12^2)/4*(CY341*$W341*1000)/($H341*$B$5),(PI()*DC$12^2)/4*(CY341*$W341*1000)/($G341*$B$5)),
IF($D341="Pénétro.",
IF(OR($E341=4,$E341=1,$E341=5),(PI()*DC$12^2)/4*(CY341*$W341*1000)/($H341*$B$5),(PI()*DC$12^2)/4*(CY341*$W341*1000)/($G341*$B$5)))),
IF($D341="Pressio.",
IF($E341=3,(PI()*DC$12^2)/4*(CY341*$W341*1000)/($H341*$B$5),(PI()*DC$12^2)/4*(CY341*$W341*1000)/($G341*$B$5)),
IF($D341="Pénétro.",
IF($E341=4,(PI()*DC$12^2)/4*(CY341*$W341*1000)/($H341*$B$5),(PI()*DC$12^2)/4*(CY341*$W341*1000)/($G341*$B$5))))))/10</f>
        <v>#N/A</v>
      </c>
      <c r="DD341" s="102" t="e">
        <f>(VLOOKUP($B$3,'Coeff EC7'!$T$39:$X$59,2,0)*DB341+VLOOKUP($B$3,'Coeff EC7'!$T$65:$X$85,2,0)*Model0.1C!DC341)/1.1</f>
        <v>#N/A</v>
      </c>
      <c r="DE341" s="102" t="e">
        <f>(VLOOKUP($B$3,'Coeff EC7'!$T$39:$X$59,3,0)*DB341+VLOOKUP($B$3,'Coeff EC7'!$T$65:$X$85,3,0)*Model0.1C!DC341)/0.9</f>
        <v>#N/A</v>
      </c>
      <c r="DF341" s="102" t="e">
        <f t="shared" si="586"/>
        <v>#N/A</v>
      </c>
      <c r="DG341" s="102" t="e">
        <f t="shared" si="587"/>
        <v>#N/A</v>
      </c>
      <c r="DH341" s="414" t="e">
        <f>IF(DH340=0,0,IF(AND(DD341&gt;charge_ELS_quasi,DE341&gt;Charge_ELS_freq,DF341&gt;charge_ELU,DG341&gt;charge_ELA,$B341&gt;NDC!$H$22-0.1+MIN(3*$DH$12,1.5)),0,1))</f>
        <v>#N/A</v>
      </c>
      <c r="DI341" s="86" t="b">
        <f t="shared" si="555"/>
        <v>0</v>
      </c>
      <c r="DJ341" s="86">
        <f t="shared" si="556"/>
        <v>0.5</v>
      </c>
      <c r="DK341" s="86">
        <f t="shared" si="557"/>
        <v>0.5</v>
      </c>
      <c r="DL341" s="30" t="e">
        <f t="shared" ca="1" si="588"/>
        <v>#DIV/0!</v>
      </c>
      <c r="DM341" s="85" t="e">
        <f ca="1">IF(CS341&lt;=Hypothèses!$V$7,Hypothèses!$W$7,IF(CS341&lt;=Hypothèses!$V$8,Hypothèses!$W$8,IF(CS341&lt;=Hypothèses!$V$9,Hypothèses!$W$9,IF(CS341&lt;=Hypothèses!$V$10,Hypothèses!$W$10,IF(CS341&lt;=Hypothèses!$V$11,Hypothèses!$W$11,IF(CS341&lt;=Hypothèses!$V$12,Hypothèses!$W$12,IF(CS341&lt;=Hypothèses!$V$13,Hypothèses!$W$13,IF(CS341&lt;=Hypothèses!$V$14,Hypothèses!$W$14,IF(CS341&lt;=Hypothèses!$V$15,Hypothèses!$W$15,IF(CS341&lt;=Hypothèses!$V$16,Hypothèses!$W$16,IF(CS341&lt;=Hypothèses!$V$17,Hypothèses!$W$17,IF(CS341&lt;=Hypothèses!$V$18,Hypothèses!$W$18,""))))))))))))</f>
        <v>#DIV/0!</v>
      </c>
      <c r="DN341" s="87" t="e">
        <f t="shared" ca="1" si="621"/>
        <v>#DIV/0!</v>
      </c>
      <c r="DO341" s="88" t="e">
        <f ca="1">IF(CS341&lt;=Hypothèses!$V$7,Hypothèses!$X$7,IF(CS341&lt;=Hypothèses!$V$8,Hypothèses!$X$8,IF(CS341&lt;=Hypothèses!$V$9,Hypothèses!$X$9,IF(CS341&lt;=Hypothèses!$V$10,Hypothèses!$X$10,IF(CS341&lt;=Hypothèses!$V$11,Hypothèses!$X$11,IF(CS341&lt;=Hypothèses!$V$12,Hypothèses!$X$12,IF(CS341&lt;=Hypothèses!$V$13,Hypothèses!$X$13,IF(CS341&lt;=Hypothèses!$V$14,Hypothèses!$X$14,IF(CS341&lt;=Hypothèses!$V$15,Hypothèses!$X$15,IF(CS341&lt;=Hypothèses!$V$16,Hypothèses!$X$16,IF(CS341&lt;=Hypothèses!$U$17,Hypothèses!$W$17,IF(CS341&lt;=Hypothèses!$U$18,Hypothèses!$W$18,""))))))))))))</f>
        <v>#DIV/0!</v>
      </c>
      <c r="DP341" s="95" t="e">
        <f t="shared" ca="1" si="589"/>
        <v>#DIV/0!</v>
      </c>
      <c r="DQ341" s="101" t="e">
        <f t="shared" si="628"/>
        <v>#N/A</v>
      </c>
      <c r="DR341" s="91" t="e">
        <f t="shared" si="558"/>
        <v>#N/A</v>
      </c>
      <c r="DS341" s="30" t="e">
        <f t="shared" si="610"/>
        <v>#N/A</v>
      </c>
      <c r="DT341" s="30" t="e">
        <f t="shared" si="611"/>
        <v>#N/A</v>
      </c>
      <c r="DU341" s="31" t="e">
        <f>IF(OR(Hypothèses!$B$4=17,Hypothèses!$B$4=18,Hypothèses!$B$4=19,Hypothèses!$B$4=20),
IF($D341="Pressio.",
IF(OR($E341=3,$E341=1,$E341=4),DT341,DS341),
IF($D341="Pénétro.",
IF(OR($E341=3,$E341=1,$E341=4),DT341,DS341))),IF($D341="Pressio.",
IF($E341=3,DT341,DS341),
IF($D341="Pénétro.",
IF($E341=4,DT341,DS341))))</f>
        <v>#N/A</v>
      </c>
      <c r="DV341" s="31" t="e">
        <f>(IF(OR(Hypothèses!$B$4=17,Hypothèses!$B$4=18,Hypothèses!$B$4=19,Hypothèses!$B$4=20),
IF($D341="Pressio.",
IF(OR($E341=3,$E341=1,$E341=4),(PI()*DV$12^2)/4*(DR341*$W341*1000)/($H341*$B$5),(PI()*DV$12^2)/4*(DR341*$W341*1000)/($G341*$B$5)),
IF($D341="Pénétro.",
IF(OR($E341=4,$E341=1,$E341=5),(PI()*DV$12^2)/4*(DR341*$W341*1000)/($H341*$B$5),(PI()*DV$12^2)/4*(DR341*$W341*1000)/($G341*$B$5)))),
IF($D341="Pressio.",
IF($E341=3,(PI()*DV$12^2)/4*(DR341*$W341*1000)/($H341*$B$5),(PI()*DV$12^2)/4*(DR341*$W341*1000)/($G341*$B$5)),
IF($D341="Pénétro.",
IF($E341=4,(PI()*DV$12^2)/4*(DR341*$W341*1000)/($H341*$B$5),(PI()*DV$12^2)/4*(DR341*$W341*1000)/($G341*$B$5))))))/10</f>
        <v>#N/A</v>
      </c>
      <c r="DW341" s="102" t="e">
        <f>(VLOOKUP($B$3,'Coeff EC7'!$T$39:$X$59,2,0)*DU341+VLOOKUP($B$3,'Coeff EC7'!$T$65:$X$85,2,0)*Model0.1C!DV341)/1.1</f>
        <v>#N/A</v>
      </c>
      <c r="DX341" s="102" t="e">
        <f>(VLOOKUP($B$3,'Coeff EC7'!$T$39:$X$59,3,0)*DU341+VLOOKUP($B$3,'Coeff EC7'!$T$65:$X$85,3,0)*Model0.1C!DV341)/0.9</f>
        <v>#N/A</v>
      </c>
      <c r="DY341" s="102" t="e">
        <f t="shared" si="590"/>
        <v>#N/A</v>
      </c>
      <c r="DZ341" s="102" t="e">
        <f t="shared" si="591"/>
        <v>#N/A</v>
      </c>
      <c r="EA341" s="414" t="e">
        <f>IF(EA340=0,0,IF(AND(DW341&gt;charge_ELS_quasi,DX341&gt;Charge_ELS_freq,DY341&gt;charge_ELU,DZ341&gt;charge_ELA,$B341&gt;NDC!$H$22-0.1+MIN(3*$EA$12,1.5)),0,1))</f>
        <v>#N/A</v>
      </c>
      <c r="EB341" s="86" t="b">
        <f t="shared" si="559"/>
        <v>0</v>
      </c>
      <c r="EC341" s="418">
        <f t="shared" si="560"/>
        <v>0.51</v>
      </c>
      <c r="ED341" s="86">
        <f t="shared" si="561"/>
        <v>0.51</v>
      </c>
      <c r="EE341" s="30" t="e">
        <f t="shared" ca="1" si="592"/>
        <v>#DIV/0!</v>
      </c>
      <c r="EF341" s="85" t="e">
        <f ca="1">IF(DL341&lt;=Hypothèses!$V$7,Hypothèses!$W$7,IF(DL341&lt;=Hypothèses!$V$8,Hypothèses!$W$8,IF(DL341&lt;=Hypothèses!$V$9,Hypothèses!$W$9,IF(DL341&lt;=Hypothèses!$V$10,Hypothèses!$W$10,IF(DL341&lt;=Hypothèses!$V$11,Hypothèses!$W$11,IF(DL341&lt;=Hypothèses!$V$12,Hypothèses!$W$12,IF(DL341&lt;=Hypothèses!$V$13,Hypothèses!$W$13,IF(DL341&lt;=Hypothèses!$V$14,Hypothèses!$W$14,IF(DL341&lt;=Hypothèses!$V$15,Hypothèses!$W$15,IF(DL341&lt;=Hypothèses!$V$16,Hypothèses!$W$16,IF(DL341&lt;=Hypothèses!$V$17,Hypothèses!$W$17,IF(DL341&lt;=Hypothèses!$V$18,Hypothèses!$W$18,""))))))))))))</f>
        <v>#DIV/0!</v>
      </c>
      <c r="EG341" s="87" t="e">
        <f t="shared" ca="1" si="622"/>
        <v>#DIV/0!</v>
      </c>
      <c r="EH341" s="88" t="e">
        <f ca="1">IF(DL341&lt;=Hypothèses!$V$7,Hypothèses!$X$7,IF(DL341&lt;=Hypothèses!$V$8,Hypothèses!$X$8,IF(DL341&lt;=Hypothèses!$V$9,Hypothèses!$X$9,IF(DL341&lt;=Hypothèses!$V$10,Hypothèses!$X$10,IF(DL341&lt;=Hypothèses!$V$11,Hypothèses!$X$11,IF(DL341&lt;=Hypothèses!$V$12,Hypothèses!$X$12,IF(DL341&lt;=Hypothèses!$V$13,Hypothèses!$X$13,IF(DL341&lt;=Hypothèses!$V$14,Hypothèses!$X$14,IF(DL341&lt;=Hypothèses!$V$15,Hypothèses!$X$15,IF(DL341&lt;=Hypothèses!$V$16,Hypothèses!$X$16,IF(DL341&lt;=Hypothèses!$U$17,Hypothèses!$W$17,IF(DL341&lt;=Hypothèses!$U$18,Hypothèses!$W$18,""))))))))))))</f>
        <v>#DIV/0!</v>
      </c>
      <c r="EI341" s="95" t="e">
        <f t="shared" ca="1" si="593"/>
        <v>#DIV/0!</v>
      </c>
      <c r="EJ341" s="101" t="e">
        <f t="shared" si="629"/>
        <v>#N/A</v>
      </c>
      <c r="EK341" s="91" t="e">
        <f t="shared" si="562"/>
        <v>#N/A</v>
      </c>
      <c r="EL341" s="30" t="e">
        <f t="shared" si="612"/>
        <v>#N/A</v>
      </c>
      <c r="EM341" s="30" t="e">
        <f t="shared" si="613"/>
        <v>#N/A</v>
      </c>
      <c r="EN341" s="31" t="e">
        <f>IF(OR(Hypothèses!$B$4=17,Hypothèses!$B$4=18,Hypothèses!$B$4=19,Hypothèses!$B$4=20),
IF($D341="Pressio.",
IF(OR($E341=3,$E341=1,$E341=4),EM341,EL341),
IF($D341="Pénétro.",
IF(OR($E341=3,$E341=1,$E341=4),EM341,EL341))),IF($D341="Pressio.",
IF($E341=3,EM341,EL341),
IF($D341="Pénétro.",
IF($E341=4,EM341,EL341))))</f>
        <v>#N/A</v>
      </c>
      <c r="EO341" s="31" t="e">
        <f>(IF(OR(Hypothèses!$B$4=17,Hypothèses!$B$4=18,Hypothèses!$B$4=19,Hypothèses!$B$4=20),
IF($D341="Pressio.",
IF(OR($E341=3,$E341=1,$E341=4),(PI()*EO$12^2)/4*(EK341*$W341*1000)/($H341*$B$5),(PI()*EO$12^2)/4*(EK341*$W341*1000)/($G341*$B$5)),
IF($D341="Pénétro.",
IF(OR($E341=4,$E341=1,$E341=5),(PI()*EO$12^2)/4*(EK341*$W341*1000)/($H341*$B$5),(PI()*EO$12^2)/4*(EK341*$W341*1000)/($G341*$B$5)))),
IF($D341="Pressio.",
IF($E341=3,(PI()*EO$12^2)/4*(EK341*$W341*1000)/($H341*$B$5),(PI()*EO$12^2)/4*(EK341*$W341*1000)/($G341*$B$5)),
IF($D341="Pénétro.",
IF($E341=4,(PI()*EO$12^2)/4*(EK341*$W341*1000)/($H341*$B$5),(PI()*EO$12^2)/4*(EK341*$W341*1000)/($G341*$B$5))))))/10</f>
        <v>#N/A</v>
      </c>
      <c r="EP341" s="102" t="e">
        <f>(VLOOKUP($B$3,'Coeff EC7'!$T$39:$X$59,2,0)*EN341+VLOOKUP($B$3,'Coeff EC7'!$T$65:$X$85,2,0)*Model0.1C!EO341)/1.1</f>
        <v>#N/A</v>
      </c>
      <c r="EQ341" s="102" t="e">
        <f>(VLOOKUP($B$3,'Coeff EC7'!$T$39:$X$59,3,0)*EN341+VLOOKUP($B$3,'Coeff EC7'!$T$65:$X$85,3,0)*Model0.1C!EO341)/0.9</f>
        <v>#N/A</v>
      </c>
      <c r="ER341" s="102" t="e">
        <f t="shared" si="594"/>
        <v>#N/A</v>
      </c>
      <c r="ES341" s="102" t="e">
        <f t="shared" si="595"/>
        <v>#N/A</v>
      </c>
      <c r="ET341" s="414" t="e">
        <f>IF(ET340=0,0,IF(AND(EP341&gt;charge_ELS_quasi,EQ341&gt;Charge_ELS_freq,ER341&gt;charge_ELU,ES341&gt;charge_ELA,$B341&gt;NDC!$H$22-0.1+MIN(3*$ET$12,1.5)),0,1))</f>
        <v>#N/A</v>
      </c>
      <c r="EU341" s="86" t="b">
        <f t="shared" si="563"/>
        <v>0</v>
      </c>
      <c r="EV341" s="86">
        <f t="shared" si="564"/>
        <v>0.61</v>
      </c>
      <c r="EW341" s="86">
        <f t="shared" si="565"/>
        <v>0.61</v>
      </c>
      <c r="EX341" s="30" t="e">
        <f t="shared" ca="1" si="596"/>
        <v>#DIV/0!</v>
      </c>
      <c r="EY341" s="85" t="e">
        <f ca="1">IF(EE341&lt;=Hypothèses!$V$7,Hypothèses!$W$7,IF(EE341&lt;=Hypothèses!$V$8,Hypothèses!$W$8,IF(EE341&lt;=Hypothèses!$V$9,Hypothèses!$W$9,IF(EE341&lt;=Hypothèses!$V$10,Hypothèses!$W$10,IF(EE341&lt;=Hypothèses!$V$11,Hypothèses!$W$11,IF(EE341&lt;=Hypothèses!$V$12,Hypothèses!$W$12,IF(EE341&lt;=Hypothèses!$V$13,Hypothèses!$W$13,IF(EE341&lt;=Hypothèses!$V$14,Hypothèses!$W$14,IF(EE341&lt;=Hypothèses!$V$15,Hypothèses!$W$15,IF(EE341&lt;=Hypothèses!$V$16,Hypothèses!$W$16,IF(EE341&lt;=Hypothèses!$V$17,Hypothèses!$W$17,IF(EE341&lt;=Hypothèses!$V$18,Hypothèses!$W$18,""))))))))))))</f>
        <v>#DIV/0!</v>
      </c>
      <c r="EZ341" s="87" t="e">
        <f t="shared" ca="1" si="623"/>
        <v>#DIV/0!</v>
      </c>
      <c r="FA341" s="88" t="e">
        <f ca="1">IF(EE341&lt;=Hypothèses!$V$7,Hypothèses!$X$7,IF(EE341&lt;=Hypothèses!$V$8,Hypothèses!$X$8,IF(EE341&lt;=Hypothèses!$V$9,Hypothèses!$X$9,IF(EE341&lt;=Hypothèses!$V$10,Hypothèses!$X$10,IF(EE341&lt;=Hypothèses!$V$11,Hypothèses!$X$11,IF(EE341&lt;=Hypothèses!$V$12,Hypothèses!$X$12,IF(EE341&lt;=Hypothèses!$V$13,Hypothèses!$X$13,IF(EE341&lt;=Hypothèses!$V$14,Hypothèses!$X$14,IF(EE341&lt;=Hypothèses!$V$15,Hypothèses!$X$15,IF(EE341&lt;=Hypothèses!$V$16,Hypothèses!$X$16,IF(EE341&lt;=Hypothèses!$U$17,Hypothèses!$W$17,IF(EE341&lt;=Hypothèses!$U$18,Hypothèses!$W$18,""))))))))))))</f>
        <v>#DIV/0!</v>
      </c>
      <c r="FB341" s="95" t="e">
        <f t="shared" ca="1" si="597"/>
        <v>#DIV/0!</v>
      </c>
      <c r="FC341" s="101" t="e">
        <f t="shared" si="630"/>
        <v>#N/A</v>
      </c>
      <c r="FD341" s="91" t="e">
        <f t="shared" si="566"/>
        <v>#N/A</v>
      </c>
      <c r="FE341" s="30" t="e">
        <f t="shared" si="614"/>
        <v>#N/A</v>
      </c>
      <c r="FF341" s="30" t="e">
        <f t="shared" si="615"/>
        <v>#N/A</v>
      </c>
      <c r="FG341" s="31" t="e">
        <f>IF(OR(Hypothèses!$B$4=17,Hypothèses!$B$4=18,Hypothèses!$B$4=19,Hypothèses!$B$4=20),
IF($D341="Pressio.",
IF(OR($E341=3,$E341=1,$E341=4),FF341,FE341),
IF($D341="Pénétro.",
IF(OR($E341=3,$E341=1,$E341=4),FF341,FE341))),IF($D341="Pressio.",
IF($E341=3,FF341,FE341),
IF($D341="Pénétro.",
IF($E341=4,FF341,FE341))))</f>
        <v>#N/A</v>
      </c>
      <c r="FH341" s="31" t="e">
        <f>(IF(OR(Hypothèses!$B$4=17,Hypothèses!$B$4=18,Hypothèses!$B$4=19,Hypothèses!$B$4=20),
IF($D341="Pressio.",
IF(OR($E341=3,$E341=1,$E341=4),(PI()*FH$12^2)/4*(FD341*$W341*1000)/($H341*$B$5),(PI()*FH$12^2)/4*(FD341*$W341*1000)/($G341*$B$5)),
IF($D341="Pénétro.",
IF(OR($E341=4,$E341=1,$E341=5),(PI()*FH$12^2)/4*(FD341*$W341*1000)/($H341*$B$5),(PI()*FH$12^2)/4*(FD341*$W341*1000)/($G341*$B$5)))),
IF($D341="Pressio.",
IF($E341=3,(PI()*FH$12^2)/4*(FD341*$W341*1000)/($H341*$B$5),(PI()*FH$12^2)/4*(FD341*$W341*1000)/($G341*$B$5)),
IF($D341="Pénétro.",
IF($E341=4,(PI()*FH$12^2)/4*(FD341*$W341*1000)/($H341*$B$5),(PI()*FH$12^2)/4*(FD341*$W341*1000)/($G341*$B$5))))))/10</f>
        <v>#N/A</v>
      </c>
      <c r="FI341" s="102" t="e">
        <f>(VLOOKUP($B$3,'Coeff EC7'!$T$39:$X$59,2,0)*FG341+VLOOKUP($B$3,'Coeff EC7'!$T$65:$X$85,2,0)*Model0.1C!FH341)/1.1</f>
        <v>#N/A</v>
      </c>
      <c r="FJ341" s="102" t="e">
        <f>(VLOOKUP($B$3,'Coeff EC7'!$T$39:$X$59,3,0)*FG341+VLOOKUP($B$3,'Coeff EC7'!$T$65:$X$85,3,0)*Model0.1C!FH341)/0.9</f>
        <v>#N/A</v>
      </c>
      <c r="FK341" s="102" t="e">
        <f t="shared" si="598"/>
        <v>#N/A</v>
      </c>
      <c r="FL341" s="102" t="e">
        <f t="shared" si="599"/>
        <v>#N/A</v>
      </c>
      <c r="FM341" s="414" t="e">
        <f>IF(FM340=0,0,IF(AND(FI341&gt;charge_ELS_quasi,FJ341&gt;Charge_ELS_freq,FK341&gt;charge_ELU,FL341&gt;charge_ELA,$B341&gt;NDC!$H$22-0.1+MIN(3*$FM$12,1.5)),0,1))</f>
        <v>#N/A</v>
      </c>
    </row>
    <row r="342" spans="1:169">
      <c r="A342" s="96">
        <f t="shared" si="567"/>
        <v>67.10000000000187</v>
      </c>
      <c r="B342" s="97">
        <v>32.9</v>
      </c>
      <c r="C342" s="81">
        <f>IF(B342&lt;=Hypothèses!$C$7,Hypothèses!$A$7,IF(B342&lt;=Hypothèses!$C$8,Hypothèses!$A$8,IF(B342&lt;=Hypothèses!$C$9,Hypothèses!$A$9,IF(B342&lt;=Hypothèses!$C$10,Hypothèses!$A$10,IF(B342&lt;=Hypothèses!$C$11,Hypothèses!$A$11,IF(B342&lt;=Hypothèses!$C$12,Hypothèses!$A$12,IF(B342&lt;=Hypothèses!$C$13,Hypothèses!$A$13,IF(B342&lt;=Hypothèses!$C$14,Hypothèses!$A$14,IF(B342&lt;=Hypothèses!$C$15,Hypothèses!$A$15,IF(B342&lt;=Hypothèses!$C$16,Hypothèses!$A$16,IF(B342&lt;=Hypothèses!$C$17,Hypothèses!$A$17,IF(B342&lt;=Hypothèses!$C$18,Hypothèses!$A$18,C341))))))))))))</f>
        <v>11</v>
      </c>
      <c r="D342" s="82" t="str">
        <f>IF(B342&lt;=Hypothèses!$C$7,Hypothèses!$R$7,IF(B342&lt;=Hypothèses!$C$8,Hypothèses!$R$8,IF(B342&lt;=Hypothèses!$C$9,Hypothèses!$R$9,IF(B342&lt;=Hypothèses!$C$10,Hypothèses!$R$10,IF(B342&lt;=Hypothèses!$C$11,Hypothèses!$R$11,IF(B342&lt;=Hypothèses!$C$12,Hypothèses!$R$12,IF(B342&lt;=Hypothèses!$C$13,Hypothèses!$R$13,IF(B342&lt;=Hypothèses!$C$14,Hypothèses!$R$14,IF(B342&lt;=Hypothèses!$C$15,Hypothèses!$R$15,IF(B342&lt;=Hypothèses!$C$16,Hypothèses!$R$16,IF(B342&lt;=Hypothèses!$C$17,Hypothèses!$R$17,IF(B342&lt;=Hypothèses!$C$18,Hypothèses!$R$18,D341))))))))))))</f>
        <v>Pressio.</v>
      </c>
      <c r="E342" s="82" t="e">
        <f>IF(B342&lt;=Hypothèses!$C$7,Hypothèses!$G$7,IF(B342&lt;=Hypothèses!$C$8,Hypothèses!$G$8,IF(B342&lt;=Hypothèses!$C$9,Hypothèses!$G$9,IF(B342&lt;=Hypothèses!$C$10,Hypothèses!$G$10,IF(B342&lt;=Hypothèses!$C$11,Hypothèses!$G$11,IF(B342&lt;=Hypothèses!$C$12,Hypothèses!$G$12,IF(B342&lt;=Hypothèses!$C$13,Hypothèses!$G$13,IF(B342&lt;=Hypothèses!$C$14,Hypothèses!$G$14,IF(B342&lt;=Hypothèses!$C$15,Hypothèses!$G$15,IF(B342&lt;=Hypothèses!$C$16,Hypothèses!$G$16,IF(B342&lt;=Hypothèses!$C$17,Hypothèses!$G$17,IF(B342&lt;=Hypothèses!$C$18,Hypothèses!$G$18,E341))))))))))))</f>
        <v>#N/A</v>
      </c>
      <c r="F342" s="82" t="str">
        <f>IF(B342&lt;=Hypothèses!$C$7,Hypothèses!$F$7,IF(B342&lt;=Hypothèses!$C$8,Hypothèses!$F$8,IF(B342&lt;=Hypothèses!$C$9,Hypothèses!$F$9,IF(B342&lt;=Hypothèses!$C$10,Hypothèses!$F$10,IF(B342&lt;=Hypothèses!$C$11,Hypothèses!$F$11,IF(B342&lt;=Hypothèses!$C$12,Hypothèses!$F$12,IF(B342&lt;=Hypothèses!$C$13,Hypothèses!$F$13,IF(B342&lt;=Hypothèses!$C$14,Hypothèses!$F$14,IF(B342&lt;=Hypothèses!$C$15,Hypothèses!$F$15,IF(B342&lt;=Hypothèses!$C$16,Hypothèses!$F$16,IF(B342&lt;=Hypothèses!$C$17,Hypothèses!$F$17,IF(B342&lt;=Hypothèses!$C$18,Hypothèses!$F$18,F341))))))))))))</f>
        <v/>
      </c>
      <c r="G342" s="91">
        <f t="array" ref="G342">INDEX('Coeff EC7'!$U$7:$X$27,
MATCH(Model0.1C!$B$3,'Coeff EC7'!$T$7:$T$27,0),
MATCH(Model0.1C!$D342&amp;Model0.1C!$B$4,
'Coeff EC7'!$U$6:$X$6&amp;
'Coeff EC7'!$U$5:$X$5,0))</f>
        <v>1.1499999999999999</v>
      </c>
      <c r="H342" s="91">
        <f t="array" ref="H342">INDEX('Coeff EC7'!$Y$7:$AB$27,
MATCH(Model0.1C!$B$3,'Coeff EC7'!$T$7:$T$27,0),
MATCH(Model0.1C!$D342&amp;Model0.1C!$B$4,
'Coeff EC7'!$Y$6:$AB$6&amp;
'Coeff EC7'!$Y$5:$AB$5,0))</f>
        <v>1.4</v>
      </c>
      <c r="I342" s="83" t="e">
        <f>IF(B342&lt;=Hypothèses!$C$7,Hypothèses!$P$7,IF(B342&lt;=Hypothèses!$C$8,Hypothèses!$P$8,IF(B342&lt;=Hypothèses!$C$9,Hypothèses!$P$9,IF(B342&lt;=Hypothèses!$C$10,Hypothèses!$P$10,IF(B342&lt;=Hypothèses!$C$11,Hypothèses!$P$11,IF(B342&lt;=Hypothèses!$C$12,Hypothèses!$P$12,IF(B342&lt;=Hypothèses!$C$13,Hypothèses!$P$13,IF(B342&lt;=Hypothèses!$C$14,Hypothèses!$P$14,IF(B342&lt;=Hypothèses!$C$15,Hypothèses!$P$15,IF(B342&lt;=Hypothèses!$C$16,Hypothèses!$P$16,IF(B342&lt;=Hypothèses!$C$17,Hypothèses!$P$17,IF(B342&lt;=Hypothèses!$C$18,Hypothèses!$P$18,I341))))))))))))</f>
        <v>#N/A</v>
      </c>
      <c r="J342" s="91" t="e">
        <f t="array" ref="J342">INDEX('Coeff EC7'!$D$33:$Q$33,1,MATCH(D342&amp;E342,'Coeff EC7'!$D$31:$Q$31&amp;'Coeff EC7'!$D$32:$Q$32,0))</f>
        <v>#N/A</v>
      </c>
      <c r="K342" s="91" t="e">
        <f t="array" ref="K342">INDEX('Coeff EC7'!$D$34:$Q$34,1,MATCH(D342&amp;E342,'Coeff EC7'!$D$31:$Q$31&amp;'Coeff EC7'!$D$32:$Q$32,0))</f>
        <v>#N/A</v>
      </c>
      <c r="L342" s="91" t="e">
        <f t="array" ref="L342">INDEX('Coeff EC7'!$D$35:$Q$35,1,MATCH(D342&amp;E342,'Coeff EC7'!$D$31:$Q$31&amp;'Coeff EC7'!$D$32:$Q$32,0))</f>
        <v>#N/A</v>
      </c>
      <c r="M342" s="98" t="e">
        <f t="shared" si="531"/>
        <v>#N/A</v>
      </c>
      <c r="N342" s="99" t="e">
        <f t="array" ref="N342">INDEX('Coeff EC7'!$D$7:$Q$27,MATCH($B$3,'Coeff EC7'!$C$7:$C$27,0),MATCH(D342&amp;E342,'Coeff EC7'!$D$5:$Q$5&amp;'Coeff EC7'!$D$6:$Q$6,0))</f>
        <v>#N/A</v>
      </c>
      <c r="O342" s="99" t="e">
        <f t="array" ref="O342">INDEX('Coeff EC7'!$D$41:$Q$61,MATCH($B$3,'Coeff EC7'!$C$41:$C$61,0),MATCH(D342&amp;E342,'Coeff EC7'!$D$39:$Q$39&amp;'Coeff EC7'!$D$40:$Q$40,0))</f>
        <v>#N/A</v>
      </c>
      <c r="P342" s="30" t="e">
        <f t="shared" si="568"/>
        <v>#N/A</v>
      </c>
      <c r="Q342" s="100" t="e">
        <f t="shared" si="533"/>
        <v>#N/A</v>
      </c>
      <c r="R342" s="86" t="b">
        <f t="shared" si="534"/>
        <v>0</v>
      </c>
      <c r="S342" s="86">
        <f t="shared" si="532"/>
        <v>0.5</v>
      </c>
      <c r="T342" s="86">
        <f t="shared" si="535"/>
        <v>0.5</v>
      </c>
      <c r="U342" s="30" t="e">
        <f t="shared" ca="1" si="569"/>
        <v>#DIV/0!</v>
      </c>
      <c r="V342" s="85" t="str">
        <f>IF(B342&lt;=Hypothèses!$V$7,Hypothèses!$W$7,IF(B342&lt;=Hypothèses!$V$8,Hypothèses!$W$8,IF(B342&lt;=Hypothèses!$V$9,Hypothèses!$W$9,IF(B342&lt;=Hypothèses!$V$10,Hypothèses!$W$10,IF(B342&lt;=Hypothèses!$V$11,Hypothèses!$W$11,IF(B342&lt;=Hypothèses!$V$12,Hypothèses!$W$12,IF(B342&lt;=Hypothèses!$V$13,Hypothèses!$W$13,IF(B342&lt;=Hypothèses!$V$14,Hypothèses!$W$14,IF(B342&lt;=Hypothèses!$V$15,Hypothèses!$W$15,IF(B342&lt;=Hypothèses!$V$16,Hypothèses!$W$16,IF(B342&lt;=Hypothèses!$V$17,Hypothèses!$W$17,IF(B342&lt;=Hypothèses!$V$18,Hypothèses!$W$18,""))))))))))))</f>
        <v/>
      </c>
      <c r="W342" s="87" t="e">
        <f t="shared" ca="1" si="616"/>
        <v>#DIV/0!</v>
      </c>
      <c r="X342" s="88" t="str">
        <f>IF(B342&lt;=Hypothèses!$V$7,Hypothèses!$X$7,IF(B342&lt;=Hypothèses!$V$8,Hypothèses!$X$8,IF(B342&lt;=Hypothèses!$V$9,Hypothèses!$X$9,IF(B342&lt;=Hypothèses!$V$10,Hypothèses!$X$10,IF(B342&lt;=Hypothèses!$V$11,Hypothèses!$X$11,IF(B342&lt;=Hypothèses!$V$12,Hypothèses!$X$12,IF(B342&lt;=Hypothèses!$V$13,Hypothèses!$X$13,IF(B342&lt;=Hypothèses!$V$14,Hypothèses!$X$14,IF(B342&lt;=Hypothèses!$V$15,Hypothèses!$X$15,IF(B342&lt;=Hypothèses!$V$16,Hypothèses!$X$16,IF(B342&lt;=Hypothèses!$U$17,Hypothèses!$W$17,IF(B342&lt;=Hypothèses!$U$18,Hypothèses!$W$18,""))))))))))))</f>
        <v/>
      </c>
      <c r="Y342" s="95" t="e">
        <f t="shared" ca="1" si="536"/>
        <v>#DIV/0!</v>
      </c>
      <c r="Z342" s="101" t="e">
        <f t="shared" si="537"/>
        <v>#N/A</v>
      </c>
      <c r="AA342" s="91" t="e">
        <f t="shared" si="538"/>
        <v>#N/A</v>
      </c>
      <c r="AB342" s="30" t="e">
        <f t="shared" si="600"/>
        <v>#N/A</v>
      </c>
      <c r="AC342" s="30" t="e">
        <f t="shared" si="601"/>
        <v>#N/A</v>
      </c>
      <c r="AD342" s="31" t="e">
        <f>IF(OR(Hypothèses!$B$4=17,Hypothèses!$B$4=18,Hypothèses!$B$4=19,Hypothèses!$B$4=20),
IF($D342="Pressio.",
IF(OR($E342=3,$E342=1,$E342=4),AC342,AB342),
IF($D342="Pénétro.",
IF(OR($E342=3,$E342=1,$E342=4),AC342,AB342))),IF($D342="Pressio.",
IF($E342=3,AC342,AB342),
IF($D342="Pénétro.",
IF($E342=4,AC342,AB342))))</f>
        <v>#N/A</v>
      </c>
      <c r="AE342" s="31" t="e">
        <f>(IF(OR(Hypothèses!$B$4=17,Hypothèses!$B$4=18,Hypothèses!$B$4=19,Hypothèses!$B$4=20),
IF($D342="Pressio.",
IF(OR($E342=3,$E342=1,$E342=4),(PI()*AE$12^2)/4*(AA342*$W342*1000)/($H342*$B$5),(PI()*AE$12^2)/4*(AA342*$W342*1000)/($G342*$B$5)),
IF($D342="Pénétro.",
IF(OR($E342=4,$E342=1,$E342=5),(PI()*AE$12^2)/4*(AA342*$W342*1000)/($H342*$B$5),(PI()*AE$12^2)/4*(AA342*$W342*1000)/($G342*$B$5)))),
IF($D342="Pressio.",
IF($E342=3,(PI()*AE$12^2)/4*(AA342*$W342*1000)/($H342*$B$5),(PI()*AE$12^2)/4*(AA342*$W342*1000)/($G342*$B$5)),
IF($D342="Pénétro.",
IF($E342=4,(PI()*AE$12^2)/4*(AA342*$W342*1000)/($H342*$B$5),(PI()*AE$12^2)/4*(AA342*$W342*1000)/($G342*$B$5))))))/10</f>
        <v>#N/A</v>
      </c>
      <c r="AF342" s="102" t="e">
        <f>(VLOOKUP($B$3,'Coeff EC7'!$T$39:$X$59,2,0)*AD342+VLOOKUP($B$3,'Coeff EC7'!$T$65:$X$85,2,0)*Model0.1C!AE342)/1.1</f>
        <v>#N/A</v>
      </c>
      <c r="AG342" s="102" t="e">
        <f>(VLOOKUP($B$3,'Coeff EC7'!$T$39:$X$59,3,0)*AD342+VLOOKUP($B$3,'Coeff EC7'!$T$65:$X$85,3,0)*Model0.1C!AE342)/0.9</f>
        <v>#N/A</v>
      </c>
      <c r="AH342" s="102" t="e">
        <f t="shared" si="539"/>
        <v>#N/A</v>
      </c>
      <c r="AI342" s="102" t="e">
        <f t="shared" si="540"/>
        <v>#N/A</v>
      </c>
      <c r="AJ342" s="414" t="e">
        <f>IF(AJ341=0,0,IF(AND(AF342&gt;charge_ELS_quasi,AG342&gt;Charge_ELS_freq,AH342&gt;charge_ELU,AI342&gt;charge_ELA,$B342&gt;NDC!$H$22-0.1+MIN(3*$AJ$12,1.5)),0,1))</f>
        <v>#N/A</v>
      </c>
      <c r="AK342" s="86" t="b">
        <f t="shared" si="541"/>
        <v>0</v>
      </c>
      <c r="AL342" s="86">
        <f t="shared" si="570"/>
        <v>0.5</v>
      </c>
      <c r="AM342" s="86">
        <f t="shared" si="542"/>
        <v>0.5</v>
      </c>
      <c r="AN342" s="30" t="e">
        <f t="shared" ca="1" si="571"/>
        <v>#DIV/0!</v>
      </c>
      <c r="AO342" s="85" t="e">
        <f ca="1">IF(U342&lt;=Hypothèses!$V$7,Hypothèses!$W$7,IF(U342&lt;=Hypothèses!$V$8,Hypothèses!$W$8,IF(U342&lt;=Hypothèses!$V$9,Hypothèses!$W$9,IF(U342&lt;=Hypothèses!$V$10,Hypothèses!$W$10,IF(U342&lt;=Hypothèses!$V$11,Hypothèses!$W$11,IF(U342&lt;=Hypothèses!$V$12,Hypothèses!$W$12,IF(U342&lt;=Hypothèses!$V$13,Hypothèses!$W$13,IF(U342&lt;=Hypothèses!$V$14,Hypothèses!$W$14,IF(U342&lt;=Hypothèses!$V$15,Hypothèses!$W$15,IF(U342&lt;=Hypothèses!$V$16,Hypothèses!$W$16,IF(U342&lt;=Hypothèses!$V$17,Hypothèses!$W$17,IF(U342&lt;=Hypothèses!$V$18,Hypothèses!$W$18,""))))))))))))</f>
        <v>#DIV/0!</v>
      </c>
      <c r="AP342" s="87" t="e">
        <f t="shared" ca="1" si="617"/>
        <v>#DIV/0!</v>
      </c>
      <c r="AQ342" s="88" t="e">
        <f ca="1">IF(U342&lt;=Hypothèses!$V$7,Hypothèses!$X$7,IF(U342&lt;=Hypothèses!$V$8,Hypothèses!$X$8,IF(U342&lt;=Hypothèses!$V$9,Hypothèses!$X$9,IF(U342&lt;=Hypothèses!$V$10,Hypothèses!$X$10,IF(U342&lt;=Hypothèses!$V$11,Hypothèses!$X$11,IF(U342&lt;=Hypothèses!$V$12,Hypothèses!$X$12,IF(U342&lt;=Hypothèses!$V$13,Hypothèses!$X$13,IF(U342&lt;=Hypothèses!$V$14,Hypothèses!$X$14,IF(U342&lt;=Hypothèses!$V$15,Hypothèses!$X$15,IF(U342&lt;=Hypothèses!$V$16,Hypothèses!$X$16,IF(U342&lt;=Hypothèses!$U$17,Hypothèses!$W$17,IF(U342&lt;=Hypothèses!$U$18,Hypothèses!$W$18,""))))))))))))</f>
        <v>#DIV/0!</v>
      </c>
      <c r="AR342" s="95" t="e">
        <f t="shared" ca="1" si="572"/>
        <v>#DIV/0!</v>
      </c>
      <c r="AS342" s="101" t="e">
        <f t="shared" si="624"/>
        <v>#N/A</v>
      </c>
      <c r="AT342" s="91" t="e">
        <f t="shared" si="543"/>
        <v>#N/A</v>
      </c>
      <c r="AU342" s="30" t="e">
        <f t="shared" si="602"/>
        <v>#N/A</v>
      </c>
      <c r="AV342" s="30" t="e">
        <f t="shared" si="603"/>
        <v>#N/A</v>
      </c>
      <c r="AW342" s="31" t="e">
        <f>IF(OR(Hypothèses!$B$4=17,Hypothèses!$B$4=18,Hypothèses!$B$4=19,Hypothèses!$B$4=20),
IF($D342="Pressio.",
IF(OR($E342=3,$E342=1,$E342=4),AV342,AU342),
IF($D342="Pénétro.",
IF(OR($E342=3,$E342=1,$E342=4),AV342,AU342))),IF($D342="Pressio.",
IF($E342=3,AV342,AU342),
IF($D342="Pénétro.",
IF($E342=4,AV342,AU342))))</f>
        <v>#N/A</v>
      </c>
      <c r="AX342" s="31" t="e">
        <f>(IF(OR(Hypothèses!$B$4=17,Hypothèses!$B$4=18,Hypothèses!$B$4=19,Hypothèses!$B$4=20),
IF($D342="Pressio.",
IF(OR($E342=3,$E342=1,$E342=4),(PI()*AX$12^2)/4*(AT342*$W342*1000)/($H342*$B$5),(PI()*AX$12^2)/4*(AT342*$W342*1000)/($G342*$B$5)),
IF($D342="Pénétro.",
IF(OR($E342=4,$E342=1,$E342=5),(PI()*AX$12^2)/4*(AT342*$W342*1000)/($H342*$B$5),(PI()*AX$12^2)/4*(AT342*$W342*1000)/($G342*$B$5)))),
IF($D342="Pressio.",
IF($E342=3,(PI()*AX$12^2)/4*(AT342*$W342*1000)/($H342*$B$5),(PI()*AX$12^2)/4*(AT342*$W342*1000)/($G342*$B$5)),
IF($D342="Pénétro.",
IF($E342=4,(PI()*AX$12^2)/4*(AT342*$W342*1000)/($H342*$B$5),(PI()*AX$12^2)/4*(AT342*$W342*1000)/($G342*$B$5))))))/10</f>
        <v>#N/A</v>
      </c>
      <c r="AY342" s="102" t="e">
        <f>(VLOOKUP($B$3,'Coeff EC7'!$T$39:$X$59,2,0)*AW342+VLOOKUP($B$3,'Coeff EC7'!$T$65:$X$85,2,0)*Model0.1C!AX342)/1.1</f>
        <v>#N/A</v>
      </c>
      <c r="AZ342" s="102" t="e">
        <f>(VLOOKUP($B$3,'Coeff EC7'!$T$39:$X$59,3,0)*AW342+VLOOKUP($B$3,'Coeff EC7'!$T$65:$X$85,3,0)*Model0.1C!AX342)/0.9</f>
        <v>#N/A</v>
      </c>
      <c r="BA342" s="102" t="e">
        <f t="shared" si="573"/>
        <v>#N/A</v>
      </c>
      <c r="BB342" s="102" t="e">
        <f t="shared" si="574"/>
        <v>#N/A</v>
      </c>
      <c r="BC342" s="414" t="e">
        <f>IF(BC341=0,0,IF(AND(AY342&gt;charge_ELS_quasi,AZ342&gt;Charge_ELS_freq,BA342&gt;charge_ELU,BB342&gt;charge_ELA,$B342&gt;NDC!$H$22-0.1+MIN(3*$BC$12,1.5)),0,1))</f>
        <v>#N/A</v>
      </c>
      <c r="BD342" s="86" t="b">
        <f t="shared" si="544"/>
        <v>0</v>
      </c>
      <c r="BE342" s="86">
        <f t="shared" si="575"/>
        <v>0.5</v>
      </c>
      <c r="BF342" s="86">
        <f t="shared" si="545"/>
        <v>0.5</v>
      </c>
      <c r="BG342" s="30" t="e">
        <f t="shared" ca="1" si="576"/>
        <v>#DIV/0!</v>
      </c>
      <c r="BH342" s="85" t="e">
        <f ca="1">IF(AN342&lt;=Hypothèses!$V$7,Hypothèses!$W$7,IF(AN342&lt;=Hypothèses!$V$8,Hypothèses!$W$8,IF(AN342&lt;=Hypothèses!$V$9,Hypothèses!$W$9,IF(AN342&lt;=Hypothèses!$V$10,Hypothèses!$W$10,IF(AN342&lt;=Hypothèses!$V$11,Hypothèses!$W$11,IF(AN342&lt;=Hypothèses!$V$12,Hypothèses!$W$12,IF(AN342&lt;=Hypothèses!$V$13,Hypothèses!$W$13,IF(AN342&lt;=Hypothèses!$V$14,Hypothèses!$W$14,IF(AN342&lt;=Hypothèses!$V$15,Hypothèses!$W$15,IF(AN342&lt;=Hypothèses!$V$16,Hypothèses!$W$16,IF(AN342&lt;=Hypothèses!$V$17,Hypothèses!$W$17,IF(AN342&lt;=Hypothèses!$V$18,Hypothèses!$W$18,""))))))))))))</f>
        <v>#DIV/0!</v>
      </c>
      <c r="BI342" s="87" t="e">
        <f t="shared" ca="1" si="618"/>
        <v>#DIV/0!</v>
      </c>
      <c r="BJ342" s="88" t="e">
        <f ca="1">IF(AN342&lt;=Hypothèses!$V$7,Hypothèses!$X$7,IF(AN342&lt;=Hypothèses!$V$8,Hypothèses!$X$8,IF(AN342&lt;=Hypothèses!$V$9,Hypothèses!$X$9,IF(AN342&lt;=Hypothèses!$V$10,Hypothèses!$X$10,IF(AN342&lt;=Hypothèses!$V$11,Hypothèses!$X$11,IF(AN342&lt;=Hypothèses!$V$12,Hypothèses!$X$12,IF(AN342&lt;=Hypothèses!$V$13,Hypothèses!$X$13,IF(AN342&lt;=Hypothèses!$V$14,Hypothèses!$X$14,IF(AN342&lt;=Hypothèses!$V$15,Hypothèses!$X$15,IF(AN342&lt;=Hypothèses!$V$16,Hypothèses!$X$16,IF(AN342&lt;=Hypothèses!$U$17,Hypothèses!$W$17,IF(AN342&lt;=Hypothèses!$U$18,Hypothèses!$W$18,""))))))))))))</f>
        <v>#DIV/0!</v>
      </c>
      <c r="BK342" s="95" t="e">
        <f t="shared" ca="1" si="577"/>
        <v>#DIV/0!</v>
      </c>
      <c r="BL342" s="101" t="e">
        <f t="shared" si="625"/>
        <v>#N/A</v>
      </c>
      <c r="BM342" s="91" t="e">
        <f t="shared" si="546"/>
        <v>#N/A</v>
      </c>
      <c r="BN342" s="30" t="e">
        <f t="shared" si="604"/>
        <v>#N/A</v>
      </c>
      <c r="BO342" s="30" t="e">
        <f t="shared" si="605"/>
        <v>#N/A</v>
      </c>
      <c r="BP342" s="31" t="e">
        <f>IF(OR(Hypothèses!$B$4=17,Hypothèses!$B$4=18,Hypothèses!$B$4=19,Hypothèses!$B$4=20),
IF($D342="Pressio.",
IF(OR($E342=3,$E342=1,$E342=4),BO342,BN342),
IF($D342="Pénétro.",
IF(OR($E342=3,$E342=1,$E342=4),BO342,BN342))),IF($D342="Pressio.",
IF($E342=3,BO342,BN342),
IF($D342="Pénétro.",
IF($E342=4,BO342,BN342))))</f>
        <v>#N/A</v>
      </c>
      <c r="BQ342" s="31" t="e">
        <f>(IF(OR(Hypothèses!$B$4=17,Hypothèses!$B$4=18,Hypothèses!$B$4=19,Hypothèses!$B$4=20),
IF($D342="Pressio.",
IF(OR($E342=3,$E342=1,$E342=4),(PI()*BQ$12^2)/4*(BM342*$W342*1000)/($H342*$B$5),(PI()*BQ$12^2)/4*(BM342*$W342*1000)/($G342*$B$5)),
IF($D342="Pénétro.",
IF(OR($E342=4,$E342=1,$E342=5),(PI()*BQ$12^2)/4*(BM342*$W342*1000)/($H342*$B$5),(PI()*BQ$12^2)/4*(BM342*$W342*1000)/($G342*$B$5)))),
IF($D342="Pressio.",
IF($E342=3,(PI()*BQ$12^2)/4*(BM342*$W342*1000)/($H342*$B$5),(PI()*BQ$12^2)/4*(BM342*$W342*1000)/($G342*$B$5)),
IF($D342="Pénétro.",
IF($E342=4,(PI()*BQ$12^2)/4*(BM342*$W342*1000)/($H342*$B$5),(PI()*BQ$12^2)/4*(BM342*$W342*1000)/($G342*$B$5))))))/10</f>
        <v>#N/A</v>
      </c>
      <c r="BR342" s="102" t="e">
        <f>(VLOOKUP($B$3,'Coeff EC7'!$T$39:$X$59,2,0)*BP342+VLOOKUP($B$3,'Coeff EC7'!$T$65:$X$85,2,0)*Model0.1C!BQ342)/1.1</f>
        <v>#N/A</v>
      </c>
      <c r="BS342" s="102" t="e">
        <f>(VLOOKUP($B$3,'Coeff EC7'!$T$39:$X$59,3,0)*BP342+VLOOKUP($B$3,'Coeff EC7'!$T$65:$X$85,3,0)*Model0.1C!BQ342)/0.9</f>
        <v>#N/A</v>
      </c>
      <c r="BT342" s="102" t="e">
        <f t="shared" si="578"/>
        <v>#N/A</v>
      </c>
      <c r="BU342" s="102" t="e">
        <f t="shared" si="579"/>
        <v>#N/A</v>
      </c>
      <c r="BV342" s="414" t="e">
        <f>IF(BV341=0,0,IF(AND(BR342&gt;charge_ELS_quasi,BS342&gt;Charge_ELS_freq,BT342&gt;charge_ELU,BU342&gt;charge_ELA,$B342&gt;NDC!$H$22-0.1+MIN(3*$BV$12,1.5)),0,1))</f>
        <v>#N/A</v>
      </c>
      <c r="BW342" s="86" t="b">
        <f t="shared" si="547"/>
        <v>0</v>
      </c>
      <c r="BX342" s="86">
        <f t="shared" si="548"/>
        <v>0.5</v>
      </c>
      <c r="BY342" s="86">
        <f t="shared" si="549"/>
        <v>0.5</v>
      </c>
      <c r="BZ342" s="30" t="e">
        <f t="shared" ca="1" si="580"/>
        <v>#DIV/0!</v>
      </c>
      <c r="CA342" s="85" t="e">
        <f ca="1">IF(BG342&lt;=Hypothèses!$V$7,Hypothèses!$W$7,IF(BG342&lt;=Hypothèses!$V$8,Hypothèses!$W$8,IF(BG342&lt;=Hypothèses!$V$9,Hypothèses!$W$9,IF(BG342&lt;=Hypothèses!$V$10,Hypothèses!$W$10,IF(BG342&lt;=Hypothèses!$V$11,Hypothèses!$W$11,IF(BG342&lt;=Hypothèses!$V$12,Hypothèses!$W$12,IF(BG342&lt;=Hypothèses!$V$13,Hypothèses!$W$13,IF(BG342&lt;=Hypothèses!$V$14,Hypothèses!$W$14,IF(BG342&lt;=Hypothèses!$V$15,Hypothèses!$W$15,IF(BG342&lt;=Hypothèses!$V$16,Hypothèses!$W$16,IF(BG342&lt;=Hypothèses!$V$17,Hypothèses!$W$17,IF(BG342&lt;=Hypothèses!$V$18,Hypothèses!$W$18,""))))))))))))</f>
        <v>#DIV/0!</v>
      </c>
      <c r="CB342" s="87" t="e">
        <f t="shared" ca="1" si="619"/>
        <v>#DIV/0!</v>
      </c>
      <c r="CC342" s="88" t="e">
        <f ca="1">IF(BG342&lt;=Hypothèses!$V$7,Hypothèses!$X$7,IF(BG342&lt;=Hypothèses!$V$8,Hypothèses!$X$8,IF(BG342&lt;=Hypothèses!$V$9,Hypothèses!$X$9,IF(BG342&lt;=Hypothèses!$V$10,Hypothèses!$X$10,IF(BG342&lt;=Hypothèses!$V$11,Hypothèses!$X$11,IF(BG342&lt;=Hypothèses!$V$12,Hypothèses!$X$12,IF(BG342&lt;=Hypothèses!$V$13,Hypothèses!$X$13,IF(BG342&lt;=Hypothèses!$V$14,Hypothèses!$X$14,IF(BG342&lt;=Hypothèses!$V$15,Hypothèses!$X$15,IF(BG342&lt;=Hypothèses!$V$16,Hypothèses!$X$16,IF(BG342&lt;=Hypothèses!$U$17,Hypothèses!$W$17,IF(BG342&lt;=Hypothèses!$U$18,Hypothèses!$W$18,""))))))))))))</f>
        <v>#DIV/0!</v>
      </c>
      <c r="CD342" s="95" t="e">
        <f t="shared" ca="1" si="581"/>
        <v>#DIV/0!</v>
      </c>
      <c r="CE342" s="101" t="e">
        <f t="shared" si="626"/>
        <v>#N/A</v>
      </c>
      <c r="CF342" s="91" t="e">
        <f t="shared" si="550"/>
        <v>#N/A</v>
      </c>
      <c r="CG342" s="30" t="e">
        <f t="shared" si="606"/>
        <v>#N/A</v>
      </c>
      <c r="CH342" s="30" t="e">
        <f t="shared" si="607"/>
        <v>#N/A</v>
      </c>
      <c r="CI342" s="31" t="e">
        <f>IF(OR(Hypothèses!$B$4=17,Hypothèses!$B$4=18,Hypothèses!$B$4=19,Hypothèses!$B$4=20),
IF($D342="Pressio.",
IF(OR($E342=3,$E342=1,$E342=4),CH342,CG342),
IF($D342="Pénétro.",
IF(OR($E342=3,$E342=1,$E342=4),CH342,CG342))),IF($D342="Pressio.",
IF($E342=3,CH342,CG342),
IF($D342="Pénétro.",
IF($E342=4,CH342,CG342))))</f>
        <v>#N/A</v>
      </c>
      <c r="CJ342" s="31" t="e">
        <f>(IF(OR(Hypothèses!$B$4=17,Hypothèses!$B$4=18,Hypothèses!$B$4=19,Hypothèses!$B$4=20),
IF($D342="Pressio.",
IF(OR($E342=3,$E342=1,$E342=4),(PI()*CJ$12^2)/4*(CF342*$W342*1000)/($H342*$B$5),(PI()*CJ$12^2)/4*(CF342*$W342*1000)/($G342*$B$5)),
IF($D342="Pénétro.",
IF(OR($E342=4,$E342=1,$E342=5),(PI()*CJ$12^2)/4*(CF342*$W342*1000)/($H342*$B$5),(PI()*CJ$12^2)/4*(CF342*$W342*1000)/($G342*$B$5)))),
IF($D342="Pressio.",
IF($E342=3,(PI()*CJ$12^2)/4*(CF342*$W342*1000)/($H342*$B$5),(PI()*CJ$12^2)/4*(CF342*$W342*1000)/($G342*$B$5)),
IF($D342="Pénétro.",
IF($E342=4,(PI()*CJ$12^2)/4*(CF342*$W342*1000)/($H342*$B$5),(PI()*CJ$12^2)/4*(CF342*$W342*1000)/($G342*$B$5))))))/10</f>
        <v>#N/A</v>
      </c>
      <c r="CK342" s="102" t="e">
        <f>(VLOOKUP($B$3,'Coeff EC7'!$T$39:$X$59,2,0)*CI342+VLOOKUP($B$3,'Coeff EC7'!$T$65:$X$85,2,0)*Model0.1C!CJ342)/1.1</f>
        <v>#N/A</v>
      </c>
      <c r="CL342" s="102" t="e">
        <f>(VLOOKUP($B$3,'Coeff EC7'!$T$39:$X$59,3,0)*CI342+VLOOKUP($B$3,'Coeff EC7'!$T$65:$X$85,3,0)*Model0.1C!CJ342)/0.9</f>
        <v>#N/A</v>
      </c>
      <c r="CM342" s="102" t="e">
        <f t="shared" si="582"/>
        <v>#N/A</v>
      </c>
      <c r="CN342" s="102" t="e">
        <f t="shared" si="583"/>
        <v>#N/A</v>
      </c>
      <c r="CO342" s="414" t="e">
        <f>IF(CO341=0,0,IF(AND(CK342&gt;charge_ELS_quasi,CL342&gt;Charge_ELS_freq,CM342&gt;charge_ELU,CN342&gt;charge_ELA,$B342&gt;NDC!$H$22-0.1+MIN(3*$CO$12,1.5)),0,1))</f>
        <v>#N/A</v>
      </c>
      <c r="CP342" s="86" t="b">
        <f t="shared" si="551"/>
        <v>0</v>
      </c>
      <c r="CQ342" s="86">
        <f t="shared" si="552"/>
        <v>0.5</v>
      </c>
      <c r="CR342" s="86">
        <f t="shared" si="553"/>
        <v>0.5</v>
      </c>
      <c r="CS342" s="30" t="e">
        <f t="shared" ca="1" si="584"/>
        <v>#DIV/0!</v>
      </c>
      <c r="CT342" s="85" t="e">
        <f ca="1">IF(BZ342&lt;=Hypothèses!$V$7,Hypothèses!$W$7,IF(BZ342&lt;=Hypothèses!$V$8,Hypothèses!$W$8,IF(BZ342&lt;=Hypothèses!$V$9,Hypothèses!$W$9,IF(BZ342&lt;=Hypothèses!$V$10,Hypothèses!$W$10,IF(BZ342&lt;=Hypothèses!$V$11,Hypothèses!$W$11,IF(BZ342&lt;=Hypothèses!$V$12,Hypothèses!$W$12,IF(BZ342&lt;=Hypothèses!$V$13,Hypothèses!$W$13,IF(BZ342&lt;=Hypothèses!$V$14,Hypothèses!$W$14,IF(BZ342&lt;=Hypothèses!$V$15,Hypothèses!$W$15,IF(BZ342&lt;=Hypothèses!$V$16,Hypothèses!$W$16,IF(BZ342&lt;=Hypothèses!$V$17,Hypothèses!$W$17,IF(BZ342&lt;=Hypothèses!$V$18,Hypothèses!$W$18,""))))))))))))</f>
        <v>#DIV/0!</v>
      </c>
      <c r="CU342" s="87" t="e">
        <f t="shared" ca="1" si="620"/>
        <v>#DIV/0!</v>
      </c>
      <c r="CV342" s="88" t="e">
        <f ca="1">IF(BZ342&lt;=Hypothèses!$V$7,Hypothèses!$X$7,IF(BZ342&lt;=Hypothèses!$V$8,Hypothèses!$X$8,IF(BZ342&lt;=Hypothèses!$V$9,Hypothèses!$X$9,IF(BZ342&lt;=Hypothèses!$V$10,Hypothèses!$X$10,IF(BZ342&lt;=Hypothèses!$V$11,Hypothèses!$X$11,IF(BZ342&lt;=Hypothèses!$V$12,Hypothèses!$X$12,IF(BZ342&lt;=Hypothèses!$V$13,Hypothèses!$X$13,IF(BZ342&lt;=Hypothèses!$V$14,Hypothèses!$X$14,IF(BZ342&lt;=Hypothèses!$V$15,Hypothèses!$X$15,IF(BZ342&lt;=Hypothèses!$V$16,Hypothèses!$X$16,IF(BZ342&lt;=Hypothèses!$U$17,Hypothèses!$W$17,IF(BZ342&lt;=Hypothèses!$U$18,Hypothèses!$W$18,""))))))))))))</f>
        <v>#DIV/0!</v>
      </c>
      <c r="CW342" s="95" t="e">
        <f t="shared" ca="1" si="585"/>
        <v>#DIV/0!</v>
      </c>
      <c r="CX342" s="101" t="e">
        <f t="shared" si="627"/>
        <v>#N/A</v>
      </c>
      <c r="CY342" s="91" t="e">
        <f t="shared" si="554"/>
        <v>#N/A</v>
      </c>
      <c r="CZ342" s="30" t="e">
        <f t="shared" si="608"/>
        <v>#N/A</v>
      </c>
      <c r="DA342" s="30" t="e">
        <f t="shared" si="609"/>
        <v>#N/A</v>
      </c>
      <c r="DB342" s="31" t="e">
        <f>IF(OR(Hypothèses!$B$4=17,Hypothèses!$B$4=18,Hypothèses!$B$4=19,Hypothèses!$B$4=20),
IF($D342="Pressio.",
IF(OR($E342=3,$E342=1,$E342=4),DA342,CZ342),
IF($D342="Pénétro.",
IF(OR($E342=3,$E342=1,$E342=4),DA342,CZ342))),IF($D342="Pressio.",
IF($E342=3,DA342,CZ342),
IF($D342="Pénétro.",
IF($E342=4,DA342,CZ342))))</f>
        <v>#N/A</v>
      </c>
      <c r="DC342" s="31" t="e">
        <f>(IF(OR(Hypothèses!$B$4=17,Hypothèses!$B$4=18,Hypothèses!$B$4=19,Hypothèses!$B$4=20),
IF($D342="Pressio.",
IF(OR($E342=3,$E342=1,$E342=4),(PI()*DC$12^2)/4*(CY342*$W342*1000)/($H342*$B$5),(PI()*DC$12^2)/4*(CY342*$W342*1000)/($G342*$B$5)),
IF($D342="Pénétro.",
IF(OR($E342=4,$E342=1,$E342=5),(PI()*DC$12^2)/4*(CY342*$W342*1000)/($H342*$B$5),(PI()*DC$12^2)/4*(CY342*$W342*1000)/($G342*$B$5)))),
IF($D342="Pressio.",
IF($E342=3,(PI()*DC$12^2)/4*(CY342*$W342*1000)/($H342*$B$5),(PI()*DC$12^2)/4*(CY342*$W342*1000)/($G342*$B$5)),
IF($D342="Pénétro.",
IF($E342=4,(PI()*DC$12^2)/4*(CY342*$W342*1000)/($H342*$B$5),(PI()*DC$12^2)/4*(CY342*$W342*1000)/($G342*$B$5))))))/10</f>
        <v>#N/A</v>
      </c>
      <c r="DD342" s="102" t="e">
        <f>(VLOOKUP($B$3,'Coeff EC7'!$T$39:$X$59,2,0)*DB342+VLOOKUP($B$3,'Coeff EC7'!$T$65:$X$85,2,0)*Model0.1C!DC342)/1.1</f>
        <v>#N/A</v>
      </c>
      <c r="DE342" s="102" t="e">
        <f>(VLOOKUP($B$3,'Coeff EC7'!$T$39:$X$59,3,0)*DB342+VLOOKUP($B$3,'Coeff EC7'!$T$65:$X$85,3,0)*Model0.1C!DC342)/0.9</f>
        <v>#N/A</v>
      </c>
      <c r="DF342" s="102" t="e">
        <f t="shared" si="586"/>
        <v>#N/A</v>
      </c>
      <c r="DG342" s="102" t="e">
        <f t="shared" si="587"/>
        <v>#N/A</v>
      </c>
      <c r="DH342" s="414" t="e">
        <f>IF(DH341=0,0,IF(AND(DD342&gt;charge_ELS_quasi,DE342&gt;Charge_ELS_freq,DF342&gt;charge_ELU,DG342&gt;charge_ELA,$B342&gt;NDC!$H$22-0.1+MIN(3*$DH$12,1.5)),0,1))</f>
        <v>#N/A</v>
      </c>
      <c r="DI342" s="86" t="b">
        <f t="shared" si="555"/>
        <v>0</v>
      </c>
      <c r="DJ342" s="86">
        <f t="shared" si="556"/>
        <v>0.5</v>
      </c>
      <c r="DK342" s="86">
        <f t="shared" si="557"/>
        <v>0.5</v>
      </c>
      <c r="DL342" s="30" t="e">
        <f t="shared" ca="1" si="588"/>
        <v>#DIV/0!</v>
      </c>
      <c r="DM342" s="85" t="e">
        <f ca="1">IF(CS342&lt;=Hypothèses!$V$7,Hypothèses!$W$7,IF(CS342&lt;=Hypothèses!$V$8,Hypothèses!$W$8,IF(CS342&lt;=Hypothèses!$V$9,Hypothèses!$W$9,IF(CS342&lt;=Hypothèses!$V$10,Hypothèses!$W$10,IF(CS342&lt;=Hypothèses!$V$11,Hypothèses!$W$11,IF(CS342&lt;=Hypothèses!$V$12,Hypothèses!$W$12,IF(CS342&lt;=Hypothèses!$V$13,Hypothèses!$W$13,IF(CS342&lt;=Hypothèses!$V$14,Hypothèses!$W$14,IF(CS342&lt;=Hypothèses!$V$15,Hypothèses!$W$15,IF(CS342&lt;=Hypothèses!$V$16,Hypothèses!$W$16,IF(CS342&lt;=Hypothèses!$V$17,Hypothèses!$W$17,IF(CS342&lt;=Hypothèses!$V$18,Hypothèses!$W$18,""))))))))))))</f>
        <v>#DIV/0!</v>
      </c>
      <c r="DN342" s="87" t="e">
        <f t="shared" ca="1" si="621"/>
        <v>#DIV/0!</v>
      </c>
      <c r="DO342" s="88" t="e">
        <f ca="1">IF(CS342&lt;=Hypothèses!$V$7,Hypothèses!$X$7,IF(CS342&lt;=Hypothèses!$V$8,Hypothèses!$X$8,IF(CS342&lt;=Hypothèses!$V$9,Hypothèses!$X$9,IF(CS342&lt;=Hypothèses!$V$10,Hypothèses!$X$10,IF(CS342&lt;=Hypothèses!$V$11,Hypothèses!$X$11,IF(CS342&lt;=Hypothèses!$V$12,Hypothèses!$X$12,IF(CS342&lt;=Hypothèses!$V$13,Hypothèses!$X$13,IF(CS342&lt;=Hypothèses!$V$14,Hypothèses!$X$14,IF(CS342&lt;=Hypothèses!$V$15,Hypothèses!$X$15,IF(CS342&lt;=Hypothèses!$V$16,Hypothèses!$X$16,IF(CS342&lt;=Hypothèses!$U$17,Hypothèses!$W$17,IF(CS342&lt;=Hypothèses!$U$18,Hypothèses!$W$18,""))))))))))))</f>
        <v>#DIV/0!</v>
      </c>
      <c r="DP342" s="95" t="e">
        <f t="shared" ca="1" si="589"/>
        <v>#DIV/0!</v>
      </c>
      <c r="DQ342" s="101" t="e">
        <f t="shared" si="628"/>
        <v>#N/A</v>
      </c>
      <c r="DR342" s="91" t="e">
        <f t="shared" si="558"/>
        <v>#N/A</v>
      </c>
      <c r="DS342" s="30" t="e">
        <f t="shared" si="610"/>
        <v>#N/A</v>
      </c>
      <c r="DT342" s="30" t="e">
        <f t="shared" si="611"/>
        <v>#N/A</v>
      </c>
      <c r="DU342" s="31" t="e">
        <f>IF(OR(Hypothèses!$B$4=17,Hypothèses!$B$4=18,Hypothèses!$B$4=19,Hypothèses!$B$4=20),
IF($D342="Pressio.",
IF(OR($E342=3,$E342=1,$E342=4),DT342,DS342),
IF($D342="Pénétro.",
IF(OR($E342=3,$E342=1,$E342=4),DT342,DS342))),IF($D342="Pressio.",
IF($E342=3,DT342,DS342),
IF($D342="Pénétro.",
IF($E342=4,DT342,DS342))))</f>
        <v>#N/A</v>
      </c>
      <c r="DV342" s="31" t="e">
        <f>(IF(OR(Hypothèses!$B$4=17,Hypothèses!$B$4=18,Hypothèses!$B$4=19,Hypothèses!$B$4=20),
IF($D342="Pressio.",
IF(OR($E342=3,$E342=1,$E342=4),(PI()*DV$12^2)/4*(DR342*$W342*1000)/($H342*$B$5),(PI()*DV$12^2)/4*(DR342*$W342*1000)/($G342*$B$5)),
IF($D342="Pénétro.",
IF(OR($E342=4,$E342=1,$E342=5),(PI()*DV$12^2)/4*(DR342*$W342*1000)/($H342*$B$5),(PI()*DV$12^2)/4*(DR342*$W342*1000)/($G342*$B$5)))),
IF($D342="Pressio.",
IF($E342=3,(PI()*DV$12^2)/4*(DR342*$W342*1000)/($H342*$B$5),(PI()*DV$12^2)/4*(DR342*$W342*1000)/($G342*$B$5)),
IF($D342="Pénétro.",
IF($E342=4,(PI()*DV$12^2)/4*(DR342*$W342*1000)/($H342*$B$5),(PI()*DV$12^2)/4*(DR342*$W342*1000)/($G342*$B$5))))))/10</f>
        <v>#N/A</v>
      </c>
      <c r="DW342" s="102" t="e">
        <f>(VLOOKUP($B$3,'Coeff EC7'!$T$39:$X$59,2,0)*DU342+VLOOKUP($B$3,'Coeff EC7'!$T$65:$X$85,2,0)*Model0.1C!DV342)/1.1</f>
        <v>#N/A</v>
      </c>
      <c r="DX342" s="102" t="e">
        <f>(VLOOKUP($B$3,'Coeff EC7'!$T$39:$X$59,3,0)*DU342+VLOOKUP($B$3,'Coeff EC7'!$T$65:$X$85,3,0)*Model0.1C!DV342)/0.9</f>
        <v>#N/A</v>
      </c>
      <c r="DY342" s="102" t="e">
        <f t="shared" si="590"/>
        <v>#N/A</v>
      </c>
      <c r="DZ342" s="102" t="e">
        <f t="shared" si="591"/>
        <v>#N/A</v>
      </c>
      <c r="EA342" s="414" t="e">
        <f>IF(EA341=0,0,IF(AND(DW342&gt;charge_ELS_quasi,DX342&gt;Charge_ELS_freq,DY342&gt;charge_ELU,DZ342&gt;charge_ELA,$B342&gt;NDC!$H$22-0.1+MIN(3*$EA$12,1.5)),0,1))</f>
        <v>#N/A</v>
      </c>
      <c r="EB342" s="86" t="b">
        <f t="shared" si="559"/>
        <v>0</v>
      </c>
      <c r="EC342" s="418">
        <f t="shared" si="560"/>
        <v>0.51</v>
      </c>
      <c r="ED342" s="86">
        <f t="shared" si="561"/>
        <v>0.51</v>
      </c>
      <c r="EE342" s="30" t="e">
        <f t="shared" ca="1" si="592"/>
        <v>#DIV/0!</v>
      </c>
      <c r="EF342" s="85" t="e">
        <f ca="1">IF(DL342&lt;=Hypothèses!$V$7,Hypothèses!$W$7,IF(DL342&lt;=Hypothèses!$V$8,Hypothèses!$W$8,IF(DL342&lt;=Hypothèses!$V$9,Hypothèses!$W$9,IF(DL342&lt;=Hypothèses!$V$10,Hypothèses!$W$10,IF(DL342&lt;=Hypothèses!$V$11,Hypothèses!$W$11,IF(DL342&lt;=Hypothèses!$V$12,Hypothèses!$W$12,IF(DL342&lt;=Hypothèses!$V$13,Hypothèses!$W$13,IF(DL342&lt;=Hypothèses!$V$14,Hypothèses!$W$14,IF(DL342&lt;=Hypothèses!$V$15,Hypothèses!$W$15,IF(DL342&lt;=Hypothèses!$V$16,Hypothèses!$W$16,IF(DL342&lt;=Hypothèses!$V$17,Hypothèses!$W$17,IF(DL342&lt;=Hypothèses!$V$18,Hypothèses!$W$18,""))))))))))))</f>
        <v>#DIV/0!</v>
      </c>
      <c r="EG342" s="87" t="e">
        <f t="shared" ca="1" si="622"/>
        <v>#DIV/0!</v>
      </c>
      <c r="EH342" s="88" t="e">
        <f ca="1">IF(DL342&lt;=Hypothèses!$V$7,Hypothèses!$X$7,IF(DL342&lt;=Hypothèses!$V$8,Hypothèses!$X$8,IF(DL342&lt;=Hypothèses!$V$9,Hypothèses!$X$9,IF(DL342&lt;=Hypothèses!$V$10,Hypothèses!$X$10,IF(DL342&lt;=Hypothèses!$V$11,Hypothèses!$X$11,IF(DL342&lt;=Hypothèses!$V$12,Hypothèses!$X$12,IF(DL342&lt;=Hypothèses!$V$13,Hypothèses!$X$13,IF(DL342&lt;=Hypothèses!$V$14,Hypothèses!$X$14,IF(DL342&lt;=Hypothèses!$V$15,Hypothèses!$X$15,IF(DL342&lt;=Hypothèses!$V$16,Hypothèses!$X$16,IF(DL342&lt;=Hypothèses!$U$17,Hypothèses!$W$17,IF(DL342&lt;=Hypothèses!$U$18,Hypothèses!$W$18,""))))))))))))</f>
        <v>#DIV/0!</v>
      </c>
      <c r="EI342" s="95" t="e">
        <f t="shared" ca="1" si="593"/>
        <v>#DIV/0!</v>
      </c>
      <c r="EJ342" s="101" t="e">
        <f t="shared" si="629"/>
        <v>#N/A</v>
      </c>
      <c r="EK342" s="91" t="e">
        <f t="shared" si="562"/>
        <v>#N/A</v>
      </c>
      <c r="EL342" s="30" t="e">
        <f t="shared" si="612"/>
        <v>#N/A</v>
      </c>
      <c r="EM342" s="30" t="e">
        <f t="shared" si="613"/>
        <v>#N/A</v>
      </c>
      <c r="EN342" s="31" t="e">
        <f>IF(OR(Hypothèses!$B$4=17,Hypothèses!$B$4=18,Hypothèses!$B$4=19,Hypothèses!$B$4=20),
IF($D342="Pressio.",
IF(OR($E342=3,$E342=1,$E342=4),EM342,EL342),
IF($D342="Pénétro.",
IF(OR($E342=3,$E342=1,$E342=4),EM342,EL342))),IF($D342="Pressio.",
IF($E342=3,EM342,EL342),
IF($D342="Pénétro.",
IF($E342=4,EM342,EL342))))</f>
        <v>#N/A</v>
      </c>
      <c r="EO342" s="31" t="e">
        <f>(IF(OR(Hypothèses!$B$4=17,Hypothèses!$B$4=18,Hypothèses!$B$4=19,Hypothèses!$B$4=20),
IF($D342="Pressio.",
IF(OR($E342=3,$E342=1,$E342=4),(PI()*EO$12^2)/4*(EK342*$W342*1000)/($H342*$B$5),(PI()*EO$12^2)/4*(EK342*$W342*1000)/($G342*$B$5)),
IF($D342="Pénétro.",
IF(OR($E342=4,$E342=1,$E342=5),(PI()*EO$12^2)/4*(EK342*$W342*1000)/($H342*$B$5),(PI()*EO$12^2)/4*(EK342*$W342*1000)/($G342*$B$5)))),
IF($D342="Pressio.",
IF($E342=3,(PI()*EO$12^2)/4*(EK342*$W342*1000)/($H342*$B$5),(PI()*EO$12^2)/4*(EK342*$W342*1000)/($G342*$B$5)),
IF($D342="Pénétro.",
IF($E342=4,(PI()*EO$12^2)/4*(EK342*$W342*1000)/($H342*$B$5),(PI()*EO$12^2)/4*(EK342*$W342*1000)/($G342*$B$5))))))/10</f>
        <v>#N/A</v>
      </c>
      <c r="EP342" s="102" t="e">
        <f>(VLOOKUP($B$3,'Coeff EC7'!$T$39:$X$59,2,0)*EN342+VLOOKUP($B$3,'Coeff EC7'!$T$65:$X$85,2,0)*Model0.1C!EO342)/1.1</f>
        <v>#N/A</v>
      </c>
      <c r="EQ342" s="102" t="e">
        <f>(VLOOKUP($B$3,'Coeff EC7'!$T$39:$X$59,3,0)*EN342+VLOOKUP($B$3,'Coeff EC7'!$T$65:$X$85,3,0)*Model0.1C!EO342)/0.9</f>
        <v>#N/A</v>
      </c>
      <c r="ER342" s="102" t="e">
        <f t="shared" si="594"/>
        <v>#N/A</v>
      </c>
      <c r="ES342" s="102" t="e">
        <f t="shared" si="595"/>
        <v>#N/A</v>
      </c>
      <c r="ET342" s="414" t="e">
        <f>IF(ET341=0,0,IF(AND(EP342&gt;charge_ELS_quasi,EQ342&gt;Charge_ELS_freq,ER342&gt;charge_ELU,ES342&gt;charge_ELA,$B342&gt;NDC!$H$22-0.1+MIN(3*$ET$12,1.5)),0,1))</f>
        <v>#N/A</v>
      </c>
      <c r="EU342" s="86" t="b">
        <f t="shared" si="563"/>
        <v>0</v>
      </c>
      <c r="EV342" s="86">
        <f t="shared" si="564"/>
        <v>0.61</v>
      </c>
      <c r="EW342" s="86">
        <f t="shared" si="565"/>
        <v>0.61</v>
      </c>
      <c r="EX342" s="30" t="e">
        <f t="shared" ca="1" si="596"/>
        <v>#DIV/0!</v>
      </c>
      <c r="EY342" s="85" t="e">
        <f ca="1">IF(EE342&lt;=Hypothèses!$V$7,Hypothèses!$W$7,IF(EE342&lt;=Hypothèses!$V$8,Hypothèses!$W$8,IF(EE342&lt;=Hypothèses!$V$9,Hypothèses!$W$9,IF(EE342&lt;=Hypothèses!$V$10,Hypothèses!$W$10,IF(EE342&lt;=Hypothèses!$V$11,Hypothèses!$W$11,IF(EE342&lt;=Hypothèses!$V$12,Hypothèses!$W$12,IF(EE342&lt;=Hypothèses!$V$13,Hypothèses!$W$13,IF(EE342&lt;=Hypothèses!$V$14,Hypothèses!$W$14,IF(EE342&lt;=Hypothèses!$V$15,Hypothèses!$W$15,IF(EE342&lt;=Hypothèses!$V$16,Hypothèses!$W$16,IF(EE342&lt;=Hypothèses!$V$17,Hypothèses!$W$17,IF(EE342&lt;=Hypothèses!$V$18,Hypothèses!$W$18,""))))))))))))</f>
        <v>#DIV/0!</v>
      </c>
      <c r="EZ342" s="87" t="e">
        <f t="shared" ca="1" si="623"/>
        <v>#DIV/0!</v>
      </c>
      <c r="FA342" s="88" t="e">
        <f ca="1">IF(EE342&lt;=Hypothèses!$V$7,Hypothèses!$X$7,IF(EE342&lt;=Hypothèses!$V$8,Hypothèses!$X$8,IF(EE342&lt;=Hypothèses!$V$9,Hypothèses!$X$9,IF(EE342&lt;=Hypothèses!$V$10,Hypothèses!$X$10,IF(EE342&lt;=Hypothèses!$V$11,Hypothèses!$X$11,IF(EE342&lt;=Hypothèses!$V$12,Hypothèses!$X$12,IF(EE342&lt;=Hypothèses!$V$13,Hypothèses!$X$13,IF(EE342&lt;=Hypothèses!$V$14,Hypothèses!$X$14,IF(EE342&lt;=Hypothèses!$V$15,Hypothèses!$X$15,IF(EE342&lt;=Hypothèses!$V$16,Hypothèses!$X$16,IF(EE342&lt;=Hypothèses!$U$17,Hypothèses!$W$17,IF(EE342&lt;=Hypothèses!$U$18,Hypothèses!$W$18,""))))))))))))</f>
        <v>#DIV/0!</v>
      </c>
      <c r="FB342" s="95" t="e">
        <f t="shared" ca="1" si="597"/>
        <v>#DIV/0!</v>
      </c>
      <c r="FC342" s="101" t="e">
        <f t="shared" si="630"/>
        <v>#N/A</v>
      </c>
      <c r="FD342" s="91" t="e">
        <f t="shared" si="566"/>
        <v>#N/A</v>
      </c>
      <c r="FE342" s="30" t="e">
        <f t="shared" si="614"/>
        <v>#N/A</v>
      </c>
      <c r="FF342" s="30" t="e">
        <f t="shared" si="615"/>
        <v>#N/A</v>
      </c>
      <c r="FG342" s="31" t="e">
        <f>IF(OR(Hypothèses!$B$4=17,Hypothèses!$B$4=18,Hypothèses!$B$4=19,Hypothèses!$B$4=20),
IF($D342="Pressio.",
IF(OR($E342=3,$E342=1,$E342=4),FF342,FE342),
IF($D342="Pénétro.",
IF(OR($E342=3,$E342=1,$E342=4),FF342,FE342))),IF($D342="Pressio.",
IF($E342=3,FF342,FE342),
IF($D342="Pénétro.",
IF($E342=4,FF342,FE342))))</f>
        <v>#N/A</v>
      </c>
      <c r="FH342" s="31" t="e">
        <f>(IF(OR(Hypothèses!$B$4=17,Hypothèses!$B$4=18,Hypothèses!$B$4=19,Hypothèses!$B$4=20),
IF($D342="Pressio.",
IF(OR($E342=3,$E342=1,$E342=4),(PI()*FH$12^2)/4*(FD342*$W342*1000)/($H342*$B$5),(PI()*FH$12^2)/4*(FD342*$W342*1000)/($G342*$B$5)),
IF($D342="Pénétro.",
IF(OR($E342=4,$E342=1,$E342=5),(PI()*FH$12^2)/4*(FD342*$W342*1000)/($H342*$B$5),(PI()*FH$12^2)/4*(FD342*$W342*1000)/($G342*$B$5)))),
IF($D342="Pressio.",
IF($E342=3,(PI()*FH$12^2)/4*(FD342*$W342*1000)/($H342*$B$5),(PI()*FH$12^2)/4*(FD342*$W342*1000)/($G342*$B$5)),
IF($D342="Pénétro.",
IF($E342=4,(PI()*FH$12^2)/4*(FD342*$W342*1000)/($H342*$B$5),(PI()*FH$12^2)/4*(FD342*$W342*1000)/($G342*$B$5))))))/10</f>
        <v>#N/A</v>
      </c>
      <c r="FI342" s="102" t="e">
        <f>(VLOOKUP($B$3,'Coeff EC7'!$T$39:$X$59,2,0)*FG342+VLOOKUP($B$3,'Coeff EC7'!$T$65:$X$85,2,0)*Model0.1C!FH342)/1.1</f>
        <v>#N/A</v>
      </c>
      <c r="FJ342" s="102" t="e">
        <f>(VLOOKUP($B$3,'Coeff EC7'!$T$39:$X$59,3,0)*FG342+VLOOKUP($B$3,'Coeff EC7'!$T$65:$X$85,3,0)*Model0.1C!FH342)/0.9</f>
        <v>#N/A</v>
      </c>
      <c r="FK342" s="102" t="e">
        <f t="shared" si="598"/>
        <v>#N/A</v>
      </c>
      <c r="FL342" s="102" t="e">
        <f t="shared" si="599"/>
        <v>#N/A</v>
      </c>
      <c r="FM342" s="414" t="e">
        <f>IF(FM341=0,0,IF(AND(FI342&gt;charge_ELS_quasi,FJ342&gt;Charge_ELS_freq,FK342&gt;charge_ELU,FL342&gt;charge_ELA,$B342&gt;NDC!$H$22-0.1+MIN(3*$FM$12,1.5)),0,1))</f>
        <v>#N/A</v>
      </c>
    </row>
    <row r="343" spans="1:169">
      <c r="A343" s="96">
        <f t="shared" si="567"/>
        <v>67.000000000001876</v>
      </c>
      <c r="B343" s="97">
        <v>33</v>
      </c>
      <c r="C343" s="81">
        <f>IF(B343&lt;=Hypothèses!$C$7,Hypothèses!$A$7,IF(B343&lt;=Hypothèses!$C$8,Hypothèses!$A$8,IF(B343&lt;=Hypothèses!$C$9,Hypothèses!$A$9,IF(B343&lt;=Hypothèses!$C$10,Hypothèses!$A$10,IF(B343&lt;=Hypothèses!$C$11,Hypothèses!$A$11,IF(B343&lt;=Hypothèses!$C$12,Hypothèses!$A$12,IF(B343&lt;=Hypothèses!$C$13,Hypothèses!$A$13,IF(B343&lt;=Hypothèses!$C$14,Hypothèses!$A$14,IF(B343&lt;=Hypothèses!$C$15,Hypothèses!$A$15,IF(B343&lt;=Hypothèses!$C$16,Hypothèses!$A$16,IF(B343&lt;=Hypothèses!$C$17,Hypothèses!$A$17,IF(B343&lt;=Hypothèses!$C$18,Hypothèses!$A$18,C342))))))))))))</f>
        <v>11</v>
      </c>
      <c r="D343" s="82" t="str">
        <f>IF(B343&lt;=Hypothèses!$C$7,Hypothèses!$R$7,IF(B343&lt;=Hypothèses!$C$8,Hypothèses!$R$8,IF(B343&lt;=Hypothèses!$C$9,Hypothèses!$R$9,IF(B343&lt;=Hypothèses!$C$10,Hypothèses!$R$10,IF(B343&lt;=Hypothèses!$C$11,Hypothèses!$R$11,IF(B343&lt;=Hypothèses!$C$12,Hypothèses!$R$12,IF(B343&lt;=Hypothèses!$C$13,Hypothèses!$R$13,IF(B343&lt;=Hypothèses!$C$14,Hypothèses!$R$14,IF(B343&lt;=Hypothèses!$C$15,Hypothèses!$R$15,IF(B343&lt;=Hypothèses!$C$16,Hypothèses!$R$16,IF(B343&lt;=Hypothèses!$C$17,Hypothèses!$R$17,IF(B343&lt;=Hypothèses!$C$18,Hypothèses!$R$18,D342))))))))))))</f>
        <v>Pressio.</v>
      </c>
      <c r="E343" s="82" t="e">
        <f>IF(B343&lt;=Hypothèses!$C$7,Hypothèses!$G$7,IF(B343&lt;=Hypothèses!$C$8,Hypothèses!$G$8,IF(B343&lt;=Hypothèses!$C$9,Hypothèses!$G$9,IF(B343&lt;=Hypothèses!$C$10,Hypothèses!$G$10,IF(B343&lt;=Hypothèses!$C$11,Hypothèses!$G$11,IF(B343&lt;=Hypothèses!$C$12,Hypothèses!$G$12,IF(B343&lt;=Hypothèses!$C$13,Hypothèses!$G$13,IF(B343&lt;=Hypothèses!$C$14,Hypothèses!$G$14,IF(B343&lt;=Hypothèses!$C$15,Hypothèses!$G$15,IF(B343&lt;=Hypothèses!$C$16,Hypothèses!$G$16,IF(B343&lt;=Hypothèses!$C$17,Hypothèses!$G$17,IF(B343&lt;=Hypothèses!$C$18,Hypothèses!$G$18,E342))))))))))))</f>
        <v>#N/A</v>
      </c>
      <c r="F343" s="82" t="str">
        <f>IF(B343&lt;=Hypothèses!$C$7,Hypothèses!$F$7,IF(B343&lt;=Hypothèses!$C$8,Hypothèses!$F$8,IF(B343&lt;=Hypothèses!$C$9,Hypothèses!$F$9,IF(B343&lt;=Hypothèses!$C$10,Hypothèses!$F$10,IF(B343&lt;=Hypothèses!$C$11,Hypothèses!$F$11,IF(B343&lt;=Hypothèses!$C$12,Hypothèses!$F$12,IF(B343&lt;=Hypothèses!$C$13,Hypothèses!$F$13,IF(B343&lt;=Hypothèses!$C$14,Hypothèses!$F$14,IF(B343&lt;=Hypothèses!$C$15,Hypothèses!$F$15,IF(B343&lt;=Hypothèses!$C$16,Hypothèses!$F$16,IF(B343&lt;=Hypothèses!$C$17,Hypothèses!$F$17,IF(B343&lt;=Hypothèses!$C$18,Hypothèses!$F$18,F342))))))))))))</f>
        <v/>
      </c>
      <c r="G343" s="91">
        <f t="array" ref="G343">INDEX('Coeff EC7'!$U$7:$X$27,
MATCH(Model0.1C!$B$3,'Coeff EC7'!$T$7:$T$27,0),
MATCH(Model0.1C!$D343&amp;Model0.1C!$B$4,
'Coeff EC7'!$U$6:$X$6&amp;
'Coeff EC7'!$U$5:$X$5,0))</f>
        <v>1.1499999999999999</v>
      </c>
      <c r="H343" s="91">
        <f t="array" ref="H343">INDEX('Coeff EC7'!$Y$7:$AB$27,
MATCH(Model0.1C!$B$3,'Coeff EC7'!$T$7:$T$27,0),
MATCH(Model0.1C!$D343&amp;Model0.1C!$B$4,
'Coeff EC7'!$Y$6:$AB$6&amp;
'Coeff EC7'!$Y$5:$AB$5,0))</f>
        <v>1.4</v>
      </c>
      <c r="I343" s="83" t="e">
        <f>IF(B343&lt;=Hypothèses!$C$7,Hypothèses!$P$7,IF(B343&lt;=Hypothèses!$C$8,Hypothèses!$P$8,IF(B343&lt;=Hypothèses!$C$9,Hypothèses!$P$9,IF(B343&lt;=Hypothèses!$C$10,Hypothèses!$P$10,IF(B343&lt;=Hypothèses!$C$11,Hypothèses!$P$11,IF(B343&lt;=Hypothèses!$C$12,Hypothèses!$P$12,IF(B343&lt;=Hypothèses!$C$13,Hypothèses!$P$13,IF(B343&lt;=Hypothèses!$C$14,Hypothèses!$P$14,IF(B343&lt;=Hypothèses!$C$15,Hypothèses!$P$15,IF(B343&lt;=Hypothèses!$C$16,Hypothèses!$P$16,IF(B343&lt;=Hypothèses!$C$17,Hypothèses!$P$17,IF(B343&lt;=Hypothèses!$C$18,Hypothèses!$P$18,I342))))))))))))</f>
        <v>#N/A</v>
      </c>
      <c r="J343" s="91" t="e">
        <f t="array" ref="J343">INDEX('Coeff EC7'!$D$33:$Q$33,1,MATCH(D343&amp;E343,'Coeff EC7'!$D$31:$Q$31&amp;'Coeff EC7'!$D$32:$Q$32,0))</f>
        <v>#N/A</v>
      </c>
      <c r="K343" s="91" t="e">
        <f t="array" ref="K343">INDEX('Coeff EC7'!$D$34:$Q$34,1,MATCH(D343&amp;E343,'Coeff EC7'!$D$31:$Q$31&amp;'Coeff EC7'!$D$32:$Q$32,0))</f>
        <v>#N/A</v>
      </c>
      <c r="L343" s="91" t="e">
        <f t="array" ref="L343">INDEX('Coeff EC7'!$D$35:$Q$35,1,MATCH(D343&amp;E343,'Coeff EC7'!$D$31:$Q$31&amp;'Coeff EC7'!$D$32:$Q$32,0))</f>
        <v>#N/A</v>
      </c>
      <c r="M343" s="98" t="e">
        <f t="shared" si="531"/>
        <v>#N/A</v>
      </c>
      <c r="N343" s="99" t="e">
        <f t="array" ref="N343">INDEX('Coeff EC7'!$D$7:$Q$27,MATCH($B$3,'Coeff EC7'!$C$7:$C$27,0),MATCH(D343&amp;E343,'Coeff EC7'!$D$5:$Q$5&amp;'Coeff EC7'!$D$6:$Q$6,0))</f>
        <v>#N/A</v>
      </c>
      <c r="O343" s="99" t="e">
        <f t="array" ref="O343">INDEX('Coeff EC7'!$D$41:$Q$61,MATCH($B$3,'Coeff EC7'!$C$41:$C$61,0),MATCH(D343&amp;E343,'Coeff EC7'!$D$39:$Q$39&amp;'Coeff EC7'!$D$40:$Q$40,0))</f>
        <v>#N/A</v>
      </c>
      <c r="P343" s="30" t="e">
        <f t="shared" si="568"/>
        <v>#N/A</v>
      </c>
      <c r="Q343" s="100" t="e">
        <f t="shared" si="533"/>
        <v>#N/A</v>
      </c>
      <c r="R343" s="86" t="b">
        <f t="shared" si="534"/>
        <v>0</v>
      </c>
      <c r="S343" s="86">
        <f t="shared" si="532"/>
        <v>0.5</v>
      </c>
      <c r="T343" s="86">
        <f t="shared" si="535"/>
        <v>0.5</v>
      </c>
      <c r="U343" s="30" t="e">
        <f t="shared" ca="1" si="569"/>
        <v>#DIV/0!</v>
      </c>
      <c r="V343" s="85" t="str">
        <f>IF(B343&lt;=Hypothèses!$V$7,Hypothèses!$W$7,IF(B343&lt;=Hypothèses!$V$8,Hypothèses!$W$8,IF(B343&lt;=Hypothèses!$V$9,Hypothèses!$W$9,IF(B343&lt;=Hypothèses!$V$10,Hypothèses!$W$10,IF(B343&lt;=Hypothèses!$V$11,Hypothèses!$W$11,IF(B343&lt;=Hypothèses!$V$12,Hypothèses!$W$12,IF(B343&lt;=Hypothèses!$V$13,Hypothèses!$W$13,IF(B343&lt;=Hypothèses!$V$14,Hypothèses!$W$14,IF(B343&lt;=Hypothèses!$V$15,Hypothèses!$W$15,IF(B343&lt;=Hypothèses!$V$16,Hypothèses!$W$16,IF(B343&lt;=Hypothèses!$V$17,Hypothèses!$W$17,IF(B343&lt;=Hypothèses!$V$18,Hypothèses!$W$18,""))))))))))))</f>
        <v/>
      </c>
      <c r="W343" s="87" t="e">
        <f t="shared" ca="1" si="616"/>
        <v>#DIV/0!</v>
      </c>
      <c r="X343" s="88" t="str">
        <f>IF(B343&lt;=Hypothèses!$V$7,Hypothèses!$X$7,IF(B343&lt;=Hypothèses!$V$8,Hypothèses!$X$8,IF(B343&lt;=Hypothèses!$V$9,Hypothèses!$X$9,IF(B343&lt;=Hypothèses!$V$10,Hypothèses!$X$10,IF(B343&lt;=Hypothèses!$V$11,Hypothèses!$X$11,IF(B343&lt;=Hypothèses!$V$12,Hypothèses!$X$12,IF(B343&lt;=Hypothèses!$V$13,Hypothèses!$X$13,IF(B343&lt;=Hypothèses!$V$14,Hypothèses!$X$14,IF(B343&lt;=Hypothèses!$V$15,Hypothèses!$X$15,IF(B343&lt;=Hypothèses!$V$16,Hypothèses!$X$16,IF(B343&lt;=Hypothèses!$U$17,Hypothèses!$W$17,IF(B343&lt;=Hypothèses!$U$18,Hypothèses!$W$18,""))))))))))))</f>
        <v/>
      </c>
      <c r="Y343" s="95" t="e">
        <f t="shared" ca="1" si="536"/>
        <v>#DIV/0!</v>
      </c>
      <c r="Z343" s="101" t="e">
        <f t="shared" si="537"/>
        <v>#N/A</v>
      </c>
      <c r="AA343" s="91" t="e">
        <f t="shared" si="538"/>
        <v>#N/A</v>
      </c>
      <c r="AB343" s="30" t="e">
        <f t="shared" si="600"/>
        <v>#N/A</v>
      </c>
      <c r="AC343" s="30" t="e">
        <f t="shared" si="601"/>
        <v>#N/A</v>
      </c>
      <c r="AD343" s="31" t="e">
        <f>IF(OR(Hypothèses!$B$4=17,Hypothèses!$B$4=18,Hypothèses!$B$4=19,Hypothèses!$B$4=20),
IF($D343="Pressio.",
IF(OR($E343=3,$E343=1,$E343=4),AC343,AB343),
IF($D343="Pénétro.",
IF(OR($E343=3,$E343=1,$E343=4),AC343,AB343))),IF($D343="Pressio.",
IF($E343=3,AC343,AB343),
IF($D343="Pénétro.",
IF($E343=4,AC343,AB343))))</f>
        <v>#N/A</v>
      </c>
      <c r="AE343" s="31" t="e">
        <f>(IF(OR(Hypothèses!$B$4=17,Hypothèses!$B$4=18,Hypothèses!$B$4=19,Hypothèses!$B$4=20),
IF($D343="Pressio.",
IF(OR($E343=3,$E343=1,$E343=4),(PI()*AE$12^2)/4*(AA343*$W343*1000)/($H343*$B$5),(PI()*AE$12^2)/4*(AA343*$W343*1000)/($G343*$B$5)),
IF($D343="Pénétro.",
IF(OR($E343=4,$E343=1,$E343=5),(PI()*AE$12^2)/4*(AA343*$W343*1000)/($H343*$B$5),(PI()*AE$12^2)/4*(AA343*$W343*1000)/($G343*$B$5)))),
IF($D343="Pressio.",
IF($E343=3,(PI()*AE$12^2)/4*(AA343*$W343*1000)/($H343*$B$5),(PI()*AE$12^2)/4*(AA343*$W343*1000)/($G343*$B$5)),
IF($D343="Pénétro.",
IF($E343=4,(PI()*AE$12^2)/4*(AA343*$W343*1000)/($H343*$B$5),(PI()*AE$12^2)/4*(AA343*$W343*1000)/($G343*$B$5))))))/10</f>
        <v>#N/A</v>
      </c>
      <c r="AF343" s="102" t="e">
        <f>(VLOOKUP($B$3,'Coeff EC7'!$T$39:$X$59,2,0)*AD343+VLOOKUP($B$3,'Coeff EC7'!$T$65:$X$85,2,0)*Model0.1C!AE343)/1.1</f>
        <v>#N/A</v>
      </c>
      <c r="AG343" s="102" t="e">
        <f>(VLOOKUP($B$3,'Coeff EC7'!$T$39:$X$59,3,0)*AD343+VLOOKUP($B$3,'Coeff EC7'!$T$65:$X$85,3,0)*Model0.1C!AE343)/0.9</f>
        <v>#N/A</v>
      </c>
      <c r="AH343" s="102" t="e">
        <f t="shared" si="539"/>
        <v>#N/A</v>
      </c>
      <c r="AI343" s="102" t="e">
        <f t="shared" si="540"/>
        <v>#N/A</v>
      </c>
      <c r="AJ343" s="414" t="e">
        <f>IF(AJ342=0,0,IF(AND(AF343&gt;charge_ELS_quasi,AG343&gt;Charge_ELS_freq,AH343&gt;charge_ELU,AI343&gt;charge_ELA,$B343&gt;NDC!$H$22-0.1+MIN(3*$AJ$12,1.5)),0,1))</f>
        <v>#N/A</v>
      </c>
      <c r="AK343" s="86" t="b">
        <f t="shared" si="541"/>
        <v>0</v>
      </c>
      <c r="AL343" s="86">
        <f t="shared" si="570"/>
        <v>0.5</v>
      </c>
      <c r="AM343" s="86">
        <f t="shared" si="542"/>
        <v>0.5</v>
      </c>
      <c r="AN343" s="30" t="e">
        <f t="shared" ca="1" si="571"/>
        <v>#DIV/0!</v>
      </c>
      <c r="AO343" s="85" t="e">
        <f ca="1">IF(U343&lt;=Hypothèses!$V$7,Hypothèses!$W$7,IF(U343&lt;=Hypothèses!$V$8,Hypothèses!$W$8,IF(U343&lt;=Hypothèses!$V$9,Hypothèses!$W$9,IF(U343&lt;=Hypothèses!$V$10,Hypothèses!$W$10,IF(U343&lt;=Hypothèses!$V$11,Hypothèses!$W$11,IF(U343&lt;=Hypothèses!$V$12,Hypothèses!$W$12,IF(U343&lt;=Hypothèses!$V$13,Hypothèses!$W$13,IF(U343&lt;=Hypothèses!$V$14,Hypothèses!$W$14,IF(U343&lt;=Hypothèses!$V$15,Hypothèses!$W$15,IF(U343&lt;=Hypothèses!$V$16,Hypothèses!$W$16,IF(U343&lt;=Hypothèses!$V$17,Hypothèses!$W$17,IF(U343&lt;=Hypothèses!$V$18,Hypothèses!$W$18,""))))))))))))</f>
        <v>#DIV/0!</v>
      </c>
      <c r="AP343" s="87" t="e">
        <f t="shared" ca="1" si="617"/>
        <v>#DIV/0!</v>
      </c>
      <c r="AQ343" s="88" t="e">
        <f ca="1">IF(U343&lt;=Hypothèses!$V$7,Hypothèses!$X$7,IF(U343&lt;=Hypothèses!$V$8,Hypothèses!$X$8,IF(U343&lt;=Hypothèses!$V$9,Hypothèses!$X$9,IF(U343&lt;=Hypothèses!$V$10,Hypothèses!$X$10,IF(U343&lt;=Hypothèses!$V$11,Hypothèses!$X$11,IF(U343&lt;=Hypothèses!$V$12,Hypothèses!$X$12,IF(U343&lt;=Hypothèses!$V$13,Hypothèses!$X$13,IF(U343&lt;=Hypothèses!$V$14,Hypothèses!$X$14,IF(U343&lt;=Hypothèses!$V$15,Hypothèses!$X$15,IF(U343&lt;=Hypothèses!$V$16,Hypothèses!$X$16,IF(U343&lt;=Hypothèses!$U$17,Hypothèses!$W$17,IF(U343&lt;=Hypothèses!$U$18,Hypothèses!$W$18,""))))))))))))</f>
        <v>#DIV/0!</v>
      </c>
      <c r="AR343" s="95" t="e">
        <f t="shared" ca="1" si="572"/>
        <v>#DIV/0!</v>
      </c>
      <c r="AS343" s="101" t="e">
        <f t="shared" si="624"/>
        <v>#N/A</v>
      </c>
      <c r="AT343" s="91" t="e">
        <f t="shared" si="543"/>
        <v>#N/A</v>
      </c>
      <c r="AU343" s="30" t="e">
        <f t="shared" si="602"/>
        <v>#N/A</v>
      </c>
      <c r="AV343" s="30" t="e">
        <f t="shared" si="603"/>
        <v>#N/A</v>
      </c>
      <c r="AW343" s="31" t="e">
        <f>IF(OR(Hypothèses!$B$4=17,Hypothèses!$B$4=18,Hypothèses!$B$4=19,Hypothèses!$B$4=20),
IF($D343="Pressio.",
IF(OR($E343=3,$E343=1,$E343=4),AV343,AU343),
IF($D343="Pénétro.",
IF(OR($E343=3,$E343=1,$E343=4),AV343,AU343))),IF($D343="Pressio.",
IF($E343=3,AV343,AU343),
IF($D343="Pénétro.",
IF($E343=4,AV343,AU343))))</f>
        <v>#N/A</v>
      </c>
      <c r="AX343" s="31" t="e">
        <f>(IF(OR(Hypothèses!$B$4=17,Hypothèses!$B$4=18,Hypothèses!$B$4=19,Hypothèses!$B$4=20),
IF($D343="Pressio.",
IF(OR($E343=3,$E343=1,$E343=4),(PI()*AX$12^2)/4*(AT343*$W343*1000)/($H343*$B$5),(PI()*AX$12^2)/4*(AT343*$W343*1000)/($G343*$B$5)),
IF($D343="Pénétro.",
IF(OR($E343=4,$E343=1,$E343=5),(PI()*AX$12^2)/4*(AT343*$W343*1000)/($H343*$B$5),(PI()*AX$12^2)/4*(AT343*$W343*1000)/($G343*$B$5)))),
IF($D343="Pressio.",
IF($E343=3,(PI()*AX$12^2)/4*(AT343*$W343*1000)/($H343*$B$5),(PI()*AX$12^2)/4*(AT343*$W343*1000)/($G343*$B$5)),
IF($D343="Pénétro.",
IF($E343=4,(PI()*AX$12^2)/4*(AT343*$W343*1000)/($H343*$B$5),(PI()*AX$12^2)/4*(AT343*$W343*1000)/($G343*$B$5))))))/10</f>
        <v>#N/A</v>
      </c>
      <c r="AY343" s="102" t="e">
        <f>(VLOOKUP($B$3,'Coeff EC7'!$T$39:$X$59,2,0)*AW343+VLOOKUP($B$3,'Coeff EC7'!$T$65:$X$85,2,0)*Model0.1C!AX343)/1.1</f>
        <v>#N/A</v>
      </c>
      <c r="AZ343" s="102" t="e">
        <f>(VLOOKUP($B$3,'Coeff EC7'!$T$39:$X$59,3,0)*AW343+VLOOKUP($B$3,'Coeff EC7'!$T$65:$X$85,3,0)*Model0.1C!AX343)/0.9</f>
        <v>#N/A</v>
      </c>
      <c r="BA343" s="102" t="e">
        <f t="shared" si="573"/>
        <v>#N/A</v>
      </c>
      <c r="BB343" s="102" t="e">
        <f t="shared" si="574"/>
        <v>#N/A</v>
      </c>
      <c r="BC343" s="414" t="e">
        <f>IF(BC342=0,0,IF(AND(AY343&gt;charge_ELS_quasi,AZ343&gt;Charge_ELS_freq,BA343&gt;charge_ELU,BB343&gt;charge_ELA,$B343&gt;NDC!$H$22-0.1+MIN(3*$BC$12,1.5)),0,1))</f>
        <v>#N/A</v>
      </c>
      <c r="BD343" s="86" t="b">
        <f t="shared" si="544"/>
        <v>0</v>
      </c>
      <c r="BE343" s="86">
        <f t="shared" si="575"/>
        <v>0.5</v>
      </c>
      <c r="BF343" s="86">
        <f t="shared" si="545"/>
        <v>0.5</v>
      </c>
      <c r="BG343" s="30" t="e">
        <f t="shared" ca="1" si="576"/>
        <v>#DIV/0!</v>
      </c>
      <c r="BH343" s="85" t="e">
        <f ca="1">IF(AN343&lt;=Hypothèses!$V$7,Hypothèses!$W$7,IF(AN343&lt;=Hypothèses!$V$8,Hypothèses!$W$8,IF(AN343&lt;=Hypothèses!$V$9,Hypothèses!$W$9,IF(AN343&lt;=Hypothèses!$V$10,Hypothèses!$W$10,IF(AN343&lt;=Hypothèses!$V$11,Hypothèses!$W$11,IF(AN343&lt;=Hypothèses!$V$12,Hypothèses!$W$12,IF(AN343&lt;=Hypothèses!$V$13,Hypothèses!$W$13,IF(AN343&lt;=Hypothèses!$V$14,Hypothèses!$W$14,IF(AN343&lt;=Hypothèses!$V$15,Hypothèses!$W$15,IF(AN343&lt;=Hypothèses!$V$16,Hypothèses!$W$16,IF(AN343&lt;=Hypothèses!$V$17,Hypothèses!$W$17,IF(AN343&lt;=Hypothèses!$V$18,Hypothèses!$W$18,""))))))))))))</f>
        <v>#DIV/0!</v>
      </c>
      <c r="BI343" s="87" t="e">
        <f t="shared" ca="1" si="618"/>
        <v>#DIV/0!</v>
      </c>
      <c r="BJ343" s="88" t="e">
        <f ca="1">IF(AN343&lt;=Hypothèses!$V$7,Hypothèses!$X$7,IF(AN343&lt;=Hypothèses!$V$8,Hypothèses!$X$8,IF(AN343&lt;=Hypothèses!$V$9,Hypothèses!$X$9,IF(AN343&lt;=Hypothèses!$V$10,Hypothèses!$X$10,IF(AN343&lt;=Hypothèses!$V$11,Hypothèses!$X$11,IF(AN343&lt;=Hypothèses!$V$12,Hypothèses!$X$12,IF(AN343&lt;=Hypothèses!$V$13,Hypothèses!$X$13,IF(AN343&lt;=Hypothèses!$V$14,Hypothèses!$X$14,IF(AN343&lt;=Hypothèses!$V$15,Hypothèses!$X$15,IF(AN343&lt;=Hypothèses!$V$16,Hypothèses!$X$16,IF(AN343&lt;=Hypothèses!$U$17,Hypothèses!$W$17,IF(AN343&lt;=Hypothèses!$U$18,Hypothèses!$W$18,""))))))))))))</f>
        <v>#DIV/0!</v>
      </c>
      <c r="BK343" s="95" t="e">
        <f t="shared" ca="1" si="577"/>
        <v>#DIV/0!</v>
      </c>
      <c r="BL343" s="101" t="e">
        <f t="shared" si="625"/>
        <v>#N/A</v>
      </c>
      <c r="BM343" s="91" t="e">
        <f t="shared" si="546"/>
        <v>#N/A</v>
      </c>
      <c r="BN343" s="30" t="e">
        <f t="shared" si="604"/>
        <v>#N/A</v>
      </c>
      <c r="BO343" s="30" t="e">
        <f t="shared" si="605"/>
        <v>#N/A</v>
      </c>
      <c r="BP343" s="31" t="e">
        <f>IF(OR(Hypothèses!$B$4=17,Hypothèses!$B$4=18,Hypothèses!$B$4=19,Hypothèses!$B$4=20),
IF($D343="Pressio.",
IF(OR($E343=3,$E343=1,$E343=4),BO343,BN343),
IF($D343="Pénétro.",
IF(OR($E343=3,$E343=1,$E343=4),BO343,BN343))),IF($D343="Pressio.",
IF($E343=3,BO343,BN343),
IF($D343="Pénétro.",
IF($E343=4,BO343,BN343))))</f>
        <v>#N/A</v>
      </c>
      <c r="BQ343" s="31" t="e">
        <f>(IF(OR(Hypothèses!$B$4=17,Hypothèses!$B$4=18,Hypothèses!$B$4=19,Hypothèses!$B$4=20),
IF($D343="Pressio.",
IF(OR($E343=3,$E343=1,$E343=4),(PI()*BQ$12^2)/4*(BM343*$W343*1000)/($H343*$B$5),(PI()*BQ$12^2)/4*(BM343*$W343*1000)/($G343*$B$5)),
IF($D343="Pénétro.",
IF(OR($E343=4,$E343=1,$E343=5),(PI()*BQ$12^2)/4*(BM343*$W343*1000)/($H343*$B$5),(PI()*BQ$12^2)/4*(BM343*$W343*1000)/($G343*$B$5)))),
IF($D343="Pressio.",
IF($E343=3,(PI()*BQ$12^2)/4*(BM343*$W343*1000)/($H343*$B$5),(PI()*BQ$12^2)/4*(BM343*$W343*1000)/($G343*$B$5)),
IF($D343="Pénétro.",
IF($E343=4,(PI()*BQ$12^2)/4*(BM343*$W343*1000)/($H343*$B$5),(PI()*BQ$12^2)/4*(BM343*$W343*1000)/($G343*$B$5))))))/10</f>
        <v>#N/A</v>
      </c>
      <c r="BR343" s="102" t="e">
        <f>(VLOOKUP($B$3,'Coeff EC7'!$T$39:$X$59,2,0)*BP343+VLOOKUP($B$3,'Coeff EC7'!$T$65:$X$85,2,0)*Model0.1C!BQ343)/1.1</f>
        <v>#N/A</v>
      </c>
      <c r="BS343" s="102" t="e">
        <f>(VLOOKUP($B$3,'Coeff EC7'!$T$39:$X$59,3,0)*BP343+VLOOKUP($B$3,'Coeff EC7'!$T$65:$X$85,3,0)*Model0.1C!BQ343)/0.9</f>
        <v>#N/A</v>
      </c>
      <c r="BT343" s="102" t="e">
        <f t="shared" si="578"/>
        <v>#N/A</v>
      </c>
      <c r="BU343" s="102" t="e">
        <f t="shared" si="579"/>
        <v>#N/A</v>
      </c>
      <c r="BV343" s="414" t="e">
        <f>IF(BV342=0,0,IF(AND(BR343&gt;charge_ELS_quasi,BS343&gt;Charge_ELS_freq,BT343&gt;charge_ELU,BU343&gt;charge_ELA,$B343&gt;NDC!$H$22-0.1+MIN(3*$BV$12,1.5)),0,1))</f>
        <v>#N/A</v>
      </c>
      <c r="BW343" s="86" t="b">
        <f t="shared" si="547"/>
        <v>0</v>
      </c>
      <c r="BX343" s="86">
        <f t="shared" si="548"/>
        <v>0.5</v>
      </c>
      <c r="BY343" s="86">
        <f t="shared" si="549"/>
        <v>0.5</v>
      </c>
      <c r="BZ343" s="30" t="e">
        <f t="shared" ca="1" si="580"/>
        <v>#DIV/0!</v>
      </c>
      <c r="CA343" s="85" t="e">
        <f ca="1">IF(BG343&lt;=Hypothèses!$V$7,Hypothèses!$W$7,IF(BG343&lt;=Hypothèses!$V$8,Hypothèses!$W$8,IF(BG343&lt;=Hypothèses!$V$9,Hypothèses!$W$9,IF(BG343&lt;=Hypothèses!$V$10,Hypothèses!$W$10,IF(BG343&lt;=Hypothèses!$V$11,Hypothèses!$W$11,IF(BG343&lt;=Hypothèses!$V$12,Hypothèses!$W$12,IF(BG343&lt;=Hypothèses!$V$13,Hypothèses!$W$13,IF(BG343&lt;=Hypothèses!$V$14,Hypothèses!$W$14,IF(BG343&lt;=Hypothèses!$V$15,Hypothèses!$W$15,IF(BG343&lt;=Hypothèses!$V$16,Hypothèses!$W$16,IF(BG343&lt;=Hypothèses!$V$17,Hypothèses!$W$17,IF(BG343&lt;=Hypothèses!$V$18,Hypothèses!$W$18,""))))))))))))</f>
        <v>#DIV/0!</v>
      </c>
      <c r="CB343" s="87" t="e">
        <f t="shared" ca="1" si="619"/>
        <v>#DIV/0!</v>
      </c>
      <c r="CC343" s="88" t="e">
        <f ca="1">IF(BG343&lt;=Hypothèses!$V$7,Hypothèses!$X$7,IF(BG343&lt;=Hypothèses!$V$8,Hypothèses!$X$8,IF(BG343&lt;=Hypothèses!$V$9,Hypothèses!$X$9,IF(BG343&lt;=Hypothèses!$V$10,Hypothèses!$X$10,IF(BG343&lt;=Hypothèses!$V$11,Hypothèses!$X$11,IF(BG343&lt;=Hypothèses!$V$12,Hypothèses!$X$12,IF(BG343&lt;=Hypothèses!$V$13,Hypothèses!$X$13,IF(BG343&lt;=Hypothèses!$V$14,Hypothèses!$X$14,IF(BG343&lt;=Hypothèses!$V$15,Hypothèses!$X$15,IF(BG343&lt;=Hypothèses!$V$16,Hypothèses!$X$16,IF(BG343&lt;=Hypothèses!$U$17,Hypothèses!$W$17,IF(BG343&lt;=Hypothèses!$U$18,Hypothèses!$W$18,""))))))))))))</f>
        <v>#DIV/0!</v>
      </c>
      <c r="CD343" s="95" t="e">
        <f t="shared" ca="1" si="581"/>
        <v>#DIV/0!</v>
      </c>
      <c r="CE343" s="101" t="e">
        <f t="shared" si="626"/>
        <v>#N/A</v>
      </c>
      <c r="CF343" s="91" t="e">
        <f t="shared" si="550"/>
        <v>#N/A</v>
      </c>
      <c r="CG343" s="30" t="e">
        <f t="shared" si="606"/>
        <v>#N/A</v>
      </c>
      <c r="CH343" s="30" t="e">
        <f t="shared" si="607"/>
        <v>#N/A</v>
      </c>
      <c r="CI343" s="31" t="e">
        <f>IF(OR(Hypothèses!$B$4=17,Hypothèses!$B$4=18,Hypothèses!$B$4=19,Hypothèses!$B$4=20),
IF($D343="Pressio.",
IF(OR($E343=3,$E343=1,$E343=4),CH343,CG343),
IF($D343="Pénétro.",
IF(OR($E343=3,$E343=1,$E343=4),CH343,CG343))),IF($D343="Pressio.",
IF($E343=3,CH343,CG343),
IF($D343="Pénétro.",
IF($E343=4,CH343,CG343))))</f>
        <v>#N/A</v>
      </c>
      <c r="CJ343" s="31" t="e">
        <f>(IF(OR(Hypothèses!$B$4=17,Hypothèses!$B$4=18,Hypothèses!$B$4=19,Hypothèses!$B$4=20),
IF($D343="Pressio.",
IF(OR($E343=3,$E343=1,$E343=4),(PI()*CJ$12^2)/4*(CF343*$W343*1000)/($H343*$B$5),(PI()*CJ$12^2)/4*(CF343*$W343*1000)/($G343*$B$5)),
IF($D343="Pénétro.",
IF(OR($E343=4,$E343=1,$E343=5),(PI()*CJ$12^2)/4*(CF343*$W343*1000)/($H343*$B$5),(PI()*CJ$12^2)/4*(CF343*$W343*1000)/($G343*$B$5)))),
IF($D343="Pressio.",
IF($E343=3,(PI()*CJ$12^2)/4*(CF343*$W343*1000)/($H343*$B$5),(PI()*CJ$12^2)/4*(CF343*$W343*1000)/($G343*$B$5)),
IF($D343="Pénétro.",
IF($E343=4,(PI()*CJ$12^2)/4*(CF343*$W343*1000)/($H343*$B$5),(PI()*CJ$12^2)/4*(CF343*$W343*1000)/($G343*$B$5))))))/10</f>
        <v>#N/A</v>
      </c>
      <c r="CK343" s="102" t="e">
        <f>(VLOOKUP($B$3,'Coeff EC7'!$T$39:$X$59,2,0)*CI343+VLOOKUP($B$3,'Coeff EC7'!$T$65:$X$85,2,0)*Model0.1C!CJ343)/1.1</f>
        <v>#N/A</v>
      </c>
      <c r="CL343" s="102" t="e">
        <f>(VLOOKUP($B$3,'Coeff EC7'!$T$39:$X$59,3,0)*CI343+VLOOKUP($B$3,'Coeff EC7'!$T$65:$X$85,3,0)*Model0.1C!CJ343)/0.9</f>
        <v>#N/A</v>
      </c>
      <c r="CM343" s="102" t="e">
        <f t="shared" si="582"/>
        <v>#N/A</v>
      </c>
      <c r="CN343" s="102" t="e">
        <f t="shared" si="583"/>
        <v>#N/A</v>
      </c>
      <c r="CO343" s="414" t="e">
        <f>IF(CO342=0,0,IF(AND(CK343&gt;charge_ELS_quasi,CL343&gt;Charge_ELS_freq,CM343&gt;charge_ELU,CN343&gt;charge_ELA,$B343&gt;NDC!$H$22-0.1+MIN(3*$CO$12,1.5)),0,1))</f>
        <v>#N/A</v>
      </c>
      <c r="CP343" s="86" t="b">
        <f t="shared" si="551"/>
        <v>0</v>
      </c>
      <c r="CQ343" s="86">
        <f t="shared" si="552"/>
        <v>0.5</v>
      </c>
      <c r="CR343" s="86">
        <f t="shared" si="553"/>
        <v>0.5</v>
      </c>
      <c r="CS343" s="30" t="e">
        <f t="shared" ca="1" si="584"/>
        <v>#DIV/0!</v>
      </c>
      <c r="CT343" s="85" t="e">
        <f ca="1">IF(BZ343&lt;=Hypothèses!$V$7,Hypothèses!$W$7,IF(BZ343&lt;=Hypothèses!$V$8,Hypothèses!$W$8,IF(BZ343&lt;=Hypothèses!$V$9,Hypothèses!$W$9,IF(BZ343&lt;=Hypothèses!$V$10,Hypothèses!$W$10,IF(BZ343&lt;=Hypothèses!$V$11,Hypothèses!$W$11,IF(BZ343&lt;=Hypothèses!$V$12,Hypothèses!$W$12,IF(BZ343&lt;=Hypothèses!$V$13,Hypothèses!$W$13,IF(BZ343&lt;=Hypothèses!$V$14,Hypothèses!$W$14,IF(BZ343&lt;=Hypothèses!$V$15,Hypothèses!$W$15,IF(BZ343&lt;=Hypothèses!$V$16,Hypothèses!$W$16,IF(BZ343&lt;=Hypothèses!$V$17,Hypothèses!$W$17,IF(BZ343&lt;=Hypothèses!$V$18,Hypothèses!$W$18,""))))))))))))</f>
        <v>#DIV/0!</v>
      </c>
      <c r="CU343" s="87" t="e">
        <f t="shared" ca="1" si="620"/>
        <v>#DIV/0!</v>
      </c>
      <c r="CV343" s="88" t="e">
        <f ca="1">IF(BZ343&lt;=Hypothèses!$V$7,Hypothèses!$X$7,IF(BZ343&lt;=Hypothèses!$V$8,Hypothèses!$X$8,IF(BZ343&lt;=Hypothèses!$V$9,Hypothèses!$X$9,IF(BZ343&lt;=Hypothèses!$V$10,Hypothèses!$X$10,IF(BZ343&lt;=Hypothèses!$V$11,Hypothèses!$X$11,IF(BZ343&lt;=Hypothèses!$V$12,Hypothèses!$X$12,IF(BZ343&lt;=Hypothèses!$V$13,Hypothèses!$X$13,IF(BZ343&lt;=Hypothèses!$V$14,Hypothèses!$X$14,IF(BZ343&lt;=Hypothèses!$V$15,Hypothèses!$X$15,IF(BZ343&lt;=Hypothèses!$V$16,Hypothèses!$X$16,IF(BZ343&lt;=Hypothèses!$U$17,Hypothèses!$W$17,IF(BZ343&lt;=Hypothèses!$U$18,Hypothèses!$W$18,""))))))))))))</f>
        <v>#DIV/0!</v>
      </c>
      <c r="CW343" s="95" t="e">
        <f t="shared" ca="1" si="585"/>
        <v>#DIV/0!</v>
      </c>
      <c r="CX343" s="101" t="e">
        <f t="shared" si="627"/>
        <v>#N/A</v>
      </c>
      <c r="CY343" s="91" t="e">
        <f t="shared" si="554"/>
        <v>#N/A</v>
      </c>
      <c r="CZ343" s="30" t="e">
        <f t="shared" si="608"/>
        <v>#N/A</v>
      </c>
      <c r="DA343" s="30" t="e">
        <f t="shared" si="609"/>
        <v>#N/A</v>
      </c>
      <c r="DB343" s="31" t="e">
        <f>IF(OR(Hypothèses!$B$4=17,Hypothèses!$B$4=18,Hypothèses!$B$4=19,Hypothèses!$B$4=20),
IF($D343="Pressio.",
IF(OR($E343=3,$E343=1,$E343=4),DA343,CZ343),
IF($D343="Pénétro.",
IF(OR($E343=3,$E343=1,$E343=4),DA343,CZ343))),IF($D343="Pressio.",
IF($E343=3,DA343,CZ343),
IF($D343="Pénétro.",
IF($E343=4,DA343,CZ343))))</f>
        <v>#N/A</v>
      </c>
      <c r="DC343" s="31" t="e">
        <f>(IF(OR(Hypothèses!$B$4=17,Hypothèses!$B$4=18,Hypothèses!$B$4=19,Hypothèses!$B$4=20),
IF($D343="Pressio.",
IF(OR($E343=3,$E343=1,$E343=4),(PI()*DC$12^2)/4*(CY343*$W343*1000)/($H343*$B$5),(PI()*DC$12^2)/4*(CY343*$W343*1000)/($G343*$B$5)),
IF($D343="Pénétro.",
IF(OR($E343=4,$E343=1,$E343=5),(PI()*DC$12^2)/4*(CY343*$W343*1000)/($H343*$B$5),(PI()*DC$12^2)/4*(CY343*$W343*1000)/($G343*$B$5)))),
IF($D343="Pressio.",
IF($E343=3,(PI()*DC$12^2)/4*(CY343*$W343*1000)/($H343*$B$5),(PI()*DC$12^2)/4*(CY343*$W343*1000)/($G343*$B$5)),
IF($D343="Pénétro.",
IF($E343=4,(PI()*DC$12^2)/4*(CY343*$W343*1000)/($H343*$B$5),(PI()*DC$12^2)/4*(CY343*$W343*1000)/($G343*$B$5))))))/10</f>
        <v>#N/A</v>
      </c>
      <c r="DD343" s="102" t="e">
        <f>(VLOOKUP($B$3,'Coeff EC7'!$T$39:$X$59,2,0)*DB343+VLOOKUP($B$3,'Coeff EC7'!$T$65:$X$85,2,0)*Model0.1C!DC343)/1.1</f>
        <v>#N/A</v>
      </c>
      <c r="DE343" s="102" t="e">
        <f>(VLOOKUP($B$3,'Coeff EC7'!$T$39:$X$59,3,0)*DB343+VLOOKUP($B$3,'Coeff EC7'!$T$65:$X$85,3,0)*Model0.1C!DC343)/0.9</f>
        <v>#N/A</v>
      </c>
      <c r="DF343" s="102" t="e">
        <f t="shared" si="586"/>
        <v>#N/A</v>
      </c>
      <c r="DG343" s="102" t="e">
        <f t="shared" si="587"/>
        <v>#N/A</v>
      </c>
      <c r="DH343" s="414" t="e">
        <f>IF(DH342=0,0,IF(AND(DD343&gt;charge_ELS_quasi,DE343&gt;Charge_ELS_freq,DF343&gt;charge_ELU,DG343&gt;charge_ELA,$B343&gt;NDC!$H$22-0.1+MIN(3*$DH$12,1.5)),0,1))</f>
        <v>#N/A</v>
      </c>
      <c r="DI343" s="86" t="b">
        <f t="shared" si="555"/>
        <v>0</v>
      </c>
      <c r="DJ343" s="86">
        <f t="shared" si="556"/>
        <v>0.5</v>
      </c>
      <c r="DK343" s="86">
        <f t="shared" si="557"/>
        <v>0.5</v>
      </c>
      <c r="DL343" s="30" t="e">
        <f t="shared" ca="1" si="588"/>
        <v>#DIV/0!</v>
      </c>
      <c r="DM343" s="85" t="e">
        <f ca="1">IF(CS343&lt;=Hypothèses!$V$7,Hypothèses!$W$7,IF(CS343&lt;=Hypothèses!$V$8,Hypothèses!$W$8,IF(CS343&lt;=Hypothèses!$V$9,Hypothèses!$W$9,IF(CS343&lt;=Hypothèses!$V$10,Hypothèses!$W$10,IF(CS343&lt;=Hypothèses!$V$11,Hypothèses!$W$11,IF(CS343&lt;=Hypothèses!$V$12,Hypothèses!$W$12,IF(CS343&lt;=Hypothèses!$V$13,Hypothèses!$W$13,IF(CS343&lt;=Hypothèses!$V$14,Hypothèses!$W$14,IF(CS343&lt;=Hypothèses!$V$15,Hypothèses!$W$15,IF(CS343&lt;=Hypothèses!$V$16,Hypothèses!$W$16,IF(CS343&lt;=Hypothèses!$V$17,Hypothèses!$W$17,IF(CS343&lt;=Hypothèses!$V$18,Hypothèses!$W$18,""))))))))))))</f>
        <v>#DIV/0!</v>
      </c>
      <c r="DN343" s="87" t="e">
        <f t="shared" ca="1" si="621"/>
        <v>#DIV/0!</v>
      </c>
      <c r="DO343" s="88" t="e">
        <f ca="1">IF(CS343&lt;=Hypothèses!$V$7,Hypothèses!$X$7,IF(CS343&lt;=Hypothèses!$V$8,Hypothèses!$X$8,IF(CS343&lt;=Hypothèses!$V$9,Hypothèses!$X$9,IF(CS343&lt;=Hypothèses!$V$10,Hypothèses!$X$10,IF(CS343&lt;=Hypothèses!$V$11,Hypothèses!$X$11,IF(CS343&lt;=Hypothèses!$V$12,Hypothèses!$X$12,IF(CS343&lt;=Hypothèses!$V$13,Hypothèses!$X$13,IF(CS343&lt;=Hypothèses!$V$14,Hypothèses!$X$14,IF(CS343&lt;=Hypothèses!$V$15,Hypothèses!$X$15,IF(CS343&lt;=Hypothèses!$V$16,Hypothèses!$X$16,IF(CS343&lt;=Hypothèses!$U$17,Hypothèses!$W$17,IF(CS343&lt;=Hypothèses!$U$18,Hypothèses!$W$18,""))))))))))))</f>
        <v>#DIV/0!</v>
      </c>
      <c r="DP343" s="95" t="e">
        <f t="shared" ca="1" si="589"/>
        <v>#DIV/0!</v>
      </c>
      <c r="DQ343" s="101" t="e">
        <f t="shared" si="628"/>
        <v>#N/A</v>
      </c>
      <c r="DR343" s="91" t="e">
        <f t="shared" si="558"/>
        <v>#N/A</v>
      </c>
      <c r="DS343" s="30" t="e">
        <f t="shared" si="610"/>
        <v>#N/A</v>
      </c>
      <c r="DT343" s="30" t="e">
        <f t="shared" si="611"/>
        <v>#N/A</v>
      </c>
      <c r="DU343" s="31" t="e">
        <f>IF(OR(Hypothèses!$B$4=17,Hypothèses!$B$4=18,Hypothèses!$B$4=19,Hypothèses!$B$4=20),
IF($D343="Pressio.",
IF(OR($E343=3,$E343=1,$E343=4),DT343,DS343),
IF($D343="Pénétro.",
IF(OR($E343=3,$E343=1,$E343=4),DT343,DS343))),IF($D343="Pressio.",
IF($E343=3,DT343,DS343),
IF($D343="Pénétro.",
IF($E343=4,DT343,DS343))))</f>
        <v>#N/A</v>
      </c>
      <c r="DV343" s="31" t="e">
        <f>(IF(OR(Hypothèses!$B$4=17,Hypothèses!$B$4=18,Hypothèses!$B$4=19,Hypothèses!$B$4=20),
IF($D343="Pressio.",
IF(OR($E343=3,$E343=1,$E343=4),(PI()*DV$12^2)/4*(DR343*$W343*1000)/($H343*$B$5),(PI()*DV$12^2)/4*(DR343*$W343*1000)/($G343*$B$5)),
IF($D343="Pénétro.",
IF(OR($E343=4,$E343=1,$E343=5),(PI()*DV$12^2)/4*(DR343*$W343*1000)/($H343*$B$5),(PI()*DV$12^2)/4*(DR343*$W343*1000)/($G343*$B$5)))),
IF($D343="Pressio.",
IF($E343=3,(PI()*DV$12^2)/4*(DR343*$W343*1000)/($H343*$B$5),(PI()*DV$12^2)/4*(DR343*$W343*1000)/($G343*$B$5)),
IF($D343="Pénétro.",
IF($E343=4,(PI()*DV$12^2)/4*(DR343*$W343*1000)/($H343*$B$5),(PI()*DV$12^2)/4*(DR343*$W343*1000)/($G343*$B$5))))))/10</f>
        <v>#N/A</v>
      </c>
      <c r="DW343" s="102" t="e">
        <f>(VLOOKUP($B$3,'Coeff EC7'!$T$39:$X$59,2,0)*DU343+VLOOKUP($B$3,'Coeff EC7'!$T$65:$X$85,2,0)*Model0.1C!DV343)/1.1</f>
        <v>#N/A</v>
      </c>
      <c r="DX343" s="102" t="e">
        <f>(VLOOKUP($B$3,'Coeff EC7'!$T$39:$X$59,3,0)*DU343+VLOOKUP($B$3,'Coeff EC7'!$T$65:$X$85,3,0)*Model0.1C!DV343)/0.9</f>
        <v>#N/A</v>
      </c>
      <c r="DY343" s="102" t="e">
        <f t="shared" si="590"/>
        <v>#N/A</v>
      </c>
      <c r="DZ343" s="102" t="e">
        <f t="shared" si="591"/>
        <v>#N/A</v>
      </c>
      <c r="EA343" s="414" t="e">
        <f>IF(EA342=0,0,IF(AND(DW343&gt;charge_ELS_quasi,DX343&gt;Charge_ELS_freq,DY343&gt;charge_ELU,DZ343&gt;charge_ELA,$B343&gt;NDC!$H$22-0.1+MIN(3*$EA$12,1.5)),0,1))</f>
        <v>#N/A</v>
      </c>
      <c r="EB343" s="86" t="b">
        <f t="shared" si="559"/>
        <v>0</v>
      </c>
      <c r="EC343" s="418">
        <f t="shared" si="560"/>
        <v>0.51</v>
      </c>
      <c r="ED343" s="86">
        <f t="shared" si="561"/>
        <v>0.51</v>
      </c>
      <c r="EE343" s="30" t="e">
        <f t="shared" ca="1" si="592"/>
        <v>#DIV/0!</v>
      </c>
      <c r="EF343" s="85" t="e">
        <f ca="1">IF(DL343&lt;=Hypothèses!$V$7,Hypothèses!$W$7,IF(DL343&lt;=Hypothèses!$V$8,Hypothèses!$W$8,IF(DL343&lt;=Hypothèses!$V$9,Hypothèses!$W$9,IF(DL343&lt;=Hypothèses!$V$10,Hypothèses!$W$10,IF(DL343&lt;=Hypothèses!$V$11,Hypothèses!$W$11,IF(DL343&lt;=Hypothèses!$V$12,Hypothèses!$W$12,IF(DL343&lt;=Hypothèses!$V$13,Hypothèses!$W$13,IF(DL343&lt;=Hypothèses!$V$14,Hypothèses!$W$14,IF(DL343&lt;=Hypothèses!$V$15,Hypothèses!$W$15,IF(DL343&lt;=Hypothèses!$V$16,Hypothèses!$W$16,IF(DL343&lt;=Hypothèses!$V$17,Hypothèses!$W$17,IF(DL343&lt;=Hypothèses!$V$18,Hypothèses!$W$18,""))))))))))))</f>
        <v>#DIV/0!</v>
      </c>
      <c r="EG343" s="87" t="e">
        <f t="shared" ca="1" si="622"/>
        <v>#DIV/0!</v>
      </c>
      <c r="EH343" s="88" t="e">
        <f ca="1">IF(DL343&lt;=Hypothèses!$V$7,Hypothèses!$X$7,IF(DL343&lt;=Hypothèses!$V$8,Hypothèses!$X$8,IF(DL343&lt;=Hypothèses!$V$9,Hypothèses!$X$9,IF(DL343&lt;=Hypothèses!$V$10,Hypothèses!$X$10,IF(DL343&lt;=Hypothèses!$V$11,Hypothèses!$X$11,IF(DL343&lt;=Hypothèses!$V$12,Hypothèses!$X$12,IF(DL343&lt;=Hypothèses!$V$13,Hypothèses!$X$13,IF(DL343&lt;=Hypothèses!$V$14,Hypothèses!$X$14,IF(DL343&lt;=Hypothèses!$V$15,Hypothèses!$X$15,IF(DL343&lt;=Hypothèses!$V$16,Hypothèses!$X$16,IF(DL343&lt;=Hypothèses!$U$17,Hypothèses!$W$17,IF(DL343&lt;=Hypothèses!$U$18,Hypothèses!$W$18,""))))))))))))</f>
        <v>#DIV/0!</v>
      </c>
      <c r="EI343" s="95" t="e">
        <f t="shared" ca="1" si="593"/>
        <v>#DIV/0!</v>
      </c>
      <c r="EJ343" s="101" t="e">
        <f t="shared" si="629"/>
        <v>#N/A</v>
      </c>
      <c r="EK343" s="91" t="e">
        <f t="shared" si="562"/>
        <v>#N/A</v>
      </c>
      <c r="EL343" s="30" t="e">
        <f t="shared" si="612"/>
        <v>#N/A</v>
      </c>
      <c r="EM343" s="30" t="e">
        <f t="shared" si="613"/>
        <v>#N/A</v>
      </c>
      <c r="EN343" s="31" t="e">
        <f>IF(OR(Hypothèses!$B$4=17,Hypothèses!$B$4=18,Hypothèses!$B$4=19,Hypothèses!$B$4=20),
IF($D343="Pressio.",
IF(OR($E343=3,$E343=1,$E343=4),EM343,EL343),
IF($D343="Pénétro.",
IF(OR($E343=3,$E343=1,$E343=4),EM343,EL343))),IF($D343="Pressio.",
IF($E343=3,EM343,EL343),
IF($D343="Pénétro.",
IF($E343=4,EM343,EL343))))</f>
        <v>#N/A</v>
      </c>
      <c r="EO343" s="31" t="e">
        <f>(IF(OR(Hypothèses!$B$4=17,Hypothèses!$B$4=18,Hypothèses!$B$4=19,Hypothèses!$B$4=20),
IF($D343="Pressio.",
IF(OR($E343=3,$E343=1,$E343=4),(PI()*EO$12^2)/4*(EK343*$W343*1000)/($H343*$B$5),(PI()*EO$12^2)/4*(EK343*$W343*1000)/($G343*$B$5)),
IF($D343="Pénétro.",
IF(OR($E343=4,$E343=1,$E343=5),(PI()*EO$12^2)/4*(EK343*$W343*1000)/($H343*$B$5),(PI()*EO$12^2)/4*(EK343*$W343*1000)/($G343*$B$5)))),
IF($D343="Pressio.",
IF($E343=3,(PI()*EO$12^2)/4*(EK343*$W343*1000)/($H343*$B$5),(PI()*EO$12^2)/4*(EK343*$W343*1000)/($G343*$B$5)),
IF($D343="Pénétro.",
IF($E343=4,(PI()*EO$12^2)/4*(EK343*$W343*1000)/($H343*$B$5),(PI()*EO$12^2)/4*(EK343*$W343*1000)/($G343*$B$5))))))/10</f>
        <v>#N/A</v>
      </c>
      <c r="EP343" s="102" t="e">
        <f>(VLOOKUP($B$3,'Coeff EC7'!$T$39:$X$59,2,0)*EN343+VLOOKUP($B$3,'Coeff EC7'!$T$65:$X$85,2,0)*Model0.1C!EO343)/1.1</f>
        <v>#N/A</v>
      </c>
      <c r="EQ343" s="102" t="e">
        <f>(VLOOKUP($B$3,'Coeff EC7'!$T$39:$X$59,3,0)*EN343+VLOOKUP($B$3,'Coeff EC7'!$T$65:$X$85,3,0)*Model0.1C!EO343)/0.9</f>
        <v>#N/A</v>
      </c>
      <c r="ER343" s="102" t="e">
        <f t="shared" si="594"/>
        <v>#N/A</v>
      </c>
      <c r="ES343" s="102" t="e">
        <f t="shared" si="595"/>
        <v>#N/A</v>
      </c>
      <c r="ET343" s="414" t="e">
        <f>IF(ET342=0,0,IF(AND(EP343&gt;charge_ELS_quasi,EQ343&gt;Charge_ELS_freq,ER343&gt;charge_ELU,ES343&gt;charge_ELA,$B343&gt;NDC!$H$22-0.1+MIN(3*$ET$12,1.5)),0,1))</f>
        <v>#N/A</v>
      </c>
      <c r="EU343" s="86" t="b">
        <f t="shared" si="563"/>
        <v>0</v>
      </c>
      <c r="EV343" s="86">
        <f t="shared" si="564"/>
        <v>0.61</v>
      </c>
      <c r="EW343" s="86">
        <f t="shared" si="565"/>
        <v>0.61</v>
      </c>
      <c r="EX343" s="30" t="e">
        <f t="shared" ca="1" si="596"/>
        <v>#DIV/0!</v>
      </c>
      <c r="EY343" s="85" t="e">
        <f ca="1">IF(EE343&lt;=Hypothèses!$V$7,Hypothèses!$W$7,IF(EE343&lt;=Hypothèses!$V$8,Hypothèses!$W$8,IF(EE343&lt;=Hypothèses!$V$9,Hypothèses!$W$9,IF(EE343&lt;=Hypothèses!$V$10,Hypothèses!$W$10,IF(EE343&lt;=Hypothèses!$V$11,Hypothèses!$W$11,IF(EE343&lt;=Hypothèses!$V$12,Hypothèses!$W$12,IF(EE343&lt;=Hypothèses!$V$13,Hypothèses!$W$13,IF(EE343&lt;=Hypothèses!$V$14,Hypothèses!$W$14,IF(EE343&lt;=Hypothèses!$V$15,Hypothèses!$W$15,IF(EE343&lt;=Hypothèses!$V$16,Hypothèses!$W$16,IF(EE343&lt;=Hypothèses!$V$17,Hypothèses!$W$17,IF(EE343&lt;=Hypothèses!$V$18,Hypothèses!$W$18,""))))))))))))</f>
        <v>#DIV/0!</v>
      </c>
      <c r="EZ343" s="87" t="e">
        <f t="shared" ca="1" si="623"/>
        <v>#DIV/0!</v>
      </c>
      <c r="FA343" s="88" t="e">
        <f ca="1">IF(EE343&lt;=Hypothèses!$V$7,Hypothèses!$X$7,IF(EE343&lt;=Hypothèses!$V$8,Hypothèses!$X$8,IF(EE343&lt;=Hypothèses!$V$9,Hypothèses!$X$9,IF(EE343&lt;=Hypothèses!$V$10,Hypothèses!$X$10,IF(EE343&lt;=Hypothèses!$V$11,Hypothèses!$X$11,IF(EE343&lt;=Hypothèses!$V$12,Hypothèses!$X$12,IF(EE343&lt;=Hypothèses!$V$13,Hypothèses!$X$13,IF(EE343&lt;=Hypothèses!$V$14,Hypothèses!$X$14,IF(EE343&lt;=Hypothèses!$V$15,Hypothèses!$X$15,IF(EE343&lt;=Hypothèses!$V$16,Hypothèses!$X$16,IF(EE343&lt;=Hypothèses!$U$17,Hypothèses!$W$17,IF(EE343&lt;=Hypothèses!$U$18,Hypothèses!$W$18,""))))))))))))</f>
        <v>#DIV/0!</v>
      </c>
      <c r="FB343" s="95" t="e">
        <f t="shared" ca="1" si="597"/>
        <v>#DIV/0!</v>
      </c>
      <c r="FC343" s="101" t="e">
        <f t="shared" si="630"/>
        <v>#N/A</v>
      </c>
      <c r="FD343" s="91" t="e">
        <f t="shared" si="566"/>
        <v>#N/A</v>
      </c>
      <c r="FE343" s="30" t="e">
        <f t="shared" si="614"/>
        <v>#N/A</v>
      </c>
      <c r="FF343" s="30" t="e">
        <f t="shared" si="615"/>
        <v>#N/A</v>
      </c>
      <c r="FG343" s="31" t="e">
        <f>IF(OR(Hypothèses!$B$4=17,Hypothèses!$B$4=18,Hypothèses!$B$4=19,Hypothèses!$B$4=20),
IF($D343="Pressio.",
IF(OR($E343=3,$E343=1,$E343=4),FF343,FE343),
IF($D343="Pénétro.",
IF(OR($E343=3,$E343=1,$E343=4),FF343,FE343))),IF($D343="Pressio.",
IF($E343=3,FF343,FE343),
IF($D343="Pénétro.",
IF($E343=4,FF343,FE343))))</f>
        <v>#N/A</v>
      </c>
      <c r="FH343" s="31" t="e">
        <f>(IF(OR(Hypothèses!$B$4=17,Hypothèses!$B$4=18,Hypothèses!$B$4=19,Hypothèses!$B$4=20),
IF($D343="Pressio.",
IF(OR($E343=3,$E343=1,$E343=4),(PI()*FH$12^2)/4*(FD343*$W343*1000)/($H343*$B$5),(PI()*FH$12^2)/4*(FD343*$W343*1000)/($G343*$B$5)),
IF($D343="Pénétro.",
IF(OR($E343=4,$E343=1,$E343=5),(PI()*FH$12^2)/4*(FD343*$W343*1000)/($H343*$B$5),(PI()*FH$12^2)/4*(FD343*$W343*1000)/($G343*$B$5)))),
IF($D343="Pressio.",
IF($E343=3,(PI()*FH$12^2)/4*(FD343*$W343*1000)/($H343*$B$5),(PI()*FH$12^2)/4*(FD343*$W343*1000)/($G343*$B$5)),
IF($D343="Pénétro.",
IF($E343=4,(PI()*FH$12^2)/4*(FD343*$W343*1000)/($H343*$B$5),(PI()*FH$12^2)/4*(FD343*$W343*1000)/($G343*$B$5))))))/10</f>
        <v>#N/A</v>
      </c>
      <c r="FI343" s="102" t="e">
        <f>(VLOOKUP($B$3,'Coeff EC7'!$T$39:$X$59,2,0)*FG343+VLOOKUP($B$3,'Coeff EC7'!$T$65:$X$85,2,0)*Model0.1C!FH343)/1.1</f>
        <v>#N/A</v>
      </c>
      <c r="FJ343" s="102" t="e">
        <f>(VLOOKUP($B$3,'Coeff EC7'!$T$39:$X$59,3,0)*FG343+VLOOKUP($B$3,'Coeff EC7'!$T$65:$X$85,3,0)*Model0.1C!FH343)/0.9</f>
        <v>#N/A</v>
      </c>
      <c r="FK343" s="102" t="e">
        <f t="shared" si="598"/>
        <v>#N/A</v>
      </c>
      <c r="FL343" s="102" t="e">
        <f t="shared" si="599"/>
        <v>#N/A</v>
      </c>
      <c r="FM343" s="414" t="e">
        <f>IF(FM342=0,0,IF(AND(FI343&gt;charge_ELS_quasi,FJ343&gt;Charge_ELS_freq,FK343&gt;charge_ELU,FL343&gt;charge_ELA,$B343&gt;NDC!$H$22-0.1+MIN(3*$FM$12,1.5)),0,1))</f>
        <v>#N/A</v>
      </c>
    </row>
    <row r="344" spans="1:169">
      <c r="A344" s="96">
        <f t="shared" si="567"/>
        <v>66.900000000001882</v>
      </c>
      <c r="B344" s="97">
        <v>33.1</v>
      </c>
      <c r="C344" s="81">
        <f>IF(B344&lt;=Hypothèses!$C$7,Hypothèses!$A$7,IF(B344&lt;=Hypothèses!$C$8,Hypothèses!$A$8,IF(B344&lt;=Hypothèses!$C$9,Hypothèses!$A$9,IF(B344&lt;=Hypothèses!$C$10,Hypothèses!$A$10,IF(B344&lt;=Hypothèses!$C$11,Hypothèses!$A$11,IF(B344&lt;=Hypothèses!$C$12,Hypothèses!$A$12,IF(B344&lt;=Hypothèses!$C$13,Hypothèses!$A$13,IF(B344&lt;=Hypothèses!$C$14,Hypothèses!$A$14,IF(B344&lt;=Hypothèses!$C$15,Hypothèses!$A$15,IF(B344&lt;=Hypothèses!$C$16,Hypothèses!$A$16,IF(B344&lt;=Hypothèses!$C$17,Hypothèses!$A$17,IF(B344&lt;=Hypothèses!$C$18,Hypothèses!$A$18,C343))))))))))))</f>
        <v>11</v>
      </c>
      <c r="D344" s="82" t="str">
        <f>IF(B344&lt;=Hypothèses!$C$7,Hypothèses!$R$7,IF(B344&lt;=Hypothèses!$C$8,Hypothèses!$R$8,IF(B344&lt;=Hypothèses!$C$9,Hypothèses!$R$9,IF(B344&lt;=Hypothèses!$C$10,Hypothèses!$R$10,IF(B344&lt;=Hypothèses!$C$11,Hypothèses!$R$11,IF(B344&lt;=Hypothèses!$C$12,Hypothèses!$R$12,IF(B344&lt;=Hypothèses!$C$13,Hypothèses!$R$13,IF(B344&lt;=Hypothèses!$C$14,Hypothèses!$R$14,IF(B344&lt;=Hypothèses!$C$15,Hypothèses!$R$15,IF(B344&lt;=Hypothèses!$C$16,Hypothèses!$R$16,IF(B344&lt;=Hypothèses!$C$17,Hypothèses!$R$17,IF(B344&lt;=Hypothèses!$C$18,Hypothèses!$R$18,D343))))))))))))</f>
        <v>Pressio.</v>
      </c>
      <c r="E344" s="82" t="e">
        <f>IF(B344&lt;=Hypothèses!$C$7,Hypothèses!$G$7,IF(B344&lt;=Hypothèses!$C$8,Hypothèses!$G$8,IF(B344&lt;=Hypothèses!$C$9,Hypothèses!$G$9,IF(B344&lt;=Hypothèses!$C$10,Hypothèses!$G$10,IF(B344&lt;=Hypothèses!$C$11,Hypothèses!$G$11,IF(B344&lt;=Hypothèses!$C$12,Hypothèses!$G$12,IF(B344&lt;=Hypothèses!$C$13,Hypothèses!$G$13,IF(B344&lt;=Hypothèses!$C$14,Hypothèses!$G$14,IF(B344&lt;=Hypothèses!$C$15,Hypothèses!$G$15,IF(B344&lt;=Hypothèses!$C$16,Hypothèses!$G$16,IF(B344&lt;=Hypothèses!$C$17,Hypothèses!$G$17,IF(B344&lt;=Hypothèses!$C$18,Hypothèses!$G$18,E343))))))))))))</f>
        <v>#N/A</v>
      </c>
      <c r="F344" s="82" t="str">
        <f>IF(B344&lt;=Hypothèses!$C$7,Hypothèses!$F$7,IF(B344&lt;=Hypothèses!$C$8,Hypothèses!$F$8,IF(B344&lt;=Hypothèses!$C$9,Hypothèses!$F$9,IF(B344&lt;=Hypothèses!$C$10,Hypothèses!$F$10,IF(B344&lt;=Hypothèses!$C$11,Hypothèses!$F$11,IF(B344&lt;=Hypothèses!$C$12,Hypothèses!$F$12,IF(B344&lt;=Hypothèses!$C$13,Hypothèses!$F$13,IF(B344&lt;=Hypothèses!$C$14,Hypothèses!$F$14,IF(B344&lt;=Hypothèses!$C$15,Hypothèses!$F$15,IF(B344&lt;=Hypothèses!$C$16,Hypothèses!$F$16,IF(B344&lt;=Hypothèses!$C$17,Hypothèses!$F$17,IF(B344&lt;=Hypothèses!$C$18,Hypothèses!$F$18,F343))))))))))))</f>
        <v/>
      </c>
      <c r="G344" s="91">
        <f t="array" ref="G344">INDEX('Coeff EC7'!$U$7:$X$27,
MATCH(Model0.1C!$B$3,'Coeff EC7'!$T$7:$T$27,0),
MATCH(Model0.1C!$D344&amp;Model0.1C!$B$4,
'Coeff EC7'!$U$6:$X$6&amp;
'Coeff EC7'!$U$5:$X$5,0))</f>
        <v>1.1499999999999999</v>
      </c>
      <c r="H344" s="91">
        <f t="array" ref="H344">INDEX('Coeff EC7'!$Y$7:$AB$27,
MATCH(Model0.1C!$B$3,'Coeff EC7'!$T$7:$T$27,0),
MATCH(Model0.1C!$D344&amp;Model0.1C!$B$4,
'Coeff EC7'!$Y$6:$AB$6&amp;
'Coeff EC7'!$Y$5:$AB$5,0))</f>
        <v>1.4</v>
      </c>
      <c r="I344" s="83" t="e">
        <f>IF(B344&lt;=Hypothèses!$C$7,Hypothèses!$P$7,IF(B344&lt;=Hypothèses!$C$8,Hypothèses!$P$8,IF(B344&lt;=Hypothèses!$C$9,Hypothèses!$P$9,IF(B344&lt;=Hypothèses!$C$10,Hypothèses!$P$10,IF(B344&lt;=Hypothèses!$C$11,Hypothèses!$P$11,IF(B344&lt;=Hypothèses!$C$12,Hypothèses!$P$12,IF(B344&lt;=Hypothèses!$C$13,Hypothèses!$P$13,IF(B344&lt;=Hypothèses!$C$14,Hypothèses!$P$14,IF(B344&lt;=Hypothèses!$C$15,Hypothèses!$P$15,IF(B344&lt;=Hypothèses!$C$16,Hypothèses!$P$16,IF(B344&lt;=Hypothèses!$C$17,Hypothèses!$P$17,IF(B344&lt;=Hypothèses!$C$18,Hypothèses!$P$18,I343))))))))))))</f>
        <v>#N/A</v>
      </c>
      <c r="J344" s="91" t="e">
        <f t="array" ref="J344">INDEX('Coeff EC7'!$D$33:$Q$33,1,MATCH(D344&amp;E344,'Coeff EC7'!$D$31:$Q$31&amp;'Coeff EC7'!$D$32:$Q$32,0))</f>
        <v>#N/A</v>
      </c>
      <c r="K344" s="91" t="e">
        <f t="array" ref="K344">INDEX('Coeff EC7'!$D$34:$Q$34,1,MATCH(D344&amp;E344,'Coeff EC7'!$D$31:$Q$31&amp;'Coeff EC7'!$D$32:$Q$32,0))</f>
        <v>#N/A</v>
      </c>
      <c r="L344" s="91" t="e">
        <f t="array" ref="L344">INDEX('Coeff EC7'!$D$35:$Q$35,1,MATCH(D344&amp;E344,'Coeff EC7'!$D$31:$Q$31&amp;'Coeff EC7'!$D$32:$Q$32,0))</f>
        <v>#N/A</v>
      </c>
      <c r="M344" s="98" t="e">
        <f t="shared" si="531"/>
        <v>#N/A</v>
      </c>
      <c r="N344" s="99" t="e">
        <f t="array" ref="N344">INDEX('Coeff EC7'!$D$7:$Q$27,MATCH($B$3,'Coeff EC7'!$C$7:$C$27,0),MATCH(D344&amp;E344,'Coeff EC7'!$D$5:$Q$5&amp;'Coeff EC7'!$D$6:$Q$6,0))</f>
        <v>#N/A</v>
      </c>
      <c r="O344" s="99" t="e">
        <f t="array" ref="O344">INDEX('Coeff EC7'!$D$41:$Q$61,MATCH($B$3,'Coeff EC7'!$C$41:$C$61,0),MATCH(D344&amp;E344,'Coeff EC7'!$D$39:$Q$39&amp;'Coeff EC7'!$D$40:$Q$40,0))</f>
        <v>#N/A</v>
      </c>
      <c r="P344" s="30" t="e">
        <f t="shared" si="568"/>
        <v>#N/A</v>
      </c>
      <c r="Q344" s="100" t="e">
        <f t="shared" si="533"/>
        <v>#N/A</v>
      </c>
      <c r="R344" s="86" t="b">
        <f t="shared" si="534"/>
        <v>0</v>
      </c>
      <c r="S344" s="86">
        <f t="shared" si="532"/>
        <v>0.5</v>
      </c>
      <c r="T344" s="86">
        <f t="shared" si="535"/>
        <v>0.5</v>
      </c>
      <c r="U344" s="30" t="e">
        <f t="shared" ca="1" si="569"/>
        <v>#DIV/0!</v>
      </c>
      <c r="V344" s="85" t="str">
        <f>IF(B344&lt;=Hypothèses!$V$7,Hypothèses!$W$7,IF(B344&lt;=Hypothèses!$V$8,Hypothèses!$W$8,IF(B344&lt;=Hypothèses!$V$9,Hypothèses!$W$9,IF(B344&lt;=Hypothèses!$V$10,Hypothèses!$W$10,IF(B344&lt;=Hypothèses!$V$11,Hypothèses!$W$11,IF(B344&lt;=Hypothèses!$V$12,Hypothèses!$W$12,IF(B344&lt;=Hypothèses!$V$13,Hypothèses!$W$13,IF(B344&lt;=Hypothèses!$V$14,Hypothèses!$W$14,IF(B344&lt;=Hypothèses!$V$15,Hypothèses!$W$15,IF(B344&lt;=Hypothèses!$V$16,Hypothèses!$W$16,IF(B344&lt;=Hypothèses!$V$17,Hypothèses!$W$17,IF(B344&lt;=Hypothèses!$V$18,Hypothèses!$W$18,""))))))))))))</f>
        <v/>
      </c>
      <c r="W344" s="87" t="e">
        <f t="shared" ca="1" si="616"/>
        <v>#DIV/0!</v>
      </c>
      <c r="X344" s="88" t="str">
        <f>IF(B344&lt;=Hypothèses!$V$7,Hypothèses!$X$7,IF(B344&lt;=Hypothèses!$V$8,Hypothèses!$X$8,IF(B344&lt;=Hypothèses!$V$9,Hypothèses!$X$9,IF(B344&lt;=Hypothèses!$V$10,Hypothèses!$X$10,IF(B344&lt;=Hypothèses!$V$11,Hypothèses!$X$11,IF(B344&lt;=Hypothèses!$V$12,Hypothèses!$X$12,IF(B344&lt;=Hypothèses!$V$13,Hypothèses!$X$13,IF(B344&lt;=Hypothèses!$V$14,Hypothèses!$X$14,IF(B344&lt;=Hypothèses!$V$15,Hypothèses!$X$15,IF(B344&lt;=Hypothèses!$V$16,Hypothèses!$X$16,IF(B344&lt;=Hypothèses!$U$17,Hypothèses!$W$17,IF(B344&lt;=Hypothèses!$U$18,Hypothèses!$W$18,""))))))))))))</f>
        <v/>
      </c>
      <c r="Y344" s="95" t="e">
        <f t="shared" ca="1" si="536"/>
        <v>#DIV/0!</v>
      </c>
      <c r="Z344" s="101" t="e">
        <f t="shared" si="537"/>
        <v>#N/A</v>
      </c>
      <c r="AA344" s="91" t="e">
        <f t="shared" si="538"/>
        <v>#N/A</v>
      </c>
      <c r="AB344" s="30" t="e">
        <f t="shared" si="600"/>
        <v>#N/A</v>
      </c>
      <c r="AC344" s="30" t="e">
        <f t="shared" si="601"/>
        <v>#N/A</v>
      </c>
      <c r="AD344" s="31" t="e">
        <f>IF(OR(Hypothèses!$B$4=17,Hypothèses!$B$4=18,Hypothèses!$B$4=19,Hypothèses!$B$4=20),
IF($D344="Pressio.",
IF(OR($E344=3,$E344=1,$E344=4),AC344,AB344),
IF($D344="Pénétro.",
IF(OR($E344=3,$E344=1,$E344=4),AC344,AB344))),IF($D344="Pressio.",
IF($E344=3,AC344,AB344),
IF($D344="Pénétro.",
IF($E344=4,AC344,AB344))))</f>
        <v>#N/A</v>
      </c>
      <c r="AE344" s="31" t="e">
        <f>(IF(OR(Hypothèses!$B$4=17,Hypothèses!$B$4=18,Hypothèses!$B$4=19,Hypothèses!$B$4=20),
IF($D344="Pressio.",
IF(OR($E344=3,$E344=1,$E344=4),(PI()*AE$12^2)/4*(AA344*$W344*1000)/($H344*$B$5),(PI()*AE$12^2)/4*(AA344*$W344*1000)/($G344*$B$5)),
IF($D344="Pénétro.",
IF(OR($E344=4,$E344=1,$E344=5),(PI()*AE$12^2)/4*(AA344*$W344*1000)/($H344*$B$5),(PI()*AE$12^2)/4*(AA344*$W344*1000)/($G344*$B$5)))),
IF($D344="Pressio.",
IF($E344=3,(PI()*AE$12^2)/4*(AA344*$W344*1000)/($H344*$B$5),(PI()*AE$12^2)/4*(AA344*$W344*1000)/($G344*$B$5)),
IF($D344="Pénétro.",
IF($E344=4,(PI()*AE$12^2)/4*(AA344*$W344*1000)/($H344*$B$5),(PI()*AE$12^2)/4*(AA344*$W344*1000)/($G344*$B$5))))))/10</f>
        <v>#N/A</v>
      </c>
      <c r="AF344" s="102" t="e">
        <f>(VLOOKUP($B$3,'Coeff EC7'!$T$39:$X$59,2,0)*AD344+VLOOKUP($B$3,'Coeff EC7'!$T$65:$X$85,2,0)*Model0.1C!AE344)/1.1</f>
        <v>#N/A</v>
      </c>
      <c r="AG344" s="102" t="e">
        <f>(VLOOKUP($B$3,'Coeff EC7'!$T$39:$X$59,3,0)*AD344+VLOOKUP($B$3,'Coeff EC7'!$T$65:$X$85,3,0)*Model0.1C!AE344)/0.9</f>
        <v>#N/A</v>
      </c>
      <c r="AH344" s="102" t="e">
        <f t="shared" si="539"/>
        <v>#N/A</v>
      </c>
      <c r="AI344" s="102" t="e">
        <f t="shared" si="540"/>
        <v>#N/A</v>
      </c>
      <c r="AJ344" s="414" t="e">
        <f>IF(AJ343=0,0,IF(AND(AF344&gt;charge_ELS_quasi,AG344&gt;Charge_ELS_freq,AH344&gt;charge_ELU,AI344&gt;charge_ELA,$B344&gt;NDC!$H$22-0.1+MIN(3*$AJ$12,1.5)),0,1))</f>
        <v>#N/A</v>
      </c>
      <c r="AK344" s="86" t="b">
        <f t="shared" si="541"/>
        <v>0</v>
      </c>
      <c r="AL344" s="86">
        <f t="shared" si="570"/>
        <v>0.5</v>
      </c>
      <c r="AM344" s="86">
        <f t="shared" si="542"/>
        <v>0.5</v>
      </c>
      <c r="AN344" s="30" t="e">
        <f t="shared" ca="1" si="571"/>
        <v>#DIV/0!</v>
      </c>
      <c r="AO344" s="85" t="e">
        <f ca="1">IF(U344&lt;=Hypothèses!$V$7,Hypothèses!$W$7,IF(U344&lt;=Hypothèses!$V$8,Hypothèses!$W$8,IF(U344&lt;=Hypothèses!$V$9,Hypothèses!$W$9,IF(U344&lt;=Hypothèses!$V$10,Hypothèses!$W$10,IF(U344&lt;=Hypothèses!$V$11,Hypothèses!$W$11,IF(U344&lt;=Hypothèses!$V$12,Hypothèses!$W$12,IF(U344&lt;=Hypothèses!$V$13,Hypothèses!$W$13,IF(U344&lt;=Hypothèses!$V$14,Hypothèses!$W$14,IF(U344&lt;=Hypothèses!$V$15,Hypothèses!$W$15,IF(U344&lt;=Hypothèses!$V$16,Hypothèses!$W$16,IF(U344&lt;=Hypothèses!$V$17,Hypothèses!$W$17,IF(U344&lt;=Hypothèses!$V$18,Hypothèses!$W$18,""))))))))))))</f>
        <v>#DIV/0!</v>
      </c>
      <c r="AP344" s="87" t="e">
        <f t="shared" ca="1" si="617"/>
        <v>#DIV/0!</v>
      </c>
      <c r="AQ344" s="88" t="e">
        <f ca="1">IF(U344&lt;=Hypothèses!$V$7,Hypothèses!$X$7,IF(U344&lt;=Hypothèses!$V$8,Hypothèses!$X$8,IF(U344&lt;=Hypothèses!$V$9,Hypothèses!$X$9,IF(U344&lt;=Hypothèses!$V$10,Hypothèses!$X$10,IF(U344&lt;=Hypothèses!$V$11,Hypothèses!$X$11,IF(U344&lt;=Hypothèses!$V$12,Hypothèses!$X$12,IF(U344&lt;=Hypothèses!$V$13,Hypothèses!$X$13,IF(U344&lt;=Hypothèses!$V$14,Hypothèses!$X$14,IF(U344&lt;=Hypothèses!$V$15,Hypothèses!$X$15,IF(U344&lt;=Hypothèses!$V$16,Hypothèses!$X$16,IF(U344&lt;=Hypothèses!$U$17,Hypothèses!$W$17,IF(U344&lt;=Hypothèses!$U$18,Hypothèses!$W$18,""))))))))))))</f>
        <v>#DIV/0!</v>
      </c>
      <c r="AR344" s="95" t="e">
        <f t="shared" ca="1" si="572"/>
        <v>#DIV/0!</v>
      </c>
      <c r="AS344" s="101" t="e">
        <f t="shared" si="624"/>
        <v>#N/A</v>
      </c>
      <c r="AT344" s="91" t="e">
        <f t="shared" si="543"/>
        <v>#N/A</v>
      </c>
      <c r="AU344" s="30" t="e">
        <f t="shared" si="602"/>
        <v>#N/A</v>
      </c>
      <c r="AV344" s="30" t="e">
        <f t="shared" si="603"/>
        <v>#N/A</v>
      </c>
      <c r="AW344" s="31" t="e">
        <f>IF(OR(Hypothèses!$B$4=17,Hypothèses!$B$4=18,Hypothèses!$B$4=19,Hypothèses!$B$4=20),
IF($D344="Pressio.",
IF(OR($E344=3,$E344=1,$E344=4),AV344,AU344),
IF($D344="Pénétro.",
IF(OR($E344=3,$E344=1,$E344=4),AV344,AU344))),IF($D344="Pressio.",
IF($E344=3,AV344,AU344),
IF($D344="Pénétro.",
IF($E344=4,AV344,AU344))))</f>
        <v>#N/A</v>
      </c>
      <c r="AX344" s="31" t="e">
        <f>(IF(OR(Hypothèses!$B$4=17,Hypothèses!$B$4=18,Hypothèses!$B$4=19,Hypothèses!$B$4=20),
IF($D344="Pressio.",
IF(OR($E344=3,$E344=1,$E344=4),(PI()*AX$12^2)/4*(AT344*$W344*1000)/($H344*$B$5),(PI()*AX$12^2)/4*(AT344*$W344*1000)/($G344*$B$5)),
IF($D344="Pénétro.",
IF(OR($E344=4,$E344=1,$E344=5),(PI()*AX$12^2)/4*(AT344*$W344*1000)/($H344*$B$5),(PI()*AX$12^2)/4*(AT344*$W344*1000)/($G344*$B$5)))),
IF($D344="Pressio.",
IF($E344=3,(PI()*AX$12^2)/4*(AT344*$W344*1000)/($H344*$B$5),(PI()*AX$12^2)/4*(AT344*$W344*1000)/($G344*$B$5)),
IF($D344="Pénétro.",
IF($E344=4,(PI()*AX$12^2)/4*(AT344*$W344*1000)/($H344*$B$5),(PI()*AX$12^2)/4*(AT344*$W344*1000)/($G344*$B$5))))))/10</f>
        <v>#N/A</v>
      </c>
      <c r="AY344" s="102" t="e">
        <f>(VLOOKUP($B$3,'Coeff EC7'!$T$39:$X$59,2,0)*AW344+VLOOKUP($B$3,'Coeff EC7'!$T$65:$X$85,2,0)*Model0.1C!AX344)/1.1</f>
        <v>#N/A</v>
      </c>
      <c r="AZ344" s="102" t="e">
        <f>(VLOOKUP($B$3,'Coeff EC7'!$T$39:$X$59,3,0)*AW344+VLOOKUP($B$3,'Coeff EC7'!$T$65:$X$85,3,0)*Model0.1C!AX344)/0.9</f>
        <v>#N/A</v>
      </c>
      <c r="BA344" s="102" t="e">
        <f t="shared" si="573"/>
        <v>#N/A</v>
      </c>
      <c r="BB344" s="102" t="e">
        <f t="shared" si="574"/>
        <v>#N/A</v>
      </c>
      <c r="BC344" s="414" t="e">
        <f>IF(BC343=0,0,IF(AND(AY344&gt;charge_ELS_quasi,AZ344&gt;Charge_ELS_freq,BA344&gt;charge_ELU,BB344&gt;charge_ELA,$B344&gt;NDC!$H$22-0.1+MIN(3*$BC$12,1.5)),0,1))</f>
        <v>#N/A</v>
      </c>
      <c r="BD344" s="86" t="b">
        <f t="shared" si="544"/>
        <v>0</v>
      </c>
      <c r="BE344" s="86">
        <f t="shared" si="575"/>
        <v>0.5</v>
      </c>
      <c r="BF344" s="86">
        <f t="shared" si="545"/>
        <v>0.5</v>
      </c>
      <c r="BG344" s="30" t="e">
        <f t="shared" ca="1" si="576"/>
        <v>#DIV/0!</v>
      </c>
      <c r="BH344" s="85" t="e">
        <f ca="1">IF(AN344&lt;=Hypothèses!$V$7,Hypothèses!$W$7,IF(AN344&lt;=Hypothèses!$V$8,Hypothèses!$W$8,IF(AN344&lt;=Hypothèses!$V$9,Hypothèses!$W$9,IF(AN344&lt;=Hypothèses!$V$10,Hypothèses!$W$10,IF(AN344&lt;=Hypothèses!$V$11,Hypothèses!$W$11,IF(AN344&lt;=Hypothèses!$V$12,Hypothèses!$W$12,IF(AN344&lt;=Hypothèses!$V$13,Hypothèses!$W$13,IF(AN344&lt;=Hypothèses!$V$14,Hypothèses!$W$14,IF(AN344&lt;=Hypothèses!$V$15,Hypothèses!$W$15,IF(AN344&lt;=Hypothèses!$V$16,Hypothèses!$W$16,IF(AN344&lt;=Hypothèses!$V$17,Hypothèses!$W$17,IF(AN344&lt;=Hypothèses!$V$18,Hypothèses!$W$18,""))))))))))))</f>
        <v>#DIV/0!</v>
      </c>
      <c r="BI344" s="87" t="e">
        <f t="shared" ca="1" si="618"/>
        <v>#DIV/0!</v>
      </c>
      <c r="BJ344" s="88" t="e">
        <f ca="1">IF(AN344&lt;=Hypothèses!$V$7,Hypothèses!$X$7,IF(AN344&lt;=Hypothèses!$V$8,Hypothèses!$X$8,IF(AN344&lt;=Hypothèses!$V$9,Hypothèses!$X$9,IF(AN344&lt;=Hypothèses!$V$10,Hypothèses!$X$10,IF(AN344&lt;=Hypothèses!$V$11,Hypothèses!$X$11,IF(AN344&lt;=Hypothèses!$V$12,Hypothèses!$X$12,IF(AN344&lt;=Hypothèses!$V$13,Hypothèses!$X$13,IF(AN344&lt;=Hypothèses!$V$14,Hypothèses!$X$14,IF(AN344&lt;=Hypothèses!$V$15,Hypothèses!$X$15,IF(AN344&lt;=Hypothèses!$V$16,Hypothèses!$X$16,IF(AN344&lt;=Hypothèses!$U$17,Hypothèses!$W$17,IF(AN344&lt;=Hypothèses!$U$18,Hypothèses!$W$18,""))))))))))))</f>
        <v>#DIV/0!</v>
      </c>
      <c r="BK344" s="95" t="e">
        <f t="shared" ca="1" si="577"/>
        <v>#DIV/0!</v>
      </c>
      <c r="BL344" s="101" t="e">
        <f t="shared" si="625"/>
        <v>#N/A</v>
      </c>
      <c r="BM344" s="91" t="e">
        <f t="shared" si="546"/>
        <v>#N/A</v>
      </c>
      <c r="BN344" s="30" t="e">
        <f t="shared" si="604"/>
        <v>#N/A</v>
      </c>
      <c r="BO344" s="30" t="e">
        <f t="shared" si="605"/>
        <v>#N/A</v>
      </c>
      <c r="BP344" s="31" t="e">
        <f>IF(OR(Hypothèses!$B$4=17,Hypothèses!$B$4=18,Hypothèses!$B$4=19,Hypothèses!$B$4=20),
IF($D344="Pressio.",
IF(OR($E344=3,$E344=1,$E344=4),BO344,BN344),
IF($D344="Pénétro.",
IF(OR($E344=3,$E344=1,$E344=4),BO344,BN344))),IF($D344="Pressio.",
IF($E344=3,BO344,BN344),
IF($D344="Pénétro.",
IF($E344=4,BO344,BN344))))</f>
        <v>#N/A</v>
      </c>
      <c r="BQ344" s="31" t="e">
        <f>(IF(OR(Hypothèses!$B$4=17,Hypothèses!$B$4=18,Hypothèses!$B$4=19,Hypothèses!$B$4=20),
IF($D344="Pressio.",
IF(OR($E344=3,$E344=1,$E344=4),(PI()*BQ$12^2)/4*(BM344*$W344*1000)/($H344*$B$5),(PI()*BQ$12^2)/4*(BM344*$W344*1000)/($G344*$B$5)),
IF($D344="Pénétro.",
IF(OR($E344=4,$E344=1,$E344=5),(PI()*BQ$12^2)/4*(BM344*$W344*1000)/($H344*$B$5),(PI()*BQ$12^2)/4*(BM344*$W344*1000)/($G344*$B$5)))),
IF($D344="Pressio.",
IF($E344=3,(PI()*BQ$12^2)/4*(BM344*$W344*1000)/($H344*$B$5),(PI()*BQ$12^2)/4*(BM344*$W344*1000)/($G344*$B$5)),
IF($D344="Pénétro.",
IF($E344=4,(PI()*BQ$12^2)/4*(BM344*$W344*1000)/($H344*$B$5),(PI()*BQ$12^2)/4*(BM344*$W344*1000)/($G344*$B$5))))))/10</f>
        <v>#N/A</v>
      </c>
      <c r="BR344" s="102" t="e">
        <f>(VLOOKUP($B$3,'Coeff EC7'!$T$39:$X$59,2,0)*BP344+VLOOKUP($B$3,'Coeff EC7'!$T$65:$X$85,2,0)*Model0.1C!BQ344)/1.1</f>
        <v>#N/A</v>
      </c>
      <c r="BS344" s="102" t="e">
        <f>(VLOOKUP($B$3,'Coeff EC7'!$T$39:$X$59,3,0)*BP344+VLOOKUP($B$3,'Coeff EC7'!$T$65:$X$85,3,0)*Model0.1C!BQ344)/0.9</f>
        <v>#N/A</v>
      </c>
      <c r="BT344" s="102" t="e">
        <f t="shared" si="578"/>
        <v>#N/A</v>
      </c>
      <c r="BU344" s="102" t="e">
        <f t="shared" si="579"/>
        <v>#N/A</v>
      </c>
      <c r="BV344" s="414" t="e">
        <f>IF(BV343=0,0,IF(AND(BR344&gt;charge_ELS_quasi,BS344&gt;Charge_ELS_freq,BT344&gt;charge_ELU,BU344&gt;charge_ELA,$B344&gt;NDC!$H$22-0.1+MIN(3*$BV$12,1.5)),0,1))</f>
        <v>#N/A</v>
      </c>
      <c r="BW344" s="86" t="b">
        <f t="shared" si="547"/>
        <v>0</v>
      </c>
      <c r="BX344" s="86">
        <f t="shared" si="548"/>
        <v>0.5</v>
      </c>
      <c r="BY344" s="86">
        <f t="shared" si="549"/>
        <v>0.5</v>
      </c>
      <c r="BZ344" s="30" t="e">
        <f t="shared" ca="1" si="580"/>
        <v>#DIV/0!</v>
      </c>
      <c r="CA344" s="85" t="e">
        <f ca="1">IF(BG344&lt;=Hypothèses!$V$7,Hypothèses!$W$7,IF(BG344&lt;=Hypothèses!$V$8,Hypothèses!$W$8,IF(BG344&lt;=Hypothèses!$V$9,Hypothèses!$W$9,IF(BG344&lt;=Hypothèses!$V$10,Hypothèses!$W$10,IF(BG344&lt;=Hypothèses!$V$11,Hypothèses!$W$11,IF(BG344&lt;=Hypothèses!$V$12,Hypothèses!$W$12,IF(BG344&lt;=Hypothèses!$V$13,Hypothèses!$W$13,IF(BG344&lt;=Hypothèses!$V$14,Hypothèses!$W$14,IF(BG344&lt;=Hypothèses!$V$15,Hypothèses!$W$15,IF(BG344&lt;=Hypothèses!$V$16,Hypothèses!$W$16,IF(BG344&lt;=Hypothèses!$V$17,Hypothèses!$W$17,IF(BG344&lt;=Hypothèses!$V$18,Hypothèses!$W$18,""))))))))))))</f>
        <v>#DIV/0!</v>
      </c>
      <c r="CB344" s="87" t="e">
        <f t="shared" ca="1" si="619"/>
        <v>#DIV/0!</v>
      </c>
      <c r="CC344" s="88" t="e">
        <f ca="1">IF(BG344&lt;=Hypothèses!$V$7,Hypothèses!$X$7,IF(BG344&lt;=Hypothèses!$V$8,Hypothèses!$X$8,IF(BG344&lt;=Hypothèses!$V$9,Hypothèses!$X$9,IF(BG344&lt;=Hypothèses!$V$10,Hypothèses!$X$10,IF(BG344&lt;=Hypothèses!$V$11,Hypothèses!$X$11,IF(BG344&lt;=Hypothèses!$V$12,Hypothèses!$X$12,IF(BG344&lt;=Hypothèses!$V$13,Hypothèses!$X$13,IF(BG344&lt;=Hypothèses!$V$14,Hypothèses!$X$14,IF(BG344&lt;=Hypothèses!$V$15,Hypothèses!$X$15,IF(BG344&lt;=Hypothèses!$V$16,Hypothèses!$X$16,IF(BG344&lt;=Hypothèses!$U$17,Hypothèses!$W$17,IF(BG344&lt;=Hypothèses!$U$18,Hypothèses!$W$18,""))))))))))))</f>
        <v>#DIV/0!</v>
      </c>
      <c r="CD344" s="95" t="e">
        <f t="shared" ca="1" si="581"/>
        <v>#DIV/0!</v>
      </c>
      <c r="CE344" s="101" t="e">
        <f t="shared" si="626"/>
        <v>#N/A</v>
      </c>
      <c r="CF344" s="91" t="e">
        <f t="shared" si="550"/>
        <v>#N/A</v>
      </c>
      <c r="CG344" s="30" t="e">
        <f t="shared" si="606"/>
        <v>#N/A</v>
      </c>
      <c r="CH344" s="30" t="e">
        <f t="shared" si="607"/>
        <v>#N/A</v>
      </c>
      <c r="CI344" s="31" t="e">
        <f>IF(OR(Hypothèses!$B$4=17,Hypothèses!$B$4=18,Hypothèses!$B$4=19,Hypothèses!$B$4=20),
IF($D344="Pressio.",
IF(OR($E344=3,$E344=1,$E344=4),CH344,CG344),
IF($D344="Pénétro.",
IF(OR($E344=3,$E344=1,$E344=4),CH344,CG344))),IF($D344="Pressio.",
IF($E344=3,CH344,CG344),
IF($D344="Pénétro.",
IF($E344=4,CH344,CG344))))</f>
        <v>#N/A</v>
      </c>
      <c r="CJ344" s="31" t="e">
        <f>(IF(OR(Hypothèses!$B$4=17,Hypothèses!$B$4=18,Hypothèses!$B$4=19,Hypothèses!$B$4=20),
IF($D344="Pressio.",
IF(OR($E344=3,$E344=1,$E344=4),(PI()*CJ$12^2)/4*(CF344*$W344*1000)/($H344*$B$5),(PI()*CJ$12^2)/4*(CF344*$W344*1000)/($G344*$B$5)),
IF($D344="Pénétro.",
IF(OR($E344=4,$E344=1,$E344=5),(PI()*CJ$12^2)/4*(CF344*$W344*1000)/($H344*$B$5),(PI()*CJ$12^2)/4*(CF344*$W344*1000)/($G344*$B$5)))),
IF($D344="Pressio.",
IF($E344=3,(PI()*CJ$12^2)/4*(CF344*$W344*1000)/($H344*$B$5),(PI()*CJ$12^2)/4*(CF344*$W344*1000)/($G344*$B$5)),
IF($D344="Pénétro.",
IF($E344=4,(PI()*CJ$12^2)/4*(CF344*$W344*1000)/($H344*$B$5),(PI()*CJ$12^2)/4*(CF344*$W344*1000)/($G344*$B$5))))))/10</f>
        <v>#N/A</v>
      </c>
      <c r="CK344" s="102" t="e">
        <f>(VLOOKUP($B$3,'Coeff EC7'!$T$39:$X$59,2,0)*CI344+VLOOKUP($B$3,'Coeff EC7'!$T$65:$X$85,2,0)*Model0.1C!CJ344)/1.1</f>
        <v>#N/A</v>
      </c>
      <c r="CL344" s="102" t="e">
        <f>(VLOOKUP($B$3,'Coeff EC7'!$T$39:$X$59,3,0)*CI344+VLOOKUP($B$3,'Coeff EC7'!$T$65:$X$85,3,0)*Model0.1C!CJ344)/0.9</f>
        <v>#N/A</v>
      </c>
      <c r="CM344" s="102" t="e">
        <f t="shared" si="582"/>
        <v>#N/A</v>
      </c>
      <c r="CN344" s="102" t="e">
        <f t="shared" si="583"/>
        <v>#N/A</v>
      </c>
      <c r="CO344" s="414" t="e">
        <f>IF(CO343=0,0,IF(AND(CK344&gt;charge_ELS_quasi,CL344&gt;Charge_ELS_freq,CM344&gt;charge_ELU,CN344&gt;charge_ELA,$B344&gt;NDC!$H$22-0.1+MIN(3*$CO$12,1.5)),0,1))</f>
        <v>#N/A</v>
      </c>
      <c r="CP344" s="86" t="b">
        <f t="shared" si="551"/>
        <v>0</v>
      </c>
      <c r="CQ344" s="86">
        <f t="shared" si="552"/>
        <v>0.5</v>
      </c>
      <c r="CR344" s="86">
        <f t="shared" si="553"/>
        <v>0.5</v>
      </c>
      <c r="CS344" s="30" t="e">
        <f t="shared" ca="1" si="584"/>
        <v>#DIV/0!</v>
      </c>
      <c r="CT344" s="85" t="e">
        <f ca="1">IF(BZ344&lt;=Hypothèses!$V$7,Hypothèses!$W$7,IF(BZ344&lt;=Hypothèses!$V$8,Hypothèses!$W$8,IF(BZ344&lt;=Hypothèses!$V$9,Hypothèses!$W$9,IF(BZ344&lt;=Hypothèses!$V$10,Hypothèses!$W$10,IF(BZ344&lt;=Hypothèses!$V$11,Hypothèses!$W$11,IF(BZ344&lt;=Hypothèses!$V$12,Hypothèses!$W$12,IF(BZ344&lt;=Hypothèses!$V$13,Hypothèses!$W$13,IF(BZ344&lt;=Hypothèses!$V$14,Hypothèses!$W$14,IF(BZ344&lt;=Hypothèses!$V$15,Hypothèses!$W$15,IF(BZ344&lt;=Hypothèses!$V$16,Hypothèses!$W$16,IF(BZ344&lt;=Hypothèses!$V$17,Hypothèses!$W$17,IF(BZ344&lt;=Hypothèses!$V$18,Hypothèses!$W$18,""))))))))))))</f>
        <v>#DIV/0!</v>
      </c>
      <c r="CU344" s="87" t="e">
        <f t="shared" ca="1" si="620"/>
        <v>#DIV/0!</v>
      </c>
      <c r="CV344" s="88" t="e">
        <f ca="1">IF(BZ344&lt;=Hypothèses!$V$7,Hypothèses!$X$7,IF(BZ344&lt;=Hypothèses!$V$8,Hypothèses!$X$8,IF(BZ344&lt;=Hypothèses!$V$9,Hypothèses!$X$9,IF(BZ344&lt;=Hypothèses!$V$10,Hypothèses!$X$10,IF(BZ344&lt;=Hypothèses!$V$11,Hypothèses!$X$11,IF(BZ344&lt;=Hypothèses!$V$12,Hypothèses!$X$12,IF(BZ344&lt;=Hypothèses!$V$13,Hypothèses!$X$13,IF(BZ344&lt;=Hypothèses!$V$14,Hypothèses!$X$14,IF(BZ344&lt;=Hypothèses!$V$15,Hypothèses!$X$15,IF(BZ344&lt;=Hypothèses!$V$16,Hypothèses!$X$16,IF(BZ344&lt;=Hypothèses!$U$17,Hypothèses!$W$17,IF(BZ344&lt;=Hypothèses!$U$18,Hypothèses!$W$18,""))))))))))))</f>
        <v>#DIV/0!</v>
      </c>
      <c r="CW344" s="95" t="e">
        <f t="shared" ca="1" si="585"/>
        <v>#DIV/0!</v>
      </c>
      <c r="CX344" s="101" t="e">
        <f t="shared" si="627"/>
        <v>#N/A</v>
      </c>
      <c r="CY344" s="91" t="e">
        <f t="shared" si="554"/>
        <v>#N/A</v>
      </c>
      <c r="CZ344" s="30" t="e">
        <f t="shared" si="608"/>
        <v>#N/A</v>
      </c>
      <c r="DA344" s="30" t="e">
        <f t="shared" si="609"/>
        <v>#N/A</v>
      </c>
      <c r="DB344" s="31" t="e">
        <f>IF(OR(Hypothèses!$B$4=17,Hypothèses!$B$4=18,Hypothèses!$B$4=19,Hypothèses!$B$4=20),
IF($D344="Pressio.",
IF(OR($E344=3,$E344=1,$E344=4),DA344,CZ344),
IF($D344="Pénétro.",
IF(OR($E344=3,$E344=1,$E344=4),DA344,CZ344))),IF($D344="Pressio.",
IF($E344=3,DA344,CZ344),
IF($D344="Pénétro.",
IF($E344=4,DA344,CZ344))))</f>
        <v>#N/A</v>
      </c>
      <c r="DC344" s="31" t="e">
        <f>(IF(OR(Hypothèses!$B$4=17,Hypothèses!$B$4=18,Hypothèses!$B$4=19,Hypothèses!$B$4=20),
IF($D344="Pressio.",
IF(OR($E344=3,$E344=1,$E344=4),(PI()*DC$12^2)/4*(CY344*$W344*1000)/($H344*$B$5),(PI()*DC$12^2)/4*(CY344*$W344*1000)/($G344*$B$5)),
IF($D344="Pénétro.",
IF(OR($E344=4,$E344=1,$E344=5),(PI()*DC$12^2)/4*(CY344*$W344*1000)/($H344*$B$5),(PI()*DC$12^2)/4*(CY344*$W344*1000)/($G344*$B$5)))),
IF($D344="Pressio.",
IF($E344=3,(PI()*DC$12^2)/4*(CY344*$W344*1000)/($H344*$B$5),(PI()*DC$12^2)/4*(CY344*$W344*1000)/($G344*$B$5)),
IF($D344="Pénétro.",
IF($E344=4,(PI()*DC$12^2)/4*(CY344*$W344*1000)/($H344*$B$5),(PI()*DC$12^2)/4*(CY344*$W344*1000)/($G344*$B$5))))))/10</f>
        <v>#N/A</v>
      </c>
      <c r="DD344" s="102" t="e">
        <f>(VLOOKUP($B$3,'Coeff EC7'!$T$39:$X$59,2,0)*DB344+VLOOKUP($B$3,'Coeff EC7'!$T$65:$X$85,2,0)*Model0.1C!DC344)/1.1</f>
        <v>#N/A</v>
      </c>
      <c r="DE344" s="102" t="e">
        <f>(VLOOKUP($B$3,'Coeff EC7'!$T$39:$X$59,3,0)*DB344+VLOOKUP($B$3,'Coeff EC7'!$T$65:$X$85,3,0)*Model0.1C!DC344)/0.9</f>
        <v>#N/A</v>
      </c>
      <c r="DF344" s="102" t="e">
        <f t="shared" si="586"/>
        <v>#N/A</v>
      </c>
      <c r="DG344" s="102" t="e">
        <f t="shared" si="587"/>
        <v>#N/A</v>
      </c>
      <c r="DH344" s="414" t="e">
        <f>IF(DH343=0,0,IF(AND(DD344&gt;charge_ELS_quasi,DE344&gt;Charge_ELS_freq,DF344&gt;charge_ELU,DG344&gt;charge_ELA,$B344&gt;NDC!$H$22-0.1+MIN(3*$DH$12,1.5)),0,1))</f>
        <v>#N/A</v>
      </c>
      <c r="DI344" s="86" t="b">
        <f t="shared" si="555"/>
        <v>0</v>
      </c>
      <c r="DJ344" s="86">
        <f t="shared" si="556"/>
        <v>0.5</v>
      </c>
      <c r="DK344" s="86">
        <f t="shared" si="557"/>
        <v>0.5</v>
      </c>
      <c r="DL344" s="30" t="e">
        <f t="shared" ca="1" si="588"/>
        <v>#DIV/0!</v>
      </c>
      <c r="DM344" s="85" t="e">
        <f ca="1">IF(CS344&lt;=Hypothèses!$V$7,Hypothèses!$W$7,IF(CS344&lt;=Hypothèses!$V$8,Hypothèses!$W$8,IF(CS344&lt;=Hypothèses!$V$9,Hypothèses!$W$9,IF(CS344&lt;=Hypothèses!$V$10,Hypothèses!$W$10,IF(CS344&lt;=Hypothèses!$V$11,Hypothèses!$W$11,IF(CS344&lt;=Hypothèses!$V$12,Hypothèses!$W$12,IF(CS344&lt;=Hypothèses!$V$13,Hypothèses!$W$13,IF(CS344&lt;=Hypothèses!$V$14,Hypothèses!$W$14,IF(CS344&lt;=Hypothèses!$V$15,Hypothèses!$W$15,IF(CS344&lt;=Hypothèses!$V$16,Hypothèses!$W$16,IF(CS344&lt;=Hypothèses!$V$17,Hypothèses!$W$17,IF(CS344&lt;=Hypothèses!$V$18,Hypothèses!$W$18,""))))))))))))</f>
        <v>#DIV/0!</v>
      </c>
      <c r="DN344" s="87" t="e">
        <f t="shared" ca="1" si="621"/>
        <v>#DIV/0!</v>
      </c>
      <c r="DO344" s="88" t="e">
        <f ca="1">IF(CS344&lt;=Hypothèses!$V$7,Hypothèses!$X$7,IF(CS344&lt;=Hypothèses!$V$8,Hypothèses!$X$8,IF(CS344&lt;=Hypothèses!$V$9,Hypothèses!$X$9,IF(CS344&lt;=Hypothèses!$V$10,Hypothèses!$X$10,IF(CS344&lt;=Hypothèses!$V$11,Hypothèses!$X$11,IF(CS344&lt;=Hypothèses!$V$12,Hypothèses!$X$12,IF(CS344&lt;=Hypothèses!$V$13,Hypothèses!$X$13,IF(CS344&lt;=Hypothèses!$V$14,Hypothèses!$X$14,IF(CS344&lt;=Hypothèses!$V$15,Hypothèses!$X$15,IF(CS344&lt;=Hypothèses!$V$16,Hypothèses!$X$16,IF(CS344&lt;=Hypothèses!$U$17,Hypothèses!$W$17,IF(CS344&lt;=Hypothèses!$U$18,Hypothèses!$W$18,""))))))))))))</f>
        <v>#DIV/0!</v>
      </c>
      <c r="DP344" s="95" t="e">
        <f t="shared" ca="1" si="589"/>
        <v>#DIV/0!</v>
      </c>
      <c r="DQ344" s="101" t="e">
        <f t="shared" si="628"/>
        <v>#N/A</v>
      </c>
      <c r="DR344" s="91" t="e">
        <f t="shared" si="558"/>
        <v>#N/A</v>
      </c>
      <c r="DS344" s="30" t="e">
        <f t="shared" si="610"/>
        <v>#N/A</v>
      </c>
      <c r="DT344" s="30" t="e">
        <f t="shared" si="611"/>
        <v>#N/A</v>
      </c>
      <c r="DU344" s="31" t="e">
        <f>IF(OR(Hypothèses!$B$4=17,Hypothèses!$B$4=18,Hypothèses!$B$4=19,Hypothèses!$B$4=20),
IF($D344="Pressio.",
IF(OR($E344=3,$E344=1,$E344=4),DT344,DS344),
IF($D344="Pénétro.",
IF(OR($E344=3,$E344=1,$E344=4),DT344,DS344))),IF($D344="Pressio.",
IF($E344=3,DT344,DS344),
IF($D344="Pénétro.",
IF($E344=4,DT344,DS344))))</f>
        <v>#N/A</v>
      </c>
      <c r="DV344" s="31" t="e">
        <f>(IF(OR(Hypothèses!$B$4=17,Hypothèses!$B$4=18,Hypothèses!$B$4=19,Hypothèses!$B$4=20),
IF($D344="Pressio.",
IF(OR($E344=3,$E344=1,$E344=4),(PI()*DV$12^2)/4*(DR344*$W344*1000)/($H344*$B$5),(PI()*DV$12^2)/4*(DR344*$W344*1000)/($G344*$B$5)),
IF($D344="Pénétro.",
IF(OR($E344=4,$E344=1,$E344=5),(PI()*DV$12^2)/4*(DR344*$W344*1000)/($H344*$B$5),(PI()*DV$12^2)/4*(DR344*$W344*1000)/($G344*$B$5)))),
IF($D344="Pressio.",
IF($E344=3,(PI()*DV$12^2)/4*(DR344*$W344*1000)/($H344*$B$5),(PI()*DV$12^2)/4*(DR344*$W344*1000)/($G344*$B$5)),
IF($D344="Pénétro.",
IF($E344=4,(PI()*DV$12^2)/4*(DR344*$W344*1000)/($H344*$B$5),(PI()*DV$12^2)/4*(DR344*$W344*1000)/($G344*$B$5))))))/10</f>
        <v>#N/A</v>
      </c>
      <c r="DW344" s="102" t="e">
        <f>(VLOOKUP($B$3,'Coeff EC7'!$T$39:$X$59,2,0)*DU344+VLOOKUP($B$3,'Coeff EC7'!$T$65:$X$85,2,0)*Model0.1C!DV344)/1.1</f>
        <v>#N/A</v>
      </c>
      <c r="DX344" s="102" t="e">
        <f>(VLOOKUP($B$3,'Coeff EC7'!$T$39:$X$59,3,0)*DU344+VLOOKUP($B$3,'Coeff EC7'!$T$65:$X$85,3,0)*Model0.1C!DV344)/0.9</f>
        <v>#N/A</v>
      </c>
      <c r="DY344" s="102" t="e">
        <f t="shared" si="590"/>
        <v>#N/A</v>
      </c>
      <c r="DZ344" s="102" t="e">
        <f t="shared" si="591"/>
        <v>#N/A</v>
      </c>
      <c r="EA344" s="414" t="e">
        <f>IF(EA343=0,0,IF(AND(DW344&gt;charge_ELS_quasi,DX344&gt;Charge_ELS_freq,DY344&gt;charge_ELU,DZ344&gt;charge_ELA,$B344&gt;NDC!$H$22-0.1+MIN(3*$EA$12,1.5)),0,1))</f>
        <v>#N/A</v>
      </c>
      <c r="EB344" s="86" t="b">
        <f t="shared" si="559"/>
        <v>0</v>
      </c>
      <c r="EC344" s="418">
        <f t="shared" si="560"/>
        <v>0.51</v>
      </c>
      <c r="ED344" s="86">
        <f t="shared" si="561"/>
        <v>0.51</v>
      </c>
      <c r="EE344" s="30" t="e">
        <f t="shared" ca="1" si="592"/>
        <v>#DIV/0!</v>
      </c>
      <c r="EF344" s="85" t="e">
        <f ca="1">IF(DL344&lt;=Hypothèses!$V$7,Hypothèses!$W$7,IF(DL344&lt;=Hypothèses!$V$8,Hypothèses!$W$8,IF(DL344&lt;=Hypothèses!$V$9,Hypothèses!$W$9,IF(DL344&lt;=Hypothèses!$V$10,Hypothèses!$W$10,IF(DL344&lt;=Hypothèses!$V$11,Hypothèses!$W$11,IF(DL344&lt;=Hypothèses!$V$12,Hypothèses!$W$12,IF(DL344&lt;=Hypothèses!$V$13,Hypothèses!$W$13,IF(DL344&lt;=Hypothèses!$V$14,Hypothèses!$W$14,IF(DL344&lt;=Hypothèses!$V$15,Hypothèses!$W$15,IF(DL344&lt;=Hypothèses!$V$16,Hypothèses!$W$16,IF(DL344&lt;=Hypothèses!$V$17,Hypothèses!$W$17,IF(DL344&lt;=Hypothèses!$V$18,Hypothèses!$W$18,""))))))))))))</f>
        <v>#DIV/0!</v>
      </c>
      <c r="EG344" s="87" t="e">
        <f t="shared" ca="1" si="622"/>
        <v>#DIV/0!</v>
      </c>
      <c r="EH344" s="88" t="e">
        <f ca="1">IF(DL344&lt;=Hypothèses!$V$7,Hypothèses!$X$7,IF(DL344&lt;=Hypothèses!$V$8,Hypothèses!$X$8,IF(DL344&lt;=Hypothèses!$V$9,Hypothèses!$X$9,IF(DL344&lt;=Hypothèses!$V$10,Hypothèses!$X$10,IF(DL344&lt;=Hypothèses!$V$11,Hypothèses!$X$11,IF(DL344&lt;=Hypothèses!$V$12,Hypothèses!$X$12,IF(DL344&lt;=Hypothèses!$V$13,Hypothèses!$X$13,IF(DL344&lt;=Hypothèses!$V$14,Hypothèses!$X$14,IF(DL344&lt;=Hypothèses!$V$15,Hypothèses!$X$15,IF(DL344&lt;=Hypothèses!$V$16,Hypothèses!$X$16,IF(DL344&lt;=Hypothèses!$U$17,Hypothèses!$W$17,IF(DL344&lt;=Hypothèses!$U$18,Hypothèses!$W$18,""))))))))))))</f>
        <v>#DIV/0!</v>
      </c>
      <c r="EI344" s="95" t="e">
        <f t="shared" ca="1" si="593"/>
        <v>#DIV/0!</v>
      </c>
      <c r="EJ344" s="101" t="e">
        <f t="shared" si="629"/>
        <v>#N/A</v>
      </c>
      <c r="EK344" s="91" t="e">
        <f t="shared" si="562"/>
        <v>#N/A</v>
      </c>
      <c r="EL344" s="30" t="e">
        <f t="shared" si="612"/>
        <v>#N/A</v>
      </c>
      <c r="EM344" s="30" t="e">
        <f t="shared" si="613"/>
        <v>#N/A</v>
      </c>
      <c r="EN344" s="31" t="e">
        <f>IF(OR(Hypothèses!$B$4=17,Hypothèses!$B$4=18,Hypothèses!$B$4=19,Hypothèses!$B$4=20),
IF($D344="Pressio.",
IF(OR($E344=3,$E344=1,$E344=4),EM344,EL344),
IF($D344="Pénétro.",
IF(OR($E344=3,$E344=1,$E344=4),EM344,EL344))),IF($D344="Pressio.",
IF($E344=3,EM344,EL344),
IF($D344="Pénétro.",
IF($E344=4,EM344,EL344))))</f>
        <v>#N/A</v>
      </c>
      <c r="EO344" s="31" t="e">
        <f>(IF(OR(Hypothèses!$B$4=17,Hypothèses!$B$4=18,Hypothèses!$B$4=19,Hypothèses!$B$4=20),
IF($D344="Pressio.",
IF(OR($E344=3,$E344=1,$E344=4),(PI()*EO$12^2)/4*(EK344*$W344*1000)/($H344*$B$5),(PI()*EO$12^2)/4*(EK344*$W344*1000)/($G344*$B$5)),
IF($D344="Pénétro.",
IF(OR($E344=4,$E344=1,$E344=5),(PI()*EO$12^2)/4*(EK344*$W344*1000)/($H344*$B$5),(PI()*EO$12^2)/4*(EK344*$W344*1000)/($G344*$B$5)))),
IF($D344="Pressio.",
IF($E344=3,(PI()*EO$12^2)/4*(EK344*$W344*1000)/($H344*$B$5),(PI()*EO$12^2)/4*(EK344*$W344*1000)/($G344*$B$5)),
IF($D344="Pénétro.",
IF($E344=4,(PI()*EO$12^2)/4*(EK344*$W344*1000)/($H344*$B$5),(PI()*EO$12^2)/4*(EK344*$W344*1000)/($G344*$B$5))))))/10</f>
        <v>#N/A</v>
      </c>
      <c r="EP344" s="102" t="e">
        <f>(VLOOKUP($B$3,'Coeff EC7'!$T$39:$X$59,2,0)*EN344+VLOOKUP($B$3,'Coeff EC7'!$T$65:$X$85,2,0)*Model0.1C!EO344)/1.1</f>
        <v>#N/A</v>
      </c>
      <c r="EQ344" s="102" t="e">
        <f>(VLOOKUP($B$3,'Coeff EC7'!$T$39:$X$59,3,0)*EN344+VLOOKUP($B$3,'Coeff EC7'!$T$65:$X$85,3,0)*Model0.1C!EO344)/0.9</f>
        <v>#N/A</v>
      </c>
      <c r="ER344" s="102" t="e">
        <f t="shared" si="594"/>
        <v>#N/A</v>
      </c>
      <c r="ES344" s="102" t="e">
        <f t="shared" si="595"/>
        <v>#N/A</v>
      </c>
      <c r="ET344" s="414" t="e">
        <f>IF(ET343=0,0,IF(AND(EP344&gt;charge_ELS_quasi,EQ344&gt;Charge_ELS_freq,ER344&gt;charge_ELU,ES344&gt;charge_ELA,$B344&gt;NDC!$H$22-0.1+MIN(3*$ET$12,1.5)),0,1))</f>
        <v>#N/A</v>
      </c>
      <c r="EU344" s="86" t="b">
        <f t="shared" si="563"/>
        <v>0</v>
      </c>
      <c r="EV344" s="86">
        <f t="shared" si="564"/>
        <v>0.61</v>
      </c>
      <c r="EW344" s="86">
        <f t="shared" si="565"/>
        <v>0.61</v>
      </c>
      <c r="EX344" s="30" t="e">
        <f t="shared" ca="1" si="596"/>
        <v>#DIV/0!</v>
      </c>
      <c r="EY344" s="85" t="e">
        <f ca="1">IF(EE344&lt;=Hypothèses!$V$7,Hypothèses!$W$7,IF(EE344&lt;=Hypothèses!$V$8,Hypothèses!$W$8,IF(EE344&lt;=Hypothèses!$V$9,Hypothèses!$W$9,IF(EE344&lt;=Hypothèses!$V$10,Hypothèses!$W$10,IF(EE344&lt;=Hypothèses!$V$11,Hypothèses!$W$11,IF(EE344&lt;=Hypothèses!$V$12,Hypothèses!$W$12,IF(EE344&lt;=Hypothèses!$V$13,Hypothèses!$W$13,IF(EE344&lt;=Hypothèses!$V$14,Hypothèses!$W$14,IF(EE344&lt;=Hypothèses!$V$15,Hypothèses!$W$15,IF(EE344&lt;=Hypothèses!$V$16,Hypothèses!$W$16,IF(EE344&lt;=Hypothèses!$V$17,Hypothèses!$W$17,IF(EE344&lt;=Hypothèses!$V$18,Hypothèses!$W$18,""))))))))))))</f>
        <v>#DIV/0!</v>
      </c>
      <c r="EZ344" s="87" t="e">
        <f t="shared" ca="1" si="623"/>
        <v>#DIV/0!</v>
      </c>
      <c r="FA344" s="88" t="e">
        <f ca="1">IF(EE344&lt;=Hypothèses!$V$7,Hypothèses!$X$7,IF(EE344&lt;=Hypothèses!$V$8,Hypothèses!$X$8,IF(EE344&lt;=Hypothèses!$V$9,Hypothèses!$X$9,IF(EE344&lt;=Hypothèses!$V$10,Hypothèses!$X$10,IF(EE344&lt;=Hypothèses!$V$11,Hypothèses!$X$11,IF(EE344&lt;=Hypothèses!$V$12,Hypothèses!$X$12,IF(EE344&lt;=Hypothèses!$V$13,Hypothèses!$X$13,IF(EE344&lt;=Hypothèses!$V$14,Hypothèses!$X$14,IF(EE344&lt;=Hypothèses!$V$15,Hypothèses!$X$15,IF(EE344&lt;=Hypothèses!$V$16,Hypothèses!$X$16,IF(EE344&lt;=Hypothèses!$U$17,Hypothèses!$W$17,IF(EE344&lt;=Hypothèses!$U$18,Hypothèses!$W$18,""))))))))))))</f>
        <v>#DIV/0!</v>
      </c>
      <c r="FB344" s="95" t="e">
        <f t="shared" ca="1" si="597"/>
        <v>#DIV/0!</v>
      </c>
      <c r="FC344" s="101" t="e">
        <f t="shared" si="630"/>
        <v>#N/A</v>
      </c>
      <c r="FD344" s="91" t="e">
        <f t="shared" si="566"/>
        <v>#N/A</v>
      </c>
      <c r="FE344" s="30" t="e">
        <f t="shared" si="614"/>
        <v>#N/A</v>
      </c>
      <c r="FF344" s="30" t="e">
        <f t="shared" si="615"/>
        <v>#N/A</v>
      </c>
      <c r="FG344" s="31" t="e">
        <f>IF(OR(Hypothèses!$B$4=17,Hypothèses!$B$4=18,Hypothèses!$B$4=19,Hypothèses!$B$4=20),
IF($D344="Pressio.",
IF(OR($E344=3,$E344=1,$E344=4),FF344,FE344),
IF($D344="Pénétro.",
IF(OR($E344=3,$E344=1,$E344=4),FF344,FE344))),IF($D344="Pressio.",
IF($E344=3,FF344,FE344),
IF($D344="Pénétro.",
IF($E344=4,FF344,FE344))))</f>
        <v>#N/A</v>
      </c>
      <c r="FH344" s="31" t="e">
        <f>(IF(OR(Hypothèses!$B$4=17,Hypothèses!$B$4=18,Hypothèses!$B$4=19,Hypothèses!$B$4=20),
IF($D344="Pressio.",
IF(OR($E344=3,$E344=1,$E344=4),(PI()*FH$12^2)/4*(FD344*$W344*1000)/($H344*$B$5),(PI()*FH$12^2)/4*(FD344*$W344*1000)/($G344*$B$5)),
IF($D344="Pénétro.",
IF(OR($E344=4,$E344=1,$E344=5),(PI()*FH$12^2)/4*(FD344*$W344*1000)/($H344*$B$5),(PI()*FH$12^2)/4*(FD344*$W344*1000)/($G344*$B$5)))),
IF($D344="Pressio.",
IF($E344=3,(PI()*FH$12^2)/4*(FD344*$W344*1000)/($H344*$B$5),(PI()*FH$12^2)/4*(FD344*$W344*1000)/($G344*$B$5)),
IF($D344="Pénétro.",
IF($E344=4,(PI()*FH$12^2)/4*(FD344*$W344*1000)/($H344*$B$5),(PI()*FH$12^2)/4*(FD344*$W344*1000)/($G344*$B$5))))))/10</f>
        <v>#N/A</v>
      </c>
      <c r="FI344" s="102" t="e">
        <f>(VLOOKUP($B$3,'Coeff EC7'!$T$39:$X$59,2,0)*FG344+VLOOKUP($B$3,'Coeff EC7'!$T$65:$X$85,2,0)*Model0.1C!FH344)/1.1</f>
        <v>#N/A</v>
      </c>
      <c r="FJ344" s="102" t="e">
        <f>(VLOOKUP($B$3,'Coeff EC7'!$T$39:$X$59,3,0)*FG344+VLOOKUP($B$3,'Coeff EC7'!$T$65:$X$85,3,0)*Model0.1C!FH344)/0.9</f>
        <v>#N/A</v>
      </c>
      <c r="FK344" s="102" t="e">
        <f t="shared" si="598"/>
        <v>#N/A</v>
      </c>
      <c r="FL344" s="102" t="e">
        <f t="shared" si="599"/>
        <v>#N/A</v>
      </c>
      <c r="FM344" s="414" t="e">
        <f>IF(FM343=0,0,IF(AND(FI344&gt;charge_ELS_quasi,FJ344&gt;Charge_ELS_freq,FK344&gt;charge_ELU,FL344&gt;charge_ELA,$B344&gt;NDC!$H$22-0.1+MIN(3*$FM$12,1.5)),0,1))</f>
        <v>#N/A</v>
      </c>
    </row>
    <row r="345" spans="1:169">
      <c r="A345" s="96">
        <f t="shared" si="567"/>
        <v>66.800000000001887</v>
      </c>
      <c r="B345" s="97">
        <v>33.200000000000003</v>
      </c>
      <c r="C345" s="81">
        <f>IF(B345&lt;=Hypothèses!$C$7,Hypothèses!$A$7,IF(B345&lt;=Hypothèses!$C$8,Hypothèses!$A$8,IF(B345&lt;=Hypothèses!$C$9,Hypothèses!$A$9,IF(B345&lt;=Hypothèses!$C$10,Hypothèses!$A$10,IF(B345&lt;=Hypothèses!$C$11,Hypothèses!$A$11,IF(B345&lt;=Hypothèses!$C$12,Hypothèses!$A$12,IF(B345&lt;=Hypothèses!$C$13,Hypothèses!$A$13,IF(B345&lt;=Hypothèses!$C$14,Hypothèses!$A$14,IF(B345&lt;=Hypothèses!$C$15,Hypothèses!$A$15,IF(B345&lt;=Hypothèses!$C$16,Hypothèses!$A$16,IF(B345&lt;=Hypothèses!$C$17,Hypothèses!$A$17,IF(B345&lt;=Hypothèses!$C$18,Hypothèses!$A$18,C344))))))))))))</f>
        <v>11</v>
      </c>
      <c r="D345" s="82" t="str">
        <f>IF(B345&lt;=Hypothèses!$C$7,Hypothèses!$R$7,IF(B345&lt;=Hypothèses!$C$8,Hypothèses!$R$8,IF(B345&lt;=Hypothèses!$C$9,Hypothèses!$R$9,IF(B345&lt;=Hypothèses!$C$10,Hypothèses!$R$10,IF(B345&lt;=Hypothèses!$C$11,Hypothèses!$R$11,IF(B345&lt;=Hypothèses!$C$12,Hypothèses!$R$12,IF(B345&lt;=Hypothèses!$C$13,Hypothèses!$R$13,IF(B345&lt;=Hypothèses!$C$14,Hypothèses!$R$14,IF(B345&lt;=Hypothèses!$C$15,Hypothèses!$R$15,IF(B345&lt;=Hypothèses!$C$16,Hypothèses!$R$16,IF(B345&lt;=Hypothèses!$C$17,Hypothèses!$R$17,IF(B345&lt;=Hypothèses!$C$18,Hypothèses!$R$18,D344))))))))))))</f>
        <v>Pressio.</v>
      </c>
      <c r="E345" s="82" t="e">
        <f>IF(B345&lt;=Hypothèses!$C$7,Hypothèses!$G$7,IF(B345&lt;=Hypothèses!$C$8,Hypothèses!$G$8,IF(B345&lt;=Hypothèses!$C$9,Hypothèses!$G$9,IF(B345&lt;=Hypothèses!$C$10,Hypothèses!$G$10,IF(B345&lt;=Hypothèses!$C$11,Hypothèses!$G$11,IF(B345&lt;=Hypothèses!$C$12,Hypothèses!$G$12,IF(B345&lt;=Hypothèses!$C$13,Hypothèses!$G$13,IF(B345&lt;=Hypothèses!$C$14,Hypothèses!$G$14,IF(B345&lt;=Hypothèses!$C$15,Hypothèses!$G$15,IF(B345&lt;=Hypothèses!$C$16,Hypothèses!$G$16,IF(B345&lt;=Hypothèses!$C$17,Hypothèses!$G$17,IF(B345&lt;=Hypothèses!$C$18,Hypothèses!$G$18,E344))))))))))))</f>
        <v>#N/A</v>
      </c>
      <c r="F345" s="82" t="str">
        <f>IF(B345&lt;=Hypothèses!$C$7,Hypothèses!$F$7,IF(B345&lt;=Hypothèses!$C$8,Hypothèses!$F$8,IF(B345&lt;=Hypothèses!$C$9,Hypothèses!$F$9,IF(B345&lt;=Hypothèses!$C$10,Hypothèses!$F$10,IF(B345&lt;=Hypothèses!$C$11,Hypothèses!$F$11,IF(B345&lt;=Hypothèses!$C$12,Hypothèses!$F$12,IF(B345&lt;=Hypothèses!$C$13,Hypothèses!$F$13,IF(B345&lt;=Hypothèses!$C$14,Hypothèses!$F$14,IF(B345&lt;=Hypothèses!$C$15,Hypothèses!$F$15,IF(B345&lt;=Hypothèses!$C$16,Hypothèses!$F$16,IF(B345&lt;=Hypothèses!$C$17,Hypothèses!$F$17,IF(B345&lt;=Hypothèses!$C$18,Hypothèses!$F$18,F344))))))))))))</f>
        <v/>
      </c>
      <c r="G345" s="91">
        <f t="array" ref="G345">INDEX('Coeff EC7'!$U$7:$X$27,
MATCH(Model0.1C!$B$3,'Coeff EC7'!$T$7:$T$27,0),
MATCH(Model0.1C!$D345&amp;Model0.1C!$B$4,
'Coeff EC7'!$U$6:$X$6&amp;
'Coeff EC7'!$U$5:$X$5,0))</f>
        <v>1.1499999999999999</v>
      </c>
      <c r="H345" s="91">
        <f t="array" ref="H345">INDEX('Coeff EC7'!$Y$7:$AB$27,
MATCH(Model0.1C!$B$3,'Coeff EC7'!$T$7:$T$27,0),
MATCH(Model0.1C!$D345&amp;Model0.1C!$B$4,
'Coeff EC7'!$Y$6:$AB$6&amp;
'Coeff EC7'!$Y$5:$AB$5,0))</f>
        <v>1.4</v>
      </c>
      <c r="I345" s="83" t="e">
        <f>IF(B345&lt;=Hypothèses!$C$7,Hypothèses!$P$7,IF(B345&lt;=Hypothèses!$C$8,Hypothèses!$P$8,IF(B345&lt;=Hypothèses!$C$9,Hypothèses!$P$9,IF(B345&lt;=Hypothèses!$C$10,Hypothèses!$P$10,IF(B345&lt;=Hypothèses!$C$11,Hypothèses!$P$11,IF(B345&lt;=Hypothèses!$C$12,Hypothèses!$P$12,IF(B345&lt;=Hypothèses!$C$13,Hypothèses!$P$13,IF(B345&lt;=Hypothèses!$C$14,Hypothèses!$P$14,IF(B345&lt;=Hypothèses!$C$15,Hypothèses!$P$15,IF(B345&lt;=Hypothèses!$C$16,Hypothèses!$P$16,IF(B345&lt;=Hypothèses!$C$17,Hypothèses!$P$17,IF(B345&lt;=Hypothèses!$C$18,Hypothèses!$P$18,I344))))))))))))</f>
        <v>#N/A</v>
      </c>
      <c r="J345" s="91" t="e">
        <f t="array" ref="J345">INDEX('Coeff EC7'!$D$33:$Q$33,1,MATCH(D345&amp;E345,'Coeff EC7'!$D$31:$Q$31&amp;'Coeff EC7'!$D$32:$Q$32,0))</f>
        <v>#N/A</v>
      </c>
      <c r="K345" s="91" t="e">
        <f t="array" ref="K345">INDEX('Coeff EC7'!$D$34:$Q$34,1,MATCH(D345&amp;E345,'Coeff EC7'!$D$31:$Q$31&amp;'Coeff EC7'!$D$32:$Q$32,0))</f>
        <v>#N/A</v>
      </c>
      <c r="L345" s="91" t="e">
        <f t="array" ref="L345">INDEX('Coeff EC7'!$D$35:$Q$35,1,MATCH(D345&amp;E345,'Coeff EC7'!$D$31:$Q$31&amp;'Coeff EC7'!$D$32:$Q$32,0))</f>
        <v>#N/A</v>
      </c>
      <c r="M345" s="98" t="e">
        <f t="shared" si="531"/>
        <v>#N/A</v>
      </c>
      <c r="N345" s="99" t="e">
        <f t="array" ref="N345">INDEX('Coeff EC7'!$D$7:$Q$27,MATCH($B$3,'Coeff EC7'!$C$7:$C$27,0),MATCH(D345&amp;E345,'Coeff EC7'!$D$5:$Q$5&amp;'Coeff EC7'!$D$6:$Q$6,0))</f>
        <v>#N/A</v>
      </c>
      <c r="O345" s="99" t="e">
        <f t="array" ref="O345">INDEX('Coeff EC7'!$D$41:$Q$61,MATCH($B$3,'Coeff EC7'!$C$41:$C$61,0),MATCH(D345&amp;E345,'Coeff EC7'!$D$39:$Q$39&amp;'Coeff EC7'!$D$40:$Q$40,0))</f>
        <v>#N/A</v>
      </c>
      <c r="P345" s="30" t="e">
        <f t="shared" si="568"/>
        <v>#N/A</v>
      </c>
      <c r="Q345" s="100" t="e">
        <f t="shared" si="533"/>
        <v>#N/A</v>
      </c>
      <c r="R345" s="86" t="b">
        <f t="shared" si="534"/>
        <v>0</v>
      </c>
      <c r="S345" s="86">
        <f t="shared" si="532"/>
        <v>0.5</v>
      </c>
      <c r="T345" s="86">
        <f t="shared" si="535"/>
        <v>0.5</v>
      </c>
      <c r="U345" s="30" t="e">
        <f t="shared" ca="1" si="569"/>
        <v>#DIV/0!</v>
      </c>
      <c r="V345" s="85" t="str">
        <f>IF(B345&lt;=Hypothèses!$V$7,Hypothèses!$W$7,IF(B345&lt;=Hypothèses!$V$8,Hypothèses!$W$8,IF(B345&lt;=Hypothèses!$V$9,Hypothèses!$W$9,IF(B345&lt;=Hypothèses!$V$10,Hypothèses!$W$10,IF(B345&lt;=Hypothèses!$V$11,Hypothèses!$W$11,IF(B345&lt;=Hypothèses!$V$12,Hypothèses!$W$12,IF(B345&lt;=Hypothèses!$V$13,Hypothèses!$W$13,IF(B345&lt;=Hypothèses!$V$14,Hypothèses!$W$14,IF(B345&lt;=Hypothèses!$V$15,Hypothèses!$W$15,IF(B345&lt;=Hypothèses!$V$16,Hypothèses!$W$16,IF(B345&lt;=Hypothèses!$V$17,Hypothèses!$W$17,IF(B345&lt;=Hypothèses!$V$18,Hypothèses!$W$18,""))))))))))))</f>
        <v/>
      </c>
      <c r="W345" s="87" t="e">
        <f t="shared" ca="1" si="616"/>
        <v>#DIV/0!</v>
      </c>
      <c r="X345" s="88" t="str">
        <f>IF(B345&lt;=Hypothèses!$V$7,Hypothèses!$X$7,IF(B345&lt;=Hypothèses!$V$8,Hypothèses!$X$8,IF(B345&lt;=Hypothèses!$V$9,Hypothèses!$X$9,IF(B345&lt;=Hypothèses!$V$10,Hypothèses!$X$10,IF(B345&lt;=Hypothèses!$V$11,Hypothèses!$X$11,IF(B345&lt;=Hypothèses!$V$12,Hypothèses!$X$12,IF(B345&lt;=Hypothèses!$V$13,Hypothèses!$X$13,IF(B345&lt;=Hypothèses!$V$14,Hypothèses!$X$14,IF(B345&lt;=Hypothèses!$V$15,Hypothèses!$X$15,IF(B345&lt;=Hypothèses!$V$16,Hypothèses!$X$16,IF(B345&lt;=Hypothèses!$U$17,Hypothèses!$W$17,IF(B345&lt;=Hypothèses!$U$18,Hypothèses!$W$18,""))))))))))))</f>
        <v/>
      </c>
      <c r="Y345" s="95" t="e">
        <f t="shared" ca="1" si="536"/>
        <v>#DIV/0!</v>
      </c>
      <c r="Z345" s="101" t="e">
        <f t="shared" si="537"/>
        <v>#N/A</v>
      </c>
      <c r="AA345" s="91" t="e">
        <f t="shared" si="538"/>
        <v>#N/A</v>
      </c>
      <c r="AB345" s="30" t="e">
        <f t="shared" si="600"/>
        <v>#N/A</v>
      </c>
      <c r="AC345" s="30" t="e">
        <f t="shared" si="601"/>
        <v>#N/A</v>
      </c>
      <c r="AD345" s="31" t="e">
        <f>IF(OR(Hypothèses!$B$4=17,Hypothèses!$B$4=18,Hypothèses!$B$4=19,Hypothèses!$B$4=20),
IF($D345="Pressio.",
IF(OR($E345=3,$E345=1,$E345=4),AC345,AB345),
IF($D345="Pénétro.",
IF(OR($E345=3,$E345=1,$E345=4),AC345,AB345))),IF($D345="Pressio.",
IF($E345=3,AC345,AB345),
IF($D345="Pénétro.",
IF($E345=4,AC345,AB345))))</f>
        <v>#N/A</v>
      </c>
      <c r="AE345" s="31" t="e">
        <f>(IF(OR(Hypothèses!$B$4=17,Hypothèses!$B$4=18,Hypothèses!$B$4=19,Hypothèses!$B$4=20),
IF($D345="Pressio.",
IF(OR($E345=3,$E345=1,$E345=4),(PI()*AE$12^2)/4*(AA345*$W345*1000)/($H345*$B$5),(PI()*AE$12^2)/4*(AA345*$W345*1000)/($G345*$B$5)),
IF($D345="Pénétro.",
IF(OR($E345=4,$E345=1,$E345=5),(PI()*AE$12^2)/4*(AA345*$W345*1000)/($H345*$B$5),(PI()*AE$12^2)/4*(AA345*$W345*1000)/($G345*$B$5)))),
IF($D345="Pressio.",
IF($E345=3,(PI()*AE$12^2)/4*(AA345*$W345*1000)/($H345*$B$5),(PI()*AE$12^2)/4*(AA345*$W345*1000)/($G345*$B$5)),
IF($D345="Pénétro.",
IF($E345=4,(PI()*AE$12^2)/4*(AA345*$W345*1000)/($H345*$B$5),(PI()*AE$12^2)/4*(AA345*$W345*1000)/($G345*$B$5))))))/10</f>
        <v>#N/A</v>
      </c>
      <c r="AF345" s="102" t="e">
        <f>(VLOOKUP($B$3,'Coeff EC7'!$T$39:$X$59,2,0)*AD345+VLOOKUP($B$3,'Coeff EC7'!$T$65:$X$85,2,0)*Model0.1C!AE345)/1.1</f>
        <v>#N/A</v>
      </c>
      <c r="AG345" s="102" t="e">
        <f>(VLOOKUP($B$3,'Coeff EC7'!$T$39:$X$59,3,0)*AD345+VLOOKUP($B$3,'Coeff EC7'!$T$65:$X$85,3,0)*Model0.1C!AE345)/0.9</f>
        <v>#N/A</v>
      </c>
      <c r="AH345" s="102" t="e">
        <f t="shared" si="539"/>
        <v>#N/A</v>
      </c>
      <c r="AI345" s="102" t="e">
        <f t="shared" si="540"/>
        <v>#N/A</v>
      </c>
      <c r="AJ345" s="414" t="e">
        <f>IF(AJ344=0,0,IF(AND(AF345&gt;charge_ELS_quasi,AG345&gt;Charge_ELS_freq,AH345&gt;charge_ELU,AI345&gt;charge_ELA,$B345&gt;NDC!$H$22-0.1+MIN(3*$AJ$12,1.5)),0,1))</f>
        <v>#N/A</v>
      </c>
      <c r="AK345" s="86" t="b">
        <f t="shared" si="541"/>
        <v>0</v>
      </c>
      <c r="AL345" s="86">
        <f t="shared" si="570"/>
        <v>0.5</v>
      </c>
      <c r="AM345" s="86">
        <f t="shared" si="542"/>
        <v>0.5</v>
      </c>
      <c r="AN345" s="30" t="e">
        <f t="shared" ca="1" si="571"/>
        <v>#DIV/0!</v>
      </c>
      <c r="AO345" s="85" t="e">
        <f ca="1">IF(U345&lt;=Hypothèses!$V$7,Hypothèses!$W$7,IF(U345&lt;=Hypothèses!$V$8,Hypothèses!$W$8,IF(U345&lt;=Hypothèses!$V$9,Hypothèses!$W$9,IF(U345&lt;=Hypothèses!$V$10,Hypothèses!$W$10,IF(U345&lt;=Hypothèses!$V$11,Hypothèses!$W$11,IF(U345&lt;=Hypothèses!$V$12,Hypothèses!$W$12,IF(U345&lt;=Hypothèses!$V$13,Hypothèses!$W$13,IF(U345&lt;=Hypothèses!$V$14,Hypothèses!$W$14,IF(U345&lt;=Hypothèses!$V$15,Hypothèses!$W$15,IF(U345&lt;=Hypothèses!$V$16,Hypothèses!$W$16,IF(U345&lt;=Hypothèses!$V$17,Hypothèses!$W$17,IF(U345&lt;=Hypothèses!$V$18,Hypothèses!$W$18,""))))))))))))</f>
        <v>#DIV/0!</v>
      </c>
      <c r="AP345" s="87" t="e">
        <f t="shared" ca="1" si="617"/>
        <v>#DIV/0!</v>
      </c>
      <c r="AQ345" s="88" t="e">
        <f ca="1">IF(U345&lt;=Hypothèses!$V$7,Hypothèses!$X$7,IF(U345&lt;=Hypothèses!$V$8,Hypothèses!$X$8,IF(U345&lt;=Hypothèses!$V$9,Hypothèses!$X$9,IF(U345&lt;=Hypothèses!$V$10,Hypothèses!$X$10,IF(U345&lt;=Hypothèses!$V$11,Hypothèses!$X$11,IF(U345&lt;=Hypothèses!$V$12,Hypothèses!$X$12,IF(U345&lt;=Hypothèses!$V$13,Hypothèses!$X$13,IF(U345&lt;=Hypothèses!$V$14,Hypothèses!$X$14,IF(U345&lt;=Hypothèses!$V$15,Hypothèses!$X$15,IF(U345&lt;=Hypothèses!$V$16,Hypothèses!$X$16,IF(U345&lt;=Hypothèses!$U$17,Hypothèses!$W$17,IF(U345&lt;=Hypothèses!$U$18,Hypothèses!$W$18,""))))))))))))</f>
        <v>#DIV/0!</v>
      </c>
      <c r="AR345" s="95" t="e">
        <f t="shared" ca="1" si="572"/>
        <v>#DIV/0!</v>
      </c>
      <c r="AS345" s="101" t="e">
        <f t="shared" si="624"/>
        <v>#N/A</v>
      </c>
      <c r="AT345" s="91" t="e">
        <f t="shared" si="543"/>
        <v>#N/A</v>
      </c>
      <c r="AU345" s="30" t="e">
        <f t="shared" si="602"/>
        <v>#N/A</v>
      </c>
      <c r="AV345" s="30" t="e">
        <f t="shared" si="603"/>
        <v>#N/A</v>
      </c>
      <c r="AW345" s="31" t="e">
        <f>IF(OR(Hypothèses!$B$4=17,Hypothèses!$B$4=18,Hypothèses!$B$4=19,Hypothèses!$B$4=20),
IF($D345="Pressio.",
IF(OR($E345=3,$E345=1,$E345=4),AV345,AU345),
IF($D345="Pénétro.",
IF(OR($E345=3,$E345=1,$E345=4),AV345,AU345))),IF($D345="Pressio.",
IF($E345=3,AV345,AU345),
IF($D345="Pénétro.",
IF($E345=4,AV345,AU345))))</f>
        <v>#N/A</v>
      </c>
      <c r="AX345" s="31" t="e">
        <f>(IF(OR(Hypothèses!$B$4=17,Hypothèses!$B$4=18,Hypothèses!$B$4=19,Hypothèses!$B$4=20),
IF($D345="Pressio.",
IF(OR($E345=3,$E345=1,$E345=4),(PI()*AX$12^2)/4*(AT345*$W345*1000)/($H345*$B$5),(PI()*AX$12^2)/4*(AT345*$W345*1000)/($G345*$B$5)),
IF($D345="Pénétro.",
IF(OR($E345=4,$E345=1,$E345=5),(PI()*AX$12^2)/4*(AT345*$W345*1000)/($H345*$B$5),(PI()*AX$12^2)/4*(AT345*$W345*1000)/($G345*$B$5)))),
IF($D345="Pressio.",
IF($E345=3,(PI()*AX$12^2)/4*(AT345*$W345*1000)/($H345*$B$5),(PI()*AX$12^2)/4*(AT345*$W345*1000)/($G345*$B$5)),
IF($D345="Pénétro.",
IF($E345=4,(PI()*AX$12^2)/4*(AT345*$W345*1000)/($H345*$B$5),(PI()*AX$12^2)/4*(AT345*$W345*1000)/($G345*$B$5))))))/10</f>
        <v>#N/A</v>
      </c>
      <c r="AY345" s="102" t="e">
        <f>(VLOOKUP($B$3,'Coeff EC7'!$T$39:$X$59,2,0)*AW345+VLOOKUP($B$3,'Coeff EC7'!$T$65:$X$85,2,0)*Model0.1C!AX345)/1.1</f>
        <v>#N/A</v>
      </c>
      <c r="AZ345" s="102" t="e">
        <f>(VLOOKUP($B$3,'Coeff EC7'!$T$39:$X$59,3,0)*AW345+VLOOKUP($B$3,'Coeff EC7'!$T$65:$X$85,3,0)*Model0.1C!AX345)/0.9</f>
        <v>#N/A</v>
      </c>
      <c r="BA345" s="102" t="e">
        <f t="shared" si="573"/>
        <v>#N/A</v>
      </c>
      <c r="BB345" s="102" t="e">
        <f t="shared" si="574"/>
        <v>#N/A</v>
      </c>
      <c r="BC345" s="414" t="e">
        <f>IF(BC344=0,0,IF(AND(AY345&gt;charge_ELS_quasi,AZ345&gt;Charge_ELS_freq,BA345&gt;charge_ELU,BB345&gt;charge_ELA,$B345&gt;NDC!$H$22-0.1+MIN(3*$BC$12,1.5)),0,1))</f>
        <v>#N/A</v>
      </c>
      <c r="BD345" s="86" t="b">
        <f t="shared" si="544"/>
        <v>0</v>
      </c>
      <c r="BE345" s="86">
        <f t="shared" si="575"/>
        <v>0.5</v>
      </c>
      <c r="BF345" s="86">
        <f t="shared" si="545"/>
        <v>0.5</v>
      </c>
      <c r="BG345" s="30" t="e">
        <f t="shared" ca="1" si="576"/>
        <v>#DIV/0!</v>
      </c>
      <c r="BH345" s="85" t="e">
        <f ca="1">IF(AN345&lt;=Hypothèses!$V$7,Hypothèses!$W$7,IF(AN345&lt;=Hypothèses!$V$8,Hypothèses!$W$8,IF(AN345&lt;=Hypothèses!$V$9,Hypothèses!$W$9,IF(AN345&lt;=Hypothèses!$V$10,Hypothèses!$W$10,IF(AN345&lt;=Hypothèses!$V$11,Hypothèses!$W$11,IF(AN345&lt;=Hypothèses!$V$12,Hypothèses!$W$12,IF(AN345&lt;=Hypothèses!$V$13,Hypothèses!$W$13,IF(AN345&lt;=Hypothèses!$V$14,Hypothèses!$W$14,IF(AN345&lt;=Hypothèses!$V$15,Hypothèses!$W$15,IF(AN345&lt;=Hypothèses!$V$16,Hypothèses!$W$16,IF(AN345&lt;=Hypothèses!$V$17,Hypothèses!$W$17,IF(AN345&lt;=Hypothèses!$V$18,Hypothèses!$W$18,""))))))))))))</f>
        <v>#DIV/0!</v>
      </c>
      <c r="BI345" s="87" t="e">
        <f t="shared" ca="1" si="618"/>
        <v>#DIV/0!</v>
      </c>
      <c r="BJ345" s="88" t="e">
        <f ca="1">IF(AN345&lt;=Hypothèses!$V$7,Hypothèses!$X$7,IF(AN345&lt;=Hypothèses!$V$8,Hypothèses!$X$8,IF(AN345&lt;=Hypothèses!$V$9,Hypothèses!$X$9,IF(AN345&lt;=Hypothèses!$V$10,Hypothèses!$X$10,IF(AN345&lt;=Hypothèses!$V$11,Hypothèses!$X$11,IF(AN345&lt;=Hypothèses!$V$12,Hypothèses!$X$12,IF(AN345&lt;=Hypothèses!$V$13,Hypothèses!$X$13,IF(AN345&lt;=Hypothèses!$V$14,Hypothèses!$X$14,IF(AN345&lt;=Hypothèses!$V$15,Hypothèses!$X$15,IF(AN345&lt;=Hypothèses!$V$16,Hypothèses!$X$16,IF(AN345&lt;=Hypothèses!$U$17,Hypothèses!$W$17,IF(AN345&lt;=Hypothèses!$U$18,Hypothèses!$W$18,""))))))))))))</f>
        <v>#DIV/0!</v>
      </c>
      <c r="BK345" s="95" t="e">
        <f t="shared" ca="1" si="577"/>
        <v>#DIV/0!</v>
      </c>
      <c r="BL345" s="101" t="e">
        <f t="shared" si="625"/>
        <v>#N/A</v>
      </c>
      <c r="BM345" s="91" t="e">
        <f t="shared" si="546"/>
        <v>#N/A</v>
      </c>
      <c r="BN345" s="30" t="e">
        <f t="shared" si="604"/>
        <v>#N/A</v>
      </c>
      <c r="BO345" s="30" t="e">
        <f t="shared" si="605"/>
        <v>#N/A</v>
      </c>
      <c r="BP345" s="31" t="e">
        <f>IF(OR(Hypothèses!$B$4=17,Hypothèses!$B$4=18,Hypothèses!$B$4=19,Hypothèses!$B$4=20),
IF($D345="Pressio.",
IF(OR($E345=3,$E345=1,$E345=4),BO345,BN345),
IF($D345="Pénétro.",
IF(OR($E345=3,$E345=1,$E345=4),BO345,BN345))),IF($D345="Pressio.",
IF($E345=3,BO345,BN345),
IF($D345="Pénétro.",
IF($E345=4,BO345,BN345))))</f>
        <v>#N/A</v>
      </c>
      <c r="BQ345" s="31" t="e">
        <f>(IF(OR(Hypothèses!$B$4=17,Hypothèses!$B$4=18,Hypothèses!$B$4=19,Hypothèses!$B$4=20),
IF($D345="Pressio.",
IF(OR($E345=3,$E345=1,$E345=4),(PI()*BQ$12^2)/4*(BM345*$W345*1000)/($H345*$B$5),(PI()*BQ$12^2)/4*(BM345*$W345*1000)/($G345*$B$5)),
IF($D345="Pénétro.",
IF(OR($E345=4,$E345=1,$E345=5),(PI()*BQ$12^2)/4*(BM345*$W345*1000)/($H345*$B$5),(PI()*BQ$12^2)/4*(BM345*$W345*1000)/($G345*$B$5)))),
IF($D345="Pressio.",
IF($E345=3,(PI()*BQ$12^2)/4*(BM345*$W345*1000)/($H345*$B$5),(PI()*BQ$12^2)/4*(BM345*$W345*1000)/($G345*$B$5)),
IF($D345="Pénétro.",
IF($E345=4,(PI()*BQ$12^2)/4*(BM345*$W345*1000)/($H345*$B$5),(PI()*BQ$12^2)/4*(BM345*$W345*1000)/($G345*$B$5))))))/10</f>
        <v>#N/A</v>
      </c>
      <c r="BR345" s="102" t="e">
        <f>(VLOOKUP($B$3,'Coeff EC7'!$T$39:$X$59,2,0)*BP345+VLOOKUP($B$3,'Coeff EC7'!$T$65:$X$85,2,0)*Model0.1C!BQ345)/1.1</f>
        <v>#N/A</v>
      </c>
      <c r="BS345" s="102" t="e">
        <f>(VLOOKUP($B$3,'Coeff EC7'!$T$39:$X$59,3,0)*BP345+VLOOKUP($B$3,'Coeff EC7'!$T$65:$X$85,3,0)*Model0.1C!BQ345)/0.9</f>
        <v>#N/A</v>
      </c>
      <c r="BT345" s="102" t="e">
        <f t="shared" si="578"/>
        <v>#N/A</v>
      </c>
      <c r="BU345" s="102" t="e">
        <f t="shared" si="579"/>
        <v>#N/A</v>
      </c>
      <c r="BV345" s="414" t="e">
        <f>IF(BV344=0,0,IF(AND(BR345&gt;charge_ELS_quasi,BS345&gt;Charge_ELS_freq,BT345&gt;charge_ELU,BU345&gt;charge_ELA,$B345&gt;NDC!$H$22-0.1+MIN(3*$BV$12,1.5)),0,1))</f>
        <v>#N/A</v>
      </c>
      <c r="BW345" s="86" t="b">
        <f t="shared" si="547"/>
        <v>0</v>
      </c>
      <c r="BX345" s="86">
        <f t="shared" si="548"/>
        <v>0.5</v>
      </c>
      <c r="BY345" s="86">
        <f t="shared" si="549"/>
        <v>0.5</v>
      </c>
      <c r="BZ345" s="30" t="e">
        <f t="shared" ca="1" si="580"/>
        <v>#DIV/0!</v>
      </c>
      <c r="CA345" s="85" t="e">
        <f ca="1">IF(BG345&lt;=Hypothèses!$V$7,Hypothèses!$W$7,IF(BG345&lt;=Hypothèses!$V$8,Hypothèses!$W$8,IF(BG345&lt;=Hypothèses!$V$9,Hypothèses!$W$9,IF(BG345&lt;=Hypothèses!$V$10,Hypothèses!$W$10,IF(BG345&lt;=Hypothèses!$V$11,Hypothèses!$W$11,IF(BG345&lt;=Hypothèses!$V$12,Hypothèses!$W$12,IF(BG345&lt;=Hypothèses!$V$13,Hypothèses!$W$13,IF(BG345&lt;=Hypothèses!$V$14,Hypothèses!$W$14,IF(BG345&lt;=Hypothèses!$V$15,Hypothèses!$W$15,IF(BG345&lt;=Hypothèses!$V$16,Hypothèses!$W$16,IF(BG345&lt;=Hypothèses!$V$17,Hypothèses!$W$17,IF(BG345&lt;=Hypothèses!$V$18,Hypothèses!$W$18,""))))))))))))</f>
        <v>#DIV/0!</v>
      </c>
      <c r="CB345" s="87" t="e">
        <f t="shared" ca="1" si="619"/>
        <v>#DIV/0!</v>
      </c>
      <c r="CC345" s="88" t="e">
        <f ca="1">IF(BG345&lt;=Hypothèses!$V$7,Hypothèses!$X$7,IF(BG345&lt;=Hypothèses!$V$8,Hypothèses!$X$8,IF(BG345&lt;=Hypothèses!$V$9,Hypothèses!$X$9,IF(BG345&lt;=Hypothèses!$V$10,Hypothèses!$X$10,IF(BG345&lt;=Hypothèses!$V$11,Hypothèses!$X$11,IF(BG345&lt;=Hypothèses!$V$12,Hypothèses!$X$12,IF(BG345&lt;=Hypothèses!$V$13,Hypothèses!$X$13,IF(BG345&lt;=Hypothèses!$V$14,Hypothèses!$X$14,IF(BG345&lt;=Hypothèses!$V$15,Hypothèses!$X$15,IF(BG345&lt;=Hypothèses!$V$16,Hypothèses!$X$16,IF(BG345&lt;=Hypothèses!$U$17,Hypothèses!$W$17,IF(BG345&lt;=Hypothèses!$U$18,Hypothèses!$W$18,""))))))))))))</f>
        <v>#DIV/0!</v>
      </c>
      <c r="CD345" s="95" t="e">
        <f t="shared" ca="1" si="581"/>
        <v>#DIV/0!</v>
      </c>
      <c r="CE345" s="101" t="e">
        <f t="shared" si="626"/>
        <v>#N/A</v>
      </c>
      <c r="CF345" s="91" t="e">
        <f t="shared" si="550"/>
        <v>#N/A</v>
      </c>
      <c r="CG345" s="30" t="e">
        <f t="shared" si="606"/>
        <v>#N/A</v>
      </c>
      <c r="CH345" s="30" t="e">
        <f t="shared" si="607"/>
        <v>#N/A</v>
      </c>
      <c r="CI345" s="31" t="e">
        <f>IF(OR(Hypothèses!$B$4=17,Hypothèses!$B$4=18,Hypothèses!$B$4=19,Hypothèses!$B$4=20),
IF($D345="Pressio.",
IF(OR($E345=3,$E345=1,$E345=4),CH345,CG345),
IF($D345="Pénétro.",
IF(OR($E345=3,$E345=1,$E345=4),CH345,CG345))),IF($D345="Pressio.",
IF($E345=3,CH345,CG345),
IF($D345="Pénétro.",
IF($E345=4,CH345,CG345))))</f>
        <v>#N/A</v>
      </c>
      <c r="CJ345" s="31" t="e">
        <f>(IF(OR(Hypothèses!$B$4=17,Hypothèses!$B$4=18,Hypothèses!$B$4=19,Hypothèses!$B$4=20),
IF($D345="Pressio.",
IF(OR($E345=3,$E345=1,$E345=4),(PI()*CJ$12^2)/4*(CF345*$W345*1000)/($H345*$B$5),(PI()*CJ$12^2)/4*(CF345*$W345*1000)/($G345*$B$5)),
IF($D345="Pénétro.",
IF(OR($E345=4,$E345=1,$E345=5),(PI()*CJ$12^2)/4*(CF345*$W345*1000)/($H345*$B$5),(PI()*CJ$12^2)/4*(CF345*$W345*1000)/($G345*$B$5)))),
IF($D345="Pressio.",
IF($E345=3,(PI()*CJ$12^2)/4*(CF345*$W345*1000)/($H345*$B$5),(PI()*CJ$12^2)/4*(CF345*$W345*1000)/($G345*$B$5)),
IF($D345="Pénétro.",
IF($E345=4,(PI()*CJ$12^2)/4*(CF345*$W345*1000)/($H345*$B$5),(PI()*CJ$12^2)/4*(CF345*$W345*1000)/($G345*$B$5))))))/10</f>
        <v>#N/A</v>
      </c>
      <c r="CK345" s="102" t="e">
        <f>(VLOOKUP($B$3,'Coeff EC7'!$T$39:$X$59,2,0)*CI345+VLOOKUP($B$3,'Coeff EC7'!$T$65:$X$85,2,0)*Model0.1C!CJ345)/1.1</f>
        <v>#N/A</v>
      </c>
      <c r="CL345" s="102" t="e">
        <f>(VLOOKUP($B$3,'Coeff EC7'!$T$39:$X$59,3,0)*CI345+VLOOKUP($B$3,'Coeff EC7'!$T$65:$X$85,3,0)*Model0.1C!CJ345)/0.9</f>
        <v>#N/A</v>
      </c>
      <c r="CM345" s="102" t="e">
        <f t="shared" si="582"/>
        <v>#N/A</v>
      </c>
      <c r="CN345" s="102" t="e">
        <f t="shared" si="583"/>
        <v>#N/A</v>
      </c>
      <c r="CO345" s="414" t="e">
        <f>IF(CO344=0,0,IF(AND(CK345&gt;charge_ELS_quasi,CL345&gt;Charge_ELS_freq,CM345&gt;charge_ELU,CN345&gt;charge_ELA,$B345&gt;NDC!$H$22-0.1+MIN(3*$CO$12,1.5)),0,1))</f>
        <v>#N/A</v>
      </c>
      <c r="CP345" s="86" t="b">
        <f t="shared" si="551"/>
        <v>0</v>
      </c>
      <c r="CQ345" s="86">
        <f t="shared" si="552"/>
        <v>0.5</v>
      </c>
      <c r="CR345" s="86">
        <f t="shared" si="553"/>
        <v>0.5</v>
      </c>
      <c r="CS345" s="30" t="e">
        <f t="shared" ca="1" si="584"/>
        <v>#DIV/0!</v>
      </c>
      <c r="CT345" s="85" t="e">
        <f ca="1">IF(BZ345&lt;=Hypothèses!$V$7,Hypothèses!$W$7,IF(BZ345&lt;=Hypothèses!$V$8,Hypothèses!$W$8,IF(BZ345&lt;=Hypothèses!$V$9,Hypothèses!$W$9,IF(BZ345&lt;=Hypothèses!$V$10,Hypothèses!$W$10,IF(BZ345&lt;=Hypothèses!$V$11,Hypothèses!$W$11,IF(BZ345&lt;=Hypothèses!$V$12,Hypothèses!$W$12,IF(BZ345&lt;=Hypothèses!$V$13,Hypothèses!$W$13,IF(BZ345&lt;=Hypothèses!$V$14,Hypothèses!$W$14,IF(BZ345&lt;=Hypothèses!$V$15,Hypothèses!$W$15,IF(BZ345&lt;=Hypothèses!$V$16,Hypothèses!$W$16,IF(BZ345&lt;=Hypothèses!$V$17,Hypothèses!$W$17,IF(BZ345&lt;=Hypothèses!$V$18,Hypothèses!$W$18,""))))))))))))</f>
        <v>#DIV/0!</v>
      </c>
      <c r="CU345" s="87" t="e">
        <f t="shared" ca="1" si="620"/>
        <v>#DIV/0!</v>
      </c>
      <c r="CV345" s="88" t="e">
        <f ca="1">IF(BZ345&lt;=Hypothèses!$V$7,Hypothèses!$X$7,IF(BZ345&lt;=Hypothèses!$V$8,Hypothèses!$X$8,IF(BZ345&lt;=Hypothèses!$V$9,Hypothèses!$X$9,IF(BZ345&lt;=Hypothèses!$V$10,Hypothèses!$X$10,IF(BZ345&lt;=Hypothèses!$V$11,Hypothèses!$X$11,IF(BZ345&lt;=Hypothèses!$V$12,Hypothèses!$X$12,IF(BZ345&lt;=Hypothèses!$V$13,Hypothèses!$X$13,IF(BZ345&lt;=Hypothèses!$V$14,Hypothèses!$X$14,IF(BZ345&lt;=Hypothèses!$V$15,Hypothèses!$X$15,IF(BZ345&lt;=Hypothèses!$V$16,Hypothèses!$X$16,IF(BZ345&lt;=Hypothèses!$U$17,Hypothèses!$W$17,IF(BZ345&lt;=Hypothèses!$U$18,Hypothèses!$W$18,""))))))))))))</f>
        <v>#DIV/0!</v>
      </c>
      <c r="CW345" s="95" t="e">
        <f t="shared" ca="1" si="585"/>
        <v>#DIV/0!</v>
      </c>
      <c r="CX345" s="101" t="e">
        <f t="shared" si="627"/>
        <v>#N/A</v>
      </c>
      <c r="CY345" s="91" t="e">
        <f t="shared" si="554"/>
        <v>#N/A</v>
      </c>
      <c r="CZ345" s="30" t="e">
        <f t="shared" si="608"/>
        <v>#N/A</v>
      </c>
      <c r="DA345" s="30" t="e">
        <f t="shared" si="609"/>
        <v>#N/A</v>
      </c>
      <c r="DB345" s="31" t="e">
        <f>IF(OR(Hypothèses!$B$4=17,Hypothèses!$B$4=18,Hypothèses!$B$4=19,Hypothèses!$B$4=20),
IF($D345="Pressio.",
IF(OR($E345=3,$E345=1,$E345=4),DA345,CZ345),
IF($D345="Pénétro.",
IF(OR($E345=3,$E345=1,$E345=4),DA345,CZ345))),IF($D345="Pressio.",
IF($E345=3,DA345,CZ345),
IF($D345="Pénétro.",
IF($E345=4,DA345,CZ345))))</f>
        <v>#N/A</v>
      </c>
      <c r="DC345" s="31" t="e">
        <f>(IF(OR(Hypothèses!$B$4=17,Hypothèses!$B$4=18,Hypothèses!$B$4=19,Hypothèses!$B$4=20),
IF($D345="Pressio.",
IF(OR($E345=3,$E345=1,$E345=4),(PI()*DC$12^2)/4*(CY345*$W345*1000)/($H345*$B$5),(PI()*DC$12^2)/4*(CY345*$W345*1000)/($G345*$B$5)),
IF($D345="Pénétro.",
IF(OR($E345=4,$E345=1,$E345=5),(PI()*DC$12^2)/4*(CY345*$W345*1000)/($H345*$B$5),(PI()*DC$12^2)/4*(CY345*$W345*1000)/($G345*$B$5)))),
IF($D345="Pressio.",
IF($E345=3,(PI()*DC$12^2)/4*(CY345*$W345*1000)/($H345*$B$5),(PI()*DC$12^2)/4*(CY345*$W345*1000)/($G345*$B$5)),
IF($D345="Pénétro.",
IF($E345=4,(PI()*DC$12^2)/4*(CY345*$W345*1000)/($H345*$B$5),(PI()*DC$12^2)/4*(CY345*$W345*1000)/($G345*$B$5))))))/10</f>
        <v>#N/A</v>
      </c>
      <c r="DD345" s="102" t="e">
        <f>(VLOOKUP($B$3,'Coeff EC7'!$T$39:$X$59,2,0)*DB345+VLOOKUP($B$3,'Coeff EC7'!$T$65:$X$85,2,0)*Model0.1C!DC345)/1.1</f>
        <v>#N/A</v>
      </c>
      <c r="DE345" s="102" t="e">
        <f>(VLOOKUP($B$3,'Coeff EC7'!$T$39:$X$59,3,0)*DB345+VLOOKUP($B$3,'Coeff EC7'!$T$65:$X$85,3,0)*Model0.1C!DC345)/0.9</f>
        <v>#N/A</v>
      </c>
      <c r="DF345" s="102" t="e">
        <f t="shared" si="586"/>
        <v>#N/A</v>
      </c>
      <c r="DG345" s="102" t="e">
        <f t="shared" si="587"/>
        <v>#N/A</v>
      </c>
      <c r="DH345" s="414" t="e">
        <f>IF(DH344=0,0,IF(AND(DD345&gt;charge_ELS_quasi,DE345&gt;Charge_ELS_freq,DF345&gt;charge_ELU,DG345&gt;charge_ELA,$B345&gt;NDC!$H$22-0.1+MIN(3*$DH$12,1.5)),0,1))</f>
        <v>#N/A</v>
      </c>
      <c r="DI345" s="86" t="b">
        <f t="shared" si="555"/>
        <v>0</v>
      </c>
      <c r="DJ345" s="86">
        <f t="shared" si="556"/>
        <v>0.5</v>
      </c>
      <c r="DK345" s="86">
        <f t="shared" si="557"/>
        <v>0.5</v>
      </c>
      <c r="DL345" s="30" t="e">
        <f t="shared" ca="1" si="588"/>
        <v>#DIV/0!</v>
      </c>
      <c r="DM345" s="85" t="e">
        <f ca="1">IF(CS345&lt;=Hypothèses!$V$7,Hypothèses!$W$7,IF(CS345&lt;=Hypothèses!$V$8,Hypothèses!$W$8,IF(CS345&lt;=Hypothèses!$V$9,Hypothèses!$W$9,IF(CS345&lt;=Hypothèses!$V$10,Hypothèses!$W$10,IF(CS345&lt;=Hypothèses!$V$11,Hypothèses!$W$11,IF(CS345&lt;=Hypothèses!$V$12,Hypothèses!$W$12,IF(CS345&lt;=Hypothèses!$V$13,Hypothèses!$W$13,IF(CS345&lt;=Hypothèses!$V$14,Hypothèses!$W$14,IF(CS345&lt;=Hypothèses!$V$15,Hypothèses!$W$15,IF(CS345&lt;=Hypothèses!$V$16,Hypothèses!$W$16,IF(CS345&lt;=Hypothèses!$V$17,Hypothèses!$W$17,IF(CS345&lt;=Hypothèses!$V$18,Hypothèses!$W$18,""))))))))))))</f>
        <v>#DIV/0!</v>
      </c>
      <c r="DN345" s="87" t="e">
        <f t="shared" ca="1" si="621"/>
        <v>#DIV/0!</v>
      </c>
      <c r="DO345" s="88" t="e">
        <f ca="1">IF(CS345&lt;=Hypothèses!$V$7,Hypothèses!$X$7,IF(CS345&lt;=Hypothèses!$V$8,Hypothèses!$X$8,IF(CS345&lt;=Hypothèses!$V$9,Hypothèses!$X$9,IF(CS345&lt;=Hypothèses!$V$10,Hypothèses!$X$10,IF(CS345&lt;=Hypothèses!$V$11,Hypothèses!$X$11,IF(CS345&lt;=Hypothèses!$V$12,Hypothèses!$X$12,IF(CS345&lt;=Hypothèses!$V$13,Hypothèses!$X$13,IF(CS345&lt;=Hypothèses!$V$14,Hypothèses!$X$14,IF(CS345&lt;=Hypothèses!$V$15,Hypothèses!$X$15,IF(CS345&lt;=Hypothèses!$V$16,Hypothèses!$X$16,IF(CS345&lt;=Hypothèses!$U$17,Hypothèses!$W$17,IF(CS345&lt;=Hypothèses!$U$18,Hypothèses!$W$18,""))))))))))))</f>
        <v>#DIV/0!</v>
      </c>
      <c r="DP345" s="95" t="e">
        <f t="shared" ca="1" si="589"/>
        <v>#DIV/0!</v>
      </c>
      <c r="DQ345" s="101" t="e">
        <f t="shared" si="628"/>
        <v>#N/A</v>
      </c>
      <c r="DR345" s="91" t="e">
        <f t="shared" si="558"/>
        <v>#N/A</v>
      </c>
      <c r="DS345" s="30" t="e">
        <f t="shared" si="610"/>
        <v>#N/A</v>
      </c>
      <c r="DT345" s="30" t="e">
        <f t="shared" si="611"/>
        <v>#N/A</v>
      </c>
      <c r="DU345" s="31" t="e">
        <f>IF(OR(Hypothèses!$B$4=17,Hypothèses!$B$4=18,Hypothèses!$B$4=19,Hypothèses!$B$4=20),
IF($D345="Pressio.",
IF(OR($E345=3,$E345=1,$E345=4),DT345,DS345),
IF($D345="Pénétro.",
IF(OR($E345=3,$E345=1,$E345=4),DT345,DS345))),IF($D345="Pressio.",
IF($E345=3,DT345,DS345),
IF($D345="Pénétro.",
IF($E345=4,DT345,DS345))))</f>
        <v>#N/A</v>
      </c>
      <c r="DV345" s="31" t="e">
        <f>(IF(OR(Hypothèses!$B$4=17,Hypothèses!$B$4=18,Hypothèses!$B$4=19,Hypothèses!$B$4=20),
IF($D345="Pressio.",
IF(OR($E345=3,$E345=1,$E345=4),(PI()*DV$12^2)/4*(DR345*$W345*1000)/($H345*$B$5),(PI()*DV$12^2)/4*(DR345*$W345*1000)/($G345*$B$5)),
IF($D345="Pénétro.",
IF(OR($E345=4,$E345=1,$E345=5),(PI()*DV$12^2)/4*(DR345*$W345*1000)/($H345*$B$5),(PI()*DV$12^2)/4*(DR345*$W345*1000)/($G345*$B$5)))),
IF($D345="Pressio.",
IF($E345=3,(PI()*DV$12^2)/4*(DR345*$W345*1000)/($H345*$B$5),(PI()*DV$12^2)/4*(DR345*$W345*1000)/($G345*$B$5)),
IF($D345="Pénétro.",
IF($E345=4,(PI()*DV$12^2)/4*(DR345*$W345*1000)/($H345*$B$5),(PI()*DV$12^2)/4*(DR345*$W345*1000)/($G345*$B$5))))))/10</f>
        <v>#N/A</v>
      </c>
      <c r="DW345" s="102" t="e">
        <f>(VLOOKUP($B$3,'Coeff EC7'!$T$39:$X$59,2,0)*DU345+VLOOKUP($B$3,'Coeff EC7'!$T$65:$X$85,2,0)*Model0.1C!DV345)/1.1</f>
        <v>#N/A</v>
      </c>
      <c r="DX345" s="102" t="e">
        <f>(VLOOKUP($B$3,'Coeff EC7'!$T$39:$X$59,3,0)*DU345+VLOOKUP($B$3,'Coeff EC7'!$T$65:$X$85,3,0)*Model0.1C!DV345)/0.9</f>
        <v>#N/A</v>
      </c>
      <c r="DY345" s="102" t="e">
        <f t="shared" si="590"/>
        <v>#N/A</v>
      </c>
      <c r="DZ345" s="102" t="e">
        <f t="shared" si="591"/>
        <v>#N/A</v>
      </c>
      <c r="EA345" s="414" t="e">
        <f>IF(EA344=0,0,IF(AND(DW345&gt;charge_ELS_quasi,DX345&gt;Charge_ELS_freq,DY345&gt;charge_ELU,DZ345&gt;charge_ELA,$B345&gt;NDC!$H$22-0.1+MIN(3*$EA$12,1.5)),0,1))</f>
        <v>#N/A</v>
      </c>
      <c r="EB345" s="86" t="b">
        <f t="shared" si="559"/>
        <v>0</v>
      </c>
      <c r="EC345" s="418">
        <f t="shared" si="560"/>
        <v>0.51</v>
      </c>
      <c r="ED345" s="86">
        <f t="shared" si="561"/>
        <v>0.51</v>
      </c>
      <c r="EE345" s="30" t="e">
        <f t="shared" ca="1" si="592"/>
        <v>#DIV/0!</v>
      </c>
      <c r="EF345" s="85" t="e">
        <f ca="1">IF(DL345&lt;=Hypothèses!$V$7,Hypothèses!$W$7,IF(DL345&lt;=Hypothèses!$V$8,Hypothèses!$W$8,IF(DL345&lt;=Hypothèses!$V$9,Hypothèses!$W$9,IF(DL345&lt;=Hypothèses!$V$10,Hypothèses!$W$10,IF(DL345&lt;=Hypothèses!$V$11,Hypothèses!$W$11,IF(DL345&lt;=Hypothèses!$V$12,Hypothèses!$W$12,IF(DL345&lt;=Hypothèses!$V$13,Hypothèses!$W$13,IF(DL345&lt;=Hypothèses!$V$14,Hypothèses!$W$14,IF(DL345&lt;=Hypothèses!$V$15,Hypothèses!$W$15,IF(DL345&lt;=Hypothèses!$V$16,Hypothèses!$W$16,IF(DL345&lt;=Hypothèses!$V$17,Hypothèses!$W$17,IF(DL345&lt;=Hypothèses!$V$18,Hypothèses!$W$18,""))))))))))))</f>
        <v>#DIV/0!</v>
      </c>
      <c r="EG345" s="87" t="e">
        <f t="shared" ca="1" si="622"/>
        <v>#DIV/0!</v>
      </c>
      <c r="EH345" s="88" t="e">
        <f ca="1">IF(DL345&lt;=Hypothèses!$V$7,Hypothèses!$X$7,IF(DL345&lt;=Hypothèses!$V$8,Hypothèses!$X$8,IF(DL345&lt;=Hypothèses!$V$9,Hypothèses!$X$9,IF(DL345&lt;=Hypothèses!$V$10,Hypothèses!$X$10,IF(DL345&lt;=Hypothèses!$V$11,Hypothèses!$X$11,IF(DL345&lt;=Hypothèses!$V$12,Hypothèses!$X$12,IF(DL345&lt;=Hypothèses!$V$13,Hypothèses!$X$13,IF(DL345&lt;=Hypothèses!$V$14,Hypothèses!$X$14,IF(DL345&lt;=Hypothèses!$V$15,Hypothèses!$X$15,IF(DL345&lt;=Hypothèses!$V$16,Hypothèses!$X$16,IF(DL345&lt;=Hypothèses!$U$17,Hypothèses!$W$17,IF(DL345&lt;=Hypothèses!$U$18,Hypothèses!$W$18,""))))))))))))</f>
        <v>#DIV/0!</v>
      </c>
      <c r="EI345" s="95" t="e">
        <f t="shared" ca="1" si="593"/>
        <v>#DIV/0!</v>
      </c>
      <c r="EJ345" s="101" t="e">
        <f t="shared" si="629"/>
        <v>#N/A</v>
      </c>
      <c r="EK345" s="91" t="e">
        <f t="shared" si="562"/>
        <v>#N/A</v>
      </c>
      <c r="EL345" s="30" t="e">
        <f t="shared" si="612"/>
        <v>#N/A</v>
      </c>
      <c r="EM345" s="30" t="e">
        <f t="shared" si="613"/>
        <v>#N/A</v>
      </c>
      <c r="EN345" s="31" t="e">
        <f>IF(OR(Hypothèses!$B$4=17,Hypothèses!$B$4=18,Hypothèses!$B$4=19,Hypothèses!$B$4=20),
IF($D345="Pressio.",
IF(OR($E345=3,$E345=1,$E345=4),EM345,EL345),
IF($D345="Pénétro.",
IF(OR($E345=3,$E345=1,$E345=4),EM345,EL345))),IF($D345="Pressio.",
IF($E345=3,EM345,EL345),
IF($D345="Pénétro.",
IF($E345=4,EM345,EL345))))</f>
        <v>#N/A</v>
      </c>
      <c r="EO345" s="31" t="e">
        <f>(IF(OR(Hypothèses!$B$4=17,Hypothèses!$B$4=18,Hypothèses!$B$4=19,Hypothèses!$B$4=20),
IF($D345="Pressio.",
IF(OR($E345=3,$E345=1,$E345=4),(PI()*EO$12^2)/4*(EK345*$W345*1000)/($H345*$B$5),(PI()*EO$12^2)/4*(EK345*$W345*1000)/($G345*$B$5)),
IF($D345="Pénétro.",
IF(OR($E345=4,$E345=1,$E345=5),(PI()*EO$12^2)/4*(EK345*$W345*1000)/($H345*$B$5),(PI()*EO$12^2)/4*(EK345*$W345*1000)/($G345*$B$5)))),
IF($D345="Pressio.",
IF($E345=3,(PI()*EO$12^2)/4*(EK345*$W345*1000)/($H345*$B$5),(PI()*EO$12^2)/4*(EK345*$W345*1000)/($G345*$B$5)),
IF($D345="Pénétro.",
IF($E345=4,(PI()*EO$12^2)/4*(EK345*$W345*1000)/($H345*$B$5),(PI()*EO$12^2)/4*(EK345*$W345*1000)/($G345*$B$5))))))/10</f>
        <v>#N/A</v>
      </c>
      <c r="EP345" s="102" t="e">
        <f>(VLOOKUP($B$3,'Coeff EC7'!$T$39:$X$59,2,0)*EN345+VLOOKUP($B$3,'Coeff EC7'!$T$65:$X$85,2,0)*Model0.1C!EO345)/1.1</f>
        <v>#N/A</v>
      </c>
      <c r="EQ345" s="102" t="e">
        <f>(VLOOKUP($B$3,'Coeff EC7'!$T$39:$X$59,3,0)*EN345+VLOOKUP($B$3,'Coeff EC7'!$T$65:$X$85,3,0)*Model0.1C!EO345)/0.9</f>
        <v>#N/A</v>
      </c>
      <c r="ER345" s="102" t="e">
        <f t="shared" si="594"/>
        <v>#N/A</v>
      </c>
      <c r="ES345" s="102" t="e">
        <f t="shared" si="595"/>
        <v>#N/A</v>
      </c>
      <c r="ET345" s="414" t="e">
        <f>IF(ET344=0,0,IF(AND(EP345&gt;charge_ELS_quasi,EQ345&gt;Charge_ELS_freq,ER345&gt;charge_ELU,ES345&gt;charge_ELA,$B345&gt;NDC!$H$22-0.1+MIN(3*$ET$12,1.5)),0,1))</f>
        <v>#N/A</v>
      </c>
      <c r="EU345" s="86" t="b">
        <f t="shared" si="563"/>
        <v>0</v>
      </c>
      <c r="EV345" s="86">
        <f t="shared" si="564"/>
        <v>0.61</v>
      </c>
      <c r="EW345" s="86">
        <f t="shared" si="565"/>
        <v>0.61</v>
      </c>
      <c r="EX345" s="30" t="e">
        <f t="shared" ca="1" si="596"/>
        <v>#DIV/0!</v>
      </c>
      <c r="EY345" s="85" t="e">
        <f ca="1">IF(EE345&lt;=Hypothèses!$V$7,Hypothèses!$W$7,IF(EE345&lt;=Hypothèses!$V$8,Hypothèses!$W$8,IF(EE345&lt;=Hypothèses!$V$9,Hypothèses!$W$9,IF(EE345&lt;=Hypothèses!$V$10,Hypothèses!$W$10,IF(EE345&lt;=Hypothèses!$V$11,Hypothèses!$W$11,IF(EE345&lt;=Hypothèses!$V$12,Hypothèses!$W$12,IF(EE345&lt;=Hypothèses!$V$13,Hypothèses!$W$13,IF(EE345&lt;=Hypothèses!$V$14,Hypothèses!$W$14,IF(EE345&lt;=Hypothèses!$V$15,Hypothèses!$W$15,IF(EE345&lt;=Hypothèses!$V$16,Hypothèses!$W$16,IF(EE345&lt;=Hypothèses!$V$17,Hypothèses!$W$17,IF(EE345&lt;=Hypothèses!$V$18,Hypothèses!$W$18,""))))))))))))</f>
        <v>#DIV/0!</v>
      </c>
      <c r="EZ345" s="87" t="e">
        <f t="shared" ca="1" si="623"/>
        <v>#DIV/0!</v>
      </c>
      <c r="FA345" s="88" t="e">
        <f ca="1">IF(EE345&lt;=Hypothèses!$V$7,Hypothèses!$X$7,IF(EE345&lt;=Hypothèses!$V$8,Hypothèses!$X$8,IF(EE345&lt;=Hypothèses!$V$9,Hypothèses!$X$9,IF(EE345&lt;=Hypothèses!$V$10,Hypothèses!$X$10,IF(EE345&lt;=Hypothèses!$V$11,Hypothèses!$X$11,IF(EE345&lt;=Hypothèses!$V$12,Hypothèses!$X$12,IF(EE345&lt;=Hypothèses!$V$13,Hypothèses!$X$13,IF(EE345&lt;=Hypothèses!$V$14,Hypothèses!$X$14,IF(EE345&lt;=Hypothèses!$V$15,Hypothèses!$X$15,IF(EE345&lt;=Hypothèses!$V$16,Hypothèses!$X$16,IF(EE345&lt;=Hypothèses!$U$17,Hypothèses!$W$17,IF(EE345&lt;=Hypothèses!$U$18,Hypothèses!$W$18,""))))))))))))</f>
        <v>#DIV/0!</v>
      </c>
      <c r="FB345" s="95" t="e">
        <f t="shared" ca="1" si="597"/>
        <v>#DIV/0!</v>
      </c>
      <c r="FC345" s="101" t="e">
        <f t="shared" si="630"/>
        <v>#N/A</v>
      </c>
      <c r="FD345" s="91" t="e">
        <f t="shared" si="566"/>
        <v>#N/A</v>
      </c>
      <c r="FE345" s="30" t="e">
        <f t="shared" si="614"/>
        <v>#N/A</v>
      </c>
      <c r="FF345" s="30" t="e">
        <f t="shared" si="615"/>
        <v>#N/A</v>
      </c>
      <c r="FG345" s="31" t="e">
        <f>IF(OR(Hypothèses!$B$4=17,Hypothèses!$B$4=18,Hypothèses!$B$4=19,Hypothèses!$B$4=20),
IF($D345="Pressio.",
IF(OR($E345=3,$E345=1,$E345=4),FF345,FE345),
IF($D345="Pénétro.",
IF(OR($E345=3,$E345=1,$E345=4),FF345,FE345))),IF($D345="Pressio.",
IF($E345=3,FF345,FE345),
IF($D345="Pénétro.",
IF($E345=4,FF345,FE345))))</f>
        <v>#N/A</v>
      </c>
      <c r="FH345" s="31" t="e">
        <f>(IF(OR(Hypothèses!$B$4=17,Hypothèses!$B$4=18,Hypothèses!$B$4=19,Hypothèses!$B$4=20),
IF($D345="Pressio.",
IF(OR($E345=3,$E345=1,$E345=4),(PI()*FH$12^2)/4*(FD345*$W345*1000)/($H345*$B$5),(PI()*FH$12^2)/4*(FD345*$W345*1000)/($G345*$B$5)),
IF($D345="Pénétro.",
IF(OR($E345=4,$E345=1,$E345=5),(PI()*FH$12^2)/4*(FD345*$W345*1000)/($H345*$B$5),(PI()*FH$12^2)/4*(FD345*$W345*1000)/($G345*$B$5)))),
IF($D345="Pressio.",
IF($E345=3,(PI()*FH$12^2)/4*(FD345*$W345*1000)/($H345*$B$5),(PI()*FH$12^2)/4*(FD345*$W345*1000)/($G345*$B$5)),
IF($D345="Pénétro.",
IF($E345=4,(PI()*FH$12^2)/4*(FD345*$W345*1000)/($H345*$B$5),(PI()*FH$12^2)/4*(FD345*$W345*1000)/($G345*$B$5))))))/10</f>
        <v>#N/A</v>
      </c>
      <c r="FI345" s="102" t="e">
        <f>(VLOOKUP($B$3,'Coeff EC7'!$T$39:$X$59,2,0)*FG345+VLOOKUP($B$3,'Coeff EC7'!$T$65:$X$85,2,0)*Model0.1C!FH345)/1.1</f>
        <v>#N/A</v>
      </c>
      <c r="FJ345" s="102" t="e">
        <f>(VLOOKUP($B$3,'Coeff EC7'!$T$39:$X$59,3,0)*FG345+VLOOKUP($B$3,'Coeff EC7'!$T$65:$X$85,3,0)*Model0.1C!FH345)/0.9</f>
        <v>#N/A</v>
      </c>
      <c r="FK345" s="102" t="e">
        <f t="shared" si="598"/>
        <v>#N/A</v>
      </c>
      <c r="FL345" s="102" t="e">
        <f t="shared" si="599"/>
        <v>#N/A</v>
      </c>
      <c r="FM345" s="414" t="e">
        <f>IF(FM344=0,0,IF(AND(FI345&gt;charge_ELS_quasi,FJ345&gt;Charge_ELS_freq,FK345&gt;charge_ELU,FL345&gt;charge_ELA,$B345&gt;NDC!$H$22-0.1+MIN(3*$FM$12,1.5)),0,1))</f>
        <v>#N/A</v>
      </c>
    </row>
    <row r="346" spans="1:169">
      <c r="A346" s="96">
        <f t="shared" si="567"/>
        <v>66.700000000001893</v>
      </c>
      <c r="B346" s="97">
        <v>33.299999999999997</v>
      </c>
      <c r="C346" s="81">
        <f>IF(B346&lt;=Hypothèses!$C$7,Hypothèses!$A$7,IF(B346&lt;=Hypothèses!$C$8,Hypothèses!$A$8,IF(B346&lt;=Hypothèses!$C$9,Hypothèses!$A$9,IF(B346&lt;=Hypothèses!$C$10,Hypothèses!$A$10,IF(B346&lt;=Hypothèses!$C$11,Hypothèses!$A$11,IF(B346&lt;=Hypothèses!$C$12,Hypothèses!$A$12,IF(B346&lt;=Hypothèses!$C$13,Hypothèses!$A$13,IF(B346&lt;=Hypothèses!$C$14,Hypothèses!$A$14,IF(B346&lt;=Hypothèses!$C$15,Hypothèses!$A$15,IF(B346&lt;=Hypothèses!$C$16,Hypothèses!$A$16,IF(B346&lt;=Hypothèses!$C$17,Hypothèses!$A$17,IF(B346&lt;=Hypothèses!$C$18,Hypothèses!$A$18,C345))))))))))))</f>
        <v>11</v>
      </c>
      <c r="D346" s="82" t="str">
        <f>IF(B346&lt;=Hypothèses!$C$7,Hypothèses!$R$7,IF(B346&lt;=Hypothèses!$C$8,Hypothèses!$R$8,IF(B346&lt;=Hypothèses!$C$9,Hypothèses!$R$9,IF(B346&lt;=Hypothèses!$C$10,Hypothèses!$R$10,IF(B346&lt;=Hypothèses!$C$11,Hypothèses!$R$11,IF(B346&lt;=Hypothèses!$C$12,Hypothèses!$R$12,IF(B346&lt;=Hypothèses!$C$13,Hypothèses!$R$13,IF(B346&lt;=Hypothèses!$C$14,Hypothèses!$R$14,IF(B346&lt;=Hypothèses!$C$15,Hypothèses!$R$15,IF(B346&lt;=Hypothèses!$C$16,Hypothèses!$R$16,IF(B346&lt;=Hypothèses!$C$17,Hypothèses!$R$17,IF(B346&lt;=Hypothèses!$C$18,Hypothèses!$R$18,D345))))))))))))</f>
        <v>Pressio.</v>
      </c>
      <c r="E346" s="82" t="e">
        <f>IF(B346&lt;=Hypothèses!$C$7,Hypothèses!$G$7,IF(B346&lt;=Hypothèses!$C$8,Hypothèses!$G$8,IF(B346&lt;=Hypothèses!$C$9,Hypothèses!$G$9,IF(B346&lt;=Hypothèses!$C$10,Hypothèses!$G$10,IF(B346&lt;=Hypothèses!$C$11,Hypothèses!$G$11,IF(B346&lt;=Hypothèses!$C$12,Hypothèses!$G$12,IF(B346&lt;=Hypothèses!$C$13,Hypothèses!$G$13,IF(B346&lt;=Hypothèses!$C$14,Hypothèses!$G$14,IF(B346&lt;=Hypothèses!$C$15,Hypothèses!$G$15,IF(B346&lt;=Hypothèses!$C$16,Hypothèses!$G$16,IF(B346&lt;=Hypothèses!$C$17,Hypothèses!$G$17,IF(B346&lt;=Hypothèses!$C$18,Hypothèses!$G$18,E345))))))))))))</f>
        <v>#N/A</v>
      </c>
      <c r="F346" s="82" t="str">
        <f>IF(B346&lt;=Hypothèses!$C$7,Hypothèses!$F$7,IF(B346&lt;=Hypothèses!$C$8,Hypothèses!$F$8,IF(B346&lt;=Hypothèses!$C$9,Hypothèses!$F$9,IF(B346&lt;=Hypothèses!$C$10,Hypothèses!$F$10,IF(B346&lt;=Hypothèses!$C$11,Hypothèses!$F$11,IF(B346&lt;=Hypothèses!$C$12,Hypothèses!$F$12,IF(B346&lt;=Hypothèses!$C$13,Hypothèses!$F$13,IF(B346&lt;=Hypothèses!$C$14,Hypothèses!$F$14,IF(B346&lt;=Hypothèses!$C$15,Hypothèses!$F$15,IF(B346&lt;=Hypothèses!$C$16,Hypothèses!$F$16,IF(B346&lt;=Hypothèses!$C$17,Hypothèses!$F$17,IF(B346&lt;=Hypothèses!$C$18,Hypothèses!$F$18,F345))))))))))))</f>
        <v/>
      </c>
      <c r="G346" s="91">
        <f t="array" ref="G346">INDEX('Coeff EC7'!$U$7:$X$27,
MATCH(Model0.1C!$B$3,'Coeff EC7'!$T$7:$T$27,0),
MATCH(Model0.1C!$D346&amp;Model0.1C!$B$4,
'Coeff EC7'!$U$6:$X$6&amp;
'Coeff EC7'!$U$5:$X$5,0))</f>
        <v>1.1499999999999999</v>
      </c>
      <c r="H346" s="91">
        <f t="array" ref="H346">INDEX('Coeff EC7'!$Y$7:$AB$27,
MATCH(Model0.1C!$B$3,'Coeff EC7'!$T$7:$T$27,0),
MATCH(Model0.1C!$D346&amp;Model0.1C!$B$4,
'Coeff EC7'!$Y$6:$AB$6&amp;
'Coeff EC7'!$Y$5:$AB$5,0))</f>
        <v>1.4</v>
      </c>
      <c r="I346" s="83" t="e">
        <f>IF(B346&lt;=Hypothèses!$C$7,Hypothèses!$P$7,IF(B346&lt;=Hypothèses!$C$8,Hypothèses!$P$8,IF(B346&lt;=Hypothèses!$C$9,Hypothèses!$P$9,IF(B346&lt;=Hypothèses!$C$10,Hypothèses!$P$10,IF(B346&lt;=Hypothèses!$C$11,Hypothèses!$P$11,IF(B346&lt;=Hypothèses!$C$12,Hypothèses!$P$12,IF(B346&lt;=Hypothèses!$C$13,Hypothèses!$P$13,IF(B346&lt;=Hypothèses!$C$14,Hypothèses!$P$14,IF(B346&lt;=Hypothèses!$C$15,Hypothèses!$P$15,IF(B346&lt;=Hypothèses!$C$16,Hypothèses!$P$16,IF(B346&lt;=Hypothèses!$C$17,Hypothèses!$P$17,IF(B346&lt;=Hypothèses!$C$18,Hypothèses!$P$18,I345))))))))))))</f>
        <v>#N/A</v>
      </c>
      <c r="J346" s="91" t="e">
        <f t="array" ref="J346">INDEX('Coeff EC7'!$D$33:$Q$33,1,MATCH(D346&amp;E346,'Coeff EC7'!$D$31:$Q$31&amp;'Coeff EC7'!$D$32:$Q$32,0))</f>
        <v>#N/A</v>
      </c>
      <c r="K346" s="91" t="e">
        <f t="array" ref="K346">INDEX('Coeff EC7'!$D$34:$Q$34,1,MATCH(D346&amp;E346,'Coeff EC7'!$D$31:$Q$31&amp;'Coeff EC7'!$D$32:$Q$32,0))</f>
        <v>#N/A</v>
      </c>
      <c r="L346" s="91" t="e">
        <f t="array" ref="L346">INDEX('Coeff EC7'!$D$35:$Q$35,1,MATCH(D346&amp;E346,'Coeff EC7'!$D$31:$Q$31&amp;'Coeff EC7'!$D$32:$Q$32,0))</f>
        <v>#N/A</v>
      </c>
      <c r="M346" s="98" t="e">
        <f t="shared" si="531"/>
        <v>#N/A</v>
      </c>
      <c r="N346" s="99" t="e">
        <f t="array" ref="N346">INDEX('Coeff EC7'!$D$7:$Q$27,MATCH($B$3,'Coeff EC7'!$C$7:$C$27,0),MATCH(D346&amp;E346,'Coeff EC7'!$D$5:$Q$5&amp;'Coeff EC7'!$D$6:$Q$6,0))</f>
        <v>#N/A</v>
      </c>
      <c r="O346" s="99" t="e">
        <f t="array" ref="O346">INDEX('Coeff EC7'!$D$41:$Q$61,MATCH($B$3,'Coeff EC7'!$C$41:$C$61,0),MATCH(D346&amp;E346,'Coeff EC7'!$D$39:$Q$39&amp;'Coeff EC7'!$D$40:$Q$40,0))</f>
        <v>#N/A</v>
      </c>
      <c r="P346" s="30" t="e">
        <f t="shared" si="568"/>
        <v>#N/A</v>
      </c>
      <c r="Q346" s="100" t="e">
        <f t="shared" si="533"/>
        <v>#N/A</v>
      </c>
      <c r="R346" s="86" t="b">
        <f t="shared" si="534"/>
        <v>0</v>
      </c>
      <c r="S346" s="86">
        <f t="shared" si="532"/>
        <v>0.5</v>
      </c>
      <c r="T346" s="86">
        <f t="shared" si="535"/>
        <v>0.5</v>
      </c>
      <c r="U346" s="30" t="e">
        <f t="shared" ca="1" si="569"/>
        <v>#DIV/0!</v>
      </c>
      <c r="V346" s="85" t="str">
        <f>IF(B346&lt;=Hypothèses!$V$7,Hypothèses!$W$7,IF(B346&lt;=Hypothèses!$V$8,Hypothèses!$W$8,IF(B346&lt;=Hypothèses!$V$9,Hypothèses!$W$9,IF(B346&lt;=Hypothèses!$V$10,Hypothèses!$W$10,IF(B346&lt;=Hypothèses!$V$11,Hypothèses!$W$11,IF(B346&lt;=Hypothèses!$V$12,Hypothèses!$W$12,IF(B346&lt;=Hypothèses!$V$13,Hypothèses!$W$13,IF(B346&lt;=Hypothèses!$V$14,Hypothèses!$W$14,IF(B346&lt;=Hypothèses!$V$15,Hypothèses!$W$15,IF(B346&lt;=Hypothèses!$V$16,Hypothèses!$W$16,IF(B346&lt;=Hypothèses!$V$17,Hypothèses!$W$17,IF(B346&lt;=Hypothèses!$V$18,Hypothèses!$W$18,""))))))))))))</f>
        <v/>
      </c>
      <c r="W346" s="87" t="e">
        <f t="shared" ca="1" si="616"/>
        <v>#DIV/0!</v>
      </c>
      <c r="X346" s="88" t="str">
        <f>IF(B346&lt;=Hypothèses!$V$7,Hypothèses!$X$7,IF(B346&lt;=Hypothèses!$V$8,Hypothèses!$X$8,IF(B346&lt;=Hypothèses!$V$9,Hypothèses!$X$9,IF(B346&lt;=Hypothèses!$V$10,Hypothèses!$X$10,IF(B346&lt;=Hypothèses!$V$11,Hypothèses!$X$11,IF(B346&lt;=Hypothèses!$V$12,Hypothèses!$X$12,IF(B346&lt;=Hypothèses!$V$13,Hypothèses!$X$13,IF(B346&lt;=Hypothèses!$V$14,Hypothèses!$X$14,IF(B346&lt;=Hypothèses!$V$15,Hypothèses!$X$15,IF(B346&lt;=Hypothèses!$V$16,Hypothèses!$X$16,IF(B346&lt;=Hypothèses!$U$17,Hypothèses!$W$17,IF(B346&lt;=Hypothèses!$U$18,Hypothèses!$W$18,""))))))))))))</f>
        <v/>
      </c>
      <c r="Y346" s="95" t="e">
        <f t="shared" ca="1" si="536"/>
        <v>#DIV/0!</v>
      </c>
      <c r="Z346" s="101" t="e">
        <f t="shared" si="537"/>
        <v>#N/A</v>
      </c>
      <c r="AA346" s="91" t="e">
        <f t="shared" si="538"/>
        <v>#N/A</v>
      </c>
      <c r="AB346" s="30" t="e">
        <f t="shared" si="600"/>
        <v>#N/A</v>
      </c>
      <c r="AC346" s="30" t="e">
        <f t="shared" si="601"/>
        <v>#N/A</v>
      </c>
      <c r="AD346" s="31" t="e">
        <f>IF(OR(Hypothèses!$B$4=17,Hypothèses!$B$4=18,Hypothèses!$B$4=19,Hypothèses!$B$4=20),
IF($D346="Pressio.",
IF(OR($E346=3,$E346=1,$E346=4),AC346,AB346),
IF($D346="Pénétro.",
IF(OR($E346=3,$E346=1,$E346=4),AC346,AB346))),IF($D346="Pressio.",
IF($E346=3,AC346,AB346),
IF($D346="Pénétro.",
IF($E346=4,AC346,AB346))))</f>
        <v>#N/A</v>
      </c>
      <c r="AE346" s="31" t="e">
        <f>(IF(OR(Hypothèses!$B$4=17,Hypothèses!$B$4=18,Hypothèses!$B$4=19,Hypothèses!$B$4=20),
IF($D346="Pressio.",
IF(OR($E346=3,$E346=1,$E346=4),(PI()*AE$12^2)/4*(AA346*$W346*1000)/($H346*$B$5),(PI()*AE$12^2)/4*(AA346*$W346*1000)/($G346*$B$5)),
IF($D346="Pénétro.",
IF(OR($E346=4,$E346=1,$E346=5),(PI()*AE$12^2)/4*(AA346*$W346*1000)/($H346*$B$5),(PI()*AE$12^2)/4*(AA346*$W346*1000)/($G346*$B$5)))),
IF($D346="Pressio.",
IF($E346=3,(PI()*AE$12^2)/4*(AA346*$W346*1000)/($H346*$B$5),(PI()*AE$12^2)/4*(AA346*$W346*1000)/($G346*$B$5)),
IF($D346="Pénétro.",
IF($E346=4,(PI()*AE$12^2)/4*(AA346*$W346*1000)/($H346*$B$5),(PI()*AE$12^2)/4*(AA346*$W346*1000)/($G346*$B$5))))))/10</f>
        <v>#N/A</v>
      </c>
      <c r="AF346" s="102" t="e">
        <f>(VLOOKUP($B$3,'Coeff EC7'!$T$39:$X$59,2,0)*AD346+VLOOKUP($B$3,'Coeff EC7'!$T$65:$X$85,2,0)*Model0.1C!AE346)/1.1</f>
        <v>#N/A</v>
      </c>
      <c r="AG346" s="102" t="e">
        <f>(VLOOKUP($B$3,'Coeff EC7'!$T$39:$X$59,3,0)*AD346+VLOOKUP($B$3,'Coeff EC7'!$T$65:$X$85,3,0)*Model0.1C!AE346)/0.9</f>
        <v>#N/A</v>
      </c>
      <c r="AH346" s="102" t="e">
        <f t="shared" si="539"/>
        <v>#N/A</v>
      </c>
      <c r="AI346" s="102" t="e">
        <f t="shared" si="540"/>
        <v>#N/A</v>
      </c>
      <c r="AJ346" s="414" t="e">
        <f>IF(AJ345=0,0,IF(AND(AF346&gt;charge_ELS_quasi,AG346&gt;Charge_ELS_freq,AH346&gt;charge_ELU,AI346&gt;charge_ELA,$B346&gt;NDC!$H$22-0.1+MIN(3*$AJ$12,1.5)),0,1))</f>
        <v>#N/A</v>
      </c>
      <c r="AK346" s="86" t="b">
        <f t="shared" si="541"/>
        <v>0</v>
      </c>
      <c r="AL346" s="86">
        <f t="shared" si="570"/>
        <v>0.5</v>
      </c>
      <c r="AM346" s="86">
        <f t="shared" si="542"/>
        <v>0.5</v>
      </c>
      <c r="AN346" s="30" t="e">
        <f t="shared" ca="1" si="571"/>
        <v>#DIV/0!</v>
      </c>
      <c r="AO346" s="85" t="e">
        <f ca="1">IF(U346&lt;=Hypothèses!$V$7,Hypothèses!$W$7,IF(U346&lt;=Hypothèses!$V$8,Hypothèses!$W$8,IF(U346&lt;=Hypothèses!$V$9,Hypothèses!$W$9,IF(U346&lt;=Hypothèses!$V$10,Hypothèses!$W$10,IF(U346&lt;=Hypothèses!$V$11,Hypothèses!$W$11,IF(U346&lt;=Hypothèses!$V$12,Hypothèses!$W$12,IF(U346&lt;=Hypothèses!$V$13,Hypothèses!$W$13,IF(U346&lt;=Hypothèses!$V$14,Hypothèses!$W$14,IF(U346&lt;=Hypothèses!$V$15,Hypothèses!$W$15,IF(U346&lt;=Hypothèses!$V$16,Hypothèses!$W$16,IF(U346&lt;=Hypothèses!$V$17,Hypothèses!$W$17,IF(U346&lt;=Hypothèses!$V$18,Hypothèses!$W$18,""))))))))))))</f>
        <v>#DIV/0!</v>
      </c>
      <c r="AP346" s="87" t="e">
        <f t="shared" ca="1" si="617"/>
        <v>#DIV/0!</v>
      </c>
      <c r="AQ346" s="88" t="e">
        <f ca="1">IF(U346&lt;=Hypothèses!$V$7,Hypothèses!$X$7,IF(U346&lt;=Hypothèses!$V$8,Hypothèses!$X$8,IF(U346&lt;=Hypothèses!$V$9,Hypothèses!$X$9,IF(U346&lt;=Hypothèses!$V$10,Hypothèses!$X$10,IF(U346&lt;=Hypothèses!$V$11,Hypothèses!$X$11,IF(U346&lt;=Hypothèses!$V$12,Hypothèses!$X$12,IF(U346&lt;=Hypothèses!$V$13,Hypothèses!$X$13,IF(U346&lt;=Hypothèses!$V$14,Hypothèses!$X$14,IF(U346&lt;=Hypothèses!$V$15,Hypothèses!$X$15,IF(U346&lt;=Hypothèses!$V$16,Hypothèses!$X$16,IF(U346&lt;=Hypothèses!$U$17,Hypothèses!$W$17,IF(U346&lt;=Hypothèses!$U$18,Hypothèses!$W$18,""))))))))))))</f>
        <v>#DIV/0!</v>
      </c>
      <c r="AR346" s="95" t="e">
        <f t="shared" ca="1" si="572"/>
        <v>#DIV/0!</v>
      </c>
      <c r="AS346" s="101" t="e">
        <f t="shared" si="624"/>
        <v>#N/A</v>
      </c>
      <c r="AT346" s="91" t="e">
        <f t="shared" si="543"/>
        <v>#N/A</v>
      </c>
      <c r="AU346" s="30" t="e">
        <f t="shared" si="602"/>
        <v>#N/A</v>
      </c>
      <c r="AV346" s="30" t="e">
        <f t="shared" si="603"/>
        <v>#N/A</v>
      </c>
      <c r="AW346" s="31" t="e">
        <f>IF(OR(Hypothèses!$B$4=17,Hypothèses!$B$4=18,Hypothèses!$B$4=19,Hypothèses!$B$4=20),
IF($D346="Pressio.",
IF(OR($E346=3,$E346=1,$E346=4),AV346,AU346),
IF($D346="Pénétro.",
IF(OR($E346=3,$E346=1,$E346=4),AV346,AU346))),IF($D346="Pressio.",
IF($E346=3,AV346,AU346),
IF($D346="Pénétro.",
IF($E346=4,AV346,AU346))))</f>
        <v>#N/A</v>
      </c>
      <c r="AX346" s="31" t="e">
        <f>(IF(OR(Hypothèses!$B$4=17,Hypothèses!$B$4=18,Hypothèses!$B$4=19,Hypothèses!$B$4=20),
IF($D346="Pressio.",
IF(OR($E346=3,$E346=1,$E346=4),(PI()*AX$12^2)/4*(AT346*$W346*1000)/($H346*$B$5),(PI()*AX$12^2)/4*(AT346*$W346*1000)/($G346*$B$5)),
IF($D346="Pénétro.",
IF(OR($E346=4,$E346=1,$E346=5),(PI()*AX$12^2)/4*(AT346*$W346*1000)/($H346*$B$5),(PI()*AX$12^2)/4*(AT346*$W346*1000)/($G346*$B$5)))),
IF($D346="Pressio.",
IF($E346=3,(PI()*AX$12^2)/4*(AT346*$W346*1000)/($H346*$B$5),(PI()*AX$12^2)/4*(AT346*$W346*1000)/($G346*$B$5)),
IF($D346="Pénétro.",
IF($E346=4,(PI()*AX$12^2)/4*(AT346*$W346*1000)/($H346*$B$5),(PI()*AX$12^2)/4*(AT346*$W346*1000)/($G346*$B$5))))))/10</f>
        <v>#N/A</v>
      </c>
      <c r="AY346" s="102" t="e">
        <f>(VLOOKUP($B$3,'Coeff EC7'!$T$39:$X$59,2,0)*AW346+VLOOKUP($B$3,'Coeff EC7'!$T$65:$X$85,2,0)*Model0.1C!AX346)/1.1</f>
        <v>#N/A</v>
      </c>
      <c r="AZ346" s="102" t="e">
        <f>(VLOOKUP($B$3,'Coeff EC7'!$T$39:$X$59,3,0)*AW346+VLOOKUP($B$3,'Coeff EC7'!$T$65:$X$85,3,0)*Model0.1C!AX346)/0.9</f>
        <v>#N/A</v>
      </c>
      <c r="BA346" s="102" t="e">
        <f t="shared" si="573"/>
        <v>#N/A</v>
      </c>
      <c r="BB346" s="102" t="e">
        <f t="shared" si="574"/>
        <v>#N/A</v>
      </c>
      <c r="BC346" s="414" t="e">
        <f>IF(BC345=0,0,IF(AND(AY346&gt;charge_ELS_quasi,AZ346&gt;Charge_ELS_freq,BA346&gt;charge_ELU,BB346&gt;charge_ELA,$B346&gt;NDC!$H$22-0.1+MIN(3*$BC$12,1.5)),0,1))</f>
        <v>#N/A</v>
      </c>
      <c r="BD346" s="86" t="b">
        <f t="shared" si="544"/>
        <v>0</v>
      </c>
      <c r="BE346" s="86">
        <f t="shared" si="575"/>
        <v>0.5</v>
      </c>
      <c r="BF346" s="86">
        <f t="shared" si="545"/>
        <v>0.5</v>
      </c>
      <c r="BG346" s="30" t="e">
        <f t="shared" ca="1" si="576"/>
        <v>#DIV/0!</v>
      </c>
      <c r="BH346" s="85" t="e">
        <f ca="1">IF(AN346&lt;=Hypothèses!$V$7,Hypothèses!$W$7,IF(AN346&lt;=Hypothèses!$V$8,Hypothèses!$W$8,IF(AN346&lt;=Hypothèses!$V$9,Hypothèses!$W$9,IF(AN346&lt;=Hypothèses!$V$10,Hypothèses!$W$10,IF(AN346&lt;=Hypothèses!$V$11,Hypothèses!$W$11,IF(AN346&lt;=Hypothèses!$V$12,Hypothèses!$W$12,IF(AN346&lt;=Hypothèses!$V$13,Hypothèses!$W$13,IF(AN346&lt;=Hypothèses!$V$14,Hypothèses!$W$14,IF(AN346&lt;=Hypothèses!$V$15,Hypothèses!$W$15,IF(AN346&lt;=Hypothèses!$V$16,Hypothèses!$W$16,IF(AN346&lt;=Hypothèses!$V$17,Hypothèses!$W$17,IF(AN346&lt;=Hypothèses!$V$18,Hypothèses!$W$18,""))))))))))))</f>
        <v>#DIV/0!</v>
      </c>
      <c r="BI346" s="87" t="e">
        <f t="shared" ca="1" si="618"/>
        <v>#DIV/0!</v>
      </c>
      <c r="BJ346" s="88" t="e">
        <f ca="1">IF(AN346&lt;=Hypothèses!$V$7,Hypothèses!$X$7,IF(AN346&lt;=Hypothèses!$V$8,Hypothèses!$X$8,IF(AN346&lt;=Hypothèses!$V$9,Hypothèses!$X$9,IF(AN346&lt;=Hypothèses!$V$10,Hypothèses!$X$10,IF(AN346&lt;=Hypothèses!$V$11,Hypothèses!$X$11,IF(AN346&lt;=Hypothèses!$V$12,Hypothèses!$X$12,IF(AN346&lt;=Hypothèses!$V$13,Hypothèses!$X$13,IF(AN346&lt;=Hypothèses!$V$14,Hypothèses!$X$14,IF(AN346&lt;=Hypothèses!$V$15,Hypothèses!$X$15,IF(AN346&lt;=Hypothèses!$V$16,Hypothèses!$X$16,IF(AN346&lt;=Hypothèses!$U$17,Hypothèses!$W$17,IF(AN346&lt;=Hypothèses!$U$18,Hypothèses!$W$18,""))))))))))))</f>
        <v>#DIV/0!</v>
      </c>
      <c r="BK346" s="95" t="e">
        <f t="shared" ca="1" si="577"/>
        <v>#DIV/0!</v>
      </c>
      <c r="BL346" s="101" t="e">
        <f t="shared" si="625"/>
        <v>#N/A</v>
      </c>
      <c r="BM346" s="91" t="e">
        <f t="shared" si="546"/>
        <v>#N/A</v>
      </c>
      <c r="BN346" s="30" t="e">
        <f t="shared" si="604"/>
        <v>#N/A</v>
      </c>
      <c r="BO346" s="30" t="e">
        <f t="shared" si="605"/>
        <v>#N/A</v>
      </c>
      <c r="BP346" s="31" t="e">
        <f>IF(OR(Hypothèses!$B$4=17,Hypothèses!$B$4=18,Hypothèses!$B$4=19,Hypothèses!$B$4=20),
IF($D346="Pressio.",
IF(OR($E346=3,$E346=1,$E346=4),BO346,BN346),
IF($D346="Pénétro.",
IF(OR($E346=3,$E346=1,$E346=4),BO346,BN346))),IF($D346="Pressio.",
IF($E346=3,BO346,BN346),
IF($D346="Pénétro.",
IF($E346=4,BO346,BN346))))</f>
        <v>#N/A</v>
      </c>
      <c r="BQ346" s="31" t="e">
        <f>(IF(OR(Hypothèses!$B$4=17,Hypothèses!$B$4=18,Hypothèses!$B$4=19,Hypothèses!$B$4=20),
IF($D346="Pressio.",
IF(OR($E346=3,$E346=1,$E346=4),(PI()*BQ$12^2)/4*(BM346*$W346*1000)/($H346*$B$5),(PI()*BQ$12^2)/4*(BM346*$W346*1000)/($G346*$B$5)),
IF($D346="Pénétro.",
IF(OR($E346=4,$E346=1,$E346=5),(PI()*BQ$12^2)/4*(BM346*$W346*1000)/($H346*$B$5),(PI()*BQ$12^2)/4*(BM346*$W346*1000)/($G346*$B$5)))),
IF($D346="Pressio.",
IF($E346=3,(PI()*BQ$12^2)/4*(BM346*$W346*1000)/($H346*$B$5),(PI()*BQ$12^2)/4*(BM346*$W346*1000)/($G346*$B$5)),
IF($D346="Pénétro.",
IF($E346=4,(PI()*BQ$12^2)/4*(BM346*$W346*1000)/($H346*$B$5),(PI()*BQ$12^2)/4*(BM346*$W346*1000)/($G346*$B$5))))))/10</f>
        <v>#N/A</v>
      </c>
      <c r="BR346" s="102" t="e">
        <f>(VLOOKUP($B$3,'Coeff EC7'!$T$39:$X$59,2,0)*BP346+VLOOKUP($B$3,'Coeff EC7'!$T$65:$X$85,2,0)*Model0.1C!BQ346)/1.1</f>
        <v>#N/A</v>
      </c>
      <c r="BS346" s="102" t="e">
        <f>(VLOOKUP($B$3,'Coeff EC7'!$T$39:$X$59,3,0)*BP346+VLOOKUP($B$3,'Coeff EC7'!$T$65:$X$85,3,0)*Model0.1C!BQ346)/0.9</f>
        <v>#N/A</v>
      </c>
      <c r="BT346" s="102" t="e">
        <f t="shared" si="578"/>
        <v>#N/A</v>
      </c>
      <c r="BU346" s="102" t="e">
        <f t="shared" si="579"/>
        <v>#N/A</v>
      </c>
      <c r="BV346" s="414" t="e">
        <f>IF(BV345=0,0,IF(AND(BR346&gt;charge_ELS_quasi,BS346&gt;Charge_ELS_freq,BT346&gt;charge_ELU,BU346&gt;charge_ELA,$B346&gt;NDC!$H$22-0.1+MIN(3*$BV$12,1.5)),0,1))</f>
        <v>#N/A</v>
      </c>
      <c r="BW346" s="86" t="b">
        <f t="shared" si="547"/>
        <v>0</v>
      </c>
      <c r="BX346" s="86">
        <f t="shared" si="548"/>
        <v>0.5</v>
      </c>
      <c r="BY346" s="86">
        <f t="shared" si="549"/>
        <v>0.5</v>
      </c>
      <c r="BZ346" s="30" t="e">
        <f t="shared" ca="1" si="580"/>
        <v>#DIV/0!</v>
      </c>
      <c r="CA346" s="85" t="e">
        <f ca="1">IF(BG346&lt;=Hypothèses!$V$7,Hypothèses!$W$7,IF(BG346&lt;=Hypothèses!$V$8,Hypothèses!$W$8,IF(BG346&lt;=Hypothèses!$V$9,Hypothèses!$W$9,IF(BG346&lt;=Hypothèses!$V$10,Hypothèses!$W$10,IF(BG346&lt;=Hypothèses!$V$11,Hypothèses!$W$11,IF(BG346&lt;=Hypothèses!$V$12,Hypothèses!$W$12,IF(BG346&lt;=Hypothèses!$V$13,Hypothèses!$W$13,IF(BG346&lt;=Hypothèses!$V$14,Hypothèses!$W$14,IF(BG346&lt;=Hypothèses!$V$15,Hypothèses!$W$15,IF(BG346&lt;=Hypothèses!$V$16,Hypothèses!$W$16,IF(BG346&lt;=Hypothèses!$V$17,Hypothèses!$W$17,IF(BG346&lt;=Hypothèses!$V$18,Hypothèses!$W$18,""))))))))))))</f>
        <v>#DIV/0!</v>
      </c>
      <c r="CB346" s="87" t="e">
        <f t="shared" ca="1" si="619"/>
        <v>#DIV/0!</v>
      </c>
      <c r="CC346" s="88" t="e">
        <f ca="1">IF(BG346&lt;=Hypothèses!$V$7,Hypothèses!$X$7,IF(BG346&lt;=Hypothèses!$V$8,Hypothèses!$X$8,IF(BG346&lt;=Hypothèses!$V$9,Hypothèses!$X$9,IF(BG346&lt;=Hypothèses!$V$10,Hypothèses!$X$10,IF(BG346&lt;=Hypothèses!$V$11,Hypothèses!$X$11,IF(BG346&lt;=Hypothèses!$V$12,Hypothèses!$X$12,IF(BG346&lt;=Hypothèses!$V$13,Hypothèses!$X$13,IF(BG346&lt;=Hypothèses!$V$14,Hypothèses!$X$14,IF(BG346&lt;=Hypothèses!$V$15,Hypothèses!$X$15,IF(BG346&lt;=Hypothèses!$V$16,Hypothèses!$X$16,IF(BG346&lt;=Hypothèses!$U$17,Hypothèses!$W$17,IF(BG346&lt;=Hypothèses!$U$18,Hypothèses!$W$18,""))))))))))))</f>
        <v>#DIV/0!</v>
      </c>
      <c r="CD346" s="95" t="e">
        <f t="shared" ca="1" si="581"/>
        <v>#DIV/0!</v>
      </c>
      <c r="CE346" s="101" t="e">
        <f t="shared" si="626"/>
        <v>#N/A</v>
      </c>
      <c r="CF346" s="91" t="e">
        <f t="shared" si="550"/>
        <v>#N/A</v>
      </c>
      <c r="CG346" s="30" t="e">
        <f t="shared" si="606"/>
        <v>#N/A</v>
      </c>
      <c r="CH346" s="30" t="e">
        <f t="shared" si="607"/>
        <v>#N/A</v>
      </c>
      <c r="CI346" s="31" t="e">
        <f>IF(OR(Hypothèses!$B$4=17,Hypothèses!$B$4=18,Hypothèses!$B$4=19,Hypothèses!$B$4=20),
IF($D346="Pressio.",
IF(OR($E346=3,$E346=1,$E346=4),CH346,CG346),
IF($D346="Pénétro.",
IF(OR($E346=3,$E346=1,$E346=4),CH346,CG346))),IF($D346="Pressio.",
IF($E346=3,CH346,CG346),
IF($D346="Pénétro.",
IF($E346=4,CH346,CG346))))</f>
        <v>#N/A</v>
      </c>
      <c r="CJ346" s="31" t="e">
        <f>(IF(OR(Hypothèses!$B$4=17,Hypothèses!$B$4=18,Hypothèses!$B$4=19,Hypothèses!$B$4=20),
IF($D346="Pressio.",
IF(OR($E346=3,$E346=1,$E346=4),(PI()*CJ$12^2)/4*(CF346*$W346*1000)/($H346*$B$5),(PI()*CJ$12^2)/4*(CF346*$W346*1000)/($G346*$B$5)),
IF($D346="Pénétro.",
IF(OR($E346=4,$E346=1,$E346=5),(PI()*CJ$12^2)/4*(CF346*$W346*1000)/($H346*$B$5),(PI()*CJ$12^2)/4*(CF346*$W346*1000)/($G346*$B$5)))),
IF($D346="Pressio.",
IF($E346=3,(PI()*CJ$12^2)/4*(CF346*$W346*1000)/($H346*$B$5),(PI()*CJ$12^2)/4*(CF346*$W346*1000)/($G346*$B$5)),
IF($D346="Pénétro.",
IF($E346=4,(PI()*CJ$12^2)/4*(CF346*$W346*1000)/($H346*$B$5),(PI()*CJ$12^2)/4*(CF346*$W346*1000)/($G346*$B$5))))))/10</f>
        <v>#N/A</v>
      </c>
      <c r="CK346" s="102" t="e">
        <f>(VLOOKUP($B$3,'Coeff EC7'!$T$39:$X$59,2,0)*CI346+VLOOKUP($B$3,'Coeff EC7'!$T$65:$X$85,2,0)*Model0.1C!CJ346)/1.1</f>
        <v>#N/A</v>
      </c>
      <c r="CL346" s="102" t="e">
        <f>(VLOOKUP($B$3,'Coeff EC7'!$T$39:$X$59,3,0)*CI346+VLOOKUP($B$3,'Coeff EC7'!$T$65:$X$85,3,0)*Model0.1C!CJ346)/0.9</f>
        <v>#N/A</v>
      </c>
      <c r="CM346" s="102" t="e">
        <f t="shared" si="582"/>
        <v>#N/A</v>
      </c>
      <c r="CN346" s="102" t="e">
        <f t="shared" si="583"/>
        <v>#N/A</v>
      </c>
      <c r="CO346" s="414" t="e">
        <f>IF(CO345=0,0,IF(AND(CK346&gt;charge_ELS_quasi,CL346&gt;Charge_ELS_freq,CM346&gt;charge_ELU,CN346&gt;charge_ELA,$B346&gt;NDC!$H$22-0.1+MIN(3*$CO$12,1.5)),0,1))</f>
        <v>#N/A</v>
      </c>
      <c r="CP346" s="86" t="b">
        <f t="shared" si="551"/>
        <v>0</v>
      </c>
      <c r="CQ346" s="86">
        <f t="shared" si="552"/>
        <v>0.5</v>
      </c>
      <c r="CR346" s="86">
        <f t="shared" si="553"/>
        <v>0.5</v>
      </c>
      <c r="CS346" s="30" t="e">
        <f t="shared" ca="1" si="584"/>
        <v>#DIV/0!</v>
      </c>
      <c r="CT346" s="85" t="e">
        <f ca="1">IF(BZ346&lt;=Hypothèses!$V$7,Hypothèses!$W$7,IF(BZ346&lt;=Hypothèses!$V$8,Hypothèses!$W$8,IF(BZ346&lt;=Hypothèses!$V$9,Hypothèses!$W$9,IF(BZ346&lt;=Hypothèses!$V$10,Hypothèses!$W$10,IF(BZ346&lt;=Hypothèses!$V$11,Hypothèses!$W$11,IF(BZ346&lt;=Hypothèses!$V$12,Hypothèses!$W$12,IF(BZ346&lt;=Hypothèses!$V$13,Hypothèses!$W$13,IF(BZ346&lt;=Hypothèses!$V$14,Hypothèses!$W$14,IF(BZ346&lt;=Hypothèses!$V$15,Hypothèses!$W$15,IF(BZ346&lt;=Hypothèses!$V$16,Hypothèses!$W$16,IF(BZ346&lt;=Hypothèses!$V$17,Hypothèses!$W$17,IF(BZ346&lt;=Hypothèses!$V$18,Hypothèses!$W$18,""))))))))))))</f>
        <v>#DIV/0!</v>
      </c>
      <c r="CU346" s="87" t="e">
        <f t="shared" ca="1" si="620"/>
        <v>#DIV/0!</v>
      </c>
      <c r="CV346" s="88" t="e">
        <f ca="1">IF(BZ346&lt;=Hypothèses!$V$7,Hypothèses!$X$7,IF(BZ346&lt;=Hypothèses!$V$8,Hypothèses!$X$8,IF(BZ346&lt;=Hypothèses!$V$9,Hypothèses!$X$9,IF(BZ346&lt;=Hypothèses!$V$10,Hypothèses!$X$10,IF(BZ346&lt;=Hypothèses!$V$11,Hypothèses!$X$11,IF(BZ346&lt;=Hypothèses!$V$12,Hypothèses!$X$12,IF(BZ346&lt;=Hypothèses!$V$13,Hypothèses!$X$13,IF(BZ346&lt;=Hypothèses!$V$14,Hypothèses!$X$14,IF(BZ346&lt;=Hypothèses!$V$15,Hypothèses!$X$15,IF(BZ346&lt;=Hypothèses!$V$16,Hypothèses!$X$16,IF(BZ346&lt;=Hypothèses!$U$17,Hypothèses!$W$17,IF(BZ346&lt;=Hypothèses!$U$18,Hypothèses!$W$18,""))))))))))))</f>
        <v>#DIV/0!</v>
      </c>
      <c r="CW346" s="95" t="e">
        <f t="shared" ca="1" si="585"/>
        <v>#DIV/0!</v>
      </c>
      <c r="CX346" s="101" t="e">
        <f t="shared" si="627"/>
        <v>#N/A</v>
      </c>
      <c r="CY346" s="91" t="e">
        <f t="shared" si="554"/>
        <v>#N/A</v>
      </c>
      <c r="CZ346" s="30" t="e">
        <f t="shared" si="608"/>
        <v>#N/A</v>
      </c>
      <c r="DA346" s="30" t="e">
        <f t="shared" si="609"/>
        <v>#N/A</v>
      </c>
      <c r="DB346" s="31" t="e">
        <f>IF(OR(Hypothèses!$B$4=17,Hypothèses!$B$4=18,Hypothèses!$B$4=19,Hypothèses!$B$4=20),
IF($D346="Pressio.",
IF(OR($E346=3,$E346=1,$E346=4),DA346,CZ346),
IF($D346="Pénétro.",
IF(OR($E346=3,$E346=1,$E346=4),DA346,CZ346))),IF($D346="Pressio.",
IF($E346=3,DA346,CZ346),
IF($D346="Pénétro.",
IF($E346=4,DA346,CZ346))))</f>
        <v>#N/A</v>
      </c>
      <c r="DC346" s="31" t="e">
        <f>(IF(OR(Hypothèses!$B$4=17,Hypothèses!$B$4=18,Hypothèses!$B$4=19,Hypothèses!$B$4=20),
IF($D346="Pressio.",
IF(OR($E346=3,$E346=1,$E346=4),(PI()*DC$12^2)/4*(CY346*$W346*1000)/($H346*$B$5),(PI()*DC$12^2)/4*(CY346*$W346*1000)/($G346*$B$5)),
IF($D346="Pénétro.",
IF(OR($E346=4,$E346=1,$E346=5),(PI()*DC$12^2)/4*(CY346*$W346*1000)/($H346*$B$5),(PI()*DC$12^2)/4*(CY346*$W346*1000)/($G346*$B$5)))),
IF($D346="Pressio.",
IF($E346=3,(PI()*DC$12^2)/4*(CY346*$W346*1000)/($H346*$B$5),(PI()*DC$12^2)/4*(CY346*$W346*1000)/($G346*$B$5)),
IF($D346="Pénétro.",
IF($E346=4,(PI()*DC$12^2)/4*(CY346*$W346*1000)/($H346*$B$5),(PI()*DC$12^2)/4*(CY346*$W346*1000)/($G346*$B$5))))))/10</f>
        <v>#N/A</v>
      </c>
      <c r="DD346" s="102" t="e">
        <f>(VLOOKUP($B$3,'Coeff EC7'!$T$39:$X$59,2,0)*DB346+VLOOKUP($B$3,'Coeff EC7'!$T$65:$X$85,2,0)*Model0.1C!DC346)/1.1</f>
        <v>#N/A</v>
      </c>
      <c r="DE346" s="102" t="e">
        <f>(VLOOKUP($B$3,'Coeff EC7'!$T$39:$X$59,3,0)*DB346+VLOOKUP($B$3,'Coeff EC7'!$T$65:$X$85,3,0)*Model0.1C!DC346)/0.9</f>
        <v>#N/A</v>
      </c>
      <c r="DF346" s="102" t="e">
        <f t="shared" si="586"/>
        <v>#N/A</v>
      </c>
      <c r="DG346" s="102" t="e">
        <f t="shared" si="587"/>
        <v>#N/A</v>
      </c>
      <c r="DH346" s="414" t="e">
        <f>IF(DH345=0,0,IF(AND(DD346&gt;charge_ELS_quasi,DE346&gt;Charge_ELS_freq,DF346&gt;charge_ELU,DG346&gt;charge_ELA,$B346&gt;NDC!$H$22-0.1+MIN(3*$DH$12,1.5)),0,1))</f>
        <v>#N/A</v>
      </c>
      <c r="DI346" s="86" t="b">
        <f t="shared" si="555"/>
        <v>0</v>
      </c>
      <c r="DJ346" s="86">
        <f t="shared" si="556"/>
        <v>0.5</v>
      </c>
      <c r="DK346" s="86">
        <f t="shared" si="557"/>
        <v>0.5</v>
      </c>
      <c r="DL346" s="30" t="e">
        <f t="shared" ca="1" si="588"/>
        <v>#DIV/0!</v>
      </c>
      <c r="DM346" s="85" t="e">
        <f ca="1">IF(CS346&lt;=Hypothèses!$V$7,Hypothèses!$W$7,IF(CS346&lt;=Hypothèses!$V$8,Hypothèses!$W$8,IF(CS346&lt;=Hypothèses!$V$9,Hypothèses!$W$9,IF(CS346&lt;=Hypothèses!$V$10,Hypothèses!$W$10,IF(CS346&lt;=Hypothèses!$V$11,Hypothèses!$W$11,IF(CS346&lt;=Hypothèses!$V$12,Hypothèses!$W$12,IF(CS346&lt;=Hypothèses!$V$13,Hypothèses!$W$13,IF(CS346&lt;=Hypothèses!$V$14,Hypothèses!$W$14,IF(CS346&lt;=Hypothèses!$V$15,Hypothèses!$W$15,IF(CS346&lt;=Hypothèses!$V$16,Hypothèses!$W$16,IF(CS346&lt;=Hypothèses!$V$17,Hypothèses!$W$17,IF(CS346&lt;=Hypothèses!$V$18,Hypothèses!$W$18,""))))))))))))</f>
        <v>#DIV/0!</v>
      </c>
      <c r="DN346" s="87" t="e">
        <f t="shared" ca="1" si="621"/>
        <v>#DIV/0!</v>
      </c>
      <c r="DO346" s="88" t="e">
        <f ca="1">IF(CS346&lt;=Hypothèses!$V$7,Hypothèses!$X$7,IF(CS346&lt;=Hypothèses!$V$8,Hypothèses!$X$8,IF(CS346&lt;=Hypothèses!$V$9,Hypothèses!$X$9,IF(CS346&lt;=Hypothèses!$V$10,Hypothèses!$X$10,IF(CS346&lt;=Hypothèses!$V$11,Hypothèses!$X$11,IF(CS346&lt;=Hypothèses!$V$12,Hypothèses!$X$12,IF(CS346&lt;=Hypothèses!$V$13,Hypothèses!$X$13,IF(CS346&lt;=Hypothèses!$V$14,Hypothèses!$X$14,IF(CS346&lt;=Hypothèses!$V$15,Hypothèses!$X$15,IF(CS346&lt;=Hypothèses!$V$16,Hypothèses!$X$16,IF(CS346&lt;=Hypothèses!$U$17,Hypothèses!$W$17,IF(CS346&lt;=Hypothèses!$U$18,Hypothèses!$W$18,""))))))))))))</f>
        <v>#DIV/0!</v>
      </c>
      <c r="DP346" s="95" t="e">
        <f t="shared" ca="1" si="589"/>
        <v>#DIV/0!</v>
      </c>
      <c r="DQ346" s="101" t="e">
        <f t="shared" si="628"/>
        <v>#N/A</v>
      </c>
      <c r="DR346" s="91" t="e">
        <f t="shared" si="558"/>
        <v>#N/A</v>
      </c>
      <c r="DS346" s="30" t="e">
        <f t="shared" si="610"/>
        <v>#N/A</v>
      </c>
      <c r="DT346" s="30" t="e">
        <f t="shared" si="611"/>
        <v>#N/A</v>
      </c>
      <c r="DU346" s="31" t="e">
        <f>IF(OR(Hypothèses!$B$4=17,Hypothèses!$B$4=18,Hypothèses!$B$4=19,Hypothèses!$B$4=20),
IF($D346="Pressio.",
IF(OR($E346=3,$E346=1,$E346=4),DT346,DS346),
IF($D346="Pénétro.",
IF(OR($E346=3,$E346=1,$E346=4),DT346,DS346))),IF($D346="Pressio.",
IF($E346=3,DT346,DS346),
IF($D346="Pénétro.",
IF($E346=4,DT346,DS346))))</f>
        <v>#N/A</v>
      </c>
      <c r="DV346" s="31" t="e">
        <f>(IF(OR(Hypothèses!$B$4=17,Hypothèses!$B$4=18,Hypothèses!$B$4=19,Hypothèses!$B$4=20),
IF($D346="Pressio.",
IF(OR($E346=3,$E346=1,$E346=4),(PI()*DV$12^2)/4*(DR346*$W346*1000)/($H346*$B$5),(PI()*DV$12^2)/4*(DR346*$W346*1000)/($G346*$B$5)),
IF($D346="Pénétro.",
IF(OR($E346=4,$E346=1,$E346=5),(PI()*DV$12^2)/4*(DR346*$W346*1000)/($H346*$B$5),(PI()*DV$12^2)/4*(DR346*$W346*1000)/($G346*$B$5)))),
IF($D346="Pressio.",
IF($E346=3,(PI()*DV$12^2)/4*(DR346*$W346*1000)/($H346*$B$5),(PI()*DV$12^2)/4*(DR346*$W346*1000)/($G346*$B$5)),
IF($D346="Pénétro.",
IF($E346=4,(PI()*DV$12^2)/4*(DR346*$W346*1000)/($H346*$B$5),(PI()*DV$12^2)/4*(DR346*$W346*1000)/($G346*$B$5))))))/10</f>
        <v>#N/A</v>
      </c>
      <c r="DW346" s="102" t="e">
        <f>(VLOOKUP($B$3,'Coeff EC7'!$T$39:$X$59,2,0)*DU346+VLOOKUP($B$3,'Coeff EC7'!$T$65:$X$85,2,0)*Model0.1C!DV346)/1.1</f>
        <v>#N/A</v>
      </c>
      <c r="DX346" s="102" t="e">
        <f>(VLOOKUP($B$3,'Coeff EC7'!$T$39:$X$59,3,0)*DU346+VLOOKUP($B$3,'Coeff EC7'!$T$65:$X$85,3,0)*Model0.1C!DV346)/0.9</f>
        <v>#N/A</v>
      </c>
      <c r="DY346" s="102" t="e">
        <f t="shared" si="590"/>
        <v>#N/A</v>
      </c>
      <c r="DZ346" s="102" t="e">
        <f t="shared" si="591"/>
        <v>#N/A</v>
      </c>
      <c r="EA346" s="414" t="e">
        <f>IF(EA345=0,0,IF(AND(DW346&gt;charge_ELS_quasi,DX346&gt;Charge_ELS_freq,DY346&gt;charge_ELU,DZ346&gt;charge_ELA,$B346&gt;NDC!$H$22-0.1+MIN(3*$EA$12,1.5)),0,1))</f>
        <v>#N/A</v>
      </c>
      <c r="EB346" s="86" t="b">
        <f t="shared" si="559"/>
        <v>0</v>
      </c>
      <c r="EC346" s="418">
        <f t="shared" si="560"/>
        <v>0.51</v>
      </c>
      <c r="ED346" s="86">
        <f t="shared" si="561"/>
        <v>0.51</v>
      </c>
      <c r="EE346" s="30" t="e">
        <f t="shared" ca="1" si="592"/>
        <v>#DIV/0!</v>
      </c>
      <c r="EF346" s="85" t="e">
        <f ca="1">IF(DL346&lt;=Hypothèses!$V$7,Hypothèses!$W$7,IF(DL346&lt;=Hypothèses!$V$8,Hypothèses!$W$8,IF(DL346&lt;=Hypothèses!$V$9,Hypothèses!$W$9,IF(DL346&lt;=Hypothèses!$V$10,Hypothèses!$W$10,IF(DL346&lt;=Hypothèses!$V$11,Hypothèses!$W$11,IF(DL346&lt;=Hypothèses!$V$12,Hypothèses!$W$12,IF(DL346&lt;=Hypothèses!$V$13,Hypothèses!$W$13,IF(DL346&lt;=Hypothèses!$V$14,Hypothèses!$W$14,IF(DL346&lt;=Hypothèses!$V$15,Hypothèses!$W$15,IF(DL346&lt;=Hypothèses!$V$16,Hypothèses!$W$16,IF(DL346&lt;=Hypothèses!$V$17,Hypothèses!$W$17,IF(DL346&lt;=Hypothèses!$V$18,Hypothèses!$W$18,""))))))))))))</f>
        <v>#DIV/0!</v>
      </c>
      <c r="EG346" s="87" t="e">
        <f t="shared" ca="1" si="622"/>
        <v>#DIV/0!</v>
      </c>
      <c r="EH346" s="88" t="e">
        <f ca="1">IF(DL346&lt;=Hypothèses!$V$7,Hypothèses!$X$7,IF(DL346&lt;=Hypothèses!$V$8,Hypothèses!$X$8,IF(DL346&lt;=Hypothèses!$V$9,Hypothèses!$X$9,IF(DL346&lt;=Hypothèses!$V$10,Hypothèses!$X$10,IF(DL346&lt;=Hypothèses!$V$11,Hypothèses!$X$11,IF(DL346&lt;=Hypothèses!$V$12,Hypothèses!$X$12,IF(DL346&lt;=Hypothèses!$V$13,Hypothèses!$X$13,IF(DL346&lt;=Hypothèses!$V$14,Hypothèses!$X$14,IF(DL346&lt;=Hypothèses!$V$15,Hypothèses!$X$15,IF(DL346&lt;=Hypothèses!$V$16,Hypothèses!$X$16,IF(DL346&lt;=Hypothèses!$U$17,Hypothèses!$W$17,IF(DL346&lt;=Hypothèses!$U$18,Hypothèses!$W$18,""))))))))))))</f>
        <v>#DIV/0!</v>
      </c>
      <c r="EI346" s="95" t="e">
        <f t="shared" ca="1" si="593"/>
        <v>#DIV/0!</v>
      </c>
      <c r="EJ346" s="101" t="e">
        <f t="shared" si="629"/>
        <v>#N/A</v>
      </c>
      <c r="EK346" s="91" t="e">
        <f t="shared" si="562"/>
        <v>#N/A</v>
      </c>
      <c r="EL346" s="30" t="e">
        <f t="shared" si="612"/>
        <v>#N/A</v>
      </c>
      <c r="EM346" s="30" t="e">
        <f t="shared" si="613"/>
        <v>#N/A</v>
      </c>
      <c r="EN346" s="31" t="e">
        <f>IF(OR(Hypothèses!$B$4=17,Hypothèses!$B$4=18,Hypothèses!$B$4=19,Hypothèses!$B$4=20),
IF($D346="Pressio.",
IF(OR($E346=3,$E346=1,$E346=4),EM346,EL346),
IF($D346="Pénétro.",
IF(OR($E346=3,$E346=1,$E346=4),EM346,EL346))),IF($D346="Pressio.",
IF($E346=3,EM346,EL346),
IF($D346="Pénétro.",
IF($E346=4,EM346,EL346))))</f>
        <v>#N/A</v>
      </c>
      <c r="EO346" s="31" t="e">
        <f>(IF(OR(Hypothèses!$B$4=17,Hypothèses!$B$4=18,Hypothèses!$B$4=19,Hypothèses!$B$4=20),
IF($D346="Pressio.",
IF(OR($E346=3,$E346=1,$E346=4),(PI()*EO$12^2)/4*(EK346*$W346*1000)/($H346*$B$5),(PI()*EO$12^2)/4*(EK346*$W346*1000)/($G346*$B$5)),
IF($D346="Pénétro.",
IF(OR($E346=4,$E346=1,$E346=5),(PI()*EO$12^2)/4*(EK346*$W346*1000)/($H346*$B$5),(PI()*EO$12^2)/4*(EK346*$W346*1000)/($G346*$B$5)))),
IF($D346="Pressio.",
IF($E346=3,(PI()*EO$12^2)/4*(EK346*$W346*1000)/($H346*$B$5),(PI()*EO$12^2)/4*(EK346*$W346*1000)/($G346*$B$5)),
IF($D346="Pénétro.",
IF($E346=4,(PI()*EO$12^2)/4*(EK346*$W346*1000)/($H346*$B$5),(PI()*EO$12^2)/4*(EK346*$W346*1000)/($G346*$B$5))))))/10</f>
        <v>#N/A</v>
      </c>
      <c r="EP346" s="102" t="e">
        <f>(VLOOKUP($B$3,'Coeff EC7'!$T$39:$X$59,2,0)*EN346+VLOOKUP($B$3,'Coeff EC7'!$T$65:$X$85,2,0)*Model0.1C!EO346)/1.1</f>
        <v>#N/A</v>
      </c>
      <c r="EQ346" s="102" t="e">
        <f>(VLOOKUP($B$3,'Coeff EC7'!$T$39:$X$59,3,0)*EN346+VLOOKUP($B$3,'Coeff EC7'!$T$65:$X$85,3,0)*Model0.1C!EO346)/0.9</f>
        <v>#N/A</v>
      </c>
      <c r="ER346" s="102" t="e">
        <f t="shared" si="594"/>
        <v>#N/A</v>
      </c>
      <c r="ES346" s="102" t="e">
        <f t="shared" si="595"/>
        <v>#N/A</v>
      </c>
      <c r="ET346" s="414" t="e">
        <f>IF(ET345=0,0,IF(AND(EP346&gt;charge_ELS_quasi,EQ346&gt;Charge_ELS_freq,ER346&gt;charge_ELU,ES346&gt;charge_ELA,$B346&gt;NDC!$H$22-0.1+MIN(3*$ET$12,1.5)),0,1))</f>
        <v>#N/A</v>
      </c>
      <c r="EU346" s="86" t="b">
        <f t="shared" si="563"/>
        <v>0</v>
      </c>
      <c r="EV346" s="86">
        <f t="shared" si="564"/>
        <v>0.61</v>
      </c>
      <c r="EW346" s="86">
        <f t="shared" si="565"/>
        <v>0.61</v>
      </c>
      <c r="EX346" s="30" t="e">
        <f t="shared" ca="1" si="596"/>
        <v>#DIV/0!</v>
      </c>
      <c r="EY346" s="85" t="e">
        <f ca="1">IF(EE346&lt;=Hypothèses!$V$7,Hypothèses!$W$7,IF(EE346&lt;=Hypothèses!$V$8,Hypothèses!$W$8,IF(EE346&lt;=Hypothèses!$V$9,Hypothèses!$W$9,IF(EE346&lt;=Hypothèses!$V$10,Hypothèses!$W$10,IF(EE346&lt;=Hypothèses!$V$11,Hypothèses!$W$11,IF(EE346&lt;=Hypothèses!$V$12,Hypothèses!$W$12,IF(EE346&lt;=Hypothèses!$V$13,Hypothèses!$W$13,IF(EE346&lt;=Hypothèses!$V$14,Hypothèses!$W$14,IF(EE346&lt;=Hypothèses!$V$15,Hypothèses!$W$15,IF(EE346&lt;=Hypothèses!$V$16,Hypothèses!$W$16,IF(EE346&lt;=Hypothèses!$V$17,Hypothèses!$W$17,IF(EE346&lt;=Hypothèses!$V$18,Hypothèses!$W$18,""))))))))))))</f>
        <v>#DIV/0!</v>
      </c>
      <c r="EZ346" s="87" t="e">
        <f t="shared" ca="1" si="623"/>
        <v>#DIV/0!</v>
      </c>
      <c r="FA346" s="88" t="e">
        <f ca="1">IF(EE346&lt;=Hypothèses!$V$7,Hypothèses!$X$7,IF(EE346&lt;=Hypothèses!$V$8,Hypothèses!$X$8,IF(EE346&lt;=Hypothèses!$V$9,Hypothèses!$X$9,IF(EE346&lt;=Hypothèses!$V$10,Hypothèses!$X$10,IF(EE346&lt;=Hypothèses!$V$11,Hypothèses!$X$11,IF(EE346&lt;=Hypothèses!$V$12,Hypothèses!$X$12,IF(EE346&lt;=Hypothèses!$V$13,Hypothèses!$X$13,IF(EE346&lt;=Hypothèses!$V$14,Hypothèses!$X$14,IF(EE346&lt;=Hypothèses!$V$15,Hypothèses!$X$15,IF(EE346&lt;=Hypothèses!$V$16,Hypothèses!$X$16,IF(EE346&lt;=Hypothèses!$U$17,Hypothèses!$W$17,IF(EE346&lt;=Hypothèses!$U$18,Hypothèses!$W$18,""))))))))))))</f>
        <v>#DIV/0!</v>
      </c>
      <c r="FB346" s="95" t="e">
        <f t="shared" ca="1" si="597"/>
        <v>#DIV/0!</v>
      </c>
      <c r="FC346" s="101" t="e">
        <f t="shared" si="630"/>
        <v>#N/A</v>
      </c>
      <c r="FD346" s="91" t="e">
        <f t="shared" si="566"/>
        <v>#N/A</v>
      </c>
      <c r="FE346" s="30" t="e">
        <f t="shared" si="614"/>
        <v>#N/A</v>
      </c>
      <c r="FF346" s="30" t="e">
        <f t="shared" si="615"/>
        <v>#N/A</v>
      </c>
      <c r="FG346" s="31" t="e">
        <f>IF(OR(Hypothèses!$B$4=17,Hypothèses!$B$4=18,Hypothèses!$B$4=19,Hypothèses!$B$4=20),
IF($D346="Pressio.",
IF(OR($E346=3,$E346=1,$E346=4),FF346,FE346),
IF($D346="Pénétro.",
IF(OR($E346=3,$E346=1,$E346=4),FF346,FE346))),IF($D346="Pressio.",
IF($E346=3,FF346,FE346),
IF($D346="Pénétro.",
IF($E346=4,FF346,FE346))))</f>
        <v>#N/A</v>
      </c>
      <c r="FH346" s="31" t="e">
        <f>(IF(OR(Hypothèses!$B$4=17,Hypothèses!$B$4=18,Hypothèses!$B$4=19,Hypothèses!$B$4=20),
IF($D346="Pressio.",
IF(OR($E346=3,$E346=1,$E346=4),(PI()*FH$12^2)/4*(FD346*$W346*1000)/($H346*$B$5),(PI()*FH$12^2)/4*(FD346*$W346*1000)/($G346*$B$5)),
IF($D346="Pénétro.",
IF(OR($E346=4,$E346=1,$E346=5),(PI()*FH$12^2)/4*(FD346*$W346*1000)/($H346*$B$5),(PI()*FH$12^2)/4*(FD346*$W346*1000)/($G346*$B$5)))),
IF($D346="Pressio.",
IF($E346=3,(PI()*FH$12^2)/4*(FD346*$W346*1000)/($H346*$B$5),(PI()*FH$12^2)/4*(FD346*$W346*1000)/($G346*$B$5)),
IF($D346="Pénétro.",
IF($E346=4,(PI()*FH$12^2)/4*(FD346*$W346*1000)/($H346*$B$5),(PI()*FH$12^2)/4*(FD346*$W346*1000)/($G346*$B$5))))))/10</f>
        <v>#N/A</v>
      </c>
      <c r="FI346" s="102" t="e">
        <f>(VLOOKUP($B$3,'Coeff EC7'!$T$39:$X$59,2,0)*FG346+VLOOKUP($B$3,'Coeff EC7'!$T$65:$X$85,2,0)*Model0.1C!FH346)/1.1</f>
        <v>#N/A</v>
      </c>
      <c r="FJ346" s="102" t="e">
        <f>(VLOOKUP($B$3,'Coeff EC7'!$T$39:$X$59,3,0)*FG346+VLOOKUP($B$3,'Coeff EC7'!$T$65:$X$85,3,0)*Model0.1C!FH346)/0.9</f>
        <v>#N/A</v>
      </c>
      <c r="FK346" s="102" t="e">
        <f t="shared" si="598"/>
        <v>#N/A</v>
      </c>
      <c r="FL346" s="102" t="e">
        <f t="shared" si="599"/>
        <v>#N/A</v>
      </c>
      <c r="FM346" s="414" t="e">
        <f>IF(FM345=0,0,IF(AND(FI346&gt;charge_ELS_quasi,FJ346&gt;Charge_ELS_freq,FK346&gt;charge_ELU,FL346&gt;charge_ELA,$B346&gt;NDC!$H$22-0.1+MIN(3*$FM$12,1.5)),0,1))</f>
        <v>#N/A</v>
      </c>
    </row>
    <row r="347" spans="1:169">
      <c r="A347" s="96">
        <f t="shared" si="567"/>
        <v>66.600000000001899</v>
      </c>
      <c r="B347" s="97">
        <v>33.4</v>
      </c>
      <c r="C347" s="81">
        <f>IF(B347&lt;=Hypothèses!$C$7,Hypothèses!$A$7,IF(B347&lt;=Hypothèses!$C$8,Hypothèses!$A$8,IF(B347&lt;=Hypothèses!$C$9,Hypothèses!$A$9,IF(B347&lt;=Hypothèses!$C$10,Hypothèses!$A$10,IF(B347&lt;=Hypothèses!$C$11,Hypothèses!$A$11,IF(B347&lt;=Hypothèses!$C$12,Hypothèses!$A$12,IF(B347&lt;=Hypothèses!$C$13,Hypothèses!$A$13,IF(B347&lt;=Hypothèses!$C$14,Hypothèses!$A$14,IF(B347&lt;=Hypothèses!$C$15,Hypothèses!$A$15,IF(B347&lt;=Hypothèses!$C$16,Hypothèses!$A$16,IF(B347&lt;=Hypothèses!$C$17,Hypothèses!$A$17,IF(B347&lt;=Hypothèses!$C$18,Hypothèses!$A$18,C346))))))))))))</f>
        <v>11</v>
      </c>
      <c r="D347" s="82" t="str">
        <f>IF(B347&lt;=Hypothèses!$C$7,Hypothèses!$R$7,IF(B347&lt;=Hypothèses!$C$8,Hypothèses!$R$8,IF(B347&lt;=Hypothèses!$C$9,Hypothèses!$R$9,IF(B347&lt;=Hypothèses!$C$10,Hypothèses!$R$10,IF(B347&lt;=Hypothèses!$C$11,Hypothèses!$R$11,IF(B347&lt;=Hypothèses!$C$12,Hypothèses!$R$12,IF(B347&lt;=Hypothèses!$C$13,Hypothèses!$R$13,IF(B347&lt;=Hypothèses!$C$14,Hypothèses!$R$14,IF(B347&lt;=Hypothèses!$C$15,Hypothèses!$R$15,IF(B347&lt;=Hypothèses!$C$16,Hypothèses!$R$16,IF(B347&lt;=Hypothèses!$C$17,Hypothèses!$R$17,IF(B347&lt;=Hypothèses!$C$18,Hypothèses!$R$18,D346))))))))))))</f>
        <v>Pressio.</v>
      </c>
      <c r="E347" s="82" t="e">
        <f>IF(B347&lt;=Hypothèses!$C$7,Hypothèses!$G$7,IF(B347&lt;=Hypothèses!$C$8,Hypothèses!$G$8,IF(B347&lt;=Hypothèses!$C$9,Hypothèses!$G$9,IF(B347&lt;=Hypothèses!$C$10,Hypothèses!$G$10,IF(B347&lt;=Hypothèses!$C$11,Hypothèses!$G$11,IF(B347&lt;=Hypothèses!$C$12,Hypothèses!$G$12,IF(B347&lt;=Hypothèses!$C$13,Hypothèses!$G$13,IF(B347&lt;=Hypothèses!$C$14,Hypothèses!$G$14,IF(B347&lt;=Hypothèses!$C$15,Hypothèses!$G$15,IF(B347&lt;=Hypothèses!$C$16,Hypothèses!$G$16,IF(B347&lt;=Hypothèses!$C$17,Hypothèses!$G$17,IF(B347&lt;=Hypothèses!$C$18,Hypothèses!$G$18,E346))))))))))))</f>
        <v>#N/A</v>
      </c>
      <c r="F347" s="82" t="str">
        <f>IF(B347&lt;=Hypothèses!$C$7,Hypothèses!$F$7,IF(B347&lt;=Hypothèses!$C$8,Hypothèses!$F$8,IF(B347&lt;=Hypothèses!$C$9,Hypothèses!$F$9,IF(B347&lt;=Hypothèses!$C$10,Hypothèses!$F$10,IF(B347&lt;=Hypothèses!$C$11,Hypothèses!$F$11,IF(B347&lt;=Hypothèses!$C$12,Hypothèses!$F$12,IF(B347&lt;=Hypothèses!$C$13,Hypothèses!$F$13,IF(B347&lt;=Hypothèses!$C$14,Hypothèses!$F$14,IF(B347&lt;=Hypothèses!$C$15,Hypothèses!$F$15,IF(B347&lt;=Hypothèses!$C$16,Hypothèses!$F$16,IF(B347&lt;=Hypothèses!$C$17,Hypothèses!$F$17,IF(B347&lt;=Hypothèses!$C$18,Hypothèses!$F$18,F346))))))))))))</f>
        <v/>
      </c>
      <c r="G347" s="91">
        <f t="array" ref="G347">INDEX('Coeff EC7'!$U$7:$X$27,
MATCH(Model0.1C!$B$3,'Coeff EC7'!$T$7:$T$27,0),
MATCH(Model0.1C!$D347&amp;Model0.1C!$B$4,
'Coeff EC7'!$U$6:$X$6&amp;
'Coeff EC7'!$U$5:$X$5,0))</f>
        <v>1.1499999999999999</v>
      </c>
      <c r="H347" s="91">
        <f t="array" ref="H347">INDEX('Coeff EC7'!$Y$7:$AB$27,
MATCH(Model0.1C!$B$3,'Coeff EC7'!$T$7:$T$27,0),
MATCH(Model0.1C!$D347&amp;Model0.1C!$B$4,
'Coeff EC7'!$Y$6:$AB$6&amp;
'Coeff EC7'!$Y$5:$AB$5,0))</f>
        <v>1.4</v>
      </c>
      <c r="I347" s="83" t="e">
        <f>IF(B347&lt;=Hypothèses!$C$7,Hypothèses!$P$7,IF(B347&lt;=Hypothèses!$C$8,Hypothèses!$P$8,IF(B347&lt;=Hypothèses!$C$9,Hypothèses!$P$9,IF(B347&lt;=Hypothèses!$C$10,Hypothèses!$P$10,IF(B347&lt;=Hypothèses!$C$11,Hypothèses!$P$11,IF(B347&lt;=Hypothèses!$C$12,Hypothèses!$P$12,IF(B347&lt;=Hypothèses!$C$13,Hypothèses!$P$13,IF(B347&lt;=Hypothèses!$C$14,Hypothèses!$P$14,IF(B347&lt;=Hypothèses!$C$15,Hypothèses!$P$15,IF(B347&lt;=Hypothèses!$C$16,Hypothèses!$P$16,IF(B347&lt;=Hypothèses!$C$17,Hypothèses!$P$17,IF(B347&lt;=Hypothèses!$C$18,Hypothèses!$P$18,I346))))))))))))</f>
        <v>#N/A</v>
      </c>
      <c r="J347" s="91" t="e">
        <f t="array" ref="J347">INDEX('Coeff EC7'!$D$33:$Q$33,1,MATCH(D347&amp;E347,'Coeff EC7'!$D$31:$Q$31&amp;'Coeff EC7'!$D$32:$Q$32,0))</f>
        <v>#N/A</v>
      </c>
      <c r="K347" s="91" t="e">
        <f t="array" ref="K347">INDEX('Coeff EC7'!$D$34:$Q$34,1,MATCH(D347&amp;E347,'Coeff EC7'!$D$31:$Q$31&amp;'Coeff EC7'!$D$32:$Q$32,0))</f>
        <v>#N/A</v>
      </c>
      <c r="L347" s="91" t="e">
        <f t="array" ref="L347">INDEX('Coeff EC7'!$D$35:$Q$35,1,MATCH(D347&amp;E347,'Coeff EC7'!$D$31:$Q$31&amp;'Coeff EC7'!$D$32:$Q$32,0))</f>
        <v>#N/A</v>
      </c>
      <c r="M347" s="98" t="e">
        <f t="shared" si="531"/>
        <v>#N/A</v>
      </c>
      <c r="N347" s="99" t="e">
        <f t="array" ref="N347">INDEX('Coeff EC7'!$D$7:$Q$27,MATCH($B$3,'Coeff EC7'!$C$7:$C$27,0),MATCH(D347&amp;E347,'Coeff EC7'!$D$5:$Q$5&amp;'Coeff EC7'!$D$6:$Q$6,0))</f>
        <v>#N/A</v>
      </c>
      <c r="O347" s="99" t="e">
        <f t="array" ref="O347">INDEX('Coeff EC7'!$D$41:$Q$61,MATCH($B$3,'Coeff EC7'!$C$41:$C$61,0),MATCH(D347&amp;E347,'Coeff EC7'!$D$39:$Q$39&amp;'Coeff EC7'!$D$40:$Q$40,0))</f>
        <v>#N/A</v>
      </c>
      <c r="P347" s="30" t="e">
        <f t="shared" si="568"/>
        <v>#N/A</v>
      </c>
      <c r="Q347" s="100" t="e">
        <f t="shared" si="533"/>
        <v>#N/A</v>
      </c>
      <c r="R347" s="86" t="b">
        <f t="shared" si="534"/>
        <v>0</v>
      </c>
      <c r="S347" s="86">
        <f t="shared" si="532"/>
        <v>0.5</v>
      </c>
      <c r="T347" s="86">
        <f t="shared" si="535"/>
        <v>0.5</v>
      </c>
      <c r="U347" s="30" t="e">
        <f t="shared" ca="1" si="569"/>
        <v>#DIV/0!</v>
      </c>
      <c r="V347" s="85" t="str">
        <f>IF(B347&lt;=Hypothèses!$V$7,Hypothèses!$W$7,IF(B347&lt;=Hypothèses!$V$8,Hypothèses!$W$8,IF(B347&lt;=Hypothèses!$V$9,Hypothèses!$W$9,IF(B347&lt;=Hypothèses!$V$10,Hypothèses!$W$10,IF(B347&lt;=Hypothèses!$V$11,Hypothèses!$W$11,IF(B347&lt;=Hypothèses!$V$12,Hypothèses!$W$12,IF(B347&lt;=Hypothèses!$V$13,Hypothèses!$W$13,IF(B347&lt;=Hypothèses!$V$14,Hypothèses!$W$14,IF(B347&lt;=Hypothèses!$V$15,Hypothèses!$W$15,IF(B347&lt;=Hypothèses!$V$16,Hypothèses!$W$16,IF(B347&lt;=Hypothèses!$V$17,Hypothèses!$W$17,IF(B347&lt;=Hypothèses!$V$18,Hypothèses!$W$18,""))))))))))))</f>
        <v/>
      </c>
      <c r="W347" s="87" t="e">
        <f t="shared" ca="1" si="616"/>
        <v>#DIV/0!</v>
      </c>
      <c r="X347" s="88" t="str">
        <f>IF(B347&lt;=Hypothèses!$V$7,Hypothèses!$X$7,IF(B347&lt;=Hypothèses!$V$8,Hypothèses!$X$8,IF(B347&lt;=Hypothèses!$V$9,Hypothèses!$X$9,IF(B347&lt;=Hypothèses!$V$10,Hypothèses!$X$10,IF(B347&lt;=Hypothèses!$V$11,Hypothèses!$X$11,IF(B347&lt;=Hypothèses!$V$12,Hypothèses!$X$12,IF(B347&lt;=Hypothèses!$V$13,Hypothèses!$X$13,IF(B347&lt;=Hypothèses!$V$14,Hypothèses!$X$14,IF(B347&lt;=Hypothèses!$V$15,Hypothèses!$X$15,IF(B347&lt;=Hypothèses!$V$16,Hypothèses!$X$16,IF(B347&lt;=Hypothèses!$U$17,Hypothèses!$W$17,IF(B347&lt;=Hypothèses!$U$18,Hypothèses!$W$18,""))))))))))))</f>
        <v/>
      </c>
      <c r="Y347" s="95" t="e">
        <f t="shared" ca="1" si="536"/>
        <v>#DIV/0!</v>
      </c>
      <c r="Z347" s="101" t="e">
        <f t="shared" si="537"/>
        <v>#N/A</v>
      </c>
      <c r="AA347" s="91" t="e">
        <f t="shared" si="538"/>
        <v>#N/A</v>
      </c>
      <c r="AB347" s="30" t="e">
        <f t="shared" si="600"/>
        <v>#N/A</v>
      </c>
      <c r="AC347" s="30" t="e">
        <f t="shared" si="601"/>
        <v>#N/A</v>
      </c>
      <c r="AD347" s="31" t="e">
        <f>IF(OR(Hypothèses!$B$4=17,Hypothèses!$B$4=18,Hypothèses!$B$4=19,Hypothèses!$B$4=20),
IF($D347="Pressio.",
IF(OR($E347=3,$E347=1,$E347=4),AC347,AB347),
IF($D347="Pénétro.",
IF(OR($E347=3,$E347=1,$E347=4),AC347,AB347))),IF($D347="Pressio.",
IF($E347=3,AC347,AB347),
IF($D347="Pénétro.",
IF($E347=4,AC347,AB347))))</f>
        <v>#N/A</v>
      </c>
      <c r="AE347" s="31" t="e">
        <f>(IF(OR(Hypothèses!$B$4=17,Hypothèses!$B$4=18,Hypothèses!$B$4=19,Hypothèses!$B$4=20),
IF($D347="Pressio.",
IF(OR($E347=3,$E347=1,$E347=4),(PI()*AE$12^2)/4*(AA347*$W347*1000)/($H347*$B$5),(PI()*AE$12^2)/4*(AA347*$W347*1000)/($G347*$B$5)),
IF($D347="Pénétro.",
IF(OR($E347=4,$E347=1,$E347=5),(PI()*AE$12^2)/4*(AA347*$W347*1000)/($H347*$B$5),(PI()*AE$12^2)/4*(AA347*$W347*1000)/($G347*$B$5)))),
IF($D347="Pressio.",
IF($E347=3,(PI()*AE$12^2)/4*(AA347*$W347*1000)/($H347*$B$5),(PI()*AE$12^2)/4*(AA347*$W347*1000)/($G347*$B$5)),
IF($D347="Pénétro.",
IF($E347=4,(PI()*AE$12^2)/4*(AA347*$W347*1000)/($H347*$B$5),(PI()*AE$12^2)/4*(AA347*$W347*1000)/($G347*$B$5))))))/10</f>
        <v>#N/A</v>
      </c>
      <c r="AF347" s="102" t="e">
        <f>(VLOOKUP($B$3,'Coeff EC7'!$T$39:$X$59,2,0)*AD347+VLOOKUP($B$3,'Coeff EC7'!$T$65:$X$85,2,0)*Model0.1C!AE347)/1.1</f>
        <v>#N/A</v>
      </c>
      <c r="AG347" s="102" t="e">
        <f>(VLOOKUP($B$3,'Coeff EC7'!$T$39:$X$59,3,0)*AD347+VLOOKUP($B$3,'Coeff EC7'!$T$65:$X$85,3,0)*Model0.1C!AE347)/0.9</f>
        <v>#N/A</v>
      </c>
      <c r="AH347" s="102" t="e">
        <f t="shared" si="539"/>
        <v>#N/A</v>
      </c>
      <c r="AI347" s="102" t="e">
        <f t="shared" si="540"/>
        <v>#N/A</v>
      </c>
      <c r="AJ347" s="414" t="e">
        <f>IF(AJ346=0,0,IF(AND(AF347&gt;charge_ELS_quasi,AG347&gt;Charge_ELS_freq,AH347&gt;charge_ELU,AI347&gt;charge_ELA,$B347&gt;NDC!$H$22-0.1+MIN(3*$AJ$12,1.5)),0,1))</f>
        <v>#N/A</v>
      </c>
      <c r="AK347" s="86" t="b">
        <f t="shared" si="541"/>
        <v>0</v>
      </c>
      <c r="AL347" s="86">
        <f t="shared" si="570"/>
        <v>0.5</v>
      </c>
      <c r="AM347" s="86">
        <f t="shared" si="542"/>
        <v>0.5</v>
      </c>
      <c r="AN347" s="30" t="e">
        <f t="shared" ca="1" si="571"/>
        <v>#DIV/0!</v>
      </c>
      <c r="AO347" s="85" t="e">
        <f ca="1">IF(U347&lt;=Hypothèses!$V$7,Hypothèses!$W$7,IF(U347&lt;=Hypothèses!$V$8,Hypothèses!$W$8,IF(U347&lt;=Hypothèses!$V$9,Hypothèses!$W$9,IF(U347&lt;=Hypothèses!$V$10,Hypothèses!$W$10,IF(U347&lt;=Hypothèses!$V$11,Hypothèses!$W$11,IF(U347&lt;=Hypothèses!$V$12,Hypothèses!$W$12,IF(U347&lt;=Hypothèses!$V$13,Hypothèses!$W$13,IF(U347&lt;=Hypothèses!$V$14,Hypothèses!$W$14,IF(U347&lt;=Hypothèses!$V$15,Hypothèses!$W$15,IF(U347&lt;=Hypothèses!$V$16,Hypothèses!$W$16,IF(U347&lt;=Hypothèses!$V$17,Hypothèses!$W$17,IF(U347&lt;=Hypothèses!$V$18,Hypothèses!$W$18,""))))))))))))</f>
        <v>#DIV/0!</v>
      </c>
      <c r="AP347" s="87" t="e">
        <f t="shared" ca="1" si="617"/>
        <v>#DIV/0!</v>
      </c>
      <c r="AQ347" s="88" t="e">
        <f ca="1">IF(U347&lt;=Hypothèses!$V$7,Hypothèses!$X$7,IF(U347&lt;=Hypothèses!$V$8,Hypothèses!$X$8,IF(U347&lt;=Hypothèses!$V$9,Hypothèses!$X$9,IF(U347&lt;=Hypothèses!$V$10,Hypothèses!$X$10,IF(U347&lt;=Hypothèses!$V$11,Hypothèses!$X$11,IF(U347&lt;=Hypothèses!$V$12,Hypothèses!$X$12,IF(U347&lt;=Hypothèses!$V$13,Hypothèses!$X$13,IF(U347&lt;=Hypothèses!$V$14,Hypothèses!$X$14,IF(U347&lt;=Hypothèses!$V$15,Hypothèses!$X$15,IF(U347&lt;=Hypothèses!$V$16,Hypothèses!$X$16,IF(U347&lt;=Hypothèses!$U$17,Hypothèses!$W$17,IF(U347&lt;=Hypothèses!$U$18,Hypothèses!$W$18,""))))))))))))</f>
        <v>#DIV/0!</v>
      </c>
      <c r="AR347" s="95" t="e">
        <f t="shared" ca="1" si="572"/>
        <v>#DIV/0!</v>
      </c>
      <c r="AS347" s="101" t="e">
        <f t="shared" si="624"/>
        <v>#N/A</v>
      </c>
      <c r="AT347" s="91" t="e">
        <f t="shared" si="543"/>
        <v>#N/A</v>
      </c>
      <c r="AU347" s="30" t="e">
        <f t="shared" si="602"/>
        <v>#N/A</v>
      </c>
      <c r="AV347" s="30" t="e">
        <f t="shared" si="603"/>
        <v>#N/A</v>
      </c>
      <c r="AW347" s="31" t="e">
        <f>IF(OR(Hypothèses!$B$4=17,Hypothèses!$B$4=18,Hypothèses!$B$4=19,Hypothèses!$B$4=20),
IF($D347="Pressio.",
IF(OR($E347=3,$E347=1,$E347=4),AV347,AU347),
IF($D347="Pénétro.",
IF(OR($E347=3,$E347=1,$E347=4),AV347,AU347))),IF($D347="Pressio.",
IF($E347=3,AV347,AU347),
IF($D347="Pénétro.",
IF($E347=4,AV347,AU347))))</f>
        <v>#N/A</v>
      </c>
      <c r="AX347" s="31" t="e">
        <f>(IF(OR(Hypothèses!$B$4=17,Hypothèses!$B$4=18,Hypothèses!$B$4=19,Hypothèses!$B$4=20),
IF($D347="Pressio.",
IF(OR($E347=3,$E347=1,$E347=4),(PI()*AX$12^2)/4*(AT347*$W347*1000)/($H347*$B$5),(PI()*AX$12^2)/4*(AT347*$W347*1000)/($G347*$B$5)),
IF($D347="Pénétro.",
IF(OR($E347=4,$E347=1,$E347=5),(PI()*AX$12^2)/4*(AT347*$W347*1000)/($H347*$B$5),(PI()*AX$12^2)/4*(AT347*$W347*1000)/($G347*$B$5)))),
IF($D347="Pressio.",
IF($E347=3,(PI()*AX$12^2)/4*(AT347*$W347*1000)/($H347*$B$5),(PI()*AX$12^2)/4*(AT347*$W347*1000)/($G347*$B$5)),
IF($D347="Pénétro.",
IF($E347=4,(PI()*AX$12^2)/4*(AT347*$W347*1000)/($H347*$B$5),(PI()*AX$12^2)/4*(AT347*$W347*1000)/($G347*$B$5))))))/10</f>
        <v>#N/A</v>
      </c>
      <c r="AY347" s="102" t="e">
        <f>(VLOOKUP($B$3,'Coeff EC7'!$T$39:$X$59,2,0)*AW347+VLOOKUP($B$3,'Coeff EC7'!$T$65:$X$85,2,0)*Model0.1C!AX347)/1.1</f>
        <v>#N/A</v>
      </c>
      <c r="AZ347" s="102" t="e">
        <f>(VLOOKUP($B$3,'Coeff EC7'!$T$39:$X$59,3,0)*AW347+VLOOKUP($B$3,'Coeff EC7'!$T$65:$X$85,3,0)*Model0.1C!AX347)/0.9</f>
        <v>#N/A</v>
      </c>
      <c r="BA347" s="102" t="e">
        <f t="shared" si="573"/>
        <v>#N/A</v>
      </c>
      <c r="BB347" s="102" t="e">
        <f t="shared" si="574"/>
        <v>#N/A</v>
      </c>
      <c r="BC347" s="414" t="e">
        <f>IF(BC346=0,0,IF(AND(AY347&gt;charge_ELS_quasi,AZ347&gt;Charge_ELS_freq,BA347&gt;charge_ELU,BB347&gt;charge_ELA,$B347&gt;NDC!$H$22-0.1+MIN(3*$BC$12,1.5)),0,1))</f>
        <v>#N/A</v>
      </c>
      <c r="BD347" s="86" t="b">
        <f t="shared" si="544"/>
        <v>0</v>
      </c>
      <c r="BE347" s="86">
        <f t="shared" si="575"/>
        <v>0.5</v>
      </c>
      <c r="BF347" s="86">
        <f t="shared" si="545"/>
        <v>0.5</v>
      </c>
      <c r="BG347" s="30" t="e">
        <f t="shared" ca="1" si="576"/>
        <v>#DIV/0!</v>
      </c>
      <c r="BH347" s="85" t="e">
        <f ca="1">IF(AN347&lt;=Hypothèses!$V$7,Hypothèses!$W$7,IF(AN347&lt;=Hypothèses!$V$8,Hypothèses!$W$8,IF(AN347&lt;=Hypothèses!$V$9,Hypothèses!$W$9,IF(AN347&lt;=Hypothèses!$V$10,Hypothèses!$W$10,IF(AN347&lt;=Hypothèses!$V$11,Hypothèses!$W$11,IF(AN347&lt;=Hypothèses!$V$12,Hypothèses!$W$12,IF(AN347&lt;=Hypothèses!$V$13,Hypothèses!$W$13,IF(AN347&lt;=Hypothèses!$V$14,Hypothèses!$W$14,IF(AN347&lt;=Hypothèses!$V$15,Hypothèses!$W$15,IF(AN347&lt;=Hypothèses!$V$16,Hypothèses!$W$16,IF(AN347&lt;=Hypothèses!$V$17,Hypothèses!$W$17,IF(AN347&lt;=Hypothèses!$V$18,Hypothèses!$W$18,""))))))))))))</f>
        <v>#DIV/0!</v>
      </c>
      <c r="BI347" s="87" t="e">
        <f t="shared" ca="1" si="618"/>
        <v>#DIV/0!</v>
      </c>
      <c r="BJ347" s="88" t="e">
        <f ca="1">IF(AN347&lt;=Hypothèses!$V$7,Hypothèses!$X$7,IF(AN347&lt;=Hypothèses!$V$8,Hypothèses!$X$8,IF(AN347&lt;=Hypothèses!$V$9,Hypothèses!$X$9,IF(AN347&lt;=Hypothèses!$V$10,Hypothèses!$X$10,IF(AN347&lt;=Hypothèses!$V$11,Hypothèses!$X$11,IF(AN347&lt;=Hypothèses!$V$12,Hypothèses!$X$12,IF(AN347&lt;=Hypothèses!$V$13,Hypothèses!$X$13,IF(AN347&lt;=Hypothèses!$V$14,Hypothèses!$X$14,IF(AN347&lt;=Hypothèses!$V$15,Hypothèses!$X$15,IF(AN347&lt;=Hypothèses!$V$16,Hypothèses!$X$16,IF(AN347&lt;=Hypothèses!$U$17,Hypothèses!$W$17,IF(AN347&lt;=Hypothèses!$U$18,Hypothèses!$W$18,""))))))))))))</f>
        <v>#DIV/0!</v>
      </c>
      <c r="BK347" s="95" t="e">
        <f t="shared" ca="1" si="577"/>
        <v>#DIV/0!</v>
      </c>
      <c r="BL347" s="101" t="e">
        <f t="shared" si="625"/>
        <v>#N/A</v>
      </c>
      <c r="BM347" s="91" t="e">
        <f t="shared" si="546"/>
        <v>#N/A</v>
      </c>
      <c r="BN347" s="30" t="e">
        <f t="shared" si="604"/>
        <v>#N/A</v>
      </c>
      <c r="BO347" s="30" t="e">
        <f t="shared" si="605"/>
        <v>#N/A</v>
      </c>
      <c r="BP347" s="31" t="e">
        <f>IF(OR(Hypothèses!$B$4=17,Hypothèses!$B$4=18,Hypothèses!$B$4=19,Hypothèses!$B$4=20),
IF($D347="Pressio.",
IF(OR($E347=3,$E347=1,$E347=4),BO347,BN347),
IF($D347="Pénétro.",
IF(OR($E347=3,$E347=1,$E347=4),BO347,BN347))),IF($D347="Pressio.",
IF($E347=3,BO347,BN347),
IF($D347="Pénétro.",
IF($E347=4,BO347,BN347))))</f>
        <v>#N/A</v>
      </c>
      <c r="BQ347" s="31" t="e">
        <f>(IF(OR(Hypothèses!$B$4=17,Hypothèses!$B$4=18,Hypothèses!$B$4=19,Hypothèses!$B$4=20),
IF($D347="Pressio.",
IF(OR($E347=3,$E347=1,$E347=4),(PI()*BQ$12^2)/4*(BM347*$W347*1000)/($H347*$B$5),(PI()*BQ$12^2)/4*(BM347*$W347*1000)/($G347*$B$5)),
IF($D347="Pénétro.",
IF(OR($E347=4,$E347=1,$E347=5),(PI()*BQ$12^2)/4*(BM347*$W347*1000)/($H347*$B$5),(PI()*BQ$12^2)/4*(BM347*$W347*1000)/($G347*$B$5)))),
IF($D347="Pressio.",
IF($E347=3,(PI()*BQ$12^2)/4*(BM347*$W347*1000)/($H347*$B$5),(PI()*BQ$12^2)/4*(BM347*$W347*1000)/($G347*$B$5)),
IF($D347="Pénétro.",
IF($E347=4,(PI()*BQ$12^2)/4*(BM347*$W347*1000)/($H347*$B$5),(PI()*BQ$12^2)/4*(BM347*$W347*1000)/($G347*$B$5))))))/10</f>
        <v>#N/A</v>
      </c>
      <c r="BR347" s="102" t="e">
        <f>(VLOOKUP($B$3,'Coeff EC7'!$T$39:$X$59,2,0)*BP347+VLOOKUP($B$3,'Coeff EC7'!$T$65:$X$85,2,0)*Model0.1C!BQ347)/1.1</f>
        <v>#N/A</v>
      </c>
      <c r="BS347" s="102" t="e">
        <f>(VLOOKUP($B$3,'Coeff EC7'!$T$39:$X$59,3,0)*BP347+VLOOKUP($B$3,'Coeff EC7'!$T$65:$X$85,3,0)*Model0.1C!BQ347)/0.9</f>
        <v>#N/A</v>
      </c>
      <c r="BT347" s="102" t="e">
        <f t="shared" si="578"/>
        <v>#N/A</v>
      </c>
      <c r="BU347" s="102" t="e">
        <f t="shared" si="579"/>
        <v>#N/A</v>
      </c>
      <c r="BV347" s="414" t="e">
        <f>IF(BV346=0,0,IF(AND(BR347&gt;charge_ELS_quasi,BS347&gt;Charge_ELS_freq,BT347&gt;charge_ELU,BU347&gt;charge_ELA,$B347&gt;NDC!$H$22-0.1+MIN(3*$BV$12,1.5)),0,1))</f>
        <v>#N/A</v>
      </c>
      <c r="BW347" s="86" t="b">
        <f t="shared" si="547"/>
        <v>0</v>
      </c>
      <c r="BX347" s="86">
        <f t="shared" si="548"/>
        <v>0.5</v>
      </c>
      <c r="BY347" s="86">
        <f t="shared" si="549"/>
        <v>0.5</v>
      </c>
      <c r="BZ347" s="30" t="e">
        <f t="shared" ca="1" si="580"/>
        <v>#DIV/0!</v>
      </c>
      <c r="CA347" s="85" t="e">
        <f ca="1">IF(BG347&lt;=Hypothèses!$V$7,Hypothèses!$W$7,IF(BG347&lt;=Hypothèses!$V$8,Hypothèses!$W$8,IF(BG347&lt;=Hypothèses!$V$9,Hypothèses!$W$9,IF(BG347&lt;=Hypothèses!$V$10,Hypothèses!$W$10,IF(BG347&lt;=Hypothèses!$V$11,Hypothèses!$W$11,IF(BG347&lt;=Hypothèses!$V$12,Hypothèses!$W$12,IF(BG347&lt;=Hypothèses!$V$13,Hypothèses!$W$13,IF(BG347&lt;=Hypothèses!$V$14,Hypothèses!$W$14,IF(BG347&lt;=Hypothèses!$V$15,Hypothèses!$W$15,IF(BG347&lt;=Hypothèses!$V$16,Hypothèses!$W$16,IF(BG347&lt;=Hypothèses!$V$17,Hypothèses!$W$17,IF(BG347&lt;=Hypothèses!$V$18,Hypothèses!$W$18,""))))))))))))</f>
        <v>#DIV/0!</v>
      </c>
      <c r="CB347" s="87" t="e">
        <f t="shared" ca="1" si="619"/>
        <v>#DIV/0!</v>
      </c>
      <c r="CC347" s="88" t="e">
        <f ca="1">IF(BG347&lt;=Hypothèses!$V$7,Hypothèses!$X$7,IF(BG347&lt;=Hypothèses!$V$8,Hypothèses!$X$8,IF(BG347&lt;=Hypothèses!$V$9,Hypothèses!$X$9,IF(BG347&lt;=Hypothèses!$V$10,Hypothèses!$X$10,IF(BG347&lt;=Hypothèses!$V$11,Hypothèses!$X$11,IF(BG347&lt;=Hypothèses!$V$12,Hypothèses!$X$12,IF(BG347&lt;=Hypothèses!$V$13,Hypothèses!$X$13,IF(BG347&lt;=Hypothèses!$V$14,Hypothèses!$X$14,IF(BG347&lt;=Hypothèses!$V$15,Hypothèses!$X$15,IF(BG347&lt;=Hypothèses!$V$16,Hypothèses!$X$16,IF(BG347&lt;=Hypothèses!$U$17,Hypothèses!$W$17,IF(BG347&lt;=Hypothèses!$U$18,Hypothèses!$W$18,""))))))))))))</f>
        <v>#DIV/0!</v>
      </c>
      <c r="CD347" s="95" t="e">
        <f t="shared" ca="1" si="581"/>
        <v>#DIV/0!</v>
      </c>
      <c r="CE347" s="101" t="e">
        <f t="shared" si="626"/>
        <v>#N/A</v>
      </c>
      <c r="CF347" s="91" t="e">
        <f t="shared" si="550"/>
        <v>#N/A</v>
      </c>
      <c r="CG347" s="30" t="e">
        <f t="shared" si="606"/>
        <v>#N/A</v>
      </c>
      <c r="CH347" s="30" t="e">
        <f t="shared" si="607"/>
        <v>#N/A</v>
      </c>
      <c r="CI347" s="31" t="e">
        <f>IF(OR(Hypothèses!$B$4=17,Hypothèses!$B$4=18,Hypothèses!$B$4=19,Hypothèses!$B$4=20),
IF($D347="Pressio.",
IF(OR($E347=3,$E347=1,$E347=4),CH347,CG347),
IF($D347="Pénétro.",
IF(OR($E347=3,$E347=1,$E347=4),CH347,CG347))),IF($D347="Pressio.",
IF($E347=3,CH347,CG347),
IF($D347="Pénétro.",
IF($E347=4,CH347,CG347))))</f>
        <v>#N/A</v>
      </c>
      <c r="CJ347" s="31" t="e">
        <f>(IF(OR(Hypothèses!$B$4=17,Hypothèses!$B$4=18,Hypothèses!$B$4=19,Hypothèses!$B$4=20),
IF($D347="Pressio.",
IF(OR($E347=3,$E347=1,$E347=4),(PI()*CJ$12^2)/4*(CF347*$W347*1000)/($H347*$B$5),(PI()*CJ$12^2)/4*(CF347*$W347*1000)/($G347*$B$5)),
IF($D347="Pénétro.",
IF(OR($E347=4,$E347=1,$E347=5),(PI()*CJ$12^2)/4*(CF347*$W347*1000)/($H347*$B$5),(PI()*CJ$12^2)/4*(CF347*$W347*1000)/($G347*$B$5)))),
IF($D347="Pressio.",
IF($E347=3,(PI()*CJ$12^2)/4*(CF347*$W347*1000)/($H347*$B$5),(PI()*CJ$12^2)/4*(CF347*$W347*1000)/($G347*$B$5)),
IF($D347="Pénétro.",
IF($E347=4,(PI()*CJ$12^2)/4*(CF347*$W347*1000)/($H347*$B$5),(PI()*CJ$12^2)/4*(CF347*$W347*1000)/($G347*$B$5))))))/10</f>
        <v>#N/A</v>
      </c>
      <c r="CK347" s="102" t="e">
        <f>(VLOOKUP($B$3,'Coeff EC7'!$T$39:$X$59,2,0)*CI347+VLOOKUP($B$3,'Coeff EC7'!$T$65:$X$85,2,0)*Model0.1C!CJ347)/1.1</f>
        <v>#N/A</v>
      </c>
      <c r="CL347" s="102" t="e">
        <f>(VLOOKUP($B$3,'Coeff EC7'!$T$39:$X$59,3,0)*CI347+VLOOKUP($B$3,'Coeff EC7'!$T$65:$X$85,3,0)*Model0.1C!CJ347)/0.9</f>
        <v>#N/A</v>
      </c>
      <c r="CM347" s="102" t="e">
        <f t="shared" si="582"/>
        <v>#N/A</v>
      </c>
      <c r="CN347" s="102" t="e">
        <f t="shared" si="583"/>
        <v>#N/A</v>
      </c>
      <c r="CO347" s="414" t="e">
        <f>IF(CO346=0,0,IF(AND(CK347&gt;charge_ELS_quasi,CL347&gt;Charge_ELS_freq,CM347&gt;charge_ELU,CN347&gt;charge_ELA,$B347&gt;NDC!$H$22-0.1+MIN(3*$CO$12,1.5)),0,1))</f>
        <v>#N/A</v>
      </c>
      <c r="CP347" s="86" t="b">
        <f t="shared" si="551"/>
        <v>0</v>
      </c>
      <c r="CQ347" s="86">
        <f t="shared" si="552"/>
        <v>0.5</v>
      </c>
      <c r="CR347" s="86">
        <f t="shared" si="553"/>
        <v>0.5</v>
      </c>
      <c r="CS347" s="30" t="e">
        <f t="shared" ca="1" si="584"/>
        <v>#DIV/0!</v>
      </c>
      <c r="CT347" s="85" t="e">
        <f ca="1">IF(BZ347&lt;=Hypothèses!$V$7,Hypothèses!$W$7,IF(BZ347&lt;=Hypothèses!$V$8,Hypothèses!$W$8,IF(BZ347&lt;=Hypothèses!$V$9,Hypothèses!$W$9,IF(BZ347&lt;=Hypothèses!$V$10,Hypothèses!$W$10,IF(BZ347&lt;=Hypothèses!$V$11,Hypothèses!$W$11,IF(BZ347&lt;=Hypothèses!$V$12,Hypothèses!$W$12,IF(BZ347&lt;=Hypothèses!$V$13,Hypothèses!$W$13,IF(BZ347&lt;=Hypothèses!$V$14,Hypothèses!$W$14,IF(BZ347&lt;=Hypothèses!$V$15,Hypothèses!$W$15,IF(BZ347&lt;=Hypothèses!$V$16,Hypothèses!$W$16,IF(BZ347&lt;=Hypothèses!$V$17,Hypothèses!$W$17,IF(BZ347&lt;=Hypothèses!$V$18,Hypothèses!$W$18,""))))))))))))</f>
        <v>#DIV/0!</v>
      </c>
      <c r="CU347" s="87" t="e">
        <f t="shared" ca="1" si="620"/>
        <v>#DIV/0!</v>
      </c>
      <c r="CV347" s="88" t="e">
        <f ca="1">IF(BZ347&lt;=Hypothèses!$V$7,Hypothèses!$X$7,IF(BZ347&lt;=Hypothèses!$V$8,Hypothèses!$X$8,IF(BZ347&lt;=Hypothèses!$V$9,Hypothèses!$X$9,IF(BZ347&lt;=Hypothèses!$V$10,Hypothèses!$X$10,IF(BZ347&lt;=Hypothèses!$V$11,Hypothèses!$X$11,IF(BZ347&lt;=Hypothèses!$V$12,Hypothèses!$X$12,IF(BZ347&lt;=Hypothèses!$V$13,Hypothèses!$X$13,IF(BZ347&lt;=Hypothèses!$V$14,Hypothèses!$X$14,IF(BZ347&lt;=Hypothèses!$V$15,Hypothèses!$X$15,IF(BZ347&lt;=Hypothèses!$V$16,Hypothèses!$X$16,IF(BZ347&lt;=Hypothèses!$U$17,Hypothèses!$W$17,IF(BZ347&lt;=Hypothèses!$U$18,Hypothèses!$W$18,""))))))))))))</f>
        <v>#DIV/0!</v>
      </c>
      <c r="CW347" s="95" t="e">
        <f t="shared" ca="1" si="585"/>
        <v>#DIV/0!</v>
      </c>
      <c r="CX347" s="101" t="e">
        <f t="shared" si="627"/>
        <v>#N/A</v>
      </c>
      <c r="CY347" s="91" t="e">
        <f t="shared" si="554"/>
        <v>#N/A</v>
      </c>
      <c r="CZ347" s="30" t="e">
        <f t="shared" si="608"/>
        <v>#N/A</v>
      </c>
      <c r="DA347" s="30" t="e">
        <f t="shared" si="609"/>
        <v>#N/A</v>
      </c>
      <c r="DB347" s="31" t="e">
        <f>IF(OR(Hypothèses!$B$4=17,Hypothèses!$B$4=18,Hypothèses!$B$4=19,Hypothèses!$B$4=20),
IF($D347="Pressio.",
IF(OR($E347=3,$E347=1,$E347=4),DA347,CZ347),
IF($D347="Pénétro.",
IF(OR($E347=3,$E347=1,$E347=4),DA347,CZ347))),IF($D347="Pressio.",
IF($E347=3,DA347,CZ347),
IF($D347="Pénétro.",
IF($E347=4,DA347,CZ347))))</f>
        <v>#N/A</v>
      </c>
      <c r="DC347" s="31" t="e">
        <f>(IF(OR(Hypothèses!$B$4=17,Hypothèses!$B$4=18,Hypothèses!$B$4=19,Hypothèses!$B$4=20),
IF($D347="Pressio.",
IF(OR($E347=3,$E347=1,$E347=4),(PI()*DC$12^2)/4*(CY347*$W347*1000)/($H347*$B$5),(PI()*DC$12^2)/4*(CY347*$W347*1000)/($G347*$B$5)),
IF($D347="Pénétro.",
IF(OR($E347=4,$E347=1,$E347=5),(PI()*DC$12^2)/4*(CY347*$W347*1000)/($H347*$B$5),(PI()*DC$12^2)/4*(CY347*$W347*1000)/($G347*$B$5)))),
IF($D347="Pressio.",
IF($E347=3,(PI()*DC$12^2)/4*(CY347*$W347*1000)/($H347*$B$5),(PI()*DC$12^2)/4*(CY347*$W347*1000)/($G347*$B$5)),
IF($D347="Pénétro.",
IF($E347=4,(PI()*DC$12^2)/4*(CY347*$W347*1000)/($H347*$B$5),(PI()*DC$12^2)/4*(CY347*$W347*1000)/($G347*$B$5))))))/10</f>
        <v>#N/A</v>
      </c>
      <c r="DD347" s="102" t="e">
        <f>(VLOOKUP($B$3,'Coeff EC7'!$T$39:$X$59,2,0)*DB347+VLOOKUP($B$3,'Coeff EC7'!$T$65:$X$85,2,0)*Model0.1C!DC347)/1.1</f>
        <v>#N/A</v>
      </c>
      <c r="DE347" s="102" t="e">
        <f>(VLOOKUP($B$3,'Coeff EC7'!$T$39:$X$59,3,0)*DB347+VLOOKUP($B$3,'Coeff EC7'!$T$65:$X$85,3,0)*Model0.1C!DC347)/0.9</f>
        <v>#N/A</v>
      </c>
      <c r="DF347" s="102" t="e">
        <f t="shared" si="586"/>
        <v>#N/A</v>
      </c>
      <c r="DG347" s="102" t="e">
        <f t="shared" si="587"/>
        <v>#N/A</v>
      </c>
      <c r="DH347" s="414" t="e">
        <f>IF(DH346=0,0,IF(AND(DD347&gt;charge_ELS_quasi,DE347&gt;Charge_ELS_freq,DF347&gt;charge_ELU,DG347&gt;charge_ELA,$B347&gt;NDC!$H$22-0.1+MIN(3*$DH$12,1.5)),0,1))</f>
        <v>#N/A</v>
      </c>
      <c r="DI347" s="86" t="b">
        <f t="shared" si="555"/>
        <v>0</v>
      </c>
      <c r="DJ347" s="86">
        <f t="shared" si="556"/>
        <v>0.5</v>
      </c>
      <c r="DK347" s="86">
        <f t="shared" si="557"/>
        <v>0.5</v>
      </c>
      <c r="DL347" s="30" t="e">
        <f t="shared" ca="1" si="588"/>
        <v>#DIV/0!</v>
      </c>
      <c r="DM347" s="85" t="e">
        <f ca="1">IF(CS347&lt;=Hypothèses!$V$7,Hypothèses!$W$7,IF(CS347&lt;=Hypothèses!$V$8,Hypothèses!$W$8,IF(CS347&lt;=Hypothèses!$V$9,Hypothèses!$W$9,IF(CS347&lt;=Hypothèses!$V$10,Hypothèses!$W$10,IF(CS347&lt;=Hypothèses!$V$11,Hypothèses!$W$11,IF(CS347&lt;=Hypothèses!$V$12,Hypothèses!$W$12,IF(CS347&lt;=Hypothèses!$V$13,Hypothèses!$W$13,IF(CS347&lt;=Hypothèses!$V$14,Hypothèses!$W$14,IF(CS347&lt;=Hypothèses!$V$15,Hypothèses!$W$15,IF(CS347&lt;=Hypothèses!$V$16,Hypothèses!$W$16,IF(CS347&lt;=Hypothèses!$V$17,Hypothèses!$W$17,IF(CS347&lt;=Hypothèses!$V$18,Hypothèses!$W$18,""))))))))))))</f>
        <v>#DIV/0!</v>
      </c>
      <c r="DN347" s="87" t="e">
        <f t="shared" ca="1" si="621"/>
        <v>#DIV/0!</v>
      </c>
      <c r="DO347" s="88" t="e">
        <f ca="1">IF(CS347&lt;=Hypothèses!$V$7,Hypothèses!$X$7,IF(CS347&lt;=Hypothèses!$V$8,Hypothèses!$X$8,IF(CS347&lt;=Hypothèses!$V$9,Hypothèses!$X$9,IF(CS347&lt;=Hypothèses!$V$10,Hypothèses!$X$10,IF(CS347&lt;=Hypothèses!$V$11,Hypothèses!$X$11,IF(CS347&lt;=Hypothèses!$V$12,Hypothèses!$X$12,IF(CS347&lt;=Hypothèses!$V$13,Hypothèses!$X$13,IF(CS347&lt;=Hypothèses!$V$14,Hypothèses!$X$14,IF(CS347&lt;=Hypothèses!$V$15,Hypothèses!$X$15,IF(CS347&lt;=Hypothèses!$V$16,Hypothèses!$X$16,IF(CS347&lt;=Hypothèses!$U$17,Hypothèses!$W$17,IF(CS347&lt;=Hypothèses!$U$18,Hypothèses!$W$18,""))))))))))))</f>
        <v>#DIV/0!</v>
      </c>
      <c r="DP347" s="95" t="e">
        <f t="shared" ca="1" si="589"/>
        <v>#DIV/0!</v>
      </c>
      <c r="DQ347" s="101" t="e">
        <f t="shared" si="628"/>
        <v>#N/A</v>
      </c>
      <c r="DR347" s="91" t="e">
        <f t="shared" si="558"/>
        <v>#N/A</v>
      </c>
      <c r="DS347" s="30" t="e">
        <f t="shared" si="610"/>
        <v>#N/A</v>
      </c>
      <c r="DT347" s="30" t="e">
        <f t="shared" si="611"/>
        <v>#N/A</v>
      </c>
      <c r="DU347" s="31" t="e">
        <f>IF(OR(Hypothèses!$B$4=17,Hypothèses!$B$4=18,Hypothèses!$B$4=19,Hypothèses!$B$4=20),
IF($D347="Pressio.",
IF(OR($E347=3,$E347=1,$E347=4),DT347,DS347),
IF($D347="Pénétro.",
IF(OR($E347=3,$E347=1,$E347=4),DT347,DS347))),IF($D347="Pressio.",
IF($E347=3,DT347,DS347),
IF($D347="Pénétro.",
IF($E347=4,DT347,DS347))))</f>
        <v>#N/A</v>
      </c>
      <c r="DV347" s="31" t="e">
        <f>(IF(OR(Hypothèses!$B$4=17,Hypothèses!$B$4=18,Hypothèses!$B$4=19,Hypothèses!$B$4=20),
IF($D347="Pressio.",
IF(OR($E347=3,$E347=1,$E347=4),(PI()*DV$12^2)/4*(DR347*$W347*1000)/($H347*$B$5),(PI()*DV$12^2)/4*(DR347*$W347*1000)/($G347*$B$5)),
IF($D347="Pénétro.",
IF(OR($E347=4,$E347=1,$E347=5),(PI()*DV$12^2)/4*(DR347*$W347*1000)/($H347*$B$5),(PI()*DV$12^2)/4*(DR347*$W347*1000)/($G347*$B$5)))),
IF($D347="Pressio.",
IF($E347=3,(PI()*DV$12^2)/4*(DR347*$W347*1000)/($H347*$B$5),(PI()*DV$12^2)/4*(DR347*$W347*1000)/($G347*$B$5)),
IF($D347="Pénétro.",
IF($E347=4,(PI()*DV$12^2)/4*(DR347*$W347*1000)/($H347*$B$5),(PI()*DV$12^2)/4*(DR347*$W347*1000)/($G347*$B$5))))))/10</f>
        <v>#N/A</v>
      </c>
      <c r="DW347" s="102" t="e">
        <f>(VLOOKUP($B$3,'Coeff EC7'!$T$39:$X$59,2,0)*DU347+VLOOKUP($B$3,'Coeff EC7'!$T$65:$X$85,2,0)*Model0.1C!DV347)/1.1</f>
        <v>#N/A</v>
      </c>
      <c r="DX347" s="102" t="e">
        <f>(VLOOKUP($B$3,'Coeff EC7'!$T$39:$X$59,3,0)*DU347+VLOOKUP($B$3,'Coeff EC7'!$T$65:$X$85,3,0)*Model0.1C!DV347)/0.9</f>
        <v>#N/A</v>
      </c>
      <c r="DY347" s="102" t="e">
        <f t="shared" si="590"/>
        <v>#N/A</v>
      </c>
      <c r="DZ347" s="102" t="e">
        <f t="shared" si="591"/>
        <v>#N/A</v>
      </c>
      <c r="EA347" s="414" t="e">
        <f>IF(EA346=0,0,IF(AND(DW347&gt;charge_ELS_quasi,DX347&gt;Charge_ELS_freq,DY347&gt;charge_ELU,DZ347&gt;charge_ELA,$B347&gt;NDC!$H$22-0.1+MIN(3*$EA$12,1.5)),0,1))</f>
        <v>#N/A</v>
      </c>
      <c r="EB347" s="86" t="b">
        <f t="shared" si="559"/>
        <v>0</v>
      </c>
      <c r="EC347" s="418">
        <f t="shared" si="560"/>
        <v>0.51</v>
      </c>
      <c r="ED347" s="86">
        <f t="shared" si="561"/>
        <v>0.51</v>
      </c>
      <c r="EE347" s="30" t="e">
        <f t="shared" ca="1" si="592"/>
        <v>#DIV/0!</v>
      </c>
      <c r="EF347" s="85" t="e">
        <f ca="1">IF(DL347&lt;=Hypothèses!$V$7,Hypothèses!$W$7,IF(DL347&lt;=Hypothèses!$V$8,Hypothèses!$W$8,IF(DL347&lt;=Hypothèses!$V$9,Hypothèses!$W$9,IF(DL347&lt;=Hypothèses!$V$10,Hypothèses!$W$10,IF(DL347&lt;=Hypothèses!$V$11,Hypothèses!$W$11,IF(DL347&lt;=Hypothèses!$V$12,Hypothèses!$W$12,IF(DL347&lt;=Hypothèses!$V$13,Hypothèses!$W$13,IF(DL347&lt;=Hypothèses!$V$14,Hypothèses!$W$14,IF(DL347&lt;=Hypothèses!$V$15,Hypothèses!$W$15,IF(DL347&lt;=Hypothèses!$V$16,Hypothèses!$W$16,IF(DL347&lt;=Hypothèses!$V$17,Hypothèses!$W$17,IF(DL347&lt;=Hypothèses!$V$18,Hypothèses!$W$18,""))))))))))))</f>
        <v>#DIV/0!</v>
      </c>
      <c r="EG347" s="87" t="e">
        <f t="shared" ca="1" si="622"/>
        <v>#DIV/0!</v>
      </c>
      <c r="EH347" s="88" t="e">
        <f ca="1">IF(DL347&lt;=Hypothèses!$V$7,Hypothèses!$X$7,IF(DL347&lt;=Hypothèses!$V$8,Hypothèses!$X$8,IF(DL347&lt;=Hypothèses!$V$9,Hypothèses!$X$9,IF(DL347&lt;=Hypothèses!$V$10,Hypothèses!$X$10,IF(DL347&lt;=Hypothèses!$V$11,Hypothèses!$X$11,IF(DL347&lt;=Hypothèses!$V$12,Hypothèses!$X$12,IF(DL347&lt;=Hypothèses!$V$13,Hypothèses!$X$13,IF(DL347&lt;=Hypothèses!$V$14,Hypothèses!$X$14,IF(DL347&lt;=Hypothèses!$V$15,Hypothèses!$X$15,IF(DL347&lt;=Hypothèses!$V$16,Hypothèses!$X$16,IF(DL347&lt;=Hypothèses!$U$17,Hypothèses!$W$17,IF(DL347&lt;=Hypothèses!$U$18,Hypothèses!$W$18,""))))))))))))</f>
        <v>#DIV/0!</v>
      </c>
      <c r="EI347" s="95" t="e">
        <f t="shared" ca="1" si="593"/>
        <v>#DIV/0!</v>
      </c>
      <c r="EJ347" s="101" t="e">
        <f t="shared" si="629"/>
        <v>#N/A</v>
      </c>
      <c r="EK347" s="91" t="e">
        <f t="shared" si="562"/>
        <v>#N/A</v>
      </c>
      <c r="EL347" s="30" t="e">
        <f t="shared" si="612"/>
        <v>#N/A</v>
      </c>
      <c r="EM347" s="30" t="e">
        <f t="shared" si="613"/>
        <v>#N/A</v>
      </c>
      <c r="EN347" s="31" t="e">
        <f>IF(OR(Hypothèses!$B$4=17,Hypothèses!$B$4=18,Hypothèses!$B$4=19,Hypothèses!$B$4=20),
IF($D347="Pressio.",
IF(OR($E347=3,$E347=1,$E347=4),EM347,EL347),
IF($D347="Pénétro.",
IF(OR($E347=3,$E347=1,$E347=4),EM347,EL347))),IF($D347="Pressio.",
IF($E347=3,EM347,EL347),
IF($D347="Pénétro.",
IF($E347=4,EM347,EL347))))</f>
        <v>#N/A</v>
      </c>
      <c r="EO347" s="31" t="e">
        <f>(IF(OR(Hypothèses!$B$4=17,Hypothèses!$B$4=18,Hypothèses!$B$4=19,Hypothèses!$B$4=20),
IF($D347="Pressio.",
IF(OR($E347=3,$E347=1,$E347=4),(PI()*EO$12^2)/4*(EK347*$W347*1000)/($H347*$B$5),(PI()*EO$12^2)/4*(EK347*$W347*1000)/($G347*$B$5)),
IF($D347="Pénétro.",
IF(OR($E347=4,$E347=1,$E347=5),(PI()*EO$12^2)/4*(EK347*$W347*1000)/($H347*$B$5),(PI()*EO$12^2)/4*(EK347*$W347*1000)/($G347*$B$5)))),
IF($D347="Pressio.",
IF($E347=3,(PI()*EO$12^2)/4*(EK347*$W347*1000)/($H347*$B$5),(PI()*EO$12^2)/4*(EK347*$W347*1000)/($G347*$B$5)),
IF($D347="Pénétro.",
IF($E347=4,(PI()*EO$12^2)/4*(EK347*$W347*1000)/($H347*$B$5),(PI()*EO$12^2)/4*(EK347*$W347*1000)/($G347*$B$5))))))/10</f>
        <v>#N/A</v>
      </c>
      <c r="EP347" s="102" t="e">
        <f>(VLOOKUP($B$3,'Coeff EC7'!$T$39:$X$59,2,0)*EN347+VLOOKUP($B$3,'Coeff EC7'!$T$65:$X$85,2,0)*Model0.1C!EO347)/1.1</f>
        <v>#N/A</v>
      </c>
      <c r="EQ347" s="102" t="e">
        <f>(VLOOKUP($B$3,'Coeff EC7'!$T$39:$X$59,3,0)*EN347+VLOOKUP($B$3,'Coeff EC7'!$T$65:$X$85,3,0)*Model0.1C!EO347)/0.9</f>
        <v>#N/A</v>
      </c>
      <c r="ER347" s="102" t="e">
        <f t="shared" si="594"/>
        <v>#N/A</v>
      </c>
      <c r="ES347" s="102" t="e">
        <f t="shared" si="595"/>
        <v>#N/A</v>
      </c>
      <c r="ET347" s="414" t="e">
        <f>IF(ET346=0,0,IF(AND(EP347&gt;charge_ELS_quasi,EQ347&gt;Charge_ELS_freq,ER347&gt;charge_ELU,ES347&gt;charge_ELA,$B347&gt;NDC!$H$22-0.1+MIN(3*$ET$12,1.5)),0,1))</f>
        <v>#N/A</v>
      </c>
      <c r="EU347" s="86" t="b">
        <f t="shared" si="563"/>
        <v>0</v>
      </c>
      <c r="EV347" s="86">
        <f t="shared" si="564"/>
        <v>0.61</v>
      </c>
      <c r="EW347" s="86">
        <f t="shared" si="565"/>
        <v>0.61</v>
      </c>
      <c r="EX347" s="30" t="e">
        <f t="shared" ca="1" si="596"/>
        <v>#DIV/0!</v>
      </c>
      <c r="EY347" s="85" t="e">
        <f ca="1">IF(EE347&lt;=Hypothèses!$V$7,Hypothèses!$W$7,IF(EE347&lt;=Hypothèses!$V$8,Hypothèses!$W$8,IF(EE347&lt;=Hypothèses!$V$9,Hypothèses!$W$9,IF(EE347&lt;=Hypothèses!$V$10,Hypothèses!$W$10,IF(EE347&lt;=Hypothèses!$V$11,Hypothèses!$W$11,IF(EE347&lt;=Hypothèses!$V$12,Hypothèses!$W$12,IF(EE347&lt;=Hypothèses!$V$13,Hypothèses!$W$13,IF(EE347&lt;=Hypothèses!$V$14,Hypothèses!$W$14,IF(EE347&lt;=Hypothèses!$V$15,Hypothèses!$W$15,IF(EE347&lt;=Hypothèses!$V$16,Hypothèses!$W$16,IF(EE347&lt;=Hypothèses!$V$17,Hypothèses!$W$17,IF(EE347&lt;=Hypothèses!$V$18,Hypothèses!$W$18,""))))))))))))</f>
        <v>#DIV/0!</v>
      </c>
      <c r="EZ347" s="87" t="e">
        <f t="shared" ca="1" si="623"/>
        <v>#DIV/0!</v>
      </c>
      <c r="FA347" s="88" t="e">
        <f ca="1">IF(EE347&lt;=Hypothèses!$V$7,Hypothèses!$X$7,IF(EE347&lt;=Hypothèses!$V$8,Hypothèses!$X$8,IF(EE347&lt;=Hypothèses!$V$9,Hypothèses!$X$9,IF(EE347&lt;=Hypothèses!$V$10,Hypothèses!$X$10,IF(EE347&lt;=Hypothèses!$V$11,Hypothèses!$X$11,IF(EE347&lt;=Hypothèses!$V$12,Hypothèses!$X$12,IF(EE347&lt;=Hypothèses!$V$13,Hypothèses!$X$13,IF(EE347&lt;=Hypothèses!$V$14,Hypothèses!$X$14,IF(EE347&lt;=Hypothèses!$V$15,Hypothèses!$X$15,IF(EE347&lt;=Hypothèses!$V$16,Hypothèses!$X$16,IF(EE347&lt;=Hypothèses!$U$17,Hypothèses!$W$17,IF(EE347&lt;=Hypothèses!$U$18,Hypothèses!$W$18,""))))))))))))</f>
        <v>#DIV/0!</v>
      </c>
      <c r="FB347" s="95" t="e">
        <f t="shared" ca="1" si="597"/>
        <v>#DIV/0!</v>
      </c>
      <c r="FC347" s="101" t="e">
        <f t="shared" si="630"/>
        <v>#N/A</v>
      </c>
      <c r="FD347" s="91" t="e">
        <f t="shared" si="566"/>
        <v>#N/A</v>
      </c>
      <c r="FE347" s="30" t="e">
        <f t="shared" si="614"/>
        <v>#N/A</v>
      </c>
      <c r="FF347" s="30" t="e">
        <f t="shared" si="615"/>
        <v>#N/A</v>
      </c>
      <c r="FG347" s="31" t="e">
        <f>IF(OR(Hypothèses!$B$4=17,Hypothèses!$B$4=18,Hypothèses!$B$4=19,Hypothèses!$B$4=20),
IF($D347="Pressio.",
IF(OR($E347=3,$E347=1,$E347=4),FF347,FE347),
IF($D347="Pénétro.",
IF(OR($E347=3,$E347=1,$E347=4),FF347,FE347))),IF($D347="Pressio.",
IF($E347=3,FF347,FE347),
IF($D347="Pénétro.",
IF($E347=4,FF347,FE347))))</f>
        <v>#N/A</v>
      </c>
      <c r="FH347" s="31" t="e">
        <f>(IF(OR(Hypothèses!$B$4=17,Hypothèses!$B$4=18,Hypothèses!$B$4=19,Hypothèses!$B$4=20),
IF($D347="Pressio.",
IF(OR($E347=3,$E347=1,$E347=4),(PI()*FH$12^2)/4*(FD347*$W347*1000)/($H347*$B$5),(PI()*FH$12^2)/4*(FD347*$W347*1000)/($G347*$B$5)),
IF($D347="Pénétro.",
IF(OR($E347=4,$E347=1,$E347=5),(PI()*FH$12^2)/4*(FD347*$W347*1000)/($H347*$B$5),(PI()*FH$12^2)/4*(FD347*$W347*1000)/($G347*$B$5)))),
IF($D347="Pressio.",
IF($E347=3,(PI()*FH$12^2)/4*(FD347*$W347*1000)/($H347*$B$5),(PI()*FH$12^2)/4*(FD347*$W347*1000)/($G347*$B$5)),
IF($D347="Pénétro.",
IF($E347=4,(PI()*FH$12^2)/4*(FD347*$W347*1000)/($H347*$B$5),(PI()*FH$12^2)/4*(FD347*$W347*1000)/($G347*$B$5))))))/10</f>
        <v>#N/A</v>
      </c>
      <c r="FI347" s="102" t="e">
        <f>(VLOOKUP($B$3,'Coeff EC7'!$T$39:$X$59,2,0)*FG347+VLOOKUP($B$3,'Coeff EC7'!$T$65:$X$85,2,0)*Model0.1C!FH347)/1.1</f>
        <v>#N/A</v>
      </c>
      <c r="FJ347" s="102" t="e">
        <f>(VLOOKUP($B$3,'Coeff EC7'!$T$39:$X$59,3,0)*FG347+VLOOKUP($B$3,'Coeff EC7'!$T$65:$X$85,3,0)*Model0.1C!FH347)/0.9</f>
        <v>#N/A</v>
      </c>
      <c r="FK347" s="102" t="e">
        <f t="shared" si="598"/>
        <v>#N/A</v>
      </c>
      <c r="FL347" s="102" t="e">
        <f t="shared" si="599"/>
        <v>#N/A</v>
      </c>
      <c r="FM347" s="414" t="e">
        <f>IF(FM346=0,0,IF(AND(FI347&gt;charge_ELS_quasi,FJ347&gt;Charge_ELS_freq,FK347&gt;charge_ELU,FL347&gt;charge_ELA,$B347&gt;NDC!$H$22-0.1+MIN(3*$FM$12,1.5)),0,1))</f>
        <v>#N/A</v>
      </c>
    </row>
    <row r="348" spans="1:169">
      <c r="A348" s="96">
        <f t="shared" si="567"/>
        <v>66.500000000001904</v>
      </c>
      <c r="B348" s="97">
        <v>33.5</v>
      </c>
      <c r="C348" s="81">
        <f>IF(B348&lt;=Hypothèses!$C$7,Hypothèses!$A$7,IF(B348&lt;=Hypothèses!$C$8,Hypothèses!$A$8,IF(B348&lt;=Hypothèses!$C$9,Hypothèses!$A$9,IF(B348&lt;=Hypothèses!$C$10,Hypothèses!$A$10,IF(B348&lt;=Hypothèses!$C$11,Hypothèses!$A$11,IF(B348&lt;=Hypothèses!$C$12,Hypothèses!$A$12,IF(B348&lt;=Hypothèses!$C$13,Hypothèses!$A$13,IF(B348&lt;=Hypothèses!$C$14,Hypothèses!$A$14,IF(B348&lt;=Hypothèses!$C$15,Hypothèses!$A$15,IF(B348&lt;=Hypothèses!$C$16,Hypothèses!$A$16,IF(B348&lt;=Hypothèses!$C$17,Hypothèses!$A$17,IF(B348&lt;=Hypothèses!$C$18,Hypothèses!$A$18,C347))))))))))))</f>
        <v>11</v>
      </c>
      <c r="D348" s="82" t="str">
        <f>IF(B348&lt;=Hypothèses!$C$7,Hypothèses!$R$7,IF(B348&lt;=Hypothèses!$C$8,Hypothèses!$R$8,IF(B348&lt;=Hypothèses!$C$9,Hypothèses!$R$9,IF(B348&lt;=Hypothèses!$C$10,Hypothèses!$R$10,IF(B348&lt;=Hypothèses!$C$11,Hypothèses!$R$11,IF(B348&lt;=Hypothèses!$C$12,Hypothèses!$R$12,IF(B348&lt;=Hypothèses!$C$13,Hypothèses!$R$13,IF(B348&lt;=Hypothèses!$C$14,Hypothèses!$R$14,IF(B348&lt;=Hypothèses!$C$15,Hypothèses!$R$15,IF(B348&lt;=Hypothèses!$C$16,Hypothèses!$R$16,IF(B348&lt;=Hypothèses!$C$17,Hypothèses!$R$17,IF(B348&lt;=Hypothèses!$C$18,Hypothèses!$R$18,D347))))))))))))</f>
        <v>Pressio.</v>
      </c>
      <c r="E348" s="82" t="e">
        <f>IF(B348&lt;=Hypothèses!$C$7,Hypothèses!$G$7,IF(B348&lt;=Hypothèses!$C$8,Hypothèses!$G$8,IF(B348&lt;=Hypothèses!$C$9,Hypothèses!$G$9,IF(B348&lt;=Hypothèses!$C$10,Hypothèses!$G$10,IF(B348&lt;=Hypothèses!$C$11,Hypothèses!$G$11,IF(B348&lt;=Hypothèses!$C$12,Hypothèses!$G$12,IF(B348&lt;=Hypothèses!$C$13,Hypothèses!$G$13,IF(B348&lt;=Hypothèses!$C$14,Hypothèses!$G$14,IF(B348&lt;=Hypothèses!$C$15,Hypothèses!$G$15,IF(B348&lt;=Hypothèses!$C$16,Hypothèses!$G$16,IF(B348&lt;=Hypothèses!$C$17,Hypothèses!$G$17,IF(B348&lt;=Hypothèses!$C$18,Hypothèses!$G$18,E347))))))))))))</f>
        <v>#N/A</v>
      </c>
      <c r="F348" s="82" t="str">
        <f>IF(B348&lt;=Hypothèses!$C$7,Hypothèses!$F$7,IF(B348&lt;=Hypothèses!$C$8,Hypothèses!$F$8,IF(B348&lt;=Hypothèses!$C$9,Hypothèses!$F$9,IF(B348&lt;=Hypothèses!$C$10,Hypothèses!$F$10,IF(B348&lt;=Hypothèses!$C$11,Hypothèses!$F$11,IF(B348&lt;=Hypothèses!$C$12,Hypothèses!$F$12,IF(B348&lt;=Hypothèses!$C$13,Hypothèses!$F$13,IF(B348&lt;=Hypothèses!$C$14,Hypothèses!$F$14,IF(B348&lt;=Hypothèses!$C$15,Hypothèses!$F$15,IF(B348&lt;=Hypothèses!$C$16,Hypothèses!$F$16,IF(B348&lt;=Hypothèses!$C$17,Hypothèses!$F$17,IF(B348&lt;=Hypothèses!$C$18,Hypothèses!$F$18,F347))))))))))))</f>
        <v/>
      </c>
      <c r="G348" s="91">
        <f t="array" ref="G348">INDEX('Coeff EC7'!$U$7:$X$27,
MATCH(Model0.1C!$B$3,'Coeff EC7'!$T$7:$T$27,0),
MATCH(Model0.1C!$D348&amp;Model0.1C!$B$4,
'Coeff EC7'!$U$6:$X$6&amp;
'Coeff EC7'!$U$5:$X$5,0))</f>
        <v>1.1499999999999999</v>
      </c>
      <c r="H348" s="91">
        <f t="array" ref="H348">INDEX('Coeff EC7'!$Y$7:$AB$27,
MATCH(Model0.1C!$B$3,'Coeff EC7'!$T$7:$T$27,0),
MATCH(Model0.1C!$D348&amp;Model0.1C!$B$4,
'Coeff EC7'!$Y$6:$AB$6&amp;
'Coeff EC7'!$Y$5:$AB$5,0))</f>
        <v>1.4</v>
      </c>
      <c r="I348" s="83" t="e">
        <f>IF(B348&lt;=Hypothèses!$C$7,Hypothèses!$P$7,IF(B348&lt;=Hypothèses!$C$8,Hypothèses!$P$8,IF(B348&lt;=Hypothèses!$C$9,Hypothèses!$P$9,IF(B348&lt;=Hypothèses!$C$10,Hypothèses!$P$10,IF(B348&lt;=Hypothèses!$C$11,Hypothèses!$P$11,IF(B348&lt;=Hypothèses!$C$12,Hypothèses!$P$12,IF(B348&lt;=Hypothèses!$C$13,Hypothèses!$P$13,IF(B348&lt;=Hypothèses!$C$14,Hypothèses!$P$14,IF(B348&lt;=Hypothèses!$C$15,Hypothèses!$P$15,IF(B348&lt;=Hypothèses!$C$16,Hypothèses!$P$16,IF(B348&lt;=Hypothèses!$C$17,Hypothèses!$P$17,IF(B348&lt;=Hypothèses!$C$18,Hypothèses!$P$18,I347))))))))))))</f>
        <v>#N/A</v>
      </c>
      <c r="J348" s="91" t="e">
        <f t="array" ref="J348">INDEX('Coeff EC7'!$D$33:$Q$33,1,MATCH(D348&amp;E348,'Coeff EC7'!$D$31:$Q$31&amp;'Coeff EC7'!$D$32:$Q$32,0))</f>
        <v>#N/A</v>
      </c>
      <c r="K348" s="91" t="e">
        <f t="array" ref="K348">INDEX('Coeff EC7'!$D$34:$Q$34,1,MATCH(D348&amp;E348,'Coeff EC7'!$D$31:$Q$31&amp;'Coeff EC7'!$D$32:$Q$32,0))</f>
        <v>#N/A</v>
      </c>
      <c r="L348" s="91" t="e">
        <f t="array" ref="L348">INDEX('Coeff EC7'!$D$35:$Q$35,1,MATCH(D348&amp;E348,'Coeff EC7'!$D$31:$Q$31&amp;'Coeff EC7'!$D$32:$Q$32,0))</f>
        <v>#N/A</v>
      </c>
      <c r="M348" s="98" t="e">
        <f t="shared" si="531"/>
        <v>#N/A</v>
      </c>
      <c r="N348" s="99" t="e">
        <f t="array" ref="N348">INDEX('Coeff EC7'!$D$7:$Q$27,MATCH($B$3,'Coeff EC7'!$C$7:$C$27,0),MATCH(D348&amp;E348,'Coeff EC7'!$D$5:$Q$5&amp;'Coeff EC7'!$D$6:$Q$6,0))</f>
        <v>#N/A</v>
      </c>
      <c r="O348" s="99" t="e">
        <f t="array" ref="O348">INDEX('Coeff EC7'!$D$41:$Q$61,MATCH($B$3,'Coeff EC7'!$C$41:$C$61,0),MATCH(D348&amp;E348,'Coeff EC7'!$D$39:$Q$39&amp;'Coeff EC7'!$D$40:$Q$40,0))</f>
        <v>#N/A</v>
      </c>
      <c r="P348" s="30" t="e">
        <f t="shared" si="568"/>
        <v>#N/A</v>
      </c>
      <c r="Q348" s="100" t="e">
        <f t="shared" si="533"/>
        <v>#N/A</v>
      </c>
      <c r="R348" s="86" t="b">
        <f t="shared" si="534"/>
        <v>0</v>
      </c>
      <c r="S348" s="86">
        <f t="shared" si="532"/>
        <v>0.5</v>
      </c>
      <c r="T348" s="86">
        <f t="shared" si="535"/>
        <v>0.5</v>
      </c>
      <c r="U348" s="30" t="e">
        <f t="shared" ca="1" si="569"/>
        <v>#DIV/0!</v>
      </c>
      <c r="V348" s="85" t="str">
        <f>IF(B348&lt;=Hypothèses!$V$7,Hypothèses!$W$7,IF(B348&lt;=Hypothèses!$V$8,Hypothèses!$W$8,IF(B348&lt;=Hypothèses!$V$9,Hypothèses!$W$9,IF(B348&lt;=Hypothèses!$V$10,Hypothèses!$W$10,IF(B348&lt;=Hypothèses!$V$11,Hypothèses!$W$11,IF(B348&lt;=Hypothèses!$V$12,Hypothèses!$W$12,IF(B348&lt;=Hypothèses!$V$13,Hypothèses!$W$13,IF(B348&lt;=Hypothèses!$V$14,Hypothèses!$W$14,IF(B348&lt;=Hypothèses!$V$15,Hypothèses!$W$15,IF(B348&lt;=Hypothèses!$V$16,Hypothèses!$W$16,IF(B348&lt;=Hypothèses!$V$17,Hypothèses!$W$17,IF(B348&lt;=Hypothèses!$V$18,Hypothèses!$W$18,""))))))))))))</f>
        <v/>
      </c>
      <c r="W348" s="87" t="e">
        <f t="shared" ca="1" si="616"/>
        <v>#DIV/0!</v>
      </c>
      <c r="X348" s="88" t="str">
        <f>IF(B348&lt;=Hypothèses!$V$7,Hypothèses!$X$7,IF(B348&lt;=Hypothèses!$V$8,Hypothèses!$X$8,IF(B348&lt;=Hypothèses!$V$9,Hypothèses!$X$9,IF(B348&lt;=Hypothèses!$V$10,Hypothèses!$X$10,IF(B348&lt;=Hypothèses!$V$11,Hypothèses!$X$11,IF(B348&lt;=Hypothèses!$V$12,Hypothèses!$X$12,IF(B348&lt;=Hypothèses!$V$13,Hypothèses!$X$13,IF(B348&lt;=Hypothèses!$V$14,Hypothèses!$X$14,IF(B348&lt;=Hypothèses!$V$15,Hypothèses!$X$15,IF(B348&lt;=Hypothèses!$V$16,Hypothèses!$X$16,IF(B348&lt;=Hypothèses!$U$17,Hypothèses!$W$17,IF(B348&lt;=Hypothèses!$U$18,Hypothèses!$W$18,""))))))))))))</f>
        <v/>
      </c>
      <c r="Y348" s="95" t="e">
        <f t="shared" ca="1" si="536"/>
        <v>#DIV/0!</v>
      </c>
      <c r="Z348" s="101" t="e">
        <f t="shared" si="537"/>
        <v>#N/A</v>
      </c>
      <c r="AA348" s="91" t="e">
        <f t="shared" si="538"/>
        <v>#N/A</v>
      </c>
      <c r="AB348" s="30" t="e">
        <f t="shared" si="600"/>
        <v>#N/A</v>
      </c>
      <c r="AC348" s="30" t="e">
        <f t="shared" si="601"/>
        <v>#N/A</v>
      </c>
      <c r="AD348" s="31" t="e">
        <f>IF(OR(Hypothèses!$B$4=17,Hypothèses!$B$4=18,Hypothèses!$B$4=19,Hypothèses!$B$4=20),
IF($D348="Pressio.",
IF(OR($E348=3,$E348=1,$E348=4),AC348,AB348),
IF($D348="Pénétro.",
IF(OR($E348=3,$E348=1,$E348=4),AC348,AB348))),IF($D348="Pressio.",
IF($E348=3,AC348,AB348),
IF($D348="Pénétro.",
IF($E348=4,AC348,AB348))))</f>
        <v>#N/A</v>
      </c>
      <c r="AE348" s="31" t="e">
        <f>(IF(OR(Hypothèses!$B$4=17,Hypothèses!$B$4=18,Hypothèses!$B$4=19,Hypothèses!$B$4=20),
IF($D348="Pressio.",
IF(OR($E348=3,$E348=1,$E348=4),(PI()*AE$12^2)/4*(AA348*$W348*1000)/($H348*$B$5),(PI()*AE$12^2)/4*(AA348*$W348*1000)/($G348*$B$5)),
IF($D348="Pénétro.",
IF(OR($E348=4,$E348=1,$E348=5),(PI()*AE$12^2)/4*(AA348*$W348*1000)/($H348*$B$5),(PI()*AE$12^2)/4*(AA348*$W348*1000)/($G348*$B$5)))),
IF($D348="Pressio.",
IF($E348=3,(PI()*AE$12^2)/4*(AA348*$W348*1000)/($H348*$B$5),(PI()*AE$12^2)/4*(AA348*$W348*1000)/($G348*$B$5)),
IF($D348="Pénétro.",
IF($E348=4,(PI()*AE$12^2)/4*(AA348*$W348*1000)/($H348*$B$5),(PI()*AE$12^2)/4*(AA348*$W348*1000)/($G348*$B$5))))))/10</f>
        <v>#N/A</v>
      </c>
      <c r="AF348" s="102" t="e">
        <f>(VLOOKUP($B$3,'Coeff EC7'!$T$39:$X$59,2,0)*AD348+VLOOKUP($B$3,'Coeff EC7'!$T$65:$X$85,2,0)*Model0.1C!AE348)/1.1</f>
        <v>#N/A</v>
      </c>
      <c r="AG348" s="102" t="e">
        <f>(VLOOKUP($B$3,'Coeff EC7'!$T$39:$X$59,3,0)*AD348+VLOOKUP($B$3,'Coeff EC7'!$T$65:$X$85,3,0)*Model0.1C!AE348)/0.9</f>
        <v>#N/A</v>
      </c>
      <c r="AH348" s="102" t="e">
        <f t="shared" si="539"/>
        <v>#N/A</v>
      </c>
      <c r="AI348" s="102" t="e">
        <f t="shared" si="540"/>
        <v>#N/A</v>
      </c>
      <c r="AJ348" s="414" t="e">
        <f>IF(AJ347=0,0,IF(AND(AF348&gt;charge_ELS_quasi,AG348&gt;Charge_ELS_freq,AH348&gt;charge_ELU,AI348&gt;charge_ELA,$B348&gt;NDC!$H$22-0.1+MIN(3*$AJ$12,1.5)),0,1))</f>
        <v>#N/A</v>
      </c>
      <c r="AK348" s="86" t="b">
        <f t="shared" si="541"/>
        <v>0</v>
      </c>
      <c r="AL348" s="86">
        <f t="shared" si="570"/>
        <v>0.5</v>
      </c>
      <c r="AM348" s="86">
        <f t="shared" si="542"/>
        <v>0.5</v>
      </c>
      <c r="AN348" s="30" t="e">
        <f t="shared" ca="1" si="571"/>
        <v>#DIV/0!</v>
      </c>
      <c r="AO348" s="85" t="e">
        <f ca="1">IF(U348&lt;=Hypothèses!$V$7,Hypothèses!$W$7,IF(U348&lt;=Hypothèses!$V$8,Hypothèses!$W$8,IF(U348&lt;=Hypothèses!$V$9,Hypothèses!$W$9,IF(U348&lt;=Hypothèses!$V$10,Hypothèses!$W$10,IF(U348&lt;=Hypothèses!$V$11,Hypothèses!$W$11,IF(U348&lt;=Hypothèses!$V$12,Hypothèses!$W$12,IF(U348&lt;=Hypothèses!$V$13,Hypothèses!$W$13,IF(U348&lt;=Hypothèses!$V$14,Hypothèses!$W$14,IF(U348&lt;=Hypothèses!$V$15,Hypothèses!$W$15,IF(U348&lt;=Hypothèses!$V$16,Hypothèses!$W$16,IF(U348&lt;=Hypothèses!$V$17,Hypothèses!$W$17,IF(U348&lt;=Hypothèses!$V$18,Hypothèses!$W$18,""))))))))))))</f>
        <v>#DIV/0!</v>
      </c>
      <c r="AP348" s="87" t="e">
        <f t="shared" ca="1" si="617"/>
        <v>#DIV/0!</v>
      </c>
      <c r="AQ348" s="88" t="e">
        <f ca="1">IF(U348&lt;=Hypothèses!$V$7,Hypothèses!$X$7,IF(U348&lt;=Hypothèses!$V$8,Hypothèses!$X$8,IF(U348&lt;=Hypothèses!$V$9,Hypothèses!$X$9,IF(U348&lt;=Hypothèses!$V$10,Hypothèses!$X$10,IF(U348&lt;=Hypothèses!$V$11,Hypothèses!$X$11,IF(U348&lt;=Hypothèses!$V$12,Hypothèses!$X$12,IF(U348&lt;=Hypothèses!$V$13,Hypothèses!$X$13,IF(U348&lt;=Hypothèses!$V$14,Hypothèses!$X$14,IF(U348&lt;=Hypothèses!$V$15,Hypothèses!$X$15,IF(U348&lt;=Hypothèses!$V$16,Hypothèses!$X$16,IF(U348&lt;=Hypothèses!$U$17,Hypothèses!$W$17,IF(U348&lt;=Hypothèses!$U$18,Hypothèses!$W$18,""))))))))))))</f>
        <v>#DIV/0!</v>
      </c>
      <c r="AR348" s="95" t="e">
        <f t="shared" ca="1" si="572"/>
        <v>#DIV/0!</v>
      </c>
      <c r="AS348" s="101" t="e">
        <f t="shared" si="624"/>
        <v>#N/A</v>
      </c>
      <c r="AT348" s="91" t="e">
        <f t="shared" si="543"/>
        <v>#N/A</v>
      </c>
      <c r="AU348" s="30" t="e">
        <f t="shared" si="602"/>
        <v>#N/A</v>
      </c>
      <c r="AV348" s="30" t="e">
        <f t="shared" si="603"/>
        <v>#N/A</v>
      </c>
      <c r="AW348" s="31" t="e">
        <f>IF(OR(Hypothèses!$B$4=17,Hypothèses!$B$4=18,Hypothèses!$B$4=19,Hypothèses!$B$4=20),
IF($D348="Pressio.",
IF(OR($E348=3,$E348=1,$E348=4),AV348,AU348),
IF($D348="Pénétro.",
IF(OR($E348=3,$E348=1,$E348=4),AV348,AU348))),IF($D348="Pressio.",
IF($E348=3,AV348,AU348),
IF($D348="Pénétro.",
IF($E348=4,AV348,AU348))))</f>
        <v>#N/A</v>
      </c>
      <c r="AX348" s="31" t="e">
        <f>(IF(OR(Hypothèses!$B$4=17,Hypothèses!$B$4=18,Hypothèses!$B$4=19,Hypothèses!$B$4=20),
IF($D348="Pressio.",
IF(OR($E348=3,$E348=1,$E348=4),(PI()*AX$12^2)/4*(AT348*$W348*1000)/($H348*$B$5),(PI()*AX$12^2)/4*(AT348*$W348*1000)/($G348*$B$5)),
IF($D348="Pénétro.",
IF(OR($E348=4,$E348=1,$E348=5),(PI()*AX$12^2)/4*(AT348*$W348*1000)/($H348*$B$5),(PI()*AX$12^2)/4*(AT348*$W348*1000)/($G348*$B$5)))),
IF($D348="Pressio.",
IF($E348=3,(PI()*AX$12^2)/4*(AT348*$W348*1000)/($H348*$B$5),(PI()*AX$12^2)/4*(AT348*$W348*1000)/($G348*$B$5)),
IF($D348="Pénétro.",
IF($E348=4,(PI()*AX$12^2)/4*(AT348*$W348*1000)/($H348*$B$5),(PI()*AX$12^2)/4*(AT348*$W348*1000)/($G348*$B$5))))))/10</f>
        <v>#N/A</v>
      </c>
      <c r="AY348" s="102" t="e">
        <f>(VLOOKUP($B$3,'Coeff EC7'!$T$39:$X$59,2,0)*AW348+VLOOKUP($B$3,'Coeff EC7'!$T$65:$X$85,2,0)*Model0.1C!AX348)/1.1</f>
        <v>#N/A</v>
      </c>
      <c r="AZ348" s="102" t="e">
        <f>(VLOOKUP($B$3,'Coeff EC7'!$T$39:$X$59,3,0)*AW348+VLOOKUP($B$3,'Coeff EC7'!$T$65:$X$85,3,0)*Model0.1C!AX348)/0.9</f>
        <v>#N/A</v>
      </c>
      <c r="BA348" s="102" t="e">
        <f t="shared" si="573"/>
        <v>#N/A</v>
      </c>
      <c r="BB348" s="102" t="e">
        <f t="shared" si="574"/>
        <v>#N/A</v>
      </c>
      <c r="BC348" s="414" t="e">
        <f>IF(BC347=0,0,IF(AND(AY348&gt;charge_ELS_quasi,AZ348&gt;Charge_ELS_freq,BA348&gt;charge_ELU,BB348&gt;charge_ELA,$B348&gt;NDC!$H$22-0.1+MIN(3*$BC$12,1.5)),0,1))</f>
        <v>#N/A</v>
      </c>
      <c r="BD348" s="86" t="b">
        <f t="shared" si="544"/>
        <v>0</v>
      </c>
      <c r="BE348" s="86">
        <f t="shared" si="575"/>
        <v>0.5</v>
      </c>
      <c r="BF348" s="86">
        <f t="shared" si="545"/>
        <v>0.5</v>
      </c>
      <c r="BG348" s="30" t="e">
        <f t="shared" ca="1" si="576"/>
        <v>#DIV/0!</v>
      </c>
      <c r="BH348" s="85" t="e">
        <f ca="1">IF(AN348&lt;=Hypothèses!$V$7,Hypothèses!$W$7,IF(AN348&lt;=Hypothèses!$V$8,Hypothèses!$W$8,IF(AN348&lt;=Hypothèses!$V$9,Hypothèses!$W$9,IF(AN348&lt;=Hypothèses!$V$10,Hypothèses!$W$10,IF(AN348&lt;=Hypothèses!$V$11,Hypothèses!$W$11,IF(AN348&lt;=Hypothèses!$V$12,Hypothèses!$W$12,IF(AN348&lt;=Hypothèses!$V$13,Hypothèses!$W$13,IF(AN348&lt;=Hypothèses!$V$14,Hypothèses!$W$14,IF(AN348&lt;=Hypothèses!$V$15,Hypothèses!$W$15,IF(AN348&lt;=Hypothèses!$V$16,Hypothèses!$W$16,IF(AN348&lt;=Hypothèses!$V$17,Hypothèses!$W$17,IF(AN348&lt;=Hypothèses!$V$18,Hypothèses!$W$18,""))))))))))))</f>
        <v>#DIV/0!</v>
      </c>
      <c r="BI348" s="87" t="e">
        <f t="shared" ca="1" si="618"/>
        <v>#DIV/0!</v>
      </c>
      <c r="BJ348" s="88" t="e">
        <f ca="1">IF(AN348&lt;=Hypothèses!$V$7,Hypothèses!$X$7,IF(AN348&lt;=Hypothèses!$V$8,Hypothèses!$X$8,IF(AN348&lt;=Hypothèses!$V$9,Hypothèses!$X$9,IF(AN348&lt;=Hypothèses!$V$10,Hypothèses!$X$10,IF(AN348&lt;=Hypothèses!$V$11,Hypothèses!$X$11,IF(AN348&lt;=Hypothèses!$V$12,Hypothèses!$X$12,IF(AN348&lt;=Hypothèses!$V$13,Hypothèses!$X$13,IF(AN348&lt;=Hypothèses!$V$14,Hypothèses!$X$14,IF(AN348&lt;=Hypothèses!$V$15,Hypothèses!$X$15,IF(AN348&lt;=Hypothèses!$V$16,Hypothèses!$X$16,IF(AN348&lt;=Hypothèses!$U$17,Hypothèses!$W$17,IF(AN348&lt;=Hypothèses!$U$18,Hypothèses!$W$18,""))))))))))))</f>
        <v>#DIV/0!</v>
      </c>
      <c r="BK348" s="95" t="e">
        <f t="shared" ca="1" si="577"/>
        <v>#DIV/0!</v>
      </c>
      <c r="BL348" s="101" t="e">
        <f t="shared" si="625"/>
        <v>#N/A</v>
      </c>
      <c r="BM348" s="91" t="e">
        <f t="shared" si="546"/>
        <v>#N/A</v>
      </c>
      <c r="BN348" s="30" t="e">
        <f t="shared" si="604"/>
        <v>#N/A</v>
      </c>
      <c r="BO348" s="30" t="e">
        <f t="shared" si="605"/>
        <v>#N/A</v>
      </c>
      <c r="BP348" s="31" t="e">
        <f>IF(OR(Hypothèses!$B$4=17,Hypothèses!$B$4=18,Hypothèses!$B$4=19,Hypothèses!$B$4=20),
IF($D348="Pressio.",
IF(OR($E348=3,$E348=1,$E348=4),BO348,BN348),
IF($D348="Pénétro.",
IF(OR($E348=3,$E348=1,$E348=4),BO348,BN348))),IF($D348="Pressio.",
IF($E348=3,BO348,BN348),
IF($D348="Pénétro.",
IF($E348=4,BO348,BN348))))</f>
        <v>#N/A</v>
      </c>
      <c r="BQ348" s="31" t="e">
        <f>(IF(OR(Hypothèses!$B$4=17,Hypothèses!$B$4=18,Hypothèses!$B$4=19,Hypothèses!$B$4=20),
IF($D348="Pressio.",
IF(OR($E348=3,$E348=1,$E348=4),(PI()*BQ$12^2)/4*(BM348*$W348*1000)/($H348*$B$5),(PI()*BQ$12^2)/4*(BM348*$W348*1000)/($G348*$B$5)),
IF($D348="Pénétro.",
IF(OR($E348=4,$E348=1,$E348=5),(PI()*BQ$12^2)/4*(BM348*$W348*1000)/($H348*$B$5),(PI()*BQ$12^2)/4*(BM348*$W348*1000)/($G348*$B$5)))),
IF($D348="Pressio.",
IF($E348=3,(PI()*BQ$12^2)/4*(BM348*$W348*1000)/($H348*$B$5),(PI()*BQ$12^2)/4*(BM348*$W348*1000)/($G348*$B$5)),
IF($D348="Pénétro.",
IF($E348=4,(PI()*BQ$12^2)/4*(BM348*$W348*1000)/($H348*$B$5),(PI()*BQ$12^2)/4*(BM348*$W348*1000)/($G348*$B$5))))))/10</f>
        <v>#N/A</v>
      </c>
      <c r="BR348" s="102" t="e">
        <f>(VLOOKUP($B$3,'Coeff EC7'!$T$39:$X$59,2,0)*BP348+VLOOKUP($B$3,'Coeff EC7'!$T$65:$X$85,2,0)*Model0.1C!BQ348)/1.1</f>
        <v>#N/A</v>
      </c>
      <c r="BS348" s="102" t="e">
        <f>(VLOOKUP($B$3,'Coeff EC7'!$T$39:$X$59,3,0)*BP348+VLOOKUP($B$3,'Coeff EC7'!$T$65:$X$85,3,0)*Model0.1C!BQ348)/0.9</f>
        <v>#N/A</v>
      </c>
      <c r="BT348" s="102" t="e">
        <f t="shared" si="578"/>
        <v>#N/A</v>
      </c>
      <c r="BU348" s="102" t="e">
        <f t="shared" si="579"/>
        <v>#N/A</v>
      </c>
      <c r="BV348" s="414" t="e">
        <f>IF(BV347=0,0,IF(AND(BR348&gt;charge_ELS_quasi,BS348&gt;Charge_ELS_freq,BT348&gt;charge_ELU,BU348&gt;charge_ELA,$B348&gt;NDC!$H$22-0.1+MIN(3*$BV$12,1.5)),0,1))</f>
        <v>#N/A</v>
      </c>
      <c r="BW348" s="86" t="b">
        <f t="shared" si="547"/>
        <v>0</v>
      </c>
      <c r="BX348" s="86">
        <f t="shared" si="548"/>
        <v>0.5</v>
      </c>
      <c r="BY348" s="86">
        <f t="shared" si="549"/>
        <v>0.5</v>
      </c>
      <c r="BZ348" s="30" t="e">
        <f t="shared" ca="1" si="580"/>
        <v>#DIV/0!</v>
      </c>
      <c r="CA348" s="85" t="e">
        <f ca="1">IF(BG348&lt;=Hypothèses!$V$7,Hypothèses!$W$7,IF(BG348&lt;=Hypothèses!$V$8,Hypothèses!$W$8,IF(BG348&lt;=Hypothèses!$V$9,Hypothèses!$W$9,IF(BG348&lt;=Hypothèses!$V$10,Hypothèses!$W$10,IF(BG348&lt;=Hypothèses!$V$11,Hypothèses!$W$11,IF(BG348&lt;=Hypothèses!$V$12,Hypothèses!$W$12,IF(BG348&lt;=Hypothèses!$V$13,Hypothèses!$W$13,IF(BG348&lt;=Hypothèses!$V$14,Hypothèses!$W$14,IF(BG348&lt;=Hypothèses!$V$15,Hypothèses!$W$15,IF(BG348&lt;=Hypothèses!$V$16,Hypothèses!$W$16,IF(BG348&lt;=Hypothèses!$V$17,Hypothèses!$W$17,IF(BG348&lt;=Hypothèses!$V$18,Hypothèses!$W$18,""))))))))))))</f>
        <v>#DIV/0!</v>
      </c>
      <c r="CB348" s="87" t="e">
        <f t="shared" ca="1" si="619"/>
        <v>#DIV/0!</v>
      </c>
      <c r="CC348" s="88" t="e">
        <f ca="1">IF(BG348&lt;=Hypothèses!$V$7,Hypothèses!$X$7,IF(BG348&lt;=Hypothèses!$V$8,Hypothèses!$X$8,IF(BG348&lt;=Hypothèses!$V$9,Hypothèses!$X$9,IF(BG348&lt;=Hypothèses!$V$10,Hypothèses!$X$10,IF(BG348&lt;=Hypothèses!$V$11,Hypothèses!$X$11,IF(BG348&lt;=Hypothèses!$V$12,Hypothèses!$X$12,IF(BG348&lt;=Hypothèses!$V$13,Hypothèses!$X$13,IF(BG348&lt;=Hypothèses!$V$14,Hypothèses!$X$14,IF(BG348&lt;=Hypothèses!$V$15,Hypothèses!$X$15,IF(BG348&lt;=Hypothèses!$V$16,Hypothèses!$X$16,IF(BG348&lt;=Hypothèses!$U$17,Hypothèses!$W$17,IF(BG348&lt;=Hypothèses!$U$18,Hypothèses!$W$18,""))))))))))))</f>
        <v>#DIV/0!</v>
      </c>
      <c r="CD348" s="95" t="e">
        <f t="shared" ca="1" si="581"/>
        <v>#DIV/0!</v>
      </c>
      <c r="CE348" s="101" t="e">
        <f t="shared" si="626"/>
        <v>#N/A</v>
      </c>
      <c r="CF348" s="91" t="e">
        <f t="shared" si="550"/>
        <v>#N/A</v>
      </c>
      <c r="CG348" s="30" t="e">
        <f t="shared" si="606"/>
        <v>#N/A</v>
      </c>
      <c r="CH348" s="30" t="e">
        <f t="shared" si="607"/>
        <v>#N/A</v>
      </c>
      <c r="CI348" s="31" t="e">
        <f>IF(OR(Hypothèses!$B$4=17,Hypothèses!$B$4=18,Hypothèses!$B$4=19,Hypothèses!$B$4=20),
IF($D348="Pressio.",
IF(OR($E348=3,$E348=1,$E348=4),CH348,CG348),
IF($D348="Pénétro.",
IF(OR($E348=3,$E348=1,$E348=4),CH348,CG348))),IF($D348="Pressio.",
IF($E348=3,CH348,CG348),
IF($D348="Pénétro.",
IF($E348=4,CH348,CG348))))</f>
        <v>#N/A</v>
      </c>
      <c r="CJ348" s="31" t="e">
        <f>(IF(OR(Hypothèses!$B$4=17,Hypothèses!$B$4=18,Hypothèses!$B$4=19,Hypothèses!$B$4=20),
IF($D348="Pressio.",
IF(OR($E348=3,$E348=1,$E348=4),(PI()*CJ$12^2)/4*(CF348*$W348*1000)/($H348*$B$5),(PI()*CJ$12^2)/4*(CF348*$W348*1000)/($G348*$B$5)),
IF($D348="Pénétro.",
IF(OR($E348=4,$E348=1,$E348=5),(PI()*CJ$12^2)/4*(CF348*$W348*1000)/($H348*$B$5),(PI()*CJ$12^2)/4*(CF348*$W348*1000)/($G348*$B$5)))),
IF($D348="Pressio.",
IF($E348=3,(PI()*CJ$12^2)/4*(CF348*$W348*1000)/($H348*$B$5),(PI()*CJ$12^2)/4*(CF348*$W348*1000)/($G348*$B$5)),
IF($D348="Pénétro.",
IF($E348=4,(PI()*CJ$12^2)/4*(CF348*$W348*1000)/($H348*$B$5),(PI()*CJ$12^2)/4*(CF348*$W348*1000)/($G348*$B$5))))))/10</f>
        <v>#N/A</v>
      </c>
      <c r="CK348" s="102" t="e">
        <f>(VLOOKUP($B$3,'Coeff EC7'!$T$39:$X$59,2,0)*CI348+VLOOKUP($B$3,'Coeff EC7'!$T$65:$X$85,2,0)*Model0.1C!CJ348)/1.1</f>
        <v>#N/A</v>
      </c>
      <c r="CL348" s="102" t="e">
        <f>(VLOOKUP($B$3,'Coeff EC7'!$T$39:$X$59,3,0)*CI348+VLOOKUP($B$3,'Coeff EC7'!$T$65:$X$85,3,0)*Model0.1C!CJ348)/0.9</f>
        <v>#N/A</v>
      </c>
      <c r="CM348" s="102" t="e">
        <f t="shared" si="582"/>
        <v>#N/A</v>
      </c>
      <c r="CN348" s="102" t="e">
        <f t="shared" si="583"/>
        <v>#N/A</v>
      </c>
      <c r="CO348" s="414" t="e">
        <f>IF(CO347=0,0,IF(AND(CK348&gt;charge_ELS_quasi,CL348&gt;Charge_ELS_freq,CM348&gt;charge_ELU,CN348&gt;charge_ELA,$B348&gt;NDC!$H$22-0.1+MIN(3*$CO$12,1.5)),0,1))</f>
        <v>#N/A</v>
      </c>
      <c r="CP348" s="86" t="b">
        <f t="shared" si="551"/>
        <v>0</v>
      </c>
      <c r="CQ348" s="86">
        <f t="shared" si="552"/>
        <v>0.5</v>
      </c>
      <c r="CR348" s="86">
        <f t="shared" si="553"/>
        <v>0.5</v>
      </c>
      <c r="CS348" s="30" t="e">
        <f t="shared" ca="1" si="584"/>
        <v>#DIV/0!</v>
      </c>
      <c r="CT348" s="85" t="e">
        <f ca="1">IF(BZ348&lt;=Hypothèses!$V$7,Hypothèses!$W$7,IF(BZ348&lt;=Hypothèses!$V$8,Hypothèses!$W$8,IF(BZ348&lt;=Hypothèses!$V$9,Hypothèses!$W$9,IF(BZ348&lt;=Hypothèses!$V$10,Hypothèses!$W$10,IF(BZ348&lt;=Hypothèses!$V$11,Hypothèses!$W$11,IF(BZ348&lt;=Hypothèses!$V$12,Hypothèses!$W$12,IF(BZ348&lt;=Hypothèses!$V$13,Hypothèses!$W$13,IF(BZ348&lt;=Hypothèses!$V$14,Hypothèses!$W$14,IF(BZ348&lt;=Hypothèses!$V$15,Hypothèses!$W$15,IF(BZ348&lt;=Hypothèses!$V$16,Hypothèses!$W$16,IF(BZ348&lt;=Hypothèses!$V$17,Hypothèses!$W$17,IF(BZ348&lt;=Hypothèses!$V$18,Hypothèses!$W$18,""))))))))))))</f>
        <v>#DIV/0!</v>
      </c>
      <c r="CU348" s="87" t="e">
        <f t="shared" ca="1" si="620"/>
        <v>#DIV/0!</v>
      </c>
      <c r="CV348" s="88" t="e">
        <f ca="1">IF(BZ348&lt;=Hypothèses!$V$7,Hypothèses!$X$7,IF(BZ348&lt;=Hypothèses!$V$8,Hypothèses!$X$8,IF(BZ348&lt;=Hypothèses!$V$9,Hypothèses!$X$9,IF(BZ348&lt;=Hypothèses!$V$10,Hypothèses!$X$10,IF(BZ348&lt;=Hypothèses!$V$11,Hypothèses!$X$11,IF(BZ348&lt;=Hypothèses!$V$12,Hypothèses!$X$12,IF(BZ348&lt;=Hypothèses!$V$13,Hypothèses!$X$13,IF(BZ348&lt;=Hypothèses!$V$14,Hypothèses!$X$14,IF(BZ348&lt;=Hypothèses!$V$15,Hypothèses!$X$15,IF(BZ348&lt;=Hypothèses!$V$16,Hypothèses!$X$16,IF(BZ348&lt;=Hypothèses!$U$17,Hypothèses!$W$17,IF(BZ348&lt;=Hypothèses!$U$18,Hypothèses!$W$18,""))))))))))))</f>
        <v>#DIV/0!</v>
      </c>
      <c r="CW348" s="95" t="e">
        <f t="shared" ca="1" si="585"/>
        <v>#DIV/0!</v>
      </c>
      <c r="CX348" s="101" t="e">
        <f t="shared" si="627"/>
        <v>#N/A</v>
      </c>
      <c r="CY348" s="91" t="e">
        <f t="shared" si="554"/>
        <v>#N/A</v>
      </c>
      <c r="CZ348" s="30" t="e">
        <f t="shared" si="608"/>
        <v>#N/A</v>
      </c>
      <c r="DA348" s="30" t="e">
        <f t="shared" si="609"/>
        <v>#N/A</v>
      </c>
      <c r="DB348" s="31" t="e">
        <f>IF(OR(Hypothèses!$B$4=17,Hypothèses!$B$4=18,Hypothèses!$B$4=19,Hypothèses!$B$4=20),
IF($D348="Pressio.",
IF(OR($E348=3,$E348=1,$E348=4),DA348,CZ348),
IF($D348="Pénétro.",
IF(OR($E348=3,$E348=1,$E348=4),DA348,CZ348))),IF($D348="Pressio.",
IF($E348=3,DA348,CZ348),
IF($D348="Pénétro.",
IF($E348=4,DA348,CZ348))))</f>
        <v>#N/A</v>
      </c>
      <c r="DC348" s="31" t="e">
        <f>(IF(OR(Hypothèses!$B$4=17,Hypothèses!$B$4=18,Hypothèses!$B$4=19,Hypothèses!$B$4=20),
IF($D348="Pressio.",
IF(OR($E348=3,$E348=1,$E348=4),(PI()*DC$12^2)/4*(CY348*$W348*1000)/($H348*$B$5),(PI()*DC$12^2)/4*(CY348*$W348*1000)/($G348*$B$5)),
IF($D348="Pénétro.",
IF(OR($E348=4,$E348=1,$E348=5),(PI()*DC$12^2)/4*(CY348*$W348*1000)/($H348*$B$5),(PI()*DC$12^2)/4*(CY348*$W348*1000)/($G348*$B$5)))),
IF($D348="Pressio.",
IF($E348=3,(PI()*DC$12^2)/4*(CY348*$W348*1000)/($H348*$B$5),(PI()*DC$12^2)/4*(CY348*$W348*1000)/($G348*$B$5)),
IF($D348="Pénétro.",
IF($E348=4,(PI()*DC$12^2)/4*(CY348*$W348*1000)/($H348*$B$5),(PI()*DC$12^2)/4*(CY348*$W348*1000)/($G348*$B$5))))))/10</f>
        <v>#N/A</v>
      </c>
      <c r="DD348" s="102" t="e">
        <f>(VLOOKUP($B$3,'Coeff EC7'!$T$39:$X$59,2,0)*DB348+VLOOKUP($B$3,'Coeff EC7'!$T$65:$X$85,2,0)*Model0.1C!DC348)/1.1</f>
        <v>#N/A</v>
      </c>
      <c r="DE348" s="102" t="e">
        <f>(VLOOKUP($B$3,'Coeff EC7'!$T$39:$X$59,3,0)*DB348+VLOOKUP($B$3,'Coeff EC7'!$T$65:$X$85,3,0)*Model0.1C!DC348)/0.9</f>
        <v>#N/A</v>
      </c>
      <c r="DF348" s="102" t="e">
        <f t="shared" si="586"/>
        <v>#N/A</v>
      </c>
      <c r="DG348" s="102" t="e">
        <f t="shared" si="587"/>
        <v>#N/A</v>
      </c>
      <c r="DH348" s="414" t="e">
        <f>IF(DH347=0,0,IF(AND(DD348&gt;charge_ELS_quasi,DE348&gt;Charge_ELS_freq,DF348&gt;charge_ELU,DG348&gt;charge_ELA,$B348&gt;NDC!$H$22-0.1+MIN(3*$DH$12,1.5)),0,1))</f>
        <v>#N/A</v>
      </c>
      <c r="DI348" s="86" t="b">
        <f t="shared" si="555"/>
        <v>0</v>
      </c>
      <c r="DJ348" s="86">
        <f t="shared" si="556"/>
        <v>0.5</v>
      </c>
      <c r="DK348" s="86">
        <f t="shared" si="557"/>
        <v>0.5</v>
      </c>
      <c r="DL348" s="30" t="e">
        <f t="shared" ca="1" si="588"/>
        <v>#DIV/0!</v>
      </c>
      <c r="DM348" s="85" t="e">
        <f ca="1">IF(CS348&lt;=Hypothèses!$V$7,Hypothèses!$W$7,IF(CS348&lt;=Hypothèses!$V$8,Hypothèses!$W$8,IF(CS348&lt;=Hypothèses!$V$9,Hypothèses!$W$9,IF(CS348&lt;=Hypothèses!$V$10,Hypothèses!$W$10,IF(CS348&lt;=Hypothèses!$V$11,Hypothèses!$W$11,IF(CS348&lt;=Hypothèses!$V$12,Hypothèses!$W$12,IF(CS348&lt;=Hypothèses!$V$13,Hypothèses!$W$13,IF(CS348&lt;=Hypothèses!$V$14,Hypothèses!$W$14,IF(CS348&lt;=Hypothèses!$V$15,Hypothèses!$W$15,IF(CS348&lt;=Hypothèses!$V$16,Hypothèses!$W$16,IF(CS348&lt;=Hypothèses!$V$17,Hypothèses!$W$17,IF(CS348&lt;=Hypothèses!$V$18,Hypothèses!$W$18,""))))))))))))</f>
        <v>#DIV/0!</v>
      </c>
      <c r="DN348" s="87" t="e">
        <f t="shared" ca="1" si="621"/>
        <v>#DIV/0!</v>
      </c>
      <c r="DO348" s="88" t="e">
        <f ca="1">IF(CS348&lt;=Hypothèses!$V$7,Hypothèses!$X$7,IF(CS348&lt;=Hypothèses!$V$8,Hypothèses!$X$8,IF(CS348&lt;=Hypothèses!$V$9,Hypothèses!$X$9,IF(CS348&lt;=Hypothèses!$V$10,Hypothèses!$X$10,IF(CS348&lt;=Hypothèses!$V$11,Hypothèses!$X$11,IF(CS348&lt;=Hypothèses!$V$12,Hypothèses!$X$12,IF(CS348&lt;=Hypothèses!$V$13,Hypothèses!$X$13,IF(CS348&lt;=Hypothèses!$V$14,Hypothèses!$X$14,IF(CS348&lt;=Hypothèses!$V$15,Hypothèses!$X$15,IF(CS348&lt;=Hypothèses!$V$16,Hypothèses!$X$16,IF(CS348&lt;=Hypothèses!$U$17,Hypothèses!$W$17,IF(CS348&lt;=Hypothèses!$U$18,Hypothèses!$W$18,""))))))))))))</f>
        <v>#DIV/0!</v>
      </c>
      <c r="DP348" s="95" t="e">
        <f t="shared" ca="1" si="589"/>
        <v>#DIV/0!</v>
      </c>
      <c r="DQ348" s="101" t="e">
        <f t="shared" si="628"/>
        <v>#N/A</v>
      </c>
      <c r="DR348" s="91" t="e">
        <f t="shared" si="558"/>
        <v>#N/A</v>
      </c>
      <c r="DS348" s="30" t="e">
        <f t="shared" si="610"/>
        <v>#N/A</v>
      </c>
      <c r="DT348" s="30" t="e">
        <f t="shared" si="611"/>
        <v>#N/A</v>
      </c>
      <c r="DU348" s="31" t="e">
        <f>IF(OR(Hypothèses!$B$4=17,Hypothèses!$B$4=18,Hypothèses!$B$4=19,Hypothèses!$B$4=20),
IF($D348="Pressio.",
IF(OR($E348=3,$E348=1,$E348=4),DT348,DS348),
IF($D348="Pénétro.",
IF(OR($E348=3,$E348=1,$E348=4),DT348,DS348))),IF($D348="Pressio.",
IF($E348=3,DT348,DS348),
IF($D348="Pénétro.",
IF($E348=4,DT348,DS348))))</f>
        <v>#N/A</v>
      </c>
      <c r="DV348" s="31" t="e">
        <f>(IF(OR(Hypothèses!$B$4=17,Hypothèses!$B$4=18,Hypothèses!$B$4=19,Hypothèses!$B$4=20),
IF($D348="Pressio.",
IF(OR($E348=3,$E348=1,$E348=4),(PI()*DV$12^2)/4*(DR348*$W348*1000)/($H348*$B$5),(PI()*DV$12^2)/4*(DR348*$W348*1000)/($G348*$B$5)),
IF($D348="Pénétro.",
IF(OR($E348=4,$E348=1,$E348=5),(PI()*DV$12^2)/4*(DR348*$W348*1000)/($H348*$B$5),(PI()*DV$12^2)/4*(DR348*$W348*1000)/($G348*$B$5)))),
IF($D348="Pressio.",
IF($E348=3,(PI()*DV$12^2)/4*(DR348*$W348*1000)/($H348*$B$5),(PI()*DV$12^2)/4*(DR348*$W348*1000)/($G348*$B$5)),
IF($D348="Pénétro.",
IF($E348=4,(PI()*DV$12^2)/4*(DR348*$W348*1000)/($H348*$B$5),(PI()*DV$12^2)/4*(DR348*$W348*1000)/($G348*$B$5))))))/10</f>
        <v>#N/A</v>
      </c>
      <c r="DW348" s="102" t="e">
        <f>(VLOOKUP($B$3,'Coeff EC7'!$T$39:$X$59,2,0)*DU348+VLOOKUP($B$3,'Coeff EC7'!$T$65:$X$85,2,0)*Model0.1C!DV348)/1.1</f>
        <v>#N/A</v>
      </c>
      <c r="DX348" s="102" t="e">
        <f>(VLOOKUP($B$3,'Coeff EC7'!$T$39:$X$59,3,0)*DU348+VLOOKUP($B$3,'Coeff EC7'!$T$65:$X$85,3,0)*Model0.1C!DV348)/0.9</f>
        <v>#N/A</v>
      </c>
      <c r="DY348" s="102" t="e">
        <f t="shared" si="590"/>
        <v>#N/A</v>
      </c>
      <c r="DZ348" s="102" t="e">
        <f t="shared" si="591"/>
        <v>#N/A</v>
      </c>
      <c r="EA348" s="414" t="e">
        <f>IF(EA347=0,0,IF(AND(DW348&gt;charge_ELS_quasi,DX348&gt;Charge_ELS_freq,DY348&gt;charge_ELU,DZ348&gt;charge_ELA,$B348&gt;NDC!$H$22-0.1+MIN(3*$EA$12,1.5)),0,1))</f>
        <v>#N/A</v>
      </c>
      <c r="EB348" s="86" t="b">
        <f t="shared" si="559"/>
        <v>0</v>
      </c>
      <c r="EC348" s="418">
        <f t="shared" si="560"/>
        <v>0.51</v>
      </c>
      <c r="ED348" s="86">
        <f t="shared" si="561"/>
        <v>0.51</v>
      </c>
      <c r="EE348" s="30" t="e">
        <f t="shared" ca="1" si="592"/>
        <v>#DIV/0!</v>
      </c>
      <c r="EF348" s="85" t="e">
        <f ca="1">IF(DL348&lt;=Hypothèses!$V$7,Hypothèses!$W$7,IF(DL348&lt;=Hypothèses!$V$8,Hypothèses!$W$8,IF(DL348&lt;=Hypothèses!$V$9,Hypothèses!$W$9,IF(DL348&lt;=Hypothèses!$V$10,Hypothèses!$W$10,IF(DL348&lt;=Hypothèses!$V$11,Hypothèses!$W$11,IF(DL348&lt;=Hypothèses!$V$12,Hypothèses!$W$12,IF(DL348&lt;=Hypothèses!$V$13,Hypothèses!$W$13,IF(DL348&lt;=Hypothèses!$V$14,Hypothèses!$W$14,IF(DL348&lt;=Hypothèses!$V$15,Hypothèses!$W$15,IF(DL348&lt;=Hypothèses!$V$16,Hypothèses!$W$16,IF(DL348&lt;=Hypothèses!$V$17,Hypothèses!$W$17,IF(DL348&lt;=Hypothèses!$V$18,Hypothèses!$W$18,""))))))))))))</f>
        <v>#DIV/0!</v>
      </c>
      <c r="EG348" s="87" t="e">
        <f t="shared" ca="1" si="622"/>
        <v>#DIV/0!</v>
      </c>
      <c r="EH348" s="88" t="e">
        <f ca="1">IF(DL348&lt;=Hypothèses!$V$7,Hypothèses!$X$7,IF(DL348&lt;=Hypothèses!$V$8,Hypothèses!$X$8,IF(DL348&lt;=Hypothèses!$V$9,Hypothèses!$X$9,IF(DL348&lt;=Hypothèses!$V$10,Hypothèses!$X$10,IF(DL348&lt;=Hypothèses!$V$11,Hypothèses!$X$11,IF(DL348&lt;=Hypothèses!$V$12,Hypothèses!$X$12,IF(DL348&lt;=Hypothèses!$V$13,Hypothèses!$X$13,IF(DL348&lt;=Hypothèses!$V$14,Hypothèses!$X$14,IF(DL348&lt;=Hypothèses!$V$15,Hypothèses!$X$15,IF(DL348&lt;=Hypothèses!$V$16,Hypothèses!$X$16,IF(DL348&lt;=Hypothèses!$U$17,Hypothèses!$W$17,IF(DL348&lt;=Hypothèses!$U$18,Hypothèses!$W$18,""))))))))))))</f>
        <v>#DIV/0!</v>
      </c>
      <c r="EI348" s="95" t="e">
        <f t="shared" ca="1" si="593"/>
        <v>#DIV/0!</v>
      </c>
      <c r="EJ348" s="101" t="e">
        <f t="shared" si="629"/>
        <v>#N/A</v>
      </c>
      <c r="EK348" s="91" t="e">
        <f t="shared" si="562"/>
        <v>#N/A</v>
      </c>
      <c r="EL348" s="30" t="e">
        <f t="shared" si="612"/>
        <v>#N/A</v>
      </c>
      <c r="EM348" s="30" t="e">
        <f t="shared" si="613"/>
        <v>#N/A</v>
      </c>
      <c r="EN348" s="31" t="e">
        <f>IF(OR(Hypothèses!$B$4=17,Hypothèses!$B$4=18,Hypothèses!$B$4=19,Hypothèses!$B$4=20),
IF($D348="Pressio.",
IF(OR($E348=3,$E348=1,$E348=4),EM348,EL348),
IF($D348="Pénétro.",
IF(OR($E348=3,$E348=1,$E348=4),EM348,EL348))),IF($D348="Pressio.",
IF($E348=3,EM348,EL348),
IF($D348="Pénétro.",
IF($E348=4,EM348,EL348))))</f>
        <v>#N/A</v>
      </c>
      <c r="EO348" s="31" t="e">
        <f>(IF(OR(Hypothèses!$B$4=17,Hypothèses!$B$4=18,Hypothèses!$B$4=19,Hypothèses!$B$4=20),
IF($D348="Pressio.",
IF(OR($E348=3,$E348=1,$E348=4),(PI()*EO$12^2)/4*(EK348*$W348*1000)/($H348*$B$5),(PI()*EO$12^2)/4*(EK348*$W348*1000)/($G348*$B$5)),
IF($D348="Pénétro.",
IF(OR($E348=4,$E348=1,$E348=5),(PI()*EO$12^2)/4*(EK348*$W348*1000)/($H348*$B$5),(PI()*EO$12^2)/4*(EK348*$W348*1000)/($G348*$B$5)))),
IF($D348="Pressio.",
IF($E348=3,(PI()*EO$12^2)/4*(EK348*$W348*1000)/($H348*$B$5),(PI()*EO$12^2)/4*(EK348*$W348*1000)/($G348*$B$5)),
IF($D348="Pénétro.",
IF($E348=4,(PI()*EO$12^2)/4*(EK348*$W348*1000)/($H348*$B$5),(PI()*EO$12^2)/4*(EK348*$W348*1000)/($G348*$B$5))))))/10</f>
        <v>#N/A</v>
      </c>
      <c r="EP348" s="102" t="e">
        <f>(VLOOKUP($B$3,'Coeff EC7'!$T$39:$X$59,2,0)*EN348+VLOOKUP($B$3,'Coeff EC7'!$T$65:$X$85,2,0)*Model0.1C!EO348)/1.1</f>
        <v>#N/A</v>
      </c>
      <c r="EQ348" s="102" t="e">
        <f>(VLOOKUP($B$3,'Coeff EC7'!$T$39:$X$59,3,0)*EN348+VLOOKUP($B$3,'Coeff EC7'!$T$65:$X$85,3,0)*Model0.1C!EO348)/0.9</f>
        <v>#N/A</v>
      </c>
      <c r="ER348" s="102" t="e">
        <f t="shared" si="594"/>
        <v>#N/A</v>
      </c>
      <c r="ES348" s="102" t="e">
        <f t="shared" si="595"/>
        <v>#N/A</v>
      </c>
      <c r="ET348" s="414" t="e">
        <f>IF(ET347=0,0,IF(AND(EP348&gt;charge_ELS_quasi,EQ348&gt;Charge_ELS_freq,ER348&gt;charge_ELU,ES348&gt;charge_ELA,$B348&gt;NDC!$H$22-0.1+MIN(3*$ET$12,1.5)),0,1))</f>
        <v>#N/A</v>
      </c>
      <c r="EU348" s="86" t="b">
        <f t="shared" si="563"/>
        <v>0</v>
      </c>
      <c r="EV348" s="86">
        <f t="shared" si="564"/>
        <v>0.61</v>
      </c>
      <c r="EW348" s="86">
        <f t="shared" si="565"/>
        <v>0.61</v>
      </c>
      <c r="EX348" s="30" t="e">
        <f t="shared" ca="1" si="596"/>
        <v>#DIV/0!</v>
      </c>
      <c r="EY348" s="85" t="e">
        <f ca="1">IF(EE348&lt;=Hypothèses!$V$7,Hypothèses!$W$7,IF(EE348&lt;=Hypothèses!$V$8,Hypothèses!$W$8,IF(EE348&lt;=Hypothèses!$V$9,Hypothèses!$W$9,IF(EE348&lt;=Hypothèses!$V$10,Hypothèses!$W$10,IF(EE348&lt;=Hypothèses!$V$11,Hypothèses!$W$11,IF(EE348&lt;=Hypothèses!$V$12,Hypothèses!$W$12,IF(EE348&lt;=Hypothèses!$V$13,Hypothèses!$W$13,IF(EE348&lt;=Hypothèses!$V$14,Hypothèses!$W$14,IF(EE348&lt;=Hypothèses!$V$15,Hypothèses!$W$15,IF(EE348&lt;=Hypothèses!$V$16,Hypothèses!$W$16,IF(EE348&lt;=Hypothèses!$V$17,Hypothèses!$W$17,IF(EE348&lt;=Hypothèses!$V$18,Hypothèses!$W$18,""))))))))))))</f>
        <v>#DIV/0!</v>
      </c>
      <c r="EZ348" s="87" t="e">
        <f t="shared" ca="1" si="623"/>
        <v>#DIV/0!</v>
      </c>
      <c r="FA348" s="88" t="e">
        <f ca="1">IF(EE348&lt;=Hypothèses!$V$7,Hypothèses!$X$7,IF(EE348&lt;=Hypothèses!$V$8,Hypothèses!$X$8,IF(EE348&lt;=Hypothèses!$V$9,Hypothèses!$X$9,IF(EE348&lt;=Hypothèses!$V$10,Hypothèses!$X$10,IF(EE348&lt;=Hypothèses!$V$11,Hypothèses!$X$11,IF(EE348&lt;=Hypothèses!$V$12,Hypothèses!$X$12,IF(EE348&lt;=Hypothèses!$V$13,Hypothèses!$X$13,IF(EE348&lt;=Hypothèses!$V$14,Hypothèses!$X$14,IF(EE348&lt;=Hypothèses!$V$15,Hypothèses!$X$15,IF(EE348&lt;=Hypothèses!$V$16,Hypothèses!$X$16,IF(EE348&lt;=Hypothèses!$U$17,Hypothèses!$W$17,IF(EE348&lt;=Hypothèses!$U$18,Hypothèses!$W$18,""))))))))))))</f>
        <v>#DIV/0!</v>
      </c>
      <c r="FB348" s="95" t="e">
        <f t="shared" ca="1" si="597"/>
        <v>#DIV/0!</v>
      </c>
      <c r="FC348" s="101" t="e">
        <f t="shared" si="630"/>
        <v>#N/A</v>
      </c>
      <c r="FD348" s="91" t="e">
        <f t="shared" si="566"/>
        <v>#N/A</v>
      </c>
      <c r="FE348" s="30" t="e">
        <f t="shared" si="614"/>
        <v>#N/A</v>
      </c>
      <c r="FF348" s="30" t="e">
        <f t="shared" si="615"/>
        <v>#N/A</v>
      </c>
      <c r="FG348" s="31" t="e">
        <f>IF(OR(Hypothèses!$B$4=17,Hypothèses!$B$4=18,Hypothèses!$B$4=19,Hypothèses!$B$4=20),
IF($D348="Pressio.",
IF(OR($E348=3,$E348=1,$E348=4),FF348,FE348),
IF($D348="Pénétro.",
IF(OR($E348=3,$E348=1,$E348=4),FF348,FE348))),IF($D348="Pressio.",
IF($E348=3,FF348,FE348),
IF($D348="Pénétro.",
IF($E348=4,FF348,FE348))))</f>
        <v>#N/A</v>
      </c>
      <c r="FH348" s="31" t="e">
        <f>(IF(OR(Hypothèses!$B$4=17,Hypothèses!$B$4=18,Hypothèses!$B$4=19,Hypothèses!$B$4=20),
IF($D348="Pressio.",
IF(OR($E348=3,$E348=1,$E348=4),(PI()*FH$12^2)/4*(FD348*$W348*1000)/($H348*$B$5),(PI()*FH$12^2)/4*(FD348*$W348*1000)/($G348*$B$5)),
IF($D348="Pénétro.",
IF(OR($E348=4,$E348=1,$E348=5),(PI()*FH$12^2)/4*(FD348*$W348*1000)/($H348*$B$5),(PI()*FH$12^2)/4*(FD348*$W348*1000)/($G348*$B$5)))),
IF($D348="Pressio.",
IF($E348=3,(PI()*FH$12^2)/4*(FD348*$W348*1000)/($H348*$B$5),(PI()*FH$12^2)/4*(FD348*$W348*1000)/($G348*$B$5)),
IF($D348="Pénétro.",
IF($E348=4,(PI()*FH$12^2)/4*(FD348*$W348*1000)/($H348*$B$5),(PI()*FH$12^2)/4*(FD348*$W348*1000)/($G348*$B$5))))))/10</f>
        <v>#N/A</v>
      </c>
      <c r="FI348" s="102" t="e">
        <f>(VLOOKUP($B$3,'Coeff EC7'!$T$39:$X$59,2,0)*FG348+VLOOKUP($B$3,'Coeff EC7'!$T$65:$X$85,2,0)*Model0.1C!FH348)/1.1</f>
        <v>#N/A</v>
      </c>
      <c r="FJ348" s="102" t="e">
        <f>(VLOOKUP($B$3,'Coeff EC7'!$T$39:$X$59,3,0)*FG348+VLOOKUP($B$3,'Coeff EC7'!$T$65:$X$85,3,0)*Model0.1C!FH348)/0.9</f>
        <v>#N/A</v>
      </c>
      <c r="FK348" s="102" t="e">
        <f t="shared" si="598"/>
        <v>#N/A</v>
      </c>
      <c r="FL348" s="102" t="e">
        <f t="shared" si="599"/>
        <v>#N/A</v>
      </c>
      <c r="FM348" s="414" t="e">
        <f>IF(FM347=0,0,IF(AND(FI348&gt;charge_ELS_quasi,FJ348&gt;Charge_ELS_freq,FK348&gt;charge_ELU,FL348&gt;charge_ELA,$B348&gt;NDC!$H$22-0.1+MIN(3*$FM$12,1.5)),0,1))</f>
        <v>#N/A</v>
      </c>
    </row>
    <row r="349" spans="1:169">
      <c r="A349" s="96">
        <f t="shared" si="567"/>
        <v>66.40000000000191</v>
      </c>
      <c r="B349" s="97">
        <v>33.6</v>
      </c>
      <c r="C349" s="81">
        <f>IF(B349&lt;=Hypothèses!$C$7,Hypothèses!$A$7,IF(B349&lt;=Hypothèses!$C$8,Hypothèses!$A$8,IF(B349&lt;=Hypothèses!$C$9,Hypothèses!$A$9,IF(B349&lt;=Hypothèses!$C$10,Hypothèses!$A$10,IF(B349&lt;=Hypothèses!$C$11,Hypothèses!$A$11,IF(B349&lt;=Hypothèses!$C$12,Hypothèses!$A$12,IF(B349&lt;=Hypothèses!$C$13,Hypothèses!$A$13,IF(B349&lt;=Hypothèses!$C$14,Hypothèses!$A$14,IF(B349&lt;=Hypothèses!$C$15,Hypothèses!$A$15,IF(B349&lt;=Hypothèses!$C$16,Hypothèses!$A$16,IF(B349&lt;=Hypothèses!$C$17,Hypothèses!$A$17,IF(B349&lt;=Hypothèses!$C$18,Hypothèses!$A$18,C348))))))))))))</f>
        <v>11</v>
      </c>
      <c r="D349" s="82" t="str">
        <f>IF(B349&lt;=Hypothèses!$C$7,Hypothèses!$R$7,IF(B349&lt;=Hypothèses!$C$8,Hypothèses!$R$8,IF(B349&lt;=Hypothèses!$C$9,Hypothèses!$R$9,IF(B349&lt;=Hypothèses!$C$10,Hypothèses!$R$10,IF(B349&lt;=Hypothèses!$C$11,Hypothèses!$R$11,IF(B349&lt;=Hypothèses!$C$12,Hypothèses!$R$12,IF(B349&lt;=Hypothèses!$C$13,Hypothèses!$R$13,IF(B349&lt;=Hypothèses!$C$14,Hypothèses!$R$14,IF(B349&lt;=Hypothèses!$C$15,Hypothèses!$R$15,IF(B349&lt;=Hypothèses!$C$16,Hypothèses!$R$16,IF(B349&lt;=Hypothèses!$C$17,Hypothèses!$R$17,IF(B349&lt;=Hypothèses!$C$18,Hypothèses!$R$18,D348))))))))))))</f>
        <v>Pressio.</v>
      </c>
      <c r="E349" s="82" t="e">
        <f>IF(B349&lt;=Hypothèses!$C$7,Hypothèses!$G$7,IF(B349&lt;=Hypothèses!$C$8,Hypothèses!$G$8,IF(B349&lt;=Hypothèses!$C$9,Hypothèses!$G$9,IF(B349&lt;=Hypothèses!$C$10,Hypothèses!$G$10,IF(B349&lt;=Hypothèses!$C$11,Hypothèses!$G$11,IF(B349&lt;=Hypothèses!$C$12,Hypothèses!$G$12,IF(B349&lt;=Hypothèses!$C$13,Hypothèses!$G$13,IF(B349&lt;=Hypothèses!$C$14,Hypothèses!$G$14,IF(B349&lt;=Hypothèses!$C$15,Hypothèses!$G$15,IF(B349&lt;=Hypothèses!$C$16,Hypothèses!$G$16,IF(B349&lt;=Hypothèses!$C$17,Hypothèses!$G$17,IF(B349&lt;=Hypothèses!$C$18,Hypothèses!$G$18,E348))))))))))))</f>
        <v>#N/A</v>
      </c>
      <c r="F349" s="82" t="str">
        <f>IF(B349&lt;=Hypothèses!$C$7,Hypothèses!$F$7,IF(B349&lt;=Hypothèses!$C$8,Hypothèses!$F$8,IF(B349&lt;=Hypothèses!$C$9,Hypothèses!$F$9,IF(B349&lt;=Hypothèses!$C$10,Hypothèses!$F$10,IF(B349&lt;=Hypothèses!$C$11,Hypothèses!$F$11,IF(B349&lt;=Hypothèses!$C$12,Hypothèses!$F$12,IF(B349&lt;=Hypothèses!$C$13,Hypothèses!$F$13,IF(B349&lt;=Hypothèses!$C$14,Hypothèses!$F$14,IF(B349&lt;=Hypothèses!$C$15,Hypothèses!$F$15,IF(B349&lt;=Hypothèses!$C$16,Hypothèses!$F$16,IF(B349&lt;=Hypothèses!$C$17,Hypothèses!$F$17,IF(B349&lt;=Hypothèses!$C$18,Hypothèses!$F$18,F348))))))))))))</f>
        <v/>
      </c>
      <c r="G349" s="91">
        <f t="array" ref="G349">INDEX('Coeff EC7'!$U$7:$X$27,
MATCH(Model0.1C!$B$3,'Coeff EC7'!$T$7:$T$27,0),
MATCH(Model0.1C!$D349&amp;Model0.1C!$B$4,
'Coeff EC7'!$U$6:$X$6&amp;
'Coeff EC7'!$U$5:$X$5,0))</f>
        <v>1.1499999999999999</v>
      </c>
      <c r="H349" s="91">
        <f t="array" ref="H349">INDEX('Coeff EC7'!$Y$7:$AB$27,
MATCH(Model0.1C!$B$3,'Coeff EC7'!$T$7:$T$27,0),
MATCH(Model0.1C!$D349&amp;Model0.1C!$B$4,
'Coeff EC7'!$Y$6:$AB$6&amp;
'Coeff EC7'!$Y$5:$AB$5,0))</f>
        <v>1.4</v>
      </c>
      <c r="I349" s="83" t="e">
        <f>IF(B349&lt;=Hypothèses!$C$7,Hypothèses!$P$7,IF(B349&lt;=Hypothèses!$C$8,Hypothèses!$P$8,IF(B349&lt;=Hypothèses!$C$9,Hypothèses!$P$9,IF(B349&lt;=Hypothèses!$C$10,Hypothèses!$P$10,IF(B349&lt;=Hypothèses!$C$11,Hypothèses!$P$11,IF(B349&lt;=Hypothèses!$C$12,Hypothèses!$P$12,IF(B349&lt;=Hypothèses!$C$13,Hypothèses!$P$13,IF(B349&lt;=Hypothèses!$C$14,Hypothèses!$P$14,IF(B349&lt;=Hypothèses!$C$15,Hypothèses!$P$15,IF(B349&lt;=Hypothèses!$C$16,Hypothèses!$P$16,IF(B349&lt;=Hypothèses!$C$17,Hypothèses!$P$17,IF(B349&lt;=Hypothèses!$C$18,Hypothèses!$P$18,I348))))))))))))</f>
        <v>#N/A</v>
      </c>
      <c r="J349" s="91" t="e">
        <f t="array" ref="J349">INDEX('Coeff EC7'!$D$33:$Q$33,1,MATCH(D349&amp;E349,'Coeff EC7'!$D$31:$Q$31&amp;'Coeff EC7'!$D$32:$Q$32,0))</f>
        <v>#N/A</v>
      </c>
      <c r="K349" s="91" t="e">
        <f t="array" ref="K349">INDEX('Coeff EC7'!$D$34:$Q$34,1,MATCH(D349&amp;E349,'Coeff EC7'!$D$31:$Q$31&amp;'Coeff EC7'!$D$32:$Q$32,0))</f>
        <v>#N/A</v>
      </c>
      <c r="L349" s="91" t="e">
        <f t="array" ref="L349">INDEX('Coeff EC7'!$D$35:$Q$35,1,MATCH(D349&amp;E349,'Coeff EC7'!$D$31:$Q$31&amp;'Coeff EC7'!$D$32:$Q$32,0))</f>
        <v>#N/A</v>
      </c>
      <c r="M349" s="98" t="e">
        <f t="shared" si="531"/>
        <v>#N/A</v>
      </c>
      <c r="N349" s="99" t="e">
        <f t="array" ref="N349">INDEX('Coeff EC7'!$D$7:$Q$27,MATCH($B$3,'Coeff EC7'!$C$7:$C$27,0),MATCH(D349&amp;E349,'Coeff EC7'!$D$5:$Q$5&amp;'Coeff EC7'!$D$6:$Q$6,0))</f>
        <v>#N/A</v>
      </c>
      <c r="O349" s="99" t="e">
        <f t="array" ref="O349">INDEX('Coeff EC7'!$D$41:$Q$61,MATCH($B$3,'Coeff EC7'!$C$41:$C$61,0),MATCH(D349&amp;E349,'Coeff EC7'!$D$39:$Q$39&amp;'Coeff EC7'!$D$40:$Q$40,0))</f>
        <v>#N/A</v>
      </c>
      <c r="P349" s="30" t="e">
        <f t="shared" si="568"/>
        <v>#N/A</v>
      </c>
      <c r="Q349" s="100" t="e">
        <f t="shared" si="533"/>
        <v>#N/A</v>
      </c>
      <c r="R349" s="86" t="b">
        <f t="shared" si="534"/>
        <v>0</v>
      </c>
      <c r="S349" s="86">
        <f t="shared" si="532"/>
        <v>0.5</v>
      </c>
      <c r="T349" s="86">
        <f t="shared" si="535"/>
        <v>0.5</v>
      </c>
      <c r="U349" s="30" t="e">
        <f t="shared" ca="1" si="569"/>
        <v>#DIV/0!</v>
      </c>
      <c r="V349" s="85" t="str">
        <f>IF(B349&lt;=Hypothèses!$V$7,Hypothèses!$W$7,IF(B349&lt;=Hypothèses!$V$8,Hypothèses!$W$8,IF(B349&lt;=Hypothèses!$V$9,Hypothèses!$W$9,IF(B349&lt;=Hypothèses!$V$10,Hypothèses!$W$10,IF(B349&lt;=Hypothèses!$V$11,Hypothèses!$W$11,IF(B349&lt;=Hypothèses!$V$12,Hypothèses!$W$12,IF(B349&lt;=Hypothèses!$V$13,Hypothèses!$W$13,IF(B349&lt;=Hypothèses!$V$14,Hypothèses!$W$14,IF(B349&lt;=Hypothèses!$V$15,Hypothèses!$W$15,IF(B349&lt;=Hypothèses!$V$16,Hypothèses!$W$16,IF(B349&lt;=Hypothèses!$V$17,Hypothèses!$W$17,IF(B349&lt;=Hypothèses!$V$18,Hypothèses!$W$18,""))))))))))))</f>
        <v/>
      </c>
      <c r="W349" s="87" t="e">
        <f t="shared" ca="1" si="616"/>
        <v>#DIV/0!</v>
      </c>
      <c r="X349" s="88" t="str">
        <f>IF(B349&lt;=Hypothèses!$V$7,Hypothèses!$X$7,IF(B349&lt;=Hypothèses!$V$8,Hypothèses!$X$8,IF(B349&lt;=Hypothèses!$V$9,Hypothèses!$X$9,IF(B349&lt;=Hypothèses!$V$10,Hypothèses!$X$10,IF(B349&lt;=Hypothèses!$V$11,Hypothèses!$X$11,IF(B349&lt;=Hypothèses!$V$12,Hypothèses!$X$12,IF(B349&lt;=Hypothèses!$V$13,Hypothèses!$X$13,IF(B349&lt;=Hypothèses!$V$14,Hypothèses!$X$14,IF(B349&lt;=Hypothèses!$V$15,Hypothèses!$X$15,IF(B349&lt;=Hypothèses!$V$16,Hypothèses!$X$16,IF(B349&lt;=Hypothèses!$U$17,Hypothèses!$W$17,IF(B349&lt;=Hypothèses!$U$18,Hypothèses!$W$18,""))))))))))))</f>
        <v/>
      </c>
      <c r="Y349" s="95" t="e">
        <f t="shared" ca="1" si="536"/>
        <v>#DIV/0!</v>
      </c>
      <c r="Z349" s="101" t="e">
        <f t="shared" si="537"/>
        <v>#N/A</v>
      </c>
      <c r="AA349" s="91" t="e">
        <f t="shared" si="538"/>
        <v>#N/A</v>
      </c>
      <c r="AB349" s="30" t="e">
        <f t="shared" si="600"/>
        <v>#N/A</v>
      </c>
      <c r="AC349" s="30" t="e">
        <f t="shared" si="601"/>
        <v>#N/A</v>
      </c>
      <c r="AD349" s="31" t="e">
        <f>IF(OR(Hypothèses!$B$4=17,Hypothèses!$B$4=18,Hypothèses!$B$4=19,Hypothèses!$B$4=20),
IF($D349="Pressio.",
IF(OR($E349=3,$E349=1,$E349=4),AC349,AB349),
IF($D349="Pénétro.",
IF(OR($E349=3,$E349=1,$E349=4),AC349,AB349))),IF($D349="Pressio.",
IF($E349=3,AC349,AB349),
IF($D349="Pénétro.",
IF($E349=4,AC349,AB349))))</f>
        <v>#N/A</v>
      </c>
      <c r="AE349" s="31" t="e">
        <f>(IF(OR(Hypothèses!$B$4=17,Hypothèses!$B$4=18,Hypothèses!$B$4=19,Hypothèses!$B$4=20),
IF($D349="Pressio.",
IF(OR($E349=3,$E349=1,$E349=4),(PI()*AE$12^2)/4*(AA349*$W349*1000)/($H349*$B$5),(PI()*AE$12^2)/4*(AA349*$W349*1000)/($G349*$B$5)),
IF($D349="Pénétro.",
IF(OR($E349=4,$E349=1,$E349=5),(PI()*AE$12^2)/4*(AA349*$W349*1000)/($H349*$B$5),(PI()*AE$12^2)/4*(AA349*$W349*1000)/($G349*$B$5)))),
IF($D349="Pressio.",
IF($E349=3,(PI()*AE$12^2)/4*(AA349*$W349*1000)/($H349*$B$5),(PI()*AE$12^2)/4*(AA349*$W349*1000)/($G349*$B$5)),
IF($D349="Pénétro.",
IF($E349=4,(PI()*AE$12^2)/4*(AA349*$W349*1000)/($H349*$B$5),(PI()*AE$12^2)/4*(AA349*$W349*1000)/($G349*$B$5))))))/10</f>
        <v>#N/A</v>
      </c>
      <c r="AF349" s="102" t="e">
        <f>(VLOOKUP($B$3,'Coeff EC7'!$T$39:$X$59,2,0)*AD349+VLOOKUP($B$3,'Coeff EC7'!$T$65:$X$85,2,0)*Model0.1C!AE349)/1.1</f>
        <v>#N/A</v>
      </c>
      <c r="AG349" s="102" t="e">
        <f>(VLOOKUP($B$3,'Coeff EC7'!$T$39:$X$59,3,0)*AD349+VLOOKUP($B$3,'Coeff EC7'!$T$65:$X$85,3,0)*Model0.1C!AE349)/0.9</f>
        <v>#N/A</v>
      </c>
      <c r="AH349" s="102" t="e">
        <f t="shared" si="539"/>
        <v>#N/A</v>
      </c>
      <c r="AI349" s="102" t="e">
        <f t="shared" si="540"/>
        <v>#N/A</v>
      </c>
      <c r="AJ349" s="414" t="e">
        <f>IF(AJ348=0,0,IF(AND(AF349&gt;charge_ELS_quasi,AG349&gt;Charge_ELS_freq,AH349&gt;charge_ELU,AI349&gt;charge_ELA,$B349&gt;NDC!$H$22-0.1+MIN(3*$AJ$12,1.5)),0,1))</f>
        <v>#N/A</v>
      </c>
      <c r="AK349" s="86" t="b">
        <f t="shared" si="541"/>
        <v>0</v>
      </c>
      <c r="AL349" s="86">
        <f t="shared" si="570"/>
        <v>0.5</v>
      </c>
      <c r="AM349" s="86">
        <f t="shared" si="542"/>
        <v>0.5</v>
      </c>
      <c r="AN349" s="30" t="e">
        <f t="shared" ca="1" si="571"/>
        <v>#DIV/0!</v>
      </c>
      <c r="AO349" s="85" t="e">
        <f ca="1">IF(U349&lt;=Hypothèses!$V$7,Hypothèses!$W$7,IF(U349&lt;=Hypothèses!$V$8,Hypothèses!$W$8,IF(U349&lt;=Hypothèses!$V$9,Hypothèses!$W$9,IF(U349&lt;=Hypothèses!$V$10,Hypothèses!$W$10,IF(U349&lt;=Hypothèses!$V$11,Hypothèses!$W$11,IF(U349&lt;=Hypothèses!$V$12,Hypothèses!$W$12,IF(U349&lt;=Hypothèses!$V$13,Hypothèses!$W$13,IF(U349&lt;=Hypothèses!$V$14,Hypothèses!$W$14,IF(U349&lt;=Hypothèses!$V$15,Hypothèses!$W$15,IF(U349&lt;=Hypothèses!$V$16,Hypothèses!$W$16,IF(U349&lt;=Hypothèses!$V$17,Hypothèses!$W$17,IF(U349&lt;=Hypothèses!$V$18,Hypothèses!$W$18,""))))))))))))</f>
        <v>#DIV/0!</v>
      </c>
      <c r="AP349" s="87" t="e">
        <f t="shared" ca="1" si="617"/>
        <v>#DIV/0!</v>
      </c>
      <c r="AQ349" s="88" t="e">
        <f ca="1">IF(U349&lt;=Hypothèses!$V$7,Hypothèses!$X$7,IF(U349&lt;=Hypothèses!$V$8,Hypothèses!$X$8,IF(U349&lt;=Hypothèses!$V$9,Hypothèses!$X$9,IF(U349&lt;=Hypothèses!$V$10,Hypothèses!$X$10,IF(U349&lt;=Hypothèses!$V$11,Hypothèses!$X$11,IF(U349&lt;=Hypothèses!$V$12,Hypothèses!$X$12,IF(U349&lt;=Hypothèses!$V$13,Hypothèses!$X$13,IF(U349&lt;=Hypothèses!$V$14,Hypothèses!$X$14,IF(U349&lt;=Hypothèses!$V$15,Hypothèses!$X$15,IF(U349&lt;=Hypothèses!$V$16,Hypothèses!$X$16,IF(U349&lt;=Hypothèses!$U$17,Hypothèses!$W$17,IF(U349&lt;=Hypothèses!$U$18,Hypothèses!$W$18,""))))))))))))</f>
        <v>#DIV/0!</v>
      </c>
      <c r="AR349" s="95" t="e">
        <f t="shared" ca="1" si="572"/>
        <v>#DIV/0!</v>
      </c>
      <c r="AS349" s="101" t="e">
        <f t="shared" si="624"/>
        <v>#N/A</v>
      </c>
      <c r="AT349" s="91" t="e">
        <f t="shared" si="543"/>
        <v>#N/A</v>
      </c>
      <c r="AU349" s="30" t="e">
        <f t="shared" si="602"/>
        <v>#N/A</v>
      </c>
      <c r="AV349" s="30" t="e">
        <f t="shared" si="603"/>
        <v>#N/A</v>
      </c>
      <c r="AW349" s="31" t="e">
        <f>IF(OR(Hypothèses!$B$4=17,Hypothèses!$B$4=18,Hypothèses!$B$4=19,Hypothèses!$B$4=20),
IF($D349="Pressio.",
IF(OR($E349=3,$E349=1,$E349=4),AV349,AU349),
IF($D349="Pénétro.",
IF(OR($E349=3,$E349=1,$E349=4),AV349,AU349))),IF($D349="Pressio.",
IF($E349=3,AV349,AU349),
IF($D349="Pénétro.",
IF($E349=4,AV349,AU349))))</f>
        <v>#N/A</v>
      </c>
      <c r="AX349" s="31" t="e">
        <f>(IF(OR(Hypothèses!$B$4=17,Hypothèses!$B$4=18,Hypothèses!$B$4=19,Hypothèses!$B$4=20),
IF($D349="Pressio.",
IF(OR($E349=3,$E349=1,$E349=4),(PI()*AX$12^2)/4*(AT349*$W349*1000)/($H349*$B$5),(PI()*AX$12^2)/4*(AT349*$W349*1000)/($G349*$B$5)),
IF($D349="Pénétro.",
IF(OR($E349=4,$E349=1,$E349=5),(PI()*AX$12^2)/4*(AT349*$W349*1000)/($H349*$B$5),(PI()*AX$12^2)/4*(AT349*$W349*1000)/($G349*$B$5)))),
IF($D349="Pressio.",
IF($E349=3,(PI()*AX$12^2)/4*(AT349*$W349*1000)/($H349*$B$5),(PI()*AX$12^2)/4*(AT349*$W349*1000)/($G349*$B$5)),
IF($D349="Pénétro.",
IF($E349=4,(PI()*AX$12^2)/4*(AT349*$W349*1000)/($H349*$B$5),(PI()*AX$12^2)/4*(AT349*$W349*1000)/($G349*$B$5))))))/10</f>
        <v>#N/A</v>
      </c>
      <c r="AY349" s="102" t="e">
        <f>(VLOOKUP($B$3,'Coeff EC7'!$T$39:$X$59,2,0)*AW349+VLOOKUP($B$3,'Coeff EC7'!$T$65:$X$85,2,0)*Model0.1C!AX349)/1.1</f>
        <v>#N/A</v>
      </c>
      <c r="AZ349" s="102" t="e">
        <f>(VLOOKUP($B$3,'Coeff EC7'!$T$39:$X$59,3,0)*AW349+VLOOKUP($B$3,'Coeff EC7'!$T$65:$X$85,3,0)*Model0.1C!AX349)/0.9</f>
        <v>#N/A</v>
      </c>
      <c r="BA349" s="102" t="e">
        <f t="shared" si="573"/>
        <v>#N/A</v>
      </c>
      <c r="BB349" s="102" t="e">
        <f t="shared" si="574"/>
        <v>#N/A</v>
      </c>
      <c r="BC349" s="414" t="e">
        <f>IF(BC348=0,0,IF(AND(AY349&gt;charge_ELS_quasi,AZ349&gt;Charge_ELS_freq,BA349&gt;charge_ELU,BB349&gt;charge_ELA,$B349&gt;NDC!$H$22-0.1+MIN(3*$BC$12,1.5)),0,1))</f>
        <v>#N/A</v>
      </c>
      <c r="BD349" s="86" t="b">
        <f t="shared" si="544"/>
        <v>0</v>
      </c>
      <c r="BE349" s="86">
        <f t="shared" si="575"/>
        <v>0.5</v>
      </c>
      <c r="BF349" s="86">
        <f t="shared" si="545"/>
        <v>0.5</v>
      </c>
      <c r="BG349" s="30" t="e">
        <f t="shared" ca="1" si="576"/>
        <v>#DIV/0!</v>
      </c>
      <c r="BH349" s="85" t="e">
        <f ca="1">IF(AN349&lt;=Hypothèses!$V$7,Hypothèses!$W$7,IF(AN349&lt;=Hypothèses!$V$8,Hypothèses!$W$8,IF(AN349&lt;=Hypothèses!$V$9,Hypothèses!$W$9,IF(AN349&lt;=Hypothèses!$V$10,Hypothèses!$W$10,IF(AN349&lt;=Hypothèses!$V$11,Hypothèses!$W$11,IF(AN349&lt;=Hypothèses!$V$12,Hypothèses!$W$12,IF(AN349&lt;=Hypothèses!$V$13,Hypothèses!$W$13,IF(AN349&lt;=Hypothèses!$V$14,Hypothèses!$W$14,IF(AN349&lt;=Hypothèses!$V$15,Hypothèses!$W$15,IF(AN349&lt;=Hypothèses!$V$16,Hypothèses!$W$16,IF(AN349&lt;=Hypothèses!$V$17,Hypothèses!$W$17,IF(AN349&lt;=Hypothèses!$V$18,Hypothèses!$W$18,""))))))))))))</f>
        <v>#DIV/0!</v>
      </c>
      <c r="BI349" s="87" t="e">
        <f t="shared" ca="1" si="618"/>
        <v>#DIV/0!</v>
      </c>
      <c r="BJ349" s="88" t="e">
        <f ca="1">IF(AN349&lt;=Hypothèses!$V$7,Hypothèses!$X$7,IF(AN349&lt;=Hypothèses!$V$8,Hypothèses!$X$8,IF(AN349&lt;=Hypothèses!$V$9,Hypothèses!$X$9,IF(AN349&lt;=Hypothèses!$V$10,Hypothèses!$X$10,IF(AN349&lt;=Hypothèses!$V$11,Hypothèses!$X$11,IF(AN349&lt;=Hypothèses!$V$12,Hypothèses!$X$12,IF(AN349&lt;=Hypothèses!$V$13,Hypothèses!$X$13,IF(AN349&lt;=Hypothèses!$V$14,Hypothèses!$X$14,IF(AN349&lt;=Hypothèses!$V$15,Hypothèses!$X$15,IF(AN349&lt;=Hypothèses!$V$16,Hypothèses!$X$16,IF(AN349&lt;=Hypothèses!$U$17,Hypothèses!$W$17,IF(AN349&lt;=Hypothèses!$U$18,Hypothèses!$W$18,""))))))))))))</f>
        <v>#DIV/0!</v>
      </c>
      <c r="BK349" s="95" t="e">
        <f t="shared" ca="1" si="577"/>
        <v>#DIV/0!</v>
      </c>
      <c r="BL349" s="101" t="e">
        <f t="shared" si="625"/>
        <v>#N/A</v>
      </c>
      <c r="BM349" s="91" t="e">
        <f t="shared" si="546"/>
        <v>#N/A</v>
      </c>
      <c r="BN349" s="30" t="e">
        <f t="shared" si="604"/>
        <v>#N/A</v>
      </c>
      <c r="BO349" s="30" t="e">
        <f t="shared" si="605"/>
        <v>#N/A</v>
      </c>
      <c r="BP349" s="31" t="e">
        <f>IF(OR(Hypothèses!$B$4=17,Hypothèses!$B$4=18,Hypothèses!$B$4=19,Hypothèses!$B$4=20),
IF($D349="Pressio.",
IF(OR($E349=3,$E349=1,$E349=4),BO349,BN349),
IF($D349="Pénétro.",
IF(OR($E349=3,$E349=1,$E349=4),BO349,BN349))),IF($D349="Pressio.",
IF($E349=3,BO349,BN349),
IF($D349="Pénétro.",
IF($E349=4,BO349,BN349))))</f>
        <v>#N/A</v>
      </c>
      <c r="BQ349" s="31" t="e">
        <f>(IF(OR(Hypothèses!$B$4=17,Hypothèses!$B$4=18,Hypothèses!$B$4=19,Hypothèses!$B$4=20),
IF($D349="Pressio.",
IF(OR($E349=3,$E349=1,$E349=4),(PI()*BQ$12^2)/4*(BM349*$W349*1000)/($H349*$B$5),(PI()*BQ$12^2)/4*(BM349*$W349*1000)/($G349*$B$5)),
IF($D349="Pénétro.",
IF(OR($E349=4,$E349=1,$E349=5),(PI()*BQ$12^2)/4*(BM349*$W349*1000)/($H349*$B$5),(PI()*BQ$12^2)/4*(BM349*$W349*1000)/($G349*$B$5)))),
IF($D349="Pressio.",
IF($E349=3,(PI()*BQ$12^2)/4*(BM349*$W349*1000)/($H349*$B$5),(PI()*BQ$12^2)/4*(BM349*$W349*1000)/($G349*$B$5)),
IF($D349="Pénétro.",
IF($E349=4,(PI()*BQ$12^2)/4*(BM349*$W349*1000)/($H349*$B$5),(PI()*BQ$12^2)/4*(BM349*$W349*1000)/($G349*$B$5))))))/10</f>
        <v>#N/A</v>
      </c>
      <c r="BR349" s="102" t="e">
        <f>(VLOOKUP($B$3,'Coeff EC7'!$T$39:$X$59,2,0)*BP349+VLOOKUP($B$3,'Coeff EC7'!$T$65:$X$85,2,0)*Model0.1C!BQ349)/1.1</f>
        <v>#N/A</v>
      </c>
      <c r="BS349" s="102" t="e">
        <f>(VLOOKUP($B$3,'Coeff EC7'!$T$39:$X$59,3,0)*BP349+VLOOKUP($B$3,'Coeff EC7'!$T$65:$X$85,3,0)*Model0.1C!BQ349)/0.9</f>
        <v>#N/A</v>
      </c>
      <c r="BT349" s="102" t="e">
        <f t="shared" si="578"/>
        <v>#N/A</v>
      </c>
      <c r="BU349" s="102" t="e">
        <f t="shared" si="579"/>
        <v>#N/A</v>
      </c>
      <c r="BV349" s="414" t="e">
        <f>IF(BV348=0,0,IF(AND(BR349&gt;charge_ELS_quasi,BS349&gt;Charge_ELS_freq,BT349&gt;charge_ELU,BU349&gt;charge_ELA,$B349&gt;NDC!$H$22-0.1+MIN(3*$BV$12,1.5)),0,1))</f>
        <v>#N/A</v>
      </c>
      <c r="BW349" s="86" t="b">
        <f t="shared" si="547"/>
        <v>0</v>
      </c>
      <c r="BX349" s="86">
        <f t="shared" si="548"/>
        <v>0.5</v>
      </c>
      <c r="BY349" s="86">
        <f t="shared" si="549"/>
        <v>0.5</v>
      </c>
      <c r="BZ349" s="30" t="e">
        <f t="shared" ca="1" si="580"/>
        <v>#DIV/0!</v>
      </c>
      <c r="CA349" s="85" t="e">
        <f ca="1">IF(BG349&lt;=Hypothèses!$V$7,Hypothèses!$W$7,IF(BG349&lt;=Hypothèses!$V$8,Hypothèses!$W$8,IF(BG349&lt;=Hypothèses!$V$9,Hypothèses!$W$9,IF(BG349&lt;=Hypothèses!$V$10,Hypothèses!$W$10,IF(BG349&lt;=Hypothèses!$V$11,Hypothèses!$W$11,IF(BG349&lt;=Hypothèses!$V$12,Hypothèses!$W$12,IF(BG349&lt;=Hypothèses!$V$13,Hypothèses!$W$13,IF(BG349&lt;=Hypothèses!$V$14,Hypothèses!$W$14,IF(BG349&lt;=Hypothèses!$V$15,Hypothèses!$W$15,IF(BG349&lt;=Hypothèses!$V$16,Hypothèses!$W$16,IF(BG349&lt;=Hypothèses!$V$17,Hypothèses!$W$17,IF(BG349&lt;=Hypothèses!$V$18,Hypothèses!$W$18,""))))))))))))</f>
        <v>#DIV/0!</v>
      </c>
      <c r="CB349" s="87" t="e">
        <f t="shared" ca="1" si="619"/>
        <v>#DIV/0!</v>
      </c>
      <c r="CC349" s="88" t="e">
        <f ca="1">IF(BG349&lt;=Hypothèses!$V$7,Hypothèses!$X$7,IF(BG349&lt;=Hypothèses!$V$8,Hypothèses!$X$8,IF(BG349&lt;=Hypothèses!$V$9,Hypothèses!$X$9,IF(BG349&lt;=Hypothèses!$V$10,Hypothèses!$X$10,IF(BG349&lt;=Hypothèses!$V$11,Hypothèses!$X$11,IF(BG349&lt;=Hypothèses!$V$12,Hypothèses!$X$12,IF(BG349&lt;=Hypothèses!$V$13,Hypothèses!$X$13,IF(BG349&lt;=Hypothèses!$V$14,Hypothèses!$X$14,IF(BG349&lt;=Hypothèses!$V$15,Hypothèses!$X$15,IF(BG349&lt;=Hypothèses!$V$16,Hypothèses!$X$16,IF(BG349&lt;=Hypothèses!$U$17,Hypothèses!$W$17,IF(BG349&lt;=Hypothèses!$U$18,Hypothèses!$W$18,""))))))))))))</f>
        <v>#DIV/0!</v>
      </c>
      <c r="CD349" s="95" t="e">
        <f t="shared" ca="1" si="581"/>
        <v>#DIV/0!</v>
      </c>
      <c r="CE349" s="101" t="e">
        <f t="shared" si="626"/>
        <v>#N/A</v>
      </c>
      <c r="CF349" s="91" t="e">
        <f t="shared" si="550"/>
        <v>#N/A</v>
      </c>
      <c r="CG349" s="30" t="e">
        <f t="shared" si="606"/>
        <v>#N/A</v>
      </c>
      <c r="CH349" s="30" t="e">
        <f t="shared" si="607"/>
        <v>#N/A</v>
      </c>
      <c r="CI349" s="31" t="e">
        <f>IF(OR(Hypothèses!$B$4=17,Hypothèses!$B$4=18,Hypothèses!$B$4=19,Hypothèses!$B$4=20),
IF($D349="Pressio.",
IF(OR($E349=3,$E349=1,$E349=4),CH349,CG349),
IF($D349="Pénétro.",
IF(OR($E349=3,$E349=1,$E349=4),CH349,CG349))),IF($D349="Pressio.",
IF($E349=3,CH349,CG349),
IF($D349="Pénétro.",
IF($E349=4,CH349,CG349))))</f>
        <v>#N/A</v>
      </c>
      <c r="CJ349" s="31" t="e">
        <f>(IF(OR(Hypothèses!$B$4=17,Hypothèses!$B$4=18,Hypothèses!$B$4=19,Hypothèses!$B$4=20),
IF($D349="Pressio.",
IF(OR($E349=3,$E349=1,$E349=4),(PI()*CJ$12^2)/4*(CF349*$W349*1000)/($H349*$B$5),(PI()*CJ$12^2)/4*(CF349*$W349*1000)/($G349*$B$5)),
IF($D349="Pénétro.",
IF(OR($E349=4,$E349=1,$E349=5),(PI()*CJ$12^2)/4*(CF349*$W349*1000)/($H349*$B$5),(PI()*CJ$12^2)/4*(CF349*$W349*1000)/($G349*$B$5)))),
IF($D349="Pressio.",
IF($E349=3,(PI()*CJ$12^2)/4*(CF349*$W349*1000)/($H349*$B$5),(PI()*CJ$12^2)/4*(CF349*$W349*1000)/($G349*$B$5)),
IF($D349="Pénétro.",
IF($E349=4,(PI()*CJ$12^2)/4*(CF349*$W349*1000)/($H349*$B$5),(PI()*CJ$12^2)/4*(CF349*$W349*1000)/($G349*$B$5))))))/10</f>
        <v>#N/A</v>
      </c>
      <c r="CK349" s="102" t="e">
        <f>(VLOOKUP($B$3,'Coeff EC7'!$T$39:$X$59,2,0)*CI349+VLOOKUP($B$3,'Coeff EC7'!$T$65:$X$85,2,0)*Model0.1C!CJ349)/1.1</f>
        <v>#N/A</v>
      </c>
      <c r="CL349" s="102" t="e">
        <f>(VLOOKUP($B$3,'Coeff EC7'!$T$39:$X$59,3,0)*CI349+VLOOKUP($B$3,'Coeff EC7'!$T$65:$X$85,3,0)*Model0.1C!CJ349)/0.9</f>
        <v>#N/A</v>
      </c>
      <c r="CM349" s="102" t="e">
        <f t="shared" si="582"/>
        <v>#N/A</v>
      </c>
      <c r="CN349" s="102" t="e">
        <f t="shared" si="583"/>
        <v>#N/A</v>
      </c>
      <c r="CO349" s="414" t="e">
        <f>IF(CO348=0,0,IF(AND(CK349&gt;charge_ELS_quasi,CL349&gt;Charge_ELS_freq,CM349&gt;charge_ELU,CN349&gt;charge_ELA,$B349&gt;NDC!$H$22-0.1+MIN(3*$CO$12,1.5)),0,1))</f>
        <v>#N/A</v>
      </c>
      <c r="CP349" s="86" t="b">
        <f t="shared" si="551"/>
        <v>0</v>
      </c>
      <c r="CQ349" s="86">
        <f t="shared" si="552"/>
        <v>0.5</v>
      </c>
      <c r="CR349" s="86">
        <f t="shared" si="553"/>
        <v>0.5</v>
      </c>
      <c r="CS349" s="30" t="e">
        <f t="shared" ca="1" si="584"/>
        <v>#DIV/0!</v>
      </c>
      <c r="CT349" s="85" t="e">
        <f ca="1">IF(BZ349&lt;=Hypothèses!$V$7,Hypothèses!$W$7,IF(BZ349&lt;=Hypothèses!$V$8,Hypothèses!$W$8,IF(BZ349&lt;=Hypothèses!$V$9,Hypothèses!$W$9,IF(BZ349&lt;=Hypothèses!$V$10,Hypothèses!$W$10,IF(BZ349&lt;=Hypothèses!$V$11,Hypothèses!$W$11,IF(BZ349&lt;=Hypothèses!$V$12,Hypothèses!$W$12,IF(BZ349&lt;=Hypothèses!$V$13,Hypothèses!$W$13,IF(BZ349&lt;=Hypothèses!$V$14,Hypothèses!$W$14,IF(BZ349&lt;=Hypothèses!$V$15,Hypothèses!$W$15,IF(BZ349&lt;=Hypothèses!$V$16,Hypothèses!$W$16,IF(BZ349&lt;=Hypothèses!$V$17,Hypothèses!$W$17,IF(BZ349&lt;=Hypothèses!$V$18,Hypothèses!$W$18,""))))))))))))</f>
        <v>#DIV/0!</v>
      </c>
      <c r="CU349" s="87" t="e">
        <f t="shared" ca="1" si="620"/>
        <v>#DIV/0!</v>
      </c>
      <c r="CV349" s="88" t="e">
        <f ca="1">IF(BZ349&lt;=Hypothèses!$V$7,Hypothèses!$X$7,IF(BZ349&lt;=Hypothèses!$V$8,Hypothèses!$X$8,IF(BZ349&lt;=Hypothèses!$V$9,Hypothèses!$X$9,IF(BZ349&lt;=Hypothèses!$V$10,Hypothèses!$X$10,IF(BZ349&lt;=Hypothèses!$V$11,Hypothèses!$X$11,IF(BZ349&lt;=Hypothèses!$V$12,Hypothèses!$X$12,IF(BZ349&lt;=Hypothèses!$V$13,Hypothèses!$X$13,IF(BZ349&lt;=Hypothèses!$V$14,Hypothèses!$X$14,IF(BZ349&lt;=Hypothèses!$V$15,Hypothèses!$X$15,IF(BZ349&lt;=Hypothèses!$V$16,Hypothèses!$X$16,IF(BZ349&lt;=Hypothèses!$U$17,Hypothèses!$W$17,IF(BZ349&lt;=Hypothèses!$U$18,Hypothèses!$W$18,""))))))))))))</f>
        <v>#DIV/0!</v>
      </c>
      <c r="CW349" s="95" t="e">
        <f t="shared" ca="1" si="585"/>
        <v>#DIV/0!</v>
      </c>
      <c r="CX349" s="101" t="e">
        <f t="shared" si="627"/>
        <v>#N/A</v>
      </c>
      <c r="CY349" s="91" t="e">
        <f t="shared" si="554"/>
        <v>#N/A</v>
      </c>
      <c r="CZ349" s="30" t="e">
        <f t="shared" si="608"/>
        <v>#N/A</v>
      </c>
      <c r="DA349" s="30" t="e">
        <f t="shared" si="609"/>
        <v>#N/A</v>
      </c>
      <c r="DB349" s="31" t="e">
        <f>IF(OR(Hypothèses!$B$4=17,Hypothèses!$B$4=18,Hypothèses!$B$4=19,Hypothèses!$B$4=20),
IF($D349="Pressio.",
IF(OR($E349=3,$E349=1,$E349=4),DA349,CZ349),
IF($D349="Pénétro.",
IF(OR($E349=3,$E349=1,$E349=4),DA349,CZ349))),IF($D349="Pressio.",
IF($E349=3,DA349,CZ349),
IF($D349="Pénétro.",
IF($E349=4,DA349,CZ349))))</f>
        <v>#N/A</v>
      </c>
      <c r="DC349" s="31" t="e">
        <f>(IF(OR(Hypothèses!$B$4=17,Hypothèses!$B$4=18,Hypothèses!$B$4=19,Hypothèses!$B$4=20),
IF($D349="Pressio.",
IF(OR($E349=3,$E349=1,$E349=4),(PI()*DC$12^2)/4*(CY349*$W349*1000)/($H349*$B$5),(PI()*DC$12^2)/4*(CY349*$W349*1000)/($G349*$B$5)),
IF($D349="Pénétro.",
IF(OR($E349=4,$E349=1,$E349=5),(PI()*DC$12^2)/4*(CY349*$W349*1000)/($H349*$B$5),(PI()*DC$12^2)/4*(CY349*$W349*1000)/($G349*$B$5)))),
IF($D349="Pressio.",
IF($E349=3,(PI()*DC$12^2)/4*(CY349*$W349*1000)/($H349*$B$5),(PI()*DC$12^2)/4*(CY349*$W349*1000)/($G349*$B$5)),
IF($D349="Pénétro.",
IF($E349=4,(PI()*DC$12^2)/4*(CY349*$W349*1000)/($H349*$B$5),(PI()*DC$12^2)/4*(CY349*$W349*1000)/($G349*$B$5))))))/10</f>
        <v>#N/A</v>
      </c>
      <c r="DD349" s="102" t="e">
        <f>(VLOOKUP($B$3,'Coeff EC7'!$T$39:$X$59,2,0)*DB349+VLOOKUP($B$3,'Coeff EC7'!$T$65:$X$85,2,0)*Model0.1C!DC349)/1.1</f>
        <v>#N/A</v>
      </c>
      <c r="DE349" s="102" t="e">
        <f>(VLOOKUP($B$3,'Coeff EC7'!$T$39:$X$59,3,0)*DB349+VLOOKUP($B$3,'Coeff EC7'!$T$65:$X$85,3,0)*Model0.1C!DC349)/0.9</f>
        <v>#N/A</v>
      </c>
      <c r="DF349" s="102" t="e">
        <f t="shared" si="586"/>
        <v>#N/A</v>
      </c>
      <c r="DG349" s="102" t="e">
        <f t="shared" si="587"/>
        <v>#N/A</v>
      </c>
      <c r="DH349" s="414" t="e">
        <f>IF(DH348=0,0,IF(AND(DD349&gt;charge_ELS_quasi,DE349&gt;Charge_ELS_freq,DF349&gt;charge_ELU,DG349&gt;charge_ELA,$B349&gt;NDC!$H$22-0.1+MIN(3*$DH$12,1.5)),0,1))</f>
        <v>#N/A</v>
      </c>
      <c r="DI349" s="86" t="b">
        <f t="shared" si="555"/>
        <v>0</v>
      </c>
      <c r="DJ349" s="86">
        <f t="shared" si="556"/>
        <v>0.5</v>
      </c>
      <c r="DK349" s="86">
        <f t="shared" si="557"/>
        <v>0.5</v>
      </c>
      <c r="DL349" s="30" t="e">
        <f t="shared" ca="1" si="588"/>
        <v>#DIV/0!</v>
      </c>
      <c r="DM349" s="85" t="e">
        <f ca="1">IF(CS349&lt;=Hypothèses!$V$7,Hypothèses!$W$7,IF(CS349&lt;=Hypothèses!$V$8,Hypothèses!$W$8,IF(CS349&lt;=Hypothèses!$V$9,Hypothèses!$W$9,IF(CS349&lt;=Hypothèses!$V$10,Hypothèses!$W$10,IF(CS349&lt;=Hypothèses!$V$11,Hypothèses!$W$11,IF(CS349&lt;=Hypothèses!$V$12,Hypothèses!$W$12,IF(CS349&lt;=Hypothèses!$V$13,Hypothèses!$W$13,IF(CS349&lt;=Hypothèses!$V$14,Hypothèses!$W$14,IF(CS349&lt;=Hypothèses!$V$15,Hypothèses!$W$15,IF(CS349&lt;=Hypothèses!$V$16,Hypothèses!$W$16,IF(CS349&lt;=Hypothèses!$V$17,Hypothèses!$W$17,IF(CS349&lt;=Hypothèses!$V$18,Hypothèses!$W$18,""))))))))))))</f>
        <v>#DIV/0!</v>
      </c>
      <c r="DN349" s="87" t="e">
        <f t="shared" ca="1" si="621"/>
        <v>#DIV/0!</v>
      </c>
      <c r="DO349" s="88" t="e">
        <f ca="1">IF(CS349&lt;=Hypothèses!$V$7,Hypothèses!$X$7,IF(CS349&lt;=Hypothèses!$V$8,Hypothèses!$X$8,IF(CS349&lt;=Hypothèses!$V$9,Hypothèses!$X$9,IF(CS349&lt;=Hypothèses!$V$10,Hypothèses!$X$10,IF(CS349&lt;=Hypothèses!$V$11,Hypothèses!$X$11,IF(CS349&lt;=Hypothèses!$V$12,Hypothèses!$X$12,IF(CS349&lt;=Hypothèses!$V$13,Hypothèses!$X$13,IF(CS349&lt;=Hypothèses!$V$14,Hypothèses!$X$14,IF(CS349&lt;=Hypothèses!$V$15,Hypothèses!$X$15,IF(CS349&lt;=Hypothèses!$V$16,Hypothèses!$X$16,IF(CS349&lt;=Hypothèses!$U$17,Hypothèses!$W$17,IF(CS349&lt;=Hypothèses!$U$18,Hypothèses!$W$18,""))))))))))))</f>
        <v>#DIV/0!</v>
      </c>
      <c r="DP349" s="95" t="e">
        <f t="shared" ca="1" si="589"/>
        <v>#DIV/0!</v>
      </c>
      <c r="DQ349" s="101" t="e">
        <f t="shared" si="628"/>
        <v>#N/A</v>
      </c>
      <c r="DR349" s="91" t="e">
        <f t="shared" si="558"/>
        <v>#N/A</v>
      </c>
      <c r="DS349" s="30" t="e">
        <f t="shared" si="610"/>
        <v>#N/A</v>
      </c>
      <c r="DT349" s="30" t="e">
        <f t="shared" si="611"/>
        <v>#N/A</v>
      </c>
      <c r="DU349" s="31" t="e">
        <f>IF(OR(Hypothèses!$B$4=17,Hypothèses!$B$4=18,Hypothèses!$B$4=19,Hypothèses!$B$4=20),
IF($D349="Pressio.",
IF(OR($E349=3,$E349=1,$E349=4),DT349,DS349),
IF($D349="Pénétro.",
IF(OR($E349=3,$E349=1,$E349=4),DT349,DS349))),IF($D349="Pressio.",
IF($E349=3,DT349,DS349),
IF($D349="Pénétro.",
IF($E349=4,DT349,DS349))))</f>
        <v>#N/A</v>
      </c>
      <c r="DV349" s="31" t="e">
        <f>(IF(OR(Hypothèses!$B$4=17,Hypothèses!$B$4=18,Hypothèses!$B$4=19,Hypothèses!$B$4=20),
IF($D349="Pressio.",
IF(OR($E349=3,$E349=1,$E349=4),(PI()*DV$12^2)/4*(DR349*$W349*1000)/($H349*$B$5),(PI()*DV$12^2)/4*(DR349*$W349*1000)/($G349*$B$5)),
IF($D349="Pénétro.",
IF(OR($E349=4,$E349=1,$E349=5),(PI()*DV$12^2)/4*(DR349*$W349*1000)/($H349*$B$5),(PI()*DV$12^2)/4*(DR349*$W349*1000)/($G349*$B$5)))),
IF($D349="Pressio.",
IF($E349=3,(PI()*DV$12^2)/4*(DR349*$W349*1000)/($H349*$B$5),(PI()*DV$12^2)/4*(DR349*$W349*1000)/($G349*$B$5)),
IF($D349="Pénétro.",
IF($E349=4,(PI()*DV$12^2)/4*(DR349*$W349*1000)/($H349*$B$5),(PI()*DV$12^2)/4*(DR349*$W349*1000)/($G349*$B$5))))))/10</f>
        <v>#N/A</v>
      </c>
      <c r="DW349" s="102" t="e">
        <f>(VLOOKUP($B$3,'Coeff EC7'!$T$39:$X$59,2,0)*DU349+VLOOKUP($B$3,'Coeff EC7'!$T$65:$X$85,2,0)*Model0.1C!DV349)/1.1</f>
        <v>#N/A</v>
      </c>
      <c r="DX349" s="102" t="e">
        <f>(VLOOKUP($B$3,'Coeff EC7'!$T$39:$X$59,3,0)*DU349+VLOOKUP($B$3,'Coeff EC7'!$T$65:$X$85,3,0)*Model0.1C!DV349)/0.9</f>
        <v>#N/A</v>
      </c>
      <c r="DY349" s="102" t="e">
        <f t="shared" si="590"/>
        <v>#N/A</v>
      </c>
      <c r="DZ349" s="102" t="e">
        <f t="shared" si="591"/>
        <v>#N/A</v>
      </c>
      <c r="EA349" s="414" t="e">
        <f>IF(EA348=0,0,IF(AND(DW349&gt;charge_ELS_quasi,DX349&gt;Charge_ELS_freq,DY349&gt;charge_ELU,DZ349&gt;charge_ELA,$B349&gt;NDC!$H$22-0.1+MIN(3*$EA$12,1.5)),0,1))</f>
        <v>#N/A</v>
      </c>
      <c r="EB349" s="86" t="b">
        <f t="shared" si="559"/>
        <v>0</v>
      </c>
      <c r="EC349" s="418">
        <f t="shared" si="560"/>
        <v>0.51</v>
      </c>
      <c r="ED349" s="86">
        <f t="shared" si="561"/>
        <v>0.51</v>
      </c>
      <c r="EE349" s="30" t="e">
        <f t="shared" ca="1" si="592"/>
        <v>#DIV/0!</v>
      </c>
      <c r="EF349" s="85" t="e">
        <f ca="1">IF(DL349&lt;=Hypothèses!$V$7,Hypothèses!$W$7,IF(DL349&lt;=Hypothèses!$V$8,Hypothèses!$W$8,IF(DL349&lt;=Hypothèses!$V$9,Hypothèses!$W$9,IF(DL349&lt;=Hypothèses!$V$10,Hypothèses!$W$10,IF(DL349&lt;=Hypothèses!$V$11,Hypothèses!$W$11,IF(DL349&lt;=Hypothèses!$V$12,Hypothèses!$W$12,IF(DL349&lt;=Hypothèses!$V$13,Hypothèses!$W$13,IF(DL349&lt;=Hypothèses!$V$14,Hypothèses!$W$14,IF(DL349&lt;=Hypothèses!$V$15,Hypothèses!$W$15,IF(DL349&lt;=Hypothèses!$V$16,Hypothèses!$W$16,IF(DL349&lt;=Hypothèses!$V$17,Hypothèses!$W$17,IF(DL349&lt;=Hypothèses!$V$18,Hypothèses!$W$18,""))))))))))))</f>
        <v>#DIV/0!</v>
      </c>
      <c r="EG349" s="87" t="e">
        <f t="shared" ca="1" si="622"/>
        <v>#DIV/0!</v>
      </c>
      <c r="EH349" s="88" t="e">
        <f ca="1">IF(DL349&lt;=Hypothèses!$V$7,Hypothèses!$X$7,IF(DL349&lt;=Hypothèses!$V$8,Hypothèses!$X$8,IF(DL349&lt;=Hypothèses!$V$9,Hypothèses!$X$9,IF(DL349&lt;=Hypothèses!$V$10,Hypothèses!$X$10,IF(DL349&lt;=Hypothèses!$V$11,Hypothèses!$X$11,IF(DL349&lt;=Hypothèses!$V$12,Hypothèses!$X$12,IF(DL349&lt;=Hypothèses!$V$13,Hypothèses!$X$13,IF(DL349&lt;=Hypothèses!$V$14,Hypothèses!$X$14,IF(DL349&lt;=Hypothèses!$V$15,Hypothèses!$X$15,IF(DL349&lt;=Hypothèses!$V$16,Hypothèses!$X$16,IF(DL349&lt;=Hypothèses!$U$17,Hypothèses!$W$17,IF(DL349&lt;=Hypothèses!$U$18,Hypothèses!$W$18,""))))))))))))</f>
        <v>#DIV/0!</v>
      </c>
      <c r="EI349" s="95" t="e">
        <f t="shared" ca="1" si="593"/>
        <v>#DIV/0!</v>
      </c>
      <c r="EJ349" s="101" t="e">
        <f t="shared" si="629"/>
        <v>#N/A</v>
      </c>
      <c r="EK349" s="91" t="e">
        <f t="shared" si="562"/>
        <v>#N/A</v>
      </c>
      <c r="EL349" s="30" t="e">
        <f t="shared" si="612"/>
        <v>#N/A</v>
      </c>
      <c r="EM349" s="30" t="e">
        <f t="shared" si="613"/>
        <v>#N/A</v>
      </c>
      <c r="EN349" s="31" t="e">
        <f>IF(OR(Hypothèses!$B$4=17,Hypothèses!$B$4=18,Hypothèses!$B$4=19,Hypothèses!$B$4=20),
IF($D349="Pressio.",
IF(OR($E349=3,$E349=1,$E349=4),EM349,EL349),
IF($D349="Pénétro.",
IF(OR($E349=3,$E349=1,$E349=4),EM349,EL349))),IF($D349="Pressio.",
IF($E349=3,EM349,EL349),
IF($D349="Pénétro.",
IF($E349=4,EM349,EL349))))</f>
        <v>#N/A</v>
      </c>
      <c r="EO349" s="31" t="e">
        <f>(IF(OR(Hypothèses!$B$4=17,Hypothèses!$B$4=18,Hypothèses!$B$4=19,Hypothèses!$B$4=20),
IF($D349="Pressio.",
IF(OR($E349=3,$E349=1,$E349=4),(PI()*EO$12^2)/4*(EK349*$W349*1000)/($H349*$B$5),(PI()*EO$12^2)/4*(EK349*$W349*1000)/($G349*$B$5)),
IF($D349="Pénétro.",
IF(OR($E349=4,$E349=1,$E349=5),(PI()*EO$12^2)/4*(EK349*$W349*1000)/($H349*$B$5),(PI()*EO$12^2)/4*(EK349*$W349*1000)/($G349*$B$5)))),
IF($D349="Pressio.",
IF($E349=3,(PI()*EO$12^2)/4*(EK349*$W349*1000)/($H349*$B$5),(PI()*EO$12^2)/4*(EK349*$W349*1000)/($G349*$B$5)),
IF($D349="Pénétro.",
IF($E349=4,(PI()*EO$12^2)/4*(EK349*$W349*1000)/($H349*$B$5),(PI()*EO$12^2)/4*(EK349*$W349*1000)/($G349*$B$5))))))/10</f>
        <v>#N/A</v>
      </c>
      <c r="EP349" s="102" t="e">
        <f>(VLOOKUP($B$3,'Coeff EC7'!$T$39:$X$59,2,0)*EN349+VLOOKUP($B$3,'Coeff EC7'!$T$65:$X$85,2,0)*Model0.1C!EO349)/1.1</f>
        <v>#N/A</v>
      </c>
      <c r="EQ349" s="102" t="e">
        <f>(VLOOKUP($B$3,'Coeff EC7'!$T$39:$X$59,3,0)*EN349+VLOOKUP($B$3,'Coeff EC7'!$T$65:$X$85,3,0)*Model0.1C!EO349)/0.9</f>
        <v>#N/A</v>
      </c>
      <c r="ER349" s="102" t="e">
        <f t="shared" si="594"/>
        <v>#N/A</v>
      </c>
      <c r="ES349" s="102" t="e">
        <f t="shared" si="595"/>
        <v>#N/A</v>
      </c>
      <c r="ET349" s="414" t="e">
        <f>IF(ET348=0,0,IF(AND(EP349&gt;charge_ELS_quasi,EQ349&gt;Charge_ELS_freq,ER349&gt;charge_ELU,ES349&gt;charge_ELA,$B349&gt;NDC!$H$22-0.1+MIN(3*$ET$12,1.5)),0,1))</f>
        <v>#N/A</v>
      </c>
      <c r="EU349" s="86" t="b">
        <f t="shared" si="563"/>
        <v>0</v>
      </c>
      <c r="EV349" s="86">
        <f t="shared" si="564"/>
        <v>0.61</v>
      </c>
      <c r="EW349" s="86">
        <f t="shared" si="565"/>
        <v>0.61</v>
      </c>
      <c r="EX349" s="30" t="e">
        <f t="shared" ca="1" si="596"/>
        <v>#DIV/0!</v>
      </c>
      <c r="EY349" s="85" t="e">
        <f ca="1">IF(EE349&lt;=Hypothèses!$V$7,Hypothèses!$W$7,IF(EE349&lt;=Hypothèses!$V$8,Hypothèses!$W$8,IF(EE349&lt;=Hypothèses!$V$9,Hypothèses!$W$9,IF(EE349&lt;=Hypothèses!$V$10,Hypothèses!$W$10,IF(EE349&lt;=Hypothèses!$V$11,Hypothèses!$W$11,IF(EE349&lt;=Hypothèses!$V$12,Hypothèses!$W$12,IF(EE349&lt;=Hypothèses!$V$13,Hypothèses!$W$13,IF(EE349&lt;=Hypothèses!$V$14,Hypothèses!$W$14,IF(EE349&lt;=Hypothèses!$V$15,Hypothèses!$W$15,IF(EE349&lt;=Hypothèses!$V$16,Hypothèses!$W$16,IF(EE349&lt;=Hypothèses!$V$17,Hypothèses!$W$17,IF(EE349&lt;=Hypothèses!$V$18,Hypothèses!$W$18,""))))))))))))</f>
        <v>#DIV/0!</v>
      </c>
      <c r="EZ349" s="87" t="e">
        <f t="shared" ca="1" si="623"/>
        <v>#DIV/0!</v>
      </c>
      <c r="FA349" s="88" t="e">
        <f ca="1">IF(EE349&lt;=Hypothèses!$V$7,Hypothèses!$X$7,IF(EE349&lt;=Hypothèses!$V$8,Hypothèses!$X$8,IF(EE349&lt;=Hypothèses!$V$9,Hypothèses!$X$9,IF(EE349&lt;=Hypothèses!$V$10,Hypothèses!$X$10,IF(EE349&lt;=Hypothèses!$V$11,Hypothèses!$X$11,IF(EE349&lt;=Hypothèses!$V$12,Hypothèses!$X$12,IF(EE349&lt;=Hypothèses!$V$13,Hypothèses!$X$13,IF(EE349&lt;=Hypothèses!$V$14,Hypothèses!$X$14,IF(EE349&lt;=Hypothèses!$V$15,Hypothèses!$X$15,IF(EE349&lt;=Hypothèses!$V$16,Hypothèses!$X$16,IF(EE349&lt;=Hypothèses!$U$17,Hypothèses!$W$17,IF(EE349&lt;=Hypothèses!$U$18,Hypothèses!$W$18,""))))))))))))</f>
        <v>#DIV/0!</v>
      </c>
      <c r="FB349" s="95" t="e">
        <f t="shared" ca="1" si="597"/>
        <v>#DIV/0!</v>
      </c>
      <c r="FC349" s="101" t="e">
        <f t="shared" si="630"/>
        <v>#N/A</v>
      </c>
      <c r="FD349" s="91" t="e">
        <f t="shared" si="566"/>
        <v>#N/A</v>
      </c>
      <c r="FE349" s="30" t="e">
        <f t="shared" si="614"/>
        <v>#N/A</v>
      </c>
      <c r="FF349" s="30" t="e">
        <f t="shared" si="615"/>
        <v>#N/A</v>
      </c>
      <c r="FG349" s="31" t="e">
        <f>IF(OR(Hypothèses!$B$4=17,Hypothèses!$B$4=18,Hypothèses!$B$4=19,Hypothèses!$B$4=20),
IF($D349="Pressio.",
IF(OR($E349=3,$E349=1,$E349=4),FF349,FE349),
IF($D349="Pénétro.",
IF(OR($E349=3,$E349=1,$E349=4),FF349,FE349))),IF($D349="Pressio.",
IF($E349=3,FF349,FE349),
IF($D349="Pénétro.",
IF($E349=4,FF349,FE349))))</f>
        <v>#N/A</v>
      </c>
      <c r="FH349" s="31" t="e">
        <f>(IF(OR(Hypothèses!$B$4=17,Hypothèses!$B$4=18,Hypothèses!$B$4=19,Hypothèses!$B$4=20),
IF($D349="Pressio.",
IF(OR($E349=3,$E349=1,$E349=4),(PI()*FH$12^2)/4*(FD349*$W349*1000)/($H349*$B$5),(PI()*FH$12^2)/4*(FD349*$W349*1000)/($G349*$B$5)),
IF($D349="Pénétro.",
IF(OR($E349=4,$E349=1,$E349=5),(PI()*FH$12^2)/4*(FD349*$W349*1000)/($H349*$B$5),(PI()*FH$12^2)/4*(FD349*$W349*1000)/($G349*$B$5)))),
IF($D349="Pressio.",
IF($E349=3,(PI()*FH$12^2)/4*(FD349*$W349*1000)/($H349*$B$5),(PI()*FH$12^2)/4*(FD349*$W349*1000)/($G349*$B$5)),
IF($D349="Pénétro.",
IF($E349=4,(PI()*FH$12^2)/4*(FD349*$W349*1000)/($H349*$B$5),(PI()*FH$12^2)/4*(FD349*$W349*1000)/($G349*$B$5))))))/10</f>
        <v>#N/A</v>
      </c>
      <c r="FI349" s="102" t="e">
        <f>(VLOOKUP($B$3,'Coeff EC7'!$T$39:$X$59,2,0)*FG349+VLOOKUP($B$3,'Coeff EC7'!$T$65:$X$85,2,0)*Model0.1C!FH349)/1.1</f>
        <v>#N/A</v>
      </c>
      <c r="FJ349" s="102" t="e">
        <f>(VLOOKUP($B$3,'Coeff EC7'!$T$39:$X$59,3,0)*FG349+VLOOKUP($B$3,'Coeff EC7'!$T$65:$X$85,3,0)*Model0.1C!FH349)/0.9</f>
        <v>#N/A</v>
      </c>
      <c r="FK349" s="102" t="e">
        <f t="shared" si="598"/>
        <v>#N/A</v>
      </c>
      <c r="FL349" s="102" t="e">
        <f t="shared" si="599"/>
        <v>#N/A</v>
      </c>
      <c r="FM349" s="414" t="e">
        <f>IF(FM348=0,0,IF(AND(FI349&gt;charge_ELS_quasi,FJ349&gt;Charge_ELS_freq,FK349&gt;charge_ELU,FL349&gt;charge_ELA,$B349&gt;NDC!$H$22-0.1+MIN(3*$FM$12,1.5)),0,1))</f>
        <v>#N/A</v>
      </c>
    </row>
    <row r="350" spans="1:169">
      <c r="A350" s="96">
        <f t="shared" si="567"/>
        <v>66.300000000001916</v>
      </c>
      <c r="B350" s="97">
        <v>33.700000000000003</v>
      </c>
      <c r="C350" s="81">
        <f>IF(B350&lt;=Hypothèses!$C$7,Hypothèses!$A$7,IF(B350&lt;=Hypothèses!$C$8,Hypothèses!$A$8,IF(B350&lt;=Hypothèses!$C$9,Hypothèses!$A$9,IF(B350&lt;=Hypothèses!$C$10,Hypothèses!$A$10,IF(B350&lt;=Hypothèses!$C$11,Hypothèses!$A$11,IF(B350&lt;=Hypothèses!$C$12,Hypothèses!$A$12,IF(B350&lt;=Hypothèses!$C$13,Hypothèses!$A$13,IF(B350&lt;=Hypothèses!$C$14,Hypothèses!$A$14,IF(B350&lt;=Hypothèses!$C$15,Hypothèses!$A$15,IF(B350&lt;=Hypothèses!$C$16,Hypothèses!$A$16,IF(B350&lt;=Hypothèses!$C$17,Hypothèses!$A$17,IF(B350&lt;=Hypothèses!$C$18,Hypothèses!$A$18,C349))))))))))))</f>
        <v>11</v>
      </c>
      <c r="D350" s="82" t="str">
        <f>IF(B350&lt;=Hypothèses!$C$7,Hypothèses!$R$7,IF(B350&lt;=Hypothèses!$C$8,Hypothèses!$R$8,IF(B350&lt;=Hypothèses!$C$9,Hypothèses!$R$9,IF(B350&lt;=Hypothèses!$C$10,Hypothèses!$R$10,IF(B350&lt;=Hypothèses!$C$11,Hypothèses!$R$11,IF(B350&lt;=Hypothèses!$C$12,Hypothèses!$R$12,IF(B350&lt;=Hypothèses!$C$13,Hypothèses!$R$13,IF(B350&lt;=Hypothèses!$C$14,Hypothèses!$R$14,IF(B350&lt;=Hypothèses!$C$15,Hypothèses!$R$15,IF(B350&lt;=Hypothèses!$C$16,Hypothèses!$R$16,IF(B350&lt;=Hypothèses!$C$17,Hypothèses!$R$17,IF(B350&lt;=Hypothèses!$C$18,Hypothèses!$R$18,D349))))))))))))</f>
        <v>Pressio.</v>
      </c>
      <c r="E350" s="82" t="e">
        <f>IF(B350&lt;=Hypothèses!$C$7,Hypothèses!$G$7,IF(B350&lt;=Hypothèses!$C$8,Hypothèses!$G$8,IF(B350&lt;=Hypothèses!$C$9,Hypothèses!$G$9,IF(B350&lt;=Hypothèses!$C$10,Hypothèses!$G$10,IF(B350&lt;=Hypothèses!$C$11,Hypothèses!$G$11,IF(B350&lt;=Hypothèses!$C$12,Hypothèses!$G$12,IF(B350&lt;=Hypothèses!$C$13,Hypothèses!$G$13,IF(B350&lt;=Hypothèses!$C$14,Hypothèses!$G$14,IF(B350&lt;=Hypothèses!$C$15,Hypothèses!$G$15,IF(B350&lt;=Hypothèses!$C$16,Hypothèses!$G$16,IF(B350&lt;=Hypothèses!$C$17,Hypothèses!$G$17,IF(B350&lt;=Hypothèses!$C$18,Hypothèses!$G$18,E349))))))))))))</f>
        <v>#N/A</v>
      </c>
      <c r="F350" s="82" t="str">
        <f>IF(B350&lt;=Hypothèses!$C$7,Hypothèses!$F$7,IF(B350&lt;=Hypothèses!$C$8,Hypothèses!$F$8,IF(B350&lt;=Hypothèses!$C$9,Hypothèses!$F$9,IF(B350&lt;=Hypothèses!$C$10,Hypothèses!$F$10,IF(B350&lt;=Hypothèses!$C$11,Hypothèses!$F$11,IF(B350&lt;=Hypothèses!$C$12,Hypothèses!$F$12,IF(B350&lt;=Hypothèses!$C$13,Hypothèses!$F$13,IF(B350&lt;=Hypothèses!$C$14,Hypothèses!$F$14,IF(B350&lt;=Hypothèses!$C$15,Hypothèses!$F$15,IF(B350&lt;=Hypothèses!$C$16,Hypothèses!$F$16,IF(B350&lt;=Hypothèses!$C$17,Hypothèses!$F$17,IF(B350&lt;=Hypothèses!$C$18,Hypothèses!$F$18,F349))))))))))))</f>
        <v/>
      </c>
      <c r="G350" s="91">
        <f t="array" ref="G350">INDEX('Coeff EC7'!$U$7:$X$27,
MATCH(Model0.1C!$B$3,'Coeff EC7'!$T$7:$T$27,0),
MATCH(Model0.1C!$D350&amp;Model0.1C!$B$4,
'Coeff EC7'!$U$6:$X$6&amp;
'Coeff EC7'!$U$5:$X$5,0))</f>
        <v>1.1499999999999999</v>
      </c>
      <c r="H350" s="91">
        <f t="array" ref="H350">INDEX('Coeff EC7'!$Y$7:$AB$27,
MATCH(Model0.1C!$B$3,'Coeff EC7'!$T$7:$T$27,0),
MATCH(Model0.1C!$D350&amp;Model0.1C!$B$4,
'Coeff EC7'!$Y$6:$AB$6&amp;
'Coeff EC7'!$Y$5:$AB$5,0))</f>
        <v>1.4</v>
      </c>
      <c r="I350" s="83" t="e">
        <f>IF(B350&lt;=Hypothèses!$C$7,Hypothèses!$P$7,IF(B350&lt;=Hypothèses!$C$8,Hypothèses!$P$8,IF(B350&lt;=Hypothèses!$C$9,Hypothèses!$P$9,IF(B350&lt;=Hypothèses!$C$10,Hypothèses!$P$10,IF(B350&lt;=Hypothèses!$C$11,Hypothèses!$P$11,IF(B350&lt;=Hypothèses!$C$12,Hypothèses!$P$12,IF(B350&lt;=Hypothèses!$C$13,Hypothèses!$P$13,IF(B350&lt;=Hypothèses!$C$14,Hypothèses!$P$14,IF(B350&lt;=Hypothèses!$C$15,Hypothèses!$P$15,IF(B350&lt;=Hypothèses!$C$16,Hypothèses!$P$16,IF(B350&lt;=Hypothèses!$C$17,Hypothèses!$P$17,IF(B350&lt;=Hypothèses!$C$18,Hypothèses!$P$18,I349))))))))))))</f>
        <v>#N/A</v>
      </c>
      <c r="J350" s="91" t="e">
        <f t="array" ref="J350">INDEX('Coeff EC7'!$D$33:$Q$33,1,MATCH(D350&amp;E350,'Coeff EC7'!$D$31:$Q$31&amp;'Coeff EC7'!$D$32:$Q$32,0))</f>
        <v>#N/A</v>
      </c>
      <c r="K350" s="91" t="e">
        <f t="array" ref="K350">INDEX('Coeff EC7'!$D$34:$Q$34,1,MATCH(D350&amp;E350,'Coeff EC7'!$D$31:$Q$31&amp;'Coeff EC7'!$D$32:$Q$32,0))</f>
        <v>#N/A</v>
      </c>
      <c r="L350" s="91" t="e">
        <f t="array" ref="L350">INDEX('Coeff EC7'!$D$35:$Q$35,1,MATCH(D350&amp;E350,'Coeff EC7'!$D$31:$Q$31&amp;'Coeff EC7'!$D$32:$Q$32,0))</f>
        <v>#N/A</v>
      </c>
      <c r="M350" s="98" t="e">
        <f t="shared" si="531"/>
        <v>#N/A</v>
      </c>
      <c r="N350" s="99" t="e">
        <f t="array" ref="N350">INDEX('Coeff EC7'!$D$7:$Q$27,MATCH($B$3,'Coeff EC7'!$C$7:$C$27,0),MATCH(D350&amp;E350,'Coeff EC7'!$D$5:$Q$5&amp;'Coeff EC7'!$D$6:$Q$6,0))</f>
        <v>#N/A</v>
      </c>
      <c r="O350" s="99" t="e">
        <f t="array" ref="O350">INDEX('Coeff EC7'!$D$41:$Q$61,MATCH($B$3,'Coeff EC7'!$C$41:$C$61,0),MATCH(D350&amp;E350,'Coeff EC7'!$D$39:$Q$39&amp;'Coeff EC7'!$D$40:$Q$40,0))</f>
        <v>#N/A</v>
      </c>
      <c r="P350" s="30" t="e">
        <f t="shared" si="568"/>
        <v>#N/A</v>
      </c>
      <c r="Q350" s="100" t="e">
        <f t="shared" si="533"/>
        <v>#N/A</v>
      </c>
      <c r="R350" s="86" t="b">
        <f t="shared" si="534"/>
        <v>0</v>
      </c>
      <c r="S350" s="86">
        <f t="shared" si="532"/>
        <v>0.5</v>
      </c>
      <c r="T350" s="86">
        <f t="shared" si="535"/>
        <v>0.5</v>
      </c>
      <c r="U350" s="30" t="e">
        <f t="shared" ca="1" si="569"/>
        <v>#DIV/0!</v>
      </c>
      <c r="V350" s="85" t="str">
        <f>IF(B350&lt;=Hypothèses!$V$7,Hypothèses!$W$7,IF(B350&lt;=Hypothèses!$V$8,Hypothèses!$W$8,IF(B350&lt;=Hypothèses!$V$9,Hypothèses!$W$9,IF(B350&lt;=Hypothèses!$V$10,Hypothèses!$W$10,IF(B350&lt;=Hypothèses!$V$11,Hypothèses!$W$11,IF(B350&lt;=Hypothèses!$V$12,Hypothèses!$W$12,IF(B350&lt;=Hypothèses!$V$13,Hypothèses!$W$13,IF(B350&lt;=Hypothèses!$V$14,Hypothèses!$W$14,IF(B350&lt;=Hypothèses!$V$15,Hypothèses!$W$15,IF(B350&lt;=Hypothèses!$V$16,Hypothèses!$W$16,IF(B350&lt;=Hypothèses!$V$17,Hypothèses!$W$17,IF(B350&lt;=Hypothèses!$V$18,Hypothèses!$W$18,""))))))))))))</f>
        <v/>
      </c>
      <c r="W350" s="87" t="e">
        <f t="shared" ca="1" si="616"/>
        <v>#DIV/0!</v>
      </c>
      <c r="X350" s="88" t="str">
        <f>IF(B350&lt;=Hypothèses!$V$7,Hypothèses!$X$7,IF(B350&lt;=Hypothèses!$V$8,Hypothèses!$X$8,IF(B350&lt;=Hypothèses!$V$9,Hypothèses!$X$9,IF(B350&lt;=Hypothèses!$V$10,Hypothèses!$X$10,IF(B350&lt;=Hypothèses!$V$11,Hypothèses!$X$11,IF(B350&lt;=Hypothèses!$V$12,Hypothèses!$X$12,IF(B350&lt;=Hypothèses!$V$13,Hypothèses!$X$13,IF(B350&lt;=Hypothèses!$V$14,Hypothèses!$X$14,IF(B350&lt;=Hypothèses!$V$15,Hypothèses!$X$15,IF(B350&lt;=Hypothèses!$V$16,Hypothèses!$X$16,IF(B350&lt;=Hypothèses!$U$17,Hypothèses!$W$17,IF(B350&lt;=Hypothèses!$U$18,Hypothèses!$W$18,""))))))))))))</f>
        <v/>
      </c>
      <c r="Y350" s="95" t="e">
        <f t="shared" ca="1" si="536"/>
        <v>#DIV/0!</v>
      </c>
      <c r="Z350" s="101" t="e">
        <f t="shared" si="537"/>
        <v>#N/A</v>
      </c>
      <c r="AA350" s="91" t="e">
        <f t="shared" si="538"/>
        <v>#N/A</v>
      </c>
      <c r="AB350" s="30" t="e">
        <f t="shared" si="600"/>
        <v>#N/A</v>
      </c>
      <c r="AC350" s="30" t="e">
        <f t="shared" si="601"/>
        <v>#N/A</v>
      </c>
      <c r="AD350" s="31" t="e">
        <f>IF(OR(Hypothèses!$B$4=17,Hypothèses!$B$4=18,Hypothèses!$B$4=19,Hypothèses!$B$4=20),
IF($D350="Pressio.",
IF(OR($E350=3,$E350=1,$E350=4),AC350,AB350),
IF($D350="Pénétro.",
IF(OR($E350=3,$E350=1,$E350=4),AC350,AB350))),IF($D350="Pressio.",
IF($E350=3,AC350,AB350),
IF($D350="Pénétro.",
IF($E350=4,AC350,AB350))))</f>
        <v>#N/A</v>
      </c>
      <c r="AE350" s="31" t="e">
        <f>(IF(OR(Hypothèses!$B$4=17,Hypothèses!$B$4=18,Hypothèses!$B$4=19,Hypothèses!$B$4=20),
IF($D350="Pressio.",
IF(OR($E350=3,$E350=1,$E350=4),(PI()*AE$12^2)/4*(AA350*$W350*1000)/($H350*$B$5),(PI()*AE$12^2)/4*(AA350*$W350*1000)/($G350*$B$5)),
IF($D350="Pénétro.",
IF(OR($E350=4,$E350=1,$E350=5),(PI()*AE$12^2)/4*(AA350*$W350*1000)/($H350*$B$5),(PI()*AE$12^2)/4*(AA350*$W350*1000)/($G350*$B$5)))),
IF($D350="Pressio.",
IF($E350=3,(PI()*AE$12^2)/4*(AA350*$W350*1000)/($H350*$B$5),(PI()*AE$12^2)/4*(AA350*$W350*1000)/($G350*$B$5)),
IF($D350="Pénétro.",
IF($E350=4,(PI()*AE$12^2)/4*(AA350*$W350*1000)/($H350*$B$5),(PI()*AE$12^2)/4*(AA350*$W350*1000)/($G350*$B$5))))))/10</f>
        <v>#N/A</v>
      </c>
      <c r="AF350" s="102" t="e">
        <f>(VLOOKUP($B$3,'Coeff EC7'!$T$39:$X$59,2,0)*AD350+VLOOKUP($B$3,'Coeff EC7'!$T$65:$X$85,2,0)*Model0.1C!AE350)/1.1</f>
        <v>#N/A</v>
      </c>
      <c r="AG350" s="102" t="e">
        <f>(VLOOKUP($B$3,'Coeff EC7'!$T$39:$X$59,3,0)*AD350+VLOOKUP($B$3,'Coeff EC7'!$T$65:$X$85,3,0)*Model0.1C!AE350)/0.9</f>
        <v>#N/A</v>
      </c>
      <c r="AH350" s="102" t="e">
        <f t="shared" si="539"/>
        <v>#N/A</v>
      </c>
      <c r="AI350" s="102" t="e">
        <f t="shared" si="540"/>
        <v>#N/A</v>
      </c>
      <c r="AJ350" s="414" t="e">
        <f>IF(AJ349=0,0,IF(AND(AF350&gt;charge_ELS_quasi,AG350&gt;Charge_ELS_freq,AH350&gt;charge_ELU,AI350&gt;charge_ELA,$B350&gt;NDC!$H$22-0.1+MIN(3*$AJ$12,1.5)),0,1))</f>
        <v>#N/A</v>
      </c>
      <c r="AK350" s="86" t="b">
        <f t="shared" si="541"/>
        <v>0</v>
      </c>
      <c r="AL350" s="86">
        <f t="shared" si="570"/>
        <v>0.5</v>
      </c>
      <c r="AM350" s="86">
        <f t="shared" si="542"/>
        <v>0.5</v>
      </c>
      <c r="AN350" s="30" t="e">
        <f t="shared" ca="1" si="571"/>
        <v>#DIV/0!</v>
      </c>
      <c r="AO350" s="85" t="e">
        <f ca="1">IF(U350&lt;=Hypothèses!$V$7,Hypothèses!$W$7,IF(U350&lt;=Hypothèses!$V$8,Hypothèses!$W$8,IF(U350&lt;=Hypothèses!$V$9,Hypothèses!$W$9,IF(U350&lt;=Hypothèses!$V$10,Hypothèses!$W$10,IF(U350&lt;=Hypothèses!$V$11,Hypothèses!$W$11,IF(U350&lt;=Hypothèses!$V$12,Hypothèses!$W$12,IF(U350&lt;=Hypothèses!$V$13,Hypothèses!$W$13,IF(U350&lt;=Hypothèses!$V$14,Hypothèses!$W$14,IF(U350&lt;=Hypothèses!$V$15,Hypothèses!$W$15,IF(U350&lt;=Hypothèses!$V$16,Hypothèses!$W$16,IF(U350&lt;=Hypothèses!$V$17,Hypothèses!$W$17,IF(U350&lt;=Hypothèses!$V$18,Hypothèses!$W$18,""))))))))))))</f>
        <v>#DIV/0!</v>
      </c>
      <c r="AP350" s="87" t="e">
        <f t="shared" ca="1" si="617"/>
        <v>#DIV/0!</v>
      </c>
      <c r="AQ350" s="88" t="e">
        <f ca="1">IF(U350&lt;=Hypothèses!$V$7,Hypothèses!$X$7,IF(U350&lt;=Hypothèses!$V$8,Hypothèses!$X$8,IF(U350&lt;=Hypothèses!$V$9,Hypothèses!$X$9,IF(U350&lt;=Hypothèses!$V$10,Hypothèses!$X$10,IF(U350&lt;=Hypothèses!$V$11,Hypothèses!$X$11,IF(U350&lt;=Hypothèses!$V$12,Hypothèses!$X$12,IF(U350&lt;=Hypothèses!$V$13,Hypothèses!$X$13,IF(U350&lt;=Hypothèses!$V$14,Hypothèses!$X$14,IF(U350&lt;=Hypothèses!$V$15,Hypothèses!$X$15,IF(U350&lt;=Hypothèses!$V$16,Hypothèses!$X$16,IF(U350&lt;=Hypothèses!$U$17,Hypothèses!$W$17,IF(U350&lt;=Hypothèses!$U$18,Hypothèses!$W$18,""))))))))))))</f>
        <v>#DIV/0!</v>
      </c>
      <c r="AR350" s="95" t="e">
        <f t="shared" ca="1" si="572"/>
        <v>#DIV/0!</v>
      </c>
      <c r="AS350" s="101" t="e">
        <f t="shared" si="624"/>
        <v>#N/A</v>
      </c>
      <c r="AT350" s="91" t="e">
        <f t="shared" si="543"/>
        <v>#N/A</v>
      </c>
      <c r="AU350" s="30" t="e">
        <f t="shared" si="602"/>
        <v>#N/A</v>
      </c>
      <c r="AV350" s="30" t="e">
        <f t="shared" si="603"/>
        <v>#N/A</v>
      </c>
      <c r="AW350" s="31" t="e">
        <f>IF(OR(Hypothèses!$B$4=17,Hypothèses!$B$4=18,Hypothèses!$B$4=19,Hypothèses!$B$4=20),
IF($D350="Pressio.",
IF(OR($E350=3,$E350=1,$E350=4),AV350,AU350),
IF($D350="Pénétro.",
IF(OR($E350=3,$E350=1,$E350=4),AV350,AU350))),IF($D350="Pressio.",
IF($E350=3,AV350,AU350),
IF($D350="Pénétro.",
IF($E350=4,AV350,AU350))))</f>
        <v>#N/A</v>
      </c>
      <c r="AX350" s="31" t="e">
        <f>(IF(OR(Hypothèses!$B$4=17,Hypothèses!$B$4=18,Hypothèses!$B$4=19,Hypothèses!$B$4=20),
IF($D350="Pressio.",
IF(OR($E350=3,$E350=1,$E350=4),(PI()*AX$12^2)/4*(AT350*$W350*1000)/($H350*$B$5),(PI()*AX$12^2)/4*(AT350*$W350*1000)/($G350*$B$5)),
IF($D350="Pénétro.",
IF(OR($E350=4,$E350=1,$E350=5),(PI()*AX$12^2)/4*(AT350*$W350*1000)/($H350*$B$5),(PI()*AX$12^2)/4*(AT350*$W350*1000)/($G350*$B$5)))),
IF($D350="Pressio.",
IF($E350=3,(PI()*AX$12^2)/4*(AT350*$W350*1000)/($H350*$B$5),(PI()*AX$12^2)/4*(AT350*$W350*1000)/($G350*$B$5)),
IF($D350="Pénétro.",
IF($E350=4,(PI()*AX$12^2)/4*(AT350*$W350*1000)/($H350*$B$5),(PI()*AX$12^2)/4*(AT350*$W350*1000)/($G350*$B$5))))))/10</f>
        <v>#N/A</v>
      </c>
      <c r="AY350" s="102" t="e">
        <f>(VLOOKUP($B$3,'Coeff EC7'!$T$39:$X$59,2,0)*AW350+VLOOKUP($B$3,'Coeff EC7'!$T$65:$X$85,2,0)*Model0.1C!AX350)/1.1</f>
        <v>#N/A</v>
      </c>
      <c r="AZ350" s="102" t="e">
        <f>(VLOOKUP($B$3,'Coeff EC7'!$T$39:$X$59,3,0)*AW350+VLOOKUP($B$3,'Coeff EC7'!$T$65:$X$85,3,0)*Model0.1C!AX350)/0.9</f>
        <v>#N/A</v>
      </c>
      <c r="BA350" s="102" t="e">
        <f t="shared" si="573"/>
        <v>#N/A</v>
      </c>
      <c r="BB350" s="102" t="e">
        <f t="shared" si="574"/>
        <v>#N/A</v>
      </c>
      <c r="BC350" s="414" t="e">
        <f>IF(BC349=0,0,IF(AND(AY350&gt;charge_ELS_quasi,AZ350&gt;Charge_ELS_freq,BA350&gt;charge_ELU,BB350&gt;charge_ELA,$B350&gt;NDC!$H$22-0.1+MIN(3*$BC$12,1.5)),0,1))</f>
        <v>#N/A</v>
      </c>
      <c r="BD350" s="86" t="b">
        <f t="shared" si="544"/>
        <v>0</v>
      </c>
      <c r="BE350" s="86">
        <f t="shared" si="575"/>
        <v>0.5</v>
      </c>
      <c r="BF350" s="86">
        <f t="shared" si="545"/>
        <v>0.5</v>
      </c>
      <c r="BG350" s="30" t="e">
        <f t="shared" ca="1" si="576"/>
        <v>#DIV/0!</v>
      </c>
      <c r="BH350" s="85" t="e">
        <f ca="1">IF(AN350&lt;=Hypothèses!$V$7,Hypothèses!$W$7,IF(AN350&lt;=Hypothèses!$V$8,Hypothèses!$W$8,IF(AN350&lt;=Hypothèses!$V$9,Hypothèses!$W$9,IF(AN350&lt;=Hypothèses!$V$10,Hypothèses!$W$10,IF(AN350&lt;=Hypothèses!$V$11,Hypothèses!$W$11,IF(AN350&lt;=Hypothèses!$V$12,Hypothèses!$W$12,IF(AN350&lt;=Hypothèses!$V$13,Hypothèses!$W$13,IF(AN350&lt;=Hypothèses!$V$14,Hypothèses!$W$14,IF(AN350&lt;=Hypothèses!$V$15,Hypothèses!$W$15,IF(AN350&lt;=Hypothèses!$V$16,Hypothèses!$W$16,IF(AN350&lt;=Hypothèses!$V$17,Hypothèses!$W$17,IF(AN350&lt;=Hypothèses!$V$18,Hypothèses!$W$18,""))))))))))))</f>
        <v>#DIV/0!</v>
      </c>
      <c r="BI350" s="87" t="e">
        <f t="shared" ca="1" si="618"/>
        <v>#DIV/0!</v>
      </c>
      <c r="BJ350" s="88" t="e">
        <f ca="1">IF(AN350&lt;=Hypothèses!$V$7,Hypothèses!$X$7,IF(AN350&lt;=Hypothèses!$V$8,Hypothèses!$X$8,IF(AN350&lt;=Hypothèses!$V$9,Hypothèses!$X$9,IF(AN350&lt;=Hypothèses!$V$10,Hypothèses!$X$10,IF(AN350&lt;=Hypothèses!$V$11,Hypothèses!$X$11,IF(AN350&lt;=Hypothèses!$V$12,Hypothèses!$X$12,IF(AN350&lt;=Hypothèses!$V$13,Hypothèses!$X$13,IF(AN350&lt;=Hypothèses!$V$14,Hypothèses!$X$14,IF(AN350&lt;=Hypothèses!$V$15,Hypothèses!$X$15,IF(AN350&lt;=Hypothèses!$V$16,Hypothèses!$X$16,IF(AN350&lt;=Hypothèses!$U$17,Hypothèses!$W$17,IF(AN350&lt;=Hypothèses!$U$18,Hypothèses!$W$18,""))))))))))))</f>
        <v>#DIV/0!</v>
      </c>
      <c r="BK350" s="95" t="e">
        <f t="shared" ca="1" si="577"/>
        <v>#DIV/0!</v>
      </c>
      <c r="BL350" s="101" t="e">
        <f t="shared" si="625"/>
        <v>#N/A</v>
      </c>
      <c r="BM350" s="91" t="e">
        <f t="shared" si="546"/>
        <v>#N/A</v>
      </c>
      <c r="BN350" s="30" t="e">
        <f t="shared" si="604"/>
        <v>#N/A</v>
      </c>
      <c r="BO350" s="30" t="e">
        <f t="shared" si="605"/>
        <v>#N/A</v>
      </c>
      <c r="BP350" s="31" t="e">
        <f>IF(OR(Hypothèses!$B$4=17,Hypothèses!$B$4=18,Hypothèses!$B$4=19,Hypothèses!$B$4=20),
IF($D350="Pressio.",
IF(OR($E350=3,$E350=1,$E350=4),BO350,BN350),
IF($D350="Pénétro.",
IF(OR($E350=3,$E350=1,$E350=4),BO350,BN350))),IF($D350="Pressio.",
IF($E350=3,BO350,BN350),
IF($D350="Pénétro.",
IF($E350=4,BO350,BN350))))</f>
        <v>#N/A</v>
      </c>
      <c r="BQ350" s="31" t="e">
        <f>(IF(OR(Hypothèses!$B$4=17,Hypothèses!$B$4=18,Hypothèses!$B$4=19,Hypothèses!$B$4=20),
IF($D350="Pressio.",
IF(OR($E350=3,$E350=1,$E350=4),(PI()*BQ$12^2)/4*(BM350*$W350*1000)/($H350*$B$5),(PI()*BQ$12^2)/4*(BM350*$W350*1000)/($G350*$B$5)),
IF($D350="Pénétro.",
IF(OR($E350=4,$E350=1,$E350=5),(PI()*BQ$12^2)/4*(BM350*$W350*1000)/($H350*$B$5),(PI()*BQ$12^2)/4*(BM350*$W350*1000)/($G350*$B$5)))),
IF($D350="Pressio.",
IF($E350=3,(PI()*BQ$12^2)/4*(BM350*$W350*1000)/($H350*$B$5),(PI()*BQ$12^2)/4*(BM350*$W350*1000)/($G350*$B$5)),
IF($D350="Pénétro.",
IF($E350=4,(PI()*BQ$12^2)/4*(BM350*$W350*1000)/($H350*$B$5),(PI()*BQ$12^2)/4*(BM350*$W350*1000)/($G350*$B$5))))))/10</f>
        <v>#N/A</v>
      </c>
      <c r="BR350" s="102" t="e">
        <f>(VLOOKUP($B$3,'Coeff EC7'!$T$39:$X$59,2,0)*BP350+VLOOKUP($B$3,'Coeff EC7'!$T$65:$X$85,2,0)*Model0.1C!BQ350)/1.1</f>
        <v>#N/A</v>
      </c>
      <c r="BS350" s="102" t="e">
        <f>(VLOOKUP($B$3,'Coeff EC7'!$T$39:$X$59,3,0)*BP350+VLOOKUP($B$3,'Coeff EC7'!$T$65:$X$85,3,0)*Model0.1C!BQ350)/0.9</f>
        <v>#N/A</v>
      </c>
      <c r="BT350" s="102" t="e">
        <f t="shared" si="578"/>
        <v>#N/A</v>
      </c>
      <c r="BU350" s="102" t="e">
        <f t="shared" si="579"/>
        <v>#N/A</v>
      </c>
      <c r="BV350" s="414" t="e">
        <f>IF(BV349=0,0,IF(AND(BR350&gt;charge_ELS_quasi,BS350&gt;Charge_ELS_freq,BT350&gt;charge_ELU,BU350&gt;charge_ELA,$B350&gt;NDC!$H$22-0.1+MIN(3*$BV$12,1.5)),0,1))</f>
        <v>#N/A</v>
      </c>
      <c r="BW350" s="86" t="b">
        <f t="shared" si="547"/>
        <v>0</v>
      </c>
      <c r="BX350" s="86">
        <f t="shared" si="548"/>
        <v>0.5</v>
      </c>
      <c r="BY350" s="86">
        <f t="shared" si="549"/>
        <v>0.5</v>
      </c>
      <c r="BZ350" s="30" t="e">
        <f t="shared" ca="1" si="580"/>
        <v>#DIV/0!</v>
      </c>
      <c r="CA350" s="85" t="e">
        <f ca="1">IF(BG350&lt;=Hypothèses!$V$7,Hypothèses!$W$7,IF(BG350&lt;=Hypothèses!$V$8,Hypothèses!$W$8,IF(BG350&lt;=Hypothèses!$V$9,Hypothèses!$W$9,IF(BG350&lt;=Hypothèses!$V$10,Hypothèses!$W$10,IF(BG350&lt;=Hypothèses!$V$11,Hypothèses!$W$11,IF(BG350&lt;=Hypothèses!$V$12,Hypothèses!$W$12,IF(BG350&lt;=Hypothèses!$V$13,Hypothèses!$W$13,IF(BG350&lt;=Hypothèses!$V$14,Hypothèses!$W$14,IF(BG350&lt;=Hypothèses!$V$15,Hypothèses!$W$15,IF(BG350&lt;=Hypothèses!$V$16,Hypothèses!$W$16,IF(BG350&lt;=Hypothèses!$V$17,Hypothèses!$W$17,IF(BG350&lt;=Hypothèses!$V$18,Hypothèses!$W$18,""))))))))))))</f>
        <v>#DIV/0!</v>
      </c>
      <c r="CB350" s="87" t="e">
        <f t="shared" ca="1" si="619"/>
        <v>#DIV/0!</v>
      </c>
      <c r="CC350" s="88" t="e">
        <f ca="1">IF(BG350&lt;=Hypothèses!$V$7,Hypothèses!$X$7,IF(BG350&lt;=Hypothèses!$V$8,Hypothèses!$X$8,IF(BG350&lt;=Hypothèses!$V$9,Hypothèses!$X$9,IF(BG350&lt;=Hypothèses!$V$10,Hypothèses!$X$10,IF(BG350&lt;=Hypothèses!$V$11,Hypothèses!$X$11,IF(BG350&lt;=Hypothèses!$V$12,Hypothèses!$X$12,IF(BG350&lt;=Hypothèses!$V$13,Hypothèses!$X$13,IF(BG350&lt;=Hypothèses!$V$14,Hypothèses!$X$14,IF(BG350&lt;=Hypothèses!$V$15,Hypothèses!$X$15,IF(BG350&lt;=Hypothèses!$V$16,Hypothèses!$X$16,IF(BG350&lt;=Hypothèses!$U$17,Hypothèses!$W$17,IF(BG350&lt;=Hypothèses!$U$18,Hypothèses!$W$18,""))))))))))))</f>
        <v>#DIV/0!</v>
      </c>
      <c r="CD350" s="95" t="e">
        <f t="shared" ca="1" si="581"/>
        <v>#DIV/0!</v>
      </c>
      <c r="CE350" s="101" t="e">
        <f t="shared" si="626"/>
        <v>#N/A</v>
      </c>
      <c r="CF350" s="91" t="e">
        <f t="shared" si="550"/>
        <v>#N/A</v>
      </c>
      <c r="CG350" s="30" t="e">
        <f t="shared" si="606"/>
        <v>#N/A</v>
      </c>
      <c r="CH350" s="30" t="e">
        <f t="shared" si="607"/>
        <v>#N/A</v>
      </c>
      <c r="CI350" s="31" t="e">
        <f>IF(OR(Hypothèses!$B$4=17,Hypothèses!$B$4=18,Hypothèses!$B$4=19,Hypothèses!$B$4=20),
IF($D350="Pressio.",
IF(OR($E350=3,$E350=1,$E350=4),CH350,CG350),
IF($D350="Pénétro.",
IF(OR($E350=3,$E350=1,$E350=4),CH350,CG350))),IF($D350="Pressio.",
IF($E350=3,CH350,CG350),
IF($D350="Pénétro.",
IF($E350=4,CH350,CG350))))</f>
        <v>#N/A</v>
      </c>
      <c r="CJ350" s="31" t="e">
        <f>(IF(OR(Hypothèses!$B$4=17,Hypothèses!$B$4=18,Hypothèses!$B$4=19,Hypothèses!$B$4=20),
IF($D350="Pressio.",
IF(OR($E350=3,$E350=1,$E350=4),(PI()*CJ$12^2)/4*(CF350*$W350*1000)/($H350*$B$5),(PI()*CJ$12^2)/4*(CF350*$W350*1000)/($G350*$B$5)),
IF($D350="Pénétro.",
IF(OR($E350=4,$E350=1,$E350=5),(PI()*CJ$12^2)/4*(CF350*$W350*1000)/($H350*$B$5),(PI()*CJ$12^2)/4*(CF350*$W350*1000)/($G350*$B$5)))),
IF($D350="Pressio.",
IF($E350=3,(PI()*CJ$12^2)/4*(CF350*$W350*1000)/($H350*$B$5),(PI()*CJ$12^2)/4*(CF350*$W350*1000)/($G350*$B$5)),
IF($D350="Pénétro.",
IF($E350=4,(PI()*CJ$12^2)/4*(CF350*$W350*1000)/($H350*$B$5),(PI()*CJ$12^2)/4*(CF350*$W350*1000)/($G350*$B$5))))))/10</f>
        <v>#N/A</v>
      </c>
      <c r="CK350" s="102" t="e">
        <f>(VLOOKUP($B$3,'Coeff EC7'!$T$39:$X$59,2,0)*CI350+VLOOKUP($B$3,'Coeff EC7'!$T$65:$X$85,2,0)*Model0.1C!CJ350)/1.1</f>
        <v>#N/A</v>
      </c>
      <c r="CL350" s="102" t="e">
        <f>(VLOOKUP($B$3,'Coeff EC7'!$T$39:$X$59,3,0)*CI350+VLOOKUP($B$3,'Coeff EC7'!$T$65:$X$85,3,0)*Model0.1C!CJ350)/0.9</f>
        <v>#N/A</v>
      </c>
      <c r="CM350" s="102" t="e">
        <f t="shared" si="582"/>
        <v>#N/A</v>
      </c>
      <c r="CN350" s="102" t="e">
        <f t="shared" si="583"/>
        <v>#N/A</v>
      </c>
      <c r="CO350" s="414" t="e">
        <f>IF(CO349=0,0,IF(AND(CK350&gt;charge_ELS_quasi,CL350&gt;Charge_ELS_freq,CM350&gt;charge_ELU,CN350&gt;charge_ELA,$B350&gt;NDC!$H$22-0.1+MIN(3*$CO$12,1.5)),0,1))</f>
        <v>#N/A</v>
      </c>
      <c r="CP350" s="86" t="b">
        <f t="shared" si="551"/>
        <v>0</v>
      </c>
      <c r="CQ350" s="86">
        <f t="shared" si="552"/>
        <v>0.5</v>
      </c>
      <c r="CR350" s="86">
        <f t="shared" si="553"/>
        <v>0.5</v>
      </c>
      <c r="CS350" s="30" t="e">
        <f t="shared" ca="1" si="584"/>
        <v>#DIV/0!</v>
      </c>
      <c r="CT350" s="85" t="e">
        <f ca="1">IF(BZ350&lt;=Hypothèses!$V$7,Hypothèses!$W$7,IF(BZ350&lt;=Hypothèses!$V$8,Hypothèses!$W$8,IF(BZ350&lt;=Hypothèses!$V$9,Hypothèses!$W$9,IF(BZ350&lt;=Hypothèses!$V$10,Hypothèses!$W$10,IF(BZ350&lt;=Hypothèses!$V$11,Hypothèses!$W$11,IF(BZ350&lt;=Hypothèses!$V$12,Hypothèses!$W$12,IF(BZ350&lt;=Hypothèses!$V$13,Hypothèses!$W$13,IF(BZ350&lt;=Hypothèses!$V$14,Hypothèses!$W$14,IF(BZ350&lt;=Hypothèses!$V$15,Hypothèses!$W$15,IF(BZ350&lt;=Hypothèses!$V$16,Hypothèses!$W$16,IF(BZ350&lt;=Hypothèses!$V$17,Hypothèses!$W$17,IF(BZ350&lt;=Hypothèses!$V$18,Hypothèses!$W$18,""))))))))))))</f>
        <v>#DIV/0!</v>
      </c>
      <c r="CU350" s="87" t="e">
        <f t="shared" ca="1" si="620"/>
        <v>#DIV/0!</v>
      </c>
      <c r="CV350" s="88" t="e">
        <f ca="1">IF(BZ350&lt;=Hypothèses!$V$7,Hypothèses!$X$7,IF(BZ350&lt;=Hypothèses!$V$8,Hypothèses!$X$8,IF(BZ350&lt;=Hypothèses!$V$9,Hypothèses!$X$9,IF(BZ350&lt;=Hypothèses!$V$10,Hypothèses!$X$10,IF(BZ350&lt;=Hypothèses!$V$11,Hypothèses!$X$11,IF(BZ350&lt;=Hypothèses!$V$12,Hypothèses!$X$12,IF(BZ350&lt;=Hypothèses!$V$13,Hypothèses!$X$13,IF(BZ350&lt;=Hypothèses!$V$14,Hypothèses!$X$14,IF(BZ350&lt;=Hypothèses!$V$15,Hypothèses!$X$15,IF(BZ350&lt;=Hypothèses!$V$16,Hypothèses!$X$16,IF(BZ350&lt;=Hypothèses!$U$17,Hypothèses!$W$17,IF(BZ350&lt;=Hypothèses!$U$18,Hypothèses!$W$18,""))))))))))))</f>
        <v>#DIV/0!</v>
      </c>
      <c r="CW350" s="95" t="e">
        <f t="shared" ca="1" si="585"/>
        <v>#DIV/0!</v>
      </c>
      <c r="CX350" s="101" t="e">
        <f t="shared" si="627"/>
        <v>#N/A</v>
      </c>
      <c r="CY350" s="91" t="e">
        <f t="shared" si="554"/>
        <v>#N/A</v>
      </c>
      <c r="CZ350" s="30" t="e">
        <f t="shared" si="608"/>
        <v>#N/A</v>
      </c>
      <c r="DA350" s="30" t="e">
        <f t="shared" si="609"/>
        <v>#N/A</v>
      </c>
      <c r="DB350" s="31" t="e">
        <f>IF(OR(Hypothèses!$B$4=17,Hypothèses!$B$4=18,Hypothèses!$B$4=19,Hypothèses!$B$4=20),
IF($D350="Pressio.",
IF(OR($E350=3,$E350=1,$E350=4),DA350,CZ350),
IF($D350="Pénétro.",
IF(OR($E350=3,$E350=1,$E350=4),DA350,CZ350))),IF($D350="Pressio.",
IF($E350=3,DA350,CZ350),
IF($D350="Pénétro.",
IF($E350=4,DA350,CZ350))))</f>
        <v>#N/A</v>
      </c>
      <c r="DC350" s="31" t="e">
        <f>(IF(OR(Hypothèses!$B$4=17,Hypothèses!$B$4=18,Hypothèses!$B$4=19,Hypothèses!$B$4=20),
IF($D350="Pressio.",
IF(OR($E350=3,$E350=1,$E350=4),(PI()*DC$12^2)/4*(CY350*$W350*1000)/($H350*$B$5),(PI()*DC$12^2)/4*(CY350*$W350*1000)/($G350*$B$5)),
IF($D350="Pénétro.",
IF(OR($E350=4,$E350=1,$E350=5),(PI()*DC$12^2)/4*(CY350*$W350*1000)/($H350*$B$5),(PI()*DC$12^2)/4*(CY350*$W350*1000)/($G350*$B$5)))),
IF($D350="Pressio.",
IF($E350=3,(PI()*DC$12^2)/4*(CY350*$W350*1000)/($H350*$B$5),(PI()*DC$12^2)/4*(CY350*$W350*1000)/($G350*$B$5)),
IF($D350="Pénétro.",
IF($E350=4,(PI()*DC$12^2)/4*(CY350*$W350*1000)/($H350*$B$5),(PI()*DC$12^2)/4*(CY350*$W350*1000)/($G350*$B$5))))))/10</f>
        <v>#N/A</v>
      </c>
      <c r="DD350" s="102" t="e">
        <f>(VLOOKUP($B$3,'Coeff EC7'!$T$39:$X$59,2,0)*DB350+VLOOKUP($B$3,'Coeff EC7'!$T$65:$X$85,2,0)*Model0.1C!DC350)/1.1</f>
        <v>#N/A</v>
      </c>
      <c r="DE350" s="102" t="e">
        <f>(VLOOKUP($B$3,'Coeff EC7'!$T$39:$X$59,3,0)*DB350+VLOOKUP($B$3,'Coeff EC7'!$T$65:$X$85,3,0)*Model0.1C!DC350)/0.9</f>
        <v>#N/A</v>
      </c>
      <c r="DF350" s="102" t="e">
        <f t="shared" si="586"/>
        <v>#N/A</v>
      </c>
      <c r="DG350" s="102" t="e">
        <f t="shared" si="587"/>
        <v>#N/A</v>
      </c>
      <c r="DH350" s="414" t="e">
        <f>IF(DH349=0,0,IF(AND(DD350&gt;charge_ELS_quasi,DE350&gt;Charge_ELS_freq,DF350&gt;charge_ELU,DG350&gt;charge_ELA,$B350&gt;NDC!$H$22-0.1+MIN(3*$DH$12,1.5)),0,1))</f>
        <v>#N/A</v>
      </c>
      <c r="DI350" s="86" t="b">
        <f t="shared" si="555"/>
        <v>0</v>
      </c>
      <c r="DJ350" s="86">
        <f t="shared" si="556"/>
        <v>0.5</v>
      </c>
      <c r="DK350" s="86">
        <f t="shared" si="557"/>
        <v>0.5</v>
      </c>
      <c r="DL350" s="30" t="e">
        <f t="shared" ca="1" si="588"/>
        <v>#DIV/0!</v>
      </c>
      <c r="DM350" s="85" t="e">
        <f ca="1">IF(CS350&lt;=Hypothèses!$V$7,Hypothèses!$W$7,IF(CS350&lt;=Hypothèses!$V$8,Hypothèses!$W$8,IF(CS350&lt;=Hypothèses!$V$9,Hypothèses!$W$9,IF(CS350&lt;=Hypothèses!$V$10,Hypothèses!$W$10,IF(CS350&lt;=Hypothèses!$V$11,Hypothèses!$W$11,IF(CS350&lt;=Hypothèses!$V$12,Hypothèses!$W$12,IF(CS350&lt;=Hypothèses!$V$13,Hypothèses!$W$13,IF(CS350&lt;=Hypothèses!$V$14,Hypothèses!$W$14,IF(CS350&lt;=Hypothèses!$V$15,Hypothèses!$W$15,IF(CS350&lt;=Hypothèses!$V$16,Hypothèses!$W$16,IF(CS350&lt;=Hypothèses!$V$17,Hypothèses!$W$17,IF(CS350&lt;=Hypothèses!$V$18,Hypothèses!$W$18,""))))))))))))</f>
        <v>#DIV/0!</v>
      </c>
      <c r="DN350" s="87" t="e">
        <f t="shared" ca="1" si="621"/>
        <v>#DIV/0!</v>
      </c>
      <c r="DO350" s="88" t="e">
        <f ca="1">IF(CS350&lt;=Hypothèses!$V$7,Hypothèses!$X$7,IF(CS350&lt;=Hypothèses!$V$8,Hypothèses!$X$8,IF(CS350&lt;=Hypothèses!$V$9,Hypothèses!$X$9,IF(CS350&lt;=Hypothèses!$V$10,Hypothèses!$X$10,IF(CS350&lt;=Hypothèses!$V$11,Hypothèses!$X$11,IF(CS350&lt;=Hypothèses!$V$12,Hypothèses!$X$12,IF(CS350&lt;=Hypothèses!$V$13,Hypothèses!$X$13,IF(CS350&lt;=Hypothèses!$V$14,Hypothèses!$X$14,IF(CS350&lt;=Hypothèses!$V$15,Hypothèses!$X$15,IF(CS350&lt;=Hypothèses!$V$16,Hypothèses!$X$16,IF(CS350&lt;=Hypothèses!$U$17,Hypothèses!$W$17,IF(CS350&lt;=Hypothèses!$U$18,Hypothèses!$W$18,""))))))))))))</f>
        <v>#DIV/0!</v>
      </c>
      <c r="DP350" s="95" t="e">
        <f t="shared" ca="1" si="589"/>
        <v>#DIV/0!</v>
      </c>
      <c r="DQ350" s="101" t="e">
        <f t="shared" si="628"/>
        <v>#N/A</v>
      </c>
      <c r="DR350" s="91" t="e">
        <f t="shared" si="558"/>
        <v>#N/A</v>
      </c>
      <c r="DS350" s="30" t="e">
        <f t="shared" si="610"/>
        <v>#N/A</v>
      </c>
      <c r="DT350" s="30" t="e">
        <f t="shared" si="611"/>
        <v>#N/A</v>
      </c>
      <c r="DU350" s="31" t="e">
        <f>IF(OR(Hypothèses!$B$4=17,Hypothèses!$B$4=18,Hypothèses!$B$4=19,Hypothèses!$B$4=20),
IF($D350="Pressio.",
IF(OR($E350=3,$E350=1,$E350=4),DT350,DS350),
IF($D350="Pénétro.",
IF(OR($E350=3,$E350=1,$E350=4),DT350,DS350))),IF($D350="Pressio.",
IF($E350=3,DT350,DS350),
IF($D350="Pénétro.",
IF($E350=4,DT350,DS350))))</f>
        <v>#N/A</v>
      </c>
      <c r="DV350" s="31" t="e">
        <f>(IF(OR(Hypothèses!$B$4=17,Hypothèses!$B$4=18,Hypothèses!$B$4=19,Hypothèses!$B$4=20),
IF($D350="Pressio.",
IF(OR($E350=3,$E350=1,$E350=4),(PI()*DV$12^2)/4*(DR350*$W350*1000)/($H350*$B$5),(PI()*DV$12^2)/4*(DR350*$W350*1000)/($G350*$B$5)),
IF($D350="Pénétro.",
IF(OR($E350=4,$E350=1,$E350=5),(PI()*DV$12^2)/4*(DR350*$W350*1000)/($H350*$B$5),(PI()*DV$12^2)/4*(DR350*$W350*1000)/($G350*$B$5)))),
IF($D350="Pressio.",
IF($E350=3,(PI()*DV$12^2)/4*(DR350*$W350*1000)/($H350*$B$5),(PI()*DV$12^2)/4*(DR350*$W350*1000)/($G350*$B$5)),
IF($D350="Pénétro.",
IF($E350=4,(PI()*DV$12^2)/4*(DR350*$W350*1000)/($H350*$B$5),(PI()*DV$12^2)/4*(DR350*$W350*1000)/($G350*$B$5))))))/10</f>
        <v>#N/A</v>
      </c>
      <c r="DW350" s="102" t="e">
        <f>(VLOOKUP($B$3,'Coeff EC7'!$T$39:$X$59,2,0)*DU350+VLOOKUP($B$3,'Coeff EC7'!$T$65:$X$85,2,0)*Model0.1C!DV350)/1.1</f>
        <v>#N/A</v>
      </c>
      <c r="DX350" s="102" t="e">
        <f>(VLOOKUP($B$3,'Coeff EC7'!$T$39:$X$59,3,0)*DU350+VLOOKUP($B$3,'Coeff EC7'!$T$65:$X$85,3,0)*Model0.1C!DV350)/0.9</f>
        <v>#N/A</v>
      </c>
      <c r="DY350" s="102" t="e">
        <f t="shared" si="590"/>
        <v>#N/A</v>
      </c>
      <c r="DZ350" s="102" t="e">
        <f t="shared" si="591"/>
        <v>#N/A</v>
      </c>
      <c r="EA350" s="414" t="e">
        <f>IF(EA349=0,0,IF(AND(DW350&gt;charge_ELS_quasi,DX350&gt;Charge_ELS_freq,DY350&gt;charge_ELU,DZ350&gt;charge_ELA,$B350&gt;NDC!$H$22-0.1+MIN(3*$EA$12,1.5)),0,1))</f>
        <v>#N/A</v>
      </c>
      <c r="EB350" s="86" t="b">
        <f t="shared" si="559"/>
        <v>0</v>
      </c>
      <c r="EC350" s="418">
        <f t="shared" si="560"/>
        <v>0.51</v>
      </c>
      <c r="ED350" s="86">
        <f t="shared" si="561"/>
        <v>0.51</v>
      </c>
      <c r="EE350" s="30" t="e">
        <f t="shared" ca="1" si="592"/>
        <v>#DIV/0!</v>
      </c>
      <c r="EF350" s="85" t="e">
        <f ca="1">IF(DL350&lt;=Hypothèses!$V$7,Hypothèses!$W$7,IF(DL350&lt;=Hypothèses!$V$8,Hypothèses!$W$8,IF(DL350&lt;=Hypothèses!$V$9,Hypothèses!$W$9,IF(DL350&lt;=Hypothèses!$V$10,Hypothèses!$W$10,IF(DL350&lt;=Hypothèses!$V$11,Hypothèses!$W$11,IF(DL350&lt;=Hypothèses!$V$12,Hypothèses!$W$12,IF(DL350&lt;=Hypothèses!$V$13,Hypothèses!$W$13,IF(DL350&lt;=Hypothèses!$V$14,Hypothèses!$W$14,IF(DL350&lt;=Hypothèses!$V$15,Hypothèses!$W$15,IF(DL350&lt;=Hypothèses!$V$16,Hypothèses!$W$16,IF(DL350&lt;=Hypothèses!$V$17,Hypothèses!$W$17,IF(DL350&lt;=Hypothèses!$V$18,Hypothèses!$W$18,""))))))))))))</f>
        <v>#DIV/0!</v>
      </c>
      <c r="EG350" s="87" t="e">
        <f t="shared" ca="1" si="622"/>
        <v>#DIV/0!</v>
      </c>
      <c r="EH350" s="88" t="e">
        <f ca="1">IF(DL350&lt;=Hypothèses!$V$7,Hypothèses!$X$7,IF(DL350&lt;=Hypothèses!$V$8,Hypothèses!$X$8,IF(DL350&lt;=Hypothèses!$V$9,Hypothèses!$X$9,IF(DL350&lt;=Hypothèses!$V$10,Hypothèses!$X$10,IF(DL350&lt;=Hypothèses!$V$11,Hypothèses!$X$11,IF(DL350&lt;=Hypothèses!$V$12,Hypothèses!$X$12,IF(DL350&lt;=Hypothèses!$V$13,Hypothèses!$X$13,IF(DL350&lt;=Hypothèses!$V$14,Hypothèses!$X$14,IF(DL350&lt;=Hypothèses!$V$15,Hypothèses!$X$15,IF(DL350&lt;=Hypothèses!$V$16,Hypothèses!$X$16,IF(DL350&lt;=Hypothèses!$U$17,Hypothèses!$W$17,IF(DL350&lt;=Hypothèses!$U$18,Hypothèses!$W$18,""))))))))))))</f>
        <v>#DIV/0!</v>
      </c>
      <c r="EI350" s="95" t="e">
        <f t="shared" ca="1" si="593"/>
        <v>#DIV/0!</v>
      </c>
      <c r="EJ350" s="101" t="e">
        <f t="shared" si="629"/>
        <v>#N/A</v>
      </c>
      <c r="EK350" s="91" t="e">
        <f t="shared" si="562"/>
        <v>#N/A</v>
      </c>
      <c r="EL350" s="30" t="e">
        <f t="shared" si="612"/>
        <v>#N/A</v>
      </c>
      <c r="EM350" s="30" t="e">
        <f t="shared" si="613"/>
        <v>#N/A</v>
      </c>
      <c r="EN350" s="31" t="e">
        <f>IF(OR(Hypothèses!$B$4=17,Hypothèses!$B$4=18,Hypothèses!$B$4=19,Hypothèses!$B$4=20),
IF($D350="Pressio.",
IF(OR($E350=3,$E350=1,$E350=4),EM350,EL350),
IF($D350="Pénétro.",
IF(OR($E350=3,$E350=1,$E350=4),EM350,EL350))),IF($D350="Pressio.",
IF($E350=3,EM350,EL350),
IF($D350="Pénétro.",
IF($E350=4,EM350,EL350))))</f>
        <v>#N/A</v>
      </c>
      <c r="EO350" s="31" t="e">
        <f>(IF(OR(Hypothèses!$B$4=17,Hypothèses!$B$4=18,Hypothèses!$B$4=19,Hypothèses!$B$4=20),
IF($D350="Pressio.",
IF(OR($E350=3,$E350=1,$E350=4),(PI()*EO$12^2)/4*(EK350*$W350*1000)/($H350*$B$5),(PI()*EO$12^2)/4*(EK350*$W350*1000)/($G350*$B$5)),
IF($D350="Pénétro.",
IF(OR($E350=4,$E350=1,$E350=5),(PI()*EO$12^2)/4*(EK350*$W350*1000)/($H350*$B$5),(PI()*EO$12^2)/4*(EK350*$W350*1000)/($G350*$B$5)))),
IF($D350="Pressio.",
IF($E350=3,(PI()*EO$12^2)/4*(EK350*$W350*1000)/($H350*$B$5),(PI()*EO$12^2)/4*(EK350*$W350*1000)/($G350*$B$5)),
IF($D350="Pénétro.",
IF($E350=4,(PI()*EO$12^2)/4*(EK350*$W350*1000)/($H350*$B$5),(PI()*EO$12^2)/4*(EK350*$W350*1000)/($G350*$B$5))))))/10</f>
        <v>#N/A</v>
      </c>
      <c r="EP350" s="102" t="e">
        <f>(VLOOKUP($B$3,'Coeff EC7'!$T$39:$X$59,2,0)*EN350+VLOOKUP($B$3,'Coeff EC7'!$T$65:$X$85,2,0)*Model0.1C!EO350)/1.1</f>
        <v>#N/A</v>
      </c>
      <c r="EQ350" s="102" t="e">
        <f>(VLOOKUP($B$3,'Coeff EC7'!$T$39:$X$59,3,0)*EN350+VLOOKUP($B$3,'Coeff EC7'!$T$65:$X$85,3,0)*Model0.1C!EO350)/0.9</f>
        <v>#N/A</v>
      </c>
      <c r="ER350" s="102" t="e">
        <f t="shared" si="594"/>
        <v>#N/A</v>
      </c>
      <c r="ES350" s="102" t="e">
        <f t="shared" si="595"/>
        <v>#N/A</v>
      </c>
      <c r="ET350" s="414" t="e">
        <f>IF(ET349=0,0,IF(AND(EP350&gt;charge_ELS_quasi,EQ350&gt;Charge_ELS_freq,ER350&gt;charge_ELU,ES350&gt;charge_ELA,$B350&gt;NDC!$H$22-0.1+MIN(3*$ET$12,1.5)),0,1))</f>
        <v>#N/A</v>
      </c>
      <c r="EU350" s="86" t="b">
        <f t="shared" si="563"/>
        <v>0</v>
      </c>
      <c r="EV350" s="86">
        <f t="shared" si="564"/>
        <v>0.61</v>
      </c>
      <c r="EW350" s="86">
        <f t="shared" si="565"/>
        <v>0.61</v>
      </c>
      <c r="EX350" s="30" t="e">
        <f t="shared" ca="1" si="596"/>
        <v>#DIV/0!</v>
      </c>
      <c r="EY350" s="85" t="e">
        <f ca="1">IF(EE350&lt;=Hypothèses!$V$7,Hypothèses!$W$7,IF(EE350&lt;=Hypothèses!$V$8,Hypothèses!$W$8,IF(EE350&lt;=Hypothèses!$V$9,Hypothèses!$W$9,IF(EE350&lt;=Hypothèses!$V$10,Hypothèses!$W$10,IF(EE350&lt;=Hypothèses!$V$11,Hypothèses!$W$11,IF(EE350&lt;=Hypothèses!$V$12,Hypothèses!$W$12,IF(EE350&lt;=Hypothèses!$V$13,Hypothèses!$W$13,IF(EE350&lt;=Hypothèses!$V$14,Hypothèses!$W$14,IF(EE350&lt;=Hypothèses!$V$15,Hypothèses!$W$15,IF(EE350&lt;=Hypothèses!$V$16,Hypothèses!$W$16,IF(EE350&lt;=Hypothèses!$V$17,Hypothèses!$W$17,IF(EE350&lt;=Hypothèses!$V$18,Hypothèses!$W$18,""))))))))))))</f>
        <v>#DIV/0!</v>
      </c>
      <c r="EZ350" s="87" t="e">
        <f t="shared" ca="1" si="623"/>
        <v>#DIV/0!</v>
      </c>
      <c r="FA350" s="88" t="e">
        <f ca="1">IF(EE350&lt;=Hypothèses!$V$7,Hypothèses!$X$7,IF(EE350&lt;=Hypothèses!$V$8,Hypothèses!$X$8,IF(EE350&lt;=Hypothèses!$V$9,Hypothèses!$X$9,IF(EE350&lt;=Hypothèses!$V$10,Hypothèses!$X$10,IF(EE350&lt;=Hypothèses!$V$11,Hypothèses!$X$11,IF(EE350&lt;=Hypothèses!$V$12,Hypothèses!$X$12,IF(EE350&lt;=Hypothèses!$V$13,Hypothèses!$X$13,IF(EE350&lt;=Hypothèses!$V$14,Hypothèses!$X$14,IF(EE350&lt;=Hypothèses!$V$15,Hypothèses!$X$15,IF(EE350&lt;=Hypothèses!$V$16,Hypothèses!$X$16,IF(EE350&lt;=Hypothèses!$U$17,Hypothèses!$W$17,IF(EE350&lt;=Hypothèses!$U$18,Hypothèses!$W$18,""))))))))))))</f>
        <v>#DIV/0!</v>
      </c>
      <c r="FB350" s="95" t="e">
        <f t="shared" ca="1" si="597"/>
        <v>#DIV/0!</v>
      </c>
      <c r="FC350" s="101" t="e">
        <f t="shared" si="630"/>
        <v>#N/A</v>
      </c>
      <c r="FD350" s="91" t="e">
        <f t="shared" si="566"/>
        <v>#N/A</v>
      </c>
      <c r="FE350" s="30" t="e">
        <f t="shared" si="614"/>
        <v>#N/A</v>
      </c>
      <c r="FF350" s="30" t="e">
        <f t="shared" si="615"/>
        <v>#N/A</v>
      </c>
      <c r="FG350" s="31" t="e">
        <f>IF(OR(Hypothèses!$B$4=17,Hypothèses!$B$4=18,Hypothèses!$B$4=19,Hypothèses!$B$4=20),
IF($D350="Pressio.",
IF(OR($E350=3,$E350=1,$E350=4),FF350,FE350),
IF($D350="Pénétro.",
IF(OR($E350=3,$E350=1,$E350=4),FF350,FE350))),IF($D350="Pressio.",
IF($E350=3,FF350,FE350),
IF($D350="Pénétro.",
IF($E350=4,FF350,FE350))))</f>
        <v>#N/A</v>
      </c>
      <c r="FH350" s="31" t="e">
        <f>(IF(OR(Hypothèses!$B$4=17,Hypothèses!$B$4=18,Hypothèses!$B$4=19,Hypothèses!$B$4=20),
IF($D350="Pressio.",
IF(OR($E350=3,$E350=1,$E350=4),(PI()*FH$12^2)/4*(FD350*$W350*1000)/($H350*$B$5),(PI()*FH$12^2)/4*(FD350*$W350*1000)/($G350*$B$5)),
IF($D350="Pénétro.",
IF(OR($E350=4,$E350=1,$E350=5),(PI()*FH$12^2)/4*(FD350*$W350*1000)/($H350*$B$5),(PI()*FH$12^2)/4*(FD350*$W350*1000)/($G350*$B$5)))),
IF($D350="Pressio.",
IF($E350=3,(PI()*FH$12^2)/4*(FD350*$W350*1000)/($H350*$B$5),(PI()*FH$12^2)/4*(FD350*$W350*1000)/($G350*$B$5)),
IF($D350="Pénétro.",
IF($E350=4,(PI()*FH$12^2)/4*(FD350*$W350*1000)/($H350*$B$5),(PI()*FH$12^2)/4*(FD350*$W350*1000)/($G350*$B$5))))))/10</f>
        <v>#N/A</v>
      </c>
      <c r="FI350" s="102" t="e">
        <f>(VLOOKUP($B$3,'Coeff EC7'!$T$39:$X$59,2,0)*FG350+VLOOKUP($B$3,'Coeff EC7'!$T$65:$X$85,2,0)*Model0.1C!FH350)/1.1</f>
        <v>#N/A</v>
      </c>
      <c r="FJ350" s="102" t="e">
        <f>(VLOOKUP($B$3,'Coeff EC7'!$T$39:$X$59,3,0)*FG350+VLOOKUP($B$3,'Coeff EC7'!$T$65:$X$85,3,0)*Model0.1C!FH350)/0.9</f>
        <v>#N/A</v>
      </c>
      <c r="FK350" s="102" t="e">
        <f t="shared" si="598"/>
        <v>#N/A</v>
      </c>
      <c r="FL350" s="102" t="e">
        <f t="shared" si="599"/>
        <v>#N/A</v>
      </c>
      <c r="FM350" s="414" t="e">
        <f>IF(FM349=0,0,IF(AND(FI350&gt;charge_ELS_quasi,FJ350&gt;Charge_ELS_freq,FK350&gt;charge_ELU,FL350&gt;charge_ELA,$B350&gt;NDC!$H$22-0.1+MIN(3*$FM$12,1.5)),0,1))</f>
        <v>#N/A</v>
      </c>
    </row>
    <row r="351" spans="1:169">
      <c r="A351" s="96">
        <f t="shared" si="567"/>
        <v>66.200000000001921</v>
      </c>
      <c r="B351" s="97">
        <v>33.799999999999997</v>
      </c>
      <c r="C351" s="81">
        <f>IF(B351&lt;=Hypothèses!$C$7,Hypothèses!$A$7,IF(B351&lt;=Hypothèses!$C$8,Hypothèses!$A$8,IF(B351&lt;=Hypothèses!$C$9,Hypothèses!$A$9,IF(B351&lt;=Hypothèses!$C$10,Hypothèses!$A$10,IF(B351&lt;=Hypothèses!$C$11,Hypothèses!$A$11,IF(B351&lt;=Hypothèses!$C$12,Hypothèses!$A$12,IF(B351&lt;=Hypothèses!$C$13,Hypothèses!$A$13,IF(B351&lt;=Hypothèses!$C$14,Hypothèses!$A$14,IF(B351&lt;=Hypothèses!$C$15,Hypothèses!$A$15,IF(B351&lt;=Hypothèses!$C$16,Hypothèses!$A$16,IF(B351&lt;=Hypothèses!$C$17,Hypothèses!$A$17,IF(B351&lt;=Hypothèses!$C$18,Hypothèses!$A$18,C350))))))))))))</f>
        <v>11</v>
      </c>
      <c r="D351" s="82" t="str">
        <f>IF(B351&lt;=Hypothèses!$C$7,Hypothèses!$R$7,IF(B351&lt;=Hypothèses!$C$8,Hypothèses!$R$8,IF(B351&lt;=Hypothèses!$C$9,Hypothèses!$R$9,IF(B351&lt;=Hypothèses!$C$10,Hypothèses!$R$10,IF(B351&lt;=Hypothèses!$C$11,Hypothèses!$R$11,IF(B351&lt;=Hypothèses!$C$12,Hypothèses!$R$12,IF(B351&lt;=Hypothèses!$C$13,Hypothèses!$R$13,IF(B351&lt;=Hypothèses!$C$14,Hypothèses!$R$14,IF(B351&lt;=Hypothèses!$C$15,Hypothèses!$R$15,IF(B351&lt;=Hypothèses!$C$16,Hypothèses!$R$16,IF(B351&lt;=Hypothèses!$C$17,Hypothèses!$R$17,IF(B351&lt;=Hypothèses!$C$18,Hypothèses!$R$18,D350))))))))))))</f>
        <v>Pressio.</v>
      </c>
      <c r="E351" s="82" t="e">
        <f>IF(B351&lt;=Hypothèses!$C$7,Hypothèses!$G$7,IF(B351&lt;=Hypothèses!$C$8,Hypothèses!$G$8,IF(B351&lt;=Hypothèses!$C$9,Hypothèses!$G$9,IF(B351&lt;=Hypothèses!$C$10,Hypothèses!$G$10,IF(B351&lt;=Hypothèses!$C$11,Hypothèses!$G$11,IF(B351&lt;=Hypothèses!$C$12,Hypothèses!$G$12,IF(B351&lt;=Hypothèses!$C$13,Hypothèses!$G$13,IF(B351&lt;=Hypothèses!$C$14,Hypothèses!$G$14,IF(B351&lt;=Hypothèses!$C$15,Hypothèses!$G$15,IF(B351&lt;=Hypothèses!$C$16,Hypothèses!$G$16,IF(B351&lt;=Hypothèses!$C$17,Hypothèses!$G$17,IF(B351&lt;=Hypothèses!$C$18,Hypothèses!$G$18,E350))))))))))))</f>
        <v>#N/A</v>
      </c>
      <c r="F351" s="82" t="str">
        <f>IF(B351&lt;=Hypothèses!$C$7,Hypothèses!$F$7,IF(B351&lt;=Hypothèses!$C$8,Hypothèses!$F$8,IF(B351&lt;=Hypothèses!$C$9,Hypothèses!$F$9,IF(B351&lt;=Hypothèses!$C$10,Hypothèses!$F$10,IF(B351&lt;=Hypothèses!$C$11,Hypothèses!$F$11,IF(B351&lt;=Hypothèses!$C$12,Hypothèses!$F$12,IF(B351&lt;=Hypothèses!$C$13,Hypothèses!$F$13,IF(B351&lt;=Hypothèses!$C$14,Hypothèses!$F$14,IF(B351&lt;=Hypothèses!$C$15,Hypothèses!$F$15,IF(B351&lt;=Hypothèses!$C$16,Hypothèses!$F$16,IF(B351&lt;=Hypothèses!$C$17,Hypothèses!$F$17,IF(B351&lt;=Hypothèses!$C$18,Hypothèses!$F$18,F350))))))))))))</f>
        <v/>
      </c>
      <c r="G351" s="91">
        <f t="array" ref="G351">INDEX('Coeff EC7'!$U$7:$X$27,
MATCH(Model0.1C!$B$3,'Coeff EC7'!$T$7:$T$27,0),
MATCH(Model0.1C!$D351&amp;Model0.1C!$B$4,
'Coeff EC7'!$U$6:$X$6&amp;
'Coeff EC7'!$U$5:$X$5,0))</f>
        <v>1.1499999999999999</v>
      </c>
      <c r="H351" s="91">
        <f t="array" ref="H351">INDEX('Coeff EC7'!$Y$7:$AB$27,
MATCH(Model0.1C!$B$3,'Coeff EC7'!$T$7:$T$27,0),
MATCH(Model0.1C!$D351&amp;Model0.1C!$B$4,
'Coeff EC7'!$Y$6:$AB$6&amp;
'Coeff EC7'!$Y$5:$AB$5,0))</f>
        <v>1.4</v>
      </c>
      <c r="I351" s="83" t="e">
        <f>IF(B351&lt;=Hypothèses!$C$7,Hypothèses!$P$7,IF(B351&lt;=Hypothèses!$C$8,Hypothèses!$P$8,IF(B351&lt;=Hypothèses!$C$9,Hypothèses!$P$9,IF(B351&lt;=Hypothèses!$C$10,Hypothèses!$P$10,IF(B351&lt;=Hypothèses!$C$11,Hypothèses!$P$11,IF(B351&lt;=Hypothèses!$C$12,Hypothèses!$P$12,IF(B351&lt;=Hypothèses!$C$13,Hypothèses!$P$13,IF(B351&lt;=Hypothèses!$C$14,Hypothèses!$P$14,IF(B351&lt;=Hypothèses!$C$15,Hypothèses!$P$15,IF(B351&lt;=Hypothèses!$C$16,Hypothèses!$P$16,IF(B351&lt;=Hypothèses!$C$17,Hypothèses!$P$17,IF(B351&lt;=Hypothèses!$C$18,Hypothèses!$P$18,I350))))))))))))</f>
        <v>#N/A</v>
      </c>
      <c r="J351" s="91" t="e">
        <f t="array" ref="J351">INDEX('Coeff EC7'!$D$33:$Q$33,1,MATCH(D351&amp;E351,'Coeff EC7'!$D$31:$Q$31&amp;'Coeff EC7'!$D$32:$Q$32,0))</f>
        <v>#N/A</v>
      </c>
      <c r="K351" s="91" t="e">
        <f t="array" ref="K351">INDEX('Coeff EC7'!$D$34:$Q$34,1,MATCH(D351&amp;E351,'Coeff EC7'!$D$31:$Q$31&amp;'Coeff EC7'!$D$32:$Q$32,0))</f>
        <v>#N/A</v>
      </c>
      <c r="L351" s="91" t="e">
        <f t="array" ref="L351">INDEX('Coeff EC7'!$D$35:$Q$35,1,MATCH(D351&amp;E351,'Coeff EC7'!$D$31:$Q$31&amp;'Coeff EC7'!$D$32:$Q$32,0))</f>
        <v>#N/A</v>
      </c>
      <c r="M351" s="98" t="e">
        <f t="shared" si="531"/>
        <v>#N/A</v>
      </c>
      <c r="N351" s="99" t="e">
        <f t="array" ref="N351">INDEX('Coeff EC7'!$D$7:$Q$27,MATCH($B$3,'Coeff EC7'!$C$7:$C$27,0),MATCH(D351&amp;E351,'Coeff EC7'!$D$5:$Q$5&amp;'Coeff EC7'!$D$6:$Q$6,0))</f>
        <v>#N/A</v>
      </c>
      <c r="O351" s="99" t="e">
        <f t="array" ref="O351">INDEX('Coeff EC7'!$D$41:$Q$61,MATCH($B$3,'Coeff EC7'!$C$41:$C$61,0),MATCH(D351&amp;E351,'Coeff EC7'!$D$39:$Q$39&amp;'Coeff EC7'!$D$40:$Q$40,0))</f>
        <v>#N/A</v>
      </c>
      <c r="P351" s="30" t="e">
        <f t="shared" si="568"/>
        <v>#N/A</v>
      </c>
      <c r="Q351" s="100" t="e">
        <f t="shared" si="533"/>
        <v>#N/A</v>
      </c>
      <c r="R351" s="86" t="b">
        <f t="shared" si="534"/>
        <v>0</v>
      </c>
      <c r="S351" s="86">
        <f t="shared" si="532"/>
        <v>0.5</v>
      </c>
      <c r="T351" s="86">
        <f t="shared" si="535"/>
        <v>0.5</v>
      </c>
      <c r="U351" s="30" t="e">
        <f t="shared" ca="1" si="569"/>
        <v>#DIV/0!</v>
      </c>
      <c r="V351" s="85" t="str">
        <f>IF(B351&lt;=Hypothèses!$V$7,Hypothèses!$W$7,IF(B351&lt;=Hypothèses!$V$8,Hypothèses!$W$8,IF(B351&lt;=Hypothèses!$V$9,Hypothèses!$W$9,IF(B351&lt;=Hypothèses!$V$10,Hypothèses!$W$10,IF(B351&lt;=Hypothèses!$V$11,Hypothèses!$W$11,IF(B351&lt;=Hypothèses!$V$12,Hypothèses!$W$12,IF(B351&lt;=Hypothèses!$V$13,Hypothèses!$W$13,IF(B351&lt;=Hypothèses!$V$14,Hypothèses!$W$14,IF(B351&lt;=Hypothèses!$V$15,Hypothèses!$W$15,IF(B351&lt;=Hypothèses!$V$16,Hypothèses!$W$16,IF(B351&lt;=Hypothèses!$V$17,Hypothèses!$W$17,IF(B351&lt;=Hypothèses!$V$18,Hypothèses!$W$18,""))))))))))))</f>
        <v/>
      </c>
      <c r="W351" s="87" t="e">
        <f t="shared" ca="1" si="616"/>
        <v>#DIV/0!</v>
      </c>
      <c r="X351" s="88" t="str">
        <f>IF(B351&lt;=Hypothèses!$V$7,Hypothèses!$X$7,IF(B351&lt;=Hypothèses!$V$8,Hypothèses!$X$8,IF(B351&lt;=Hypothèses!$V$9,Hypothèses!$X$9,IF(B351&lt;=Hypothèses!$V$10,Hypothèses!$X$10,IF(B351&lt;=Hypothèses!$V$11,Hypothèses!$X$11,IF(B351&lt;=Hypothèses!$V$12,Hypothèses!$X$12,IF(B351&lt;=Hypothèses!$V$13,Hypothèses!$X$13,IF(B351&lt;=Hypothèses!$V$14,Hypothèses!$X$14,IF(B351&lt;=Hypothèses!$V$15,Hypothèses!$X$15,IF(B351&lt;=Hypothèses!$V$16,Hypothèses!$X$16,IF(B351&lt;=Hypothèses!$U$17,Hypothèses!$W$17,IF(B351&lt;=Hypothèses!$U$18,Hypothèses!$W$18,""))))))))))))</f>
        <v/>
      </c>
      <c r="Y351" s="95" t="e">
        <f t="shared" ca="1" si="536"/>
        <v>#DIV/0!</v>
      </c>
      <c r="Z351" s="101" t="e">
        <f t="shared" si="537"/>
        <v>#N/A</v>
      </c>
      <c r="AA351" s="91" t="e">
        <f t="shared" si="538"/>
        <v>#N/A</v>
      </c>
      <c r="AB351" s="30" t="e">
        <f t="shared" si="600"/>
        <v>#N/A</v>
      </c>
      <c r="AC351" s="30" t="e">
        <f t="shared" si="601"/>
        <v>#N/A</v>
      </c>
      <c r="AD351" s="31" t="e">
        <f>IF(OR(Hypothèses!$B$4=17,Hypothèses!$B$4=18,Hypothèses!$B$4=19,Hypothèses!$B$4=20),
IF($D351="Pressio.",
IF(OR($E351=3,$E351=1,$E351=4),AC351,AB351),
IF($D351="Pénétro.",
IF(OR($E351=3,$E351=1,$E351=4),AC351,AB351))),IF($D351="Pressio.",
IF($E351=3,AC351,AB351),
IF($D351="Pénétro.",
IF($E351=4,AC351,AB351))))</f>
        <v>#N/A</v>
      </c>
      <c r="AE351" s="31" t="e">
        <f>(IF(OR(Hypothèses!$B$4=17,Hypothèses!$B$4=18,Hypothèses!$B$4=19,Hypothèses!$B$4=20),
IF($D351="Pressio.",
IF(OR($E351=3,$E351=1,$E351=4),(PI()*AE$12^2)/4*(AA351*$W351*1000)/($H351*$B$5),(PI()*AE$12^2)/4*(AA351*$W351*1000)/($G351*$B$5)),
IF($D351="Pénétro.",
IF(OR($E351=4,$E351=1,$E351=5),(PI()*AE$12^2)/4*(AA351*$W351*1000)/($H351*$B$5),(PI()*AE$12^2)/4*(AA351*$W351*1000)/($G351*$B$5)))),
IF($D351="Pressio.",
IF($E351=3,(PI()*AE$12^2)/4*(AA351*$W351*1000)/($H351*$B$5),(PI()*AE$12^2)/4*(AA351*$W351*1000)/($G351*$B$5)),
IF($D351="Pénétro.",
IF($E351=4,(PI()*AE$12^2)/4*(AA351*$W351*1000)/($H351*$B$5),(PI()*AE$12^2)/4*(AA351*$W351*1000)/($G351*$B$5))))))/10</f>
        <v>#N/A</v>
      </c>
      <c r="AF351" s="102" t="e">
        <f>(VLOOKUP($B$3,'Coeff EC7'!$T$39:$X$59,2,0)*AD351+VLOOKUP($B$3,'Coeff EC7'!$T$65:$X$85,2,0)*Model0.1C!AE351)/1.1</f>
        <v>#N/A</v>
      </c>
      <c r="AG351" s="102" t="e">
        <f>(VLOOKUP($B$3,'Coeff EC7'!$T$39:$X$59,3,0)*AD351+VLOOKUP($B$3,'Coeff EC7'!$T$65:$X$85,3,0)*Model0.1C!AE351)/0.9</f>
        <v>#N/A</v>
      </c>
      <c r="AH351" s="102" t="e">
        <f t="shared" si="539"/>
        <v>#N/A</v>
      </c>
      <c r="AI351" s="102" t="e">
        <f t="shared" si="540"/>
        <v>#N/A</v>
      </c>
      <c r="AJ351" s="414" t="e">
        <f>IF(AJ350=0,0,IF(AND(AF351&gt;charge_ELS_quasi,AG351&gt;Charge_ELS_freq,AH351&gt;charge_ELU,AI351&gt;charge_ELA,$B351&gt;NDC!$H$22-0.1+MIN(3*$AJ$12,1.5)),0,1))</f>
        <v>#N/A</v>
      </c>
      <c r="AK351" s="86" t="b">
        <f t="shared" si="541"/>
        <v>0</v>
      </c>
      <c r="AL351" s="86">
        <f t="shared" si="570"/>
        <v>0.5</v>
      </c>
      <c r="AM351" s="86">
        <f t="shared" si="542"/>
        <v>0.5</v>
      </c>
      <c r="AN351" s="30" t="e">
        <f t="shared" ca="1" si="571"/>
        <v>#DIV/0!</v>
      </c>
      <c r="AO351" s="85" t="e">
        <f ca="1">IF(U351&lt;=Hypothèses!$V$7,Hypothèses!$W$7,IF(U351&lt;=Hypothèses!$V$8,Hypothèses!$W$8,IF(U351&lt;=Hypothèses!$V$9,Hypothèses!$W$9,IF(U351&lt;=Hypothèses!$V$10,Hypothèses!$W$10,IF(U351&lt;=Hypothèses!$V$11,Hypothèses!$W$11,IF(U351&lt;=Hypothèses!$V$12,Hypothèses!$W$12,IF(U351&lt;=Hypothèses!$V$13,Hypothèses!$W$13,IF(U351&lt;=Hypothèses!$V$14,Hypothèses!$W$14,IF(U351&lt;=Hypothèses!$V$15,Hypothèses!$W$15,IF(U351&lt;=Hypothèses!$V$16,Hypothèses!$W$16,IF(U351&lt;=Hypothèses!$V$17,Hypothèses!$W$17,IF(U351&lt;=Hypothèses!$V$18,Hypothèses!$W$18,""))))))))))))</f>
        <v>#DIV/0!</v>
      </c>
      <c r="AP351" s="87" t="e">
        <f t="shared" ca="1" si="617"/>
        <v>#DIV/0!</v>
      </c>
      <c r="AQ351" s="88" t="e">
        <f ca="1">IF(U351&lt;=Hypothèses!$V$7,Hypothèses!$X$7,IF(U351&lt;=Hypothèses!$V$8,Hypothèses!$X$8,IF(U351&lt;=Hypothèses!$V$9,Hypothèses!$X$9,IF(U351&lt;=Hypothèses!$V$10,Hypothèses!$X$10,IF(U351&lt;=Hypothèses!$V$11,Hypothèses!$X$11,IF(U351&lt;=Hypothèses!$V$12,Hypothèses!$X$12,IF(U351&lt;=Hypothèses!$V$13,Hypothèses!$X$13,IF(U351&lt;=Hypothèses!$V$14,Hypothèses!$X$14,IF(U351&lt;=Hypothèses!$V$15,Hypothèses!$X$15,IF(U351&lt;=Hypothèses!$V$16,Hypothèses!$X$16,IF(U351&lt;=Hypothèses!$U$17,Hypothèses!$W$17,IF(U351&lt;=Hypothèses!$U$18,Hypothèses!$W$18,""))))))))))))</f>
        <v>#DIV/0!</v>
      </c>
      <c r="AR351" s="95" t="e">
        <f t="shared" ca="1" si="572"/>
        <v>#DIV/0!</v>
      </c>
      <c r="AS351" s="101" t="e">
        <f t="shared" si="624"/>
        <v>#N/A</v>
      </c>
      <c r="AT351" s="91" t="e">
        <f t="shared" si="543"/>
        <v>#N/A</v>
      </c>
      <c r="AU351" s="30" t="e">
        <f t="shared" si="602"/>
        <v>#N/A</v>
      </c>
      <c r="AV351" s="30" t="e">
        <f t="shared" si="603"/>
        <v>#N/A</v>
      </c>
      <c r="AW351" s="31" t="e">
        <f>IF(OR(Hypothèses!$B$4=17,Hypothèses!$B$4=18,Hypothèses!$B$4=19,Hypothèses!$B$4=20),
IF($D351="Pressio.",
IF(OR($E351=3,$E351=1,$E351=4),AV351,AU351),
IF($D351="Pénétro.",
IF(OR($E351=3,$E351=1,$E351=4),AV351,AU351))),IF($D351="Pressio.",
IF($E351=3,AV351,AU351),
IF($D351="Pénétro.",
IF($E351=4,AV351,AU351))))</f>
        <v>#N/A</v>
      </c>
      <c r="AX351" s="31" t="e">
        <f>(IF(OR(Hypothèses!$B$4=17,Hypothèses!$B$4=18,Hypothèses!$B$4=19,Hypothèses!$B$4=20),
IF($D351="Pressio.",
IF(OR($E351=3,$E351=1,$E351=4),(PI()*AX$12^2)/4*(AT351*$W351*1000)/($H351*$B$5),(PI()*AX$12^2)/4*(AT351*$W351*1000)/($G351*$B$5)),
IF($D351="Pénétro.",
IF(OR($E351=4,$E351=1,$E351=5),(PI()*AX$12^2)/4*(AT351*$W351*1000)/($H351*$B$5),(PI()*AX$12^2)/4*(AT351*$W351*1000)/($G351*$B$5)))),
IF($D351="Pressio.",
IF($E351=3,(PI()*AX$12^2)/4*(AT351*$W351*1000)/($H351*$B$5),(PI()*AX$12^2)/4*(AT351*$W351*1000)/($G351*$B$5)),
IF($D351="Pénétro.",
IF($E351=4,(PI()*AX$12^2)/4*(AT351*$W351*1000)/($H351*$B$5),(PI()*AX$12^2)/4*(AT351*$W351*1000)/($G351*$B$5))))))/10</f>
        <v>#N/A</v>
      </c>
      <c r="AY351" s="102" t="e">
        <f>(VLOOKUP($B$3,'Coeff EC7'!$T$39:$X$59,2,0)*AW351+VLOOKUP($B$3,'Coeff EC7'!$T$65:$X$85,2,0)*Model0.1C!AX351)/1.1</f>
        <v>#N/A</v>
      </c>
      <c r="AZ351" s="102" t="e">
        <f>(VLOOKUP($B$3,'Coeff EC7'!$T$39:$X$59,3,0)*AW351+VLOOKUP($B$3,'Coeff EC7'!$T$65:$X$85,3,0)*Model0.1C!AX351)/0.9</f>
        <v>#N/A</v>
      </c>
      <c r="BA351" s="102" t="e">
        <f t="shared" si="573"/>
        <v>#N/A</v>
      </c>
      <c r="BB351" s="102" t="e">
        <f t="shared" si="574"/>
        <v>#N/A</v>
      </c>
      <c r="BC351" s="414" t="e">
        <f>IF(BC350=0,0,IF(AND(AY351&gt;charge_ELS_quasi,AZ351&gt;Charge_ELS_freq,BA351&gt;charge_ELU,BB351&gt;charge_ELA,$B351&gt;NDC!$H$22-0.1+MIN(3*$BC$12,1.5)),0,1))</f>
        <v>#N/A</v>
      </c>
      <c r="BD351" s="86" t="b">
        <f t="shared" si="544"/>
        <v>0</v>
      </c>
      <c r="BE351" s="86">
        <f t="shared" si="575"/>
        <v>0.5</v>
      </c>
      <c r="BF351" s="86">
        <f t="shared" si="545"/>
        <v>0.5</v>
      </c>
      <c r="BG351" s="30" t="e">
        <f t="shared" ca="1" si="576"/>
        <v>#DIV/0!</v>
      </c>
      <c r="BH351" s="85" t="e">
        <f ca="1">IF(AN351&lt;=Hypothèses!$V$7,Hypothèses!$W$7,IF(AN351&lt;=Hypothèses!$V$8,Hypothèses!$W$8,IF(AN351&lt;=Hypothèses!$V$9,Hypothèses!$W$9,IF(AN351&lt;=Hypothèses!$V$10,Hypothèses!$W$10,IF(AN351&lt;=Hypothèses!$V$11,Hypothèses!$W$11,IF(AN351&lt;=Hypothèses!$V$12,Hypothèses!$W$12,IF(AN351&lt;=Hypothèses!$V$13,Hypothèses!$W$13,IF(AN351&lt;=Hypothèses!$V$14,Hypothèses!$W$14,IF(AN351&lt;=Hypothèses!$V$15,Hypothèses!$W$15,IF(AN351&lt;=Hypothèses!$V$16,Hypothèses!$W$16,IF(AN351&lt;=Hypothèses!$V$17,Hypothèses!$W$17,IF(AN351&lt;=Hypothèses!$V$18,Hypothèses!$W$18,""))))))))))))</f>
        <v>#DIV/0!</v>
      </c>
      <c r="BI351" s="87" t="e">
        <f t="shared" ca="1" si="618"/>
        <v>#DIV/0!</v>
      </c>
      <c r="BJ351" s="88" t="e">
        <f ca="1">IF(AN351&lt;=Hypothèses!$V$7,Hypothèses!$X$7,IF(AN351&lt;=Hypothèses!$V$8,Hypothèses!$X$8,IF(AN351&lt;=Hypothèses!$V$9,Hypothèses!$X$9,IF(AN351&lt;=Hypothèses!$V$10,Hypothèses!$X$10,IF(AN351&lt;=Hypothèses!$V$11,Hypothèses!$X$11,IF(AN351&lt;=Hypothèses!$V$12,Hypothèses!$X$12,IF(AN351&lt;=Hypothèses!$V$13,Hypothèses!$X$13,IF(AN351&lt;=Hypothèses!$V$14,Hypothèses!$X$14,IF(AN351&lt;=Hypothèses!$V$15,Hypothèses!$X$15,IF(AN351&lt;=Hypothèses!$V$16,Hypothèses!$X$16,IF(AN351&lt;=Hypothèses!$U$17,Hypothèses!$W$17,IF(AN351&lt;=Hypothèses!$U$18,Hypothèses!$W$18,""))))))))))))</f>
        <v>#DIV/0!</v>
      </c>
      <c r="BK351" s="95" t="e">
        <f t="shared" ca="1" si="577"/>
        <v>#DIV/0!</v>
      </c>
      <c r="BL351" s="101" t="e">
        <f t="shared" si="625"/>
        <v>#N/A</v>
      </c>
      <c r="BM351" s="91" t="e">
        <f t="shared" si="546"/>
        <v>#N/A</v>
      </c>
      <c r="BN351" s="30" t="e">
        <f t="shared" si="604"/>
        <v>#N/A</v>
      </c>
      <c r="BO351" s="30" t="e">
        <f t="shared" si="605"/>
        <v>#N/A</v>
      </c>
      <c r="BP351" s="31" t="e">
        <f>IF(OR(Hypothèses!$B$4=17,Hypothèses!$B$4=18,Hypothèses!$B$4=19,Hypothèses!$B$4=20),
IF($D351="Pressio.",
IF(OR($E351=3,$E351=1,$E351=4),BO351,BN351),
IF($D351="Pénétro.",
IF(OR($E351=3,$E351=1,$E351=4),BO351,BN351))),IF($D351="Pressio.",
IF($E351=3,BO351,BN351),
IF($D351="Pénétro.",
IF($E351=4,BO351,BN351))))</f>
        <v>#N/A</v>
      </c>
      <c r="BQ351" s="31" t="e">
        <f>(IF(OR(Hypothèses!$B$4=17,Hypothèses!$B$4=18,Hypothèses!$B$4=19,Hypothèses!$B$4=20),
IF($D351="Pressio.",
IF(OR($E351=3,$E351=1,$E351=4),(PI()*BQ$12^2)/4*(BM351*$W351*1000)/($H351*$B$5),(PI()*BQ$12^2)/4*(BM351*$W351*1000)/($G351*$B$5)),
IF($D351="Pénétro.",
IF(OR($E351=4,$E351=1,$E351=5),(PI()*BQ$12^2)/4*(BM351*$W351*1000)/($H351*$B$5),(PI()*BQ$12^2)/4*(BM351*$W351*1000)/($G351*$B$5)))),
IF($D351="Pressio.",
IF($E351=3,(PI()*BQ$12^2)/4*(BM351*$W351*1000)/($H351*$B$5),(PI()*BQ$12^2)/4*(BM351*$W351*1000)/($G351*$B$5)),
IF($D351="Pénétro.",
IF($E351=4,(PI()*BQ$12^2)/4*(BM351*$W351*1000)/($H351*$B$5),(PI()*BQ$12^2)/4*(BM351*$W351*1000)/($G351*$B$5))))))/10</f>
        <v>#N/A</v>
      </c>
      <c r="BR351" s="102" t="e">
        <f>(VLOOKUP($B$3,'Coeff EC7'!$T$39:$X$59,2,0)*BP351+VLOOKUP($B$3,'Coeff EC7'!$T$65:$X$85,2,0)*Model0.1C!BQ351)/1.1</f>
        <v>#N/A</v>
      </c>
      <c r="BS351" s="102" t="e">
        <f>(VLOOKUP($B$3,'Coeff EC7'!$T$39:$X$59,3,0)*BP351+VLOOKUP($B$3,'Coeff EC7'!$T$65:$X$85,3,0)*Model0.1C!BQ351)/0.9</f>
        <v>#N/A</v>
      </c>
      <c r="BT351" s="102" t="e">
        <f t="shared" si="578"/>
        <v>#N/A</v>
      </c>
      <c r="BU351" s="102" t="e">
        <f t="shared" si="579"/>
        <v>#N/A</v>
      </c>
      <c r="BV351" s="414" t="e">
        <f>IF(BV350=0,0,IF(AND(BR351&gt;charge_ELS_quasi,BS351&gt;Charge_ELS_freq,BT351&gt;charge_ELU,BU351&gt;charge_ELA,$B351&gt;NDC!$H$22-0.1+MIN(3*$BV$12,1.5)),0,1))</f>
        <v>#N/A</v>
      </c>
      <c r="BW351" s="86" t="b">
        <f t="shared" si="547"/>
        <v>0</v>
      </c>
      <c r="BX351" s="86">
        <f t="shared" si="548"/>
        <v>0.5</v>
      </c>
      <c r="BY351" s="86">
        <f t="shared" si="549"/>
        <v>0.5</v>
      </c>
      <c r="BZ351" s="30" t="e">
        <f t="shared" ca="1" si="580"/>
        <v>#DIV/0!</v>
      </c>
      <c r="CA351" s="85" t="e">
        <f ca="1">IF(BG351&lt;=Hypothèses!$V$7,Hypothèses!$W$7,IF(BG351&lt;=Hypothèses!$V$8,Hypothèses!$W$8,IF(BG351&lt;=Hypothèses!$V$9,Hypothèses!$W$9,IF(BG351&lt;=Hypothèses!$V$10,Hypothèses!$W$10,IF(BG351&lt;=Hypothèses!$V$11,Hypothèses!$W$11,IF(BG351&lt;=Hypothèses!$V$12,Hypothèses!$W$12,IF(BG351&lt;=Hypothèses!$V$13,Hypothèses!$W$13,IF(BG351&lt;=Hypothèses!$V$14,Hypothèses!$W$14,IF(BG351&lt;=Hypothèses!$V$15,Hypothèses!$W$15,IF(BG351&lt;=Hypothèses!$V$16,Hypothèses!$W$16,IF(BG351&lt;=Hypothèses!$V$17,Hypothèses!$W$17,IF(BG351&lt;=Hypothèses!$V$18,Hypothèses!$W$18,""))))))))))))</f>
        <v>#DIV/0!</v>
      </c>
      <c r="CB351" s="87" t="e">
        <f t="shared" ca="1" si="619"/>
        <v>#DIV/0!</v>
      </c>
      <c r="CC351" s="88" t="e">
        <f ca="1">IF(BG351&lt;=Hypothèses!$V$7,Hypothèses!$X$7,IF(BG351&lt;=Hypothèses!$V$8,Hypothèses!$X$8,IF(BG351&lt;=Hypothèses!$V$9,Hypothèses!$X$9,IF(BG351&lt;=Hypothèses!$V$10,Hypothèses!$X$10,IF(BG351&lt;=Hypothèses!$V$11,Hypothèses!$X$11,IF(BG351&lt;=Hypothèses!$V$12,Hypothèses!$X$12,IF(BG351&lt;=Hypothèses!$V$13,Hypothèses!$X$13,IF(BG351&lt;=Hypothèses!$V$14,Hypothèses!$X$14,IF(BG351&lt;=Hypothèses!$V$15,Hypothèses!$X$15,IF(BG351&lt;=Hypothèses!$V$16,Hypothèses!$X$16,IF(BG351&lt;=Hypothèses!$U$17,Hypothèses!$W$17,IF(BG351&lt;=Hypothèses!$U$18,Hypothèses!$W$18,""))))))))))))</f>
        <v>#DIV/0!</v>
      </c>
      <c r="CD351" s="95" t="e">
        <f t="shared" ca="1" si="581"/>
        <v>#DIV/0!</v>
      </c>
      <c r="CE351" s="101" t="e">
        <f t="shared" si="626"/>
        <v>#N/A</v>
      </c>
      <c r="CF351" s="91" t="e">
        <f t="shared" si="550"/>
        <v>#N/A</v>
      </c>
      <c r="CG351" s="30" t="e">
        <f t="shared" si="606"/>
        <v>#N/A</v>
      </c>
      <c r="CH351" s="30" t="e">
        <f t="shared" si="607"/>
        <v>#N/A</v>
      </c>
      <c r="CI351" s="31" t="e">
        <f>IF(OR(Hypothèses!$B$4=17,Hypothèses!$B$4=18,Hypothèses!$B$4=19,Hypothèses!$B$4=20),
IF($D351="Pressio.",
IF(OR($E351=3,$E351=1,$E351=4),CH351,CG351),
IF($D351="Pénétro.",
IF(OR($E351=3,$E351=1,$E351=4),CH351,CG351))),IF($D351="Pressio.",
IF($E351=3,CH351,CG351),
IF($D351="Pénétro.",
IF($E351=4,CH351,CG351))))</f>
        <v>#N/A</v>
      </c>
      <c r="CJ351" s="31" t="e">
        <f>(IF(OR(Hypothèses!$B$4=17,Hypothèses!$B$4=18,Hypothèses!$B$4=19,Hypothèses!$B$4=20),
IF($D351="Pressio.",
IF(OR($E351=3,$E351=1,$E351=4),(PI()*CJ$12^2)/4*(CF351*$W351*1000)/($H351*$B$5),(PI()*CJ$12^2)/4*(CF351*$W351*1000)/($G351*$B$5)),
IF($D351="Pénétro.",
IF(OR($E351=4,$E351=1,$E351=5),(PI()*CJ$12^2)/4*(CF351*$W351*1000)/($H351*$B$5),(PI()*CJ$12^2)/4*(CF351*$W351*1000)/($G351*$B$5)))),
IF($D351="Pressio.",
IF($E351=3,(PI()*CJ$12^2)/4*(CF351*$W351*1000)/($H351*$B$5),(PI()*CJ$12^2)/4*(CF351*$W351*1000)/($G351*$B$5)),
IF($D351="Pénétro.",
IF($E351=4,(PI()*CJ$12^2)/4*(CF351*$W351*1000)/($H351*$B$5),(PI()*CJ$12^2)/4*(CF351*$W351*1000)/($G351*$B$5))))))/10</f>
        <v>#N/A</v>
      </c>
      <c r="CK351" s="102" t="e">
        <f>(VLOOKUP($B$3,'Coeff EC7'!$T$39:$X$59,2,0)*CI351+VLOOKUP($B$3,'Coeff EC7'!$T$65:$X$85,2,0)*Model0.1C!CJ351)/1.1</f>
        <v>#N/A</v>
      </c>
      <c r="CL351" s="102" t="e">
        <f>(VLOOKUP($B$3,'Coeff EC7'!$T$39:$X$59,3,0)*CI351+VLOOKUP($B$3,'Coeff EC7'!$T$65:$X$85,3,0)*Model0.1C!CJ351)/0.9</f>
        <v>#N/A</v>
      </c>
      <c r="CM351" s="102" t="e">
        <f t="shared" si="582"/>
        <v>#N/A</v>
      </c>
      <c r="CN351" s="102" t="e">
        <f t="shared" si="583"/>
        <v>#N/A</v>
      </c>
      <c r="CO351" s="414" t="e">
        <f>IF(CO350=0,0,IF(AND(CK351&gt;charge_ELS_quasi,CL351&gt;Charge_ELS_freq,CM351&gt;charge_ELU,CN351&gt;charge_ELA,$B351&gt;NDC!$H$22-0.1+MIN(3*$CO$12,1.5)),0,1))</f>
        <v>#N/A</v>
      </c>
      <c r="CP351" s="86" t="b">
        <f t="shared" si="551"/>
        <v>0</v>
      </c>
      <c r="CQ351" s="86">
        <f t="shared" si="552"/>
        <v>0.5</v>
      </c>
      <c r="CR351" s="86">
        <f t="shared" si="553"/>
        <v>0.5</v>
      </c>
      <c r="CS351" s="30" t="e">
        <f t="shared" ca="1" si="584"/>
        <v>#DIV/0!</v>
      </c>
      <c r="CT351" s="85" t="e">
        <f ca="1">IF(BZ351&lt;=Hypothèses!$V$7,Hypothèses!$W$7,IF(BZ351&lt;=Hypothèses!$V$8,Hypothèses!$W$8,IF(BZ351&lt;=Hypothèses!$V$9,Hypothèses!$W$9,IF(BZ351&lt;=Hypothèses!$V$10,Hypothèses!$W$10,IF(BZ351&lt;=Hypothèses!$V$11,Hypothèses!$W$11,IF(BZ351&lt;=Hypothèses!$V$12,Hypothèses!$W$12,IF(BZ351&lt;=Hypothèses!$V$13,Hypothèses!$W$13,IF(BZ351&lt;=Hypothèses!$V$14,Hypothèses!$W$14,IF(BZ351&lt;=Hypothèses!$V$15,Hypothèses!$W$15,IF(BZ351&lt;=Hypothèses!$V$16,Hypothèses!$W$16,IF(BZ351&lt;=Hypothèses!$V$17,Hypothèses!$W$17,IF(BZ351&lt;=Hypothèses!$V$18,Hypothèses!$W$18,""))))))))))))</f>
        <v>#DIV/0!</v>
      </c>
      <c r="CU351" s="87" t="e">
        <f t="shared" ca="1" si="620"/>
        <v>#DIV/0!</v>
      </c>
      <c r="CV351" s="88" t="e">
        <f ca="1">IF(BZ351&lt;=Hypothèses!$V$7,Hypothèses!$X$7,IF(BZ351&lt;=Hypothèses!$V$8,Hypothèses!$X$8,IF(BZ351&lt;=Hypothèses!$V$9,Hypothèses!$X$9,IF(BZ351&lt;=Hypothèses!$V$10,Hypothèses!$X$10,IF(BZ351&lt;=Hypothèses!$V$11,Hypothèses!$X$11,IF(BZ351&lt;=Hypothèses!$V$12,Hypothèses!$X$12,IF(BZ351&lt;=Hypothèses!$V$13,Hypothèses!$X$13,IF(BZ351&lt;=Hypothèses!$V$14,Hypothèses!$X$14,IF(BZ351&lt;=Hypothèses!$V$15,Hypothèses!$X$15,IF(BZ351&lt;=Hypothèses!$V$16,Hypothèses!$X$16,IF(BZ351&lt;=Hypothèses!$U$17,Hypothèses!$W$17,IF(BZ351&lt;=Hypothèses!$U$18,Hypothèses!$W$18,""))))))))))))</f>
        <v>#DIV/0!</v>
      </c>
      <c r="CW351" s="95" t="e">
        <f t="shared" ca="1" si="585"/>
        <v>#DIV/0!</v>
      </c>
      <c r="CX351" s="101" t="e">
        <f t="shared" si="627"/>
        <v>#N/A</v>
      </c>
      <c r="CY351" s="91" t="e">
        <f t="shared" si="554"/>
        <v>#N/A</v>
      </c>
      <c r="CZ351" s="30" t="e">
        <f t="shared" si="608"/>
        <v>#N/A</v>
      </c>
      <c r="DA351" s="30" t="e">
        <f t="shared" si="609"/>
        <v>#N/A</v>
      </c>
      <c r="DB351" s="31" t="e">
        <f>IF(OR(Hypothèses!$B$4=17,Hypothèses!$B$4=18,Hypothèses!$B$4=19,Hypothèses!$B$4=20),
IF($D351="Pressio.",
IF(OR($E351=3,$E351=1,$E351=4),DA351,CZ351),
IF($D351="Pénétro.",
IF(OR($E351=3,$E351=1,$E351=4),DA351,CZ351))),IF($D351="Pressio.",
IF($E351=3,DA351,CZ351),
IF($D351="Pénétro.",
IF($E351=4,DA351,CZ351))))</f>
        <v>#N/A</v>
      </c>
      <c r="DC351" s="31" t="e">
        <f>(IF(OR(Hypothèses!$B$4=17,Hypothèses!$B$4=18,Hypothèses!$B$4=19,Hypothèses!$B$4=20),
IF($D351="Pressio.",
IF(OR($E351=3,$E351=1,$E351=4),(PI()*DC$12^2)/4*(CY351*$W351*1000)/($H351*$B$5),(PI()*DC$12^2)/4*(CY351*$W351*1000)/($G351*$B$5)),
IF($D351="Pénétro.",
IF(OR($E351=4,$E351=1,$E351=5),(PI()*DC$12^2)/4*(CY351*$W351*1000)/($H351*$B$5),(PI()*DC$12^2)/4*(CY351*$W351*1000)/($G351*$B$5)))),
IF($D351="Pressio.",
IF($E351=3,(PI()*DC$12^2)/4*(CY351*$W351*1000)/($H351*$B$5),(PI()*DC$12^2)/4*(CY351*$W351*1000)/($G351*$B$5)),
IF($D351="Pénétro.",
IF($E351=4,(PI()*DC$12^2)/4*(CY351*$W351*1000)/($H351*$B$5),(PI()*DC$12^2)/4*(CY351*$W351*1000)/($G351*$B$5))))))/10</f>
        <v>#N/A</v>
      </c>
      <c r="DD351" s="102" t="e">
        <f>(VLOOKUP($B$3,'Coeff EC7'!$T$39:$X$59,2,0)*DB351+VLOOKUP($B$3,'Coeff EC7'!$T$65:$X$85,2,0)*Model0.1C!DC351)/1.1</f>
        <v>#N/A</v>
      </c>
      <c r="DE351" s="102" t="e">
        <f>(VLOOKUP($B$3,'Coeff EC7'!$T$39:$X$59,3,0)*DB351+VLOOKUP($B$3,'Coeff EC7'!$T$65:$X$85,3,0)*Model0.1C!DC351)/0.9</f>
        <v>#N/A</v>
      </c>
      <c r="DF351" s="102" t="e">
        <f t="shared" si="586"/>
        <v>#N/A</v>
      </c>
      <c r="DG351" s="102" t="e">
        <f t="shared" si="587"/>
        <v>#N/A</v>
      </c>
      <c r="DH351" s="414" t="e">
        <f>IF(DH350=0,0,IF(AND(DD351&gt;charge_ELS_quasi,DE351&gt;Charge_ELS_freq,DF351&gt;charge_ELU,DG351&gt;charge_ELA,$B351&gt;NDC!$H$22-0.1+MIN(3*$DH$12,1.5)),0,1))</f>
        <v>#N/A</v>
      </c>
      <c r="DI351" s="86" t="b">
        <f t="shared" si="555"/>
        <v>0</v>
      </c>
      <c r="DJ351" s="86">
        <f t="shared" si="556"/>
        <v>0.5</v>
      </c>
      <c r="DK351" s="86">
        <f t="shared" si="557"/>
        <v>0.5</v>
      </c>
      <c r="DL351" s="30" t="e">
        <f t="shared" ca="1" si="588"/>
        <v>#DIV/0!</v>
      </c>
      <c r="DM351" s="85" t="e">
        <f ca="1">IF(CS351&lt;=Hypothèses!$V$7,Hypothèses!$W$7,IF(CS351&lt;=Hypothèses!$V$8,Hypothèses!$W$8,IF(CS351&lt;=Hypothèses!$V$9,Hypothèses!$W$9,IF(CS351&lt;=Hypothèses!$V$10,Hypothèses!$W$10,IF(CS351&lt;=Hypothèses!$V$11,Hypothèses!$W$11,IF(CS351&lt;=Hypothèses!$V$12,Hypothèses!$W$12,IF(CS351&lt;=Hypothèses!$V$13,Hypothèses!$W$13,IF(CS351&lt;=Hypothèses!$V$14,Hypothèses!$W$14,IF(CS351&lt;=Hypothèses!$V$15,Hypothèses!$W$15,IF(CS351&lt;=Hypothèses!$V$16,Hypothèses!$W$16,IF(CS351&lt;=Hypothèses!$V$17,Hypothèses!$W$17,IF(CS351&lt;=Hypothèses!$V$18,Hypothèses!$W$18,""))))))))))))</f>
        <v>#DIV/0!</v>
      </c>
      <c r="DN351" s="87" t="e">
        <f t="shared" ca="1" si="621"/>
        <v>#DIV/0!</v>
      </c>
      <c r="DO351" s="88" t="e">
        <f ca="1">IF(CS351&lt;=Hypothèses!$V$7,Hypothèses!$X$7,IF(CS351&lt;=Hypothèses!$V$8,Hypothèses!$X$8,IF(CS351&lt;=Hypothèses!$V$9,Hypothèses!$X$9,IF(CS351&lt;=Hypothèses!$V$10,Hypothèses!$X$10,IF(CS351&lt;=Hypothèses!$V$11,Hypothèses!$X$11,IF(CS351&lt;=Hypothèses!$V$12,Hypothèses!$X$12,IF(CS351&lt;=Hypothèses!$V$13,Hypothèses!$X$13,IF(CS351&lt;=Hypothèses!$V$14,Hypothèses!$X$14,IF(CS351&lt;=Hypothèses!$V$15,Hypothèses!$X$15,IF(CS351&lt;=Hypothèses!$V$16,Hypothèses!$X$16,IF(CS351&lt;=Hypothèses!$U$17,Hypothèses!$W$17,IF(CS351&lt;=Hypothèses!$U$18,Hypothèses!$W$18,""))))))))))))</f>
        <v>#DIV/0!</v>
      </c>
      <c r="DP351" s="95" t="e">
        <f t="shared" ca="1" si="589"/>
        <v>#DIV/0!</v>
      </c>
      <c r="DQ351" s="101" t="e">
        <f t="shared" si="628"/>
        <v>#N/A</v>
      </c>
      <c r="DR351" s="91" t="e">
        <f t="shared" si="558"/>
        <v>#N/A</v>
      </c>
      <c r="DS351" s="30" t="e">
        <f t="shared" si="610"/>
        <v>#N/A</v>
      </c>
      <c r="DT351" s="30" t="e">
        <f t="shared" si="611"/>
        <v>#N/A</v>
      </c>
      <c r="DU351" s="31" t="e">
        <f>IF(OR(Hypothèses!$B$4=17,Hypothèses!$B$4=18,Hypothèses!$B$4=19,Hypothèses!$B$4=20),
IF($D351="Pressio.",
IF(OR($E351=3,$E351=1,$E351=4),DT351,DS351),
IF($D351="Pénétro.",
IF(OR($E351=3,$E351=1,$E351=4),DT351,DS351))),IF($D351="Pressio.",
IF($E351=3,DT351,DS351),
IF($D351="Pénétro.",
IF($E351=4,DT351,DS351))))</f>
        <v>#N/A</v>
      </c>
      <c r="DV351" s="31" t="e">
        <f>(IF(OR(Hypothèses!$B$4=17,Hypothèses!$B$4=18,Hypothèses!$B$4=19,Hypothèses!$B$4=20),
IF($D351="Pressio.",
IF(OR($E351=3,$E351=1,$E351=4),(PI()*DV$12^2)/4*(DR351*$W351*1000)/($H351*$B$5),(PI()*DV$12^2)/4*(DR351*$W351*1000)/($G351*$B$5)),
IF($D351="Pénétro.",
IF(OR($E351=4,$E351=1,$E351=5),(PI()*DV$12^2)/4*(DR351*$W351*1000)/($H351*$B$5),(PI()*DV$12^2)/4*(DR351*$W351*1000)/($G351*$B$5)))),
IF($D351="Pressio.",
IF($E351=3,(PI()*DV$12^2)/4*(DR351*$W351*1000)/($H351*$B$5),(PI()*DV$12^2)/4*(DR351*$W351*1000)/($G351*$B$5)),
IF($D351="Pénétro.",
IF($E351=4,(PI()*DV$12^2)/4*(DR351*$W351*1000)/($H351*$B$5),(PI()*DV$12^2)/4*(DR351*$W351*1000)/($G351*$B$5))))))/10</f>
        <v>#N/A</v>
      </c>
      <c r="DW351" s="102" t="e">
        <f>(VLOOKUP($B$3,'Coeff EC7'!$T$39:$X$59,2,0)*DU351+VLOOKUP($B$3,'Coeff EC7'!$T$65:$X$85,2,0)*Model0.1C!DV351)/1.1</f>
        <v>#N/A</v>
      </c>
      <c r="DX351" s="102" t="e">
        <f>(VLOOKUP($B$3,'Coeff EC7'!$T$39:$X$59,3,0)*DU351+VLOOKUP($B$3,'Coeff EC7'!$T$65:$X$85,3,0)*Model0.1C!DV351)/0.9</f>
        <v>#N/A</v>
      </c>
      <c r="DY351" s="102" t="e">
        <f t="shared" si="590"/>
        <v>#N/A</v>
      </c>
      <c r="DZ351" s="102" t="e">
        <f t="shared" si="591"/>
        <v>#N/A</v>
      </c>
      <c r="EA351" s="414" t="e">
        <f>IF(EA350=0,0,IF(AND(DW351&gt;charge_ELS_quasi,DX351&gt;Charge_ELS_freq,DY351&gt;charge_ELU,DZ351&gt;charge_ELA,$B351&gt;NDC!$H$22-0.1+MIN(3*$EA$12,1.5)),0,1))</f>
        <v>#N/A</v>
      </c>
      <c r="EB351" s="86" t="b">
        <f t="shared" si="559"/>
        <v>0</v>
      </c>
      <c r="EC351" s="418">
        <f t="shared" si="560"/>
        <v>0.51</v>
      </c>
      <c r="ED351" s="86">
        <f t="shared" si="561"/>
        <v>0.51</v>
      </c>
      <c r="EE351" s="30" t="e">
        <f t="shared" ca="1" si="592"/>
        <v>#DIV/0!</v>
      </c>
      <c r="EF351" s="85" t="e">
        <f ca="1">IF(DL351&lt;=Hypothèses!$V$7,Hypothèses!$W$7,IF(DL351&lt;=Hypothèses!$V$8,Hypothèses!$W$8,IF(DL351&lt;=Hypothèses!$V$9,Hypothèses!$W$9,IF(DL351&lt;=Hypothèses!$V$10,Hypothèses!$W$10,IF(DL351&lt;=Hypothèses!$V$11,Hypothèses!$W$11,IF(DL351&lt;=Hypothèses!$V$12,Hypothèses!$W$12,IF(DL351&lt;=Hypothèses!$V$13,Hypothèses!$W$13,IF(DL351&lt;=Hypothèses!$V$14,Hypothèses!$W$14,IF(DL351&lt;=Hypothèses!$V$15,Hypothèses!$W$15,IF(DL351&lt;=Hypothèses!$V$16,Hypothèses!$W$16,IF(DL351&lt;=Hypothèses!$V$17,Hypothèses!$W$17,IF(DL351&lt;=Hypothèses!$V$18,Hypothèses!$W$18,""))))))))))))</f>
        <v>#DIV/0!</v>
      </c>
      <c r="EG351" s="87" t="e">
        <f t="shared" ca="1" si="622"/>
        <v>#DIV/0!</v>
      </c>
      <c r="EH351" s="88" t="e">
        <f ca="1">IF(DL351&lt;=Hypothèses!$V$7,Hypothèses!$X$7,IF(DL351&lt;=Hypothèses!$V$8,Hypothèses!$X$8,IF(DL351&lt;=Hypothèses!$V$9,Hypothèses!$X$9,IF(DL351&lt;=Hypothèses!$V$10,Hypothèses!$X$10,IF(DL351&lt;=Hypothèses!$V$11,Hypothèses!$X$11,IF(DL351&lt;=Hypothèses!$V$12,Hypothèses!$X$12,IF(DL351&lt;=Hypothèses!$V$13,Hypothèses!$X$13,IF(DL351&lt;=Hypothèses!$V$14,Hypothèses!$X$14,IF(DL351&lt;=Hypothèses!$V$15,Hypothèses!$X$15,IF(DL351&lt;=Hypothèses!$V$16,Hypothèses!$X$16,IF(DL351&lt;=Hypothèses!$U$17,Hypothèses!$W$17,IF(DL351&lt;=Hypothèses!$U$18,Hypothèses!$W$18,""))))))))))))</f>
        <v>#DIV/0!</v>
      </c>
      <c r="EI351" s="95" t="e">
        <f t="shared" ca="1" si="593"/>
        <v>#DIV/0!</v>
      </c>
      <c r="EJ351" s="101" t="e">
        <f t="shared" si="629"/>
        <v>#N/A</v>
      </c>
      <c r="EK351" s="91" t="e">
        <f t="shared" si="562"/>
        <v>#N/A</v>
      </c>
      <c r="EL351" s="30" t="e">
        <f t="shared" si="612"/>
        <v>#N/A</v>
      </c>
      <c r="EM351" s="30" t="e">
        <f t="shared" si="613"/>
        <v>#N/A</v>
      </c>
      <c r="EN351" s="31" t="e">
        <f>IF(OR(Hypothèses!$B$4=17,Hypothèses!$B$4=18,Hypothèses!$B$4=19,Hypothèses!$B$4=20),
IF($D351="Pressio.",
IF(OR($E351=3,$E351=1,$E351=4),EM351,EL351),
IF($D351="Pénétro.",
IF(OR($E351=3,$E351=1,$E351=4),EM351,EL351))),IF($D351="Pressio.",
IF($E351=3,EM351,EL351),
IF($D351="Pénétro.",
IF($E351=4,EM351,EL351))))</f>
        <v>#N/A</v>
      </c>
      <c r="EO351" s="31" t="e">
        <f>(IF(OR(Hypothèses!$B$4=17,Hypothèses!$B$4=18,Hypothèses!$B$4=19,Hypothèses!$B$4=20),
IF($D351="Pressio.",
IF(OR($E351=3,$E351=1,$E351=4),(PI()*EO$12^2)/4*(EK351*$W351*1000)/($H351*$B$5),(PI()*EO$12^2)/4*(EK351*$W351*1000)/($G351*$B$5)),
IF($D351="Pénétro.",
IF(OR($E351=4,$E351=1,$E351=5),(PI()*EO$12^2)/4*(EK351*$W351*1000)/($H351*$B$5),(PI()*EO$12^2)/4*(EK351*$W351*1000)/($G351*$B$5)))),
IF($D351="Pressio.",
IF($E351=3,(PI()*EO$12^2)/4*(EK351*$W351*1000)/($H351*$B$5),(PI()*EO$12^2)/4*(EK351*$W351*1000)/($G351*$B$5)),
IF($D351="Pénétro.",
IF($E351=4,(PI()*EO$12^2)/4*(EK351*$W351*1000)/($H351*$B$5),(PI()*EO$12^2)/4*(EK351*$W351*1000)/($G351*$B$5))))))/10</f>
        <v>#N/A</v>
      </c>
      <c r="EP351" s="102" t="e">
        <f>(VLOOKUP($B$3,'Coeff EC7'!$T$39:$X$59,2,0)*EN351+VLOOKUP($B$3,'Coeff EC7'!$T$65:$X$85,2,0)*Model0.1C!EO351)/1.1</f>
        <v>#N/A</v>
      </c>
      <c r="EQ351" s="102" t="e">
        <f>(VLOOKUP($B$3,'Coeff EC7'!$T$39:$X$59,3,0)*EN351+VLOOKUP($B$3,'Coeff EC7'!$T$65:$X$85,3,0)*Model0.1C!EO351)/0.9</f>
        <v>#N/A</v>
      </c>
      <c r="ER351" s="102" t="e">
        <f t="shared" si="594"/>
        <v>#N/A</v>
      </c>
      <c r="ES351" s="102" t="e">
        <f t="shared" si="595"/>
        <v>#N/A</v>
      </c>
      <c r="ET351" s="414" t="e">
        <f>IF(ET350=0,0,IF(AND(EP351&gt;charge_ELS_quasi,EQ351&gt;Charge_ELS_freq,ER351&gt;charge_ELU,ES351&gt;charge_ELA,$B351&gt;NDC!$H$22-0.1+MIN(3*$ET$12,1.5)),0,1))</f>
        <v>#N/A</v>
      </c>
      <c r="EU351" s="86" t="b">
        <f t="shared" si="563"/>
        <v>0</v>
      </c>
      <c r="EV351" s="86">
        <f t="shared" si="564"/>
        <v>0.61</v>
      </c>
      <c r="EW351" s="86">
        <f t="shared" si="565"/>
        <v>0.61</v>
      </c>
      <c r="EX351" s="30" t="e">
        <f t="shared" ca="1" si="596"/>
        <v>#DIV/0!</v>
      </c>
      <c r="EY351" s="85" t="e">
        <f ca="1">IF(EE351&lt;=Hypothèses!$V$7,Hypothèses!$W$7,IF(EE351&lt;=Hypothèses!$V$8,Hypothèses!$W$8,IF(EE351&lt;=Hypothèses!$V$9,Hypothèses!$W$9,IF(EE351&lt;=Hypothèses!$V$10,Hypothèses!$W$10,IF(EE351&lt;=Hypothèses!$V$11,Hypothèses!$W$11,IF(EE351&lt;=Hypothèses!$V$12,Hypothèses!$W$12,IF(EE351&lt;=Hypothèses!$V$13,Hypothèses!$W$13,IF(EE351&lt;=Hypothèses!$V$14,Hypothèses!$W$14,IF(EE351&lt;=Hypothèses!$V$15,Hypothèses!$W$15,IF(EE351&lt;=Hypothèses!$V$16,Hypothèses!$W$16,IF(EE351&lt;=Hypothèses!$V$17,Hypothèses!$W$17,IF(EE351&lt;=Hypothèses!$V$18,Hypothèses!$W$18,""))))))))))))</f>
        <v>#DIV/0!</v>
      </c>
      <c r="EZ351" s="87" t="e">
        <f t="shared" ca="1" si="623"/>
        <v>#DIV/0!</v>
      </c>
      <c r="FA351" s="88" t="e">
        <f ca="1">IF(EE351&lt;=Hypothèses!$V$7,Hypothèses!$X$7,IF(EE351&lt;=Hypothèses!$V$8,Hypothèses!$X$8,IF(EE351&lt;=Hypothèses!$V$9,Hypothèses!$X$9,IF(EE351&lt;=Hypothèses!$V$10,Hypothèses!$X$10,IF(EE351&lt;=Hypothèses!$V$11,Hypothèses!$X$11,IF(EE351&lt;=Hypothèses!$V$12,Hypothèses!$X$12,IF(EE351&lt;=Hypothèses!$V$13,Hypothèses!$X$13,IF(EE351&lt;=Hypothèses!$V$14,Hypothèses!$X$14,IF(EE351&lt;=Hypothèses!$V$15,Hypothèses!$X$15,IF(EE351&lt;=Hypothèses!$V$16,Hypothèses!$X$16,IF(EE351&lt;=Hypothèses!$U$17,Hypothèses!$W$17,IF(EE351&lt;=Hypothèses!$U$18,Hypothèses!$W$18,""))))))))))))</f>
        <v>#DIV/0!</v>
      </c>
      <c r="FB351" s="95" t="e">
        <f t="shared" ca="1" si="597"/>
        <v>#DIV/0!</v>
      </c>
      <c r="FC351" s="101" t="e">
        <f t="shared" si="630"/>
        <v>#N/A</v>
      </c>
      <c r="FD351" s="91" t="e">
        <f t="shared" si="566"/>
        <v>#N/A</v>
      </c>
      <c r="FE351" s="30" t="e">
        <f t="shared" si="614"/>
        <v>#N/A</v>
      </c>
      <c r="FF351" s="30" t="e">
        <f t="shared" si="615"/>
        <v>#N/A</v>
      </c>
      <c r="FG351" s="31" t="e">
        <f>IF(OR(Hypothèses!$B$4=17,Hypothèses!$B$4=18,Hypothèses!$B$4=19,Hypothèses!$B$4=20),
IF($D351="Pressio.",
IF(OR($E351=3,$E351=1,$E351=4),FF351,FE351),
IF($D351="Pénétro.",
IF(OR($E351=3,$E351=1,$E351=4),FF351,FE351))),IF($D351="Pressio.",
IF($E351=3,FF351,FE351),
IF($D351="Pénétro.",
IF($E351=4,FF351,FE351))))</f>
        <v>#N/A</v>
      </c>
      <c r="FH351" s="31" t="e">
        <f>(IF(OR(Hypothèses!$B$4=17,Hypothèses!$B$4=18,Hypothèses!$B$4=19,Hypothèses!$B$4=20),
IF($D351="Pressio.",
IF(OR($E351=3,$E351=1,$E351=4),(PI()*FH$12^2)/4*(FD351*$W351*1000)/($H351*$B$5),(PI()*FH$12^2)/4*(FD351*$W351*1000)/($G351*$B$5)),
IF($D351="Pénétro.",
IF(OR($E351=4,$E351=1,$E351=5),(PI()*FH$12^2)/4*(FD351*$W351*1000)/($H351*$B$5),(PI()*FH$12^2)/4*(FD351*$W351*1000)/($G351*$B$5)))),
IF($D351="Pressio.",
IF($E351=3,(PI()*FH$12^2)/4*(FD351*$W351*1000)/($H351*$B$5),(PI()*FH$12^2)/4*(FD351*$W351*1000)/($G351*$B$5)),
IF($D351="Pénétro.",
IF($E351=4,(PI()*FH$12^2)/4*(FD351*$W351*1000)/($H351*$B$5),(PI()*FH$12^2)/4*(FD351*$W351*1000)/($G351*$B$5))))))/10</f>
        <v>#N/A</v>
      </c>
      <c r="FI351" s="102" t="e">
        <f>(VLOOKUP($B$3,'Coeff EC7'!$T$39:$X$59,2,0)*FG351+VLOOKUP($B$3,'Coeff EC7'!$T$65:$X$85,2,0)*Model0.1C!FH351)/1.1</f>
        <v>#N/A</v>
      </c>
      <c r="FJ351" s="102" t="e">
        <f>(VLOOKUP($B$3,'Coeff EC7'!$T$39:$X$59,3,0)*FG351+VLOOKUP($B$3,'Coeff EC7'!$T$65:$X$85,3,0)*Model0.1C!FH351)/0.9</f>
        <v>#N/A</v>
      </c>
      <c r="FK351" s="102" t="e">
        <f t="shared" si="598"/>
        <v>#N/A</v>
      </c>
      <c r="FL351" s="102" t="e">
        <f t="shared" si="599"/>
        <v>#N/A</v>
      </c>
      <c r="FM351" s="414" t="e">
        <f>IF(FM350=0,0,IF(AND(FI351&gt;charge_ELS_quasi,FJ351&gt;Charge_ELS_freq,FK351&gt;charge_ELU,FL351&gt;charge_ELA,$B351&gt;NDC!$H$22-0.1+MIN(3*$FM$12,1.5)),0,1))</f>
        <v>#N/A</v>
      </c>
    </row>
    <row r="352" spans="1:169">
      <c r="A352" s="96">
        <f t="shared" si="567"/>
        <v>66.100000000001927</v>
      </c>
      <c r="B352" s="97">
        <v>33.9</v>
      </c>
      <c r="C352" s="81">
        <f>IF(B352&lt;=Hypothèses!$C$7,Hypothèses!$A$7,IF(B352&lt;=Hypothèses!$C$8,Hypothèses!$A$8,IF(B352&lt;=Hypothèses!$C$9,Hypothèses!$A$9,IF(B352&lt;=Hypothèses!$C$10,Hypothèses!$A$10,IF(B352&lt;=Hypothèses!$C$11,Hypothèses!$A$11,IF(B352&lt;=Hypothèses!$C$12,Hypothèses!$A$12,IF(B352&lt;=Hypothèses!$C$13,Hypothèses!$A$13,IF(B352&lt;=Hypothèses!$C$14,Hypothèses!$A$14,IF(B352&lt;=Hypothèses!$C$15,Hypothèses!$A$15,IF(B352&lt;=Hypothèses!$C$16,Hypothèses!$A$16,IF(B352&lt;=Hypothèses!$C$17,Hypothèses!$A$17,IF(B352&lt;=Hypothèses!$C$18,Hypothèses!$A$18,C351))))))))))))</f>
        <v>11</v>
      </c>
      <c r="D352" s="82" t="str">
        <f>IF(B352&lt;=Hypothèses!$C$7,Hypothèses!$R$7,IF(B352&lt;=Hypothèses!$C$8,Hypothèses!$R$8,IF(B352&lt;=Hypothèses!$C$9,Hypothèses!$R$9,IF(B352&lt;=Hypothèses!$C$10,Hypothèses!$R$10,IF(B352&lt;=Hypothèses!$C$11,Hypothèses!$R$11,IF(B352&lt;=Hypothèses!$C$12,Hypothèses!$R$12,IF(B352&lt;=Hypothèses!$C$13,Hypothèses!$R$13,IF(B352&lt;=Hypothèses!$C$14,Hypothèses!$R$14,IF(B352&lt;=Hypothèses!$C$15,Hypothèses!$R$15,IF(B352&lt;=Hypothèses!$C$16,Hypothèses!$R$16,IF(B352&lt;=Hypothèses!$C$17,Hypothèses!$R$17,IF(B352&lt;=Hypothèses!$C$18,Hypothèses!$R$18,D351))))))))))))</f>
        <v>Pressio.</v>
      </c>
      <c r="E352" s="82" t="e">
        <f>IF(B352&lt;=Hypothèses!$C$7,Hypothèses!$G$7,IF(B352&lt;=Hypothèses!$C$8,Hypothèses!$G$8,IF(B352&lt;=Hypothèses!$C$9,Hypothèses!$G$9,IF(B352&lt;=Hypothèses!$C$10,Hypothèses!$G$10,IF(B352&lt;=Hypothèses!$C$11,Hypothèses!$G$11,IF(B352&lt;=Hypothèses!$C$12,Hypothèses!$G$12,IF(B352&lt;=Hypothèses!$C$13,Hypothèses!$G$13,IF(B352&lt;=Hypothèses!$C$14,Hypothèses!$G$14,IF(B352&lt;=Hypothèses!$C$15,Hypothèses!$G$15,IF(B352&lt;=Hypothèses!$C$16,Hypothèses!$G$16,IF(B352&lt;=Hypothèses!$C$17,Hypothèses!$G$17,IF(B352&lt;=Hypothèses!$C$18,Hypothèses!$G$18,E351))))))))))))</f>
        <v>#N/A</v>
      </c>
      <c r="F352" s="82" t="str">
        <f>IF(B352&lt;=Hypothèses!$C$7,Hypothèses!$F$7,IF(B352&lt;=Hypothèses!$C$8,Hypothèses!$F$8,IF(B352&lt;=Hypothèses!$C$9,Hypothèses!$F$9,IF(B352&lt;=Hypothèses!$C$10,Hypothèses!$F$10,IF(B352&lt;=Hypothèses!$C$11,Hypothèses!$F$11,IF(B352&lt;=Hypothèses!$C$12,Hypothèses!$F$12,IF(B352&lt;=Hypothèses!$C$13,Hypothèses!$F$13,IF(B352&lt;=Hypothèses!$C$14,Hypothèses!$F$14,IF(B352&lt;=Hypothèses!$C$15,Hypothèses!$F$15,IF(B352&lt;=Hypothèses!$C$16,Hypothèses!$F$16,IF(B352&lt;=Hypothèses!$C$17,Hypothèses!$F$17,IF(B352&lt;=Hypothèses!$C$18,Hypothèses!$F$18,F351))))))))))))</f>
        <v/>
      </c>
      <c r="G352" s="91">
        <f t="array" ref="G352">INDEX('Coeff EC7'!$U$7:$X$27,
MATCH(Model0.1C!$B$3,'Coeff EC7'!$T$7:$T$27,0),
MATCH(Model0.1C!$D352&amp;Model0.1C!$B$4,
'Coeff EC7'!$U$6:$X$6&amp;
'Coeff EC7'!$U$5:$X$5,0))</f>
        <v>1.1499999999999999</v>
      </c>
      <c r="H352" s="91">
        <f t="array" ref="H352">INDEX('Coeff EC7'!$Y$7:$AB$27,
MATCH(Model0.1C!$B$3,'Coeff EC7'!$T$7:$T$27,0),
MATCH(Model0.1C!$D352&amp;Model0.1C!$B$4,
'Coeff EC7'!$Y$6:$AB$6&amp;
'Coeff EC7'!$Y$5:$AB$5,0))</f>
        <v>1.4</v>
      </c>
      <c r="I352" s="83" t="e">
        <f>IF(B352&lt;=Hypothèses!$C$7,Hypothèses!$P$7,IF(B352&lt;=Hypothèses!$C$8,Hypothèses!$P$8,IF(B352&lt;=Hypothèses!$C$9,Hypothèses!$P$9,IF(B352&lt;=Hypothèses!$C$10,Hypothèses!$P$10,IF(B352&lt;=Hypothèses!$C$11,Hypothèses!$P$11,IF(B352&lt;=Hypothèses!$C$12,Hypothèses!$P$12,IF(B352&lt;=Hypothèses!$C$13,Hypothèses!$P$13,IF(B352&lt;=Hypothèses!$C$14,Hypothèses!$P$14,IF(B352&lt;=Hypothèses!$C$15,Hypothèses!$P$15,IF(B352&lt;=Hypothèses!$C$16,Hypothèses!$P$16,IF(B352&lt;=Hypothèses!$C$17,Hypothèses!$P$17,IF(B352&lt;=Hypothèses!$C$18,Hypothèses!$P$18,I351))))))))))))</f>
        <v>#N/A</v>
      </c>
      <c r="J352" s="91" t="e">
        <f t="array" ref="J352">INDEX('Coeff EC7'!$D$33:$Q$33,1,MATCH(D352&amp;E352,'Coeff EC7'!$D$31:$Q$31&amp;'Coeff EC7'!$D$32:$Q$32,0))</f>
        <v>#N/A</v>
      </c>
      <c r="K352" s="91" t="e">
        <f t="array" ref="K352">INDEX('Coeff EC7'!$D$34:$Q$34,1,MATCH(D352&amp;E352,'Coeff EC7'!$D$31:$Q$31&amp;'Coeff EC7'!$D$32:$Q$32,0))</f>
        <v>#N/A</v>
      </c>
      <c r="L352" s="91" t="e">
        <f t="array" ref="L352">INDEX('Coeff EC7'!$D$35:$Q$35,1,MATCH(D352&amp;E352,'Coeff EC7'!$D$31:$Q$31&amp;'Coeff EC7'!$D$32:$Q$32,0))</f>
        <v>#N/A</v>
      </c>
      <c r="M352" s="98" t="e">
        <f t="shared" si="531"/>
        <v>#N/A</v>
      </c>
      <c r="N352" s="99" t="e">
        <f t="array" ref="N352">INDEX('Coeff EC7'!$D$7:$Q$27,MATCH($B$3,'Coeff EC7'!$C$7:$C$27,0),MATCH(D352&amp;E352,'Coeff EC7'!$D$5:$Q$5&amp;'Coeff EC7'!$D$6:$Q$6,0))</f>
        <v>#N/A</v>
      </c>
      <c r="O352" s="99" t="e">
        <f t="array" ref="O352">INDEX('Coeff EC7'!$D$41:$Q$61,MATCH($B$3,'Coeff EC7'!$C$41:$C$61,0),MATCH(D352&amp;E352,'Coeff EC7'!$D$39:$Q$39&amp;'Coeff EC7'!$D$40:$Q$40,0))</f>
        <v>#N/A</v>
      </c>
      <c r="P352" s="30" t="e">
        <f t="shared" si="568"/>
        <v>#N/A</v>
      </c>
      <c r="Q352" s="100" t="e">
        <f t="shared" si="533"/>
        <v>#N/A</v>
      </c>
      <c r="R352" s="86" t="b">
        <f t="shared" si="534"/>
        <v>0</v>
      </c>
      <c r="S352" s="86">
        <f t="shared" si="532"/>
        <v>0.5</v>
      </c>
      <c r="T352" s="86">
        <f t="shared" si="535"/>
        <v>0.5</v>
      </c>
      <c r="U352" s="30" t="e">
        <f t="shared" ca="1" si="569"/>
        <v>#DIV/0!</v>
      </c>
      <c r="V352" s="85" t="str">
        <f>IF(B352&lt;=Hypothèses!$V$7,Hypothèses!$W$7,IF(B352&lt;=Hypothèses!$V$8,Hypothèses!$W$8,IF(B352&lt;=Hypothèses!$V$9,Hypothèses!$W$9,IF(B352&lt;=Hypothèses!$V$10,Hypothèses!$W$10,IF(B352&lt;=Hypothèses!$V$11,Hypothèses!$W$11,IF(B352&lt;=Hypothèses!$V$12,Hypothèses!$W$12,IF(B352&lt;=Hypothèses!$V$13,Hypothèses!$W$13,IF(B352&lt;=Hypothèses!$V$14,Hypothèses!$W$14,IF(B352&lt;=Hypothèses!$V$15,Hypothèses!$W$15,IF(B352&lt;=Hypothèses!$V$16,Hypothèses!$W$16,IF(B352&lt;=Hypothèses!$V$17,Hypothèses!$W$17,IF(B352&lt;=Hypothèses!$V$18,Hypothèses!$W$18,""))))))))))))</f>
        <v/>
      </c>
      <c r="W352" s="87" t="e">
        <f t="shared" ca="1" si="616"/>
        <v>#DIV/0!</v>
      </c>
      <c r="X352" s="88" t="str">
        <f>IF(B352&lt;=Hypothèses!$V$7,Hypothèses!$X$7,IF(B352&lt;=Hypothèses!$V$8,Hypothèses!$X$8,IF(B352&lt;=Hypothèses!$V$9,Hypothèses!$X$9,IF(B352&lt;=Hypothèses!$V$10,Hypothèses!$X$10,IF(B352&lt;=Hypothèses!$V$11,Hypothèses!$X$11,IF(B352&lt;=Hypothèses!$V$12,Hypothèses!$X$12,IF(B352&lt;=Hypothèses!$V$13,Hypothèses!$X$13,IF(B352&lt;=Hypothèses!$V$14,Hypothèses!$X$14,IF(B352&lt;=Hypothèses!$V$15,Hypothèses!$X$15,IF(B352&lt;=Hypothèses!$V$16,Hypothèses!$X$16,IF(B352&lt;=Hypothèses!$U$17,Hypothèses!$W$17,IF(B352&lt;=Hypothèses!$U$18,Hypothèses!$W$18,""))))))))))))</f>
        <v/>
      </c>
      <c r="Y352" s="95" t="e">
        <f t="shared" ca="1" si="536"/>
        <v>#DIV/0!</v>
      </c>
      <c r="Z352" s="101" t="e">
        <f t="shared" si="537"/>
        <v>#N/A</v>
      </c>
      <c r="AA352" s="91" t="e">
        <f t="shared" si="538"/>
        <v>#N/A</v>
      </c>
      <c r="AB352" s="30" t="e">
        <f t="shared" si="600"/>
        <v>#N/A</v>
      </c>
      <c r="AC352" s="30" t="e">
        <f t="shared" si="601"/>
        <v>#N/A</v>
      </c>
      <c r="AD352" s="31" t="e">
        <f>IF(OR(Hypothèses!$B$4=17,Hypothèses!$B$4=18,Hypothèses!$B$4=19,Hypothèses!$B$4=20),
IF($D352="Pressio.",
IF(OR($E352=3,$E352=1,$E352=4),AC352,AB352),
IF($D352="Pénétro.",
IF(OR($E352=3,$E352=1,$E352=4),AC352,AB352))),IF($D352="Pressio.",
IF($E352=3,AC352,AB352),
IF($D352="Pénétro.",
IF($E352=4,AC352,AB352))))</f>
        <v>#N/A</v>
      </c>
      <c r="AE352" s="31" t="e">
        <f>(IF(OR(Hypothèses!$B$4=17,Hypothèses!$B$4=18,Hypothèses!$B$4=19,Hypothèses!$B$4=20),
IF($D352="Pressio.",
IF(OR($E352=3,$E352=1,$E352=4),(PI()*AE$12^2)/4*(AA352*$W352*1000)/($H352*$B$5),(PI()*AE$12^2)/4*(AA352*$W352*1000)/($G352*$B$5)),
IF($D352="Pénétro.",
IF(OR($E352=4,$E352=1,$E352=5),(PI()*AE$12^2)/4*(AA352*$W352*1000)/($H352*$B$5),(PI()*AE$12^2)/4*(AA352*$W352*1000)/($G352*$B$5)))),
IF($D352="Pressio.",
IF($E352=3,(PI()*AE$12^2)/4*(AA352*$W352*1000)/($H352*$B$5),(PI()*AE$12^2)/4*(AA352*$W352*1000)/($G352*$B$5)),
IF($D352="Pénétro.",
IF($E352=4,(PI()*AE$12^2)/4*(AA352*$W352*1000)/($H352*$B$5),(PI()*AE$12^2)/4*(AA352*$W352*1000)/($G352*$B$5))))))/10</f>
        <v>#N/A</v>
      </c>
      <c r="AF352" s="102" t="e">
        <f>(VLOOKUP($B$3,'Coeff EC7'!$T$39:$X$59,2,0)*AD352+VLOOKUP($B$3,'Coeff EC7'!$T$65:$X$85,2,0)*Model0.1C!AE352)/1.1</f>
        <v>#N/A</v>
      </c>
      <c r="AG352" s="102" t="e">
        <f>(VLOOKUP($B$3,'Coeff EC7'!$T$39:$X$59,3,0)*AD352+VLOOKUP($B$3,'Coeff EC7'!$T$65:$X$85,3,0)*Model0.1C!AE352)/0.9</f>
        <v>#N/A</v>
      </c>
      <c r="AH352" s="102" t="e">
        <f t="shared" si="539"/>
        <v>#N/A</v>
      </c>
      <c r="AI352" s="102" t="e">
        <f t="shared" si="540"/>
        <v>#N/A</v>
      </c>
      <c r="AJ352" s="414" t="e">
        <f>IF(AJ351=0,0,IF(AND(AF352&gt;charge_ELS_quasi,AG352&gt;Charge_ELS_freq,AH352&gt;charge_ELU,AI352&gt;charge_ELA,$B352&gt;NDC!$H$22-0.1+MIN(3*$AJ$12,1.5)),0,1))</f>
        <v>#N/A</v>
      </c>
      <c r="AK352" s="86" t="b">
        <f t="shared" si="541"/>
        <v>0</v>
      </c>
      <c r="AL352" s="86">
        <f t="shared" si="570"/>
        <v>0.5</v>
      </c>
      <c r="AM352" s="86">
        <f t="shared" si="542"/>
        <v>0.5</v>
      </c>
      <c r="AN352" s="30" t="e">
        <f t="shared" ca="1" si="571"/>
        <v>#DIV/0!</v>
      </c>
      <c r="AO352" s="85" t="e">
        <f ca="1">IF(U352&lt;=Hypothèses!$V$7,Hypothèses!$W$7,IF(U352&lt;=Hypothèses!$V$8,Hypothèses!$W$8,IF(U352&lt;=Hypothèses!$V$9,Hypothèses!$W$9,IF(U352&lt;=Hypothèses!$V$10,Hypothèses!$W$10,IF(U352&lt;=Hypothèses!$V$11,Hypothèses!$W$11,IF(U352&lt;=Hypothèses!$V$12,Hypothèses!$W$12,IF(U352&lt;=Hypothèses!$V$13,Hypothèses!$W$13,IF(U352&lt;=Hypothèses!$V$14,Hypothèses!$W$14,IF(U352&lt;=Hypothèses!$V$15,Hypothèses!$W$15,IF(U352&lt;=Hypothèses!$V$16,Hypothèses!$W$16,IF(U352&lt;=Hypothèses!$V$17,Hypothèses!$W$17,IF(U352&lt;=Hypothèses!$V$18,Hypothèses!$W$18,""))))))))))))</f>
        <v>#DIV/0!</v>
      </c>
      <c r="AP352" s="87" t="e">
        <f t="shared" ca="1" si="617"/>
        <v>#DIV/0!</v>
      </c>
      <c r="AQ352" s="88" t="e">
        <f ca="1">IF(U352&lt;=Hypothèses!$V$7,Hypothèses!$X$7,IF(U352&lt;=Hypothèses!$V$8,Hypothèses!$X$8,IF(U352&lt;=Hypothèses!$V$9,Hypothèses!$X$9,IF(U352&lt;=Hypothèses!$V$10,Hypothèses!$X$10,IF(U352&lt;=Hypothèses!$V$11,Hypothèses!$X$11,IF(U352&lt;=Hypothèses!$V$12,Hypothèses!$X$12,IF(U352&lt;=Hypothèses!$V$13,Hypothèses!$X$13,IF(U352&lt;=Hypothèses!$V$14,Hypothèses!$X$14,IF(U352&lt;=Hypothèses!$V$15,Hypothèses!$X$15,IF(U352&lt;=Hypothèses!$V$16,Hypothèses!$X$16,IF(U352&lt;=Hypothèses!$U$17,Hypothèses!$W$17,IF(U352&lt;=Hypothèses!$U$18,Hypothèses!$W$18,""))))))))))))</f>
        <v>#DIV/0!</v>
      </c>
      <c r="AR352" s="95" t="e">
        <f t="shared" ca="1" si="572"/>
        <v>#DIV/0!</v>
      </c>
      <c r="AS352" s="101" t="e">
        <f t="shared" si="624"/>
        <v>#N/A</v>
      </c>
      <c r="AT352" s="91" t="e">
        <f t="shared" si="543"/>
        <v>#N/A</v>
      </c>
      <c r="AU352" s="30" t="e">
        <f t="shared" si="602"/>
        <v>#N/A</v>
      </c>
      <c r="AV352" s="30" t="e">
        <f t="shared" si="603"/>
        <v>#N/A</v>
      </c>
      <c r="AW352" s="31" t="e">
        <f>IF(OR(Hypothèses!$B$4=17,Hypothèses!$B$4=18,Hypothèses!$B$4=19,Hypothèses!$B$4=20),
IF($D352="Pressio.",
IF(OR($E352=3,$E352=1,$E352=4),AV352,AU352),
IF($D352="Pénétro.",
IF(OR($E352=3,$E352=1,$E352=4),AV352,AU352))),IF($D352="Pressio.",
IF($E352=3,AV352,AU352),
IF($D352="Pénétro.",
IF($E352=4,AV352,AU352))))</f>
        <v>#N/A</v>
      </c>
      <c r="AX352" s="31" t="e">
        <f>(IF(OR(Hypothèses!$B$4=17,Hypothèses!$B$4=18,Hypothèses!$B$4=19,Hypothèses!$B$4=20),
IF($D352="Pressio.",
IF(OR($E352=3,$E352=1,$E352=4),(PI()*AX$12^2)/4*(AT352*$W352*1000)/($H352*$B$5),(PI()*AX$12^2)/4*(AT352*$W352*1000)/($G352*$B$5)),
IF($D352="Pénétro.",
IF(OR($E352=4,$E352=1,$E352=5),(PI()*AX$12^2)/4*(AT352*$W352*1000)/($H352*$B$5),(PI()*AX$12^2)/4*(AT352*$W352*1000)/($G352*$B$5)))),
IF($D352="Pressio.",
IF($E352=3,(PI()*AX$12^2)/4*(AT352*$W352*1000)/($H352*$B$5),(PI()*AX$12^2)/4*(AT352*$W352*1000)/($G352*$B$5)),
IF($D352="Pénétro.",
IF($E352=4,(PI()*AX$12^2)/4*(AT352*$W352*1000)/($H352*$B$5),(PI()*AX$12^2)/4*(AT352*$W352*1000)/($G352*$B$5))))))/10</f>
        <v>#N/A</v>
      </c>
      <c r="AY352" s="102" t="e">
        <f>(VLOOKUP($B$3,'Coeff EC7'!$T$39:$X$59,2,0)*AW352+VLOOKUP($B$3,'Coeff EC7'!$T$65:$X$85,2,0)*Model0.1C!AX352)/1.1</f>
        <v>#N/A</v>
      </c>
      <c r="AZ352" s="102" t="e">
        <f>(VLOOKUP($B$3,'Coeff EC7'!$T$39:$X$59,3,0)*AW352+VLOOKUP($B$3,'Coeff EC7'!$T$65:$X$85,3,0)*Model0.1C!AX352)/0.9</f>
        <v>#N/A</v>
      </c>
      <c r="BA352" s="102" t="e">
        <f t="shared" si="573"/>
        <v>#N/A</v>
      </c>
      <c r="BB352" s="102" t="e">
        <f t="shared" si="574"/>
        <v>#N/A</v>
      </c>
      <c r="BC352" s="414" t="e">
        <f>IF(BC351=0,0,IF(AND(AY352&gt;charge_ELS_quasi,AZ352&gt;Charge_ELS_freq,BA352&gt;charge_ELU,BB352&gt;charge_ELA,$B352&gt;NDC!$H$22-0.1+MIN(3*$BC$12,1.5)),0,1))</f>
        <v>#N/A</v>
      </c>
      <c r="BD352" s="86" t="b">
        <f t="shared" si="544"/>
        <v>0</v>
      </c>
      <c r="BE352" s="86">
        <f t="shared" si="575"/>
        <v>0.5</v>
      </c>
      <c r="BF352" s="86">
        <f t="shared" si="545"/>
        <v>0.5</v>
      </c>
      <c r="BG352" s="30" t="e">
        <f t="shared" ca="1" si="576"/>
        <v>#DIV/0!</v>
      </c>
      <c r="BH352" s="85" t="e">
        <f ca="1">IF(AN352&lt;=Hypothèses!$V$7,Hypothèses!$W$7,IF(AN352&lt;=Hypothèses!$V$8,Hypothèses!$W$8,IF(AN352&lt;=Hypothèses!$V$9,Hypothèses!$W$9,IF(AN352&lt;=Hypothèses!$V$10,Hypothèses!$W$10,IF(AN352&lt;=Hypothèses!$V$11,Hypothèses!$W$11,IF(AN352&lt;=Hypothèses!$V$12,Hypothèses!$W$12,IF(AN352&lt;=Hypothèses!$V$13,Hypothèses!$W$13,IF(AN352&lt;=Hypothèses!$V$14,Hypothèses!$W$14,IF(AN352&lt;=Hypothèses!$V$15,Hypothèses!$W$15,IF(AN352&lt;=Hypothèses!$V$16,Hypothèses!$W$16,IF(AN352&lt;=Hypothèses!$V$17,Hypothèses!$W$17,IF(AN352&lt;=Hypothèses!$V$18,Hypothèses!$W$18,""))))))))))))</f>
        <v>#DIV/0!</v>
      </c>
      <c r="BI352" s="87" t="e">
        <f t="shared" ca="1" si="618"/>
        <v>#DIV/0!</v>
      </c>
      <c r="BJ352" s="88" t="e">
        <f ca="1">IF(AN352&lt;=Hypothèses!$V$7,Hypothèses!$X$7,IF(AN352&lt;=Hypothèses!$V$8,Hypothèses!$X$8,IF(AN352&lt;=Hypothèses!$V$9,Hypothèses!$X$9,IF(AN352&lt;=Hypothèses!$V$10,Hypothèses!$X$10,IF(AN352&lt;=Hypothèses!$V$11,Hypothèses!$X$11,IF(AN352&lt;=Hypothèses!$V$12,Hypothèses!$X$12,IF(AN352&lt;=Hypothèses!$V$13,Hypothèses!$X$13,IF(AN352&lt;=Hypothèses!$V$14,Hypothèses!$X$14,IF(AN352&lt;=Hypothèses!$V$15,Hypothèses!$X$15,IF(AN352&lt;=Hypothèses!$V$16,Hypothèses!$X$16,IF(AN352&lt;=Hypothèses!$U$17,Hypothèses!$W$17,IF(AN352&lt;=Hypothèses!$U$18,Hypothèses!$W$18,""))))))))))))</f>
        <v>#DIV/0!</v>
      </c>
      <c r="BK352" s="95" t="e">
        <f t="shared" ca="1" si="577"/>
        <v>#DIV/0!</v>
      </c>
      <c r="BL352" s="101" t="e">
        <f t="shared" si="625"/>
        <v>#N/A</v>
      </c>
      <c r="BM352" s="91" t="e">
        <f t="shared" si="546"/>
        <v>#N/A</v>
      </c>
      <c r="BN352" s="30" t="e">
        <f t="shared" si="604"/>
        <v>#N/A</v>
      </c>
      <c r="BO352" s="30" t="e">
        <f t="shared" si="605"/>
        <v>#N/A</v>
      </c>
      <c r="BP352" s="31" t="e">
        <f>IF(OR(Hypothèses!$B$4=17,Hypothèses!$B$4=18,Hypothèses!$B$4=19,Hypothèses!$B$4=20),
IF($D352="Pressio.",
IF(OR($E352=3,$E352=1,$E352=4),BO352,BN352),
IF($D352="Pénétro.",
IF(OR($E352=3,$E352=1,$E352=4),BO352,BN352))),IF($D352="Pressio.",
IF($E352=3,BO352,BN352),
IF($D352="Pénétro.",
IF($E352=4,BO352,BN352))))</f>
        <v>#N/A</v>
      </c>
      <c r="BQ352" s="31" t="e">
        <f>(IF(OR(Hypothèses!$B$4=17,Hypothèses!$B$4=18,Hypothèses!$B$4=19,Hypothèses!$B$4=20),
IF($D352="Pressio.",
IF(OR($E352=3,$E352=1,$E352=4),(PI()*BQ$12^2)/4*(BM352*$W352*1000)/($H352*$B$5),(PI()*BQ$12^2)/4*(BM352*$W352*1000)/($G352*$B$5)),
IF($D352="Pénétro.",
IF(OR($E352=4,$E352=1,$E352=5),(PI()*BQ$12^2)/4*(BM352*$W352*1000)/($H352*$B$5),(PI()*BQ$12^2)/4*(BM352*$W352*1000)/($G352*$B$5)))),
IF($D352="Pressio.",
IF($E352=3,(PI()*BQ$12^2)/4*(BM352*$W352*1000)/($H352*$B$5),(PI()*BQ$12^2)/4*(BM352*$W352*1000)/($G352*$B$5)),
IF($D352="Pénétro.",
IF($E352=4,(PI()*BQ$12^2)/4*(BM352*$W352*1000)/($H352*$B$5),(PI()*BQ$12^2)/4*(BM352*$W352*1000)/($G352*$B$5))))))/10</f>
        <v>#N/A</v>
      </c>
      <c r="BR352" s="102" t="e">
        <f>(VLOOKUP($B$3,'Coeff EC7'!$T$39:$X$59,2,0)*BP352+VLOOKUP($B$3,'Coeff EC7'!$T$65:$X$85,2,0)*Model0.1C!BQ352)/1.1</f>
        <v>#N/A</v>
      </c>
      <c r="BS352" s="102" t="e">
        <f>(VLOOKUP($B$3,'Coeff EC7'!$T$39:$X$59,3,0)*BP352+VLOOKUP($B$3,'Coeff EC7'!$T$65:$X$85,3,0)*Model0.1C!BQ352)/0.9</f>
        <v>#N/A</v>
      </c>
      <c r="BT352" s="102" t="e">
        <f t="shared" si="578"/>
        <v>#N/A</v>
      </c>
      <c r="BU352" s="102" t="e">
        <f t="shared" si="579"/>
        <v>#N/A</v>
      </c>
      <c r="BV352" s="414" t="e">
        <f>IF(BV351=0,0,IF(AND(BR352&gt;charge_ELS_quasi,BS352&gt;Charge_ELS_freq,BT352&gt;charge_ELU,BU352&gt;charge_ELA,$B352&gt;NDC!$H$22-0.1+MIN(3*$BV$12,1.5)),0,1))</f>
        <v>#N/A</v>
      </c>
      <c r="BW352" s="86" t="b">
        <f t="shared" si="547"/>
        <v>0</v>
      </c>
      <c r="BX352" s="86">
        <f t="shared" si="548"/>
        <v>0.5</v>
      </c>
      <c r="BY352" s="86">
        <f t="shared" si="549"/>
        <v>0.5</v>
      </c>
      <c r="BZ352" s="30" t="e">
        <f t="shared" ca="1" si="580"/>
        <v>#DIV/0!</v>
      </c>
      <c r="CA352" s="85" t="e">
        <f ca="1">IF(BG352&lt;=Hypothèses!$V$7,Hypothèses!$W$7,IF(BG352&lt;=Hypothèses!$V$8,Hypothèses!$W$8,IF(BG352&lt;=Hypothèses!$V$9,Hypothèses!$W$9,IF(BG352&lt;=Hypothèses!$V$10,Hypothèses!$W$10,IF(BG352&lt;=Hypothèses!$V$11,Hypothèses!$W$11,IF(BG352&lt;=Hypothèses!$V$12,Hypothèses!$W$12,IF(BG352&lt;=Hypothèses!$V$13,Hypothèses!$W$13,IF(BG352&lt;=Hypothèses!$V$14,Hypothèses!$W$14,IF(BG352&lt;=Hypothèses!$V$15,Hypothèses!$W$15,IF(BG352&lt;=Hypothèses!$V$16,Hypothèses!$W$16,IF(BG352&lt;=Hypothèses!$V$17,Hypothèses!$W$17,IF(BG352&lt;=Hypothèses!$V$18,Hypothèses!$W$18,""))))))))))))</f>
        <v>#DIV/0!</v>
      </c>
      <c r="CB352" s="87" t="e">
        <f t="shared" ca="1" si="619"/>
        <v>#DIV/0!</v>
      </c>
      <c r="CC352" s="88" t="e">
        <f ca="1">IF(BG352&lt;=Hypothèses!$V$7,Hypothèses!$X$7,IF(BG352&lt;=Hypothèses!$V$8,Hypothèses!$X$8,IF(BG352&lt;=Hypothèses!$V$9,Hypothèses!$X$9,IF(BG352&lt;=Hypothèses!$V$10,Hypothèses!$X$10,IF(BG352&lt;=Hypothèses!$V$11,Hypothèses!$X$11,IF(BG352&lt;=Hypothèses!$V$12,Hypothèses!$X$12,IF(BG352&lt;=Hypothèses!$V$13,Hypothèses!$X$13,IF(BG352&lt;=Hypothèses!$V$14,Hypothèses!$X$14,IF(BG352&lt;=Hypothèses!$V$15,Hypothèses!$X$15,IF(BG352&lt;=Hypothèses!$V$16,Hypothèses!$X$16,IF(BG352&lt;=Hypothèses!$U$17,Hypothèses!$W$17,IF(BG352&lt;=Hypothèses!$U$18,Hypothèses!$W$18,""))))))))))))</f>
        <v>#DIV/0!</v>
      </c>
      <c r="CD352" s="95" t="e">
        <f t="shared" ca="1" si="581"/>
        <v>#DIV/0!</v>
      </c>
      <c r="CE352" s="101" t="e">
        <f t="shared" si="626"/>
        <v>#N/A</v>
      </c>
      <c r="CF352" s="91" t="e">
        <f t="shared" si="550"/>
        <v>#N/A</v>
      </c>
      <c r="CG352" s="30" t="e">
        <f t="shared" si="606"/>
        <v>#N/A</v>
      </c>
      <c r="CH352" s="30" t="e">
        <f t="shared" si="607"/>
        <v>#N/A</v>
      </c>
      <c r="CI352" s="31" t="e">
        <f>IF(OR(Hypothèses!$B$4=17,Hypothèses!$B$4=18,Hypothèses!$B$4=19,Hypothèses!$B$4=20),
IF($D352="Pressio.",
IF(OR($E352=3,$E352=1,$E352=4),CH352,CG352),
IF($D352="Pénétro.",
IF(OR($E352=3,$E352=1,$E352=4),CH352,CG352))),IF($D352="Pressio.",
IF($E352=3,CH352,CG352),
IF($D352="Pénétro.",
IF($E352=4,CH352,CG352))))</f>
        <v>#N/A</v>
      </c>
      <c r="CJ352" s="31" t="e">
        <f>(IF(OR(Hypothèses!$B$4=17,Hypothèses!$B$4=18,Hypothèses!$B$4=19,Hypothèses!$B$4=20),
IF($D352="Pressio.",
IF(OR($E352=3,$E352=1,$E352=4),(PI()*CJ$12^2)/4*(CF352*$W352*1000)/($H352*$B$5),(PI()*CJ$12^2)/4*(CF352*$W352*1000)/($G352*$B$5)),
IF($D352="Pénétro.",
IF(OR($E352=4,$E352=1,$E352=5),(PI()*CJ$12^2)/4*(CF352*$W352*1000)/($H352*$B$5),(PI()*CJ$12^2)/4*(CF352*$W352*1000)/($G352*$B$5)))),
IF($D352="Pressio.",
IF($E352=3,(PI()*CJ$12^2)/4*(CF352*$W352*1000)/($H352*$B$5),(PI()*CJ$12^2)/4*(CF352*$W352*1000)/($G352*$B$5)),
IF($D352="Pénétro.",
IF($E352=4,(PI()*CJ$12^2)/4*(CF352*$W352*1000)/($H352*$B$5),(PI()*CJ$12^2)/4*(CF352*$W352*1000)/($G352*$B$5))))))/10</f>
        <v>#N/A</v>
      </c>
      <c r="CK352" s="102" t="e">
        <f>(VLOOKUP($B$3,'Coeff EC7'!$T$39:$X$59,2,0)*CI352+VLOOKUP($B$3,'Coeff EC7'!$T$65:$X$85,2,0)*Model0.1C!CJ352)/1.1</f>
        <v>#N/A</v>
      </c>
      <c r="CL352" s="102" t="e">
        <f>(VLOOKUP($B$3,'Coeff EC7'!$T$39:$X$59,3,0)*CI352+VLOOKUP($B$3,'Coeff EC7'!$T$65:$X$85,3,0)*Model0.1C!CJ352)/0.9</f>
        <v>#N/A</v>
      </c>
      <c r="CM352" s="102" t="e">
        <f t="shared" si="582"/>
        <v>#N/A</v>
      </c>
      <c r="CN352" s="102" t="e">
        <f t="shared" si="583"/>
        <v>#N/A</v>
      </c>
      <c r="CO352" s="414" t="e">
        <f>IF(CO351=0,0,IF(AND(CK352&gt;charge_ELS_quasi,CL352&gt;Charge_ELS_freq,CM352&gt;charge_ELU,CN352&gt;charge_ELA,$B352&gt;NDC!$H$22-0.1+MIN(3*$CO$12,1.5)),0,1))</f>
        <v>#N/A</v>
      </c>
      <c r="CP352" s="86" t="b">
        <f t="shared" si="551"/>
        <v>0</v>
      </c>
      <c r="CQ352" s="86">
        <f t="shared" si="552"/>
        <v>0.5</v>
      </c>
      <c r="CR352" s="86">
        <f t="shared" si="553"/>
        <v>0.5</v>
      </c>
      <c r="CS352" s="30" t="e">
        <f t="shared" ca="1" si="584"/>
        <v>#DIV/0!</v>
      </c>
      <c r="CT352" s="85" t="e">
        <f ca="1">IF(BZ352&lt;=Hypothèses!$V$7,Hypothèses!$W$7,IF(BZ352&lt;=Hypothèses!$V$8,Hypothèses!$W$8,IF(BZ352&lt;=Hypothèses!$V$9,Hypothèses!$W$9,IF(BZ352&lt;=Hypothèses!$V$10,Hypothèses!$W$10,IF(BZ352&lt;=Hypothèses!$V$11,Hypothèses!$W$11,IF(BZ352&lt;=Hypothèses!$V$12,Hypothèses!$W$12,IF(BZ352&lt;=Hypothèses!$V$13,Hypothèses!$W$13,IF(BZ352&lt;=Hypothèses!$V$14,Hypothèses!$W$14,IF(BZ352&lt;=Hypothèses!$V$15,Hypothèses!$W$15,IF(BZ352&lt;=Hypothèses!$V$16,Hypothèses!$W$16,IF(BZ352&lt;=Hypothèses!$V$17,Hypothèses!$W$17,IF(BZ352&lt;=Hypothèses!$V$18,Hypothèses!$W$18,""))))))))))))</f>
        <v>#DIV/0!</v>
      </c>
      <c r="CU352" s="87" t="e">
        <f t="shared" ca="1" si="620"/>
        <v>#DIV/0!</v>
      </c>
      <c r="CV352" s="88" t="e">
        <f ca="1">IF(BZ352&lt;=Hypothèses!$V$7,Hypothèses!$X$7,IF(BZ352&lt;=Hypothèses!$V$8,Hypothèses!$X$8,IF(BZ352&lt;=Hypothèses!$V$9,Hypothèses!$X$9,IF(BZ352&lt;=Hypothèses!$V$10,Hypothèses!$X$10,IF(BZ352&lt;=Hypothèses!$V$11,Hypothèses!$X$11,IF(BZ352&lt;=Hypothèses!$V$12,Hypothèses!$X$12,IF(BZ352&lt;=Hypothèses!$V$13,Hypothèses!$X$13,IF(BZ352&lt;=Hypothèses!$V$14,Hypothèses!$X$14,IF(BZ352&lt;=Hypothèses!$V$15,Hypothèses!$X$15,IF(BZ352&lt;=Hypothèses!$V$16,Hypothèses!$X$16,IF(BZ352&lt;=Hypothèses!$U$17,Hypothèses!$W$17,IF(BZ352&lt;=Hypothèses!$U$18,Hypothèses!$W$18,""))))))))))))</f>
        <v>#DIV/0!</v>
      </c>
      <c r="CW352" s="95" t="e">
        <f t="shared" ca="1" si="585"/>
        <v>#DIV/0!</v>
      </c>
      <c r="CX352" s="101" t="e">
        <f t="shared" si="627"/>
        <v>#N/A</v>
      </c>
      <c r="CY352" s="91" t="e">
        <f t="shared" si="554"/>
        <v>#N/A</v>
      </c>
      <c r="CZ352" s="30" t="e">
        <f t="shared" si="608"/>
        <v>#N/A</v>
      </c>
      <c r="DA352" s="30" t="e">
        <f t="shared" si="609"/>
        <v>#N/A</v>
      </c>
      <c r="DB352" s="31" t="e">
        <f>IF(OR(Hypothèses!$B$4=17,Hypothèses!$B$4=18,Hypothèses!$B$4=19,Hypothèses!$B$4=20),
IF($D352="Pressio.",
IF(OR($E352=3,$E352=1,$E352=4),DA352,CZ352),
IF($D352="Pénétro.",
IF(OR($E352=3,$E352=1,$E352=4),DA352,CZ352))),IF($D352="Pressio.",
IF($E352=3,DA352,CZ352),
IF($D352="Pénétro.",
IF($E352=4,DA352,CZ352))))</f>
        <v>#N/A</v>
      </c>
      <c r="DC352" s="31" t="e">
        <f>(IF(OR(Hypothèses!$B$4=17,Hypothèses!$B$4=18,Hypothèses!$B$4=19,Hypothèses!$B$4=20),
IF($D352="Pressio.",
IF(OR($E352=3,$E352=1,$E352=4),(PI()*DC$12^2)/4*(CY352*$W352*1000)/($H352*$B$5),(PI()*DC$12^2)/4*(CY352*$W352*1000)/($G352*$B$5)),
IF($D352="Pénétro.",
IF(OR($E352=4,$E352=1,$E352=5),(PI()*DC$12^2)/4*(CY352*$W352*1000)/($H352*$B$5),(PI()*DC$12^2)/4*(CY352*$W352*1000)/($G352*$B$5)))),
IF($D352="Pressio.",
IF($E352=3,(PI()*DC$12^2)/4*(CY352*$W352*1000)/($H352*$B$5),(PI()*DC$12^2)/4*(CY352*$W352*1000)/($G352*$B$5)),
IF($D352="Pénétro.",
IF($E352=4,(PI()*DC$12^2)/4*(CY352*$W352*1000)/($H352*$B$5),(PI()*DC$12^2)/4*(CY352*$W352*1000)/($G352*$B$5))))))/10</f>
        <v>#N/A</v>
      </c>
      <c r="DD352" s="102" t="e">
        <f>(VLOOKUP($B$3,'Coeff EC7'!$T$39:$X$59,2,0)*DB352+VLOOKUP($B$3,'Coeff EC7'!$T$65:$X$85,2,0)*Model0.1C!DC352)/1.1</f>
        <v>#N/A</v>
      </c>
      <c r="DE352" s="102" t="e">
        <f>(VLOOKUP($B$3,'Coeff EC7'!$T$39:$X$59,3,0)*DB352+VLOOKUP($B$3,'Coeff EC7'!$T$65:$X$85,3,0)*Model0.1C!DC352)/0.9</f>
        <v>#N/A</v>
      </c>
      <c r="DF352" s="102" t="e">
        <f t="shared" si="586"/>
        <v>#N/A</v>
      </c>
      <c r="DG352" s="102" t="e">
        <f t="shared" si="587"/>
        <v>#N/A</v>
      </c>
      <c r="DH352" s="414" t="e">
        <f>IF(DH351=0,0,IF(AND(DD352&gt;charge_ELS_quasi,DE352&gt;Charge_ELS_freq,DF352&gt;charge_ELU,DG352&gt;charge_ELA,$B352&gt;NDC!$H$22-0.1+MIN(3*$DH$12,1.5)),0,1))</f>
        <v>#N/A</v>
      </c>
      <c r="DI352" s="86" t="b">
        <f t="shared" si="555"/>
        <v>0</v>
      </c>
      <c r="DJ352" s="86">
        <f t="shared" si="556"/>
        <v>0.5</v>
      </c>
      <c r="DK352" s="86">
        <f t="shared" si="557"/>
        <v>0.5</v>
      </c>
      <c r="DL352" s="30" t="e">
        <f t="shared" ca="1" si="588"/>
        <v>#DIV/0!</v>
      </c>
      <c r="DM352" s="85" t="e">
        <f ca="1">IF(CS352&lt;=Hypothèses!$V$7,Hypothèses!$W$7,IF(CS352&lt;=Hypothèses!$V$8,Hypothèses!$W$8,IF(CS352&lt;=Hypothèses!$V$9,Hypothèses!$W$9,IF(CS352&lt;=Hypothèses!$V$10,Hypothèses!$W$10,IF(CS352&lt;=Hypothèses!$V$11,Hypothèses!$W$11,IF(CS352&lt;=Hypothèses!$V$12,Hypothèses!$W$12,IF(CS352&lt;=Hypothèses!$V$13,Hypothèses!$W$13,IF(CS352&lt;=Hypothèses!$V$14,Hypothèses!$W$14,IF(CS352&lt;=Hypothèses!$V$15,Hypothèses!$W$15,IF(CS352&lt;=Hypothèses!$V$16,Hypothèses!$W$16,IF(CS352&lt;=Hypothèses!$V$17,Hypothèses!$W$17,IF(CS352&lt;=Hypothèses!$V$18,Hypothèses!$W$18,""))))))))))))</f>
        <v>#DIV/0!</v>
      </c>
      <c r="DN352" s="87" t="e">
        <f t="shared" ca="1" si="621"/>
        <v>#DIV/0!</v>
      </c>
      <c r="DO352" s="88" t="e">
        <f ca="1">IF(CS352&lt;=Hypothèses!$V$7,Hypothèses!$X$7,IF(CS352&lt;=Hypothèses!$V$8,Hypothèses!$X$8,IF(CS352&lt;=Hypothèses!$V$9,Hypothèses!$X$9,IF(CS352&lt;=Hypothèses!$V$10,Hypothèses!$X$10,IF(CS352&lt;=Hypothèses!$V$11,Hypothèses!$X$11,IF(CS352&lt;=Hypothèses!$V$12,Hypothèses!$X$12,IF(CS352&lt;=Hypothèses!$V$13,Hypothèses!$X$13,IF(CS352&lt;=Hypothèses!$V$14,Hypothèses!$X$14,IF(CS352&lt;=Hypothèses!$V$15,Hypothèses!$X$15,IF(CS352&lt;=Hypothèses!$V$16,Hypothèses!$X$16,IF(CS352&lt;=Hypothèses!$U$17,Hypothèses!$W$17,IF(CS352&lt;=Hypothèses!$U$18,Hypothèses!$W$18,""))))))))))))</f>
        <v>#DIV/0!</v>
      </c>
      <c r="DP352" s="95" t="e">
        <f t="shared" ca="1" si="589"/>
        <v>#DIV/0!</v>
      </c>
      <c r="DQ352" s="101" t="e">
        <f t="shared" si="628"/>
        <v>#N/A</v>
      </c>
      <c r="DR352" s="91" t="e">
        <f t="shared" si="558"/>
        <v>#N/A</v>
      </c>
      <c r="DS352" s="30" t="e">
        <f t="shared" si="610"/>
        <v>#N/A</v>
      </c>
      <c r="DT352" s="30" t="e">
        <f t="shared" si="611"/>
        <v>#N/A</v>
      </c>
      <c r="DU352" s="31" t="e">
        <f>IF(OR(Hypothèses!$B$4=17,Hypothèses!$B$4=18,Hypothèses!$B$4=19,Hypothèses!$B$4=20),
IF($D352="Pressio.",
IF(OR($E352=3,$E352=1,$E352=4),DT352,DS352),
IF($D352="Pénétro.",
IF(OR($E352=3,$E352=1,$E352=4),DT352,DS352))),IF($D352="Pressio.",
IF($E352=3,DT352,DS352),
IF($D352="Pénétro.",
IF($E352=4,DT352,DS352))))</f>
        <v>#N/A</v>
      </c>
      <c r="DV352" s="31" t="e">
        <f>(IF(OR(Hypothèses!$B$4=17,Hypothèses!$B$4=18,Hypothèses!$B$4=19,Hypothèses!$B$4=20),
IF($D352="Pressio.",
IF(OR($E352=3,$E352=1,$E352=4),(PI()*DV$12^2)/4*(DR352*$W352*1000)/($H352*$B$5),(PI()*DV$12^2)/4*(DR352*$W352*1000)/($G352*$B$5)),
IF($D352="Pénétro.",
IF(OR($E352=4,$E352=1,$E352=5),(PI()*DV$12^2)/4*(DR352*$W352*1000)/($H352*$B$5),(PI()*DV$12^2)/4*(DR352*$W352*1000)/($G352*$B$5)))),
IF($D352="Pressio.",
IF($E352=3,(PI()*DV$12^2)/4*(DR352*$W352*1000)/($H352*$B$5),(PI()*DV$12^2)/4*(DR352*$W352*1000)/($G352*$B$5)),
IF($D352="Pénétro.",
IF($E352=4,(PI()*DV$12^2)/4*(DR352*$W352*1000)/($H352*$B$5),(PI()*DV$12^2)/4*(DR352*$W352*1000)/($G352*$B$5))))))/10</f>
        <v>#N/A</v>
      </c>
      <c r="DW352" s="102" t="e">
        <f>(VLOOKUP($B$3,'Coeff EC7'!$T$39:$X$59,2,0)*DU352+VLOOKUP($B$3,'Coeff EC7'!$T$65:$X$85,2,0)*Model0.1C!DV352)/1.1</f>
        <v>#N/A</v>
      </c>
      <c r="DX352" s="102" t="e">
        <f>(VLOOKUP($B$3,'Coeff EC7'!$T$39:$X$59,3,0)*DU352+VLOOKUP($B$3,'Coeff EC7'!$T$65:$X$85,3,0)*Model0.1C!DV352)/0.9</f>
        <v>#N/A</v>
      </c>
      <c r="DY352" s="102" t="e">
        <f t="shared" si="590"/>
        <v>#N/A</v>
      </c>
      <c r="DZ352" s="102" t="e">
        <f t="shared" si="591"/>
        <v>#N/A</v>
      </c>
      <c r="EA352" s="414" t="e">
        <f>IF(EA351=0,0,IF(AND(DW352&gt;charge_ELS_quasi,DX352&gt;Charge_ELS_freq,DY352&gt;charge_ELU,DZ352&gt;charge_ELA,$B352&gt;NDC!$H$22-0.1+MIN(3*$EA$12,1.5)),0,1))</f>
        <v>#N/A</v>
      </c>
      <c r="EB352" s="86" t="b">
        <f t="shared" si="559"/>
        <v>0</v>
      </c>
      <c r="EC352" s="418">
        <f t="shared" si="560"/>
        <v>0.51</v>
      </c>
      <c r="ED352" s="86">
        <f t="shared" si="561"/>
        <v>0.51</v>
      </c>
      <c r="EE352" s="30" t="e">
        <f t="shared" ca="1" si="592"/>
        <v>#DIV/0!</v>
      </c>
      <c r="EF352" s="85" t="e">
        <f ca="1">IF(DL352&lt;=Hypothèses!$V$7,Hypothèses!$W$7,IF(DL352&lt;=Hypothèses!$V$8,Hypothèses!$W$8,IF(DL352&lt;=Hypothèses!$V$9,Hypothèses!$W$9,IF(DL352&lt;=Hypothèses!$V$10,Hypothèses!$W$10,IF(DL352&lt;=Hypothèses!$V$11,Hypothèses!$W$11,IF(DL352&lt;=Hypothèses!$V$12,Hypothèses!$W$12,IF(DL352&lt;=Hypothèses!$V$13,Hypothèses!$W$13,IF(DL352&lt;=Hypothèses!$V$14,Hypothèses!$W$14,IF(DL352&lt;=Hypothèses!$V$15,Hypothèses!$W$15,IF(DL352&lt;=Hypothèses!$V$16,Hypothèses!$W$16,IF(DL352&lt;=Hypothèses!$V$17,Hypothèses!$W$17,IF(DL352&lt;=Hypothèses!$V$18,Hypothèses!$W$18,""))))))))))))</f>
        <v>#DIV/0!</v>
      </c>
      <c r="EG352" s="87" t="e">
        <f t="shared" ca="1" si="622"/>
        <v>#DIV/0!</v>
      </c>
      <c r="EH352" s="88" t="e">
        <f ca="1">IF(DL352&lt;=Hypothèses!$V$7,Hypothèses!$X$7,IF(DL352&lt;=Hypothèses!$V$8,Hypothèses!$X$8,IF(DL352&lt;=Hypothèses!$V$9,Hypothèses!$X$9,IF(DL352&lt;=Hypothèses!$V$10,Hypothèses!$X$10,IF(DL352&lt;=Hypothèses!$V$11,Hypothèses!$X$11,IF(DL352&lt;=Hypothèses!$V$12,Hypothèses!$X$12,IF(DL352&lt;=Hypothèses!$V$13,Hypothèses!$X$13,IF(DL352&lt;=Hypothèses!$V$14,Hypothèses!$X$14,IF(DL352&lt;=Hypothèses!$V$15,Hypothèses!$X$15,IF(DL352&lt;=Hypothèses!$V$16,Hypothèses!$X$16,IF(DL352&lt;=Hypothèses!$U$17,Hypothèses!$W$17,IF(DL352&lt;=Hypothèses!$U$18,Hypothèses!$W$18,""))))))))))))</f>
        <v>#DIV/0!</v>
      </c>
      <c r="EI352" s="95" t="e">
        <f t="shared" ca="1" si="593"/>
        <v>#DIV/0!</v>
      </c>
      <c r="EJ352" s="101" t="e">
        <f t="shared" si="629"/>
        <v>#N/A</v>
      </c>
      <c r="EK352" s="91" t="e">
        <f t="shared" si="562"/>
        <v>#N/A</v>
      </c>
      <c r="EL352" s="30" t="e">
        <f t="shared" si="612"/>
        <v>#N/A</v>
      </c>
      <c r="EM352" s="30" t="e">
        <f t="shared" si="613"/>
        <v>#N/A</v>
      </c>
      <c r="EN352" s="31" t="e">
        <f>IF(OR(Hypothèses!$B$4=17,Hypothèses!$B$4=18,Hypothèses!$B$4=19,Hypothèses!$B$4=20),
IF($D352="Pressio.",
IF(OR($E352=3,$E352=1,$E352=4),EM352,EL352),
IF($D352="Pénétro.",
IF(OR($E352=3,$E352=1,$E352=4),EM352,EL352))),IF($D352="Pressio.",
IF($E352=3,EM352,EL352),
IF($D352="Pénétro.",
IF($E352=4,EM352,EL352))))</f>
        <v>#N/A</v>
      </c>
      <c r="EO352" s="31" t="e">
        <f>(IF(OR(Hypothèses!$B$4=17,Hypothèses!$B$4=18,Hypothèses!$B$4=19,Hypothèses!$B$4=20),
IF($D352="Pressio.",
IF(OR($E352=3,$E352=1,$E352=4),(PI()*EO$12^2)/4*(EK352*$W352*1000)/($H352*$B$5),(PI()*EO$12^2)/4*(EK352*$W352*1000)/($G352*$B$5)),
IF($D352="Pénétro.",
IF(OR($E352=4,$E352=1,$E352=5),(PI()*EO$12^2)/4*(EK352*$W352*1000)/($H352*$B$5),(PI()*EO$12^2)/4*(EK352*$W352*1000)/($G352*$B$5)))),
IF($D352="Pressio.",
IF($E352=3,(PI()*EO$12^2)/4*(EK352*$W352*1000)/($H352*$B$5),(PI()*EO$12^2)/4*(EK352*$W352*1000)/($G352*$B$5)),
IF($D352="Pénétro.",
IF($E352=4,(PI()*EO$12^2)/4*(EK352*$W352*1000)/($H352*$B$5),(PI()*EO$12^2)/4*(EK352*$W352*1000)/($G352*$B$5))))))/10</f>
        <v>#N/A</v>
      </c>
      <c r="EP352" s="102" t="e">
        <f>(VLOOKUP($B$3,'Coeff EC7'!$T$39:$X$59,2,0)*EN352+VLOOKUP($B$3,'Coeff EC7'!$T$65:$X$85,2,0)*Model0.1C!EO352)/1.1</f>
        <v>#N/A</v>
      </c>
      <c r="EQ352" s="102" t="e">
        <f>(VLOOKUP($B$3,'Coeff EC7'!$T$39:$X$59,3,0)*EN352+VLOOKUP($B$3,'Coeff EC7'!$T$65:$X$85,3,0)*Model0.1C!EO352)/0.9</f>
        <v>#N/A</v>
      </c>
      <c r="ER352" s="102" t="e">
        <f t="shared" si="594"/>
        <v>#N/A</v>
      </c>
      <c r="ES352" s="102" t="e">
        <f t="shared" si="595"/>
        <v>#N/A</v>
      </c>
      <c r="ET352" s="414" t="e">
        <f>IF(ET351=0,0,IF(AND(EP352&gt;charge_ELS_quasi,EQ352&gt;Charge_ELS_freq,ER352&gt;charge_ELU,ES352&gt;charge_ELA,$B352&gt;NDC!$H$22-0.1+MIN(3*$ET$12,1.5)),0,1))</f>
        <v>#N/A</v>
      </c>
      <c r="EU352" s="86" t="b">
        <f t="shared" si="563"/>
        <v>0</v>
      </c>
      <c r="EV352" s="86">
        <f t="shared" si="564"/>
        <v>0.61</v>
      </c>
      <c r="EW352" s="86">
        <f t="shared" si="565"/>
        <v>0.61</v>
      </c>
      <c r="EX352" s="30" t="e">
        <f t="shared" ca="1" si="596"/>
        <v>#DIV/0!</v>
      </c>
      <c r="EY352" s="85" t="e">
        <f ca="1">IF(EE352&lt;=Hypothèses!$V$7,Hypothèses!$W$7,IF(EE352&lt;=Hypothèses!$V$8,Hypothèses!$W$8,IF(EE352&lt;=Hypothèses!$V$9,Hypothèses!$W$9,IF(EE352&lt;=Hypothèses!$V$10,Hypothèses!$W$10,IF(EE352&lt;=Hypothèses!$V$11,Hypothèses!$W$11,IF(EE352&lt;=Hypothèses!$V$12,Hypothèses!$W$12,IF(EE352&lt;=Hypothèses!$V$13,Hypothèses!$W$13,IF(EE352&lt;=Hypothèses!$V$14,Hypothèses!$W$14,IF(EE352&lt;=Hypothèses!$V$15,Hypothèses!$W$15,IF(EE352&lt;=Hypothèses!$V$16,Hypothèses!$W$16,IF(EE352&lt;=Hypothèses!$V$17,Hypothèses!$W$17,IF(EE352&lt;=Hypothèses!$V$18,Hypothèses!$W$18,""))))))))))))</f>
        <v>#DIV/0!</v>
      </c>
      <c r="EZ352" s="87" t="e">
        <f t="shared" ca="1" si="623"/>
        <v>#DIV/0!</v>
      </c>
      <c r="FA352" s="88" t="e">
        <f ca="1">IF(EE352&lt;=Hypothèses!$V$7,Hypothèses!$X$7,IF(EE352&lt;=Hypothèses!$V$8,Hypothèses!$X$8,IF(EE352&lt;=Hypothèses!$V$9,Hypothèses!$X$9,IF(EE352&lt;=Hypothèses!$V$10,Hypothèses!$X$10,IF(EE352&lt;=Hypothèses!$V$11,Hypothèses!$X$11,IF(EE352&lt;=Hypothèses!$V$12,Hypothèses!$X$12,IF(EE352&lt;=Hypothèses!$V$13,Hypothèses!$X$13,IF(EE352&lt;=Hypothèses!$V$14,Hypothèses!$X$14,IF(EE352&lt;=Hypothèses!$V$15,Hypothèses!$X$15,IF(EE352&lt;=Hypothèses!$V$16,Hypothèses!$X$16,IF(EE352&lt;=Hypothèses!$U$17,Hypothèses!$W$17,IF(EE352&lt;=Hypothèses!$U$18,Hypothèses!$W$18,""))))))))))))</f>
        <v>#DIV/0!</v>
      </c>
      <c r="FB352" s="95" t="e">
        <f t="shared" ca="1" si="597"/>
        <v>#DIV/0!</v>
      </c>
      <c r="FC352" s="101" t="e">
        <f t="shared" si="630"/>
        <v>#N/A</v>
      </c>
      <c r="FD352" s="91" t="e">
        <f t="shared" si="566"/>
        <v>#N/A</v>
      </c>
      <c r="FE352" s="30" t="e">
        <f t="shared" si="614"/>
        <v>#N/A</v>
      </c>
      <c r="FF352" s="30" t="e">
        <f t="shared" si="615"/>
        <v>#N/A</v>
      </c>
      <c r="FG352" s="31" t="e">
        <f>IF(OR(Hypothèses!$B$4=17,Hypothèses!$B$4=18,Hypothèses!$B$4=19,Hypothèses!$B$4=20),
IF($D352="Pressio.",
IF(OR($E352=3,$E352=1,$E352=4),FF352,FE352),
IF($D352="Pénétro.",
IF(OR($E352=3,$E352=1,$E352=4),FF352,FE352))),IF($D352="Pressio.",
IF($E352=3,FF352,FE352),
IF($D352="Pénétro.",
IF($E352=4,FF352,FE352))))</f>
        <v>#N/A</v>
      </c>
      <c r="FH352" s="31" t="e">
        <f>(IF(OR(Hypothèses!$B$4=17,Hypothèses!$B$4=18,Hypothèses!$B$4=19,Hypothèses!$B$4=20),
IF($D352="Pressio.",
IF(OR($E352=3,$E352=1,$E352=4),(PI()*FH$12^2)/4*(FD352*$W352*1000)/($H352*$B$5),(PI()*FH$12^2)/4*(FD352*$W352*1000)/($G352*$B$5)),
IF($D352="Pénétro.",
IF(OR($E352=4,$E352=1,$E352=5),(PI()*FH$12^2)/4*(FD352*$W352*1000)/($H352*$B$5),(PI()*FH$12^2)/4*(FD352*$W352*1000)/($G352*$B$5)))),
IF($D352="Pressio.",
IF($E352=3,(PI()*FH$12^2)/4*(FD352*$W352*1000)/($H352*$B$5),(PI()*FH$12^2)/4*(FD352*$W352*1000)/($G352*$B$5)),
IF($D352="Pénétro.",
IF($E352=4,(PI()*FH$12^2)/4*(FD352*$W352*1000)/($H352*$B$5),(PI()*FH$12^2)/4*(FD352*$W352*1000)/($G352*$B$5))))))/10</f>
        <v>#N/A</v>
      </c>
      <c r="FI352" s="102" t="e">
        <f>(VLOOKUP($B$3,'Coeff EC7'!$T$39:$X$59,2,0)*FG352+VLOOKUP($B$3,'Coeff EC7'!$T$65:$X$85,2,0)*Model0.1C!FH352)/1.1</f>
        <v>#N/A</v>
      </c>
      <c r="FJ352" s="102" t="e">
        <f>(VLOOKUP($B$3,'Coeff EC7'!$T$39:$X$59,3,0)*FG352+VLOOKUP($B$3,'Coeff EC7'!$T$65:$X$85,3,0)*Model0.1C!FH352)/0.9</f>
        <v>#N/A</v>
      </c>
      <c r="FK352" s="102" t="e">
        <f t="shared" si="598"/>
        <v>#N/A</v>
      </c>
      <c r="FL352" s="102" t="e">
        <f t="shared" si="599"/>
        <v>#N/A</v>
      </c>
      <c r="FM352" s="414" t="e">
        <f>IF(FM351=0,0,IF(AND(FI352&gt;charge_ELS_quasi,FJ352&gt;Charge_ELS_freq,FK352&gt;charge_ELU,FL352&gt;charge_ELA,$B352&gt;NDC!$H$22-0.1+MIN(3*$FM$12,1.5)),0,1))</f>
        <v>#N/A</v>
      </c>
    </row>
    <row r="353" spans="1:169">
      <c r="A353" s="96">
        <f t="shared" si="567"/>
        <v>66.000000000001933</v>
      </c>
      <c r="B353" s="97">
        <v>34</v>
      </c>
      <c r="C353" s="81">
        <f>IF(B353&lt;=Hypothèses!$C$7,Hypothèses!$A$7,IF(B353&lt;=Hypothèses!$C$8,Hypothèses!$A$8,IF(B353&lt;=Hypothèses!$C$9,Hypothèses!$A$9,IF(B353&lt;=Hypothèses!$C$10,Hypothèses!$A$10,IF(B353&lt;=Hypothèses!$C$11,Hypothèses!$A$11,IF(B353&lt;=Hypothèses!$C$12,Hypothèses!$A$12,IF(B353&lt;=Hypothèses!$C$13,Hypothèses!$A$13,IF(B353&lt;=Hypothèses!$C$14,Hypothèses!$A$14,IF(B353&lt;=Hypothèses!$C$15,Hypothèses!$A$15,IF(B353&lt;=Hypothèses!$C$16,Hypothèses!$A$16,IF(B353&lt;=Hypothèses!$C$17,Hypothèses!$A$17,IF(B353&lt;=Hypothèses!$C$18,Hypothèses!$A$18,C352))))))))))))</f>
        <v>11</v>
      </c>
      <c r="D353" s="82" t="str">
        <f>IF(B353&lt;=Hypothèses!$C$7,Hypothèses!$R$7,IF(B353&lt;=Hypothèses!$C$8,Hypothèses!$R$8,IF(B353&lt;=Hypothèses!$C$9,Hypothèses!$R$9,IF(B353&lt;=Hypothèses!$C$10,Hypothèses!$R$10,IF(B353&lt;=Hypothèses!$C$11,Hypothèses!$R$11,IF(B353&lt;=Hypothèses!$C$12,Hypothèses!$R$12,IF(B353&lt;=Hypothèses!$C$13,Hypothèses!$R$13,IF(B353&lt;=Hypothèses!$C$14,Hypothèses!$R$14,IF(B353&lt;=Hypothèses!$C$15,Hypothèses!$R$15,IF(B353&lt;=Hypothèses!$C$16,Hypothèses!$R$16,IF(B353&lt;=Hypothèses!$C$17,Hypothèses!$R$17,IF(B353&lt;=Hypothèses!$C$18,Hypothèses!$R$18,D352))))))))))))</f>
        <v>Pressio.</v>
      </c>
      <c r="E353" s="82" t="e">
        <f>IF(B353&lt;=Hypothèses!$C$7,Hypothèses!$G$7,IF(B353&lt;=Hypothèses!$C$8,Hypothèses!$G$8,IF(B353&lt;=Hypothèses!$C$9,Hypothèses!$G$9,IF(B353&lt;=Hypothèses!$C$10,Hypothèses!$G$10,IF(B353&lt;=Hypothèses!$C$11,Hypothèses!$G$11,IF(B353&lt;=Hypothèses!$C$12,Hypothèses!$G$12,IF(B353&lt;=Hypothèses!$C$13,Hypothèses!$G$13,IF(B353&lt;=Hypothèses!$C$14,Hypothèses!$G$14,IF(B353&lt;=Hypothèses!$C$15,Hypothèses!$G$15,IF(B353&lt;=Hypothèses!$C$16,Hypothèses!$G$16,IF(B353&lt;=Hypothèses!$C$17,Hypothèses!$G$17,IF(B353&lt;=Hypothèses!$C$18,Hypothèses!$G$18,E352))))))))))))</f>
        <v>#N/A</v>
      </c>
      <c r="F353" s="82" t="str">
        <f>IF(B353&lt;=Hypothèses!$C$7,Hypothèses!$F$7,IF(B353&lt;=Hypothèses!$C$8,Hypothèses!$F$8,IF(B353&lt;=Hypothèses!$C$9,Hypothèses!$F$9,IF(B353&lt;=Hypothèses!$C$10,Hypothèses!$F$10,IF(B353&lt;=Hypothèses!$C$11,Hypothèses!$F$11,IF(B353&lt;=Hypothèses!$C$12,Hypothèses!$F$12,IF(B353&lt;=Hypothèses!$C$13,Hypothèses!$F$13,IF(B353&lt;=Hypothèses!$C$14,Hypothèses!$F$14,IF(B353&lt;=Hypothèses!$C$15,Hypothèses!$F$15,IF(B353&lt;=Hypothèses!$C$16,Hypothèses!$F$16,IF(B353&lt;=Hypothèses!$C$17,Hypothèses!$F$17,IF(B353&lt;=Hypothèses!$C$18,Hypothèses!$F$18,F352))))))))))))</f>
        <v/>
      </c>
      <c r="G353" s="91">
        <f t="array" ref="G353">INDEX('Coeff EC7'!$U$7:$X$27,
MATCH(Model0.1C!$B$3,'Coeff EC7'!$T$7:$T$27,0),
MATCH(Model0.1C!$D353&amp;Model0.1C!$B$4,
'Coeff EC7'!$U$6:$X$6&amp;
'Coeff EC7'!$U$5:$X$5,0))</f>
        <v>1.1499999999999999</v>
      </c>
      <c r="H353" s="91">
        <f t="array" ref="H353">INDEX('Coeff EC7'!$Y$7:$AB$27,
MATCH(Model0.1C!$B$3,'Coeff EC7'!$T$7:$T$27,0),
MATCH(Model0.1C!$D353&amp;Model0.1C!$B$4,
'Coeff EC7'!$Y$6:$AB$6&amp;
'Coeff EC7'!$Y$5:$AB$5,0))</f>
        <v>1.4</v>
      </c>
      <c r="I353" s="83" t="e">
        <f>IF(B353&lt;=Hypothèses!$C$7,Hypothèses!$P$7,IF(B353&lt;=Hypothèses!$C$8,Hypothèses!$P$8,IF(B353&lt;=Hypothèses!$C$9,Hypothèses!$P$9,IF(B353&lt;=Hypothèses!$C$10,Hypothèses!$P$10,IF(B353&lt;=Hypothèses!$C$11,Hypothèses!$P$11,IF(B353&lt;=Hypothèses!$C$12,Hypothèses!$P$12,IF(B353&lt;=Hypothèses!$C$13,Hypothèses!$P$13,IF(B353&lt;=Hypothèses!$C$14,Hypothèses!$P$14,IF(B353&lt;=Hypothèses!$C$15,Hypothèses!$P$15,IF(B353&lt;=Hypothèses!$C$16,Hypothèses!$P$16,IF(B353&lt;=Hypothèses!$C$17,Hypothèses!$P$17,IF(B353&lt;=Hypothèses!$C$18,Hypothèses!$P$18,I352))))))))))))</f>
        <v>#N/A</v>
      </c>
      <c r="J353" s="91" t="e">
        <f t="array" ref="J353">INDEX('Coeff EC7'!$D$33:$Q$33,1,MATCH(D353&amp;E353,'Coeff EC7'!$D$31:$Q$31&amp;'Coeff EC7'!$D$32:$Q$32,0))</f>
        <v>#N/A</v>
      </c>
      <c r="K353" s="91" t="e">
        <f t="array" ref="K353">INDEX('Coeff EC7'!$D$34:$Q$34,1,MATCH(D353&amp;E353,'Coeff EC7'!$D$31:$Q$31&amp;'Coeff EC7'!$D$32:$Q$32,0))</f>
        <v>#N/A</v>
      </c>
      <c r="L353" s="91" t="e">
        <f t="array" ref="L353">INDEX('Coeff EC7'!$D$35:$Q$35,1,MATCH(D353&amp;E353,'Coeff EC7'!$D$31:$Q$31&amp;'Coeff EC7'!$D$32:$Q$32,0))</f>
        <v>#N/A</v>
      </c>
      <c r="M353" s="98" t="e">
        <f t="shared" si="531"/>
        <v>#N/A</v>
      </c>
      <c r="N353" s="99" t="e">
        <f t="array" ref="N353">INDEX('Coeff EC7'!$D$7:$Q$27,MATCH($B$3,'Coeff EC7'!$C$7:$C$27,0),MATCH(D353&amp;E353,'Coeff EC7'!$D$5:$Q$5&amp;'Coeff EC7'!$D$6:$Q$6,0))</f>
        <v>#N/A</v>
      </c>
      <c r="O353" s="99" t="e">
        <f t="array" ref="O353">INDEX('Coeff EC7'!$D$41:$Q$61,MATCH($B$3,'Coeff EC7'!$C$41:$C$61,0),MATCH(D353&amp;E353,'Coeff EC7'!$D$39:$Q$39&amp;'Coeff EC7'!$D$40:$Q$40,0))</f>
        <v>#N/A</v>
      </c>
      <c r="P353" s="30" t="e">
        <f t="shared" si="568"/>
        <v>#N/A</v>
      </c>
      <c r="Q353" s="100" t="e">
        <f t="shared" si="533"/>
        <v>#N/A</v>
      </c>
      <c r="R353" s="86" t="b">
        <f t="shared" si="534"/>
        <v>0</v>
      </c>
      <c r="S353" s="86">
        <f t="shared" si="532"/>
        <v>0.5</v>
      </c>
      <c r="T353" s="86">
        <f t="shared" si="535"/>
        <v>0.5</v>
      </c>
      <c r="U353" s="30" t="e">
        <f t="shared" ca="1" si="569"/>
        <v>#DIV/0!</v>
      </c>
      <c r="V353" s="85" t="str">
        <f>IF(B353&lt;=Hypothèses!$V$7,Hypothèses!$W$7,IF(B353&lt;=Hypothèses!$V$8,Hypothèses!$W$8,IF(B353&lt;=Hypothèses!$V$9,Hypothèses!$W$9,IF(B353&lt;=Hypothèses!$V$10,Hypothèses!$W$10,IF(B353&lt;=Hypothèses!$V$11,Hypothèses!$W$11,IF(B353&lt;=Hypothèses!$V$12,Hypothèses!$W$12,IF(B353&lt;=Hypothèses!$V$13,Hypothèses!$W$13,IF(B353&lt;=Hypothèses!$V$14,Hypothèses!$W$14,IF(B353&lt;=Hypothèses!$V$15,Hypothèses!$W$15,IF(B353&lt;=Hypothèses!$V$16,Hypothèses!$W$16,IF(B353&lt;=Hypothèses!$V$17,Hypothèses!$W$17,IF(B353&lt;=Hypothèses!$V$18,Hypothèses!$W$18,""))))))))))))</f>
        <v/>
      </c>
      <c r="W353" s="87" t="e">
        <f t="shared" ca="1" si="616"/>
        <v>#DIV/0!</v>
      </c>
      <c r="X353" s="88" t="str">
        <f>IF(B353&lt;=Hypothèses!$V$7,Hypothèses!$X$7,IF(B353&lt;=Hypothèses!$V$8,Hypothèses!$X$8,IF(B353&lt;=Hypothèses!$V$9,Hypothèses!$X$9,IF(B353&lt;=Hypothèses!$V$10,Hypothèses!$X$10,IF(B353&lt;=Hypothèses!$V$11,Hypothèses!$X$11,IF(B353&lt;=Hypothèses!$V$12,Hypothèses!$X$12,IF(B353&lt;=Hypothèses!$V$13,Hypothèses!$X$13,IF(B353&lt;=Hypothèses!$V$14,Hypothèses!$X$14,IF(B353&lt;=Hypothèses!$V$15,Hypothèses!$X$15,IF(B353&lt;=Hypothèses!$V$16,Hypothèses!$X$16,IF(B353&lt;=Hypothèses!$U$17,Hypothèses!$W$17,IF(B353&lt;=Hypothèses!$U$18,Hypothèses!$W$18,""))))))))))))</f>
        <v/>
      </c>
      <c r="Y353" s="95" t="e">
        <f t="shared" ca="1" si="536"/>
        <v>#DIV/0!</v>
      </c>
      <c r="Z353" s="101" t="e">
        <f t="shared" si="537"/>
        <v>#N/A</v>
      </c>
      <c r="AA353" s="91" t="e">
        <f t="shared" si="538"/>
        <v>#N/A</v>
      </c>
      <c r="AB353" s="30" t="e">
        <f t="shared" si="600"/>
        <v>#N/A</v>
      </c>
      <c r="AC353" s="30" t="e">
        <f t="shared" si="601"/>
        <v>#N/A</v>
      </c>
      <c r="AD353" s="31" t="e">
        <f>IF(OR(Hypothèses!$B$4=17,Hypothèses!$B$4=18,Hypothèses!$B$4=19,Hypothèses!$B$4=20),
IF($D353="Pressio.",
IF(OR($E353=3,$E353=1,$E353=4),AC353,AB353),
IF($D353="Pénétro.",
IF(OR($E353=3,$E353=1,$E353=4),AC353,AB353))),IF($D353="Pressio.",
IF($E353=3,AC353,AB353),
IF($D353="Pénétro.",
IF($E353=4,AC353,AB353))))</f>
        <v>#N/A</v>
      </c>
      <c r="AE353" s="31" t="e">
        <f>(IF(OR(Hypothèses!$B$4=17,Hypothèses!$B$4=18,Hypothèses!$B$4=19,Hypothèses!$B$4=20),
IF($D353="Pressio.",
IF(OR($E353=3,$E353=1,$E353=4),(PI()*AE$12^2)/4*(AA353*$W353*1000)/($H353*$B$5),(PI()*AE$12^2)/4*(AA353*$W353*1000)/($G353*$B$5)),
IF($D353="Pénétro.",
IF(OR($E353=4,$E353=1,$E353=5),(PI()*AE$12^2)/4*(AA353*$W353*1000)/($H353*$B$5),(PI()*AE$12^2)/4*(AA353*$W353*1000)/($G353*$B$5)))),
IF($D353="Pressio.",
IF($E353=3,(PI()*AE$12^2)/4*(AA353*$W353*1000)/($H353*$B$5),(PI()*AE$12^2)/4*(AA353*$W353*1000)/($G353*$B$5)),
IF($D353="Pénétro.",
IF($E353=4,(PI()*AE$12^2)/4*(AA353*$W353*1000)/($H353*$B$5),(PI()*AE$12^2)/4*(AA353*$W353*1000)/($G353*$B$5))))))/10</f>
        <v>#N/A</v>
      </c>
      <c r="AF353" s="102" t="e">
        <f>(VLOOKUP($B$3,'Coeff EC7'!$T$39:$X$59,2,0)*AD353+VLOOKUP($B$3,'Coeff EC7'!$T$65:$X$85,2,0)*Model0.1C!AE353)/1.1</f>
        <v>#N/A</v>
      </c>
      <c r="AG353" s="102" t="e">
        <f>(VLOOKUP($B$3,'Coeff EC7'!$T$39:$X$59,3,0)*AD353+VLOOKUP($B$3,'Coeff EC7'!$T$65:$X$85,3,0)*Model0.1C!AE353)/0.9</f>
        <v>#N/A</v>
      </c>
      <c r="AH353" s="102" t="e">
        <f t="shared" si="539"/>
        <v>#N/A</v>
      </c>
      <c r="AI353" s="102" t="e">
        <f t="shared" si="540"/>
        <v>#N/A</v>
      </c>
      <c r="AJ353" s="414" t="e">
        <f>IF(AJ352=0,0,IF(AND(AF353&gt;charge_ELS_quasi,AG353&gt;Charge_ELS_freq,AH353&gt;charge_ELU,AI353&gt;charge_ELA,$B353&gt;NDC!$H$22-0.1+MIN(3*$AJ$12,1.5)),0,1))</f>
        <v>#N/A</v>
      </c>
      <c r="AK353" s="86" t="b">
        <f t="shared" si="541"/>
        <v>0</v>
      </c>
      <c r="AL353" s="86">
        <f t="shared" si="570"/>
        <v>0.5</v>
      </c>
      <c r="AM353" s="86">
        <f t="shared" si="542"/>
        <v>0.5</v>
      </c>
      <c r="AN353" s="30" t="e">
        <f t="shared" ca="1" si="571"/>
        <v>#DIV/0!</v>
      </c>
      <c r="AO353" s="85" t="e">
        <f ca="1">IF(U353&lt;=Hypothèses!$V$7,Hypothèses!$W$7,IF(U353&lt;=Hypothèses!$V$8,Hypothèses!$W$8,IF(U353&lt;=Hypothèses!$V$9,Hypothèses!$W$9,IF(U353&lt;=Hypothèses!$V$10,Hypothèses!$W$10,IF(U353&lt;=Hypothèses!$V$11,Hypothèses!$W$11,IF(U353&lt;=Hypothèses!$V$12,Hypothèses!$W$12,IF(U353&lt;=Hypothèses!$V$13,Hypothèses!$W$13,IF(U353&lt;=Hypothèses!$V$14,Hypothèses!$W$14,IF(U353&lt;=Hypothèses!$V$15,Hypothèses!$W$15,IF(U353&lt;=Hypothèses!$V$16,Hypothèses!$W$16,IF(U353&lt;=Hypothèses!$V$17,Hypothèses!$W$17,IF(U353&lt;=Hypothèses!$V$18,Hypothèses!$W$18,""))))))))))))</f>
        <v>#DIV/0!</v>
      </c>
      <c r="AP353" s="87" t="e">
        <f t="shared" ca="1" si="617"/>
        <v>#DIV/0!</v>
      </c>
      <c r="AQ353" s="88" t="e">
        <f ca="1">IF(U353&lt;=Hypothèses!$V$7,Hypothèses!$X$7,IF(U353&lt;=Hypothèses!$V$8,Hypothèses!$X$8,IF(U353&lt;=Hypothèses!$V$9,Hypothèses!$X$9,IF(U353&lt;=Hypothèses!$V$10,Hypothèses!$X$10,IF(U353&lt;=Hypothèses!$V$11,Hypothèses!$X$11,IF(U353&lt;=Hypothèses!$V$12,Hypothèses!$X$12,IF(U353&lt;=Hypothèses!$V$13,Hypothèses!$X$13,IF(U353&lt;=Hypothèses!$V$14,Hypothèses!$X$14,IF(U353&lt;=Hypothèses!$V$15,Hypothèses!$X$15,IF(U353&lt;=Hypothèses!$V$16,Hypothèses!$X$16,IF(U353&lt;=Hypothèses!$U$17,Hypothèses!$W$17,IF(U353&lt;=Hypothèses!$U$18,Hypothèses!$W$18,""))))))))))))</f>
        <v>#DIV/0!</v>
      </c>
      <c r="AR353" s="95" t="e">
        <f t="shared" ca="1" si="572"/>
        <v>#DIV/0!</v>
      </c>
      <c r="AS353" s="101" t="e">
        <f t="shared" si="624"/>
        <v>#N/A</v>
      </c>
      <c r="AT353" s="91" t="e">
        <f t="shared" si="543"/>
        <v>#N/A</v>
      </c>
      <c r="AU353" s="30" t="e">
        <f t="shared" si="602"/>
        <v>#N/A</v>
      </c>
      <c r="AV353" s="30" t="e">
        <f t="shared" si="603"/>
        <v>#N/A</v>
      </c>
      <c r="AW353" s="31" t="e">
        <f>IF(OR(Hypothèses!$B$4=17,Hypothèses!$B$4=18,Hypothèses!$B$4=19,Hypothèses!$B$4=20),
IF($D353="Pressio.",
IF(OR($E353=3,$E353=1,$E353=4),AV353,AU353),
IF($D353="Pénétro.",
IF(OR($E353=3,$E353=1,$E353=4),AV353,AU353))),IF($D353="Pressio.",
IF($E353=3,AV353,AU353),
IF($D353="Pénétro.",
IF($E353=4,AV353,AU353))))</f>
        <v>#N/A</v>
      </c>
      <c r="AX353" s="31" t="e">
        <f>(IF(OR(Hypothèses!$B$4=17,Hypothèses!$B$4=18,Hypothèses!$B$4=19,Hypothèses!$B$4=20),
IF($D353="Pressio.",
IF(OR($E353=3,$E353=1,$E353=4),(PI()*AX$12^2)/4*(AT353*$W353*1000)/($H353*$B$5),(PI()*AX$12^2)/4*(AT353*$W353*1000)/($G353*$B$5)),
IF($D353="Pénétro.",
IF(OR($E353=4,$E353=1,$E353=5),(PI()*AX$12^2)/4*(AT353*$W353*1000)/($H353*$B$5),(PI()*AX$12^2)/4*(AT353*$W353*1000)/($G353*$B$5)))),
IF($D353="Pressio.",
IF($E353=3,(PI()*AX$12^2)/4*(AT353*$W353*1000)/($H353*$B$5),(PI()*AX$12^2)/4*(AT353*$W353*1000)/($G353*$B$5)),
IF($D353="Pénétro.",
IF($E353=4,(PI()*AX$12^2)/4*(AT353*$W353*1000)/($H353*$B$5),(PI()*AX$12^2)/4*(AT353*$W353*1000)/($G353*$B$5))))))/10</f>
        <v>#N/A</v>
      </c>
      <c r="AY353" s="102" t="e">
        <f>(VLOOKUP($B$3,'Coeff EC7'!$T$39:$X$59,2,0)*AW353+VLOOKUP($B$3,'Coeff EC7'!$T$65:$X$85,2,0)*Model0.1C!AX353)/1.1</f>
        <v>#N/A</v>
      </c>
      <c r="AZ353" s="102" t="e">
        <f>(VLOOKUP($B$3,'Coeff EC7'!$T$39:$X$59,3,0)*AW353+VLOOKUP($B$3,'Coeff EC7'!$T$65:$X$85,3,0)*Model0.1C!AX353)/0.9</f>
        <v>#N/A</v>
      </c>
      <c r="BA353" s="102" t="e">
        <f t="shared" si="573"/>
        <v>#N/A</v>
      </c>
      <c r="BB353" s="102" t="e">
        <f t="shared" si="574"/>
        <v>#N/A</v>
      </c>
      <c r="BC353" s="414" t="e">
        <f>IF(BC352=0,0,IF(AND(AY353&gt;charge_ELS_quasi,AZ353&gt;Charge_ELS_freq,BA353&gt;charge_ELU,BB353&gt;charge_ELA,$B353&gt;NDC!$H$22-0.1+MIN(3*$BC$12,1.5)),0,1))</f>
        <v>#N/A</v>
      </c>
      <c r="BD353" s="86" t="b">
        <f t="shared" si="544"/>
        <v>0</v>
      </c>
      <c r="BE353" s="86">
        <f t="shared" si="575"/>
        <v>0.5</v>
      </c>
      <c r="BF353" s="86">
        <f t="shared" si="545"/>
        <v>0.5</v>
      </c>
      <c r="BG353" s="30" t="e">
        <f t="shared" ca="1" si="576"/>
        <v>#DIV/0!</v>
      </c>
      <c r="BH353" s="85" t="e">
        <f ca="1">IF(AN353&lt;=Hypothèses!$V$7,Hypothèses!$W$7,IF(AN353&lt;=Hypothèses!$V$8,Hypothèses!$W$8,IF(AN353&lt;=Hypothèses!$V$9,Hypothèses!$W$9,IF(AN353&lt;=Hypothèses!$V$10,Hypothèses!$W$10,IF(AN353&lt;=Hypothèses!$V$11,Hypothèses!$W$11,IF(AN353&lt;=Hypothèses!$V$12,Hypothèses!$W$12,IF(AN353&lt;=Hypothèses!$V$13,Hypothèses!$W$13,IF(AN353&lt;=Hypothèses!$V$14,Hypothèses!$W$14,IF(AN353&lt;=Hypothèses!$V$15,Hypothèses!$W$15,IF(AN353&lt;=Hypothèses!$V$16,Hypothèses!$W$16,IF(AN353&lt;=Hypothèses!$V$17,Hypothèses!$W$17,IF(AN353&lt;=Hypothèses!$V$18,Hypothèses!$W$18,""))))))))))))</f>
        <v>#DIV/0!</v>
      </c>
      <c r="BI353" s="87" t="e">
        <f t="shared" ca="1" si="618"/>
        <v>#DIV/0!</v>
      </c>
      <c r="BJ353" s="88" t="e">
        <f ca="1">IF(AN353&lt;=Hypothèses!$V$7,Hypothèses!$X$7,IF(AN353&lt;=Hypothèses!$V$8,Hypothèses!$X$8,IF(AN353&lt;=Hypothèses!$V$9,Hypothèses!$X$9,IF(AN353&lt;=Hypothèses!$V$10,Hypothèses!$X$10,IF(AN353&lt;=Hypothèses!$V$11,Hypothèses!$X$11,IF(AN353&lt;=Hypothèses!$V$12,Hypothèses!$X$12,IF(AN353&lt;=Hypothèses!$V$13,Hypothèses!$X$13,IF(AN353&lt;=Hypothèses!$V$14,Hypothèses!$X$14,IF(AN353&lt;=Hypothèses!$V$15,Hypothèses!$X$15,IF(AN353&lt;=Hypothèses!$V$16,Hypothèses!$X$16,IF(AN353&lt;=Hypothèses!$U$17,Hypothèses!$W$17,IF(AN353&lt;=Hypothèses!$U$18,Hypothèses!$W$18,""))))))))))))</f>
        <v>#DIV/0!</v>
      </c>
      <c r="BK353" s="95" t="e">
        <f t="shared" ca="1" si="577"/>
        <v>#DIV/0!</v>
      </c>
      <c r="BL353" s="101" t="e">
        <f t="shared" si="625"/>
        <v>#N/A</v>
      </c>
      <c r="BM353" s="91" t="e">
        <f t="shared" si="546"/>
        <v>#N/A</v>
      </c>
      <c r="BN353" s="30" t="e">
        <f t="shared" si="604"/>
        <v>#N/A</v>
      </c>
      <c r="BO353" s="30" t="e">
        <f t="shared" si="605"/>
        <v>#N/A</v>
      </c>
      <c r="BP353" s="31" t="e">
        <f>IF(OR(Hypothèses!$B$4=17,Hypothèses!$B$4=18,Hypothèses!$B$4=19,Hypothèses!$B$4=20),
IF($D353="Pressio.",
IF(OR($E353=3,$E353=1,$E353=4),BO353,BN353),
IF($D353="Pénétro.",
IF(OR($E353=3,$E353=1,$E353=4),BO353,BN353))),IF($D353="Pressio.",
IF($E353=3,BO353,BN353),
IF($D353="Pénétro.",
IF($E353=4,BO353,BN353))))</f>
        <v>#N/A</v>
      </c>
      <c r="BQ353" s="31" t="e">
        <f>(IF(OR(Hypothèses!$B$4=17,Hypothèses!$B$4=18,Hypothèses!$B$4=19,Hypothèses!$B$4=20),
IF($D353="Pressio.",
IF(OR($E353=3,$E353=1,$E353=4),(PI()*BQ$12^2)/4*(BM353*$W353*1000)/($H353*$B$5),(PI()*BQ$12^2)/4*(BM353*$W353*1000)/($G353*$B$5)),
IF($D353="Pénétro.",
IF(OR($E353=4,$E353=1,$E353=5),(PI()*BQ$12^2)/4*(BM353*$W353*1000)/($H353*$B$5),(PI()*BQ$12^2)/4*(BM353*$W353*1000)/($G353*$B$5)))),
IF($D353="Pressio.",
IF($E353=3,(PI()*BQ$12^2)/4*(BM353*$W353*1000)/($H353*$B$5),(PI()*BQ$12^2)/4*(BM353*$W353*1000)/($G353*$B$5)),
IF($D353="Pénétro.",
IF($E353=4,(PI()*BQ$12^2)/4*(BM353*$W353*1000)/($H353*$B$5),(PI()*BQ$12^2)/4*(BM353*$W353*1000)/($G353*$B$5))))))/10</f>
        <v>#N/A</v>
      </c>
      <c r="BR353" s="102" t="e">
        <f>(VLOOKUP($B$3,'Coeff EC7'!$T$39:$X$59,2,0)*BP353+VLOOKUP($B$3,'Coeff EC7'!$T$65:$X$85,2,0)*Model0.1C!BQ353)/1.1</f>
        <v>#N/A</v>
      </c>
      <c r="BS353" s="102" t="e">
        <f>(VLOOKUP($B$3,'Coeff EC7'!$T$39:$X$59,3,0)*BP353+VLOOKUP($B$3,'Coeff EC7'!$T$65:$X$85,3,0)*Model0.1C!BQ353)/0.9</f>
        <v>#N/A</v>
      </c>
      <c r="BT353" s="102" t="e">
        <f t="shared" si="578"/>
        <v>#N/A</v>
      </c>
      <c r="BU353" s="102" t="e">
        <f t="shared" si="579"/>
        <v>#N/A</v>
      </c>
      <c r="BV353" s="414" t="e">
        <f>IF(BV352=0,0,IF(AND(BR353&gt;charge_ELS_quasi,BS353&gt;Charge_ELS_freq,BT353&gt;charge_ELU,BU353&gt;charge_ELA,$B353&gt;NDC!$H$22-0.1+MIN(3*$BV$12,1.5)),0,1))</f>
        <v>#N/A</v>
      </c>
      <c r="BW353" s="86" t="b">
        <f t="shared" si="547"/>
        <v>0</v>
      </c>
      <c r="BX353" s="86">
        <f t="shared" si="548"/>
        <v>0.5</v>
      </c>
      <c r="BY353" s="86">
        <f t="shared" si="549"/>
        <v>0.5</v>
      </c>
      <c r="BZ353" s="30" t="e">
        <f t="shared" ca="1" si="580"/>
        <v>#DIV/0!</v>
      </c>
      <c r="CA353" s="85" t="e">
        <f ca="1">IF(BG353&lt;=Hypothèses!$V$7,Hypothèses!$W$7,IF(BG353&lt;=Hypothèses!$V$8,Hypothèses!$W$8,IF(BG353&lt;=Hypothèses!$V$9,Hypothèses!$W$9,IF(BG353&lt;=Hypothèses!$V$10,Hypothèses!$W$10,IF(BG353&lt;=Hypothèses!$V$11,Hypothèses!$W$11,IF(BG353&lt;=Hypothèses!$V$12,Hypothèses!$W$12,IF(BG353&lt;=Hypothèses!$V$13,Hypothèses!$W$13,IF(BG353&lt;=Hypothèses!$V$14,Hypothèses!$W$14,IF(BG353&lt;=Hypothèses!$V$15,Hypothèses!$W$15,IF(BG353&lt;=Hypothèses!$V$16,Hypothèses!$W$16,IF(BG353&lt;=Hypothèses!$V$17,Hypothèses!$W$17,IF(BG353&lt;=Hypothèses!$V$18,Hypothèses!$W$18,""))))))))))))</f>
        <v>#DIV/0!</v>
      </c>
      <c r="CB353" s="87" t="e">
        <f t="shared" ca="1" si="619"/>
        <v>#DIV/0!</v>
      </c>
      <c r="CC353" s="88" t="e">
        <f ca="1">IF(BG353&lt;=Hypothèses!$V$7,Hypothèses!$X$7,IF(BG353&lt;=Hypothèses!$V$8,Hypothèses!$X$8,IF(BG353&lt;=Hypothèses!$V$9,Hypothèses!$X$9,IF(BG353&lt;=Hypothèses!$V$10,Hypothèses!$X$10,IF(BG353&lt;=Hypothèses!$V$11,Hypothèses!$X$11,IF(BG353&lt;=Hypothèses!$V$12,Hypothèses!$X$12,IF(BG353&lt;=Hypothèses!$V$13,Hypothèses!$X$13,IF(BG353&lt;=Hypothèses!$V$14,Hypothèses!$X$14,IF(BG353&lt;=Hypothèses!$V$15,Hypothèses!$X$15,IF(BG353&lt;=Hypothèses!$V$16,Hypothèses!$X$16,IF(BG353&lt;=Hypothèses!$U$17,Hypothèses!$W$17,IF(BG353&lt;=Hypothèses!$U$18,Hypothèses!$W$18,""))))))))))))</f>
        <v>#DIV/0!</v>
      </c>
      <c r="CD353" s="95" t="e">
        <f t="shared" ca="1" si="581"/>
        <v>#DIV/0!</v>
      </c>
      <c r="CE353" s="101" t="e">
        <f t="shared" si="626"/>
        <v>#N/A</v>
      </c>
      <c r="CF353" s="91" t="e">
        <f t="shared" si="550"/>
        <v>#N/A</v>
      </c>
      <c r="CG353" s="30" t="e">
        <f t="shared" si="606"/>
        <v>#N/A</v>
      </c>
      <c r="CH353" s="30" t="e">
        <f t="shared" si="607"/>
        <v>#N/A</v>
      </c>
      <c r="CI353" s="31" t="e">
        <f>IF(OR(Hypothèses!$B$4=17,Hypothèses!$B$4=18,Hypothèses!$B$4=19,Hypothèses!$B$4=20),
IF($D353="Pressio.",
IF(OR($E353=3,$E353=1,$E353=4),CH353,CG353),
IF($D353="Pénétro.",
IF(OR($E353=3,$E353=1,$E353=4),CH353,CG353))),IF($D353="Pressio.",
IF($E353=3,CH353,CG353),
IF($D353="Pénétro.",
IF($E353=4,CH353,CG353))))</f>
        <v>#N/A</v>
      </c>
      <c r="CJ353" s="31" t="e">
        <f>(IF(OR(Hypothèses!$B$4=17,Hypothèses!$B$4=18,Hypothèses!$B$4=19,Hypothèses!$B$4=20),
IF($D353="Pressio.",
IF(OR($E353=3,$E353=1,$E353=4),(PI()*CJ$12^2)/4*(CF353*$W353*1000)/($H353*$B$5),(PI()*CJ$12^2)/4*(CF353*$W353*1000)/($G353*$B$5)),
IF($D353="Pénétro.",
IF(OR($E353=4,$E353=1,$E353=5),(PI()*CJ$12^2)/4*(CF353*$W353*1000)/($H353*$B$5),(PI()*CJ$12^2)/4*(CF353*$W353*1000)/($G353*$B$5)))),
IF($D353="Pressio.",
IF($E353=3,(PI()*CJ$12^2)/4*(CF353*$W353*1000)/($H353*$B$5),(PI()*CJ$12^2)/4*(CF353*$W353*1000)/($G353*$B$5)),
IF($D353="Pénétro.",
IF($E353=4,(PI()*CJ$12^2)/4*(CF353*$W353*1000)/($H353*$B$5),(PI()*CJ$12^2)/4*(CF353*$W353*1000)/($G353*$B$5))))))/10</f>
        <v>#N/A</v>
      </c>
      <c r="CK353" s="102" t="e">
        <f>(VLOOKUP($B$3,'Coeff EC7'!$T$39:$X$59,2,0)*CI353+VLOOKUP($B$3,'Coeff EC7'!$T$65:$X$85,2,0)*Model0.1C!CJ353)/1.1</f>
        <v>#N/A</v>
      </c>
      <c r="CL353" s="102" t="e">
        <f>(VLOOKUP($B$3,'Coeff EC7'!$T$39:$X$59,3,0)*CI353+VLOOKUP($B$3,'Coeff EC7'!$T$65:$X$85,3,0)*Model0.1C!CJ353)/0.9</f>
        <v>#N/A</v>
      </c>
      <c r="CM353" s="102" t="e">
        <f t="shared" si="582"/>
        <v>#N/A</v>
      </c>
      <c r="CN353" s="102" t="e">
        <f t="shared" si="583"/>
        <v>#N/A</v>
      </c>
      <c r="CO353" s="414" t="e">
        <f>IF(CO352=0,0,IF(AND(CK353&gt;charge_ELS_quasi,CL353&gt;Charge_ELS_freq,CM353&gt;charge_ELU,CN353&gt;charge_ELA,$B353&gt;NDC!$H$22-0.1+MIN(3*$CO$12,1.5)),0,1))</f>
        <v>#N/A</v>
      </c>
      <c r="CP353" s="86" t="b">
        <f t="shared" si="551"/>
        <v>0</v>
      </c>
      <c r="CQ353" s="86">
        <f t="shared" si="552"/>
        <v>0.5</v>
      </c>
      <c r="CR353" s="86">
        <f t="shared" si="553"/>
        <v>0.5</v>
      </c>
      <c r="CS353" s="30" t="e">
        <f t="shared" ca="1" si="584"/>
        <v>#DIV/0!</v>
      </c>
      <c r="CT353" s="85" t="e">
        <f ca="1">IF(BZ353&lt;=Hypothèses!$V$7,Hypothèses!$W$7,IF(BZ353&lt;=Hypothèses!$V$8,Hypothèses!$W$8,IF(BZ353&lt;=Hypothèses!$V$9,Hypothèses!$W$9,IF(BZ353&lt;=Hypothèses!$V$10,Hypothèses!$W$10,IF(BZ353&lt;=Hypothèses!$V$11,Hypothèses!$W$11,IF(BZ353&lt;=Hypothèses!$V$12,Hypothèses!$W$12,IF(BZ353&lt;=Hypothèses!$V$13,Hypothèses!$W$13,IF(BZ353&lt;=Hypothèses!$V$14,Hypothèses!$W$14,IF(BZ353&lt;=Hypothèses!$V$15,Hypothèses!$W$15,IF(BZ353&lt;=Hypothèses!$V$16,Hypothèses!$W$16,IF(BZ353&lt;=Hypothèses!$V$17,Hypothèses!$W$17,IF(BZ353&lt;=Hypothèses!$V$18,Hypothèses!$W$18,""))))))))))))</f>
        <v>#DIV/0!</v>
      </c>
      <c r="CU353" s="87" t="e">
        <f t="shared" ca="1" si="620"/>
        <v>#DIV/0!</v>
      </c>
      <c r="CV353" s="88" t="e">
        <f ca="1">IF(BZ353&lt;=Hypothèses!$V$7,Hypothèses!$X$7,IF(BZ353&lt;=Hypothèses!$V$8,Hypothèses!$X$8,IF(BZ353&lt;=Hypothèses!$V$9,Hypothèses!$X$9,IF(BZ353&lt;=Hypothèses!$V$10,Hypothèses!$X$10,IF(BZ353&lt;=Hypothèses!$V$11,Hypothèses!$X$11,IF(BZ353&lt;=Hypothèses!$V$12,Hypothèses!$X$12,IF(BZ353&lt;=Hypothèses!$V$13,Hypothèses!$X$13,IF(BZ353&lt;=Hypothèses!$V$14,Hypothèses!$X$14,IF(BZ353&lt;=Hypothèses!$V$15,Hypothèses!$X$15,IF(BZ353&lt;=Hypothèses!$V$16,Hypothèses!$X$16,IF(BZ353&lt;=Hypothèses!$U$17,Hypothèses!$W$17,IF(BZ353&lt;=Hypothèses!$U$18,Hypothèses!$W$18,""))))))))))))</f>
        <v>#DIV/0!</v>
      </c>
      <c r="CW353" s="95" t="e">
        <f t="shared" ca="1" si="585"/>
        <v>#DIV/0!</v>
      </c>
      <c r="CX353" s="101" t="e">
        <f t="shared" si="627"/>
        <v>#N/A</v>
      </c>
      <c r="CY353" s="91" t="e">
        <f t="shared" si="554"/>
        <v>#N/A</v>
      </c>
      <c r="CZ353" s="30" t="e">
        <f t="shared" si="608"/>
        <v>#N/A</v>
      </c>
      <c r="DA353" s="30" t="e">
        <f t="shared" si="609"/>
        <v>#N/A</v>
      </c>
      <c r="DB353" s="31" t="e">
        <f>IF(OR(Hypothèses!$B$4=17,Hypothèses!$B$4=18,Hypothèses!$B$4=19,Hypothèses!$B$4=20),
IF($D353="Pressio.",
IF(OR($E353=3,$E353=1,$E353=4),DA353,CZ353),
IF($D353="Pénétro.",
IF(OR($E353=3,$E353=1,$E353=4),DA353,CZ353))),IF($D353="Pressio.",
IF($E353=3,DA353,CZ353),
IF($D353="Pénétro.",
IF($E353=4,DA353,CZ353))))</f>
        <v>#N/A</v>
      </c>
      <c r="DC353" s="31" t="e">
        <f>(IF(OR(Hypothèses!$B$4=17,Hypothèses!$B$4=18,Hypothèses!$B$4=19,Hypothèses!$B$4=20),
IF($D353="Pressio.",
IF(OR($E353=3,$E353=1,$E353=4),(PI()*DC$12^2)/4*(CY353*$W353*1000)/($H353*$B$5),(PI()*DC$12^2)/4*(CY353*$W353*1000)/($G353*$B$5)),
IF($D353="Pénétro.",
IF(OR($E353=4,$E353=1,$E353=5),(PI()*DC$12^2)/4*(CY353*$W353*1000)/($H353*$B$5),(PI()*DC$12^2)/4*(CY353*$W353*1000)/($G353*$B$5)))),
IF($D353="Pressio.",
IF($E353=3,(PI()*DC$12^2)/4*(CY353*$W353*1000)/($H353*$B$5),(PI()*DC$12^2)/4*(CY353*$W353*1000)/($G353*$B$5)),
IF($D353="Pénétro.",
IF($E353=4,(PI()*DC$12^2)/4*(CY353*$W353*1000)/($H353*$B$5),(PI()*DC$12^2)/4*(CY353*$W353*1000)/($G353*$B$5))))))/10</f>
        <v>#N/A</v>
      </c>
      <c r="DD353" s="102" t="e">
        <f>(VLOOKUP($B$3,'Coeff EC7'!$T$39:$X$59,2,0)*DB353+VLOOKUP($B$3,'Coeff EC7'!$T$65:$X$85,2,0)*Model0.1C!DC353)/1.1</f>
        <v>#N/A</v>
      </c>
      <c r="DE353" s="102" t="e">
        <f>(VLOOKUP($B$3,'Coeff EC7'!$T$39:$X$59,3,0)*DB353+VLOOKUP($B$3,'Coeff EC7'!$T$65:$X$85,3,0)*Model0.1C!DC353)/0.9</f>
        <v>#N/A</v>
      </c>
      <c r="DF353" s="102" t="e">
        <f t="shared" si="586"/>
        <v>#N/A</v>
      </c>
      <c r="DG353" s="102" t="e">
        <f t="shared" si="587"/>
        <v>#N/A</v>
      </c>
      <c r="DH353" s="414" t="e">
        <f>IF(DH352=0,0,IF(AND(DD353&gt;charge_ELS_quasi,DE353&gt;Charge_ELS_freq,DF353&gt;charge_ELU,DG353&gt;charge_ELA,$B353&gt;NDC!$H$22-0.1+MIN(3*$DH$12,1.5)),0,1))</f>
        <v>#N/A</v>
      </c>
      <c r="DI353" s="86" t="b">
        <f t="shared" si="555"/>
        <v>0</v>
      </c>
      <c r="DJ353" s="86">
        <f t="shared" si="556"/>
        <v>0.5</v>
      </c>
      <c r="DK353" s="86">
        <f t="shared" si="557"/>
        <v>0.5</v>
      </c>
      <c r="DL353" s="30" t="e">
        <f t="shared" ca="1" si="588"/>
        <v>#DIV/0!</v>
      </c>
      <c r="DM353" s="85" t="e">
        <f ca="1">IF(CS353&lt;=Hypothèses!$V$7,Hypothèses!$W$7,IF(CS353&lt;=Hypothèses!$V$8,Hypothèses!$W$8,IF(CS353&lt;=Hypothèses!$V$9,Hypothèses!$W$9,IF(CS353&lt;=Hypothèses!$V$10,Hypothèses!$W$10,IF(CS353&lt;=Hypothèses!$V$11,Hypothèses!$W$11,IF(CS353&lt;=Hypothèses!$V$12,Hypothèses!$W$12,IF(CS353&lt;=Hypothèses!$V$13,Hypothèses!$W$13,IF(CS353&lt;=Hypothèses!$V$14,Hypothèses!$W$14,IF(CS353&lt;=Hypothèses!$V$15,Hypothèses!$W$15,IF(CS353&lt;=Hypothèses!$V$16,Hypothèses!$W$16,IF(CS353&lt;=Hypothèses!$V$17,Hypothèses!$W$17,IF(CS353&lt;=Hypothèses!$V$18,Hypothèses!$W$18,""))))))))))))</f>
        <v>#DIV/0!</v>
      </c>
      <c r="DN353" s="87" t="e">
        <f t="shared" ca="1" si="621"/>
        <v>#DIV/0!</v>
      </c>
      <c r="DO353" s="88" t="e">
        <f ca="1">IF(CS353&lt;=Hypothèses!$V$7,Hypothèses!$X$7,IF(CS353&lt;=Hypothèses!$V$8,Hypothèses!$X$8,IF(CS353&lt;=Hypothèses!$V$9,Hypothèses!$X$9,IF(CS353&lt;=Hypothèses!$V$10,Hypothèses!$X$10,IF(CS353&lt;=Hypothèses!$V$11,Hypothèses!$X$11,IF(CS353&lt;=Hypothèses!$V$12,Hypothèses!$X$12,IF(CS353&lt;=Hypothèses!$V$13,Hypothèses!$X$13,IF(CS353&lt;=Hypothèses!$V$14,Hypothèses!$X$14,IF(CS353&lt;=Hypothèses!$V$15,Hypothèses!$X$15,IF(CS353&lt;=Hypothèses!$V$16,Hypothèses!$X$16,IF(CS353&lt;=Hypothèses!$U$17,Hypothèses!$W$17,IF(CS353&lt;=Hypothèses!$U$18,Hypothèses!$W$18,""))))))))))))</f>
        <v>#DIV/0!</v>
      </c>
      <c r="DP353" s="95" t="e">
        <f t="shared" ca="1" si="589"/>
        <v>#DIV/0!</v>
      </c>
      <c r="DQ353" s="101" t="e">
        <f t="shared" si="628"/>
        <v>#N/A</v>
      </c>
      <c r="DR353" s="91" t="e">
        <f t="shared" si="558"/>
        <v>#N/A</v>
      </c>
      <c r="DS353" s="30" t="e">
        <f t="shared" si="610"/>
        <v>#N/A</v>
      </c>
      <c r="DT353" s="30" t="e">
        <f t="shared" si="611"/>
        <v>#N/A</v>
      </c>
      <c r="DU353" s="31" t="e">
        <f>IF(OR(Hypothèses!$B$4=17,Hypothèses!$B$4=18,Hypothèses!$B$4=19,Hypothèses!$B$4=20),
IF($D353="Pressio.",
IF(OR($E353=3,$E353=1,$E353=4),DT353,DS353),
IF($D353="Pénétro.",
IF(OR($E353=3,$E353=1,$E353=4),DT353,DS353))),IF($D353="Pressio.",
IF($E353=3,DT353,DS353),
IF($D353="Pénétro.",
IF($E353=4,DT353,DS353))))</f>
        <v>#N/A</v>
      </c>
      <c r="DV353" s="31" t="e">
        <f>(IF(OR(Hypothèses!$B$4=17,Hypothèses!$B$4=18,Hypothèses!$B$4=19,Hypothèses!$B$4=20),
IF($D353="Pressio.",
IF(OR($E353=3,$E353=1,$E353=4),(PI()*DV$12^2)/4*(DR353*$W353*1000)/($H353*$B$5),(PI()*DV$12^2)/4*(DR353*$W353*1000)/($G353*$B$5)),
IF($D353="Pénétro.",
IF(OR($E353=4,$E353=1,$E353=5),(PI()*DV$12^2)/4*(DR353*$W353*1000)/($H353*$B$5),(PI()*DV$12^2)/4*(DR353*$W353*1000)/($G353*$B$5)))),
IF($D353="Pressio.",
IF($E353=3,(PI()*DV$12^2)/4*(DR353*$W353*1000)/($H353*$B$5),(PI()*DV$12^2)/4*(DR353*$W353*1000)/($G353*$B$5)),
IF($D353="Pénétro.",
IF($E353=4,(PI()*DV$12^2)/4*(DR353*$W353*1000)/($H353*$B$5),(PI()*DV$12^2)/4*(DR353*$W353*1000)/($G353*$B$5))))))/10</f>
        <v>#N/A</v>
      </c>
      <c r="DW353" s="102" t="e">
        <f>(VLOOKUP($B$3,'Coeff EC7'!$T$39:$X$59,2,0)*DU353+VLOOKUP($B$3,'Coeff EC7'!$T$65:$X$85,2,0)*Model0.1C!DV353)/1.1</f>
        <v>#N/A</v>
      </c>
      <c r="DX353" s="102" t="e">
        <f>(VLOOKUP($B$3,'Coeff EC7'!$T$39:$X$59,3,0)*DU353+VLOOKUP($B$3,'Coeff EC7'!$T$65:$X$85,3,0)*Model0.1C!DV353)/0.9</f>
        <v>#N/A</v>
      </c>
      <c r="DY353" s="102" t="e">
        <f t="shared" si="590"/>
        <v>#N/A</v>
      </c>
      <c r="DZ353" s="102" t="e">
        <f t="shared" si="591"/>
        <v>#N/A</v>
      </c>
      <c r="EA353" s="414" t="e">
        <f>IF(EA352=0,0,IF(AND(DW353&gt;charge_ELS_quasi,DX353&gt;Charge_ELS_freq,DY353&gt;charge_ELU,DZ353&gt;charge_ELA,$B353&gt;NDC!$H$22-0.1+MIN(3*$EA$12,1.5)),0,1))</f>
        <v>#N/A</v>
      </c>
      <c r="EB353" s="86" t="b">
        <f t="shared" si="559"/>
        <v>0</v>
      </c>
      <c r="EC353" s="418">
        <f t="shared" si="560"/>
        <v>0.51</v>
      </c>
      <c r="ED353" s="86">
        <f t="shared" si="561"/>
        <v>0.51</v>
      </c>
      <c r="EE353" s="30" t="e">
        <f t="shared" ca="1" si="592"/>
        <v>#DIV/0!</v>
      </c>
      <c r="EF353" s="85" t="e">
        <f ca="1">IF(DL353&lt;=Hypothèses!$V$7,Hypothèses!$W$7,IF(DL353&lt;=Hypothèses!$V$8,Hypothèses!$W$8,IF(DL353&lt;=Hypothèses!$V$9,Hypothèses!$W$9,IF(DL353&lt;=Hypothèses!$V$10,Hypothèses!$W$10,IF(DL353&lt;=Hypothèses!$V$11,Hypothèses!$W$11,IF(DL353&lt;=Hypothèses!$V$12,Hypothèses!$W$12,IF(DL353&lt;=Hypothèses!$V$13,Hypothèses!$W$13,IF(DL353&lt;=Hypothèses!$V$14,Hypothèses!$W$14,IF(DL353&lt;=Hypothèses!$V$15,Hypothèses!$W$15,IF(DL353&lt;=Hypothèses!$V$16,Hypothèses!$W$16,IF(DL353&lt;=Hypothèses!$V$17,Hypothèses!$W$17,IF(DL353&lt;=Hypothèses!$V$18,Hypothèses!$W$18,""))))))))))))</f>
        <v>#DIV/0!</v>
      </c>
      <c r="EG353" s="87" t="e">
        <f t="shared" ca="1" si="622"/>
        <v>#DIV/0!</v>
      </c>
      <c r="EH353" s="88" t="e">
        <f ca="1">IF(DL353&lt;=Hypothèses!$V$7,Hypothèses!$X$7,IF(DL353&lt;=Hypothèses!$V$8,Hypothèses!$X$8,IF(DL353&lt;=Hypothèses!$V$9,Hypothèses!$X$9,IF(DL353&lt;=Hypothèses!$V$10,Hypothèses!$X$10,IF(DL353&lt;=Hypothèses!$V$11,Hypothèses!$X$11,IF(DL353&lt;=Hypothèses!$V$12,Hypothèses!$X$12,IF(DL353&lt;=Hypothèses!$V$13,Hypothèses!$X$13,IF(DL353&lt;=Hypothèses!$V$14,Hypothèses!$X$14,IF(DL353&lt;=Hypothèses!$V$15,Hypothèses!$X$15,IF(DL353&lt;=Hypothèses!$V$16,Hypothèses!$X$16,IF(DL353&lt;=Hypothèses!$U$17,Hypothèses!$W$17,IF(DL353&lt;=Hypothèses!$U$18,Hypothèses!$W$18,""))))))))))))</f>
        <v>#DIV/0!</v>
      </c>
      <c r="EI353" s="95" t="e">
        <f t="shared" ca="1" si="593"/>
        <v>#DIV/0!</v>
      </c>
      <c r="EJ353" s="101" t="e">
        <f t="shared" si="629"/>
        <v>#N/A</v>
      </c>
      <c r="EK353" s="91" t="e">
        <f t="shared" si="562"/>
        <v>#N/A</v>
      </c>
      <c r="EL353" s="30" t="e">
        <f t="shared" si="612"/>
        <v>#N/A</v>
      </c>
      <c r="EM353" s="30" t="e">
        <f t="shared" si="613"/>
        <v>#N/A</v>
      </c>
      <c r="EN353" s="31" t="e">
        <f>IF(OR(Hypothèses!$B$4=17,Hypothèses!$B$4=18,Hypothèses!$B$4=19,Hypothèses!$B$4=20),
IF($D353="Pressio.",
IF(OR($E353=3,$E353=1,$E353=4),EM353,EL353),
IF($D353="Pénétro.",
IF(OR($E353=3,$E353=1,$E353=4),EM353,EL353))),IF($D353="Pressio.",
IF($E353=3,EM353,EL353),
IF($D353="Pénétro.",
IF($E353=4,EM353,EL353))))</f>
        <v>#N/A</v>
      </c>
      <c r="EO353" s="31" t="e">
        <f>(IF(OR(Hypothèses!$B$4=17,Hypothèses!$B$4=18,Hypothèses!$B$4=19,Hypothèses!$B$4=20),
IF($D353="Pressio.",
IF(OR($E353=3,$E353=1,$E353=4),(PI()*EO$12^2)/4*(EK353*$W353*1000)/($H353*$B$5),(PI()*EO$12^2)/4*(EK353*$W353*1000)/($G353*$B$5)),
IF($D353="Pénétro.",
IF(OR($E353=4,$E353=1,$E353=5),(PI()*EO$12^2)/4*(EK353*$W353*1000)/($H353*$B$5),(PI()*EO$12^2)/4*(EK353*$W353*1000)/($G353*$B$5)))),
IF($D353="Pressio.",
IF($E353=3,(PI()*EO$12^2)/4*(EK353*$W353*1000)/($H353*$B$5),(PI()*EO$12^2)/4*(EK353*$W353*1000)/($G353*$B$5)),
IF($D353="Pénétro.",
IF($E353=4,(PI()*EO$12^2)/4*(EK353*$W353*1000)/($H353*$B$5),(PI()*EO$12^2)/4*(EK353*$W353*1000)/($G353*$B$5))))))/10</f>
        <v>#N/A</v>
      </c>
      <c r="EP353" s="102" t="e">
        <f>(VLOOKUP($B$3,'Coeff EC7'!$T$39:$X$59,2,0)*EN353+VLOOKUP($B$3,'Coeff EC7'!$T$65:$X$85,2,0)*Model0.1C!EO353)/1.1</f>
        <v>#N/A</v>
      </c>
      <c r="EQ353" s="102" t="e">
        <f>(VLOOKUP($B$3,'Coeff EC7'!$T$39:$X$59,3,0)*EN353+VLOOKUP($B$3,'Coeff EC7'!$T$65:$X$85,3,0)*Model0.1C!EO353)/0.9</f>
        <v>#N/A</v>
      </c>
      <c r="ER353" s="102" t="e">
        <f t="shared" si="594"/>
        <v>#N/A</v>
      </c>
      <c r="ES353" s="102" t="e">
        <f t="shared" si="595"/>
        <v>#N/A</v>
      </c>
      <c r="ET353" s="414" t="e">
        <f>IF(ET352=0,0,IF(AND(EP353&gt;charge_ELS_quasi,EQ353&gt;Charge_ELS_freq,ER353&gt;charge_ELU,ES353&gt;charge_ELA,$B353&gt;NDC!$H$22-0.1+MIN(3*$ET$12,1.5)),0,1))</f>
        <v>#N/A</v>
      </c>
      <c r="EU353" s="86" t="b">
        <f t="shared" si="563"/>
        <v>0</v>
      </c>
      <c r="EV353" s="86">
        <f t="shared" si="564"/>
        <v>0.61</v>
      </c>
      <c r="EW353" s="86">
        <f t="shared" si="565"/>
        <v>0.61</v>
      </c>
      <c r="EX353" s="30" t="e">
        <f t="shared" ca="1" si="596"/>
        <v>#DIV/0!</v>
      </c>
      <c r="EY353" s="85" t="e">
        <f ca="1">IF(EE353&lt;=Hypothèses!$V$7,Hypothèses!$W$7,IF(EE353&lt;=Hypothèses!$V$8,Hypothèses!$W$8,IF(EE353&lt;=Hypothèses!$V$9,Hypothèses!$W$9,IF(EE353&lt;=Hypothèses!$V$10,Hypothèses!$W$10,IF(EE353&lt;=Hypothèses!$V$11,Hypothèses!$W$11,IF(EE353&lt;=Hypothèses!$V$12,Hypothèses!$W$12,IF(EE353&lt;=Hypothèses!$V$13,Hypothèses!$W$13,IF(EE353&lt;=Hypothèses!$V$14,Hypothèses!$W$14,IF(EE353&lt;=Hypothèses!$V$15,Hypothèses!$W$15,IF(EE353&lt;=Hypothèses!$V$16,Hypothèses!$W$16,IF(EE353&lt;=Hypothèses!$V$17,Hypothèses!$W$17,IF(EE353&lt;=Hypothèses!$V$18,Hypothèses!$W$18,""))))))))))))</f>
        <v>#DIV/0!</v>
      </c>
      <c r="EZ353" s="87" t="e">
        <f t="shared" ca="1" si="623"/>
        <v>#DIV/0!</v>
      </c>
      <c r="FA353" s="88" t="e">
        <f ca="1">IF(EE353&lt;=Hypothèses!$V$7,Hypothèses!$X$7,IF(EE353&lt;=Hypothèses!$V$8,Hypothèses!$X$8,IF(EE353&lt;=Hypothèses!$V$9,Hypothèses!$X$9,IF(EE353&lt;=Hypothèses!$V$10,Hypothèses!$X$10,IF(EE353&lt;=Hypothèses!$V$11,Hypothèses!$X$11,IF(EE353&lt;=Hypothèses!$V$12,Hypothèses!$X$12,IF(EE353&lt;=Hypothèses!$V$13,Hypothèses!$X$13,IF(EE353&lt;=Hypothèses!$V$14,Hypothèses!$X$14,IF(EE353&lt;=Hypothèses!$V$15,Hypothèses!$X$15,IF(EE353&lt;=Hypothèses!$V$16,Hypothèses!$X$16,IF(EE353&lt;=Hypothèses!$U$17,Hypothèses!$W$17,IF(EE353&lt;=Hypothèses!$U$18,Hypothèses!$W$18,""))))))))))))</f>
        <v>#DIV/0!</v>
      </c>
      <c r="FB353" s="95" t="e">
        <f t="shared" ca="1" si="597"/>
        <v>#DIV/0!</v>
      </c>
      <c r="FC353" s="101" t="e">
        <f t="shared" si="630"/>
        <v>#N/A</v>
      </c>
      <c r="FD353" s="91" t="e">
        <f t="shared" si="566"/>
        <v>#N/A</v>
      </c>
      <c r="FE353" s="30" t="e">
        <f t="shared" si="614"/>
        <v>#N/A</v>
      </c>
      <c r="FF353" s="30" t="e">
        <f t="shared" si="615"/>
        <v>#N/A</v>
      </c>
      <c r="FG353" s="31" t="e">
        <f>IF(OR(Hypothèses!$B$4=17,Hypothèses!$B$4=18,Hypothèses!$B$4=19,Hypothèses!$B$4=20),
IF($D353="Pressio.",
IF(OR($E353=3,$E353=1,$E353=4),FF353,FE353),
IF($D353="Pénétro.",
IF(OR($E353=3,$E353=1,$E353=4),FF353,FE353))),IF($D353="Pressio.",
IF($E353=3,FF353,FE353),
IF($D353="Pénétro.",
IF($E353=4,FF353,FE353))))</f>
        <v>#N/A</v>
      </c>
      <c r="FH353" s="31" t="e">
        <f>(IF(OR(Hypothèses!$B$4=17,Hypothèses!$B$4=18,Hypothèses!$B$4=19,Hypothèses!$B$4=20),
IF($D353="Pressio.",
IF(OR($E353=3,$E353=1,$E353=4),(PI()*FH$12^2)/4*(FD353*$W353*1000)/($H353*$B$5),(PI()*FH$12^2)/4*(FD353*$W353*1000)/($G353*$B$5)),
IF($D353="Pénétro.",
IF(OR($E353=4,$E353=1,$E353=5),(PI()*FH$12^2)/4*(FD353*$W353*1000)/($H353*$B$5),(PI()*FH$12^2)/4*(FD353*$W353*1000)/($G353*$B$5)))),
IF($D353="Pressio.",
IF($E353=3,(PI()*FH$12^2)/4*(FD353*$W353*1000)/($H353*$B$5),(PI()*FH$12^2)/4*(FD353*$W353*1000)/($G353*$B$5)),
IF($D353="Pénétro.",
IF($E353=4,(PI()*FH$12^2)/4*(FD353*$W353*1000)/($H353*$B$5),(PI()*FH$12^2)/4*(FD353*$W353*1000)/($G353*$B$5))))))/10</f>
        <v>#N/A</v>
      </c>
      <c r="FI353" s="102" t="e">
        <f>(VLOOKUP($B$3,'Coeff EC7'!$T$39:$X$59,2,0)*FG353+VLOOKUP($B$3,'Coeff EC7'!$T$65:$X$85,2,0)*Model0.1C!FH353)/1.1</f>
        <v>#N/A</v>
      </c>
      <c r="FJ353" s="102" t="e">
        <f>(VLOOKUP($B$3,'Coeff EC7'!$T$39:$X$59,3,0)*FG353+VLOOKUP($B$3,'Coeff EC7'!$T$65:$X$85,3,0)*Model0.1C!FH353)/0.9</f>
        <v>#N/A</v>
      </c>
      <c r="FK353" s="102" t="e">
        <f t="shared" si="598"/>
        <v>#N/A</v>
      </c>
      <c r="FL353" s="102" t="e">
        <f t="shared" si="599"/>
        <v>#N/A</v>
      </c>
      <c r="FM353" s="414" t="e">
        <f>IF(FM352=0,0,IF(AND(FI353&gt;charge_ELS_quasi,FJ353&gt;Charge_ELS_freq,FK353&gt;charge_ELU,FL353&gt;charge_ELA,$B353&gt;NDC!$H$22-0.1+MIN(3*$FM$12,1.5)),0,1))</f>
        <v>#N/A</v>
      </c>
    </row>
    <row r="354" spans="1:169">
      <c r="A354" s="96">
        <f t="shared" si="567"/>
        <v>65.900000000001938</v>
      </c>
      <c r="B354" s="97">
        <v>34.1</v>
      </c>
      <c r="C354" s="81">
        <f>IF(B354&lt;=Hypothèses!$C$7,Hypothèses!$A$7,IF(B354&lt;=Hypothèses!$C$8,Hypothèses!$A$8,IF(B354&lt;=Hypothèses!$C$9,Hypothèses!$A$9,IF(B354&lt;=Hypothèses!$C$10,Hypothèses!$A$10,IF(B354&lt;=Hypothèses!$C$11,Hypothèses!$A$11,IF(B354&lt;=Hypothèses!$C$12,Hypothèses!$A$12,IF(B354&lt;=Hypothèses!$C$13,Hypothèses!$A$13,IF(B354&lt;=Hypothèses!$C$14,Hypothèses!$A$14,IF(B354&lt;=Hypothèses!$C$15,Hypothèses!$A$15,IF(B354&lt;=Hypothèses!$C$16,Hypothèses!$A$16,IF(B354&lt;=Hypothèses!$C$17,Hypothèses!$A$17,IF(B354&lt;=Hypothèses!$C$18,Hypothèses!$A$18,C353))))))))))))</f>
        <v>11</v>
      </c>
      <c r="D354" s="82" t="str">
        <f>IF(B354&lt;=Hypothèses!$C$7,Hypothèses!$R$7,IF(B354&lt;=Hypothèses!$C$8,Hypothèses!$R$8,IF(B354&lt;=Hypothèses!$C$9,Hypothèses!$R$9,IF(B354&lt;=Hypothèses!$C$10,Hypothèses!$R$10,IF(B354&lt;=Hypothèses!$C$11,Hypothèses!$R$11,IF(B354&lt;=Hypothèses!$C$12,Hypothèses!$R$12,IF(B354&lt;=Hypothèses!$C$13,Hypothèses!$R$13,IF(B354&lt;=Hypothèses!$C$14,Hypothèses!$R$14,IF(B354&lt;=Hypothèses!$C$15,Hypothèses!$R$15,IF(B354&lt;=Hypothèses!$C$16,Hypothèses!$R$16,IF(B354&lt;=Hypothèses!$C$17,Hypothèses!$R$17,IF(B354&lt;=Hypothèses!$C$18,Hypothèses!$R$18,D353))))))))))))</f>
        <v>Pressio.</v>
      </c>
      <c r="E354" s="82" t="e">
        <f>IF(B354&lt;=Hypothèses!$C$7,Hypothèses!$G$7,IF(B354&lt;=Hypothèses!$C$8,Hypothèses!$G$8,IF(B354&lt;=Hypothèses!$C$9,Hypothèses!$G$9,IF(B354&lt;=Hypothèses!$C$10,Hypothèses!$G$10,IF(B354&lt;=Hypothèses!$C$11,Hypothèses!$G$11,IF(B354&lt;=Hypothèses!$C$12,Hypothèses!$G$12,IF(B354&lt;=Hypothèses!$C$13,Hypothèses!$G$13,IF(B354&lt;=Hypothèses!$C$14,Hypothèses!$G$14,IF(B354&lt;=Hypothèses!$C$15,Hypothèses!$G$15,IF(B354&lt;=Hypothèses!$C$16,Hypothèses!$G$16,IF(B354&lt;=Hypothèses!$C$17,Hypothèses!$G$17,IF(B354&lt;=Hypothèses!$C$18,Hypothèses!$G$18,E353))))))))))))</f>
        <v>#N/A</v>
      </c>
      <c r="F354" s="82" t="str">
        <f>IF(B354&lt;=Hypothèses!$C$7,Hypothèses!$F$7,IF(B354&lt;=Hypothèses!$C$8,Hypothèses!$F$8,IF(B354&lt;=Hypothèses!$C$9,Hypothèses!$F$9,IF(B354&lt;=Hypothèses!$C$10,Hypothèses!$F$10,IF(B354&lt;=Hypothèses!$C$11,Hypothèses!$F$11,IF(B354&lt;=Hypothèses!$C$12,Hypothèses!$F$12,IF(B354&lt;=Hypothèses!$C$13,Hypothèses!$F$13,IF(B354&lt;=Hypothèses!$C$14,Hypothèses!$F$14,IF(B354&lt;=Hypothèses!$C$15,Hypothèses!$F$15,IF(B354&lt;=Hypothèses!$C$16,Hypothèses!$F$16,IF(B354&lt;=Hypothèses!$C$17,Hypothèses!$F$17,IF(B354&lt;=Hypothèses!$C$18,Hypothèses!$F$18,F353))))))))))))</f>
        <v/>
      </c>
      <c r="G354" s="91">
        <f t="array" ref="G354">INDEX('Coeff EC7'!$U$7:$X$27,
MATCH(Model0.1C!$B$3,'Coeff EC7'!$T$7:$T$27,0),
MATCH(Model0.1C!$D354&amp;Model0.1C!$B$4,
'Coeff EC7'!$U$6:$X$6&amp;
'Coeff EC7'!$U$5:$X$5,0))</f>
        <v>1.1499999999999999</v>
      </c>
      <c r="H354" s="91">
        <f t="array" ref="H354">INDEX('Coeff EC7'!$Y$7:$AB$27,
MATCH(Model0.1C!$B$3,'Coeff EC7'!$T$7:$T$27,0),
MATCH(Model0.1C!$D354&amp;Model0.1C!$B$4,
'Coeff EC7'!$Y$6:$AB$6&amp;
'Coeff EC7'!$Y$5:$AB$5,0))</f>
        <v>1.4</v>
      </c>
      <c r="I354" s="83" t="e">
        <f>IF(B354&lt;=Hypothèses!$C$7,Hypothèses!$P$7,IF(B354&lt;=Hypothèses!$C$8,Hypothèses!$P$8,IF(B354&lt;=Hypothèses!$C$9,Hypothèses!$P$9,IF(B354&lt;=Hypothèses!$C$10,Hypothèses!$P$10,IF(B354&lt;=Hypothèses!$C$11,Hypothèses!$P$11,IF(B354&lt;=Hypothèses!$C$12,Hypothèses!$P$12,IF(B354&lt;=Hypothèses!$C$13,Hypothèses!$P$13,IF(B354&lt;=Hypothèses!$C$14,Hypothèses!$P$14,IF(B354&lt;=Hypothèses!$C$15,Hypothèses!$P$15,IF(B354&lt;=Hypothèses!$C$16,Hypothèses!$P$16,IF(B354&lt;=Hypothèses!$C$17,Hypothèses!$P$17,IF(B354&lt;=Hypothèses!$C$18,Hypothèses!$P$18,I353))))))))))))</f>
        <v>#N/A</v>
      </c>
      <c r="J354" s="91" t="e">
        <f t="array" ref="J354">INDEX('Coeff EC7'!$D$33:$Q$33,1,MATCH(D354&amp;E354,'Coeff EC7'!$D$31:$Q$31&amp;'Coeff EC7'!$D$32:$Q$32,0))</f>
        <v>#N/A</v>
      </c>
      <c r="K354" s="91" t="e">
        <f t="array" ref="K354">INDEX('Coeff EC7'!$D$34:$Q$34,1,MATCH(D354&amp;E354,'Coeff EC7'!$D$31:$Q$31&amp;'Coeff EC7'!$D$32:$Q$32,0))</f>
        <v>#N/A</v>
      </c>
      <c r="L354" s="91" t="e">
        <f t="array" ref="L354">INDEX('Coeff EC7'!$D$35:$Q$35,1,MATCH(D354&amp;E354,'Coeff EC7'!$D$31:$Q$31&amp;'Coeff EC7'!$D$32:$Q$32,0))</f>
        <v>#N/A</v>
      </c>
      <c r="M354" s="98" t="e">
        <f t="shared" si="531"/>
        <v>#N/A</v>
      </c>
      <c r="N354" s="99" t="e">
        <f t="array" ref="N354">INDEX('Coeff EC7'!$D$7:$Q$27,MATCH($B$3,'Coeff EC7'!$C$7:$C$27,0),MATCH(D354&amp;E354,'Coeff EC7'!$D$5:$Q$5&amp;'Coeff EC7'!$D$6:$Q$6,0))</f>
        <v>#N/A</v>
      </c>
      <c r="O354" s="99" t="e">
        <f t="array" ref="O354">INDEX('Coeff EC7'!$D$41:$Q$61,MATCH($B$3,'Coeff EC7'!$C$41:$C$61,0),MATCH(D354&amp;E354,'Coeff EC7'!$D$39:$Q$39&amp;'Coeff EC7'!$D$40:$Q$40,0))</f>
        <v>#N/A</v>
      </c>
      <c r="P354" s="30" t="e">
        <f t="shared" si="568"/>
        <v>#N/A</v>
      </c>
      <c r="Q354" s="100" t="e">
        <f t="shared" si="533"/>
        <v>#N/A</v>
      </c>
      <c r="R354" s="86" t="b">
        <f t="shared" si="534"/>
        <v>0</v>
      </c>
      <c r="S354" s="86">
        <f t="shared" si="532"/>
        <v>0.5</v>
      </c>
      <c r="T354" s="86">
        <f t="shared" si="535"/>
        <v>0.5</v>
      </c>
      <c r="U354" s="30" t="e">
        <f t="shared" ca="1" si="569"/>
        <v>#DIV/0!</v>
      </c>
      <c r="V354" s="85" t="str">
        <f>IF(B354&lt;=Hypothèses!$V$7,Hypothèses!$W$7,IF(B354&lt;=Hypothèses!$V$8,Hypothèses!$W$8,IF(B354&lt;=Hypothèses!$V$9,Hypothèses!$W$9,IF(B354&lt;=Hypothèses!$V$10,Hypothèses!$W$10,IF(B354&lt;=Hypothèses!$V$11,Hypothèses!$W$11,IF(B354&lt;=Hypothèses!$V$12,Hypothèses!$W$12,IF(B354&lt;=Hypothèses!$V$13,Hypothèses!$W$13,IF(B354&lt;=Hypothèses!$V$14,Hypothèses!$W$14,IF(B354&lt;=Hypothèses!$V$15,Hypothèses!$W$15,IF(B354&lt;=Hypothèses!$V$16,Hypothèses!$W$16,IF(B354&lt;=Hypothèses!$V$17,Hypothèses!$W$17,IF(B354&lt;=Hypothèses!$V$18,Hypothèses!$W$18,""))))))))))))</f>
        <v/>
      </c>
      <c r="W354" s="87" t="e">
        <f t="shared" ca="1" si="616"/>
        <v>#DIV/0!</v>
      </c>
      <c r="X354" s="88" t="str">
        <f>IF(B354&lt;=Hypothèses!$V$7,Hypothèses!$X$7,IF(B354&lt;=Hypothèses!$V$8,Hypothèses!$X$8,IF(B354&lt;=Hypothèses!$V$9,Hypothèses!$X$9,IF(B354&lt;=Hypothèses!$V$10,Hypothèses!$X$10,IF(B354&lt;=Hypothèses!$V$11,Hypothèses!$X$11,IF(B354&lt;=Hypothèses!$V$12,Hypothèses!$X$12,IF(B354&lt;=Hypothèses!$V$13,Hypothèses!$X$13,IF(B354&lt;=Hypothèses!$V$14,Hypothèses!$X$14,IF(B354&lt;=Hypothèses!$V$15,Hypothèses!$X$15,IF(B354&lt;=Hypothèses!$V$16,Hypothèses!$X$16,IF(B354&lt;=Hypothèses!$U$17,Hypothèses!$W$17,IF(B354&lt;=Hypothèses!$U$18,Hypothèses!$W$18,""))))))))))))</f>
        <v/>
      </c>
      <c r="Y354" s="95" t="e">
        <f t="shared" ca="1" si="536"/>
        <v>#DIV/0!</v>
      </c>
      <c r="Z354" s="101" t="e">
        <f t="shared" si="537"/>
        <v>#N/A</v>
      </c>
      <c r="AA354" s="91" t="e">
        <f t="shared" si="538"/>
        <v>#N/A</v>
      </c>
      <c r="AB354" s="30" t="e">
        <f t="shared" si="600"/>
        <v>#N/A</v>
      </c>
      <c r="AC354" s="30" t="e">
        <f t="shared" si="601"/>
        <v>#N/A</v>
      </c>
      <c r="AD354" s="31" t="e">
        <f>IF(OR(Hypothèses!$B$4=17,Hypothèses!$B$4=18,Hypothèses!$B$4=19,Hypothèses!$B$4=20),
IF($D354="Pressio.",
IF(OR($E354=3,$E354=1,$E354=4),AC354,AB354),
IF($D354="Pénétro.",
IF(OR($E354=3,$E354=1,$E354=4),AC354,AB354))),IF($D354="Pressio.",
IF($E354=3,AC354,AB354),
IF($D354="Pénétro.",
IF($E354=4,AC354,AB354))))</f>
        <v>#N/A</v>
      </c>
      <c r="AE354" s="31" t="e">
        <f>(IF(OR(Hypothèses!$B$4=17,Hypothèses!$B$4=18,Hypothèses!$B$4=19,Hypothèses!$B$4=20),
IF($D354="Pressio.",
IF(OR($E354=3,$E354=1,$E354=4),(PI()*AE$12^2)/4*(AA354*$W354*1000)/($H354*$B$5),(PI()*AE$12^2)/4*(AA354*$W354*1000)/($G354*$B$5)),
IF($D354="Pénétro.",
IF(OR($E354=4,$E354=1,$E354=5),(PI()*AE$12^2)/4*(AA354*$W354*1000)/($H354*$B$5),(PI()*AE$12^2)/4*(AA354*$W354*1000)/($G354*$B$5)))),
IF($D354="Pressio.",
IF($E354=3,(PI()*AE$12^2)/4*(AA354*$W354*1000)/($H354*$B$5),(PI()*AE$12^2)/4*(AA354*$W354*1000)/($G354*$B$5)),
IF($D354="Pénétro.",
IF($E354=4,(PI()*AE$12^2)/4*(AA354*$W354*1000)/($H354*$B$5),(PI()*AE$12^2)/4*(AA354*$W354*1000)/($G354*$B$5))))))/10</f>
        <v>#N/A</v>
      </c>
      <c r="AF354" s="102" t="e">
        <f>(VLOOKUP($B$3,'Coeff EC7'!$T$39:$X$59,2,0)*AD354+VLOOKUP($B$3,'Coeff EC7'!$T$65:$X$85,2,0)*Model0.1C!AE354)/1.1</f>
        <v>#N/A</v>
      </c>
      <c r="AG354" s="102" t="e">
        <f>(VLOOKUP($B$3,'Coeff EC7'!$T$39:$X$59,3,0)*AD354+VLOOKUP($B$3,'Coeff EC7'!$T$65:$X$85,3,0)*Model0.1C!AE354)/0.9</f>
        <v>#N/A</v>
      </c>
      <c r="AH354" s="102" t="e">
        <f t="shared" si="539"/>
        <v>#N/A</v>
      </c>
      <c r="AI354" s="102" t="e">
        <f t="shared" si="540"/>
        <v>#N/A</v>
      </c>
      <c r="AJ354" s="414" t="e">
        <f>IF(AJ353=0,0,IF(AND(AF354&gt;charge_ELS_quasi,AG354&gt;Charge_ELS_freq,AH354&gt;charge_ELU,AI354&gt;charge_ELA,$B354&gt;NDC!$H$22-0.1+MIN(3*$AJ$12,1.5)),0,1))</f>
        <v>#N/A</v>
      </c>
      <c r="AK354" s="86" t="b">
        <f t="shared" si="541"/>
        <v>0</v>
      </c>
      <c r="AL354" s="86">
        <f t="shared" si="570"/>
        <v>0.5</v>
      </c>
      <c r="AM354" s="86">
        <f t="shared" si="542"/>
        <v>0.5</v>
      </c>
      <c r="AN354" s="30" t="e">
        <f t="shared" ca="1" si="571"/>
        <v>#DIV/0!</v>
      </c>
      <c r="AO354" s="85" t="e">
        <f ca="1">IF(U354&lt;=Hypothèses!$V$7,Hypothèses!$W$7,IF(U354&lt;=Hypothèses!$V$8,Hypothèses!$W$8,IF(U354&lt;=Hypothèses!$V$9,Hypothèses!$W$9,IF(U354&lt;=Hypothèses!$V$10,Hypothèses!$W$10,IF(U354&lt;=Hypothèses!$V$11,Hypothèses!$W$11,IF(U354&lt;=Hypothèses!$V$12,Hypothèses!$W$12,IF(U354&lt;=Hypothèses!$V$13,Hypothèses!$W$13,IF(U354&lt;=Hypothèses!$V$14,Hypothèses!$W$14,IF(U354&lt;=Hypothèses!$V$15,Hypothèses!$W$15,IF(U354&lt;=Hypothèses!$V$16,Hypothèses!$W$16,IF(U354&lt;=Hypothèses!$V$17,Hypothèses!$W$17,IF(U354&lt;=Hypothèses!$V$18,Hypothèses!$W$18,""))))))))))))</f>
        <v>#DIV/0!</v>
      </c>
      <c r="AP354" s="87" t="e">
        <f t="shared" ca="1" si="617"/>
        <v>#DIV/0!</v>
      </c>
      <c r="AQ354" s="88" t="e">
        <f ca="1">IF(U354&lt;=Hypothèses!$V$7,Hypothèses!$X$7,IF(U354&lt;=Hypothèses!$V$8,Hypothèses!$X$8,IF(U354&lt;=Hypothèses!$V$9,Hypothèses!$X$9,IF(U354&lt;=Hypothèses!$V$10,Hypothèses!$X$10,IF(U354&lt;=Hypothèses!$V$11,Hypothèses!$X$11,IF(U354&lt;=Hypothèses!$V$12,Hypothèses!$X$12,IF(U354&lt;=Hypothèses!$V$13,Hypothèses!$X$13,IF(U354&lt;=Hypothèses!$V$14,Hypothèses!$X$14,IF(U354&lt;=Hypothèses!$V$15,Hypothèses!$X$15,IF(U354&lt;=Hypothèses!$V$16,Hypothèses!$X$16,IF(U354&lt;=Hypothèses!$U$17,Hypothèses!$W$17,IF(U354&lt;=Hypothèses!$U$18,Hypothèses!$W$18,""))))))))))))</f>
        <v>#DIV/0!</v>
      </c>
      <c r="AR354" s="95" t="e">
        <f t="shared" ca="1" si="572"/>
        <v>#DIV/0!</v>
      </c>
      <c r="AS354" s="101" t="e">
        <f t="shared" si="624"/>
        <v>#N/A</v>
      </c>
      <c r="AT354" s="91" t="e">
        <f t="shared" si="543"/>
        <v>#N/A</v>
      </c>
      <c r="AU354" s="30" t="e">
        <f t="shared" si="602"/>
        <v>#N/A</v>
      </c>
      <c r="AV354" s="30" t="e">
        <f t="shared" si="603"/>
        <v>#N/A</v>
      </c>
      <c r="AW354" s="31" t="e">
        <f>IF(OR(Hypothèses!$B$4=17,Hypothèses!$B$4=18,Hypothèses!$B$4=19,Hypothèses!$B$4=20),
IF($D354="Pressio.",
IF(OR($E354=3,$E354=1,$E354=4),AV354,AU354),
IF($D354="Pénétro.",
IF(OR($E354=3,$E354=1,$E354=4),AV354,AU354))),IF($D354="Pressio.",
IF($E354=3,AV354,AU354),
IF($D354="Pénétro.",
IF($E354=4,AV354,AU354))))</f>
        <v>#N/A</v>
      </c>
      <c r="AX354" s="31" t="e">
        <f>(IF(OR(Hypothèses!$B$4=17,Hypothèses!$B$4=18,Hypothèses!$B$4=19,Hypothèses!$B$4=20),
IF($D354="Pressio.",
IF(OR($E354=3,$E354=1,$E354=4),(PI()*AX$12^2)/4*(AT354*$W354*1000)/($H354*$B$5),(PI()*AX$12^2)/4*(AT354*$W354*1000)/($G354*$B$5)),
IF($D354="Pénétro.",
IF(OR($E354=4,$E354=1,$E354=5),(PI()*AX$12^2)/4*(AT354*$W354*1000)/($H354*$B$5),(PI()*AX$12^2)/4*(AT354*$W354*1000)/($G354*$B$5)))),
IF($D354="Pressio.",
IF($E354=3,(PI()*AX$12^2)/4*(AT354*$W354*1000)/($H354*$B$5),(PI()*AX$12^2)/4*(AT354*$W354*1000)/($G354*$B$5)),
IF($D354="Pénétro.",
IF($E354=4,(PI()*AX$12^2)/4*(AT354*$W354*1000)/($H354*$B$5),(PI()*AX$12^2)/4*(AT354*$W354*1000)/($G354*$B$5))))))/10</f>
        <v>#N/A</v>
      </c>
      <c r="AY354" s="102" t="e">
        <f>(VLOOKUP($B$3,'Coeff EC7'!$T$39:$X$59,2,0)*AW354+VLOOKUP($B$3,'Coeff EC7'!$T$65:$X$85,2,0)*Model0.1C!AX354)/1.1</f>
        <v>#N/A</v>
      </c>
      <c r="AZ354" s="102" t="e">
        <f>(VLOOKUP($B$3,'Coeff EC7'!$T$39:$X$59,3,0)*AW354+VLOOKUP($B$3,'Coeff EC7'!$T$65:$X$85,3,0)*Model0.1C!AX354)/0.9</f>
        <v>#N/A</v>
      </c>
      <c r="BA354" s="102" t="e">
        <f t="shared" si="573"/>
        <v>#N/A</v>
      </c>
      <c r="BB354" s="102" t="e">
        <f t="shared" si="574"/>
        <v>#N/A</v>
      </c>
      <c r="BC354" s="414" t="e">
        <f>IF(BC353=0,0,IF(AND(AY354&gt;charge_ELS_quasi,AZ354&gt;Charge_ELS_freq,BA354&gt;charge_ELU,BB354&gt;charge_ELA,$B354&gt;NDC!$H$22-0.1+MIN(3*$BC$12,1.5)),0,1))</f>
        <v>#N/A</v>
      </c>
      <c r="BD354" s="86" t="b">
        <f t="shared" si="544"/>
        <v>0</v>
      </c>
      <c r="BE354" s="86">
        <f t="shared" si="575"/>
        <v>0.5</v>
      </c>
      <c r="BF354" s="86">
        <f t="shared" si="545"/>
        <v>0.5</v>
      </c>
      <c r="BG354" s="30" t="e">
        <f t="shared" ca="1" si="576"/>
        <v>#DIV/0!</v>
      </c>
      <c r="BH354" s="85" t="e">
        <f ca="1">IF(AN354&lt;=Hypothèses!$V$7,Hypothèses!$W$7,IF(AN354&lt;=Hypothèses!$V$8,Hypothèses!$W$8,IF(AN354&lt;=Hypothèses!$V$9,Hypothèses!$W$9,IF(AN354&lt;=Hypothèses!$V$10,Hypothèses!$W$10,IF(AN354&lt;=Hypothèses!$V$11,Hypothèses!$W$11,IF(AN354&lt;=Hypothèses!$V$12,Hypothèses!$W$12,IF(AN354&lt;=Hypothèses!$V$13,Hypothèses!$W$13,IF(AN354&lt;=Hypothèses!$V$14,Hypothèses!$W$14,IF(AN354&lt;=Hypothèses!$V$15,Hypothèses!$W$15,IF(AN354&lt;=Hypothèses!$V$16,Hypothèses!$W$16,IF(AN354&lt;=Hypothèses!$V$17,Hypothèses!$W$17,IF(AN354&lt;=Hypothèses!$V$18,Hypothèses!$W$18,""))))))))))))</f>
        <v>#DIV/0!</v>
      </c>
      <c r="BI354" s="87" t="e">
        <f t="shared" ca="1" si="618"/>
        <v>#DIV/0!</v>
      </c>
      <c r="BJ354" s="88" t="e">
        <f ca="1">IF(AN354&lt;=Hypothèses!$V$7,Hypothèses!$X$7,IF(AN354&lt;=Hypothèses!$V$8,Hypothèses!$X$8,IF(AN354&lt;=Hypothèses!$V$9,Hypothèses!$X$9,IF(AN354&lt;=Hypothèses!$V$10,Hypothèses!$X$10,IF(AN354&lt;=Hypothèses!$V$11,Hypothèses!$X$11,IF(AN354&lt;=Hypothèses!$V$12,Hypothèses!$X$12,IF(AN354&lt;=Hypothèses!$V$13,Hypothèses!$X$13,IF(AN354&lt;=Hypothèses!$V$14,Hypothèses!$X$14,IF(AN354&lt;=Hypothèses!$V$15,Hypothèses!$X$15,IF(AN354&lt;=Hypothèses!$V$16,Hypothèses!$X$16,IF(AN354&lt;=Hypothèses!$U$17,Hypothèses!$W$17,IF(AN354&lt;=Hypothèses!$U$18,Hypothèses!$W$18,""))))))))))))</f>
        <v>#DIV/0!</v>
      </c>
      <c r="BK354" s="95" t="e">
        <f t="shared" ca="1" si="577"/>
        <v>#DIV/0!</v>
      </c>
      <c r="BL354" s="101" t="e">
        <f t="shared" si="625"/>
        <v>#N/A</v>
      </c>
      <c r="BM354" s="91" t="e">
        <f t="shared" si="546"/>
        <v>#N/A</v>
      </c>
      <c r="BN354" s="30" t="e">
        <f t="shared" si="604"/>
        <v>#N/A</v>
      </c>
      <c r="BO354" s="30" t="e">
        <f t="shared" si="605"/>
        <v>#N/A</v>
      </c>
      <c r="BP354" s="31" t="e">
        <f>IF(OR(Hypothèses!$B$4=17,Hypothèses!$B$4=18,Hypothèses!$B$4=19,Hypothèses!$B$4=20),
IF($D354="Pressio.",
IF(OR($E354=3,$E354=1,$E354=4),BO354,BN354),
IF($D354="Pénétro.",
IF(OR($E354=3,$E354=1,$E354=4),BO354,BN354))),IF($D354="Pressio.",
IF($E354=3,BO354,BN354),
IF($D354="Pénétro.",
IF($E354=4,BO354,BN354))))</f>
        <v>#N/A</v>
      </c>
      <c r="BQ354" s="31" t="e">
        <f>(IF(OR(Hypothèses!$B$4=17,Hypothèses!$B$4=18,Hypothèses!$B$4=19,Hypothèses!$B$4=20),
IF($D354="Pressio.",
IF(OR($E354=3,$E354=1,$E354=4),(PI()*BQ$12^2)/4*(BM354*$W354*1000)/($H354*$B$5),(PI()*BQ$12^2)/4*(BM354*$W354*1000)/($G354*$B$5)),
IF($D354="Pénétro.",
IF(OR($E354=4,$E354=1,$E354=5),(PI()*BQ$12^2)/4*(BM354*$W354*1000)/($H354*$B$5),(PI()*BQ$12^2)/4*(BM354*$W354*1000)/($G354*$B$5)))),
IF($D354="Pressio.",
IF($E354=3,(PI()*BQ$12^2)/4*(BM354*$W354*1000)/($H354*$B$5),(PI()*BQ$12^2)/4*(BM354*$W354*1000)/($G354*$B$5)),
IF($D354="Pénétro.",
IF($E354=4,(PI()*BQ$12^2)/4*(BM354*$W354*1000)/($H354*$B$5),(PI()*BQ$12^2)/4*(BM354*$W354*1000)/($G354*$B$5))))))/10</f>
        <v>#N/A</v>
      </c>
      <c r="BR354" s="102" t="e">
        <f>(VLOOKUP($B$3,'Coeff EC7'!$T$39:$X$59,2,0)*BP354+VLOOKUP($B$3,'Coeff EC7'!$T$65:$X$85,2,0)*Model0.1C!BQ354)/1.1</f>
        <v>#N/A</v>
      </c>
      <c r="BS354" s="102" t="e">
        <f>(VLOOKUP($B$3,'Coeff EC7'!$T$39:$X$59,3,0)*BP354+VLOOKUP($B$3,'Coeff EC7'!$T$65:$X$85,3,0)*Model0.1C!BQ354)/0.9</f>
        <v>#N/A</v>
      </c>
      <c r="BT354" s="102" t="e">
        <f t="shared" si="578"/>
        <v>#N/A</v>
      </c>
      <c r="BU354" s="102" t="e">
        <f t="shared" si="579"/>
        <v>#N/A</v>
      </c>
      <c r="BV354" s="414" t="e">
        <f>IF(BV353=0,0,IF(AND(BR354&gt;charge_ELS_quasi,BS354&gt;Charge_ELS_freq,BT354&gt;charge_ELU,BU354&gt;charge_ELA,$B354&gt;NDC!$H$22-0.1+MIN(3*$BV$12,1.5)),0,1))</f>
        <v>#N/A</v>
      </c>
      <c r="BW354" s="86" t="b">
        <f t="shared" si="547"/>
        <v>0</v>
      </c>
      <c r="BX354" s="86">
        <f t="shared" si="548"/>
        <v>0.5</v>
      </c>
      <c r="BY354" s="86">
        <f t="shared" si="549"/>
        <v>0.5</v>
      </c>
      <c r="BZ354" s="30" t="e">
        <f t="shared" ca="1" si="580"/>
        <v>#DIV/0!</v>
      </c>
      <c r="CA354" s="85" t="e">
        <f ca="1">IF(BG354&lt;=Hypothèses!$V$7,Hypothèses!$W$7,IF(BG354&lt;=Hypothèses!$V$8,Hypothèses!$W$8,IF(BG354&lt;=Hypothèses!$V$9,Hypothèses!$W$9,IF(BG354&lt;=Hypothèses!$V$10,Hypothèses!$W$10,IF(BG354&lt;=Hypothèses!$V$11,Hypothèses!$W$11,IF(BG354&lt;=Hypothèses!$V$12,Hypothèses!$W$12,IF(BG354&lt;=Hypothèses!$V$13,Hypothèses!$W$13,IF(BG354&lt;=Hypothèses!$V$14,Hypothèses!$W$14,IF(BG354&lt;=Hypothèses!$V$15,Hypothèses!$W$15,IF(BG354&lt;=Hypothèses!$V$16,Hypothèses!$W$16,IF(BG354&lt;=Hypothèses!$V$17,Hypothèses!$W$17,IF(BG354&lt;=Hypothèses!$V$18,Hypothèses!$W$18,""))))))))))))</f>
        <v>#DIV/0!</v>
      </c>
      <c r="CB354" s="87" t="e">
        <f t="shared" ca="1" si="619"/>
        <v>#DIV/0!</v>
      </c>
      <c r="CC354" s="88" t="e">
        <f ca="1">IF(BG354&lt;=Hypothèses!$V$7,Hypothèses!$X$7,IF(BG354&lt;=Hypothèses!$V$8,Hypothèses!$X$8,IF(BG354&lt;=Hypothèses!$V$9,Hypothèses!$X$9,IF(BG354&lt;=Hypothèses!$V$10,Hypothèses!$X$10,IF(BG354&lt;=Hypothèses!$V$11,Hypothèses!$X$11,IF(BG354&lt;=Hypothèses!$V$12,Hypothèses!$X$12,IF(BG354&lt;=Hypothèses!$V$13,Hypothèses!$X$13,IF(BG354&lt;=Hypothèses!$V$14,Hypothèses!$X$14,IF(BG354&lt;=Hypothèses!$V$15,Hypothèses!$X$15,IF(BG354&lt;=Hypothèses!$V$16,Hypothèses!$X$16,IF(BG354&lt;=Hypothèses!$U$17,Hypothèses!$W$17,IF(BG354&lt;=Hypothèses!$U$18,Hypothèses!$W$18,""))))))))))))</f>
        <v>#DIV/0!</v>
      </c>
      <c r="CD354" s="95" t="e">
        <f t="shared" ca="1" si="581"/>
        <v>#DIV/0!</v>
      </c>
      <c r="CE354" s="101" t="e">
        <f t="shared" si="626"/>
        <v>#N/A</v>
      </c>
      <c r="CF354" s="91" t="e">
        <f t="shared" si="550"/>
        <v>#N/A</v>
      </c>
      <c r="CG354" s="30" t="e">
        <f t="shared" si="606"/>
        <v>#N/A</v>
      </c>
      <c r="CH354" s="30" t="e">
        <f t="shared" si="607"/>
        <v>#N/A</v>
      </c>
      <c r="CI354" s="31" t="e">
        <f>IF(OR(Hypothèses!$B$4=17,Hypothèses!$B$4=18,Hypothèses!$B$4=19,Hypothèses!$B$4=20),
IF($D354="Pressio.",
IF(OR($E354=3,$E354=1,$E354=4),CH354,CG354),
IF($D354="Pénétro.",
IF(OR($E354=3,$E354=1,$E354=4),CH354,CG354))),IF($D354="Pressio.",
IF($E354=3,CH354,CG354),
IF($D354="Pénétro.",
IF($E354=4,CH354,CG354))))</f>
        <v>#N/A</v>
      </c>
      <c r="CJ354" s="31" t="e">
        <f>(IF(OR(Hypothèses!$B$4=17,Hypothèses!$B$4=18,Hypothèses!$B$4=19,Hypothèses!$B$4=20),
IF($D354="Pressio.",
IF(OR($E354=3,$E354=1,$E354=4),(PI()*CJ$12^2)/4*(CF354*$W354*1000)/($H354*$B$5),(PI()*CJ$12^2)/4*(CF354*$W354*1000)/($G354*$B$5)),
IF($D354="Pénétro.",
IF(OR($E354=4,$E354=1,$E354=5),(PI()*CJ$12^2)/4*(CF354*$W354*1000)/($H354*$B$5),(PI()*CJ$12^2)/4*(CF354*$W354*1000)/($G354*$B$5)))),
IF($D354="Pressio.",
IF($E354=3,(PI()*CJ$12^2)/4*(CF354*$W354*1000)/($H354*$B$5),(PI()*CJ$12^2)/4*(CF354*$W354*1000)/($G354*$B$5)),
IF($D354="Pénétro.",
IF($E354=4,(PI()*CJ$12^2)/4*(CF354*$W354*1000)/($H354*$B$5),(PI()*CJ$12^2)/4*(CF354*$W354*1000)/($G354*$B$5))))))/10</f>
        <v>#N/A</v>
      </c>
      <c r="CK354" s="102" t="e">
        <f>(VLOOKUP($B$3,'Coeff EC7'!$T$39:$X$59,2,0)*CI354+VLOOKUP($B$3,'Coeff EC7'!$T$65:$X$85,2,0)*Model0.1C!CJ354)/1.1</f>
        <v>#N/A</v>
      </c>
      <c r="CL354" s="102" t="e">
        <f>(VLOOKUP($B$3,'Coeff EC7'!$T$39:$X$59,3,0)*CI354+VLOOKUP($B$3,'Coeff EC7'!$T$65:$X$85,3,0)*Model0.1C!CJ354)/0.9</f>
        <v>#N/A</v>
      </c>
      <c r="CM354" s="102" t="e">
        <f t="shared" si="582"/>
        <v>#N/A</v>
      </c>
      <c r="CN354" s="102" t="e">
        <f t="shared" si="583"/>
        <v>#N/A</v>
      </c>
      <c r="CO354" s="414" t="e">
        <f>IF(CO353=0,0,IF(AND(CK354&gt;charge_ELS_quasi,CL354&gt;Charge_ELS_freq,CM354&gt;charge_ELU,CN354&gt;charge_ELA,$B354&gt;NDC!$H$22-0.1+MIN(3*$CO$12,1.5)),0,1))</f>
        <v>#N/A</v>
      </c>
      <c r="CP354" s="86" t="b">
        <f t="shared" si="551"/>
        <v>0</v>
      </c>
      <c r="CQ354" s="86">
        <f t="shared" si="552"/>
        <v>0.5</v>
      </c>
      <c r="CR354" s="86">
        <f t="shared" si="553"/>
        <v>0.5</v>
      </c>
      <c r="CS354" s="30" t="e">
        <f t="shared" ca="1" si="584"/>
        <v>#DIV/0!</v>
      </c>
      <c r="CT354" s="85" t="e">
        <f ca="1">IF(BZ354&lt;=Hypothèses!$V$7,Hypothèses!$W$7,IF(BZ354&lt;=Hypothèses!$V$8,Hypothèses!$W$8,IF(BZ354&lt;=Hypothèses!$V$9,Hypothèses!$W$9,IF(BZ354&lt;=Hypothèses!$V$10,Hypothèses!$W$10,IF(BZ354&lt;=Hypothèses!$V$11,Hypothèses!$W$11,IF(BZ354&lt;=Hypothèses!$V$12,Hypothèses!$W$12,IF(BZ354&lt;=Hypothèses!$V$13,Hypothèses!$W$13,IF(BZ354&lt;=Hypothèses!$V$14,Hypothèses!$W$14,IF(BZ354&lt;=Hypothèses!$V$15,Hypothèses!$W$15,IF(BZ354&lt;=Hypothèses!$V$16,Hypothèses!$W$16,IF(BZ354&lt;=Hypothèses!$V$17,Hypothèses!$W$17,IF(BZ354&lt;=Hypothèses!$V$18,Hypothèses!$W$18,""))))))))))))</f>
        <v>#DIV/0!</v>
      </c>
      <c r="CU354" s="87" t="e">
        <f t="shared" ca="1" si="620"/>
        <v>#DIV/0!</v>
      </c>
      <c r="CV354" s="88" t="e">
        <f ca="1">IF(BZ354&lt;=Hypothèses!$V$7,Hypothèses!$X$7,IF(BZ354&lt;=Hypothèses!$V$8,Hypothèses!$X$8,IF(BZ354&lt;=Hypothèses!$V$9,Hypothèses!$X$9,IF(BZ354&lt;=Hypothèses!$V$10,Hypothèses!$X$10,IF(BZ354&lt;=Hypothèses!$V$11,Hypothèses!$X$11,IF(BZ354&lt;=Hypothèses!$V$12,Hypothèses!$X$12,IF(BZ354&lt;=Hypothèses!$V$13,Hypothèses!$X$13,IF(BZ354&lt;=Hypothèses!$V$14,Hypothèses!$X$14,IF(BZ354&lt;=Hypothèses!$V$15,Hypothèses!$X$15,IF(BZ354&lt;=Hypothèses!$V$16,Hypothèses!$X$16,IF(BZ354&lt;=Hypothèses!$U$17,Hypothèses!$W$17,IF(BZ354&lt;=Hypothèses!$U$18,Hypothèses!$W$18,""))))))))))))</f>
        <v>#DIV/0!</v>
      </c>
      <c r="CW354" s="95" t="e">
        <f t="shared" ca="1" si="585"/>
        <v>#DIV/0!</v>
      </c>
      <c r="CX354" s="101" t="e">
        <f t="shared" si="627"/>
        <v>#N/A</v>
      </c>
      <c r="CY354" s="91" t="e">
        <f t="shared" si="554"/>
        <v>#N/A</v>
      </c>
      <c r="CZ354" s="30" t="e">
        <f t="shared" si="608"/>
        <v>#N/A</v>
      </c>
      <c r="DA354" s="30" t="e">
        <f t="shared" si="609"/>
        <v>#N/A</v>
      </c>
      <c r="DB354" s="31" t="e">
        <f>IF(OR(Hypothèses!$B$4=17,Hypothèses!$B$4=18,Hypothèses!$B$4=19,Hypothèses!$B$4=20),
IF($D354="Pressio.",
IF(OR($E354=3,$E354=1,$E354=4),DA354,CZ354),
IF($D354="Pénétro.",
IF(OR($E354=3,$E354=1,$E354=4),DA354,CZ354))),IF($D354="Pressio.",
IF($E354=3,DA354,CZ354),
IF($D354="Pénétro.",
IF($E354=4,DA354,CZ354))))</f>
        <v>#N/A</v>
      </c>
      <c r="DC354" s="31" t="e">
        <f>(IF(OR(Hypothèses!$B$4=17,Hypothèses!$B$4=18,Hypothèses!$B$4=19,Hypothèses!$B$4=20),
IF($D354="Pressio.",
IF(OR($E354=3,$E354=1,$E354=4),(PI()*DC$12^2)/4*(CY354*$W354*1000)/($H354*$B$5),(PI()*DC$12^2)/4*(CY354*$W354*1000)/($G354*$B$5)),
IF($D354="Pénétro.",
IF(OR($E354=4,$E354=1,$E354=5),(PI()*DC$12^2)/4*(CY354*$W354*1000)/($H354*$B$5),(PI()*DC$12^2)/4*(CY354*$W354*1000)/($G354*$B$5)))),
IF($D354="Pressio.",
IF($E354=3,(PI()*DC$12^2)/4*(CY354*$W354*1000)/($H354*$B$5),(PI()*DC$12^2)/4*(CY354*$W354*1000)/($G354*$B$5)),
IF($D354="Pénétro.",
IF($E354=4,(PI()*DC$12^2)/4*(CY354*$W354*1000)/($H354*$B$5),(PI()*DC$12^2)/4*(CY354*$W354*1000)/($G354*$B$5))))))/10</f>
        <v>#N/A</v>
      </c>
      <c r="DD354" s="102" t="e">
        <f>(VLOOKUP($B$3,'Coeff EC7'!$T$39:$X$59,2,0)*DB354+VLOOKUP($B$3,'Coeff EC7'!$T$65:$X$85,2,0)*Model0.1C!DC354)/1.1</f>
        <v>#N/A</v>
      </c>
      <c r="DE354" s="102" t="e">
        <f>(VLOOKUP($B$3,'Coeff EC7'!$T$39:$X$59,3,0)*DB354+VLOOKUP($B$3,'Coeff EC7'!$T$65:$X$85,3,0)*Model0.1C!DC354)/0.9</f>
        <v>#N/A</v>
      </c>
      <c r="DF354" s="102" t="e">
        <f t="shared" si="586"/>
        <v>#N/A</v>
      </c>
      <c r="DG354" s="102" t="e">
        <f t="shared" si="587"/>
        <v>#N/A</v>
      </c>
      <c r="DH354" s="414" t="e">
        <f>IF(DH353=0,0,IF(AND(DD354&gt;charge_ELS_quasi,DE354&gt;Charge_ELS_freq,DF354&gt;charge_ELU,DG354&gt;charge_ELA,$B354&gt;NDC!$H$22-0.1+MIN(3*$DH$12,1.5)),0,1))</f>
        <v>#N/A</v>
      </c>
      <c r="DI354" s="86" t="b">
        <f t="shared" si="555"/>
        <v>0</v>
      </c>
      <c r="DJ354" s="86">
        <f t="shared" si="556"/>
        <v>0.5</v>
      </c>
      <c r="DK354" s="86">
        <f t="shared" si="557"/>
        <v>0.5</v>
      </c>
      <c r="DL354" s="30" t="e">
        <f t="shared" ca="1" si="588"/>
        <v>#DIV/0!</v>
      </c>
      <c r="DM354" s="85" t="e">
        <f ca="1">IF(CS354&lt;=Hypothèses!$V$7,Hypothèses!$W$7,IF(CS354&lt;=Hypothèses!$V$8,Hypothèses!$W$8,IF(CS354&lt;=Hypothèses!$V$9,Hypothèses!$W$9,IF(CS354&lt;=Hypothèses!$V$10,Hypothèses!$W$10,IF(CS354&lt;=Hypothèses!$V$11,Hypothèses!$W$11,IF(CS354&lt;=Hypothèses!$V$12,Hypothèses!$W$12,IF(CS354&lt;=Hypothèses!$V$13,Hypothèses!$W$13,IF(CS354&lt;=Hypothèses!$V$14,Hypothèses!$W$14,IF(CS354&lt;=Hypothèses!$V$15,Hypothèses!$W$15,IF(CS354&lt;=Hypothèses!$V$16,Hypothèses!$W$16,IF(CS354&lt;=Hypothèses!$V$17,Hypothèses!$W$17,IF(CS354&lt;=Hypothèses!$V$18,Hypothèses!$W$18,""))))))))))))</f>
        <v>#DIV/0!</v>
      </c>
      <c r="DN354" s="87" t="e">
        <f t="shared" ca="1" si="621"/>
        <v>#DIV/0!</v>
      </c>
      <c r="DO354" s="88" t="e">
        <f ca="1">IF(CS354&lt;=Hypothèses!$V$7,Hypothèses!$X$7,IF(CS354&lt;=Hypothèses!$V$8,Hypothèses!$X$8,IF(CS354&lt;=Hypothèses!$V$9,Hypothèses!$X$9,IF(CS354&lt;=Hypothèses!$V$10,Hypothèses!$X$10,IF(CS354&lt;=Hypothèses!$V$11,Hypothèses!$X$11,IF(CS354&lt;=Hypothèses!$V$12,Hypothèses!$X$12,IF(CS354&lt;=Hypothèses!$V$13,Hypothèses!$X$13,IF(CS354&lt;=Hypothèses!$V$14,Hypothèses!$X$14,IF(CS354&lt;=Hypothèses!$V$15,Hypothèses!$X$15,IF(CS354&lt;=Hypothèses!$V$16,Hypothèses!$X$16,IF(CS354&lt;=Hypothèses!$U$17,Hypothèses!$W$17,IF(CS354&lt;=Hypothèses!$U$18,Hypothèses!$W$18,""))))))))))))</f>
        <v>#DIV/0!</v>
      </c>
      <c r="DP354" s="95" t="e">
        <f t="shared" ca="1" si="589"/>
        <v>#DIV/0!</v>
      </c>
      <c r="DQ354" s="101" t="e">
        <f t="shared" si="628"/>
        <v>#N/A</v>
      </c>
      <c r="DR354" s="91" t="e">
        <f t="shared" si="558"/>
        <v>#N/A</v>
      </c>
      <c r="DS354" s="30" t="e">
        <f t="shared" si="610"/>
        <v>#N/A</v>
      </c>
      <c r="DT354" s="30" t="e">
        <f t="shared" si="611"/>
        <v>#N/A</v>
      </c>
      <c r="DU354" s="31" t="e">
        <f>IF(OR(Hypothèses!$B$4=17,Hypothèses!$B$4=18,Hypothèses!$B$4=19,Hypothèses!$B$4=20),
IF($D354="Pressio.",
IF(OR($E354=3,$E354=1,$E354=4),DT354,DS354),
IF($D354="Pénétro.",
IF(OR($E354=3,$E354=1,$E354=4),DT354,DS354))),IF($D354="Pressio.",
IF($E354=3,DT354,DS354),
IF($D354="Pénétro.",
IF($E354=4,DT354,DS354))))</f>
        <v>#N/A</v>
      </c>
      <c r="DV354" s="31" t="e">
        <f>(IF(OR(Hypothèses!$B$4=17,Hypothèses!$B$4=18,Hypothèses!$B$4=19,Hypothèses!$B$4=20),
IF($D354="Pressio.",
IF(OR($E354=3,$E354=1,$E354=4),(PI()*DV$12^2)/4*(DR354*$W354*1000)/($H354*$B$5),(PI()*DV$12^2)/4*(DR354*$W354*1000)/($G354*$B$5)),
IF($D354="Pénétro.",
IF(OR($E354=4,$E354=1,$E354=5),(PI()*DV$12^2)/4*(DR354*$W354*1000)/($H354*$B$5),(PI()*DV$12^2)/4*(DR354*$W354*1000)/($G354*$B$5)))),
IF($D354="Pressio.",
IF($E354=3,(PI()*DV$12^2)/4*(DR354*$W354*1000)/($H354*$B$5),(PI()*DV$12^2)/4*(DR354*$W354*1000)/($G354*$B$5)),
IF($D354="Pénétro.",
IF($E354=4,(PI()*DV$12^2)/4*(DR354*$W354*1000)/($H354*$B$5),(PI()*DV$12^2)/4*(DR354*$W354*1000)/($G354*$B$5))))))/10</f>
        <v>#N/A</v>
      </c>
      <c r="DW354" s="102" t="e">
        <f>(VLOOKUP($B$3,'Coeff EC7'!$T$39:$X$59,2,0)*DU354+VLOOKUP($B$3,'Coeff EC7'!$T$65:$X$85,2,0)*Model0.1C!DV354)/1.1</f>
        <v>#N/A</v>
      </c>
      <c r="DX354" s="102" t="e">
        <f>(VLOOKUP($B$3,'Coeff EC7'!$T$39:$X$59,3,0)*DU354+VLOOKUP($B$3,'Coeff EC7'!$T$65:$X$85,3,0)*Model0.1C!DV354)/0.9</f>
        <v>#N/A</v>
      </c>
      <c r="DY354" s="102" t="e">
        <f t="shared" si="590"/>
        <v>#N/A</v>
      </c>
      <c r="DZ354" s="102" t="e">
        <f t="shared" si="591"/>
        <v>#N/A</v>
      </c>
      <c r="EA354" s="414" t="e">
        <f>IF(EA353=0,0,IF(AND(DW354&gt;charge_ELS_quasi,DX354&gt;Charge_ELS_freq,DY354&gt;charge_ELU,DZ354&gt;charge_ELA,$B354&gt;NDC!$H$22-0.1+MIN(3*$EA$12,1.5)),0,1))</f>
        <v>#N/A</v>
      </c>
      <c r="EB354" s="86" t="b">
        <f t="shared" si="559"/>
        <v>0</v>
      </c>
      <c r="EC354" s="418">
        <f t="shared" si="560"/>
        <v>0.51</v>
      </c>
      <c r="ED354" s="86">
        <f t="shared" si="561"/>
        <v>0.51</v>
      </c>
      <c r="EE354" s="30" t="e">
        <f t="shared" ca="1" si="592"/>
        <v>#DIV/0!</v>
      </c>
      <c r="EF354" s="85" t="e">
        <f ca="1">IF(DL354&lt;=Hypothèses!$V$7,Hypothèses!$W$7,IF(DL354&lt;=Hypothèses!$V$8,Hypothèses!$W$8,IF(DL354&lt;=Hypothèses!$V$9,Hypothèses!$W$9,IF(DL354&lt;=Hypothèses!$V$10,Hypothèses!$W$10,IF(DL354&lt;=Hypothèses!$V$11,Hypothèses!$W$11,IF(DL354&lt;=Hypothèses!$V$12,Hypothèses!$W$12,IF(DL354&lt;=Hypothèses!$V$13,Hypothèses!$W$13,IF(DL354&lt;=Hypothèses!$V$14,Hypothèses!$W$14,IF(DL354&lt;=Hypothèses!$V$15,Hypothèses!$W$15,IF(DL354&lt;=Hypothèses!$V$16,Hypothèses!$W$16,IF(DL354&lt;=Hypothèses!$V$17,Hypothèses!$W$17,IF(DL354&lt;=Hypothèses!$V$18,Hypothèses!$W$18,""))))))))))))</f>
        <v>#DIV/0!</v>
      </c>
      <c r="EG354" s="87" t="e">
        <f t="shared" ca="1" si="622"/>
        <v>#DIV/0!</v>
      </c>
      <c r="EH354" s="88" t="e">
        <f ca="1">IF(DL354&lt;=Hypothèses!$V$7,Hypothèses!$X$7,IF(DL354&lt;=Hypothèses!$V$8,Hypothèses!$X$8,IF(DL354&lt;=Hypothèses!$V$9,Hypothèses!$X$9,IF(DL354&lt;=Hypothèses!$V$10,Hypothèses!$X$10,IF(DL354&lt;=Hypothèses!$V$11,Hypothèses!$X$11,IF(DL354&lt;=Hypothèses!$V$12,Hypothèses!$X$12,IF(DL354&lt;=Hypothèses!$V$13,Hypothèses!$X$13,IF(DL354&lt;=Hypothèses!$V$14,Hypothèses!$X$14,IF(DL354&lt;=Hypothèses!$V$15,Hypothèses!$X$15,IF(DL354&lt;=Hypothèses!$V$16,Hypothèses!$X$16,IF(DL354&lt;=Hypothèses!$U$17,Hypothèses!$W$17,IF(DL354&lt;=Hypothèses!$U$18,Hypothèses!$W$18,""))))))))))))</f>
        <v>#DIV/0!</v>
      </c>
      <c r="EI354" s="95" t="e">
        <f t="shared" ca="1" si="593"/>
        <v>#DIV/0!</v>
      </c>
      <c r="EJ354" s="101" t="e">
        <f t="shared" si="629"/>
        <v>#N/A</v>
      </c>
      <c r="EK354" s="91" t="e">
        <f t="shared" si="562"/>
        <v>#N/A</v>
      </c>
      <c r="EL354" s="30" t="e">
        <f t="shared" si="612"/>
        <v>#N/A</v>
      </c>
      <c r="EM354" s="30" t="e">
        <f t="shared" si="613"/>
        <v>#N/A</v>
      </c>
      <c r="EN354" s="31" t="e">
        <f>IF(OR(Hypothèses!$B$4=17,Hypothèses!$B$4=18,Hypothèses!$B$4=19,Hypothèses!$B$4=20),
IF($D354="Pressio.",
IF(OR($E354=3,$E354=1,$E354=4),EM354,EL354),
IF($D354="Pénétro.",
IF(OR($E354=3,$E354=1,$E354=4),EM354,EL354))),IF($D354="Pressio.",
IF($E354=3,EM354,EL354),
IF($D354="Pénétro.",
IF($E354=4,EM354,EL354))))</f>
        <v>#N/A</v>
      </c>
      <c r="EO354" s="31" t="e">
        <f>(IF(OR(Hypothèses!$B$4=17,Hypothèses!$B$4=18,Hypothèses!$B$4=19,Hypothèses!$B$4=20),
IF($D354="Pressio.",
IF(OR($E354=3,$E354=1,$E354=4),(PI()*EO$12^2)/4*(EK354*$W354*1000)/($H354*$B$5),(PI()*EO$12^2)/4*(EK354*$W354*1000)/($G354*$B$5)),
IF($D354="Pénétro.",
IF(OR($E354=4,$E354=1,$E354=5),(PI()*EO$12^2)/4*(EK354*$W354*1000)/($H354*$B$5),(PI()*EO$12^2)/4*(EK354*$W354*1000)/($G354*$B$5)))),
IF($D354="Pressio.",
IF($E354=3,(PI()*EO$12^2)/4*(EK354*$W354*1000)/($H354*$B$5),(PI()*EO$12^2)/4*(EK354*$W354*1000)/($G354*$B$5)),
IF($D354="Pénétro.",
IF($E354=4,(PI()*EO$12^2)/4*(EK354*$W354*1000)/($H354*$B$5),(PI()*EO$12^2)/4*(EK354*$W354*1000)/($G354*$B$5))))))/10</f>
        <v>#N/A</v>
      </c>
      <c r="EP354" s="102" t="e">
        <f>(VLOOKUP($B$3,'Coeff EC7'!$T$39:$X$59,2,0)*EN354+VLOOKUP($B$3,'Coeff EC7'!$T$65:$X$85,2,0)*Model0.1C!EO354)/1.1</f>
        <v>#N/A</v>
      </c>
      <c r="EQ354" s="102" t="e">
        <f>(VLOOKUP($B$3,'Coeff EC7'!$T$39:$X$59,3,0)*EN354+VLOOKUP($B$3,'Coeff EC7'!$T$65:$X$85,3,0)*Model0.1C!EO354)/0.9</f>
        <v>#N/A</v>
      </c>
      <c r="ER354" s="102" t="e">
        <f t="shared" si="594"/>
        <v>#N/A</v>
      </c>
      <c r="ES354" s="102" t="e">
        <f t="shared" si="595"/>
        <v>#N/A</v>
      </c>
      <c r="ET354" s="414" t="e">
        <f>IF(ET353=0,0,IF(AND(EP354&gt;charge_ELS_quasi,EQ354&gt;Charge_ELS_freq,ER354&gt;charge_ELU,ES354&gt;charge_ELA,$B354&gt;NDC!$H$22-0.1+MIN(3*$ET$12,1.5)),0,1))</f>
        <v>#N/A</v>
      </c>
      <c r="EU354" s="86" t="b">
        <f t="shared" si="563"/>
        <v>0</v>
      </c>
      <c r="EV354" s="86">
        <f t="shared" si="564"/>
        <v>0.61</v>
      </c>
      <c r="EW354" s="86">
        <f t="shared" si="565"/>
        <v>0.61</v>
      </c>
      <c r="EX354" s="30" t="e">
        <f t="shared" ca="1" si="596"/>
        <v>#DIV/0!</v>
      </c>
      <c r="EY354" s="85" t="e">
        <f ca="1">IF(EE354&lt;=Hypothèses!$V$7,Hypothèses!$W$7,IF(EE354&lt;=Hypothèses!$V$8,Hypothèses!$W$8,IF(EE354&lt;=Hypothèses!$V$9,Hypothèses!$W$9,IF(EE354&lt;=Hypothèses!$V$10,Hypothèses!$W$10,IF(EE354&lt;=Hypothèses!$V$11,Hypothèses!$W$11,IF(EE354&lt;=Hypothèses!$V$12,Hypothèses!$W$12,IF(EE354&lt;=Hypothèses!$V$13,Hypothèses!$W$13,IF(EE354&lt;=Hypothèses!$V$14,Hypothèses!$W$14,IF(EE354&lt;=Hypothèses!$V$15,Hypothèses!$W$15,IF(EE354&lt;=Hypothèses!$V$16,Hypothèses!$W$16,IF(EE354&lt;=Hypothèses!$V$17,Hypothèses!$W$17,IF(EE354&lt;=Hypothèses!$V$18,Hypothèses!$W$18,""))))))))))))</f>
        <v>#DIV/0!</v>
      </c>
      <c r="EZ354" s="87" t="e">
        <f t="shared" ca="1" si="623"/>
        <v>#DIV/0!</v>
      </c>
      <c r="FA354" s="88" t="e">
        <f ca="1">IF(EE354&lt;=Hypothèses!$V$7,Hypothèses!$X$7,IF(EE354&lt;=Hypothèses!$V$8,Hypothèses!$X$8,IF(EE354&lt;=Hypothèses!$V$9,Hypothèses!$X$9,IF(EE354&lt;=Hypothèses!$V$10,Hypothèses!$X$10,IF(EE354&lt;=Hypothèses!$V$11,Hypothèses!$X$11,IF(EE354&lt;=Hypothèses!$V$12,Hypothèses!$X$12,IF(EE354&lt;=Hypothèses!$V$13,Hypothèses!$X$13,IF(EE354&lt;=Hypothèses!$V$14,Hypothèses!$X$14,IF(EE354&lt;=Hypothèses!$V$15,Hypothèses!$X$15,IF(EE354&lt;=Hypothèses!$V$16,Hypothèses!$X$16,IF(EE354&lt;=Hypothèses!$U$17,Hypothèses!$W$17,IF(EE354&lt;=Hypothèses!$U$18,Hypothèses!$W$18,""))))))))))))</f>
        <v>#DIV/0!</v>
      </c>
      <c r="FB354" s="95" t="e">
        <f t="shared" ca="1" si="597"/>
        <v>#DIV/0!</v>
      </c>
      <c r="FC354" s="101" t="e">
        <f t="shared" si="630"/>
        <v>#N/A</v>
      </c>
      <c r="FD354" s="91" t="e">
        <f t="shared" si="566"/>
        <v>#N/A</v>
      </c>
      <c r="FE354" s="30" t="e">
        <f t="shared" si="614"/>
        <v>#N/A</v>
      </c>
      <c r="FF354" s="30" t="e">
        <f t="shared" si="615"/>
        <v>#N/A</v>
      </c>
      <c r="FG354" s="31" t="e">
        <f>IF(OR(Hypothèses!$B$4=17,Hypothèses!$B$4=18,Hypothèses!$B$4=19,Hypothèses!$B$4=20),
IF($D354="Pressio.",
IF(OR($E354=3,$E354=1,$E354=4),FF354,FE354),
IF($D354="Pénétro.",
IF(OR($E354=3,$E354=1,$E354=4),FF354,FE354))),IF($D354="Pressio.",
IF($E354=3,FF354,FE354),
IF($D354="Pénétro.",
IF($E354=4,FF354,FE354))))</f>
        <v>#N/A</v>
      </c>
      <c r="FH354" s="31" t="e">
        <f>(IF(OR(Hypothèses!$B$4=17,Hypothèses!$B$4=18,Hypothèses!$B$4=19,Hypothèses!$B$4=20),
IF($D354="Pressio.",
IF(OR($E354=3,$E354=1,$E354=4),(PI()*FH$12^2)/4*(FD354*$W354*1000)/($H354*$B$5),(PI()*FH$12^2)/4*(FD354*$W354*1000)/($G354*$B$5)),
IF($D354="Pénétro.",
IF(OR($E354=4,$E354=1,$E354=5),(PI()*FH$12^2)/4*(FD354*$W354*1000)/($H354*$B$5),(PI()*FH$12^2)/4*(FD354*$W354*1000)/($G354*$B$5)))),
IF($D354="Pressio.",
IF($E354=3,(PI()*FH$12^2)/4*(FD354*$W354*1000)/($H354*$B$5),(PI()*FH$12^2)/4*(FD354*$W354*1000)/($G354*$B$5)),
IF($D354="Pénétro.",
IF($E354=4,(PI()*FH$12^2)/4*(FD354*$W354*1000)/($H354*$B$5),(PI()*FH$12^2)/4*(FD354*$W354*1000)/($G354*$B$5))))))/10</f>
        <v>#N/A</v>
      </c>
      <c r="FI354" s="102" t="e">
        <f>(VLOOKUP($B$3,'Coeff EC7'!$T$39:$X$59,2,0)*FG354+VLOOKUP($B$3,'Coeff EC7'!$T$65:$X$85,2,0)*Model0.1C!FH354)/1.1</f>
        <v>#N/A</v>
      </c>
      <c r="FJ354" s="102" t="e">
        <f>(VLOOKUP($B$3,'Coeff EC7'!$T$39:$X$59,3,0)*FG354+VLOOKUP($B$3,'Coeff EC7'!$T$65:$X$85,3,0)*Model0.1C!FH354)/0.9</f>
        <v>#N/A</v>
      </c>
      <c r="FK354" s="102" t="e">
        <f t="shared" si="598"/>
        <v>#N/A</v>
      </c>
      <c r="FL354" s="102" t="e">
        <f t="shared" si="599"/>
        <v>#N/A</v>
      </c>
      <c r="FM354" s="414" t="e">
        <f>IF(FM353=0,0,IF(AND(FI354&gt;charge_ELS_quasi,FJ354&gt;Charge_ELS_freq,FK354&gt;charge_ELU,FL354&gt;charge_ELA,$B354&gt;NDC!$H$22-0.1+MIN(3*$FM$12,1.5)),0,1))</f>
        <v>#N/A</v>
      </c>
    </row>
    <row r="355" spans="1:169">
      <c r="A355" s="96">
        <f t="shared" si="567"/>
        <v>65.800000000001944</v>
      </c>
      <c r="B355" s="97">
        <v>34.200000000000003</v>
      </c>
      <c r="C355" s="81">
        <f>IF(B355&lt;=Hypothèses!$C$7,Hypothèses!$A$7,IF(B355&lt;=Hypothèses!$C$8,Hypothèses!$A$8,IF(B355&lt;=Hypothèses!$C$9,Hypothèses!$A$9,IF(B355&lt;=Hypothèses!$C$10,Hypothèses!$A$10,IF(B355&lt;=Hypothèses!$C$11,Hypothèses!$A$11,IF(B355&lt;=Hypothèses!$C$12,Hypothèses!$A$12,IF(B355&lt;=Hypothèses!$C$13,Hypothèses!$A$13,IF(B355&lt;=Hypothèses!$C$14,Hypothèses!$A$14,IF(B355&lt;=Hypothèses!$C$15,Hypothèses!$A$15,IF(B355&lt;=Hypothèses!$C$16,Hypothèses!$A$16,IF(B355&lt;=Hypothèses!$C$17,Hypothèses!$A$17,IF(B355&lt;=Hypothèses!$C$18,Hypothèses!$A$18,C354))))))))))))</f>
        <v>11</v>
      </c>
      <c r="D355" s="82" t="str">
        <f>IF(B355&lt;=Hypothèses!$C$7,Hypothèses!$R$7,IF(B355&lt;=Hypothèses!$C$8,Hypothèses!$R$8,IF(B355&lt;=Hypothèses!$C$9,Hypothèses!$R$9,IF(B355&lt;=Hypothèses!$C$10,Hypothèses!$R$10,IF(B355&lt;=Hypothèses!$C$11,Hypothèses!$R$11,IF(B355&lt;=Hypothèses!$C$12,Hypothèses!$R$12,IF(B355&lt;=Hypothèses!$C$13,Hypothèses!$R$13,IF(B355&lt;=Hypothèses!$C$14,Hypothèses!$R$14,IF(B355&lt;=Hypothèses!$C$15,Hypothèses!$R$15,IF(B355&lt;=Hypothèses!$C$16,Hypothèses!$R$16,IF(B355&lt;=Hypothèses!$C$17,Hypothèses!$R$17,IF(B355&lt;=Hypothèses!$C$18,Hypothèses!$R$18,D354))))))))))))</f>
        <v>Pressio.</v>
      </c>
      <c r="E355" s="82" t="e">
        <f>IF(B355&lt;=Hypothèses!$C$7,Hypothèses!$G$7,IF(B355&lt;=Hypothèses!$C$8,Hypothèses!$G$8,IF(B355&lt;=Hypothèses!$C$9,Hypothèses!$G$9,IF(B355&lt;=Hypothèses!$C$10,Hypothèses!$G$10,IF(B355&lt;=Hypothèses!$C$11,Hypothèses!$G$11,IF(B355&lt;=Hypothèses!$C$12,Hypothèses!$G$12,IF(B355&lt;=Hypothèses!$C$13,Hypothèses!$G$13,IF(B355&lt;=Hypothèses!$C$14,Hypothèses!$G$14,IF(B355&lt;=Hypothèses!$C$15,Hypothèses!$G$15,IF(B355&lt;=Hypothèses!$C$16,Hypothèses!$G$16,IF(B355&lt;=Hypothèses!$C$17,Hypothèses!$G$17,IF(B355&lt;=Hypothèses!$C$18,Hypothèses!$G$18,E354))))))))))))</f>
        <v>#N/A</v>
      </c>
      <c r="F355" s="82" t="str">
        <f>IF(B355&lt;=Hypothèses!$C$7,Hypothèses!$F$7,IF(B355&lt;=Hypothèses!$C$8,Hypothèses!$F$8,IF(B355&lt;=Hypothèses!$C$9,Hypothèses!$F$9,IF(B355&lt;=Hypothèses!$C$10,Hypothèses!$F$10,IF(B355&lt;=Hypothèses!$C$11,Hypothèses!$F$11,IF(B355&lt;=Hypothèses!$C$12,Hypothèses!$F$12,IF(B355&lt;=Hypothèses!$C$13,Hypothèses!$F$13,IF(B355&lt;=Hypothèses!$C$14,Hypothèses!$F$14,IF(B355&lt;=Hypothèses!$C$15,Hypothèses!$F$15,IF(B355&lt;=Hypothèses!$C$16,Hypothèses!$F$16,IF(B355&lt;=Hypothèses!$C$17,Hypothèses!$F$17,IF(B355&lt;=Hypothèses!$C$18,Hypothèses!$F$18,F354))))))))))))</f>
        <v/>
      </c>
      <c r="G355" s="91">
        <f t="array" ref="G355">INDEX('Coeff EC7'!$U$7:$X$27,
MATCH(Model0.1C!$B$3,'Coeff EC7'!$T$7:$T$27,0),
MATCH(Model0.1C!$D355&amp;Model0.1C!$B$4,
'Coeff EC7'!$U$6:$X$6&amp;
'Coeff EC7'!$U$5:$X$5,0))</f>
        <v>1.1499999999999999</v>
      </c>
      <c r="H355" s="91">
        <f t="array" ref="H355">INDEX('Coeff EC7'!$Y$7:$AB$27,
MATCH(Model0.1C!$B$3,'Coeff EC7'!$T$7:$T$27,0),
MATCH(Model0.1C!$D355&amp;Model0.1C!$B$4,
'Coeff EC7'!$Y$6:$AB$6&amp;
'Coeff EC7'!$Y$5:$AB$5,0))</f>
        <v>1.4</v>
      </c>
      <c r="I355" s="83" t="e">
        <f>IF(B355&lt;=Hypothèses!$C$7,Hypothèses!$P$7,IF(B355&lt;=Hypothèses!$C$8,Hypothèses!$P$8,IF(B355&lt;=Hypothèses!$C$9,Hypothèses!$P$9,IF(B355&lt;=Hypothèses!$C$10,Hypothèses!$P$10,IF(B355&lt;=Hypothèses!$C$11,Hypothèses!$P$11,IF(B355&lt;=Hypothèses!$C$12,Hypothèses!$P$12,IF(B355&lt;=Hypothèses!$C$13,Hypothèses!$P$13,IF(B355&lt;=Hypothèses!$C$14,Hypothèses!$P$14,IF(B355&lt;=Hypothèses!$C$15,Hypothèses!$P$15,IF(B355&lt;=Hypothèses!$C$16,Hypothèses!$P$16,IF(B355&lt;=Hypothèses!$C$17,Hypothèses!$P$17,IF(B355&lt;=Hypothèses!$C$18,Hypothèses!$P$18,I354))))))))))))</f>
        <v>#N/A</v>
      </c>
      <c r="J355" s="91" t="e">
        <f t="array" ref="J355">INDEX('Coeff EC7'!$D$33:$Q$33,1,MATCH(D355&amp;E355,'Coeff EC7'!$D$31:$Q$31&amp;'Coeff EC7'!$D$32:$Q$32,0))</f>
        <v>#N/A</v>
      </c>
      <c r="K355" s="91" t="e">
        <f t="array" ref="K355">INDEX('Coeff EC7'!$D$34:$Q$34,1,MATCH(D355&amp;E355,'Coeff EC7'!$D$31:$Q$31&amp;'Coeff EC7'!$D$32:$Q$32,0))</f>
        <v>#N/A</v>
      </c>
      <c r="L355" s="91" t="e">
        <f t="array" ref="L355">INDEX('Coeff EC7'!$D$35:$Q$35,1,MATCH(D355&amp;E355,'Coeff EC7'!$D$31:$Q$31&amp;'Coeff EC7'!$D$32:$Q$32,0))</f>
        <v>#N/A</v>
      </c>
      <c r="M355" s="98" t="e">
        <f t="shared" si="531"/>
        <v>#N/A</v>
      </c>
      <c r="N355" s="99" t="e">
        <f t="array" ref="N355">INDEX('Coeff EC7'!$D$7:$Q$27,MATCH($B$3,'Coeff EC7'!$C$7:$C$27,0),MATCH(D355&amp;E355,'Coeff EC7'!$D$5:$Q$5&amp;'Coeff EC7'!$D$6:$Q$6,0))</f>
        <v>#N/A</v>
      </c>
      <c r="O355" s="99" t="e">
        <f t="array" ref="O355">INDEX('Coeff EC7'!$D$41:$Q$61,MATCH($B$3,'Coeff EC7'!$C$41:$C$61,0),MATCH(D355&amp;E355,'Coeff EC7'!$D$39:$Q$39&amp;'Coeff EC7'!$D$40:$Q$40,0))</f>
        <v>#N/A</v>
      </c>
      <c r="P355" s="30" t="e">
        <f t="shared" si="568"/>
        <v>#N/A</v>
      </c>
      <c r="Q355" s="100" t="e">
        <f t="shared" si="533"/>
        <v>#N/A</v>
      </c>
      <c r="R355" s="86" t="b">
        <f t="shared" si="534"/>
        <v>0</v>
      </c>
      <c r="S355" s="86">
        <f t="shared" si="532"/>
        <v>0.5</v>
      </c>
      <c r="T355" s="86">
        <f t="shared" si="535"/>
        <v>0.5</v>
      </c>
      <c r="U355" s="30" t="e">
        <f t="shared" ca="1" si="569"/>
        <v>#DIV/0!</v>
      </c>
      <c r="V355" s="85" t="str">
        <f>IF(B355&lt;=Hypothèses!$V$7,Hypothèses!$W$7,IF(B355&lt;=Hypothèses!$V$8,Hypothèses!$W$8,IF(B355&lt;=Hypothèses!$V$9,Hypothèses!$W$9,IF(B355&lt;=Hypothèses!$V$10,Hypothèses!$W$10,IF(B355&lt;=Hypothèses!$V$11,Hypothèses!$W$11,IF(B355&lt;=Hypothèses!$V$12,Hypothèses!$W$12,IF(B355&lt;=Hypothèses!$V$13,Hypothèses!$W$13,IF(B355&lt;=Hypothèses!$V$14,Hypothèses!$W$14,IF(B355&lt;=Hypothèses!$V$15,Hypothèses!$W$15,IF(B355&lt;=Hypothèses!$V$16,Hypothèses!$W$16,IF(B355&lt;=Hypothèses!$V$17,Hypothèses!$W$17,IF(B355&lt;=Hypothèses!$V$18,Hypothèses!$W$18,""))))))))))))</f>
        <v/>
      </c>
      <c r="W355" s="87" t="e">
        <f t="shared" ca="1" si="616"/>
        <v>#DIV/0!</v>
      </c>
      <c r="X355" s="88" t="str">
        <f>IF(B355&lt;=Hypothèses!$V$7,Hypothèses!$X$7,IF(B355&lt;=Hypothèses!$V$8,Hypothèses!$X$8,IF(B355&lt;=Hypothèses!$V$9,Hypothèses!$X$9,IF(B355&lt;=Hypothèses!$V$10,Hypothèses!$X$10,IF(B355&lt;=Hypothèses!$V$11,Hypothèses!$X$11,IF(B355&lt;=Hypothèses!$V$12,Hypothèses!$X$12,IF(B355&lt;=Hypothèses!$V$13,Hypothèses!$X$13,IF(B355&lt;=Hypothèses!$V$14,Hypothèses!$X$14,IF(B355&lt;=Hypothèses!$V$15,Hypothèses!$X$15,IF(B355&lt;=Hypothèses!$V$16,Hypothèses!$X$16,IF(B355&lt;=Hypothèses!$U$17,Hypothèses!$W$17,IF(B355&lt;=Hypothèses!$U$18,Hypothèses!$W$18,""))))))))))))</f>
        <v/>
      </c>
      <c r="Y355" s="95" t="e">
        <f t="shared" ca="1" si="536"/>
        <v>#DIV/0!</v>
      </c>
      <c r="Z355" s="101" t="e">
        <f t="shared" si="537"/>
        <v>#N/A</v>
      </c>
      <c r="AA355" s="91" t="e">
        <f t="shared" si="538"/>
        <v>#N/A</v>
      </c>
      <c r="AB355" s="30" t="e">
        <f t="shared" si="600"/>
        <v>#N/A</v>
      </c>
      <c r="AC355" s="30" t="e">
        <f t="shared" si="601"/>
        <v>#N/A</v>
      </c>
      <c r="AD355" s="31" t="e">
        <f>IF(OR(Hypothèses!$B$4=17,Hypothèses!$B$4=18,Hypothèses!$B$4=19,Hypothèses!$B$4=20),
IF($D355="Pressio.",
IF(OR($E355=3,$E355=1,$E355=4),AC355,AB355),
IF($D355="Pénétro.",
IF(OR($E355=3,$E355=1,$E355=4),AC355,AB355))),IF($D355="Pressio.",
IF($E355=3,AC355,AB355),
IF($D355="Pénétro.",
IF($E355=4,AC355,AB355))))</f>
        <v>#N/A</v>
      </c>
      <c r="AE355" s="31" t="e">
        <f>(IF(OR(Hypothèses!$B$4=17,Hypothèses!$B$4=18,Hypothèses!$B$4=19,Hypothèses!$B$4=20),
IF($D355="Pressio.",
IF(OR($E355=3,$E355=1,$E355=4),(PI()*AE$12^2)/4*(AA355*$W355*1000)/($H355*$B$5),(PI()*AE$12^2)/4*(AA355*$W355*1000)/($G355*$B$5)),
IF($D355="Pénétro.",
IF(OR($E355=4,$E355=1,$E355=5),(PI()*AE$12^2)/4*(AA355*$W355*1000)/($H355*$B$5),(PI()*AE$12^2)/4*(AA355*$W355*1000)/($G355*$B$5)))),
IF($D355="Pressio.",
IF($E355=3,(PI()*AE$12^2)/4*(AA355*$W355*1000)/($H355*$B$5),(PI()*AE$12^2)/4*(AA355*$W355*1000)/($G355*$B$5)),
IF($D355="Pénétro.",
IF($E355=4,(PI()*AE$12^2)/4*(AA355*$W355*1000)/($H355*$B$5),(PI()*AE$12^2)/4*(AA355*$W355*1000)/($G355*$B$5))))))/10</f>
        <v>#N/A</v>
      </c>
      <c r="AF355" s="102" t="e">
        <f>(VLOOKUP($B$3,'Coeff EC7'!$T$39:$X$59,2,0)*AD355+VLOOKUP($B$3,'Coeff EC7'!$T$65:$X$85,2,0)*Model0.1C!AE355)/1.1</f>
        <v>#N/A</v>
      </c>
      <c r="AG355" s="102" t="e">
        <f>(VLOOKUP($B$3,'Coeff EC7'!$T$39:$X$59,3,0)*AD355+VLOOKUP($B$3,'Coeff EC7'!$T$65:$X$85,3,0)*Model0.1C!AE355)/0.9</f>
        <v>#N/A</v>
      </c>
      <c r="AH355" s="102" t="e">
        <f t="shared" si="539"/>
        <v>#N/A</v>
      </c>
      <c r="AI355" s="102" t="e">
        <f t="shared" si="540"/>
        <v>#N/A</v>
      </c>
      <c r="AJ355" s="414" t="e">
        <f>IF(AJ354=0,0,IF(AND(AF355&gt;charge_ELS_quasi,AG355&gt;Charge_ELS_freq,AH355&gt;charge_ELU,AI355&gt;charge_ELA,$B355&gt;NDC!$H$22-0.1+MIN(3*$AJ$12,1.5)),0,1))</f>
        <v>#N/A</v>
      </c>
      <c r="AK355" s="86" t="b">
        <f t="shared" si="541"/>
        <v>0</v>
      </c>
      <c r="AL355" s="86">
        <f t="shared" si="570"/>
        <v>0.5</v>
      </c>
      <c r="AM355" s="86">
        <f t="shared" si="542"/>
        <v>0.5</v>
      </c>
      <c r="AN355" s="30" t="e">
        <f t="shared" ca="1" si="571"/>
        <v>#DIV/0!</v>
      </c>
      <c r="AO355" s="85" t="e">
        <f ca="1">IF(U355&lt;=Hypothèses!$V$7,Hypothèses!$W$7,IF(U355&lt;=Hypothèses!$V$8,Hypothèses!$W$8,IF(U355&lt;=Hypothèses!$V$9,Hypothèses!$W$9,IF(U355&lt;=Hypothèses!$V$10,Hypothèses!$W$10,IF(U355&lt;=Hypothèses!$V$11,Hypothèses!$W$11,IF(U355&lt;=Hypothèses!$V$12,Hypothèses!$W$12,IF(U355&lt;=Hypothèses!$V$13,Hypothèses!$W$13,IF(U355&lt;=Hypothèses!$V$14,Hypothèses!$W$14,IF(U355&lt;=Hypothèses!$V$15,Hypothèses!$W$15,IF(U355&lt;=Hypothèses!$V$16,Hypothèses!$W$16,IF(U355&lt;=Hypothèses!$V$17,Hypothèses!$W$17,IF(U355&lt;=Hypothèses!$V$18,Hypothèses!$W$18,""))))))))))))</f>
        <v>#DIV/0!</v>
      </c>
      <c r="AP355" s="87" t="e">
        <f t="shared" ca="1" si="617"/>
        <v>#DIV/0!</v>
      </c>
      <c r="AQ355" s="88" t="e">
        <f ca="1">IF(U355&lt;=Hypothèses!$V$7,Hypothèses!$X$7,IF(U355&lt;=Hypothèses!$V$8,Hypothèses!$X$8,IF(U355&lt;=Hypothèses!$V$9,Hypothèses!$X$9,IF(U355&lt;=Hypothèses!$V$10,Hypothèses!$X$10,IF(U355&lt;=Hypothèses!$V$11,Hypothèses!$X$11,IF(U355&lt;=Hypothèses!$V$12,Hypothèses!$X$12,IF(U355&lt;=Hypothèses!$V$13,Hypothèses!$X$13,IF(U355&lt;=Hypothèses!$V$14,Hypothèses!$X$14,IF(U355&lt;=Hypothèses!$V$15,Hypothèses!$X$15,IF(U355&lt;=Hypothèses!$V$16,Hypothèses!$X$16,IF(U355&lt;=Hypothèses!$U$17,Hypothèses!$W$17,IF(U355&lt;=Hypothèses!$U$18,Hypothèses!$W$18,""))))))))))))</f>
        <v>#DIV/0!</v>
      </c>
      <c r="AR355" s="95" t="e">
        <f t="shared" ca="1" si="572"/>
        <v>#DIV/0!</v>
      </c>
      <c r="AS355" s="101" t="e">
        <f t="shared" si="624"/>
        <v>#N/A</v>
      </c>
      <c r="AT355" s="91" t="e">
        <f t="shared" si="543"/>
        <v>#N/A</v>
      </c>
      <c r="AU355" s="30" t="e">
        <f t="shared" si="602"/>
        <v>#N/A</v>
      </c>
      <c r="AV355" s="30" t="e">
        <f t="shared" si="603"/>
        <v>#N/A</v>
      </c>
      <c r="AW355" s="31" t="e">
        <f>IF(OR(Hypothèses!$B$4=17,Hypothèses!$B$4=18,Hypothèses!$B$4=19,Hypothèses!$B$4=20),
IF($D355="Pressio.",
IF(OR($E355=3,$E355=1,$E355=4),AV355,AU355),
IF($D355="Pénétro.",
IF(OR($E355=3,$E355=1,$E355=4),AV355,AU355))),IF($D355="Pressio.",
IF($E355=3,AV355,AU355),
IF($D355="Pénétro.",
IF($E355=4,AV355,AU355))))</f>
        <v>#N/A</v>
      </c>
      <c r="AX355" s="31" t="e">
        <f>(IF(OR(Hypothèses!$B$4=17,Hypothèses!$B$4=18,Hypothèses!$B$4=19,Hypothèses!$B$4=20),
IF($D355="Pressio.",
IF(OR($E355=3,$E355=1,$E355=4),(PI()*AX$12^2)/4*(AT355*$W355*1000)/($H355*$B$5),(PI()*AX$12^2)/4*(AT355*$W355*1000)/($G355*$B$5)),
IF($D355="Pénétro.",
IF(OR($E355=4,$E355=1,$E355=5),(PI()*AX$12^2)/4*(AT355*$W355*1000)/($H355*$B$5),(PI()*AX$12^2)/4*(AT355*$W355*1000)/($G355*$B$5)))),
IF($D355="Pressio.",
IF($E355=3,(PI()*AX$12^2)/4*(AT355*$W355*1000)/($H355*$B$5),(PI()*AX$12^2)/4*(AT355*$W355*1000)/($G355*$B$5)),
IF($D355="Pénétro.",
IF($E355=4,(PI()*AX$12^2)/4*(AT355*$W355*1000)/($H355*$B$5),(PI()*AX$12^2)/4*(AT355*$W355*1000)/($G355*$B$5))))))/10</f>
        <v>#N/A</v>
      </c>
      <c r="AY355" s="102" t="e">
        <f>(VLOOKUP($B$3,'Coeff EC7'!$T$39:$X$59,2,0)*AW355+VLOOKUP($B$3,'Coeff EC7'!$T$65:$X$85,2,0)*Model0.1C!AX355)/1.1</f>
        <v>#N/A</v>
      </c>
      <c r="AZ355" s="102" t="e">
        <f>(VLOOKUP($B$3,'Coeff EC7'!$T$39:$X$59,3,0)*AW355+VLOOKUP($B$3,'Coeff EC7'!$T$65:$X$85,3,0)*Model0.1C!AX355)/0.9</f>
        <v>#N/A</v>
      </c>
      <c r="BA355" s="102" t="e">
        <f t="shared" si="573"/>
        <v>#N/A</v>
      </c>
      <c r="BB355" s="102" t="e">
        <f t="shared" si="574"/>
        <v>#N/A</v>
      </c>
      <c r="BC355" s="414" t="e">
        <f>IF(BC354=0,0,IF(AND(AY355&gt;charge_ELS_quasi,AZ355&gt;Charge_ELS_freq,BA355&gt;charge_ELU,BB355&gt;charge_ELA,$B355&gt;NDC!$H$22-0.1+MIN(3*$BC$12,1.5)),0,1))</f>
        <v>#N/A</v>
      </c>
      <c r="BD355" s="86" t="b">
        <f t="shared" si="544"/>
        <v>0</v>
      </c>
      <c r="BE355" s="86">
        <f t="shared" si="575"/>
        <v>0.5</v>
      </c>
      <c r="BF355" s="86">
        <f t="shared" si="545"/>
        <v>0.5</v>
      </c>
      <c r="BG355" s="30" t="e">
        <f t="shared" ca="1" si="576"/>
        <v>#DIV/0!</v>
      </c>
      <c r="BH355" s="85" t="e">
        <f ca="1">IF(AN355&lt;=Hypothèses!$V$7,Hypothèses!$W$7,IF(AN355&lt;=Hypothèses!$V$8,Hypothèses!$W$8,IF(AN355&lt;=Hypothèses!$V$9,Hypothèses!$W$9,IF(AN355&lt;=Hypothèses!$V$10,Hypothèses!$W$10,IF(AN355&lt;=Hypothèses!$V$11,Hypothèses!$W$11,IF(AN355&lt;=Hypothèses!$V$12,Hypothèses!$W$12,IF(AN355&lt;=Hypothèses!$V$13,Hypothèses!$W$13,IF(AN355&lt;=Hypothèses!$V$14,Hypothèses!$W$14,IF(AN355&lt;=Hypothèses!$V$15,Hypothèses!$W$15,IF(AN355&lt;=Hypothèses!$V$16,Hypothèses!$W$16,IF(AN355&lt;=Hypothèses!$V$17,Hypothèses!$W$17,IF(AN355&lt;=Hypothèses!$V$18,Hypothèses!$W$18,""))))))))))))</f>
        <v>#DIV/0!</v>
      </c>
      <c r="BI355" s="87" t="e">
        <f t="shared" ca="1" si="618"/>
        <v>#DIV/0!</v>
      </c>
      <c r="BJ355" s="88" t="e">
        <f ca="1">IF(AN355&lt;=Hypothèses!$V$7,Hypothèses!$X$7,IF(AN355&lt;=Hypothèses!$V$8,Hypothèses!$X$8,IF(AN355&lt;=Hypothèses!$V$9,Hypothèses!$X$9,IF(AN355&lt;=Hypothèses!$V$10,Hypothèses!$X$10,IF(AN355&lt;=Hypothèses!$V$11,Hypothèses!$X$11,IF(AN355&lt;=Hypothèses!$V$12,Hypothèses!$X$12,IF(AN355&lt;=Hypothèses!$V$13,Hypothèses!$X$13,IF(AN355&lt;=Hypothèses!$V$14,Hypothèses!$X$14,IF(AN355&lt;=Hypothèses!$V$15,Hypothèses!$X$15,IF(AN355&lt;=Hypothèses!$V$16,Hypothèses!$X$16,IF(AN355&lt;=Hypothèses!$U$17,Hypothèses!$W$17,IF(AN355&lt;=Hypothèses!$U$18,Hypothèses!$W$18,""))))))))))))</f>
        <v>#DIV/0!</v>
      </c>
      <c r="BK355" s="95" t="e">
        <f t="shared" ca="1" si="577"/>
        <v>#DIV/0!</v>
      </c>
      <c r="BL355" s="101" t="e">
        <f t="shared" si="625"/>
        <v>#N/A</v>
      </c>
      <c r="BM355" s="91" t="e">
        <f t="shared" si="546"/>
        <v>#N/A</v>
      </c>
      <c r="BN355" s="30" t="e">
        <f t="shared" si="604"/>
        <v>#N/A</v>
      </c>
      <c r="BO355" s="30" t="e">
        <f t="shared" si="605"/>
        <v>#N/A</v>
      </c>
      <c r="BP355" s="31" t="e">
        <f>IF(OR(Hypothèses!$B$4=17,Hypothèses!$B$4=18,Hypothèses!$B$4=19,Hypothèses!$B$4=20),
IF($D355="Pressio.",
IF(OR($E355=3,$E355=1,$E355=4),BO355,BN355),
IF($D355="Pénétro.",
IF(OR($E355=3,$E355=1,$E355=4),BO355,BN355))),IF($D355="Pressio.",
IF($E355=3,BO355,BN355),
IF($D355="Pénétro.",
IF($E355=4,BO355,BN355))))</f>
        <v>#N/A</v>
      </c>
      <c r="BQ355" s="31" t="e">
        <f>(IF(OR(Hypothèses!$B$4=17,Hypothèses!$B$4=18,Hypothèses!$B$4=19,Hypothèses!$B$4=20),
IF($D355="Pressio.",
IF(OR($E355=3,$E355=1,$E355=4),(PI()*BQ$12^2)/4*(BM355*$W355*1000)/($H355*$B$5),(PI()*BQ$12^2)/4*(BM355*$W355*1000)/($G355*$B$5)),
IF($D355="Pénétro.",
IF(OR($E355=4,$E355=1,$E355=5),(PI()*BQ$12^2)/4*(BM355*$W355*1000)/($H355*$B$5),(PI()*BQ$12^2)/4*(BM355*$W355*1000)/($G355*$B$5)))),
IF($D355="Pressio.",
IF($E355=3,(PI()*BQ$12^2)/4*(BM355*$W355*1000)/($H355*$B$5),(PI()*BQ$12^2)/4*(BM355*$W355*1000)/($G355*$B$5)),
IF($D355="Pénétro.",
IF($E355=4,(PI()*BQ$12^2)/4*(BM355*$W355*1000)/($H355*$B$5),(PI()*BQ$12^2)/4*(BM355*$W355*1000)/($G355*$B$5))))))/10</f>
        <v>#N/A</v>
      </c>
      <c r="BR355" s="102" t="e">
        <f>(VLOOKUP($B$3,'Coeff EC7'!$T$39:$X$59,2,0)*BP355+VLOOKUP($B$3,'Coeff EC7'!$T$65:$X$85,2,0)*Model0.1C!BQ355)/1.1</f>
        <v>#N/A</v>
      </c>
      <c r="BS355" s="102" t="e">
        <f>(VLOOKUP($B$3,'Coeff EC7'!$T$39:$X$59,3,0)*BP355+VLOOKUP($B$3,'Coeff EC7'!$T$65:$X$85,3,0)*Model0.1C!BQ355)/0.9</f>
        <v>#N/A</v>
      </c>
      <c r="BT355" s="102" t="e">
        <f t="shared" si="578"/>
        <v>#N/A</v>
      </c>
      <c r="BU355" s="102" t="e">
        <f t="shared" si="579"/>
        <v>#N/A</v>
      </c>
      <c r="BV355" s="414" t="e">
        <f>IF(BV354=0,0,IF(AND(BR355&gt;charge_ELS_quasi,BS355&gt;Charge_ELS_freq,BT355&gt;charge_ELU,BU355&gt;charge_ELA,$B355&gt;NDC!$H$22-0.1+MIN(3*$BV$12,1.5)),0,1))</f>
        <v>#N/A</v>
      </c>
      <c r="BW355" s="86" t="b">
        <f t="shared" si="547"/>
        <v>0</v>
      </c>
      <c r="BX355" s="86">
        <f t="shared" si="548"/>
        <v>0.5</v>
      </c>
      <c r="BY355" s="86">
        <f t="shared" si="549"/>
        <v>0.5</v>
      </c>
      <c r="BZ355" s="30" t="e">
        <f t="shared" ca="1" si="580"/>
        <v>#DIV/0!</v>
      </c>
      <c r="CA355" s="85" t="e">
        <f ca="1">IF(BG355&lt;=Hypothèses!$V$7,Hypothèses!$W$7,IF(BG355&lt;=Hypothèses!$V$8,Hypothèses!$W$8,IF(BG355&lt;=Hypothèses!$V$9,Hypothèses!$W$9,IF(BG355&lt;=Hypothèses!$V$10,Hypothèses!$W$10,IF(BG355&lt;=Hypothèses!$V$11,Hypothèses!$W$11,IF(BG355&lt;=Hypothèses!$V$12,Hypothèses!$W$12,IF(BG355&lt;=Hypothèses!$V$13,Hypothèses!$W$13,IF(BG355&lt;=Hypothèses!$V$14,Hypothèses!$W$14,IF(BG355&lt;=Hypothèses!$V$15,Hypothèses!$W$15,IF(BG355&lt;=Hypothèses!$V$16,Hypothèses!$W$16,IF(BG355&lt;=Hypothèses!$V$17,Hypothèses!$W$17,IF(BG355&lt;=Hypothèses!$V$18,Hypothèses!$W$18,""))))))))))))</f>
        <v>#DIV/0!</v>
      </c>
      <c r="CB355" s="87" t="e">
        <f t="shared" ca="1" si="619"/>
        <v>#DIV/0!</v>
      </c>
      <c r="CC355" s="88" t="e">
        <f ca="1">IF(BG355&lt;=Hypothèses!$V$7,Hypothèses!$X$7,IF(BG355&lt;=Hypothèses!$V$8,Hypothèses!$X$8,IF(BG355&lt;=Hypothèses!$V$9,Hypothèses!$X$9,IF(BG355&lt;=Hypothèses!$V$10,Hypothèses!$X$10,IF(BG355&lt;=Hypothèses!$V$11,Hypothèses!$X$11,IF(BG355&lt;=Hypothèses!$V$12,Hypothèses!$X$12,IF(BG355&lt;=Hypothèses!$V$13,Hypothèses!$X$13,IF(BG355&lt;=Hypothèses!$V$14,Hypothèses!$X$14,IF(BG355&lt;=Hypothèses!$V$15,Hypothèses!$X$15,IF(BG355&lt;=Hypothèses!$V$16,Hypothèses!$X$16,IF(BG355&lt;=Hypothèses!$U$17,Hypothèses!$W$17,IF(BG355&lt;=Hypothèses!$U$18,Hypothèses!$W$18,""))))))))))))</f>
        <v>#DIV/0!</v>
      </c>
      <c r="CD355" s="95" t="e">
        <f t="shared" ca="1" si="581"/>
        <v>#DIV/0!</v>
      </c>
      <c r="CE355" s="101" t="e">
        <f t="shared" si="626"/>
        <v>#N/A</v>
      </c>
      <c r="CF355" s="91" t="e">
        <f t="shared" si="550"/>
        <v>#N/A</v>
      </c>
      <c r="CG355" s="30" t="e">
        <f t="shared" si="606"/>
        <v>#N/A</v>
      </c>
      <c r="CH355" s="30" t="e">
        <f t="shared" si="607"/>
        <v>#N/A</v>
      </c>
      <c r="CI355" s="31" t="e">
        <f>IF(OR(Hypothèses!$B$4=17,Hypothèses!$B$4=18,Hypothèses!$B$4=19,Hypothèses!$B$4=20),
IF($D355="Pressio.",
IF(OR($E355=3,$E355=1,$E355=4),CH355,CG355),
IF($D355="Pénétro.",
IF(OR($E355=3,$E355=1,$E355=4),CH355,CG355))),IF($D355="Pressio.",
IF($E355=3,CH355,CG355),
IF($D355="Pénétro.",
IF($E355=4,CH355,CG355))))</f>
        <v>#N/A</v>
      </c>
      <c r="CJ355" s="31" t="e">
        <f>(IF(OR(Hypothèses!$B$4=17,Hypothèses!$B$4=18,Hypothèses!$B$4=19,Hypothèses!$B$4=20),
IF($D355="Pressio.",
IF(OR($E355=3,$E355=1,$E355=4),(PI()*CJ$12^2)/4*(CF355*$W355*1000)/($H355*$B$5),(PI()*CJ$12^2)/4*(CF355*$W355*1000)/($G355*$B$5)),
IF($D355="Pénétro.",
IF(OR($E355=4,$E355=1,$E355=5),(PI()*CJ$12^2)/4*(CF355*$W355*1000)/($H355*$B$5),(PI()*CJ$12^2)/4*(CF355*$W355*1000)/($G355*$B$5)))),
IF($D355="Pressio.",
IF($E355=3,(PI()*CJ$12^2)/4*(CF355*$W355*1000)/($H355*$B$5),(PI()*CJ$12^2)/4*(CF355*$W355*1000)/($G355*$B$5)),
IF($D355="Pénétro.",
IF($E355=4,(PI()*CJ$12^2)/4*(CF355*$W355*1000)/($H355*$B$5),(PI()*CJ$12^2)/4*(CF355*$W355*1000)/($G355*$B$5))))))/10</f>
        <v>#N/A</v>
      </c>
      <c r="CK355" s="102" t="e">
        <f>(VLOOKUP($B$3,'Coeff EC7'!$T$39:$X$59,2,0)*CI355+VLOOKUP($B$3,'Coeff EC7'!$T$65:$X$85,2,0)*Model0.1C!CJ355)/1.1</f>
        <v>#N/A</v>
      </c>
      <c r="CL355" s="102" t="e">
        <f>(VLOOKUP($B$3,'Coeff EC7'!$T$39:$X$59,3,0)*CI355+VLOOKUP($B$3,'Coeff EC7'!$T$65:$X$85,3,0)*Model0.1C!CJ355)/0.9</f>
        <v>#N/A</v>
      </c>
      <c r="CM355" s="102" t="e">
        <f t="shared" si="582"/>
        <v>#N/A</v>
      </c>
      <c r="CN355" s="102" t="e">
        <f t="shared" si="583"/>
        <v>#N/A</v>
      </c>
      <c r="CO355" s="414" t="e">
        <f>IF(CO354=0,0,IF(AND(CK355&gt;charge_ELS_quasi,CL355&gt;Charge_ELS_freq,CM355&gt;charge_ELU,CN355&gt;charge_ELA,$B355&gt;NDC!$H$22-0.1+MIN(3*$CO$12,1.5)),0,1))</f>
        <v>#N/A</v>
      </c>
      <c r="CP355" s="86" t="b">
        <f t="shared" si="551"/>
        <v>0</v>
      </c>
      <c r="CQ355" s="86">
        <f t="shared" si="552"/>
        <v>0.5</v>
      </c>
      <c r="CR355" s="86">
        <f t="shared" si="553"/>
        <v>0.5</v>
      </c>
      <c r="CS355" s="30" t="e">
        <f t="shared" ca="1" si="584"/>
        <v>#DIV/0!</v>
      </c>
      <c r="CT355" s="85" t="e">
        <f ca="1">IF(BZ355&lt;=Hypothèses!$V$7,Hypothèses!$W$7,IF(BZ355&lt;=Hypothèses!$V$8,Hypothèses!$W$8,IF(BZ355&lt;=Hypothèses!$V$9,Hypothèses!$W$9,IF(BZ355&lt;=Hypothèses!$V$10,Hypothèses!$W$10,IF(BZ355&lt;=Hypothèses!$V$11,Hypothèses!$W$11,IF(BZ355&lt;=Hypothèses!$V$12,Hypothèses!$W$12,IF(BZ355&lt;=Hypothèses!$V$13,Hypothèses!$W$13,IF(BZ355&lt;=Hypothèses!$V$14,Hypothèses!$W$14,IF(BZ355&lt;=Hypothèses!$V$15,Hypothèses!$W$15,IF(BZ355&lt;=Hypothèses!$V$16,Hypothèses!$W$16,IF(BZ355&lt;=Hypothèses!$V$17,Hypothèses!$W$17,IF(BZ355&lt;=Hypothèses!$V$18,Hypothèses!$W$18,""))))))))))))</f>
        <v>#DIV/0!</v>
      </c>
      <c r="CU355" s="87" t="e">
        <f t="shared" ca="1" si="620"/>
        <v>#DIV/0!</v>
      </c>
      <c r="CV355" s="88" t="e">
        <f ca="1">IF(BZ355&lt;=Hypothèses!$V$7,Hypothèses!$X$7,IF(BZ355&lt;=Hypothèses!$V$8,Hypothèses!$X$8,IF(BZ355&lt;=Hypothèses!$V$9,Hypothèses!$X$9,IF(BZ355&lt;=Hypothèses!$V$10,Hypothèses!$X$10,IF(BZ355&lt;=Hypothèses!$V$11,Hypothèses!$X$11,IF(BZ355&lt;=Hypothèses!$V$12,Hypothèses!$X$12,IF(BZ355&lt;=Hypothèses!$V$13,Hypothèses!$X$13,IF(BZ355&lt;=Hypothèses!$V$14,Hypothèses!$X$14,IF(BZ355&lt;=Hypothèses!$V$15,Hypothèses!$X$15,IF(BZ355&lt;=Hypothèses!$V$16,Hypothèses!$X$16,IF(BZ355&lt;=Hypothèses!$U$17,Hypothèses!$W$17,IF(BZ355&lt;=Hypothèses!$U$18,Hypothèses!$W$18,""))))))))))))</f>
        <v>#DIV/0!</v>
      </c>
      <c r="CW355" s="95" t="e">
        <f t="shared" ca="1" si="585"/>
        <v>#DIV/0!</v>
      </c>
      <c r="CX355" s="101" t="e">
        <f t="shared" si="627"/>
        <v>#N/A</v>
      </c>
      <c r="CY355" s="91" t="e">
        <f t="shared" si="554"/>
        <v>#N/A</v>
      </c>
      <c r="CZ355" s="30" t="e">
        <f t="shared" si="608"/>
        <v>#N/A</v>
      </c>
      <c r="DA355" s="30" t="e">
        <f t="shared" si="609"/>
        <v>#N/A</v>
      </c>
      <c r="DB355" s="31" t="e">
        <f>IF(OR(Hypothèses!$B$4=17,Hypothèses!$B$4=18,Hypothèses!$B$4=19,Hypothèses!$B$4=20),
IF($D355="Pressio.",
IF(OR($E355=3,$E355=1,$E355=4),DA355,CZ355),
IF($D355="Pénétro.",
IF(OR($E355=3,$E355=1,$E355=4),DA355,CZ355))),IF($D355="Pressio.",
IF($E355=3,DA355,CZ355),
IF($D355="Pénétro.",
IF($E355=4,DA355,CZ355))))</f>
        <v>#N/A</v>
      </c>
      <c r="DC355" s="31" t="e">
        <f>(IF(OR(Hypothèses!$B$4=17,Hypothèses!$B$4=18,Hypothèses!$B$4=19,Hypothèses!$B$4=20),
IF($D355="Pressio.",
IF(OR($E355=3,$E355=1,$E355=4),(PI()*DC$12^2)/4*(CY355*$W355*1000)/($H355*$B$5),(PI()*DC$12^2)/4*(CY355*$W355*1000)/($G355*$B$5)),
IF($D355="Pénétro.",
IF(OR($E355=4,$E355=1,$E355=5),(PI()*DC$12^2)/4*(CY355*$W355*1000)/($H355*$B$5),(PI()*DC$12^2)/4*(CY355*$W355*1000)/($G355*$B$5)))),
IF($D355="Pressio.",
IF($E355=3,(PI()*DC$12^2)/4*(CY355*$W355*1000)/($H355*$B$5),(PI()*DC$12^2)/4*(CY355*$W355*1000)/($G355*$B$5)),
IF($D355="Pénétro.",
IF($E355=4,(PI()*DC$12^2)/4*(CY355*$W355*1000)/($H355*$B$5),(PI()*DC$12^2)/4*(CY355*$W355*1000)/($G355*$B$5))))))/10</f>
        <v>#N/A</v>
      </c>
      <c r="DD355" s="102" t="e">
        <f>(VLOOKUP($B$3,'Coeff EC7'!$T$39:$X$59,2,0)*DB355+VLOOKUP($B$3,'Coeff EC7'!$T$65:$X$85,2,0)*Model0.1C!DC355)/1.1</f>
        <v>#N/A</v>
      </c>
      <c r="DE355" s="102" t="e">
        <f>(VLOOKUP($B$3,'Coeff EC7'!$T$39:$X$59,3,0)*DB355+VLOOKUP($B$3,'Coeff EC7'!$T$65:$X$85,3,0)*Model0.1C!DC355)/0.9</f>
        <v>#N/A</v>
      </c>
      <c r="DF355" s="102" t="e">
        <f t="shared" si="586"/>
        <v>#N/A</v>
      </c>
      <c r="DG355" s="102" t="e">
        <f t="shared" si="587"/>
        <v>#N/A</v>
      </c>
      <c r="DH355" s="414" t="e">
        <f>IF(DH354=0,0,IF(AND(DD355&gt;charge_ELS_quasi,DE355&gt;Charge_ELS_freq,DF355&gt;charge_ELU,DG355&gt;charge_ELA,$B355&gt;NDC!$H$22-0.1+MIN(3*$DH$12,1.5)),0,1))</f>
        <v>#N/A</v>
      </c>
      <c r="DI355" s="86" t="b">
        <f t="shared" si="555"/>
        <v>0</v>
      </c>
      <c r="DJ355" s="86">
        <f t="shared" si="556"/>
        <v>0.5</v>
      </c>
      <c r="DK355" s="86">
        <f t="shared" si="557"/>
        <v>0.5</v>
      </c>
      <c r="DL355" s="30" t="e">
        <f t="shared" ca="1" si="588"/>
        <v>#DIV/0!</v>
      </c>
      <c r="DM355" s="85" t="e">
        <f ca="1">IF(CS355&lt;=Hypothèses!$V$7,Hypothèses!$W$7,IF(CS355&lt;=Hypothèses!$V$8,Hypothèses!$W$8,IF(CS355&lt;=Hypothèses!$V$9,Hypothèses!$W$9,IF(CS355&lt;=Hypothèses!$V$10,Hypothèses!$W$10,IF(CS355&lt;=Hypothèses!$V$11,Hypothèses!$W$11,IF(CS355&lt;=Hypothèses!$V$12,Hypothèses!$W$12,IF(CS355&lt;=Hypothèses!$V$13,Hypothèses!$W$13,IF(CS355&lt;=Hypothèses!$V$14,Hypothèses!$W$14,IF(CS355&lt;=Hypothèses!$V$15,Hypothèses!$W$15,IF(CS355&lt;=Hypothèses!$V$16,Hypothèses!$W$16,IF(CS355&lt;=Hypothèses!$V$17,Hypothèses!$W$17,IF(CS355&lt;=Hypothèses!$V$18,Hypothèses!$W$18,""))))))))))))</f>
        <v>#DIV/0!</v>
      </c>
      <c r="DN355" s="87" t="e">
        <f t="shared" ca="1" si="621"/>
        <v>#DIV/0!</v>
      </c>
      <c r="DO355" s="88" t="e">
        <f ca="1">IF(CS355&lt;=Hypothèses!$V$7,Hypothèses!$X$7,IF(CS355&lt;=Hypothèses!$V$8,Hypothèses!$X$8,IF(CS355&lt;=Hypothèses!$V$9,Hypothèses!$X$9,IF(CS355&lt;=Hypothèses!$V$10,Hypothèses!$X$10,IF(CS355&lt;=Hypothèses!$V$11,Hypothèses!$X$11,IF(CS355&lt;=Hypothèses!$V$12,Hypothèses!$X$12,IF(CS355&lt;=Hypothèses!$V$13,Hypothèses!$X$13,IF(CS355&lt;=Hypothèses!$V$14,Hypothèses!$X$14,IF(CS355&lt;=Hypothèses!$V$15,Hypothèses!$X$15,IF(CS355&lt;=Hypothèses!$V$16,Hypothèses!$X$16,IF(CS355&lt;=Hypothèses!$U$17,Hypothèses!$W$17,IF(CS355&lt;=Hypothèses!$U$18,Hypothèses!$W$18,""))))))))))))</f>
        <v>#DIV/0!</v>
      </c>
      <c r="DP355" s="95" t="e">
        <f t="shared" ca="1" si="589"/>
        <v>#DIV/0!</v>
      </c>
      <c r="DQ355" s="101" t="e">
        <f t="shared" si="628"/>
        <v>#N/A</v>
      </c>
      <c r="DR355" s="91" t="e">
        <f t="shared" si="558"/>
        <v>#N/A</v>
      </c>
      <c r="DS355" s="30" t="e">
        <f t="shared" si="610"/>
        <v>#N/A</v>
      </c>
      <c r="DT355" s="30" t="e">
        <f t="shared" si="611"/>
        <v>#N/A</v>
      </c>
      <c r="DU355" s="31" t="e">
        <f>IF(OR(Hypothèses!$B$4=17,Hypothèses!$B$4=18,Hypothèses!$B$4=19,Hypothèses!$B$4=20),
IF($D355="Pressio.",
IF(OR($E355=3,$E355=1,$E355=4),DT355,DS355),
IF($D355="Pénétro.",
IF(OR($E355=3,$E355=1,$E355=4),DT355,DS355))),IF($D355="Pressio.",
IF($E355=3,DT355,DS355),
IF($D355="Pénétro.",
IF($E355=4,DT355,DS355))))</f>
        <v>#N/A</v>
      </c>
      <c r="DV355" s="31" t="e">
        <f>(IF(OR(Hypothèses!$B$4=17,Hypothèses!$B$4=18,Hypothèses!$B$4=19,Hypothèses!$B$4=20),
IF($D355="Pressio.",
IF(OR($E355=3,$E355=1,$E355=4),(PI()*DV$12^2)/4*(DR355*$W355*1000)/($H355*$B$5),(PI()*DV$12^2)/4*(DR355*$W355*1000)/($G355*$B$5)),
IF($D355="Pénétro.",
IF(OR($E355=4,$E355=1,$E355=5),(PI()*DV$12^2)/4*(DR355*$W355*1000)/($H355*$B$5),(PI()*DV$12^2)/4*(DR355*$W355*1000)/($G355*$B$5)))),
IF($D355="Pressio.",
IF($E355=3,(PI()*DV$12^2)/4*(DR355*$W355*1000)/($H355*$B$5),(PI()*DV$12^2)/4*(DR355*$W355*1000)/($G355*$B$5)),
IF($D355="Pénétro.",
IF($E355=4,(PI()*DV$12^2)/4*(DR355*$W355*1000)/($H355*$B$5),(PI()*DV$12^2)/4*(DR355*$W355*1000)/($G355*$B$5))))))/10</f>
        <v>#N/A</v>
      </c>
      <c r="DW355" s="102" t="e">
        <f>(VLOOKUP($B$3,'Coeff EC7'!$T$39:$X$59,2,0)*DU355+VLOOKUP($B$3,'Coeff EC7'!$T$65:$X$85,2,0)*Model0.1C!DV355)/1.1</f>
        <v>#N/A</v>
      </c>
      <c r="DX355" s="102" t="e">
        <f>(VLOOKUP($B$3,'Coeff EC7'!$T$39:$X$59,3,0)*DU355+VLOOKUP($B$3,'Coeff EC7'!$T$65:$X$85,3,0)*Model0.1C!DV355)/0.9</f>
        <v>#N/A</v>
      </c>
      <c r="DY355" s="102" t="e">
        <f t="shared" si="590"/>
        <v>#N/A</v>
      </c>
      <c r="DZ355" s="102" t="e">
        <f t="shared" si="591"/>
        <v>#N/A</v>
      </c>
      <c r="EA355" s="414" t="e">
        <f>IF(EA354=0,0,IF(AND(DW355&gt;charge_ELS_quasi,DX355&gt;Charge_ELS_freq,DY355&gt;charge_ELU,DZ355&gt;charge_ELA,$B355&gt;NDC!$H$22-0.1+MIN(3*$EA$12,1.5)),0,1))</f>
        <v>#N/A</v>
      </c>
      <c r="EB355" s="86" t="b">
        <f t="shared" si="559"/>
        <v>0</v>
      </c>
      <c r="EC355" s="418">
        <f t="shared" si="560"/>
        <v>0.51</v>
      </c>
      <c r="ED355" s="86">
        <f t="shared" si="561"/>
        <v>0.51</v>
      </c>
      <c r="EE355" s="30" t="e">
        <f t="shared" ca="1" si="592"/>
        <v>#DIV/0!</v>
      </c>
      <c r="EF355" s="85" t="e">
        <f ca="1">IF(DL355&lt;=Hypothèses!$V$7,Hypothèses!$W$7,IF(DL355&lt;=Hypothèses!$V$8,Hypothèses!$W$8,IF(DL355&lt;=Hypothèses!$V$9,Hypothèses!$W$9,IF(DL355&lt;=Hypothèses!$V$10,Hypothèses!$W$10,IF(DL355&lt;=Hypothèses!$V$11,Hypothèses!$W$11,IF(DL355&lt;=Hypothèses!$V$12,Hypothèses!$W$12,IF(DL355&lt;=Hypothèses!$V$13,Hypothèses!$W$13,IF(DL355&lt;=Hypothèses!$V$14,Hypothèses!$W$14,IF(DL355&lt;=Hypothèses!$V$15,Hypothèses!$W$15,IF(DL355&lt;=Hypothèses!$V$16,Hypothèses!$W$16,IF(DL355&lt;=Hypothèses!$V$17,Hypothèses!$W$17,IF(DL355&lt;=Hypothèses!$V$18,Hypothèses!$W$18,""))))))))))))</f>
        <v>#DIV/0!</v>
      </c>
      <c r="EG355" s="87" t="e">
        <f t="shared" ca="1" si="622"/>
        <v>#DIV/0!</v>
      </c>
      <c r="EH355" s="88" t="e">
        <f ca="1">IF(DL355&lt;=Hypothèses!$V$7,Hypothèses!$X$7,IF(DL355&lt;=Hypothèses!$V$8,Hypothèses!$X$8,IF(DL355&lt;=Hypothèses!$V$9,Hypothèses!$X$9,IF(DL355&lt;=Hypothèses!$V$10,Hypothèses!$X$10,IF(DL355&lt;=Hypothèses!$V$11,Hypothèses!$X$11,IF(DL355&lt;=Hypothèses!$V$12,Hypothèses!$X$12,IF(DL355&lt;=Hypothèses!$V$13,Hypothèses!$X$13,IF(DL355&lt;=Hypothèses!$V$14,Hypothèses!$X$14,IF(DL355&lt;=Hypothèses!$V$15,Hypothèses!$X$15,IF(DL355&lt;=Hypothèses!$V$16,Hypothèses!$X$16,IF(DL355&lt;=Hypothèses!$U$17,Hypothèses!$W$17,IF(DL355&lt;=Hypothèses!$U$18,Hypothèses!$W$18,""))))))))))))</f>
        <v>#DIV/0!</v>
      </c>
      <c r="EI355" s="95" t="e">
        <f t="shared" ca="1" si="593"/>
        <v>#DIV/0!</v>
      </c>
      <c r="EJ355" s="101" t="e">
        <f t="shared" si="629"/>
        <v>#N/A</v>
      </c>
      <c r="EK355" s="91" t="e">
        <f t="shared" si="562"/>
        <v>#N/A</v>
      </c>
      <c r="EL355" s="30" t="e">
        <f t="shared" si="612"/>
        <v>#N/A</v>
      </c>
      <c r="EM355" s="30" t="e">
        <f t="shared" si="613"/>
        <v>#N/A</v>
      </c>
      <c r="EN355" s="31" t="e">
        <f>IF(OR(Hypothèses!$B$4=17,Hypothèses!$B$4=18,Hypothèses!$B$4=19,Hypothèses!$B$4=20),
IF($D355="Pressio.",
IF(OR($E355=3,$E355=1,$E355=4),EM355,EL355),
IF($D355="Pénétro.",
IF(OR($E355=3,$E355=1,$E355=4),EM355,EL355))),IF($D355="Pressio.",
IF($E355=3,EM355,EL355),
IF($D355="Pénétro.",
IF($E355=4,EM355,EL355))))</f>
        <v>#N/A</v>
      </c>
      <c r="EO355" s="31" t="e">
        <f>(IF(OR(Hypothèses!$B$4=17,Hypothèses!$B$4=18,Hypothèses!$B$4=19,Hypothèses!$B$4=20),
IF($D355="Pressio.",
IF(OR($E355=3,$E355=1,$E355=4),(PI()*EO$12^2)/4*(EK355*$W355*1000)/($H355*$B$5),(PI()*EO$12^2)/4*(EK355*$W355*1000)/($G355*$B$5)),
IF($D355="Pénétro.",
IF(OR($E355=4,$E355=1,$E355=5),(PI()*EO$12^2)/4*(EK355*$W355*1000)/($H355*$B$5),(PI()*EO$12^2)/4*(EK355*$W355*1000)/($G355*$B$5)))),
IF($D355="Pressio.",
IF($E355=3,(PI()*EO$12^2)/4*(EK355*$W355*1000)/($H355*$B$5),(PI()*EO$12^2)/4*(EK355*$W355*1000)/($G355*$B$5)),
IF($D355="Pénétro.",
IF($E355=4,(PI()*EO$12^2)/4*(EK355*$W355*1000)/($H355*$B$5),(PI()*EO$12^2)/4*(EK355*$W355*1000)/($G355*$B$5))))))/10</f>
        <v>#N/A</v>
      </c>
      <c r="EP355" s="102" t="e">
        <f>(VLOOKUP($B$3,'Coeff EC7'!$T$39:$X$59,2,0)*EN355+VLOOKUP($B$3,'Coeff EC7'!$T$65:$X$85,2,0)*Model0.1C!EO355)/1.1</f>
        <v>#N/A</v>
      </c>
      <c r="EQ355" s="102" t="e">
        <f>(VLOOKUP($B$3,'Coeff EC7'!$T$39:$X$59,3,0)*EN355+VLOOKUP($B$3,'Coeff EC7'!$T$65:$X$85,3,0)*Model0.1C!EO355)/0.9</f>
        <v>#N/A</v>
      </c>
      <c r="ER355" s="102" t="e">
        <f t="shared" si="594"/>
        <v>#N/A</v>
      </c>
      <c r="ES355" s="102" t="e">
        <f t="shared" si="595"/>
        <v>#N/A</v>
      </c>
      <c r="ET355" s="414" t="e">
        <f>IF(ET354=0,0,IF(AND(EP355&gt;charge_ELS_quasi,EQ355&gt;Charge_ELS_freq,ER355&gt;charge_ELU,ES355&gt;charge_ELA,$B355&gt;NDC!$H$22-0.1+MIN(3*$ET$12,1.5)),0,1))</f>
        <v>#N/A</v>
      </c>
      <c r="EU355" s="86" t="b">
        <f t="shared" si="563"/>
        <v>0</v>
      </c>
      <c r="EV355" s="86">
        <f t="shared" si="564"/>
        <v>0.61</v>
      </c>
      <c r="EW355" s="86">
        <f t="shared" si="565"/>
        <v>0.61</v>
      </c>
      <c r="EX355" s="30" t="e">
        <f t="shared" ca="1" si="596"/>
        <v>#DIV/0!</v>
      </c>
      <c r="EY355" s="85" t="e">
        <f ca="1">IF(EE355&lt;=Hypothèses!$V$7,Hypothèses!$W$7,IF(EE355&lt;=Hypothèses!$V$8,Hypothèses!$W$8,IF(EE355&lt;=Hypothèses!$V$9,Hypothèses!$W$9,IF(EE355&lt;=Hypothèses!$V$10,Hypothèses!$W$10,IF(EE355&lt;=Hypothèses!$V$11,Hypothèses!$W$11,IF(EE355&lt;=Hypothèses!$V$12,Hypothèses!$W$12,IF(EE355&lt;=Hypothèses!$V$13,Hypothèses!$W$13,IF(EE355&lt;=Hypothèses!$V$14,Hypothèses!$W$14,IF(EE355&lt;=Hypothèses!$V$15,Hypothèses!$W$15,IF(EE355&lt;=Hypothèses!$V$16,Hypothèses!$W$16,IF(EE355&lt;=Hypothèses!$V$17,Hypothèses!$W$17,IF(EE355&lt;=Hypothèses!$V$18,Hypothèses!$W$18,""))))))))))))</f>
        <v>#DIV/0!</v>
      </c>
      <c r="EZ355" s="87" t="e">
        <f t="shared" ca="1" si="623"/>
        <v>#DIV/0!</v>
      </c>
      <c r="FA355" s="88" t="e">
        <f ca="1">IF(EE355&lt;=Hypothèses!$V$7,Hypothèses!$X$7,IF(EE355&lt;=Hypothèses!$V$8,Hypothèses!$X$8,IF(EE355&lt;=Hypothèses!$V$9,Hypothèses!$X$9,IF(EE355&lt;=Hypothèses!$V$10,Hypothèses!$X$10,IF(EE355&lt;=Hypothèses!$V$11,Hypothèses!$X$11,IF(EE355&lt;=Hypothèses!$V$12,Hypothèses!$X$12,IF(EE355&lt;=Hypothèses!$V$13,Hypothèses!$X$13,IF(EE355&lt;=Hypothèses!$V$14,Hypothèses!$X$14,IF(EE355&lt;=Hypothèses!$V$15,Hypothèses!$X$15,IF(EE355&lt;=Hypothèses!$V$16,Hypothèses!$X$16,IF(EE355&lt;=Hypothèses!$U$17,Hypothèses!$W$17,IF(EE355&lt;=Hypothèses!$U$18,Hypothèses!$W$18,""))))))))))))</f>
        <v>#DIV/0!</v>
      </c>
      <c r="FB355" s="95" t="e">
        <f t="shared" ca="1" si="597"/>
        <v>#DIV/0!</v>
      </c>
      <c r="FC355" s="101" t="e">
        <f t="shared" si="630"/>
        <v>#N/A</v>
      </c>
      <c r="FD355" s="91" t="e">
        <f t="shared" si="566"/>
        <v>#N/A</v>
      </c>
      <c r="FE355" s="30" t="e">
        <f t="shared" si="614"/>
        <v>#N/A</v>
      </c>
      <c r="FF355" s="30" t="e">
        <f t="shared" si="615"/>
        <v>#N/A</v>
      </c>
      <c r="FG355" s="31" t="e">
        <f>IF(OR(Hypothèses!$B$4=17,Hypothèses!$B$4=18,Hypothèses!$B$4=19,Hypothèses!$B$4=20),
IF($D355="Pressio.",
IF(OR($E355=3,$E355=1,$E355=4),FF355,FE355),
IF($D355="Pénétro.",
IF(OR($E355=3,$E355=1,$E355=4),FF355,FE355))),IF($D355="Pressio.",
IF($E355=3,FF355,FE355),
IF($D355="Pénétro.",
IF($E355=4,FF355,FE355))))</f>
        <v>#N/A</v>
      </c>
      <c r="FH355" s="31" t="e">
        <f>(IF(OR(Hypothèses!$B$4=17,Hypothèses!$B$4=18,Hypothèses!$B$4=19,Hypothèses!$B$4=20),
IF($D355="Pressio.",
IF(OR($E355=3,$E355=1,$E355=4),(PI()*FH$12^2)/4*(FD355*$W355*1000)/($H355*$B$5),(PI()*FH$12^2)/4*(FD355*$W355*1000)/($G355*$B$5)),
IF($D355="Pénétro.",
IF(OR($E355=4,$E355=1,$E355=5),(PI()*FH$12^2)/4*(FD355*$W355*1000)/($H355*$B$5),(PI()*FH$12^2)/4*(FD355*$W355*1000)/($G355*$B$5)))),
IF($D355="Pressio.",
IF($E355=3,(PI()*FH$12^2)/4*(FD355*$W355*1000)/($H355*$B$5),(PI()*FH$12^2)/4*(FD355*$W355*1000)/($G355*$B$5)),
IF($D355="Pénétro.",
IF($E355=4,(PI()*FH$12^2)/4*(FD355*$W355*1000)/($H355*$B$5),(PI()*FH$12^2)/4*(FD355*$W355*1000)/($G355*$B$5))))))/10</f>
        <v>#N/A</v>
      </c>
      <c r="FI355" s="102" t="e">
        <f>(VLOOKUP($B$3,'Coeff EC7'!$T$39:$X$59,2,0)*FG355+VLOOKUP($B$3,'Coeff EC7'!$T$65:$X$85,2,0)*Model0.1C!FH355)/1.1</f>
        <v>#N/A</v>
      </c>
      <c r="FJ355" s="102" t="e">
        <f>(VLOOKUP($B$3,'Coeff EC7'!$T$39:$X$59,3,0)*FG355+VLOOKUP($B$3,'Coeff EC7'!$T$65:$X$85,3,0)*Model0.1C!FH355)/0.9</f>
        <v>#N/A</v>
      </c>
      <c r="FK355" s="102" t="e">
        <f t="shared" si="598"/>
        <v>#N/A</v>
      </c>
      <c r="FL355" s="102" t="e">
        <f t="shared" si="599"/>
        <v>#N/A</v>
      </c>
      <c r="FM355" s="414" t="e">
        <f>IF(FM354=0,0,IF(AND(FI355&gt;charge_ELS_quasi,FJ355&gt;Charge_ELS_freq,FK355&gt;charge_ELU,FL355&gt;charge_ELA,$B355&gt;NDC!$H$22-0.1+MIN(3*$FM$12,1.5)),0,1))</f>
        <v>#N/A</v>
      </c>
    </row>
    <row r="356" spans="1:169">
      <c r="A356" s="96">
        <f t="shared" si="567"/>
        <v>65.70000000000195</v>
      </c>
      <c r="B356" s="97">
        <v>34.299999999999997</v>
      </c>
      <c r="C356" s="81">
        <f>IF(B356&lt;=Hypothèses!$C$7,Hypothèses!$A$7,IF(B356&lt;=Hypothèses!$C$8,Hypothèses!$A$8,IF(B356&lt;=Hypothèses!$C$9,Hypothèses!$A$9,IF(B356&lt;=Hypothèses!$C$10,Hypothèses!$A$10,IF(B356&lt;=Hypothèses!$C$11,Hypothèses!$A$11,IF(B356&lt;=Hypothèses!$C$12,Hypothèses!$A$12,IF(B356&lt;=Hypothèses!$C$13,Hypothèses!$A$13,IF(B356&lt;=Hypothèses!$C$14,Hypothèses!$A$14,IF(B356&lt;=Hypothèses!$C$15,Hypothèses!$A$15,IF(B356&lt;=Hypothèses!$C$16,Hypothèses!$A$16,IF(B356&lt;=Hypothèses!$C$17,Hypothèses!$A$17,IF(B356&lt;=Hypothèses!$C$18,Hypothèses!$A$18,C355))))))))))))</f>
        <v>11</v>
      </c>
      <c r="D356" s="82" t="str">
        <f>IF(B356&lt;=Hypothèses!$C$7,Hypothèses!$R$7,IF(B356&lt;=Hypothèses!$C$8,Hypothèses!$R$8,IF(B356&lt;=Hypothèses!$C$9,Hypothèses!$R$9,IF(B356&lt;=Hypothèses!$C$10,Hypothèses!$R$10,IF(B356&lt;=Hypothèses!$C$11,Hypothèses!$R$11,IF(B356&lt;=Hypothèses!$C$12,Hypothèses!$R$12,IF(B356&lt;=Hypothèses!$C$13,Hypothèses!$R$13,IF(B356&lt;=Hypothèses!$C$14,Hypothèses!$R$14,IF(B356&lt;=Hypothèses!$C$15,Hypothèses!$R$15,IF(B356&lt;=Hypothèses!$C$16,Hypothèses!$R$16,IF(B356&lt;=Hypothèses!$C$17,Hypothèses!$R$17,IF(B356&lt;=Hypothèses!$C$18,Hypothèses!$R$18,D355))))))))))))</f>
        <v>Pressio.</v>
      </c>
      <c r="E356" s="82" t="e">
        <f>IF(B356&lt;=Hypothèses!$C$7,Hypothèses!$G$7,IF(B356&lt;=Hypothèses!$C$8,Hypothèses!$G$8,IF(B356&lt;=Hypothèses!$C$9,Hypothèses!$G$9,IF(B356&lt;=Hypothèses!$C$10,Hypothèses!$G$10,IF(B356&lt;=Hypothèses!$C$11,Hypothèses!$G$11,IF(B356&lt;=Hypothèses!$C$12,Hypothèses!$G$12,IF(B356&lt;=Hypothèses!$C$13,Hypothèses!$G$13,IF(B356&lt;=Hypothèses!$C$14,Hypothèses!$G$14,IF(B356&lt;=Hypothèses!$C$15,Hypothèses!$G$15,IF(B356&lt;=Hypothèses!$C$16,Hypothèses!$G$16,IF(B356&lt;=Hypothèses!$C$17,Hypothèses!$G$17,IF(B356&lt;=Hypothèses!$C$18,Hypothèses!$G$18,E355))))))))))))</f>
        <v>#N/A</v>
      </c>
      <c r="F356" s="82" t="str">
        <f>IF(B356&lt;=Hypothèses!$C$7,Hypothèses!$F$7,IF(B356&lt;=Hypothèses!$C$8,Hypothèses!$F$8,IF(B356&lt;=Hypothèses!$C$9,Hypothèses!$F$9,IF(B356&lt;=Hypothèses!$C$10,Hypothèses!$F$10,IF(B356&lt;=Hypothèses!$C$11,Hypothèses!$F$11,IF(B356&lt;=Hypothèses!$C$12,Hypothèses!$F$12,IF(B356&lt;=Hypothèses!$C$13,Hypothèses!$F$13,IF(B356&lt;=Hypothèses!$C$14,Hypothèses!$F$14,IF(B356&lt;=Hypothèses!$C$15,Hypothèses!$F$15,IF(B356&lt;=Hypothèses!$C$16,Hypothèses!$F$16,IF(B356&lt;=Hypothèses!$C$17,Hypothèses!$F$17,IF(B356&lt;=Hypothèses!$C$18,Hypothèses!$F$18,F355))))))))))))</f>
        <v/>
      </c>
      <c r="G356" s="91">
        <f t="array" ref="G356">INDEX('Coeff EC7'!$U$7:$X$27,
MATCH(Model0.1C!$B$3,'Coeff EC7'!$T$7:$T$27,0),
MATCH(Model0.1C!$D356&amp;Model0.1C!$B$4,
'Coeff EC7'!$U$6:$X$6&amp;
'Coeff EC7'!$U$5:$X$5,0))</f>
        <v>1.1499999999999999</v>
      </c>
      <c r="H356" s="91">
        <f t="array" ref="H356">INDEX('Coeff EC7'!$Y$7:$AB$27,
MATCH(Model0.1C!$B$3,'Coeff EC7'!$T$7:$T$27,0),
MATCH(Model0.1C!$D356&amp;Model0.1C!$B$4,
'Coeff EC7'!$Y$6:$AB$6&amp;
'Coeff EC7'!$Y$5:$AB$5,0))</f>
        <v>1.4</v>
      </c>
      <c r="I356" s="83" t="e">
        <f>IF(B356&lt;=Hypothèses!$C$7,Hypothèses!$P$7,IF(B356&lt;=Hypothèses!$C$8,Hypothèses!$P$8,IF(B356&lt;=Hypothèses!$C$9,Hypothèses!$P$9,IF(B356&lt;=Hypothèses!$C$10,Hypothèses!$P$10,IF(B356&lt;=Hypothèses!$C$11,Hypothèses!$P$11,IF(B356&lt;=Hypothèses!$C$12,Hypothèses!$P$12,IF(B356&lt;=Hypothèses!$C$13,Hypothèses!$P$13,IF(B356&lt;=Hypothèses!$C$14,Hypothèses!$P$14,IF(B356&lt;=Hypothèses!$C$15,Hypothèses!$P$15,IF(B356&lt;=Hypothèses!$C$16,Hypothèses!$P$16,IF(B356&lt;=Hypothèses!$C$17,Hypothèses!$P$17,IF(B356&lt;=Hypothèses!$C$18,Hypothèses!$P$18,I355))))))))))))</f>
        <v>#N/A</v>
      </c>
      <c r="J356" s="91" t="e">
        <f t="array" ref="J356">INDEX('Coeff EC7'!$D$33:$Q$33,1,MATCH(D356&amp;E356,'Coeff EC7'!$D$31:$Q$31&amp;'Coeff EC7'!$D$32:$Q$32,0))</f>
        <v>#N/A</v>
      </c>
      <c r="K356" s="91" t="e">
        <f t="array" ref="K356">INDEX('Coeff EC7'!$D$34:$Q$34,1,MATCH(D356&amp;E356,'Coeff EC7'!$D$31:$Q$31&amp;'Coeff EC7'!$D$32:$Q$32,0))</f>
        <v>#N/A</v>
      </c>
      <c r="L356" s="91" t="e">
        <f t="array" ref="L356">INDEX('Coeff EC7'!$D$35:$Q$35,1,MATCH(D356&amp;E356,'Coeff EC7'!$D$31:$Q$31&amp;'Coeff EC7'!$D$32:$Q$32,0))</f>
        <v>#N/A</v>
      </c>
      <c r="M356" s="98" t="e">
        <f t="shared" si="531"/>
        <v>#N/A</v>
      </c>
      <c r="N356" s="99" t="e">
        <f t="array" ref="N356">INDEX('Coeff EC7'!$D$7:$Q$27,MATCH($B$3,'Coeff EC7'!$C$7:$C$27,0),MATCH(D356&amp;E356,'Coeff EC7'!$D$5:$Q$5&amp;'Coeff EC7'!$D$6:$Q$6,0))</f>
        <v>#N/A</v>
      </c>
      <c r="O356" s="99" t="e">
        <f t="array" ref="O356">INDEX('Coeff EC7'!$D$41:$Q$61,MATCH($B$3,'Coeff EC7'!$C$41:$C$61,0),MATCH(D356&amp;E356,'Coeff EC7'!$D$39:$Q$39&amp;'Coeff EC7'!$D$40:$Q$40,0))</f>
        <v>#N/A</v>
      </c>
      <c r="P356" s="30" t="e">
        <f t="shared" si="568"/>
        <v>#N/A</v>
      </c>
      <c r="Q356" s="100" t="e">
        <f t="shared" si="533"/>
        <v>#N/A</v>
      </c>
      <c r="R356" s="86" t="b">
        <f t="shared" si="534"/>
        <v>0</v>
      </c>
      <c r="S356" s="86">
        <f t="shared" si="532"/>
        <v>0.5</v>
      </c>
      <c r="T356" s="86">
        <f t="shared" si="535"/>
        <v>0.5</v>
      </c>
      <c r="U356" s="30" t="e">
        <f t="shared" ca="1" si="569"/>
        <v>#DIV/0!</v>
      </c>
      <c r="V356" s="85" t="str">
        <f>IF(B356&lt;=Hypothèses!$V$7,Hypothèses!$W$7,IF(B356&lt;=Hypothèses!$V$8,Hypothèses!$W$8,IF(B356&lt;=Hypothèses!$V$9,Hypothèses!$W$9,IF(B356&lt;=Hypothèses!$V$10,Hypothèses!$W$10,IF(B356&lt;=Hypothèses!$V$11,Hypothèses!$W$11,IF(B356&lt;=Hypothèses!$V$12,Hypothèses!$W$12,IF(B356&lt;=Hypothèses!$V$13,Hypothèses!$W$13,IF(B356&lt;=Hypothèses!$V$14,Hypothèses!$W$14,IF(B356&lt;=Hypothèses!$V$15,Hypothèses!$W$15,IF(B356&lt;=Hypothèses!$V$16,Hypothèses!$W$16,IF(B356&lt;=Hypothèses!$V$17,Hypothèses!$W$17,IF(B356&lt;=Hypothèses!$V$18,Hypothèses!$W$18,""))))))))))))</f>
        <v/>
      </c>
      <c r="W356" s="87" t="e">
        <f t="shared" ca="1" si="616"/>
        <v>#DIV/0!</v>
      </c>
      <c r="X356" s="88" t="str">
        <f>IF(B356&lt;=Hypothèses!$V$7,Hypothèses!$X$7,IF(B356&lt;=Hypothèses!$V$8,Hypothèses!$X$8,IF(B356&lt;=Hypothèses!$V$9,Hypothèses!$X$9,IF(B356&lt;=Hypothèses!$V$10,Hypothèses!$X$10,IF(B356&lt;=Hypothèses!$V$11,Hypothèses!$X$11,IF(B356&lt;=Hypothèses!$V$12,Hypothèses!$X$12,IF(B356&lt;=Hypothèses!$V$13,Hypothèses!$X$13,IF(B356&lt;=Hypothèses!$V$14,Hypothèses!$X$14,IF(B356&lt;=Hypothèses!$V$15,Hypothèses!$X$15,IF(B356&lt;=Hypothèses!$V$16,Hypothèses!$X$16,IF(B356&lt;=Hypothèses!$U$17,Hypothèses!$W$17,IF(B356&lt;=Hypothèses!$U$18,Hypothèses!$W$18,""))))))))))))</f>
        <v/>
      </c>
      <c r="Y356" s="95" t="e">
        <f t="shared" ca="1" si="536"/>
        <v>#DIV/0!</v>
      </c>
      <c r="Z356" s="101" t="e">
        <f t="shared" si="537"/>
        <v>#N/A</v>
      </c>
      <c r="AA356" s="91" t="e">
        <f t="shared" si="538"/>
        <v>#N/A</v>
      </c>
      <c r="AB356" s="30" t="e">
        <f t="shared" si="600"/>
        <v>#N/A</v>
      </c>
      <c r="AC356" s="30" t="e">
        <f t="shared" si="601"/>
        <v>#N/A</v>
      </c>
      <c r="AD356" s="31" t="e">
        <f>IF(OR(Hypothèses!$B$4=17,Hypothèses!$B$4=18,Hypothèses!$B$4=19,Hypothèses!$B$4=20),
IF($D356="Pressio.",
IF(OR($E356=3,$E356=1,$E356=4),AC356,AB356),
IF($D356="Pénétro.",
IF(OR($E356=3,$E356=1,$E356=4),AC356,AB356))),IF($D356="Pressio.",
IF($E356=3,AC356,AB356),
IF($D356="Pénétro.",
IF($E356=4,AC356,AB356))))</f>
        <v>#N/A</v>
      </c>
      <c r="AE356" s="31" t="e">
        <f>(IF(OR(Hypothèses!$B$4=17,Hypothèses!$B$4=18,Hypothèses!$B$4=19,Hypothèses!$B$4=20),
IF($D356="Pressio.",
IF(OR($E356=3,$E356=1,$E356=4),(PI()*AE$12^2)/4*(AA356*$W356*1000)/($H356*$B$5),(PI()*AE$12^2)/4*(AA356*$W356*1000)/($G356*$B$5)),
IF($D356="Pénétro.",
IF(OR($E356=4,$E356=1,$E356=5),(PI()*AE$12^2)/4*(AA356*$W356*1000)/($H356*$B$5),(PI()*AE$12^2)/4*(AA356*$W356*1000)/($G356*$B$5)))),
IF($D356="Pressio.",
IF($E356=3,(PI()*AE$12^2)/4*(AA356*$W356*1000)/($H356*$B$5),(PI()*AE$12^2)/4*(AA356*$W356*1000)/($G356*$B$5)),
IF($D356="Pénétro.",
IF($E356=4,(PI()*AE$12^2)/4*(AA356*$W356*1000)/($H356*$B$5),(PI()*AE$12^2)/4*(AA356*$W356*1000)/($G356*$B$5))))))/10</f>
        <v>#N/A</v>
      </c>
      <c r="AF356" s="102" t="e">
        <f>(VLOOKUP($B$3,'Coeff EC7'!$T$39:$X$59,2,0)*AD356+VLOOKUP($B$3,'Coeff EC7'!$T$65:$X$85,2,0)*Model0.1C!AE356)/1.1</f>
        <v>#N/A</v>
      </c>
      <c r="AG356" s="102" t="e">
        <f>(VLOOKUP($B$3,'Coeff EC7'!$T$39:$X$59,3,0)*AD356+VLOOKUP($B$3,'Coeff EC7'!$T$65:$X$85,3,0)*Model0.1C!AE356)/0.9</f>
        <v>#N/A</v>
      </c>
      <c r="AH356" s="102" t="e">
        <f t="shared" si="539"/>
        <v>#N/A</v>
      </c>
      <c r="AI356" s="102" t="e">
        <f t="shared" si="540"/>
        <v>#N/A</v>
      </c>
      <c r="AJ356" s="414" t="e">
        <f>IF(AJ355=0,0,IF(AND(AF356&gt;charge_ELS_quasi,AG356&gt;Charge_ELS_freq,AH356&gt;charge_ELU,AI356&gt;charge_ELA,$B356&gt;NDC!$H$22-0.1+MIN(3*$AJ$12,1.5)),0,1))</f>
        <v>#N/A</v>
      </c>
      <c r="AK356" s="86" t="b">
        <f t="shared" si="541"/>
        <v>0</v>
      </c>
      <c r="AL356" s="86">
        <f t="shared" si="570"/>
        <v>0.5</v>
      </c>
      <c r="AM356" s="86">
        <f t="shared" si="542"/>
        <v>0.5</v>
      </c>
      <c r="AN356" s="30" t="e">
        <f t="shared" ca="1" si="571"/>
        <v>#DIV/0!</v>
      </c>
      <c r="AO356" s="85" t="e">
        <f ca="1">IF(U356&lt;=Hypothèses!$V$7,Hypothèses!$W$7,IF(U356&lt;=Hypothèses!$V$8,Hypothèses!$W$8,IF(U356&lt;=Hypothèses!$V$9,Hypothèses!$W$9,IF(U356&lt;=Hypothèses!$V$10,Hypothèses!$W$10,IF(U356&lt;=Hypothèses!$V$11,Hypothèses!$W$11,IF(U356&lt;=Hypothèses!$V$12,Hypothèses!$W$12,IF(U356&lt;=Hypothèses!$V$13,Hypothèses!$W$13,IF(U356&lt;=Hypothèses!$V$14,Hypothèses!$W$14,IF(U356&lt;=Hypothèses!$V$15,Hypothèses!$W$15,IF(U356&lt;=Hypothèses!$V$16,Hypothèses!$W$16,IF(U356&lt;=Hypothèses!$V$17,Hypothèses!$W$17,IF(U356&lt;=Hypothèses!$V$18,Hypothèses!$W$18,""))))))))))))</f>
        <v>#DIV/0!</v>
      </c>
      <c r="AP356" s="87" t="e">
        <f t="shared" ca="1" si="617"/>
        <v>#DIV/0!</v>
      </c>
      <c r="AQ356" s="88" t="e">
        <f ca="1">IF(U356&lt;=Hypothèses!$V$7,Hypothèses!$X$7,IF(U356&lt;=Hypothèses!$V$8,Hypothèses!$X$8,IF(U356&lt;=Hypothèses!$V$9,Hypothèses!$X$9,IF(U356&lt;=Hypothèses!$V$10,Hypothèses!$X$10,IF(U356&lt;=Hypothèses!$V$11,Hypothèses!$X$11,IF(U356&lt;=Hypothèses!$V$12,Hypothèses!$X$12,IF(U356&lt;=Hypothèses!$V$13,Hypothèses!$X$13,IF(U356&lt;=Hypothèses!$V$14,Hypothèses!$X$14,IF(U356&lt;=Hypothèses!$V$15,Hypothèses!$X$15,IF(U356&lt;=Hypothèses!$V$16,Hypothèses!$X$16,IF(U356&lt;=Hypothèses!$U$17,Hypothèses!$W$17,IF(U356&lt;=Hypothèses!$U$18,Hypothèses!$W$18,""))))))))))))</f>
        <v>#DIV/0!</v>
      </c>
      <c r="AR356" s="95" t="e">
        <f t="shared" ca="1" si="572"/>
        <v>#DIV/0!</v>
      </c>
      <c r="AS356" s="101" t="e">
        <f t="shared" si="624"/>
        <v>#N/A</v>
      </c>
      <c r="AT356" s="91" t="e">
        <f t="shared" si="543"/>
        <v>#N/A</v>
      </c>
      <c r="AU356" s="30" t="e">
        <f t="shared" si="602"/>
        <v>#N/A</v>
      </c>
      <c r="AV356" s="30" t="e">
        <f t="shared" si="603"/>
        <v>#N/A</v>
      </c>
      <c r="AW356" s="31" t="e">
        <f>IF(OR(Hypothèses!$B$4=17,Hypothèses!$B$4=18,Hypothèses!$B$4=19,Hypothèses!$B$4=20),
IF($D356="Pressio.",
IF(OR($E356=3,$E356=1,$E356=4),AV356,AU356),
IF($D356="Pénétro.",
IF(OR($E356=3,$E356=1,$E356=4),AV356,AU356))),IF($D356="Pressio.",
IF($E356=3,AV356,AU356),
IF($D356="Pénétro.",
IF($E356=4,AV356,AU356))))</f>
        <v>#N/A</v>
      </c>
      <c r="AX356" s="31" t="e">
        <f>(IF(OR(Hypothèses!$B$4=17,Hypothèses!$B$4=18,Hypothèses!$B$4=19,Hypothèses!$B$4=20),
IF($D356="Pressio.",
IF(OR($E356=3,$E356=1,$E356=4),(PI()*AX$12^2)/4*(AT356*$W356*1000)/($H356*$B$5),(PI()*AX$12^2)/4*(AT356*$W356*1000)/($G356*$B$5)),
IF($D356="Pénétro.",
IF(OR($E356=4,$E356=1,$E356=5),(PI()*AX$12^2)/4*(AT356*$W356*1000)/($H356*$B$5),(PI()*AX$12^2)/4*(AT356*$W356*1000)/($G356*$B$5)))),
IF($D356="Pressio.",
IF($E356=3,(PI()*AX$12^2)/4*(AT356*$W356*1000)/($H356*$B$5),(PI()*AX$12^2)/4*(AT356*$W356*1000)/($G356*$B$5)),
IF($D356="Pénétro.",
IF($E356=4,(PI()*AX$12^2)/4*(AT356*$W356*1000)/($H356*$B$5),(PI()*AX$12^2)/4*(AT356*$W356*1000)/($G356*$B$5))))))/10</f>
        <v>#N/A</v>
      </c>
      <c r="AY356" s="102" t="e">
        <f>(VLOOKUP($B$3,'Coeff EC7'!$T$39:$X$59,2,0)*AW356+VLOOKUP($B$3,'Coeff EC7'!$T$65:$X$85,2,0)*Model0.1C!AX356)/1.1</f>
        <v>#N/A</v>
      </c>
      <c r="AZ356" s="102" t="e">
        <f>(VLOOKUP($B$3,'Coeff EC7'!$T$39:$X$59,3,0)*AW356+VLOOKUP($B$3,'Coeff EC7'!$T$65:$X$85,3,0)*Model0.1C!AX356)/0.9</f>
        <v>#N/A</v>
      </c>
      <c r="BA356" s="102" t="e">
        <f t="shared" si="573"/>
        <v>#N/A</v>
      </c>
      <c r="BB356" s="102" t="e">
        <f t="shared" si="574"/>
        <v>#N/A</v>
      </c>
      <c r="BC356" s="414" t="e">
        <f>IF(BC355=0,0,IF(AND(AY356&gt;charge_ELS_quasi,AZ356&gt;Charge_ELS_freq,BA356&gt;charge_ELU,BB356&gt;charge_ELA,$B356&gt;NDC!$H$22-0.1+MIN(3*$BC$12,1.5)),0,1))</f>
        <v>#N/A</v>
      </c>
      <c r="BD356" s="86" t="b">
        <f t="shared" si="544"/>
        <v>0</v>
      </c>
      <c r="BE356" s="86">
        <f t="shared" si="575"/>
        <v>0.5</v>
      </c>
      <c r="BF356" s="86">
        <f t="shared" si="545"/>
        <v>0.5</v>
      </c>
      <c r="BG356" s="30" t="e">
        <f t="shared" ca="1" si="576"/>
        <v>#DIV/0!</v>
      </c>
      <c r="BH356" s="85" t="e">
        <f ca="1">IF(AN356&lt;=Hypothèses!$V$7,Hypothèses!$W$7,IF(AN356&lt;=Hypothèses!$V$8,Hypothèses!$W$8,IF(AN356&lt;=Hypothèses!$V$9,Hypothèses!$W$9,IF(AN356&lt;=Hypothèses!$V$10,Hypothèses!$W$10,IF(AN356&lt;=Hypothèses!$V$11,Hypothèses!$W$11,IF(AN356&lt;=Hypothèses!$V$12,Hypothèses!$W$12,IF(AN356&lt;=Hypothèses!$V$13,Hypothèses!$W$13,IF(AN356&lt;=Hypothèses!$V$14,Hypothèses!$W$14,IF(AN356&lt;=Hypothèses!$V$15,Hypothèses!$W$15,IF(AN356&lt;=Hypothèses!$V$16,Hypothèses!$W$16,IF(AN356&lt;=Hypothèses!$V$17,Hypothèses!$W$17,IF(AN356&lt;=Hypothèses!$V$18,Hypothèses!$W$18,""))))))))))))</f>
        <v>#DIV/0!</v>
      </c>
      <c r="BI356" s="87" t="e">
        <f t="shared" ca="1" si="618"/>
        <v>#DIV/0!</v>
      </c>
      <c r="BJ356" s="88" t="e">
        <f ca="1">IF(AN356&lt;=Hypothèses!$V$7,Hypothèses!$X$7,IF(AN356&lt;=Hypothèses!$V$8,Hypothèses!$X$8,IF(AN356&lt;=Hypothèses!$V$9,Hypothèses!$X$9,IF(AN356&lt;=Hypothèses!$V$10,Hypothèses!$X$10,IF(AN356&lt;=Hypothèses!$V$11,Hypothèses!$X$11,IF(AN356&lt;=Hypothèses!$V$12,Hypothèses!$X$12,IF(AN356&lt;=Hypothèses!$V$13,Hypothèses!$X$13,IF(AN356&lt;=Hypothèses!$V$14,Hypothèses!$X$14,IF(AN356&lt;=Hypothèses!$V$15,Hypothèses!$X$15,IF(AN356&lt;=Hypothèses!$V$16,Hypothèses!$X$16,IF(AN356&lt;=Hypothèses!$U$17,Hypothèses!$W$17,IF(AN356&lt;=Hypothèses!$U$18,Hypothèses!$W$18,""))))))))))))</f>
        <v>#DIV/0!</v>
      </c>
      <c r="BK356" s="95" t="e">
        <f t="shared" ca="1" si="577"/>
        <v>#DIV/0!</v>
      </c>
      <c r="BL356" s="101" t="e">
        <f t="shared" si="625"/>
        <v>#N/A</v>
      </c>
      <c r="BM356" s="91" t="e">
        <f t="shared" si="546"/>
        <v>#N/A</v>
      </c>
      <c r="BN356" s="30" t="e">
        <f t="shared" si="604"/>
        <v>#N/A</v>
      </c>
      <c r="BO356" s="30" t="e">
        <f t="shared" si="605"/>
        <v>#N/A</v>
      </c>
      <c r="BP356" s="31" t="e">
        <f>IF(OR(Hypothèses!$B$4=17,Hypothèses!$B$4=18,Hypothèses!$B$4=19,Hypothèses!$B$4=20),
IF($D356="Pressio.",
IF(OR($E356=3,$E356=1,$E356=4),BO356,BN356),
IF($D356="Pénétro.",
IF(OR($E356=3,$E356=1,$E356=4),BO356,BN356))),IF($D356="Pressio.",
IF($E356=3,BO356,BN356),
IF($D356="Pénétro.",
IF($E356=4,BO356,BN356))))</f>
        <v>#N/A</v>
      </c>
      <c r="BQ356" s="31" t="e">
        <f>(IF(OR(Hypothèses!$B$4=17,Hypothèses!$B$4=18,Hypothèses!$B$4=19,Hypothèses!$B$4=20),
IF($D356="Pressio.",
IF(OR($E356=3,$E356=1,$E356=4),(PI()*BQ$12^2)/4*(BM356*$W356*1000)/($H356*$B$5),(PI()*BQ$12^2)/4*(BM356*$W356*1000)/($G356*$B$5)),
IF($D356="Pénétro.",
IF(OR($E356=4,$E356=1,$E356=5),(PI()*BQ$12^2)/4*(BM356*$W356*1000)/($H356*$B$5),(PI()*BQ$12^2)/4*(BM356*$W356*1000)/($G356*$B$5)))),
IF($D356="Pressio.",
IF($E356=3,(PI()*BQ$12^2)/4*(BM356*$W356*1000)/($H356*$B$5),(PI()*BQ$12^2)/4*(BM356*$W356*1000)/($G356*$B$5)),
IF($D356="Pénétro.",
IF($E356=4,(PI()*BQ$12^2)/4*(BM356*$W356*1000)/($H356*$B$5),(PI()*BQ$12^2)/4*(BM356*$W356*1000)/($G356*$B$5))))))/10</f>
        <v>#N/A</v>
      </c>
      <c r="BR356" s="102" t="e">
        <f>(VLOOKUP($B$3,'Coeff EC7'!$T$39:$X$59,2,0)*BP356+VLOOKUP($B$3,'Coeff EC7'!$T$65:$X$85,2,0)*Model0.1C!BQ356)/1.1</f>
        <v>#N/A</v>
      </c>
      <c r="BS356" s="102" t="e">
        <f>(VLOOKUP($B$3,'Coeff EC7'!$T$39:$X$59,3,0)*BP356+VLOOKUP($B$3,'Coeff EC7'!$T$65:$X$85,3,0)*Model0.1C!BQ356)/0.9</f>
        <v>#N/A</v>
      </c>
      <c r="BT356" s="102" t="e">
        <f t="shared" si="578"/>
        <v>#N/A</v>
      </c>
      <c r="BU356" s="102" t="e">
        <f t="shared" si="579"/>
        <v>#N/A</v>
      </c>
      <c r="BV356" s="414" t="e">
        <f>IF(BV355=0,0,IF(AND(BR356&gt;charge_ELS_quasi,BS356&gt;Charge_ELS_freq,BT356&gt;charge_ELU,BU356&gt;charge_ELA,$B356&gt;NDC!$H$22-0.1+MIN(3*$BV$12,1.5)),0,1))</f>
        <v>#N/A</v>
      </c>
      <c r="BW356" s="86" t="b">
        <f t="shared" si="547"/>
        <v>0</v>
      </c>
      <c r="BX356" s="86">
        <f t="shared" si="548"/>
        <v>0.5</v>
      </c>
      <c r="BY356" s="86">
        <f t="shared" si="549"/>
        <v>0.5</v>
      </c>
      <c r="BZ356" s="30" t="e">
        <f t="shared" ca="1" si="580"/>
        <v>#DIV/0!</v>
      </c>
      <c r="CA356" s="85" t="e">
        <f ca="1">IF(BG356&lt;=Hypothèses!$V$7,Hypothèses!$W$7,IF(BG356&lt;=Hypothèses!$V$8,Hypothèses!$W$8,IF(BG356&lt;=Hypothèses!$V$9,Hypothèses!$W$9,IF(BG356&lt;=Hypothèses!$V$10,Hypothèses!$W$10,IF(BG356&lt;=Hypothèses!$V$11,Hypothèses!$W$11,IF(BG356&lt;=Hypothèses!$V$12,Hypothèses!$W$12,IF(BG356&lt;=Hypothèses!$V$13,Hypothèses!$W$13,IF(BG356&lt;=Hypothèses!$V$14,Hypothèses!$W$14,IF(BG356&lt;=Hypothèses!$V$15,Hypothèses!$W$15,IF(BG356&lt;=Hypothèses!$V$16,Hypothèses!$W$16,IF(BG356&lt;=Hypothèses!$V$17,Hypothèses!$W$17,IF(BG356&lt;=Hypothèses!$V$18,Hypothèses!$W$18,""))))))))))))</f>
        <v>#DIV/0!</v>
      </c>
      <c r="CB356" s="87" t="e">
        <f t="shared" ca="1" si="619"/>
        <v>#DIV/0!</v>
      </c>
      <c r="CC356" s="88" t="e">
        <f ca="1">IF(BG356&lt;=Hypothèses!$V$7,Hypothèses!$X$7,IF(BG356&lt;=Hypothèses!$V$8,Hypothèses!$X$8,IF(BG356&lt;=Hypothèses!$V$9,Hypothèses!$X$9,IF(BG356&lt;=Hypothèses!$V$10,Hypothèses!$X$10,IF(BG356&lt;=Hypothèses!$V$11,Hypothèses!$X$11,IF(BG356&lt;=Hypothèses!$V$12,Hypothèses!$X$12,IF(BG356&lt;=Hypothèses!$V$13,Hypothèses!$X$13,IF(BG356&lt;=Hypothèses!$V$14,Hypothèses!$X$14,IF(BG356&lt;=Hypothèses!$V$15,Hypothèses!$X$15,IF(BG356&lt;=Hypothèses!$V$16,Hypothèses!$X$16,IF(BG356&lt;=Hypothèses!$U$17,Hypothèses!$W$17,IF(BG356&lt;=Hypothèses!$U$18,Hypothèses!$W$18,""))))))))))))</f>
        <v>#DIV/0!</v>
      </c>
      <c r="CD356" s="95" t="e">
        <f t="shared" ca="1" si="581"/>
        <v>#DIV/0!</v>
      </c>
      <c r="CE356" s="101" t="e">
        <f t="shared" si="626"/>
        <v>#N/A</v>
      </c>
      <c r="CF356" s="91" t="e">
        <f t="shared" si="550"/>
        <v>#N/A</v>
      </c>
      <c r="CG356" s="30" t="e">
        <f t="shared" si="606"/>
        <v>#N/A</v>
      </c>
      <c r="CH356" s="30" t="e">
        <f t="shared" si="607"/>
        <v>#N/A</v>
      </c>
      <c r="CI356" s="31" t="e">
        <f>IF(OR(Hypothèses!$B$4=17,Hypothèses!$B$4=18,Hypothèses!$B$4=19,Hypothèses!$B$4=20),
IF($D356="Pressio.",
IF(OR($E356=3,$E356=1,$E356=4),CH356,CG356),
IF($D356="Pénétro.",
IF(OR($E356=3,$E356=1,$E356=4),CH356,CG356))),IF($D356="Pressio.",
IF($E356=3,CH356,CG356),
IF($D356="Pénétro.",
IF($E356=4,CH356,CG356))))</f>
        <v>#N/A</v>
      </c>
      <c r="CJ356" s="31" t="e">
        <f>(IF(OR(Hypothèses!$B$4=17,Hypothèses!$B$4=18,Hypothèses!$B$4=19,Hypothèses!$B$4=20),
IF($D356="Pressio.",
IF(OR($E356=3,$E356=1,$E356=4),(PI()*CJ$12^2)/4*(CF356*$W356*1000)/($H356*$B$5),(PI()*CJ$12^2)/4*(CF356*$W356*1000)/($G356*$B$5)),
IF($D356="Pénétro.",
IF(OR($E356=4,$E356=1,$E356=5),(PI()*CJ$12^2)/4*(CF356*$W356*1000)/($H356*$B$5),(PI()*CJ$12^2)/4*(CF356*$W356*1000)/($G356*$B$5)))),
IF($D356="Pressio.",
IF($E356=3,(PI()*CJ$12^2)/4*(CF356*$W356*1000)/($H356*$B$5),(PI()*CJ$12^2)/4*(CF356*$W356*1000)/($G356*$B$5)),
IF($D356="Pénétro.",
IF($E356=4,(PI()*CJ$12^2)/4*(CF356*$W356*1000)/($H356*$B$5),(PI()*CJ$12^2)/4*(CF356*$W356*1000)/($G356*$B$5))))))/10</f>
        <v>#N/A</v>
      </c>
      <c r="CK356" s="102" t="e">
        <f>(VLOOKUP($B$3,'Coeff EC7'!$T$39:$X$59,2,0)*CI356+VLOOKUP($B$3,'Coeff EC7'!$T$65:$X$85,2,0)*Model0.1C!CJ356)/1.1</f>
        <v>#N/A</v>
      </c>
      <c r="CL356" s="102" t="e">
        <f>(VLOOKUP($B$3,'Coeff EC7'!$T$39:$X$59,3,0)*CI356+VLOOKUP($B$3,'Coeff EC7'!$T$65:$X$85,3,0)*Model0.1C!CJ356)/0.9</f>
        <v>#N/A</v>
      </c>
      <c r="CM356" s="102" t="e">
        <f t="shared" si="582"/>
        <v>#N/A</v>
      </c>
      <c r="CN356" s="102" t="e">
        <f t="shared" si="583"/>
        <v>#N/A</v>
      </c>
      <c r="CO356" s="414" t="e">
        <f>IF(CO355=0,0,IF(AND(CK356&gt;charge_ELS_quasi,CL356&gt;Charge_ELS_freq,CM356&gt;charge_ELU,CN356&gt;charge_ELA,$B356&gt;NDC!$H$22-0.1+MIN(3*$CO$12,1.5)),0,1))</f>
        <v>#N/A</v>
      </c>
      <c r="CP356" s="86" t="b">
        <f t="shared" si="551"/>
        <v>0</v>
      </c>
      <c r="CQ356" s="86">
        <f t="shared" si="552"/>
        <v>0.5</v>
      </c>
      <c r="CR356" s="86">
        <f t="shared" si="553"/>
        <v>0.5</v>
      </c>
      <c r="CS356" s="30" t="e">
        <f t="shared" ca="1" si="584"/>
        <v>#DIV/0!</v>
      </c>
      <c r="CT356" s="85" t="e">
        <f ca="1">IF(BZ356&lt;=Hypothèses!$V$7,Hypothèses!$W$7,IF(BZ356&lt;=Hypothèses!$V$8,Hypothèses!$W$8,IF(BZ356&lt;=Hypothèses!$V$9,Hypothèses!$W$9,IF(BZ356&lt;=Hypothèses!$V$10,Hypothèses!$W$10,IF(BZ356&lt;=Hypothèses!$V$11,Hypothèses!$W$11,IF(BZ356&lt;=Hypothèses!$V$12,Hypothèses!$W$12,IF(BZ356&lt;=Hypothèses!$V$13,Hypothèses!$W$13,IF(BZ356&lt;=Hypothèses!$V$14,Hypothèses!$W$14,IF(BZ356&lt;=Hypothèses!$V$15,Hypothèses!$W$15,IF(BZ356&lt;=Hypothèses!$V$16,Hypothèses!$W$16,IF(BZ356&lt;=Hypothèses!$V$17,Hypothèses!$W$17,IF(BZ356&lt;=Hypothèses!$V$18,Hypothèses!$W$18,""))))))))))))</f>
        <v>#DIV/0!</v>
      </c>
      <c r="CU356" s="87" t="e">
        <f t="shared" ca="1" si="620"/>
        <v>#DIV/0!</v>
      </c>
      <c r="CV356" s="88" t="e">
        <f ca="1">IF(BZ356&lt;=Hypothèses!$V$7,Hypothèses!$X$7,IF(BZ356&lt;=Hypothèses!$V$8,Hypothèses!$X$8,IF(BZ356&lt;=Hypothèses!$V$9,Hypothèses!$X$9,IF(BZ356&lt;=Hypothèses!$V$10,Hypothèses!$X$10,IF(BZ356&lt;=Hypothèses!$V$11,Hypothèses!$X$11,IF(BZ356&lt;=Hypothèses!$V$12,Hypothèses!$X$12,IF(BZ356&lt;=Hypothèses!$V$13,Hypothèses!$X$13,IF(BZ356&lt;=Hypothèses!$V$14,Hypothèses!$X$14,IF(BZ356&lt;=Hypothèses!$V$15,Hypothèses!$X$15,IF(BZ356&lt;=Hypothèses!$V$16,Hypothèses!$X$16,IF(BZ356&lt;=Hypothèses!$U$17,Hypothèses!$W$17,IF(BZ356&lt;=Hypothèses!$U$18,Hypothèses!$W$18,""))))))))))))</f>
        <v>#DIV/0!</v>
      </c>
      <c r="CW356" s="95" t="e">
        <f t="shared" ca="1" si="585"/>
        <v>#DIV/0!</v>
      </c>
      <c r="CX356" s="101" t="e">
        <f t="shared" si="627"/>
        <v>#N/A</v>
      </c>
      <c r="CY356" s="91" t="e">
        <f t="shared" si="554"/>
        <v>#N/A</v>
      </c>
      <c r="CZ356" s="30" t="e">
        <f t="shared" si="608"/>
        <v>#N/A</v>
      </c>
      <c r="DA356" s="30" t="e">
        <f t="shared" si="609"/>
        <v>#N/A</v>
      </c>
      <c r="DB356" s="31" t="e">
        <f>IF(OR(Hypothèses!$B$4=17,Hypothèses!$B$4=18,Hypothèses!$B$4=19,Hypothèses!$B$4=20),
IF($D356="Pressio.",
IF(OR($E356=3,$E356=1,$E356=4),DA356,CZ356),
IF($D356="Pénétro.",
IF(OR($E356=3,$E356=1,$E356=4),DA356,CZ356))),IF($D356="Pressio.",
IF($E356=3,DA356,CZ356),
IF($D356="Pénétro.",
IF($E356=4,DA356,CZ356))))</f>
        <v>#N/A</v>
      </c>
      <c r="DC356" s="31" t="e">
        <f>(IF(OR(Hypothèses!$B$4=17,Hypothèses!$B$4=18,Hypothèses!$B$4=19,Hypothèses!$B$4=20),
IF($D356="Pressio.",
IF(OR($E356=3,$E356=1,$E356=4),(PI()*DC$12^2)/4*(CY356*$W356*1000)/($H356*$B$5),(PI()*DC$12^2)/4*(CY356*$W356*1000)/($G356*$B$5)),
IF($D356="Pénétro.",
IF(OR($E356=4,$E356=1,$E356=5),(PI()*DC$12^2)/4*(CY356*$W356*1000)/($H356*$B$5),(PI()*DC$12^2)/4*(CY356*$W356*1000)/($G356*$B$5)))),
IF($D356="Pressio.",
IF($E356=3,(PI()*DC$12^2)/4*(CY356*$W356*1000)/($H356*$B$5),(PI()*DC$12^2)/4*(CY356*$W356*1000)/($G356*$B$5)),
IF($D356="Pénétro.",
IF($E356=4,(PI()*DC$12^2)/4*(CY356*$W356*1000)/($H356*$B$5),(PI()*DC$12^2)/4*(CY356*$W356*1000)/($G356*$B$5))))))/10</f>
        <v>#N/A</v>
      </c>
      <c r="DD356" s="102" t="e">
        <f>(VLOOKUP($B$3,'Coeff EC7'!$T$39:$X$59,2,0)*DB356+VLOOKUP($B$3,'Coeff EC7'!$T$65:$X$85,2,0)*Model0.1C!DC356)/1.1</f>
        <v>#N/A</v>
      </c>
      <c r="DE356" s="102" t="e">
        <f>(VLOOKUP($B$3,'Coeff EC7'!$T$39:$X$59,3,0)*DB356+VLOOKUP($B$3,'Coeff EC7'!$T$65:$X$85,3,0)*Model0.1C!DC356)/0.9</f>
        <v>#N/A</v>
      </c>
      <c r="DF356" s="102" t="e">
        <f t="shared" si="586"/>
        <v>#N/A</v>
      </c>
      <c r="DG356" s="102" t="e">
        <f t="shared" si="587"/>
        <v>#N/A</v>
      </c>
      <c r="DH356" s="414" t="e">
        <f>IF(DH355=0,0,IF(AND(DD356&gt;charge_ELS_quasi,DE356&gt;Charge_ELS_freq,DF356&gt;charge_ELU,DG356&gt;charge_ELA,$B356&gt;NDC!$H$22-0.1+MIN(3*$DH$12,1.5)),0,1))</f>
        <v>#N/A</v>
      </c>
      <c r="DI356" s="86" t="b">
        <f t="shared" si="555"/>
        <v>0</v>
      </c>
      <c r="DJ356" s="86">
        <f t="shared" si="556"/>
        <v>0.5</v>
      </c>
      <c r="DK356" s="86">
        <f t="shared" si="557"/>
        <v>0.5</v>
      </c>
      <c r="DL356" s="30" t="e">
        <f t="shared" ca="1" si="588"/>
        <v>#DIV/0!</v>
      </c>
      <c r="DM356" s="85" t="e">
        <f ca="1">IF(CS356&lt;=Hypothèses!$V$7,Hypothèses!$W$7,IF(CS356&lt;=Hypothèses!$V$8,Hypothèses!$W$8,IF(CS356&lt;=Hypothèses!$V$9,Hypothèses!$W$9,IF(CS356&lt;=Hypothèses!$V$10,Hypothèses!$W$10,IF(CS356&lt;=Hypothèses!$V$11,Hypothèses!$W$11,IF(CS356&lt;=Hypothèses!$V$12,Hypothèses!$W$12,IF(CS356&lt;=Hypothèses!$V$13,Hypothèses!$W$13,IF(CS356&lt;=Hypothèses!$V$14,Hypothèses!$W$14,IF(CS356&lt;=Hypothèses!$V$15,Hypothèses!$W$15,IF(CS356&lt;=Hypothèses!$V$16,Hypothèses!$W$16,IF(CS356&lt;=Hypothèses!$V$17,Hypothèses!$W$17,IF(CS356&lt;=Hypothèses!$V$18,Hypothèses!$W$18,""))))))))))))</f>
        <v>#DIV/0!</v>
      </c>
      <c r="DN356" s="87" t="e">
        <f t="shared" ca="1" si="621"/>
        <v>#DIV/0!</v>
      </c>
      <c r="DO356" s="88" t="e">
        <f ca="1">IF(CS356&lt;=Hypothèses!$V$7,Hypothèses!$X$7,IF(CS356&lt;=Hypothèses!$V$8,Hypothèses!$X$8,IF(CS356&lt;=Hypothèses!$V$9,Hypothèses!$X$9,IF(CS356&lt;=Hypothèses!$V$10,Hypothèses!$X$10,IF(CS356&lt;=Hypothèses!$V$11,Hypothèses!$X$11,IF(CS356&lt;=Hypothèses!$V$12,Hypothèses!$X$12,IF(CS356&lt;=Hypothèses!$V$13,Hypothèses!$X$13,IF(CS356&lt;=Hypothèses!$V$14,Hypothèses!$X$14,IF(CS356&lt;=Hypothèses!$V$15,Hypothèses!$X$15,IF(CS356&lt;=Hypothèses!$V$16,Hypothèses!$X$16,IF(CS356&lt;=Hypothèses!$U$17,Hypothèses!$W$17,IF(CS356&lt;=Hypothèses!$U$18,Hypothèses!$W$18,""))))))))))))</f>
        <v>#DIV/0!</v>
      </c>
      <c r="DP356" s="95" t="e">
        <f t="shared" ca="1" si="589"/>
        <v>#DIV/0!</v>
      </c>
      <c r="DQ356" s="101" t="e">
        <f t="shared" si="628"/>
        <v>#N/A</v>
      </c>
      <c r="DR356" s="91" t="e">
        <f t="shared" si="558"/>
        <v>#N/A</v>
      </c>
      <c r="DS356" s="30" t="e">
        <f t="shared" si="610"/>
        <v>#N/A</v>
      </c>
      <c r="DT356" s="30" t="e">
        <f t="shared" si="611"/>
        <v>#N/A</v>
      </c>
      <c r="DU356" s="31" t="e">
        <f>IF(OR(Hypothèses!$B$4=17,Hypothèses!$B$4=18,Hypothèses!$B$4=19,Hypothèses!$B$4=20),
IF($D356="Pressio.",
IF(OR($E356=3,$E356=1,$E356=4),DT356,DS356),
IF($D356="Pénétro.",
IF(OR($E356=3,$E356=1,$E356=4),DT356,DS356))),IF($D356="Pressio.",
IF($E356=3,DT356,DS356),
IF($D356="Pénétro.",
IF($E356=4,DT356,DS356))))</f>
        <v>#N/A</v>
      </c>
      <c r="DV356" s="31" t="e">
        <f>(IF(OR(Hypothèses!$B$4=17,Hypothèses!$B$4=18,Hypothèses!$B$4=19,Hypothèses!$B$4=20),
IF($D356="Pressio.",
IF(OR($E356=3,$E356=1,$E356=4),(PI()*DV$12^2)/4*(DR356*$W356*1000)/($H356*$B$5),(PI()*DV$12^2)/4*(DR356*$W356*1000)/($G356*$B$5)),
IF($D356="Pénétro.",
IF(OR($E356=4,$E356=1,$E356=5),(PI()*DV$12^2)/4*(DR356*$W356*1000)/($H356*$B$5),(PI()*DV$12^2)/4*(DR356*$W356*1000)/($G356*$B$5)))),
IF($D356="Pressio.",
IF($E356=3,(PI()*DV$12^2)/4*(DR356*$W356*1000)/($H356*$B$5),(PI()*DV$12^2)/4*(DR356*$W356*1000)/($G356*$B$5)),
IF($D356="Pénétro.",
IF($E356=4,(PI()*DV$12^2)/4*(DR356*$W356*1000)/($H356*$B$5),(PI()*DV$12^2)/4*(DR356*$W356*1000)/($G356*$B$5))))))/10</f>
        <v>#N/A</v>
      </c>
      <c r="DW356" s="102" t="e">
        <f>(VLOOKUP($B$3,'Coeff EC7'!$T$39:$X$59,2,0)*DU356+VLOOKUP($B$3,'Coeff EC7'!$T$65:$X$85,2,0)*Model0.1C!DV356)/1.1</f>
        <v>#N/A</v>
      </c>
      <c r="DX356" s="102" t="e">
        <f>(VLOOKUP($B$3,'Coeff EC7'!$T$39:$X$59,3,0)*DU356+VLOOKUP($B$3,'Coeff EC7'!$T$65:$X$85,3,0)*Model0.1C!DV356)/0.9</f>
        <v>#N/A</v>
      </c>
      <c r="DY356" s="102" t="e">
        <f t="shared" si="590"/>
        <v>#N/A</v>
      </c>
      <c r="DZ356" s="102" t="e">
        <f t="shared" si="591"/>
        <v>#N/A</v>
      </c>
      <c r="EA356" s="414" t="e">
        <f>IF(EA355=0,0,IF(AND(DW356&gt;charge_ELS_quasi,DX356&gt;Charge_ELS_freq,DY356&gt;charge_ELU,DZ356&gt;charge_ELA,$B356&gt;NDC!$H$22-0.1+MIN(3*$EA$12,1.5)),0,1))</f>
        <v>#N/A</v>
      </c>
      <c r="EB356" s="86" t="b">
        <f t="shared" si="559"/>
        <v>0</v>
      </c>
      <c r="EC356" s="418">
        <f t="shared" si="560"/>
        <v>0.51</v>
      </c>
      <c r="ED356" s="86">
        <f t="shared" si="561"/>
        <v>0.51</v>
      </c>
      <c r="EE356" s="30" t="e">
        <f t="shared" ca="1" si="592"/>
        <v>#DIV/0!</v>
      </c>
      <c r="EF356" s="85" t="e">
        <f ca="1">IF(DL356&lt;=Hypothèses!$V$7,Hypothèses!$W$7,IF(DL356&lt;=Hypothèses!$V$8,Hypothèses!$W$8,IF(DL356&lt;=Hypothèses!$V$9,Hypothèses!$W$9,IF(DL356&lt;=Hypothèses!$V$10,Hypothèses!$W$10,IF(DL356&lt;=Hypothèses!$V$11,Hypothèses!$W$11,IF(DL356&lt;=Hypothèses!$V$12,Hypothèses!$W$12,IF(DL356&lt;=Hypothèses!$V$13,Hypothèses!$W$13,IF(DL356&lt;=Hypothèses!$V$14,Hypothèses!$W$14,IF(DL356&lt;=Hypothèses!$V$15,Hypothèses!$W$15,IF(DL356&lt;=Hypothèses!$V$16,Hypothèses!$W$16,IF(DL356&lt;=Hypothèses!$V$17,Hypothèses!$W$17,IF(DL356&lt;=Hypothèses!$V$18,Hypothèses!$W$18,""))))))))))))</f>
        <v>#DIV/0!</v>
      </c>
      <c r="EG356" s="87" t="e">
        <f t="shared" ca="1" si="622"/>
        <v>#DIV/0!</v>
      </c>
      <c r="EH356" s="88" t="e">
        <f ca="1">IF(DL356&lt;=Hypothèses!$V$7,Hypothèses!$X$7,IF(DL356&lt;=Hypothèses!$V$8,Hypothèses!$X$8,IF(DL356&lt;=Hypothèses!$V$9,Hypothèses!$X$9,IF(DL356&lt;=Hypothèses!$V$10,Hypothèses!$X$10,IF(DL356&lt;=Hypothèses!$V$11,Hypothèses!$X$11,IF(DL356&lt;=Hypothèses!$V$12,Hypothèses!$X$12,IF(DL356&lt;=Hypothèses!$V$13,Hypothèses!$X$13,IF(DL356&lt;=Hypothèses!$V$14,Hypothèses!$X$14,IF(DL356&lt;=Hypothèses!$V$15,Hypothèses!$X$15,IF(DL356&lt;=Hypothèses!$V$16,Hypothèses!$X$16,IF(DL356&lt;=Hypothèses!$U$17,Hypothèses!$W$17,IF(DL356&lt;=Hypothèses!$U$18,Hypothèses!$W$18,""))))))))))))</f>
        <v>#DIV/0!</v>
      </c>
      <c r="EI356" s="95" t="e">
        <f t="shared" ca="1" si="593"/>
        <v>#DIV/0!</v>
      </c>
      <c r="EJ356" s="101" t="e">
        <f t="shared" si="629"/>
        <v>#N/A</v>
      </c>
      <c r="EK356" s="91" t="e">
        <f t="shared" si="562"/>
        <v>#N/A</v>
      </c>
      <c r="EL356" s="30" t="e">
        <f t="shared" si="612"/>
        <v>#N/A</v>
      </c>
      <c r="EM356" s="30" t="e">
        <f t="shared" si="613"/>
        <v>#N/A</v>
      </c>
      <c r="EN356" s="31" t="e">
        <f>IF(OR(Hypothèses!$B$4=17,Hypothèses!$B$4=18,Hypothèses!$B$4=19,Hypothèses!$B$4=20),
IF($D356="Pressio.",
IF(OR($E356=3,$E356=1,$E356=4),EM356,EL356),
IF($D356="Pénétro.",
IF(OR($E356=3,$E356=1,$E356=4),EM356,EL356))),IF($D356="Pressio.",
IF($E356=3,EM356,EL356),
IF($D356="Pénétro.",
IF($E356=4,EM356,EL356))))</f>
        <v>#N/A</v>
      </c>
      <c r="EO356" s="31" t="e">
        <f>(IF(OR(Hypothèses!$B$4=17,Hypothèses!$B$4=18,Hypothèses!$B$4=19,Hypothèses!$B$4=20),
IF($D356="Pressio.",
IF(OR($E356=3,$E356=1,$E356=4),(PI()*EO$12^2)/4*(EK356*$W356*1000)/($H356*$B$5),(PI()*EO$12^2)/4*(EK356*$W356*1000)/($G356*$B$5)),
IF($D356="Pénétro.",
IF(OR($E356=4,$E356=1,$E356=5),(PI()*EO$12^2)/4*(EK356*$W356*1000)/($H356*$B$5),(PI()*EO$12^2)/4*(EK356*$W356*1000)/($G356*$B$5)))),
IF($D356="Pressio.",
IF($E356=3,(PI()*EO$12^2)/4*(EK356*$W356*1000)/($H356*$B$5),(PI()*EO$12^2)/4*(EK356*$W356*1000)/($G356*$B$5)),
IF($D356="Pénétro.",
IF($E356=4,(PI()*EO$12^2)/4*(EK356*$W356*1000)/($H356*$B$5),(PI()*EO$12^2)/4*(EK356*$W356*1000)/($G356*$B$5))))))/10</f>
        <v>#N/A</v>
      </c>
      <c r="EP356" s="102" t="e">
        <f>(VLOOKUP($B$3,'Coeff EC7'!$T$39:$X$59,2,0)*EN356+VLOOKUP($B$3,'Coeff EC7'!$T$65:$X$85,2,0)*Model0.1C!EO356)/1.1</f>
        <v>#N/A</v>
      </c>
      <c r="EQ356" s="102" t="e">
        <f>(VLOOKUP($B$3,'Coeff EC7'!$T$39:$X$59,3,0)*EN356+VLOOKUP($B$3,'Coeff EC7'!$T$65:$X$85,3,0)*Model0.1C!EO356)/0.9</f>
        <v>#N/A</v>
      </c>
      <c r="ER356" s="102" t="e">
        <f t="shared" si="594"/>
        <v>#N/A</v>
      </c>
      <c r="ES356" s="102" t="e">
        <f t="shared" si="595"/>
        <v>#N/A</v>
      </c>
      <c r="ET356" s="414" t="e">
        <f>IF(ET355=0,0,IF(AND(EP356&gt;charge_ELS_quasi,EQ356&gt;Charge_ELS_freq,ER356&gt;charge_ELU,ES356&gt;charge_ELA,$B356&gt;NDC!$H$22-0.1+MIN(3*$ET$12,1.5)),0,1))</f>
        <v>#N/A</v>
      </c>
      <c r="EU356" s="86" t="b">
        <f t="shared" si="563"/>
        <v>0</v>
      </c>
      <c r="EV356" s="86">
        <f t="shared" si="564"/>
        <v>0.61</v>
      </c>
      <c r="EW356" s="86">
        <f t="shared" si="565"/>
        <v>0.61</v>
      </c>
      <c r="EX356" s="30" t="e">
        <f t="shared" ca="1" si="596"/>
        <v>#DIV/0!</v>
      </c>
      <c r="EY356" s="85" t="e">
        <f ca="1">IF(EE356&lt;=Hypothèses!$V$7,Hypothèses!$W$7,IF(EE356&lt;=Hypothèses!$V$8,Hypothèses!$W$8,IF(EE356&lt;=Hypothèses!$V$9,Hypothèses!$W$9,IF(EE356&lt;=Hypothèses!$V$10,Hypothèses!$W$10,IF(EE356&lt;=Hypothèses!$V$11,Hypothèses!$W$11,IF(EE356&lt;=Hypothèses!$V$12,Hypothèses!$W$12,IF(EE356&lt;=Hypothèses!$V$13,Hypothèses!$W$13,IF(EE356&lt;=Hypothèses!$V$14,Hypothèses!$W$14,IF(EE356&lt;=Hypothèses!$V$15,Hypothèses!$W$15,IF(EE356&lt;=Hypothèses!$V$16,Hypothèses!$W$16,IF(EE356&lt;=Hypothèses!$V$17,Hypothèses!$W$17,IF(EE356&lt;=Hypothèses!$V$18,Hypothèses!$W$18,""))))))))))))</f>
        <v>#DIV/0!</v>
      </c>
      <c r="EZ356" s="87" t="e">
        <f t="shared" ca="1" si="623"/>
        <v>#DIV/0!</v>
      </c>
      <c r="FA356" s="88" t="e">
        <f ca="1">IF(EE356&lt;=Hypothèses!$V$7,Hypothèses!$X$7,IF(EE356&lt;=Hypothèses!$V$8,Hypothèses!$X$8,IF(EE356&lt;=Hypothèses!$V$9,Hypothèses!$X$9,IF(EE356&lt;=Hypothèses!$V$10,Hypothèses!$X$10,IF(EE356&lt;=Hypothèses!$V$11,Hypothèses!$X$11,IF(EE356&lt;=Hypothèses!$V$12,Hypothèses!$X$12,IF(EE356&lt;=Hypothèses!$V$13,Hypothèses!$X$13,IF(EE356&lt;=Hypothèses!$V$14,Hypothèses!$X$14,IF(EE356&lt;=Hypothèses!$V$15,Hypothèses!$X$15,IF(EE356&lt;=Hypothèses!$V$16,Hypothèses!$X$16,IF(EE356&lt;=Hypothèses!$U$17,Hypothèses!$W$17,IF(EE356&lt;=Hypothèses!$U$18,Hypothèses!$W$18,""))))))))))))</f>
        <v>#DIV/0!</v>
      </c>
      <c r="FB356" s="95" t="e">
        <f t="shared" ca="1" si="597"/>
        <v>#DIV/0!</v>
      </c>
      <c r="FC356" s="101" t="e">
        <f t="shared" si="630"/>
        <v>#N/A</v>
      </c>
      <c r="FD356" s="91" t="e">
        <f t="shared" si="566"/>
        <v>#N/A</v>
      </c>
      <c r="FE356" s="30" t="e">
        <f t="shared" si="614"/>
        <v>#N/A</v>
      </c>
      <c r="FF356" s="30" t="e">
        <f t="shared" si="615"/>
        <v>#N/A</v>
      </c>
      <c r="FG356" s="31" t="e">
        <f>IF(OR(Hypothèses!$B$4=17,Hypothèses!$B$4=18,Hypothèses!$B$4=19,Hypothèses!$B$4=20),
IF($D356="Pressio.",
IF(OR($E356=3,$E356=1,$E356=4),FF356,FE356),
IF($D356="Pénétro.",
IF(OR($E356=3,$E356=1,$E356=4),FF356,FE356))),IF($D356="Pressio.",
IF($E356=3,FF356,FE356),
IF($D356="Pénétro.",
IF($E356=4,FF356,FE356))))</f>
        <v>#N/A</v>
      </c>
      <c r="FH356" s="31" t="e">
        <f>(IF(OR(Hypothèses!$B$4=17,Hypothèses!$B$4=18,Hypothèses!$B$4=19,Hypothèses!$B$4=20),
IF($D356="Pressio.",
IF(OR($E356=3,$E356=1,$E356=4),(PI()*FH$12^2)/4*(FD356*$W356*1000)/($H356*$B$5),(PI()*FH$12^2)/4*(FD356*$W356*1000)/($G356*$B$5)),
IF($D356="Pénétro.",
IF(OR($E356=4,$E356=1,$E356=5),(PI()*FH$12^2)/4*(FD356*$W356*1000)/($H356*$B$5),(PI()*FH$12^2)/4*(FD356*$W356*1000)/($G356*$B$5)))),
IF($D356="Pressio.",
IF($E356=3,(PI()*FH$12^2)/4*(FD356*$W356*1000)/($H356*$B$5),(PI()*FH$12^2)/4*(FD356*$W356*1000)/($G356*$B$5)),
IF($D356="Pénétro.",
IF($E356=4,(PI()*FH$12^2)/4*(FD356*$W356*1000)/($H356*$B$5),(PI()*FH$12^2)/4*(FD356*$W356*1000)/($G356*$B$5))))))/10</f>
        <v>#N/A</v>
      </c>
      <c r="FI356" s="102" t="e">
        <f>(VLOOKUP($B$3,'Coeff EC7'!$T$39:$X$59,2,0)*FG356+VLOOKUP($B$3,'Coeff EC7'!$T$65:$X$85,2,0)*Model0.1C!FH356)/1.1</f>
        <v>#N/A</v>
      </c>
      <c r="FJ356" s="102" t="e">
        <f>(VLOOKUP($B$3,'Coeff EC7'!$T$39:$X$59,3,0)*FG356+VLOOKUP($B$3,'Coeff EC7'!$T$65:$X$85,3,0)*Model0.1C!FH356)/0.9</f>
        <v>#N/A</v>
      </c>
      <c r="FK356" s="102" t="e">
        <f t="shared" si="598"/>
        <v>#N/A</v>
      </c>
      <c r="FL356" s="102" t="e">
        <f t="shared" si="599"/>
        <v>#N/A</v>
      </c>
      <c r="FM356" s="414" t="e">
        <f>IF(FM355=0,0,IF(AND(FI356&gt;charge_ELS_quasi,FJ356&gt;Charge_ELS_freq,FK356&gt;charge_ELU,FL356&gt;charge_ELA,$B356&gt;NDC!$H$22-0.1+MIN(3*$FM$12,1.5)),0,1))</f>
        <v>#N/A</v>
      </c>
    </row>
    <row r="357" spans="1:169">
      <c r="A357" s="96">
        <f t="shared" si="567"/>
        <v>65.600000000001955</v>
      </c>
      <c r="B357" s="97">
        <v>34.4</v>
      </c>
      <c r="C357" s="81">
        <f>IF(B357&lt;=Hypothèses!$C$7,Hypothèses!$A$7,IF(B357&lt;=Hypothèses!$C$8,Hypothèses!$A$8,IF(B357&lt;=Hypothèses!$C$9,Hypothèses!$A$9,IF(B357&lt;=Hypothèses!$C$10,Hypothèses!$A$10,IF(B357&lt;=Hypothèses!$C$11,Hypothèses!$A$11,IF(B357&lt;=Hypothèses!$C$12,Hypothèses!$A$12,IF(B357&lt;=Hypothèses!$C$13,Hypothèses!$A$13,IF(B357&lt;=Hypothèses!$C$14,Hypothèses!$A$14,IF(B357&lt;=Hypothèses!$C$15,Hypothèses!$A$15,IF(B357&lt;=Hypothèses!$C$16,Hypothèses!$A$16,IF(B357&lt;=Hypothèses!$C$17,Hypothèses!$A$17,IF(B357&lt;=Hypothèses!$C$18,Hypothèses!$A$18,C356))))))))))))</f>
        <v>11</v>
      </c>
      <c r="D357" s="82" t="str">
        <f>IF(B357&lt;=Hypothèses!$C$7,Hypothèses!$R$7,IF(B357&lt;=Hypothèses!$C$8,Hypothèses!$R$8,IF(B357&lt;=Hypothèses!$C$9,Hypothèses!$R$9,IF(B357&lt;=Hypothèses!$C$10,Hypothèses!$R$10,IF(B357&lt;=Hypothèses!$C$11,Hypothèses!$R$11,IF(B357&lt;=Hypothèses!$C$12,Hypothèses!$R$12,IF(B357&lt;=Hypothèses!$C$13,Hypothèses!$R$13,IF(B357&lt;=Hypothèses!$C$14,Hypothèses!$R$14,IF(B357&lt;=Hypothèses!$C$15,Hypothèses!$R$15,IF(B357&lt;=Hypothèses!$C$16,Hypothèses!$R$16,IF(B357&lt;=Hypothèses!$C$17,Hypothèses!$R$17,IF(B357&lt;=Hypothèses!$C$18,Hypothèses!$R$18,D356))))))))))))</f>
        <v>Pressio.</v>
      </c>
      <c r="E357" s="82" t="e">
        <f>IF(B357&lt;=Hypothèses!$C$7,Hypothèses!$G$7,IF(B357&lt;=Hypothèses!$C$8,Hypothèses!$G$8,IF(B357&lt;=Hypothèses!$C$9,Hypothèses!$G$9,IF(B357&lt;=Hypothèses!$C$10,Hypothèses!$G$10,IF(B357&lt;=Hypothèses!$C$11,Hypothèses!$G$11,IF(B357&lt;=Hypothèses!$C$12,Hypothèses!$G$12,IF(B357&lt;=Hypothèses!$C$13,Hypothèses!$G$13,IF(B357&lt;=Hypothèses!$C$14,Hypothèses!$G$14,IF(B357&lt;=Hypothèses!$C$15,Hypothèses!$G$15,IF(B357&lt;=Hypothèses!$C$16,Hypothèses!$G$16,IF(B357&lt;=Hypothèses!$C$17,Hypothèses!$G$17,IF(B357&lt;=Hypothèses!$C$18,Hypothèses!$G$18,E356))))))))))))</f>
        <v>#N/A</v>
      </c>
      <c r="F357" s="82" t="str">
        <f>IF(B357&lt;=Hypothèses!$C$7,Hypothèses!$F$7,IF(B357&lt;=Hypothèses!$C$8,Hypothèses!$F$8,IF(B357&lt;=Hypothèses!$C$9,Hypothèses!$F$9,IF(B357&lt;=Hypothèses!$C$10,Hypothèses!$F$10,IF(B357&lt;=Hypothèses!$C$11,Hypothèses!$F$11,IF(B357&lt;=Hypothèses!$C$12,Hypothèses!$F$12,IF(B357&lt;=Hypothèses!$C$13,Hypothèses!$F$13,IF(B357&lt;=Hypothèses!$C$14,Hypothèses!$F$14,IF(B357&lt;=Hypothèses!$C$15,Hypothèses!$F$15,IF(B357&lt;=Hypothèses!$C$16,Hypothèses!$F$16,IF(B357&lt;=Hypothèses!$C$17,Hypothèses!$F$17,IF(B357&lt;=Hypothèses!$C$18,Hypothèses!$F$18,F356))))))))))))</f>
        <v/>
      </c>
      <c r="G357" s="91">
        <f t="array" ref="G357">INDEX('Coeff EC7'!$U$7:$X$27,
MATCH(Model0.1C!$B$3,'Coeff EC7'!$T$7:$T$27,0),
MATCH(Model0.1C!$D357&amp;Model0.1C!$B$4,
'Coeff EC7'!$U$6:$X$6&amp;
'Coeff EC7'!$U$5:$X$5,0))</f>
        <v>1.1499999999999999</v>
      </c>
      <c r="H357" s="91">
        <f t="array" ref="H357">INDEX('Coeff EC7'!$Y$7:$AB$27,
MATCH(Model0.1C!$B$3,'Coeff EC7'!$T$7:$T$27,0),
MATCH(Model0.1C!$D357&amp;Model0.1C!$B$4,
'Coeff EC7'!$Y$6:$AB$6&amp;
'Coeff EC7'!$Y$5:$AB$5,0))</f>
        <v>1.4</v>
      </c>
      <c r="I357" s="83" t="e">
        <f>IF(B357&lt;=Hypothèses!$C$7,Hypothèses!$P$7,IF(B357&lt;=Hypothèses!$C$8,Hypothèses!$P$8,IF(B357&lt;=Hypothèses!$C$9,Hypothèses!$P$9,IF(B357&lt;=Hypothèses!$C$10,Hypothèses!$P$10,IF(B357&lt;=Hypothèses!$C$11,Hypothèses!$P$11,IF(B357&lt;=Hypothèses!$C$12,Hypothèses!$P$12,IF(B357&lt;=Hypothèses!$C$13,Hypothèses!$P$13,IF(B357&lt;=Hypothèses!$C$14,Hypothèses!$P$14,IF(B357&lt;=Hypothèses!$C$15,Hypothèses!$P$15,IF(B357&lt;=Hypothèses!$C$16,Hypothèses!$P$16,IF(B357&lt;=Hypothèses!$C$17,Hypothèses!$P$17,IF(B357&lt;=Hypothèses!$C$18,Hypothèses!$P$18,I356))))))))))))</f>
        <v>#N/A</v>
      </c>
      <c r="J357" s="91" t="e">
        <f t="array" ref="J357">INDEX('Coeff EC7'!$D$33:$Q$33,1,MATCH(D357&amp;E357,'Coeff EC7'!$D$31:$Q$31&amp;'Coeff EC7'!$D$32:$Q$32,0))</f>
        <v>#N/A</v>
      </c>
      <c r="K357" s="91" t="e">
        <f t="array" ref="K357">INDEX('Coeff EC7'!$D$34:$Q$34,1,MATCH(D357&amp;E357,'Coeff EC7'!$D$31:$Q$31&amp;'Coeff EC7'!$D$32:$Q$32,0))</f>
        <v>#N/A</v>
      </c>
      <c r="L357" s="91" t="e">
        <f t="array" ref="L357">INDEX('Coeff EC7'!$D$35:$Q$35,1,MATCH(D357&amp;E357,'Coeff EC7'!$D$31:$Q$31&amp;'Coeff EC7'!$D$32:$Q$32,0))</f>
        <v>#N/A</v>
      </c>
      <c r="M357" s="98" t="e">
        <f t="shared" si="531"/>
        <v>#N/A</v>
      </c>
      <c r="N357" s="99" t="e">
        <f t="array" ref="N357">INDEX('Coeff EC7'!$D$7:$Q$27,MATCH($B$3,'Coeff EC7'!$C$7:$C$27,0),MATCH(D357&amp;E357,'Coeff EC7'!$D$5:$Q$5&amp;'Coeff EC7'!$D$6:$Q$6,0))</f>
        <v>#N/A</v>
      </c>
      <c r="O357" s="99" t="e">
        <f t="array" ref="O357">INDEX('Coeff EC7'!$D$41:$Q$61,MATCH($B$3,'Coeff EC7'!$C$41:$C$61,0),MATCH(D357&amp;E357,'Coeff EC7'!$D$39:$Q$39&amp;'Coeff EC7'!$D$40:$Q$40,0))</f>
        <v>#N/A</v>
      </c>
      <c r="P357" s="30" t="e">
        <f t="shared" si="568"/>
        <v>#N/A</v>
      </c>
      <c r="Q357" s="100" t="e">
        <f t="shared" si="533"/>
        <v>#N/A</v>
      </c>
      <c r="R357" s="86" t="b">
        <f t="shared" si="534"/>
        <v>0</v>
      </c>
      <c r="S357" s="86">
        <f t="shared" si="532"/>
        <v>0.5</v>
      </c>
      <c r="T357" s="86">
        <f t="shared" si="535"/>
        <v>0.5</v>
      </c>
      <c r="U357" s="30" t="e">
        <f t="shared" ca="1" si="569"/>
        <v>#DIV/0!</v>
      </c>
      <c r="V357" s="85" t="str">
        <f>IF(B357&lt;=Hypothèses!$V$7,Hypothèses!$W$7,IF(B357&lt;=Hypothèses!$V$8,Hypothèses!$W$8,IF(B357&lt;=Hypothèses!$V$9,Hypothèses!$W$9,IF(B357&lt;=Hypothèses!$V$10,Hypothèses!$W$10,IF(B357&lt;=Hypothèses!$V$11,Hypothèses!$W$11,IF(B357&lt;=Hypothèses!$V$12,Hypothèses!$W$12,IF(B357&lt;=Hypothèses!$V$13,Hypothèses!$W$13,IF(B357&lt;=Hypothèses!$V$14,Hypothèses!$W$14,IF(B357&lt;=Hypothèses!$V$15,Hypothèses!$W$15,IF(B357&lt;=Hypothèses!$V$16,Hypothèses!$W$16,IF(B357&lt;=Hypothèses!$V$17,Hypothèses!$W$17,IF(B357&lt;=Hypothèses!$V$18,Hypothèses!$W$18,""))))))))))))</f>
        <v/>
      </c>
      <c r="W357" s="87" t="e">
        <f t="shared" ca="1" si="616"/>
        <v>#DIV/0!</v>
      </c>
      <c r="X357" s="88" t="str">
        <f>IF(B357&lt;=Hypothèses!$V$7,Hypothèses!$X$7,IF(B357&lt;=Hypothèses!$V$8,Hypothèses!$X$8,IF(B357&lt;=Hypothèses!$V$9,Hypothèses!$X$9,IF(B357&lt;=Hypothèses!$V$10,Hypothèses!$X$10,IF(B357&lt;=Hypothèses!$V$11,Hypothèses!$X$11,IF(B357&lt;=Hypothèses!$V$12,Hypothèses!$X$12,IF(B357&lt;=Hypothèses!$V$13,Hypothèses!$X$13,IF(B357&lt;=Hypothèses!$V$14,Hypothèses!$X$14,IF(B357&lt;=Hypothèses!$V$15,Hypothèses!$X$15,IF(B357&lt;=Hypothèses!$V$16,Hypothèses!$X$16,IF(B357&lt;=Hypothèses!$U$17,Hypothèses!$W$17,IF(B357&lt;=Hypothèses!$U$18,Hypothèses!$W$18,""))))))))))))</f>
        <v/>
      </c>
      <c r="Y357" s="95" t="e">
        <f t="shared" ca="1" si="536"/>
        <v>#DIV/0!</v>
      </c>
      <c r="Z357" s="101" t="e">
        <f t="shared" si="537"/>
        <v>#N/A</v>
      </c>
      <c r="AA357" s="91" t="e">
        <f t="shared" si="538"/>
        <v>#N/A</v>
      </c>
      <c r="AB357" s="30" t="e">
        <f t="shared" si="600"/>
        <v>#N/A</v>
      </c>
      <c r="AC357" s="30" t="e">
        <f t="shared" si="601"/>
        <v>#N/A</v>
      </c>
      <c r="AD357" s="31" t="e">
        <f>IF(OR(Hypothèses!$B$4=17,Hypothèses!$B$4=18,Hypothèses!$B$4=19,Hypothèses!$B$4=20),
IF($D357="Pressio.",
IF(OR($E357=3,$E357=1,$E357=4),AC357,AB357),
IF($D357="Pénétro.",
IF(OR($E357=3,$E357=1,$E357=4),AC357,AB357))),IF($D357="Pressio.",
IF($E357=3,AC357,AB357),
IF($D357="Pénétro.",
IF($E357=4,AC357,AB357))))</f>
        <v>#N/A</v>
      </c>
      <c r="AE357" s="31" t="e">
        <f>(IF(OR(Hypothèses!$B$4=17,Hypothèses!$B$4=18,Hypothèses!$B$4=19,Hypothèses!$B$4=20),
IF($D357="Pressio.",
IF(OR($E357=3,$E357=1,$E357=4),(PI()*AE$12^2)/4*(AA357*$W357*1000)/($H357*$B$5),(PI()*AE$12^2)/4*(AA357*$W357*1000)/($G357*$B$5)),
IF($D357="Pénétro.",
IF(OR($E357=4,$E357=1,$E357=5),(PI()*AE$12^2)/4*(AA357*$W357*1000)/($H357*$B$5),(PI()*AE$12^2)/4*(AA357*$W357*1000)/($G357*$B$5)))),
IF($D357="Pressio.",
IF($E357=3,(PI()*AE$12^2)/4*(AA357*$W357*1000)/($H357*$B$5),(PI()*AE$12^2)/4*(AA357*$W357*1000)/($G357*$B$5)),
IF($D357="Pénétro.",
IF($E357=4,(PI()*AE$12^2)/4*(AA357*$W357*1000)/($H357*$B$5),(PI()*AE$12^2)/4*(AA357*$W357*1000)/($G357*$B$5))))))/10</f>
        <v>#N/A</v>
      </c>
      <c r="AF357" s="102" t="e">
        <f>(VLOOKUP($B$3,'Coeff EC7'!$T$39:$X$59,2,0)*AD357+VLOOKUP($B$3,'Coeff EC7'!$T$65:$X$85,2,0)*Model0.1C!AE357)/1.1</f>
        <v>#N/A</v>
      </c>
      <c r="AG357" s="102" t="e">
        <f>(VLOOKUP($B$3,'Coeff EC7'!$T$39:$X$59,3,0)*AD357+VLOOKUP($B$3,'Coeff EC7'!$T$65:$X$85,3,0)*Model0.1C!AE357)/0.9</f>
        <v>#N/A</v>
      </c>
      <c r="AH357" s="102" t="e">
        <f t="shared" si="539"/>
        <v>#N/A</v>
      </c>
      <c r="AI357" s="102" t="e">
        <f t="shared" si="540"/>
        <v>#N/A</v>
      </c>
      <c r="AJ357" s="414" t="e">
        <f>IF(AJ356=0,0,IF(AND(AF357&gt;charge_ELS_quasi,AG357&gt;Charge_ELS_freq,AH357&gt;charge_ELU,AI357&gt;charge_ELA,$B357&gt;NDC!$H$22-0.1+MIN(3*$AJ$12,1.5)),0,1))</f>
        <v>#N/A</v>
      </c>
      <c r="AK357" s="86" t="b">
        <f t="shared" si="541"/>
        <v>0</v>
      </c>
      <c r="AL357" s="86">
        <f t="shared" si="570"/>
        <v>0.5</v>
      </c>
      <c r="AM357" s="86">
        <f t="shared" si="542"/>
        <v>0.5</v>
      </c>
      <c r="AN357" s="30" t="e">
        <f t="shared" ca="1" si="571"/>
        <v>#DIV/0!</v>
      </c>
      <c r="AO357" s="85" t="e">
        <f ca="1">IF(U357&lt;=Hypothèses!$V$7,Hypothèses!$W$7,IF(U357&lt;=Hypothèses!$V$8,Hypothèses!$W$8,IF(U357&lt;=Hypothèses!$V$9,Hypothèses!$W$9,IF(U357&lt;=Hypothèses!$V$10,Hypothèses!$W$10,IF(U357&lt;=Hypothèses!$V$11,Hypothèses!$W$11,IF(U357&lt;=Hypothèses!$V$12,Hypothèses!$W$12,IF(U357&lt;=Hypothèses!$V$13,Hypothèses!$W$13,IF(U357&lt;=Hypothèses!$V$14,Hypothèses!$W$14,IF(U357&lt;=Hypothèses!$V$15,Hypothèses!$W$15,IF(U357&lt;=Hypothèses!$V$16,Hypothèses!$W$16,IF(U357&lt;=Hypothèses!$V$17,Hypothèses!$W$17,IF(U357&lt;=Hypothèses!$V$18,Hypothèses!$W$18,""))))))))))))</f>
        <v>#DIV/0!</v>
      </c>
      <c r="AP357" s="87" t="e">
        <f t="shared" ca="1" si="617"/>
        <v>#DIV/0!</v>
      </c>
      <c r="AQ357" s="88" t="e">
        <f ca="1">IF(U357&lt;=Hypothèses!$V$7,Hypothèses!$X$7,IF(U357&lt;=Hypothèses!$V$8,Hypothèses!$X$8,IF(U357&lt;=Hypothèses!$V$9,Hypothèses!$X$9,IF(U357&lt;=Hypothèses!$V$10,Hypothèses!$X$10,IF(U357&lt;=Hypothèses!$V$11,Hypothèses!$X$11,IF(U357&lt;=Hypothèses!$V$12,Hypothèses!$X$12,IF(U357&lt;=Hypothèses!$V$13,Hypothèses!$X$13,IF(U357&lt;=Hypothèses!$V$14,Hypothèses!$X$14,IF(U357&lt;=Hypothèses!$V$15,Hypothèses!$X$15,IF(U357&lt;=Hypothèses!$V$16,Hypothèses!$X$16,IF(U357&lt;=Hypothèses!$U$17,Hypothèses!$W$17,IF(U357&lt;=Hypothèses!$U$18,Hypothèses!$W$18,""))))))))))))</f>
        <v>#DIV/0!</v>
      </c>
      <c r="AR357" s="95" t="e">
        <f t="shared" ca="1" si="572"/>
        <v>#DIV/0!</v>
      </c>
      <c r="AS357" s="101" t="e">
        <f t="shared" si="624"/>
        <v>#N/A</v>
      </c>
      <c r="AT357" s="91" t="e">
        <f t="shared" si="543"/>
        <v>#N/A</v>
      </c>
      <c r="AU357" s="30" t="e">
        <f t="shared" si="602"/>
        <v>#N/A</v>
      </c>
      <c r="AV357" s="30" t="e">
        <f t="shared" si="603"/>
        <v>#N/A</v>
      </c>
      <c r="AW357" s="31" t="e">
        <f>IF(OR(Hypothèses!$B$4=17,Hypothèses!$B$4=18,Hypothèses!$B$4=19,Hypothèses!$B$4=20),
IF($D357="Pressio.",
IF(OR($E357=3,$E357=1,$E357=4),AV357,AU357),
IF($D357="Pénétro.",
IF(OR($E357=3,$E357=1,$E357=4),AV357,AU357))),IF($D357="Pressio.",
IF($E357=3,AV357,AU357),
IF($D357="Pénétro.",
IF($E357=4,AV357,AU357))))</f>
        <v>#N/A</v>
      </c>
      <c r="AX357" s="31" t="e">
        <f>(IF(OR(Hypothèses!$B$4=17,Hypothèses!$B$4=18,Hypothèses!$B$4=19,Hypothèses!$B$4=20),
IF($D357="Pressio.",
IF(OR($E357=3,$E357=1,$E357=4),(PI()*AX$12^2)/4*(AT357*$W357*1000)/($H357*$B$5),(PI()*AX$12^2)/4*(AT357*$W357*1000)/($G357*$B$5)),
IF($D357="Pénétro.",
IF(OR($E357=4,$E357=1,$E357=5),(PI()*AX$12^2)/4*(AT357*$W357*1000)/($H357*$B$5),(PI()*AX$12^2)/4*(AT357*$W357*1000)/($G357*$B$5)))),
IF($D357="Pressio.",
IF($E357=3,(PI()*AX$12^2)/4*(AT357*$W357*1000)/($H357*$B$5),(PI()*AX$12^2)/4*(AT357*$W357*1000)/($G357*$B$5)),
IF($D357="Pénétro.",
IF($E357=4,(PI()*AX$12^2)/4*(AT357*$W357*1000)/($H357*$B$5),(PI()*AX$12^2)/4*(AT357*$W357*1000)/($G357*$B$5))))))/10</f>
        <v>#N/A</v>
      </c>
      <c r="AY357" s="102" t="e">
        <f>(VLOOKUP($B$3,'Coeff EC7'!$T$39:$X$59,2,0)*AW357+VLOOKUP($B$3,'Coeff EC7'!$T$65:$X$85,2,0)*Model0.1C!AX357)/1.1</f>
        <v>#N/A</v>
      </c>
      <c r="AZ357" s="102" t="e">
        <f>(VLOOKUP($B$3,'Coeff EC7'!$T$39:$X$59,3,0)*AW357+VLOOKUP($B$3,'Coeff EC7'!$T$65:$X$85,3,0)*Model0.1C!AX357)/0.9</f>
        <v>#N/A</v>
      </c>
      <c r="BA357" s="102" t="e">
        <f t="shared" si="573"/>
        <v>#N/A</v>
      </c>
      <c r="BB357" s="102" t="e">
        <f t="shared" si="574"/>
        <v>#N/A</v>
      </c>
      <c r="BC357" s="414" t="e">
        <f>IF(BC356=0,0,IF(AND(AY357&gt;charge_ELS_quasi,AZ357&gt;Charge_ELS_freq,BA357&gt;charge_ELU,BB357&gt;charge_ELA,$B357&gt;NDC!$H$22-0.1+MIN(3*$BC$12,1.5)),0,1))</f>
        <v>#N/A</v>
      </c>
      <c r="BD357" s="86" t="b">
        <f t="shared" si="544"/>
        <v>0</v>
      </c>
      <c r="BE357" s="86">
        <f t="shared" si="575"/>
        <v>0.5</v>
      </c>
      <c r="BF357" s="86">
        <f t="shared" si="545"/>
        <v>0.5</v>
      </c>
      <c r="BG357" s="30" t="e">
        <f t="shared" ca="1" si="576"/>
        <v>#DIV/0!</v>
      </c>
      <c r="BH357" s="85" t="e">
        <f ca="1">IF(AN357&lt;=Hypothèses!$V$7,Hypothèses!$W$7,IF(AN357&lt;=Hypothèses!$V$8,Hypothèses!$W$8,IF(AN357&lt;=Hypothèses!$V$9,Hypothèses!$W$9,IF(AN357&lt;=Hypothèses!$V$10,Hypothèses!$W$10,IF(AN357&lt;=Hypothèses!$V$11,Hypothèses!$W$11,IF(AN357&lt;=Hypothèses!$V$12,Hypothèses!$W$12,IF(AN357&lt;=Hypothèses!$V$13,Hypothèses!$W$13,IF(AN357&lt;=Hypothèses!$V$14,Hypothèses!$W$14,IF(AN357&lt;=Hypothèses!$V$15,Hypothèses!$W$15,IF(AN357&lt;=Hypothèses!$V$16,Hypothèses!$W$16,IF(AN357&lt;=Hypothèses!$V$17,Hypothèses!$W$17,IF(AN357&lt;=Hypothèses!$V$18,Hypothèses!$W$18,""))))))))))))</f>
        <v>#DIV/0!</v>
      </c>
      <c r="BI357" s="87" t="e">
        <f t="shared" ca="1" si="618"/>
        <v>#DIV/0!</v>
      </c>
      <c r="BJ357" s="88" t="e">
        <f ca="1">IF(AN357&lt;=Hypothèses!$V$7,Hypothèses!$X$7,IF(AN357&lt;=Hypothèses!$V$8,Hypothèses!$X$8,IF(AN357&lt;=Hypothèses!$V$9,Hypothèses!$X$9,IF(AN357&lt;=Hypothèses!$V$10,Hypothèses!$X$10,IF(AN357&lt;=Hypothèses!$V$11,Hypothèses!$X$11,IF(AN357&lt;=Hypothèses!$V$12,Hypothèses!$X$12,IF(AN357&lt;=Hypothèses!$V$13,Hypothèses!$X$13,IF(AN357&lt;=Hypothèses!$V$14,Hypothèses!$X$14,IF(AN357&lt;=Hypothèses!$V$15,Hypothèses!$X$15,IF(AN357&lt;=Hypothèses!$V$16,Hypothèses!$X$16,IF(AN357&lt;=Hypothèses!$U$17,Hypothèses!$W$17,IF(AN357&lt;=Hypothèses!$U$18,Hypothèses!$W$18,""))))))))))))</f>
        <v>#DIV/0!</v>
      </c>
      <c r="BK357" s="95" t="e">
        <f t="shared" ca="1" si="577"/>
        <v>#DIV/0!</v>
      </c>
      <c r="BL357" s="101" t="e">
        <f t="shared" si="625"/>
        <v>#N/A</v>
      </c>
      <c r="BM357" s="91" t="e">
        <f t="shared" si="546"/>
        <v>#N/A</v>
      </c>
      <c r="BN357" s="30" t="e">
        <f t="shared" si="604"/>
        <v>#N/A</v>
      </c>
      <c r="BO357" s="30" t="e">
        <f t="shared" si="605"/>
        <v>#N/A</v>
      </c>
      <c r="BP357" s="31" t="e">
        <f>IF(OR(Hypothèses!$B$4=17,Hypothèses!$B$4=18,Hypothèses!$B$4=19,Hypothèses!$B$4=20),
IF($D357="Pressio.",
IF(OR($E357=3,$E357=1,$E357=4),BO357,BN357),
IF($D357="Pénétro.",
IF(OR($E357=3,$E357=1,$E357=4),BO357,BN357))),IF($D357="Pressio.",
IF($E357=3,BO357,BN357),
IF($D357="Pénétro.",
IF($E357=4,BO357,BN357))))</f>
        <v>#N/A</v>
      </c>
      <c r="BQ357" s="31" t="e">
        <f>(IF(OR(Hypothèses!$B$4=17,Hypothèses!$B$4=18,Hypothèses!$B$4=19,Hypothèses!$B$4=20),
IF($D357="Pressio.",
IF(OR($E357=3,$E357=1,$E357=4),(PI()*BQ$12^2)/4*(BM357*$W357*1000)/($H357*$B$5),(PI()*BQ$12^2)/4*(BM357*$W357*1000)/($G357*$B$5)),
IF($D357="Pénétro.",
IF(OR($E357=4,$E357=1,$E357=5),(PI()*BQ$12^2)/4*(BM357*$W357*1000)/($H357*$B$5),(PI()*BQ$12^2)/4*(BM357*$W357*1000)/($G357*$B$5)))),
IF($D357="Pressio.",
IF($E357=3,(PI()*BQ$12^2)/4*(BM357*$W357*1000)/($H357*$B$5),(PI()*BQ$12^2)/4*(BM357*$W357*1000)/($G357*$B$5)),
IF($D357="Pénétro.",
IF($E357=4,(PI()*BQ$12^2)/4*(BM357*$W357*1000)/($H357*$B$5),(PI()*BQ$12^2)/4*(BM357*$W357*1000)/($G357*$B$5))))))/10</f>
        <v>#N/A</v>
      </c>
      <c r="BR357" s="102" t="e">
        <f>(VLOOKUP($B$3,'Coeff EC7'!$T$39:$X$59,2,0)*BP357+VLOOKUP($B$3,'Coeff EC7'!$T$65:$X$85,2,0)*Model0.1C!BQ357)/1.1</f>
        <v>#N/A</v>
      </c>
      <c r="BS357" s="102" t="e">
        <f>(VLOOKUP($B$3,'Coeff EC7'!$T$39:$X$59,3,0)*BP357+VLOOKUP($B$3,'Coeff EC7'!$T$65:$X$85,3,0)*Model0.1C!BQ357)/0.9</f>
        <v>#N/A</v>
      </c>
      <c r="BT357" s="102" t="e">
        <f t="shared" si="578"/>
        <v>#N/A</v>
      </c>
      <c r="BU357" s="102" t="e">
        <f t="shared" si="579"/>
        <v>#N/A</v>
      </c>
      <c r="BV357" s="414" t="e">
        <f>IF(BV356=0,0,IF(AND(BR357&gt;charge_ELS_quasi,BS357&gt;Charge_ELS_freq,BT357&gt;charge_ELU,BU357&gt;charge_ELA,$B357&gt;NDC!$H$22-0.1+MIN(3*$BV$12,1.5)),0,1))</f>
        <v>#N/A</v>
      </c>
      <c r="BW357" s="86" t="b">
        <f t="shared" si="547"/>
        <v>0</v>
      </c>
      <c r="BX357" s="86">
        <f t="shared" si="548"/>
        <v>0.5</v>
      </c>
      <c r="BY357" s="86">
        <f t="shared" si="549"/>
        <v>0.5</v>
      </c>
      <c r="BZ357" s="30" t="e">
        <f t="shared" ca="1" si="580"/>
        <v>#DIV/0!</v>
      </c>
      <c r="CA357" s="85" t="e">
        <f ca="1">IF(BG357&lt;=Hypothèses!$V$7,Hypothèses!$W$7,IF(BG357&lt;=Hypothèses!$V$8,Hypothèses!$W$8,IF(BG357&lt;=Hypothèses!$V$9,Hypothèses!$W$9,IF(BG357&lt;=Hypothèses!$V$10,Hypothèses!$W$10,IF(BG357&lt;=Hypothèses!$V$11,Hypothèses!$W$11,IF(BG357&lt;=Hypothèses!$V$12,Hypothèses!$W$12,IF(BG357&lt;=Hypothèses!$V$13,Hypothèses!$W$13,IF(BG357&lt;=Hypothèses!$V$14,Hypothèses!$W$14,IF(BG357&lt;=Hypothèses!$V$15,Hypothèses!$W$15,IF(BG357&lt;=Hypothèses!$V$16,Hypothèses!$W$16,IF(BG357&lt;=Hypothèses!$V$17,Hypothèses!$W$17,IF(BG357&lt;=Hypothèses!$V$18,Hypothèses!$W$18,""))))))))))))</f>
        <v>#DIV/0!</v>
      </c>
      <c r="CB357" s="87" t="e">
        <f t="shared" ca="1" si="619"/>
        <v>#DIV/0!</v>
      </c>
      <c r="CC357" s="88" t="e">
        <f ca="1">IF(BG357&lt;=Hypothèses!$V$7,Hypothèses!$X$7,IF(BG357&lt;=Hypothèses!$V$8,Hypothèses!$X$8,IF(BG357&lt;=Hypothèses!$V$9,Hypothèses!$X$9,IF(BG357&lt;=Hypothèses!$V$10,Hypothèses!$X$10,IF(BG357&lt;=Hypothèses!$V$11,Hypothèses!$X$11,IF(BG357&lt;=Hypothèses!$V$12,Hypothèses!$X$12,IF(BG357&lt;=Hypothèses!$V$13,Hypothèses!$X$13,IF(BG357&lt;=Hypothèses!$V$14,Hypothèses!$X$14,IF(BG357&lt;=Hypothèses!$V$15,Hypothèses!$X$15,IF(BG357&lt;=Hypothèses!$V$16,Hypothèses!$X$16,IF(BG357&lt;=Hypothèses!$U$17,Hypothèses!$W$17,IF(BG357&lt;=Hypothèses!$U$18,Hypothèses!$W$18,""))))))))))))</f>
        <v>#DIV/0!</v>
      </c>
      <c r="CD357" s="95" t="e">
        <f t="shared" ca="1" si="581"/>
        <v>#DIV/0!</v>
      </c>
      <c r="CE357" s="101" t="e">
        <f t="shared" si="626"/>
        <v>#N/A</v>
      </c>
      <c r="CF357" s="91" t="e">
        <f t="shared" si="550"/>
        <v>#N/A</v>
      </c>
      <c r="CG357" s="30" t="e">
        <f t="shared" si="606"/>
        <v>#N/A</v>
      </c>
      <c r="CH357" s="30" t="e">
        <f t="shared" si="607"/>
        <v>#N/A</v>
      </c>
      <c r="CI357" s="31" t="e">
        <f>IF(OR(Hypothèses!$B$4=17,Hypothèses!$B$4=18,Hypothèses!$B$4=19,Hypothèses!$B$4=20),
IF($D357="Pressio.",
IF(OR($E357=3,$E357=1,$E357=4),CH357,CG357),
IF($D357="Pénétro.",
IF(OR($E357=3,$E357=1,$E357=4),CH357,CG357))),IF($D357="Pressio.",
IF($E357=3,CH357,CG357),
IF($D357="Pénétro.",
IF($E357=4,CH357,CG357))))</f>
        <v>#N/A</v>
      </c>
      <c r="CJ357" s="31" t="e">
        <f>(IF(OR(Hypothèses!$B$4=17,Hypothèses!$B$4=18,Hypothèses!$B$4=19,Hypothèses!$B$4=20),
IF($D357="Pressio.",
IF(OR($E357=3,$E357=1,$E357=4),(PI()*CJ$12^2)/4*(CF357*$W357*1000)/($H357*$B$5),(PI()*CJ$12^2)/4*(CF357*$W357*1000)/($G357*$B$5)),
IF($D357="Pénétro.",
IF(OR($E357=4,$E357=1,$E357=5),(PI()*CJ$12^2)/4*(CF357*$W357*1000)/($H357*$B$5),(PI()*CJ$12^2)/4*(CF357*$W357*1000)/($G357*$B$5)))),
IF($D357="Pressio.",
IF($E357=3,(PI()*CJ$12^2)/4*(CF357*$W357*1000)/($H357*$B$5),(PI()*CJ$12^2)/4*(CF357*$W357*1000)/($G357*$B$5)),
IF($D357="Pénétro.",
IF($E357=4,(PI()*CJ$12^2)/4*(CF357*$W357*1000)/($H357*$B$5),(PI()*CJ$12^2)/4*(CF357*$W357*1000)/($G357*$B$5))))))/10</f>
        <v>#N/A</v>
      </c>
      <c r="CK357" s="102" t="e">
        <f>(VLOOKUP($B$3,'Coeff EC7'!$T$39:$X$59,2,0)*CI357+VLOOKUP($B$3,'Coeff EC7'!$T$65:$X$85,2,0)*Model0.1C!CJ357)/1.1</f>
        <v>#N/A</v>
      </c>
      <c r="CL357" s="102" t="e">
        <f>(VLOOKUP($B$3,'Coeff EC7'!$T$39:$X$59,3,0)*CI357+VLOOKUP($B$3,'Coeff EC7'!$T$65:$X$85,3,0)*Model0.1C!CJ357)/0.9</f>
        <v>#N/A</v>
      </c>
      <c r="CM357" s="102" t="e">
        <f t="shared" si="582"/>
        <v>#N/A</v>
      </c>
      <c r="CN357" s="102" t="e">
        <f t="shared" si="583"/>
        <v>#N/A</v>
      </c>
      <c r="CO357" s="414" t="e">
        <f>IF(CO356=0,0,IF(AND(CK357&gt;charge_ELS_quasi,CL357&gt;Charge_ELS_freq,CM357&gt;charge_ELU,CN357&gt;charge_ELA,$B357&gt;NDC!$H$22-0.1+MIN(3*$CO$12,1.5)),0,1))</f>
        <v>#N/A</v>
      </c>
      <c r="CP357" s="86" t="b">
        <f t="shared" si="551"/>
        <v>0</v>
      </c>
      <c r="CQ357" s="86">
        <f t="shared" si="552"/>
        <v>0.5</v>
      </c>
      <c r="CR357" s="86">
        <f t="shared" si="553"/>
        <v>0.5</v>
      </c>
      <c r="CS357" s="30" t="e">
        <f t="shared" ca="1" si="584"/>
        <v>#DIV/0!</v>
      </c>
      <c r="CT357" s="85" t="e">
        <f ca="1">IF(BZ357&lt;=Hypothèses!$V$7,Hypothèses!$W$7,IF(BZ357&lt;=Hypothèses!$V$8,Hypothèses!$W$8,IF(BZ357&lt;=Hypothèses!$V$9,Hypothèses!$W$9,IF(BZ357&lt;=Hypothèses!$V$10,Hypothèses!$W$10,IF(BZ357&lt;=Hypothèses!$V$11,Hypothèses!$W$11,IF(BZ357&lt;=Hypothèses!$V$12,Hypothèses!$W$12,IF(BZ357&lt;=Hypothèses!$V$13,Hypothèses!$W$13,IF(BZ357&lt;=Hypothèses!$V$14,Hypothèses!$W$14,IF(BZ357&lt;=Hypothèses!$V$15,Hypothèses!$W$15,IF(BZ357&lt;=Hypothèses!$V$16,Hypothèses!$W$16,IF(BZ357&lt;=Hypothèses!$V$17,Hypothèses!$W$17,IF(BZ357&lt;=Hypothèses!$V$18,Hypothèses!$W$18,""))))))))))))</f>
        <v>#DIV/0!</v>
      </c>
      <c r="CU357" s="87" t="e">
        <f t="shared" ca="1" si="620"/>
        <v>#DIV/0!</v>
      </c>
      <c r="CV357" s="88" t="e">
        <f ca="1">IF(BZ357&lt;=Hypothèses!$V$7,Hypothèses!$X$7,IF(BZ357&lt;=Hypothèses!$V$8,Hypothèses!$X$8,IF(BZ357&lt;=Hypothèses!$V$9,Hypothèses!$X$9,IF(BZ357&lt;=Hypothèses!$V$10,Hypothèses!$X$10,IF(BZ357&lt;=Hypothèses!$V$11,Hypothèses!$X$11,IF(BZ357&lt;=Hypothèses!$V$12,Hypothèses!$X$12,IF(BZ357&lt;=Hypothèses!$V$13,Hypothèses!$X$13,IF(BZ357&lt;=Hypothèses!$V$14,Hypothèses!$X$14,IF(BZ357&lt;=Hypothèses!$V$15,Hypothèses!$X$15,IF(BZ357&lt;=Hypothèses!$V$16,Hypothèses!$X$16,IF(BZ357&lt;=Hypothèses!$U$17,Hypothèses!$W$17,IF(BZ357&lt;=Hypothèses!$U$18,Hypothèses!$W$18,""))))))))))))</f>
        <v>#DIV/0!</v>
      </c>
      <c r="CW357" s="95" t="e">
        <f t="shared" ca="1" si="585"/>
        <v>#DIV/0!</v>
      </c>
      <c r="CX357" s="101" t="e">
        <f t="shared" si="627"/>
        <v>#N/A</v>
      </c>
      <c r="CY357" s="91" t="e">
        <f t="shared" si="554"/>
        <v>#N/A</v>
      </c>
      <c r="CZ357" s="30" t="e">
        <f t="shared" si="608"/>
        <v>#N/A</v>
      </c>
      <c r="DA357" s="30" t="e">
        <f t="shared" si="609"/>
        <v>#N/A</v>
      </c>
      <c r="DB357" s="31" t="e">
        <f>IF(OR(Hypothèses!$B$4=17,Hypothèses!$B$4=18,Hypothèses!$B$4=19,Hypothèses!$B$4=20),
IF($D357="Pressio.",
IF(OR($E357=3,$E357=1,$E357=4),DA357,CZ357),
IF($D357="Pénétro.",
IF(OR($E357=3,$E357=1,$E357=4),DA357,CZ357))),IF($D357="Pressio.",
IF($E357=3,DA357,CZ357),
IF($D357="Pénétro.",
IF($E357=4,DA357,CZ357))))</f>
        <v>#N/A</v>
      </c>
      <c r="DC357" s="31" t="e">
        <f>(IF(OR(Hypothèses!$B$4=17,Hypothèses!$B$4=18,Hypothèses!$B$4=19,Hypothèses!$B$4=20),
IF($D357="Pressio.",
IF(OR($E357=3,$E357=1,$E357=4),(PI()*DC$12^2)/4*(CY357*$W357*1000)/($H357*$B$5),(PI()*DC$12^2)/4*(CY357*$W357*1000)/($G357*$B$5)),
IF($D357="Pénétro.",
IF(OR($E357=4,$E357=1,$E357=5),(PI()*DC$12^2)/4*(CY357*$W357*1000)/($H357*$B$5),(PI()*DC$12^2)/4*(CY357*$W357*1000)/($G357*$B$5)))),
IF($D357="Pressio.",
IF($E357=3,(PI()*DC$12^2)/4*(CY357*$W357*1000)/($H357*$B$5),(PI()*DC$12^2)/4*(CY357*$W357*1000)/($G357*$B$5)),
IF($D357="Pénétro.",
IF($E357=4,(PI()*DC$12^2)/4*(CY357*$W357*1000)/($H357*$B$5),(PI()*DC$12^2)/4*(CY357*$W357*1000)/($G357*$B$5))))))/10</f>
        <v>#N/A</v>
      </c>
      <c r="DD357" s="102" t="e">
        <f>(VLOOKUP($B$3,'Coeff EC7'!$T$39:$X$59,2,0)*DB357+VLOOKUP($B$3,'Coeff EC7'!$T$65:$X$85,2,0)*Model0.1C!DC357)/1.1</f>
        <v>#N/A</v>
      </c>
      <c r="DE357" s="102" t="e">
        <f>(VLOOKUP($B$3,'Coeff EC7'!$T$39:$X$59,3,0)*DB357+VLOOKUP($B$3,'Coeff EC7'!$T$65:$X$85,3,0)*Model0.1C!DC357)/0.9</f>
        <v>#N/A</v>
      </c>
      <c r="DF357" s="102" t="e">
        <f t="shared" si="586"/>
        <v>#N/A</v>
      </c>
      <c r="DG357" s="102" t="e">
        <f t="shared" si="587"/>
        <v>#N/A</v>
      </c>
      <c r="DH357" s="414" t="e">
        <f>IF(DH356=0,0,IF(AND(DD357&gt;charge_ELS_quasi,DE357&gt;Charge_ELS_freq,DF357&gt;charge_ELU,DG357&gt;charge_ELA,$B357&gt;NDC!$H$22-0.1+MIN(3*$DH$12,1.5)),0,1))</f>
        <v>#N/A</v>
      </c>
      <c r="DI357" s="86" t="b">
        <f t="shared" si="555"/>
        <v>0</v>
      </c>
      <c r="DJ357" s="86">
        <f t="shared" si="556"/>
        <v>0.5</v>
      </c>
      <c r="DK357" s="86">
        <f t="shared" si="557"/>
        <v>0.5</v>
      </c>
      <c r="DL357" s="30" t="e">
        <f t="shared" ca="1" si="588"/>
        <v>#DIV/0!</v>
      </c>
      <c r="DM357" s="85" t="e">
        <f ca="1">IF(CS357&lt;=Hypothèses!$V$7,Hypothèses!$W$7,IF(CS357&lt;=Hypothèses!$V$8,Hypothèses!$W$8,IF(CS357&lt;=Hypothèses!$V$9,Hypothèses!$W$9,IF(CS357&lt;=Hypothèses!$V$10,Hypothèses!$W$10,IF(CS357&lt;=Hypothèses!$V$11,Hypothèses!$W$11,IF(CS357&lt;=Hypothèses!$V$12,Hypothèses!$W$12,IF(CS357&lt;=Hypothèses!$V$13,Hypothèses!$W$13,IF(CS357&lt;=Hypothèses!$V$14,Hypothèses!$W$14,IF(CS357&lt;=Hypothèses!$V$15,Hypothèses!$W$15,IF(CS357&lt;=Hypothèses!$V$16,Hypothèses!$W$16,IF(CS357&lt;=Hypothèses!$V$17,Hypothèses!$W$17,IF(CS357&lt;=Hypothèses!$V$18,Hypothèses!$W$18,""))))))))))))</f>
        <v>#DIV/0!</v>
      </c>
      <c r="DN357" s="87" t="e">
        <f t="shared" ca="1" si="621"/>
        <v>#DIV/0!</v>
      </c>
      <c r="DO357" s="88" t="e">
        <f ca="1">IF(CS357&lt;=Hypothèses!$V$7,Hypothèses!$X$7,IF(CS357&lt;=Hypothèses!$V$8,Hypothèses!$X$8,IF(CS357&lt;=Hypothèses!$V$9,Hypothèses!$X$9,IF(CS357&lt;=Hypothèses!$V$10,Hypothèses!$X$10,IF(CS357&lt;=Hypothèses!$V$11,Hypothèses!$X$11,IF(CS357&lt;=Hypothèses!$V$12,Hypothèses!$X$12,IF(CS357&lt;=Hypothèses!$V$13,Hypothèses!$X$13,IF(CS357&lt;=Hypothèses!$V$14,Hypothèses!$X$14,IF(CS357&lt;=Hypothèses!$V$15,Hypothèses!$X$15,IF(CS357&lt;=Hypothèses!$V$16,Hypothèses!$X$16,IF(CS357&lt;=Hypothèses!$U$17,Hypothèses!$W$17,IF(CS357&lt;=Hypothèses!$U$18,Hypothèses!$W$18,""))))))))))))</f>
        <v>#DIV/0!</v>
      </c>
      <c r="DP357" s="95" t="e">
        <f t="shared" ca="1" si="589"/>
        <v>#DIV/0!</v>
      </c>
      <c r="DQ357" s="101" t="e">
        <f t="shared" si="628"/>
        <v>#N/A</v>
      </c>
      <c r="DR357" s="91" t="e">
        <f t="shared" si="558"/>
        <v>#N/A</v>
      </c>
      <c r="DS357" s="30" t="e">
        <f t="shared" si="610"/>
        <v>#N/A</v>
      </c>
      <c r="DT357" s="30" t="e">
        <f t="shared" si="611"/>
        <v>#N/A</v>
      </c>
      <c r="DU357" s="31" t="e">
        <f>IF(OR(Hypothèses!$B$4=17,Hypothèses!$B$4=18,Hypothèses!$B$4=19,Hypothèses!$B$4=20),
IF($D357="Pressio.",
IF(OR($E357=3,$E357=1,$E357=4),DT357,DS357),
IF($D357="Pénétro.",
IF(OR($E357=3,$E357=1,$E357=4),DT357,DS357))),IF($D357="Pressio.",
IF($E357=3,DT357,DS357),
IF($D357="Pénétro.",
IF($E357=4,DT357,DS357))))</f>
        <v>#N/A</v>
      </c>
      <c r="DV357" s="31" t="e">
        <f>(IF(OR(Hypothèses!$B$4=17,Hypothèses!$B$4=18,Hypothèses!$B$4=19,Hypothèses!$B$4=20),
IF($D357="Pressio.",
IF(OR($E357=3,$E357=1,$E357=4),(PI()*DV$12^2)/4*(DR357*$W357*1000)/($H357*$B$5),(PI()*DV$12^2)/4*(DR357*$W357*1000)/($G357*$B$5)),
IF($D357="Pénétro.",
IF(OR($E357=4,$E357=1,$E357=5),(PI()*DV$12^2)/4*(DR357*$W357*1000)/($H357*$B$5),(PI()*DV$12^2)/4*(DR357*$W357*1000)/($G357*$B$5)))),
IF($D357="Pressio.",
IF($E357=3,(PI()*DV$12^2)/4*(DR357*$W357*1000)/($H357*$B$5),(PI()*DV$12^2)/4*(DR357*$W357*1000)/($G357*$B$5)),
IF($D357="Pénétro.",
IF($E357=4,(PI()*DV$12^2)/4*(DR357*$W357*1000)/($H357*$B$5),(PI()*DV$12^2)/4*(DR357*$W357*1000)/($G357*$B$5))))))/10</f>
        <v>#N/A</v>
      </c>
      <c r="DW357" s="102" t="e">
        <f>(VLOOKUP($B$3,'Coeff EC7'!$T$39:$X$59,2,0)*DU357+VLOOKUP($B$3,'Coeff EC7'!$T$65:$X$85,2,0)*Model0.1C!DV357)/1.1</f>
        <v>#N/A</v>
      </c>
      <c r="DX357" s="102" t="e">
        <f>(VLOOKUP($B$3,'Coeff EC7'!$T$39:$X$59,3,0)*DU357+VLOOKUP($B$3,'Coeff EC7'!$T$65:$X$85,3,0)*Model0.1C!DV357)/0.9</f>
        <v>#N/A</v>
      </c>
      <c r="DY357" s="102" t="e">
        <f t="shared" si="590"/>
        <v>#N/A</v>
      </c>
      <c r="DZ357" s="102" t="e">
        <f t="shared" si="591"/>
        <v>#N/A</v>
      </c>
      <c r="EA357" s="414" t="e">
        <f>IF(EA356=0,0,IF(AND(DW357&gt;charge_ELS_quasi,DX357&gt;Charge_ELS_freq,DY357&gt;charge_ELU,DZ357&gt;charge_ELA,$B357&gt;NDC!$H$22-0.1+MIN(3*$EA$12,1.5)),0,1))</f>
        <v>#N/A</v>
      </c>
      <c r="EB357" s="86" t="b">
        <f t="shared" si="559"/>
        <v>0</v>
      </c>
      <c r="EC357" s="418">
        <f t="shared" si="560"/>
        <v>0.51</v>
      </c>
      <c r="ED357" s="86">
        <f t="shared" si="561"/>
        <v>0.51</v>
      </c>
      <c r="EE357" s="30" t="e">
        <f t="shared" ca="1" si="592"/>
        <v>#DIV/0!</v>
      </c>
      <c r="EF357" s="85" t="e">
        <f ca="1">IF(DL357&lt;=Hypothèses!$V$7,Hypothèses!$W$7,IF(DL357&lt;=Hypothèses!$V$8,Hypothèses!$W$8,IF(DL357&lt;=Hypothèses!$V$9,Hypothèses!$W$9,IF(DL357&lt;=Hypothèses!$V$10,Hypothèses!$W$10,IF(DL357&lt;=Hypothèses!$V$11,Hypothèses!$W$11,IF(DL357&lt;=Hypothèses!$V$12,Hypothèses!$W$12,IF(DL357&lt;=Hypothèses!$V$13,Hypothèses!$W$13,IF(DL357&lt;=Hypothèses!$V$14,Hypothèses!$W$14,IF(DL357&lt;=Hypothèses!$V$15,Hypothèses!$W$15,IF(DL357&lt;=Hypothèses!$V$16,Hypothèses!$W$16,IF(DL357&lt;=Hypothèses!$V$17,Hypothèses!$W$17,IF(DL357&lt;=Hypothèses!$V$18,Hypothèses!$W$18,""))))))))))))</f>
        <v>#DIV/0!</v>
      </c>
      <c r="EG357" s="87" t="e">
        <f t="shared" ca="1" si="622"/>
        <v>#DIV/0!</v>
      </c>
      <c r="EH357" s="88" t="e">
        <f ca="1">IF(DL357&lt;=Hypothèses!$V$7,Hypothèses!$X$7,IF(DL357&lt;=Hypothèses!$V$8,Hypothèses!$X$8,IF(DL357&lt;=Hypothèses!$V$9,Hypothèses!$X$9,IF(DL357&lt;=Hypothèses!$V$10,Hypothèses!$X$10,IF(DL357&lt;=Hypothèses!$V$11,Hypothèses!$X$11,IF(DL357&lt;=Hypothèses!$V$12,Hypothèses!$X$12,IF(DL357&lt;=Hypothèses!$V$13,Hypothèses!$X$13,IF(DL357&lt;=Hypothèses!$V$14,Hypothèses!$X$14,IF(DL357&lt;=Hypothèses!$V$15,Hypothèses!$X$15,IF(DL357&lt;=Hypothèses!$V$16,Hypothèses!$X$16,IF(DL357&lt;=Hypothèses!$U$17,Hypothèses!$W$17,IF(DL357&lt;=Hypothèses!$U$18,Hypothèses!$W$18,""))))))))))))</f>
        <v>#DIV/0!</v>
      </c>
      <c r="EI357" s="95" t="e">
        <f t="shared" ca="1" si="593"/>
        <v>#DIV/0!</v>
      </c>
      <c r="EJ357" s="101" t="e">
        <f t="shared" si="629"/>
        <v>#N/A</v>
      </c>
      <c r="EK357" s="91" t="e">
        <f t="shared" si="562"/>
        <v>#N/A</v>
      </c>
      <c r="EL357" s="30" t="e">
        <f t="shared" si="612"/>
        <v>#N/A</v>
      </c>
      <c r="EM357" s="30" t="e">
        <f t="shared" si="613"/>
        <v>#N/A</v>
      </c>
      <c r="EN357" s="31" t="e">
        <f>IF(OR(Hypothèses!$B$4=17,Hypothèses!$B$4=18,Hypothèses!$B$4=19,Hypothèses!$B$4=20),
IF($D357="Pressio.",
IF(OR($E357=3,$E357=1,$E357=4),EM357,EL357),
IF($D357="Pénétro.",
IF(OR($E357=3,$E357=1,$E357=4),EM357,EL357))),IF($D357="Pressio.",
IF($E357=3,EM357,EL357),
IF($D357="Pénétro.",
IF($E357=4,EM357,EL357))))</f>
        <v>#N/A</v>
      </c>
      <c r="EO357" s="31" t="e">
        <f>(IF(OR(Hypothèses!$B$4=17,Hypothèses!$B$4=18,Hypothèses!$B$4=19,Hypothèses!$B$4=20),
IF($D357="Pressio.",
IF(OR($E357=3,$E357=1,$E357=4),(PI()*EO$12^2)/4*(EK357*$W357*1000)/($H357*$B$5),(PI()*EO$12^2)/4*(EK357*$W357*1000)/($G357*$B$5)),
IF($D357="Pénétro.",
IF(OR($E357=4,$E357=1,$E357=5),(PI()*EO$12^2)/4*(EK357*$W357*1000)/($H357*$B$5),(PI()*EO$12^2)/4*(EK357*$W357*1000)/($G357*$B$5)))),
IF($D357="Pressio.",
IF($E357=3,(PI()*EO$12^2)/4*(EK357*$W357*1000)/($H357*$B$5),(PI()*EO$12^2)/4*(EK357*$W357*1000)/($G357*$B$5)),
IF($D357="Pénétro.",
IF($E357=4,(PI()*EO$12^2)/4*(EK357*$W357*1000)/($H357*$B$5),(PI()*EO$12^2)/4*(EK357*$W357*1000)/($G357*$B$5))))))/10</f>
        <v>#N/A</v>
      </c>
      <c r="EP357" s="102" t="e">
        <f>(VLOOKUP($B$3,'Coeff EC7'!$T$39:$X$59,2,0)*EN357+VLOOKUP($B$3,'Coeff EC7'!$T$65:$X$85,2,0)*Model0.1C!EO357)/1.1</f>
        <v>#N/A</v>
      </c>
      <c r="EQ357" s="102" t="e">
        <f>(VLOOKUP($B$3,'Coeff EC7'!$T$39:$X$59,3,0)*EN357+VLOOKUP($B$3,'Coeff EC7'!$T$65:$X$85,3,0)*Model0.1C!EO357)/0.9</f>
        <v>#N/A</v>
      </c>
      <c r="ER357" s="102" t="e">
        <f t="shared" si="594"/>
        <v>#N/A</v>
      </c>
      <c r="ES357" s="102" t="e">
        <f t="shared" si="595"/>
        <v>#N/A</v>
      </c>
      <c r="ET357" s="414" t="e">
        <f>IF(ET356=0,0,IF(AND(EP357&gt;charge_ELS_quasi,EQ357&gt;Charge_ELS_freq,ER357&gt;charge_ELU,ES357&gt;charge_ELA,$B357&gt;NDC!$H$22-0.1+MIN(3*$ET$12,1.5)),0,1))</f>
        <v>#N/A</v>
      </c>
      <c r="EU357" s="86" t="b">
        <f t="shared" si="563"/>
        <v>0</v>
      </c>
      <c r="EV357" s="86">
        <f t="shared" si="564"/>
        <v>0.61</v>
      </c>
      <c r="EW357" s="86">
        <f t="shared" si="565"/>
        <v>0.61</v>
      </c>
      <c r="EX357" s="30" t="e">
        <f t="shared" ca="1" si="596"/>
        <v>#DIV/0!</v>
      </c>
      <c r="EY357" s="85" t="e">
        <f ca="1">IF(EE357&lt;=Hypothèses!$V$7,Hypothèses!$W$7,IF(EE357&lt;=Hypothèses!$V$8,Hypothèses!$W$8,IF(EE357&lt;=Hypothèses!$V$9,Hypothèses!$W$9,IF(EE357&lt;=Hypothèses!$V$10,Hypothèses!$W$10,IF(EE357&lt;=Hypothèses!$V$11,Hypothèses!$W$11,IF(EE357&lt;=Hypothèses!$V$12,Hypothèses!$W$12,IF(EE357&lt;=Hypothèses!$V$13,Hypothèses!$W$13,IF(EE357&lt;=Hypothèses!$V$14,Hypothèses!$W$14,IF(EE357&lt;=Hypothèses!$V$15,Hypothèses!$W$15,IF(EE357&lt;=Hypothèses!$V$16,Hypothèses!$W$16,IF(EE357&lt;=Hypothèses!$V$17,Hypothèses!$W$17,IF(EE357&lt;=Hypothèses!$V$18,Hypothèses!$W$18,""))))))))))))</f>
        <v>#DIV/0!</v>
      </c>
      <c r="EZ357" s="87" t="e">
        <f t="shared" ca="1" si="623"/>
        <v>#DIV/0!</v>
      </c>
      <c r="FA357" s="88" t="e">
        <f ca="1">IF(EE357&lt;=Hypothèses!$V$7,Hypothèses!$X$7,IF(EE357&lt;=Hypothèses!$V$8,Hypothèses!$X$8,IF(EE357&lt;=Hypothèses!$V$9,Hypothèses!$X$9,IF(EE357&lt;=Hypothèses!$V$10,Hypothèses!$X$10,IF(EE357&lt;=Hypothèses!$V$11,Hypothèses!$X$11,IF(EE357&lt;=Hypothèses!$V$12,Hypothèses!$X$12,IF(EE357&lt;=Hypothèses!$V$13,Hypothèses!$X$13,IF(EE357&lt;=Hypothèses!$V$14,Hypothèses!$X$14,IF(EE357&lt;=Hypothèses!$V$15,Hypothèses!$X$15,IF(EE357&lt;=Hypothèses!$V$16,Hypothèses!$X$16,IF(EE357&lt;=Hypothèses!$U$17,Hypothèses!$W$17,IF(EE357&lt;=Hypothèses!$U$18,Hypothèses!$W$18,""))))))))))))</f>
        <v>#DIV/0!</v>
      </c>
      <c r="FB357" s="95" t="e">
        <f t="shared" ca="1" si="597"/>
        <v>#DIV/0!</v>
      </c>
      <c r="FC357" s="101" t="e">
        <f t="shared" si="630"/>
        <v>#N/A</v>
      </c>
      <c r="FD357" s="91" t="e">
        <f t="shared" si="566"/>
        <v>#N/A</v>
      </c>
      <c r="FE357" s="30" t="e">
        <f t="shared" si="614"/>
        <v>#N/A</v>
      </c>
      <c r="FF357" s="30" t="e">
        <f t="shared" si="615"/>
        <v>#N/A</v>
      </c>
      <c r="FG357" s="31" t="e">
        <f>IF(OR(Hypothèses!$B$4=17,Hypothèses!$B$4=18,Hypothèses!$B$4=19,Hypothèses!$B$4=20),
IF($D357="Pressio.",
IF(OR($E357=3,$E357=1,$E357=4),FF357,FE357),
IF($D357="Pénétro.",
IF(OR($E357=3,$E357=1,$E357=4),FF357,FE357))),IF($D357="Pressio.",
IF($E357=3,FF357,FE357),
IF($D357="Pénétro.",
IF($E357=4,FF357,FE357))))</f>
        <v>#N/A</v>
      </c>
      <c r="FH357" s="31" t="e">
        <f>(IF(OR(Hypothèses!$B$4=17,Hypothèses!$B$4=18,Hypothèses!$B$4=19,Hypothèses!$B$4=20),
IF($D357="Pressio.",
IF(OR($E357=3,$E357=1,$E357=4),(PI()*FH$12^2)/4*(FD357*$W357*1000)/($H357*$B$5),(PI()*FH$12^2)/4*(FD357*$W357*1000)/($G357*$B$5)),
IF($D357="Pénétro.",
IF(OR($E357=4,$E357=1,$E357=5),(PI()*FH$12^2)/4*(FD357*$W357*1000)/($H357*$B$5),(PI()*FH$12^2)/4*(FD357*$W357*1000)/($G357*$B$5)))),
IF($D357="Pressio.",
IF($E357=3,(PI()*FH$12^2)/4*(FD357*$W357*1000)/($H357*$B$5),(PI()*FH$12^2)/4*(FD357*$W357*1000)/($G357*$B$5)),
IF($D357="Pénétro.",
IF($E357=4,(PI()*FH$12^2)/4*(FD357*$W357*1000)/($H357*$B$5),(PI()*FH$12^2)/4*(FD357*$W357*1000)/($G357*$B$5))))))/10</f>
        <v>#N/A</v>
      </c>
      <c r="FI357" s="102" t="e">
        <f>(VLOOKUP($B$3,'Coeff EC7'!$T$39:$X$59,2,0)*FG357+VLOOKUP($B$3,'Coeff EC7'!$T$65:$X$85,2,0)*Model0.1C!FH357)/1.1</f>
        <v>#N/A</v>
      </c>
      <c r="FJ357" s="102" t="e">
        <f>(VLOOKUP($B$3,'Coeff EC7'!$T$39:$X$59,3,0)*FG357+VLOOKUP($B$3,'Coeff EC7'!$T$65:$X$85,3,0)*Model0.1C!FH357)/0.9</f>
        <v>#N/A</v>
      </c>
      <c r="FK357" s="102" t="e">
        <f t="shared" si="598"/>
        <v>#N/A</v>
      </c>
      <c r="FL357" s="102" t="e">
        <f t="shared" si="599"/>
        <v>#N/A</v>
      </c>
      <c r="FM357" s="414" t="e">
        <f>IF(FM356=0,0,IF(AND(FI357&gt;charge_ELS_quasi,FJ357&gt;Charge_ELS_freq,FK357&gt;charge_ELU,FL357&gt;charge_ELA,$B357&gt;NDC!$H$22-0.1+MIN(3*$FM$12,1.5)),0,1))</f>
        <v>#N/A</v>
      </c>
    </row>
    <row r="358" spans="1:169">
      <c r="A358" s="96">
        <f t="shared" si="567"/>
        <v>65.500000000001961</v>
      </c>
      <c r="B358" s="97">
        <v>34.5</v>
      </c>
      <c r="C358" s="81">
        <f>IF(B358&lt;=Hypothèses!$C$7,Hypothèses!$A$7,IF(B358&lt;=Hypothèses!$C$8,Hypothèses!$A$8,IF(B358&lt;=Hypothèses!$C$9,Hypothèses!$A$9,IF(B358&lt;=Hypothèses!$C$10,Hypothèses!$A$10,IF(B358&lt;=Hypothèses!$C$11,Hypothèses!$A$11,IF(B358&lt;=Hypothèses!$C$12,Hypothèses!$A$12,IF(B358&lt;=Hypothèses!$C$13,Hypothèses!$A$13,IF(B358&lt;=Hypothèses!$C$14,Hypothèses!$A$14,IF(B358&lt;=Hypothèses!$C$15,Hypothèses!$A$15,IF(B358&lt;=Hypothèses!$C$16,Hypothèses!$A$16,IF(B358&lt;=Hypothèses!$C$17,Hypothèses!$A$17,IF(B358&lt;=Hypothèses!$C$18,Hypothèses!$A$18,C357))))))))))))</f>
        <v>11</v>
      </c>
      <c r="D358" s="82" t="str">
        <f>IF(B358&lt;=Hypothèses!$C$7,Hypothèses!$R$7,IF(B358&lt;=Hypothèses!$C$8,Hypothèses!$R$8,IF(B358&lt;=Hypothèses!$C$9,Hypothèses!$R$9,IF(B358&lt;=Hypothèses!$C$10,Hypothèses!$R$10,IF(B358&lt;=Hypothèses!$C$11,Hypothèses!$R$11,IF(B358&lt;=Hypothèses!$C$12,Hypothèses!$R$12,IF(B358&lt;=Hypothèses!$C$13,Hypothèses!$R$13,IF(B358&lt;=Hypothèses!$C$14,Hypothèses!$R$14,IF(B358&lt;=Hypothèses!$C$15,Hypothèses!$R$15,IF(B358&lt;=Hypothèses!$C$16,Hypothèses!$R$16,IF(B358&lt;=Hypothèses!$C$17,Hypothèses!$R$17,IF(B358&lt;=Hypothèses!$C$18,Hypothèses!$R$18,D357))))))))))))</f>
        <v>Pressio.</v>
      </c>
      <c r="E358" s="82" t="e">
        <f>IF(B358&lt;=Hypothèses!$C$7,Hypothèses!$G$7,IF(B358&lt;=Hypothèses!$C$8,Hypothèses!$G$8,IF(B358&lt;=Hypothèses!$C$9,Hypothèses!$G$9,IF(B358&lt;=Hypothèses!$C$10,Hypothèses!$G$10,IF(B358&lt;=Hypothèses!$C$11,Hypothèses!$G$11,IF(B358&lt;=Hypothèses!$C$12,Hypothèses!$G$12,IF(B358&lt;=Hypothèses!$C$13,Hypothèses!$G$13,IF(B358&lt;=Hypothèses!$C$14,Hypothèses!$G$14,IF(B358&lt;=Hypothèses!$C$15,Hypothèses!$G$15,IF(B358&lt;=Hypothèses!$C$16,Hypothèses!$G$16,IF(B358&lt;=Hypothèses!$C$17,Hypothèses!$G$17,IF(B358&lt;=Hypothèses!$C$18,Hypothèses!$G$18,E357))))))))))))</f>
        <v>#N/A</v>
      </c>
      <c r="F358" s="82" t="str">
        <f>IF(B358&lt;=Hypothèses!$C$7,Hypothèses!$F$7,IF(B358&lt;=Hypothèses!$C$8,Hypothèses!$F$8,IF(B358&lt;=Hypothèses!$C$9,Hypothèses!$F$9,IF(B358&lt;=Hypothèses!$C$10,Hypothèses!$F$10,IF(B358&lt;=Hypothèses!$C$11,Hypothèses!$F$11,IF(B358&lt;=Hypothèses!$C$12,Hypothèses!$F$12,IF(B358&lt;=Hypothèses!$C$13,Hypothèses!$F$13,IF(B358&lt;=Hypothèses!$C$14,Hypothèses!$F$14,IF(B358&lt;=Hypothèses!$C$15,Hypothèses!$F$15,IF(B358&lt;=Hypothèses!$C$16,Hypothèses!$F$16,IF(B358&lt;=Hypothèses!$C$17,Hypothèses!$F$17,IF(B358&lt;=Hypothèses!$C$18,Hypothèses!$F$18,F357))))))))))))</f>
        <v/>
      </c>
      <c r="G358" s="91">
        <f t="array" ref="G358">INDEX('Coeff EC7'!$U$7:$X$27,
MATCH(Model0.1C!$B$3,'Coeff EC7'!$T$7:$T$27,0),
MATCH(Model0.1C!$D358&amp;Model0.1C!$B$4,
'Coeff EC7'!$U$6:$X$6&amp;
'Coeff EC7'!$U$5:$X$5,0))</f>
        <v>1.1499999999999999</v>
      </c>
      <c r="H358" s="91">
        <f t="array" ref="H358">INDEX('Coeff EC7'!$Y$7:$AB$27,
MATCH(Model0.1C!$B$3,'Coeff EC7'!$T$7:$T$27,0),
MATCH(Model0.1C!$D358&amp;Model0.1C!$B$4,
'Coeff EC7'!$Y$6:$AB$6&amp;
'Coeff EC7'!$Y$5:$AB$5,0))</f>
        <v>1.4</v>
      </c>
      <c r="I358" s="83" t="e">
        <f>IF(B358&lt;=Hypothèses!$C$7,Hypothèses!$P$7,IF(B358&lt;=Hypothèses!$C$8,Hypothèses!$P$8,IF(B358&lt;=Hypothèses!$C$9,Hypothèses!$P$9,IF(B358&lt;=Hypothèses!$C$10,Hypothèses!$P$10,IF(B358&lt;=Hypothèses!$C$11,Hypothèses!$P$11,IF(B358&lt;=Hypothèses!$C$12,Hypothèses!$P$12,IF(B358&lt;=Hypothèses!$C$13,Hypothèses!$P$13,IF(B358&lt;=Hypothèses!$C$14,Hypothèses!$P$14,IF(B358&lt;=Hypothèses!$C$15,Hypothèses!$P$15,IF(B358&lt;=Hypothèses!$C$16,Hypothèses!$P$16,IF(B358&lt;=Hypothèses!$C$17,Hypothèses!$P$17,IF(B358&lt;=Hypothèses!$C$18,Hypothèses!$P$18,I357))))))))))))</f>
        <v>#N/A</v>
      </c>
      <c r="J358" s="91" t="e">
        <f t="array" ref="J358">INDEX('Coeff EC7'!$D$33:$Q$33,1,MATCH(D358&amp;E358,'Coeff EC7'!$D$31:$Q$31&amp;'Coeff EC7'!$D$32:$Q$32,0))</f>
        <v>#N/A</v>
      </c>
      <c r="K358" s="91" t="e">
        <f t="array" ref="K358">INDEX('Coeff EC7'!$D$34:$Q$34,1,MATCH(D358&amp;E358,'Coeff EC7'!$D$31:$Q$31&amp;'Coeff EC7'!$D$32:$Q$32,0))</f>
        <v>#N/A</v>
      </c>
      <c r="L358" s="91" t="e">
        <f t="array" ref="L358">INDEX('Coeff EC7'!$D$35:$Q$35,1,MATCH(D358&amp;E358,'Coeff EC7'!$D$31:$Q$31&amp;'Coeff EC7'!$D$32:$Q$32,0))</f>
        <v>#N/A</v>
      </c>
      <c r="M358" s="98" t="e">
        <f t="shared" si="531"/>
        <v>#N/A</v>
      </c>
      <c r="N358" s="99" t="e">
        <f t="array" ref="N358">INDEX('Coeff EC7'!$D$7:$Q$27,MATCH($B$3,'Coeff EC7'!$C$7:$C$27,0),MATCH(D358&amp;E358,'Coeff EC7'!$D$5:$Q$5&amp;'Coeff EC7'!$D$6:$Q$6,0))</f>
        <v>#N/A</v>
      </c>
      <c r="O358" s="99" t="e">
        <f t="array" ref="O358">INDEX('Coeff EC7'!$D$41:$Q$61,MATCH($B$3,'Coeff EC7'!$C$41:$C$61,0),MATCH(D358&amp;E358,'Coeff EC7'!$D$39:$Q$39&amp;'Coeff EC7'!$D$40:$Q$40,0))</f>
        <v>#N/A</v>
      </c>
      <c r="P358" s="30" t="e">
        <f t="shared" si="568"/>
        <v>#N/A</v>
      </c>
      <c r="Q358" s="100" t="e">
        <f t="shared" si="533"/>
        <v>#N/A</v>
      </c>
      <c r="R358" s="86" t="b">
        <f t="shared" si="534"/>
        <v>0</v>
      </c>
      <c r="S358" s="86">
        <f t="shared" si="532"/>
        <v>0.5</v>
      </c>
      <c r="T358" s="86">
        <f t="shared" si="535"/>
        <v>0.5</v>
      </c>
      <c r="U358" s="30" t="e">
        <f t="shared" ca="1" si="569"/>
        <v>#DIV/0!</v>
      </c>
      <c r="V358" s="85" t="str">
        <f>IF(B358&lt;=Hypothèses!$V$7,Hypothèses!$W$7,IF(B358&lt;=Hypothèses!$V$8,Hypothèses!$W$8,IF(B358&lt;=Hypothèses!$V$9,Hypothèses!$W$9,IF(B358&lt;=Hypothèses!$V$10,Hypothèses!$W$10,IF(B358&lt;=Hypothèses!$V$11,Hypothèses!$W$11,IF(B358&lt;=Hypothèses!$V$12,Hypothèses!$W$12,IF(B358&lt;=Hypothèses!$V$13,Hypothèses!$W$13,IF(B358&lt;=Hypothèses!$V$14,Hypothèses!$W$14,IF(B358&lt;=Hypothèses!$V$15,Hypothèses!$W$15,IF(B358&lt;=Hypothèses!$V$16,Hypothèses!$W$16,IF(B358&lt;=Hypothèses!$V$17,Hypothèses!$W$17,IF(B358&lt;=Hypothèses!$V$18,Hypothèses!$W$18,""))))))))))))</f>
        <v/>
      </c>
      <c r="W358" s="87" t="e">
        <f t="shared" ca="1" si="616"/>
        <v>#DIV/0!</v>
      </c>
      <c r="X358" s="88" t="str">
        <f>IF(B358&lt;=Hypothèses!$V$7,Hypothèses!$X$7,IF(B358&lt;=Hypothèses!$V$8,Hypothèses!$X$8,IF(B358&lt;=Hypothèses!$V$9,Hypothèses!$X$9,IF(B358&lt;=Hypothèses!$V$10,Hypothèses!$X$10,IF(B358&lt;=Hypothèses!$V$11,Hypothèses!$X$11,IF(B358&lt;=Hypothèses!$V$12,Hypothèses!$X$12,IF(B358&lt;=Hypothèses!$V$13,Hypothèses!$X$13,IF(B358&lt;=Hypothèses!$V$14,Hypothèses!$X$14,IF(B358&lt;=Hypothèses!$V$15,Hypothèses!$X$15,IF(B358&lt;=Hypothèses!$V$16,Hypothèses!$X$16,IF(B358&lt;=Hypothèses!$U$17,Hypothèses!$W$17,IF(B358&lt;=Hypothèses!$U$18,Hypothèses!$W$18,""))))))))))))</f>
        <v/>
      </c>
      <c r="Y358" s="95" t="e">
        <f t="shared" ca="1" si="536"/>
        <v>#DIV/0!</v>
      </c>
      <c r="Z358" s="101" t="e">
        <f t="shared" si="537"/>
        <v>#N/A</v>
      </c>
      <c r="AA358" s="91" t="e">
        <f t="shared" si="538"/>
        <v>#N/A</v>
      </c>
      <c r="AB358" s="30" t="e">
        <f t="shared" si="600"/>
        <v>#N/A</v>
      </c>
      <c r="AC358" s="30" t="e">
        <f t="shared" si="601"/>
        <v>#N/A</v>
      </c>
      <c r="AD358" s="31" t="e">
        <f>IF(OR(Hypothèses!$B$4=17,Hypothèses!$B$4=18,Hypothèses!$B$4=19,Hypothèses!$B$4=20),
IF($D358="Pressio.",
IF(OR($E358=3,$E358=1,$E358=4),AC358,AB358),
IF($D358="Pénétro.",
IF(OR($E358=3,$E358=1,$E358=4),AC358,AB358))),IF($D358="Pressio.",
IF($E358=3,AC358,AB358),
IF($D358="Pénétro.",
IF($E358=4,AC358,AB358))))</f>
        <v>#N/A</v>
      </c>
      <c r="AE358" s="31" t="e">
        <f>(IF(OR(Hypothèses!$B$4=17,Hypothèses!$B$4=18,Hypothèses!$B$4=19,Hypothèses!$B$4=20),
IF($D358="Pressio.",
IF(OR($E358=3,$E358=1,$E358=4),(PI()*AE$12^2)/4*(AA358*$W358*1000)/($H358*$B$5),(PI()*AE$12^2)/4*(AA358*$W358*1000)/($G358*$B$5)),
IF($D358="Pénétro.",
IF(OR($E358=4,$E358=1,$E358=5),(PI()*AE$12^2)/4*(AA358*$W358*1000)/($H358*$B$5),(PI()*AE$12^2)/4*(AA358*$W358*1000)/($G358*$B$5)))),
IF($D358="Pressio.",
IF($E358=3,(PI()*AE$12^2)/4*(AA358*$W358*1000)/($H358*$B$5),(PI()*AE$12^2)/4*(AA358*$W358*1000)/($G358*$B$5)),
IF($D358="Pénétro.",
IF($E358=4,(PI()*AE$12^2)/4*(AA358*$W358*1000)/($H358*$B$5),(PI()*AE$12^2)/4*(AA358*$W358*1000)/($G358*$B$5))))))/10</f>
        <v>#N/A</v>
      </c>
      <c r="AF358" s="102" t="e">
        <f>(VLOOKUP($B$3,'Coeff EC7'!$T$39:$X$59,2,0)*AD358+VLOOKUP($B$3,'Coeff EC7'!$T$65:$X$85,2,0)*Model0.1C!AE358)/1.1</f>
        <v>#N/A</v>
      </c>
      <c r="AG358" s="102" t="e">
        <f>(VLOOKUP($B$3,'Coeff EC7'!$T$39:$X$59,3,0)*AD358+VLOOKUP($B$3,'Coeff EC7'!$T$65:$X$85,3,0)*Model0.1C!AE358)/0.9</f>
        <v>#N/A</v>
      </c>
      <c r="AH358" s="102" t="e">
        <f t="shared" si="539"/>
        <v>#N/A</v>
      </c>
      <c r="AI358" s="102" t="e">
        <f t="shared" si="540"/>
        <v>#N/A</v>
      </c>
      <c r="AJ358" s="414" t="e">
        <f>IF(AJ357=0,0,IF(AND(AF358&gt;charge_ELS_quasi,AG358&gt;Charge_ELS_freq,AH358&gt;charge_ELU,AI358&gt;charge_ELA,$B358&gt;NDC!$H$22-0.1+MIN(3*$AJ$12,1.5)),0,1))</f>
        <v>#N/A</v>
      </c>
      <c r="AK358" s="86" t="b">
        <f t="shared" si="541"/>
        <v>0</v>
      </c>
      <c r="AL358" s="86">
        <f t="shared" si="570"/>
        <v>0.5</v>
      </c>
      <c r="AM358" s="86">
        <f t="shared" si="542"/>
        <v>0.5</v>
      </c>
      <c r="AN358" s="30" t="e">
        <f t="shared" ca="1" si="571"/>
        <v>#DIV/0!</v>
      </c>
      <c r="AO358" s="85" t="e">
        <f ca="1">IF(U358&lt;=Hypothèses!$V$7,Hypothèses!$W$7,IF(U358&lt;=Hypothèses!$V$8,Hypothèses!$W$8,IF(U358&lt;=Hypothèses!$V$9,Hypothèses!$W$9,IF(U358&lt;=Hypothèses!$V$10,Hypothèses!$W$10,IF(U358&lt;=Hypothèses!$V$11,Hypothèses!$W$11,IF(U358&lt;=Hypothèses!$V$12,Hypothèses!$W$12,IF(U358&lt;=Hypothèses!$V$13,Hypothèses!$W$13,IF(U358&lt;=Hypothèses!$V$14,Hypothèses!$W$14,IF(U358&lt;=Hypothèses!$V$15,Hypothèses!$W$15,IF(U358&lt;=Hypothèses!$V$16,Hypothèses!$W$16,IF(U358&lt;=Hypothèses!$V$17,Hypothèses!$W$17,IF(U358&lt;=Hypothèses!$V$18,Hypothèses!$W$18,""))))))))))))</f>
        <v>#DIV/0!</v>
      </c>
      <c r="AP358" s="87" t="e">
        <f t="shared" ca="1" si="617"/>
        <v>#DIV/0!</v>
      </c>
      <c r="AQ358" s="88" t="e">
        <f ca="1">IF(U358&lt;=Hypothèses!$V$7,Hypothèses!$X$7,IF(U358&lt;=Hypothèses!$V$8,Hypothèses!$X$8,IF(U358&lt;=Hypothèses!$V$9,Hypothèses!$X$9,IF(U358&lt;=Hypothèses!$V$10,Hypothèses!$X$10,IF(U358&lt;=Hypothèses!$V$11,Hypothèses!$X$11,IF(U358&lt;=Hypothèses!$V$12,Hypothèses!$X$12,IF(U358&lt;=Hypothèses!$V$13,Hypothèses!$X$13,IF(U358&lt;=Hypothèses!$V$14,Hypothèses!$X$14,IF(U358&lt;=Hypothèses!$V$15,Hypothèses!$X$15,IF(U358&lt;=Hypothèses!$V$16,Hypothèses!$X$16,IF(U358&lt;=Hypothèses!$U$17,Hypothèses!$W$17,IF(U358&lt;=Hypothèses!$U$18,Hypothèses!$W$18,""))))))))))))</f>
        <v>#DIV/0!</v>
      </c>
      <c r="AR358" s="95" t="e">
        <f t="shared" ca="1" si="572"/>
        <v>#DIV/0!</v>
      </c>
      <c r="AS358" s="101" t="e">
        <f t="shared" si="624"/>
        <v>#N/A</v>
      </c>
      <c r="AT358" s="91" t="e">
        <f t="shared" si="543"/>
        <v>#N/A</v>
      </c>
      <c r="AU358" s="30" t="e">
        <f t="shared" si="602"/>
        <v>#N/A</v>
      </c>
      <c r="AV358" s="30" t="e">
        <f t="shared" si="603"/>
        <v>#N/A</v>
      </c>
      <c r="AW358" s="31" t="e">
        <f>IF(OR(Hypothèses!$B$4=17,Hypothèses!$B$4=18,Hypothèses!$B$4=19,Hypothèses!$B$4=20),
IF($D358="Pressio.",
IF(OR($E358=3,$E358=1,$E358=4),AV358,AU358),
IF($D358="Pénétro.",
IF(OR($E358=3,$E358=1,$E358=4),AV358,AU358))),IF($D358="Pressio.",
IF($E358=3,AV358,AU358),
IF($D358="Pénétro.",
IF($E358=4,AV358,AU358))))</f>
        <v>#N/A</v>
      </c>
      <c r="AX358" s="31" t="e">
        <f>(IF(OR(Hypothèses!$B$4=17,Hypothèses!$B$4=18,Hypothèses!$B$4=19,Hypothèses!$B$4=20),
IF($D358="Pressio.",
IF(OR($E358=3,$E358=1,$E358=4),(PI()*AX$12^2)/4*(AT358*$W358*1000)/($H358*$B$5),(PI()*AX$12^2)/4*(AT358*$W358*1000)/($G358*$B$5)),
IF($D358="Pénétro.",
IF(OR($E358=4,$E358=1,$E358=5),(PI()*AX$12^2)/4*(AT358*$W358*1000)/($H358*$B$5),(PI()*AX$12^2)/4*(AT358*$W358*1000)/($G358*$B$5)))),
IF($D358="Pressio.",
IF($E358=3,(PI()*AX$12^2)/4*(AT358*$W358*1000)/($H358*$B$5),(PI()*AX$12^2)/4*(AT358*$W358*1000)/($G358*$B$5)),
IF($D358="Pénétro.",
IF($E358=4,(PI()*AX$12^2)/4*(AT358*$W358*1000)/($H358*$B$5),(PI()*AX$12^2)/4*(AT358*$W358*1000)/($G358*$B$5))))))/10</f>
        <v>#N/A</v>
      </c>
      <c r="AY358" s="102" t="e">
        <f>(VLOOKUP($B$3,'Coeff EC7'!$T$39:$X$59,2,0)*AW358+VLOOKUP($B$3,'Coeff EC7'!$T$65:$X$85,2,0)*Model0.1C!AX358)/1.1</f>
        <v>#N/A</v>
      </c>
      <c r="AZ358" s="102" t="e">
        <f>(VLOOKUP($B$3,'Coeff EC7'!$T$39:$X$59,3,0)*AW358+VLOOKUP($B$3,'Coeff EC7'!$T$65:$X$85,3,0)*Model0.1C!AX358)/0.9</f>
        <v>#N/A</v>
      </c>
      <c r="BA358" s="102" t="e">
        <f t="shared" si="573"/>
        <v>#N/A</v>
      </c>
      <c r="BB358" s="102" t="e">
        <f t="shared" si="574"/>
        <v>#N/A</v>
      </c>
      <c r="BC358" s="414" t="e">
        <f>IF(BC357=0,0,IF(AND(AY358&gt;charge_ELS_quasi,AZ358&gt;Charge_ELS_freq,BA358&gt;charge_ELU,BB358&gt;charge_ELA,$B358&gt;NDC!$H$22-0.1+MIN(3*$BC$12,1.5)),0,1))</f>
        <v>#N/A</v>
      </c>
      <c r="BD358" s="86" t="b">
        <f t="shared" si="544"/>
        <v>0</v>
      </c>
      <c r="BE358" s="86">
        <f t="shared" si="575"/>
        <v>0.5</v>
      </c>
      <c r="BF358" s="86">
        <f t="shared" si="545"/>
        <v>0.5</v>
      </c>
      <c r="BG358" s="30" t="e">
        <f t="shared" ca="1" si="576"/>
        <v>#DIV/0!</v>
      </c>
      <c r="BH358" s="85" t="e">
        <f ca="1">IF(AN358&lt;=Hypothèses!$V$7,Hypothèses!$W$7,IF(AN358&lt;=Hypothèses!$V$8,Hypothèses!$W$8,IF(AN358&lt;=Hypothèses!$V$9,Hypothèses!$W$9,IF(AN358&lt;=Hypothèses!$V$10,Hypothèses!$W$10,IF(AN358&lt;=Hypothèses!$V$11,Hypothèses!$W$11,IF(AN358&lt;=Hypothèses!$V$12,Hypothèses!$W$12,IF(AN358&lt;=Hypothèses!$V$13,Hypothèses!$W$13,IF(AN358&lt;=Hypothèses!$V$14,Hypothèses!$W$14,IF(AN358&lt;=Hypothèses!$V$15,Hypothèses!$W$15,IF(AN358&lt;=Hypothèses!$V$16,Hypothèses!$W$16,IF(AN358&lt;=Hypothèses!$V$17,Hypothèses!$W$17,IF(AN358&lt;=Hypothèses!$V$18,Hypothèses!$W$18,""))))))))))))</f>
        <v>#DIV/0!</v>
      </c>
      <c r="BI358" s="87" t="e">
        <f t="shared" ca="1" si="618"/>
        <v>#DIV/0!</v>
      </c>
      <c r="BJ358" s="88" t="e">
        <f ca="1">IF(AN358&lt;=Hypothèses!$V$7,Hypothèses!$X$7,IF(AN358&lt;=Hypothèses!$V$8,Hypothèses!$X$8,IF(AN358&lt;=Hypothèses!$V$9,Hypothèses!$X$9,IF(AN358&lt;=Hypothèses!$V$10,Hypothèses!$X$10,IF(AN358&lt;=Hypothèses!$V$11,Hypothèses!$X$11,IF(AN358&lt;=Hypothèses!$V$12,Hypothèses!$X$12,IF(AN358&lt;=Hypothèses!$V$13,Hypothèses!$X$13,IF(AN358&lt;=Hypothèses!$V$14,Hypothèses!$X$14,IF(AN358&lt;=Hypothèses!$V$15,Hypothèses!$X$15,IF(AN358&lt;=Hypothèses!$V$16,Hypothèses!$X$16,IF(AN358&lt;=Hypothèses!$U$17,Hypothèses!$W$17,IF(AN358&lt;=Hypothèses!$U$18,Hypothèses!$W$18,""))))))))))))</f>
        <v>#DIV/0!</v>
      </c>
      <c r="BK358" s="95" t="e">
        <f t="shared" ca="1" si="577"/>
        <v>#DIV/0!</v>
      </c>
      <c r="BL358" s="101" t="e">
        <f t="shared" si="625"/>
        <v>#N/A</v>
      </c>
      <c r="BM358" s="91" t="e">
        <f t="shared" si="546"/>
        <v>#N/A</v>
      </c>
      <c r="BN358" s="30" t="e">
        <f t="shared" si="604"/>
        <v>#N/A</v>
      </c>
      <c r="BO358" s="30" t="e">
        <f t="shared" si="605"/>
        <v>#N/A</v>
      </c>
      <c r="BP358" s="31" t="e">
        <f>IF(OR(Hypothèses!$B$4=17,Hypothèses!$B$4=18,Hypothèses!$B$4=19,Hypothèses!$B$4=20),
IF($D358="Pressio.",
IF(OR($E358=3,$E358=1,$E358=4),BO358,BN358),
IF($D358="Pénétro.",
IF(OR($E358=3,$E358=1,$E358=4),BO358,BN358))),IF($D358="Pressio.",
IF($E358=3,BO358,BN358),
IF($D358="Pénétro.",
IF($E358=4,BO358,BN358))))</f>
        <v>#N/A</v>
      </c>
      <c r="BQ358" s="31" t="e">
        <f>(IF(OR(Hypothèses!$B$4=17,Hypothèses!$B$4=18,Hypothèses!$B$4=19,Hypothèses!$B$4=20),
IF($D358="Pressio.",
IF(OR($E358=3,$E358=1,$E358=4),(PI()*BQ$12^2)/4*(BM358*$W358*1000)/($H358*$B$5),(PI()*BQ$12^2)/4*(BM358*$W358*1000)/($G358*$B$5)),
IF($D358="Pénétro.",
IF(OR($E358=4,$E358=1,$E358=5),(PI()*BQ$12^2)/4*(BM358*$W358*1000)/($H358*$B$5),(PI()*BQ$12^2)/4*(BM358*$W358*1000)/($G358*$B$5)))),
IF($D358="Pressio.",
IF($E358=3,(PI()*BQ$12^2)/4*(BM358*$W358*1000)/($H358*$B$5),(PI()*BQ$12^2)/4*(BM358*$W358*1000)/($G358*$B$5)),
IF($D358="Pénétro.",
IF($E358=4,(PI()*BQ$12^2)/4*(BM358*$W358*1000)/($H358*$B$5),(PI()*BQ$12^2)/4*(BM358*$W358*1000)/($G358*$B$5))))))/10</f>
        <v>#N/A</v>
      </c>
      <c r="BR358" s="102" t="e">
        <f>(VLOOKUP($B$3,'Coeff EC7'!$T$39:$X$59,2,0)*BP358+VLOOKUP($B$3,'Coeff EC7'!$T$65:$X$85,2,0)*Model0.1C!BQ358)/1.1</f>
        <v>#N/A</v>
      </c>
      <c r="BS358" s="102" t="e">
        <f>(VLOOKUP($B$3,'Coeff EC7'!$T$39:$X$59,3,0)*BP358+VLOOKUP($B$3,'Coeff EC7'!$T$65:$X$85,3,0)*Model0.1C!BQ358)/0.9</f>
        <v>#N/A</v>
      </c>
      <c r="BT358" s="102" t="e">
        <f t="shared" si="578"/>
        <v>#N/A</v>
      </c>
      <c r="BU358" s="102" t="e">
        <f t="shared" si="579"/>
        <v>#N/A</v>
      </c>
      <c r="BV358" s="414" t="e">
        <f>IF(BV357=0,0,IF(AND(BR358&gt;charge_ELS_quasi,BS358&gt;Charge_ELS_freq,BT358&gt;charge_ELU,BU358&gt;charge_ELA,$B358&gt;NDC!$H$22-0.1+MIN(3*$BV$12,1.5)),0,1))</f>
        <v>#N/A</v>
      </c>
      <c r="BW358" s="86" t="b">
        <f t="shared" si="547"/>
        <v>0</v>
      </c>
      <c r="BX358" s="86">
        <f t="shared" si="548"/>
        <v>0.5</v>
      </c>
      <c r="BY358" s="86">
        <f t="shared" si="549"/>
        <v>0.5</v>
      </c>
      <c r="BZ358" s="30" t="e">
        <f t="shared" ca="1" si="580"/>
        <v>#DIV/0!</v>
      </c>
      <c r="CA358" s="85" t="e">
        <f ca="1">IF(BG358&lt;=Hypothèses!$V$7,Hypothèses!$W$7,IF(BG358&lt;=Hypothèses!$V$8,Hypothèses!$W$8,IF(BG358&lt;=Hypothèses!$V$9,Hypothèses!$W$9,IF(BG358&lt;=Hypothèses!$V$10,Hypothèses!$W$10,IF(BG358&lt;=Hypothèses!$V$11,Hypothèses!$W$11,IF(BG358&lt;=Hypothèses!$V$12,Hypothèses!$W$12,IF(BG358&lt;=Hypothèses!$V$13,Hypothèses!$W$13,IF(BG358&lt;=Hypothèses!$V$14,Hypothèses!$W$14,IF(BG358&lt;=Hypothèses!$V$15,Hypothèses!$W$15,IF(BG358&lt;=Hypothèses!$V$16,Hypothèses!$W$16,IF(BG358&lt;=Hypothèses!$V$17,Hypothèses!$W$17,IF(BG358&lt;=Hypothèses!$V$18,Hypothèses!$W$18,""))))))))))))</f>
        <v>#DIV/0!</v>
      </c>
      <c r="CB358" s="87" t="e">
        <f t="shared" ca="1" si="619"/>
        <v>#DIV/0!</v>
      </c>
      <c r="CC358" s="88" t="e">
        <f ca="1">IF(BG358&lt;=Hypothèses!$V$7,Hypothèses!$X$7,IF(BG358&lt;=Hypothèses!$V$8,Hypothèses!$X$8,IF(BG358&lt;=Hypothèses!$V$9,Hypothèses!$X$9,IF(BG358&lt;=Hypothèses!$V$10,Hypothèses!$X$10,IF(BG358&lt;=Hypothèses!$V$11,Hypothèses!$X$11,IF(BG358&lt;=Hypothèses!$V$12,Hypothèses!$X$12,IF(BG358&lt;=Hypothèses!$V$13,Hypothèses!$X$13,IF(BG358&lt;=Hypothèses!$V$14,Hypothèses!$X$14,IF(BG358&lt;=Hypothèses!$V$15,Hypothèses!$X$15,IF(BG358&lt;=Hypothèses!$V$16,Hypothèses!$X$16,IF(BG358&lt;=Hypothèses!$U$17,Hypothèses!$W$17,IF(BG358&lt;=Hypothèses!$U$18,Hypothèses!$W$18,""))))))))))))</f>
        <v>#DIV/0!</v>
      </c>
      <c r="CD358" s="95" t="e">
        <f t="shared" ca="1" si="581"/>
        <v>#DIV/0!</v>
      </c>
      <c r="CE358" s="101" t="e">
        <f t="shared" si="626"/>
        <v>#N/A</v>
      </c>
      <c r="CF358" s="91" t="e">
        <f t="shared" si="550"/>
        <v>#N/A</v>
      </c>
      <c r="CG358" s="30" t="e">
        <f t="shared" si="606"/>
        <v>#N/A</v>
      </c>
      <c r="CH358" s="30" t="e">
        <f t="shared" si="607"/>
        <v>#N/A</v>
      </c>
      <c r="CI358" s="31" t="e">
        <f>IF(OR(Hypothèses!$B$4=17,Hypothèses!$B$4=18,Hypothèses!$B$4=19,Hypothèses!$B$4=20),
IF($D358="Pressio.",
IF(OR($E358=3,$E358=1,$E358=4),CH358,CG358),
IF($D358="Pénétro.",
IF(OR($E358=3,$E358=1,$E358=4),CH358,CG358))),IF($D358="Pressio.",
IF($E358=3,CH358,CG358),
IF($D358="Pénétro.",
IF($E358=4,CH358,CG358))))</f>
        <v>#N/A</v>
      </c>
      <c r="CJ358" s="31" t="e">
        <f>(IF(OR(Hypothèses!$B$4=17,Hypothèses!$B$4=18,Hypothèses!$B$4=19,Hypothèses!$B$4=20),
IF($D358="Pressio.",
IF(OR($E358=3,$E358=1,$E358=4),(PI()*CJ$12^2)/4*(CF358*$W358*1000)/($H358*$B$5),(PI()*CJ$12^2)/4*(CF358*$W358*1000)/($G358*$B$5)),
IF($D358="Pénétro.",
IF(OR($E358=4,$E358=1,$E358=5),(PI()*CJ$12^2)/4*(CF358*$W358*1000)/($H358*$B$5),(PI()*CJ$12^2)/4*(CF358*$W358*1000)/($G358*$B$5)))),
IF($D358="Pressio.",
IF($E358=3,(PI()*CJ$12^2)/4*(CF358*$W358*1000)/($H358*$B$5),(PI()*CJ$12^2)/4*(CF358*$W358*1000)/($G358*$B$5)),
IF($D358="Pénétro.",
IF($E358=4,(PI()*CJ$12^2)/4*(CF358*$W358*1000)/($H358*$B$5),(PI()*CJ$12^2)/4*(CF358*$W358*1000)/($G358*$B$5))))))/10</f>
        <v>#N/A</v>
      </c>
      <c r="CK358" s="102" t="e">
        <f>(VLOOKUP($B$3,'Coeff EC7'!$T$39:$X$59,2,0)*CI358+VLOOKUP($B$3,'Coeff EC7'!$T$65:$X$85,2,0)*Model0.1C!CJ358)/1.1</f>
        <v>#N/A</v>
      </c>
      <c r="CL358" s="102" t="e">
        <f>(VLOOKUP($B$3,'Coeff EC7'!$T$39:$X$59,3,0)*CI358+VLOOKUP($B$3,'Coeff EC7'!$T$65:$X$85,3,0)*Model0.1C!CJ358)/0.9</f>
        <v>#N/A</v>
      </c>
      <c r="CM358" s="102" t="e">
        <f t="shared" si="582"/>
        <v>#N/A</v>
      </c>
      <c r="CN358" s="102" t="e">
        <f t="shared" si="583"/>
        <v>#N/A</v>
      </c>
      <c r="CO358" s="414" t="e">
        <f>IF(CO357=0,0,IF(AND(CK358&gt;charge_ELS_quasi,CL358&gt;Charge_ELS_freq,CM358&gt;charge_ELU,CN358&gt;charge_ELA,$B358&gt;NDC!$H$22-0.1+MIN(3*$CO$12,1.5)),0,1))</f>
        <v>#N/A</v>
      </c>
      <c r="CP358" s="86" t="b">
        <f t="shared" si="551"/>
        <v>0</v>
      </c>
      <c r="CQ358" s="86">
        <f t="shared" si="552"/>
        <v>0.5</v>
      </c>
      <c r="CR358" s="86">
        <f t="shared" si="553"/>
        <v>0.5</v>
      </c>
      <c r="CS358" s="30" t="e">
        <f t="shared" ca="1" si="584"/>
        <v>#DIV/0!</v>
      </c>
      <c r="CT358" s="85" t="e">
        <f ca="1">IF(BZ358&lt;=Hypothèses!$V$7,Hypothèses!$W$7,IF(BZ358&lt;=Hypothèses!$V$8,Hypothèses!$W$8,IF(BZ358&lt;=Hypothèses!$V$9,Hypothèses!$W$9,IF(BZ358&lt;=Hypothèses!$V$10,Hypothèses!$W$10,IF(BZ358&lt;=Hypothèses!$V$11,Hypothèses!$W$11,IF(BZ358&lt;=Hypothèses!$V$12,Hypothèses!$W$12,IF(BZ358&lt;=Hypothèses!$V$13,Hypothèses!$W$13,IF(BZ358&lt;=Hypothèses!$V$14,Hypothèses!$W$14,IF(BZ358&lt;=Hypothèses!$V$15,Hypothèses!$W$15,IF(BZ358&lt;=Hypothèses!$V$16,Hypothèses!$W$16,IF(BZ358&lt;=Hypothèses!$V$17,Hypothèses!$W$17,IF(BZ358&lt;=Hypothèses!$V$18,Hypothèses!$W$18,""))))))))))))</f>
        <v>#DIV/0!</v>
      </c>
      <c r="CU358" s="87" t="e">
        <f t="shared" ca="1" si="620"/>
        <v>#DIV/0!</v>
      </c>
      <c r="CV358" s="88" t="e">
        <f ca="1">IF(BZ358&lt;=Hypothèses!$V$7,Hypothèses!$X$7,IF(BZ358&lt;=Hypothèses!$V$8,Hypothèses!$X$8,IF(BZ358&lt;=Hypothèses!$V$9,Hypothèses!$X$9,IF(BZ358&lt;=Hypothèses!$V$10,Hypothèses!$X$10,IF(BZ358&lt;=Hypothèses!$V$11,Hypothèses!$X$11,IF(BZ358&lt;=Hypothèses!$V$12,Hypothèses!$X$12,IF(BZ358&lt;=Hypothèses!$V$13,Hypothèses!$X$13,IF(BZ358&lt;=Hypothèses!$V$14,Hypothèses!$X$14,IF(BZ358&lt;=Hypothèses!$V$15,Hypothèses!$X$15,IF(BZ358&lt;=Hypothèses!$V$16,Hypothèses!$X$16,IF(BZ358&lt;=Hypothèses!$U$17,Hypothèses!$W$17,IF(BZ358&lt;=Hypothèses!$U$18,Hypothèses!$W$18,""))))))))))))</f>
        <v>#DIV/0!</v>
      </c>
      <c r="CW358" s="95" t="e">
        <f t="shared" ca="1" si="585"/>
        <v>#DIV/0!</v>
      </c>
      <c r="CX358" s="101" t="e">
        <f t="shared" si="627"/>
        <v>#N/A</v>
      </c>
      <c r="CY358" s="91" t="e">
        <f t="shared" si="554"/>
        <v>#N/A</v>
      </c>
      <c r="CZ358" s="30" t="e">
        <f t="shared" si="608"/>
        <v>#N/A</v>
      </c>
      <c r="DA358" s="30" t="e">
        <f t="shared" si="609"/>
        <v>#N/A</v>
      </c>
      <c r="DB358" s="31" t="e">
        <f>IF(OR(Hypothèses!$B$4=17,Hypothèses!$B$4=18,Hypothèses!$B$4=19,Hypothèses!$B$4=20),
IF($D358="Pressio.",
IF(OR($E358=3,$E358=1,$E358=4),DA358,CZ358),
IF($D358="Pénétro.",
IF(OR($E358=3,$E358=1,$E358=4),DA358,CZ358))),IF($D358="Pressio.",
IF($E358=3,DA358,CZ358),
IF($D358="Pénétro.",
IF($E358=4,DA358,CZ358))))</f>
        <v>#N/A</v>
      </c>
      <c r="DC358" s="31" t="e">
        <f>(IF(OR(Hypothèses!$B$4=17,Hypothèses!$B$4=18,Hypothèses!$B$4=19,Hypothèses!$B$4=20),
IF($D358="Pressio.",
IF(OR($E358=3,$E358=1,$E358=4),(PI()*DC$12^2)/4*(CY358*$W358*1000)/($H358*$B$5),(PI()*DC$12^2)/4*(CY358*$W358*1000)/($G358*$B$5)),
IF($D358="Pénétro.",
IF(OR($E358=4,$E358=1,$E358=5),(PI()*DC$12^2)/4*(CY358*$W358*1000)/($H358*$B$5),(PI()*DC$12^2)/4*(CY358*$W358*1000)/($G358*$B$5)))),
IF($D358="Pressio.",
IF($E358=3,(PI()*DC$12^2)/4*(CY358*$W358*1000)/($H358*$B$5),(PI()*DC$12^2)/4*(CY358*$W358*1000)/($G358*$B$5)),
IF($D358="Pénétro.",
IF($E358=4,(PI()*DC$12^2)/4*(CY358*$W358*1000)/($H358*$B$5),(PI()*DC$12^2)/4*(CY358*$W358*1000)/($G358*$B$5))))))/10</f>
        <v>#N/A</v>
      </c>
      <c r="DD358" s="102" t="e">
        <f>(VLOOKUP($B$3,'Coeff EC7'!$T$39:$X$59,2,0)*DB358+VLOOKUP($B$3,'Coeff EC7'!$T$65:$X$85,2,0)*Model0.1C!DC358)/1.1</f>
        <v>#N/A</v>
      </c>
      <c r="DE358" s="102" t="e">
        <f>(VLOOKUP($B$3,'Coeff EC7'!$T$39:$X$59,3,0)*DB358+VLOOKUP($B$3,'Coeff EC7'!$T$65:$X$85,3,0)*Model0.1C!DC358)/0.9</f>
        <v>#N/A</v>
      </c>
      <c r="DF358" s="102" t="e">
        <f t="shared" si="586"/>
        <v>#N/A</v>
      </c>
      <c r="DG358" s="102" t="e">
        <f t="shared" si="587"/>
        <v>#N/A</v>
      </c>
      <c r="DH358" s="414" t="e">
        <f>IF(DH357=0,0,IF(AND(DD358&gt;charge_ELS_quasi,DE358&gt;Charge_ELS_freq,DF358&gt;charge_ELU,DG358&gt;charge_ELA,$B358&gt;NDC!$H$22-0.1+MIN(3*$DH$12,1.5)),0,1))</f>
        <v>#N/A</v>
      </c>
      <c r="DI358" s="86" t="b">
        <f t="shared" si="555"/>
        <v>0</v>
      </c>
      <c r="DJ358" s="86">
        <f t="shared" si="556"/>
        <v>0.5</v>
      </c>
      <c r="DK358" s="86">
        <f t="shared" si="557"/>
        <v>0.5</v>
      </c>
      <c r="DL358" s="30" t="e">
        <f t="shared" ca="1" si="588"/>
        <v>#DIV/0!</v>
      </c>
      <c r="DM358" s="85" t="e">
        <f ca="1">IF(CS358&lt;=Hypothèses!$V$7,Hypothèses!$W$7,IF(CS358&lt;=Hypothèses!$V$8,Hypothèses!$W$8,IF(CS358&lt;=Hypothèses!$V$9,Hypothèses!$W$9,IF(CS358&lt;=Hypothèses!$V$10,Hypothèses!$W$10,IF(CS358&lt;=Hypothèses!$V$11,Hypothèses!$W$11,IF(CS358&lt;=Hypothèses!$V$12,Hypothèses!$W$12,IF(CS358&lt;=Hypothèses!$V$13,Hypothèses!$W$13,IF(CS358&lt;=Hypothèses!$V$14,Hypothèses!$W$14,IF(CS358&lt;=Hypothèses!$V$15,Hypothèses!$W$15,IF(CS358&lt;=Hypothèses!$V$16,Hypothèses!$W$16,IF(CS358&lt;=Hypothèses!$V$17,Hypothèses!$W$17,IF(CS358&lt;=Hypothèses!$V$18,Hypothèses!$W$18,""))))))))))))</f>
        <v>#DIV/0!</v>
      </c>
      <c r="DN358" s="87" t="e">
        <f t="shared" ca="1" si="621"/>
        <v>#DIV/0!</v>
      </c>
      <c r="DO358" s="88" t="e">
        <f ca="1">IF(CS358&lt;=Hypothèses!$V$7,Hypothèses!$X$7,IF(CS358&lt;=Hypothèses!$V$8,Hypothèses!$X$8,IF(CS358&lt;=Hypothèses!$V$9,Hypothèses!$X$9,IF(CS358&lt;=Hypothèses!$V$10,Hypothèses!$X$10,IF(CS358&lt;=Hypothèses!$V$11,Hypothèses!$X$11,IF(CS358&lt;=Hypothèses!$V$12,Hypothèses!$X$12,IF(CS358&lt;=Hypothèses!$V$13,Hypothèses!$X$13,IF(CS358&lt;=Hypothèses!$V$14,Hypothèses!$X$14,IF(CS358&lt;=Hypothèses!$V$15,Hypothèses!$X$15,IF(CS358&lt;=Hypothèses!$V$16,Hypothèses!$X$16,IF(CS358&lt;=Hypothèses!$U$17,Hypothèses!$W$17,IF(CS358&lt;=Hypothèses!$U$18,Hypothèses!$W$18,""))))))))))))</f>
        <v>#DIV/0!</v>
      </c>
      <c r="DP358" s="95" t="e">
        <f t="shared" ca="1" si="589"/>
        <v>#DIV/0!</v>
      </c>
      <c r="DQ358" s="101" t="e">
        <f t="shared" si="628"/>
        <v>#N/A</v>
      </c>
      <c r="DR358" s="91" t="e">
        <f t="shared" si="558"/>
        <v>#N/A</v>
      </c>
      <c r="DS358" s="30" t="e">
        <f t="shared" si="610"/>
        <v>#N/A</v>
      </c>
      <c r="DT358" s="30" t="e">
        <f t="shared" si="611"/>
        <v>#N/A</v>
      </c>
      <c r="DU358" s="31" t="e">
        <f>IF(OR(Hypothèses!$B$4=17,Hypothèses!$B$4=18,Hypothèses!$B$4=19,Hypothèses!$B$4=20),
IF($D358="Pressio.",
IF(OR($E358=3,$E358=1,$E358=4),DT358,DS358),
IF($D358="Pénétro.",
IF(OR($E358=3,$E358=1,$E358=4),DT358,DS358))),IF($D358="Pressio.",
IF($E358=3,DT358,DS358),
IF($D358="Pénétro.",
IF($E358=4,DT358,DS358))))</f>
        <v>#N/A</v>
      </c>
      <c r="DV358" s="31" t="e">
        <f>(IF(OR(Hypothèses!$B$4=17,Hypothèses!$B$4=18,Hypothèses!$B$4=19,Hypothèses!$B$4=20),
IF($D358="Pressio.",
IF(OR($E358=3,$E358=1,$E358=4),(PI()*DV$12^2)/4*(DR358*$W358*1000)/($H358*$B$5),(PI()*DV$12^2)/4*(DR358*$W358*1000)/($G358*$B$5)),
IF($D358="Pénétro.",
IF(OR($E358=4,$E358=1,$E358=5),(PI()*DV$12^2)/4*(DR358*$W358*1000)/($H358*$B$5),(PI()*DV$12^2)/4*(DR358*$W358*1000)/($G358*$B$5)))),
IF($D358="Pressio.",
IF($E358=3,(PI()*DV$12^2)/4*(DR358*$W358*1000)/($H358*$B$5),(PI()*DV$12^2)/4*(DR358*$W358*1000)/($G358*$B$5)),
IF($D358="Pénétro.",
IF($E358=4,(PI()*DV$12^2)/4*(DR358*$W358*1000)/($H358*$B$5),(PI()*DV$12^2)/4*(DR358*$W358*1000)/($G358*$B$5))))))/10</f>
        <v>#N/A</v>
      </c>
      <c r="DW358" s="102" t="e">
        <f>(VLOOKUP($B$3,'Coeff EC7'!$T$39:$X$59,2,0)*DU358+VLOOKUP($B$3,'Coeff EC7'!$T$65:$X$85,2,0)*Model0.1C!DV358)/1.1</f>
        <v>#N/A</v>
      </c>
      <c r="DX358" s="102" t="e">
        <f>(VLOOKUP($B$3,'Coeff EC7'!$T$39:$X$59,3,0)*DU358+VLOOKUP($B$3,'Coeff EC7'!$T$65:$X$85,3,0)*Model0.1C!DV358)/0.9</f>
        <v>#N/A</v>
      </c>
      <c r="DY358" s="102" t="e">
        <f t="shared" si="590"/>
        <v>#N/A</v>
      </c>
      <c r="DZ358" s="102" t="e">
        <f t="shared" si="591"/>
        <v>#N/A</v>
      </c>
      <c r="EA358" s="414" t="e">
        <f>IF(EA357=0,0,IF(AND(DW358&gt;charge_ELS_quasi,DX358&gt;Charge_ELS_freq,DY358&gt;charge_ELU,DZ358&gt;charge_ELA,$B358&gt;NDC!$H$22-0.1+MIN(3*$EA$12,1.5)),0,1))</f>
        <v>#N/A</v>
      </c>
      <c r="EB358" s="86" t="b">
        <f t="shared" si="559"/>
        <v>0</v>
      </c>
      <c r="EC358" s="418">
        <f t="shared" si="560"/>
        <v>0.51</v>
      </c>
      <c r="ED358" s="86">
        <f t="shared" si="561"/>
        <v>0.51</v>
      </c>
      <c r="EE358" s="30" t="e">
        <f t="shared" ca="1" si="592"/>
        <v>#DIV/0!</v>
      </c>
      <c r="EF358" s="85" t="e">
        <f ca="1">IF(DL358&lt;=Hypothèses!$V$7,Hypothèses!$W$7,IF(DL358&lt;=Hypothèses!$V$8,Hypothèses!$W$8,IF(DL358&lt;=Hypothèses!$V$9,Hypothèses!$W$9,IF(DL358&lt;=Hypothèses!$V$10,Hypothèses!$W$10,IF(DL358&lt;=Hypothèses!$V$11,Hypothèses!$W$11,IF(DL358&lt;=Hypothèses!$V$12,Hypothèses!$W$12,IF(DL358&lt;=Hypothèses!$V$13,Hypothèses!$W$13,IF(DL358&lt;=Hypothèses!$V$14,Hypothèses!$W$14,IF(DL358&lt;=Hypothèses!$V$15,Hypothèses!$W$15,IF(DL358&lt;=Hypothèses!$V$16,Hypothèses!$W$16,IF(DL358&lt;=Hypothèses!$V$17,Hypothèses!$W$17,IF(DL358&lt;=Hypothèses!$V$18,Hypothèses!$W$18,""))))))))))))</f>
        <v>#DIV/0!</v>
      </c>
      <c r="EG358" s="87" t="e">
        <f t="shared" ca="1" si="622"/>
        <v>#DIV/0!</v>
      </c>
      <c r="EH358" s="88" t="e">
        <f ca="1">IF(DL358&lt;=Hypothèses!$V$7,Hypothèses!$X$7,IF(DL358&lt;=Hypothèses!$V$8,Hypothèses!$X$8,IF(DL358&lt;=Hypothèses!$V$9,Hypothèses!$X$9,IF(DL358&lt;=Hypothèses!$V$10,Hypothèses!$X$10,IF(DL358&lt;=Hypothèses!$V$11,Hypothèses!$X$11,IF(DL358&lt;=Hypothèses!$V$12,Hypothèses!$X$12,IF(DL358&lt;=Hypothèses!$V$13,Hypothèses!$X$13,IF(DL358&lt;=Hypothèses!$V$14,Hypothèses!$X$14,IF(DL358&lt;=Hypothèses!$V$15,Hypothèses!$X$15,IF(DL358&lt;=Hypothèses!$V$16,Hypothèses!$X$16,IF(DL358&lt;=Hypothèses!$U$17,Hypothèses!$W$17,IF(DL358&lt;=Hypothèses!$U$18,Hypothèses!$W$18,""))))))))))))</f>
        <v>#DIV/0!</v>
      </c>
      <c r="EI358" s="95" t="e">
        <f t="shared" ca="1" si="593"/>
        <v>#DIV/0!</v>
      </c>
      <c r="EJ358" s="101" t="e">
        <f t="shared" si="629"/>
        <v>#N/A</v>
      </c>
      <c r="EK358" s="91" t="e">
        <f t="shared" si="562"/>
        <v>#N/A</v>
      </c>
      <c r="EL358" s="30" t="e">
        <f t="shared" si="612"/>
        <v>#N/A</v>
      </c>
      <c r="EM358" s="30" t="e">
        <f t="shared" si="613"/>
        <v>#N/A</v>
      </c>
      <c r="EN358" s="31" t="e">
        <f>IF(OR(Hypothèses!$B$4=17,Hypothèses!$B$4=18,Hypothèses!$B$4=19,Hypothèses!$B$4=20),
IF($D358="Pressio.",
IF(OR($E358=3,$E358=1,$E358=4),EM358,EL358),
IF($D358="Pénétro.",
IF(OR($E358=3,$E358=1,$E358=4),EM358,EL358))),IF($D358="Pressio.",
IF($E358=3,EM358,EL358),
IF($D358="Pénétro.",
IF($E358=4,EM358,EL358))))</f>
        <v>#N/A</v>
      </c>
      <c r="EO358" s="31" t="e">
        <f>(IF(OR(Hypothèses!$B$4=17,Hypothèses!$B$4=18,Hypothèses!$B$4=19,Hypothèses!$B$4=20),
IF($D358="Pressio.",
IF(OR($E358=3,$E358=1,$E358=4),(PI()*EO$12^2)/4*(EK358*$W358*1000)/($H358*$B$5),(PI()*EO$12^2)/4*(EK358*$W358*1000)/($G358*$B$5)),
IF($D358="Pénétro.",
IF(OR($E358=4,$E358=1,$E358=5),(PI()*EO$12^2)/4*(EK358*$W358*1000)/($H358*$B$5),(PI()*EO$12^2)/4*(EK358*$W358*1000)/($G358*$B$5)))),
IF($D358="Pressio.",
IF($E358=3,(PI()*EO$12^2)/4*(EK358*$W358*1000)/($H358*$B$5),(PI()*EO$12^2)/4*(EK358*$W358*1000)/($G358*$B$5)),
IF($D358="Pénétro.",
IF($E358=4,(PI()*EO$12^2)/4*(EK358*$W358*1000)/($H358*$B$5),(PI()*EO$12^2)/4*(EK358*$W358*1000)/($G358*$B$5))))))/10</f>
        <v>#N/A</v>
      </c>
      <c r="EP358" s="102" t="e">
        <f>(VLOOKUP($B$3,'Coeff EC7'!$T$39:$X$59,2,0)*EN358+VLOOKUP($B$3,'Coeff EC7'!$T$65:$X$85,2,0)*Model0.1C!EO358)/1.1</f>
        <v>#N/A</v>
      </c>
      <c r="EQ358" s="102" t="e">
        <f>(VLOOKUP($B$3,'Coeff EC7'!$T$39:$X$59,3,0)*EN358+VLOOKUP($B$3,'Coeff EC7'!$T$65:$X$85,3,0)*Model0.1C!EO358)/0.9</f>
        <v>#N/A</v>
      </c>
      <c r="ER358" s="102" t="e">
        <f t="shared" si="594"/>
        <v>#N/A</v>
      </c>
      <c r="ES358" s="102" t="e">
        <f t="shared" si="595"/>
        <v>#N/A</v>
      </c>
      <c r="ET358" s="414" t="e">
        <f>IF(ET357=0,0,IF(AND(EP358&gt;charge_ELS_quasi,EQ358&gt;Charge_ELS_freq,ER358&gt;charge_ELU,ES358&gt;charge_ELA,$B358&gt;NDC!$H$22-0.1+MIN(3*$ET$12,1.5)),0,1))</f>
        <v>#N/A</v>
      </c>
      <c r="EU358" s="86" t="b">
        <f t="shared" si="563"/>
        <v>0</v>
      </c>
      <c r="EV358" s="86">
        <f t="shared" si="564"/>
        <v>0.61</v>
      </c>
      <c r="EW358" s="86">
        <f t="shared" si="565"/>
        <v>0.61</v>
      </c>
      <c r="EX358" s="30" t="e">
        <f t="shared" ca="1" si="596"/>
        <v>#DIV/0!</v>
      </c>
      <c r="EY358" s="85" t="e">
        <f ca="1">IF(EE358&lt;=Hypothèses!$V$7,Hypothèses!$W$7,IF(EE358&lt;=Hypothèses!$V$8,Hypothèses!$W$8,IF(EE358&lt;=Hypothèses!$V$9,Hypothèses!$W$9,IF(EE358&lt;=Hypothèses!$V$10,Hypothèses!$W$10,IF(EE358&lt;=Hypothèses!$V$11,Hypothèses!$W$11,IF(EE358&lt;=Hypothèses!$V$12,Hypothèses!$W$12,IF(EE358&lt;=Hypothèses!$V$13,Hypothèses!$W$13,IF(EE358&lt;=Hypothèses!$V$14,Hypothèses!$W$14,IF(EE358&lt;=Hypothèses!$V$15,Hypothèses!$W$15,IF(EE358&lt;=Hypothèses!$V$16,Hypothèses!$W$16,IF(EE358&lt;=Hypothèses!$V$17,Hypothèses!$W$17,IF(EE358&lt;=Hypothèses!$V$18,Hypothèses!$W$18,""))))))))))))</f>
        <v>#DIV/0!</v>
      </c>
      <c r="EZ358" s="87" t="e">
        <f t="shared" ca="1" si="623"/>
        <v>#DIV/0!</v>
      </c>
      <c r="FA358" s="88" t="e">
        <f ca="1">IF(EE358&lt;=Hypothèses!$V$7,Hypothèses!$X$7,IF(EE358&lt;=Hypothèses!$V$8,Hypothèses!$X$8,IF(EE358&lt;=Hypothèses!$V$9,Hypothèses!$X$9,IF(EE358&lt;=Hypothèses!$V$10,Hypothèses!$X$10,IF(EE358&lt;=Hypothèses!$V$11,Hypothèses!$X$11,IF(EE358&lt;=Hypothèses!$V$12,Hypothèses!$X$12,IF(EE358&lt;=Hypothèses!$V$13,Hypothèses!$X$13,IF(EE358&lt;=Hypothèses!$V$14,Hypothèses!$X$14,IF(EE358&lt;=Hypothèses!$V$15,Hypothèses!$X$15,IF(EE358&lt;=Hypothèses!$V$16,Hypothèses!$X$16,IF(EE358&lt;=Hypothèses!$U$17,Hypothèses!$W$17,IF(EE358&lt;=Hypothèses!$U$18,Hypothèses!$W$18,""))))))))))))</f>
        <v>#DIV/0!</v>
      </c>
      <c r="FB358" s="95" t="e">
        <f t="shared" ca="1" si="597"/>
        <v>#DIV/0!</v>
      </c>
      <c r="FC358" s="101" t="e">
        <f t="shared" si="630"/>
        <v>#N/A</v>
      </c>
      <c r="FD358" s="91" t="e">
        <f t="shared" si="566"/>
        <v>#N/A</v>
      </c>
      <c r="FE358" s="30" t="e">
        <f t="shared" si="614"/>
        <v>#N/A</v>
      </c>
      <c r="FF358" s="30" t="e">
        <f t="shared" si="615"/>
        <v>#N/A</v>
      </c>
      <c r="FG358" s="31" t="e">
        <f>IF(OR(Hypothèses!$B$4=17,Hypothèses!$B$4=18,Hypothèses!$B$4=19,Hypothèses!$B$4=20),
IF($D358="Pressio.",
IF(OR($E358=3,$E358=1,$E358=4),FF358,FE358),
IF($D358="Pénétro.",
IF(OR($E358=3,$E358=1,$E358=4),FF358,FE358))),IF($D358="Pressio.",
IF($E358=3,FF358,FE358),
IF($D358="Pénétro.",
IF($E358=4,FF358,FE358))))</f>
        <v>#N/A</v>
      </c>
      <c r="FH358" s="31" t="e">
        <f>(IF(OR(Hypothèses!$B$4=17,Hypothèses!$B$4=18,Hypothèses!$B$4=19,Hypothèses!$B$4=20),
IF($D358="Pressio.",
IF(OR($E358=3,$E358=1,$E358=4),(PI()*FH$12^2)/4*(FD358*$W358*1000)/($H358*$B$5),(PI()*FH$12^2)/4*(FD358*$W358*1000)/($G358*$B$5)),
IF($D358="Pénétro.",
IF(OR($E358=4,$E358=1,$E358=5),(PI()*FH$12^2)/4*(FD358*$W358*1000)/($H358*$B$5),(PI()*FH$12^2)/4*(FD358*$W358*1000)/($G358*$B$5)))),
IF($D358="Pressio.",
IF($E358=3,(PI()*FH$12^2)/4*(FD358*$W358*1000)/($H358*$B$5),(PI()*FH$12^2)/4*(FD358*$W358*1000)/($G358*$B$5)),
IF($D358="Pénétro.",
IF($E358=4,(PI()*FH$12^2)/4*(FD358*$W358*1000)/($H358*$B$5),(PI()*FH$12^2)/4*(FD358*$W358*1000)/($G358*$B$5))))))/10</f>
        <v>#N/A</v>
      </c>
      <c r="FI358" s="102" t="e">
        <f>(VLOOKUP($B$3,'Coeff EC7'!$T$39:$X$59,2,0)*FG358+VLOOKUP($B$3,'Coeff EC7'!$T$65:$X$85,2,0)*Model0.1C!FH358)/1.1</f>
        <v>#N/A</v>
      </c>
      <c r="FJ358" s="102" t="e">
        <f>(VLOOKUP($B$3,'Coeff EC7'!$T$39:$X$59,3,0)*FG358+VLOOKUP($B$3,'Coeff EC7'!$T$65:$X$85,3,0)*Model0.1C!FH358)/0.9</f>
        <v>#N/A</v>
      </c>
      <c r="FK358" s="102" t="e">
        <f t="shared" si="598"/>
        <v>#N/A</v>
      </c>
      <c r="FL358" s="102" t="e">
        <f t="shared" si="599"/>
        <v>#N/A</v>
      </c>
      <c r="FM358" s="414" t="e">
        <f>IF(FM357=0,0,IF(AND(FI358&gt;charge_ELS_quasi,FJ358&gt;Charge_ELS_freq,FK358&gt;charge_ELU,FL358&gt;charge_ELA,$B358&gt;NDC!$H$22-0.1+MIN(3*$FM$12,1.5)),0,1))</f>
        <v>#N/A</v>
      </c>
    </row>
    <row r="359" spans="1:169">
      <c r="A359" s="96">
        <f t="shared" si="567"/>
        <v>65.400000000001967</v>
      </c>
      <c r="B359" s="97">
        <v>34.6</v>
      </c>
      <c r="C359" s="81">
        <f>IF(B359&lt;=Hypothèses!$C$7,Hypothèses!$A$7,IF(B359&lt;=Hypothèses!$C$8,Hypothèses!$A$8,IF(B359&lt;=Hypothèses!$C$9,Hypothèses!$A$9,IF(B359&lt;=Hypothèses!$C$10,Hypothèses!$A$10,IF(B359&lt;=Hypothèses!$C$11,Hypothèses!$A$11,IF(B359&lt;=Hypothèses!$C$12,Hypothèses!$A$12,IF(B359&lt;=Hypothèses!$C$13,Hypothèses!$A$13,IF(B359&lt;=Hypothèses!$C$14,Hypothèses!$A$14,IF(B359&lt;=Hypothèses!$C$15,Hypothèses!$A$15,IF(B359&lt;=Hypothèses!$C$16,Hypothèses!$A$16,IF(B359&lt;=Hypothèses!$C$17,Hypothèses!$A$17,IF(B359&lt;=Hypothèses!$C$18,Hypothèses!$A$18,C358))))))))))))</f>
        <v>11</v>
      </c>
      <c r="D359" s="82" t="str">
        <f>IF(B359&lt;=Hypothèses!$C$7,Hypothèses!$R$7,IF(B359&lt;=Hypothèses!$C$8,Hypothèses!$R$8,IF(B359&lt;=Hypothèses!$C$9,Hypothèses!$R$9,IF(B359&lt;=Hypothèses!$C$10,Hypothèses!$R$10,IF(B359&lt;=Hypothèses!$C$11,Hypothèses!$R$11,IF(B359&lt;=Hypothèses!$C$12,Hypothèses!$R$12,IF(B359&lt;=Hypothèses!$C$13,Hypothèses!$R$13,IF(B359&lt;=Hypothèses!$C$14,Hypothèses!$R$14,IF(B359&lt;=Hypothèses!$C$15,Hypothèses!$R$15,IF(B359&lt;=Hypothèses!$C$16,Hypothèses!$R$16,IF(B359&lt;=Hypothèses!$C$17,Hypothèses!$R$17,IF(B359&lt;=Hypothèses!$C$18,Hypothèses!$R$18,D358))))))))))))</f>
        <v>Pressio.</v>
      </c>
      <c r="E359" s="82" t="e">
        <f>IF(B359&lt;=Hypothèses!$C$7,Hypothèses!$G$7,IF(B359&lt;=Hypothèses!$C$8,Hypothèses!$G$8,IF(B359&lt;=Hypothèses!$C$9,Hypothèses!$G$9,IF(B359&lt;=Hypothèses!$C$10,Hypothèses!$G$10,IF(B359&lt;=Hypothèses!$C$11,Hypothèses!$G$11,IF(B359&lt;=Hypothèses!$C$12,Hypothèses!$G$12,IF(B359&lt;=Hypothèses!$C$13,Hypothèses!$G$13,IF(B359&lt;=Hypothèses!$C$14,Hypothèses!$G$14,IF(B359&lt;=Hypothèses!$C$15,Hypothèses!$G$15,IF(B359&lt;=Hypothèses!$C$16,Hypothèses!$G$16,IF(B359&lt;=Hypothèses!$C$17,Hypothèses!$G$17,IF(B359&lt;=Hypothèses!$C$18,Hypothèses!$G$18,E358))))))))))))</f>
        <v>#N/A</v>
      </c>
      <c r="F359" s="82" t="str">
        <f>IF(B359&lt;=Hypothèses!$C$7,Hypothèses!$F$7,IF(B359&lt;=Hypothèses!$C$8,Hypothèses!$F$8,IF(B359&lt;=Hypothèses!$C$9,Hypothèses!$F$9,IF(B359&lt;=Hypothèses!$C$10,Hypothèses!$F$10,IF(B359&lt;=Hypothèses!$C$11,Hypothèses!$F$11,IF(B359&lt;=Hypothèses!$C$12,Hypothèses!$F$12,IF(B359&lt;=Hypothèses!$C$13,Hypothèses!$F$13,IF(B359&lt;=Hypothèses!$C$14,Hypothèses!$F$14,IF(B359&lt;=Hypothèses!$C$15,Hypothèses!$F$15,IF(B359&lt;=Hypothèses!$C$16,Hypothèses!$F$16,IF(B359&lt;=Hypothèses!$C$17,Hypothèses!$F$17,IF(B359&lt;=Hypothèses!$C$18,Hypothèses!$F$18,F358))))))))))))</f>
        <v/>
      </c>
      <c r="G359" s="91">
        <f t="array" ref="G359">INDEX('Coeff EC7'!$U$7:$X$27,
MATCH(Model0.1C!$B$3,'Coeff EC7'!$T$7:$T$27,0),
MATCH(Model0.1C!$D359&amp;Model0.1C!$B$4,
'Coeff EC7'!$U$6:$X$6&amp;
'Coeff EC7'!$U$5:$X$5,0))</f>
        <v>1.1499999999999999</v>
      </c>
      <c r="H359" s="91">
        <f t="array" ref="H359">INDEX('Coeff EC7'!$Y$7:$AB$27,
MATCH(Model0.1C!$B$3,'Coeff EC7'!$T$7:$T$27,0),
MATCH(Model0.1C!$D359&amp;Model0.1C!$B$4,
'Coeff EC7'!$Y$6:$AB$6&amp;
'Coeff EC7'!$Y$5:$AB$5,0))</f>
        <v>1.4</v>
      </c>
      <c r="I359" s="83" t="e">
        <f>IF(B359&lt;=Hypothèses!$C$7,Hypothèses!$P$7,IF(B359&lt;=Hypothèses!$C$8,Hypothèses!$P$8,IF(B359&lt;=Hypothèses!$C$9,Hypothèses!$P$9,IF(B359&lt;=Hypothèses!$C$10,Hypothèses!$P$10,IF(B359&lt;=Hypothèses!$C$11,Hypothèses!$P$11,IF(B359&lt;=Hypothèses!$C$12,Hypothèses!$P$12,IF(B359&lt;=Hypothèses!$C$13,Hypothèses!$P$13,IF(B359&lt;=Hypothèses!$C$14,Hypothèses!$P$14,IF(B359&lt;=Hypothèses!$C$15,Hypothèses!$P$15,IF(B359&lt;=Hypothèses!$C$16,Hypothèses!$P$16,IF(B359&lt;=Hypothèses!$C$17,Hypothèses!$P$17,IF(B359&lt;=Hypothèses!$C$18,Hypothèses!$P$18,I358))))))))))))</f>
        <v>#N/A</v>
      </c>
      <c r="J359" s="91" t="e">
        <f t="array" ref="J359">INDEX('Coeff EC7'!$D$33:$Q$33,1,MATCH(D359&amp;E359,'Coeff EC7'!$D$31:$Q$31&amp;'Coeff EC7'!$D$32:$Q$32,0))</f>
        <v>#N/A</v>
      </c>
      <c r="K359" s="91" t="e">
        <f t="array" ref="K359">INDEX('Coeff EC7'!$D$34:$Q$34,1,MATCH(D359&amp;E359,'Coeff EC7'!$D$31:$Q$31&amp;'Coeff EC7'!$D$32:$Q$32,0))</f>
        <v>#N/A</v>
      </c>
      <c r="L359" s="91" t="e">
        <f t="array" ref="L359">INDEX('Coeff EC7'!$D$35:$Q$35,1,MATCH(D359&amp;E359,'Coeff EC7'!$D$31:$Q$31&amp;'Coeff EC7'!$D$32:$Q$32,0))</f>
        <v>#N/A</v>
      </c>
      <c r="M359" s="98" t="e">
        <f t="shared" si="531"/>
        <v>#N/A</v>
      </c>
      <c r="N359" s="99" t="e">
        <f t="array" ref="N359">INDEX('Coeff EC7'!$D$7:$Q$27,MATCH($B$3,'Coeff EC7'!$C$7:$C$27,0),MATCH(D359&amp;E359,'Coeff EC7'!$D$5:$Q$5&amp;'Coeff EC7'!$D$6:$Q$6,0))</f>
        <v>#N/A</v>
      </c>
      <c r="O359" s="99" t="e">
        <f t="array" ref="O359">INDEX('Coeff EC7'!$D$41:$Q$61,MATCH($B$3,'Coeff EC7'!$C$41:$C$61,0),MATCH(D359&amp;E359,'Coeff EC7'!$D$39:$Q$39&amp;'Coeff EC7'!$D$40:$Q$40,0))</f>
        <v>#N/A</v>
      </c>
      <c r="P359" s="30" t="e">
        <f t="shared" si="568"/>
        <v>#N/A</v>
      </c>
      <c r="Q359" s="100" t="e">
        <f t="shared" si="533"/>
        <v>#N/A</v>
      </c>
      <c r="R359" s="86" t="b">
        <f t="shared" si="534"/>
        <v>0</v>
      </c>
      <c r="S359" s="86">
        <f t="shared" si="532"/>
        <v>0.5</v>
      </c>
      <c r="T359" s="86">
        <f t="shared" si="535"/>
        <v>0.5</v>
      </c>
      <c r="U359" s="30" t="e">
        <f t="shared" ca="1" si="569"/>
        <v>#DIV/0!</v>
      </c>
      <c r="V359" s="85" t="str">
        <f>IF(B359&lt;=Hypothèses!$V$7,Hypothèses!$W$7,IF(B359&lt;=Hypothèses!$V$8,Hypothèses!$W$8,IF(B359&lt;=Hypothèses!$V$9,Hypothèses!$W$9,IF(B359&lt;=Hypothèses!$V$10,Hypothèses!$W$10,IF(B359&lt;=Hypothèses!$V$11,Hypothèses!$W$11,IF(B359&lt;=Hypothèses!$V$12,Hypothèses!$W$12,IF(B359&lt;=Hypothèses!$V$13,Hypothèses!$W$13,IF(B359&lt;=Hypothèses!$V$14,Hypothèses!$W$14,IF(B359&lt;=Hypothèses!$V$15,Hypothèses!$W$15,IF(B359&lt;=Hypothèses!$V$16,Hypothèses!$W$16,IF(B359&lt;=Hypothèses!$V$17,Hypothèses!$W$17,IF(B359&lt;=Hypothèses!$V$18,Hypothèses!$W$18,""))))))))))))</f>
        <v/>
      </c>
      <c r="W359" s="87" t="e">
        <f t="shared" ca="1" si="616"/>
        <v>#DIV/0!</v>
      </c>
      <c r="X359" s="88" t="str">
        <f>IF(B359&lt;=Hypothèses!$V$7,Hypothèses!$X$7,IF(B359&lt;=Hypothèses!$V$8,Hypothèses!$X$8,IF(B359&lt;=Hypothèses!$V$9,Hypothèses!$X$9,IF(B359&lt;=Hypothèses!$V$10,Hypothèses!$X$10,IF(B359&lt;=Hypothèses!$V$11,Hypothèses!$X$11,IF(B359&lt;=Hypothèses!$V$12,Hypothèses!$X$12,IF(B359&lt;=Hypothèses!$V$13,Hypothèses!$X$13,IF(B359&lt;=Hypothèses!$V$14,Hypothèses!$X$14,IF(B359&lt;=Hypothèses!$V$15,Hypothèses!$X$15,IF(B359&lt;=Hypothèses!$V$16,Hypothèses!$X$16,IF(B359&lt;=Hypothèses!$U$17,Hypothèses!$W$17,IF(B359&lt;=Hypothèses!$U$18,Hypothèses!$W$18,""))))))))))))</f>
        <v/>
      </c>
      <c r="Y359" s="95" t="e">
        <f t="shared" ca="1" si="536"/>
        <v>#DIV/0!</v>
      </c>
      <c r="Z359" s="101" t="e">
        <f t="shared" si="537"/>
        <v>#N/A</v>
      </c>
      <c r="AA359" s="91" t="e">
        <f t="shared" si="538"/>
        <v>#N/A</v>
      </c>
      <c r="AB359" s="30" t="e">
        <f t="shared" si="600"/>
        <v>#N/A</v>
      </c>
      <c r="AC359" s="30" t="e">
        <f t="shared" si="601"/>
        <v>#N/A</v>
      </c>
      <c r="AD359" s="31" t="e">
        <f>IF(OR(Hypothèses!$B$4=17,Hypothèses!$B$4=18,Hypothèses!$B$4=19,Hypothèses!$B$4=20),
IF($D359="Pressio.",
IF(OR($E359=3,$E359=1,$E359=4),AC359,AB359),
IF($D359="Pénétro.",
IF(OR($E359=3,$E359=1,$E359=4),AC359,AB359))),IF($D359="Pressio.",
IF($E359=3,AC359,AB359),
IF($D359="Pénétro.",
IF($E359=4,AC359,AB359))))</f>
        <v>#N/A</v>
      </c>
      <c r="AE359" s="31" t="e">
        <f>(IF(OR(Hypothèses!$B$4=17,Hypothèses!$B$4=18,Hypothèses!$B$4=19,Hypothèses!$B$4=20),
IF($D359="Pressio.",
IF(OR($E359=3,$E359=1,$E359=4),(PI()*AE$12^2)/4*(AA359*$W359*1000)/($H359*$B$5),(PI()*AE$12^2)/4*(AA359*$W359*1000)/($G359*$B$5)),
IF($D359="Pénétro.",
IF(OR($E359=4,$E359=1,$E359=5),(PI()*AE$12^2)/4*(AA359*$W359*1000)/($H359*$B$5),(PI()*AE$12^2)/4*(AA359*$W359*1000)/($G359*$B$5)))),
IF($D359="Pressio.",
IF($E359=3,(PI()*AE$12^2)/4*(AA359*$W359*1000)/($H359*$B$5),(PI()*AE$12^2)/4*(AA359*$W359*1000)/($G359*$B$5)),
IF($D359="Pénétro.",
IF($E359=4,(PI()*AE$12^2)/4*(AA359*$W359*1000)/($H359*$B$5),(PI()*AE$12^2)/4*(AA359*$W359*1000)/($G359*$B$5))))))/10</f>
        <v>#N/A</v>
      </c>
      <c r="AF359" s="102" t="e">
        <f>(VLOOKUP($B$3,'Coeff EC7'!$T$39:$X$59,2,0)*AD359+VLOOKUP($B$3,'Coeff EC7'!$T$65:$X$85,2,0)*Model0.1C!AE359)/1.1</f>
        <v>#N/A</v>
      </c>
      <c r="AG359" s="102" t="e">
        <f>(VLOOKUP($B$3,'Coeff EC7'!$T$39:$X$59,3,0)*AD359+VLOOKUP($B$3,'Coeff EC7'!$T$65:$X$85,3,0)*Model0.1C!AE359)/0.9</f>
        <v>#N/A</v>
      </c>
      <c r="AH359" s="102" t="e">
        <f t="shared" si="539"/>
        <v>#N/A</v>
      </c>
      <c r="AI359" s="102" t="e">
        <f t="shared" si="540"/>
        <v>#N/A</v>
      </c>
      <c r="AJ359" s="414" t="e">
        <f>IF(AJ358=0,0,IF(AND(AF359&gt;charge_ELS_quasi,AG359&gt;Charge_ELS_freq,AH359&gt;charge_ELU,AI359&gt;charge_ELA,$B359&gt;NDC!$H$22-0.1+MIN(3*$AJ$12,1.5)),0,1))</f>
        <v>#N/A</v>
      </c>
      <c r="AK359" s="86" t="b">
        <f t="shared" si="541"/>
        <v>0</v>
      </c>
      <c r="AL359" s="86">
        <f t="shared" si="570"/>
        <v>0.5</v>
      </c>
      <c r="AM359" s="86">
        <f t="shared" si="542"/>
        <v>0.5</v>
      </c>
      <c r="AN359" s="30" t="e">
        <f t="shared" ca="1" si="571"/>
        <v>#DIV/0!</v>
      </c>
      <c r="AO359" s="85" t="e">
        <f ca="1">IF(U359&lt;=Hypothèses!$V$7,Hypothèses!$W$7,IF(U359&lt;=Hypothèses!$V$8,Hypothèses!$W$8,IF(U359&lt;=Hypothèses!$V$9,Hypothèses!$W$9,IF(U359&lt;=Hypothèses!$V$10,Hypothèses!$W$10,IF(U359&lt;=Hypothèses!$V$11,Hypothèses!$W$11,IF(U359&lt;=Hypothèses!$V$12,Hypothèses!$W$12,IF(U359&lt;=Hypothèses!$V$13,Hypothèses!$W$13,IF(U359&lt;=Hypothèses!$V$14,Hypothèses!$W$14,IF(U359&lt;=Hypothèses!$V$15,Hypothèses!$W$15,IF(U359&lt;=Hypothèses!$V$16,Hypothèses!$W$16,IF(U359&lt;=Hypothèses!$V$17,Hypothèses!$W$17,IF(U359&lt;=Hypothèses!$V$18,Hypothèses!$W$18,""))))))))))))</f>
        <v>#DIV/0!</v>
      </c>
      <c r="AP359" s="87" t="e">
        <f t="shared" ca="1" si="617"/>
        <v>#DIV/0!</v>
      </c>
      <c r="AQ359" s="88" t="e">
        <f ca="1">IF(U359&lt;=Hypothèses!$V$7,Hypothèses!$X$7,IF(U359&lt;=Hypothèses!$V$8,Hypothèses!$X$8,IF(U359&lt;=Hypothèses!$V$9,Hypothèses!$X$9,IF(U359&lt;=Hypothèses!$V$10,Hypothèses!$X$10,IF(U359&lt;=Hypothèses!$V$11,Hypothèses!$X$11,IF(U359&lt;=Hypothèses!$V$12,Hypothèses!$X$12,IF(U359&lt;=Hypothèses!$V$13,Hypothèses!$X$13,IF(U359&lt;=Hypothèses!$V$14,Hypothèses!$X$14,IF(U359&lt;=Hypothèses!$V$15,Hypothèses!$X$15,IF(U359&lt;=Hypothèses!$V$16,Hypothèses!$X$16,IF(U359&lt;=Hypothèses!$U$17,Hypothèses!$W$17,IF(U359&lt;=Hypothèses!$U$18,Hypothèses!$W$18,""))))))))))))</f>
        <v>#DIV/0!</v>
      </c>
      <c r="AR359" s="95" t="e">
        <f t="shared" ca="1" si="572"/>
        <v>#DIV/0!</v>
      </c>
      <c r="AS359" s="101" t="e">
        <f t="shared" si="624"/>
        <v>#N/A</v>
      </c>
      <c r="AT359" s="91" t="e">
        <f t="shared" si="543"/>
        <v>#N/A</v>
      </c>
      <c r="AU359" s="30" t="e">
        <f t="shared" si="602"/>
        <v>#N/A</v>
      </c>
      <c r="AV359" s="30" t="e">
        <f t="shared" si="603"/>
        <v>#N/A</v>
      </c>
      <c r="AW359" s="31" t="e">
        <f>IF(OR(Hypothèses!$B$4=17,Hypothèses!$B$4=18,Hypothèses!$B$4=19,Hypothèses!$B$4=20),
IF($D359="Pressio.",
IF(OR($E359=3,$E359=1,$E359=4),AV359,AU359),
IF($D359="Pénétro.",
IF(OR($E359=3,$E359=1,$E359=4),AV359,AU359))),IF($D359="Pressio.",
IF($E359=3,AV359,AU359),
IF($D359="Pénétro.",
IF($E359=4,AV359,AU359))))</f>
        <v>#N/A</v>
      </c>
      <c r="AX359" s="31" t="e">
        <f>(IF(OR(Hypothèses!$B$4=17,Hypothèses!$B$4=18,Hypothèses!$B$4=19,Hypothèses!$B$4=20),
IF($D359="Pressio.",
IF(OR($E359=3,$E359=1,$E359=4),(PI()*AX$12^2)/4*(AT359*$W359*1000)/($H359*$B$5),(PI()*AX$12^2)/4*(AT359*$W359*1000)/($G359*$B$5)),
IF($D359="Pénétro.",
IF(OR($E359=4,$E359=1,$E359=5),(PI()*AX$12^2)/4*(AT359*$W359*1000)/($H359*$B$5),(PI()*AX$12^2)/4*(AT359*$W359*1000)/($G359*$B$5)))),
IF($D359="Pressio.",
IF($E359=3,(PI()*AX$12^2)/4*(AT359*$W359*1000)/($H359*$B$5),(PI()*AX$12^2)/4*(AT359*$W359*1000)/($G359*$B$5)),
IF($D359="Pénétro.",
IF($E359=4,(PI()*AX$12^2)/4*(AT359*$W359*1000)/($H359*$B$5),(PI()*AX$12^2)/4*(AT359*$W359*1000)/($G359*$B$5))))))/10</f>
        <v>#N/A</v>
      </c>
      <c r="AY359" s="102" t="e">
        <f>(VLOOKUP($B$3,'Coeff EC7'!$T$39:$X$59,2,0)*AW359+VLOOKUP($B$3,'Coeff EC7'!$T$65:$X$85,2,0)*Model0.1C!AX359)/1.1</f>
        <v>#N/A</v>
      </c>
      <c r="AZ359" s="102" t="e">
        <f>(VLOOKUP($B$3,'Coeff EC7'!$T$39:$X$59,3,0)*AW359+VLOOKUP($B$3,'Coeff EC7'!$T$65:$X$85,3,0)*Model0.1C!AX359)/0.9</f>
        <v>#N/A</v>
      </c>
      <c r="BA359" s="102" t="e">
        <f t="shared" si="573"/>
        <v>#N/A</v>
      </c>
      <c r="BB359" s="102" t="e">
        <f t="shared" si="574"/>
        <v>#N/A</v>
      </c>
      <c r="BC359" s="414" t="e">
        <f>IF(BC358=0,0,IF(AND(AY359&gt;charge_ELS_quasi,AZ359&gt;Charge_ELS_freq,BA359&gt;charge_ELU,BB359&gt;charge_ELA,$B359&gt;NDC!$H$22-0.1+MIN(3*$BC$12,1.5)),0,1))</f>
        <v>#N/A</v>
      </c>
      <c r="BD359" s="86" t="b">
        <f t="shared" si="544"/>
        <v>0</v>
      </c>
      <c r="BE359" s="86">
        <f t="shared" si="575"/>
        <v>0.5</v>
      </c>
      <c r="BF359" s="86">
        <f t="shared" si="545"/>
        <v>0.5</v>
      </c>
      <c r="BG359" s="30" t="e">
        <f t="shared" ca="1" si="576"/>
        <v>#DIV/0!</v>
      </c>
      <c r="BH359" s="85" t="e">
        <f ca="1">IF(AN359&lt;=Hypothèses!$V$7,Hypothèses!$W$7,IF(AN359&lt;=Hypothèses!$V$8,Hypothèses!$W$8,IF(AN359&lt;=Hypothèses!$V$9,Hypothèses!$W$9,IF(AN359&lt;=Hypothèses!$V$10,Hypothèses!$W$10,IF(AN359&lt;=Hypothèses!$V$11,Hypothèses!$W$11,IF(AN359&lt;=Hypothèses!$V$12,Hypothèses!$W$12,IF(AN359&lt;=Hypothèses!$V$13,Hypothèses!$W$13,IF(AN359&lt;=Hypothèses!$V$14,Hypothèses!$W$14,IF(AN359&lt;=Hypothèses!$V$15,Hypothèses!$W$15,IF(AN359&lt;=Hypothèses!$V$16,Hypothèses!$W$16,IF(AN359&lt;=Hypothèses!$V$17,Hypothèses!$W$17,IF(AN359&lt;=Hypothèses!$V$18,Hypothèses!$W$18,""))))))))))))</f>
        <v>#DIV/0!</v>
      </c>
      <c r="BI359" s="87" t="e">
        <f t="shared" ca="1" si="618"/>
        <v>#DIV/0!</v>
      </c>
      <c r="BJ359" s="88" t="e">
        <f ca="1">IF(AN359&lt;=Hypothèses!$V$7,Hypothèses!$X$7,IF(AN359&lt;=Hypothèses!$V$8,Hypothèses!$X$8,IF(AN359&lt;=Hypothèses!$V$9,Hypothèses!$X$9,IF(AN359&lt;=Hypothèses!$V$10,Hypothèses!$X$10,IF(AN359&lt;=Hypothèses!$V$11,Hypothèses!$X$11,IF(AN359&lt;=Hypothèses!$V$12,Hypothèses!$X$12,IF(AN359&lt;=Hypothèses!$V$13,Hypothèses!$X$13,IF(AN359&lt;=Hypothèses!$V$14,Hypothèses!$X$14,IF(AN359&lt;=Hypothèses!$V$15,Hypothèses!$X$15,IF(AN359&lt;=Hypothèses!$V$16,Hypothèses!$X$16,IF(AN359&lt;=Hypothèses!$U$17,Hypothèses!$W$17,IF(AN359&lt;=Hypothèses!$U$18,Hypothèses!$W$18,""))))))))))))</f>
        <v>#DIV/0!</v>
      </c>
      <c r="BK359" s="95" t="e">
        <f t="shared" ca="1" si="577"/>
        <v>#DIV/0!</v>
      </c>
      <c r="BL359" s="101" t="e">
        <f t="shared" si="625"/>
        <v>#N/A</v>
      </c>
      <c r="BM359" s="91" t="e">
        <f t="shared" si="546"/>
        <v>#N/A</v>
      </c>
      <c r="BN359" s="30" t="e">
        <f t="shared" si="604"/>
        <v>#N/A</v>
      </c>
      <c r="BO359" s="30" t="e">
        <f t="shared" si="605"/>
        <v>#N/A</v>
      </c>
      <c r="BP359" s="31" t="e">
        <f>IF(OR(Hypothèses!$B$4=17,Hypothèses!$B$4=18,Hypothèses!$B$4=19,Hypothèses!$B$4=20),
IF($D359="Pressio.",
IF(OR($E359=3,$E359=1,$E359=4),BO359,BN359),
IF($D359="Pénétro.",
IF(OR($E359=3,$E359=1,$E359=4),BO359,BN359))),IF($D359="Pressio.",
IF($E359=3,BO359,BN359),
IF($D359="Pénétro.",
IF($E359=4,BO359,BN359))))</f>
        <v>#N/A</v>
      </c>
      <c r="BQ359" s="31" t="e">
        <f>(IF(OR(Hypothèses!$B$4=17,Hypothèses!$B$4=18,Hypothèses!$B$4=19,Hypothèses!$B$4=20),
IF($D359="Pressio.",
IF(OR($E359=3,$E359=1,$E359=4),(PI()*BQ$12^2)/4*(BM359*$W359*1000)/($H359*$B$5),(PI()*BQ$12^2)/4*(BM359*$W359*1000)/($G359*$B$5)),
IF($D359="Pénétro.",
IF(OR($E359=4,$E359=1,$E359=5),(PI()*BQ$12^2)/4*(BM359*$W359*1000)/($H359*$B$5),(PI()*BQ$12^2)/4*(BM359*$W359*1000)/($G359*$B$5)))),
IF($D359="Pressio.",
IF($E359=3,(PI()*BQ$12^2)/4*(BM359*$W359*1000)/($H359*$B$5),(PI()*BQ$12^2)/4*(BM359*$W359*1000)/($G359*$B$5)),
IF($D359="Pénétro.",
IF($E359=4,(PI()*BQ$12^2)/4*(BM359*$W359*1000)/($H359*$B$5),(PI()*BQ$12^2)/4*(BM359*$W359*1000)/($G359*$B$5))))))/10</f>
        <v>#N/A</v>
      </c>
      <c r="BR359" s="102" t="e">
        <f>(VLOOKUP($B$3,'Coeff EC7'!$T$39:$X$59,2,0)*BP359+VLOOKUP($B$3,'Coeff EC7'!$T$65:$X$85,2,0)*Model0.1C!BQ359)/1.1</f>
        <v>#N/A</v>
      </c>
      <c r="BS359" s="102" t="e">
        <f>(VLOOKUP($B$3,'Coeff EC7'!$T$39:$X$59,3,0)*BP359+VLOOKUP($B$3,'Coeff EC7'!$T$65:$X$85,3,0)*Model0.1C!BQ359)/0.9</f>
        <v>#N/A</v>
      </c>
      <c r="BT359" s="102" t="e">
        <f t="shared" si="578"/>
        <v>#N/A</v>
      </c>
      <c r="BU359" s="102" t="e">
        <f t="shared" si="579"/>
        <v>#N/A</v>
      </c>
      <c r="BV359" s="414" t="e">
        <f>IF(BV358=0,0,IF(AND(BR359&gt;charge_ELS_quasi,BS359&gt;Charge_ELS_freq,BT359&gt;charge_ELU,BU359&gt;charge_ELA,$B359&gt;NDC!$H$22-0.1+MIN(3*$BV$12,1.5)),0,1))</f>
        <v>#N/A</v>
      </c>
      <c r="BW359" s="86" t="b">
        <f t="shared" si="547"/>
        <v>0</v>
      </c>
      <c r="BX359" s="86">
        <f t="shared" si="548"/>
        <v>0.5</v>
      </c>
      <c r="BY359" s="86">
        <f t="shared" si="549"/>
        <v>0.5</v>
      </c>
      <c r="BZ359" s="30" t="e">
        <f t="shared" ca="1" si="580"/>
        <v>#DIV/0!</v>
      </c>
      <c r="CA359" s="85" t="e">
        <f ca="1">IF(BG359&lt;=Hypothèses!$V$7,Hypothèses!$W$7,IF(BG359&lt;=Hypothèses!$V$8,Hypothèses!$W$8,IF(BG359&lt;=Hypothèses!$V$9,Hypothèses!$W$9,IF(BG359&lt;=Hypothèses!$V$10,Hypothèses!$W$10,IF(BG359&lt;=Hypothèses!$V$11,Hypothèses!$W$11,IF(BG359&lt;=Hypothèses!$V$12,Hypothèses!$W$12,IF(BG359&lt;=Hypothèses!$V$13,Hypothèses!$W$13,IF(BG359&lt;=Hypothèses!$V$14,Hypothèses!$W$14,IF(BG359&lt;=Hypothèses!$V$15,Hypothèses!$W$15,IF(BG359&lt;=Hypothèses!$V$16,Hypothèses!$W$16,IF(BG359&lt;=Hypothèses!$V$17,Hypothèses!$W$17,IF(BG359&lt;=Hypothèses!$V$18,Hypothèses!$W$18,""))))))))))))</f>
        <v>#DIV/0!</v>
      </c>
      <c r="CB359" s="87" t="e">
        <f t="shared" ca="1" si="619"/>
        <v>#DIV/0!</v>
      </c>
      <c r="CC359" s="88" t="e">
        <f ca="1">IF(BG359&lt;=Hypothèses!$V$7,Hypothèses!$X$7,IF(BG359&lt;=Hypothèses!$V$8,Hypothèses!$X$8,IF(BG359&lt;=Hypothèses!$V$9,Hypothèses!$X$9,IF(BG359&lt;=Hypothèses!$V$10,Hypothèses!$X$10,IF(BG359&lt;=Hypothèses!$V$11,Hypothèses!$X$11,IF(BG359&lt;=Hypothèses!$V$12,Hypothèses!$X$12,IF(BG359&lt;=Hypothèses!$V$13,Hypothèses!$X$13,IF(BG359&lt;=Hypothèses!$V$14,Hypothèses!$X$14,IF(BG359&lt;=Hypothèses!$V$15,Hypothèses!$X$15,IF(BG359&lt;=Hypothèses!$V$16,Hypothèses!$X$16,IF(BG359&lt;=Hypothèses!$U$17,Hypothèses!$W$17,IF(BG359&lt;=Hypothèses!$U$18,Hypothèses!$W$18,""))))))))))))</f>
        <v>#DIV/0!</v>
      </c>
      <c r="CD359" s="95" t="e">
        <f t="shared" ca="1" si="581"/>
        <v>#DIV/0!</v>
      </c>
      <c r="CE359" s="101" t="e">
        <f t="shared" si="626"/>
        <v>#N/A</v>
      </c>
      <c r="CF359" s="91" t="e">
        <f t="shared" si="550"/>
        <v>#N/A</v>
      </c>
      <c r="CG359" s="30" t="e">
        <f t="shared" si="606"/>
        <v>#N/A</v>
      </c>
      <c r="CH359" s="30" t="e">
        <f t="shared" si="607"/>
        <v>#N/A</v>
      </c>
      <c r="CI359" s="31" t="e">
        <f>IF(OR(Hypothèses!$B$4=17,Hypothèses!$B$4=18,Hypothèses!$B$4=19,Hypothèses!$B$4=20),
IF($D359="Pressio.",
IF(OR($E359=3,$E359=1,$E359=4),CH359,CG359),
IF($D359="Pénétro.",
IF(OR($E359=3,$E359=1,$E359=4),CH359,CG359))),IF($D359="Pressio.",
IF($E359=3,CH359,CG359),
IF($D359="Pénétro.",
IF($E359=4,CH359,CG359))))</f>
        <v>#N/A</v>
      </c>
      <c r="CJ359" s="31" t="e">
        <f>(IF(OR(Hypothèses!$B$4=17,Hypothèses!$B$4=18,Hypothèses!$B$4=19,Hypothèses!$B$4=20),
IF($D359="Pressio.",
IF(OR($E359=3,$E359=1,$E359=4),(PI()*CJ$12^2)/4*(CF359*$W359*1000)/($H359*$B$5),(PI()*CJ$12^2)/4*(CF359*$W359*1000)/($G359*$B$5)),
IF($D359="Pénétro.",
IF(OR($E359=4,$E359=1,$E359=5),(PI()*CJ$12^2)/4*(CF359*$W359*1000)/($H359*$B$5),(PI()*CJ$12^2)/4*(CF359*$W359*1000)/($G359*$B$5)))),
IF($D359="Pressio.",
IF($E359=3,(PI()*CJ$12^2)/4*(CF359*$W359*1000)/($H359*$B$5),(PI()*CJ$12^2)/4*(CF359*$W359*1000)/($G359*$B$5)),
IF($D359="Pénétro.",
IF($E359=4,(PI()*CJ$12^2)/4*(CF359*$W359*1000)/($H359*$B$5),(PI()*CJ$12^2)/4*(CF359*$W359*1000)/($G359*$B$5))))))/10</f>
        <v>#N/A</v>
      </c>
      <c r="CK359" s="102" t="e">
        <f>(VLOOKUP($B$3,'Coeff EC7'!$T$39:$X$59,2,0)*CI359+VLOOKUP($B$3,'Coeff EC7'!$T$65:$X$85,2,0)*Model0.1C!CJ359)/1.1</f>
        <v>#N/A</v>
      </c>
      <c r="CL359" s="102" t="e">
        <f>(VLOOKUP($B$3,'Coeff EC7'!$T$39:$X$59,3,0)*CI359+VLOOKUP($B$3,'Coeff EC7'!$T$65:$X$85,3,0)*Model0.1C!CJ359)/0.9</f>
        <v>#N/A</v>
      </c>
      <c r="CM359" s="102" t="e">
        <f t="shared" si="582"/>
        <v>#N/A</v>
      </c>
      <c r="CN359" s="102" t="e">
        <f t="shared" si="583"/>
        <v>#N/A</v>
      </c>
      <c r="CO359" s="414" t="e">
        <f>IF(CO358=0,0,IF(AND(CK359&gt;charge_ELS_quasi,CL359&gt;Charge_ELS_freq,CM359&gt;charge_ELU,CN359&gt;charge_ELA,$B359&gt;NDC!$H$22-0.1+MIN(3*$CO$12,1.5)),0,1))</f>
        <v>#N/A</v>
      </c>
      <c r="CP359" s="86" t="b">
        <f t="shared" si="551"/>
        <v>0</v>
      </c>
      <c r="CQ359" s="86">
        <f t="shared" si="552"/>
        <v>0.5</v>
      </c>
      <c r="CR359" s="86">
        <f t="shared" si="553"/>
        <v>0.5</v>
      </c>
      <c r="CS359" s="30" t="e">
        <f t="shared" ca="1" si="584"/>
        <v>#DIV/0!</v>
      </c>
      <c r="CT359" s="85" t="e">
        <f ca="1">IF(BZ359&lt;=Hypothèses!$V$7,Hypothèses!$W$7,IF(BZ359&lt;=Hypothèses!$V$8,Hypothèses!$W$8,IF(BZ359&lt;=Hypothèses!$V$9,Hypothèses!$W$9,IF(BZ359&lt;=Hypothèses!$V$10,Hypothèses!$W$10,IF(BZ359&lt;=Hypothèses!$V$11,Hypothèses!$W$11,IF(BZ359&lt;=Hypothèses!$V$12,Hypothèses!$W$12,IF(BZ359&lt;=Hypothèses!$V$13,Hypothèses!$W$13,IF(BZ359&lt;=Hypothèses!$V$14,Hypothèses!$W$14,IF(BZ359&lt;=Hypothèses!$V$15,Hypothèses!$W$15,IF(BZ359&lt;=Hypothèses!$V$16,Hypothèses!$W$16,IF(BZ359&lt;=Hypothèses!$V$17,Hypothèses!$W$17,IF(BZ359&lt;=Hypothèses!$V$18,Hypothèses!$W$18,""))))))))))))</f>
        <v>#DIV/0!</v>
      </c>
      <c r="CU359" s="87" t="e">
        <f t="shared" ca="1" si="620"/>
        <v>#DIV/0!</v>
      </c>
      <c r="CV359" s="88" t="e">
        <f ca="1">IF(BZ359&lt;=Hypothèses!$V$7,Hypothèses!$X$7,IF(BZ359&lt;=Hypothèses!$V$8,Hypothèses!$X$8,IF(BZ359&lt;=Hypothèses!$V$9,Hypothèses!$X$9,IF(BZ359&lt;=Hypothèses!$V$10,Hypothèses!$X$10,IF(BZ359&lt;=Hypothèses!$V$11,Hypothèses!$X$11,IF(BZ359&lt;=Hypothèses!$V$12,Hypothèses!$X$12,IF(BZ359&lt;=Hypothèses!$V$13,Hypothèses!$X$13,IF(BZ359&lt;=Hypothèses!$V$14,Hypothèses!$X$14,IF(BZ359&lt;=Hypothèses!$V$15,Hypothèses!$X$15,IF(BZ359&lt;=Hypothèses!$V$16,Hypothèses!$X$16,IF(BZ359&lt;=Hypothèses!$U$17,Hypothèses!$W$17,IF(BZ359&lt;=Hypothèses!$U$18,Hypothèses!$W$18,""))))))))))))</f>
        <v>#DIV/0!</v>
      </c>
      <c r="CW359" s="95" t="e">
        <f t="shared" ca="1" si="585"/>
        <v>#DIV/0!</v>
      </c>
      <c r="CX359" s="101" t="e">
        <f t="shared" si="627"/>
        <v>#N/A</v>
      </c>
      <c r="CY359" s="91" t="e">
        <f t="shared" si="554"/>
        <v>#N/A</v>
      </c>
      <c r="CZ359" s="30" t="e">
        <f t="shared" si="608"/>
        <v>#N/A</v>
      </c>
      <c r="DA359" s="30" t="e">
        <f t="shared" si="609"/>
        <v>#N/A</v>
      </c>
      <c r="DB359" s="31" t="e">
        <f>IF(OR(Hypothèses!$B$4=17,Hypothèses!$B$4=18,Hypothèses!$B$4=19,Hypothèses!$B$4=20),
IF($D359="Pressio.",
IF(OR($E359=3,$E359=1,$E359=4),DA359,CZ359),
IF($D359="Pénétro.",
IF(OR($E359=3,$E359=1,$E359=4),DA359,CZ359))),IF($D359="Pressio.",
IF($E359=3,DA359,CZ359),
IF($D359="Pénétro.",
IF($E359=4,DA359,CZ359))))</f>
        <v>#N/A</v>
      </c>
      <c r="DC359" s="31" t="e">
        <f>(IF(OR(Hypothèses!$B$4=17,Hypothèses!$B$4=18,Hypothèses!$B$4=19,Hypothèses!$B$4=20),
IF($D359="Pressio.",
IF(OR($E359=3,$E359=1,$E359=4),(PI()*DC$12^2)/4*(CY359*$W359*1000)/($H359*$B$5),(PI()*DC$12^2)/4*(CY359*$W359*1000)/($G359*$B$5)),
IF($D359="Pénétro.",
IF(OR($E359=4,$E359=1,$E359=5),(PI()*DC$12^2)/4*(CY359*$W359*1000)/($H359*$B$5),(PI()*DC$12^2)/4*(CY359*$W359*1000)/($G359*$B$5)))),
IF($D359="Pressio.",
IF($E359=3,(PI()*DC$12^2)/4*(CY359*$W359*1000)/($H359*$B$5),(PI()*DC$12^2)/4*(CY359*$W359*1000)/($G359*$B$5)),
IF($D359="Pénétro.",
IF($E359=4,(PI()*DC$12^2)/4*(CY359*$W359*1000)/($H359*$B$5),(PI()*DC$12^2)/4*(CY359*$W359*1000)/($G359*$B$5))))))/10</f>
        <v>#N/A</v>
      </c>
      <c r="DD359" s="102" t="e">
        <f>(VLOOKUP($B$3,'Coeff EC7'!$T$39:$X$59,2,0)*DB359+VLOOKUP($B$3,'Coeff EC7'!$T$65:$X$85,2,0)*Model0.1C!DC359)/1.1</f>
        <v>#N/A</v>
      </c>
      <c r="DE359" s="102" t="e">
        <f>(VLOOKUP($B$3,'Coeff EC7'!$T$39:$X$59,3,0)*DB359+VLOOKUP($B$3,'Coeff EC7'!$T$65:$X$85,3,0)*Model0.1C!DC359)/0.9</f>
        <v>#N/A</v>
      </c>
      <c r="DF359" s="102" t="e">
        <f t="shared" si="586"/>
        <v>#N/A</v>
      </c>
      <c r="DG359" s="102" t="e">
        <f t="shared" si="587"/>
        <v>#N/A</v>
      </c>
      <c r="DH359" s="414" t="e">
        <f>IF(DH358=0,0,IF(AND(DD359&gt;charge_ELS_quasi,DE359&gt;Charge_ELS_freq,DF359&gt;charge_ELU,DG359&gt;charge_ELA,$B359&gt;NDC!$H$22-0.1+MIN(3*$DH$12,1.5)),0,1))</f>
        <v>#N/A</v>
      </c>
      <c r="DI359" s="86" t="b">
        <f t="shared" si="555"/>
        <v>0</v>
      </c>
      <c r="DJ359" s="86">
        <f t="shared" si="556"/>
        <v>0.5</v>
      </c>
      <c r="DK359" s="86">
        <f t="shared" si="557"/>
        <v>0.5</v>
      </c>
      <c r="DL359" s="30" t="e">
        <f t="shared" ca="1" si="588"/>
        <v>#DIV/0!</v>
      </c>
      <c r="DM359" s="85" t="e">
        <f ca="1">IF(CS359&lt;=Hypothèses!$V$7,Hypothèses!$W$7,IF(CS359&lt;=Hypothèses!$V$8,Hypothèses!$W$8,IF(CS359&lt;=Hypothèses!$V$9,Hypothèses!$W$9,IF(CS359&lt;=Hypothèses!$V$10,Hypothèses!$W$10,IF(CS359&lt;=Hypothèses!$V$11,Hypothèses!$W$11,IF(CS359&lt;=Hypothèses!$V$12,Hypothèses!$W$12,IF(CS359&lt;=Hypothèses!$V$13,Hypothèses!$W$13,IF(CS359&lt;=Hypothèses!$V$14,Hypothèses!$W$14,IF(CS359&lt;=Hypothèses!$V$15,Hypothèses!$W$15,IF(CS359&lt;=Hypothèses!$V$16,Hypothèses!$W$16,IF(CS359&lt;=Hypothèses!$V$17,Hypothèses!$W$17,IF(CS359&lt;=Hypothèses!$V$18,Hypothèses!$W$18,""))))))))))))</f>
        <v>#DIV/0!</v>
      </c>
      <c r="DN359" s="87" t="e">
        <f t="shared" ca="1" si="621"/>
        <v>#DIV/0!</v>
      </c>
      <c r="DO359" s="88" t="e">
        <f ca="1">IF(CS359&lt;=Hypothèses!$V$7,Hypothèses!$X$7,IF(CS359&lt;=Hypothèses!$V$8,Hypothèses!$X$8,IF(CS359&lt;=Hypothèses!$V$9,Hypothèses!$X$9,IF(CS359&lt;=Hypothèses!$V$10,Hypothèses!$X$10,IF(CS359&lt;=Hypothèses!$V$11,Hypothèses!$X$11,IF(CS359&lt;=Hypothèses!$V$12,Hypothèses!$X$12,IF(CS359&lt;=Hypothèses!$V$13,Hypothèses!$X$13,IF(CS359&lt;=Hypothèses!$V$14,Hypothèses!$X$14,IF(CS359&lt;=Hypothèses!$V$15,Hypothèses!$X$15,IF(CS359&lt;=Hypothèses!$V$16,Hypothèses!$X$16,IF(CS359&lt;=Hypothèses!$U$17,Hypothèses!$W$17,IF(CS359&lt;=Hypothèses!$U$18,Hypothèses!$W$18,""))))))))))))</f>
        <v>#DIV/0!</v>
      </c>
      <c r="DP359" s="95" t="e">
        <f t="shared" ca="1" si="589"/>
        <v>#DIV/0!</v>
      </c>
      <c r="DQ359" s="101" t="e">
        <f t="shared" si="628"/>
        <v>#N/A</v>
      </c>
      <c r="DR359" s="91" t="e">
        <f t="shared" si="558"/>
        <v>#N/A</v>
      </c>
      <c r="DS359" s="30" t="e">
        <f t="shared" si="610"/>
        <v>#N/A</v>
      </c>
      <c r="DT359" s="30" t="e">
        <f t="shared" si="611"/>
        <v>#N/A</v>
      </c>
      <c r="DU359" s="31" t="e">
        <f>IF(OR(Hypothèses!$B$4=17,Hypothèses!$B$4=18,Hypothèses!$B$4=19,Hypothèses!$B$4=20),
IF($D359="Pressio.",
IF(OR($E359=3,$E359=1,$E359=4),DT359,DS359),
IF($D359="Pénétro.",
IF(OR($E359=3,$E359=1,$E359=4),DT359,DS359))),IF($D359="Pressio.",
IF($E359=3,DT359,DS359),
IF($D359="Pénétro.",
IF($E359=4,DT359,DS359))))</f>
        <v>#N/A</v>
      </c>
      <c r="DV359" s="31" t="e">
        <f>(IF(OR(Hypothèses!$B$4=17,Hypothèses!$B$4=18,Hypothèses!$B$4=19,Hypothèses!$B$4=20),
IF($D359="Pressio.",
IF(OR($E359=3,$E359=1,$E359=4),(PI()*DV$12^2)/4*(DR359*$W359*1000)/($H359*$B$5),(PI()*DV$12^2)/4*(DR359*$W359*1000)/($G359*$B$5)),
IF($D359="Pénétro.",
IF(OR($E359=4,$E359=1,$E359=5),(PI()*DV$12^2)/4*(DR359*$W359*1000)/($H359*$B$5),(PI()*DV$12^2)/4*(DR359*$W359*1000)/($G359*$B$5)))),
IF($D359="Pressio.",
IF($E359=3,(PI()*DV$12^2)/4*(DR359*$W359*1000)/($H359*$B$5),(PI()*DV$12^2)/4*(DR359*$W359*1000)/($G359*$B$5)),
IF($D359="Pénétro.",
IF($E359=4,(PI()*DV$12^2)/4*(DR359*$W359*1000)/($H359*$B$5),(PI()*DV$12^2)/4*(DR359*$W359*1000)/($G359*$B$5))))))/10</f>
        <v>#N/A</v>
      </c>
      <c r="DW359" s="102" t="e">
        <f>(VLOOKUP($B$3,'Coeff EC7'!$T$39:$X$59,2,0)*DU359+VLOOKUP($B$3,'Coeff EC7'!$T$65:$X$85,2,0)*Model0.1C!DV359)/1.1</f>
        <v>#N/A</v>
      </c>
      <c r="DX359" s="102" t="e">
        <f>(VLOOKUP($B$3,'Coeff EC7'!$T$39:$X$59,3,0)*DU359+VLOOKUP($B$3,'Coeff EC7'!$T$65:$X$85,3,0)*Model0.1C!DV359)/0.9</f>
        <v>#N/A</v>
      </c>
      <c r="DY359" s="102" t="e">
        <f t="shared" si="590"/>
        <v>#N/A</v>
      </c>
      <c r="DZ359" s="102" t="e">
        <f t="shared" si="591"/>
        <v>#N/A</v>
      </c>
      <c r="EA359" s="414" t="e">
        <f>IF(EA358=0,0,IF(AND(DW359&gt;charge_ELS_quasi,DX359&gt;Charge_ELS_freq,DY359&gt;charge_ELU,DZ359&gt;charge_ELA,$B359&gt;NDC!$H$22-0.1+MIN(3*$EA$12,1.5)),0,1))</f>
        <v>#N/A</v>
      </c>
      <c r="EB359" s="86" t="b">
        <f t="shared" si="559"/>
        <v>0</v>
      </c>
      <c r="EC359" s="418">
        <f t="shared" si="560"/>
        <v>0.51</v>
      </c>
      <c r="ED359" s="86">
        <f t="shared" si="561"/>
        <v>0.51</v>
      </c>
      <c r="EE359" s="30" t="e">
        <f t="shared" ca="1" si="592"/>
        <v>#DIV/0!</v>
      </c>
      <c r="EF359" s="85" t="e">
        <f ca="1">IF(DL359&lt;=Hypothèses!$V$7,Hypothèses!$W$7,IF(DL359&lt;=Hypothèses!$V$8,Hypothèses!$W$8,IF(DL359&lt;=Hypothèses!$V$9,Hypothèses!$W$9,IF(DL359&lt;=Hypothèses!$V$10,Hypothèses!$W$10,IF(DL359&lt;=Hypothèses!$V$11,Hypothèses!$W$11,IF(DL359&lt;=Hypothèses!$V$12,Hypothèses!$W$12,IF(DL359&lt;=Hypothèses!$V$13,Hypothèses!$W$13,IF(DL359&lt;=Hypothèses!$V$14,Hypothèses!$W$14,IF(DL359&lt;=Hypothèses!$V$15,Hypothèses!$W$15,IF(DL359&lt;=Hypothèses!$V$16,Hypothèses!$W$16,IF(DL359&lt;=Hypothèses!$V$17,Hypothèses!$W$17,IF(DL359&lt;=Hypothèses!$V$18,Hypothèses!$W$18,""))))))))))))</f>
        <v>#DIV/0!</v>
      </c>
      <c r="EG359" s="87" t="e">
        <f t="shared" ca="1" si="622"/>
        <v>#DIV/0!</v>
      </c>
      <c r="EH359" s="88" t="e">
        <f ca="1">IF(DL359&lt;=Hypothèses!$V$7,Hypothèses!$X$7,IF(DL359&lt;=Hypothèses!$V$8,Hypothèses!$X$8,IF(DL359&lt;=Hypothèses!$V$9,Hypothèses!$X$9,IF(DL359&lt;=Hypothèses!$V$10,Hypothèses!$X$10,IF(DL359&lt;=Hypothèses!$V$11,Hypothèses!$X$11,IF(DL359&lt;=Hypothèses!$V$12,Hypothèses!$X$12,IF(DL359&lt;=Hypothèses!$V$13,Hypothèses!$X$13,IF(DL359&lt;=Hypothèses!$V$14,Hypothèses!$X$14,IF(DL359&lt;=Hypothèses!$V$15,Hypothèses!$X$15,IF(DL359&lt;=Hypothèses!$V$16,Hypothèses!$X$16,IF(DL359&lt;=Hypothèses!$U$17,Hypothèses!$W$17,IF(DL359&lt;=Hypothèses!$U$18,Hypothèses!$W$18,""))))))))))))</f>
        <v>#DIV/0!</v>
      </c>
      <c r="EI359" s="95" t="e">
        <f t="shared" ca="1" si="593"/>
        <v>#DIV/0!</v>
      </c>
      <c r="EJ359" s="101" t="e">
        <f t="shared" si="629"/>
        <v>#N/A</v>
      </c>
      <c r="EK359" s="91" t="e">
        <f t="shared" si="562"/>
        <v>#N/A</v>
      </c>
      <c r="EL359" s="30" t="e">
        <f t="shared" si="612"/>
        <v>#N/A</v>
      </c>
      <c r="EM359" s="30" t="e">
        <f t="shared" si="613"/>
        <v>#N/A</v>
      </c>
      <c r="EN359" s="31" t="e">
        <f>IF(OR(Hypothèses!$B$4=17,Hypothèses!$B$4=18,Hypothèses!$B$4=19,Hypothèses!$B$4=20),
IF($D359="Pressio.",
IF(OR($E359=3,$E359=1,$E359=4),EM359,EL359),
IF($D359="Pénétro.",
IF(OR($E359=3,$E359=1,$E359=4),EM359,EL359))),IF($D359="Pressio.",
IF($E359=3,EM359,EL359),
IF($D359="Pénétro.",
IF($E359=4,EM359,EL359))))</f>
        <v>#N/A</v>
      </c>
      <c r="EO359" s="31" t="e">
        <f>(IF(OR(Hypothèses!$B$4=17,Hypothèses!$B$4=18,Hypothèses!$B$4=19,Hypothèses!$B$4=20),
IF($D359="Pressio.",
IF(OR($E359=3,$E359=1,$E359=4),(PI()*EO$12^2)/4*(EK359*$W359*1000)/($H359*$B$5),(PI()*EO$12^2)/4*(EK359*$W359*1000)/($G359*$B$5)),
IF($D359="Pénétro.",
IF(OR($E359=4,$E359=1,$E359=5),(PI()*EO$12^2)/4*(EK359*$W359*1000)/($H359*$B$5),(PI()*EO$12^2)/4*(EK359*$W359*1000)/($G359*$B$5)))),
IF($D359="Pressio.",
IF($E359=3,(PI()*EO$12^2)/4*(EK359*$W359*1000)/($H359*$B$5),(PI()*EO$12^2)/4*(EK359*$W359*1000)/($G359*$B$5)),
IF($D359="Pénétro.",
IF($E359=4,(PI()*EO$12^2)/4*(EK359*$W359*1000)/($H359*$B$5),(PI()*EO$12^2)/4*(EK359*$W359*1000)/($G359*$B$5))))))/10</f>
        <v>#N/A</v>
      </c>
      <c r="EP359" s="102" t="e">
        <f>(VLOOKUP($B$3,'Coeff EC7'!$T$39:$X$59,2,0)*EN359+VLOOKUP($B$3,'Coeff EC7'!$T$65:$X$85,2,0)*Model0.1C!EO359)/1.1</f>
        <v>#N/A</v>
      </c>
      <c r="EQ359" s="102" t="e">
        <f>(VLOOKUP($B$3,'Coeff EC7'!$T$39:$X$59,3,0)*EN359+VLOOKUP($B$3,'Coeff EC7'!$T$65:$X$85,3,0)*Model0.1C!EO359)/0.9</f>
        <v>#N/A</v>
      </c>
      <c r="ER359" s="102" t="e">
        <f t="shared" si="594"/>
        <v>#N/A</v>
      </c>
      <c r="ES359" s="102" t="e">
        <f t="shared" si="595"/>
        <v>#N/A</v>
      </c>
      <c r="ET359" s="414" t="e">
        <f>IF(ET358=0,0,IF(AND(EP359&gt;charge_ELS_quasi,EQ359&gt;Charge_ELS_freq,ER359&gt;charge_ELU,ES359&gt;charge_ELA,$B359&gt;NDC!$H$22-0.1+MIN(3*$ET$12,1.5)),0,1))</f>
        <v>#N/A</v>
      </c>
      <c r="EU359" s="86" t="b">
        <f t="shared" si="563"/>
        <v>0</v>
      </c>
      <c r="EV359" s="86">
        <f t="shared" si="564"/>
        <v>0.61</v>
      </c>
      <c r="EW359" s="86">
        <f t="shared" si="565"/>
        <v>0.61</v>
      </c>
      <c r="EX359" s="30" t="e">
        <f t="shared" ca="1" si="596"/>
        <v>#DIV/0!</v>
      </c>
      <c r="EY359" s="85" t="e">
        <f ca="1">IF(EE359&lt;=Hypothèses!$V$7,Hypothèses!$W$7,IF(EE359&lt;=Hypothèses!$V$8,Hypothèses!$W$8,IF(EE359&lt;=Hypothèses!$V$9,Hypothèses!$W$9,IF(EE359&lt;=Hypothèses!$V$10,Hypothèses!$W$10,IF(EE359&lt;=Hypothèses!$V$11,Hypothèses!$W$11,IF(EE359&lt;=Hypothèses!$V$12,Hypothèses!$W$12,IF(EE359&lt;=Hypothèses!$V$13,Hypothèses!$W$13,IF(EE359&lt;=Hypothèses!$V$14,Hypothèses!$W$14,IF(EE359&lt;=Hypothèses!$V$15,Hypothèses!$W$15,IF(EE359&lt;=Hypothèses!$V$16,Hypothèses!$W$16,IF(EE359&lt;=Hypothèses!$V$17,Hypothèses!$W$17,IF(EE359&lt;=Hypothèses!$V$18,Hypothèses!$W$18,""))))))))))))</f>
        <v>#DIV/0!</v>
      </c>
      <c r="EZ359" s="87" t="e">
        <f t="shared" ca="1" si="623"/>
        <v>#DIV/0!</v>
      </c>
      <c r="FA359" s="88" t="e">
        <f ca="1">IF(EE359&lt;=Hypothèses!$V$7,Hypothèses!$X$7,IF(EE359&lt;=Hypothèses!$V$8,Hypothèses!$X$8,IF(EE359&lt;=Hypothèses!$V$9,Hypothèses!$X$9,IF(EE359&lt;=Hypothèses!$V$10,Hypothèses!$X$10,IF(EE359&lt;=Hypothèses!$V$11,Hypothèses!$X$11,IF(EE359&lt;=Hypothèses!$V$12,Hypothèses!$X$12,IF(EE359&lt;=Hypothèses!$V$13,Hypothèses!$X$13,IF(EE359&lt;=Hypothèses!$V$14,Hypothèses!$X$14,IF(EE359&lt;=Hypothèses!$V$15,Hypothèses!$X$15,IF(EE359&lt;=Hypothèses!$V$16,Hypothèses!$X$16,IF(EE359&lt;=Hypothèses!$U$17,Hypothèses!$W$17,IF(EE359&lt;=Hypothèses!$U$18,Hypothèses!$W$18,""))))))))))))</f>
        <v>#DIV/0!</v>
      </c>
      <c r="FB359" s="95" t="e">
        <f t="shared" ca="1" si="597"/>
        <v>#DIV/0!</v>
      </c>
      <c r="FC359" s="101" t="e">
        <f t="shared" si="630"/>
        <v>#N/A</v>
      </c>
      <c r="FD359" s="91" t="e">
        <f t="shared" si="566"/>
        <v>#N/A</v>
      </c>
      <c r="FE359" s="30" t="e">
        <f t="shared" si="614"/>
        <v>#N/A</v>
      </c>
      <c r="FF359" s="30" t="e">
        <f t="shared" si="615"/>
        <v>#N/A</v>
      </c>
      <c r="FG359" s="31" t="e">
        <f>IF(OR(Hypothèses!$B$4=17,Hypothèses!$B$4=18,Hypothèses!$B$4=19,Hypothèses!$B$4=20),
IF($D359="Pressio.",
IF(OR($E359=3,$E359=1,$E359=4),FF359,FE359),
IF($D359="Pénétro.",
IF(OR($E359=3,$E359=1,$E359=4),FF359,FE359))),IF($D359="Pressio.",
IF($E359=3,FF359,FE359),
IF($D359="Pénétro.",
IF($E359=4,FF359,FE359))))</f>
        <v>#N/A</v>
      </c>
      <c r="FH359" s="31" t="e">
        <f>(IF(OR(Hypothèses!$B$4=17,Hypothèses!$B$4=18,Hypothèses!$B$4=19,Hypothèses!$B$4=20),
IF($D359="Pressio.",
IF(OR($E359=3,$E359=1,$E359=4),(PI()*FH$12^2)/4*(FD359*$W359*1000)/($H359*$B$5),(PI()*FH$12^2)/4*(FD359*$W359*1000)/($G359*$B$5)),
IF($D359="Pénétro.",
IF(OR($E359=4,$E359=1,$E359=5),(PI()*FH$12^2)/4*(FD359*$W359*1000)/($H359*$B$5),(PI()*FH$12^2)/4*(FD359*$W359*1000)/($G359*$B$5)))),
IF($D359="Pressio.",
IF($E359=3,(PI()*FH$12^2)/4*(FD359*$W359*1000)/($H359*$B$5),(PI()*FH$12^2)/4*(FD359*$W359*1000)/($G359*$B$5)),
IF($D359="Pénétro.",
IF($E359=4,(PI()*FH$12^2)/4*(FD359*$W359*1000)/($H359*$B$5),(PI()*FH$12^2)/4*(FD359*$W359*1000)/($G359*$B$5))))))/10</f>
        <v>#N/A</v>
      </c>
      <c r="FI359" s="102" t="e">
        <f>(VLOOKUP($B$3,'Coeff EC7'!$T$39:$X$59,2,0)*FG359+VLOOKUP($B$3,'Coeff EC7'!$T$65:$X$85,2,0)*Model0.1C!FH359)/1.1</f>
        <v>#N/A</v>
      </c>
      <c r="FJ359" s="102" t="e">
        <f>(VLOOKUP($B$3,'Coeff EC7'!$T$39:$X$59,3,0)*FG359+VLOOKUP($B$3,'Coeff EC7'!$T$65:$X$85,3,0)*Model0.1C!FH359)/0.9</f>
        <v>#N/A</v>
      </c>
      <c r="FK359" s="102" t="e">
        <f t="shared" si="598"/>
        <v>#N/A</v>
      </c>
      <c r="FL359" s="102" t="e">
        <f t="shared" si="599"/>
        <v>#N/A</v>
      </c>
      <c r="FM359" s="414" t="e">
        <f>IF(FM358=0,0,IF(AND(FI359&gt;charge_ELS_quasi,FJ359&gt;Charge_ELS_freq,FK359&gt;charge_ELU,FL359&gt;charge_ELA,$B359&gt;NDC!$H$22-0.1+MIN(3*$FM$12,1.5)),0,1))</f>
        <v>#N/A</v>
      </c>
    </row>
    <row r="360" spans="1:169">
      <c r="A360" s="96">
        <f t="shared" si="567"/>
        <v>65.300000000001972</v>
      </c>
      <c r="B360" s="97">
        <v>34.700000000000003</v>
      </c>
      <c r="C360" s="81">
        <f>IF(B360&lt;=Hypothèses!$C$7,Hypothèses!$A$7,IF(B360&lt;=Hypothèses!$C$8,Hypothèses!$A$8,IF(B360&lt;=Hypothèses!$C$9,Hypothèses!$A$9,IF(B360&lt;=Hypothèses!$C$10,Hypothèses!$A$10,IF(B360&lt;=Hypothèses!$C$11,Hypothèses!$A$11,IF(B360&lt;=Hypothèses!$C$12,Hypothèses!$A$12,IF(B360&lt;=Hypothèses!$C$13,Hypothèses!$A$13,IF(B360&lt;=Hypothèses!$C$14,Hypothèses!$A$14,IF(B360&lt;=Hypothèses!$C$15,Hypothèses!$A$15,IF(B360&lt;=Hypothèses!$C$16,Hypothèses!$A$16,IF(B360&lt;=Hypothèses!$C$17,Hypothèses!$A$17,IF(B360&lt;=Hypothèses!$C$18,Hypothèses!$A$18,C359))))))))))))</f>
        <v>11</v>
      </c>
      <c r="D360" s="82" t="str">
        <f>IF(B360&lt;=Hypothèses!$C$7,Hypothèses!$R$7,IF(B360&lt;=Hypothèses!$C$8,Hypothèses!$R$8,IF(B360&lt;=Hypothèses!$C$9,Hypothèses!$R$9,IF(B360&lt;=Hypothèses!$C$10,Hypothèses!$R$10,IF(B360&lt;=Hypothèses!$C$11,Hypothèses!$R$11,IF(B360&lt;=Hypothèses!$C$12,Hypothèses!$R$12,IF(B360&lt;=Hypothèses!$C$13,Hypothèses!$R$13,IF(B360&lt;=Hypothèses!$C$14,Hypothèses!$R$14,IF(B360&lt;=Hypothèses!$C$15,Hypothèses!$R$15,IF(B360&lt;=Hypothèses!$C$16,Hypothèses!$R$16,IF(B360&lt;=Hypothèses!$C$17,Hypothèses!$R$17,IF(B360&lt;=Hypothèses!$C$18,Hypothèses!$R$18,D359))))))))))))</f>
        <v>Pressio.</v>
      </c>
      <c r="E360" s="82" t="e">
        <f>IF(B360&lt;=Hypothèses!$C$7,Hypothèses!$G$7,IF(B360&lt;=Hypothèses!$C$8,Hypothèses!$G$8,IF(B360&lt;=Hypothèses!$C$9,Hypothèses!$G$9,IF(B360&lt;=Hypothèses!$C$10,Hypothèses!$G$10,IF(B360&lt;=Hypothèses!$C$11,Hypothèses!$G$11,IF(B360&lt;=Hypothèses!$C$12,Hypothèses!$G$12,IF(B360&lt;=Hypothèses!$C$13,Hypothèses!$G$13,IF(B360&lt;=Hypothèses!$C$14,Hypothèses!$G$14,IF(B360&lt;=Hypothèses!$C$15,Hypothèses!$G$15,IF(B360&lt;=Hypothèses!$C$16,Hypothèses!$G$16,IF(B360&lt;=Hypothèses!$C$17,Hypothèses!$G$17,IF(B360&lt;=Hypothèses!$C$18,Hypothèses!$G$18,E359))))))))))))</f>
        <v>#N/A</v>
      </c>
      <c r="F360" s="82" t="str">
        <f>IF(B360&lt;=Hypothèses!$C$7,Hypothèses!$F$7,IF(B360&lt;=Hypothèses!$C$8,Hypothèses!$F$8,IF(B360&lt;=Hypothèses!$C$9,Hypothèses!$F$9,IF(B360&lt;=Hypothèses!$C$10,Hypothèses!$F$10,IF(B360&lt;=Hypothèses!$C$11,Hypothèses!$F$11,IF(B360&lt;=Hypothèses!$C$12,Hypothèses!$F$12,IF(B360&lt;=Hypothèses!$C$13,Hypothèses!$F$13,IF(B360&lt;=Hypothèses!$C$14,Hypothèses!$F$14,IF(B360&lt;=Hypothèses!$C$15,Hypothèses!$F$15,IF(B360&lt;=Hypothèses!$C$16,Hypothèses!$F$16,IF(B360&lt;=Hypothèses!$C$17,Hypothèses!$F$17,IF(B360&lt;=Hypothèses!$C$18,Hypothèses!$F$18,F359))))))))))))</f>
        <v/>
      </c>
      <c r="G360" s="91">
        <f t="array" ref="G360">INDEX('Coeff EC7'!$U$7:$X$27,
MATCH(Model0.1C!$B$3,'Coeff EC7'!$T$7:$T$27,0),
MATCH(Model0.1C!$D360&amp;Model0.1C!$B$4,
'Coeff EC7'!$U$6:$X$6&amp;
'Coeff EC7'!$U$5:$X$5,0))</f>
        <v>1.1499999999999999</v>
      </c>
      <c r="H360" s="91">
        <f t="array" ref="H360">INDEX('Coeff EC7'!$Y$7:$AB$27,
MATCH(Model0.1C!$B$3,'Coeff EC7'!$T$7:$T$27,0),
MATCH(Model0.1C!$D360&amp;Model0.1C!$B$4,
'Coeff EC7'!$Y$6:$AB$6&amp;
'Coeff EC7'!$Y$5:$AB$5,0))</f>
        <v>1.4</v>
      </c>
      <c r="I360" s="83" t="e">
        <f>IF(B360&lt;=Hypothèses!$C$7,Hypothèses!$P$7,IF(B360&lt;=Hypothèses!$C$8,Hypothèses!$P$8,IF(B360&lt;=Hypothèses!$C$9,Hypothèses!$P$9,IF(B360&lt;=Hypothèses!$C$10,Hypothèses!$P$10,IF(B360&lt;=Hypothèses!$C$11,Hypothèses!$P$11,IF(B360&lt;=Hypothèses!$C$12,Hypothèses!$P$12,IF(B360&lt;=Hypothèses!$C$13,Hypothèses!$P$13,IF(B360&lt;=Hypothèses!$C$14,Hypothèses!$P$14,IF(B360&lt;=Hypothèses!$C$15,Hypothèses!$P$15,IF(B360&lt;=Hypothèses!$C$16,Hypothèses!$P$16,IF(B360&lt;=Hypothèses!$C$17,Hypothèses!$P$17,IF(B360&lt;=Hypothèses!$C$18,Hypothèses!$P$18,I359))))))))))))</f>
        <v>#N/A</v>
      </c>
      <c r="J360" s="91" t="e">
        <f t="array" ref="J360">INDEX('Coeff EC7'!$D$33:$Q$33,1,MATCH(D360&amp;E360,'Coeff EC7'!$D$31:$Q$31&amp;'Coeff EC7'!$D$32:$Q$32,0))</f>
        <v>#N/A</v>
      </c>
      <c r="K360" s="91" t="e">
        <f t="array" ref="K360">INDEX('Coeff EC7'!$D$34:$Q$34,1,MATCH(D360&amp;E360,'Coeff EC7'!$D$31:$Q$31&amp;'Coeff EC7'!$D$32:$Q$32,0))</f>
        <v>#N/A</v>
      </c>
      <c r="L360" s="91" t="e">
        <f t="array" ref="L360">INDEX('Coeff EC7'!$D$35:$Q$35,1,MATCH(D360&amp;E360,'Coeff EC7'!$D$31:$Q$31&amp;'Coeff EC7'!$D$32:$Q$32,0))</f>
        <v>#N/A</v>
      </c>
      <c r="M360" s="98" t="e">
        <f t="shared" si="531"/>
        <v>#N/A</v>
      </c>
      <c r="N360" s="99" t="e">
        <f t="array" ref="N360">INDEX('Coeff EC7'!$D$7:$Q$27,MATCH($B$3,'Coeff EC7'!$C$7:$C$27,0),MATCH(D360&amp;E360,'Coeff EC7'!$D$5:$Q$5&amp;'Coeff EC7'!$D$6:$Q$6,0))</f>
        <v>#N/A</v>
      </c>
      <c r="O360" s="99" t="e">
        <f t="array" ref="O360">INDEX('Coeff EC7'!$D$41:$Q$61,MATCH($B$3,'Coeff EC7'!$C$41:$C$61,0),MATCH(D360&amp;E360,'Coeff EC7'!$D$39:$Q$39&amp;'Coeff EC7'!$D$40:$Q$40,0))</f>
        <v>#N/A</v>
      </c>
      <c r="P360" s="30" t="e">
        <f t="shared" si="568"/>
        <v>#N/A</v>
      </c>
      <c r="Q360" s="100" t="e">
        <f t="shared" si="533"/>
        <v>#N/A</v>
      </c>
      <c r="R360" s="86" t="b">
        <f t="shared" si="534"/>
        <v>0</v>
      </c>
      <c r="S360" s="86">
        <f t="shared" si="532"/>
        <v>0.5</v>
      </c>
      <c r="T360" s="86">
        <f t="shared" si="535"/>
        <v>0.5</v>
      </c>
      <c r="U360" s="30" t="e">
        <f t="shared" ca="1" si="569"/>
        <v>#DIV/0!</v>
      </c>
      <c r="V360" s="85" t="str">
        <f>IF(B360&lt;=Hypothèses!$V$7,Hypothèses!$W$7,IF(B360&lt;=Hypothèses!$V$8,Hypothèses!$W$8,IF(B360&lt;=Hypothèses!$V$9,Hypothèses!$W$9,IF(B360&lt;=Hypothèses!$V$10,Hypothèses!$W$10,IF(B360&lt;=Hypothèses!$V$11,Hypothèses!$W$11,IF(B360&lt;=Hypothèses!$V$12,Hypothèses!$W$12,IF(B360&lt;=Hypothèses!$V$13,Hypothèses!$W$13,IF(B360&lt;=Hypothèses!$V$14,Hypothèses!$W$14,IF(B360&lt;=Hypothèses!$V$15,Hypothèses!$W$15,IF(B360&lt;=Hypothèses!$V$16,Hypothèses!$W$16,IF(B360&lt;=Hypothèses!$V$17,Hypothèses!$W$17,IF(B360&lt;=Hypothèses!$V$18,Hypothèses!$W$18,""))))))))))))</f>
        <v/>
      </c>
      <c r="W360" s="87" t="e">
        <f t="shared" ca="1" si="616"/>
        <v>#DIV/0!</v>
      </c>
      <c r="X360" s="88" t="str">
        <f>IF(B360&lt;=Hypothèses!$V$7,Hypothèses!$X$7,IF(B360&lt;=Hypothèses!$V$8,Hypothèses!$X$8,IF(B360&lt;=Hypothèses!$V$9,Hypothèses!$X$9,IF(B360&lt;=Hypothèses!$V$10,Hypothèses!$X$10,IF(B360&lt;=Hypothèses!$V$11,Hypothèses!$X$11,IF(B360&lt;=Hypothèses!$V$12,Hypothèses!$X$12,IF(B360&lt;=Hypothèses!$V$13,Hypothèses!$X$13,IF(B360&lt;=Hypothèses!$V$14,Hypothèses!$X$14,IF(B360&lt;=Hypothèses!$V$15,Hypothèses!$X$15,IF(B360&lt;=Hypothèses!$V$16,Hypothèses!$X$16,IF(B360&lt;=Hypothèses!$U$17,Hypothèses!$W$17,IF(B360&lt;=Hypothèses!$U$18,Hypothèses!$W$18,""))))))))))))</f>
        <v/>
      </c>
      <c r="Y360" s="95" t="e">
        <f t="shared" ca="1" si="536"/>
        <v>#DIV/0!</v>
      </c>
      <c r="Z360" s="101" t="e">
        <f t="shared" si="537"/>
        <v>#N/A</v>
      </c>
      <c r="AA360" s="91" t="e">
        <f t="shared" si="538"/>
        <v>#N/A</v>
      </c>
      <c r="AB360" s="30" t="e">
        <f t="shared" si="600"/>
        <v>#N/A</v>
      </c>
      <c r="AC360" s="30" t="e">
        <f t="shared" si="601"/>
        <v>#N/A</v>
      </c>
      <c r="AD360" s="31" t="e">
        <f>IF(OR(Hypothèses!$B$4=17,Hypothèses!$B$4=18,Hypothèses!$B$4=19,Hypothèses!$B$4=20),
IF($D360="Pressio.",
IF(OR($E360=3,$E360=1,$E360=4),AC360,AB360),
IF($D360="Pénétro.",
IF(OR($E360=3,$E360=1,$E360=4),AC360,AB360))),IF($D360="Pressio.",
IF($E360=3,AC360,AB360),
IF($D360="Pénétro.",
IF($E360=4,AC360,AB360))))</f>
        <v>#N/A</v>
      </c>
      <c r="AE360" s="31" t="e">
        <f>(IF(OR(Hypothèses!$B$4=17,Hypothèses!$B$4=18,Hypothèses!$B$4=19,Hypothèses!$B$4=20),
IF($D360="Pressio.",
IF(OR($E360=3,$E360=1,$E360=4),(PI()*AE$12^2)/4*(AA360*$W360*1000)/($H360*$B$5),(PI()*AE$12^2)/4*(AA360*$W360*1000)/($G360*$B$5)),
IF($D360="Pénétro.",
IF(OR($E360=4,$E360=1,$E360=5),(PI()*AE$12^2)/4*(AA360*$W360*1000)/($H360*$B$5),(PI()*AE$12^2)/4*(AA360*$W360*1000)/($G360*$B$5)))),
IF($D360="Pressio.",
IF($E360=3,(PI()*AE$12^2)/4*(AA360*$W360*1000)/($H360*$B$5),(PI()*AE$12^2)/4*(AA360*$W360*1000)/($G360*$B$5)),
IF($D360="Pénétro.",
IF($E360=4,(PI()*AE$12^2)/4*(AA360*$W360*1000)/($H360*$B$5),(PI()*AE$12^2)/4*(AA360*$W360*1000)/($G360*$B$5))))))/10</f>
        <v>#N/A</v>
      </c>
      <c r="AF360" s="102" t="e">
        <f>(VLOOKUP($B$3,'Coeff EC7'!$T$39:$X$59,2,0)*AD360+VLOOKUP($B$3,'Coeff EC7'!$T$65:$X$85,2,0)*Model0.1C!AE360)/1.1</f>
        <v>#N/A</v>
      </c>
      <c r="AG360" s="102" t="e">
        <f>(VLOOKUP($B$3,'Coeff EC7'!$T$39:$X$59,3,0)*AD360+VLOOKUP($B$3,'Coeff EC7'!$T$65:$X$85,3,0)*Model0.1C!AE360)/0.9</f>
        <v>#N/A</v>
      </c>
      <c r="AH360" s="102" t="e">
        <f t="shared" si="539"/>
        <v>#N/A</v>
      </c>
      <c r="AI360" s="102" t="e">
        <f t="shared" si="540"/>
        <v>#N/A</v>
      </c>
      <c r="AJ360" s="414" t="e">
        <f>IF(AJ359=0,0,IF(AND(AF360&gt;charge_ELS_quasi,AG360&gt;Charge_ELS_freq,AH360&gt;charge_ELU,AI360&gt;charge_ELA,$B360&gt;NDC!$H$22-0.1+MIN(3*$AJ$12,1.5)),0,1))</f>
        <v>#N/A</v>
      </c>
      <c r="AK360" s="86" t="b">
        <f t="shared" si="541"/>
        <v>0</v>
      </c>
      <c r="AL360" s="86">
        <f t="shared" si="570"/>
        <v>0.5</v>
      </c>
      <c r="AM360" s="86">
        <f t="shared" si="542"/>
        <v>0.5</v>
      </c>
      <c r="AN360" s="30" t="e">
        <f t="shared" ca="1" si="571"/>
        <v>#DIV/0!</v>
      </c>
      <c r="AO360" s="85" t="e">
        <f ca="1">IF(U360&lt;=Hypothèses!$V$7,Hypothèses!$W$7,IF(U360&lt;=Hypothèses!$V$8,Hypothèses!$W$8,IF(U360&lt;=Hypothèses!$V$9,Hypothèses!$W$9,IF(U360&lt;=Hypothèses!$V$10,Hypothèses!$W$10,IF(U360&lt;=Hypothèses!$V$11,Hypothèses!$W$11,IF(U360&lt;=Hypothèses!$V$12,Hypothèses!$W$12,IF(U360&lt;=Hypothèses!$V$13,Hypothèses!$W$13,IF(U360&lt;=Hypothèses!$V$14,Hypothèses!$W$14,IF(U360&lt;=Hypothèses!$V$15,Hypothèses!$W$15,IF(U360&lt;=Hypothèses!$V$16,Hypothèses!$W$16,IF(U360&lt;=Hypothèses!$V$17,Hypothèses!$W$17,IF(U360&lt;=Hypothèses!$V$18,Hypothèses!$W$18,""))))))))))))</f>
        <v>#DIV/0!</v>
      </c>
      <c r="AP360" s="87" t="e">
        <f t="shared" ca="1" si="617"/>
        <v>#DIV/0!</v>
      </c>
      <c r="AQ360" s="88" t="e">
        <f ca="1">IF(U360&lt;=Hypothèses!$V$7,Hypothèses!$X$7,IF(U360&lt;=Hypothèses!$V$8,Hypothèses!$X$8,IF(U360&lt;=Hypothèses!$V$9,Hypothèses!$X$9,IF(U360&lt;=Hypothèses!$V$10,Hypothèses!$X$10,IF(U360&lt;=Hypothèses!$V$11,Hypothèses!$X$11,IF(U360&lt;=Hypothèses!$V$12,Hypothèses!$X$12,IF(U360&lt;=Hypothèses!$V$13,Hypothèses!$X$13,IF(U360&lt;=Hypothèses!$V$14,Hypothèses!$X$14,IF(U360&lt;=Hypothèses!$V$15,Hypothèses!$X$15,IF(U360&lt;=Hypothèses!$V$16,Hypothèses!$X$16,IF(U360&lt;=Hypothèses!$U$17,Hypothèses!$W$17,IF(U360&lt;=Hypothèses!$U$18,Hypothèses!$W$18,""))))))))))))</f>
        <v>#DIV/0!</v>
      </c>
      <c r="AR360" s="95" t="e">
        <f t="shared" ca="1" si="572"/>
        <v>#DIV/0!</v>
      </c>
      <c r="AS360" s="101" t="e">
        <f t="shared" si="624"/>
        <v>#N/A</v>
      </c>
      <c r="AT360" s="91" t="e">
        <f t="shared" si="543"/>
        <v>#N/A</v>
      </c>
      <c r="AU360" s="30" t="e">
        <f t="shared" si="602"/>
        <v>#N/A</v>
      </c>
      <c r="AV360" s="30" t="e">
        <f t="shared" si="603"/>
        <v>#N/A</v>
      </c>
      <c r="AW360" s="31" t="e">
        <f>IF(OR(Hypothèses!$B$4=17,Hypothèses!$B$4=18,Hypothèses!$B$4=19,Hypothèses!$B$4=20),
IF($D360="Pressio.",
IF(OR($E360=3,$E360=1,$E360=4),AV360,AU360),
IF($D360="Pénétro.",
IF(OR($E360=3,$E360=1,$E360=4),AV360,AU360))),IF($D360="Pressio.",
IF($E360=3,AV360,AU360),
IF($D360="Pénétro.",
IF($E360=4,AV360,AU360))))</f>
        <v>#N/A</v>
      </c>
      <c r="AX360" s="31" t="e">
        <f>(IF(OR(Hypothèses!$B$4=17,Hypothèses!$B$4=18,Hypothèses!$B$4=19,Hypothèses!$B$4=20),
IF($D360="Pressio.",
IF(OR($E360=3,$E360=1,$E360=4),(PI()*AX$12^2)/4*(AT360*$W360*1000)/($H360*$B$5),(PI()*AX$12^2)/4*(AT360*$W360*1000)/($G360*$B$5)),
IF($D360="Pénétro.",
IF(OR($E360=4,$E360=1,$E360=5),(PI()*AX$12^2)/4*(AT360*$W360*1000)/($H360*$B$5),(PI()*AX$12^2)/4*(AT360*$W360*1000)/($G360*$B$5)))),
IF($D360="Pressio.",
IF($E360=3,(PI()*AX$12^2)/4*(AT360*$W360*1000)/($H360*$B$5),(PI()*AX$12^2)/4*(AT360*$W360*1000)/($G360*$B$5)),
IF($D360="Pénétro.",
IF($E360=4,(PI()*AX$12^2)/4*(AT360*$W360*1000)/($H360*$B$5),(PI()*AX$12^2)/4*(AT360*$W360*1000)/($G360*$B$5))))))/10</f>
        <v>#N/A</v>
      </c>
      <c r="AY360" s="102" t="e">
        <f>(VLOOKUP($B$3,'Coeff EC7'!$T$39:$X$59,2,0)*AW360+VLOOKUP($B$3,'Coeff EC7'!$T$65:$X$85,2,0)*Model0.1C!AX360)/1.1</f>
        <v>#N/A</v>
      </c>
      <c r="AZ360" s="102" t="e">
        <f>(VLOOKUP($B$3,'Coeff EC7'!$T$39:$X$59,3,0)*AW360+VLOOKUP($B$3,'Coeff EC7'!$T$65:$X$85,3,0)*Model0.1C!AX360)/0.9</f>
        <v>#N/A</v>
      </c>
      <c r="BA360" s="102" t="e">
        <f t="shared" si="573"/>
        <v>#N/A</v>
      </c>
      <c r="BB360" s="102" t="e">
        <f t="shared" si="574"/>
        <v>#N/A</v>
      </c>
      <c r="BC360" s="414" t="e">
        <f>IF(BC359=0,0,IF(AND(AY360&gt;charge_ELS_quasi,AZ360&gt;Charge_ELS_freq,BA360&gt;charge_ELU,BB360&gt;charge_ELA,$B360&gt;NDC!$H$22-0.1+MIN(3*$BC$12,1.5)),0,1))</f>
        <v>#N/A</v>
      </c>
      <c r="BD360" s="86" t="b">
        <f t="shared" si="544"/>
        <v>0</v>
      </c>
      <c r="BE360" s="86">
        <f t="shared" si="575"/>
        <v>0.5</v>
      </c>
      <c r="BF360" s="86">
        <f t="shared" si="545"/>
        <v>0.5</v>
      </c>
      <c r="BG360" s="30" t="e">
        <f t="shared" ca="1" si="576"/>
        <v>#DIV/0!</v>
      </c>
      <c r="BH360" s="85" t="e">
        <f ca="1">IF(AN360&lt;=Hypothèses!$V$7,Hypothèses!$W$7,IF(AN360&lt;=Hypothèses!$V$8,Hypothèses!$W$8,IF(AN360&lt;=Hypothèses!$V$9,Hypothèses!$W$9,IF(AN360&lt;=Hypothèses!$V$10,Hypothèses!$W$10,IF(AN360&lt;=Hypothèses!$V$11,Hypothèses!$W$11,IF(AN360&lt;=Hypothèses!$V$12,Hypothèses!$W$12,IF(AN360&lt;=Hypothèses!$V$13,Hypothèses!$W$13,IF(AN360&lt;=Hypothèses!$V$14,Hypothèses!$W$14,IF(AN360&lt;=Hypothèses!$V$15,Hypothèses!$W$15,IF(AN360&lt;=Hypothèses!$V$16,Hypothèses!$W$16,IF(AN360&lt;=Hypothèses!$V$17,Hypothèses!$W$17,IF(AN360&lt;=Hypothèses!$V$18,Hypothèses!$W$18,""))))))))))))</f>
        <v>#DIV/0!</v>
      </c>
      <c r="BI360" s="87" t="e">
        <f t="shared" ca="1" si="618"/>
        <v>#DIV/0!</v>
      </c>
      <c r="BJ360" s="88" t="e">
        <f ca="1">IF(AN360&lt;=Hypothèses!$V$7,Hypothèses!$X$7,IF(AN360&lt;=Hypothèses!$V$8,Hypothèses!$X$8,IF(AN360&lt;=Hypothèses!$V$9,Hypothèses!$X$9,IF(AN360&lt;=Hypothèses!$V$10,Hypothèses!$X$10,IF(AN360&lt;=Hypothèses!$V$11,Hypothèses!$X$11,IF(AN360&lt;=Hypothèses!$V$12,Hypothèses!$X$12,IF(AN360&lt;=Hypothèses!$V$13,Hypothèses!$X$13,IF(AN360&lt;=Hypothèses!$V$14,Hypothèses!$X$14,IF(AN360&lt;=Hypothèses!$V$15,Hypothèses!$X$15,IF(AN360&lt;=Hypothèses!$V$16,Hypothèses!$X$16,IF(AN360&lt;=Hypothèses!$U$17,Hypothèses!$W$17,IF(AN360&lt;=Hypothèses!$U$18,Hypothèses!$W$18,""))))))))))))</f>
        <v>#DIV/0!</v>
      </c>
      <c r="BK360" s="95" t="e">
        <f t="shared" ca="1" si="577"/>
        <v>#DIV/0!</v>
      </c>
      <c r="BL360" s="101" t="e">
        <f t="shared" si="625"/>
        <v>#N/A</v>
      </c>
      <c r="BM360" s="91" t="e">
        <f t="shared" si="546"/>
        <v>#N/A</v>
      </c>
      <c r="BN360" s="30" t="e">
        <f t="shared" si="604"/>
        <v>#N/A</v>
      </c>
      <c r="BO360" s="30" t="e">
        <f t="shared" si="605"/>
        <v>#N/A</v>
      </c>
      <c r="BP360" s="31" t="e">
        <f>IF(OR(Hypothèses!$B$4=17,Hypothèses!$B$4=18,Hypothèses!$B$4=19,Hypothèses!$B$4=20),
IF($D360="Pressio.",
IF(OR($E360=3,$E360=1,$E360=4),BO360,BN360),
IF($D360="Pénétro.",
IF(OR($E360=3,$E360=1,$E360=4),BO360,BN360))),IF($D360="Pressio.",
IF($E360=3,BO360,BN360),
IF($D360="Pénétro.",
IF($E360=4,BO360,BN360))))</f>
        <v>#N/A</v>
      </c>
      <c r="BQ360" s="31" t="e">
        <f>(IF(OR(Hypothèses!$B$4=17,Hypothèses!$B$4=18,Hypothèses!$B$4=19,Hypothèses!$B$4=20),
IF($D360="Pressio.",
IF(OR($E360=3,$E360=1,$E360=4),(PI()*BQ$12^2)/4*(BM360*$W360*1000)/($H360*$B$5),(PI()*BQ$12^2)/4*(BM360*$W360*1000)/($G360*$B$5)),
IF($D360="Pénétro.",
IF(OR($E360=4,$E360=1,$E360=5),(PI()*BQ$12^2)/4*(BM360*$W360*1000)/($H360*$B$5),(PI()*BQ$12^2)/4*(BM360*$W360*1000)/($G360*$B$5)))),
IF($D360="Pressio.",
IF($E360=3,(PI()*BQ$12^2)/4*(BM360*$W360*1000)/($H360*$B$5),(PI()*BQ$12^2)/4*(BM360*$W360*1000)/($G360*$B$5)),
IF($D360="Pénétro.",
IF($E360=4,(PI()*BQ$12^2)/4*(BM360*$W360*1000)/($H360*$B$5),(PI()*BQ$12^2)/4*(BM360*$W360*1000)/($G360*$B$5))))))/10</f>
        <v>#N/A</v>
      </c>
      <c r="BR360" s="102" t="e">
        <f>(VLOOKUP($B$3,'Coeff EC7'!$T$39:$X$59,2,0)*BP360+VLOOKUP($B$3,'Coeff EC7'!$T$65:$X$85,2,0)*Model0.1C!BQ360)/1.1</f>
        <v>#N/A</v>
      </c>
      <c r="BS360" s="102" t="e">
        <f>(VLOOKUP($B$3,'Coeff EC7'!$T$39:$X$59,3,0)*BP360+VLOOKUP($B$3,'Coeff EC7'!$T$65:$X$85,3,0)*Model0.1C!BQ360)/0.9</f>
        <v>#N/A</v>
      </c>
      <c r="BT360" s="102" t="e">
        <f t="shared" si="578"/>
        <v>#N/A</v>
      </c>
      <c r="BU360" s="102" t="e">
        <f t="shared" si="579"/>
        <v>#N/A</v>
      </c>
      <c r="BV360" s="414" t="e">
        <f>IF(BV359=0,0,IF(AND(BR360&gt;charge_ELS_quasi,BS360&gt;Charge_ELS_freq,BT360&gt;charge_ELU,BU360&gt;charge_ELA,$B360&gt;NDC!$H$22-0.1+MIN(3*$BV$12,1.5)),0,1))</f>
        <v>#N/A</v>
      </c>
      <c r="BW360" s="86" t="b">
        <f t="shared" si="547"/>
        <v>0</v>
      </c>
      <c r="BX360" s="86">
        <f t="shared" si="548"/>
        <v>0.5</v>
      </c>
      <c r="BY360" s="86">
        <f t="shared" si="549"/>
        <v>0.5</v>
      </c>
      <c r="BZ360" s="30" t="e">
        <f t="shared" ca="1" si="580"/>
        <v>#DIV/0!</v>
      </c>
      <c r="CA360" s="85" t="e">
        <f ca="1">IF(BG360&lt;=Hypothèses!$V$7,Hypothèses!$W$7,IF(BG360&lt;=Hypothèses!$V$8,Hypothèses!$W$8,IF(BG360&lt;=Hypothèses!$V$9,Hypothèses!$W$9,IF(BG360&lt;=Hypothèses!$V$10,Hypothèses!$W$10,IF(BG360&lt;=Hypothèses!$V$11,Hypothèses!$W$11,IF(BG360&lt;=Hypothèses!$V$12,Hypothèses!$W$12,IF(BG360&lt;=Hypothèses!$V$13,Hypothèses!$W$13,IF(BG360&lt;=Hypothèses!$V$14,Hypothèses!$W$14,IF(BG360&lt;=Hypothèses!$V$15,Hypothèses!$W$15,IF(BG360&lt;=Hypothèses!$V$16,Hypothèses!$W$16,IF(BG360&lt;=Hypothèses!$V$17,Hypothèses!$W$17,IF(BG360&lt;=Hypothèses!$V$18,Hypothèses!$W$18,""))))))))))))</f>
        <v>#DIV/0!</v>
      </c>
      <c r="CB360" s="87" t="e">
        <f t="shared" ca="1" si="619"/>
        <v>#DIV/0!</v>
      </c>
      <c r="CC360" s="88" t="e">
        <f ca="1">IF(BG360&lt;=Hypothèses!$V$7,Hypothèses!$X$7,IF(BG360&lt;=Hypothèses!$V$8,Hypothèses!$X$8,IF(BG360&lt;=Hypothèses!$V$9,Hypothèses!$X$9,IF(BG360&lt;=Hypothèses!$V$10,Hypothèses!$X$10,IF(BG360&lt;=Hypothèses!$V$11,Hypothèses!$X$11,IF(BG360&lt;=Hypothèses!$V$12,Hypothèses!$X$12,IF(BG360&lt;=Hypothèses!$V$13,Hypothèses!$X$13,IF(BG360&lt;=Hypothèses!$V$14,Hypothèses!$X$14,IF(BG360&lt;=Hypothèses!$V$15,Hypothèses!$X$15,IF(BG360&lt;=Hypothèses!$V$16,Hypothèses!$X$16,IF(BG360&lt;=Hypothèses!$U$17,Hypothèses!$W$17,IF(BG360&lt;=Hypothèses!$U$18,Hypothèses!$W$18,""))))))))))))</f>
        <v>#DIV/0!</v>
      </c>
      <c r="CD360" s="95" t="e">
        <f t="shared" ca="1" si="581"/>
        <v>#DIV/0!</v>
      </c>
      <c r="CE360" s="101" t="e">
        <f t="shared" si="626"/>
        <v>#N/A</v>
      </c>
      <c r="CF360" s="91" t="e">
        <f t="shared" si="550"/>
        <v>#N/A</v>
      </c>
      <c r="CG360" s="30" t="e">
        <f t="shared" si="606"/>
        <v>#N/A</v>
      </c>
      <c r="CH360" s="30" t="e">
        <f t="shared" si="607"/>
        <v>#N/A</v>
      </c>
      <c r="CI360" s="31" t="e">
        <f>IF(OR(Hypothèses!$B$4=17,Hypothèses!$B$4=18,Hypothèses!$B$4=19,Hypothèses!$B$4=20),
IF($D360="Pressio.",
IF(OR($E360=3,$E360=1,$E360=4),CH360,CG360),
IF($D360="Pénétro.",
IF(OR($E360=3,$E360=1,$E360=4),CH360,CG360))),IF($D360="Pressio.",
IF($E360=3,CH360,CG360),
IF($D360="Pénétro.",
IF($E360=4,CH360,CG360))))</f>
        <v>#N/A</v>
      </c>
      <c r="CJ360" s="31" t="e">
        <f>(IF(OR(Hypothèses!$B$4=17,Hypothèses!$B$4=18,Hypothèses!$B$4=19,Hypothèses!$B$4=20),
IF($D360="Pressio.",
IF(OR($E360=3,$E360=1,$E360=4),(PI()*CJ$12^2)/4*(CF360*$W360*1000)/($H360*$B$5),(PI()*CJ$12^2)/4*(CF360*$W360*1000)/($G360*$B$5)),
IF($D360="Pénétro.",
IF(OR($E360=4,$E360=1,$E360=5),(PI()*CJ$12^2)/4*(CF360*$W360*1000)/($H360*$B$5),(PI()*CJ$12^2)/4*(CF360*$W360*1000)/($G360*$B$5)))),
IF($D360="Pressio.",
IF($E360=3,(PI()*CJ$12^2)/4*(CF360*$W360*1000)/($H360*$B$5),(PI()*CJ$12^2)/4*(CF360*$W360*1000)/($G360*$B$5)),
IF($D360="Pénétro.",
IF($E360=4,(PI()*CJ$12^2)/4*(CF360*$W360*1000)/($H360*$B$5),(PI()*CJ$12^2)/4*(CF360*$W360*1000)/($G360*$B$5))))))/10</f>
        <v>#N/A</v>
      </c>
      <c r="CK360" s="102" t="e">
        <f>(VLOOKUP($B$3,'Coeff EC7'!$T$39:$X$59,2,0)*CI360+VLOOKUP($B$3,'Coeff EC7'!$T$65:$X$85,2,0)*Model0.1C!CJ360)/1.1</f>
        <v>#N/A</v>
      </c>
      <c r="CL360" s="102" t="e">
        <f>(VLOOKUP($B$3,'Coeff EC7'!$T$39:$X$59,3,0)*CI360+VLOOKUP($B$3,'Coeff EC7'!$T$65:$X$85,3,0)*Model0.1C!CJ360)/0.9</f>
        <v>#N/A</v>
      </c>
      <c r="CM360" s="102" t="e">
        <f t="shared" si="582"/>
        <v>#N/A</v>
      </c>
      <c r="CN360" s="102" t="e">
        <f t="shared" si="583"/>
        <v>#N/A</v>
      </c>
      <c r="CO360" s="414" t="e">
        <f>IF(CO359=0,0,IF(AND(CK360&gt;charge_ELS_quasi,CL360&gt;Charge_ELS_freq,CM360&gt;charge_ELU,CN360&gt;charge_ELA,$B360&gt;NDC!$H$22-0.1+MIN(3*$CO$12,1.5)),0,1))</f>
        <v>#N/A</v>
      </c>
      <c r="CP360" s="86" t="b">
        <f t="shared" si="551"/>
        <v>0</v>
      </c>
      <c r="CQ360" s="86">
        <f t="shared" si="552"/>
        <v>0.5</v>
      </c>
      <c r="CR360" s="86">
        <f t="shared" si="553"/>
        <v>0.5</v>
      </c>
      <c r="CS360" s="30" t="e">
        <f t="shared" ca="1" si="584"/>
        <v>#DIV/0!</v>
      </c>
      <c r="CT360" s="85" t="e">
        <f ca="1">IF(BZ360&lt;=Hypothèses!$V$7,Hypothèses!$W$7,IF(BZ360&lt;=Hypothèses!$V$8,Hypothèses!$W$8,IF(BZ360&lt;=Hypothèses!$V$9,Hypothèses!$W$9,IF(BZ360&lt;=Hypothèses!$V$10,Hypothèses!$W$10,IF(BZ360&lt;=Hypothèses!$V$11,Hypothèses!$W$11,IF(BZ360&lt;=Hypothèses!$V$12,Hypothèses!$W$12,IF(BZ360&lt;=Hypothèses!$V$13,Hypothèses!$W$13,IF(BZ360&lt;=Hypothèses!$V$14,Hypothèses!$W$14,IF(BZ360&lt;=Hypothèses!$V$15,Hypothèses!$W$15,IF(BZ360&lt;=Hypothèses!$V$16,Hypothèses!$W$16,IF(BZ360&lt;=Hypothèses!$V$17,Hypothèses!$W$17,IF(BZ360&lt;=Hypothèses!$V$18,Hypothèses!$W$18,""))))))))))))</f>
        <v>#DIV/0!</v>
      </c>
      <c r="CU360" s="87" t="e">
        <f t="shared" ca="1" si="620"/>
        <v>#DIV/0!</v>
      </c>
      <c r="CV360" s="88" t="e">
        <f ca="1">IF(BZ360&lt;=Hypothèses!$V$7,Hypothèses!$X$7,IF(BZ360&lt;=Hypothèses!$V$8,Hypothèses!$X$8,IF(BZ360&lt;=Hypothèses!$V$9,Hypothèses!$X$9,IF(BZ360&lt;=Hypothèses!$V$10,Hypothèses!$X$10,IF(BZ360&lt;=Hypothèses!$V$11,Hypothèses!$X$11,IF(BZ360&lt;=Hypothèses!$V$12,Hypothèses!$X$12,IF(BZ360&lt;=Hypothèses!$V$13,Hypothèses!$X$13,IF(BZ360&lt;=Hypothèses!$V$14,Hypothèses!$X$14,IF(BZ360&lt;=Hypothèses!$V$15,Hypothèses!$X$15,IF(BZ360&lt;=Hypothèses!$V$16,Hypothèses!$X$16,IF(BZ360&lt;=Hypothèses!$U$17,Hypothèses!$W$17,IF(BZ360&lt;=Hypothèses!$U$18,Hypothèses!$W$18,""))))))))))))</f>
        <v>#DIV/0!</v>
      </c>
      <c r="CW360" s="95" t="e">
        <f t="shared" ca="1" si="585"/>
        <v>#DIV/0!</v>
      </c>
      <c r="CX360" s="101" t="e">
        <f t="shared" si="627"/>
        <v>#N/A</v>
      </c>
      <c r="CY360" s="91" t="e">
        <f t="shared" si="554"/>
        <v>#N/A</v>
      </c>
      <c r="CZ360" s="30" t="e">
        <f t="shared" si="608"/>
        <v>#N/A</v>
      </c>
      <c r="DA360" s="30" t="e">
        <f t="shared" si="609"/>
        <v>#N/A</v>
      </c>
      <c r="DB360" s="31" t="e">
        <f>IF(OR(Hypothèses!$B$4=17,Hypothèses!$B$4=18,Hypothèses!$B$4=19,Hypothèses!$B$4=20),
IF($D360="Pressio.",
IF(OR($E360=3,$E360=1,$E360=4),DA360,CZ360),
IF($D360="Pénétro.",
IF(OR($E360=3,$E360=1,$E360=4),DA360,CZ360))),IF($D360="Pressio.",
IF($E360=3,DA360,CZ360),
IF($D360="Pénétro.",
IF($E360=4,DA360,CZ360))))</f>
        <v>#N/A</v>
      </c>
      <c r="DC360" s="31" t="e">
        <f>(IF(OR(Hypothèses!$B$4=17,Hypothèses!$B$4=18,Hypothèses!$B$4=19,Hypothèses!$B$4=20),
IF($D360="Pressio.",
IF(OR($E360=3,$E360=1,$E360=4),(PI()*DC$12^2)/4*(CY360*$W360*1000)/($H360*$B$5),(PI()*DC$12^2)/4*(CY360*$W360*1000)/($G360*$B$5)),
IF($D360="Pénétro.",
IF(OR($E360=4,$E360=1,$E360=5),(PI()*DC$12^2)/4*(CY360*$W360*1000)/($H360*$B$5),(PI()*DC$12^2)/4*(CY360*$W360*1000)/($G360*$B$5)))),
IF($D360="Pressio.",
IF($E360=3,(PI()*DC$12^2)/4*(CY360*$W360*1000)/($H360*$B$5),(PI()*DC$12^2)/4*(CY360*$W360*1000)/($G360*$B$5)),
IF($D360="Pénétro.",
IF($E360=4,(PI()*DC$12^2)/4*(CY360*$W360*1000)/($H360*$B$5),(PI()*DC$12^2)/4*(CY360*$W360*1000)/($G360*$B$5))))))/10</f>
        <v>#N/A</v>
      </c>
      <c r="DD360" s="102" t="e">
        <f>(VLOOKUP($B$3,'Coeff EC7'!$T$39:$X$59,2,0)*DB360+VLOOKUP($B$3,'Coeff EC7'!$T$65:$X$85,2,0)*Model0.1C!DC360)/1.1</f>
        <v>#N/A</v>
      </c>
      <c r="DE360" s="102" t="e">
        <f>(VLOOKUP($B$3,'Coeff EC7'!$T$39:$X$59,3,0)*DB360+VLOOKUP($B$3,'Coeff EC7'!$T$65:$X$85,3,0)*Model0.1C!DC360)/0.9</f>
        <v>#N/A</v>
      </c>
      <c r="DF360" s="102" t="e">
        <f t="shared" si="586"/>
        <v>#N/A</v>
      </c>
      <c r="DG360" s="102" t="e">
        <f t="shared" si="587"/>
        <v>#N/A</v>
      </c>
      <c r="DH360" s="414" t="e">
        <f>IF(DH359=0,0,IF(AND(DD360&gt;charge_ELS_quasi,DE360&gt;Charge_ELS_freq,DF360&gt;charge_ELU,DG360&gt;charge_ELA,$B360&gt;NDC!$H$22-0.1+MIN(3*$DH$12,1.5)),0,1))</f>
        <v>#N/A</v>
      </c>
      <c r="DI360" s="86" t="b">
        <f t="shared" si="555"/>
        <v>0</v>
      </c>
      <c r="DJ360" s="86">
        <f t="shared" si="556"/>
        <v>0.5</v>
      </c>
      <c r="DK360" s="86">
        <f t="shared" si="557"/>
        <v>0.5</v>
      </c>
      <c r="DL360" s="30" t="e">
        <f t="shared" ca="1" si="588"/>
        <v>#DIV/0!</v>
      </c>
      <c r="DM360" s="85" t="e">
        <f ca="1">IF(CS360&lt;=Hypothèses!$V$7,Hypothèses!$W$7,IF(CS360&lt;=Hypothèses!$V$8,Hypothèses!$W$8,IF(CS360&lt;=Hypothèses!$V$9,Hypothèses!$W$9,IF(CS360&lt;=Hypothèses!$V$10,Hypothèses!$W$10,IF(CS360&lt;=Hypothèses!$V$11,Hypothèses!$W$11,IF(CS360&lt;=Hypothèses!$V$12,Hypothèses!$W$12,IF(CS360&lt;=Hypothèses!$V$13,Hypothèses!$W$13,IF(CS360&lt;=Hypothèses!$V$14,Hypothèses!$W$14,IF(CS360&lt;=Hypothèses!$V$15,Hypothèses!$W$15,IF(CS360&lt;=Hypothèses!$V$16,Hypothèses!$W$16,IF(CS360&lt;=Hypothèses!$V$17,Hypothèses!$W$17,IF(CS360&lt;=Hypothèses!$V$18,Hypothèses!$W$18,""))))))))))))</f>
        <v>#DIV/0!</v>
      </c>
      <c r="DN360" s="87" t="e">
        <f t="shared" ca="1" si="621"/>
        <v>#DIV/0!</v>
      </c>
      <c r="DO360" s="88" t="e">
        <f ca="1">IF(CS360&lt;=Hypothèses!$V$7,Hypothèses!$X$7,IF(CS360&lt;=Hypothèses!$V$8,Hypothèses!$X$8,IF(CS360&lt;=Hypothèses!$V$9,Hypothèses!$X$9,IF(CS360&lt;=Hypothèses!$V$10,Hypothèses!$X$10,IF(CS360&lt;=Hypothèses!$V$11,Hypothèses!$X$11,IF(CS360&lt;=Hypothèses!$V$12,Hypothèses!$X$12,IF(CS360&lt;=Hypothèses!$V$13,Hypothèses!$X$13,IF(CS360&lt;=Hypothèses!$V$14,Hypothèses!$X$14,IF(CS360&lt;=Hypothèses!$V$15,Hypothèses!$X$15,IF(CS360&lt;=Hypothèses!$V$16,Hypothèses!$X$16,IF(CS360&lt;=Hypothèses!$U$17,Hypothèses!$W$17,IF(CS360&lt;=Hypothèses!$U$18,Hypothèses!$W$18,""))))))))))))</f>
        <v>#DIV/0!</v>
      </c>
      <c r="DP360" s="95" t="e">
        <f t="shared" ca="1" si="589"/>
        <v>#DIV/0!</v>
      </c>
      <c r="DQ360" s="101" t="e">
        <f t="shared" si="628"/>
        <v>#N/A</v>
      </c>
      <c r="DR360" s="91" t="e">
        <f t="shared" si="558"/>
        <v>#N/A</v>
      </c>
      <c r="DS360" s="30" t="e">
        <f t="shared" si="610"/>
        <v>#N/A</v>
      </c>
      <c r="DT360" s="30" t="e">
        <f t="shared" si="611"/>
        <v>#N/A</v>
      </c>
      <c r="DU360" s="31" t="e">
        <f>IF(OR(Hypothèses!$B$4=17,Hypothèses!$B$4=18,Hypothèses!$B$4=19,Hypothèses!$B$4=20),
IF($D360="Pressio.",
IF(OR($E360=3,$E360=1,$E360=4),DT360,DS360),
IF($D360="Pénétro.",
IF(OR($E360=3,$E360=1,$E360=4),DT360,DS360))),IF($D360="Pressio.",
IF($E360=3,DT360,DS360),
IF($D360="Pénétro.",
IF($E360=4,DT360,DS360))))</f>
        <v>#N/A</v>
      </c>
      <c r="DV360" s="31" t="e">
        <f>(IF(OR(Hypothèses!$B$4=17,Hypothèses!$B$4=18,Hypothèses!$B$4=19,Hypothèses!$B$4=20),
IF($D360="Pressio.",
IF(OR($E360=3,$E360=1,$E360=4),(PI()*DV$12^2)/4*(DR360*$W360*1000)/($H360*$B$5),(PI()*DV$12^2)/4*(DR360*$W360*1000)/($G360*$B$5)),
IF($D360="Pénétro.",
IF(OR($E360=4,$E360=1,$E360=5),(PI()*DV$12^2)/4*(DR360*$W360*1000)/($H360*$B$5),(PI()*DV$12^2)/4*(DR360*$W360*1000)/($G360*$B$5)))),
IF($D360="Pressio.",
IF($E360=3,(PI()*DV$12^2)/4*(DR360*$W360*1000)/($H360*$B$5),(PI()*DV$12^2)/4*(DR360*$W360*1000)/($G360*$B$5)),
IF($D360="Pénétro.",
IF($E360=4,(PI()*DV$12^2)/4*(DR360*$W360*1000)/($H360*$B$5),(PI()*DV$12^2)/4*(DR360*$W360*1000)/($G360*$B$5))))))/10</f>
        <v>#N/A</v>
      </c>
      <c r="DW360" s="102" t="e">
        <f>(VLOOKUP($B$3,'Coeff EC7'!$T$39:$X$59,2,0)*DU360+VLOOKUP($B$3,'Coeff EC7'!$T$65:$X$85,2,0)*Model0.1C!DV360)/1.1</f>
        <v>#N/A</v>
      </c>
      <c r="DX360" s="102" t="e">
        <f>(VLOOKUP($B$3,'Coeff EC7'!$T$39:$X$59,3,0)*DU360+VLOOKUP($B$3,'Coeff EC7'!$T$65:$X$85,3,0)*Model0.1C!DV360)/0.9</f>
        <v>#N/A</v>
      </c>
      <c r="DY360" s="102" t="e">
        <f t="shared" si="590"/>
        <v>#N/A</v>
      </c>
      <c r="DZ360" s="102" t="e">
        <f t="shared" si="591"/>
        <v>#N/A</v>
      </c>
      <c r="EA360" s="414" t="e">
        <f>IF(EA359=0,0,IF(AND(DW360&gt;charge_ELS_quasi,DX360&gt;Charge_ELS_freq,DY360&gt;charge_ELU,DZ360&gt;charge_ELA,$B360&gt;NDC!$H$22-0.1+MIN(3*$EA$12,1.5)),0,1))</f>
        <v>#N/A</v>
      </c>
      <c r="EB360" s="86" t="b">
        <f t="shared" si="559"/>
        <v>0</v>
      </c>
      <c r="EC360" s="418">
        <f t="shared" si="560"/>
        <v>0.51</v>
      </c>
      <c r="ED360" s="86">
        <f t="shared" si="561"/>
        <v>0.51</v>
      </c>
      <c r="EE360" s="30" t="e">
        <f t="shared" ca="1" si="592"/>
        <v>#DIV/0!</v>
      </c>
      <c r="EF360" s="85" t="e">
        <f ca="1">IF(DL360&lt;=Hypothèses!$V$7,Hypothèses!$W$7,IF(DL360&lt;=Hypothèses!$V$8,Hypothèses!$W$8,IF(DL360&lt;=Hypothèses!$V$9,Hypothèses!$W$9,IF(DL360&lt;=Hypothèses!$V$10,Hypothèses!$W$10,IF(DL360&lt;=Hypothèses!$V$11,Hypothèses!$W$11,IF(DL360&lt;=Hypothèses!$V$12,Hypothèses!$W$12,IF(DL360&lt;=Hypothèses!$V$13,Hypothèses!$W$13,IF(DL360&lt;=Hypothèses!$V$14,Hypothèses!$W$14,IF(DL360&lt;=Hypothèses!$V$15,Hypothèses!$W$15,IF(DL360&lt;=Hypothèses!$V$16,Hypothèses!$W$16,IF(DL360&lt;=Hypothèses!$V$17,Hypothèses!$W$17,IF(DL360&lt;=Hypothèses!$V$18,Hypothèses!$W$18,""))))))))))))</f>
        <v>#DIV/0!</v>
      </c>
      <c r="EG360" s="87" t="e">
        <f t="shared" ca="1" si="622"/>
        <v>#DIV/0!</v>
      </c>
      <c r="EH360" s="88" t="e">
        <f ca="1">IF(DL360&lt;=Hypothèses!$V$7,Hypothèses!$X$7,IF(DL360&lt;=Hypothèses!$V$8,Hypothèses!$X$8,IF(DL360&lt;=Hypothèses!$V$9,Hypothèses!$X$9,IF(DL360&lt;=Hypothèses!$V$10,Hypothèses!$X$10,IF(DL360&lt;=Hypothèses!$V$11,Hypothèses!$X$11,IF(DL360&lt;=Hypothèses!$V$12,Hypothèses!$X$12,IF(DL360&lt;=Hypothèses!$V$13,Hypothèses!$X$13,IF(DL360&lt;=Hypothèses!$V$14,Hypothèses!$X$14,IF(DL360&lt;=Hypothèses!$V$15,Hypothèses!$X$15,IF(DL360&lt;=Hypothèses!$V$16,Hypothèses!$X$16,IF(DL360&lt;=Hypothèses!$U$17,Hypothèses!$W$17,IF(DL360&lt;=Hypothèses!$U$18,Hypothèses!$W$18,""))))))))))))</f>
        <v>#DIV/0!</v>
      </c>
      <c r="EI360" s="95" t="e">
        <f t="shared" ca="1" si="593"/>
        <v>#DIV/0!</v>
      </c>
      <c r="EJ360" s="101" t="e">
        <f t="shared" si="629"/>
        <v>#N/A</v>
      </c>
      <c r="EK360" s="91" t="e">
        <f t="shared" si="562"/>
        <v>#N/A</v>
      </c>
      <c r="EL360" s="30" t="e">
        <f t="shared" si="612"/>
        <v>#N/A</v>
      </c>
      <c r="EM360" s="30" t="e">
        <f t="shared" si="613"/>
        <v>#N/A</v>
      </c>
      <c r="EN360" s="31" t="e">
        <f>IF(OR(Hypothèses!$B$4=17,Hypothèses!$B$4=18,Hypothèses!$B$4=19,Hypothèses!$B$4=20),
IF($D360="Pressio.",
IF(OR($E360=3,$E360=1,$E360=4),EM360,EL360),
IF($D360="Pénétro.",
IF(OR($E360=3,$E360=1,$E360=4),EM360,EL360))),IF($D360="Pressio.",
IF($E360=3,EM360,EL360),
IF($D360="Pénétro.",
IF($E360=4,EM360,EL360))))</f>
        <v>#N/A</v>
      </c>
      <c r="EO360" s="31" t="e">
        <f>(IF(OR(Hypothèses!$B$4=17,Hypothèses!$B$4=18,Hypothèses!$B$4=19,Hypothèses!$B$4=20),
IF($D360="Pressio.",
IF(OR($E360=3,$E360=1,$E360=4),(PI()*EO$12^2)/4*(EK360*$W360*1000)/($H360*$B$5),(PI()*EO$12^2)/4*(EK360*$W360*1000)/($G360*$B$5)),
IF($D360="Pénétro.",
IF(OR($E360=4,$E360=1,$E360=5),(PI()*EO$12^2)/4*(EK360*$W360*1000)/($H360*$B$5),(PI()*EO$12^2)/4*(EK360*$W360*1000)/($G360*$B$5)))),
IF($D360="Pressio.",
IF($E360=3,(PI()*EO$12^2)/4*(EK360*$W360*1000)/($H360*$B$5),(PI()*EO$12^2)/4*(EK360*$W360*1000)/($G360*$B$5)),
IF($D360="Pénétro.",
IF($E360=4,(PI()*EO$12^2)/4*(EK360*$W360*1000)/($H360*$B$5),(PI()*EO$12^2)/4*(EK360*$W360*1000)/($G360*$B$5))))))/10</f>
        <v>#N/A</v>
      </c>
      <c r="EP360" s="102" t="e">
        <f>(VLOOKUP($B$3,'Coeff EC7'!$T$39:$X$59,2,0)*EN360+VLOOKUP($B$3,'Coeff EC7'!$T$65:$X$85,2,0)*Model0.1C!EO360)/1.1</f>
        <v>#N/A</v>
      </c>
      <c r="EQ360" s="102" t="e">
        <f>(VLOOKUP($B$3,'Coeff EC7'!$T$39:$X$59,3,0)*EN360+VLOOKUP($B$3,'Coeff EC7'!$T$65:$X$85,3,0)*Model0.1C!EO360)/0.9</f>
        <v>#N/A</v>
      </c>
      <c r="ER360" s="102" t="e">
        <f t="shared" si="594"/>
        <v>#N/A</v>
      </c>
      <c r="ES360" s="102" t="e">
        <f t="shared" si="595"/>
        <v>#N/A</v>
      </c>
      <c r="ET360" s="414" t="e">
        <f>IF(ET359=0,0,IF(AND(EP360&gt;charge_ELS_quasi,EQ360&gt;Charge_ELS_freq,ER360&gt;charge_ELU,ES360&gt;charge_ELA,$B360&gt;NDC!$H$22-0.1+MIN(3*$ET$12,1.5)),0,1))</f>
        <v>#N/A</v>
      </c>
      <c r="EU360" s="86" t="b">
        <f t="shared" si="563"/>
        <v>0</v>
      </c>
      <c r="EV360" s="86">
        <f t="shared" si="564"/>
        <v>0.61</v>
      </c>
      <c r="EW360" s="86">
        <f t="shared" si="565"/>
        <v>0.61</v>
      </c>
      <c r="EX360" s="30" t="e">
        <f t="shared" ca="1" si="596"/>
        <v>#DIV/0!</v>
      </c>
      <c r="EY360" s="85" t="e">
        <f ca="1">IF(EE360&lt;=Hypothèses!$V$7,Hypothèses!$W$7,IF(EE360&lt;=Hypothèses!$V$8,Hypothèses!$W$8,IF(EE360&lt;=Hypothèses!$V$9,Hypothèses!$W$9,IF(EE360&lt;=Hypothèses!$V$10,Hypothèses!$W$10,IF(EE360&lt;=Hypothèses!$V$11,Hypothèses!$W$11,IF(EE360&lt;=Hypothèses!$V$12,Hypothèses!$W$12,IF(EE360&lt;=Hypothèses!$V$13,Hypothèses!$W$13,IF(EE360&lt;=Hypothèses!$V$14,Hypothèses!$W$14,IF(EE360&lt;=Hypothèses!$V$15,Hypothèses!$W$15,IF(EE360&lt;=Hypothèses!$V$16,Hypothèses!$W$16,IF(EE360&lt;=Hypothèses!$V$17,Hypothèses!$W$17,IF(EE360&lt;=Hypothèses!$V$18,Hypothèses!$W$18,""))))))))))))</f>
        <v>#DIV/0!</v>
      </c>
      <c r="EZ360" s="87" t="e">
        <f t="shared" ca="1" si="623"/>
        <v>#DIV/0!</v>
      </c>
      <c r="FA360" s="88" t="e">
        <f ca="1">IF(EE360&lt;=Hypothèses!$V$7,Hypothèses!$X$7,IF(EE360&lt;=Hypothèses!$V$8,Hypothèses!$X$8,IF(EE360&lt;=Hypothèses!$V$9,Hypothèses!$X$9,IF(EE360&lt;=Hypothèses!$V$10,Hypothèses!$X$10,IF(EE360&lt;=Hypothèses!$V$11,Hypothèses!$X$11,IF(EE360&lt;=Hypothèses!$V$12,Hypothèses!$X$12,IF(EE360&lt;=Hypothèses!$V$13,Hypothèses!$X$13,IF(EE360&lt;=Hypothèses!$V$14,Hypothèses!$X$14,IF(EE360&lt;=Hypothèses!$V$15,Hypothèses!$X$15,IF(EE360&lt;=Hypothèses!$V$16,Hypothèses!$X$16,IF(EE360&lt;=Hypothèses!$U$17,Hypothèses!$W$17,IF(EE360&lt;=Hypothèses!$U$18,Hypothèses!$W$18,""))))))))))))</f>
        <v>#DIV/0!</v>
      </c>
      <c r="FB360" s="95" t="e">
        <f t="shared" ca="1" si="597"/>
        <v>#DIV/0!</v>
      </c>
      <c r="FC360" s="101" t="e">
        <f t="shared" si="630"/>
        <v>#N/A</v>
      </c>
      <c r="FD360" s="91" t="e">
        <f t="shared" si="566"/>
        <v>#N/A</v>
      </c>
      <c r="FE360" s="30" t="e">
        <f t="shared" si="614"/>
        <v>#N/A</v>
      </c>
      <c r="FF360" s="30" t="e">
        <f t="shared" si="615"/>
        <v>#N/A</v>
      </c>
      <c r="FG360" s="31" t="e">
        <f>IF(OR(Hypothèses!$B$4=17,Hypothèses!$B$4=18,Hypothèses!$B$4=19,Hypothèses!$B$4=20),
IF($D360="Pressio.",
IF(OR($E360=3,$E360=1,$E360=4),FF360,FE360),
IF($D360="Pénétro.",
IF(OR($E360=3,$E360=1,$E360=4),FF360,FE360))),IF($D360="Pressio.",
IF($E360=3,FF360,FE360),
IF($D360="Pénétro.",
IF($E360=4,FF360,FE360))))</f>
        <v>#N/A</v>
      </c>
      <c r="FH360" s="31" t="e">
        <f>(IF(OR(Hypothèses!$B$4=17,Hypothèses!$B$4=18,Hypothèses!$B$4=19,Hypothèses!$B$4=20),
IF($D360="Pressio.",
IF(OR($E360=3,$E360=1,$E360=4),(PI()*FH$12^2)/4*(FD360*$W360*1000)/($H360*$B$5),(PI()*FH$12^2)/4*(FD360*$W360*1000)/($G360*$B$5)),
IF($D360="Pénétro.",
IF(OR($E360=4,$E360=1,$E360=5),(PI()*FH$12^2)/4*(FD360*$W360*1000)/($H360*$B$5),(PI()*FH$12^2)/4*(FD360*$W360*1000)/($G360*$B$5)))),
IF($D360="Pressio.",
IF($E360=3,(PI()*FH$12^2)/4*(FD360*$W360*1000)/($H360*$B$5),(PI()*FH$12^2)/4*(FD360*$W360*1000)/($G360*$B$5)),
IF($D360="Pénétro.",
IF($E360=4,(PI()*FH$12^2)/4*(FD360*$W360*1000)/($H360*$B$5),(PI()*FH$12^2)/4*(FD360*$W360*1000)/($G360*$B$5))))))/10</f>
        <v>#N/A</v>
      </c>
      <c r="FI360" s="102" t="e">
        <f>(VLOOKUP($B$3,'Coeff EC7'!$T$39:$X$59,2,0)*FG360+VLOOKUP($B$3,'Coeff EC7'!$T$65:$X$85,2,0)*Model0.1C!FH360)/1.1</f>
        <v>#N/A</v>
      </c>
      <c r="FJ360" s="102" t="e">
        <f>(VLOOKUP($B$3,'Coeff EC7'!$T$39:$X$59,3,0)*FG360+VLOOKUP($B$3,'Coeff EC7'!$T$65:$X$85,3,0)*Model0.1C!FH360)/0.9</f>
        <v>#N/A</v>
      </c>
      <c r="FK360" s="102" t="e">
        <f t="shared" si="598"/>
        <v>#N/A</v>
      </c>
      <c r="FL360" s="102" t="e">
        <f t="shared" si="599"/>
        <v>#N/A</v>
      </c>
      <c r="FM360" s="414" t="e">
        <f>IF(FM359=0,0,IF(AND(FI360&gt;charge_ELS_quasi,FJ360&gt;Charge_ELS_freq,FK360&gt;charge_ELU,FL360&gt;charge_ELA,$B360&gt;NDC!$H$22-0.1+MIN(3*$FM$12,1.5)),0,1))</f>
        <v>#N/A</v>
      </c>
    </row>
    <row r="361" spans="1:169">
      <c r="A361" s="96">
        <f t="shared" si="567"/>
        <v>65.200000000001978</v>
      </c>
      <c r="B361" s="97">
        <v>34.799999999999997</v>
      </c>
      <c r="C361" s="81">
        <f>IF(B361&lt;=Hypothèses!$C$7,Hypothèses!$A$7,IF(B361&lt;=Hypothèses!$C$8,Hypothèses!$A$8,IF(B361&lt;=Hypothèses!$C$9,Hypothèses!$A$9,IF(B361&lt;=Hypothèses!$C$10,Hypothèses!$A$10,IF(B361&lt;=Hypothèses!$C$11,Hypothèses!$A$11,IF(B361&lt;=Hypothèses!$C$12,Hypothèses!$A$12,IF(B361&lt;=Hypothèses!$C$13,Hypothèses!$A$13,IF(B361&lt;=Hypothèses!$C$14,Hypothèses!$A$14,IF(B361&lt;=Hypothèses!$C$15,Hypothèses!$A$15,IF(B361&lt;=Hypothèses!$C$16,Hypothèses!$A$16,IF(B361&lt;=Hypothèses!$C$17,Hypothèses!$A$17,IF(B361&lt;=Hypothèses!$C$18,Hypothèses!$A$18,C360))))))))))))</f>
        <v>11</v>
      </c>
      <c r="D361" s="82" t="str">
        <f>IF(B361&lt;=Hypothèses!$C$7,Hypothèses!$R$7,IF(B361&lt;=Hypothèses!$C$8,Hypothèses!$R$8,IF(B361&lt;=Hypothèses!$C$9,Hypothèses!$R$9,IF(B361&lt;=Hypothèses!$C$10,Hypothèses!$R$10,IF(B361&lt;=Hypothèses!$C$11,Hypothèses!$R$11,IF(B361&lt;=Hypothèses!$C$12,Hypothèses!$R$12,IF(B361&lt;=Hypothèses!$C$13,Hypothèses!$R$13,IF(B361&lt;=Hypothèses!$C$14,Hypothèses!$R$14,IF(B361&lt;=Hypothèses!$C$15,Hypothèses!$R$15,IF(B361&lt;=Hypothèses!$C$16,Hypothèses!$R$16,IF(B361&lt;=Hypothèses!$C$17,Hypothèses!$R$17,IF(B361&lt;=Hypothèses!$C$18,Hypothèses!$R$18,D360))))))))))))</f>
        <v>Pressio.</v>
      </c>
      <c r="E361" s="82" t="e">
        <f>IF(B361&lt;=Hypothèses!$C$7,Hypothèses!$G$7,IF(B361&lt;=Hypothèses!$C$8,Hypothèses!$G$8,IF(B361&lt;=Hypothèses!$C$9,Hypothèses!$G$9,IF(B361&lt;=Hypothèses!$C$10,Hypothèses!$G$10,IF(B361&lt;=Hypothèses!$C$11,Hypothèses!$G$11,IF(B361&lt;=Hypothèses!$C$12,Hypothèses!$G$12,IF(B361&lt;=Hypothèses!$C$13,Hypothèses!$G$13,IF(B361&lt;=Hypothèses!$C$14,Hypothèses!$G$14,IF(B361&lt;=Hypothèses!$C$15,Hypothèses!$G$15,IF(B361&lt;=Hypothèses!$C$16,Hypothèses!$G$16,IF(B361&lt;=Hypothèses!$C$17,Hypothèses!$G$17,IF(B361&lt;=Hypothèses!$C$18,Hypothèses!$G$18,E360))))))))))))</f>
        <v>#N/A</v>
      </c>
      <c r="F361" s="82" t="str">
        <f>IF(B361&lt;=Hypothèses!$C$7,Hypothèses!$F$7,IF(B361&lt;=Hypothèses!$C$8,Hypothèses!$F$8,IF(B361&lt;=Hypothèses!$C$9,Hypothèses!$F$9,IF(B361&lt;=Hypothèses!$C$10,Hypothèses!$F$10,IF(B361&lt;=Hypothèses!$C$11,Hypothèses!$F$11,IF(B361&lt;=Hypothèses!$C$12,Hypothèses!$F$12,IF(B361&lt;=Hypothèses!$C$13,Hypothèses!$F$13,IF(B361&lt;=Hypothèses!$C$14,Hypothèses!$F$14,IF(B361&lt;=Hypothèses!$C$15,Hypothèses!$F$15,IF(B361&lt;=Hypothèses!$C$16,Hypothèses!$F$16,IF(B361&lt;=Hypothèses!$C$17,Hypothèses!$F$17,IF(B361&lt;=Hypothèses!$C$18,Hypothèses!$F$18,F360))))))))))))</f>
        <v/>
      </c>
      <c r="G361" s="91">
        <f t="array" ref="G361">INDEX('Coeff EC7'!$U$7:$X$27,
MATCH(Model0.1C!$B$3,'Coeff EC7'!$T$7:$T$27,0),
MATCH(Model0.1C!$D361&amp;Model0.1C!$B$4,
'Coeff EC7'!$U$6:$X$6&amp;
'Coeff EC7'!$U$5:$X$5,0))</f>
        <v>1.1499999999999999</v>
      </c>
      <c r="H361" s="91">
        <f t="array" ref="H361">INDEX('Coeff EC7'!$Y$7:$AB$27,
MATCH(Model0.1C!$B$3,'Coeff EC7'!$T$7:$T$27,0),
MATCH(Model0.1C!$D361&amp;Model0.1C!$B$4,
'Coeff EC7'!$Y$6:$AB$6&amp;
'Coeff EC7'!$Y$5:$AB$5,0))</f>
        <v>1.4</v>
      </c>
      <c r="I361" s="83" t="e">
        <f>IF(B361&lt;=Hypothèses!$C$7,Hypothèses!$P$7,IF(B361&lt;=Hypothèses!$C$8,Hypothèses!$P$8,IF(B361&lt;=Hypothèses!$C$9,Hypothèses!$P$9,IF(B361&lt;=Hypothèses!$C$10,Hypothèses!$P$10,IF(B361&lt;=Hypothèses!$C$11,Hypothèses!$P$11,IF(B361&lt;=Hypothèses!$C$12,Hypothèses!$P$12,IF(B361&lt;=Hypothèses!$C$13,Hypothèses!$P$13,IF(B361&lt;=Hypothèses!$C$14,Hypothèses!$P$14,IF(B361&lt;=Hypothèses!$C$15,Hypothèses!$P$15,IF(B361&lt;=Hypothèses!$C$16,Hypothèses!$P$16,IF(B361&lt;=Hypothèses!$C$17,Hypothèses!$P$17,IF(B361&lt;=Hypothèses!$C$18,Hypothèses!$P$18,I360))))))))))))</f>
        <v>#N/A</v>
      </c>
      <c r="J361" s="91" t="e">
        <f t="array" ref="J361">INDEX('Coeff EC7'!$D$33:$Q$33,1,MATCH(D361&amp;E361,'Coeff EC7'!$D$31:$Q$31&amp;'Coeff EC7'!$D$32:$Q$32,0))</f>
        <v>#N/A</v>
      </c>
      <c r="K361" s="91" t="e">
        <f t="array" ref="K361">INDEX('Coeff EC7'!$D$34:$Q$34,1,MATCH(D361&amp;E361,'Coeff EC7'!$D$31:$Q$31&amp;'Coeff EC7'!$D$32:$Q$32,0))</f>
        <v>#N/A</v>
      </c>
      <c r="L361" s="91" t="e">
        <f t="array" ref="L361">INDEX('Coeff EC7'!$D$35:$Q$35,1,MATCH(D361&amp;E361,'Coeff EC7'!$D$31:$Q$31&amp;'Coeff EC7'!$D$32:$Q$32,0))</f>
        <v>#N/A</v>
      </c>
      <c r="M361" s="98" t="e">
        <f t="shared" si="531"/>
        <v>#N/A</v>
      </c>
      <c r="N361" s="99" t="e">
        <f t="array" ref="N361">INDEX('Coeff EC7'!$D$7:$Q$27,MATCH($B$3,'Coeff EC7'!$C$7:$C$27,0),MATCH(D361&amp;E361,'Coeff EC7'!$D$5:$Q$5&amp;'Coeff EC7'!$D$6:$Q$6,0))</f>
        <v>#N/A</v>
      </c>
      <c r="O361" s="99" t="e">
        <f t="array" ref="O361">INDEX('Coeff EC7'!$D$41:$Q$61,MATCH($B$3,'Coeff EC7'!$C$41:$C$61,0),MATCH(D361&amp;E361,'Coeff EC7'!$D$39:$Q$39&amp;'Coeff EC7'!$D$40:$Q$40,0))</f>
        <v>#N/A</v>
      </c>
      <c r="P361" s="30" t="e">
        <f t="shared" si="568"/>
        <v>#N/A</v>
      </c>
      <c r="Q361" s="100" t="e">
        <f t="shared" si="533"/>
        <v>#N/A</v>
      </c>
      <c r="R361" s="86" t="b">
        <f t="shared" si="534"/>
        <v>0</v>
      </c>
      <c r="S361" s="86">
        <f t="shared" si="532"/>
        <v>0.5</v>
      </c>
      <c r="T361" s="86">
        <f t="shared" si="535"/>
        <v>0.5</v>
      </c>
      <c r="U361" s="30" t="e">
        <f t="shared" ca="1" si="569"/>
        <v>#DIV/0!</v>
      </c>
      <c r="V361" s="85" t="str">
        <f>IF(B361&lt;=Hypothèses!$V$7,Hypothèses!$W$7,IF(B361&lt;=Hypothèses!$V$8,Hypothèses!$W$8,IF(B361&lt;=Hypothèses!$V$9,Hypothèses!$W$9,IF(B361&lt;=Hypothèses!$V$10,Hypothèses!$W$10,IF(B361&lt;=Hypothèses!$V$11,Hypothèses!$W$11,IF(B361&lt;=Hypothèses!$V$12,Hypothèses!$W$12,IF(B361&lt;=Hypothèses!$V$13,Hypothèses!$W$13,IF(B361&lt;=Hypothèses!$V$14,Hypothèses!$W$14,IF(B361&lt;=Hypothèses!$V$15,Hypothèses!$W$15,IF(B361&lt;=Hypothèses!$V$16,Hypothèses!$W$16,IF(B361&lt;=Hypothèses!$V$17,Hypothèses!$W$17,IF(B361&lt;=Hypothèses!$V$18,Hypothèses!$W$18,""))))))))))))</f>
        <v/>
      </c>
      <c r="W361" s="87" t="e">
        <f t="shared" ca="1" si="616"/>
        <v>#DIV/0!</v>
      </c>
      <c r="X361" s="88" t="str">
        <f>IF(B361&lt;=Hypothèses!$V$7,Hypothèses!$X$7,IF(B361&lt;=Hypothèses!$V$8,Hypothèses!$X$8,IF(B361&lt;=Hypothèses!$V$9,Hypothèses!$X$9,IF(B361&lt;=Hypothèses!$V$10,Hypothèses!$X$10,IF(B361&lt;=Hypothèses!$V$11,Hypothèses!$X$11,IF(B361&lt;=Hypothèses!$V$12,Hypothèses!$X$12,IF(B361&lt;=Hypothèses!$V$13,Hypothèses!$X$13,IF(B361&lt;=Hypothèses!$V$14,Hypothèses!$X$14,IF(B361&lt;=Hypothèses!$V$15,Hypothèses!$X$15,IF(B361&lt;=Hypothèses!$V$16,Hypothèses!$X$16,IF(B361&lt;=Hypothèses!$U$17,Hypothèses!$W$17,IF(B361&lt;=Hypothèses!$U$18,Hypothèses!$W$18,""))))))))))))</f>
        <v/>
      </c>
      <c r="Y361" s="95" t="e">
        <f t="shared" ca="1" si="536"/>
        <v>#DIV/0!</v>
      </c>
      <c r="Z361" s="101" t="e">
        <f t="shared" si="537"/>
        <v>#N/A</v>
      </c>
      <c r="AA361" s="91" t="e">
        <f t="shared" si="538"/>
        <v>#N/A</v>
      </c>
      <c r="AB361" s="30" t="e">
        <f t="shared" si="600"/>
        <v>#N/A</v>
      </c>
      <c r="AC361" s="30" t="e">
        <f t="shared" si="601"/>
        <v>#N/A</v>
      </c>
      <c r="AD361" s="31" t="e">
        <f>IF(OR(Hypothèses!$B$4=17,Hypothèses!$B$4=18,Hypothèses!$B$4=19,Hypothèses!$B$4=20),
IF($D361="Pressio.",
IF(OR($E361=3,$E361=1,$E361=4),AC361,AB361),
IF($D361="Pénétro.",
IF(OR($E361=3,$E361=1,$E361=4),AC361,AB361))),IF($D361="Pressio.",
IF($E361=3,AC361,AB361),
IF($D361="Pénétro.",
IF($E361=4,AC361,AB361))))</f>
        <v>#N/A</v>
      </c>
      <c r="AE361" s="31" t="e">
        <f>(IF(OR(Hypothèses!$B$4=17,Hypothèses!$B$4=18,Hypothèses!$B$4=19,Hypothèses!$B$4=20),
IF($D361="Pressio.",
IF(OR($E361=3,$E361=1,$E361=4),(PI()*AE$12^2)/4*(AA361*$W361*1000)/($H361*$B$5),(PI()*AE$12^2)/4*(AA361*$W361*1000)/($G361*$B$5)),
IF($D361="Pénétro.",
IF(OR($E361=4,$E361=1,$E361=5),(PI()*AE$12^2)/4*(AA361*$W361*1000)/($H361*$B$5),(PI()*AE$12^2)/4*(AA361*$W361*1000)/($G361*$B$5)))),
IF($D361="Pressio.",
IF($E361=3,(PI()*AE$12^2)/4*(AA361*$W361*1000)/($H361*$B$5),(PI()*AE$12^2)/4*(AA361*$W361*1000)/($G361*$B$5)),
IF($D361="Pénétro.",
IF($E361=4,(PI()*AE$12^2)/4*(AA361*$W361*1000)/($H361*$B$5),(PI()*AE$12^2)/4*(AA361*$W361*1000)/($G361*$B$5))))))/10</f>
        <v>#N/A</v>
      </c>
      <c r="AF361" s="102" t="e">
        <f>(VLOOKUP($B$3,'Coeff EC7'!$T$39:$X$59,2,0)*AD361+VLOOKUP($B$3,'Coeff EC7'!$T$65:$X$85,2,0)*Model0.1C!AE361)/1.1</f>
        <v>#N/A</v>
      </c>
      <c r="AG361" s="102" t="e">
        <f>(VLOOKUP($B$3,'Coeff EC7'!$T$39:$X$59,3,0)*AD361+VLOOKUP($B$3,'Coeff EC7'!$T$65:$X$85,3,0)*Model0.1C!AE361)/0.9</f>
        <v>#N/A</v>
      </c>
      <c r="AH361" s="102" t="e">
        <f t="shared" si="539"/>
        <v>#N/A</v>
      </c>
      <c r="AI361" s="102" t="e">
        <f t="shared" si="540"/>
        <v>#N/A</v>
      </c>
      <c r="AJ361" s="414" t="e">
        <f>IF(AJ360=0,0,IF(AND(AF361&gt;charge_ELS_quasi,AG361&gt;Charge_ELS_freq,AH361&gt;charge_ELU,AI361&gt;charge_ELA,$B361&gt;NDC!$H$22-0.1+MIN(3*$AJ$12,1.5)),0,1))</f>
        <v>#N/A</v>
      </c>
      <c r="AK361" s="86" t="b">
        <f t="shared" si="541"/>
        <v>0</v>
      </c>
      <c r="AL361" s="86">
        <f t="shared" si="570"/>
        <v>0.5</v>
      </c>
      <c r="AM361" s="86">
        <f t="shared" si="542"/>
        <v>0.5</v>
      </c>
      <c r="AN361" s="30" t="e">
        <f t="shared" ca="1" si="571"/>
        <v>#DIV/0!</v>
      </c>
      <c r="AO361" s="85" t="e">
        <f ca="1">IF(U361&lt;=Hypothèses!$V$7,Hypothèses!$W$7,IF(U361&lt;=Hypothèses!$V$8,Hypothèses!$W$8,IF(U361&lt;=Hypothèses!$V$9,Hypothèses!$W$9,IF(U361&lt;=Hypothèses!$V$10,Hypothèses!$W$10,IF(U361&lt;=Hypothèses!$V$11,Hypothèses!$W$11,IF(U361&lt;=Hypothèses!$V$12,Hypothèses!$W$12,IF(U361&lt;=Hypothèses!$V$13,Hypothèses!$W$13,IF(U361&lt;=Hypothèses!$V$14,Hypothèses!$W$14,IF(U361&lt;=Hypothèses!$V$15,Hypothèses!$W$15,IF(U361&lt;=Hypothèses!$V$16,Hypothèses!$W$16,IF(U361&lt;=Hypothèses!$V$17,Hypothèses!$W$17,IF(U361&lt;=Hypothèses!$V$18,Hypothèses!$W$18,""))))))))))))</f>
        <v>#DIV/0!</v>
      </c>
      <c r="AP361" s="87" t="e">
        <f t="shared" ca="1" si="617"/>
        <v>#DIV/0!</v>
      </c>
      <c r="AQ361" s="88" t="e">
        <f ca="1">IF(U361&lt;=Hypothèses!$V$7,Hypothèses!$X$7,IF(U361&lt;=Hypothèses!$V$8,Hypothèses!$X$8,IF(U361&lt;=Hypothèses!$V$9,Hypothèses!$X$9,IF(U361&lt;=Hypothèses!$V$10,Hypothèses!$X$10,IF(U361&lt;=Hypothèses!$V$11,Hypothèses!$X$11,IF(U361&lt;=Hypothèses!$V$12,Hypothèses!$X$12,IF(U361&lt;=Hypothèses!$V$13,Hypothèses!$X$13,IF(U361&lt;=Hypothèses!$V$14,Hypothèses!$X$14,IF(U361&lt;=Hypothèses!$V$15,Hypothèses!$X$15,IF(U361&lt;=Hypothèses!$V$16,Hypothèses!$X$16,IF(U361&lt;=Hypothèses!$U$17,Hypothèses!$W$17,IF(U361&lt;=Hypothèses!$U$18,Hypothèses!$W$18,""))))))))))))</f>
        <v>#DIV/0!</v>
      </c>
      <c r="AR361" s="95" t="e">
        <f t="shared" ca="1" si="572"/>
        <v>#DIV/0!</v>
      </c>
      <c r="AS361" s="101" t="e">
        <f t="shared" si="624"/>
        <v>#N/A</v>
      </c>
      <c r="AT361" s="91" t="e">
        <f t="shared" si="543"/>
        <v>#N/A</v>
      </c>
      <c r="AU361" s="30" t="e">
        <f t="shared" si="602"/>
        <v>#N/A</v>
      </c>
      <c r="AV361" s="30" t="e">
        <f t="shared" si="603"/>
        <v>#N/A</v>
      </c>
      <c r="AW361" s="31" t="e">
        <f>IF(OR(Hypothèses!$B$4=17,Hypothèses!$B$4=18,Hypothèses!$B$4=19,Hypothèses!$B$4=20),
IF($D361="Pressio.",
IF(OR($E361=3,$E361=1,$E361=4),AV361,AU361),
IF($D361="Pénétro.",
IF(OR($E361=3,$E361=1,$E361=4),AV361,AU361))),IF($D361="Pressio.",
IF($E361=3,AV361,AU361),
IF($D361="Pénétro.",
IF($E361=4,AV361,AU361))))</f>
        <v>#N/A</v>
      </c>
      <c r="AX361" s="31" t="e">
        <f>(IF(OR(Hypothèses!$B$4=17,Hypothèses!$B$4=18,Hypothèses!$B$4=19,Hypothèses!$B$4=20),
IF($D361="Pressio.",
IF(OR($E361=3,$E361=1,$E361=4),(PI()*AX$12^2)/4*(AT361*$W361*1000)/($H361*$B$5),(PI()*AX$12^2)/4*(AT361*$W361*1000)/($G361*$B$5)),
IF($D361="Pénétro.",
IF(OR($E361=4,$E361=1,$E361=5),(PI()*AX$12^2)/4*(AT361*$W361*1000)/($H361*$B$5),(PI()*AX$12^2)/4*(AT361*$W361*1000)/($G361*$B$5)))),
IF($D361="Pressio.",
IF($E361=3,(PI()*AX$12^2)/4*(AT361*$W361*1000)/($H361*$B$5),(PI()*AX$12^2)/4*(AT361*$W361*1000)/($G361*$B$5)),
IF($D361="Pénétro.",
IF($E361=4,(PI()*AX$12^2)/4*(AT361*$W361*1000)/($H361*$B$5),(PI()*AX$12^2)/4*(AT361*$W361*1000)/($G361*$B$5))))))/10</f>
        <v>#N/A</v>
      </c>
      <c r="AY361" s="102" t="e">
        <f>(VLOOKUP($B$3,'Coeff EC7'!$T$39:$X$59,2,0)*AW361+VLOOKUP($B$3,'Coeff EC7'!$T$65:$X$85,2,0)*Model0.1C!AX361)/1.1</f>
        <v>#N/A</v>
      </c>
      <c r="AZ361" s="102" t="e">
        <f>(VLOOKUP($B$3,'Coeff EC7'!$T$39:$X$59,3,0)*AW361+VLOOKUP($B$3,'Coeff EC7'!$T$65:$X$85,3,0)*Model0.1C!AX361)/0.9</f>
        <v>#N/A</v>
      </c>
      <c r="BA361" s="102" t="e">
        <f t="shared" si="573"/>
        <v>#N/A</v>
      </c>
      <c r="BB361" s="102" t="e">
        <f t="shared" si="574"/>
        <v>#N/A</v>
      </c>
      <c r="BC361" s="414" t="e">
        <f>IF(BC360=0,0,IF(AND(AY361&gt;charge_ELS_quasi,AZ361&gt;Charge_ELS_freq,BA361&gt;charge_ELU,BB361&gt;charge_ELA,$B361&gt;NDC!$H$22-0.1+MIN(3*$BC$12,1.5)),0,1))</f>
        <v>#N/A</v>
      </c>
      <c r="BD361" s="86" t="b">
        <f t="shared" si="544"/>
        <v>0</v>
      </c>
      <c r="BE361" s="86">
        <f t="shared" si="575"/>
        <v>0.5</v>
      </c>
      <c r="BF361" s="86">
        <f t="shared" si="545"/>
        <v>0.5</v>
      </c>
      <c r="BG361" s="30" t="e">
        <f t="shared" ca="1" si="576"/>
        <v>#DIV/0!</v>
      </c>
      <c r="BH361" s="85" t="e">
        <f ca="1">IF(AN361&lt;=Hypothèses!$V$7,Hypothèses!$W$7,IF(AN361&lt;=Hypothèses!$V$8,Hypothèses!$W$8,IF(AN361&lt;=Hypothèses!$V$9,Hypothèses!$W$9,IF(AN361&lt;=Hypothèses!$V$10,Hypothèses!$W$10,IF(AN361&lt;=Hypothèses!$V$11,Hypothèses!$W$11,IF(AN361&lt;=Hypothèses!$V$12,Hypothèses!$W$12,IF(AN361&lt;=Hypothèses!$V$13,Hypothèses!$W$13,IF(AN361&lt;=Hypothèses!$V$14,Hypothèses!$W$14,IF(AN361&lt;=Hypothèses!$V$15,Hypothèses!$W$15,IF(AN361&lt;=Hypothèses!$V$16,Hypothèses!$W$16,IF(AN361&lt;=Hypothèses!$V$17,Hypothèses!$W$17,IF(AN361&lt;=Hypothèses!$V$18,Hypothèses!$W$18,""))))))))))))</f>
        <v>#DIV/0!</v>
      </c>
      <c r="BI361" s="87" t="e">
        <f t="shared" ca="1" si="618"/>
        <v>#DIV/0!</v>
      </c>
      <c r="BJ361" s="88" t="e">
        <f ca="1">IF(AN361&lt;=Hypothèses!$V$7,Hypothèses!$X$7,IF(AN361&lt;=Hypothèses!$V$8,Hypothèses!$X$8,IF(AN361&lt;=Hypothèses!$V$9,Hypothèses!$X$9,IF(AN361&lt;=Hypothèses!$V$10,Hypothèses!$X$10,IF(AN361&lt;=Hypothèses!$V$11,Hypothèses!$X$11,IF(AN361&lt;=Hypothèses!$V$12,Hypothèses!$X$12,IF(AN361&lt;=Hypothèses!$V$13,Hypothèses!$X$13,IF(AN361&lt;=Hypothèses!$V$14,Hypothèses!$X$14,IF(AN361&lt;=Hypothèses!$V$15,Hypothèses!$X$15,IF(AN361&lt;=Hypothèses!$V$16,Hypothèses!$X$16,IF(AN361&lt;=Hypothèses!$U$17,Hypothèses!$W$17,IF(AN361&lt;=Hypothèses!$U$18,Hypothèses!$W$18,""))))))))))))</f>
        <v>#DIV/0!</v>
      </c>
      <c r="BK361" s="95" t="e">
        <f t="shared" ca="1" si="577"/>
        <v>#DIV/0!</v>
      </c>
      <c r="BL361" s="101" t="e">
        <f t="shared" si="625"/>
        <v>#N/A</v>
      </c>
      <c r="BM361" s="91" t="e">
        <f t="shared" si="546"/>
        <v>#N/A</v>
      </c>
      <c r="BN361" s="30" t="e">
        <f t="shared" si="604"/>
        <v>#N/A</v>
      </c>
      <c r="BO361" s="30" t="e">
        <f t="shared" si="605"/>
        <v>#N/A</v>
      </c>
      <c r="BP361" s="31" t="e">
        <f>IF(OR(Hypothèses!$B$4=17,Hypothèses!$B$4=18,Hypothèses!$B$4=19,Hypothèses!$B$4=20),
IF($D361="Pressio.",
IF(OR($E361=3,$E361=1,$E361=4),BO361,BN361),
IF($D361="Pénétro.",
IF(OR($E361=3,$E361=1,$E361=4),BO361,BN361))),IF($D361="Pressio.",
IF($E361=3,BO361,BN361),
IF($D361="Pénétro.",
IF($E361=4,BO361,BN361))))</f>
        <v>#N/A</v>
      </c>
      <c r="BQ361" s="31" t="e">
        <f>(IF(OR(Hypothèses!$B$4=17,Hypothèses!$B$4=18,Hypothèses!$B$4=19,Hypothèses!$B$4=20),
IF($D361="Pressio.",
IF(OR($E361=3,$E361=1,$E361=4),(PI()*BQ$12^2)/4*(BM361*$W361*1000)/($H361*$B$5),(PI()*BQ$12^2)/4*(BM361*$W361*1000)/($G361*$B$5)),
IF($D361="Pénétro.",
IF(OR($E361=4,$E361=1,$E361=5),(PI()*BQ$12^2)/4*(BM361*$W361*1000)/($H361*$B$5),(PI()*BQ$12^2)/4*(BM361*$W361*1000)/($G361*$B$5)))),
IF($D361="Pressio.",
IF($E361=3,(PI()*BQ$12^2)/4*(BM361*$W361*1000)/($H361*$B$5),(PI()*BQ$12^2)/4*(BM361*$W361*1000)/($G361*$B$5)),
IF($D361="Pénétro.",
IF($E361=4,(PI()*BQ$12^2)/4*(BM361*$W361*1000)/($H361*$B$5),(PI()*BQ$12^2)/4*(BM361*$W361*1000)/($G361*$B$5))))))/10</f>
        <v>#N/A</v>
      </c>
      <c r="BR361" s="102" t="e">
        <f>(VLOOKUP($B$3,'Coeff EC7'!$T$39:$X$59,2,0)*BP361+VLOOKUP($B$3,'Coeff EC7'!$T$65:$X$85,2,0)*Model0.1C!BQ361)/1.1</f>
        <v>#N/A</v>
      </c>
      <c r="BS361" s="102" t="e">
        <f>(VLOOKUP($B$3,'Coeff EC7'!$T$39:$X$59,3,0)*BP361+VLOOKUP($B$3,'Coeff EC7'!$T$65:$X$85,3,0)*Model0.1C!BQ361)/0.9</f>
        <v>#N/A</v>
      </c>
      <c r="BT361" s="102" t="e">
        <f t="shared" si="578"/>
        <v>#N/A</v>
      </c>
      <c r="BU361" s="102" t="e">
        <f t="shared" si="579"/>
        <v>#N/A</v>
      </c>
      <c r="BV361" s="414" t="e">
        <f>IF(BV360=0,0,IF(AND(BR361&gt;charge_ELS_quasi,BS361&gt;Charge_ELS_freq,BT361&gt;charge_ELU,BU361&gt;charge_ELA,$B361&gt;NDC!$H$22-0.1+MIN(3*$BV$12,1.5)),0,1))</f>
        <v>#N/A</v>
      </c>
      <c r="BW361" s="86" t="b">
        <f t="shared" si="547"/>
        <v>0</v>
      </c>
      <c r="BX361" s="86">
        <f t="shared" si="548"/>
        <v>0.5</v>
      </c>
      <c r="BY361" s="86">
        <f t="shared" si="549"/>
        <v>0.5</v>
      </c>
      <c r="BZ361" s="30" t="e">
        <f t="shared" ca="1" si="580"/>
        <v>#DIV/0!</v>
      </c>
      <c r="CA361" s="85" t="e">
        <f ca="1">IF(BG361&lt;=Hypothèses!$V$7,Hypothèses!$W$7,IF(BG361&lt;=Hypothèses!$V$8,Hypothèses!$W$8,IF(BG361&lt;=Hypothèses!$V$9,Hypothèses!$W$9,IF(BG361&lt;=Hypothèses!$V$10,Hypothèses!$W$10,IF(BG361&lt;=Hypothèses!$V$11,Hypothèses!$W$11,IF(BG361&lt;=Hypothèses!$V$12,Hypothèses!$W$12,IF(BG361&lt;=Hypothèses!$V$13,Hypothèses!$W$13,IF(BG361&lt;=Hypothèses!$V$14,Hypothèses!$W$14,IF(BG361&lt;=Hypothèses!$V$15,Hypothèses!$W$15,IF(BG361&lt;=Hypothèses!$V$16,Hypothèses!$W$16,IF(BG361&lt;=Hypothèses!$V$17,Hypothèses!$W$17,IF(BG361&lt;=Hypothèses!$V$18,Hypothèses!$W$18,""))))))))))))</f>
        <v>#DIV/0!</v>
      </c>
      <c r="CB361" s="87" t="e">
        <f t="shared" ca="1" si="619"/>
        <v>#DIV/0!</v>
      </c>
      <c r="CC361" s="88" t="e">
        <f ca="1">IF(BG361&lt;=Hypothèses!$V$7,Hypothèses!$X$7,IF(BG361&lt;=Hypothèses!$V$8,Hypothèses!$X$8,IF(BG361&lt;=Hypothèses!$V$9,Hypothèses!$X$9,IF(BG361&lt;=Hypothèses!$V$10,Hypothèses!$X$10,IF(BG361&lt;=Hypothèses!$V$11,Hypothèses!$X$11,IF(BG361&lt;=Hypothèses!$V$12,Hypothèses!$X$12,IF(BG361&lt;=Hypothèses!$V$13,Hypothèses!$X$13,IF(BG361&lt;=Hypothèses!$V$14,Hypothèses!$X$14,IF(BG361&lt;=Hypothèses!$V$15,Hypothèses!$X$15,IF(BG361&lt;=Hypothèses!$V$16,Hypothèses!$X$16,IF(BG361&lt;=Hypothèses!$U$17,Hypothèses!$W$17,IF(BG361&lt;=Hypothèses!$U$18,Hypothèses!$W$18,""))))))))))))</f>
        <v>#DIV/0!</v>
      </c>
      <c r="CD361" s="95" t="e">
        <f t="shared" ca="1" si="581"/>
        <v>#DIV/0!</v>
      </c>
      <c r="CE361" s="101" t="e">
        <f t="shared" si="626"/>
        <v>#N/A</v>
      </c>
      <c r="CF361" s="91" t="e">
        <f t="shared" si="550"/>
        <v>#N/A</v>
      </c>
      <c r="CG361" s="30" t="e">
        <f t="shared" si="606"/>
        <v>#N/A</v>
      </c>
      <c r="CH361" s="30" t="e">
        <f t="shared" si="607"/>
        <v>#N/A</v>
      </c>
      <c r="CI361" s="31" t="e">
        <f>IF(OR(Hypothèses!$B$4=17,Hypothèses!$B$4=18,Hypothèses!$B$4=19,Hypothèses!$B$4=20),
IF($D361="Pressio.",
IF(OR($E361=3,$E361=1,$E361=4),CH361,CG361),
IF($D361="Pénétro.",
IF(OR($E361=3,$E361=1,$E361=4),CH361,CG361))),IF($D361="Pressio.",
IF($E361=3,CH361,CG361),
IF($D361="Pénétro.",
IF($E361=4,CH361,CG361))))</f>
        <v>#N/A</v>
      </c>
      <c r="CJ361" s="31" t="e">
        <f>(IF(OR(Hypothèses!$B$4=17,Hypothèses!$B$4=18,Hypothèses!$B$4=19,Hypothèses!$B$4=20),
IF($D361="Pressio.",
IF(OR($E361=3,$E361=1,$E361=4),(PI()*CJ$12^2)/4*(CF361*$W361*1000)/($H361*$B$5),(PI()*CJ$12^2)/4*(CF361*$W361*1000)/($G361*$B$5)),
IF($D361="Pénétro.",
IF(OR($E361=4,$E361=1,$E361=5),(PI()*CJ$12^2)/4*(CF361*$W361*1000)/($H361*$B$5),(PI()*CJ$12^2)/4*(CF361*$W361*1000)/($G361*$B$5)))),
IF($D361="Pressio.",
IF($E361=3,(PI()*CJ$12^2)/4*(CF361*$W361*1000)/($H361*$B$5),(PI()*CJ$12^2)/4*(CF361*$W361*1000)/($G361*$B$5)),
IF($D361="Pénétro.",
IF($E361=4,(PI()*CJ$12^2)/4*(CF361*$W361*1000)/($H361*$B$5),(PI()*CJ$12^2)/4*(CF361*$W361*1000)/($G361*$B$5))))))/10</f>
        <v>#N/A</v>
      </c>
      <c r="CK361" s="102" t="e">
        <f>(VLOOKUP($B$3,'Coeff EC7'!$T$39:$X$59,2,0)*CI361+VLOOKUP($B$3,'Coeff EC7'!$T$65:$X$85,2,0)*Model0.1C!CJ361)/1.1</f>
        <v>#N/A</v>
      </c>
      <c r="CL361" s="102" t="e">
        <f>(VLOOKUP($B$3,'Coeff EC7'!$T$39:$X$59,3,0)*CI361+VLOOKUP($B$3,'Coeff EC7'!$T$65:$X$85,3,0)*Model0.1C!CJ361)/0.9</f>
        <v>#N/A</v>
      </c>
      <c r="CM361" s="102" t="e">
        <f t="shared" si="582"/>
        <v>#N/A</v>
      </c>
      <c r="CN361" s="102" t="e">
        <f t="shared" si="583"/>
        <v>#N/A</v>
      </c>
      <c r="CO361" s="414" t="e">
        <f>IF(CO360=0,0,IF(AND(CK361&gt;charge_ELS_quasi,CL361&gt;Charge_ELS_freq,CM361&gt;charge_ELU,CN361&gt;charge_ELA,$B361&gt;NDC!$H$22-0.1+MIN(3*$CO$12,1.5)),0,1))</f>
        <v>#N/A</v>
      </c>
      <c r="CP361" s="86" t="b">
        <f t="shared" si="551"/>
        <v>0</v>
      </c>
      <c r="CQ361" s="86">
        <f t="shared" si="552"/>
        <v>0.5</v>
      </c>
      <c r="CR361" s="86">
        <f t="shared" si="553"/>
        <v>0.5</v>
      </c>
      <c r="CS361" s="30" t="e">
        <f t="shared" ca="1" si="584"/>
        <v>#DIV/0!</v>
      </c>
      <c r="CT361" s="85" t="e">
        <f ca="1">IF(BZ361&lt;=Hypothèses!$V$7,Hypothèses!$W$7,IF(BZ361&lt;=Hypothèses!$V$8,Hypothèses!$W$8,IF(BZ361&lt;=Hypothèses!$V$9,Hypothèses!$W$9,IF(BZ361&lt;=Hypothèses!$V$10,Hypothèses!$W$10,IF(BZ361&lt;=Hypothèses!$V$11,Hypothèses!$W$11,IF(BZ361&lt;=Hypothèses!$V$12,Hypothèses!$W$12,IF(BZ361&lt;=Hypothèses!$V$13,Hypothèses!$W$13,IF(BZ361&lt;=Hypothèses!$V$14,Hypothèses!$W$14,IF(BZ361&lt;=Hypothèses!$V$15,Hypothèses!$W$15,IF(BZ361&lt;=Hypothèses!$V$16,Hypothèses!$W$16,IF(BZ361&lt;=Hypothèses!$V$17,Hypothèses!$W$17,IF(BZ361&lt;=Hypothèses!$V$18,Hypothèses!$W$18,""))))))))))))</f>
        <v>#DIV/0!</v>
      </c>
      <c r="CU361" s="87" t="e">
        <f t="shared" ca="1" si="620"/>
        <v>#DIV/0!</v>
      </c>
      <c r="CV361" s="88" t="e">
        <f ca="1">IF(BZ361&lt;=Hypothèses!$V$7,Hypothèses!$X$7,IF(BZ361&lt;=Hypothèses!$V$8,Hypothèses!$X$8,IF(BZ361&lt;=Hypothèses!$V$9,Hypothèses!$X$9,IF(BZ361&lt;=Hypothèses!$V$10,Hypothèses!$X$10,IF(BZ361&lt;=Hypothèses!$V$11,Hypothèses!$X$11,IF(BZ361&lt;=Hypothèses!$V$12,Hypothèses!$X$12,IF(BZ361&lt;=Hypothèses!$V$13,Hypothèses!$X$13,IF(BZ361&lt;=Hypothèses!$V$14,Hypothèses!$X$14,IF(BZ361&lt;=Hypothèses!$V$15,Hypothèses!$X$15,IF(BZ361&lt;=Hypothèses!$V$16,Hypothèses!$X$16,IF(BZ361&lt;=Hypothèses!$U$17,Hypothèses!$W$17,IF(BZ361&lt;=Hypothèses!$U$18,Hypothèses!$W$18,""))))))))))))</f>
        <v>#DIV/0!</v>
      </c>
      <c r="CW361" s="95" t="e">
        <f t="shared" ca="1" si="585"/>
        <v>#DIV/0!</v>
      </c>
      <c r="CX361" s="101" t="e">
        <f t="shared" si="627"/>
        <v>#N/A</v>
      </c>
      <c r="CY361" s="91" t="e">
        <f t="shared" si="554"/>
        <v>#N/A</v>
      </c>
      <c r="CZ361" s="30" t="e">
        <f t="shared" si="608"/>
        <v>#N/A</v>
      </c>
      <c r="DA361" s="30" t="e">
        <f t="shared" si="609"/>
        <v>#N/A</v>
      </c>
      <c r="DB361" s="31" t="e">
        <f>IF(OR(Hypothèses!$B$4=17,Hypothèses!$B$4=18,Hypothèses!$B$4=19,Hypothèses!$B$4=20),
IF($D361="Pressio.",
IF(OR($E361=3,$E361=1,$E361=4),DA361,CZ361),
IF($D361="Pénétro.",
IF(OR($E361=3,$E361=1,$E361=4),DA361,CZ361))),IF($D361="Pressio.",
IF($E361=3,DA361,CZ361),
IF($D361="Pénétro.",
IF($E361=4,DA361,CZ361))))</f>
        <v>#N/A</v>
      </c>
      <c r="DC361" s="31" t="e">
        <f>(IF(OR(Hypothèses!$B$4=17,Hypothèses!$B$4=18,Hypothèses!$B$4=19,Hypothèses!$B$4=20),
IF($D361="Pressio.",
IF(OR($E361=3,$E361=1,$E361=4),(PI()*DC$12^2)/4*(CY361*$W361*1000)/($H361*$B$5),(PI()*DC$12^2)/4*(CY361*$W361*1000)/($G361*$B$5)),
IF($D361="Pénétro.",
IF(OR($E361=4,$E361=1,$E361=5),(PI()*DC$12^2)/4*(CY361*$W361*1000)/($H361*$B$5),(PI()*DC$12^2)/4*(CY361*$W361*1000)/($G361*$B$5)))),
IF($D361="Pressio.",
IF($E361=3,(PI()*DC$12^2)/4*(CY361*$W361*1000)/($H361*$B$5),(PI()*DC$12^2)/4*(CY361*$W361*1000)/($G361*$B$5)),
IF($D361="Pénétro.",
IF($E361=4,(PI()*DC$12^2)/4*(CY361*$W361*1000)/($H361*$B$5),(PI()*DC$12^2)/4*(CY361*$W361*1000)/($G361*$B$5))))))/10</f>
        <v>#N/A</v>
      </c>
      <c r="DD361" s="102" t="e">
        <f>(VLOOKUP($B$3,'Coeff EC7'!$T$39:$X$59,2,0)*DB361+VLOOKUP($B$3,'Coeff EC7'!$T$65:$X$85,2,0)*Model0.1C!DC361)/1.1</f>
        <v>#N/A</v>
      </c>
      <c r="DE361" s="102" t="e">
        <f>(VLOOKUP($B$3,'Coeff EC7'!$T$39:$X$59,3,0)*DB361+VLOOKUP($B$3,'Coeff EC7'!$T$65:$X$85,3,0)*Model0.1C!DC361)/0.9</f>
        <v>#N/A</v>
      </c>
      <c r="DF361" s="102" t="e">
        <f t="shared" si="586"/>
        <v>#N/A</v>
      </c>
      <c r="DG361" s="102" t="e">
        <f t="shared" si="587"/>
        <v>#N/A</v>
      </c>
      <c r="DH361" s="414" t="e">
        <f>IF(DH360=0,0,IF(AND(DD361&gt;charge_ELS_quasi,DE361&gt;Charge_ELS_freq,DF361&gt;charge_ELU,DG361&gt;charge_ELA,$B361&gt;NDC!$H$22-0.1+MIN(3*$DH$12,1.5)),0,1))</f>
        <v>#N/A</v>
      </c>
      <c r="DI361" s="86" t="b">
        <f t="shared" si="555"/>
        <v>0</v>
      </c>
      <c r="DJ361" s="86">
        <f t="shared" si="556"/>
        <v>0.5</v>
      </c>
      <c r="DK361" s="86">
        <f t="shared" si="557"/>
        <v>0.5</v>
      </c>
      <c r="DL361" s="30" t="e">
        <f t="shared" ca="1" si="588"/>
        <v>#DIV/0!</v>
      </c>
      <c r="DM361" s="85" t="e">
        <f ca="1">IF(CS361&lt;=Hypothèses!$V$7,Hypothèses!$W$7,IF(CS361&lt;=Hypothèses!$V$8,Hypothèses!$W$8,IF(CS361&lt;=Hypothèses!$V$9,Hypothèses!$W$9,IF(CS361&lt;=Hypothèses!$V$10,Hypothèses!$W$10,IF(CS361&lt;=Hypothèses!$V$11,Hypothèses!$W$11,IF(CS361&lt;=Hypothèses!$V$12,Hypothèses!$W$12,IF(CS361&lt;=Hypothèses!$V$13,Hypothèses!$W$13,IF(CS361&lt;=Hypothèses!$V$14,Hypothèses!$W$14,IF(CS361&lt;=Hypothèses!$V$15,Hypothèses!$W$15,IF(CS361&lt;=Hypothèses!$V$16,Hypothèses!$W$16,IF(CS361&lt;=Hypothèses!$V$17,Hypothèses!$W$17,IF(CS361&lt;=Hypothèses!$V$18,Hypothèses!$W$18,""))))))))))))</f>
        <v>#DIV/0!</v>
      </c>
      <c r="DN361" s="87" t="e">
        <f t="shared" ca="1" si="621"/>
        <v>#DIV/0!</v>
      </c>
      <c r="DO361" s="88" t="e">
        <f ca="1">IF(CS361&lt;=Hypothèses!$V$7,Hypothèses!$X$7,IF(CS361&lt;=Hypothèses!$V$8,Hypothèses!$X$8,IF(CS361&lt;=Hypothèses!$V$9,Hypothèses!$X$9,IF(CS361&lt;=Hypothèses!$V$10,Hypothèses!$X$10,IF(CS361&lt;=Hypothèses!$V$11,Hypothèses!$X$11,IF(CS361&lt;=Hypothèses!$V$12,Hypothèses!$X$12,IF(CS361&lt;=Hypothèses!$V$13,Hypothèses!$X$13,IF(CS361&lt;=Hypothèses!$V$14,Hypothèses!$X$14,IF(CS361&lt;=Hypothèses!$V$15,Hypothèses!$X$15,IF(CS361&lt;=Hypothèses!$V$16,Hypothèses!$X$16,IF(CS361&lt;=Hypothèses!$U$17,Hypothèses!$W$17,IF(CS361&lt;=Hypothèses!$U$18,Hypothèses!$W$18,""))))))))))))</f>
        <v>#DIV/0!</v>
      </c>
      <c r="DP361" s="95" t="e">
        <f t="shared" ca="1" si="589"/>
        <v>#DIV/0!</v>
      </c>
      <c r="DQ361" s="101" t="e">
        <f t="shared" si="628"/>
        <v>#N/A</v>
      </c>
      <c r="DR361" s="91" t="e">
        <f t="shared" si="558"/>
        <v>#N/A</v>
      </c>
      <c r="DS361" s="30" t="e">
        <f t="shared" si="610"/>
        <v>#N/A</v>
      </c>
      <c r="DT361" s="30" t="e">
        <f t="shared" si="611"/>
        <v>#N/A</v>
      </c>
      <c r="DU361" s="31" t="e">
        <f>IF(OR(Hypothèses!$B$4=17,Hypothèses!$B$4=18,Hypothèses!$B$4=19,Hypothèses!$B$4=20),
IF($D361="Pressio.",
IF(OR($E361=3,$E361=1,$E361=4),DT361,DS361),
IF($D361="Pénétro.",
IF(OR($E361=3,$E361=1,$E361=4),DT361,DS361))),IF($D361="Pressio.",
IF($E361=3,DT361,DS361),
IF($D361="Pénétro.",
IF($E361=4,DT361,DS361))))</f>
        <v>#N/A</v>
      </c>
      <c r="DV361" s="31" t="e">
        <f>(IF(OR(Hypothèses!$B$4=17,Hypothèses!$B$4=18,Hypothèses!$B$4=19,Hypothèses!$B$4=20),
IF($D361="Pressio.",
IF(OR($E361=3,$E361=1,$E361=4),(PI()*DV$12^2)/4*(DR361*$W361*1000)/($H361*$B$5),(PI()*DV$12^2)/4*(DR361*$W361*1000)/($G361*$B$5)),
IF($D361="Pénétro.",
IF(OR($E361=4,$E361=1,$E361=5),(PI()*DV$12^2)/4*(DR361*$W361*1000)/($H361*$B$5),(PI()*DV$12^2)/4*(DR361*$W361*1000)/($G361*$B$5)))),
IF($D361="Pressio.",
IF($E361=3,(PI()*DV$12^2)/4*(DR361*$W361*1000)/($H361*$B$5),(PI()*DV$12^2)/4*(DR361*$W361*1000)/($G361*$B$5)),
IF($D361="Pénétro.",
IF($E361=4,(PI()*DV$12^2)/4*(DR361*$W361*1000)/($H361*$B$5),(PI()*DV$12^2)/4*(DR361*$W361*1000)/($G361*$B$5))))))/10</f>
        <v>#N/A</v>
      </c>
      <c r="DW361" s="102" t="e">
        <f>(VLOOKUP($B$3,'Coeff EC7'!$T$39:$X$59,2,0)*DU361+VLOOKUP($B$3,'Coeff EC7'!$T$65:$X$85,2,0)*Model0.1C!DV361)/1.1</f>
        <v>#N/A</v>
      </c>
      <c r="DX361" s="102" t="e">
        <f>(VLOOKUP($B$3,'Coeff EC7'!$T$39:$X$59,3,0)*DU361+VLOOKUP($B$3,'Coeff EC7'!$T$65:$X$85,3,0)*Model0.1C!DV361)/0.9</f>
        <v>#N/A</v>
      </c>
      <c r="DY361" s="102" t="e">
        <f t="shared" si="590"/>
        <v>#N/A</v>
      </c>
      <c r="DZ361" s="102" t="e">
        <f t="shared" si="591"/>
        <v>#N/A</v>
      </c>
      <c r="EA361" s="414" t="e">
        <f>IF(EA360=0,0,IF(AND(DW361&gt;charge_ELS_quasi,DX361&gt;Charge_ELS_freq,DY361&gt;charge_ELU,DZ361&gt;charge_ELA,$B361&gt;NDC!$H$22-0.1+MIN(3*$EA$12,1.5)),0,1))</f>
        <v>#N/A</v>
      </c>
      <c r="EB361" s="86" t="b">
        <f t="shared" si="559"/>
        <v>0</v>
      </c>
      <c r="EC361" s="418">
        <f t="shared" si="560"/>
        <v>0.51</v>
      </c>
      <c r="ED361" s="86">
        <f t="shared" si="561"/>
        <v>0.51</v>
      </c>
      <c r="EE361" s="30" t="e">
        <f t="shared" ca="1" si="592"/>
        <v>#DIV/0!</v>
      </c>
      <c r="EF361" s="85" t="e">
        <f ca="1">IF(DL361&lt;=Hypothèses!$V$7,Hypothèses!$W$7,IF(DL361&lt;=Hypothèses!$V$8,Hypothèses!$W$8,IF(DL361&lt;=Hypothèses!$V$9,Hypothèses!$W$9,IF(DL361&lt;=Hypothèses!$V$10,Hypothèses!$W$10,IF(DL361&lt;=Hypothèses!$V$11,Hypothèses!$W$11,IF(DL361&lt;=Hypothèses!$V$12,Hypothèses!$W$12,IF(DL361&lt;=Hypothèses!$V$13,Hypothèses!$W$13,IF(DL361&lt;=Hypothèses!$V$14,Hypothèses!$W$14,IF(DL361&lt;=Hypothèses!$V$15,Hypothèses!$W$15,IF(DL361&lt;=Hypothèses!$V$16,Hypothèses!$W$16,IF(DL361&lt;=Hypothèses!$V$17,Hypothèses!$W$17,IF(DL361&lt;=Hypothèses!$V$18,Hypothèses!$W$18,""))))))))))))</f>
        <v>#DIV/0!</v>
      </c>
      <c r="EG361" s="87" t="e">
        <f t="shared" ca="1" si="622"/>
        <v>#DIV/0!</v>
      </c>
      <c r="EH361" s="88" t="e">
        <f ca="1">IF(DL361&lt;=Hypothèses!$V$7,Hypothèses!$X$7,IF(DL361&lt;=Hypothèses!$V$8,Hypothèses!$X$8,IF(DL361&lt;=Hypothèses!$V$9,Hypothèses!$X$9,IF(DL361&lt;=Hypothèses!$V$10,Hypothèses!$X$10,IF(DL361&lt;=Hypothèses!$V$11,Hypothèses!$X$11,IF(DL361&lt;=Hypothèses!$V$12,Hypothèses!$X$12,IF(DL361&lt;=Hypothèses!$V$13,Hypothèses!$X$13,IF(DL361&lt;=Hypothèses!$V$14,Hypothèses!$X$14,IF(DL361&lt;=Hypothèses!$V$15,Hypothèses!$X$15,IF(DL361&lt;=Hypothèses!$V$16,Hypothèses!$X$16,IF(DL361&lt;=Hypothèses!$U$17,Hypothèses!$W$17,IF(DL361&lt;=Hypothèses!$U$18,Hypothèses!$W$18,""))))))))))))</f>
        <v>#DIV/0!</v>
      </c>
      <c r="EI361" s="95" t="e">
        <f t="shared" ca="1" si="593"/>
        <v>#DIV/0!</v>
      </c>
      <c r="EJ361" s="101" t="e">
        <f t="shared" si="629"/>
        <v>#N/A</v>
      </c>
      <c r="EK361" s="91" t="e">
        <f t="shared" si="562"/>
        <v>#N/A</v>
      </c>
      <c r="EL361" s="30" t="e">
        <f t="shared" si="612"/>
        <v>#N/A</v>
      </c>
      <c r="EM361" s="30" t="e">
        <f t="shared" si="613"/>
        <v>#N/A</v>
      </c>
      <c r="EN361" s="31" t="e">
        <f>IF(OR(Hypothèses!$B$4=17,Hypothèses!$B$4=18,Hypothèses!$B$4=19,Hypothèses!$B$4=20),
IF($D361="Pressio.",
IF(OR($E361=3,$E361=1,$E361=4),EM361,EL361),
IF($D361="Pénétro.",
IF(OR($E361=3,$E361=1,$E361=4),EM361,EL361))),IF($D361="Pressio.",
IF($E361=3,EM361,EL361),
IF($D361="Pénétro.",
IF($E361=4,EM361,EL361))))</f>
        <v>#N/A</v>
      </c>
      <c r="EO361" s="31" t="e">
        <f>(IF(OR(Hypothèses!$B$4=17,Hypothèses!$B$4=18,Hypothèses!$B$4=19,Hypothèses!$B$4=20),
IF($D361="Pressio.",
IF(OR($E361=3,$E361=1,$E361=4),(PI()*EO$12^2)/4*(EK361*$W361*1000)/($H361*$B$5),(PI()*EO$12^2)/4*(EK361*$W361*1000)/($G361*$B$5)),
IF($D361="Pénétro.",
IF(OR($E361=4,$E361=1,$E361=5),(PI()*EO$12^2)/4*(EK361*$W361*1000)/($H361*$B$5),(PI()*EO$12^2)/4*(EK361*$W361*1000)/($G361*$B$5)))),
IF($D361="Pressio.",
IF($E361=3,(PI()*EO$12^2)/4*(EK361*$W361*1000)/($H361*$B$5),(PI()*EO$12^2)/4*(EK361*$W361*1000)/($G361*$B$5)),
IF($D361="Pénétro.",
IF($E361=4,(PI()*EO$12^2)/4*(EK361*$W361*1000)/($H361*$B$5),(PI()*EO$12^2)/4*(EK361*$W361*1000)/($G361*$B$5))))))/10</f>
        <v>#N/A</v>
      </c>
      <c r="EP361" s="102" t="e">
        <f>(VLOOKUP($B$3,'Coeff EC7'!$T$39:$X$59,2,0)*EN361+VLOOKUP($B$3,'Coeff EC7'!$T$65:$X$85,2,0)*Model0.1C!EO361)/1.1</f>
        <v>#N/A</v>
      </c>
      <c r="EQ361" s="102" t="e">
        <f>(VLOOKUP($B$3,'Coeff EC7'!$T$39:$X$59,3,0)*EN361+VLOOKUP($B$3,'Coeff EC7'!$T$65:$X$85,3,0)*Model0.1C!EO361)/0.9</f>
        <v>#N/A</v>
      </c>
      <c r="ER361" s="102" t="e">
        <f t="shared" si="594"/>
        <v>#N/A</v>
      </c>
      <c r="ES361" s="102" t="e">
        <f t="shared" si="595"/>
        <v>#N/A</v>
      </c>
      <c r="ET361" s="414" t="e">
        <f>IF(ET360=0,0,IF(AND(EP361&gt;charge_ELS_quasi,EQ361&gt;Charge_ELS_freq,ER361&gt;charge_ELU,ES361&gt;charge_ELA,$B361&gt;NDC!$H$22-0.1+MIN(3*$ET$12,1.5)),0,1))</f>
        <v>#N/A</v>
      </c>
      <c r="EU361" s="86" t="b">
        <f t="shared" si="563"/>
        <v>0</v>
      </c>
      <c r="EV361" s="86">
        <f t="shared" si="564"/>
        <v>0.61</v>
      </c>
      <c r="EW361" s="86">
        <f t="shared" si="565"/>
        <v>0.61</v>
      </c>
      <c r="EX361" s="30" t="e">
        <f t="shared" ca="1" si="596"/>
        <v>#DIV/0!</v>
      </c>
      <c r="EY361" s="85" t="e">
        <f ca="1">IF(EE361&lt;=Hypothèses!$V$7,Hypothèses!$W$7,IF(EE361&lt;=Hypothèses!$V$8,Hypothèses!$W$8,IF(EE361&lt;=Hypothèses!$V$9,Hypothèses!$W$9,IF(EE361&lt;=Hypothèses!$V$10,Hypothèses!$W$10,IF(EE361&lt;=Hypothèses!$V$11,Hypothèses!$W$11,IF(EE361&lt;=Hypothèses!$V$12,Hypothèses!$W$12,IF(EE361&lt;=Hypothèses!$V$13,Hypothèses!$W$13,IF(EE361&lt;=Hypothèses!$V$14,Hypothèses!$W$14,IF(EE361&lt;=Hypothèses!$V$15,Hypothèses!$W$15,IF(EE361&lt;=Hypothèses!$V$16,Hypothèses!$W$16,IF(EE361&lt;=Hypothèses!$V$17,Hypothèses!$W$17,IF(EE361&lt;=Hypothèses!$V$18,Hypothèses!$W$18,""))))))))))))</f>
        <v>#DIV/0!</v>
      </c>
      <c r="EZ361" s="87" t="e">
        <f t="shared" ca="1" si="623"/>
        <v>#DIV/0!</v>
      </c>
      <c r="FA361" s="88" t="e">
        <f ca="1">IF(EE361&lt;=Hypothèses!$V$7,Hypothèses!$X$7,IF(EE361&lt;=Hypothèses!$V$8,Hypothèses!$X$8,IF(EE361&lt;=Hypothèses!$V$9,Hypothèses!$X$9,IF(EE361&lt;=Hypothèses!$V$10,Hypothèses!$X$10,IF(EE361&lt;=Hypothèses!$V$11,Hypothèses!$X$11,IF(EE361&lt;=Hypothèses!$V$12,Hypothèses!$X$12,IF(EE361&lt;=Hypothèses!$V$13,Hypothèses!$X$13,IF(EE361&lt;=Hypothèses!$V$14,Hypothèses!$X$14,IF(EE361&lt;=Hypothèses!$V$15,Hypothèses!$X$15,IF(EE361&lt;=Hypothèses!$V$16,Hypothèses!$X$16,IF(EE361&lt;=Hypothèses!$U$17,Hypothèses!$W$17,IF(EE361&lt;=Hypothèses!$U$18,Hypothèses!$W$18,""))))))))))))</f>
        <v>#DIV/0!</v>
      </c>
      <c r="FB361" s="95" t="e">
        <f t="shared" ca="1" si="597"/>
        <v>#DIV/0!</v>
      </c>
      <c r="FC361" s="101" t="e">
        <f t="shared" si="630"/>
        <v>#N/A</v>
      </c>
      <c r="FD361" s="91" t="e">
        <f t="shared" si="566"/>
        <v>#N/A</v>
      </c>
      <c r="FE361" s="30" t="e">
        <f t="shared" si="614"/>
        <v>#N/A</v>
      </c>
      <c r="FF361" s="30" t="e">
        <f t="shared" si="615"/>
        <v>#N/A</v>
      </c>
      <c r="FG361" s="31" t="e">
        <f>IF(OR(Hypothèses!$B$4=17,Hypothèses!$B$4=18,Hypothèses!$B$4=19,Hypothèses!$B$4=20),
IF($D361="Pressio.",
IF(OR($E361=3,$E361=1,$E361=4),FF361,FE361),
IF($D361="Pénétro.",
IF(OR($E361=3,$E361=1,$E361=4),FF361,FE361))),IF($D361="Pressio.",
IF($E361=3,FF361,FE361),
IF($D361="Pénétro.",
IF($E361=4,FF361,FE361))))</f>
        <v>#N/A</v>
      </c>
      <c r="FH361" s="31" t="e">
        <f>(IF(OR(Hypothèses!$B$4=17,Hypothèses!$B$4=18,Hypothèses!$B$4=19,Hypothèses!$B$4=20),
IF($D361="Pressio.",
IF(OR($E361=3,$E361=1,$E361=4),(PI()*FH$12^2)/4*(FD361*$W361*1000)/($H361*$B$5),(PI()*FH$12^2)/4*(FD361*$W361*1000)/($G361*$B$5)),
IF($D361="Pénétro.",
IF(OR($E361=4,$E361=1,$E361=5),(PI()*FH$12^2)/4*(FD361*$W361*1000)/($H361*$B$5),(PI()*FH$12^2)/4*(FD361*$W361*1000)/($G361*$B$5)))),
IF($D361="Pressio.",
IF($E361=3,(PI()*FH$12^2)/4*(FD361*$W361*1000)/($H361*$B$5),(PI()*FH$12^2)/4*(FD361*$W361*1000)/($G361*$B$5)),
IF($D361="Pénétro.",
IF($E361=4,(PI()*FH$12^2)/4*(FD361*$W361*1000)/($H361*$B$5),(PI()*FH$12^2)/4*(FD361*$W361*1000)/($G361*$B$5))))))/10</f>
        <v>#N/A</v>
      </c>
      <c r="FI361" s="102" t="e">
        <f>(VLOOKUP($B$3,'Coeff EC7'!$T$39:$X$59,2,0)*FG361+VLOOKUP($B$3,'Coeff EC7'!$T$65:$X$85,2,0)*Model0.1C!FH361)/1.1</f>
        <v>#N/A</v>
      </c>
      <c r="FJ361" s="102" t="e">
        <f>(VLOOKUP($B$3,'Coeff EC7'!$T$39:$X$59,3,0)*FG361+VLOOKUP($B$3,'Coeff EC7'!$T$65:$X$85,3,0)*Model0.1C!FH361)/0.9</f>
        <v>#N/A</v>
      </c>
      <c r="FK361" s="102" t="e">
        <f t="shared" si="598"/>
        <v>#N/A</v>
      </c>
      <c r="FL361" s="102" t="e">
        <f t="shared" si="599"/>
        <v>#N/A</v>
      </c>
      <c r="FM361" s="414" t="e">
        <f>IF(FM360=0,0,IF(AND(FI361&gt;charge_ELS_quasi,FJ361&gt;Charge_ELS_freq,FK361&gt;charge_ELU,FL361&gt;charge_ELA,$B361&gt;NDC!$H$22-0.1+MIN(3*$FM$12,1.5)),0,1))</f>
        <v>#N/A</v>
      </c>
    </row>
    <row r="362" spans="1:169">
      <c r="A362" s="96">
        <f t="shared" si="567"/>
        <v>65.100000000001984</v>
      </c>
      <c r="B362" s="97">
        <v>34.9</v>
      </c>
      <c r="C362" s="81">
        <f>IF(B362&lt;=Hypothèses!$C$7,Hypothèses!$A$7,IF(B362&lt;=Hypothèses!$C$8,Hypothèses!$A$8,IF(B362&lt;=Hypothèses!$C$9,Hypothèses!$A$9,IF(B362&lt;=Hypothèses!$C$10,Hypothèses!$A$10,IF(B362&lt;=Hypothèses!$C$11,Hypothèses!$A$11,IF(B362&lt;=Hypothèses!$C$12,Hypothèses!$A$12,IF(B362&lt;=Hypothèses!$C$13,Hypothèses!$A$13,IF(B362&lt;=Hypothèses!$C$14,Hypothèses!$A$14,IF(B362&lt;=Hypothèses!$C$15,Hypothèses!$A$15,IF(B362&lt;=Hypothèses!$C$16,Hypothèses!$A$16,IF(B362&lt;=Hypothèses!$C$17,Hypothèses!$A$17,IF(B362&lt;=Hypothèses!$C$18,Hypothèses!$A$18,C361))))))))))))</f>
        <v>11</v>
      </c>
      <c r="D362" s="82" t="str">
        <f>IF(B362&lt;=Hypothèses!$C$7,Hypothèses!$R$7,IF(B362&lt;=Hypothèses!$C$8,Hypothèses!$R$8,IF(B362&lt;=Hypothèses!$C$9,Hypothèses!$R$9,IF(B362&lt;=Hypothèses!$C$10,Hypothèses!$R$10,IF(B362&lt;=Hypothèses!$C$11,Hypothèses!$R$11,IF(B362&lt;=Hypothèses!$C$12,Hypothèses!$R$12,IF(B362&lt;=Hypothèses!$C$13,Hypothèses!$R$13,IF(B362&lt;=Hypothèses!$C$14,Hypothèses!$R$14,IF(B362&lt;=Hypothèses!$C$15,Hypothèses!$R$15,IF(B362&lt;=Hypothèses!$C$16,Hypothèses!$R$16,IF(B362&lt;=Hypothèses!$C$17,Hypothèses!$R$17,IF(B362&lt;=Hypothèses!$C$18,Hypothèses!$R$18,D361))))))))))))</f>
        <v>Pressio.</v>
      </c>
      <c r="E362" s="82" t="e">
        <f>IF(B362&lt;=Hypothèses!$C$7,Hypothèses!$G$7,IF(B362&lt;=Hypothèses!$C$8,Hypothèses!$G$8,IF(B362&lt;=Hypothèses!$C$9,Hypothèses!$G$9,IF(B362&lt;=Hypothèses!$C$10,Hypothèses!$G$10,IF(B362&lt;=Hypothèses!$C$11,Hypothèses!$G$11,IF(B362&lt;=Hypothèses!$C$12,Hypothèses!$G$12,IF(B362&lt;=Hypothèses!$C$13,Hypothèses!$G$13,IF(B362&lt;=Hypothèses!$C$14,Hypothèses!$G$14,IF(B362&lt;=Hypothèses!$C$15,Hypothèses!$G$15,IF(B362&lt;=Hypothèses!$C$16,Hypothèses!$G$16,IF(B362&lt;=Hypothèses!$C$17,Hypothèses!$G$17,IF(B362&lt;=Hypothèses!$C$18,Hypothèses!$G$18,E361))))))))))))</f>
        <v>#N/A</v>
      </c>
      <c r="F362" s="82" t="str">
        <f>IF(B362&lt;=Hypothèses!$C$7,Hypothèses!$F$7,IF(B362&lt;=Hypothèses!$C$8,Hypothèses!$F$8,IF(B362&lt;=Hypothèses!$C$9,Hypothèses!$F$9,IF(B362&lt;=Hypothèses!$C$10,Hypothèses!$F$10,IF(B362&lt;=Hypothèses!$C$11,Hypothèses!$F$11,IF(B362&lt;=Hypothèses!$C$12,Hypothèses!$F$12,IF(B362&lt;=Hypothèses!$C$13,Hypothèses!$F$13,IF(B362&lt;=Hypothèses!$C$14,Hypothèses!$F$14,IF(B362&lt;=Hypothèses!$C$15,Hypothèses!$F$15,IF(B362&lt;=Hypothèses!$C$16,Hypothèses!$F$16,IF(B362&lt;=Hypothèses!$C$17,Hypothèses!$F$17,IF(B362&lt;=Hypothèses!$C$18,Hypothèses!$F$18,F361))))))))))))</f>
        <v/>
      </c>
      <c r="G362" s="91">
        <f t="array" ref="G362">INDEX('Coeff EC7'!$U$7:$X$27,
MATCH(Model0.1C!$B$3,'Coeff EC7'!$T$7:$T$27,0),
MATCH(Model0.1C!$D362&amp;Model0.1C!$B$4,
'Coeff EC7'!$U$6:$X$6&amp;
'Coeff EC7'!$U$5:$X$5,0))</f>
        <v>1.1499999999999999</v>
      </c>
      <c r="H362" s="91">
        <f t="array" ref="H362">INDEX('Coeff EC7'!$Y$7:$AB$27,
MATCH(Model0.1C!$B$3,'Coeff EC7'!$T$7:$T$27,0),
MATCH(Model0.1C!$D362&amp;Model0.1C!$B$4,
'Coeff EC7'!$Y$6:$AB$6&amp;
'Coeff EC7'!$Y$5:$AB$5,0))</f>
        <v>1.4</v>
      </c>
      <c r="I362" s="83" t="e">
        <f>IF(B362&lt;=Hypothèses!$C$7,Hypothèses!$P$7,IF(B362&lt;=Hypothèses!$C$8,Hypothèses!$P$8,IF(B362&lt;=Hypothèses!$C$9,Hypothèses!$P$9,IF(B362&lt;=Hypothèses!$C$10,Hypothèses!$P$10,IF(B362&lt;=Hypothèses!$C$11,Hypothèses!$P$11,IF(B362&lt;=Hypothèses!$C$12,Hypothèses!$P$12,IF(B362&lt;=Hypothèses!$C$13,Hypothèses!$P$13,IF(B362&lt;=Hypothèses!$C$14,Hypothèses!$P$14,IF(B362&lt;=Hypothèses!$C$15,Hypothèses!$P$15,IF(B362&lt;=Hypothèses!$C$16,Hypothèses!$P$16,IF(B362&lt;=Hypothèses!$C$17,Hypothèses!$P$17,IF(B362&lt;=Hypothèses!$C$18,Hypothèses!$P$18,I361))))))))))))</f>
        <v>#N/A</v>
      </c>
      <c r="J362" s="91" t="e">
        <f t="array" ref="J362">INDEX('Coeff EC7'!$D$33:$Q$33,1,MATCH(D362&amp;E362,'Coeff EC7'!$D$31:$Q$31&amp;'Coeff EC7'!$D$32:$Q$32,0))</f>
        <v>#N/A</v>
      </c>
      <c r="K362" s="91" t="e">
        <f t="array" ref="K362">INDEX('Coeff EC7'!$D$34:$Q$34,1,MATCH(D362&amp;E362,'Coeff EC7'!$D$31:$Q$31&amp;'Coeff EC7'!$D$32:$Q$32,0))</f>
        <v>#N/A</v>
      </c>
      <c r="L362" s="91" t="e">
        <f t="array" ref="L362">INDEX('Coeff EC7'!$D$35:$Q$35,1,MATCH(D362&amp;E362,'Coeff EC7'!$D$31:$Q$31&amp;'Coeff EC7'!$D$32:$Q$32,0))</f>
        <v>#N/A</v>
      </c>
      <c r="M362" s="98" t="e">
        <f t="shared" si="531"/>
        <v>#N/A</v>
      </c>
      <c r="N362" s="99" t="e">
        <f t="array" ref="N362">INDEX('Coeff EC7'!$D$7:$Q$27,MATCH($B$3,'Coeff EC7'!$C$7:$C$27,0),MATCH(D362&amp;E362,'Coeff EC7'!$D$5:$Q$5&amp;'Coeff EC7'!$D$6:$Q$6,0))</f>
        <v>#N/A</v>
      </c>
      <c r="O362" s="99" t="e">
        <f t="array" ref="O362">INDEX('Coeff EC7'!$D$41:$Q$61,MATCH($B$3,'Coeff EC7'!$C$41:$C$61,0),MATCH(D362&amp;E362,'Coeff EC7'!$D$39:$Q$39&amp;'Coeff EC7'!$D$40:$Q$40,0))</f>
        <v>#N/A</v>
      </c>
      <c r="P362" s="30" t="e">
        <f t="shared" si="568"/>
        <v>#N/A</v>
      </c>
      <c r="Q362" s="100" t="e">
        <f t="shared" si="533"/>
        <v>#N/A</v>
      </c>
      <c r="R362" s="86" t="b">
        <f t="shared" si="534"/>
        <v>0</v>
      </c>
      <c r="S362" s="86">
        <f t="shared" si="532"/>
        <v>0.5</v>
      </c>
      <c r="T362" s="86">
        <f t="shared" si="535"/>
        <v>0.5</v>
      </c>
      <c r="U362" s="30" t="e">
        <f t="shared" ca="1" si="569"/>
        <v>#DIV/0!</v>
      </c>
      <c r="V362" s="85" t="str">
        <f>IF(B362&lt;=Hypothèses!$V$7,Hypothèses!$W$7,IF(B362&lt;=Hypothèses!$V$8,Hypothèses!$W$8,IF(B362&lt;=Hypothèses!$V$9,Hypothèses!$W$9,IF(B362&lt;=Hypothèses!$V$10,Hypothèses!$W$10,IF(B362&lt;=Hypothèses!$V$11,Hypothèses!$W$11,IF(B362&lt;=Hypothèses!$V$12,Hypothèses!$W$12,IF(B362&lt;=Hypothèses!$V$13,Hypothèses!$W$13,IF(B362&lt;=Hypothèses!$V$14,Hypothèses!$W$14,IF(B362&lt;=Hypothèses!$V$15,Hypothèses!$W$15,IF(B362&lt;=Hypothèses!$V$16,Hypothèses!$W$16,IF(B362&lt;=Hypothèses!$V$17,Hypothèses!$W$17,IF(B362&lt;=Hypothèses!$V$18,Hypothèses!$W$18,""))))))))))))</f>
        <v/>
      </c>
      <c r="W362" s="87" t="e">
        <f t="shared" ca="1" si="616"/>
        <v>#DIV/0!</v>
      </c>
      <c r="X362" s="88" t="str">
        <f>IF(B362&lt;=Hypothèses!$V$7,Hypothèses!$X$7,IF(B362&lt;=Hypothèses!$V$8,Hypothèses!$X$8,IF(B362&lt;=Hypothèses!$V$9,Hypothèses!$X$9,IF(B362&lt;=Hypothèses!$V$10,Hypothèses!$X$10,IF(B362&lt;=Hypothèses!$V$11,Hypothèses!$X$11,IF(B362&lt;=Hypothèses!$V$12,Hypothèses!$X$12,IF(B362&lt;=Hypothèses!$V$13,Hypothèses!$X$13,IF(B362&lt;=Hypothèses!$V$14,Hypothèses!$X$14,IF(B362&lt;=Hypothèses!$V$15,Hypothèses!$X$15,IF(B362&lt;=Hypothèses!$V$16,Hypothèses!$X$16,IF(B362&lt;=Hypothèses!$U$17,Hypothèses!$W$17,IF(B362&lt;=Hypothèses!$U$18,Hypothèses!$W$18,""))))))))))))</f>
        <v/>
      </c>
      <c r="Y362" s="95" t="e">
        <f t="shared" ca="1" si="536"/>
        <v>#DIV/0!</v>
      </c>
      <c r="Z362" s="101" t="e">
        <f t="shared" si="537"/>
        <v>#N/A</v>
      </c>
      <c r="AA362" s="91" t="e">
        <f t="shared" si="538"/>
        <v>#N/A</v>
      </c>
      <c r="AB362" s="30" t="e">
        <f t="shared" si="600"/>
        <v>#N/A</v>
      </c>
      <c r="AC362" s="30" t="e">
        <f t="shared" si="601"/>
        <v>#N/A</v>
      </c>
      <c r="AD362" s="31" t="e">
        <f>IF(OR(Hypothèses!$B$4=17,Hypothèses!$B$4=18,Hypothèses!$B$4=19,Hypothèses!$B$4=20),
IF($D362="Pressio.",
IF(OR($E362=3,$E362=1,$E362=4),AC362,AB362),
IF($D362="Pénétro.",
IF(OR($E362=3,$E362=1,$E362=4),AC362,AB362))),IF($D362="Pressio.",
IF($E362=3,AC362,AB362),
IF($D362="Pénétro.",
IF($E362=4,AC362,AB362))))</f>
        <v>#N/A</v>
      </c>
      <c r="AE362" s="31" t="e">
        <f>(IF(OR(Hypothèses!$B$4=17,Hypothèses!$B$4=18,Hypothèses!$B$4=19,Hypothèses!$B$4=20),
IF($D362="Pressio.",
IF(OR($E362=3,$E362=1,$E362=4),(PI()*AE$12^2)/4*(AA362*$W362*1000)/($H362*$B$5),(PI()*AE$12^2)/4*(AA362*$W362*1000)/($G362*$B$5)),
IF($D362="Pénétro.",
IF(OR($E362=4,$E362=1,$E362=5),(PI()*AE$12^2)/4*(AA362*$W362*1000)/($H362*$B$5),(PI()*AE$12^2)/4*(AA362*$W362*1000)/($G362*$B$5)))),
IF($D362="Pressio.",
IF($E362=3,(PI()*AE$12^2)/4*(AA362*$W362*1000)/($H362*$B$5),(PI()*AE$12^2)/4*(AA362*$W362*1000)/($G362*$B$5)),
IF($D362="Pénétro.",
IF($E362=4,(PI()*AE$12^2)/4*(AA362*$W362*1000)/($H362*$B$5),(PI()*AE$12^2)/4*(AA362*$W362*1000)/($G362*$B$5))))))/10</f>
        <v>#N/A</v>
      </c>
      <c r="AF362" s="102" t="e">
        <f>(VLOOKUP($B$3,'Coeff EC7'!$T$39:$X$59,2,0)*AD362+VLOOKUP($B$3,'Coeff EC7'!$T$65:$X$85,2,0)*Model0.1C!AE362)/1.1</f>
        <v>#N/A</v>
      </c>
      <c r="AG362" s="102" t="e">
        <f>(VLOOKUP($B$3,'Coeff EC7'!$T$39:$X$59,3,0)*AD362+VLOOKUP($B$3,'Coeff EC7'!$T$65:$X$85,3,0)*Model0.1C!AE362)/0.9</f>
        <v>#N/A</v>
      </c>
      <c r="AH362" s="102" t="e">
        <f t="shared" si="539"/>
        <v>#N/A</v>
      </c>
      <c r="AI362" s="102" t="e">
        <f t="shared" si="540"/>
        <v>#N/A</v>
      </c>
      <c r="AJ362" s="414" t="e">
        <f>IF(AJ361=0,0,IF(AND(AF362&gt;charge_ELS_quasi,AG362&gt;Charge_ELS_freq,AH362&gt;charge_ELU,AI362&gt;charge_ELA,$B362&gt;NDC!$H$22-0.1+MIN(3*$AJ$12,1.5)),0,1))</f>
        <v>#N/A</v>
      </c>
      <c r="AK362" s="86" t="b">
        <f t="shared" si="541"/>
        <v>0</v>
      </c>
      <c r="AL362" s="86">
        <f t="shared" si="570"/>
        <v>0.5</v>
      </c>
      <c r="AM362" s="86">
        <f t="shared" si="542"/>
        <v>0.5</v>
      </c>
      <c r="AN362" s="30" t="e">
        <f t="shared" ca="1" si="571"/>
        <v>#DIV/0!</v>
      </c>
      <c r="AO362" s="85" t="e">
        <f ca="1">IF(U362&lt;=Hypothèses!$V$7,Hypothèses!$W$7,IF(U362&lt;=Hypothèses!$V$8,Hypothèses!$W$8,IF(U362&lt;=Hypothèses!$V$9,Hypothèses!$W$9,IF(U362&lt;=Hypothèses!$V$10,Hypothèses!$W$10,IF(U362&lt;=Hypothèses!$V$11,Hypothèses!$W$11,IF(U362&lt;=Hypothèses!$V$12,Hypothèses!$W$12,IF(U362&lt;=Hypothèses!$V$13,Hypothèses!$W$13,IF(U362&lt;=Hypothèses!$V$14,Hypothèses!$W$14,IF(U362&lt;=Hypothèses!$V$15,Hypothèses!$W$15,IF(U362&lt;=Hypothèses!$V$16,Hypothèses!$W$16,IF(U362&lt;=Hypothèses!$V$17,Hypothèses!$W$17,IF(U362&lt;=Hypothèses!$V$18,Hypothèses!$W$18,""))))))))))))</f>
        <v>#DIV/0!</v>
      </c>
      <c r="AP362" s="87" t="e">
        <f t="shared" ca="1" si="617"/>
        <v>#DIV/0!</v>
      </c>
      <c r="AQ362" s="88" t="e">
        <f ca="1">IF(U362&lt;=Hypothèses!$V$7,Hypothèses!$X$7,IF(U362&lt;=Hypothèses!$V$8,Hypothèses!$X$8,IF(U362&lt;=Hypothèses!$V$9,Hypothèses!$X$9,IF(U362&lt;=Hypothèses!$V$10,Hypothèses!$X$10,IF(U362&lt;=Hypothèses!$V$11,Hypothèses!$X$11,IF(U362&lt;=Hypothèses!$V$12,Hypothèses!$X$12,IF(U362&lt;=Hypothèses!$V$13,Hypothèses!$X$13,IF(U362&lt;=Hypothèses!$V$14,Hypothèses!$X$14,IF(U362&lt;=Hypothèses!$V$15,Hypothèses!$X$15,IF(U362&lt;=Hypothèses!$V$16,Hypothèses!$X$16,IF(U362&lt;=Hypothèses!$U$17,Hypothèses!$W$17,IF(U362&lt;=Hypothèses!$U$18,Hypothèses!$W$18,""))))))))))))</f>
        <v>#DIV/0!</v>
      </c>
      <c r="AR362" s="95" t="e">
        <f t="shared" ca="1" si="572"/>
        <v>#DIV/0!</v>
      </c>
      <c r="AS362" s="101" t="e">
        <f t="shared" si="624"/>
        <v>#N/A</v>
      </c>
      <c r="AT362" s="91" t="e">
        <f t="shared" si="543"/>
        <v>#N/A</v>
      </c>
      <c r="AU362" s="30" t="e">
        <f t="shared" si="602"/>
        <v>#N/A</v>
      </c>
      <c r="AV362" s="30" t="e">
        <f t="shared" si="603"/>
        <v>#N/A</v>
      </c>
      <c r="AW362" s="31" t="e">
        <f>IF(OR(Hypothèses!$B$4=17,Hypothèses!$B$4=18,Hypothèses!$B$4=19,Hypothèses!$B$4=20),
IF($D362="Pressio.",
IF(OR($E362=3,$E362=1,$E362=4),AV362,AU362),
IF($D362="Pénétro.",
IF(OR($E362=3,$E362=1,$E362=4),AV362,AU362))),IF($D362="Pressio.",
IF($E362=3,AV362,AU362),
IF($D362="Pénétro.",
IF($E362=4,AV362,AU362))))</f>
        <v>#N/A</v>
      </c>
      <c r="AX362" s="31" t="e">
        <f>(IF(OR(Hypothèses!$B$4=17,Hypothèses!$B$4=18,Hypothèses!$B$4=19,Hypothèses!$B$4=20),
IF($D362="Pressio.",
IF(OR($E362=3,$E362=1,$E362=4),(PI()*AX$12^2)/4*(AT362*$W362*1000)/($H362*$B$5),(PI()*AX$12^2)/4*(AT362*$W362*1000)/($G362*$B$5)),
IF($D362="Pénétro.",
IF(OR($E362=4,$E362=1,$E362=5),(PI()*AX$12^2)/4*(AT362*$W362*1000)/($H362*$B$5),(PI()*AX$12^2)/4*(AT362*$W362*1000)/($G362*$B$5)))),
IF($D362="Pressio.",
IF($E362=3,(PI()*AX$12^2)/4*(AT362*$W362*1000)/($H362*$B$5),(PI()*AX$12^2)/4*(AT362*$W362*1000)/($G362*$B$5)),
IF($D362="Pénétro.",
IF($E362=4,(PI()*AX$12^2)/4*(AT362*$W362*1000)/($H362*$B$5),(PI()*AX$12^2)/4*(AT362*$W362*1000)/($G362*$B$5))))))/10</f>
        <v>#N/A</v>
      </c>
      <c r="AY362" s="102" t="e">
        <f>(VLOOKUP($B$3,'Coeff EC7'!$T$39:$X$59,2,0)*AW362+VLOOKUP($B$3,'Coeff EC7'!$T$65:$X$85,2,0)*Model0.1C!AX362)/1.1</f>
        <v>#N/A</v>
      </c>
      <c r="AZ362" s="102" t="e">
        <f>(VLOOKUP($B$3,'Coeff EC7'!$T$39:$X$59,3,0)*AW362+VLOOKUP($B$3,'Coeff EC7'!$T$65:$X$85,3,0)*Model0.1C!AX362)/0.9</f>
        <v>#N/A</v>
      </c>
      <c r="BA362" s="102" t="e">
        <f t="shared" si="573"/>
        <v>#N/A</v>
      </c>
      <c r="BB362" s="102" t="e">
        <f t="shared" si="574"/>
        <v>#N/A</v>
      </c>
      <c r="BC362" s="414" t="e">
        <f>IF(BC361=0,0,IF(AND(AY362&gt;charge_ELS_quasi,AZ362&gt;Charge_ELS_freq,BA362&gt;charge_ELU,BB362&gt;charge_ELA,$B362&gt;NDC!$H$22-0.1+MIN(3*$BC$12,1.5)),0,1))</f>
        <v>#N/A</v>
      </c>
      <c r="BD362" s="86" t="b">
        <f t="shared" si="544"/>
        <v>0</v>
      </c>
      <c r="BE362" s="86">
        <f t="shared" si="575"/>
        <v>0.5</v>
      </c>
      <c r="BF362" s="86">
        <f t="shared" si="545"/>
        <v>0.5</v>
      </c>
      <c r="BG362" s="30" t="e">
        <f t="shared" ca="1" si="576"/>
        <v>#DIV/0!</v>
      </c>
      <c r="BH362" s="85" t="e">
        <f ca="1">IF(AN362&lt;=Hypothèses!$V$7,Hypothèses!$W$7,IF(AN362&lt;=Hypothèses!$V$8,Hypothèses!$W$8,IF(AN362&lt;=Hypothèses!$V$9,Hypothèses!$W$9,IF(AN362&lt;=Hypothèses!$V$10,Hypothèses!$W$10,IF(AN362&lt;=Hypothèses!$V$11,Hypothèses!$W$11,IF(AN362&lt;=Hypothèses!$V$12,Hypothèses!$W$12,IF(AN362&lt;=Hypothèses!$V$13,Hypothèses!$W$13,IF(AN362&lt;=Hypothèses!$V$14,Hypothèses!$W$14,IF(AN362&lt;=Hypothèses!$V$15,Hypothèses!$W$15,IF(AN362&lt;=Hypothèses!$V$16,Hypothèses!$W$16,IF(AN362&lt;=Hypothèses!$V$17,Hypothèses!$W$17,IF(AN362&lt;=Hypothèses!$V$18,Hypothèses!$W$18,""))))))))))))</f>
        <v>#DIV/0!</v>
      </c>
      <c r="BI362" s="87" t="e">
        <f t="shared" ca="1" si="618"/>
        <v>#DIV/0!</v>
      </c>
      <c r="BJ362" s="88" t="e">
        <f ca="1">IF(AN362&lt;=Hypothèses!$V$7,Hypothèses!$X$7,IF(AN362&lt;=Hypothèses!$V$8,Hypothèses!$X$8,IF(AN362&lt;=Hypothèses!$V$9,Hypothèses!$X$9,IF(AN362&lt;=Hypothèses!$V$10,Hypothèses!$X$10,IF(AN362&lt;=Hypothèses!$V$11,Hypothèses!$X$11,IF(AN362&lt;=Hypothèses!$V$12,Hypothèses!$X$12,IF(AN362&lt;=Hypothèses!$V$13,Hypothèses!$X$13,IF(AN362&lt;=Hypothèses!$V$14,Hypothèses!$X$14,IF(AN362&lt;=Hypothèses!$V$15,Hypothèses!$X$15,IF(AN362&lt;=Hypothèses!$V$16,Hypothèses!$X$16,IF(AN362&lt;=Hypothèses!$U$17,Hypothèses!$W$17,IF(AN362&lt;=Hypothèses!$U$18,Hypothèses!$W$18,""))))))))))))</f>
        <v>#DIV/0!</v>
      </c>
      <c r="BK362" s="95" t="e">
        <f t="shared" ca="1" si="577"/>
        <v>#DIV/0!</v>
      </c>
      <c r="BL362" s="101" t="e">
        <f t="shared" si="625"/>
        <v>#N/A</v>
      </c>
      <c r="BM362" s="91" t="e">
        <f t="shared" si="546"/>
        <v>#N/A</v>
      </c>
      <c r="BN362" s="30" t="e">
        <f t="shared" si="604"/>
        <v>#N/A</v>
      </c>
      <c r="BO362" s="30" t="e">
        <f t="shared" si="605"/>
        <v>#N/A</v>
      </c>
      <c r="BP362" s="31" t="e">
        <f>IF(OR(Hypothèses!$B$4=17,Hypothèses!$B$4=18,Hypothèses!$B$4=19,Hypothèses!$B$4=20),
IF($D362="Pressio.",
IF(OR($E362=3,$E362=1,$E362=4),BO362,BN362),
IF($D362="Pénétro.",
IF(OR($E362=3,$E362=1,$E362=4),BO362,BN362))),IF($D362="Pressio.",
IF($E362=3,BO362,BN362),
IF($D362="Pénétro.",
IF($E362=4,BO362,BN362))))</f>
        <v>#N/A</v>
      </c>
      <c r="BQ362" s="31" t="e">
        <f>(IF(OR(Hypothèses!$B$4=17,Hypothèses!$B$4=18,Hypothèses!$B$4=19,Hypothèses!$B$4=20),
IF($D362="Pressio.",
IF(OR($E362=3,$E362=1,$E362=4),(PI()*BQ$12^2)/4*(BM362*$W362*1000)/($H362*$B$5),(PI()*BQ$12^2)/4*(BM362*$W362*1000)/($G362*$B$5)),
IF($D362="Pénétro.",
IF(OR($E362=4,$E362=1,$E362=5),(PI()*BQ$12^2)/4*(BM362*$W362*1000)/($H362*$B$5),(PI()*BQ$12^2)/4*(BM362*$W362*1000)/($G362*$B$5)))),
IF($D362="Pressio.",
IF($E362=3,(PI()*BQ$12^2)/4*(BM362*$W362*1000)/($H362*$B$5),(PI()*BQ$12^2)/4*(BM362*$W362*1000)/($G362*$B$5)),
IF($D362="Pénétro.",
IF($E362=4,(PI()*BQ$12^2)/4*(BM362*$W362*1000)/($H362*$B$5),(PI()*BQ$12^2)/4*(BM362*$W362*1000)/($G362*$B$5))))))/10</f>
        <v>#N/A</v>
      </c>
      <c r="BR362" s="102" t="e">
        <f>(VLOOKUP($B$3,'Coeff EC7'!$T$39:$X$59,2,0)*BP362+VLOOKUP($B$3,'Coeff EC7'!$T$65:$X$85,2,0)*Model0.1C!BQ362)/1.1</f>
        <v>#N/A</v>
      </c>
      <c r="BS362" s="102" t="e">
        <f>(VLOOKUP($B$3,'Coeff EC7'!$T$39:$X$59,3,0)*BP362+VLOOKUP($B$3,'Coeff EC7'!$T$65:$X$85,3,0)*Model0.1C!BQ362)/0.9</f>
        <v>#N/A</v>
      </c>
      <c r="BT362" s="102" t="e">
        <f t="shared" si="578"/>
        <v>#N/A</v>
      </c>
      <c r="BU362" s="102" t="e">
        <f t="shared" si="579"/>
        <v>#N/A</v>
      </c>
      <c r="BV362" s="414" t="e">
        <f>IF(BV361=0,0,IF(AND(BR362&gt;charge_ELS_quasi,BS362&gt;Charge_ELS_freq,BT362&gt;charge_ELU,BU362&gt;charge_ELA,$B362&gt;NDC!$H$22-0.1+MIN(3*$BV$12,1.5)),0,1))</f>
        <v>#N/A</v>
      </c>
      <c r="BW362" s="86" t="b">
        <f t="shared" si="547"/>
        <v>0</v>
      </c>
      <c r="BX362" s="86">
        <f t="shared" si="548"/>
        <v>0.5</v>
      </c>
      <c r="BY362" s="86">
        <f t="shared" si="549"/>
        <v>0.5</v>
      </c>
      <c r="BZ362" s="30" t="e">
        <f t="shared" ca="1" si="580"/>
        <v>#DIV/0!</v>
      </c>
      <c r="CA362" s="85" t="e">
        <f ca="1">IF(BG362&lt;=Hypothèses!$V$7,Hypothèses!$W$7,IF(BG362&lt;=Hypothèses!$V$8,Hypothèses!$W$8,IF(BG362&lt;=Hypothèses!$V$9,Hypothèses!$W$9,IF(BG362&lt;=Hypothèses!$V$10,Hypothèses!$W$10,IF(BG362&lt;=Hypothèses!$V$11,Hypothèses!$W$11,IF(BG362&lt;=Hypothèses!$V$12,Hypothèses!$W$12,IF(BG362&lt;=Hypothèses!$V$13,Hypothèses!$W$13,IF(BG362&lt;=Hypothèses!$V$14,Hypothèses!$W$14,IF(BG362&lt;=Hypothèses!$V$15,Hypothèses!$W$15,IF(BG362&lt;=Hypothèses!$V$16,Hypothèses!$W$16,IF(BG362&lt;=Hypothèses!$V$17,Hypothèses!$W$17,IF(BG362&lt;=Hypothèses!$V$18,Hypothèses!$W$18,""))))))))))))</f>
        <v>#DIV/0!</v>
      </c>
      <c r="CB362" s="87" t="e">
        <f t="shared" ca="1" si="619"/>
        <v>#DIV/0!</v>
      </c>
      <c r="CC362" s="88" t="e">
        <f ca="1">IF(BG362&lt;=Hypothèses!$V$7,Hypothèses!$X$7,IF(BG362&lt;=Hypothèses!$V$8,Hypothèses!$X$8,IF(BG362&lt;=Hypothèses!$V$9,Hypothèses!$X$9,IF(BG362&lt;=Hypothèses!$V$10,Hypothèses!$X$10,IF(BG362&lt;=Hypothèses!$V$11,Hypothèses!$X$11,IF(BG362&lt;=Hypothèses!$V$12,Hypothèses!$X$12,IF(BG362&lt;=Hypothèses!$V$13,Hypothèses!$X$13,IF(BG362&lt;=Hypothèses!$V$14,Hypothèses!$X$14,IF(BG362&lt;=Hypothèses!$V$15,Hypothèses!$X$15,IF(BG362&lt;=Hypothèses!$V$16,Hypothèses!$X$16,IF(BG362&lt;=Hypothèses!$U$17,Hypothèses!$W$17,IF(BG362&lt;=Hypothèses!$U$18,Hypothèses!$W$18,""))))))))))))</f>
        <v>#DIV/0!</v>
      </c>
      <c r="CD362" s="95" t="e">
        <f t="shared" ca="1" si="581"/>
        <v>#DIV/0!</v>
      </c>
      <c r="CE362" s="101" t="e">
        <f t="shared" si="626"/>
        <v>#N/A</v>
      </c>
      <c r="CF362" s="91" t="e">
        <f t="shared" si="550"/>
        <v>#N/A</v>
      </c>
      <c r="CG362" s="30" t="e">
        <f t="shared" si="606"/>
        <v>#N/A</v>
      </c>
      <c r="CH362" s="30" t="e">
        <f t="shared" si="607"/>
        <v>#N/A</v>
      </c>
      <c r="CI362" s="31" t="e">
        <f>IF(OR(Hypothèses!$B$4=17,Hypothèses!$B$4=18,Hypothèses!$B$4=19,Hypothèses!$B$4=20),
IF($D362="Pressio.",
IF(OR($E362=3,$E362=1,$E362=4),CH362,CG362),
IF($D362="Pénétro.",
IF(OR($E362=3,$E362=1,$E362=4),CH362,CG362))),IF($D362="Pressio.",
IF($E362=3,CH362,CG362),
IF($D362="Pénétro.",
IF($E362=4,CH362,CG362))))</f>
        <v>#N/A</v>
      </c>
      <c r="CJ362" s="31" t="e">
        <f>(IF(OR(Hypothèses!$B$4=17,Hypothèses!$B$4=18,Hypothèses!$B$4=19,Hypothèses!$B$4=20),
IF($D362="Pressio.",
IF(OR($E362=3,$E362=1,$E362=4),(PI()*CJ$12^2)/4*(CF362*$W362*1000)/($H362*$B$5),(PI()*CJ$12^2)/4*(CF362*$W362*1000)/($G362*$B$5)),
IF($D362="Pénétro.",
IF(OR($E362=4,$E362=1,$E362=5),(PI()*CJ$12^2)/4*(CF362*$W362*1000)/($H362*$B$5),(PI()*CJ$12^2)/4*(CF362*$W362*1000)/($G362*$B$5)))),
IF($D362="Pressio.",
IF($E362=3,(PI()*CJ$12^2)/4*(CF362*$W362*1000)/($H362*$B$5),(PI()*CJ$12^2)/4*(CF362*$W362*1000)/($G362*$B$5)),
IF($D362="Pénétro.",
IF($E362=4,(PI()*CJ$12^2)/4*(CF362*$W362*1000)/($H362*$B$5),(PI()*CJ$12^2)/4*(CF362*$W362*1000)/($G362*$B$5))))))/10</f>
        <v>#N/A</v>
      </c>
      <c r="CK362" s="102" t="e">
        <f>(VLOOKUP($B$3,'Coeff EC7'!$T$39:$X$59,2,0)*CI362+VLOOKUP($B$3,'Coeff EC7'!$T$65:$X$85,2,0)*Model0.1C!CJ362)/1.1</f>
        <v>#N/A</v>
      </c>
      <c r="CL362" s="102" t="e">
        <f>(VLOOKUP($B$3,'Coeff EC7'!$T$39:$X$59,3,0)*CI362+VLOOKUP($B$3,'Coeff EC7'!$T$65:$X$85,3,0)*Model0.1C!CJ362)/0.9</f>
        <v>#N/A</v>
      </c>
      <c r="CM362" s="102" t="e">
        <f t="shared" si="582"/>
        <v>#N/A</v>
      </c>
      <c r="CN362" s="102" t="e">
        <f t="shared" si="583"/>
        <v>#N/A</v>
      </c>
      <c r="CO362" s="414" t="e">
        <f>IF(CO361=0,0,IF(AND(CK362&gt;charge_ELS_quasi,CL362&gt;Charge_ELS_freq,CM362&gt;charge_ELU,CN362&gt;charge_ELA,$B362&gt;NDC!$H$22-0.1+MIN(3*$CO$12,1.5)),0,1))</f>
        <v>#N/A</v>
      </c>
      <c r="CP362" s="86" t="b">
        <f t="shared" si="551"/>
        <v>0</v>
      </c>
      <c r="CQ362" s="86">
        <f t="shared" si="552"/>
        <v>0.5</v>
      </c>
      <c r="CR362" s="86">
        <f t="shared" si="553"/>
        <v>0.5</v>
      </c>
      <c r="CS362" s="30" t="e">
        <f t="shared" ca="1" si="584"/>
        <v>#DIV/0!</v>
      </c>
      <c r="CT362" s="85" t="e">
        <f ca="1">IF(BZ362&lt;=Hypothèses!$V$7,Hypothèses!$W$7,IF(BZ362&lt;=Hypothèses!$V$8,Hypothèses!$W$8,IF(BZ362&lt;=Hypothèses!$V$9,Hypothèses!$W$9,IF(BZ362&lt;=Hypothèses!$V$10,Hypothèses!$W$10,IF(BZ362&lt;=Hypothèses!$V$11,Hypothèses!$W$11,IF(BZ362&lt;=Hypothèses!$V$12,Hypothèses!$W$12,IF(BZ362&lt;=Hypothèses!$V$13,Hypothèses!$W$13,IF(BZ362&lt;=Hypothèses!$V$14,Hypothèses!$W$14,IF(BZ362&lt;=Hypothèses!$V$15,Hypothèses!$W$15,IF(BZ362&lt;=Hypothèses!$V$16,Hypothèses!$W$16,IF(BZ362&lt;=Hypothèses!$V$17,Hypothèses!$W$17,IF(BZ362&lt;=Hypothèses!$V$18,Hypothèses!$W$18,""))))))))))))</f>
        <v>#DIV/0!</v>
      </c>
      <c r="CU362" s="87" t="e">
        <f t="shared" ca="1" si="620"/>
        <v>#DIV/0!</v>
      </c>
      <c r="CV362" s="88" t="e">
        <f ca="1">IF(BZ362&lt;=Hypothèses!$V$7,Hypothèses!$X$7,IF(BZ362&lt;=Hypothèses!$V$8,Hypothèses!$X$8,IF(BZ362&lt;=Hypothèses!$V$9,Hypothèses!$X$9,IF(BZ362&lt;=Hypothèses!$V$10,Hypothèses!$X$10,IF(BZ362&lt;=Hypothèses!$V$11,Hypothèses!$X$11,IF(BZ362&lt;=Hypothèses!$V$12,Hypothèses!$X$12,IF(BZ362&lt;=Hypothèses!$V$13,Hypothèses!$X$13,IF(BZ362&lt;=Hypothèses!$V$14,Hypothèses!$X$14,IF(BZ362&lt;=Hypothèses!$V$15,Hypothèses!$X$15,IF(BZ362&lt;=Hypothèses!$V$16,Hypothèses!$X$16,IF(BZ362&lt;=Hypothèses!$U$17,Hypothèses!$W$17,IF(BZ362&lt;=Hypothèses!$U$18,Hypothèses!$W$18,""))))))))))))</f>
        <v>#DIV/0!</v>
      </c>
      <c r="CW362" s="95" t="e">
        <f t="shared" ca="1" si="585"/>
        <v>#DIV/0!</v>
      </c>
      <c r="CX362" s="101" t="e">
        <f t="shared" si="627"/>
        <v>#N/A</v>
      </c>
      <c r="CY362" s="91" t="e">
        <f t="shared" si="554"/>
        <v>#N/A</v>
      </c>
      <c r="CZ362" s="30" t="e">
        <f t="shared" si="608"/>
        <v>#N/A</v>
      </c>
      <c r="DA362" s="30" t="e">
        <f t="shared" si="609"/>
        <v>#N/A</v>
      </c>
      <c r="DB362" s="31" t="e">
        <f>IF(OR(Hypothèses!$B$4=17,Hypothèses!$B$4=18,Hypothèses!$B$4=19,Hypothèses!$B$4=20),
IF($D362="Pressio.",
IF(OR($E362=3,$E362=1,$E362=4),DA362,CZ362),
IF($D362="Pénétro.",
IF(OR($E362=3,$E362=1,$E362=4),DA362,CZ362))),IF($D362="Pressio.",
IF($E362=3,DA362,CZ362),
IF($D362="Pénétro.",
IF($E362=4,DA362,CZ362))))</f>
        <v>#N/A</v>
      </c>
      <c r="DC362" s="31" t="e">
        <f>(IF(OR(Hypothèses!$B$4=17,Hypothèses!$B$4=18,Hypothèses!$B$4=19,Hypothèses!$B$4=20),
IF($D362="Pressio.",
IF(OR($E362=3,$E362=1,$E362=4),(PI()*DC$12^2)/4*(CY362*$W362*1000)/($H362*$B$5),(PI()*DC$12^2)/4*(CY362*$W362*1000)/($G362*$B$5)),
IF($D362="Pénétro.",
IF(OR($E362=4,$E362=1,$E362=5),(PI()*DC$12^2)/4*(CY362*$W362*1000)/($H362*$B$5),(PI()*DC$12^2)/4*(CY362*$W362*1000)/($G362*$B$5)))),
IF($D362="Pressio.",
IF($E362=3,(PI()*DC$12^2)/4*(CY362*$W362*1000)/($H362*$B$5),(PI()*DC$12^2)/4*(CY362*$W362*1000)/($G362*$B$5)),
IF($D362="Pénétro.",
IF($E362=4,(PI()*DC$12^2)/4*(CY362*$W362*1000)/($H362*$B$5),(PI()*DC$12^2)/4*(CY362*$W362*1000)/($G362*$B$5))))))/10</f>
        <v>#N/A</v>
      </c>
      <c r="DD362" s="102" t="e">
        <f>(VLOOKUP($B$3,'Coeff EC7'!$T$39:$X$59,2,0)*DB362+VLOOKUP($B$3,'Coeff EC7'!$T$65:$X$85,2,0)*Model0.1C!DC362)/1.1</f>
        <v>#N/A</v>
      </c>
      <c r="DE362" s="102" t="e">
        <f>(VLOOKUP($B$3,'Coeff EC7'!$T$39:$X$59,3,0)*DB362+VLOOKUP($B$3,'Coeff EC7'!$T$65:$X$85,3,0)*Model0.1C!DC362)/0.9</f>
        <v>#N/A</v>
      </c>
      <c r="DF362" s="102" t="e">
        <f t="shared" si="586"/>
        <v>#N/A</v>
      </c>
      <c r="DG362" s="102" t="e">
        <f t="shared" si="587"/>
        <v>#N/A</v>
      </c>
      <c r="DH362" s="414" t="e">
        <f>IF(DH361=0,0,IF(AND(DD362&gt;charge_ELS_quasi,DE362&gt;Charge_ELS_freq,DF362&gt;charge_ELU,DG362&gt;charge_ELA,$B362&gt;NDC!$H$22-0.1+MIN(3*$DH$12,1.5)),0,1))</f>
        <v>#N/A</v>
      </c>
      <c r="DI362" s="86" t="b">
        <f t="shared" si="555"/>
        <v>0</v>
      </c>
      <c r="DJ362" s="86">
        <f t="shared" si="556"/>
        <v>0.5</v>
      </c>
      <c r="DK362" s="86">
        <f t="shared" si="557"/>
        <v>0.5</v>
      </c>
      <c r="DL362" s="30" t="e">
        <f t="shared" ca="1" si="588"/>
        <v>#DIV/0!</v>
      </c>
      <c r="DM362" s="85" t="e">
        <f ca="1">IF(CS362&lt;=Hypothèses!$V$7,Hypothèses!$W$7,IF(CS362&lt;=Hypothèses!$V$8,Hypothèses!$W$8,IF(CS362&lt;=Hypothèses!$V$9,Hypothèses!$W$9,IF(CS362&lt;=Hypothèses!$V$10,Hypothèses!$W$10,IF(CS362&lt;=Hypothèses!$V$11,Hypothèses!$W$11,IF(CS362&lt;=Hypothèses!$V$12,Hypothèses!$W$12,IF(CS362&lt;=Hypothèses!$V$13,Hypothèses!$W$13,IF(CS362&lt;=Hypothèses!$V$14,Hypothèses!$W$14,IF(CS362&lt;=Hypothèses!$V$15,Hypothèses!$W$15,IF(CS362&lt;=Hypothèses!$V$16,Hypothèses!$W$16,IF(CS362&lt;=Hypothèses!$V$17,Hypothèses!$W$17,IF(CS362&lt;=Hypothèses!$V$18,Hypothèses!$W$18,""))))))))))))</f>
        <v>#DIV/0!</v>
      </c>
      <c r="DN362" s="87" t="e">
        <f t="shared" ca="1" si="621"/>
        <v>#DIV/0!</v>
      </c>
      <c r="DO362" s="88" t="e">
        <f ca="1">IF(CS362&lt;=Hypothèses!$V$7,Hypothèses!$X$7,IF(CS362&lt;=Hypothèses!$V$8,Hypothèses!$X$8,IF(CS362&lt;=Hypothèses!$V$9,Hypothèses!$X$9,IF(CS362&lt;=Hypothèses!$V$10,Hypothèses!$X$10,IF(CS362&lt;=Hypothèses!$V$11,Hypothèses!$X$11,IF(CS362&lt;=Hypothèses!$V$12,Hypothèses!$X$12,IF(CS362&lt;=Hypothèses!$V$13,Hypothèses!$X$13,IF(CS362&lt;=Hypothèses!$V$14,Hypothèses!$X$14,IF(CS362&lt;=Hypothèses!$V$15,Hypothèses!$X$15,IF(CS362&lt;=Hypothèses!$V$16,Hypothèses!$X$16,IF(CS362&lt;=Hypothèses!$U$17,Hypothèses!$W$17,IF(CS362&lt;=Hypothèses!$U$18,Hypothèses!$W$18,""))))))))))))</f>
        <v>#DIV/0!</v>
      </c>
      <c r="DP362" s="95" t="e">
        <f t="shared" ca="1" si="589"/>
        <v>#DIV/0!</v>
      </c>
      <c r="DQ362" s="101" t="e">
        <f t="shared" si="628"/>
        <v>#N/A</v>
      </c>
      <c r="DR362" s="91" t="e">
        <f t="shared" si="558"/>
        <v>#N/A</v>
      </c>
      <c r="DS362" s="30" t="e">
        <f t="shared" si="610"/>
        <v>#N/A</v>
      </c>
      <c r="DT362" s="30" t="e">
        <f t="shared" si="611"/>
        <v>#N/A</v>
      </c>
      <c r="DU362" s="31" t="e">
        <f>IF(OR(Hypothèses!$B$4=17,Hypothèses!$B$4=18,Hypothèses!$B$4=19,Hypothèses!$B$4=20),
IF($D362="Pressio.",
IF(OR($E362=3,$E362=1,$E362=4),DT362,DS362),
IF($D362="Pénétro.",
IF(OR($E362=3,$E362=1,$E362=4),DT362,DS362))),IF($D362="Pressio.",
IF($E362=3,DT362,DS362),
IF($D362="Pénétro.",
IF($E362=4,DT362,DS362))))</f>
        <v>#N/A</v>
      </c>
      <c r="DV362" s="31" t="e">
        <f>(IF(OR(Hypothèses!$B$4=17,Hypothèses!$B$4=18,Hypothèses!$B$4=19,Hypothèses!$B$4=20),
IF($D362="Pressio.",
IF(OR($E362=3,$E362=1,$E362=4),(PI()*DV$12^2)/4*(DR362*$W362*1000)/($H362*$B$5),(PI()*DV$12^2)/4*(DR362*$W362*1000)/($G362*$B$5)),
IF($D362="Pénétro.",
IF(OR($E362=4,$E362=1,$E362=5),(PI()*DV$12^2)/4*(DR362*$W362*1000)/($H362*$B$5),(PI()*DV$12^2)/4*(DR362*$W362*1000)/($G362*$B$5)))),
IF($D362="Pressio.",
IF($E362=3,(PI()*DV$12^2)/4*(DR362*$W362*1000)/($H362*$B$5),(PI()*DV$12^2)/4*(DR362*$W362*1000)/($G362*$B$5)),
IF($D362="Pénétro.",
IF($E362=4,(PI()*DV$12^2)/4*(DR362*$W362*1000)/($H362*$B$5),(PI()*DV$12^2)/4*(DR362*$W362*1000)/($G362*$B$5))))))/10</f>
        <v>#N/A</v>
      </c>
      <c r="DW362" s="102" t="e">
        <f>(VLOOKUP($B$3,'Coeff EC7'!$T$39:$X$59,2,0)*DU362+VLOOKUP($B$3,'Coeff EC7'!$T$65:$X$85,2,0)*Model0.1C!DV362)/1.1</f>
        <v>#N/A</v>
      </c>
      <c r="DX362" s="102" t="e">
        <f>(VLOOKUP($B$3,'Coeff EC7'!$T$39:$X$59,3,0)*DU362+VLOOKUP($B$3,'Coeff EC7'!$T$65:$X$85,3,0)*Model0.1C!DV362)/0.9</f>
        <v>#N/A</v>
      </c>
      <c r="DY362" s="102" t="e">
        <f t="shared" si="590"/>
        <v>#N/A</v>
      </c>
      <c r="DZ362" s="102" t="e">
        <f t="shared" si="591"/>
        <v>#N/A</v>
      </c>
      <c r="EA362" s="414" t="e">
        <f>IF(EA361=0,0,IF(AND(DW362&gt;charge_ELS_quasi,DX362&gt;Charge_ELS_freq,DY362&gt;charge_ELU,DZ362&gt;charge_ELA,$B362&gt;NDC!$H$22-0.1+MIN(3*$EA$12,1.5)),0,1))</f>
        <v>#N/A</v>
      </c>
      <c r="EB362" s="86" t="b">
        <f t="shared" si="559"/>
        <v>0</v>
      </c>
      <c r="EC362" s="418">
        <f t="shared" si="560"/>
        <v>0.51</v>
      </c>
      <c r="ED362" s="86">
        <f t="shared" si="561"/>
        <v>0.51</v>
      </c>
      <c r="EE362" s="30" t="e">
        <f t="shared" ca="1" si="592"/>
        <v>#DIV/0!</v>
      </c>
      <c r="EF362" s="85" t="e">
        <f ca="1">IF(DL362&lt;=Hypothèses!$V$7,Hypothèses!$W$7,IF(DL362&lt;=Hypothèses!$V$8,Hypothèses!$W$8,IF(DL362&lt;=Hypothèses!$V$9,Hypothèses!$W$9,IF(DL362&lt;=Hypothèses!$V$10,Hypothèses!$W$10,IF(DL362&lt;=Hypothèses!$V$11,Hypothèses!$W$11,IF(DL362&lt;=Hypothèses!$V$12,Hypothèses!$W$12,IF(DL362&lt;=Hypothèses!$V$13,Hypothèses!$W$13,IF(DL362&lt;=Hypothèses!$V$14,Hypothèses!$W$14,IF(DL362&lt;=Hypothèses!$V$15,Hypothèses!$W$15,IF(DL362&lt;=Hypothèses!$V$16,Hypothèses!$W$16,IF(DL362&lt;=Hypothèses!$V$17,Hypothèses!$W$17,IF(DL362&lt;=Hypothèses!$V$18,Hypothèses!$W$18,""))))))))))))</f>
        <v>#DIV/0!</v>
      </c>
      <c r="EG362" s="87" t="e">
        <f t="shared" ca="1" si="622"/>
        <v>#DIV/0!</v>
      </c>
      <c r="EH362" s="88" t="e">
        <f ca="1">IF(DL362&lt;=Hypothèses!$V$7,Hypothèses!$X$7,IF(DL362&lt;=Hypothèses!$V$8,Hypothèses!$X$8,IF(DL362&lt;=Hypothèses!$V$9,Hypothèses!$X$9,IF(DL362&lt;=Hypothèses!$V$10,Hypothèses!$X$10,IF(DL362&lt;=Hypothèses!$V$11,Hypothèses!$X$11,IF(DL362&lt;=Hypothèses!$V$12,Hypothèses!$X$12,IF(DL362&lt;=Hypothèses!$V$13,Hypothèses!$X$13,IF(DL362&lt;=Hypothèses!$V$14,Hypothèses!$X$14,IF(DL362&lt;=Hypothèses!$V$15,Hypothèses!$X$15,IF(DL362&lt;=Hypothèses!$V$16,Hypothèses!$X$16,IF(DL362&lt;=Hypothèses!$U$17,Hypothèses!$W$17,IF(DL362&lt;=Hypothèses!$U$18,Hypothèses!$W$18,""))))))))))))</f>
        <v>#DIV/0!</v>
      </c>
      <c r="EI362" s="95" t="e">
        <f t="shared" ca="1" si="593"/>
        <v>#DIV/0!</v>
      </c>
      <c r="EJ362" s="101" t="e">
        <f t="shared" si="629"/>
        <v>#N/A</v>
      </c>
      <c r="EK362" s="91" t="e">
        <f t="shared" si="562"/>
        <v>#N/A</v>
      </c>
      <c r="EL362" s="30" t="e">
        <f t="shared" si="612"/>
        <v>#N/A</v>
      </c>
      <c r="EM362" s="30" t="e">
        <f t="shared" si="613"/>
        <v>#N/A</v>
      </c>
      <c r="EN362" s="31" t="e">
        <f>IF(OR(Hypothèses!$B$4=17,Hypothèses!$B$4=18,Hypothèses!$B$4=19,Hypothèses!$B$4=20),
IF($D362="Pressio.",
IF(OR($E362=3,$E362=1,$E362=4),EM362,EL362),
IF($D362="Pénétro.",
IF(OR($E362=3,$E362=1,$E362=4),EM362,EL362))),IF($D362="Pressio.",
IF($E362=3,EM362,EL362),
IF($D362="Pénétro.",
IF($E362=4,EM362,EL362))))</f>
        <v>#N/A</v>
      </c>
      <c r="EO362" s="31" t="e">
        <f>(IF(OR(Hypothèses!$B$4=17,Hypothèses!$B$4=18,Hypothèses!$B$4=19,Hypothèses!$B$4=20),
IF($D362="Pressio.",
IF(OR($E362=3,$E362=1,$E362=4),(PI()*EO$12^2)/4*(EK362*$W362*1000)/($H362*$B$5),(PI()*EO$12^2)/4*(EK362*$W362*1000)/($G362*$B$5)),
IF($D362="Pénétro.",
IF(OR($E362=4,$E362=1,$E362=5),(PI()*EO$12^2)/4*(EK362*$W362*1000)/($H362*$B$5),(PI()*EO$12^2)/4*(EK362*$W362*1000)/($G362*$B$5)))),
IF($D362="Pressio.",
IF($E362=3,(PI()*EO$12^2)/4*(EK362*$W362*1000)/($H362*$B$5),(PI()*EO$12^2)/4*(EK362*$W362*1000)/($G362*$B$5)),
IF($D362="Pénétro.",
IF($E362=4,(PI()*EO$12^2)/4*(EK362*$W362*1000)/($H362*$B$5),(PI()*EO$12^2)/4*(EK362*$W362*1000)/($G362*$B$5))))))/10</f>
        <v>#N/A</v>
      </c>
      <c r="EP362" s="102" t="e">
        <f>(VLOOKUP($B$3,'Coeff EC7'!$T$39:$X$59,2,0)*EN362+VLOOKUP($B$3,'Coeff EC7'!$T$65:$X$85,2,0)*Model0.1C!EO362)/1.1</f>
        <v>#N/A</v>
      </c>
      <c r="EQ362" s="102" t="e">
        <f>(VLOOKUP($B$3,'Coeff EC7'!$T$39:$X$59,3,0)*EN362+VLOOKUP($B$3,'Coeff EC7'!$T$65:$X$85,3,0)*Model0.1C!EO362)/0.9</f>
        <v>#N/A</v>
      </c>
      <c r="ER362" s="102" t="e">
        <f t="shared" si="594"/>
        <v>#N/A</v>
      </c>
      <c r="ES362" s="102" t="e">
        <f t="shared" si="595"/>
        <v>#N/A</v>
      </c>
      <c r="ET362" s="414" t="e">
        <f>IF(ET361=0,0,IF(AND(EP362&gt;charge_ELS_quasi,EQ362&gt;Charge_ELS_freq,ER362&gt;charge_ELU,ES362&gt;charge_ELA,$B362&gt;NDC!$H$22-0.1+MIN(3*$ET$12,1.5)),0,1))</f>
        <v>#N/A</v>
      </c>
      <c r="EU362" s="86" t="b">
        <f t="shared" si="563"/>
        <v>0</v>
      </c>
      <c r="EV362" s="86">
        <f t="shared" si="564"/>
        <v>0.61</v>
      </c>
      <c r="EW362" s="86">
        <f t="shared" si="565"/>
        <v>0.61</v>
      </c>
      <c r="EX362" s="30" t="e">
        <f t="shared" ca="1" si="596"/>
        <v>#DIV/0!</v>
      </c>
      <c r="EY362" s="85" t="e">
        <f ca="1">IF(EE362&lt;=Hypothèses!$V$7,Hypothèses!$W$7,IF(EE362&lt;=Hypothèses!$V$8,Hypothèses!$W$8,IF(EE362&lt;=Hypothèses!$V$9,Hypothèses!$W$9,IF(EE362&lt;=Hypothèses!$V$10,Hypothèses!$W$10,IF(EE362&lt;=Hypothèses!$V$11,Hypothèses!$W$11,IF(EE362&lt;=Hypothèses!$V$12,Hypothèses!$W$12,IF(EE362&lt;=Hypothèses!$V$13,Hypothèses!$W$13,IF(EE362&lt;=Hypothèses!$V$14,Hypothèses!$W$14,IF(EE362&lt;=Hypothèses!$V$15,Hypothèses!$W$15,IF(EE362&lt;=Hypothèses!$V$16,Hypothèses!$W$16,IF(EE362&lt;=Hypothèses!$V$17,Hypothèses!$W$17,IF(EE362&lt;=Hypothèses!$V$18,Hypothèses!$W$18,""))))))))))))</f>
        <v>#DIV/0!</v>
      </c>
      <c r="EZ362" s="87" t="e">
        <f t="shared" ca="1" si="623"/>
        <v>#DIV/0!</v>
      </c>
      <c r="FA362" s="88" t="e">
        <f ca="1">IF(EE362&lt;=Hypothèses!$V$7,Hypothèses!$X$7,IF(EE362&lt;=Hypothèses!$V$8,Hypothèses!$X$8,IF(EE362&lt;=Hypothèses!$V$9,Hypothèses!$X$9,IF(EE362&lt;=Hypothèses!$V$10,Hypothèses!$X$10,IF(EE362&lt;=Hypothèses!$V$11,Hypothèses!$X$11,IF(EE362&lt;=Hypothèses!$V$12,Hypothèses!$X$12,IF(EE362&lt;=Hypothèses!$V$13,Hypothèses!$X$13,IF(EE362&lt;=Hypothèses!$V$14,Hypothèses!$X$14,IF(EE362&lt;=Hypothèses!$V$15,Hypothèses!$X$15,IF(EE362&lt;=Hypothèses!$V$16,Hypothèses!$X$16,IF(EE362&lt;=Hypothèses!$U$17,Hypothèses!$W$17,IF(EE362&lt;=Hypothèses!$U$18,Hypothèses!$W$18,""))))))))))))</f>
        <v>#DIV/0!</v>
      </c>
      <c r="FB362" s="95" t="e">
        <f t="shared" ca="1" si="597"/>
        <v>#DIV/0!</v>
      </c>
      <c r="FC362" s="101" t="e">
        <f t="shared" si="630"/>
        <v>#N/A</v>
      </c>
      <c r="FD362" s="91" t="e">
        <f t="shared" si="566"/>
        <v>#N/A</v>
      </c>
      <c r="FE362" s="30" t="e">
        <f t="shared" si="614"/>
        <v>#N/A</v>
      </c>
      <c r="FF362" s="30" t="e">
        <f t="shared" si="615"/>
        <v>#N/A</v>
      </c>
      <c r="FG362" s="31" t="e">
        <f>IF(OR(Hypothèses!$B$4=17,Hypothèses!$B$4=18,Hypothèses!$B$4=19,Hypothèses!$B$4=20),
IF($D362="Pressio.",
IF(OR($E362=3,$E362=1,$E362=4),FF362,FE362),
IF($D362="Pénétro.",
IF(OR($E362=3,$E362=1,$E362=4),FF362,FE362))),IF($D362="Pressio.",
IF($E362=3,FF362,FE362),
IF($D362="Pénétro.",
IF($E362=4,FF362,FE362))))</f>
        <v>#N/A</v>
      </c>
      <c r="FH362" s="31" t="e">
        <f>(IF(OR(Hypothèses!$B$4=17,Hypothèses!$B$4=18,Hypothèses!$B$4=19,Hypothèses!$B$4=20),
IF($D362="Pressio.",
IF(OR($E362=3,$E362=1,$E362=4),(PI()*FH$12^2)/4*(FD362*$W362*1000)/($H362*$B$5),(PI()*FH$12^2)/4*(FD362*$W362*1000)/($G362*$B$5)),
IF($D362="Pénétro.",
IF(OR($E362=4,$E362=1,$E362=5),(PI()*FH$12^2)/4*(FD362*$W362*1000)/($H362*$B$5),(PI()*FH$12^2)/4*(FD362*$W362*1000)/($G362*$B$5)))),
IF($D362="Pressio.",
IF($E362=3,(PI()*FH$12^2)/4*(FD362*$W362*1000)/($H362*$B$5),(PI()*FH$12^2)/4*(FD362*$W362*1000)/($G362*$B$5)),
IF($D362="Pénétro.",
IF($E362=4,(PI()*FH$12^2)/4*(FD362*$W362*1000)/($H362*$B$5),(PI()*FH$12^2)/4*(FD362*$W362*1000)/($G362*$B$5))))))/10</f>
        <v>#N/A</v>
      </c>
      <c r="FI362" s="102" t="e">
        <f>(VLOOKUP($B$3,'Coeff EC7'!$T$39:$X$59,2,0)*FG362+VLOOKUP($B$3,'Coeff EC7'!$T$65:$X$85,2,0)*Model0.1C!FH362)/1.1</f>
        <v>#N/A</v>
      </c>
      <c r="FJ362" s="102" t="e">
        <f>(VLOOKUP($B$3,'Coeff EC7'!$T$39:$X$59,3,0)*FG362+VLOOKUP($B$3,'Coeff EC7'!$T$65:$X$85,3,0)*Model0.1C!FH362)/0.9</f>
        <v>#N/A</v>
      </c>
      <c r="FK362" s="102" t="e">
        <f t="shared" si="598"/>
        <v>#N/A</v>
      </c>
      <c r="FL362" s="102" t="e">
        <f t="shared" si="599"/>
        <v>#N/A</v>
      </c>
      <c r="FM362" s="414" t="e">
        <f>IF(FM361=0,0,IF(AND(FI362&gt;charge_ELS_quasi,FJ362&gt;Charge_ELS_freq,FK362&gt;charge_ELU,FL362&gt;charge_ELA,$B362&gt;NDC!$H$22-0.1+MIN(3*$FM$12,1.5)),0,1))</f>
        <v>#N/A</v>
      </c>
    </row>
    <row r="363" spans="1:169">
      <c r="A363" s="96">
        <f t="shared" si="567"/>
        <v>65.00000000000199</v>
      </c>
      <c r="B363" s="97">
        <v>35</v>
      </c>
      <c r="C363" s="81">
        <f>IF(B363&lt;=Hypothèses!$C$7,Hypothèses!$A$7,IF(B363&lt;=Hypothèses!$C$8,Hypothèses!$A$8,IF(B363&lt;=Hypothèses!$C$9,Hypothèses!$A$9,IF(B363&lt;=Hypothèses!$C$10,Hypothèses!$A$10,IF(B363&lt;=Hypothèses!$C$11,Hypothèses!$A$11,IF(B363&lt;=Hypothèses!$C$12,Hypothèses!$A$12,IF(B363&lt;=Hypothèses!$C$13,Hypothèses!$A$13,IF(B363&lt;=Hypothèses!$C$14,Hypothèses!$A$14,IF(B363&lt;=Hypothèses!$C$15,Hypothèses!$A$15,IF(B363&lt;=Hypothèses!$C$16,Hypothèses!$A$16,IF(B363&lt;=Hypothèses!$C$17,Hypothèses!$A$17,IF(B363&lt;=Hypothèses!$C$18,Hypothèses!$A$18,C362))))))))))))</f>
        <v>11</v>
      </c>
      <c r="D363" s="82" t="str">
        <f>IF(B363&lt;=Hypothèses!$C$7,Hypothèses!$R$7,IF(B363&lt;=Hypothèses!$C$8,Hypothèses!$R$8,IF(B363&lt;=Hypothèses!$C$9,Hypothèses!$R$9,IF(B363&lt;=Hypothèses!$C$10,Hypothèses!$R$10,IF(B363&lt;=Hypothèses!$C$11,Hypothèses!$R$11,IF(B363&lt;=Hypothèses!$C$12,Hypothèses!$R$12,IF(B363&lt;=Hypothèses!$C$13,Hypothèses!$R$13,IF(B363&lt;=Hypothèses!$C$14,Hypothèses!$R$14,IF(B363&lt;=Hypothèses!$C$15,Hypothèses!$R$15,IF(B363&lt;=Hypothèses!$C$16,Hypothèses!$R$16,IF(B363&lt;=Hypothèses!$C$17,Hypothèses!$R$17,IF(B363&lt;=Hypothèses!$C$18,Hypothèses!$R$18,D362))))))))))))</f>
        <v>Pressio.</v>
      </c>
      <c r="E363" s="82" t="e">
        <f>IF(B363&lt;=Hypothèses!$C$7,Hypothèses!$G$7,IF(B363&lt;=Hypothèses!$C$8,Hypothèses!$G$8,IF(B363&lt;=Hypothèses!$C$9,Hypothèses!$G$9,IF(B363&lt;=Hypothèses!$C$10,Hypothèses!$G$10,IF(B363&lt;=Hypothèses!$C$11,Hypothèses!$G$11,IF(B363&lt;=Hypothèses!$C$12,Hypothèses!$G$12,IF(B363&lt;=Hypothèses!$C$13,Hypothèses!$G$13,IF(B363&lt;=Hypothèses!$C$14,Hypothèses!$G$14,IF(B363&lt;=Hypothèses!$C$15,Hypothèses!$G$15,IF(B363&lt;=Hypothèses!$C$16,Hypothèses!$G$16,IF(B363&lt;=Hypothèses!$C$17,Hypothèses!$G$17,IF(B363&lt;=Hypothèses!$C$18,Hypothèses!$G$18,E362))))))))))))</f>
        <v>#N/A</v>
      </c>
      <c r="F363" s="82" t="str">
        <f>IF(B363&lt;=Hypothèses!$C$7,Hypothèses!$F$7,IF(B363&lt;=Hypothèses!$C$8,Hypothèses!$F$8,IF(B363&lt;=Hypothèses!$C$9,Hypothèses!$F$9,IF(B363&lt;=Hypothèses!$C$10,Hypothèses!$F$10,IF(B363&lt;=Hypothèses!$C$11,Hypothèses!$F$11,IF(B363&lt;=Hypothèses!$C$12,Hypothèses!$F$12,IF(B363&lt;=Hypothèses!$C$13,Hypothèses!$F$13,IF(B363&lt;=Hypothèses!$C$14,Hypothèses!$F$14,IF(B363&lt;=Hypothèses!$C$15,Hypothèses!$F$15,IF(B363&lt;=Hypothèses!$C$16,Hypothèses!$F$16,IF(B363&lt;=Hypothèses!$C$17,Hypothèses!$F$17,IF(B363&lt;=Hypothèses!$C$18,Hypothèses!$F$18,F362))))))))))))</f>
        <v/>
      </c>
      <c r="G363" s="91">
        <f t="array" ref="G363">INDEX('Coeff EC7'!$U$7:$X$27,
MATCH(Model0.1C!$B$3,'Coeff EC7'!$T$7:$T$27,0),
MATCH(Model0.1C!$D363&amp;Model0.1C!$B$4,
'Coeff EC7'!$U$6:$X$6&amp;
'Coeff EC7'!$U$5:$X$5,0))</f>
        <v>1.1499999999999999</v>
      </c>
      <c r="H363" s="91">
        <f t="array" ref="H363">INDEX('Coeff EC7'!$Y$7:$AB$27,
MATCH(Model0.1C!$B$3,'Coeff EC7'!$T$7:$T$27,0),
MATCH(Model0.1C!$D363&amp;Model0.1C!$B$4,
'Coeff EC7'!$Y$6:$AB$6&amp;
'Coeff EC7'!$Y$5:$AB$5,0))</f>
        <v>1.4</v>
      </c>
      <c r="I363" s="83" t="e">
        <f>IF(B363&lt;=Hypothèses!$C$7,Hypothèses!$P$7,IF(B363&lt;=Hypothèses!$C$8,Hypothèses!$P$8,IF(B363&lt;=Hypothèses!$C$9,Hypothèses!$P$9,IF(B363&lt;=Hypothèses!$C$10,Hypothèses!$P$10,IF(B363&lt;=Hypothèses!$C$11,Hypothèses!$P$11,IF(B363&lt;=Hypothèses!$C$12,Hypothèses!$P$12,IF(B363&lt;=Hypothèses!$C$13,Hypothèses!$P$13,IF(B363&lt;=Hypothèses!$C$14,Hypothèses!$P$14,IF(B363&lt;=Hypothèses!$C$15,Hypothèses!$P$15,IF(B363&lt;=Hypothèses!$C$16,Hypothèses!$P$16,IF(B363&lt;=Hypothèses!$C$17,Hypothèses!$P$17,IF(B363&lt;=Hypothèses!$C$18,Hypothèses!$P$18,I362))))))))))))</f>
        <v>#N/A</v>
      </c>
      <c r="J363" s="91" t="e">
        <f t="array" ref="J363">INDEX('Coeff EC7'!$D$33:$Q$33,1,MATCH(D363&amp;E363,'Coeff EC7'!$D$31:$Q$31&amp;'Coeff EC7'!$D$32:$Q$32,0))</f>
        <v>#N/A</v>
      </c>
      <c r="K363" s="91" t="e">
        <f t="array" ref="K363">INDEX('Coeff EC7'!$D$34:$Q$34,1,MATCH(D363&amp;E363,'Coeff EC7'!$D$31:$Q$31&amp;'Coeff EC7'!$D$32:$Q$32,0))</f>
        <v>#N/A</v>
      </c>
      <c r="L363" s="91" t="e">
        <f t="array" ref="L363">INDEX('Coeff EC7'!$D$35:$Q$35,1,MATCH(D363&amp;E363,'Coeff EC7'!$D$31:$Q$31&amp;'Coeff EC7'!$D$32:$Q$32,0))</f>
        <v>#N/A</v>
      </c>
      <c r="M363" s="98" t="e">
        <f t="shared" si="531"/>
        <v>#N/A</v>
      </c>
      <c r="N363" s="99" t="e">
        <f t="array" ref="N363">INDEX('Coeff EC7'!$D$7:$Q$27,MATCH($B$3,'Coeff EC7'!$C$7:$C$27,0),MATCH(D363&amp;E363,'Coeff EC7'!$D$5:$Q$5&amp;'Coeff EC7'!$D$6:$Q$6,0))</f>
        <v>#N/A</v>
      </c>
      <c r="O363" s="99" t="e">
        <f t="array" ref="O363">INDEX('Coeff EC7'!$D$41:$Q$61,MATCH($B$3,'Coeff EC7'!$C$41:$C$61,0),MATCH(D363&amp;E363,'Coeff EC7'!$D$39:$Q$39&amp;'Coeff EC7'!$D$40:$Q$40,0))</f>
        <v>#N/A</v>
      </c>
      <c r="P363" s="30" t="e">
        <f t="shared" si="568"/>
        <v>#N/A</v>
      </c>
      <c r="Q363" s="100" t="e">
        <f t="shared" si="533"/>
        <v>#N/A</v>
      </c>
      <c r="R363" s="86" t="b">
        <f t="shared" si="534"/>
        <v>0</v>
      </c>
      <c r="S363" s="86">
        <f t="shared" si="532"/>
        <v>0.5</v>
      </c>
      <c r="T363" s="86">
        <f t="shared" si="535"/>
        <v>0.5</v>
      </c>
      <c r="U363" s="30" t="e">
        <f t="shared" ca="1" si="569"/>
        <v>#DIV/0!</v>
      </c>
      <c r="V363" s="85" t="str">
        <f>IF(B363&lt;=Hypothèses!$V$7,Hypothèses!$W$7,IF(B363&lt;=Hypothèses!$V$8,Hypothèses!$W$8,IF(B363&lt;=Hypothèses!$V$9,Hypothèses!$W$9,IF(B363&lt;=Hypothèses!$V$10,Hypothèses!$W$10,IF(B363&lt;=Hypothèses!$V$11,Hypothèses!$W$11,IF(B363&lt;=Hypothèses!$V$12,Hypothèses!$W$12,IF(B363&lt;=Hypothèses!$V$13,Hypothèses!$W$13,IF(B363&lt;=Hypothèses!$V$14,Hypothèses!$W$14,IF(B363&lt;=Hypothèses!$V$15,Hypothèses!$W$15,IF(B363&lt;=Hypothèses!$V$16,Hypothèses!$W$16,IF(B363&lt;=Hypothèses!$V$17,Hypothèses!$W$17,IF(B363&lt;=Hypothèses!$V$18,Hypothèses!$W$18,""))))))))))))</f>
        <v/>
      </c>
      <c r="W363" s="87" t="e">
        <f t="shared" ca="1" si="616"/>
        <v>#DIV/0!</v>
      </c>
      <c r="X363" s="88" t="str">
        <f>IF(B363&lt;=Hypothèses!$V$7,Hypothèses!$X$7,IF(B363&lt;=Hypothèses!$V$8,Hypothèses!$X$8,IF(B363&lt;=Hypothèses!$V$9,Hypothèses!$X$9,IF(B363&lt;=Hypothèses!$V$10,Hypothèses!$X$10,IF(B363&lt;=Hypothèses!$V$11,Hypothèses!$X$11,IF(B363&lt;=Hypothèses!$V$12,Hypothèses!$X$12,IF(B363&lt;=Hypothèses!$V$13,Hypothèses!$X$13,IF(B363&lt;=Hypothèses!$V$14,Hypothèses!$X$14,IF(B363&lt;=Hypothèses!$V$15,Hypothèses!$X$15,IF(B363&lt;=Hypothèses!$V$16,Hypothèses!$X$16,IF(B363&lt;=Hypothèses!$U$17,Hypothèses!$W$17,IF(B363&lt;=Hypothèses!$U$18,Hypothèses!$W$18,""))))))))))))</f>
        <v/>
      </c>
      <c r="Y363" s="95" t="e">
        <f t="shared" ca="1" si="536"/>
        <v>#DIV/0!</v>
      </c>
      <c r="Z363" s="101" t="e">
        <f t="shared" si="537"/>
        <v>#N/A</v>
      </c>
      <c r="AA363" s="91" t="e">
        <f t="shared" si="538"/>
        <v>#N/A</v>
      </c>
      <c r="AB363" s="30" t="e">
        <f t="shared" si="600"/>
        <v>#N/A</v>
      </c>
      <c r="AC363" s="30" t="e">
        <f t="shared" si="601"/>
        <v>#N/A</v>
      </c>
      <c r="AD363" s="31" t="e">
        <f>IF(OR(Hypothèses!$B$4=17,Hypothèses!$B$4=18,Hypothèses!$B$4=19,Hypothèses!$B$4=20),
IF($D363="Pressio.",
IF(OR($E363=3,$E363=1,$E363=4),AC363,AB363),
IF($D363="Pénétro.",
IF(OR($E363=3,$E363=1,$E363=4),AC363,AB363))),IF($D363="Pressio.",
IF($E363=3,AC363,AB363),
IF($D363="Pénétro.",
IF($E363=4,AC363,AB363))))</f>
        <v>#N/A</v>
      </c>
      <c r="AE363" s="31" t="e">
        <f>(IF(OR(Hypothèses!$B$4=17,Hypothèses!$B$4=18,Hypothèses!$B$4=19,Hypothèses!$B$4=20),
IF($D363="Pressio.",
IF(OR($E363=3,$E363=1,$E363=4),(PI()*AE$12^2)/4*(AA363*$W363*1000)/($H363*$B$5),(PI()*AE$12^2)/4*(AA363*$W363*1000)/($G363*$B$5)),
IF($D363="Pénétro.",
IF(OR($E363=4,$E363=1,$E363=5),(PI()*AE$12^2)/4*(AA363*$W363*1000)/($H363*$B$5),(PI()*AE$12^2)/4*(AA363*$W363*1000)/($G363*$B$5)))),
IF($D363="Pressio.",
IF($E363=3,(PI()*AE$12^2)/4*(AA363*$W363*1000)/($H363*$B$5),(PI()*AE$12^2)/4*(AA363*$W363*1000)/($G363*$B$5)),
IF($D363="Pénétro.",
IF($E363=4,(PI()*AE$12^2)/4*(AA363*$W363*1000)/($H363*$B$5),(PI()*AE$12^2)/4*(AA363*$W363*1000)/($G363*$B$5))))))/10</f>
        <v>#N/A</v>
      </c>
      <c r="AF363" s="102" t="e">
        <f>(VLOOKUP($B$3,'Coeff EC7'!$T$39:$X$59,2,0)*AD363+VLOOKUP($B$3,'Coeff EC7'!$T$65:$X$85,2,0)*Model0.1C!AE363)/1.1</f>
        <v>#N/A</v>
      </c>
      <c r="AG363" s="102" t="e">
        <f>(VLOOKUP($B$3,'Coeff EC7'!$T$39:$X$59,3,0)*AD363+VLOOKUP($B$3,'Coeff EC7'!$T$65:$X$85,3,0)*Model0.1C!AE363)/0.9</f>
        <v>#N/A</v>
      </c>
      <c r="AH363" s="102" t="e">
        <f t="shared" si="539"/>
        <v>#N/A</v>
      </c>
      <c r="AI363" s="102" t="e">
        <f t="shared" si="540"/>
        <v>#N/A</v>
      </c>
      <c r="AJ363" s="414" t="e">
        <f>IF(AJ362=0,0,IF(AND(AF363&gt;charge_ELS_quasi,AG363&gt;Charge_ELS_freq,AH363&gt;charge_ELU,AI363&gt;charge_ELA,$B363&gt;NDC!$H$22-0.1+MIN(3*$AJ$12,1.5)),0,1))</f>
        <v>#N/A</v>
      </c>
      <c r="AK363" s="86" t="b">
        <f t="shared" si="541"/>
        <v>0</v>
      </c>
      <c r="AL363" s="86">
        <f t="shared" si="570"/>
        <v>0.5</v>
      </c>
      <c r="AM363" s="86">
        <f t="shared" si="542"/>
        <v>0.5</v>
      </c>
      <c r="AN363" s="30" t="e">
        <f t="shared" ca="1" si="571"/>
        <v>#DIV/0!</v>
      </c>
      <c r="AO363" s="85" t="e">
        <f ca="1">IF(U363&lt;=Hypothèses!$V$7,Hypothèses!$W$7,IF(U363&lt;=Hypothèses!$V$8,Hypothèses!$W$8,IF(U363&lt;=Hypothèses!$V$9,Hypothèses!$W$9,IF(U363&lt;=Hypothèses!$V$10,Hypothèses!$W$10,IF(U363&lt;=Hypothèses!$V$11,Hypothèses!$W$11,IF(U363&lt;=Hypothèses!$V$12,Hypothèses!$W$12,IF(U363&lt;=Hypothèses!$V$13,Hypothèses!$W$13,IF(U363&lt;=Hypothèses!$V$14,Hypothèses!$W$14,IF(U363&lt;=Hypothèses!$V$15,Hypothèses!$W$15,IF(U363&lt;=Hypothèses!$V$16,Hypothèses!$W$16,IF(U363&lt;=Hypothèses!$V$17,Hypothèses!$W$17,IF(U363&lt;=Hypothèses!$V$18,Hypothèses!$W$18,""))))))))))))</f>
        <v>#DIV/0!</v>
      </c>
      <c r="AP363" s="87" t="e">
        <f t="shared" ca="1" si="617"/>
        <v>#DIV/0!</v>
      </c>
      <c r="AQ363" s="88" t="e">
        <f ca="1">IF(U363&lt;=Hypothèses!$V$7,Hypothèses!$X$7,IF(U363&lt;=Hypothèses!$V$8,Hypothèses!$X$8,IF(U363&lt;=Hypothèses!$V$9,Hypothèses!$X$9,IF(U363&lt;=Hypothèses!$V$10,Hypothèses!$X$10,IF(U363&lt;=Hypothèses!$V$11,Hypothèses!$X$11,IF(U363&lt;=Hypothèses!$V$12,Hypothèses!$X$12,IF(U363&lt;=Hypothèses!$V$13,Hypothèses!$X$13,IF(U363&lt;=Hypothèses!$V$14,Hypothèses!$X$14,IF(U363&lt;=Hypothèses!$V$15,Hypothèses!$X$15,IF(U363&lt;=Hypothèses!$V$16,Hypothèses!$X$16,IF(U363&lt;=Hypothèses!$U$17,Hypothèses!$W$17,IF(U363&lt;=Hypothèses!$U$18,Hypothèses!$W$18,""))))))))))))</f>
        <v>#DIV/0!</v>
      </c>
      <c r="AR363" s="95" t="e">
        <f t="shared" ca="1" si="572"/>
        <v>#DIV/0!</v>
      </c>
      <c r="AS363" s="101" t="e">
        <f t="shared" si="624"/>
        <v>#N/A</v>
      </c>
      <c r="AT363" s="91" t="e">
        <f t="shared" si="543"/>
        <v>#N/A</v>
      </c>
      <c r="AU363" s="30" t="e">
        <f t="shared" si="602"/>
        <v>#N/A</v>
      </c>
      <c r="AV363" s="30" t="e">
        <f t="shared" si="603"/>
        <v>#N/A</v>
      </c>
      <c r="AW363" s="31" t="e">
        <f>IF(OR(Hypothèses!$B$4=17,Hypothèses!$B$4=18,Hypothèses!$B$4=19,Hypothèses!$B$4=20),
IF($D363="Pressio.",
IF(OR($E363=3,$E363=1,$E363=4),AV363,AU363),
IF($D363="Pénétro.",
IF(OR($E363=3,$E363=1,$E363=4),AV363,AU363))),IF($D363="Pressio.",
IF($E363=3,AV363,AU363),
IF($D363="Pénétro.",
IF($E363=4,AV363,AU363))))</f>
        <v>#N/A</v>
      </c>
      <c r="AX363" s="31" t="e">
        <f>(IF(OR(Hypothèses!$B$4=17,Hypothèses!$B$4=18,Hypothèses!$B$4=19,Hypothèses!$B$4=20),
IF($D363="Pressio.",
IF(OR($E363=3,$E363=1,$E363=4),(PI()*AX$12^2)/4*(AT363*$W363*1000)/($H363*$B$5),(PI()*AX$12^2)/4*(AT363*$W363*1000)/($G363*$B$5)),
IF($D363="Pénétro.",
IF(OR($E363=4,$E363=1,$E363=5),(PI()*AX$12^2)/4*(AT363*$W363*1000)/($H363*$B$5),(PI()*AX$12^2)/4*(AT363*$W363*1000)/($G363*$B$5)))),
IF($D363="Pressio.",
IF($E363=3,(PI()*AX$12^2)/4*(AT363*$W363*1000)/($H363*$B$5),(PI()*AX$12^2)/4*(AT363*$W363*1000)/($G363*$B$5)),
IF($D363="Pénétro.",
IF($E363=4,(PI()*AX$12^2)/4*(AT363*$W363*1000)/($H363*$B$5),(PI()*AX$12^2)/4*(AT363*$W363*1000)/($G363*$B$5))))))/10</f>
        <v>#N/A</v>
      </c>
      <c r="AY363" s="102" t="e">
        <f>(VLOOKUP($B$3,'Coeff EC7'!$T$39:$X$59,2,0)*AW363+VLOOKUP($B$3,'Coeff EC7'!$T$65:$X$85,2,0)*Model0.1C!AX363)/1.1</f>
        <v>#N/A</v>
      </c>
      <c r="AZ363" s="102" t="e">
        <f>(VLOOKUP($B$3,'Coeff EC7'!$T$39:$X$59,3,0)*AW363+VLOOKUP($B$3,'Coeff EC7'!$T$65:$X$85,3,0)*Model0.1C!AX363)/0.9</f>
        <v>#N/A</v>
      </c>
      <c r="BA363" s="102" t="e">
        <f t="shared" si="573"/>
        <v>#N/A</v>
      </c>
      <c r="BB363" s="102" t="e">
        <f t="shared" si="574"/>
        <v>#N/A</v>
      </c>
      <c r="BC363" s="414" t="e">
        <f>IF(BC362=0,0,IF(AND(AY363&gt;charge_ELS_quasi,AZ363&gt;Charge_ELS_freq,BA363&gt;charge_ELU,BB363&gt;charge_ELA,$B363&gt;NDC!$H$22-0.1+MIN(3*$BC$12,1.5)),0,1))</f>
        <v>#N/A</v>
      </c>
      <c r="BD363" s="86" t="b">
        <f t="shared" si="544"/>
        <v>0</v>
      </c>
      <c r="BE363" s="86">
        <f t="shared" si="575"/>
        <v>0.5</v>
      </c>
      <c r="BF363" s="86">
        <f t="shared" si="545"/>
        <v>0.5</v>
      </c>
      <c r="BG363" s="30" t="e">
        <f t="shared" ca="1" si="576"/>
        <v>#DIV/0!</v>
      </c>
      <c r="BH363" s="85" t="e">
        <f ca="1">IF(AN363&lt;=Hypothèses!$V$7,Hypothèses!$W$7,IF(AN363&lt;=Hypothèses!$V$8,Hypothèses!$W$8,IF(AN363&lt;=Hypothèses!$V$9,Hypothèses!$W$9,IF(AN363&lt;=Hypothèses!$V$10,Hypothèses!$W$10,IF(AN363&lt;=Hypothèses!$V$11,Hypothèses!$W$11,IF(AN363&lt;=Hypothèses!$V$12,Hypothèses!$W$12,IF(AN363&lt;=Hypothèses!$V$13,Hypothèses!$W$13,IF(AN363&lt;=Hypothèses!$V$14,Hypothèses!$W$14,IF(AN363&lt;=Hypothèses!$V$15,Hypothèses!$W$15,IF(AN363&lt;=Hypothèses!$V$16,Hypothèses!$W$16,IF(AN363&lt;=Hypothèses!$V$17,Hypothèses!$W$17,IF(AN363&lt;=Hypothèses!$V$18,Hypothèses!$W$18,""))))))))))))</f>
        <v>#DIV/0!</v>
      </c>
      <c r="BI363" s="87" t="e">
        <f t="shared" ca="1" si="618"/>
        <v>#DIV/0!</v>
      </c>
      <c r="BJ363" s="88" t="e">
        <f ca="1">IF(AN363&lt;=Hypothèses!$V$7,Hypothèses!$X$7,IF(AN363&lt;=Hypothèses!$V$8,Hypothèses!$X$8,IF(AN363&lt;=Hypothèses!$V$9,Hypothèses!$X$9,IF(AN363&lt;=Hypothèses!$V$10,Hypothèses!$X$10,IF(AN363&lt;=Hypothèses!$V$11,Hypothèses!$X$11,IF(AN363&lt;=Hypothèses!$V$12,Hypothèses!$X$12,IF(AN363&lt;=Hypothèses!$V$13,Hypothèses!$X$13,IF(AN363&lt;=Hypothèses!$V$14,Hypothèses!$X$14,IF(AN363&lt;=Hypothèses!$V$15,Hypothèses!$X$15,IF(AN363&lt;=Hypothèses!$V$16,Hypothèses!$X$16,IF(AN363&lt;=Hypothèses!$U$17,Hypothèses!$W$17,IF(AN363&lt;=Hypothèses!$U$18,Hypothèses!$W$18,""))))))))))))</f>
        <v>#DIV/0!</v>
      </c>
      <c r="BK363" s="95" t="e">
        <f t="shared" ca="1" si="577"/>
        <v>#DIV/0!</v>
      </c>
      <c r="BL363" s="101" t="e">
        <f t="shared" si="625"/>
        <v>#N/A</v>
      </c>
      <c r="BM363" s="91" t="e">
        <f t="shared" si="546"/>
        <v>#N/A</v>
      </c>
      <c r="BN363" s="30" t="e">
        <f t="shared" si="604"/>
        <v>#N/A</v>
      </c>
      <c r="BO363" s="30" t="e">
        <f t="shared" si="605"/>
        <v>#N/A</v>
      </c>
      <c r="BP363" s="31" t="e">
        <f>IF(OR(Hypothèses!$B$4=17,Hypothèses!$B$4=18,Hypothèses!$B$4=19,Hypothèses!$B$4=20),
IF($D363="Pressio.",
IF(OR($E363=3,$E363=1,$E363=4),BO363,BN363),
IF($D363="Pénétro.",
IF(OR($E363=3,$E363=1,$E363=4),BO363,BN363))),IF($D363="Pressio.",
IF($E363=3,BO363,BN363),
IF($D363="Pénétro.",
IF($E363=4,BO363,BN363))))</f>
        <v>#N/A</v>
      </c>
      <c r="BQ363" s="31" t="e">
        <f>(IF(OR(Hypothèses!$B$4=17,Hypothèses!$B$4=18,Hypothèses!$B$4=19,Hypothèses!$B$4=20),
IF($D363="Pressio.",
IF(OR($E363=3,$E363=1,$E363=4),(PI()*BQ$12^2)/4*(BM363*$W363*1000)/($H363*$B$5),(PI()*BQ$12^2)/4*(BM363*$W363*1000)/($G363*$B$5)),
IF($D363="Pénétro.",
IF(OR($E363=4,$E363=1,$E363=5),(PI()*BQ$12^2)/4*(BM363*$W363*1000)/($H363*$B$5),(PI()*BQ$12^2)/4*(BM363*$W363*1000)/($G363*$B$5)))),
IF($D363="Pressio.",
IF($E363=3,(PI()*BQ$12^2)/4*(BM363*$W363*1000)/($H363*$B$5),(PI()*BQ$12^2)/4*(BM363*$W363*1000)/($G363*$B$5)),
IF($D363="Pénétro.",
IF($E363=4,(PI()*BQ$12^2)/4*(BM363*$W363*1000)/($H363*$B$5),(PI()*BQ$12^2)/4*(BM363*$W363*1000)/($G363*$B$5))))))/10</f>
        <v>#N/A</v>
      </c>
      <c r="BR363" s="102" t="e">
        <f>(VLOOKUP($B$3,'Coeff EC7'!$T$39:$X$59,2,0)*BP363+VLOOKUP($B$3,'Coeff EC7'!$T$65:$X$85,2,0)*Model0.1C!BQ363)/1.1</f>
        <v>#N/A</v>
      </c>
      <c r="BS363" s="102" t="e">
        <f>(VLOOKUP($B$3,'Coeff EC7'!$T$39:$X$59,3,0)*BP363+VLOOKUP($B$3,'Coeff EC7'!$T$65:$X$85,3,0)*Model0.1C!BQ363)/0.9</f>
        <v>#N/A</v>
      </c>
      <c r="BT363" s="102" t="e">
        <f t="shared" si="578"/>
        <v>#N/A</v>
      </c>
      <c r="BU363" s="102" t="e">
        <f t="shared" si="579"/>
        <v>#N/A</v>
      </c>
      <c r="BV363" s="414" t="e">
        <f>IF(BV362=0,0,IF(AND(BR363&gt;charge_ELS_quasi,BS363&gt;Charge_ELS_freq,BT363&gt;charge_ELU,BU363&gt;charge_ELA,$B363&gt;NDC!$H$22-0.1+MIN(3*$BV$12,1.5)),0,1))</f>
        <v>#N/A</v>
      </c>
      <c r="BW363" s="86" t="b">
        <f t="shared" si="547"/>
        <v>0</v>
      </c>
      <c r="BX363" s="86">
        <f t="shared" si="548"/>
        <v>0.5</v>
      </c>
      <c r="BY363" s="86">
        <f t="shared" si="549"/>
        <v>0.5</v>
      </c>
      <c r="BZ363" s="30" t="e">
        <f t="shared" ca="1" si="580"/>
        <v>#DIV/0!</v>
      </c>
      <c r="CA363" s="85" t="e">
        <f ca="1">IF(BG363&lt;=Hypothèses!$V$7,Hypothèses!$W$7,IF(BG363&lt;=Hypothèses!$V$8,Hypothèses!$W$8,IF(BG363&lt;=Hypothèses!$V$9,Hypothèses!$W$9,IF(BG363&lt;=Hypothèses!$V$10,Hypothèses!$W$10,IF(BG363&lt;=Hypothèses!$V$11,Hypothèses!$W$11,IF(BG363&lt;=Hypothèses!$V$12,Hypothèses!$W$12,IF(BG363&lt;=Hypothèses!$V$13,Hypothèses!$W$13,IF(BG363&lt;=Hypothèses!$V$14,Hypothèses!$W$14,IF(BG363&lt;=Hypothèses!$V$15,Hypothèses!$W$15,IF(BG363&lt;=Hypothèses!$V$16,Hypothèses!$W$16,IF(BG363&lt;=Hypothèses!$V$17,Hypothèses!$W$17,IF(BG363&lt;=Hypothèses!$V$18,Hypothèses!$W$18,""))))))))))))</f>
        <v>#DIV/0!</v>
      </c>
      <c r="CB363" s="87" t="e">
        <f t="shared" ca="1" si="619"/>
        <v>#DIV/0!</v>
      </c>
      <c r="CC363" s="88" t="e">
        <f ca="1">IF(BG363&lt;=Hypothèses!$V$7,Hypothèses!$X$7,IF(BG363&lt;=Hypothèses!$V$8,Hypothèses!$X$8,IF(BG363&lt;=Hypothèses!$V$9,Hypothèses!$X$9,IF(BG363&lt;=Hypothèses!$V$10,Hypothèses!$X$10,IF(BG363&lt;=Hypothèses!$V$11,Hypothèses!$X$11,IF(BG363&lt;=Hypothèses!$V$12,Hypothèses!$X$12,IF(BG363&lt;=Hypothèses!$V$13,Hypothèses!$X$13,IF(BG363&lt;=Hypothèses!$V$14,Hypothèses!$X$14,IF(BG363&lt;=Hypothèses!$V$15,Hypothèses!$X$15,IF(BG363&lt;=Hypothèses!$V$16,Hypothèses!$X$16,IF(BG363&lt;=Hypothèses!$U$17,Hypothèses!$W$17,IF(BG363&lt;=Hypothèses!$U$18,Hypothèses!$W$18,""))))))))))))</f>
        <v>#DIV/0!</v>
      </c>
      <c r="CD363" s="95" t="e">
        <f t="shared" ca="1" si="581"/>
        <v>#DIV/0!</v>
      </c>
      <c r="CE363" s="101" t="e">
        <f t="shared" si="626"/>
        <v>#N/A</v>
      </c>
      <c r="CF363" s="91" t="e">
        <f t="shared" si="550"/>
        <v>#N/A</v>
      </c>
      <c r="CG363" s="30" t="e">
        <f t="shared" si="606"/>
        <v>#N/A</v>
      </c>
      <c r="CH363" s="30" t="e">
        <f t="shared" si="607"/>
        <v>#N/A</v>
      </c>
      <c r="CI363" s="31" t="e">
        <f>IF(OR(Hypothèses!$B$4=17,Hypothèses!$B$4=18,Hypothèses!$B$4=19,Hypothèses!$B$4=20),
IF($D363="Pressio.",
IF(OR($E363=3,$E363=1,$E363=4),CH363,CG363),
IF($D363="Pénétro.",
IF(OR($E363=3,$E363=1,$E363=4),CH363,CG363))),IF($D363="Pressio.",
IF($E363=3,CH363,CG363),
IF($D363="Pénétro.",
IF($E363=4,CH363,CG363))))</f>
        <v>#N/A</v>
      </c>
      <c r="CJ363" s="31" t="e">
        <f>(IF(OR(Hypothèses!$B$4=17,Hypothèses!$B$4=18,Hypothèses!$B$4=19,Hypothèses!$B$4=20),
IF($D363="Pressio.",
IF(OR($E363=3,$E363=1,$E363=4),(PI()*CJ$12^2)/4*(CF363*$W363*1000)/($H363*$B$5),(PI()*CJ$12^2)/4*(CF363*$W363*1000)/($G363*$B$5)),
IF($D363="Pénétro.",
IF(OR($E363=4,$E363=1,$E363=5),(PI()*CJ$12^2)/4*(CF363*$W363*1000)/($H363*$B$5),(PI()*CJ$12^2)/4*(CF363*$W363*1000)/($G363*$B$5)))),
IF($D363="Pressio.",
IF($E363=3,(PI()*CJ$12^2)/4*(CF363*$W363*1000)/($H363*$B$5),(PI()*CJ$12^2)/4*(CF363*$W363*1000)/($G363*$B$5)),
IF($D363="Pénétro.",
IF($E363=4,(PI()*CJ$12^2)/4*(CF363*$W363*1000)/($H363*$B$5),(PI()*CJ$12^2)/4*(CF363*$W363*1000)/($G363*$B$5))))))/10</f>
        <v>#N/A</v>
      </c>
      <c r="CK363" s="102" t="e">
        <f>(VLOOKUP($B$3,'Coeff EC7'!$T$39:$X$59,2,0)*CI363+VLOOKUP($B$3,'Coeff EC7'!$T$65:$X$85,2,0)*Model0.1C!CJ363)/1.1</f>
        <v>#N/A</v>
      </c>
      <c r="CL363" s="102" t="e">
        <f>(VLOOKUP($B$3,'Coeff EC7'!$T$39:$X$59,3,0)*CI363+VLOOKUP($B$3,'Coeff EC7'!$T$65:$X$85,3,0)*Model0.1C!CJ363)/0.9</f>
        <v>#N/A</v>
      </c>
      <c r="CM363" s="102" t="e">
        <f t="shared" si="582"/>
        <v>#N/A</v>
      </c>
      <c r="CN363" s="102" t="e">
        <f t="shared" si="583"/>
        <v>#N/A</v>
      </c>
      <c r="CO363" s="414" t="e">
        <f>IF(CO362=0,0,IF(AND(CK363&gt;charge_ELS_quasi,CL363&gt;Charge_ELS_freq,CM363&gt;charge_ELU,CN363&gt;charge_ELA,$B363&gt;NDC!$H$22-0.1+MIN(3*$CO$12,1.5)),0,1))</f>
        <v>#N/A</v>
      </c>
      <c r="CP363" s="86" t="b">
        <f t="shared" si="551"/>
        <v>0</v>
      </c>
      <c r="CQ363" s="86">
        <f t="shared" si="552"/>
        <v>0.5</v>
      </c>
      <c r="CR363" s="86">
        <f t="shared" si="553"/>
        <v>0.5</v>
      </c>
      <c r="CS363" s="30" t="e">
        <f t="shared" ca="1" si="584"/>
        <v>#DIV/0!</v>
      </c>
      <c r="CT363" s="85" t="e">
        <f ca="1">IF(BZ363&lt;=Hypothèses!$V$7,Hypothèses!$W$7,IF(BZ363&lt;=Hypothèses!$V$8,Hypothèses!$W$8,IF(BZ363&lt;=Hypothèses!$V$9,Hypothèses!$W$9,IF(BZ363&lt;=Hypothèses!$V$10,Hypothèses!$W$10,IF(BZ363&lt;=Hypothèses!$V$11,Hypothèses!$W$11,IF(BZ363&lt;=Hypothèses!$V$12,Hypothèses!$W$12,IF(BZ363&lt;=Hypothèses!$V$13,Hypothèses!$W$13,IF(BZ363&lt;=Hypothèses!$V$14,Hypothèses!$W$14,IF(BZ363&lt;=Hypothèses!$V$15,Hypothèses!$W$15,IF(BZ363&lt;=Hypothèses!$V$16,Hypothèses!$W$16,IF(BZ363&lt;=Hypothèses!$V$17,Hypothèses!$W$17,IF(BZ363&lt;=Hypothèses!$V$18,Hypothèses!$W$18,""))))))))))))</f>
        <v>#DIV/0!</v>
      </c>
      <c r="CU363" s="87" t="e">
        <f t="shared" ca="1" si="620"/>
        <v>#DIV/0!</v>
      </c>
      <c r="CV363" s="88" t="e">
        <f ca="1">IF(BZ363&lt;=Hypothèses!$V$7,Hypothèses!$X$7,IF(BZ363&lt;=Hypothèses!$V$8,Hypothèses!$X$8,IF(BZ363&lt;=Hypothèses!$V$9,Hypothèses!$X$9,IF(BZ363&lt;=Hypothèses!$V$10,Hypothèses!$X$10,IF(BZ363&lt;=Hypothèses!$V$11,Hypothèses!$X$11,IF(BZ363&lt;=Hypothèses!$V$12,Hypothèses!$X$12,IF(BZ363&lt;=Hypothèses!$V$13,Hypothèses!$X$13,IF(BZ363&lt;=Hypothèses!$V$14,Hypothèses!$X$14,IF(BZ363&lt;=Hypothèses!$V$15,Hypothèses!$X$15,IF(BZ363&lt;=Hypothèses!$V$16,Hypothèses!$X$16,IF(BZ363&lt;=Hypothèses!$U$17,Hypothèses!$W$17,IF(BZ363&lt;=Hypothèses!$U$18,Hypothèses!$W$18,""))))))))))))</f>
        <v>#DIV/0!</v>
      </c>
      <c r="CW363" s="95" t="e">
        <f t="shared" ca="1" si="585"/>
        <v>#DIV/0!</v>
      </c>
      <c r="CX363" s="101" t="e">
        <f t="shared" si="627"/>
        <v>#N/A</v>
      </c>
      <c r="CY363" s="91" t="e">
        <f t="shared" si="554"/>
        <v>#N/A</v>
      </c>
      <c r="CZ363" s="30" t="e">
        <f t="shared" si="608"/>
        <v>#N/A</v>
      </c>
      <c r="DA363" s="30" t="e">
        <f t="shared" si="609"/>
        <v>#N/A</v>
      </c>
      <c r="DB363" s="31" t="e">
        <f>IF(OR(Hypothèses!$B$4=17,Hypothèses!$B$4=18,Hypothèses!$B$4=19,Hypothèses!$B$4=20),
IF($D363="Pressio.",
IF(OR($E363=3,$E363=1,$E363=4),DA363,CZ363),
IF($D363="Pénétro.",
IF(OR($E363=3,$E363=1,$E363=4),DA363,CZ363))),IF($D363="Pressio.",
IF($E363=3,DA363,CZ363),
IF($D363="Pénétro.",
IF($E363=4,DA363,CZ363))))</f>
        <v>#N/A</v>
      </c>
      <c r="DC363" s="31" t="e">
        <f>(IF(OR(Hypothèses!$B$4=17,Hypothèses!$B$4=18,Hypothèses!$B$4=19,Hypothèses!$B$4=20),
IF($D363="Pressio.",
IF(OR($E363=3,$E363=1,$E363=4),(PI()*DC$12^2)/4*(CY363*$W363*1000)/($H363*$B$5),(PI()*DC$12^2)/4*(CY363*$W363*1000)/($G363*$B$5)),
IF($D363="Pénétro.",
IF(OR($E363=4,$E363=1,$E363=5),(PI()*DC$12^2)/4*(CY363*$W363*1000)/($H363*$B$5),(PI()*DC$12^2)/4*(CY363*$W363*1000)/($G363*$B$5)))),
IF($D363="Pressio.",
IF($E363=3,(PI()*DC$12^2)/4*(CY363*$W363*1000)/($H363*$B$5),(PI()*DC$12^2)/4*(CY363*$W363*1000)/($G363*$B$5)),
IF($D363="Pénétro.",
IF($E363=4,(PI()*DC$12^2)/4*(CY363*$W363*1000)/($H363*$B$5),(PI()*DC$12^2)/4*(CY363*$W363*1000)/($G363*$B$5))))))/10</f>
        <v>#N/A</v>
      </c>
      <c r="DD363" s="102" t="e">
        <f>(VLOOKUP($B$3,'Coeff EC7'!$T$39:$X$59,2,0)*DB363+VLOOKUP($B$3,'Coeff EC7'!$T$65:$X$85,2,0)*Model0.1C!DC363)/1.1</f>
        <v>#N/A</v>
      </c>
      <c r="DE363" s="102" t="e">
        <f>(VLOOKUP($B$3,'Coeff EC7'!$T$39:$X$59,3,0)*DB363+VLOOKUP($B$3,'Coeff EC7'!$T$65:$X$85,3,0)*Model0.1C!DC363)/0.9</f>
        <v>#N/A</v>
      </c>
      <c r="DF363" s="102" t="e">
        <f t="shared" si="586"/>
        <v>#N/A</v>
      </c>
      <c r="DG363" s="102" t="e">
        <f t="shared" si="587"/>
        <v>#N/A</v>
      </c>
      <c r="DH363" s="414" t="e">
        <f>IF(DH362=0,0,IF(AND(DD363&gt;charge_ELS_quasi,DE363&gt;Charge_ELS_freq,DF363&gt;charge_ELU,DG363&gt;charge_ELA,$B363&gt;NDC!$H$22-0.1+MIN(3*$DH$12,1.5)),0,1))</f>
        <v>#N/A</v>
      </c>
      <c r="DI363" s="86" t="b">
        <f t="shared" si="555"/>
        <v>0</v>
      </c>
      <c r="DJ363" s="86">
        <f t="shared" si="556"/>
        <v>0.5</v>
      </c>
      <c r="DK363" s="86">
        <f t="shared" si="557"/>
        <v>0.5</v>
      </c>
      <c r="DL363" s="30" t="e">
        <f t="shared" ca="1" si="588"/>
        <v>#DIV/0!</v>
      </c>
      <c r="DM363" s="85" t="e">
        <f ca="1">IF(CS363&lt;=Hypothèses!$V$7,Hypothèses!$W$7,IF(CS363&lt;=Hypothèses!$V$8,Hypothèses!$W$8,IF(CS363&lt;=Hypothèses!$V$9,Hypothèses!$W$9,IF(CS363&lt;=Hypothèses!$V$10,Hypothèses!$W$10,IF(CS363&lt;=Hypothèses!$V$11,Hypothèses!$W$11,IF(CS363&lt;=Hypothèses!$V$12,Hypothèses!$W$12,IF(CS363&lt;=Hypothèses!$V$13,Hypothèses!$W$13,IF(CS363&lt;=Hypothèses!$V$14,Hypothèses!$W$14,IF(CS363&lt;=Hypothèses!$V$15,Hypothèses!$W$15,IF(CS363&lt;=Hypothèses!$V$16,Hypothèses!$W$16,IF(CS363&lt;=Hypothèses!$V$17,Hypothèses!$W$17,IF(CS363&lt;=Hypothèses!$V$18,Hypothèses!$W$18,""))))))))))))</f>
        <v>#DIV/0!</v>
      </c>
      <c r="DN363" s="87" t="e">
        <f t="shared" ca="1" si="621"/>
        <v>#DIV/0!</v>
      </c>
      <c r="DO363" s="88" t="e">
        <f ca="1">IF(CS363&lt;=Hypothèses!$V$7,Hypothèses!$X$7,IF(CS363&lt;=Hypothèses!$V$8,Hypothèses!$X$8,IF(CS363&lt;=Hypothèses!$V$9,Hypothèses!$X$9,IF(CS363&lt;=Hypothèses!$V$10,Hypothèses!$X$10,IF(CS363&lt;=Hypothèses!$V$11,Hypothèses!$X$11,IF(CS363&lt;=Hypothèses!$V$12,Hypothèses!$X$12,IF(CS363&lt;=Hypothèses!$V$13,Hypothèses!$X$13,IF(CS363&lt;=Hypothèses!$V$14,Hypothèses!$X$14,IF(CS363&lt;=Hypothèses!$V$15,Hypothèses!$X$15,IF(CS363&lt;=Hypothèses!$V$16,Hypothèses!$X$16,IF(CS363&lt;=Hypothèses!$U$17,Hypothèses!$W$17,IF(CS363&lt;=Hypothèses!$U$18,Hypothèses!$W$18,""))))))))))))</f>
        <v>#DIV/0!</v>
      </c>
      <c r="DP363" s="95" t="e">
        <f t="shared" ca="1" si="589"/>
        <v>#DIV/0!</v>
      </c>
      <c r="DQ363" s="101" t="e">
        <f t="shared" si="628"/>
        <v>#N/A</v>
      </c>
      <c r="DR363" s="91" t="e">
        <f t="shared" si="558"/>
        <v>#N/A</v>
      </c>
      <c r="DS363" s="30" t="e">
        <f t="shared" si="610"/>
        <v>#N/A</v>
      </c>
      <c r="DT363" s="30" t="e">
        <f t="shared" si="611"/>
        <v>#N/A</v>
      </c>
      <c r="DU363" s="31" t="e">
        <f>IF(OR(Hypothèses!$B$4=17,Hypothèses!$B$4=18,Hypothèses!$B$4=19,Hypothèses!$B$4=20),
IF($D363="Pressio.",
IF(OR($E363=3,$E363=1,$E363=4),DT363,DS363),
IF($D363="Pénétro.",
IF(OR($E363=3,$E363=1,$E363=4),DT363,DS363))),IF($D363="Pressio.",
IF($E363=3,DT363,DS363),
IF($D363="Pénétro.",
IF($E363=4,DT363,DS363))))</f>
        <v>#N/A</v>
      </c>
      <c r="DV363" s="31" t="e">
        <f>(IF(OR(Hypothèses!$B$4=17,Hypothèses!$B$4=18,Hypothèses!$B$4=19,Hypothèses!$B$4=20),
IF($D363="Pressio.",
IF(OR($E363=3,$E363=1,$E363=4),(PI()*DV$12^2)/4*(DR363*$W363*1000)/($H363*$B$5),(PI()*DV$12^2)/4*(DR363*$W363*1000)/($G363*$B$5)),
IF($D363="Pénétro.",
IF(OR($E363=4,$E363=1,$E363=5),(PI()*DV$12^2)/4*(DR363*$W363*1000)/($H363*$B$5),(PI()*DV$12^2)/4*(DR363*$W363*1000)/($G363*$B$5)))),
IF($D363="Pressio.",
IF($E363=3,(PI()*DV$12^2)/4*(DR363*$W363*1000)/($H363*$B$5),(PI()*DV$12^2)/4*(DR363*$W363*1000)/($G363*$B$5)),
IF($D363="Pénétro.",
IF($E363=4,(PI()*DV$12^2)/4*(DR363*$W363*1000)/($H363*$B$5),(PI()*DV$12^2)/4*(DR363*$W363*1000)/($G363*$B$5))))))/10</f>
        <v>#N/A</v>
      </c>
      <c r="DW363" s="102" t="e">
        <f>(VLOOKUP($B$3,'Coeff EC7'!$T$39:$X$59,2,0)*DU363+VLOOKUP($B$3,'Coeff EC7'!$T$65:$X$85,2,0)*Model0.1C!DV363)/1.1</f>
        <v>#N/A</v>
      </c>
      <c r="DX363" s="102" t="e">
        <f>(VLOOKUP($B$3,'Coeff EC7'!$T$39:$X$59,3,0)*DU363+VLOOKUP($B$3,'Coeff EC7'!$T$65:$X$85,3,0)*Model0.1C!DV363)/0.9</f>
        <v>#N/A</v>
      </c>
      <c r="DY363" s="102" t="e">
        <f t="shared" si="590"/>
        <v>#N/A</v>
      </c>
      <c r="DZ363" s="102" t="e">
        <f t="shared" si="591"/>
        <v>#N/A</v>
      </c>
      <c r="EA363" s="414" t="e">
        <f>IF(EA362=0,0,IF(AND(DW363&gt;charge_ELS_quasi,DX363&gt;Charge_ELS_freq,DY363&gt;charge_ELU,DZ363&gt;charge_ELA,$B363&gt;NDC!$H$22-0.1+MIN(3*$EA$12,1.5)),0,1))</f>
        <v>#N/A</v>
      </c>
      <c r="EB363" s="86" t="b">
        <f t="shared" si="559"/>
        <v>0</v>
      </c>
      <c r="EC363" s="418">
        <f t="shared" si="560"/>
        <v>0.51</v>
      </c>
      <c r="ED363" s="86">
        <f t="shared" si="561"/>
        <v>0.51</v>
      </c>
      <c r="EE363" s="30" t="e">
        <f t="shared" ca="1" si="592"/>
        <v>#DIV/0!</v>
      </c>
      <c r="EF363" s="85" t="e">
        <f ca="1">IF(DL363&lt;=Hypothèses!$V$7,Hypothèses!$W$7,IF(DL363&lt;=Hypothèses!$V$8,Hypothèses!$W$8,IF(DL363&lt;=Hypothèses!$V$9,Hypothèses!$W$9,IF(DL363&lt;=Hypothèses!$V$10,Hypothèses!$W$10,IF(DL363&lt;=Hypothèses!$V$11,Hypothèses!$W$11,IF(DL363&lt;=Hypothèses!$V$12,Hypothèses!$W$12,IF(DL363&lt;=Hypothèses!$V$13,Hypothèses!$W$13,IF(DL363&lt;=Hypothèses!$V$14,Hypothèses!$W$14,IF(DL363&lt;=Hypothèses!$V$15,Hypothèses!$W$15,IF(DL363&lt;=Hypothèses!$V$16,Hypothèses!$W$16,IF(DL363&lt;=Hypothèses!$V$17,Hypothèses!$W$17,IF(DL363&lt;=Hypothèses!$V$18,Hypothèses!$W$18,""))))))))))))</f>
        <v>#DIV/0!</v>
      </c>
      <c r="EG363" s="87" t="e">
        <f t="shared" ca="1" si="622"/>
        <v>#DIV/0!</v>
      </c>
      <c r="EH363" s="88" t="e">
        <f ca="1">IF(DL363&lt;=Hypothèses!$V$7,Hypothèses!$X$7,IF(DL363&lt;=Hypothèses!$V$8,Hypothèses!$X$8,IF(DL363&lt;=Hypothèses!$V$9,Hypothèses!$X$9,IF(DL363&lt;=Hypothèses!$V$10,Hypothèses!$X$10,IF(DL363&lt;=Hypothèses!$V$11,Hypothèses!$X$11,IF(DL363&lt;=Hypothèses!$V$12,Hypothèses!$X$12,IF(DL363&lt;=Hypothèses!$V$13,Hypothèses!$X$13,IF(DL363&lt;=Hypothèses!$V$14,Hypothèses!$X$14,IF(DL363&lt;=Hypothèses!$V$15,Hypothèses!$X$15,IF(DL363&lt;=Hypothèses!$V$16,Hypothèses!$X$16,IF(DL363&lt;=Hypothèses!$U$17,Hypothèses!$W$17,IF(DL363&lt;=Hypothèses!$U$18,Hypothèses!$W$18,""))))))))))))</f>
        <v>#DIV/0!</v>
      </c>
      <c r="EI363" s="95" t="e">
        <f t="shared" ca="1" si="593"/>
        <v>#DIV/0!</v>
      </c>
      <c r="EJ363" s="101" t="e">
        <f t="shared" si="629"/>
        <v>#N/A</v>
      </c>
      <c r="EK363" s="91" t="e">
        <f t="shared" si="562"/>
        <v>#N/A</v>
      </c>
      <c r="EL363" s="30" t="e">
        <f t="shared" si="612"/>
        <v>#N/A</v>
      </c>
      <c r="EM363" s="30" t="e">
        <f t="shared" si="613"/>
        <v>#N/A</v>
      </c>
      <c r="EN363" s="31" t="e">
        <f>IF(OR(Hypothèses!$B$4=17,Hypothèses!$B$4=18,Hypothèses!$B$4=19,Hypothèses!$B$4=20),
IF($D363="Pressio.",
IF(OR($E363=3,$E363=1,$E363=4),EM363,EL363),
IF($D363="Pénétro.",
IF(OR($E363=3,$E363=1,$E363=4),EM363,EL363))),IF($D363="Pressio.",
IF($E363=3,EM363,EL363),
IF($D363="Pénétro.",
IF($E363=4,EM363,EL363))))</f>
        <v>#N/A</v>
      </c>
      <c r="EO363" s="31" t="e">
        <f>(IF(OR(Hypothèses!$B$4=17,Hypothèses!$B$4=18,Hypothèses!$B$4=19,Hypothèses!$B$4=20),
IF($D363="Pressio.",
IF(OR($E363=3,$E363=1,$E363=4),(PI()*EO$12^2)/4*(EK363*$W363*1000)/($H363*$B$5),(PI()*EO$12^2)/4*(EK363*$W363*1000)/($G363*$B$5)),
IF($D363="Pénétro.",
IF(OR($E363=4,$E363=1,$E363=5),(PI()*EO$12^2)/4*(EK363*$W363*1000)/($H363*$B$5),(PI()*EO$12^2)/4*(EK363*$W363*1000)/($G363*$B$5)))),
IF($D363="Pressio.",
IF($E363=3,(PI()*EO$12^2)/4*(EK363*$W363*1000)/($H363*$B$5),(PI()*EO$12^2)/4*(EK363*$W363*1000)/($G363*$B$5)),
IF($D363="Pénétro.",
IF($E363=4,(PI()*EO$12^2)/4*(EK363*$W363*1000)/($H363*$B$5),(PI()*EO$12^2)/4*(EK363*$W363*1000)/($G363*$B$5))))))/10</f>
        <v>#N/A</v>
      </c>
      <c r="EP363" s="102" t="e">
        <f>(VLOOKUP($B$3,'Coeff EC7'!$T$39:$X$59,2,0)*EN363+VLOOKUP($B$3,'Coeff EC7'!$T$65:$X$85,2,0)*Model0.1C!EO363)/1.1</f>
        <v>#N/A</v>
      </c>
      <c r="EQ363" s="102" t="e">
        <f>(VLOOKUP($B$3,'Coeff EC7'!$T$39:$X$59,3,0)*EN363+VLOOKUP($B$3,'Coeff EC7'!$T$65:$X$85,3,0)*Model0.1C!EO363)/0.9</f>
        <v>#N/A</v>
      </c>
      <c r="ER363" s="102" t="e">
        <f t="shared" si="594"/>
        <v>#N/A</v>
      </c>
      <c r="ES363" s="102" t="e">
        <f t="shared" si="595"/>
        <v>#N/A</v>
      </c>
      <c r="ET363" s="414" t="e">
        <f>IF(ET362=0,0,IF(AND(EP363&gt;charge_ELS_quasi,EQ363&gt;Charge_ELS_freq,ER363&gt;charge_ELU,ES363&gt;charge_ELA,$B363&gt;NDC!$H$22-0.1+MIN(3*$ET$12,1.5)),0,1))</f>
        <v>#N/A</v>
      </c>
      <c r="EU363" s="86" t="b">
        <f t="shared" si="563"/>
        <v>0</v>
      </c>
      <c r="EV363" s="86">
        <f t="shared" si="564"/>
        <v>0.61</v>
      </c>
      <c r="EW363" s="86">
        <f t="shared" si="565"/>
        <v>0.61</v>
      </c>
      <c r="EX363" s="30" t="e">
        <f t="shared" ca="1" si="596"/>
        <v>#DIV/0!</v>
      </c>
      <c r="EY363" s="85" t="e">
        <f ca="1">IF(EE363&lt;=Hypothèses!$V$7,Hypothèses!$W$7,IF(EE363&lt;=Hypothèses!$V$8,Hypothèses!$W$8,IF(EE363&lt;=Hypothèses!$V$9,Hypothèses!$W$9,IF(EE363&lt;=Hypothèses!$V$10,Hypothèses!$W$10,IF(EE363&lt;=Hypothèses!$V$11,Hypothèses!$W$11,IF(EE363&lt;=Hypothèses!$V$12,Hypothèses!$W$12,IF(EE363&lt;=Hypothèses!$V$13,Hypothèses!$W$13,IF(EE363&lt;=Hypothèses!$V$14,Hypothèses!$W$14,IF(EE363&lt;=Hypothèses!$V$15,Hypothèses!$W$15,IF(EE363&lt;=Hypothèses!$V$16,Hypothèses!$W$16,IF(EE363&lt;=Hypothèses!$V$17,Hypothèses!$W$17,IF(EE363&lt;=Hypothèses!$V$18,Hypothèses!$W$18,""))))))))))))</f>
        <v>#DIV/0!</v>
      </c>
      <c r="EZ363" s="87" t="e">
        <f t="shared" ca="1" si="623"/>
        <v>#DIV/0!</v>
      </c>
      <c r="FA363" s="88" t="e">
        <f ca="1">IF(EE363&lt;=Hypothèses!$V$7,Hypothèses!$X$7,IF(EE363&lt;=Hypothèses!$V$8,Hypothèses!$X$8,IF(EE363&lt;=Hypothèses!$V$9,Hypothèses!$X$9,IF(EE363&lt;=Hypothèses!$V$10,Hypothèses!$X$10,IF(EE363&lt;=Hypothèses!$V$11,Hypothèses!$X$11,IF(EE363&lt;=Hypothèses!$V$12,Hypothèses!$X$12,IF(EE363&lt;=Hypothèses!$V$13,Hypothèses!$X$13,IF(EE363&lt;=Hypothèses!$V$14,Hypothèses!$X$14,IF(EE363&lt;=Hypothèses!$V$15,Hypothèses!$X$15,IF(EE363&lt;=Hypothèses!$V$16,Hypothèses!$X$16,IF(EE363&lt;=Hypothèses!$U$17,Hypothèses!$W$17,IF(EE363&lt;=Hypothèses!$U$18,Hypothèses!$W$18,""))))))))))))</f>
        <v>#DIV/0!</v>
      </c>
      <c r="FB363" s="95" t="e">
        <f t="shared" ca="1" si="597"/>
        <v>#DIV/0!</v>
      </c>
      <c r="FC363" s="101" t="e">
        <f t="shared" si="630"/>
        <v>#N/A</v>
      </c>
      <c r="FD363" s="91" t="e">
        <f t="shared" si="566"/>
        <v>#N/A</v>
      </c>
      <c r="FE363" s="30" t="e">
        <f t="shared" si="614"/>
        <v>#N/A</v>
      </c>
      <c r="FF363" s="30" t="e">
        <f t="shared" si="615"/>
        <v>#N/A</v>
      </c>
      <c r="FG363" s="31" t="e">
        <f>IF(OR(Hypothèses!$B$4=17,Hypothèses!$B$4=18,Hypothèses!$B$4=19,Hypothèses!$B$4=20),
IF($D363="Pressio.",
IF(OR($E363=3,$E363=1,$E363=4),FF363,FE363),
IF($D363="Pénétro.",
IF(OR($E363=3,$E363=1,$E363=4),FF363,FE363))),IF($D363="Pressio.",
IF($E363=3,FF363,FE363),
IF($D363="Pénétro.",
IF($E363=4,FF363,FE363))))</f>
        <v>#N/A</v>
      </c>
      <c r="FH363" s="31" t="e">
        <f>(IF(OR(Hypothèses!$B$4=17,Hypothèses!$B$4=18,Hypothèses!$B$4=19,Hypothèses!$B$4=20),
IF($D363="Pressio.",
IF(OR($E363=3,$E363=1,$E363=4),(PI()*FH$12^2)/4*(FD363*$W363*1000)/($H363*$B$5),(PI()*FH$12^2)/4*(FD363*$W363*1000)/($G363*$B$5)),
IF($D363="Pénétro.",
IF(OR($E363=4,$E363=1,$E363=5),(PI()*FH$12^2)/4*(FD363*$W363*1000)/($H363*$B$5),(PI()*FH$12^2)/4*(FD363*$W363*1000)/($G363*$B$5)))),
IF($D363="Pressio.",
IF($E363=3,(PI()*FH$12^2)/4*(FD363*$W363*1000)/($H363*$B$5),(PI()*FH$12^2)/4*(FD363*$W363*1000)/($G363*$B$5)),
IF($D363="Pénétro.",
IF($E363=4,(PI()*FH$12^2)/4*(FD363*$W363*1000)/($H363*$B$5),(PI()*FH$12^2)/4*(FD363*$W363*1000)/($G363*$B$5))))))/10</f>
        <v>#N/A</v>
      </c>
      <c r="FI363" s="102" t="e">
        <f>(VLOOKUP($B$3,'Coeff EC7'!$T$39:$X$59,2,0)*FG363+VLOOKUP($B$3,'Coeff EC7'!$T$65:$X$85,2,0)*Model0.1C!FH363)/1.1</f>
        <v>#N/A</v>
      </c>
      <c r="FJ363" s="102" t="e">
        <f>(VLOOKUP($B$3,'Coeff EC7'!$T$39:$X$59,3,0)*FG363+VLOOKUP($B$3,'Coeff EC7'!$T$65:$X$85,3,0)*Model0.1C!FH363)/0.9</f>
        <v>#N/A</v>
      </c>
      <c r="FK363" s="102" t="e">
        <f t="shared" si="598"/>
        <v>#N/A</v>
      </c>
      <c r="FL363" s="102" t="e">
        <f t="shared" si="599"/>
        <v>#N/A</v>
      </c>
      <c r="FM363" s="414" t="e">
        <f>IF(FM362=0,0,IF(AND(FI363&gt;charge_ELS_quasi,FJ363&gt;Charge_ELS_freq,FK363&gt;charge_ELU,FL363&gt;charge_ELA,$B363&gt;NDC!$H$22-0.1+MIN(3*$FM$12,1.5)),0,1))</f>
        <v>#N/A</v>
      </c>
    </row>
  </sheetData>
  <sheetProtection formatCells="0" formatColumns="0" formatRows="0" insertColumns="0" insertRows="0" insertHyperlinks="0" deleteColumns="0" deleteRows="0" sort="0" autoFilter="0" pivotTables="0"/>
  <mergeCells count="11">
    <mergeCell ref="A8:A9"/>
    <mergeCell ref="B8:B9"/>
    <mergeCell ref="Y11:AA11"/>
    <mergeCell ref="AR11:AT11"/>
    <mergeCell ref="BK11:BM11"/>
    <mergeCell ref="A11:X11"/>
    <mergeCell ref="CD11:CF11"/>
    <mergeCell ref="CW11:CY11"/>
    <mergeCell ref="DP11:DR11"/>
    <mergeCell ref="EI11:EK11"/>
    <mergeCell ref="FB11:FD11"/>
  </mergeCells>
  <conditionalFormatting sqref="AJ14:AJ363">
    <cfRule type="cellIs" dxfId="15" priority="8" operator="equal">
      <formula>1</formula>
    </cfRule>
  </conditionalFormatting>
  <conditionalFormatting sqref="BC14:BC363">
    <cfRule type="cellIs" dxfId="14" priority="7" operator="equal">
      <formula>1</formula>
    </cfRule>
  </conditionalFormatting>
  <conditionalFormatting sqref="BV14:BV363">
    <cfRule type="cellIs" dxfId="13" priority="6" operator="equal">
      <formula>1</formula>
    </cfRule>
  </conditionalFormatting>
  <conditionalFormatting sqref="CO14:CO363">
    <cfRule type="cellIs" dxfId="12" priority="5" operator="equal">
      <formula>1</formula>
    </cfRule>
  </conditionalFormatting>
  <conditionalFormatting sqref="DH14:DH363">
    <cfRule type="cellIs" dxfId="11" priority="4" operator="equal">
      <formula>1</formula>
    </cfRule>
  </conditionalFormatting>
  <conditionalFormatting sqref="EA14:EA363">
    <cfRule type="cellIs" dxfId="10" priority="3" operator="equal">
      <formula>1</formula>
    </cfRule>
  </conditionalFormatting>
  <conditionalFormatting sqref="ET14:ET363">
    <cfRule type="cellIs" dxfId="9" priority="2" operator="equal">
      <formula>1</formula>
    </cfRule>
  </conditionalFormatting>
  <conditionalFormatting sqref="FM14:FM363">
    <cfRule type="cellIs" dxfId="8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FM363"/>
  <sheetViews>
    <sheetView workbookViewId="0">
      <selection activeCell="AC3" sqref="AC3"/>
    </sheetView>
  </sheetViews>
  <sheetFormatPr baseColWidth="10" defaultColWidth="11.44140625" defaultRowHeight="14.4"/>
  <cols>
    <col min="1" max="1" width="12.88671875" customWidth="1"/>
    <col min="2" max="3" width="8.6640625" customWidth="1"/>
    <col min="4" max="4" width="9.88671875" customWidth="1"/>
    <col min="5" max="23" width="9.109375" customWidth="1"/>
    <col min="24" max="24" width="9.33203125" bestFit="1" customWidth="1"/>
    <col min="25" max="31" width="10.5546875" customWidth="1"/>
    <col min="32" max="32" width="10.6640625" customWidth="1"/>
    <col min="33" max="40" width="10.5546875" customWidth="1"/>
    <col min="41" max="41" width="11" customWidth="1"/>
    <col min="42" max="42" width="10.88671875" customWidth="1"/>
    <col min="43" max="43" width="10.5546875" customWidth="1"/>
    <col min="44" max="49" width="10.88671875" customWidth="1"/>
    <col min="50" max="50" width="7" customWidth="1"/>
    <col min="51" max="51" width="10.5546875" customWidth="1"/>
    <col min="52" max="57" width="11.44140625" customWidth="1"/>
    <col min="58" max="58" width="7" customWidth="1"/>
    <col min="59" max="59" width="10.5546875" customWidth="1"/>
    <col min="60" max="65" width="11.44140625" customWidth="1"/>
    <col min="66" max="66" width="10.33203125" customWidth="1"/>
    <col min="67" max="67" width="10.5546875" customWidth="1"/>
    <col min="68" max="73" width="11.44140625" customWidth="1"/>
    <col min="74" max="74" width="7" bestFit="1" customWidth="1"/>
    <col min="75" max="75" width="10.5546875" customWidth="1"/>
    <col min="76" max="81" width="11.44140625" customWidth="1"/>
    <col min="82" max="82" width="7" customWidth="1"/>
    <col min="83" max="83" width="10.5546875" customWidth="1"/>
    <col min="84" max="89" width="11.44140625" customWidth="1"/>
    <col min="90" max="90" width="13.109375" customWidth="1"/>
    <col min="97" max="100" width="11.44140625" customWidth="1"/>
    <col min="105" max="105" width="14.5546875" bestFit="1" customWidth="1"/>
    <col min="112" max="115" width="11.44140625" customWidth="1"/>
    <col min="127" max="130" width="11.44140625" customWidth="1"/>
  </cols>
  <sheetData>
    <row r="1" spans="1:169">
      <c r="A1" s="52"/>
      <c r="B1" s="53"/>
      <c r="C1" s="415"/>
      <c r="D1" s="8"/>
      <c r="E1" s="8"/>
      <c r="F1" s="8"/>
      <c r="G1" s="8"/>
      <c r="H1" s="8"/>
      <c r="I1" s="8"/>
      <c r="J1" s="10"/>
      <c r="K1" s="10"/>
      <c r="L1" s="10"/>
      <c r="M1" s="8"/>
      <c r="N1" s="8"/>
      <c r="O1" s="8"/>
      <c r="P1" s="8"/>
      <c r="Q1" s="6"/>
      <c r="R1" s="6"/>
      <c r="S1" s="6"/>
      <c r="T1" s="6"/>
      <c r="U1" s="8"/>
      <c r="V1" s="8"/>
      <c r="W1" s="7"/>
      <c r="X1" s="54" t="s">
        <v>63</v>
      </c>
      <c r="Y1" s="55">
        <v>1</v>
      </c>
      <c r="Z1" s="55">
        <v>2</v>
      </c>
      <c r="AA1" s="55">
        <v>3</v>
      </c>
      <c r="AB1" s="55">
        <v>4</v>
      </c>
      <c r="AC1" s="55">
        <v>5</v>
      </c>
      <c r="AD1" s="55">
        <v>6</v>
      </c>
      <c r="AE1" s="55">
        <v>7</v>
      </c>
      <c r="AF1" s="55">
        <v>8</v>
      </c>
      <c r="AG1" s="10"/>
      <c r="AH1" s="10"/>
      <c r="AI1" s="10"/>
      <c r="AJ1" s="10"/>
      <c r="AK1" s="10" t="s">
        <v>312</v>
      </c>
      <c r="AL1" s="10" t="s">
        <v>313</v>
      </c>
      <c r="AM1" s="8" t="s">
        <v>314</v>
      </c>
      <c r="AN1" s="8" t="s">
        <v>315</v>
      </c>
      <c r="AO1" s="10" t="s">
        <v>316</v>
      </c>
      <c r="AP1" s="10" t="s">
        <v>317</v>
      </c>
      <c r="AQ1" s="10"/>
      <c r="AR1" s="10"/>
      <c r="AS1" s="10"/>
      <c r="AT1" s="10"/>
      <c r="AU1" s="8"/>
      <c r="AV1" s="8"/>
      <c r="AW1" s="10"/>
      <c r="AX1" s="10"/>
      <c r="AY1" s="10"/>
      <c r="AZ1" s="10"/>
      <c r="BA1" s="10"/>
      <c r="BB1" s="10"/>
      <c r="BC1" s="8"/>
      <c r="BD1" s="8"/>
      <c r="BE1" s="10"/>
      <c r="BF1" s="10"/>
      <c r="BG1" s="10"/>
      <c r="BH1" s="10"/>
      <c r="BI1" s="10"/>
      <c r="BJ1" s="10"/>
      <c r="BK1" s="8"/>
      <c r="BL1" s="8"/>
      <c r="BM1" s="8"/>
      <c r="BN1" s="10"/>
      <c r="BO1" s="10"/>
      <c r="BP1" s="10"/>
      <c r="BQ1" s="10"/>
      <c r="BR1" s="10"/>
      <c r="BS1" s="8"/>
      <c r="BT1" s="8"/>
      <c r="BU1" s="8"/>
      <c r="BV1" s="10"/>
      <c r="BW1" s="10"/>
      <c r="BX1" s="10"/>
      <c r="BY1" s="10"/>
      <c r="BZ1" s="10"/>
      <c r="CA1" s="8"/>
      <c r="CB1" s="8"/>
      <c r="CC1" s="8"/>
      <c r="CD1" s="10"/>
      <c r="CE1" s="10"/>
      <c r="CF1" s="10"/>
      <c r="CG1" s="10"/>
      <c r="CH1" s="10"/>
      <c r="CI1" s="8"/>
      <c r="CJ1" s="8"/>
      <c r="CK1" s="8"/>
      <c r="CL1" s="2"/>
      <c r="CM1" s="2"/>
      <c r="CN1" s="2"/>
      <c r="CO1" s="2"/>
      <c r="CP1" s="2"/>
    </row>
    <row r="2" spans="1:169">
      <c r="A2" s="56" t="s">
        <v>64</v>
      </c>
      <c r="B2" s="23" t="str">
        <f>Hypothèses!B3</f>
        <v>Pieu</v>
      </c>
      <c r="C2" s="14"/>
      <c r="D2" s="8"/>
      <c r="E2" s="8"/>
      <c r="F2" s="8"/>
      <c r="G2" s="8"/>
      <c r="H2" s="8"/>
      <c r="I2" s="57"/>
      <c r="J2" s="10"/>
      <c r="K2" s="10"/>
      <c r="L2" s="58"/>
      <c r="M2" s="8"/>
      <c r="N2" s="10"/>
      <c r="O2" s="9"/>
      <c r="P2" s="59"/>
      <c r="Q2" s="6"/>
      <c r="R2" s="6"/>
      <c r="S2" s="6"/>
      <c r="T2" s="6"/>
      <c r="U2" s="59"/>
      <c r="V2" s="8"/>
      <c r="W2" s="7"/>
      <c r="X2" s="60" t="s">
        <v>65</v>
      </c>
      <c r="Y2" s="61">
        <v>0.3</v>
      </c>
      <c r="Z2" s="61">
        <v>0.35</v>
      </c>
      <c r="AA2" s="61">
        <v>0.41</v>
      </c>
      <c r="AB2" s="61">
        <v>0.51</v>
      </c>
      <c r="AC2" s="61">
        <v>0.61</v>
      </c>
      <c r="AD2" s="61">
        <v>0</v>
      </c>
      <c r="AE2" s="61">
        <v>0</v>
      </c>
      <c r="AF2" s="61">
        <v>0</v>
      </c>
      <c r="AG2" s="10"/>
      <c r="AH2" s="10"/>
      <c r="AI2" s="10"/>
      <c r="AJ2" s="10">
        <f>AJ12</f>
        <v>0.42</v>
      </c>
      <c r="AK2" t="e">
        <f ca="1">OFFSET($B$13,SUM($AJ$13:$AJ$363),0)</f>
        <v>#N/A</v>
      </c>
      <c r="AL2" t="e">
        <f ca="1">OFFSET($AF$13,SUM($AJ$13:$AJ$363),0)</f>
        <v>#N/A</v>
      </c>
      <c r="AM2" t="e">
        <f ca="1">OFFSET($AG$13,SUM($AJ$13:$AJ$363),0)</f>
        <v>#N/A</v>
      </c>
      <c r="AN2" t="e">
        <f ca="1">OFFSET($AH$13,SUM($AJ$13:$AJ$363),0)</f>
        <v>#N/A</v>
      </c>
      <c r="AO2" t="e">
        <f ca="1">OFFSET($AI$13,SUM($AJ$13:$AJ$363),0)</f>
        <v>#N/A</v>
      </c>
      <c r="AP2" t="e">
        <f ca="1">OFFSET($AA$13,SUM($AJ$13:$AJ$363),0)</f>
        <v>#N/A</v>
      </c>
      <c r="AR2" s="10"/>
      <c r="AS2" s="10"/>
      <c r="AT2" s="10"/>
      <c r="AU2" s="8"/>
      <c r="AV2" s="8"/>
      <c r="AW2" s="10"/>
      <c r="AX2" s="10"/>
      <c r="AY2" s="10"/>
      <c r="AZ2" s="10"/>
      <c r="BA2" s="10"/>
      <c r="BB2" s="10"/>
      <c r="BC2" s="8"/>
      <c r="BD2" s="8"/>
      <c r="BE2" s="10"/>
      <c r="BF2" s="10"/>
      <c r="BG2" s="10"/>
      <c r="BH2" s="10"/>
      <c r="BI2" s="10"/>
      <c r="BJ2" s="10"/>
      <c r="BK2" s="8"/>
      <c r="BL2" s="8"/>
      <c r="BM2" s="8"/>
      <c r="BN2" s="10"/>
      <c r="BO2" s="10"/>
      <c r="BP2" s="10"/>
      <c r="BQ2" s="10"/>
      <c r="BR2" s="10"/>
      <c r="BS2" s="8"/>
      <c r="BT2" s="8"/>
      <c r="BU2" s="8"/>
      <c r="BV2" s="10"/>
      <c r="BW2" s="10"/>
      <c r="BX2" s="10"/>
      <c r="BY2" s="10"/>
      <c r="BZ2" s="10"/>
      <c r="CA2" s="8"/>
      <c r="CB2" s="8"/>
      <c r="CC2" s="8"/>
      <c r="CD2" s="10"/>
      <c r="CE2" s="10"/>
      <c r="CF2" s="10"/>
      <c r="CG2" s="10"/>
      <c r="CH2" s="10"/>
      <c r="CI2" s="8"/>
      <c r="CJ2" s="8"/>
      <c r="CK2" s="8"/>
      <c r="CL2" s="2"/>
      <c r="CM2" s="2"/>
      <c r="CN2" s="2"/>
      <c r="CO2" s="2"/>
      <c r="CP2" s="2"/>
    </row>
    <row r="3" spans="1:169" ht="26.4">
      <c r="A3" s="56" t="s">
        <v>66</v>
      </c>
      <c r="B3" s="23">
        <f>Hypothèses!B4</f>
        <v>6</v>
      </c>
      <c r="C3" s="14"/>
      <c r="D3" s="8"/>
      <c r="E3" s="8"/>
      <c r="F3" s="8"/>
      <c r="G3" s="8"/>
      <c r="H3" s="8"/>
      <c r="I3" s="57"/>
      <c r="J3" s="10"/>
      <c r="K3" s="10"/>
      <c r="L3" s="58"/>
      <c r="M3" s="8"/>
      <c r="N3" s="10"/>
      <c r="O3" s="9"/>
      <c r="P3" s="59"/>
      <c r="Q3" s="6"/>
      <c r="R3" s="6"/>
      <c r="S3" s="6"/>
      <c r="T3" s="6"/>
      <c r="U3" s="59"/>
      <c r="V3" s="8"/>
      <c r="W3" s="7"/>
      <c r="X3" s="60" t="s">
        <v>145</v>
      </c>
      <c r="Y3" s="61">
        <v>0.42</v>
      </c>
      <c r="Z3" s="61">
        <v>0.52</v>
      </c>
      <c r="AA3" s="61">
        <v>0.62</v>
      </c>
      <c r="AB3" s="61">
        <v>0.72</v>
      </c>
      <c r="AC3" s="61">
        <v>0.82</v>
      </c>
      <c r="AD3" s="61">
        <v>0.92</v>
      </c>
      <c r="AE3" s="61">
        <v>1.02</v>
      </c>
      <c r="AF3" s="61">
        <v>1.22</v>
      </c>
      <c r="AG3" s="10"/>
      <c r="AH3" s="10"/>
      <c r="AI3" s="10"/>
      <c r="AJ3" s="10">
        <f>BB12</f>
        <v>0.52</v>
      </c>
      <c r="AK3" t="e">
        <f ca="1">OFFSET($B$13,SUM($BC$13:$BC$363),0)</f>
        <v>#N/A</v>
      </c>
      <c r="AL3" t="e">
        <f ca="1">OFFSET($AY$13,SUM($BC$13:$BC$363),0)</f>
        <v>#N/A</v>
      </c>
      <c r="AM3" t="e">
        <f ca="1">OFFSET($AZ$13,SUM($BC$13:$BC$363),0)</f>
        <v>#N/A</v>
      </c>
      <c r="AN3" t="e">
        <f ca="1">OFFSET($BA$13,SUM($BC$13:$BC$363),0)</f>
        <v>#N/A</v>
      </c>
      <c r="AO3" t="e">
        <f ca="1">OFFSET($BB$13,SUM($BC$13:$BC$363),0)</f>
        <v>#N/A</v>
      </c>
      <c r="AP3" t="e">
        <f ca="1">OFFSET($AT$13,SUM($BC$13:$BC$363),0)</f>
        <v>#N/A</v>
      </c>
      <c r="AQ3" s="10"/>
      <c r="AR3" s="10"/>
      <c r="AS3" s="10"/>
      <c r="AT3" s="10"/>
      <c r="AU3" s="8"/>
      <c r="AV3" s="8"/>
      <c r="AW3" s="10"/>
      <c r="AX3" s="10"/>
      <c r="AY3" s="10"/>
      <c r="AZ3" s="10"/>
      <c r="BA3" s="10"/>
      <c r="BB3" s="10"/>
      <c r="BC3" s="8"/>
      <c r="BD3" s="8"/>
      <c r="BE3" s="10"/>
      <c r="BF3" s="10"/>
      <c r="BG3" s="10"/>
      <c r="BH3" s="10"/>
      <c r="BI3" s="10"/>
      <c r="BJ3" s="10"/>
      <c r="BK3" s="8"/>
      <c r="BL3" s="8"/>
      <c r="BM3" s="8"/>
      <c r="BN3" s="10"/>
      <c r="BO3" s="10"/>
      <c r="BP3" s="10"/>
      <c r="BQ3" s="10"/>
      <c r="BR3" s="10"/>
      <c r="BS3" s="8"/>
      <c r="BT3" s="8"/>
      <c r="BU3" s="8"/>
      <c r="BV3" s="10"/>
      <c r="BW3" s="10"/>
      <c r="BX3" s="10"/>
      <c r="BY3" s="10"/>
      <c r="BZ3" s="10"/>
      <c r="CA3" s="8"/>
      <c r="CB3" s="8"/>
      <c r="CC3" s="8"/>
      <c r="CD3" s="10"/>
      <c r="CE3" s="10"/>
      <c r="CF3" s="10"/>
      <c r="CG3" s="10"/>
      <c r="CH3" s="10"/>
      <c r="CI3" s="8"/>
      <c r="CJ3" s="8"/>
      <c r="CK3" s="8"/>
      <c r="CL3" s="2"/>
      <c r="CM3" s="2"/>
      <c r="CN3" s="2"/>
      <c r="CO3" s="2"/>
      <c r="CP3" s="2"/>
    </row>
    <row r="4" spans="1:169">
      <c r="A4" s="56" t="s">
        <v>67</v>
      </c>
      <c r="B4" s="53" t="s">
        <v>47</v>
      </c>
      <c r="C4" s="415"/>
      <c r="D4" s="8"/>
      <c r="E4" s="8"/>
      <c r="F4" s="8"/>
      <c r="G4" s="8"/>
      <c r="H4" s="8"/>
      <c r="I4" s="57"/>
      <c r="J4" s="10"/>
      <c r="K4" s="10"/>
      <c r="L4" s="58"/>
      <c r="M4" s="8"/>
      <c r="N4" s="10"/>
      <c r="O4" s="9"/>
      <c r="P4" s="59">
        <f>NDC!Q9</f>
        <v>0</v>
      </c>
      <c r="Q4" s="6"/>
      <c r="R4" s="6"/>
      <c r="S4" s="6"/>
      <c r="T4" s="6"/>
      <c r="U4" s="59"/>
      <c r="V4" s="8"/>
      <c r="W4" s="7"/>
      <c r="X4" s="60" t="s">
        <v>68</v>
      </c>
      <c r="Y4" s="61">
        <v>0.15</v>
      </c>
      <c r="Z4" s="61">
        <v>0.2</v>
      </c>
      <c r="AA4" s="61">
        <v>0.25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10"/>
      <c r="AH4" s="10"/>
      <c r="AI4" s="10"/>
      <c r="AJ4" s="10">
        <f>BU12</f>
        <v>0.62</v>
      </c>
      <c r="AK4" t="e">
        <f ca="1">OFFSET($B$13,SUM($BV$13:$BV$363),0)</f>
        <v>#N/A</v>
      </c>
      <c r="AL4" t="e">
        <f ca="1">OFFSET($BR$13,SUM($BV$13:$BV$363),0)</f>
        <v>#N/A</v>
      </c>
      <c r="AM4" t="e">
        <f ca="1">OFFSET($BS$13,SUM($BV$13:$BV$363),0)</f>
        <v>#N/A</v>
      </c>
      <c r="AN4" t="e">
        <f ca="1">OFFSET($BT$13,SUM($BV$13:$BV$363),0)</f>
        <v>#N/A</v>
      </c>
      <c r="AO4" t="e">
        <f ca="1">OFFSET($BU$13,SUM($BV$13:$BV$363),0)</f>
        <v>#N/A</v>
      </c>
      <c r="AP4" t="e">
        <f ca="1">OFFSET($BM$13,SUM($BV$13:$BV$363),0)</f>
        <v>#N/A</v>
      </c>
      <c r="AQ4" s="10"/>
      <c r="AR4" s="10"/>
      <c r="AS4" s="10"/>
      <c r="AT4" s="10"/>
      <c r="AU4" s="8"/>
      <c r="AV4" s="8"/>
      <c r="AW4" s="10"/>
      <c r="AX4" s="10"/>
      <c r="AY4" s="10"/>
      <c r="AZ4" s="10"/>
      <c r="BA4" s="10"/>
      <c r="BB4" s="10"/>
      <c r="BC4" s="8"/>
      <c r="BD4" s="8"/>
      <c r="BE4" s="10"/>
      <c r="BF4" s="10"/>
      <c r="BG4" s="10"/>
      <c r="BH4" s="10"/>
      <c r="BI4" s="10"/>
      <c r="BJ4" s="10"/>
      <c r="BK4" s="8"/>
      <c r="BL4" s="8"/>
      <c r="BM4" s="8"/>
      <c r="BN4" s="10"/>
      <c r="BO4" s="10"/>
      <c r="BP4" s="10"/>
      <c r="BQ4" s="10"/>
      <c r="BR4" s="10"/>
      <c r="BS4" s="8"/>
      <c r="BT4" s="8"/>
      <c r="BU4" s="8"/>
      <c r="BV4" s="10"/>
      <c r="BW4" s="10"/>
      <c r="BX4" s="10"/>
      <c r="BY4" s="10"/>
      <c r="BZ4" s="10"/>
      <c r="CA4" s="8"/>
      <c r="CB4" s="8"/>
      <c r="CC4" s="8"/>
      <c r="CD4" s="10"/>
      <c r="CE4" s="10"/>
      <c r="CF4" s="10"/>
      <c r="CG4" s="10"/>
      <c r="CH4" s="10"/>
      <c r="CI4" s="8"/>
      <c r="CJ4" s="8"/>
      <c r="CK4" s="8"/>
      <c r="CL4" s="2"/>
      <c r="CM4" s="2"/>
      <c r="CN4" s="2"/>
      <c r="CO4" s="2"/>
      <c r="CP4" s="2"/>
    </row>
    <row r="5" spans="1:169">
      <c r="A5" s="62" t="s">
        <v>69</v>
      </c>
      <c r="B5" s="63">
        <v>1.1000000000000001</v>
      </c>
      <c r="C5" s="416"/>
      <c r="D5" s="8"/>
      <c r="E5" s="8"/>
      <c r="F5" s="8"/>
      <c r="G5" s="8"/>
      <c r="H5" s="8"/>
      <c r="I5" s="57"/>
      <c r="J5" s="10"/>
      <c r="K5" s="10"/>
      <c r="L5" s="58"/>
      <c r="M5" s="8"/>
      <c r="N5" s="10"/>
      <c r="O5" s="9"/>
      <c r="P5" s="59">
        <f>NDC!Q10</f>
        <v>0</v>
      </c>
      <c r="Q5" s="6"/>
      <c r="R5" s="6"/>
      <c r="S5" s="6"/>
      <c r="T5" s="6"/>
      <c r="U5" s="59"/>
      <c r="V5" s="8"/>
      <c r="W5" s="7"/>
      <c r="X5" s="60" t="s">
        <v>149</v>
      </c>
      <c r="Y5" s="61">
        <v>0.27</v>
      </c>
      <c r="Z5" s="61">
        <v>0.3</v>
      </c>
      <c r="AA5" s="61">
        <v>0.32</v>
      </c>
      <c r="AB5" s="61">
        <v>0.35</v>
      </c>
      <c r="AC5" s="61">
        <v>0</v>
      </c>
      <c r="AD5" s="61">
        <v>0</v>
      </c>
      <c r="AE5" s="61">
        <v>0</v>
      </c>
      <c r="AF5" s="61">
        <v>0</v>
      </c>
      <c r="AG5" s="10"/>
      <c r="AH5" s="10"/>
      <c r="AI5" s="10"/>
      <c r="AJ5" s="10">
        <f>CN12</f>
        <v>0.72</v>
      </c>
      <c r="AK5" t="e">
        <f ca="1">OFFSET($B$13,SUM($CO$13:$CO$363),0)</f>
        <v>#N/A</v>
      </c>
      <c r="AL5" t="e">
        <f ca="1">OFFSET($CK$13,SUM($CO$13:$CO$363),0)</f>
        <v>#N/A</v>
      </c>
      <c r="AM5" t="e">
        <f ca="1">OFFSET($CL$13,SUM($CO$13:$CO$363),0)</f>
        <v>#N/A</v>
      </c>
      <c r="AN5" t="e">
        <f ca="1">OFFSET($CM$13,SUM($CO$13:$CO$363),0)</f>
        <v>#N/A</v>
      </c>
      <c r="AO5" t="e">
        <f ca="1">OFFSET($CN$13,SUM($CO$13:$CO$363),0)</f>
        <v>#N/A</v>
      </c>
      <c r="AP5" t="e">
        <f ca="1">OFFSET($CF$13,SUM($CO$13:$CO$363),0)</f>
        <v>#N/A</v>
      </c>
      <c r="AQ5" s="10"/>
      <c r="AR5" s="10"/>
      <c r="AS5" s="10"/>
      <c r="AT5" s="10"/>
      <c r="AU5" s="8"/>
      <c r="AV5" s="8"/>
      <c r="AW5" s="10"/>
      <c r="AX5" s="10"/>
      <c r="AY5" s="10"/>
      <c r="AZ5" s="10"/>
      <c r="BA5" s="10"/>
      <c r="BB5" s="10"/>
      <c r="BC5" s="8"/>
      <c r="BD5" s="8"/>
      <c r="BE5" s="10"/>
      <c r="BF5" s="10"/>
      <c r="BG5" s="10"/>
      <c r="BH5" s="10"/>
      <c r="BI5" s="10"/>
      <c r="BJ5" s="10"/>
      <c r="BK5" s="8"/>
      <c r="BL5" s="8"/>
      <c r="BM5" s="8"/>
      <c r="BN5" s="10"/>
      <c r="BO5" s="10"/>
      <c r="BP5" s="10"/>
      <c r="BQ5" s="10"/>
      <c r="BR5" s="10"/>
      <c r="BS5" s="8"/>
      <c r="BT5" s="8"/>
      <c r="BU5" s="8"/>
      <c r="BV5" s="10"/>
      <c r="BW5" s="10"/>
      <c r="BX5" s="10"/>
      <c r="BY5" s="10"/>
      <c r="BZ5" s="10"/>
      <c r="CA5" s="8"/>
      <c r="CB5" s="8"/>
      <c r="CC5" s="8"/>
      <c r="CD5" s="10"/>
      <c r="CE5" s="10"/>
      <c r="CF5" s="10"/>
      <c r="CG5" s="10"/>
      <c r="CH5" s="10"/>
      <c r="CI5" s="8"/>
      <c r="CJ5" s="8"/>
      <c r="CK5" s="8"/>
      <c r="CL5" s="2"/>
      <c r="CM5" s="2"/>
      <c r="CN5" s="2"/>
      <c r="CO5" s="2"/>
      <c r="CP5" s="2"/>
    </row>
    <row r="6" spans="1:169">
      <c r="A6" s="62"/>
      <c r="B6" s="23"/>
      <c r="C6" s="14"/>
      <c r="D6" s="1"/>
      <c r="E6" s="8"/>
      <c r="F6" s="8"/>
      <c r="G6" s="8"/>
      <c r="H6" s="8"/>
      <c r="I6" s="57"/>
      <c r="J6" s="10"/>
      <c r="K6" s="10"/>
      <c r="L6" s="58"/>
      <c r="M6" s="8"/>
      <c r="N6" s="10"/>
      <c r="O6" s="9"/>
      <c r="P6" s="59">
        <f>NDC!Q11</f>
        <v>0</v>
      </c>
      <c r="Q6" s="6"/>
      <c r="R6" s="6"/>
      <c r="S6" s="6"/>
      <c r="T6" s="6"/>
      <c r="U6" s="59"/>
      <c r="V6" s="58"/>
      <c r="W6" s="58"/>
      <c r="X6" s="60" t="s">
        <v>70</v>
      </c>
      <c r="Y6" s="61">
        <v>0.6</v>
      </c>
      <c r="Z6" s="61">
        <v>0.7</v>
      </c>
      <c r="AA6" s="61">
        <v>0.8</v>
      </c>
      <c r="AB6" s="61">
        <v>0.9</v>
      </c>
      <c r="AC6" s="61">
        <v>1</v>
      </c>
      <c r="AD6" s="61">
        <v>1.2</v>
      </c>
      <c r="AE6" s="61">
        <v>1.5</v>
      </c>
      <c r="AF6" s="61">
        <v>2</v>
      </c>
      <c r="AG6" s="58"/>
      <c r="AH6" s="58"/>
      <c r="AI6" s="58"/>
      <c r="AJ6" s="10">
        <f>DG12</f>
        <v>0.82</v>
      </c>
      <c r="AK6" t="e">
        <f ca="1">OFFSET($B$13,SUM($DH$13:$DH$363),0)</f>
        <v>#N/A</v>
      </c>
      <c r="AL6" t="e">
        <f ca="1">OFFSET($DD$13,SUM($DH$13:$DH$363),0)</f>
        <v>#N/A</v>
      </c>
      <c r="AM6" t="e">
        <f ca="1">OFFSET($DE$13,SUM($DH$13:$DH$363),0)</f>
        <v>#N/A</v>
      </c>
      <c r="AN6" t="e">
        <f ca="1">OFFSET($DF$13,SUM($DH$13:$DH$363),0)</f>
        <v>#N/A</v>
      </c>
      <c r="AO6" t="e">
        <f ca="1">OFFSET($DG$13,SUM($DH$13:$DH$363),0)</f>
        <v>#N/A</v>
      </c>
      <c r="AP6" t="e">
        <f ca="1">OFFSET($CY$13,SUM($DH$13:$DH$363),0)</f>
        <v>#N/A</v>
      </c>
      <c r="AQ6" s="10"/>
      <c r="AR6" s="10"/>
      <c r="AS6" s="10"/>
      <c r="AT6" s="10"/>
      <c r="AU6" s="8"/>
      <c r="AV6" s="8"/>
      <c r="AW6" s="10"/>
      <c r="AX6" s="10"/>
      <c r="AY6" s="10"/>
      <c r="AZ6" s="10"/>
      <c r="BA6" s="10"/>
      <c r="BB6" s="10"/>
      <c r="BC6" s="8"/>
      <c r="BD6" s="8"/>
      <c r="BE6" s="10"/>
      <c r="BF6" s="10"/>
      <c r="BG6" s="10"/>
      <c r="BH6" s="10"/>
      <c r="BI6" s="10"/>
      <c r="BJ6" s="10"/>
      <c r="BK6" s="8"/>
      <c r="BL6" s="8"/>
      <c r="BM6" s="8"/>
      <c r="BN6" s="10"/>
      <c r="BO6" s="10"/>
      <c r="BP6" s="10"/>
      <c r="BQ6" s="10"/>
      <c r="BR6" s="10"/>
      <c r="BS6" s="8"/>
      <c r="BT6" s="8"/>
      <c r="BU6" s="8"/>
      <c r="BV6" s="10"/>
      <c r="BW6" s="10"/>
      <c r="BX6" s="10"/>
      <c r="BY6" s="10"/>
      <c r="BZ6" s="10"/>
      <c r="CA6" s="8"/>
      <c r="CB6" s="8"/>
      <c r="CC6" s="8"/>
      <c r="CD6" s="10"/>
      <c r="CE6" s="10"/>
      <c r="CF6" s="10"/>
      <c r="CG6" s="10"/>
      <c r="CH6" s="10"/>
      <c r="CI6" s="8"/>
      <c r="CJ6" s="8"/>
      <c r="CK6" s="8"/>
      <c r="CL6" s="2"/>
      <c r="CM6" s="2"/>
      <c r="CN6" s="2"/>
      <c r="CO6" s="2"/>
      <c r="CP6" s="2"/>
    </row>
    <row r="7" spans="1:169">
      <c r="A7" s="62"/>
      <c r="B7" s="23"/>
      <c r="C7" s="14"/>
      <c r="D7" s="1"/>
      <c r="E7" s="8"/>
      <c r="F7" s="8"/>
      <c r="G7" s="8"/>
      <c r="H7" s="8"/>
      <c r="I7" s="57"/>
      <c r="J7" s="10"/>
      <c r="K7" s="10"/>
      <c r="L7" s="58"/>
      <c r="M7" s="8"/>
      <c r="N7" s="10"/>
      <c r="O7" s="9"/>
      <c r="P7" s="59">
        <f>NDC!Q12</f>
        <v>0</v>
      </c>
      <c r="Q7" s="6"/>
      <c r="R7" s="6"/>
      <c r="S7" s="6"/>
      <c r="T7" s="6"/>
      <c r="U7" s="59"/>
      <c r="V7" s="8"/>
      <c r="W7" s="7"/>
      <c r="X7" s="10"/>
      <c r="Y7" s="10"/>
      <c r="Z7" s="10"/>
      <c r="AA7" s="10"/>
      <c r="AB7" s="10"/>
      <c r="AC7" s="10"/>
      <c r="AD7" s="8"/>
      <c r="AE7" s="8"/>
      <c r="AF7" s="10"/>
      <c r="AG7" s="10"/>
      <c r="AH7" s="10"/>
      <c r="AI7" s="10"/>
      <c r="AJ7" s="10">
        <f>DZ12</f>
        <v>0.92</v>
      </c>
      <c r="AK7" t="e">
        <f ca="1">OFFSET($B$13,SUM($EA$13:$EA$363),0)</f>
        <v>#N/A</v>
      </c>
      <c r="AL7" t="e">
        <f ca="1">OFFSET($DW$13,SUM($EA$13:$EA$363),0)</f>
        <v>#N/A</v>
      </c>
      <c r="AM7" t="e">
        <f ca="1">OFFSET($DX$13,SUM($EA$13:$EA$363),0)</f>
        <v>#N/A</v>
      </c>
      <c r="AN7" t="e">
        <f ca="1">OFFSET($DY$13,SUM($EA$13:$EA$363),0)</f>
        <v>#N/A</v>
      </c>
      <c r="AO7" t="e">
        <f ca="1">OFFSET($DZ$13,SUM($EA$13:$EA$363),0)</f>
        <v>#N/A</v>
      </c>
      <c r="AP7" t="e">
        <f ca="1">OFFSET($DR$13,SUM($EA$13:$EA$363),0)</f>
        <v>#N/A</v>
      </c>
      <c r="AQ7" s="10"/>
      <c r="AR7" s="10"/>
      <c r="AS7" s="10"/>
      <c r="AT7" s="10"/>
      <c r="AU7" s="8"/>
      <c r="AV7" s="8"/>
      <c r="AW7" s="10"/>
      <c r="AX7" s="10"/>
      <c r="AY7" s="10"/>
      <c r="AZ7" s="10"/>
      <c r="BA7" s="10"/>
      <c r="BB7" s="10"/>
      <c r="BC7" s="8"/>
      <c r="BD7" s="8"/>
      <c r="BE7" s="10"/>
      <c r="BF7" s="10"/>
      <c r="BG7" s="10"/>
      <c r="BH7" s="10"/>
      <c r="BI7" s="10"/>
      <c r="BJ7" s="10"/>
      <c r="BK7" s="8"/>
      <c r="BL7" s="8"/>
      <c r="BM7" s="8"/>
      <c r="BN7" s="10"/>
      <c r="BO7" s="10"/>
      <c r="BP7" s="10"/>
      <c r="BQ7" s="10"/>
      <c r="BR7" s="10"/>
      <c r="BS7" s="8"/>
      <c r="BT7" s="8"/>
      <c r="BU7" s="8"/>
      <c r="BV7" s="10"/>
      <c r="BW7" s="10"/>
      <c r="BX7" s="10"/>
      <c r="BY7" s="10"/>
      <c r="BZ7" s="10"/>
      <c r="CA7" s="8"/>
      <c r="CB7" s="8"/>
      <c r="CC7" s="8"/>
      <c r="CD7" s="10"/>
      <c r="CE7" s="10"/>
      <c r="CF7" s="10"/>
      <c r="CG7" s="10"/>
      <c r="CH7" s="10"/>
      <c r="CI7" s="8"/>
      <c r="CJ7" s="8"/>
      <c r="CK7" s="8"/>
      <c r="CL7" s="2"/>
      <c r="CM7" s="2"/>
      <c r="CN7" s="2"/>
      <c r="CO7" s="2"/>
      <c r="CP7" s="2"/>
    </row>
    <row r="8" spans="1:169" ht="20.25" customHeight="1">
      <c r="A8" s="564"/>
      <c r="B8" s="566"/>
      <c r="C8" s="14"/>
      <c r="D8" s="1"/>
      <c r="E8" s="8"/>
      <c r="F8" s="8"/>
      <c r="G8" s="8"/>
      <c r="H8" s="8"/>
      <c r="I8" s="57"/>
      <c r="J8" s="10"/>
      <c r="K8" s="10"/>
      <c r="L8" s="58"/>
      <c r="M8" s="8"/>
      <c r="N8" s="10"/>
      <c r="O8" s="9"/>
      <c r="P8" s="59">
        <f>NDC!Q13</f>
        <v>0</v>
      </c>
      <c r="Q8" s="6"/>
      <c r="R8" s="6"/>
      <c r="S8" s="6"/>
      <c r="T8" s="6"/>
      <c r="U8" s="59"/>
      <c r="V8" s="8"/>
      <c r="W8" s="7"/>
      <c r="X8" s="10"/>
      <c r="Y8" s="10"/>
      <c r="Z8" s="10"/>
      <c r="AA8" s="10"/>
      <c r="AB8" s="10"/>
      <c r="AC8" s="10"/>
      <c r="AD8" s="8"/>
      <c r="AE8" s="8"/>
      <c r="AF8" s="10"/>
      <c r="AG8" s="10"/>
      <c r="AH8" s="10"/>
      <c r="AI8" s="10"/>
      <c r="AJ8" s="10">
        <f>ES12</f>
        <v>1.02</v>
      </c>
      <c r="AK8" t="e">
        <f ca="1">OFFSET($B$13,SUM($ET$13:$ET$363),0)</f>
        <v>#N/A</v>
      </c>
      <c r="AL8" t="e">
        <f ca="1">OFFSET($EP$13,SUM($ET$13:$ET$363),0)</f>
        <v>#N/A</v>
      </c>
      <c r="AM8" t="e">
        <f ca="1">OFFSET($EQ$13,SUM($ET$13:$ET$363),0)</f>
        <v>#N/A</v>
      </c>
      <c r="AN8" t="e">
        <f ca="1">OFFSET($ER$13,SUM($ET$13:$ET$363),0)</f>
        <v>#N/A</v>
      </c>
      <c r="AO8" t="e">
        <f ca="1">OFFSET($ES$13,SUM($ET$13:$ET$363),0)</f>
        <v>#N/A</v>
      </c>
      <c r="AP8" t="e">
        <f ca="1">OFFSET($EK$13,SUM($ET$13:$ET$363),0)</f>
        <v>#N/A</v>
      </c>
      <c r="AQ8" s="10"/>
      <c r="AR8" s="10"/>
      <c r="AS8" s="10"/>
      <c r="AT8" s="10"/>
      <c r="AU8" s="8"/>
      <c r="AV8" s="8"/>
      <c r="AW8" s="10"/>
      <c r="AX8" s="10"/>
      <c r="AY8" s="10"/>
      <c r="AZ8" s="10"/>
      <c r="BA8" s="10"/>
      <c r="BB8" s="10"/>
      <c r="BC8" s="8"/>
      <c r="BD8" s="8"/>
      <c r="BE8" s="10"/>
      <c r="BF8" s="10"/>
      <c r="BG8" s="10"/>
      <c r="BH8" s="10"/>
      <c r="BI8" s="10"/>
      <c r="BJ8" s="10"/>
      <c r="BK8" s="8"/>
      <c r="BL8" s="8"/>
      <c r="BM8" s="8"/>
      <c r="BN8" s="10"/>
      <c r="BO8" s="10"/>
      <c r="BP8" s="10"/>
      <c r="BQ8" s="10"/>
      <c r="BR8" s="10"/>
      <c r="BS8" s="8"/>
      <c r="BT8" s="8"/>
      <c r="BU8" s="8"/>
      <c r="BV8" s="10"/>
      <c r="BW8" s="10"/>
      <c r="BX8" s="10"/>
      <c r="BY8" s="10"/>
      <c r="BZ8" s="10"/>
      <c r="CA8" s="8"/>
      <c r="CB8" s="8"/>
      <c r="CC8" s="8"/>
      <c r="CD8" s="10"/>
      <c r="CE8" s="10"/>
      <c r="CF8" s="10"/>
      <c r="CG8" s="10"/>
      <c r="CH8" s="10"/>
      <c r="CI8" s="8"/>
      <c r="CJ8" s="8"/>
      <c r="CK8" s="8"/>
      <c r="CL8" s="2"/>
      <c r="CM8" s="2"/>
      <c r="CN8" s="2"/>
      <c r="CO8" s="2"/>
      <c r="CP8" s="2"/>
    </row>
    <row r="9" spans="1:169" ht="31.5" customHeight="1">
      <c r="A9" s="565"/>
      <c r="B9" s="567"/>
      <c r="C9" s="14"/>
      <c r="D9" s="1"/>
      <c r="E9" s="8"/>
      <c r="F9" s="8"/>
      <c r="G9" s="8"/>
      <c r="H9" s="8"/>
      <c r="I9" s="57"/>
      <c r="J9" s="10"/>
      <c r="K9" s="10"/>
      <c r="L9" s="58"/>
      <c r="M9" s="8"/>
      <c r="N9" s="10"/>
      <c r="O9" s="9"/>
      <c r="P9" s="59">
        <f>NDC!Q14</f>
        <v>0</v>
      </c>
      <c r="Q9" s="6"/>
      <c r="R9" s="6"/>
      <c r="S9" s="6"/>
      <c r="T9" s="6"/>
      <c r="U9" s="64"/>
      <c r="V9" s="8"/>
      <c r="W9" s="7"/>
      <c r="X9" s="10"/>
      <c r="Y9" s="10"/>
      <c r="Z9" s="10"/>
      <c r="AA9" s="10"/>
      <c r="AB9" s="10"/>
      <c r="AC9" s="10"/>
      <c r="AD9" s="8"/>
      <c r="AE9" s="8"/>
      <c r="AF9" s="10"/>
      <c r="AG9" s="10"/>
      <c r="AH9" s="10"/>
      <c r="AI9" s="10"/>
      <c r="AJ9" s="10">
        <f>FL12</f>
        <v>1.22</v>
      </c>
      <c r="AK9" t="e">
        <f ca="1">OFFSET($B$13,SUM($FM$13:$FM$363),0)</f>
        <v>#N/A</v>
      </c>
      <c r="AL9" t="e">
        <f ca="1">OFFSET($FI$13,SUM($FM$13:$FM$363),0)</f>
        <v>#N/A</v>
      </c>
      <c r="AM9" t="e">
        <f ca="1">OFFSET($FJ$13,SUM($FM$13:$FM$363),0)</f>
        <v>#N/A</v>
      </c>
      <c r="AN9" t="e">
        <f ca="1">OFFSET($FK$13,SUM($FM$13:$FM$363),0)</f>
        <v>#N/A</v>
      </c>
      <c r="AO9" t="e">
        <f ca="1">OFFSET($FL$13,SUM($FM$13:$FM$363),0)</f>
        <v>#N/A</v>
      </c>
      <c r="AP9" t="e">
        <f ca="1">OFFSET($FD$13,SUM($FM$13:$FM$363),0)</f>
        <v>#N/A</v>
      </c>
      <c r="AQ9" s="10"/>
      <c r="AR9" s="10"/>
      <c r="AS9" s="10"/>
      <c r="AT9" s="10"/>
      <c r="AU9" s="8"/>
      <c r="AV9" s="8"/>
      <c r="AW9" s="10"/>
      <c r="AX9" s="10"/>
      <c r="AY9" s="10"/>
      <c r="AZ9" s="10"/>
      <c r="BA9" s="10"/>
      <c r="BB9" s="10"/>
      <c r="BC9" s="8"/>
      <c r="BD9" s="8"/>
      <c r="BE9" s="10"/>
      <c r="BF9" s="10"/>
      <c r="BG9" s="10"/>
      <c r="BH9" s="10"/>
      <c r="BI9" s="10"/>
      <c r="BJ9" s="10"/>
      <c r="BK9" s="8"/>
      <c r="BL9" s="8"/>
      <c r="BM9" s="8"/>
      <c r="BN9" s="10"/>
      <c r="BO9" s="10"/>
      <c r="BP9" s="10"/>
      <c r="BQ9" s="10"/>
      <c r="BR9" s="10"/>
      <c r="BS9" s="8"/>
      <c r="BT9" s="8"/>
      <c r="BU9" s="8"/>
      <c r="BV9" s="10"/>
      <c r="BW9" s="10"/>
      <c r="BX9" s="10"/>
      <c r="BY9" s="10"/>
      <c r="BZ9" s="10"/>
      <c r="CA9" s="8"/>
      <c r="CB9" s="8"/>
      <c r="CC9" s="8"/>
      <c r="CD9" s="10"/>
      <c r="CE9" s="10"/>
      <c r="CF9" s="10"/>
      <c r="CG9" s="10"/>
      <c r="CH9" s="10"/>
      <c r="CI9" s="8"/>
      <c r="CJ9" s="8"/>
      <c r="CK9" s="8"/>
      <c r="CL9" s="2"/>
      <c r="CM9" s="2"/>
      <c r="CN9" s="2"/>
      <c r="CO9" s="2"/>
      <c r="CP9" s="2"/>
    </row>
    <row r="10" spans="1:169" ht="16.5" customHeight="1" thickBot="1">
      <c r="A10" s="65" t="s">
        <v>71</v>
      </c>
      <c r="B10" s="66">
        <f>NDC!$C$21</f>
        <v>1</v>
      </c>
      <c r="C10" s="416"/>
      <c r="D10" s="1"/>
      <c r="E10" s="8"/>
      <c r="F10" s="8"/>
      <c r="G10" s="8"/>
      <c r="H10" s="8"/>
      <c r="I10" s="57"/>
      <c r="J10" s="10"/>
      <c r="K10" s="10"/>
      <c r="L10" s="58"/>
      <c r="M10" s="8"/>
      <c r="N10" s="10"/>
      <c r="O10" s="9"/>
      <c r="P10" s="59">
        <f>NDC!Q15</f>
        <v>0</v>
      </c>
      <c r="Q10" s="6"/>
      <c r="R10" s="6"/>
      <c r="S10" s="6"/>
      <c r="T10" s="6"/>
      <c r="U10" s="58"/>
      <c r="V10" s="8"/>
      <c r="W10" s="7"/>
      <c r="X10" s="10"/>
      <c r="Y10" s="10"/>
      <c r="Z10" s="10"/>
      <c r="AA10" s="10"/>
      <c r="AB10" s="10"/>
      <c r="AC10" s="10"/>
      <c r="AD10" s="8"/>
      <c r="AE10" s="8"/>
      <c r="AG10" s="10"/>
      <c r="AH10" s="10"/>
      <c r="AI10" s="67">
        <v>1</v>
      </c>
      <c r="AJ10" s="411" t="s">
        <v>311</v>
      </c>
      <c r="AK10" s="58"/>
      <c r="AL10" s="8"/>
      <c r="AM10" s="7"/>
      <c r="AN10" s="10"/>
      <c r="AO10" s="10"/>
      <c r="AP10" s="10"/>
      <c r="AQ10" s="10"/>
      <c r="AR10" s="10"/>
      <c r="AS10" s="10"/>
      <c r="AT10" s="8"/>
      <c r="AU10" s="8"/>
      <c r="AW10" s="10"/>
      <c r="AX10" s="10"/>
      <c r="BB10" s="67">
        <v>2</v>
      </c>
      <c r="BC10" s="411" t="s">
        <v>311</v>
      </c>
      <c r="BD10" s="10"/>
      <c r="BE10" s="10"/>
      <c r="BF10" s="10"/>
      <c r="BG10" s="10"/>
      <c r="BH10" s="10"/>
      <c r="BI10" s="10"/>
      <c r="BJ10" s="8"/>
      <c r="BK10" s="8"/>
      <c r="BM10" s="10"/>
      <c r="BN10" s="10"/>
      <c r="BQ10" s="58"/>
      <c r="BR10" s="8"/>
      <c r="BS10" s="7"/>
      <c r="BT10" s="10"/>
      <c r="BU10" s="67">
        <v>3</v>
      </c>
      <c r="BV10" s="411" t="s">
        <v>311</v>
      </c>
      <c r="BW10" s="10"/>
      <c r="BX10" s="10"/>
      <c r="BY10" s="10"/>
      <c r="BZ10" s="8"/>
      <c r="CA10" s="8"/>
      <c r="CC10" s="10"/>
      <c r="CD10" s="10"/>
      <c r="CG10" s="58"/>
      <c r="CH10" s="8"/>
      <c r="CI10" s="7"/>
      <c r="CJ10" s="10"/>
      <c r="CK10" s="10"/>
      <c r="CL10" s="10"/>
      <c r="CM10" s="10"/>
      <c r="CN10" s="67">
        <v>4</v>
      </c>
      <c r="CO10" s="411" t="s">
        <v>311</v>
      </c>
      <c r="CP10" s="8"/>
      <c r="CQ10" s="8"/>
      <c r="CS10" s="10"/>
      <c r="CT10" s="10"/>
      <c r="CW10" s="58"/>
      <c r="CX10" s="8"/>
      <c r="CY10" s="7"/>
      <c r="CZ10" s="10"/>
      <c r="DA10" s="10"/>
      <c r="DB10" s="10"/>
      <c r="DC10" s="10"/>
      <c r="DD10" s="10"/>
      <c r="DE10" s="10"/>
      <c r="DF10" s="8"/>
      <c r="DG10" s="67">
        <v>5</v>
      </c>
      <c r="DH10" s="411" t="s">
        <v>311</v>
      </c>
      <c r="DI10" s="8"/>
      <c r="DJ10" s="8"/>
      <c r="DL10" s="10"/>
      <c r="DM10" s="10"/>
      <c r="DP10" s="58"/>
      <c r="DQ10" s="8"/>
      <c r="DR10" s="7"/>
      <c r="DS10" s="10"/>
      <c r="DT10" s="10"/>
      <c r="DU10" s="10"/>
      <c r="DV10" s="10"/>
      <c r="DW10" s="10"/>
      <c r="DX10" s="10"/>
      <c r="DY10" s="8"/>
      <c r="DZ10" s="67">
        <v>6</v>
      </c>
      <c r="EA10" s="411" t="s">
        <v>311</v>
      </c>
      <c r="EB10" s="8"/>
      <c r="EC10" s="8"/>
      <c r="EE10" s="10"/>
      <c r="EF10" s="10"/>
      <c r="EI10" s="58"/>
      <c r="EJ10" s="8"/>
      <c r="EK10" s="7"/>
      <c r="EL10" s="10"/>
      <c r="EM10" s="10"/>
      <c r="EN10" s="10"/>
      <c r="EO10" s="10"/>
      <c r="EP10" s="10"/>
      <c r="EQ10" s="10"/>
      <c r="ER10" s="8"/>
      <c r="ES10" s="67">
        <v>7</v>
      </c>
      <c r="ET10" s="411" t="s">
        <v>311</v>
      </c>
      <c r="EU10" s="8"/>
      <c r="EV10" s="8"/>
      <c r="EX10" s="10"/>
      <c r="EY10" s="10"/>
      <c r="FL10" s="67">
        <v>8</v>
      </c>
      <c r="FM10" s="411" t="s">
        <v>311</v>
      </c>
    </row>
    <row r="11" spans="1:169" ht="55.5" customHeight="1" thickBot="1">
      <c r="A11" s="568" t="str">
        <f>CONCATENATE(B1," ",B4)</f>
        <v xml:space="preserve"> Trac</v>
      </c>
      <c r="B11" s="569"/>
      <c r="C11" s="569"/>
      <c r="D11" s="569"/>
      <c r="E11" s="569"/>
      <c r="F11" s="569"/>
      <c r="G11" s="569"/>
      <c r="H11" s="569"/>
      <c r="I11" s="569"/>
      <c r="J11" s="569"/>
      <c r="K11" s="569"/>
      <c r="L11" s="569"/>
      <c r="M11" s="569"/>
      <c r="N11" s="569"/>
      <c r="O11" s="569"/>
      <c r="P11" s="569"/>
      <c r="Q11" s="569"/>
      <c r="R11" s="569"/>
      <c r="S11" s="569"/>
      <c r="T11" s="569"/>
      <c r="U11" s="569"/>
      <c r="V11" s="569"/>
      <c r="W11" s="569"/>
      <c r="X11" s="570"/>
      <c r="Y11" s="561" t="str">
        <f>CONCATENATE($X$1,AI12*100,"cm")</f>
        <v>Ø42cm</v>
      </c>
      <c r="Z11" s="562"/>
      <c r="AA11" s="563"/>
      <c r="AB11" s="71" t="s">
        <v>72</v>
      </c>
      <c r="AC11" s="71" t="s">
        <v>73</v>
      </c>
      <c r="AD11" s="71" t="s">
        <v>74</v>
      </c>
      <c r="AE11" s="71" t="s">
        <v>75</v>
      </c>
      <c r="AF11" s="72" t="s">
        <v>307</v>
      </c>
      <c r="AG11" s="72" t="s">
        <v>308</v>
      </c>
      <c r="AH11" s="72" t="s">
        <v>309</v>
      </c>
      <c r="AI11" s="72" t="s">
        <v>310</v>
      </c>
      <c r="AJ11" s="412"/>
      <c r="AK11" s="417"/>
      <c r="AL11" s="417"/>
      <c r="AM11" s="417"/>
      <c r="AN11" s="68"/>
      <c r="AO11" s="68"/>
      <c r="AP11" s="69"/>
      <c r="AQ11" s="70"/>
      <c r="AR11" s="561" t="str">
        <f>CONCATENATE($X$1,BB12*100,"cm")</f>
        <v>Ø52cm</v>
      </c>
      <c r="AS11" s="562"/>
      <c r="AT11" s="563"/>
      <c r="AU11" s="71" t="s">
        <v>72</v>
      </c>
      <c r="AV11" s="71" t="s">
        <v>73</v>
      </c>
      <c r="AW11" s="71" t="s">
        <v>74</v>
      </c>
      <c r="AX11" s="71" t="s">
        <v>75</v>
      </c>
      <c r="AY11" s="72" t="s">
        <v>307</v>
      </c>
      <c r="AZ11" s="72" t="s">
        <v>308</v>
      </c>
      <c r="BA11" s="72" t="s">
        <v>309</v>
      </c>
      <c r="BB11" s="72" t="s">
        <v>310</v>
      </c>
      <c r="BC11" s="412"/>
      <c r="BD11" s="417"/>
      <c r="BE11" s="417"/>
      <c r="BF11" s="417"/>
      <c r="BG11" s="68"/>
      <c r="BH11" s="68"/>
      <c r="BI11" s="69"/>
      <c r="BJ11" s="70"/>
      <c r="BK11" s="561" t="str">
        <f>CONCATENATE($X$1,BU12*100,"cm")</f>
        <v>Ø62cm</v>
      </c>
      <c r="BL11" s="562"/>
      <c r="BM11" s="563"/>
      <c r="BN11" s="71" t="s">
        <v>72</v>
      </c>
      <c r="BO11" s="71" t="s">
        <v>73</v>
      </c>
      <c r="BP11" s="71" t="s">
        <v>74</v>
      </c>
      <c r="BQ11" s="71" t="s">
        <v>75</v>
      </c>
      <c r="BR11" s="72" t="s">
        <v>307</v>
      </c>
      <c r="BS11" s="72" t="s">
        <v>308</v>
      </c>
      <c r="BT11" s="72" t="s">
        <v>309</v>
      </c>
      <c r="BU11" s="72" t="s">
        <v>310</v>
      </c>
      <c r="BV11" s="412"/>
      <c r="BW11" s="417"/>
      <c r="BX11" s="417"/>
      <c r="BY11" s="417"/>
      <c r="BZ11" s="68"/>
      <c r="CA11" s="68"/>
      <c r="CB11" s="69"/>
      <c r="CC11" s="70"/>
      <c r="CD11" s="561" t="str">
        <f>CONCATENATE($X$1,CN12*100,"cm")</f>
        <v>Ø72cm</v>
      </c>
      <c r="CE11" s="562"/>
      <c r="CF11" s="563"/>
      <c r="CG11" s="71" t="s">
        <v>72</v>
      </c>
      <c r="CH11" s="71" t="s">
        <v>73</v>
      </c>
      <c r="CI11" s="71" t="s">
        <v>74</v>
      </c>
      <c r="CJ11" s="71" t="s">
        <v>75</v>
      </c>
      <c r="CK11" s="72" t="s">
        <v>307</v>
      </c>
      <c r="CL11" s="72" t="s">
        <v>308</v>
      </c>
      <c r="CM11" s="72" t="s">
        <v>309</v>
      </c>
      <c r="CN11" s="72" t="s">
        <v>310</v>
      </c>
      <c r="CO11" s="412"/>
      <c r="CP11" s="417"/>
      <c r="CQ11" s="417"/>
      <c r="CR11" s="417"/>
      <c r="CS11" s="68"/>
      <c r="CT11" s="68"/>
      <c r="CU11" s="69"/>
      <c r="CV11" s="70"/>
      <c r="CW11" s="561" t="str">
        <f>CONCATENATE($X$1,DG12*100,"cm")</f>
        <v>Ø82cm</v>
      </c>
      <c r="CX11" s="562"/>
      <c r="CY11" s="563"/>
      <c r="CZ11" s="71" t="s">
        <v>72</v>
      </c>
      <c r="DA11" s="71" t="s">
        <v>73</v>
      </c>
      <c r="DB11" s="71" t="s">
        <v>74</v>
      </c>
      <c r="DC11" s="71" t="s">
        <v>75</v>
      </c>
      <c r="DD11" s="72" t="s">
        <v>307</v>
      </c>
      <c r="DE11" s="72" t="s">
        <v>308</v>
      </c>
      <c r="DF11" s="72" t="s">
        <v>309</v>
      </c>
      <c r="DG11" s="72" t="s">
        <v>310</v>
      </c>
      <c r="DH11" s="412"/>
      <c r="DI11" s="417"/>
      <c r="DJ11" s="417"/>
      <c r="DK11" s="417"/>
      <c r="DL11" s="68"/>
      <c r="DM11" s="68"/>
      <c r="DN11" s="69"/>
      <c r="DO11" s="70"/>
      <c r="DP11" s="561" t="str">
        <f>CONCATENATE($X$1,DZ12*100,"cm")</f>
        <v>Ø92cm</v>
      </c>
      <c r="DQ11" s="562"/>
      <c r="DR11" s="563"/>
      <c r="DS11" s="71" t="s">
        <v>72</v>
      </c>
      <c r="DT11" s="71" t="s">
        <v>73</v>
      </c>
      <c r="DU11" s="71" t="s">
        <v>74</v>
      </c>
      <c r="DV11" s="71" t="s">
        <v>75</v>
      </c>
      <c r="DW11" s="72" t="s">
        <v>307</v>
      </c>
      <c r="DX11" s="72" t="s">
        <v>308</v>
      </c>
      <c r="DY11" s="72" t="s">
        <v>309</v>
      </c>
      <c r="DZ11" s="72" t="s">
        <v>310</v>
      </c>
      <c r="EA11" s="412"/>
      <c r="EB11" s="417"/>
      <c r="EC11" s="417"/>
      <c r="ED11" s="417"/>
      <c r="EE11" s="68"/>
      <c r="EF11" s="68"/>
      <c r="EG11" s="69"/>
      <c r="EH11" s="70"/>
      <c r="EI11" s="561" t="str">
        <f>CONCATENATE($X$1,ES12*100,"cm")</f>
        <v>Ø102cm</v>
      </c>
      <c r="EJ11" s="562"/>
      <c r="EK11" s="563"/>
      <c r="EL11" s="71" t="s">
        <v>72</v>
      </c>
      <c r="EM11" s="71" t="s">
        <v>73</v>
      </c>
      <c r="EN11" s="71" t="s">
        <v>74</v>
      </c>
      <c r="EO11" s="71" t="s">
        <v>75</v>
      </c>
      <c r="EP11" s="72" t="s">
        <v>307</v>
      </c>
      <c r="EQ11" s="72" t="s">
        <v>308</v>
      </c>
      <c r="ER11" s="72" t="s">
        <v>309</v>
      </c>
      <c r="ES11" s="72" t="s">
        <v>310</v>
      </c>
      <c r="ET11" s="412"/>
      <c r="EU11" s="417"/>
      <c r="EV11" s="417"/>
      <c r="EW11" s="417"/>
      <c r="EX11" s="68"/>
      <c r="EY11" s="68"/>
      <c r="EZ11" s="69"/>
      <c r="FA11" s="70"/>
      <c r="FB11" s="561" t="str">
        <f>CONCATENATE($X$1,FL12*100,"cm")</f>
        <v>Ø122cm</v>
      </c>
      <c r="FC11" s="562"/>
      <c r="FD11" s="563"/>
      <c r="FE11" s="71" t="s">
        <v>72</v>
      </c>
      <c r="FF11" s="71" t="s">
        <v>73</v>
      </c>
      <c r="FG11" s="71" t="s">
        <v>74</v>
      </c>
      <c r="FH11" s="71" t="s">
        <v>75</v>
      </c>
      <c r="FI11" s="72" t="s">
        <v>307</v>
      </c>
      <c r="FJ11" s="72" t="s">
        <v>308</v>
      </c>
      <c r="FK11" s="72" t="s">
        <v>309</v>
      </c>
      <c r="FL11" s="72" t="s">
        <v>310</v>
      </c>
      <c r="FM11" s="412"/>
    </row>
    <row r="12" spans="1:169" s="41" customFormat="1" ht="57.75" customHeight="1" thickBot="1">
      <c r="A12" s="73" t="s">
        <v>76</v>
      </c>
      <c r="B12" s="71" t="s">
        <v>77</v>
      </c>
      <c r="C12" s="71" t="s">
        <v>318</v>
      </c>
      <c r="D12" s="71" t="s">
        <v>18</v>
      </c>
      <c r="E12" s="71" t="s">
        <v>32</v>
      </c>
      <c r="F12" s="71" t="s">
        <v>78</v>
      </c>
      <c r="G12" s="74" t="s">
        <v>79</v>
      </c>
      <c r="H12" s="74" t="s">
        <v>80</v>
      </c>
      <c r="I12" s="75" t="s">
        <v>81</v>
      </c>
      <c r="J12" s="75" t="str">
        <f>"a"</f>
        <v>a</v>
      </c>
      <c r="K12" s="75" t="str">
        <f>"b"</f>
        <v>b</v>
      </c>
      <c r="L12" s="75" t="str">
        <f>"c"</f>
        <v>c</v>
      </c>
      <c r="M12" s="76" t="s">
        <v>82</v>
      </c>
      <c r="N12" s="76" t="s">
        <v>83</v>
      </c>
      <c r="O12" s="76" t="s">
        <v>306</v>
      </c>
      <c r="P12" s="71" t="s">
        <v>84</v>
      </c>
      <c r="Q12" s="77" t="s">
        <v>85</v>
      </c>
      <c r="R12" s="77" t="s">
        <v>319</v>
      </c>
      <c r="S12" s="77" t="s">
        <v>33</v>
      </c>
      <c r="T12" s="77" t="s">
        <v>34</v>
      </c>
      <c r="U12" s="71" t="s">
        <v>86</v>
      </c>
      <c r="V12" s="71" t="s">
        <v>87</v>
      </c>
      <c r="W12" s="78" t="s">
        <v>88</v>
      </c>
      <c r="X12" s="79" t="s">
        <v>89</v>
      </c>
      <c r="Y12" s="445" t="s">
        <v>90</v>
      </c>
      <c r="Z12" s="446" t="s">
        <v>91</v>
      </c>
      <c r="AA12" s="445" t="s">
        <v>92</v>
      </c>
      <c r="AB12" s="447">
        <f t="shared" ref="AB12:AC12" si="0">AC12</f>
        <v>0.42</v>
      </c>
      <c r="AC12" s="447">
        <f t="shared" si="0"/>
        <v>0.42</v>
      </c>
      <c r="AD12" s="447">
        <f>AE12</f>
        <v>0.42</v>
      </c>
      <c r="AE12" s="447">
        <f>AI12</f>
        <v>0.42</v>
      </c>
      <c r="AF12" s="448">
        <f>AG12</f>
        <v>0.42</v>
      </c>
      <c r="AG12" s="448">
        <f>AH12</f>
        <v>0.42</v>
      </c>
      <c r="AH12" s="448">
        <f>AI12</f>
        <v>0.42</v>
      </c>
      <c r="AI12" s="448">
        <f>VLOOKUP(NDC!$C$11,Model0.1T!$X$2:$AF$6,Model0.1T!AI10+1,0)</f>
        <v>0.42</v>
      </c>
      <c r="AJ12" s="449">
        <f>AI12</f>
        <v>0.42</v>
      </c>
      <c r="AK12" s="77" t="s">
        <v>319</v>
      </c>
      <c r="AL12" s="77" t="s">
        <v>33</v>
      </c>
      <c r="AM12" s="77" t="s">
        <v>34</v>
      </c>
      <c r="AN12" s="71" t="s">
        <v>86</v>
      </c>
      <c r="AO12" s="71" t="s">
        <v>87</v>
      </c>
      <c r="AP12" s="78" t="s">
        <v>88</v>
      </c>
      <c r="AQ12" s="79" t="s">
        <v>89</v>
      </c>
      <c r="AR12" s="445" t="s">
        <v>90</v>
      </c>
      <c r="AS12" s="446" t="s">
        <v>91</v>
      </c>
      <c r="AT12" s="445" t="s">
        <v>92</v>
      </c>
      <c r="AU12" s="447">
        <f t="shared" ref="AU12:AV12" si="1">AV12</f>
        <v>0.52</v>
      </c>
      <c r="AV12" s="447">
        <f t="shared" si="1"/>
        <v>0.52</v>
      </c>
      <c r="AW12" s="447">
        <f>AX12</f>
        <v>0.52</v>
      </c>
      <c r="AX12" s="447">
        <f>BB12</f>
        <v>0.52</v>
      </c>
      <c r="AY12" s="448">
        <f>AZ12</f>
        <v>0.52</v>
      </c>
      <c r="AZ12" s="448">
        <f>BA12</f>
        <v>0.52</v>
      </c>
      <c r="BA12" s="448">
        <f>BB12</f>
        <v>0.52</v>
      </c>
      <c r="BB12" s="448">
        <f>VLOOKUP(NDC!$C$11,Model0.1T!$X$2:$AF$6,Model0.1T!BB10+1,0)</f>
        <v>0.52</v>
      </c>
      <c r="BC12" s="449">
        <f>BB12</f>
        <v>0.52</v>
      </c>
      <c r="BD12" s="77" t="s">
        <v>319</v>
      </c>
      <c r="BE12" s="77" t="s">
        <v>33</v>
      </c>
      <c r="BF12" s="77" t="s">
        <v>34</v>
      </c>
      <c r="BG12" s="71" t="s">
        <v>86</v>
      </c>
      <c r="BH12" s="71" t="s">
        <v>87</v>
      </c>
      <c r="BI12" s="78" t="s">
        <v>88</v>
      </c>
      <c r="BJ12" s="79" t="s">
        <v>89</v>
      </c>
      <c r="BK12" s="445" t="s">
        <v>305</v>
      </c>
      <c r="BL12" s="446" t="s">
        <v>91</v>
      </c>
      <c r="BM12" s="445" t="s">
        <v>92</v>
      </c>
      <c r="BN12" s="447">
        <f t="shared" ref="BN12:BO12" si="2">BO12</f>
        <v>0.62</v>
      </c>
      <c r="BO12" s="447">
        <f t="shared" si="2"/>
        <v>0.62</v>
      </c>
      <c r="BP12" s="447">
        <f>BQ12</f>
        <v>0.62</v>
      </c>
      <c r="BQ12" s="447">
        <f>BU12</f>
        <v>0.62</v>
      </c>
      <c r="BR12" s="448">
        <f>BS12</f>
        <v>0.62</v>
      </c>
      <c r="BS12" s="448">
        <f>BT12</f>
        <v>0.62</v>
      </c>
      <c r="BT12" s="448">
        <f>BU12</f>
        <v>0.62</v>
      </c>
      <c r="BU12" s="448">
        <f>VLOOKUP(NDC!$C$11,Model0.1T!$X$2:$AF$6,Model0.1T!BU10+1,0)</f>
        <v>0.62</v>
      </c>
      <c r="BV12" s="449">
        <f>BU12</f>
        <v>0.62</v>
      </c>
      <c r="BW12" s="77" t="s">
        <v>319</v>
      </c>
      <c r="BX12" s="77" t="s">
        <v>33</v>
      </c>
      <c r="BY12" s="77" t="s">
        <v>34</v>
      </c>
      <c r="BZ12" s="71" t="s">
        <v>86</v>
      </c>
      <c r="CA12" s="71" t="s">
        <v>87</v>
      </c>
      <c r="CB12" s="78" t="s">
        <v>88</v>
      </c>
      <c r="CC12" s="79" t="s">
        <v>89</v>
      </c>
      <c r="CD12" s="445" t="s">
        <v>305</v>
      </c>
      <c r="CE12" s="446" t="s">
        <v>91</v>
      </c>
      <c r="CF12" s="445" t="s">
        <v>92</v>
      </c>
      <c r="CG12" s="447">
        <f t="shared" ref="CG12:CH12" si="3">CH12</f>
        <v>0.72</v>
      </c>
      <c r="CH12" s="447">
        <f t="shared" si="3"/>
        <v>0.72</v>
      </c>
      <c r="CI12" s="447">
        <f>CJ12</f>
        <v>0.72</v>
      </c>
      <c r="CJ12" s="447">
        <f>CN12</f>
        <v>0.72</v>
      </c>
      <c r="CK12" s="448">
        <f>CL12</f>
        <v>0.72</v>
      </c>
      <c r="CL12" s="448">
        <f>CM12</f>
        <v>0.72</v>
      </c>
      <c r="CM12" s="448">
        <f>CN12</f>
        <v>0.72</v>
      </c>
      <c r="CN12" s="448">
        <f>VLOOKUP(NDC!$C$11,Model0.1T!$X$2:$AF$6,Model0.1T!CN10+1,0)</f>
        <v>0.72</v>
      </c>
      <c r="CO12" s="449">
        <f>CN12</f>
        <v>0.72</v>
      </c>
      <c r="CP12" s="77" t="s">
        <v>319</v>
      </c>
      <c r="CQ12" s="77" t="s">
        <v>33</v>
      </c>
      <c r="CR12" s="77" t="s">
        <v>34</v>
      </c>
      <c r="CS12" s="71" t="s">
        <v>86</v>
      </c>
      <c r="CT12" s="71" t="s">
        <v>87</v>
      </c>
      <c r="CU12" s="78" t="s">
        <v>88</v>
      </c>
      <c r="CV12" s="79" t="s">
        <v>89</v>
      </c>
      <c r="CW12" s="445" t="s">
        <v>305</v>
      </c>
      <c r="CX12" s="446" t="s">
        <v>91</v>
      </c>
      <c r="CY12" s="445" t="s">
        <v>92</v>
      </c>
      <c r="CZ12" s="447">
        <f t="shared" ref="CZ12:DA12" si="4">DA12</f>
        <v>0.82</v>
      </c>
      <c r="DA12" s="447">
        <f t="shared" si="4"/>
        <v>0.82</v>
      </c>
      <c r="DB12" s="447">
        <f>DC12</f>
        <v>0.82</v>
      </c>
      <c r="DC12" s="447">
        <f>DG12</f>
        <v>0.82</v>
      </c>
      <c r="DD12" s="448">
        <f>DE12</f>
        <v>0.82</v>
      </c>
      <c r="DE12" s="448">
        <f>DF12</f>
        <v>0.82</v>
      </c>
      <c r="DF12" s="448">
        <f>DG12</f>
        <v>0.82</v>
      </c>
      <c r="DG12" s="448">
        <f>VLOOKUP(NDC!$C$11,Model0.1T!$X$2:$AF$6,Model0.1T!DG10+1,0)</f>
        <v>0.82</v>
      </c>
      <c r="DH12" s="449">
        <f>DG12</f>
        <v>0.82</v>
      </c>
      <c r="DI12" s="77" t="s">
        <v>319</v>
      </c>
      <c r="DJ12" s="77" t="s">
        <v>33</v>
      </c>
      <c r="DK12" s="77" t="s">
        <v>34</v>
      </c>
      <c r="DL12" s="71" t="s">
        <v>86</v>
      </c>
      <c r="DM12" s="71" t="s">
        <v>87</v>
      </c>
      <c r="DN12" s="78" t="s">
        <v>88</v>
      </c>
      <c r="DO12" s="79" t="s">
        <v>89</v>
      </c>
      <c r="DP12" s="445" t="s">
        <v>305</v>
      </c>
      <c r="DQ12" s="446" t="s">
        <v>91</v>
      </c>
      <c r="DR12" s="445" t="s">
        <v>92</v>
      </c>
      <c r="DS12" s="447">
        <f t="shared" ref="DS12:DT12" si="5">DT12</f>
        <v>0.92</v>
      </c>
      <c r="DT12" s="447">
        <f t="shared" si="5"/>
        <v>0.92</v>
      </c>
      <c r="DU12" s="447">
        <f>DV12</f>
        <v>0.92</v>
      </c>
      <c r="DV12" s="447">
        <f>DZ12</f>
        <v>0.92</v>
      </c>
      <c r="DW12" s="448">
        <f>DX12</f>
        <v>0.92</v>
      </c>
      <c r="DX12" s="448">
        <f>DY12</f>
        <v>0.92</v>
      </c>
      <c r="DY12" s="448">
        <f>DZ12</f>
        <v>0.92</v>
      </c>
      <c r="DZ12" s="448">
        <f>VLOOKUP(NDC!$C$11,Model0.1T!$X$2:$AF$6,Model0.1T!DZ10+1,0)</f>
        <v>0.92</v>
      </c>
      <c r="EA12" s="449">
        <f>DZ12</f>
        <v>0.92</v>
      </c>
      <c r="EB12" s="77" t="s">
        <v>319</v>
      </c>
      <c r="EC12" s="77" t="s">
        <v>33</v>
      </c>
      <c r="ED12" s="77" t="s">
        <v>34</v>
      </c>
      <c r="EE12" s="71" t="s">
        <v>86</v>
      </c>
      <c r="EF12" s="71" t="s">
        <v>87</v>
      </c>
      <c r="EG12" s="78" t="s">
        <v>88</v>
      </c>
      <c r="EH12" s="79" t="s">
        <v>89</v>
      </c>
      <c r="EI12" s="445" t="s">
        <v>305</v>
      </c>
      <c r="EJ12" s="446" t="s">
        <v>91</v>
      </c>
      <c r="EK12" s="445" t="s">
        <v>92</v>
      </c>
      <c r="EL12" s="447">
        <f t="shared" ref="EL12:EM12" si="6">EM12</f>
        <v>1.02</v>
      </c>
      <c r="EM12" s="447">
        <f t="shared" si="6"/>
        <v>1.02</v>
      </c>
      <c r="EN12" s="447">
        <f>EO12</f>
        <v>1.02</v>
      </c>
      <c r="EO12" s="447">
        <f>ES12</f>
        <v>1.02</v>
      </c>
      <c r="EP12" s="448">
        <f>EQ12</f>
        <v>1.02</v>
      </c>
      <c r="EQ12" s="448">
        <f>ER12</f>
        <v>1.02</v>
      </c>
      <c r="ER12" s="448">
        <f>ES12</f>
        <v>1.02</v>
      </c>
      <c r="ES12" s="448">
        <f>VLOOKUP(NDC!$C$11,Model0.1T!$X$2:$AF$6,Model0.1T!ES10+1,0)</f>
        <v>1.02</v>
      </c>
      <c r="ET12" s="449">
        <f>ES12</f>
        <v>1.02</v>
      </c>
      <c r="EU12" s="77" t="s">
        <v>319</v>
      </c>
      <c r="EV12" s="77" t="s">
        <v>33</v>
      </c>
      <c r="EW12" s="77" t="s">
        <v>34</v>
      </c>
      <c r="EX12" s="71" t="s">
        <v>86</v>
      </c>
      <c r="EY12" s="71" t="s">
        <v>87</v>
      </c>
      <c r="EZ12" s="78" t="s">
        <v>88</v>
      </c>
      <c r="FA12" s="79" t="s">
        <v>89</v>
      </c>
      <c r="FB12" s="445" t="s">
        <v>305</v>
      </c>
      <c r="FC12" s="446" t="s">
        <v>91</v>
      </c>
      <c r="FD12" s="445" t="s">
        <v>92</v>
      </c>
      <c r="FE12" s="447">
        <f t="shared" ref="FE12:FF12" si="7">FF12</f>
        <v>1.22</v>
      </c>
      <c r="FF12" s="447">
        <f t="shared" si="7"/>
        <v>1.22</v>
      </c>
      <c r="FG12" s="447">
        <f>FH12</f>
        <v>1.22</v>
      </c>
      <c r="FH12" s="447">
        <f>FL12</f>
        <v>1.22</v>
      </c>
      <c r="FI12" s="448">
        <f>FJ12</f>
        <v>1.22</v>
      </c>
      <c r="FJ12" s="448">
        <f>FK12</f>
        <v>1.22</v>
      </c>
      <c r="FK12" s="448">
        <f>FL12</f>
        <v>1.22</v>
      </c>
      <c r="FL12" s="448">
        <f>VLOOKUP(NDC!$C$11,Model0.1T!$X$2:$AF$6,Model0.1T!FL10+1,0)</f>
        <v>1.22</v>
      </c>
      <c r="FM12" s="449">
        <f>FL12</f>
        <v>1.22</v>
      </c>
    </row>
    <row r="13" spans="1:169">
      <c r="A13" s="80">
        <f>Hypothèses!B5</f>
        <v>100</v>
      </c>
      <c r="B13" s="81">
        <v>0</v>
      </c>
      <c r="C13" s="81">
        <f>IF(B13&lt;=Hypothèses!$C$7,Hypothèses!$A$7,IF(B13&lt;=Hypothèses!$C$8,Hypothèses!$A$8,IF(B13&lt;=Hypothèses!$C$9,Hypothèses!$A$9,IF(B13&lt;=Hypothèses!$C$10,Hypothèses!$A$10,IF(B13&lt;=Hypothèses!$C$11,Hypothèses!$A$11,IF(B13&lt;=Hypothèses!$C$12,Hypothèses!$A$12,IF(B13&lt;=Hypothèses!$C$13,Hypothèses!$A$13,IF(B13&lt;=Hypothèses!$C$14,Hypothèses!$A$14,IF(B13&lt;=Hypothèses!$C$15,Hypothèses!$A$15,IF(B13&lt;=Hypothèses!$C$16,Hypothèses!$A$16,IF(B13&lt;=Hypothèses!$C$17,Hypothèses!$A$17,IF(B13&lt;=Hypothèses!$C$18,Hypothèses!$A$18,C12))))))))))))</f>
        <v>11</v>
      </c>
      <c r="D13" s="82" t="str">
        <f>IF(B13&lt;=Hypothèses!$C$7,Hypothèses!$R$7,IF(B13&lt;=Hypothèses!$C$8,Hypothèses!$R$8,IF(B13&lt;=Hypothèses!$C$9,Hypothèses!$R$9,IF(B13&lt;=Hypothèses!$C$10,Hypothèses!$R$10,IF(B13&lt;=Hypothèses!$C$11,Hypothèses!$R$11,IF(B13&lt;=Hypothèses!$C$12,Hypothèses!$R$12,IF(B13&lt;=Hypothèses!$C$13,Hypothèses!$R$13,IF(B13&lt;=Hypothèses!$C$14,Hypothèses!$R$14,IF(B13&lt;=Hypothèses!$C$15,Hypothèses!$R$15,IF(B13&lt;=Hypothèses!$C$16,Hypothèses!$R$16,IF(B13&lt;=Hypothèses!$C$17,Hypothèses!$R$17,IF(B13&lt;=Hypothèses!$C$18,Hypothèses!$R$18,D12))))))))))))</f>
        <v>Pressio.</v>
      </c>
      <c r="E13" s="82" t="e">
        <f>IF(B13&lt;=Hypothèses!$C$7,Hypothèses!$G$7,IF(B13&lt;=Hypothèses!$C$8,Hypothèses!$G$8,IF(B13&lt;=Hypothèses!$C$9,Hypothèses!$G$9,IF(B13&lt;=Hypothèses!$C$10,Hypothèses!$G$10,IF(B13&lt;=Hypothèses!$C$11,Hypothèses!$G$11,IF(B13&lt;=Hypothèses!$C$12,Hypothèses!$G$12,IF(B13&lt;=Hypothèses!$C$13,Hypothèses!$G$13,IF(B13&lt;=Hypothèses!$C$14,Hypothèses!$G$14,IF(B13&lt;=Hypothèses!$C$15,Hypothèses!$G$15,IF(B13&lt;=Hypothèses!$C$16,Hypothèses!$G$16,IF(B13&lt;=Hypothèses!$C$17,Hypothèses!$G$17,IF(B13&lt;=Hypothèses!$C$18,Hypothèses!$G$18,E12))))))))))))</f>
        <v>#N/A</v>
      </c>
      <c r="F13" s="82" t="str">
        <f>IF(B13&lt;=Hypothèses!$C$7,Hypothèses!$F$7,IF(B13&lt;=Hypothèses!$C$8,Hypothèses!$F$8,IF(B13&lt;=Hypothèses!$C$9,Hypothèses!$F$9,IF(B13&lt;=Hypothèses!$C$10,Hypothèses!$F$10,IF(B13&lt;=Hypothèses!$C$11,Hypothèses!$F$11,IF(B13&lt;=Hypothèses!$C$12,Hypothèses!$F$12,IF(B13&lt;=Hypothèses!$C$13,Hypothèses!$F$13,IF(B13&lt;=Hypothèses!$C$14,Hypothèses!$F$14,IF(B13&lt;=Hypothèses!$C$15,Hypothèses!$F$15,IF(B13&lt;=Hypothèses!$C$16,Hypothèses!$F$16,IF(B13&lt;=Hypothèses!$C$17,Hypothèses!$F$17,IF(B13&lt;=Hypothèses!$C$18,Hypothèses!$F$18,F12))))))))))))</f>
        <v/>
      </c>
      <c r="G13" s="83">
        <f t="array" ref="G13">INDEX('Coeff EC7'!$U$7:$X$27,
MATCH(Model0.1T!$B$3,'Coeff EC7'!$T$7:$T$27,0),
MATCH(Model0.1T!$D13&amp;Model0.1T!$B$4,
'Coeff EC7'!$U$6:$X$6&amp;
'Coeff EC7'!$U$5:$X$5,0))</f>
        <v>1.4</v>
      </c>
      <c r="H13" s="83">
        <f t="array" ref="H13">INDEX('Coeff EC7'!$Y$7:$AB$27,
MATCH(Model0.1T!$B$3,'Coeff EC7'!$T$7:$T$27,0),
MATCH(Model0.1T!$D13&amp;Model0.1T!$B$4,
'Coeff EC7'!$Y$6:$AB$6&amp;
'Coeff EC7'!$Y$5:$AB$5,0))</f>
        <v>1.7</v>
      </c>
      <c r="I13" s="83">
        <v>0</v>
      </c>
      <c r="J13" s="83" t="e">
        <f t="array" ref="J13">INDEX('Coeff EC7'!$D$33:$Q$33,1,MATCH(D13&amp;E13,'Coeff EC7'!$D$31:$Q$31&amp;'Coeff EC7'!$D$32:$Q$32,0))</f>
        <v>#N/A</v>
      </c>
      <c r="K13" s="83" t="e">
        <f t="array" ref="K13">INDEX('Coeff EC7'!$D$34:$Q$34,1,MATCH(D13&amp;E13,'Coeff EC7'!$D$31:$Q$31&amp;'Coeff EC7'!$D$32:$Q$32,0))</f>
        <v>#N/A</v>
      </c>
      <c r="L13" s="83" t="e">
        <f t="array" ref="L13">INDEX('Coeff EC7'!$D$35:$Q$35,1,MATCH(D13&amp;E13,'Coeff EC7'!$D$31:$Q$31&amp;'Coeff EC7'!$D$32:$Q$32,0))</f>
        <v>#N/A</v>
      </c>
      <c r="M13" s="84" t="e">
        <f t="shared" ref="M13:M76" si="8">((J13*F13+K13)*(1-(EXP(-L13*F13))))</f>
        <v>#N/A</v>
      </c>
      <c r="N13" s="85" t="e">
        <f t="array" ref="N13">INDEX('Coeff EC7'!$D$7:$Q$27,MATCH($B$3,'Coeff EC7'!$C$7:$C$27,0),MATCH(D13&amp;E13,'Coeff EC7'!$D$5:$Q$5&amp;'Coeff EC7'!$D$6:$Q$6,0))</f>
        <v>#N/A</v>
      </c>
      <c r="O13" s="85" t="e">
        <f t="array" ref="O13">INDEX('Coeff EC7'!$D$41:$Q$61,MATCH($B$3,'Coeff EC7'!$C$41:$C$61,0),MATCH(D13&amp;E13,'Coeff EC7'!$D$39:$Q$39&amp;'Coeff EC7'!$D$40:$Q$40,0))</f>
        <v>#N/A</v>
      </c>
      <c r="P13" s="30" t="e">
        <f>N13*M13*1000</f>
        <v>#N/A</v>
      </c>
      <c r="Q13" s="86" t="e">
        <f>MIN(O13,P13)*$B$10</f>
        <v>#N/A</v>
      </c>
      <c r="R13" s="86">
        <f>IF($B13&lt;=$P$4, $B13, IF($B13&lt;=$P$5, $B13-$P$4, IF($B13&lt;=$P$6, $B13-$P$5, IF($B13&lt;=$P$7,$B13-$P$6, IF($B13&lt;=$P$8, $B13-$P$7, IF($B13&lt;=$P$9, $B13-$P$8, IF($B13&lt;=$P$10,$B13-$P$9)))))))</f>
        <v>0</v>
      </c>
      <c r="S13" s="86">
        <f t="shared" ref="S13:S76" si="9">MAX($AF$12/2,0.5)</f>
        <v>0.5</v>
      </c>
      <c r="T13" s="86">
        <f>MIN(S13,R13)</f>
        <v>0</v>
      </c>
      <c r="U13" s="83"/>
      <c r="V13" s="85" t="str">
        <f>IF(B13&lt;=Hypothèses!$V$7,Hypothèses!$W$7,IF(B13&lt;=Hypothèses!$V$8,Hypothèses!$W$8,IF(B13&lt;=Hypothèses!$V$9,Hypothèses!$W$9,IF(B13&lt;=Hypothèses!$V$10,Hypothèses!$W$10,IF(B13&lt;=Hypothèses!$V$11,Hypothèses!$W$11,IF(B13&lt;=Hypothèses!$V$12,Hypothèses!$W$12,IF(B13&lt;=Hypothèses!$V$13,Hypothèses!$W$13,IF(B13&lt;=Hypothèses!$V$14,Hypothèses!$W$14,IF(B13&lt;=Hypothèses!$V$15,Hypothèses!$W$15,IF(B13&lt;=Hypothèses!$V$16,Hypothèses!$W$16,IF(B13&lt;=Hypothèses!$V$17,Hypothèses!$W$17,IF(B13&lt;=Hypothèses!$V$18,Hypothèses!$W$18,""))))))))))))</f>
        <v/>
      </c>
      <c r="W13" s="87">
        <f>IF(V13&lt;&gt;"",V13,U13)</f>
        <v>0</v>
      </c>
      <c r="X13" s="88" t="str">
        <f>IF(B13&lt;=Hypothèses!$V$7,Hypothèses!$X$7,IF(B13&lt;=Hypothèses!$V$8,Hypothèses!$X$8,IF(B13&lt;=Hypothèses!$V$9,Hypothèses!$X$9,IF(B13&lt;=Hypothèses!$V$10,Hypothèses!$X$10,IF(B13&lt;=Hypothèses!$V$11,Hypothèses!$X$11,IF(B13&lt;=Hypothèses!$V$12,Hypothèses!$X$12,IF(B13&lt;=Hypothèses!$V$13,Hypothèses!$X$13,IF(B13&lt;=Hypothèses!$V$14,Hypothèses!$X$14,IF(B13&lt;=Hypothèses!$V$15,Hypothèses!$X$15,IF(B13&lt;=Hypothèses!$V$16,Hypothèses!$X$16,IF(B13&lt;=Hypothèses!$U$17,Hypothèses!$W$17,IF(B13&lt;=Hypothèses!$U$18,Hypothèses!$W$18,""))))))))))))</f>
        <v/>
      </c>
      <c r="Y13" s="89"/>
      <c r="Z13" s="90"/>
      <c r="AA13" s="91"/>
      <c r="AB13" s="91"/>
      <c r="AC13" s="91"/>
      <c r="AD13" s="92"/>
      <c r="AE13" s="92"/>
      <c r="AF13" s="93"/>
      <c r="AG13" s="93"/>
      <c r="AH13" s="93"/>
      <c r="AI13" s="93"/>
      <c r="AJ13" s="413">
        <v>1</v>
      </c>
      <c r="AK13" s="86">
        <f>IF($B13&lt;=$P$4, $B13, IF($B13&lt;=$P$5, $B13-$P$4, IF($B13&lt;=$P$6, $B13-$P$5, IF($B13&lt;=$P$7,$B13-$P$6, IF($B13&lt;=$P$8, $B13-$P$7, IF($B13&lt;=$P$9, $B13-$P$8, IF($B13&lt;=$P$10,$B13-$P$9)))))))</f>
        <v>0</v>
      </c>
      <c r="AL13" s="86">
        <f>MAX($AY$12/2,0.5)</f>
        <v>0.5</v>
      </c>
      <c r="AM13" s="86">
        <f>MIN(AL13,AK13)</f>
        <v>0</v>
      </c>
      <c r="AN13" s="83"/>
      <c r="AO13" s="85" t="str">
        <f>IF(U13&lt;=Hypothèses!$V$7,Hypothèses!$W$7,IF(U13&lt;=Hypothèses!$V$8,Hypothèses!$W$8,IF(U13&lt;=Hypothèses!$V$9,Hypothèses!$W$9,IF(U13&lt;=Hypothèses!$V$10,Hypothèses!$W$10,IF(U13&lt;=Hypothèses!$V$11,Hypothèses!$W$11,IF(U13&lt;=Hypothèses!$V$12,Hypothèses!$W$12,IF(U13&lt;=Hypothèses!$V$13,Hypothèses!$W$13,IF(U13&lt;=Hypothèses!$V$14,Hypothèses!$W$14,IF(U13&lt;=Hypothèses!$V$15,Hypothèses!$W$15,IF(U13&lt;=Hypothèses!$V$16,Hypothèses!$W$16,IF(U13&lt;=Hypothèses!$V$17,Hypothèses!$W$17,IF(U13&lt;=Hypothèses!$V$18,Hypothèses!$W$18,""))))))))))))</f>
        <v/>
      </c>
      <c r="AP13" s="87">
        <f>IF(AO13&lt;&gt;"",AO13,AN13)</f>
        <v>0</v>
      </c>
      <c r="AQ13" s="88" t="str">
        <f>IF(U13&lt;=Hypothèses!$V$7,Hypothèses!$X$7,IF(U13&lt;=Hypothèses!$V$8,Hypothèses!$X$8,IF(U13&lt;=Hypothèses!$V$9,Hypothèses!$X$9,IF(U13&lt;=Hypothèses!$V$10,Hypothèses!$X$10,IF(U13&lt;=Hypothèses!$V$11,Hypothèses!$X$11,IF(U13&lt;=Hypothèses!$V$12,Hypothèses!$X$12,IF(U13&lt;=Hypothèses!$V$13,Hypothèses!$X$13,IF(U13&lt;=Hypothèses!$V$14,Hypothèses!$X$14,IF(U13&lt;=Hypothèses!$V$15,Hypothèses!$X$15,IF(U13&lt;=Hypothèses!$V$16,Hypothèses!$X$16,IF(U13&lt;=Hypothèses!$U$17,Hypothèses!$W$17,IF(U13&lt;=Hypothèses!$U$18,Hypothèses!$W$18,""))))))))))))</f>
        <v/>
      </c>
      <c r="AR13" s="89"/>
      <c r="AS13" s="90"/>
      <c r="AT13" s="91"/>
      <c r="AU13" s="91"/>
      <c r="AV13" s="91"/>
      <c r="AW13" s="92"/>
      <c r="AX13" s="92"/>
      <c r="AY13" s="93"/>
      <c r="AZ13" s="93"/>
      <c r="BA13" s="93"/>
      <c r="BB13" s="93"/>
      <c r="BC13" s="413">
        <v>1</v>
      </c>
      <c r="BD13" s="86">
        <f>IF($B13&lt;=$P$4, $B13, IF($B13&lt;=$P$5, $B13-$P$4, IF($B13&lt;=$P$6, $B13-$P$5, IF($B13&lt;=$P$7,$B13-$P$6, IF($B13&lt;=$P$8, $B13-$P$7, IF($B13&lt;=$P$9, $B13-$P$8, IF($B13&lt;=$P$10,$B13-$P$9)))))))</f>
        <v>0</v>
      </c>
      <c r="BE13" s="86">
        <f>MAX($BR$12/2,0.5)</f>
        <v>0.5</v>
      </c>
      <c r="BF13" s="86">
        <f>MIN(BE13,BD13)</f>
        <v>0</v>
      </c>
      <c r="BG13" s="83"/>
      <c r="BH13" s="85" t="str">
        <f>IF(AN13&lt;=Hypothèses!$V$7,Hypothèses!$W$7,IF(AN13&lt;=Hypothèses!$V$8,Hypothèses!$W$8,IF(AN13&lt;=Hypothèses!$V$9,Hypothèses!$W$9,IF(AN13&lt;=Hypothèses!$V$10,Hypothèses!$W$10,IF(AN13&lt;=Hypothèses!$V$11,Hypothèses!$W$11,IF(AN13&lt;=Hypothèses!$V$12,Hypothèses!$W$12,IF(AN13&lt;=Hypothèses!$V$13,Hypothèses!$W$13,IF(AN13&lt;=Hypothèses!$V$14,Hypothèses!$W$14,IF(AN13&lt;=Hypothèses!$V$15,Hypothèses!$W$15,IF(AN13&lt;=Hypothèses!$V$16,Hypothèses!$W$16,IF(AN13&lt;=Hypothèses!$V$17,Hypothèses!$W$17,IF(AN13&lt;=Hypothèses!$V$18,Hypothèses!$W$18,""))))))))))))</f>
        <v/>
      </c>
      <c r="BI13" s="87">
        <f>IF(BH13&lt;&gt;"",BH13,BG13)</f>
        <v>0</v>
      </c>
      <c r="BJ13" s="88" t="str">
        <f>IF(AN13&lt;=Hypothèses!$V$7,Hypothèses!$X$7,IF(AN13&lt;=Hypothèses!$V$8,Hypothèses!$X$8,IF(AN13&lt;=Hypothèses!$V$9,Hypothèses!$X$9,IF(AN13&lt;=Hypothèses!$V$10,Hypothèses!$X$10,IF(AN13&lt;=Hypothèses!$V$11,Hypothèses!$X$11,IF(AN13&lt;=Hypothèses!$V$12,Hypothèses!$X$12,IF(AN13&lt;=Hypothèses!$V$13,Hypothèses!$X$13,IF(AN13&lt;=Hypothèses!$V$14,Hypothèses!$X$14,IF(AN13&lt;=Hypothèses!$V$15,Hypothèses!$X$15,IF(AN13&lt;=Hypothèses!$V$16,Hypothèses!$X$16,IF(AN13&lt;=Hypothèses!$U$17,Hypothèses!$W$17,IF(AN13&lt;=Hypothèses!$U$18,Hypothèses!$W$18,""))))))))))))</f>
        <v/>
      </c>
      <c r="BK13" s="89"/>
      <c r="BL13" s="90"/>
      <c r="BM13" s="91"/>
      <c r="BN13" s="91"/>
      <c r="BO13" s="91"/>
      <c r="BP13" s="92"/>
      <c r="BQ13" s="92"/>
      <c r="BR13" s="93"/>
      <c r="BS13" s="93"/>
      <c r="BT13" s="93"/>
      <c r="BU13" s="93"/>
      <c r="BV13" s="413">
        <v>1</v>
      </c>
      <c r="BW13" s="86">
        <f>IF($B13&lt;=$P$4, $B13, IF($B13&lt;=$P$5, $B13-$P$4, IF($B13&lt;=$P$6, $B13-$P$5, IF($B13&lt;=$P$7,$B13-$P$6, IF($B13&lt;=$P$8, $B13-$P$7, IF($B13&lt;=$P$9, $B13-$P$8, IF($B13&lt;=$P$10,$B13-$P$9)))))))</f>
        <v>0</v>
      </c>
      <c r="BX13" s="86">
        <f>MAX($CK$12/2,0.5)</f>
        <v>0.5</v>
      </c>
      <c r="BY13" s="86">
        <f>MIN(BX13,BW13)</f>
        <v>0</v>
      </c>
      <c r="BZ13" s="83"/>
      <c r="CA13" s="85" t="str">
        <f>IF(BG13&lt;=Hypothèses!$V$7,Hypothèses!$W$7,IF(BG13&lt;=Hypothèses!$V$8,Hypothèses!$W$8,IF(BG13&lt;=Hypothèses!$V$9,Hypothèses!$W$9,IF(BG13&lt;=Hypothèses!$V$10,Hypothèses!$W$10,IF(BG13&lt;=Hypothèses!$V$11,Hypothèses!$W$11,IF(BG13&lt;=Hypothèses!$V$12,Hypothèses!$W$12,IF(BG13&lt;=Hypothèses!$V$13,Hypothèses!$W$13,IF(BG13&lt;=Hypothèses!$V$14,Hypothèses!$W$14,IF(BG13&lt;=Hypothèses!$V$15,Hypothèses!$W$15,IF(BG13&lt;=Hypothèses!$V$16,Hypothèses!$W$16,IF(BG13&lt;=Hypothèses!$V$17,Hypothèses!$W$17,IF(BG13&lt;=Hypothèses!$V$18,Hypothèses!$W$18,""))))))))))))</f>
        <v/>
      </c>
      <c r="CB13" s="87">
        <f>IF(CA13&lt;&gt;"",CA13,BZ13)</f>
        <v>0</v>
      </c>
      <c r="CC13" s="88" t="str">
        <f>IF(BG13&lt;=Hypothèses!$V$7,Hypothèses!$X$7,IF(BG13&lt;=Hypothèses!$V$8,Hypothèses!$X$8,IF(BG13&lt;=Hypothèses!$V$9,Hypothèses!$X$9,IF(BG13&lt;=Hypothèses!$V$10,Hypothèses!$X$10,IF(BG13&lt;=Hypothèses!$V$11,Hypothèses!$X$11,IF(BG13&lt;=Hypothèses!$V$12,Hypothèses!$X$12,IF(BG13&lt;=Hypothèses!$V$13,Hypothèses!$X$13,IF(BG13&lt;=Hypothèses!$V$14,Hypothèses!$X$14,IF(BG13&lt;=Hypothèses!$V$15,Hypothèses!$X$15,IF(BG13&lt;=Hypothèses!$V$16,Hypothèses!$X$16,IF(BG13&lt;=Hypothèses!$U$17,Hypothèses!$W$17,IF(BG13&lt;=Hypothèses!$U$18,Hypothèses!$W$18,""))))))))))))</f>
        <v/>
      </c>
      <c r="CD13" s="89"/>
      <c r="CE13" s="90"/>
      <c r="CF13" s="91"/>
      <c r="CG13" s="91"/>
      <c r="CH13" s="91"/>
      <c r="CI13" s="92"/>
      <c r="CJ13" s="92"/>
      <c r="CK13" s="93"/>
      <c r="CL13" s="93"/>
      <c r="CM13" s="93"/>
      <c r="CN13" s="93"/>
      <c r="CO13" s="413">
        <v>1</v>
      </c>
      <c r="CP13" s="86">
        <f>IF($B13&lt;=$P$4, $B13, IF($B13&lt;=$P$5, $B13-$P$4, IF($B13&lt;=$P$6, $B13-$P$5, IF($B13&lt;=$P$7,$B13-$P$6, IF($B13&lt;=$P$8, $B13-$P$7, IF($B13&lt;=$P$9, $B13-$P$8, IF($B13&lt;=$P$10,$B13-$P$9)))))))</f>
        <v>0</v>
      </c>
      <c r="CQ13" s="86">
        <f>MAX($DD$12/2,0.5)</f>
        <v>0.5</v>
      </c>
      <c r="CR13" s="86">
        <f>MIN(CQ13,CP13)</f>
        <v>0</v>
      </c>
      <c r="CS13" s="83"/>
      <c r="CT13" s="85" t="str">
        <f>IF(BZ13&lt;=Hypothèses!$V$7,Hypothèses!$W$7,IF(BZ13&lt;=Hypothèses!$V$8,Hypothèses!$W$8,IF(BZ13&lt;=Hypothèses!$V$9,Hypothèses!$W$9,IF(BZ13&lt;=Hypothèses!$V$10,Hypothèses!$W$10,IF(BZ13&lt;=Hypothèses!$V$11,Hypothèses!$W$11,IF(BZ13&lt;=Hypothèses!$V$12,Hypothèses!$W$12,IF(BZ13&lt;=Hypothèses!$V$13,Hypothèses!$W$13,IF(BZ13&lt;=Hypothèses!$V$14,Hypothèses!$W$14,IF(BZ13&lt;=Hypothèses!$V$15,Hypothèses!$W$15,IF(BZ13&lt;=Hypothèses!$V$16,Hypothèses!$W$16,IF(BZ13&lt;=Hypothèses!$V$17,Hypothèses!$W$17,IF(BZ13&lt;=Hypothèses!$V$18,Hypothèses!$W$18,""))))))))))))</f>
        <v/>
      </c>
      <c r="CU13" s="87">
        <f>IF(CT13&lt;&gt;"",CT13,CS13)</f>
        <v>0</v>
      </c>
      <c r="CV13" s="88" t="str">
        <f>IF(BZ13&lt;=Hypothèses!$V$7,Hypothèses!$X$7,IF(BZ13&lt;=Hypothèses!$V$8,Hypothèses!$X$8,IF(BZ13&lt;=Hypothèses!$V$9,Hypothèses!$X$9,IF(BZ13&lt;=Hypothèses!$V$10,Hypothèses!$X$10,IF(BZ13&lt;=Hypothèses!$V$11,Hypothèses!$X$11,IF(BZ13&lt;=Hypothèses!$V$12,Hypothèses!$X$12,IF(BZ13&lt;=Hypothèses!$V$13,Hypothèses!$X$13,IF(BZ13&lt;=Hypothèses!$V$14,Hypothèses!$X$14,IF(BZ13&lt;=Hypothèses!$V$15,Hypothèses!$X$15,IF(BZ13&lt;=Hypothèses!$V$16,Hypothèses!$X$16,IF(BZ13&lt;=Hypothèses!$U$17,Hypothèses!$W$17,IF(BZ13&lt;=Hypothèses!$U$18,Hypothèses!$W$18,""))))))))))))</f>
        <v/>
      </c>
      <c r="CW13" s="89"/>
      <c r="CX13" s="90"/>
      <c r="CY13" s="91"/>
      <c r="CZ13" s="91"/>
      <c r="DA13" s="91"/>
      <c r="DB13" s="92"/>
      <c r="DC13" s="92"/>
      <c r="DD13" s="93"/>
      <c r="DE13" s="93"/>
      <c r="DF13" s="93"/>
      <c r="DG13" s="93"/>
      <c r="DH13" s="413">
        <v>1</v>
      </c>
      <c r="DI13" s="86">
        <f>IF($B13&lt;=$P$4, $B13, IF($B13&lt;=$P$5, $B13-$P$4, IF($B13&lt;=$P$6, $B13-$P$5, IF($B13&lt;=$P$7,$B13-$P$6, IF($B13&lt;=$P$8, $B13-$P$7, IF($B13&lt;=$P$9, $B13-$P$8, IF($B13&lt;=$P$10,$B13-$P$9)))))))</f>
        <v>0</v>
      </c>
      <c r="DJ13" s="86">
        <f>MAX($DW$12/2,0.5)</f>
        <v>0.5</v>
      </c>
      <c r="DK13" s="86">
        <f>MIN(DJ13,DI13)</f>
        <v>0</v>
      </c>
      <c r="DL13" s="83"/>
      <c r="DM13" s="85" t="str">
        <f>IF(CS13&lt;=Hypothèses!$V$7,Hypothèses!$W$7,IF(CS13&lt;=Hypothèses!$V$8,Hypothèses!$W$8,IF(CS13&lt;=Hypothèses!$V$9,Hypothèses!$W$9,IF(CS13&lt;=Hypothèses!$V$10,Hypothèses!$W$10,IF(CS13&lt;=Hypothèses!$V$11,Hypothèses!$W$11,IF(CS13&lt;=Hypothèses!$V$12,Hypothèses!$W$12,IF(CS13&lt;=Hypothèses!$V$13,Hypothèses!$W$13,IF(CS13&lt;=Hypothèses!$V$14,Hypothèses!$W$14,IF(CS13&lt;=Hypothèses!$V$15,Hypothèses!$W$15,IF(CS13&lt;=Hypothèses!$V$16,Hypothèses!$W$16,IF(CS13&lt;=Hypothèses!$V$17,Hypothèses!$W$17,IF(CS13&lt;=Hypothèses!$V$18,Hypothèses!$W$18,""))))))))))))</f>
        <v/>
      </c>
      <c r="DN13" s="87">
        <f>IF(DM13&lt;&gt;"",DM13,DL13)</f>
        <v>0</v>
      </c>
      <c r="DO13" s="88" t="str">
        <f>IF(CS13&lt;=Hypothèses!$V$7,Hypothèses!$X$7,IF(CS13&lt;=Hypothèses!$V$8,Hypothèses!$X$8,IF(CS13&lt;=Hypothèses!$V$9,Hypothèses!$X$9,IF(CS13&lt;=Hypothèses!$V$10,Hypothèses!$X$10,IF(CS13&lt;=Hypothèses!$V$11,Hypothèses!$X$11,IF(CS13&lt;=Hypothèses!$V$12,Hypothèses!$X$12,IF(CS13&lt;=Hypothèses!$V$13,Hypothèses!$X$13,IF(CS13&lt;=Hypothèses!$V$14,Hypothèses!$X$14,IF(CS13&lt;=Hypothèses!$V$15,Hypothèses!$X$15,IF(CS13&lt;=Hypothèses!$V$16,Hypothèses!$X$16,IF(CS13&lt;=Hypothèses!$U$17,Hypothèses!$W$17,IF(CS13&lt;=Hypothèses!$U$18,Hypothèses!$W$18,""))))))))))))</f>
        <v/>
      </c>
      <c r="DP13" s="89"/>
      <c r="DQ13" s="90"/>
      <c r="DR13" s="91"/>
      <c r="DS13" s="91"/>
      <c r="DT13" s="91"/>
      <c r="DU13" s="92"/>
      <c r="DV13" s="92"/>
      <c r="DW13" s="93"/>
      <c r="DX13" s="93"/>
      <c r="DY13" s="93"/>
      <c r="DZ13" s="93"/>
      <c r="EA13" s="413">
        <v>1</v>
      </c>
      <c r="EB13" s="86">
        <f>IF($B13&lt;=$P$4, $B13, IF($B13&lt;=$P$5, $B13-$P$4, IF($B13&lt;=$P$6, $B13-$P$5, IF($B13&lt;=$P$7,$B13-$P$6, IF($B13&lt;=$P$8, $B13-$P$7, IF($B13&lt;=$P$9, $B13-$P$8, IF($B13&lt;=$P$10,$B13-$P$9)))))))</f>
        <v>0</v>
      </c>
      <c r="EC13" s="418">
        <f>MAX($EP$12/2,0.5)</f>
        <v>0.51</v>
      </c>
      <c r="ED13" s="86">
        <f>MIN(EC13,EB13)</f>
        <v>0</v>
      </c>
      <c r="EE13" s="83"/>
      <c r="EF13" s="85" t="str">
        <f>IF(DL13&lt;=Hypothèses!$V$7,Hypothèses!$W$7,IF(DL13&lt;=Hypothèses!$V$8,Hypothèses!$W$8,IF(DL13&lt;=Hypothèses!$V$9,Hypothèses!$W$9,IF(DL13&lt;=Hypothèses!$V$10,Hypothèses!$W$10,IF(DL13&lt;=Hypothèses!$V$11,Hypothèses!$W$11,IF(DL13&lt;=Hypothèses!$V$12,Hypothèses!$W$12,IF(DL13&lt;=Hypothèses!$V$13,Hypothèses!$W$13,IF(DL13&lt;=Hypothèses!$V$14,Hypothèses!$W$14,IF(DL13&lt;=Hypothèses!$V$15,Hypothèses!$W$15,IF(DL13&lt;=Hypothèses!$V$16,Hypothèses!$W$16,IF(DL13&lt;=Hypothèses!$V$17,Hypothèses!$W$17,IF(DL13&lt;=Hypothèses!$V$18,Hypothèses!$W$18,""))))))))))))</f>
        <v/>
      </c>
      <c r="EG13" s="87">
        <f>IF(EF13&lt;&gt;"",EF13,EE13)</f>
        <v>0</v>
      </c>
      <c r="EH13" s="88" t="str">
        <f>IF(DL13&lt;=Hypothèses!$V$7,Hypothèses!$X$7,IF(DL13&lt;=Hypothèses!$V$8,Hypothèses!$X$8,IF(DL13&lt;=Hypothèses!$V$9,Hypothèses!$X$9,IF(DL13&lt;=Hypothèses!$V$10,Hypothèses!$X$10,IF(DL13&lt;=Hypothèses!$V$11,Hypothèses!$X$11,IF(DL13&lt;=Hypothèses!$V$12,Hypothèses!$X$12,IF(DL13&lt;=Hypothèses!$V$13,Hypothèses!$X$13,IF(DL13&lt;=Hypothèses!$V$14,Hypothèses!$X$14,IF(DL13&lt;=Hypothèses!$V$15,Hypothèses!$X$15,IF(DL13&lt;=Hypothèses!$V$16,Hypothèses!$X$16,IF(DL13&lt;=Hypothèses!$U$17,Hypothèses!$W$17,IF(DL13&lt;=Hypothèses!$U$18,Hypothèses!$W$18,""))))))))))))</f>
        <v/>
      </c>
      <c r="EI13" s="89"/>
      <c r="EJ13" s="90"/>
      <c r="EK13" s="91"/>
      <c r="EL13" s="91"/>
      <c r="EM13" s="91"/>
      <c r="EN13" s="92"/>
      <c r="EO13" s="92"/>
      <c r="EP13" s="93"/>
      <c r="EQ13" s="93"/>
      <c r="ER13" s="93"/>
      <c r="ES13" s="93"/>
      <c r="ET13" s="413">
        <v>1</v>
      </c>
      <c r="EU13" s="86">
        <f>IF($B13&lt;=$P$4, $B13, IF($B13&lt;=$P$5, $B13-$P$4, IF($B13&lt;=$P$6, $B13-$P$5, IF($B13&lt;=$P$7,$B13-$P$6, IF($B13&lt;=$P$8, $B13-$P$7, IF($B13&lt;=$P$9, $B13-$P$8, IF($B13&lt;=$P$10,$B13-$P$9)))))))</f>
        <v>0</v>
      </c>
      <c r="EV13" s="86">
        <f>MAX($FI$12/2,0.5)</f>
        <v>0.61</v>
      </c>
      <c r="EW13" s="86">
        <f>MIN(EV13,EU13)</f>
        <v>0</v>
      </c>
      <c r="EX13" s="83"/>
      <c r="EY13" s="85" t="str">
        <f>IF(EE13&lt;=Hypothèses!$V$7,Hypothèses!$W$7,IF(EE13&lt;=Hypothèses!$V$8,Hypothèses!$W$8,IF(EE13&lt;=Hypothèses!$V$9,Hypothèses!$W$9,IF(EE13&lt;=Hypothèses!$V$10,Hypothèses!$W$10,IF(EE13&lt;=Hypothèses!$V$11,Hypothèses!$W$11,IF(EE13&lt;=Hypothèses!$V$12,Hypothèses!$W$12,IF(EE13&lt;=Hypothèses!$V$13,Hypothèses!$W$13,IF(EE13&lt;=Hypothèses!$V$14,Hypothèses!$W$14,IF(EE13&lt;=Hypothèses!$V$15,Hypothèses!$W$15,IF(EE13&lt;=Hypothèses!$V$16,Hypothèses!$W$16,IF(EE13&lt;=Hypothèses!$V$17,Hypothèses!$W$17,IF(EE13&lt;=Hypothèses!$V$18,Hypothèses!$W$18,""))))))))))))</f>
        <v/>
      </c>
      <c r="EZ13" s="87">
        <f>IF(EY13&lt;&gt;"",EY13,EX13)</f>
        <v>0</v>
      </c>
      <c r="FA13" s="88" t="str">
        <f>IF(EE13&lt;=Hypothèses!$V$7,Hypothèses!$X$7,IF(EE13&lt;=Hypothèses!$V$8,Hypothèses!$X$8,IF(EE13&lt;=Hypothèses!$V$9,Hypothèses!$X$9,IF(EE13&lt;=Hypothèses!$V$10,Hypothèses!$X$10,IF(EE13&lt;=Hypothèses!$V$11,Hypothèses!$X$11,IF(EE13&lt;=Hypothèses!$V$12,Hypothèses!$X$12,IF(EE13&lt;=Hypothèses!$V$13,Hypothèses!$X$13,IF(EE13&lt;=Hypothèses!$V$14,Hypothèses!$X$14,IF(EE13&lt;=Hypothèses!$V$15,Hypothèses!$X$15,IF(EE13&lt;=Hypothèses!$V$16,Hypothèses!$X$16,IF(EE13&lt;=Hypothèses!$U$17,Hypothèses!$W$17,IF(EE13&lt;=Hypothèses!$U$18,Hypothèses!$W$18,""))))))))))))</f>
        <v/>
      </c>
      <c r="FB13" s="89"/>
      <c r="FC13" s="90"/>
      <c r="FD13" s="91"/>
      <c r="FE13" s="91"/>
      <c r="FF13" s="91"/>
      <c r="FG13" s="92"/>
      <c r="FH13" s="92"/>
      <c r="FI13" s="93"/>
      <c r="FJ13" s="93"/>
      <c r="FK13" s="93"/>
      <c r="FL13" s="93"/>
      <c r="FM13" s="413">
        <v>1</v>
      </c>
    </row>
    <row r="14" spans="1:169">
      <c r="A14" s="96">
        <f>A13-0.1</f>
        <v>99.9</v>
      </c>
      <c r="B14" s="97">
        <v>0.1</v>
      </c>
      <c r="C14" s="81">
        <f>IF(B14&lt;=Hypothèses!$C$7,Hypothèses!$A$7,IF(B14&lt;=Hypothèses!$C$8,Hypothèses!$A$8,IF(B14&lt;=Hypothèses!$C$9,Hypothèses!$A$9,IF(B14&lt;=Hypothèses!$C$10,Hypothèses!$A$10,IF(B14&lt;=Hypothèses!$C$11,Hypothèses!$A$11,IF(B14&lt;=Hypothèses!$C$12,Hypothèses!$A$12,IF(B14&lt;=Hypothèses!$C$13,Hypothèses!$A$13,IF(B14&lt;=Hypothèses!$C$14,Hypothèses!$A$14,IF(B14&lt;=Hypothèses!$C$15,Hypothèses!$A$15,IF(B14&lt;=Hypothèses!$C$16,Hypothèses!$A$16,IF(B14&lt;=Hypothèses!$C$17,Hypothèses!$A$17,IF(B14&lt;=Hypothèses!$C$18,Hypothèses!$A$18,C13))))))))))))</f>
        <v>11</v>
      </c>
      <c r="D14" s="82" t="str">
        <f>IF(B14&lt;=Hypothèses!$C$7,Hypothèses!$R$7,IF(B14&lt;=Hypothèses!$C$8,Hypothèses!$R$8,IF(B14&lt;=Hypothèses!$C$9,Hypothèses!$R$9,IF(B14&lt;=Hypothèses!$C$10,Hypothèses!$R$10,IF(B14&lt;=Hypothèses!$C$11,Hypothèses!$R$11,IF(B14&lt;=Hypothèses!$C$12,Hypothèses!$R$12,IF(B14&lt;=Hypothèses!$C$13,Hypothèses!$R$13,IF(B14&lt;=Hypothèses!$C$14,Hypothèses!$R$14,IF(B14&lt;=Hypothèses!$C$15,Hypothèses!$R$15,IF(B14&lt;=Hypothèses!$C$16,Hypothèses!$R$16,IF(B14&lt;=Hypothèses!$C$17,Hypothèses!$R$17,IF(B14&lt;=Hypothèses!$C$18,Hypothèses!$R$18,D13))))))))))))</f>
        <v>Pressio.</v>
      </c>
      <c r="E14" s="82" t="e">
        <f>IF(B14&lt;=Hypothèses!$C$7,Hypothèses!$G$7,IF(B14&lt;=Hypothèses!$C$8,Hypothèses!$G$8,IF(B14&lt;=Hypothèses!$C$9,Hypothèses!$G$9,IF(B14&lt;=Hypothèses!$C$10,Hypothèses!$G$10,IF(B14&lt;=Hypothèses!$C$11,Hypothèses!$G$11,IF(B14&lt;=Hypothèses!$C$12,Hypothèses!$G$12,IF(B14&lt;=Hypothèses!$C$13,Hypothèses!$G$13,IF(B14&lt;=Hypothèses!$C$14,Hypothèses!$G$14,IF(B14&lt;=Hypothèses!$C$15,Hypothèses!$G$15,IF(B14&lt;=Hypothèses!$C$16,Hypothèses!$G$16,IF(B14&lt;=Hypothèses!$C$17,Hypothèses!$G$17,IF(B14&lt;=Hypothèses!$C$18,Hypothèses!$G$18,E13))))))))))))</f>
        <v>#N/A</v>
      </c>
      <c r="F14" s="82" t="str">
        <f>IF(B14&lt;=Hypothèses!$C$7,Hypothèses!$F$7,IF(B14&lt;=Hypothèses!$C$8,Hypothèses!$F$8,IF(B14&lt;=Hypothèses!$C$9,Hypothèses!$F$9,IF(B14&lt;=Hypothèses!$C$10,Hypothèses!$F$10,IF(B14&lt;=Hypothèses!$C$11,Hypothèses!$F$11,IF(B14&lt;=Hypothèses!$C$12,Hypothèses!$F$12,IF(B14&lt;=Hypothèses!$C$13,Hypothèses!$F$13,IF(B14&lt;=Hypothèses!$C$14,Hypothèses!$F$14,IF(B14&lt;=Hypothèses!$C$15,Hypothèses!$F$15,IF(B14&lt;=Hypothèses!$C$16,Hypothèses!$F$16,IF(B14&lt;=Hypothèses!$C$17,Hypothèses!$F$17,IF(B14&lt;=Hypothèses!$C$18,Hypothèses!$F$18,F13))))))))))))</f>
        <v/>
      </c>
      <c r="G14" s="91">
        <f t="array" ref="G14">INDEX('Coeff EC7'!$U$7:$X$27,
MATCH(Model0.1T!$B$3,'Coeff EC7'!$T$7:$T$27,0),
MATCH(Model0.1T!$D14&amp;Model0.1T!$B$4,
'Coeff EC7'!$U$6:$X$6&amp;
'Coeff EC7'!$U$5:$X$5,0))</f>
        <v>1.4</v>
      </c>
      <c r="H14" s="91">
        <f t="array" ref="H14">INDEX('Coeff EC7'!$Y$7:$AB$27,
MATCH(Model0.1T!$B$3,'Coeff EC7'!$T$7:$T$27,0),
MATCH(Model0.1T!$D14&amp;Model0.1T!$B$4,
'Coeff EC7'!$Y$6:$AB$6&amp;
'Coeff EC7'!$Y$5:$AB$5,0))</f>
        <v>1.7</v>
      </c>
      <c r="I14" s="83">
        <v>0</v>
      </c>
      <c r="J14" s="91" t="e">
        <f t="array" ref="J14">INDEX('Coeff EC7'!$D$33:$Q$33,1,MATCH(D14&amp;E14,'Coeff EC7'!$D$31:$Q$31&amp;'Coeff EC7'!$D$32:$Q$32,0))</f>
        <v>#N/A</v>
      </c>
      <c r="K14" s="91" t="e">
        <f t="array" ref="K14">INDEX('Coeff EC7'!$D$34:$Q$34,1,MATCH(D14&amp;E14,'Coeff EC7'!$D$31:$Q$31&amp;'Coeff EC7'!$D$32:$Q$32,0))</f>
        <v>#N/A</v>
      </c>
      <c r="L14" s="91" t="e">
        <f t="array" ref="L14">INDEX('Coeff EC7'!$D$35:$Q$35,1,MATCH(D14&amp;E14,'Coeff EC7'!$D$31:$Q$31&amp;'Coeff EC7'!$D$32:$Q$32,0))</f>
        <v>#N/A</v>
      </c>
      <c r="M14" s="98" t="e">
        <f t="shared" si="8"/>
        <v>#N/A</v>
      </c>
      <c r="N14" s="99" t="e">
        <f t="array" ref="N14">INDEX('Coeff EC7'!$D$7:$Q$27,MATCH($B$3,'Coeff EC7'!$C$7:$C$27,0),MATCH(D14&amp;E14,'Coeff EC7'!$D$5:$Q$5&amp;'Coeff EC7'!$D$6:$Q$6,0))</f>
        <v>#N/A</v>
      </c>
      <c r="O14" s="99" t="e">
        <f t="array" ref="O14">INDEX('Coeff EC7'!$D$41:$Q$61,MATCH($B$3,'Coeff EC7'!$C$41:$C$61,0),MATCH(D14&amp;E14,'Coeff EC7'!$D$39:$Q$39&amp;'Coeff EC7'!$D$40:$Q$40,0))</f>
        <v>#N/A</v>
      </c>
      <c r="P14" s="30" t="e">
        <f>N14*M14*1000</f>
        <v>#N/A</v>
      </c>
      <c r="Q14" s="100" t="e">
        <f t="shared" ref="Q14:Q77" si="10">MIN(O14,P14)*$B$10</f>
        <v>#N/A</v>
      </c>
      <c r="R14" s="86" t="b">
        <f t="shared" ref="R14:R77" si="11">IF($B14&lt;=$P$4, $B14, IF($B14&lt;=$P$5, $B14-$P$4, IF($B14&lt;=$P$6, $B14-$P$5, IF($B14&lt;=$P$7,$B14-$P$6, IF($B14&lt;=$P$8, $B14-$P$7, IF($B14&lt;=$P$9, $B14-$P$8, IF($B14&lt;=$P$10,$B14-$P$9)))))))</f>
        <v>0</v>
      </c>
      <c r="S14" s="86">
        <f t="shared" si="9"/>
        <v>0.5</v>
      </c>
      <c r="T14" s="86">
        <f t="shared" ref="T14:T77" si="12">MIN(S14,R14)</f>
        <v>0.5</v>
      </c>
      <c r="U14" s="30" t="e">
        <f ca="1">AVERAGE(OFFSET($F14, -10*T14, 0,10*T14, 1), OFFSET($F14, 1, 0, 30*S14, 1))</f>
        <v>#DIV/0!</v>
      </c>
      <c r="V14" s="85" t="str">
        <f>IF(B14&lt;=Hypothèses!$V$7,Hypothèses!$W$7,IF(B14&lt;=Hypothèses!$V$8,Hypothèses!$W$8,IF(B14&lt;=Hypothèses!$V$9,Hypothèses!$W$9,IF(B14&lt;=Hypothèses!$V$10,Hypothèses!$W$10,IF(B14&lt;=Hypothèses!$V$11,Hypothèses!$W$11,IF(B14&lt;=Hypothèses!$V$12,Hypothèses!$W$12,IF(B14&lt;=Hypothèses!$V$13,Hypothèses!$W$13,IF(B14&lt;=Hypothèses!$V$14,Hypothèses!$W$14,IF(B14&lt;=Hypothèses!$V$15,Hypothèses!$W$15,IF(B14&lt;=Hypothèses!$V$16,Hypothèses!$W$16,IF(B14&lt;=Hypothèses!$V$17,Hypothèses!$W$17,IF(B14&lt;=Hypothèses!$V$18,Hypothèses!$W$18,""))))))))))))</f>
        <v/>
      </c>
      <c r="W14" s="87" t="e">
        <f ca="1">IF(V14&lt;&gt;"",V14,U14)</f>
        <v>#DIV/0!</v>
      </c>
      <c r="X14" s="88" t="str">
        <f>IF(B14&lt;=Hypothèses!$V$7,Hypothèses!$X$7,IF(B14&lt;=Hypothèses!$V$8,Hypothèses!$X$8,IF(B14&lt;=Hypothèses!$V$9,Hypothèses!$X$9,IF(B14&lt;=Hypothèses!$V$10,Hypothèses!$X$10,IF(B14&lt;=Hypothèses!$V$11,Hypothèses!$X$11,IF(B14&lt;=Hypothèses!$V$12,Hypothèses!$X$12,IF(B14&lt;=Hypothèses!$V$13,Hypothèses!$X$13,IF(B14&lt;=Hypothèses!$V$14,Hypothèses!$X$14,IF(B14&lt;=Hypothèses!$V$15,Hypothèses!$X$15,IF(B14&lt;=Hypothèses!$V$16,Hypothèses!$X$16,IF(B14&lt;=Hypothèses!$U$17,Hypothèses!$W$17,IF(B14&lt;=Hypothèses!$U$18,Hypothèses!$W$18,""))))))))))))</f>
        <v/>
      </c>
      <c r="Y14" s="95" t="e">
        <f t="shared" ref="Y14:Y77" ca="1" si="13">IF($B14&lt;10*$AI$12,0.1/W14*SUM(OFFSET(F14,-10*$B14+1,0,10*$B14,1)),0.1/W14*SUM(OFFSET(F14,-100*$AI$12+1,0,100*$AI$12,1)))</f>
        <v>#DIV/0!</v>
      </c>
      <c r="Z14" s="101">
        <f t="shared" ref="Z14:Z77" si="14">IF($I14=0,0,
IF(Y14&gt;5*AD$12,$I14,
IF($D14="Pressio.",1+($I14-1)*(Y14/AD$12)/5,
IF($D14="Pénétro.",IF($E14=1,0.3+($I14-0.3)*(Y14/AD$12)/5,
IF($E14=2,0.2+($I14-0.2)*(Y14/AD$12)/5,
IF($E14=3,0.1+($I14-0.1)*(Y14/AD$12)/5,
0.15+($I14-0.15)*(Y14/AD$12)/5)))))))</f>
        <v>0</v>
      </c>
      <c r="AA14" s="91">
        <f t="shared" ref="AA14:AA77" si="15">IF($X14&lt;&gt;"",$X14,Z14)</f>
        <v>0</v>
      </c>
      <c r="AB14" s="30" t="e">
        <f t="shared" ref="AB14" si="16">PI()*AB$12*$Q14*($B14-$B13)/($G14*$B$5)/10+AB13</f>
        <v>#N/A</v>
      </c>
      <c r="AC14" s="30" t="e">
        <f t="shared" ref="AC14" si="17">(PI()*AC$12*$Q14*($B14-$B13))/($H14*$B$5)/10+AC13</f>
        <v>#N/A</v>
      </c>
      <c r="AD14" s="31" t="e">
        <f>IF(OR(Hypothèses!$B$4=17,Hypothèses!$B$4=18,Hypothèses!$B$4=19,Hypothèses!$B$4=20),
IF($D14="Pressio.",
IF(OR($E14=3,$E14=1,$E14=4),AC14,AB14),
IF($D14="Pénétro.",
IF(OR($E14=3,$E14=1,$E14=4),AC14,AB14))),IF($D14="Pressio.",
IF($E14=3,AC14,AB14),
IF($D14="Pénétro.",
IF($E14=4,AC14,AB14))))</f>
        <v>#N/A</v>
      </c>
      <c r="AE14" s="31">
        <v>0</v>
      </c>
      <c r="AF14" s="102" t="e">
        <f>IF(NDC!$H$10="Oui",(VLOOKUP($B$3,'Coeff EC7'!$T$39:$X$59,2,0)*AD14+VLOOKUP($B$3,'Coeff EC7'!$T$65:$X$85,2,0)*Model0.1T!AE14)/1.5,PI()*AB$12*$Q14*($B14-$B13)*0.15/10+AF13)</f>
        <v>#N/A</v>
      </c>
      <c r="AG14" s="102" t="e">
        <f>(VLOOKUP($B$3,'Coeff EC7'!$T$39:$X$59,3,0)*AD14+VLOOKUP($B$3,'Coeff EC7'!$T$65:$X$85,3,0)*Model0.1T!AE14)/1.1</f>
        <v>#N/A</v>
      </c>
      <c r="AH14" s="102" t="e">
        <f>AD14/1.15+AE14/1.15</f>
        <v>#N/A</v>
      </c>
      <c r="AI14" s="102" t="e">
        <f>(AD14+AE14)/1.05</f>
        <v>#N/A</v>
      </c>
      <c r="AJ14" s="414" t="e">
        <f>IF(AND(AF14&gt;NDC!$C$63,AG14&gt;NDC!$C$65,AH14&gt;NDC!$D$73,AI14&gt;NDC!$D$74,$B14&gt;NDC!$H$22-0.1+MIN(3*$AJ$12,1.5)),0,1)</f>
        <v>#N/A</v>
      </c>
      <c r="AK14" s="86" t="b">
        <f t="shared" ref="AK14:AK77" si="18">IF($B14&lt;=$P$4, $B14, IF($B14&lt;=$P$5, $B14-$P$4, IF($B14&lt;=$P$6, $B14-$P$5, IF($B14&lt;=$P$7,$B14-$P$6, IF($B14&lt;=$P$8, $B14-$P$7, IF($B14&lt;=$P$9, $B14-$P$8, IF($B14&lt;=$P$10,$B14-$P$9)))))))</f>
        <v>0</v>
      </c>
      <c r="AL14" s="86">
        <f>MAX($AY$12/2,0.5)</f>
        <v>0.5</v>
      </c>
      <c r="AM14" s="86">
        <f t="shared" ref="AM14:AM77" si="19">MIN(AL14,AK14)</f>
        <v>0.5</v>
      </c>
      <c r="AN14" s="30" t="e">
        <f ca="1">AVERAGE(OFFSET($F14, -10*AM14, 0,10*AM14, 1), OFFSET($F14, 1, 0, 30*AL14, 1))</f>
        <v>#DIV/0!</v>
      </c>
      <c r="AO14" s="85" t="e">
        <f ca="1">IF(U14&lt;=Hypothèses!$V$7,Hypothèses!$W$7,IF(U14&lt;=Hypothèses!$V$8,Hypothèses!$W$8,IF(U14&lt;=Hypothèses!$V$9,Hypothèses!$W$9,IF(U14&lt;=Hypothèses!$V$10,Hypothèses!$W$10,IF(U14&lt;=Hypothèses!$V$11,Hypothèses!$W$11,IF(U14&lt;=Hypothèses!$V$12,Hypothèses!$W$12,IF(U14&lt;=Hypothèses!$V$13,Hypothèses!$W$13,IF(U14&lt;=Hypothèses!$V$14,Hypothèses!$W$14,IF(U14&lt;=Hypothèses!$V$15,Hypothèses!$W$15,IF(U14&lt;=Hypothèses!$V$16,Hypothèses!$W$16,IF(U14&lt;=Hypothèses!$V$17,Hypothèses!$W$17,IF(U14&lt;=Hypothèses!$V$18,Hypothèses!$W$18,""))))))))))))</f>
        <v>#DIV/0!</v>
      </c>
      <c r="AP14" s="87" t="e">
        <f ca="1">IF(AO14&lt;&gt;"",AO14,AN14)</f>
        <v>#DIV/0!</v>
      </c>
      <c r="AQ14" s="88" t="e">
        <f ca="1">IF(U14&lt;=Hypothèses!$V$7,Hypothèses!$X$7,IF(U14&lt;=Hypothèses!$V$8,Hypothèses!$X$8,IF(U14&lt;=Hypothèses!$V$9,Hypothèses!$X$9,IF(U14&lt;=Hypothèses!$V$10,Hypothèses!$X$10,IF(U14&lt;=Hypothèses!$V$11,Hypothèses!$X$11,IF(U14&lt;=Hypothèses!$V$12,Hypothèses!$X$12,IF(U14&lt;=Hypothèses!$V$13,Hypothèses!$X$13,IF(U14&lt;=Hypothèses!$V$14,Hypothèses!$X$14,IF(U14&lt;=Hypothèses!$V$15,Hypothèses!$X$15,IF(U14&lt;=Hypothèses!$V$16,Hypothèses!$X$16,IF(U14&lt;=Hypothèses!$U$17,Hypothèses!$W$17,IF(U14&lt;=Hypothèses!$U$18,Hypothèses!$W$18,""))))))))))))</f>
        <v>#DIV/0!</v>
      </c>
      <c r="AR14" s="95" t="e">
        <f ca="1">IF($B14&lt;10*$BB$12,0.1/AP14*SUM(OFFSET(F14,-10*$B14+1,0,10*$B14,1)),0.1/AP14*SUM(OFFSET(F14,-100*$BB$12+1,0,100*$BB$12,1)))</f>
        <v>#DIV/0!</v>
      </c>
      <c r="AS14" s="101">
        <f t="shared" ref="AS14:AS16" si="20">IF($I14=0,0,
IF(AR14&gt;5*AW$12,$I14,
IF($D14="Pressio.",1+($I14-1)*(AR14/AW$12)/5,
IF($D14="Pénétro.",IF($E14=1,0.3+($I14-0.3)*(AR14/AW$12)/5,
IF($E14=2,0.2+($I14-0.2)*(AR14/AW$12)/5,
IF($E14=3,0.1+($I14-0.1)*(AR14/AW$12)/5,
0.15+($I14-0.15)*(AR14/AW$12)/5)))))))</f>
        <v>0</v>
      </c>
      <c r="AT14" s="91">
        <f t="shared" ref="AT14:AT77" si="21">IF($X14&lt;&gt;"",$X14,AS14)</f>
        <v>0</v>
      </c>
      <c r="AU14" s="30" t="e">
        <f t="shared" ref="AU14" si="22">PI()*AU$12*$Q14*($B14-$B13)/($G14*$B$5)/10+AU13</f>
        <v>#N/A</v>
      </c>
      <c r="AV14" s="30" t="e">
        <f t="shared" ref="AV14" si="23">(PI()*AV$12*$Q14*($B14-$B13))/($H14*$B$5)/10+AV13</f>
        <v>#N/A</v>
      </c>
      <c r="AW14" s="31" t="e">
        <f>IF(OR(Hypothèses!$B$4=17,Hypothèses!$B$4=18,Hypothèses!$B$4=19,Hypothèses!$B$4=20),
IF($D14="Pressio.",
IF(OR($E14=3,$E14=1,$E14=4),AV14,AU14),
IF($D14="Pénétro.",
IF(OR($E14=3,$E14=1,$E14=4),AV14,AU14))),IF($D14="Pressio.",
IF($E14=3,AV14,AU14),
IF($D14="Pénétro.",
IF($E14=4,AV14,AU14))))</f>
        <v>#N/A</v>
      </c>
      <c r="AX14" s="31">
        <v>0</v>
      </c>
      <c r="AY14" s="102" t="e">
        <f>IF(NDC!$H$10="Oui",(VLOOKUP($B$3,'Coeff EC7'!$T$39:$X$59,2,0)*AW14+VLOOKUP($B$3,'Coeff EC7'!$T$65:$X$85,2,0)*Model0.1T!AX14)/1.5,PI()*AU$12*$Q14*($B14-$B13)*0.15/10+AY13)</f>
        <v>#N/A</v>
      </c>
      <c r="AZ14" s="102" t="e">
        <f>(VLOOKUP($B$3,'Coeff EC7'!$T$39:$X$59,3,0)*AW14+VLOOKUP($B$3,'Coeff EC7'!$T$65:$X$85,3,0)*Model0.1T!AX14)/1.1</f>
        <v>#N/A</v>
      </c>
      <c r="BA14" s="102" t="e">
        <f>AW14/1.15+AX14/1.15</f>
        <v>#N/A</v>
      </c>
      <c r="BB14" s="102" t="e">
        <f>(AW14+AX14)/1.05</f>
        <v>#N/A</v>
      </c>
      <c r="BC14" s="414" t="e">
        <f>IF(AND(AY14&gt;NDC!$C$63,AZ14&gt;NDC!$C$65,BA14&gt;NDC!$D$73,BB14&gt;NDC!$D$74,$B14&gt;NDC!$H$22-0.1+MIN(3*BC$12,1.5)),0,1)</f>
        <v>#N/A</v>
      </c>
      <c r="BD14" s="86" t="b">
        <f t="shared" ref="BD14:BD77" si="24">IF($B14&lt;=$P$4, $B14, IF($B14&lt;=$P$5, $B14-$P$4, IF($B14&lt;=$P$6, $B14-$P$5, IF($B14&lt;=$P$7,$B14-$P$6, IF($B14&lt;=$P$8, $B14-$P$7, IF($B14&lt;=$P$9, $B14-$P$8, IF($B14&lt;=$P$10,$B14-$P$9)))))))</f>
        <v>0</v>
      </c>
      <c r="BE14" s="86">
        <f>MAX($BR$12/2,0.5)</f>
        <v>0.5</v>
      </c>
      <c r="BF14" s="86">
        <f t="shared" ref="BF14:BF77" si="25">MIN(BE14,BD14)</f>
        <v>0.5</v>
      </c>
      <c r="BG14" s="30" t="e">
        <f ca="1">AVERAGE(OFFSET($F14, -10*BF14, 0,10*BF14, 1), OFFSET($F14, 1, 0, 30*BE14, 1))</f>
        <v>#DIV/0!</v>
      </c>
      <c r="BH14" s="85" t="e">
        <f ca="1">IF(AN14&lt;=Hypothèses!$V$7,Hypothèses!$W$7,IF(AN14&lt;=Hypothèses!$V$8,Hypothèses!$W$8,IF(AN14&lt;=Hypothèses!$V$9,Hypothèses!$W$9,IF(AN14&lt;=Hypothèses!$V$10,Hypothèses!$W$10,IF(AN14&lt;=Hypothèses!$V$11,Hypothèses!$W$11,IF(AN14&lt;=Hypothèses!$V$12,Hypothèses!$W$12,IF(AN14&lt;=Hypothèses!$V$13,Hypothèses!$W$13,IF(AN14&lt;=Hypothèses!$V$14,Hypothèses!$W$14,IF(AN14&lt;=Hypothèses!$V$15,Hypothèses!$W$15,IF(AN14&lt;=Hypothèses!$V$16,Hypothèses!$W$16,IF(AN14&lt;=Hypothèses!$V$17,Hypothèses!$W$17,IF(AN14&lt;=Hypothèses!$V$18,Hypothèses!$W$18,""))))))))))))</f>
        <v>#DIV/0!</v>
      </c>
      <c r="BI14" s="87" t="e">
        <f ca="1">IF(BH14&lt;&gt;"",BH14,BG14)</f>
        <v>#DIV/0!</v>
      </c>
      <c r="BJ14" s="88" t="e">
        <f ca="1">IF(AN14&lt;=Hypothèses!$V$7,Hypothèses!$X$7,IF(AN14&lt;=Hypothèses!$V$8,Hypothèses!$X$8,IF(AN14&lt;=Hypothèses!$V$9,Hypothèses!$X$9,IF(AN14&lt;=Hypothèses!$V$10,Hypothèses!$X$10,IF(AN14&lt;=Hypothèses!$V$11,Hypothèses!$X$11,IF(AN14&lt;=Hypothèses!$V$12,Hypothèses!$X$12,IF(AN14&lt;=Hypothèses!$V$13,Hypothèses!$X$13,IF(AN14&lt;=Hypothèses!$V$14,Hypothèses!$X$14,IF(AN14&lt;=Hypothèses!$V$15,Hypothèses!$X$15,IF(AN14&lt;=Hypothèses!$V$16,Hypothèses!$X$16,IF(AN14&lt;=Hypothèses!$U$17,Hypothèses!$W$17,IF(AN14&lt;=Hypothèses!$U$18,Hypothèses!$W$18,""))))))))))))</f>
        <v>#DIV/0!</v>
      </c>
      <c r="BK14" s="95" t="e">
        <f ca="1">IF($B14&lt;10*$BU$12,0.1/BI14*SUM(OFFSET(F14,-10*$B14+1,0,10*$B14,1)),0.1/BI14*SUM(OFFSET(F14,-100*$BU$12+1,0,100*$BU$12,1)))</f>
        <v>#DIV/0!</v>
      </c>
      <c r="BL14" s="101">
        <f t="shared" ref="BL14:BL16" si="26">IF($I14=0,0,
IF(BK14&gt;5*BP$12,$I14,
IF($D14="Pressio.",1+($I14-1)*(BK14/BP$12)/5,
IF($D14="Pénétro.",IF($E14=1,0.3+($I14-0.3)*(BK14/BP$12)/5,
IF($E14=2,0.2+($I14-0.2)*(BK14/BP$12)/5,
IF($E14=3,0.1+($I14-0.1)*(BK14/BP$12)/5,
0.15+($I14-0.15)*(BK14/BP$12)/5)))))))</f>
        <v>0</v>
      </c>
      <c r="BM14" s="91">
        <f t="shared" ref="BM14:BM77" si="27">IF($X14&lt;&gt;"",$X14,BL14)</f>
        <v>0</v>
      </c>
      <c r="BN14" s="30" t="e">
        <f t="shared" ref="BN14" si="28">PI()*BN$12*$Q14*($B14-$B13)/($G14*$B$5)/10+BN13</f>
        <v>#N/A</v>
      </c>
      <c r="BO14" s="30" t="e">
        <f t="shared" ref="BO14" si="29">(PI()*BO$12*$Q14*($B14-$B13))/($H14*$B$5)/10+BO13</f>
        <v>#N/A</v>
      </c>
      <c r="BP14" s="31" t="e">
        <f>IF(OR(Hypothèses!$B$4=17,Hypothèses!$B$4=18,Hypothèses!$B$4=19,Hypothèses!$B$4=20),
IF($D14="Pressio.",
IF(OR($E14=3,$E14=1,$E14=4),BO14,BN14),
IF($D14="Pénétro.",
IF(OR($E14=3,$E14=1,$E14=4),BO14,BN14))),IF($D14="Pressio.",
IF($E14=3,BO14,BN14),
IF($D14="Pénétro.",
IF($E14=4,BO14,BN14))))</f>
        <v>#N/A</v>
      </c>
      <c r="BQ14" s="31">
        <v>0</v>
      </c>
      <c r="BR14" s="102" t="e">
        <f>IF(NDC!$H$10="Oui",(VLOOKUP($B$3,'Coeff EC7'!$T$39:$X$59,2,0)*BP14+VLOOKUP($B$3,'Coeff EC7'!$T$65:$X$85,2,0)*Model0.1T!BQ14)/1.5,PI()*BN$12*$Q14*($B14-$B13)*0.15/10+BR13)</f>
        <v>#N/A</v>
      </c>
      <c r="BS14" s="102" t="e">
        <f>(VLOOKUP($B$3,'Coeff EC7'!$T$39:$X$59,3,0)*BP14+VLOOKUP($B$3,'Coeff EC7'!$T$65:$X$85,3,0)*Model0.1T!BQ14)/1.1</f>
        <v>#N/A</v>
      </c>
      <c r="BT14" s="102" t="e">
        <f>BP14/1.15+BQ14/1.15</f>
        <v>#N/A</v>
      </c>
      <c r="BU14" s="102" t="e">
        <f>(BP14+BQ14)/1.05</f>
        <v>#N/A</v>
      </c>
      <c r="BV14" s="414" t="e">
        <f>IF(AND(BR14&gt;NDC!$C$63,BS14&gt;NDC!$C$65,BT14&gt;NDC!$D$73,BU14&gt;NDC!$D$74,$B14&gt;NDC!$H$22-0.1+MIN(3*BV$12,1.5)),0,1)</f>
        <v>#N/A</v>
      </c>
      <c r="BW14" s="86" t="b">
        <f t="shared" ref="BW14:BW77" si="30">IF($B14&lt;=$P$4, $B14, IF($B14&lt;=$P$5, $B14-$P$4, IF($B14&lt;=$P$6, $B14-$P$5, IF($B14&lt;=$P$7,$B14-$P$6, IF($B14&lt;=$P$8, $B14-$P$7, IF($B14&lt;=$P$9, $B14-$P$8, IF($B14&lt;=$P$10,$B14-$P$9)))))))</f>
        <v>0</v>
      </c>
      <c r="BX14" s="86">
        <f t="shared" ref="BX14:BX77" si="31">MAX($CK$12/2,0.5)</f>
        <v>0.5</v>
      </c>
      <c r="BY14" s="86">
        <f t="shared" ref="BY14:BY77" si="32">MIN(BX14,BW14)</f>
        <v>0.5</v>
      </c>
      <c r="BZ14" s="30" t="e">
        <f ca="1">AVERAGE(OFFSET($F14, -10*BY14, 0,10*BY14, 1), OFFSET($F14, 1, 0, 30*BX14, 1))</f>
        <v>#DIV/0!</v>
      </c>
      <c r="CA14" s="85" t="e">
        <f ca="1">IF(BG14&lt;=Hypothèses!$V$7,Hypothèses!$W$7,IF(BG14&lt;=Hypothèses!$V$8,Hypothèses!$W$8,IF(BG14&lt;=Hypothèses!$V$9,Hypothèses!$W$9,IF(BG14&lt;=Hypothèses!$V$10,Hypothèses!$W$10,IF(BG14&lt;=Hypothèses!$V$11,Hypothèses!$W$11,IF(BG14&lt;=Hypothèses!$V$12,Hypothèses!$W$12,IF(BG14&lt;=Hypothèses!$V$13,Hypothèses!$W$13,IF(BG14&lt;=Hypothèses!$V$14,Hypothèses!$W$14,IF(BG14&lt;=Hypothèses!$V$15,Hypothèses!$W$15,IF(BG14&lt;=Hypothèses!$V$16,Hypothèses!$W$16,IF(BG14&lt;=Hypothèses!$V$17,Hypothèses!$W$17,IF(BG14&lt;=Hypothèses!$V$18,Hypothèses!$W$18,""))))))))))))</f>
        <v>#DIV/0!</v>
      </c>
      <c r="CB14" s="87" t="e">
        <f ca="1">IF(CA14&lt;&gt;"",CA14,BZ14)</f>
        <v>#DIV/0!</v>
      </c>
      <c r="CC14" s="88" t="e">
        <f ca="1">IF(BG14&lt;=Hypothèses!$V$7,Hypothèses!$X$7,IF(BG14&lt;=Hypothèses!$V$8,Hypothèses!$X$8,IF(BG14&lt;=Hypothèses!$V$9,Hypothèses!$X$9,IF(BG14&lt;=Hypothèses!$V$10,Hypothèses!$X$10,IF(BG14&lt;=Hypothèses!$V$11,Hypothèses!$X$11,IF(BG14&lt;=Hypothèses!$V$12,Hypothèses!$X$12,IF(BG14&lt;=Hypothèses!$V$13,Hypothèses!$X$13,IF(BG14&lt;=Hypothèses!$V$14,Hypothèses!$X$14,IF(BG14&lt;=Hypothèses!$V$15,Hypothèses!$X$15,IF(BG14&lt;=Hypothèses!$V$16,Hypothèses!$X$16,IF(BG14&lt;=Hypothèses!$U$17,Hypothèses!$W$17,IF(BG14&lt;=Hypothèses!$U$18,Hypothèses!$W$18,""))))))))))))</f>
        <v>#DIV/0!</v>
      </c>
      <c r="CD14" s="95" t="e">
        <f ca="1">IF($B14&lt;10*$CN$12,0.1/CB14*SUM(OFFSET(F14,-10*$B14+1,0,10*$B14,1)),0.1/CB14*SUM(OFFSET(F14,-100*$CN$12+1,0,100*$CN$12,1)))</f>
        <v>#DIV/0!</v>
      </c>
      <c r="CE14" s="101">
        <f t="shared" ref="CE14:CE16" si="33">IF($I14=0,0,
IF(CD14&gt;5*CI$12,$I14,
IF($D14="Pressio.",1+($I14-1)*(CD14/CI$12)/5,
IF($D14="Pénétro.",IF($E14=1,0.3+($I14-0.3)*(CD14/CI$12)/5,
IF($E14=2,0.2+($I14-0.2)*(CD14/CI$12)/5,
IF($E14=3,0.1+($I14-0.1)*(CD14/CI$12)/5,
0.15+($I14-0.15)*(CD14/CI$12)/5)))))))</f>
        <v>0</v>
      </c>
      <c r="CF14" s="91">
        <f t="shared" ref="CF14:CF77" si="34">IF($X14&lt;&gt;"",$X14,CE14)</f>
        <v>0</v>
      </c>
      <c r="CG14" s="30" t="e">
        <f t="shared" ref="CG14" si="35">PI()*CG$12*$Q14*($B14-$B13)/($G14*$B$5)/10+CG13</f>
        <v>#N/A</v>
      </c>
      <c r="CH14" s="30" t="e">
        <f t="shared" ref="CH14" si="36">(PI()*CH$12*$Q14*($B14-$B13))/($H14*$B$5)/10+CH13</f>
        <v>#N/A</v>
      </c>
      <c r="CI14" s="31" t="e">
        <f>IF(OR(Hypothèses!$B$4=17,Hypothèses!$B$4=18,Hypothèses!$B$4=19,Hypothèses!$B$4=20),
IF($D14="Pressio.",
IF(OR($E14=3,$E14=1,$E14=4),CH14,CG14),
IF($D14="Pénétro.",
IF(OR($E14=3,$E14=1,$E14=4),CH14,CG14))),IF($D14="Pressio.",
IF($E14=3,CH14,CG14),
IF($D14="Pénétro.",
IF($E14=4,CH14,CG14))))</f>
        <v>#N/A</v>
      </c>
      <c r="CJ14" s="31">
        <v>0</v>
      </c>
      <c r="CK14" s="102" t="e">
        <f>IF(NDC!$H$10="Oui",(VLOOKUP($B$3,'Coeff EC7'!$T$39:$X$59,2,0)*CI14+VLOOKUP($B$3,'Coeff EC7'!$T$65:$X$85,2,0)*Model0.1T!CJ14)/1.5,PI()*CG$12*$Q14*($B14-$B13)*0.15/10+CK13)</f>
        <v>#N/A</v>
      </c>
      <c r="CL14" s="102" t="e">
        <f>(VLOOKUP($B$3,'Coeff EC7'!$T$39:$X$59,3,0)*CI14+VLOOKUP($B$3,'Coeff EC7'!$T$65:$X$85,3,0)*Model0.1T!CJ14)/1.1</f>
        <v>#N/A</v>
      </c>
      <c r="CM14" s="102" t="e">
        <f>CI14/1.15+CJ14/1.15</f>
        <v>#N/A</v>
      </c>
      <c r="CN14" s="102" t="e">
        <f>(CI14+CJ14)/1.05</f>
        <v>#N/A</v>
      </c>
      <c r="CO14" s="414" t="e">
        <f>IF(AND(CK14&gt;NDC!$C$63,CL14&gt;NDC!$C$65,CM14&gt;NDC!$D$73,CN14&gt;NDC!$D$74,$B14&gt;NDC!$H$22-0.1+MIN(3*CO$12,1.5)),0,1)</f>
        <v>#N/A</v>
      </c>
      <c r="CP14" s="86" t="b">
        <f t="shared" ref="CP14:CP77" si="37">IF($B14&lt;=$P$4, $B14, IF($B14&lt;=$P$5, $B14-$P$4, IF($B14&lt;=$P$6, $B14-$P$5, IF($B14&lt;=$P$7,$B14-$P$6, IF($B14&lt;=$P$8, $B14-$P$7, IF($B14&lt;=$P$9, $B14-$P$8, IF($B14&lt;=$P$10,$B14-$P$9)))))))</f>
        <v>0</v>
      </c>
      <c r="CQ14" s="86">
        <f t="shared" ref="CQ14:CQ77" si="38">MAX($DD$12/2,0.5)</f>
        <v>0.5</v>
      </c>
      <c r="CR14" s="86">
        <f t="shared" ref="CR14:CR77" si="39">MIN(CQ14,CP14)</f>
        <v>0.5</v>
      </c>
      <c r="CS14" s="30" t="e">
        <f ca="1">AVERAGE(OFFSET($F14, -10*CR14, 0,10*CR14, 1), OFFSET($F14, 1, 0, 30*CQ14, 1))</f>
        <v>#DIV/0!</v>
      </c>
      <c r="CT14" s="85" t="e">
        <f ca="1">IF(BZ14&lt;=Hypothèses!$V$7,Hypothèses!$W$7,IF(BZ14&lt;=Hypothèses!$V$8,Hypothèses!$W$8,IF(BZ14&lt;=Hypothèses!$V$9,Hypothèses!$W$9,IF(BZ14&lt;=Hypothèses!$V$10,Hypothèses!$W$10,IF(BZ14&lt;=Hypothèses!$V$11,Hypothèses!$W$11,IF(BZ14&lt;=Hypothèses!$V$12,Hypothèses!$W$12,IF(BZ14&lt;=Hypothèses!$V$13,Hypothèses!$W$13,IF(BZ14&lt;=Hypothèses!$V$14,Hypothèses!$W$14,IF(BZ14&lt;=Hypothèses!$V$15,Hypothèses!$W$15,IF(BZ14&lt;=Hypothèses!$V$16,Hypothèses!$W$16,IF(BZ14&lt;=Hypothèses!$V$17,Hypothèses!$W$17,IF(BZ14&lt;=Hypothèses!$V$18,Hypothèses!$W$18,""))))))))))))</f>
        <v>#DIV/0!</v>
      </c>
      <c r="CU14" s="87" t="e">
        <f ca="1">IF(CT14&lt;&gt;"",CT14,CS14)</f>
        <v>#DIV/0!</v>
      </c>
      <c r="CV14" s="88" t="e">
        <f ca="1">IF(BZ14&lt;=Hypothèses!$V$7,Hypothèses!$X$7,IF(BZ14&lt;=Hypothèses!$V$8,Hypothèses!$X$8,IF(BZ14&lt;=Hypothèses!$V$9,Hypothèses!$X$9,IF(BZ14&lt;=Hypothèses!$V$10,Hypothèses!$X$10,IF(BZ14&lt;=Hypothèses!$V$11,Hypothèses!$X$11,IF(BZ14&lt;=Hypothèses!$V$12,Hypothèses!$X$12,IF(BZ14&lt;=Hypothèses!$V$13,Hypothèses!$X$13,IF(BZ14&lt;=Hypothèses!$V$14,Hypothèses!$X$14,IF(BZ14&lt;=Hypothèses!$V$15,Hypothèses!$X$15,IF(BZ14&lt;=Hypothèses!$V$16,Hypothèses!$X$16,IF(BZ14&lt;=Hypothèses!$U$17,Hypothèses!$W$17,IF(BZ14&lt;=Hypothèses!$U$18,Hypothèses!$W$18,""))))))))))))</f>
        <v>#DIV/0!</v>
      </c>
      <c r="CW14" s="95" t="e">
        <f ca="1">IF($B14&lt;10*$DG$12,0.1/CU14*SUM(OFFSET(F14,-10*$B14+1,0,10*$B14,1)),0.1/CU14*SUM(OFFSET(F14,-100*$DG$12+1,0,100*$DG$12,1)))</f>
        <v>#DIV/0!</v>
      </c>
      <c r="CX14" s="101">
        <f t="shared" ref="CX14:CX16" si="40">IF($I14=0,0,
IF(CW14&gt;5*DB$12,$I14,
IF($D14="Pressio.",1+($I14-1)*(CW14/DB$12)/5,
IF($D14="Pénétro.",IF($E14=1,0.3+($I14-0.3)*(CW14/DB$12)/5,
IF($E14=2,0.2+($I14-0.2)*(CW14/DB$12)/5,
IF($E14=3,0.1+($I14-0.1)*(CW14/DB$12)/5,
0.15+($I14-0.15)*(CW14/DB$12)/5)))))))</f>
        <v>0</v>
      </c>
      <c r="CY14" s="91">
        <f t="shared" ref="CY14:CY77" si="41">IF($X14&lt;&gt;"",$X14,CX14)</f>
        <v>0</v>
      </c>
      <c r="CZ14" s="30" t="e">
        <f t="shared" ref="CZ14" si="42">PI()*CZ$12*$Q14*($B14-$B13)/($G14*$B$5)/10+CZ13</f>
        <v>#N/A</v>
      </c>
      <c r="DA14" s="30" t="e">
        <f t="shared" ref="DA14" si="43">(PI()*DA$12*$Q14*($B14-$B13))/($H14*$B$5)/10+DA13</f>
        <v>#N/A</v>
      </c>
      <c r="DB14" s="31" t="e">
        <f>IF(OR(Hypothèses!$B$4=17,Hypothèses!$B$4=18,Hypothèses!$B$4=19,Hypothèses!$B$4=20),
IF($D14="Pressio.",
IF(OR($E14=3,$E14=1,$E14=4),DA14,CZ14),
IF($D14="Pénétro.",
IF(OR($E14=3,$E14=1,$E14=4),DA14,CZ14))),IF($D14="Pressio.",
IF($E14=3,DA14,CZ14),
IF($D14="Pénétro.",
IF($E14=4,DA14,CZ14))))</f>
        <v>#N/A</v>
      </c>
      <c r="DC14" s="31">
        <v>0</v>
      </c>
      <c r="DD14" s="102" t="e">
        <f>IF(NDC!$H$10="Oui",(VLOOKUP($B$3,'Coeff EC7'!$T$39:$X$59,2,0)*DB14+VLOOKUP($B$3,'Coeff EC7'!$T$65:$X$85,2,0)*Model0.1T!DC14)/1.5,PI()*CZ$12*$Q14*($B14-$B13)*0.15/10+DD13)</f>
        <v>#N/A</v>
      </c>
      <c r="DE14" s="102" t="e">
        <f>(VLOOKUP($B$3,'Coeff EC7'!$T$39:$X$59,3,0)*DB14+VLOOKUP($B$3,'Coeff EC7'!$T$65:$X$85,3,0)*Model0.1T!DC14)/1.1</f>
        <v>#N/A</v>
      </c>
      <c r="DF14" s="102" t="e">
        <f>DB14/1.15+DC14/1.15</f>
        <v>#N/A</v>
      </c>
      <c r="DG14" s="102" t="e">
        <f>(DB14+DC14)/1.05</f>
        <v>#N/A</v>
      </c>
      <c r="DH14" s="414" t="e">
        <f>IF(AND(DD14&gt;NDC!$C$63,DE14&gt;NDC!$C$65,DF14&gt;NDC!$D$73,DG14&gt;NDC!$D$74,$B14&gt;NDC!$H$22-0.1+MIN(3*DH$12,1.5)),0,1)</f>
        <v>#N/A</v>
      </c>
      <c r="DI14" s="86" t="b">
        <f t="shared" ref="DI14:DI77" si="44">IF($B14&lt;=$P$4, $B14, IF($B14&lt;=$P$5, $B14-$P$4, IF($B14&lt;=$P$6, $B14-$P$5, IF($B14&lt;=$P$7,$B14-$P$6, IF($B14&lt;=$P$8, $B14-$P$7, IF($B14&lt;=$P$9, $B14-$P$8, IF($B14&lt;=$P$10,$B14-$P$9)))))))</f>
        <v>0</v>
      </c>
      <c r="DJ14" s="86">
        <f t="shared" ref="DJ14:DJ77" si="45">MAX($DW$12/2,0.5)</f>
        <v>0.5</v>
      </c>
      <c r="DK14" s="86">
        <f t="shared" ref="DK14:DK77" si="46">MIN(DJ14,DI14)</f>
        <v>0.5</v>
      </c>
      <c r="DL14" s="30" t="e">
        <f ca="1">AVERAGE(OFFSET($F14, -10*DK14, 0,10*DK14, 1), OFFSET($F14, 1, 0, 30*DJ14, 1))</f>
        <v>#DIV/0!</v>
      </c>
      <c r="DM14" s="85" t="e">
        <f ca="1">IF(CS14&lt;=Hypothèses!$V$7,Hypothèses!$W$7,IF(CS14&lt;=Hypothèses!$V$8,Hypothèses!$W$8,IF(CS14&lt;=Hypothèses!$V$9,Hypothèses!$W$9,IF(CS14&lt;=Hypothèses!$V$10,Hypothèses!$W$10,IF(CS14&lt;=Hypothèses!$V$11,Hypothèses!$W$11,IF(CS14&lt;=Hypothèses!$V$12,Hypothèses!$W$12,IF(CS14&lt;=Hypothèses!$V$13,Hypothèses!$W$13,IF(CS14&lt;=Hypothèses!$V$14,Hypothèses!$W$14,IF(CS14&lt;=Hypothèses!$V$15,Hypothèses!$W$15,IF(CS14&lt;=Hypothèses!$V$16,Hypothèses!$W$16,IF(CS14&lt;=Hypothèses!$V$17,Hypothèses!$W$17,IF(CS14&lt;=Hypothèses!$V$18,Hypothèses!$W$18,""))))))))))))</f>
        <v>#DIV/0!</v>
      </c>
      <c r="DN14" s="87" t="e">
        <f ca="1">IF(DM14&lt;&gt;"",DM14,DL14)</f>
        <v>#DIV/0!</v>
      </c>
      <c r="DO14" s="88" t="e">
        <f ca="1">IF(CS14&lt;=Hypothèses!$V$7,Hypothèses!$X$7,IF(CS14&lt;=Hypothèses!$V$8,Hypothèses!$X$8,IF(CS14&lt;=Hypothèses!$V$9,Hypothèses!$X$9,IF(CS14&lt;=Hypothèses!$V$10,Hypothèses!$X$10,IF(CS14&lt;=Hypothèses!$V$11,Hypothèses!$X$11,IF(CS14&lt;=Hypothèses!$V$12,Hypothèses!$X$12,IF(CS14&lt;=Hypothèses!$V$13,Hypothèses!$X$13,IF(CS14&lt;=Hypothèses!$V$14,Hypothèses!$X$14,IF(CS14&lt;=Hypothèses!$V$15,Hypothèses!$X$15,IF(CS14&lt;=Hypothèses!$V$16,Hypothèses!$X$16,IF(CS14&lt;=Hypothèses!$U$17,Hypothèses!$W$17,IF(CS14&lt;=Hypothèses!$U$18,Hypothèses!$W$18,""))))))))))))</f>
        <v>#DIV/0!</v>
      </c>
      <c r="DP14" s="95" t="e">
        <f ca="1">IF($B14&lt;10*$DZ$12,0.1/DN14*SUM(OFFSET(F14,-10*$B14+1,0,10*$B14,1)),0.1/DN14*SUM(OFFSET(F14,-100*$DZ$12+1,0,100*$DZ$12,1)))</f>
        <v>#DIV/0!</v>
      </c>
      <c r="DQ14" s="101">
        <f t="shared" ref="DQ14:DQ16" si="47">IF($I14=0,0,
IF(DP14&gt;5*DU$12,$I14,
IF($D14="Pressio.",1+($I14-1)*(DP14/DU$12)/5,
IF($D14="Pénétro.",IF($E14=1,0.3+($I14-0.3)*(DP14/DU$12)/5,
IF($E14=2,0.2+($I14-0.2)*(DP14/DU$12)/5,
IF($E14=3,0.1+($I14-0.1)*(DP14/DU$12)/5,
0.15+($I14-0.15)*(DP14/DU$12)/5)))))))</f>
        <v>0</v>
      </c>
      <c r="DR14" s="91">
        <f t="shared" ref="DR14:DR77" si="48">IF($X14&lt;&gt;"",$X14,DQ14)</f>
        <v>0</v>
      </c>
      <c r="DS14" s="30" t="e">
        <f t="shared" ref="DS14" si="49">PI()*DS$12*$Q14*($B14-$B13)/($G14*$B$5)/10+DS13</f>
        <v>#N/A</v>
      </c>
      <c r="DT14" s="30" t="e">
        <f t="shared" ref="DT14" si="50">(PI()*DT$12*$Q14*($B14-$B13))/($H14*$B$5)/10+DT13</f>
        <v>#N/A</v>
      </c>
      <c r="DU14" s="31" t="e">
        <f>IF(OR(Hypothèses!$B$4=17,Hypothèses!$B$4=18,Hypothèses!$B$4=19,Hypothèses!$B$4=20),
IF($D14="Pressio.",
IF(OR($E14=3,$E14=1,$E14=4),DT14,DS14),
IF($D14="Pénétro.",
IF(OR($E14=3,$E14=1,$E14=4),DT14,DS14))),IF($D14="Pressio.",
IF($E14=3,DT14,DS14),
IF($D14="Pénétro.",
IF($E14=4,DT14,DS14))))</f>
        <v>#N/A</v>
      </c>
      <c r="DV14" s="31">
        <v>0</v>
      </c>
      <c r="DW14" s="102" t="e">
        <f>IF(NDC!$H$10="Oui",(VLOOKUP($B$3,'Coeff EC7'!$T$39:$X$59,2,0)*DU14+VLOOKUP($B$3,'Coeff EC7'!$T$65:$X$85,2,0)*Model0.1T!DV14)/1.5,PI()*DS$12*$Q14*($B14-$B13)*0.15/10+DW13)</f>
        <v>#N/A</v>
      </c>
      <c r="DX14" s="102" t="e">
        <f>(VLOOKUP($B$3,'Coeff EC7'!$T$39:$X$59,3,0)*DU14+VLOOKUP($B$3,'Coeff EC7'!$T$65:$X$85,3,0)*Model0.1T!DV14)/1.1</f>
        <v>#N/A</v>
      </c>
      <c r="DY14" s="102" t="e">
        <f>DU14/1.15+DV14/1.15</f>
        <v>#N/A</v>
      </c>
      <c r="DZ14" s="102" t="e">
        <f>(DU14+DV14)/1.05</f>
        <v>#N/A</v>
      </c>
      <c r="EA14" s="414" t="e">
        <f>IF(AND(DW14&gt;NDC!$C$63,DX14&gt;NDC!$C$65,DY14&gt;NDC!$D$73,DZ14&gt;NDC!$D$74,$B14&gt;NDC!$H$22-0.1+MIN(3*EA$12,1.5)),0,1)</f>
        <v>#N/A</v>
      </c>
      <c r="EB14" s="86" t="b">
        <f t="shared" ref="EB14:EB77" si="51">IF($B14&lt;=$P$4, $B14, IF($B14&lt;=$P$5, $B14-$P$4, IF($B14&lt;=$P$6, $B14-$P$5, IF($B14&lt;=$P$7,$B14-$P$6, IF($B14&lt;=$P$8, $B14-$P$7, IF($B14&lt;=$P$9, $B14-$P$8, IF($B14&lt;=$P$10,$B14-$P$9)))))))</f>
        <v>0</v>
      </c>
      <c r="EC14" s="418">
        <f t="shared" ref="EC14:EC77" si="52">MAX($EP$12/2,0.5)</f>
        <v>0.51</v>
      </c>
      <c r="ED14" s="86">
        <f t="shared" ref="ED14:ED77" si="53">MIN(EC14,EB14)</f>
        <v>0.51</v>
      </c>
      <c r="EE14" s="30" t="e">
        <f ca="1">AVERAGE(OFFSET($F14, -10*ED14, 0,10*ED14, 1), OFFSET($F14, 1, 0, 30*EC14, 1))</f>
        <v>#DIV/0!</v>
      </c>
      <c r="EF14" s="85" t="e">
        <f ca="1">IF(DL14&lt;=Hypothèses!$V$7,Hypothèses!$W$7,IF(DL14&lt;=Hypothèses!$V$8,Hypothèses!$W$8,IF(DL14&lt;=Hypothèses!$V$9,Hypothèses!$W$9,IF(DL14&lt;=Hypothèses!$V$10,Hypothèses!$W$10,IF(DL14&lt;=Hypothèses!$V$11,Hypothèses!$W$11,IF(DL14&lt;=Hypothèses!$V$12,Hypothèses!$W$12,IF(DL14&lt;=Hypothèses!$V$13,Hypothèses!$W$13,IF(DL14&lt;=Hypothèses!$V$14,Hypothèses!$W$14,IF(DL14&lt;=Hypothèses!$V$15,Hypothèses!$W$15,IF(DL14&lt;=Hypothèses!$V$16,Hypothèses!$W$16,IF(DL14&lt;=Hypothèses!$V$17,Hypothèses!$W$17,IF(DL14&lt;=Hypothèses!$V$18,Hypothèses!$W$18,""))))))))))))</f>
        <v>#DIV/0!</v>
      </c>
      <c r="EG14" s="87" t="e">
        <f ca="1">IF(EF14&lt;&gt;"",EF14,EE14)</f>
        <v>#DIV/0!</v>
      </c>
      <c r="EH14" s="88" t="e">
        <f ca="1">IF(DL14&lt;=Hypothèses!$V$7,Hypothèses!$X$7,IF(DL14&lt;=Hypothèses!$V$8,Hypothèses!$X$8,IF(DL14&lt;=Hypothèses!$V$9,Hypothèses!$X$9,IF(DL14&lt;=Hypothèses!$V$10,Hypothèses!$X$10,IF(DL14&lt;=Hypothèses!$V$11,Hypothèses!$X$11,IF(DL14&lt;=Hypothèses!$V$12,Hypothèses!$X$12,IF(DL14&lt;=Hypothèses!$V$13,Hypothèses!$X$13,IF(DL14&lt;=Hypothèses!$V$14,Hypothèses!$X$14,IF(DL14&lt;=Hypothèses!$V$15,Hypothèses!$X$15,IF(DL14&lt;=Hypothèses!$V$16,Hypothèses!$X$16,IF(DL14&lt;=Hypothèses!$U$17,Hypothèses!$W$17,IF(DL14&lt;=Hypothèses!$U$18,Hypothèses!$W$18,""))))))))))))</f>
        <v>#DIV/0!</v>
      </c>
      <c r="EI14" s="95" t="e">
        <f ca="1">IF($B14&lt;10*$ES$12,0.1/EG14*SUM(OFFSET(F14,-10*$B14+1,0,10*$B14,1)),0.1/EG14*SUM(OFFSET(F14,-100*$ES$12+1,0,100*$ES$12,1)))</f>
        <v>#DIV/0!</v>
      </c>
      <c r="EJ14" s="101">
        <f t="shared" ref="EJ14:EJ16" si="54">IF($I14=0,0,
IF(EI14&gt;5*EN$12,$I14,
IF($D14="Pressio.",1+($I14-1)*(EI14/EN$12)/5,
IF($D14="Pénétro.",IF($E14=1,0.3+($I14-0.3)*(EI14/EN$12)/5,
IF($E14=2,0.2+($I14-0.2)*(EI14/EN$12)/5,
IF($E14=3,0.1+($I14-0.1)*(EI14/EN$12)/5,
0.15+($I14-0.15)*(EI14/EN$12)/5)))))))</f>
        <v>0</v>
      </c>
      <c r="EK14" s="91">
        <f t="shared" ref="EK14:EK77" si="55">IF($X14&lt;&gt;"",$X14,EJ14)</f>
        <v>0</v>
      </c>
      <c r="EL14" s="30" t="e">
        <f t="shared" ref="EL14" si="56">PI()*EL$12*$Q14*($B14-$B13)/($G14*$B$5)/10+EL13</f>
        <v>#N/A</v>
      </c>
      <c r="EM14" s="30" t="e">
        <f t="shared" ref="EM14" si="57">(PI()*EM$12*$Q14*($B14-$B13))/($H14*$B$5)/10+EM13</f>
        <v>#N/A</v>
      </c>
      <c r="EN14" s="31" t="e">
        <f>IF(OR(Hypothèses!$B$4=17,Hypothèses!$B$4=18,Hypothèses!$B$4=19,Hypothèses!$B$4=20),
IF($D14="Pressio.",
IF(OR($E14=3,$E14=1,$E14=4),EM14,EL14),
IF($D14="Pénétro.",
IF(OR($E14=3,$E14=1,$E14=4),EM14,EL14))),IF($D14="Pressio.",
IF($E14=3,EM14,EL14),
IF($D14="Pénétro.",
IF($E14=4,EM14,EL14))))</f>
        <v>#N/A</v>
      </c>
      <c r="EO14" s="31">
        <v>0</v>
      </c>
      <c r="EP14" s="102" t="e">
        <f>IF(NDC!$H$10="Oui",(VLOOKUP($B$3,'Coeff EC7'!$T$39:$X$59,2,0)*EN14+VLOOKUP($B$3,'Coeff EC7'!$T$65:$X$85,2,0)*Model0.1T!EO14)/1.5,PI()*EL$12*$Q14*($B14-$B13)*0.15/10+EP13)</f>
        <v>#N/A</v>
      </c>
      <c r="EQ14" s="102" t="e">
        <f>(VLOOKUP($B$3,'Coeff EC7'!$T$39:$X$59,3,0)*EN14+VLOOKUP($B$3,'Coeff EC7'!$T$65:$X$85,3,0)*Model0.1T!EO14)/1.1</f>
        <v>#N/A</v>
      </c>
      <c r="ER14" s="102" t="e">
        <f>EN14/1.15+EO14/1.15</f>
        <v>#N/A</v>
      </c>
      <c r="ES14" s="102" t="e">
        <f>(EN14+EO14)/1.05</f>
        <v>#N/A</v>
      </c>
      <c r="ET14" s="414" t="e">
        <f>IF(AND(EP14&gt;NDC!$C$63,EQ14&gt;NDC!$C$65,ER14&gt;NDC!$D$73,ES14&gt;NDC!$D$74,$B14&gt;NDC!$H$22-0.1+MIN(3*ET$12,1.5)),0,1)</f>
        <v>#N/A</v>
      </c>
      <c r="EU14" s="86" t="b">
        <f t="shared" ref="EU14:EU77" si="58">IF($B14&lt;=$P$4, $B14, IF($B14&lt;=$P$5, $B14-$P$4, IF($B14&lt;=$P$6, $B14-$P$5, IF($B14&lt;=$P$7,$B14-$P$6, IF($B14&lt;=$P$8, $B14-$P$7, IF($B14&lt;=$P$9, $B14-$P$8, IF($B14&lt;=$P$10,$B14-$P$9)))))))</f>
        <v>0</v>
      </c>
      <c r="EV14" s="86">
        <f t="shared" ref="EV14:EV77" si="59">MAX($FI$12/2,0.5)</f>
        <v>0.61</v>
      </c>
      <c r="EW14" s="86">
        <f t="shared" ref="EW14:EW77" si="60">MIN(EV14,EU14)</f>
        <v>0.61</v>
      </c>
      <c r="EX14" s="30" t="e">
        <f ca="1">AVERAGE(OFFSET($F14, -10*EW14, 0,10*EW14, 1), OFFSET($F14, 1, 0, 30*EV14, 1))</f>
        <v>#DIV/0!</v>
      </c>
      <c r="EY14" s="85" t="e">
        <f ca="1">IF(EE14&lt;=Hypothèses!$V$7,Hypothèses!$W$7,IF(EE14&lt;=Hypothèses!$V$8,Hypothèses!$W$8,IF(EE14&lt;=Hypothèses!$V$9,Hypothèses!$W$9,IF(EE14&lt;=Hypothèses!$V$10,Hypothèses!$W$10,IF(EE14&lt;=Hypothèses!$V$11,Hypothèses!$W$11,IF(EE14&lt;=Hypothèses!$V$12,Hypothèses!$W$12,IF(EE14&lt;=Hypothèses!$V$13,Hypothèses!$W$13,IF(EE14&lt;=Hypothèses!$V$14,Hypothèses!$W$14,IF(EE14&lt;=Hypothèses!$V$15,Hypothèses!$W$15,IF(EE14&lt;=Hypothèses!$V$16,Hypothèses!$W$16,IF(EE14&lt;=Hypothèses!$V$17,Hypothèses!$W$17,IF(EE14&lt;=Hypothèses!$V$18,Hypothèses!$W$18,""))))))))))))</f>
        <v>#DIV/0!</v>
      </c>
      <c r="EZ14" s="87" t="e">
        <f ca="1">IF(EY14&lt;&gt;"",EY14,EX14)</f>
        <v>#DIV/0!</v>
      </c>
      <c r="FA14" s="88" t="e">
        <f ca="1">IF(EE14&lt;=Hypothèses!$V$7,Hypothèses!$X$7,IF(EE14&lt;=Hypothèses!$V$8,Hypothèses!$X$8,IF(EE14&lt;=Hypothèses!$V$9,Hypothèses!$X$9,IF(EE14&lt;=Hypothèses!$V$10,Hypothèses!$X$10,IF(EE14&lt;=Hypothèses!$V$11,Hypothèses!$X$11,IF(EE14&lt;=Hypothèses!$V$12,Hypothèses!$X$12,IF(EE14&lt;=Hypothèses!$V$13,Hypothèses!$X$13,IF(EE14&lt;=Hypothèses!$V$14,Hypothèses!$X$14,IF(EE14&lt;=Hypothèses!$V$15,Hypothèses!$X$15,IF(EE14&lt;=Hypothèses!$V$16,Hypothèses!$X$16,IF(EE14&lt;=Hypothèses!$U$17,Hypothèses!$W$17,IF(EE14&lt;=Hypothèses!$U$18,Hypothèses!$W$18,""))))))))))))</f>
        <v>#DIV/0!</v>
      </c>
      <c r="FB14" s="95" t="e">
        <f ca="1">IF($B14&lt;10*$FL$12,0.1/EZ14*SUM(OFFSET(F14,-10*$B14+1,0,10*$B14,1)),0.1/EZ14*SUM(OFFSET(F14,-100*$FL$12+1,0,100*$FL$12,1)))</f>
        <v>#DIV/0!</v>
      </c>
      <c r="FC14" s="101">
        <f t="shared" ref="FC14:FC16" si="61">IF($I14=0,0,
IF(FB14&gt;5*FG$12,$I14,
IF($D14="Pressio.",1+($I14-1)*(FB14/FG$12)/5,
IF($D14="Pénétro.",IF($E14=1,0.3+($I14-0.3)*(FB14/FG$12)/5,
IF($E14=2,0.2+($I14-0.2)*(FB14/FG$12)/5,
IF($E14=3,0.1+($I14-0.1)*(FB14/FG$12)/5,
0.15+($I14-0.15)*(FB14/FG$12)/5)))))))</f>
        <v>0</v>
      </c>
      <c r="FD14" s="91">
        <f t="shared" ref="FD14:FD77" si="62">IF($X14&lt;&gt;"",$X14,FC14)</f>
        <v>0</v>
      </c>
      <c r="FE14" s="30" t="e">
        <f t="shared" ref="FE14" si="63">PI()*FE$12*$Q14*($B14-$B13)/($G14*$B$5)/10+FE13</f>
        <v>#N/A</v>
      </c>
      <c r="FF14" s="30" t="e">
        <f t="shared" ref="FF14" si="64">(PI()*FF$12*$Q14*($B14-$B13))/($H14*$B$5)/10+FF13</f>
        <v>#N/A</v>
      </c>
      <c r="FG14" s="31" t="e">
        <f>IF(OR(Hypothèses!$B$4=17,Hypothèses!$B$4=18,Hypothèses!$B$4=19,Hypothèses!$B$4=20),
IF($D14="Pressio.",
IF(OR($E14=3,$E14=1,$E14=4),FF14,FE14),
IF($D14="Pénétro.",
IF(OR($E14=3,$E14=1,$E14=4),FF14,FE14))),IF($D14="Pressio.",
IF($E14=3,FF14,FE14),
IF($D14="Pénétro.",
IF($E14=4,FF14,FE14))))</f>
        <v>#N/A</v>
      </c>
      <c r="FH14" s="31">
        <v>0</v>
      </c>
      <c r="FI14" s="102" t="e">
        <f>IF(NDC!$H$10="Oui",(VLOOKUP($B$3,'Coeff EC7'!$T$39:$X$59,2,0)*FG14+VLOOKUP($B$3,'Coeff EC7'!$T$65:$X$85,2,0)*Model0.1T!FH14)/1.5,PI()*FE$12*$Q14*($B14-$B13)*0.15/10+FI13)</f>
        <v>#N/A</v>
      </c>
      <c r="FJ14" s="102" t="e">
        <f>(VLOOKUP($B$3,'Coeff EC7'!$T$39:$X$59,3,0)*FG14+VLOOKUP($B$3,'Coeff EC7'!$T$65:$X$85,3,0)*Model0.1T!FH14)/1.1</f>
        <v>#N/A</v>
      </c>
      <c r="FK14" s="102" t="e">
        <f>FG14/1.15+FH14/1.15</f>
        <v>#N/A</v>
      </c>
      <c r="FL14" s="102" t="e">
        <f>(FG14+FH14)/1.05</f>
        <v>#N/A</v>
      </c>
      <c r="FM14" s="414" t="e">
        <f>IF(AND(FI14&gt;NDC!$C$63,FJ14&gt;NDC!$C$65,FK14&gt;NDC!$D$73,FL14&gt;NDC!$D$74,$B14&gt;NDC!$H$22-0.1+MIN(3*FM$12,1.5)),0,1)</f>
        <v>#N/A</v>
      </c>
    </row>
    <row r="15" spans="1:169">
      <c r="A15" s="96">
        <f t="shared" ref="A15:A78" si="65">A14-0.1</f>
        <v>99.800000000000011</v>
      </c>
      <c r="B15" s="97">
        <v>0.2</v>
      </c>
      <c r="C15" s="81">
        <f>IF(B15&lt;=Hypothèses!$C$7,Hypothèses!$A$7,IF(B15&lt;=Hypothèses!$C$8,Hypothèses!$A$8,IF(B15&lt;=Hypothèses!$C$9,Hypothèses!$A$9,IF(B15&lt;=Hypothèses!$C$10,Hypothèses!$A$10,IF(B15&lt;=Hypothèses!$C$11,Hypothèses!$A$11,IF(B15&lt;=Hypothèses!$C$12,Hypothèses!$A$12,IF(B15&lt;=Hypothèses!$C$13,Hypothèses!$A$13,IF(B15&lt;=Hypothèses!$C$14,Hypothèses!$A$14,IF(B15&lt;=Hypothèses!$C$15,Hypothèses!$A$15,IF(B15&lt;=Hypothèses!$C$16,Hypothèses!$A$16,IF(B15&lt;=Hypothèses!$C$17,Hypothèses!$A$17,IF(B15&lt;=Hypothèses!$C$18,Hypothèses!$A$18,C14))))))))))))</f>
        <v>11</v>
      </c>
      <c r="D15" s="82" t="str">
        <f>IF(B15&lt;=Hypothèses!$C$7,Hypothèses!$R$7,IF(B15&lt;=Hypothèses!$C$8,Hypothèses!$R$8,IF(B15&lt;=Hypothèses!$C$9,Hypothèses!$R$9,IF(B15&lt;=Hypothèses!$C$10,Hypothèses!$R$10,IF(B15&lt;=Hypothèses!$C$11,Hypothèses!$R$11,IF(B15&lt;=Hypothèses!$C$12,Hypothèses!$R$12,IF(B15&lt;=Hypothèses!$C$13,Hypothèses!$R$13,IF(B15&lt;=Hypothèses!$C$14,Hypothèses!$R$14,IF(B15&lt;=Hypothèses!$C$15,Hypothèses!$R$15,IF(B15&lt;=Hypothèses!$C$16,Hypothèses!$R$16,IF(B15&lt;=Hypothèses!$C$17,Hypothèses!$R$17,IF(B15&lt;=Hypothèses!$C$18,Hypothèses!$R$18,D14))))))))))))</f>
        <v>Pressio.</v>
      </c>
      <c r="E15" s="82" t="e">
        <f>IF(B15&lt;=Hypothèses!$C$7,Hypothèses!$G$7,IF(B15&lt;=Hypothèses!$C$8,Hypothèses!$G$8,IF(B15&lt;=Hypothèses!$C$9,Hypothèses!$G$9,IF(B15&lt;=Hypothèses!$C$10,Hypothèses!$G$10,IF(B15&lt;=Hypothèses!$C$11,Hypothèses!$G$11,IF(B15&lt;=Hypothèses!$C$12,Hypothèses!$G$12,IF(B15&lt;=Hypothèses!$C$13,Hypothèses!$G$13,IF(B15&lt;=Hypothèses!$C$14,Hypothèses!$G$14,IF(B15&lt;=Hypothèses!$C$15,Hypothèses!$G$15,IF(B15&lt;=Hypothèses!$C$16,Hypothèses!$G$16,IF(B15&lt;=Hypothèses!$C$17,Hypothèses!$G$17,IF(B15&lt;=Hypothèses!$C$18,Hypothèses!$G$18,E14))))))))))))</f>
        <v>#N/A</v>
      </c>
      <c r="F15" s="82" t="str">
        <f>IF(B15&lt;=Hypothèses!$C$7,Hypothèses!$F$7,IF(B15&lt;=Hypothèses!$C$8,Hypothèses!$F$8,IF(B15&lt;=Hypothèses!$C$9,Hypothèses!$F$9,IF(B15&lt;=Hypothèses!$C$10,Hypothèses!$F$10,IF(B15&lt;=Hypothèses!$C$11,Hypothèses!$F$11,IF(B15&lt;=Hypothèses!$C$12,Hypothèses!$F$12,IF(B15&lt;=Hypothèses!$C$13,Hypothèses!$F$13,IF(B15&lt;=Hypothèses!$C$14,Hypothèses!$F$14,IF(B15&lt;=Hypothèses!$C$15,Hypothèses!$F$15,IF(B15&lt;=Hypothèses!$C$16,Hypothèses!$F$16,IF(B15&lt;=Hypothèses!$C$17,Hypothèses!$F$17,IF(B15&lt;=Hypothèses!$C$18,Hypothèses!$F$18,F14))))))))))))</f>
        <v/>
      </c>
      <c r="G15" s="91">
        <f t="array" ref="G15">INDEX('Coeff EC7'!$U$7:$X$27,
MATCH(Model0.1T!$B$3,'Coeff EC7'!$T$7:$T$27,0),
MATCH(Model0.1T!$D15&amp;Model0.1T!$B$4,
'Coeff EC7'!$U$6:$X$6&amp;
'Coeff EC7'!$U$5:$X$5,0))</f>
        <v>1.4</v>
      </c>
      <c r="H15" s="91">
        <f t="array" ref="H15">INDEX('Coeff EC7'!$Y$7:$AB$27,
MATCH(Model0.1T!$B$3,'Coeff EC7'!$T$7:$T$27,0),
MATCH(Model0.1T!$D15&amp;Model0.1T!$B$4,
'Coeff EC7'!$Y$6:$AB$6&amp;
'Coeff EC7'!$Y$5:$AB$5,0))</f>
        <v>1.7</v>
      </c>
      <c r="I15" s="83">
        <v>0</v>
      </c>
      <c r="J15" s="91" t="e">
        <f t="array" ref="J15">INDEX('Coeff EC7'!$D$33:$Q$33,1,MATCH(D15&amp;E15,'Coeff EC7'!$D$31:$Q$31&amp;'Coeff EC7'!$D$32:$Q$32,0))</f>
        <v>#N/A</v>
      </c>
      <c r="K15" s="91" t="e">
        <f t="array" ref="K15">INDEX('Coeff EC7'!$D$34:$Q$34,1,MATCH(D15&amp;E15,'Coeff EC7'!$D$31:$Q$31&amp;'Coeff EC7'!$D$32:$Q$32,0))</f>
        <v>#N/A</v>
      </c>
      <c r="L15" s="91" t="e">
        <f t="array" ref="L15">INDEX('Coeff EC7'!$D$35:$Q$35,1,MATCH(D15&amp;E15,'Coeff EC7'!$D$31:$Q$31&amp;'Coeff EC7'!$D$32:$Q$32,0))</f>
        <v>#N/A</v>
      </c>
      <c r="M15" s="98" t="e">
        <f t="shared" si="8"/>
        <v>#N/A</v>
      </c>
      <c r="N15" s="99" t="e">
        <f t="array" ref="N15">INDEX('Coeff EC7'!$D$7:$Q$27,MATCH($B$3,'Coeff EC7'!$C$7:$C$27,0),MATCH(D15&amp;E15,'Coeff EC7'!$D$5:$Q$5&amp;'Coeff EC7'!$D$6:$Q$6,0))</f>
        <v>#N/A</v>
      </c>
      <c r="O15" s="99" t="e">
        <f t="array" ref="O15">INDEX('Coeff EC7'!$D$41:$Q$61,MATCH($B$3,'Coeff EC7'!$C$41:$C$61,0),MATCH(D15&amp;E15,'Coeff EC7'!$D$39:$Q$39&amp;'Coeff EC7'!$D$40:$Q$40,0))</f>
        <v>#N/A</v>
      </c>
      <c r="P15" s="30" t="e">
        <f t="shared" ref="P15:P78" si="66">N15*M15*1000</f>
        <v>#N/A</v>
      </c>
      <c r="Q15" s="100" t="e">
        <f t="shared" si="10"/>
        <v>#N/A</v>
      </c>
      <c r="R15" s="86" t="b">
        <f t="shared" si="11"/>
        <v>0</v>
      </c>
      <c r="S15" s="86">
        <f t="shared" si="9"/>
        <v>0.5</v>
      </c>
      <c r="T15" s="86">
        <f t="shared" si="12"/>
        <v>0.5</v>
      </c>
      <c r="U15" s="30" t="e">
        <f t="shared" ref="U15:U78" ca="1" si="67">AVERAGE(OFFSET($F15, -10*T15, 0,10*T15, 1), OFFSET($F15, 1, 0, 30*S15, 1))</f>
        <v>#DIV/0!</v>
      </c>
      <c r="V15" s="85" t="str">
        <f>IF(B15&lt;=Hypothèses!$V$7,Hypothèses!$W$7,IF(B15&lt;=Hypothèses!$V$8,Hypothèses!$W$8,IF(B15&lt;=Hypothèses!$V$9,Hypothèses!$W$9,IF(B15&lt;=Hypothèses!$V$10,Hypothèses!$W$10,IF(B15&lt;=Hypothèses!$V$11,Hypothèses!$W$11,IF(B15&lt;=Hypothèses!$V$12,Hypothèses!$W$12,IF(B15&lt;=Hypothèses!$V$13,Hypothèses!$W$13,IF(B15&lt;=Hypothèses!$V$14,Hypothèses!$W$14,IF(B15&lt;=Hypothèses!$V$15,Hypothèses!$W$15,IF(B15&lt;=Hypothèses!$V$16,Hypothèses!$W$16,IF(B15&lt;=Hypothèses!$V$17,Hypothèses!$W$17,IF(B15&lt;=Hypothèses!$V$18,Hypothèses!$W$18,""))))))))))))</f>
        <v/>
      </c>
      <c r="W15" s="87" t="e">
        <f ca="1">IF(V15&lt;&gt;"",V15,U15)</f>
        <v>#DIV/0!</v>
      </c>
      <c r="X15" s="88" t="str">
        <f>IF(B15&lt;=Hypothèses!$V$7,Hypothèses!$X$7,IF(B15&lt;=Hypothèses!$V$8,Hypothèses!$X$8,IF(B15&lt;=Hypothèses!$V$9,Hypothèses!$X$9,IF(B15&lt;=Hypothèses!$V$10,Hypothèses!$X$10,IF(B15&lt;=Hypothèses!$V$11,Hypothèses!$X$11,IF(B15&lt;=Hypothèses!$V$12,Hypothèses!$X$12,IF(B15&lt;=Hypothèses!$V$13,Hypothèses!$X$13,IF(B15&lt;=Hypothèses!$V$14,Hypothèses!$X$14,IF(B15&lt;=Hypothèses!$V$15,Hypothèses!$X$15,IF(B15&lt;=Hypothèses!$V$16,Hypothèses!$X$16,IF(B15&lt;=Hypothèses!$U$17,Hypothèses!$W$17,IF(B15&lt;=Hypothèses!$U$18,Hypothèses!$W$18,""))))))))))))</f>
        <v/>
      </c>
      <c r="Y15" s="95" t="e">
        <f t="shared" ca="1" si="13"/>
        <v>#DIV/0!</v>
      </c>
      <c r="Z15" s="101">
        <f t="shared" si="14"/>
        <v>0</v>
      </c>
      <c r="AA15" s="91">
        <f t="shared" si="15"/>
        <v>0</v>
      </c>
      <c r="AB15" s="30" t="e">
        <f>PI()*AB$12*$Q15*($B15-$B14)/($G15*$B$5)/10+AD14</f>
        <v>#N/A</v>
      </c>
      <c r="AC15" s="30" t="e">
        <f>(PI()*AC$12*$Q15*($B15-$B14))/($H15*$B$5)/10+AD14</f>
        <v>#N/A</v>
      </c>
      <c r="AD15" s="31" t="e">
        <f>IF(OR(Hypothèses!$B$4=17,Hypothèses!$B$4=18,Hypothèses!$B$4=19,Hypothèses!$B$4=20),
IF($D15="Pressio.",
IF(OR($E15=3,$E15=1,$E15=4),AC15,AB15),
IF($D15="Pénétro.",
IF(OR($E15=3,$E15=1,$E15=4),AC15,AB15))),IF($D15="Pressio.",
IF($E15=3,AC15,AB15),
IF($D15="Pénétro.",
IF($E15=4,AC15,AB15))))</f>
        <v>#N/A</v>
      </c>
      <c r="AE15" s="31">
        <v>0</v>
      </c>
      <c r="AF15" s="102" t="e">
        <f>IF(NDC!$H$10="Oui",(VLOOKUP($B$3,'Coeff EC7'!$T$39:$X$59,2,0)*AD15+VLOOKUP($B$3,'Coeff EC7'!$T$65:$X$85,2,0)*Model0.1T!AE15)/1.5,PI()*AB$12*$Q15*($B15-$B14)*0.15/10+AF14)</f>
        <v>#N/A</v>
      </c>
      <c r="AG15" s="102" t="e">
        <f>(VLOOKUP($B$3,'Coeff EC7'!$T$39:$X$59,3,0)*AD15+VLOOKUP($B$3,'Coeff EC7'!$T$65:$X$85,3,0)*Model0.1T!AE15)/1.1</f>
        <v>#N/A</v>
      </c>
      <c r="AH15" s="102" t="e">
        <f t="shared" ref="AH15:AH78" si="68">AD15/1.15+AE15/1.15</f>
        <v>#N/A</v>
      </c>
      <c r="AI15" s="102" t="e">
        <f t="shared" ref="AI15:AI78" si="69">(AD15+AE15)/1.05</f>
        <v>#N/A</v>
      </c>
      <c r="AJ15" s="414" t="e">
        <f>IF(AND(AF15&gt;NDC!$C$63,AG15&gt;NDC!$C$65,AH15&gt;NDC!$D$73,AI15&gt;NDC!$D$74,$B15&gt;NDC!$H$22-0.1+MIN(3*$AJ$12,1.5)),0,1)</f>
        <v>#N/A</v>
      </c>
      <c r="AK15" s="86" t="b">
        <f t="shared" si="18"/>
        <v>0</v>
      </c>
      <c r="AL15" s="86">
        <f t="shared" ref="AL15:AL78" si="70">MAX($AY$12/2,0.5)</f>
        <v>0.5</v>
      </c>
      <c r="AM15" s="86">
        <f t="shared" si="19"/>
        <v>0.5</v>
      </c>
      <c r="AN15" s="30" t="e">
        <f t="shared" ref="AN15:AN78" ca="1" si="71">AVERAGE(OFFSET($F15, -10*AM15, 0,10*AM15, 1), OFFSET($F15, 1, 0, 30*AL15, 1))</f>
        <v>#DIV/0!</v>
      </c>
      <c r="AO15" s="85" t="e">
        <f ca="1">IF(U15&lt;=Hypothèses!$V$7,Hypothèses!$W$7,IF(U15&lt;=Hypothèses!$V$8,Hypothèses!$W$8,IF(U15&lt;=Hypothèses!$V$9,Hypothèses!$W$9,IF(U15&lt;=Hypothèses!$V$10,Hypothèses!$W$10,IF(U15&lt;=Hypothèses!$V$11,Hypothèses!$W$11,IF(U15&lt;=Hypothèses!$V$12,Hypothèses!$W$12,IF(U15&lt;=Hypothèses!$V$13,Hypothèses!$W$13,IF(U15&lt;=Hypothèses!$V$14,Hypothèses!$W$14,IF(U15&lt;=Hypothèses!$V$15,Hypothèses!$W$15,IF(U15&lt;=Hypothèses!$V$16,Hypothèses!$W$16,IF(U15&lt;=Hypothèses!$V$17,Hypothèses!$W$17,IF(U15&lt;=Hypothèses!$V$18,Hypothèses!$W$18,""))))))))))))</f>
        <v>#DIV/0!</v>
      </c>
      <c r="AP15" s="87" t="e">
        <f ca="1">IF(AO15&lt;&gt;"",AO15,AN15)</f>
        <v>#DIV/0!</v>
      </c>
      <c r="AQ15" s="88" t="e">
        <f ca="1">IF(U15&lt;=Hypothèses!$V$7,Hypothèses!$X$7,IF(U15&lt;=Hypothèses!$V$8,Hypothèses!$X$8,IF(U15&lt;=Hypothèses!$V$9,Hypothèses!$X$9,IF(U15&lt;=Hypothèses!$V$10,Hypothèses!$X$10,IF(U15&lt;=Hypothèses!$V$11,Hypothèses!$X$11,IF(U15&lt;=Hypothèses!$V$12,Hypothèses!$X$12,IF(U15&lt;=Hypothèses!$V$13,Hypothèses!$X$13,IF(U15&lt;=Hypothèses!$V$14,Hypothèses!$X$14,IF(U15&lt;=Hypothèses!$V$15,Hypothèses!$X$15,IF(U15&lt;=Hypothèses!$V$16,Hypothèses!$X$16,IF(U15&lt;=Hypothèses!$U$17,Hypothèses!$W$17,IF(U15&lt;=Hypothèses!$U$18,Hypothèses!$W$18,""))))))))))))</f>
        <v>#DIV/0!</v>
      </c>
      <c r="AR15" s="95" t="e">
        <f t="shared" ref="AR15:AR78" ca="1" si="72">IF($B15&lt;10*$BB$12,0.1/AP15*SUM(OFFSET(F15,-10*$B15+1,0,10*$B15,1)),0.1/AP15*SUM(OFFSET(F15,-100*$BB$12+1,0,100*$BB$12,1)))</f>
        <v>#DIV/0!</v>
      </c>
      <c r="AS15" s="101">
        <f t="shared" si="20"/>
        <v>0</v>
      </c>
      <c r="AT15" s="91">
        <f t="shared" si="21"/>
        <v>0</v>
      </c>
      <c r="AU15" s="30" t="e">
        <f>PI()*AU$12*$Q15*($B15-$B14)/($G15*$B$5)/10+AW14</f>
        <v>#N/A</v>
      </c>
      <c r="AV15" s="30" t="e">
        <f>(PI()*AV$12*$Q15*($B15-$B14))/($H15*$B$5)/10+AW14</f>
        <v>#N/A</v>
      </c>
      <c r="AW15" s="31" t="e">
        <f>IF(OR(Hypothèses!$B$4=17,Hypothèses!$B$4=18,Hypothèses!$B$4=19,Hypothèses!$B$4=20),
IF($D15="Pressio.",
IF(OR($E15=3,$E15=1,$E15=4),AV15,AU15),
IF($D15="Pénétro.",
IF(OR($E15=3,$E15=1,$E15=4),AV15,AU15))),IF($D15="Pressio.",
IF($E15=3,AV15,AU15),
IF($D15="Pénétro.",
IF($E15=4,AV15,AU15))))</f>
        <v>#N/A</v>
      </c>
      <c r="AX15" s="31">
        <v>0</v>
      </c>
      <c r="AY15" s="102" t="e">
        <f>IF(NDC!$H$10="Oui",(VLOOKUP($B$3,'Coeff EC7'!$T$39:$X$59,2,0)*AW15+VLOOKUP($B$3,'Coeff EC7'!$T$65:$X$85,2,0)*Model0.1T!AX15)/1.5,PI()*AU$12*$Q15*($B15-$B14)*0.15/10+AY14)</f>
        <v>#N/A</v>
      </c>
      <c r="AZ15" s="102" t="e">
        <f>(VLOOKUP($B$3,'Coeff EC7'!$T$39:$X$59,3,0)*AW15+VLOOKUP($B$3,'Coeff EC7'!$T$65:$X$85,3,0)*Model0.1T!AX15)/1.1</f>
        <v>#N/A</v>
      </c>
      <c r="BA15" s="102" t="e">
        <f t="shared" ref="BA15:BA78" si="73">AW15/1.15+AX15/1.15</f>
        <v>#N/A</v>
      </c>
      <c r="BB15" s="102" t="e">
        <f t="shared" ref="BB15:BB78" si="74">(AW15+AX15)/1.05</f>
        <v>#N/A</v>
      </c>
      <c r="BC15" s="414" t="e">
        <f>IF(AND(AY15&gt;NDC!$C$63,AZ15&gt;NDC!$C$65,BA15&gt;NDC!$D$73,BB15&gt;NDC!$D$74,$B15&gt;NDC!$H$22-0.1+MIN(3*BC$12,1.5)),0,1)</f>
        <v>#N/A</v>
      </c>
      <c r="BD15" s="86" t="b">
        <f t="shared" si="24"/>
        <v>0</v>
      </c>
      <c r="BE15" s="86">
        <f t="shared" ref="BE15:BE78" si="75">MAX($BR$12/2,0.5)</f>
        <v>0.5</v>
      </c>
      <c r="BF15" s="86">
        <f t="shared" si="25"/>
        <v>0.5</v>
      </c>
      <c r="BG15" s="30" t="e">
        <f t="shared" ref="BG15:BG78" ca="1" si="76">AVERAGE(OFFSET($F15, -10*BF15, 0,10*BF15, 1), OFFSET($F15, 1, 0, 30*BE15, 1))</f>
        <v>#DIV/0!</v>
      </c>
      <c r="BH15" s="85" t="e">
        <f ca="1">IF(AN15&lt;=Hypothèses!$V$7,Hypothèses!$W$7,IF(AN15&lt;=Hypothèses!$V$8,Hypothèses!$W$8,IF(AN15&lt;=Hypothèses!$V$9,Hypothèses!$W$9,IF(AN15&lt;=Hypothèses!$V$10,Hypothèses!$W$10,IF(AN15&lt;=Hypothèses!$V$11,Hypothèses!$W$11,IF(AN15&lt;=Hypothèses!$V$12,Hypothèses!$W$12,IF(AN15&lt;=Hypothèses!$V$13,Hypothèses!$W$13,IF(AN15&lt;=Hypothèses!$V$14,Hypothèses!$W$14,IF(AN15&lt;=Hypothèses!$V$15,Hypothèses!$W$15,IF(AN15&lt;=Hypothèses!$V$16,Hypothèses!$W$16,IF(AN15&lt;=Hypothèses!$V$17,Hypothèses!$W$17,IF(AN15&lt;=Hypothèses!$V$18,Hypothèses!$W$18,""))))))))))))</f>
        <v>#DIV/0!</v>
      </c>
      <c r="BI15" s="87" t="e">
        <f ca="1">IF(BH15&lt;&gt;"",BH15,BG15)</f>
        <v>#DIV/0!</v>
      </c>
      <c r="BJ15" s="88" t="e">
        <f ca="1">IF(AN15&lt;=Hypothèses!$V$7,Hypothèses!$X$7,IF(AN15&lt;=Hypothèses!$V$8,Hypothèses!$X$8,IF(AN15&lt;=Hypothèses!$V$9,Hypothèses!$X$9,IF(AN15&lt;=Hypothèses!$V$10,Hypothèses!$X$10,IF(AN15&lt;=Hypothèses!$V$11,Hypothèses!$X$11,IF(AN15&lt;=Hypothèses!$V$12,Hypothèses!$X$12,IF(AN15&lt;=Hypothèses!$V$13,Hypothèses!$X$13,IF(AN15&lt;=Hypothèses!$V$14,Hypothèses!$X$14,IF(AN15&lt;=Hypothèses!$V$15,Hypothèses!$X$15,IF(AN15&lt;=Hypothèses!$V$16,Hypothèses!$X$16,IF(AN15&lt;=Hypothèses!$U$17,Hypothèses!$W$17,IF(AN15&lt;=Hypothèses!$U$18,Hypothèses!$W$18,""))))))))))))</f>
        <v>#DIV/0!</v>
      </c>
      <c r="BK15" s="95" t="e">
        <f t="shared" ref="BK15:BK78" ca="1" si="77">IF($B15&lt;10*$BU$12,0.1/BI15*SUM(OFFSET(F15,-10*$B15+1,0,10*$B15,1)),0.1/BI15*SUM(OFFSET(F15,-100*$BU$12+1,0,100*$BU$12,1)))</f>
        <v>#DIV/0!</v>
      </c>
      <c r="BL15" s="101">
        <f t="shared" si="26"/>
        <v>0</v>
      </c>
      <c r="BM15" s="91">
        <f t="shared" si="27"/>
        <v>0</v>
      </c>
      <c r="BN15" s="30" t="e">
        <f>PI()*BN$12*$Q15*($B15-$B14)/($G15*$B$5)/10+BP14</f>
        <v>#N/A</v>
      </c>
      <c r="BO15" s="30" t="e">
        <f>(PI()*BO$12*$Q15*($B15-$B14))/($H15*$B$5)/10+BP14</f>
        <v>#N/A</v>
      </c>
      <c r="BP15" s="31" t="e">
        <f>IF(OR(Hypothèses!$B$4=17,Hypothèses!$B$4=18,Hypothèses!$B$4=19,Hypothèses!$B$4=20),
IF($D15="Pressio.",
IF(OR($E15=3,$E15=1,$E15=4),BO15,BN15),
IF($D15="Pénétro.",
IF(OR($E15=3,$E15=1,$E15=4),BO15,BN15))),IF($D15="Pressio.",
IF($E15=3,BO15,BN15),
IF($D15="Pénétro.",
IF($E15=4,BO15,BN15))))</f>
        <v>#N/A</v>
      </c>
      <c r="BQ15" s="31">
        <v>0</v>
      </c>
      <c r="BR15" s="102" t="e">
        <f>IF(NDC!$H$10="Oui",(VLOOKUP($B$3,'Coeff EC7'!$T$39:$X$59,2,0)*BP15+VLOOKUP($B$3,'Coeff EC7'!$T$65:$X$85,2,0)*Model0.1T!BQ15)/1.5,PI()*BN$12*$Q15*($B15-$B14)*0.15/10+BR14)</f>
        <v>#N/A</v>
      </c>
      <c r="BS15" s="102" t="e">
        <f>(VLOOKUP($B$3,'Coeff EC7'!$T$39:$X$59,3,0)*BP15+VLOOKUP($B$3,'Coeff EC7'!$T$65:$X$85,3,0)*Model0.1T!BQ15)/1.1</f>
        <v>#N/A</v>
      </c>
      <c r="BT15" s="102" t="e">
        <f t="shared" ref="BT15:BT78" si="78">BP15/1.15+BQ15/1.15</f>
        <v>#N/A</v>
      </c>
      <c r="BU15" s="102" t="e">
        <f t="shared" ref="BU15:BU78" si="79">(BP15+BQ15)/1.05</f>
        <v>#N/A</v>
      </c>
      <c r="BV15" s="414" t="e">
        <f>IF(AND(BR15&gt;NDC!$C$63,BS15&gt;NDC!$C$65,BT15&gt;NDC!$D$73,BU15&gt;NDC!$D$74,$B15&gt;NDC!$H$22-0.1+MIN(3*BV$12,1.5)),0,1)</f>
        <v>#N/A</v>
      </c>
      <c r="BW15" s="86" t="b">
        <f t="shared" si="30"/>
        <v>0</v>
      </c>
      <c r="BX15" s="86">
        <f t="shared" si="31"/>
        <v>0.5</v>
      </c>
      <c r="BY15" s="86">
        <f t="shared" si="32"/>
        <v>0.5</v>
      </c>
      <c r="BZ15" s="30" t="e">
        <f t="shared" ref="BZ15:BZ78" ca="1" si="80">AVERAGE(OFFSET($F15, -10*BY15, 0,10*BY15, 1), OFFSET($F15, 1, 0, 30*BX15, 1))</f>
        <v>#DIV/0!</v>
      </c>
      <c r="CA15" s="85" t="e">
        <f ca="1">IF(BG15&lt;=Hypothèses!$V$7,Hypothèses!$W$7,IF(BG15&lt;=Hypothèses!$V$8,Hypothèses!$W$8,IF(BG15&lt;=Hypothèses!$V$9,Hypothèses!$W$9,IF(BG15&lt;=Hypothèses!$V$10,Hypothèses!$W$10,IF(BG15&lt;=Hypothèses!$V$11,Hypothèses!$W$11,IF(BG15&lt;=Hypothèses!$V$12,Hypothèses!$W$12,IF(BG15&lt;=Hypothèses!$V$13,Hypothèses!$W$13,IF(BG15&lt;=Hypothèses!$V$14,Hypothèses!$W$14,IF(BG15&lt;=Hypothèses!$V$15,Hypothèses!$W$15,IF(BG15&lt;=Hypothèses!$V$16,Hypothèses!$W$16,IF(BG15&lt;=Hypothèses!$V$17,Hypothèses!$W$17,IF(BG15&lt;=Hypothèses!$V$18,Hypothèses!$W$18,""))))))))))))</f>
        <v>#DIV/0!</v>
      </c>
      <c r="CB15" s="87" t="e">
        <f ca="1">IF(CA15&lt;&gt;"",CA15,BZ15)</f>
        <v>#DIV/0!</v>
      </c>
      <c r="CC15" s="88" t="e">
        <f ca="1">IF(BG15&lt;=Hypothèses!$V$7,Hypothèses!$X$7,IF(BG15&lt;=Hypothèses!$V$8,Hypothèses!$X$8,IF(BG15&lt;=Hypothèses!$V$9,Hypothèses!$X$9,IF(BG15&lt;=Hypothèses!$V$10,Hypothèses!$X$10,IF(BG15&lt;=Hypothèses!$V$11,Hypothèses!$X$11,IF(BG15&lt;=Hypothèses!$V$12,Hypothèses!$X$12,IF(BG15&lt;=Hypothèses!$V$13,Hypothèses!$X$13,IF(BG15&lt;=Hypothèses!$V$14,Hypothèses!$X$14,IF(BG15&lt;=Hypothèses!$V$15,Hypothèses!$X$15,IF(BG15&lt;=Hypothèses!$V$16,Hypothèses!$X$16,IF(BG15&lt;=Hypothèses!$U$17,Hypothèses!$W$17,IF(BG15&lt;=Hypothèses!$U$18,Hypothèses!$W$18,""))))))))))))</f>
        <v>#DIV/0!</v>
      </c>
      <c r="CD15" s="95" t="e">
        <f t="shared" ref="CD15:CD78" ca="1" si="81">IF($B15&lt;10*$CN$12,0.1/CB15*SUM(OFFSET(F15,-10*$B15+1,0,10*$B15,1)),0.1/CB15*SUM(OFFSET(F15,-100*$CN$12+1,0,100*$CN$12,1)))</f>
        <v>#DIV/0!</v>
      </c>
      <c r="CE15" s="101">
        <f t="shared" si="33"/>
        <v>0</v>
      </c>
      <c r="CF15" s="91">
        <f t="shared" si="34"/>
        <v>0</v>
      </c>
      <c r="CG15" s="30" t="e">
        <f>PI()*CG$12*$Q15*($B15-$B14)/($G15*$B$5)/10+CI14</f>
        <v>#N/A</v>
      </c>
      <c r="CH15" s="30" t="e">
        <f>(PI()*CH$12*$Q15*($B15-$B14))/($H15*$B$5)/10+CI14</f>
        <v>#N/A</v>
      </c>
      <c r="CI15" s="31" t="e">
        <f>IF(OR(Hypothèses!$B$4=17,Hypothèses!$B$4=18,Hypothèses!$B$4=19,Hypothèses!$B$4=20),
IF($D15="Pressio.",
IF(OR($E15=3,$E15=1,$E15=4),CH15,CG15),
IF($D15="Pénétro.",
IF(OR($E15=3,$E15=1,$E15=4),CH15,CG15))),IF($D15="Pressio.",
IF($E15=3,CH15,CG15),
IF($D15="Pénétro.",
IF($E15=4,CH15,CG15))))</f>
        <v>#N/A</v>
      </c>
      <c r="CJ15" s="31">
        <v>0</v>
      </c>
      <c r="CK15" s="102" t="e">
        <f>IF(NDC!$H$10="Oui",(VLOOKUP($B$3,'Coeff EC7'!$T$39:$X$59,2,0)*CI15+VLOOKUP($B$3,'Coeff EC7'!$T$65:$X$85,2,0)*Model0.1T!CJ15)/1.5,PI()*CG$12*$Q15*($B15-$B14)*0.15/10+CK14)</f>
        <v>#N/A</v>
      </c>
      <c r="CL15" s="102" t="e">
        <f>(VLOOKUP($B$3,'Coeff EC7'!$T$39:$X$59,3,0)*CI15+VLOOKUP($B$3,'Coeff EC7'!$T$65:$X$85,3,0)*Model0.1T!CJ15)/1.1</f>
        <v>#N/A</v>
      </c>
      <c r="CM15" s="102" t="e">
        <f t="shared" ref="CM15:CM78" si="82">CI15/1.15+CJ15/1.15</f>
        <v>#N/A</v>
      </c>
      <c r="CN15" s="102" t="e">
        <f t="shared" ref="CN15:CN78" si="83">(CI15+CJ15)/1.05</f>
        <v>#N/A</v>
      </c>
      <c r="CO15" s="414" t="e">
        <f>IF(AND(CK15&gt;NDC!$C$63,CL15&gt;NDC!$C$65,CM15&gt;NDC!$D$73,CN15&gt;NDC!$D$74,$B15&gt;NDC!$H$22-0.1+MIN(3*CO$12,1.5)),0,1)</f>
        <v>#N/A</v>
      </c>
      <c r="CP15" s="86" t="b">
        <f t="shared" si="37"/>
        <v>0</v>
      </c>
      <c r="CQ15" s="86">
        <f t="shared" si="38"/>
        <v>0.5</v>
      </c>
      <c r="CR15" s="86">
        <f t="shared" si="39"/>
        <v>0.5</v>
      </c>
      <c r="CS15" s="30" t="e">
        <f t="shared" ref="CS15:CS78" ca="1" si="84">AVERAGE(OFFSET($F15, -10*CR15, 0,10*CR15, 1), OFFSET($F15, 1, 0, 30*CQ15, 1))</f>
        <v>#DIV/0!</v>
      </c>
      <c r="CT15" s="85" t="e">
        <f ca="1">IF(BZ15&lt;=Hypothèses!$V$7,Hypothèses!$W$7,IF(BZ15&lt;=Hypothèses!$V$8,Hypothèses!$W$8,IF(BZ15&lt;=Hypothèses!$V$9,Hypothèses!$W$9,IF(BZ15&lt;=Hypothèses!$V$10,Hypothèses!$W$10,IF(BZ15&lt;=Hypothèses!$V$11,Hypothèses!$W$11,IF(BZ15&lt;=Hypothèses!$V$12,Hypothèses!$W$12,IF(BZ15&lt;=Hypothèses!$V$13,Hypothèses!$W$13,IF(BZ15&lt;=Hypothèses!$V$14,Hypothèses!$W$14,IF(BZ15&lt;=Hypothèses!$V$15,Hypothèses!$W$15,IF(BZ15&lt;=Hypothèses!$V$16,Hypothèses!$W$16,IF(BZ15&lt;=Hypothèses!$V$17,Hypothèses!$W$17,IF(BZ15&lt;=Hypothèses!$V$18,Hypothèses!$W$18,""))))))))))))</f>
        <v>#DIV/0!</v>
      </c>
      <c r="CU15" s="87" t="e">
        <f ca="1">IF(CT15&lt;&gt;"",CT15,CS15)</f>
        <v>#DIV/0!</v>
      </c>
      <c r="CV15" s="88" t="e">
        <f ca="1">IF(BZ15&lt;=Hypothèses!$V$7,Hypothèses!$X$7,IF(BZ15&lt;=Hypothèses!$V$8,Hypothèses!$X$8,IF(BZ15&lt;=Hypothèses!$V$9,Hypothèses!$X$9,IF(BZ15&lt;=Hypothèses!$V$10,Hypothèses!$X$10,IF(BZ15&lt;=Hypothèses!$V$11,Hypothèses!$X$11,IF(BZ15&lt;=Hypothèses!$V$12,Hypothèses!$X$12,IF(BZ15&lt;=Hypothèses!$V$13,Hypothèses!$X$13,IF(BZ15&lt;=Hypothèses!$V$14,Hypothèses!$X$14,IF(BZ15&lt;=Hypothèses!$V$15,Hypothèses!$X$15,IF(BZ15&lt;=Hypothèses!$V$16,Hypothèses!$X$16,IF(BZ15&lt;=Hypothèses!$U$17,Hypothèses!$W$17,IF(BZ15&lt;=Hypothèses!$U$18,Hypothèses!$W$18,""))))))))))))</f>
        <v>#DIV/0!</v>
      </c>
      <c r="CW15" s="95" t="e">
        <f t="shared" ref="CW15:CW78" ca="1" si="85">IF($B15&lt;10*$DG$12,0.1/CU15*SUM(OFFSET(F15,-10*$B15+1,0,10*$B15,1)),0.1/CU15*SUM(OFFSET(F15,-100*$DG$12+1,0,100*$DG$12,1)))</f>
        <v>#DIV/0!</v>
      </c>
      <c r="CX15" s="101">
        <f t="shared" si="40"/>
        <v>0</v>
      </c>
      <c r="CY15" s="91">
        <f t="shared" si="41"/>
        <v>0</v>
      </c>
      <c r="CZ15" s="30" t="e">
        <f>PI()*CZ$12*$Q15*($B15-$B14)/($G15*$B$5)/10+DB14</f>
        <v>#N/A</v>
      </c>
      <c r="DA15" s="30" t="e">
        <f>(PI()*DA$12*$Q15*($B15-$B14))/($H15*$B$5)/10+DB14</f>
        <v>#N/A</v>
      </c>
      <c r="DB15" s="31" t="e">
        <f>IF(OR(Hypothèses!$B$4=17,Hypothèses!$B$4=18,Hypothèses!$B$4=19,Hypothèses!$B$4=20),
IF($D15="Pressio.",
IF(OR($E15=3,$E15=1,$E15=4),DA15,CZ15),
IF($D15="Pénétro.",
IF(OR($E15=3,$E15=1,$E15=4),DA15,CZ15))),IF($D15="Pressio.",
IF($E15=3,DA15,CZ15),
IF($D15="Pénétro.",
IF($E15=4,DA15,CZ15))))</f>
        <v>#N/A</v>
      </c>
      <c r="DC15" s="31">
        <v>0</v>
      </c>
      <c r="DD15" s="102" t="e">
        <f>IF(NDC!$H$10="Oui",(VLOOKUP($B$3,'Coeff EC7'!$T$39:$X$59,2,0)*DB15+VLOOKUP($B$3,'Coeff EC7'!$T$65:$X$85,2,0)*Model0.1T!DC15)/1.5,PI()*CZ$12*$Q15*($B15-$B14)*0.15/10+DD14)</f>
        <v>#N/A</v>
      </c>
      <c r="DE15" s="102" t="e">
        <f>(VLOOKUP($B$3,'Coeff EC7'!$T$39:$X$59,3,0)*DB15+VLOOKUP($B$3,'Coeff EC7'!$T$65:$X$85,3,0)*Model0.1T!DC15)/1.1</f>
        <v>#N/A</v>
      </c>
      <c r="DF15" s="102" t="e">
        <f t="shared" ref="DF15:DF78" si="86">DB15/1.15+DC15/1.15</f>
        <v>#N/A</v>
      </c>
      <c r="DG15" s="102" t="e">
        <f t="shared" ref="DG15:DG78" si="87">(DB15+DC15)/1.05</f>
        <v>#N/A</v>
      </c>
      <c r="DH15" s="414" t="e">
        <f>IF(AND(DD15&gt;NDC!$C$63,DE15&gt;NDC!$C$65,DF15&gt;NDC!$D$73,DG15&gt;NDC!$D$74,$B15&gt;NDC!$H$22-0.1+MIN(3*DH$12,1.5)),0,1)</f>
        <v>#N/A</v>
      </c>
      <c r="DI15" s="86" t="b">
        <f t="shared" si="44"/>
        <v>0</v>
      </c>
      <c r="DJ15" s="86">
        <f t="shared" si="45"/>
        <v>0.5</v>
      </c>
      <c r="DK15" s="86">
        <f t="shared" si="46"/>
        <v>0.5</v>
      </c>
      <c r="DL15" s="30" t="e">
        <f t="shared" ref="DL15:DL78" ca="1" si="88">AVERAGE(OFFSET($F15, -10*DK15, 0,10*DK15, 1), OFFSET($F15, 1, 0, 30*DJ15, 1))</f>
        <v>#DIV/0!</v>
      </c>
      <c r="DM15" s="85" t="e">
        <f ca="1">IF(CS15&lt;=Hypothèses!$V$7,Hypothèses!$W$7,IF(CS15&lt;=Hypothèses!$V$8,Hypothèses!$W$8,IF(CS15&lt;=Hypothèses!$V$9,Hypothèses!$W$9,IF(CS15&lt;=Hypothèses!$V$10,Hypothèses!$W$10,IF(CS15&lt;=Hypothèses!$V$11,Hypothèses!$W$11,IF(CS15&lt;=Hypothèses!$V$12,Hypothèses!$W$12,IF(CS15&lt;=Hypothèses!$V$13,Hypothèses!$W$13,IF(CS15&lt;=Hypothèses!$V$14,Hypothèses!$W$14,IF(CS15&lt;=Hypothèses!$V$15,Hypothèses!$W$15,IF(CS15&lt;=Hypothèses!$V$16,Hypothèses!$W$16,IF(CS15&lt;=Hypothèses!$V$17,Hypothèses!$W$17,IF(CS15&lt;=Hypothèses!$V$18,Hypothèses!$W$18,""))))))))))))</f>
        <v>#DIV/0!</v>
      </c>
      <c r="DN15" s="87" t="e">
        <f ca="1">IF(DM15&lt;&gt;"",DM15,DL15)</f>
        <v>#DIV/0!</v>
      </c>
      <c r="DO15" s="88" t="e">
        <f ca="1">IF(CS15&lt;=Hypothèses!$V$7,Hypothèses!$X$7,IF(CS15&lt;=Hypothèses!$V$8,Hypothèses!$X$8,IF(CS15&lt;=Hypothèses!$V$9,Hypothèses!$X$9,IF(CS15&lt;=Hypothèses!$V$10,Hypothèses!$X$10,IF(CS15&lt;=Hypothèses!$V$11,Hypothèses!$X$11,IF(CS15&lt;=Hypothèses!$V$12,Hypothèses!$X$12,IF(CS15&lt;=Hypothèses!$V$13,Hypothèses!$X$13,IF(CS15&lt;=Hypothèses!$V$14,Hypothèses!$X$14,IF(CS15&lt;=Hypothèses!$V$15,Hypothèses!$X$15,IF(CS15&lt;=Hypothèses!$V$16,Hypothèses!$X$16,IF(CS15&lt;=Hypothèses!$U$17,Hypothèses!$W$17,IF(CS15&lt;=Hypothèses!$U$18,Hypothèses!$W$18,""))))))))))))</f>
        <v>#DIV/0!</v>
      </c>
      <c r="DP15" s="95" t="e">
        <f t="shared" ref="DP15:DP78" ca="1" si="89">IF($B15&lt;10*$DZ$12,0.1/DN15*SUM(OFFSET(F15,-10*$B15+1,0,10*$B15,1)),0.1/DN15*SUM(OFFSET(F15,-100*$DZ$12+1,0,100*$DZ$12,1)))</f>
        <v>#DIV/0!</v>
      </c>
      <c r="DQ15" s="101">
        <f t="shared" si="47"/>
        <v>0</v>
      </c>
      <c r="DR15" s="91">
        <f t="shared" si="48"/>
        <v>0</v>
      </c>
      <c r="DS15" s="30" t="e">
        <f>PI()*DS$12*$Q15*($B15-$B14)/($G15*$B$5)/10+DU14</f>
        <v>#N/A</v>
      </c>
      <c r="DT15" s="30" t="e">
        <f>(PI()*DT$12*$Q15*($B15-$B14))/($H15*$B$5)/10+DU14</f>
        <v>#N/A</v>
      </c>
      <c r="DU15" s="31" t="e">
        <f>IF(OR(Hypothèses!$B$4=17,Hypothèses!$B$4=18,Hypothèses!$B$4=19,Hypothèses!$B$4=20),
IF($D15="Pressio.",
IF(OR($E15=3,$E15=1,$E15=4),DT15,DS15),
IF($D15="Pénétro.",
IF(OR($E15=3,$E15=1,$E15=4),DT15,DS15))),IF($D15="Pressio.",
IF($E15=3,DT15,DS15),
IF($D15="Pénétro.",
IF($E15=4,DT15,DS15))))</f>
        <v>#N/A</v>
      </c>
      <c r="DV15" s="31">
        <v>0</v>
      </c>
      <c r="DW15" s="102" t="e">
        <f>IF(NDC!$H$10="Oui",(VLOOKUP($B$3,'Coeff EC7'!$T$39:$X$59,2,0)*DU15+VLOOKUP($B$3,'Coeff EC7'!$T$65:$X$85,2,0)*Model0.1T!DV15)/1.5,PI()*DS$12*$Q15*($B15-$B14)*0.15/10+DW14)</f>
        <v>#N/A</v>
      </c>
      <c r="DX15" s="102" t="e">
        <f>(VLOOKUP($B$3,'Coeff EC7'!$T$39:$X$59,3,0)*DU15+VLOOKUP($B$3,'Coeff EC7'!$T$65:$X$85,3,0)*Model0.1T!DV15)/1.1</f>
        <v>#N/A</v>
      </c>
      <c r="DY15" s="102" t="e">
        <f t="shared" ref="DY15:DY78" si="90">DU15/1.15+DV15/1.15</f>
        <v>#N/A</v>
      </c>
      <c r="DZ15" s="102" t="e">
        <f t="shared" ref="DZ15:DZ78" si="91">(DU15+DV15)/1.05</f>
        <v>#N/A</v>
      </c>
      <c r="EA15" s="414" t="e">
        <f>IF(AND(DW15&gt;NDC!$C$63,DX15&gt;NDC!$C$65,DY15&gt;NDC!$D$73,DZ15&gt;NDC!$D$74,$B15&gt;NDC!$H$22-0.1+MIN(3*EA$12,1.5)),0,1)</f>
        <v>#N/A</v>
      </c>
      <c r="EB15" s="86" t="b">
        <f t="shared" si="51"/>
        <v>0</v>
      </c>
      <c r="EC15" s="418">
        <f t="shared" si="52"/>
        <v>0.51</v>
      </c>
      <c r="ED15" s="86">
        <f t="shared" si="53"/>
        <v>0.51</v>
      </c>
      <c r="EE15" s="30" t="e">
        <f t="shared" ref="EE15:EE78" ca="1" si="92">AVERAGE(OFFSET($F15, -10*ED15, 0,10*ED15, 1), OFFSET($F15, 1, 0, 30*EC15, 1))</f>
        <v>#DIV/0!</v>
      </c>
      <c r="EF15" s="85" t="e">
        <f ca="1">IF(DL15&lt;=Hypothèses!$V$7,Hypothèses!$W$7,IF(DL15&lt;=Hypothèses!$V$8,Hypothèses!$W$8,IF(DL15&lt;=Hypothèses!$V$9,Hypothèses!$W$9,IF(DL15&lt;=Hypothèses!$V$10,Hypothèses!$W$10,IF(DL15&lt;=Hypothèses!$V$11,Hypothèses!$W$11,IF(DL15&lt;=Hypothèses!$V$12,Hypothèses!$W$12,IF(DL15&lt;=Hypothèses!$V$13,Hypothèses!$W$13,IF(DL15&lt;=Hypothèses!$V$14,Hypothèses!$W$14,IF(DL15&lt;=Hypothèses!$V$15,Hypothèses!$W$15,IF(DL15&lt;=Hypothèses!$V$16,Hypothèses!$W$16,IF(DL15&lt;=Hypothèses!$V$17,Hypothèses!$W$17,IF(DL15&lt;=Hypothèses!$V$18,Hypothèses!$W$18,""))))))))))))</f>
        <v>#DIV/0!</v>
      </c>
      <c r="EG15" s="87" t="e">
        <f ca="1">IF(EF15&lt;&gt;"",EF15,EE15)</f>
        <v>#DIV/0!</v>
      </c>
      <c r="EH15" s="88" t="e">
        <f ca="1">IF(DL15&lt;=Hypothèses!$V$7,Hypothèses!$X$7,IF(DL15&lt;=Hypothèses!$V$8,Hypothèses!$X$8,IF(DL15&lt;=Hypothèses!$V$9,Hypothèses!$X$9,IF(DL15&lt;=Hypothèses!$V$10,Hypothèses!$X$10,IF(DL15&lt;=Hypothèses!$V$11,Hypothèses!$X$11,IF(DL15&lt;=Hypothèses!$V$12,Hypothèses!$X$12,IF(DL15&lt;=Hypothèses!$V$13,Hypothèses!$X$13,IF(DL15&lt;=Hypothèses!$V$14,Hypothèses!$X$14,IF(DL15&lt;=Hypothèses!$V$15,Hypothèses!$X$15,IF(DL15&lt;=Hypothèses!$V$16,Hypothèses!$X$16,IF(DL15&lt;=Hypothèses!$U$17,Hypothèses!$W$17,IF(DL15&lt;=Hypothèses!$U$18,Hypothèses!$W$18,""))))))))))))</f>
        <v>#DIV/0!</v>
      </c>
      <c r="EI15" s="95" t="e">
        <f t="shared" ref="EI15:EI78" ca="1" si="93">IF($B15&lt;10*$ES$12,0.1/EG15*SUM(OFFSET(F15,-10*$B15+1,0,10*$B15,1)),0.1/EG15*SUM(OFFSET(F15,-100*$ES$12+1,0,100*$ES$12,1)))</f>
        <v>#DIV/0!</v>
      </c>
      <c r="EJ15" s="101">
        <f t="shared" si="54"/>
        <v>0</v>
      </c>
      <c r="EK15" s="91">
        <f t="shared" si="55"/>
        <v>0</v>
      </c>
      <c r="EL15" s="30" t="e">
        <f>PI()*EL$12*$Q15*($B15-$B14)/($G15*$B$5)/10+EN14</f>
        <v>#N/A</v>
      </c>
      <c r="EM15" s="30" t="e">
        <f>(PI()*EM$12*$Q15*($B15-$B14))/($H15*$B$5)/10+EN14</f>
        <v>#N/A</v>
      </c>
      <c r="EN15" s="31" t="e">
        <f>IF(OR(Hypothèses!$B$4=17,Hypothèses!$B$4=18,Hypothèses!$B$4=19,Hypothèses!$B$4=20),
IF($D15="Pressio.",
IF(OR($E15=3,$E15=1,$E15=4),EM15,EL15),
IF($D15="Pénétro.",
IF(OR($E15=3,$E15=1,$E15=4),EM15,EL15))),IF($D15="Pressio.",
IF($E15=3,EM15,EL15),
IF($D15="Pénétro.",
IF($E15=4,EM15,EL15))))</f>
        <v>#N/A</v>
      </c>
      <c r="EO15" s="31">
        <v>0</v>
      </c>
      <c r="EP15" s="102" t="e">
        <f>IF(NDC!$H$10="Oui",(VLOOKUP($B$3,'Coeff EC7'!$T$39:$X$59,2,0)*EN15+VLOOKUP($B$3,'Coeff EC7'!$T$65:$X$85,2,0)*Model0.1T!EO15)/1.5,PI()*EL$12*$Q15*($B15-$B14)*0.15/10+EP14)</f>
        <v>#N/A</v>
      </c>
      <c r="EQ15" s="102" t="e">
        <f>(VLOOKUP($B$3,'Coeff EC7'!$T$39:$X$59,3,0)*EN15+VLOOKUP($B$3,'Coeff EC7'!$T$65:$X$85,3,0)*Model0.1T!EO15)/1.1</f>
        <v>#N/A</v>
      </c>
      <c r="ER15" s="102" t="e">
        <f t="shared" ref="ER15:ER78" si="94">EN15/1.15+EO15/1.15</f>
        <v>#N/A</v>
      </c>
      <c r="ES15" s="102" t="e">
        <f t="shared" ref="ES15:ES78" si="95">(EN15+EO15)/1.05</f>
        <v>#N/A</v>
      </c>
      <c r="ET15" s="414" t="e">
        <f>IF(AND(EP15&gt;NDC!$C$63,EQ15&gt;NDC!$C$65,ER15&gt;NDC!$D$73,ES15&gt;NDC!$D$74,$B15&gt;NDC!$H$22-0.1+MIN(3*ET$12,1.5)),0,1)</f>
        <v>#N/A</v>
      </c>
      <c r="EU15" s="86" t="b">
        <f t="shared" si="58"/>
        <v>0</v>
      </c>
      <c r="EV15" s="86">
        <f t="shared" si="59"/>
        <v>0.61</v>
      </c>
      <c r="EW15" s="86">
        <f t="shared" si="60"/>
        <v>0.61</v>
      </c>
      <c r="EX15" s="30" t="e">
        <f t="shared" ref="EX15:EX78" ca="1" si="96">AVERAGE(OFFSET($F15, -10*EW15, 0,10*EW15, 1), OFFSET($F15, 1, 0, 30*EV15, 1))</f>
        <v>#DIV/0!</v>
      </c>
      <c r="EY15" s="85" t="e">
        <f ca="1">IF(EE15&lt;=Hypothèses!$V$7,Hypothèses!$W$7,IF(EE15&lt;=Hypothèses!$V$8,Hypothèses!$W$8,IF(EE15&lt;=Hypothèses!$V$9,Hypothèses!$W$9,IF(EE15&lt;=Hypothèses!$V$10,Hypothèses!$W$10,IF(EE15&lt;=Hypothèses!$V$11,Hypothèses!$W$11,IF(EE15&lt;=Hypothèses!$V$12,Hypothèses!$W$12,IF(EE15&lt;=Hypothèses!$V$13,Hypothèses!$W$13,IF(EE15&lt;=Hypothèses!$V$14,Hypothèses!$W$14,IF(EE15&lt;=Hypothèses!$V$15,Hypothèses!$W$15,IF(EE15&lt;=Hypothèses!$V$16,Hypothèses!$W$16,IF(EE15&lt;=Hypothèses!$V$17,Hypothèses!$W$17,IF(EE15&lt;=Hypothèses!$V$18,Hypothèses!$W$18,""))))))))))))</f>
        <v>#DIV/0!</v>
      </c>
      <c r="EZ15" s="87" t="e">
        <f ca="1">IF(EY15&lt;&gt;"",EY15,EX15)</f>
        <v>#DIV/0!</v>
      </c>
      <c r="FA15" s="88" t="e">
        <f ca="1">IF(EE15&lt;=Hypothèses!$V$7,Hypothèses!$X$7,IF(EE15&lt;=Hypothèses!$V$8,Hypothèses!$X$8,IF(EE15&lt;=Hypothèses!$V$9,Hypothèses!$X$9,IF(EE15&lt;=Hypothèses!$V$10,Hypothèses!$X$10,IF(EE15&lt;=Hypothèses!$V$11,Hypothèses!$X$11,IF(EE15&lt;=Hypothèses!$V$12,Hypothèses!$X$12,IF(EE15&lt;=Hypothèses!$V$13,Hypothèses!$X$13,IF(EE15&lt;=Hypothèses!$V$14,Hypothèses!$X$14,IF(EE15&lt;=Hypothèses!$V$15,Hypothèses!$X$15,IF(EE15&lt;=Hypothèses!$V$16,Hypothèses!$X$16,IF(EE15&lt;=Hypothèses!$U$17,Hypothèses!$W$17,IF(EE15&lt;=Hypothèses!$U$18,Hypothèses!$W$18,""))))))))))))</f>
        <v>#DIV/0!</v>
      </c>
      <c r="FB15" s="95" t="e">
        <f t="shared" ref="FB15:FB78" ca="1" si="97">IF($B15&lt;10*$FL$12,0.1/EZ15*SUM(OFFSET(F15,-10*$B15+1,0,10*$B15,1)),0.1/EZ15*SUM(OFFSET(F15,-100*$FL$12+1,0,100*$FL$12,1)))</f>
        <v>#DIV/0!</v>
      </c>
      <c r="FC15" s="101">
        <f t="shared" si="61"/>
        <v>0</v>
      </c>
      <c r="FD15" s="91">
        <f t="shared" si="62"/>
        <v>0</v>
      </c>
      <c r="FE15" s="30" t="e">
        <f>PI()*FE$12*$Q15*($B15-$B14)/($G15*$B$5)/10+FG14</f>
        <v>#N/A</v>
      </c>
      <c r="FF15" s="30" t="e">
        <f>(PI()*FF$12*$Q15*($B15-$B14))/($H15*$B$5)/10+FG14</f>
        <v>#N/A</v>
      </c>
      <c r="FG15" s="31" t="e">
        <f>IF(OR(Hypothèses!$B$4=17,Hypothèses!$B$4=18,Hypothèses!$B$4=19,Hypothèses!$B$4=20),
IF($D15="Pressio.",
IF(OR($E15=3,$E15=1,$E15=4),FF15,FE15),
IF($D15="Pénétro.",
IF(OR($E15=3,$E15=1,$E15=4),FF15,FE15))),IF($D15="Pressio.",
IF($E15=3,FF15,FE15),
IF($D15="Pénétro.",
IF($E15=4,FF15,FE15))))</f>
        <v>#N/A</v>
      </c>
      <c r="FH15" s="31">
        <v>0</v>
      </c>
      <c r="FI15" s="102" t="e">
        <f>IF(NDC!$H$10="Oui",(VLOOKUP($B$3,'Coeff EC7'!$T$39:$X$59,2,0)*FG15+VLOOKUP($B$3,'Coeff EC7'!$T$65:$X$85,2,0)*Model0.1T!FH15)/1.5,PI()*FE$12*$Q15*($B15-$B14)*0.15/10+FI14)</f>
        <v>#N/A</v>
      </c>
      <c r="FJ15" s="102" t="e">
        <f>(VLOOKUP($B$3,'Coeff EC7'!$T$39:$X$59,3,0)*FG15+VLOOKUP($B$3,'Coeff EC7'!$T$65:$X$85,3,0)*Model0.1T!FH15)/1.1</f>
        <v>#N/A</v>
      </c>
      <c r="FK15" s="102" t="e">
        <f t="shared" ref="FK15:FK78" si="98">FG15/1.15+FH15/1.15</f>
        <v>#N/A</v>
      </c>
      <c r="FL15" s="102" t="e">
        <f t="shared" ref="FL15:FL78" si="99">(FG15+FH15)/1.05</f>
        <v>#N/A</v>
      </c>
      <c r="FM15" s="414" t="e">
        <f>IF(AND(FI15&gt;NDC!$C$63,FJ15&gt;NDC!$C$65,FK15&gt;NDC!$D$73,FL15&gt;NDC!$D$74,$B15&gt;NDC!$H$22-0.1+MIN(3*FM$12,1.5)),0,1)</f>
        <v>#N/A</v>
      </c>
    </row>
    <row r="16" spans="1:169">
      <c r="A16" s="96">
        <f t="shared" si="65"/>
        <v>99.700000000000017</v>
      </c>
      <c r="B16" s="97">
        <v>0.3</v>
      </c>
      <c r="C16" s="81">
        <f>IF(B16&lt;=Hypothèses!$C$7,Hypothèses!$A$7,IF(B16&lt;=Hypothèses!$C$8,Hypothèses!$A$8,IF(B16&lt;=Hypothèses!$C$9,Hypothèses!$A$9,IF(B16&lt;=Hypothèses!$C$10,Hypothèses!$A$10,IF(B16&lt;=Hypothèses!$C$11,Hypothèses!$A$11,IF(B16&lt;=Hypothèses!$C$12,Hypothèses!$A$12,IF(B16&lt;=Hypothèses!$C$13,Hypothèses!$A$13,IF(B16&lt;=Hypothèses!$C$14,Hypothèses!$A$14,IF(B16&lt;=Hypothèses!$C$15,Hypothèses!$A$15,IF(B16&lt;=Hypothèses!$C$16,Hypothèses!$A$16,IF(B16&lt;=Hypothèses!$C$17,Hypothèses!$A$17,IF(B16&lt;=Hypothèses!$C$18,Hypothèses!$A$18,C15))))))))))))</f>
        <v>11</v>
      </c>
      <c r="D16" s="82" t="str">
        <f>IF(B16&lt;=Hypothèses!$C$7,Hypothèses!$R$7,IF(B16&lt;=Hypothèses!$C$8,Hypothèses!$R$8,IF(B16&lt;=Hypothèses!$C$9,Hypothèses!$R$9,IF(B16&lt;=Hypothèses!$C$10,Hypothèses!$R$10,IF(B16&lt;=Hypothèses!$C$11,Hypothèses!$R$11,IF(B16&lt;=Hypothèses!$C$12,Hypothèses!$R$12,IF(B16&lt;=Hypothèses!$C$13,Hypothèses!$R$13,IF(B16&lt;=Hypothèses!$C$14,Hypothèses!$R$14,IF(B16&lt;=Hypothèses!$C$15,Hypothèses!$R$15,IF(B16&lt;=Hypothèses!$C$16,Hypothèses!$R$16,IF(B16&lt;=Hypothèses!$C$17,Hypothèses!$R$17,IF(B16&lt;=Hypothèses!$C$18,Hypothèses!$R$18,D15))))))))))))</f>
        <v>Pressio.</v>
      </c>
      <c r="E16" s="82" t="e">
        <f>IF(B16&lt;=Hypothèses!$C$7,Hypothèses!$G$7,IF(B16&lt;=Hypothèses!$C$8,Hypothèses!$G$8,IF(B16&lt;=Hypothèses!$C$9,Hypothèses!$G$9,IF(B16&lt;=Hypothèses!$C$10,Hypothèses!$G$10,IF(B16&lt;=Hypothèses!$C$11,Hypothèses!$G$11,IF(B16&lt;=Hypothèses!$C$12,Hypothèses!$G$12,IF(B16&lt;=Hypothèses!$C$13,Hypothèses!$G$13,IF(B16&lt;=Hypothèses!$C$14,Hypothèses!$G$14,IF(B16&lt;=Hypothèses!$C$15,Hypothèses!$G$15,IF(B16&lt;=Hypothèses!$C$16,Hypothèses!$G$16,IF(B16&lt;=Hypothèses!$C$17,Hypothèses!$G$17,IF(B16&lt;=Hypothèses!$C$18,Hypothèses!$G$18,E15))))))))))))</f>
        <v>#N/A</v>
      </c>
      <c r="F16" s="82" t="str">
        <f>IF(B16&lt;=Hypothèses!$C$7,Hypothèses!$F$7,IF(B16&lt;=Hypothèses!$C$8,Hypothèses!$F$8,IF(B16&lt;=Hypothèses!$C$9,Hypothèses!$F$9,IF(B16&lt;=Hypothèses!$C$10,Hypothèses!$F$10,IF(B16&lt;=Hypothèses!$C$11,Hypothèses!$F$11,IF(B16&lt;=Hypothèses!$C$12,Hypothèses!$F$12,IF(B16&lt;=Hypothèses!$C$13,Hypothèses!$F$13,IF(B16&lt;=Hypothèses!$C$14,Hypothèses!$F$14,IF(B16&lt;=Hypothèses!$C$15,Hypothèses!$F$15,IF(B16&lt;=Hypothèses!$C$16,Hypothèses!$F$16,IF(B16&lt;=Hypothèses!$C$17,Hypothèses!$F$17,IF(B16&lt;=Hypothèses!$C$18,Hypothèses!$F$18,F15))))))))))))</f>
        <v/>
      </c>
      <c r="G16" s="91">
        <f t="array" ref="G16">INDEX('Coeff EC7'!$U$7:$X$27,
MATCH(Model0.1T!$B$3,'Coeff EC7'!$T$7:$T$27,0),
MATCH(Model0.1T!$D16&amp;Model0.1T!$B$4,
'Coeff EC7'!$U$6:$X$6&amp;
'Coeff EC7'!$U$5:$X$5,0))</f>
        <v>1.4</v>
      </c>
      <c r="H16" s="91">
        <f t="array" ref="H16">INDEX('Coeff EC7'!$Y$7:$AB$27,
MATCH(Model0.1T!$B$3,'Coeff EC7'!$T$7:$T$27,0),
MATCH(Model0.1T!$D16&amp;Model0.1T!$B$4,
'Coeff EC7'!$Y$6:$AB$6&amp;
'Coeff EC7'!$Y$5:$AB$5,0))</f>
        <v>1.7</v>
      </c>
      <c r="I16" s="83">
        <v>0</v>
      </c>
      <c r="J16" s="91" t="e">
        <f t="array" ref="J16">INDEX('Coeff EC7'!$D$33:$Q$33,1,MATCH(D16&amp;E16,'Coeff EC7'!$D$31:$Q$31&amp;'Coeff EC7'!$D$32:$Q$32,0))</f>
        <v>#N/A</v>
      </c>
      <c r="K16" s="91" t="e">
        <f t="array" ref="K16">INDEX('Coeff EC7'!$D$34:$Q$34,1,MATCH(D16&amp;E16,'Coeff EC7'!$D$31:$Q$31&amp;'Coeff EC7'!$D$32:$Q$32,0))</f>
        <v>#N/A</v>
      </c>
      <c r="L16" s="91" t="e">
        <f t="array" ref="L16">INDEX('Coeff EC7'!$D$35:$Q$35,1,MATCH(D16&amp;E16,'Coeff EC7'!$D$31:$Q$31&amp;'Coeff EC7'!$D$32:$Q$32,0))</f>
        <v>#N/A</v>
      </c>
      <c r="M16" s="98" t="e">
        <f t="shared" si="8"/>
        <v>#N/A</v>
      </c>
      <c r="N16" s="99" t="e">
        <f t="array" ref="N16">INDEX('Coeff EC7'!$D$7:$Q$27,MATCH($B$3,'Coeff EC7'!$C$7:$C$27,0),MATCH(D16&amp;E16,'Coeff EC7'!$D$5:$Q$5&amp;'Coeff EC7'!$D$6:$Q$6,0))</f>
        <v>#N/A</v>
      </c>
      <c r="O16" s="99" t="e">
        <f t="array" ref="O16">INDEX('Coeff EC7'!$D$41:$Q$61,MATCH($B$3,'Coeff EC7'!$C$41:$C$61,0),MATCH(D16&amp;E16,'Coeff EC7'!$D$39:$Q$39&amp;'Coeff EC7'!$D$40:$Q$40,0))</f>
        <v>#N/A</v>
      </c>
      <c r="P16" s="30" t="e">
        <f t="shared" si="66"/>
        <v>#N/A</v>
      </c>
      <c r="Q16" s="100" t="e">
        <f t="shared" si="10"/>
        <v>#N/A</v>
      </c>
      <c r="R16" s="86" t="b">
        <f t="shared" si="11"/>
        <v>0</v>
      </c>
      <c r="S16" s="86">
        <f t="shared" si="9"/>
        <v>0.5</v>
      </c>
      <c r="T16" s="86">
        <f t="shared" si="12"/>
        <v>0.5</v>
      </c>
      <c r="U16" s="30" t="e">
        <f t="shared" ca="1" si="67"/>
        <v>#DIV/0!</v>
      </c>
      <c r="V16" s="85" t="str">
        <f>IF(B16&lt;=Hypothèses!$V$7,Hypothèses!$W$7,IF(B16&lt;=Hypothèses!$V$8,Hypothèses!$W$8,IF(B16&lt;=Hypothèses!$V$9,Hypothèses!$W$9,IF(B16&lt;=Hypothèses!$V$10,Hypothèses!$W$10,IF(B16&lt;=Hypothèses!$V$11,Hypothèses!$W$11,IF(B16&lt;=Hypothèses!$V$12,Hypothèses!$W$12,IF(B16&lt;=Hypothèses!$V$13,Hypothèses!$W$13,IF(B16&lt;=Hypothèses!$V$14,Hypothèses!$W$14,IF(B16&lt;=Hypothèses!$V$15,Hypothèses!$W$15,IF(B16&lt;=Hypothèses!$V$16,Hypothèses!$W$16,IF(B16&lt;=Hypothèses!$V$17,Hypothèses!$W$17,IF(B16&lt;=Hypothèses!$V$18,Hypothèses!$W$18,""))))))))))))</f>
        <v/>
      </c>
      <c r="W16" s="87" t="e">
        <f ca="1">IF(V16&lt;&gt;"",V16,U16)</f>
        <v>#DIV/0!</v>
      </c>
      <c r="X16" s="88" t="str">
        <f>IF(B16&lt;=Hypothèses!$V$7,Hypothèses!$X$7,IF(B16&lt;=Hypothèses!$V$8,Hypothèses!$X$8,IF(B16&lt;=Hypothèses!$V$9,Hypothèses!$X$9,IF(B16&lt;=Hypothèses!$V$10,Hypothèses!$X$10,IF(B16&lt;=Hypothèses!$V$11,Hypothèses!$X$11,IF(B16&lt;=Hypothèses!$V$12,Hypothèses!$X$12,IF(B16&lt;=Hypothèses!$V$13,Hypothèses!$X$13,IF(B16&lt;=Hypothèses!$V$14,Hypothèses!$X$14,IF(B16&lt;=Hypothèses!$V$15,Hypothèses!$X$15,IF(B16&lt;=Hypothèses!$V$16,Hypothèses!$X$16,IF(B16&lt;=Hypothèses!$U$17,Hypothèses!$W$17,IF(B16&lt;=Hypothèses!$U$18,Hypothèses!$W$18,""))))))))))))</f>
        <v/>
      </c>
      <c r="Y16" s="95" t="e">
        <f t="shared" ca="1" si="13"/>
        <v>#DIV/0!</v>
      </c>
      <c r="Z16" s="101">
        <f t="shared" si="14"/>
        <v>0</v>
      </c>
      <c r="AA16" s="91">
        <f t="shared" si="15"/>
        <v>0</v>
      </c>
      <c r="AB16" s="30" t="e">
        <f t="shared" ref="AB16:AB79" si="100">PI()*AB$12*$Q16*($B16-$B15)/($G16*$B$5)/10+AD15</f>
        <v>#N/A</v>
      </c>
      <c r="AC16" s="30" t="e">
        <f t="shared" ref="AC16:AC79" si="101">(PI()*AC$12*$Q16*($B16-$B15))/($H16*$B$5)/10+AD15</f>
        <v>#N/A</v>
      </c>
      <c r="AD16" s="31" t="e">
        <f>IF(OR(Hypothèses!$B$4=17,Hypothèses!$B$4=18,Hypothèses!$B$4=19,Hypothèses!$B$4=20),
IF($D16="Pressio.",
IF(OR($E16=3,$E16=1,$E16=4),AC16,AB16),
IF($D16="Pénétro.",
IF(OR($E16=3,$E16=1,$E16=4),AC16,AB16))),IF($D16="Pressio.",
IF($E16=3,AC16,AB16),
IF($D16="Pénétro.",
IF($E16=4,AC16,AB16))))</f>
        <v>#N/A</v>
      </c>
      <c r="AE16" s="31">
        <v>0</v>
      </c>
      <c r="AF16" s="102" t="e">
        <f>IF(NDC!$H$10="Oui",(VLOOKUP($B$3,'Coeff EC7'!$T$39:$X$59,2,0)*AD16+VLOOKUP($B$3,'Coeff EC7'!$T$65:$X$85,2,0)*Model0.1T!AE16)/1.5,PI()*AB$12*$Q16*($B16-$B15)*0.15/10+AF15)</f>
        <v>#N/A</v>
      </c>
      <c r="AG16" s="102" t="e">
        <f>(VLOOKUP($B$3,'Coeff EC7'!$T$39:$X$59,3,0)*AD16+VLOOKUP($B$3,'Coeff EC7'!$T$65:$X$85,3,0)*Model0.1T!AE16)/1.1</f>
        <v>#N/A</v>
      </c>
      <c r="AH16" s="102" t="e">
        <f t="shared" si="68"/>
        <v>#N/A</v>
      </c>
      <c r="AI16" s="102" t="e">
        <f t="shared" si="69"/>
        <v>#N/A</v>
      </c>
      <c r="AJ16" s="414" t="e">
        <f>IF(AND(AF16&gt;NDC!$C$63,AG16&gt;NDC!$C$65,AH16&gt;NDC!$D$73,AI16&gt;NDC!$D$74,$B16&gt;NDC!$H$22-0.1+MIN(3*$AJ$12,1.5)),0,1)</f>
        <v>#N/A</v>
      </c>
      <c r="AK16" s="86" t="b">
        <f t="shared" si="18"/>
        <v>0</v>
      </c>
      <c r="AL16" s="86">
        <f t="shared" si="70"/>
        <v>0.5</v>
      </c>
      <c r="AM16" s="86">
        <f t="shared" si="19"/>
        <v>0.5</v>
      </c>
      <c r="AN16" s="30" t="e">
        <f t="shared" ca="1" si="71"/>
        <v>#DIV/0!</v>
      </c>
      <c r="AO16" s="85" t="e">
        <f ca="1">IF(U16&lt;=Hypothèses!$V$7,Hypothèses!$W$7,IF(U16&lt;=Hypothèses!$V$8,Hypothèses!$W$8,IF(U16&lt;=Hypothèses!$V$9,Hypothèses!$W$9,IF(U16&lt;=Hypothèses!$V$10,Hypothèses!$W$10,IF(U16&lt;=Hypothèses!$V$11,Hypothèses!$W$11,IF(U16&lt;=Hypothèses!$V$12,Hypothèses!$W$12,IF(U16&lt;=Hypothèses!$V$13,Hypothèses!$W$13,IF(U16&lt;=Hypothèses!$V$14,Hypothèses!$W$14,IF(U16&lt;=Hypothèses!$V$15,Hypothèses!$W$15,IF(U16&lt;=Hypothèses!$V$16,Hypothèses!$W$16,IF(U16&lt;=Hypothèses!$V$17,Hypothèses!$W$17,IF(U16&lt;=Hypothèses!$V$18,Hypothèses!$W$18,""))))))))))))</f>
        <v>#DIV/0!</v>
      </c>
      <c r="AP16" s="87" t="e">
        <f ca="1">IF(AO16&lt;&gt;"",AO16,AN16)</f>
        <v>#DIV/0!</v>
      </c>
      <c r="AQ16" s="88" t="e">
        <f ca="1">IF(U16&lt;=Hypothèses!$V$7,Hypothèses!$X$7,IF(U16&lt;=Hypothèses!$V$8,Hypothèses!$X$8,IF(U16&lt;=Hypothèses!$V$9,Hypothèses!$X$9,IF(U16&lt;=Hypothèses!$V$10,Hypothèses!$X$10,IF(U16&lt;=Hypothèses!$V$11,Hypothèses!$X$11,IF(U16&lt;=Hypothèses!$V$12,Hypothèses!$X$12,IF(U16&lt;=Hypothèses!$V$13,Hypothèses!$X$13,IF(U16&lt;=Hypothèses!$V$14,Hypothèses!$X$14,IF(U16&lt;=Hypothèses!$V$15,Hypothèses!$X$15,IF(U16&lt;=Hypothèses!$V$16,Hypothèses!$X$16,IF(U16&lt;=Hypothèses!$U$17,Hypothèses!$W$17,IF(U16&lt;=Hypothèses!$U$18,Hypothèses!$W$18,""))))))))))))</f>
        <v>#DIV/0!</v>
      </c>
      <c r="AR16" s="95" t="e">
        <f t="shared" ca="1" si="72"/>
        <v>#DIV/0!</v>
      </c>
      <c r="AS16" s="101">
        <f t="shared" si="20"/>
        <v>0</v>
      </c>
      <c r="AT16" s="91">
        <f t="shared" si="21"/>
        <v>0</v>
      </c>
      <c r="AU16" s="30" t="e">
        <f t="shared" ref="AU16:AU79" si="102">PI()*AU$12*$Q16*($B16-$B15)/($G16*$B$5)/10+AW15</f>
        <v>#N/A</v>
      </c>
      <c r="AV16" s="30" t="e">
        <f t="shared" ref="AV16:AV79" si="103">(PI()*AV$12*$Q16*($B16-$B15))/($H16*$B$5)/10+AW15</f>
        <v>#N/A</v>
      </c>
      <c r="AW16" s="31" t="e">
        <f>IF(OR(Hypothèses!$B$4=17,Hypothèses!$B$4=18,Hypothèses!$B$4=19,Hypothèses!$B$4=20),
IF($D16="Pressio.",
IF(OR($E16=3,$E16=1,$E16=4),AV16,AU16),
IF($D16="Pénétro.",
IF(OR($E16=3,$E16=1,$E16=4),AV16,AU16))),IF($D16="Pressio.",
IF($E16=3,AV16,AU16),
IF($D16="Pénétro.",
IF($E16=4,AV16,AU16))))</f>
        <v>#N/A</v>
      </c>
      <c r="AX16" s="31">
        <v>0</v>
      </c>
      <c r="AY16" s="102" t="e">
        <f>IF(NDC!$H$10="Oui",(VLOOKUP($B$3,'Coeff EC7'!$T$39:$X$59,2,0)*AW16+VLOOKUP($B$3,'Coeff EC7'!$T$65:$X$85,2,0)*Model0.1T!AX16)/1.5,PI()*AU$12*$Q16*($B16-$B15)*0.15/10+AY15)</f>
        <v>#N/A</v>
      </c>
      <c r="AZ16" s="102" t="e">
        <f>(VLOOKUP($B$3,'Coeff EC7'!$T$39:$X$59,3,0)*AW16+VLOOKUP($B$3,'Coeff EC7'!$T$65:$X$85,3,0)*Model0.1T!AX16)/1.1</f>
        <v>#N/A</v>
      </c>
      <c r="BA16" s="102" t="e">
        <f t="shared" si="73"/>
        <v>#N/A</v>
      </c>
      <c r="BB16" s="102" t="e">
        <f t="shared" si="74"/>
        <v>#N/A</v>
      </c>
      <c r="BC16" s="414" t="e">
        <f>IF(AND(AY16&gt;NDC!$C$63,AZ16&gt;NDC!$C$65,BA16&gt;NDC!$D$73,BB16&gt;NDC!$D$74,$B16&gt;NDC!$H$22-0.1+MIN(3*BC$12,1.5)),0,1)</f>
        <v>#N/A</v>
      </c>
      <c r="BD16" s="86" t="b">
        <f t="shared" si="24"/>
        <v>0</v>
      </c>
      <c r="BE16" s="86">
        <f t="shared" si="75"/>
        <v>0.5</v>
      </c>
      <c r="BF16" s="86">
        <f t="shared" si="25"/>
        <v>0.5</v>
      </c>
      <c r="BG16" s="30" t="e">
        <f t="shared" ca="1" si="76"/>
        <v>#DIV/0!</v>
      </c>
      <c r="BH16" s="85" t="e">
        <f ca="1">IF(AN16&lt;=Hypothèses!$V$7,Hypothèses!$W$7,IF(AN16&lt;=Hypothèses!$V$8,Hypothèses!$W$8,IF(AN16&lt;=Hypothèses!$V$9,Hypothèses!$W$9,IF(AN16&lt;=Hypothèses!$V$10,Hypothèses!$W$10,IF(AN16&lt;=Hypothèses!$V$11,Hypothèses!$W$11,IF(AN16&lt;=Hypothèses!$V$12,Hypothèses!$W$12,IF(AN16&lt;=Hypothèses!$V$13,Hypothèses!$W$13,IF(AN16&lt;=Hypothèses!$V$14,Hypothèses!$W$14,IF(AN16&lt;=Hypothèses!$V$15,Hypothèses!$W$15,IF(AN16&lt;=Hypothèses!$V$16,Hypothèses!$W$16,IF(AN16&lt;=Hypothèses!$V$17,Hypothèses!$W$17,IF(AN16&lt;=Hypothèses!$V$18,Hypothèses!$W$18,""))))))))))))</f>
        <v>#DIV/0!</v>
      </c>
      <c r="BI16" s="87" t="e">
        <f ca="1">IF(BH16&lt;&gt;"",BH16,BG16)</f>
        <v>#DIV/0!</v>
      </c>
      <c r="BJ16" s="88" t="e">
        <f ca="1">IF(AN16&lt;=Hypothèses!$V$7,Hypothèses!$X$7,IF(AN16&lt;=Hypothèses!$V$8,Hypothèses!$X$8,IF(AN16&lt;=Hypothèses!$V$9,Hypothèses!$X$9,IF(AN16&lt;=Hypothèses!$V$10,Hypothèses!$X$10,IF(AN16&lt;=Hypothèses!$V$11,Hypothèses!$X$11,IF(AN16&lt;=Hypothèses!$V$12,Hypothèses!$X$12,IF(AN16&lt;=Hypothèses!$V$13,Hypothèses!$X$13,IF(AN16&lt;=Hypothèses!$V$14,Hypothèses!$X$14,IF(AN16&lt;=Hypothèses!$V$15,Hypothèses!$X$15,IF(AN16&lt;=Hypothèses!$V$16,Hypothèses!$X$16,IF(AN16&lt;=Hypothèses!$U$17,Hypothèses!$W$17,IF(AN16&lt;=Hypothèses!$U$18,Hypothèses!$W$18,""))))))))))))</f>
        <v>#DIV/0!</v>
      </c>
      <c r="BK16" s="95" t="e">
        <f t="shared" ca="1" si="77"/>
        <v>#DIV/0!</v>
      </c>
      <c r="BL16" s="101">
        <f t="shared" si="26"/>
        <v>0</v>
      </c>
      <c r="BM16" s="91">
        <f t="shared" si="27"/>
        <v>0</v>
      </c>
      <c r="BN16" s="30" t="e">
        <f t="shared" ref="BN16:BN79" si="104">PI()*BN$12*$Q16*($B16-$B15)/($G16*$B$5)/10+BP15</f>
        <v>#N/A</v>
      </c>
      <c r="BO16" s="30" t="e">
        <f t="shared" ref="BO16:BO79" si="105">(PI()*BO$12*$Q16*($B16-$B15))/($H16*$B$5)/10+BP15</f>
        <v>#N/A</v>
      </c>
      <c r="BP16" s="31" t="e">
        <f>IF(OR(Hypothèses!$B$4=17,Hypothèses!$B$4=18,Hypothèses!$B$4=19,Hypothèses!$B$4=20),
IF($D16="Pressio.",
IF(OR($E16=3,$E16=1,$E16=4),BO16,BN16),
IF($D16="Pénétro.",
IF(OR($E16=3,$E16=1,$E16=4),BO16,BN16))),IF($D16="Pressio.",
IF($E16=3,BO16,BN16),
IF($D16="Pénétro.",
IF($E16=4,BO16,BN16))))</f>
        <v>#N/A</v>
      </c>
      <c r="BQ16" s="31">
        <v>0</v>
      </c>
      <c r="BR16" s="102" t="e">
        <f>IF(NDC!$H$10="Oui",(VLOOKUP($B$3,'Coeff EC7'!$T$39:$X$59,2,0)*BP16+VLOOKUP($B$3,'Coeff EC7'!$T$65:$X$85,2,0)*Model0.1T!BQ16)/1.5,PI()*BN$12*$Q16*($B16-$B15)*0.15/10+BR15)</f>
        <v>#N/A</v>
      </c>
      <c r="BS16" s="102" t="e">
        <f>(VLOOKUP($B$3,'Coeff EC7'!$T$39:$X$59,3,0)*BP16+VLOOKUP($B$3,'Coeff EC7'!$T$65:$X$85,3,0)*Model0.1T!BQ16)/1.1</f>
        <v>#N/A</v>
      </c>
      <c r="BT16" s="102" t="e">
        <f t="shared" si="78"/>
        <v>#N/A</v>
      </c>
      <c r="BU16" s="102" t="e">
        <f t="shared" si="79"/>
        <v>#N/A</v>
      </c>
      <c r="BV16" s="414" t="e">
        <f>IF(AND(BR16&gt;NDC!$C$63,BS16&gt;NDC!$C$65,BT16&gt;NDC!$D$73,BU16&gt;NDC!$D$74,$B16&gt;NDC!$H$22-0.1+MIN(3*BV$12,1.5)),0,1)</f>
        <v>#N/A</v>
      </c>
      <c r="BW16" s="86" t="b">
        <f t="shared" si="30"/>
        <v>0</v>
      </c>
      <c r="BX16" s="86">
        <f t="shared" si="31"/>
        <v>0.5</v>
      </c>
      <c r="BY16" s="86">
        <f t="shared" si="32"/>
        <v>0.5</v>
      </c>
      <c r="BZ16" s="30" t="e">
        <f t="shared" ca="1" si="80"/>
        <v>#DIV/0!</v>
      </c>
      <c r="CA16" s="85" t="e">
        <f ca="1">IF(BG16&lt;=Hypothèses!$V$7,Hypothèses!$W$7,IF(BG16&lt;=Hypothèses!$V$8,Hypothèses!$W$8,IF(BG16&lt;=Hypothèses!$V$9,Hypothèses!$W$9,IF(BG16&lt;=Hypothèses!$V$10,Hypothèses!$W$10,IF(BG16&lt;=Hypothèses!$V$11,Hypothèses!$W$11,IF(BG16&lt;=Hypothèses!$V$12,Hypothèses!$W$12,IF(BG16&lt;=Hypothèses!$V$13,Hypothèses!$W$13,IF(BG16&lt;=Hypothèses!$V$14,Hypothèses!$W$14,IF(BG16&lt;=Hypothèses!$V$15,Hypothèses!$W$15,IF(BG16&lt;=Hypothèses!$V$16,Hypothèses!$W$16,IF(BG16&lt;=Hypothèses!$V$17,Hypothèses!$W$17,IF(BG16&lt;=Hypothèses!$V$18,Hypothèses!$W$18,""))))))))))))</f>
        <v>#DIV/0!</v>
      </c>
      <c r="CB16" s="87" t="e">
        <f ca="1">IF(CA16&lt;&gt;"",CA16,BZ16)</f>
        <v>#DIV/0!</v>
      </c>
      <c r="CC16" s="88" t="e">
        <f ca="1">IF(BG16&lt;=Hypothèses!$V$7,Hypothèses!$X$7,IF(BG16&lt;=Hypothèses!$V$8,Hypothèses!$X$8,IF(BG16&lt;=Hypothèses!$V$9,Hypothèses!$X$9,IF(BG16&lt;=Hypothèses!$V$10,Hypothèses!$X$10,IF(BG16&lt;=Hypothèses!$V$11,Hypothèses!$X$11,IF(BG16&lt;=Hypothèses!$V$12,Hypothèses!$X$12,IF(BG16&lt;=Hypothèses!$V$13,Hypothèses!$X$13,IF(BG16&lt;=Hypothèses!$V$14,Hypothèses!$X$14,IF(BG16&lt;=Hypothèses!$V$15,Hypothèses!$X$15,IF(BG16&lt;=Hypothèses!$V$16,Hypothèses!$X$16,IF(BG16&lt;=Hypothèses!$U$17,Hypothèses!$W$17,IF(BG16&lt;=Hypothèses!$U$18,Hypothèses!$W$18,""))))))))))))</f>
        <v>#DIV/0!</v>
      </c>
      <c r="CD16" s="95" t="e">
        <f t="shared" ca="1" si="81"/>
        <v>#DIV/0!</v>
      </c>
      <c r="CE16" s="101">
        <f t="shared" si="33"/>
        <v>0</v>
      </c>
      <c r="CF16" s="91">
        <f t="shared" si="34"/>
        <v>0</v>
      </c>
      <c r="CG16" s="30" t="e">
        <f t="shared" ref="CG16:CG79" si="106">PI()*CG$12*$Q16*($B16-$B15)/($G16*$B$5)/10+CI15</f>
        <v>#N/A</v>
      </c>
      <c r="CH16" s="30" t="e">
        <f t="shared" ref="CH16:CH79" si="107">(PI()*CH$12*$Q16*($B16-$B15))/($H16*$B$5)/10+CI15</f>
        <v>#N/A</v>
      </c>
      <c r="CI16" s="31" t="e">
        <f>IF(OR(Hypothèses!$B$4=17,Hypothèses!$B$4=18,Hypothèses!$B$4=19,Hypothèses!$B$4=20),
IF($D16="Pressio.",
IF(OR($E16=3,$E16=1,$E16=4),CH16,CG16),
IF($D16="Pénétro.",
IF(OR($E16=3,$E16=1,$E16=4),CH16,CG16))),IF($D16="Pressio.",
IF($E16=3,CH16,CG16),
IF($D16="Pénétro.",
IF($E16=4,CH16,CG16))))</f>
        <v>#N/A</v>
      </c>
      <c r="CJ16" s="31">
        <v>0</v>
      </c>
      <c r="CK16" s="102" t="e">
        <f>IF(NDC!$H$10="Oui",(VLOOKUP($B$3,'Coeff EC7'!$T$39:$X$59,2,0)*CI16+VLOOKUP($B$3,'Coeff EC7'!$T$65:$X$85,2,0)*Model0.1T!CJ16)/1.5,PI()*CG$12*$Q16*($B16-$B15)*0.15/10+CK15)</f>
        <v>#N/A</v>
      </c>
      <c r="CL16" s="102" t="e">
        <f>(VLOOKUP($B$3,'Coeff EC7'!$T$39:$X$59,3,0)*CI16+VLOOKUP($B$3,'Coeff EC7'!$T$65:$X$85,3,0)*Model0.1T!CJ16)/1.1</f>
        <v>#N/A</v>
      </c>
      <c r="CM16" s="102" t="e">
        <f t="shared" si="82"/>
        <v>#N/A</v>
      </c>
      <c r="CN16" s="102" t="e">
        <f t="shared" si="83"/>
        <v>#N/A</v>
      </c>
      <c r="CO16" s="414" t="e">
        <f>IF(AND(CK16&gt;NDC!$C$63,CL16&gt;NDC!$C$65,CM16&gt;NDC!$D$73,CN16&gt;NDC!$D$74,$B16&gt;NDC!$H$22-0.1+MIN(3*CO$12,1.5)),0,1)</f>
        <v>#N/A</v>
      </c>
      <c r="CP16" s="86" t="b">
        <f t="shared" si="37"/>
        <v>0</v>
      </c>
      <c r="CQ16" s="86">
        <f t="shared" si="38"/>
        <v>0.5</v>
      </c>
      <c r="CR16" s="86">
        <f t="shared" si="39"/>
        <v>0.5</v>
      </c>
      <c r="CS16" s="30" t="e">
        <f t="shared" ca="1" si="84"/>
        <v>#DIV/0!</v>
      </c>
      <c r="CT16" s="85" t="e">
        <f ca="1">IF(BZ16&lt;=Hypothèses!$V$7,Hypothèses!$W$7,IF(BZ16&lt;=Hypothèses!$V$8,Hypothèses!$W$8,IF(BZ16&lt;=Hypothèses!$V$9,Hypothèses!$W$9,IF(BZ16&lt;=Hypothèses!$V$10,Hypothèses!$W$10,IF(BZ16&lt;=Hypothèses!$V$11,Hypothèses!$W$11,IF(BZ16&lt;=Hypothèses!$V$12,Hypothèses!$W$12,IF(BZ16&lt;=Hypothèses!$V$13,Hypothèses!$W$13,IF(BZ16&lt;=Hypothèses!$V$14,Hypothèses!$W$14,IF(BZ16&lt;=Hypothèses!$V$15,Hypothèses!$W$15,IF(BZ16&lt;=Hypothèses!$V$16,Hypothèses!$W$16,IF(BZ16&lt;=Hypothèses!$V$17,Hypothèses!$W$17,IF(BZ16&lt;=Hypothèses!$V$18,Hypothèses!$W$18,""))))))))))))</f>
        <v>#DIV/0!</v>
      </c>
      <c r="CU16" s="87" t="e">
        <f ca="1">IF(CT16&lt;&gt;"",CT16,CS16)</f>
        <v>#DIV/0!</v>
      </c>
      <c r="CV16" s="88" t="e">
        <f ca="1">IF(BZ16&lt;=Hypothèses!$V$7,Hypothèses!$X$7,IF(BZ16&lt;=Hypothèses!$V$8,Hypothèses!$X$8,IF(BZ16&lt;=Hypothèses!$V$9,Hypothèses!$X$9,IF(BZ16&lt;=Hypothèses!$V$10,Hypothèses!$X$10,IF(BZ16&lt;=Hypothèses!$V$11,Hypothèses!$X$11,IF(BZ16&lt;=Hypothèses!$V$12,Hypothèses!$X$12,IF(BZ16&lt;=Hypothèses!$V$13,Hypothèses!$X$13,IF(BZ16&lt;=Hypothèses!$V$14,Hypothèses!$X$14,IF(BZ16&lt;=Hypothèses!$V$15,Hypothèses!$X$15,IF(BZ16&lt;=Hypothèses!$V$16,Hypothèses!$X$16,IF(BZ16&lt;=Hypothèses!$U$17,Hypothèses!$W$17,IF(BZ16&lt;=Hypothèses!$U$18,Hypothèses!$W$18,""))))))))))))</f>
        <v>#DIV/0!</v>
      </c>
      <c r="CW16" s="95" t="e">
        <f t="shared" ca="1" si="85"/>
        <v>#DIV/0!</v>
      </c>
      <c r="CX16" s="101">
        <f t="shared" si="40"/>
        <v>0</v>
      </c>
      <c r="CY16" s="91">
        <f t="shared" si="41"/>
        <v>0</v>
      </c>
      <c r="CZ16" s="30" t="e">
        <f t="shared" ref="CZ16:CZ79" si="108">PI()*CZ$12*$Q16*($B16-$B15)/($G16*$B$5)/10+DB15</f>
        <v>#N/A</v>
      </c>
      <c r="DA16" s="30" t="e">
        <f t="shared" ref="DA16:DA79" si="109">(PI()*DA$12*$Q16*($B16-$B15))/($H16*$B$5)/10+DB15</f>
        <v>#N/A</v>
      </c>
      <c r="DB16" s="31" t="e">
        <f>IF(OR(Hypothèses!$B$4=17,Hypothèses!$B$4=18,Hypothèses!$B$4=19,Hypothèses!$B$4=20),
IF($D16="Pressio.",
IF(OR($E16=3,$E16=1,$E16=4),DA16,CZ16),
IF($D16="Pénétro.",
IF(OR($E16=3,$E16=1,$E16=4),DA16,CZ16))),IF($D16="Pressio.",
IF($E16=3,DA16,CZ16),
IF($D16="Pénétro.",
IF($E16=4,DA16,CZ16))))</f>
        <v>#N/A</v>
      </c>
      <c r="DC16" s="31">
        <v>0</v>
      </c>
      <c r="DD16" s="102" t="e">
        <f>IF(NDC!$H$10="Oui",(VLOOKUP($B$3,'Coeff EC7'!$T$39:$X$59,2,0)*DB16+VLOOKUP($B$3,'Coeff EC7'!$T$65:$X$85,2,0)*Model0.1T!DC16)/1.5,PI()*CZ$12*$Q16*($B16-$B15)*0.15/10+DD15)</f>
        <v>#N/A</v>
      </c>
      <c r="DE16" s="102" t="e">
        <f>(VLOOKUP($B$3,'Coeff EC7'!$T$39:$X$59,3,0)*DB16+VLOOKUP($B$3,'Coeff EC7'!$T$65:$X$85,3,0)*Model0.1T!DC16)/1.1</f>
        <v>#N/A</v>
      </c>
      <c r="DF16" s="102" t="e">
        <f t="shared" si="86"/>
        <v>#N/A</v>
      </c>
      <c r="DG16" s="102" t="e">
        <f t="shared" si="87"/>
        <v>#N/A</v>
      </c>
      <c r="DH16" s="414" t="e">
        <f>IF(AND(DD16&gt;NDC!$C$63,DE16&gt;NDC!$C$65,DF16&gt;NDC!$D$73,DG16&gt;NDC!$D$74,$B16&gt;NDC!$H$22-0.1+MIN(3*DH$12,1.5)),0,1)</f>
        <v>#N/A</v>
      </c>
      <c r="DI16" s="86" t="b">
        <f t="shared" si="44"/>
        <v>0</v>
      </c>
      <c r="DJ16" s="86">
        <f t="shared" si="45"/>
        <v>0.5</v>
      </c>
      <c r="DK16" s="86">
        <f t="shared" si="46"/>
        <v>0.5</v>
      </c>
      <c r="DL16" s="30" t="e">
        <f t="shared" ca="1" si="88"/>
        <v>#DIV/0!</v>
      </c>
      <c r="DM16" s="85" t="e">
        <f ca="1">IF(CS16&lt;=Hypothèses!$V$7,Hypothèses!$W$7,IF(CS16&lt;=Hypothèses!$V$8,Hypothèses!$W$8,IF(CS16&lt;=Hypothèses!$V$9,Hypothèses!$W$9,IF(CS16&lt;=Hypothèses!$V$10,Hypothèses!$W$10,IF(CS16&lt;=Hypothèses!$V$11,Hypothèses!$W$11,IF(CS16&lt;=Hypothèses!$V$12,Hypothèses!$W$12,IF(CS16&lt;=Hypothèses!$V$13,Hypothèses!$W$13,IF(CS16&lt;=Hypothèses!$V$14,Hypothèses!$W$14,IF(CS16&lt;=Hypothèses!$V$15,Hypothèses!$W$15,IF(CS16&lt;=Hypothèses!$V$16,Hypothèses!$W$16,IF(CS16&lt;=Hypothèses!$V$17,Hypothèses!$W$17,IF(CS16&lt;=Hypothèses!$V$18,Hypothèses!$W$18,""))))))))))))</f>
        <v>#DIV/0!</v>
      </c>
      <c r="DN16" s="87" t="e">
        <f ca="1">IF(DM16&lt;&gt;"",DM16,DL16)</f>
        <v>#DIV/0!</v>
      </c>
      <c r="DO16" s="88" t="e">
        <f ca="1">IF(CS16&lt;=Hypothèses!$V$7,Hypothèses!$X$7,IF(CS16&lt;=Hypothèses!$V$8,Hypothèses!$X$8,IF(CS16&lt;=Hypothèses!$V$9,Hypothèses!$X$9,IF(CS16&lt;=Hypothèses!$V$10,Hypothèses!$X$10,IF(CS16&lt;=Hypothèses!$V$11,Hypothèses!$X$11,IF(CS16&lt;=Hypothèses!$V$12,Hypothèses!$X$12,IF(CS16&lt;=Hypothèses!$V$13,Hypothèses!$X$13,IF(CS16&lt;=Hypothèses!$V$14,Hypothèses!$X$14,IF(CS16&lt;=Hypothèses!$V$15,Hypothèses!$X$15,IF(CS16&lt;=Hypothèses!$V$16,Hypothèses!$X$16,IF(CS16&lt;=Hypothèses!$U$17,Hypothèses!$W$17,IF(CS16&lt;=Hypothèses!$U$18,Hypothèses!$W$18,""))))))))))))</f>
        <v>#DIV/0!</v>
      </c>
      <c r="DP16" s="95" t="e">
        <f t="shared" ca="1" si="89"/>
        <v>#DIV/0!</v>
      </c>
      <c r="DQ16" s="101">
        <f t="shared" si="47"/>
        <v>0</v>
      </c>
      <c r="DR16" s="91">
        <f t="shared" si="48"/>
        <v>0</v>
      </c>
      <c r="DS16" s="30" t="e">
        <f t="shared" ref="DS16:DS79" si="110">PI()*DS$12*$Q16*($B16-$B15)/($G16*$B$5)/10+DU15</f>
        <v>#N/A</v>
      </c>
      <c r="DT16" s="30" t="e">
        <f t="shared" ref="DT16:DT79" si="111">(PI()*DT$12*$Q16*($B16-$B15))/($H16*$B$5)/10+DU15</f>
        <v>#N/A</v>
      </c>
      <c r="DU16" s="31" t="e">
        <f>IF(OR(Hypothèses!$B$4=17,Hypothèses!$B$4=18,Hypothèses!$B$4=19,Hypothèses!$B$4=20),
IF($D16="Pressio.",
IF(OR($E16=3,$E16=1,$E16=4),DT16,DS16),
IF($D16="Pénétro.",
IF(OR($E16=3,$E16=1,$E16=4),DT16,DS16))),IF($D16="Pressio.",
IF($E16=3,DT16,DS16),
IF($D16="Pénétro.",
IF($E16=4,DT16,DS16))))</f>
        <v>#N/A</v>
      </c>
      <c r="DV16" s="31">
        <v>0</v>
      </c>
      <c r="DW16" s="102" t="e">
        <f>IF(NDC!$H$10="Oui",(VLOOKUP($B$3,'Coeff EC7'!$T$39:$X$59,2,0)*DU16+VLOOKUP($B$3,'Coeff EC7'!$T$65:$X$85,2,0)*Model0.1T!DV16)/1.5,PI()*DS$12*$Q16*($B16-$B15)*0.15/10+DW15)</f>
        <v>#N/A</v>
      </c>
      <c r="DX16" s="102" t="e">
        <f>(VLOOKUP($B$3,'Coeff EC7'!$T$39:$X$59,3,0)*DU16+VLOOKUP($B$3,'Coeff EC7'!$T$65:$X$85,3,0)*Model0.1T!DV16)/1.1</f>
        <v>#N/A</v>
      </c>
      <c r="DY16" s="102" t="e">
        <f t="shared" si="90"/>
        <v>#N/A</v>
      </c>
      <c r="DZ16" s="102" t="e">
        <f t="shared" si="91"/>
        <v>#N/A</v>
      </c>
      <c r="EA16" s="414" t="e">
        <f>IF(AND(DW16&gt;NDC!$C$63,DX16&gt;NDC!$C$65,DY16&gt;NDC!$D$73,DZ16&gt;NDC!$D$74,$B16&gt;NDC!$H$22-0.1+MIN(3*EA$12,1.5)),0,1)</f>
        <v>#N/A</v>
      </c>
      <c r="EB16" s="86" t="b">
        <f t="shared" si="51"/>
        <v>0</v>
      </c>
      <c r="EC16" s="418">
        <f t="shared" si="52"/>
        <v>0.51</v>
      </c>
      <c r="ED16" s="86">
        <f t="shared" si="53"/>
        <v>0.51</v>
      </c>
      <c r="EE16" s="30" t="e">
        <f t="shared" ca="1" si="92"/>
        <v>#DIV/0!</v>
      </c>
      <c r="EF16" s="85" t="e">
        <f ca="1">IF(DL16&lt;=Hypothèses!$V$7,Hypothèses!$W$7,IF(DL16&lt;=Hypothèses!$V$8,Hypothèses!$W$8,IF(DL16&lt;=Hypothèses!$V$9,Hypothèses!$W$9,IF(DL16&lt;=Hypothèses!$V$10,Hypothèses!$W$10,IF(DL16&lt;=Hypothèses!$V$11,Hypothèses!$W$11,IF(DL16&lt;=Hypothèses!$V$12,Hypothèses!$W$12,IF(DL16&lt;=Hypothèses!$V$13,Hypothèses!$W$13,IF(DL16&lt;=Hypothèses!$V$14,Hypothèses!$W$14,IF(DL16&lt;=Hypothèses!$V$15,Hypothèses!$W$15,IF(DL16&lt;=Hypothèses!$V$16,Hypothèses!$W$16,IF(DL16&lt;=Hypothèses!$V$17,Hypothèses!$W$17,IF(DL16&lt;=Hypothèses!$V$18,Hypothèses!$W$18,""))))))))))))</f>
        <v>#DIV/0!</v>
      </c>
      <c r="EG16" s="87" t="e">
        <f ca="1">IF(EF16&lt;&gt;"",EF16,EE16)</f>
        <v>#DIV/0!</v>
      </c>
      <c r="EH16" s="88" t="e">
        <f ca="1">IF(DL16&lt;=Hypothèses!$V$7,Hypothèses!$X$7,IF(DL16&lt;=Hypothèses!$V$8,Hypothèses!$X$8,IF(DL16&lt;=Hypothèses!$V$9,Hypothèses!$X$9,IF(DL16&lt;=Hypothèses!$V$10,Hypothèses!$X$10,IF(DL16&lt;=Hypothèses!$V$11,Hypothèses!$X$11,IF(DL16&lt;=Hypothèses!$V$12,Hypothèses!$X$12,IF(DL16&lt;=Hypothèses!$V$13,Hypothèses!$X$13,IF(DL16&lt;=Hypothèses!$V$14,Hypothèses!$X$14,IF(DL16&lt;=Hypothèses!$V$15,Hypothèses!$X$15,IF(DL16&lt;=Hypothèses!$V$16,Hypothèses!$X$16,IF(DL16&lt;=Hypothèses!$U$17,Hypothèses!$W$17,IF(DL16&lt;=Hypothèses!$U$18,Hypothèses!$W$18,""))))))))))))</f>
        <v>#DIV/0!</v>
      </c>
      <c r="EI16" s="95" t="e">
        <f t="shared" ca="1" si="93"/>
        <v>#DIV/0!</v>
      </c>
      <c r="EJ16" s="101">
        <f t="shared" si="54"/>
        <v>0</v>
      </c>
      <c r="EK16" s="91">
        <f t="shared" si="55"/>
        <v>0</v>
      </c>
      <c r="EL16" s="30" t="e">
        <f t="shared" ref="EL16:EL79" si="112">PI()*EL$12*$Q16*($B16-$B15)/($G16*$B$5)/10+EN15</f>
        <v>#N/A</v>
      </c>
      <c r="EM16" s="30" t="e">
        <f t="shared" ref="EM16:EM79" si="113">(PI()*EM$12*$Q16*($B16-$B15))/($H16*$B$5)/10+EN15</f>
        <v>#N/A</v>
      </c>
      <c r="EN16" s="31" t="e">
        <f>IF(OR(Hypothèses!$B$4=17,Hypothèses!$B$4=18,Hypothèses!$B$4=19,Hypothèses!$B$4=20),
IF($D16="Pressio.",
IF(OR($E16=3,$E16=1,$E16=4),EM16,EL16),
IF($D16="Pénétro.",
IF(OR($E16=3,$E16=1,$E16=4),EM16,EL16))),IF($D16="Pressio.",
IF($E16=3,EM16,EL16),
IF($D16="Pénétro.",
IF($E16=4,EM16,EL16))))</f>
        <v>#N/A</v>
      </c>
      <c r="EO16" s="31">
        <v>0</v>
      </c>
      <c r="EP16" s="102" t="e">
        <f>IF(NDC!$H$10="Oui",(VLOOKUP($B$3,'Coeff EC7'!$T$39:$X$59,2,0)*EN16+VLOOKUP($B$3,'Coeff EC7'!$T$65:$X$85,2,0)*Model0.1T!EO16)/1.5,PI()*EL$12*$Q16*($B16-$B15)*0.15/10+EP15)</f>
        <v>#N/A</v>
      </c>
      <c r="EQ16" s="102" t="e">
        <f>(VLOOKUP($B$3,'Coeff EC7'!$T$39:$X$59,3,0)*EN16+VLOOKUP($B$3,'Coeff EC7'!$T$65:$X$85,3,0)*Model0.1T!EO16)/1.1</f>
        <v>#N/A</v>
      </c>
      <c r="ER16" s="102" t="e">
        <f t="shared" si="94"/>
        <v>#N/A</v>
      </c>
      <c r="ES16" s="102" t="e">
        <f t="shared" si="95"/>
        <v>#N/A</v>
      </c>
      <c r="ET16" s="414" t="e">
        <f>IF(AND(EP16&gt;NDC!$C$63,EQ16&gt;NDC!$C$65,ER16&gt;NDC!$D$73,ES16&gt;NDC!$D$74,$B16&gt;NDC!$H$22-0.1+MIN(3*ET$12,1.5)),0,1)</f>
        <v>#N/A</v>
      </c>
      <c r="EU16" s="86" t="b">
        <f t="shared" si="58"/>
        <v>0</v>
      </c>
      <c r="EV16" s="86">
        <f t="shared" si="59"/>
        <v>0.61</v>
      </c>
      <c r="EW16" s="86">
        <f t="shared" si="60"/>
        <v>0.61</v>
      </c>
      <c r="EX16" s="30" t="e">
        <f t="shared" ca="1" si="96"/>
        <v>#DIV/0!</v>
      </c>
      <c r="EY16" s="85" t="e">
        <f ca="1">IF(EE16&lt;=Hypothèses!$V$7,Hypothèses!$W$7,IF(EE16&lt;=Hypothèses!$V$8,Hypothèses!$W$8,IF(EE16&lt;=Hypothèses!$V$9,Hypothèses!$W$9,IF(EE16&lt;=Hypothèses!$V$10,Hypothèses!$W$10,IF(EE16&lt;=Hypothèses!$V$11,Hypothèses!$W$11,IF(EE16&lt;=Hypothèses!$V$12,Hypothèses!$W$12,IF(EE16&lt;=Hypothèses!$V$13,Hypothèses!$W$13,IF(EE16&lt;=Hypothèses!$V$14,Hypothèses!$W$14,IF(EE16&lt;=Hypothèses!$V$15,Hypothèses!$W$15,IF(EE16&lt;=Hypothèses!$V$16,Hypothèses!$W$16,IF(EE16&lt;=Hypothèses!$V$17,Hypothèses!$W$17,IF(EE16&lt;=Hypothèses!$V$18,Hypothèses!$W$18,""))))))))))))</f>
        <v>#DIV/0!</v>
      </c>
      <c r="EZ16" s="87" t="e">
        <f ca="1">IF(EY16&lt;&gt;"",EY16,EX16)</f>
        <v>#DIV/0!</v>
      </c>
      <c r="FA16" s="88" t="e">
        <f ca="1">IF(EE16&lt;=Hypothèses!$V$7,Hypothèses!$X$7,IF(EE16&lt;=Hypothèses!$V$8,Hypothèses!$X$8,IF(EE16&lt;=Hypothèses!$V$9,Hypothèses!$X$9,IF(EE16&lt;=Hypothèses!$V$10,Hypothèses!$X$10,IF(EE16&lt;=Hypothèses!$V$11,Hypothèses!$X$11,IF(EE16&lt;=Hypothèses!$V$12,Hypothèses!$X$12,IF(EE16&lt;=Hypothèses!$V$13,Hypothèses!$X$13,IF(EE16&lt;=Hypothèses!$V$14,Hypothèses!$X$14,IF(EE16&lt;=Hypothèses!$V$15,Hypothèses!$X$15,IF(EE16&lt;=Hypothèses!$V$16,Hypothèses!$X$16,IF(EE16&lt;=Hypothèses!$U$17,Hypothèses!$W$17,IF(EE16&lt;=Hypothèses!$U$18,Hypothèses!$W$18,""))))))))))))</f>
        <v>#DIV/0!</v>
      </c>
      <c r="FB16" s="95" t="e">
        <f t="shared" ca="1" si="97"/>
        <v>#DIV/0!</v>
      </c>
      <c r="FC16" s="101">
        <f t="shared" si="61"/>
        <v>0</v>
      </c>
      <c r="FD16" s="91">
        <f t="shared" si="62"/>
        <v>0</v>
      </c>
      <c r="FE16" s="30" t="e">
        <f t="shared" ref="FE16:FE79" si="114">PI()*FE$12*$Q16*($B16-$B15)/($G16*$B$5)/10+FG15</f>
        <v>#N/A</v>
      </c>
      <c r="FF16" s="30" t="e">
        <f t="shared" ref="FF16:FF79" si="115">(PI()*FF$12*$Q16*($B16-$B15))/($H16*$B$5)/10+FG15</f>
        <v>#N/A</v>
      </c>
      <c r="FG16" s="31" t="e">
        <f>IF(OR(Hypothèses!$B$4=17,Hypothèses!$B$4=18,Hypothèses!$B$4=19,Hypothèses!$B$4=20),
IF($D16="Pressio.",
IF(OR($E16=3,$E16=1,$E16=4),FF16,FE16),
IF($D16="Pénétro.",
IF(OR($E16=3,$E16=1,$E16=4),FF16,FE16))),IF($D16="Pressio.",
IF($E16=3,FF16,FE16),
IF($D16="Pénétro.",
IF($E16=4,FF16,FE16))))</f>
        <v>#N/A</v>
      </c>
      <c r="FH16" s="31">
        <v>0</v>
      </c>
      <c r="FI16" s="102" t="e">
        <f>IF(NDC!$H$10="Oui",(VLOOKUP($B$3,'Coeff EC7'!$T$39:$X$59,2,0)*FG16+VLOOKUP($B$3,'Coeff EC7'!$T$65:$X$85,2,0)*Model0.1T!FH16)/1.5,PI()*FE$12*$Q16*($B16-$B15)*0.15/10+FI15)</f>
        <v>#N/A</v>
      </c>
      <c r="FJ16" s="102" t="e">
        <f>(VLOOKUP($B$3,'Coeff EC7'!$T$39:$X$59,3,0)*FG16+VLOOKUP($B$3,'Coeff EC7'!$T$65:$X$85,3,0)*Model0.1T!FH16)/1.1</f>
        <v>#N/A</v>
      </c>
      <c r="FK16" s="102" t="e">
        <f t="shared" si="98"/>
        <v>#N/A</v>
      </c>
      <c r="FL16" s="102" t="e">
        <f t="shared" si="99"/>
        <v>#N/A</v>
      </c>
      <c r="FM16" s="414" t="e">
        <f>IF(AND(FI16&gt;NDC!$C$63,FJ16&gt;NDC!$C$65,FK16&gt;NDC!$D$73,FL16&gt;NDC!$D$74,$B16&gt;NDC!$H$22-0.1+MIN(3*FM$12,1.5)),0,1)</f>
        <v>#N/A</v>
      </c>
    </row>
    <row r="17" spans="1:169">
      <c r="A17" s="96">
        <f t="shared" si="65"/>
        <v>99.600000000000023</v>
      </c>
      <c r="B17" s="97">
        <v>0.4</v>
      </c>
      <c r="C17" s="81">
        <f>IF(B17&lt;=Hypothèses!$C$7,Hypothèses!$A$7,IF(B17&lt;=Hypothèses!$C$8,Hypothèses!$A$8,IF(B17&lt;=Hypothèses!$C$9,Hypothèses!$A$9,IF(B17&lt;=Hypothèses!$C$10,Hypothèses!$A$10,IF(B17&lt;=Hypothèses!$C$11,Hypothèses!$A$11,IF(B17&lt;=Hypothèses!$C$12,Hypothèses!$A$12,IF(B17&lt;=Hypothèses!$C$13,Hypothèses!$A$13,IF(B17&lt;=Hypothèses!$C$14,Hypothèses!$A$14,IF(B17&lt;=Hypothèses!$C$15,Hypothèses!$A$15,IF(B17&lt;=Hypothèses!$C$16,Hypothèses!$A$16,IF(B17&lt;=Hypothèses!$C$17,Hypothèses!$A$17,IF(B17&lt;=Hypothèses!$C$18,Hypothèses!$A$18,C16))))))))))))</f>
        <v>11</v>
      </c>
      <c r="D17" s="82" t="str">
        <f>IF(B17&lt;=Hypothèses!$C$7,Hypothèses!$R$7,IF(B17&lt;=Hypothèses!$C$8,Hypothèses!$R$8,IF(B17&lt;=Hypothèses!$C$9,Hypothèses!$R$9,IF(B17&lt;=Hypothèses!$C$10,Hypothèses!$R$10,IF(B17&lt;=Hypothèses!$C$11,Hypothèses!$R$11,IF(B17&lt;=Hypothèses!$C$12,Hypothèses!$R$12,IF(B17&lt;=Hypothèses!$C$13,Hypothèses!$R$13,IF(B17&lt;=Hypothèses!$C$14,Hypothèses!$R$14,IF(B17&lt;=Hypothèses!$C$15,Hypothèses!$R$15,IF(B17&lt;=Hypothèses!$C$16,Hypothèses!$R$16,IF(B17&lt;=Hypothèses!$C$17,Hypothèses!$R$17,IF(B17&lt;=Hypothèses!$C$18,Hypothèses!$R$18,D16))))))))))))</f>
        <v>Pressio.</v>
      </c>
      <c r="E17" s="82" t="e">
        <f>IF(B17&lt;=Hypothèses!$C$7,Hypothèses!$G$7,IF(B17&lt;=Hypothèses!$C$8,Hypothèses!$G$8,IF(B17&lt;=Hypothèses!$C$9,Hypothèses!$G$9,IF(B17&lt;=Hypothèses!$C$10,Hypothèses!$G$10,IF(B17&lt;=Hypothèses!$C$11,Hypothèses!$G$11,IF(B17&lt;=Hypothèses!$C$12,Hypothèses!$G$12,IF(B17&lt;=Hypothèses!$C$13,Hypothèses!$G$13,IF(B17&lt;=Hypothèses!$C$14,Hypothèses!$G$14,IF(B17&lt;=Hypothèses!$C$15,Hypothèses!$G$15,IF(B17&lt;=Hypothèses!$C$16,Hypothèses!$G$16,IF(B17&lt;=Hypothèses!$C$17,Hypothèses!$G$17,IF(B17&lt;=Hypothèses!$C$18,Hypothèses!$G$18,E16))))))))))))</f>
        <v>#N/A</v>
      </c>
      <c r="F17" s="82" t="str">
        <f>IF(B17&lt;=Hypothèses!$C$7,Hypothèses!$F$7,IF(B17&lt;=Hypothèses!$C$8,Hypothèses!$F$8,IF(B17&lt;=Hypothèses!$C$9,Hypothèses!$F$9,IF(B17&lt;=Hypothèses!$C$10,Hypothèses!$F$10,IF(B17&lt;=Hypothèses!$C$11,Hypothèses!$F$11,IF(B17&lt;=Hypothèses!$C$12,Hypothèses!$F$12,IF(B17&lt;=Hypothèses!$C$13,Hypothèses!$F$13,IF(B17&lt;=Hypothèses!$C$14,Hypothèses!$F$14,IF(B17&lt;=Hypothèses!$C$15,Hypothèses!$F$15,IF(B17&lt;=Hypothèses!$C$16,Hypothèses!$F$16,IF(B17&lt;=Hypothèses!$C$17,Hypothèses!$F$17,IF(B17&lt;=Hypothèses!$C$18,Hypothèses!$F$18,F16))))))))))))</f>
        <v/>
      </c>
      <c r="G17" s="91">
        <f t="array" ref="G17">INDEX('Coeff EC7'!$U$7:$X$27,
MATCH(Model0.1T!$B$3,'Coeff EC7'!$T$7:$T$27,0),
MATCH(Model0.1T!$D17&amp;Model0.1T!$B$4,
'Coeff EC7'!$U$6:$X$6&amp;
'Coeff EC7'!$U$5:$X$5,0))</f>
        <v>1.4</v>
      </c>
      <c r="H17" s="91">
        <f t="array" ref="H17">INDEX('Coeff EC7'!$Y$7:$AB$27,
MATCH(Model0.1T!$B$3,'Coeff EC7'!$T$7:$T$27,0),
MATCH(Model0.1T!$D17&amp;Model0.1T!$B$4,
'Coeff EC7'!$Y$6:$AB$6&amp;
'Coeff EC7'!$Y$5:$AB$5,0))</f>
        <v>1.7</v>
      </c>
      <c r="I17" s="83">
        <v>0</v>
      </c>
      <c r="J17" s="91" t="e">
        <f t="array" ref="J17">INDEX('Coeff EC7'!$D$33:$Q$33,1,MATCH(D17&amp;E17,'Coeff EC7'!$D$31:$Q$31&amp;'Coeff EC7'!$D$32:$Q$32,0))</f>
        <v>#N/A</v>
      </c>
      <c r="K17" s="91" t="e">
        <f t="array" ref="K17">INDEX('Coeff EC7'!$D$34:$Q$34,1,MATCH(D17&amp;E17,'Coeff EC7'!$D$31:$Q$31&amp;'Coeff EC7'!$D$32:$Q$32,0))</f>
        <v>#N/A</v>
      </c>
      <c r="L17" s="91" t="e">
        <f t="array" ref="L17">INDEX('Coeff EC7'!$D$35:$Q$35,1,MATCH(D17&amp;E17,'Coeff EC7'!$D$31:$Q$31&amp;'Coeff EC7'!$D$32:$Q$32,0))</f>
        <v>#N/A</v>
      </c>
      <c r="M17" s="98" t="e">
        <f t="shared" si="8"/>
        <v>#N/A</v>
      </c>
      <c r="N17" s="99" t="e">
        <f t="array" ref="N17">INDEX('Coeff EC7'!$D$7:$Q$27,MATCH($B$3,'Coeff EC7'!$C$7:$C$27,0),MATCH(D17&amp;E17,'Coeff EC7'!$D$5:$Q$5&amp;'Coeff EC7'!$D$6:$Q$6,0))</f>
        <v>#N/A</v>
      </c>
      <c r="O17" s="99" t="e">
        <f t="array" ref="O17">INDEX('Coeff EC7'!$D$41:$Q$61,MATCH($B$3,'Coeff EC7'!$C$41:$C$61,0),MATCH(D17&amp;E17,'Coeff EC7'!$D$39:$Q$39&amp;'Coeff EC7'!$D$40:$Q$40,0))</f>
        <v>#N/A</v>
      </c>
      <c r="P17" s="30" t="e">
        <f t="shared" si="66"/>
        <v>#N/A</v>
      </c>
      <c r="Q17" s="100" t="e">
        <f t="shared" si="10"/>
        <v>#N/A</v>
      </c>
      <c r="R17" s="86" t="b">
        <f t="shared" si="11"/>
        <v>0</v>
      </c>
      <c r="S17" s="86">
        <f t="shared" si="9"/>
        <v>0.5</v>
      </c>
      <c r="T17" s="86">
        <f t="shared" si="12"/>
        <v>0.5</v>
      </c>
      <c r="U17" s="30" t="e">
        <f t="shared" ca="1" si="67"/>
        <v>#DIV/0!</v>
      </c>
      <c r="V17" s="85" t="str">
        <f>IF(B17&lt;=Hypothèses!$V$7,Hypothèses!$W$7,IF(B17&lt;=Hypothèses!$V$8,Hypothèses!$W$8,IF(B17&lt;=Hypothèses!$V$9,Hypothèses!$W$9,IF(B17&lt;=Hypothèses!$V$10,Hypothèses!$W$10,IF(B17&lt;=Hypothèses!$V$11,Hypothèses!$W$11,IF(B17&lt;=Hypothèses!$V$12,Hypothèses!$W$12,IF(B17&lt;=Hypothèses!$V$13,Hypothèses!$W$13,IF(B17&lt;=Hypothèses!$V$14,Hypothèses!$W$14,IF(B17&lt;=Hypothèses!$V$15,Hypothèses!$W$15,IF(B17&lt;=Hypothèses!$V$16,Hypothèses!$W$16,IF(B17&lt;=Hypothèses!$V$17,Hypothèses!$W$17,IF(B17&lt;=Hypothèses!$V$18,Hypothèses!$W$18,""))))))))))))</f>
        <v/>
      </c>
      <c r="W17" s="87" t="e">
        <f t="shared" ref="W17:W80" ca="1" si="116">IF(V17&lt;&gt;"",V17,U17)</f>
        <v>#DIV/0!</v>
      </c>
      <c r="X17" s="88" t="str">
        <f>IF(B17&lt;=Hypothèses!$V$7,Hypothèses!$X$7,IF(B17&lt;=Hypothèses!$V$8,Hypothèses!$X$8,IF(B17&lt;=Hypothèses!$V$9,Hypothèses!$X$9,IF(B17&lt;=Hypothèses!$V$10,Hypothèses!$X$10,IF(B17&lt;=Hypothèses!$V$11,Hypothèses!$X$11,IF(B17&lt;=Hypothèses!$V$12,Hypothèses!$X$12,IF(B17&lt;=Hypothèses!$V$13,Hypothèses!$X$13,IF(B17&lt;=Hypothèses!$V$14,Hypothèses!$X$14,IF(B17&lt;=Hypothèses!$V$15,Hypothèses!$X$15,IF(B17&lt;=Hypothèses!$V$16,Hypothèses!$X$16,IF(B17&lt;=Hypothèses!$U$17,Hypothèses!$W$17,IF(B17&lt;=Hypothèses!$U$18,Hypothèses!$W$18,""))))))))))))</f>
        <v/>
      </c>
      <c r="Y17" s="95" t="e">
        <f t="shared" ca="1" si="13"/>
        <v>#DIV/0!</v>
      </c>
      <c r="Z17" s="101">
        <f t="shared" si="14"/>
        <v>0</v>
      </c>
      <c r="AA17" s="91">
        <f t="shared" si="15"/>
        <v>0</v>
      </c>
      <c r="AB17" s="30" t="e">
        <f t="shared" si="100"/>
        <v>#N/A</v>
      </c>
      <c r="AC17" s="30" t="e">
        <f t="shared" si="101"/>
        <v>#N/A</v>
      </c>
      <c r="AD17" s="31" t="e">
        <f>IF(OR(Hypothèses!$B$4=17,Hypothèses!$B$4=18,Hypothèses!$B$4=19,Hypothèses!$B$4=20),
IF($D17="Pressio.",
IF(OR($E17=3,$E17=1,$E17=4),AC17,AB17),
IF($D17="Pénétro.",
IF(OR($E17=3,$E17=1,$E17=4),AC17,AB17))),IF($D17="Pressio.",
IF($E17=3,AC17,AB17),
IF($D17="Pénétro.",
IF($E17=4,AC17,AB17))))</f>
        <v>#N/A</v>
      </c>
      <c r="AE17" s="31">
        <v>0</v>
      </c>
      <c r="AF17" s="102" t="e">
        <f>IF(NDC!$H$10="Oui",(VLOOKUP($B$3,'Coeff EC7'!$T$39:$X$59,2,0)*AD17+VLOOKUP($B$3,'Coeff EC7'!$T$65:$X$85,2,0)*Model0.1T!AE17)/1.5,PI()*AB$12*$Q17*($B17-$B16)*0.15/10+AF16)</f>
        <v>#N/A</v>
      </c>
      <c r="AG17" s="102" t="e">
        <f>(VLOOKUP($B$3,'Coeff EC7'!$T$39:$X$59,3,0)*AD17+VLOOKUP($B$3,'Coeff EC7'!$T$65:$X$85,3,0)*Model0.1T!AE17)/1.1</f>
        <v>#N/A</v>
      </c>
      <c r="AH17" s="102" t="e">
        <f t="shared" si="68"/>
        <v>#N/A</v>
      </c>
      <c r="AI17" s="102" t="e">
        <f t="shared" si="69"/>
        <v>#N/A</v>
      </c>
      <c r="AJ17" s="414" t="e">
        <f>IF(AND(AF17&gt;NDC!$C$63,AG17&gt;NDC!$C$65,AH17&gt;NDC!$D$73,AI17&gt;NDC!$D$74,$B17&gt;NDC!$H$22-0.1+MIN(3*$AJ$12,1.5)),0,1)</f>
        <v>#N/A</v>
      </c>
      <c r="AK17" s="86" t="b">
        <f t="shared" si="18"/>
        <v>0</v>
      </c>
      <c r="AL17" s="86">
        <f t="shared" si="70"/>
        <v>0.5</v>
      </c>
      <c r="AM17" s="86">
        <f t="shared" si="19"/>
        <v>0.5</v>
      </c>
      <c r="AN17" s="30" t="e">
        <f t="shared" ca="1" si="71"/>
        <v>#DIV/0!</v>
      </c>
      <c r="AO17" s="85" t="e">
        <f ca="1">IF(U17&lt;=Hypothèses!$V$7,Hypothèses!$W$7,IF(U17&lt;=Hypothèses!$V$8,Hypothèses!$W$8,IF(U17&lt;=Hypothèses!$V$9,Hypothèses!$W$9,IF(U17&lt;=Hypothèses!$V$10,Hypothèses!$W$10,IF(U17&lt;=Hypothèses!$V$11,Hypothèses!$W$11,IF(U17&lt;=Hypothèses!$V$12,Hypothèses!$W$12,IF(U17&lt;=Hypothèses!$V$13,Hypothèses!$W$13,IF(U17&lt;=Hypothèses!$V$14,Hypothèses!$W$14,IF(U17&lt;=Hypothèses!$V$15,Hypothèses!$W$15,IF(U17&lt;=Hypothèses!$V$16,Hypothèses!$W$16,IF(U17&lt;=Hypothèses!$V$17,Hypothèses!$W$17,IF(U17&lt;=Hypothèses!$V$18,Hypothèses!$W$18,""))))))))))))</f>
        <v>#DIV/0!</v>
      </c>
      <c r="AP17" s="87" t="e">
        <f t="shared" ref="AP17:AP80" ca="1" si="117">IF(AO17&lt;&gt;"",AO17,AN17)</f>
        <v>#DIV/0!</v>
      </c>
      <c r="AQ17" s="88" t="e">
        <f ca="1">IF(U17&lt;=Hypothèses!$V$7,Hypothèses!$X$7,IF(U17&lt;=Hypothèses!$V$8,Hypothèses!$X$8,IF(U17&lt;=Hypothèses!$V$9,Hypothèses!$X$9,IF(U17&lt;=Hypothèses!$V$10,Hypothèses!$X$10,IF(U17&lt;=Hypothèses!$V$11,Hypothèses!$X$11,IF(U17&lt;=Hypothèses!$V$12,Hypothèses!$X$12,IF(U17&lt;=Hypothèses!$V$13,Hypothèses!$X$13,IF(U17&lt;=Hypothèses!$V$14,Hypothèses!$X$14,IF(U17&lt;=Hypothèses!$V$15,Hypothèses!$X$15,IF(U17&lt;=Hypothèses!$V$16,Hypothèses!$X$16,IF(U17&lt;=Hypothèses!$U$17,Hypothèses!$W$17,IF(U17&lt;=Hypothèses!$U$18,Hypothèses!$W$18,""))))))))))))</f>
        <v>#DIV/0!</v>
      </c>
      <c r="AR17" s="95" t="e">
        <f t="shared" ca="1" si="72"/>
        <v>#DIV/0!</v>
      </c>
      <c r="AS17" s="101">
        <f>IF($I17=0,0,
IF(AR17&gt;5*AW$12,$I17,
IF($D17="Pressio.",1+($I17-1)*(AR17/AW$12)/5,
IF($D17="Pénétro.",IF($E17=1,0.3+($I17-0.3)*(AR17/AW$12)/5,
IF($E17=2,0.2+($I17-0.2)*(AR17/AW$12)/5,
IF($E17=3,0.1+($I17-0.1)*(AR17/AW$12)/5,
0.15+($I17-0.15)*(AR17/AW$12)/5)))))))</f>
        <v>0</v>
      </c>
      <c r="AT17" s="91">
        <f t="shared" si="21"/>
        <v>0</v>
      </c>
      <c r="AU17" s="30" t="e">
        <f t="shared" si="102"/>
        <v>#N/A</v>
      </c>
      <c r="AV17" s="30" t="e">
        <f t="shared" si="103"/>
        <v>#N/A</v>
      </c>
      <c r="AW17" s="31" t="e">
        <f>IF(OR(Hypothèses!$B$4=17,Hypothèses!$B$4=18,Hypothèses!$B$4=19,Hypothèses!$B$4=20),
IF($D17="Pressio.",
IF(OR($E17=3,$E17=1,$E17=4),AV17,AU17),
IF($D17="Pénétro.",
IF(OR($E17=3,$E17=1,$E17=4),AV17,AU17))),IF($D17="Pressio.",
IF($E17=3,AV17,AU17),
IF($D17="Pénétro.",
IF($E17=4,AV17,AU17))))</f>
        <v>#N/A</v>
      </c>
      <c r="AX17" s="31">
        <v>0</v>
      </c>
      <c r="AY17" s="102" t="e">
        <f>IF(NDC!$H$10="Oui",(VLOOKUP($B$3,'Coeff EC7'!$T$39:$X$59,2,0)*AW17+VLOOKUP($B$3,'Coeff EC7'!$T$65:$X$85,2,0)*Model0.1T!AX17)/1.5,PI()*AU$12*$Q17*($B17-$B16)*0.15/10+AY16)</f>
        <v>#N/A</v>
      </c>
      <c r="AZ17" s="102" t="e">
        <f>(VLOOKUP($B$3,'Coeff EC7'!$T$39:$X$59,3,0)*AW17+VLOOKUP($B$3,'Coeff EC7'!$T$65:$X$85,3,0)*Model0.1T!AX17)/1.1</f>
        <v>#N/A</v>
      </c>
      <c r="BA17" s="102" t="e">
        <f t="shared" si="73"/>
        <v>#N/A</v>
      </c>
      <c r="BB17" s="102" t="e">
        <f t="shared" si="74"/>
        <v>#N/A</v>
      </c>
      <c r="BC17" s="414" t="e">
        <f>IF(AND(AY17&gt;NDC!$C$63,AZ17&gt;NDC!$C$65,BA17&gt;NDC!$D$73,BB17&gt;NDC!$D$74,$B17&gt;NDC!$H$22-0.1+MIN(3*BC$12,1.5)),0,1)</f>
        <v>#N/A</v>
      </c>
      <c r="BD17" s="86" t="b">
        <f t="shared" si="24"/>
        <v>0</v>
      </c>
      <c r="BE17" s="86">
        <f t="shared" si="75"/>
        <v>0.5</v>
      </c>
      <c r="BF17" s="86">
        <f t="shared" si="25"/>
        <v>0.5</v>
      </c>
      <c r="BG17" s="30" t="e">
        <f t="shared" ca="1" si="76"/>
        <v>#DIV/0!</v>
      </c>
      <c r="BH17" s="85" t="e">
        <f ca="1">IF(AN17&lt;=Hypothèses!$V$7,Hypothèses!$W$7,IF(AN17&lt;=Hypothèses!$V$8,Hypothèses!$W$8,IF(AN17&lt;=Hypothèses!$V$9,Hypothèses!$W$9,IF(AN17&lt;=Hypothèses!$V$10,Hypothèses!$W$10,IF(AN17&lt;=Hypothèses!$V$11,Hypothèses!$W$11,IF(AN17&lt;=Hypothèses!$V$12,Hypothèses!$W$12,IF(AN17&lt;=Hypothèses!$V$13,Hypothèses!$W$13,IF(AN17&lt;=Hypothèses!$V$14,Hypothèses!$W$14,IF(AN17&lt;=Hypothèses!$V$15,Hypothèses!$W$15,IF(AN17&lt;=Hypothèses!$V$16,Hypothèses!$W$16,IF(AN17&lt;=Hypothèses!$V$17,Hypothèses!$W$17,IF(AN17&lt;=Hypothèses!$V$18,Hypothèses!$W$18,""))))))))))))</f>
        <v>#DIV/0!</v>
      </c>
      <c r="BI17" s="87" t="e">
        <f t="shared" ref="BI17:BI80" ca="1" si="118">IF(BH17&lt;&gt;"",BH17,BG17)</f>
        <v>#DIV/0!</v>
      </c>
      <c r="BJ17" s="88" t="e">
        <f ca="1">IF(AN17&lt;=Hypothèses!$V$7,Hypothèses!$X$7,IF(AN17&lt;=Hypothèses!$V$8,Hypothèses!$X$8,IF(AN17&lt;=Hypothèses!$V$9,Hypothèses!$X$9,IF(AN17&lt;=Hypothèses!$V$10,Hypothèses!$X$10,IF(AN17&lt;=Hypothèses!$V$11,Hypothèses!$X$11,IF(AN17&lt;=Hypothèses!$V$12,Hypothèses!$X$12,IF(AN17&lt;=Hypothèses!$V$13,Hypothèses!$X$13,IF(AN17&lt;=Hypothèses!$V$14,Hypothèses!$X$14,IF(AN17&lt;=Hypothèses!$V$15,Hypothèses!$X$15,IF(AN17&lt;=Hypothèses!$V$16,Hypothèses!$X$16,IF(AN17&lt;=Hypothèses!$U$17,Hypothèses!$W$17,IF(AN17&lt;=Hypothèses!$U$18,Hypothèses!$W$18,""))))))))))))</f>
        <v>#DIV/0!</v>
      </c>
      <c r="BK17" s="95" t="e">
        <f t="shared" ca="1" si="77"/>
        <v>#DIV/0!</v>
      </c>
      <c r="BL17" s="101">
        <f>IF($I17=0,0,
IF(BK17&gt;5*BP$12,$I17,
IF($D17="Pressio.",1+($I17-1)*(BK17/BP$12)/5,
IF($D17="Pénétro.",IF($E17=1,0.3+($I17-0.3)*(BK17/BP$12)/5,
IF($E17=2,0.2+($I17-0.2)*(BK17/BP$12)/5,
IF($E17=3,0.1+($I17-0.1)*(BK17/BP$12)/5,
0.15+($I17-0.15)*(BK17/BP$12)/5)))))))</f>
        <v>0</v>
      </c>
      <c r="BM17" s="91">
        <f t="shared" si="27"/>
        <v>0</v>
      </c>
      <c r="BN17" s="30" t="e">
        <f t="shared" si="104"/>
        <v>#N/A</v>
      </c>
      <c r="BO17" s="30" t="e">
        <f t="shared" si="105"/>
        <v>#N/A</v>
      </c>
      <c r="BP17" s="31" t="e">
        <f>IF(OR(Hypothèses!$B$4=17,Hypothèses!$B$4=18,Hypothèses!$B$4=19,Hypothèses!$B$4=20),
IF($D17="Pressio.",
IF(OR($E17=3,$E17=1,$E17=4),BO17,BN17),
IF($D17="Pénétro.",
IF(OR($E17=3,$E17=1,$E17=4),BO17,BN17))),IF($D17="Pressio.",
IF($E17=3,BO17,BN17),
IF($D17="Pénétro.",
IF($E17=4,BO17,BN17))))</f>
        <v>#N/A</v>
      </c>
      <c r="BQ17" s="31">
        <v>0</v>
      </c>
      <c r="BR17" s="102" t="e">
        <f>IF(NDC!$H$10="Oui",(VLOOKUP($B$3,'Coeff EC7'!$T$39:$X$59,2,0)*BP17+VLOOKUP($B$3,'Coeff EC7'!$T$65:$X$85,2,0)*Model0.1T!BQ17)/1.5,PI()*BN$12*$Q17*($B17-$B16)*0.15/10+BR16)</f>
        <v>#N/A</v>
      </c>
      <c r="BS17" s="102" t="e">
        <f>(VLOOKUP($B$3,'Coeff EC7'!$T$39:$X$59,3,0)*BP17+VLOOKUP($B$3,'Coeff EC7'!$T$65:$X$85,3,0)*Model0.1T!BQ17)/1.1</f>
        <v>#N/A</v>
      </c>
      <c r="BT17" s="102" t="e">
        <f t="shared" si="78"/>
        <v>#N/A</v>
      </c>
      <c r="BU17" s="102" t="e">
        <f t="shared" si="79"/>
        <v>#N/A</v>
      </c>
      <c r="BV17" s="414" t="e">
        <f>IF(AND(BR17&gt;NDC!$C$63,BS17&gt;NDC!$C$65,BT17&gt;NDC!$D$73,BU17&gt;NDC!$D$74,$B17&gt;NDC!$H$22-0.1+MIN(3*BV$12,1.5)),0,1)</f>
        <v>#N/A</v>
      </c>
      <c r="BW17" s="86" t="b">
        <f t="shared" si="30"/>
        <v>0</v>
      </c>
      <c r="BX17" s="86">
        <f t="shared" si="31"/>
        <v>0.5</v>
      </c>
      <c r="BY17" s="86">
        <f t="shared" si="32"/>
        <v>0.5</v>
      </c>
      <c r="BZ17" s="30" t="e">
        <f t="shared" ca="1" si="80"/>
        <v>#DIV/0!</v>
      </c>
      <c r="CA17" s="85" t="e">
        <f ca="1">IF(BG17&lt;=Hypothèses!$V$7,Hypothèses!$W$7,IF(BG17&lt;=Hypothèses!$V$8,Hypothèses!$W$8,IF(BG17&lt;=Hypothèses!$V$9,Hypothèses!$W$9,IF(BG17&lt;=Hypothèses!$V$10,Hypothèses!$W$10,IF(BG17&lt;=Hypothèses!$V$11,Hypothèses!$W$11,IF(BG17&lt;=Hypothèses!$V$12,Hypothèses!$W$12,IF(BG17&lt;=Hypothèses!$V$13,Hypothèses!$W$13,IF(BG17&lt;=Hypothèses!$V$14,Hypothèses!$W$14,IF(BG17&lt;=Hypothèses!$V$15,Hypothèses!$W$15,IF(BG17&lt;=Hypothèses!$V$16,Hypothèses!$W$16,IF(BG17&lt;=Hypothèses!$V$17,Hypothèses!$W$17,IF(BG17&lt;=Hypothèses!$V$18,Hypothèses!$W$18,""))))))))))))</f>
        <v>#DIV/0!</v>
      </c>
      <c r="CB17" s="87" t="e">
        <f t="shared" ref="CB17:CB80" ca="1" si="119">IF(CA17&lt;&gt;"",CA17,BZ17)</f>
        <v>#DIV/0!</v>
      </c>
      <c r="CC17" s="88" t="e">
        <f ca="1">IF(BG17&lt;=Hypothèses!$V$7,Hypothèses!$X$7,IF(BG17&lt;=Hypothèses!$V$8,Hypothèses!$X$8,IF(BG17&lt;=Hypothèses!$V$9,Hypothèses!$X$9,IF(BG17&lt;=Hypothèses!$V$10,Hypothèses!$X$10,IF(BG17&lt;=Hypothèses!$V$11,Hypothèses!$X$11,IF(BG17&lt;=Hypothèses!$V$12,Hypothèses!$X$12,IF(BG17&lt;=Hypothèses!$V$13,Hypothèses!$X$13,IF(BG17&lt;=Hypothèses!$V$14,Hypothèses!$X$14,IF(BG17&lt;=Hypothèses!$V$15,Hypothèses!$X$15,IF(BG17&lt;=Hypothèses!$V$16,Hypothèses!$X$16,IF(BG17&lt;=Hypothèses!$U$17,Hypothèses!$W$17,IF(BG17&lt;=Hypothèses!$U$18,Hypothèses!$W$18,""))))))))))))</f>
        <v>#DIV/0!</v>
      </c>
      <c r="CD17" s="95" t="e">
        <f t="shared" ca="1" si="81"/>
        <v>#DIV/0!</v>
      </c>
      <c r="CE17" s="101">
        <f>IF($I17=0,0,
IF(CD17&gt;5*CI$12,$I17,
IF($D17="Pressio.",1+($I17-1)*(CD17/CI$12)/5,
IF($D17="Pénétro.",IF($E17=1,0.3+($I17-0.3)*(CD17/CI$12)/5,
IF($E17=2,0.2+($I17-0.2)*(CD17/CI$12)/5,
IF($E17=3,0.1+($I17-0.1)*(CD17/CI$12)/5,
0.15+($I17-0.15)*(CD17/CI$12)/5)))))))</f>
        <v>0</v>
      </c>
      <c r="CF17" s="91">
        <f t="shared" si="34"/>
        <v>0</v>
      </c>
      <c r="CG17" s="30" t="e">
        <f t="shared" si="106"/>
        <v>#N/A</v>
      </c>
      <c r="CH17" s="30" t="e">
        <f t="shared" si="107"/>
        <v>#N/A</v>
      </c>
      <c r="CI17" s="31" t="e">
        <f>IF(OR(Hypothèses!$B$4=17,Hypothèses!$B$4=18,Hypothèses!$B$4=19,Hypothèses!$B$4=20),
IF($D17="Pressio.",
IF(OR($E17=3,$E17=1,$E17=4),CH17,CG17),
IF($D17="Pénétro.",
IF(OR($E17=3,$E17=1,$E17=4),CH17,CG17))),IF($D17="Pressio.",
IF($E17=3,CH17,CG17),
IF($D17="Pénétro.",
IF($E17=4,CH17,CG17))))</f>
        <v>#N/A</v>
      </c>
      <c r="CJ17" s="31">
        <v>0</v>
      </c>
      <c r="CK17" s="102" t="e">
        <f>IF(NDC!$H$10="Oui",(VLOOKUP($B$3,'Coeff EC7'!$T$39:$X$59,2,0)*CI17+VLOOKUP($B$3,'Coeff EC7'!$T$65:$X$85,2,0)*Model0.1T!CJ17)/1.5,PI()*CG$12*$Q17*($B17-$B16)*0.15/10+CK16)</f>
        <v>#N/A</v>
      </c>
      <c r="CL17" s="102" t="e">
        <f>(VLOOKUP($B$3,'Coeff EC7'!$T$39:$X$59,3,0)*CI17+VLOOKUP($B$3,'Coeff EC7'!$T$65:$X$85,3,0)*Model0.1T!CJ17)/1.1</f>
        <v>#N/A</v>
      </c>
      <c r="CM17" s="102" t="e">
        <f t="shared" si="82"/>
        <v>#N/A</v>
      </c>
      <c r="CN17" s="102" t="e">
        <f t="shared" si="83"/>
        <v>#N/A</v>
      </c>
      <c r="CO17" s="414" t="e">
        <f>IF(AND(CK17&gt;NDC!$C$63,CL17&gt;NDC!$C$65,CM17&gt;NDC!$D$73,CN17&gt;NDC!$D$74,$B17&gt;NDC!$H$22-0.1+MIN(3*CO$12,1.5)),0,1)</f>
        <v>#N/A</v>
      </c>
      <c r="CP17" s="86" t="b">
        <f t="shared" si="37"/>
        <v>0</v>
      </c>
      <c r="CQ17" s="86">
        <f t="shared" si="38"/>
        <v>0.5</v>
      </c>
      <c r="CR17" s="86">
        <f t="shared" si="39"/>
        <v>0.5</v>
      </c>
      <c r="CS17" s="30" t="e">
        <f t="shared" ca="1" si="84"/>
        <v>#DIV/0!</v>
      </c>
      <c r="CT17" s="85" t="e">
        <f ca="1">IF(BZ17&lt;=Hypothèses!$V$7,Hypothèses!$W$7,IF(BZ17&lt;=Hypothèses!$V$8,Hypothèses!$W$8,IF(BZ17&lt;=Hypothèses!$V$9,Hypothèses!$W$9,IF(BZ17&lt;=Hypothèses!$V$10,Hypothèses!$W$10,IF(BZ17&lt;=Hypothèses!$V$11,Hypothèses!$W$11,IF(BZ17&lt;=Hypothèses!$V$12,Hypothèses!$W$12,IF(BZ17&lt;=Hypothèses!$V$13,Hypothèses!$W$13,IF(BZ17&lt;=Hypothèses!$V$14,Hypothèses!$W$14,IF(BZ17&lt;=Hypothèses!$V$15,Hypothèses!$W$15,IF(BZ17&lt;=Hypothèses!$V$16,Hypothèses!$W$16,IF(BZ17&lt;=Hypothèses!$V$17,Hypothèses!$W$17,IF(BZ17&lt;=Hypothèses!$V$18,Hypothèses!$W$18,""))))))))))))</f>
        <v>#DIV/0!</v>
      </c>
      <c r="CU17" s="87" t="e">
        <f t="shared" ref="CU17:CU80" ca="1" si="120">IF(CT17&lt;&gt;"",CT17,CS17)</f>
        <v>#DIV/0!</v>
      </c>
      <c r="CV17" s="88" t="e">
        <f ca="1">IF(BZ17&lt;=Hypothèses!$V$7,Hypothèses!$X$7,IF(BZ17&lt;=Hypothèses!$V$8,Hypothèses!$X$8,IF(BZ17&lt;=Hypothèses!$V$9,Hypothèses!$X$9,IF(BZ17&lt;=Hypothèses!$V$10,Hypothèses!$X$10,IF(BZ17&lt;=Hypothèses!$V$11,Hypothèses!$X$11,IF(BZ17&lt;=Hypothèses!$V$12,Hypothèses!$X$12,IF(BZ17&lt;=Hypothèses!$V$13,Hypothèses!$X$13,IF(BZ17&lt;=Hypothèses!$V$14,Hypothèses!$X$14,IF(BZ17&lt;=Hypothèses!$V$15,Hypothèses!$X$15,IF(BZ17&lt;=Hypothèses!$V$16,Hypothèses!$X$16,IF(BZ17&lt;=Hypothèses!$U$17,Hypothèses!$W$17,IF(BZ17&lt;=Hypothèses!$U$18,Hypothèses!$W$18,""))))))))))))</f>
        <v>#DIV/0!</v>
      </c>
      <c r="CW17" s="95" t="e">
        <f t="shared" ca="1" si="85"/>
        <v>#DIV/0!</v>
      </c>
      <c r="CX17" s="101">
        <f>IF($I17=0,0,
IF(CW17&gt;5*DB$12,$I17,
IF($D17="Pressio.",1+($I17-1)*(CW17/DB$12)/5,
IF($D17="Pénétro.",IF($E17=1,0.3+($I17-0.3)*(CW17/DB$12)/5,
IF($E17=2,0.2+($I17-0.2)*(CW17/DB$12)/5,
IF($E17=3,0.1+($I17-0.1)*(CW17/DB$12)/5,
0.15+($I17-0.15)*(CW17/DB$12)/5)))))))</f>
        <v>0</v>
      </c>
      <c r="CY17" s="91">
        <f t="shared" si="41"/>
        <v>0</v>
      </c>
      <c r="CZ17" s="30" t="e">
        <f t="shared" si="108"/>
        <v>#N/A</v>
      </c>
      <c r="DA17" s="30" t="e">
        <f t="shared" si="109"/>
        <v>#N/A</v>
      </c>
      <c r="DB17" s="31" t="e">
        <f>IF(OR(Hypothèses!$B$4=17,Hypothèses!$B$4=18,Hypothèses!$B$4=19,Hypothèses!$B$4=20),
IF($D17="Pressio.",
IF(OR($E17=3,$E17=1,$E17=4),DA17,CZ17),
IF($D17="Pénétro.",
IF(OR($E17=3,$E17=1,$E17=4),DA17,CZ17))),IF($D17="Pressio.",
IF($E17=3,DA17,CZ17),
IF($D17="Pénétro.",
IF($E17=4,DA17,CZ17))))</f>
        <v>#N/A</v>
      </c>
      <c r="DC17" s="31">
        <v>0</v>
      </c>
      <c r="DD17" s="102" t="e">
        <f>IF(NDC!$H$10="Oui",(VLOOKUP($B$3,'Coeff EC7'!$T$39:$X$59,2,0)*DB17+VLOOKUP($B$3,'Coeff EC7'!$T$65:$X$85,2,0)*Model0.1T!DC17)/1.5,PI()*CZ$12*$Q17*($B17-$B16)*0.15/10+DD16)</f>
        <v>#N/A</v>
      </c>
      <c r="DE17" s="102" t="e">
        <f>(VLOOKUP($B$3,'Coeff EC7'!$T$39:$X$59,3,0)*DB17+VLOOKUP($B$3,'Coeff EC7'!$T$65:$X$85,3,0)*Model0.1T!DC17)/1.1</f>
        <v>#N/A</v>
      </c>
      <c r="DF17" s="102" t="e">
        <f t="shared" si="86"/>
        <v>#N/A</v>
      </c>
      <c r="DG17" s="102" t="e">
        <f t="shared" si="87"/>
        <v>#N/A</v>
      </c>
      <c r="DH17" s="414" t="e">
        <f>IF(AND(DD17&gt;NDC!$C$63,DE17&gt;NDC!$C$65,DF17&gt;NDC!$D$73,DG17&gt;NDC!$D$74,$B17&gt;NDC!$H$22-0.1+MIN(3*DH$12,1.5)),0,1)</f>
        <v>#N/A</v>
      </c>
      <c r="DI17" s="86" t="b">
        <f t="shared" si="44"/>
        <v>0</v>
      </c>
      <c r="DJ17" s="86">
        <f t="shared" si="45"/>
        <v>0.5</v>
      </c>
      <c r="DK17" s="86">
        <f t="shared" si="46"/>
        <v>0.5</v>
      </c>
      <c r="DL17" s="30" t="e">
        <f t="shared" ca="1" si="88"/>
        <v>#DIV/0!</v>
      </c>
      <c r="DM17" s="85" t="e">
        <f ca="1">IF(CS17&lt;=Hypothèses!$V$7,Hypothèses!$W$7,IF(CS17&lt;=Hypothèses!$V$8,Hypothèses!$W$8,IF(CS17&lt;=Hypothèses!$V$9,Hypothèses!$W$9,IF(CS17&lt;=Hypothèses!$V$10,Hypothèses!$W$10,IF(CS17&lt;=Hypothèses!$V$11,Hypothèses!$W$11,IF(CS17&lt;=Hypothèses!$V$12,Hypothèses!$W$12,IF(CS17&lt;=Hypothèses!$V$13,Hypothèses!$W$13,IF(CS17&lt;=Hypothèses!$V$14,Hypothèses!$W$14,IF(CS17&lt;=Hypothèses!$V$15,Hypothèses!$W$15,IF(CS17&lt;=Hypothèses!$V$16,Hypothèses!$W$16,IF(CS17&lt;=Hypothèses!$V$17,Hypothèses!$W$17,IF(CS17&lt;=Hypothèses!$V$18,Hypothèses!$W$18,""))))))))))))</f>
        <v>#DIV/0!</v>
      </c>
      <c r="DN17" s="87" t="e">
        <f t="shared" ref="DN17:DN80" ca="1" si="121">IF(DM17&lt;&gt;"",DM17,DL17)</f>
        <v>#DIV/0!</v>
      </c>
      <c r="DO17" s="88" t="e">
        <f ca="1">IF(CS17&lt;=Hypothèses!$V$7,Hypothèses!$X$7,IF(CS17&lt;=Hypothèses!$V$8,Hypothèses!$X$8,IF(CS17&lt;=Hypothèses!$V$9,Hypothèses!$X$9,IF(CS17&lt;=Hypothèses!$V$10,Hypothèses!$X$10,IF(CS17&lt;=Hypothèses!$V$11,Hypothèses!$X$11,IF(CS17&lt;=Hypothèses!$V$12,Hypothèses!$X$12,IF(CS17&lt;=Hypothèses!$V$13,Hypothèses!$X$13,IF(CS17&lt;=Hypothèses!$V$14,Hypothèses!$X$14,IF(CS17&lt;=Hypothèses!$V$15,Hypothèses!$X$15,IF(CS17&lt;=Hypothèses!$V$16,Hypothèses!$X$16,IF(CS17&lt;=Hypothèses!$U$17,Hypothèses!$W$17,IF(CS17&lt;=Hypothèses!$U$18,Hypothèses!$W$18,""))))))))))))</f>
        <v>#DIV/0!</v>
      </c>
      <c r="DP17" s="95" t="e">
        <f t="shared" ca="1" si="89"/>
        <v>#DIV/0!</v>
      </c>
      <c r="DQ17" s="101">
        <f>IF($I17=0,0,
IF(DP17&gt;5*DU$12,$I17,
IF($D17="Pressio.",1+($I17-1)*(DP17/DU$12)/5,
IF($D17="Pénétro.",IF($E17=1,0.3+($I17-0.3)*(DP17/DU$12)/5,
IF($E17=2,0.2+($I17-0.2)*(DP17/DU$12)/5,
IF($E17=3,0.1+($I17-0.1)*(DP17/DU$12)/5,
0.15+($I17-0.15)*(DP17/DU$12)/5)))))))</f>
        <v>0</v>
      </c>
      <c r="DR17" s="91">
        <f t="shared" si="48"/>
        <v>0</v>
      </c>
      <c r="DS17" s="30" t="e">
        <f t="shared" si="110"/>
        <v>#N/A</v>
      </c>
      <c r="DT17" s="30" t="e">
        <f t="shared" si="111"/>
        <v>#N/A</v>
      </c>
      <c r="DU17" s="31" t="e">
        <f>IF(OR(Hypothèses!$B$4=17,Hypothèses!$B$4=18,Hypothèses!$B$4=19,Hypothèses!$B$4=20),
IF($D17="Pressio.",
IF(OR($E17=3,$E17=1,$E17=4),DT17,DS17),
IF($D17="Pénétro.",
IF(OR($E17=3,$E17=1,$E17=4),DT17,DS17))),IF($D17="Pressio.",
IF($E17=3,DT17,DS17),
IF($D17="Pénétro.",
IF($E17=4,DT17,DS17))))</f>
        <v>#N/A</v>
      </c>
      <c r="DV17" s="31">
        <v>0</v>
      </c>
      <c r="DW17" s="102" t="e">
        <f>IF(NDC!$H$10="Oui",(VLOOKUP($B$3,'Coeff EC7'!$T$39:$X$59,2,0)*DU17+VLOOKUP($B$3,'Coeff EC7'!$T$65:$X$85,2,0)*Model0.1T!DV17)/1.5,PI()*DS$12*$Q17*($B17-$B16)*0.15/10+DW16)</f>
        <v>#N/A</v>
      </c>
      <c r="DX17" s="102" t="e">
        <f>(VLOOKUP($B$3,'Coeff EC7'!$T$39:$X$59,3,0)*DU17+VLOOKUP($B$3,'Coeff EC7'!$T$65:$X$85,3,0)*Model0.1T!DV17)/1.1</f>
        <v>#N/A</v>
      </c>
      <c r="DY17" s="102" t="e">
        <f t="shared" si="90"/>
        <v>#N/A</v>
      </c>
      <c r="DZ17" s="102" t="e">
        <f t="shared" si="91"/>
        <v>#N/A</v>
      </c>
      <c r="EA17" s="414" t="e">
        <f>IF(AND(DW17&gt;NDC!$C$63,DX17&gt;NDC!$C$65,DY17&gt;NDC!$D$73,DZ17&gt;NDC!$D$74,$B17&gt;NDC!$H$22-0.1+MIN(3*EA$12,1.5)),0,1)</f>
        <v>#N/A</v>
      </c>
      <c r="EB17" s="86" t="b">
        <f t="shared" si="51"/>
        <v>0</v>
      </c>
      <c r="EC17" s="418">
        <f t="shared" si="52"/>
        <v>0.51</v>
      </c>
      <c r="ED17" s="86">
        <f t="shared" si="53"/>
        <v>0.51</v>
      </c>
      <c r="EE17" s="30" t="e">
        <f t="shared" ca="1" si="92"/>
        <v>#DIV/0!</v>
      </c>
      <c r="EF17" s="85" t="e">
        <f ca="1">IF(DL17&lt;=Hypothèses!$V$7,Hypothèses!$W$7,IF(DL17&lt;=Hypothèses!$V$8,Hypothèses!$W$8,IF(DL17&lt;=Hypothèses!$V$9,Hypothèses!$W$9,IF(DL17&lt;=Hypothèses!$V$10,Hypothèses!$W$10,IF(DL17&lt;=Hypothèses!$V$11,Hypothèses!$W$11,IF(DL17&lt;=Hypothèses!$V$12,Hypothèses!$W$12,IF(DL17&lt;=Hypothèses!$V$13,Hypothèses!$W$13,IF(DL17&lt;=Hypothèses!$V$14,Hypothèses!$W$14,IF(DL17&lt;=Hypothèses!$V$15,Hypothèses!$W$15,IF(DL17&lt;=Hypothèses!$V$16,Hypothèses!$W$16,IF(DL17&lt;=Hypothèses!$V$17,Hypothèses!$W$17,IF(DL17&lt;=Hypothèses!$V$18,Hypothèses!$W$18,""))))))))))))</f>
        <v>#DIV/0!</v>
      </c>
      <c r="EG17" s="87" t="e">
        <f t="shared" ref="EG17:EG80" ca="1" si="122">IF(EF17&lt;&gt;"",EF17,EE17)</f>
        <v>#DIV/0!</v>
      </c>
      <c r="EH17" s="88" t="e">
        <f ca="1">IF(DL17&lt;=Hypothèses!$V$7,Hypothèses!$X$7,IF(DL17&lt;=Hypothèses!$V$8,Hypothèses!$X$8,IF(DL17&lt;=Hypothèses!$V$9,Hypothèses!$X$9,IF(DL17&lt;=Hypothèses!$V$10,Hypothèses!$X$10,IF(DL17&lt;=Hypothèses!$V$11,Hypothèses!$X$11,IF(DL17&lt;=Hypothèses!$V$12,Hypothèses!$X$12,IF(DL17&lt;=Hypothèses!$V$13,Hypothèses!$X$13,IF(DL17&lt;=Hypothèses!$V$14,Hypothèses!$X$14,IF(DL17&lt;=Hypothèses!$V$15,Hypothèses!$X$15,IF(DL17&lt;=Hypothèses!$V$16,Hypothèses!$X$16,IF(DL17&lt;=Hypothèses!$U$17,Hypothèses!$W$17,IF(DL17&lt;=Hypothèses!$U$18,Hypothèses!$W$18,""))))))))))))</f>
        <v>#DIV/0!</v>
      </c>
      <c r="EI17" s="95" t="e">
        <f t="shared" ca="1" si="93"/>
        <v>#DIV/0!</v>
      </c>
      <c r="EJ17" s="101">
        <f>IF($I17=0,0,
IF(EI17&gt;5*EN$12,$I17,
IF($D17="Pressio.",1+($I17-1)*(EI17/EN$12)/5,
IF($D17="Pénétro.",IF($E17=1,0.3+($I17-0.3)*(EI17/EN$12)/5,
IF($E17=2,0.2+($I17-0.2)*(EI17/EN$12)/5,
IF($E17=3,0.1+($I17-0.1)*(EI17/EN$12)/5,
0.15+($I17-0.15)*(EI17/EN$12)/5)))))))</f>
        <v>0</v>
      </c>
      <c r="EK17" s="91">
        <f t="shared" si="55"/>
        <v>0</v>
      </c>
      <c r="EL17" s="30" t="e">
        <f t="shared" si="112"/>
        <v>#N/A</v>
      </c>
      <c r="EM17" s="30" t="e">
        <f t="shared" si="113"/>
        <v>#N/A</v>
      </c>
      <c r="EN17" s="31" t="e">
        <f>IF(OR(Hypothèses!$B$4=17,Hypothèses!$B$4=18,Hypothèses!$B$4=19,Hypothèses!$B$4=20),
IF($D17="Pressio.",
IF(OR($E17=3,$E17=1,$E17=4),EM17,EL17),
IF($D17="Pénétro.",
IF(OR($E17=3,$E17=1,$E17=4),EM17,EL17))),IF($D17="Pressio.",
IF($E17=3,EM17,EL17),
IF($D17="Pénétro.",
IF($E17=4,EM17,EL17))))</f>
        <v>#N/A</v>
      </c>
      <c r="EO17" s="31">
        <v>0</v>
      </c>
      <c r="EP17" s="102" t="e">
        <f>IF(NDC!$H$10="Oui",(VLOOKUP($B$3,'Coeff EC7'!$T$39:$X$59,2,0)*EN17+VLOOKUP($B$3,'Coeff EC7'!$T$65:$X$85,2,0)*Model0.1T!EO17)/1.5,PI()*EL$12*$Q17*($B17-$B16)*0.15/10+EP16)</f>
        <v>#N/A</v>
      </c>
      <c r="EQ17" s="102" t="e">
        <f>(VLOOKUP($B$3,'Coeff EC7'!$T$39:$X$59,3,0)*EN17+VLOOKUP($B$3,'Coeff EC7'!$T$65:$X$85,3,0)*Model0.1T!EO17)/1.1</f>
        <v>#N/A</v>
      </c>
      <c r="ER17" s="102" t="e">
        <f t="shared" si="94"/>
        <v>#N/A</v>
      </c>
      <c r="ES17" s="102" t="e">
        <f t="shared" si="95"/>
        <v>#N/A</v>
      </c>
      <c r="ET17" s="414" t="e">
        <f>IF(AND(EP17&gt;NDC!$C$63,EQ17&gt;NDC!$C$65,ER17&gt;NDC!$D$73,ES17&gt;NDC!$D$74,$B17&gt;NDC!$H$22-0.1+MIN(3*ET$12,1.5)),0,1)</f>
        <v>#N/A</v>
      </c>
      <c r="EU17" s="86" t="b">
        <f t="shared" si="58"/>
        <v>0</v>
      </c>
      <c r="EV17" s="86">
        <f t="shared" si="59"/>
        <v>0.61</v>
      </c>
      <c r="EW17" s="86">
        <f t="shared" si="60"/>
        <v>0.61</v>
      </c>
      <c r="EX17" s="30" t="e">
        <f t="shared" ca="1" si="96"/>
        <v>#DIV/0!</v>
      </c>
      <c r="EY17" s="85" t="e">
        <f ca="1">IF(EE17&lt;=Hypothèses!$V$7,Hypothèses!$W$7,IF(EE17&lt;=Hypothèses!$V$8,Hypothèses!$W$8,IF(EE17&lt;=Hypothèses!$V$9,Hypothèses!$W$9,IF(EE17&lt;=Hypothèses!$V$10,Hypothèses!$W$10,IF(EE17&lt;=Hypothèses!$V$11,Hypothèses!$W$11,IF(EE17&lt;=Hypothèses!$V$12,Hypothèses!$W$12,IF(EE17&lt;=Hypothèses!$V$13,Hypothèses!$W$13,IF(EE17&lt;=Hypothèses!$V$14,Hypothèses!$W$14,IF(EE17&lt;=Hypothèses!$V$15,Hypothèses!$W$15,IF(EE17&lt;=Hypothèses!$V$16,Hypothèses!$W$16,IF(EE17&lt;=Hypothèses!$V$17,Hypothèses!$W$17,IF(EE17&lt;=Hypothèses!$V$18,Hypothèses!$W$18,""))))))))))))</f>
        <v>#DIV/0!</v>
      </c>
      <c r="EZ17" s="87" t="e">
        <f t="shared" ref="EZ17:EZ80" ca="1" si="123">IF(EY17&lt;&gt;"",EY17,EX17)</f>
        <v>#DIV/0!</v>
      </c>
      <c r="FA17" s="88" t="e">
        <f ca="1">IF(EE17&lt;=Hypothèses!$V$7,Hypothèses!$X$7,IF(EE17&lt;=Hypothèses!$V$8,Hypothèses!$X$8,IF(EE17&lt;=Hypothèses!$V$9,Hypothèses!$X$9,IF(EE17&lt;=Hypothèses!$V$10,Hypothèses!$X$10,IF(EE17&lt;=Hypothèses!$V$11,Hypothèses!$X$11,IF(EE17&lt;=Hypothèses!$V$12,Hypothèses!$X$12,IF(EE17&lt;=Hypothèses!$V$13,Hypothèses!$X$13,IF(EE17&lt;=Hypothèses!$V$14,Hypothèses!$X$14,IF(EE17&lt;=Hypothèses!$V$15,Hypothèses!$X$15,IF(EE17&lt;=Hypothèses!$V$16,Hypothèses!$X$16,IF(EE17&lt;=Hypothèses!$U$17,Hypothèses!$W$17,IF(EE17&lt;=Hypothèses!$U$18,Hypothèses!$W$18,""))))))))))))</f>
        <v>#DIV/0!</v>
      </c>
      <c r="FB17" s="95" t="e">
        <f t="shared" ca="1" si="97"/>
        <v>#DIV/0!</v>
      </c>
      <c r="FC17" s="101">
        <f>IF($I17=0,0,
IF(FB17&gt;5*FG$12,$I17,
IF($D17="Pressio.",1+($I17-1)*(FB17/FG$12)/5,
IF($D17="Pénétro.",IF($E17=1,0.3+($I17-0.3)*(FB17/FG$12)/5,
IF($E17=2,0.2+($I17-0.2)*(FB17/FG$12)/5,
IF($E17=3,0.1+($I17-0.1)*(FB17/FG$12)/5,
0.15+($I17-0.15)*(FB17/FG$12)/5)))))))</f>
        <v>0</v>
      </c>
      <c r="FD17" s="91">
        <f t="shared" si="62"/>
        <v>0</v>
      </c>
      <c r="FE17" s="30" t="e">
        <f t="shared" si="114"/>
        <v>#N/A</v>
      </c>
      <c r="FF17" s="30" t="e">
        <f t="shared" si="115"/>
        <v>#N/A</v>
      </c>
      <c r="FG17" s="31" t="e">
        <f>IF(OR(Hypothèses!$B$4=17,Hypothèses!$B$4=18,Hypothèses!$B$4=19,Hypothèses!$B$4=20),
IF($D17="Pressio.",
IF(OR($E17=3,$E17=1,$E17=4),FF17,FE17),
IF($D17="Pénétro.",
IF(OR($E17=3,$E17=1,$E17=4),FF17,FE17))),IF($D17="Pressio.",
IF($E17=3,FF17,FE17),
IF($D17="Pénétro.",
IF($E17=4,FF17,FE17))))</f>
        <v>#N/A</v>
      </c>
      <c r="FH17" s="31">
        <v>0</v>
      </c>
      <c r="FI17" s="102" t="e">
        <f>IF(NDC!$H$10="Oui",(VLOOKUP($B$3,'Coeff EC7'!$T$39:$X$59,2,0)*FG17+VLOOKUP($B$3,'Coeff EC7'!$T$65:$X$85,2,0)*Model0.1T!FH17)/1.5,PI()*FE$12*$Q17*($B17-$B16)*0.15/10+FI16)</f>
        <v>#N/A</v>
      </c>
      <c r="FJ17" s="102" t="e">
        <f>(VLOOKUP($B$3,'Coeff EC7'!$T$39:$X$59,3,0)*FG17+VLOOKUP($B$3,'Coeff EC7'!$T$65:$X$85,3,0)*Model0.1T!FH17)/1.1</f>
        <v>#N/A</v>
      </c>
      <c r="FK17" s="102" t="e">
        <f t="shared" si="98"/>
        <v>#N/A</v>
      </c>
      <c r="FL17" s="102" t="e">
        <f t="shared" si="99"/>
        <v>#N/A</v>
      </c>
      <c r="FM17" s="414" t="e">
        <f>IF(AND(FI17&gt;NDC!$C$63,FJ17&gt;NDC!$C$65,FK17&gt;NDC!$D$73,FL17&gt;NDC!$D$74,$B17&gt;NDC!$H$22-0.1+MIN(3*FM$12,1.5)),0,1)</f>
        <v>#N/A</v>
      </c>
    </row>
    <row r="18" spans="1:169">
      <c r="A18" s="96">
        <f t="shared" si="65"/>
        <v>99.500000000000028</v>
      </c>
      <c r="B18" s="97">
        <v>0.5</v>
      </c>
      <c r="C18" s="81">
        <f>IF(B18&lt;=Hypothèses!$C$7,Hypothèses!$A$7,IF(B18&lt;=Hypothèses!$C$8,Hypothèses!$A$8,IF(B18&lt;=Hypothèses!$C$9,Hypothèses!$A$9,IF(B18&lt;=Hypothèses!$C$10,Hypothèses!$A$10,IF(B18&lt;=Hypothèses!$C$11,Hypothèses!$A$11,IF(B18&lt;=Hypothèses!$C$12,Hypothèses!$A$12,IF(B18&lt;=Hypothèses!$C$13,Hypothèses!$A$13,IF(B18&lt;=Hypothèses!$C$14,Hypothèses!$A$14,IF(B18&lt;=Hypothèses!$C$15,Hypothèses!$A$15,IF(B18&lt;=Hypothèses!$C$16,Hypothèses!$A$16,IF(B18&lt;=Hypothèses!$C$17,Hypothèses!$A$17,IF(B18&lt;=Hypothèses!$C$18,Hypothèses!$A$18,C17))))))))))))</f>
        <v>11</v>
      </c>
      <c r="D18" s="82" t="str">
        <f>IF(B18&lt;=Hypothèses!$C$7,Hypothèses!$R$7,IF(B18&lt;=Hypothèses!$C$8,Hypothèses!$R$8,IF(B18&lt;=Hypothèses!$C$9,Hypothèses!$R$9,IF(B18&lt;=Hypothèses!$C$10,Hypothèses!$R$10,IF(B18&lt;=Hypothèses!$C$11,Hypothèses!$R$11,IF(B18&lt;=Hypothèses!$C$12,Hypothèses!$R$12,IF(B18&lt;=Hypothèses!$C$13,Hypothèses!$R$13,IF(B18&lt;=Hypothèses!$C$14,Hypothèses!$R$14,IF(B18&lt;=Hypothèses!$C$15,Hypothèses!$R$15,IF(B18&lt;=Hypothèses!$C$16,Hypothèses!$R$16,IF(B18&lt;=Hypothèses!$C$17,Hypothèses!$R$17,IF(B18&lt;=Hypothèses!$C$18,Hypothèses!$R$18,D17))))))))))))</f>
        <v>Pressio.</v>
      </c>
      <c r="E18" s="82" t="e">
        <f>IF(B18&lt;=Hypothèses!$C$7,Hypothèses!$G$7,IF(B18&lt;=Hypothèses!$C$8,Hypothèses!$G$8,IF(B18&lt;=Hypothèses!$C$9,Hypothèses!$G$9,IF(B18&lt;=Hypothèses!$C$10,Hypothèses!$G$10,IF(B18&lt;=Hypothèses!$C$11,Hypothèses!$G$11,IF(B18&lt;=Hypothèses!$C$12,Hypothèses!$G$12,IF(B18&lt;=Hypothèses!$C$13,Hypothèses!$G$13,IF(B18&lt;=Hypothèses!$C$14,Hypothèses!$G$14,IF(B18&lt;=Hypothèses!$C$15,Hypothèses!$G$15,IF(B18&lt;=Hypothèses!$C$16,Hypothèses!$G$16,IF(B18&lt;=Hypothèses!$C$17,Hypothèses!$G$17,IF(B18&lt;=Hypothèses!$C$18,Hypothèses!$G$18,E17))))))))))))</f>
        <v>#N/A</v>
      </c>
      <c r="F18" s="82" t="str">
        <f>IF(B18&lt;=Hypothèses!$C$7,Hypothèses!$F$7,IF(B18&lt;=Hypothèses!$C$8,Hypothèses!$F$8,IF(B18&lt;=Hypothèses!$C$9,Hypothèses!$F$9,IF(B18&lt;=Hypothèses!$C$10,Hypothèses!$F$10,IF(B18&lt;=Hypothèses!$C$11,Hypothèses!$F$11,IF(B18&lt;=Hypothèses!$C$12,Hypothèses!$F$12,IF(B18&lt;=Hypothèses!$C$13,Hypothèses!$F$13,IF(B18&lt;=Hypothèses!$C$14,Hypothèses!$F$14,IF(B18&lt;=Hypothèses!$C$15,Hypothèses!$F$15,IF(B18&lt;=Hypothèses!$C$16,Hypothèses!$F$16,IF(B18&lt;=Hypothèses!$C$17,Hypothèses!$F$17,IF(B18&lt;=Hypothèses!$C$18,Hypothèses!$F$18,F17))))))))))))</f>
        <v/>
      </c>
      <c r="G18" s="91">
        <f t="array" ref="G18">INDEX('Coeff EC7'!$U$7:$X$27,
MATCH(Model0.1T!$B$3,'Coeff EC7'!$T$7:$T$27,0),
MATCH(Model0.1T!$D18&amp;Model0.1T!$B$4,
'Coeff EC7'!$U$6:$X$6&amp;
'Coeff EC7'!$U$5:$X$5,0))</f>
        <v>1.4</v>
      </c>
      <c r="H18" s="91">
        <f t="array" ref="H18">INDEX('Coeff EC7'!$Y$7:$AB$27,
MATCH(Model0.1T!$B$3,'Coeff EC7'!$T$7:$T$27,0),
MATCH(Model0.1T!$D18&amp;Model0.1T!$B$4,
'Coeff EC7'!$Y$6:$AB$6&amp;
'Coeff EC7'!$Y$5:$AB$5,0))</f>
        <v>1.7</v>
      </c>
      <c r="I18" s="83">
        <v>0</v>
      </c>
      <c r="J18" s="91" t="e">
        <f t="array" ref="J18">INDEX('Coeff EC7'!$D$33:$Q$33,1,MATCH(D18&amp;E18,'Coeff EC7'!$D$31:$Q$31&amp;'Coeff EC7'!$D$32:$Q$32,0))</f>
        <v>#N/A</v>
      </c>
      <c r="K18" s="91" t="e">
        <f t="array" ref="K18">INDEX('Coeff EC7'!$D$34:$Q$34,1,MATCH(D18&amp;E18,'Coeff EC7'!$D$31:$Q$31&amp;'Coeff EC7'!$D$32:$Q$32,0))</f>
        <v>#N/A</v>
      </c>
      <c r="L18" s="91" t="e">
        <f t="array" ref="L18">INDEX('Coeff EC7'!$D$35:$Q$35,1,MATCH(D18&amp;E18,'Coeff EC7'!$D$31:$Q$31&amp;'Coeff EC7'!$D$32:$Q$32,0))</f>
        <v>#N/A</v>
      </c>
      <c r="M18" s="98" t="e">
        <f t="shared" si="8"/>
        <v>#N/A</v>
      </c>
      <c r="N18" s="99" t="e">
        <f t="array" ref="N18">INDEX('Coeff EC7'!$D$7:$Q$27,MATCH($B$3,'Coeff EC7'!$C$7:$C$27,0),MATCH(D18&amp;E18,'Coeff EC7'!$D$5:$Q$5&amp;'Coeff EC7'!$D$6:$Q$6,0))</f>
        <v>#N/A</v>
      </c>
      <c r="O18" s="99" t="e">
        <f t="array" ref="O18">INDEX('Coeff EC7'!$D$41:$Q$61,MATCH($B$3,'Coeff EC7'!$C$41:$C$61,0),MATCH(D18&amp;E18,'Coeff EC7'!$D$39:$Q$39&amp;'Coeff EC7'!$D$40:$Q$40,0))</f>
        <v>#N/A</v>
      </c>
      <c r="P18" s="30" t="e">
        <f t="shared" si="66"/>
        <v>#N/A</v>
      </c>
      <c r="Q18" s="100" t="e">
        <f t="shared" si="10"/>
        <v>#N/A</v>
      </c>
      <c r="R18" s="86" t="b">
        <f t="shared" si="11"/>
        <v>0</v>
      </c>
      <c r="S18" s="86">
        <f t="shared" si="9"/>
        <v>0.5</v>
      </c>
      <c r="T18" s="86">
        <f t="shared" si="12"/>
        <v>0.5</v>
      </c>
      <c r="U18" s="30" t="e">
        <f t="shared" ca="1" si="67"/>
        <v>#DIV/0!</v>
      </c>
      <c r="V18" s="85" t="str">
        <f>IF(B18&lt;=Hypothèses!$V$7,Hypothèses!$W$7,IF(B18&lt;=Hypothèses!$V$8,Hypothèses!$W$8,IF(B18&lt;=Hypothèses!$V$9,Hypothèses!$W$9,IF(B18&lt;=Hypothèses!$V$10,Hypothèses!$W$10,IF(B18&lt;=Hypothèses!$V$11,Hypothèses!$W$11,IF(B18&lt;=Hypothèses!$V$12,Hypothèses!$W$12,IF(B18&lt;=Hypothèses!$V$13,Hypothèses!$W$13,IF(B18&lt;=Hypothèses!$V$14,Hypothèses!$W$14,IF(B18&lt;=Hypothèses!$V$15,Hypothèses!$W$15,IF(B18&lt;=Hypothèses!$V$16,Hypothèses!$W$16,IF(B18&lt;=Hypothèses!$V$17,Hypothèses!$W$17,IF(B18&lt;=Hypothèses!$V$18,Hypothèses!$W$18,""))))))))))))</f>
        <v/>
      </c>
      <c r="W18" s="87" t="e">
        <f t="shared" ca="1" si="116"/>
        <v>#DIV/0!</v>
      </c>
      <c r="X18" s="88" t="str">
        <f>IF(B18&lt;=Hypothèses!$V$7,Hypothèses!$X$7,IF(B18&lt;=Hypothèses!$V$8,Hypothèses!$X$8,IF(B18&lt;=Hypothèses!$V$9,Hypothèses!$X$9,IF(B18&lt;=Hypothèses!$V$10,Hypothèses!$X$10,IF(B18&lt;=Hypothèses!$V$11,Hypothèses!$X$11,IF(B18&lt;=Hypothèses!$V$12,Hypothèses!$X$12,IF(B18&lt;=Hypothèses!$V$13,Hypothèses!$X$13,IF(B18&lt;=Hypothèses!$V$14,Hypothèses!$X$14,IF(B18&lt;=Hypothèses!$V$15,Hypothèses!$X$15,IF(B18&lt;=Hypothèses!$V$16,Hypothèses!$X$16,IF(B18&lt;=Hypothèses!$U$17,Hypothèses!$W$17,IF(B18&lt;=Hypothèses!$U$18,Hypothèses!$W$18,""))))))))))))</f>
        <v/>
      </c>
      <c r="Y18" s="95" t="e">
        <f t="shared" ca="1" si="13"/>
        <v>#DIV/0!</v>
      </c>
      <c r="Z18" s="101">
        <f t="shared" si="14"/>
        <v>0</v>
      </c>
      <c r="AA18" s="91">
        <f t="shared" si="15"/>
        <v>0</v>
      </c>
      <c r="AB18" s="30" t="e">
        <f t="shared" si="100"/>
        <v>#N/A</v>
      </c>
      <c r="AC18" s="30" t="e">
        <f t="shared" si="101"/>
        <v>#N/A</v>
      </c>
      <c r="AD18" s="31" t="e">
        <f>IF(OR(Hypothèses!$B$4=17,Hypothèses!$B$4=18,Hypothèses!$B$4=19,Hypothèses!$B$4=20),
IF($D18="Pressio.",
IF(OR($E18=3,$E18=1,$E18=4),AC18,AB18),
IF($D18="Pénétro.",
IF(OR($E18=3,$E18=1,$E18=4),AC18,AB18))),IF($D18="Pressio.",
IF($E18=3,AC18,AB18),
IF($D18="Pénétro.",
IF($E18=4,AC18,AB18))))</f>
        <v>#N/A</v>
      </c>
      <c r="AE18" s="31">
        <v>0</v>
      </c>
      <c r="AF18" s="102" t="e">
        <f>IF(NDC!$H$10="Oui",(VLOOKUP($B$3,'Coeff EC7'!$T$39:$X$59,2,0)*AD18+VLOOKUP($B$3,'Coeff EC7'!$T$65:$X$85,2,0)*Model0.1T!AE18)/1.5,PI()*AB$12*$Q18*($B18-$B17)*0.15/10+AF17)</f>
        <v>#N/A</v>
      </c>
      <c r="AG18" s="102" t="e">
        <f>(VLOOKUP($B$3,'Coeff EC7'!$T$39:$X$59,3,0)*AD18+VLOOKUP($B$3,'Coeff EC7'!$T$65:$X$85,3,0)*Model0.1T!AE18)/1.1</f>
        <v>#N/A</v>
      </c>
      <c r="AH18" s="102" t="e">
        <f t="shared" si="68"/>
        <v>#N/A</v>
      </c>
      <c r="AI18" s="102" t="e">
        <f t="shared" si="69"/>
        <v>#N/A</v>
      </c>
      <c r="AJ18" s="414" t="e">
        <f>IF(AND(AF18&gt;NDC!$C$63,AG18&gt;NDC!$C$65,AH18&gt;NDC!$D$73,AI18&gt;NDC!$D$74,$B18&gt;NDC!$H$22-0.1+MIN(3*$AJ$12,1.5)),0,1)</f>
        <v>#N/A</v>
      </c>
      <c r="AK18" s="86" t="b">
        <f t="shared" si="18"/>
        <v>0</v>
      </c>
      <c r="AL18" s="86">
        <f t="shared" si="70"/>
        <v>0.5</v>
      </c>
      <c r="AM18" s="86">
        <f t="shared" si="19"/>
        <v>0.5</v>
      </c>
      <c r="AN18" s="30" t="e">
        <f t="shared" ca="1" si="71"/>
        <v>#DIV/0!</v>
      </c>
      <c r="AO18" s="85" t="e">
        <f ca="1">IF(U18&lt;=Hypothèses!$V$7,Hypothèses!$W$7,IF(U18&lt;=Hypothèses!$V$8,Hypothèses!$W$8,IF(U18&lt;=Hypothèses!$V$9,Hypothèses!$W$9,IF(U18&lt;=Hypothèses!$V$10,Hypothèses!$W$10,IF(U18&lt;=Hypothèses!$V$11,Hypothèses!$W$11,IF(U18&lt;=Hypothèses!$V$12,Hypothèses!$W$12,IF(U18&lt;=Hypothèses!$V$13,Hypothèses!$W$13,IF(U18&lt;=Hypothèses!$V$14,Hypothèses!$W$14,IF(U18&lt;=Hypothèses!$V$15,Hypothèses!$W$15,IF(U18&lt;=Hypothèses!$V$16,Hypothèses!$W$16,IF(U18&lt;=Hypothèses!$V$17,Hypothèses!$W$17,IF(U18&lt;=Hypothèses!$V$18,Hypothèses!$W$18,""))))))))))))</f>
        <v>#DIV/0!</v>
      </c>
      <c r="AP18" s="87" t="e">
        <f t="shared" ca="1" si="117"/>
        <v>#DIV/0!</v>
      </c>
      <c r="AQ18" s="88" t="e">
        <f ca="1">IF(U18&lt;=Hypothèses!$V$7,Hypothèses!$X$7,IF(U18&lt;=Hypothèses!$V$8,Hypothèses!$X$8,IF(U18&lt;=Hypothèses!$V$9,Hypothèses!$X$9,IF(U18&lt;=Hypothèses!$V$10,Hypothèses!$X$10,IF(U18&lt;=Hypothèses!$V$11,Hypothèses!$X$11,IF(U18&lt;=Hypothèses!$V$12,Hypothèses!$X$12,IF(U18&lt;=Hypothèses!$V$13,Hypothèses!$X$13,IF(U18&lt;=Hypothèses!$V$14,Hypothèses!$X$14,IF(U18&lt;=Hypothèses!$V$15,Hypothèses!$X$15,IF(U18&lt;=Hypothèses!$V$16,Hypothèses!$X$16,IF(U18&lt;=Hypothèses!$U$17,Hypothèses!$W$17,IF(U18&lt;=Hypothèses!$U$18,Hypothèses!$W$18,""))))))))))))</f>
        <v>#DIV/0!</v>
      </c>
      <c r="AR18" s="95" t="e">
        <f t="shared" ca="1" si="72"/>
        <v>#DIV/0!</v>
      </c>
      <c r="AS18" s="101">
        <f t="shared" ref="AS18:AS81" si="124">IF($I18=0,0,
IF(AR18&gt;5*AW$12,$I18,
IF($D18="Pressio.",1+($I18-1)*(AR18/AW$12)/5,
IF($D18="Pénétro.",IF($E18=1,0.3+($I18-0.3)*(AR18/AW$12)/5,
IF($E18=2,0.2+($I18-0.2)*(AR18/AW$12)/5,
IF($E18=3,0.1+($I18-0.1)*(AR18/AW$12)/5,
0.15+($I18-0.15)*(AR18/AW$12)/5)))))))</f>
        <v>0</v>
      </c>
      <c r="AT18" s="91">
        <f t="shared" si="21"/>
        <v>0</v>
      </c>
      <c r="AU18" s="30" t="e">
        <f t="shared" si="102"/>
        <v>#N/A</v>
      </c>
      <c r="AV18" s="30" t="e">
        <f t="shared" si="103"/>
        <v>#N/A</v>
      </c>
      <c r="AW18" s="31" t="e">
        <f>IF(OR(Hypothèses!$B$4=17,Hypothèses!$B$4=18,Hypothèses!$B$4=19,Hypothèses!$B$4=20),
IF($D18="Pressio.",
IF(OR($E18=3,$E18=1,$E18=4),AV18,AU18),
IF($D18="Pénétro.",
IF(OR($E18=3,$E18=1,$E18=4),AV18,AU18))),IF($D18="Pressio.",
IF($E18=3,AV18,AU18),
IF($D18="Pénétro.",
IF($E18=4,AV18,AU18))))</f>
        <v>#N/A</v>
      </c>
      <c r="AX18" s="31">
        <v>0</v>
      </c>
      <c r="AY18" s="102" t="e">
        <f>IF(NDC!$H$10="Oui",(VLOOKUP($B$3,'Coeff EC7'!$T$39:$X$59,2,0)*AW18+VLOOKUP($B$3,'Coeff EC7'!$T$65:$X$85,2,0)*Model0.1T!AX18)/1.5,PI()*AU$12*$Q18*($B18-$B17)*0.15/10+AY17)</f>
        <v>#N/A</v>
      </c>
      <c r="AZ18" s="102" t="e">
        <f>(VLOOKUP($B$3,'Coeff EC7'!$T$39:$X$59,3,0)*AW18+VLOOKUP($B$3,'Coeff EC7'!$T$65:$X$85,3,0)*Model0.1T!AX18)/1.1</f>
        <v>#N/A</v>
      </c>
      <c r="BA18" s="102" t="e">
        <f t="shared" si="73"/>
        <v>#N/A</v>
      </c>
      <c r="BB18" s="102" t="e">
        <f t="shared" si="74"/>
        <v>#N/A</v>
      </c>
      <c r="BC18" s="414" t="e">
        <f>IF(AND(AY18&gt;NDC!$C$63,AZ18&gt;NDC!$C$65,BA18&gt;NDC!$D$73,BB18&gt;NDC!$D$74,$B18&gt;NDC!$H$22-0.1+MIN(3*BC$12,1.5)),0,1)</f>
        <v>#N/A</v>
      </c>
      <c r="BD18" s="86" t="b">
        <f t="shared" si="24"/>
        <v>0</v>
      </c>
      <c r="BE18" s="86">
        <f t="shared" si="75"/>
        <v>0.5</v>
      </c>
      <c r="BF18" s="86">
        <f t="shared" si="25"/>
        <v>0.5</v>
      </c>
      <c r="BG18" s="30" t="e">
        <f t="shared" ca="1" si="76"/>
        <v>#DIV/0!</v>
      </c>
      <c r="BH18" s="85" t="e">
        <f ca="1">IF(AN18&lt;=Hypothèses!$V$7,Hypothèses!$W$7,IF(AN18&lt;=Hypothèses!$V$8,Hypothèses!$W$8,IF(AN18&lt;=Hypothèses!$V$9,Hypothèses!$W$9,IF(AN18&lt;=Hypothèses!$V$10,Hypothèses!$W$10,IF(AN18&lt;=Hypothèses!$V$11,Hypothèses!$W$11,IF(AN18&lt;=Hypothèses!$V$12,Hypothèses!$W$12,IF(AN18&lt;=Hypothèses!$V$13,Hypothèses!$W$13,IF(AN18&lt;=Hypothèses!$V$14,Hypothèses!$W$14,IF(AN18&lt;=Hypothèses!$V$15,Hypothèses!$W$15,IF(AN18&lt;=Hypothèses!$V$16,Hypothèses!$W$16,IF(AN18&lt;=Hypothèses!$V$17,Hypothèses!$W$17,IF(AN18&lt;=Hypothèses!$V$18,Hypothèses!$W$18,""))))))))))))</f>
        <v>#DIV/0!</v>
      </c>
      <c r="BI18" s="87" t="e">
        <f t="shared" ca="1" si="118"/>
        <v>#DIV/0!</v>
      </c>
      <c r="BJ18" s="88" t="e">
        <f ca="1">IF(AN18&lt;=Hypothèses!$V$7,Hypothèses!$X$7,IF(AN18&lt;=Hypothèses!$V$8,Hypothèses!$X$8,IF(AN18&lt;=Hypothèses!$V$9,Hypothèses!$X$9,IF(AN18&lt;=Hypothèses!$V$10,Hypothèses!$X$10,IF(AN18&lt;=Hypothèses!$V$11,Hypothèses!$X$11,IF(AN18&lt;=Hypothèses!$V$12,Hypothèses!$X$12,IF(AN18&lt;=Hypothèses!$V$13,Hypothèses!$X$13,IF(AN18&lt;=Hypothèses!$V$14,Hypothèses!$X$14,IF(AN18&lt;=Hypothèses!$V$15,Hypothèses!$X$15,IF(AN18&lt;=Hypothèses!$V$16,Hypothèses!$X$16,IF(AN18&lt;=Hypothèses!$U$17,Hypothèses!$W$17,IF(AN18&lt;=Hypothèses!$U$18,Hypothèses!$W$18,""))))))))))))</f>
        <v>#DIV/0!</v>
      </c>
      <c r="BK18" s="95" t="e">
        <f t="shared" ca="1" si="77"/>
        <v>#DIV/0!</v>
      </c>
      <c r="BL18" s="101">
        <f t="shared" ref="BL18:BL81" si="125">IF($I18=0,0,
IF(BK18&gt;5*BP$12,$I18,
IF($D18="Pressio.",1+($I18-1)*(BK18/BP$12)/5,
IF($D18="Pénétro.",IF($E18=1,0.3+($I18-0.3)*(BK18/BP$12)/5,
IF($E18=2,0.2+($I18-0.2)*(BK18/BP$12)/5,
IF($E18=3,0.1+($I18-0.1)*(BK18/BP$12)/5,
0.15+($I18-0.15)*(BK18/BP$12)/5)))))))</f>
        <v>0</v>
      </c>
      <c r="BM18" s="91">
        <f t="shared" si="27"/>
        <v>0</v>
      </c>
      <c r="BN18" s="30" t="e">
        <f t="shared" si="104"/>
        <v>#N/A</v>
      </c>
      <c r="BO18" s="30" t="e">
        <f t="shared" si="105"/>
        <v>#N/A</v>
      </c>
      <c r="BP18" s="31" t="e">
        <f>IF(OR(Hypothèses!$B$4=17,Hypothèses!$B$4=18,Hypothèses!$B$4=19,Hypothèses!$B$4=20),
IF($D18="Pressio.",
IF(OR($E18=3,$E18=1,$E18=4),BO18,BN18),
IF($D18="Pénétro.",
IF(OR($E18=3,$E18=1,$E18=4),BO18,BN18))),IF($D18="Pressio.",
IF($E18=3,BO18,BN18),
IF($D18="Pénétro.",
IF($E18=4,BO18,BN18))))</f>
        <v>#N/A</v>
      </c>
      <c r="BQ18" s="31">
        <v>0</v>
      </c>
      <c r="BR18" s="102" t="e">
        <f>IF(NDC!$H$10="Oui",(VLOOKUP($B$3,'Coeff EC7'!$T$39:$X$59,2,0)*BP18+VLOOKUP($B$3,'Coeff EC7'!$T$65:$X$85,2,0)*Model0.1T!BQ18)/1.5,PI()*BN$12*$Q18*($B18-$B17)*0.15/10+BR17)</f>
        <v>#N/A</v>
      </c>
      <c r="BS18" s="102" t="e">
        <f>(VLOOKUP($B$3,'Coeff EC7'!$T$39:$X$59,3,0)*BP18+VLOOKUP($B$3,'Coeff EC7'!$T$65:$X$85,3,0)*Model0.1T!BQ18)/1.1</f>
        <v>#N/A</v>
      </c>
      <c r="BT18" s="102" t="e">
        <f t="shared" si="78"/>
        <v>#N/A</v>
      </c>
      <c r="BU18" s="102" t="e">
        <f t="shared" si="79"/>
        <v>#N/A</v>
      </c>
      <c r="BV18" s="414" t="e">
        <f>IF(AND(BR18&gt;NDC!$C$63,BS18&gt;NDC!$C$65,BT18&gt;NDC!$D$73,BU18&gt;NDC!$D$74,$B18&gt;NDC!$H$22-0.1+MIN(3*BV$12,1.5)),0,1)</f>
        <v>#N/A</v>
      </c>
      <c r="BW18" s="86" t="b">
        <f t="shared" si="30"/>
        <v>0</v>
      </c>
      <c r="BX18" s="86">
        <f t="shared" si="31"/>
        <v>0.5</v>
      </c>
      <c r="BY18" s="86">
        <f t="shared" si="32"/>
        <v>0.5</v>
      </c>
      <c r="BZ18" s="30" t="e">
        <f t="shared" ca="1" si="80"/>
        <v>#DIV/0!</v>
      </c>
      <c r="CA18" s="85" t="e">
        <f ca="1">IF(BG18&lt;=Hypothèses!$V$7,Hypothèses!$W$7,IF(BG18&lt;=Hypothèses!$V$8,Hypothèses!$W$8,IF(BG18&lt;=Hypothèses!$V$9,Hypothèses!$W$9,IF(BG18&lt;=Hypothèses!$V$10,Hypothèses!$W$10,IF(BG18&lt;=Hypothèses!$V$11,Hypothèses!$W$11,IF(BG18&lt;=Hypothèses!$V$12,Hypothèses!$W$12,IF(BG18&lt;=Hypothèses!$V$13,Hypothèses!$W$13,IF(BG18&lt;=Hypothèses!$V$14,Hypothèses!$W$14,IF(BG18&lt;=Hypothèses!$V$15,Hypothèses!$W$15,IF(BG18&lt;=Hypothèses!$V$16,Hypothèses!$W$16,IF(BG18&lt;=Hypothèses!$V$17,Hypothèses!$W$17,IF(BG18&lt;=Hypothèses!$V$18,Hypothèses!$W$18,""))))))))))))</f>
        <v>#DIV/0!</v>
      </c>
      <c r="CB18" s="87" t="e">
        <f t="shared" ca="1" si="119"/>
        <v>#DIV/0!</v>
      </c>
      <c r="CC18" s="88" t="e">
        <f ca="1">IF(BG18&lt;=Hypothèses!$V$7,Hypothèses!$X$7,IF(BG18&lt;=Hypothèses!$V$8,Hypothèses!$X$8,IF(BG18&lt;=Hypothèses!$V$9,Hypothèses!$X$9,IF(BG18&lt;=Hypothèses!$V$10,Hypothèses!$X$10,IF(BG18&lt;=Hypothèses!$V$11,Hypothèses!$X$11,IF(BG18&lt;=Hypothèses!$V$12,Hypothèses!$X$12,IF(BG18&lt;=Hypothèses!$V$13,Hypothèses!$X$13,IF(BG18&lt;=Hypothèses!$V$14,Hypothèses!$X$14,IF(BG18&lt;=Hypothèses!$V$15,Hypothèses!$X$15,IF(BG18&lt;=Hypothèses!$V$16,Hypothèses!$X$16,IF(BG18&lt;=Hypothèses!$U$17,Hypothèses!$W$17,IF(BG18&lt;=Hypothèses!$U$18,Hypothèses!$W$18,""))))))))))))</f>
        <v>#DIV/0!</v>
      </c>
      <c r="CD18" s="95" t="e">
        <f t="shared" ca="1" si="81"/>
        <v>#DIV/0!</v>
      </c>
      <c r="CE18" s="101">
        <f t="shared" ref="CE18:CE81" si="126">IF($I18=0,0,
IF(CD18&gt;5*CI$12,$I18,
IF($D18="Pressio.",1+($I18-1)*(CD18/CI$12)/5,
IF($D18="Pénétro.",IF($E18=1,0.3+($I18-0.3)*(CD18/CI$12)/5,
IF($E18=2,0.2+($I18-0.2)*(CD18/CI$12)/5,
IF($E18=3,0.1+($I18-0.1)*(CD18/CI$12)/5,
0.15+($I18-0.15)*(CD18/CI$12)/5)))))))</f>
        <v>0</v>
      </c>
      <c r="CF18" s="91">
        <f t="shared" si="34"/>
        <v>0</v>
      </c>
      <c r="CG18" s="30" t="e">
        <f t="shared" si="106"/>
        <v>#N/A</v>
      </c>
      <c r="CH18" s="30" t="e">
        <f t="shared" si="107"/>
        <v>#N/A</v>
      </c>
      <c r="CI18" s="31" t="e">
        <f>IF(OR(Hypothèses!$B$4=17,Hypothèses!$B$4=18,Hypothèses!$B$4=19,Hypothèses!$B$4=20),
IF($D18="Pressio.",
IF(OR($E18=3,$E18=1,$E18=4),CH18,CG18),
IF($D18="Pénétro.",
IF(OR($E18=3,$E18=1,$E18=4),CH18,CG18))),IF($D18="Pressio.",
IF($E18=3,CH18,CG18),
IF($D18="Pénétro.",
IF($E18=4,CH18,CG18))))</f>
        <v>#N/A</v>
      </c>
      <c r="CJ18" s="31">
        <v>0</v>
      </c>
      <c r="CK18" s="102" t="e">
        <f>IF(NDC!$H$10="Oui",(VLOOKUP($B$3,'Coeff EC7'!$T$39:$X$59,2,0)*CI18+VLOOKUP($B$3,'Coeff EC7'!$T$65:$X$85,2,0)*Model0.1T!CJ18)/1.5,PI()*CG$12*$Q18*($B18-$B17)*0.15/10+CK17)</f>
        <v>#N/A</v>
      </c>
      <c r="CL18" s="102" t="e">
        <f>(VLOOKUP($B$3,'Coeff EC7'!$T$39:$X$59,3,0)*CI18+VLOOKUP($B$3,'Coeff EC7'!$T$65:$X$85,3,0)*Model0.1T!CJ18)/1.1</f>
        <v>#N/A</v>
      </c>
      <c r="CM18" s="102" t="e">
        <f t="shared" si="82"/>
        <v>#N/A</v>
      </c>
      <c r="CN18" s="102" t="e">
        <f t="shared" si="83"/>
        <v>#N/A</v>
      </c>
      <c r="CO18" s="414" t="e">
        <f>IF(AND(CK18&gt;NDC!$C$63,CL18&gt;NDC!$C$65,CM18&gt;NDC!$D$73,CN18&gt;NDC!$D$74,$B18&gt;NDC!$H$22-0.1+MIN(3*CO$12,1.5)),0,1)</f>
        <v>#N/A</v>
      </c>
      <c r="CP18" s="86" t="b">
        <f t="shared" si="37"/>
        <v>0</v>
      </c>
      <c r="CQ18" s="86">
        <f t="shared" si="38"/>
        <v>0.5</v>
      </c>
      <c r="CR18" s="86">
        <f t="shared" si="39"/>
        <v>0.5</v>
      </c>
      <c r="CS18" s="30" t="e">
        <f t="shared" ca="1" si="84"/>
        <v>#DIV/0!</v>
      </c>
      <c r="CT18" s="85" t="e">
        <f ca="1">IF(BZ18&lt;=Hypothèses!$V$7,Hypothèses!$W$7,IF(BZ18&lt;=Hypothèses!$V$8,Hypothèses!$W$8,IF(BZ18&lt;=Hypothèses!$V$9,Hypothèses!$W$9,IF(BZ18&lt;=Hypothèses!$V$10,Hypothèses!$W$10,IF(BZ18&lt;=Hypothèses!$V$11,Hypothèses!$W$11,IF(BZ18&lt;=Hypothèses!$V$12,Hypothèses!$W$12,IF(BZ18&lt;=Hypothèses!$V$13,Hypothèses!$W$13,IF(BZ18&lt;=Hypothèses!$V$14,Hypothèses!$W$14,IF(BZ18&lt;=Hypothèses!$V$15,Hypothèses!$W$15,IF(BZ18&lt;=Hypothèses!$V$16,Hypothèses!$W$16,IF(BZ18&lt;=Hypothèses!$V$17,Hypothèses!$W$17,IF(BZ18&lt;=Hypothèses!$V$18,Hypothèses!$W$18,""))))))))))))</f>
        <v>#DIV/0!</v>
      </c>
      <c r="CU18" s="87" t="e">
        <f t="shared" ca="1" si="120"/>
        <v>#DIV/0!</v>
      </c>
      <c r="CV18" s="88" t="e">
        <f ca="1">IF(BZ18&lt;=Hypothèses!$V$7,Hypothèses!$X$7,IF(BZ18&lt;=Hypothèses!$V$8,Hypothèses!$X$8,IF(BZ18&lt;=Hypothèses!$V$9,Hypothèses!$X$9,IF(BZ18&lt;=Hypothèses!$V$10,Hypothèses!$X$10,IF(BZ18&lt;=Hypothèses!$V$11,Hypothèses!$X$11,IF(BZ18&lt;=Hypothèses!$V$12,Hypothèses!$X$12,IF(BZ18&lt;=Hypothèses!$V$13,Hypothèses!$X$13,IF(BZ18&lt;=Hypothèses!$V$14,Hypothèses!$X$14,IF(BZ18&lt;=Hypothèses!$V$15,Hypothèses!$X$15,IF(BZ18&lt;=Hypothèses!$V$16,Hypothèses!$X$16,IF(BZ18&lt;=Hypothèses!$U$17,Hypothèses!$W$17,IF(BZ18&lt;=Hypothèses!$U$18,Hypothèses!$W$18,""))))))))))))</f>
        <v>#DIV/0!</v>
      </c>
      <c r="CW18" s="95" t="e">
        <f t="shared" ca="1" si="85"/>
        <v>#DIV/0!</v>
      </c>
      <c r="CX18" s="101">
        <f t="shared" ref="CX18:CX81" si="127">IF($I18=0,0,
IF(CW18&gt;5*DB$12,$I18,
IF($D18="Pressio.",1+($I18-1)*(CW18/DB$12)/5,
IF($D18="Pénétro.",IF($E18=1,0.3+($I18-0.3)*(CW18/DB$12)/5,
IF($E18=2,0.2+($I18-0.2)*(CW18/DB$12)/5,
IF($E18=3,0.1+($I18-0.1)*(CW18/DB$12)/5,
0.15+($I18-0.15)*(CW18/DB$12)/5)))))))</f>
        <v>0</v>
      </c>
      <c r="CY18" s="91">
        <f t="shared" si="41"/>
        <v>0</v>
      </c>
      <c r="CZ18" s="30" t="e">
        <f t="shared" si="108"/>
        <v>#N/A</v>
      </c>
      <c r="DA18" s="30" t="e">
        <f t="shared" si="109"/>
        <v>#N/A</v>
      </c>
      <c r="DB18" s="31" t="e">
        <f>IF(OR(Hypothèses!$B$4=17,Hypothèses!$B$4=18,Hypothèses!$B$4=19,Hypothèses!$B$4=20),
IF($D18="Pressio.",
IF(OR($E18=3,$E18=1,$E18=4),DA18,CZ18),
IF($D18="Pénétro.",
IF(OR($E18=3,$E18=1,$E18=4),DA18,CZ18))),IF($D18="Pressio.",
IF($E18=3,DA18,CZ18),
IF($D18="Pénétro.",
IF($E18=4,DA18,CZ18))))</f>
        <v>#N/A</v>
      </c>
      <c r="DC18" s="31">
        <v>0</v>
      </c>
      <c r="DD18" s="102" t="e">
        <f>IF(NDC!$H$10="Oui",(VLOOKUP($B$3,'Coeff EC7'!$T$39:$X$59,2,0)*DB18+VLOOKUP($B$3,'Coeff EC7'!$T$65:$X$85,2,0)*Model0.1T!DC18)/1.5,PI()*CZ$12*$Q18*($B18-$B17)*0.15/10+DD17)</f>
        <v>#N/A</v>
      </c>
      <c r="DE18" s="102" t="e">
        <f>(VLOOKUP($B$3,'Coeff EC7'!$T$39:$X$59,3,0)*DB18+VLOOKUP($B$3,'Coeff EC7'!$T$65:$X$85,3,0)*Model0.1T!DC18)/1.1</f>
        <v>#N/A</v>
      </c>
      <c r="DF18" s="102" t="e">
        <f t="shared" si="86"/>
        <v>#N/A</v>
      </c>
      <c r="DG18" s="102" t="e">
        <f t="shared" si="87"/>
        <v>#N/A</v>
      </c>
      <c r="DH18" s="414" t="e">
        <f>IF(AND(DD18&gt;NDC!$C$63,DE18&gt;NDC!$C$65,DF18&gt;NDC!$D$73,DG18&gt;NDC!$D$74,$B18&gt;NDC!$H$22-0.1+MIN(3*DH$12,1.5)),0,1)</f>
        <v>#N/A</v>
      </c>
      <c r="DI18" s="86" t="b">
        <f t="shared" si="44"/>
        <v>0</v>
      </c>
      <c r="DJ18" s="86">
        <f t="shared" si="45"/>
        <v>0.5</v>
      </c>
      <c r="DK18" s="86">
        <f t="shared" si="46"/>
        <v>0.5</v>
      </c>
      <c r="DL18" s="30" t="e">
        <f t="shared" ca="1" si="88"/>
        <v>#DIV/0!</v>
      </c>
      <c r="DM18" s="85" t="e">
        <f ca="1">IF(CS18&lt;=Hypothèses!$V$7,Hypothèses!$W$7,IF(CS18&lt;=Hypothèses!$V$8,Hypothèses!$W$8,IF(CS18&lt;=Hypothèses!$V$9,Hypothèses!$W$9,IF(CS18&lt;=Hypothèses!$V$10,Hypothèses!$W$10,IF(CS18&lt;=Hypothèses!$V$11,Hypothèses!$W$11,IF(CS18&lt;=Hypothèses!$V$12,Hypothèses!$W$12,IF(CS18&lt;=Hypothèses!$V$13,Hypothèses!$W$13,IF(CS18&lt;=Hypothèses!$V$14,Hypothèses!$W$14,IF(CS18&lt;=Hypothèses!$V$15,Hypothèses!$W$15,IF(CS18&lt;=Hypothèses!$V$16,Hypothèses!$W$16,IF(CS18&lt;=Hypothèses!$V$17,Hypothèses!$W$17,IF(CS18&lt;=Hypothèses!$V$18,Hypothèses!$W$18,""))))))))))))</f>
        <v>#DIV/0!</v>
      </c>
      <c r="DN18" s="87" t="e">
        <f t="shared" ca="1" si="121"/>
        <v>#DIV/0!</v>
      </c>
      <c r="DO18" s="88" t="e">
        <f ca="1">IF(CS18&lt;=Hypothèses!$V$7,Hypothèses!$X$7,IF(CS18&lt;=Hypothèses!$V$8,Hypothèses!$X$8,IF(CS18&lt;=Hypothèses!$V$9,Hypothèses!$X$9,IF(CS18&lt;=Hypothèses!$V$10,Hypothèses!$X$10,IF(CS18&lt;=Hypothèses!$V$11,Hypothèses!$X$11,IF(CS18&lt;=Hypothèses!$V$12,Hypothèses!$X$12,IF(CS18&lt;=Hypothèses!$V$13,Hypothèses!$X$13,IF(CS18&lt;=Hypothèses!$V$14,Hypothèses!$X$14,IF(CS18&lt;=Hypothèses!$V$15,Hypothèses!$X$15,IF(CS18&lt;=Hypothèses!$V$16,Hypothèses!$X$16,IF(CS18&lt;=Hypothèses!$U$17,Hypothèses!$W$17,IF(CS18&lt;=Hypothèses!$U$18,Hypothèses!$W$18,""))))))))))))</f>
        <v>#DIV/0!</v>
      </c>
      <c r="DP18" s="95" t="e">
        <f t="shared" ca="1" si="89"/>
        <v>#DIV/0!</v>
      </c>
      <c r="DQ18" s="101">
        <f t="shared" ref="DQ18:DQ81" si="128">IF($I18=0,0,
IF(DP18&gt;5*DU$12,$I18,
IF($D18="Pressio.",1+($I18-1)*(DP18/DU$12)/5,
IF($D18="Pénétro.",IF($E18=1,0.3+($I18-0.3)*(DP18/DU$12)/5,
IF($E18=2,0.2+($I18-0.2)*(DP18/DU$12)/5,
IF($E18=3,0.1+($I18-0.1)*(DP18/DU$12)/5,
0.15+($I18-0.15)*(DP18/DU$12)/5)))))))</f>
        <v>0</v>
      </c>
      <c r="DR18" s="91">
        <f t="shared" si="48"/>
        <v>0</v>
      </c>
      <c r="DS18" s="30" t="e">
        <f t="shared" si="110"/>
        <v>#N/A</v>
      </c>
      <c r="DT18" s="30" t="e">
        <f t="shared" si="111"/>
        <v>#N/A</v>
      </c>
      <c r="DU18" s="31" t="e">
        <f>IF(OR(Hypothèses!$B$4=17,Hypothèses!$B$4=18,Hypothèses!$B$4=19,Hypothèses!$B$4=20),
IF($D18="Pressio.",
IF(OR($E18=3,$E18=1,$E18=4),DT18,DS18),
IF($D18="Pénétro.",
IF(OR($E18=3,$E18=1,$E18=4),DT18,DS18))),IF($D18="Pressio.",
IF($E18=3,DT18,DS18),
IF($D18="Pénétro.",
IF($E18=4,DT18,DS18))))</f>
        <v>#N/A</v>
      </c>
      <c r="DV18" s="31">
        <v>0</v>
      </c>
      <c r="DW18" s="102" t="e">
        <f>IF(NDC!$H$10="Oui",(VLOOKUP($B$3,'Coeff EC7'!$T$39:$X$59,2,0)*DU18+VLOOKUP($B$3,'Coeff EC7'!$T$65:$X$85,2,0)*Model0.1T!DV18)/1.5,PI()*DS$12*$Q18*($B18-$B17)*0.15/10+DW17)</f>
        <v>#N/A</v>
      </c>
      <c r="DX18" s="102" t="e">
        <f>(VLOOKUP($B$3,'Coeff EC7'!$T$39:$X$59,3,0)*DU18+VLOOKUP($B$3,'Coeff EC7'!$T$65:$X$85,3,0)*Model0.1T!DV18)/1.1</f>
        <v>#N/A</v>
      </c>
      <c r="DY18" s="102" t="e">
        <f t="shared" si="90"/>
        <v>#N/A</v>
      </c>
      <c r="DZ18" s="102" t="e">
        <f t="shared" si="91"/>
        <v>#N/A</v>
      </c>
      <c r="EA18" s="414" t="e">
        <f>IF(AND(DW18&gt;NDC!$C$63,DX18&gt;NDC!$C$65,DY18&gt;NDC!$D$73,DZ18&gt;NDC!$D$74,$B18&gt;NDC!$H$22-0.1+MIN(3*EA$12,1.5)),0,1)</f>
        <v>#N/A</v>
      </c>
      <c r="EB18" s="86" t="b">
        <f t="shared" si="51"/>
        <v>0</v>
      </c>
      <c r="EC18" s="418">
        <f t="shared" si="52"/>
        <v>0.51</v>
      </c>
      <c r="ED18" s="86">
        <f t="shared" si="53"/>
        <v>0.51</v>
      </c>
      <c r="EE18" s="30" t="e">
        <f t="shared" ca="1" si="92"/>
        <v>#DIV/0!</v>
      </c>
      <c r="EF18" s="85" t="e">
        <f ca="1">IF(DL18&lt;=Hypothèses!$V$7,Hypothèses!$W$7,IF(DL18&lt;=Hypothèses!$V$8,Hypothèses!$W$8,IF(DL18&lt;=Hypothèses!$V$9,Hypothèses!$W$9,IF(DL18&lt;=Hypothèses!$V$10,Hypothèses!$W$10,IF(DL18&lt;=Hypothèses!$V$11,Hypothèses!$W$11,IF(DL18&lt;=Hypothèses!$V$12,Hypothèses!$W$12,IF(DL18&lt;=Hypothèses!$V$13,Hypothèses!$W$13,IF(DL18&lt;=Hypothèses!$V$14,Hypothèses!$W$14,IF(DL18&lt;=Hypothèses!$V$15,Hypothèses!$W$15,IF(DL18&lt;=Hypothèses!$V$16,Hypothèses!$W$16,IF(DL18&lt;=Hypothèses!$V$17,Hypothèses!$W$17,IF(DL18&lt;=Hypothèses!$V$18,Hypothèses!$W$18,""))))))))))))</f>
        <v>#DIV/0!</v>
      </c>
      <c r="EG18" s="87" t="e">
        <f t="shared" ca="1" si="122"/>
        <v>#DIV/0!</v>
      </c>
      <c r="EH18" s="88" t="e">
        <f ca="1">IF(DL18&lt;=Hypothèses!$V$7,Hypothèses!$X$7,IF(DL18&lt;=Hypothèses!$V$8,Hypothèses!$X$8,IF(DL18&lt;=Hypothèses!$V$9,Hypothèses!$X$9,IF(DL18&lt;=Hypothèses!$V$10,Hypothèses!$X$10,IF(DL18&lt;=Hypothèses!$V$11,Hypothèses!$X$11,IF(DL18&lt;=Hypothèses!$V$12,Hypothèses!$X$12,IF(DL18&lt;=Hypothèses!$V$13,Hypothèses!$X$13,IF(DL18&lt;=Hypothèses!$V$14,Hypothèses!$X$14,IF(DL18&lt;=Hypothèses!$V$15,Hypothèses!$X$15,IF(DL18&lt;=Hypothèses!$V$16,Hypothèses!$X$16,IF(DL18&lt;=Hypothèses!$U$17,Hypothèses!$W$17,IF(DL18&lt;=Hypothèses!$U$18,Hypothèses!$W$18,""))))))))))))</f>
        <v>#DIV/0!</v>
      </c>
      <c r="EI18" s="95" t="e">
        <f t="shared" ca="1" si="93"/>
        <v>#DIV/0!</v>
      </c>
      <c r="EJ18" s="101">
        <f t="shared" ref="EJ18:EJ81" si="129">IF($I18=0,0,
IF(EI18&gt;5*EN$12,$I18,
IF($D18="Pressio.",1+($I18-1)*(EI18/EN$12)/5,
IF($D18="Pénétro.",IF($E18=1,0.3+($I18-0.3)*(EI18/EN$12)/5,
IF($E18=2,0.2+($I18-0.2)*(EI18/EN$12)/5,
IF($E18=3,0.1+($I18-0.1)*(EI18/EN$12)/5,
0.15+($I18-0.15)*(EI18/EN$12)/5)))))))</f>
        <v>0</v>
      </c>
      <c r="EK18" s="91">
        <f t="shared" si="55"/>
        <v>0</v>
      </c>
      <c r="EL18" s="30" t="e">
        <f t="shared" si="112"/>
        <v>#N/A</v>
      </c>
      <c r="EM18" s="30" t="e">
        <f t="shared" si="113"/>
        <v>#N/A</v>
      </c>
      <c r="EN18" s="31" t="e">
        <f>IF(OR(Hypothèses!$B$4=17,Hypothèses!$B$4=18,Hypothèses!$B$4=19,Hypothèses!$B$4=20),
IF($D18="Pressio.",
IF(OR($E18=3,$E18=1,$E18=4),EM18,EL18),
IF($D18="Pénétro.",
IF(OR($E18=3,$E18=1,$E18=4),EM18,EL18))),IF($D18="Pressio.",
IF($E18=3,EM18,EL18),
IF($D18="Pénétro.",
IF($E18=4,EM18,EL18))))</f>
        <v>#N/A</v>
      </c>
      <c r="EO18" s="31">
        <v>0</v>
      </c>
      <c r="EP18" s="102" t="e">
        <f>IF(NDC!$H$10="Oui",(VLOOKUP($B$3,'Coeff EC7'!$T$39:$X$59,2,0)*EN18+VLOOKUP($B$3,'Coeff EC7'!$T$65:$X$85,2,0)*Model0.1T!EO18)/1.5,PI()*EL$12*$Q18*($B18-$B17)*0.15/10+EP17)</f>
        <v>#N/A</v>
      </c>
      <c r="EQ18" s="102" t="e">
        <f>(VLOOKUP($B$3,'Coeff EC7'!$T$39:$X$59,3,0)*EN18+VLOOKUP($B$3,'Coeff EC7'!$T$65:$X$85,3,0)*Model0.1T!EO18)/1.1</f>
        <v>#N/A</v>
      </c>
      <c r="ER18" s="102" t="e">
        <f t="shared" si="94"/>
        <v>#N/A</v>
      </c>
      <c r="ES18" s="102" t="e">
        <f t="shared" si="95"/>
        <v>#N/A</v>
      </c>
      <c r="ET18" s="414" t="e">
        <f>IF(AND(EP18&gt;NDC!$C$63,EQ18&gt;NDC!$C$65,ER18&gt;NDC!$D$73,ES18&gt;NDC!$D$74,$B18&gt;NDC!$H$22-0.1+MIN(3*ET$12,1.5)),0,1)</f>
        <v>#N/A</v>
      </c>
      <c r="EU18" s="86" t="b">
        <f t="shared" si="58"/>
        <v>0</v>
      </c>
      <c r="EV18" s="86">
        <f t="shared" si="59"/>
        <v>0.61</v>
      </c>
      <c r="EW18" s="86">
        <f t="shared" si="60"/>
        <v>0.61</v>
      </c>
      <c r="EX18" s="30" t="e">
        <f t="shared" ca="1" si="96"/>
        <v>#DIV/0!</v>
      </c>
      <c r="EY18" s="85" t="e">
        <f ca="1">IF(EE18&lt;=Hypothèses!$V$7,Hypothèses!$W$7,IF(EE18&lt;=Hypothèses!$V$8,Hypothèses!$W$8,IF(EE18&lt;=Hypothèses!$V$9,Hypothèses!$W$9,IF(EE18&lt;=Hypothèses!$V$10,Hypothèses!$W$10,IF(EE18&lt;=Hypothèses!$V$11,Hypothèses!$W$11,IF(EE18&lt;=Hypothèses!$V$12,Hypothèses!$W$12,IF(EE18&lt;=Hypothèses!$V$13,Hypothèses!$W$13,IF(EE18&lt;=Hypothèses!$V$14,Hypothèses!$W$14,IF(EE18&lt;=Hypothèses!$V$15,Hypothèses!$W$15,IF(EE18&lt;=Hypothèses!$V$16,Hypothèses!$W$16,IF(EE18&lt;=Hypothèses!$V$17,Hypothèses!$W$17,IF(EE18&lt;=Hypothèses!$V$18,Hypothèses!$W$18,""))))))))))))</f>
        <v>#DIV/0!</v>
      </c>
      <c r="EZ18" s="87" t="e">
        <f t="shared" ca="1" si="123"/>
        <v>#DIV/0!</v>
      </c>
      <c r="FA18" s="88" t="e">
        <f ca="1">IF(EE18&lt;=Hypothèses!$V$7,Hypothèses!$X$7,IF(EE18&lt;=Hypothèses!$V$8,Hypothèses!$X$8,IF(EE18&lt;=Hypothèses!$V$9,Hypothèses!$X$9,IF(EE18&lt;=Hypothèses!$V$10,Hypothèses!$X$10,IF(EE18&lt;=Hypothèses!$V$11,Hypothèses!$X$11,IF(EE18&lt;=Hypothèses!$V$12,Hypothèses!$X$12,IF(EE18&lt;=Hypothèses!$V$13,Hypothèses!$X$13,IF(EE18&lt;=Hypothèses!$V$14,Hypothèses!$X$14,IF(EE18&lt;=Hypothèses!$V$15,Hypothèses!$X$15,IF(EE18&lt;=Hypothèses!$V$16,Hypothèses!$X$16,IF(EE18&lt;=Hypothèses!$U$17,Hypothèses!$W$17,IF(EE18&lt;=Hypothèses!$U$18,Hypothèses!$W$18,""))))))))))))</f>
        <v>#DIV/0!</v>
      </c>
      <c r="FB18" s="95" t="e">
        <f t="shared" ca="1" si="97"/>
        <v>#DIV/0!</v>
      </c>
      <c r="FC18" s="101">
        <f t="shared" ref="FC18:FC81" si="130">IF($I18=0,0,
IF(FB18&gt;5*FG$12,$I18,
IF($D18="Pressio.",1+($I18-1)*(FB18/FG$12)/5,
IF($D18="Pénétro.",IF($E18=1,0.3+($I18-0.3)*(FB18/FG$12)/5,
IF($E18=2,0.2+($I18-0.2)*(FB18/FG$12)/5,
IF($E18=3,0.1+($I18-0.1)*(FB18/FG$12)/5,
0.15+($I18-0.15)*(FB18/FG$12)/5)))))))</f>
        <v>0</v>
      </c>
      <c r="FD18" s="91">
        <f t="shared" si="62"/>
        <v>0</v>
      </c>
      <c r="FE18" s="30" t="e">
        <f t="shared" si="114"/>
        <v>#N/A</v>
      </c>
      <c r="FF18" s="30" t="e">
        <f t="shared" si="115"/>
        <v>#N/A</v>
      </c>
      <c r="FG18" s="31" t="e">
        <f>IF(OR(Hypothèses!$B$4=17,Hypothèses!$B$4=18,Hypothèses!$B$4=19,Hypothèses!$B$4=20),
IF($D18="Pressio.",
IF(OR($E18=3,$E18=1,$E18=4),FF18,FE18),
IF($D18="Pénétro.",
IF(OR($E18=3,$E18=1,$E18=4),FF18,FE18))),IF($D18="Pressio.",
IF($E18=3,FF18,FE18),
IF($D18="Pénétro.",
IF($E18=4,FF18,FE18))))</f>
        <v>#N/A</v>
      </c>
      <c r="FH18" s="31">
        <v>0</v>
      </c>
      <c r="FI18" s="102" t="e">
        <f>IF(NDC!$H$10="Oui",(VLOOKUP($B$3,'Coeff EC7'!$T$39:$X$59,2,0)*FG18+VLOOKUP($B$3,'Coeff EC7'!$T$65:$X$85,2,0)*Model0.1T!FH18)/1.5,PI()*FE$12*$Q18*($B18-$B17)*0.15/10+FI17)</f>
        <v>#N/A</v>
      </c>
      <c r="FJ18" s="102" t="e">
        <f>(VLOOKUP($B$3,'Coeff EC7'!$T$39:$X$59,3,0)*FG18+VLOOKUP($B$3,'Coeff EC7'!$T$65:$X$85,3,0)*Model0.1T!FH18)/1.1</f>
        <v>#N/A</v>
      </c>
      <c r="FK18" s="102" t="e">
        <f t="shared" si="98"/>
        <v>#N/A</v>
      </c>
      <c r="FL18" s="102" t="e">
        <f t="shared" si="99"/>
        <v>#N/A</v>
      </c>
      <c r="FM18" s="414" t="e">
        <f>IF(AND(FI18&gt;NDC!$C$63,FJ18&gt;NDC!$C$65,FK18&gt;NDC!$D$73,FL18&gt;NDC!$D$74,$B18&gt;NDC!$H$22-0.1+MIN(3*FM$12,1.5)),0,1)</f>
        <v>#N/A</v>
      </c>
    </row>
    <row r="19" spans="1:169">
      <c r="A19" s="96">
        <f t="shared" si="65"/>
        <v>99.400000000000034</v>
      </c>
      <c r="B19" s="97">
        <v>0.6</v>
      </c>
      <c r="C19" s="81">
        <f>IF(B19&lt;=Hypothèses!$C$7,Hypothèses!$A$7,IF(B19&lt;=Hypothèses!$C$8,Hypothèses!$A$8,IF(B19&lt;=Hypothèses!$C$9,Hypothèses!$A$9,IF(B19&lt;=Hypothèses!$C$10,Hypothèses!$A$10,IF(B19&lt;=Hypothèses!$C$11,Hypothèses!$A$11,IF(B19&lt;=Hypothèses!$C$12,Hypothèses!$A$12,IF(B19&lt;=Hypothèses!$C$13,Hypothèses!$A$13,IF(B19&lt;=Hypothèses!$C$14,Hypothèses!$A$14,IF(B19&lt;=Hypothèses!$C$15,Hypothèses!$A$15,IF(B19&lt;=Hypothèses!$C$16,Hypothèses!$A$16,IF(B19&lt;=Hypothèses!$C$17,Hypothèses!$A$17,IF(B19&lt;=Hypothèses!$C$18,Hypothèses!$A$18,C18))))))))))))</f>
        <v>11</v>
      </c>
      <c r="D19" s="82" t="str">
        <f>IF(B19&lt;=Hypothèses!$C$7,Hypothèses!$R$7,IF(B19&lt;=Hypothèses!$C$8,Hypothèses!$R$8,IF(B19&lt;=Hypothèses!$C$9,Hypothèses!$R$9,IF(B19&lt;=Hypothèses!$C$10,Hypothèses!$R$10,IF(B19&lt;=Hypothèses!$C$11,Hypothèses!$R$11,IF(B19&lt;=Hypothèses!$C$12,Hypothèses!$R$12,IF(B19&lt;=Hypothèses!$C$13,Hypothèses!$R$13,IF(B19&lt;=Hypothèses!$C$14,Hypothèses!$R$14,IF(B19&lt;=Hypothèses!$C$15,Hypothèses!$R$15,IF(B19&lt;=Hypothèses!$C$16,Hypothèses!$R$16,IF(B19&lt;=Hypothèses!$C$17,Hypothèses!$R$17,IF(B19&lt;=Hypothèses!$C$18,Hypothèses!$R$18,D18))))))))))))</f>
        <v>Pressio.</v>
      </c>
      <c r="E19" s="82" t="e">
        <f>IF(B19&lt;=Hypothèses!$C$7,Hypothèses!$G$7,IF(B19&lt;=Hypothèses!$C$8,Hypothèses!$G$8,IF(B19&lt;=Hypothèses!$C$9,Hypothèses!$G$9,IF(B19&lt;=Hypothèses!$C$10,Hypothèses!$G$10,IF(B19&lt;=Hypothèses!$C$11,Hypothèses!$G$11,IF(B19&lt;=Hypothèses!$C$12,Hypothèses!$G$12,IF(B19&lt;=Hypothèses!$C$13,Hypothèses!$G$13,IF(B19&lt;=Hypothèses!$C$14,Hypothèses!$G$14,IF(B19&lt;=Hypothèses!$C$15,Hypothèses!$G$15,IF(B19&lt;=Hypothèses!$C$16,Hypothèses!$G$16,IF(B19&lt;=Hypothèses!$C$17,Hypothèses!$G$17,IF(B19&lt;=Hypothèses!$C$18,Hypothèses!$G$18,E18))))))))))))</f>
        <v>#N/A</v>
      </c>
      <c r="F19" s="82" t="str">
        <f>IF(B19&lt;=Hypothèses!$C$7,Hypothèses!$F$7,IF(B19&lt;=Hypothèses!$C$8,Hypothèses!$F$8,IF(B19&lt;=Hypothèses!$C$9,Hypothèses!$F$9,IF(B19&lt;=Hypothèses!$C$10,Hypothèses!$F$10,IF(B19&lt;=Hypothèses!$C$11,Hypothèses!$F$11,IF(B19&lt;=Hypothèses!$C$12,Hypothèses!$F$12,IF(B19&lt;=Hypothèses!$C$13,Hypothèses!$F$13,IF(B19&lt;=Hypothèses!$C$14,Hypothèses!$F$14,IF(B19&lt;=Hypothèses!$C$15,Hypothèses!$F$15,IF(B19&lt;=Hypothèses!$C$16,Hypothèses!$F$16,IF(B19&lt;=Hypothèses!$C$17,Hypothèses!$F$17,IF(B19&lt;=Hypothèses!$C$18,Hypothèses!$F$18,F18))))))))))))</f>
        <v/>
      </c>
      <c r="G19" s="91">
        <f t="array" ref="G19">INDEX('Coeff EC7'!$U$7:$X$27,
MATCH(Model0.1T!$B$3,'Coeff EC7'!$T$7:$T$27,0),
MATCH(Model0.1T!$D19&amp;Model0.1T!$B$4,
'Coeff EC7'!$U$6:$X$6&amp;
'Coeff EC7'!$U$5:$X$5,0))</f>
        <v>1.4</v>
      </c>
      <c r="H19" s="91">
        <f t="array" ref="H19">INDEX('Coeff EC7'!$Y$7:$AB$27,
MATCH(Model0.1T!$B$3,'Coeff EC7'!$T$7:$T$27,0),
MATCH(Model0.1T!$D19&amp;Model0.1T!$B$4,
'Coeff EC7'!$Y$6:$AB$6&amp;
'Coeff EC7'!$Y$5:$AB$5,0))</f>
        <v>1.7</v>
      </c>
      <c r="I19" s="83">
        <v>0</v>
      </c>
      <c r="J19" s="91" t="e">
        <f t="array" ref="J19">INDEX('Coeff EC7'!$D$33:$Q$33,1,MATCH(D19&amp;E19,'Coeff EC7'!$D$31:$Q$31&amp;'Coeff EC7'!$D$32:$Q$32,0))</f>
        <v>#N/A</v>
      </c>
      <c r="K19" s="91" t="e">
        <f t="array" ref="K19">INDEX('Coeff EC7'!$D$34:$Q$34,1,MATCH(D19&amp;E19,'Coeff EC7'!$D$31:$Q$31&amp;'Coeff EC7'!$D$32:$Q$32,0))</f>
        <v>#N/A</v>
      </c>
      <c r="L19" s="91" t="e">
        <f t="array" ref="L19">INDEX('Coeff EC7'!$D$35:$Q$35,1,MATCH(D19&amp;E19,'Coeff EC7'!$D$31:$Q$31&amp;'Coeff EC7'!$D$32:$Q$32,0))</f>
        <v>#N/A</v>
      </c>
      <c r="M19" s="98" t="e">
        <f t="shared" si="8"/>
        <v>#N/A</v>
      </c>
      <c r="N19" s="99" t="e">
        <f t="array" ref="N19">INDEX('Coeff EC7'!$D$7:$Q$27,MATCH($B$3,'Coeff EC7'!$C$7:$C$27,0),MATCH(D19&amp;E19,'Coeff EC7'!$D$5:$Q$5&amp;'Coeff EC7'!$D$6:$Q$6,0))</f>
        <v>#N/A</v>
      </c>
      <c r="O19" s="99" t="e">
        <f t="array" ref="O19">INDEX('Coeff EC7'!$D$41:$Q$61,MATCH($B$3,'Coeff EC7'!$C$41:$C$61,0),MATCH(D19&amp;E19,'Coeff EC7'!$D$39:$Q$39&amp;'Coeff EC7'!$D$40:$Q$40,0))</f>
        <v>#N/A</v>
      </c>
      <c r="P19" s="30" t="e">
        <f t="shared" si="66"/>
        <v>#N/A</v>
      </c>
      <c r="Q19" s="100" t="e">
        <f t="shared" si="10"/>
        <v>#N/A</v>
      </c>
      <c r="R19" s="86" t="b">
        <f t="shared" si="11"/>
        <v>0</v>
      </c>
      <c r="S19" s="86">
        <f t="shared" si="9"/>
        <v>0.5</v>
      </c>
      <c r="T19" s="86">
        <f t="shared" si="12"/>
        <v>0.5</v>
      </c>
      <c r="U19" s="30" t="e">
        <f t="shared" ca="1" si="67"/>
        <v>#DIV/0!</v>
      </c>
      <c r="V19" s="85" t="str">
        <f>IF(B19&lt;=Hypothèses!$V$7,Hypothèses!$W$7,IF(B19&lt;=Hypothèses!$V$8,Hypothèses!$W$8,IF(B19&lt;=Hypothèses!$V$9,Hypothèses!$W$9,IF(B19&lt;=Hypothèses!$V$10,Hypothèses!$W$10,IF(B19&lt;=Hypothèses!$V$11,Hypothèses!$W$11,IF(B19&lt;=Hypothèses!$V$12,Hypothèses!$W$12,IF(B19&lt;=Hypothèses!$V$13,Hypothèses!$W$13,IF(B19&lt;=Hypothèses!$V$14,Hypothèses!$W$14,IF(B19&lt;=Hypothèses!$V$15,Hypothèses!$W$15,IF(B19&lt;=Hypothèses!$V$16,Hypothèses!$W$16,IF(B19&lt;=Hypothèses!$V$17,Hypothèses!$W$17,IF(B19&lt;=Hypothèses!$V$18,Hypothèses!$W$18,""))))))))))))</f>
        <v/>
      </c>
      <c r="W19" s="87" t="e">
        <f t="shared" ca="1" si="116"/>
        <v>#DIV/0!</v>
      </c>
      <c r="X19" s="88" t="str">
        <f>IF(B19&lt;=Hypothèses!$V$7,Hypothèses!$X$7,IF(B19&lt;=Hypothèses!$V$8,Hypothèses!$X$8,IF(B19&lt;=Hypothèses!$V$9,Hypothèses!$X$9,IF(B19&lt;=Hypothèses!$V$10,Hypothèses!$X$10,IF(B19&lt;=Hypothèses!$V$11,Hypothèses!$X$11,IF(B19&lt;=Hypothèses!$V$12,Hypothèses!$X$12,IF(B19&lt;=Hypothèses!$V$13,Hypothèses!$X$13,IF(B19&lt;=Hypothèses!$V$14,Hypothèses!$X$14,IF(B19&lt;=Hypothèses!$V$15,Hypothèses!$X$15,IF(B19&lt;=Hypothèses!$V$16,Hypothèses!$X$16,IF(B19&lt;=Hypothèses!$U$17,Hypothèses!$W$17,IF(B19&lt;=Hypothèses!$U$18,Hypothèses!$W$18,""))))))))))))</f>
        <v/>
      </c>
      <c r="Y19" s="95" t="e">
        <f t="shared" ca="1" si="13"/>
        <v>#DIV/0!</v>
      </c>
      <c r="Z19" s="101">
        <f t="shared" si="14"/>
        <v>0</v>
      </c>
      <c r="AA19" s="91">
        <f t="shared" si="15"/>
        <v>0</v>
      </c>
      <c r="AB19" s="30" t="e">
        <f t="shared" si="100"/>
        <v>#N/A</v>
      </c>
      <c r="AC19" s="30" t="e">
        <f t="shared" si="101"/>
        <v>#N/A</v>
      </c>
      <c r="AD19" s="31" t="e">
        <f>IF(OR(Hypothèses!$B$4=17,Hypothèses!$B$4=18,Hypothèses!$B$4=19,Hypothèses!$B$4=20),
IF($D19="Pressio.",
IF(OR($E19=3,$E19=1,$E19=4),AC19,AB19),
IF($D19="Pénétro.",
IF(OR($E19=3,$E19=1,$E19=4),AC19,AB19))),IF($D19="Pressio.",
IF($E19=3,AC19,AB19),
IF($D19="Pénétro.",
IF($E19=4,AC19,AB19))))</f>
        <v>#N/A</v>
      </c>
      <c r="AE19" s="31">
        <v>0</v>
      </c>
      <c r="AF19" s="102" t="e">
        <f>IF(NDC!$H$10="Oui",(VLOOKUP($B$3,'Coeff EC7'!$T$39:$X$59,2,0)*AD19+VLOOKUP($B$3,'Coeff EC7'!$T$65:$X$85,2,0)*Model0.1T!AE19)/1.5,PI()*AB$12*$Q19*($B19-$B18)*0.15/10+AF18)</f>
        <v>#N/A</v>
      </c>
      <c r="AG19" s="102" t="e">
        <f>(VLOOKUP($B$3,'Coeff EC7'!$T$39:$X$59,3,0)*AD19+VLOOKUP($B$3,'Coeff EC7'!$T$65:$X$85,3,0)*Model0.1T!AE19)/1.1</f>
        <v>#N/A</v>
      </c>
      <c r="AH19" s="102" t="e">
        <f t="shared" si="68"/>
        <v>#N/A</v>
      </c>
      <c r="AI19" s="102" t="e">
        <f t="shared" si="69"/>
        <v>#N/A</v>
      </c>
      <c r="AJ19" s="414" t="e">
        <f>IF(AND(AF19&gt;NDC!$C$63,AG19&gt;NDC!$C$65,AH19&gt;NDC!$D$73,AI19&gt;NDC!$D$74,$B19&gt;NDC!$H$22-0.1+MIN(3*$AJ$12,1.5)),0,1)</f>
        <v>#N/A</v>
      </c>
      <c r="AK19" s="86" t="b">
        <f t="shared" si="18"/>
        <v>0</v>
      </c>
      <c r="AL19" s="86">
        <f t="shared" si="70"/>
        <v>0.5</v>
      </c>
      <c r="AM19" s="86">
        <f t="shared" si="19"/>
        <v>0.5</v>
      </c>
      <c r="AN19" s="30" t="e">
        <f t="shared" ca="1" si="71"/>
        <v>#DIV/0!</v>
      </c>
      <c r="AO19" s="85" t="e">
        <f ca="1">IF(U19&lt;=Hypothèses!$V$7,Hypothèses!$W$7,IF(U19&lt;=Hypothèses!$V$8,Hypothèses!$W$8,IF(U19&lt;=Hypothèses!$V$9,Hypothèses!$W$9,IF(U19&lt;=Hypothèses!$V$10,Hypothèses!$W$10,IF(U19&lt;=Hypothèses!$V$11,Hypothèses!$W$11,IF(U19&lt;=Hypothèses!$V$12,Hypothèses!$W$12,IF(U19&lt;=Hypothèses!$V$13,Hypothèses!$W$13,IF(U19&lt;=Hypothèses!$V$14,Hypothèses!$W$14,IF(U19&lt;=Hypothèses!$V$15,Hypothèses!$W$15,IF(U19&lt;=Hypothèses!$V$16,Hypothèses!$W$16,IF(U19&lt;=Hypothèses!$V$17,Hypothèses!$W$17,IF(U19&lt;=Hypothèses!$V$18,Hypothèses!$W$18,""))))))))))))</f>
        <v>#DIV/0!</v>
      </c>
      <c r="AP19" s="87" t="e">
        <f t="shared" ca="1" si="117"/>
        <v>#DIV/0!</v>
      </c>
      <c r="AQ19" s="88" t="e">
        <f ca="1">IF(U19&lt;=Hypothèses!$V$7,Hypothèses!$X$7,IF(U19&lt;=Hypothèses!$V$8,Hypothèses!$X$8,IF(U19&lt;=Hypothèses!$V$9,Hypothèses!$X$9,IF(U19&lt;=Hypothèses!$V$10,Hypothèses!$X$10,IF(U19&lt;=Hypothèses!$V$11,Hypothèses!$X$11,IF(U19&lt;=Hypothèses!$V$12,Hypothèses!$X$12,IF(U19&lt;=Hypothèses!$V$13,Hypothèses!$X$13,IF(U19&lt;=Hypothèses!$V$14,Hypothèses!$X$14,IF(U19&lt;=Hypothèses!$V$15,Hypothèses!$X$15,IF(U19&lt;=Hypothèses!$V$16,Hypothèses!$X$16,IF(U19&lt;=Hypothèses!$U$17,Hypothèses!$W$17,IF(U19&lt;=Hypothèses!$U$18,Hypothèses!$W$18,""))))))))))))</f>
        <v>#DIV/0!</v>
      </c>
      <c r="AR19" s="95" t="e">
        <f t="shared" ca="1" si="72"/>
        <v>#DIV/0!</v>
      </c>
      <c r="AS19" s="101">
        <f t="shared" si="124"/>
        <v>0</v>
      </c>
      <c r="AT19" s="91">
        <f t="shared" si="21"/>
        <v>0</v>
      </c>
      <c r="AU19" s="30" t="e">
        <f t="shared" si="102"/>
        <v>#N/A</v>
      </c>
      <c r="AV19" s="30" t="e">
        <f t="shared" si="103"/>
        <v>#N/A</v>
      </c>
      <c r="AW19" s="31" t="e">
        <f>IF(OR(Hypothèses!$B$4=17,Hypothèses!$B$4=18,Hypothèses!$B$4=19,Hypothèses!$B$4=20),
IF($D19="Pressio.",
IF(OR($E19=3,$E19=1,$E19=4),AV19,AU19),
IF($D19="Pénétro.",
IF(OR($E19=3,$E19=1,$E19=4),AV19,AU19))),IF($D19="Pressio.",
IF($E19=3,AV19,AU19),
IF($D19="Pénétro.",
IF($E19=4,AV19,AU19))))</f>
        <v>#N/A</v>
      </c>
      <c r="AX19" s="31">
        <v>0</v>
      </c>
      <c r="AY19" s="102" t="e">
        <f>IF(NDC!$H$10="Oui",(VLOOKUP($B$3,'Coeff EC7'!$T$39:$X$59,2,0)*AW19+VLOOKUP($B$3,'Coeff EC7'!$T$65:$X$85,2,0)*Model0.1T!AX19)/1.5,PI()*AU$12*$Q19*($B19-$B18)*0.15/10+AY18)</f>
        <v>#N/A</v>
      </c>
      <c r="AZ19" s="102" t="e">
        <f>(VLOOKUP($B$3,'Coeff EC7'!$T$39:$X$59,3,0)*AW19+VLOOKUP($B$3,'Coeff EC7'!$T$65:$X$85,3,0)*Model0.1T!AX19)/1.1</f>
        <v>#N/A</v>
      </c>
      <c r="BA19" s="102" t="e">
        <f t="shared" si="73"/>
        <v>#N/A</v>
      </c>
      <c r="BB19" s="102" t="e">
        <f t="shared" si="74"/>
        <v>#N/A</v>
      </c>
      <c r="BC19" s="414" t="e">
        <f>IF(AND(AY19&gt;NDC!$C$63,AZ19&gt;NDC!$C$65,BA19&gt;NDC!$D$73,BB19&gt;NDC!$D$74,$B19&gt;NDC!$H$22-0.1+MIN(3*BC$12,1.5)),0,1)</f>
        <v>#N/A</v>
      </c>
      <c r="BD19" s="86" t="b">
        <f t="shared" si="24"/>
        <v>0</v>
      </c>
      <c r="BE19" s="86">
        <f t="shared" si="75"/>
        <v>0.5</v>
      </c>
      <c r="BF19" s="86">
        <f t="shared" si="25"/>
        <v>0.5</v>
      </c>
      <c r="BG19" s="30" t="e">
        <f t="shared" ca="1" si="76"/>
        <v>#DIV/0!</v>
      </c>
      <c r="BH19" s="85" t="e">
        <f ca="1">IF(AN19&lt;=Hypothèses!$V$7,Hypothèses!$W$7,IF(AN19&lt;=Hypothèses!$V$8,Hypothèses!$W$8,IF(AN19&lt;=Hypothèses!$V$9,Hypothèses!$W$9,IF(AN19&lt;=Hypothèses!$V$10,Hypothèses!$W$10,IF(AN19&lt;=Hypothèses!$V$11,Hypothèses!$W$11,IF(AN19&lt;=Hypothèses!$V$12,Hypothèses!$W$12,IF(AN19&lt;=Hypothèses!$V$13,Hypothèses!$W$13,IF(AN19&lt;=Hypothèses!$V$14,Hypothèses!$W$14,IF(AN19&lt;=Hypothèses!$V$15,Hypothèses!$W$15,IF(AN19&lt;=Hypothèses!$V$16,Hypothèses!$W$16,IF(AN19&lt;=Hypothèses!$V$17,Hypothèses!$W$17,IF(AN19&lt;=Hypothèses!$V$18,Hypothèses!$W$18,""))))))))))))</f>
        <v>#DIV/0!</v>
      </c>
      <c r="BI19" s="87" t="e">
        <f t="shared" ca="1" si="118"/>
        <v>#DIV/0!</v>
      </c>
      <c r="BJ19" s="88" t="e">
        <f ca="1">IF(AN19&lt;=Hypothèses!$V$7,Hypothèses!$X$7,IF(AN19&lt;=Hypothèses!$V$8,Hypothèses!$X$8,IF(AN19&lt;=Hypothèses!$V$9,Hypothèses!$X$9,IF(AN19&lt;=Hypothèses!$V$10,Hypothèses!$X$10,IF(AN19&lt;=Hypothèses!$V$11,Hypothèses!$X$11,IF(AN19&lt;=Hypothèses!$V$12,Hypothèses!$X$12,IF(AN19&lt;=Hypothèses!$V$13,Hypothèses!$X$13,IF(AN19&lt;=Hypothèses!$V$14,Hypothèses!$X$14,IF(AN19&lt;=Hypothèses!$V$15,Hypothèses!$X$15,IF(AN19&lt;=Hypothèses!$V$16,Hypothèses!$X$16,IF(AN19&lt;=Hypothèses!$U$17,Hypothèses!$W$17,IF(AN19&lt;=Hypothèses!$U$18,Hypothèses!$W$18,""))))))))))))</f>
        <v>#DIV/0!</v>
      </c>
      <c r="BK19" s="95" t="e">
        <f t="shared" ca="1" si="77"/>
        <v>#DIV/0!</v>
      </c>
      <c r="BL19" s="101">
        <f t="shared" si="125"/>
        <v>0</v>
      </c>
      <c r="BM19" s="91">
        <f t="shared" si="27"/>
        <v>0</v>
      </c>
      <c r="BN19" s="30" t="e">
        <f t="shared" si="104"/>
        <v>#N/A</v>
      </c>
      <c r="BO19" s="30" t="e">
        <f t="shared" si="105"/>
        <v>#N/A</v>
      </c>
      <c r="BP19" s="31" t="e">
        <f>IF(OR(Hypothèses!$B$4=17,Hypothèses!$B$4=18,Hypothèses!$B$4=19,Hypothèses!$B$4=20),
IF($D19="Pressio.",
IF(OR($E19=3,$E19=1,$E19=4),BO19,BN19),
IF($D19="Pénétro.",
IF(OR($E19=3,$E19=1,$E19=4),BO19,BN19))),IF($D19="Pressio.",
IF($E19=3,BO19,BN19),
IF($D19="Pénétro.",
IF($E19=4,BO19,BN19))))</f>
        <v>#N/A</v>
      </c>
      <c r="BQ19" s="31">
        <v>0</v>
      </c>
      <c r="BR19" s="102" t="e">
        <f>IF(NDC!$H$10="Oui",(VLOOKUP($B$3,'Coeff EC7'!$T$39:$X$59,2,0)*BP19+VLOOKUP($B$3,'Coeff EC7'!$T$65:$X$85,2,0)*Model0.1T!BQ19)/1.5,PI()*BN$12*$Q19*($B19-$B18)*0.15/10+BR18)</f>
        <v>#N/A</v>
      </c>
      <c r="BS19" s="102" t="e">
        <f>(VLOOKUP($B$3,'Coeff EC7'!$T$39:$X$59,3,0)*BP19+VLOOKUP($B$3,'Coeff EC7'!$T$65:$X$85,3,0)*Model0.1T!BQ19)/1.1</f>
        <v>#N/A</v>
      </c>
      <c r="BT19" s="102" t="e">
        <f t="shared" si="78"/>
        <v>#N/A</v>
      </c>
      <c r="BU19" s="102" t="e">
        <f t="shared" si="79"/>
        <v>#N/A</v>
      </c>
      <c r="BV19" s="414" t="e">
        <f>IF(AND(BR19&gt;NDC!$C$63,BS19&gt;NDC!$C$65,BT19&gt;NDC!$D$73,BU19&gt;NDC!$D$74,$B19&gt;NDC!$H$22-0.1+MIN(3*BV$12,1.5)),0,1)</f>
        <v>#N/A</v>
      </c>
      <c r="BW19" s="86" t="b">
        <f t="shared" si="30"/>
        <v>0</v>
      </c>
      <c r="BX19" s="86">
        <f t="shared" si="31"/>
        <v>0.5</v>
      </c>
      <c r="BY19" s="86">
        <f t="shared" si="32"/>
        <v>0.5</v>
      </c>
      <c r="BZ19" s="30" t="e">
        <f t="shared" ca="1" si="80"/>
        <v>#DIV/0!</v>
      </c>
      <c r="CA19" s="85" t="e">
        <f ca="1">IF(BG19&lt;=Hypothèses!$V$7,Hypothèses!$W$7,IF(BG19&lt;=Hypothèses!$V$8,Hypothèses!$W$8,IF(BG19&lt;=Hypothèses!$V$9,Hypothèses!$W$9,IF(BG19&lt;=Hypothèses!$V$10,Hypothèses!$W$10,IF(BG19&lt;=Hypothèses!$V$11,Hypothèses!$W$11,IF(BG19&lt;=Hypothèses!$V$12,Hypothèses!$W$12,IF(BG19&lt;=Hypothèses!$V$13,Hypothèses!$W$13,IF(BG19&lt;=Hypothèses!$V$14,Hypothèses!$W$14,IF(BG19&lt;=Hypothèses!$V$15,Hypothèses!$W$15,IF(BG19&lt;=Hypothèses!$V$16,Hypothèses!$W$16,IF(BG19&lt;=Hypothèses!$V$17,Hypothèses!$W$17,IF(BG19&lt;=Hypothèses!$V$18,Hypothèses!$W$18,""))))))))))))</f>
        <v>#DIV/0!</v>
      </c>
      <c r="CB19" s="87" t="e">
        <f t="shared" ca="1" si="119"/>
        <v>#DIV/0!</v>
      </c>
      <c r="CC19" s="88" t="e">
        <f ca="1">IF(BG19&lt;=Hypothèses!$V$7,Hypothèses!$X$7,IF(BG19&lt;=Hypothèses!$V$8,Hypothèses!$X$8,IF(BG19&lt;=Hypothèses!$V$9,Hypothèses!$X$9,IF(BG19&lt;=Hypothèses!$V$10,Hypothèses!$X$10,IF(BG19&lt;=Hypothèses!$V$11,Hypothèses!$X$11,IF(BG19&lt;=Hypothèses!$V$12,Hypothèses!$X$12,IF(BG19&lt;=Hypothèses!$V$13,Hypothèses!$X$13,IF(BG19&lt;=Hypothèses!$V$14,Hypothèses!$X$14,IF(BG19&lt;=Hypothèses!$V$15,Hypothèses!$X$15,IF(BG19&lt;=Hypothèses!$V$16,Hypothèses!$X$16,IF(BG19&lt;=Hypothèses!$U$17,Hypothèses!$W$17,IF(BG19&lt;=Hypothèses!$U$18,Hypothèses!$W$18,""))))))))))))</f>
        <v>#DIV/0!</v>
      </c>
      <c r="CD19" s="95" t="e">
        <f t="shared" ca="1" si="81"/>
        <v>#DIV/0!</v>
      </c>
      <c r="CE19" s="101">
        <f t="shared" si="126"/>
        <v>0</v>
      </c>
      <c r="CF19" s="91">
        <f t="shared" si="34"/>
        <v>0</v>
      </c>
      <c r="CG19" s="30" t="e">
        <f t="shared" si="106"/>
        <v>#N/A</v>
      </c>
      <c r="CH19" s="30" t="e">
        <f t="shared" si="107"/>
        <v>#N/A</v>
      </c>
      <c r="CI19" s="31" t="e">
        <f>IF(OR(Hypothèses!$B$4=17,Hypothèses!$B$4=18,Hypothèses!$B$4=19,Hypothèses!$B$4=20),
IF($D19="Pressio.",
IF(OR($E19=3,$E19=1,$E19=4),CH19,CG19),
IF($D19="Pénétro.",
IF(OR($E19=3,$E19=1,$E19=4),CH19,CG19))),IF($D19="Pressio.",
IF($E19=3,CH19,CG19),
IF($D19="Pénétro.",
IF($E19=4,CH19,CG19))))</f>
        <v>#N/A</v>
      </c>
      <c r="CJ19" s="31">
        <v>0</v>
      </c>
      <c r="CK19" s="102" t="e">
        <f>IF(NDC!$H$10="Oui",(VLOOKUP($B$3,'Coeff EC7'!$T$39:$X$59,2,0)*CI19+VLOOKUP($B$3,'Coeff EC7'!$T$65:$X$85,2,0)*Model0.1T!CJ19)/1.5,PI()*CG$12*$Q19*($B19-$B18)*0.15/10+CK18)</f>
        <v>#N/A</v>
      </c>
      <c r="CL19" s="102" t="e">
        <f>(VLOOKUP($B$3,'Coeff EC7'!$T$39:$X$59,3,0)*CI19+VLOOKUP($B$3,'Coeff EC7'!$T$65:$X$85,3,0)*Model0.1T!CJ19)/1.1</f>
        <v>#N/A</v>
      </c>
      <c r="CM19" s="102" t="e">
        <f t="shared" si="82"/>
        <v>#N/A</v>
      </c>
      <c r="CN19" s="102" t="e">
        <f t="shared" si="83"/>
        <v>#N/A</v>
      </c>
      <c r="CO19" s="414" t="e">
        <f>IF(AND(CK19&gt;NDC!$C$63,CL19&gt;NDC!$C$65,CM19&gt;NDC!$D$73,CN19&gt;NDC!$D$74,$B19&gt;NDC!$H$22-0.1+MIN(3*CO$12,1.5)),0,1)</f>
        <v>#N/A</v>
      </c>
      <c r="CP19" s="86" t="b">
        <f t="shared" si="37"/>
        <v>0</v>
      </c>
      <c r="CQ19" s="86">
        <f t="shared" si="38"/>
        <v>0.5</v>
      </c>
      <c r="CR19" s="86">
        <f t="shared" si="39"/>
        <v>0.5</v>
      </c>
      <c r="CS19" s="30" t="e">
        <f t="shared" ca="1" si="84"/>
        <v>#DIV/0!</v>
      </c>
      <c r="CT19" s="85" t="e">
        <f ca="1">IF(BZ19&lt;=Hypothèses!$V$7,Hypothèses!$W$7,IF(BZ19&lt;=Hypothèses!$V$8,Hypothèses!$W$8,IF(BZ19&lt;=Hypothèses!$V$9,Hypothèses!$W$9,IF(BZ19&lt;=Hypothèses!$V$10,Hypothèses!$W$10,IF(BZ19&lt;=Hypothèses!$V$11,Hypothèses!$W$11,IF(BZ19&lt;=Hypothèses!$V$12,Hypothèses!$W$12,IF(BZ19&lt;=Hypothèses!$V$13,Hypothèses!$W$13,IF(BZ19&lt;=Hypothèses!$V$14,Hypothèses!$W$14,IF(BZ19&lt;=Hypothèses!$V$15,Hypothèses!$W$15,IF(BZ19&lt;=Hypothèses!$V$16,Hypothèses!$W$16,IF(BZ19&lt;=Hypothèses!$V$17,Hypothèses!$W$17,IF(BZ19&lt;=Hypothèses!$V$18,Hypothèses!$W$18,""))))))))))))</f>
        <v>#DIV/0!</v>
      </c>
      <c r="CU19" s="87" t="e">
        <f t="shared" ca="1" si="120"/>
        <v>#DIV/0!</v>
      </c>
      <c r="CV19" s="88" t="e">
        <f ca="1">IF(BZ19&lt;=Hypothèses!$V$7,Hypothèses!$X$7,IF(BZ19&lt;=Hypothèses!$V$8,Hypothèses!$X$8,IF(BZ19&lt;=Hypothèses!$V$9,Hypothèses!$X$9,IF(BZ19&lt;=Hypothèses!$V$10,Hypothèses!$X$10,IF(BZ19&lt;=Hypothèses!$V$11,Hypothèses!$X$11,IF(BZ19&lt;=Hypothèses!$V$12,Hypothèses!$X$12,IF(BZ19&lt;=Hypothèses!$V$13,Hypothèses!$X$13,IF(BZ19&lt;=Hypothèses!$V$14,Hypothèses!$X$14,IF(BZ19&lt;=Hypothèses!$V$15,Hypothèses!$X$15,IF(BZ19&lt;=Hypothèses!$V$16,Hypothèses!$X$16,IF(BZ19&lt;=Hypothèses!$U$17,Hypothèses!$W$17,IF(BZ19&lt;=Hypothèses!$U$18,Hypothèses!$W$18,""))))))))))))</f>
        <v>#DIV/0!</v>
      </c>
      <c r="CW19" s="95" t="e">
        <f t="shared" ca="1" si="85"/>
        <v>#DIV/0!</v>
      </c>
      <c r="CX19" s="101">
        <f t="shared" si="127"/>
        <v>0</v>
      </c>
      <c r="CY19" s="91">
        <f t="shared" si="41"/>
        <v>0</v>
      </c>
      <c r="CZ19" s="30" t="e">
        <f t="shared" si="108"/>
        <v>#N/A</v>
      </c>
      <c r="DA19" s="30" t="e">
        <f t="shared" si="109"/>
        <v>#N/A</v>
      </c>
      <c r="DB19" s="31" t="e">
        <f>IF(OR(Hypothèses!$B$4=17,Hypothèses!$B$4=18,Hypothèses!$B$4=19,Hypothèses!$B$4=20),
IF($D19="Pressio.",
IF(OR($E19=3,$E19=1,$E19=4),DA19,CZ19),
IF($D19="Pénétro.",
IF(OR($E19=3,$E19=1,$E19=4),DA19,CZ19))),IF($D19="Pressio.",
IF($E19=3,DA19,CZ19),
IF($D19="Pénétro.",
IF($E19=4,DA19,CZ19))))</f>
        <v>#N/A</v>
      </c>
      <c r="DC19" s="31">
        <v>0</v>
      </c>
      <c r="DD19" s="102" t="e">
        <f>IF(NDC!$H$10="Oui",(VLOOKUP($B$3,'Coeff EC7'!$T$39:$X$59,2,0)*DB19+VLOOKUP($B$3,'Coeff EC7'!$T$65:$X$85,2,0)*Model0.1T!DC19)/1.5,PI()*CZ$12*$Q19*($B19-$B18)*0.15/10+DD18)</f>
        <v>#N/A</v>
      </c>
      <c r="DE19" s="102" t="e">
        <f>(VLOOKUP($B$3,'Coeff EC7'!$T$39:$X$59,3,0)*DB19+VLOOKUP($B$3,'Coeff EC7'!$T$65:$X$85,3,0)*Model0.1T!DC19)/1.1</f>
        <v>#N/A</v>
      </c>
      <c r="DF19" s="102" t="e">
        <f t="shared" si="86"/>
        <v>#N/A</v>
      </c>
      <c r="DG19" s="102" t="e">
        <f t="shared" si="87"/>
        <v>#N/A</v>
      </c>
      <c r="DH19" s="414" t="e">
        <f>IF(AND(DD19&gt;NDC!$C$63,DE19&gt;NDC!$C$65,DF19&gt;NDC!$D$73,DG19&gt;NDC!$D$74,$B19&gt;NDC!$H$22-0.1+MIN(3*DH$12,1.5)),0,1)</f>
        <v>#N/A</v>
      </c>
      <c r="DI19" s="86" t="b">
        <f t="shared" si="44"/>
        <v>0</v>
      </c>
      <c r="DJ19" s="86">
        <f t="shared" si="45"/>
        <v>0.5</v>
      </c>
      <c r="DK19" s="86">
        <f t="shared" si="46"/>
        <v>0.5</v>
      </c>
      <c r="DL19" s="30" t="e">
        <f t="shared" ca="1" si="88"/>
        <v>#DIV/0!</v>
      </c>
      <c r="DM19" s="85" t="e">
        <f ca="1">IF(CS19&lt;=Hypothèses!$V$7,Hypothèses!$W$7,IF(CS19&lt;=Hypothèses!$V$8,Hypothèses!$W$8,IF(CS19&lt;=Hypothèses!$V$9,Hypothèses!$W$9,IF(CS19&lt;=Hypothèses!$V$10,Hypothèses!$W$10,IF(CS19&lt;=Hypothèses!$V$11,Hypothèses!$W$11,IF(CS19&lt;=Hypothèses!$V$12,Hypothèses!$W$12,IF(CS19&lt;=Hypothèses!$V$13,Hypothèses!$W$13,IF(CS19&lt;=Hypothèses!$V$14,Hypothèses!$W$14,IF(CS19&lt;=Hypothèses!$V$15,Hypothèses!$W$15,IF(CS19&lt;=Hypothèses!$V$16,Hypothèses!$W$16,IF(CS19&lt;=Hypothèses!$V$17,Hypothèses!$W$17,IF(CS19&lt;=Hypothèses!$V$18,Hypothèses!$W$18,""))))))))))))</f>
        <v>#DIV/0!</v>
      </c>
      <c r="DN19" s="87" t="e">
        <f t="shared" ca="1" si="121"/>
        <v>#DIV/0!</v>
      </c>
      <c r="DO19" s="88" t="e">
        <f ca="1">IF(CS19&lt;=Hypothèses!$V$7,Hypothèses!$X$7,IF(CS19&lt;=Hypothèses!$V$8,Hypothèses!$X$8,IF(CS19&lt;=Hypothèses!$V$9,Hypothèses!$X$9,IF(CS19&lt;=Hypothèses!$V$10,Hypothèses!$X$10,IF(CS19&lt;=Hypothèses!$V$11,Hypothèses!$X$11,IF(CS19&lt;=Hypothèses!$V$12,Hypothèses!$X$12,IF(CS19&lt;=Hypothèses!$V$13,Hypothèses!$X$13,IF(CS19&lt;=Hypothèses!$V$14,Hypothèses!$X$14,IF(CS19&lt;=Hypothèses!$V$15,Hypothèses!$X$15,IF(CS19&lt;=Hypothèses!$V$16,Hypothèses!$X$16,IF(CS19&lt;=Hypothèses!$U$17,Hypothèses!$W$17,IF(CS19&lt;=Hypothèses!$U$18,Hypothèses!$W$18,""))))))))))))</f>
        <v>#DIV/0!</v>
      </c>
      <c r="DP19" s="95" t="e">
        <f t="shared" ca="1" si="89"/>
        <v>#DIV/0!</v>
      </c>
      <c r="DQ19" s="101">
        <f t="shared" si="128"/>
        <v>0</v>
      </c>
      <c r="DR19" s="91">
        <f t="shared" si="48"/>
        <v>0</v>
      </c>
      <c r="DS19" s="30" t="e">
        <f t="shared" si="110"/>
        <v>#N/A</v>
      </c>
      <c r="DT19" s="30" t="e">
        <f t="shared" si="111"/>
        <v>#N/A</v>
      </c>
      <c r="DU19" s="31" t="e">
        <f>IF(OR(Hypothèses!$B$4=17,Hypothèses!$B$4=18,Hypothèses!$B$4=19,Hypothèses!$B$4=20),
IF($D19="Pressio.",
IF(OR($E19=3,$E19=1,$E19=4),DT19,DS19),
IF($D19="Pénétro.",
IF(OR($E19=3,$E19=1,$E19=4),DT19,DS19))),IF($D19="Pressio.",
IF($E19=3,DT19,DS19),
IF($D19="Pénétro.",
IF($E19=4,DT19,DS19))))</f>
        <v>#N/A</v>
      </c>
      <c r="DV19" s="31">
        <v>0</v>
      </c>
      <c r="DW19" s="102" t="e">
        <f>IF(NDC!$H$10="Oui",(VLOOKUP($B$3,'Coeff EC7'!$T$39:$X$59,2,0)*DU19+VLOOKUP($B$3,'Coeff EC7'!$T$65:$X$85,2,0)*Model0.1T!DV19)/1.5,PI()*DS$12*$Q19*($B19-$B18)*0.15/10+DW18)</f>
        <v>#N/A</v>
      </c>
      <c r="DX19" s="102" t="e">
        <f>(VLOOKUP($B$3,'Coeff EC7'!$T$39:$X$59,3,0)*DU19+VLOOKUP($B$3,'Coeff EC7'!$T$65:$X$85,3,0)*Model0.1T!DV19)/1.1</f>
        <v>#N/A</v>
      </c>
      <c r="DY19" s="102" t="e">
        <f t="shared" si="90"/>
        <v>#N/A</v>
      </c>
      <c r="DZ19" s="102" t="e">
        <f t="shared" si="91"/>
        <v>#N/A</v>
      </c>
      <c r="EA19" s="414" t="e">
        <f>IF(AND(DW19&gt;NDC!$C$63,DX19&gt;NDC!$C$65,DY19&gt;NDC!$D$73,DZ19&gt;NDC!$D$74,$B19&gt;NDC!$H$22-0.1+MIN(3*EA$12,1.5)),0,1)</f>
        <v>#N/A</v>
      </c>
      <c r="EB19" s="86" t="b">
        <f t="shared" si="51"/>
        <v>0</v>
      </c>
      <c r="EC19" s="418">
        <f t="shared" si="52"/>
        <v>0.51</v>
      </c>
      <c r="ED19" s="86">
        <f t="shared" si="53"/>
        <v>0.51</v>
      </c>
      <c r="EE19" s="30" t="e">
        <f t="shared" ca="1" si="92"/>
        <v>#DIV/0!</v>
      </c>
      <c r="EF19" s="85" t="e">
        <f ca="1">IF(DL19&lt;=Hypothèses!$V$7,Hypothèses!$W$7,IF(DL19&lt;=Hypothèses!$V$8,Hypothèses!$W$8,IF(DL19&lt;=Hypothèses!$V$9,Hypothèses!$W$9,IF(DL19&lt;=Hypothèses!$V$10,Hypothèses!$W$10,IF(DL19&lt;=Hypothèses!$V$11,Hypothèses!$W$11,IF(DL19&lt;=Hypothèses!$V$12,Hypothèses!$W$12,IF(DL19&lt;=Hypothèses!$V$13,Hypothèses!$W$13,IF(DL19&lt;=Hypothèses!$V$14,Hypothèses!$W$14,IF(DL19&lt;=Hypothèses!$V$15,Hypothèses!$W$15,IF(DL19&lt;=Hypothèses!$V$16,Hypothèses!$W$16,IF(DL19&lt;=Hypothèses!$V$17,Hypothèses!$W$17,IF(DL19&lt;=Hypothèses!$V$18,Hypothèses!$W$18,""))))))))))))</f>
        <v>#DIV/0!</v>
      </c>
      <c r="EG19" s="87" t="e">
        <f t="shared" ca="1" si="122"/>
        <v>#DIV/0!</v>
      </c>
      <c r="EH19" s="88" t="e">
        <f ca="1">IF(DL19&lt;=Hypothèses!$V$7,Hypothèses!$X$7,IF(DL19&lt;=Hypothèses!$V$8,Hypothèses!$X$8,IF(DL19&lt;=Hypothèses!$V$9,Hypothèses!$X$9,IF(DL19&lt;=Hypothèses!$V$10,Hypothèses!$X$10,IF(DL19&lt;=Hypothèses!$V$11,Hypothèses!$X$11,IF(DL19&lt;=Hypothèses!$V$12,Hypothèses!$X$12,IF(DL19&lt;=Hypothèses!$V$13,Hypothèses!$X$13,IF(DL19&lt;=Hypothèses!$V$14,Hypothèses!$X$14,IF(DL19&lt;=Hypothèses!$V$15,Hypothèses!$X$15,IF(DL19&lt;=Hypothèses!$V$16,Hypothèses!$X$16,IF(DL19&lt;=Hypothèses!$U$17,Hypothèses!$W$17,IF(DL19&lt;=Hypothèses!$U$18,Hypothèses!$W$18,""))))))))))))</f>
        <v>#DIV/0!</v>
      </c>
      <c r="EI19" s="95" t="e">
        <f t="shared" ca="1" si="93"/>
        <v>#DIV/0!</v>
      </c>
      <c r="EJ19" s="101">
        <f t="shared" si="129"/>
        <v>0</v>
      </c>
      <c r="EK19" s="91">
        <f t="shared" si="55"/>
        <v>0</v>
      </c>
      <c r="EL19" s="30" t="e">
        <f t="shared" si="112"/>
        <v>#N/A</v>
      </c>
      <c r="EM19" s="30" t="e">
        <f t="shared" si="113"/>
        <v>#N/A</v>
      </c>
      <c r="EN19" s="31" t="e">
        <f>IF(OR(Hypothèses!$B$4=17,Hypothèses!$B$4=18,Hypothèses!$B$4=19,Hypothèses!$B$4=20),
IF($D19="Pressio.",
IF(OR($E19=3,$E19=1,$E19=4),EM19,EL19),
IF($D19="Pénétro.",
IF(OR($E19=3,$E19=1,$E19=4),EM19,EL19))),IF($D19="Pressio.",
IF($E19=3,EM19,EL19),
IF($D19="Pénétro.",
IF($E19=4,EM19,EL19))))</f>
        <v>#N/A</v>
      </c>
      <c r="EO19" s="31">
        <v>0</v>
      </c>
      <c r="EP19" s="102" t="e">
        <f>IF(NDC!$H$10="Oui",(VLOOKUP($B$3,'Coeff EC7'!$T$39:$X$59,2,0)*EN19+VLOOKUP($B$3,'Coeff EC7'!$T$65:$X$85,2,0)*Model0.1T!EO19)/1.5,PI()*EL$12*$Q19*($B19-$B18)*0.15/10+EP18)</f>
        <v>#N/A</v>
      </c>
      <c r="EQ19" s="102" t="e">
        <f>(VLOOKUP($B$3,'Coeff EC7'!$T$39:$X$59,3,0)*EN19+VLOOKUP($B$3,'Coeff EC7'!$T$65:$X$85,3,0)*Model0.1T!EO19)/1.1</f>
        <v>#N/A</v>
      </c>
      <c r="ER19" s="102" t="e">
        <f t="shared" si="94"/>
        <v>#N/A</v>
      </c>
      <c r="ES19" s="102" t="e">
        <f t="shared" si="95"/>
        <v>#N/A</v>
      </c>
      <c r="ET19" s="414" t="e">
        <f>IF(AND(EP19&gt;NDC!$C$63,EQ19&gt;NDC!$C$65,ER19&gt;NDC!$D$73,ES19&gt;NDC!$D$74,$B19&gt;NDC!$H$22-0.1+MIN(3*ET$12,1.5)),0,1)</f>
        <v>#N/A</v>
      </c>
      <c r="EU19" s="86" t="b">
        <f t="shared" si="58"/>
        <v>0</v>
      </c>
      <c r="EV19" s="86">
        <f t="shared" si="59"/>
        <v>0.61</v>
      </c>
      <c r="EW19" s="86">
        <f t="shared" si="60"/>
        <v>0.61</v>
      </c>
      <c r="EX19" s="30" t="e">
        <f t="shared" ca="1" si="96"/>
        <v>#DIV/0!</v>
      </c>
      <c r="EY19" s="85" t="e">
        <f ca="1">IF(EE19&lt;=Hypothèses!$V$7,Hypothèses!$W$7,IF(EE19&lt;=Hypothèses!$V$8,Hypothèses!$W$8,IF(EE19&lt;=Hypothèses!$V$9,Hypothèses!$W$9,IF(EE19&lt;=Hypothèses!$V$10,Hypothèses!$W$10,IF(EE19&lt;=Hypothèses!$V$11,Hypothèses!$W$11,IF(EE19&lt;=Hypothèses!$V$12,Hypothèses!$W$12,IF(EE19&lt;=Hypothèses!$V$13,Hypothèses!$W$13,IF(EE19&lt;=Hypothèses!$V$14,Hypothèses!$W$14,IF(EE19&lt;=Hypothèses!$V$15,Hypothèses!$W$15,IF(EE19&lt;=Hypothèses!$V$16,Hypothèses!$W$16,IF(EE19&lt;=Hypothèses!$V$17,Hypothèses!$W$17,IF(EE19&lt;=Hypothèses!$V$18,Hypothèses!$W$18,""))))))))))))</f>
        <v>#DIV/0!</v>
      </c>
      <c r="EZ19" s="87" t="e">
        <f t="shared" ca="1" si="123"/>
        <v>#DIV/0!</v>
      </c>
      <c r="FA19" s="88" t="e">
        <f ca="1">IF(EE19&lt;=Hypothèses!$V$7,Hypothèses!$X$7,IF(EE19&lt;=Hypothèses!$V$8,Hypothèses!$X$8,IF(EE19&lt;=Hypothèses!$V$9,Hypothèses!$X$9,IF(EE19&lt;=Hypothèses!$V$10,Hypothèses!$X$10,IF(EE19&lt;=Hypothèses!$V$11,Hypothèses!$X$11,IF(EE19&lt;=Hypothèses!$V$12,Hypothèses!$X$12,IF(EE19&lt;=Hypothèses!$V$13,Hypothèses!$X$13,IF(EE19&lt;=Hypothèses!$V$14,Hypothèses!$X$14,IF(EE19&lt;=Hypothèses!$V$15,Hypothèses!$X$15,IF(EE19&lt;=Hypothèses!$V$16,Hypothèses!$X$16,IF(EE19&lt;=Hypothèses!$U$17,Hypothèses!$W$17,IF(EE19&lt;=Hypothèses!$U$18,Hypothèses!$W$18,""))))))))))))</f>
        <v>#DIV/0!</v>
      </c>
      <c r="FB19" s="95" t="e">
        <f t="shared" ca="1" si="97"/>
        <v>#DIV/0!</v>
      </c>
      <c r="FC19" s="101">
        <f t="shared" si="130"/>
        <v>0</v>
      </c>
      <c r="FD19" s="91">
        <f t="shared" si="62"/>
        <v>0</v>
      </c>
      <c r="FE19" s="30" t="e">
        <f t="shared" si="114"/>
        <v>#N/A</v>
      </c>
      <c r="FF19" s="30" t="e">
        <f t="shared" si="115"/>
        <v>#N/A</v>
      </c>
      <c r="FG19" s="31" t="e">
        <f>IF(OR(Hypothèses!$B$4=17,Hypothèses!$B$4=18,Hypothèses!$B$4=19,Hypothèses!$B$4=20),
IF($D19="Pressio.",
IF(OR($E19=3,$E19=1,$E19=4),FF19,FE19),
IF($D19="Pénétro.",
IF(OR($E19=3,$E19=1,$E19=4),FF19,FE19))),IF($D19="Pressio.",
IF($E19=3,FF19,FE19),
IF($D19="Pénétro.",
IF($E19=4,FF19,FE19))))</f>
        <v>#N/A</v>
      </c>
      <c r="FH19" s="31">
        <v>0</v>
      </c>
      <c r="FI19" s="102" t="e">
        <f>IF(NDC!$H$10="Oui",(VLOOKUP($B$3,'Coeff EC7'!$T$39:$X$59,2,0)*FG19+VLOOKUP($B$3,'Coeff EC7'!$T$65:$X$85,2,0)*Model0.1T!FH19)/1.5,PI()*FE$12*$Q19*($B19-$B18)*0.15/10+FI18)</f>
        <v>#N/A</v>
      </c>
      <c r="FJ19" s="102" t="e">
        <f>(VLOOKUP($B$3,'Coeff EC7'!$T$39:$X$59,3,0)*FG19+VLOOKUP($B$3,'Coeff EC7'!$T$65:$X$85,3,0)*Model0.1T!FH19)/1.1</f>
        <v>#N/A</v>
      </c>
      <c r="FK19" s="102" t="e">
        <f t="shared" si="98"/>
        <v>#N/A</v>
      </c>
      <c r="FL19" s="102" t="e">
        <f t="shared" si="99"/>
        <v>#N/A</v>
      </c>
      <c r="FM19" s="414" t="e">
        <f>IF(AND(FI19&gt;NDC!$C$63,FJ19&gt;NDC!$C$65,FK19&gt;NDC!$D$73,FL19&gt;NDC!$D$74,$B19&gt;NDC!$H$22-0.1+MIN(3*FM$12,1.5)),0,1)</f>
        <v>#N/A</v>
      </c>
    </row>
    <row r="20" spans="1:169">
      <c r="A20" s="96">
        <f t="shared" si="65"/>
        <v>99.30000000000004</v>
      </c>
      <c r="B20" s="97">
        <v>0.7</v>
      </c>
      <c r="C20" s="81">
        <f>IF(B20&lt;=Hypothèses!$C$7,Hypothèses!$A$7,IF(B20&lt;=Hypothèses!$C$8,Hypothèses!$A$8,IF(B20&lt;=Hypothèses!$C$9,Hypothèses!$A$9,IF(B20&lt;=Hypothèses!$C$10,Hypothèses!$A$10,IF(B20&lt;=Hypothèses!$C$11,Hypothèses!$A$11,IF(B20&lt;=Hypothèses!$C$12,Hypothèses!$A$12,IF(B20&lt;=Hypothèses!$C$13,Hypothèses!$A$13,IF(B20&lt;=Hypothèses!$C$14,Hypothèses!$A$14,IF(B20&lt;=Hypothèses!$C$15,Hypothèses!$A$15,IF(B20&lt;=Hypothèses!$C$16,Hypothèses!$A$16,IF(B20&lt;=Hypothèses!$C$17,Hypothèses!$A$17,IF(B20&lt;=Hypothèses!$C$18,Hypothèses!$A$18,C19))))))))))))</f>
        <v>11</v>
      </c>
      <c r="D20" s="82" t="str">
        <f>IF(B20&lt;=Hypothèses!$C$7,Hypothèses!$R$7,IF(B20&lt;=Hypothèses!$C$8,Hypothèses!$R$8,IF(B20&lt;=Hypothèses!$C$9,Hypothèses!$R$9,IF(B20&lt;=Hypothèses!$C$10,Hypothèses!$R$10,IF(B20&lt;=Hypothèses!$C$11,Hypothèses!$R$11,IF(B20&lt;=Hypothèses!$C$12,Hypothèses!$R$12,IF(B20&lt;=Hypothèses!$C$13,Hypothèses!$R$13,IF(B20&lt;=Hypothèses!$C$14,Hypothèses!$R$14,IF(B20&lt;=Hypothèses!$C$15,Hypothèses!$R$15,IF(B20&lt;=Hypothèses!$C$16,Hypothèses!$R$16,IF(B20&lt;=Hypothèses!$C$17,Hypothèses!$R$17,IF(B20&lt;=Hypothèses!$C$18,Hypothèses!$R$18,D19))))))))))))</f>
        <v>Pressio.</v>
      </c>
      <c r="E20" s="82" t="e">
        <f>IF(B20&lt;=Hypothèses!$C$7,Hypothèses!$G$7,IF(B20&lt;=Hypothèses!$C$8,Hypothèses!$G$8,IF(B20&lt;=Hypothèses!$C$9,Hypothèses!$G$9,IF(B20&lt;=Hypothèses!$C$10,Hypothèses!$G$10,IF(B20&lt;=Hypothèses!$C$11,Hypothèses!$G$11,IF(B20&lt;=Hypothèses!$C$12,Hypothèses!$G$12,IF(B20&lt;=Hypothèses!$C$13,Hypothèses!$G$13,IF(B20&lt;=Hypothèses!$C$14,Hypothèses!$G$14,IF(B20&lt;=Hypothèses!$C$15,Hypothèses!$G$15,IF(B20&lt;=Hypothèses!$C$16,Hypothèses!$G$16,IF(B20&lt;=Hypothèses!$C$17,Hypothèses!$G$17,IF(B20&lt;=Hypothèses!$C$18,Hypothèses!$G$18,E19))))))))))))</f>
        <v>#N/A</v>
      </c>
      <c r="F20" s="82" t="str">
        <f>IF(B20&lt;=Hypothèses!$C$7,Hypothèses!$F$7,IF(B20&lt;=Hypothèses!$C$8,Hypothèses!$F$8,IF(B20&lt;=Hypothèses!$C$9,Hypothèses!$F$9,IF(B20&lt;=Hypothèses!$C$10,Hypothèses!$F$10,IF(B20&lt;=Hypothèses!$C$11,Hypothèses!$F$11,IF(B20&lt;=Hypothèses!$C$12,Hypothèses!$F$12,IF(B20&lt;=Hypothèses!$C$13,Hypothèses!$F$13,IF(B20&lt;=Hypothèses!$C$14,Hypothèses!$F$14,IF(B20&lt;=Hypothèses!$C$15,Hypothèses!$F$15,IF(B20&lt;=Hypothèses!$C$16,Hypothèses!$F$16,IF(B20&lt;=Hypothèses!$C$17,Hypothèses!$F$17,IF(B20&lt;=Hypothèses!$C$18,Hypothèses!$F$18,F19))))))))))))</f>
        <v/>
      </c>
      <c r="G20" s="91">
        <f t="array" ref="G20">INDEX('Coeff EC7'!$U$7:$X$27,
MATCH(Model0.1T!$B$3,'Coeff EC7'!$T$7:$T$27,0),
MATCH(Model0.1T!$D20&amp;Model0.1T!$B$4,
'Coeff EC7'!$U$6:$X$6&amp;
'Coeff EC7'!$U$5:$X$5,0))</f>
        <v>1.4</v>
      </c>
      <c r="H20" s="91">
        <f t="array" ref="H20">INDEX('Coeff EC7'!$Y$7:$AB$27,
MATCH(Model0.1T!$B$3,'Coeff EC7'!$T$7:$T$27,0),
MATCH(Model0.1T!$D20&amp;Model0.1T!$B$4,
'Coeff EC7'!$Y$6:$AB$6&amp;
'Coeff EC7'!$Y$5:$AB$5,0))</f>
        <v>1.7</v>
      </c>
      <c r="I20" s="83">
        <v>0</v>
      </c>
      <c r="J20" s="91" t="e">
        <f t="array" ref="J20">INDEX('Coeff EC7'!$D$33:$Q$33,1,MATCH(D20&amp;E20,'Coeff EC7'!$D$31:$Q$31&amp;'Coeff EC7'!$D$32:$Q$32,0))</f>
        <v>#N/A</v>
      </c>
      <c r="K20" s="91" t="e">
        <f t="array" ref="K20">INDEX('Coeff EC7'!$D$34:$Q$34,1,MATCH(D20&amp;E20,'Coeff EC7'!$D$31:$Q$31&amp;'Coeff EC7'!$D$32:$Q$32,0))</f>
        <v>#N/A</v>
      </c>
      <c r="L20" s="91" t="e">
        <f t="array" ref="L20">INDEX('Coeff EC7'!$D$35:$Q$35,1,MATCH(D20&amp;E20,'Coeff EC7'!$D$31:$Q$31&amp;'Coeff EC7'!$D$32:$Q$32,0))</f>
        <v>#N/A</v>
      </c>
      <c r="M20" s="98" t="e">
        <f t="shared" si="8"/>
        <v>#N/A</v>
      </c>
      <c r="N20" s="99" t="e">
        <f t="array" ref="N20">INDEX('Coeff EC7'!$D$7:$Q$27,MATCH($B$3,'Coeff EC7'!$C$7:$C$27,0),MATCH(D20&amp;E20,'Coeff EC7'!$D$5:$Q$5&amp;'Coeff EC7'!$D$6:$Q$6,0))</f>
        <v>#N/A</v>
      </c>
      <c r="O20" s="99" t="e">
        <f t="array" ref="O20">INDEX('Coeff EC7'!$D$41:$Q$61,MATCH($B$3,'Coeff EC7'!$C$41:$C$61,0),MATCH(D20&amp;E20,'Coeff EC7'!$D$39:$Q$39&amp;'Coeff EC7'!$D$40:$Q$40,0))</f>
        <v>#N/A</v>
      </c>
      <c r="P20" s="30" t="e">
        <f t="shared" si="66"/>
        <v>#N/A</v>
      </c>
      <c r="Q20" s="100" t="e">
        <f t="shared" si="10"/>
        <v>#N/A</v>
      </c>
      <c r="R20" s="86" t="b">
        <f t="shared" si="11"/>
        <v>0</v>
      </c>
      <c r="S20" s="86">
        <f t="shared" si="9"/>
        <v>0.5</v>
      </c>
      <c r="T20" s="86">
        <f t="shared" si="12"/>
        <v>0.5</v>
      </c>
      <c r="U20" s="30" t="e">
        <f t="shared" ca="1" si="67"/>
        <v>#DIV/0!</v>
      </c>
      <c r="V20" s="85" t="str">
        <f>IF(B20&lt;=Hypothèses!$V$7,Hypothèses!$W$7,IF(B20&lt;=Hypothèses!$V$8,Hypothèses!$W$8,IF(B20&lt;=Hypothèses!$V$9,Hypothèses!$W$9,IF(B20&lt;=Hypothèses!$V$10,Hypothèses!$W$10,IF(B20&lt;=Hypothèses!$V$11,Hypothèses!$W$11,IF(B20&lt;=Hypothèses!$V$12,Hypothèses!$W$12,IF(B20&lt;=Hypothèses!$V$13,Hypothèses!$W$13,IF(B20&lt;=Hypothèses!$V$14,Hypothèses!$W$14,IF(B20&lt;=Hypothèses!$V$15,Hypothèses!$W$15,IF(B20&lt;=Hypothèses!$V$16,Hypothèses!$W$16,IF(B20&lt;=Hypothèses!$V$17,Hypothèses!$W$17,IF(B20&lt;=Hypothèses!$V$18,Hypothèses!$W$18,""))))))))))))</f>
        <v/>
      </c>
      <c r="W20" s="87" t="e">
        <f t="shared" ca="1" si="116"/>
        <v>#DIV/0!</v>
      </c>
      <c r="X20" s="88" t="str">
        <f>IF(B20&lt;=Hypothèses!$V$7,Hypothèses!$X$7,IF(B20&lt;=Hypothèses!$V$8,Hypothèses!$X$8,IF(B20&lt;=Hypothèses!$V$9,Hypothèses!$X$9,IF(B20&lt;=Hypothèses!$V$10,Hypothèses!$X$10,IF(B20&lt;=Hypothèses!$V$11,Hypothèses!$X$11,IF(B20&lt;=Hypothèses!$V$12,Hypothèses!$X$12,IF(B20&lt;=Hypothèses!$V$13,Hypothèses!$X$13,IF(B20&lt;=Hypothèses!$V$14,Hypothèses!$X$14,IF(B20&lt;=Hypothèses!$V$15,Hypothèses!$X$15,IF(B20&lt;=Hypothèses!$V$16,Hypothèses!$X$16,IF(B20&lt;=Hypothèses!$U$17,Hypothèses!$W$17,IF(B20&lt;=Hypothèses!$U$18,Hypothèses!$W$18,""))))))))))))</f>
        <v/>
      </c>
      <c r="Y20" s="95" t="e">
        <f t="shared" ca="1" si="13"/>
        <v>#DIV/0!</v>
      </c>
      <c r="Z20" s="101">
        <f t="shared" si="14"/>
        <v>0</v>
      </c>
      <c r="AA20" s="91">
        <f t="shared" si="15"/>
        <v>0</v>
      </c>
      <c r="AB20" s="30" t="e">
        <f t="shared" si="100"/>
        <v>#N/A</v>
      </c>
      <c r="AC20" s="30" t="e">
        <f t="shared" si="101"/>
        <v>#N/A</v>
      </c>
      <c r="AD20" s="31" t="e">
        <f>IF(OR(Hypothèses!$B$4=17,Hypothèses!$B$4=18,Hypothèses!$B$4=19,Hypothèses!$B$4=20),
IF($D20="Pressio.",
IF(OR($E20=3,$E20=1,$E20=4),AC20,AB20),
IF($D20="Pénétro.",
IF(OR($E20=3,$E20=1,$E20=4),AC20,AB20))),IF($D20="Pressio.",
IF($E20=3,AC20,AB20),
IF($D20="Pénétro.",
IF($E20=4,AC20,AB20))))</f>
        <v>#N/A</v>
      </c>
      <c r="AE20" s="31">
        <v>0</v>
      </c>
      <c r="AF20" s="102" t="e">
        <f>IF(NDC!$H$10="Oui",(VLOOKUP($B$3,'Coeff EC7'!$T$39:$X$59,2,0)*AD20+VLOOKUP($B$3,'Coeff EC7'!$T$65:$X$85,2,0)*Model0.1T!AE20)/1.5,PI()*AB$12*$Q20*($B20-$B19)*0.15/10+AF19)</f>
        <v>#N/A</v>
      </c>
      <c r="AG20" s="102" t="e">
        <f>(VLOOKUP($B$3,'Coeff EC7'!$T$39:$X$59,3,0)*AD20+VLOOKUP($B$3,'Coeff EC7'!$T$65:$X$85,3,0)*Model0.1T!AE20)/1.1</f>
        <v>#N/A</v>
      </c>
      <c r="AH20" s="102" t="e">
        <f t="shared" si="68"/>
        <v>#N/A</v>
      </c>
      <c r="AI20" s="102" t="e">
        <f t="shared" si="69"/>
        <v>#N/A</v>
      </c>
      <c r="AJ20" s="414" t="e">
        <f>IF(AND(AF20&gt;NDC!$C$63,AG20&gt;NDC!$C$65,AH20&gt;NDC!$D$73,AI20&gt;NDC!$D$74,$B20&gt;NDC!$H$22-0.1+MIN(3*$AJ$12,1.5)),0,1)</f>
        <v>#N/A</v>
      </c>
      <c r="AK20" s="86" t="b">
        <f t="shared" si="18"/>
        <v>0</v>
      </c>
      <c r="AL20" s="86">
        <f t="shared" si="70"/>
        <v>0.5</v>
      </c>
      <c r="AM20" s="86">
        <f t="shared" si="19"/>
        <v>0.5</v>
      </c>
      <c r="AN20" s="30" t="e">
        <f t="shared" ca="1" si="71"/>
        <v>#DIV/0!</v>
      </c>
      <c r="AO20" s="85" t="e">
        <f ca="1">IF(U20&lt;=Hypothèses!$V$7,Hypothèses!$W$7,IF(U20&lt;=Hypothèses!$V$8,Hypothèses!$W$8,IF(U20&lt;=Hypothèses!$V$9,Hypothèses!$W$9,IF(U20&lt;=Hypothèses!$V$10,Hypothèses!$W$10,IF(U20&lt;=Hypothèses!$V$11,Hypothèses!$W$11,IF(U20&lt;=Hypothèses!$V$12,Hypothèses!$W$12,IF(U20&lt;=Hypothèses!$V$13,Hypothèses!$W$13,IF(U20&lt;=Hypothèses!$V$14,Hypothèses!$W$14,IF(U20&lt;=Hypothèses!$V$15,Hypothèses!$W$15,IF(U20&lt;=Hypothèses!$V$16,Hypothèses!$W$16,IF(U20&lt;=Hypothèses!$V$17,Hypothèses!$W$17,IF(U20&lt;=Hypothèses!$V$18,Hypothèses!$W$18,""))))))))))))</f>
        <v>#DIV/0!</v>
      </c>
      <c r="AP20" s="87" t="e">
        <f t="shared" ca="1" si="117"/>
        <v>#DIV/0!</v>
      </c>
      <c r="AQ20" s="88" t="e">
        <f ca="1">IF(U20&lt;=Hypothèses!$V$7,Hypothèses!$X$7,IF(U20&lt;=Hypothèses!$V$8,Hypothèses!$X$8,IF(U20&lt;=Hypothèses!$V$9,Hypothèses!$X$9,IF(U20&lt;=Hypothèses!$V$10,Hypothèses!$X$10,IF(U20&lt;=Hypothèses!$V$11,Hypothèses!$X$11,IF(U20&lt;=Hypothèses!$V$12,Hypothèses!$X$12,IF(U20&lt;=Hypothèses!$V$13,Hypothèses!$X$13,IF(U20&lt;=Hypothèses!$V$14,Hypothèses!$X$14,IF(U20&lt;=Hypothèses!$V$15,Hypothèses!$X$15,IF(U20&lt;=Hypothèses!$V$16,Hypothèses!$X$16,IF(U20&lt;=Hypothèses!$U$17,Hypothèses!$W$17,IF(U20&lt;=Hypothèses!$U$18,Hypothèses!$W$18,""))))))))))))</f>
        <v>#DIV/0!</v>
      </c>
      <c r="AR20" s="95" t="e">
        <f t="shared" ca="1" si="72"/>
        <v>#DIV/0!</v>
      </c>
      <c r="AS20" s="101">
        <f t="shared" si="124"/>
        <v>0</v>
      </c>
      <c r="AT20" s="91">
        <f t="shared" si="21"/>
        <v>0</v>
      </c>
      <c r="AU20" s="30" t="e">
        <f t="shared" si="102"/>
        <v>#N/A</v>
      </c>
      <c r="AV20" s="30" t="e">
        <f t="shared" si="103"/>
        <v>#N/A</v>
      </c>
      <c r="AW20" s="31" t="e">
        <f>IF(OR(Hypothèses!$B$4=17,Hypothèses!$B$4=18,Hypothèses!$B$4=19,Hypothèses!$B$4=20),
IF($D20="Pressio.",
IF(OR($E20=3,$E20=1,$E20=4),AV20,AU20),
IF($D20="Pénétro.",
IF(OR($E20=3,$E20=1,$E20=4),AV20,AU20))),IF($D20="Pressio.",
IF($E20=3,AV20,AU20),
IF($D20="Pénétro.",
IF($E20=4,AV20,AU20))))</f>
        <v>#N/A</v>
      </c>
      <c r="AX20" s="31">
        <v>0</v>
      </c>
      <c r="AY20" s="102" t="e">
        <f>IF(NDC!$H$10="Oui",(VLOOKUP($B$3,'Coeff EC7'!$T$39:$X$59,2,0)*AW20+VLOOKUP($B$3,'Coeff EC7'!$T$65:$X$85,2,0)*Model0.1T!AX20)/1.5,PI()*AU$12*$Q20*($B20-$B19)*0.15/10+AY19)</f>
        <v>#N/A</v>
      </c>
      <c r="AZ20" s="102" t="e">
        <f>(VLOOKUP($B$3,'Coeff EC7'!$T$39:$X$59,3,0)*AW20+VLOOKUP($B$3,'Coeff EC7'!$T$65:$X$85,3,0)*Model0.1T!AX20)/1.1</f>
        <v>#N/A</v>
      </c>
      <c r="BA20" s="102" t="e">
        <f t="shared" si="73"/>
        <v>#N/A</v>
      </c>
      <c r="BB20" s="102" t="e">
        <f t="shared" si="74"/>
        <v>#N/A</v>
      </c>
      <c r="BC20" s="414" t="e">
        <f>IF(AND(AY20&gt;NDC!$C$63,AZ20&gt;NDC!$C$65,BA20&gt;NDC!$D$73,BB20&gt;NDC!$D$74,$B20&gt;NDC!$H$22-0.1+MIN(3*BC$12,1.5)),0,1)</f>
        <v>#N/A</v>
      </c>
      <c r="BD20" s="86" t="b">
        <f t="shared" si="24"/>
        <v>0</v>
      </c>
      <c r="BE20" s="86">
        <f t="shared" si="75"/>
        <v>0.5</v>
      </c>
      <c r="BF20" s="86">
        <f t="shared" si="25"/>
        <v>0.5</v>
      </c>
      <c r="BG20" s="30" t="e">
        <f t="shared" ca="1" si="76"/>
        <v>#DIV/0!</v>
      </c>
      <c r="BH20" s="85" t="e">
        <f ca="1">IF(AN20&lt;=Hypothèses!$V$7,Hypothèses!$W$7,IF(AN20&lt;=Hypothèses!$V$8,Hypothèses!$W$8,IF(AN20&lt;=Hypothèses!$V$9,Hypothèses!$W$9,IF(AN20&lt;=Hypothèses!$V$10,Hypothèses!$W$10,IF(AN20&lt;=Hypothèses!$V$11,Hypothèses!$W$11,IF(AN20&lt;=Hypothèses!$V$12,Hypothèses!$W$12,IF(AN20&lt;=Hypothèses!$V$13,Hypothèses!$W$13,IF(AN20&lt;=Hypothèses!$V$14,Hypothèses!$W$14,IF(AN20&lt;=Hypothèses!$V$15,Hypothèses!$W$15,IF(AN20&lt;=Hypothèses!$V$16,Hypothèses!$W$16,IF(AN20&lt;=Hypothèses!$V$17,Hypothèses!$W$17,IF(AN20&lt;=Hypothèses!$V$18,Hypothèses!$W$18,""))))))))))))</f>
        <v>#DIV/0!</v>
      </c>
      <c r="BI20" s="87" t="e">
        <f t="shared" ca="1" si="118"/>
        <v>#DIV/0!</v>
      </c>
      <c r="BJ20" s="88" t="e">
        <f ca="1">IF(AN20&lt;=Hypothèses!$V$7,Hypothèses!$X$7,IF(AN20&lt;=Hypothèses!$V$8,Hypothèses!$X$8,IF(AN20&lt;=Hypothèses!$V$9,Hypothèses!$X$9,IF(AN20&lt;=Hypothèses!$V$10,Hypothèses!$X$10,IF(AN20&lt;=Hypothèses!$V$11,Hypothèses!$X$11,IF(AN20&lt;=Hypothèses!$V$12,Hypothèses!$X$12,IF(AN20&lt;=Hypothèses!$V$13,Hypothèses!$X$13,IF(AN20&lt;=Hypothèses!$V$14,Hypothèses!$X$14,IF(AN20&lt;=Hypothèses!$V$15,Hypothèses!$X$15,IF(AN20&lt;=Hypothèses!$V$16,Hypothèses!$X$16,IF(AN20&lt;=Hypothèses!$U$17,Hypothèses!$W$17,IF(AN20&lt;=Hypothèses!$U$18,Hypothèses!$W$18,""))))))))))))</f>
        <v>#DIV/0!</v>
      </c>
      <c r="BK20" s="95" t="e">
        <f t="shared" ca="1" si="77"/>
        <v>#DIV/0!</v>
      </c>
      <c r="BL20" s="101">
        <f t="shared" si="125"/>
        <v>0</v>
      </c>
      <c r="BM20" s="91">
        <f t="shared" si="27"/>
        <v>0</v>
      </c>
      <c r="BN20" s="30" t="e">
        <f t="shared" si="104"/>
        <v>#N/A</v>
      </c>
      <c r="BO20" s="30" t="e">
        <f t="shared" si="105"/>
        <v>#N/A</v>
      </c>
      <c r="BP20" s="31" t="e">
        <f>IF(OR(Hypothèses!$B$4=17,Hypothèses!$B$4=18,Hypothèses!$B$4=19,Hypothèses!$B$4=20),
IF($D20="Pressio.",
IF(OR($E20=3,$E20=1,$E20=4),BO20,BN20),
IF($D20="Pénétro.",
IF(OR($E20=3,$E20=1,$E20=4),BO20,BN20))),IF($D20="Pressio.",
IF($E20=3,BO20,BN20),
IF($D20="Pénétro.",
IF($E20=4,BO20,BN20))))</f>
        <v>#N/A</v>
      </c>
      <c r="BQ20" s="31">
        <v>0</v>
      </c>
      <c r="BR20" s="102" t="e">
        <f>IF(NDC!$H$10="Oui",(VLOOKUP($B$3,'Coeff EC7'!$T$39:$X$59,2,0)*BP20+VLOOKUP($B$3,'Coeff EC7'!$T$65:$X$85,2,0)*Model0.1T!BQ20)/1.5,PI()*BN$12*$Q20*($B20-$B19)*0.15/10+BR19)</f>
        <v>#N/A</v>
      </c>
      <c r="BS20" s="102" t="e">
        <f>(VLOOKUP($B$3,'Coeff EC7'!$T$39:$X$59,3,0)*BP20+VLOOKUP($B$3,'Coeff EC7'!$T$65:$X$85,3,0)*Model0.1T!BQ20)/1.1</f>
        <v>#N/A</v>
      </c>
      <c r="BT20" s="102" t="e">
        <f t="shared" si="78"/>
        <v>#N/A</v>
      </c>
      <c r="BU20" s="102" t="e">
        <f t="shared" si="79"/>
        <v>#N/A</v>
      </c>
      <c r="BV20" s="414" t="e">
        <f>IF(AND(BR20&gt;NDC!$C$63,BS20&gt;NDC!$C$65,BT20&gt;NDC!$D$73,BU20&gt;NDC!$D$74,$B20&gt;NDC!$H$22-0.1+MIN(3*BV$12,1.5)),0,1)</f>
        <v>#N/A</v>
      </c>
      <c r="BW20" s="86" t="b">
        <f t="shared" si="30"/>
        <v>0</v>
      </c>
      <c r="BX20" s="86">
        <f t="shared" si="31"/>
        <v>0.5</v>
      </c>
      <c r="BY20" s="86">
        <f t="shared" si="32"/>
        <v>0.5</v>
      </c>
      <c r="BZ20" s="30" t="e">
        <f t="shared" ca="1" si="80"/>
        <v>#DIV/0!</v>
      </c>
      <c r="CA20" s="85" t="e">
        <f ca="1">IF(BG20&lt;=Hypothèses!$V$7,Hypothèses!$W$7,IF(BG20&lt;=Hypothèses!$V$8,Hypothèses!$W$8,IF(BG20&lt;=Hypothèses!$V$9,Hypothèses!$W$9,IF(BG20&lt;=Hypothèses!$V$10,Hypothèses!$W$10,IF(BG20&lt;=Hypothèses!$V$11,Hypothèses!$W$11,IF(BG20&lt;=Hypothèses!$V$12,Hypothèses!$W$12,IF(BG20&lt;=Hypothèses!$V$13,Hypothèses!$W$13,IF(BG20&lt;=Hypothèses!$V$14,Hypothèses!$W$14,IF(BG20&lt;=Hypothèses!$V$15,Hypothèses!$W$15,IF(BG20&lt;=Hypothèses!$V$16,Hypothèses!$W$16,IF(BG20&lt;=Hypothèses!$V$17,Hypothèses!$W$17,IF(BG20&lt;=Hypothèses!$V$18,Hypothèses!$W$18,""))))))))))))</f>
        <v>#DIV/0!</v>
      </c>
      <c r="CB20" s="87" t="e">
        <f t="shared" ca="1" si="119"/>
        <v>#DIV/0!</v>
      </c>
      <c r="CC20" s="88" t="e">
        <f ca="1">IF(BG20&lt;=Hypothèses!$V$7,Hypothèses!$X$7,IF(BG20&lt;=Hypothèses!$V$8,Hypothèses!$X$8,IF(BG20&lt;=Hypothèses!$V$9,Hypothèses!$X$9,IF(BG20&lt;=Hypothèses!$V$10,Hypothèses!$X$10,IF(BG20&lt;=Hypothèses!$V$11,Hypothèses!$X$11,IF(BG20&lt;=Hypothèses!$V$12,Hypothèses!$X$12,IF(BG20&lt;=Hypothèses!$V$13,Hypothèses!$X$13,IF(BG20&lt;=Hypothèses!$V$14,Hypothèses!$X$14,IF(BG20&lt;=Hypothèses!$V$15,Hypothèses!$X$15,IF(BG20&lt;=Hypothèses!$V$16,Hypothèses!$X$16,IF(BG20&lt;=Hypothèses!$U$17,Hypothèses!$W$17,IF(BG20&lt;=Hypothèses!$U$18,Hypothèses!$W$18,""))))))))))))</f>
        <v>#DIV/0!</v>
      </c>
      <c r="CD20" s="95" t="e">
        <f t="shared" ca="1" si="81"/>
        <v>#DIV/0!</v>
      </c>
      <c r="CE20" s="101">
        <f t="shared" si="126"/>
        <v>0</v>
      </c>
      <c r="CF20" s="91">
        <f t="shared" si="34"/>
        <v>0</v>
      </c>
      <c r="CG20" s="30" t="e">
        <f t="shared" si="106"/>
        <v>#N/A</v>
      </c>
      <c r="CH20" s="30" t="e">
        <f t="shared" si="107"/>
        <v>#N/A</v>
      </c>
      <c r="CI20" s="31" t="e">
        <f>IF(OR(Hypothèses!$B$4=17,Hypothèses!$B$4=18,Hypothèses!$B$4=19,Hypothèses!$B$4=20),
IF($D20="Pressio.",
IF(OR($E20=3,$E20=1,$E20=4),CH20,CG20),
IF($D20="Pénétro.",
IF(OR($E20=3,$E20=1,$E20=4),CH20,CG20))),IF($D20="Pressio.",
IF($E20=3,CH20,CG20),
IF($D20="Pénétro.",
IF($E20=4,CH20,CG20))))</f>
        <v>#N/A</v>
      </c>
      <c r="CJ20" s="31">
        <v>0</v>
      </c>
      <c r="CK20" s="102" t="e">
        <f>IF(NDC!$H$10="Oui",(VLOOKUP($B$3,'Coeff EC7'!$T$39:$X$59,2,0)*CI20+VLOOKUP($B$3,'Coeff EC7'!$T$65:$X$85,2,0)*Model0.1T!CJ20)/1.5,PI()*CG$12*$Q20*($B20-$B19)*0.15/10+CK19)</f>
        <v>#N/A</v>
      </c>
      <c r="CL20" s="102" t="e">
        <f>(VLOOKUP($B$3,'Coeff EC7'!$T$39:$X$59,3,0)*CI20+VLOOKUP($B$3,'Coeff EC7'!$T$65:$X$85,3,0)*Model0.1T!CJ20)/1.1</f>
        <v>#N/A</v>
      </c>
      <c r="CM20" s="102" t="e">
        <f t="shared" si="82"/>
        <v>#N/A</v>
      </c>
      <c r="CN20" s="102" t="e">
        <f t="shared" si="83"/>
        <v>#N/A</v>
      </c>
      <c r="CO20" s="414" t="e">
        <f>IF(AND(CK20&gt;NDC!$C$63,CL20&gt;NDC!$C$65,CM20&gt;NDC!$D$73,CN20&gt;NDC!$D$74,$B20&gt;NDC!$H$22-0.1+MIN(3*CO$12,1.5)),0,1)</f>
        <v>#N/A</v>
      </c>
      <c r="CP20" s="86" t="b">
        <f t="shared" si="37"/>
        <v>0</v>
      </c>
      <c r="CQ20" s="86">
        <f t="shared" si="38"/>
        <v>0.5</v>
      </c>
      <c r="CR20" s="86">
        <f t="shared" si="39"/>
        <v>0.5</v>
      </c>
      <c r="CS20" s="30" t="e">
        <f t="shared" ca="1" si="84"/>
        <v>#DIV/0!</v>
      </c>
      <c r="CT20" s="85" t="e">
        <f ca="1">IF(BZ20&lt;=Hypothèses!$V$7,Hypothèses!$W$7,IF(BZ20&lt;=Hypothèses!$V$8,Hypothèses!$W$8,IF(BZ20&lt;=Hypothèses!$V$9,Hypothèses!$W$9,IF(BZ20&lt;=Hypothèses!$V$10,Hypothèses!$W$10,IF(BZ20&lt;=Hypothèses!$V$11,Hypothèses!$W$11,IF(BZ20&lt;=Hypothèses!$V$12,Hypothèses!$W$12,IF(BZ20&lt;=Hypothèses!$V$13,Hypothèses!$W$13,IF(BZ20&lt;=Hypothèses!$V$14,Hypothèses!$W$14,IF(BZ20&lt;=Hypothèses!$V$15,Hypothèses!$W$15,IF(BZ20&lt;=Hypothèses!$V$16,Hypothèses!$W$16,IF(BZ20&lt;=Hypothèses!$V$17,Hypothèses!$W$17,IF(BZ20&lt;=Hypothèses!$V$18,Hypothèses!$W$18,""))))))))))))</f>
        <v>#DIV/0!</v>
      </c>
      <c r="CU20" s="87" t="e">
        <f t="shared" ca="1" si="120"/>
        <v>#DIV/0!</v>
      </c>
      <c r="CV20" s="88" t="e">
        <f ca="1">IF(BZ20&lt;=Hypothèses!$V$7,Hypothèses!$X$7,IF(BZ20&lt;=Hypothèses!$V$8,Hypothèses!$X$8,IF(BZ20&lt;=Hypothèses!$V$9,Hypothèses!$X$9,IF(BZ20&lt;=Hypothèses!$V$10,Hypothèses!$X$10,IF(BZ20&lt;=Hypothèses!$V$11,Hypothèses!$X$11,IF(BZ20&lt;=Hypothèses!$V$12,Hypothèses!$X$12,IF(BZ20&lt;=Hypothèses!$V$13,Hypothèses!$X$13,IF(BZ20&lt;=Hypothèses!$V$14,Hypothèses!$X$14,IF(BZ20&lt;=Hypothèses!$V$15,Hypothèses!$X$15,IF(BZ20&lt;=Hypothèses!$V$16,Hypothèses!$X$16,IF(BZ20&lt;=Hypothèses!$U$17,Hypothèses!$W$17,IF(BZ20&lt;=Hypothèses!$U$18,Hypothèses!$W$18,""))))))))))))</f>
        <v>#DIV/0!</v>
      </c>
      <c r="CW20" s="95" t="e">
        <f t="shared" ca="1" si="85"/>
        <v>#DIV/0!</v>
      </c>
      <c r="CX20" s="101">
        <f t="shared" si="127"/>
        <v>0</v>
      </c>
      <c r="CY20" s="91">
        <f t="shared" si="41"/>
        <v>0</v>
      </c>
      <c r="CZ20" s="30" t="e">
        <f t="shared" si="108"/>
        <v>#N/A</v>
      </c>
      <c r="DA20" s="30" t="e">
        <f t="shared" si="109"/>
        <v>#N/A</v>
      </c>
      <c r="DB20" s="31" t="e">
        <f>IF(OR(Hypothèses!$B$4=17,Hypothèses!$B$4=18,Hypothèses!$B$4=19,Hypothèses!$B$4=20),
IF($D20="Pressio.",
IF(OR($E20=3,$E20=1,$E20=4),DA20,CZ20),
IF($D20="Pénétro.",
IF(OR($E20=3,$E20=1,$E20=4),DA20,CZ20))),IF($D20="Pressio.",
IF($E20=3,DA20,CZ20),
IF($D20="Pénétro.",
IF($E20=4,DA20,CZ20))))</f>
        <v>#N/A</v>
      </c>
      <c r="DC20" s="31">
        <v>0</v>
      </c>
      <c r="DD20" s="102" t="e">
        <f>IF(NDC!$H$10="Oui",(VLOOKUP($B$3,'Coeff EC7'!$T$39:$X$59,2,0)*DB20+VLOOKUP($B$3,'Coeff EC7'!$T$65:$X$85,2,0)*Model0.1T!DC20)/1.5,PI()*CZ$12*$Q20*($B20-$B19)*0.15/10+DD19)</f>
        <v>#N/A</v>
      </c>
      <c r="DE20" s="102" t="e">
        <f>(VLOOKUP($B$3,'Coeff EC7'!$T$39:$X$59,3,0)*DB20+VLOOKUP($B$3,'Coeff EC7'!$T$65:$X$85,3,0)*Model0.1T!DC20)/1.1</f>
        <v>#N/A</v>
      </c>
      <c r="DF20" s="102" t="e">
        <f t="shared" si="86"/>
        <v>#N/A</v>
      </c>
      <c r="DG20" s="102" t="e">
        <f t="shared" si="87"/>
        <v>#N/A</v>
      </c>
      <c r="DH20" s="414" t="e">
        <f>IF(AND(DD20&gt;NDC!$C$63,DE20&gt;NDC!$C$65,DF20&gt;NDC!$D$73,DG20&gt;NDC!$D$74,$B20&gt;NDC!$H$22-0.1+MIN(3*DH$12,1.5)),0,1)</f>
        <v>#N/A</v>
      </c>
      <c r="DI20" s="86" t="b">
        <f t="shared" si="44"/>
        <v>0</v>
      </c>
      <c r="DJ20" s="86">
        <f t="shared" si="45"/>
        <v>0.5</v>
      </c>
      <c r="DK20" s="86">
        <f t="shared" si="46"/>
        <v>0.5</v>
      </c>
      <c r="DL20" s="30" t="e">
        <f t="shared" ca="1" si="88"/>
        <v>#DIV/0!</v>
      </c>
      <c r="DM20" s="85" t="e">
        <f ca="1">IF(CS20&lt;=Hypothèses!$V$7,Hypothèses!$W$7,IF(CS20&lt;=Hypothèses!$V$8,Hypothèses!$W$8,IF(CS20&lt;=Hypothèses!$V$9,Hypothèses!$W$9,IF(CS20&lt;=Hypothèses!$V$10,Hypothèses!$W$10,IF(CS20&lt;=Hypothèses!$V$11,Hypothèses!$W$11,IF(CS20&lt;=Hypothèses!$V$12,Hypothèses!$W$12,IF(CS20&lt;=Hypothèses!$V$13,Hypothèses!$W$13,IF(CS20&lt;=Hypothèses!$V$14,Hypothèses!$W$14,IF(CS20&lt;=Hypothèses!$V$15,Hypothèses!$W$15,IF(CS20&lt;=Hypothèses!$V$16,Hypothèses!$W$16,IF(CS20&lt;=Hypothèses!$V$17,Hypothèses!$W$17,IF(CS20&lt;=Hypothèses!$V$18,Hypothèses!$W$18,""))))))))))))</f>
        <v>#DIV/0!</v>
      </c>
      <c r="DN20" s="87" t="e">
        <f t="shared" ca="1" si="121"/>
        <v>#DIV/0!</v>
      </c>
      <c r="DO20" s="88" t="e">
        <f ca="1">IF(CS20&lt;=Hypothèses!$V$7,Hypothèses!$X$7,IF(CS20&lt;=Hypothèses!$V$8,Hypothèses!$X$8,IF(CS20&lt;=Hypothèses!$V$9,Hypothèses!$X$9,IF(CS20&lt;=Hypothèses!$V$10,Hypothèses!$X$10,IF(CS20&lt;=Hypothèses!$V$11,Hypothèses!$X$11,IF(CS20&lt;=Hypothèses!$V$12,Hypothèses!$X$12,IF(CS20&lt;=Hypothèses!$V$13,Hypothèses!$X$13,IF(CS20&lt;=Hypothèses!$V$14,Hypothèses!$X$14,IF(CS20&lt;=Hypothèses!$V$15,Hypothèses!$X$15,IF(CS20&lt;=Hypothèses!$V$16,Hypothèses!$X$16,IF(CS20&lt;=Hypothèses!$U$17,Hypothèses!$W$17,IF(CS20&lt;=Hypothèses!$U$18,Hypothèses!$W$18,""))))))))))))</f>
        <v>#DIV/0!</v>
      </c>
      <c r="DP20" s="95" t="e">
        <f t="shared" ca="1" si="89"/>
        <v>#DIV/0!</v>
      </c>
      <c r="DQ20" s="101">
        <f t="shared" si="128"/>
        <v>0</v>
      </c>
      <c r="DR20" s="91">
        <f t="shared" si="48"/>
        <v>0</v>
      </c>
      <c r="DS20" s="30" t="e">
        <f t="shared" si="110"/>
        <v>#N/A</v>
      </c>
      <c r="DT20" s="30" t="e">
        <f t="shared" si="111"/>
        <v>#N/A</v>
      </c>
      <c r="DU20" s="31" t="e">
        <f>IF(OR(Hypothèses!$B$4=17,Hypothèses!$B$4=18,Hypothèses!$B$4=19,Hypothèses!$B$4=20),
IF($D20="Pressio.",
IF(OR($E20=3,$E20=1,$E20=4),DT20,DS20),
IF($D20="Pénétro.",
IF(OR($E20=3,$E20=1,$E20=4),DT20,DS20))),IF($D20="Pressio.",
IF($E20=3,DT20,DS20),
IF($D20="Pénétro.",
IF($E20=4,DT20,DS20))))</f>
        <v>#N/A</v>
      </c>
      <c r="DV20" s="31">
        <v>0</v>
      </c>
      <c r="DW20" s="102" t="e">
        <f>IF(NDC!$H$10="Oui",(VLOOKUP($B$3,'Coeff EC7'!$T$39:$X$59,2,0)*DU20+VLOOKUP($B$3,'Coeff EC7'!$T$65:$X$85,2,0)*Model0.1T!DV20)/1.5,PI()*DS$12*$Q20*($B20-$B19)*0.15/10+DW19)</f>
        <v>#N/A</v>
      </c>
      <c r="DX20" s="102" t="e">
        <f>(VLOOKUP($B$3,'Coeff EC7'!$T$39:$X$59,3,0)*DU20+VLOOKUP($B$3,'Coeff EC7'!$T$65:$X$85,3,0)*Model0.1T!DV20)/1.1</f>
        <v>#N/A</v>
      </c>
      <c r="DY20" s="102" t="e">
        <f t="shared" si="90"/>
        <v>#N/A</v>
      </c>
      <c r="DZ20" s="102" t="e">
        <f t="shared" si="91"/>
        <v>#N/A</v>
      </c>
      <c r="EA20" s="414" t="e">
        <f>IF(AND(DW20&gt;NDC!$C$63,DX20&gt;NDC!$C$65,DY20&gt;NDC!$D$73,DZ20&gt;NDC!$D$74,$B20&gt;NDC!$H$22-0.1+MIN(3*EA$12,1.5)),0,1)</f>
        <v>#N/A</v>
      </c>
      <c r="EB20" s="86" t="b">
        <f t="shared" si="51"/>
        <v>0</v>
      </c>
      <c r="EC20" s="418">
        <f t="shared" si="52"/>
        <v>0.51</v>
      </c>
      <c r="ED20" s="86">
        <f t="shared" si="53"/>
        <v>0.51</v>
      </c>
      <c r="EE20" s="30" t="e">
        <f t="shared" ca="1" si="92"/>
        <v>#DIV/0!</v>
      </c>
      <c r="EF20" s="85" t="e">
        <f ca="1">IF(DL20&lt;=Hypothèses!$V$7,Hypothèses!$W$7,IF(DL20&lt;=Hypothèses!$V$8,Hypothèses!$W$8,IF(DL20&lt;=Hypothèses!$V$9,Hypothèses!$W$9,IF(DL20&lt;=Hypothèses!$V$10,Hypothèses!$W$10,IF(DL20&lt;=Hypothèses!$V$11,Hypothèses!$W$11,IF(DL20&lt;=Hypothèses!$V$12,Hypothèses!$W$12,IF(DL20&lt;=Hypothèses!$V$13,Hypothèses!$W$13,IF(DL20&lt;=Hypothèses!$V$14,Hypothèses!$W$14,IF(DL20&lt;=Hypothèses!$V$15,Hypothèses!$W$15,IF(DL20&lt;=Hypothèses!$V$16,Hypothèses!$W$16,IF(DL20&lt;=Hypothèses!$V$17,Hypothèses!$W$17,IF(DL20&lt;=Hypothèses!$V$18,Hypothèses!$W$18,""))))))))))))</f>
        <v>#DIV/0!</v>
      </c>
      <c r="EG20" s="87" t="e">
        <f t="shared" ca="1" si="122"/>
        <v>#DIV/0!</v>
      </c>
      <c r="EH20" s="88" t="e">
        <f ca="1">IF(DL20&lt;=Hypothèses!$V$7,Hypothèses!$X$7,IF(DL20&lt;=Hypothèses!$V$8,Hypothèses!$X$8,IF(DL20&lt;=Hypothèses!$V$9,Hypothèses!$X$9,IF(DL20&lt;=Hypothèses!$V$10,Hypothèses!$X$10,IF(DL20&lt;=Hypothèses!$V$11,Hypothèses!$X$11,IF(DL20&lt;=Hypothèses!$V$12,Hypothèses!$X$12,IF(DL20&lt;=Hypothèses!$V$13,Hypothèses!$X$13,IF(DL20&lt;=Hypothèses!$V$14,Hypothèses!$X$14,IF(DL20&lt;=Hypothèses!$V$15,Hypothèses!$X$15,IF(DL20&lt;=Hypothèses!$V$16,Hypothèses!$X$16,IF(DL20&lt;=Hypothèses!$U$17,Hypothèses!$W$17,IF(DL20&lt;=Hypothèses!$U$18,Hypothèses!$W$18,""))))))))))))</f>
        <v>#DIV/0!</v>
      </c>
      <c r="EI20" s="95" t="e">
        <f t="shared" ca="1" si="93"/>
        <v>#DIV/0!</v>
      </c>
      <c r="EJ20" s="101">
        <f t="shared" si="129"/>
        <v>0</v>
      </c>
      <c r="EK20" s="91">
        <f t="shared" si="55"/>
        <v>0</v>
      </c>
      <c r="EL20" s="30" t="e">
        <f t="shared" si="112"/>
        <v>#N/A</v>
      </c>
      <c r="EM20" s="30" t="e">
        <f t="shared" si="113"/>
        <v>#N/A</v>
      </c>
      <c r="EN20" s="31" t="e">
        <f>IF(OR(Hypothèses!$B$4=17,Hypothèses!$B$4=18,Hypothèses!$B$4=19,Hypothèses!$B$4=20),
IF($D20="Pressio.",
IF(OR($E20=3,$E20=1,$E20=4),EM20,EL20),
IF($D20="Pénétro.",
IF(OR($E20=3,$E20=1,$E20=4),EM20,EL20))),IF($D20="Pressio.",
IF($E20=3,EM20,EL20),
IF($D20="Pénétro.",
IF($E20=4,EM20,EL20))))</f>
        <v>#N/A</v>
      </c>
      <c r="EO20" s="31">
        <v>0</v>
      </c>
      <c r="EP20" s="102" t="e">
        <f>IF(NDC!$H$10="Oui",(VLOOKUP($B$3,'Coeff EC7'!$T$39:$X$59,2,0)*EN20+VLOOKUP($B$3,'Coeff EC7'!$T$65:$X$85,2,0)*Model0.1T!EO20)/1.5,PI()*EL$12*$Q20*($B20-$B19)*0.15/10+EP19)</f>
        <v>#N/A</v>
      </c>
      <c r="EQ20" s="102" t="e">
        <f>(VLOOKUP($B$3,'Coeff EC7'!$T$39:$X$59,3,0)*EN20+VLOOKUP($B$3,'Coeff EC7'!$T$65:$X$85,3,0)*Model0.1T!EO20)/1.1</f>
        <v>#N/A</v>
      </c>
      <c r="ER20" s="102" t="e">
        <f t="shared" si="94"/>
        <v>#N/A</v>
      </c>
      <c r="ES20" s="102" t="e">
        <f t="shared" si="95"/>
        <v>#N/A</v>
      </c>
      <c r="ET20" s="414" t="e">
        <f>IF(AND(EP20&gt;NDC!$C$63,EQ20&gt;NDC!$C$65,ER20&gt;NDC!$D$73,ES20&gt;NDC!$D$74,$B20&gt;NDC!$H$22-0.1+MIN(3*ET$12,1.5)),0,1)</f>
        <v>#N/A</v>
      </c>
      <c r="EU20" s="86" t="b">
        <f t="shared" si="58"/>
        <v>0</v>
      </c>
      <c r="EV20" s="86">
        <f t="shared" si="59"/>
        <v>0.61</v>
      </c>
      <c r="EW20" s="86">
        <f t="shared" si="60"/>
        <v>0.61</v>
      </c>
      <c r="EX20" s="30" t="e">
        <f t="shared" ca="1" si="96"/>
        <v>#DIV/0!</v>
      </c>
      <c r="EY20" s="85" t="e">
        <f ca="1">IF(EE20&lt;=Hypothèses!$V$7,Hypothèses!$W$7,IF(EE20&lt;=Hypothèses!$V$8,Hypothèses!$W$8,IF(EE20&lt;=Hypothèses!$V$9,Hypothèses!$W$9,IF(EE20&lt;=Hypothèses!$V$10,Hypothèses!$W$10,IF(EE20&lt;=Hypothèses!$V$11,Hypothèses!$W$11,IF(EE20&lt;=Hypothèses!$V$12,Hypothèses!$W$12,IF(EE20&lt;=Hypothèses!$V$13,Hypothèses!$W$13,IF(EE20&lt;=Hypothèses!$V$14,Hypothèses!$W$14,IF(EE20&lt;=Hypothèses!$V$15,Hypothèses!$W$15,IF(EE20&lt;=Hypothèses!$V$16,Hypothèses!$W$16,IF(EE20&lt;=Hypothèses!$V$17,Hypothèses!$W$17,IF(EE20&lt;=Hypothèses!$V$18,Hypothèses!$W$18,""))))))))))))</f>
        <v>#DIV/0!</v>
      </c>
      <c r="EZ20" s="87" t="e">
        <f t="shared" ca="1" si="123"/>
        <v>#DIV/0!</v>
      </c>
      <c r="FA20" s="88" t="e">
        <f ca="1">IF(EE20&lt;=Hypothèses!$V$7,Hypothèses!$X$7,IF(EE20&lt;=Hypothèses!$V$8,Hypothèses!$X$8,IF(EE20&lt;=Hypothèses!$V$9,Hypothèses!$X$9,IF(EE20&lt;=Hypothèses!$V$10,Hypothèses!$X$10,IF(EE20&lt;=Hypothèses!$V$11,Hypothèses!$X$11,IF(EE20&lt;=Hypothèses!$V$12,Hypothèses!$X$12,IF(EE20&lt;=Hypothèses!$V$13,Hypothèses!$X$13,IF(EE20&lt;=Hypothèses!$V$14,Hypothèses!$X$14,IF(EE20&lt;=Hypothèses!$V$15,Hypothèses!$X$15,IF(EE20&lt;=Hypothèses!$V$16,Hypothèses!$X$16,IF(EE20&lt;=Hypothèses!$U$17,Hypothèses!$W$17,IF(EE20&lt;=Hypothèses!$U$18,Hypothèses!$W$18,""))))))))))))</f>
        <v>#DIV/0!</v>
      </c>
      <c r="FB20" s="95" t="e">
        <f t="shared" ca="1" si="97"/>
        <v>#DIV/0!</v>
      </c>
      <c r="FC20" s="101">
        <f t="shared" si="130"/>
        <v>0</v>
      </c>
      <c r="FD20" s="91">
        <f t="shared" si="62"/>
        <v>0</v>
      </c>
      <c r="FE20" s="30" t="e">
        <f t="shared" si="114"/>
        <v>#N/A</v>
      </c>
      <c r="FF20" s="30" t="e">
        <f t="shared" si="115"/>
        <v>#N/A</v>
      </c>
      <c r="FG20" s="31" t="e">
        <f>IF(OR(Hypothèses!$B$4=17,Hypothèses!$B$4=18,Hypothèses!$B$4=19,Hypothèses!$B$4=20),
IF($D20="Pressio.",
IF(OR($E20=3,$E20=1,$E20=4),FF20,FE20),
IF($D20="Pénétro.",
IF(OR($E20=3,$E20=1,$E20=4),FF20,FE20))),IF($D20="Pressio.",
IF($E20=3,FF20,FE20),
IF($D20="Pénétro.",
IF($E20=4,FF20,FE20))))</f>
        <v>#N/A</v>
      </c>
      <c r="FH20" s="31">
        <v>0</v>
      </c>
      <c r="FI20" s="102" t="e">
        <f>IF(NDC!$H$10="Oui",(VLOOKUP($B$3,'Coeff EC7'!$T$39:$X$59,2,0)*FG20+VLOOKUP($B$3,'Coeff EC7'!$T$65:$X$85,2,0)*Model0.1T!FH20)/1.5,PI()*FE$12*$Q20*($B20-$B19)*0.15/10+FI19)</f>
        <v>#N/A</v>
      </c>
      <c r="FJ20" s="102" t="e">
        <f>(VLOOKUP($B$3,'Coeff EC7'!$T$39:$X$59,3,0)*FG20+VLOOKUP($B$3,'Coeff EC7'!$T$65:$X$85,3,0)*Model0.1T!FH20)/1.1</f>
        <v>#N/A</v>
      </c>
      <c r="FK20" s="102" t="e">
        <f t="shared" si="98"/>
        <v>#N/A</v>
      </c>
      <c r="FL20" s="102" t="e">
        <f t="shared" si="99"/>
        <v>#N/A</v>
      </c>
      <c r="FM20" s="414" t="e">
        <f>IF(AND(FI20&gt;NDC!$C$63,FJ20&gt;NDC!$C$65,FK20&gt;NDC!$D$73,FL20&gt;NDC!$D$74,$B20&gt;NDC!$H$22-0.1+MIN(3*FM$12,1.5)),0,1)</f>
        <v>#N/A</v>
      </c>
    </row>
    <row r="21" spans="1:169">
      <c r="A21" s="96">
        <f t="shared" si="65"/>
        <v>99.200000000000045</v>
      </c>
      <c r="B21" s="97">
        <v>0.8</v>
      </c>
      <c r="C21" s="81">
        <f>IF(B21&lt;=Hypothèses!$C$7,Hypothèses!$A$7,IF(B21&lt;=Hypothèses!$C$8,Hypothèses!$A$8,IF(B21&lt;=Hypothèses!$C$9,Hypothèses!$A$9,IF(B21&lt;=Hypothèses!$C$10,Hypothèses!$A$10,IF(B21&lt;=Hypothèses!$C$11,Hypothèses!$A$11,IF(B21&lt;=Hypothèses!$C$12,Hypothèses!$A$12,IF(B21&lt;=Hypothèses!$C$13,Hypothèses!$A$13,IF(B21&lt;=Hypothèses!$C$14,Hypothèses!$A$14,IF(B21&lt;=Hypothèses!$C$15,Hypothèses!$A$15,IF(B21&lt;=Hypothèses!$C$16,Hypothèses!$A$16,IF(B21&lt;=Hypothèses!$C$17,Hypothèses!$A$17,IF(B21&lt;=Hypothèses!$C$18,Hypothèses!$A$18,C20))))))))))))</f>
        <v>11</v>
      </c>
      <c r="D21" s="82" t="str">
        <f>IF(B21&lt;=Hypothèses!$C$7,Hypothèses!$R$7,IF(B21&lt;=Hypothèses!$C$8,Hypothèses!$R$8,IF(B21&lt;=Hypothèses!$C$9,Hypothèses!$R$9,IF(B21&lt;=Hypothèses!$C$10,Hypothèses!$R$10,IF(B21&lt;=Hypothèses!$C$11,Hypothèses!$R$11,IF(B21&lt;=Hypothèses!$C$12,Hypothèses!$R$12,IF(B21&lt;=Hypothèses!$C$13,Hypothèses!$R$13,IF(B21&lt;=Hypothèses!$C$14,Hypothèses!$R$14,IF(B21&lt;=Hypothèses!$C$15,Hypothèses!$R$15,IF(B21&lt;=Hypothèses!$C$16,Hypothèses!$R$16,IF(B21&lt;=Hypothèses!$C$17,Hypothèses!$R$17,IF(B21&lt;=Hypothèses!$C$18,Hypothèses!$R$18,D20))))))))))))</f>
        <v>Pressio.</v>
      </c>
      <c r="E21" s="82" t="e">
        <f>IF(B21&lt;=Hypothèses!$C$7,Hypothèses!$G$7,IF(B21&lt;=Hypothèses!$C$8,Hypothèses!$G$8,IF(B21&lt;=Hypothèses!$C$9,Hypothèses!$G$9,IF(B21&lt;=Hypothèses!$C$10,Hypothèses!$G$10,IF(B21&lt;=Hypothèses!$C$11,Hypothèses!$G$11,IF(B21&lt;=Hypothèses!$C$12,Hypothèses!$G$12,IF(B21&lt;=Hypothèses!$C$13,Hypothèses!$G$13,IF(B21&lt;=Hypothèses!$C$14,Hypothèses!$G$14,IF(B21&lt;=Hypothèses!$C$15,Hypothèses!$G$15,IF(B21&lt;=Hypothèses!$C$16,Hypothèses!$G$16,IF(B21&lt;=Hypothèses!$C$17,Hypothèses!$G$17,IF(B21&lt;=Hypothèses!$C$18,Hypothèses!$G$18,E20))))))))))))</f>
        <v>#N/A</v>
      </c>
      <c r="F21" s="82" t="str">
        <f>IF(B21&lt;=Hypothèses!$C$7,Hypothèses!$F$7,IF(B21&lt;=Hypothèses!$C$8,Hypothèses!$F$8,IF(B21&lt;=Hypothèses!$C$9,Hypothèses!$F$9,IF(B21&lt;=Hypothèses!$C$10,Hypothèses!$F$10,IF(B21&lt;=Hypothèses!$C$11,Hypothèses!$F$11,IF(B21&lt;=Hypothèses!$C$12,Hypothèses!$F$12,IF(B21&lt;=Hypothèses!$C$13,Hypothèses!$F$13,IF(B21&lt;=Hypothèses!$C$14,Hypothèses!$F$14,IF(B21&lt;=Hypothèses!$C$15,Hypothèses!$F$15,IF(B21&lt;=Hypothèses!$C$16,Hypothèses!$F$16,IF(B21&lt;=Hypothèses!$C$17,Hypothèses!$F$17,IF(B21&lt;=Hypothèses!$C$18,Hypothèses!$F$18,F20))))))))))))</f>
        <v/>
      </c>
      <c r="G21" s="91">
        <f t="array" ref="G21">INDEX('Coeff EC7'!$U$7:$X$27,
MATCH(Model0.1T!$B$3,'Coeff EC7'!$T$7:$T$27,0),
MATCH(Model0.1T!$D21&amp;Model0.1T!$B$4,
'Coeff EC7'!$U$6:$X$6&amp;
'Coeff EC7'!$U$5:$X$5,0))</f>
        <v>1.4</v>
      </c>
      <c r="H21" s="91">
        <f t="array" ref="H21">INDEX('Coeff EC7'!$Y$7:$AB$27,
MATCH(Model0.1T!$B$3,'Coeff EC7'!$T$7:$T$27,0),
MATCH(Model0.1T!$D21&amp;Model0.1T!$B$4,
'Coeff EC7'!$Y$6:$AB$6&amp;
'Coeff EC7'!$Y$5:$AB$5,0))</f>
        <v>1.7</v>
      </c>
      <c r="I21" s="83">
        <v>0</v>
      </c>
      <c r="J21" s="91" t="e">
        <f t="array" ref="J21">INDEX('Coeff EC7'!$D$33:$Q$33,1,MATCH(D21&amp;E21,'Coeff EC7'!$D$31:$Q$31&amp;'Coeff EC7'!$D$32:$Q$32,0))</f>
        <v>#N/A</v>
      </c>
      <c r="K21" s="91" t="e">
        <f t="array" ref="K21">INDEX('Coeff EC7'!$D$34:$Q$34,1,MATCH(D21&amp;E21,'Coeff EC7'!$D$31:$Q$31&amp;'Coeff EC7'!$D$32:$Q$32,0))</f>
        <v>#N/A</v>
      </c>
      <c r="L21" s="91" t="e">
        <f t="array" ref="L21">INDEX('Coeff EC7'!$D$35:$Q$35,1,MATCH(D21&amp;E21,'Coeff EC7'!$D$31:$Q$31&amp;'Coeff EC7'!$D$32:$Q$32,0))</f>
        <v>#N/A</v>
      </c>
      <c r="M21" s="98" t="e">
        <f t="shared" si="8"/>
        <v>#N/A</v>
      </c>
      <c r="N21" s="99" t="e">
        <f t="array" ref="N21">INDEX('Coeff EC7'!$D$7:$Q$27,MATCH($B$3,'Coeff EC7'!$C$7:$C$27,0),MATCH(D21&amp;E21,'Coeff EC7'!$D$5:$Q$5&amp;'Coeff EC7'!$D$6:$Q$6,0))</f>
        <v>#N/A</v>
      </c>
      <c r="O21" s="99" t="e">
        <f t="array" ref="O21">INDEX('Coeff EC7'!$D$41:$Q$61,MATCH($B$3,'Coeff EC7'!$C$41:$C$61,0),MATCH(D21&amp;E21,'Coeff EC7'!$D$39:$Q$39&amp;'Coeff EC7'!$D$40:$Q$40,0))</f>
        <v>#N/A</v>
      </c>
      <c r="P21" s="30" t="e">
        <f t="shared" si="66"/>
        <v>#N/A</v>
      </c>
      <c r="Q21" s="100" t="e">
        <f t="shared" si="10"/>
        <v>#N/A</v>
      </c>
      <c r="R21" s="86" t="b">
        <f t="shared" si="11"/>
        <v>0</v>
      </c>
      <c r="S21" s="86">
        <f t="shared" si="9"/>
        <v>0.5</v>
      </c>
      <c r="T21" s="86">
        <f t="shared" si="12"/>
        <v>0.5</v>
      </c>
      <c r="U21" s="30" t="e">
        <f t="shared" ca="1" si="67"/>
        <v>#DIV/0!</v>
      </c>
      <c r="V21" s="85" t="str">
        <f>IF(B21&lt;=Hypothèses!$V$7,Hypothèses!$W$7,IF(B21&lt;=Hypothèses!$V$8,Hypothèses!$W$8,IF(B21&lt;=Hypothèses!$V$9,Hypothèses!$W$9,IF(B21&lt;=Hypothèses!$V$10,Hypothèses!$W$10,IF(B21&lt;=Hypothèses!$V$11,Hypothèses!$W$11,IF(B21&lt;=Hypothèses!$V$12,Hypothèses!$W$12,IF(B21&lt;=Hypothèses!$V$13,Hypothèses!$W$13,IF(B21&lt;=Hypothèses!$V$14,Hypothèses!$W$14,IF(B21&lt;=Hypothèses!$V$15,Hypothèses!$W$15,IF(B21&lt;=Hypothèses!$V$16,Hypothèses!$W$16,IF(B21&lt;=Hypothèses!$V$17,Hypothèses!$W$17,IF(B21&lt;=Hypothèses!$V$18,Hypothèses!$W$18,""))))))))))))</f>
        <v/>
      </c>
      <c r="W21" s="87" t="e">
        <f t="shared" ca="1" si="116"/>
        <v>#DIV/0!</v>
      </c>
      <c r="X21" s="88" t="str">
        <f>IF(B21&lt;=Hypothèses!$V$7,Hypothèses!$X$7,IF(B21&lt;=Hypothèses!$V$8,Hypothèses!$X$8,IF(B21&lt;=Hypothèses!$V$9,Hypothèses!$X$9,IF(B21&lt;=Hypothèses!$V$10,Hypothèses!$X$10,IF(B21&lt;=Hypothèses!$V$11,Hypothèses!$X$11,IF(B21&lt;=Hypothèses!$V$12,Hypothèses!$X$12,IF(B21&lt;=Hypothèses!$V$13,Hypothèses!$X$13,IF(B21&lt;=Hypothèses!$V$14,Hypothèses!$X$14,IF(B21&lt;=Hypothèses!$V$15,Hypothèses!$X$15,IF(B21&lt;=Hypothèses!$V$16,Hypothèses!$X$16,IF(B21&lt;=Hypothèses!$U$17,Hypothèses!$W$17,IF(B21&lt;=Hypothèses!$U$18,Hypothèses!$W$18,""))))))))))))</f>
        <v/>
      </c>
      <c r="Y21" s="95" t="e">
        <f t="shared" ca="1" si="13"/>
        <v>#DIV/0!</v>
      </c>
      <c r="Z21" s="101">
        <f t="shared" si="14"/>
        <v>0</v>
      </c>
      <c r="AA21" s="91">
        <f t="shared" si="15"/>
        <v>0</v>
      </c>
      <c r="AB21" s="30" t="e">
        <f t="shared" si="100"/>
        <v>#N/A</v>
      </c>
      <c r="AC21" s="30" t="e">
        <f t="shared" si="101"/>
        <v>#N/A</v>
      </c>
      <c r="AD21" s="31" t="e">
        <f>IF(OR(Hypothèses!$B$4=17,Hypothèses!$B$4=18,Hypothèses!$B$4=19,Hypothèses!$B$4=20),
IF($D21="Pressio.",
IF(OR($E21=3,$E21=1,$E21=4),AC21,AB21),
IF($D21="Pénétro.",
IF(OR($E21=3,$E21=1,$E21=4),AC21,AB21))),IF($D21="Pressio.",
IF($E21=3,AC21,AB21),
IF($D21="Pénétro.",
IF($E21=4,AC21,AB21))))</f>
        <v>#N/A</v>
      </c>
      <c r="AE21" s="31">
        <v>0</v>
      </c>
      <c r="AF21" s="102" t="e">
        <f>IF(NDC!$H$10="Oui",(VLOOKUP($B$3,'Coeff EC7'!$T$39:$X$59,2,0)*AD21+VLOOKUP($B$3,'Coeff EC7'!$T$65:$X$85,2,0)*Model0.1T!AE21)/1.5,PI()*AB$12*$Q21*($B21-$B20)*0.15/10+AF20)</f>
        <v>#N/A</v>
      </c>
      <c r="AG21" s="102" t="e">
        <f>(VLOOKUP($B$3,'Coeff EC7'!$T$39:$X$59,3,0)*AD21+VLOOKUP($B$3,'Coeff EC7'!$T$65:$X$85,3,0)*Model0.1T!AE21)/1.1</f>
        <v>#N/A</v>
      </c>
      <c r="AH21" s="102" t="e">
        <f t="shared" si="68"/>
        <v>#N/A</v>
      </c>
      <c r="AI21" s="102" t="e">
        <f t="shared" si="69"/>
        <v>#N/A</v>
      </c>
      <c r="AJ21" s="414" t="e">
        <f>IF(AND(AF21&gt;NDC!$C$63,AG21&gt;NDC!$C$65,AH21&gt;NDC!$D$73,AI21&gt;NDC!$D$74,$B21&gt;NDC!$H$22-0.1+MIN(3*$AJ$12,1.5)),0,1)</f>
        <v>#N/A</v>
      </c>
      <c r="AK21" s="86" t="b">
        <f t="shared" si="18"/>
        <v>0</v>
      </c>
      <c r="AL21" s="86">
        <f t="shared" si="70"/>
        <v>0.5</v>
      </c>
      <c r="AM21" s="86">
        <f t="shared" si="19"/>
        <v>0.5</v>
      </c>
      <c r="AN21" s="30" t="e">
        <f t="shared" ca="1" si="71"/>
        <v>#DIV/0!</v>
      </c>
      <c r="AO21" s="85" t="e">
        <f ca="1">IF(U21&lt;=Hypothèses!$V$7,Hypothèses!$W$7,IF(U21&lt;=Hypothèses!$V$8,Hypothèses!$W$8,IF(U21&lt;=Hypothèses!$V$9,Hypothèses!$W$9,IF(U21&lt;=Hypothèses!$V$10,Hypothèses!$W$10,IF(U21&lt;=Hypothèses!$V$11,Hypothèses!$W$11,IF(U21&lt;=Hypothèses!$V$12,Hypothèses!$W$12,IF(U21&lt;=Hypothèses!$V$13,Hypothèses!$W$13,IF(U21&lt;=Hypothèses!$V$14,Hypothèses!$W$14,IF(U21&lt;=Hypothèses!$V$15,Hypothèses!$W$15,IF(U21&lt;=Hypothèses!$V$16,Hypothèses!$W$16,IF(U21&lt;=Hypothèses!$V$17,Hypothèses!$W$17,IF(U21&lt;=Hypothèses!$V$18,Hypothèses!$W$18,""))))))))))))</f>
        <v>#DIV/0!</v>
      </c>
      <c r="AP21" s="87" t="e">
        <f t="shared" ca="1" si="117"/>
        <v>#DIV/0!</v>
      </c>
      <c r="AQ21" s="88" t="e">
        <f ca="1">IF(U21&lt;=Hypothèses!$V$7,Hypothèses!$X$7,IF(U21&lt;=Hypothèses!$V$8,Hypothèses!$X$8,IF(U21&lt;=Hypothèses!$V$9,Hypothèses!$X$9,IF(U21&lt;=Hypothèses!$V$10,Hypothèses!$X$10,IF(U21&lt;=Hypothèses!$V$11,Hypothèses!$X$11,IF(U21&lt;=Hypothèses!$V$12,Hypothèses!$X$12,IF(U21&lt;=Hypothèses!$V$13,Hypothèses!$X$13,IF(U21&lt;=Hypothèses!$V$14,Hypothèses!$X$14,IF(U21&lt;=Hypothèses!$V$15,Hypothèses!$X$15,IF(U21&lt;=Hypothèses!$V$16,Hypothèses!$X$16,IF(U21&lt;=Hypothèses!$U$17,Hypothèses!$W$17,IF(U21&lt;=Hypothèses!$U$18,Hypothèses!$W$18,""))))))))))))</f>
        <v>#DIV/0!</v>
      </c>
      <c r="AR21" s="95" t="e">
        <f t="shared" ca="1" si="72"/>
        <v>#DIV/0!</v>
      </c>
      <c r="AS21" s="101">
        <f t="shared" si="124"/>
        <v>0</v>
      </c>
      <c r="AT21" s="91">
        <f t="shared" si="21"/>
        <v>0</v>
      </c>
      <c r="AU21" s="30" t="e">
        <f t="shared" si="102"/>
        <v>#N/A</v>
      </c>
      <c r="AV21" s="30" t="e">
        <f t="shared" si="103"/>
        <v>#N/A</v>
      </c>
      <c r="AW21" s="31" t="e">
        <f>IF(OR(Hypothèses!$B$4=17,Hypothèses!$B$4=18,Hypothèses!$B$4=19,Hypothèses!$B$4=20),
IF($D21="Pressio.",
IF(OR($E21=3,$E21=1,$E21=4),AV21,AU21),
IF($D21="Pénétro.",
IF(OR($E21=3,$E21=1,$E21=4),AV21,AU21))),IF($D21="Pressio.",
IF($E21=3,AV21,AU21),
IF($D21="Pénétro.",
IF($E21=4,AV21,AU21))))</f>
        <v>#N/A</v>
      </c>
      <c r="AX21" s="31">
        <v>0</v>
      </c>
      <c r="AY21" s="102" t="e">
        <f>IF(NDC!$H$10="Oui",(VLOOKUP($B$3,'Coeff EC7'!$T$39:$X$59,2,0)*AW21+VLOOKUP($B$3,'Coeff EC7'!$T$65:$X$85,2,0)*Model0.1T!AX21)/1.5,PI()*AU$12*$Q21*($B21-$B20)*0.15/10+AY20)</f>
        <v>#N/A</v>
      </c>
      <c r="AZ21" s="102" t="e">
        <f>(VLOOKUP($B$3,'Coeff EC7'!$T$39:$X$59,3,0)*AW21+VLOOKUP($B$3,'Coeff EC7'!$T$65:$X$85,3,0)*Model0.1T!AX21)/1.1</f>
        <v>#N/A</v>
      </c>
      <c r="BA21" s="102" t="e">
        <f t="shared" si="73"/>
        <v>#N/A</v>
      </c>
      <c r="BB21" s="102" t="e">
        <f t="shared" si="74"/>
        <v>#N/A</v>
      </c>
      <c r="BC21" s="414" t="e">
        <f>IF(AND(AY21&gt;NDC!$C$63,AZ21&gt;NDC!$C$65,BA21&gt;NDC!$D$73,BB21&gt;NDC!$D$74,$B21&gt;NDC!$H$22-0.1+MIN(3*BC$12,1.5)),0,1)</f>
        <v>#N/A</v>
      </c>
      <c r="BD21" s="86" t="b">
        <f t="shared" si="24"/>
        <v>0</v>
      </c>
      <c r="BE21" s="86">
        <f t="shared" si="75"/>
        <v>0.5</v>
      </c>
      <c r="BF21" s="86">
        <f t="shared" si="25"/>
        <v>0.5</v>
      </c>
      <c r="BG21" s="30" t="e">
        <f t="shared" ca="1" si="76"/>
        <v>#DIV/0!</v>
      </c>
      <c r="BH21" s="85" t="e">
        <f ca="1">IF(AN21&lt;=Hypothèses!$V$7,Hypothèses!$W$7,IF(AN21&lt;=Hypothèses!$V$8,Hypothèses!$W$8,IF(AN21&lt;=Hypothèses!$V$9,Hypothèses!$W$9,IF(AN21&lt;=Hypothèses!$V$10,Hypothèses!$W$10,IF(AN21&lt;=Hypothèses!$V$11,Hypothèses!$W$11,IF(AN21&lt;=Hypothèses!$V$12,Hypothèses!$W$12,IF(AN21&lt;=Hypothèses!$V$13,Hypothèses!$W$13,IF(AN21&lt;=Hypothèses!$V$14,Hypothèses!$W$14,IF(AN21&lt;=Hypothèses!$V$15,Hypothèses!$W$15,IF(AN21&lt;=Hypothèses!$V$16,Hypothèses!$W$16,IF(AN21&lt;=Hypothèses!$V$17,Hypothèses!$W$17,IF(AN21&lt;=Hypothèses!$V$18,Hypothèses!$W$18,""))))))))))))</f>
        <v>#DIV/0!</v>
      </c>
      <c r="BI21" s="87" t="e">
        <f t="shared" ca="1" si="118"/>
        <v>#DIV/0!</v>
      </c>
      <c r="BJ21" s="88" t="e">
        <f ca="1">IF(AN21&lt;=Hypothèses!$V$7,Hypothèses!$X$7,IF(AN21&lt;=Hypothèses!$V$8,Hypothèses!$X$8,IF(AN21&lt;=Hypothèses!$V$9,Hypothèses!$X$9,IF(AN21&lt;=Hypothèses!$V$10,Hypothèses!$X$10,IF(AN21&lt;=Hypothèses!$V$11,Hypothèses!$X$11,IF(AN21&lt;=Hypothèses!$V$12,Hypothèses!$X$12,IF(AN21&lt;=Hypothèses!$V$13,Hypothèses!$X$13,IF(AN21&lt;=Hypothèses!$V$14,Hypothèses!$X$14,IF(AN21&lt;=Hypothèses!$V$15,Hypothèses!$X$15,IF(AN21&lt;=Hypothèses!$V$16,Hypothèses!$X$16,IF(AN21&lt;=Hypothèses!$U$17,Hypothèses!$W$17,IF(AN21&lt;=Hypothèses!$U$18,Hypothèses!$W$18,""))))))))))))</f>
        <v>#DIV/0!</v>
      </c>
      <c r="BK21" s="95" t="e">
        <f t="shared" ca="1" si="77"/>
        <v>#DIV/0!</v>
      </c>
      <c r="BL21" s="101">
        <f t="shared" si="125"/>
        <v>0</v>
      </c>
      <c r="BM21" s="91">
        <f t="shared" si="27"/>
        <v>0</v>
      </c>
      <c r="BN21" s="30" t="e">
        <f t="shared" si="104"/>
        <v>#N/A</v>
      </c>
      <c r="BO21" s="30" t="e">
        <f t="shared" si="105"/>
        <v>#N/A</v>
      </c>
      <c r="BP21" s="31" t="e">
        <f>IF(OR(Hypothèses!$B$4=17,Hypothèses!$B$4=18,Hypothèses!$B$4=19,Hypothèses!$B$4=20),
IF($D21="Pressio.",
IF(OR($E21=3,$E21=1,$E21=4),BO21,BN21),
IF($D21="Pénétro.",
IF(OR($E21=3,$E21=1,$E21=4),BO21,BN21))),IF($D21="Pressio.",
IF($E21=3,BO21,BN21),
IF($D21="Pénétro.",
IF($E21=4,BO21,BN21))))</f>
        <v>#N/A</v>
      </c>
      <c r="BQ21" s="31">
        <v>0</v>
      </c>
      <c r="BR21" s="102" t="e">
        <f>IF(NDC!$H$10="Oui",(VLOOKUP($B$3,'Coeff EC7'!$T$39:$X$59,2,0)*BP21+VLOOKUP($B$3,'Coeff EC7'!$T$65:$X$85,2,0)*Model0.1T!BQ21)/1.5,PI()*BN$12*$Q21*($B21-$B20)*0.15/10+BR20)</f>
        <v>#N/A</v>
      </c>
      <c r="BS21" s="102" t="e">
        <f>(VLOOKUP($B$3,'Coeff EC7'!$T$39:$X$59,3,0)*BP21+VLOOKUP($B$3,'Coeff EC7'!$T$65:$X$85,3,0)*Model0.1T!BQ21)/1.1</f>
        <v>#N/A</v>
      </c>
      <c r="BT21" s="102" t="e">
        <f t="shared" si="78"/>
        <v>#N/A</v>
      </c>
      <c r="BU21" s="102" t="e">
        <f t="shared" si="79"/>
        <v>#N/A</v>
      </c>
      <c r="BV21" s="414" t="e">
        <f>IF(AND(BR21&gt;NDC!$C$63,BS21&gt;NDC!$C$65,BT21&gt;NDC!$D$73,BU21&gt;NDC!$D$74,$B21&gt;NDC!$H$22-0.1+MIN(3*BV$12,1.5)),0,1)</f>
        <v>#N/A</v>
      </c>
      <c r="BW21" s="86" t="b">
        <f t="shared" si="30"/>
        <v>0</v>
      </c>
      <c r="BX21" s="86">
        <f t="shared" si="31"/>
        <v>0.5</v>
      </c>
      <c r="BY21" s="86">
        <f t="shared" si="32"/>
        <v>0.5</v>
      </c>
      <c r="BZ21" s="30" t="e">
        <f t="shared" ca="1" si="80"/>
        <v>#DIV/0!</v>
      </c>
      <c r="CA21" s="85" t="e">
        <f ca="1">IF(BG21&lt;=Hypothèses!$V$7,Hypothèses!$W$7,IF(BG21&lt;=Hypothèses!$V$8,Hypothèses!$W$8,IF(BG21&lt;=Hypothèses!$V$9,Hypothèses!$W$9,IF(BG21&lt;=Hypothèses!$V$10,Hypothèses!$W$10,IF(BG21&lt;=Hypothèses!$V$11,Hypothèses!$W$11,IF(BG21&lt;=Hypothèses!$V$12,Hypothèses!$W$12,IF(BG21&lt;=Hypothèses!$V$13,Hypothèses!$W$13,IF(BG21&lt;=Hypothèses!$V$14,Hypothèses!$W$14,IF(BG21&lt;=Hypothèses!$V$15,Hypothèses!$W$15,IF(BG21&lt;=Hypothèses!$V$16,Hypothèses!$W$16,IF(BG21&lt;=Hypothèses!$V$17,Hypothèses!$W$17,IF(BG21&lt;=Hypothèses!$V$18,Hypothèses!$W$18,""))))))))))))</f>
        <v>#DIV/0!</v>
      </c>
      <c r="CB21" s="87" t="e">
        <f t="shared" ca="1" si="119"/>
        <v>#DIV/0!</v>
      </c>
      <c r="CC21" s="88" t="e">
        <f ca="1">IF(BG21&lt;=Hypothèses!$V$7,Hypothèses!$X$7,IF(BG21&lt;=Hypothèses!$V$8,Hypothèses!$X$8,IF(BG21&lt;=Hypothèses!$V$9,Hypothèses!$X$9,IF(BG21&lt;=Hypothèses!$V$10,Hypothèses!$X$10,IF(BG21&lt;=Hypothèses!$V$11,Hypothèses!$X$11,IF(BG21&lt;=Hypothèses!$V$12,Hypothèses!$X$12,IF(BG21&lt;=Hypothèses!$V$13,Hypothèses!$X$13,IF(BG21&lt;=Hypothèses!$V$14,Hypothèses!$X$14,IF(BG21&lt;=Hypothèses!$V$15,Hypothèses!$X$15,IF(BG21&lt;=Hypothèses!$V$16,Hypothèses!$X$16,IF(BG21&lt;=Hypothèses!$U$17,Hypothèses!$W$17,IF(BG21&lt;=Hypothèses!$U$18,Hypothèses!$W$18,""))))))))))))</f>
        <v>#DIV/0!</v>
      </c>
      <c r="CD21" s="95" t="e">
        <f t="shared" ca="1" si="81"/>
        <v>#DIV/0!</v>
      </c>
      <c r="CE21" s="101">
        <f t="shared" si="126"/>
        <v>0</v>
      </c>
      <c r="CF21" s="91">
        <f t="shared" si="34"/>
        <v>0</v>
      </c>
      <c r="CG21" s="30" t="e">
        <f t="shared" si="106"/>
        <v>#N/A</v>
      </c>
      <c r="CH21" s="30" t="e">
        <f t="shared" si="107"/>
        <v>#N/A</v>
      </c>
      <c r="CI21" s="31" t="e">
        <f>IF(OR(Hypothèses!$B$4=17,Hypothèses!$B$4=18,Hypothèses!$B$4=19,Hypothèses!$B$4=20),
IF($D21="Pressio.",
IF(OR($E21=3,$E21=1,$E21=4),CH21,CG21),
IF($D21="Pénétro.",
IF(OR($E21=3,$E21=1,$E21=4),CH21,CG21))),IF($D21="Pressio.",
IF($E21=3,CH21,CG21),
IF($D21="Pénétro.",
IF($E21=4,CH21,CG21))))</f>
        <v>#N/A</v>
      </c>
      <c r="CJ21" s="31">
        <v>0</v>
      </c>
      <c r="CK21" s="102" t="e">
        <f>IF(NDC!$H$10="Oui",(VLOOKUP($B$3,'Coeff EC7'!$T$39:$X$59,2,0)*CI21+VLOOKUP($B$3,'Coeff EC7'!$T$65:$X$85,2,0)*Model0.1T!CJ21)/1.5,PI()*CG$12*$Q21*($B21-$B20)*0.15/10+CK20)</f>
        <v>#N/A</v>
      </c>
      <c r="CL21" s="102" t="e">
        <f>(VLOOKUP($B$3,'Coeff EC7'!$T$39:$X$59,3,0)*CI21+VLOOKUP($B$3,'Coeff EC7'!$T$65:$X$85,3,0)*Model0.1T!CJ21)/1.1</f>
        <v>#N/A</v>
      </c>
      <c r="CM21" s="102" t="e">
        <f t="shared" si="82"/>
        <v>#N/A</v>
      </c>
      <c r="CN21" s="102" t="e">
        <f t="shared" si="83"/>
        <v>#N/A</v>
      </c>
      <c r="CO21" s="414" t="e">
        <f>IF(AND(CK21&gt;NDC!$C$63,CL21&gt;NDC!$C$65,CM21&gt;NDC!$D$73,CN21&gt;NDC!$D$74,$B21&gt;NDC!$H$22-0.1+MIN(3*CO$12,1.5)),0,1)</f>
        <v>#N/A</v>
      </c>
      <c r="CP21" s="86" t="b">
        <f t="shared" si="37"/>
        <v>0</v>
      </c>
      <c r="CQ21" s="86">
        <f t="shared" si="38"/>
        <v>0.5</v>
      </c>
      <c r="CR21" s="86">
        <f t="shared" si="39"/>
        <v>0.5</v>
      </c>
      <c r="CS21" s="30" t="e">
        <f t="shared" ca="1" si="84"/>
        <v>#DIV/0!</v>
      </c>
      <c r="CT21" s="85" t="e">
        <f ca="1">IF(BZ21&lt;=Hypothèses!$V$7,Hypothèses!$W$7,IF(BZ21&lt;=Hypothèses!$V$8,Hypothèses!$W$8,IF(BZ21&lt;=Hypothèses!$V$9,Hypothèses!$W$9,IF(BZ21&lt;=Hypothèses!$V$10,Hypothèses!$W$10,IF(BZ21&lt;=Hypothèses!$V$11,Hypothèses!$W$11,IF(BZ21&lt;=Hypothèses!$V$12,Hypothèses!$W$12,IF(BZ21&lt;=Hypothèses!$V$13,Hypothèses!$W$13,IF(BZ21&lt;=Hypothèses!$V$14,Hypothèses!$W$14,IF(BZ21&lt;=Hypothèses!$V$15,Hypothèses!$W$15,IF(BZ21&lt;=Hypothèses!$V$16,Hypothèses!$W$16,IF(BZ21&lt;=Hypothèses!$V$17,Hypothèses!$W$17,IF(BZ21&lt;=Hypothèses!$V$18,Hypothèses!$W$18,""))))))))))))</f>
        <v>#DIV/0!</v>
      </c>
      <c r="CU21" s="87" t="e">
        <f t="shared" ca="1" si="120"/>
        <v>#DIV/0!</v>
      </c>
      <c r="CV21" s="88" t="e">
        <f ca="1">IF(BZ21&lt;=Hypothèses!$V$7,Hypothèses!$X$7,IF(BZ21&lt;=Hypothèses!$V$8,Hypothèses!$X$8,IF(BZ21&lt;=Hypothèses!$V$9,Hypothèses!$X$9,IF(BZ21&lt;=Hypothèses!$V$10,Hypothèses!$X$10,IF(BZ21&lt;=Hypothèses!$V$11,Hypothèses!$X$11,IF(BZ21&lt;=Hypothèses!$V$12,Hypothèses!$X$12,IF(BZ21&lt;=Hypothèses!$V$13,Hypothèses!$X$13,IF(BZ21&lt;=Hypothèses!$V$14,Hypothèses!$X$14,IF(BZ21&lt;=Hypothèses!$V$15,Hypothèses!$X$15,IF(BZ21&lt;=Hypothèses!$V$16,Hypothèses!$X$16,IF(BZ21&lt;=Hypothèses!$U$17,Hypothèses!$W$17,IF(BZ21&lt;=Hypothèses!$U$18,Hypothèses!$W$18,""))))))))))))</f>
        <v>#DIV/0!</v>
      </c>
      <c r="CW21" s="95" t="e">
        <f t="shared" ca="1" si="85"/>
        <v>#DIV/0!</v>
      </c>
      <c r="CX21" s="101">
        <f t="shared" si="127"/>
        <v>0</v>
      </c>
      <c r="CY21" s="91">
        <f t="shared" si="41"/>
        <v>0</v>
      </c>
      <c r="CZ21" s="30" t="e">
        <f t="shared" si="108"/>
        <v>#N/A</v>
      </c>
      <c r="DA21" s="30" t="e">
        <f t="shared" si="109"/>
        <v>#N/A</v>
      </c>
      <c r="DB21" s="31" t="e">
        <f>IF(OR(Hypothèses!$B$4=17,Hypothèses!$B$4=18,Hypothèses!$B$4=19,Hypothèses!$B$4=20),
IF($D21="Pressio.",
IF(OR($E21=3,$E21=1,$E21=4),DA21,CZ21),
IF($D21="Pénétro.",
IF(OR($E21=3,$E21=1,$E21=4),DA21,CZ21))),IF($D21="Pressio.",
IF($E21=3,DA21,CZ21),
IF($D21="Pénétro.",
IF($E21=4,DA21,CZ21))))</f>
        <v>#N/A</v>
      </c>
      <c r="DC21" s="31">
        <v>0</v>
      </c>
      <c r="DD21" s="102" t="e">
        <f>IF(NDC!$H$10="Oui",(VLOOKUP($B$3,'Coeff EC7'!$T$39:$X$59,2,0)*DB21+VLOOKUP($B$3,'Coeff EC7'!$T$65:$X$85,2,0)*Model0.1T!DC21)/1.5,PI()*CZ$12*$Q21*($B21-$B20)*0.15/10+DD20)</f>
        <v>#N/A</v>
      </c>
      <c r="DE21" s="102" t="e">
        <f>(VLOOKUP($B$3,'Coeff EC7'!$T$39:$X$59,3,0)*DB21+VLOOKUP($B$3,'Coeff EC7'!$T$65:$X$85,3,0)*Model0.1T!DC21)/1.1</f>
        <v>#N/A</v>
      </c>
      <c r="DF21" s="102" t="e">
        <f t="shared" si="86"/>
        <v>#N/A</v>
      </c>
      <c r="DG21" s="102" t="e">
        <f t="shared" si="87"/>
        <v>#N/A</v>
      </c>
      <c r="DH21" s="414" t="e">
        <f>IF(AND(DD21&gt;NDC!$C$63,DE21&gt;NDC!$C$65,DF21&gt;NDC!$D$73,DG21&gt;NDC!$D$74,$B21&gt;NDC!$H$22-0.1+MIN(3*DH$12,1.5)),0,1)</f>
        <v>#N/A</v>
      </c>
      <c r="DI21" s="86" t="b">
        <f t="shared" si="44"/>
        <v>0</v>
      </c>
      <c r="DJ21" s="86">
        <f t="shared" si="45"/>
        <v>0.5</v>
      </c>
      <c r="DK21" s="86">
        <f t="shared" si="46"/>
        <v>0.5</v>
      </c>
      <c r="DL21" s="30" t="e">
        <f t="shared" ca="1" si="88"/>
        <v>#DIV/0!</v>
      </c>
      <c r="DM21" s="85" t="e">
        <f ca="1">IF(CS21&lt;=Hypothèses!$V$7,Hypothèses!$W$7,IF(CS21&lt;=Hypothèses!$V$8,Hypothèses!$W$8,IF(CS21&lt;=Hypothèses!$V$9,Hypothèses!$W$9,IF(CS21&lt;=Hypothèses!$V$10,Hypothèses!$W$10,IF(CS21&lt;=Hypothèses!$V$11,Hypothèses!$W$11,IF(CS21&lt;=Hypothèses!$V$12,Hypothèses!$W$12,IF(CS21&lt;=Hypothèses!$V$13,Hypothèses!$W$13,IF(CS21&lt;=Hypothèses!$V$14,Hypothèses!$W$14,IF(CS21&lt;=Hypothèses!$V$15,Hypothèses!$W$15,IF(CS21&lt;=Hypothèses!$V$16,Hypothèses!$W$16,IF(CS21&lt;=Hypothèses!$V$17,Hypothèses!$W$17,IF(CS21&lt;=Hypothèses!$V$18,Hypothèses!$W$18,""))))))))))))</f>
        <v>#DIV/0!</v>
      </c>
      <c r="DN21" s="87" t="e">
        <f t="shared" ca="1" si="121"/>
        <v>#DIV/0!</v>
      </c>
      <c r="DO21" s="88" t="e">
        <f ca="1">IF(CS21&lt;=Hypothèses!$V$7,Hypothèses!$X$7,IF(CS21&lt;=Hypothèses!$V$8,Hypothèses!$X$8,IF(CS21&lt;=Hypothèses!$V$9,Hypothèses!$X$9,IF(CS21&lt;=Hypothèses!$V$10,Hypothèses!$X$10,IF(CS21&lt;=Hypothèses!$V$11,Hypothèses!$X$11,IF(CS21&lt;=Hypothèses!$V$12,Hypothèses!$X$12,IF(CS21&lt;=Hypothèses!$V$13,Hypothèses!$X$13,IF(CS21&lt;=Hypothèses!$V$14,Hypothèses!$X$14,IF(CS21&lt;=Hypothèses!$V$15,Hypothèses!$X$15,IF(CS21&lt;=Hypothèses!$V$16,Hypothèses!$X$16,IF(CS21&lt;=Hypothèses!$U$17,Hypothèses!$W$17,IF(CS21&lt;=Hypothèses!$U$18,Hypothèses!$W$18,""))))))))))))</f>
        <v>#DIV/0!</v>
      </c>
      <c r="DP21" s="95" t="e">
        <f t="shared" ca="1" si="89"/>
        <v>#DIV/0!</v>
      </c>
      <c r="DQ21" s="101">
        <f t="shared" si="128"/>
        <v>0</v>
      </c>
      <c r="DR21" s="91">
        <f t="shared" si="48"/>
        <v>0</v>
      </c>
      <c r="DS21" s="30" t="e">
        <f t="shared" si="110"/>
        <v>#N/A</v>
      </c>
      <c r="DT21" s="30" t="e">
        <f t="shared" si="111"/>
        <v>#N/A</v>
      </c>
      <c r="DU21" s="31" t="e">
        <f>IF(OR(Hypothèses!$B$4=17,Hypothèses!$B$4=18,Hypothèses!$B$4=19,Hypothèses!$B$4=20),
IF($D21="Pressio.",
IF(OR($E21=3,$E21=1,$E21=4),DT21,DS21),
IF($D21="Pénétro.",
IF(OR($E21=3,$E21=1,$E21=4),DT21,DS21))),IF($D21="Pressio.",
IF($E21=3,DT21,DS21),
IF($D21="Pénétro.",
IF($E21=4,DT21,DS21))))</f>
        <v>#N/A</v>
      </c>
      <c r="DV21" s="31">
        <v>0</v>
      </c>
      <c r="DW21" s="102" t="e">
        <f>IF(NDC!$H$10="Oui",(VLOOKUP($B$3,'Coeff EC7'!$T$39:$X$59,2,0)*DU21+VLOOKUP($B$3,'Coeff EC7'!$T$65:$X$85,2,0)*Model0.1T!DV21)/1.5,PI()*DS$12*$Q21*($B21-$B20)*0.15/10+DW20)</f>
        <v>#N/A</v>
      </c>
      <c r="DX21" s="102" t="e">
        <f>(VLOOKUP($B$3,'Coeff EC7'!$T$39:$X$59,3,0)*DU21+VLOOKUP($B$3,'Coeff EC7'!$T$65:$X$85,3,0)*Model0.1T!DV21)/1.1</f>
        <v>#N/A</v>
      </c>
      <c r="DY21" s="102" t="e">
        <f t="shared" si="90"/>
        <v>#N/A</v>
      </c>
      <c r="DZ21" s="102" t="e">
        <f t="shared" si="91"/>
        <v>#N/A</v>
      </c>
      <c r="EA21" s="414" t="e">
        <f>IF(AND(DW21&gt;NDC!$C$63,DX21&gt;NDC!$C$65,DY21&gt;NDC!$D$73,DZ21&gt;NDC!$D$74,$B21&gt;NDC!$H$22-0.1+MIN(3*EA$12,1.5)),0,1)</f>
        <v>#N/A</v>
      </c>
      <c r="EB21" s="86" t="b">
        <f t="shared" si="51"/>
        <v>0</v>
      </c>
      <c r="EC21" s="418">
        <f t="shared" si="52"/>
        <v>0.51</v>
      </c>
      <c r="ED21" s="86">
        <f t="shared" si="53"/>
        <v>0.51</v>
      </c>
      <c r="EE21" s="30" t="e">
        <f t="shared" ca="1" si="92"/>
        <v>#DIV/0!</v>
      </c>
      <c r="EF21" s="85" t="e">
        <f ca="1">IF(DL21&lt;=Hypothèses!$V$7,Hypothèses!$W$7,IF(DL21&lt;=Hypothèses!$V$8,Hypothèses!$W$8,IF(DL21&lt;=Hypothèses!$V$9,Hypothèses!$W$9,IF(DL21&lt;=Hypothèses!$V$10,Hypothèses!$W$10,IF(DL21&lt;=Hypothèses!$V$11,Hypothèses!$W$11,IF(DL21&lt;=Hypothèses!$V$12,Hypothèses!$W$12,IF(DL21&lt;=Hypothèses!$V$13,Hypothèses!$W$13,IF(DL21&lt;=Hypothèses!$V$14,Hypothèses!$W$14,IF(DL21&lt;=Hypothèses!$V$15,Hypothèses!$W$15,IF(DL21&lt;=Hypothèses!$V$16,Hypothèses!$W$16,IF(DL21&lt;=Hypothèses!$V$17,Hypothèses!$W$17,IF(DL21&lt;=Hypothèses!$V$18,Hypothèses!$W$18,""))))))))))))</f>
        <v>#DIV/0!</v>
      </c>
      <c r="EG21" s="87" t="e">
        <f t="shared" ca="1" si="122"/>
        <v>#DIV/0!</v>
      </c>
      <c r="EH21" s="88" t="e">
        <f ca="1">IF(DL21&lt;=Hypothèses!$V$7,Hypothèses!$X$7,IF(DL21&lt;=Hypothèses!$V$8,Hypothèses!$X$8,IF(DL21&lt;=Hypothèses!$V$9,Hypothèses!$X$9,IF(DL21&lt;=Hypothèses!$V$10,Hypothèses!$X$10,IF(DL21&lt;=Hypothèses!$V$11,Hypothèses!$X$11,IF(DL21&lt;=Hypothèses!$V$12,Hypothèses!$X$12,IF(DL21&lt;=Hypothèses!$V$13,Hypothèses!$X$13,IF(DL21&lt;=Hypothèses!$V$14,Hypothèses!$X$14,IF(DL21&lt;=Hypothèses!$V$15,Hypothèses!$X$15,IF(DL21&lt;=Hypothèses!$V$16,Hypothèses!$X$16,IF(DL21&lt;=Hypothèses!$U$17,Hypothèses!$W$17,IF(DL21&lt;=Hypothèses!$U$18,Hypothèses!$W$18,""))))))))))))</f>
        <v>#DIV/0!</v>
      </c>
      <c r="EI21" s="95" t="e">
        <f t="shared" ca="1" si="93"/>
        <v>#DIV/0!</v>
      </c>
      <c r="EJ21" s="101">
        <f t="shared" si="129"/>
        <v>0</v>
      </c>
      <c r="EK21" s="91">
        <f t="shared" si="55"/>
        <v>0</v>
      </c>
      <c r="EL21" s="30" t="e">
        <f t="shared" si="112"/>
        <v>#N/A</v>
      </c>
      <c r="EM21" s="30" t="e">
        <f t="shared" si="113"/>
        <v>#N/A</v>
      </c>
      <c r="EN21" s="31" t="e">
        <f>IF(OR(Hypothèses!$B$4=17,Hypothèses!$B$4=18,Hypothèses!$B$4=19,Hypothèses!$B$4=20),
IF($D21="Pressio.",
IF(OR($E21=3,$E21=1,$E21=4),EM21,EL21),
IF($D21="Pénétro.",
IF(OR($E21=3,$E21=1,$E21=4),EM21,EL21))),IF($D21="Pressio.",
IF($E21=3,EM21,EL21),
IF($D21="Pénétro.",
IF($E21=4,EM21,EL21))))</f>
        <v>#N/A</v>
      </c>
      <c r="EO21" s="31">
        <v>0</v>
      </c>
      <c r="EP21" s="102" t="e">
        <f>IF(NDC!$H$10="Oui",(VLOOKUP($B$3,'Coeff EC7'!$T$39:$X$59,2,0)*EN21+VLOOKUP($B$3,'Coeff EC7'!$T$65:$X$85,2,0)*Model0.1T!EO21)/1.5,PI()*EL$12*$Q21*($B21-$B20)*0.15/10+EP20)</f>
        <v>#N/A</v>
      </c>
      <c r="EQ21" s="102" t="e">
        <f>(VLOOKUP($B$3,'Coeff EC7'!$T$39:$X$59,3,0)*EN21+VLOOKUP($B$3,'Coeff EC7'!$T$65:$X$85,3,0)*Model0.1T!EO21)/1.1</f>
        <v>#N/A</v>
      </c>
      <c r="ER21" s="102" t="e">
        <f t="shared" si="94"/>
        <v>#N/A</v>
      </c>
      <c r="ES21" s="102" t="e">
        <f t="shared" si="95"/>
        <v>#N/A</v>
      </c>
      <c r="ET21" s="414" t="e">
        <f>IF(AND(EP21&gt;NDC!$C$63,EQ21&gt;NDC!$C$65,ER21&gt;NDC!$D$73,ES21&gt;NDC!$D$74,$B21&gt;NDC!$H$22-0.1+MIN(3*ET$12,1.5)),0,1)</f>
        <v>#N/A</v>
      </c>
      <c r="EU21" s="86" t="b">
        <f t="shared" si="58"/>
        <v>0</v>
      </c>
      <c r="EV21" s="86">
        <f t="shared" si="59"/>
        <v>0.61</v>
      </c>
      <c r="EW21" s="86">
        <f t="shared" si="60"/>
        <v>0.61</v>
      </c>
      <c r="EX21" s="30" t="e">
        <f t="shared" ca="1" si="96"/>
        <v>#DIV/0!</v>
      </c>
      <c r="EY21" s="85" t="e">
        <f ca="1">IF(EE21&lt;=Hypothèses!$V$7,Hypothèses!$W$7,IF(EE21&lt;=Hypothèses!$V$8,Hypothèses!$W$8,IF(EE21&lt;=Hypothèses!$V$9,Hypothèses!$W$9,IF(EE21&lt;=Hypothèses!$V$10,Hypothèses!$W$10,IF(EE21&lt;=Hypothèses!$V$11,Hypothèses!$W$11,IF(EE21&lt;=Hypothèses!$V$12,Hypothèses!$W$12,IF(EE21&lt;=Hypothèses!$V$13,Hypothèses!$W$13,IF(EE21&lt;=Hypothèses!$V$14,Hypothèses!$W$14,IF(EE21&lt;=Hypothèses!$V$15,Hypothèses!$W$15,IF(EE21&lt;=Hypothèses!$V$16,Hypothèses!$W$16,IF(EE21&lt;=Hypothèses!$V$17,Hypothèses!$W$17,IF(EE21&lt;=Hypothèses!$V$18,Hypothèses!$W$18,""))))))))))))</f>
        <v>#DIV/0!</v>
      </c>
      <c r="EZ21" s="87" t="e">
        <f t="shared" ca="1" si="123"/>
        <v>#DIV/0!</v>
      </c>
      <c r="FA21" s="88" t="e">
        <f ca="1">IF(EE21&lt;=Hypothèses!$V$7,Hypothèses!$X$7,IF(EE21&lt;=Hypothèses!$V$8,Hypothèses!$X$8,IF(EE21&lt;=Hypothèses!$V$9,Hypothèses!$X$9,IF(EE21&lt;=Hypothèses!$V$10,Hypothèses!$X$10,IF(EE21&lt;=Hypothèses!$V$11,Hypothèses!$X$11,IF(EE21&lt;=Hypothèses!$V$12,Hypothèses!$X$12,IF(EE21&lt;=Hypothèses!$V$13,Hypothèses!$X$13,IF(EE21&lt;=Hypothèses!$V$14,Hypothèses!$X$14,IF(EE21&lt;=Hypothèses!$V$15,Hypothèses!$X$15,IF(EE21&lt;=Hypothèses!$V$16,Hypothèses!$X$16,IF(EE21&lt;=Hypothèses!$U$17,Hypothèses!$W$17,IF(EE21&lt;=Hypothèses!$U$18,Hypothèses!$W$18,""))))))))))))</f>
        <v>#DIV/0!</v>
      </c>
      <c r="FB21" s="95" t="e">
        <f t="shared" ca="1" si="97"/>
        <v>#DIV/0!</v>
      </c>
      <c r="FC21" s="101">
        <f t="shared" si="130"/>
        <v>0</v>
      </c>
      <c r="FD21" s="91">
        <f t="shared" si="62"/>
        <v>0</v>
      </c>
      <c r="FE21" s="30" t="e">
        <f t="shared" si="114"/>
        <v>#N/A</v>
      </c>
      <c r="FF21" s="30" t="e">
        <f t="shared" si="115"/>
        <v>#N/A</v>
      </c>
      <c r="FG21" s="31" t="e">
        <f>IF(OR(Hypothèses!$B$4=17,Hypothèses!$B$4=18,Hypothèses!$B$4=19,Hypothèses!$B$4=20),
IF($D21="Pressio.",
IF(OR($E21=3,$E21=1,$E21=4),FF21,FE21),
IF($D21="Pénétro.",
IF(OR($E21=3,$E21=1,$E21=4),FF21,FE21))),IF($D21="Pressio.",
IF($E21=3,FF21,FE21),
IF($D21="Pénétro.",
IF($E21=4,FF21,FE21))))</f>
        <v>#N/A</v>
      </c>
      <c r="FH21" s="31">
        <v>0</v>
      </c>
      <c r="FI21" s="102" t="e">
        <f>IF(NDC!$H$10="Oui",(VLOOKUP($B$3,'Coeff EC7'!$T$39:$X$59,2,0)*FG21+VLOOKUP($B$3,'Coeff EC7'!$T$65:$X$85,2,0)*Model0.1T!FH21)/1.5,PI()*FE$12*$Q21*($B21-$B20)*0.15/10+FI20)</f>
        <v>#N/A</v>
      </c>
      <c r="FJ21" s="102" t="e">
        <f>(VLOOKUP($B$3,'Coeff EC7'!$T$39:$X$59,3,0)*FG21+VLOOKUP($B$3,'Coeff EC7'!$T$65:$X$85,3,0)*Model0.1T!FH21)/1.1</f>
        <v>#N/A</v>
      </c>
      <c r="FK21" s="102" t="e">
        <f t="shared" si="98"/>
        <v>#N/A</v>
      </c>
      <c r="FL21" s="102" t="e">
        <f t="shared" si="99"/>
        <v>#N/A</v>
      </c>
      <c r="FM21" s="414" t="e">
        <f>IF(AND(FI21&gt;NDC!$C$63,FJ21&gt;NDC!$C$65,FK21&gt;NDC!$D$73,FL21&gt;NDC!$D$74,$B21&gt;NDC!$H$22-0.1+MIN(3*FM$12,1.5)),0,1)</f>
        <v>#N/A</v>
      </c>
    </row>
    <row r="22" spans="1:169">
      <c r="A22" s="96">
        <f t="shared" si="65"/>
        <v>99.100000000000051</v>
      </c>
      <c r="B22" s="97">
        <v>0.9</v>
      </c>
      <c r="C22" s="81">
        <f>IF(B22&lt;=Hypothèses!$C$7,Hypothèses!$A$7,IF(B22&lt;=Hypothèses!$C$8,Hypothèses!$A$8,IF(B22&lt;=Hypothèses!$C$9,Hypothèses!$A$9,IF(B22&lt;=Hypothèses!$C$10,Hypothèses!$A$10,IF(B22&lt;=Hypothèses!$C$11,Hypothèses!$A$11,IF(B22&lt;=Hypothèses!$C$12,Hypothèses!$A$12,IF(B22&lt;=Hypothèses!$C$13,Hypothèses!$A$13,IF(B22&lt;=Hypothèses!$C$14,Hypothèses!$A$14,IF(B22&lt;=Hypothèses!$C$15,Hypothèses!$A$15,IF(B22&lt;=Hypothèses!$C$16,Hypothèses!$A$16,IF(B22&lt;=Hypothèses!$C$17,Hypothèses!$A$17,IF(B22&lt;=Hypothèses!$C$18,Hypothèses!$A$18,C21))))))))))))</f>
        <v>11</v>
      </c>
      <c r="D22" s="82" t="str">
        <f>IF(B22&lt;=Hypothèses!$C$7,Hypothèses!$R$7,IF(B22&lt;=Hypothèses!$C$8,Hypothèses!$R$8,IF(B22&lt;=Hypothèses!$C$9,Hypothèses!$R$9,IF(B22&lt;=Hypothèses!$C$10,Hypothèses!$R$10,IF(B22&lt;=Hypothèses!$C$11,Hypothèses!$R$11,IF(B22&lt;=Hypothèses!$C$12,Hypothèses!$R$12,IF(B22&lt;=Hypothèses!$C$13,Hypothèses!$R$13,IF(B22&lt;=Hypothèses!$C$14,Hypothèses!$R$14,IF(B22&lt;=Hypothèses!$C$15,Hypothèses!$R$15,IF(B22&lt;=Hypothèses!$C$16,Hypothèses!$R$16,IF(B22&lt;=Hypothèses!$C$17,Hypothèses!$R$17,IF(B22&lt;=Hypothèses!$C$18,Hypothèses!$R$18,D21))))))))))))</f>
        <v>Pressio.</v>
      </c>
      <c r="E22" s="82" t="e">
        <f>IF(B22&lt;=Hypothèses!$C$7,Hypothèses!$G$7,IF(B22&lt;=Hypothèses!$C$8,Hypothèses!$G$8,IF(B22&lt;=Hypothèses!$C$9,Hypothèses!$G$9,IF(B22&lt;=Hypothèses!$C$10,Hypothèses!$G$10,IF(B22&lt;=Hypothèses!$C$11,Hypothèses!$G$11,IF(B22&lt;=Hypothèses!$C$12,Hypothèses!$G$12,IF(B22&lt;=Hypothèses!$C$13,Hypothèses!$G$13,IF(B22&lt;=Hypothèses!$C$14,Hypothèses!$G$14,IF(B22&lt;=Hypothèses!$C$15,Hypothèses!$G$15,IF(B22&lt;=Hypothèses!$C$16,Hypothèses!$G$16,IF(B22&lt;=Hypothèses!$C$17,Hypothèses!$G$17,IF(B22&lt;=Hypothèses!$C$18,Hypothèses!$G$18,E21))))))))))))</f>
        <v>#N/A</v>
      </c>
      <c r="F22" s="82" t="str">
        <f>IF(B22&lt;=Hypothèses!$C$7,Hypothèses!$F$7,IF(B22&lt;=Hypothèses!$C$8,Hypothèses!$F$8,IF(B22&lt;=Hypothèses!$C$9,Hypothèses!$F$9,IF(B22&lt;=Hypothèses!$C$10,Hypothèses!$F$10,IF(B22&lt;=Hypothèses!$C$11,Hypothèses!$F$11,IF(B22&lt;=Hypothèses!$C$12,Hypothèses!$F$12,IF(B22&lt;=Hypothèses!$C$13,Hypothèses!$F$13,IF(B22&lt;=Hypothèses!$C$14,Hypothèses!$F$14,IF(B22&lt;=Hypothèses!$C$15,Hypothèses!$F$15,IF(B22&lt;=Hypothèses!$C$16,Hypothèses!$F$16,IF(B22&lt;=Hypothèses!$C$17,Hypothèses!$F$17,IF(B22&lt;=Hypothèses!$C$18,Hypothèses!$F$18,F21))))))))))))</f>
        <v/>
      </c>
      <c r="G22" s="91">
        <f t="array" ref="G22">INDEX('Coeff EC7'!$U$7:$X$27,
MATCH(Model0.1T!$B$3,'Coeff EC7'!$T$7:$T$27,0),
MATCH(Model0.1T!$D22&amp;Model0.1T!$B$4,
'Coeff EC7'!$U$6:$X$6&amp;
'Coeff EC7'!$U$5:$X$5,0))</f>
        <v>1.4</v>
      </c>
      <c r="H22" s="91">
        <f t="array" ref="H22">INDEX('Coeff EC7'!$Y$7:$AB$27,
MATCH(Model0.1T!$B$3,'Coeff EC7'!$T$7:$T$27,0),
MATCH(Model0.1T!$D22&amp;Model0.1T!$B$4,
'Coeff EC7'!$Y$6:$AB$6&amp;
'Coeff EC7'!$Y$5:$AB$5,0))</f>
        <v>1.7</v>
      </c>
      <c r="I22" s="83">
        <v>0</v>
      </c>
      <c r="J22" s="91" t="e">
        <f t="array" ref="J22">INDEX('Coeff EC7'!$D$33:$Q$33,1,MATCH(D22&amp;E22,'Coeff EC7'!$D$31:$Q$31&amp;'Coeff EC7'!$D$32:$Q$32,0))</f>
        <v>#N/A</v>
      </c>
      <c r="K22" s="91" t="e">
        <f t="array" ref="K22">INDEX('Coeff EC7'!$D$34:$Q$34,1,MATCH(D22&amp;E22,'Coeff EC7'!$D$31:$Q$31&amp;'Coeff EC7'!$D$32:$Q$32,0))</f>
        <v>#N/A</v>
      </c>
      <c r="L22" s="91" t="e">
        <f t="array" ref="L22">INDEX('Coeff EC7'!$D$35:$Q$35,1,MATCH(D22&amp;E22,'Coeff EC7'!$D$31:$Q$31&amp;'Coeff EC7'!$D$32:$Q$32,0))</f>
        <v>#N/A</v>
      </c>
      <c r="M22" s="98" t="e">
        <f t="shared" si="8"/>
        <v>#N/A</v>
      </c>
      <c r="N22" s="99" t="e">
        <f t="array" ref="N22">INDEX('Coeff EC7'!$D$7:$Q$27,MATCH($B$3,'Coeff EC7'!$C$7:$C$27,0),MATCH(D22&amp;E22,'Coeff EC7'!$D$5:$Q$5&amp;'Coeff EC7'!$D$6:$Q$6,0))</f>
        <v>#N/A</v>
      </c>
      <c r="O22" s="99" t="e">
        <f t="array" ref="O22">INDEX('Coeff EC7'!$D$41:$Q$61,MATCH($B$3,'Coeff EC7'!$C$41:$C$61,0),MATCH(D22&amp;E22,'Coeff EC7'!$D$39:$Q$39&amp;'Coeff EC7'!$D$40:$Q$40,0))</f>
        <v>#N/A</v>
      </c>
      <c r="P22" s="30" t="e">
        <f t="shared" si="66"/>
        <v>#N/A</v>
      </c>
      <c r="Q22" s="100" t="e">
        <f t="shared" si="10"/>
        <v>#N/A</v>
      </c>
      <c r="R22" s="86" t="b">
        <f t="shared" si="11"/>
        <v>0</v>
      </c>
      <c r="S22" s="86">
        <f t="shared" si="9"/>
        <v>0.5</v>
      </c>
      <c r="T22" s="86">
        <f t="shared" si="12"/>
        <v>0.5</v>
      </c>
      <c r="U22" s="30" t="e">
        <f t="shared" ca="1" si="67"/>
        <v>#DIV/0!</v>
      </c>
      <c r="V22" s="85" t="str">
        <f>IF(B22&lt;=Hypothèses!$V$7,Hypothèses!$W$7,IF(B22&lt;=Hypothèses!$V$8,Hypothèses!$W$8,IF(B22&lt;=Hypothèses!$V$9,Hypothèses!$W$9,IF(B22&lt;=Hypothèses!$V$10,Hypothèses!$W$10,IF(B22&lt;=Hypothèses!$V$11,Hypothèses!$W$11,IF(B22&lt;=Hypothèses!$V$12,Hypothèses!$W$12,IF(B22&lt;=Hypothèses!$V$13,Hypothèses!$W$13,IF(B22&lt;=Hypothèses!$V$14,Hypothèses!$W$14,IF(B22&lt;=Hypothèses!$V$15,Hypothèses!$W$15,IF(B22&lt;=Hypothèses!$V$16,Hypothèses!$W$16,IF(B22&lt;=Hypothèses!$V$17,Hypothèses!$W$17,IF(B22&lt;=Hypothèses!$V$18,Hypothèses!$W$18,""))))))))))))</f>
        <v/>
      </c>
      <c r="W22" s="87" t="e">
        <f t="shared" ca="1" si="116"/>
        <v>#DIV/0!</v>
      </c>
      <c r="X22" s="88" t="str">
        <f>IF(B22&lt;=Hypothèses!$V$7,Hypothèses!$X$7,IF(B22&lt;=Hypothèses!$V$8,Hypothèses!$X$8,IF(B22&lt;=Hypothèses!$V$9,Hypothèses!$X$9,IF(B22&lt;=Hypothèses!$V$10,Hypothèses!$X$10,IF(B22&lt;=Hypothèses!$V$11,Hypothèses!$X$11,IF(B22&lt;=Hypothèses!$V$12,Hypothèses!$X$12,IF(B22&lt;=Hypothèses!$V$13,Hypothèses!$X$13,IF(B22&lt;=Hypothèses!$V$14,Hypothèses!$X$14,IF(B22&lt;=Hypothèses!$V$15,Hypothèses!$X$15,IF(B22&lt;=Hypothèses!$V$16,Hypothèses!$X$16,IF(B22&lt;=Hypothèses!$U$17,Hypothèses!$W$17,IF(B22&lt;=Hypothèses!$U$18,Hypothèses!$W$18,""))))))))))))</f>
        <v/>
      </c>
      <c r="Y22" s="95" t="e">
        <f t="shared" ca="1" si="13"/>
        <v>#DIV/0!</v>
      </c>
      <c r="Z22" s="101">
        <f t="shared" si="14"/>
        <v>0</v>
      </c>
      <c r="AA22" s="91">
        <f t="shared" si="15"/>
        <v>0</v>
      </c>
      <c r="AB22" s="30" t="e">
        <f t="shared" si="100"/>
        <v>#N/A</v>
      </c>
      <c r="AC22" s="30" t="e">
        <f t="shared" si="101"/>
        <v>#N/A</v>
      </c>
      <c r="AD22" s="31" t="e">
        <f>IF(OR(Hypothèses!$B$4=17,Hypothèses!$B$4=18,Hypothèses!$B$4=19,Hypothèses!$B$4=20),
IF($D22="Pressio.",
IF(OR($E22=3,$E22=1,$E22=4),AC22,AB22),
IF($D22="Pénétro.",
IF(OR($E22=3,$E22=1,$E22=4),AC22,AB22))),IF($D22="Pressio.",
IF($E22=3,AC22,AB22),
IF($D22="Pénétro.",
IF($E22=4,AC22,AB22))))</f>
        <v>#N/A</v>
      </c>
      <c r="AE22" s="31">
        <v>0</v>
      </c>
      <c r="AF22" s="102" t="e">
        <f>IF(NDC!$H$10="Oui",(VLOOKUP($B$3,'Coeff EC7'!$T$39:$X$59,2,0)*AD22+VLOOKUP($B$3,'Coeff EC7'!$T$65:$X$85,2,0)*Model0.1T!AE22)/1.5,PI()*AB$12*$Q22*($B22-$B21)*0.15/10+AF21)</f>
        <v>#N/A</v>
      </c>
      <c r="AG22" s="102" t="e">
        <f>(VLOOKUP($B$3,'Coeff EC7'!$T$39:$X$59,3,0)*AD22+VLOOKUP($B$3,'Coeff EC7'!$T$65:$X$85,3,0)*Model0.1T!AE22)/1.1</f>
        <v>#N/A</v>
      </c>
      <c r="AH22" s="102" t="e">
        <f t="shared" si="68"/>
        <v>#N/A</v>
      </c>
      <c r="AI22" s="102" t="e">
        <f t="shared" si="69"/>
        <v>#N/A</v>
      </c>
      <c r="AJ22" s="414" t="e">
        <f>IF(AND(AF22&gt;NDC!$C$63,AG22&gt;NDC!$C$65,AH22&gt;NDC!$D$73,AI22&gt;NDC!$D$74,$B22&gt;NDC!$H$22-0.1+MIN(3*$AJ$12,1.5)),0,1)</f>
        <v>#N/A</v>
      </c>
      <c r="AK22" s="86" t="b">
        <f t="shared" si="18"/>
        <v>0</v>
      </c>
      <c r="AL22" s="86">
        <f t="shared" si="70"/>
        <v>0.5</v>
      </c>
      <c r="AM22" s="86">
        <f t="shared" si="19"/>
        <v>0.5</v>
      </c>
      <c r="AN22" s="30" t="e">
        <f t="shared" ca="1" si="71"/>
        <v>#DIV/0!</v>
      </c>
      <c r="AO22" s="85" t="e">
        <f ca="1">IF(U22&lt;=Hypothèses!$V$7,Hypothèses!$W$7,IF(U22&lt;=Hypothèses!$V$8,Hypothèses!$W$8,IF(U22&lt;=Hypothèses!$V$9,Hypothèses!$W$9,IF(U22&lt;=Hypothèses!$V$10,Hypothèses!$W$10,IF(U22&lt;=Hypothèses!$V$11,Hypothèses!$W$11,IF(U22&lt;=Hypothèses!$V$12,Hypothèses!$W$12,IF(U22&lt;=Hypothèses!$V$13,Hypothèses!$W$13,IF(U22&lt;=Hypothèses!$V$14,Hypothèses!$W$14,IF(U22&lt;=Hypothèses!$V$15,Hypothèses!$W$15,IF(U22&lt;=Hypothèses!$V$16,Hypothèses!$W$16,IF(U22&lt;=Hypothèses!$V$17,Hypothèses!$W$17,IF(U22&lt;=Hypothèses!$V$18,Hypothèses!$W$18,""))))))))))))</f>
        <v>#DIV/0!</v>
      </c>
      <c r="AP22" s="87" t="e">
        <f t="shared" ca="1" si="117"/>
        <v>#DIV/0!</v>
      </c>
      <c r="AQ22" s="88" t="e">
        <f ca="1">IF(U22&lt;=Hypothèses!$V$7,Hypothèses!$X$7,IF(U22&lt;=Hypothèses!$V$8,Hypothèses!$X$8,IF(U22&lt;=Hypothèses!$V$9,Hypothèses!$X$9,IF(U22&lt;=Hypothèses!$V$10,Hypothèses!$X$10,IF(U22&lt;=Hypothèses!$V$11,Hypothèses!$X$11,IF(U22&lt;=Hypothèses!$V$12,Hypothèses!$X$12,IF(U22&lt;=Hypothèses!$V$13,Hypothèses!$X$13,IF(U22&lt;=Hypothèses!$V$14,Hypothèses!$X$14,IF(U22&lt;=Hypothèses!$V$15,Hypothèses!$X$15,IF(U22&lt;=Hypothèses!$V$16,Hypothèses!$X$16,IF(U22&lt;=Hypothèses!$U$17,Hypothèses!$W$17,IF(U22&lt;=Hypothèses!$U$18,Hypothèses!$W$18,""))))))))))))</f>
        <v>#DIV/0!</v>
      </c>
      <c r="AR22" s="95" t="e">
        <f t="shared" ca="1" si="72"/>
        <v>#DIV/0!</v>
      </c>
      <c r="AS22" s="101">
        <f t="shared" si="124"/>
        <v>0</v>
      </c>
      <c r="AT22" s="91">
        <f t="shared" si="21"/>
        <v>0</v>
      </c>
      <c r="AU22" s="30" t="e">
        <f t="shared" si="102"/>
        <v>#N/A</v>
      </c>
      <c r="AV22" s="30" t="e">
        <f t="shared" si="103"/>
        <v>#N/A</v>
      </c>
      <c r="AW22" s="31" t="e">
        <f>IF(OR(Hypothèses!$B$4=17,Hypothèses!$B$4=18,Hypothèses!$B$4=19,Hypothèses!$B$4=20),
IF($D22="Pressio.",
IF(OR($E22=3,$E22=1,$E22=4),AV22,AU22),
IF($D22="Pénétro.",
IF(OR($E22=3,$E22=1,$E22=4),AV22,AU22))),IF($D22="Pressio.",
IF($E22=3,AV22,AU22),
IF($D22="Pénétro.",
IF($E22=4,AV22,AU22))))</f>
        <v>#N/A</v>
      </c>
      <c r="AX22" s="31">
        <v>0</v>
      </c>
      <c r="AY22" s="102" t="e">
        <f>IF(NDC!$H$10="Oui",(VLOOKUP($B$3,'Coeff EC7'!$T$39:$X$59,2,0)*AW22+VLOOKUP($B$3,'Coeff EC7'!$T$65:$X$85,2,0)*Model0.1T!AX22)/1.5,PI()*AU$12*$Q22*($B22-$B21)*0.15/10+AY21)</f>
        <v>#N/A</v>
      </c>
      <c r="AZ22" s="102" t="e">
        <f>(VLOOKUP($B$3,'Coeff EC7'!$T$39:$X$59,3,0)*AW22+VLOOKUP($B$3,'Coeff EC7'!$T$65:$X$85,3,0)*Model0.1T!AX22)/1.1</f>
        <v>#N/A</v>
      </c>
      <c r="BA22" s="102" t="e">
        <f t="shared" si="73"/>
        <v>#N/A</v>
      </c>
      <c r="BB22" s="102" t="e">
        <f t="shared" si="74"/>
        <v>#N/A</v>
      </c>
      <c r="BC22" s="414" t="e">
        <f>IF(AND(AY22&gt;NDC!$C$63,AZ22&gt;NDC!$C$65,BA22&gt;NDC!$D$73,BB22&gt;NDC!$D$74,$B22&gt;NDC!$H$22-0.1+MIN(3*BC$12,1.5)),0,1)</f>
        <v>#N/A</v>
      </c>
      <c r="BD22" s="86" t="b">
        <f t="shared" si="24"/>
        <v>0</v>
      </c>
      <c r="BE22" s="86">
        <f t="shared" si="75"/>
        <v>0.5</v>
      </c>
      <c r="BF22" s="86">
        <f t="shared" si="25"/>
        <v>0.5</v>
      </c>
      <c r="BG22" s="30" t="e">
        <f t="shared" ca="1" si="76"/>
        <v>#DIV/0!</v>
      </c>
      <c r="BH22" s="85" t="e">
        <f ca="1">IF(AN22&lt;=Hypothèses!$V$7,Hypothèses!$W$7,IF(AN22&lt;=Hypothèses!$V$8,Hypothèses!$W$8,IF(AN22&lt;=Hypothèses!$V$9,Hypothèses!$W$9,IF(AN22&lt;=Hypothèses!$V$10,Hypothèses!$W$10,IF(AN22&lt;=Hypothèses!$V$11,Hypothèses!$W$11,IF(AN22&lt;=Hypothèses!$V$12,Hypothèses!$W$12,IF(AN22&lt;=Hypothèses!$V$13,Hypothèses!$W$13,IF(AN22&lt;=Hypothèses!$V$14,Hypothèses!$W$14,IF(AN22&lt;=Hypothèses!$V$15,Hypothèses!$W$15,IF(AN22&lt;=Hypothèses!$V$16,Hypothèses!$W$16,IF(AN22&lt;=Hypothèses!$V$17,Hypothèses!$W$17,IF(AN22&lt;=Hypothèses!$V$18,Hypothèses!$W$18,""))))))))))))</f>
        <v>#DIV/0!</v>
      </c>
      <c r="BI22" s="87" t="e">
        <f t="shared" ca="1" si="118"/>
        <v>#DIV/0!</v>
      </c>
      <c r="BJ22" s="88" t="e">
        <f ca="1">IF(AN22&lt;=Hypothèses!$V$7,Hypothèses!$X$7,IF(AN22&lt;=Hypothèses!$V$8,Hypothèses!$X$8,IF(AN22&lt;=Hypothèses!$V$9,Hypothèses!$X$9,IF(AN22&lt;=Hypothèses!$V$10,Hypothèses!$X$10,IF(AN22&lt;=Hypothèses!$V$11,Hypothèses!$X$11,IF(AN22&lt;=Hypothèses!$V$12,Hypothèses!$X$12,IF(AN22&lt;=Hypothèses!$V$13,Hypothèses!$X$13,IF(AN22&lt;=Hypothèses!$V$14,Hypothèses!$X$14,IF(AN22&lt;=Hypothèses!$V$15,Hypothèses!$X$15,IF(AN22&lt;=Hypothèses!$V$16,Hypothèses!$X$16,IF(AN22&lt;=Hypothèses!$U$17,Hypothèses!$W$17,IF(AN22&lt;=Hypothèses!$U$18,Hypothèses!$W$18,""))))))))))))</f>
        <v>#DIV/0!</v>
      </c>
      <c r="BK22" s="95" t="e">
        <f t="shared" ca="1" si="77"/>
        <v>#DIV/0!</v>
      </c>
      <c r="BL22" s="101">
        <f t="shared" si="125"/>
        <v>0</v>
      </c>
      <c r="BM22" s="91">
        <f t="shared" si="27"/>
        <v>0</v>
      </c>
      <c r="BN22" s="30" t="e">
        <f t="shared" si="104"/>
        <v>#N/A</v>
      </c>
      <c r="BO22" s="30" t="e">
        <f t="shared" si="105"/>
        <v>#N/A</v>
      </c>
      <c r="BP22" s="31" t="e">
        <f>IF(OR(Hypothèses!$B$4=17,Hypothèses!$B$4=18,Hypothèses!$B$4=19,Hypothèses!$B$4=20),
IF($D22="Pressio.",
IF(OR($E22=3,$E22=1,$E22=4),BO22,BN22),
IF($D22="Pénétro.",
IF(OR($E22=3,$E22=1,$E22=4),BO22,BN22))),IF($D22="Pressio.",
IF($E22=3,BO22,BN22),
IF($D22="Pénétro.",
IF($E22=4,BO22,BN22))))</f>
        <v>#N/A</v>
      </c>
      <c r="BQ22" s="31">
        <v>0</v>
      </c>
      <c r="BR22" s="102" t="e">
        <f>IF(NDC!$H$10="Oui",(VLOOKUP($B$3,'Coeff EC7'!$T$39:$X$59,2,0)*BP22+VLOOKUP($B$3,'Coeff EC7'!$T$65:$X$85,2,0)*Model0.1T!BQ22)/1.5,PI()*BN$12*$Q22*($B22-$B21)*0.15/10+BR21)</f>
        <v>#N/A</v>
      </c>
      <c r="BS22" s="102" t="e">
        <f>(VLOOKUP($B$3,'Coeff EC7'!$T$39:$X$59,3,0)*BP22+VLOOKUP($B$3,'Coeff EC7'!$T$65:$X$85,3,0)*Model0.1T!BQ22)/1.1</f>
        <v>#N/A</v>
      </c>
      <c r="BT22" s="102" t="e">
        <f t="shared" si="78"/>
        <v>#N/A</v>
      </c>
      <c r="BU22" s="102" t="e">
        <f t="shared" si="79"/>
        <v>#N/A</v>
      </c>
      <c r="BV22" s="414" t="e">
        <f>IF(AND(BR22&gt;NDC!$C$63,BS22&gt;NDC!$C$65,BT22&gt;NDC!$D$73,BU22&gt;NDC!$D$74,$B22&gt;NDC!$H$22-0.1+MIN(3*BV$12,1.5)),0,1)</f>
        <v>#N/A</v>
      </c>
      <c r="BW22" s="86" t="b">
        <f t="shared" si="30"/>
        <v>0</v>
      </c>
      <c r="BX22" s="86">
        <f t="shared" si="31"/>
        <v>0.5</v>
      </c>
      <c r="BY22" s="86">
        <f t="shared" si="32"/>
        <v>0.5</v>
      </c>
      <c r="BZ22" s="30" t="e">
        <f t="shared" ca="1" si="80"/>
        <v>#DIV/0!</v>
      </c>
      <c r="CA22" s="85" t="e">
        <f ca="1">IF(BG22&lt;=Hypothèses!$V$7,Hypothèses!$W$7,IF(BG22&lt;=Hypothèses!$V$8,Hypothèses!$W$8,IF(BG22&lt;=Hypothèses!$V$9,Hypothèses!$W$9,IF(BG22&lt;=Hypothèses!$V$10,Hypothèses!$W$10,IF(BG22&lt;=Hypothèses!$V$11,Hypothèses!$W$11,IF(BG22&lt;=Hypothèses!$V$12,Hypothèses!$W$12,IF(BG22&lt;=Hypothèses!$V$13,Hypothèses!$W$13,IF(BG22&lt;=Hypothèses!$V$14,Hypothèses!$W$14,IF(BG22&lt;=Hypothèses!$V$15,Hypothèses!$W$15,IF(BG22&lt;=Hypothèses!$V$16,Hypothèses!$W$16,IF(BG22&lt;=Hypothèses!$V$17,Hypothèses!$W$17,IF(BG22&lt;=Hypothèses!$V$18,Hypothèses!$W$18,""))))))))))))</f>
        <v>#DIV/0!</v>
      </c>
      <c r="CB22" s="87" t="e">
        <f t="shared" ca="1" si="119"/>
        <v>#DIV/0!</v>
      </c>
      <c r="CC22" s="88" t="e">
        <f ca="1">IF(BG22&lt;=Hypothèses!$V$7,Hypothèses!$X$7,IF(BG22&lt;=Hypothèses!$V$8,Hypothèses!$X$8,IF(BG22&lt;=Hypothèses!$V$9,Hypothèses!$X$9,IF(BG22&lt;=Hypothèses!$V$10,Hypothèses!$X$10,IF(BG22&lt;=Hypothèses!$V$11,Hypothèses!$X$11,IF(BG22&lt;=Hypothèses!$V$12,Hypothèses!$X$12,IF(BG22&lt;=Hypothèses!$V$13,Hypothèses!$X$13,IF(BG22&lt;=Hypothèses!$V$14,Hypothèses!$X$14,IF(BG22&lt;=Hypothèses!$V$15,Hypothèses!$X$15,IF(BG22&lt;=Hypothèses!$V$16,Hypothèses!$X$16,IF(BG22&lt;=Hypothèses!$U$17,Hypothèses!$W$17,IF(BG22&lt;=Hypothèses!$U$18,Hypothèses!$W$18,""))))))))))))</f>
        <v>#DIV/0!</v>
      </c>
      <c r="CD22" s="95" t="e">
        <f t="shared" ca="1" si="81"/>
        <v>#DIV/0!</v>
      </c>
      <c r="CE22" s="101">
        <f t="shared" si="126"/>
        <v>0</v>
      </c>
      <c r="CF22" s="91">
        <f t="shared" si="34"/>
        <v>0</v>
      </c>
      <c r="CG22" s="30" t="e">
        <f t="shared" si="106"/>
        <v>#N/A</v>
      </c>
      <c r="CH22" s="30" t="e">
        <f t="shared" si="107"/>
        <v>#N/A</v>
      </c>
      <c r="CI22" s="31" t="e">
        <f>IF(OR(Hypothèses!$B$4=17,Hypothèses!$B$4=18,Hypothèses!$B$4=19,Hypothèses!$B$4=20),
IF($D22="Pressio.",
IF(OR($E22=3,$E22=1,$E22=4),CH22,CG22),
IF($D22="Pénétro.",
IF(OR($E22=3,$E22=1,$E22=4),CH22,CG22))),IF($D22="Pressio.",
IF($E22=3,CH22,CG22),
IF($D22="Pénétro.",
IF($E22=4,CH22,CG22))))</f>
        <v>#N/A</v>
      </c>
      <c r="CJ22" s="31">
        <v>0</v>
      </c>
      <c r="CK22" s="102" t="e">
        <f>IF(NDC!$H$10="Oui",(VLOOKUP($B$3,'Coeff EC7'!$T$39:$X$59,2,0)*CI22+VLOOKUP($B$3,'Coeff EC7'!$T$65:$X$85,2,0)*Model0.1T!CJ22)/1.5,PI()*CG$12*$Q22*($B22-$B21)*0.15/10+CK21)</f>
        <v>#N/A</v>
      </c>
      <c r="CL22" s="102" t="e">
        <f>(VLOOKUP($B$3,'Coeff EC7'!$T$39:$X$59,3,0)*CI22+VLOOKUP($B$3,'Coeff EC7'!$T$65:$X$85,3,0)*Model0.1T!CJ22)/1.1</f>
        <v>#N/A</v>
      </c>
      <c r="CM22" s="102" t="e">
        <f t="shared" si="82"/>
        <v>#N/A</v>
      </c>
      <c r="CN22" s="102" t="e">
        <f t="shared" si="83"/>
        <v>#N/A</v>
      </c>
      <c r="CO22" s="414" t="e">
        <f>IF(AND(CK22&gt;NDC!$C$63,CL22&gt;NDC!$C$65,CM22&gt;NDC!$D$73,CN22&gt;NDC!$D$74,$B22&gt;NDC!$H$22-0.1+MIN(3*CO$12,1.5)),0,1)</f>
        <v>#N/A</v>
      </c>
      <c r="CP22" s="86" t="b">
        <f t="shared" si="37"/>
        <v>0</v>
      </c>
      <c r="CQ22" s="86">
        <f t="shared" si="38"/>
        <v>0.5</v>
      </c>
      <c r="CR22" s="86">
        <f t="shared" si="39"/>
        <v>0.5</v>
      </c>
      <c r="CS22" s="30" t="e">
        <f t="shared" ca="1" si="84"/>
        <v>#DIV/0!</v>
      </c>
      <c r="CT22" s="85" t="e">
        <f ca="1">IF(BZ22&lt;=Hypothèses!$V$7,Hypothèses!$W$7,IF(BZ22&lt;=Hypothèses!$V$8,Hypothèses!$W$8,IF(BZ22&lt;=Hypothèses!$V$9,Hypothèses!$W$9,IF(BZ22&lt;=Hypothèses!$V$10,Hypothèses!$W$10,IF(BZ22&lt;=Hypothèses!$V$11,Hypothèses!$W$11,IF(BZ22&lt;=Hypothèses!$V$12,Hypothèses!$W$12,IF(BZ22&lt;=Hypothèses!$V$13,Hypothèses!$W$13,IF(BZ22&lt;=Hypothèses!$V$14,Hypothèses!$W$14,IF(BZ22&lt;=Hypothèses!$V$15,Hypothèses!$W$15,IF(BZ22&lt;=Hypothèses!$V$16,Hypothèses!$W$16,IF(BZ22&lt;=Hypothèses!$V$17,Hypothèses!$W$17,IF(BZ22&lt;=Hypothèses!$V$18,Hypothèses!$W$18,""))))))))))))</f>
        <v>#DIV/0!</v>
      </c>
      <c r="CU22" s="87" t="e">
        <f t="shared" ca="1" si="120"/>
        <v>#DIV/0!</v>
      </c>
      <c r="CV22" s="88" t="e">
        <f ca="1">IF(BZ22&lt;=Hypothèses!$V$7,Hypothèses!$X$7,IF(BZ22&lt;=Hypothèses!$V$8,Hypothèses!$X$8,IF(BZ22&lt;=Hypothèses!$V$9,Hypothèses!$X$9,IF(BZ22&lt;=Hypothèses!$V$10,Hypothèses!$X$10,IF(BZ22&lt;=Hypothèses!$V$11,Hypothèses!$X$11,IF(BZ22&lt;=Hypothèses!$V$12,Hypothèses!$X$12,IF(BZ22&lt;=Hypothèses!$V$13,Hypothèses!$X$13,IF(BZ22&lt;=Hypothèses!$V$14,Hypothèses!$X$14,IF(BZ22&lt;=Hypothèses!$V$15,Hypothèses!$X$15,IF(BZ22&lt;=Hypothèses!$V$16,Hypothèses!$X$16,IF(BZ22&lt;=Hypothèses!$U$17,Hypothèses!$W$17,IF(BZ22&lt;=Hypothèses!$U$18,Hypothèses!$W$18,""))))))))))))</f>
        <v>#DIV/0!</v>
      </c>
      <c r="CW22" s="95" t="e">
        <f t="shared" ca="1" si="85"/>
        <v>#DIV/0!</v>
      </c>
      <c r="CX22" s="101">
        <f t="shared" si="127"/>
        <v>0</v>
      </c>
      <c r="CY22" s="91">
        <f t="shared" si="41"/>
        <v>0</v>
      </c>
      <c r="CZ22" s="30" t="e">
        <f t="shared" si="108"/>
        <v>#N/A</v>
      </c>
      <c r="DA22" s="30" t="e">
        <f t="shared" si="109"/>
        <v>#N/A</v>
      </c>
      <c r="DB22" s="31" t="e">
        <f>IF(OR(Hypothèses!$B$4=17,Hypothèses!$B$4=18,Hypothèses!$B$4=19,Hypothèses!$B$4=20),
IF($D22="Pressio.",
IF(OR($E22=3,$E22=1,$E22=4),DA22,CZ22),
IF($D22="Pénétro.",
IF(OR($E22=3,$E22=1,$E22=4),DA22,CZ22))),IF($D22="Pressio.",
IF($E22=3,DA22,CZ22),
IF($D22="Pénétro.",
IF($E22=4,DA22,CZ22))))</f>
        <v>#N/A</v>
      </c>
      <c r="DC22" s="31">
        <v>0</v>
      </c>
      <c r="DD22" s="102" t="e">
        <f>IF(NDC!$H$10="Oui",(VLOOKUP($B$3,'Coeff EC7'!$T$39:$X$59,2,0)*DB22+VLOOKUP($B$3,'Coeff EC7'!$T$65:$X$85,2,0)*Model0.1T!DC22)/1.5,PI()*CZ$12*$Q22*($B22-$B21)*0.15/10+DD21)</f>
        <v>#N/A</v>
      </c>
      <c r="DE22" s="102" t="e">
        <f>(VLOOKUP($B$3,'Coeff EC7'!$T$39:$X$59,3,0)*DB22+VLOOKUP($B$3,'Coeff EC7'!$T$65:$X$85,3,0)*Model0.1T!DC22)/1.1</f>
        <v>#N/A</v>
      </c>
      <c r="DF22" s="102" t="e">
        <f t="shared" si="86"/>
        <v>#N/A</v>
      </c>
      <c r="DG22" s="102" t="e">
        <f t="shared" si="87"/>
        <v>#N/A</v>
      </c>
      <c r="DH22" s="414" t="e">
        <f>IF(AND(DD22&gt;NDC!$C$63,DE22&gt;NDC!$C$65,DF22&gt;NDC!$D$73,DG22&gt;NDC!$D$74,$B22&gt;NDC!$H$22-0.1+MIN(3*DH$12,1.5)),0,1)</f>
        <v>#N/A</v>
      </c>
      <c r="DI22" s="86" t="b">
        <f t="shared" si="44"/>
        <v>0</v>
      </c>
      <c r="DJ22" s="86">
        <f t="shared" si="45"/>
        <v>0.5</v>
      </c>
      <c r="DK22" s="86">
        <f t="shared" si="46"/>
        <v>0.5</v>
      </c>
      <c r="DL22" s="30" t="e">
        <f t="shared" ca="1" si="88"/>
        <v>#DIV/0!</v>
      </c>
      <c r="DM22" s="85" t="e">
        <f ca="1">IF(CS22&lt;=Hypothèses!$V$7,Hypothèses!$W$7,IF(CS22&lt;=Hypothèses!$V$8,Hypothèses!$W$8,IF(CS22&lt;=Hypothèses!$V$9,Hypothèses!$W$9,IF(CS22&lt;=Hypothèses!$V$10,Hypothèses!$W$10,IF(CS22&lt;=Hypothèses!$V$11,Hypothèses!$W$11,IF(CS22&lt;=Hypothèses!$V$12,Hypothèses!$W$12,IF(CS22&lt;=Hypothèses!$V$13,Hypothèses!$W$13,IF(CS22&lt;=Hypothèses!$V$14,Hypothèses!$W$14,IF(CS22&lt;=Hypothèses!$V$15,Hypothèses!$W$15,IF(CS22&lt;=Hypothèses!$V$16,Hypothèses!$W$16,IF(CS22&lt;=Hypothèses!$V$17,Hypothèses!$W$17,IF(CS22&lt;=Hypothèses!$V$18,Hypothèses!$W$18,""))))))))))))</f>
        <v>#DIV/0!</v>
      </c>
      <c r="DN22" s="87" t="e">
        <f t="shared" ca="1" si="121"/>
        <v>#DIV/0!</v>
      </c>
      <c r="DO22" s="88" t="e">
        <f ca="1">IF(CS22&lt;=Hypothèses!$V$7,Hypothèses!$X$7,IF(CS22&lt;=Hypothèses!$V$8,Hypothèses!$X$8,IF(CS22&lt;=Hypothèses!$V$9,Hypothèses!$X$9,IF(CS22&lt;=Hypothèses!$V$10,Hypothèses!$X$10,IF(CS22&lt;=Hypothèses!$V$11,Hypothèses!$X$11,IF(CS22&lt;=Hypothèses!$V$12,Hypothèses!$X$12,IF(CS22&lt;=Hypothèses!$V$13,Hypothèses!$X$13,IF(CS22&lt;=Hypothèses!$V$14,Hypothèses!$X$14,IF(CS22&lt;=Hypothèses!$V$15,Hypothèses!$X$15,IF(CS22&lt;=Hypothèses!$V$16,Hypothèses!$X$16,IF(CS22&lt;=Hypothèses!$U$17,Hypothèses!$W$17,IF(CS22&lt;=Hypothèses!$U$18,Hypothèses!$W$18,""))))))))))))</f>
        <v>#DIV/0!</v>
      </c>
      <c r="DP22" s="95" t="e">
        <f t="shared" ca="1" si="89"/>
        <v>#DIV/0!</v>
      </c>
      <c r="DQ22" s="101">
        <f t="shared" si="128"/>
        <v>0</v>
      </c>
      <c r="DR22" s="91">
        <f t="shared" si="48"/>
        <v>0</v>
      </c>
      <c r="DS22" s="30" t="e">
        <f t="shared" si="110"/>
        <v>#N/A</v>
      </c>
      <c r="DT22" s="30" t="e">
        <f t="shared" si="111"/>
        <v>#N/A</v>
      </c>
      <c r="DU22" s="31" t="e">
        <f>IF(OR(Hypothèses!$B$4=17,Hypothèses!$B$4=18,Hypothèses!$B$4=19,Hypothèses!$B$4=20),
IF($D22="Pressio.",
IF(OR($E22=3,$E22=1,$E22=4),DT22,DS22),
IF($D22="Pénétro.",
IF(OR($E22=3,$E22=1,$E22=4),DT22,DS22))),IF($D22="Pressio.",
IF($E22=3,DT22,DS22),
IF($D22="Pénétro.",
IF($E22=4,DT22,DS22))))</f>
        <v>#N/A</v>
      </c>
      <c r="DV22" s="31">
        <v>0</v>
      </c>
      <c r="DW22" s="102" t="e">
        <f>IF(NDC!$H$10="Oui",(VLOOKUP($B$3,'Coeff EC7'!$T$39:$X$59,2,0)*DU22+VLOOKUP($B$3,'Coeff EC7'!$T$65:$X$85,2,0)*Model0.1T!DV22)/1.5,PI()*DS$12*$Q22*($B22-$B21)*0.15/10+DW21)</f>
        <v>#N/A</v>
      </c>
      <c r="DX22" s="102" t="e">
        <f>(VLOOKUP($B$3,'Coeff EC7'!$T$39:$X$59,3,0)*DU22+VLOOKUP($B$3,'Coeff EC7'!$T$65:$X$85,3,0)*Model0.1T!DV22)/1.1</f>
        <v>#N/A</v>
      </c>
      <c r="DY22" s="102" t="e">
        <f t="shared" si="90"/>
        <v>#N/A</v>
      </c>
      <c r="DZ22" s="102" t="e">
        <f t="shared" si="91"/>
        <v>#N/A</v>
      </c>
      <c r="EA22" s="414" t="e">
        <f>IF(AND(DW22&gt;NDC!$C$63,DX22&gt;NDC!$C$65,DY22&gt;NDC!$D$73,DZ22&gt;NDC!$D$74,$B22&gt;NDC!$H$22-0.1+MIN(3*EA$12,1.5)),0,1)</f>
        <v>#N/A</v>
      </c>
      <c r="EB22" s="86" t="b">
        <f t="shared" si="51"/>
        <v>0</v>
      </c>
      <c r="EC22" s="418">
        <f t="shared" si="52"/>
        <v>0.51</v>
      </c>
      <c r="ED22" s="86">
        <f t="shared" si="53"/>
        <v>0.51</v>
      </c>
      <c r="EE22" s="30" t="e">
        <f t="shared" ca="1" si="92"/>
        <v>#DIV/0!</v>
      </c>
      <c r="EF22" s="85" t="e">
        <f ca="1">IF(DL22&lt;=Hypothèses!$V$7,Hypothèses!$W$7,IF(DL22&lt;=Hypothèses!$V$8,Hypothèses!$W$8,IF(DL22&lt;=Hypothèses!$V$9,Hypothèses!$W$9,IF(DL22&lt;=Hypothèses!$V$10,Hypothèses!$W$10,IF(DL22&lt;=Hypothèses!$V$11,Hypothèses!$W$11,IF(DL22&lt;=Hypothèses!$V$12,Hypothèses!$W$12,IF(DL22&lt;=Hypothèses!$V$13,Hypothèses!$W$13,IF(DL22&lt;=Hypothèses!$V$14,Hypothèses!$W$14,IF(DL22&lt;=Hypothèses!$V$15,Hypothèses!$W$15,IF(DL22&lt;=Hypothèses!$V$16,Hypothèses!$W$16,IF(DL22&lt;=Hypothèses!$V$17,Hypothèses!$W$17,IF(DL22&lt;=Hypothèses!$V$18,Hypothèses!$W$18,""))))))))))))</f>
        <v>#DIV/0!</v>
      </c>
      <c r="EG22" s="87" t="e">
        <f t="shared" ca="1" si="122"/>
        <v>#DIV/0!</v>
      </c>
      <c r="EH22" s="88" t="e">
        <f ca="1">IF(DL22&lt;=Hypothèses!$V$7,Hypothèses!$X$7,IF(DL22&lt;=Hypothèses!$V$8,Hypothèses!$X$8,IF(DL22&lt;=Hypothèses!$V$9,Hypothèses!$X$9,IF(DL22&lt;=Hypothèses!$V$10,Hypothèses!$X$10,IF(DL22&lt;=Hypothèses!$V$11,Hypothèses!$X$11,IF(DL22&lt;=Hypothèses!$V$12,Hypothèses!$X$12,IF(DL22&lt;=Hypothèses!$V$13,Hypothèses!$X$13,IF(DL22&lt;=Hypothèses!$V$14,Hypothèses!$X$14,IF(DL22&lt;=Hypothèses!$V$15,Hypothèses!$X$15,IF(DL22&lt;=Hypothèses!$V$16,Hypothèses!$X$16,IF(DL22&lt;=Hypothèses!$U$17,Hypothèses!$W$17,IF(DL22&lt;=Hypothèses!$U$18,Hypothèses!$W$18,""))))))))))))</f>
        <v>#DIV/0!</v>
      </c>
      <c r="EI22" s="95" t="e">
        <f t="shared" ca="1" si="93"/>
        <v>#DIV/0!</v>
      </c>
      <c r="EJ22" s="101">
        <f t="shared" si="129"/>
        <v>0</v>
      </c>
      <c r="EK22" s="91">
        <f t="shared" si="55"/>
        <v>0</v>
      </c>
      <c r="EL22" s="30" t="e">
        <f t="shared" si="112"/>
        <v>#N/A</v>
      </c>
      <c r="EM22" s="30" t="e">
        <f t="shared" si="113"/>
        <v>#N/A</v>
      </c>
      <c r="EN22" s="31" t="e">
        <f>IF(OR(Hypothèses!$B$4=17,Hypothèses!$B$4=18,Hypothèses!$B$4=19,Hypothèses!$B$4=20),
IF($D22="Pressio.",
IF(OR($E22=3,$E22=1,$E22=4),EM22,EL22),
IF($D22="Pénétro.",
IF(OR($E22=3,$E22=1,$E22=4),EM22,EL22))),IF($D22="Pressio.",
IF($E22=3,EM22,EL22),
IF($D22="Pénétro.",
IF($E22=4,EM22,EL22))))</f>
        <v>#N/A</v>
      </c>
      <c r="EO22" s="31">
        <v>0</v>
      </c>
      <c r="EP22" s="102" t="e">
        <f>IF(NDC!$H$10="Oui",(VLOOKUP($B$3,'Coeff EC7'!$T$39:$X$59,2,0)*EN22+VLOOKUP($B$3,'Coeff EC7'!$T$65:$X$85,2,0)*Model0.1T!EO22)/1.5,PI()*EL$12*$Q22*($B22-$B21)*0.15/10+EP21)</f>
        <v>#N/A</v>
      </c>
      <c r="EQ22" s="102" t="e">
        <f>(VLOOKUP($B$3,'Coeff EC7'!$T$39:$X$59,3,0)*EN22+VLOOKUP($B$3,'Coeff EC7'!$T$65:$X$85,3,0)*Model0.1T!EO22)/1.1</f>
        <v>#N/A</v>
      </c>
      <c r="ER22" s="102" t="e">
        <f t="shared" si="94"/>
        <v>#N/A</v>
      </c>
      <c r="ES22" s="102" t="e">
        <f t="shared" si="95"/>
        <v>#N/A</v>
      </c>
      <c r="ET22" s="414" t="e">
        <f>IF(AND(EP22&gt;NDC!$C$63,EQ22&gt;NDC!$C$65,ER22&gt;NDC!$D$73,ES22&gt;NDC!$D$74,$B22&gt;NDC!$H$22-0.1+MIN(3*ET$12,1.5)),0,1)</f>
        <v>#N/A</v>
      </c>
      <c r="EU22" s="86" t="b">
        <f t="shared" si="58"/>
        <v>0</v>
      </c>
      <c r="EV22" s="86">
        <f t="shared" si="59"/>
        <v>0.61</v>
      </c>
      <c r="EW22" s="86">
        <f t="shared" si="60"/>
        <v>0.61</v>
      </c>
      <c r="EX22" s="30" t="e">
        <f t="shared" ca="1" si="96"/>
        <v>#DIV/0!</v>
      </c>
      <c r="EY22" s="85" t="e">
        <f ca="1">IF(EE22&lt;=Hypothèses!$V$7,Hypothèses!$W$7,IF(EE22&lt;=Hypothèses!$V$8,Hypothèses!$W$8,IF(EE22&lt;=Hypothèses!$V$9,Hypothèses!$W$9,IF(EE22&lt;=Hypothèses!$V$10,Hypothèses!$W$10,IF(EE22&lt;=Hypothèses!$V$11,Hypothèses!$W$11,IF(EE22&lt;=Hypothèses!$V$12,Hypothèses!$W$12,IF(EE22&lt;=Hypothèses!$V$13,Hypothèses!$W$13,IF(EE22&lt;=Hypothèses!$V$14,Hypothèses!$W$14,IF(EE22&lt;=Hypothèses!$V$15,Hypothèses!$W$15,IF(EE22&lt;=Hypothèses!$V$16,Hypothèses!$W$16,IF(EE22&lt;=Hypothèses!$V$17,Hypothèses!$W$17,IF(EE22&lt;=Hypothèses!$V$18,Hypothèses!$W$18,""))))))))))))</f>
        <v>#DIV/0!</v>
      </c>
      <c r="EZ22" s="87" t="e">
        <f t="shared" ca="1" si="123"/>
        <v>#DIV/0!</v>
      </c>
      <c r="FA22" s="88" t="e">
        <f ca="1">IF(EE22&lt;=Hypothèses!$V$7,Hypothèses!$X$7,IF(EE22&lt;=Hypothèses!$V$8,Hypothèses!$X$8,IF(EE22&lt;=Hypothèses!$V$9,Hypothèses!$X$9,IF(EE22&lt;=Hypothèses!$V$10,Hypothèses!$X$10,IF(EE22&lt;=Hypothèses!$V$11,Hypothèses!$X$11,IF(EE22&lt;=Hypothèses!$V$12,Hypothèses!$X$12,IF(EE22&lt;=Hypothèses!$V$13,Hypothèses!$X$13,IF(EE22&lt;=Hypothèses!$V$14,Hypothèses!$X$14,IF(EE22&lt;=Hypothèses!$V$15,Hypothèses!$X$15,IF(EE22&lt;=Hypothèses!$V$16,Hypothèses!$X$16,IF(EE22&lt;=Hypothèses!$U$17,Hypothèses!$W$17,IF(EE22&lt;=Hypothèses!$U$18,Hypothèses!$W$18,""))))))))))))</f>
        <v>#DIV/0!</v>
      </c>
      <c r="FB22" s="95" t="e">
        <f t="shared" ca="1" si="97"/>
        <v>#DIV/0!</v>
      </c>
      <c r="FC22" s="101">
        <f t="shared" si="130"/>
        <v>0</v>
      </c>
      <c r="FD22" s="91">
        <f t="shared" si="62"/>
        <v>0</v>
      </c>
      <c r="FE22" s="30" t="e">
        <f t="shared" si="114"/>
        <v>#N/A</v>
      </c>
      <c r="FF22" s="30" t="e">
        <f t="shared" si="115"/>
        <v>#N/A</v>
      </c>
      <c r="FG22" s="31" t="e">
        <f>IF(OR(Hypothèses!$B$4=17,Hypothèses!$B$4=18,Hypothèses!$B$4=19,Hypothèses!$B$4=20),
IF($D22="Pressio.",
IF(OR($E22=3,$E22=1,$E22=4),FF22,FE22),
IF($D22="Pénétro.",
IF(OR($E22=3,$E22=1,$E22=4),FF22,FE22))),IF($D22="Pressio.",
IF($E22=3,FF22,FE22),
IF($D22="Pénétro.",
IF($E22=4,FF22,FE22))))</f>
        <v>#N/A</v>
      </c>
      <c r="FH22" s="31">
        <v>0</v>
      </c>
      <c r="FI22" s="102" t="e">
        <f>IF(NDC!$H$10="Oui",(VLOOKUP($B$3,'Coeff EC7'!$T$39:$X$59,2,0)*FG22+VLOOKUP($B$3,'Coeff EC7'!$T$65:$X$85,2,0)*Model0.1T!FH22)/1.5,PI()*FE$12*$Q22*($B22-$B21)*0.15/10+FI21)</f>
        <v>#N/A</v>
      </c>
      <c r="FJ22" s="102" t="e">
        <f>(VLOOKUP($B$3,'Coeff EC7'!$T$39:$X$59,3,0)*FG22+VLOOKUP($B$3,'Coeff EC7'!$T$65:$X$85,3,0)*Model0.1T!FH22)/1.1</f>
        <v>#N/A</v>
      </c>
      <c r="FK22" s="102" t="e">
        <f t="shared" si="98"/>
        <v>#N/A</v>
      </c>
      <c r="FL22" s="102" t="e">
        <f t="shared" si="99"/>
        <v>#N/A</v>
      </c>
      <c r="FM22" s="414" t="e">
        <f>IF(AND(FI22&gt;NDC!$C$63,FJ22&gt;NDC!$C$65,FK22&gt;NDC!$D$73,FL22&gt;NDC!$D$74,$B22&gt;NDC!$H$22-0.1+MIN(3*FM$12,1.5)),0,1)</f>
        <v>#N/A</v>
      </c>
    </row>
    <row r="23" spans="1:169">
      <c r="A23" s="96">
        <f t="shared" si="65"/>
        <v>99.000000000000057</v>
      </c>
      <c r="B23" s="97">
        <v>1</v>
      </c>
      <c r="C23" s="81">
        <f>IF(B23&lt;=Hypothèses!$C$7,Hypothèses!$A$7,IF(B23&lt;=Hypothèses!$C$8,Hypothèses!$A$8,IF(B23&lt;=Hypothèses!$C$9,Hypothèses!$A$9,IF(B23&lt;=Hypothèses!$C$10,Hypothèses!$A$10,IF(B23&lt;=Hypothèses!$C$11,Hypothèses!$A$11,IF(B23&lt;=Hypothèses!$C$12,Hypothèses!$A$12,IF(B23&lt;=Hypothèses!$C$13,Hypothèses!$A$13,IF(B23&lt;=Hypothèses!$C$14,Hypothèses!$A$14,IF(B23&lt;=Hypothèses!$C$15,Hypothèses!$A$15,IF(B23&lt;=Hypothèses!$C$16,Hypothèses!$A$16,IF(B23&lt;=Hypothèses!$C$17,Hypothèses!$A$17,IF(B23&lt;=Hypothèses!$C$18,Hypothèses!$A$18,C22))))))))))))</f>
        <v>11</v>
      </c>
      <c r="D23" s="82" t="str">
        <f>IF(B23&lt;=Hypothèses!$C$7,Hypothèses!$R$7,IF(B23&lt;=Hypothèses!$C$8,Hypothèses!$R$8,IF(B23&lt;=Hypothèses!$C$9,Hypothèses!$R$9,IF(B23&lt;=Hypothèses!$C$10,Hypothèses!$R$10,IF(B23&lt;=Hypothèses!$C$11,Hypothèses!$R$11,IF(B23&lt;=Hypothèses!$C$12,Hypothèses!$R$12,IF(B23&lt;=Hypothèses!$C$13,Hypothèses!$R$13,IF(B23&lt;=Hypothèses!$C$14,Hypothèses!$R$14,IF(B23&lt;=Hypothèses!$C$15,Hypothèses!$R$15,IF(B23&lt;=Hypothèses!$C$16,Hypothèses!$R$16,IF(B23&lt;=Hypothèses!$C$17,Hypothèses!$R$17,IF(B23&lt;=Hypothèses!$C$18,Hypothèses!$R$18,D22))))))))))))</f>
        <v>Pressio.</v>
      </c>
      <c r="E23" s="82" t="e">
        <f>IF(B23&lt;=Hypothèses!$C$7,Hypothèses!$G$7,IF(B23&lt;=Hypothèses!$C$8,Hypothèses!$G$8,IF(B23&lt;=Hypothèses!$C$9,Hypothèses!$G$9,IF(B23&lt;=Hypothèses!$C$10,Hypothèses!$G$10,IF(B23&lt;=Hypothèses!$C$11,Hypothèses!$G$11,IF(B23&lt;=Hypothèses!$C$12,Hypothèses!$G$12,IF(B23&lt;=Hypothèses!$C$13,Hypothèses!$G$13,IF(B23&lt;=Hypothèses!$C$14,Hypothèses!$G$14,IF(B23&lt;=Hypothèses!$C$15,Hypothèses!$G$15,IF(B23&lt;=Hypothèses!$C$16,Hypothèses!$G$16,IF(B23&lt;=Hypothèses!$C$17,Hypothèses!$G$17,IF(B23&lt;=Hypothèses!$C$18,Hypothèses!$G$18,E22))))))))))))</f>
        <v>#N/A</v>
      </c>
      <c r="F23" s="82" t="str">
        <f>IF(B23&lt;=Hypothèses!$C$7,Hypothèses!$F$7,IF(B23&lt;=Hypothèses!$C$8,Hypothèses!$F$8,IF(B23&lt;=Hypothèses!$C$9,Hypothèses!$F$9,IF(B23&lt;=Hypothèses!$C$10,Hypothèses!$F$10,IF(B23&lt;=Hypothèses!$C$11,Hypothèses!$F$11,IF(B23&lt;=Hypothèses!$C$12,Hypothèses!$F$12,IF(B23&lt;=Hypothèses!$C$13,Hypothèses!$F$13,IF(B23&lt;=Hypothèses!$C$14,Hypothèses!$F$14,IF(B23&lt;=Hypothèses!$C$15,Hypothèses!$F$15,IF(B23&lt;=Hypothèses!$C$16,Hypothèses!$F$16,IF(B23&lt;=Hypothèses!$C$17,Hypothèses!$F$17,IF(B23&lt;=Hypothèses!$C$18,Hypothèses!$F$18,F22))))))))))))</f>
        <v/>
      </c>
      <c r="G23" s="91">
        <f t="array" ref="G23">INDEX('Coeff EC7'!$U$7:$X$27,
MATCH(Model0.1T!$B$3,'Coeff EC7'!$T$7:$T$27,0),
MATCH(Model0.1T!$D23&amp;Model0.1T!$B$4,
'Coeff EC7'!$U$6:$X$6&amp;
'Coeff EC7'!$U$5:$X$5,0))</f>
        <v>1.4</v>
      </c>
      <c r="H23" s="91">
        <f t="array" ref="H23">INDEX('Coeff EC7'!$Y$7:$AB$27,
MATCH(Model0.1T!$B$3,'Coeff EC7'!$T$7:$T$27,0),
MATCH(Model0.1T!$D23&amp;Model0.1T!$B$4,
'Coeff EC7'!$Y$6:$AB$6&amp;
'Coeff EC7'!$Y$5:$AB$5,0))</f>
        <v>1.7</v>
      </c>
      <c r="I23" s="83">
        <v>0</v>
      </c>
      <c r="J23" s="91" t="e">
        <f t="array" ref="J23">INDEX('Coeff EC7'!$D$33:$Q$33,1,MATCH(D23&amp;E23,'Coeff EC7'!$D$31:$Q$31&amp;'Coeff EC7'!$D$32:$Q$32,0))</f>
        <v>#N/A</v>
      </c>
      <c r="K23" s="91" t="e">
        <f t="array" ref="K23">INDEX('Coeff EC7'!$D$34:$Q$34,1,MATCH(D23&amp;E23,'Coeff EC7'!$D$31:$Q$31&amp;'Coeff EC7'!$D$32:$Q$32,0))</f>
        <v>#N/A</v>
      </c>
      <c r="L23" s="91" t="e">
        <f t="array" ref="L23">INDEX('Coeff EC7'!$D$35:$Q$35,1,MATCH(D23&amp;E23,'Coeff EC7'!$D$31:$Q$31&amp;'Coeff EC7'!$D$32:$Q$32,0))</f>
        <v>#N/A</v>
      </c>
      <c r="M23" s="98" t="e">
        <f t="shared" si="8"/>
        <v>#N/A</v>
      </c>
      <c r="N23" s="99" t="e">
        <f t="array" ref="N23">INDEX('Coeff EC7'!$D$7:$Q$27,MATCH($B$3,'Coeff EC7'!$C$7:$C$27,0),MATCH(D23&amp;E23,'Coeff EC7'!$D$5:$Q$5&amp;'Coeff EC7'!$D$6:$Q$6,0))</f>
        <v>#N/A</v>
      </c>
      <c r="O23" s="99" t="e">
        <f t="array" ref="O23">INDEX('Coeff EC7'!$D$41:$Q$61,MATCH($B$3,'Coeff EC7'!$C$41:$C$61,0),MATCH(D23&amp;E23,'Coeff EC7'!$D$39:$Q$39&amp;'Coeff EC7'!$D$40:$Q$40,0))</f>
        <v>#N/A</v>
      </c>
      <c r="P23" s="30" t="e">
        <f t="shared" si="66"/>
        <v>#N/A</v>
      </c>
      <c r="Q23" s="100" t="e">
        <f t="shared" si="10"/>
        <v>#N/A</v>
      </c>
      <c r="R23" s="86" t="b">
        <f t="shared" si="11"/>
        <v>0</v>
      </c>
      <c r="S23" s="86">
        <f t="shared" si="9"/>
        <v>0.5</v>
      </c>
      <c r="T23" s="86">
        <f t="shared" si="12"/>
        <v>0.5</v>
      </c>
      <c r="U23" s="30" t="e">
        <f t="shared" ca="1" si="67"/>
        <v>#DIV/0!</v>
      </c>
      <c r="V23" s="85" t="str">
        <f>IF(B23&lt;=Hypothèses!$V$7,Hypothèses!$W$7,IF(B23&lt;=Hypothèses!$V$8,Hypothèses!$W$8,IF(B23&lt;=Hypothèses!$V$9,Hypothèses!$W$9,IF(B23&lt;=Hypothèses!$V$10,Hypothèses!$W$10,IF(B23&lt;=Hypothèses!$V$11,Hypothèses!$W$11,IF(B23&lt;=Hypothèses!$V$12,Hypothèses!$W$12,IF(B23&lt;=Hypothèses!$V$13,Hypothèses!$W$13,IF(B23&lt;=Hypothèses!$V$14,Hypothèses!$W$14,IF(B23&lt;=Hypothèses!$V$15,Hypothèses!$W$15,IF(B23&lt;=Hypothèses!$V$16,Hypothèses!$W$16,IF(B23&lt;=Hypothèses!$V$17,Hypothèses!$W$17,IF(B23&lt;=Hypothèses!$V$18,Hypothèses!$W$18,""))))))))))))</f>
        <v/>
      </c>
      <c r="W23" s="87" t="e">
        <f t="shared" ca="1" si="116"/>
        <v>#DIV/0!</v>
      </c>
      <c r="X23" s="88" t="str">
        <f>IF(B23&lt;=Hypothèses!$V$7,Hypothèses!$X$7,IF(B23&lt;=Hypothèses!$V$8,Hypothèses!$X$8,IF(B23&lt;=Hypothèses!$V$9,Hypothèses!$X$9,IF(B23&lt;=Hypothèses!$V$10,Hypothèses!$X$10,IF(B23&lt;=Hypothèses!$V$11,Hypothèses!$X$11,IF(B23&lt;=Hypothèses!$V$12,Hypothèses!$X$12,IF(B23&lt;=Hypothèses!$V$13,Hypothèses!$X$13,IF(B23&lt;=Hypothèses!$V$14,Hypothèses!$X$14,IF(B23&lt;=Hypothèses!$V$15,Hypothèses!$X$15,IF(B23&lt;=Hypothèses!$V$16,Hypothèses!$X$16,IF(B23&lt;=Hypothèses!$U$17,Hypothèses!$W$17,IF(B23&lt;=Hypothèses!$U$18,Hypothèses!$W$18,""))))))))))))</f>
        <v/>
      </c>
      <c r="Y23" s="95" t="e">
        <f t="shared" ca="1" si="13"/>
        <v>#DIV/0!</v>
      </c>
      <c r="Z23" s="101">
        <f t="shared" si="14"/>
        <v>0</v>
      </c>
      <c r="AA23" s="91">
        <f t="shared" si="15"/>
        <v>0</v>
      </c>
      <c r="AB23" s="30" t="e">
        <f t="shared" si="100"/>
        <v>#N/A</v>
      </c>
      <c r="AC23" s="30" t="e">
        <f t="shared" si="101"/>
        <v>#N/A</v>
      </c>
      <c r="AD23" s="31" t="e">
        <f>IF(OR(Hypothèses!$B$4=17,Hypothèses!$B$4=18,Hypothèses!$B$4=19,Hypothèses!$B$4=20),
IF($D23="Pressio.",
IF(OR($E23=3,$E23=1,$E23=4),AC23,AB23),
IF($D23="Pénétro.",
IF(OR($E23=3,$E23=1,$E23=4),AC23,AB23))),IF($D23="Pressio.",
IF($E23=3,AC23,AB23),
IF($D23="Pénétro.",
IF($E23=4,AC23,AB23))))</f>
        <v>#N/A</v>
      </c>
      <c r="AE23" s="31">
        <v>0</v>
      </c>
      <c r="AF23" s="102" t="e">
        <f>IF(NDC!$H$10="Oui",(VLOOKUP($B$3,'Coeff EC7'!$T$39:$X$59,2,0)*AD23+VLOOKUP($B$3,'Coeff EC7'!$T$65:$X$85,2,0)*Model0.1T!AE23)/1.5,PI()*AB$12*$Q23*($B23-$B22)*0.15/10+AF22)</f>
        <v>#N/A</v>
      </c>
      <c r="AG23" s="102" t="e">
        <f>(VLOOKUP($B$3,'Coeff EC7'!$T$39:$X$59,3,0)*AD23+VLOOKUP($B$3,'Coeff EC7'!$T$65:$X$85,3,0)*Model0.1T!AE23)/1.1</f>
        <v>#N/A</v>
      </c>
      <c r="AH23" s="102" t="e">
        <f t="shared" si="68"/>
        <v>#N/A</v>
      </c>
      <c r="AI23" s="102" t="e">
        <f t="shared" si="69"/>
        <v>#N/A</v>
      </c>
      <c r="AJ23" s="414" t="e">
        <f>IF(AND(AF23&gt;NDC!$C$63,AG23&gt;NDC!$C$65,AH23&gt;NDC!$D$73,AI23&gt;NDC!$D$74,$B23&gt;NDC!$H$22-0.1+MIN(3*$AJ$12,1.5)),0,1)</f>
        <v>#N/A</v>
      </c>
      <c r="AK23" s="86" t="b">
        <f t="shared" si="18"/>
        <v>0</v>
      </c>
      <c r="AL23" s="86">
        <f t="shared" si="70"/>
        <v>0.5</v>
      </c>
      <c r="AM23" s="86">
        <f t="shared" si="19"/>
        <v>0.5</v>
      </c>
      <c r="AN23" s="30" t="e">
        <f t="shared" ca="1" si="71"/>
        <v>#DIV/0!</v>
      </c>
      <c r="AO23" s="85" t="e">
        <f ca="1">IF(U23&lt;=Hypothèses!$V$7,Hypothèses!$W$7,IF(U23&lt;=Hypothèses!$V$8,Hypothèses!$W$8,IF(U23&lt;=Hypothèses!$V$9,Hypothèses!$W$9,IF(U23&lt;=Hypothèses!$V$10,Hypothèses!$W$10,IF(U23&lt;=Hypothèses!$V$11,Hypothèses!$W$11,IF(U23&lt;=Hypothèses!$V$12,Hypothèses!$W$12,IF(U23&lt;=Hypothèses!$V$13,Hypothèses!$W$13,IF(U23&lt;=Hypothèses!$V$14,Hypothèses!$W$14,IF(U23&lt;=Hypothèses!$V$15,Hypothèses!$W$15,IF(U23&lt;=Hypothèses!$V$16,Hypothèses!$W$16,IF(U23&lt;=Hypothèses!$V$17,Hypothèses!$W$17,IF(U23&lt;=Hypothèses!$V$18,Hypothèses!$W$18,""))))))))))))</f>
        <v>#DIV/0!</v>
      </c>
      <c r="AP23" s="87" t="e">
        <f t="shared" ca="1" si="117"/>
        <v>#DIV/0!</v>
      </c>
      <c r="AQ23" s="88" t="e">
        <f ca="1">IF(U23&lt;=Hypothèses!$V$7,Hypothèses!$X$7,IF(U23&lt;=Hypothèses!$V$8,Hypothèses!$X$8,IF(U23&lt;=Hypothèses!$V$9,Hypothèses!$X$9,IF(U23&lt;=Hypothèses!$V$10,Hypothèses!$X$10,IF(U23&lt;=Hypothèses!$V$11,Hypothèses!$X$11,IF(U23&lt;=Hypothèses!$V$12,Hypothèses!$X$12,IF(U23&lt;=Hypothèses!$V$13,Hypothèses!$X$13,IF(U23&lt;=Hypothèses!$V$14,Hypothèses!$X$14,IF(U23&lt;=Hypothèses!$V$15,Hypothèses!$X$15,IF(U23&lt;=Hypothèses!$V$16,Hypothèses!$X$16,IF(U23&lt;=Hypothèses!$U$17,Hypothèses!$W$17,IF(U23&lt;=Hypothèses!$U$18,Hypothèses!$W$18,""))))))))))))</f>
        <v>#DIV/0!</v>
      </c>
      <c r="AR23" s="95" t="e">
        <f t="shared" ca="1" si="72"/>
        <v>#DIV/0!</v>
      </c>
      <c r="AS23" s="101">
        <f t="shared" si="124"/>
        <v>0</v>
      </c>
      <c r="AT23" s="91">
        <f t="shared" si="21"/>
        <v>0</v>
      </c>
      <c r="AU23" s="30" t="e">
        <f t="shared" si="102"/>
        <v>#N/A</v>
      </c>
      <c r="AV23" s="30" t="e">
        <f t="shared" si="103"/>
        <v>#N/A</v>
      </c>
      <c r="AW23" s="31" t="e">
        <f>IF(OR(Hypothèses!$B$4=17,Hypothèses!$B$4=18,Hypothèses!$B$4=19,Hypothèses!$B$4=20),
IF($D23="Pressio.",
IF(OR($E23=3,$E23=1,$E23=4),AV23,AU23),
IF($D23="Pénétro.",
IF(OR($E23=3,$E23=1,$E23=4),AV23,AU23))),IF($D23="Pressio.",
IF($E23=3,AV23,AU23),
IF($D23="Pénétro.",
IF($E23=4,AV23,AU23))))</f>
        <v>#N/A</v>
      </c>
      <c r="AX23" s="31">
        <v>0</v>
      </c>
      <c r="AY23" s="102" t="e">
        <f>IF(NDC!$H$10="Oui",(VLOOKUP($B$3,'Coeff EC7'!$T$39:$X$59,2,0)*AW23+VLOOKUP($B$3,'Coeff EC7'!$T$65:$X$85,2,0)*Model0.1T!AX23)/1.5,PI()*AU$12*$Q23*($B23-$B22)*0.15/10+AY22)</f>
        <v>#N/A</v>
      </c>
      <c r="AZ23" s="102" t="e">
        <f>(VLOOKUP($B$3,'Coeff EC7'!$T$39:$X$59,3,0)*AW23+VLOOKUP($B$3,'Coeff EC7'!$T$65:$X$85,3,0)*Model0.1T!AX23)/1.1</f>
        <v>#N/A</v>
      </c>
      <c r="BA23" s="102" t="e">
        <f t="shared" si="73"/>
        <v>#N/A</v>
      </c>
      <c r="BB23" s="102" t="e">
        <f t="shared" si="74"/>
        <v>#N/A</v>
      </c>
      <c r="BC23" s="414" t="e">
        <f>IF(AND(AY23&gt;NDC!$C$63,AZ23&gt;NDC!$C$65,BA23&gt;NDC!$D$73,BB23&gt;NDC!$D$74,$B23&gt;NDC!$H$22-0.1+MIN(3*BC$12,1.5)),0,1)</f>
        <v>#N/A</v>
      </c>
      <c r="BD23" s="86" t="b">
        <f t="shared" si="24"/>
        <v>0</v>
      </c>
      <c r="BE23" s="86">
        <f t="shared" si="75"/>
        <v>0.5</v>
      </c>
      <c r="BF23" s="86">
        <f t="shared" si="25"/>
        <v>0.5</v>
      </c>
      <c r="BG23" s="30" t="e">
        <f t="shared" ca="1" si="76"/>
        <v>#DIV/0!</v>
      </c>
      <c r="BH23" s="85" t="e">
        <f ca="1">IF(AN23&lt;=Hypothèses!$V$7,Hypothèses!$W$7,IF(AN23&lt;=Hypothèses!$V$8,Hypothèses!$W$8,IF(AN23&lt;=Hypothèses!$V$9,Hypothèses!$W$9,IF(AN23&lt;=Hypothèses!$V$10,Hypothèses!$W$10,IF(AN23&lt;=Hypothèses!$V$11,Hypothèses!$W$11,IF(AN23&lt;=Hypothèses!$V$12,Hypothèses!$W$12,IF(AN23&lt;=Hypothèses!$V$13,Hypothèses!$W$13,IF(AN23&lt;=Hypothèses!$V$14,Hypothèses!$W$14,IF(AN23&lt;=Hypothèses!$V$15,Hypothèses!$W$15,IF(AN23&lt;=Hypothèses!$V$16,Hypothèses!$W$16,IF(AN23&lt;=Hypothèses!$V$17,Hypothèses!$W$17,IF(AN23&lt;=Hypothèses!$V$18,Hypothèses!$W$18,""))))))))))))</f>
        <v>#DIV/0!</v>
      </c>
      <c r="BI23" s="87" t="e">
        <f t="shared" ca="1" si="118"/>
        <v>#DIV/0!</v>
      </c>
      <c r="BJ23" s="88" t="e">
        <f ca="1">IF(AN23&lt;=Hypothèses!$V$7,Hypothèses!$X$7,IF(AN23&lt;=Hypothèses!$V$8,Hypothèses!$X$8,IF(AN23&lt;=Hypothèses!$V$9,Hypothèses!$X$9,IF(AN23&lt;=Hypothèses!$V$10,Hypothèses!$X$10,IF(AN23&lt;=Hypothèses!$V$11,Hypothèses!$X$11,IF(AN23&lt;=Hypothèses!$V$12,Hypothèses!$X$12,IF(AN23&lt;=Hypothèses!$V$13,Hypothèses!$X$13,IF(AN23&lt;=Hypothèses!$V$14,Hypothèses!$X$14,IF(AN23&lt;=Hypothèses!$V$15,Hypothèses!$X$15,IF(AN23&lt;=Hypothèses!$V$16,Hypothèses!$X$16,IF(AN23&lt;=Hypothèses!$U$17,Hypothèses!$W$17,IF(AN23&lt;=Hypothèses!$U$18,Hypothèses!$W$18,""))))))))))))</f>
        <v>#DIV/0!</v>
      </c>
      <c r="BK23" s="95" t="e">
        <f t="shared" ca="1" si="77"/>
        <v>#DIV/0!</v>
      </c>
      <c r="BL23" s="101">
        <f t="shared" si="125"/>
        <v>0</v>
      </c>
      <c r="BM23" s="91">
        <f t="shared" si="27"/>
        <v>0</v>
      </c>
      <c r="BN23" s="30" t="e">
        <f t="shared" si="104"/>
        <v>#N/A</v>
      </c>
      <c r="BO23" s="30" t="e">
        <f t="shared" si="105"/>
        <v>#N/A</v>
      </c>
      <c r="BP23" s="31" t="e">
        <f>IF(OR(Hypothèses!$B$4=17,Hypothèses!$B$4=18,Hypothèses!$B$4=19,Hypothèses!$B$4=20),
IF($D23="Pressio.",
IF(OR($E23=3,$E23=1,$E23=4),BO23,BN23),
IF($D23="Pénétro.",
IF(OR($E23=3,$E23=1,$E23=4),BO23,BN23))),IF($D23="Pressio.",
IF($E23=3,BO23,BN23),
IF($D23="Pénétro.",
IF($E23=4,BO23,BN23))))</f>
        <v>#N/A</v>
      </c>
      <c r="BQ23" s="31">
        <v>0</v>
      </c>
      <c r="BR23" s="102" t="e">
        <f>IF(NDC!$H$10="Oui",(VLOOKUP($B$3,'Coeff EC7'!$T$39:$X$59,2,0)*BP23+VLOOKUP($B$3,'Coeff EC7'!$T$65:$X$85,2,0)*Model0.1T!BQ23)/1.5,PI()*BN$12*$Q23*($B23-$B22)*0.15/10+BR22)</f>
        <v>#N/A</v>
      </c>
      <c r="BS23" s="102" t="e">
        <f>(VLOOKUP($B$3,'Coeff EC7'!$T$39:$X$59,3,0)*BP23+VLOOKUP($B$3,'Coeff EC7'!$T$65:$X$85,3,0)*Model0.1T!BQ23)/1.1</f>
        <v>#N/A</v>
      </c>
      <c r="BT23" s="102" t="e">
        <f t="shared" si="78"/>
        <v>#N/A</v>
      </c>
      <c r="BU23" s="102" t="e">
        <f t="shared" si="79"/>
        <v>#N/A</v>
      </c>
      <c r="BV23" s="414" t="e">
        <f>IF(AND(BR23&gt;NDC!$C$63,BS23&gt;NDC!$C$65,BT23&gt;NDC!$D$73,BU23&gt;NDC!$D$74,$B23&gt;NDC!$H$22-0.1+MIN(3*BV$12,1.5)),0,1)</f>
        <v>#N/A</v>
      </c>
      <c r="BW23" s="86" t="b">
        <f t="shared" si="30"/>
        <v>0</v>
      </c>
      <c r="BX23" s="86">
        <f t="shared" si="31"/>
        <v>0.5</v>
      </c>
      <c r="BY23" s="86">
        <f t="shared" si="32"/>
        <v>0.5</v>
      </c>
      <c r="BZ23" s="30" t="e">
        <f t="shared" ca="1" si="80"/>
        <v>#DIV/0!</v>
      </c>
      <c r="CA23" s="85" t="e">
        <f ca="1">IF(BG23&lt;=Hypothèses!$V$7,Hypothèses!$W$7,IF(BG23&lt;=Hypothèses!$V$8,Hypothèses!$W$8,IF(BG23&lt;=Hypothèses!$V$9,Hypothèses!$W$9,IF(BG23&lt;=Hypothèses!$V$10,Hypothèses!$W$10,IF(BG23&lt;=Hypothèses!$V$11,Hypothèses!$W$11,IF(BG23&lt;=Hypothèses!$V$12,Hypothèses!$W$12,IF(BG23&lt;=Hypothèses!$V$13,Hypothèses!$W$13,IF(BG23&lt;=Hypothèses!$V$14,Hypothèses!$W$14,IF(BG23&lt;=Hypothèses!$V$15,Hypothèses!$W$15,IF(BG23&lt;=Hypothèses!$V$16,Hypothèses!$W$16,IF(BG23&lt;=Hypothèses!$V$17,Hypothèses!$W$17,IF(BG23&lt;=Hypothèses!$V$18,Hypothèses!$W$18,""))))))))))))</f>
        <v>#DIV/0!</v>
      </c>
      <c r="CB23" s="87" t="e">
        <f t="shared" ca="1" si="119"/>
        <v>#DIV/0!</v>
      </c>
      <c r="CC23" s="88" t="e">
        <f ca="1">IF(BG23&lt;=Hypothèses!$V$7,Hypothèses!$X$7,IF(BG23&lt;=Hypothèses!$V$8,Hypothèses!$X$8,IF(BG23&lt;=Hypothèses!$V$9,Hypothèses!$X$9,IF(BG23&lt;=Hypothèses!$V$10,Hypothèses!$X$10,IF(BG23&lt;=Hypothèses!$V$11,Hypothèses!$X$11,IF(BG23&lt;=Hypothèses!$V$12,Hypothèses!$X$12,IF(BG23&lt;=Hypothèses!$V$13,Hypothèses!$X$13,IF(BG23&lt;=Hypothèses!$V$14,Hypothèses!$X$14,IF(BG23&lt;=Hypothèses!$V$15,Hypothèses!$X$15,IF(BG23&lt;=Hypothèses!$V$16,Hypothèses!$X$16,IF(BG23&lt;=Hypothèses!$U$17,Hypothèses!$W$17,IF(BG23&lt;=Hypothèses!$U$18,Hypothèses!$W$18,""))))))))))))</f>
        <v>#DIV/0!</v>
      </c>
      <c r="CD23" s="95" t="e">
        <f t="shared" ca="1" si="81"/>
        <v>#DIV/0!</v>
      </c>
      <c r="CE23" s="101">
        <f t="shared" si="126"/>
        <v>0</v>
      </c>
      <c r="CF23" s="91">
        <f t="shared" si="34"/>
        <v>0</v>
      </c>
      <c r="CG23" s="30" t="e">
        <f t="shared" si="106"/>
        <v>#N/A</v>
      </c>
      <c r="CH23" s="30" t="e">
        <f t="shared" si="107"/>
        <v>#N/A</v>
      </c>
      <c r="CI23" s="31" t="e">
        <f>IF(OR(Hypothèses!$B$4=17,Hypothèses!$B$4=18,Hypothèses!$B$4=19,Hypothèses!$B$4=20),
IF($D23="Pressio.",
IF(OR($E23=3,$E23=1,$E23=4),CH23,CG23),
IF($D23="Pénétro.",
IF(OR($E23=3,$E23=1,$E23=4),CH23,CG23))),IF($D23="Pressio.",
IF($E23=3,CH23,CG23),
IF($D23="Pénétro.",
IF($E23=4,CH23,CG23))))</f>
        <v>#N/A</v>
      </c>
      <c r="CJ23" s="31">
        <v>0</v>
      </c>
      <c r="CK23" s="102" t="e">
        <f>IF(NDC!$H$10="Oui",(VLOOKUP($B$3,'Coeff EC7'!$T$39:$X$59,2,0)*CI23+VLOOKUP($B$3,'Coeff EC7'!$T$65:$X$85,2,0)*Model0.1T!CJ23)/1.5,PI()*CG$12*$Q23*($B23-$B22)*0.15/10+CK22)</f>
        <v>#N/A</v>
      </c>
      <c r="CL23" s="102" t="e">
        <f>(VLOOKUP($B$3,'Coeff EC7'!$T$39:$X$59,3,0)*CI23+VLOOKUP($B$3,'Coeff EC7'!$T$65:$X$85,3,0)*Model0.1T!CJ23)/1.1</f>
        <v>#N/A</v>
      </c>
      <c r="CM23" s="102" t="e">
        <f t="shared" si="82"/>
        <v>#N/A</v>
      </c>
      <c r="CN23" s="102" t="e">
        <f t="shared" si="83"/>
        <v>#N/A</v>
      </c>
      <c r="CO23" s="414" t="e">
        <f>IF(AND(CK23&gt;NDC!$C$63,CL23&gt;NDC!$C$65,CM23&gt;NDC!$D$73,CN23&gt;NDC!$D$74,$B23&gt;NDC!$H$22-0.1+MIN(3*CO$12,1.5)),0,1)</f>
        <v>#N/A</v>
      </c>
      <c r="CP23" s="86" t="b">
        <f t="shared" si="37"/>
        <v>0</v>
      </c>
      <c r="CQ23" s="86">
        <f t="shared" si="38"/>
        <v>0.5</v>
      </c>
      <c r="CR23" s="86">
        <f t="shared" si="39"/>
        <v>0.5</v>
      </c>
      <c r="CS23" s="30" t="e">
        <f t="shared" ca="1" si="84"/>
        <v>#DIV/0!</v>
      </c>
      <c r="CT23" s="85" t="e">
        <f ca="1">IF(BZ23&lt;=Hypothèses!$V$7,Hypothèses!$W$7,IF(BZ23&lt;=Hypothèses!$V$8,Hypothèses!$W$8,IF(BZ23&lt;=Hypothèses!$V$9,Hypothèses!$W$9,IF(BZ23&lt;=Hypothèses!$V$10,Hypothèses!$W$10,IF(BZ23&lt;=Hypothèses!$V$11,Hypothèses!$W$11,IF(BZ23&lt;=Hypothèses!$V$12,Hypothèses!$W$12,IF(BZ23&lt;=Hypothèses!$V$13,Hypothèses!$W$13,IF(BZ23&lt;=Hypothèses!$V$14,Hypothèses!$W$14,IF(BZ23&lt;=Hypothèses!$V$15,Hypothèses!$W$15,IF(BZ23&lt;=Hypothèses!$V$16,Hypothèses!$W$16,IF(BZ23&lt;=Hypothèses!$V$17,Hypothèses!$W$17,IF(BZ23&lt;=Hypothèses!$V$18,Hypothèses!$W$18,""))))))))))))</f>
        <v>#DIV/0!</v>
      </c>
      <c r="CU23" s="87" t="e">
        <f t="shared" ca="1" si="120"/>
        <v>#DIV/0!</v>
      </c>
      <c r="CV23" s="88" t="e">
        <f ca="1">IF(BZ23&lt;=Hypothèses!$V$7,Hypothèses!$X$7,IF(BZ23&lt;=Hypothèses!$V$8,Hypothèses!$X$8,IF(BZ23&lt;=Hypothèses!$V$9,Hypothèses!$X$9,IF(BZ23&lt;=Hypothèses!$V$10,Hypothèses!$X$10,IF(BZ23&lt;=Hypothèses!$V$11,Hypothèses!$X$11,IF(BZ23&lt;=Hypothèses!$V$12,Hypothèses!$X$12,IF(BZ23&lt;=Hypothèses!$V$13,Hypothèses!$X$13,IF(BZ23&lt;=Hypothèses!$V$14,Hypothèses!$X$14,IF(BZ23&lt;=Hypothèses!$V$15,Hypothèses!$X$15,IF(BZ23&lt;=Hypothèses!$V$16,Hypothèses!$X$16,IF(BZ23&lt;=Hypothèses!$U$17,Hypothèses!$W$17,IF(BZ23&lt;=Hypothèses!$U$18,Hypothèses!$W$18,""))))))))))))</f>
        <v>#DIV/0!</v>
      </c>
      <c r="CW23" s="95" t="e">
        <f t="shared" ca="1" si="85"/>
        <v>#DIV/0!</v>
      </c>
      <c r="CX23" s="101">
        <f t="shared" si="127"/>
        <v>0</v>
      </c>
      <c r="CY23" s="91">
        <f t="shared" si="41"/>
        <v>0</v>
      </c>
      <c r="CZ23" s="30" t="e">
        <f t="shared" si="108"/>
        <v>#N/A</v>
      </c>
      <c r="DA23" s="30" t="e">
        <f t="shared" si="109"/>
        <v>#N/A</v>
      </c>
      <c r="DB23" s="31" t="e">
        <f>IF(OR(Hypothèses!$B$4=17,Hypothèses!$B$4=18,Hypothèses!$B$4=19,Hypothèses!$B$4=20),
IF($D23="Pressio.",
IF(OR($E23=3,$E23=1,$E23=4),DA23,CZ23),
IF($D23="Pénétro.",
IF(OR($E23=3,$E23=1,$E23=4),DA23,CZ23))),IF($D23="Pressio.",
IF($E23=3,DA23,CZ23),
IF($D23="Pénétro.",
IF($E23=4,DA23,CZ23))))</f>
        <v>#N/A</v>
      </c>
      <c r="DC23" s="31">
        <v>0</v>
      </c>
      <c r="DD23" s="102" t="e">
        <f>IF(NDC!$H$10="Oui",(VLOOKUP($B$3,'Coeff EC7'!$T$39:$X$59,2,0)*DB23+VLOOKUP($B$3,'Coeff EC7'!$T$65:$X$85,2,0)*Model0.1T!DC23)/1.5,PI()*CZ$12*$Q23*($B23-$B22)*0.15/10+DD22)</f>
        <v>#N/A</v>
      </c>
      <c r="DE23" s="102" t="e">
        <f>(VLOOKUP($B$3,'Coeff EC7'!$T$39:$X$59,3,0)*DB23+VLOOKUP($B$3,'Coeff EC7'!$T$65:$X$85,3,0)*Model0.1T!DC23)/1.1</f>
        <v>#N/A</v>
      </c>
      <c r="DF23" s="102" t="e">
        <f t="shared" si="86"/>
        <v>#N/A</v>
      </c>
      <c r="DG23" s="102" t="e">
        <f t="shared" si="87"/>
        <v>#N/A</v>
      </c>
      <c r="DH23" s="414" t="e">
        <f>IF(AND(DD23&gt;NDC!$C$63,DE23&gt;NDC!$C$65,DF23&gt;NDC!$D$73,DG23&gt;NDC!$D$74,$B23&gt;NDC!$H$22-0.1+MIN(3*DH$12,1.5)),0,1)</f>
        <v>#N/A</v>
      </c>
      <c r="DI23" s="86" t="b">
        <f t="shared" si="44"/>
        <v>0</v>
      </c>
      <c r="DJ23" s="86">
        <f t="shared" si="45"/>
        <v>0.5</v>
      </c>
      <c r="DK23" s="86">
        <f t="shared" si="46"/>
        <v>0.5</v>
      </c>
      <c r="DL23" s="30" t="e">
        <f t="shared" ca="1" si="88"/>
        <v>#DIV/0!</v>
      </c>
      <c r="DM23" s="85" t="e">
        <f ca="1">IF(CS23&lt;=Hypothèses!$V$7,Hypothèses!$W$7,IF(CS23&lt;=Hypothèses!$V$8,Hypothèses!$W$8,IF(CS23&lt;=Hypothèses!$V$9,Hypothèses!$W$9,IF(CS23&lt;=Hypothèses!$V$10,Hypothèses!$W$10,IF(CS23&lt;=Hypothèses!$V$11,Hypothèses!$W$11,IF(CS23&lt;=Hypothèses!$V$12,Hypothèses!$W$12,IF(CS23&lt;=Hypothèses!$V$13,Hypothèses!$W$13,IF(CS23&lt;=Hypothèses!$V$14,Hypothèses!$W$14,IF(CS23&lt;=Hypothèses!$V$15,Hypothèses!$W$15,IF(CS23&lt;=Hypothèses!$V$16,Hypothèses!$W$16,IF(CS23&lt;=Hypothèses!$V$17,Hypothèses!$W$17,IF(CS23&lt;=Hypothèses!$V$18,Hypothèses!$W$18,""))))))))))))</f>
        <v>#DIV/0!</v>
      </c>
      <c r="DN23" s="87" t="e">
        <f t="shared" ca="1" si="121"/>
        <v>#DIV/0!</v>
      </c>
      <c r="DO23" s="88" t="e">
        <f ca="1">IF(CS23&lt;=Hypothèses!$V$7,Hypothèses!$X$7,IF(CS23&lt;=Hypothèses!$V$8,Hypothèses!$X$8,IF(CS23&lt;=Hypothèses!$V$9,Hypothèses!$X$9,IF(CS23&lt;=Hypothèses!$V$10,Hypothèses!$X$10,IF(CS23&lt;=Hypothèses!$V$11,Hypothèses!$X$11,IF(CS23&lt;=Hypothèses!$V$12,Hypothèses!$X$12,IF(CS23&lt;=Hypothèses!$V$13,Hypothèses!$X$13,IF(CS23&lt;=Hypothèses!$V$14,Hypothèses!$X$14,IF(CS23&lt;=Hypothèses!$V$15,Hypothèses!$X$15,IF(CS23&lt;=Hypothèses!$V$16,Hypothèses!$X$16,IF(CS23&lt;=Hypothèses!$U$17,Hypothèses!$W$17,IF(CS23&lt;=Hypothèses!$U$18,Hypothèses!$W$18,""))))))))))))</f>
        <v>#DIV/0!</v>
      </c>
      <c r="DP23" s="95" t="e">
        <f t="shared" ca="1" si="89"/>
        <v>#DIV/0!</v>
      </c>
      <c r="DQ23" s="101">
        <f t="shared" si="128"/>
        <v>0</v>
      </c>
      <c r="DR23" s="91">
        <f t="shared" si="48"/>
        <v>0</v>
      </c>
      <c r="DS23" s="30" t="e">
        <f t="shared" si="110"/>
        <v>#N/A</v>
      </c>
      <c r="DT23" s="30" t="e">
        <f t="shared" si="111"/>
        <v>#N/A</v>
      </c>
      <c r="DU23" s="31" t="e">
        <f>IF(OR(Hypothèses!$B$4=17,Hypothèses!$B$4=18,Hypothèses!$B$4=19,Hypothèses!$B$4=20),
IF($D23="Pressio.",
IF(OR($E23=3,$E23=1,$E23=4),DT23,DS23),
IF($D23="Pénétro.",
IF(OR($E23=3,$E23=1,$E23=4),DT23,DS23))),IF($D23="Pressio.",
IF($E23=3,DT23,DS23),
IF($D23="Pénétro.",
IF($E23=4,DT23,DS23))))</f>
        <v>#N/A</v>
      </c>
      <c r="DV23" s="31">
        <v>0</v>
      </c>
      <c r="DW23" s="102" t="e">
        <f>IF(NDC!$H$10="Oui",(VLOOKUP($B$3,'Coeff EC7'!$T$39:$X$59,2,0)*DU23+VLOOKUP($B$3,'Coeff EC7'!$T$65:$X$85,2,0)*Model0.1T!DV23)/1.5,PI()*DS$12*$Q23*($B23-$B22)*0.15/10+DW22)</f>
        <v>#N/A</v>
      </c>
      <c r="DX23" s="102" t="e">
        <f>(VLOOKUP($B$3,'Coeff EC7'!$T$39:$X$59,3,0)*DU23+VLOOKUP($B$3,'Coeff EC7'!$T$65:$X$85,3,0)*Model0.1T!DV23)/1.1</f>
        <v>#N/A</v>
      </c>
      <c r="DY23" s="102" t="e">
        <f t="shared" si="90"/>
        <v>#N/A</v>
      </c>
      <c r="DZ23" s="102" t="e">
        <f t="shared" si="91"/>
        <v>#N/A</v>
      </c>
      <c r="EA23" s="414" t="e">
        <f>IF(AND(DW23&gt;NDC!$C$63,DX23&gt;NDC!$C$65,DY23&gt;NDC!$D$73,DZ23&gt;NDC!$D$74,$B23&gt;NDC!$H$22-0.1+MIN(3*EA$12,1.5)),0,1)</f>
        <v>#N/A</v>
      </c>
      <c r="EB23" s="86" t="b">
        <f t="shared" si="51"/>
        <v>0</v>
      </c>
      <c r="EC23" s="418">
        <f t="shared" si="52"/>
        <v>0.51</v>
      </c>
      <c r="ED23" s="86">
        <f t="shared" si="53"/>
        <v>0.51</v>
      </c>
      <c r="EE23" s="30" t="e">
        <f t="shared" ca="1" si="92"/>
        <v>#DIV/0!</v>
      </c>
      <c r="EF23" s="85" t="e">
        <f ca="1">IF(DL23&lt;=Hypothèses!$V$7,Hypothèses!$W$7,IF(DL23&lt;=Hypothèses!$V$8,Hypothèses!$W$8,IF(DL23&lt;=Hypothèses!$V$9,Hypothèses!$W$9,IF(DL23&lt;=Hypothèses!$V$10,Hypothèses!$W$10,IF(DL23&lt;=Hypothèses!$V$11,Hypothèses!$W$11,IF(DL23&lt;=Hypothèses!$V$12,Hypothèses!$W$12,IF(DL23&lt;=Hypothèses!$V$13,Hypothèses!$W$13,IF(DL23&lt;=Hypothèses!$V$14,Hypothèses!$W$14,IF(DL23&lt;=Hypothèses!$V$15,Hypothèses!$W$15,IF(DL23&lt;=Hypothèses!$V$16,Hypothèses!$W$16,IF(DL23&lt;=Hypothèses!$V$17,Hypothèses!$W$17,IF(DL23&lt;=Hypothèses!$V$18,Hypothèses!$W$18,""))))))))))))</f>
        <v>#DIV/0!</v>
      </c>
      <c r="EG23" s="87" t="e">
        <f t="shared" ca="1" si="122"/>
        <v>#DIV/0!</v>
      </c>
      <c r="EH23" s="88" t="e">
        <f ca="1">IF(DL23&lt;=Hypothèses!$V$7,Hypothèses!$X$7,IF(DL23&lt;=Hypothèses!$V$8,Hypothèses!$X$8,IF(DL23&lt;=Hypothèses!$V$9,Hypothèses!$X$9,IF(DL23&lt;=Hypothèses!$V$10,Hypothèses!$X$10,IF(DL23&lt;=Hypothèses!$V$11,Hypothèses!$X$11,IF(DL23&lt;=Hypothèses!$V$12,Hypothèses!$X$12,IF(DL23&lt;=Hypothèses!$V$13,Hypothèses!$X$13,IF(DL23&lt;=Hypothèses!$V$14,Hypothèses!$X$14,IF(DL23&lt;=Hypothèses!$V$15,Hypothèses!$X$15,IF(DL23&lt;=Hypothèses!$V$16,Hypothèses!$X$16,IF(DL23&lt;=Hypothèses!$U$17,Hypothèses!$W$17,IF(DL23&lt;=Hypothèses!$U$18,Hypothèses!$W$18,""))))))))))))</f>
        <v>#DIV/0!</v>
      </c>
      <c r="EI23" s="95" t="e">
        <f t="shared" ca="1" si="93"/>
        <v>#DIV/0!</v>
      </c>
      <c r="EJ23" s="101">
        <f t="shared" si="129"/>
        <v>0</v>
      </c>
      <c r="EK23" s="91">
        <f t="shared" si="55"/>
        <v>0</v>
      </c>
      <c r="EL23" s="30" t="e">
        <f t="shared" si="112"/>
        <v>#N/A</v>
      </c>
      <c r="EM23" s="30" t="e">
        <f t="shared" si="113"/>
        <v>#N/A</v>
      </c>
      <c r="EN23" s="31" t="e">
        <f>IF(OR(Hypothèses!$B$4=17,Hypothèses!$B$4=18,Hypothèses!$B$4=19,Hypothèses!$B$4=20),
IF($D23="Pressio.",
IF(OR($E23=3,$E23=1,$E23=4),EM23,EL23),
IF($D23="Pénétro.",
IF(OR($E23=3,$E23=1,$E23=4),EM23,EL23))),IF($D23="Pressio.",
IF($E23=3,EM23,EL23),
IF($D23="Pénétro.",
IF($E23=4,EM23,EL23))))</f>
        <v>#N/A</v>
      </c>
      <c r="EO23" s="31">
        <v>0</v>
      </c>
      <c r="EP23" s="102" t="e">
        <f>IF(NDC!$H$10="Oui",(VLOOKUP($B$3,'Coeff EC7'!$T$39:$X$59,2,0)*EN23+VLOOKUP($B$3,'Coeff EC7'!$T$65:$X$85,2,0)*Model0.1T!EO23)/1.5,PI()*EL$12*$Q23*($B23-$B22)*0.15/10+EP22)</f>
        <v>#N/A</v>
      </c>
      <c r="EQ23" s="102" t="e">
        <f>(VLOOKUP($B$3,'Coeff EC7'!$T$39:$X$59,3,0)*EN23+VLOOKUP($B$3,'Coeff EC7'!$T$65:$X$85,3,0)*Model0.1T!EO23)/1.1</f>
        <v>#N/A</v>
      </c>
      <c r="ER23" s="102" t="e">
        <f t="shared" si="94"/>
        <v>#N/A</v>
      </c>
      <c r="ES23" s="102" t="e">
        <f t="shared" si="95"/>
        <v>#N/A</v>
      </c>
      <c r="ET23" s="414" t="e">
        <f>IF(AND(EP23&gt;NDC!$C$63,EQ23&gt;NDC!$C$65,ER23&gt;NDC!$D$73,ES23&gt;NDC!$D$74,$B23&gt;NDC!$H$22-0.1+MIN(3*ET$12,1.5)),0,1)</f>
        <v>#N/A</v>
      </c>
      <c r="EU23" s="86" t="b">
        <f t="shared" si="58"/>
        <v>0</v>
      </c>
      <c r="EV23" s="86">
        <f t="shared" si="59"/>
        <v>0.61</v>
      </c>
      <c r="EW23" s="86">
        <f t="shared" si="60"/>
        <v>0.61</v>
      </c>
      <c r="EX23" s="30" t="e">
        <f t="shared" ca="1" si="96"/>
        <v>#DIV/0!</v>
      </c>
      <c r="EY23" s="85" t="e">
        <f ca="1">IF(EE23&lt;=Hypothèses!$V$7,Hypothèses!$W$7,IF(EE23&lt;=Hypothèses!$V$8,Hypothèses!$W$8,IF(EE23&lt;=Hypothèses!$V$9,Hypothèses!$W$9,IF(EE23&lt;=Hypothèses!$V$10,Hypothèses!$W$10,IF(EE23&lt;=Hypothèses!$V$11,Hypothèses!$W$11,IF(EE23&lt;=Hypothèses!$V$12,Hypothèses!$W$12,IF(EE23&lt;=Hypothèses!$V$13,Hypothèses!$W$13,IF(EE23&lt;=Hypothèses!$V$14,Hypothèses!$W$14,IF(EE23&lt;=Hypothèses!$V$15,Hypothèses!$W$15,IF(EE23&lt;=Hypothèses!$V$16,Hypothèses!$W$16,IF(EE23&lt;=Hypothèses!$V$17,Hypothèses!$W$17,IF(EE23&lt;=Hypothèses!$V$18,Hypothèses!$W$18,""))))))))))))</f>
        <v>#DIV/0!</v>
      </c>
      <c r="EZ23" s="87" t="e">
        <f t="shared" ca="1" si="123"/>
        <v>#DIV/0!</v>
      </c>
      <c r="FA23" s="88" t="e">
        <f ca="1">IF(EE23&lt;=Hypothèses!$V$7,Hypothèses!$X$7,IF(EE23&lt;=Hypothèses!$V$8,Hypothèses!$X$8,IF(EE23&lt;=Hypothèses!$V$9,Hypothèses!$X$9,IF(EE23&lt;=Hypothèses!$V$10,Hypothèses!$X$10,IF(EE23&lt;=Hypothèses!$V$11,Hypothèses!$X$11,IF(EE23&lt;=Hypothèses!$V$12,Hypothèses!$X$12,IF(EE23&lt;=Hypothèses!$V$13,Hypothèses!$X$13,IF(EE23&lt;=Hypothèses!$V$14,Hypothèses!$X$14,IF(EE23&lt;=Hypothèses!$V$15,Hypothèses!$X$15,IF(EE23&lt;=Hypothèses!$V$16,Hypothèses!$X$16,IF(EE23&lt;=Hypothèses!$U$17,Hypothèses!$W$17,IF(EE23&lt;=Hypothèses!$U$18,Hypothèses!$W$18,""))))))))))))</f>
        <v>#DIV/0!</v>
      </c>
      <c r="FB23" s="95" t="e">
        <f t="shared" ca="1" si="97"/>
        <v>#DIV/0!</v>
      </c>
      <c r="FC23" s="101">
        <f t="shared" si="130"/>
        <v>0</v>
      </c>
      <c r="FD23" s="91">
        <f t="shared" si="62"/>
        <v>0</v>
      </c>
      <c r="FE23" s="30" t="e">
        <f t="shared" si="114"/>
        <v>#N/A</v>
      </c>
      <c r="FF23" s="30" t="e">
        <f t="shared" si="115"/>
        <v>#N/A</v>
      </c>
      <c r="FG23" s="31" t="e">
        <f>IF(OR(Hypothèses!$B$4=17,Hypothèses!$B$4=18,Hypothèses!$B$4=19,Hypothèses!$B$4=20),
IF($D23="Pressio.",
IF(OR($E23=3,$E23=1,$E23=4),FF23,FE23),
IF($D23="Pénétro.",
IF(OR($E23=3,$E23=1,$E23=4),FF23,FE23))),IF($D23="Pressio.",
IF($E23=3,FF23,FE23),
IF($D23="Pénétro.",
IF($E23=4,FF23,FE23))))</f>
        <v>#N/A</v>
      </c>
      <c r="FH23" s="31">
        <v>0</v>
      </c>
      <c r="FI23" s="102" t="e">
        <f>IF(NDC!$H$10="Oui",(VLOOKUP($B$3,'Coeff EC7'!$T$39:$X$59,2,0)*FG23+VLOOKUP($B$3,'Coeff EC7'!$T$65:$X$85,2,0)*Model0.1T!FH23)/1.5,PI()*FE$12*$Q23*($B23-$B22)*0.15/10+FI22)</f>
        <v>#N/A</v>
      </c>
      <c r="FJ23" s="102" t="e">
        <f>(VLOOKUP($B$3,'Coeff EC7'!$T$39:$X$59,3,0)*FG23+VLOOKUP($B$3,'Coeff EC7'!$T$65:$X$85,3,0)*Model0.1T!FH23)/1.1</f>
        <v>#N/A</v>
      </c>
      <c r="FK23" s="102" t="e">
        <f t="shared" si="98"/>
        <v>#N/A</v>
      </c>
      <c r="FL23" s="102" t="e">
        <f t="shared" si="99"/>
        <v>#N/A</v>
      </c>
      <c r="FM23" s="414" t="e">
        <f>IF(AND(FI23&gt;NDC!$C$63,FJ23&gt;NDC!$C$65,FK23&gt;NDC!$D$73,FL23&gt;NDC!$D$74,$B23&gt;NDC!$H$22-0.1+MIN(3*FM$12,1.5)),0,1)</f>
        <v>#N/A</v>
      </c>
    </row>
    <row r="24" spans="1:169">
      <c r="A24" s="96">
        <f t="shared" si="65"/>
        <v>98.900000000000063</v>
      </c>
      <c r="B24" s="97">
        <v>1.1000000000000001</v>
      </c>
      <c r="C24" s="81">
        <f>IF(B24&lt;=Hypothèses!$C$7,Hypothèses!$A$7,IF(B24&lt;=Hypothèses!$C$8,Hypothèses!$A$8,IF(B24&lt;=Hypothèses!$C$9,Hypothèses!$A$9,IF(B24&lt;=Hypothèses!$C$10,Hypothèses!$A$10,IF(B24&lt;=Hypothèses!$C$11,Hypothèses!$A$11,IF(B24&lt;=Hypothèses!$C$12,Hypothèses!$A$12,IF(B24&lt;=Hypothèses!$C$13,Hypothèses!$A$13,IF(B24&lt;=Hypothèses!$C$14,Hypothèses!$A$14,IF(B24&lt;=Hypothèses!$C$15,Hypothèses!$A$15,IF(B24&lt;=Hypothèses!$C$16,Hypothèses!$A$16,IF(B24&lt;=Hypothèses!$C$17,Hypothèses!$A$17,IF(B24&lt;=Hypothèses!$C$18,Hypothèses!$A$18,C23))))))))))))</f>
        <v>11</v>
      </c>
      <c r="D24" s="82" t="str">
        <f>IF(B24&lt;=Hypothèses!$C$7,Hypothèses!$R$7,IF(B24&lt;=Hypothèses!$C$8,Hypothèses!$R$8,IF(B24&lt;=Hypothèses!$C$9,Hypothèses!$R$9,IF(B24&lt;=Hypothèses!$C$10,Hypothèses!$R$10,IF(B24&lt;=Hypothèses!$C$11,Hypothèses!$R$11,IF(B24&lt;=Hypothèses!$C$12,Hypothèses!$R$12,IF(B24&lt;=Hypothèses!$C$13,Hypothèses!$R$13,IF(B24&lt;=Hypothèses!$C$14,Hypothèses!$R$14,IF(B24&lt;=Hypothèses!$C$15,Hypothèses!$R$15,IF(B24&lt;=Hypothèses!$C$16,Hypothèses!$R$16,IF(B24&lt;=Hypothèses!$C$17,Hypothèses!$R$17,IF(B24&lt;=Hypothèses!$C$18,Hypothèses!$R$18,D23))))))))))))</f>
        <v>Pressio.</v>
      </c>
      <c r="E24" s="82" t="e">
        <f>IF(B24&lt;=Hypothèses!$C$7,Hypothèses!$G$7,IF(B24&lt;=Hypothèses!$C$8,Hypothèses!$G$8,IF(B24&lt;=Hypothèses!$C$9,Hypothèses!$G$9,IF(B24&lt;=Hypothèses!$C$10,Hypothèses!$G$10,IF(B24&lt;=Hypothèses!$C$11,Hypothèses!$G$11,IF(B24&lt;=Hypothèses!$C$12,Hypothèses!$G$12,IF(B24&lt;=Hypothèses!$C$13,Hypothèses!$G$13,IF(B24&lt;=Hypothèses!$C$14,Hypothèses!$G$14,IF(B24&lt;=Hypothèses!$C$15,Hypothèses!$G$15,IF(B24&lt;=Hypothèses!$C$16,Hypothèses!$G$16,IF(B24&lt;=Hypothèses!$C$17,Hypothèses!$G$17,IF(B24&lt;=Hypothèses!$C$18,Hypothèses!$G$18,E23))))))))))))</f>
        <v>#N/A</v>
      </c>
      <c r="F24" s="82" t="str">
        <f>IF(B24&lt;=Hypothèses!$C$7,Hypothèses!$F$7,IF(B24&lt;=Hypothèses!$C$8,Hypothèses!$F$8,IF(B24&lt;=Hypothèses!$C$9,Hypothèses!$F$9,IF(B24&lt;=Hypothèses!$C$10,Hypothèses!$F$10,IF(B24&lt;=Hypothèses!$C$11,Hypothèses!$F$11,IF(B24&lt;=Hypothèses!$C$12,Hypothèses!$F$12,IF(B24&lt;=Hypothèses!$C$13,Hypothèses!$F$13,IF(B24&lt;=Hypothèses!$C$14,Hypothèses!$F$14,IF(B24&lt;=Hypothèses!$C$15,Hypothèses!$F$15,IF(B24&lt;=Hypothèses!$C$16,Hypothèses!$F$16,IF(B24&lt;=Hypothèses!$C$17,Hypothèses!$F$17,IF(B24&lt;=Hypothèses!$C$18,Hypothèses!$F$18,F23))))))))))))</f>
        <v/>
      </c>
      <c r="G24" s="91">
        <f t="array" ref="G24">INDEX('Coeff EC7'!$U$7:$X$27,
MATCH(Model0.1T!$B$3,'Coeff EC7'!$T$7:$T$27,0),
MATCH(Model0.1T!$D24&amp;Model0.1T!$B$4,
'Coeff EC7'!$U$6:$X$6&amp;
'Coeff EC7'!$U$5:$X$5,0))</f>
        <v>1.4</v>
      </c>
      <c r="H24" s="91">
        <f t="array" ref="H24">INDEX('Coeff EC7'!$Y$7:$AB$27,
MATCH(Model0.1T!$B$3,'Coeff EC7'!$T$7:$T$27,0),
MATCH(Model0.1T!$D24&amp;Model0.1T!$B$4,
'Coeff EC7'!$Y$6:$AB$6&amp;
'Coeff EC7'!$Y$5:$AB$5,0))</f>
        <v>1.7</v>
      </c>
      <c r="I24" s="83">
        <v>0</v>
      </c>
      <c r="J24" s="91" t="e">
        <f t="array" ref="J24">INDEX('Coeff EC7'!$D$33:$Q$33,1,MATCH(D24&amp;E24,'Coeff EC7'!$D$31:$Q$31&amp;'Coeff EC7'!$D$32:$Q$32,0))</f>
        <v>#N/A</v>
      </c>
      <c r="K24" s="91" t="e">
        <f t="array" ref="K24">INDEX('Coeff EC7'!$D$34:$Q$34,1,MATCH(D24&amp;E24,'Coeff EC7'!$D$31:$Q$31&amp;'Coeff EC7'!$D$32:$Q$32,0))</f>
        <v>#N/A</v>
      </c>
      <c r="L24" s="91" t="e">
        <f t="array" ref="L24">INDEX('Coeff EC7'!$D$35:$Q$35,1,MATCH(D24&amp;E24,'Coeff EC7'!$D$31:$Q$31&amp;'Coeff EC7'!$D$32:$Q$32,0))</f>
        <v>#N/A</v>
      </c>
      <c r="M24" s="98" t="e">
        <f t="shared" si="8"/>
        <v>#N/A</v>
      </c>
      <c r="N24" s="99" t="e">
        <f t="array" ref="N24">INDEX('Coeff EC7'!$D$7:$Q$27,MATCH($B$3,'Coeff EC7'!$C$7:$C$27,0),MATCH(D24&amp;E24,'Coeff EC7'!$D$5:$Q$5&amp;'Coeff EC7'!$D$6:$Q$6,0))</f>
        <v>#N/A</v>
      </c>
      <c r="O24" s="99" t="e">
        <f t="array" ref="O24">INDEX('Coeff EC7'!$D$41:$Q$61,MATCH($B$3,'Coeff EC7'!$C$41:$C$61,0),MATCH(D24&amp;E24,'Coeff EC7'!$D$39:$Q$39&amp;'Coeff EC7'!$D$40:$Q$40,0))</f>
        <v>#N/A</v>
      </c>
      <c r="P24" s="30" t="e">
        <f t="shared" si="66"/>
        <v>#N/A</v>
      </c>
      <c r="Q24" s="100" t="e">
        <f t="shared" si="10"/>
        <v>#N/A</v>
      </c>
      <c r="R24" s="86" t="b">
        <f t="shared" si="11"/>
        <v>0</v>
      </c>
      <c r="S24" s="86">
        <f t="shared" si="9"/>
        <v>0.5</v>
      </c>
      <c r="T24" s="86">
        <f t="shared" si="12"/>
        <v>0.5</v>
      </c>
      <c r="U24" s="30" t="e">
        <f t="shared" ca="1" si="67"/>
        <v>#DIV/0!</v>
      </c>
      <c r="V24" s="85" t="str">
        <f>IF(B24&lt;=Hypothèses!$V$7,Hypothèses!$W$7,IF(B24&lt;=Hypothèses!$V$8,Hypothèses!$W$8,IF(B24&lt;=Hypothèses!$V$9,Hypothèses!$W$9,IF(B24&lt;=Hypothèses!$V$10,Hypothèses!$W$10,IF(B24&lt;=Hypothèses!$V$11,Hypothèses!$W$11,IF(B24&lt;=Hypothèses!$V$12,Hypothèses!$W$12,IF(B24&lt;=Hypothèses!$V$13,Hypothèses!$W$13,IF(B24&lt;=Hypothèses!$V$14,Hypothèses!$W$14,IF(B24&lt;=Hypothèses!$V$15,Hypothèses!$W$15,IF(B24&lt;=Hypothèses!$V$16,Hypothèses!$W$16,IF(B24&lt;=Hypothèses!$V$17,Hypothèses!$W$17,IF(B24&lt;=Hypothèses!$V$18,Hypothèses!$W$18,""))))))))))))</f>
        <v/>
      </c>
      <c r="W24" s="87" t="e">
        <f t="shared" ca="1" si="116"/>
        <v>#DIV/0!</v>
      </c>
      <c r="X24" s="88" t="str">
        <f>IF(B24&lt;=Hypothèses!$V$7,Hypothèses!$X$7,IF(B24&lt;=Hypothèses!$V$8,Hypothèses!$X$8,IF(B24&lt;=Hypothèses!$V$9,Hypothèses!$X$9,IF(B24&lt;=Hypothèses!$V$10,Hypothèses!$X$10,IF(B24&lt;=Hypothèses!$V$11,Hypothèses!$X$11,IF(B24&lt;=Hypothèses!$V$12,Hypothèses!$X$12,IF(B24&lt;=Hypothèses!$V$13,Hypothèses!$X$13,IF(B24&lt;=Hypothèses!$V$14,Hypothèses!$X$14,IF(B24&lt;=Hypothèses!$V$15,Hypothèses!$X$15,IF(B24&lt;=Hypothèses!$V$16,Hypothèses!$X$16,IF(B24&lt;=Hypothèses!$U$17,Hypothèses!$W$17,IF(B24&lt;=Hypothèses!$U$18,Hypothèses!$W$18,""))))))))))))</f>
        <v/>
      </c>
      <c r="Y24" s="95" t="e">
        <f t="shared" ca="1" si="13"/>
        <v>#DIV/0!</v>
      </c>
      <c r="Z24" s="101">
        <f t="shared" si="14"/>
        <v>0</v>
      </c>
      <c r="AA24" s="91">
        <f t="shared" si="15"/>
        <v>0</v>
      </c>
      <c r="AB24" s="30" t="e">
        <f t="shared" si="100"/>
        <v>#N/A</v>
      </c>
      <c r="AC24" s="30" t="e">
        <f t="shared" si="101"/>
        <v>#N/A</v>
      </c>
      <c r="AD24" s="31" t="e">
        <f>IF(OR(Hypothèses!$B$4=17,Hypothèses!$B$4=18,Hypothèses!$B$4=19,Hypothèses!$B$4=20),
IF($D24="Pressio.",
IF(OR($E24=3,$E24=1,$E24=4),AC24,AB24),
IF($D24="Pénétro.",
IF(OR($E24=3,$E24=1,$E24=4),AC24,AB24))),IF($D24="Pressio.",
IF($E24=3,AC24,AB24),
IF($D24="Pénétro.",
IF($E24=4,AC24,AB24))))</f>
        <v>#N/A</v>
      </c>
      <c r="AE24" s="31">
        <v>0</v>
      </c>
      <c r="AF24" s="102" t="e">
        <f>IF(NDC!$H$10="Oui",(VLOOKUP($B$3,'Coeff EC7'!$T$39:$X$59,2,0)*AD24+VLOOKUP($B$3,'Coeff EC7'!$T$65:$X$85,2,0)*Model0.1T!AE24)/1.5,PI()*AB$12*$Q24*($B24-$B23)*0.15/10+AF23)</f>
        <v>#N/A</v>
      </c>
      <c r="AG24" s="102" t="e">
        <f>(VLOOKUP($B$3,'Coeff EC7'!$T$39:$X$59,3,0)*AD24+VLOOKUP($B$3,'Coeff EC7'!$T$65:$X$85,3,0)*Model0.1T!AE24)/1.1</f>
        <v>#N/A</v>
      </c>
      <c r="AH24" s="102" t="e">
        <f t="shared" si="68"/>
        <v>#N/A</v>
      </c>
      <c r="AI24" s="102" t="e">
        <f t="shared" si="69"/>
        <v>#N/A</v>
      </c>
      <c r="AJ24" s="414" t="e">
        <f>IF(AND(AF24&gt;NDC!$C$63,AG24&gt;NDC!$C$65,AH24&gt;NDC!$D$73,AI24&gt;NDC!$D$74,$B24&gt;NDC!$H$22-0.1+MIN(3*$AJ$12,1.5)),0,1)</f>
        <v>#N/A</v>
      </c>
      <c r="AK24" s="86" t="b">
        <f t="shared" si="18"/>
        <v>0</v>
      </c>
      <c r="AL24" s="86">
        <f t="shared" si="70"/>
        <v>0.5</v>
      </c>
      <c r="AM24" s="86">
        <f t="shared" si="19"/>
        <v>0.5</v>
      </c>
      <c r="AN24" s="30" t="e">
        <f t="shared" ca="1" si="71"/>
        <v>#DIV/0!</v>
      </c>
      <c r="AO24" s="85" t="e">
        <f ca="1">IF(U24&lt;=Hypothèses!$V$7,Hypothèses!$W$7,IF(U24&lt;=Hypothèses!$V$8,Hypothèses!$W$8,IF(U24&lt;=Hypothèses!$V$9,Hypothèses!$W$9,IF(U24&lt;=Hypothèses!$V$10,Hypothèses!$W$10,IF(U24&lt;=Hypothèses!$V$11,Hypothèses!$W$11,IF(U24&lt;=Hypothèses!$V$12,Hypothèses!$W$12,IF(U24&lt;=Hypothèses!$V$13,Hypothèses!$W$13,IF(U24&lt;=Hypothèses!$V$14,Hypothèses!$W$14,IF(U24&lt;=Hypothèses!$V$15,Hypothèses!$W$15,IF(U24&lt;=Hypothèses!$V$16,Hypothèses!$W$16,IF(U24&lt;=Hypothèses!$V$17,Hypothèses!$W$17,IF(U24&lt;=Hypothèses!$V$18,Hypothèses!$W$18,""))))))))))))</f>
        <v>#DIV/0!</v>
      </c>
      <c r="AP24" s="87" t="e">
        <f t="shared" ca="1" si="117"/>
        <v>#DIV/0!</v>
      </c>
      <c r="AQ24" s="88" t="e">
        <f ca="1">IF(U24&lt;=Hypothèses!$V$7,Hypothèses!$X$7,IF(U24&lt;=Hypothèses!$V$8,Hypothèses!$X$8,IF(U24&lt;=Hypothèses!$V$9,Hypothèses!$X$9,IF(U24&lt;=Hypothèses!$V$10,Hypothèses!$X$10,IF(U24&lt;=Hypothèses!$V$11,Hypothèses!$X$11,IF(U24&lt;=Hypothèses!$V$12,Hypothèses!$X$12,IF(U24&lt;=Hypothèses!$V$13,Hypothèses!$X$13,IF(U24&lt;=Hypothèses!$V$14,Hypothèses!$X$14,IF(U24&lt;=Hypothèses!$V$15,Hypothèses!$X$15,IF(U24&lt;=Hypothèses!$V$16,Hypothèses!$X$16,IF(U24&lt;=Hypothèses!$U$17,Hypothèses!$W$17,IF(U24&lt;=Hypothèses!$U$18,Hypothèses!$W$18,""))))))))))))</f>
        <v>#DIV/0!</v>
      </c>
      <c r="AR24" s="95" t="e">
        <f t="shared" ca="1" si="72"/>
        <v>#DIV/0!</v>
      </c>
      <c r="AS24" s="101">
        <f t="shared" si="124"/>
        <v>0</v>
      </c>
      <c r="AT24" s="91">
        <f t="shared" si="21"/>
        <v>0</v>
      </c>
      <c r="AU24" s="30" t="e">
        <f t="shared" si="102"/>
        <v>#N/A</v>
      </c>
      <c r="AV24" s="30" t="e">
        <f t="shared" si="103"/>
        <v>#N/A</v>
      </c>
      <c r="AW24" s="31" t="e">
        <f>IF(OR(Hypothèses!$B$4=17,Hypothèses!$B$4=18,Hypothèses!$B$4=19,Hypothèses!$B$4=20),
IF($D24="Pressio.",
IF(OR($E24=3,$E24=1,$E24=4),AV24,AU24),
IF($D24="Pénétro.",
IF(OR($E24=3,$E24=1,$E24=4),AV24,AU24))),IF($D24="Pressio.",
IF($E24=3,AV24,AU24),
IF($D24="Pénétro.",
IF($E24=4,AV24,AU24))))</f>
        <v>#N/A</v>
      </c>
      <c r="AX24" s="31">
        <v>0</v>
      </c>
      <c r="AY24" s="102" t="e">
        <f>IF(NDC!$H$10="Oui",(VLOOKUP($B$3,'Coeff EC7'!$T$39:$X$59,2,0)*AW24+VLOOKUP($B$3,'Coeff EC7'!$T$65:$X$85,2,0)*Model0.1T!AX24)/1.5,PI()*AU$12*$Q24*($B24-$B23)*0.15/10+AY23)</f>
        <v>#N/A</v>
      </c>
      <c r="AZ24" s="102" t="e">
        <f>(VLOOKUP($B$3,'Coeff EC7'!$T$39:$X$59,3,0)*AW24+VLOOKUP($B$3,'Coeff EC7'!$T$65:$X$85,3,0)*Model0.1T!AX24)/1.1</f>
        <v>#N/A</v>
      </c>
      <c r="BA24" s="102" t="e">
        <f t="shared" si="73"/>
        <v>#N/A</v>
      </c>
      <c r="BB24" s="102" t="e">
        <f t="shared" si="74"/>
        <v>#N/A</v>
      </c>
      <c r="BC24" s="414" t="e">
        <f>IF(AND(AY24&gt;NDC!$C$63,AZ24&gt;NDC!$C$65,BA24&gt;NDC!$D$73,BB24&gt;NDC!$D$74,$B24&gt;NDC!$H$22-0.1+MIN(3*BC$12,1.5)),0,1)</f>
        <v>#N/A</v>
      </c>
      <c r="BD24" s="86" t="b">
        <f t="shared" si="24"/>
        <v>0</v>
      </c>
      <c r="BE24" s="86">
        <f t="shared" si="75"/>
        <v>0.5</v>
      </c>
      <c r="BF24" s="86">
        <f t="shared" si="25"/>
        <v>0.5</v>
      </c>
      <c r="BG24" s="30" t="e">
        <f t="shared" ca="1" si="76"/>
        <v>#DIV/0!</v>
      </c>
      <c r="BH24" s="85" t="e">
        <f ca="1">IF(AN24&lt;=Hypothèses!$V$7,Hypothèses!$W$7,IF(AN24&lt;=Hypothèses!$V$8,Hypothèses!$W$8,IF(AN24&lt;=Hypothèses!$V$9,Hypothèses!$W$9,IF(AN24&lt;=Hypothèses!$V$10,Hypothèses!$W$10,IF(AN24&lt;=Hypothèses!$V$11,Hypothèses!$W$11,IF(AN24&lt;=Hypothèses!$V$12,Hypothèses!$W$12,IF(AN24&lt;=Hypothèses!$V$13,Hypothèses!$W$13,IF(AN24&lt;=Hypothèses!$V$14,Hypothèses!$W$14,IF(AN24&lt;=Hypothèses!$V$15,Hypothèses!$W$15,IF(AN24&lt;=Hypothèses!$V$16,Hypothèses!$W$16,IF(AN24&lt;=Hypothèses!$V$17,Hypothèses!$W$17,IF(AN24&lt;=Hypothèses!$V$18,Hypothèses!$W$18,""))))))))))))</f>
        <v>#DIV/0!</v>
      </c>
      <c r="BI24" s="87" t="e">
        <f t="shared" ca="1" si="118"/>
        <v>#DIV/0!</v>
      </c>
      <c r="BJ24" s="88" t="e">
        <f ca="1">IF(AN24&lt;=Hypothèses!$V$7,Hypothèses!$X$7,IF(AN24&lt;=Hypothèses!$V$8,Hypothèses!$X$8,IF(AN24&lt;=Hypothèses!$V$9,Hypothèses!$X$9,IF(AN24&lt;=Hypothèses!$V$10,Hypothèses!$X$10,IF(AN24&lt;=Hypothèses!$V$11,Hypothèses!$X$11,IF(AN24&lt;=Hypothèses!$V$12,Hypothèses!$X$12,IF(AN24&lt;=Hypothèses!$V$13,Hypothèses!$X$13,IF(AN24&lt;=Hypothèses!$V$14,Hypothèses!$X$14,IF(AN24&lt;=Hypothèses!$V$15,Hypothèses!$X$15,IF(AN24&lt;=Hypothèses!$V$16,Hypothèses!$X$16,IF(AN24&lt;=Hypothèses!$U$17,Hypothèses!$W$17,IF(AN24&lt;=Hypothèses!$U$18,Hypothèses!$W$18,""))))))))))))</f>
        <v>#DIV/0!</v>
      </c>
      <c r="BK24" s="95" t="e">
        <f t="shared" ca="1" si="77"/>
        <v>#DIV/0!</v>
      </c>
      <c r="BL24" s="101">
        <f t="shared" si="125"/>
        <v>0</v>
      </c>
      <c r="BM24" s="91">
        <f t="shared" si="27"/>
        <v>0</v>
      </c>
      <c r="BN24" s="30" t="e">
        <f t="shared" si="104"/>
        <v>#N/A</v>
      </c>
      <c r="BO24" s="30" t="e">
        <f t="shared" si="105"/>
        <v>#N/A</v>
      </c>
      <c r="BP24" s="31" t="e">
        <f>IF(OR(Hypothèses!$B$4=17,Hypothèses!$B$4=18,Hypothèses!$B$4=19,Hypothèses!$B$4=20),
IF($D24="Pressio.",
IF(OR($E24=3,$E24=1,$E24=4),BO24,BN24),
IF($D24="Pénétro.",
IF(OR($E24=3,$E24=1,$E24=4),BO24,BN24))),IF($D24="Pressio.",
IF($E24=3,BO24,BN24),
IF($D24="Pénétro.",
IF($E24=4,BO24,BN24))))</f>
        <v>#N/A</v>
      </c>
      <c r="BQ24" s="31">
        <v>0</v>
      </c>
      <c r="BR24" s="102" t="e">
        <f>IF(NDC!$H$10="Oui",(VLOOKUP($B$3,'Coeff EC7'!$T$39:$X$59,2,0)*BP24+VLOOKUP($B$3,'Coeff EC7'!$T$65:$X$85,2,0)*Model0.1T!BQ24)/1.5,PI()*BN$12*$Q24*($B24-$B23)*0.15/10+BR23)</f>
        <v>#N/A</v>
      </c>
      <c r="BS24" s="102" t="e">
        <f>(VLOOKUP($B$3,'Coeff EC7'!$T$39:$X$59,3,0)*BP24+VLOOKUP($B$3,'Coeff EC7'!$T$65:$X$85,3,0)*Model0.1T!BQ24)/1.1</f>
        <v>#N/A</v>
      </c>
      <c r="BT24" s="102" t="e">
        <f t="shared" si="78"/>
        <v>#N/A</v>
      </c>
      <c r="BU24" s="102" t="e">
        <f t="shared" si="79"/>
        <v>#N/A</v>
      </c>
      <c r="BV24" s="414" t="e">
        <f>IF(AND(BR24&gt;NDC!$C$63,BS24&gt;NDC!$C$65,BT24&gt;NDC!$D$73,BU24&gt;NDC!$D$74,$B24&gt;NDC!$H$22-0.1+MIN(3*BV$12,1.5)),0,1)</f>
        <v>#N/A</v>
      </c>
      <c r="BW24" s="86" t="b">
        <f t="shared" si="30"/>
        <v>0</v>
      </c>
      <c r="BX24" s="86">
        <f t="shared" si="31"/>
        <v>0.5</v>
      </c>
      <c r="BY24" s="86">
        <f t="shared" si="32"/>
        <v>0.5</v>
      </c>
      <c r="BZ24" s="30" t="e">
        <f t="shared" ca="1" si="80"/>
        <v>#DIV/0!</v>
      </c>
      <c r="CA24" s="85" t="e">
        <f ca="1">IF(BG24&lt;=Hypothèses!$V$7,Hypothèses!$W$7,IF(BG24&lt;=Hypothèses!$V$8,Hypothèses!$W$8,IF(BG24&lt;=Hypothèses!$V$9,Hypothèses!$W$9,IF(BG24&lt;=Hypothèses!$V$10,Hypothèses!$W$10,IF(BG24&lt;=Hypothèses!$V$11,Hypothèses!$W$11,IF(BG24&lt;=Hypothèses!$V$12,Hypothèses!$W$12,IF(BG24&lt;=Hypothèses!$V$13,Hypothèses!$W$13,IF(BG24&lt;=Hypothèses!$V$14,Hypothèses!$W$14,IF(BG24&lt;=Hypothèses!$V$15,Hypothèses!$W$15,IF(BG24&lt;=Hypothèses!$V$16,Hypothèses!$W$16,IF(BG24&lt;=Hypothèses!$V$17,Hypothèses!$W$17,IF(BG24&lt;=Hypothèses!$V$18,Hypothèses!$W$18,""))))))))))))</f>
        <v>#DIV/0!</v>
      </c>
      <c r="CB24" s="87" t="e">
        <f t="shared" ca="1" si="119"/>
        <v>#DIV/0!</v>
      </c>
      <c r="CC24" s="88" t="e">
        <f ca="1">IF(BG24&lt;=Hypothèses!$V$7,Hypothèses!$X$7,IF(BG24&lt;=Hypothèses!$V$8,Hypothèses!$X$8,IF(BG24&lt;=Hypothèses!$V$9,Hypothèses!$X$9,IF(BG24&lt;=Hypothèses!$V$10,Hypothèses!$X$10,IF(BG24&lt;=Hypothèses!$V$11,Hypothèses!$X$11,IF(BG24&lt;=Hypothèses!$V$12,Hypothèses!$X$12,IF(BG24&lt;=Hypothèses!$V$13,Hypothèses!$X$13,IF(BG24&lt;=Hypothèses!$V$14,Hypothèses!$X$14,IF(BG24&lt;=Hypothèses!$V$15,Hypothèses!$X$15,IF(BG24&lt;=Hypothèses!$V$16,Hypothèses!$X$16,IF(BG24&lt;=Hypothèses!$U$17,Hypothèses!$W$17,IF(BG24&lt;=Hypothèses!$U$18,Hypothèses!$W$18,""))))))))))))</f>
        <v>#DIV/0!</v>
      </c>
      <c r="CD24" s="95" t="e">
        <f t="shared" ca="1" si="81"/>
        <v>#DIV/0!</v>
      </c>
      <c r="CE24" s="101">
        <f t="shared" si="126"/>
        <v>0</v>
      </c>
      <c r="CF24" s="91">
        <f t="shared" si="34"/>
        <v>0</v>
      </c>
      <c r="CG24" s="30" t="e">
        <f t="shared" si="106"/>
        <v>#N/A</v>
      </c>
      <c r="CH24" s="30" t="e">
        <f t="shared" si="107"/>
        <v>#N/A</v>
      </c>
      <c r="CI24" s="31" t="e">
        <f>IF(OR(Hypothèses!$B$4=17,Hypothèses!$B$4=18,Hypothèses!$B$4=19,Hypothèses!$B$4=20),
IF($D24="Pressio.",
IF(OR($E24=3,$E24=1,$E24=4),CH24,CG24),
IF($D24="Pénétro.",
IF(OR($E24=3,$E24=1,$E24=4),CH24,CG24))),IF($D24="Pressio.",
IF($E24=3,CH24,CG24),
IF($D24="Pénétro.",
IF($E24=4,CH24,CG24))))</f>
        <v>#N/A</v>
      </c>
      <c r="CJ24" s="31">
        <v>0</v>
      </c>
      <c r="CK24" s="102" t="e">
        <f>IF(NDC!$H$10="Oui",(VLOOKUP($B$3,'Coeff EC7'!$T$39:$X$59,2,0)*CI24+VLOOKUP($B$3,'Coeff EC7'!$T$65:$X$85,2,0)*Model0.1T!CJ24)/1.5,PI()*CG$12*$Q24*($B24-$B23)*0.15/10+CK23)</f>
        <v>#N/A</v>
      </c>
      <c r="CL24" s="102" t="e">
        <f>(VLOOKUP($B$3,'Coeff EC7'!$T$39:$X$59,3,0)*CI24+VLOOKUP($B$3,'Coeff EC7'!$T$65:$X$85,3,0)*Model0.1T!CJ24)/1.1</f>
        <v>#N/A</v>
      </c>
      <c r="CM24" s="102" t="e">
        <f t="shared" si="82"/>
        <v>#N/A</v>
      </c>
      <c r="CN24" s="102" t="e">
        <f t="shared" si="83"/>
        <v>#N/A</v>
      </c>
      <c r="CO24" s="414" t="e">
        <f>IF(AND(CK24&gt;NDC!$C$63,CL24&gt;NDC!$C$65,CM24&gt;NDC!$D$73,CN24&gt;NDC!$D$74,$B24&gt;NDC!$H$22-0.1+MIN(3*CO$12,1.5)),0,1)</f>
        <v>#N/A</v>
      </c>
      <c r="CP24" s="86" t="b">
        <f t="shared" si="37"/>
        <v>0</v>
      </c>
      <c r="CQ24" s="86">
        <f t="shared" si="38"/>
        <v>0.5</v>
      </c>
      <c r="CR24" s="86">
        <f t="shared" si="39"/>
        <v>0.5</v>
      </c>
      <c r="CS24" s="30" t="e">
        <f t="shared" ca="1" si="84"/>
        <v>#DIV/0!</v>
      </c>
      <c r="CT24" s="85" t="e">
        <f ca="1">IF(BZ24&lt;=Hypothèses!$V$7,Hypothèses!$W$7,IF(BZ24&lt;=Hypothèses!$V$8,Hypothèses!$W$8,IF(BZ24&lt;=Hypothèses!$V$9,Hypothèses!$W$9,IF(BZ24&lt;=Hypothèses!$V$10,Hypothèses!$W$10,IF(BZ24&lt;=Hypothèses!$V$11,Hypothèses!$W$11,IF(BZ24&lt;=Hypothèses!$V$12,Hypothèses!$W$12,IF(BZ24&lt;=Hypothèses!$V$13,Hypothèses!$W$13,IF(BZ24&lt;=Hypothèses!$V$14,Hypothèses!$W$14,IF(BZ24&lt;=Hypothèses!$V$15,Hypothèses!$W$15,IF(BZ24&lt;=Hypothèses!$V$16,Hypothèses!$W$16,IF(BZ24&lt;=Hypothèses!$V$17,Hypothèses!$W$17,IF(BZ24&lt;=Hypothèses!$V$18,Hypothèses!$W$18,""))))))))))))</f>
        <v>#DIV/0!</v>
      </c>
      <c r="CU24" s="87" t="e">
        <f t="shared" ca="1" si="120"/>
        <v>#DIV/0!</v>
      </c>
      <c r="CV24" s="88" t="e">
        <f ca="1">IF(BZ24&lt;=Hypothèses!$V$7,Hypothèses!$X$7,IF(BZ24&lt;=Hypothèses!$V$8,Hypothèses!$X$8,IF(BZ24&lt;=Hypothèses!$V$9,Hypothèses!$X$9,IF(BZ24&lt;=Hypothèses!$V$10,Hypothèses!$X$10,IF(BZ24&lt;=Hypothèses!$V$11,Hypothèses!$X$11,IF(BZ24&lt;=Hypothèses!$V$12,Hypothèses!$X$12,IF(BZ24&lt;=Hypothèses!$V$13,Hypothèses!$X$13,IF(BZ24&lt;=Hypothèses!$V$14,Hypothèses!$X$14,IF(BZ24&lt;=Hypothèses!$V$15,Hypothèses!$X$15,IF(BZ24&lt;=Hypothèses!$V$16,Hypothèses!$X$16,IF(BZ24&lt;=Hypothèses!$U$17,Hypothèses!$W$17,IF(BZ24&lt;=Hypothèses!$U$18,Hypothèses!$W$18,""))))))))))))</f>
        <v>#DIV/0!</v>
      </c>
      <c r="CW24" s="95" t="e">
        <f t="shared" ca="1" si="85"/>
        <v>#DIV/0!</v>
      </c>
      <c r="CX24" s="101">
        <f t="shared" si="127"/>
        <v>0</v>
      </c>
      <c r="CY24" s="91">
        <f t="shared" si="41"/>
        <v>0</v>
      </c>
      <c r="CZ24" s="30" t="e">
        <f t="shared" si="108"/>
        <v>#N/A</v>
      </c>
      <c r="DA24" s="30" t="e">
        <f t="shared" si="109"/>
        <v>#N/A</v>
      </c>
      <c r="DB24" s="31" t="e">
        <f>IF(OR(Hypothèses!$B$4=17,Hypothèses!$B$4=18,Hypothèses!$B$4=19,Hypothèses!$B$4=20),
IF($D24="Pressio.",
IF(OR($E24=3,$E24=1,$E24=4),DA24,CZ24),
IF($D24="Pénétro.",
IF(OR($E24=3,$E24=1,$E24=4),DA24,CZ24))),IF($D24="Pressio.",
IF($E24=3,DA24,CZ24),
IF($D24="Pénétro.",
IF($E24=4,DA24,CZ24))))</f>
        <v>#N/A</v>
      </c>
      <c r="DC24" s="31">
        <v>0</v>
      </c>
      <c r="DD24" s="102" t="e">
        <f>IF(NDC!$H$10="Oui",(VLOOKUP($B$3,'Coeff EC7'!$T$39:$X$59,2,0)*DB24+VLOOKUP($B$3,'Coeff EC7'!$T$65:$X$85,2,0)*Model0.1T!DC24)/1.5,PI()*CZ$12*$Q24*($B24-$B23)*0.15/10+DD23)</f>
        <v>#N/A</v>
      </c>
      <c r="DE24" s="102" t="e">
        <f>(VLOOKUP($B$3,'Coeff EC7'!$T$39:$X$59,3,0)*DB24+VLOOKUP($B$3,'Coeff EC7'!$T$65:$X$85,3,0)*Model0.1T!DC24)/1.1</f>
        <v>#N/A</v>
      </c>
      <c r="DF24" s="102" t="e">
        <f t="shared" si="86"/>
        <v>#N/A</v>
      </c>
      <c r="DG24" s="102" t="e">
        <f t="shared" si="87"/>
        <v>#N/A</v>
      </c>
      <c r="DH24" s="414" t="e">
        <f>IF(AND(DD24&gt;NDC!$C$63,DE24&gt;NDC!$C$65,DF24&gt;NDC!$D$73,DG24&gt;NDC!$D$74,$B24&gt;NDC!$H$22-0.1+MIN(3*DH$12,1.5)),0,1)</f>
        <v>#N/A</v>
      </c>
      <c r="DI24" s="86" t="b">
        <f t="shared" si="44"/>
        <v>0</v>
      </c>
      <c r="DJ24" s="86">
        <f t="shared" si="45"/>
        <v>0.5</v>
      </c>
      <c r="DK24" s="86">
        <f t="shared" si="46"/>
        <v>0.5</v>
      </c>
      <c r="DL24" s="30" t="e">
        <f t="shared" ca="1" si="88"/>
        <v>#DIV/0!</v>
      </c>
      <c r="DM24" s="85" t="e">
        <f ca="1">IF(CS24&lt;=Hypothèses!$V$7,Hypothèses!$W$7,IF(CS24&lt;=Hypothèses!$V$8,Hypothèses!$W$8,IF(CS24&lt;=Hypothèses!$V$9,Hypothèses!$W$9,IF(CS24&lt;=Hypothèses!$V$10,Hypothèses!$W$10,IF(CS24&lt;=Hypothèses!$V$11,Hypothèses!$W$11,IF(CS24&lt;=Hypothèses!$V$12,Hypothèses!$W$12,IF(CS24&lt;=Hypothèses!$V$13,Hypothèses!$W$13,IF(CS24&lt;=Hypothèses!$V$14,Hypothèses!$W$14,IF(CS24&lt;=Hypothèses!$V$15,Hypothèses!$W$15,IF(CS24&lt;=Hypothèses!$V$16,Hypothèses!$W$16,IF(CS24&lt;=Hypothèses!$V$17,Hypothèses!$W$17,IF(CS24&lt;=Hypothèses!$V$18,Hypothèses!$W$18,""))))))))))))</f>
        <v>#DIV/0!</v>
      </c>
      <c r="DN24" s="87" t="e">
        <f t="shared" ca="1" si="121"/>
        <v>#DIV/0!</v>
      </c>
      <c r="DO24" s="88" t="e">
        <f ca="1">IF(CS24&lt;=Hypothèses!$V$7,Hypothèses!$X$7,IF(CS24&lt;=Hypothèses!$V$8,Hypothèses!$X$8,IF(CS24&lt;=Hypothèses!$V$9,Hypothèses!$X$9,IF(CS24&lt;=Hypothèses!$V$10,Hypothèses!$X$10,IF(CS24&lt;=Hypothèses!$V$11,Hypothèses!$X$11,IF(CS24&lt;=Hypothèses!$V$12,Hypothèses!$X$12,IF(CS24&lt;=Hypothèses!$V$13,Hypothèses!$X$13,IF(CS24&lt;=Hypothèses!$V$14,Hypothèses!$X$14,IF(CS24&lt;=Hypothèses!$V$15,Hypothèses!$X$15,IF(CS24&lt;=Hypothèses!$V$16,Hypothèses!$X$16,IF(CS24&lt;=Hypothèses!$U$17,Hypothèses!$W$17,IF(CS24&lt;=Hypothèses!$U$18,Hypothèses!$W$18,""))))))))))))</f>
        <v>#DIV/0!</v>
      </c>
      <c r="DP24" s="95" t="e">
        <f t="shared" ca="1" si="89"/>
        <v>#DIV/0!</v>
      </c>
      <c r="DQ24" s="101">
        <f t="shared" si="128"/>
        <v>0</v>
      </c>
      <c r="DR24" s="91">
        <f t="shared" si="48"/>
        <v>0</v>
      </c>
      <c r="DS24" s="30" t="e">
        <f t="shared" si="110"/>
        <v>#N/A</v>
      </c>
      <c r="DT24" s="30" t="e">
        <f t="shared" si="111"/>
        <v>#N/A</v>
      </c>
      <c r="DU24" s="31" t="e">
        <f>IF(OR(Hypothèses!$B$4=17,Hypothèses!$B$4=18,Hypothèses!$B$4=19,Hypothèses!$B$4=20),
IF($D24="Pressio.",
IF(OR($E24=3,$E24=1,$E24=4),DT24,DS24),
IF($D24="Pénétro.",
IF(OR($E24=3,$E24=1,$E24=4),DT24,DS24))),IF($D24="Pressio.",
IF($E24=3,DT24,DS24),
IF($D24="Pénétro.",
IF($E24=4,DT24,DS24))))</f>
        <v>#N/A</v>
      </c>
      <c r="DV24" s="31">
        <v>0</v>
      </c>
      <c r="DW24" s="102" t="e">
        <f>IF(NDC!$H$10="Oui",(VLOOKUP($B$3,'Coeff EC7'!$T$39:$X$59,2,0)*DU24+VLOOKUP($B$3,'Coeff EC7'!$T$65:$X$85,2,0)*Model0.1T!DV24)/1.5,PI()*DS$12*$Q24*($B24-$B23)*0.15/10+DW23)</f>
        <v>#N/A</v>
      </c>
      <c r="DX24" s="102" t="e">
        <f>(VLOOKUP($B$3,'Coeff EC7'!$T$39:$X$59,3,0)*DU24+VLOOKUP($B$3,'Coeff EC7'!$T$65:$X$85,3,0)*Model0.1T!DV24)/1.1</f>
        <v>#N/A</v>
      </c>
      <c r="DY24" s="102" t="e">
        <f t="shared" si="90"/>
        <v>#N/A</v>
      </c>
      <c r="DZ24" s="102" t="e">
        <f t="shared" si="91"/>
        <v>#N/A</v>
      </c>
      <c r="EA24" s="414" t="e">
        <f>IF(AND(DW24&gt;NDC!$C$63,DX24&gt;NDC!$C$65,DY24&gt;NDC!$D$73,DZ24&gt;NDC!$D$74,$B24&gt;NDC!$H$22-0.1+MIN(3*EA$12,1.5)),0,1)</f>
        <v>#N/A</v>
      </c>
      <c r="EB24" s="86" t="b">
        <f t="shared" si="51"/>
        <v>0</v>
      </c>
      <c r="EC24" s="418">
        <f t="shared" si="52"/>
        <v>0.51</v>
      </c>
      <c r="ED24" s="86">
        <f t="shared" si="53"/>
        <v>0.51</v>
      </c>
      <c r="EE24" s="30" t="e">
        <f t="shared" ca="1" si="92"/>
        <v>#DIV/0!</v>
      </c>
      <c r="EF24" s="85" t="e">
        <f ca="1">IF(DL24&lt;=Hypothèses!$V$7,Hypothèses!$W$7,IF(DL24&lt;=Hypothèses!$V$8,Hypothèses!$W$8,IF(DL24&lt;=Hypothèses!$V$9,Hypothèses!$W$9,IF(DL24&lt;=Hypothèses!$V$10,Hypothèses!$W$10,IF(DL24&lt;=Hypothèses!$V$11,Hypothèses!$W$11,IF(DL24&lt;=Hypothèses!$V$12,Hypothèses!$W$12,IF(DL24&lt;=Hypothèses!$V$13,Hypothèses!$W$13,IF(DL24&lt;=Hypothèses!$V$14,Hypothèses!$W$14,IF(DL24&lt;=Hypothèses!$V$15,Hypothèses!$W$15,IF(DL24&lt;=Hypothèses!$V$16,Hypothèses!$W$16,IF(DL24&lt;=Hypothèses!$V$17,Hypothèses!$W$17,IF(DL24&lt;=Hypothèses!$V$18,Hypothèses!$W$18,""))))))))))))</f>
        <v>#DIV/0!</v>
      </c>
      <c r="EG24" s="87" t="e">
        <f t="shared" ca="1" si="122"/>
        <v>#DIV/0!</v>
      </c>
      <c r="EH24" s="88" t="e">
        <f ca="1">IF(DL24&lt;=Hypothèses!$V$7,Hypothèses!$X$7,IF(DL24&lt;=Hypothèses!$V$8,Hypothèses!$X$8,IF(DL24&lt;=Hypothèses!$V$9,Hypothèses!$X$9,IF(DL24&lt;=Hypothèses!$V$10,Hypothèses!$X$10,IF(DL24&lt;=Hypothèses!$V$11,Hypothèses!$X$11,IF(DL24&lt;=Hypothèses!$V$12,Hypothèses!$X$12,IF(DL24&lt;=Hypothèses!$V$13,Hypothèses!$X$13,IF(DL24&lt;=Hypothèses!$V$14,Hypothèses!$X$14,IF(DL24&lt;=Hypothèses!$V$15,Hypothèses!$X$15,IF(DL24&lt;=Hypothèses!$V$16,Hypothèses!$X$16,IF(DL24&lt;=Hypothèses!$U$17,Hypothèses!$W$17,IF(DL24&lt;=Hypothèses!$U$18,Hypothèses!$W$18,""))))))))))))</f>
        <v>#DIV/0!</v>
      </c>
      <c r="EI24" s="95" t="e">
        <f t="shared" ca="1" si="93"/>
        <v>#DIV/0!</v>
      </c>
      <c r="EJ24" s="101">
        <f t="shared" si="129"/>
        <v>0</v>
      </c>
      <c r="EK24" s="91">
        <f t="shared" si="55"/>
        <v>0</v>
      </c>
      <c r="EL24" s="30" t="e">
        <f t="shared" si="112"/>
        <v>#N/A</v>
      </c>
      <c r="EM24" s="30" t="e">
        <f t="shared" si="113"/>
        <v>#N/A</v>
      </c>
      <c r="EN24" s="31" t="e">
        <f>IF(OR(Hypothèses!$B$4=17,Hypothèses!$B$4=18,Hypothèses!$B$4=19,Hypothèses!$B$4=20),
IF($D24="Pressio.",
IF(OR($E24=3,$E24=1,$E24=4),EM24,EL24),
IF($D24="Pénétro.",
IF(OR($E24=3,$E24=1,$E24=4),EM24,EL24))),IF($D24="Pressio.",
IF($E24=3,EM24,EL24),
IF($D24="Pénétro.",
IF($E24=4,EM24,EL24))))</f>
        <v>#N/A</v>
      </c>
      <c r="EO24" s="31">
        <v>0</v>
      </c>
      <c r="EP24" s="102" t="e">
        <f>IF(NDC!$H$10="Oui",(VLOOKUP($B$3,'Coeff EC7'!$T$39:$X$59,2,0)*EN24+VLOOKUP($B$3,'Coeff EC7'!$T$65:$X$85,2,0)*Model0.1T!EO24)/1.5,PI()*EL$12*$Q24*($B24-$B23)*0.15/10+EP23)</f>
        <v>#N/A</v>
      </c>
      <c r="EQ24" s="102" t="e">
        <f>(VLOOKUP($B$3,'Coeff EC7'!$T$39:$X$59,3,0)*EN24+VLOOKUP($B$3,'Coeff EC7'!$T$65:$X$85,3,0)*Model0.1T!EO24)/1.1</f>
        <v>#N/A</v>
      </c>
      <c r="ER24" s="102" t="e">
        <f t="shared" si="94"/>
        <v>#N/A</v>
      </c>
      <c r="ES24" s="102" t="e">
        <f t="shared" si="95"/>
        <v>#N/A</v>
      </c>
      <c r="ET24" s="414" t="e">
        <f>IF(AND(EP24&gt;NDC!$C$63,EQ24&gt;NDC!$C$65,ER24&gt;NDC!$D$73,ES24&gt;NDC!$D$74,$B24&gt;NDC!$H$22-0.1+MIN(3*ET$12,1.5)),0,1)</f>
        <v>#N/A</v>
      </c>
      <c r="EU24" s="86" t="b">
        <f t="shared" si="58"/>
        <v>0</v>
      </c>
      <c r="EV24" s="86">
        <f t="shared" si="59"/>
        <v>0.61</v>
      </c>
      <c r="EW24" s="86">
        <f t="shared" si="60"/>
        <v>0.61</v>
      </c>
      <c r="EX24" s="30" t="e">
        <f t="shared" ca="1" si="96"/>
        <v>#DIV/0!</v>
      </c>
      <c r="EY24" s="85" t="e">
        <f ca="1">IF(EE24&lt;=Hypothèses!$V$7,Hypothèses!$W$7,IF(EE24&lt;=Hypothèses!$V$8,Hypothèses!$W$8,IF(EE24&lt;=Hypothèses!$V$9,Hypothèses!$W$9,IF(EE24&lt;=Hypothèses!$V$10,Hypothèses!$W$10,IF(EE24&lt;=Hypothèses!$V$11,Hypothèses!$W$11,IF(EE24&lt;=Hypothèses!$V$12,Hypothèses!$W$12,IF(EE24&lt;=Hypothèses!$V$13,Hypothèses!$W$13,IF(EE24&lt;=Hypothèses!$V$14,Hypothèses!$W$14,IF(EE24&lt;=Hypothèses!$V$15,Hypothèses!$W$15,IF(EE24&lt;=Hypothèses!$V$16,Hypothèses!$W$16,IF(EE24&lt;=Hypothèses!$V$17,Hypothèses!$W$17,IF(EE24&lt;=Hypothèses!$V$18,Hypothèses!$W$18,""))))))))))))</f>
        <v>#DIV/0!</v>
      </c>
      <c r="EZ24" s="87" t="e">
        <f t="shared" ca="1" si="123"/>
        <v>#DIV/0!</v>
      </c>
      <c r="FA24" s="88" t="e">
        <f ca="1">IF(EE24&lt;=Hypothèses!$V$7,Hypothèses!$X$7,IF(EE24&lt;=Hypothèses!$V$8,Hypothèses!$X$8,IF(EE24&lt;=Hypothèses!$V$9,Hypothèses!$X$9,IF(EE24&lt;=Hypothèses!$V$10,Hypothèses!$X$10,IF(EE24&lt;=Hypothèses!$V$11,Hypothèses!$X$11,IF(EE24&lt;=Hypothèses!$V$12,Hypothèses!$X$12,IF(EE24&lt;=Hypothèses!$V$13,Hypothèses!$X$13,IF(EE24&lt;=Hypothèses!$V$14,Hypothèses!$X$14,IF(EE24&lt;=Hypothèses!$V$15,Hypothèses!$X$15,IF(EE24&lt;=Hypothèses!$V$16,Hypothèses!$X$16,IF(EE24&lt;=Hypothèses!$U$17,Hypothèses!$W$17,IF(EE24&lt;=Hypothèses!$U$18,Hypothèses!$W$18,""))))))))))))</f>
        <v>#DIV/0!</v>
      </c>
      <c r="FB24" s="95" t="e">
        <f t="shared" ca="1" si="97"/>
        <v>#DIV/0!</v>
      </c>
      <c r="FC24" s="101">
        <f t="shared" si="130"/>
        <v>0</v>
      </c>
      <c r="FD24" s="91">
        <f t="shared" si="62"/>
        <v>0</v>
      </c>
      <c r="FE24" s="30" t="e">
        <f t="shared" si="114"/>
        <v>#N/A</v>
      </c>
      <c r="FF24" s="30" t="e">
        <f t="shared" si="115"/>
        <v>#N/A</v>
      </c>
      <c r="FG24" s="31" t="e">
        <f>IF(OR(Hypothèses!$B$4=17,Hypothèses!$B$4=18,Hypothèses!$B$4=19,Hypothèses!$B$4=20),
IF($D24="Pressio.",
IF(OR($E24=3,$E24=1,$E24=4),FF24,FE24),
IF($D24="Pénétro.",
IF(OR($E24=3,$E24=1,$E24=4),FF24,FE24))),IF($D24="Pressio.",
IF($E24=3,FF24,FE24),
IF($D24="Pénétro.",
IF($E24=4,FF24,FE24))))</f>
        <v>#N/A</v>
      </c>
      <c r="FH24" s="31">
        <v>0</v>
      </c>
      <c r="FI24" s="102" t="e">
        <f>IF(NDC!$H$10="Oui",(VLOOKUP($B$3,'Coeff EC7'!$T$39:$X$59,2,0)*FG24+VLOOKUP($B$3,'Coeff EC7'!$T$65:$X$85,2,0)*Model0.1T!FH24)/1.5,PI()*FE$12*$Q24*($B24-$B23)*0.15/10+FI23)</f>
        <v>#N/A</v>
      </c>
      <c r="FJ24" s="102" t="e">
        <f>(VLOOKUP($B$3,'Coeff EC7'!$T$39:$X$59,3,0)*FG24+VLOOKUP($B$3,'Coeff EC7'!$T$65:$X$85,3,0)*Model0.1T!FH24)/1.1</f>
        <v>#N/A</v>
      </c>
      <c r="FK24" s="102" t="e">
        <f t="shared" si="98"/>
        <v>#N/A</v>
      </c>
      <c r="FL24" s="102" t="e">
        <f t="shared" si="99"/>
        <v>#N/A</v>
      </c>
      <c r="FM24" s="414" t="e">
        <f>IF(AND(FI24&gt;NDC!$C$63,FJ24&gt;NDC!$C$65,FK24&gt;NDC!$D$73,FL24&gt;NDC!$D$74,$B24&gt;NDC!$H$22-0.1+MIN(3*FM$12,1.5)),0,1)</f>
        <v>#N/A</v>
      </c>
    </row>
    <row r="25" spans="1:169">
      <c r="A25" s="96">
        <f t="shared" si="65"/>
        <v>98.800000000000068</v>
      </c>
      <c r="B25" s="97">
        <v>1.2</v>
      </c>
      <c r="C25" s="81">
        <f>IF(B25&lt;=Hypothèses!$C$7,Hypothèses!$A$7,IF(B25&lt;=Hypothèses!$C$8,Hypothèses!$A$8,IF(B25&lt;=Hypothèses!$C$9,Hypothèses!$A$9,IF(B25&lt;=Hypothèses!$C$10,Hypothèses!$A$10,IF(B25&lt;=Hypothèses!$C$11,Hypothèses!$A$11,IF(B25&lt;=Hypothèses!$C$12,Hypothèses!$A$12,IF(B25&lt;=Hypothèses!$C$13,Hypothèses!$A$13,IF(B25&lt;=Hypothèses!$C$14,Hypothèses!$A$14,IF(B25&lt;=Hypothèses!$C$15,Hypothèses!$A$15,IF(B25&lt;=Hypothèses!$C$16,Hypothèses!$A$16,IF(B25&lt;=Hypothèses!$C$17,Hypothèses!$A$17,IF(B25&lt;=Hypothèses!$C$18,Hypothèses!$A$18,C24))))))))))))</f>
        <v>11</v>
      </c>
      <c r="D25" s="82" t="str">
        <f>IF(B25&lt;=Hypothèses!$C$7,Hypothèses!$R$7,IF(B25&lt;=Hypothèses!$C$8,Hypothèses!$R$8,IF(B25&lt;=Hypothèses!$C$9,Hypothèses!$R$9,IF(B25&lt;=Hypothèses!$C$10,Hypothèses!$R$10,IF(B25&lt;=Hypothèses!$C$11,Hypothèses!$R$11,IF(B25&lt;=Hypothèses!$C$12,Hypothèses!$R$12,IF(B25&lt;=Hypothèses!$C$13,Hypothèses!$R$13,IF(B25&lt;=Hypothèses!$C$14,Hypothèses!$R$14,IF(B25&lt;=Hypothèses!$C$15,Hypothèses!$R$15,IF(B25&lt;=Hypothèses!$C$16,Hypothèses!$R$16,IF(B25&lt;=Hypothèses!$C$17,Hypothèses!$R$17,IF(B25&lt;=Hypothèses!$C$18,Hypothèses!$R$18,D24))))))))))))</f>
        <v>Pressio.</v>
      </c>
      <c r="E25" s="82" t="e">
        <f>IF(B25&lt;=Hypothèses!$C$7,Hypothèses!$G$7,IF(B25&lt;=Hypothèses!$C$8,Hypothèses!$G$8,IF(B25&lt;=Hypothèses!$C$9,Hypothèses!$G$9,IF(B25&lt;=Hypothèses!$C$10,Hypothèses!$G$10,IF(B25&lt;=Hypothèses!$C$11,Hypothèses!$G$11,IF(B25&lt;=Hypothèses!$C$12,Hypothèses!$G$12,IF(B25&lt;=Hypothèses!$C$13,Hypothèses!$G$13,IF(B25&lt;=Hypothèses!$C$14,Hypothèses!$G$14,IF(B25&lt;=Hypothèses!$C$15,Hypothèses!$G$15,IF(B25&lt;=Hypothèses!$C$16,Hypothèses!$G$16,IF(B25&lt;=Hypothèses!$C$17,Hypothèses!$G$17,IF(B25&lt;=Hypothèses!$C$18,Hypothèses!$G$18,E24))))))))))))</f>
        <v>#N/A</v>
      </c>
      <c r="F25" s="82" t="str">
        <f>IF(B25&lt;=Hypothèses!$C$7,Hypothèses!$F$7,IF(B25&lt;=Hypothèses!$C$8,Hypothèses!$F$8,IF(B25&lt;=Hypothèses!$C$9,Hypothèses!$F$9,IF(B25&lt;=Hypothèses!$C$10,Hypothèses!$F$10,IF(B25&lt;=Hypothèses!$C$11,Hypothèses!$F$11,IF(B25&lt;=Hypothèses!$C$12,Hypothèses!$F$12,IF(B25&lt;=Hypothèses!$C$13,Hypothèses!$F$13,IF(B25&lt;=Hypothèses!$C$14,Hypothèses!$F$14,IF(B25&lt;=Hypothèses!$C$15,Hypothèses!$F$15,IF(B25&lt;=Hypothèses!$C$16,Hypothèses!$F$16,IF(B25&lt;=Hypothèses!$C$17,Hypothèses!$F$17,IF(B25&lt;=Hypothèses!$C$18,Hypothèses!$F$18,F24))))))))))))</f>
        <v/>
      </c>
      <c r="G25" s="91">
        <f t="array" ref="G25">INDEX('Coeff EC7'!$U$7:$X$27,
MATCH(Model0.1T!$B$3,'Coeff EC7'!$T$7:$T$27,0),
MATCH(Model0.1T!$D25&amp;Model0.1T!$B$4,
'Coeff EC7'!$U$6:$X$6&amp;
'Coeff EC7'!$U$5:$X$5,0))</f>
        <v>1.4</v>
      </c>
      <c r="H25" s="91">
        <f t="array" ref="H25">INDEX('Coeff EC7'!$Y$7:$AB$27,
MATCH(Model0.1T!$B$3,'Coeff EC7'!$T$7:$T$27,0),
MATCH(Model0.1T!$D25&amp;Model0.1T!$B$4,
'Coeff EC7'!$Y$6:$AB$6&amp;
'Coeff EC7'!$Y$5:$AB$5,0))</f>
        <v>1.7</v>
      </c>
      <c r="I25" s="83">
        <v>0</v>
      </c>
      <c r="J25" s="91" t="e">
        <f t="array" ref="J25">INDEX('Coeff EC7'!$D$33:$Q$33,1,MATCH(D25&amp;E25,'Coeff EC7'!$D$31:$Q$31&amp;'Coeff EC7'!$D$32:$Q$32,0))</f>
        <v>#N/A</v>
      </c>
      <c r="K25" s="91" t="e">
        <f t="array" ref="K25">INDEX('Coeff EC7'!$D$34:$Q$34,1,MATCH(D25&amp;E25,'Coeff EC7'!$D$31:$Q$31&amp;'Coeff EC7'!$D$32:$Q$32,0))</f>
        <v>#N/A</v>
      </c>
      <c r="L25" s="91" t="e">
        <f t="array" ref="L25">INDEX('Coeff EC7'!$D$35:$Q$35,1,MATCH(D25&amp;E25,'Coeff EC7'!$D$31:$Q$31&amp;'Coeff EC7'!$D$32:$Q$32,0))</f>
        <v>#N/A</v>
      </c>
      <c r="M25" s="98" t="e">
        <f t="shared" si="8"/>
        <v>#N/A</v>
      </c>
      <c r="N25" s="99" t="e">
        <f t="array" ref="N25">INDEX('Coeff EC7'!$D$7:$Q$27,MATCH($B$3,'Coeff EC7'!$C$7:$C$27,0),MATCH(D25&amp;E25,'Coeff EC7'!$D$5:$Q$5&amp;'Coeff EC7'!$D$6:$Q$6,0))</f>
        <v>#N/A</v>
      </c>
      <c r="O25" s="99" t="e">
        <f t="array" ref="O25">INDEX('Coeff EC7'!$D$41:$Q$61,MATCH($B$3,'Coeff EC7'!$C$41:$C$61,0),MATCH(D25&amp;E25,'Coeff EC7'!$D$39:$Q$39&amp;'Coeff EC7'!$D$40:$Q$40,0))</f>
        <v>#N/A</v>
      </c>
      <c r="P25" s="30" t="e">
        <f t="shared" si="66"/>
        <v>#N/A</v>
      </c>
      <c r="Q25" s="100" t="e">
        <f t="shared" si="10"/>
        <v>#N/A</v>
      </c>
      <c r="R25" s="86" t="b">
        <f t="shared" si="11"/>
        <v>0</v>
      </c>
      <c r="S25" s="86">
        <f t="shared" si="9"/>
        <v>0.5</v>
      </c>
      <c r="T25" s="86">
        <f t="shared" si="12"/>
        <v>0.5</v>
      </c>
      <c r="U25" s="30" t="e">
        <f t="shared" ca="1" si="67"/>
        <v>#DIV/0!</v>
      </c>
      <c r="V25" s="85" t="str">
        <f>IF(B25&lt;=Hypothèses!$V$7,Hypothèses!$W$7,IF(B25&lt;=Hypothèses!$V$8,Hypothèses!$W$8,IF(B25&lt;=Hypothèses!$V$9,Hypothèses!$W$9,IF(B25&lt;=Hypothèses!$V$10,Hypothèses!$W$10,IF(B25&lt;=Hypothèses!$V$11,Hypothèses!$W$11,IF(B25&lt;=Hypothèses!$V$12,Hypothèses!$W$12,IF(B25&lt;=Hypothèses!$V$13,Hypothèses!$W$13,IF(B25&lt;=Hypothèses!$V$14,Hypothèses!$W$14,IF(B25&lt;=Hypothèses!$V$15,Hypothèses!$W$15,IF(B25&lt;=Hypothèses!$V$16,Hypothèses!$W$16,IF(B25&lt;=Hypothèses!$V$17,Hypothèses!$W$17,IF(B25&lt;=Hypothèses!$V$18,Hypothèses!$W$18,""))))))))))))</f>
        <v/>
      </c>
      <c r="W25" s="87" t="e">
        <f t="shared" ca="1" si="116"/>
        <v>#DIV/0!</v>
      </c>
      <c r="X25" s="88" t="str">
        <f>IF(B25&lt;=Hypothèses!$V$7,Hypothèses!$X$7,IF(B25&lt;=Hypothèses!$V$8,Hypothèses!$X$8,IF(B25&lt;=Hypothèses!$V$9,Hypothèses!$X$9,IF(B25&lt;=Hypothèses!$V$10,Hypothèses!$X$10,IF(B25&lt;=Hypothèses!$V$11,Hypothèses!$X$11,IF(B25&lt;=Hypothèses!$V$12,Hypothèses!$X$12,IF(B25&lt;=Hypothèses!$V$13,Hypothèses!$X$13,IF(B25&lt;=Hypothèses!$V$14,Hypothèses!$X$14,IF(B25&lt;=Hypothèses!$V$15,Hypothèses!$X$15,IF(B25&lt;=Hypothèses!$V$16,Hypothèses!$X$16,IF(B25&lt;=Hypothèses!$U$17,Hypothèses!$W$17,IF(B25&lt;=Hypothèses!$U$18,Hypothèses!$W$18,""))))))))))))</f>
        <v/>
      </c>
      <c r="Y25" s="95" t="e">
        <f t="shared" ca="1" si="13"/>
        <v>#DIV/0!</v>
      </c>
      <c r="Z25" s="101">
        <f t="shared" si="14"/>
        <v>0</v>
      </c>
      <c r="AA25" s="91">
        <f t="shared" si="15"/>
        <v>0</v>
      </c>
      <c r="AB25" s="30" t="e">
        <f t="shared" si="100"/>
        <v>#N/A</v>
      </c>
      <c r="AC25" s="30" t="e">
        <f t="shared" si="101"/>
        <v>#N/A</v>
      </c>
      <c r="AD25" s="31" t="e">
        <f>IF(OR(Hypothèses!$B$4=17,Hypothèses!$B$4=18,Hypothèses!$B$4=19,Hypothèses!$B$4=20),
IF($D25="Pressio.",
IF(OR($E25=3,$E25=1,$E25=4),AC25,AB25),
IF($D25="Pénétro.",
IF(OR($E25=3,$E25=1,$E25=4),AC25,AB25))),IF($D25="Pressio.",
IF($E25=3,AC25,AB25),
IF($D25="Pénétro.",
IF($E25=4,AC25,AB25))))</f>
        <v>#N/A</v>
      </c>
      <c r="AE25" s="31">
        <v>0</v>
      </c>
      <c r="AF25" s="102" t="e">
        <f>IF(NDC!$H$10="Oui",(VLOOKUP($B$3,'Coeff EC7'!$T$39:$X$59,2,0)*AD25+VLOOKUP($B$3,'Coeff EC7'!$T$65:$X$85,2,0)*Model0.1T!AE25)/1.5,PI()*AB$12*$Q25*($B25-$B24)*0.15/10+AF24)</f>
        <v>#N/A</v>
      </c>
      <c r="AG25" s="102" t="e">
        <f>(VLOOKUP($B$3,'Coeff EC7'!$T$39:$X$59,3,0)*AD25+VLOOKUP($B$3,'Coeff EC7'!$T$65:$X$85,3,0)*Model0.1T!AE25)/1.1</f>
        <v>#N/A</v>
      </c>
      <c r="AH25" s="102" t="e">
        <f t="shared" si="68"/>
        <v>#N/A</v>
      </c>
      <c r="AI25" s="102" t="e">
        <f t="shared" si="69"/>
        <v>#N/A</v>
      </c>
      <c r="AJ25" s="414" t="e">
        <f>IF(AND(AF25&gt;NDC!$C$63,AG25&gt;NDC!$C$65,AH25&gt;NDC!$D$73,AI25&gt;NDC!$D$74,$B25&gt;NDC!$H$22-0.1+MIN(3*$AJ$12,1.5)),0,1)</f>
        <v>#N/A</v>
      </c>
      <c r="AK25" s="86" t="b">
        <f t="shared" si="18"/>
        <v>0</v>
      </c>
      <c r="AL25" s="86">
        <f t="shared" si="70"/>
        <v>0.5</v>
      </c>
      <c r="AM25" s="86">
        <f t="shared" si="19"/>
        <v>0.5</v>
      </c>
      <c r="AN25" s="30" t="e">
        <f t="shared" ca="1" si="71"/>
        <v>#DIV/0!</v>
      </c>
      <c r="AO25" s="85" t="e">
        <f ca="1">IF(U25&lt;=Hypothèses!$V$7,Hypothèses!$W$7,IF(U25&lt;=Hypothèses!$V$8,Hypothèses!$W$8,IF(U25&lt;=Hypothèses!$V$9,Hypothèses!$W$9,IF(U25&lt;=Hypothèses!$V$10,Hypothèses!$W$10,IF(U25&lt;=Hypothèses!$V$11,Hypothèses!$W$11,IF(U25&lt;=Hypothèses!$V$12,Hypothèses!$W$12,IF(U25&lt;=Hypothèses!$V$13,Hypothèses!$W$13,IF(U25&lt;=Hypothèses!$V$14,Hypothèses!$W$14,IF(U25&lt;=Hypothèses!$V$15,Hypothèses!$W$15,IF(U25&lt;=Hypothèses!$V$16,Hypothèses!$W$16,IF(U25&lt;=Hypothèses!$V$17,Hypothèses!$W$17,IF(U25&lt;=Hypothèses!$V$18,Hypothèses!$W$18,""))))))))))))</f>
        <v>#DIV/0!</v>
      </c>
      <c r="AP25" s="87" t="e">
        <f t="shared" ca="1" si="117"/>
        <v>#DIV/0!</v>
      </c>
      <c r="AQ25" s="88" t="e">
        <f ca="1">IF(U25&lt;=Hypothèses!$V$7,Hypothèses!$X$7,IF(U25&lt;=Hypothèses!$V$8,Hypothèses!$X$8,IF(U25&lt;=Hypothèses!$V$9,Hypothèses!$X$9,IF(U25&lt;=Hypothèses!$V$10,Hypothèses!$X$10,IF(U25&lt;=Hypothèses!$V$11,Hypothèses!$X$11,IF(U25&lt;=Hypothèses!$V$12,Hypothèses!$X$12,IF(U25&lt;=Hypothèses!$V$13,Hypothèses!$X$13,IF(U25&lt;=Hypothèses!$V$14,Hypothèses!$X$14,IF(U25&lt;=Hypothèses!$V$15,Hypothèses!$X$15,IF(U25&lt;=Hypothèses!$V$16,Hypothèses!$X$16,IF(U25&lt;=Hypothèses!$U$17,Hypothèses!$W$17,IF(U25&lt;=Hypothèses!$U$18,Hypothèses!$W$18,""))))))))))))</f>
        <v>#DIV/0!</v>
      </c>
      <c r="AR25" s="95" t="e">
        <f t="shared" ca="1" si="72"/>
        <v>#DIV/0!</v>
      </c>
      <c r="AS25" s="101">
        <f t="shared" si="124"/>
        <v>0</v>
      </c>
      <c r="AT25" s="91">
        <f t="shared" si="21"/>
        <v>0</v>
      </c>
      <c r="AU25" s="30" t="e">
        <f t="shared" si="102"/>
        <v>#N/A</v>
      </c>
      <c r="AV25" s="30" t="e">
        <f t="shared" si="103"/>
        <v>#N/A</v>
      </c>
      <c r="AW25" s="31" t="e">
        <f>IF(OR(Hypothèses!$B$4=17,Hypothèses!$B$4=18,Hypothèses!$B$4=19,Hypothèses!$B$4=20),
IF($D25="Pressio.",
IF(OR($E25=3,$E25=1,$E25=4),AV25,AU25),
IF($D25="Pénétro.",
IF(OR($E25=3,$E25=1,$E25=4),AV25,AU25))),IF($D25="Pressio.",
IF($E25=3,AV25,AU25),
IF($D25="Pénétro.",
IF($E25=4,AV25,AU25))))</f>
        <v>#N/A</v>
      </c>
      <c r="AX25" s="31">
        <v>0</v>
      </c>
      <c r="AY25" s="102" t="e">
        <f>IF(NDC!$H$10="Oui",(VLOOKUP($B$3,'Coeff EC7'!$T$39:$X$59,2,0)*AW25+VLOOKUP($B$3,'Coeff EC7'!$T$65:$X$85,2,0)*Model0.1T!AX25)/1.5,PI()*AU$12*$Q25*($B25-$B24)*0.15/10+AY24)</f>
        <v>#N/A</v>
      </c>
      <c r="AZ25" s="102" t="e">
        <f>(VLOOKUP($B$3,'Coeff EC7'!$T$39:$X$59,3,0)*AW25+VLOOKUP($B$3,'Coeff EC7'!$T$65:$X$85,3,0)*Model0.1T!AX25)/1.1</f>
        <v>#N/A</v>
      </c>
      <c r="BA25" s="102" t="e">
        <f t="shared" si="73"/>
        <v>#N/A</v>
      </c>
      <c r="BB25" s="102" t="e">
        <f t="shared" si="74"/>
        <v>#N/A</v>
      </c>
      <c r="BC25" s="414" t="e">
        <f>IF(AND(AY25&gt;NDC!$C$63,AZ25&gt;NDC!$C$65,BA25&gt;NDC!$D$73,BB25&gt;NDC!$D$74,$B25&gt;NDC!$H$22-0.1+MIN(3*BC$12,1.5)),0,1)</f>
        <v>#N/A</v>
      </c>
      <c r="BD25" s="86" t="b">
        <f t="shared" si="24"/>
        <v>0</v>
      </c>
      <c r="BE25" s="86">
        <f t="shared" si="75"/>
        <v>0.5</v>
      </c>
      <c r="BF25" s="86">
        <f t="shared" si="25"/>
        <v>0.5</v>
      </c>
      <c r="BG25" s="30" t="e">
        <f t="shared" ca="1" si="76"/>
        <v>#DIV/0!</v>
      </c>
      <c r="BH25" s="85" t="e">
        <f ca="1">IF(AN25&lt;=Hypothèses!$V$7,Hypothèses!$W$7,IF(AN25&lt;=Hypothèses!$V$8,Hypothèses!$W$8,IF(AN25&lt;=Hypothèses!$V$9,Hypothèses!$W$9,IF(AN25&lt;=Hypothèses!$V$10,Hypothèses!$W$10,IF(AN25&lt;=Hypothèses!$V$11,Hypothèses!$W$11,IF(AN25&lt;=Hypothèses!$V$12,Hypothèses!$W$12,IF(AN25&lt;=Hypothèses!$V$13,Hypothèses!$W$13,IF(AN25&lt;=Hypothèses!$V$14,Hypothèses!$W$14,IF(AN25&lt;=Hypothèses!$V$15,Hypothèses!$W$15,IF(AN25&lt;=Hypothèses!$V$16,Hypothèses!$W$16,IF(AN25&lt;=Hypothèses!$V$17,Hypothèses!$W$17,IF(AN25&lt;=Hypothèses!$V$18,Hypothèses!$W$18,""))))))))))))</f>
        <v>#DIV/0!</v>
      </c>
      <c r="BI25" s="87" t="e">
        <f t="shared" ca="1" si="118"/>
        <v>#DIV/0!</v>
      </c>
      <c r="BJ25" s="88" t="e">
        <f ca="1">IF(AN25&lt;=Hypothèses!$V$7,Hypothèses!$X$7,IF(AN25&lt;=Hypothèses!$V$8,Hypothèses!$X$8,IF(AN25&lt;=Hypothèses!$V$9,Hypothèses!$X$9,IF(AN25&lt;=Hypothèses!$V$10,Hypothèses!$X$10,IF(AN25&lt;=Hypothèses!$V$11,Hypothèses!$X$11,IF(AN25&lt;=Hypothèses!$V$12,Hypothèses!$X$12,IF(AN25&lt;=Hypothèses!$V$13,Hypothèses!$X$13,IF(AN25&lt;=Hypothèses!$V$14,Hypothèses!$X$14,IF(AN25&lt;=Hypothèses!$V$15,Hypothèses!$X$15,IF(AN25&lt;=Hypothèses!$V$16,Hypothèses!$X$16,IF(AN25&lt;=Hypothèses!$U$17,Hypothèses!$W$17,IF(AN25&lt;=Hypothèses!$U$18,Hypothèses!$W$18,""))))))))))))</f>
        <v>#DIV/0!</v>
      </c>
      <c r="BK25" s="95" t="e">
        <f t="shared" ca="1" si="77"/>
        <v>#DIV/0!</v>
      </c>
      <c r="BL25" s="101">
        <f t="shared" si="125"/>
        <v>0</v>
      </c>
      <c r="BM25" s="91">
        <f t="shared" si="27"/>
        <v>0</v>
      </c>
      <c r="BN25" s="30" t="e">
        <f t="shared" si="104"/>
        <v>#N/A</v>
      </c>
      <c r="BO25" s="30" t="e">
        <f t="shared" si="105"/>
        <v>#N/A</v>
      </c>
      <c r="BP25" s="31" t="e">
        <f>IF(OR(Hypothèses!$B$4=17,Hypothèses!$B$4=18,Hypothèses!$B$4=19,Hypothèses!$B$4=20),
IF($D25="Pressio.",
IF(OR($E25=3,$E25=1,$E25=4),BO25,BN25),
IF($D25="Pénétro.",
IF(OR($E25=3,$E25=1,$E25=4),BO25,BN25))),IF($D25="Pressio.",
IF($E25=3,BO25,BN25),
IF($D25="Pénétro.",
IF($E25=4,BO25,BN25))))</f>
        <v>#N/A</v>
      </c>
      <c r="BQ25" s="31">
        <v>0</v>
      </c>
      <c r="BR25" s="102" t="e">
        <f>IF(NDC!$H$10="Oui",(VLOOKUP($B$3,'Coeff EC7'!$T$39:$X$59,2,0)*BP25+VLOOKUP($B$3,'Coeff EC7'!$T$65:$X$85,2,0)*Model0.1T!BQ25)/1.5,PI()*BN$12*$Q25*($B25-$B24)*0.15/10+BR24)</f>
        <v>#N/A</v>
      </c>
      <c r="BS25" s="102" t="e">
        <f>(VLOOKUP($B$3,'Coeff EC7'!$T$39:$X$59,3,0)*BP25+VLOOKUP($B$3,'Coeff EC7'!$T$65:$X$85,3,0)*Model0.1T!BQ25)/1.1</f>
        <v>#N/A</v>
      </c>
      <c r="BT25" s="102" t="e">
        <f t="shared" si="78"/>
        <v>#N/A</v>
      </c>
      <c r="BU25" s="102" t="e">
        <f t="shared" si="79"/>
        <v>#N/A</v>
      </c>
      <c r="BV25" s="414" t="e">
        <f>IF(AND(BR25&gt;NDC!$C$63,BS25&gt;NDC!$C$65,BT25&gt;NDC!$D$73,BU25&gt;NDC!$D$74,$B25&gt;NDC!$H$22-0.1+MIN(3*BV$12,1.5)),0,1)</f>
        <v>#N/A</v>
      </c>
      <c r="BW25" s="86" t="b">
        <f t="shared" si="30"/>
        <v>0</v>
      </c>
      <c r="BX25" s="86">
        <f t="shared" si="31"/>
        <v>0.5</v>
      </c>
      <c r="BY25" s="86">
        <f t="shared" si="32"/>
        <v>0.5</v>
      </c>
      <c r="BZ25" s="30" t="e">
        <f t="shared" ca="1" si="80"/>
        <v>#DIV/0!</v>
      </c>
      <c r="CA25" s="85" t="e">
        <f ca="1">IF(BG25&lt;=Hypothèses!$V$7,Hypothèses!$W$7,IF(BG25&lt;=Hypothèses!$V$8,Hypothèses!$W$8,IF(BG25&lt;=Hypothèses!$V$9,Hypothèses!$W$9,IF(BG25&lt;=Hypothèses!$V$10,Hypothèses!$W$10,IF(BG25&lt;=Hypothèses!$V$11,Hypothèses!$W$11,IF(BG25&lt;=Hypothèses!$V$12,Hypothèses!$W$12,IF(BG25&lt;=Hypothèses!$V$13,Hypothèses!$W$13,IF(BG25&lt;=Hypothèses!$V$14,Hypothèses!$W$14,IF(BG25&lt;=Hypothèses!$V$15,Hypothèses!$W$15,IF(BG25&lt;=Hypothèses!$V$16,Hypothèses!$W$16,IF(BG25&lt;=Hypothèses!$V$17,Hypothèses!$W$17,IF(BG25&lt;=Hypothèses!$V$18,Hypothèses!$W$18,""))))))))))))</f>
        <v>#DIV/0!</v>
      </c>
      <c r="CB25" s="87" t="e">
        <f t="shared" ca="1" si="119"/>
        <v>#DIV/0!</v>
      </c>
      <c r="CC25" s="88" t="e">
        <f ca="1">IF(BG25&lt;=Hypothèses!$V$7,Hypothèses!$X$7,IF(BG25&lt;=Hypothèses!$V$8,Hypothèses!$X$8,IF(BG25&lt;=Hypothèses!$V$9,Hypothèses!$X$9,IF(BG25&lt;=Hypothèses!$V$10,Hypothèses!$X$10,IF(BG25&lt;=Hypothèses!$V$11,Hypothèses!$X$11,IF(BG25&lt;=Hypothèses!$V$12,Hypothèses!$X$12,IF(BG25&lt;=Hypothèses!$V$13,Hypothèses!$X$13,IF(BG25&lt;=Hypothèses!$V$14,Hypothèses!$X$14,IF(BG25&lt;=Hypothèses!$V$15,Hypothèses!$X$15,IF(BG25&lt;=Hypothèses!$V$16,Hypothèses!$X$16,IF(BG25&lt;=Hypothèses!$U$17,Hypothèses!$W$17,IF(BG25&lt;=Hypothèses!$U$18,Hypothèses!$W$18,""))))))))))))</f>
        <v>#DIV/0!</v>
      </c>
      <c r="CD25" s="95" t="e">
        <f t="shared" ca="1" si="81"/>
        <v>#DIV/0!</v>
      </c>
      <c r="CE25" s="101">
        <f t="shared" si="126"/>
        <v>0</v>
      </c>
      <c r="CF25" s="91">
        <f t="shared" si="34"/>
        <v>0</v>
      </c>
      <c r="CG25" s="30" t="e">
        <f t="shared" si="106"/>
        <v>#N/A</v>
      </c>
      <c r="CH25" s="30" t="e">
        <f t="shared" si="107"/>
        <v>#N/A</v>
      </c>
      <c r="CI25" s="31" t="e">
        <f>IF(OR(Hypothèses!$B$4=17,Hypothèses!$B$4=18,Hypothèses!$B$4=19,Hypothèses!$B$4=20),
IF($D25="Pressio.",
IF(OR($E25=3,$E25=1,$E25=4),CH25,CG25),
IF($D25="Pénétro.",
IF(OR($E25=3,$E25=1,$E25=4),CH25,CG25))),IF($D25="Pressio.",
IF($E25=3,CH25,CG25),
IF($D25="Pénétro.",
IF($E25=4,CH25,CG25))))</f>
        <v>#N/A</v>
      </c>
      <c r="CJ25" s="31">
        <v>0</v>
      </c>
      <c r="CK25" s="102" t="e">
        <f>IF(NDC!$H$10="Oui",(VLOOKUP($B$3,'Coeff EC7'!$T$39:$X$59,2,0)*CI25+VLOOKUP($B$3,'Coeff EC7'!$T$65:$X$85,2,0)*Model0.1T!CJ25)/1.5,PI()*CG$12*$Q25*($B25-$B24)*0.15/10+CK24)</f>
        <v>#N/A</v>
      </c>
      <c r="CL25" s="102" t="e">
        <f>(VLOOKUP($B$3,'Coeff EC7'!$T$39:$X$59,3,0)*CI25+VLOOKUP($B$3,'Coeff EC7'!$T$65:$X$85,3,0)*Model0.1T!CJ25)/1.1</f>
        <v>#N/A</v>
      </c>
      <c r="CM25" s="102" t="e">
        <f t="shared" si="82"/>
        <v>#N/A</v>
      </c>
      <c r="CN25" s="102" t="e">
        <f t="shared" si="83"/>
        <v>#N/A</v>
      </c>
      <c r="CO25" s="414" t="e">
        <f>IF(AND(CK25&gt;NDC!$C$63,CL25&gt;NDC!$C$65,CM25&gt;NDC!$D$73,CN25&gt;NDC!$D$74,$B25&gt;NDC!$H$22-0.1+MIN(3*CO$12,1.5)),0,1)</f>
        <v>#N/A</v>
      </c>
      <c r="CP25" s="86" t="b">
        <f t="shared" si="37"/>
        <v>0</v>
      </c>
      <c r="CQ25" s="86">
        <f t="shared" si="38"/>
        <v>0.5</v>
      </c>
      <c r="CR25" s="86">
        <f t="shared" si="39"/>
        <v>0.5</v>
      </c>
      <c r="CS25" s="30" t="e">
        <f t="shared" ca="1" si="84"/>
        <v>#DIV/0!</v>
      </c>
      <c r="CT25" s="85" t="e">
        <f ca="1">IF(BZ25&lt;=Hypothèses!$V$7,Hypothèses!$W$7,IF(BZ25&lt;=Hypothèses!$V$8,Hypothèses!$W$8,IF(BZ25&lt;=Hypothèses!$V$9,Hypothèses!$W$9,IF(BZ25&lt;=Hypothèses!$V$10,Hypothèses!$W$10,IF(BZ25&lt;=Hypothèses!$V$11,Hypothèses!$W$11,IF(BZ25&lt;=Hypothèses!$V$12,Hypothèses!$W$12,IF(BZ25&lt;=Hypothèses!$V$13,Hypothèses!$W$13,IF(BZ25&lt;=Hypothèses!$V$14,Hypothèses!$W$14,IF(BZ25&lt;=Hypothèses!$V$15,Hypothèses!$W$15,IF(BZ25&lt;=Hypothèses!$V$16,Hypothèses!$W$16,IF(BZ25&lt;=Hypothèses!$V$17,Hypothèses!$W$17,IF(BZ25&lt;=Hypothèses!$V$18,Hypothèses!$W$18,""))))))))))))</f>
        <v>#DIV/0!</v>
      </c>
      <c r="CU25" s="87" t="e">
        <f t="shared" ca="1" si="120"/>
        <v>#DIV/0!</v>
      </c>
      <c r="CV25" s="88" t="e">
        <f ca="1">IF(BZ25&lt;=Hypothèses!$V$7,Hypothèses!$X$7,IF(BZ25&lt;=Hypothèses!$V$8,Hypothèses!$X$8,IF(BZ25&lt;=Hypothèses!$V$9,Hypothèses!$X$9,IF(BZ25&lt;=Hypothèses!$V$10,Hypothèses!$X$10,IF(BZ25&lt;=Hypothèses!$V$11,Hypothèses!$X$11,IF(BZ25&lt;=Hypothèses!$V$12,Hypothèses!$X$12,IF(BZ25&lt;=Hypothèses!$V$13,Hypothèses!$X$13,IF(BZ25&lt;=Hypothèses!$V$14,Hypothèses!$X$14,IF(BZ25&lt;=Hypothèses!$V$15,Hypothèses!$X$15,IF(BZ25&lt;=Hypothèses!$V$16,Hypothèses!$X$16,IF(BZ25&lt;=Hypothèses!$U$17,Hypothèses!$W$17,IF(BZ25&lt;=Hypothèses!$U$18,Hypothèses!$W$18,""))))))))))))</f>
        <v>#DIV/0!</v>
      </c>
      <c r="CW25" s="95" t="e">
        <f t="shared" ca="1" si="85"/>
        <v>#DIV/0!</v>
      </c>
      <c r="CX25" s="101">
        <f t="shared" si="127"/>
        <v>0</v>
      </c>
      <c r="CY25" s="91">
        <f t="shared" si="41"/>
        <v>0</v>
      </c>
      <c r="CZ25" s="30" t="e">
        <f t="shared" si="108"/>
        <v>#N/A</v>
      </c>
      <c r="DA25" s="30" t="e">
        <f t="shared" si="109"/>
        <v>#N/A</v>
      </c>
      <c r="DB25" s="31" t="e">
        <f>IF(OR(Hypothèses!$B$4=17,Hypothèses!$B$4=18,Hypothèses!$B$4=19,Hypothèses!$B$4=20),
IF($D25="Pressio.",
IF(OR($E25=3,$E25=1,$E25=4),DA25,CZ25),
IF($D25="Pénétro.",
IF(OR($E25=3,$E25=1,$E25=4),DA25,CZ25))),IF($D25="Pressio.",
IF($E25=3,DA25,CZ25),
IF($D25="Pénétro.",
IF($E25=4,DA25,CZ25))))</f>
        <v>#N/A</v>
      </c>
      <c r="DC25" s="31">
        <v>0</v>
      </c>
      <c r="DD25" s="102" t="e">
        <f>IF(NDC!$H$10="Oui",(VLOOKUP($B$3,'Coeff EC7'!$T$39:$X$59,2,0)*DB25+VLOOKUP($B$3,'Coeff EC7'!$T$65:$X$85,2,0)*Model0.1T!DC25)/1.5,PI()*CZ$12*$Q25*($B25-$B24)*0.15/10+DD24)</f>
        <v>#N/A</v>
      </c>
      <c r="DE25" s="102" t="e">
        <f>(VLOOKUP($B$3,'Coeff EC7'!$T$39:$X$59,3,0)*DB25+VLOOKUP($B$3,'Coeff EC7'!$T$65:$X$85,3,0)*Model0.1T!DC25)/1.1</f>
        <v>#N/A</v>
      </c>
      <c r="DF25" s="102" t="e">
        <f t="shared" si="86"/>
        <v>#N/A</v>
      </c>
      <c r="DG25" s="102" t="e">
        <f t="shared" si="87"/>
        <v>#N/A</v>
      </c>
      <c r="DH25" s="414" t="e">
        <f>IF(AND(DD25&gt;NDC!$C$63,DE25&gt;NDC!$C$65,DF25&gt;NDC!$D$73,DG25&gt;NDC!$D$74,$B25&gt;NDC!$H$22-0.1+MIN(3*DH$12,1.5)),0,1)</f>
        <v>#N/A</v>
      </c>
      <c r="DI25" s="86" t="b">
        <f t="shared" si="44"/>
        <v>0</v>
      </c>
      <c r="DJ25" s="86">
        <f t="shared" si="45"/>
        <v>0.5</v>
      </c>
      <c r="DK25" s="86">
        <f t="shared" si="46"/>
        <v>0.5</v>
      </c>
      <c r="DL25" s="30" t="e">
        <f t="shared" ca="1" si="88"/>
        <v>#DIV/0!</v>
      </c>
      <c r="DM25" s="85" t="e">
        <f ca="1">IF(CS25&lt;=Hypothèses!$V$7,Hypothèses!$W$7,IF(CS25&lt;=Hypothèses!$V$8,Hypothèses!$W$8,IF(CS25&lt;=Hypothèses!$V$9,Hypothèses!$W$9,IF(CS25&lt;=Hypothèses!$V$10,Hypothèses!$W$10,IF(CS25&lt;=Hypothèses!$V$11,Hypothèses!$W$11,IF(CS25&lt;=Hypothèses!$V$12,Hypothèses!$W$12,IF(CS25&lt;=Hypothèses!$V$13,Hypothèses!$W$13,IF(CS25&lt;=Hypothèses!$V$14,Hypothèses!$W$14,IF(CS25&lt;=Hypothèses!$V$15,Hypothèses!$W$15,IF(CS25&lt;=Hypothèses!$V$16,Hypothèses!$W$16,IF(CS25&lt;=Hypothèses!$V$17,Hypothèses!$W$17,IF(CS25&lt;=Hypothèses!$V$18,Hypothèses!$W$18,""))))))))))))</f>
        <v>#DIV/0!</v>
      </c>
      <c r="DN25" s="87" t="e">
        <f t="shared" ca="1" si="121"/>
        <v>#DIV/0!</v>
      </c>
      <c r="DO25" s="88" t="e">
        <f ca="1">IF(CS25&lt;=Hypothèses!$V$7,Hypothèses!$X$7,IF(CS25&lt;=Hypothèses!$V$8,Hypothèses!$X$8,IF(CS25&lt;=Hypothèses!$V$9,Hypothèses!$X$9,IF(CS25&lt;=Hypothèses!$V$10,Hypothèses!$X$10,IF(CS25&lt;=Hypothèses!$V$11,Hypothèses!$X$11,IF(CS25&lt;=Hypothèses!$V$12,Hypothèses!$X$12,IF(CS25&lt;=Hypothèses!$V$13,Hypothèses!$X$13,IF(CS25&lt;=Hypothèses!$V$14,Hypothèses!$X$14,IF(CS25&lt;=Hypothèses!$V$15,Hypothèses!$X$15,IF(CS25&lt;=Hypothèses!$V$16,Hypothèses!$X$16,IF(CS25&lt;=Hypothèses!$U$17,Hypothèses!$W$17,IF(CS25&lt;=Hypothèses!$U$18,Hypothèses!$W$18,""))))))))))))</f>
        <v>#DIV/0!</v>
      </c>
      <c r="DP25" s="95" t="e">
        <f t="shared" ca="1" si="89"/>
        <v>#DIV/0!</v>
      </c>
      <c r="DQ25" s="101">
        <f t="shared" si="128"/>
        <v>0</v>
      </c>
      <c r="DR25" s="91">
        <f t="shared" si="48"/>
        <v>0</v>
      </c>
      <c r="DS25" s="30" t="e">
        <f t="shared" si="110"/>
        <v>#N/A</v>
      </c>
      <c r="DT25" s="30" t="e">
        <f t="shared" si="111"/>
        <v>#N/A</v>
      </c>
      <c r="DU25" s="31" t="e">
        <f>IF(OR(Hypothèses!$B$4=17,Hypothèses!$B$4=18,Hypothèses!$B$4=19,Hypothèses!$B$4=20),
IF($D25="Pressio.",
IF(OR($E25=3,$E25=1,$E25=4),DT25,DS25),
IF($D25="Pénétro.",
IF(OR($E25=3,$E25=1,$E25=4),DT25,DS25))),IF($D25="Pressio.",
IF($E25=3,DT25,DS25),
IF($D25="Pénétro.",
IF($E25=4,DT25,DS25))))</f>
        <v>#N/A</v>
      </c>
      <c r="DV25" s="31">
        <v>0</v>
      </c>
      <c r="DW25" s="102" t="e">
        <f>IF(NDC!$H$10="Oui",(VLOOKUP($B$3,'Coeff EC7'!$T$39:$X$59,2,0)*DU25+VLOOKUP($B$3,'Coeff EC7'!$T$65:$X$85,2,0)*Model0.1T!DV25)/1.5,PI()*DS$12*$Q25*($B25-$B24)*0.15/10+DW24)</f>
        <v>#N/A</v>
      </c>
      <c r="DX25" s="102" t="e">
        <f>(VLOOKUP($B$3,'Coeff EC7'!$T$39:$X$59,3,0)*DU25+VLOOKUP($B$3,'Coeff EC7'!$T$65:$X$85,3,0)*Model0.1T!DV25)/1.1</f>
        <v>#N/A</v>
      </c>
      <c r="DY25" s="102" t="e">
        <f t="shared" si="90"/>
        <v>#N/A</v>
      </c>
      <c r="DZ25" s="102" t="e">
        <f t="shared" si="91"/>
        <v>#N/A</v>
      </c>
      <c r="EA25" s="414" t="e">
        <f>IF(AND(DW25&gt;NDC!$C$63,DX25&gt;NDC!$C$65,DY25&gt;NDC!$D$73,DZ25&gt;NDC!$D$74,$B25&gt;NDC!$H$22-0.1+MIN(3*EA$12,1.5)),0,1)</f>
        <v>#N/A</v>
      </c>
      <c r="EB25" s="86" t="b">
        <f t="shared" si="51"/>
        <v>0</v>
      </c>
      <c r="EC25" s="418">
        <f t="shared" si="52"/>
        <v>0.51</v>
      </c>
      <c r="ED25" s="86">
        <f t="shared" si="53"/>
        <v>0.51</v>
      </c>
      <c r="EE25" s="30" t="e">
        <f t="shared" ca="1" si="92"/>
        <v>#DIV/0!</v>
      </c>
      <c r="EF25" s="85" t="e">
        <f ca="1">IF(DL25&lt;=Hypothèses!$V$7,Hypothèses!$W$7,IF(DL25&lt;=Hypothèses!$V$8,Hypothèses!$W$8,IF(DL25&lt;=Hypothèses!$V$9,Hypothèses!$W$9,IF(DL25&lt;=Hypothèses!$V$10,Hypothèses!$W$10,IF(DL25&lt;=Hypothèses!$V$11,Hypothèses!$W$11,IF(DL25&lt;=Hypothèses!$V$12,Hypothèses!$W$12,IF(DL25&lt;=Hypothèses!$V$13,Hypothèses!$W$13,IF(DL25&lt;=Hypothèses!$V$14,Hypothèses!$W$14,IF(DL25&lt;=Hypothèses!$V$15,Hypothèses!$W$15,IF(DL25&lt;=Hypothèses!$V$16,Hypothèses!$W$16,IF(DL25&lt;=Hypothèses!$V$17,Hypothèses!$W$17,IF(DL25&lt;=Hypothèses!$V$18,Hypothèses!$W$18,""))))))))))))</f>
        <v>#DIV/0!</v>
      </c>
      <c r="EG25" s="87" t="e">
        <f t="shared" ca="1" si="122"/>
        <v>#DIV/0!</v>
      </c>
      <c r="EH25" s="88" t="e">
        <f ca="1">IF(DL25&lt;=Hypothèses!$V$7,Hypothèses!$X$7,IF(DL25&lt;=Hypothèses!$V$8,Hypothèses!$X$8,IF(DL25&lt;=Hypothèses!$V$9,Hypothèses!$X$9,IF(DL25&lt;=Hypothèses!$V$10,Hypothèses!$X$10,IF(DL25&lt;=Hypothèses!$V$11,Hypothèses!$X$11,IF(DL25&lt;=Hypothèses!$V$12,Hypothèses!$X$12,IF(DL25&lt;=Hypothèses!$V$13,Hypothèses!$X$13,IF(DL25&lt;=Hypothèses!$V$14,Hypothèses!$X$14,IF(DL25&lt;=Hypothèses!$V$15,Hypothèses!$X$15,IF(DL25&lt;=Hypothèses!$V$16,Hypothèses!$X$16,IF(DL25&lt;=Hypothèses!$U$17,Hypothèses!$W$17,IF(DL25&lt;=Hypothèses!$U$18,Hypothèses!$W$18,""))))))))))))</f>
        <v>#DIV/0!</v>
      </c>
      <c r="EI25" s="95" t="e">
        <f t="shared" ca="1" si="93"/>
        <v>#DIV/0!</v>
      </c>
      <c r="EJ25" s="101">
        <f t="shared" si="129"/>
        <v>0</v>
      </c>
      <c r="EK25" s="91">
        <f t="shared" si="55"/>
        <v>0</v>
      </c>
      <c r="EL25" s="30" t="e">
        <f t="shared" si="112"/>
        <v>#N/A</v>
      </c>
      <c r="EM25" s="30" t="e">
        <f t="shared" si="113"/>
        <v>#N/A</v>
      </c>
      <c r="EN25" s="31" t="e">
        <f>IF(OR(Hypothèses!$B$4=17,Hypothèses!$B$4=18,Hypothèses!$B$4=19,Hypothèses!$B$4=20),
IF($D25="Pressio.",
IF(OR($E25=3,$E25=1,$E25=4),EM25,EL25),
IF($D25="Pénétro.",
IF(OR($E25=3,$E25=1,$E25=4),EM25,EL25))),IF($D25="Pressio.",
IF($E25=3,EM25,EL25),
IF($D25="Pénétro.",
IF($E25=4,EM25,EL25))))</f>
        <v>#N/A</v>
      </c>
      <c r="EO25" s="31">
        <v>0</v>
      </c>
      <c r="EP25" s="102" t="e">
        <f>IF(NDC!$H$10="Oui",(VLOOKUP($B$3,'Coeff EC7'!$T$39:$X$59,2,0)*EN25+VLOOKUP($B$3,'Coeff EC7'!$T$65:$X$85,2,0)*Model0.1T!EO25)/1.5,PI()*EL$12*$Q25*($B25-$B24)*0.15/10+EP24)</f>
        <v>#N/A</v>
      </c>
      <c r="EQ25" s="102" t="e">
        <f>(VLOOKUP($B$3,'Coeff EC7'!$T$39:$X$59,3,0)*EN25+VLOOKUP($B$3,'Coeff EC7'!$T$65:$X$85,3,0)*Model0.1T!EO25)/1.1</f>
        <v>#N/A</v>
      </c>
      <c r="ER25" s="102" t="e">
        <f t="shared" si="94"/>
        <v>#N/A</v>
      </c>
      <c r="ES25" s="102" t="e">
        <f t="shared" si="95"/>
        <v>#N/A</v>
      </c>
      <c r="ET25" s="414" t="e">
        <f>IF(AND(EP25&gt;NDC!$C$63,EQ25&gt;NDC!$C$65,ER25&gt;NDC!$D$73,ES25&gt;NDC!$D$74,$B25&gt;NDC!$H$22-0.1+MIN(3*ET$12,1.5)),0,1)</f>
        <v>#N/A</v>
      </c>
      <c r="EU25" s="86" t="b">
        <f t="shared" si="58"/>
        <v>0</v>
      </c>
      <c r="EV25" s="86">
        <f t="shared" si="59"/>
        <v>0.61</v>
      </c>
      <c r="EW25" s="86">
        <f t="shared" si="60"/>
        <v>0.61</v>
      </c>
      <c r="EX25" s="30" t="e">
        <f t="shared" ca="1" si="96"/>
        <v>#DIV/0!</v>
      </c>
      <c r="EY25" s="85" t="e">
        <f ca="1">IF(EE25&lt;=Hypothèses!$V$7,Hypothèses!$W$7,IF(EE25&lt;=Hypothèses!$V$8,Hypothèses!$W$8,IF(EE25&lt;=Hypothèses!$V$9,Hypothèses!$W$9,IF(EE25&lt;=Hypothèses!$V$10,Hypothèses!$W$10,IF(EE25&lt;=Hypothèses!$V$11,Hypothèses!$W$11,IF(EE25&lt;=Hypothèses!$V$12,Hypothèses!$W$12,IF(EE25&lt;=Hypothèses!$V$13,Hypothèses!$W$13,IF(EE25&lt;=Hypothèses!$V$14,Hypothèses!$W$14,IF(EE25&lt;=Hypothèses!$V$15,Hypothèses!$W$15,IF(EE25&lt;=Hypothèses!$V$16,Hypothèses!$W$16,IF(EE25&lt;=Hypothèses!$V$17,Hypothèses!$W$17,IF(EE25&lt;=Hypothèses!$V$18,Hypothèses!$W$18,""))))))))))))</f>
        <v>#DIV/0!</v>
      </c>
      <c r="EZ25" s="87" t="e">
        <f t="shared" ca="1" si="123"/>
        <v>#DIV/0!</v>
      </c>
      <c r="FA25" s="88" t="e">
        <f ca="1">IF(EE25&lt;=Hypothèses!$V$7,Hypothèses!$X$7,IF(EE25&lt;=Hypothèses!$V$8,Hypothèses!$X$8,IF(EE25&lt;=Hypothèses!$V$9,Hypothèses!$X$9,IF(EE25&lt;=Hypothèses!$V$10,Hypothèses!$X$10,IF(EE25&lt;=Hypothèses!$V$11,Hypothèses!$X$11,IF(EE25&lt;=Hypothèses!$V$12,Hypothèses!$X$12,IF(EE25&lt;=Hypothèses!$V$13,Hypothèses!$X$13,IF(EE25&lt;=Hypothèses!$V$14,Hypothèses!$X$14,IF(EE25&lt;=Hypothèses!$V$15,Hypothèses!$X$15,IF(EE25&lt;=Hypothèses!$V$16,Hypothèses!$X$16,IF(EE25&lt;=Hypothèses!$U$17,Hypothèses!$W$17,IF(EE25&lt;=Hypothèses!$U$18,Hypothèses!$W$18,""))))))))))))</f>
        <v>#DIV/0!</v>
      </c>
      <c r="FB25" s="95" t="e">
        <f t="shared" ca="1" si="97"/>
        <v>#DIV/0!</v>
      </c>
      <c r="FC25" s="101">
        <f t="shared" si="130"/>
        <v>0</v>
      </c>
      <c r="FD25" s="91">
        <f t="shared" si="62"/>
        <v>0</v>
      </c>
      <c r="FE25" s="30" t="e">
        <f t="shared" si="114"/>
        <v>#N/A</v>
      </c>
      <c r="FF25" s="30" t="e">
        <f t="shared" si="115"/>
        <v>#N/A</v>
      </c>
      <c r="FG25" s="31" t="e">
        <f>IF(OR(Hypothèses!$B$4=17,Hypothèses!$B$4=18,Hypothèses!$B$4=19,Hypothèses!$B$4=20),
IF($D25="Pressio.",
IF(OR($E25=3,$E25=1,$E25=4),FF25,FE25),
IF($D25="Pénétro.",
IF(OR($E25=3,$E25=1,$E25=4),FF25,FE25))),IF($D25="Pressio.",
IF($E25=3,FF25,FE25),
IF($D25="Pénétro.",
IF($E25=4,FF25,FE25))))</f>
        <v>#N/A</v>
      </c>
      <c r="FH25" s="31">
        <v>0</v>
      </c>
      <c r="FI25" s="102" t="e">
        <f>IF(NDC!$H$10="Oui",(VLOOKUP($B$3,'Coeff EC7'!$T$39:$X$59,2,0)*FG25+VLOOKUP($B$3,'Coeff EC7'!$T$65:$X$85,2,0)*Model0.1T!FH25)/1.5,PI()*FE$12*$Q25*($B25-$B24)*0.15/10+FI24)</f>
        <v>#N/A</v>
      </c>
      <c r="FJ25" s="102" t="e">
        <f>(VLOOKUP($B$3,'Coeff EC7'!$T$39:$X$59,3,0)*FG25+VLOOKUP($B$3,'Coeff EC7'!$T$65:$X$85,3,0)*Model0.1T!FH25)/1.1</f>
        <v>#N/A</v>
      </c>
      <c r="FK25" s="102" t="e">
        <f t="shared" si="98"/>
        <v>#N/A</v>
      </c>
      <c r="FL25" s="102" t="e">
        <f t="shared" si="99"/>
        <v>#N/A</v>
      </c>
      <c r="FM25" s="414" t="e">
        <f>IF(AND(FI25&gt;NDC!$C$63,FJ25&gt;NDC!$C$65,FK25&gt;NDC!$D$73,FL25&gt;NDC!$D$74,$B25&gt;NDC!$H$22-0.1+MIN(3*FM$12,1.5)),0,1)</f>
        <v>#N/A</v>
      </c>
    </row>
    <row r="26" spans="1:169">
      <c r="A26" s="96">
        <f t="shared" si="65"/>
        <v>98.700000000000074</v>
      </c>
      <c r="B26" s="97">
        <v>1.3</v>
      </c>
      <c r="C26" s="81">
        <f>IF(B26&lt;=Hypothèses!$C$7,Hypothèses!$A$7,IF(B26&lt;=Hypothèses!$C$8,Hypothèses!$A$8,IF(B26&lt;=Hypothèses!$C$9,Hypothèses!$A$9,IF(B26&lt;=Hypothèses!$C$10,Hypothèses!$A$10,IF(B26&lt;=Hypothèses!$C$11,Hypothèses!$A$11,IF(B26&lt;=Hypothèses!$C$12,Hypothèses!$A$12,IF(B26&lt;=Hypothèses!$C$13,Hypothèses!$A$13,IF(B26&lt;=Hypothèses!$C$14,Hypothèses!$A$14,IF(B26&lt;=Hypothèses!$C$15,Hypothèses!$A$15,IF(B26&lt;=Hypothèses!$C$16,Hypothèses!$A$16,IF(B26&lt;=Hypothèses!$C$17,Hypothèses!$A$17,IF(B26&lt;=Hypothèses!$C$18,Hypothèses!$A$18,C25))))))))))))</f>
        <v>11</v>
      </c>
      <c r="D26" s="82" t="str">
        <f>IF(B26&lt;=Hypothèses!$C$7,Hypothèses!$R$7,IF(B26&lt;=Hypothèses!$C$8,Hypothèses!$R$8,IF(B26&lt;=Hypothèses!$C$9,Hypothèses!$R$9,IF(B26&lt;=Hypothèses!$C$10,Hypothèses!$R$10,IF(B26&lt;=Hypothèses!$C$11,Hypothèses!$R$11,IF(B26&lt;=Hypothèses!$C$12,Hypothèses!$R$12,IF(B26&lt;=Hypothèses!$C$13,Hypothèses!$R$13,IF(B26&lt;=Hypothèses!$C$14,Hypothèses!$R$14,IF(B26&lt;=Hypothèses!$C$15,Hypothèses!$R$15,IF(B26&lt;=Hypothèses!$C$16,Hypothèses!$R$16,IF(B26&lt;=Hypothèses!$C$17,Hypothèses!$R$17,IF(B26&lt;=Hypothèses!$C$18,Hypothèses!$R$18,D25))))))))))))</f>
        <v>Pressio.</v>
      </c>
      <c r="E26" s="82" t="e">
        <f>IF(B26&lt;=Hypothèses!$C$7,Hypothèses!$G$7,IF(B26&lt;=Hypothèses!$C$8,Hypothèses!$G$8,IF(B26&lt;=Hypothèses!$C$9,Hypothèses!$G$9,IF(B26&lt;=Hypothèses!$C$10,Hypothèses!$G$10,IF(B26&lt;=Hypothèses!$C$11,Hypothèses!$G$11,IF(B26&lt;=Hypothèses!$C$12,Hypothèses!$G$12,IF(B26&lt;=Hypothèses!$C$13,Hypothèses!$G$13,IF(B26&lt;=Hypothèses!$C$14,Hypothèses!$G$14,IF(B26&lt;=Hypothèses!$C$15,Hypothèses!$G$15,IF(B26&lt;=Hypothèses!$C$16,Hypothèses!$G$16,IF(B26&lt;=Hypothèses!$C$17,Hypothèses!$G$17,IF(B26&lt;=Hypothèses!$C$18,Hypothèses!$G$18,E25))))))))))))</f>
        <v>#N/A</v>
      </c>
      <c r="F26" s="82" t="str">
        <f>IF(B26&lt;=Hypothèses!$C$7,Hypothèses!$F$7,IF(B26&lt;=Hypothèses!$C$8,Hypothèses!$F$8,IF(B26&lt;=Hypothèses!$C$9,Hypothèses!$F$9,IF(B26&lt;=Hypothèses!$C$10,Hypothèses!$F$10,IF(B26&lt;=Hypothèses!$C$11,Hypothèses!$F$11,IF(B26&lt;=Hypothèses!$C$12,Hypothèses!$F$12,IF(B26&lt;=Hypothèses!$C$13,Hypothèses!$F$13,IF(B26&lt;=Hypothèses!$C$14,Hypothèses!$F$14,IF(B26&lt;=Hypothèses!$C$15,Hypothèses!$F$15,IF(B26&lt;=Hypothèses!$C$16,Hypothèses!$F$16,IF(B26&lt;=Hypothèses!$C$17,Hypothèses!$F$17,IF(B26&lt;=Hypothèses!$C$18,Hypothèses!$F$18,F25))))))))))))</f>
        <v/>
      </c>
      <c r="G26" s="91">
        <f t="array" ref="G26">INDEX('Coeff EC7'!$U$7:$X$27,
MATCH(Model0.1T!$B$3,'Coeff EC7'!$T$7:$T$27,0),
MATCH(Model0.1T!$D26&amp;Model0.1T!$B$4,
'Coeff EC7'!$U$6:$X$6&amp;
'Coeff EC7'!$U$5:$X$5,0))</f>
        <v>1.4</v>
      </c>
      <c r="H26" s="91">
        <f t="array" ref="H26">INDEX('Coeff EC7'!$Y$7:$AB$27,
MATCH(Model0.1T!$B$3,'Coeff EC7'!$T$7:$T$27,0),
MATCH(Model0.1T!$D26&amp;Model0.1T!$B$4,
'Coeff EC7'!$Y$6:$AB$6&amp;
'Coeff EC7'!$Y$5:$AB$5,0))</f>
        <v>1.7</v>
      </c>
      <c r="I26" s="83">
        <v>0</v>
      </c>
      <c r="J26" s="91" t="e">
        <f t="array" ref="J26">INDEX('Coeff EC7'!$D$33:$Q$33,1,MATCH(D26&amp;E26,'Coeff EC7'!$D$31:$Q$31&amp;'Coeff EC7'!$D$32:$Q$32,0))</f>
        <v>#N/A</v>
      </c>
      <c r="K26" s="91" t="e">
        <f t="array" ref="K26">INDEX('Coeff EC7'!$D$34:$Q$34,1,MATCH(D26&amp;E26,'Coeff EC7'!$D$31:$Q$31&amp;'Coeff EC7'!$D$32:$Q$32,0))</f>
        <v>#N/A</v>
      </c>
      <c r="L26" s="91" t="e">
        <f t="array" ref="L26">INDEX('Coeff EC7'!$D$35:$Q$35,1,MATCH(D26&amp;E26,'Coeff EC7'!$D$31:$Q$31&amp;'Coeff EC7'!$D$32:$Q$32,0))</f>
        <v>#N/A</v>
      </c>
      <c r="M26" s="98" t="e">
        <f t="shared" si="8"/>
        <v>#N/A</v>
      </c>
      <c r="N26" s="99" t="e">
        <f t="array" ref="N26">INDEX('Coeff EC7'!$D$7:$Q$27,MATCH($B$3,'Coeff EC7'!$C$7:$C$27,0),MATCH(D26&amp;E26,'Coeff EC7'!$D$5:$Q$5&amp;'Coeff EC7'!$D$6:$Q$6,0))</f>
        <v>#N/A</v>
      </c>
      <c r="O26" s="99" t="e">
        <f t="array" ref="O26">INDEX('Coeff EC7'!$D$41:$Q$61,MATCH($B$3,'Coeff EC7'!$C$41:$C$61,0),MATCH(D26&amp;E26,'Coeff EC7'!$D$39:$Q$39&amp;'Coeff EC7'!$D$40:$Q$40,0))</f>
        <v>#N/A</v>
      </c>
      <c r="P26" s="30" t="e">
        <f t="shared" si="66"/>
        <v>#N/A</v>
      </c>
      <c r="Q26" s="100" t="e">
        <f t="shared" si="10"/>
        <v>#N/A</v>
      </c>
      <c r="R26" s="86" t="b">
        <f t="shared" si="11"/>
        <v>0</v>
      </c>
      <c r="S26" s="86">
        <f t="shared" si="9"/>
        <v>0.5</v>
      </c>
      <c r="T26" s="86">
        <f t="shared" si="12"/>
        <v>0.5</v>
      </c>
      <c r="U26" s="30" t="e">
        <f t="shared" ca="1" si="67"/>
        <v>#DIV/0!</v>
      </c>
      <c r="V26" s="85" t="str">
        <f>IF(B26&lt;=Hypothèses!$V$7,Hypothèses!$W$7,IF(B26&lt;=Hypothèses!$V$8,Hypothèses!$W$8,IF(B26&lt;=Hypothèses!$V$9,Hypothèses!$W$9,IF(B26&lt;=Hypothèses!$V$10,Hypothèses!$W$10,IF(B26&lt;=Hypothèses!$V$11,Hypothèses!$W$11,IF(B26&lt;=Hypothèses!$V$12,Hypothèses!$W$12,IF(B26&lt;=Hypothèses!$V$13,Hypothèses!$W$13,IF(B26&lt;=Hypothèses!$V$14,Hypothèses!$W$14,IF(B26&lt;=Hypothèses!$V$15,Hypothèses!$W$15,IF(B26&lt;=Hypothèses!$V$16,Hypothèses!$W$16,IF(B26&lt;=Hypothèses!$V$17,Hypothèses!$W$17,IF(B26&lt;=Hypothèses!$V$18,Hypothèses!$W$18,""))))))))))))</f>
        <v/>
      </c>
      <c r="W26" s="87" t="e">
        <f t="shared" ca="1" si="116"/>
        <v>#DIV/0!</v>
      </c>
      <c r="X26" s="88" t="str">
        <f>IF(B26&lt;=Hypothèses!$V$7,Hypothèses!$X$7,IF(B26&lt;=Hypothèses!$V$8,Hypothèses!$X$8,IF(B26&lt;=Hypothèses!$V$9,Hypothèses!$X$9,IF(B26&lt;=Hypothèses!$V$10,Hypothèses!$X$10,IF(B26&lt;=Hypothèses!$V$11,Hypothèses!$X$11,IF(B26&lt;=Hypothèses!$V$12,Hypothèses!$X$12,IF(B26&lt;=Hypothèses!$V$13,Hypothèses!$X$13,IF(B26&lt;=Hypothèses!$V$14,Hypothèses!$X$14,IF(B26&lt;=Hypothèses!$V$15,Hypothèses!$X$15,IF(B26&lt;=Hypothèses!$V$16,Hypothèses!$X$16,IF(B26&lt;=Hypothèses!$U$17,Hypothèses!$W$17,IF(B26&lt;=Hypothèses!$U$18,Hypothèses!$W$18,""))))))))))))</f>
        <v/>
      </c>
      <c r="Y26" s="95" t="e">
        <f t="shared" ca="1" si="13"/>
        <v>#DIV/0!</v>
      </c>
      <c r="Z26" s="101">
        <f t="shared" si="14"/>
        <v>0</v>
      </c>
      <c r="AA26" s="91">
        <f t="shared" si="15"/>
        <v>0</v>
      </c>
      <c r="AB26" s="30" t="e">
        <f t="shared" si="100"/>
        <v>#N/A</v>
      </c>
      <c r="AC26" s="30" t="e">
        <f t="shared" si="101"/>
        <v>#N/A</v>
      </c>
      <c r="AD26" s="31" t="e">
        <f>IF(OR(Hypothèses!$B$4=17,Hypothèses!$B$4=18,Hypothèses!$B$4=19,Hypothèses!$B$4=20),
IF($D26="Pressio.",
IF(OR($E26=3,$E26=1,$E26=4),AC26,AB26),
IF($D26="Pénétro.",
IF(OR($E26=3,$E26=1,$E26=4),AC26,AB26))),IF($D26="Pressio.",
IF($E26=3,AC26,AB26),
IF($D26="Pénétro.",
IF($E26=4,AC26,AB26))))</f>
        <v>#N/A</v>
      </c>
      <c r="AE26" s="31">
        <v>0</v>
      </c>
      <c r="AF26" s="102" t="e">
        <f>IF(NDC!$H$10="Oui",(VLOOKUP($B$3,'Coeff EC7'!$T$39:$X$59,2,0)*AD26+VLOOKUP($B$3,'Coeff EC7'!$T$65:$X$85,2,0)*Model0.1T!AE26)/1.5,PI()*AB$12*$Q26*($B26-$B25)*0.15/10+AF25)</f>
        <v>#N/A</v>
      </c>
      <c r="AG26" s="102" t="e">
        <f>(VLOOKUP($B$3,'Coeff EC7'!$T$39:$X$59,3,0)*AD26+VLOOKUP($B$3,'Coeff EC7'!$T$65:$X$85,3,0)*Model0.1T!AE26)/1.1</f>
        <v>#N/A</v>
      </c>
      <c r="AH26" s="102" t="e">
        <f t="shared" si="68"/>
        <v>#N/A</v>
      </c>
      <c r="AI26" s="102" t="e">
        <f t="shared" si="69"/>
        <v>#N/A</v>
      </c>
      <c r="AJ26" s="414" t="e">
        <f>IF(AND(AF26&gt;NDC!$C$63,AG26&gt;NDC!$C$65,AH26&gt;NDC!$D$73,AI26&gt;NDC!$D$74,$B26&gt;NDC!$H$22-0.1+MIN(3*$AJ$12,1.5)),0,1)</f>
        <v>#N/A</v>
      </c>
      <c r="AK26" s="86" t="b">
        <f t="shared" si="18"/>
        <v>0</v>
      </c>
      <c r="AL26" s="86">
        <f t="shared" si="70"/>
        <v>0.5</v>
      </c>
      <c r="AM26" s="86">
        <f t="shared" si="19"/>
        <v>0.5</v>
      </c>
      <c r="AN26" s="30" t="e">
        <f t="shared" ca="1" si="71"/>
        <v>#DIV/0!</v>
      </c>
      <c r="AO26" s="85" t="e">
        <f ca="1">IF(U26&lt;=Hypothèses!$V$7,Hypothèses!$W$7,IF(U26&lt;=Hypothèses!$V$8,Hypothèses!$W$8,IF(U26&lt;=Hypothèses!$V$9,Hypothèses!$W$9,IF(U26&lt;=Hypothèses!$V$10,Hypothèses!$W$10,IF(U26&lt;=Hypothèses!$V$11,Hypothèses!$W$11,IF(U26&lt;=Hypothèses!$V$12,Hypothèses!$W$12,IF(U26&lt;=Hypothèses!$V$13,Hypothèses!$W$13,IF(U26&lt;=Hypothèses!$V$14,Hypothèses!$W$14,IF(U26&lt;=Hypothèses!$V$15,Hypothèses!$W$15,IF(U26&lt;=Hypothèses!$V$16,Hypothèses!$W$16,IF(U26&lt;=Hypothèses!$V$17,Hypothèses!$W$17,IF(U26&lt;=Hypothèses!$V$18,Hypothèses!$W$18,""))))))))))))</f>
        <v>#DIV/0!</v>
      </c>
      <c r="AP26" s="87" t="e">
        <f t="shared" ca="1" si="117"/>
        <v>#DIV/0!</v>
      </c>
      <c r="AQ26" s="88" t="e">
        <f ca="1">IF(U26&lt;=Hypothèses!$V$7,Hypothèses!$X$7,IF(U26&lt;=Hypothèses!$V$8,Hypothèses!$X$8,IF(U26&lt;=Hypothèses!$V$9,Hypothèses!$X$9,IF(U26&lt;=Hypothèses!$V$10,Hypothèses!$X$10,IF(U26&lt;=Hypothèses!$V$11,Hypothèses!$X$11,IF(U26&lt;=Hypothèses!$V$12,Hypothèses!$X$12,IF(U26&lt;=Hypothèses!$V$13,Hypothèses!$X$13,IF(U26&lt;=Hypothèses!$V$14,Hypothèses!$X$14,IF(U26&lt;=Hypothèses!$V$15,Hypothèses!$X$15,IF(U26&lt;=Hypothèses!$V$16,Hypothèses!$X$16,IF(U26&lt;=Hypothèses!$U$17,Hypothèses!$W$17,IF(U26&lt;=Hypothèses!$U$18,Hypothèses!$W$18,""))))))))))))</f>
        <v>#DIV/0!</v>
      </c>
      <c r="AR26" s="95" t="e">
        <f t="shared" ca="1" si="72"/>
        <v>#DIV/0!</v>
      </c>
      <c r="AS26" s="101">
        <f t="shared" si="124"/>
        <v>0</v>
      </c>
      <c r="AT26" s="91">
        <f t="shared" si="21"/>
        <v>0</v>
      </c>
      <c r="AU26" s="30" t="e">
        <f t="shared" si="102"/>
        <v>#N/A</v>
      </c>
      <c r="AV26" s="30" t="e">
        <f t="shared" si="103"/>
        <v>#N/A</v>
      </c>
      <c r="AW26" s="31" t="e">
        <f>IF(OR(Hypothèses!$B$4=17,Hypothèses!$B$4=18,Hypothèses!$B$4=19,Hypothèses!$B$4=20),
IF($D26="Pressio.",
IF(OR($E26=3,$E26=1,$E26=4),AV26,AU26),
IF($D26="Pénétro.",
IF(OR($E26=3,$E26=1,$E26=4),AV26,AU26))),IF($D26="Pressio.",
IF($E26=3,AV26,AU26),
IF($D26="Pénétro.",
IF($E26=4,AV26,AU26))))</f>
        <v>#N/A</v>
      </c>
      <c r="AX26" s="31">
        <v>0</v>
      </c>
      <c r="AY26" s="102" t="e">
        <f>IF(NDC!$H$10="Oui",(VLOOKUP($B$3,'Coeff EC7'!$T$39:$X$59,2,0)*AW26+VLOOKUP($B$3,'Coeff EC7'!$T$65:$X$85,2,0)*Model0.1T!AX26)/1.5,PI()*AU$12*$Q26*($B26-$B25)*0.15/10+AY25)</f>
        <v>#N/A</v>
      </c>
      <c r="AZ26" s="102" t="e">
        <f>(VLOOKUP($B$3,'Coeff EC7'!$T$39:$X$59,3,0)*AW26+VLOOKUP($B$3,'Coeff EC7'!$T$65:$X$85,3,0)*Model0.1T!AX26)/1.1</f>
        <v>#N/A</v>
      </c>
      <c r="BA26" s="102" t="e">
        <f t="shared" si="73"/>
        <v>#N/A</v>
      </c>
      <c r="BB26" s="102" t="e">
        <f t="shared" si="74"/>
        <v>#N/A</v>
      </c>
      <c r="BC26" s="414" t="e">
        <f>IF(AND(AY26&gt;NDC!$C$63,AZ26&gt;NDC!$C$65,BA26&gt;NDC!$D$73,BB26&gt;NDC!$D$74,$B26&gt;NDC!$H$22-0.1+MIN(3*BC$12,1.5)),0,1)</f>
        <v>#N/A</v>
      </c>
      <c r="BD26" s="86" t="b">
        <f t="shared" si="24"/>
        <v>0</v>
      </c>
      <c r="BE26" s="86">
        <f t="shared" si="75"/>
        <v>0.5</v>
      </c>
      <c r="BF26" s="86">
        <f t="shared" si="25"/>
        <v>0.5</v>
      </c>
      <c r="BG26" s="30" t="e">
        <f t="shared" ca="1" si="76"/>
        <v>#DIV/0!</v>
      </c>
      <c r="BH26" s="85" t="e">
        <f ca="1">IF(AN26&lt;=Hypothèses!$V$7,Hypothèses!$W$7,IF(AN26&lt;=Hypothèses!$V$8,Hypothèses!$W$8,IF(AN26&lt;=Hypothèses!$V$9,Hypothèses!$W$9,IF(AN26&lt;=Hypothèses!$V$10,Hypothèses!$W$10,IF(AN26&lt;=Hypothèses!$V$11,Hypothèses!$W$11,IF(AN26&lt;=Hypothèses!$V$12,Hypothèses!$W$12,IF(AN26&lt;=Hypothèses!$V$13,Hypothèses!$W$13,IF(AN26&lt;=Hypothèses!$V$14,Hypothèses!$W$14,IF(AN26&lt;=Hypothèses!$V$15,Hypothèses!$W$15,IF(AN26&lt;=Hypothèses!$V$16,Hypothèses!$W$16,IF(AN26&lt;=Hypothèses!$V$17,Hypothèses!$W$17,IF(AN26&lt;=Hypothèses!$V$18,Hypothèses!$W$18,""))))))))))))</f>
        <v>#DIV/0!</v>
      </c>
      <c r="BI26" s="87" t="e">
        <f t="shared" ca="1" si="118"/>
        <v>#DIV/0!</v>
      </c>
      <c r="BJ26" s="88" t="e">
        <f ca="1">IF(AN26&lt;=Hypothèses!$V$7,Hypothèses!$X$7,IF(AN26&lt;=Hypothèses!$V$8,Hypothèses!$X$8,IF(AN26&lt;=Hypothèses!$V$9,Hypothèses!$X$9,IF(AN26&lt;=Hypothèses!$V$10,Hypothèses!$X$10,IF(AN26&lt;=Hypothèses!$V$11,Hypothèses!$X$11,IF(AN26&lt;=Hypothèses!$V$12,Hypothèses!$X$12,IF(AN26&lt;=Hypothèses!$V$13,Hypothèses!$X$13,IF(AN26&lt;=Hypothèses!$V$14,Hypothèses!$X$14,IF(AN26&lt;=Hypothèses!$V$15,Hypothèses!$X$15,IF(AN26&lt;=Hypothèses!$V$16,Hypothèses!$X$16,IF(AN26&lt;=Hypothèses!$U$17,Hypothèses!$W$17,IF(AN26&lt;=Hypothèses!$U$18,Hypothèses!$W$18,""))))))))))))</f>
        <v>#DIV/0!</v>
      </c>
      <c r="BK26" s="95" t="e">
        <f t="shared" ca="1" si="77"/>
        <v>#DIV/0!</v>
      </c>
      <c r="BL26" s="101">
        <f t="shared" si="125"/>
        <v>0</v>
      </c>
      <c r="BM26" s="91">
        <f t="shared" si="27"/>
        <v>0</v>
      </c>
      <c r="BN26" s="30" t="e">
        <f t="shared" si="104"/>
        <v>#N/A</v>
      </c>
      <c r="BO26" s="30" t="e">
        <f t="shared" si="105"/>
        <v>#N/A</v>
      </c>
      <c r="BP26" s="31" t="e">
        <f>IF(OR(Hypothèses!$B$4=17,Hypothèses!$B$4=18,Hypothèses!$B$4=19,Hypothèses!$B$4=20),
IF($D26="Pressio.",
IF(OR($E26=3,$E26=1,$E26=4),BO26,BN26),
IF($D26="Pénétro.",
IF(OR($E26=3,$E26=1,$E26=4),BO26,BN26))),IF($D26="Pressio.",
IF($E26=3,BO26,BN26),
IF($D26="Pénétro.",
IF($E26=4,BO26,BN26))))</f>
        <v>#N/A</v>
      </c>
      <c r="BQ26" s="31">
        <v>0</v>
      </c>
      <c r="BR26" s="102" t="e">
        <f>IF(NDC!$H$10="Oui",(VLOOKUP($B$3,'Coeff EC7'!$T$39:$X$59,2,0)*BP26+VLOOKUP($B$3,'Coeff EC7'!$T$65:$X$85,2,0)*Model0.1T!BQ26)/1.5,PI()*BN$12*$Q26*($B26-$B25)*0.15/10+BR25)</f>
        <v>#N/A</v>
      </c>
      <c r="BS26" s="102" t="e">
        <f>(VLOOKUP($B$3,'Coeff EC7'!$T$39:$X$59,3,0)*BP26+VLOOKUP($B$3,'Coeff EC7'!$T$65:$X$85,3,0)*Model0.1T!BQ26)/1.1</f>
        <v>#N/A</v>
      </c>
      <c r="BT26" s="102" t="e">
        <f t="shared" si="78"/>
        <v>#N/A</v>
      </c>
      <c r="BU26" s="102" t="e">
        <f t="shared" si="79"/>
        <v>#N/A</v>
      </c>
      <c r="BV26" s="414" t="e">
        <f>IF(AND(BR26&gt;NDC!$C$63,BS26&gt;NDC!$C$65,BT26&gt;NDC!$D$73,BU26&gt;NDC!$D$74,$B26&gt;NDC!$H$22-0.1+MIN(3*BV$12,1.5)),0,1)</f>
        <v>#N/A</v>
      </c>
      <c r="BW26" s="86" t="b">
        <f t="shared" si="30"/>
        <v>0</v>
      </c>
      <c r="BX26" s="86">
        <f t="shared" si="31"/>
        <v>0.5</v>
      </c>
      <c r="BY26" s="86">
        <f t="shared" si="32"/>
        <v>0.5</v>
      </c>
      <c r="BZ26" s="30" t="e">
        <f t="shared" ca="1" si="80"/>
        <v>#DIV/0!</v>
      </c>
      <c r="CA26" s="85" t="e">
        <f ca="1">IF(BG26&lt;=Hypothèses!$V$7,Hypothèses!$W$7,IF(BG26&lt;=Hypothèses!$V$8,Hypothèses!$W$8,IF(BG26&lt;=Hypothèses!$V$9,Hypothèses!$W$9,IF(BG26&lt;=Hypothèses!$V$10,Hypothèses!$W$10,IF(BG26&lt;=Hypothèses!$V$11,Hypothèses!$W$11,IF(BG26&lt;=Hypothèses!$V$12,Hypothèses!$W$12,IF(BG26&lt;=Hypothèses!$V$13,Hypothèses!$W$13,IF(BG26&lt;=Hypothèses!$V$14,Hypothèses!$W$14,IF(BG26&lt;=Hypothèses!$V$15,Hypothèses!$W$15,IF(BG26&lt;=Hypothèses!$V$16,Hypothèses!$W$16,IF(BG26&lt;=Hypothèses!$V$17,Hypothèses!$W$17,IF(BG26&lt;=Hypothèses!$V$18,Hypothèses!$W$18,""))))))))))))</f>
        <v>#DIV/0!</v>
      </c>
      <c r="CB26" s="87" t="e">
        <f t="shared" ca="1" si="119"/>
        <v>#DIV/0!</v>
      </c>
      <c r="CC26" s="88" t="e">
        <f ca="1">IF(BG26&lt;=Hypothèses!$V$7,Hypothèses!$X$7,IF(BG26&lt;=Hypothèses!$V$8,Hypothèses!$X$8,IF(BG26&lt;=Hypothèses!$V$9,Hypothèses!$X$9,IF(BG26&lt;=Hypothèses!$V$10,Hypothèses!$X$10,IF(BG26&lt;=Hypothèses!$V$11,Hypothèses!$X$11,IF(BG26&lt;=Hypothèses!$V$12,Hypothèses!$X$12,IF(BG26&lt;=Hypothèses!$V$13,Hypothèses!$X$13,IF(BG26&lt;=Hypothèses!$V$14,Hypothèses!$X$14,IF(BG26&lt;=Hypothèses!$V$15,Hypothèses!$X$15,IF(BG26&lt;=Hypothèses!$V$16,Hypothèses!$X$16,IF(BG26&lt;=Hypothèses!$U$17,Hypothèses!$W$17,IF(BG26&lt;=Hypothèses!$U$18,Hypothèses!$W$18,""))))))))))))</f>
        <v>#DIV/0!</v>
      </c>
      <c r="CD26" s="95" t="e">
        <f t="shared" ca="1" si="81"/>
        <v>#DIV/0!</v>
      </c>
      <c r="CE26" s="101">
        <f t="shared" si="126"/>
        <v>0</v>
      </c>
      <c r="CF26" s="91">
        <f t="shared" si="34"/>
        <v>0</v>
      </c>
      <c r="CG26" s="30" t="e">
        <f t="shared" si="106"/>
        <v>#N/A</v>
      </c>
      <c r="CH26" s="30" t="e">
        <f t="shared" si="107"/>
        <v>#N/A</v>
      </c>
      <c r="CI26" s="31" t="e">
        <f>IF(OR(Hypothèses!$B$4=17,Hypothèses!$B$4=18,Hypothèses!$B$4=19,Hypothèses!$B$4=20),
IF($D26="Pressio.",
IF(OR($E26=3,$E26=1,$E26=4),CH26,CG26),
IF($D26="Pénétro.",
IF(OR($E26=3,$E26=1,$E26=4),CH26,CG26))),IF($D26="Pressio.",
IF($E26=3,CH26,CG26),
IF($D26="Pénétro.",
IF($E26=4,CH26,CG26))))</f>
        <v>#N/A</v>
      </c>
      <c r="CJ26" s="31">
        <v>0</v>
      </c>
      <c r="CK26" s="102" t="e">
        <f>IF(NDC!$H$10="Oui",(VLOOKUP($B$3,'Coeff EC7'!$T$39:$X$59,2,0)*CI26+VLOOKUP($B$3,'Coeff EC7'!$T$65:$X$85,2,0)*Model0.1T!CJ26)/1.5,PI()*CG$12*$Q26*($B26-$B25)*0.15/10+CK25)</f>
        <v>#N/A</v>
      </c>
      <c r="CL26" s="102" t="e">
        <f>(VLOOKUP($B$3,'Coeff EC7'!$T$39:$X$59,3,0)*CI26+VLOOKUP($B$3,'Coeff EC7'!$T$65:$X$85,3,0)*Model0.1T!CJ26)/1.1</f>
        <v>#N/A</v>
      </c>
      <c r="CM26" s="102" t="e">
        <f t="shared" si="82"/>
        <v>#N/A</v>
      </c>
      <c r="CN26" s="102" t="e">
        <f t="shared" si="83"/>
        <v>#N/A</v>
      </c>
      <c r="CO26" s="414" t="e">
        <f>IF(AND(CK26&gt;NDC!$C$63,CL26&gt;NDC!$C$65,CM26&gt;NDC!$D$73,CN26&gt;NDC!$D$74,$B26&gt;NDC!$H$22-0.1+MIN(3*CO$12,1.5)),0,1)</f>
        <v>#N/A</v>
      </c>
      <c r="CP26" s="86" t="b">
        <f t="shared" si="37"/>
        <v>0</v>
      </c>
      <c r="CQ26" s="86">
        <f t="shared" si="38"/>
        <v>0.5</v>
      </c>
      <c r="CR26" s="86">
        <f t="shared" si="39"/>
        <v>0.5</v>
      </c>
      <c r="CS26" s="30" t="e">
        <f t="shared" ca="1" si="84"/>
        <v>#DIV/0!</v>
      </c>
      <c r="CT26" s="85" t="e">
        <f ca="1">IF(BZ26&lt;=Hypothèses!$V$7,Hypothèses!$W$7,IF(BZ26&lt;=Hypothèses!$V$8,Hypothèses!$W$8,IF(BZ26&lt;=Hypothèses!$V$9,Hypothèses!$W$9,IF(BZ26&lt;=Hypothèses!$V$10,Hypothèses!$W$10,IF(BZ26&lt;=Hypothèses!$V$11,Hypothèses!$W$11,IF(BZ26&lt;=Hypothèses!$V$12,Hypothèses!$W$12,IF(BZ26&lt;=Hypothèses!$V$13,Hypothèses!$W$13,IF(BZ26&lt;=Hypothèses!$V$14,Hypothèses!$W$14,IF(BZ26&lt;=Hypothèses!$V$15,Hypothèses!$W$15,IF(BZ26&lt;=Hypothèses!$V$16,Hypothèses!$W$16,IF(BZ26&lt;=Hypothèses!$V$17,Hypothèses!$W$17,IF(BZ26&lt;=Hypothèses!$V$18,Hypothèses!$W$18,""))))))))))))</f>
        <v>#DIV/0!</v>
      </c>
      <c r="CU26" s="87" t="e">
        <f t="shared" ca="1" si="120"/>
        <v>#DIV/0!</v>
      </c>
      <c r="CV26" s="88" t="e">
        <f ca="1">IF(BZ26&lt;=Hypothèses!$V$7,Hypothèses!$X$7,IF(BZ26&lt;=Hypothèses!$V$8,Hypothèses!$X$8,IF(BZ26&lt;=Hypothèses!$V$9,Hypothèses!$X$9,IF(BZ26&lt;=Hypothèses!$V$10,Hypothèses!$X$10,IF(BZ26&lt;=Hypothèses!$V$11,Hypothèses!$X$11,IF(BZ26&lt;=Hypothèses!$V$12,Hypothèses!$X$12,IF(BZ26&lt;=Hypothèses!$V$13,Hypothèses!$X$13,IF(BZ26&lt;=Hypothèses!$V$14,Hypothèses!$X$14,IF(BZ26&lt;=Hypothèses!$V$15,Hypothèses!$X$15,IF(BZ26&lt;=Hypothèses!$V$16,Hypothèses!$X$16,IF(BZ26&lt;=Hypothèses!$U$17,Hypothèses!$W$17,IF(BZ26&lt;=Hypothèses!$U$18,Hypothèses!$W$18,""))))))))))))</f>
        <v>#DIV/0!</v>
      </c>
      <c r="CW26" s="95" t="e">
        <f t="shared" ca="1" si="85"/>
        <v>#DIV/0!</v>
      </c>
      <c r="CX26" s="101">
        <f t="shared" si="127"/>
        <v>0</v>
      </c>
      <c r="CY26" s="91">
        <f t="shared" si="41"/>
        <v>0</v>
      </c>
      <c r="CZ26" s="30" t="e">
        <f t="shared" si="108"/>
        <v>#N/A</v>
      </c>
      <c r="DA26" s="30" t="e">
        <f t="shared" si="109"/>
        <v>#N/A</v>
      </c>
      <c r="DB26" s="31" t="e">
        <f>IF(OR(Hypothèses!$B$4=17,Hypothèses!$B$4=18,Hypothèses!$B$4=19,Hypothèses!$B$4=20),
IF($D26="Pressio.",
IF(OR($E26=3,$E26=1,$E26=4),DA26,CZ26),
IF($D26="Pénétro.",
IF(OR($E26=3,$E26=1,$E26=4),DA26,CZ26))),IF($D26="Pressio.",
IF($E26=3,DA26,CZ26),
IF($D26="Pénétro.",
IF($E26=4,DA26,CZ26))))</f>
        <v>#N/A</v>
      </c>
      <c r="DC26" s="31">
        <v>0</v>
      </c>
      <c r="DD26" s="102" t="e">
        <f>IF(NDC!$H$10="Oui",(VLOOKUP($B$3,'Coeff EC7'!$T$39:$X$59,2,0)*DB26+VLOOKUP($B$3,'Coeff EC7'!$T$65:$X$85,2,0)*Model0.1T!DC26)/1.5,PI()*CZ$12*$Q26*($B26-$B25)*0.15/10+DD25)</f>
        <v>#N/A</v>
      </c>
      <c r="DE26" s="102" t="e">
        <f>(VLOOKUP($B$3,'Coeff EC7'!$T$39:$X$59,3,0)*DB26+VLOOKUP($B$3,'Coeff EC7'!$T$65:$X$85,3,0)*Model0.1T!DC26)/1.1</f>
        <v>#N/A</v>
      </c>
      <c r="DF26" s="102" t="e">
        <f t="shared" si="86"/>
        <v>#N/A</v>
      </c>
      <c r="DG26" s="102" t="e">
        <f t="shared" si="87"/>
        <v>#N/A</v>
      </c>
      <c r="DH26" s="414" t="e">
        <f>IF(AND(DD26&gt;NDC!$C$63,DE26&gt;NDC!$C$65,DF26&gt;NDC!$D$73,DG26&gt;NDC!$D$74,$B26&gt;NDC!$H$22-0.1+MIN(3*DH$12,1.5)),0,1)</f>
        <v>#N/A</v>
      </c>
      <c r="DI26" s="86" t="b">
        <f t="shared" si="44"/>
        <v>0</v>
      </c>
      <c r="DJ26" s="86">
        <f t="shared" si="45"/>
        <v>0.5</v>
      </c>
      <c r="DK26" s="86">
        <f t="shared" si="46"/>
        <v>0.5</v>
      </c>
      <c r="DL26" s="30" t="e">
        <f t="shared" ca="1" si="88"/>
        <v>#DIV/0!</v>
      </c>
      <c r="DM26" s="85" t="e">
        <f ca="1">IF(CS26&lt;=Hypothèses!$V$7,Hypothèses!$W$7,IF(CS26&lt;=Hypothèses!$V$8,Hypothèses!$W$8,IF(CS26&lt;=Hypothèses!$V$9,Hypothèses!$W$9,IF(CS26&lt;=Hypothèses!$V$10,Hypothèses!$W$10,IF(CS26&lt;=Hypothèses!$V$11,Hypothèses!$W$11,IF(CS26&lt;=Hypothèses!$V$12,Hypothèses!$W$12,IF(CS26&lt;=Hypothèses!$V$13,Hypothèses!$W$13,IF(CS26&lt;=Hypothèses!$V$14,Hypothèses!$W$14,IF(CS26&lt;=Hypothèses!$V$15,Hypothèses!$W$15,IF(CS26&lt;=Hypothèses!$V$16,Hypothèses!$W$16,IF(CS26&lt;=Hypothèses!$V$17,Hypothèses!$W$17,IF(CS26&lt;=Hypothèses!$V$18,Hypothèses!$W$18,""))))))))))))</f>
        <v>#DIV/0!</v>
      </c>
      <c r="DN26" s="87" t="e">
        <f t="shared" ca="1" si="121"/>
        <v>#DIV/0!</v>
      </c>
      <c r="DO26" s="88" t="e">
        <f ca="1">IF(CS26&lt;=Hypothèses!$V$7,Hypothèses!$X$7,IF(CS26&lt;=Hypothèses!$V$8,Hypothèses!$X$8,IF(CS26&lt;=Hypothèses!$V$9,Hypothèses!$X$9,IF(CS26&lt;=Hypothèses!$V$10,Hypothèses!$X$10,IF(CS26&lt;=Hypothèses!$V$11,Hypothèses!$X$11,IF(CS26&lt;=Hypothèses!$V$12,Hypothèses!$X$12,IF(CS26&lt;=Hypothèses!$V$13,Hypothèses!$X$13,IF(CS26&lt;=Hypothèses!$V$14,Hypothèses!$X$14,IF(CS26&lt;=Hypothèses!$V$15,Hypothèses!$X$15,IF(CS26&lt;=Hypothèses!$V$16,Hypothèses!$X$16,IF(CS26&lt;=Hypothèses!$U$17,Hypothèses!$W$17,IF(CS26&lt;=Hypothèses!$U$18,Hypothèses!$W$18,""))))))))))))</f>
        <v>#DIV/0!</v>
      </c>
      <c r="DP26" s="95" t="e">
        <f t="shared" ca="1" si="89"/>
        <v>#DIV/0!</v>
      </c>
      <c r="DQ26" s="101">
        <f t="shared" si="128"/>
        <v>0</v>
      </c>
      <c r="DR26" s="91">
        <f t="shared" si="48"/>
        <v>0</v>
      </c>
      <c r="DS26" s="30" t="e">
        <f t="shared" si="110"/>
        <v>#N/A</v>
      </c>
      <c r="DT26" s="30" t="e">
        <f t="shared" si="111"/>
        <v>#N/A</v>
      </c>
      <c r="DU26" s="31" t="e">
        <f>IF(OR(Hypothèses!$B$4=17,Hypothèses!$B$4=18,Hypothèses!$B$4=19,Hypothèses!$B$4=20),
IF($D26="Pressio.",
IF(OR($E26=3,$E26=1,$E26=4),DT26,DS26),
IF($D26="Pénétro.",
IF(OR($E26=3,$E26=1,$E26=4),DT26,DS26))),IF($D26="Pressio.",
IF($E26=3,DT26,DS26),
IF($D26="Pénétro.",
IF($E26=4,DT26,DS26))))</f>
        <v>#N/A</v>
      </c>
      <c r="DV26" s="31">
        <v>0</v>
      </c>
      <c r="DW26" s="102" t="e">
        <f>IF(NDC!$H$10="Oui",(VLOOKUP($B$3,'Coeff EC7'!$T$39:$X$59,2,0)*DU26+VLOOKUP($B$3,'Coeff EC7'!$T$65:$X$85,2,0)*Model0.1T!DV26)/1.5,PI()*DS$12*$Q26*($B26-$B25)*0.15/10+DW25)</f>
        <v>#N/A</v>
      </c>
      <c r="DX26" s="102" t="e">
        <f>(VLOOKUP($B$3,'Coeff EC7'!$T$39:$X$59,3,0)*DU26+VLOOKUP($B$3,'Coeff EC7'!$T$65:$X$85,3,0)*Model0.1T!DV26)/1.1</f>
        <v>#N/A</v>
      </c>
      <c r="DY26" s="102" t="e">
        <f t="shared" si="90"/>
        <v>#N/A</v>
      </c>
      <c r="DZ26" s="102" t="e">
        <f t="shared" si="91"/>
        <v>#N/A</v>
      </c>
      <c r="EA26" s="414" t="e">
        <f>IF(AND(DW26&gt;NDC!$C$63,DX26&gt;NDC!$C$65,DY26&gt;NDC!$D$73,DZ26&gt;NDC!$D$74,$B26&gt;NDC!$H$22-0.1+MIN(3*EA$12,1.5)),0,1)</f>
        <v>#N/A</v>
      </c>
      <c r="EB26" s="86" t="b">
        <f t="shared" si="51"/>
        <v>0</v>
      </c>
      <c r="EC26" s="418">
        <f t="shared" si="52"/>
        <v>0.51</v>
      </c>
      <c r="ED26" s="86">
        <f t="shared" si="53"/>
        <v>0.51</v>
      </c>
      <c r="EE26" s="30" t="e">
        <f t="shared" ca="1" si="92"/>
        <v>#DIV/0!</v>
      </c>
      <c r="EF26" s="85" t="e">
        <f ca="1">IF(DL26&lt;=Hypothèses!$V$7,Hypothèses!$W$7,IF(DL26&lt;=Hypothèses!$V$8,Hypothèses!$W$8,IF(DL26&lt;=Hypothèses!$V$9,Hypothèses!$W$9,IF(DL26&lt;=Hypothèses!$V$10,Hypothèses!$W$10,IF(DL26&lt;=Hypothèses!$V$11,Hypothèses!$W$11,IF(DL26&lt;=Hypothèses!$V$12,Hypothèses!$W$12,IF(DL26&lt;=Hypothèses!$V$13,Hypothèses!$W$13,IF(DL26&lt;=Hypothèses!$V$14,Hypothèses!$W$14,IF(DL26&lt;=Hypothèses!$V$15,Hypothèses!$W$15,IF(DL26&lt;=Hypothèses!$V$16,Hypothèses!$W$16,IF(DL26&lt;=Hypothèses!$V$17,Hypothèses!$W$17,IF(DL26&lt;=Hypothèses!$V$18,Hypothèses!$W$18,""))))))))))))</f>
        <v>#DIV/0!</v>
      </c>
      <c r="EG26" s="87" t="e">
        <f t="shared" ca="1" si="122"/>
        <v>#DIV/0!</v>
      </c>
      <c r="EH26" s="88" t="e">
        <f ca="1">IF(DL26&lt;=Hypothèses!$V$7,Hypothèses!$X$7,IF(DL26&lt;=Hypothèses!$V$8,Hypothèses!$X$8,IF(DL26&lt;=Hypothèses!$V$9,Hypothèses!$X$9,IF(DL26&lt;=Hypothèses!$V$10,Hypothèses!$X$10,IF(DL26&lt;=Hypothèses!$V$11,Hypothèses!$X$11,IF(DL26&lt;=Hypothèses!$V$12,Hypothèses!$X$12,IF(DL26&lt;=Hypothèses!$V$13,Hypothèses!$X$13,IF(DL26&lt;=Hypothèses!$V$14,Hypothèses!$X$14,IF(DL26&lt;=Hypothèses!$V$15,Hypothèses!$X$15,IF(DL26&lt;=Hypothèses!$V$16,Hypothèses!$X$16,IF(DL26&lt;=Hypothèses!$U$17,Hypothèses!$W$17,IF(DL26&lt;=Hypothèses!$U$18,Hypothèses!$W$18,""))))))))))))</f>
        <v>#DIV/0!</v>
      </c>
      <c r="EI26" s="95" t="e">
        <f t="shared" ca="1" si="93"/>
        <v>#DIV/0!</v>
      </c>
      <c r="EJ26" s="101">
        <f t="shared" si="129"/>
        <v>0</v>
      </c>
      <c r="EK26" s="91">
        <f t="shared" si="55"/>
        <v>0</v>
      </c>
      <c r="EL26" s="30" t="e">
        <f t="shared" si="112"/>
        <v>#N/A</v>
      </c>
      <c r="EM26" s="30" t="e">
        <f t="shared" si="113"/>
        <v>#N/A</v>
      </c>
      <c r="EN26" s="31" t="e">
        <f>IF(OR(Hypothèses!$B$4=17,Hypothèses!$B$4=18,Hypothèses!$B$4=19,Hypothèses!$B$4=20),
IF($D26="Pressio.",
IF(OR($E26=3,$E26=1,$E26=4),EM26,EL26),
IF($D26="Pénétro.",
IF(OR($E26=3,$E26=1,$E26=4),EM26,EL26))),IF($D26="Pressio.",
IF($E26=3,EM26,EL26),
IF($D26="Pénétro.",
IF($E26=4,EM26,EL26))))</f>
        <v>#N/A</v>
      </c>
      <c r="EO26" s="31">
        <v>0</v>
      </c>
      <c r="EP26" s="102" t="e">
        <f>IF(NDC!$H$10="Oui",(VLOOKUP($B$3,'Coeff EC7'!$T$39:$X$59,2,0)*EN26+VLOOKUP($B$3,'Coeff EC7'!$T$65:$X$85,2,0)*Model0.1T!EO26)/1.5,PI()*EL$12*$Q26*($B26-$B25)*0.15/10+EP25)</f>
        <v>#N/A</v>
      </c>
      <c r="EQ26" s="102" t="e">
        <f>(VLOOKUP($B$3,'Coeff EC7'!$T$39:$X$59,3,0)*EN26+VLOOKUP($B$3,'Coeff EC7'!$T$65:$X$85,3,0)*Model0.1T!EO26)/1.1</f>
        <v>#N/A</v>
      </c>
      <c r="ER26" s="102" t="e">
        <f t="shared" si="94"/>
        <v>#N/A</v>
      </c>
      <c r="ES26" s="102" t="e">
        <f t="shared" si="95"/>
        <v>#N/A</v>
      </c>
      <c r="ET26" s="414" t="e">
        <f>IF(AND(EP26&gt;NDC!$C$63,EQ26&gt;NDC!$C$65,ER26&gt;NDC!$D$73,ES26&gt;NDC!$D$74,$B26&gt;NDC!$H$22-0.1+MIN(3*ET$12,1.5)),0,1)</f>
        <v>#N/A</v>
      </c>
      <c r="EU26" s="86" t="b">
        <f t="shared" si="58"/>
        <v>0</v>
      </c>
      <c r="EV26" s="86">
        <f t="shared" si="59"/>
        <v>0.61</v>
      </c>
      <c r="EW26" s="86">
        <f t="shared" si="60"/>
        <v>0.61</v>
      </c>
      <c r="EX26" s="30" t="e">
        <f t="shared" ca="1" si="96"/>
        <v>#DIV/0!</v>
      </c>
      <c r="EY26" s="85" t="e">
        <f ca="1">IF(EE26&lt;=Hypothèses!$V$7,Hypothèses!$W$7,IF(EE26&lt;=Hypothèses!$V$8,Hypothèses!$W$8,IF(EE26&lt;=Hypothèses!$V$9,Hypothèses!$W$9,IF(EE26&lt;=Hypothèses!$V$10,Hypothèses!$W$10,IF(EE26&lt;=Hypothèses!$V$11,Hypothèses!$W$11,IF(EE26&lt;=Hypothèses!$V$12,Hypothèses!$W$12,IF(EE26&lt;=Hypothèses!$V$13,Hypothèses!$W$13,IF(EE26&lt;=Hypothèses!$V$14,Hypothèses!$W$14,IF(EE26&lt;=Hypothèses!$V$15,Hypothèses!$W$15,IF(EE26&lt;=Hypothèses!$V$16,Hypothèses!$W$16,IF(EE26&lt;=Hypothèses!$V$17,Hypothèses!$W$17,IF(EE26&lt;=Hypothèses!$V$18,Hypothèses!$W$18,""))))))))))))</f>
        <v>#DIV/0!</v>
      </c>
      <c r="EZ26" s="87" t="e">
        <f t="shared" ca="1" si="123"/>
        <v>#DIV/0!</v>
      </c>
      <c r="FA26" s="88" t="e">
        <f ca="1">IF(EE26&lt;=Hypothèses!$V$7,Hypothèses!$X$7,IF(EE26&lt;=Hypothèses!$V$8,Hypothèses!$X$8,IF(EE26&lt;=Hypothèses!$V$9,Hypothèses!$X$9,IF(EE26&lt;=Hypothèses!$V$10,Hypothèses!$X$10,IF(EE26&lt;=Hypothèses!$V$11,Hypothèses!$X$11,IF(EE26&lt;=Hypothèses!$V$12,Hypothèses!$X$12,IF(EE26&lt;=Hypothèses!$V$13,Hypothèses!$X$13,IF(EE26&lt;=Hypothèses!$V$14,Hypothèses!$X$14,IF(EE26&lt;=Hypothèses!$V$15,Hypothèses!$X$15,IF(EE26&lt;=Hypothèses!$V$16,Hypothèses!$X$16,IF(EE26&lt;=Hypothèses!$U$17,Hypothèses!$W$17,IF(EE26&lt;=Hypothèses!$U$18,Hypothèses!$W$18,""))))))))))))</f>
        <v>#DIV/0!</v>
      </c>
      <c r="FB26" s="95" t="e">
        <f t="shared" ca="1" si="97"/>
        <v>#DIV/0!</v>
      </c>
      <c r="FC26" s="101">
        <f t="shared" si="130"/>
        <v>0</v>
      </c>
      <c r="FD26" s="91">
        <f t="shared" si="62"/>
        <v>0</v>
      </c>
      <c r="FE26" s="30" t="e">
        <f t="shared" si="114"/>
        <v>#N/A</v>
      </c>
      <c r="FF26" s="30" t="e">
        <f t="shared" si="115"/>
        <v>#N/A</v>
      </c>
      <c r="FG26" s="31" t="e">
        <f>IF(OR(Hypothèses!$B$4=17,Hypothèses!$B$4=18,Hypothèses!$B$4=19,Hypothèses!$B$4=20),
IF($D26="Pressio.",
IF(OR($E26=3,$E26=1,$E26=4),FF26,FE26),
IF($D26="Pénétro.",
IF(OR($E26=3,$E26=1,$E26=4),FF26,FE26))),IF($D26="Pressio.",
IF($E26=3,FF26,FE26),
IF($D26="Pénétro.",
IF($E26=4,FF26,FE26))))</f>
        <v>#N/A</v>
      </c>
      <c r="FH26" s="31">
        <v>0</v>
      </c>
      <c r="FI26" s="102" t="e">
        <f>IF(NDC!$H$10="Oui",(VLOOKUP($B$3,'Coeff EC7'!$T$39:$X$59,2,0)*FG26+VLOOKUP($B$3,'Coeff EC7'!$T$65:$X$85,2,0)*Model0.1T!FH26)/1.5,PI()*FE$12*$Q26*($B26-$B25)*0.15/10+FI25)</f>
        <v>#N/A</v>
      </c>
      <c r="FJ26" s="102" t="e">
        <f>(VLOOKUP($B$3,'Coeff EC7'!$T$39:$X$59,3,0)*FG26+VLOOKUP($B$3,'Coeff EC7'!$T$65:$X$85,3,0)*Model0.1T!FH26)/1.1</f>
        <v>#N/A</v>
      </c>
      <c r="FK26" s="102" t="e">
        <f t="shared" si="98"/>
        <v>#N/A</v>
      </c>
      <c r="FL26" s="102" t="e">
        <f t="shared" si="99"/>
        <v>#N/A</v>
      </c>
      <c r="FM26" s="414" t="e">
        <f>IF(AND(FI26&gt;NDC!$C$63,FJ26&gt;NDC!$C$65,FK26&gt;NDC!$D$73,FL26&gt;NDC!$D$74,$B26&gt;NDC!$H$22-0.1+MIN(3*FM$12,1.5)),0,1)</f>
        <v>#N/A</v>
      </c>
    </row>
    <row r="27" spans="1:169">
      <c r="A27" s="96">
        <f t="shared" si="65"/>
        <v>98.60000000000008</v>
      </c>
      <c r="B27" s="97">
        <v>1.4</v>
      </c>
      <c r="C27" s="81">
        <f>IF(B27&lt;=Hypothèses!$C$7,Hypothèses!$A$7,IF(B27&lt;=Hypothèses!$C$8,Hypothèses!$A$8,IF(B27&lt;=Hypothèses!$C$9,Hypothèses!$A$9,IF(B27&lt;=Hypothèses!$C$10,Hypothèses!$A$10,IF(B27&lt;=Hypothèses!$C$11,Hypothèses!$A$11,IF(B27&lt;=Hypothèses!$C$12,Hypothèses!$A$12,IF(B27&lt;=Hypothèses!$C$13,Hypothèses!$A$13,IF(B27&lt;=Hypothèses!$C$14,Hypothèses!$A$14,IF(B27&lt;=Hypothèses!$C$15,Hypothèses!$A$15,IF(B27&lt;=Hypothèses!$C$16,Hypothèses!$A$16,IF(B27&lt;=Hypothèses!$C$17,Hypothèses!$A$17,IF(B27&lt;=Hypothèses!$C$18,Hypothèses!$A$18,C26))))))))))))</f>
        <v>11</v>
      </c>
      <c r="D27" s="82" t="str">
        <f>IF(B27&lt;=Hypothèses!$C$7,Hypothèses!$R$7,IF(B27&lt;=Hypothèses!$C$8,Hypothèses!$R$8,IF(B27&lt;=Hypothèses!$C$9,Hypothèses!$R$9,IF(B27&lt;=Hypothèses!$C$10,Hypothèses!$R$10,IF(B27&lt;=Hypothèses!$C$11,Hypothèses!$R$11,IF(B27&lt;=Hypothèses!$C$12,Hypothèses!$R$12,IF(B27&lt;=Hypothèses!$C$13,Hypothèses!$R$13,IF(B27&lt;=Hypothèses!$C$14,Hypothèses!$R$14,IF(B27&lt;=Hypothèses!$C$15,Hypothèses!$R$15,IF(B27&lt;=Hypothèses!$C$16,Hypothèses!$R$16,IF(B27&lt;=Hypothèses!$C$17,Hypothèses!$R$17,IF(B27&lt;=Hypothèses!$C$18,Hypothèses!$R$18,D26))))))))))))</f>
        <v>Pressio.</v>
      </c>
      <c r="E27" s="82" t="e">
        <f>IF(B27&lt;=Hypothèses!$C$7,Hypothèses!$G$7,IF(B27&lt;=Hypothèses!$C$8,Hypothèses!$G$8,IF(B27&lt;=Hypothèses!$C$9,Hypothèses!$G$9,IF(B27&lt;=Hypothèses!$C$10,Hypothèses!$G$10,IF(B27&lt;=Hypothèses!$C$11,Hypothèses!$G$11,IF(B27&lt;=Hypothèses!$C$12,Hypothèses!$G$12,IF(B27&lt;=Hypothèses!$C$13,Hypothèses!$G$13,IF(B27&lt;=Hypothèses!$C$14,Hypothèses!$G$14,IF(B27&lt;=Hypothèses!$C$15,Hypothèses!$G$15,IF(B27&lt;=Hypothèses!$C$16,Hypothèses!$G$16,IF(B27&lt;=Hypothèses!$C$17,Hypothèses!$G$17,IF(B27&lt;=Hypothèses!$C$18,Hypothèses!$G$18,E26))))))))))))</f>
        <v>#N/A</v>
      </c>
      <c r="F27" s="82" t="str">
        <f>IF(B27&lt;=Hypothèses!$C$7,Hypothèses!$F$7,IF(B27&lt;=Hypothèses!$C$8,Hypothèses!$F$8,IF(B27&lt;=Hypothèses!$C$9,Hypothèses!$F$9,IF(B27&lt;=Hypothèses!$C$10,Hypothèses!$F$10,IF(B27&lt;=Hypothèses!$C$11,Hypothèses!$F$11,IF(B27&lt;=Hypothèses!$C$12,Hypothèses!$F$12,IF(B27&lt;=Hypothèses!$C$13,Hypothèses!$F$13,IF(B27&lt;=Hypothèses!$C$14,Hypothèses!$F$14,IF(B27&lt;=Hypothèses!$C$15,Hypothèses!$F$15,IF(B27&lt;=Hypothèses!$C$16,Hypothèses!$F$16,IF(B27&lt;=Hypothèses!$C$17,Hypothèses!$F$17,IF(B27&lt;=Hypothèses!$C$18,Hypothèses!$F$18,F26))))))))))))</f>
        <v/>
      </c>
      <c r="G27" s="91">
        <f t="array" ref="G27">INDEX('Coeff EC7'!$U$7:$X$27,
MATCH(Model0.1T!$B$3,'Coeff EC7'!$T$7:$T$27,0),
MATCH(Model0.1T!$D27&amp;Model0.1T!$B$4,
'Coeff EC7'!$U$6:$X$6&amp;
'Coeff EC7'!$U$5:$X$5,0))</f>
        <v>1.4</v>
      </c>
      <c r="H27" s="91">
        <f t="array" ref="H27">INDEX('Coeff EC7'!$Y$7:$AB$27,
MATCH(Model0.1T!$B$3,'Coeff EC7'!$T$7:$T$27,0),
MATCH(Model0.1T!$D27&amp;Model0.1T!$B$4,
'Coeff EC7'!$Y$6:$AB$6&amp;
'Coeff EC7'!$Y$5:$AB$5,0))</f>
        <v>1.7</v>
      </c>
      <c r="I27" s="83">
        <v>0</v>
      </c>
      <c r="J27" s="91" t="e">
        <f t="array" ref="J27">INDEX('Coeff EC7'!$D$33:$Q$33,1,MATCH(D27&amp;E27,'Coeff EC7'!$D$31:$Q$31&amp;'Coeff EC7'!$D$32:$Q$32,0))</f>
        <v>#N/A</v>
      </c>
      <c r="K27" s="91" t="e">
        <f t="array" ref="K27">INDEX('Coeff EC7'!$D$34:$Q$34,1,MATCH(D27&amp;E27,'Coeff EC7'!$D$31:$Q$31&amp;'Coeff EC7'!$D$32:$Q$32,0))</f>
        <v>#N/A</v>
      </c>
      <c r="L27" s="91" t="e">
        <f t="array" ref="L27">INDEX('Coeff EC7'!$D$35:$Q$35,1,MATCH(D27&amp;E27,'Coeff EC7'!$D$31:$Q$31&amp;'Coeff EC7'!$D$32:$Q$32,0))</f>
        <v>#N/A</v>
      </c>
      <c r="M27" s="98" t="e">
        <f t="shared" si="8"/>
        <v>#N/A</v>
      </c>
      <c r="N27" s="99" t="e">
        <f t="array" ref="N27">INDEX('Coeff EC7'!$D$7:$Q$27,MATCH($B$3,'Coeff EC7'!$C$7:$C$27,0),MATCH(D27&amp;E27,'Coeff EC7'!$D$5:$Q$5&amp;'Coeff EC7'!$D$6:$Q$6,0))</f>
        <v>#N/A</v>
      </c>
      <c r="O27" s="99" t="e">
        <f t="array" ref="O27">INDEX('Coeff EC7'!$D$41:$Q$61,MATCH($B$3,'Coeff EC7'!$C$41:$C$61,0),MATCH(D27&amp;E27,'Coeff EC7'!$D$39:$Q$39&amp;'Coeff EC7'!$D$40:$Q$40,0))</f>
        <v>#N/A</v>
      </c>
      <c r="P27" s="30" t="e">
        <f t="shared" si="66"/>
        <v>#N/A</v>
      </c>
      <c r="Q27" s="100" t="e">
        <f t="shared" si="10"/>
        <v>#N/A</v>
      </c>
      <c r="R27" s="86" t="b">
        <f t="shared" si="11"/>
        <v>0</v>
      </c>
      <c r="S27" s="86">
        <f t="shared" si="9"/>
        <v>0.5</v>
      </c>
      <c r="T27" s="86">
        <f t="shared" si="12"/>
        <v>0.5</v>
      </c>
      <c r="U27" s="30" t="e">
        <f t="shared" ca="1" si="67"/>
        <v>#DIV/0!</v>
      </c>
      <c r="V27" s="85" t="str">
        <f>IF(B27&lt;=Hypothèses!$V$7,Hypothèses!$W$7,IF(B27&lt;=Hypothèses!$V$8,Hypothèses!$W$8,IF(B27&lt;=Hypothèses!$V$9,Hypothèses!$W$9,IF(B27&lt;=Hypothèses!$V$10,Hypothèses!$W$10,IF(B27&lt;=Hypothèses!$V$11,Hypothèses!$W$11,IF(B27&lt;=Hypothèses!$V$12,Hypothèses!$W$12,IF(B27&lt;=Hypothèses!$V$13,Hypothèses!$W$13,IF(B27&lt;=Hypothèses!$V$14,Hypothèses!$W$14,IF(B27&lt;=Hypothèses!$V$15,Hypothèses!$W$15,IF(B27&lt;=Hypothèses!$V$16,Hypothèses!$W$16,IF(B27&lt;=Hypothèses!$V$17,Hypothèses!$W$17,IF(B27&lt;=Hypothèses!$V$18,Hypothèses!$W$18,""))))))))))))</f>
        <v/>
      </c>
      <c r="W27" s="87" t="e">
        <f t="shared" ca="1" si="116"/>
        <v>#DIV/0!</v>
      </c>
      <c r="X27" s="88" t="str">
        <f>IF(B27&lt;=Hypothèses!$V$7,Hypothèses!$X$7,IF(B27&lt;=Hypothèses!$V$8,Hypothèses!$X$8,IF(B27&lt;=Hypothèses!$V$9,Hypothèses!$X$9,IF(B27&lt;=Hypothèses!$V$10,Hypothèses!$X$10,IF(B27&lt;=Hypothèses!$V$11,Hypothèses!$X$11,IF(B27&lt;=Hypothèses!$V$12,Hypothèses!$X$12,IF(B27&lt;=Hypothèses!$V$13,Hypothèses!$X$13,IF(B27&lt;=Hypothèses!$V$14,Hypothèses!$X$14,IF(B27&lt;=Hypothèses!$V$15,Hypothèses!$X$15,IF(B27&lt;=Hypothèses!$V$16,Hypothèses!$X$16,IF(B27&lt;=Hypothèses!$U$17,Hypothèses!$W$17,IF(B27&lt;=Hypothèses!$U$18,Hypothèses!$W$18,""))))))))))))</f>
        <v/>
      </c>
      <c r="Y27" s="95" t="e">
        <f t="shared" ca="1" si="13"/>
        <v>#DIV/0!</v>
      </c>
      <c r="Z27" s="101">
        <f t="shared" si="14"/>
        <v>0</v>
      </c>
      <c r="AA27" s="91">
        <f t="shared" si="15"/>
        <v>0</v>
      </c>
      <c r="AB27" s="30" t="e">
        <f t="shared" si="100"/>
        <v>#N/A</v>
      </c>
      <c r="AC27" s="30" t="e">
        <f t="shared" si="101"/>
        <v>#N/A</v>
      </c>
      <c r="AD27" s="31" t="e">
        <f>IF(OR(Hypothèses!$B$4=17,Hypothèses!$B$4=18,Hypothèses!$B$4=19,Hypothèses!$B$4=20),
IF($D27="Pressio.",
IF(OR($E27=3,$E27=1,$E27=4),AC27,AB27),
IF($D27="Pénétro.",
IF(OR($E27=3,$E27=1,$E27=4),AC27,AB27))),IF($D27="Pressio.",
IF($E27=3,AC27,AB27),
IF($D27="Pénétro.",
IF($E27=4,AC27,AB27))))</f>
        <v>#N/A</v>
      </c>
      <c r="AE27" s="31">
        <v>0</v>
      </c>
      <c r="AF27" s="102" t="e">
        <f>IF(NDC!$H$10="Oui",(VLOOKUP($B$3,'Coeff EC7'!$T$39:$X$59,2,0)*AD27+VLOOKUP($B$3,'Coeff EC7'!$T$65:$X$85,2,0)*Model0.1T!AE27)/1.5,PI()*AB$12*$Q27*($B27-$B26)*0.15/10+AF26)</f>
        <v>#N/A</v>
      </c>
      <c r="AG27" s="102" t="e">
        <f>(VLOOKUP($B$3,'Coeff EC7'!$T$39:$X$59,3,0)*AD27+VLOOKUP($B$3,'Coeff EC7'!$T$65:$X$85,3,0)*Model0.1T!AE27)/1.1</f>
        <v>#N/A</v>
      </c>
      <c r="AH27" s="102" t="e">
        <f t="shared" si="68"/>
        <v>#N/A</v>
      </c>
      <c r="AI27" s="102" t="e">
        <f t="shared" si="69"/>
        <v>#N/A</v>
      </c>
      <c r="AJ27" s="414" t="e">
        <f>IF(AND(AF27&gt;NDC!$C$63,AG27&gt;NDC!$C$65,AH27&gt;NDC!$D$73,AI27&gt;NDC!$D$74,$B27&gt;NDC!$H$22-0.1+MIN(3*$AJ$12,1.5)),0,1)</f>
        <v>#N/A</v>
      </c>
      <c r="AK27" s="86" t="b">
        <f t="shared" si="18"/>
        <v>0</v>
      </c>
      <c r="AL27" s="86">
        <f t="shared" si="70"/>
        <v>0.5</v>
      </c>
      <c r="AM27" s="86">
        <f t="shared" si="19"/>
        <v>0.5</v>
      </c>
      <c r="AN27" s="30" t="e">
        <f t="shared" ca="1" si="71"/>
        <v>#DIV/0!</v>
      </c>
      <c r="AO27" s="85" t="e">
        <f ca="1">IF(U27&lt;=Hypothèses!$V$7,Hypothèses!$W$7,IF(U27&lt;=Hypothèses!$V$8,Hypothèses!$W$8,IF(U27&lt;=Hypothèses!$V$9,Hypothèses!$W$9,IF(U27&lt;=Hypothèses!$V$10,Hypothèses!$W$10,IF(U27&lt;=Hypothèses!$V$11,Hypothèses!$W$11,IF(U27&lt;=Hypothèses!$V$12,Hypothèses!$W$12,IF(U27&lt;=Hypothèses!$V$13,Hypothèses!$W$13,IF(U27&lt;=Hypothèses!$V$14,Hypothèses!$W$14,IF(U27&lt;=Hypothèses!$V$15,Hypothèses!$W$15,IF(U27&lt;=Hypothèses!$V$16,Hypothèses!$W$16,IF(U27&lt;=Hypothèses!$V$17,Hypothèses!$W$17,IF(U27&lt;=Hypothèses!$V$18,Hypothèses!$W$18,""))))))))))))</f>
        <v>#DIV/0!</v>
      </c>
      <c r="AP27" s="87" t="e">
        <f t="shared" ca="1" si="117"/>
        <v>#DIV/0!</v>
      </c>
      <c r="AQ27" s="88" t="e">
        <f ca="1">IF(U27&lt;=Hypothèses!$V$7,Hypothèses!$X$7,IF(U27&lt;=Hypothèses!$V$8,Hypothèses!$X$8,IF(U27&lt;=Hypothèses!$V$9,Hypothèses!$X$9,IF(U27&lt;=Hypothèses!$V$10,Hypothèses!$X$10,IF(U27&lt;=Hypothèses!$V$11,Hypothèses!$X$11,IF(U27&lt;=Hypothèses!$V$12,Hypothèses!$X$12,IF(U27&lt;=Hypothèses!$V$13,Hypothèses!$X$13,IF(U27&lt;=Hypothèses!$V$14,Hypothèses!$X$14,IF(U27&lt;=Hypothèses!$V$15,Hypothèses!$X$15,IF(U27&lt;=Hypothèses!$V$16,Hypothèses!$X$16,IF(U27&lt;=Hypothèses!$U$17,Hypothèses!$W$17,IF(U27&lt;=Hypothèses!$U$18,Hypothèses!$W$18,""))))))))))))</f>
        <v>#DIV/0!</v>
      </c>
      <c r="AR27" s="95" t="e">
        <f t="shared" ca="1" si="72"/>
        <v>#DIV/0!</v>
      </c>
      <c r="AS27" s="101">
        <f t="shared" si="124"/>
        <v>0</v>
      </c>
      <c r="AT27" s="91">
        <f t="shared" si="21"/>
        <v>0</v>
      </c>
      <c r="AU27" s="30" t="e">
        <f t="shared" si="102"/>
        <v>#N/A</v>
      </c>
      <c r="AV27" s="30" t="e">
        <f t="shared" si="103"/>
        <v>#N/A</v>
      </c>
      <c r="AW27" s="31" t="e">
        <f>IF(OR(Hypothèses!$B$4=17,Hypothèses!$B$4=18,Hypothèses!$B$4=19,Hypothèses!$B$4=20),
IF($D27="Pressio.",
IF(OR($E27=3,$E27=1,$E27=4),AV27,AU27),
IF($D27="Pénétro.",
IF(OR($E27=3,$E27=1,$E27=4),AV27,AU27))),IF($D27="Pressio.",
IF($E27=3,AV27,AU27),
IF($D27="Pénétro.",
IF($E27=4,AV27,AU27))))</f>
        <v>#N/A</v>
      </c>
      <c r="AX27" s="31">
        <v>0</v>
      </c>
      <c r="AY27" s="102" t="e">
        <f>IF(NDC!$H$10="Oui",(VLOOKUP($B$3,'Coeff EC7'!$T$39:$X$59,2,0)*AW27+VLOOKUP($B$3,'Coeff EC7'!$T$65:$X$85,2,0)*Model0.1T!AX27)/1.5,PI()*AU$12*$Q27*($B27-$B26)*0.15/10+AY26)</f>
        <v>#N/A</v>
      </c>
      <c r="AZ27" s="102" t="e">
        <f>(VLOOKUP($B$3,'Coeff EC7'!$T$39:$X$59,3,0)*AW27+VLOOKUP($B$3,'Coeff EC7'!$T$65:$X$85,3,0)*Model0.1T!AX27)/1.1</f>
        <v>#N/A</v>
      </c>
      <c r="BA27" s="102" t="e">
        <f t="shared" si="73"/>
        <v>#N/A</v>
      </c>
      <c r="BB27" s="102" t="e">
        <f t="shared" si="74"/>
        <v>#N/A</v>
      </c>
      <c r="BC27" s="414" t="e">
        <f>IF(AND(AY27&gt;NDC!$C$63,AZ27&gt;NDC!$C$65,BA27&gt;NDC!$D$73,BB27&gt;NDC!$D$74,$B27&gt;NDC!$H$22-0.1+MIN(3*BC$12,1.5)),0,1)</f>
        <v>#N/A</v>
      </c>
      <c r="BD27" s="86" t="b">
        <f t="shared" si="24"/>
        <v>0</v>
      </c>
      <c r="BE27" s="86">
        <f t="shared" si="75"/>
        <v>0.5</v>
      </c>
      <c r="BF27" s="86">
        <f t="shared" si="25"/>
        <v>0.5</v>
      </c>
      <c r="BG27" s="30" t="e">
        <f t="shared" ca="1" si="76"/>
        <v>#DIV/0!</v>
      </c>
      <c r="BH27" s="85" t="e">
        <f ca="1">IF(AN27&lt;=Hypothèses!$V$7,Hypothèses!$W$7,IF(AN27&lt;=Hypothèses!$V$8,Hypothèses!$W$8,IF(AN27&lt;=Hypothèses!$V$9,Hypothèses!$W$9,IF(AN27&lt;=Hypothèses!$V$10,Hypothèses!$W$10,IF(AN27&lt;=Hypothèses!$V$11,Hypothèses!$W$11,IF(AN27&lt;=Hypothèses!$V$12,Hypothèses!$W$12,IF(AN27&lt;=Hypothèses!$V$13,Hypothèses!$W$13,IF(AN27&lt;=Hypothèses!$V$14,Hypothèses!$W$14,IF(AN27&lt;=Hypothèses!$V$15,Hypothèses!$W$15,IF(AN27&lt;=Hypothèses!$V$16,Hypothèses!$W$16,IF(AN27&lt;=Hypothèses!$V$17,Hypothèses!$W$17,IF(AN27&lt;=Hypothèses!$V$18,Hypothèses!$W$18,""))))))))))))</f>
        <v>#DIV/0!</v>
      </c>
      <c r="BI27" s="87" t="e">
        <f t="shared" ca="1" si="118"/>
        <v>#DIV/0!</v>
      </c>
      <c r="BJ27" s="88" t="e">
        <f ca="1">IF(AN27&lt;=Hypothèses!$V$7,Hypothèses!$X$7,IF(AN27&lt;=Hypothèses!$V$8,Hypothèses!$X$8,IF(AN27&lt;=Hypothèses!$V$9,Hypothèses!$X$9,IF(AN27&lt;=Hypothèses!$V$10,Hypothèses!$X$10,IF(AN27&lt;=Hypothèses!$V$11,Hypothèses!$X$11,IF(AN27&lt;=Hypothèses!$V$12,Hypothèses!$X$12,IF(AN27&lt;=Hypothèses!$V$13,Hypothèses!$X$13,IF(AN27&lt;=Hypothèses!$V$14,Hypothèses!$X$14,IF(AN27&lt;=Hypothèses!$V$15,Hypothèses!$X$15,IF(AN27&lt;=Hypothèses!$V$16,Hypothèses!$X$16,IF(AN27&lt;=Hypothèses!$U$17,Hypothèses!$W$17,IF(AN27&lt;=Hypothèses!$U$18,Hypothèses!$W$18,""))))))))))))</f>
        <v>#DIV/0!</v>
      </c>
      <c r="BK27" s="95" t="e">
        <f t="shared" ca="1" si="77"/>
        <v>#DIV/0!</v>
      </c>
      <c r="BL27" s="101">
        <f t="shared" si="125"/>
        <v>0</v>
      </c>
      <c r="BM27" s="91">
        <f t="shared" si="27"/>
        <v>0</v>
      </c>
      <c r="BN27" s="30" t="e">
        <f t="shared" si="104"/>
        <v>#N/A</v>
      </c>
      <c r="BO27" s="30" t="e">
        <f t="shared" si="105"/>
        <v>#N/A</v>
      </c>
      <c r="BP27" s="31" t="e">
        <f>IF(OR(Hypothèses!$B$4=17,Hypothèses!$B$4=18,Hypothèses!$B$4=19,Hypothèses!$B$4=20),
IF($D27="Pressio.",
IF(OR($E27=3,$E27=1,$E27=4),BO27,BN27),
IF($D27="Pénétro.",
IF(OR($E27=3,$E27=1,$E27=4),BO27,BN27))),IF($D27="Pressio.",
IF($E27=3,BO27,BN27),
IF($D27="Pénétro.",
IF($E27=4,BO27,BN27))))</f>
        <v>#N/A</v>
      </c>
      <c r="BQ27" s="31">
        <v>0</v>
      </c>
      <c r="BR27" s="102" t="e">
        <f>IF(NDC!$H$10="Oui",(VLOOKUP($B$3,'Coeff EC7'!$T$39:$X$59,2,0)*BP27+VLOOKUP($B$3,'Coeff EC7'!$T$65:$X$85,2,0)*Model0.1T!BQ27)/1.5,PI()*BN$12*$Q27*($B27-$B26)*0.15/10+BR26)</f>
        <v>#N/A</v>
      </c>
      <c r="BS27" s="102" t="e">
        <f>(VLOOKUP($B$3,'Coeff EC7'!$T$39:$X$59,3,0)*BP27+VLOOKUP($B$3,'Coeff EC7'!$T$65:$X$85,3,0)*Model0.1T!BQ27)/1.1</f>
        <v>#N/A</v>
      </c>
      <c r="BT27" s="102" t="e">
        <f t="shared" si="78"/>
        <v>#N/A</v>
      </c>
      <c r="BU27" s="102" t="e">
        <f t="shared" si="79"/>
        <v>#N/A</v>
      </c>
      <c r="BV27" s="414" t="e">
        <f>IF(AND(BR27&gt;NDC!$C$63,BS27&gt;NDC!$C$65,BT27&gt;NDC!$D$73,BU27&gt;NDC!$D$74,$B27&gt;NDC!$H$22-0.1+MIN(3*BV$12,1.5)),0,1)</f>
        <v>#N/A</v>
      </c>
      <c r="BW27" s="86" t="b">
        <f t="shared" si="30"/>
        <v>0</v>
      </c>
      <c r="BX27" s="86">
        <f t="shared" si="31"/>
        <v>0.5</v>
      </c>
      <c r="BY27" s="86">
        <f t="shared" si="32"/>
        <v>0.5</v>
      </c>
      <c r="BZ27" s="30" t="e">
        <f t="shared" ca="1" si="80"/>
        <v>#DIV/0!</v>
      </c>
      <c r="CA27" s="85" t="e">
        <f ca="1">IF(BG27&lt;=Hypothèses!$V$7,Hypothèses!$W$7,IF(BG27&lt;=Hypothèses!$V$8,Hypothèses!$W$8,IF(BG27&lt;=Hypothèses!$V$9,Hypothèses!$W$9,IF(BG27&lt;=Hypothèses!$V$10,Hypothèses!$W$10,IF(BG27&lt;=Hypothèses!$V$11,Hypothèses!$W$11,IF(BG27&lt;=Hypothèses!$V$12,Hypothèses!$W$12,IF(BG27&lt;=Hypothèses!$V$13,Hypothèses!$W$13,IF(BG27&lt;=Hypothèses!$V$14,Hypothèses!$W$14,IF(BG27&lt;=Hypothèses!$V$15,Hypothèses!$W$15,IF(BG27&lt;=Hypothèses!$V$16,Hypothèses!$W$16,IF(BG27&lt;=Hypothèses!$V$17,Hypothèses!$W$17,IF(BG27&lt;=Hypothèses!$V$18,Hypothèses!$W$18,""))))))))))))</f>
        <v>#DIV/0!</v>
      </c>
      <c r="CB27" s="87" t="e">
        <f t="shared" ca="1" si="119"/>
        <v>#DIV/0!</v>
      </c>
      <c r="CC27" s="88" t="e">
        <f ca="1">IF(BG27&lt;=Hypothèses!$V$7,Hypothèses!$X$7,IF(BG27&lt;=Hypothèses!$V$8,Hypothèses!$X$8,IF(BG27&lt;=Hypothèses!$V$9,Hypothèses!$X$9,IF(BG27&lt;=Hypothèses!$V$10,Hypothèses!$X$10,IF(BG27&lt;=Hypothèses!$V$11,Hypothèses!$X$11,IF(BG27&lt;=Hypothèses!$V$12,Hypothèses!$X$12,IF(BG27&lt;=Hypothèses!$V$13,Hypothèses!$X$13,IF(BG27&lt;=Hypothèses!$V$14,Hypothèses!$X$14,IF(BG27&lt;=Hypothèses!$V$15,Hypothèses!$X$15,IF(BG27&lt;=Hypothèses!$V$16,Hypothèses!$X$16,IF(BG27&lt;=Hypothèses!$U$17,Hypothèses!$W$17,IF(BG27&lt;=Hypothèses!$U$18,Hypothèses!$W$18,""))))))))))))</f>
        <v>#DIV/0!</v>
      </c>
      <c r="CD27" s="95" t="e">
        <f t="shared" ca="1" si="81"/>
        <v>#DIV/0!</v>
      </c>
      <c r="CE27" s="101">
        <f t="shared" si="126"/>
        <v>0</v>
      </c>
      <c r="CF27" s="91">
        <f t="shared" si="34"/>
        <v>0</v>
      </c>
      <c r="CG27" s="30" t="e">
        <f t="shared" si="106"/>
        <v>#N/A</v>
      </c>
      <c r="CH27" s="30" t="e">
        <f t="shared" si="107"/>
        <v>#N/A</v>
      </c>
      <c r="CI27" s="31" t="e">
        <f>IF(OR(Hypothèses!$B$4=17,Hypothèses!$B$4=18,Hypothèses!$B$4=19,Hypothèses!$B$4=20),
IF($D27="Pressio.",
IF(OR($E27=3,$E27=1,$E27=4),CH27,CG27),
IF($D27="Pénétro.",
IF(OR($E27=3,$E27=1,$E27=4),CH27,CG27))),IF($D27="Pressio.",
IF($E27=3,CH27,CG27),
IF($D27="Pénétro.",
IF($E27=4,CH27,CG27))))</f>
        <v>#N/A</v>
      </c>
      <c r="CJ27" s="31">
        <v>0</v>
      </c>
      <c r="CK27" s="102" t="e">
        <f>IF(NDC!$H$10="Oui",(VLOOKUP($B$3,'Coeff EC7'!$T$39:$X$59,2,0)*CI27+VLOOKUP($B$3,'Coeff EC7'!$T$65:$X$85,2,0)*Model0.1T!CJ27)/1.5,PI()*CG$12*$Q27*($B27-$B26)*0.15/10+CK26)</f>
        <v>#N/A</v>
      </c>
      <c r="CL27" s="102" t="e">
        <f>(VLOOKUP($B$3,'Coeff EC7'!$T$39:$X$59,3,0)*CI27+VLOOKUP($B$3,'Coeff EC7'!$T$65:$X$85,3,0)*Model0.1T!CJ27)/1.1</f>
        <v>#N/A</v>
      </c>
      <c r="CM27" s="102" t="e">
        <f t="shared" si="82"/>
        <v>#N/A</v>
      </c>
      <c r="CN27" s="102" t="e">
        <f t="shared" si="83"/>
        <v>#N/A</v>
      </c>
      <c r="CO27" s="414" t="e">
        <f>IF(AND(CK27&gt;NDC!$C$63,CL27&gt;NDC!$C$65,CM27&gt;NDC!$D$73,CN27&gt;NDC!$D$74,$B27&gt;NDC!$H$22-0.1+MIN(3*CO$12,1.5)),0,1)</f>
        <v>#N/A</v>
      </c>
      <c r="CP27" s="86" t="b">
        <f t="shared" si="37"/>
        <v>0</v>
      </c>
      <c r="CQ27" s="86">
        <f t="shared" si="38"/>
        <v>0.5</v>
      </c>
      <c r="CR27" s="86">
        <f t="shared" si="39"/>
        <v>0.5</v>
      </c>
      <c r="CS27" s="30" t="e">
        <f t="shared" ca="1" si="84"/>
        <v>#DIV/0!</v>
      </c>
      <c r="CT27" s="85" t="e">
        <f ca="1">IF(BZ27&lt;=Hypothèses!$V$7,Hypothèses!$W$7,IF(BZ27&lt;=Hypothèses!$V$8,Hypothèses!$W$8,IF(BZ27&lt;=Hypothèses!$V$9,Hypothèses!$W$9,IF(BZ27&lt;=Hypothèses!$V$10,Hypothèses!$W$10,IF(BZ27&lt;=Hypothèses!$V$11,Hypothèses!$W$11,IF(BZ27&lt;=Hypothèses!$V$12,Hypothèses!$W$12,IF(BZ27&lt;=Hypothèses!$V$13,Hypothèses!$W$13,IF(BZ27&lt;=Hypothèses!$V$14,Hypothèses!$W$14,IF(BZ27&lt;=Hypothèses!$V$15,Hypothèses!$W$15,IF(BZ27&lt;=Hypothèses!$V$16,Hypothèses!$W$16,IF(BZ27&lt;=Hypothèses!$V$17,Hypothèses!$W$17,IF(BZ27&lt;=Hypothèses!$V$18,Hypothèses!$W$18,""))))))))))))</f>
        <v>#DIV/0!</v>
      </c>
      <c r="CU27" s="87" t="e">
        <f t="shared" ca="1" si="120"/>
        <v>#DIV/0!</v>
      </c>
      <c r="CV27" s="88" t="e">
        <f ca="1">IF(BZ27&lt;=Hypothèses!$V$7,Hypothèses!$X$7,IF(BZ27&lt;=Hypothèses!$V$8,Hypothèses!$X$8,IF(BZ27&lt;=Hypothèses!$V$9,Hypothèses!$X$9,IF(BZ27&lt;=Hypothèses!$V$10,Hypothèses!$X$10,IF(BZ27&lt;=Hypothèses!$V$11,Hypothèses!$X$11,IF(BZ27&lt;=Hypothèses!$V$12,Hypothèses!$X$12,IF(BZ27&lt;=Hypothèses!$V$13,Hypothèses!$X$13,IF(BZ27&lt;=Hypothèses!$V$14,Hypothèses!$X$14,IF(BZ27&lt;=Hypothèses!$V$15,Hypothèses!$X$15,IF(BZ27&lt;=Hypothèses!$V$16,Hypothèses!$X$16,IF(BZ27&lt;=Hypothèses!$U$17,Hypothèses!$W$17,IF(BZ27&lt;=Hypothèses!$U$18,Hypothèses!$W$18,""))))))))))))</f>
        <v>#DIV/0!</v>
      </c>
      <c r="CW27" s="95" t="e">
        <f t="shared" ca="1" si="85"/>
        <v>#DIV/0!</v>
      </c>
      <c r="CX27" s="101">
        <f t="shared" si="127"/>
        <v>0</v>
      </c>
      <c r="CY27" s="91">
        <f t="shared" si="41"/>
        <v>0</v>
      </c>
      <c r="CZ27" s="30" t="e">
        <f t="shared" si="108"/>
        <v>#N/A</v>
      </c>
      <c r="DA27" s="30" t="e">
        <f t="shared" si="109"/>
        <v>#N/A</v>
      </c>
      <c r="DB27" s="31" t="e">
        <f>IF(OR(Hypothèses!$B$4=17,Hypothèses!$B$4=18,Hypothèses!$B$4=19,Hypothèses!$B$4=20),
IF($D27="Pressio.",
IF(OR($E27=3,$E27=1,$E27=4),DA27,CZ27),
IF($D27="Pénétro.",
IF(OR($E27=3,$E27=1,$E27=4),DA27,CZ27))),IF($D27="Pressio.",
IF($E27=3,DA27,CZ27),
IF($D27="Pénétro.",
IF($E27=4,DA27,CZ27))))</f>
        <v>#N/A</v>
      </c>
      <c r="DC27" s="31">
        <v>0</v>
      </c>
      <c r="DD27" s="102" t="e">
        <f>IF(NDC!$H$10="Oui",(VLOOKUP($B$3,'Coeff EC7'!$T$39:$X$59,2,0)*DB27+VLOOKUP($B$3,'Coeff EC7'!$T$65:$X$85,2,0)*Model0.1T!DC27)/1.5,PI()*CZ$12*$Q27*($B27-$B26)*0.15/10+DD26)</f>
        <v>#N/A</v>
      </c>
      <c r="DE27" s="102" t="e">
        <f>(VLOOKUP($B$3,'Coeff EC7'!$T$39:$X$59,3,0)*DB27+VLOOKUP($B$3,'Coeff EC7'!$T$65:$X$85,3,0)*Model0.1T!DC27)/1.1</f>
        <v>#N/A</v>
      </c>
      <c r="DF27" s="102" t="e">
        <f t="shared" si="86"/>
        <v>#N/A</v>
      </c>
      <c r="DG27" s="102" t="e">
        <f t="shared" si="87"/>
        <v>#N/A</v>
      </c>
      <c r="DH27" s="414" t="e">
        <f>IF(AND(DD27&gt;NDC!$C$63,DE27&gt;NDC!$C$65,DF27&gt;NDC!$D$73,DG27&gt;NDC!$D$74,$B27&gt;NDC!$H$22-0.1+MIN(3*DH$12,1.5)),0,1)</f>
        <v>#N/A</v>
      </c>
      <c r="DI27" s="86" t="b">
        <f t="shared" si="44"/>
        <v>0</v>
      </c>
      <c r="DJ27" s="86">
        <f t="shared" si="45"/>
        <v>0.5</v>
      </c>
      <c r="DK27" s="86">
        <f t="shared" si="46"/>
        <v>0.5</v>
      </c>
      <c r="DL27" s="30" t="e">
        <f t="shared" ca="1" si="88"/>
        <v>#DIV/0!</v>
      </c>
      <c r="DM27" s="85" t="e">
        <f ca="1">IF(CS27&lt;=Hypothèses!$V$7,Hypothèses!$W$7,IF(CS27&lt;=Hypothèses!$V$8,Hypothèses!$W$8,IF(CS27&lt;=Hypothèses!$V$9,Hypothèses!$W$9,IF(CS27&lt;=Hypothèses!$V$10,Hypothèses!$W$10,IF(CS27&lt;=Hypothèses!$V$11,Hypothèses!$W$11,IF(CS27&lt;=Hypothèses!$V$12,Hypothèses!$W$12,IF(CS27&lt;=Hypothèses!$V$13,Hypothèses!$W$13,IF(CS27&lt;=Hypothèses!$V$14,Hypothèses!$W$14,IF(CS27&lt;=Hypothèses!$V$15,Hypothèses!$W$15,IF(CS27&lt;=Hypothèses!$V$16,Hypothèses!$W$16,IF(CS27&lt;=Hypothèses!$V$17,Hypothèses!$W$17,IF(CS27&lt;=Hypothèses!$V$18,Hypothèses!$W$18,""))))))))))))</f>
        <v>#DIV/0!</v>
      </c>
      <c r="DN27" s="87" t="e">
        <f t="shared" ca="1" si="121"/>
        <v>#DIV/0!</v>
      </c>
      <c r="DO27" s="88" t="e">
        <f ca="1">IF(CS27&lt;=Hypothèses!$V$7,Hypothèses!$X$7,IF(CS27&lt;=Hypothèses!$V$8,Hypothèses!$X$8,IF(CS27&lt;=Hypothèses!$V$9,Hypothèses!$X$9,IF(CS27&lt;=Hypothèses!$V$10,Hypothèses!$X$10,IF(CS27&lt;=Hypothèses!$V$11,Hypothèses!$X$11,IF(CS27&lt;=Hypothèses!$V$12,Hypothèses!$X$12,IF(CS27&lt;=Hypothèses!$V$13,Hypothèses!$X$13,IF(CS27&lt;=Hypothèses!$V$14,Hypothèses!$X$14,IF(CS27&lt;=Hypothèses!$V$15,Hypothèses!$X$15,IF(CS27&lt;=Hypothèses!$V$16,Hypothèses!$X$16,IF(CS27&lt;=Hypothèses!$U$17,Hypothèses!$W$17,IF(CS27&lt;=Hypothèses!$U$18,Hypothèses!$W$18,""))))))))))))</f>
        <v>#DIV/0!</v>
      </c>
      <c r="DP27" s="95" t="e">
        <f t="shared" ca="1" si="89"/>
        <v>#DIV/0!</v>
      </c>
      <c r="DQ27" s="101">
        <f t="shared" si="128"/>
        <v>0</v>
      </c>
      <c r="DR27" s="91">
        <f t="shared" si="48"/>
        <v>0</v>
      </c>
      <c r="DS27" s="30" t="e">
        <f t="shared" si="110"/>
        <v>#N/A</v>
      </c>
      <c r="DT27" s="30" t="e">
        <f t="shared" si="111"/>
        <v>#N/A</v>
      </c>
      <c r="DU27" s="31" t="e">
        <f>IF(OR(Hypothèses!$B$4=17,Hypothèses!$B$4=18,Hypothèses!$B$4=19,Hypothèses!$B$4=20),
IF($D27="Pressio.",
IF(OR($E27=3,$E27=1,$E27=4),DT27,DS27),
IF($D27="Pénétro.",
IF(OR($E27=3,$E27=1,$E27=4),DT27,DS27))),IF($D27="Pressio.",
IF($E27=3,DT27,DS27),
IF($D27="Pénétro.",
IF($E27=4,DT27,DS27))))</f>
        <v>#N/A</v>
      </c>
      <c r="DV27" s="31">
        <v>0</v>
      </c>
      <c r="DW27" s="102" t="e">
        <f>IF(NDC!$H$10="Oui",(VLOOKUP($B$3,'Coeff EC7'!$T$39:$X$59,2,0)*DU27+VLOOKUP($B$3,'Coeff EC7'!$T$65:$X$85,2,0)*Model0.1T!DV27)/1.5,PI()*DS$12*$Q27*($B27-$B26)*0.15/10+DW26)</f>
        <v>#N/A</v>
      </c>
      <c r="DX27" s="102" t="e">
        <f>(VLOOKUP($B$3,'Coeff EC7'!$T$39:$X$59,3,0)*DU27+VLOOKUP($B$3,'Coeff EC7'!$T$65:$X$85,3,0)*Model0.1T!DV27)/1.1</f>
        <v>#N/A</v>
      </c>
      <c r="DY27" s="102" t="e">
        <f t="shared" si="90"/>
        <v>#N/A</v>
      </c>
      <c r="DZ27" s="102" t="e">
        <f t="shared" si="91"/>
        <v>#N/A</v>
      </c>
      <c r="EA27" s="414" t="e">
        <f>IF(AND(DW27&gt;NDC!$C$63,DX27&gt;NDC!$C$65,DY27&gt;NDC!$D$73,DZ27&gt;NDC!$D$74,$B27&gt;NDC!$H$22-0.1+MIN(3*EA$12,1.5)),0,1)</f>
        <v>#N/A</v>
      </c>
      <c r="EB27" s="86" t="b">
        <f t="shared" si="51"/>
        <v>0</v>
      </c>
      <c r="EC27" s="418">
        <f t="shared" si="52"/>
        <v>0.51</v>
      </c>
      <c r="ED27" s="86">
        <f t="shared" si="53"/>
        <v>0.51</v>
      </c>
      <c r="EE27" s="30" t="e">
        <f t="shared" ca="1" si="92"/>
        <v>#DIV/0!</v>
      </c>
      <c r="EF27" s="85" t="e">
        <f ca="1">IF(DL27&lt;=Hypothèses!$V$7,Hypothèses!$W$7,IF(DL27&lt;=Hypothèses!$V$8,Hypothèses!$W$8,IF(DL27&lt;=Hypothèses!$V$9,Hypothèses!$W$9,IF(DL27&lt;=Hypothèses!$V$10,Hypothèses!$W$10,IF(DL27&lt;=Hypothèses!$V$11,Hypothèses!$W$11,IF(DL27&lt;=Hypothèses!$V$12,Hypothèses!$W$12,IF(DL27&lt;=Hypothèses!$V$13,Hypothèses!$W$13,IF(DL27&lt;=Hypothèses!$V$14,Hypothèses!$W$14,IF(DL27&lt;=Hypothèses!$V$15,Hypothèses!$W$15,IF(DL27&lt;=Hypothèses!$V$16,Hypothèses!$W$16,IF(DL27&lt;=Hypothèses!$V$17,Hypothèses!$W$17,IF(DL27&lt;=Hypothèses!$V$18,Hypothèses!$W$18,""))))))))))))</f>
        <v>#DIV/0!</v>
      </c>
      <c r="EG27" s="87" t="e">
        <f t="shared" ca="1" si="122"/>
        <v>#DIV/0!</v>
      </c>
      <c r="EH27" s="88" t="e">
        <f ca="1">IF(DL27&lt;=Hypothèses!$V$7,Hypothèses!$X$7,IF(DL27&lt;=Hypothèses!$V$8,Hypothèses!$X$8,IF(DL27&lt;=Hypothèses!$V$9,Hypothèses!$X$9,IF(DL27&lt;=Hypothèses!$V$10,Hypothèses!$X$10,IF(DL27&lt;=Hypothèses!$V$11,Hypothèses!$X$11,IF(DL27&lt;=Hypothèses!$V$12,Hypothèses!$X$12,IF(DL27&lt;=Hypothèses!$V$13,Hypothèses!$X$13,IF(DL27&lt;=Hypothèses!$V$14,Hypothèses!$X$14,IF(DL27&lt;=Hypothèses!$V$15,Hypothèses!$X$15,IF(DL27&lt;=Hypothèses!$V$16,Hypothèses!$X$16,IF(DL27&lt;=Hypothèses!$U$17,Hypothèses!$W$17,IF(DL27&lt;=Hypothèses!$U$18,Hypothèses!$W$18,""))))))))))))</f>
        <v>#DIV/0!</v>
      </c>
      <c r="EI27" s="95" t="e">
        <f t="shared" ca="1" si="93"/>
        <v>#DIV/0!</v>
      </c>
      <c r="EJ27" s="101">
        <f t="shared" si="129"/>
        <v>0</v>
      </c>
      <c r="EK27" s="91">
        <f t="shared" si="55"/>
        <v>0</v>
      </c>
      <c r="EL27" s="30" t="e">
        <f t="shared" si="112"/>
        <v>#N/A</v>
      </c>
      <c r="EM27" s="30" t="e">
        <f t="shared" si="113"/>
        <v>#N/A</v>
      </c>
      <c r="EN27" s="31" t="e">
        <f>IF(OR(Hypothèses!$B$4=17,Hypothèses!$B$4=18,Hypothèses!$B$4=19,Hypothèses!$B$4=20),
IF($D27="Pressio.",
IF(OR($E27=3,$E27=1,$E27=4),EM27,EL27),
IF($D27="Pénétro.",
IF(OR($E27=3,$E27=1,$E27=4),EM27,EL27))),IF($D27="Pressio.",
IF($E27=3,EM27,EL27),
IF($D27="Pénétro.",
IF($E27=4,EM27,EL27))))</f>
        <v>#N/A</v>
      </c>
      <c r="EO27" s="31">
        <v>0</v>
      </c>
      <c r="EP27" s="102" t="e">
        <f>IF(NDC!$H$10="Oui",(VLOOKUP($B$3,'Coeff EC7'!$T$39:$X$59,2,0)*EN27+VLOOKUP($B$3,'Coeff EC7'!$T$65:$X$85,2,0)*Model0.1T!EO27)/1.5,PI()*EL$12*$Q27*($B27-$B26)*0.15/10+EP26)</f>
        <v>#N/A</v>
      </c>
      <c r="EQ27" s="102" t="e">
        <f>(VLOOKUP($B$3,'Coeff EC7'!$T$39:$X$59,3,0)*EN27+VLOOKUP($B$3,'Coeff EC7'!$T$65:$X$85,3,0)*Model0.1T!EO27)/1.1</f>
        <v>#N/A</v>
      </c>
      <c r="ER27" s="102" t="e">
        <f t="shared" si="94"/>
        <v>#N/A</v>
      </c>
      <c r="ES27" s="102" t="e">
        <f t="shared" si="95"/>
        <v>#N/A</v>
      </c>
      <c r="ET27" s="414" t="e">
        <f>IF(AND(EP27&gt;NDC!$C$63,EQ27&gt;NDC!$C$65,ER27&gt;NDC!$D$73,ES27&gt;NDC!$D$74,$B27&gt;NDC!$H$22-0.1+MIN(3*ET$12,1.5)),0,1)</f>
        <v>#N/A</v>
      </c>
      <c r="EU27" s="86" t="b">
        <f t="shared" si="58"/>
        <v>0</v>
      </c>
      <c r="EV27" s="86">
        <f t="shared" si="59"/>
        <v>0.61</v>
      </c>
      <c r="EW27" s="86">
        <f t="shared" si="60"/>
        <v>0.61</v>
      </c>
      <c r="EX27" s="30" t="e">
        <f t="shared" ca="1" si="96"/>
        <v>#DIV/0!</v>
      </c>
      <c r="EY27" s="85" t="e">
        <f ca="1">IF(EE27&lt;=Hypothèses!$V$7,Hypothèses!$W$7,IF(EE27&lt;=Hypothèses!$V$8,Hypothèses!$W$8,IF(EE27&lt;=Hypothèses!$V$9,Hypothèses!$W$9,IF(EE27&lt;=Hypothèses!$V$10,Hypothèses!$W$10,IF(EE27&lt;=Hypothèses!$V$11,Hypothèses!$W$11,IF(EE27&lt;=Hypothèses!$V$12,Hypothèses!$W$12,IF(EE27&lt;=Hypothèses!$V$13,Hypothèses!$W$13,IF(EE27&lt;=Hypothèses!$V$14,Hypothèses!$W$14,IF(EE27&lt;=Hypothèses!$V$15,Hypothèses!$W$15,IF(EE27&lt;=Hypothèses!$V$16,Hypothèses!$W$16,IF(EE27&lt;=Hypothèses!$V$17,Hypothèses!$W$17,IF(EE27&lt;=Hypothèses!$V$18,Hypothèses!$W$18,""))))))))))))</f>
        <v>#DIV/0!</v>
      </c>
      <c r="EZ27" s="87" t="e">
        <f t="shared" ca="1" si="123"/>
        <v>#DIV/0!</v>
      </c>
      <c r="FA27" s="88" t="e">
        <f ca="1">IF(EE27&lt;=Hypothèses!$V$7,Hypothèses!$X$7,IF(EE27&lt;=Hypothèses!$V$8,Hypothèses!$X$8,IF(EE27&lt;=Hypothèses!$V$9,Hypothèses!$X$9,IF(EE27&lt;=Hypothèses!$V$10,Hypothèses!$X$10,IF(EE27&lt;=Hypothèses!$V$11,Hypothèses!$X$11,IF(EE27&lt;=Hypothèses!$V$12,Hypothèses!$X$12,IF(EE27&lt;=Hypothèses!$V$13,Hypothèses!$X$13,IF(EE27&lt;=Hypothèses!$V$14,Hypothèses!$X$14,IF(EE27&lt;=Hypothèses!$V$15,Hypothèses!$X$15,IF(EE27&lt;=Hypothèses!$V$16,Hypothèses!$X$16,IF(EE27&lt;=Hypothèses!$U$17,Hypothèses!$W$17,IF(EE27&lt;=Hypothèses!$U$18,Hypothèses!$W$18,""))))))))))))</f>
        <v>#DIV/0!</v>
      </c>
      <c r="FB27" s="95" t="e">
        <f t="shared" ca="1" si="97"/>
        <v>#DIV/0!</v>
      </c>
      <c r="FC27" s="101">
        <f t="shared" si="130"/>
        <v>0</v>
      </c>
      <c r="FD27" s="91">
        <f t="shared" si="62"/>
        <v>0</v>
      </c>
      <c r="FE27" s="30" t="e">
        <f t="shared" si="114"/>
        <v>#N/A</v>
      </c>
      <c r="FF27" s="30" t="e">
        <f t="shared" si="115"/>
        <v>#N/A</v>
      </c>
      <c r="FG27" s="31" t="e">
        <f>IF(OR(Hypothèses!$B$4=17,Hypothèses!$B$4=18,Hypothèses!$B$4=19,Hypothèses!$B$4=20),
IF($D27="Pressio.",
IF(OR($E27=3,$E27=1,$E27=4),FF27,FE27),
IF($D27="Pénétro.",
IF(OR($E27=3,$E27=1,$E27=4),FF27,FE27))),IF($D27="Pressio.",
IF($E27=3,FF27,FE27),
IF($D27="Pénétro.",
IF($E27=4,FF27,FE27))))</f>
        <v>#N/A</v>
      </c>
      <c r="FH27" s="31">
        <v>0</v>
      </c>
      <c r="FI27" s="102" t="e">
        <f>IF(NDC!$H$10="Oui",(VLOOKUP($B$3,'Coeff EC7'!$T$39:$X$59,2,0)*FG27+VLOOKUP($B$3,'Coeff EC7'!$T$65:$X$85,2,0)*Model0.1T!FH27)/1.5,PI()*FE$12*$Q27*($B27-$B26)*0.15/10+FI26)</f>
        <v>#N/A</v>
      </c>
      <c r="FJ27" s="102" t="e">
        <f>(VLOOKUP($B$3,'Coeff EC7'!$T$39:$X$59,3,0)*FG27+VLOOKUP($B$3,'Coeff EC7'!$T$65:$X$85,3,0)*Model0.1T!FH27)/1.1</f>
        <v>#N/A</v>
      </c>
      <c r="FK27" s="102" t="e">
        <f t="shared" si="98"/>
        <v>#N/A</v>
      </c>
      <c r="FL27" s="102" t="e">
        <f t="shared" si="99"/>
        <v>#N/A</v>
      </c>
      <c r="FM27" s="414" t="e">
        <f>IF(AND(FI27&gt;NDC!$C$63,FJ27&gt;NDC!$C$65,FK27&gt;NDC!$D$73,FL27&gt;NDC!$D$74,$B27&gt;NDC!$H$22-0.1+MIN(3*FM$12,1.5)),0,1)</f>
        <v>#N/A</v>
      </c>
    </row>
    <row r="28" spans="1:169">
      <c r="A28" s="96">
        <f t="shared" si="65"/>
        <v>98.500000000000085</v>
      </c>
      <c r="B28" s="97">
        <v>1.5</v>
      </c>
      <c r="C28" s="81">
        <f>IF(B28&lt;=Hypothèses!$C$7,Hypothèses!$A$7,IF(B28&lt;=Hypothèses!$C$8,Hypothèses!$A$8,IF(B28&lt;=Hypothèses!$C$9,Hypothèses!$A$9,IF(B28&lt;=Hypothèses!$C$10,Hypothèses!$A$10,IF(B28&lt;=Hypothèses!$C$11,Hypothèses!$A$11,IF(B28&lt;=Hypothèses!$C$12,Hypothèses!$A$12,IF(B28&lt;=Hypothèses!$C$13,Hypothèses!$A$13,IF(B28&lt;=Hypothèses!$C$14,Hypothèses!$A$14,IF(B28&lt;=Hypothèses!$C$15,Hypothèses!$A$15,IF(B28&lt;=Hypothèses!$C$16,Hypothèses!$A$16,IF(B28&lt;=Hypothèses!$C$17,Hypothèses!$A$17,IF(B28&lt;=Hypothèses!$C$18,Hypothèses!$A$18,C27))))))))))))</f>
        <v>11</v>
      </c>
      <c r="D28" s="82" t="str">
        <f>IF(B28&lt;=Hypothèses!$C$7,Hypothèses!$R$7,IF(B28&lt;=Hypothèses!$C$8,Hypothèses!$R$8,IF(B28&lt;=Hypothèses!$C$9,Hypothèses!$R$9,IF(B28&lt;=Hypothèses!$C$10,Hypothèses!$R$10,IF(B28&lt;=Hypothèses!$C$11,Hypothèses!$R$11,IF(B28&lt;=Hypothèses!$C$12,Hypothèses!$R$12,IF(B28&lt;=Hypothèses!$C$13,Hypothèses!$R$13,IF(B28&lt;=Hypothèses!$C$14,Hypothèses!$R$14,IF(B28&lt;=Hypothèses!$C$15,Hypothèses!$R$15,IF(B28&lt;=Hypothèses!$C$16,Hypothèses!$R$16,IF(B28&lt;=Hypothèses!$C$17,Hypothèses!$R$17,IF(B28&lt;=Hypothèses!$C$18,Hypothèses!$R$18,D27))))))))))))</f>
        <v>Pressio.</v>
      </c>
      <c r="E28" s="82" t="e">
        <f>IF(B28&lt;=Hypothèses!$C$7,Hypothèses!$G$7,IF(B28&lt;=Hypothèses!$C$8,Hypothèses!$G$8,IF(B28&lt;=Hypothèses!$C$9,Hypothèses!$G$9,IF(B28&lt;=Hypothèses!$C$10,Hypothèses!$G$10,IF(B28&lt;=Hypothèses!$C$11,Hypothèses!$G$11,IF(B28&lt;=Hypothèses!$C$12,Hypothèses!$G$12,IF(B28&lt;=Hypothèses!$C$13,Hypothèses!$G$13,IF(B28&lt;=Hypothèses!$C$14,Hypothèses!$G$14,IF(B28&lt;=Hypothèses!$C$15,Hypothèses!$G$15,IF(B28&lt;=Hypothèses!$C$16,Hypothèses!$G$16,IF(B28&lt;=Hypothèses!$C$17,Hypothèses!$G$17,IF(B28&lt;=Hypothèses!$C$18,Hypothèses!$G$18,E27))))))))))))</f>
        <v>#N/A</v>
      </c>
      <c r="F28" s="82" t="str">
        <f>IF(B28&lt;=Hypothèses!$C$7,Hypothèses!$F$7,IF(B28&lt;=Hypothèses!$C$8,Hypothèses!$F$8,IF(B28&lt;=Hypothèses!$C$9,Hypothèses!$F$9,IF(B28&lt;=Hypothèses!$C$10,Hypothèses!$F$10,IF(B28&lt;=Hypothèses!$C$11,Hypothèses!$F$11,IF(B28&lt;=Hypothèses!$C$12,Hypothèses!$F$12,IF(B28&lt;=Hypothèses!$C$13,Hypothèses!$F$13,IF(B28&lt;=Hypothèses!$C$14,Hypothèses!$F$14,IF(B28&lt;=Hypothèses!$C$15,Hypothèses!$F$15,IF(B28&lt;=Hypothèses!$C$16,Hypothèses!$F$16,IF(B28&lt;=Hypothèses!$C$17,Hypothèses!$F$17,IF(B28&lt;=Hypothèses!$C$18,Hypothèses!$F$18,F27))))))))))))</f>
        <v/>
      </c>
      <c r="G28" s="91">
        <f t="array" ref="G28">INDEX('Coeff EC7'!$U$7:$X$27,
MATCH(Model0.1T!$B$3,'Coeff EC7'!$T$7:$T$27,0),
MATCH(Model0.1T!$D28&amp;Model0.1T!$B$4,
'Coeff EC7'!$U$6:$X$6&amp;
'Coeff EC7'!$U$5:$X$5,0))</f>
        <v>1.4</v>
      </c>
      <c r="H28" s="91">
        <f t="array" ref="H28">INDEX('Coeff EC7'!$Y$7:$AB$27,
MATCH(Model0.1T!$B$3,'Coeff EC7'!$T$7:$T$27,0),
MATCH(Model0.1T!$D28&amp;Model0.1T!$B$4,
'Coeff EC7'!$Y$6:$AB$6&amp;
'Coeff EC7'!$Y$5:$AB$5,0))</f>
        <v>1.7</v>
      </c>
      <c r="I28" s="83">
        <v>0</v>
      </c>
      <c r="J28" s="91" t="e">
        <f t="array" ref="J28">INDEX('Coeff EC7'!$D$33:$Q$33,1,MATCH(D28&amp;E28,'Coeff EC7'!$D$31:$Q$31&amp;'Coeff EC7'!$D$32:$Q$32,0))</f>
        <v>#N/A</v>
      </c>
      <c r="K28" s="91" t="e">
        <f t="array" ref="K28">INDEX('Coeff EC7'!$D$34:$Q$34,1,MATCH(D28&amp;E28,'Coeff EC7'!$D$31:$Q$31&amp;'Coeff EC7'!$D$32:$Q$32,0))</f>
        <v>#N/A</v>
      </c>
      <c r="L28" s="91" t="e">
        <f t="array" ref="L28">INDEX('Coeff EC7'!$D$35:$Q$35,1,MATCH(D28&amp;E28,'Coeff EC7'!$D$31:$Q$31&amp;'Coeff EC7'!$D$32:$Q$32,0))</f>
        <v>#N/A</v>
      </c>
      <c r="M28" s="98" t="e">
        <f t="shared" si="8"/>
        <v>#N/A</v>
      </c>
      <c r="N28" s="99" t="e">
        <f t="array" ref="N28">INDEX('Coeff EC7'!$D$7:$Q$27,MATCH($B$3,'Coeff EC7'!$C$7:$C$27,0),MATCH(D28&amp;E28,'Coeff EC7'!$D$5:$Q$5&amp;'Coeff EC7'!$D$6:$Q$6,0))</f>
        <v>#N/A</v>
      </c>
      <c r="O28" s="99" t="e">
        <f t="array" ref="O28">INDEX('Coeff EC7'!$D$41:$Q$61,MATCH($B$3,'Coeff EC7'!$C$41:$C$61,0),MATCH(D28&amp;E28,'Coeff EC7'!$D$39:$Q$39&amp;'Coeff EC7'!$D$40:$Q$40,0))</f>
        <v>#N/A</v>
      </c>
      <c r="P28" s="30" t="e">
        <f t="shared" si="66"/>
        <v>#N/A</v>
      </c>
      <c r="Q28" s="100" t="e">
        <f t="shared" si="10"/>
        <v>#N/A</v>
      </c>
      <c r="R28" s="86" t="b">
        <f t="shared" si="11"/>
        <v>0</v>
      </c>
      <c r="S28" s="86">
        <f t="shared" si="9"/>
        <v>0.5</v>
      </c>
      <c r="T28" s="86">
        <f t="shared" si="12"/>
        <v>0.5</v>
      </c>
      <c r="U28" s="30" t="e">
        <f t="shared" ca="1" si="67"/>
        <v>#DIV/0!</v>
      </c>
      <c r="V28" s="85" t="str">
        <f>IF(B28&lt;=Hypothèses!$V$7,Hypothèses!$W$7,IF(B28&lt;=Hypothèses!$V$8,Hypothèses!$W$8,IF(B28&lt;=Hypothèses!$V$9,Hypothèses!$W$9,IF(B28&lt;=Hypothèses!$V$10,Hypothèses!$W$10,IF(B28&lt;=Hypothèses!$V$11,Hypothèses!$W$11,IF(B28&lt;=Hypothèses!$V$12,Hypothèses!$W$12,IF(B28&lt;=Hypothèses!$V$13,Hypothèses!$W$13,IF(B28&lt;=Hypothèses!$V$14,Hypothèses!$W$14,IF(B28&lt;=Hypothèses!$V$15,Hypothèses!$W$15,IF(B28&lt;=Hypothèses!$V$16,Hypothèses!$W$16,IF(B28&lt;=Hypothèses!$V$17,Hypothèses!$W$17,IF(B28&lt;=Hypothèses!$V$18,Hypothèses!$W$18,""))))))))))))</f>
        <v/>
      </c>
      <c r="W28" s="87" t="e">
        <f t="shared" ca="1" si="116"/>
        <v>#DIV/0!</v>
      </c>
      <c r="X28" s="88" t="str">
        <f>IF(B28&lt;=Hypothèses!$V$7,Hypothèses!$X$7,IF(B28&lt;=Hypothèses!$V$8,Hypothèses!$X$8,IF(B28&lt;=Hypothèses!$V$9,Hypothèses!$X$9,IF(B28&lt;=Hypothèses!$V$10,Hypothèses!$X$10,IF(B28&lt;=Hypothèses!$V$11,Hypothèses!$X$11,IF(B28&lt;=Hypothèses!$V$12,Hypothèses!$X$12,IF(B28&lt;=Hypothèses!$V$13,Hypothèses!$X$13,IF(B28&lt;=Hypothèses!$V$14,Hypothèses!$X$14,IF(B28&lt;=Hypothèses!$V$15,Hypothèses!$X$15,IF(B28&lt;=Hypothèses!$V$16,Hypothèses!$X$16,IF(B28&lt;=Hypothèses!$U$17,Hypothèses!$W$17,IF(B28&lt;=Hypothèses!$U$18,Hypothèses!$W$18,""))))))))))))</f>
        <v/>
      </c>
      <c r="Y28" s="95" t="e">
        <f t="shared" ca="1" si="13"/>
        <v>#DIV/0!</v>
      </c>
      <c r="Z28" s="101">
        <f t="shared" si="14"/>
        <v>0</v>
      </c>
      <c r="AA28" s="91">
        <f t="shared" si="15"/>
        <v>0</v>
      </c>
      <c r="AB28" s="30" t="e">
        <f t="shared" si="100"/>
        <v>#N/A</v>
      </c>
      <c r="AC28" s="30" t="e">
        <f t="shared" si="101"/>
        <v>#N/A</v>
      </c>
      <c r="AD28" s="31" t="e">
        <f>IF(OR(Hypothèses!$B$4=17,Hypothèses!$B$4=18,Hypothèses!$B$4=19,Hypothèses!$B$4=20),
IF($D28="Pressio.",
IF(OR($E28=3,$E28=1,$E28=4),AC28,AB28),
IF($D28="Pénétro.",
IF(OR($E28=3,$E28=1,$E28=4),AC28,AB28))),IF($D28="Pressio.",
IF($E28=3,AC28,AB28),
IF($D28="Pénétro.",
IF($E28=4,AC28,AB28))))</f>
        <v>#N/A</v>
      </c>
      <c r="AE28" s="31">
        <v>0</v>
      </c>
      <c r="AF28" s="102" t="e">
        <f>IF(NDC!$H$10="Oui",(VLOOKUP($B$3,'Coeff EC7'!$T$39:$X$59,2,0)*AD28+VLOOKUP($B$3,'Coeff EC7'!$T$65:$X$85,2,0)*Model0.1T!AE28)/1.5,PI()*AB$12*$Q28*($B28-$B27)*0.15/10+AF27)</f>
        <v>#N/A</v>
      </c>
      <c r="AG28" s="102" t="e">
        <f>(VLOOKUP($B$3,'Coeff EC7'!$T$39:$X$59,3,0)*AD28+VLOOKUP($B$3,'Coeff EC7'!$T$65:$X$85,3,0)*Model0.1T!AE28)/1.1</f>
        <v>#N/A</v>
      </c>
      <c r="AH28" s="102" t="e">
        <f t="shared" si="68"/>
        <v>#N/A</v>
      </c>
      <c r="AI28" s="102" t="e">
        <f t="shared" si="69"/>
        <v>#N/A</v>
      </c>
      <c r="AJ28" s="414" t="e">
        <f>IF(AND(AF28&gt;NDC!$C$63,AG28&gt;NDC!$C$65,AH28&gt;NDC!$D$73,AI28&gt;NDC!$D$74,$B28&gt;NDC!$H$22-0.1+MIN(3*$AJ$12,1.5)),0,1)</f>
        <v>#N/A</v>
      </c>
      <c r="AK28" s="86" t="b">
        <f t="shared" si="18"/>
        <v>0</v>
      </c>
      <c r="AL28" s="86">
        <f t="shared" si="70"/>
        <v>0.5</v>
      </c>
      <c r="AM28" s="86">
        <f t="shared" si="19"/>
        <v>0.5</v>
      </c>
      <c r="AN28" s="30" t="e">
        <f t="shared" ca="1" si="71"/>
        <v>#DIV/0!</v>
      </c>
      <c r="AO28" s="85" t="e">
        <f ca="1">IF(U28&lt;=Hypothèses!$V$7,Hypothèses!$W$7,IF(U28&lt;=Hypothèses!$V$8,Hypothèses!$W$8,IF(U28&lt;=Hypothèses!$V$9,Hypothèses!$W$9,IF(U28&lt;=Hypothèses!$V$10,Hypothèses!$W$10,IF(U28&lt;=Hypothèses!$V$11,Hypothèses!$W$11,IF(U28&lt;=Hypothèses!$V$12,Hypothèses!$W$12,IF(U28&lt;=Hypothèses!$V$13,Hypothèses!$W$13,IF(U28&lt;=Hypothèses!$V$14,Hypothèses!$W$14,IF(U28&lt;=Hypothèses!$V$15,Hypothèses!$W$15,IF(U28&lt;=Hypothèses!$V$16,Hypothèses!$W$16,IF(U28&lt;=Hypothèses!$V$17,Hypothèses!$W$17,IF(U28&lt;=Hypothèses!$V$18,Hypothèses!$W$18,""))))))))))))</f>
        <v>#DIV/0!</v>
      </c>
      <c r="AP28" s="87" t="e">
        <f t="shared" ca="1" si="117"/>
        <v>#DIV/0!</v>
      </c>
      <c r="AQ28" s="88" t="e">
        <f ca="1">IF(U28&lt;=Hypothèses!$V$7,Hypothèses!$X$7,IF(U28&lt;=Hypothèses!$V$8,Hypothèses!$X$8,IF(U28&lt;=Hypothèses!$V$9,Hypothèses!$X$9,IF(U28&lt;=Hypothèses!$V$10,Hypothèses!$X$10,IF(U28&lt;=Hypothèses!$V$11,Hypothèses!$X$11,IF(U28&lt;=Hypothèses!$V$12,Hypothèses!$X$12,IF(U28&lt;=Hypothèses!$V$13,Hypothèses!$X$13,IF(U28&lt;=Hypothèses!$V$14,Hypothèses!$X$14,IF(U28&lt;=Hypothèses!$V$15,Hypothèses!$X$15,IF(U28&lt;=Hypothèses!$V$16,Hypothèses!$X$16,IF(U28&lt;=Hypothèses!$U$17,Hypothèses!$W$17,IF(U28&lt;=Hypothèses!$U$18,Hypothèses!$W$18,""))))))))))))</f>
        <v>#DIV/0!</v>
      </c>
      <c r="AR28" s="95" t="e">
        <f t="shared" ca="1" si="72"/>
        <v>#DIV/0!</v>
      </c>
      <c r="AS28" s="101">
        <f t="shared" si="124"/>
        <v>0</v>
      </c>
      <c r="AT28" s="91">
        <f t="shared" si="21"/>
        <v>0</v>
      </c>
      <c r="AU28" s="30" t="e">
        <f t="shared" si="102"/>
        <v>#N/A</v>
      </c>
      <c r="AV28" s="30" t="e">
        <f t="shared" si="103"/>
        <v>#N/A</v>
      </c>
      <c r="AW28" s="31" t="e">
        <f>IF(OR(Hypothèses!$B$4=17,Hypothèses!$B$4=18,Hypothèses!$B$4=19,Hypothèses!$B$4=20),
IF($D28="Pressio.",
IF(OR($E28=3,$E28=1,$E28=4),AV28,AU28),
IF($D28="Pénétro.",
IF(OR($E28=3,$E28=1,$E28=4),AV28,AU28))),IF($D28="Pressio.",
IF($E28=3,AV28,AU28),
IF($D28="Pénétro.",
IF($E28=4,AV28,AU28))))</f>
        <v>#N/A</v>
      </c>
      <c r="AX28" s="31">
        <v>0</v>
      </c>
      <c r="AY28" s="102" t="e">
        <f>IF(NDC!$H$10="Oui",(VLOOKUP($B$3,'Coeff EC7'!$T$39:$X$59,2,0)*AW28+VLOOKUP($B$3,'Coeff EC7'!$T$65:$X$85,2,0)*Model0.1T!AX28)/1.5,PI()*AU$12*$Q28*($B28-$B27)*0.15/10+AY27)</f>
        <v>#N/A</v>
      </c>
      <c r="AZ28" s="102" t="e">
        <f>(VLOOKUP($B$3,'Coeff EC7'!$T$39:$X$59,3,0)*AW28+VLOOKUP($B$3,'Coeff EC7'!$T$65:$X$85,3,0)*Model0.1T!AX28)/1.1</f>
        <v>#N/A</v>
      </c>
      <c r="BA28" s="102" t="e">
        <f t="shared" si="73"/>
        <v>#N/A</v>
      </c>
      <c r="BB28" s="102" t="e">
        <f t="shared" si="74"/>
        <v>#N/A</v>
      </c>
      <c r="BC28" s="414" t="e">
        <f>IF(AND(AY28&gt;NDC!$C$63,AZ28&gt;NDC!$C$65,BA28&gt;NDC!$D$73,BB28&gt;NDC!$D$74,$B28&gt;NDC!$H$22-0.1+MIN(3*BC$12,1.5)),0,1)</f>
        <v>#N/A</v>
      </c>
      <c r="BD28" s="86" t="b">
        <f t="shared" si="24"/>
        <v>0</v>
      </c>
      <c r="BE28" s="86">
        <f t="shared" si="75"/>
        <v>0.5</v>
      </c>
      <c r="BF28" s="86">
        <f t="shared" si="25"/>
        <v>0.5</v>
      </c>
      <c r="BG28" s="30" t="e">
        <f t="shared" ca="1" si="76"/>
        <v>#DIV/0!</v>
      </c>
      <c r="BH28" s="85" t="e">
        <f ca="1">IF(AN28&lt;=Hypothèses!$V$7,Hypothèses!$W$7,IF(AN28&lt;=Hypothèses!$V$8,Hypothèses!$W$8,IF(AN28&lt;=Hypothèses!$V$9,Hypothèses!$W$9,IF(AN28&lt;=Hypothèses!$V$10,Hypothèses!$W$10,IF(AN28&lt;=Hypothèses!$V$11,Hypothèses!$W$11,IF(AN28&lt;=Hypothèses!$V$12,Hypothèses!$W$12,IF(AN28&lt;=Hypothèses!$V$13,Hypothèses!$W$13,IF(AN28&lt;=Hypothèses!$V$14,Hypothèses!$W$14,IF(AN28&lt;=Hypothèses!$V$15,Hypothèses!$W$15,IF(AN28&lt;=Hypothèses!$V$16,Hypothèses!$W$16,IF(AN28&lt;=Hypothèses!$V$17,Hypothèses!$W$17,IF(AN28&lt;=Hypothèses!$V$18,Hypothèses!$W$18,""))))))))))))</f>
        <v>#DIV/0!</v>
      </c>
      <c r="BI28" s="87" t="e">
        <f t="shared" ca="1" si="118"/>
        <v>#DIV/0!</v>
      </c>
      <c r="BJ28" s="88" t="e">
        <f ca="1">IF(AN28&lt;=Hypothèses!$V$7,Hypothèses!$X$7,IF(AN28&lt;=Hypothèses!$V$8,Hypothèses!$X$8,IF(AN28&lt;=Hypothèses!$V$9,Hypothèses!$X$9,IF(AN28&lt;=Hypothèses!$V$10,Hypothèses!$X$10,IF(AN28&lt;=Hypothèses!$V$11,Hypothèses!$X$11,IF(AN28&lt;=Hypothèses!$V$12,Hypothèses!$X$12,IF(AN28&lt;=Hypothèses!$V$13,Hypothèses!$X$13,IF(AN28&lt;=Hypothèses!$V$14,Hypothèses!$X$14,IF(AN28&lt;=Hypothèses!$V$15,Hypothèses!$X$15,IF(AN28&lt;=Hypothèses!$V$16,Hypothèses!$X$16,IF(AN28&lt;=Hypothèses!$U$17,Hypothèses!$W$17,IF(AN28&lt;=Hypothèses!$U$18,Hypothèses!$W$18,""))))))))))))</f>
        <v>#DIV/0!</v>
      </c>
      <c r="BK28" s="95" t="e">
        <f t="shared" ca="1" si="77"/>
        <v>#DIV/0!</v>
      </c>
      <c r="BL28" s="101">
        <f t="shared" si="125"/>
        <v>0</v>
      </c>
      <c r="BM28" s="91">
        <f t="shared" si="27"/>
        <v>0</v>
      </c>
      <c r="BN28" s="30" t="e">
        <f t="shared" si="104"/>
        <v>#N/A</v>
      </c>
      <c r="BO28" s="30" t="e">
        <f t="shared" si="105"/>
        <v>#N/A</v>
      </c>
      <c r="BP28" s="31" t="e">
        <f>IF(OR(Hypothèses!$B$4=17,Hypothèses!$B$4=18,Hypothèses!$B$4=19,Hypothèses!$B$4=20),
IF($D28="Pressio.",
IF(OR($E28=3,$E28=1,$E28=4),BO28,BN28),
IF($D28="Pénétro.",
IF(OR($E28=3,$E28=1,$E28=4),BO28,BN28))),IF($D28="Pressio.",
IF($E28=3,BO28,BN28),
IF($D28="Pénétro.",
IF($E28=4,BO28,BN28))))</f>
        <v>#N/A</v>
      </c>
      <c r="BQ28" s="31">
        <v>0</v>
      </c>
      <c r="BR28" s="102" t="e">
        <f>IF(NDC!$H$10="Oui",(VLOOKUP($B$3,'Coeff EC7'!$T$39:$X$59,2,0)*BP28+VLOOKUP($B$3,'Coeff EC7'!$T$65:$X$85,2,0)*Model0.1T!BQ28)/1.5,PI()*BN$12*$Q28*($B28-$B27)*0.15/10+BR27)</f>
        <v>#N/A</v>
      </c>
      <c r="BS28" s="102" t="e">
        <f>(VLOOKUP($B$3,'Coeff EC7'!$T$39:$X$59,3,0)*BP28+VLOOKUP($B$3,'Coeff EC7'!$T$65:$X$85,3,0)*Model0.1T!BQ28)/1.1</f>
        <v>#N/A</v>
      </c>
      <c r="BT28" s="102" t="e">
        <f t="shared" si="78"/>
        <v>#N/A</v>
      </c>
      <c r="BU28" s="102" t="e">
        <f t="shared" si="79"/>
        <v>#N/A</v>
      </c>
      <c r="BV28" s="414" t="e">
        <f>IF(AND(BR28&gt;NDC!$C$63,BS28&gt;NDC!$C$65,BT28&gt;NDC!$D$73,BU28&gt;NDC!$D$74,$B28&gt;NDC!$H$22-0.1+MIN(3*BV$12,1.5)),0,1)</f>
        <v>#N/A</v>
      </c>
      <c r="BW28" s="86" t="b">
        <f t="shared" si="30"/>
        <v>0</v>
      </c>
      <c r="BX28" s="86">
        <f t="shared" si="31"/>
        <v>0.5</v>
      </c>
      <c r="BY28" s="86">
        <f t="shared" si="32"/>
        <v>0.5</v>
      </c>
      <c r="BZ28" s="30" t="e">
        <f t="shared" ca="1" si="80"/>
        <v>#DIV/0!</v>
      </c>
      <c r="CA28" s="85" t="e">
        <f ca="1">IF(BG28&lt;=Hypothèses!$V$7,Hypothèses!$W$7,IF(BG28&lt;=Hypothèses!$V$8,Hypothèses!$W$8,IF(BG28&lt;=Hypothèses!$V$9,Hypothèses!$W$9,IF(BG28&lt;=Hypothèses!$V$10,Hypothèses!$W$10,IF(BG28&lt;=Hypothèses!$V$11,Hypothèses!$W$11,IF(BG28&lt;=Hypothèses!$V$12,Hypothèses!$W$12,IF(BG28&lt;=Hypothèses!$V$13,Hypothèses!$W$13,IF(BG28&lt;=Hypothèses!$V$14,Hypothèses!$W$14,IF(BG28&lt;=Hypothèses!$V$15,Hypothèses!$W$15,IF(BG28&lt;=Hypothèses!$V$16,Hypothèses!$W$16,IF(BG28&lt;=Hypothèses!$V$17,Hypothèses!$W$17,IF(BG28&lt;=Hypothèses!$V$18,Hypothèses!$W$18,""))))))))))))</f>
        <v>#DIV/0!</v>
      </c>
      <c r="CB28" s="87" t="e">
        <f t="shared" ca="1" si="119"/>
        <v>#DIV/0!</v>
      </c>
      <c r="CC28" s="88" t="e">
        <f ca="1">IF(BG28&lt;=Hypothèses!$V$7,Hypothèses!$X$7,IF(BG28&lt;=Hypothèses!$V$8,Hypothèses!$X$8,IF(BG28&lt;=Hypothèses!$V$9,Hypothèses!$X$9,IF(BG28&lt;=Hypothèses!$V$10,Hypothèses!$X$10,IF(BG28&lt;=Hypothèses!$V$11,Hypothèses!$X$11,IF(BG28&lt;=Hypothèses!$V$12,Hypothèses!$X$12,IF(BG28&lt;=Hypothèses!$V$13,Hypothèses!$X$13,IF(BG28&lt;=Hypothèses!$V$14,Hypothèses!$X$14,IF(BG28&lt;=Hypothèses!$V$15,Hypothèses!$X$15,IF(BG28&lt;=Hypothèses!$V$16,Hypothèses!$X$16,IF(BG28&lt;=Hypothèses!$U$17,Hypothèses!$W$17,IF(BG28&lt;=Hypothèses!$U$18,Hypothèses!$W$18,""))))))))))))</f>
        <v>#DIV/0!</v>
      </c>
      <c r="CD28" s="95" t="e">
        <f t="shared" ca="1" si="81"/>
        <v>#DIV/0!</v>
      </c>
      <c r="CE28" s="101">
        <f t="shared" si="126"/>
        <v>0</v>
      </c>
      <c r="CF28" s="91">
        <f t="shared" si="34"/>
        <v>0</v>
      </c>
      <c r="CG28" s="30" t="e">
        <f t="shared" si="106"/>
        <v>#N/A</v>
      </c>
      <c r="CH28" s="30" t="e">
        <f t="shared" si="107"/>
        <v>#N/A</v>
      </c>
      <c r="CI28" s="31" t="e">
        <f>IF(OR(Hypothèses!$B$4=17,Hypothèses!$B$4=18,Hypothèses!$B$4=19,Hypothèses!$B$4=20),
IF($D28="Pressio.",
IF(OR($E28=3,$E28=1,$E28=4),CH28,CG28),
IF($D28="Pénétro.",
IF(OR($E28=3,$E28=1,$E28=4),CH28,CG28))),IF($D28="Pressio.",
IF($E28=3,CH28,CG28),
IF($D28="Pénétro.",
IF($E28=4,CH28,CG28))))</f>
        <v>#N/A</v>
      </c>
      <c r="CJ28" s="31">
        <v>0</v>
      </c>
      <c r="CK28" s="102" t="e">
        <f>IF(NDC!$H$10="Oui",(VLOOKUP($B$3,'Coeff EC7'!$T$39:$X$59,2,0)*CI28+VLOOKUP($B$3,'Coeff EC7'!$T$65:$X$85,2,0)*Model0.1T!CJ28)/1.5,PI()*CG$12*$Q28*($B28-$B27)*0.15/10+CK27)</f>
        <v>#N/A</v>
      </c>
      <c r="CL28" s="102" t="e">
        <f>(VLOOKUP($B$3,'Coeff EC7'!$T$39:$X$59,3,0)*CI28+VLOOKUP($B$3,'Coeff EC7'!$T$65:$X$85,3,0)*Model0.1T!CJ28)/1.1</f>
        <v>#N/A</v>
      </c>
      <c r="CM28" s="102" t="e">
        <f t="shared" si="82"/>
        <v>#N/A</v>
      </c>
      <c r="CN28" s="102" t="e">
        <f t="shared" si="83"/>
        <v>#N/A</v>
      </c>
      <c r="CO28" s="414" t="e">
        <f>IF(AND(CK28&gt;NDC!$C$63,CL28&gt;NDC!$C$65,CM28&gt;NDC!$D$73,CN28&gt;NDC!$D$74,$B28&gt;NDC!$H$22-0.1+MIN(3*CO$12,1.5)),0,1)</f>
        <v>#N/A</v>
      </c>
      <c r="CP28" s="86" t="b">
        <f t="shared" si="37"/>
        <v>0</v>
      </c>
      <c r="CQ28" s="86">
        <f t="shared" si="38"/>
        <v>0.5</v>
      </c>
      <c r="CR28" s="86">
        <f t="shared" si="39"/>
        <v>0.5</v>
      </c>
      <c r="CS28" s="30" t="e">
        <f t="shared" ca="1" si="84"/>
        <v>#DIV/0!</v>
      </c>
      <c r="CT28" s="85" t="e">
        <f ca="1">IF(BZ28&lt;=Hypothèses!$V$7,Hypothèses!$W$7,IF(BZ28&lt;=Hypothèses!$V$8,Hypothèses!$W$8,IF(BZ28&lt;=Hypothèses!$V$9,Hypothèses!$W$9,IF(BZ28&lt;=Hypothèses!$V$10,Hypothèses!$W$10,IF(BZ28&lt;=Hypothèses!$V$11,Hypothèses!$W$11,IF(BZ28&lt;=Hypothèses!$V$12,Hypothèses!$W$12,IF(BZ28&lt;=Hypothèses!$V$13,Hypothèses!$W$13,IF(BZ28&lt;=Hypothèses!$V$14,Hypothèses!$W$14,IF(BZ28&lt;=Hypothèses!$V$15,Hypothèses!$W$15,IF(BZ28&lt;=Hypothèses!$V$16,Hypothèses!$W$16,IF(BZ28&lt;=Hypothèses!$V$17,Hypothèses!$W$17,IF(BZ28&lt;=Hypothèses!$V$18,Hypothèses!$W$18,""))))))))))))</f>
        <v>#DIV/0!</v>
      </c>
      <c r="CU28" s="87" t="e">
        <f t="shared" ca="1" si="120"/>
        <v>#DIV/0!</v>
      </c>
      <c r="CV28" s="88" t="e">
        <f ca="1">IF(BZ28&lt;=Hypothèses!$V$7,Hypothèses!$X$7,IF(BZ28&lt;=Hypothèses!$V$8,Hypothèses!$X$8,IF(BZ28&lt;=Hypothèses!$V$9,Hypothèses!$X$9,IF(BZ28&lt;=Hypothèses!$V$10,Hypothèses!$X$10,IF(BZ28&lt;=Hypothèses!$V$11,Hypothèses!$X$11,IF(BZ28&lt;=Hypothèses!$V$12,Hypothèses!$X$12,IF(BZ28&lt;=Hypothèses!$V$13,Hypothèses!$X$13,IF(BZ28&lt;=Hypothèses!$V$14,Hypothèses!$X$14,IF(BZ28&lt;=Hypothèses!$V$15,Hypothèses!$X$15,IF(BZ28&lt;=Hypothèses!$V$16,Hypothèses!$X$16,IF(BZ28&lt;=Hypothèses!$U$17,Hypothèses!$W$17,IF(BZ28&lt;=Hypothèses!$U$18,Hypothèses!$W$18,""))))))))))))</f>
        <v>#DIV/0!</v>
      </c>
      <c r="CW28" s="95" t="e">
        <f t="shared" ca="1" si="85"/>
        <v>#DIV/0!</v>
      </c>
      <c r="CX28" s="101">
        <f t="shared" si="127"/>
        <v>0</v>
      </c>
      <c r="CY28" s="91">
        <f t="shared" si="41"/>
        <v>0</v>
      </c>
      <c r="CZ28" s="30" t="e">
        <f t="shared" si="108"/>
        <v>#N/A</v>
      </c>
      <c r="DA28" s="30" t="e">
        <f t="shared" si="109"/>
        <v>#N/A</v>
      </c>
      <c r="DB28" s="31" t="e">
        <f>IF(OR(Hypothèses!$B$4=17,Hypothèses!$B$4=18,Hypothèses!$B$4=19,Hypothèses!$B$4=20),
IF($D28="Pressio.",
IF(OR($E28=3,$E28=1,$E28=4),DA28,CZ28),
IF($D28="Pénétro.",
IF(OR($E28=3,$E28=1,$E28=4),DA28,CZ28))),IF($D28="Pressio.",
IF($E28=3,DA28,CZ28),
IF($D28="Pénétro.",
IF($E28=4,DA28,CZ28))))</f>
        <v>#N/A</v>
      </c>
      <c r="DC28" s="31">
        <v>0</v>
      </c>
      <c r="DD28" s="102" t="e">
        <f>IF(NDC!$H$10="Oui",(VLOOKUP($B$3,'Coeff EC7'!$T$39:$X$59,2,0)*DB28+VLOOKUP($B$3,'Coeff EC7'!$T$65:$X$85,2,0)*Model0.1T!DC28)/1.5,PI()*CZ$12*$Q28*($B28-$B27)*0.15/10+DD27)</f>
        <v>#N/A</v>
      </c>
      <c r="DE28" s="102" t="e">
        <f>(VLOOKUP($B$3,'Coeff EC7'!$T$39:$X$59,3,0)*DB28+VLOOKUP($B$3,'Coeff EC7'!$T$65:$X$85,3,0)*Model0.1T!DC28)/1.1</f>
        <v>#N/A</v>
      </c>
      <c r="DF28" s="102" t="e">
        <f t="shared" si="86"/>
        <v>#N/A</v>
      </c>
      <c r="DG28" s="102" t="e">
        <f t="shared" si="87"/>
        <v>#N/A</v>
      </c>
      <c r="DH28" s="414" t="e">
        <f>IF(AND(DD28&gt;NDC!$C$63,DE28&gt;NDC!$C$65,DF28&gt;NDC!$D$73,DG28&gt;NDC!$D$74,$B28&gt;NDC!$H$22-0.1+MIN(3*DH$12,1.5)),0,1)</f>
        <v>#N/A</v>
      </c>
      <c r="DI28" s="86" t="b">
        <f t="shared" si="44"/>
        <v>0</v>
      </c>
      <c r="DJ28" s="86">
        <f t="shared" si="45"/>
        <v>0.5</v>
      </c>
      <c r="DK28" s="86">
        <f t="shared" si="46"/>
        <v>0.5</v>
      </c>
      <c r="DL28" s="30" t="e">
        <f t="shared" ca="1" si="88"/>
        <v>#DIV/0!</v>
      </c>
      <c r="DM28" s="85" t="e">
        <f ca="1">IF(CS28&lt;=Hypothèses!$V$7,Hypothèses!$W$7,IF(CS28&lt;=Hypothèses!$V$8,Hypothèses!$W$8,IF(CS28&lt;=Hypothèses!$V$9,Hypothèses!$W$9,IF(CS28&lt;=Hypothèses!$V$10,Hypothèses!$W$10,IF(CS28&lt;=Hypothèses!$V$11,Hypothèses!$W$11,IF(CS28&lt;=Hypothèses!$V$12,Hypothèses!$W$12,IF(CS28&lt;=Hypothèses!$V$13,Hypothèses!$W$13,IF(CS28&lt;=Hypothèses!$V$14,Hypothèses!$W$14,IF(CS28&lt;=Hypothèses!$V$15,Hypothèses!$W$15,IF(CS28&lt;=Hypothèses!$V$16,Hypothèses!$W$16,IF(CS28&lt;=Hypothèses!$V$17,Hypothèses!$W$17,IF(CS28&lt;=Hypothèses!$V$18,Hypothèses!$W$18,""))))))))))))</f>
        <v>#DIV/0!</v>
      </c>
      <c r="DN28" s="87" t="e">
        <f t="shared" ca="1" si="121"/>
        <v>#DIV/0!</v>
      </c>
      <c r="DO28" s="88" t="e">
        <f ca="1">IF(CS28&lt;=Hypothèses!$V$7,Hypothèses!$X$7,IF(CS28&lt;=Hypothèses!$V$8,Hypothèses!$X$8,IF(CS28&lt;=Hypothèses!$V$9,Hypothèses!$X$9,IF(CS28&lt;=Hypothèses!$V$10,Hypothèses!$X$10,IF(CS28&lt;=Hypothèses!$V$11,Hypothèses!$X$11,IF(CS28&lt;=Hypothèses!$V$12,Hypothèses!$X$12,IF(CS28&lt;=Hypothèses!$V$13,Hypothèses!$X$13,IF(CS28&lt;=Hypothèses!$V$14,Hypothèses!$X$14,IF(CS28&lt;=Hypothèses!$V$15,Hypothèses!$X$15,IF(CS28&lt;=Hypothèses!$V$16,Hypothèses!$X$16,IF(CS28&lt;=Hypothèses!$U$17,Hypothèses!$W$17,IF(CS28&lt;=Hypothèses!$U$18,Hypothèses!$W$18,""))))))))))))</f>
        <v>#DIV/0!</v>
      </c>
      <c r="DP28" s="95" t="e">
        <f t="shared" ca="1" si="89"/>
        <v>#DIV/0!</v>
      </c>
      <c r="DQ28" s="101">
        <f t="shared" si="128"/>
        <v>0</v>
      </c>
      <c r="DR28" s="91">
        <f t="shared" si="48"/>
        <v>0</v>
      </c>
      <c r="DS28" s="30" t="e">
        <f t="shared" si="110"/>
        <v>#N/A</v>
      </c>
      <c r="DT28" s="30" t="e">
        <f t="shared" si="111"/>
        <v>#N/A</v>
      </c>
      <c r="DU28" s="31" t="e">
        <f>IF(OR(Hypothèses!$B$4=17,Hypothèses!$B$4=18,Hypothèses!$B$4=19,Hypothèses!$B$4=20),
IF($D28="Pressio.",
IF(OR($E28=3,$E28=1,$E28=4),DT28,DS28),
IF($D28="Pénétro.",
IF(OR($E28=3,$E28=1,$E28=4),DT28,DS28))),IF($D28="Pressio.",
IF($E28=3,DT28,DS28),
IF($D28="Pénétro.",
IF($E28=4,DT28,DS28))))</f>
        <v>#N/A</v>
      </c>
      <c r="DV28" s="31">
        <v>0</v>
      </c>
      <c r="DW28" s="102" t="e">
        <f>IF(NDC!$H$10="Oui",(VLOOKUP($B$3,'Coeff EC7'!$T$39:$X$59,2,0)*DU28+VLOOKUP($B$3,'Coeff EC7'!$T$65:$X$85,2,0)*Model0.1T!DV28)/1.5,PI()*DS$12*$Q28*($B28-$B27)*0.15/10+DW27)</f>
        <v>#N/A</v>
      </c>
      <c r="DX28" s="102" t="e">
        <f>(VLOOKUP($B$3,'Coeff EC7'!$T$39:$X$59,3,0)*DU28+VLOOKUP($B$3,'Coeff EC7'!$T$65:$X$85,3,0)*Model0.1T!DV28)/1.1</f>
        <v>#N/A</v>
      </c>
      <c r="DY28" s="102" t="e">
        <f t="shared" si="90"/>
        <v>#N/A</v>
      </c>
      <c r="DZ28" s="102" t="e">
        <f t="shared" si="91"/>
        <v>#N/A</v>
      </c>
      <c r="EA28" s="414" t="e">
        <f>IF(AND(DW28&gt;NDC!$C$63,DX28&gt;NDC!$C$65,DY28&gt;NDC!$D$73,DZ28&gt;NDC!$D$74,$B28&gt;NDC!$H$22-0.1+MIN(3*EA$12,1.5)),0,1)</f>
        <v>#N/A</v>
      </c>
      <c r="EB28" s="86" t="b">
        <f t="shared" si="51"/>
        <v>0</v>
      </c>
      <c r="EC28" s="418">
        <f t="shared" si="52"/>
        <v>0.51</v>
      </c>
      <c r="ED28" s="86">
        <f t="shared" si="53"/>
        <v>0.51</v>
      </c>
      <c r="EE28" s="30" t="e">
        <f t="shared" ca="1" si="92"/>
        <v>#DIV/0!</v>
      </c>
      <c r="EF28" s="85" t="e">
        <f ca="1">IF(DL28&lt;=Hypothèses!$V$7,Hypothèses!$W$7,IF(DL28&lt;=Hypothèses!$V$8,Hypothèses!$W$8,IF(DL28&lt;=Hypothèses!$V$9,Hypothèses!$W$9,IF(DL28&lt;=Hypothèses!$V$10,Hypothèses!$W$10,IF(DL28&lt;=Hypothèses!$V$11,Hypothèses!$W$11,IF(DL28&lt;=Hypothèses!$V$12,Hypothèses!$W$12,IF(DL28&lt;=Hypothèses!$V$13,Hypothèses!$W$13,IF(DL28&lt;=Hypothèses!$V$14,Hypothèses!$W$14,IF(DL28&lt;=Hypothèses!$V$15,Hypothèses!$W$15,IF(DL28&lt;=Hypothèses!$V$16,Hypothèses!$W$16,IF(DL28&lt;=Hypothèses!$V$17,Hypothèses!$W$17,IF(DL28&lt;=Hypothèses!$V$18,Hypothèses!$W$18,""))))))))))))</f>
        <v>#DIV/0!</v>
      </c>
      <c r="EG28" s="87" t="e">
        <f t="shared" ca="1" si="122"/>
        <v>#DIV/0!</v>
      </c>
      <c r="EH28" s="88" t="e">
        <f ca="1">IF(DL28&lt;=Hypothèses!$V$7,Hypothèses!$X$7,IF(DL28&lt;=Hypothèses!$V$8,Hypothèses!$X$8,IF(DL28&lt;=Hypothèses!$V$9,Hypothèses!$X$9,IF(DL28&lt;=Hypothèses!$V$10,Hypothèses!$X$10,IF(DL28&lt;=Hypothèses!$V$11,Hypothèses!$X$11,IF(DL28&lt;=Hypothèses!$V$12,Hypothèses!$X$12,IF(DL28&lt;=Hypothèses!$V$13,Hypothèses!$X$13,IF(DL28&lt;=Hypothèses!$V$14,Hypothèses!$X$14,IF(DL28&lt;=Hypothèses!$V$15,Hypothèses!$X$15,IF(DL28&lt;=Hypothèses!$V$16,Hypothèses!$X$16,IF(DL28&lt;=Hypothèses!$U$17,Hypothèses!$W$17,IF(DL28&lt;=Hypothèses!$U$18,Hypothèses!$W$18,""))))))))))))</f>
        <v>#DIV/0!</v>
      </c>
      <c r="EI28" s="95" t="e">
        <f t="shared" ca="1" si="93"/>
        <v>#DIV/0!</v>
      </c>
      <c r="EJ28" s="101">
        <f t="shared" si="129"/>
        <v>0</v>
      </c>
      <c r="EK28" s="91">
        <f t="shared" si="55"/>
        <v>0</v>
      </c>
      <c r="EL28" s="30" t="e">
        <f t="shared" si="112"/>
        <v>#N/A</v>
      </c>
      <c r="EM28" s="30" t="e">
        <f t="shared" si="113"/>
        <v>#N/A</v>
      </c>
      <c r="EN28" s="31" t="e">
        <f>IF(OR(Hypothèses!$B$4=17,Hypothèses!$B$4=18,Hypothèses!$B$4=19,Hypothèses!$B$4=20),
IF($D28="Pressio.",
IF(OR($E28=3,$E28=1,$E28=4),EM28,EL28),
IF($D28="Pénétro.",
IF(OR($E28=3,$E28=1,$E28=4),EM28,EL28))),IF($D28="Pressio.",
IF($E28=3,EM28,EL28),
IF($D28="Pénétro.",
IF($E28=4,EM28,EL28))))</f>
        <v>#N/A</v>
      </c>
      <c r="EO28" s="31">
        <v>0</v>
      </c>
      <c r="EP28" s="102" t="e">
        <f>IF(NDC!$H$10="Oui",(VLOOKUP($B$3,'Coeff EC7'!$T$39:$X$59,2,0)*EN28+VLOOKUP($B$3,'Coeff EC7'!$T$65:$X$85,2,0)*Model0.1T!EO28)/1.5,PI()*EL$12*$Q28*($B28-$B27)*0.15/10+EP27)</f>
        <v>#N/A</v>
      </c>
      <c r="EQ28" s="102" t="e">
        <f>(VLOOKUP($B$3,'Coeff EC7'!$T$39:$X$59,3,0)*EN28+VLOOKUP($B$3,'Coeff EC7'!$T$65:$X$85,3,0)*Model0.1T!EO28)/1.1</f>
        <v>#N/A</v>
      </c>
      <c r="ER28" s="102" t="e">
        <f t="shared" si="94"/>
        <v>#N/A</v>
      </c>
      <c r="ES28" s="102" t="e">
        <f t="shared" si="95"/>
        <v>#N/A</v>
      </c>
      <c r="ET28" s="414" t="e">
        <f>IF(AND(EP28&gt;NDC!$C$63,EQ28&gt;NDC!$C$65,ER28&gt;NDC!$D$73,ES28&gt;NDC!$D$74,$B28&gt;NDC!$H$22-0.1+MIN(3*ET$12,1.5)),0,1)</f>
        <v>#N/A</v>
      </c>
      <c r="EU28" s="86" t="b">
        <f t="shared" si="58"/>
        <v>0</v>
      </c>
      <c r="EV28" s="86">
        <f t="shared" si="59"/>
        <v>0.61</v>
      </c>
      <c r="EW28" s="86">
        <f t="shared" si="60"/>
        <v>0.61</v>
      </c>
      <c r="EX28" s="30" t="e">
        <f t="shared" ca="1" si="96"/>
        <v>#DIV/0!</v>
      </c>
      <c r="EY28" s="85" t="e">
        <f ca="1">IF(EE28&lt;=Hypothèses!$V$7,Hypothèses!$W$7,IF(EE28&lt;=Hypothèses!$V$8,Hypothèses!$W$8,IF(EE28&lt;=Hypothèses!$V$9,Hypothèses!$W$9,IF(EE28&lt;=Hypothèses!$V$10,Hypothèses!$W$10,IF(EE28&lt;=Hypothèses!$V$11,Hypothèses!$W$11,IF(EE28&lt;=Hypothèses!$V$12,Hypothèses!$W$12,IF(EE28&lt;=Hypothèses!$V$13,Hypothèses!$W$13,IF(EE28&lt;=Hypothèses!$V$14,Hypothèses!$W$14,IF(EE28&lt;=Hypothèses!$V$15,Hypothèses!$W$15,IF(EE28&lt;=Hypothèses!$V$16,Hypothèses!$W$16,IF(EE28&lt;=Hypothèses!$V$17,Hypothèses!$W$17,IF(EE28&lt;=Hypothèses!$V$18,Hypothèses!$W$18,""))))))))))))</f>
        <v>#DIV/0!</v>
      </c>
      <c r="EZ28" s="87" t="e">
        <f t="shared" ca="1" si="123"/>
        <v>#DIV/0!</v>
      </c>
      <c r="FA28" s="88" t="e">
        <f ca="1">IF(EE28&lt;=Hypothèses!$V$7,Hypothèses!$X$7,IF(EE28&lt;=Hypothèses!$V$8,Hypothèses!$X$8,IF(EE28&lt;=Hypothèses!$V$9,Hypothèses!$X$9,IF(EE28&lt;=Hypothèses!$V$10,Hypothèses!$X$10,IF(EE28&lt;=Hypothèses!$V$11,Hypothèses!$X$11,IF(EE28&lt;=Hypothèses!$V$12,Hypothèses!$X$12,IF(EE28&lt;=Hypothèses!$V$13,Hypothèses!$X$13,IF(EE28&lt;=Hypothèses!$V$14,Hypothèses!$X$14,IF(EE28&lt;=Hypothèses!$V$15,Hypothèses!$X$15,IF(EE28&lt;=Hypothèses!$V$16,Hypothèses!$X$16,IF(EE28&lt;=Hypothèses!$U$17,Hypothèses!$W$17,IF(EE28&lt;=Hypothèses!$U$18,Hypothèses!$W$18,""))))))))))))</f>
        <v>#DIV/0!</v>
      </c>
      <c r="FB28" s="95" t="e">
        <f t="shared" ca="1" si="97"/>
        <v>#DIV/0!</v>
      </c>
      <c r="FC28" s="101">
        <f t="shared" si="130"/>
        <v>0</v>
      </c>
      <c r="FD28" s="91">
        <f t="shared" si="62"/>
        <v>0</v>
      </c>
      <c r="FE28" s="30" t="e">
        <f t="shared" si="114"/>
        <v>#N/A</v>
      </c>
      <c r="FF28" s="30" t="e">
        <f t="shared" si="115"/>
        <v>#N/A</v>
      </c>
      <c r="FG28" s="31" t="e">
        <f>IF(OR(Hypothèses!$B$4=17,Hypothèses!$B$4=18,Hypothèses!$B$4=19,Hypothèses!$B$4=20),
IF($D28="Pressio.",
IF(OR($E28=3,$E28=1,$E28=4),FF28,FE28),
IF($D28="Pénétro.",
IF(OR($E28=3,$E28=1,$E28=4),FF28,FE28))),IF($D28="Pressio.",
IF($E28=3,FF28,FE28),
IF($D28="Pénétro.",
IF($E28=4,FF28,FE28))))</f>
        <v>#N/A</v>
      </c>
      <c r="FH28" s="31">
        <v>0</v>
      </c>
      <c r="FI28" s="102" t="e">
        <f>IF(NDC!$H$10="Oui",(VLOOKUP($B$3,'Coeff EC7'!$T$39:$X$59,2,0)*FG28+VLOOKUP($B$3,'Coeff EC7'!$T$65:$X$85,2,0)*Model0.1T!FH28)/1.5,PI()*FE$12*$Q28*($B28-$B27)*0.15/10+FI27)</f>
        <v>#N/A</v>
      </c>
      <c r="FJ28" s="102" t="e">
        <f>(VLOOKUP($B$3,'Coeff EC7'!$T$39:$X$59,3,0)*FG28+VLOOKUP($B$3,'Coeff EC7'!$T$65:$X$85,3,0)*Model0.1T!FH28)/1.1</f>
        <v>#N/A</v>
      </c>
      <c r="FK28" s="102" t="e">
        <f t="shared" si="98"/>
        <v>#N/A</v>
      </c>
      <c r="FL28" s="102" t="e">
        <f t="shared" si="99"/>
        <v>#N/A</v>
      </c>
      <c r="FM28" s="414" t="e">
        <f>IF(AND(FI28&gt;NDC!$C$63,FJ28&gt;NDC!$C$65,FK28&gt;NDC!$D$73,FL28&gt;NDC!$D$74,$B28&gt;NDC!$H$22-0.1+MIN(3*FM$12,1.5)),0,1)</f>
        <v>#N/A</v>
      </c>
    </row>
    <row r="29" spans="1:169">
      <c r="A29" s="96">
        <f t="shared" si="65"/>
        <v>98.400000000000091</v>
      </c>
      <c r="B29" s="97">
        <v>1.6</v>
      </c>
      <c r="C29" s="81">
        <f>IF(B29&lt;=Hypothèses!$C$7,Hypothèses!$A$7,IF(B29&lt;=Hypothèses!$C$8,Hypothèses!$A$8,IF(B29&lt;=Hypothèses!$C$9,Hypothèses!$A$9,IF(B29&lt;=Hypothèses!$C$10,Hypothèses!$A$10,IF(B29&lt;=Hypothèses!$C$11,Hypothèses!$A$11,IF(B29&lt;=Hypothèses!$C$12,Hypothèses!$A$12,IF(B29&lt;=Hypothèses!$C$13,Hypothèses!$A$13,IF(B29&lt;=Hypothèses!$C$14,Hypothèses!$A$14,IF(B29&lt;=Hypothèses!$C$15,Hypothèses!$A$15,IF(B29&lt;=Hypothèses!$C$16,Hypothèses!$A$16,IF(B29&lt;=Hypothèses!$C$17,Hypothèses!$A$17,IF(B29&lt;=Hypothèses!$C$18,Hypothèses!$A$18,C28))))))))))))</f>
        <v>11</v>
      </c>
      <c r="D29" s="82" t="str">
        <f>IF(B29&lt;=Hypothèses!$C$7,Hypothèses!$R$7,IF(B29&lt;=Hypothèses!$C$8,Hypothèses!$R$8,IF(B29&lt;=Hypothèses!$C$9,Hypothèses!$R$9,IF(B29&lt;=Hypothèses!$C$10,Hypothèses!$R$10,IF(B29&lt;=Hypothèses!$C$11,Hypothèses!$R$11,IF(B29&lt;=Hypothèses!$C$12,Hypothèses!$R$12,IF(B29&lt;=Hypothèses!$C$13,Hypothèses!$R$13,IF(B29&lt;=Hypothèses!$C$14,Hypothèses!$R$14,IF(B29&lt;=Hypothèses!$C$15,Hypothèses!$R$15,IF(B29&lt;=Hypothèses!$C$16,Hypothèses!$R$16,IF(B29&lt;=Hypothèses!$C$17,Hypothèses!$R$17,IF(B29&lt;=Hypothèses!$C$18,Hypothèses!$R$18,D28))))))))))))</f>
        <v>Pressio.</v>
      </c>
      <c r="E29" s="82" t="e">
        <f>IF(B29&lt;=Hypothèses!$C$7,Hypothèses!$G$7,IF(B29&lt;=Hypothèses!$C$8,Hypothèses!$G$8,IF(B29&lt;=Hypothèses!$C$9,Hypothèses!$G$9,IF(B29&lt;=Hypothèses!$C$10,Hypothèses!$G$10,IF(B29&lt;=Hypothèses!$C$11,Hypothèses!$G$11,IF(B29&lt;=Hypothèses!$C$12,Hypothèses!$G$12,IF(B29&lt;=Hypothèses!$C$13,Hypothèses!$G$13,IF(B29&lt;=Hypothèses!$C$14,Hypothèses!$G$14,IF(B29&lt;=Hypothèses!$C$15,Hypothèses!$G$15,IF(B29&lt;=Hypothèses!$C$16,Hypothèses!$G$16,IF(B29&lt;=Hypothèses!$C$17,Hypothèses!$G$17,IF(B29&lt;=Hypothèses!$C$18,Hypothèses!$G$18,E28))))))))))))</f>
        <v>#N/A</v>
      </c>
      <c r="F29" s="82" t="str">
        <f>IF(B29&lt;=Hypothèses!$C$7,Hypothèses!$F$7,IF(B29&lt;=Hypothèses!$C$8,Hypothèses!$F$8,IF(B29&lt;=Hypothèses!$C$9,Hypothèses!$F$9,IF(B29&lt;=Hypothèses!$C$10,Hypothèses!$F$10,IF(B29&lt;=Hypothèses!$C$11,Hypothèses!$F$11,IF(B29&lt;=Hypothèses!$C$12,Hypothèses!$F$12,IF(B29&lt;=Hypothèses!$C$13,Hypothèses!$F$13,IF(B29&lt;=Hypothèses!$C$14,Hypothèses!$F$14,IF(B29&lt;=Hypothèses!$C$15,Hypothèses!$F$15,IF(B29&lt;=Hypothèses!$C$16,Hypothèses!$F$16,IF(B29&lt;=Hypothèses!$C$17,Hypothèses!$F$17,IF(B29&lt;=Hypothèses!$C$18,Hypothèses!$F$18,F28))))))))))))</f>
        <v/>
      </c>
      <c r="G29" s="91">
        <f t="array" ref="G29">INDEX('Coeff EC7'!$U$7:$X$27,
MATCH(Model0.1T!$B$3,'Coeff EC7'!$T$7:$T$27,0),
MATCH(Model0.1T!$D29&amp;Model0.1T!$B$4,
'Coeff EC7'!$U$6:$X$6&amp;
'Coeff EC7'!$U$5:$X$5,0))</f>
        <v>1.4</v>
      </c>
      <c r="H29" s="91">
        <f t="array" ref="H29">INDEX('Coeff EC7'!$Y$7:$AB$27,
MATCH(Model0.1T!$B$3,'Coeff EC7'!$T$7:$T$27,0),
MATCH(Model0.1T!$D29&amp;Model0.1T!$B$4,
'Coeff EC7'!$Y$6:$AB$6&amp;
'Coeff EC7'!$Y$5:$AB$5,0))</f>
        <v>1.7</v>
      </c>
      <c r="I29" s="83">
        <v>0</v>
      </c>
      <c r="J29" s="91" t="e">
        <f t="array" ref="J29">INDEX('Coeff EC7'!$D$33:$Q$33,1,MATCH(D29&amp;E29,'Coeff EC7'!$D$31:$Q$31&amp;'Coeff EC7'!$D$32:$Q$32,0))</f>
        <v>#N/A</v>
      </c>
      <c r="K29" s="91" t="e">
        <f t="array" ref="K29">INDEX('Coeff EC7'!$D$34:$Q$34,1,MATCH(D29&amp;E29,'Coeff EC7'!$D$31:$Q$31&amp;'Coeff EC7'!$D$32:$Q$32,0))</f>
        <v>#N/A</v>
      </c>
      <c r="L29" s="91" t="e">
        <f t="array" ref="L29">INDEX('Coeff EC7'!$D$35:$Q$35,1,MATCH(D29&amp;E29,'Coeff EC7'!$D$31:$Q$31&amp;'Coeff EC7'!$D$32:$Q$32,0))</f>
        <v>#N/A</v>
      </c>
      <c r="M29" s="98" t="e">
        <f t="shared" si="8"/>
        <v>#N/A</v>
      </c>
      <c r="N29" s="99" t="e">
        <f t="array" ref="N29">INDEX('Coeff EC7'!$D$7:$Q$27,MATCH($B$3,'Coeff EC7'!$C$7:$C$27,0),MATCH(D29&amp;E29,'Coeff EC7'!$D$5:$Q$5&amp;'Coeff EC7'!$D$6:$Q$6,0))</f>
        <v>#N/A</v>
      </c>
      <c r="O29" s="99" t="e">
        <f t="array" ref="O29">INDEX('Coeff EC7'!$D$41:$Q$61,MATCH($B$3,'Coeff EC7'!$C$41:$C$61,0),MATCH(D29&amp;E29,'Coeff EC7'!$D$39:$Q$39&amp;'Coeff EC7'!$D$40:$Q$40,0))</f>
        <v>#N/A</v>
      </c>
      <c r="P29" s="30" t="e">
        <f t="shared" si="66"/>
        <v>#N/A</v>
      </c>
      <c r="Q29" s="100" t="e">
        <f t="shared" si="10"/>
        <v>#N/A</v>
      </c>
      <c r="R29" s="86" t="b">
        <f t="shared" si="11"/>
        <v>0</v>
      </c>
      <c r="S29" s="86">
        <f t="shared" si="9"/>
        <v>0.5</v>
      </c>
      <c r="T29" s="86">
        <f t="shared" si="12"/>
        <v>0.5</v>
      </c>
      <c r="U29" s="30" t="e">
        <f t="shared" ca="1" si="67"/>
        <v>#DIV/0!</v>
      </c>
      <c r="V29" s="85" t="str">
        <f>IF(B29&lt;=Hypothèses!$V$7,Hypothèses!$W$7,IF(B29&lt;=Hypothèses!$V$8,Hypothèses!$W$8,IF(B29&lt;=Hypothèses!$V$9,Hypothèses!$W$9,IF(B29&lt;=Hypothèses!$V$10,Hypothèses!$W$10,IF(B29&lt;=Hypothèses!$V$11,Hypothèses!$W$11,IF(B29&lt;=Hypothèses!$V$12,Hypothèses!$W$12,IF(B29&lt;=Hypothèses!$V$13,Hypothèses!$W$13,IF(B29&lt;=Hypothèses!$V$14,Hypothèses!$W$14,IF(B29&lt;=Hypothèses!$V$15,Hypothèses!$W$15,IF(B29&lt;=Hypothèses!$V$16,Hypothèses!$W$16,IF(B29&lt;=Hypothèses!$V$17,Hypothèses!$W$17,IF(B29&lt;=Hypothèses!$V$18,Hypothèses!$W$18,""))))))))))))</f>
        <v/>
      </c>
      <c r="W29" s="87" t="e">
        <f t="shared" ca="1" si="116"/>
        <v>#DIV/0!</v>
      </c>
      <c r="X29" s="88" t="str">
        <f>IF(B29&lt;=Hypothèses!$V$7,Hypothèses!$X$7,IF(B29&lt;=Hypothèses!$V$8,Hypothèses!$X$8,IF(B29&lt;=Hypothèses!$V$9,Hypothèses!$X$9,IF(B29&lt;=Hypothèses!$V$10,Hypothèses!$X$10,IF(B29&lt;=Hypothèses!$V$11,Hypothèses!$X$11,IF(B29&lt;=Hypothèses!$V$12,Hypothèses!$X$12,IF(B29&lt;=Hypothèses!$V$13,Hypothèses!$X$13,IF(B29&lt;=Hypothèses!$V$14,Hypothèses!$X$14,IF(B29&lt;=Hypothèses!$V$15,Hypothèses!$X$15,IF(B29&lt;=Hypothèses!$V$16,Hypothèses!$X$16,IF(B29&lt;=Hypothèses!$U$17,Hypothèses!$W$17,IF(B29&lt;=Hypothèses!$U$18,Hypothèses!$W$18,""))))))))))))</f>
        <v/>
      </c>
      <c r="Y29" s="95" t="e">
        <f t="shared" ca="1" si="13"/>
        <v>#DIV/0!</v>
      </c>
      <c r="Z29" s="101">
        <f t="shared" si="14"/>
        <v>0</v>
      </c>
      <c r="AA29" s="91">
        <f t="shared" si="15"/>
        <v>0</v>
      </c>
      <c r="AB29" s="30" t="e">
        <f t="shared" si="100"/>
        <v>#N/A</v>
      </c>
      <c r="AC29" s="30" t="e">
        <f t="shared" si="101"/>
        <v>#N/A</v>
      </c>
      <c r="AD29" s="31" t="e">
        <f>IF(OR(Hypothèses!$B$4=17,Hypothèses!$B$4=18,Hypothèses!$B$4=19,Hypothèses!$B$4=20),
IF($D29="Pressio.",
IF(OR($E29=3,$E29=1,$E29=4),AC29,AB29),
IF($D29="Pénétro.",
IF(OR($E29=3,$E29=1,$E29=4),AC29,AB29))),IF($D29="Pressio.",
IF($E29=3,AC29,AB29),
IF($D29="Pénétro.",
IF($E29=4,AC29,AB29))))</f>
        <v>#N/A</v>
      </c>
      <c r="AE29" s="31">
        <v>0</v>
      </c>
      <c r="AF29" s="102" t="e">
        <f>IF(NDC!$H$10="Oui",(VLOOKUP($B$3,'Coeff EC7'!$T$39:$X$59,2,0)*AD29+VLOOKUP($B$3,'Coeff EC7'!$T$65:$X$85,2,0)*Model0.1T!AE29)/1.5,PI()*AB$12*$Q29*($B29-$B28)*0.15/10+AF28)</f>
        <v>#N/A</v>
      </c>
      <c r="AG29" s="102" t="e">
        <f>(VLOOKUP($B$3,'Coeff EC7'!$T$39:$X$59,3,0)*AD29+VLOOKUP($B$3,'Coeff EC7'!$T$65:$X$85,3,0)*Model0.1T!AE29)/1.1</f>
        <v>#N/A</v>
      </c>
      <c r="AH29" s="102" t="e">
        <f t="shared" si="68"/>
        <v>#N/A</v>
      </c>
      <c r="AI29" s="102" t="e">
        <f t="shared" si="69"/>
        <v>#N/A</v>
      </c>
      <c r="AJ29" s="414" t="e">
        <f>IF(AND(AF29&gt;NDC!$C$63,AG29&gt;NDC!$C$65,AH29&gt;NDC!$D$73,AI29&gt;NDC!$D$74,$B29&gt;NDC!$H$22-0.1+MIN(3*$AJ$12,1.5)),0,1)</f>
        <v>#N/A</v>
      </c>
      <c r="AK29" s="86" t="b">
        <f t="shared" si="18"/>
        <v>0</v>
      </c>
      <c r="AL29" s="86">
        <f t="shared" si="70"/>
        <v>0.5</v>
      </c>
      <c r="AM29" s="86">
        <f t="shared" si="19"/>
        <v>0.5</v>
      </c>
      <c r="AN29" s="30" t="e">
        <f t="shared" ca="1" si="71"/>
        <v>#DIV/0!</v>
      </c>
      <c r="AO29" s="85" t="e">
        <f ca="1">IF(U29&lt;=Hypothèses!$V$7,Hypothèses!$W$7,IF(U29&lt;=Hypothèses!$V$8,Hypothèses!$W$8,IF(U29&lt;=Hypothèses!$V$9,Hypothèses!$W$9,IF(U29&lt;=Hypothèses!$V$10,Hypothèses!$W$10,IF(U29&lt;=Hypothèses!$V$11,Hypothèses!$W$11,IF(U29&lt;=Hypothèses!$V$12,Hypothèses!$W$12,IF(U29&lt;=Hypothèses!$V$13,Hypothèses!$W$13,IF(U29&lt;=Hypothèses!$V$14,Hypothèses!$W$14,IF(U29&lt;=Hypothèses!$V$15,Hypothèses!$W$15,IF(U29&lt;=Hypothèses!$V$16,Hypothèses!$W$16,IF(U29&lt;=Hypothèses!$V$17,Hypothèses!$W$17,IF(U29&lt;=Hypothèses!$V$18,Hypothèses!$W$18,""))))))))))))</f>
        <v>#DIV/0!</v>
      </c>
      <c r="AP29" s="87" t="e">
        <f t="shared" ca="1" si="117"/>
        <v>#DIV/0!</v>
      </c>
      <c r="AQ29" s="88" t="e">
        <f ca="1">IF(U29&lt;=Hypothèses!$V$7,Hypothèses!$X$7,IF(U29&lt;=Hypothèses!$V$8,Hypothèses!$X$8,IF(U29&lt;=Hypothèses!$V$9,Hypothèses!$X$9,IF(U29&lt;=Hypothèses!$V$10,Hypothèses!$X$10,IF(U29&lt;=Hypothèses!$V$11,Hypothèses!$X$11,IF(U29&lt;=Hypothèses!$V$12,Hypothèses!$X$12,IF(U29&lt;=Hypothèses!$V$13,Hypothèses!$X$13,IF(U29&lt;=Hypothèses!$V$14,Hypothèses!$X$14,IF(U29&lt;=Hypothèses!$V$15,Hypothèses!$X$15,IF(U29&lt;=Hypothèses!$V$16,Hypothèses!$X$16,IF(U29&lt;=Hypothèses!$U$17,Hypothèses!$W$17,IF(U29&lt;=Hypothèses!$U$18,Hypothèses!$W$18,""))))))))))))</f>
        <v>#DIV/0!</v>
      </c>
      <c r="AR29" s="95" t="e">
        <f t="shared" ca="1" si="72"/>
        <v>#DIV/0!</v>
      </c>
      <c r="AS29" s="101">
        <f t="shared" si="124"/>
        <v>0</v>
      </c>
      <c r="AT29" s="91">
        <f t="shared" si="21"/>
        <v>0</v>
      </c>
      <c r="AU29" s="30" t="e">
        <f t="shared" si="102"/>
        <v>#N/A</v>
      </c>
      <c r="AV29" s="30" t="e">
        <f t="shared" si="103"/>
        <v>#N/A</v>
      </c>
      <c r="AW29" s="31" t="e">
        <f>IF(OR(Hypothèses!$B$4=17,Hypothèses!$B$4=18,Hypothèses!$B$4=19,Hypothèses!$B$4=20),
IF($D29="Pressio.",
IF(OR($E29=3,$E29=1,$E29=4),AV29,AU29),
IF($D29="Pénétro.",
IF(OR($E29=3,$E29=1,$E29=4),AV29,AU29))),IF($D29="Pressio.",
IF($E29=3,AV29,AU29),
IF($D29="Pénétro.",
IF($E29=4,AV29,AU29))))</f>
        <v>#N/A</v>
      </c>
      <c r="AX29" s="31">
        <v>0</v>
      </c>
      <c r="AY29" s="102" t="e">
        <f>IF(NDC!$H$10="Oui",(VLOOKUP($B$3,'Coeff EC7'!$T$39:$X$59,2,0)*AW29+VLOOKUP($B$3,'Coeff EC7'!$T$65:$X$85,2,0)*Model0.1T!AX29)/1.5,PI()*AU$12*$Q29*($B29-$B28)*0.15/10+AY28)</f>
        <v>#N/A</v>
      </c>
      <c r="AZ29" s="102" t="e">
        <f>(VLOOKUP($B$3,'Coeff EC7'!$T$39:$X$59,3,0)*AW29+VLOOKUP($B$3,'Coeff EC7'!$T$65:$X$85,3,0)*Model0.1T!AX29)/1.1</f>
        <v>#N/A</v>
      </c>
      <c r="BA29" s="102" t="e">
        <f t="shared" si="73"/>
        <v>#N/A</v>
      </c>
      <c r="BB29" s="102" t="e">
        <f t="shared" si="74"/>
        <v>#N/A</v>
      </c>
      <c r="BC29" s="414" t="e">
        <f>IF(AND(AY29&gt;NDC!$C$63,AZ29&gt;NDC!$C$65,BA29&gt;NDC!$D$73,BB29&gt;NDC!$D$74,$B29&gt;NDC!$H$22-0.1+MIN(3*BC$12,1.5)),0,1)</f>
        <v>#N/A</v>
      </c>
      <c r="BD29" s="86" t="b">
        <f t="shared" si="24"/>
        <v>0</v>
      </c>
      <c r="BE29" s="86">
        <f t="shared" si="75"/>
        <v>0.5</v>
      </c>
      <c r="BF29" s="86">
        <f t="shared" si="25"/>
        <v>0.5</v>
      </c>
      <c r="BG29" s="30" t="e">
        <f t="shared" ca="1" si="76"/>
        <v>#DIV/0!</v>
      </c>
      <c r="BH29" s="85" t="e">
        <f ca="1">IF(AN29&lt;=Hypothèses!$V$7,Hypothèses!$W$7,IF(AN29&lt;=Hypothèses!$V$8,Hypothèses!$W$8,IF(AN29&lt;=Hypothèses!$V$9,Hypothèses!$W$9,IF(AN29&lt;=Hypothèses!$V$10,Hypothèses!$W$10,IF(AN29&lt;=Hypothèses!$V$11,Hypothèses!$W$11,IF(AN29&lt;=Hypothèses!$V$12,Hypothèses!$W$12,IF(AN29&lt;=Hypothèses!$V$13,Hypothèses!$W$13,IF(AN29&lt;=Hypothèses!$V$14,Hypothèses!$W$14,IF(AN29&lt;=Hypothèses!$V$15,Hypothèses!$W$15,IF(AN29&lt;=Hypothèses!$V$16,Hypothèses!$W$16,IF(AN29&lt;=Hypothèses!$V$17,Hypothèses!$W$17,IF(AN29&lt;=Hypothèses!$V$18,Hypothèses!$W$18,""))))))))))))</f>
        <v>#DIV/0!</v>
      </c>
      <c r="BI29" s="87" t="e">
        <f t="shared" ca="1" si="118"/>
        <v>#DIV/0!</v>
      </c>
      <c r="BJ29" s="88" t="e">
        <f ca="1">IF(AN29&lt;=Hypothèses!$V$7,Hypothèses!$X$7,IF(AN29&lt;=Hypothèses!$V$8,Hypothèses!$X$8,IF(AN29&lt;=Hypothèses!$V$9,Hypothèses!$X$9,IF(AN29&lt;=Hypothèses!$V$10,Hypothèses!$X$10,IF(AN29&lt;=Hypothèses!$V$11,Hypothèses!$X$11,IF(AN29&lt;=Hypothèses!$V$12,Hypothèses!$X$12,IF(AN29&lt;=Hypothèses!$V$13,Hypothèses!$X$13,IF(AN29&lt;=Hypothèses!$V$14,Hypothèses!$X$14,IF(AN29&lt;=Hypothèses!$V$15,Hypothèses!$X$15,IF(AN29&lt;=Hypothèses!$V$16,Hypothèses!$X$16,IF(AN29&lt;=Hypothèses!$U$17,Hypothèses!$W$17,IF(AN29&lt;=Hypothèses!$U$18,Hypothèses!$W$18,""))))))))))))</f>
        <v>#DIV/0!</v>
      </c>
      <c r="BK29" s="95" t="e">
        <f t="shared" ca="1" si="77"/>
        <v>#DIV/0!</v>
      </c>
      <c r="BL29" s="101">
        <f t="shared" si="125"/>
        <v>0</v>
      </c>
      <c r="BM29" s="91">
        <f t="shared" si="27"/>
        <v>0</v>
      </c>
      <c r="BN29" s="30" t="e">
        <f t="shared" si="104"/>
        <v>#N/A</v>
      </c>
      <c r="BO29" s="30" t="e">
        <f t="shared" si="105"/>
        <v>#N/A</v>
      </c>
      <c r="BP29" s="31" t="e">
        <f>IF(OR(Hypothèses!$B$4=17,Hypothèses!$B$4=18,Hypothèses!$B$4=19,Hypothèses!$B$4=20),
IF($D29="Pressio.",
IF(OR($E29=3,$E29=1,$E29=4),BO29,BN29),
IF($D29="Pénétro.",
IF(OR($E29=3,$E29=1,$E29=4),BO29,BN29))),IF($D29="Pressio.",
IF($E29=3,BO29,BN29),
IF($D29="Pénétro.",
IF($E29=4,BO29,BN29))))</f>
        <v>#N/A</v>
      </c>
      <c r="BQ29" s="31">
        <v>0</v>
      </c>
      <c r="BR29" s="102" t="e">
        <f>IF(NDC!$H$10="Oui",(VLOOKUP($B$3,'Coeff EC7'!$T$39:$X$59,2,0)*BP29+VLOOKUP($B$3,'Coeff EC7'!$T$65:$X$85,2,0)*Model0.1T!BQ29)/1.5,PI()*BN$12*$Q29*($B29-$B28)*0.15/10+BR28)</f>
        <v>#N/A</v>
      </c>
      <c r="BS29" s="102" t="e">
        <f>(VLOOKUP($B$3,'Coeff EC7'!$T$39:$X$59,3,0)*BP29+VLOOKUP($B$3,'Coeff EC7'!$T$65:$X$85,3,0)*Model0.1T!BQ29)/1.1</f>
        <v>#N/A</v>
      </c>
      <c r="BT29" s="102" t="e">
        <f t="shared" si="78"/>
        <v>#N/A</v>
      </c>
      <c r="BU29" s="102" t="e">
        <f t="shared" si="79"/>
        <v>#N/A</v>
      </c>
      <c r="BV29" s="414" t="e">
        <f>IF(AND(BR29&gt;NDC!$C$63,BS29&gt;NDC!$C$65,BT29&gt;NDC!$D$73,BU29&gt;NDC!$D$74,$B29&gt;NDC!$H$22-0.1+MIN(3*BV$12,1.5)),0,1)</f>
        <v>#N/A</v>
      </c>
      <c r="BW29" s="86" t="b">
        <f t="shared" si="30"/>
        <v>0</v>
      </c>
      <c r="BX29" s="86">
        <f t="shared" si="31"/>
        <v>0.5</v>
      </c>
      <c r="BY29" s="86">
        <f t="shared" si="32"/>
        <v>0.5</v>
      </c>
      <c r="BZ29" s="30" t="e">
        <f t="shared" ca="1" si="80"/>
        <v>#DIV/0!</v>
      </c>
      <c r="CA29" s="85" t="e">
        <f ca="1">IF(BG29&lt;=Hypothèses!$V$7,Hypothèses!$W$7,IF(BG29&lt;=Hypothèses!$V$8,Hypothèses!$W$8,IF(BG29&lt;=Hypothèses!$V$9,Hypothèses!$W$9,IF(BG29&lt;=Hypothèses!$V$10,Hypothèses!$W$10,IF(BG29&lt;=Hypothèses!$V$11,Hypothèses!$W$11,IF(BG29&lt;=Hypothèses!$V$12,Hypothèses!$W$12,IF(BG29&lt;=Hypothèses!$V$13,Hypothèses!$W$13,IF(BG29&lt;=Hypothèses!$V$14,Hypothèses!$W$14,IF(BG29&lt;=Hypothèses!$V$15,Hypothèses!$W$15,IF(BG29&lt;=Hypothèses!$V$16,Hypothèses!$W$16,IF(BG29&lt;=Hypothèses!$V$17,Hypothèses!$W$17,IF(BG29&lt;=Hypothèses!$V$18,Hypothèses!$W$18,""))))))))))))</f>
        <v>#DIV/0!</v>
      </c>
      <c r="CB29" s="87" t="e">
        <f t="shared" ca="1" si="119"/>
        <v>#DIV/0!</v>
      </c>
      <c r="CC29" s="88" t="e">
        <f ca="1">IF(BG29&lt;=Hypothèses!$V$7,Hypothèses!$X$7,IF(BG29&lt;=Hypothèses!$V$8,Hypothèses!$X$8,IF(BG29&lt;=Hypothèses!$V$9,Hypothèses!$X$9,IF(BG29&lt;=Hypothèses!$V$10,Hypothèses!$X$10,IF(BG29&lt;=Hypothèses!$V$11,Hypothèses!$X$11,IF(BG29&lt;=Hypothèses!$V$12,Hypothèses!$X$12,IF(BG29&lt;=Hypothèses!$V$13,Hypothèses!$X$13,IF(BG29&lt;=Hypothèses!$V$14,Hypothèses!$X$14,IF(BG29&lt;=Hypothèses!$V$15,Hypothèses!$X$15,IF(BG29&lt;=Hypothèses!$V$16,Hypothèses!$X$16,IF(BG29&lt;=Hypothèses!$U$17,Hypothèses!$W$17,IF(BG29&lt;=Hypothèses!$U$18,Hypothèses!$W$18,""))))))))))))</f>
        <v>#DIV/0!</v>
      </c>
      <c r="CD29" s="95" t="e">
        <f t="shared" ca="1" si="81"/>
        <v>#DIV/0!</v>
      </c>
      <c r="CE29" s="101">
        <f t="shared" si="126"/>
        <v>0</v>
      </c>
      <c r="CF29" s="91">
        <f t="shared" si="34"/>
        <v>0</v>
      </c>
      <c r="CG29" s="30" t="e">
        <f t="shared" si="106"/>
        <v>#N/A</v>
      </c>
      <c r="CH29" s="30" t="e">
        <f t="shared" si="107"/>
        <v>#N/A</v>
      </c>
      <c r="CI29" s="31" t="e">
        <f>IF(OR(Hypothèses!$B$4=17,Hypothèses!$B$4=18,Hypothèses!$B$4=19,Hypothèses!$B$4=20),
IF($D29="Pressio.",
IF(OR($E29=3,$E29=1,$E29=4),CH29,CG29),
IF($D29="Pénétro.",
IF(OR($E29=3,$E29=1,$E29=4),CH29,CG29))),IF($D29="Pressio.",
IF($E29=3,CH29,CG29),
IF($D29="Pénétro.",
IF($E29=4,CH29,CG29))))</f>
        <v>#N/A</v>
      </c>
      <c r="CJ29" s="31">
        <v>0</v>
      </c>
      <c r="CK29" s="102" t="e">
        <f>IF(NDC!$H$10="Oui",(VLOOKUP($B$3,'Coeff EC7'!$T$39:$X$59,2,0)*CI29+VLOOKUP($B$3,'Coeff EC7'!$T$65:$X$85,2,0)*Model0.1T!CJ29)/1.5,PI()*CG$12*$Q29*($B29-$B28)*0.15/10+CK28)</f>
        <v>#N/A</v>
      </c>
      <c r="CL29" s="102" t="e">
        <f>(VLOOKUP($B$3,'Coeff EC7'!$T$39:$X$59,3,0)*CI29+VLOOKUP($B$3,'Coeff EC7'!$T$65:$X$85,3,0)*Model0.1T!CJ29)/1.1</f>
        <v>#N/A</v>
      </c>
      <c r="CM29" s="102" t="e">
        <f t="shared" si="82"/>
        <v>#N/A</v>
      </c>
      <c r="CN29" s="102" t="e">
        <f t="shared" si="83"/>
        <v>#N/A</v>
      </c>
      <c r="CO29" s="414" t="e">
        <f>IF(AND(CK29&gt;NDC!$C$63,CL29&gt;NDC!$C$65,CM29&gt;NDC!$D$73,CN29&gt;NDC!$D$74,$B29&gt;NDC!$H$22-0.1+MIN(3*CO$12,1.5)),0,1)</f>
        <v>#N/A</v>
      </c>
      <c r="CP29" s="86" t="b">
        <f t="shared" si="37"/>
        <v>0</v>
      </c>
      <c r="CQ29" s="86">
        <f t="shared" si="38"/>
        <v>0.5</v>
      </c>
      <c r="CR29" s="86">
        <f t="shared" si="39"/>
        <v>0.5</v>
      </c>
      <c r="CS29" s="30" t="e">
        <f t="shared" ca="1" si="84"/>
        <v>#DIV/0!</v>
      </c>
      <c r="CT29" s="85" t="e">
        <f ca="1">IF(BZ29&lt;=Hypothèses!$V$7,Hypothèses!$W$7,IF(BZ29&lt;=Hypothèses!$V$8,Hypothèses!$W$8,IF(BZ29&lt;=Hypothèses!$V$9,Hypothèses!$W$9,IF(BZ29&lt;=Hypothèses!$V$10,Hypothèses!$W$10,IF(BZ29&lt;=Hypothèses!$V$11,Hypothèses!$W$11,IF(BZ29&lt;=Hypothèses!$V$12,Hypothèses!$W$12,IF(BZ29&lt;=Hypothèses!$V$13,Hypothèses!$W$13,IF(BZ29&lt;=Hypothèses!$V$14,Hypothèses!$W$14,IF(BZ29&lt;=Hypothèses!$V$15,Hypothèses!$W$15,IF(BZ29&lt;=Hypothèses!$V$16,Hypothèses!$W$16,IF(BZ29&lt;=Hypothèses!$V$17,Hypothèses!$W$17,IF(BZ29&lt;=Hypothèses!$V$18,Hypothèses!$W$18,""))))))))))))</f>
        <v>#DIV/0!</v>
      </c>
      <c r="CU29" s="87" t="e">
        <f t="shared" ca="1" si="120"/>
        <v>#DIV/0!</v>
      </c>
      <c r="CV29" s="88" t="e">
        <f ca="1">IF(BZ29&lt;=Hypothèses!$V$7,Hypothèses!$X$7,IF(BZ29&lt;=Hypothèses!$V$8,Hypothèses!$X$8,IF(BZ29&lt;=Hypothèses!$V$9,Hypothèses!$X$9,IF(BZ29&lt;=Hypothèses!$V$10,Hypothèses!$X$10,IF(BZ29&lt;=Hypothèses!$V$11,Hypothèses!$X$11,IF(BZ29&lt;=Hypothèses!$V$12,Hypothèses!$X$12,IF(BZ29&lt;=Hypothèses!$V$13,Hypothèses!$X$13,IF(BZ29&lt;=Hypothèses!$V$14,Hypothèses!$X$14,IF(BZ29&lt;=Hypothèses!$V$15,Hypothèses!$X$15,IF(BZ29&lt;=Hypothèses!$V$16,Hypothèses!$X$16,IF(BZ29&lt;=Hypothèses!$U$17,Hypothèses!$W$17,IF(BZ29&lt;=Hypothèses!$U$18,Hypothèses!$W$18,""))))))))))))</f>
        <v>#DIV/0!</v>
      </c>
      <c r="CW29" s="95" t="e">
        <f t="shared" ca="1" si="85"/>
        <v>#DIV/0!</v>
      </c>
      <c r="CX29" s="101">
        <f t="shared" si="127"/>
        <v>0</v>
      </c>
      <c r="CY29" s="91">
        <f t="shared" si="41"/>
        <v>0</v>
      </c>
      <c r="CZ29" s="30" t="e">
        <f t="shared" si="108"/>
        <v>#N/A</v>
      </c>
      <c r="DA29" s="30" t="e">
        <f t="shared" si="109"/>
        <v>#N/A</v>
      </c>
      <c r="DB29" s="31" t="e">
        <f>IF(OR(Hypothèses!$B$4=17,Hypothèses!$B$4=18,Hypothèses!$B$4=19,Hypothèses!$B$4=20),
IF($D29="Pressio.",
IF(OR($E29=3,$E29=1,$E29=4),DA29,CZ29),
IF($D29="Pénétro.",
IF(OR($E29=3,$E29=1,$E29=4),DA29,CZ29))),IF($D29="Pressio.",
IF($E29=3,DA29,CZ29),
IF($D29="Pénétro.",
IF($E29=4,DA29,CZ29))))</f>
        <v>#N/A</v>
      </c>
      <c r="DC29" s="31">
        <v>0</v>
      </c>
      <c r="DD29" s="102" t="e">
        <f>IF(NDC!$H$10="Oui",(VLOOKUP($B$3,'Coeff EC7'!$T$39:$X$59,2,0)*DB29+VLOOKUP($B$3,'Coeff EC7'!$T$65:$X$85,2,0)*Model0.1T!DC29)/1.5,PI()*CZ$12*$Q29*($B29-$B28)*0.15/10+DD28)</f>
        <v>#N/A</v>
      </c>
      <c r="DE29" s="102" t="e">
        <f>(VLOOKUP($B$3,'Coeff EC7'!$T$39:$X$59,3,0)*DB29+VLOOKUP($B$3,'Coeff EC7'!$T$65:$X$85,3,0)*Model0.1T!DC29)/1.1</f>
        <v>#N/A</v>
      </c>
      <c r="DF29" s="102" t="e">
        <f t="shared" si="86"/>
        <v>#N/A</v>
      </c>
      <c r="DG29" s="102" t="e">
        <f t="shared" si="87"/>
        <v>#N/A</v>
      </c>
      <c r="DH29" s="414" t="e">
        <f>IF(AND(DD29&gt;NDC!$C$63,DE29&gt;NDC!$C$65,DF29&gt;NDC!$D$73,DG29&gt;NDC!$D$74,$B29&gt;NDC!$H$22-0.1+MIN(3*DH$12,1.5)),0,1)</f>
        <v>#N/A</v>
      </c>
      <c r="DI29" s="86" t="b">
        <f t="shared" si="44"/>
        <v>0</v>
      </c>
      <c r="DJ29" s="86">
        <f t="shared" si="45"/>
        <v>0.5</v>
      </c>
      <c r="DK29" s="86">
        <f t="shared" si="46"/>
        <v>0.5</v>
      </c>
      <c r="DL29" s="30" t="e">
        <f t="shared" ca="1" si="88"/>
        <v>#DIV/0!</v>
      </c>
      <c r="DM29" s="85" t="e">
        <f ca="1">IF(CS29&lt;=Hypothèses!$V$7,Hypothèses!$W$7,IF(CS29&lt;=Hypothèses!$V$8,Hypothèses!$W$8,IF(CS29&lt;=Hypothèses!$V$9,Hypothèses!$W$9,IF(CS29&lt;=Hypothèses!$V$10,Hypothèses!$W$10,IF(CS29&lt;=Hypothèses!$V$11,Hypothèses!$W$11,IF(CS29&lt;=Hypothèses!$V$12,Hypothèses!$W$12,IF(CS29&lt;=Hypothèses!$V$13,Hypothèses!$W$13,IF(CS29&lt;=Hypothèses!$V$14,Hypothèses!$W$14,IF(CS29&lt;=Hypothèses!$V$15,Hypothèses!$W$15,IF(CS29&lt;=Hypothèses!$V$16,Hypothèses!$W$16,IF(CS29&lt;=Hypothèses!$V$17,Hypothèses!$W$17,IF(CS29&lt;=Hypothèses!$V$18,Hypothèses!$W$18,""))))))))))))</f>
        <v>#DIV/0!</v>
      </c>
      <c r="DN29" s="87" t="e">
        <f t="shared" ca="1" si="121"/>
        <v>#DIV/0!</v>
      </c>
      <c r="DO29" s="88" t="e">
        <f ca="1">IF(CS29&lt;=Hypothèses!$V$7,Hypothèses!$X$7,IF(CS29&lt;=Hypothèses!$V$8,Hypothèses!$X$8,IF(CS29&lt;=Hypothèses!$V$9,Hypothèses!$X$9,IF(CS29&lt;=Hypothèses!$V$10,Hypothèses!$X$10,IF(CS29&lt;=Hypothèses!$V$11,Hypothèses!$X$11,IF(CS29&lt;=Hypothèses!$V$12,Hypothèses!$X$12,IF(CS29&lt;=Hypothèses!$V$13,Hypothèses!$X$13,IF(CS29&lt;=Hypothèses!$V$14,Hypothèses!$X$14,IF(CS29&lt;=Hypothèses!$V$15,Hypothèses!$X$15,IF(CS29&lt;=Hypothèses!$V$16,Hypothèses!$X$16,IF(CS29&lt;=Hypothèses!$U$17,Hypothèses!$W$17,IF(CS29&lt;=Hypothèses!$U$18,Hypothèses!$W$18,""))))))))))))</f>
        <v>#DIV/0!</v>
      </c>
      <c r="DP29" s="95" t="e">
        <f t="shared" ca="1" si="89"/>
        <v>#DIV/0!</v>
      </c>
      <c r="DQ29" s="101">
        <f t="shared" si="128"/>
        <v>0</v>
      </c>
      <c r="DR29" s="91">
        <f t="shared" si="48"/>
        <v>0</v>
      </c>
      <c r="DS29" s="30" t="e">
        <f t="shared" si="110"/>
        <v>#N/A</v>
      </c>
      <c r="DT29" s="30" t="e">
        <f t="shared" si="111"/>
        <v>#N/A</v>
      </c>
      <c r="DU29" s="31" t="e">
        <f>IF(OR(Hypothèses!$B$4=17,Hypothèses!$B$4=18,Hypothèses!$B$4=19,Hypothèses!$B$4=20),
IF($D29="Pressio.",
IF(OR($E29=3,$E29=1,$E29=4),DT29,DS29),
IF($D29="Pénétro.",
IF(OR($E29=3,$E29=1,$E29=4),DT29,DS29))),IF($D29="Pressio.",
IF($E29=3,DT29,DS29),
IF($D29="Pénétro.",
IF($E29=4,DT29,DS29))))</f>
        <v>#N/A</v>
      </c>
      <c r="DV29" s="31">
        <v>0</v>
      </c>
      <c r="DW29" s="102" t="e">
        <f>IF(NDC!$H$10="Oui",(VLOOKUP($B$3,'Coeff EC7'!$T$39:$X$59,2,0)*DU29+VLOOKUP($B$3,'Coeff EC7'!$T$65:$X$85,2,0)*Model0.1T!DV29)/1.5,PI()*DS$12*$Q29*($B29-$B28)*0.15/10+DW28)</f>
        <v>#N/A</v>
      </c>
      <c r="DX29" s="102" t="e">
        <f>(VLOOKUP($B$3,'Coeff EC7'!$T$39:$X$59,3,0)*DU29+VLOOKUP($B$3,'Coeff EC7'!$T$65:$X$85,3,0)*Model0.1T!DV29)/1.1</f>
        <v>#N/A</v>
      </c>
      <c r="DY29" s="102" t="e">
        <f t="shared" si="90"/>
        <v>#N/A</v>
      </c>
      <c r="DZ29" s="102" t="e">
        <f t="shared" si="91"/>
        <v>#N/A</v>
      </c>
      <c r="EA29" s="414" t="e">
        <f>IF(AND(DW29&gt;NDC!$C$63,DX29&gt;NDC!$C$65,DY29&gt;NDC!$D$73,DZ29&gt;NDC!$D$74,$B29&gt;NDC!$H$22-0.1+MIN(3*EA$12,1.5)),0,1)</f>
        <v>#N/A</v>
      </c>
      <c r="EB29" s="86" t="b">
        <f t="shared" si="51"/>
        <v>0</v>
      </c>
      <c r="EC29" s="418">
        <f t="shared" si="52"/>
        <v>0.51</v>
      </c>
      <c r="ED29" s="86">
        <f t="shared" si="53"/>
        <v>0.51</v>
      </c>
      <c r="EE29" s="30" t="e">
        <f t="shared" ca="1" si="92"/>
        <v>#DIV/0!</v>
      </c>
      <c r="EF29" s="85" t="e">
        <f ca="1">IF(DL29&lt;=Hypothèses!$V$7,Hypothèses!$W$7,IF(DL29&lt;=Hypothèses!$V$8,Hypothèses!$W$8,IF(DL29&lt;=Hypothèses!$V$9,Hypothèses!$W$9,IF(DL29&lt;=Hypothèses!$V$10,Hypothèses!$W$10,IF(DL29&lt;=Hypothèses!$V$11,Hypothèses!$W$11,IF(DL29&lt;=Hypothèses!$V$12,Hypothèses!$W$12,IF(DL29&lt;=Hypothèses!$V$13,Hypothèses!$W$13,IF(DL29&lt;=Hypothèses!$V$14,Hypothèses!$W$14,IF(DL29&lt;=Hypothèses!$V$15,Hypothèses!$W$15,IF(DL29&lt;=Hypothèses!$V$16,Hypothèses!$W$16,IF(DL29&lt;=Hypothèses!$V$17,Hypothèses!$W$17,IF(DL29&lt;=Hypothèses!$V$18,Hypothèses!$W$18,""))))))))))))</f>
        <v>#DIV/0!</v>
      </c>
      <c r="EG29" s="87" t="e">
        <f t="shared" ca="1" si="122"/>
        <v>#DIV/0!</v>
      </c>
      <c r="EH29" s="88" t="e">
        <f ca="1">IF(DL29&lt;=Hypothèses!$V$7,Hypothèses!$X$7,IF(DL29&lt;=Hypothèses!$V$8,Hypothèses!$X$8,IF(DL29&lt;=Hypothèses!$V$9,Hypothèses!$X$9,IF(DL29&lt;=Hypothèses!$V$10,Hypothèses!$X$10,IF(DL29&lt;=Hypothèses!$V$11,Hypothèses!$X$11,IF(DL29&lt;=Hypothèses!$V$12,Hypothèses!$X$12,IF(DL29&lt;=Hypothèses!$V$13,Hypothèses!$X$13,IF(DL29&lt;=Hypothèses!$V$14,Hypothèses!$X$14,IF(DL29&lt;=Hypothèses!$V$15,Hypothèses!$X$15,IF(DL29&lt;=Hypothèses!$V$16,Hypothèses!$X$16,IF(DL29&lt;=Hypothèses!$U$17,Hypothèses!$W$17,IF(DL29&lt;=Hypothèses!$U$18,Hypothèses!$W$18,""))))))))))))</f>
        <v>#DIV/0!</v>
      </c>
      <c r="EI29" s="95" t="e">
        <f t="shared" ca="1" si="93"/>
        <v>#DIV/0!</v>
      </c>
      <c r="EJ29" s="101">
        <f t="shared" si="129"/>
        <v>0</v>
      </c>
      <c r="EK29" s="91">
        <f t="shared" si="55"/>
        <v>0</v>
      </c>
      <c r="EL29" s="30" t="e">
        <f t="shared" si="112"/>
        <v>#N/A</v>
      </c>
      <c r="EM29" s="30" t="e">
        <f t="shared" si="113"/>
        <v>#N/A</v>
      </c>
      <c r="EN29" s="31" t="e">
        <f>IF(OR(Hypothèses!$B$4=17,Hypothèses!$B$4=18,Hypothèses!$B$4=19,Hypothèses!$B$4=20),
IF($D29="Pressio.",
IF(OR($E29=3,$E29=1,$E29=4),EM29,EL29),
IF($D29="Pénétro.",
IF(OR($E29=3,$E29=1,$E29=4),EM29,EL29))),IF($D29="Pressio.",
IF($E29=3,EM29,EL29),
IF($D29="Pénétro.",
IF($E29=4,EM29,EL29))))</f>
        <v>#N/A</v>
      </c>
      <c r="EO29" s="31">
        <v>0</v>
      </c>
      <c r="EP29" s="102" t="e">
        <f>IF(NDC!$H$10="Oui",(VLOOKUP($B$3,'Coeff EC7'!$T$39:$X$59,2,0)*EN29+VLOOKUP($B$3,'Coeff EC7'!$T$65:$X$85,2,0)*Model0.1T!EO29)/1.5,PI()*EL$12*$Q29*($B29-$B28)*0.15/10+EP28)</f>
        <v>#N/A</v>
      </c>
      <c r="EQ29" s="102" t="e">
        <f>(VLOOKUP($B$3,'Coeff EC7'!$T$39:$X$59,3,0)*EN29+VLOOKUP($B$3,'Coeff EC7'!$T$65:$X$85,3,0)*Model0.1T!EO29)/1.1</f>
        <v>#N/A</v>
      </c>
      <c r="ER29" s="102" t="e">
        <f t="shared" si="94"/>
        <v>#N/A</v>
      </c>
      <c r="ES29" s="102" t="e">
        <f t="shared" si="95"/>
        <v>#N/A</v>
      </c>
      <c r="ET29" s="414" t="e">
        <f>IF(AND(EP29&gt;NDC!$C$63,EQ29&gt;NDC!$C$65,ER29&gt;NDC!$D$73,ES29&gt;NDC!$D$74,$B29&gt;NDC!$H$22-0.1+MIN(3*ET$12,1.5)),0,1)</f>
        <v>#N/A</v>
      </c>
      <c r="EU29" s="86" t="b">
        <f t="shared" si="58"/>
        <v>0</v>
      </c>
      <c r="EV29" s="86">
        <f t="shared" si="59"/>
        <v>0.61</v>
      </c>
      <c r="EW29" s="86">
        <f t="shared" si="60"/>
        <v>0.61</v>
      </c>
      <c r="EX29" s="30" t="e">
        <f t="shared" ca="1" si="96"/>
        <v>#DIV/0!</v>
      </c>
      <c r="EY29" s="85" t="e">
        <f ca="1">IF(EE29&lt;=Hypothèses!$V$7,Hypothèses!$W$7,IF(EE29&lt;=Hypothèses!$V$8,Hypothèses!$W$8,IF(EE29&lt;=Hypothèses!$V$9,Hypothèses!$W$9,IF(EE29&lt;=Hypothèses!$V$10,Hypothèses!$W$10,IF(EE29&lt;=Hypothèses!$V$11,Hypothèses!$W$11,IF(EE29&lt;=Hypothèses!$V$12,Hypothèses!$W$12,IF(EE29&lt;=Hypothèses!$V$13,Hypothèses!$W$13,IF(EE29&lt;=Hypothèses!$V$14,Hypothèses!$W$14,IF(EE29&lt;=Hypothèses!$V$15,Hypothèses!$W$15,IF(EE29&lt;=Hypothèses!$V$16,Hypothèses!$W$16,IF(EE29&lt;=Hypothèses!$V$17,Hypothèses!$W$17,IF(EE29&lt;=Hypothèses!$V$18,Hypothèses!$W$18,""))))))))))))</f>
        <v>#DIV/0!</v>
      </c>
      <c r="EZ29" s="87" t="e">
        <f t="shared" ca="1" si="123"/>
        <v>#DIV/0!</v>
      </c>
      <c r="FA29" s="88" t="e">
        <f ca="1">IF(EE29&lt;=Hypothèses!$V$7,Hypothèses!$X$7,IF(EE29&lt;=Hypothèses!$V$8,Hypothèses!$X$8,IF(EE29&lt;=Hypothèses!$V$9,Hypothèses!$X$9,IF(EE29&lt;=Hypothèses!$V$10,Hypothèses!$X$10,IF(EE29&lt;=Hypothèses!$V$11,Hypothèses!$X$11,IF(EE29&lt;=Hypothèses!$V$12,Hypothèses!$X$12,IF(EE29&lt;=Hypothèses!$V$13,Hypothèses!$X$13,IF(EE29&lt;=Hypothèses!$V$14,Hypothèses!$X$14,IF(EE29&lt;=Hypothèses!$V$15,Hypothèses!$X$15,IF(EE29&lt;=Hypothèses!$V$16,Hypothèses!$X$16,IF(EE29&lt;=Hypothèses!$U$17,Hypothèses!$W$17,IF(EE29&lt;=Hypothèses!$U$18,Hypothèses!$W$18,""))))))))))))</f>
        <v>#DIV/0!</v>
      </c>
      <c r="FB29" s="95" t="e">
        <f t="shared" ca="1" si="97"/>
        <v>#DIV/0!</v>
      </c>
      <c r="FC29" s="101">
        <f t="shared" si="130"/>
        <v>0</v>
      </c>
      <c r="FD29" s="91">
        <f t="shared" si="62"/>
        <v>0</v>
      </c>
      <c r="FE29" s="30" t="e">
        <f t="shared" si="114"/>
        <v>#N/A</v>
      </c>
      <c r="FF29" s="30" t="e">
        <f t="shared" si="115"/>
        <v>#N/A</v>
      </c>
      <c r="FG29" s="31" t="e">
        <f>IF(OR(Hypothèses!$B$4=17,Hypothèses!$B$4=18,Hypothèses!$B$4=19,Hypothèses!$B$4=20),
IF($D29="Pressio.",
IF(OR($E29=3,$E29=1,$E29=4),FF29,FE29),
IF($D29="Pénétro.",
IF(OR($E29=3,$E29=1,$E29=4),FF29,FE29))),IF($D29="Pressio.",
IF($E29=3,FF29,FE29),
IF($D29="Pénétro.",
IF($E29=4,FF29,FE29))))</f>
        <v>#N/A</v>
      </c>
      <c r="FH29" s="31">
        <v>0</v>
      </c>
      <c r="FI29" s="102" t="e">
        <f>IF(NDC!$H$10="Oui",(VLOOKUP($B$3,'Coeff EC7'!$T$39:$X$59,2,0)*FG29+VLOOKUP($B$3,'Coeff EC7'!$T$65:$X$85,2,0)*Model0.1T!FH29)/1.5,PI()*FE$12*$Q29*($B29-$B28)*0.15/10+FI28)</f>
        <v>#N/A</v>
      </c>
      <c r="FJ29" s="102" t="e">
        <f>(VLOOKUP($B$3,'Coeff EC7'!$T$39:$X$59,3,0)*FG29+VLOOKUP($B$3,'Coeff EC7'!$T$65:$X$85,3,0)*Model0.1T!FH29)/1.1</f>
        <v>#N/A</v>
      </c>
      <c r="FK29" s="102" t="e">
        <f t="shared" si="98"/>
        <v>#N/A</v>
      </c>
      <c r="FL29" s="102" t="e">
        <f t="shared" si="99"/>
        <v>#N/A</v>
      </c>
      <c r="FM29" s="414" t="e">
        <f>IF(AND(FI29&gt;NDC!$C$63,FJ29&gt;NDC!$C$65,FK29&gt;NDC!$D$73,FL29&gt;NDC!$D$74,$B29&gt;NDC!$H$22-0.1+MIN(3*FM$12,1.5)),0,1)</f>
        <v>#N/A</v>
      </c>
    </row>
    <row r="30" spans="1:169">
      <c r="A30" s="96">
        <f t="shared" si="65"/>
        <v>98.300000000000097</v>
      </c>
      <c r="B30" s="97">
        <v>1.7</v>
      </c>
      <c r="C30" s="81">
        <f>IF(B30&lt;=Hypothèses!$C$7,Hypothèses!$A$7,IF(B30&lt;=Hypothèses!$C$8,Hypothèses!$A$8,IF(B30&lt;=Hypothèses!$C$9,Hypothèses!$A$9,IF(B30&lt;=Hypothèses!$C$10,Hypothèses!$A$10,IF(B30&lt;=Hypothèses!$C$11,Hypothèses!$A$11,IF(B30&lt;=Hypothèses!$C$12,Hypothèses!$A$12,IF(B30&lt;=Hypothèses!$C$13,Hypothèses!$A$13,IF(B30&lt;=Hypothèses!$C$14,Hypothèses!$A$14,IF(B30&lt;=Hypothèses!$C$15,Hypothèses!$A$15,IF(B30&lt;=Hypothèses!$C$16,Hypothèses!$A$16,IF(B30&lt;=Hypothèses!$C$17,Hypothèses!$A$17,IF(B30&lt;=Hypothèses!$C$18,Hypothèses!$A$18,C29))))))))))))</f>
        <v>11</v>
      </c>
      <c r="D30" s="82" t="str">
        <f>IF(B30&lt;=Hypothèses!$C$7,Hypothèses!$R$7,IF(B30&lt;=Hypothèses!$C$8,Hypothèses!$R$8,IF(B30&lt;=Hypothèses!$C$9,Hypothèses!$R$9,IF(B30&lt;=Hypothèses!$C$10,Hypothèses!$R$10,IF(B30&lt;=Hypothèses!$C$11,Hypothèses!$R$11,IF(B30&lt;=Hypothèses!$C$12,Hypothèses!$R$12,IF(B30&lt;=Hypothèses!$C$13,Hypothèses!$R$13,IF(B30&lt;=Hypothèses!$C$14,Hypothèses!$R$14,IF(B30&lt;=Hypothèses!$C$15,Hypothèses!$R$15,IF(B30&lt;=Hypothèses!$C$16,Hypothèses!$R$16,IF(B30&lt;=Hypothèses!$C$17,Hypothèses!$R$17,IF(B30&lt;=Hypothèses!$C$18,Hypothèses!$R$18,D29))))))))))))</f>
        <v>Pressio.</v>
      </c>
      <c r="E30" s="82" t="e">
        <f>IF(B30&lt;=Hypothèses!$C$7,Hypothèses!$G$7,IF(B30&lt;=Hypothèses!$C$8,Hypothèses!$G$8,IF(B30&lt;=Hypothèses!$C$9,Hypothèses!$G$9,IF(B30&lt;=Hypothèses!$C$10,Hypothèses!$G$10,IF(B30&lt;=Hypothèses!$C$11,Hypothèses!$G$11,IF(B30&lt;=Hypothèses!$C$12,Hypothèses!$G$12,IF(B30&lt;=Hypothèses!$C$13,Hypothèses!$G$13,IF(B30&lt;=Hypothèses!$C$14,Hypothèses!$G$14,IF(B30&lt;=Hypothèses!$C$15,Hypothèses!$G$15,IF(B30&lt;=Hypothèses!$C$16,Hypothèses!$G$16,IF(B30&lt;=Hypothèses!$C$17,Hypothèses!$G$17,IF(B30&lt;=Hypothèses!$C$18,Hypothèses!$G$18,E29))))))))))))</f>
        <v>#N/A</v>
      </c>
      <c r="F30" s="82" t="str">
        <f>IF(B30&lt;=Hypothèses!$C$7,Hypothèses!$F$7,IF(B30&lt;=Hypothèses!$C$8,Hypothèses!$F$8,IF(B30&lt;=Hypothèses!$C$9,Hypothèses!$F$9,IF(B30&lt;=Hypothèses!$C$10,Hypothèses!$F$10,IF(B30&lt;=Hypothèses!$C$11,Hypothèses!$F$11,IF(B30&lt;=Hypothèses!$C$12,Hypothèses!$F$12,IF(B30&lt;=Hypothèses!$C$13,Hypothèses!$F$13,IF(B30&lt;=Hypothèses!$C$14,Hypothèses!$F$14,IF(B30&lt;=Hypothèses!$C$15,Hypothèses!$F$15,IF(B30&lt;=Hypothèses!$C$16,Hypothèses!$F$16,IF(B30&lt;=Hypothèses!$C$17,Hypothèses!$F$17,IF(B30&lt;=Hypothèses!$C$18,Hypothèses!$F$18,F29))))))))))))</f>
        <v/>
      </c>
      <c r="G30" s="91">
        <f t="array" ref="G30">INDEX('Coeff EC7'!$U$7:$X$27,
MATCH(Model0.1T!$B$3,'Coeff EC7'!$T$7:$T$27,0),
MATCH(Model0.1T!$D30&amp;Model0.1T!$B$4,
'Coeff EC7'!$U$6:$X$6&amp;
'Coeff EC7'!$U$5:$X$5,0))</f>
        <v>1.4</v>
      </c>
      <c r="H30" s="91">
        <f t="array" ref="H30">INDEX('Coeff EC7'!$Y$7:$AB$27,
MATCH(Model0.1T!$B$3,'Coeff EC7'!$T$7:$T$27,0),
MATCH(Model0.1T!$D30&amp;Model0.1T!$B$4,
'Coeff EC7'!$Y$6:$AB$6&amp;
'Coeff EC7'!$Y$5:$AB$5,0))</f>
        <v>1.7</v>
      </c>
      <c r="I30" s="83">
        <v>0</v>
      </c>
      <c r="J30" s="91" t="e">
        <f t="array" ref="J30">INDEX('Coeff EC7'!$D$33:$Q$33,1,MATCH(D30&amp;E30,'Coeff EC7'!$D$31:$Q$31&amp;'Coeff EC7'!$D$32:$Q$32,0))</f>
        <v>#N/A</v>
      </c>
      <c r="K30" s="91" t="e">
        <f t="array" ref="K30">INDEX('Coeff EC7'!$D$34:$Q$34,1,MATCH(D30&amp;E30,'Coeff EC7'!$D$31:$Q$31&amp;'Coeff EC7'!$D$32:$Q$32,0))</f>
        <v>#N/A</v>
      </c>
      <c r="L30" s="91" t="e">
        <f t="array" ref="L30">INDEX('Coeff EC7'!$D$35:$Q$35,1,MATCH(D30&amp;E30,'Coeff EC7'!$D$31:$Q$31&amp;'Coeff EC7'!$D$32:$Q$32,0))</f>
        <v>#N/A</v>
      </c>
      <c r="M30" s="98" t="e">
        <f t="shared" si="8"/>
        <v>#N/A</v>
      </c>
      <c r="N30" s="99" t="e">
        <f t="array" ref="N30">INDEX('Coeff EC7'!$D$7:$Q$27,MATCH($B$3,'Coeff EC7'!$C$7:$C$27,0),MATCH(D30&amp;E30,'Coeff EC7'!$D$5:$Q$5&amp;'Coeff EC7'!$D$6:$Q$6,0))</f>
        <v>#N/A</v>
      </c>
      <c r="O30" s="99" t="e">
        <f t="array" ref="O30">INDEX('Coeff EC7'!$D$41:$Q$61,MATCH($B$3,'Coeff EC7'!$C$41:$C$61,0),MATCH(D30&amp;E30,'Coeff EC7'!$D$39:$Q$39&amp;'Coeff EC7'!$D$40:$Q$40,0))</f>
        <v>#N/A</v>
      </c>
      <c r="P30" s="30" t="e">
        <f t="shared" si="66"/>
        <v>#N/A</v>
      </c>
      <c r="Q30" s="100" t="e">
        <f t="shared" si="10"/>
        <v>#N/A</v>
      </c>
      <c r="R30" s="86" t="b">
        <f t="shared" si="11"/>
        <v>0</v>
      </c>
      <c r="S30" s="86">
        <f t="shared" si="9"/>
        <v>0.5</v>
      </c>
      <c r="T30" s="86">
        <f t="shared" si="12"/>
        <v>0.5</v>
      </c>
      <c r="U30" s="30" t="e">
        <f t="shared" ca="1" si="67"/>
        <v>#DIV/0!</v>
      </c>
      <c r="V30" s="85" t="str">
        <f>IF(B30&lt;=Hypothèses!$V$7,Hypothèses!$W$7,IF(B30&lt;=Hypothèses!$V$8,Hypothèses!$W$8,IF(B30&lt;=Hypothèses!$V$9,Hypothèses!$W$9,IF(B30&lt;=Hypothèses!$V$10,Hypothèses!$W$10,IF(B30&lt;=Hypothèses!$V$11,Hypothèses!$W$11,IF(B30&lt;=Hypothèses!$V$12,Hypothèses!$W$12,IF(B30&lt;=Hypothèses!$V$13,Hypothèses!$W$13,IF(B30&lt;=Hypothèses!$V$14,Hypothèses!$W$14,IF(B30&lt;=Hypothèses!$V$15,Hypothèses!$W$15,IF(B30&lt;=Hypothèses!$V$16,Hypothèses!$W$16,IF(B30&lt;=Hypothèses!$V$17,Hypothèses!$W$17,IF(B30&lt;=Hypothèses!$V$18,Hypothèses!$W$18,""))))))))))))</f>
        <v/>
      </c>
      <c r="W30" s="87" t="e">
        <f t="shared" ca="1" si="116"/>
        <v>#DIV/0!</v>
      </c>
      <c r="X30" s="88" t="str">
        <f>IF(B30&lt;=Hypothèses!$V$7,Hypothèses!$X$7,IF(B30&lt;=Hypothèses!$V$8,Hypothèses!$X$8,IF(B30&lt;=Hypothèses!$V$9,Hypothèses!$X$9,IF(B30&lt;=Hypothèses!$V$10,Hypothèses!$X$10,IF(B30&lt;=Hypothèses!$V$11,Hypothèses!$X$11,IF(B30&lt;=Hypothèses!$V$12,Hypothèses!$X$12,IF(B30&lt;=Hypothèses!$V$13,Hypothèses!$X$13,IF(B30&lt;=Hypothèses!$V$14,Hypothèses!$X$14,IF(B30&lt;=Hypothèses!$V$15,Hypothèses!$X$15,IF(B30&lt;=Hypothèses!$V$16,Hypothèses!$X$16,IF(B30&lt;=Hypothèses!$U$17,Hypothèses!$W$17,IF(B30&lt;=Hypothèses!$U$18,Hypothèses!$W$18,""))))))))))))</f>
        <v/>
      </c>
      <c r="Y30" s="95" t="e">
        <f t="shared" ca="1" si="13"/>
        <v>#DIV/0!</v>
      </c>
      <c r="Z30" s="101">
        <f t="shared" si="14"/>
        <v>0</v>
      </c>
      <c r="AA30" s="91">
        <f t="shared" si="15"/>
        <v>0</v>
      </c>
      <c r="AB30" s="30" t="e">
        <f t="shared" si="100"/>
        <v>#N/A</v>
      </c>
      <c r="AC30" s="30" t="e">
        <f t="shared" si="101"/>
        <v>#N/A</v>
      </c>
      <c r="AD30" s="31" t="e">
        <f>IF(OR(Hypothèses!$B$4=17,Hypothèses!$B$4=18,Hypothèses!$B$4=19,Hypothèses!$B$4=20),
IF($D30="Pressio.",
IF(OR($E30=3,$E30=1,$E30=4),AC30,AB30),
IF($D30="Pénétro.",
IF(OR($E30=3,$E30=1,$E30=4),AC30,AB30))),IF($D30="Pressio.",
IF($E30=3,AC30,AB30),
IF($D30="Pénétro.",
IF($E30=4,AC30,AB30))))</f>
        <v>#N/A</v>
      </c>
      <c r="AE30" s="31">
        <v>0</v>
      </c>
      <c r="AF30" s="102" t="e">
        <f>IF(NDC!$H$10="Oui",(VLOOKUP($B$3,'Coeff EC7'!$T$39:$X$59,2,0)*AD30+VLOOKUP($B$3,'Coeff EC7'!$T$65:$X$85,2,0)*Model0.1T!AE30)/1.5,PI()*AB$12*$Q30*($B30-$B29)*0.15/10+AF29)</f>
        <v>#N/A</v>
      </c>
      <c r="AG30" s="102" t="e">
        <f>(VLOOKUP($B$3,'Coeff EC7'!$T$39:$X$59,3,0)*AD30+VLOOKUP($B$3,'Coeff EC7'!$T$65:$X$85,3,0)*Model0.1T!AE30)/1.1</f>
        <v>#N/A</v>
      </c>
      <c r="AH30" s="102" t="e">
        <f t="shared" si="68"/>
        <v>#N/A</v>
      </c>
      <c r="AI30" s="102" t="e">
        <f t="shared" si="69"/>
        <v>#N/A</v>
      </c>
      <c r="AJ30" s="414" t="e">
        <f>IF(AND(AF30&gt;NDC!$C$63,AG30&gt;NDC!$C$65,AH30&gt;NDC!$D$73,AI30&gt;NDC!$D$74,$B30&gt;NDC!$H$22-0.1+MIN(3*$AJ$12,1.5)),0,1)</f>
        <v>#N/A</v>
      </c>
      <c r="AK30" s="86" t="b">
        <f t="shared" si="18"/>
        <v>0</v>
      </c>
      <c r="AL30" s="86">
        <f t="shared" si="70"/>
        <v>0.5</v>
      </c>
      <c r="AM30" s="86">
        <f t="shared" si="19"/>
        <v>0.5</v>
      </c>
      <c r="AN30" s="30" t="e">
        <f t="shared" ca="1" si="71"/>
        <v>#DIV/0!</v>
      </c>
      <c r="AO30" s="85" t="e">
        <f ca="1">IF(U30&lt;=Hypothèses!$V$7,Hypothèses!$W$7,IF(U30&lt;=Hypothèses!$V$8,Hypothèses!$W$8,IF(U30&lt;=Hypothèses!$V$9,Hypothèses!$W$9,IF(U30&lt;=Hypothèses!$V$10,Hypothèses!$W$10,IF(U30&lt;=Hypothèses!$V$11,Hypothèses!$W$11,IF(U30&lt;=Hypothèses!$V$12,Hypothèses!$W$12,IF(U30&lt;=Hypothèses!$V$13,Hypothèses!$W$13,IF(U30&lt;=Hypothèses!$V$14,Hypothèses!$W$14,IF(U30&lt;=Hypothèses!$V$15,Hypothèses!$W$15,IF(U30&lt;=Hypothèses!$V$16,Hypothèses!$W$16,IF(U30&lt;=Hypothèses!$V$17,Hypothèses!$W$17,IF(U30&lt;=Hypothèses!$V$18,Hypothèses!$W$18,""))))))))))))</f>
        <v>#DIV/0!</v>
      </c>
      <c r="AP30" s="87" t="e">
        <f t="shared" ca="1" si="117"/>
        <v>#DIV/0!</v>
      </c>
      <c r="AQ30" s="88" t="e">
        <f ca="1">IF(U30&lt;=Hypothèses!$V$7,Hypothèses!$X$7,IF(U30&lt;=Hypothèses!$V$8,Hypothèses!$X$8,IF(U30&lt;=Hypothèses!$V$9,Hypothèses!$X$9,IF(U30&lt;=Hypothèses!$V$10,Hypothèses!$X$10,IF(U30&lt;=Hypothèses!$V$11,Hypothèses!$X$11,IF(U30&lt;=Hypothèses!$V$12,Hypothèses!$X$12,IF(U30&lt;=Hypothèses!$V$13,Hypothèses!$X$13,IF(U30&lt;=Hypothèses!$V$14,Hypothèses!$X$14,IF(U30&lt;=Hypothèses!$V$15,Hypothèses!$X$15,IF(U30&lt;=Hypothèses!$V$16,Hypothèses!$X$16,IF(U30&lt;=Hypothèses!$U$17,Hypothèses!$W$17,IF(U30&lt;=Hypothèses!$U$18,Hypothèses!$W$18,""))))))))))))</f>
        <v>#DIV/0!</v>
      </c>
      <c r="AR30" s="95" t="e">
        <f t="shared" ca="1" si="72"/>
        <v>#DIV/0!</v>
      </c>
      <c r="AS30" s="101">
        <f t="shared" si="124"/>
        <v>0</v>
      </c>
      <c r="AT30" s="91">
        <f t="shared" si="21"/>
        <v>0</v>
      </c>
      <c r="AU30" s="30" t="e">
        <f t="shared" si="102"/>
        <v>#N/A</v>
      </c>
      <c r="AV30" s="30" t="e">
        <f t="shared" si="103"/>
        <v>#N/A</v>
      </c>
      <c r="AW30" s="31" t="e">
        <f>IF(OR(Hypothèses!$B$4=17,Hypothèses!$B$4=18,Hypothèses!$B$4=19,Hypothèses!$B$4=20),
IF($D30="Pressio.",
IF(OR($E30=3,$E30=1,$E30=4),AV30,AU30),
IF($D30="Pénétro.",
IF(OR($E30=3,$E30=1,$E30=4),AV30,AU30))),IF($D30="Pressio.",
IF($E30=3,AV30,AU30),
IF($D30="Pénétro.",
IF($E30=4,AV30,AU30))))</f>
        <v>#N/A</v>
      </c>
      <c r="AX30" s="31">
        <v>0</v>
      </c>
      <c r="AY30" s="102" t="e">
        <f>IF(NDC!$H$10="Oui",(VLOOKUP($B$3,'Coeff EC7'!$T$39:$X$59,2,0)*AW30+VLOOKUP($B$3,'Coeff EC7'!$T$65:$X$85,2,0)*Model0.1T!AX30)/1.5,PI()*AU$12*$Q30*($B30-$B29)*0.15/10+AY29)</f>
        <v>#N/A</v>
      </c>
      <c r="AZ30" s="102" t="e">
        <f>(VLOOKUP($B$3,'Coeff EC7'!$T$39:$X$59,3,0)*AW30+VLOOKUP($B$3,'Coeff EC7'!$T$65:$X$85,3,0)*Model0.1T!AX30)/1.1</f>
        <v>#N/A</v>
      </c>
      <c r="BA30" s="102" t="e">
        <f t="shared" si="73"/>
        <v>#N/A</v>
      </c>
      <c r="BB30" s="102" t="e">
        <f t="shared" si="74"/>
        <v>#N/A</v>
      </c>
      <c r="BC30" s="414" t="e">
        <f>IF(AND(AY30&gt;NDC!$C$63,AZ30&gt;NDC!$C$65,BA30&gt;NDC!$D$73,BB30&gt;NDC!$D$74,$B30&gt;NDC!$H$22-0.1+MIN(3*BC$12,1.5)),0,1)</f>
        <v>#N/A</v>
      </c>
      <c r="BD30" s="86" t="b">
        <f t="shared" si="24"/>
        <v>0</v>
      </c>
      <c r="BE30" s="86">
        <f t="shared" si="75"/>
        <v>0.5</v>
      </c>
      <c r="BF30" s="86">
        <f t="shared" si="25"/>
        <v>0.5</v>
      </c>
      <c r="BG30" s="30" t="e">
        <f t="shared" ca="1" si="76"/>
        <v>#DIV/0!</v>
      </c>
      <c r="BH30" s="85" t="e">
        <f ca="1">IF(AN30&lt;=Hypothèses!$V$7,Hypothèses!$W$7,IF(AN30&lt;=Hypothèses!$V$8,Hypothèses!$W$8,IF(AN30&lt;=Hypothèses!$V$9,Hypothèses!$W$9,IF(AN30&lt;=Hypothèses!$V$10,Hypothèses!$W$10,IF(AN30&lt;=Hypothèses!$V$11,Hypothèses!$W$11,IF(AN30&lt;=Hypothèses!$V$12,Hypothèses!$W$12,IF(AN30&lt;=Hypothèses!$V$13,Hypothèses!$W$13,IF(AN30&lt;=Hypothèses!$V$14,Hypothèses!$W$14,IF(AN30&lt;=Hypothèses!$V$15,Hypothèses!$W$15,IF(AN30&lt;=Hypothèses!$V$16,Hypothèses!$W$16,IF(AN30&lt;=Hypothèses!$V$17,Hypothèses!$W$17,IF(AN30&lt;=Hypothèses!$V$18,Hypothèses!$W$18,""))))))))))))</f>
        <v>#DIV/0!</v>
      </c>
      <c r="BI30" s="87" t="e">
        <f t="shared" ca="1" si="118"/>
        <v>#DIV/0!</v>
      </c>
      <c r="BJ30" s="88" t="e">
        <f ca="1">IF(AN30&lt;=Hypothèses!$V$7,Hypothèses!$X$7,IF(AN30&lt;=Hypothèses!$V$8,Hypothèses!$X$8,IF(AN30&lt;=Hypothèses!$V$9,Hypothèses!$X$9,IF(AN30&lt;=Hypothèses!$V$10,Hypothèses!$X$10,IF(AN30&lt;=Hypothèses!$V$11,Hypothèses!$X$11,IF(AN30&lt;=Hypothèses!$V$12,Hypothèses!$X$12,IF(AN30&lt;=Hypothèses!$V$13,Hypothèses!$X$13,IF(AN30&lt;=Hypothèses!$V$14,Hypothèses!$X$14,IF(AN30&lt;=Hypothèses!$V$15,Hypothèses!$X$15,IF(AN30&lt;=Hypothèses!$V$16,Hypothèses!$X$16,IF(AN30&lt;=Hypothèses!$U$17,Hypothèses!$W$17,IF(AN30&lt;=Hypothèses!$U$18,Hypothèses!$W$18,""))))))))))))</f>
        <v>#DIV/0!</v>
      </c>
      <c r="BK30" s="95" t="e">
        <f t="shared" ca="1" si="77"/>
        <v>#DIV/0!</v>
      </c>
      <c r="BL30" s="101">
        <f t="shared" si="125"/>
        <v>0</v>
      </c>
      <c r="BM30" s="91">
        <f t="shared" si="27"/>
        <v>0</v>
      </c>
      <c r="BN30" s="30" t="e">
        <f t="shared" si="104"/>
        <v>#N/A</v>
      </c>
      <c r="BO30" s="30" t="e">
        <f t="shared" si="105"/>
        <v>#N/A</v>
      </c>
      <c r="BP30" s="31" t="e">
        <f>IF(OR(Hypothèses!$B$4=17,Hypothèses!$B$4=18,Hypothèses!$B$4=19,Hypothèses!$B$4=20),
IF($D30="Pressio.",
IF(OR($E30=3,$E30=1,$E30=4),BO30,BN30),
IF($D30="Pénétro.",
IF(OR($E30=3,$E30=1,$E30=4),BO30,BN30))),IF($D30="Pressio.",
IF($E30=3,BO30,BN30),
IF($D30="Pénétro.",
IF($E30=4,BO30,BN30))))</f>
        <v>#N/A</v>
      </c>
      <c r="BQ30" s="31">
        <v>0</v>
      </c>
      <c r="BR30" s="102" t="e">
        <f>IF(NDC!$H$10="Oui",(VLOOKUP($B$3,'Coeff EC7'!$T$39:$X$59,2,0)*BP30+VLOOKUP($B$3,'Coeff EC7'!$T$65:$X$85,2,0)*Model0.1T!BQ30)/1.5,PI()*BN$12*$Q30*($B30-$B29)*0.15/10+BR29)</f>
        <v>#N/A</v>
      </c>
      <c r="BS30" s="102" t="e">
        <f>(VLOOKUP($B$3,'Coeff EC7'!$T$39:$X$59,3,0)*BP30+VLOOKUP($B$3,'Coeff EC7'!$T$65:$X$85,3,0)*Model0.1T!BQ30)/1.1</f>
        <v>#N/A</v>
      </c>
      <c r="BT30" s="102" t="e">
        <f t="shared" si="78"/>
        <v>#N/A</v>
      </c>
      <c r="BU30" s="102" t="e">
        <f t="shared" si="79"/>
        <v>#N/A</v>
      </c>
      <c r="BV30" s="414" t="e">
        <f>IF(AND(BR30&gt;NDC!$C$63,BS30&gt;NDC!$C$65,BT30&gt;NDC!$D$73,BU30&gt;NDC!$D$74,$B30&gt;NDC!$H$22-0.1+MIN(3*BV$12,1.5)),0,1)</f>
        <v>#N/A</v>
      </c>
      <c r="BW30" s="86" t="b">
        <f t="shared" si="30"/>
        <v>0</v>
      </c>
      <c r="BX30" s="86">
        <f t="shared" si="31"/>
        <v>0.5</v>
      </c>
      <c r="BY30" s="86">
        <f t="shared" si="32"/>
        <v>0.5</v>
      </c>
      <c r="BZ30" s="30" t="e">
        <f t="shared" ca="1" si="80"/>
        <v>#DIV/0!</v>
      </c>
      <c r="CA30" s="85" t="e">
        <f ca="1">IF(BG30&lt;=Hypothèses!$V$7,Hypothèses!$W$7,IF(BG30&lt;=Hypothèses!$V$8,Hypothèses!$W$8,IF(BG30&lt;=Hypothèses!$V$9,Hypothèses!$W$9,IF(BG30&lt;=Hypothèses!$V$10,Hypothèses!$W$10,IF(BG30&lt;=Hypothèses!$V$11,Hypothèses!$W$11,IF(BG30&lt;=Hypothèses!$V$12,Hypothèses!$W$12,IF(BG30&lt;=Hypothèses!$V$13,Hypothèses!$W$13,IF(BG30&lt;=Hypothèses!$V$14,Hypothèses!$W$14,IF(BG30&lt;=Hypothèses!$V$15,Hypothèses!$W$15,IF(BG30&lt;=Hypothèses!$V$16,Hypothèses!$W$16,IF(BG30&lt;=Hypothèses!$V$17,Hypothèses!$W$17,IF(BG30&lt;=Hypothèses!$V$18,Hypothèses!$W$18,""))))))))))))</f>
        <v>#DIV/0!</v>
      </c>
      <c r="CB30" s="87" t="e">
        <f t="shared" ca="1" si="119"/>
        <v>#DIV/0!</v>
      </c>
      <c r="CC30" s="88" t="e">
        <f ca="1">IF(BG30&lt;=Hypothèses!$V$7,Hypothèses!$X$7,IF(BG30&lt;=Hypothèses!$V$8,Hypothèses!$X$8,IF(BG30&lt;=Hypothèses!$V$9,Hypothèses!$X$9,IF(BG30&lt;=Hypothèses!$V$10,Hypothèses!$X$10,IF(BG30&lt;=Hypothèses!$V$11,Hypothèses!$X$11,IF(BG30&lt;=Hypothèses!$V$12,Hypothèses!$X$12,IF(BG30&lt;=Hypothèses!$V$13,Hypothèses!$X$13,IF(BG30&lt;=Hypothèses!$V$14,Hypothèses!$X$14,IF(BG30&lt;=Hypothèses!$V$15,Hypothèses!$X$15,IF(BG30&lt;=Hypothèses!$V$16,Hypothèses!$X$16,IF(BG30&lt;=Hypothèses!$U$17,Hypothèses!$W$17,IF(BG30&lt;=Hypothèses!$U$18,Hypothèses!$W$18,""))))))))))))</f>
        <v>#DIV/0!</v>
      </c>
      <c r="CD30" s="95" t="e">
        <f t="shared" ca="1" si="81"/>
        <v>#DIV/0!</v>
      </c>
      <c r="CE30" s="101">
        <f t="shared" si="126"/>
        <v>0</v>
      </c>
      <c r="CF30" s="91">
        <f t="shared" si="34"/>
        <v>0</v>
      </c>
      <c r="CG30" s="30" t="e">
        <f t="shared" si="106"/>
        <v>#N/A</v>
      </c>
      <c r="CH30" s="30" t="e">
        <f t="shared" si="107"/>
        <v>#N/A</v>
      </c>
      <c r="CI30" s="31" t="e">
        <f>IF(OR(Hypothèses!$B$4=17,Hypothèses!$B$4=18,Hypothèses!$B$4=19,Hypothèses!$B$4=20),
IF($D30="Pressio.",
IF(OR($E30=3,$E30=1,$E30=4),CH30,CG30),
IF($D30="Pénétro.",
IF(OR($E30=3,$E30=1,$E30=4),CH30,CG30))),IF($D30="Pressio.",
IF($E30=3,CH30,CG30),
IF($D30="Pénétro.",
IF($E30=4,CH30,CG30))))</f>
        <v>#N/A</v>
      </c>
      <c r="CJ30" s="31">
        <v>0</v>
      </c>
      <c r="CK30" s="102" t="e">
        <f>IF(NDC!$H$10="Oui",(VLOOKUP($B$3,'Coeff EC7'!$T$39:$X$59,2,0)*CI30+VLOOKUP($B$3,'Coeff EC7'!$T$65:$X$85,2,0)*Model0.1T!CJ30)/1.5,PI()*CG$12*$Q30*($B30-$B29)*0.15/10+CK29)</f>
        <v>#N/A</v>
      </c>
      <c r="CL30" s="102" t="e">
        <f>(VLOOKUP($B$3,'Coeff EC7'!$T$39:$X$59,3,0)*CI30+VLOOKUP($B$3,'Coeff EC7'!$T$65:$X$85,3,0)*Model0.1T!CJ30)/1.1</f>
        <v>#N/A</v>
      </c>
      <c r="CM30" s="102" t="e">
        <f t="shared" si="82"/>
        <v>#N/A</v>
      </c>
      <c r="CN30" s="102" t="e">
        <f t="shared" si="83"/>
        <v>#N/A</v>
      </c>
      <c r="CO30" s="414" t="e">
        <f>IF(AND(CK30&gt;NDC!$C$63,CL30&gt;NDC!$C$65,CM30&gt;NDC!$D$73,CN30&gt;NDC!$D$74,$B30&gt;NDC!$H$22-0.1+MIN(3*CO$12,1.5)),0,1)</f>
        <v>#N/A</v>
      </c>
      <c r="CP30" s="86" t="b">
        <f t="shared" si="37"/>
        <v>0</v>
      </c>
      <c r="CQ30" s="86">
        <f t="shared" si="38"/>
        <v>0.5</v>
      </c>
      <c r="CR30" s="86">
        <f t="shared" si="39"/>
        <v>0.5</v>
      </c>
      <c r="CS30" s="30" t="e">
        <f t="shared" ca="1" si="84"/>
        <v>#DIV/0!</v>
      </c>
      <c r="CT30" s="85" t="e">
        <f ca="1">IF(BZ30&lt;=Hypothèses!$V$7,Hypothèses!$W$7,IF(BZ30&lt;=Hypothèses!$V$8,Hypothèses!$W$8,IF(BZ30&lt;=Hypothèses!$V$9,Hypothèses!$W$9,IF(BZ30&lt;=Hypothèses!$V$10,Hypothèses!$W$10,IF(BZ30&lt;=Hypothèses!$V$11,Hypothèses!$W$11,IF(BZ30&lt;=Hypothèses!$V$12,Hypothèses!$W$12,IF(BZ30&lt;=Hypothèses!$V$13,Hypothèses!$W$13,IF(BZ30&lt;=Hypothèses!$V$14,Hypothèses!$W$14,IF(BZ30&lt;=Hypothèses!$V$15,Hypothèses!$W$15,IF(BZ30&lt;=Hypothèses!$V$16,Hypothèses!$W$16,IF(BZ30&lt;=Hypothèses!$V$17,Hypothèses!$W$17,IF(BZ30&lt;=Hypothèses!$V$18,Hypothèses!$W$18,""))))))))))))</f>
        <v>#DIV/0!</v>
      </c>
      <c r="CU30" s="87" t="e">
        <f t="shared" ca="1" si="120"/>
        <v>#DIV/0!</v>
      </c>
      <c r="CV30" s="88" t="e">
        <f ca="1">IF(BZ30&lt;=Hypothèses!$V$7,Hypothèses!$X$7,IF(BZ30&lt;=Hypothèses!$V$8,Hypothèses!$X$8,IF(BZ30&lt;=Hypothèses!$V$9,Hypothèses!$X$9,IF(BZ30&lt;=Hypothèses!$V$10,Hypothèses!$X$10,IF(BZ30&lt;=Hypothèses!$V$11,Hypothèses!$X$11,IF(BZ30&lt;=Hypothèses!$V$12,Hypothèses!$X$12,IF(BZ30&lt;=Hypothèses!$V$13,Hypothèses!$X$13,IF(BZ30&lt;=Hypothèses!$V$14,Hypothèses!$X$14,IF(BZ30&lt;=Hypothèses!$V$15,Hypothèses!$X$15,IF(BZ30&lt;=Hypothèses!$V$16,Hypothèses!$X$16,IF(BZ30&lt;=Hypothèses!$U$17,Hypothèses!$W$17,IF(BZ30&lt;=Hypothèses!$U$18,Hypothèses!$W$18,""))))))))))))</f>
        <v>#DIV/0!</v>
      </c>
      <c r="CW30" s="95" t="e">
        <f t="shared" ca="1" si="85"/>
        <v>#DIV/0!</v>
      </c>
      <c r="CX30" s="101">
        <f t="shared" si="127"/>
        <v>0</v>
      </c>
      <c r="CY30" s="91">
        <f t="shared" si="41"/>
        <v>0</v>
      </c>
      <c r="CZ30" s="30" t="e">
        <f t="shared" si="108"/>
        <v>#N/A</v>
      </c>
      <c r="DA30" s="30" t="e">
        <f t="shared" si="109"/>
        <v>#N/A</v>
      </c>
      <c r="DB30" s="31" t="e">
        <f>IF(OR(Hypothèses!$B$4=17,Hypothèses!$B$4=18,Hypothèses!$B$4=19,Hypothèses!$B$4=20),
IF($D30="Pressio.",
IF(OR($E30=3,$E30=1,$E30=4),DA30,CZ30),
IF($D30="Pénétro.",
IF(OR($E30=3,$E30=1,$E30=4),DA30,CZ30))),IF($D30="Pressio.",
IF($E30=3,DA30,CZ30),
IF($D30="Pénétro.",
IF($E30=4,DA30,CZ30))))</f>
        <v>#N/A</v>
      </c>
      <c r="DC30" s="31">
        <v>0</v>
      </c>
      <c r="DD30" s="102" t="e">
        <f>IF(NDC!$H$10="Oui",(VLOOKUP($B$3,'Coeff EC7'!$T$39:$X$59,2,0)*DB30+VLOOKUP($B$3,'Coeff EC7'!$T$65:$X$85,2,0)*Model0.1T!DC30)/1.5,PI()*CZ$12*$Q30*($B30-$B29)*0.15/10+DD29)</f>
        <v>#N/A</v>
      </c>
      <c r="DE30" s="102" t="e">
        <f>(VLOOKUP($B$3,'Coeff EC7'!$T$39:$X$59,3,0)*DB30+VLOOKUP($B$3,'Coeff EC7'!$T$65:$X$85,3,0)*Model0.1T!DC30)/1.1</f>
        <v>#N/A</v>
      </c>
      <c r="DF30" s="102" t="e">
        <f t="shared" si="86"/>
        <v>#N/A</v>
      </c>
      <c r="DG30" s="102" t="e">
        <f t="shared" si="87"/>
        <v>#N/A</v>
      </c>
      <c r="DH30" s="414" t="e">
        <f>IF(AND(DD30&gt;NDC!$C$63,DE30&gt;NDC!$C$65,DF30&gt;NDC!$D$73,DG30&gt;NDC!$D$74,$B30&gt;NDC!$H$22-0.1+MIN(3*DH$12,1.5)),0,1)</f>
        <v>#N/A</v>
      </c>
      <c r="DI30" s="86" t="b">
        <f t="shared" si="44"/>
        <v>0</v>
      </c>
      <c r="DJ30" s="86">
        <f t="shared" si="45"/>
        <v>0.5</v>
      </c>
      <c r="DK30" s="86">
        <f t="shared" si="46"/>
        <v>0.5</v>
      </c>
      <c r="DL30" s="30" t="e">
        <f t="shared" ca="1" si="88"/>
        <v>#DIV/0!</v>
      </c>
      <c r="DM30" s="85" t="e">
        <f ca="1">IF(CS30&lt;=Hypothèses!$V$7,Hypothèses!$W$7,IF(CS30&lt;=Hypothèses!$V$8,Hypothèses!$W$8,IF(CS30&lt;=Hypothèses!$V$9,Hypothèses!$W$9,IF(CS30&lt;=Hypothèses!$V$10,Hypothèses!$W$10,IF(CS30&lt;=Hypothèses!$V$11,Hypothèses!$W$11,IF(CS30&lt;=Hypothèses!$V$12,Hypothèses!$W$12,IF(CS30&lt;=Hypothèses!$V$13,Hypothèses!$W$13,IF(CS30&lt;=Hypothèses!$V$14,Hypothèses!$W$14,IF(CS30&lt;=Hypothèses!$V$15,Hypothèses!$W$15,IF(CS30&lt;=Hypothèses!$V$16,Hypothèses!$W$16,IF(CS30&lt;=Hypothèses!$V$17,Hypothèses!$W$17,IF(CS30&lt;=Hypothèses!$V$18,Hypothèses!$W$18,""))))))))))))</f>
        <v>#DIV/0!</v>
      </c>
      <c r="DN30" s="87" t="e">
        <f t="shared" ca="1" si="121"/>
        <v>#DIV/0!</v>
      </c>
      <c r="DO30" s="88" t="e">
        <f ca="1">IF(CS30&lt;=Hypothèses!$V$7,Hypothèses!$X$7,IF(CS30&lt;=Hypothèses!$V$8,Hypothèses!$X$8,IF(CS30&lt;=Hypothèses!$V$9,Hypothèses!$X$9,IF(CS30&lt;=Hypothèses!$V$10,Hypothèses!$X$10,IF(CS30&lt;=Hypothèses!$V$11,Hypothèses!$X$11,IF(CS30&lt;=Hypothèses!$V$12,Hypothèses!$X$12,IF(CS30&lt;=Hypothèses!$V$13,Hypothèses!$X$13,IF(CS30&lt;=Hypothèses!$V$14,Hypothèses!$X$14,IF(CS30&lt;=Hypothèses!$V$15,Hypothèses!$X$15,IF(CS30&lt;=Hypothèses!$V$16,Hypothèses!$X$16,IF(CS30&lt;=Hypothèses!$U$17,Hypothèses!$W$17,IF(CS30&lt;=Hypothèses!$U$18,Hypothèses!$W$18,""))))))))))))</f>
        <v>#DIV/0!</v>
      </c>
      <c r="DP30" s="95" t="e">
        <f t="shared" ca="1" si="89"/>
        <v>#DIV/0!</v>
      </c>
      <c r="DQ30" s="101">
        <f t="shared" si="128"/>
        <v>0</v>
      </c>
      <c r="DR30" s="91">
        <f t="shared" si="48"/>
        <v>0</v>
      </c>
      <c r="DS30" s="30" t="e">
        <f t="shared" si="110"/>
        <v>#N/A</v>
      </c>
      <c r="DT30" s="30" t="e">
        <f t="shared" si="111"/>
        <v>#N/A</v>
      </c>
      <c r="DU30" s="31" t="e">
        <f>IF(OR(Hypothèses!$B$4=17,Hypothèses!$B$4=18,Hypothèses!$B$4=19,Hypothèses!$B$4=20),
IF($D30="Pressio.",
IF(OR($E30=3,$E30=1,$E30=4),DT30,DS30),
IF($D30="Pénétro.",
IF(OR($E30=3,$E30=1,$E30=4),DT30,DS30))),IF($D30="Pressio.",
IF($E30=3,DT30,DS30),
IF($D30="Pénétro.",
IF($E30=4,DT30,DS30))))</f>
        <v>#N/A</v>
      </c>
      <c r="DV30" s="31">
        <v>0</v>
      </c>
      <c r="DW30" s="102" t="e">
        <f>IF(NDC!$H$10="Oui",(VLOOKUP($B$3,'Coeff EC7'!$T$39:$X$59,2,0)*DU30+VLOOKUP($B$3,'Coeff EC7'!$T$65:$X$85,2,0)*Model0.1T!DV30)/1.5,PI()*DS$12*$Q30*($B30-$B29)*0.15/10+DW29)</f>
        <v>#N/A</v>
      </c>
      <c r="DX30" s="102" t="e">
        <f>(VLOOKUP($B$3,'Coeff EC7'!$T$39:$X$59,3,0)*DU30+VLOOKUP($B$3,'Coeff EC7'!$T$65:$X$85,3,0)*Model0.1T!DV30)/1.1</f>
        <v>#N/A</v>
      </c>
      <c r="DY30" s="102" t="e">
        <f t="shared" si="90"/>
        <v>#N/A</v>
      </c>
      <c r="DZ30" s="102" t="e">
        <f t="shared" si="91"/>
        <v>#N/A</v>
      </c>
      <c r="EA30" s="414" t="e">
        <f>IF(AND(DW30&gt;NDC!$C$63,DX30&gt;NDC!$C$65,DY30&gt;NDC!$D$73,DZ30&gt;NDC!$D$74,$B30&gt;NDC!$H$22-0.1+MIN(3*EA$12,1.5)),0,1)</f>
        <v>#N/A</v>
      </c>
      <c r="EB30" s="86" t="b">
        <f t="shared" si="51"/>
        <v>0</v>
      </c>
      <c r="EC30" s="418">
        <f t="shared" si="52"/>
        <v>0.51</v>
      </c>
      <c r="ED30" s="86">
        <f t="shared" si="53"/>
        <v>0.51</v>
      </c>
      <c r="EE30" s="30" t="e">
        <f t="shared" ca="1" si="92"/>
        <v>#DIV/0!</v>
      </c>
      <c r="EF30" s="85" t="e">
        <f ca="1">IF(DL30&lt;=Hypothèses!$V$7,Hypothèses!$W$7,IF(DL30&lt;=Hypothèses!$V$8,Hypothèses!$W$8,IF(DL30&lt;=Hypothèses!$V$9,Hypothèses!$W$9,IF(DL30&lt;=Hypothèses!$V$10,Hypothèses!$W$10,IF(DL30&lt;=Hypothèses!$V$11,Hypothèses!$W$11,IF(DL30&lt;=Hypothèses!$V$12,Hypothèses!$W$12,IF(DL30&lt;=Hypothèses!$V$13,Hypothèses!$W$13,IF(DL30&lt;=Hypothèses!$V$14,Hypothèses!$W$14,IF(DL30&lt;=Hypothèses!$V$15,Hypothèses!$W$15,IF(DL30&lt;=Hypothèses!$V$16,Hypothèses!$W$16,IF(DL30&lt;=Hypothèses!$V$17,Hypothèses!$W$17,IF(DL30&lt;=Hypothèses!$V$18,Hypothèses!$W$18,""))))))))))))</f>
        <v>#DIV/0!</v>
      </c>
      <c r="EG30" s="87" t="e">
        <f t="shared" ca="1" si="122"/>
        <v>#DIV/0!</v>
      </c>
      <c r="EH30" s="88" t="e">
        <f ca="1">IF(DL30&lt;=Hypothèses!$V$7,Hypothèses!$X$7,IF(DL30&lt;=Hypothèses!$V$8,Hypothèses!$X$8,IF(DL30&lt;=Hypothèses!$V$9,Hypothèses!$X$9,IF(DL30&lt;=Hypothèses!$V$10,Hypothèses!$X$10,IF(DL30&lt;=Hypothèses!$V$11,Hypothèses!$X$11,IF(DL30&lt;=Hypothèses!$V$12,Hypothèses!$X$12,IF(DL30&lt;=Hypothèses!$V$13,Hypothèses!$X$13,IF(DL30&lt;=Hypothèses!$V$14,Hypothèses!$X$14,IF(DL30&lt;=Hypothèses!$V$15,Hypothèses!$X$15,IF(DL30&lt;=Hypothèses!$V$16,Hypothèses!$X$16,IF(DL30&lt;=Hypothèses!$U$17,Hypothèses!$W$17,IF(DL30&lt;=Hypothèses!$U$18,Hypothèses!$W$18,""))))))))))))</f>
        <v>#DIV/0!</v>
      </c>
      <c r="EI30" s="95" t="e">
        <f t="shared" ca="1" si="93"/>
        <v>#DIV/0!</v>
      </c>
      <c r="EJ30" s="101">
        <f t="shared" si="129"/>
        <v>0</v>
      </c>
      <c r="EK30" s="91">
        <f t="shared" si="55"/>
        <v>0</v>
      </c>
      <c r="EL30" s="30" t="e">
        <f t="shared" si="112"/>
        <v>#N/A</v>
      </c>
      <c r="EM30" s="30" t="e">
        <f t="shared" si="113"/>
        <v>#N/A</v>
      </c>
      <c r="EN30" s="31" t="e">
        <f>IF(OR(Hypothèses!$B$4=17,Hypothèses!$B$4=18,Hypothèses!$B$4=19,Hypothèses!$B$4=20),
IF($D30="Pressio.",
IF(OR($E30=3,$E30=1,$E30=4),EM30,EL30),
IF($D30="Pénétro.",
IF(OR($E30=3,$E30=1,$E30=4),EM30,EL30))),IF($D30="Pressio.",
IF($E30=3,EM30,EL30),
IF($D30="Pénétro.",
IF($E30=4,EM30,EL30))))</f>
        <v>#N/A</v>
      </c>
      <c r="EO30" s="31">
        <v>0</v>
      </c>
      <c r="EP30" s="102" t="e">
        <f>IF(NDC!$H$10="Oui",(VLOOKUP($B$3,'Coeff EC7'!$T$39:$X$59,2,0)*EN30+VLOOKUP($B$3,'Coeff EC7'!$T$65:$X$85,2,0)*Model0.1T!EO30)/1.5,PI()*EL$12*$Q30*($B30-$B29)*0.15/10+EP29)</f>
        <v>#N/A</v>
      </c>
      <c r="EQ30" s="102" t="e">
        <f>(VLOOKUP($B$3,'Coeff EC7'!$T$39:$X$59,3,0)*EN30+VLOOKUP($B$3,'Coeff EC7'!$T$65:$X$85,3,0)*Model0.1T!EO30)/1.1</f>
        <v>#N/A</v>
      </c>
      <c r="ER30" s="102" t="e">
        <f t="shared" si="94"/>
        <v>#N/A</v>
      </c>
      <c r="ES30" s="102" t="e">
        <f t="shared" si="95"/>
        <v>#N/A</v>
      </c>
      <c r="ET30" s="414" t="e">
        <f>IF(AND(EP30&gt;NDC!$C$63,EQ30&gt;NDC!$C$65,ER30&gt;NDC!$D$73,ES30&gt;NDC!$D$74,$B30&gt;NDC!$H$22-0.1+MIN(3*ET$12,1.5)),0,1)</f>
        <v>#N/A</v>
      </c>
      <c r="EU30" s="86" t="b">
        <f t="shared" si="58"/>
        <v>0</v>
      </c>
      <c r="EV30" s="86">
        <f t="shared" si="59"/>
        <v>0.61</v>
      </c>
      <c r="EW30" s="86">
        <f t="shared" si="60"/>
        <v>0.61</v>
      </c>
      <c r="EX30" s="30" t="e">
        <f t="shared" ca="1" si="96"/>
        <v>#DIV/0!</v>
      </c>
      <c r="EY30" s="85" t="e">
        <f ca="1">IF(EE30&lt;=Hypothèses!$V$7,Hypothèses!$W$7,IF(EE30&lt;=Hypothèses!$V$8,Hypothèses!$W$8,IF(EE30&lt;=Hypothèses!$V$9,Hypothèses!$W$9,IF(EE30&lt;=Hypothèses!$V$10,Hypothèses!$W$10,IF(EE30&lt;=Hypothèses!$V$11,Hypothèses!$W$11,IF(EE30&lt;=Hypothèses!$V$12,Hypothèses!$W$12,IF(EE30&lt;=Hypothèses!$V$13,Hypothèses!$W$13,IF(EE30&lt;=Hypothèses!$V$14,Hypothèses!$W$14,IF(EE30&lt;=Hypothèses!$V$15,Hypothèses!$W$15,IF(EE30&lt;=Hypothèses!$V$16,Hypothèses!$W$16,IF(EE30&lt;=Hypothèses!$V$17,Hypothèses!$W$17,IF(EE30&lt;=Hypothèses!$V$18,Hypothèses!$W$18,""))))))))))))</f>
        <v>#DIV/0!</v>
      </c>
      <c r="EZ30" s="87" t="e">
        <f t="shared" ca="1" si="123"/>
        <v>#DIV/0!</v>
      </c>
      <c r="FA30" s="88" t="e">
        <f ca="1">IF(EE30&lt;=Hypothèses!$V$7,Hypothèses!$X$7,IF(EE30&lt;=Hypothèses!$V$8,Hypothèses!$X$8,IF(EE30&lt;=Hypothèses!$V$9,Hypothèses!$X$9,IF(EE30&lt;=Hypothèses!$V$10,Hypothèses!$X$10,IF(EE30&lt;=Hypothèses!$V$11,Hypothèses!$X$11,IF(EE30&lt;=Hypothèses!$V$12,Hypothèses!$X$12,IF(EE30&lt;=Hypothèses!$V$13,Hypothèses!$X$13,IF(EE30&lt;=Hypothèses!$V$14,Hypothèses!$X$14,IF(EE30&lt;=Hypothèses!$V$15,Hypothèses!$X$15,IF(EE30&lt;=Hypothèses!$V$16,Hypothèses!$X$16,IF(EE30&lt;=Hypothèses!$U$17,Hypothèses!$W$17,IF(EE30&lt;=Hypothèses!$U$18,Hypothèses!$W$18,""))))))))))))</f>
        <v>#DIV/0!</v>
      </c>
      <c r="FB30" s="95" t="e">
        <f t="shared" ca="1" si="97"/>
        <v>#DIV/0!</v>
      </c>
      <c r="FC30" s="101">
        <f t="shared" si="130"/>
        <v>0</v>
      </c>
      <c r="FD30" s="91">
        <f t="shared" si="62"/>
        <v>0</v>
      </c>
      <c r="FE30" s="30" t="e">
        <f t="shared" si="114"/>
        <v>#N/A</v>
      </c>
      <c r="FF30" s="30" t="e">
        <f t="shared" si="115"/>
        <v>#N/A</v>
      </c>
      <c r="FG30" s="31" t="e">
        <f>IF(OR(Hypothèses!$B$4=17,Hypothèses!$B$4=18,Hypothèses!$B$4=19,Hypothèses!$B$4=20),
IF($D30="Pressio.",
IF(OR($E30=3,$E30=1,$E30=4),FF30,FE30),
IF($D30="Pénétro.",
IF(OR($E30=3,$E30=1,$E30=4),FF30,FE30))),IF($D30="Pressio.",
IF($E30=3,FF30,FE30),
IF($D30="Pénétro.",
IF($E30=4,FF30,FE30))))</f>
        <v>#N/A</v>
      </c>
      <c r="FH30" s="31">
        <v>0</v>
      </c>
      <c r="FI30" s="102" t="e">
        <f>IF(NDC!$H$10="Oui",(VLOOKUP($B$3,'Coeff EC7'!$T$39:$X$59,2,0)*FG30+VLOOKUP($B$3,'Coeff EC7'!$T$65:$X$85,2,0)*Model0.1T!FH30)/1.5,PI()*FE$12*$Q30*($B30-$B29)*0.15/10+FI29)</f>
        <v>#N/A</v>
      </c>
      <c r="FJ30" s="102" t="e">
        <f>(VLOOKUP($B$3,'Coeff EC7'!$T$39:$X$59,3,0)*FG30+VLOOKUP($B$3,'Coeff EC7'!$T$65:$X$85,3,0)*Model0.1T!FH30)/1.1</f>
        <v>#N/A</v>
      </c>
      <c r="FK30" s="102" t="e">
        <f t="shared" si="98"/>
        <v>#N/A</v>
      </c>
      <c r="FL30" s="102" t="e">
        <f t="shared" si="99"/>
        <v>#N/A</v>
      </c>
      <c r="FM30" s="414" t="e">
        <f>IF(AND(FI30&gt;NDC!$C$63,FJ30&gt;NDC!$C$65,FK30&gt;NDC!$D$73,FL30&gt;NDC!$D$74,$B30&gt;NDC!$H$22-0.1+MIN(3*FM$12,1.5)),0,1)</f>
        <v>#N/A</v>
      </c>
    </row>
    <row r="31" spans="1:169">
      <c r="A31" s="96">
        <f t="shared" si="65"/>
        <v>98.200000000000102</v>
      </c>
      <c r="B31" s="97">
        <v>1.8</v>
      </c>
      <c r="C31" s="81">
        <f>IF(B31&lt;=Hypothèses!$C$7,Hypothèses!$A$7,IF(B31&lt;=Hypothèses!$C$8,Hypothèses!$A$8,IF(B31&lt;=Hypothèses!$C$9,Hypothèses!$A$9,IF(B31&lt;=Hypothèses!$C$10,Hypothèses!$A$10,IF(B31&lt;=Hypothèses!$C$11,Hypothèses!$A$11,IF(B31&lt;=Hypothèses!$C$12,Hypothèses!$A$12,IF(B31&lt;=Hypothèses!$C$13,Hypothèses!$A$13,IF(B31&lt;=Hypothèses!$C$14,Hypothèses!$A$14,IF(B31&lt;=Hypothèses!$C$15,Hypothèses!$A$15,IF(B31&lt;=Hypothèses!$C$16,Hypothèses!$A$16,IF(B31&lt;=Hypothèses!$C$17,Hypothèses!$A$17,IF(B31&lt;=Hypothèses!$C$18,Hypothèses!$A$18,C30))))))))))))</f>
        <v>11</v>
      </c>
      <c r="D31" s="82" t="str">
        <f>IF(B31&lt;=Hypothèses!$C$7,Hypothèses!$R$7,IF(B31&lt;=Hypothèses!$C$8,Hypothèses!$R$8,IF(B31&lt;=Hypothèses!$C$9,Hypothèses!$R$9,IF(B31&lt;=Hypothèses!$C$10,Hypothèses!$R$10,IF(B31&lt;=Hypothèses!$C$11,Hypothèses!$R$11,IF(B31&lt;=Hypothèses!$C$12,Hypothèses!$R$12,IF(B31&lt;=Hypothèses!$C$13,Hypothèses!$R$13,IF(B31&lt;=Hypothèses!$C$14,Hypothèses!$R$14,IF(B31&lt;=Hypothèses!$C$15,Hypothèses!$R$15,IF(B31&lt;=Hypothèses!$C$16,Hypothèses!$R$16,IF(B31&lt;=Hypothèses!$C$17,Hypothèses!$R$17,IF(B31&lt;=Hypothèses!$C$18,Hypothèses!$R$18,D30))))))))))))</f>
        <v>Pressio.</v>
      </c>
      <c r="E31" s="82" t="e">
        <f>IF(B31&lt;=Hypothèses!$C$7,Hypothèses!$G$7,IF(B31&lt;=Hypothèses!$C$8,Hypothèses!$G$8,IF(B31&lt;=Hypothèses!$C$9,Hypothèses!$G$9,IF(B31&lt;=Hypothèses!$C$10,Hypothèses!$G$10,IF(B31&lt;=Hypothèses!$C$11,Hypothèses!$G$11,IF(B31&lt;=Hypothèses!$C$12,Hypothèses!$G$12,IF(B31&lt;=Hypothèses!$C$13,Hypothèses!$G$13,IF(B31&lt;=Hypothèses!$C$14,Hypothèses!$G$14,IF(B31&lt;=Hypothèses!$C$15,Hypothèses!$G$15,IF(B31&lt;=Hypothèses!$C$16,Hypothèses!$G$16,IF(B31&lt;=Hypothèses!$C$17,Hypothèses!$G$17,IF(B31&lt;=Hypothèses!$C$18,Hypothèses!$G$18,E30))))))))))))</f>
        <v>#N/A</v>
      </c>
      <c r="F31" s="82" t="str">
        <f>IF(B31&lt;=Hypothèses!$C$7,Hypothèses!$F$7,IF(B31&lt;=Hypothèses!$C$8,Hypothèses!$F$8,IF(B31&lt;=Hypothèses!$C$9,Hypothèses!$F$9,IF(B31&lt;=Hypothèses!$C$10,Hypothèses!$F$10,IF(B31&lt;=Hypothèses!$C$11,Hypothèses!$F$11,IF(B31&lt;=Hypothèses!$C$12,Hypothèses!$F$12,IF(B31&lt;=Hypothèses!$C$13,Hypothèses!$F$13,IF(B31&lt;=Hypothèses!$C$14,Hypothèses!$F$14,IF(B31&lt;=Hypothèses!$C$15,Hypothèses!$F$15,IF(B31&lt;=Hypothèses!$C$16,Hypothèses!$F$16,IF(B31&lt;=Hypothèses!$C$17,Hypothèses!$F$17,IF(B31&lt;=Hypothèses!$C$18,Hypothèses!$F$18,F30))))))))))))</f>
        <v/>
      </c>
      <c r="G31" s="91">
        <f t="array" ref="G31">INDEX('Coeff EC7'!$U$7:$X$27,
MATCH(Model0.1T!$B$3,'Coeff EC7'!$T$7:$T$27,0),
MATCH(Model0.1T!$D31&amp;Model0.1T!$B$4,
'Coeff EC7'!$U$6:$X$6&amp;
'Coeff EC7'!$U$5:$X$5,0))</f>
        <v>1.4</v>
      </c>
      <c r="H31" s="91">
        <f t="array" ref="H31">INDEX('Coeff EC7'!$Y$7:$AB$27,
MATCH(Model0.1T!$B$3,'Coeff EC7'!$T$7:$T$27,0),
MATCH(Model0.1T!$D31&amp;Model0.1T!$B$4,
'Coeff EC7'!$Y$6:$AB$6&amp;
'Coeff EC7'!$Y$5:$AB$5,0))</f>
        <v>1.7</v>
      </c>
      <c r="I31" s="83">
        <v>0</v>
      </c>
      <c r="J31" s="91" t="e">
        <f t="array" ref="J31">INDEX('Coeff EC7'!$D$33:$Q$33,1,MATCH(D31&amp;E31,'Coeff EC7'!$D$31:$Q$31&amp;'Coeff EC7'!$D$32:$Q$32,0))</f>
        <v>#N/A</v>
      </c>
      <c r="K31" s="91" t="e">
        <f t="array" ref="K31">INDEX('Coeff EC7'!$D$34:$Q$34,1,MATCH(D31&amp;E31,'Coeff EC7'!$D$31:$Q$31&amp;'Coeff EC7'!$D$32:$Q$32,0))</f>
        <v>#N/A</v>
      </c>
      <c r="L31" s="91" t="e">
        <f t="array" ref="L31">INDEX('Coeff EC7'!$D$35:$Q$35,1,MATCH(D31&amp;E31,'Coeff EC7'!$D$31:$Q$31&amp;'Coeff EC7'!$D$32:$Q$32,0))</f>
        <v>#N/A</v>
      </c>
      <c r="M31" s="98" t="e">
        <f t="shared" si="8"/>
        <v>#N/A</v>
      </c>
      <c r="N31" s="99" t="e">
        <f t="array" ref="N31">INDEX('Coeff EC7'!$D$7:$Q$27,MATCH($B$3,'Coeff EC7'!$C$7:$C$27,0),MATCH(D31&amp;E31,'Coeff EC7'!$D$5:$Q$5&amp;'Coeff EC7'!$D$6:$Q$6,0))</f>
        <v>#N/A</v>
      </c>
      <c r="O31" s="99" t="e">
        <f t="array" ref="O31">INDEX('Coeff EC7'!$D$41:$Q$61,MATCH($B$3,'Coeff EC7'!$C$41:$C$61,0),MATCH(D31&amp;E31,'Coeff EC7'!$D$39:$Q$39&amp;'Coeff EC7'!$D$40:$Q$40,0))</f>
        <v>#N/A</v>
      </c>
      <c r="P31" s="30" t="e">
        <f t="shared" si="66"/>
        <v>#N/A</v>
      </c>
      <c r="Q31" s="100" t="e">
        <f t="shared" si="10"/>
        <v>#N/A</v>
      </c>
      <c r="R31" s="86" t="b">
        <f t="shared" si="11"/>
        <v>0</v>
      </c>
      <c r="S31" s="86">
        <f t="shared" si="9"/>
        <v>0.5</v>
      </c>
      <c r="T31" s="86">
        <f t="shared" si="12"/>
        <v>0.5</v>
      </c>
      <c r="U31" s="30" t="e">
        <f t="shared" ca="1" si="67"/>
        <v>#DIV/0!</v>
      </c>
      <c r="V31" s="85" t="str">
        <f>IF(B31&lt;=Hypothèses!$V$7,Hypothèses!$W$7,IF(B31&lt;=Hypothèses!$V$8,Hypothèses!$W$8,IF(B31&lt;=Hypothèses!$V$9,Hypothèses!$W$9,IF(B31&lt;=Hypothèses!$V$10,Hypothèses!$W$10,IF(B31&lt;=Hypothèses!$V$11,Hypothèses!$W$11,IF(B31&lt;=Hypothèses!$V$12,Hypothèses!$W$12,IF(B31&lt;=Hypothèses!$V$13,Hypothèses!$W$13,IF(B31&lt;=Hypothèses!$V$14,Hypothèses!$W$14,IF(B31&lt;=Hypothèses!$V$15,Hypothèses!$W$15,IF(B31&lt;=Hypothèses!$V$16,Hypothèses!$W$16,IF(B31&lt;=Hypothèses!$V$17,Hypothèses!$W$17,IF(B31&lt;=Hypothèses!$V$18,Hypothèses!$W$18,""))))))))))))</f>
        <v/>
      </c>
      <c r="W31" s="87" t="e">
        <f t="shared" ca="1" si="116"/>
        <v>#DIV/0!</v>
      </c>
      <c r="X31" s="88" t="str">
        <f>IF(B31&lt;=Hypothèses!$V$7,Hypothèses!$X$7,IF(B31&lt;=Hypothèses!$V$8,Hypothèses!$X$8,IF(B31&lt;=Hypothèses!$V$9,Hypothèses!$X$9,IF(B31&lt;=Hypothèses!$V$10,Hypothèses!$X$10,IF(B31&lt;=Hypothèses!$V$11,Hypothèses!$X$11,IF(B31&lt;=Hypothèses!$V$12,Hypothèses!$X$12,IF(B31&lt;=Hypothèses!$V$13,Hypothèses!$X$13,IF(B31&lt;=Hypothèses!$V$14,Hypothèses!$X$14,IF(B31&lt;=Hypothèses!$V$15,Hypothèses!$X$15,IF(B31&lt;=Hypothèses!$V$16,Hypothèses!$X$16,IF(B31&lt;=Hypothèses!$U$17,Hypothèses!$W$17,IF(B31&lt;=Hypothèses!$U$18,Hypothèses!$W$18,""))))))))))))</f>
        <v/>
      </c>
      <c r="Y31" s="95" t="e">
        <f t="shared" ca="1" si="13"/>
        <v>#DIV/0!</v>
      </c>
      <c r="Z31" s="101">
        <f t="shared" si="14"/>
        <v>0</v>
      </c>
      <c r="AA31" s="91">
        <f t="shared" si="15"/>
        <v>0</v>
      </c>
      <c r="AB31" s="30" t="e">
        <f t="shared" si="100"/>
        <v>#N/A</v>
      </c>
      <c r="AC31" s="30" t="e">
        <f t="shared" si="101"/>
        <v>#N/A</v>
      </c>
      <c r="AD31" s="31" t="e">
        <f>IF(OR(Hypothèses!$B$4=17,Hypothèses!$B$4=18,Hypothèses!$B$4=19,Hypothèses!$B$4=20),
IF($D31="Pressio.",
IF(OR($E31=3,$E31=1,$E31=4),AC31,AB31),
IF($D31="Pénétro.",
IF(OR($E31=3,$E31=1,$E31=4),AC31,AB31))),IF($D31="Pressio.",
IF($E31=3,AC31,AB31),
IF($D31="Pénétro.",
IF($E31=4,AC31,AB31))))</f>
        <v>#N/A</v>
      </c>
      <c r="AE31" s="31">
        <v>0</v>
      </c>
      <c r="AF31" s="102" t="e">
        <f>IF(NDC!$H$10="Oui",(VLOOKUP($B$3,'Coeff EC7'!$T$39:$X$59,2,0)*AD31+VLOOKUP($B$3,'Coeff EC7'!$T$65:$X$85,2,0)*Model0.1T!AE31)/1.5,PI()*AB$12*$Q31*($B31-$B30)*0.15/10+AF30)</f>
        <v>#N/A</v>
      </c>
      <c r="AG31" s="102" t="e">
        <f>(VLOOKUP($B$3,'Coeff EC7'!$T$39:$X$59,3,0)*AD31+VLOOKUP($B$3,'Coeff EC7'!$T$65:$X$85,3,0)*Model0.1T!AE31)/1.1</f>
        <v>#N/A</v>
      </c>
      <c r="AH31" s="102" t="e">
        <f t="shared" si="68"/>
        <v>#N/A</v>
      </c>
      <c r="AI31" s="102" t="e">
        <f t="shared" si="69"/>
        <v>#N/A</v>
      </c>
      <c r="AJ31" s="414" t="e">
        <f>IF(AND(AF31&gt;NDC!$C$63,AG31&gt;NDC!$C$65,AH31&gt;NDC!$D$73,AI31&gt;NDC!$D$74,$B31&gt;NDC!$H$22-0.1+MIN(3*$AJ$12,1.5)),0,1)</f>
        <v>#N/A</v>
      </c>
      <c r="AK31" s="86" t="b">
        <f t="shared" si="18"/>
        <v>0</v>
      </c>
      <c r="AL31" s="86">
        <f t="shared" si="70"/>
        <v>0.5</v>
      </c>
      <c r="AM31" s="86">
        <f t="shared" si="19"/>
        <v>0.5</v>
      </c>
      <c r="AN31" s="30" t="e">
        <f t="shared" ca="1" si="71"/>
        <v>#DIV/0!</v>
      </c>
      <c r="AO31" s="85" t="e">
        <f ca="1">IF(U31&lt;=Hypothèses!$V$7,Hypothèses!$W$7,IF(U31&lt;=Hypothèses!$V$8,Hypothèses!$W$8,IF(U31&lt;=Hypothèses!$V$9,Hypothèses!$W$9,IF(U31&lt;=Hypothèses!$V$10,Hypothèses!$W$10,IF(U31&lt;=Hypothèses!$V$11,Hypothèses!$W$11,IF(U31&lt;=Hypothèses!$V$12,Hypothèses!$W$12,IF(U31&lt;=Hypothèses!$V$13,Hypothèses!$W$13,IF(U31&lt;=Hypothèses!$V$14,Hypothèses!$W$14,IF(U31&lt;=Hypothèses!$V$15,Hypothèses!$W$15,IF(U31&lt;=Hypothèses!$V$16,Hypothèses!$W$16,IF(U31&lt;=Hypothèses!$V$17,Hypothèses!$W$17,IF(U31&lt;=Hypothèses!$V$18,Hypothèses!$W$18,""))))))))))))</f>
        <v>#DIV/0!</v>
      </c>
      <c r="AP31" s="87" t="e">
        <f t="shared" ca="1" si="117"/>
        <v>#DIV/0!</v>
      </c>
      <c r="AQ31" s="88" t="e">
        <f ca="1">IF(U31&lt;=Hypothèses!$V$7,Hypothèses!$X$7,IF(U31&lt;=Hypothèses!$V$8,Hypothèses!$X$8,IF(U31&lt;=Hypothèses!$V$9,Hypothèses!$X$9,IF(U31&lt;=Hypothèses!$V$10,Hypothèses!$X$10,IF(U31&lt;=Hypothèses!$V$11,Hypothèses!$X$11,IF(U31&lt;=Hypothèses!$V$12,Hypothèses!$X$12,IF(U31&lt;=Hypothèses!$V$13,Hypothèses!$X$13,IF(U31&lt;=Hypothèses!$V$14,Hypothèses!$X$14,IF(U31&lt;=Hypothèses!$V$15,Hypothèses!$X$15,IF(U31&lt;=Hypothèses!$V$16,Hypothèses!$X$16,IF(U31&lt;=Hypothèses!$U$17,Hypothèses!$W$17,IF(U31&lt;=Hypothèses!$U$18,Hypothèses!$W$18,""))))))))))))</f>
        <v>#DIV/0!</v>
      </c>
      <c r="AR31" s="95" t="e">
        <f t="shared" ca="1" si="72"/>
        <v>#DIV/0!</v>
      </c>
      <c r="AS31" s="101">
        <f t="shared" si="124"/>
        <v>0</v>
      </c>
      <c r="AT31" s="91">
        <f t="shared" si="21"/>
        <v>0</v>
      </c>
      <c r="AU31" s="30" t="e">
        <f t="shared" si="102"/>
        <v>#N/A</v>
      </c>
      <c r="AV31" s="30" t="e">
        <f t="shared" si="103"/>
        <v>#N/A</v>
      </c>
      <c r="AW31" s="31" t="e">
        <f>IF(OR(Hypothèses!$B$4=17,Hypothèses!$B$4=18,Hypothèses!$B$4=19,Hypothèses!$B$4=20),
IF($D31="Pressio.",
IF(OR($E31=3,$E31=1,$E31=4),AV31,AU31),
IF($D31="Pénétro.",
IF(OR($E31=3,$E31=1,$E31=4),AV31,AU31))),IF($D31="Pressio.",
IF($E31=3,AV31,AU31),
IF($D31="Pénétro.",
IF($E31=4,AV31,AU31))))</f>
        <v>#N/A</v>
      </c>
      <c r="AX31" s="31">
        <v>0</v>
      </c>
      <c r="AY31" s="102" t="e">
        <f>IF(NDC!$H$10="Oui",(VLOOKUP($B$3,'Coeff EC7'!$T$39:$X$59,2,0)*AW31+VLOOKUP($B$3,'Coeff EC7'!$T$65:$X$85,2,0)*Model0.1T!AX31)/1.5,PI()*AU$12*$Q31*($B31-$B30)*0.15/10+AY30)</f>
        <v>#N/A</v>
      </c>
      <c r="AZ31" s="102" t="e">
        <f>(VLOOKUP($B$3,'Coeff EC7'!$T$39:$X$59,3,0)*AW31+VLOOKUP($B$3,'Coeff EC7'!$T$65:$X$85,3,0)*Model0.1T!AX31)/1.1</f>
        <v>#N/A</v>
      </c>
      <c r="BA31" s="102" t="e">
        <f t="shared" si="73"/>
        <v>#N/A</v>
      </c>
      <c r="BB31" s="102" t="e">
        <f t="shared" si="74"/>
        <v>#N/A</v>
      </c>
      <c r="BC31" s="414" t="e">
        <f>IF(AND(AY31&gt;NDC!$C$63,AZ31&gt;NDC!$C$65,BA31&gt;NDC!$D$73,BB31&gt;NDC!$D$74,$B31&gt;NDC!$H$22-0.1+MIN(3*BC$12,1.5)),0,1)</f>
        <v>#N/A</v>
      </c>
      <c r="BD31" s="86" t="b">
        <f t="shared" si="24"/>
        <v>0</v>
      </c>
      <c r="BE31" s="86">
        <f t="shared" si="75"/>
        <v>0.5</v>
      </c>
      <c r="BF31" s="86">
        <f t="shared" si="25"/>
        <v>0.5</v>
      </c>
      <c r="BG31" s="30" t="e">
        <f t="shared" ca="1" si="76"/>
        <v>#DIV/0!</v>
      </c>
      <c r="BH31" s="85" t="e">
        <f ca="1">IF(AN31&lt;=Hypothèses!$V$7,Hypothèses!$W$7,IF(AN31&lt;=Hypothèses!$V$8,Hypothèses!$W$8,IF(AN31&lt;=Hypothèses!$V$9,Hypothèses!$W$9,IF(AN31&lt;=Hypothèses!$V$10,Hypothèses!$W$10,IF(AN31&lt;=Hypothèses!$V$11,Hypothèses!$W$11,IF(AN31&lt;=Hypothèses!$V$12,Hypothèses!$W$12,IF(AN31&lt;=Hypothèses!$V$13,Hypothèses!$W$13,IF(AN31&lt;=Hypothèses!$V$14,Hypothèses!$W$14,IF(AN31&lt;=Hypothèses!$V$15,Hypothèses!$W$15,IF(AN31&lt;=Hypothèses!$V$16,Hypothèses!$W$16,IF(AN31&lt;=Hypothèses!$V$17,Hypothèses!$W$17,IF(AN31&lt;=Hypothèses!$V$18,Hypothèses!$W$18,""))))))))))))</f>
        <v>#DIV/0!</v>
      </c>
      <c r="BI31" s="87" t="e">
        <f t="shared" ca="1" si="118"/>
        <v>#DIV/0!</v>
      </c>
      <c r="BJ31" s="88" t="e">
        <f ca="1">IF(AN31&lt;=Hypothèses!$V$7,Hypothèses!$X$7,IF(AN31&lt;=Hypothèses!$V$8,Hypothèses!$X$8,IF(AN31&lt;=Hypothèses!$V$9,Hypothèses!$X$9,IF(AN31&lt;=Hypothèses!$V$10,Hypothèses!$X$10,IF(AN31&lt;=Hypothèses!$V$11,Hypothèses!$X$11,IF(AN31&lt;=Hypothèses!$V$12,Hypothèses!$X$12,IF(AN31&lt;=Hypothèses!$V$13,Hypothèses!$X$13,IF(AN31&lt;=Hypothèses!$V$14,Hypothèses!$X$14,IF(AN31&lt;=Hypothèses!$V$15,Hypothèses!$X$15,IF(AN31&lt;=Hypothèses!$V$16,Hypothèses!$X$16,IF(AN31&lt;=Hypothèses!$U$17,Hypothèses!$W$17,IF(AN31&lt;=Hypothèses!$U$18,Hypothèses!$W$18,""))))))))))))</f>
        <v>#DIV/0!</v>
      </c>
      <c r="BK31" s="95" t="e">
        <f t="shared" ca="1" si="77"/>
        <v>#DIV/0!</v>
      </c>
      <c r="BL31" s="101">
        <f t="shared" si="125"/>
        <v>0</v>
      </c>
      <c r="BM31" s="91">
        <f t="shared" si="27"/>
        <v>0</v>
      </c>
      <c r="BN31" s="30" t="e">
        <f t="shared" si="104"/>
        <v>#N/A</v>
      </c>
      <c r="BO31" s="30" t="e">
        <f t="shared" si="105"/>
        <v>#N/A</v>
      </c>
      <c r="BP31" s="31" t="e">
        <f>IF(OR(Hypothèses!$B$4=17,Hypothèses!$B$4=18,Hypothèses!$B$4=19,Hypothèses!$B$4=20),
IF($D31="Pressio.",
IF(OR($E31=3,$E31=1,$E31=4),BO31,BN31),
IF($D31="Pénétro.",
IF(OR($E31=3,$E31=1,$E31=4),BO31,BN31))),IF($D31="Pressio.",
IF($E31=3,BO31,BN31),
IF($D31="Pénétro.",
IF($E31=4,BO31,BN31))))</f>
        <v>#N/A</v>
      </c>
      <c r="BQ31" s="31">
        <v>0</v>
      </c>
      <c r="BR31" s="102" t="e">
        <f>IF(NDC!$H$10="Oui",(VLOOKUP($B$3,'Coeff EC7'!$T$39:$X$59,2,0)*BP31+VLOOKUP($B$3,'Coeff EC7'!$T$65:$X$85,2,0)*Model0.1T!BQ31)/1.5,PI()*BN$12*$Q31*($B31-$B30)*0.15/10+BR30)</f>
        <v>#N/A</v>
      </c>
      <c r="BS31" s="102" t="e">
        <f>(VLOOKUP($B$3,'Coeff EC7'!$T$39:$X$59,3,0)*BP31+VLOOKUP($B$3,'Coeff EC7'!$T$65:$X$85,3,0)*Model0.1T!BQ31)/1.1</f>
        <v>#N/A</v>
      </c>
      <c r="BT31" s="102" t="e">
        <f t="shared" si="78"/>
        <v>#N/A</v>
      </c>
      <c r="BU31" s="102" t="e">
        <f t="shared" si="79"/>
        <v>#N/A</v>
      </c>
      <c r="BV31" s="414" t="e">
        <f>IF(AND(BR31&gt;NDC!$C$63,BS31&gt;NDC!$C$65,BT31&gt;NDC!$D$73,BU31&gt;NDC!$D$74,$B31&gt;NDC!$H$22-0.1+MIN(3*BV$12,1.5)),0,1)</f>
        <v>#N/A</v>
      </c>
      <c r="BW31" s="86" t="b">
        <f t="shared" si="30"/>
        <v>0</v>
      </c>
      <c r="BX31" s="86">
        <f t="shared" si="31"/>
        <v>0.5</v>
      </c>
      <c r="BY31" s="86">
        <f t="shared" si="32"/>
        <v>0.5</v>
      </c>
      <c r="BZ31" s="30" t="e">
        <f t="shared" ca="1" si="80"/>
        <v>#DIV/0!</v>
      </c>
      <c r="CA31" s="85" t="e">
        <f ca="1">IF(BG31&lt;=Hypothèses!$V$7,Hypothèses!$W$7,IF(BG31&lt;=Hypothèses!$V$8,Hypothèses!$W$8,IF(BG31&lt;=Hypothèses!$V$9,Hypothèses!$W$9,IF(BG31&lt;=Hypothèses!$V$10,Hypothèses!$W$10,IF(BG31&lt;=Hypothèses!$V$11,Hypothèses!$W$11,IF(BG31&lt;=Hypothèses!$V$12,Hypothèses!$W$12,IF(BG31&lt;=Hypothèses!$V$13,Hypothèses!$W$13,IF(BG31&lt;=Hypothèses!$V$14,Hypothèses!$W$14,IF(BG31&lt;=Hypothèses!$V$15,Hypothèses!$W$15,IF(BG31&lt;=Hypothèses!$V$16,Hypothèses!$W$16,IF(BG31&lt;=Hypothèses!$V$17,Hypothèses!$W$17,IF(BG31&lt;=Hypothèses!$V$18,Hypothèses!$W$18,""))))))))))))</f>
        <v>#DIV/0!</v>
      </c>
      <c r="CB31" s="87" t="e">
        <f t="shared" ca="1" si="119"/>
        <v>#DIV/0!</v>
      </c>
      <c r="CC31" s="88" t="e">
        <f ca="1">IF(BG31&lt;=Hypothèses!$V$7,Hypothèses!$X$7,IF(BG31&lt;=Hypothèses!$V$8,Hypothèses!$X$8,IF(BG31&lt;=Hypothèses!$V$9,Hypothèses!$X$9,IF(BG31&lt;=Hypothèses!$V$10,Hypothèses!$X$10,IF(BG31&lt;=Hypothèses!$V$11,Hypothèses!$X$11,IF(BG31&lt;=Hypothèses!$V$12,Hypothèses!$X$12,IF(BG31&lt;=Hypothèses!$V$13,Hypothèses!$X$13,IF(BG31&lt;=Hypothèses!$V$14,Hypothèses!$X$14,IF(BG31&lt;=Hypothèses!$V$15,Hypothèses!$X$15,IF(BG31&lt;=Hypothèses!$V$16,Hypothèses!$X$16,IF(BG31&lt;=Hypothèses!$U$17,Hypothèses!$W$17,IF(BG31&lt;=Hypothèses!$U$18,Hypothèses!$W$18,""))))))))))))</f>
        <v>#DIV/0!</v>
      </c>
      <c r="CD31" s="95" t="e">
        <f t="shared" ca="1" si="81"/>
        <v>#DIV/0!</v>
      </c>
      <c r="CE31" s="101">
        <f t="shared" si="126"/>
        <v>0</v>
      </c>
      <c r="CF31" s="91">
        <f t="shared" si="34"/>
        <v>0</v>
      </c>
      <c r="CG31" s="30" t="e">
        <f t="shared" si="106"/>
        <v>#N/A</v>
      </c>
      <c r="CH31" s="30" t="e">
        <f t="shared" si="107"/>
        <v>#N/A</v>
      </c>
      <c r="CI31" s="31" t="e">
        <f>IF(OR(Hypothèses!$B$4=17,Hypothèses!$B$4=18,Hypothèses!$B$4=19,Hypothèses!$B$4=20),
IF($D31="Pressio.",
IF(OR($E31=3,$E31=1,$E31=4),CH31,CG31),
IF($D31="Pénétro.",
IF(OR($E31=3,$E31=1,$E31=4),CH31,CG31))),IF($D31="Pressio.",
IF($E31=3,CH31,CG31),
IF($D31="Pénétro.",
IF($E31=4,CH31,CG31))))</f>
        <v>#N/A</v>
      </c>
      <c r="CJ31" s="31">
        <v>0</v>
      </c>
      <c r="CK31" s="102" t="e">
        <f>IF(NDC!$H$10="Oui",(VLOOKUP($B$3,'Coeff EC7'!$T$39:$X$59,2,0)*CI31+VLOOKUP($B$3,'Coeff EC7'!$T$65:$X$85,2,0)*Model0.1T!CJ31)/1.5,PI()*CG$12*$Q31*($B31-$B30)*0.15/10+CK30)</f>
        <v>#N/A</v>
      </c>
      <c r="CL31" s="102" t="e">
        <f>(VLOOKUP($B$3,'Coeff EC7'!$T$39:$X$59,3,0)*CI31+VLOOKUP($B$3,'Coeff EC7'!$T$65:$X$85,3,0)*Model0.1T!CJ31)/1.1</f>
        <v>#N/A</v>
      </c>
      <c r="CM31" s="102" t="e">
        <f t="shared" si="82"/>
        <v>#N/A</v>
      </c>
      <c r="CN31" s="102" t="e">
        <f t="shared" si="83"/>
        <v>#N/A</v>
      </c>
      <c r="CO31" s="414" t="e">
        <f>IF(AND(CK31&gt;NDC!$C$63,CL31&gt;NDC!$C$65,CM31&gt;NDC!$D$73,CN31&gt;NDC!$D$74,$B31&gt;NDC!$H$22-0.1+MIN(3*CO$12,1.5)),0,1)</f>
        <v>#N/A</v>
      </c>
      <c r="CP31" s="86" t="b">
        <f t="shared" si="37"/>
        <v>0</v>
      </c>
      <c r="CQ31" s="86">
        <f t="shared" si="38"/>
        <v>0.5</v>
      </c>
      <c r="CR31" s="86">
        <f t="shared" si="39"/>
        <v>0.5</v>
      </c>
      <c r="CS31" s="30" t="e">
        <f t="shared" ca="1" si="84"/>
        <v>#DIV/0!</v>
      </c>
      <c r="CT31" s="85" t="e">
        <f ca="1">IF(BZ31&lt;=Hypothèses!$V$7,Hypothèses!$W$7,IF(BZ31&lt;=Hypothèses!$V$8,Hypothèses!$W$8,IF(BZ31&lt;=Hypothèses!$V$9,Hypothèses!$W$9,IF(BZ31&lt;=Hypothèses!$V$10,Hypothèses!$W$10,IF(BZ31&lt;=Hypothèses!$V$11,Hypothèses!$W$11,IF(BZ31&lt;=Hypothèses!$V$12,Hypothèses!$W$12,IF(BZ31&lt;=Hypothèses!$V$13,Hypothèses!$W$13,IF(BZ31&lt;=Hypothèses!$V$14,Hypothèses!$W$14,IF(BZ31&lt;=Hypothèses!$V$15,Hypothèses!$W$15,IF(BZ31&lt;=Hypothèses!$V$16,Hypothèses!$W$16,IF(BZ31&lt;=Hypothèses!$V$17,Hypothèses!$W$17,IF(BZ31&lt;=Hypothèses!$V$18,Hypothèses!$W$18,""))))))))))))</f>
        <v>#DIV/0!</v>
      </c>
      <c r="CU31" s="87" t="e">
        <f t="shared" ca="1" si="120"/>
        <v>#DIV/0!</v>
      </c>
      <c r="CV31" s="88" t="e">
        <f ca="1">IF(BZ31&lt;=Hypothèses!$V$7,Hypothèses!$X$7,IF(BZ31&lt;=Hypothèses!$V$8,Hypothèses!$X$8,IF(BZ31&lt;=Hypothèses!$V$9,Hypothèses!$X$9,IF(BZ31&lt;=Hypothèses!$V$10,Hypothèses!$X$10,IF(BZ31&lt;=Hypothèses!$V$11,Hypothèses!$X$11,IF(BZ31&lt;=Hypothèses!$V$12,Hypothèses!$X$12,IF(BZ31&lt;=Hypothèses!$V$13,Hypothèses!$X$13,IF(BZ31&lt;=Hypothèses!$V$14,Hypothèses!$X$14,IF(BZ31&lt;=Hypothèses!$V$15,Hypothèses!$X$15,IF(BZ31&lt;=Hypothèses!$V$16,Hypothèses!$X$16,IF(BZ31&lt;=Hypothèses!$U$17,Hypothèses!$W$17,IF(BZ31&lt;=Hypothèses!$U$18,Hypothèses!$W$18,""))))))))))))</f>
        <v>#DIV/0!</v>
      </c>
      <c r="CW31" s="95" t="e">
        <f t="shared" ca="1" si="85"/>
        <v>#DIV/0!</v>
      </c>
      <c r="CX31" s="101">
        <f t="shared" si="127"/>
        <v>0</v>
      </c>
      <c r="CY31" s="91">
        <f t="shared" si="41"/>
        <v>0</v>
      </c>
      <c r="CZ31" s="30" t="e">
        <f t="shared" si="108"/>
        <v>#N/A</v>
      </c>
      <c r="DA31" s="30" t="e">
        <f t="shared" si="109"/>
        <v>#N/A</v>
      </c>
      <c r="DB31" s="31" t="e">
        <f>IF(OR(Hypothèses!$B$4=17,Hypothèses!$B$4=18,Hypothèses!$B$4=19,Hypothèses!$B$4=20),
IF($D31="Pressio.",
IF(OR($E31=3,$E31=1,$E31=4),DA31,CZ31),
IF($D31="Pénétro.",
IF(OR($E31=3,$E31=1,$E31=4),DA31,CZ31))),IF($D31="Pressio.",
IF($E31=3,DA31,CZ31),
IF($D31="Pénétro.",
IF($E31=4,DA31,CZ31))))</f>
        <v>#N/A</v>
      </c>
      <c r="DC31" s="31">
        <v>0</v>
      </c>
      <c r="DD31" s="102" t="e">
        <f>IF(NDC!$H$10="Oui",(VLOOKUP($B$3,'Coeff EC7'!$T$39:$X$59,2,0)*DB31+VLOOKUP($B$3,'Coeff EC7'!$T$65:$X$85,2,0)*Model0.1T!DC31)/1.5,PI()*CZ$12*$Q31*($B31-$B30)*0.15/10+DD30)</f>
        <v>#N/A</v>
      </c>
      <c r="DE31" s="102" t="e">
        <f>(VLOOKUP($B$3,'Coeff EC7'!$T$39:$X$59,3,0)*DB31+VLOOKUP($B$3,'Coeff EC7'!$T$65:$X$85,3,0)*Model0.1T!DC31)/1.1</f>
        <v>#N/A</v>
      </c>
      <c r="DF31" s="102" t="e">
        <f t="shared" si="86"/>
        <v>#N/A</v>
      </c>
      <c r="DG31" s="102" t="e">
        <f t="shared" si="87"/>
        <v>#N/A</v>
      </c>
      <c r="DH31" s="414" t="e">
        <f>IF(AND(DD31&gt;NDC!$C$63,DE31&gt;NDC!$C$65,DF31&gt;NDC!$D$73,DG31&gt;NDC!$D$74,$B31&gt;NDC!$H$22-0.1+MIN(3*DH$12,1.5)),0,1)</f>
        <v>#N/A</v>
      </c>
      <c r="DI31" s="86" t="b">
        <f t="shared" si="44"/>
        <v>0</v>
      </c>
      <c r="DJ31" s="86">
        <f t="shared" si="45"/>
        <v>0.5</v>
      </c>
      <c r="DK31" s="86">
        <f t="shared" si="46"/>
        <v>0.5</v>
      </c>
      <c r="DL31" s="30" t="e">
        <f t="shared" ca="1" si="88"/>
        <v>#DIV/0!</v>
      </c>
      <c r="DM31" s="85" t="e">
        <f ca="1">IF(CS31&lt;=Hypothèses!$V$7,Hypothèses!$W$7,IF(CS31&lt;=Hypothèses!$V$8,Hypothèses!$W$8,IF(CS31&lt;=Hypothèses!$V$9,Hypothèses!$W$9,IF(CS31&lt;=Hypothèses!$V$10,Hypothèses!$W$10,IF(CS31&lt;=Hypothèses!$V$11,Hypothèses!$W$11,IF(CS31&lt;=Hypothèses!$V$12,Hypothèses!$W$12,IF(CS31&lt;=Hypothèses!$V$13,Hypothèses!$W$13,IF(CS31&lt;=Hypothèses!$V$14,Hypothèses!$W$14,IF(CS31&lt;=Hypothèses!$V$15,Hypothèses!$W$15,IF(CS31&lt;=Hypothèses!$V$16,Hypothèses!$W$16,IF(CS31&lt;=Hypothèses!$V$17,Hypothèses!$W$17,IF(CS31&lt;=Hypothèses!$V$18,Hypothèses!$W$18,""))))))))))))</f>
        <v>#DIV/0!</v>
      </c>
      <c r="DN31" s="87" t="e">
        <f t="shared" ca="1" si="121"/>
        <v>#DIV/0!</v>
      </c>
      <c r="DO31" s="88" t="e">
        <f ca="1">IF(CS31&lt;=Hypothèses!$V$7,Hypothèses!$X$7,IF(CS31&lt;=Hypothèses!$V$8,Hypothèses!$X$8,IF(CS31&lt;=Hypothèses!$V$9,Hypothèses!$X$9,IF(CS31&lt;=Hypothèses!$V$10,Hypothèses!$X$10,IF(CS31&lt;=Hypothèses!$V$11,Hypothèses!$X$11,IF(CS31&lt;=Hypothèses!$V$12,Hypothèses!$X$12,IF(CS31&lt;=Hypothèses!$V$13,Hypothèses!$X$13,IF(CS31&lt;=Hypothèses!$V$14,Hypothèses!$X$14,IF(CS31&lt;=Hypothèses!$V$15,Hypothèses!$X$15,IF(CS31&lt;=Hypothèses!$V$16,Hypothèses!$X$16,IF(CS31&lt;=Hypothèses!$U$17,Hypothèses!$W$17,IF(CS31&lt;=Hypothèses!$U$18,Hypothèses!$W$18,""))))))))))))</f>
        <v>#DIV/0!</v>
      </c>
      <c r="DP31" s="95" t="e">
        <f t="shared" ca="1" si="89"/>
        <v>#DIV/0!</v>
      </c>
      <c r="DQ31" s="101">
        <f t="shared" si="128"/>
        <v>0</v>
      </c>
      <c r="DR31" s="91">
        <f t="shared" si="48"/>
        <v>0</v>
      </c>
      <c r="DS31" s="30" t="e">
        <f t="shared" si="110"/>
        <v>#N/A</v>
      </c>
      <c r="DT31" s="30" t="e">
        <f t="shared" si="111"/>
        <v>#N/A</v>
      </c>
      <c r="DU31" s="31" t="e">
        <f>IF(OR(Hypothèses!$B$4=17,Hypothèses!$B$4=18,Hypothèses!$B$4=19,Hypothèses!$B$4=20),
IF($D31="Pressio.",
IF(OR($E31=3,$E31=1,$E31=4),DT31,DS31),
IF($D31="Pénétro.",
IF(OR($E31=3,$E31=1,$E31=4),DT31,DS31))),IF($D31="Pressio.",
IF($E31=3,DT31,DS31),
IF($D31="Pénétro.",
IF($E31=4,DT31,DS31))))</f>
        <v>#N/A</v>
      </c>
      <c r="DV31" s="31">
        <v>0</v>
      </c>
      <c r="DW31" s="102" t="e">
        <f>IF(NDC!$H$10="Oui",(VLOOKUP($B$3,'Coeff EC7'!$T$39:$X$59,2,0)*DU31+VLOOKUP($B$3,'Coeff EC7'!$T$65:$X$85,2,0)*Model0.1T!DV31)/1.5,PI()*DS$12*$Q31*($B31-$B30)*0.15/10+DW30)</f>
        <v>#N/A</v>
      </c>
      <c r="DX31" s="102" t="e">
        <f>(VLOOKUP($B$3,'Coeff EC7'!$T$39:$X$59,3,0)*DU31+VLOOKUP($B$3,'Coeff EC7'!$T$65:$X$85,3,0)*Model0.1T!DV31)/1.1</f>
        <v>#N/A</v>
      </c>
      <c r="DY31" s="102" t="e">
        <f t="shared" si="90"/>
        <v>#N/A</v>
      </c>
      <c r="DZ31" s="102" t="e">
        <f t="shared" si="91"/>
        <v>#N/A</v>
      </c>
      <c r="EA31" s="414" t="e">
        <f>IF(AND(DW31&gt;NDC!$C$63,DX31&gt;NDC!$C$65,DY31&gt;NDC!$D$73,DZ31&gt;NDC!$D$74,$B31&gt;NDC!$H$22-0.1+MIN(3*EA$12,1.5)),0,1)</f>
        <v>#N/A</v>
      </c>
      <c r="EB31" s="86" t="b">
        <f t="shared" si="51"/>
        <v>0</v>
      </c>
      <c r="EC31" s="418">
        <f t="shared" si="52"/>
        <v>0.51</v>
      </c>
      <c r="ED31" s="86">
        <f t="shared" si="53"/>
        <v>0.51</v>
      </c>
      <c r="EE31" s="30" t="e">
        <f t="shared" ca="1" si="92"/>
        <v>#DIV/0!</v>
      </c>
      <c r="EF31" s="85" t="e">
        <f ca="1">IF(DL31&lt;=Hypothèses!$V$7,Hypothèses!$W$7,IF(DL31&lt;=Hypothèses!$V$8,Hypothèses!$W$8,IF(DL31&lt;=Hypothèses!$V$9,Hypothèses!$W$9,IF(DL31&lt;=Hypothèses!$V$10,Hypothèses!$W$10,IF(DL31&lt;=Hypothèses!$V$11,Hypothèses!$W$11,IF(DL31&lt;=Hypothèses!$V$12,Hypothèses!$W$12,IF(DL31&lt;=Hypothèses!$V$13,Hypothèses!$W$13,IF(DL31&lt;=Hypothèses!$V$14,Hypothèses!$W$14,IF(DL31&lt;=Hypothèses!$V$15,Hypothèses!$W$15,IF(DL31&lt;=Hypothèses!$V$16,Hypothèses!$W$16,IF(DL31&lt;=Hypothèses!$V$17,Hypothèses!$W$17,IF(DL31&lt;=Hypothèses!$V$18,Hypothèses!$W$18,""))))))))))))</f>
        <v>#DIV/0!</v>
      </c>
      <c r="EG31" s="87" t="e">
        <f t="shared" ca="1" si="122"/>
        <v>#DIV/0!</v>
      </c>
      <c r="EH31" s="88" t="e">
        <f ca="1">IF(DL31&lt;=Hypothèses!$V$7,Hypothèses!$X$7,IF(DL31&lt;=Hypothèses!$V$8,Hypothèses!$X$8,IF(DL31&lt;=Hypothèses!$V$9,Hypothèses!$X$9,IF(DL31&lt;=Hypothèses!$V$10,Hypothèses!$X$10,IF(DL31&lt;=Hypothèses!$V$11,Hypothèses!$X$11,IF(DL31&lt;=Hypothèses!$V$12,Hypothèses!$X$12,IF(DL31&lt;=Hypothèses!$V$13,Hypothèses!$X$13,IF(DL31&lt;=Hypothèses!$V$14,Hypothèses!$X$14,IF(DL31&lt;=Hypothèses!$V$15,Hypothèses!$X$15,IF(DL31&lt;=Hypothèses!$V$16,Hypothèses!$X$16,IF(DL31&lt;=Hypothèses!$U$17,Hypothèses!$W$17,IF(DL31&lt;=Hypothèses!$U$18,Hypothèses!$W$18,""))))))))))))</f>
        <v>#DIV/0!</v>
      </c>
      <c r="EI31" s="95" t="e">
        <f t="shared" ca="1" si="93"/>
        <v>#DIV/0!</v>
      </c>
      <c r="EJ31" s="101">
        <f t="shared" si="129"/>
        <v>0</v>
      </c>
      <c r="EK31" s="91">
        <f t="shared" si="55"/>
        <v>0</v>
      </c>
      <c r="EL31" s="30" t="e">
        <f t="shared" si="112"/>
        <v>#N/A</v>
      </c>
      <c r="EM31" s="30" t="e">
        <f t="shared" si="113"/>
        <v>#N/A</v>
      </c>
      <c r="EN31" s="31" t="e">
        <f>IF(OR(Hypothèses!$B$4=17,Hypothèses!$B$4=18,Hypothèses!$B$4=19,Hypothèses!$B$4=20),
IF($D31="Pressio.",
IF(OR($E31=3,$E31=1,$E31=4),EM31,EL31),
IF($D31="Pénétro.",
IF(OR($E31=3,$E31=1,$E31=4),EM31,EL31))),IF($D31="Pressio.",
IF($E31=3,EM31,EL31),
IF($D31="Pénétro.",
IF($E31=4,EM31,EL31))))</f>
        <v>#N/A</v>
      </c>
      <c r="EO31" s="31">
        <v>0</v>
      </c>
      <c r="EP31" s="102" t="e">
        <f>IF(NDC!$H$10="Oui",(VLOOKUP($B$3,'Coeff EC7'!$T$39:$X$59,2,0)*EN31+VLOOKUP($B$3,'Coeff EC7'!$T$65:$X$85,2,0)*Model0.1T!EO31)/1.5,PI()*EL$12*$Q31*($B31-$B30)*0.15/10+EP30)</f>
        <v>#N/A</v>
      </c>
      <c r="EQ31" s="102" t="e">
        <f>(VLOOKUP($B$3,'Coeff EC7'!$T$39:$X$59,3,0)*EN31+VLOOKUP($B$3,'Coeff EC7'!$T$65:$X$85,3,0)*Model0.1T!EO31)/1.1</f>
        <v>#N/A</v>
      </c>
      <c r="ER31" s="102" t="e">
        <f t="shared" si="94"/>
        <v>#N/A</v>
      </c>
      <c r="ES31" s="102" t="e">
        <f t="shared" si="95"/>
        <v>#N/A</v>
      </c>
      <c r="ET31" s="414" t="e">
        <f>IF(AND(EP31&gt;NDC!$C$63,EQ31&gt;NDC!$C$65,ER31&gt;NDC!$D$73,ES31&gt;NDC!$D$74,$B31&gt;NDC!$H$22-0.1+MIN(3*ET$12,1.5)),0,1)</f>
        <v>#N/A</v>
      </c>
      <c r="EU31" s="86" t="b">
        <f t="shared" si="58"/>
        <v>0</v>
      </c>
      <c r="EV31" s="86">
        <f t="shared" si="59"/>
        <v>0.61</v>
      </c>
      <c r="EW31" s="86">
        <f t="shared" si="60"/>
        <v>0.61</v>
      </c>
      <c r="EX31" s="30" t="e">
        <f t="shared" ca="1" si="96"/>
        <v>#DIV/0!</v>
      </c>
      <c r="EY31" s="85" t="e">
        <f ca="1">IF(EE31&lt;=Hypothèses!$V$7,Hypothèses!$W$7,IF(EE31&lt;=Hypothèses!$V$8,Hypothèses!$W$8,IF(EE31&lt;=Hypothèses!$V$9,Hypothèses!$W$9,IF(EE31&lt;=Hypothèses!$V$10,Hypothèses!$W$10,IF(EE31&lt;=Hypothèses!$V$11,Hypothèses!$W$11,IF(EE31&lt;=Hypothèses!$V$12,Hypothèses!$W$12,IF(EE31&lt;=Hypothèses!$V$13,Hypothèses!$W$13,IF(EE31&lt;=Hypothèses!$V$14,Hypothèses!$W$14,IF(EE31&lt;=Hypothèses!$V$15,Hypothèses!$W$15,IF(EE31&lt;=Hypothèses!$V$16,Hypothèses!$W$16,IF(EE31&lt;=Hypothèses!$V$17,Hypothèses!$W$17,IF(EE31&lt;=Hypothèses!$V$18,Hypothèses!$W$18,""))))))))))))</f>
        <v>#DIV/0!</v>
      </c>
      <c r="EZ31" s="87" t="e">
        <f t="shared" ca="1" si="123"/>
        <v>#DIV/0!</v>
      </c>
      <c r="FA31" s="88" t="e">
        <f ca="1">IF(EE31&lt;=Hypothèses!$V$7,Hypothèses!$X$7,IF(EE31&lt;=Hypothèses!$V$8,Hypothèses!$X$8,IF(EE31&lt;=Hypothèses!$V$9,Hypothèses!$X$9,IF(EE31&lt;=Hypothèses!$V$10,Hypothèses!$X$10,IF(EE31&lt;=Hypothèses!$V$11,Hypothèses!$X$11,IF(EE31&lt;=Hypothèses!$V$12,Hypothèses!$X$12,IF(EE31&lt;=Hypothèses!$V$13,Hypothèses!$X$13,IF(EE31&lt;=Hypothèses!$V$14,Hypothèses!$X$14,IF(EE31&lt;=Hypothèses!$V$15,Hypothèses!$X$15,IF(EE31&lt;=Hypothèses!$V$16,Hypothèses!$X$16,IF(EE31&lt;=Hypothèses!$U$17,Hypothèses!$W$17,IF(EE31&lt;=Hypothèses!$U$18,Hypothèses!$W$18,""))))))))))))</f>
        <v>#DIV/0!</v>
      </c>
      <c r="FB31" s="95" t="e">
        <f t="shared" ca="1" si="97"/>
        <v>#DIV/0!</v>
      </c>
      <c r="FC31" s="101">
        <f t="shared" si="130"/>
        <v>0</v>
      </c>
      <c r="FD31" s="91">
        <f t="shared" si="62"/>
        <v>0</v>
      </c>
      <c r="FE31" s="30" t="e">
        <f t="shared" si="114"/>
        <v>#N/A</v>
      </c>
      <c r="FF31" s="30" t="e">
        <f t="shared" si="115"/>
        <v>#N/A</v>
      </c>
      <c r="FG31" s="31" t="e">
        <f>IF(OR(Hypothèses!$B$4=17,Hypothèses!$B$4=18,Hypothèses!$B$4=19,Hypothèses!$B$4=20),
IF($D31="Pressio.",
IF(OR($E31=3,$E31=1,$E31=4),FF31,FE31),
IF($D31="Pénétro.",
IF(OR($E31=3,$E31=1,$E31=4),FF31,FE31))),IF($D31="Pressio.",
IF($E31=3,FF31,FE31),
IF($D31="Pénétro.",
IF($E31=4,FF31,FE31))))</f>
        <v>#N/A</v>
      </c>
      <c r="FH31" s="31">
        <v>0</v>
      </c>
      <c r="FI31" s="102" t="e">
        <f>IF(NDC!$H$10="Oui",(VLOOKUP($B$3,'Coeff EC7'!$T$39:$X$59,2,0)*FG31+VLOOKUP($B$3,'Coeff EC7'!$T$65:$X$85,2,0)*Model0.1T!FH31)/1.5,PI()*FE$12*$Q31*($B31-$B30)*0.15/10+FI30)</f>
        <v>#N/A</v>
      </c>
      <c r="FJ31" s="102" t="e">
        <f>(VLOOKUP($B$3,'Coeff EC7'!$T$39:$X$59,3,0)*FG31+VLOOKUP($B$3,'Coeff EC7'!$T$65:$X$85,3,0)*Model0.1T!FH31)/1.1</f>
        <v>#N/A</v>
      </c>
      <c r="FK31" s="102" t="e">
        <f t="shared" si="98"/>
        <v>#N/A</v>
      </c>
      <c r="FL31" s="102" t="e">
        <f t="shared" si="99"/>
        <v>#N/A</v>
      </c>
      <c r="FM31" s="414" t="e">
        <f>IF(AND(FI31&gt;NDC!$C$63,FJ31&gt;NDC!$C$65,FK31&gt;NDC!$D$73,FL31&gt;NDC!$D$74,$B31&gt;NDC!$H$22-0.1+MIN(3*FM$12,1.5)),0,1)</f>
        <v>#N/A</v>
      </c>
    </row>
    <row r="32" spans="1:169">
      <c r="A32" s="96">
        <f t="shared" si="65"/>
        <v>98.100000000000108</v>
      </c>
      <c r="B32" s="97">
        <v>1.9</v>
      </c>
      <c r="C32" s="81">
        <f>IF(B32&lt;=Hypothèses!$C$7,Hypothèses!$A$7,IF(B32&lt;=Hypothèses!$C$8,Hypothèses!$A$8,IF(B32&lt;=Hypothèses!$C$9,Hypothèses!$A$9,IF(B32&lt;=Hypothèses!$C$10,Hypothèses!$A$10,IF(B32&lt;=Hypothèses!$C$11,Hypothèses!$A$11,IF(B32&lt;=Hypothèses!$C$12,Hypothèses!$A$12,IF(B32&lt;=Hypothèses!$C$13,Hypothèses!$A$13,IF(B32&lt;=Hypothèses!$C$14,Hypothèses!$A$14,IF(B32&lt;=Hypothèses!$C$15,Hypothèses!$A$15,IF(B32&lt;=Hypothèses!$C$16,Hypothèses!$A$16,IF(B32&lt;=Hypothèses!$C$17,Hypothèses!$A$17,IF(B32&lt;=Hypothèses!$C$18,Hypothèses!$A$18,C31))))))))))))</f>
        <v>11</v>
      </c>
      <c r="D32" s="82" t="str">
        <f>IF(B32&lt;=Hypothèses!$C$7,Hypothèses!$R$7,IF(B32&lt;=Hypothèses!$C$8,Hypothèses!$R$8,IF(B32&lt;=Hypothèses!$C$9,Hypothèses!$R$9,IF(B32&lt;=Hypothèses!$C$10,Hypothèses!$R$10,IF(B32&lt;=Hypothèses!$C$11,Hypothèses!$R$11,IF(B32&lt;=Hypothèses!$C$12,Hypothèses!$R$12,IF(B32&lt;=Hypothèses!$C$13,Hypothèses!$R$13,IF(B32&lt;=Hypothèses!$C$14,Hypothèses!$R$14,IF(B32&lt;=Hypothèses!$C$15,Hypothèses!$R$15,IF(B32&lt;=Hypothèses!$C$16,Hypothèses!$R$16,IF(B32&lt;=Hypothèses!$C$17,Hypothèses!$R$17,IF(B32&lt;=Hypothèses!$C$18,Hypothèses!$R$18,D31))))))))))))</f>
        <v>Pressio.</v>
      </c>
      <c r="E32" s="82" t="e">
        <f>IF(B32&lt;=Hypothèses!$C$7,Hypothèses!$G$7,IF(B32&lt;=Hypothèses!$C$8,Hypothèses!$G$8,IF(B32&lt;=Hypothèses!$C$9,Hypothèses!$G$9,IF(B32&lt;=Hypothèses!$C$10,Hypothèses!$G$10,IF(B32&lt;=Hypothèses!$C$11,Hypothèses!$G$11,IF(B32&lt;=Hypothèses!$C$12,Hypothèses!$G$12,IF(B32&lt;=Hypothèses!$C$13,Hypothèses!$G$13,IF(B32&lt;=Hypothèses!$C$14,Hypothèses!$G$14,IF(B32&lt;=Hypothèses!$C$15,Hypothèses!$G$15,IF(B32&lt;=Hypothèses!$C$16,Hypothèses!$G$16,IF(B32&lt;=Hypothèses!$C$17,Hypothèses!$G$17,IF(B32&lt;=Hypothèses!$C$18,Hypothèses!$G$18,E31))))))))))))</f>
        <v>#N/A</v>
      </c>
      <c r="F32" s="82" t="str">
        <f>IF(B32&lt;=Hypothèses!$C$7,Hypothèses!$F$7,IF(B32&lt;=Hypothèses!$C$8,Hypothèses!$F$8,IF(B32&lt;=Hypothèses!$C$9,Hypothèses!$F$9,IF(B32&lt;=Hypothèses!$C$10,Hypothèses!$F$10,IF(B32&lt;=Hypothèses!$C$11,Hypothèses!$F$11,IF(B32&lt;=Hypothèses!$C$12,Hypothèses!$F$12,IF(B32&lt;=Hypothèses!$C$13,Hypothèses!$F$13,IF(B32&lt;=Hypothèses!$C$14,Hypothèses!$F$14,IF(B32&lt;=Hypothèses!$C$15,Hypothèses!$F$15,IF(B32&lt;=Hypothèses!$C$16,Hypothèses!$F$16,IF(B32&lt;=Hypothèses!$C$17,Hypothèses!$F$17,IF(B32&lt;=Hypothèses!$C$18,Hypothèses!$F$18,F31))))))))))))</f>
        <v/>
      </c>
      <c r="G32" s="91">
        <f t="array" ref="G32">INDEX('Coeff EC7'!$U$7:$X$27,
MATCH(Model0.1T!$B$3,'Coeff EC7'!$T$7:$T$27,0),
MATCH(Model0.1T!$D32&amp;Model0.1T!$B$4,
'Coeff EC7'!$U$6:$X$6&amp;
'Coeff EC7'!$U$5:$X$5,0))</f>
        <v>1.4</v>
      </c>
      <c r="H32" s="91">
        <f t="array" ref="H32">INDEX('Coeff EC7'!$Y$7:$AB$27,
MATCH(Model0.1T!$B$3,'Coeff EC7'!$T$7:$T$27,0),
MATCH(Model0.1T!$D32&amp;Model0.1T!$B$4,
'Coeff EC7'!$Y$6:$AB$6&amp;
'Coeff EC7'!$Y$5:$AB$5,0))</f>
        <v>1.7</v>
      </c>
      <c r="I32" s="83">
        <v>0</v>
      </c>
      <c r="J32" s="91" t="e">
        <f t="array" ref="J32">INDEX('Coeff EC7'!$D$33:$Q$33,1,MATCH(D32&amp;E32,'Coeff EC7'!$D$31:$Q$31&amp;'Coeff EC7'!$D$32:$Q$32,0))</f>
        <v>#N/A</v>
      </c>
      <c r="K32" s="91" t="e">
        <f t="array" ref="K32">INDEX('Coeff EC7'!$D$34:$Q$34,1,MATCH(D32&amp;E32,'Coeff EC7'!$D$31:$Q$31&amp;'Coeff EC7'!$D$32:$Q$32,0))</f>
        <v>#N/A</v>
      </c>
      <c r="L32" s="91" t="e">
        <f t="array" ref="L32">INDEX('Coeff EC7'!$D$35:$Q$35,1,MATCH(D32&amp;E32,'Coeff EC7'!$D$31:$Q$31&amp;'Coeff EC7'!$D$32:$Q$32,0))</f>
        <v>#N/A</v>
      </c>
      <c r="M32" s="98" t="e">
        <f t="shared" si="8"/>
        <v>#N/A</v>
      </c>
      <c r="N32" s="99" t="e">
        <f t="array" ref="N32">INDEX('Coeff EC7'!$D$7:$Q$27,MATCH($B$3,'Coeff EC7'!$C$7:$C$27,0),MATCH(D32&amp;E32,'Coeff EC7'!$D$5:$Q$5&amp;'Coeff EC7'!$D$6:$Q$6,0))</f>
        <v>#N/A</v>
      </c>
      <c r="O32" s="99" t="e">
        <f t="array" ref="O32">INDEX('Coeff EC7'!$D$41:$Q$61,MATCH($B$3,'Coeff EC7'!$C$41:$C$61,0),MATCH(D32&amp;E32,'Coeff EC7'!$D$39:$Q$39&amp;'Coeff EC7'!$D$40:$Q$40,0))</f>
        <v>#N/A</v>
      </c>
      <c r="P32" s="30" t="e">
        <f t="shared" si="66"/>
        <v>#N/A</v>
      </c>
      <c r="Q32" s="100" t="e">
        <f t="shared" si="10"/>
        <v>#N/A</v>
      </c>
      <c r="R32" s="86" t="b">
        <f t="shared" si="11"/>
        <v>0</v>
      </c>
      <c r="S32" s="86">
        <f t="shared" si="9"/>
        <v>0.5</v>
      </c>
      <c r="T32" s="86">
        <f t="shared" si="12"/>
        <v>0.5</v>
      </c>
      <c r="U32" s="30" t="e">
        <f t="shared" ca="1" si="67"/>
        <v>#DIV/0!</v>
      </c>
      <c r="V32" s="85" t="str">
        <f>IF(B32&lt;=Hypothèses!$V$7,Hypothèses!$W$7,IF(B32&lt;=Hypothèses!$V$8,Hypothèses!$W$8,IF(B32&lt;=Hypothèses!$V$9,Hypothèses!$W$9,IF(B32&lt;=Hypothèses!$V$10,Hypothèses!$W$10,IF(B32&lt;=Hypothèses!$V$11,Hypothèses!$W$11,IF(B32&lt;=Hypothèses!$V$12,Hypothèses!$W$12,IF(B32&lt;=Hypothèses!$V$13,Hypothèses!$W$13,IF(B32&lt;=Hypothèses!$V$14,Hypothèses!$W$14,IF(B32&lt;=Hypothèses!$V$15,Hypothèses!$W$15,IF(B32&lt;=Hypothèses!$V$16,Hypothèses!$W$16,IF(B32&lt;=Hypothèses!$V$17,Hypothèses!$W$17,IF(B32&lt;=Hypothèses!$V$18,Hypothèses!$W$18,""))))))))))))</f>
        <v/>
      </c>
      <c r="W32" s="87" t="e">
        <f t="shared" ca="1" si="116"/>
        <v>#DIV/0!</v>
      </c>
      <c r="X32" s="88" t="str">
        <f>IF(B32&lt;=Hypothèses!$V$7,Hypothèses!$X$7,IF(B32&lt;=Hypothèses!$V$8,Hypothèses!$X$8,IF(B32&lt;=Hypothèses!$V$9,Hypothèses!$X$9,IF(B32&lt;=Hypothèses!$V$10,Hypothèses!$X$10,IF(B32&lt;=Hypothèses!$V$11,Hypothèses!$X$11,IF(B32&lt;=Hypothèses!$V$12,Hypothèses!$X$12,IF(B32&lt;=Hypothèses!$V$13,Hypothèses!$X$13,IF(B32&lt;=Hypothèses!$V$14,Hypothèses!$X$14,IF(B32&lt;=Hypothèses!$V$15,Hypothèses!$X$15,IF(B32&lt;=Hypothèses!$V$16,Hypothèses!$X$16,IF(B32&lt;=Hypothèses!$U$17,Hypothèses!$W$17,IF(B32&lt;=Hypothèses!$U$18,Hypothèses!$W$18,""))))))))))))</f>
        <v/>
      </c>
      <c r="Y32" s="95" t="e">
        <f t="shared" ca="1" si="13"/>
        <v>#DIV/0!</v>
      </c>
      <c r="Z32" s="101">
        <f t="shared" si="14"/>
        <v>0</v>
      </c>
      <c r="AA32" s="91">
        <f t="shared" si="15"/>
        <v>0</v>
      </c>
      <c r="AB32" s="30" t="e">
        <f t="shared" si="100"/>
        <v>#N/A</v>
      </c>
      <c r="AC32" s="30" t="e">
        <f t="shared" si="101"/>
        <v>#N/A</v>
      </c>
      <c r="AD32" s="31" t="e">
        <f>IF(OR(Hypothèses!$B$4=17,Hypothèses!$B$4=18,Hypothèses!$B$4=19,Hypothèses!$B$4=20),
IF($D32="Pressio.",
IF(OR($E32=3,$E32=1,$E32=4),AC32,AB32),
IF($D32="Pénétro.",
IF(OR($E32=3,$E32=1,$E32=4),AC32,AB32))),IF($D32="Pressio.",
IF($E32=3,AC32,AB32),
IF($D32="Pénétro.",
IF($E32=4,AC32,AB32))))</f>
        <v>#N/A</v>
      </c>
      <c r="AE32" s="31">
        <v>0</v>
      </c>
      <c r="AF32" s="102" t="e">
        <f>IF(NDC!$H$10="Oui",(VLOOKUP($B$3,'Coeff EC7'!$T$39:$X$59,2,0)*AD32+VLOOKUP($B$3,'Coeff EC7'!$T$65:$X$85,2,0)*Model0.1T!AE32)/1.5,PI()*AB$12*$Q32*($B32-$B31)*0.15/10+AF31)</f>
        <v>#N/A</v>
      </c>
      <c r="AG32" s="102" t="e">
        <f>(VLOOKUP($B$3,'Coeff EC7'!$T$39:$X$59,3,0)*AD32+VLOOKUP($B$3,'Coeff EC7'!$T$65:$X$85,3,0)*Model0.1T!AE32)/1.1</f>
        <v>#N/A</v>
      </c>
      <c r="AH32" s="102" t="e">
        <f t="shared" si="68"/>
        <v>#N/A</v>
      </c>
      <c r="AI32" s="102" t="e">
        <f t="shared" si="69"/>
        <v>#N/A</v>
      </c>
      <c r="AJ32" s="414" t="e">
        <f>IF(AND(AF32&gt;NDC!$C$63,AG32&gt;NDC!$C$65,AH32&gt;NDC!$D$73,AI32&gt;NDC!$D$74,$B32&gt;NDC!$H$22-0.1+MIN(3*$AJ$12,1.5)),0,1)</f>
        <v>#N/A</v>
      </c>
      <c r="AK32" s="86" t="b">
        <f t="shared" si="18"/>
        <v>0</v>
      </c>
      <c r="AL32" s="86">
        <f t="shared" si="70"/>
        <v>0.5</v>
      </c>
      <c r="AM32" s="86">
        <f t="shared" si="19"/>
        <v>0.5</v>
      </c>
      <c r="AN32" s="30" t="e">
        <f t="shared" ca="1" si="71"/>
        <v>#DIV/0!</v>
      </c>
      <c r="AO32" s="85" t="e">
        <f ca="1">IF(U32&lt;=Hypothèses!$V$7,Hypothèses!$W$7,IF(U32&lt;=Hypothèses!$V$8,Hypothèses!$W$8,IF(U32&lt;=Hypothèses!$V$9,Hypothèses!$W$9,IF(U32&lt;=Hypothèses!$V$10,Hypothèses!$W$10,IF(U32&lt;=Hypothèses!$V$11,Hypothèses!$W$11,IF(U32&lt;=Hypothèses!$V$12,Hypothèses!$W$12,IF(U32&lt;=Hypothèses!$V$13,Hypothèses!$W$13,IF(U32&lt;=Hypothèses!$V$14,Hypothèses!$W$14,IF(U32&lt;=Hypothèses!$V$15,Hypothèses!$W$15,IF(U32&lt;=Hypothèses!$V$16,Hypothèses!$W$16,IF(U32&lt;=Hypothèses!$V$17,Hypothèses!$W$17,IF(U32&lt;=Hypothèses!$V$18,Hypothèses!$W$18,""))))))))))))</f>
        <v>#DIV/0!</v>
      </c>
      <c r="AP32" s="87" t="e">
        <f t="shared" ca="1" si="117"/>
        <v>#DIV/0!</v>
      </c>
      <c r="AQ32" s="88" t="e">
        <f ca="1">IF(U32&lt;=Hypothèses!$V$7,Hypothèses!$X$7,IF(U32&lt;=Hypothèses!$V$8,Hypothèses!$X$8,IF(U32&lt;=Hypothèses!$V$9,Hypothèses!$X$9,IF(U32&lt;=Hypothèses!$V$10,Hypothèses!$X$10,IF(U32&lt;=Hypothèses!$V$11,Hypothèses!$X$11,IF(U32&lt;=Hypothèses!$V$12,Hypothèses!$X$12,IF(U32&lt;=Hypothèses!$V$13,Hypothèses!$X$13,IF(U32&lt;=Hypothèses!$V$14,Hypothèses!$X$14,IF(U32&lt;=Hypothèses!$V$15,Hypothèses!$X$15,IF(U32&lt;=Hypothèses!$V$16,Hypothèses!$X$16,IF(U32&lt;=Hypothèses!$U$17,Hypothèses!$W$17,IF(U32&lt;=Hypothèses!$U$18,Hypothèses!$W$18,""))))))))))))</f>
        <v>#DIV/0!</v>
      </c>
      <c r="AR32" s="95" t="e">
        <f t="shared" ca="1" si="72"/>
        <v>#DIV/0!</v>
      </c>
      <c r="AS32" s="101">
        <f t="shared" si="124"/>
        <v>0</v>
      </c>
      <c r="AT32" s="91">
        <f t="shared" si="21"/>
        <v>0</v>
      </c>
      <c r="AU32" s="30" t="e">
        <f t="shared" si="102"/>
        <v>#N/A</v>
      </c>
      <c r="AV32" s="30" t="e">
        <f t="shared" si="103"/>
        <v>#N/A</v>
      </c>
      <c r="AW32" s="31" t="e">
        <f>IF(OR(Hypothèses!$B$4=17,Hypothèses!$B$4=18,Hypothèses!$B$4=19,Hypothèses!$B$4=20),
IF($D32="Pressio.",
IF(OR($E32=3,$E32=1,$E32=4),AV32,AU32),
IF($D32="Pénétro.",
IF(OR($E32=3,$E32=1,$E32=4),AV32,AU32))),IF($D32="Pressio.",
IF($E32=3,AV32,AU32),
IF($D32="Pénétro.",
IF($E32=4,AV32,AU32))))</f>
        <v>#N/A</v>
      </c>
      <c r="AX32" s="31">
        <v>0</v>
      </c>
      <c r="AY32" s="102" t="e">
        <f>IF(NDC!$H$10="Oui",(VLOOKUP($B$3,'Coeff EC7'!$T$39:$X$59,2,0)*AW32+VLOOKUP($B$3,'Coeff EC7'!$T$65:$X$85,2,0)*Model0.1T!AX32)/1.5,PI()*AU$12*$Q32*($B32-$B31)*0.15/10+AY31)</f>
        <v>#N/A</v>
      </c>
      <c r="AZ32" s="102" t="e">
        <f>(VLOOKUP($B$3,'Coeff EC7'!$T$39:$X$59,3,0)*AW32+VLOOKUP($B$3,'Coeff EC7'!$T$65:$X$85,3,0)*Model0.1T!AX32)/1.1</f>
        <v>#N/A</v>
      </c>
      <c r="BA32" s="102" t="e">
        <f t="shared" si="73"/>
        <v>#N/A</v>
      </c>
      <c r="BB32" s="102" t="e">
        <f t="shared" si="74"/>
        <v>#N/A</v>
      </c>
      <c r="BC32" s="414" t="e">
        <f>IF(AND(AY32&gt;NDC!$C$63,AZ32&gt;NDC!$C$65,BA32&gt;NDC!$D$73,BB32&gt;NDC!$D$74,$B32&gt;NDC!$H$22-0.1+MIN(3*BC$12,1.5)),0,1)</f>
        <v>#N/A</v>
      </c>
      <c r="BD32" s="86" t="b">
        <f t="shared" si="24"/>
        <v>0</v>
      </c>
      <c r="BE32" s="86">
        <f t="shared" si="75"/>
        <v>0.5</v>
      </c>
      <c r="BF32" s="86">
        <f t="shared" si="25"/>
        <v>0.5</v>
      </c>
      <c r="BG32" s="30" t="e">
        <f t="shared" ca="1" si="76"/>
        <v>#DIV/0!</v>
      </c>
      <c r="BH32" s="85" t="e">
        <f ca="1">IF(AN32&lt;=Hypothèses!$V$7,Hypothèses!$W$7,IF(AN32&lt;=Hypothèses!$V$8,Hypothèses!$W$8,IF(AN32&lt;=Hypothèses!$V$9,Hypothèses!$W$9,IF(AN32&lt;=Hypothèses!$V$10,Hypothèses!$W$10,IF(AN32&lt;=Hypothèses!$V$11,Hypothèses!$W$11,IF(AN32&lt;=Hypothèses!$V$12,Hypothèses!$W$12,IF(AN32&lt;=Hypothèses!$V$13,Hypothèses!$W$13,IF(AN32&lt;=Hypothèses!$V$14,Hypothèses!$W$14,IF(AN32&lt;=Hypothèses!$V$15,Hypothèses!$W$15,IF(AN32&lt;=Hypothèses!$V$16,Hypothèses!$W$16,IF(AN32&lt;=Hypothèses!$V$17,Hypothèses!$W$17,IF(AN32&lt;=Hypothèses!$V$18,Hypothèses!$W$18,""))))))))))))</f>
        <v>#DIV/0!</v>
      </c>
      <c r="BI32" s="87" t="e">
        <f t="shared" ca="1" si="118"/>
        <v>#DIV/0!</v>
      </c>
      <c r="BJ32" s="88" t="e">
        <f ca="1">IF(AN32&lt;=Hypothèses!$V$7,Hypothèses!$X$7,IF(AN32&lt;=Hypothèses!$V$8,Hypothèses!$X$8,IF(AN32&lt;=Hypothèses!$V$9,Hypothèses!$X$9,IF(AN32&lt;=Hypothèses!$V$10,Hypothèses!$X$10,IF(AN32&lt;=Hypothèses!$V$11,Hypothèses!$X$11,IF(AN32&lt;=Hypothèses!$V$12,Hypothèses!$X$12,IF(AN32&lt;=Hypothèses!$V$13,Hypothèses!$X$13,IF(AN32&lt;=Hypothèses!$V$14,Hypothèses!$X$14,IF(AN32&lt;=Hypothèses!$V$15,Hypothèses!$X$15,IF(AN32&lt;=Hypothèses!$V$16,Hypothèses!$X$16,IF(AN32&lt;=Hypothèses!$U$17,Hypothèses!$W$17,IF(AN32&lt;=Hypothèses!$U$18,Hypothèses!$W$18,""))))))))))))</f>
        <v>#DIV/0!</v>
      </c>
      <c r="BK32" s="95" t="e">
        <f t="shared" ca="1" si="77"/>
        <v>#DIV/0!</v>
      </c>
      <c r="BL32" s="101">
        <f t="shared" si="125"/>
        <v>0</v>
      </c>
      <c r="BM32" s="91">
        <f t="shared" si="27"/>
        <v>0</v>
      </c>
      <c r="BN32" s="30" t="e">
        <f t="shared" si="104"/>
        <v>#N/A</v>
      </c>
      <c r="BO32" s="30" t="e">
        <f t="shared" si="105"/>
        <v>#N/A</v>
      </c>
      <c r="BP32" s="31" t="e">
        <f>IF(OR(Hypothèses!$B$4=17,Hypothèses!$B$4=18,Hypothèses!$B$4=19,Hypothèses!$B$4=20),
IF($D32="Pressio.",
IF(OR($E32=3,$E32=1,$E32=4),BO32,BN32),
IF($D32="Pénétro.",
IF(OR($E32=3,$E32=1,$E32=4),BO32,BN32))),IF($D32="Pressio.",
IF($E32=3,BO32,BN32),
IF($D32="Pénétro.",
IF($E32=4,BO32,BN32))))</f>
        <v>#N/A</v>
      </c>
      <c r="BQ32" s="31">
        <v>0</v>
      </c>
      <c r="BR32" s="102" t="e">
        <f>IF(NDC!$H$10="Oui",(VLOOKUP($B$3,'Coeff EC7'!$T$39:$X$59,2,0)*BP32+VLOOKUP($B$3,'Coeff EC7'!$T$65:$X$85,2,0)*Model0.1T!BQ32)/1.5,PI()*BN$12*$Q32*($B32-$B31)*0.15/10+BR31)</f>
        <v>#N/A</v>
      </c>
      <c r="BS32" s="102" t="e">
        <f>(VLOOKUP($B$3,'Coeff EC7'!$T$39:$X$59,3,0)*BP32+VLOOKUP($B$3,'Coeff EC7'!$T$65:$X$85,3,0)*Model0.1T!BQ32)/1.1</f>
        <v>#N/A</v>
      </c>
      <c r="BT32" s="102" t="e">
        <f t="shared" si="78"/>
        <v>#N/A</v>
      </c>
      <c r="BU32" s="102" t="e">
        <f t="shared" si="79"/>
        <v>#N/A</v>
      </c>
      <c r="BV32" s="414" t="e">
        <f>IF(AND(BR32&gt;NDC!$C$63,BS32&gt;NDC!$C$65,BT32&gt;NDC!$D$73,BU32&gt;NDC!$D$74,$B32&gt;NDC!$H$22-0.1+MIN(3*BV$12,1.5)),0,1)</f>
        <v>#N/A</v>
      </c>
      <c r="BW32" s="86" t="b">
        <f t="shared" si="30"/>
        <v>0</v>
      </c>
      <c r="BX32" s="86">
        <f t="shared" si="31"/>
        <v>0.5</v>
      </c>
      <c r="BY32" s="86">
        <f t="shared" si="32"/>
        <v>0.5</v>
      </c>
      <c r="BZ32" s="30" t="e">
        <f t="shared" ca="1" si="80"/>
        <v>#DIV/0!</v>
      </c>
      <c r="CA32" s="85" t="e">
        <f ca="1">IF(BG32&lt;=Hypothèses!$V$7,Hypothèses!$W$7,IF(BG32&lt;=Hypothèses!$V$8,Hypothèses!$W$8,IF(BG32&lt;=Hypothèses!$V$9,Hypothèses!$W$9,IF(BG32&lt;=Hypothèses!$V$10,Hypothèses!$W$10,IF(BG32&lt;=Hypothèses!$V$11,Hypothèses!$W$11,IF(BG32&lt;=Hypothèses!$V$12,Hypothèses!$W$12,IF(BG32&lt;=Hypothèses!$V$13,Hypothèses!$W$13,IF(BG32&lt;=Hypothèses!$V$14,Hypothèses!$W$14,IF(BG32&lt;=Hypothèses!$V$15,Hypothèses!$W$15,IF(BG32&lt;=Hypothèses!$V$16,Hypothèses!$W$16,IF(BG32&lt;=Hypothèses!$V$17,Hypothèses!$W$17,IF(BG32&lt;=Hypothèses!$V$18,Hypothèses!$W$18,""))))))))))))</f>
        <v>#DIV/0!</v>
      </c>
      <c r="CB32" s="87" t="e">
        <f t="shared" ca="1" si="119"/>
        <v>#DIV/0!</v>
      </c>
      <c r="CC32" s="88" t="e">
        <f ca="1">IF(BG32&lt;=Hypothèses!$V$7,Hypothèses!$X$7,IF(BG32&lt;=Hypothèses!$V$8,Hypothèses!$X$8,IF(BG32&lt;=Hypothèses!$V$9,Hypothèses!$X$9,IF(BG32&lt;=Hypothèses!$V$10,Hypothèses!$X$10,IF(BG32&lt;=Hypothèses!$V$11,Hypothèses!$X$11,IF(BG32&lt;=Hypothèses!$V$12,Hypothèses!$X$12,IF(BG32&lt;=Hypothèses!$V$13,Hypothèses!$X$13,IF(BG32&lt;=Hypothèses!$V$14,Hypothèses!$X$14,IF(BG32&lt;=Hypothèses!$V$15,Hypothèses!$X$15,IF(BG32&lt;=Hypothèses!$V$16,Hypothèses!$X$16,IF(BG32&lt;=Hypothèses!$U$17,Hypothèses!$W$17,IF(BG32&lt;=Hypothèses!$U$18,Hypothèses!$W$18,""))))))))))))</f>
        <v>#DIV/0!</v>
      </c>
      <c r="CD32" s="95" t="e">
        <f t="shared" ca="1" si="81"/>
        <v>#DIV/0!</v>
      </c>
      <c r="CE32" s="101">
        <f t="shared" si="126"/>
        <v>0</v>
      </c>
      <c r="CF32" s="91">
        <f t="shared" si="34"/>
        <v>0</v>
      </c>
      <c r="CG32" s="30" t="e">
        <f t="shared" si="106"/>
        <v>#N/A</v>
      </c>
      <c r="CH32" s="30" t="e">
        <f t="shared" si="107"/>
        <v>#N/A</v>
      </c>
      <c r="CI32" s="31" t="e">
        <f>IF(OR(Hypothèses!$B$4=17,Hypothèses!$B$4=18,Hypothèses!$B$4=19,Hypothèses!$B$4=20),
IF($D32="Pressio.",
IF(OR($E32=3,$E32=1,$E32=4),CH32,CG32),
IF($D32="Pénétro.",
IF(OR($E32=3,$E32=1,$E32=4),CH32,CG32))),IF($D32="Pressio.",
IF($E32=3,CH32,CG32),
IF($D32="Pénétro.",
IF($E32=4,CH32,CG32))))</f>
        <v>#N/A</v>
      </c>
      <c r="CJ32" s="31">
        <v>0</v>
      </c>
      <c r="CK32" s="102" t="e">
        <f>IF(NDC!$H$10="Oui",(VLOOKUP($B$3,'Coeff EC7'!$T$39:$X$59,2,0)*CI32+VLOOKUP($B$3,'Coeff EC7'!$T$65:$X$85,2,0)*Model0.1T!CJ32)/1.5,PI()*CG$12*$Q32*($B32-$B31)*0.15/10+CK31)</f>
        <v>#N/A</v>
      </c>
      <c r="CL32" s="102" t="e">
        <f>(VLOOKUP($B$3,'Coeff EC7'!$T$39:$X$59,3,0)*CI32+VLOOKUP($B$3,'Coeff EC7'!$T$65:$X$85,3,0)*Model0.1T!CJ32)/1.1</f>
        <v>#N/A</v>
      </c>
      <c r="CM32" s="102" t="e">
        <f t="shared" si="82"/>
        <v>#N/A</v>
      </c>
      <c r="CN32" s="102" t="e">
        <f t="shared" si="83"/>
        <v>#N/A</v>
      </c>
      <c r="CO32" s="414" t="e">
        <f>IF(AND(CK32&gt;NDC!$C$63,CL32&gt;NDC!$C$65,CM32&gt;NDC!$D$73,CN32&gt;NDC!$D$74,$B32&gt;NDC!$H$22-0.1+MIN(3*CO$12,1.5)),0,1)</f>
        <v>#N/A</v>
      </c>
      <c r="CP32" s="86" t="b">
        <f t="shared" si="37"/>
        <v>0</v>
      </c>
      <c r="CQ32" s="86">
        <f t="shared" si="38"/>
        <v>0.5</v>
      </c>
      <c r="CR32" s="86">
        <f t="shared" si="39"/>
        <v>0.5</v>
      </c>
      <c r="CS32" s="30" t="e">
        <f t="shared" ca="1" si="84"/>
        <v>#DIV/0!</v>
      </c>
      <c r="CT32" s="85" t="e">
        <f ca="1">IF(BZ32&lt;=Hypothèses!$V$7,Hypothèses!$W$7,IF(BZ32&lt;=Hypothèses!$V$8,Hypothèses!$W$8,IF(BZ32&lt;=Hypothèses!$V$9,Hypothèses!$W$9,IF(BZ32&lt;=Hypothèses!$V$10,Hypothèses!$W$10,IF(BZ32&lt;=Hypothèses!$V$11,Hypothèses!$W$11,IF(BZ32&lt;=Hypothèses!$V$12,Hypothèses!$W$12,IF(BZ32&lt;=Hypothèses!$V$13,Hypothèses!$W$13,IF(BZ32&lt;=Hypothèses!$V$14,Hypothèses!$W$14,IF(BZ32&lt;=Hypothèses!$V$15,Hypothèses!$W$15,IF(BZ32&lt;=Hypothèses!$V$16,Hypothèses!$W$16,IF(BZ32&lt;=Hypothèses!$V$17,Hypothèses!$W$17,IF(BZ32&lt;=Hypothèses!$V$18,Hypothèses!$W$18,""))))))))))))</f>
        <v>#DIV/0!</v>
      </c>
      <c r="CU32" s="87" t="e">
        <f t="shared" ca="1" si="120"/>
        <v>#DIV/0!</v>
      </c>
      <c r="CV32" s="88" t="e">
        <f ca="1">IF(BZ32&lt;=Hypothèses!$V$7,Hypothèses!$X$7,IF(BZ32&lt;=Hypothèses!$V$8,Hypothèses!$X$8,IF(BZ32&lt;=Hypothèses!$V$9,Hypothèses!$X$9,IF(BZ32&lt;=Hypothèses!$V$10,Hypothèses!$X$10,IF(BZ32&lt;=Hypothèses!$V$11,Hypothèses!$X$11,IF(BZ32&lt;=Hypothèses!$V$12,Hypothèses!$X$12,IF(BZ32&lt;=Hypothèses!$V$13,Hypothèses!$X$13,IF(BZ32&lt;=Hypothèses!$V$14,Hypothèses!$X$14,IF(BZ32&lt;=Hypothèses!$V$15,Hypothèses!$X$15,IF(BZ32&lt;=Hypothèses!$V$16,Hypothèses!$X$16,IF(BZ32&lt;=Hypothèses!$U$17,Hypothèses!$W$17,IF(BZ32&lt;=Hypothèses!$U$18,Hypothèses!$W$18,""))))))))))))</f>
        <v>#DIV/0!</v>
      </c>
      <c r="CW32" s="95" t="e">
        <f t="shared" ca="1" si="85"/>
        <v>#DIV/0!</v>
      </c>
      <c r="CX32" s="101">
        <f t="shared" si="127"/>
        <v>0</v>
      </c>
      <c r="CY32" s="91">
        <f t="shared" si="41"/>
        <v>0</v>
      </c>
      <c r="CZ32" s="30" t="e">
        <f t="shared" si="108"/>
        <v>#N/A</v>
      </c>
      <c r="DA32" s="30" t="e">
        <f t="shared" si="109"/>
        <v>#N/A</v>
      </c>
      <c r="DB32" s="31" t="e">
        <f>IF(OR(Hypothèses!$B$4=17,Hypothèses!$B$4=18,Hypothèses!$B$4=19,Hypothèses!$B$4=20),
IF($D32="Pressio.",
IF(OR($E32=3,$E32=1,$E32=4),DA32,CZ32),
IF($D32="Pénétro.",
IF(OR($E32=3,$E32=1,$E32=4),DA32,CZ32))),IF($D32="Pressio.",
IF($E32=3,DA32,CZ32),
IF($D32="Pénétro.",
IF($E32=4,DA32,CZ32))))</f>
        <v>#N/A</v>
      </c>
      <c r="DC32" s="31">
        <v>0</v>
      </c>
      <c r="DD32" s="102" t="e">
        <f>IF(NDC!$H$10="Oui",(VLOOKUP($B$3,'Coeff EC7'!$T$39:$X$59,2,0)*DB32+VLOOKUP($B$3,'Coeff EC7'!$T$65:$X$85,2,0)*Model0.1T!DC32)/1.5,PI()*CZ$12*$Q32*($B32-$B31)*0.15/10+DD31)</f>
        <v>#N/A</v>
      </c>
      <c r="DE32" s="102" t="e">
        <f>(VLOOKUP($B$3,'Coeff EC7'!$T$39:$X$59,3,0)*DB32+VLOOKUP($B$3,'Coeff EC7'!$T$65:$X$85,3,0)*Model0.1T!DC32)/1.1</f>
        <v>#N/A</v>
      </c>
      <c r="DF32" s="102" t="e">
        <f t="shared" si="86"/>
        <v>#N/A</v>
      </c>
      <c r="DG32" s="102" t="e">
        <f t="shared" si="87"/>
        <v>#N/A</v>
      </c>
      <c r="DH32" s="414" t="e">
        <f>IF(AND(DD32&gt;NDC!$C$63,DE32&gt;NDC!$C$65,DF32&gt;NDC!$D$73,DG32&gt;NDC!$D$74,$B32&gt;NDC!$H$22-0.1+MIN(3*DH$12,1.5)),0,1)</f>
        <v>#N/A</v>
      </c>
      <c r="DI32" s="86" t="b">
        <f t="shared" si="44"/>
        <v>0</v>
      </c>
      <c r="DJ32" s="86">
        <f t="shared" si="45"/>
        <v>0.5</v>
      </c>
      <c r="DK32" s="86">
        <f t="shared" si="46"/>
        <v>0.5</v>
      </c>
      <c r="DL32" s="30" t="e">
        <f t="shared" ca="1" si="88"/>
        <v>#DIV/0!</v>
      </c>
      <c r="DM32" s="85" t="e">
        <f ca="1">IF(CS32&lt;=Hypothèses!$V$7,Hypothèses!$W$7,IF(CS32&lt;=Hypothèses!$V$8,Hypothèses!$W$8,IF(CS32&lt;=Hypothèses!$V$9,Hypothèses!$W$9,IF(CS32&lt;=Hypothèses!$V$10,Hypothèses!$W$10,IF(CS32&lt;=Hypothèses!$V$11,Hypothèses!$W$11,IF(CS32&lt;=Hypothèses!$V$12,Hypothèses!$W$12,IF(CS32&lt;=Hypothèses!$V$13,Hypothèses!$W$13,IF(CS32&lt;=Hypothèses!$V$14,Hypothèses!$W$14,IF(CS32&lt;=Hypothèses!$V$15,Hypothèses!$W$15,IF(CS32&lt;=Hypothèses!$V$16,Hypothèses!$W$16,IF(CS32&lt;=Hypothèses!$V$17,Hypothèses!$W$17,IF(CS32&lt;=Hypothèses!$V$18,Hypothèses!$W$18,""))))))))))))</f>
        <v>#DIV/0!</v>
      </c>
      <c r="DN32" s="87" t="e">
        <f t="shared" ca="1" si="121"/>
        <v>#DIV/0!</v>
      </c>
      <c r="DO32" s="88" t="e">
        <f ca="1">IF(CS32&lt;=Hypothèses!$V$7,Hypothèses!$X$7,IF(CS32&lt;=Hypothèses!$V$8,Hypothèses!$X$8,IF(CS32&lt;=Hypothèses!$V$9,Hypothèses!$X$9,IF(CS32&lt;=Hypothèses!$V$10,Hypothèses!$X$10,IF(CS32&lt;=Hypothèses!$V$11,Hypothèses!$X$11,IF(CS32&lt;=Hypothèses!$V$12,Hypothèses!$X$12,IF(CS32&lt;=Hypothèses!$V$13,Hypothèses!$X$13,IF(CS32&lt;=Hypothèses!$V$14,Hypothèses!$X$14,IF(CS32&lt;=Hypothèses!$V$15,Hypothèses!$X$15,IF(CS32&lt;=Hypothèses!$V$16,Hypothèses!$X$16,IF(CS32&lt;=Hypothèses!$U$17,Hypothèses!$W$17,IF(CS32&lt;=Hypothèses!$U$18,Hypothèses!$W$18,""))))))))))))</f>
        <v>#DIV/0!</v>
      </c>
      <c r="DP32" s="95" t="e">
        <f t="shared" ca="1" si="89"/>
        <v>#DIV/0!</v>
      </c>
      <c r="DQ32" s="101">
        <f t="shared" si="128"/>
        <v>0</v>
      </c>
      <c r="DR32" s="91">
        <f t="shared" si="48"/>
        <v>0</v>
      </c>
      <c r="DS32" s="30" t="e">
        <f t="shared" si="110"/>
        <v>#N/A</v>
      </c>
      <c r="DT32" s="30" t="e">
        <f t="shared" si="111"/>
        <v>#N/A</v>
      </c>
      <c r="DU32" s="31" t="e">
        <f>IF(OR(Hypothèses!$B$4=17,Hypothèses!$B$4=18,Hypothèses!$B$4=19,Hypothèses!$B$4=20),
IF($D32="Pressio.",
IF(OR($E32=3,$E32=1,$E32=4),DT32,DS32),
IF($D32="Pénétro.",
IF(OR($E32=3,$E32=1,$E32=4),DT32,DS32))),IF($D32="Pressio.",
IF($E32=3,DT32,DS32),
IF($D32="Pénétro.",
IF($E32=4,DT32,DS32))))</f>
        <v>#N/A</v>
      </c>
      <c r="DV32" s="31">
        <v>0</v>
      </c>
      <c r="DW32" s="102" t="e">
        <f>IF(NDC!$H$10="Oui",(VLOOKUP($B$3,'Coeff EC7'!$T$39:$X$59,2,0)*DU32+VLOOKUP($B$3,'Coeff EC7'!$T$65:$X$85,2,0)*Model0.1T!DV32)/1.5,PI()*DS$12*$Q32*($B32-$B31)*0.15/10+DW31)</f>
        <v>#N/A</v>
      </c>
      <c r="DX32" s="102" t="e">
        <f>(VLOOKUP($B$3,'Coeff EC7'!$T$39:$X$59,3,0)*DU32+VLOOKUP($B$3,'Coeff EC7'!$T$65:$X$85,3,0)*Model0.1T!DV32)/1.1</f>
        <v>#N/A</v>
      </c>
      <c r="DY32" s="102" t="e">
        <f t="shared" si="90"/>
        <v>#N/A</v>
      </c>
      <c r="DZ32" s="102" t="e">
        <f t="shared" si="91"/>
        <v>#N/A</v>
      </c>
      <c r="EA32" s="414" t="e">
        <f>IF(AND(DW32&gt;NDC!$C$63,DX32&gt;NDC!$C$65,DY32&gt;NDC!$D$73,DZ32&gt;NDC!$D$74,$B32&gt;NDC!$H$22-0.1+MIN(3*EA$12,1.5)),0,1)</f>
        <v>#N/A</v>
      </c>
      <c r="EB32" s="86" t="b">
        <f t="shared" si="51"/>
        <v>0</v>
      </c>
      <c r="EC32" s="418">
        <f t="shared" si="52"/>
        <v>0.51</v>
      </c>
      <c r="ED32" s="86">
        <f t="shared" si="53"/>
        <v>0.51</v>
      </c>
      <c r="EE32" s="30" t="e">
        <f t="shared" ca="1" si="92"/>
        <v>#DIV/0!</v>
      </c>
      <c r="EF32" s="85" t="e">
        <f ca="1">IF(DL32&lt;=Hypothèses!$V$7,Hypothèses!$W$7,IF(DL32&lt;=Hypothèses!$V$8,Hypothèses!$W$8,IF(DL32&lt;=Hypothèses!$V$9,Hypothèses!$W$9,IF(DL32&lt;=Hypothèses!$V$10,Hypothèses!$W$10,IF(DL32&lt;=Hypothèses!$V$11,Hypothèses!$W$11,IF(DL32&lt;=Hypothèses!$V$12,Hypothèses!$W$12,IF(DL32&lt;=Hypothèses!$V$13,Hypothèses!$W$13,IF(DL32&lt;=Hypothèses!$V$14,Hypothèses!$W$14,IF(DL32&lt;=Hypothèses!$V$15,Hypothèses!$W$15,IF(DL32&lt;=Hypothèses!$V$16,Hypothèses!$W$16,IF(DL32&lt;=Hypothèses!$V$17,Hypothèses!$W$17,IF(DL32&lt;=Hypothèses!$V$18,Hypothèses!$W$18,""))))))))))))</f>
        <v>#DIV/0!</v>
      </c>
      <c r="EG32" s="87" t="e">
        <f t="shared" ca="1" si="122"/>
        <v>#DIV/0!</v>
      </c>
      <c r="EH32" s="88" t="e">
        <f ca="1">IF(DL32&lt;=Hypothèses!$V$7,Hypothèses!$X$7,IF(DL32&lt;=Hypothèses!$V$8,Hypothèses!$X$8,IF(DL32&lt;=Hypothèses!$V$9,Hypothèses!$X$9,IF(DL32&lt;=Hypothèses!$V$10,Hypothèses!$X$10,IF(DL32&lt;=Hypothèses!$V$11,Hypothèses!$X$11,IF(DL32&lt;=Hypothèses!$V$12,Hypothèses!$X$12,IF(DL32&lt;=Hypothèses!$V$13,Hypothèses!$X$13,IF(DL32&lt;=Hypothèses!$V$14,Hypothèses!$X$14,IF(DL32&lt;=Hypothèses!$V$15,Hypothèses!$X$15,IF(DL32&lt;=Hypothèses!$V$16,Hypothèses!$X$16,IF(DL32&lt;=Hypothèses!$U$17,Hypothèses!$W$17,IF(DL32&lt;=Hypothèses!$U$18,Hypothèses!$W$18,""))))))))))))</f>
        <v>#DIV/0!</v>
      </c>
      <c r="EI32" s="95" t="e">
        <f t="shared" ca="1" si="93"/>
        <v>#DIV/0!</v>
      </c>
      <c r="EJ32" s="101">
        <f t="shared" si="129"/>
        <v>0</v>
      </c>
      <c r="EK32" s="91">
        <f t="shared" si="55"/>
        <v>0</v>
      </c>
      <c r="EL32" s="30" t="e">
        <f t="shared" si="112"/>
        <v>#N/A</v>
      </c>
      <c r="EM32" s="30" t="e">
        <f t="shared" si="113"/>
        <v>#N/A</v>
      </c>
      <c r="EN32" s="31" t="e">
        <f>IF(OR(Hypothèses!$B$4=17,Hypothèses!$B$4=18,Hypothèses!$B$4=19,Hypothèses!$B$4=20),
IF($D32="Pressio.",
IF(OR($E32=3,$E32=1,$E32=4),EM32,EL32),
IF($D32="Pénétro.",
IF(OR($E32=3,$E32=1,$E32=4),EM32,EL32))),IF($D32="Pressio.",
IF($E32=3,EM32,EL32),
IF($D32="Pénétro.",
IF($E32=4,EM32,EL32))))</f>
        <v>#N/A</v>
      </c>
      <c r="EO32" s="31">
        <v>0</v>
      </c>
      <c r="EP32" s="102" t="e">
        <f>IF(NDC!$H$10="Oui",(VLOOKUP($B$3,'Coeff EC7'!$T$39:$X$59,2,0)*EN32+VLOOKUP($B$3,'Coeff EC7'!$T$65:$X$85,2,0)*Model0.1T!EO32)/1.5,PI()*EL$12*$Q32*($B32-$B31)*0.15/10+EP31)</f>
        <v>#N/A</v>
      </c>
      <c r="EQ32" s="102" t="e">
        <f>(VLOOKUP($B$3,'Coeff EC7'!$T$39:$X$59,3,0)*EN32+VLOOKUP($B$3,'Coeff EC7'!$T$65:$X$85,3,0)*Model0.1T!EO32)/1.1</f>
        <v>#N/A</v>
      </c>
      <c r="ER32" s="102" t="e">
        <f t="shared" si="94"/>
        <v>#N/A</v>
      </c>
      <c r="ES32" s="102" t="e">
        <f t="shared" si="95"/>
        <v>#N/A</v>
      </c>
      <c r="ET32" s="414" t="e">
        <f>IF(AND(EP32&gt;NDC!$C$63,EQ32&gt;NDC!$C$65,ER32&gt;NDC!$D$73,ES32&gt;NDC!$D$74,$B32&gt;NDC!$H$22-0.1+MIN(3*ET$12,1.5)),0,1)</f>
        <v>#N/A</v>
      </c>
      <c r="EU32" s="86" t="b">
        <f t="shared" si="58"/>
        <v>0</v>
      </c>
      <c r="EV32" s="86">
        <f t="shared" si="59"/>
        <v>0.61</v>
      </c>
      <c r="EW32" s="86">
        <f t="shared" si="60"/>
        <v>0.61</v>
      </c>
      <c r="EX32" s="30" t="e">
        <f t="shared" ca="1" si="96"/>
        <v>#DIV/0!</v>
      </c>
      <c r="EY32" s="85" t="e">
        <f ca="1">IF(EE32&lt;=Hypothèses!$V$7,Hypothèses!$W$7,IF(EE32&lt;=Hypothèses!$V$8,Hypothèses!$W$8,IF(EE32&lt;=Hypothèses!$V$9,Hypothèses!$W$9,IF(EE32&lt;=Hypothèses!$V$10,Hypothèses!$W$10,IF(EE32&lt;=Hypothèses!$V$11,Hypothèses!$W$11,IF(EE32&lt;=Hypothèses!$V$12,Hypothèses!$W$12,IF(EE32&lt;=Hypothèses!$V$13,Hypothèses!$W$13,IF(EE32&lt;=Hypothèses!$V$14,Hypothèses!$W$14,IF(EE32&lt;=Hypothèses!$V$15,Hypothèses!$W$15,IF(EE32&lt;=Hypothèses!$V$16,Hypothèses!$W$16,IF(EE32&lt;=Hypothèses!$V$17,Hypothèses!$W$17,IF(EE32&lt;=Hypothèses!$V$18,Hypothèses!$W$18,""))))))))))))</f>
        <v>#DIV/0!</v>
      </c>
      <c r="EZ32" s="87" t="e">
        <f t="shared" ca="1" si="123"/>
        <v>#DIV/0!</v>
      </c>
      <c r="FA32" s="88" t="e">
        <f ca="1">IF(EE32&lt;=Hypothèses!$V$7,Hypothèses!$X$7,IF(EE32&lt;=Hypothèses!$V$8,Hypothèses!$X$8,IF(EE32&lt;=Hypothèses!$V$9,Hypothèses!$X$9,IF(EE32&lt;=Hypothèses!$V$10,Hypothèses!$X$10,IF(EE32&lt;=Hypothèses!$V$11,Hypothèses!$X$11,IF(EE32&lt;=Hypothèses!$V$12,Hypothèses!$X$12,IF(EE32&lt;=Hypothèses!$V$13,Hypothèses!$X$13,IF(EE32&lt;=Hypothèses!$V$14,Hypothèses!$X$14,IF(EE32&lt;=Hypothèses!$V$15,Hypothèses!$X$15,IF(EE32&lt;=Hypothèses!$V$16,Hypothèses!$X$16,IF(EE32&lt;=Hypothèses!$U$17,Hypothèses!$W$17,IF(EE32&lt;=Hypothèses!$U$18,Hypothèses!$W$18,""))))))))))))</f>
        <v>#DIV/0!</v>
      </c>
      <c r="FB32" s="95" t="e">
        <f t="shared" ca="1" si="97"/>
        <v>#DIV/0!</v>
      </c>
      <c r="FC32" s="101">
        <f t="shared" si="130"/>
        <v>0</v>
      </c>
      <c r="FD32" s="91">
        <f t="shared" si="62"/>
        <v>0</v>
      </c>
      <c r="FE32" s="30" t="e">
        <f t="shared" si="114"/>
        <v>#N/A</v>
      </c>
      <c r="FF32" s="30" t="e">
        <f t="shared" si="115"/>
        <v>#N/A</v>
      </c>
      <c r="FG32" s="31" t="e">
        <f>IF(OR(Hypothèses!$B$4=17,Hypothèses!$B$4=18,Hypothèses!$B$4=19,Hypothèses!$B$4=20),
IF($D32="Pressio.",
IF(OR($E32=3,$E32=1,$E32=4),FF32,FE32),
IF($D32="Pénétro.",
IF(OR($E32=3,$E32=1,$E32=4),FF32,FE32))),IF($D32="Pressio.",
IF($E32=3,FF32,FE32),
IF($D32="Pénétro.",
IF($E32=4,FF32,FE32))))</f>
        <v>#N/A</v>
      </c>
      <c r="FH32" s="31">
        <v>0</v>
      </c>
      <c r="FI32" s="102" t="e">
        <f>IF(NDC!$H$10="Oui",(VLOOKUP($B$3,'Coeff EC7'!$T$39:$X$59,2,0)*FG32+VLOOKUP($B$3,'Coeff EC7'!$T$65:$X$85,2,0)*Model0.1T!FH32)/1.5,PI()*FE$12*$Q32*($B32-$B31)*0.15/10+FI31)</f>
        <v>#N/A</v>
      </c>
      <c r="FJ32" s="102" t="e">
        <f>(VLOOKUP($B$3,'Coeff EC7'!$T$39:$X$59,3,0)*FG32+VLOOKUP($B$3,'Coeff EC7'!$T$65:$X$85,3,0)*Model0.1T!FH32)/1.1</f>
        <v>#N/A</v>
      </c>
      <c r="FK32" s="102" t="e">
        <f t="shared" si="98"/>
        <v>#N/A</v>
      </c>
      <c r="FL32" s="102" t="e">
        <f t="shared" si="99"/>
        <v>#N/A</v>
      </c>
      <c r="FM32" s="414" t="e">
        <f>IF(AND(FI32&gt;NDC!$C$63,FJ32&gt;NDC!$C$65,FK32&gt;NDC!$D$73,FL32&gt;NDC!$D$74,$B32&gt;NDC!$H$22-0.1+MIN(3*FM$12,1.5)),0,1)</f>
        <v>#N/A</v>
      </c>
    </row>
    <row r="33" spans="1:169">
      <c r="A33" s="96">
        <f t="shared" si="65"/>
        <v>98.000000000000114</v>
      </c>
      <c r="B33" s="97">
        <v>2</v>
      </c>
      <c r="C33" s="81">
        <f>IF(B33&lt;=Hypothèses!$C$7,Hypothèses!$A$7,IF(B33&lt;=Hypothèses!$C$8,Hypothèses!$A$8,IF(B33&lt;=Hypothèses!$C$9,Hypothèses!$A$9,IF(B33&lt;=Hypothèses!$C$10,Hypothèses!$A$10,IF(B33&lt;=Hypothèses!$C$11,Hypothèses!$A$11,IF(B33&lt;=Hypothèses!$C$12,Hypothèses!$A$12,IF(B33&lt;=Hypothèses!$C$13,Hypothèses!$A$13,IF(B33&lt;=Hypothèses!$C$14,Hypothèses!$A$14,IF(B33&lt;=Hypothèses!$C$15,Hypothèses!$A$15,IF(B33&lt;=Hypothèses!$C$16,Hypothèses!$A$16,IF(B33&lt;=Hypothèses!$C$17,Hypothèses!$A$17,IF(B33&lt;=Hypothèses!$C$18,Hypothèses!$A$18,C32))))))))))))</f>
        <v>11</v>
      </c>
      <c r="D33" s="82" t="str">
        <f>IF(B33&lt;=Hypothèses!$C$7,Hypothèses!$R$7,IF(B33&lt;=Hypothèses!$C$8,Hypothèses!$R$8,IF(B33&lt;=Hypothèses!$C$9,Hypothèses!$R$9,IF(B33&lt;=Hypothèses!$C$10,Hypothèses!$R$10,IF(B33&lt;=Hypothèses!$C$11,Hypothèses!$R$11,IF(B33&lt;=Hypothèses!$C$12,Hypothèses!$R$12,IF(B33&lt;=Hypothèses!$C$13,Hypothèses!$R$13,IF(B33&lt;=Hypothèses!$C$14,Hypothèses!$R$14,IF(B33&lt;=Hypothèses!$C$15,Hypothèses!$R$15,IF(B33&lt;=Hypothèses!$C$16,Hypothèses!$R$16,IF(B33&lt;=Hypothèses!$C$17,Hypothèses!$R$17,IF(B33&lt;=Hypothèses!$C$18,Hypothèses!$R$18,D32))))))))))))</f>
        <v>Pressio.</v>
      </c>
      <c r="E33" s="82" t="e">
        <f>IF(B33&lt;=Hypothèses!$C$7,Hypothèses!$G$7,IF(B33&lt;=Hypothèses!$C$8,Hypothèses!$G$8,IF(B33&lt;=Hypothèses!$C$9,Hypothèses!$G$9,IF(B33&lt;=Hypothèses!$C$10,Hypothèses!$G$10,IF(B33&lt;=Hypothèses!$C$11,Hypothèses!$G$11,IF(B33&lt;=Hypothèses!$C$12,Hypothèses!$G$12,IF(B33&lt;=Hypothèses!$C$13,Hypothèses!$G$13,IF(B33&lt;=Hypothèses!$C$14,Hypothèses!$G$14,IF(B33&lt;=Hypothèses!$C$15,Hypothèses!$G$15,IF(B33&lt;=Hypothèses!$C$16,Hypothèses!$G$16,IF(B33&lt;=Hypothèses!$C$17,Hypothèses!$G$17,IF(B33&lt;=Hypothèses!$C$18,Hypothèses!$G$18,E32))))))))))))</f>
        <v>#N/A</v>
      </c>
      <c r="F33" s="82" t="str">
        <f>IF(B33&lt;=Hypothèses!$C$7,Hypothèses!$F$7,IF(B33&lt;=Hypothèses!$C$8,Hypothèses!$F$8,IF(B33&lt;=Hypothèses!$C$9,Hypothèses!$F$9,IF(B33&lt;=Hypothèses!$C$10,Hypothèses!$F$10,IF(B33&lt;=Hypothèses!$C$11,Hypothèses!$F$11,IF(B33&lt;=Hypothèses!$C$12,Hypothèses!$F$12,IF(B33&lt;=Hypothèses!$C$13,Hypothèses!$F$13,IF(B33&lt;=Hypothèses!$C$14,Hypothèses!$F$14,IF(B33&lt;=Hypothèses!$C$15,Hypothèses!$F$15,IF(B33&lt;=Hypothèses!$C$16,Hypothèses!$F$16,IF(B33&lt;=Hypothèses!$C$17,Hypothèses!$F$17,IF(B33&lt;=Hypothèses!$C$18,Hypothèses!$F$18,F32))))))))))))</f>
        <v/>
      </c>
      <c r="G33" s="91">
        <f t="array" ref="G33">INDEX('Coeff EC7'!$U$7:$X$27,
MATCH(Model0.1T!$B$3,'Coeff EC7'!$T$7:$T$27,0),
MATCH(Model0.1T!$D33&amp;Model0.1T!$B$4,
'Coeff EC7'!$U$6:$X$6&amp;
'Coeff EC7'!$U$5:$X$5,0))</f>
        <v>1.4</v>
      </c>
      <c r="H33" s="91">
        <f t="array" ref="H33">INDEX('Coeff EC7'!$Y$7:$AB$27,
MATCH(Model0.1T!$B$3,'Coeff EC7'!$T$7:$T$27,0),
MATCH(Model0.1T!$D33&amp;Model0.1T!$B$4,
'Coeff EC7'!$Y$6:$AB$6&amp;
'Coeff EC7'!$Y$5:$AB$5,0))</f>
        <v>1.7</v>
      </c>
      <c r="I33" s="83">
        <v>0</v>
      </c>
      <c r="J33" s="91" t="e">
        <f t="array" ref="J33">INDEX('Coeff EC7'!$D$33:$Q$33,1,MATCH(D33&amp;E33,'Coeff EC7'!$D$31:$Q$31&amp;'Coeff EC7'!$D$32:$Q$32,0))</f>
        <v>#N/A</v>
      </c>
      <c r="K33" s="91" t="e">
        <f t="array" ref="K33">INDEX('Coeff EC7'!$D$34:$Q$34,1,MATCH(D33&amp;E33,'Coeff EC7'!$D$31:$Q$31&amp;'Coeff EC7'!$D$32:$Q$32,0))</f>
        <v>#N/A</v>
      </c>
      <c r="L33" s="91" t="e">
        <f t="array" ref="L33">INDEX('Coeff EC7'!$D$35:$Q$35,1,MATCH(D33&amp;E33,'Coeff EC7'!$D$31:$Q$31&amp;'Coeff EC7'!$D$32:$Q$32,0))</f>
        <v>#N/A</v>
      </c>
      <c r="M33" s="98" t="e">
        <f t="shared" si="8"/>
        <v>#N/A</v>
      </c>
      <c r="N33" s="99" t="e">
        <f t="array" ref="N33">INDEX('Coeff EC7'!$D$7:$Q$27,MATCH($B$3,'Coeff EC7'!$C$7:$C$27,0),MATCH(D33&amp;E33,'Coeff EC7'!$D$5:$Q$5&amp;'Coeff EC7'!$D$6:$Q$6,0))</f>
        <v>#N/A</v>
      </c>
      <c r="O33" s="99" t="e">
        <f t="array" ref="O33">INDEX('Coeff EC7'!$D$41:$Q$61,MATCH($B$3,'Coeff EC7'!$C$41:$C$61,0),MATCH(D33&amp;E33,'Coeff EC7'!$D$39:$Q$39&amp;'Coeff EC7'!$D$40:$Q$40,0))</f>
        <v>#N/A</v>
      </c>
      <c r="P33" s="30" t="e">
        <f t="shared" si="66"/>
        <v>#N/A</v>
      </c>
      <c r="Q33" s="100" t="e">
        <f t="shared" si="10"/>
        <v>#N/A</v>
      </c>
      <c r="R33" s="86" t="b">
        <f t="shared" si="11"/>
        <v>0</v>
      </c>
      <c r="S33" s="86">
        <f t="shared" si="9"/>
        <v>0.5</v>
      </c>
      <c r="T33" s="86">
        <f t="shared" si="12"/>
        <v>0.5</v>
      </c>
      <c r="U33" s="30" t="e">
        <f t="shared" ca="1" si="67"/>
        <v>#DIV/0!</v>
      </c>
      <c r="V33" s="85" t="str">
        <f>IF(B33&lt;=Hypothèses!$V$7,Hypothèses!$W$7,IF(B33&lt;=Hypothèses!$V$8,Hypothèses!$W$8,IF(B33&lt;=Hypothèses!$V$9,Hypothèses!$W$9,IF(B33&lt;=Hypothèses!$V$10,Hypothèses!$W$10,IF(B33&lt;=Hypothèses!$V$11,Hypothèses!$W$11,IF(B33&lt;=Hypothèses!$V$12,Hypothèses!$W$12,IF(B33&lt;=Hypothèses!$V$13,Hypothèses!$W$13,IF(B33&lt;=Hypothèses!$V$14,Hypothèses!$W$14,IF(B33&lt;=Hypothèses!$V$15,Hypothèses!$W$15,IF(B33&lt;=Hypothèses!$V$16,Hypothèses!$W$16,IF(B33&lt;=Hypothèses!$V$17,Hypothèses!$W$17,IF(B33&lt;=Hypothèses!$V$18,Hypothèses!$W$18,""))))))))))))</f>
        <v/>
      </c>
      <c r="W33" s="87" t="e">
        <f t="shared" ca="1" si="116"/>
        <v>#DIV/0!</v>
      </c>
      <c r="X33" s="88" t="str">
        <f>IF(B33&lt;=Hypothèses!$V$7,Hypothèses!$X$7,IF(B33&lt;=Hypothèses!$V$8,Hypothèses!$X$8,IF(B33&lt;=Hypothèses!$V$9,Hypothèses!$X$9,IF(B33&lt;=Hypothèses!$V$10,Hypothèses!$X$10,IF(B33&lt;=Hypothèses!$V$11,Hypothèses!$X$11,IF(B33&lt;=Hypothèses!$V$12,Hypothèses!$X$12,IF(B33&lt;=Hypothèses!$V$13,Hypothèses!$X$13,IF(B33&lt;=Hypothèses!$V$14,Hypothèses!$X$14,IF(B33&lt;=Hypothèses!$V$15,Hypothèses!$X$15,IF(B33&lt;=Hypothèses!$V$16,Hypothèses!$X$16,IF(B33&lt;=Hypothèses!$U$17,Hypothèses!$W$17,IF(B33&lt;=Hypothèses!$U$18,Hypothèses!$W$18,""))))))))))))</f>
        <v/>
      </c>
      <c r="Y33" s="95" t="e">
        <f t="shared" ca="1" si="13"/>
        <v>#DIV/0!</v>
      </c>
      <c r="Z33" s="101">
        <f t="shared" si="14"/>
        <v>0</v>
      </c>
      <c r="AA33" s="91">
        <f t="shared" si="15"/>
        <v>0</v>
      </c>
      <c r="AB33" s="30" t="e">
        <f t="shared" si="100"/>
        <v>#N/A</v>
      </c>
      <c r="AC33" s="30" t="e">
        <f t="shared" si="101"/>
        <v>#N/A</v>
      </c>
      <c r="AD33" s="31" t="e">
        <f>IF(OR(Hypothèses!$B$4=17,Hypothèses!$B$4=18,Hypothèses!$B$4=19,Hypothèses!$B$4=20),
IF($D33="Pressio.",
IF(OR($E33=3,$E33=1,$E33=4),AC33,AB33),
IF($D33="Pénétro.",
IF(OR($E33=3,$E33=1,$E33=4),AC33,AB33))),IF($D33="Pressio.",
IF($E33=3,AC33,AB33),
IF($D33="Pénétro.",
IF($E33=4,AC33,AB33))))</f>
        <v>#N/A</v>
      </c>
      <c r="AE33" s="31">
        <v>0</v>
      </c>
      <c r="AF33" s="102" t="e">
        <f>IF(NDC!$H$10="Oui",(VLOOKUP($B$3,'Coeff EC7'!$T$39:$X$59,2,0)*AD33+VLOOKUP($B$3,'Coeff EC7'!$T$65:$X$85,2,0)*Model0.1T!AE33)/1.5,PI()*AB$12*$Q33*($B33-$B32)*0.15/10+AF32)</f>
        <v>#N/A</v>
      </c>
      <c r="AG33" s="102" t="e">
        <f>(VLOOKUP($B$3,'Coeff EC7'!$T$39:$X$59,3,0)*AD33+VLOOKUP($B$3,'Coeff EC7'!$T$65:$X$85,3,0)*Model0.1T!AE33)/1.1</f>
        <v>#N/A</v>
      </c>
      <c r="AH33" s="102" t="e">
        <f t="shared" si="68"/>
        <v>#N/A</v>
      </c>
      <c r="AI33" s="102" t="e">
        <f t="shared" si="69"/>
        <v>#N/A</v>
      </c>
      <c r="AJ33" s="414" t="e">
        <f>IF(AND(AF33&gt;NDC!$C$63,AG33&gt;NDC!$C$65,AH33&gt;NDC!$D$73,AI33&gt;NDC!$D$74,$B33&gt;NDC!$H$22-0.1+MIN(3*$AJ$12,1.5)),0,1)</f>
        <v>#N/A</v>
      </c>
      <c r="AK33" s="86" t="b">
        <f t="shared" si="18"/>
        <v>0</v>
      </c>
      <c r="AL33" s="86">
        <f t="shared" si="70"/>
        <v>0.5</v>
      </c>
      <c r="AM33" s="86">
        <f t="shared" si="19"/>
        <v>0.5</v>
      </c>
      <c r="AN33" s="30" t="e">
        <f t="shared" ca="1" si="71"/>
        <v>#DIV/0!</v>
      </c>
      <c r="AO33" s="85" t="e">
        <f ca="1">IF(U33&lt;=Hypothèses!$V$7,Hypothèses!$W$7,IF(U33&lt;=Hypothèses!$V$8,Hypothèses!$W$8,IF(U33&lt;=Hypothèses!$V$9,Hypothèses!$W$9,IF(U33&lt;=Hypothèses!$V$10,Hypothèses!$W$10,IF(U33&lt;=Hypothèses!$V$11,Hypothèses!$W$11,IF(U33&lt;=Hypothèses!$V$12,Hypothèses!$W$12,IF(U33&lt;=Hypothèses!$V$13,Hypothèses!$W$13,IF(U33&lt;=Hypothèses!$V$14,Hypothèses!$W$14,IF(U33&lt;=Hypothèses!$V$15,Hypothèses!$W$15,IF(U33&lt;=Hypothèses!$V$16,Hypothèses!$W$16,IF(U33&lt;=Hypothèses!$V$17,Hypothèses!$W$17,IF(U33&lt;=Hypothèses!$V$18,Hypothèses!$W$18,""))))))))))))</f>
        <v>#DIV/0!</v>
      </c>
      <c r="AP33" s="87" t="e">
        <f t="shared" ca="1" si="117"/>
        <v>#DIV/0!</v>
      </c>
      <c r="AQ33" s="88" t="e">
        <f ca="1">IF(U33&lt;=Hypothèses!$V$7,Hypothèses!$X$7,IF(U33&lt;=Hypothèses!$V$8,Hypothèses!$X$8,IF(U33&lt;=Hypothèses!$V$9,Hypothèses!$X$9,IF(U33&lt;=Hypothèses!$V$10,Hypothèses!$X$10,IF(U33&lt;=Hypothèses!$V$11,Hypothèses!$X$11,IF(U33&lt;=Hypothèses!$V$12,Hypothèses!$X$12,IF(U33&lt;=Hypothèses!$V$13,Hypothèses!$X$13,IF(U33&lt;=Hypothèses!$V$14,Hypothèses!$X$14,IF(U33&lt;=Hypothèses!$V$15,Hypothèses!$X$15,IF(U33&lt;=Hypothèses!$V$16,Hypothèses!$X$16,IF(U33&lt;=Hypothèses!$U$17,Hypothèses!$W$17,IF(U33&lt;=Hypothèses!$U$18,Hypothèses!$W$18,""))))))))))))</f>
        <v>#DIV/0!</v>
      </c>
      <c r="AR33" s="95" t="e">
        <f t="shared" ca="1" si="72"/>
        <v>#DIV/0!</v>
      </c>
      <c r="AS33" s="101">
        <f t="shared" si="124"/>
        <v>0</v>
      </c>
      <c r="AT33" s="91">
        <f t="shared" si="21"/>
        <v>0</v>
      </c>
      <c r="AU33" s="30" t="e">
        <f t="shared" si="102"/>
        <v>#N/A</v>
      </c>
      <c r="AV33" s="30" t="e">
        <f t="shared" si="103"/>
        <v>#N/A</v>
      </c>
      <c r="AW33" s="31" t="e">
        <f>IF(OR(Hypothèses!$B$4=17,Hypothèses!$B$4=18,Hypothèses!$B$4=19,Hypothèses!$B$4=20),
IF($D33="Pressio.",
IF(OR($E33=3,$E33=1,$E33=4),AV33,AU33),
IF($D33="Pénétro.",
IF(OR($E33=3,$E33=1,$E33=4),AV33,AU33))),IF($D33="Pressio.",
IF($E33=3,AV33,AU33),
IF($D33="Pénétro.",
IF($E33=4,AV33,AU33))))</f>
        <v>#N/A</v>
      </c>
      <c r="AX33" s="31">
        <v>0</v>
      </c>
      <c r="AY33" s="102" t="e">
        <f>IF(NDC!$H$10="Oui",(VLOOKUP($B$3,'Coeff EC7'!$T$39:$X$59,2,0)*AW33+VLOOKUP($B$3,'Coeff EC7'!$T$65:$X$85,2,0)*Model0.1T!AX33)/1.5,PI()*AU$12*$Q33*($B33-$B32)*0.15/10+AY32)</f>
        <v>#N/A</v>
      </c>
      <c r="AZ33" s="102" t="e">
        <f>(VLOOKUP($B$3,'Coeff EC7'!$T$39:$X$59,3,0)*AW33+VLOOKUP($B$3,'Coeff EC7'!$T$65:$X$85,3,0)*Model0.1T!AX33)/1.1</f>
        <v>#N/A</v>
      </c>
      <c r="BA33" s="102" t="e">
        <f t="shared" si="73"/>
        <v>#N/A</v>
      </c>
      <c r="BB33" s="102" t="e">
        <f t="shared" si="74"/>
        <v>#N/A</v>
      </c>
      <c r="BC33" s="414" t="e">
        <f>IF(AND(AY33&gt;NDC!$C$63,AZ33&gt;NDC!$C$65,BA33&gt;NDC!$D$73,BB33&gt;NDC!$D$74,$B33&gt;NDC!$H$22-0.1+MIN(3*BC$12,1.5)),0,1)</f>
        <v>#N/A</v>
      </c>
      <c r="BD33" s="86" t="b">
        <f t="shared" si="24"/>
        <v>0</v>
      </c>
      <c r="BE33" s="86">
        <f t="shared" si="75"/>
        <v>0.5</v>
      </c>
      <c r="BF33" s="86">
        <f t="shared" si="25"/>
        <v>0.5</v>
      </c>
      <c r="BG33" s="30" t="e">
        <f t="shared" ca="1" si="76"/>
        <v>#DIV/0!</v>
      </c>
      <c r="BH33" s="85" t="e">
        <f ca="1">IF(AN33&lt;=Hypothèses!$V$7,Hypothèses!$W$7,IF(AN33&lt;=Hypothèses!$V$8,Hypothèses!$W$8,IF(AN33&lt;=Hypothèses!$V$9,Hypothèses!$W$9,IF(AN33&lt;=Hypothèses!$V$10,Hypothèses!$W$10,IF(AN33&lt;=Hypothèses!$V$11,Hypothèses!$W$11,IF(AN33&lt;=Hypothèses!$V$12,Hypothèses!$W$12,IF(AN33&lt;=Hypothèses!$V$13,Hypothèses!$W$13,IF(AN33&lt;=Hypothèses!$V$14,Hypothèses!$W$14,IF(AN33&lt;=Hypothèses!$V$15,Hypothèses!$W$15,IF(AN33&lt;=Hypothèses!$V$16,Hypothèses!$W$16,IF(AN33&lt;=Hypothèses!$V$17,Hypothèses!$W$17,IF(AN33&lt;=Hypothèses!$V$18,Hypothèses!$W$18,""))))))))))))</f>
        <v>#DIV/0!</v>
      </c>
      <c r="BI33" s="87" t="e">
        <f t="shared" ca="1" si="118"/>
        <v>#DIV/0!</v>
      </c>
      <c r="BJ33" s="88" t="e">
        <f ca="1">IF(AN33&lt;=Hypothèses!$V$7,Hypothèses!$X$7,IF(AN33&lt;=Hypothèses!$V$8,Hypothèses!$X$8,IF(AN33&lt;=Hypothèses!$V$9,Hypothèses!$X$9,IF(AN33&lt;=Hypothèses!$V$10,Hypothèses!$X$10,IF(AN33&lt;=Hypothèses!$V$11,Hypothèses!$X$11,IF(AN33&lt;=Hypothèses!$V$12,Hypothèses!$X$12,IF(AN33&lt;=Hypothèses!$V$13,Hypothèses!$X$13,IF(AN33&lt;=Hypothèses!$V$14,Hypothèses!$X$14,IF(AN33&lt;=Hypothèses!$V$15,Hypothèses!$X$15,IF(AN33&lt;=Hypothèses!$V$16,Hypothèses!$X$16,IF(AN33&lt;=Hypothèses!$U$17,Hypothèses!$W$17,IF(AN33&lt;=Hypothèses!$U$18,Hypothèses!$W$18,""))))))))))))</f>
        <v>#DIV/0!</v>
      </c>
      <c r="BK33" s="95" t="e">
        <f t="shared" ca="1" si="77"/>
        <v>#DIV/0!</v>
      </c>
      <c r="BL33" s="101">
        <f t="shared" si="125"/>
        <v>0</v>
      </c>
      <c r="BM33" s="91">
        <f t="shared" si="27"/>
        <v>0</v>
      </c>
      <c r="BN33" s="30" t="e">
        <f t="shared" si="104"/>
        <v>#N/A</v>
      </c>
      <c r="BO33" s="30" t="e">
        <f t="shared" si="105"/>
        <v>#N/A</v>
      </c>
      <c r="BP33" s="31" t="e">
        <f>IF(OR(Hypothèses!$B$4=17,Hypothèses!$B$4=18,Hypothèses!$B$4=19,Hypothèses!$B$4=20),
IF($D33="Pressio.",
IF(OR($E33=3,$E33=1,$E33=4),BO33,BN33),
IF($D33="Pénétro.",
IF(OR($E33=3,$E33=1,$E33=4),BO33,BN33))),IF($D33="Pressio.",
IF($E33=3,BO33,BN33),
IF($D33="Pénétro.",
IF($E33=4,BO33,BN33))))</f>
        <v>#N/A</v>
      </c>
      <c r="BQ33" s="31">
        <v>0</v>
      </c>
      <c r="BR33" s="102" t="e">
        <f>IF(NDC!$H$10="Oui",(VLOOKUP($B$3,'Coeff EC7'!$T$39:$X$59,2,0)*BP33+VLOOKUP($B$3,'Coeff EC7'!$T$65:$X$85,2,0)*Model0.1T!BQ33)/1.5,PI()*BN$12*$Q33*($B33-$B32)*0.15/10+BR32)</f>
        <v>#N/A</v>
      </c>
      <c r="BS33" s="102" t="e">
        <f>(VLOOKUP($B$3,'Coeff EC7'!$T$39:$X$59,3,0)*BP33+VLOOKUP($B$3,'Coeff EC7'!$T$65:$X$85,3,0)*Model0.1T!BQ33)/1.1</f>
        <v>#N/A</v>
      </c>
      <c r="BT33" s="102" t="e">
        <f t="shared" si="78"/>
        <v>#N/A</v>
      </c>
      <c r="BU33" s="102" t="e">
        <f t="shared" si="79"/>
        <v>#N/A</v>
      </c>
      <c r="BV33" s="414" t="e">
        <f>IF(AND(BR33&gt;NDC!$C$63,BS33&gt;NDC!$C$65,BT33&gt;NDC!$D$73,BU33&gt;NDC!$D$74,$B33&gt;NDC!$H$22-0.1+MIN(3*BV$12,1.5)),0,1)</f>
        <v>#N/A</v>
      </c>
      <c r="BW33" s="86" t="b">
        <f t="shared" si="30"/>
        <v>0</v>
      </c>
      <c r="BX33" s="86">
        <f t="shared" si="31"/>
        <v>0.5</v>
      </c>
      <c r="BY33" s="86">
        <f t="shared" si="32"/>
        <v>0.5</v>
      </c>
      <c r="BZ33" s="30" t="e">
        <f t="shared" ca="1" si="80"/>
        <v>#DIV/0!</v>
      </c>
      <c r="CA33" s="85" t="e">
        <f ca="1">IF(BG33&lt;=Hypothèses!$V$7,Hypothèses!$W$7,IF(BG33&lt;=Hypothèses!$V$8,Hypothèses!$W$8,IF(BG33&lt;=Hypothèses!$V$9,Hypothèses!$W$9,IF(BG33&lt;=Hypothèses!$V$10,Hypothèses!$W$10,IF(BG33&lt;=Hypothèses!$V$11,Hypothèses!$W$11,IF(BG33&lt;=Hypothèses!$V$12,Hypothèses!$W$12,IF(BG33&lt;=Hypothèses!$V$13,Hypothèses!$W$13,IF(BG33&lt;=Hypothèses!$V$14,Hypothèses!$W$14,IF(BG33&lt;=Hypothèses!$V$15,Hypothèses!$W$15,IF(BG33&lt;=Hypothèses!$V$16,Hypothèses!$W$16,IF(BG33&lt;=Hypothèses!$V$17,Hypothèses!$W$17,IF(BG33&lt;=Hypothèses!$V$18,Hypothèses!$W$18,""))))))))))))</f>
        <v>#DIV/0!</v>
      </c>
      <c r="CB33" s="87" t="e">
        <f t="shared" ca="1" si="119"/>
        <v>#DIV/0!</v>
      </c>
      <c r="CC33" s="88" t="e">
        <f ca="1">IF(BG33&lt;=Hypothèses!$V$7,Hypothèses!$X$7,IF(BG33&lt;=Hypothèses!$V$8,Hypothèses!$X$8,IF(BG33&lt;=Hypothèses!$V$9,Hypothèses!$X$9,IF(BG33&lt;=Hypothèses!$V$10,Hypothèses!$X$10,IF(BG33&lt;=Hypothèses!$V$11,Hypothèses!$X$11,IF(BG33&lt;=Hypothèses!$V$12,Hypothèses!$X$12,IF(BG33&lt;=Hypothèses!$V$13,Hypothèses!$X$13,IF(BG33&lt;=Hypothèses!$V$14,Hypothèses!$X$14,IF(BG33&lt;=Hypothèses!$V$15,Hypothèses!$X$15,IF(BG33&lt;=Hypothèses!$V$16,Hypothèses!$X$16,IF(BG33&lt;=Hypothèses!$U$17,Hypothèses!$W$17,IF(BG33&lt;=Hypothèses!$U$18,Hypothèses!$W$18,""))))))))))))</f>
        <v>#DIV/0!</v>
      </c>
      <c r="CD33" s="95" t="e">
        <f t="shared" ca="1" si="81"/>
        <v>#DIV/0!</v>
      </c>
      <c r="CE33" s="101">
        <f t="shared" si="126"/>
        <v>0</v>
      </c>
      <c r="CF33" s="91">
        <f t="shared" si="34"/>
        <v>0</v>
      </c>
      <c r="CG33" s="30" t="e">
        <f t="shared" si="106"/>
        <v>#N/A</v>
      </c>
      <c r="CH33" s="30" t="e">
        <f t="shared" si="107"/>
        <v>#N/A</v>
      </c>
      <c r="CI33" s="31" t="e">
        <f>IF(OR(Hypothèses!$B$4=17,Hypothèses!$B$4=18,Hypothèses!$B$4=19,Hypothèses!$B$4=20),
IF($D33="Pressio.",
IF(OR($E33=3,$E33=1,$E33=4),CH33,CG33),
IF($D33="Pénétro.",
IF(OR($E33=3,$E33=1,$E33=4),CH33,CG33))),IF($D33="Pressio.",
IF($E33=3,CH33,CG33),
IF($D33="Pénétro.",
IF($E33=4,CH33,CG33))))</f>
        <v>#N/A</v>
      </c>
      <c r="CJ33" s="31">
        <v>0</v>
      </c>
      <c r="CK33" s="102" t="e">
        <f>IF(NDC!$H$10="Oui",(VLOOKUP($B$3,'Coeff EC7'!$T$39:$X$59,2,0)*CI33+VLOOKUP($B$3,'Coeff EC7'!$T$65:$X$85,2,0)*Model0.1T!CJ33)/1.5,PI()*CG$12*$Q33*($B33-$B32)*0.15/10+CK32)</f>
        <v>#N/A</v>
      </c>
      <c r="CL33" s="102" t="e">
        <f>(VLOOKUP($B$3,'Coeff EC7'!$T$39:$X$59,3,0)*CI33+VLOOKUP($B$3,'Coeff EC7'!$T$65:$X$85,3,0)*Model0.1T!CJ33)/1.1</f>
        <v>#N/A</v>
      </c>
      <c r="CM33" s="102" t="e">
        <f t="shared" si="82"/>
        <v>#N/A</v>
      </c>
      <c r="CN33" s="102" t="e">
        <f t="shared" si="83"/>
        <v>#N/A</v>
      </c>
      <c r="CO33" s="414" t="e">
        <f>IF(AND(CK33&gt;NDC!$C$63,CL33&gt;NDC!$C$65,CM33&gt;NDC!$D$73,CN33&gt;NDC!$D$74,$B33&gt;NDC!$H$22-0.1+MIN(3*CO$12,1.5)),0,1)</f>
        <v>#N/A</v>
      </c>
      <c r="CP33" s="86" t="b">
        <f t="shared" si="37"/>
        <v>0</v>
      </c>
      <c r="CQ33" s="86">
        <f t="shared" si="38"/>
        <v>0.5</v>
      </c>
      <c r="CR33" s="86">
        <f t="shared" si="39"/>
        <v>0.5</v>
      </c>
      <c r="CS33" s="30" t="e">
        <f t="shared" ca="1" si="84"/>
        <v>#DIV/0!</v>
      </c>
      <c r="CT33" s="85" t="e">
        <f ca="1">IF(BZ33&lt;=Hypothèses!$V$7,Hypothèses!$W$7,IF(BZ33&lt;=Hypothèses!$V$8,Hypothèses!$W$8,IF(BZ33&lt;=Hypothèses!$V$9,Hypothèses!$W$9,IF(BZ33&lt;=Hypothèses!$V$10,Hypothèses!$W$10,IF(BZ33&lt;=Hypothèses!$V$11,Hypothèses!$W$11,IF(BZ33&lt;=Hypothèses!$V$12,Hypothèses!$W$12,IF(BZ33&lt;=Hypothèses!$V$13,Hypothèses!$W$13,IF(BZ33&lt;=Hypothèses!$V$14,Hypothèses!$W$14,IF(BZ33&lt;=Hypothèses!$V$15,Hypothèses!$W$15,IF(BZ33&lt;=Hypothèses!$V$16,Hypothèses!$W$16,IF(BZ33&lt;=Hypothèses!$V$17,Hypothèses!$W$17,IF(BZ33&lt;=Hypothèses!$V$18,Hypothèses!$W$18,""))))))))))))</f>
        <v>#DIV/0!</v>
      </c>
      <c r="CU33" s="87" t="e">
        <f t="shared" ca="1" si="120"/>
        <v>#DIV/0!</v>
      </c>
      <c r="CV33" s="88" t="e">
        <f ca="1">IF(BZ33&lt;=Hypothèses!$V$7,Hypothèses!$X$7,IF(BZ33&lt;=Hypothèses!$V$8,Hypothèses!$X$8,IF(BZ33&lt;=Hypothèses!$V$9,Hypothèses!$X$9,IF(BZ33&lt;=Hypothèses!$V$10,Hypothèses!$X$10,IF(BZ33&lt;=Hypothèses!$V$11,Hypothèses!$X$11,IF(BZ33&lt;=Hypothèses!$V$12,Hypothèses!$X$12,IF(BZ33&lt;=Hypothèses!$V$13,Hypothèses!$X$13,IF(BZ33&lt;=Hypothèses!$V$14,Hypothèses!$X$14,IF(BZ33&lt;=Hypothèses!$V$15,Hypothèses!$X$15,IF(BZ33&lt;=Hypothèses!$V$16,Hypothèses!$X$16,IF(BZ33&lt;=Hypothèses!$U$17,Hypothèses!$W$17,IF(BZ33&lt;=Hypothèses!$U$18,Hypothèses!$W$18,""))))))))))))</f>
        <v>#DIV/0!</v>
      </c>
      <c r="CW33" s="95" t="e">
        <f t="shared" ca="1" si="85"/>
        <v>#DIV/0!</v>
      </c>
      <c r="CX33" s="101">
        <f t="shared" si="127"/>
        <v>0</v>
      </c>
      <c r="CY33" s="91">
        <f t="shared" si="41"/>
        <v>0</v>
      </c>
      <c r="CZ33" s="30" t="e">
        <f t="shared" si="108"/>
        <v>#N/A</v>
      </c>
      <c r="DA33" s="30" t="e">
        <f t="shared" si="109"/>
        <v>#N/A</v>
      </c>
      <c r="DB33" s="31" t="e">
        <f>IF(OR(Hypothèses!$B$4=17,Hypothèses!$B$4=18,Hypothèses!$B$4=19,Hypothèses!$B$4=20),
IF($D33="Pressio.",
IF(OR($E33=3,$E33=1,$E33=4),DA33,CZ33),
IF($D33="Pénétro.",
IF(OR($E33=3,$E33=1,$E33=4),DA33,CZ33))),IF($D33="Pressio.",
IF($E33=3,DA33,CZ33),
IF($D33="Pénétro.",
IF($E33=4,DA33,CZ33))))</f>
        <v>#N/A</v>
      </c>
      <c r="DC33" s="31">
        <v>0</v>
      </c>
      <c r="DD33" s="102" t="e">
        <f>IF(NDC!$H$10="Oui",(VLOOKUP($B$3,'Coeff EC7'!$T$39:$X$59,2,0)*DB33+VLOOKUP($B$3,'Coeff EC7'!$T$65:$X$85,2,0)*Model0.1T!DC33)/1.5,PI()*CZ$12*$Q33*($B33-$B32)*0.15/10+DD32)</f>
        <v>#N/A</v>
      </c>
      <c r="DE33" s="102" t="e">
        <f>(VLOOKUP($B$3,'Coeff EC7'!$T$39:$X$59,3,0)*DB33+VLOOKUP($B$3,'Coeff EC7'!$T$65:$X$85,3,0)*Model0.1T!DC33)/1.1</f>
        <v>#N/A</v>
      </c>
      <c r="DF33" s="102" t="e">
        <f t="shared" si="86"/>
        <v>#N/A</v>
      </c>
      <c r="DG33" s="102" t="e">
        <f t="shared" si="87"/>
        <v>#N/A</v>
      </c>
      <c r="DH33" s="414" t="e">
        <f>IF(AND(DD33&gt;NDC!$C$63,DE33&gt;NDC!$C$65,DF33&gt;NDC!$D$73,DG33&gt;NDC!$D$74,$B33&gt;NDC!$H$22-0.1+MIN(3*DH$12,1.5)),0,1)</f>
        <v>#N/A</v>
      </c>
      <c r="DI33" s="86" t="b">
        <f t="shared" si="44"/>
        <v>0</v>
      </c>
      <c r="DJ33" s="86">
        <f t="shared" si="45"/>
        <v>0.5</v>
      </c>
      <c r="DK33" s="86">
        <f t="shared" si="46"/>
        <v>0.5</v>
      </c>
      <c r="DL33" s="30" t="e">
        <f t="shared" ca="1" si="88"/>
        <v>#DIV/0!</v>
      </c>
      <c r="DM33" s="85" t="e">
        <f ca="1">IF(CS33&lt;=Hypothèses!$V$7,Hypothèses!$W$7,IF(CS33&lt;=Hypothèses!$V$8,Hypothèses!$W$8,IF(CS33&lt;=Hypothèses!$V$9,Hypothèses!$W$9,IF(CS33&lt;=Hypothèses!$V$10,Hypothèses!$W$10,IF(CS33&lt;=Hypothèses!$V$11,Hypothèses!$W$11,IF(CS33&lt;=Hypothèses!$V$12,Hypothèses!$W$12,IF(CS33&lt;=Hypothèses!$V$13,Hypothèses!$W$13,IF(CS33&lt;=Hypothèses!$V$14,Hypothèses!$W$14,IF(CS33&lt;=Hypothèses!$V$15,Hypothèses!$W$15,IF(CS33&lt;=Hypothèses!$V$16,Hypothèses!$W$16,IF(CS33&lt;=Hypothèses!$V$17,Hypothèses!$W$17,IF(CS33&lt;=Hypothèses!$V$18,Hypothèses!$W$18,""))))))))))))</f>
        <v>#DIV/0!</v>
      </c>
      <c r="DN33" s="87" t="e">
        <f t="shared" ca="1" si="121"/>
        <v>#DIV/0!</v>
      </c>
      <c r="DO33" s="88" t="e">
        <f ca="1">IF(CS33&lt;=Hypothèses!$V$7,Hypothèses!$X$7,IF(CS33&lt;=Hypothèses!$V$8,Hypothèses!$X$8,IF(CS33&lt;=Hypothèses!$V$9,Hypothèses!$X$9,IF(CS33&lt;=Hypothèses!$V$10,Hypothèses!$X$10,IF(CS33&lt;=Hypothèses!$V$11,Hypothèses!$X$11,IF(CS33&lt;=Hypothèses!$V$12,Hypothèses!$X$12,IF(CS33&lt;=Hypothèses!$V$13,Hypothèses!$X$13,IF(CS33&lt;=Hypothèses!$V$14,Hypothèses!$X$14,IF(CS33&lt;=Hypothèses!$V$15,Hypothèses!$X$15,IF(CS33&lt;=Hypothèses!$V$16,Hypothèses!$X$16,IF(CS33&lt;=Hypothèses!$U$17,Hypothèses!$W$17,IF(CS33&lt;=Hypothèses!$U$18,Hypothèses!$W$18,""))))))))))))</f>
        <v>#DIV/0!</v>
      </c>
      <c r="DP33" s="95" t="e">
        <f t="shared" ca="1" si="89"/>
        <v>#DIV/0!</v>
      </c>
      <c r="DQ33" s="101">
        <f t="shared" si="128"/>
        <v>0</v>
      </c>
      <c r="DR33" s="91">
        <f t="shared" si="48"/>
        <v>0</v>
      </c>
      <c r="DS33" s="30" t="e">
        <f t="shared" si="110"/>
        <v>#N/A</v>
      </c>
      <c r="DT33" s="30" t="e">
        <f t="shared" si="111"/>
        <v>#N/A</v>
      </c>
      <c r="DU33" s="31" t="e">
        <f>IF(OR(Hypothèses!$B$4=17,Hypothèses!$B$4=18,Hypothèses!$B$4=19,Hypothèses!$B$4=20),
IF($D33="Pressio.",
IF(OR($E33=3,$E33=1,$E33=4),DT33,DS33),
IF($D33="Pénétro.",
IF(OR($E33=3,$E33=1,$E33=4),DT33,DS33))),IF($D33="Pressio.",
IF($E33=3,DT33,DS33),
IF($D33="Pénétro.",
IF($E33=4,DT33,DS33))))</f>
        <v>#N/A</v>
      </c>
      <c r="DV33" s="31">
        <v>0</v>
      </c>
      <c r="DW33" s="102" t="e">
        <f>IF(NDC!$H$10="Oui",(VLOOKUP($B$3,'Coeff EC7'!$T$39:$X$59,2,0)*DU33+VLOOKUP($B$3,'Coeff EC7'!$T$65:$X$85,2,0)*Model0.1T!DV33)/1.5,PI()*DS$12*$Q33*($B33-$B32)*0.15/10+DW32)</f>
        <v>#N/A</v>
      </c>
      <c r="DX33" s="102" t="e">
        <f>(VLOOKUP($B$3,'Coeff EC7'!$T$39:$X$59,3,0)*DU33+VLOOKUP($B$3,'Coeff EC7'!$T$65:$X$85,3,0)*Model0.1T!DV33)/1.1</f>
        <v>#N/A</v>
      </c>
      <c r="DY33" s="102" t="e">
        <f t="shared" si="90"/>
        <v>#N/A</v>
      </c>
      <c r="DZ33" s="102" t="e">
        <f t="shared" si="91"/>
        <v>#N/A</v>
      </c>
      <c r="EA33" s="414" t="e">
        <f>IF(AND(DW33&gt;NDC!$C$63,DX33&gt;NDC!$C$65,DY33&gt;NDC!$D$73,DZ33&gt;NDC!$D$74,$B33&gt;NDC!$H$22-0.1+MIN(3*EA$12,1.5)),0,1)</f>
        <v>#N/A</v>
      </c>
      <c r="EB33" s="86" t="b">
        <f t="shared" si="51"/>
        <v>0</v>
      </c>
      <c r="EC33" s="418">
        <f t="shared" si="52"/>
        <v>0.51</v>
      </c>
      <c r="ED33" s="86">
        <f t="shared" si="53"/>
        <v>0.51</v>
      </c>
      <c r="EE33" s="30" t="e">
        <f t="shared" ca="1" si="92"/>
        <v>#DIV/0!</v>
      </c>
      <c r="EF33" s="85" t="e">
        <f ca="1">IF(DL33&lt;=Hypothèses!$V$7,Hypothèses!$W$7,IF(DL33&lt;=Hypothèses!$V$8,Hypothèses!$W$8,IF(DL33&lt;=Hypothèses!$V$9,Hypothèses!$W$9,IF(DL33&lt;=Hypothèses!$V$10,Hypothèses!$W$10,IF(DL33&lt;=Hypothèses!$V$11,Hypothèses!$W$11,IF(DL33&lt;=Hypothèses!$V$12,Hypothèses!$W$12,IF(DL33&lt;=Hypothèses!$V$13,Hypothèses!$W$13,IF(DL33&lt;=Hypothèses!$V$14,Hypothèses!$W$14,IF(DL33&lt;=Hypothèses!$V$15,Hypothèses!$W$15,IF(DL33&lt;=Hypothèses!$V$16,Hypothèses!$W$16,IF(DL33&lt;=Hypothèses!$V$17,Hypothèses!$W$17,IF(DL33&lt;=Hypothèses!$V$18,Hypothèses!$W$18,""))))))))))))</f>
        <v>#DIV/0!</v>
      </c>
      <c r="EG33" s="87" t="e">
        <f t="shared" ca="1" si="122"/>
        <v>#DIV/0!</v>
      </c>
      <c r="EH33" s="88" t="e">
        <f ca="1">IF(DL33&lt;=Hypothèses!$V$7,Hypothèses!$X$7,IF(DL33&lt;=Hypothèses!$V$8,Hypothèses!$X$8,IF(DL33&lt;=Hypothèses!$V$9,Hypothèses!$X$9,IF(DL33&lt;=Hypothèses!$V$10,Hypothèses!$X$10,IF(DL33&lt;=Hypothèses!$V$11,Hypothèses!$X$11,IF(DL33&lt;=Hypothèses!$V$12,Hypothèses!$X$12,IF(DL33&lt;=Hypothèses!$V$13,Hypothèses!$X$13,IF(DL33&lt;=Hypothèses!$V$14,Hypothèses!$X$14,IF(DL33&lt;=Hypothèses!$V$15,Hypothèses!$X$15,IF(DL33&lt;=Hypothèses!$V$16,Hypothèses!$X$16,IF(DL33&lt;=Hypothèses!$U$17,Hypothèses!$W$17,IF(DL33&lt;=Hypothèses!$U$18,Hypothèses!$W$18,""))))))))))))</f>
        <v>#DIV/0!</v>
      </c>
      <c r="EI33" s="95" t="e">
        <f t="shared" ca="1" si="93"/>
        <v>#DIV/0!</v>
      </c>
      <c r="EJ33" s="101">
        <f t="shared" si="129"/>
        <v>0</v>
      </c>
      <c r="EK33" s="91">
        <f t="shared" si="55"/>
        <v>0</v>
      </c>
      <c r="EL33" s="30" t="e">
        <f t="shared" si="112"/>
        <v>#N/A</v>
      </c>
      <c r="EM33" s="30" t="e">
        <f t="shared" si="113"/>
        <v>#N/A</v>
      </c>
      <c r="EN33" s="31" t="e">
        <f>IF(OR(Hypothèses!$B$4=17,Hypothèses!$B$4=18,Hypothèses!$B$4=19,Hypothèses!$B$4=20),
IF($D33="Pressio.",
IF(OR($E33=3,$E33=1,$E33=4),EM33,EL33),
IF($D33="Pénétro.",
IF(OR($E33=3,$E33=1,$E33=4),EM33,EL33))),IF($D33="Pressio.",
IF($E33=3,EM33,EL33),
IF($D33="Pénétro.",
IF($E33=4,EM33,EL33))))</f>
        <v>#N/A</v>
      </c>
      <c r="EO33" s="31">
        <v>0</v>
      </c>
      <c r="EP33" s="102" t="e">
        <f>IF(NDC!$H$10="Oui",(VLOOKUP($B$3,'Coeff EC7'!$T$39:$X$59,2,0)*EN33+VLOOKUP($B$3,'Coeff EC7'!$T$65:$X$85,2,0)*Model0.1T!EO33)/1.5,PI()*EL$12*$Q33*($B33-$B32)*0.15/10+EP32)</f>
        <v>#N/A</v>
      </c>
      <c r="EQ33" s="102" t="e">
        <f>(VLOOKUP($B$3,'Coeff EC7'!$T$39:$X$59,3,0)*EN33+VLOOKUP($B$3,'Coeff EC7'!$T$65:$X$85,3,0)*Model0.1T!EO33)/1.1</f>
        <v>#N/A</v>
      </c>
      <c r="ER33" s="102" t="e">
        <f t="shared" si="94"/>
        <v>#N/A</v>
      </c>
      <c r="ES33" s="102" t="e">
        <f t="shared" si="95"/>
        <v>#N/A</v>
      </c>
      <c r="ET33" s="414" t="e">
        <f>IF(AND(EP33&gt;NDC!$C$63,EQ33&gt;NDC!$C$65,ER33&gt;NDC!$D$73,ES33&gt;NDC!$D$74,$B33&gt;NDC!$H$22-0.1+MIN(3*ET$12,1.5)),0,1)</f>
        <v>#N/A</v>
      </c>
      <c r="EU33" s="86" t="b">
        <f t="shared" si="58"/>
        <v>0</v>
      </c>
      <c r="EV33" s="86">
        <f t="shared" si="59"/>
        <v>0.61</v>
      </c>
      <c r="EW33" s="86">
        <f t="shared" si="60"/>
        <v>0.61</v>
      </c>
      <c r="EX33" s="30" t="e">
        <f t="shared" ca="1" si="96"/>
        <v>#DIV/0!</v>
      </c>
      <c r="EY33" s="85" t="e">
        <f ca="1">IF(EE33&lt;=Hypothèses!$V$7,Hypothèses!$W$7,IF(EE33&lt;=Hypothèses!$V$8,Hypothèses!$W$8,IF(EE33&lt;=Hypothèses!$V$9,Hypothèses!$W$9,IF(EE33&lt;=Hypothèses!$V$10,Hypothèses!$W$10,IF(EE33&lt;=Hypothèses!$V$11,Hypothèses!$W$11,IF(EE33&lt;=Hypothèses!$V$12,Hypothèses!$W$12,IF(EE33&lt;=Hypothèses!$V$13,Hypothèses!$W$13,IF(EE33&lt;=Hypothèses!$V$14,Hypothèses!$W$14,IF(EE33&lt;=Hypothèses!$V$15,Hypothèses!$W$15,IF(EE33&lt;=Hypothèses!$V$16,Hypothèses!$W$16,IF(EE33&lt;=Hypothèses!$V$17,Hypothèses!$W$17,IF(EE33&lt;=Hypothèses!$V$18,Hypothèses!$W$18,""))))))))))))</f>
        <v>#DIV/0!</v>
      </c>
      <c r="EZ33" s="87" t="e">
        <f t="shared" ca="1" si="123"/>
        <v>#DIV/0!</v>
      </c>
      <c r="FA33" s="88" t="e">
        <f ca="1">IF(EE33&lt;=Hypothèses!$V$7,Hypothèses!$X$7,IF(EE33&lt;=Hypothèses!$V$8,Hypothèses!$X$8,IF(EE33&lt;=Hypothèses!$V$9,Hypothèses!$X$9,IF(EE33&lt;=Hypothèses!$V$10,Hypothèses!$X$10,IF(EE33&lt;=Hypothèses!$V$11,Hypothèses!$X$11,IF(EE33&lt;=Hypothèses!$V$12,Hypothèses!$X$12,IF(EE33&lt;=Hypothèses!$V$13,Hypothèses!$X$13,IF(EE33&lt;=Hypothèses!$V$14,Hypothèses!$X$14,IF(EE33&lt;=Hypothèses!$V$15,Hypothèses!$X$15,IF(EE33&lt;=Hypothèses!$V$16,Hypothèses!$X$16,IF(EE33&lt;=Hypothèses!$U$17,Hypothèses!$W$17,IF(EE33&lt;=Hypothèses!$U$18,Hypothèses!$W$18,""))))))))))))</f>
        <v>#DIV/0!</v>
      </c>
      <c r="FB33" s="95" t="e">
        <f t="shared" ca="1" si="97"/>
        <v>#DIV/0!</v>
      </c>
      <c r="FC33" s="101">
        <f t="shared" si="130"/>
        <v>0</v>
      </c>
      <c r="FD33" s="91">
        <f t="shared" si="62"/>
        <v>0</v>
      </c>
      <c r="FE33" s="30" t="e">
        <f t="shared" si="114"/>
        <v>#N/A</v>
      </c>
      <c r="FF33" s="30" t="e">
        <f t="shared" si="115"/>
        <v>#N/A</v>
      </c>
      <c r="FG33" s="31" t="e">
        <f>IF(OR(Hypothèses!$B$4=17,Hypothèses!$B$4=18,Hypothèses!$B$4=19,Hypothèses!$B$4=20),
IF($D33="Pressio.",
IF(OR($E33=3,$E33=1,$E33=4),FF33,FE33),
IF($D33="Pénétro.",
IF(OR($E33=3,$E33=1,$E33=4),FF33,FE33))),IF($D33="Pressio.",
IF($E33=3,FF33,FE33),
IF($D33="Pénétro.",
IF($E33=4,FF33,FE33))))</f>
        <v>#N/A</v>
      </c>
      <c r="FH33" s="31">
        <v>0</v>
      </c>
      <c r="FI33" s="102" t="e">
        <f>IF(NDC!$H$10="Oui",(VLOOKUP($B$3,'Coeff EC7'!$T$39:$X$59,2,0)*FG33+VLOOKUP($B$3,'Coeff EC7'!$T$65:$X$85,2,0)*Model0.1T!FH33)/1.5,PI()*FE$12*$Q33*($B33-$B32)*0.15/10+FI32)</f>
        <v>#N/A</v>
      </c>
      <c r="FJ33" s="102" t="e">
        <f>(VLOOKUP($B$3,'Coeff EC7'!$T$39:$X$59,3,0)*FG33+VLOOKUP($B$3,'Coeff EC7'!$T$65:$X$85,3,0)*Model0.1T!FH33)/1.1</f>
        <v>#N/A</v>
      </c>
      <c r="FK33" s="102" t="e">
        <f t="shared" si="98"/>
        <v>#N/A</v>
      </c>
      <c r="FL33" s="102" t="e">
        <f t="shared" si="99"/>
        <v>#N/A</v>
      </c>
      <c r="FM33" s="414" t="e">
        <f>IF(AND(FI33&gt;NDC!$C$63,FJ33&gt;NDC!$C$65,FK33&gt;NDC!$D$73,FL33&gt;NDC!$D$74,$B33&gt;NDC!$H$22-0.1+MIN(3*FM$12,1.5)),0,1)</f>
        <v>#N/A</v>
      </c>
    </row>
    <row r="34" spans="1:169">
      <c r="A34" s="96">
        <f t="shared" si="65"/>
        <v>97.900000000000119</v>
      </c>
      <c r="B34" s="97">
        <v>2.1</v>
      </c>
      <c r="C34" s="81">
        <f>IF(B34&lt;=Hypothèses!$C$7,Hypothèses!$A$7,IF(B34&lt;=Hypothèses!$C$8,Hypothèses!$A$8,IF(B34&lt;=Hypothèses!$C$9,Hypothèses!$A$9,IF(B34&lt;=Hypothèses!$C$10,Hypothèses!$A$10,IF(B34&lt;=Hypothèses!$C$11,Hypothèses!$A$11,IF(B34&lt;=Hypothèses!$C$12,Hypothèses!$A$12,IF(B34&lt;=Hypothèses!$C$13,Hypothèses!$A$13,IF(B34&lt;=Hypothèses!$C$14,Hypothèses!$A$14,IF(B34&lt;=Hypothèses!$C$15,Hypothèses!$A$15,IF(B34&lt;=Hypothèses!$C$16,Hypothèses!$A$16,IF(B34&lt;=Hypothèses!$C$17,Hypothèses!$A$17,IF(B34&lt;=Hypothèses!$C$18,Hypothèses!$A$18,C33))))))))))))</f>
        <v>11</v>
      </c>
      <c r="D34" s="82" t="str">
        <f>IF(B34&lt;=Hypothèses!$C$7,Hypothèses!$R$7,IF(B34&lt;=Hypothèses!$C$8,Hypothèses!$R$8,IF(B34&lt;=Hypothèses!$C$9,Hypothèses!$R$9,IF(B34&lt;=Hypothèses!$C$10,Hypothèses!$R$10,IF(B34&lt;=Hypothèses!$C$11,Hypothèses!$R$11,IF(B34&lt;=Hypothèses!$C$12,Hypothèses!$R$12,IF(B34&lt;=Hypothèses!$C$13,Hypothèses!$R$13,IF(B34&lt;=Hypothèses!$C$14,Hypothèses!$R$14,IF(B34&lt;=Hypothèses!$C$15,Hypothèses!$R$15,IF(B34&lt;=Hypothèses!$C$16,Hypothèses!$R$16,IF(B34&lt;=Hypothèses!$C$17,Hypothèses!$R$17,IF(B34&lt;=Hypothèses!$C$18,Hypothèses!$R$18,D33))))))))))))</f>
        <v>Pressio.</v>
      </c>
      <c r="E34" s="82" t="e">
        <f>IF(B34&lt;=Hypothèses!$C$7,Hypothèses!$G$7,IF(B34&lt;=Hypothèses!$C$8,Hypothèses!$G$8,IF(B34&lt;=Hypothèses!$C$9,Hypothèses!$G$9,IF(B34&lt;=Hypothèses!$C$10,Hypothèses!$G$10,IF(B34&lt;=Hypothèses!$C$11,Hypothèses!$G$11,IF(B34&lt;=Hypothèses!$C$12,Hypothèses!$G$12,IF(B34&lt;=Hypothèses!$C$13,Hypothèses!$G$13,IF(B34&lt;=Hypothèses!$C$14,Hypothèses!$G$14,IF(B34&lt;=Hypothèses!$C$15,Hypothèses!$G$15,IF(B34&lt;=Hypothèses!$C$16,Hypothèses!$G$16,IF(B34&lt;=Hypothèses!$C$17,Hypothèses!$G$17,IF(B34&lt;=Hypothèses!$C$18,Hypothèses!$G$18,E33))))))))))))</f>
        <v>#N/A</v>
      </c>
      <c r="F34" s="82" t="str">
        <f>IF(B34&lt;=Hypothèses!$C$7,Hypothèses!$F$7,IF(B34&lt;=Hypothèses!$C$8,Hypothèses!$F$8,IF(B34&lt;=Hypothèses!$C$9,Hypothèses!$F$9,IF(B34&lt;=Hypothèses!$C$10,Hypothèses!$F$10,IF(B34&lt;=Hypothèses!$C$11,Hypothèses!$F$11,IF(B34&lt;=Hypothèses!$C$12,Hypothèses!$F$12,IF(B34&lt;=Hypothèses!$C$13,Hypothèses!$F$13,IF(B34&lt;=Hypothèses!$C$14,Hypothèses!$F$14,IF(B34&lt;=Hypothèses!$C$15,Hypothèses!$F$15,IF(B34&lt;=Hypothèses!$C$16,Hypothèses!$F$16,IF(B34&lt;=Hypothèses!$C$17,Hypothèses!$F$17,IF(B34&lt;=Hypothèses!$C$18,Hypothèses!$F$18,F33))))))))))))</f>
        <v/>
      </c>
      <c r="G34" s="91">
        <f t="array" ref="G34">INDEX('Coeff EC7'!$U$7:$X$27,
MATCH(Model0.1T!$B$3,'Coeff EC7'!$T$7:$T$27,0),
MATCH(Model0.1T!$D34&amp;Model0.1T!$B$4,
'Coeff EC7'!$U$6:$X$6&amp;
'Coeff EC7'!$U$5:$X$5,0))</f>
        <v>1.4</v>
      </c>
      <c r="H34" s="91">
        <f t="array" ref="H34">INDEX('Coeff EC7'!$Y$7:$AB$27,
MATCH(Model0.1T!$B$3,'Coeff EC7'!$T$7:$T$27,0),
MATCH(Model0.1T!$D34&amp;Model0.1T!$B$4,
'Coeff EC7'!$Y$6:$AB$6&amp;
'Coeff EC7'!$Y$5:$AB$5,0))</f>
        <v>1.7</v>
      </c>
      <c r="I34" s="83">
        <v>0</v>
      </c>
      <c r="J34" s="91" t="e">
        <f t="array" ref="J34">INDEX('Coeff EC7'!$D$33:$Q$33,1,MATCH(D34&amp;E34,'Coeff EC7'!$D$31:$Q$31&amp;'Coeff EC7'!$D$32:$Q$32,0))</f>
        <v>#N/A</v>
      </c>
      <c r="K34" s="91" t="e">
        <f t="array" ref="K34">INDEX('Coeff EC7'!$D$34:$Q$34,1,MATCH(D34&amp;E34,'Coeff EC7'!$D$31:$Q$31&amp;'Coeff EC7'!$D$32:$Q$32,0))</f>
        <v>#N/A</v>
      </c>
      <c r="L34" s="91" t="e">
        <f t="array" ref="L34">INDEX('Coeff EC7'!$D$35:$Q$35,1,MATCH(D34&amp;E34,'Coeff EC7'!$D$31:$Q$31&amp;'Coeff EC7'!$D$32:$Q$32,0))</f>
        <v>#N/A</v>
      </c>
      <c r="M34" s="98" t="e">
        <f t="shared" si="8"/>
        <v>#N/A</v>
      </c>
      <c r="N34" s="99" t="e">
        <f t="array" ref="N34">INDEX('Coeff EC7'!$D$7:$Q$27,MATCH($B$3,'Coeff EC7'!$C$7:$C$27,0),MATCH(D34&amp;E34,'Coeff EC7'!$D$5:$Q$5&amp;'Coeff EC7'!$D$6:$Q$6,0))</f>
        <v>#N/A</v>
      </c>
      <c r="O34" s="99" t="e">
        <f t="array" ref="O34">INDEX('Coeff EC7'!$D$41:$Q$61,MATCH($B$3,'Coeff EC7'!$C$41:$C$61,0),MATCH(D34&amp;E34,'Coeff EC7'!$D$39:$Q$39&amp;'Coeff EC7'!$D$40:$Q$40,0))</f>
        <v>#N/A</v>
      </c>
      <c r="P34" s="30" t="e">
        <f t="shared" si="66"/>
        <v>#N/A</v>
      </c>
      <c r="Q34" s="100" t="e">
        <f t="shared" si="10"/>
        <v>#N/A</v>
      </c>
      <c r="R34" s="86" t="b">
        <f t="shared" si="11"/>
        <v>0</v>
      </c>
      <c r="S34" s="86">
        <f t="shared" si="9"/>
        <v>0.5</v>
      </c>
      <c r="T34" s="86">
        <f t="shared" si="12"/>
        <v>0.5</v>
      </c>
      <c r="U34" s="30" t="e">
        <f t="shared" ca="1" si="67"/>
        <v>#DIV/0!</v>
      </c>
      <c r="V34" s="85" t="str">
        <f>IF(B34&lt;=Hypothèses!$V$7,Hypothèses!$W$7,IF(B34&lt;=Hypothèses!$V$8,Hypothèses!$W$8,IF(B34&lt;=Hypothèses!$V$9,Hypothèses!$W$9,IF(B34&lt;=Hypothèses!$V$10,Hypothèses!$W$10,IF(B34&lt;=Hypothèses!$V$11,Hypothèses!$W$11,IF(B34&lt;=Hypothèses!$V$12,Hypothèses!$W$12,IF(B34&lt;=Hypothèses!$V$13,Hypothèses!$W$13,IF(B34&lt;=Hypothèses!$V$14,Hypothèses!$W$14,IF(B34&lt;=Hypothèses!$V$15,Hypothèses!$W$15,IF(B34&lt;=Hypothèses!$V$16,Hypothèses!$W$16,IF(B34&lt;=Hypothèses!$V$17,Hypothèses!$W$17,IF(B34&lt;=Hypothèses!$V$18,Hypothèses!$W$18,""))))))))))))</f>
        <v/>
      </c>
      <c r="W34" s="87" t="e">
        <f t="shared" ca="1" si="116"/>
        <v>#DIV/0!</v>
      </c>
      <c r="X34" s="88" t="str">
        <f>IF(B34&lt;=Hypothèses!$V$7,Hypothèses!$X$7,IF(B34&lt;=Hypothèses!$V$8,Hypothèses!$X$8,IF(B34&lt;=Hypothèses!$V$9,Hypothèses!$X$9,IF(B34&lt;=Hypothèses!$V$10,Hypothèses!$X$10,IF(B34&lt;=Hypothèses!$V$11,Hypothèses!$X$11,IF(B34&lt;=Hypothèses!$V$12,Hypothèses!$X$12,IF(B34&lt;=Hypothèses!$V$13,Hypothèses!$X$13,IF(B34&lt;=Hypothèses!$V$14,Hypothèses!$X$14,IF(B34&lt;=Hypothèses!$V$15,Hypothèses!$X$15,IF(B34&lt;=Hypothèses!$V$16,Hypothèses!$X$16,IF(B34&lt;=Hypothèses!$U$17,Hypothèses!$W$17,IF(B34&lt;=Hypothèses!$U$18,Hypothèses!$W$18,""))))))))))))</f>
        <v/>
      </c>
      <c r="Y34" s="95" t="e">
        <f t="shared" ca="1" si="13"/>
        <v>#DIV/0!</v>
      </c>
      <c r="Z34" s="101">
        <f t="shared" si="14"/>
        <v>0</v>
      </c>
      <c r="AA34" s="91">
        <f t="shared" si="15"/>
        <v>0</v>
      </c>
      <c r="AB34" s="30" t="e">
        <f t="shared" si="100"/>
        <v>#N/A</v>
      </c>
      <c r="AC34" s="30" t="e">
        <f t="shared" si="101"/>
        <v>#N/A</v>
      </c>
      <c r="AD34" s="31" t="e">
        <f>IF(OR(Hypothèses!$B$4=17,Hypothèses!$B$4=18,Hypothèses!$B$4=19,Hypothèses!$B$4=20),
IF($D34="Pressio.",
IF(OR($E34=3,$E34=1,$E34=4),AC34,AB34),
IF($D34="Pénétro.",
IF(OR($E34=3,$E34=1,$E34=4),AC34,AB34))),IF($D34="Pressio.",
IF($E34=3,AC34,AB34),
IF($D34="Pénétro.",
IF($E34=4,AC34,AB34))))</f>
        <v>#N/A</v>
      </c>
      <c r="AE34" s="31">
        <v>0</v>
      </c>
      <c r="AF34" s="102" t="e">
        <f>IF(NDC!$H$10="Oui",(VLOOKUP($B$3,'Coeff EC7'!$T$39:$X$59,2,0)*AD34+VLOOKUP($B$3,'Coeff EC7'!$T$65:$X$85,2,0)*Model0.1T!AE34)/1.5,PI()*AB$12*$Q34*($B34-$B33)*0.15/10+AF33)</f>
        <v>#N/A</v>
      </c>
      <c r="AG34" s="102" t="e">
        <f>(VLOOKUP($B$3,'Coeff EC7'!$T$39:$X$59,3,0)*AD34+VLOOKUP($B$3,'Coeff EC7'!$T$65:$X$85,3,0)*Model0.1T!AE34)/1.1</f>
        <v>#N/A</v>
      </c>
      <c r="AH34" s="102" t="e">
        <f t="shared" si="68"/>
        <v>#N/A</v>
      </c>
      <c r="AI34" s="102" t="e">
        <f t="shared" si="69"/>
        <v>#N/A</v>
      </c>
      <c r="AJ34" s="414" t="e">
        <f>IF(AND(AF34&gt;NDC!$C$63,AG34&gt;NDC!$C$65,AH34&gt;NDC!$D$73,AI34&gt;NDC!$D$74,$B34&gt;NDC!$H$22-0.1+MIN(3*$AJ$12,1.5)),0,1)</f>
        <v>#N/A</v>
      </c>
      <c r="AK34" s="86" t="b">
        <f t="shared" si="18"/>
        <v>0</v>
      </c>
      <c r="AL34" s="86">
        <f t="shared" si="70"/>
        <v>0.5</v>
      </c>
      <c r="AM34" s="86">
        <f t="shared" si="19"/>
        <v>0.5</v>
      </c>
      <c r="AN34" s="30" t="e">
        <f t="shared" ca="1" si="71"/>
        <v>#DIV/0!</v>
      </c>
      <c r="AO34" s="85" t="e">
        <f ca="1">IF(U34&lt;=Hypothèses!$V$7,Hypothèses!$W$7,IF(U34&lt;=Hypothèses!$V$8,Hypothèses!$W$8,IF(U34&lt;=Hypothèses!$V$9,Hypothèses!$W$9,IF(U34&lt;=Hypothèses!$V$10,Hypothèses!$W$10,IF(U34&lt;=Hypothèses!$V$11,Hypothèses!$W$11,IF(U34&lt;=Hypothèses!$V$12,Hypothèses!$W$12,IF(U34&lt;=Hypothèses!$V$13,Hypothèses!$W$13,IF(U34&lt;=Hypothèses!$V$14,Hypothèses!$W$14,IF(U34&lt;=Hypothèses!$V$15,Hypothèses!$W$15,IF(U34&lt;=Hypothèses!$V$16,Hypothèses!$W$16,IF(U34&lt;=Hypothèses!$V$17,Hypothèses!$W$17,IF(U34&lt;=Hypothèses!$V$18,Hypothèses!$W$18,""))))))))))))</f>
        <v>#DIV/0!</v>
      </c>
      <c r="AP34" s="87" t="e">
        <f t="shared" ca="1" si="117"/>
        <v>#DIV/0!</v>
      </c>
      <c r="AQ34" s="88" t="e">
        <f ca="1">IF(U34&lt;=Hypothèses!$V$7,Hypothèses!$X$7,IF(U34&lt;=Hypothèses!$V$8,Hypothèses!$X$8,IF(U34&lt;=Hypothèses!$V$9,Hypothèses!$X$9,IF(U34&lt;=Hypothèses!$V$10,Hypothèses!$X$10,IF(U34&lt;=Hypothèses!$V$11,Hypothèses!$X$11,IF(U34&lt;=Hypothèses!$V$12,Hypothèses!$X$12,IF(U34&lt;=Hypothèses!$V$13,Hypothèses!$X$13,IF(U34&lt;=Hypothèses!$V$14,Hypothèses!$X$14,IF(U34&lt;=Hypothèses!$V$15,Hypothèses!$X$15,IF(U34&lt;=Hypothèses!$V$16,Hypothèses!$X$16,IF(U34&lt;=Hypothèses!$U$17,Hypothèses!$W$17,IF(U34&lt;=Hypothèses!$U$18,Hypothèses!$W$18,""))))))))))))</f>
        <v>#DIV/0!</v>
      </c>
      <c r="AR34" s="95" t="e">
        <f t="shared" ca="1" si="72"/>
        <v>#DIV/0!</v>
      </c>
      <c r="AS34" s="101">
        <f t="shared" si="124"/>
        <v>0</v>
      </c>
      <c r="AT34" s="91">
        <f t="shared" si="21"/>
        <v>0</v>
      </c>
      <c r="AU34" s="30" t="e">
        <f t="shared" si="102"/>
        <v>#N/A</v>
      </c>
      <c r="AV34" s="30" t="e">
        <f t="shared" si="103"/>
        <v>#N/A</v>
      </c>
      <c r="AW34" s="31" t="e">
        <f>IF(OR(Hypothèses!$B$4=17,Hypothèses!$B$4=18,Hypothèses!$B$4=19,Hypothèses!$B$4=20),
IF($D34="Pressio.",
IF(OR($E34=3,$E34=1,$E34=4),AV34,AU34),
IF($D34="Pénétro.",
IF(OR($E34=3,$E34=1,$E34=4),AV34,AU34))),IF($D34="Pressio.",
IF($E34=3,AV34,AU34),
IF($D34="Pénétro.",
IF($E34=4,AV34,AU34))))</f>
        <v>#N/A</v>
      </c>
      <c r="AX34" s="31">
        <v>0</v>
      </c>
      <c r="AY34" s="102" t="e">
        <f>IF(NDC!$H$10="Oui",(VLOOKUP($B$3,'Coeff EC7'!$T$39:$X$59,2,0)*AW34+VLOOKUP($B$3,'Coeff EC7'!$T$65:$X$85,2,0)*Model0.1T!AX34)/1.5,PI()*AU$12*$Q34*($B34-$B33)*0.15/10+AY33)</f>
        <v>#N/A</v>
      </c>
      <c r="AZ34" s="102" t="e">
        <f>(VLOOKUP($B$3,'Coeff EC7'!$T$39:$X$59,3,0)*AW34+VLOOKUP($B$3,'Coeff EC7'!$T$65:$X$85,3,0)*Model0.1T!AX34)/1.1</f>
        <v>#N/A</v>
      </c>
      <c r="BA34" s="102" t="e">
        <f t="shared" si="73"/>
        <v>#N/A</v>
      </c>
      <c r="BB34" s="102" t="e">
        <f t="shared" si="74"/>
        <v>#N/A</v>
      </c>
      <c r="BC34" s="414" t="e">
        <f>IF(AND(AY34&gt;NDC!$C$63,AZ34&gt;NDC!$C$65,BA34&gt;NDC!$D$73,BB34&gt;NDC!$D$74,$B34&gt;NDC!$H$22-0.1+MIN(3*BC$12,1.5)),0,1)</f>
        <v>#N/A</v>
      </c>
      <c r="BD34" s="86" t="b">
        <f t="shared" si="24"/>
        <v>0</v>
      </c>
      <c r="BE34" s="86">
        <f t="shared" si="75"/>
        <v>0.5</v>
      </c>
      <c r="BF34" s="86">
        <f t="shared" si="25"/>
        <v>0.5</v>
      </c>
      <c r="BG34" s="30" t="e">
        <f t="shared" ca="1" si="76"/>
        <v>#DIV/0!</v>
      </c>
      <c r="BH34" s="85" t="e">
        <f ca="1">IF(AN34&lt;=Hypothèses!$V$7,Hypothèses!$W$7,IF(AN34&lt;=Hypothèses!$V$8,Hypothèses!$W$8,IF(AN34&lt;=Hypothèses!$V$9,Hypothèses!$W$9,IF(AN34&lt;=Hypothèses!$V$10,Hypothèses!$W$10,IF(AN34&lt;=Hypothèses!$V$11,Hypothèses!$W$11,IF(AN34&lt;=Hypothèses!$V$12,Hypothèses!$W$12,IF(AN34&lt;=Hypothèses!$V$13,Hypothèses!$W$13,IF(AN34&lt;=Hypothèses!$V$14,Hypothèses!$W$14,IF(AN34&lt;=Hypothèses!$V$15,Hypothèses!$W$15,IF(AN34&lt;=Hypothèses!$V$16,Hypothèses!$W$16,IF(AN34&lt;=Hypothèses!$V$17,Hypothèses!$W$17,IF(AN34&lt;=Hypothèses!$V$18,Hypothèses!$W$18,""))))))))))))</f>
        <v>#DIV/0!</v>
      </c>
      <c r="BI34" s="87" t="e">
        <f t="shared" ca="1" si="118"/>
        <v>#DIV/0!</v>
      </c>
      <c r="BJ34" s="88" t="e">
        <f ca="1">IF(AN34&lt;=Hypothèses!$V$7,Hypothèses!$X$7,IF(AN34&lt;=Hypothèses!$V$8,Hypothèses!$X$8,IF(AN34&lt;=Hypothèses!$V$9,Hypothèses!$X$9,IF(AN34&lt;=Hypothèses!$V$10,Hypothèses!$X$10,IF(AN34&lt;=Hypothèses!$V$11,Hypothèses!$X$11,IF(AN34&lt;=Hypothèses!$V$12,Hypothèses!$X$12,IF(AN34&lt;=Hypothèses!$V$13,Hypothèses!$X$13,IF(AN34&lt;=Hypothèses!$V$14,Hypothèses!$X$14,IF(AN34&lt;=Hypothèses!$V$15,Hypothèses!$X$15,IF(AN34&lt;=Hypothèses!$V$16,Hypothèses!$X$16,IF(AN34&lt;=Hypothèses!$U$17,Hypothèses!$W$17,IF(AN34&lt;=Hypothèses!$U$18,Hypothèses!$W$18,""))))))))))))</f>
        <v>#DIV/0!</v>
      </c>
      <c r="BK34" s="95" t="e">
        <f t="shared" ca="1" si="77"/>
        <v>#DIV/0!</v>
      </c>
      <c r="BL34" s="101">
        <f t="shared" si="125"/>
        <v>0</v>
      </c>
      <c r="BM34" s="91">
        <f t="shared" si="27"/>
        <v>0</v>
      </c>
      <c r="BN34" s="30" t="e">
        <f t="shared" si="104"/>
        <v>#N/A</v>
      </c>
      <c r="BO34" s="30" t="e">
        <f t="shared" si="105"/>
        <v>#N/A</v>
      </c>
      <c r="BP34" s="31" t="e">
        <f>IF(OR(Hypothèses!$B$4=17,Hypothèses!$B$4=18,Hypothèses!$B$4=19,Hypothèses!$B$4=20),
IF($D34="Pressio.",
IF(OR($E34=3,$E34=1,$E34=4),BO34,BN34),
IF($D34="Pénétro.",
IF(OR($E34=3,$E34=1,$E34=4),BO34,BN34))),IF($D34="Pressio.",
IF($E34=3,BO34,BN34),
IF($D34="Pénétro.",
IF($E34=4,BO34,BN34))))</f>
        <v>#N/A</v>
      </c>
      <c r="BQ34" s="31">
        <v>0</v>
      </c>
      <c r="BR34" s="102" t="e">
        <f>IF(NDC!$H$10="Oui",(VLOOKUP($B$3,'Coeff EC7'!$T$39:$X$59,2,0)*BP34+VLOOKUP($B$3,'Coeff EC7'!$T$65:$X$85,2,0)*Model0.1T!BQ34)/1.5,PI()*BN$12*$Q34*($B34-$B33)*0.15/10+BR33)</f>
        <v>#N/A</v>
      </c>
      <c r="BS34" s="102" t="e">
        <f>(VLOOKUP($B$3,'Coeff EC7'!$T$39:$X$59,3,0)*BP34+VLOOKUP($B$3,'Coeff EC7'!$T$65:$X$85,3,0)*Model0.1T!BQ34)/1.1</f>
        <v>#N/A</v>
      </c>
      <c r="BT34" s="102" t="e">
        <f t="shared" si="78"/>
        <v>#N/A</v>
      </c>
      <c r="BU34" s="102" t="e">
        <f t="shared" si="79"/>
        <v>#N/A</v>
      </c>
      <c r="BV34" s="414" t="e">
        <f>IF(AND(BR34&gt;NDC!$C$63,BS34&gt;NDC!$C$65,BT34&gt;NDC!$D$73,BU34&gt;NDC!$D$74,$B34&gt;NDC!$H$22-0.1+MIN(3*BV$12,1.5)),0,1)</f>
        <v>#N/A</v>
      </c>
      <c r="BW34" s="86" t="b">
        <f t="shared" si="30"/>
        <v>0</v>
      </c>
      <c r="BX34" s="86">
        <f t="shared" si="31"/>
        <v>0.5</v>
      </c>
      <c r="BY34" s="86">
        <f t="shared" si="32"/>
        <v>0.5</v>
      </c>
      <c r="BZ34" s="30" t="e">
        <f t="shared" ca="1" si="80"/>
        <v>#DIV/0!</v>
      </c>
      <c r="CA34" s="85" t="e">
        <f ca="1">IF(BG34&lt;=Hypothèses!$V$7,Hypothèses!$W$7,IF(BG34&lt;=Hypothèses!$V$8,Hypothèses!$W$8,IF(BG34&lt;=Hypothèses!$V$9,Hypothèses!$W$9,IF(BG34&lt;=Hypothèses!$V$10,Hypothèses!$W$10,IF(BG34&lt;=Hypothèses!$V$11,Hypothèses!$W$11,IF(BG34&lt;=Hypothèses!$V$12,Hypothèses!$W$12,IF(BG34&lt;=Hypothèses!$V$13,Hypothèses!$W$13,IF(BG34&lt;=Hypothèses!$V$14,Hypothèses!$W$14,IF(BG34&lt;=Hypothèses!$V$15,Hypothèses!$W$15,IF(BG34&lt;=Hypothèses!$V$16,Hypothèses!$W$16,IF(BG34&lt;=Hypothèses!$V$17,Hypothèses!$W$17,IF(BG34&lt;=Hypothèses!$V$18,Hypothèses!$W$18,""))))))))))))</f>
        <v>#DIV/0!</v>
      </c>
      <c r="CB34" s="87" t="e">
        <f t="shared" ca="1" si="119"/>
        <v>#DIV/0!</v>
      </c>
      <c r="CC34" s="88" t="e">
        <f ca="1">IF(BG34&lt;=Hypothèses!$V$7,Hypothèses!$X$7,IF(BG34&lt;=Hypothèses!$V$8,Hypothèses!$X$8,IF(BG34&lt;=Hypothèses!$V$9,Hypothèses!$X$9,IF(BG34&lt;=Hypothèses!$V$10,Hypothèses!$X$10,IF(BG34&lt;=Hypothèses!$V$11,Hypothèses!$X$11,IF(BG34&lt;=Hypothèses!$V$12,Hypothèses!$X$12,IF(BG34&lt;=Hypothèses!$V$13,Hypothèses!$X$13,IF(BG34&lt;=Hypothèses!$V$14,Hypothèses!$X$14,IF(BG34&lt;=Hypothèses!$V$15,Hypothèses!$X$15,IF(BG34&lt;=Hypothèses!$V$16,Hypothèses!$X$16,IF(BG34&lt;=Hypothèses!$U$17,Hypothèses!$W$17,IF(BG34&lt;=Hypothèses!$U$18,Hypothèses!$W$18,""))))))))))))</f>
        <v>#DIV/0!</v>
      </c>
      <c r="CD34" s="95" t="e">
        <f t="shared" ca="1" si="81"/>
        <v>#DIV/0!</v>
      </c>
      <c r="CE34" s="101">
        <f t="shared" si="126"/>
        <v>0</v>
      </c>
      <c r="CF34" s="91">
        <f t="shared" si="34"/>
        <v>0</v>
      </c>
      <c r="CG34" s="30" t="e">
        <f t="shared" si="106"/>
        <v>#N/A</v>
      </c>
      <c r="CH34" s="30" t="e">
        <f t="shared" si="107"/>
        <v>#N/A</v>
      </c>
      <c r="CI34" s="31" t="e">
        <f>IF(OR(Hypothèses!$B$4=17,Hypothèses!$B$4=18,Hypothèses!$B$4=19,Hypothèses!$B$4=20),
IF($D34="Pressio.",
IF(OR($E34=3,$E34=1,$E34=4),CH34,CG34),
IF($D34="Pénétro.",
IF(OR($E34=3,$E34=1,$E34=4),CH34,CG34))),IF($D34="Pressio.",
IF($E34=3,CH34,CG34),
IF($D34="Pénétro.",
IF($E34=4,CH34,CG34))))</f>
        <v>#N/A</v>
      </c>
      <c r="CJ34" s="31">
        <v>0</v>
      </c>
      <c r="CK34" s="102" t="e">
        <f>IF(NDC!$H$10="Oui",(VLOOKUP($B$3,'Coeff EC7'!$T$39:$X$59,2,0)*CI34+VLOOKUP($B$3,'Coeff EC7'!$T$65:$X$85,2,0)*Model0.1T!CJ34)/1.5,PI()*CG$12*$Q34*($B34-$B33)*0.15/10+CK33)</f>
        <v>#N/A</v>
      </c>
      <c r="CL34" s="102" t="e">
        <f>(VLOOKUP($B$3,'Coeff EC7'!$T$39:$X$59,3,0)*CI34+VLOOKUP($B$3,'Coeff EC7'!$T$65:$X$85,3,0)*Model0.1T!CJ34)/1.1</f>
        <v>#N/A</v>
      </c>
      <c r="CM34" s="102" t="e">
        <f t="shared" si="82"/>
        <v>#N/A</v>
      </c>
      <c r="CN34" s="102" t="e">
        <f t="shared" si="83"/>
        <v>#N/A</v>
      </c>
      <c r="CO34" s="414" t="e">
        <f>IF(AND(CK34&gt;NDC!$C$63,CL34&gt;NDC!$C$65,CM34&gt;NDC!$D$73,CN34&gt;NDC!$D$74,$B34&gt;NDC!$H$22-0.1+MIN(3*CO$12,1.5)),0,1)</f>
        <v>#N/A</v>
      </c>
      <c r="CP34" s="86" t="b">
        <f t="shared" si="37"/>
        <v>0</v>
      </c>
      <c r="CQ34" s="86">
        <f t="shared" si="38"/>
        <v>0.5</v>
      </c>
      <c r="CR34" s="86">
        <f t="shared" si="39"/>
        <v>0.5</v>
      </c>
      <c r="CS34" s="30" t="e">
        <f t="shared" ca="1" si="84"/>
        <v>#DIV/0!</v>
      </c>
      <c r="CT34" s="85" t="e">
        <f ca="1">IF(BZ34&lt;=Hypothèses!$V$7,Hypothèses!$W$7,IF(BZ34&lt;=Hypothèses!$V$8,Hypothèses!$W$8,IF(BZ34&lt;=Hypothèses!$V$9,Hypothèses!$W$9,IF(BZ34&lt;=Hypothèses!$V$10,Hypothèses!$W$10,IF(BZ34&lt;=Hypothèses!$V$11,Hypothèses!$W$11,IF(BZ34&lt;=Hypothèses!$V$12,Hypothèses!$W$12,IF(BZ34&lt;=Hypothèses!$V$13,Hypothèses!$W$13,IF(BZ34&lt;=Hypothèses!$V$14,Hypothèses!$W$14,IF(BZ34&lt;=Hypothèses!$V$15,Hypothèses!$W$15,IF(BZ34&lt;=Hypothèses!$V$16,Hypothèses!$W$16,IF(BZ34&lt;=Hypothèses!$V$17,Hypothèses!$W$17,IF(BZ34&lt;=Hypothèses!$V$18,Hypothèses!$W$18,""))))))))))))</f>
        <v>#DIV/0!</v>
      </c>
      <c r="CU34" s="87" t="e">
        <f t="shared" ca="1" si="120"/>
        <v>#DIV/0!</v>
      </c>
      <c r="CV34" s="88" t="e">
        <f ca="1">IF(BZ34&lt;=Hypothèses!$V$7,Hypothèses!$X$7,IF(BZ34&lt;=Hypothèses!$V$8,Hypothèses!$X$8,IF(BZ34&lt;=Hypothèses!$V$9,Hypothèses!$X$9,IF(BZ34&lt;=Hypothèses!$V$10,Hypothèses!$X$10,IF(BZ34&lt;=Hypothèses!$V$11,Hypothèses!$X$11,IF(BZ34&lt;=Hypothèses!$V$12,Hypothèses!$X$12,IF(BZ34&lt;=Hypothèses!$V$13,Hypothèses!$X$13,IF(BZ34&lt;=Hypothèses!$V$14,Hypothèses!$X$14,IF(BZ34&lt;=Hypothèses!$V$15,Hypothèses!$X$15,IF(BZ34&lt;=Hypothèses!$V$16,Hypothèses!$X$16,IF(BZ34&lt;=Hypothèses!$U$17,Hypothèses!$W$17,IF(BZ34&lt;=Hypothèses!$U$18,Hypothèses!$W$18,""))))))))))))</f>
        <v>#DIV/0!</v>
      </c>
      <c r="CW34" s="95" t="e">
        <f t="shared" ca="1" si="85"/>
        <v>#DIV/0!</v>
      </c>
      <c r="CX34" s="101">
        <f t="shared" si="127"/>
        <v>0</v>
      </c>
      <c r="CY34" s="91">
        <f t="shared" si="41"/>
        <v>0</v>
      </c>
      <c r="CZ34" s="30" t="e">
        <f t="shared" si="108"/>
        <v>#N/A</v>
      </c>
      <c r="DA34" s="30" t="e">
        <f t="shared" si="109"/>
        <v>#N/A</v>
      </c>
      <c r="DB34" s="31" t="e">
        <f>IF(OR(Hypothèses!$B$4=17,Hypothèses!$B$4=18,Hypothèses!$B$4=19,Hypothèses!$B$4=20),
IF($D34="Pressio.",
IF(OR($E34=3,$E34=1,$E34=4),DA34,CZ34),
IF($D34="Pénétro.",
IF(OR($E34=3,$E34=1,$E34=4),DA34,CZ34))),IF($D34="Pressio.",
IF($E34=3,DA34,CZ34),
IF($D34="Pénétro.",
IF($E34=4,DA34,CZ34))))</f>
        <v>#N/A</v>
      </c>
      <c r="DC34" s="31">
        <v>0</v>
      </c>
      <c r="DD34" s="102" t="e">
        <f>IF(NDC!$H$10="Oui",(VLOOKUP($B$3,'Coeff EC7'!$T$39:$X$59,2,0)*DB34+VLOOKUP($B$3,'Coeff EC7'!$T$65:$X$85,2,0)*Model0.1T!DC34)/1.5,PI()*CZ$12*$Q34*($B34-$B33)*0.15/10+DD33)</f>
        <v>#N/A</v>
      </c>
      <c r="DE34" s="102" t="e">
        <f>(VLOOKUP($B$3,'Coeff EC7'!$T$39:$X$59,3,0)*DB34+VLOOKUP($B$3,'Coeff EC7'!$T$65:$X$85,3,0)*Model0.1T!DC34)/1.1</f>
        <v>#N/A</v>
      </c>
      <c r="DF34" s="102" t="e">
        <f t="shared" si="86"/>
        <v>#N/A</v>
      </c>
      <c r="DG34" s="102" t="e">
        <f t="shared" si="87"/>
        <v>#N/A</v>
      </c>
      <c r="DH34" s="414" t="e">
        <f>IF(AND(DD34&gt;NDC!$C$63,DE34&gt;NDC!$C$65,DF34&gt;NDC!$D$73,DG34&gt;NDC!$D$74,$B34&gt;NDC!$H$22-0.1+MIN(3*DH$12,1.5)),0,1)</f>
        <v>#N/A</v>
      </c>
      <c r="DI34" s="86" t="b">
        <f t="shared" si="44"/>
        <v>0</v>
      </c>
      <c r="DJ34" s="86">
        <f t="shared" si="45"/>
        <v>0.5</v>
      </c>
      <c r="DK34" s="86">
        <f t="shared" si="46"/>
        <v>0.5</v>
      </c>
      <c r="DL34" s="30" t="e">
        <f t="shared" ca="1" si="88"/>
        <v>#DIV/0!</v>
      </c>
      <c r="DM34" s="85" t="e">
        <f ca="1">IF(CS34&lt;=Hypothèses!$V$7,Hypothèses!$W$7,IF(CS34&lt;=Hypothèses!$V$8,Hypothèses!$W$8,IF(CS34&lt;=Hypothèses!$V$9,Hypothèses!$W$9,IF(CS34&lt;=Hypothèses!$V$10,Hypothèses!$W$10,IF(CS34&lt;=Hypothèses!$V$11,Hypothèses!$W$11,IF(CS34&lt;=Hypothèses!$V$12,Hypothèses!$W$12,IF(CS34&lt;=Hypothèses!$V$13,Hypothèses!$W$13,IF(CS34&lt;=Hypothèses!$V$14,Hypothèses!$W$14,IF(CS34&lt;=Hypothèses!$V$15,Hypothèses!$W$15,IF(CS34&lt;=Hypothèses!$V$16,Hypothèses!$W$16,IF(CS34&lt;=Hypothèses!$V$17,Hypothèses!$W$17,IF(CS34&lt;=Hypothèses!$V$18,Hypothèses!$W$18,""))))))))))))</f>
        <v>#DIV/0!</v>
      </c>
      <c r="DN34" s="87" t="e">
        <f t="shared" ca="1" si="121"/>
        <v>#DIV/0!</v>
      </c>
      <c r="DO34" s="88" t="e">
        <f ca="1">IF(CS34&lt;=Hypothèses!$V$7,Hypothèses!$X$7,IF(CS34&lt;=Hypothèses!$V$8,Hypothèses!$X$8,IF(CS34&lt;=Hypothèses!$V$9,Hypothèses!$X$9,IF(CS34&lt;=Hypothèses!$V$10,Hypothèses!$X$10,IF(CS34&lt;=Hypothèses!$V$11,Hypothèses!$X$11,IF(CS34&lt;=Hypothèses!$V$12,Hypothèses!$X$12,IF(CS34&lt;=Hypothèses!$V$13,Hypothèses!$X$13,IF(CS34&lt;=Hypothèses!$V$14,Hypothèses!$X$14,IF(CS34&lt;=Hypothèses!$V$15,Hypothèses!$X$15,IF(CS34&lt;=Hypothèses!$V$16,Hypothèses!$X$16,IF(CS34&lt;=Hypothèses!$U$17,Hypothèses!$W$17,IF(CS34&lt;=Hypothèses!$U$18,Hypothèses!$W$18,""))))))))))))</f>
        <v>#DIV/0!</v>
      </c>
      <c r="DP34" s="95" t="e">
        <f t="shared" ca="1" si="89"/>
        <v>#DIV/0!</v>
      </c>
      <c r="DQ34" s="101">
        <f t="shared" si="128"/>
        <v>0</v>
      </c>
      <c r="DR34" s="91">
        <f t="shared" si="48"/>
        <v>0</v>
      </c>
      <c r="DS34" s="30" t="e">
        <f t="shared" si="110"/>
        <v>#N/A</v>
      </c>
      <c r="DT34" s="30" t="e">
        <f t="shared" si="111"/>
        <v>#N/A</v>
      </c>
      <c r="DU34" s="31" t="e">
        <f>IF(OR(Hypothèses!$B$4=17,Hypothèses!$B$4=18,Hypothèses!$B$4=19,Hypothèses!$B$4=20),
IF($D34="Pressio.",
IF(OR($E34=3,$E34=1,$E34=4),DT34,DS34),
IF($D34="Pénétro.",
IF(OR($E34=3,$E34=1,$E34=4),DT34,DS34))),IF($D34="Pressio.",
IF($E34=3,DT34,DS34),
IF($D34="Pénétro.",
IF($E34=4,DT34,DS34))))</f>
        <v>#N/A</v>
      </c>
      <c r="DV34" s="31">
        <v>0</v>
      </c>
      <c r="DW34" s="102" t="e">
        <f>IF(NDC!$H$10="Oui",(VLOOKUP($B$3,'Coeff EC7'!$T$39:$X$59,2,0)*DU34+VLOOKUP($B$3,'Coeff EC7'!$T$65:$X$85,2,0)*Model0.1T!DV34)/1.5,PI()*DS$12*$Q34*($B34-$B33)*0.15/10+DW33)</f>
        <v>#N/A</v>
      </c>
      <c r="DX34" s="102" t="e">
        <f>(VLOOKUP($B$3,'Coeff EC7'!$T$39:$X$59,3,0)*DU34+VLOOKUP($B$3,'Coeff EC7'!$T$65:$X$85,3,0)*Model0.1T!DV34)/1.1</f>
        <v>#N/A</v>
      </c>
      <c r="DY34" s="102" t="e">
        <f t="shared" si="90"/>
        <v>#N/A</v>
      </c>
      <c r="DZ34" s="102" t="e">
        <f t="shared" si="91"/>
        <v>#N/A</v>
      </c>
      <c r="EA34" s="414" t="e">
        <f>IF(AND(DW34&gt;NDC!$C$63,DX34&gt;NDC!$C$65,DY34&gt;NDC!$D$73,DZ34&gt;NDC!$D$74,$B34&gt;NDC!$H$22-0.1+MIN(3*EA$12,1.5)),0,1)</f>
        <v>#N/A</v>
      </c>
      <c r="EB34" s="86" t="b">
        <f t="shared" si="51"/>
        <v>0</v>
      </c>
      <c r="EC34" s="418">
        <f t="shared" si="52"/>
        <v>0.51</v>
      </c>
      <c r="ED34" s="86">
        <f t="shared" si="53"/>
        <v>0.51</v>
      </c>
      <c r="EE34" s="30" t="e">
        <f t="shared" ca="1" si="92"/>
        <v>#DIV/0!</v>
      </c>
      <c r="EF34" s="85" t="e">
        <f ca="1">IF(DL34&lt;=Hypothèses!$V$7,Hypothèses!$W$7,IF(DL34&lt;=Hypothèses!$V$8,Hypothèses!$W$8,IF(DL34&lt;=Hypothèses!$V$9,Hypothèses!$W$9,IF(DL34&lt;=Hypothèses!$V$10,Hypothèses!$W$10,IF(DL34&lt;=Hypothèses!$V$11,Hypothèses!$W$11,IF(DL34&lt;=Hypothèses!$V$12,Hypothèses!$W$12,IF(DL34&lt;=Hypothèses!$V$13,Hypothèses!$W$13,IF(DL34&lt;=Hypothèses!$V$14,Hypothèses!$W$14,IF(DL34&lt;=Hypothèses!$V$15,Hypothèses!$W$15,IF(DL34&lt;=Hypothèses!$V$16,Hypothèses!$W$16,IF(DL34&lt;=Hypothèses!$V$17,Hypothèses!$W$17,IF(DL34&lt;=Hypothèses!$V$18,Hypothèses!$W$18,""))))))))))))</f>
        <v>#DIV/0!</v>
      </c>
      <c r="EG34" s="87" t="e">
        <f t="shared" ca="1" si="122"/>
        <v>#DIV/0!</v>
      </c>
      <c r="EH34" s="88" t="e">
        <f ca="1">IF(DL34&lt;=Hypothèses!$V$7,Hypothèses!$X$7,IF(DL34&lt;=Hypothèses!$V$8,Hypothèses!$X$8,IF(DL34&lt;=Hypothèses!$V$9,Hypothèses!$X$9,IF(DL34&lt;=Hypothèses!$V$10,Hypothèses!$X$10,IF(DL34&lt;=Hypothèses!$V$11,Hypothèses!$X$11,IF(DL34&lt;=Hypothèses!$V$12,Hypothèses!$X$12,IF(DL34&lt;=Hypothèses!$V$13,Hypothèses!$X$13,IF(DL34&lt;=Hypothèses!$V$14,Hypothèses!$X$14,IF(DL34&lt;=Hypothèses!$V$15,Hypothèses!$X$15,IF(DL34&lt;=Hypothèses!$V$16,Hypothèses!$X$16,IF(DL34&lt;=Hypothèses!$U$17,Hypothèses!$W$17,IF(DL34&lt;=Hypothèses!$U$18,Hypothèses!$W$18,""))))))))))))</f>
        <v>#DIV/0!</v>
      </c>
      <c r="EI34" s="95" t="e">
        <f t="shared" ca="1" si="93"/>
        <v>#DIV/0!</v>
      </c>
      <c r="EJ34" s="101">
        <f t="shared" si="129"/>
        <v>0</v>
      </c>
      <c r="EK34" s="91">
        <f t="shared" si="55"/>
        <v>0</v>
      </c>
      <c r="EL34" s="30" t="e">
        <f t="shared" si="112"/>
        <v>#N/A</v>
      </c>
      <c r="EM34" s="30" t="e">
        <f t="shared" si="113"/>
        <v>#N/A</v>
      </c>
      <c r="EN34" s="31" t="e">
        <f>IF(OR(Hypothèses!$B$4=17,Hypothèses!$B$4=18,Hypothèses!$B$4=19,Hypothèses!$B$4=20),
IF($D34="Pressio.",
IF(OR($E34=3,$E34=1,$E34=4),EM34,EL34),
IF($D34="Pénétro.",
IF(OR($E34=3,$E34=1,$E34=4),EM34,EL34))),IF($D34="Pressio.",
IF($E34=3,EM34,EL34),
IF($D34="Pénétro.",
IF($E34=4,EM34,EL34))))</f>
        <v>#N/A</v>
      </c>
      <c r="EO34" s="31">
        <v>0</v>
      </c>
      <c r="EP34" s="102" t="e">
        <f>IF(NDC!$H$10="Oui",(VLOOKUP($B$3,'Coeff EC7'!$T$39:$X$59,2,0)*EN34+VLOOKUP($B$3,'Coeff EC7'!$T$65:$X$85,2,0)*Model0.1T!EO34)/1.5,PI()*EL$12*$Q34*($B34-$B33)*0.15/10+EP33)</f>
        <v>#N/A</v>
      </c>
      <c r="EQ34" s="102" t="e">
        <f>(VLOOKUP($B$3,'Coeff EC7'!$T$39:$X$59,3,0)*EN34+VLOOKUP($B$3,'Coeff EC7'!$T$65:$X$85,3,0)*Model0.1T!EO34)/1.1</f>
        <v>#N/A</v>
      </c>
      <c r="ER34" s="102" t="e">
        <f t="shared" si="94"/>
        <v>#N/A</v>
      </c>
      <c r="ES34" s="102" t="e">
        <f t="shared" si="95"/>
        <v>#N/A</v>
      </c>
      <c r="ET34" s="414" t="e">
        <f>IF(AND(EP34&gt;NDC!$C$63,EQ34&gt;NDC!$C$65,ER34&gt;NDC!$D$73,ES34&gt;NDC!$D$74,$B34&gt;NDC!$H$22-0.1+MIN(3*ET$12,1.5)),0,1)</f>
        <v>#N/A</v>
      </c>
      <c r="EU34" s="86" t="b">
        <f t="shared" si="58"/>
        <v>0</v>
      </c>
      <c r="EV34" s="86">
        <f t="shared" si="59"/>
        <v>0.61</v>
      </c>
      <c r="EW34" s="86">
        <f t="shared" si="60"/>
        <v>0.61</v>
      </c>
      <c r="EX34" s="30" t="e">
        <f t="shared" ca="1" si="96"/>
        <v>#DIV/0!</v>
      </c>
      <c r="EY34" s="85" t="e">
        <f ca="1">IF(EE34&lt;=Hypothèses!$V$7,Hypothèses!$W$7,IF(EE34&lt;=Hypothèses!$V$8,Hypothèses!$W$8,IF(EE34&lt;=Hypothèses!$V$9,Hypothèses!$W$9,IF(EE34&lt;=Hypothèses!$V$10,Hypothèses!$W$10,IF(EE34&lt;=Hypothèses!$V$11,Hypothèses!$W$11,IF(EE34&lt;=Hypothèses!$V$12,Hypothèses!$W$12,IF(EE34&lt;=Hypothèses!$V$13,Hypothèses!$W$13,IF(EE34&lt;=Hypothèses!$V$14,Hypothèses!$W$14,IF(EE34&lt;=Hypothèses!$V$15,Hypothèses!$W$15,IF(EE34&lt;=Hypothèses!$V$16,Hypothèses!$W$16,IF(EE34&lt;=Hypothèses!$V$17,Hypothèses!$W$17,IF(EE34&lt;=Hypothèses!$V$18,Hypothèses!$W$18,""))))))))))))</f>
        <v>#DIV/0!</v>
      </c>
      <c r="EZ34" s="87" t="e">
        <f t="shared" ca="1" si="123"/>
        <v>#DIV/0!</v>
      </c>
      <c r="FA34" s="88" t="e">
        <f ca="1">IF(EE34&lt;=Hypothèses!$V$7,Hypothèses!$X$7,IF(EE34&lt;=Hypothèses!$V$8,Hypothèses!$X$8,IF(EE34&lt;=Hypothèses!$V$9,Hypothèses!$X$9,IF(EE34&lt;=Hypothèses!$V$10,Hypothèses!$X$10,IF(EE34&lt;=Hypothèses!$V$11,Hypothèses!$X$11,IF(EE34&lt;=Hypothèses!$V$12,Hypothèses!$X$12,IF(EE34&lt;=Hypothèses!$V$13,Hypothèses!$X$13,IF(EE34&lt;=Hypothèses!$V$14,Hypothèses!$X$14,IF(EE34&lt;=Hypothèses!$V$15,Hypothèses!$X$15,IF(EE34&lt;=Hypothèses!$V$16,Hypothèses!$X$16,IF(EE34&lt;=Hypothèses!$U$17,Hypothèses!$W$17,IF(EE34&lt;=Hypothèses!$U$18,Hypothèses!$W$18,""))))))))))))</f>
        <v>#DIV/0!</v>
      </c>
      <c r="FB34" s="95" t="e">
        <f t="shared" ca="1" si="97"/>
        <v>#DIV/0!</v>
      </c>
      <c r="FC34" s="101">
        <f t="shared" si="130"/>
        <v>0</v>
      </c>
      <c r="FD34" s="91">
        <f t="shared" si="62"/>
        <v>0</v>
      </c>
      <c r="FE34" s="30" t="e">
        <f t="shared" si="114"/>
        <v>#N/A</v>
      </c>
      <c r="FF34" s="30" t="e">
        <f t="shared" si="115"/>
        <v>#N/A</v>
      </c>
      <c r="FG34" s="31" t="e">
        <f>IF(OR(Hypothèses!$B$4=17,Hypothèses!$B$4=18,Hypothèses!$B$4=19,Hypothèses!$B$4=20),
IF($D34="Pressio.",
IF(OR($E34=3,$E34=1,$E34=4),FF34,FE34),
IF($D34="Pénétro.",
IF(OR($E34=3,$E34=1,$E34=4),FF34,FE34))),IF($D34="Pressio.",
IF($E34=3,FF34,FE34),
IF($D34="Pénétro.",
IF($E34=4,FF34,FE34))))</f>
        <v>#N/A</v>
      </c>
      <c r="FH34" s="31">
        <v>0</v>
      </c>
      <c r="FI34" s="102" t="e">
        <f>IF(NDC!$H$10="Oui",(VLOOKUP($B$3,'Coeff EC7'!$T$39:$X$59,2,0)*FG34+VLOOKUP($B$3,'Coeff EC7'!$T$65:$X$85,2,0)*Model0.1T!FH34)/1.5,PI()*FE$12*$Q34*($B34-$B33)*0.15/10+FI33)</f>
        <v>#N/A</v>
      </c>
      <c r="FJ34" s="102" t="e">
        <f>(VLOOKUP($B$3,'Coeff EC7'!$T$39:$X$59,3,0)*FG34+VLOOKUP($B$3,'Coeff EC7'!$T$65:$X$85,3,0)*Model0.1T!FH34)/1.1</f>
        <v>#N/A</v>
      </c>
      <c r="FK34" s="102" t="e">
        <f t="shared" si="98"/>
        <v>#N/A</v>
      </c>
      <c r="FL34" s="102" t="e">
        <f t="shared" si="99"/>
        <v>#N/A</v>
      </c>
      <c r="FM34" s="414" t="e">
        <f>IF(AND(FI34&gt;NDC!$C$63,FJ34&gt;NDC!$C$65,FK34&gt;NDC!$D$73,FL34&gt;NDC!$D$74,$B34&gt;NDC!$H$22-0.1+MIN(3*FM$12,1.5)),0,1)</f>
        <v>#N/A</v>
      </c>
    </row>
    <row r="35" spans="1:169">
      <c r="A35" s="96">
        <f t="shared" si="65"/>
        <v>97.800000000000125</v>
      </c>
      <c r="B35" s="97">
        <v>2.2000000000000002</v>
      </c>
      <c r="C35" s="81">
        <f>IF(B35&lt;=Hypothèses!$C$7,Hypothèses!$A$7,IF(B35&lt;=Hypothèses!$C$8,Hypothèses!$A$8,IF(B35&lt;=Hypothèses!$C$9,Hypothèses!$A$9,IF(B35&lt;=Hypothèses!$C$10,Hypothèses!$A$10,IF(B35&lt;=Hypothèses!$C$11,Hypothèses!$A$11,IF(B35&lt;=Hypothèses!$C$12,Hypothèses!$A$12,IF(B35&lt;=Hypothèses!$C$13,Hypothèses!$A$13,IF(B35&lt;=Hypothèses!$C$14,Hypothèses!$A$14,IF(B35&lt;=Hypothèses!$C$15,Hypothèses!$A$15,IF(B35&lt;=Hypothèses!$C$16,Hypothèses!$A$16,IF(B35&lt;=Hypothèses!$C$17,Hypothèses!$A$17,IF(B35&lt;=Hypothèses!$C$18,Hypothèses!$A$18,C34))))))))))))</f>
        <v>11</v>
      </c>
      <c r="D35" s="82" t="str">
        <f>IF(B35&lt;=Hypothèses!$C$7,Hypothèses!$R$7,IF(B35&lt;=Hypothèses!$C$8,Hypothèses!$R$8,IF(B35&lt;=Hypothèses!$C$9,Hypothèses!$R$9,IF(B35&lt;=Hypothèses!$C$10,Hypothèses!$R$10,IF(B35&lt;=Hypothèses!$C$11,Hypothèses!$R$11,IF(B35&lt;=Hypothèses!$C$12,Hypothèses!$R$12,IF(B35&lt;=Hypothèses!$C$13,Hypothèses!$R$13,IF(B35&lt;=Hypothèses!$C$14,Hypothèses!$R$14,IF(B35&lt;=Hypothèses!$C$15,Hypothèses!$R$15,IF(B35&lt;=Hypothèses!$C$16,Hypothèses!$R$16,IF(B35&lt;=Hypothèses!$C$17,Hypothèses!$R$17,IF(B35&lt;=Hypothèses!$C$18,Hypothèses!$R$18,D34))))))))))))</f>
        <v>Pressio.</v>
      </c>
      <c r="E35" s="82" t="e">
        <f>IF(B35&lt;=Hypothèses!$C$7,Hypothèses!$G$7,IF(B35&lt;=Hypothèses!$C$8,Hypothèses!$G$8,IF(B35&lt;=Hypothèses!$C$9,Hypothèses!$G$9,IF(B35&lt;=Hypothèses!$C$10,Hypothèses!$G$10,IF(B35&lt;=Hypothèses!$C$11,Hypothèses!$G$11,IF(B35&lt;=Hypothèses!$C$12,Hypothèses!$G$12,IF(B35&lt;=Hypothèses!$C$13,Hypothèses!$G$13,IF(B35&lt;=Hypothèses!$C$14,Hypothèses!$G$14,IF(B35&lt;=Hypothèses!$C$15,Hypothèses!$G$15,IF(B35&lt;=Hypothèses!$C$16,Hypothèses!$G$16,IF(B35&lt;=Hypothèses!$C$17,Hypothèses!$G$17,IF(B35&lt;=Hypothèses!$C$18,Hypothèses!$G$18,E34))))))))))))</f>
        <v>#N/A</v>
      </c>
      <c r="F35" s="82" t="str">
        <f>IF(B35&lt;=Hypothèses!$C$7,Hypothèses!$F$7,IF(B35&lt;=Hypothèses!$C$8,Hypothèses!$F$8,IF(B35&lt;=Hypothèses!$C$9,Hypothèses!$F$9,IF(B35&lt;=Hypothèses!$C$10,Hypothèses!$F$10,IF(B35&lt;=Hypothèses!$C$11,Hypothèses!$F$11,IF(B35&lt;=Hypothèses!$C$12,Hypothèses!$F$12,IF(B35&lt;=Hypothèses!$C$13,Hypothèses!$F$13,IF(B35&lt;=Hypothèses!$C$14,Hypothèses!$F$14,IF(B35&lt;=Hypothèses!$C$15,Hypothèses!$F$15,IF(B35&lt;=Hypothèses!$C$16,Hypothèses!$F$16,IF(B35&lt;=Hypothèses!$C$17,Hypothèses!$F$17,IF(B35&lt;=Hypothèses!$C$18,Hypothèses!$F$18,F34))))))))))))</f>
        <v/>
      </c>
      <c r="G35" s="91">
        <f t="array" ref="G35">INDEX('Coeff EC7'!$U$7:$X$27,
MATCH(Model0.1T!$B$3,'Coeff EC7'!$T$7:$T$27,0),
MATCH(Model0.1T!$D35&amp;Model0.1T!$B$4,
'Coeff EC7'!$U$6:$X$6&amp;
'Coeff EC7'!$U$5:$X$5,0))</f>
        <v>1.4</v>
      </c>
      <c r="H35" s="91">
        <f t="array" ref="H35">INDEX('Coeff EC7'!$Y$7:$AB$27,
MATCH(Model0.1T!$B$3,'Coeff EC7'!$T$7:$T$27,0),
MATCH(Model0.1T!$D35&amp;Model0.1T!$B$4,
'Coeff EC7'!$Y$6:$AB$6&amp;
'Coeff EC7'!$Y$5:$AB$5,0))</f>
        <v>1.7</v>
      </c>
      <c r="I35" s="83">
        <v>0</v>
      </c>
      <c r="J35" s="91" t="e">
        <f t="array" ref="J35">INDEX('Coeff EC7'!$D$33:$Q$33,1,MATCH(D35&amp;E35,'Coeff EC7'!$D$31:$Q$31&amp;'Coeff EC7'!$D$32:$Q$32,0))</f>
        <v>#N/A</v>
      </c>
      <c r="K35" s="91" t="e">
        <f t="array" ref="K35">INDEX('Coeff EC7'!$D$34:$Q$34,1,MATCH(D35&amp;E35,'Coeff EC7'!$D$31:$Q$31&amp;'Coeff EC7'!$D$32:$Q$32,0))</f>
        <v>#N/A</v>
      </c>
      <c r="L35" s="91" t="e">
        <f t="array" ref="L35">INDEX('Coeff EC7'!$D$35:$Q$35,1,MATCH(D35&amp;E35,'Coeff EC7'!$D$31:$Q$31&amp;'Coeff EC7'!$D$32:$Q$32,0))</f>
        <v>#N/A</v>
      </c>
      <c r="M35" s="98" t="e">
        <f t="shared" si="8"/>
        <v>#N/A</v>
      </c>
      <c r="N35" s="99" t="e">
        <f t="array" ref="N35">INDEX('Coeff EC7'!$D$7:$Q$27,MATCH($B$3,'Coeff EC7'!$C$7:$C$27,0),MATCH(D35&amp;E35,'Coeff EC7'!$D$5:$Q$5&amp;'Coeff EC7'!$D$6:$Q$6,0))</f>
        <v>#N/A</v>
      </c>
      <c r="O35" s="99" t="e">
        <f t="array" ref="O35">INDEX('Coeff EC7'!$D$41:$Q$61,MATCH($B$3,'Coeff EC7'!$C$41:$C$61,0),MATCH(D35&amp;E35,'Coeff EC7'!$D$39:$Q$39&amp;'Coeff EC7'!$D$40:$Q$40,0))</f>
        <v>#N/A</v>
      </c>
      <c r="P35" s="30" t="e">
        <f t="shared" si="66"/>
        <v>#N/A</v>
      </c>
      <c r="Q35" s="100" t="e">
        <f t="shared" si="10"/>
        <v>#N/A</v>
      </c>
      <c r="R35" s="86" t="b">
        <f t="shared" si="11"/>
        <v>0</v>
      </c>
      <c r="S35" s="86">
        <f t="shared" si="9"/>
        <v>0.5</v>
      </c>
      <c r="T35" s="86">
        <f t="shared" si="12"/>
        <v>0.5</v>
      </c>
      <c r="U35" s="30" t="e">
        <f t="shared" ca="1" si="67"/>
        <v>#DIV/0!</v>
      </c>
      <c r="V35" s="85" t="str">
        <f>IF(B35&lt;=Hypothèses!$V$7,Hypothèses!$W$7,IF(B35&lt;=Hypothèses!$V$8,Hypothèses!$W$8,IF(B35&lt;=Hypothèses!$V$9,Hypothèses!$W$9,IF(B35&lt;=Hypothèses!$V$10,Hypothèses!$W$10,IF(B35&lt;=Hypothèses!$V$11,Hypothèses!$W$11,IF(B35&lt;=Hypothèses!$V$12,Hypothèses!$W$12,IF(B35&lt;=Hypothèses!$V$13,Hypothèses!$W$13,IF(B35&lt;=Hypothèses!$V$14,Hypothèses!$W$14,IF(B35&lt;=Hypothèses!$V$15,Hypothèses!$W$15,IF(B35&lt;=Hypothèses!$V$16,Hypothèses!$W$16,IF(B35&lt;=Hypothèses!$V$17,Hypothèses!$W$17,IF(B35&lt;=Hypothèses!$V$18,Hypothèses!$W$18,""))))))))))))</f>
        <v/>
      </c>
      <c r="W35" s="87" t="e">
        <f t="shared" ca="1" si="116"/>
        <v>#DIV/0!</v>
      </c>
      <c r="X35" s="88" t="str">
        <f>IF(B35&lt;=Hypothèses!$V$7,Hypothèses!$X$7,IF(B35&lt;=Hypothèses!$V$8,Hypothèses!$X$8,IF(B35&lt;=Hypothèses!$V$9,Hypothèses!$X$9,IF(B35&lt;=Hypothèses!$V$10,Hypothèses!$X$10,IF(B35&lt;=Hypothèses!$V$11,Hypothèses!$X$11,IF(B35&lt;=Hypothèses!$V$12,Hypothèses!$X$12,IF(B35&lt;=Hypothèses!$V$13,Hypothèses!$X$13,IF(B35&lt;=Hypothèses!$V$14,Hypothèses!$X$14,IF(B35&lt;=Hypothèses!$V$15,Hypothèses!$X$15,IF(B35&lt;=Hypothèses!$V$16,Hypothèses!$X$16,IF(B35&lt;=Hypothèses!$U$17,Hypothèses!$W$17,IF(B35&lt;=Hypothèses!$U$18,Hypothèses!$W$18,""))))))))))))</f>
        <v/>
      </c>
      <c r="Y35" s="95" t="e">
        <f t="shared" ca="1" si="13"/>
        <v>#DIV/0!</v>
      </c>
      <c r="Z35" s="101">
        <f t="shared" si="14"/>
        <v>0</v>
      </c>
      <c r="AA35" s="91">
        <f t="shared" si="15"/>
        <v>0</v>
      </c>
      <c r="AB35" s="30" t="e">
        <f t="shared" si="100"/>
        <v>#N/A</v>
      </c>
      <c r="AC35" s="30" t="e">
        <f t="shared" si="101"/>
        <v>#N/A</v>
      </c>
      <c r="AD35" s="31" t="e">
        <f>IF(OR(Hypothèses!$B$4=17,Hypothèses!$B$4=18,Hypothèses!$B$4=19,Hypothèses!$B$4=20),
IF($D35="Pressio.",
IF(OR($E35=3,$E35=1,$E35=4),AC35,AB35),
IF($D35="Pénétro.",
IF(OR($E35=3,$E35=1,$E35=4),AC35,AB35))),IF($D35="Pressio.",
IF($E35=3,AC35,AB35),
IF($D35="Pénétro.",
IF($E35=4,AC35,AB35))))</f>
        <v>#N/A</v>
      </c>
      <c r="AE35" s="31">
        <v>0</v>
      </c>
      <c r="AF35" s="102" t="e">
        <f>IF(NDC!$H$10="Oui",(VLOOKUP($B$3,'Coeff EC7'!$T$39:$X$59,2,0)*AD35+VLOOKUP($B$3,'Coeff EC7'!$T$65:$X$85,2,0)*Model0.1T!AE35)/1.5,PI()*AB$12*$Q35*($B35-$B34)*0.15/10+AF34)</f>
        <v>#N/A</v>
      </c>
      <c r="AG35" s="102" t="e">
        <f>(VLOOKUP($B$3,'Coeff EC7'!$T$39:$X$59,3,0)*AD35+VLOOKUP($B$3,'Coeff EC7'!$T$65:$X$85,3,0)*Model0.1T!AE35)/1.1</f>
        <v>#N/A</v>
      </c>
      <c r="AH35" s="102" t="e">
        <f t="shared" si="68"/>
        <v>#N/A</v>
      </c>
      <c r="AI35" s="102" t="e">
        <f t="shared" si="69"/>
        <v>#N/A</v>
      </c>
      <c r="AJ35" s="414" t="e">
        <f>IF(AND(AF35&gt;NDC!$C$63,AG35&gt;NDC!$C$65,AH35&gt;NDC!$D$73,AI35&gt;NDC!$D$74,$B35&gt;NDC!$H$22-0.1+MIN(3*$AJ$12,1.5)),0,1)</f>
        <v>#N/A</v>
      </c>
      <c r="AK35" s="86" t="b">
        <f t="shared" si="18"/>
        <v>0</v>
      </c>
      <c r="AL35" s="86">
        <f t="shared" si="70"/>
        <v>0.5</v>
      </c>
      <c r="AM35" s="86">
        <f t="shared" si="19"/>
        <v>0.5</v>
      </c>
      <c r="AN35" s="30" t="e">
        <f t="shared" ca="1" si="71"/>
        <v>#DIV/0!</v>
      </c>
      <c r="AO35" s="85" t="e">
        <f ca="1">IF(U35&lt;=Hypothèses!$V$7,Hypothèses!$W$7,IF(U35&lt;=Hypothèses!$V$8,Hypothèses!$W$8,IF(U35&lt;=Hypothèses!$V$9,Hypothèses!$W$9,IF(U35&lt;=Hypothèses!$V$10,Hypothèses!$W$10,IF(U35&lt;=Hypothèses!$V$11,Hypothèses!$W$11,IF(U35&lt;=Hypothèses!$V$12,Hypothèses!$W$12,IF(U35&lt;=Hypothèses!$V$13,Hypothèses!$W$13,IF(U35&lt;=Hypothèses!$V$14,Hypothèses!$W$14,IF(U35&lt;=Hypothèses!$V$15,Hypothèses!$W$15,IF(U35&lt;=Hypothèses!$V$16,Hypothèses!$W$16,IF(U35&lt;=Hypothèses!$V$17,Hypothèses!$W$17,IF(U35&lt;=Hypothèses!$V$18,Hypothèses!$W$18,""))))))))))))</f>
        <v>#DIV/0!</v>
      </c>
      <c r="AP35" s="87" t="e">
        <f t="shared" ca="1" si="117"/>
        <v>#DIV/0!</v>
      </c>
      <c r="AQ35" s="88" t="e">
        <f ca="1">IF(U35&lt;=Hypothèses!$V$7,Hypothèses!$X$7,IF(U35&lt;=Hypothèses!$V$8,Hypothèses!$X$8,IF(U35&lt;=Hypothèses!$V$9,Hypothèses!$X$9,IF(U35&lt;=Hypothèses!$V$10,Hypothèses!$X$10,IF(U35&lt;=Hypothèses!$V$11,Hypothèses!$X$11,IF(U35&lt;=Hypothèses!$V$12,Hypothèses!$X$12,IF(U35&lt;=Hypothèses!$V$13,Hypothèses!$X$13,IF(U35&lt;=Hypothèses!$V$14,Hypothèses!$X$14,IF(U35&lt;=Hypothèses!$V$15,Hypothèses!$X$15,IF(U35&lt;=Hypothèses!$V$16,Hypothèses!$X$16,IF(U35&lt;=Hypothèses!$U$17,Hypothèses!$W$17,IF(U35&lt;=Hypothèses!$U$18,Hypothèses!$W$18,""))))))))))))</f>
        <v>#DIV/0!</v>
      </c>
      <c r="AR35" s="95" t="e">
        <f t="shared" ca="1" si="72"/>
        <v>#DIV/0!</v>
      </c>
      <c r="AS35" s="101">
        <f t="shared" si="124"/>
        <v>0</v>
      </c>
      <c r="AT35" s="91">
        <f t="shared" si="21"/>
        <v>0</v>
      </c>
      <c r="AU35" s="30" t="e">
        <f t="shared" si="102"/>
        <v>#N/A</v>
      </c>
      <c r="AV35" s="30" t="e">
        <f t="shared" si="103"/>
        <v>#N/A</v>
      </c>
      <c r="AW35" s="31" t="e">
        <f>IF(OR(Hypothèses!$B$4=17,Hypothèses!$B$4=18,Hypothèses!$B$4=19,Hypothèses!$B$4=20),
IF($D35="Pressio.",
IF(OR($E35=3,$E35=1,$E35=4),AV35,AU35),
IF($D35="Pénétro.",
IF(OR($E35=3,$E35=1,$E35=4),AV35,AU35))),IF($D35="Pressio.",
IF($E35=3,AV35,AU35),
IF($D35="Pénétro.",
IF($E35=4,AV35,AU35))))</f>
        <v>#N/A</v>
      </c>
      <c r="AX35" s="31">
        <v>0</v>
      </c>
      <c r="AY35" s="102" t="e">
        <f>IF(NDC!$H$10="Oui",(VLOOKUP($B$3,'Coeff EC7'!$T$39:$X$59,2,0)*AW35+VLOOKUP($B$3,'Coeff EC7'!$T$65:$X$85,2,0)*Model0.1T!AX35)/1.5,PI()*AU$12*$Q35*($B35-$B34)*0.15/10+AY34)</f>
        <v>#N/A</v>
      </c>
      <c r="AZ35" s="102" t="e">
        <f>(VLOOKUP($B$3,'Coeff EC7'!$T$39:$X$59,3,0)*AW35+VLOOKUP($B$3,'Coeff EC7'!$T$65:$X$85,3,0)*Model0.1T!AX35)/1.1</f>
        <v>#N/A</v>
      </c>
      <c r="BA35" s="102" t="e">
        <f t="shared" si="73"/>
        <v>#N/A</v>
      </c>
      <c r="BB35" s="102" t="e">
        <f t="shared" si="74"/>
        <v>#N/A</v>
      </c>
      <c r="BC35" s="414" t="e">
        <f>IF(AND(AY35&gt;NDC!$C$63,AZ35&gt;NDC!$C$65,BA35&gt;NDC!$D$73,BB35&gt;NDC!$D$74,$B35&gt;NDC!$H$22-0.1+MIN(3*BC$12,1.5)),0,1)</f>
        <v>#N/A</v>
      </c>
      <c r="BD35" s="86" t="b">
        <f t="shared" si="24"/>
        <v>0</v>
      </c>
      <c r="BE35" s="86">
        <f t="shared" si="75"/>
        <v>0.5</v>
      </c>
      <c r="BF35" s="86">
        <f t="shared" si="25"/>
        <v>0.5</v>
      </c>
      <c r="BG35" s="30" t="e">
        <f t="shared" ca="1" si="76"/>
        <v>#DIV/0!</v>
      </c>
      <c r="BH35" s="85" t="e">
        <f ca="1">IF(AN35&lt;=Hypothèses!$V$7,Hypothèses!$W$7,IF(AN35&lt;=Hypothèses!$V$8,Hypothèses!$W$8,IF(AN35&lt;=Hypothèses!$V$9,Hypothèses!$W$9,IF(AN35&lt;=Hypothèses!$V$10,Hypothèses!$W$10,IF(AN35&lt;=Hypothèses!$V$11,Hypothèses!$W$11,IF(AN35&lt;=Hypothèses!$V$12,Hypothèses!$W$12,IF(AN35&lt;=Hypothèses!$V$13,Hypothèses!$W$13,IF(AN35&lt;=Hypothèses!$V$14,Hypothèses!$W$14,IF(AN35&lt;=Hypothèses!$V$15,Hypothèses!$W$15,IF(AN35&lt;=Hypothèses!$V$16,Hypothèses!$W$16,IF(AN35&lt;=Hypothèses!$V$17,Hypothèses!$W$17,IF(AN35&lt;=Hypothèses!$V$18,Hypothèses!$W$18,""))))))))))))</f>
        <v>#DIV/0!</v>
      </c>
      <c r="BI35" s="87" t="e">
        <f t="shared" ca="1" si="118"/>
        <v>#DIV/0!</v>
      </c>
      <c r="BJ35" s="88" t="e">
        <f ca="1">IF(AN35&lt;=Hypothèses!$V$7,Hypothèses!$X$7,IF(AN35&lt;=Hypothèses!$V$8,Hypothèses!$X$8,IF(AN35&lt;=Hypothèses!$V$9,Hypothèses!$X$9,IF(AN35&lt;=Hypothèses!$V$10,Hypothèses!$X$10,IF(AN35&lt;=Hypothèses!$V$11,Hypothèses!$X$11,IF(AN35&lt;=Hypothèses!$V$12,Hypothèses!$X$12,IF(AN35&lt;=Hypothèses!$V$13,Hypothèses!$X$13,IF(AN35&lt;=Hypothèses!$V$14,Hypothèses!$X$14,IF(AN35&lt;=Hypothèses!$V$15,Hypothèses!$X$15,IF(AN35&lt;=Hypothèses!$V$16,Hypothèses!$X$16,IF(AN35&lt;=Hypothèses!$U$17,Hypothèses!$W$17,IF(AN35&lt;=Hypothèses!$U$18,Hypothèses!$W$18,""))))))))))))</f>
        <v>#DIV/0!</v>
      </c>
      <c r="BK35" s="95" t="e">
        <f t="shared" ca="1" si="77"/>
        <v>#DIV/0!</v>
      </c>
      <c r="BL35" s="101">
        <f t="shared" si="125"/>
        <v>0</v>
      </c>
      <c r="BM35" s="91">
        <f t="shared" si="27"/>
        <v>0</v>
      </c>
      <c r="BN35" s="30" t="e">
        <f t="shared" si="104"/>
        <v>#N/A</v>
      </c>
      <c r="BO35" s="30" t="e">
        <f t="shared" si="105"/>
        <v>#N/A</v>
      </c>
      <c r="BP35" s="31" t="e">
        <f>IF(OR(Hypothèses!$B$4=17,Hypothèses!$B$4=18,Hypothèses!$B$4=19,Hypothèses!$B$4=20),
IF($D35="Pressio.",
IF(OR($E35=3,$E35=1,$E35=4),BO35,BN35),
IF($D35="Pénétro.",
IF(OR($E35=3,$E35=1,$E35=4),BO35,BN35))),IF($D35="Pressio.",
IF($E35=3,BO35,BN35),
IF($D35="Pénétro.",
IF($E35=4,BO35,BN35))))</f>
        <v>#N/A</v>
      </c>
      <c r="BQ35" s="31">
        <v>0</v>
      </c>
      <c r="BR35" s="102" t="e">
        <f>IF(NDC!$H$10="Oui",(VLOOKUP($B$3,'Coeff EC7'!$T$39:$X$59,2,0)*BP35+VLOOKUP($B$3,'Coeff EC7'!$T$65:$X$85,2,0)*Model0.1T!BQ35)/1.5,PI()*BN$12*$Q35*($B35-$B34)*0.15/10+BR34)</f>
        <v>#N/A</v>
      </c>
      <c r="BS35" s="102" t="e">
        <f>(VLOOKUP($B$3,'Coeff EC7'!$T$39:$X$59,3,0)*BP35+VLOOKUP($B$3,'Coeff EC7'!$T$65:$X$85,3,0)*Model0.1T!BQ35)/1.1</f>
        <v>#N/A</v>
      </c>
      <c r="BT35" s="102" t="e">
        <f t="shared" si="78"/>
        <v>#N/A</v>
      </c>
      <c r="BU35" s="102" t="e">
        <f t="shared" si="79"/>
        <v>#N/A</v>
      </c>
      <c r="BV35" s="414" t="e">
        <f>IF(AND(BR35&gt;NDC!$C$63,BS35&gt;NDC!$C$65,BT35&gt;NDC!$D$73,BU35&gt;NDC!$D$74,$B35&gt;NDC!$H$22-0.1+MIN(3*BV$12,1.5)),0,1)</f>
        <v>#N/A</v>
      </c>
      <c r="BW35" s="86" t="b">
        <f t="shared" si="30"/>
        <v>0</v>
      </c>
      <c r="BX35" s="86">
        <f t="shared" si="31"/>
        <v>0.5</v>
      </c>
      <c r="BY35" s="86">
        <f t="shared" si="32"/>
        <v>0.5</v>
      </c>
      <c r="BZ35" s="30" t="e">
        <f t="shared" ca="1" si="80"/>
        <v>#DIV/0!</v>
      </c>
      <c r="CA35" s="85" t="e">
        <f ca="1">IF(BG35&lt;=Hypothèses!$V$7,Hypothèses!$W$7,IF(BG35&lt;=Hypothèses!$V$8,Hypothèses!$W$8,IF(BG35&lt;=Hypothèses!$V$9,Hypothèses!$W$9,IF(BG35&lt;=Hypothèses!$V$10,Hypothèses!$W$10,IF(BG35&lt;=Hypothèses!$V$11,Hypothèses!$W$11,IF(BG35&lt;=Hypothèses!$V$12,Hypothèses!$W$12,IF(BG35&lt;=Hypothèses!$V$13,Hypothèses!$W$13,IF(BG35&lt;=Hypothèses!$V$14,Hypothèses!$W$14,IF(BG35&lt;=Hypothèses!$V$15,Hypothèses!$W$15,IF(BG35&lt;=Hypothèses!$V$16,Hypothèses!$W$16,IF(BG35&lt;=Hypothèses!$V$17,Hypothèses!$W$17,IF(BG35&lt;=Hypothèses!$V$18,Hypothèses!$W$18,""))))))))))))</f>
        <v>#DIV/0!</v>
      </c>
      <c r="CB35" s="87" t="e">
        <f t="shared" ca="1" si="119"/>
        <v>#DIV/0!</v>
      </c>
      <c r="CC35" s="88" t="e">
        <f ca="1">IF(BG35&lt;=Hypothèses!$V$7,Hypothèses!$X$7,IF(BG35&lt;=Hypothèses!$V$8,Hypothèses!$X$8,IF(BG35&lt;=Hypothèses!$V$9,Hypothèses!$X$9,IF(BG35&lt;=Hypothèses!$V$10,Hypothèses!$X$10,IF(BG35&lt;=Hypothèses!$V$11,Hypothèses!$X$11,IF(BG35&lt;=Hypothèses!$V$12,Hypothèses!$X$12,IF(BG35&lt;=Hypothèses!$V$13,Hypothèses!$X$13,IF(BG35&lt;=Hypothèses!$V$14,Hypothèses!$X$14,IF(BG35&lt;=Hypothèses!$V$15,Hypothèses!$X$15,IF(BG35&lt;=Hypothèses!$V$16,Hypothèses!$X$16,IF(BG35&lt;=Hypothèses!$U$17,Hypothèses!$W$17,IF(BG35&lt;=Hypothèses!$U$18,Hypothèses!$W$18,""))))))))))))</f>
        <v>#DIV/0!</v>
      </c>
      <c r="CD35" s="95" t="e">
        <f t="shared" ca="1" si="81"/>
        <v>#DIV/0!</v>
      </c>
      <c r="CE35" s="101">
        <f t="shared" si="126"/>
        <v>0</v>
      </c>
      <c r="CF35" s="91">
        <f t="shared" si="34"/>
        <v>0</v>
      </c>
      <c r="CG35" s="30" t="e">
        <f t="shared" si="106"/>
        <v>#N/A</v>
      </c>
      <c r="CH35" s="30" t="e">
        <f t="shared" si="107"/>
        <v>#N/A</v>
      </c>
      <c r="CI35" s="31" t="e">
        <f>IF(OR(Hypothèses!$B$4=17,Hypothèses!$B$4=18,Hypothèses!$B$4=19,Hypothèses!$B$4=20),
IF($D35="Pressio.",
IF(OR($E35=3,$E35=1,$E35=4),CH35,CG35),
IF($D35="Pénétro.",
IF(OR($E35=3,$E35=1,$E35=4),CH35,CG35))),IF($D35="Pressio.",
IF($E35=3,CH35,CG35),
IF($D35="Pénétro.",
IF($E35=4,CH35,CG35))))</f>
        <v>#N/A</v>
      </c>
      <c r="CJ35" s="31">
        <v>0</v>
      </c>
      <c r="CK35" s="102" t="e">
        <f>IF(NDC!$H$10="Oui",(VLOOKUP($B$3,'Coeff EC7'!$T$39:$X$59,2,0)*CI35+VLOOKUP($B$3,'Coeff EC7'!$T$65:$X$85,2,0)*Model0.1T!CJ35)/1.5,PI()*CG$12*$Q35*($B35-$B34)*0.15/10+CK34)</f>
        <v>#N/A</v>
      </c>
      <c r="CL35" s="102" t="e">
        <f>(VLOOKUP($B$3,'Coeff EC7'!$T$39:$X$59,3,0)*CI35+VLOOKUP($B$3,'Coeff EC7'!$T$65:$X$85,3,0)*Model0.1T!CJ35)/1.1</f>
        <v>#N/A</v>
      </c>
      <c r="CM35" s="102" t="e">
        <f t="shared" si="82"/>
        <v>#N/A</v>
      </c>
      <c r="CN35" s="102" t="e">
        <f t="shared" si="83"/>
        <v>#N/A</v>
      </c>
      <c r="CO35" s="414" t="e">
        <f>IF(AND(CK35&gt;NDC!$C$63,CL35&gt;NDC!$C$65,CM35&gt;NDC!$D$73,CN35&gt;NDC!$D$74,$B35&gt;NDC!$H$22-0.1+MIN(3*CO$12,1.5)),0,1)</f>
        <v>#N/A</v>
      </c>
      <c r="CP35" s="86" t="b">
        <f t="shared" si="37"/>
        <v>0</v>
      </c>
      <c r="CQ35" s="86">
        <f t="shared" si="38"/>
        <v>0.5</v>
      </c>
      <c r="CR35" s="86">
        <f t="shared" si="39"/>
        <v>0.5</v>
      </c>
      <c r="CS35" s="30" t="e">
        <f t="shared" ca="1" si="84"/>
        <v>#DIV/0!</v>
      </c>
      <c r="CT35" s="85" t="e">
        <f ca="1">IF(BZ35&lt;=Hypothèses!$V$7,Hypothèses!$W$7,IF(BZ35&lt;=Hypothèses!$V$8,Hypothèses!$W$8,IF(BZ35&lt;=Hypothèses!$V$9,Hypothèses!$W$9,IF(BZ35&lt;=Hypothèses!$V$10,Hypothèses!$W$10,IF(BZ35&lt;=Hypothèses!$V$11,Hypothèses!$W$11,IF(BZ35&lt;=Hypothèses!$V$12,Hypothèses!$W$12,IF(BZ35&lt;=Hypothèses!$V$13,Hypothèses!$W$13,IF(BZ35&lt;=Hypothèses!$V$14,Hypothèses!$W$14,IF(BZ35&lt;=Hypothèses!$V$15,Hypothèses!$W$15,IF(BZ35&lt;=Hypothèses!$V$16,Hypothèses!$W$16,IF(BZ35&lt;=Hypothèses!$V$17,Hypothèses!$W$17,IF(BZ35&lt;=Hypothèses!$V$18,Hypothèses!$W$18,""))))))))))))</f>
        <v>#DIV/0!</v>
      </c>
      <c r="CU35" s="87" t="e">
        <f t="shared" ca="1" si="120"/>
        <v>#DIV/0!</v>
      </c>
      <c r="CV35" s="88" t="e">
        <f ca="1">IF(BZ35&lt;=Hypothèses!$V$7,Hypothèses!$X$7,IF(BZ35&lt;=Hypothèses!$V$8,Hypothèses!$X$8,IF(BZ35&lt;=Hypothèses!$V$9,Hypothèses!$X$9,IF(BZ35&lt;=Hypothèses!$V$10,Hypothèses!$X$10,IF(BZ35&lt;=Hypothèses!$V$11,Hypothèses!$X$11,IF(BZ35&lt;=Hypothèses!$V$12,Hypothèses!$X$12,IF(BZ35&lt;=Hypothèses!$V$13,Hypothèses!$X$13,IF(BZ35&lt;=Hypothèses!$V$14,Hypothèses!$X$14,IF(BZ35&lt;=Hypothèses!$V$15,Hypothèses!$X$15,IF(BZ35&lt;=Hypothèses!$V$16,Hypothèses!$X$16,IF(BZ35&lt;=Hypothèses!$U$17,Hypothèses!$W$17,IF(BZ35&lt;=Hypothèses!$U$18,Hypothèses!$W$18,""))))))))))))</f>
        <v>#DIV/0!</v>
      </c>
      <c r="CW35" s="95" t="e">
        <f t="shared" ca="1" si="85"/>
        <v>#DIV/0!</v>
      </c>
      <c r="CX35" s="101">
        <f t="shared" si="127"/>
        <v>0</v>
      </c>
      <c r="CY35" s="91">
        <f t="shared" si="41"/>
        <v>0</v>
      </c>
      <c r="CZ35" s="30" t="e">
        <f t="shared" si="108"/>
        <v>#N/A</v>
      </c>
      <c r="DA35" s="30" t="e">
        <f t="shared" si="109"/>
        <v>#N/A</v>
      </c>
      <c r="DB35" s="31" t="e">
        <f>IF(OR(Hypothèses!$B$4=17,Hypothèses!$B$4=18,Hypothèses!$B$4=19,Hypothèses!$B$4=20),
IF($D35="Pressio.",
IF(OR($E35=3,$E35=1,$E35=4),DA35,CZ35),
IF($D35="Pénétro.",
IF(OR($E35=3,$E35=1,$E35=4),DA35,CZ35))),IF($D35="Pressio.",
IF($E35=3,DA35,CZ35),
IF($D35="Pénétro.",
IF($E35=4,DA35,CZ35))))</f>
        <v>#N/A</v>
      </c>
      <c r="DC35" s="31">
        <v>0</v>
      </c>
      <c r="DD35" s="102" t="e">
        <f>IF(NDC!$H$10="Oui",(VLOOKUP($B$3,'Coeff EC7'!$T$39:$X$59,2,0)*DB35+VLOOKUP($B$3,'Coeff EC7'!$T$65:$X$85,2,0)*Model0.1T!DC35)/1.5,PI()*CZ$12*$Q35*($B35-$B34)*0.15/10+DD34)</f>
        <v>#N/A</v>
      </c>
      <c r="DE35" s="102" t="e">
        <f>(VLOOKUP($B$3,'Coeff EC7'!$T$39:$X$59,3,0)*DB35+VLOOKUP($B$3,'Coeff EC7'!$T$65:$X$85,3,0)*Model0.1T!DC35)/1.1</f>
        <v>#N/A</v>
      </c>
      <c r="DF35" s="102" t="e">
        <f t="shared" si="86"/>
        <v>#N/A</v>
      </c>
      <c r="DG35" s="102" t="e">
        <f t="shared" si="87"/>
        <v>#N/A</v>
      </c>
      <c r="DH35" s="414" t="e">
        <f>IF(AND(DD35&gt;NDC!$C$63,DE35&gt;NDC!$C$65,DF35&gt;NDC!$D$73,DG35&gt;NDC!$D$74,$B35&gt;NDC!$H$22-0.1+MIN(3*DH$12,1.5)),0,1)</f>
        <v>#N/A</v>
      </c>
      <c r="DI35" s="86" t="b">
        <f t="shared" si="44"/>
        <v>0</v>
      </c>
      <c r="DJ35" s="86">
        <f t="shared" si="45"/>
        <v>0.5</v>
      </c>
      <c r="DK35" s="86">
        <f t="shared" si="46"/>
        <v>0.5</v>
      </c>
      <c r="DL35" s="30" t="e">
        <f t="shared" ca="1" si="88"/>
        <v>#DIV/0!</v>
      </c>
      <c r="DM35" s="85" t="e">
        <f ca="1">IF(CS35&lt;=Hypothèses!$V$7,Hypothèses!$W$7,IF(CS35&lt;=Hypothèses!$V$8,Hypothèses!$W$8,IF(CS35&lt;=Hypothèses!$V$9,Hypothèses!$W$9,IF(CS35&lt;=Hypothèses!$V$10,Hypothèses!$W$10,IF(CS35&lt;=Hypothèses!$V$11,Hypothèses!$W$11,IF(CS35&lt;=Hypothèses!$V$12,Hypothèses!$W$12,IF(CS35&lt;=Hypothèses!$V$13,Hypothèses!$W$13,IF(CS35&lt;=Hypothèses!$V$14,Hypothèses!$W$14,IF(CS35&lt;=Hypothèses!$V$15,Hypothèses!$W$15,IF(CS35&lt;=Hypothèses!$V$16,Hypothèses!$W$16,IF(CS35&lt;=Hypothèses!$V$17,Hypothèses!$W$17,IF(CS35&lt;=Hypothèses!$V$18,Hypothèses!$W$18,""))))))))))))</f>
        <v>#DIV/0!</v>
      </c>
      <c r="DN35" s="87" t="e">
        <f t="shared" ca="1" si="121"/>
        <v>#DIV/0!</v>
      </c>
      <c r="DO35" s="88" t="e">
        <f ca="1">IF(CS35&lt;=Hypothèses!$V$7,Hypothèses!$X$7,IF(CS35&lt;=Hypothèses!$V$8,Hypothèses!$X$8,IF(CS35&lt;=Hypothèses!$V$9,Hypothèses!$X$9,IF(CS35&lt;=Hypothèses!$V$10,Hypothèses!$X$10,IF(CS35&lt;=Hypothèses!$V$11,Hypothèses!$X$11,IF(CS35&lt;=Hypothèses!$V$12,Hypothèses!$X$12,IF(CS35&lt;=Hypothèses!$V$13,Hypothèses!$X$13,IF(CS35&lt;=Hypothèses!$V$14,Hypothèses!$X$14,IF(CS35&lt;=Hypothèses!$V$15,Hypothèses!$X$15,IF(CS35&lt;=Hypothèses!$V$16,Hypothèses!$X$16,IF(CS35&lt;=Hypothèses!$U$17,Hypothèses!$W$17,IF(CS35&lt;=Hypothèses!$U$18,Hypothèses!$W$18,""))))))))))))</f>
        <v>#DIV/0!</v>
      </c>
      <c r="DP35" s="95" t="e">
        <f t="shared" ca="1" si="89"/>
        <v>#DIV/0!</v>
      </c>
      <c r="DQ35" s="101">
        <f t="shared" si="128"/>
        <v>0</v>
      </c>
      <c r="DR35" s="91">
        <f t="shared" si="48"/>
        <v>0</v>
      </c>
      <c r="DS35" s="30" t="e">
        <f t="shared" si="110"/>
        <v>#N/A</v>
      </c>
      <c r="DT35" s="30" t="e">
        <f t="shared" si="111"/>
        <v>#N/A</v>
      </c>
      <c r="DU35" s="31" t="e">
        <f>IF(OR(Hypothèses!$B$4=17,Hypothèses!$B$4=18,Hypothèses!$B$4=19,Hypothèses!$B$4=20),
IF($D35="Pressio.",
IF(OR($E35=3,$E35=1,$E35=4),DT35,DS35),
IF($D35="Pénétro.",
IF(OR($E35=3,$E35=1,$E35=4),DT35,DS35))),IF($D35="Pressio.",
IF($E35=3,DT35,DS35),
IF($D35="Pénétro.",
IF($E35=4,DT35,DS35))))</f>
        <v>#N/A</v>
      </c>
      <c r="DV35" s="31">
        <v>0</v>
      </c>
      <c r="DW35" s="102" t="e">
        <f>IF(NDC!$H$10="Oui",(VLOOKUP($B$3,'Coeff EC7'!$T$39:$X$59,2,0)*DU35+VLOOKUP($B$3,'Coeff EC7'!$T$65:$X$85,2,0)*Model0.1T!DV35)/1.5,PI()*DS$12*$Q35*($B35-$B34)*0.15/10+DW34)</f>
        <v>#N/A</v>
      </c>
      <c r="DX35" s="102" t="e">
        <f>(VLOOKUP($B$3,'Coeff EC7'!$T$39:$X$59,3,0)*DU35+VLOOKUP($B$3,'Coeff EC7'!$T$65:$X$85,3,0)*Model0.1T!DV35)/1.1</f>
        <v>#N/A</v>
      </c>
      <c r="DY35" s="102" t="e">
        <f t="shared" si="90"/>
        <v>#N/A</v>
      </c>
      <c r="DZ35" s="102" t="e">
        <f t="shared" si="91"/>
        <v>#N/A</v>
      </c>
      <c r="EA35" s="414" t="e">
        <f>IF(AND(DW35&gt;NDC!$C$63,DX35&gt;NDC!$C$65,DY35&gt;NDC!$D$73,DZ35&gt;NDC!$D$74,$B35&gt;NDC!$H$22-0.1+MIN(3*EA$12,1.5)),0,1)</f>
        <v>#N/A</v>
      </c>
      <c r="EB35" s="86" t="b">
        <f t="shared" si="51"/>
        <v>0</v>
      </c>
      <c r="EC35" s="418">
        <f t="shared" si="52"/>
        <v>0.51</v>
      </c>
      <c r="ED35" s="86">
        <f t="shared" si="53"/>
        <v>0.51</v>
      </c>
      <c r="EE35" s="30" t="e">
        <f t="shared" ca="1" si="92"/>
        <v>#DIV/0!</v>
      </c>
      <c r="EF35" s="85" t="e">
        <f ca="1">IF(DL35&lt;=Hypothèses!$V$7,Hypothèses!$W$7,IF(DL35&lt;=Hypothèses!$V$8,Hypothèses!$W$8,IF(DL35&lt;=Hypothèses!$V$9,Hypothèses!$W$9,IF(DL35&lt;=Hypothèses!$V$10,Hypothèses!$W$10,IF(DL35&lt;=Hypothèses!$V$11,Hypothèses!$W$11,IF(DL35&lt;=Hypothèses!$V$12,Hypothèses!$W$12,IF(DL35&lt;=Hypothèses!$V$13,Hypothèses!$W$13,IF(DL35&lt;=Hypothèses!$V$14,Hypothèses!$W$14,IF(DL35&lt;=Hypothèses!$V$15,Hypothèses!$W$15,IF(DL35&lt;=Hypothèses!$V$16,Hypothèses!$W$16,IF(DL35&lt;=Hypothèses!$V$17,Hypothèses!$W$17,IF(DL35&lt;=Hypothèses!$V$18,Hypothèses!$W$18,""))))))))))))</f>
        <v>#DIV/0!</v>
      </c>
      <c r="EG35" s="87" t="e">
        <f t="shared" ca="1" si="122"/>
        <v>#DIV/0!</v>
      </c>
      <c r="EH35" s="88" t="e">
        <f ca="1">IF(DL35&lt;=Hypothèses!$V$7,Hypothèses!$X$7,IF(DL35&lt;=Hypothèses!$V$8,Hypothèses!$X$8,IF(DL35&lt;=Hypothèses!$V$9,Hypothèses!$X$9,IF(DL35&lt;=Hypothèses!$V$10,Hypothèses!$X$10,IF(DL35&lt;=Hypothèses!$V$11,Hypothèses!$X$11,IF(DL35&lt;=Hypothèses!$V$12,Hypothèses!$X$12,IF(DL35&lt;=Hypothèses!$V$13,Hypothèses!$X$13,IF(DL35&lt;=Hypothèses!$V$14,Hypothèses!$X$14,IF(DL35&lt;=Hypothèses!$V$15,Hypothèses!$X$15,IF(DL35&lt;=Hypothèses!$V$16,Hypothèses!$X$16,IF(DL35&lt;=Hypothèses!$U$17,Hypothèses!$W$17,IF(DL35&lt;=Hypothèses!$U$18,Hypothèses!$W$18,""))))))))))))</f>
        <v>#DIV/0!</v>
      </c>
      <c r="EI35" s="95" t="e">
        <f t="shared" ca="1" si="93"/>
        <v>#DIV/0!</v>
      </c>
      <c r="EJ35" s="101">
        <f t="shared" si="129"/>
        <v>0</v>
      </c>
      <c r="EK35" s="91">
        <f t="shared" si="55"/>
        <v>0</v>
      </c>
      <c r="EL35" s="30" t="e">
        <f t="shared" si="112"/>
        <v>#N/A</v>
      </c>
      <c r="EM35" s="30" t="e">
        <f t="shared" si="113"/>
        <v>#N/A</v>
      </c>
      <c r="EN35" s="31" t="e">
        <f>IF(OR(Hypothèses!$B$4=17,Hypothèses!$B$4=18,Hypothèses!$B$4=19,Hypothèses!$B$4=20),
IF($D35="Pressio.",
IF(OR($E35=3,$E35=1,$E35=4),EM35,EL35),
IF($D35="Pénétro.",
IF(OR($E35=3,$E35=1,$E35=4),EM35,EL35))),IF($D35="Pressio.",
IF($E35=3,EM35,EL35),
IF($D35="Pénétro.",
IF($E35=4,EM35,EL35))))</f>
        <v>#N/A</v>
      </c>
      <c r="EO35" s="31">
        <v>0</v>
      </c>
      <c r="EP35" s="102" t="e">
        <f>IF(NDC!$H$10="Oui",(VLOOKUP($B$3,'Coeff EC7'!$T$39:$X$59,2,0)*EN35+VLOOKUP($B$3,'Coeff EC7'!$T$65:$X$85,2,0)*Model0.1T!EO35)/1.5,PI()*EL$12*$Q35*($B35-$B34)*0.15/10+EP34)</f>
        <v>#N/A</v>
      </c>
      <c r="EQ35" s="102" t="e">
        <f>(VLOOKUP($B$3,'Coeff EC7'!$T$39:$X$59,3,0)*EN35+VLOOKUP($B$3,'Coeff EC7'!$T$65:$X$85,3,0)*Model0.1T!EO35)/1.1</f>
        <v>#N/A</v>
      </c>
      <c r="ER35" s="102" t="e">
        <f t="shared" si="94"/>
        <v>#N/A</v>
      </c>
      <c r="ES35" s="102" t="e">
        <f t="shared" si="95"/>
        <v>#N/A</v>
      </c>
      <c r="ET35" s="414" t="e">
        <f>IF(AND(EP35&gt;NDC!$C$63,EQ35&gt;NDC!$C$65,ER35&gt;NDC!$D$73,ES35&gt;NDC!$D$74,$B35&gt;NDC!$H$22-0.1+MIN(3*ET$12,1.5)),0,1)</f>
        <v>#N/A</v>
      </c>
      <c r="EU35" s="86" t="b">
        <f t="shared" si="58"/>
        <v>0</v>
      </c>
      <c r="EV35" s="86">
        <f t="shared" si="59"/>
        <v>0.61</v>
      </c>
      <c r="EW35" s="86">
        <f t="shared" si="60"/>
        <v>0.61</v>
      </c>
      <c r="EX35" s="30" t="e">
        <f t="shared" ca="1" si="96"/>
        <v>#DIV/0!</v>
      </c>
      <c r="EY35" s="85" t="e">
        <f ca="1">IF(EE35&lt;=Hypothèses!$V$7,Hypothèses!$W$7,IF(EE35&lt;=Hypothèses!$V$8,Hypothèses!$W$8,IF(EE35&lt;=Hypothèses!$V$9,Hypothèses!$W$9,IF(EE35&lt;=Hypothèses!$V$10,Hypothèses!$W$10,IF(EE35&lt;=Hypothèses!$V$11,Hypothèses!$W$11,IF(EE35&lt;=Hypothèses!$V$12,Hypothèses!$W$12,IF(EE35&lt;=Hypothèses!$V$13,Hypothèses!$W$13,IF(EE35&lt;=Hypothèses!$V$14,Hypothèses!$W$14,IF(EE35&lt;=Hypothèses!$V$15,Hypothèses!$W$15,IF(EE35&lt;=Hypothèses!$V$16,Hypothèses!$W$16,IF(EE35&lt;=Hypothèses!$V$17,Hypothèses!$W$17,IF(EE35&lt;=Hypothèses!$V$18,Hypothèses!$W$18,""))))))))))))</f>
        <v>#DIV/0!</v>
      </c>
      <c r="EZ35" s="87" t="e">
        <f t="shared" ca="1" si="123"/>
        <v>#DIV/0!</v>
      </c>
      <c r="FA35" s="88" t="e">
        <f ca="1">IF(EE35&lt;=Hypothèses!$V$7,Hypothèses!$X$7,IF(EE35&lt;=Hypothèses!$V$8,Hypothèses!$X$8,IF(EE35&lt;=Hypothèses!$V$9,Hypothèses!$X$9,IF(EE35&lt;=Hypothèses!$V$10,Hypothèses!$X$10,IF(EE35&lt;=Hypothèses!$V$11,Hypothèses!$X$11,IF(EE35&lt;=Hypothèses!$V$12,Hypothèses!$X$12,IF(EE35&lt;=Hypothèses!$V$13,Hypothèses!$X$13,IF(EE35&lt;=Hypothèses!$V$14,Hypothèses!$X$14,IF(EE35&lt;=Hypothèses!$V$15,Hypothèses!$X$15,IF(EE35&lt;=Hypothèses!$V$16,Hypothèses!$X$16,IF(EE35&lt;=Hypothèses!$U$17,Hypothèses!$W$17,IF(EE35&lt;=Hypothèses!$U$18,Hypothèses!$W$18,""))))))))))))</f>
        <v>#DIV/0!</v>
      </c>
      <c r="FB35" s="95" t="e">
        <f t="shared" ca="1" si="97"/>
        <v>#DIV/0!</v>
      </c>
      <c r="FC35" s="101">
        <f t="shared" si="130"/>
        <v>0</v>
      </c>
      <c r="FD35" s="91">
        <f t="shared" si="62"/>
        <v>0</v>
      </c>
      <c r="FE35" s="30" t="e">
        <f t="shared" si="114"/>
        <v>#N/A</v>
      </c>
      <c r="FF35" s="30" t="e">
        <f t="shared" si="115"/>
        <v>#N/A</v>
      </c>
      <c r="FG35" s="31" t="e">
        <f>IF(OR(Hypothèses!$B$4=17,Hypothèses!$B$4=18,Hypothèses!$B$4=19,Hypothèses!$B$4=20),
IF($D35="Pressio.",
IF(OR($E35=3,$E35=1,$E35=4),FF35,FE35),
IF($D35="Pénétro.",
IF(OR($E35=3,$E35=1,$E35=4),FF35,FE35))),IF($D35="Pressio.",
IF($E35=3,FF35,FE35),
IF($D35="Pénétro.",
IF($E35=4,FF35,FE35))))</f>
        <v>#N/A</v>
      </c>
      <c r="FH35" s="31">
        <v>0</v>
      </c>
      <c r="FI35" s="102" t="e">
        <f>IF(NDC!$H$10="Oui",(VLOOKUP($B$3,'Coeff EC7'!$T$39:$X$59,2,0)*FG35+VLOOKUP($B$3,'Coeff EC7'!$T$65:$X$85,2,0)*Model0.1T!FH35)/1.5,PI()*FE$12*$Q35*($B35-$B34)*0.15/10+FI34)</f>
        <v>#N/A</v>
      </c>
      <c r="FJ35" s="102" t="e">
        <f>(VLOOKUP($B$3,'Coeff EC7'!$T$39:$X$59,3,0)*FG35+VLOOKUP($B$3,'Coeff EC7'!$T$65:$X$85,3,0)*Model0.1T!FH35)/1.1</f>
        <v>#N/A</v>
      </c>
      <c r="FK35" s="102" t="e">
        <f t="shared" si="98"/>
        <v>#N/A</v>
      </c>
      <c r="FL35" s="102" t="e">
        <f t="shared" si="99"/>
        <v>#N/A</v>
      </c>
      <c r="FM35" s="414" t="e">
        <f>IF(AND(FI35&gt;NDC!$C$63,FJ35&gt;NDC!$C$65,FK35&gt;NDC!$D$73,FL35&gt;NDC!$D$74,$B35&gt;NDC!$H$22-0.1+MIN(3*FM$12,1.5)),0,1)</f>
        <v>#N/A</v>
      </c>
    </row>
    <row r="36" spans="1:169">
      <c r="A36" s="96">
        <f t="shared" si="65"/>
        <v>97.700000000000131</v>
      </c>
      <c r="B36" s="97">
        <v>2.2999999999999998</v>
      </c>
      <c r="C36" s="81">
        <f>IF(B36&lt;=Hypothèses!$C$7,Hypothèses!$A$7,IF(B36&lt;=Hypothèses!$C$8,Hypothèses!$A$8,IF(B36&lt;=Hypothèses!$C$9,Hypothèses!$A$9,IF(B36&lt;=Hypothèses!$C$10,Hypothèses!$A$10,IF(B36&lt;=Hypothèses!$C$11,Hypothèses!$A$11,IF(B36&lt;=Hypothèses!$C$12,Hypothèses!$A$12,IF(B36&lt;=Hypothèses!$C$13,Hypothèses!$A$13,IF(B36&lt;=Hypothèses!$C$14,Hypothèses!$A$14,IF(B36&lt;=Hypothèses!$C$15,Hypothèses!$A$15,IF(B36&lt;=Hypothèses!$C$16,Hypothèses!$A$16,IF(B36&lt;=Hypothèses!$C$17,Hypothèses!$A$17,IF(B36&lt;=Hypothèses!$C$18,Hypothèses!$A$18,C35))))))))))))</f>
        <v>11</v>
      </c>
      <c r="D36" s="82" t="str">
        <f>IF(B36&lt;=Hypothèses!$C$7,Hypothèses!$R$7,IF(B36&lt;=Hypothèses!$C$8,Hypothèses!$R$8,IF(B36&lt;=Hypothèses!$C$9,Hypothèses!$R$9,IF(B36&lt;=Hypothèses!$C$10,Hypothèses!$R$10,IF(B36&lt;=Hypothèses!$C$11,Hypothèses!$R$11,IF(B36&lt;=Hypothèses!$C$12,Hypothèses!$R$12,IF(B36&lt;=Hypothèses!$C$13,Hypothèses!$R$13,IF(B36&lt;=Hypothèses!$C$14,Hypothèses!$R$14,IF(B36&lt;=Hypothèses!$C$15,Hypothèses!$R$15,IF(B36&lt;=Hypothèses!$C$16,Hypothèses!$R$16,IF(B36&lt;=Hypothèses!$C$17,Hypothèses!$R$17,IF(B36&lt;=Hypothèses!$C$18,Hypothèses!$R$18,D35))))))))))))</f>
        <v>Pressio.</v>
      </c>
      <c r="E36" s="82" t="e">
        <f>IF(B36&lt;=Hypothèses!$C$7,Hypothèses!$G$7,IF(B36&lt;=Hypothèses!$C$8,Hypothèses!$G$8,IF(B36&lt;=Hypothèses!$C$9,Hypothèses!$G$9,IF(B36&lt;=Hypothèses!$C$10,Hypothèses!$G$10,IF(B36&lt;=Hypothèses!$C$11,Hypothèses!$G$11,IF(B36&lt;=Hypothèses!$C$12,Hypothèses!$G$12,IF(B36&lt;=Hypothèses!$C$13,Hypothèses!$G$13,IF(B36&lt;=Hypothèses!$C$14,Hypothèses!$G$14,IF(B36&lt;=Hypothèses!$C$15,Hypothèses!$G$15,IF(B36&lt;=Hypothèses!$C$16,Hypothèses!$G$16,IF(B36&lt;=Hypothèses!$C$17,Hypothèses!$G$17,IF(B36&lt;=Hypothèses!$C$18,Hypothèses!$G$18,E35))))))))))))</f>
        <v>#N/A</v>
      </c>
      <c r="F36" s="82" t="str">
        <f>IF(B36&lt;=Hypothèses!$C$7,Hypothèses!$F$7,IF(B36&lt;=Hypothèses!$C$8,Hypothèses!$F$8,IF(B36&lt;=Hypothèses!$C$9,Hypothèses!$F$9,IF(B36&lt;=Hypothèses!$C$10,Hypothèses!$F$10,IF(B36&lt;=Hypothèses!$C$11,Hypothèses!$F$11,IF(B36&lt;=Hypothèses!$C$12,Hypothèses!$F$12,IF(B36&lt;=Hypothèses!$C$13,Hypothèses!$F$13,IF(B36&lt;=Hypothèses!$C$14,Hypothèses!$F$14,IF(B36&lt;=Hypothèses!$C$15,Hypothèses!$F$15,IF(B36&lt;=Hypothèses!$C$16,Hypothèses!$F$16,IF(B36&lt;=Hypothèses!$C$17,Hypothèses!$F$17,IF(B36&lt;=Hypothèses!$C$18,Hypothèses!$F$18,F35))))))))))))</f>
        <v/>
      </c>
      <c r="G36" s="91">
        <f t="array" ref="G36">INDEX('Coeff EC7'!$U$7:$X$27,
MATCH(Model0.1T!$B$3,'Coeff EC7'!$T$7:$T$27,0),
MATCH(Model0.1T!$D36&amp;Model0.1T!$B$4,
'Coeff EC7'!$U$6:$X$6&amp;
'Coeff EC7'!$U$5:$X$5,0))</f>
        <v>1.4</v>
      </c>
      <c r="H36" s="91">
        <f t="array" ref="H36">INDEX('Coeff EC7'!$Y$7:$AB$27,
MATCH(Model0.1T!$B$3,'Coeff EC7'!$T$7:$T$27,0),
MATCH(Model0.1T!$D36&amp;Model0.1T!$B$4,
'Coeff EC7'!$Y$6:$AB$6&amp;
'Coeff EC7'!$Y$5:$AB$5,0))</f>
        <v>1.7</v>
      </c>
      <c r="I36" s="83">
        <v>0</v>
      </c>
      <c r="J36" s="91" t="e">
        <f t="array" ref="J36">INDEX('Coeff EC7'!$D$33:$Q$33,1,MATCH(D36&amp;E36,'Coeff EC7'!$D$31:$Q$31&amp;'Coeff EC7'!$D$32:$Q$32,0))</f>
        <v>#N/A</v>
      </c>
      <c r="K36" s="91" t="e">
        <f t="array" ref="K36">INDEX('Coeff EC7'!$D$34:$Q$34,1,MATCH(D36&amp;E36,'Coeff EC7'!$D$31:$Q$31&amp;'Coeff EC7'!$D$32:$Q$32,0))</f>
        <v>#N/A</v>
      </c>
      <c r="L36" s="91" t="e">
        <f t="array" ref="L36">INDEX('Coeff EC7'!$D$35:$Q$35,1,MATCH(D36&amp;E36,'Coeff EC7'!$D$31:$Q$31&amp;'Coeff EC7'!$D$32:$Q$32,0))</f>
        <v>#N/A</v>
      </c>
      <c r="M36" s="98" t="e">
        <f t="shared" si="8"/>
        <v>#N/A</v>
      </c>
      <c r="N36" s="99" t="e">
        <f t="array" ref="N36">INDEX('Coeff EC7'!$D$7:$Q$27,MATCH($B$3,'Coeff EC7'!$C$7:$C$27,0),MATCH(D36&amp;E36,'Coeff EC7'!$D$5:$Q$5&amp;'Coeff EC7'!$D$6:$Q$6,0))</f>
        <v>#N/A</v>
      </c>
      <c r="O36" s="99" t="e">
        <f t="array" ref="O36">INDEX('Coeff EC7'!$D$41:$Q$61,MATCH($B$3,'Coeff EC7'!$C$41:$C$61,0),MATCH(D36&amp;E36,'Coeff EC7'!$D$39:$Q$39&amp;'Coeff EC7'!$D$40:$Q$40,0))</f>
        <v>#N/A</v>
      </c>
      <c r="P36" s="30" t="e">
        <f t="shared" si="66"/>
        <v>#N/A</v>
      </c>
      <c r="Q36" s="100" t="e">
        <f t="shared" si="10"/>
        <v>#N/A</v>
      </c>
      <c r="R36" s="86" t="b">
        <f t="shared" si="11"/>
        <v>0</v>
      </c>
      <c r="S36" s="86">
        <f t="shared" si="9"/>
        <v>0.5</v>
      </c>
      <c r="T36" s="86">
        <f t="shared" si="12"/>
        <v>0.5</v>
      </c>
      <c r="U36" s="30" t="e">
        <f t="shared" ca="1" si="67"/>
        <v>#DIV/0!</v>
      </c>
      <c r="V36" s="85" t="str">
        <f>IF(B36&lt;=Hypothèses!$V$7,Hypothèses!$W$7,IF(B36&lt;=Hypothèses!$V$8,Hypothèses!$W$8,IF(B36&lt;=Hypothèses!$V$9,Hypothèses!$W$9,IF(B36&lt;=Hypothèses!$V$10,Hypothèses!$W$10,IF(B36&lt;=Hypothèses!$V$11,Hypothèses!$W$11,IF(B36&lt;=Hypothèses!$V$12,Hypothèses!$W$12,IF(B36&lt;=Hypothèses!$V$13,Hypothèses!$W$13,IF(B36&lt;=Hypothèses!$V$14,Hypothèses!$W$14,IF(B36&lt;=Hypothèses!$V$15,Hypothèses!$W$15,IF(B36&lt;=Hypothèses!$V$16,Hypothèses!$W$16,IF(B36&lt;=Hypothèses!$V$17,Hypothèses!$W$17,IF(B36&lt;=Hypothèses!$V$18,Hypothèses!$W$18,""))))))))))))</f>
        <v/>
      </c>
      <c r="W36" s="87" t="e">
        <f t="shared" ca="1" si="116"/>
        <v>#DIV/0!</v>
      </c>
      <c r="X36" s="88" t="str">
        <f>IF(B36&lt;=Hypothèses!$V$7,Hypothèses!$X$7,IF(B36&lt;=Hypothèses!$V$8,Hypothèses!$X$8,IF(B36&lt;=Hypothèses!$V$9,Hypothèses!$X$9,IF(B36&lt;=Hypothèses!$V$10,Hypothèses!$X$10,IF(B36&lt;=Hypothèses!$V$11,Hypothèses!$X$11,IF(B36&lt;=Hypothèses!$V$12,Hypothèses!$X$12,IF(B36&lt;=Hypothèses!$V$13,Hypothèses!$X$13,IF(B36&lt;=Hypothèses!$V$14,Hypothèses!$X$14,IF(B36&lt;=Hypothèses!$V$15,Hypothèses!$X$15,IF(B36&lt;=Hypothèses!$V$16,Hypothèses!$X$16,IF(B36&lt;=Hypothèses!$U$17,Hypothèses!$W$17,IF(B36&lt;=Hypothèses!$U$18,Hypothèses!$W$18,""))))))))))))</f>
        <v/>
      </c>
      <c r="Y36" s="95" t="e">
        <f t="shared" ca="1" si="13"/>
        <v>#DIV/0!</v>
      </c>
      <c r="Z36" s="101">
        <f t="shared" si="14"/>
        <v>0</v>
      </c>
      <c r="AA36" s="91">
        <f t="shared" si="15"/>
        <v>0</v>
      </c>
      <c r="AB36" s="30" t="e">
        <f t="shared" si="100"/>
        <v>#N/A</v>
      </c>
      <c r="AC36" s="30" t="e">
        <f t="shared" si="101"/>
        <v>#N/A</v>
      </c>
      <c r="AD36" s="31" t="e">
        <f>IF(OR(Hypothèses!$B$4=17,Hypothèses!$B$4=18,Hypothèses!$B$4=19,Hypothèses!$B$4=20),
IF($D36="Pressio.",
IF(OR($E36=3,$E36=1,$E36=4),AC36,AB36),
IF($D36="Pénétro.",
IF(OR($E36=3,$E36=1,$E36=4),AC36,AB36))),IF($D36="Pressio.",
IF($E36=3,AC36,AB36),
IF($D36="Pénétro.",
IF($E36=4,AC36,AB36))))</f>
        <v>#N/A</v>
      </c>
      <c r="AE36" s="31">
        <v>0</v>
      </c>
      <c r="AF36" s="102" t="e">
        <f>IF(NDC!$H$10="Oui",(VLOOKUP($B$3,'Coeff EC7'!$T$39:$X$59,2,0)*AD36+VLOOKUP($B$3,'Coeff EC7'!$T$65:$X$85,2,0)*Model0.1T!AE36)/1.5,PI()*AB$12*$Q36*($B36-$B35)*0.15/10+AF35)</f>
        <v>#N/A</v>
      </c>
      <c r="AG36" s="102" t="e">
        <f>(VLOOKUP($B$3,'Coeff EC7'!$T$39:$X$59,3,0)*AD36+VLOOKUP($B$3,'Coeff EC7'!$T$65:$X$85,3,0)*Model0.1T!AE36)/1.1</f>
        <v>#N/A</v>
      </c>
      <c r="AH36" s="102" t="e">
        <f t="shared" si="68"/>
        <v>#N/A</v>
      </c>
      <c r="AI36" s="102" t="e">
        <f t="shared" si="69"/>
        <v>#N/A</v>
      </c>
      <c r="AJ36" s="414" t="e">
        <f>IF(AND(AF36&gt;NDC!$C$63,AG36&gt;NDC!$C$65,AH36&gt;NDC!$D$73,AI36&gt;NDC!$D$74,$B36&gt;NDC!$H$22-0.1+MIN(3*$AJ$12,1.5)),0,1)</f>
        <v>#N/A</v>
      </c>
      <c r="AK36" s="86" t="b">
        <f t="shared" si="18"/>
        <v>0</v>
      </c>
      <c r="AL36" s="86">
        <f t="shared" si="70"/>
        <v>0.5</v>
      </c>
      <c r="AM36" s="86">
        <f t="shared" si="19"/>
        <v>0.5</v>
      </c>
      <c r="AN36" s="30" t="e">
        <f t="shared" ca="1" si="71"/>
        <v>#DIV/0!</v>
      </c>
      <c r="AO36" s="85" t="e">
        <f ca="1">IF(U36&lt;=Hypothèses!$V$7,Hypothèses!$W$7,IF(U36&lt;=Hypothèses!$V$8,Hypothèses!$W$8,IF(U36&lt;=Hypothèses!$V$9,Hypothèses!$W$9,IF(U36&lt;=Hypothèses!$V$10,Hypothèses!$W$10,IF(U36&lt;=Hypothèses!$V$11,Hypothèses!$W$11,IF(U36&lt;=Hypothèses!$V$12,Hypothèses!$W$12,IF(U36&lt;=Hypothèses!$V$13,Hypothèses!$W$13,IF(U36&lt;=Hypothèses!$V$14,Hypothèses!$W$14,IF(U36&lt;=Hypothèses!$V$15,Hypothèses!$W$15,IF(U36&lt;=Hypothèses!$V$16,Hypothèses!$W$16,IF(U36&lt;=Hypothèses!$V$17,Hypothèses!$W$17,IF(U36&lt;=Hypothèses!$V$18,Hypothèses!$W$18,""))))))))))))</f>
        <v>#DIV/0!</v>
      </c>
      <c r="AP36" s="87" t="e">
        <f t="shared" ca="1" si="117"/>
        <v>#DIV/0!</v>
      </c>
      <c r="AQ36" s="88" t="e">
        <f ca="1">IF(U36&lt;=Hypothèses!$V$7,Hypothèses!$X$7,IF(U36&lt;=Hypothèses!$V$8,Hypothèses!$X$8,IF(U36&lt;=Hypothèses!$V$9,Hypothèses!$X$9,IF(U36&lt;=Hypothèses!$V$10,Hypothèses!$X$10,IF(U36&lt;=Hypothèses!$V$11,Hypothèses!$X$11,IF(U36&lt;=Hypothèses!$V$12,Hypothèses!$X$12,IF(U36&lt;=Hypothèses!$V$13,Hypothèses!$X$13,IF(U36&lt;=Hypothèses!$V$14,Hypothèses!$X$14,IF(U36&lt;=Hypothèses!$V$15,Hypothèses!$X$15,IF(U36&lt;=Hypothèses!$V$16,Hypothèses!$X$16,IF(U36&lt;=Hypothèses!$U$17,Hypothèses!$W$17,IF(U36&lt;=Hypothèses!$U$18,Hypothèses!$W$18,""))))))))))))</f>
        <v>#DIV/0!</v>
      </c>
      <c r="AR36" s="95" t="e">
        <f t="shared" ca="1" si="72"/>
        <v>#DIV/0!</v>
      </c>
      <c r="AS36" s="101">
        <f t="shared" si="124"/>
        <v>0</v>
      </c>
      <c r="AT36" s="91">
        <f t="shared" si="21"/>
        <v>0</v>
      </c>
      <c r="AU36" s="30" t="e">
        <f t="shared" si="102"/>
        <v>#N/A</v>
      </c>
      <c r="AV36" s="30" t="e">
        <f t="shared" si="103"/>
        <v>#N/A</v>
      </c>
      <c r="AW36" s="31" t="e">
        <f>IF(OR(Hypothèses!$B$4=17,Hypothèses!$B$4=18,Hypothèses!$B$4=19,Hypothèses!$B$4=20),
IF($D36="Pressio.",
IF(OR($E36=3,$E36=1,$E36=4),AV36,AU36),
IF($D36="Pénétro.",
IF(OR($E36=3,$E36=1,$E36=4),AV36,AU36))),IF($D36="Pressio.",
IF($E36=3,AV36,AU36),
IF($D36="Pénétro.",
IF($E36=4,AV36,AU36))))</f>
        <v>#N/A</v>
      </c>
      <c r="AX36" s="31">
        <v>0</v>
      </c>
      <c r="AY36" s="102" t="e">
        <f>IF(NDC!$H$10="Oui",(VLOOKUP($B$3,'Coeff EC7'!$T$39:$X$59,2,0)*AW36+VLOOKUP($B$3,'Coeff EC7'!$T$65:$X$85,2,0)*Model0.1T!AX36)/1.5,PI()*AU$12*$Q36*($B36-$B35)*0.15/10+AY35)</f>
        <v>#N/A</v>
      </c>
      <c r="AZ36" s="102" t="e">
        <f>(VLOOKUP($B$3,'Coeff EC7'!$T$39:$X$59,3,0)*AW36+VLOOKUP($B$3,'Coeff EC7'!$T$65:$X$85,3,0)*Model0.1T!AX36)/1.1</f>
        <v>#N/A</v>
      </c>
      <c r="BA36" s="102" t="e">
        <f t="shared" si="73"/>
        <v>#N/A</v>
      </c>
      <c r="BB36" s="102" t="e">
        <f t="shared" si="74"/>
        <v>#N/A</v>
      </c>
      <c r="BC36" s="414" t="e">
        <f>IF(AND(AY36&gt;NDC!$C$63,AZ36&gt;NDC!$C$65,BA36&gt;NDC!$D$73,BB36&gt;NDC!$D$74,$B36&gt;NDC!$H$22-0.1+MIN(3*BC$12,1.5)),0,1)</f>
        <v>#N/A</v>
      </c>
      <c r="BD36" s="86" t="b">
        <f t="shared" si="24"/>
        <v>0</v>
      </c>
      <c r="BE36" s="86">
        <f t="shared" si="75"/>
        <v>0.5</v>
      </c>
      <c r="BF36" s="86">
        <f t="shared" si="25"/>
        <v>0.5</v>
      </c>
      <c r="BG36" s="30" t="e">
        <f t="shared" ca="1" si="76"/>
        <v>#DIV/0!</v>
      </c>
      <c r="BH36" s="85" t="e">
        <f ca="1">IF(AN36&lt;=Hypothèses!$V$7,Hypothèses!$W$7,IF(AN36&lt;=Hypothèses!$V$8,Hypothèses!$W$8,IF(AN36&lt;=Hypothèses!$V$9,Hypothèses!$W$9,IF(AN36&lt;=Hypothèses!$V$10,Hypothèses!$W$10,IF(AN36&lt;=Hypothèses!$V$11,Hypothèses!$W$11,IF(AN36&lt;=Hypothèses!$V$12,Hypothèses!$W$12,IF(AN36&lt;=Hypothèses!$V$13,Hypothèses!$W$13,IF(AN36&lt;=Hypothèses!$V$14,Hypothèses!$W$14,IF(AN36&lt;=Hypothèses!$V$15,Hypothèses!$W$15,IF(AN36&lt;=Hypothèses!$V$16,Hypothèses!$W$16,IF(AN36&lt;=Hypothèses!$V$17,Hypothèses!$W$17,IF(AN36&lt;=Hypothèses!$V$18,Hypothèses!$W$18,""))))))))))))</f>
        <v>#DIV/0!</v>
      </c>
      <c r="BI36" s="87" t="e">
        <f t="shared" ca="1" si="118"/>
        <v>#DIV/0!</v>
      </c>
      <c r="BJ36" s="88" t="e">
        <f ca="1">IF(AN36&lt;=Hypothèses!$V$7,Hypothèses!$X$7,IF(AN36&lt;=Hypothèses!$V$8,Hypothèses!$X$8,IF(AN36&lt;=Hypothèses!$V$9,Hypothèses!$X$9,IF(AN36&lt;=Hypothèses!$V$10,Hypothèses!$X$10,IF(AN36&lt;=Hypothèses!$V$11,Hypothèses!$X$11,IF(AN36&lt;=Hypothèses!$V$12,Hypothèses!$X$12,IF(AN36&lt;=Hypothèses!$V$13,Hypothèses!$X$13,IF(AN36&lt;=Hypothèses!$V$14,Hypothèses!$X$14,IF(AN36&lt;=Hypothèses!$V$15,Hypothèses!$X$15,IF(AN36&lt;=Hypothèses!$V$16,Hypothèses!$X$16,IF(AN36&lt;=Hypothèses!$U$17,Hypothèses!$W$17,IF(AN36&lt;=Hypothèses!$U$18,Hypothèses!$W$18,""))))))))))))</f>
        <v>#DIV/0!</v>
      </c>
      <c r="BK36" s="95" t="e">
        <f t="shared" ca="1" si="77"/>
        <v>#DIV/0!</v>
      </c>
      <c r="BL36" s="101">
        <f t="shared" si="125"/>
        <v>0</v>
      </c>
      <c r="BM36" s="91">
        <f t="shared" si="27"/>
        <v>0</v>
      </c>
      <c r="BN36" s="30" t="e">
        <f t="shared" si="104"/>
        <v>#N/A</v>
      </c>
      <c r="BO36" s="30" t="e">
        <f t="shared" si="105"/>
        <v>#N/A</v>
      </c>
      <c r="BP36" s="31" t="e">
        <f>IF(OR(Hypothèses!$B$4=17,Hypothèses!$B$4=18,Hypothèses!$B$4=19,Hypothèses!$B$4=20),
IF($D36="Pressio.",
IF(OR($E36=3,$E36=1,$E36=4),BO36,BN36),
IF($D36="Pénétro.",
IF(OR($E36=3,$E36=1,$E36=4),BO36,BN36))),IF($D36="Pressio.",
IF($E36=3,BO36,BN36),
IF($D36="Pénétro.",
IF($E36=4,BO36,BN36))))</f>
        <v>#N/A</v>
      </c>
      <c r="BQ36" s="31">
        <v>0</v>
      </c>
      <c r="BR36" s="102" t="e">
        <f>IF(NDC!$H$10="Oui",(VLOOKUP($B$3,'Coeff EC7'!$T$39:$X$59,2,0)*BP36+VLOOKUP($B$3,'Coeff EC7'!$T$65:$X$85,2,0)*Model0.1T!BQ36)/1.5,PI()*BN$12*$Q36*($B36-$B35)*0.15/10+BR35)</f>
        <v>#N/A</v>
      </c>
      <c r="BS36" s="102" t="e">
        <f>(VLOOKUP($B$3,'Coeff EC7'!$T$39:$X$59,3,0)*BP36+VLOOKUP($B$3,'Coeff EC7'!$T$65:$X$85,3,0)*Model0.1T!BQ36)/1.1</f>
        <v>#N/A</v>
      </c>
      <c r="BT36" s="102" t="e">
        <f t="shared" si="78"/>
        <v>#N/A</v>
      </c>
      <c r="BU36" s="102" t="e">
        <f t="shared" si="79"/>
        <v>#N/A</v>
      </c>
      <c r="BV36" s="414" t="e">
        <f>IF(AND(BR36&gt;NDC!$C$63,BS36&gt;NDC!$C$65,BT36&gt;NDC!$D$73,BU36&gt;NDC!$D$74,$B36&gt;NDC!$H$22-0.1+MIN(3*BV$12,1.5)),0,1)</f>
        <v>#N/A</v>
      </c>
      <c r="BW36" s="86" t="b">
        <f t="shared" si="30"/>
        <v>0</v>
      </c>
      <c r="BX36" s="86">
        <f t="shared" si="31"/>
        <v>0.5</v>
      </c>
      <c r="BY36" s="86">
        <f t="shared" si="32"/>
        <v>0.5</v>
      </c>
      <c r="BZ36" s="30" t="e">
        <f t="shared" ca="1" si="80"/>
        <v>#DIV/0!</v>
      </c>
      <c r="CA36" s="85" t="e">
        <f ca="1">IF(BG36&lt;=Hypothèses!$V$7,Hypothèses!$W$7,IF(BG36&lt;=Hypothèses!$V$8,Hypothèses!$W$8,IF(BG36&lt;=Hypothèses!$V$9,Hypothèses!$W$9,IF(BG36&lt;=Hypothèses!$V$10,Hypothèses!$W$10,IF(BG36&lt;=Hypothèses!$V$11,Hypothèses!$W$11,IF(BG36&lt;=Hypothèses!$V$12,Hypothèses!$W$12,IF(BG36&lt;=Hypothèses!$V$13,Hypothèses!$W$13,IF(BG36&lt;=Hypothèses!$V$14,Hypothèses!$W$14,IF(BG36&lt;=Hypothèses!$V$15,Hypothèses!$W$15,IF(BG36&lt;=Hypothèses!$V$16,Hypothèses!$W$16,IF(BG36&lt;=Hypothèses!$V$17,Hypothèses!$W$17,IF(BG36&lt;=Hypothèses!$V$18,Hypothèses!$W$18,""))))))))))))</f>
        <v>#DIV/0!</v>
      </c>
      <c r="CB36" s="87" t="e">
        <f t="shared" ca="1" si="119"/>
        <v>#DIV/0!</v>
      </c>
      <c r="CC36" s="88" t="e">
        <f ca="1">IF(BG36&lt;=Hypothèses!$V$7,Hypothèses!$X$7,IF(BG36&lt;=Hypothèses!$V$8,Hypothèses!$X$8,IF(BG36&lt;=Hypothèses!$V$9,Hypothèses!$X$9,IF(BG36&lt;=Hypothèses!$V$10,Hypothèses!$X$10,IF(BG36&lt;=Hypothèses!$V$11,Hypothèses!$X$11,IF(BG36&lt;=Hypothèses!$V$12,Hypothèses!$X$12,IF(BG36&lt;=Hypothèses!$V$13,Hypothèses!$X$13,IF(BG36&lt;=Hypothèses!$V$14,Hypothèses!$X$14,IF(BG36&lt;=Hypothèses!$V$15,Hypothèses!$X$15,IF(BG36&lt;=Hypothèses!$V$16,Hypothèses!$X$16,IF(BG36&lt;=Hypothèses!$U$17,Hypothèses!$W$17,IF(BG36&lt;=Hypothèses!$U$18,Hypothèses!$W$18,""))))))))))))</f>
        <v>#DIV/0!</v>
      </c>
      <c r="CD36" s="95" t="e">
        <f t="shared" ca="1" si="81"/>
        <v>#DIV/0!</v>
      </c>
      <c r="CE36" s="101">
        <f t="shared" si="126"/>
        <v>0</v>
      </c>
      <c r="CF36" s="91">
        <f t="shared" si="34"/>
        <v>0</v>
      </c>
      <c r="CG36" s="30" t="e">
        <f t="shared" si="106"/>
        <v>#N/A</v>
      </c>
      <c r="CH36" s="30" t="e">
        <f t="shared" si="107"/>
        <v>#N/A</v>
      </c>
      <c r="CI36" s="31" t="e">
        <f>IF(OR(Hypothèses!$B$4=17,Hypothèses!$B$4=18,Hypothèses!$B$4=19,Hypothèses!$B$4=20),
IF($D36="Pressio.",
IF(OR($E36=3,$E36=1,$E36=4),CH36,CG36),
IF($D36="Pénétro.",
IF(OR($E36=3,$E36=1,$E36=4),CH36,CG36))),IF($D36="Pressio.",
IF($E36=3,CH36,CG36),
IF($D36="Pénétro.",
IF($E36=4,CH36,CG36))))</f>
        <v>#N/A</v>
      </c>
      <c r="CJ36" s="31">
        <v>0</v>
      </c>
      <c r="CK36" s="102" t="e">
        <f>IF(NDC!$H$10="Oui",(VLOOKUP($B$3,'Coeff EC7'!$T$39:$X$59,2,0)*CI36+VLOOKUP($B$3,'Coeff EC7'!$T$65:$X$85,2,0)*Model0.1T!CJ36)/1.5,PI()*CG$12*$Q36*($B36-$B35)*0.15/10+CK35)</f>
        <v>#N/A</v>
      </c>
      <c r="CL36" s="102" t="e">
        <f>(VLOOKUP($B$3,'Coeff EC7'!$T$39:$X$59,3,0)*CI36+VLOOKUP($B$3,'Coeff EC7'!$T$65:$X$85,3,0)*Model0.1T!CJ36)/1.1</f>
        <v>#N/A</v>
      </c>
      <c r="CM36" s="102" t="e">
        <f t="shared" si="82"/>
        <v>#N/A</v>
      </c>
      <c r="CN36" s="102" t="e">
        <f t="shared" si="83"/>
        <v>#N/A</v>
      </c>
      <c r="CO36" s="414" t="e">
        <f>IF(AND(CK36&gt;NDC!$C$63,CL36&gt;NDC!$C$65,CM36&gt;NDC!$D$73,CN36&gt;NDC!$D$74,$B36&gt;NDC!$H$22-0.1+MIN(3*CO$12,1.5)),0,1)</f>
        <v>#N/A</v>
      </c>
      <c r="CP36" s="86" t="b">
        <f t="shared" si="37"/>
        <v>0</v>
      </c>
      <c r="CQ36" s="86">
        <f t="shared" si="38"/>
        <v>0.5</v>
      </c>
      <c r="CR36" s="86">
        <f t="shared" si="39"/>
        <v>0.5</v>
      </c>
      <c r="CS36" s="30" t="e">
        <f t="shared" ca="1" si="84"/>
        <v>#DIV/0!</v>
      </c>
      <c r="CT36" s="85" t="e">
        <f ca="1">IF(BZ36&lt;=Hypothèses!$V$7,Hypothèses!$W$7,IF(BZ36&lt;=Hypothèses!$V$8,Hypothèses!$W$8,IF(BZ36&lt;=Hypothèses!$V$9,Hypothèses!$W$9,IF(BZ36&lt;=Hypothèses!$V$10,Hypothèses!$W$10,IF(BZ36&lt;=Hypothèses!$V$11,Hypothèses!$W$11,IF(BZ36&lt;=Hypothèses!$V$12,Hypothèses!$W$12,IF(BZ36&lt;=Hypothèses!$V$13,Hypothèses!$W$13,IF(BZ36&lt;=Hypothèses!$V$14,Hypothèses!$W$14,IF(BZ36&lt;=Hypothèses!$V$15,Hypothèses!$W$15,IF(BZ36&lt;=Hypothèses!$V$16,Hypothèses!$W$16,IF(BZ36&lt;=Hypothèses!$V$17,Hypothèses!$W$17,IF(BZ36&lt;=Hypothèses!$V$18,Hypothèses!$W$18,""))))))))))))</f>
        <v>#DIV/0!</v>
      </c>
      <c r="CU36" s="87" t="e">
        <f t="shared" ca="1" si="120"/>
        <v>#DIV/0!</v>
      </c>
      <c r="CV36" s="88" t="e">
        <f ca="1">IF(BZ36&lt;=Hypothèses!$V$7,Hypothèses!$X$7,IF(BZ36&lt;=Hypothèses!$V$8,Hypothèses!$X$8,IF(BZ36&lt;=Hypothèses!$V$9,Hypothèses!$X$9,IF(BZ36&lt;=Hypothèses!$V$10,Hypothèses!$X$10,IF(BZ36&lt;=Hypothèses!$V$11,Hypothèses!$X$11,IF(BZ36&lt;=Hypothèses!$V$12,Hypothèses!$X$12,IF(BZ36&lt;=Hypothèses!$V$13,Hypothèses!$X$13,IF(BZ36&lt;=Hypothèses!$V$14,Hypothèses!$X$14,IF(BZ36&lt;=Hypothèses!$V$15,Hypothèses!$X$15,IF(BZ36&lt;=Hypothèses!$V$16,Hypothèses!$X$16,IF(BZ36&lt;=Hypothèses!$U$17,Hypothèses!$W$17,IF(BZ36&lt;=Hypothèses!$U$18,Hypothèses!$W$18,""))))))))))))</f>
        <v>#DIV/0!</v>
      </c>
      <c r="CW36" s="95" t="e">
        <f t="shared" ca="1" si="85"/>
        <v>#DIV/0!</v>
      </c>
      <c r="CX36" s="101">
        <f t="shared" si="127"/>
        <v>0</v>
      </c>
      <c r="CY36" s="91">
        <f t="shared" si="41"/>
        <v>0</v>
      </c>
      <c r="CZ36" s="30" t="e">
        <f t="shared" si="108"/>
        <v>#N/A</v>
      </c>
      <c r="DA36" s="30" t="e">
        <f t="shared" si="109"/>
        <v>#N/A</v>
      </c>
      <c r="DB36" s="31" t="e">
        <f>IF(OR(Hypothèses!$B$4=17,Hypothèses!$B$4=18,Hypothèses!$B$4=19,Hypothèses!$B$4=20),
IF($D36="Pressio.",
IF(OR($E36=3,$E36=1,$E36=4),DA36,CZ36),
IF($D36="Pénétro.",
IF(OR($E36=3,$E36=1,$E36=4),DA36,CZ36))),IF($D36="Pressio.",
IF($E36=3,DA36,CZ36),
IF($D36="Pénétro.",
IF($E36=4,DA36,CZ36))))</f>
        <v>#N/A</v>
      </c>
      <c r="DC36" s="31">
        <v>0</v>
      </c>
      <c r="DD36" s="102" t="e">
        <f>IF(NDC!$H$10="Oui",(VLOOKUP($B$3,'Coeff EC7'!$T$39:$X$59,2,0)*DB36+VLOOKUP($B$3,'Coeff EC7'!$T$65:$X$85,2,0)*Model0.1T!DC36)/1.5,PI()*CZ$12*$Q36*($B36-$B35)*0.15/10+DD35)</f>
        <v>#N/A</v>
      </c>
      <c r="DE36" s="102" t="e">
        <f>(VLOOKUP($B$3,'Coeff EC7'!$T$39:$X$59,3,0)*DB36+VLOOKUP($B$3,'Coeff EC7'!$T$65:$X$85,3,0)*Model0.1T!DC36)/1.1</f>
        <v>#N/A</v>
      </c>
      <c r="DF36" s="102" t="e">
        <f t="shared" si="86"/>
        <v>#N/A</v>
      </c>
      <c r="DG36" s="102" t="e">
        <f t="shared" si="87"/>
        <v>#N/A</v>
      </c>
      <c r="DH36" s="414" t="e">
        <f>IF(AND(DD36&gt;NDC!$C$63,DE36&gt;NDC!$C$65,DF36&gt;NDC!$D$73,DG36&gt;NDC!$D$74,$B36&gt;NDC!$H$22-0.1+MIN(3*DH$12,1.5)),0,1)</f>
        <v>#N/A</v>
      </c>
      <c r="DI36" s="86" t="b">
        <f t="shared" si="44"/>
        <v>0</v>
      </c>
      <c r="DJ36" s="86">
        <f t="shared" si="45"/>
        <v>0.5</v>
      </c>
      <c r="DK36" s="86">
        <f t="shared" si="46"/>
        <v>0.5</v>
      </c>
      <c r="DL36" s="30" t="e">
        <f t="shared" ca="1" si="88"/>
        <v>#DIV/0!</v>
      </c>
      <c r="DM36" s="85" t="e">
        <f ca="1">IF(CS36&lt;=Hypothèses!$V$7,Hypothèses!$W$7,IF(CS36&lt;=Hypothèses!$V$8,Hypothèses!$W$8,IF(CS36&lt;=Hypothèses!$V$9,Hypothèses!$W$9,IF(CS36&lt;=Hypothèses!$V$10,Hypothèses!$W$10,IF(CS36&lt;=Hypothèses!$V$11,Hypothèses!$W$11,IF(CS36&lt;=Hypothèses!$V$12,Hypothèses!$W$12,IF(CS36&lt;=Hypothèses!$V$13,Hypothèses!$W$13,IF(CS36&lt;=Hypothèses!$V$14,Hypothèses!$W$14,IF(CS36&lt;=Hypothèses!$V$15,Hypothèses!$W$15,IF(CS36&lt;=Hypothèses!$V$16,Hypothèses!$W$16,IF(CS36&lt;=Hypothèses!$V$17,Hypothèses!$W$17,IF(CS36&lt;=Hypothèses!$V$18,Hypothèses!$W$18,""))))))))))))</f>
        <v>#DIV/0!</v>
      </c>
      <c r="DN36" s="87" t="e">
        <f t="shared" ca="1" si="121"/>
        <v>#DIV/0!</v>
      </c>
      <c r="DO36" s="88" t="e">
        <f ca="1">IF(CS36&lt;=Hypothèses!$V$7,Hypothèses!$X$7,IF(CS36&lt;=Hypothèses!$V$8,Hypothèses!$X$8,IF(CS36&lt;=Hypothèses!$V$9,Hypothèses!$X$9,IF(CS36&lt;=Hypothèses!$V$10,Hypothèses!$X$10,IF(CS36&lt;=Hypothèses!$V$11,Hypothèses!$X$11,IF(CS36&lt;=Hypothèses!$V$12,Hypothèses!$X$12,IF(CS36&lt;=Hypothèses!$V$13,Hypothèses!$X$13,IF(CS36&lt;=Hypothèses!$V$14,Hypothèses!$X$14,IF(CS36&lt;=Hypothèses!$V$15,Hypothèses!$X$15,IF(CS36&lt;=Hypothèses!$V$16,Hypothèses!$X$16,IF(CS36&lt;=Hypothèses!$U$17,Hypothèses!$W$17,IF(CS36&lt;=Hypothèses!$U$18,Hypothèses!$W$18,""))))))))))))</f>
        <v>#DIV/0!</v>
      </c>
      <c r="DP36" s="95" t="e">
        <f t="shared" ca="1" si="89"/>
        <v>#DIV/0!</v>
      </c>
      <c r="DQ36" s="101">
        <f t="shared" si="128"/>
        <v>0</v>
      </c>
      <c r="DR36" s="91">
        <f t="shared" si="48"/>
        <v>0</v>
      </c>
      <c r="DS36" s="30" t="e">
        <f t="shared" si="110"/>
        <v>#N/A</v>
      </c>
      <c r="DT36" s="30" t="e">
        <f t="shared" si="111"/>
        <v>#N/A</v>
      </c>
      <c r="DU36" s="31" t="e">
        <f>IF(OR(Hypothèses!$B$4=17,Hypothèses!$B$4=18,Hypothèses!$B$4=19,Hypothèses!$B$4=20),
IF($D36="Pressio.",
IF(OR($E36=3,$E36=1,$E36=4),DT36,DS36),
IF($D36="Pénétro.",
IF(OR($E36=3,$E36=1,$E36=4),DT36,DS36))),IF($D36="Pressio.",
IF($E36=3,DT36,DS36),
IF($D36="Pénétro.",
IF($E36=4,DT36,DS36))))</f>
        <v>#N/A</v>
      </c>
      <c r="DV36" s="31">
        <v>0</v>
      </c>
      <c r="DW36" s="102" t="e">
        <f>IF(NDC!$H$10="Oui",(VLOOKUP($B$3,'Coeff EC7'!$T$39:$X$59,2,0)*DU36+VLOOKUP($B$3,'Coeff EC7'!$T$65:$X$85,2,0)*Model0.1T!DV36)/1.5,PI()*DS$12*$Q36*($B36-$B35)*0.15/10+DW35)</f>
        <v>#N/A</v>
      </c>
      <c r="DX36" s="102" t="e">
        <f>(VLOOKUP($B$3,'Coeff EC7'!$T$39:$X$59,3,0)*DU36+VLOOKUP($B$3,'Coeff EC7'!$T$65:$X$85,3,0)*Model0.1T!DV36)/1.1</f>
        <v>#N/A</v>
      </c>
      <c r="DY36" s="102" t="e">
        <f t="shared" si="90"/>
        <v>#N/A</v>
      </c>
      <c r="DZ36" s="102" t="e">
        <f t="shared" si="91"/>
        <v>#N/A</v>
      </c>
      <c r="EA36" s="414" t="e">
        <f>IF(AND(DW36&gt;NDC!$C$63,DX36&gt;NDC!$C$65,DY36&gt;NDC!$D$73,DZ36&gt;NDC!$D$74,$B36&gt;NDC!$H$22-0.1+MIN(3*EA$12,1.5)),0,1)</f>
        <v>#N/A</v>
      </c>
      <c r="EB36" s="86" t="b">
        <f t="shared" si="51"/>
        <v>0</v>
      </c>
      <c r="EC36" s="418">
        <f t="shared" si="52"/>
        <v>0.51</v>
      </c>
      <c r="ED36" s="86">
        <f t="shared" si="53"/>
        <v>0.51</v>
      </c>
      <c r="EE36" s="30" t="e">
        <f t="shared" ca="1" si="92"/>
        <v>#DIV/0!</v>
      </c>
      <c r="EF36" s="85" t="e">
        <f ca="1">IF(DL36&lt;=Hypothèses!$V$7,Hypothèses!$W$7,IF(DL36&lt;=Hypothèses!$V$8,Hypothèses!$W$8,IF(DL36&lt;=Hypothèses!$V$9,Hypothèses!$W$9,IF(DL36&lt;=Hypothèses!$V$10,Hypothèses!$W$10,IF(DL36&lt;=Hypothèses!$V$11,Hypothèses!$W$11,IF(DL36&lt;=Hypothèses!$V$12,Hypothèses!$W$12,IF(DL36&lt;=Hypothèses!$V$13,Hypothèses!$W$13,IF(DL36&lt;=Hypothèses!$V$14,Hypothèses!$W$14,IF(DL36&lt;=Hypothèses!$V$15,Hypothèses!$W$15,IF(DL36&lt;=Hypothèses!$V$16,Hypothèses!$W$16,IF(DL36&lt;=Hypothèses!$V$17,Hypothèses!$W$17,IF(DL36&lt;=Hypothèses!$V$18,Hypothèses!$W$18,""))))))))))))</f>
        <v>#DIV/0!</v>
      </c>
      <c r="EG36" s="87" t="e">
        <f t="shared" ca="1" si="122"/>
        <v>#DIV/0!</v>
      </c>
      <c r="EH36" s="88" t="e">
        <f ca="1">IF(DL36&lt;=Hypothèses!$V$7,Hypothèses!$X$7,IF(DL36&lt;=Hypothèses!$V$8,Hypothèses!$X$8,IF(DL36&lt;=Hypothèses!$V$9,Hypothèses!$X$9,IF(DL36&lt;=Hypothèses!$V$10,Hypothèses!$X$10,IF(DL36&lt;=Hypothèses!$V$11,Hypothèses!$X$11,IF(DL36&lt;=Hypothèses!$V$12,Hypothèses!$X$12,IF(DL36&lt;=Hypothèses!$V$13,Hypothèses!$X$13,IF(DL36&lt;=Hypothèses!$V$14,Hypothèses!$X$14,IF(DL36&lt;=Hypothèses!$V$15,Hypothèses!$X$15,IF(DL36&lt;=Hypothèses!$V$16,Hypothèses!$X$16,IF(DL36&lt;=Hypothèses!$U$17,Hypothèses!$W$17,IF(DL36&lt;=Hypothèses!$U$18,Hypothèses!$W$18,""))))))))))))</f>
        <v>#DIV/0!</v>
      </c>
      <c r="EI36" s="95" t="e">
        <f t="shared" ca="1" si="93"/>
        <v>#DIV/0!</v>
      </c>
      <c r="EJ36" s="101">
        <f t="shared" si="129"/>
        <v>0</v>
      </c>
      <c r="EK36" s="91">
        <f t="shared" si="55"/>
        <v>0</v>
      </c>
      <c r="EL36" s="30" t="e">
        <f t="shared" si="112"/>
        <v>#N/A</v>
      </c>
      <c r="EM36" s="30" t="e">
        <f t="shared" si="113"/>
        <v>#N/A</v>
      </c>
      <c r="EN36" s="31" t="e">
        <f>IF(OR(Hypothèses!$B$4=17,Hypothèses!$B$4=18,Hypothèses!$B$4=19,Hypothèses!$B$4=20),
IF($D36="Pressio.",
IF(OR($E36=3,$E36=1,$E36=4),EM36,EL36),
IF($D36="Pénétro.",
IF(OR($E36=3,$E36=1,$E36=4),EM36,EL36))),IF($D36="Pressio.",
IF($E36=3,EM36,EL36),
IF($D36="Pénétro.",
IF($E36=4,EM36,EL36))))</f>
        <v>#N/A</v>
      </c>
      <c r="EO36" s="31">
        <v>0</v>
      </c>
      <c r="EP36" s="102" t="e">
        <f>IF(NDC!$H$10="Oui",(VLOOKUP($B$3,'Coeff EC7'!$T$39:$X$59,2,0)*EN36+VLOOKUP($B$3,'Coeff EC7'!$T$65:$X$85,2,0)*Model0.1T!EO36)/1.5,PI()*EL$12*$Q36*($B36-$B35)*0.15/10+EP35)</f>
        <v>#N/A</v>
      </c>
      <c r="EQ36" s="102" t="e">
        <f>(VLOOKUP($B$3,'Coeff EC7'!$T$39:$X$59,3,0)*EN36+VLOOKUP($B$3,'Coeff EC7'!$T$65:$X$85,3,0)*Model0.1T!EO36)/1.1</f>
        <v>#N/A</v>
      </c>
      <c r="ER36" s="102" t="e">
        <f t="shared" si="94"/>
        <v>#N/A</v>
      </c>
      <c r="ES36" s="102" t="e">
        <f t="shared" si="95"/>
        <v>#N/A</v>
      </c>
      <c r="ET36" s="414" t="e">
        <f>IF(AND(EP36&gt;NDC!$C$63,EQ36&gt;NDC!$C$65,ER36&gt;NDC!$D$73,ES36&gt;NDC!$D$74,$B36&gt;NDC!$H$22-0.1+MIN(3*ET$12,1.5)),0,1)</f>
        <v>#N/A</v>
      </c>
      <c r="EU36" s="86" t="b">
        <f t="shared" si="58"/>
        <v>0</v>
      </c>
      <c r="EV36" s="86">
        <f t="shared" si="59"/>
        <v>0.61</v>
      </c>
      <c r="EW36" s="86">
        <f t="shared" si="60"/>
        <v>0.61</v>
      </c>
      <c r="EX36" s="30" t="e">
        <f t="shared" ca="1" si="96"/>
        <v>#DIV/0!</v>
      </c>
      <c r="EY36" s="85" t="e">
        <f ca="1">IF(EE36&lt;=Hypothèses!$V$7,Hypothèses!$W$7,IF(EE36&lt;=Hypothèses!$V$8,Hypothèses!$W$8,IF(EE36&lt;=Hypothèses!$V$9,Hypothèses!$W$9,IF(EE36&lt;=Hypothèses!$V$10,Hypothèses!$W$10,IF(EE36&lt;=Hypothèses!$V$11,Hypothèses!$W$11,IF(EE36&lt;=Hypothèses!$V$12,Hypothèses!$W$12,IF(EE36&lt;=Hypothèses!$V$13,Hypothèses!$W$13,IF(EE36&lt;=Hypothèses!$V$14,Hypothèses!$W$14,IF(EE36&lt;=Hypothèses!$V$15,Hypothèses!$W$15,IF(EE36&lt;=Hypothèses!$V$16,Hypothèses!$W$16,IF(EE36&lt;=Hypothèses!$V$17,Hypothèses!$W$17,IF(EE36&lt;=Hypothèses!$V$18,Hypothèses!$W$18,""))))))))))))</f>
        <v>#DIV/0!</v>
      </c>
      <c r="EZ36" s="87" t="e">
        <f t="shared" ca="1" si="123"/>
        <v>#DIV/0!</v>
      </c>
      <c r="FA36" s="88" t="e">
        <f ca="1">IF(EE36&lt;=Hypothèses!$V$7,Hypothèses!$X$7,IF(EE36&lt;=Hypothèses!$V$8,Hypothèses!$X$8,IF(EE36&lt;=Hypothèses!$V$9,Hypothèses!$X$9,IF(EE36&lt;=Hypothèses!$V$10,Hypothèses!$X$10,IF(EE36&lt;=Hypothèses!$V$11,Hypothèses!$X$11,IF(EE36&lt;=Hypothèses!$V$12,Hypothèses!$X$12,IF(EE36&lt;=Hypothèses!$V$13,Hypothèses!$X$13,IF(EE36&lt;=Hypothèses!$V$14,Hypothèses!$X$14,IF(EE36&lt;=Hypothèses!$V$15,Hypothèses!$X$15,IF(EE36&lt;=Hypothèses!$V$16,Hypothèses!$X$16,IF(EE36&lt;=Hypothèses!$U$17,Hypothèses!$W$17,IF(EE36&lt;=Hypothèses!$U$18,Hypothèses!$W$18,""))))))))))))</f>
        <v>#DIV/0!</v>
      </c>
      <c r="FB36" s="95" t="e">
        <f t="shared" ca="1" si="97"/>
        <v>#DIV/0!</v>
      </c>
      <c r="FC36" s="101">
        <f t="shared" si="130"/>
        <v>0</v>
      </c>
      <c r="FD36" s="91">
        <f t="shared" si="62"/>
        <v>0</v>
      </c>
      <c r="FE36" s="30" t="e">
        <f t="shared" si="114"/>
        <v>#N/A</v>
      </c>
      <c r="FF36" s="30" t="e">
        <f t="shared" si="115"/>
        <v>#N/A</v>
      </c>
      <c r="FG36" s="31" t="e">
        <f>IF(OR(Hypothèses!$B$4=17,Hypothèses!$B$4=18,Hypothèses!$B$4=19,Hypothèses!$B$4=20),
IF($D36="Pressio.",
IF(OR($E36=3,$E36=1,$E36=4),FF36,FE36),
IF($D36="Pénétro.",
IF(OR($E36=3,$E36=1,$E36=4),FF36,FE36))),IF($D36="Pressio.",
IF($E36=3,FF36,FE36),
IF($D36="Pénétro.",
IF($E36=4,FF36,FE36))))</f>
        <v>#N/A</v>
      </c>
      <c r="FH36" s="31">
        <v>0</v>
      </c>
      <c r="FI36" s="102" t="e">
        <f>IF(NDC!$H$10="Oui",(VLOOKUP($B$3,'Coeff EC7'!$T$39:$X$59,2,0)*FG36+VLOOKUP($B$3,'Coeff EC7'!$T$65:$X$85,2,0)*Model0.1T!FH36)/1.5,PI()*FE$12*$Q36*($B36-$B35)*0.15/10+FI35)</f>
        <v>#N/A</v>
      </c>
      <c r="FJ36" s="102" t="e">
        <f>(VLOOKUP($B$3,'Coeff EC7'!$T$39:$X$59,3,0)*FG36+VLOOKUP($B$3,'Coeff EC7'!$T$65:$X$85,3,0)*Model0.1T!FH36)/1.1</f>
        <v>#N/A</v>
      </c>
      <c r="FK36" s="102" t="e">
        <f t="shared" si="98"/>
        <v>#N/A</v>
      </c>
      <c r="FL36" s="102" t="e">
        <f t="shared" si="99"/>
        <v>#N/A</v>
      </c>
      <c r="FM36" s="414" t="e">
        <f>IF(AND(FI36&gt;NDC!$C$63,FJ36&gt;NDC!$C$65,FK36&gt;NDC!$D$73,FL36&gt;NDC!$D$74,$B36&gt;NDC!$H$22-0.1+MIN(3*FM$12,1.5)),0,1)</f>
        <v>#N/A</v>
      </c>
    </row>
    <row r="37" spans="1:169">
      <c r="A37" s="96">
        <f t="shared" si="65"/>
        <v>97.600000000000136</v>
      </c>
      <c r="B37" s="97">
        <v>2.4</v>
      </c>
      <c r="C37" s="81">
        <f>IF(B37&lt;=Hypothèses!$C$7,Hypothèses!$A$7,IF(B37&lt;=Hypothèses!$C$8,Hypothèses!$A$8,IF(B37&lt;=Hypothèses!$C$9,Hypothèses!$A$9,IF(B37&lt;=Hypothèses!$C$10,Hypothèses!$A$10,IF(B37&lt;=Hypothèses!$C$11,Hypothèses!$A$11,IF(B37&lt;=Hypothèses!$C$12,Hypothèses!$A$12,IF(B37&lt;=Hypothèses!$C$13,Hypothèses!$A$13,IF(B37&lt;=Hypothèses!$C$14,Hypothèses!$A$14,IF(B37&lt;=Hypothèses!$C$15,Hypothèses!$A$15,IF(B37&lt;=Hypothèses!$C$16,Hypothèses!$A$16,IF(B37&lt;=Hypothèses!$C$17,Hypothèses!$A$17,IF(B37&lt;=Hypothèses!$C$18,Hypothèses!$A$18,C36))))))))))))</f>
        <v>11</v>
      </c>
      <c r="D37" s="82" t="str">
        <f>IF(B37&lt;=Hypothèses!$C$7,Hypothèses!$R$7,IF(B37&lt;=Hypothèses!$C$8,Hypothèses!$R$8,IF(B37&lt;=Hypothèses!$C$9,Hypothèses!$R$9,IF(B37&lt;=Hypothèses!$C$10,Hypothèses!$R$10,IF(B37&lt;=Hypothèses!$C$11,Hypothèses!$R$11,IF(B37&lt;=Hypothèses!$C$12,Hypothèses!$R$12,IF(B37&lt;=Hypothèses!$C$13,Hypothèses!$R$13,IF(B37&lt;=Hypothèses!$C$14,Hypothèses!$R$14,IF(B37&lt;=Hypothèses!$C$15,Hypothèses!$R$15,IF(B37&lt;=Hypothèses!$C$16,Hypothèses!$R$16,IF(B37&lt;=Hypothèses!$C$17,Hypothèses!$R$17,IF(B37&lt;=Hypothèses!$C$18,Hypothèses!$R$18,D36))))))))))))</f>
        <v>Pressio.</v>
      </c>
      <c r="E37" s="82" t="e">
        <f>IF(B37&lt;=Hypothèses!$C$7,Hypothèses!$G$7,IF(B37&lt;=Hypothèses!$C$8,Hypothèses!$G$8,IF(B37&lt;=Hypothèses!$C$9,Hypothèses!$G$9,IF(B37&lt;=Hypothèses!$C$10,Hypothèses!$G$10,IF(B37&lt;=Hypothèses!$C$11,Hypothèses!$G$11,IF(B37&lt;=Hypothèses!$C$12,Hypothèses!$G$12,IF(B37&lt;=Hypothèses!$C$13,Hypothèses!$G$13,IF(B37&lt;=Hypothèses!$C$14,Hypothèses!$G$14,IF(B37&lt;=Hypothèses!$C$15,Hypothèses!$G$15,IF(B37&lt;=Hypothèses!$C$16,Hypothèses!$G$16,IF(B37&lt;=Hypothèses!$C$17,Hypothèses!$G$17,IF(B37&lt;=Hypothèses!$C$18,Hypothèses!$G$18,E36))))))))))))</f>
        <v>#N/A</v>
      </c>
      <c r="F37" s="82" t="str">
        <f>IF(B37&lt;=Hypothèses!$C$7,Hypothèses!$F$7,IF(B37&lt;=Hypothèses!$C$8,Hypothèses!$F$8,IF(B37&lt;=Hypothèses!$C$9,Hypothèses!$F$9,IF(B37&lt;=Hypothèses!$C$10,Hypothèses!$F$10,IF(B37&lt;=Hypothèses!$C$11,Hypothèses!$F$11,IF(B37&lt;=Hypothèses!$C$12,Hypothèses!$F$12,IF(B37&lt;=Hypothèses!$C$13,Hypothèses!$F$13,IF(B37&lt;=Hypothèses!$C$14,Hypothèses!$F$14,IF(B37&lt;=Hypothèses!$C$15,Hypothèses!$F$15,IF(B37&lt;=Hypothèses!$C$16,Hypothèses!$F$16,IF(B37&lt;=Hypothèses!$C$17,Hypothèses!$F$17,IF(B37&lt;=Hypothèses!$C$18,Hypothèses!$F$18,F36))))))))))))</f>
        <v/>
      </c>
      <c r="G37" s="91">
        <f t="array" ref="G37">INDEX('Coeff EC7'!$U$7:$X$27,
MATCH(Model0.1T!$B$3,'Coeff EC7'!$T$7:$T$27,0),
MATCH(Model0.1T!$D37&amp;Model0.1T!$B$4,
'Coeff EC7'!$U$6:$X$6&amp;
'Coeff EC7'!$U$5:$X$5,0))</f>
        <v>1.4</v>
      </c>
      <c r="H37" s="91">
        <f t="array" ref="H37">INDEX('Coeff EC7'!$Y$7:$AB$27,
MATCH(Model0.1T!$B$3,'Coeff EC7'!$T$7:$T$27,0),
MATCH(Model0.1T!$D37&amp;Model0.1T!$B$4,
'Coeff EC7'!$Y$6:$AB$6&amp;
'Coeff EC7'!$Y$5:$AB$5,0))</f>
        <v>1.7</v>
      </c>
      <c r="I37" s="83">
        <v>0</v>
      </c>
      <c r="J37" s="91" t="e">
        <f t="array" ref="J37">INDEX('Coeff EC7'!$D$33:$Q$33,1,MATCH(D37&amp;E37,'Coeff EC7'!$D$31:$Q$31&amp;'Coeff EC7'!$D$32:$Q$32,0))</f>
        <v>#N/A</v>
      </c>
      <c r="K37" s="91" t="e">
        <f t="array" ref="K37">INDEX('Coeff EC7'!$D$34:$Q$34,1,MATCH(D37&amp;E37,'Coeff EC7'!$D$31:$Q$31&amp;'Coeff EC7'!$D$32:$Q$32,0))</f>
        <v>#N/A</v>
      </c>
      <c r="L37" s="91" t="e">
        <f t="array" ref="L37">INDEX('Coeff EC7'!$D$35:$Q$35,1,MATCH(D37&amp;E37,'Coeff EC7'!$D$31:$Q$31&amp;'Coeff EC7'!$D$32:$Q$32,0))</f>
        <v>#N/A</v>
      </c>
      <c r="M37" s="98" t="e">
        <f t="shared" si="8"/>
        <v>#N/A</v>
      </c>
      <c r="N37" s="99" t="e">
        <f t="array" ref="N37">INDEX('Coeff EC7'!$D$7:$Q$27,MATCH($B$3,'Coeff EC7'!$C$7:$C$27,0),MATCH(D37&amp;E37,'Coeff EC7'!$D$5:$Q$5&amp;'Coeff EC7'!$D$6:$Q$6,0))</f>
        <v>#N/A</v>
      </c>
      <c r="O37" s="99" t="e">
        <f t="array" ref="O37">INDEX('Coeff EC7'!$D$41:$Q$61,MATCH($B$3,'Coeff EC7'!$C$41:$C$61,0),MATCH(D37&amp;E37,'Coeff EC7'!$D$39:$Q$39&amp;'Coeff EC7'!$D$40:$Q$40,0))</f>
        <v>#N/A</v>
      </c>
      <c r="P37" s="30" t="e">
        <f t="shared" si="66"/>
        <v>#N/A</v>
      </c>
      <c r="Q37" s="100" t="e">
        <f t="shared" si="10"/>
        <v>#N/A</v>
      </c>
      <c r="R37" s="86" t="b">
        <f t="shared" si="11"/>
        <v>0</v>
      </c>
      <c r="S37" s="86">
        <f t="shared" si="9"/>
        <v>0.5</v>
      </c>
      <c r="T37" s="86">
        <f t="shared" si="12"/>
        <v>0.5</v>
      </c>
      <c r="U37" s="30" t="e">
        <f t="shared" ca="1" si="67"/>
        <v>#DIV/0!</v>
      </c>
      <c r="V37" s="85" t="str">
        <f>IF(B37&lt;=Hypothèses!$V$7,Hypothèses!$W$7,IF(B37&lt;=Hypothèses!$V$8,Hypothèses!$W$8,IF(B37&lt;=Hypothèses!$V$9,Hypothèses!$W$9,IF(B37&lt;=Hypothèses!$V$10,Hypothèses!$W$10,IF(B37&lt;=Hypothèses!$V$11,Hypothèses!$W$11,IF(B37&lt;=Hypothèses!$V$12,Hypothèses!$W$12,IF(B37&lt;=Hypothèses!$V$13,Hypothèses!$W$13,IF(B37&lt;=Hypothèses!$V$14,Hypothèses!$W$14,IF(B37&lt;=Hypothèses!$V$15,Hypothèses!$W$15,IF(B37&lt;=Hypothèses!$V$16,Hypothèses!$W$16,IF(B37&lt;=Hypothèses!$V$17,Hypothèses!$W$17,IF(B37&lt;=Hypothèses!$V$18,Hypothèses!$W$18,""))))))))))))</f>
        <v/>
      </c>
      <c r="W37" s="87" t="e">
        <f t="shared" ca="1" si="116"/>
        <v>#DIV/0!</v>
      </c>
      <c r="X37" s="88" t="str">
        <f>IF(B37&lt;=Hypothèses!$V$7,Hypothèses!$X$7,IF(B37&lt;=Hypothèses!$V$8,Hypothèses!$X$8,IF(B37&lt;=Hypothèses!$V$9,Hypothèses!$X$9,IF(B37&lt;=Hypothèses!$V$10,Hypothèses!$X$10,IF(B37&lt;=Hypothèses!$V$11,Hypothèses!$X$11,IF(B37&lt;=Hypothèses!$V$12,Hypothèses!$X$12,IF(B37&lt;=Hypothèses!$V$13,Hypothèses!$X$13,IF(B37&lt;=Hypothèses!$V$14,Hypothèses!$X$14,IF(B37&lt;=Hypothèses!$V$15,Hypothèses!$X$15,IF(B37&lt;=Hypothèses!$V$16,Hypothèses!$X$16,IF(B37&lt;=Hypothèses!$U$17,Hypothèses!$W$17,IF(B37&lt;=Hypothèses!$U$18,Hypothèses!$W$18,""))))))))))))</f>
        <v/>
      </c>
      <c r="Y37" s="95" t="e">
        <f t="shared" ca="1" si="13"/>
        <v>#DIV/0!</v>
      </c>
      <c r="Z37" s="101">
        <f t="shared" si="14"/>
        <v>0</v>
      </c>
      <c r="AA37" s="91">
        <f t="shared" si="15"/>
        <v>0</v>
      </c>
      <c r="AB37" s="30" t="e">
        <f t="shared" si="100"/>
        <v>#N/A</v>
      </c>
      <c r="AC37" s="30" t="e">
        <f t="shared" si="101"/>
        <v>#N/A</v>
      </c>
      <c r="AD37" s="31" t="e">
        <f>IF(OR(Hypothèses!$B$4=17,Hypothèses!$B$4=18,Hypothèses!$B$4=19,Hypothèses!$B$4=20),
IF($D37="Pressio.",
IF(OR($E37=3,$E37=1,$E37=4),AC37,AB37),
IF($D37="Pénétro.",
IF(OR($E37=3,$E37=1,$E37=4),AC37,AB37))),IF($D37="Pressio.",
IF($E37=3,AC37,AB37),
IF($D37="Pénétro.",
IF($E37=4,AC37,AB37))))</f>
        <v>#N/A</v>
      </c>
      <c r="AE37" s="31">
        <v>0</v>
      </c>
      <c r="AF37" s="102" t="e">
        <f>IF(NDC!$H$10="Oui",(VLOOKUP($B$3,'Coeff EC7'!$T$39:$X$59,2,0)*AD37+VLOOKUP($B$3,'Coeff EC7'!$T$65:$X$85,2,0)*Model0.1T!AE37)/1.5,PI()*AB$12*$Q37*($B37-$B36)*0.15/10+AF36)</f>
        <v>#N/A</v>
      </c>
      <c r="AG37" s="102" t="e">
        <f>(VLOOKUP($B$3,'Coeff EC7'!$T$39:$X$59,3,0)*AD37+VLOOKUP($B$3,'Coeff EC7'!$T$65:$X$85,3,0)*Model0.1T!AE37)/1.1</f>
        <v>#N/A</v>
      </c>
      <c r="AH37" s="102" t="e">
        <f t="shared" si="68"/>
        <v>#N/A</v>
      </c>
      <c r="AI37" s="102" t="e">
        <f t="shared" si="69"/>
        <v>#N/A</v>
      </c>
      <c r="AJ37" s="414" t="e">
        <f>IF(AND(AF37&gt;NDC!$C$63,AG37&gt;NDC!$C$65,AH37&gt;NDC!$D$73,AI37&gt;NDC!$D$74,$B37&gt;NDC!$H$22-0.1+MIN(3*$AJ$12,1.5)),0,1)</f>
        <v>#N/A</v>
      </c>
      <c r="AK37" s="86" t="b">
        <f t="shared" si="18"/>
        <v>0</v>
      </c>
      <c r="AL37" s="86">
        <f t="shared" si="70"/>
        <v>0.5</v>
      </c>
      <c r="AM37" s="86">
        <f t="shared" si="19"/>
        <v>0.5</v>
      </c>
      <c r="AN37" s="30" t="e">
        <f t="shared" ca="1" si="71"/>
        <v>#DIV/0!</v>
      </c>
      <c r="AO37" s="85" t="e">
        <f ca="1">IF(U37&lt;=Hypothèses!$V$7,Hypothèses!$W$7,IF(U37&lt;=Hypothèses!$V$8,Hypothèses!$W$8,IF(U37&lt;=Hypothèses!$V$9,Hypothèses!$W$9,IF(U37&lt;=Hypothèses!$V$10,Hypothèses!$W$10,IF(U37&lt;=Hypothèses!$V$11,Hypothèses!$W$11,IF(U37&lt;=Hypothèses!$V$12,Hypothèses!$W$12,IF(U37&lt;=Hypothèses!$V$13,Hypothèses!$W$13,IF(U37&lt;=Hypothèses!$V$14,Hypothèses!$W$14,IF(U37&lt;=Hypothèses!$V$15,Hypothèses!$W$15,IF(U37&lt;=Hypothèses!$V$16,Hypothèses!$W$16,IF(U37&lt;=Hypothèses!$V$17,Hypothèses!$W$17,IF(U37&lt;=Hypothèses!$V$18,Hypothèses!$W$18,""))))))))))))</f>
        <v>#DIV/0!</v>
      </c>
      <c r="AP37" s="87" t="e">
        <f t="shared" ca="1" si="117"/>
        <v>#DIV/0!</v>
      </c>
      <c r="AQ37" s="88" t="e">
        <f ca="1">IF(U37&lt;=Hypothèses!$V$7,Hypothèses!$X$7,IF(U37&lt;=Hypothèses!$V$8,Hypothèses!$X$8,IF(U37&lt;=Hypothèses!$V$9,Hypothèses!$X$9,IF(U37&lt;=Hypothèses!$V$10,Hypothèses!$X$10,IF(U37&lt;=Hypothèses!$V$11,Hypothèses!$X$11,IF(U37&lt;=Hypothèses!$V$12,Hypothèses!$X$12,IF(U37&lt;=Hypothèses!$V$13,Hypothèses!$X$13,IF(U37&lt;=Hypothèses!$V$14,Hypothèses!$X$14,IF(U37&lt;=Hypothèses!$V$15,Hypothèses!$X$15,IF(U37&lt;=Hypothèses!$V$16,Hypothèses!$X$16,IF(U37&lt;=Hypothèses!$U$17,Hypothèses!$W$17,IF(U37&lt;=Hypothèses!$U$18,Hypothèses!$W$18,""))))))))))))</f>
        <v>#DIV/0!</v>
      </c>
      <c r="AR37" s="95" t="e">
        <f t="shared" ca="1" si="72"/>
        <v>#DIV/0!</v>
      </c>
      <c r="AS37" s="101">
        <f t="shared" si="124"/>
        <v>0</v>
      </c>
      <c r="AT37" s="91">
        <f t="shared" si="21"/>
        <v>0</v>
      </c>
      <c r="AU37" s="30" t="e">
        <f t="shared" si="102"/>
        <v>#N/A</v>
      </c>
      <c r="AV37" s="30" t="e">
        <f t="shared" si="103"/>
        <v>#N/A</v>
      </c>
      <c r="AW37" s="31" t="e">
        <f>IF(OR(Hypothèses!$B$4=17,Hypothèses!$B$4=18,Hypothèses!$B$4=19,Hypothèses!$B$4=20),
IF($D37="Pressio.",
IF(OR($E37=3,$E37=1,$E37=4),AV37,AU37),
IF($D37="Pénétro.",
IF(OR($E37=3,$E37=1,$E37=4),AV37,AU37))),IF($D37="Pressio.",
IF($E37=3,AV37,AU37),
IF($D37="Pénétro.",
IF($E37=4,AV37,AU37))))</f>
        <v>#N/A</v>
      </c>
      <c r="AX37" s="31">
        <v>0</v>
      </c>
      <c r="AY37" s="102" t="e">
        <f>IF(NDC!$H$10="Oui",(VLOOKUP($B$3,'Coeff EC7'!$T$39:$X$59,2,0)*AW37+VLOOKUP($B$3,'Coeff EC7'!$T$65:$X$85,2,0)*Model0.1T!AX37)/1.5,PI()*AU$12*$Q37*($B37-$B36)*0.15/10+AY36)</f>
        <v>#N/A</v>
      </c>
      <c r="AZ37" s="102" t="e">
        <f>(VLOOKUP($B$3,'Coeff EC7'!$T$39:$X$59,3,0)*AW37+VLOOKUP($B$3,'Coeff EC7'!$T$65:$X$85,3,0)*Model0.1T!AX37)/1.1</f>
        <v>#N/A</v>
      </c>
      <c r="BA37" s="102" t="e">
        <f t="shared" si="73"/>
        <v>#N/A</v>
      </c>
      <c r="BB37" s="102" t="e">
        <f t="shared" si="74"/>
        <v>#N/A</v>
      </c>
      <c r="BC37" s="414" t="e">
        <f>IF(AND(AY37&gt;NDC!$C$63,AZ37&gt;NDC!$C$65,BA37&gt;NDC!$D$73,BB37&gt;NDC!$D$74,$B37&gt;NDC!$H$22-0.1+MIN(3*BC$12,1.5)),0,1)</f>
        <v>#N/A</v>
      </c>
      <c r="BD37" s="86" t="b">
        <f t="shared" si="24"/>
        <v>0</v>
      </c>
      <c r="BE37" s="86">
        <f t="shared" si="75"/>
        <v>0.5</v>
      </c>
      <c r="BF37" s="86">
        <f t="shared" si="25"/>
        <v>0.5</v>
      </c>
      <c r="BG37" s="30" t="e">
        <f t="shared" ca="1" si="76"/>
        <v>#DIV/0!</v>
      </c>
      <c r="BH37" s="85" t="e">
        <f ca="1">IF(AN37&lt;=Hypothèses!$V$7,Hypothèses!$W$7,IF(AN37&lt;=Hypothèses!$V$8,Hypothèses!$W$8,IF(AN37&lt;=Hypothèses!$V$9,Hypothèses!$W$9,IF(AN37&lt;=Hypothèses!$V$10,Hypothèses!$W$10,IF(AN37&lt;=Hypothèses!$V$11,Hypothèses!$W$11,IF(AN37&lt;=Hypothèses!$V$12,Hypothèses!$W$12,IF(AN37&lt;=Hypothèses!$V$13,Hypothèses!$W$13,IF(AN37&lt;=Hypothèses!$V$14,Hypothèses!$W$14,IF(AN37&lt;=Hypothèses!$V$15,Hypothèses!$W$15,IF(AN37&lt;=Hypothèses!$V$16,Hypothèses!$W$16,IF(AN37&lt;=Hypothèses!$V$17,Hypothèses!$W$17,IF(AN37&lt;=Hypothèses!$V$18,Hypothèses!$W$18,""))))))))))))</f>
        <v>#DIV/0!</v>
      </c>
      <c r="BI37" s="87" t="e">
        <f t="shared" ca="1" si="118"/>
        <v>#DIV/0!</v>
      </c>
      <c r="BJ37" s="88" t="e">
        <f ca="1">IF(AN37&lt;=Hypothèses!$V$7,Hypothèses!$X$7,IF(AN37&lt;=Hypothèses!$V$8,Hypothèses!$X$8,IF(AN37&lt;=Hypothèses!$V$9,Hypothèses!$X$9,IF(AN37&lt;=Hypothèses!$V$10,Hypothèses!$X$10,IF(AN37&lt;=Hypothèses!$V$11,Hypothèses!$X$11,IF(AN37&lt;=Hypothèses!$V$12,Hypothèses!$X$12,IF(AN37&lt;=Hypothèses!$V$13,Hypothèses!$X$13,IF(AN37&lt;=Hypothèses!$V$14,Hypothèses!$X$14,IF(AN37&lt;=Hypothèses!$V$15,Hypothèses!$X$15,IF(AN37&lt;=Hypothèses!$V$16,Hypothèses!$X$16,IF(AN37&lt;=Hypothèses!$U$17,Hypothèses!$W$17,IF(AN37&lt;=Hypothèses!$U$18,Hypothèses!$W$18,""))))))))))))</f>
        <v>#DIV/0!</v>
      </c>
      <c r="BK37" s="95" t="e">
        <f t="shared" ca="1" si="77"/>
        <v>#DIV/0!</v>
      </c>
      <c r="BL37" s="101">
        <f t="shared" si="125"/>
        <v>0</v>
      </c>
      <c r="BM37" s="91">
        <f t="shared" si="27"/>
        <v>0</v>
      </c>
      <c r="BN37" s="30" t="e">
        <f t="shared" si="104"/>
        <v>#N/A</v>
      </c>
      <c r="BO37" s="30" t="e">
        <f t="shared" si="105"/>
        <v>#N/A</v>
      </c>
      <c r="BP37" s="31" t="e">
        <f>IF(OR(Hypothèses!$B$4=17,Hypothèses!$B$4=18,Hypothèses!$B$4=19,Hypothèses!$B$4=20),
IF($D37="Pressio.",
IF(OR($E37=3,$E37=1,$E37=4),BO37,BN37),
IF($D37="Pénétro.",
IF(OR($E37=3,$E37=1,$E37=4),BO37,BN37))),IF($D37="Pressio.",
IF($E37=3,BO37,BN37),
IF($D37="Pénétro.",
IF($E37=4,BO37,BN37))))</f>
        <v>#N/A</v>
      </c>
      <c r="BQ37" s="31">
        <v>0</v>
      </c>
      <c r="BR37" s="102" t="e">
        <f>IF(NDC!$H$10="Oui",(VLOOKUP($B$3,'Coeff EC7'!$T$39:$X$59,2,0)*BP37+VLOOKUP($B$3,'Coeff EC7'!$T$65:$X$85,2,0)*Model0.1T!BQ37)/1.5,PI()*BN$12*$Q37*($B37-$B36)*0.15/10+BR36)</f>
        <v>#N/A</v>
      </c>
      <c r="BS37" s="102" t="e">
        <f>(VLOOKUP($B$3,'Coeff EC7'!$T$39:$X$59,3,0)*BP37+VLOOKUP($B$3,'Coeff EC7'!$T$65:$X$85,3,0)*Model0.1T!BQ37)/1.1</f>
        <v>#N/A</v>
      </c>
      <c r="BT37" s="102" t="e">
        <f t="shared" si="78"/>
        <v>#N/A</v>
      </c>
      <c r="BU37" s="102" t="e">
        <f t="shared" si="79"/>
        <v>#N/A</v>
      </c>
      <c r="BV37" s="414" t="e">
        <f>IF(AND(BR37&gt;NDC!$C$63,BS37&gt;NDC!$C$65,BT37&gt;NDC!$D$73,BU37&gt;NDC!$D$74,$B37&gt;NDC!$H$22-0.1+MIN(3*BV$12,1.5)),0,1)</f>
        <v>#N/A</v>
      </c>
      <c r="BW37" s="86" t="b">
        <f t="shared" si="30"/>
        <v>0</v>
      </c>
      <c r="BX37" s="86">
        <f t="shared" si="31"/>
        <v>0.5</v>
      </c>
      <c r="BY37" s="86">
        <f t="shared" si="32"/>
        <v>0.5</v>
      </c>
      <c r="BZ37" s="30" t="e">
        <f t="shared" ca="1" si="80"/>
        <v>#DIV/0!</v>
      </c>
      <c r="CA37" s="85" t="e">
        <f ca="1">IF(BG37&lt;=Hypothèses!$V$7,Hypothèses!$W$7,IF(BG37&lt;=Hypothèses!$V$8,Hypothèses!$W$8,IF(BG37&lt;=Hypothèses!$V$9,Hypothèses!$W$9,IF(BG37&lt;=Hypothèses!$V$10,Hypothèses!$W$10,IF(BG37&lt;=Hypothèses!$V$11,Hypothèses!$W$11,IF(BG37&lt;=Hypothèses!$V$12,Hypothèses!$W$12,IF(BG37&lt;=Hypothèses!$V$13,Hypothèses!$W$13,IF(BG37&lt;=Hypothèses!$V$14,Hypothèses!$W$14,IF(BG37&lt;=Hypothèses!$V$15,Hypothèses!$W$15,IF(BG37&lt;=Hypothèses!$V$16,Hypothèses!$W$16,IF(BG37&lt;=Hypothèses!$V$17,Hypothèses!$W$17,IF(BG37&lt;=Hypothèses!$V$18,Hypothèses!$W$18,""))))))))))))</f>
        <v>#DIV/0!</v>
      </c>
      <c r="CB37" s="87" t="e">
        <f t="shared" ca="1" si="119"/>
        <v>#DIV/0!</v>
      </c>
      <c r="CC37" s="88" t="e">
        <f ca="1">IF(BG37&lt;=Hypothèses!$V$7,Hypothèses!$X$7,IF(BG37&lt;=Hypothèses!$V$8,Hypothèses!$X$8,IF(BG37&lt;=Hypothèses!$V$9,Hypothèses!$X$9,IF(BG37&lt;=Hypothèses!$V$10,Hypothèses!$X$10,IF(BG37&lt;=Hypothèses!$V$11,Hypothèses!$X$11,IF(BG37&lt;=Hypothèses!$V$12,Hypothèses!$X$12,IF(BG37&lt;=Hypothèses!$V$13,Hypothèses!$X$13,IF(BG37&lt;=Hypothèses!$V$14,Hypothèses!$X$14,IF(BG37&lt;=Hypothèses!$V$15,Hypothèses!$X$15,IF(BG37&lt;=Hypothèses!$V$16,Hypothèses!$X$16,IF(BG37&lt;=Hypothèses!$U$17,Hypothèses!$W$17,IF(BG37&lt;=Hypothèses!$U$18,Hypothèses!$W$18,""))))))))))))</f>
        <v>#DIV/0!</v>
      </c>
      <c r="CD37" s="95" t="e">
        <f t="shared" ca="1" si="81"/>
        <v>#DIV/0!</v>
      </c>
      <c r="CE37" s="101">
        <f t="shared" si="126"/>
        <v>0</v>
      </c>
      <c r="CF37" s="91">
        <f t="shared" si="34"/>
        <v>0</v>
      </c>
      <c r="CG37" s="30" t="e">
        <f t="shared" si="106"/>
        <v>#N/A</v>
      </c>
      <c r="CH37" s="30" t="e">
        <f t="shared" si="107"/>
        <v>#N/A</v>
      </c>
      <c r="CI37" s="31" t="e">
        <f>IF(OR(Hypothèses!$B$4=17,Hypothèses!$B$4=18,Hypothèses!$B$4=19,Hypothèses!$B$4=20),
IF($D37="Pressio.",
IF(OR($E37=3,$E37=1,$E37=4),CH37,CG37),
IF($D37="Pénétro.",
IF(OR($E37=3,$E37=1,$E37=4),CH37,CG37))),IF($D37="Pressio.",
IF($E37=3,CH37,CG37),
IF($D37="Pénétro.",
IF($E37=4,CH37,CG37))))</f>
        <v>#N/A</v>
      </c>
      <c r="CJ37" s="31">
        <v>0</v>
      </c>
      <c r="CK37" s="102" t="e">
        <f>IF(NDC!$H$10="Oui",(VLOOKUP($B$3,'Coeff EC7'!$T$39:$X$59,2,0)*CI37+VLOOKUP($B$3,'Coeff EC7'!$T$65:$X$85,2,0)*Model0.1T!CJ37)/1.5,PI()*CG$12*$Q37*($B37-$B36)*0.15/10+CK36)</f>
        <v>#N/A</v>
      </c>
      <c r="CL37" s="102" t="e">
        <f>(VLOOKUP($B$3,'Coeff EC7'!$T$39:$X$59,3,0)*CI37+VLOOKUP($B$3,'Coeff EC7'!$T$65:$X$85,3,0)*Model0.1T!CJ37)/1.1</f>
        <v>#N/A</v>
      </c>
      <c r="CM37" s="102" t="e">
        <f t="shared" si="82"/>
        <v>#N/A</v>
      </c>
      <c r="CN37" s="102" t="e">
        <f t="shared" si="83"/>
        <v>#N/A</v>
      </c>
      <c r="CO37" s="414" t="e">
        <f>IF(AND(CK37&gt;NDC!$C$63,CL37&gt;NDC!$C$65,CM37&gt;NDC!$D$73,CN37&gt;NDC!$D$74,$B37&gt;NDC!$H$22-0.1+MIN(3*CO$12,1.5)),0,1)</f>
        <v>#N/A</v>
      </c>
      <c r="CP37" s="86" t="b">
        <f t="shared" si="37"/>
        <v>0</v>
      </c>
      <c r="CQ37" s="86">
        <f t="shared" si="38"/>
        <v>0.5</v>
      </c>
      <c r="CR37" s="86">
        <f t="shared" si="39"/>
        <v>0.5</v>
      </c>
      <c r="CS37" s="30" t="e">
        <f t="shared" ca="1" si="84"/>
        <v>#DIV/0!</v>
      </c>
      <c r="CT37" s="85" t="e">
        <f ca="1">IF(BZ37&lt;=Hypothèses!$V$7,Hypothèses!$W$7,IF(BZ37&lt;=Hypothèses!$V$8,Hypothèses!$W$8,IF(BZ37&lt;=Hypothèses!$V$9,Hypothèses!$W$9,IF(BZ37&lt;=Hypothèses!$V$10,Hypothèses!$W$10,IF(BZ37&lt;=Hypothèses!$V$11,Hypothèses!$W$11,IF(BZ37&lt;=Hypothèses!$V$12,Hypothèses!$W$12,IF(BZ37&lt;=Hypothèses!$V$13,Hypothèses!$W$13,IF(BZ37&lt;=Hypothèses!$V$14,Hypothèses!$W$14,IF(BZ37&lt;=Hypothèses!$V$15,Hypothèses!$W$15,IF(BZ37&lt;=Hypothèses!$V$16,Hypothèses!$W$16,IF(BZ37&lt;=Hypothèses!$V$17,Hypothèses!$W$17,IF(BZ37&lt;=Hypothèses!$V$18,Hypothèses!$W$18,""))))))))))))</f>
        <v>#DIV/0!</v>
      </c>
      <c r="CU37" s="87" t="e">
        <f t="shared" ca="1" si="120"/>
        <v>#DIV/0!</v>
      </c>
      <c r="CV37" s="88" t="e">
        <f ca="1">IF(BZ37&lt;=Hypothèses!$V$7,Hypothèses!$X$7,IF(BZ37&lt;=Hypothèses!$V$8,Hypothèses!$X$8,IF(BZ37&lt;=Hypothèses!$V$9,Hypothèses!$X$9,IF(BZ37&lt;=Hypothèses!$V$10,Hypothèses!$X$10,IF(BZ37&lt;=Hypothèses!$V$11,Hypothèses!$X$11,IF(BZ37&lt;=Hypothèses!$V$12,Hypothèses!$X$12,IF(BZ37&lt;=Hypothèses!$V$13,Hypothèses!$X$13,IF(BZ37&lt;=Hypothèses!$V$14,Hypothèses!$X$14,IF(BZ37&lt;=Hypothèses!$V$15,Hypothèses!$X$15,IF(BZ37&lt;=Hypothèses!$V$16,Hypothèses!$X$16,IF(BZ37&lt;=Hypothèses!$U$17,Hypothèses!$W$17,IF(BZ37&lt;=Hypothèses!$U$18,Hypothèses!$W$18,""))))))))))))</f>
        <v>#DIV/0!</v>
      </c>
      <c r="CW37" s="95" t="e">
        <f t="shared" ca="1" si="85"/>
        <v>#DIV/0!</v>
      </c>
      <c r="CX37" s="101">
        <f t="shared" si="127"/>
        <v>0</v>
      </c>
      <c r="CY37" s="91">
        <f t="shared" si="41"/>
        <v>0</v>
      </c>
      <c r="CZ37" s="30" t="e">
        <f t="shared" si="108"/>
        <v>#N/A</v>
      </c>
      <c r="DA37" s="30" t="e">
        <f t="shared" si="109"/>
        <v>#N/A</v>
      </c>
      <c r="DB37" s="31" t="e">
        <f>IF(OR(Hypothèses!$B$4=17,Hypothèses!$B$4=18,Hypothèses!$B$4=19,Hypothèses!$B$4=20),
IF($D37="Pressio.",
IF(OR($E37=3,$E37=1,$E37=4),DA37,CZ37),
IF($D37="Pénétro.",
IF(OR($E37=3,$E37=1,$E37=4),DA37,CZ37))),IF($D37="Pressio.",
IF($E37=3,DA37,CZ37),
IF($D37="Pénétro.",
IF($E37=4,DA37,CZ37))))</f>
        <v>#N/A</v>
      </c>
      <c r="DC37" s="31">
        <v>0</v>
      </c>
      <c r="DD37" s="102" t="e">
        <f>IF(NDC!$H$10="Oui",(VLOOKUP($B$3,'Coeff EC7'!$T$39:$X$59,2,0)*DB37+VLOOKUP($B$3,'Coeff EC7'!$T$65:$X$85,2,0)*Model0.1T!DC37)/1.5,PI()*CZ$12*$Q37*($B37-$B36)*0.15/10+DD36)</f>
        <v>#N/A</v>
      </c>
      <c r="DE37" s="102" t="e">
        <f>(VLOOKUP($B$3,'Coeff EC7'!$T$39:$X$59,3,0)*DB37+VLOOKUP($B$3,'Coeff EC7'!$T$65:$X$85,3,0)*Model0.1T!DC37)/1.1</f>
        <v>#N/A</v>
      </c>
      <c r="DF37" s="102" t="e">
        <f t="shared" si="86"/>
        <v>#N/A</v>
      </c>
      <c r="DG37" s="102" t="e">
        <f t="shared" si="87"/>
        <v>#N/A</v>
      </c>
      <c r="DH37" s="414" t="e">
        <f>IF(AND(DD37&gt;NDC!$C$63,DE37&gt;NDC!$C$65,DF37&gt;NDC!$D$73,DG37&gt;NDC!$D$74,$B37&gt;NDC!$H$22-0.1+MIN(3*DH$12,1.5)),0,1)</f>
        <v>#N/A</v>
      </c>
      <c r="DI37" s="86" t="b">
        <f t="shared" si="44"/>
        <v>0</v>
      </c>
      <c r="DJ37" s="86">
        <f t="shared" si="45"/>
        <v>0.5</v>
      </c>
      <c r="DK37" s="86">
        <f t="shared" si="46"/>
        <v>0.5</v>
      </c>
      <c r="DL37" s="30" t="e">
        <f t="shared" ca="1" si="88"/>
        <v>#DIV/0!</v>
      </c>
      <c r="DM37" s="85" t="e">
        <f ca="1">IF(CS37&lt;=Hypothèses!$V$7,Hypothèses!$W$7,IF(CS37&lt;=Hypothèses!$V$8,Hypothèses!$W$8,IF(CS37&lt;=Hypothèses!$V$9,Hypothèses!$W$9,IF(CS37&lt;=Hypothèses!$V$10,Hypothèses!$W$10,IF(CS37&lt;=Hypothèses!$V$11,Hypothèses!$W$11,IF(CS37&lt;=Hypothèses!$V$12,Hypothèses!$W$12,IF(CS37&lt;=Hypothèses!$V$13,Hypothèses!$W$13,IF(CS37&lt;=Hypothèses!$V$14,Hypothèses!$W$14,IF(CS37&lt;=Hypothèses!$V$15,Hypothèses!$W$15,IF(CS37&lt;=Hypothèses!$V$16,Hypothèses!$W$16,IF(CS37&lt;=Hypothèses!$V$17,Hypothèses!$W$17,IF(CS37&lt;=Hypothèses!$V$18,Hypothèses!$W$18,""))))))))))))</f>
        <v>#DIV/0!</v>
      </c>
      <c r="DN37" s="87" t="e">
        <f t="shared" ca="1" si="121"/>
        <v>#DIV/0!</v>
      </c>
      <c r="DO37" s="88" t="e">
        <f ca="1">IF(CS37&lt;=Hypothèses!$V$7,Hypothèses!$X$7,IF(CS37&lt;=Hypothèses!$V$8,Hypothèses!$X$8,IF(CS37&lt;=Hypothèses!$V$9,Hypothèses!$X$9,IF(CS37&lt;=Hypothèses!$V$10,Hypothèses!$X$10,IF(CS37&lt;=Hypothèses!$V$11,Hypothèses!$X$11,IF(CS37&lt;=Hypothèses!$V$12,Hypothèses!$X$12,IF(CS37&lt;=Hypothèses!$V$13,Hypothèses!$X$13,IF(CS37&lt;=Hypothèses!$V$14,Hypothèses!$X$14,IF(CS37&lt;=Hypothèses!$V$15,Hypothèses!$X$15,IF(CS37&lt;=Hypothèses!$V$16,Hypothèses!$X$16,IF(CS37&lt;=Hypothèses!$U$17,Hypothèses!$W$17,IF(CS37&lt;=Hypothèses!$U$18,Hypothèses!$W$18,""))))))))))))</f>
        <v>#DIV/0!</v>
      </c>
      <c r="DP37" s="95" t="e">
        <f t="shared" ca="1" si="89"/>
        <v>#DIV/0!</v>
      </c>
      <c r="DQ37" s="101">
        <f t="shared" si="128"/>
        <v>0</v>
      </c>
      <c r="DR37" s="91">
        <f t="shared" si="48"/>
        <v>0</v>
      </c>
      <c r="DS37" s="30" t="e">
        <f t="shared" si="110"/>
        <v>#N/A</v>
      </c>
      <c r="DT37" s="30" t="e">
        <f t="shared" si="111"/>
        <v>#N/A</v>
      </c>
      <c r="DU37" s="31" t="e">
        <f>IF(OR(Hypothèses!$B$4=17,Hypothèses!$B$4=18,Hypothèses!$B$4=19,Hypothèses!$B$4=20),
IF($D37="Pressio.",
IF(OR($E37=3,$E37=1,$E37=4),DT37,DS37),
IF($D37="Pénétro.",
IF(OR($E37=3,$E37=1,$E37=4),DT37,DS37))),IF($D37="Pressio.",
IF($E37=3,DT37,DS37),
IF($D37="Pénétro.",
IF($E37=4,DT37,DS37))))</f>
        <v>#N/A</v>
      </c>
      <c r="DV37" s="31">
        <v>0</v>
      </c>
      <c r="DW37" s="102" t="e">
        <f>IF(NDC!$H$10="Oui",(VLOOKUP($B$3,'Coeff EC7'!$T$39:$X$59,2,0)*DU37+VLOOKUP($B$3,'Coeff EC7'!$T$65:$X$85,2,0)*Model0.1T!DV37)/1.5,PI()*DS$12*$Q37*($B37-$B36)*0.15/10+DW36)</f>
        <v>#N/A</v>
      </c>
      <c r="DX37" s="102" t="e">
        <f>(VLOOKUP($B$3,'Coeff EC7'!$T$39:$X$59,3,0)*DU37+VLOOKUP($B$3,'Coeff EC7'!$T$65:$X$85,3,0)*Model0.1T!DV37)/1.1</f>
        <v>#N/A</v>
      </c>
      <c r="DY37" s="102" t="e">
        <f t="shared" si="90"/>
        <v>#N/A</v>
      </c>
      <c r="DZ37" s="102" t="e">
        <f t="shared" si="91"/>
        <v>#N/A</v>
      </c>
      <c r="EA37" s="414" t="e">
        <f>IF(AND(DW37&gt;NDC!$C$63,DX37&gt;NDC!$C$65,DY37&gt;NDC!$D$73,DZ37&gt;NDC!$D$74,$B37&gt;NDC!$H$22-0.1+MIN(3*EA$12,1.5)),0,1)</f>
        <v>#N/A</v>
      </c>
      <c r="EB37" s="86" t="b">
        <f t="shared" si="51"/>
        <v>0</v>
      </c>
      <c r="EC37" s="418">
        <f t="shared" si="52"/>
        <v>0.51</v>
      </c>
      <c r="ED37" s="86">
        <f t="shared" si="53"/>
        <v>0.51</v>
      </c>
      <c r="EE37" s="30" t="e">
        <f t="shared" ca="1" si="92"/>
        <v>#DIV/0!</v>
      </c>
      <c r="EF37" s="85" t="e">
        <f ca="1">IF(DL37&lt;=Hypothèses!$V$7,Hypothèses!$W$7,IF(DL37&lt;=Hypothèses!$V$8,Hypothèses!$W$8,IF(DL37&lt;=Hypothèses!$V$9,Hypothèses!$W$9,IF(DL37&lt;=Hypothèses!$V$10,Hypothèses!$W$10,IF(DL37&lt;=Hypothèses!$V$11,Hypothèses!$W$11,IF(DL37&lt;=Hypothèses!$V$12,Hypothèses!$W$12,IF(DL37&lt;=Hypothèses!$V$13,Hypothèses!$W$13,IF(DL37&lt;=Hypothèses!$V$14,Hypothèses!$W$14,IF(DL37&lt;=Hypothèses!$V$15,Hypothèses!$W$15,IF(DL37&lt;=Hypothèses!$V$16,Hypothèses!$W$16,IF(DL37&lt;=Hypothèses!$V$17,Hypothèses!$W$17,IF(DL37&lt;=Hypothèses!$V$18,Hypothèses!$W$18,""))))))))))))</f>
        <v>#DIV/0!</v>
      </c>
      <c r="EG37" s="87" t="e">
        <f t="shared" ca="1" si="122"/>
        <v>#DIV/0!</v>
      </c>
      <c r="EH37" s="88" t="e">
        <f ca="1">IF(DL37&lt;=Hypothèses!$V$7,Hypothèses!$X$7,IF(DL37&lt;=Hypothèses!$V$8,Hypothèses!$X$8,IF(DL37&lt;=Hypothèses!$V$9,Hypothèses!$X$9,IF(DL37&lt;=Hypothèses!$V$10,Hypothèses!$X$10,IF(DL37&lt;=Hypothèses!$V$11,Hypothèses!$X$11,IF(DL37&lt;=Hypothèses!$V$12,Hypothèses!$X$12,IF(DL37&lt;=Hypothèses!$V$13,Hypothèses!$X$13,IF(DL37&lt;=Hypothèses!$V$14,Hypothèses!$X$14,IF(DL37&lt;=Hypothèses!$V$15,Hypothèses!$X$15,IF(DL37&lt;=Hypothèses!$V$16,Hypothèses!$X$16,IF(DL37&lt;=Hypothèses!$U$17,Hypothèses!$W$17,IF(DL37&lt;=Hypothèses!$U$18,Hypothèses!$W$18,""))))))))))))</f>
        <v>#DIV/0!</v>
      </c>
      <c r="EI37" s="95" t="e">
        <f t="shared" ca="1" si="93"/>
        <v>#DIV/0!</v>
      </c>
      <c r="EJ37" s="101">
        <f t="shared" si="129"/>
        <v>0</v>
      </c>
      <c r="EK37" s="91">
        <f t="shared" si="55"/>
        <v>0</v>
      </c>
      <c r="EL37" s="30" t="e">
        <f t="shared" si="112"/>
        <v>#N/A</v>
      </c>
      <c r="EM37" s="30" t="e">
        <f t="shared" si="113"/>
        <v>#N/A</v>
      </c>
      <c r="EN37" s="31" t="e">
        <f>IF(OR(Hypothèses!$B$4=17,Hypothèses!$B$4=18,Hypothèses!$B$4=19,Hypothèses!$B$4=20),
IF($D37="Pressio.",
IF(OR($E37=3,$E37=1,$E37=4),EM37,EL37),
IF($D37="Pénétro.",
IF(OR($E37=3,$E37=1,$E37=4),EM37,EL37))),IF($D37="Pressio.",
IF($E37=3,EM37,EL37),
IF($D37="Pénétro.",
IF($E37=4,EM37,EL37))))</f>
        <v>#N/A</v>
      </c>
      <c r="EO37" s="31">
        <v>0</v>
      </c>
      <c r="EP37" s="102" t="e">
        <f>IF(NDC!$H$10="Oui",(VLOOKUP($B$3,'Coeff EC7'!$T$39:$X$59,2,0)*EN37+VLOOKUP($B$3,'Coeff EC7'!$T$65:$X$85,2,0)*Model0.1T!EO37)/1.5,PI()*EL$12*$Q37*($B37-$B36)*0.15/10+EP36)</f>
        <v>#N/A</v>
      </c>
      <c r="EQ37" s="102" t="e">
        <f>(VLOOKUP($B$3,'Coeff EC7'!$T$39:$X$59,3,0)*EN37+VLOOKUP($B$3,'Coeff EC7'!$T$65:$X$85,3,0)*Model0.1T!EO37)/1.1</f>
        <v>#N/A</v>
      </c>
      <c r="ER37" s="102" t="e">
        <f t="shared" si="94"/>
        <v>#N/A</v>
      </c>
      <c r="ES37" s="102" t="e">
        <f t="shared" si="95"/>
        <v>#N/A</v>
      </c>
      <c r="ET37" s="414" t="e">
        <f>IF(AND(EP37&gt;NDC!$C$63,EQ37&gt;NDC!$C$65,ER37&gt;NDC!$D$73,ES37&gt;NDC!$D$74,$B37&gt;NDC!$H$22-0.1+MIN(3*ET$12,1.5)),0,1)</f>
        <v>#N/A</v>
      </c>
      <c r="EU37" s="86" t="b">
        <f t="shared" si="58"/>
        <v>0</v>
      </c>
      <c r="EV37" s="86">
        <f t="shared" si="59"/>
        <v>0.61</v>
      </c>
      <c r="EW37" s="86">
        <f t="shared" si="60"/>
        <v>0.61</v>
      </c>
      <c r="EX37" s="30" t="e">
        <f t="shared" ca="1" si="96"/>
        <v>#DIV/0!</v>
      </c>
      <c r="EY37" s="85" t="e">
        <f ca="1">IF(EE37&lt;=Hypothèses!$V$7,Hypothèses!$W$7,IF(EE37&lt;=Hypothèses!$V$8,Hypothèses!$W$8,IF(EE37&lt;=Hypothèses!$V$9,Hypothèses!$W$9,IF(EE37&lt;=Hypothèses!$V$10,Hypothèses!$W$10,IF(EE37&lt;=Hypothèses!$V$11,Hypothèses!$W$11,IF(EE37&lt;=Hypothèses!$V$12,Hypothèses!$W$12,IF(EE37&lt;=Hypothèses!$V$13,Hypothèses!$W$13,IF(EE37&lt;=Hypothèses!$V$14,Hypothèses!$W$14,IF(EE37&lt;=Hypothèses!$V$15,Hypothèses!$W$15,IF(EE37&lt;=Hypothèses!$V$16,Hypothèses!$W$16,IF(EE37&lt;=Hypothèses!$V$17,Hypothèses!$W$17,IF(EE37&lt;=Hypothèses!$V$18,Hypothèses!$W$18,""))))))))))))</f>
        <v>#DIV/0!</v>
      </c>
      <c r="EZ37" s="87" t="e">
        <f t="shared" ca="1" si="123"/>
        <v>#DIV/0!</v>
      </c>
      <c r="FA37" s="88" t="e">
        <f ca="1">IF(EE37&lt;=Hypothèses!$V$7,Hypothèses!$X$7,IF(EE37&lt;=Hypothèses!$V$8,Hypothèses!$X$8,IF(EE37&lt;=Hypothèses!$V$9,Hypothèses!$X$9,IF(EE37&lt;=Hypothèses!$V$10,Hypothèses!$X$10,IF(EE37&lt;=Hypothèses!$V$11,Hypothèses!$X$11,IF(EE37&lt;=Hypothèses!$V$12,Hypothèses!$X$12,IF(EE37&lt;=Hypothèses!$V$13,Hypothèses!$X$13,IF(EE37&lt;=Hypothèses!$V$14,Hypothèses!$X$14,IF(EE37&lt;=Hypothèses!$V$15,Hypothèses!$X$15,IF(EE37&lt;=Hypothèses!$V$16,Hypothèses!$X$16,IF(EE37&lt;=Hypothèses!$U$17,Hypothèses!$W$17,IF(EE37&lt;=Hypothèses!$U$18,Hypothèses!$W$18,""))))))))))))</f>
        <v>#DIV/0!</v>
      </c>
      <c r="FB37" s="95" t="e">
        <f t="shared" ca="1" si="97"/>
        <v>#DIV/0!</v>
      </c>
      <c r="FC37" s="101">
        <f t="shared" si="130"/>
        <v>0</v>
      </c>
      <c r="FD37" s="91">
        <f t="shared" si="62"/>
        <v>0</v>
      </c>
      <c r="FE37" s="30" t="e">
        <f t="shared" si="114"/>
        <v>#N/A</v>
      </c>
      <c r="FF37" s="30" t="e">
        <f t="shared" si="115"/>
        <v>#N/A</v>
      </c>
      <c r="FG37" s="31" t="e">
        <f>IF(OR(Hypothèses!$B$4=17,Hypothèses!$B$4=18,Hypothèses!$B$4=19,Hypothèses!$B$4=20),
IF($D37="Pressio.",
IF(OR($E37=3,$E37=1,$E37=4),FF37,FE37),
IF($D37="Pénétro.",
IF(OR($E37=3,$E37=1,$E37=4),FF37,FE37))),IF($D37="Pressio.",
IF($E37=3,FF37,FE37),
IF($D37="Pénétro.",
IF($E37=4,FF37,FE37))))</f>
        <v>#N/A</v>
      </c>
      <c r="FH37" s="31">
        <v>0</v>
      </c>
      <c r="FI37" s="102" t="e">
        <f>IF(NDC!$H$10="Oui",(VLOOKUP($B$3,'Coeff EC7'!$T$39:$X$59,2,0)*FG37+VLOOKUP($B$3,'Coeff EC7'!$T$65:$X$85,2,0)*Model0.1T!FH37)/1.5,PI()*FE$12*$Q37*($B37-$B36)*0.15/10+FI36)</f>
        <v>#N/A</v>
      </c>
      <c r="FJ37" s="102" t="e">
        <f>(VLOOKUP($B$3,'Coeff EC7'!$T$39:$X$59,3,0)*FG37+VLOOKUP($B$3,'Coeff EC7'!$T$65:$X$85,3,0)*Model0.1T!FH37)/1.1</f>
        <v>#N/A</v>
      </c>
      <c r="FK37" s="102" t="e">
        <f t="shared" si="98"/>
        <v>#N/A</v>
      </c>
      <c r="FL37" s="102" t="e">
        <f t="shared" si="99"/>
        <v>#N/A</v>
      </c>
      <c r="FM37" s="414" t="e">
        <f>IF(AND(FI37&gt;NDC!$C$63,FJ37&gt;NDC!$C$65,FK37&gt;NDC!$D$73,FL37&gt;NDC!$D$74,$B37&gt;NDC!$H$22-0.1+MIN(3*FM$12,1.5)),0,1)</f>
        <v>#N/A</v>
      </c>
    </row>
    <row r="38" spans="1:169">
      <c r="A38" s="96">
        <f t="shared" si="65"/>
        <v>97.500000000000142</v>
      </c>
      <c r="B38" s="97">
        <v>2.5</v>
      </c>
      <c r="C38" s="81">
        <f>IF(B38&lt;=Hypothèses!$C$7,Hypothèses!$A$7,IF(B38&lt;=Hypothèses!$C$8,Hypothèses!$A$8,IF(B38&lt;=Hypothèses!$C$9,Hypothèses!$A$9,IF(B38&lt;=Hypothèses!$C$10,Hypothèses!$A$10,IF(B38&lt;=Hypothèses!$C$11,Hypothèses!$A$11,IF(B38&lt;=Hypothèses!$C$12,Hypothèses!$A$12,IF(B38&lt;=Hypothèses!$C$13,Hypothèses!$A$13,IF(B38&lt;=Hypothèses!$C$14,Hypothèses!$A$14,IF(B38&lt;=Hypothèses!$C$15,Hypothèses!$A$15,IF(B38&lt;=Hypothèses!$C$16,Hypothèses!$A$16,IF(B38&lt;=Hypothèses!$C$17,Hypothèses!$A$17,IF(B38&lt;=Hypothèses!$C$18,Hypothèses!$A$18,C37))))))))))))</f>
        <v>11</v>
      </c>
      <c r="D38" s="82" t="str">
        <f>IF(B38&lt;=Hypothèses!$C$7,Hypothèses!$R$7,IF(B38&lt;=Hypothèses!$C$8,Hypothèses!$R$8,IF(B38&lt;=Hypothèses!$C$9,Hypothèses!$R$9,IF(B38&lt;=Hypothèses!$C$10,Hypothèses!$R$10,IF(B38&lt;=Hypothèses!$C$11,Hypothèses!$R$11,IF(B38&lt;=Hypothèses!$C$12,Hypothèses!$R$12,IF(B38&lt;=Hypothèses!$C$13,Hypothèses!$R$13,IF(B38&lt;=Hypothèses!$C$14,Hypothèses!$R$14,IF(B38&lt;=Hypothèses!$C$15,Hypothèses!$R$15,IF(B38&lt;=Hypothèses!$C$16,Hypothèses!$R$16,IF(B38&lt;=Hypothèses!$C$17,Hypothèses!$R$17,IF(B38&lt;=Hypothèses!$C$18,Hypothèses!$R$18,D37))))))))))))</f>
        <v>Pressio.</v>
      </c>
      <c r="E38" s="82" t="e">
        <f>IF(B38&lt;=Hypothèses!$C$7,Hypothèses!$G$7,IF(B38&lt;=Hypothèses!$C$8,Hypothèses!$G$8,IF(B38&lt;=Hypothèses!$C$9,Hypothèses!$G$9,IF(B38&lt;=Hypothèses!$C$10,Hypothèses!$G$10,IF(B38&lt;=Hypothèses!$C$11,Hypothèses!$G$11,IF(B38&lt;=Hypothèses!$C$12,Hypothèses!$G$12,IF(B38&lt;=Hypothèses!$C$13,Hypothèses!$G$13,IF(B38&lt;=Hypothèses!$C$14,Hypothèses!$G$14,IF(B38&lt;=Hypothèses!$C$15,Hypothèses!$G$15,IF(B38&lt;=Hypothèses!$C$16,Hypothèses!$G$16,IF(B38&lt;=Hypothèses!$C$17,Hypothèses!$G$17,IF(B38&lt;=Hypothèses!$C$18,Hypothèses!$G$18,E37))))))))))))</f>
        <v>#N/A</v>
      </c>
      <c r="F38" s="82" t="str">
        <f>IF(B38&lt;=Hypothèses!$C$7,Hypothèses!$F$7,IF(B38&lt;=Hypothèses!$C$8,Hypothèses!$F$8,IF(B38&lt;=Hypothèses!$C$9,Hypothèses!$F$9,IF(B38&lt;=Hypothèses!$C$10,Hypothèses!$F$10,IF(B38&lt;=Hypothèses!$C$11,Hypothèses!$F$11,IF(B38&lt;=Hypothèses!$C$12,Hypothèses!$F$12,IF(B38&lt;=Hypothèses!$C$13,Hypothèses!$F$13,IF(B38&lt;=Hypothèses!$C$14,Hypothèses!$F$14,IF(B38&lt;=Hypothèses!$C$15,Hypothèses!$F$15,IF(B38&lt;=Hypothèses!$C$16,Hypothèses!$F$16,IF(B38&lt;=Hypothèses!$C$17,Hypothèses!$F$17,IF(B38&lt;=Hypothèses!$C$18,Hypothèses!$F$18,F37))))))))))))</f>
        <v/>
      </c>
      <c r="G38" s="91">
        <f t="array" ref="G38">INDEX('Coeff EC7'!$U$7:$X$27,
MATCH(Model0.1T!$B$3,'Coeff EC7'!$T$7:$T$27,0),
MATCH(Model0.1T!$D38&amp;Model0.1T!$B$4,
'Coeff EC7'!$U$6:$X$6&amp;
'Coeff EC7'!$U$5:$X$5,0))</f>
        <v>1.4</v>
      </c>
      <c r="H38" s="91">
        <f t="array" ref="H38">INDEX('Coeff EC7'!$Y$7:$AB$27,
MATCH(Model0.1T!$B$3,'Coeff EC7'!$T$7:$T$27,0),
MATCH(Model0.1T!$D38&amp;Model0.1T!$B$4,
'Coeff EC7'!$Y$6:$AB$6&amp;
'Coeff EC7'!$Y$5:$AB$5,0))</f>
        <v>1.7</v>
      </c>
      <c r="I38" s="83">
        <v>0</v>
      </c>
      <c r="J38" s="91" t="e">
        <f t="array" ref="J38">INDEX('Coeff EC7'!$D$33:$Q$33,1,MATCH(D38&amp;E38,'Coeff EC7'!$D$31:$Q$31&amp;'Coeff EC7'!$D$32:$Q$32,0))</f>
        <v>#N/A</v>
      </c>
      <c r="K38" s="91" t="e">
        <f t="array" ref="K38">INDEX('Coeff EC7'!$D$34:$Q$34,1,MATCH(D38&amp;E38,'Coeff EC7'!$D$31:$Q$31&amp;'Coeff EC7'!$D$32:$Q$32,0))</f>
        <v>#N/A</v>
      </c>
      <c r="L38" s="91" t="e">
        <f t="array" ref="L38">INDEX('Coeff EC7'!$D$35:$Q$35,1,MATCH(D38&amp;E38,'Coeff EC7'!$D$31:$Q$31&amp;'Coeff EC7'!$D$32:$Q$32,0))</f>
        <v>#N/A</v>
      </c>
      <c r="M38" s="98" t="e">
        <f t="shared" si="8"/>
        <v>#N/A</v>
      </c>
      <c r="N38" s="99" t="e">
        <f t="array" ref="N38">INDEX('Coeff EC7'!$D$7:$Q$27,MATCH($B$3,'Coeff EC7'!$C$7:$C$27,0),MATCH(D38&amp;E38,'Coeff EC7'!$D$5:$Q$5&amp;'Coeff EC7'!$D$6:$Q$6,0))</f>
        <v>#N/A</v>
      </c>
      <c r="O38" s="99" t="e">
        <f t="array" ref="O38">INDEX('Coeff EC7'!$D$41:$Q$61,MATCH($B$3,'Coeff EC7'!$C$41:$C$61,0),MATCH(D38&amp;E38,'Coeff EC7'!$D$39:$Q$39&amp;'Coeff EC7'!$D$40:$Q$40,0))</f>
        <v>#N/A</v>
      </c>
      <c r="P38" s="30" t="e">
        <f t="shared" si="66"/>
        <v>#N/A</v>
      </c>
      <c r="Q38" s="100" t="e">
        <f t="shared" si="10"/>
        <v>#N/A</v>
      </c>
      <c r="R38" s="86" t="b">
        <f t="shared" si="11"/>
        <v>0</v>
      </c>
      <c r="S38" s="86">
        <f t="shared" si="9"/>
        <v>0.5</v>
      </c>
      <c r="T38" s="86">
        <f t="shared" si="12"/>
        <v>0.5</v>
      </c>
      <c r="U38" s="30" t="e">
        <f t="shared" ca="1" si="67"/>
        <v>#DIV/0!</v>
      </c>
      <c r="V38" s="85" t="str">
        <f>IF(B38&lt;=Hypothèses!$V$7,Hypothèses!$W$7,IF(B38&lt;=Hypothèses!$V$8,Hypothèses!$W$8,IF(B38&lt;=Hypothèses!$V$9,Hypothèses!$W$9,IF(B38&lt;=Hypothèses!$V$10,Hypothèses!$W$10,IF(B38&lt;=Hypothèses!$V$11,Hypothèses!$W$11,IF(B38&lt;=Hypothèses!$V$12,Hypothèses!$W$12,IF(B38&lt;=Hypothèses!$V$13,Hypothèses!$W$13,IF(B38&lt;=Hypothèses!$V$14,Hypothèses!$W$14,IF(B38&lt;=Hypothèses!$V$15,Hypothèses!$W$15,IF(B38&lt;=Hypothèses!$V$16,Hypothèses!$W$16,IF(B38&lt;=Hypothèses!$V$17,Hypothèses!$W$17,IF(B38&lt;=Hypothèses!$V$18,Hypothèses!$W$18,""))))))))))))</f>
        <v/>
      </c>
      <c r="W38" s="87" t="e">
        <f t="shared" ca="1" si="116"/>
        <v>#DIV/0!</v>
      </c>
      <c r="X38" s="88" t="str">
        <f>IF(B38&lt;=Hypothèses!$V$7,Hypothèses!$X$7,IF(B38&lt;=Hypothèses!$V$8,Hypothèses!$X$8,IF(B38&lt;=Hypothèses!$V$9,Hypothèses!$X$9,IF(B38&lt;=Hypothèses!$V$10,Hypothèses!$X$10,IF(B38&lt;=Hypothèses!$V$11,Hypothèses!$X$11,IF(B38&lt;=Hypothèses!$V$12,Hypothèses!$X$12,IF(B38&lt;=Hypothèses!$V$13,Hypothèses!$X$13,IF(B38&lt;=Hypothèses!$V$14,Hypothèses!$X$14,IF(B38&lt;=Hypothèses!$V$15,Hypothèses!$X$15,IF(B38&lt;=Hypothèses!$V$16,Hypothèses!$X$16,IF(B38&lt;=Hypothèses!$U$17,Hypothèses!$W$17,IF(B38&lt;=Hypothèses!$U$18,Hypothèses!$W$18,""))))))))))))</f>
        <v/>
      </c>
      <c r="Y38" s="95" t="e">
        <f t="shared" ca="1" si="13"/>
        <v>#DIV/0!</v>
      </c>
      <c r="Z38" s="101">
        <f t="shared" si="14"/>
        <v>0</v>
      </c>
      <c r="AA38" s="91">
        <f t="shared" si="15"/>
        <v>0</v>
      </c>
      <c r="AB38" s="30" t="e">
        <f t="shared" si="100"/>
        <v>#N/A</v>
      </c>
      <c r="AC38" s="30" t="e">
        <f t="shared" si="101"/>
        <v>#N/A</v>
      </c>
      <c r="AD38" s="31" t="e">
        <f>IF(OR(Hypothèses!$B$4=17,Hypothèses!$B$4=18,Hypothèses!$B$4=19,Hypothèses!$B$4=20),
IF($D38="Pressio.",
IF(OR($E38=3,$E38=1,$E38=4),AC38,AB38),
IF($D38="Pénétro.",
IF(OR($E38=3,$E38=1,$E38=4),AC38,AB38))),IF($D38="Pressio.",
IF($E38=3,AC38,AB38),
IF($D38="Pénétro.",
IF($E38=4,AC38,AB38))))</f>
        <v>#N/A</v>
      </c>
      <c r="AE38" s="31">
        <v>0</v>
      </c>
      <c r="AF38" s="102" t="e">
        <f>IF(NDC!$H$10="Oui",(VLOOKUP($B$3,'Coeff EC7'!$T$39:$X$59,2,0)*AD38+VLOOKUP($B$3,'Coeff EC7'!$T$65:$X$85,2,0)*Model0.1T!AE38)/1.5,PI()*AB$12*$Q38*($B38-$B37)*0.15/10+AF37)</f>
        <v>#N/A</v>
      </c>
      <c r="AG38" s="102" t="e">
        <f>(VLOOKUP($B$3,'Coeff EC7'!$T$39:$X$59,3,0)*AD38+VLOOKUP($B$3,'Coeff EC7'!$T$65:$X$85,3,0)*Model0.1T!AE38)/1.1</f>
        <v>#N/A</v>
      </c>
      <c r="AH38" s="102" t="e">
        <f t="shared" si="68"/>
        <v>#N/A</v>
      </c>
      <c r="AI38" s="102" t="e">
        <f t="shared" si="69"/>
        <v>#N/A</v>
      </c>
      <c r="AJ38" s="414" t="e">
        <f>IF(AND(AF38&gt;NDC!$C$63,AG38&gt;NDC!$C$65,AH38&gt;NDC!$D$73,AI38&gt;NDC!$D$74,$B38&gt;NDC!$H$22-0.1+MIN(3*$AJ$12,1.5)),0,1)</f>
        <v>#N/A</v>
      </c>
      <c r="AK38" s="86" t="b">
        <f t="shared" si="18"/>
        <v>0</v>
      </c>
      <c r="AL38" s="86">
        <f t="shared" si="70"/>
        <v>0.5</v>
      </c>
      <c r="AM38" s="86">
        <f t="shared" si="19"/>
        <v>0.5</v>
      </c>
      <c r="AN38" s="30" t="e">
        <f t="shared" ca="1" si="71"/>
        <v>#DIV/0!</v>
      </c>
      <c r="AO38" s="85" t="e">
        <f ca="1">IF(U38&lt;=Hypothèses!$V$7,Hypothèses!$W$7,IF(U38&lt;=Hypothèses!$V$8,Hypothèses!$W$8,IF(U38&lt;=Hypothèses!$V$9,Hypothèses!$W$9,IF(U38&lt;=Hypothèses!$V$10,Hypothèses!$W$10,IF(U38&lt;=Hypothèses!$V$11,Hypothèses!$W$11,IF(U38&lt;=Hypothèses!$V$12,Hypothèses!$W$12,IF(U38&lt;=Hypothèses!$V$13,Hypothèses!$W$13,IF(U38&lt;=Hypothèses!$V$14,Hypothèses!$W$14,IF(U38&lt;=Hypothèses!$V$15,Hypothèses!$W$15,IF(U38&lt;=Hypothèses!$V$16,Hypothèses!$W$16,IF(U38&lt;=Hypothèses!$V$17,Hypothèses!$W$17,IF(U38&lt;=Hypothèses!$V$18,Hypothèses!$W$18,""))))))))))))</f>
        <v>#DIV/0!</v>
      </c>
      <c r="AP38" s="87" t="e">
        <f t="shared" ca="1" si="117"/>
        <v>#DIV/0!</v>
      </c>
      <c r="AQ38" s="88" t="e">
        <f ca="1">IF(U38&lt;=Hypothèses!$V$7,Hypothèses!$X$7,IF(U38&lt;=Hypothèses!$V$8,Hypothèses!$X$8,IF(U38&lt;=Hypothèses!$V$9,Hypothèses!$X$9,IF(U38&lt;=Hypothèses!$V$10,Hypothèses!$X$10,IF(U38&lt;=Hypothèses!$V$11,Hypothèses!$X$11,IF(U38&lt;=Hypothèses!$V$12,Hypothèses!$X$12,IF(U38&lt;=Hypothèses!$V$13,Hypothèses!$X$13,IF(U38&lt;=Hypothèses!$V$14,Hypothèses!$X$14,IF(U38&lt;=Hypothèses!$V$15,Hypothèses!$X$15,IF(U38&lt;=Hypothèses!$V$16,Hypothèses!$X$16,IF(U38&lt;=Hypothèses!$U$17,Hypothèses!$W$17,IF(U38&lt;=Hypothèses!$U$18,Hypothèses!$W$18,""))))))))))))</f>
        <v>#DIV/0!</v>
      </c>
      <c r="AR38" s="95" t="e">
        <f t="shared" ca="1" si="72"/>
        <v>#DIV/0!</v>
      </c>
      <c r="AS38" s="101">
        <f t="shared" si="124"/>
        <v>0</v>
      </c>
      <c r="AT38" s="91">
        <f t="shared" si="21"/>
        <v>0</v>
      </c>
      <c r="AU38" s="30" t="e">
        <f t="shared" si="102"/>
        <v>#N/A</v>
      </c>
      <c r="AV38" s="30" t="e">
        <f t="shared" si="103"/>
        <v>#N/A</v>
      </c>
      <c r="AW38" s="31" t="e">
        <f>IF(OR(Hypothèses!$B$4=17,Hypothèses!$B$4=18,Hypothèses!$B$4=19,Hypothèses!$B$4=20),
IF($D38="Pressio.",
IF(OR($E38=3,$E38=1,$E38=4),AV38,AU38),
IF($D38="Pénétro.",
IF(OR($E38=3,$E38=1,$E38=4),AV38,AU38))),IF($D38="Pressio.",
IF($E38=3,AV38,AU38),
IF($D38="Pénétro.",
IF($E38=4,AV38,AU38))))</f>
        <v>#N/A</v>
      </c>
      <c r="AX38" s="31">
        <v>0</v>
      </c>
      <c r="AY38" s="102" t="e">
        <f>IF(NDC!$H$10="Oui",(VLOOKUP($B$3,'Coeff EC7'!$T$39:$X$59,2,0)*AW38+VLOOKUP($B$3,'Coeff EC7'!$T$65:$X$85,2,0)*Model0.1T!AX38)/1.5,PI()*AU$12*$Q38*($B38-$B37)*0.15/10+AY37)</f>
        <v>#N/A</v>
      </c>
      <c r="AZ38" s="102" t="e">
        <f>(VLOOKUP($B$3,'Coeff EC7'!$T$39:$X$59,3,0)*AW38+VLOOKUP($B$3,'Coeff EC7'!$T$65:$X$85,3,0)*Model0.1T!AX38)/1.1</f>
        <v>#N/A</v>
      </c>
      <c r="BA38" s="102" t="e">
        <f t="shared" si="73"/>
        <v>#N/A</v>
      </c>
      <c r="BB38" s="102" t="e">
        <f t="shared" si="74"/>
        <v>#N/A</v>
      </c>
      <c r="BC38" s="414" t="e">
        <f>IF(AND(AY38&gt;NDC!$C$63,AZ38&gt;NDC!$C$65,BA38&gt;NDC!$D$73,BB38&gt;NDC!$D$74,$B38&gt;NDC!$H$22-0.1+MIN(3*BC$12,1.5)),0,1)</f>
        <v>#N/A</v>
      </c>
      <c r="BD38" s="86" t="b">
        <f t="shared" si="24"/>
        <v>0</v>
      </c>
      <c r="BE38" s="86">
        <f t="shared" si="75"/>
        <v>0.5</v>
      </c>
      <c r="BF38" s="86">
        <f t="shared" si="25"/>
        <v>0.5</v>
      </c>
      <c r="BG38" s="30" t="e">
        <f t="shared" ca="1" si="76"/>
        <v>#DIV/0!</v>
      </c>
      <c r="BH38" s="85" t="e">
        <f ca="1">IF(AN38&lt;=Hypothèses!$V$7,Hypothèses!$W$7,IF(AN38&lt;=Hypothèses!$V$8,Hypothèses!$W$8,IF(AN38&lt;=Hypothèses!$V$9,Hypothèses!$W$9,IF(AN38&lt;=Hypothèses!$V$10,Hypothèses!$W$10,IF(AN38&lt;=Hypothèses!$V$11,Hypothèses!$W$11,IF(AN38&lt;=Hypothèses!$V$12,Hypothèses!$W$12,IF(AN38&lt;=Hypothèses!$V$13,Hypothèses!$W$13,IF(AN38&lt;=Hypothèses!$V$14,Hypothèses!$W$14,IF(AN38&lt;=Hypothèses!$V$15,Hypothèses!$W$15,IF(AN38&lt;=Hypothèses!$V$16,Hypothèses!$W$16,IF(AN38&lt;=Hypothèses!$V$17,Hypothèses!$W$17,IF(AN38&lt;=Hypothèses!$V$18,Hypothèses!$W$18,""))))))))))))</f>
        <v>#DIV/0!</v>
      </c>
      <c r="BI38" s="87" t="e">
        <f t="shared" ca="1" si="118"/>
        <v>#DIV/0!</v>
      </c>
      <c r="BJ38" s="88" t="e">
        <f ca="1">IF(AN38&lt;=Hypothèses!$V$7,Hypothèses!$X$7,IF(AN38&lt;=Hypothèses!$V$8,Hypothèses!$X$8,IF(AN38&lt;=Hypothèses!$V$9,Hypothèses!$X$9,IF(AN38&lt;=Hypothèses!$V$10,Hypothèses!$X$10,IF(AN38&lt;=Hypothèses!$V$11,Hypothèses!$X$11,IF(AN38&lt;=Hypothèses!$V$12,Hypothèses!$X$12,IF(AN38&lt;=Hypothèses!$V$13,Hypothèses!$X$13,IF(AN38&lt;=Hypothèses!$V$14,Hypothèses!$X$14,IF(AN38&lt;=Hypothèses!$V$15,Hypothèses!$X$15,IF(AN38&lt;=Hypothèses!$V$16,Hypothèses!$X$16,IF(AN38&lt;=Hypothèses!$U$17,Hypothèses!$W$17,IF(AN38&lt;=Hypothèses!$U$18,Hypothèses!$W$18,""))))))))))))</f>
        <v>#DIV/0!</v>
      </c>
      <c r="BK38" s="95" t="e">
        <f t="shared" ca="1" si="77"/>
        <v>#DIV/0!</v>
      </c>
      <c r="BL38" s="101">
        <f t="shared" si="125"/>
        <v>0</v>
      </c>
      <c r="BM38" s="91">
        <f t="shared" si="27"/>
        <v>0</v>
      </c>
      <c r="BN38" s="30" t="e">
        <f t="shared" si="104"/>
        <v>#N/A</v>
      </c>
      <c r="BO38" s="30" t="e">
        <f t="shared" si="105"/>
        <v>#N/A</v>
      </c>
      <c r="BP38" s="31" t="e">
        <f>IF(OR(Hypothèses!$B$4=17,Hypothèses!$B$4=18,Hypothèses!$B$4=19,Hypothèses!$B$4=20),
IF($D38="Pressio.",
IF(OR($E38=3,$E38=1,$E38=4),BO38,BN38),
IF($D38="Pénétro.",
IF(OR($E38=3,$E38=1,$E38=4),BO38,BN38))),IF($D38="Pressio.",
IF($E38=3,BO38,BN38),
IF($D38="Pénétro.",
IF($E38=4,BO38,BN38))))</f>
        <v>#N/A</v>
      </c>
      <c r="BQ38" s="31">
        <v>0</v>
      </c>
      <c r="BR38" s="102" t="e">
        <f>IF(NDC!$H$10="Oui",(VLOOKUP($B$3,'Coeff EC7'!$T$39:$X$59,2,0)*BP38+VLOOKUP($B$3,'Coeff EC7'!$T$65:$X$85,2,0)*Model0.1T!BQ38)/1.5,PI()*BN$12*$Q38*($B38-$B37)*0.15/10+BR37)</f>
        <v>#N/A</v>
      </c>
      <c r="BS38" s="102" t="e">
        <f>(VLOOKUP($B$3,'Coeff EC7'!$T$39:$X$59,3,0)*BP38+VLOOKUP($B$3,'Coeff EC7'!$T$65:$X$85,3,0)*Model0.1T!BQ38)/1.1</f>
        <v>#N/A</v>
      </c>
      <c r="BT38" s="102" t="e">
        <f t="shared" si="78"/>
        <v>#N/A</v>
      </c>
      <c r="BU38" s="102" t="e">
        <f t="shared" si="79"/>
        <v>#N/A</v>
      </c>
      <c r="BV38" s="414" t="e">
        <f>IF(AND(BR38&gt;NDC!$C$63,BS38&gt;NDC!$C$65,BT38&gt;NDC!$D$73,BU38&gt;NDC!$D$74,$B38&gt;NDC!$H$22-0.1+MIN(3*BV$12,1.5)),0,1)</f>
        <v>#N/A</v>
      </c>
      <c r="BW38" s="86" t="b">
        <f t="shared" si="30"/>
        <v>0</v>
      </c>
      <c r="BX38" s="86">
        <f t="shared" si="31"/>
        <v>0.5</v>
      </c>
      <c r="BY38" s="86">
        <f t="shared" si="32"/>
        <v>0.5</v>
      </c>
      <c r="BZ38" s="30" t="e">
        <f t="shared" ca="1" si="80"/>
        <v>#DIV/0!</v>
      </c>
      <c r="CA38" s="85" t="e">
        <f ca="1">IF(BG38&lt;=Hypothèses!$V$7,Hypothèses!$W$7,IF(BG38&lt;=Hypothèses!$V$8,Hypothèses!$W$8,IF(BG38&lt;=Hypothèses!$V$9,Hypothèses!$W$9,IF(BG38&lt;=Hypothèses!$V$10,Hypothèses!$W$10,IF(BG38&lt;=Hypothèses!$V$11,Hypothèses!$W$11,IF(BG38&lt;=Hypothèses!$V$12,Hypothèses!$W$12,IF(BG38&lt;=Hypothèses!$V$13,Hypothèses!$W$13,IF(BG38&lt;=Hypothèses!$V$14,Hypothèses!$W$14,IF(BG38&lt;=Hypothèses!$V$15,Hypothèses!$W$15,IF(BG38&lt;=Hypothèses!$V$16,Hypothèses!$W$16,IF(BG38&lt;=Hypothèses!$V$17,Hypothèses!$W$17,IF(BG38&lt;=Hypothèses!$V$18,Hypothèses!$W$18,""))))))))))))</f>
        <v>#DIV/0!</v>
      </c>
      <c r="CB38" s="87" t="e">
        <f t="shared" ca="1" si="119"/>
        <v>#DIV/0!</v>
      </c>
      <c r="CC38" s="88" t="e">
        <f ca="1">IF(BG38&lt;=Hypothèses!$V$7,Hypothèses!$X$7,IF(BG38&lt;=Hypothèses!$V$8,Hypothèses!$X$8,IF(BG38&lt;=Hypothèses!$V$9,Hypothèses!$X$9,IF(BG38&lt;=Hypothèses!$V$10,Hypothèses!$X$10,IF(BG38&lt;=Hypothèses!$V$11,Hypothèses!$X$11,IF(BG38&lt;=Hypothèses!$V$12,Hypothèses!$X$12,IF(BG38&lt;=Hypothèses!$V$13,Hypothèses!$X$13,IF(BG38&lt;=Hypothèses!$V$14,Hypothèses!$X$14,IF(BG38&lt;=Hypothèses!$V$15,Hypothèses!$X$15,IF(BG38&lt;=Hypothèses!$V$16,Hypothèses!$X$16,IF(BG38&lt;=Hypothèses!$U$17,Hypothèses!$W$17,IF(BG38&lt;=Hypothèses!$U$18,Hypothèses!$W$18,""))))))))))))</f>
        <v>#DIV/0!</v>
      </c>
      <c r="CD38" s="95" t="e">
        <f t="shared" ca="1" si="81"/>
        <v>#DIV/0!</v>
      </c>
      <c r="CE38" s="101">
        <f t="shared" si="126"/>
        <v>0</v>
      </c>
      <c r="CF38" s="91">
        <f t="shared" si="34"/>
        <v>0</v>
      </c>
      <c r="CG38" s="30" t="e">
        <f t="shared" si="106"/>
        <v>#N/A</v>
      </c>
      <c r="CH38" s="30" t="e">
        <f t="shared" si="107"/>
        <v>#N/A</v>
      </c>
      <c r="CI38" s="31" t="e">
        <f>IF(OR(Hypothèses!$B$4=17,Hypothèses!$B$4=18,Hypothèses!$B$4=19,Hypothèses!$B$4=20),
IF($D38="Pressio.",
IF(OR($E38=3,$E38=1,$E38=4),CH38,CG38),
IF($D38="Pénétro.",
IF(OR($E38=3,$E38=1,$E38=4),CH38,CG38))),IF($D38="Pressio.",
IF($E38=3,CH38,CG38),
IF($D38="Pénétro.",
IF($E38=4,CH38,CG38))))</f>
        <v>#N/A</v>
      </c>
      <c r="CJ38" s="31">
        <v>0</v>
      </c>
      <c r="CK38" s="102" t="e">
        <f>IF(NDC!$H$10="Oui",(VLOOKUP($B$3,'Coeff EC7'!$T$39:$X$59,2,0)*CI38+VLOOKUP($B$3,'Coeff EC7'!$T$65:$X$85,2,0)*Model0.1T!CJ38)/1.5,PI()*CG$12*$Q38*($B38-$B37)*0.15/10+CK37)</f>
        <v>#N/A</v>
      </c>
      <c r="CL38" s="102" t="e">
        <f>(VLOOKUP($B$3,'Coeff EC7'!$T$39:$X$59,3,0)*CI38+VLOOKUP($B$3,'Coeff EC7'!$T$65:$X$85,3,0)*Model0.1T!CJ38)/1.1</f>
        <v>#N/A</v>
      </c>
      <c r="CM38" s="102" t="e">
        <f t="shared" si="82"/>
        <v>#N/A</v>
      </c>
      <c r="CN38" s="102" t="e">
        <f t="shared" si="83"/>
        <v>#N/A</v>
      </c>
      <c r="CO38" s="414" t="e">
        <f>IF(AND(CK38&gt;NDC!$C$63,CL38&gt;NDC!$C$65,CM38&gt;NDC!$D$73,CN38&gt;NDC!$D$74,$B38&gt;NDC!$H$22-0.1+MIN(3*CO$12,1.5)),0,1)</f>
        <v>#N/A</v>
      </c>
      <c r="CP38" s="86" t="b">
        <f t="shared" si="37"/>
        <v>0</v>
      </c>
      <c r="CQ38" s="86">
        <f t="shared" si="38"/>
        <v>0.5</v>
      </c>
      <c r="CR38" s="86">
        <f t="shared" si="39"/>
        <v>0.5</v>
      </c>
      <c r="CS38" s="30" t="e">
        <f t="shared" ca="1" si="84"/>
        <v>#DIV/0!</v>
      </c>
      <c r="CT38" s="85" t="e">
        <f ca="1">IF(BZ38&lt;=Hypothèses!$V$7,Hypothèses!$W$7,IF(BZ38&lt;=Hypothèses!$V$8,Hypothèses!$W$8,IF(BZ38&lt;=Hypothèses!$V$9,Hypothèses!$W$9,IF(BZ38&lt;=Hypothèses!$V$10,Hypothèses!$W$10,IF(BZ38&lt;=Hypothèses!$V$11,Hypothèses!$W$11,IF(BZ38&lt;=Hypothèses!$V$12,Hypothèses!$W$12,IF(BZ38&lt;=Hypothèses!$V$13,Hypothèses!$W$13,IF(BZ38&lt;=Hypothèses!$V$14,Hypothèses!$W$14,IF(BZ38&lt;=Hypothèses!$V$15,Hypothèses!$W$15,IF(BZ38&lt;=Hypothèses!$V$16,Hypothèses!$W$16,IF(BZ38&lt;=Hypothèses!$V$17,Hypothèses!$W$17,IF(BZ38&lt;=Hypothèses!$V$18,Hypothèses!$W$18,""))))))))))))</f>
        <v>#DIV/0!</v>
      </c>
      <c r="CU38" s="87" t="e">
        <f t="shared" ca="1" si="120"/>
        <v>#DIV/0!</v>
      </c>
      <c r="CV38" s="88" t="e">
        <f ca="1">IF(BZ38&lt;=Hypothèses!$V$7,Hypothèses!$X$7,IF(BZ38&lt;=Hypothèses!$V$8,Hypothèses!$X$8,IF(BZ38&lt;=Hypothèses!$V$9,Hypothèses!$X$9,IF(BZ38&lt;=Hypothèses!$V$10,Hypothèses!$X$10,IF(BZ38&lt;=Hypothèses!$V$11,Hypothèses!$X$11,IF(BZ38&lt;=Hypothèses!$V$12,Hypothèses!$X$12,IF(BZ38&lt;=Hypothèses!$V$13,Hypothèses!$X$13,IF(BZ38&lt;=Hypothèses!$V$14,Hypothèses!$X$14,IF(BZ38&lt;=Hypothèses!$V$15,Hypothèses!$X$15,IF(BZ38&lt;=Hypothèses!$V$16,Hypothèses!$X$16,IF(BZ38&lt;=Hypothèses!$U$17,Hypothèses!$W$17,IF(BZ38&lt;=Hypothèses!$U$18,Hypothèses!$W$18,""))))))))))))</f>
        <v>#DIV/0!</v>
      </c>
      <c r="CW38" s="95" t="e">
        <f t="shared" ca="1" si="85"/>
        <v>#DIV/0!</v>
      </c>
      <c r="CX38" s="101">
        <f t="shared" si="127"/>
        <v>0</v>
      </c>
      <c r="CY38" s="91">
        <f t="shared" si="41"/>
        <v>0</v>
      </c>
      <c r="CZ38" s="30" t="e">
        <f t="shared" si="108"/>
        <v>#N/A</v>
      </c>
      <c r="DA38" s="30" t="e">
        <f t="shared" si="109"/>
        <v>#N/A</v>
      </c>
      <c r="DB38" s="31" t="e">
        <f>IF(OR(Hypothèses!$B$4=17,Hypothèses!$B$4=18,Hypothèses!$B$4=19,Hypothèses!$B$4=20),
IF($D38="Pressio.",
IF(OR($E38=3,$E38=1,$E38=4),DA38,CZ38),
IF($D38="Pénétro.",
IF(OR($E38=3,$E38=1,$E38=4),DA38,CZ38))),IF($D38="Pressio.",
IF($E38=3,DA38,CZ38),
IF($D38="Pénétro.",
IF($E38=4,DA38,CZ38))))</f>
        <v>#N/A</v>
      </c>
      <c r="DC38" s="31">
        <v>0</v>
      </c>
      <c r="DD38" s="102" t="e">
        <f>IF(NDC!$H$10="Oui",(VLOOKUP($B$3,'Coeff EC7'!$T$39:$X$59,2,0)*DB38+VLOOKUP($B$3,'Coeff EC7'!$T$65:$X$85,2,0)*Model0.1T!DC38)/1.5,PI()*CZ$12*$Q38*($B38-$B37)*0.15/10+DD37)</f>
        <v>#N/A</v>
      </c>
      <c r="DE38" s="102" t="e">
        <f>(VLOOKUP($B$3,'Coeff EC7'!$T$39:$X$59,3,0)*DB38+VLOOKUP($B$3,'Coeff EC7'!$T$65:$X$85,3,0)*Model0.1T!DC38)/1.1</f>
        <v>#N/A</v>
      </c>
      <c r="DF38" s="102" t="e">
        <f t="shared" si="86"/>
        <v>#N/A</v>
      </c>
      <c r="DG38" s="102" t="e">
        <f t="shared" si="87"/>
        <v>#N/A</v>
      </c>
      <c r="DH38" s="414" t="e">
        <f>IF(AND(DD38&gt;NDC!$C$63,DE38&gt;NDC!$C$65,DF38&gt;NDC!$D$73,DG38&gt;NDC!$D$74,$B38&gt;NDC!$H$22-0.1+MIN(3*DH$12,1.5)),0,1)</f>
        <v>#N/A</v>
      </c>
      <c r="DI38" s="86" t="b">
        <f t="shared" si="44"/>
        <v>0</v>
      </c>
      <c r="DJ38" s="86">
        <f t="shared" si="45"/>
        <v>0.5</v>
      </c>
      <c r="DK38" s="86">
        <f t="shared" si="46"/>
        <v>0.5</v>
      </c>
      <c r="DL38" s="30" t="e">
        <f t="shared" ca="1" si="88"/>
        <v>#DIV/0!</v>
      </c>
      <c r="DM38" s="85" t="e">
        <f ca="1">IF(CS38&lt;=Hypothèses!$V$7,Hypothèses!$W$7,IF(CS38&lt;=Hypothèses!$V$8,Hypothèses!$W$8,IF(CS38&lt;=Hypothèses!$V$9,Hypothèses!$W$9,IF(CS38&lt;=Hypothèses!$V$10,Hypothèses!$W$10,IF(CS38&lt;=Hypothèses!$V$11,Hypothèses!$W$11,IF(CS38&lt;=Hypothèses!$V$12,Hypothèses!$W$12,IF(CS38&lt;=Hypothèses!$V$13,Hypothèses!$W$13,IF(CS38&lt;=Hypothèses!$V$14,Hypothèses!$W$14,IF(CS38&lt;=Hypothèses!$V$15,Hypothèses!$W$15,IF(CS38&lt;=Hypothèses!$V$16,Hypothèses!$W$16,IF(CS38&lt;=Hypothèses!$V$17,Hypothèses!$W$17,IF(CS38&lt;=Hypothèses!$V$18,Hypothèses!$W$18,""))))))))))))</f>
        <v>#DIV/0!</v>
      </c>
      <c r="DN38" s="87" t="e">
        <f t="shared" ca="1" si="121"/>
        <v>#DIV/0!</v>
      </c>
      <c r="DO38" s="88" t="e">
        <f ca="1">IF(CS38&lt;=Hypothèses!$V$7,Hypothèses!$X$7,IF(CS38&lt;=Hypothèses!$V$8,Hypothèses!$X$8,IF(CS38&lt;=Hypothèses!$V$9,Hypothèses!$X$9,IF(CS38&lt;=Hypothèses!$V$10,Hypothèses!$X$10,IF(CS38&lt;=Hypothèses!$V$11,Hypothèses!$X$11,IF(CS38&lt;=Hypothèses!$V$12,Hypothèses!$X$12,IF(CS38&lt;=Hypothèses!$V$13,Hypothèses!$X$13,IF(CS38&lt;=Hypothèses!$V$14,Hypothèses!$X$14,IF(CS38&lt;=Hypothèses!$V$15,Hypothèses!$X$15,IF(CS38&lt;=Hypothèses!$V$16,Hypothèses!$X$16,IF(CS38&lt;=Hypothèses!$U$17,Hypothèses!$W$17,IF(CS38&lt;=Hypothèses!$U$18,Hypothèses!$W$18,""))))))))))))</f>
        <v>#DIV/0!</v>
      </c>
      <c r="DP38" s="95" t="e">
        <f t="shared" ca="1" si="89"/>
        <v>#DIV/0!</v>
      </c>
      <c r="DQ38" s="101">
        <f t="shared" si="128"/>
        <v>0</v>
      </c>
      <c r="DR38" s="91">
        <f t="shared" si="48"/>
        <v>0</v>
      </c>
      <c r="DS38" s="30" t="e">
        <f t="shared" si="110"/>
        <v>#N/A</v>
      </c>
      <c r="DT38" s="30" t="e">
        <f t="shared" si="111"/>
        <v>#N/A</v>
      </c>
      <c r="DU38" s="31" t="e">
        <f>IF(OR(Hypothèses!$B$4=17,Hypothèses!$B$4=18,Hypothèses!$B$4=19,Hypothèses!$B$4=20),
IF($D38="Pressio.",
IF(OR($E38=3,$E38=1,$E38=4),DT38,DS38),
IF($D38="Pénétro.",
IF(OR($E38=3,$E38=1,$E38=4),DT38,DS38))),IF($D38="Pressio.",
IF($E38=3,DT38,DS38),
IF($D38="Pénétro.",
IF($E38=4,DT38,DS38))))</f>
        <v>#N/A</v>
      </c>
      <c r="DV38" s="31">
        <v>0</v>
      </c>
      <c r="DW38" s="102" t="e">
        <f>IF(NDC!$H$10="Oui",(VLOOKUP($B$3,'Coeff EC7'!$T$39:$X$59,2,0)*DU38+VLOOKUP($B$3,'Coeff EC7'!$T$65:$X$85,2,0)*Model0.1T!DV38)/1.5,PI()*DS$12*$Q38*($B38-$B37)*0.15/10+DW37)</f>
        <v>#N/A</v>
      </c>
      <c r="DX38" s="102" t="e">
        <f>(VLOOKUP($B$3,'Coeff EC7'!$T$39:$X$59,3,0)*DU38+VLOOKUP($B$3,'Coeff EC7'!$T$65:$X$85,3,0)*Model0.1T!DV38)/1.1</f>
        <v>#N/A</v>
      </c>
      <c r="DY38" s="102" t="e">
        <f t="shared" si="90"/>
        <v>#N/A</v>
      </c>
      <c r="DZ38" s="102" t="e">
        <f t="shared" si="91"/>
        <v>#N/A</v>
      </c>
      <c r="EA38" s="414" t="e">
        <f>IF(AND(DW38&gt;NDC!$C$63,DX38&gt;NDC!$C$65,DY38&gt;NDC!$D$73,DZ38&gt;NDC!$D$74,$B38&gt;NDC!$H$22-0.1+MIN(3*EA$12,1.5)),0,1)</f>
        <v>#N/A</v>
      </c>
      <c r="EB38" s="86" t="b">
        <f t="shared" si="51"/>
        <v>0</v>
      </c>
      <c r="EC38" s="418">
        <f t="shared" si="52"/>
        <v>0.51</v>
      </c>
      <c r="ED38" s="86">
        <f t="shared" si="53"/>
        <v>0.51</v>
      </c>
      <c r="EE38" s="30" t="e">
        <f t="shared" ca="1" si="92"/>
        <v>#DIV/0!</v>
      </c>
      <c r="EF38" s="85" t="e">
        <f ca="1">IF(DL38&lt;=Hypothèses!$V$7,Hypothèses!$W$7,IF(DL38&lt;=Hypothèses!$V$8,Hypothèses!$W$8,IF(DL38&lt;=Hypothèses!$V$9,Hypothèses!$W$9,IF(DL38&lt;=Hypothèses!$V$10,Hypothèses!$W$10,IF(DL38&lt;=Hypothèses!$V$11,Hypothèses!$W$11,IF(DL38&lt;=Hypothèses!$V$12,Hypothèses!$W$12,IF(DL38&lt;=Hypothèses!$V$13,Hypothèses!$W$13,IF(DL38&lt;=Hypothèses!$V$14,Hypothèses!$W$14,IF(DL38&lt;=Hypothèses!$V$15,Hypothèses!$W$15,IF(DL38&lt;=Hypothèses!$V$16,Hypothèses!$W$16,IF(DL38&lt;=Hypothèses!$V$17,Hypothèses!$W$17,IF(DL38&lt;=Hypothèses!$V$18,Hypothèses!$W$18,""))))))))))))</f>
        <v>#DIV/0!</v>
      </c>
      <c r="EG38" s="87" t="e">
        <f t="shared" ca="1" si="122"/>
        <v>#DIV/0!</v>
      </c>
      <c r="EH38" s="88" t="e">
        <f ca="1">IF(DL38&lt;=Hypothèses!$V$7,Hypothèses!$X$7,IF(DL38&lt;=Hypothèses!$V$8,Hypothèses!$X$8,IF(DL38&lt;=Hypothèses!$V$9,Hypothèses!$X$9,IF(DL38&lt;=Hypothèses!$V$10,Hypothèses!$X$10,IF(DL38&lt;=Hypothèses!$V$11,Hypothèses!$X$11,IF(DL38&lt;=Hypothèses!$V$12,Hypothèses!$X$12,IF(DL38&lt;=Hypothèses!$V$13,Hypothèses!$X$13,IF(DL38&lt;=Hypothèses!$V$14,Hypothèses!$X$14,IF(DL38&lt;=Hypothèses!$V$15,Hypothèses!$X$15,IF(DL38&lt;=Hypothèses!$V$16,Hypothèses!$X$16,IF(DL38&lt;=Hypothèses!$U$17,Hypothèses!$W$17,IF(DL38&lt;=Hypothèses!$U$18,Hypothèses!$W$18,""))))))))))))</f>
        <v>#DIV/0!</v>
      </c>
      <c r="EI38" s="95" t="e">
        <f t="shared" ca="1" si="93"/>
        <v>#DIV/0!</v>
      </c>
      <c r="EJ38" s="101">
        <f t="shared" si="129"/>
        <v>0</v>
      </c>
      <c r="EK38" s="91">
        <f t="shared" si="55"/>
        <v>0</v>
      </c>
      <c r="EL38" s="30" t="e">
        <f t="shared" si="112"/>
        <v>#N/A</v>
      </c>
      <c r="EM38" s="30" t="e">
        <f t="shared" si="113"/>
        <v>#N/A</v>
      </c>
      <c r="EN38" s="31" t="e">
        <f>IF(OR(Hypothèses!$B$4=17,Hypothèses!$B$4=18,Hypothèses!$B$4=19,Hypothèses!$B$4=20),
IF($D38="Pressio.",
IF(OR($E38=3,$E38=1,$E38=4),EM38,EL38),
IF($D38="Pénétro.",
IF(OR($E38=3,$E38=1,$E38=4),EM38,EL38))),IF($D38="Pressio.",
IF($E38=3,EM38,EL38),
IF($D38="Pénétro.",
IF($E38=4,EM38,EL38))))</f>
        <v>#N/A</v>
      </c>
      <c r="EO38" s="31">
        <v>0</v>
      </c>
      <c r="EP38" s="102" t="e">
        <f>IF(NDC!$H$10="Oui",(VLOOKUP($B$3,'Coeff EC7'!$T$39:$X$59,2,0)*EN38+VLOOKUP($B$3,'Coeff EC7'!$T$65:$X$85,2,0)*Model0.1T!EO38)/1.5,PI()*EL$12*$Q38*($B38-$B37)*0.15/10+EP37)</f>
        <v>#N/A</v>
      </c>
      <c r="EQ38" s="102" t="e">
        <f>(VLOOKUP($B$3,'Coeff EC7'!$T$39:$X$59,3,0)*EN38+VLOOKUP($B$3,'Coeff EC7'!$T$65:$X$85,3,0)*Model0.1T!EO38)/1.1</f>
        <v>#N/A</v>
      </c>
      <c r="ER38" s="102" t="e">
        <f t="shared" si="94"/>
        <v>#N/A</v>
      </c>
      <c r="ES38" s="102" t="e">
        <f t="shared" si="95"/>
        <v>#N/A</v>
      </c>
      <c r="ET38" s="414" t="e">
        <f>IF(AND(EP38&gt;NDC!$C$63,EQ38&gt;NDC!$C$65,ER38&gt;NDC!$D$73,ES38&gt;NDC!$D$74,$B38&gt;NDC!$H$22-0.1+MIN(3*ET$12,1.5)),0,1)</f>
        <v>#N/A</v>
      </c>
      <c r="EU38" s="86" t="b">
        <f t="shared" si="58"/>
        <v>0</v>
      </c>
      <c r="EV38" s="86">
        <f t="shared" si="59"/>
        <v>0.61</v>
      </c>
      <c r="EW38" s="86">
        <f t="shared" si="60"/>
        <v>0.61</v>
      </c>
      <c r="EX38" s="30" t="e">
        <f t="shared" ca="1" si="96"/>
        <v>#DIV/0!</v>
      </c>
      <c r="EY38" s="85" t="e">
        <f ca="1">IF(EE38&lt;=Hypothèses!$V$7,Hypothèses!$W$7,IF(EE38&lt;=Hypothèses!$V$8,Hypothèses!$W$8,IF(EE38&lt;=Hypothèses!$V$9,Hypothèses!$W$9,IF(EE38&lt;=Hypothèses!$V$10,Hypothèses!$W$10,IF(EE38&lt;=Hypothèses!$V$11,Hypothèses!$W$11,IF(EE38&lt;=Hypothèses!$V$12,Hypothèses!$W$12,IF(EE38&lt;=Hypothèses!$V$13,Hypothèses!$W$13,IF(EE38&lt;=Hypothèses!$V$14,Hypothèses!$W$14,IF(EE38&lt;=Hypothèses!$V$15,Hypothèses!$W$15,IF(EE38&lt;=Hypothèses!$V$16,Hypothèses!$W$16,IF(EE38&lt;=Hypothèses!$V$17,Hypothèses!$W$17,IF(EE38&lt;=Hypothèses!$V$18,Hypothèses!$W$18,""))))))))))))</f>
        <v>#DIV/0!</v>
      </c>
      <c r="EZ38" s="87" t="e">
        <f t="shared" ca="1" si="123"/>
        <v>#DIV/0!</v>
      </c>
      <c r="FA38" s="88" t="e">
        <f ca="1">IF(EE38&lt;=Hypothèses!$V$7,Hypothèses!$X$7,IF(EE38&lt;=Hypothèses!$V$8,Hypothèses!$X$8,IF(EE38&lt;=Hypothèses!$V$9,Hypothèses!$X$9,IF(EE38&lt;=Hypothèses!$V$10,Hypothèses!$X$10,IF(EE38&lt;=Hypothèses!$V$11,Hypothèses!$X$11,IF(EE38&lt;=Hypothèses!$V$12,Hypothèses!$X$12,IF(EE38&lt;=Hypothèses!$V$13,Hypothèses!$X$13,IF(EE38&lt;=Hypothèses!$V$14,Hypothèses!$X$14,IF(EE38&lt;=Hypothèses!$V$15,Hypothèses!$X$15,IF(EE38&lt;=Hypothèses!$V$16,Hypothèses!$X$16,IF(EE38&lt;=Hypothèses!$U$17,Hypothèses!$W$17,IF(EE38&lt;=Hypothèses!$U$18,Hypothèses!$W$18,""))))))))))))</f>
        <v>#DIV/0!</v>
      </c>
      <c r="FB38" s="95" t="e">
        <f t="shared" ca="1" si="97"/>
        <v>#DIV/0!</v>
      </c>
      <c r="FC38" s="101">
        <f t="shared" si="130"/>
        <v>0</v>
      </c>
      <c r="FD38" s="91">
        <f t="shared" si="62"/>
        <v>0</v>
      </c>
      <c r="FE38" s="30" t="e">
        <f t="shared" si="114"/>
        <v>#N/A</v>
      </c>
      <c r="FF38" s="30" t="e">
        <f t="shared" si="115"/>
        <v>#N/A</v>
      </c>
      <c r="FG38" s="31" t="e">
        <f>IF(OR(Hypothèses!$B$4=17,Hypothèses!$B$4=18,Hypothèses!$B$4=19,Hypothèses!$B$4=20),
IF($D38="Pressio.",
IF(OR($E38=3,$E38=1,$E38=4),FF38,FE38),
IF($D38="Pénétro.",
IF(OR($E38=3,$E38=1,$E38=4),FF38,FE38))),IF($D38="Pressio.",
IF($E38=3,FF38,FE38),
IF($D38="Pénétro.",
IF($E38=4,FF38,FE38))))</f>
        <v>#N/A</v>
      </c>
      <c r="FH38" s="31">
        <v>0</v>
      </c>
      <c r="FI38" s="102" t="e">
        <f>IF(NDC!$H$10="Oui",(VLOOKUP($B$3,'Coeff EC7'!$T$39:$X$59,2,0)*FG38+VLOOKUP($B$3,'Coeff EC7'!$T$65:$X$85,2,0)*Model0.1T!FH38)/1.5,PI()*FE$12*$Q38*($B38-$B37)*0.15/10+FI37)</f>
        <v>#N/A</v>
      </c>
      <c r="FJ38" s="102" t="e">
        <f>(VLOOKUP($B$3,'Coeff EC7'!$T$39:$X$59,3,0)*FG38+VLOOKUP($B$3,'Coeff EC7'!$T$65:$X$85,3,0)*Model0.1T!FH38)/1.1</f>
        <v>#N/A</v>
      </c>
      <c r="FK38" s="102" t="e">
        <f t="shared" si="98"/>
        <v>#N/A</v>
      </c>
      <c r="FL38" s="102" t="e">
        <f t="shared" si="99"/>
        <v>#N/A</v>
      </c>
      <c r="FM38" s="414" t="e">
        <f>IF(AND(FI38&gt;NDC!$C$63,FJ38&gt;NDC!$C$65,FK38&gt;NDC!$D$73,FL38&gt;NDC!$D$74,$B38&gt;NDC!$H$22-0.1+MIN(3*FM$12,1.5)),0,1)</f>
        <v>#N/A</v>
      </c>
    </row>
    <row r="39" spans="1:169">
      <c r="A39" s="96">
        <f t="shared" si="65"/>
        <v>97.400000000000148</v>
      </c>
      <c r="B39" s="97">
        <v>2.6</v>
      </c>
      <c r="C39" s="81">
        <f>IF(B39&lt;=Hypothèses!$C$7,Hypothèses!$A$7,IF(B39&lt;=Hypothèses!$C$8,Hypothèses!$A$8,IF(B39&lt;=Hypothèses!$C$9,Hypothèses!$A$9,IF(B39&lt;=Hypothèses!$C$10,Hypothèses!$A$10,IF(B39&lt;=Hypothèses!$C$11,Hypothèses!$A$11,IF(B39&lt;=Hypothèses!$C$12,Hypothèses!$A$12,IF(B39&lt;=Hypothèses!$C$13,Hypothèses!$A$13,IF(B39&lt;=Hypothèses!$C$14,Hypothèses!$A$14,IF(B39&lt;=Hypothèses!$C$15,Hypothèses!$A$15,IF(B39&lt;=Hypothèses!$C$16,Hypothèses!$A$16,IF(B39&lt;=Hypothèses!$C$17,Hypothèses!$A$17,IF(B39&lt;=Hypothèses!$C$18,Hypothèses!$A$18,C38))))))))))))</f>
        <v>11</v>
      </c>
      <c r="D39" s="82" t="str">
        <f>IF(B39&lt;=Hypothèses!$C$7,Hypothèses!$R$7,IF(B39&lt;=Hypothèses!$C$8,Hypothèses!$R$8,IF(B39&lt;=Hypothèses!$C$9,Hypothèses!$R$9,IF(B39&lt;=Hypothèses!$C$10,Hypothèses!$R$10,IF(B39&lt;=Hypothèses!$C$11,Hypothèses!$R$11,IF(B39&lt;=Hypothèses!$C$12,Hypothèses!$R$12,IF(B39&lt;=Hypothèses!$C$13,Hypothèses!$R$13,IF(B39&lt;=Hypothèses!$C$14,Hypothèses!$R$14,IF(B39&lt;=Hypothèses!$C$15,Hypothèses!$R$15,IF(B39&lt;=Hypothèses!$C$16,Hypothèses!$R$16,IF(B39&lt;=Hypothèses!$C$17,Hypothèses!$R$17,IF(B39&lt;=Hypothèses!$C$18,Hypothèses!$R$18,D38))))))))))))</f>
        <v>Pressio.</v>
      </c>
      <c r="E39" s="82" t="e">
        <f>IF(B39&lt;=Hypothèses!$C$7,Hypothèses!$G$7,IF(B39&lt;=Hypothèses!$C$8,Hypothèses!$G$8,IF(B39&lt;=Hypothèses!$C$9,Hypothèses!$G$9,IF(B39&lt;=Hypothèses!$C$10,Hypothèses!$G$10,IF(B39&lt;=Hypothèses!$C$11,Hypothèses!$G$11,IF(B39&lt;=Hypothèses!$C$12,Hypothèses!$G$12,IF(B39&lt;=Hypothèses!$C$13,Hypothèses!$G$13,IF(B39&lt;=Hypothèses!$C$14,Hypothèses!$G$14,IF(B39&lt;=Hypothèses!$C$15,Hypothèses!$G$15,IF(B39&lt;=Hypothèses!$C$16,Hypothèses!$G$16,IF(B39&lt;=Hypothèses!$C$17,Hypothèses!$G$17,IF(B39&lt;=Hypothèses!$C$18,Hypothèses!$G$18,E38))))))))))))</f>
        <v>#N/A</v>
      </c>
      <c r="F39" s="82" t="str">
        <f>IF(B39&lt;=Hypothèses!$C$7,Hypothèses!$F$7,IF(B39&lt;=Hypothèses!$C$8,Hypothèses!$F$8,IF(B39&lt;=Hypothèses!$C$9,Hypothèses!$F$9,IF(B39&lt;=Hypothèses!$C$10,Hypothèses!$F$10,IF(B39&lt;=Hypothèses!$C$11,Hypothèses!$F$11,IF(B39&lt;=Hypothèses!$C$12,Hypothèses!$F$12,IF(B39&lt;=Hypothèses!$C$13,Hypothèses!$F$13,IF(B39&lt;=Hypothèses!$C$14,Hypothèses!$F$14,IF(B39&lt;=Hypothèses!$C$15,Hypothèses!$F$15,IF(B39&lt;=Hypothèses!$C$16,Hypothèses!$F$16,IF(B39&lt;=Hypothèses!$C$17,Hypothèses!$F$17,IF(B39&lt;=Hypothèses!$C$18,Hypothèses!$F$18,F38))))))))))))</f>
        <v/>
      </c>
      <c r="G39" s="91">
        <f t="array" ref="G39">INDEX('Coeff EC7'!$U$7:$X$27,
MATCH(Model0.1T!$B$3,'Coeff EC7'!$T$7:$T$27,0),
MATCH(Model0.1T!$D39&amp;Model0.1T!$B$4,
'Coeff EC7'!$U$6:$X$6&amp;
'Coeff EC7'!$U$5:$X$5,0))</f>
        <v>1.4</v>
      </c>
      <c r="H39" s="91">
        <f t="array" ref="H39">INDEX('Coeff EC7'!$Y$7:$AB$27,
MATCH(Model0.1T!$B$3,'Coeff EC7'!$T$7:$T$27,0),
MATCH(Model0.1T!$D39&amp;Model0.1T!$B$4,
'Coeff EC7'!$Y$6:$AB$6&amp;
'Coeff EC7'!$Y$5:$AB$5,0))</f>
        <v>1.7</v>
      </c>
      <c r="I39" s="83">
        <v>0</v>
      </c>
      <c r="J39" s="91" t="e">
        <f t="array" ref="J39">INDEX('Coeff EC7'!$D$33:$Q$33,1,MATCH(D39&amp;E39,'Coeff EC7'!$D$31:$Q$31&amp;'Coeff EC7'!$D$32:$Q$32,0))</f>
        <v>#N/A</v>
      </c>
      <c r="K39" s="91" t="e">
        <f t="array" ref="K39">INDEX('Coeff EC7'!$D$34:$Q$34,1,MATCH(D39&amp;E39,'Coeff EC7'!$D$31:$Q$31&amp;'Coeff EC7'!$D$32:$Q$32,0))</f>
        <v>#N/A</v>
      </c>
      <c r="L39" s="91" t="e">
        <f t="array" ref="L39">INDEX('Coeff EC7'!$D$35:$Q$35,1,MATCH(D39&amp;E39,'Coeff EC7'!$D$31:$Q$31&amp;'Coeff EC7'!$D$32:$Q$32,0))</f>
        <v>#N/A</v>
      </c>
      <c r="M39" s="98" t="e">
        <f t="shared" si="8"/>
        <v>#N/A</v>
      </c>
      <c r="N39" s="99" t="e">
        <f t="array" ref="N39">INDEX('Coeff EC7'!$D$7:$Q$27,MATCH($B$3,'Coeff EC7'!$C$7:$C$27,0),MATCH(D39&amp;E39,'Coeff EC7'!$D$5:$Q$5&amp;'Coeff EC7'!$D$6:$Q$6,0))</f>
        <v>#N/A</v>
      </c>
      <c r="O39" s="99" t="e">
        <f t="array" ref="O39">INDEX('Coeff EC7'!$D$41:$Q$61,MATCH($B$3,'Coeff EC7'!$C$41:$C$61,0),MATCH(D39&amp;E39,'Coeff EC7'!$D$39:$Q$39&amp;'Coeff EC7'!$D$40:$Q$40,0))</f>
        <v>#N/A</v>
      </c>
      <c r="P39" s="30" t="e">
        <f t="shared" si="66"/>
        <v>#N/A</v>
      </c>
      <c r="Q39" s="100" t="e">
        <f t="shared" si="10"/>
        <v>#N/A</v>
      </c>
      <c r="R39" s="86" t="b">
        <f t="shared" si="11"/>
        <v>0</v>
      </c>
      <c r="S39" s="86">
        <f t="shared" si="9"/>
        <v>0.5</v>
      </c>
      <c r="T39" s="86">
        <f t="shared" si="12"/>
        <v>0.5</v>
      </c>
      <c r="U39" s="30" t="e">
        <f t="shared" ca="1" si="67"/>
        <v>#DIV/0!</v>
      </c>
      <c r="V39" s="85" t="str">
        <f>IF(B39&lt;=Hypothèses!$V$7,Hypothèses!$W$7,IF(B39&lt;=Hypothèses!$V$8,Hypothèses!$W$8,IF(B39&lt;=Hypothèses!$V$9,Hypothèses!$W$9,IF(B39&lt;=Hypothèses!$V$10,Hypothèses!$W$10,IF(B39&lt;=Hypothèses!$V$11,Hypothèses!$W$11,IF(B39&lt;=Hypothèses!$V$12,Hypothèses!$W$12,IF(B39&lt;=Hypothèses!$V$13,Hypothèses!$W$13,IF(B39&lt;=Hypothèses!$V$14,Hypothèses!$W$14,IF(B39&lt;=Hypothèses!$V$15,Hypothèses!$W$15,IF(B39&lt;=Hypothèses!$V$16,Hypothèses!$W$16,IF(B39&lt;=Hypothèses!$V$17,Hypothèses!$W$17,IF(B39&lt;=Hypothèses!$V$18,Hypothèses!$W$18,""))))))))))))</f>
        <v/>
      </c>
      <c r="W39" s="87" t="e">
        <f t="shared" ca="1" si="116"/>
        <v>#DIV/0!</v>
      </c>
      <c r="X39" s="88" t="str">
        <f>IF(B39&lt;=Hypothèses!$V$7,Hypothèses!$X$7,IF(B39&lt;=Hypothèses!$V$8,Hypothèses!$X$8,IF(B39&lt;=Hypothèses!$V$9,Hypothèses!$X$9,IF(B39&lt;=Hypothèses!$V$10,Hypothèses!$X$10,IF(B39&lt;=Hypothèses!$V$11,Hypothèses!$X$11,IF(B39&lt;=Hypothèses!$V$12,Hypothèses!$X$12,IF(B39&lt;=Hypothèses!$V$13,Hypothèses!$X$13,IF(B39&lt;=Hypothèses!$V$14,Hypothèses!$X$14,IF(B39&lt;=Hypothèses!$V$15,Hypothèses!$X$15,IF(B39&lt;=Hypothèses!$V$16,Hypothèses!$X$16,IF(B39&lt;=Hypothèses!$U$17,Hypothèses!$W$17,IF(B39&lt;=Hypothèses!$U$18,Hypothèses!$W$18,""))))))))))))</f>
        <v/>
      </c>
      <c r="Y39" s="95" t="e">
        <f t="shared" ca="1" si="13"/>
        <v>#DIV/0!</v>
      </c>
      <c r="Z39" s="101">
        <f t="shared" si="14"/>
        <v>0</v>
      </c>
      <c r="AA39" s="91">
        <f t="shared" si="15"/>
        <v>0</v>
      </c>
      <c r="AB39" s="30" t="e">
        <f t="shared" si="100"/>
        <v>#N/A</v>
      </c>
      <c r="AC39" s="30" t="e">
        <f t="shared" si="101"/>
        <v>#N/A</v>
      </c>
      <c r="AD39" s="31" t="e">
        <f>IF(OR(Hypothèses!$B$4=17,Hypothèses!$B$4=18,Hypothèses!$B$4=19,Hypothèses!$B$4=20),
IF($D39="Pressio.",
IF(OR($E39=3,$E39=1,$E39=4),AC39,AB39),
IF($D39="Pénétro.",
IF(OR($E39=3,$E39=1,$E39=4),AC39,AB39))),IF($D39="Pressio.",
IF($E39=3,AC39,AB39),
IF($D39="Pénétro.",
IF($E39=4,AC39,AB39))))</f>
        <v>#N/A</v>
      </c>
      <c r="AE39" s="31">
        <v>0</v>
      </c>
      <c r="AF39" s="102" t="e">
        <f>IF(NDC!$H$10="Oui",(VLOOKUP($B$3,'Coeff EC7'!$T$39:$X$59,2,0)*AD39+VLOOKUP($B$3,'Coeff EC7'!$T$65:$X$85,2,0)*Model0.1T!AE39)/1.5,PI()*AB$12*$Q39*($B39-$B38)*0.15/10+AF38)</f>
        <v>#N/A</v>
      </c>
      <c r="AG39" s="102" t="e">
        <f>(VLOOKUP($B$3,'Coeff EC7'!$T$39:$X$59,3,0)*AD39+VLOOKUP($B$3,'Coeff EC7'!$T$65:$X$85,3,0)*Model0.1T!AE39)/1.1</f>
        <v>#N/A</v>
      </c>
      <c r="AH39" s="102" t="e">
        <f t="shared" si="68"/>
        <v>#N/A</v>
      </c>
      <c r="AI39" s="102" t="e">
        <f t="shared" si="69"/>
        <v>#N/A</v>
      </c>
      <c r="AJ39" s="414" t="e">
        <f>IF(AND(AF39&gt;NDC!$C$63,AG39&gt;NDC!$C$65,AH39&gt;NDC!$D$73,AI39&gt;NDC!$D$74,$B39&gt;NDC!$H$22-0.1+MIN(3*$AJ$12,1.5)),0,1)</f>
        <v>#N/A</v>
      </c>
      <c r="AK39" s="86" t="b">
        <f t="shared" si="18"/>
        <v>0</v>
      </c>
      <c r="AL39" s="86">
        <f t="shared" si="70"/>
        <v>0.5</v>
      </c>
      <c r="AM39" s="86">
        <f t="shared" si="19"/>
        <v>0.5</v>
      </c>
      <c r="AN39" s="30" t="e">
        <f t="shared" ca="1" si="71"/>
        <v>#DIV/0!</v>
      </c>
      <c r="AO39" s="85" t="e">
        <f ca="1">IF(U39&lt;=Hypothèses!$V$7,Hypothèses!$W$7,IF(U39&lt;=Hypothèses!$V$8,Hypothèses!$W$8,IF(U39&lt;=Hypothèses!$V$9,Hypothèses!$W$9,IF(U39&lt;=Hypothèses!$V$10,Hypothèses!$W$10,IF(U39&lt;=Hypothèses!$V$11,Hypothèses!$W$11,IF(U39&lt;=Hypothèses!$V$12,Hypothèses!$W$12,IF(U39&lt;=Hypothèses!$V$13,Hypothèses!$W$13,IF(U39&lt;=Hypothèses!$V$14,Hypothèses!$W$14,IF(U39&lt;=Hypothèses!$V$15,Hypothèses!$W$15,IF(U39&lt;=Hypothèses!$V$16,Hypothèses!$W$16,IF(U39&lt;=Hypothèses!$V$17,Hypothèses!$W$17,IF(U39&lt;=Hypothèses!$V$18,Hypothèses!$W$18,""))))))))))))</f>
        <v>#DIV/0!</v>
      </c>
      <c r="AP39" s="87" t="e">
        <f t="shared" ca="1" si="117"/>
        <v>#DIV/0!</v>
      </c>
      <c r="AQ39" s="88" t="e">
        <f ca="1">IF(U39&lt;=Hypothèses!$V$7,Hypothèses!$X$7,IF(U39&lt;=Hypothèses!$V$8,Hypothèses!$X$8,IF(U39&lt;=Hypothèses!$V$9,Hypothèses!$X$9,IF(U39&lt;=Hypothèses!$V$10,Hypothèses!$X$10,IF(U39&lt;=Hypothèses!$V$11,Hypothèses!$X$11,IF(U39&lt;=Hypothèses!$V$12,Hypothèses!$X$12,IF(U39&lt;=Hypothèses!$V$13,Hypothèses!$X$13,IF(U39&lt;=Hypothèses!$V$14,Hypothèses!$X$14,IF(U39&lt;=Hypothèses!$V$15,Hypothèses!$X$15,IF(U39&lt;=Hypothèses!$V$16,Hypothèses!$X$16,IF(U39&lt;=Hypothèses!$U$17,Hypothèses!$W$17,IF(U39&lt;=Hypothèses!$U$18,Hypothèses!$W$18,""))))))))))))</f>
        <v>#DIV/0!</v>
      </c>
      <c r="AR39" s="95" t="e">
        <f t="shared" ca="1" si="72"/>
        <v>#DIV/0!</v>
      </c>
      <c r="AS39" s="101">
        <f t="shared" si="124"/>
        <v>0</v>
      </c>
      <c r="AT39" s="91">
        <f t="shared" si="21"/>
        <v>0</v>
      </c>
      <c r="AU39" s="30" t="e">
        <f t="shared" si="102"/>
        <v>#N/A</v>
      </c>
      <c r="AV39" s="30" t="e">
        <f t="shared" si="103"/>
        <v>#N/A</v>
      </c>
      <c r="AW39" s="31" t="e">
        <f>IF(OR(Hypothèses!$B$4=17,Hypothèses!$B$4=18,Hypothèses!$B$4=19,Hypothèses!$B$4=20),
IF($D39="Pressio.",
IF(OR($E39=3,$E39=1,$E39=4),AV39,AU39),
IF($D39="Pénétro.",
IF(OR($E39=3,$E39=1,$E39=4),AV39,AU39))),IF($D39="Pressio.",
IF($E39=3,AV39,AU39),
IF($D39="Pénétro.",
IF($E39=4,AV39,AU39))))</f>
        <v>#N/A</v>
      </c>
      <c r="AX39" s="31">
        <v>0</v>
      </c>
      <c r="AY39" s="102" t="e">
        <f>IF(NDC!$H$10="Oui",(VLOOKUP($B$3,'Coeff EC7'!$T$39:$X$59,2,0)*AW39+VLOOKUP($B$3,'Coeff EC7'!$T$65:$X$85,2,0)*Model0.1T!AX39)/1.5,PI()*AU$12*$Q39*($B39-$B38)*0.15/10+AY38)</f>
        <v>#N/A</v>
      </c>
      <c r="AZ39" s="102" t="e">
        <f>(VLOOKUP($B$3,'Coeff EC7'!$T$39:$X$59,3,0)*AW39+VLOOKUP($B$3,'Coeff EC7'!$T$65:$X$85,3,0)*Model0.1T!AX39)/1.1</f>
        <v>#N/A</v>
      </c>
      <c r="BA39" s="102" t="e">
        <f t="shared" si="73"/>
        <v>#N/A</v>
      </c>
      <c r="BB39" s="102" t="e">
        <f t="shared" si="74"/>
        <v>#N/A</v>
      </c>
      <c r="BC39" s="414" t="e">
        <f>IF(AND(AY39&gt;NDC!$C$63,AZ39&gt;NDC!$C$65,BA39&gt;NDC!$D$73,BB39&gt;NDC!$D$74,$B39&gt;NDC!$H$22-0.1+MIN(3*BC$12,1.5)),0,1)</f>
        <v>#N/A</v>
      </c>
      <c r="BD39" s="86" t="b">
        <f t="shared" si="24"/>
        <v>0</v>
      </c>
      <c r="BE39" s="86">
        <f t="shared" si="75"/>
        <v>0.5</v>
      </c>
      <c r="BF39" s="86">
        <f t="shared" si="25"/>
        <v>0.5</v>
      </c>
      <c r="BG39" s="30" t="e">
        <f t="shared" ca="1" si="76"/>
        <v>#DIV/0!</v>
      </c>
      <c r="BH39" s="85" t="e">
        <f ca="1">IF(AN39&lt;=Hypothèses!$V$7,Hypothèses!$W$7,IF(AN39&lt;=Hypothèses!$V$8,Hypothèses!$W$8,IF(AN39&lt;=Hypothèses!$V$9,Hypothèses!$W$9,IF(AN39&lt;=Hypothèses!$V$10,Hypothèses!$W$10,IF(AN39&lt;=Hypothèses!$V$11,Hypothèses!$W$11,IF(AN39&lt;=Hypothèses!$V$12,Hypothèses!$W$12,IF(AN39&lt;=Hypothèses!$V$13,Hypothèses!$W$13,IF(AN39&lt;=Hypothèses!$V$14,Hypothèses!$W$14,IF(AN39&lt;=Hypothèses!$V$15,Hypothèses!$W$15,IF(AN39&lt;=Hypothèses!$V$16,Hypothèses!$W$16,IF(AN39&lt;=Hypothèses!$V$17,Hypothèses!$W$17,IF(AN39&lt;=Hypothèses!$V$18,Hypothèses!$W$18,""))))))))))))</f>
        <v>#DIV/0!</v>
      </c>
      <c r="BI39" s="87" t="e">
        <f t="shared" ca="1" si="118"/>
        <v>#DIV/0!</v>
      </c>
      <c r="BJ39" s="88" t="e">
        <f ca="1">IF(AN39&lt;=Hypothèses!$V$7,Hypothèses!$X$7,IF(AN39&lt;=Hypothèses!$V$8,Hypothèses!$X$8,IF(AN39&lt;=Hypothèses!$V$9,Hypothèses!$X$9,IF(AN39&lt;=Hypothèses!$V$10,Hypothèses!$X$10,IF(AN39&lt;=Hypothèses!$V$11,Hypothèses!$X$11,IF(AN39&lt;=Hypothèses!$V$12,Hypothèses!$X$12,IF(AN39&lt;=Hypothèses!$V$13,Hypothèses!$X$13,IF(AN39&lt;=Hypothèses!$V$14,Hypothèses!$X$14,IF(AN39&lt;=Hypothèses!$V$15,Hypothèses!$X$15,IF(AN39&lt;=Hypothèses!$V$16,Hypothèses!$X$16,IF(AN39&lt;=Hypothèses!$U$17,Hypothèses!$W$17,IF(AN39&lt;=Hypothèses!$U$18,Hypothèses!$W$18,""))))))))))))</f>
        <v>#DIV/0!</v>
      </c>
      <c r="BK39" s="95" t="e">
        <f t="shared" ca="1" si="77"/>
        <v>#DIV/0!</v>
      </c>
      <c r="BL39" s="101">
        <f t="shared" si="125"/>
        <v>0</v>
      </c>
      <c r="BM39" s="91">
        <f t="shared" si="27"/>
        <v>0</v>
      </c>
      <c r="BN39" s="30" t="e">
        <f t="shared" si="104"/>
        <v>#N/A</v>
      </c>
      <c r="BO39" s="30" t="e">
        <f t="shared" si="105"/>
        <v>#N/A</v>
      </c>
      <c r="BP39" s="31" t="e">
        <f>IF(OR(Hypothèses!$B$4=17,Hypothèses!$B$4=18,Hypothèses!$B$4=19,Hypothèses!$B$4=20),
IF($D39="Pressio.",
IF(OR($E39=3,$E39=1,$E39=4),BO39,BN39),
IF($D39="Pénétro.",
IF(OR($E39=3,$E39=1,$E39=4),BO39,BN39))),IF($D39="Pressio.",
IF($E39=3,BO39,BN39),
IF($D39="Pénétro.",
IF($E39=4,BO39,BN39))))</f>
        <v>#N/A</v>
      </c>
      <c r="BQ39" s="31">
        <v>0</v>
      </c>
      <c r="BR39" s="102" t="e">
        <f>IF(NDC!$H$10="Oui",(VLOOKUP($B$3,'Coeff EC7'!$T$39:$X$59,2,0)*BP39+VLOOKUP($B$3,'Coeff EC7'!$T$65:$X$85,2,0)*Model0.1T!BQ39)/1.5,PI()*BN$12*$Q39*($B39-$B38)*0.15/10+BR38)</f>
        <v>#N/A</v>
      </c>
      <c r="BS39" s="102" t="e">
        <f>(VLOOKUP($B$3,'Coeff EC7'!$T$39:$X$59,3,0)*BP39+VLOOKUP($B$3,'Coeff EC7'!$T$65:$X$85,3,0)*Model0.1T!BQ39)/1.1</f>
        <v>#N/A</v>
      </c>
      <c r="BT39" s="102" t="e">
        <f t="shared" si="78"/>
        <v>#N/A</v>
      </c>
      <c r="BU39" s="102" t="e">
        <f t="shared" si="79"/>
        <v>#N/A</v>
      </c>
      <c r="BV39" s="414" t="e">
        <f>IF(AND(BR39&gt;NDC!$C$63,BS39&gt;NDC!$C$65,BT39&gt;NDC!$D$73,BU39&gt;NDC!$D$74,$B39&gt;NDC!$H$22-0.1+MIN(3*BV$12,1.5)),0,1)</f>
        <v>#N/A</v>
      </c>
      <c r="BW39" s="86" t="b">
        <f t="shared" si="30"/>
        <v>0</v>
      </c>
      <c r="BX39" s="86">
        <f t="shared" si="31"/>
        <v>0.5</v>
      </c>
      <c r="BY39" s="86">
        <f t="shared" si="32"/>
        <v>0.5</v>
      </c>
      <c r="BZ39" s="30" t="e">
        <f t="shared" ca="1" si="80"/>
        <v>#DIV/0!</v>
      </c>
      <c r="CA39" s="85" t="e">
        <f ca="1">IF(BG39&lt;=Hypothèses!$V$7,Hypothèses!$W$7,IF(BG39&lt;=Hypothèses!$V$8,Hypothèses!$W$8,IF(BG39&lt;=Hypothèses!$V$9,Hypothèses!$W$9,IF(BG39&lt;=Hypothèses!$V$10,Hypothèses!$W$10,IF(BG39&lt;=Hypothèses!$V$11,Hypothèses!$W$11,IF(BG39&lt;=Hypothèses!$V$12,Hypothèses!$W$12,IF(BG39&lt;=Hypothèses!$V$13,Hypothèses!$W$13,IF(BG39&lt;=Hypothèses!$V$14,Hypothèses!$W$14,IF(BG39&lt;=Hypothèses!$V$15,Hypothèses!$W$15,IF(BG39&lt;=Hypothèses!$V$16,Hypothèses!$W$16,IF(BG39&lt;=Hypothèses!$V$17,Hypothèses!$W$17,IF(BG39&lt;=Hypothèses!$V$18,Hypothèses!$W$18,""))))))))))))</f>
        <v>#DIV/0!</v>
      </c>
      <c r="CB39" s="87" t="e">
        <f t="shared" ca="1" si="119"/>
        <v>#DIV/0!</v>
      </c>
      <c r="CC39" s="88" t="e">
        <f ca="1">IF(BG39&lt;=Hypothèses!$V$7,Hypothèses!$X$7,IF(BG39&lt;=Hypothèses!$V$8,Hypothèses!$X$8,IF(BG39&lt;=Hypothèses!$V$9,Hypothèses!$X$9,IF(BG39&lt;=Hypothèses!$V$10,Hypothèses!$X$10,IF(BG39&lt;=Hypothèses!$V$11,Hypothèses!$X$11,IF(BG39&lt;=Hypothèses!$V$12,Hypothèses!$X$12,IF(BG39&lt;=Hypothèses!$V$13,Hypothèses!$X$13,IF(BG39&lt;=Hypothèses!$V$14,Hypothèses!$X$14,IF(BG39&lt;=Hypothèses!$V$15,Hypothèses!$X$15,IF(BG39&lt;=Hypothèses!$V$16,Hypothèses!$X$16,IF(BG39&lt;=Hypothèses!$U$17,Hypothèses!$W$17,IF(BG39&lt;=Hypothèses!$U$18,Hypothèses!$W$18,""))))))))))))</f>
        <v>#DIV/0!</v>
      </c>
      <c r="CD39" s="95" t="e">
        <f t="shared" ca="1" si="81"/>
        <v>#DIV/0!</v>
      </c>
      <c r="CE39" s="101">
        <f t="shared" si="126"/>
        <v>0</v>
      </c>
      <c r="CF39" s="91">
        <f t="shared" si="34"/>
        <v>0</v>
      </c>
      <c r="CG39" s="30" t="e">
        <f t="shared" si="106"/>
        <v>#N/A</v>
      </c>
      <c r="CH39" s="30" t="e">
        <f t="shared" si="107"/>
        <v>#N/A</v>
      </c>
      <c r="CI39" s="31" t="e">
        <f>IF(OR(Hypothèses!$B$4=17,Hypothèses!$B$4=18,Hypothèses!$B$4=19,Hypothèses!$B$4=20),
IF($D39="Pressio.",
IF(OR($E39=3,$E39=1,$E39=4),CH39,CG39),
IF($D39="Pénétro.",
IF(OR($E39=3,$E39=1,$E39=4),CH39,CG39))),IF($D39="Pressio.",
IF($E39=3,CH39,CG39),
IF($D39="Pénétro.",
IF($E39=4,CH39,CG39))))</f>
        <v>#N/A</v>
      </c>
      <c r="CJ39" s="31">
        <v>0</v>
      </c>
      <c r="CK39" s="102" t="e">
        <f>IF(NDC!$H$10="Oui",(VLOOKUP($B$3,'Coeff EC7'!$T$39:$X$59,2,0)*CI39+VLOOKUP($B$3,'Coeff EC7'!$T$65:$X$85,2,0)*Model0.1T!CJ39)/1.5,PI()*CG$12*$Q39*($B39-$B38)*0.15/10+CK38)</f>
        <v>#N/A</v>
      </c>
      <c r="CL39" s="102" t="e">
        <f>(VLOOKUP($B$3,'Coeff EC7'!$T$39:$X$59,3,0)*CI39+VLOOKUP($B$3,'Coeff EC7'!$T$65:$X$85,3,0)*Model0.1T!CJ39)/1.1</f>
        <v>#N/A</v>
      </c>
      <c r="CM39" s="102" t="e">
        <f t="shared" si="82"/>
        <v>#N/A</v>
      </c>
      <c r="CN39" s="102" t="e">
        <f t="shared" si="83"/>
        <v>#N/A</v>
      </c>
      <c r="CO39" s="414" t="e">
        <f>IF(AND(CK39&gt;NDC!$C$63,CL39&gt;NDC!$C$65,CM39&gt;NDC!$D$73,CN39&gt;NDC!$D$74,$B39&gt;NDC!$H$22-0.1+MIN(3*CO$12,1.5)),0,1)</f>
        <v>#N/A</v>
      </c>
      <c r="CP39" s="86" t="b">
        <f t="shared" si="37"/>
        <v>0</v>
      </c>
      <c r="CQ39" s="86">
        <f t="shared" si="38"/>
        <v>0.5</v>
      </c>
      <c r="CR39" s="86">
        <f t="shared" si="39"/>
        <v>0.5</v>
      </c>
      <c r="CS39" s="30" t="e">
        <f t="shared" ca="1" si="84"/>
        <v>#DIV/0!</v>
      </c>
      <c r="CT39" s="85" t="e">
        <f ca="1">IF(BZ39&lt;=Hypothèses!$V$7,Hypothèses!$W$7,IF(BZ39&lt;=Hypothèses!$V$8,Hypothèses!$W$8,IF(BZ39&lt;=Hypothèses!$V$9,Hypothèses!$W$9,IF(BZ39&lt;=Hypothèses!$V$10,Hypothèses!$W$10,IF(BZ39&lt;=Hypothèses!$V$11,Hypothèses!$W$11,IF(BZ39&lt;=Hypothèses!$V$12,Hypothèses!$W$12,IF(BZ39&lt;=Hypothèses!$V$13,Hypothèses!$W$13,IF(BZ39&lt;=Hypothèses!$V$14,Hypothèses!$W$14,IF(BZ39&lt;=Hypothèses!$V$15,Hypothèses!$W$15,IF(BZ39&lt;=Hypothèses!$V$16,Hypothèses!$W$16,IF(BZ39&lt;=Hypothèses!$V$17,Hypothèses!$W$17,IF(BZ39&lt;=Hypothèses!$V$18,Hypothèses!$W$18,""))))))))))))</f>
        <v>#DIV/0!</v>
      </c>
      <c r="CU39" s="87" t="e">
        <f t="shared" ca="1" si="120"/>
        <v>#DIV/0!</v>
      </c>
      <c r="CV39" s="88" t="e">
        <f ca="1">IF(BZ39&lt;=Hypothèses!$V$7,Hypothèses!$X$7,IF(BZ39&lt;=Hypothèses!$V$8,Hypothèses!$X$8,IF(BZ39&lt;=Hypothèses!$V$9,Hypothèses!$X$9,IF(BZ39&lt;=Hypothèses!$V$10,Hypothèses!$X$10,IF(BZ39&lt;=Hypothèses!$V$11,Hypothèses!$X$11,IF(BZ39&lt;=Hypothèses!$V$12,Hypothèses!$X$12,IF(BZ39&lt;=Hypothèses!$V$13,Hypothèses!$X$13,IF(BZ39&lt;=Hypothèses!$V$14,Hypothèses!$X$14,IF(BZ39&lt;=Hypothèses!$V$15,Hypothèses!$X$15,IF(BZ39&lt;=Hypothèses!$V$16,Hypothèses!$X$16,IF(BZ39&lt;=Hypothèses!$U$17,Hypothèses!$W$17,IF(BZ39&lt;=Hypothèses!$U$18,Hypothèses!$W$18,""))))))))))))</f>
        <v>#DIV/0!</v>
      </c>
      <c r="CW39" s="95" t="e">
        <f t="shared" ca="1" si="85"/>
        <v>#DIV/0!</v>
      </c>
      <c r="CX39" s="101">
        <f t="shared" si="127"/>
        <v>0</v>
      </c>
      <c r="CY39" s="91">
        <f t="shared" si="41"/>
        <v>0</v>
      </c>
      <c r="CZ39" s="30" t="e">
        <f t="shared" si="108"/>
        <v>#N/A</v>
      </c>
      <c r="DA39" s="30" t="e">
        <f t="shared" si="109"/>
        <v>#N/A</v>
      </c>
      <c r="DB39" s="31" t="e">
        <f>IF(OR(Hypothèses!$B$4=17,Hypothèses!$B$4=18,Hypothèses!$B$4=19,Hypothèses!$B$4=20),
IF($D39="Pressio.",
IF(OR($E39=3,$E39=1,$E39=4),DA39,CZ39),
IF($D39="Pénétro.",
IF(OR($E39=3,$E39=1,$E39=4),DA39,CZ39))),IF($D39="Pressio.",
IF($E39=3,DA39,CZ39),
IF($D39="Pénétro.",
IF($E39=4,DA39,CZ39))))</f>
        <v>#N/A</v>
      </c>
      <c r="DC39" s="31">
        <v>0</v>
      </c>
      <c r="DD39" s="102" t="e">
        <f>IF(NDC!$H$10="Oui",(VLOOKUP($B$3,'Coeff EC7'!$T$39:$X$59,2,0)*DB39+VLOOKUP($B$3,'Coeff EC7'!$T$65:$X$85,2,0)*Model0.1T!DC39)/1.5,PI()*CZ$12*$Q39*($B39-$B38)*0.15/10+DD38)</f>
        <v>#N/A</v>
      </c>
      <c r="DE39" s="102" t="e">
        <f>(VLOOKUP($B$3,'Coeff EC7'!$T$39:$X$59,3,0)*DB39+VLOOKUP($B$3,'Coeff EC7'!$T$65:$X$85,3,0)*Model0.1T!DC39)/1.1</f>
        <v>#N/A</v>
      </c>
      <c r="DF39" s="102" t="e">
        <f t="shared" si="86"/>
        <v>#N/A</v>
      </c>
      <c r="DG39" s="102" t="e">
        <f t="shared" si="87"/>
        <v>#N/A</v>
      </c>
      <c r="DH39" s="414" t="e">
        <f>IF(AND(DD39&gt;NDC!$C$63,DE39&gt;NDC!$C$65,DF39&gt;NDC!$D$73,DG39&gt;NDC!$D$74,$B39&gt;NDC!$H$22-0.1+MIN(3*DH$12,1.5)),0,1)</f>
        <v>#N/A</v>
      </c>
      <c r="DI39" s="86" t="b">
        <f t="shared" si="44"/>
        <v>0</v>
      </c>
      <c r="DJ39" s="86">
        <f t="shared" si="45"/>
        <v>0.5</v>
      </c>
      <c r="DK39" s="86">
        <f t="shared" si="46"/>
        <v>0.5</v>
      </c>
      <c r="DL39" s="30" t="e">
        <f t="shared" ca="1" si="88"/>
        <v>#DIV/0!</v>
      </c>
      <c r="DM39" s="85" t="e">
        <f ca="1">IF(CS39&lt;=Hypothèses!$V$7,Hypothèses!$W$7,IF(CS39&lt;=Hypothèses!$V$8,Hypothèses!$W$8,IF(CS39&lt;=Hypothèses!$V$9,Hypothèses!$W$9,IF(CS39&lt;=Hypothèses!$V$10,Hypothèses!$W$10,IF(CS39&lt;=Hypothèses!$V$11,Hypothèses!$W$11,IF(CS39&lt;=Hypothèses!$V$12,Hypothèses!$W$12,IF(CS39&lt;=Hypothèses!$V$13,Hypothèses!$W$13,IF(CS39&lt;=Hypothèses!$V$14,Hypothèses!$W$14,IF(CS39&lt;=Hypothèses!$V$15,Hypothèses!$W$15,IF(CS39&lt;=Hypothèses!$V$16,Hypothèses!$W$16,IF(CS39&lt;=Hypothèses!$V$17,Hypothèses!$W$17,IF(CS39&lt;=Hypothèses!$V$18,Hypothèses!$W$18,""))))))))))))</f>
        <v>#DIV/0!</v>
      </c>
      <c r="DN39" s="87" t="e">
        <f t="shared" ca="1" si="121"/>
        <v>#DIV/0!</v>
      </c>
      <c r="DO39" s="88" t="e">
        <f ca="1">IF(CS39&lt;=Hypothèses!$V$7,Hypothèses!$X$7,IF(CS39&lt;=Hypothèses!$V$8,Hypothèses!$X$8,IF(CS39&lt;=Hypothèses!$V$9,Hypothèses!$X$9,IF(CS39&lt;=Hypothèses!$V$10,Hypothèses!$X$10,IF(CS39&lt;=Hypothèses!$V$11,Hypothèses!$X$11,IF(CS39&lt;=Hypothèses!$V$12,Hypothèses!$X$12,IF(CS39&lt;=Hypothèses!$V$13,Hypothèses!$X$13,IF(CS39&lt;=Hypothèses!$V$14,Hypothèses!$X$14,IF(CS39&lt;=Hypothèses!$V$15,Hypothèses!$X$15,IF(CS39&lt;=Hypothèses!$V$16,Hypothèses!$X$16,IF(CS39&lt;=Hypothèses!$U$17,Hypothèses!$W$17,IF(CS39&lt;=Hypothèses!$U$18,Hypothèses!$W$18,""))))))))))))</f>
        <v>#DIV/0!</v>
      </c>
      <c r="DP39" s="95" t="e">
        <f t="shared" ca="1" si="89"/>
        <v>#DIV/0!</v>
      </c>
      <c r="DQ39" s="101">
        <f t="shared" si="128"/>
        <v>0</v>
      </c>
      <c r="DR39" s="91">
        <f t="shared" si="48"/>
        <v>0</v>
      </c>
      <c r="DS39" s="30" t="e">
        <f t="shared" si="110"/>
        <v>#N/A</v>
      </c>
      <c r="DT39" s="30" t="e">
        <f t="shared" si="111"/>
        <v>#N/A</v>
      </c>
      <c r="DU39" s="31" t="e">
        <f>IF(OR(Hypothèses!$B$4=17,Hypothèses!$B$4=18,Hypothèses!$B$4=19,Hypothèses!$B$4=20),
IF($D39="Pressio.",
IF(OR($E39=3,$E39=1,$E39=4),DT39,DS39),
IF($D39="Pénétro.",
IF(OR($E39=3,$E39=1,$E39=4),DT39,DS39))),IF($D39="Pressio.",
IF($E39=3,DT39,DS39),
IF($D39="Pénétro.",
IF($E39=4,DT39,DS39))))</f>
        <v>#N/A</v>
      </c>
      <c r="DV39" s="31">
        <v>0</v>
      </c>
      <c r="DW39" s="102" t="e">
        <f>IF(NDC!$H$10="Oui",(VLOOKUP($B$3,'Coeff EC7'!$T$39:$X$59,2,0)*DU39+VLOOKUP($B$3,'Coeff EC7'!$T$65:$X$85,2,0)*Model0.1T!DV39)/1.5,PI()*DS$12*$Q39*($B39-$B38)*0.15/10+DW38)</f>
        <v>#N/A</v>
      </c>
      <c r="DX39" s="102" t="e">
        <f>(VLOOKUP($B$3,'Coeff EC7'!$T$39:$X$59,3,0)*DU39+VLOOKUP($B$3,'Coeff EC7'!$T$65:$X$85,3,0)*Model0.1T!DV39)/1.1</f>
        <v>#N/A</v>
      </c>
      <c r="DY39" s="102" t="e">
        <f t="shared" si="90"/>
        <v>#N/A</v>
      </c>
      <c r="DZ39" s="102" t="e">
        <f t="shared" si="91"/>
        <v>#N/A</v>
      </c>
      <c r="EA39" s="414" t="e">
        <f>IF(AND(DW39&gt;NDC!$C$63,DX39&gt;NDC!$C$65,DY39&gt;NDC!$D$73,DZ39&gt;NDC!$D$74,$B39&gt;NDC!$H$22-0.1+MIN(3*EA$12,1.5)),0,1)</f>
        <v>#N/A</v>
      </c>
      <c r="EB39" s="86" t="b">
        <f t="shared" si="51"/>
        <v>0</v>
      </c>
      <c r="EC39" s="418">
        <f t="shared" si="52"/>
        <v>0.51</v>
      </c>
      <c r="ED39" s="86">
        <f t="shared" si="53"/>
        <v>0.51</v>
      </c>
      <c r="EE39" s="30" t="e">
        <f t="shared" ca="1" si="92"/>
        <v>#DIV/0!</v>
      </c>
      <c r="EF39" s="85" t="e">
        <f ca="1">IF(DL39&lt;=Hypothèses!$V$7,Hypothèses!$W$7,IF(DL39&lt;=Hypothèses!$V$8,Hypothèses!$W$8,IF(DL39&lt;=Hypothèses!$V$9,Hypothèses!$W$9,IF(DL39&lt;=Hypothèses!$V$10,Hypothèses!$W$10,IF(DL39&lt;=Hypothèses!$V$11,Hypothèses!$W$11,IF(DL39&lt;=Hypothèses!$V$12,Hypothèses!$W$12,IF(DL39&lt;=Hypothèses!$V$13,Hypothèses!$W$13,IF(DL39&lt;=Hypothèses!$V$14,Hypothèses!$W$14,IF(DL39&lt;=Hypothèses!$V$15,Hypothèses!$W$15,IF(DL39&lt;=Hypothèses!$V$16,Hypothèses!$W$16,IF(DL39&lt;=Hypothèses!$V$17,Hypothèses!$W$17,IF(DL39&lt;=Hypothèses!$V$18,Hypothèses!$W$18,""))))))))))))</f>
        <v>#DIV/0!</v>
      </c>
      <c r="EG39" s="87" t="e">
        <f t="shared" ca="1" si="122"/>
        <v>#DIV/0!</v>
      </c>
      <c r="EH39" s="88" t="e">
        <f ca="1">IF(DL39&lt;=Hypothèses!$V$7,Hypothèses!$X$7,IF(DL39&lt;=Hypothèses!$V$8,Hypothèses!$X$8,IF(DL39&lt;=Hypothèses!$V$9,Hypothèses!$X$9,IF(DL39&lt;=Hypothèses!$V$10,Hypothèses!$X$10,IF(DL39&lt;=Hypothèses!$V$11,Hypothèses!$X$11,IF(DL39&lt;=Hypothèses!$V$12,Hypothèses!$X$12,IF(DL39&lt;=Hypothèses!$V$13,Hypothèses!$X$13,IF(DL39&lt;=Hypothèses!$V$14,Hypothèses!$X$14,IF(DL39&lt;=Hypothèses!$V$15,Hypothèses!$X$15,IF(DL39&lt;=Hypothèses!$V$16,Hypothèses!$X$16,IF(DL39&lt;=Hypothèses!$U$17,Hypothèses!$W$17,IF(DL39&lt;=Hypothèses!$U$18,Hypothèses!$W$18,""))))))))))))</f>
        <v>#DIV/0!</v>
      </c>
      <c r="EI39" s="95" t="e">
        <f t="shared" ca="1" si="93"/>
        <v>#DIV/0!</v>
      </c>
      <c r="EJ39" s="101">
        <f t="shared" si="129"/>
        <v>0</v>
      </c>
      <c r="EK39" s="91">
        <f t="shared" si="55"/>
        <v>0</v>
      </c>
      <c r="EL39" s="30" t="e">
        <f t="shared" si="112"/>
        <v>#N/A</v>
      </c>
      <c r="EM39" s="30" t="e">
        <f t="shared" si="113"/>
        <v>#N/A</v>
      </c>
      <c r="EN39" s="31" t="e">
        <f>IF(OR(Hypothèses!$B$4=17,Hypothèses!$B$4=18,Hypothèses!$B$4=19,Hypothèses!$B$4=20),
IF($D39="Pressio.",
IF(OR($E39=3,$E39=1,$E39=4),EM39,EL39),
IF($D39="Pénétro.",
IF(OR($E39=3,$E39=1,$E39=4),EM39,EL39))),IF($D39="Pressio.",
IF($E39=3,EM39,EL39),
IF($D39="Pénétro.",
IF($E39=4,EM39,EL39))))</f>
        <v>#N/A</v>
      </c>
      <c r="EO39" s="31">
        <v>0</v>
      </c>
      <c r="EP39" s="102" t="e">
        <f>IF(NDC!$H$10="Oui",(VLOOKUP($B$3,'Coeff EC7'!$T$39:$X$59,2,0)*EN39+VLOOKUP($B$3,'Coeff EC7'!$T$65:$X$85,2,0)*Model0.1T!EO39)/1.5,PI()*EL$12*$Q39*($B39-$B38)*0.15/10+EP38)</f>
        <v>#N/A</v>
      </c>
      <c r="EQ39" s="102" t="e">
        <f>(VLOOKUP($B$3,'Coeff EC7'!$T$39:$X$59,3,0)*EN39+VLOOKUP($B$3,'Coeff EC7'!$T$65:$X$85,3,0)*Model0.1T!EO39)/1.1</f>
        <v>#N/A</v>
      </c>
      <c r="ER39" s="102" t="e">
        <f t="shared" si="94"/>
        <v>#N/A</v>
      </c>
      <c r="ES39" s="102" t="e">
        <f t="shared" si="95"/>
        <v>#N/A</v>
      </c>
      <c r="ET39" s="414" t="e">
        <f>IF(AND(EP39&gt;NDC!$C$63,EQ39&gt;NDC!$C$65,ER39&gt;NDC!$D$73,ES39&gt;NDC!$D$74,$B39&gt;NDC!$H$22-0.1+MIN(3*ET$12,1.5)),0,1)</f>
        <v>#N/A</v>
      </c>
      <c r="EU39" s="86" t="b">
        <f t="shared" si="58"/>
        <v>0</v>
      </c>
      <c r="EV39" s="86">
        <f t="shared" si="59"/>
        <v>0.61</v>
      </c>
      <c r="EW39" s="86">
        <f t="shared" si="60"/>
        <v>0.61</v>
      </c>
      <c r="EX39" s="30" t="e">
        <f t="shared" ca="1" si="96"/>
        <v>#DIV/0!</v>
      </c>
      <c r="EY39" s="85" t="e">
        <f ca="1">IF(EE39&lt;=Hypothèses!$V$7,Hypothèses!$W$7,IF(EE39&lt;=Hypothèses!$V$8,Hypothèses!$W$8,IF(EE39&lt;=Hypothèses!$V$9,Hypothèses!$W$9,IF(EE39&lt;=Hypothèses!$V$10,Hypothèses!$W$10,IF(EE39&lt;=Hypothèses!$V$11,Hypothèses!$W$11,IF(EE39&lt;=Hypothèses!$V$12,Hypothèses!$W$12,IF(EE39&lt;=Hypothèses!$V$13,Hypothèses!$W$13,IF(EE39&lt;=Hypothèses!$V$14,Hypothèses!$W$14,IF(EE39&lt;=Hypothèses!$V$15,Hypothèses!$W$15,IF(EE39&lt;=Hypothèses!$V$16,Hypothèses!$W$16,IF(EE39&lt;=Hypothèses!$V$17,Hypothèses!$W$17,IF(EE39&lt;=Hypothèses!$V$18,Hypothèses!$W$18,""))))))))))))</f>
        <v>#DIV/0!</v>
      </c>
      <c r="EZ39" s="87" t="e">
        <f t="shared" ca="1" si="123"/>
        <v>#DIV/0!</v>
      </c>
      <c r="FA39" s="88" t="e">
        <f ca="1">IF(EE39&lt;=Hypothèses!$V$7,Hypothèses!$X$7,IF(EE39&lt;=Hypothèses!$V$8,Hypothèses!$X$8,IF(EE39&lt;=Hypothèses!$V$9,Hypothèses!$X$9,IF(EE39&lt;=Hypothèses!$V$10,Hypothèses!$X$10,IF(EE39&lt;=Hypothèses!$V$11,Hypothèses!$X$11,IF(EE39&lt;=Hypothèses!$V$12,Hypothèses!$X$12,IF(EE39&lt;=Hypothèses!$V$13,Hypothèses!$X$13,IF(EE39&lt;=Hypothèses!$V$14,Hypothèses!$X$14,IF(EE39&lt;=Hypothèses!$V$15,Hypothèses!$X$15,IF(EE39&lt;=Hypothèses!$V$16,Hypothèses!$X$16,IF(EE39&lt;=Hypothèses!$U$17,Hypothèses!$W$17,IF(EE39&lt;=Hypothèses!$U$18,Hypothèses!$W$18,""))))))))))))</f>
        <v>#DIV/0!</v>
      </c>
      <c r="FB39" s="95" t="e">
        <f t="shared" ca="1" si="97"/>
        <v>#DIV/0!</v>
      </c>
      <c r="FC39" s="101">
        <f t="shared" si="130"/>
        <v>0</v>
      </c>
      <c r="FD39" s="91">
        <f t="shared" si="62"/>
        <v>0</v>
      </c>
      <c r="FE39" s="30" t="e">
        <f t="shared" si="114"/>
        <v>#N/A</v>
      </c>
      <c r="FF39" s="30" t="e">
        <f t="shared" si="115"/>
        <v>#N/A</v>
      </c>
      <c r="FG39" s="31" t="e">
        <f>IF(OR(Hypothèses!$B$4=17,Hypothèses!$B$4=18,Hypothèses!$B$4=19,Hypothèses!$B$4=20),
IF($D39="Pressio.",
IF(OR($E39=3,$E39=1,$E39=4),FF39,FE39),
IF($D39="Pénétro.",
IF(OR($E39=3,$E39=1,$E39=4),FF39,FE39))),IF($D39="Pressio.",
IF($E39=3,FF39,FE39),
IF($D39="Pénétro.",
IF($E39=4,FF39,FE39))))</f>
        <v>#N/A</v>
      </c>
      <c r="FH39" s="31">
        <v>0</v>
      </c>
      <c r="FI39" s="102" t="e">
        <f>IF(NDC!$H$10="Oui",(VLOOKUP($B$3,'Coeff EC7'!$T$39:$X$59,2,0)*FG39+VLOOKUP($B$3,'Coeff EC7'!$T$65:$X$85,2,0)*Model0.1T!FH39)/1.5,PI()*FE$12*$Q39*($B39-$B38)*0.15/10+FI38)</f>
        <v>#N/A</v>
      </c>
      <c r="FJ39" s="102" t="e">
        <f>(VLOOKUP($B$3,'Coeff EC7'!$T$39:$X$59,3,0)*FG39+VLOOKUP($B$3,'Coeff EC7'!$T$65:$X$85,3,0)*Model0.1T!FH39)/1.1</f>
        <v>#N/A</v>
      </c>
      <c r="FK39" s="102" t="e">
        <f t="shared" si="98"/>
        <v>#N/A</v>
      </c>
      <c r="FL39" s="102" t="e">
        <f t="shared" si="99"/>
        <v>#N/A</v>
      </c>
      <c r="FM39" s="414" t="e">
        <f>IF(AND(FI39&gt;NDC!$C$63,FJ39&gt;NDC!$C$65,FK39&gt;NDC!$D$73,FL39&gt;NDC!$D$74,$B39&gt;NDC!$H$22-0.1+MIN(3*FM$12,1.5)),0,1)</f>
        <v>#N/A</v>
      </c>
    </row>
    <row r="40" spans="1:169">
      <c r="A40" s="96">
        <f t="shared" si="65"/>
        <v>97.300000000000153</v>
      </c>
      <c r="B40" s="97">
        <v>2.7</v>
      </c>
      <c r="C40" s="81">
        <f>IF(B40&lt;=Hypothèses!$C$7,Hypothèses!$A$7,IF(B40&lt;=Hypothèses!$C$8,Hypothèses!$A$8,IF(B40&lt;=Hypothèses!$C$9,Hypothèses!$A$9,IF(B40&lt;=Hypothèses!$C$10,Hypothèses!$A$10,IF(B40&lt;=Hypothèses!$C$11,Hypothèses!$A$11,IF(B40&lt;=Hypothèses!$C$12,Hypothèses!$A$12,IF(B40&lt;=Hypothèses!$C$13,Hypothèses!$A$13,IF(B40&lt;=Hypothèses!$C$14,Hypothèses!$A$14,IF(B40&lt;=Hypothèses!$C$15,Hypothèses!$A$15,IF(B40&lt;=Hypothèses!$C$16,Hypothèses!$A$16,IF(B40&lt;=Hypothèses!$C$17,Hypothèses!$A$17,IF(B40&lt;=Hypothèses!$C$18,Hypothèses!$A$18,C39))))))))))))</f>
        <v>11</v>
      </c>
      <c r="D40" s="82" t="str">
        <f>IF(B40&lt;=Hypothèses!$C$7,Hypothèses!$R$7,IF(B40&lt;=Hypothèses!$C$8,Hypothèses!$R$8,IF(B40&lt;=Hypothèses!$C$9,Hypothèses!$R$9,IF(B40&lt;=Hypothèses!$C$10,Hypothèses!$R$10,IF(B40&lt;=Hypothèses!$C$11,Hypothèses!$R$11,IF(B40&lt;=Hypothèses!$C$12,Hypothèses!$R$12,IF(B40&lt;=Hypothèses!$C$13,Hypothèses!$R$13,IF(B40&lt;=Hypothèses!$C$14,Hypothèses!$R$14,IF(B40&lt;=Hypothèses!$C$15,Hypothèses!$R$15,IF(B40&lt;=Hypothèses!$C$16,Hypothèses!$R$16,IF(B40&lt;=Hypothèses!$C$17,Hypothèses!$R$17,IF(B40&lt;=Hypothèses!$C$18,Hypothèses!$R$18,D39))))))))))))</f>
        <v>Pressio.</v>
      </c>
      <c r="E40" s="82" t="e">
        <f>IF(B40&lt;=Hypothèses!$C$7,Hypothèses!$G$7,IF(B40&lt;=Hypothèses!$C$8,Hypothèses!$G$8,IF(B40&lt;=Hypothèses!$C$9,Hypothèses!$G$9,IF(B40&lt;=Hypothèses!$C$10,Hypothèses!$G$10,IF(B40&lt;=Hypothèses!$C$11,Hypothèses!$G$11,IF(B40&lt;=Hypothèses!$C$12,Hypothèses!$G$12,IF(B40&lt;=Hypothèses!$C$13,Hypothèses!$G$13,IF(B40&lt;=Hypothèses!$C$14,Hypothèses!$G$14,IF(B40&lt;=Hypothèses!$C$15,Hypothèses!$G$15,IF(B40&lt;=Hypothèses!$C$16,Hypothèses!$G$16,IF(B40&lt;=Hypothèses!$C$17,Hypothèses!$G$17,IF(B40&lt;=Hypothèses!$C$18,Hypothèses!$G$18,E39))))))))))))</f>
        <v>#N/A</v>
      </c>
      <c r="F40" s="82" t="str">
        <f>IF(B40&lt;=Hypothèses!$C$7,Hypothèses!$F$7,IF(B40&lt;=Hypothèses!$C$8,Hypothèses!$F$8,IF(B40&lt;=Hypothèses!$C$9,Hypothèses!$F$9,IF(B40&lt;=Hypothèses!$C$10,Hypothèses!$F$10,IF(B40&lt;=Hypothèses!$C$11,Hypothèses!$F$11,IF(B40&lt;=Hypothèses!$C$12,Hypothèses!$F$12,IF(B40&lt;=Hypothèses!$C$13,Hypothèses!$F$13,IF(B40&lt;=Hypothèses!$C$14,Hypothèses!$F$14,IF(B40&lt;=Hypothèses!$C$15,Hypothèses!$F$15,IF(B40&lt;=Hypothèses!$C$16,Hypothèses!$F$16,IF(B40&lt;=Hypothèses!$C$17,Hypothèses!$F$17,IF(B40&lt;=Hypothèses!$C$18,Hypothèses!$F$18,F39))))))))))))</f>
        <v/>
      </c>
      <c r="G40" s="91">
        <f t="array" ref="G40">INDEX('Coeff EC7'!$U$7:$X$27,
MATCH(Model0.1T!$B$3,'Coeff EC7'!$T$7:$T$27,0),
MATCH(Model0.1T!$D40&amp;Model0.1T!$B$4,
'Coeff EC7'!$U$6:$X$6&amp;
'Coeff EC7'!$U$5:$X$5,0))</f>
        <v>1.4</v>
      </c>
      <c r="H40" s="91">
        <f t="array" ref="H40">INDEX('Coeff EC7'!$Y$7:$AB$27,
MATCH(Model0.1T!$B$3,'Coeff EC7'!$T$7:$T$27,0),
MATCH(Model0.1T!$D40&amp;Model0.1T!$B$4,
'Coeff EC7'!$Y$6:$AB$6&amp;
'Coeff EC7'!$Y$5:$AB$5,0))</f>
        <v>1.7</v>
      </c>
      <c r="I40" s="83">
        <v>0</v>
      </c>
      <c r="J40" s="91" t="e">
        <f t="array" ref="J40">INDEX('Coeff EC7'!$D$33:$Q$33,1,MATCH(D40&amp;E40,'Coeff EC7'!$D$31:$Q$31&amp;'Coeff EC7'!$D$32:$Q$32,0))</f>
        <v>#N/A</v>
      </c>
      <c r="K40" s="91" t="e">
        <f t="array" ref="K40">INDEX('Coeff EC7'!$D$34:$Q$34,1,MATCH(D40&amp;E40,'Coeff EC7'!$D$31:$Q$31&amp;'Coeff EC7'!$D$32:$Q$32,0))</f>
        <v>#N/A</v>
      </c>
      <c r="L40" s="91" t="e">
        <f t="array" ref="L40">INDEX('Coeff EC7'!$D$35:$Q$35,1,MATCH(D40&amp;E40,'Coeff EC7'!$D$31:$Q$31&amp;'Coeff EC7'!$D$32:$Q$32,0))</f>
        <v>#N/A</v>
      </c>
      <c r="M40" s="98" t="e">
        <f t="shared" si="8"/>
        <v>#N/A</v>
      </c>
      <c r="N40" s="99" t="e">
        <f t="array" ref="N40">INDEX('Coeff EC7'!$D$7:$Q$27,MATCH($B$3,'Coeff EC7'!$C$7:$C$27,0),MATCH(D40&amp;E40,'Coeff EC7'!$D$5:$Q$5&amp;'Coeff EC7'!$D$6:$Q$6,0))</f>
        <v>#N/A</v>
      </c>
      <c r="O40" s="99" t="e">
        <f t="array" ref="O40">INDEX('Coeff EC7'!$D$41:$Q$61,MATCH($B$3,'Coeff EC7'!$C$41:$C$61,0),MATCH(D40&amp;E40,'Coeff EC7'!$D$39:$Q$39&amp;'Coeff EC7'!$D$40:$Q$40,0))</f>
        <v>#N/A</v>
      </c>
      <c r="P40" s="30" t="e">
        <f t="shared" si="66"/>
        <v>#N/A</v>
      </c>
      <c r="Q40" s="100" t="e">
        <f t="shared" si="10"/>
        <v>#N/A</v>
      </c>
      <c r="R40" s="86" t="b">
        <f t="shared" si="11"/>
        <v>0</v>
      </c>
      <c r="S40" s="86">
        <f t="shared" si="9"/>
        <v>0.5</v>
      </c>
      <c r="T40" s="86">
        <f t="shared" si="12"/>
        <v>0.5</v>
      </c>
      <c r="U40" s="30" t="e">
        <f t="shared" ca="1" si="67"/>
        <v>#DIV/0!</v>
      </c>
      <c r="V40" s="85" t="str">
        <f>IF(B40&lt;=Hypothèses!$V$7,Hypothèses!$W$7,IF(B40&lt;=Hypothèses!$V$8,Hypothèses!$W$8,IF(B40&lt;=Hypothèses!$V$9,Hypothèses!$W$9,IF(B40&lt;=Hypothèses!$V$10,Hypothèses!$W$10,IF(B40&lt;=Hypothèses!$V$11,Hypothèses!$W$11,IF(B40&lt;=Hypothèses!$V$12,Hypothèses!$W$12,IF(B40&lt;=Hypothèses!$V$13,Hypothèses!$W$13,IF(B40&lt;=Hypothèses!$V$14,Hypothèses!$W$14,IF(B40&lt;=Hypothèses!$V$15,Hypothèses!$W$15,IF(B40&lt;=Hypothèses!$V$16,Hypothèses!$W$16,IF(B40&lt;=Hypothèses!$V$17,Hypothèses!$W$17,IF(B40&lt;=Hypothèses!$V$18,Hypothèses!$W$18,""))))))))))))</f>
        <v/>
      </c>
      <c r="W40" s="87" t="e">
        <f t="shared" ca="1" si="116"/>
        <v>#DIV/0!</v>
      </c>
      <c r="X40" s="88" t="str">
        <f>IF(B40&lt;=Hypothèses!$V$7,Hypothèses!$X$7,IF(B40&lt;=Hypothèses!$V$8,Hypothèses!$X$8,IF(B40&lt;=Hypothèses!$V$9,Hypothèses!$X$9,IF(B40&lt;=Hypothèses!$V$10,Hypothèses!$X$10,IF(B40&lt;=Hypothèses!$V$11,Hypothèses!$X$11,IF(B40&lt;=Hypothèses!$V$12,Hypothèses!$X$12,IF(B40&lt;=Hypothèses!$V$13,Hypothèses!$X$13,IF(B40&lt;=Hypothèses!$V$14,Hypothèses!$X$14,IF(B40&lt;=Hypothèses!$V$15,Hypothèses!$X$15,IF(B40&lt;=Hypothèses!$V$16,Hypothèses!$X$16,IF(B40&lt;=Hypothèses!$U$17,Hypothèses!$W$17,IF(B40&lt;=Hypothèses!$U$18,Hypothèses!$W$18,""))))))))))))</f>
        <v/>
      </c>
      <c r="Y40" s="95" t="e">
        <f t="shared" ca="1" si="13"/>
        <v>#DIV/0!</v>
      </c>
      <c r="Z40" s="101">
        <f t="shared" si="14"/>
        <v>0</v>
      </c>
      <c r="AA40" s="91">
        <f t="shared" si="15"/>
        <v>0</v>
      </c>
      <c r="AB40" s="30" t="e">
        <f t="shared" si="100"/>
        <v>#N/A</v>
      </c>
      <c r="AC40" s="30" t="e">
        <f t="shared" si="101"/>
        <v>#N/A</v>
      </c>
      <c r="AD40" s="31" t="e">
        <f>IF(OR(Hypothèses!$B$4=17,Hypothèses!$B$4=18,Hypothèses!$B$4=19,Hypothèses!$B$4=20),
IF($D40="Pressio.",
IF(OR($E40=3,$E40=1,$E40=4),AC40,AB40),
IF($D40="Pénétro.",
IF(OR($E40=3,$E40=1,$E40=4),AC40,AB40))),IF($D40="Pressio.",
IF($E40=3,AC40,AB40),
IF($D40="Pénétro.",
IF($E40=4,AC40,AB40))))</f>
        <v>#N/A</v>
      </c>
      <c r="AE40" s="31">
        <v>0</v>
      </c>
      <c r="AF40" s="102" t="e">
        <f>IF(NDC!$H$10="Oui",(VLOOKUP($B$3,'Coeff EC7'!$T$39:$X$59,2,0)*AD40+VLOOKUP($B$3,'Coeff EC7'!$T$65:$X$85,2,0)*Model0.1T!AE40)/1.5,PI()*AB$12*$Q40*($B40-$B39)*0.15/10+AF39)</f>
        <v>#N/A</v>
      </c>
      <c r="AG40" s="102" t="e">
        <f>(VLOOKUP($B$3,'Coeff EC7'!$T$39:$X$59,3,0)*AD40+VLOOKUP($B$3,'Coeff EC7'!$T$65:$X$85,3,0)*Model0.1T!AE40)/1.1</f>
        <v>#N/A</v>
      </c>
      <c r="AH40" s="102" t="e">
        <f t="shared" si="68"/>
        <v>#N/A</v>
      </c>
      <c r="AI40" s="102" t="e">
        <f t="shared" si="69"/>
        <v>#N/A</v>
      </c>
      <c r="AJ40" s="414" t="e">
        <f>IF(AND(AF40&gt;NDC!$C$63,AG40&gt;NDC!$C$65,AH40&gt;NDC!$D$73,AI40&gt;NDC!$D$74,$B40&gt;NDC!$H$22-0.1+MIN(3*$AJ$12,1.5)),0,1)</f>
        <v>#N/A</v>
      </c>
      <c r="AK40" s="86" t="b">
        <f t="shared" si="18"/>
        <v>0</v>
      </c>
      <c r="AL40" s="86">
        <f t="shared" si="70"/>
        <v>0.5</v>
      </c>
      <c r="AM40" s="86">
        <f t="shared" si="19"/>
        <v>0.5</v>
      </c>
      <c r="AN40" s="30" t="e">
        <f t="shared" ca="1" si="71"/>
        <v>#DIV/0!</v>
      </c>
      <c r="AO40" s="85" t="e">
        <f ca="1">IF(U40&lt;=Hypothèses!$V$7,Hypothèses!$W$7,IF(U40&lt;=Hypothèses!$V$8,Hypothèses!$W$8,IF(U40&lt;=Hypothèses!$V$9,Hypothèses!$W$9,IF(U40&lt;=Hypothèses!$V$10,Hypothèses!$W$10,IF(U40&lt;=Hypothèses!$V$11,Hypothèses!$W$11,IF(U40&lt;=Hypothèses!$V$12,Hypothèses!$W$12,IF(U40&lt;=Hypothèses!$V$13,Hypothèses!$W$13,IF(U40&lt;=Hypothèses!$V$14,Hypothèses!$W$14,IF(U40&lt;=Hypothèses!$V$15,Hypothèses!$W$15,IF(U40&lt;=Hypothèses!$V$16,Hypothèses!$W$16,IF(U40&lt;=Hypothèses!$V$17,Hypothèses!$W$17,IF(U40&lt;=Hypothèses!$V$18,Hypothèses!$W$18,""))))))))))))</f>
        <v>#DIV/0!</v>
      </c>
      <c r="AP40" s="87" t="e">
        <f t="shared" ca="1" si="117"/>
        <v>#DIV/0!</v>
      </c>
      <c r="AQ40" s="88" t="e">
        <f ca="1">IF(U40&lt;=Hypothèses!$V$7,Hypothèses!$X$7,IF(U40&lt;=Hypothèses!$V$8,Hypothèses!$X$8,IF(U40&lt;=Hypothèses!$V$9,Hypothèses!$X$9,IF(U40&lt;=Hypothèses!$V$10,Hypothèses!$X$10,IF(U40&lt;=Hypothèses!$V$11,Hypothèses!$X$11,IF(U40&lt;=Hypothèses!$V$12,Hypothèses!$X$12,IF(U40&lt;=Hypothèses!$V$13,Hypothèses!$X$13,IF(U40&lt;=Hypothèses!$V$14,Hypothèses!$X$14,IF(U40&lt;=Hypothèses!$V$15,Hypothèses!$X$15,IF(U40&lt;=Hypothèses!$V$16,Hypothèses!$X$16,IF(U40&lt;=Hypothèses!$U$17,Hypothèses!$W$17,IF(U40&lt;=Hypothèses!$U$18,Hypothèses!$W$18,""))))))))))))</f>
        <v>#DIV/0!</v>
      </c>
      <c r="AR40" s="95" t="e">
        <f t="shared" ca="1" si="72"/>
        <v>#DIV/0!</v>
      </c>
      <c r="AS40" s="101">
        <f t="shared" si="124"/>
        <v>0</v>
      </c>
      <c r="AT40" s="91">
        <f t="shared" si="21"/>
        <v>0</v>
      </c>
      <c r="AU40" s="30" t="e">
        <f t="shared" si="102"/>
        <v>#N/A</v>
      </c>
      <c r="AV40" s="30" t="e">
        <f t="shared" si="103"/>
        <v>#N/A</v>
      </c>
      <c r="AW40" s="31" t="e">
        <f>IF(OR(Hypothèses!$B$4=17,Hypothèses!$B$4=18,Hypothèses!$B$4=19,Hypothèses!$B$4=20),
IF($D40="Pressio.",
IF(OR($E40=3,$E40=1,$E40=4),AV40,AU40),
IF($D40="Pénétro.",
IF(OR($E40=3,$E40=1,$E40=4),AV40,AU40))),IF($D40="Pressio.",
IF($E40=3,AV40,AU40),
IF($D40="Pénétro.",
IF($E40=4,AV40,AU40))))</f>
        <v>#N/A</v>
      </c>
      <c r="AX40" s="31">
        <v>0</v>
      </c>
      <c r="AY40" s="102" t="e">
        <f>IF(NDC!$H$10="Oui",(VLOOKUP($B$3,'Coeff EC7'!$T$39:$X$59,2,0)*AW40+VLOOKUP($B$3,'Coeff EC7'!$T$65:$X$85,2,0)*Model0.1T!AX40)/1.5,PI()*AU$12*$Q40*($B40-$B39)*0.15/10+AY39)</f>
        <v>#N/A</v>
      </c>
      <c r="AZ40" s="102" t="e">
        <f>(VLOOKUP($B$3,'Coeff EC7'!$T$39:$X$59,3,0)*AW40+VLOOKUP($B$3,'Coeff EC7'!$T$65:$X$85,3,0)*Model0.1T!AX40)/1.1</f>
        <v>#N/A</v>
      </c>
      <c r="BA40" s="102" t="e">
        <f t="shared" si="73"/>
        <v>#N/A</v>
      </c>
      <c r="BB40" s="102" t="e">
        <f t="shared" si="74"/>
        <v>#N/A</v>
      </c>
      <c r="BC40" s="414" t="e">
        <f>IF(AND(AY40&gt;NDC!$C$63,AZ40&gt;NDC!$C$65,BA40&gt;NDC!$D$73,BB40&gt;NDC!$D$74,$B40&gt;NDC!$H$22-0.1+MIN(3*BC$12,1.5)),0,1)</f>
        <v>#N/A</v>
      </c>
      <c r="BD40" s="86" t="b">
        <f t="shared" si="24"/>
        <v>0</v>
      </c>
      <c r="BE40" s="86">
        <f t="shared" si="75"/>
        <v>0.5</v>
      </c>
      <c r="BF40" s="86">
        <f t="shared" si="25"/>
        <v>0.5</v>
      </c>
      <c r="BG40" s="30" t="e">
        <f t="shared" ca="1" si="76"/>
        <v>#DIV/0!</v>
      </c>
      <c r="BH40" s="85" t="e">
        <f ca="1">IF(AN40&lt;=Hypothèses!$V$7,Hypothèses!$W$7,IF(AN40&lt;=Hypothèses!$V$8,Hypothèses!$W$8,IF(AN40&lt;=Hypothèses!$V$9,Hypothèses!$W$9,IF(AN40&lt;=Hypothèses!$V$10,Hypothèses!$W$10,IF(AN40&lt;=Hypothèses!$V$11,Hypothèses!$W$11,IF(AN40&lt;=Hypothèses!$V$12,Hypothèses!$W$12,IF(AN40&lt;=Hypothèses!$V$13,Hypothèses!$W$13,IF(AN40&lt;=Hypothèses!$V$14,Hypothèses!$W$14,IF(AN40&lt;=Hypothèses!$V$15,Hypothèses!$W$15,IF(AN40&lt;=Hypothèses!$V$16,Hypothèses!$W$16,IF(AN40&lt;=Hypothèses!$V$17,Hypothèses!$W$17,IF(AN40&lt;=Hypothèses!$V$18,Hypothèses!$W$18,""))))))))))))</f>
        <v>#DIV/0!</v>
      </c>
      <c r="BI40" s="87" t="e">
        <f t="shared" ca="1" si="118"/>
        <v>#DIV/0!</v>
      </c>
      <c r="BJ40" s="88" t="e">
        <f ca="1">IF(AN40&lt;=Hypothèses!$V$7,Hypothèses!$X$7,IF(AN40&lt;=Hypothèses!$V$8,Hypothèses!$X$8,IF(AN40&lt;=Hypothèses!$V$9,Hypothèses!$X$9,IF(AN40&lt;=Hypothèses!$V$10,Hypothèses!$X$10,IF(AN40&lt;=Hypothèses!$V$11,Hypothèses!$X$11,IF(AN40&lt;=Hypothèses!$V$12,Hypothèses!$X$12,IF(AN40&lt;=Hypothèses!$V$13,Hypothèses!$X$13,IF(AN40&lt;=Hypothèses!$V$14,Hypothèses!$X$14,IF(AN40&lt;=Hypothèses!$V$15,Hypothèses!$X$15,IF(AN40&lt;=Hypothèses!$V$16,Hypothèses!$X$16,IF(AN40&lt;=Hypothèses!$U$17,Hypothèses!$W$17,IF(AN40&lt;=Hypothèses!$U$18,Hypothèses!$W$18,""))))))))))))</f>
        <v>#DIV/0!</v>
      </c>
      <c r="BK40" s="95" t="e">
        <f t="shared" ca="1" si="77"/>
        <v>#DIV/0!</v>
      </c>
      <c r="BL40" s="101">
        <f t="shared" si="125"/>
        <v>0</v>
      </c>
      <c r="BM40" s="91">
        <f t="shared" si="27"/>
        <v>0</v>
      </c>
      <c r="BN40" s="30" t="e">
        <f t="shared" si="104"/>
        <v>#N/A</v>
      </c>
      <c r="BO40" s="30" t="e">
        <f t="shared" si="105"/>
        <v>#N/A</v>
      </c>
      <c r="BP40" s="31" t="e">
        <f>IF(OR(Hypothèses!$B$4=17,Hypothèses!$B$4=18,Hypothèses!$B$4=19,Hypothèses!$B$4=20),
IF($D40="Pressio.",
IF(OR($E40=3,$E40=1,$E40=4),BO40,BN40),
IF($D40="Pénétro.",
IF(OR($E40=3,$E40=1,$E40=4),BO40,BN40))),IF($D40="Pressio.",
IF($E40=3,BO40,BN40),
IF($D40="Pénétro.",
IF($E40=4,BO40,BN40))))</f>
        <v>#N/A</v>
      </c>
      <c r="BQ40" s="31">
        <v>0</v>
      </c>
      <c r="BR40" s="102" t="e">
        <f>IF(NDC!$H$10="Oui",(VLOOKUP($B$3,'Coeff EC7'!$T$39:$X$59,2,0)*BP40+VLOOKUP($B$3,'Coeff EC7'!$T$65:$X$85,2,0)*Model0.1T!BQ40)/1.5,PI()*BN$12*$Q40*($B40-$B39)*0.15/10+BR39)</f>
        <v>#N/A</v>
      </c>
      <c r="BS40" s="102" t="e">
        <f>(VLOOKUP($B$3,'Coeff EC7'!$T$39:$X$59,3,0)*BP40+VLOOKUP($B$3,'Coeff EC7'!$T$65:$X$85,3,0)*Model0.1T!BQ40)/1.1</f>
        <v>#N/A</v>
      </c>
      <c r="BT40" s="102" t="e">
        <f t="shared" si="78"/>
        <v>#N/A</v>
      </c>
      <c r="BU40" s="102" t="e">
        <f t="shared" si="79"/>
        <v>#N/A</v>
      </c>
      <c r="BV40" s="414" t="e">
        <f>IF(AND(BR40&gt;NDC!$C$63,BS40&gt;NDC!$C$65,BT40&gt;NDC!$D$73,BU40&gt;NDC!$D$74,$B40&gt;NDC!$H$22-0.1+MIN(3*BV$12,1.5)),0,1)</f>
        <v>#N/A</v>
      </c>
      <c r="BW40" s="86" t="b">
        <f t="shared" si="30"/>
        <v>0</v>
      </c>
      <c r="BX40" s="86">
        <f t="shared" si="31"/>
        <v>0.5</v>
      </c>
      <c r="BY40" s="86">
        <f t="shared" si="32"/>
        <v>0.5</v>
      </c>
      <c r="BZ40" s="30" t="e">
        <f t="shared" ca="1" si="80"/>
        <v>#DIV/0!</v>
      </c>
      <c r="CA40" s="85" t="e">
        <f ca="1">IF(BG40&lt;=Hypothèses!$V$7,Hypothèses!$W$7,IF(BG40&lt;=Hypothèses!$V$8,Hypothèses!$W$8,IF(BG40&lt;=Hypothèses!$V$9,Hypothèses!$W$9,IF(BG40&lt;=Hypothèses!$V$10,Hypothèses!$W$10,IF(BG40&lt;=Hypothèses!$V$11,Hypothèses!$W$11,IF(BG40&lt;=Hypothèses!$V$12,Hypothèses!$W$12,IF(BG40&lt;=Hypothèses!$V$13,Hypothèses!$W$13,IF(BG40&lt;=Hypothèses!$V$14,Hypothèses!$W$14,IF(BG40&lt;=Hypothèses!$V$15,Hypothèses!$W$15,IF(BG40&lt;=Hypothèses!$V$16,Hypothèses!$W$16,IF(BG40&lt;=Hypothèses!$V$17,Hypothèses!$W$17,IF(BG40&lt;=Hypothèses!$V$18,Hypothèses!$W$18,""))))))))))))</f>
        <v>#DIV/0!</v>
      </c>
      <c r="CB40" s="87" t="e">
        <f t="shared" ca="1" si="119"/>
        <v>#DIV/0!</v>
      </c>
      <c r="CC40" s="88" t="e">
        <f ca="1">IF(BG40&lt;=Hypothèses!$V$7,Hypothèses!$X$7,IF(BG40&lt;=Hypothèses!$V$8,Hypothèses!$X$8,IF(BG40&lt;=Hypothèses!$V$9,Hypothèses!$X$9,IF(BG40&lt;=Hypothèses!$V$10,Hypothèses!$X$10,IF(BG40&lt;=Hypothèses!$V$11,Hypothèses!$X$11,IF(BG40&lt;=Hypothèses!$V$12,Hypothèses!$X$12,IF(BG40&lt;=Hypothèses!$V$13,Hypothèses!$X$13,IF(BG40&lt;=Hypothèses!$V$14,Hypothèses!$X$14,IF(BG40&lt;=Hypothèses!$V$15,Hypothèses!$X$15,IF(BG40&lt;=Hypothèses!$V$16,Hypothèses!$X$16,IF(BG40&lt;=Hypothèses!$U$17,Hypothèses!$W$17,IF(BG40&lt;=Hypothèses!$U$18,Hypothèses!$W$18,""))))))))))))</f>
        <v>#DIV/0!</v>
      </c>
      <c r="CD40" s="95" t="e">
        <f t="shared" ca="1" si="81"/>
        <v>#DIV/0!</v>
      </c>
      <c r="CE40" s="101">
        <f t="shared" si="126"/>
        <v>0</v>
      </c>
      <c r="CF40" s="91">
        <f t="shared" si="34"/>
        <v>0</v>
      </c>
      <c r="CG40" s="30" t="e">
        <f t="shared" si="106"/>
        <v>#N/A</v>
      </c>
      <c r="CH40" s="30" t="e">
        <f t="shared" si="107"/>
        <v>#N/A</v>
      </c>
      <c r="CI40" s="31" t="e">
        <f>IF(OR(Hypothèses!$B$4=17,Hypothèses!$B$4=18,Hypothèses!$B$4=19,Hypothèses!$B$4=20),
IF($D40="Pressio.",
IF(OR($E40=3,$E40=1,$E40=4),CH40,CG40),
IF($D40="Pénétro.",
IF(OR($E40=3,$E40=1,$E40=4),CH40,CG40))),IF($D40="Pressio.",
IF($E40=3,CH40,CG40),
IF($D40="Pénétro.",
IF($E40=4,CH40,CG40))))</f>
        <v>#N/A</v>
      </c>
      <c r="CJ40" s="31">
        <v>0</v>
      </c>
      <c r="CK40" s="102" t="e">
        <f>IF(NDC!$H$10="Oui",(VLOOKUP($B$3,'Coeff EC7'!$T$39:$X$59,2,0)*CI40+VLOOKUP($B$3,'Coeff EC7'!$T$65:$X$85,2,0)*Model0.1T!CJ40)/1.5,PI()*CG$12*$Q40*($B40-$B39)*0.15/10+CK39)</f>
        <v>#N/A</v>
      </c>
      <c r="CL40" s="102" t="e">
        <f>(VLOOKUP($B$3,'Coeff EC7'!$T$39:$X$59,3,0)*CI40+VLOOKUP($B$3,'Coeff EC7'!$T$65:$X$85,3,0)*Model0.1T!CJ40)/1.1</f>
        <v>#N/A</v>
      </c>
      <c r="CM40" s="102" t="e">
        <f t="shared" si="82"/>
        <v>#N/A</v>
      </c>
      <c r="CN40" s="102" t="e">
        <f t="shared" si="83"/>
        <v>#N/A</v>
      </c>
      <c r="CO40" s="414" t="e">
        <f>IF(AND(CK40&gt;NDC!$C$63,CL40&gt;NDC!$C$65,CM40&gt;NDC!$D$73,CN40&gt;NDC!$D$74,$B40&gt;NDC!$H$22-0.1+MIN(3*CO$12,1.5)),0,1)</f>
        <v>#N/A</v>
      </c>
      <c r="CP40" s="86" t="b">
        <f t="shared" si="37"/>
        <v>0</v>
      </c>
      <c r="CQ40" s="86">
        <f t="shared" si="38"/>
        <v>0.5</v>
      </c>
      <c r="CR40" s="86">
        <f t="shared" si="39"/>
        <v>0.5</v>
      </c>
      <c r="CS40" s="30" t="e">
        <f t="shared" ca="1" si="84"/>
        <v>#DIV/0!</v>
      </c>
      <c r="CT40" s="85" t="e">
        <f ca="1">IF(BZ40&lt;=Hypothèses!$V$7,Hypothèses!$W$7,IF(BZ40&lt;=Hypothèses!$V$8,Hypothèses!$W$8,IF(BZ40&lt;=Hypothèses!$V$9,Hypothèses!$W$9,IF(BZ40&lt;=Hypothèses!$V$10,Hypothèses!$W$10,IF(BZ40&lt;=Hypothèses!$V$11,Hypothèses!$W$11,IF(BZ40&lt;=Hypothèses!$V$12,Hypothèses!$W$12,IF(BZ40&lt;=Hypothèses!$V$13,Hypothèses!$W$13,IF(BZ40&lt;=Hypothèses!$V$14,Hypothèses!$W$14,IF(BZ40&lt;=Hypothèses!$V$15,Hypothèses!$W$15,IF(BZ40&lt;=Hypothèses!$V$16,Hypothèses!$W$16,IF(BZ40&lt;=Hypothèses!$V$17,Hypothèses!$W$17,IF(BZ40&lt;=Hypothèses!$V$18,Hypothèses!$W$18,""))))))))))))</f>
        <v>#DIV/0!</v>
      </c>
      <c r="CU40" s="87" t="e">
        <f t="shared" ca="1" si="120"/>
        <v>#DIV/0!</v>
      </c>
      <c r="CV40" s="88" t="e">
        <f ca="1">IF(BZ40&lt;=Hypothèses!$V$7,Hypothèses!$X$7,IF(BZ40&lt;=Hypothèses!$V$8,Hypothèses!$X$8,IF(BZ40&lt;=Hypothèses!$V$9,Hypothèses!$X$9,IF(BZ40&lt;=Hypothèses!$V$10,Hypothèses!$X$10,IF(BZ40&lt;=Hypothèses!$V$11,Hypothèses!$X$11,IF(BZ40&lt;=Hypothèses!$V$12,Hypothèses!$X$12,IF(BZ40&lt;=Hypothèses!$V$13,Hypothèses!$X$13,IF(BZ40&lt;=Hypothèses!$V$14,Hypothèses!$X$14,IF(BZ40&lt;=Hypothèses!$V$15,Hypothèses!$X$15,IF(BZ40&lt;=Hypothèses!$V$16,Hypothèses!$X$16,IF(BZ40&lt;=Hypothèses!$U$17,Hypothèses!$W$17,IF(BZ40&lt;=Hypothèses!$U$18,Hypothèses!$W$18,""))))))))))))</f>
        <v>#DIV/0!</v>
      </c>
      <c r="CW40" s="95" t="e">
        <f t="shared" ca="1" si="85"/>
        <v>#DIV/0!</v>
      </c>
      <c r="CX40" s="101">
        <f t="shared" si="127"/>
        <v>0</v>
      </c>
      <c r="CY40" s="91">
        <f t="shared" si="41"/>
        <v>0</v>
      </c>
      <c r="CZ40" s="30" t="e">
        <f t="shared" si="108"/>
        <v>#N/A</v>
      </c>
      <c r="DA40" s="30" t="e">
        <f t="shared" si="109"/>
        <v>#N/A</v>
      </c>
      <c r="DB40" s="31" t="e">
        <f>IF(OR(Hypothèses!$B$4=17,Hypothèses!$B$4=18,Hypothèses!$B$4=19,Hypothèses!$B$4=20),
IF($D40="Pressio.",
IF(OR($E40=3,$E40=1,$E40=4),DA40,CZ40),
IF($D40="Pénétro.",
IF(OR($E40=3,$E40=1,$E40=4),DA40,CZ40))),IF($D40="Pressio.",
IF($E40=3,DA40,CZ40),
IF($D40="Pénétro.",
IF($E40=4,DA40,CZ40))))</f>
        <v>#N/A</v>
      </c>
      <c r="DC40" s="31">
        <v>0</v>
      </c>
      <c r="DD40" s="102" t="e">
        <f>IF(NDC!$H$10="Oui",(VLOOKUP($B$3,'Coeff EC7'!$T$39:$X$59,2,0)*DB40+VLOOKUP($B$3,'Coeff EC7'!$T$65:$X$85,2,0)*Model0.1T!DC40)/1.5,PI()*CZ$12*$Q40*($B40-$B39)*0.15/10+DD39)</f>
        <v>#N/A</v>
      </c>
      <c r="DE40" s="102" t="e">
        <f>(VLOOKUP($B$3,'Coeff EC7'!$T$39:$X$59,3,0)*DB40+VLOOKUP($B$3,'Coeff EC7'!$T$65:$X$85,3,0)*Model0.1T!DC40)/1.1</f>
        <v>#N/A</v>
      </c>
      <c r="DF40" s="102" t="e">
        <f t="shared" si="86"/>
        <v>#N/A</v>
      </c>
      <c r="DG40" s="102" t="e">
        <f t="shared" si="87"/>
        <v>#N/A</v>
      </c>
      <c r="DH40" s="414" t="e">
        <f>IF(AND(DD40&gt;NDC!$C$63,DE40&gt;NDC!$C$65,DF40&gt;NDC!$D$73,DG40&gt;NDC!$D$74,$B40&gt;NDC!$H$22-0.1+MIN(3*DH$12,1.5)),0,1)</f>
        <v>#N/A</v>
      </c>
      <c r="DI40" s="86" t="b">
        <f t="shared" si="44"/>
        <v>0</v>
      </c>
      <c r="DJ40" s="86">
        <f t="shared" si="45"/>
        <v>0.5</v>
      </c>
      <c r="DK40" s="86">
        <f t="shared" si="46"/>
        <v>0.5</v>
      </c>
      <c r="DL40" s="30" t="e">
        <f t="shared" ca="1" si="88"/>
        <v>#DIV/0!</v>
      </c>
      <c r="DM40" s="85" t="e">
        <f ca="1">IF(CS40&lt;=Hypothèses!$V$7,Hypothèses!$W$7,IF(CS40&lt;=Hypothèses!$V$8,Hypothèses!$W$8,IF(CS40&lt;=Hypothèses!$V$9,Hypothèses!$W$9,IF(CS40&lt;=Hypothèses!$V$10,Hypothèses!$W$10,IF(CS40&lt;=Hypothèses!$V$11,Hypothèses!$W$11,IF(CS40&lt;=Hypothèses!$V$12,Hypothèses!$W$12,IF(CS40&lt;=Hypothèses!$V$13,Hypothèses!$W$13,IF(CS40&lt;=Hypothèses!$V$14,Hypothèses!$W$14,IF(CS40&lt;=Hypothèses!$V$15,Hypothèses!$W$15,IF(CS40&lt;=Hypothèses!$V$16,Hypothèses!$W$16,IF(CS40&lt;=Hypothèses!$V$17,Hypothèses!$W$17,IF(CS40&lt;=Hypothèses!$V$18,Hypothèses!$W$18,""))))))))))))</f>
        <v>#DIV/0!</v>
      </c>
      <c r="DN40" s="87" t="e">
        <f t="shared" ca="1" si="121"/>
        <v>#DIV/0!</v>
      </c>
      <c r="DO40" s="88" t="e">
        <f ca="1">IF(CS40&lt;=Hypothèses!$V$7,Hypothèses!$X$7,IF(CS40&lt;=Hypothèses!$V$8,Hypothèses!$X$8,IF(CS40&lt;=Hypothèses!$V$9,Hypothèses!$X$9,IF(CS40&lt;=Hypothèses!$V$10,Hypothèses!$X$10,IF(CS40&lt;=Hypothèses!$V$11,Hypothèses!$X$11,IF(CS40&lt;=Hypothèses!$V$12,Hypothèses!$X$12,IF(CS40&lt;=Hypothèses!$V$13,Hypothèses!$X$13,IF(CS40&lt;=Hypothèses!$V$14,Hypothèses!$X$14,IF(CS40&lt;=Hypothèses!$V$15,Hypothèses!$X$15,IF(CS40&lt;=Hypothèses!$V$16,Hypothèses!$X$16,IF(CS40&lt;=Hypothèses!$U$17,Hypothèses!$W$17,IF(CS40&lt;=Hypothèses!$U$18,Hypothèses!$W$18,""))))))))))))</f>
        <v>#DIV/0!</v>
      </c>
      <c r="DP40" s="95" t="e">
        <f t="shared" ca="1" si="89"/>
        <v>#DIV/0!</v>
      </c>
      <c r="DQ40" s="101">
        <f t="shared" si="128"/>
        <v>0</v>
      </c>
      <c r="DR40" s="91">
        <f t="shared" si="48"/>
        <v>0</v>
      </c>
      <c r="DS40" s="30" t="e">
        <f t="shared" si="110"/>
        <v>#N/A</v>
      </c>
      <c r="DT40" s="30" t="e">
        <f t="shared" si="111"/>
        <v>#N/A</v>
      </c>
      <c r="DU40" s="31" t="e">
        <f>IF(OR(Hypothèses!$B$4=17,Hypothèses!$B$4=18,Hypothèses!$B$4=19,Hypothèses!$B$4=20),
IF($D40="Pressio.",
IF(OR($E40=3,$E40=1,$E40=4),DT40,DS40),
IF($D40="Pénétro.",
IF(OR($E40=3,$E40=1,$E40=4),DT40,DS40))),IF($D40="Pressio.",
IF($E40=3,DT40,DS40),
IF($D40="Pénétro.",
IF($E40=4,DT40,DS40))))</f>
        <v>#N/A</v>
      </c>
      <c r="DV40" s="31">
        <v>0</v>
      </c>
      <c r="DW40" s="102" t="e">
        <f>IF(NDC!$H$10="Oui",(VLOOKUP($B$3,'Coeff EC7'!$T$39:$X$59,2,0)*DU40+VLOOKUP($B$3,'Coeff EC7'!$T$65:$X$85,2,0)*Model0.1T!DV40)/1.5,PI()*DS$12*$Q40*($B40-$B39)*0.15/10+DW39)</f>
        <v>#N/A</v>
      </c>
      <c r="DX40" s="102" t="e">
        <f>(VLOOKUP($B$3,'Coeff EC7'!$T$39:$X$59,3,0)*DU40+VLOOKUP($B$3,'Coeff EC7'!$T$65:$X$85,3,0)*Model0.1T!DV40)/1.1</f>
        <v>#N/A</v>
      </c>
      <c r="DY40" s="102" t="e">
        <f t="shared" si="90"/>
        <v>#N/A</v>
      </c>
      <c r="DZ40" s="102" t="e">
        <f t="shared" si="91"/>
        <v>#N/A</v>
      </c>
      <c r="EA40" s="414" t="e">
        <f>IF(AND(DW40&gt;NDC!$C$63,DX40&gt;NDC!$C$65,DY40&gt;NDC!$D$73,DZ40&gt;NDC!$D$74,$B40&gt;NDC!$H$22-0.1+MIN(3*EA$12,1.5)),0,1)</f>
        <v>#N/A</v>
      </c>
      <c r="EB40" s="86" t="b">
        <f t="shared" si="51"/>
        <v>0</v>
      </c>
      <c r="EC40" s="418">
        <f t="shared" si="52"/>
        <v>0.51</v>
      </c>
      <c r="ED40" s="86">
        <f t="shared" si="53"/>
        <v>0.51</v>
      </c>
      <c r="EE40" s="30" t="e">
        <f t="shared" ca="1" si="92"/>
        <v>#DIV/0!</v>
      </c>
      <c r="EF40" s="85" t="e">
        <f ca="1">IF(DL40&lt;=Hypothèses!$V$7,Hypothèses!$W$7,IF(DL40&lt;=Hypothèses!$V$8,Hypothèses!$W$8,IF(DL40&lt;=Hypothèses!$V$9,Hypothèses!$W$9,IF(DL40&lt;=Hypothèses!$V$10,Hypothèses!$W$10,IF(DL40&lt;=Hypothèses!$V$11,Hypothèses!$W$11,IF(DL40&lt;=Hypothèses!$V$12,Hypothèses!$W$12,IF(DL40&lt;=Hypothèses!$V$13,Hypothèses!$W$13,IF(DL40&lt;=Hypothèses!$V$14,Hypothèses!$W$14,IF(DL40&lt;=Hypothèses!$V$15,Hypothèses!$W$15,IF(DL40&lt;=Hypothèses!$V$16,Hypothèses!$W$16,IF(DL40&lt;=Hypothèses!$V$17,Hypothèses!$W$17,IF(DL40&lt;=Hypothèses!$V$18,Hypothèses!$W$18,""))))))))))))</f>
        <v>#DIV/0!</v>
      </c>
      <c r="EG40" s="87" t="e">
        <f t="shared" ca="1" si="122"/>
        <v>#DIV/0!</v>
      </c>
      <c r="EH40" s="88" t="e">
        <f ca="1">IF(DL40&lt;=Hypothèses!$V$7,Hypothèses!$X$7,IF(DL40&lt;=Hypothèses!$V$8,Hypothèses!$X$8,IF(DL40&lt;=Hypothèses!$V$9,Hypothèses!$X$9,IF(DL40&lt;=Hypothèses!$V$10,Hypothèses!$X$10,IF(DL40&lt;=Hypothèses!$V$11,Hypothèses!$X$11,IF(DL40&lt;=Hypothèses!$V$12,Hypothèses!$X$12,IF(DL40&lt;=Hypothèses!$V$13,Hypothèses!$X$13,IF(DL40&lt;=Hypothèses!$V$14,Hypothèses!$X$14,IF(DL40&lt;=Hypothèses!$V$15,Hypothèses!$X$15,IF(DL40&lt;=Hypothèses!$V$16,Hypothèses!$X$16,IF(DL40&lt;=Hypothèses!$U$17,Hypothèses!$W$17,IF(DL40&lt;=Hypothèses!$U$18,Hypothèses!$W$18,""))))))))))))</f>
        <v>#DIV/0!</v>
      </c>
      <c r="EI40" s="95" t="e">
        <f t="shared" ca="1" si="93"/>
        <v>#DIV/0!</v>
      </c>
      <c r="EJ40" s="101">
        <f t="shared" si="129"/>
        <v>0</v>
      </c>
      <c r="EK40" s="91">
        <f t="shared" si="55"/>
        <v>0</v>
      </c>
      <c r="EL40" s="30" t="e">
        <f t="shared" si="112"/>
        <v>#N/A</v>
      </c>
      <c r="EM40" s="30" t="e">
        <f t="shared" si="113"/>
        <v>#N/A</v>
      </c>
      <c r="EN40" s="31" t="e">
        <f>IF(OR(Hypothèses!$B$4=17,Hypothèses!$B$4=18,Hypothèses!$B$4=19,Hypothèses!$B$4=20),
IF($D40="Pressio.",
IF(OR($E40=3,$E40=1,$E40=4),EM40,EL40),
IF($D40="Pénétro.",
IF(OR($E40=3,$E40=1,$E40=4),EM40,EL40))),IF($D40="Pressio.",
IF($E40=3,EM40,EL40),
IF($D40="Pénétro.",
IF($E40=4,EM40,EL40))))</f>
        <v>#N/A</v>
      </c>
      <c r="EO40" s="31">
        <v>0</v>
      </c>
      <c r="EP40" s="102" t="e">
        <f>IF(NDC!$H$10="Oui",(VLOOKUP($B$3,'Coeff EC7'!$T$39:$X$59,2,0)*EN40+VLOOKUP($B$3,'Coeff EC7'!$T$65:$X$85,2,0)*Model0.1T!EO40)/1.5,PI()*EL$12*$Q40*($B40-$B39)*0.15/10+EP39)</f>
        <v>#N/A</v>
      </c>
      <c r="EQ40" s="102" t="e">
        <f>(VLOOKUP($B$3,'Coeff EC7'!$T$39:$X$59,3,0)*EN40+VLOOKUP($B$3,'Coeff EC7'!$T$65:$X$85,3,0)*Model0.1T!EO40)/1.1</f>
        <v>#N/A</v>
      </c>
      <c r="ER40" s="102" t="e">
        <f t="shared" si="94"/>
        <v>#N/A</v>
      </c>
      <c r="ES40" s="102" t="e">
        <f t="shared" si="95"/>
        <v>#N/A</v>
      </c>
      <c r="ET40" s="414" t="e">
        <f>IF(AND(EP40&gt;NDC!$C$63,EQ40&gt;NDC!$C$65,ER40&gt;NDC!$D$73,ES40&gt;NDC!$D$74,$B40&gt;NDC!$H$22-0.1+MIN(3*ET$12,1.5)),0,1)</f>
        <v>#N/A</v>
      </c>
      <c r="EU40" s="86" t="b">
        <f t="shared" si="58"/>
        <v>0</v>
      </c>
      <c r="EV40" s="86">
        <f t="shared" si="59"/>
        <v>0.61</v>
      </c>
      <c r="EW40" s="86">
        <f t="shared" si="60"/>
        <v>0.61</v>
      </c>
      <c r="EX40" s="30" t="e">
        <f t="shared" ca="1" si="96"/>
        <v>#DIV/0!</v>
      </c>
      <c r="EY40" s="85" t="e">
        <f ca="1">IF(EE40&lt;=Hypothèses!$V$7,Hypothèses!$W$7,IF(EE40&lt;=Hypothèses!$V$8,Hypothèses!$W$8,IF(EE40&lt;=Hypothèses!$V$9,Hypothèses!$W$9,IF(EE40&lt;=Hypothèses!$V$10,Hypothèses!$W$10,IF(EE40&lt;=Hypothèses!$V$11,Hypothèses!$W$11,IF(EE40&lt;=Hypothèses!$V$12,Hypothèses!$W$12,IF(EE40&lt;=Hypothèses!$V$13,Hypothèses!$W$13,IF(EE40&lt;=Hypothèses!$V$14,Hypothèses!$W$14,IF(EE40&lt;=Hypothèses!$V$15,Hypothèses!$W$15,IF(EE40&lt;=Hypothèses!$V$16,Hypothèses!$W$16,IF(EE40&lt;=Hypothèses!$V$17,Hypothèses!$W$17,IF(EE40&lt;=Hypothèses!$V$18,Hypothèses!$W$18,""))))))))))))</f>
        <v>#DIV/0!</v>
      </c>
      <c r="EZ40" s="87" t="e">
        <f t="shared" ca="1" si="123"/>
        <v>#DIV/0!</v>
      </c>
      <c r="FA40" s="88" t="e">
        <f ca="1">IF(EE40&lt;=Hypothèses!$V$7,Hypothèses!$X$7,IF(EE40&lt;=Hypothèses!$V$8,Hypothèses!$X$8,IF(EE40&lt;=Hypothèses!$V$9,Hypothèses!$X$9,IF(EE40&lt;=Hypothèses!$V$10,Hypothèses!$X$10,IF(EE40&lt;=Hypothèses!$V$11,Hypothèses!$X$11,IF(EE40&lt;=Hypothèses!$V$12,Hypothèses!$X$12,IF(EE40&lt;=Hypothèses!$V$13,Hypothèses!$X$13,IF(EE40&lt;=Hypothèses!$V$14,Hypothèses!$X$14,IF(EE40&lt;=Hypothèses!$V$15,Hypothèses!$X$15,IF(EE40&lt;=Hypothèses!$V$16,Hypothèses!$X$16,IF(EE40&lt;=Hypothèses!$U$17,Hypothèses!$W$17,IF(EE40&lt;=Hypothèses!$U$18,Hypothèses!$W$18,""))))))))))))</f>
        <v>#DIV/0!</v>
      </c>
      <c r="FB40" s="95" t="e">
        <f t="shared" ca="1" si="97"/>
        <v>#DIV/0!</v>
      </c>
      <c r="FC40" s="101">
        <f t="shared" si="130"/>
        <v>0</v>
      </c>
      <c r="FD40" s="91">
        <f t="shared" si="62"/>
        <v>0</v>
      </c>
      <c r="FE40" s="30" t="e">
        <f t="shared" si="114"/>
        <v>#N/A</v>
      </c>
      <c r="FF40" s="30" t="e">
        <f t="shared" si="115"/>
        <v>#N/A</v>
      </c>
      <c r="FG40" s="31" t="e">
        <f>IF(OR(Hypothèses!$B$4=17,Hypothèses!$B$4=18,Hypothèses!$B$4=19,Hypothèses!$B$4=20),
IF($D40="Pressio.",
IF(OR($E40=3,$E40=1,$E40=4),FF40,FE40),
IF($D40="Pénétro.",
IF(OR($E40=3,$E40=1,$E40=4),FF40,FE40))),IF($D40="Pressio.",
IF($E40=3,FF40,FE40),
IF($D40="Pénétro.",
IF($E40=4,FF40,FE40))))</f>
        <v>#N/A</v>
      </c>
      <c r="FH40" s="31">
        <v>0</v>
      </c>
      <c r="FI40" s="102" t="e">
        <f>IF(NDC!$H$10="Oui",(VLOOKUP($B$3,'Coeff EC7'!$T$39:$X$59,2,0)*FG40+VLOOKUP($B$3,'Coeff EC7'!$T$65:$X$85,2,0)*Model0.1T!FH40)/1.5,PI()*FE$12*$Q40*($B40-$B39)*0.15/10+FI39)</f>
        <v>#N/A</v>
      </c>
      <c r="FJ40" s="102" t="e">
        <f>(VLOOKUP($B$3,'Coeff EC7'!$T$39:$X$59,3,0)*FG40+VLOOKUP($B$3,'Coeff EC7'!$T$65:$X$85,3,0)*Model0.1T!FH40)/1.1</f>
        <v>#N/A</v>
      </c>
      <c r="FK40" s="102" t="e">
        <f t="shared" si="98"/>
        <v>#N/A</v>
      </c>
      <c r="FL40" s="102" t="e">
        <f t="shared" si="99"/>
        <v>#N/A</v>
      </c>
      <c r="FM40" s="414" t="e">
        <f>IF(AND(FI40&gt;NDC!$C$63,FJ40&gt;NDC!$C$65,FK40&gt;NDC!$D$73,FL40&gt;NDC!$D$74,$B40&gt;NDC!$H$22-0.1+MIN(3*FM$12,1.5)),0,1)</f>
        <v>#N/A</v>
      </c>
    </row>
    <row r="41" spans="1:169">
      <c r="A41" s="96">
        <f t="shared" si="65"/>
        <v>97.200000000000159</v>
      </c>
      <c r="B41" s="97">
        <v>2.8</v>
      </c>
      <c r="C41" s="81">
        <f>IF(B41&lt;=Hypothèses!$C$7,Hypothèses!$A$7,IF(B41&lt;=Hypothèses!$C$8,Hypothèses!$A$8,IF(B41&lt;=Hypothèses!$C$9,Hypothèses!$A$9,IF(B41&lt;=Hypothèses!$C$10,Hypothèses!$A$10,IF(B41&lt;=Hypothèses!$C$11,Hypothèses!$A$11,IF(B41&lt;=Hypothèses!$C$12,Hypothèses!$A$12,IF(B41&lt;=Hypothèses!$C$13,Hypothèses!$A$13,IF(B41&lt;=Hypothèses!$C$14,Hypothèses!$A$14,IF(B41&lt;=Hypothèses!$C$15,Hypothèses!$A$15,IF(B41&lt;=Hypothèses!$C$16,Hypothèses!$A$16,IF(B41&lt;=Hypothèses!$C$17,Hypothèses!$A$17,IF(B41&lt;=Hypothèses!$C$18,Hypothèses!$A$18,C40))))))))))))</f>
        <v>11</v>
      </c>
      <c r="D41" s="82" t="str">
        <f>IF(B41&lt;=Hypothèses!$C$7,Hypothèses!$R$7,IF(B41&lt;=Hypothèses!$C$8,Hypothèses!$R$8,IF(B41&lt;=Hypothèses!$C$9,Hypothèses!$R$9,IF(B41&lt;=Hypothèses!$C$10,Hypothèses!$R$10,IF(B41&lt;=Hypothèses!$C$11,Hypothèses!$R$11,IF(B41&lt;=Hypothèses!$C$12,Hypothèses!$R$12,IF(B41&lt;=Hypothèses!$C$13,Hypothèses!$R$13,IF(B41&lt;=Hypothèses!$C$14,Hypothèses!$R$14,IF(B41&lt;=Hypothèses!$C$15,Hypothèses!$R$15,IF(B41&lt;=Hypothèses!$C$16,Hypothèses!$R$16,IF(B41&lt;=Hypothèses!$C$17,Hypothèses!$R$17,IF(B41&lt;=Hypothèses!$C$18,Hypothèses!$R$18,D40))))))))))))</f>
        <v>Pressio.</v>
      </c>
      <c r="E41" s="82" t="e">
        <f>IF(B41&lt;=Hypothèses!$C$7,Hypothèses!$G$7,IF(B41&lt;=Hypothèses!$C$8,Hypothèses!$G$8,IF(B41&lt;=Hypothèses!$C$9,Hypothèses!$G$9,IF(B41&lt;=Hypothèses!$C$10,Hypothèses!$G$10,IF(B41&lt;=Hypothèses!$C$11,Hypothèses!$G$11,IF(B41&lt;=Hypothèses!$C$12,Hypothèses!$G$12,IF(B41&lt;=Hypothèses!$C$13,Hypothèses!$G$13,IF(B41&lt;=Hypothèses!$C$14,Hypothèses!$G$14,IF(B41&lt;=Hypothèses!$C$15,Hypothèses!$G$15,IF(B41&lt;=Hypothèses!$C$16,Hypothèses!$G$16,IF(B41&lt;=Hypothèses!$C$17,Hypothèses!$G$17,IF(B41&lt;=Hypothèses!$C$18,Hypothèses!$G$18,E40))))))))))))</f>
        <v>#N/A</v>
      </c>
      <c r="F41" s="82" t="str">
        <f>IF(B41&lt;=Hypothèses!$C$7,Hypothèses!$F$7,IF(B41&lt;=Hypothèses!$C$8,Hypothèses!$F$8,IF(B41&lt;=Hypothèses!$C$9,Hypothèses!$F$9,IF(B41&lt;=Hypothèses!$C$10,Hypothèses!$F$10,IF(B41&lt;=Hypothèses!$C$11,Hypothèses!$F$11,IF(B41&lt;=Hypothèses!$C$12,Hypothèses!$F$12,IF(B41&lt;=Hypothèses!$C$13,Hypothèses!$F$13,IF(B41&lt;=Hypothèses!$C$14,Hypothèses!$F$14,IF(B41&lt;=Hypothèses!$C$15,Hypothèses!$F$15,IF(B41&lt;=Hypothèses!$C$16,Hypothèses!$F$16,IF(B41&lt;=Hypothèses!$C$17,Hypothèses!$F$17,IF(B41&lt;=Hypothèses!$C$18,Hypothèses!$F$18,F40))))))))))))</f>
        <v/>
      </c>
      <c r="G41" s="91">
        <f t="array" ref="G41">INDEX('Coeff EC7'!$U$7:$X$27,
MATCH(Model0.1T!$B$3,'Coeff EC7'!$T$7:$T$27,0),
MATCH(Model0.1T!$D41&amp;Model0.1T!$B$4,
'Coeff EC7'!$U$6:$X$6&amp;
'Coeff EC7'!$U$5:$X$5,0))</f>
        <v>1.4</v>
      </c>
      <c r="H41" s="91">
        <f t="array" ref="H41">INDEX('Coeff EC7'!$Y$7:$AB$27,
MATCH(Model0.1T!$B$3,'Coeff EC7'!$T$7:$T$27,0),
MATCH(Model0.1T!$D41&amp;Model0.1T!$B$4,
'Coeff EC7'!$Y$6:$AB$6&amp;
'Coeff EC7'!$Y$5:$AB$5,0))</f>
        <v>1.7</v>
      </c>
      <c r="I41" s="83">
        <v>0</v>
      </c>
      <c r="J41" s="91" t="e">
        <f t="array" ref="J41">INDEX('Coeff EC7'!$D$33:$Q$33,1,MATCH(D41&amp;E41,'Coeff EC7'!$D$31:$Q$31&amp;'Coeff EC7'!$D$32:$Q$32,0))</f>
        <v>#N/A</v>
      </c>
      <c r="K41" s="91" t="e">
        <f t="array" ref="K41">INDEX('Coeff EC7'!$D$34:$Q$34,1,MATCH(D41&amp;E41,'Coeff EC7'!$D$31:$Q$31&amp;'Coeff EC7'!$D$32:$Q$32,0))</f>
        <v>#N/A</v>
      </c>
      <c r="L41" s="91" t="e">
        <f t="array" ref="L41">INDEX('Coeff EC7'!$D$35:$Q$35,1,MATCH(D41&amp;E41,'Coeff EC7'!$D$31:$Q$31&amp;'Coeff EC7'!$D$32:$Q$32,0))</f>
        <v>#N/A</v>
      </c>
      <c r="M41" s="98" t="e">
        <f t="shared" si="8"/>
        <v>#N/A</v>
      </c>
      <c r="N41" s="99" t="e">
        <f t="array" ref="N41">INDEX('Coeff EC7'!$D$7:$Q$27,MATCH($B$3,'Coeff EC7'!$C$7:$C$27,0),MATCH(D41&amp;E41,'Coeff EC7'!$D$5:$Q$5&amp;'Coeff EC7'!$D$6:$Q$6,0))</f>
        <v>#N/A</v>
      </c>
      <c r="O41" s="99" t="e">
        <f t="array" ref="O41">INDEX('Coeff EC7'!$D$41:$Q$61,MATCH($B$3,'Coeff EC7'!$C$41:$C$61,0),MATCH(D41&amp;E41,'Coeff EC7'!$D$39:$Q$39&amp;'Coeff EC7'!$D$40:$Q$40,0))</f>
        <v>#N/A</v>
      </c>
      <c r="P41" s="30" t="e">
        <f t="shared" si="66"/>
        <v>#N/A</v>
      </c>
      <c r="Q41" s="100" t="e">
        <f t="shared" si="10"/>
        <v>#N/A</v>
      </c>
      <c r="R41" s="86" t="b">
        <f t="shared" si="11"/>
        <v>0</v>
      </c>
      <c r="S41" s="86">
        <f t="shared" si="9"/>
        <v>0.5</v>
      </c>
      <c r="T41" s="86">
        <f t="shared" si="12"/>
        <v>0.5</v>
      </c>
      <c r="U41" s="30" t="e">
        <f t="shared" ca="1" si="67"/>
        <v>#DIV/0!</v>
      </c>
      <c r="V41" s="85" t="str">
        <f>IF(B41&lt;=Hypothèses!$V$7,Hypothèses!$W$7,IF(B41&lt;=Hypothèses!$V$8,Hypothèses!$W$8,IF(B41&lt;=Hypothèses!$V$9,Hypothèses!$W$9,IF(B41&lt;=Hypothèses!$V$10,Hypothèses!$W$10,IF(B41&lt;=Hypothèses!$V$11,Hypothèses!$W$11,IF(B41&lt;=Hypothèses!$V$12,Hypothèses!$W$12,IF(B41&lt;=Hypothèses!$V$13,Hypothèses!$W$13,IF(B41&lt;=Hypothèses!$V$14,Hypothèses!$W$14,IF(B41&lt;=Hypothèses!$V$15,Hypothèses!$W$15,IF(B41&lt;=Hypothèses!$V$16,Hypothèses!$W$16,IF(B41&lt;=Hypothèses!$V$17,Hypothèses!$W$17,IF(B41&lt;=Hypothèses!$V$18,Hypothèses!$W$18,""))))))))))))</f>
        <v/>
      </c>
      <c r="W41" s="87" t="e">
        <f t="shared" ca="1" si="116"/>
        <v>#DIV/0!</v>
      </c>
      <c r="X41" s="88" t="str">
        <f>IF(B41&lt;=Hypothèses!$V$7,Hypothèses!$X$7,IF(B41&lt;=Hypothèses!$V$8,Hypothèses!$X$8,IF(B41&lt;=Hypothèses!$V$9,Hypothèses!$X$9,IF(B41&lt;=Hypothèses!$V$10,Hypothèses!$X$10,IF(B41&lt;=Hypothèses!$V$11,Hypothèses!$X$11,IF(B41&lt;=Hypothèses!$V$12,Hypothèses!$X$12,IF(B41&lt;=Hypothèses!$V$13,Hypothèses!$X$13,IF(B41&lt;=Hypothèses!$V$14,Hypothèses!$X$14,IF(B41&lt;=Hypothèses!$V$15,Hypothèses!$X$15,IF(B41&lt;=Hypothèses!$V$16,Hypothèses!$X$16,IF(B41&lt;=Hypothèses!$U$17,Hypothèses!$W$17,IF(B41&lt;=Hypothèses!$U$18,Hypothèses!$W$18,""))))))))))))</f>
        <v/>
      </c>
      <c r="Y41" s="95" t="e">
        <f t="shared" ca="1" si="13"/>
        <v>#DIV/0!</v>
      </c>
      <c r="Z41" s="101">
        <f t="shared" si="14"/>
        <v>0</v>
      </c>
      <c r="AA41" s="91">
        <f t="shared" si="15"/>
        <v>0</v>
      </c>
      <c r="AB41" s="30" t="e">
        <f t="shared" si="100"/>
        <v>#N/A</v>
      </c>
      <c r="AC41" s="30" t="e">
        <f t="shared" si="101"/>
        <v>#N/A</v>
      </c>
      <c r="AD41" s="31" t="e">
        <f>IF(OR(Hypothèses!$B$4=17,Hypothèses!$B$4=18,Hypothèses!$B$4=19,Hypothèses!$B$4=20),
IF($D41="Pressio.",
IF(OR($E41=3,$E41=1,$E41=4),AC41,AB41),
IF($D41="Pénétro.",
IF(OR($E41=3,$E41=1,$E41=4),AC41,AB41))),IF($D41="Pressio.",
IF($E41=3,AC41,AB41),
IF($D41="Pénétro.",
IF($E41=4,AC41,AB41))))</f>
        <v>#N/A</v>
      </c>
      <c r="AE41" s="31">
        <v>0</v>
      </c>
      <c r="AF41" s="102" t="e">
        <f>IF(NDC!$H$10="Oui",(VLOOKUP($B$3,'Coeff EC7'!$T$39:$X$59,2,0)*AD41+VLOOKUP($B$3,'Coeff EC7'!$T$65:$X$85,2,0)*Model0.1T!AE41)/1.5,PI()*AB$12*$Q41*($B41-$B40)*0.15/10+AF40)</f>
        <v>#N/A</v>
      </c>
      <c r="AG41" s="102" t="e">
        <f>(VLOOKUP($B$3,'Coeff EC7'!$T$39:$X$59,3,0)*AD41+VLOOKUP($B$3,'Coeff EC7'!$T$65:$X$85,3,0)*Model0.1T!AE41)/1.1</f>
        <v>#N/A</v>
      </c>
      <c r="AH41" s="102" t="e">
        <f t="shared" si="68"/>
        <v>#N/A</v>
      </c>
      <c r="AI41" s="102" t="e">
        <f t="shared" si="69"/>
        <v>#N/A</v>
      </c>
      <c r="AJ41" s="414" t="e">
        <f>IF(AND(AF41&gt;NDC!$C$63,AG41&gt;NDC!$C$65,AH41&gt;NDC!$D$73,AI41&gt;NDC!$D$74,$B41&gt;NDC!$H$22-0.1+MIN(3*$AJ$12,1.5)),0,1)</f>
        <v>#N/A</v>
      </c>
      <c r="AK41" s="86" t="b">
        <f t="shared" si="18"/>
        <v>0</v>
      </c>
      <c r="AL41" s="86">
        <f t="shared" si="70"/>
        <v>0.5</v>
      </c>
      <c r="AM41" s="86">
        <f t="shared" si="19"/>
        <v>0.5</v>
      </c>
      <c r="AN41" s="30" t="e">
        <f t="shared" ca="1" si="71"/>
        <v>#DIV/0!</v>
      </c>
      <c r="AO41" s="85" t="e">
        <f ca="1">IF(U41&lt;=Hypothèses!$V$7,Hypothèses!$W$7,IF(U41&lt;=Hypothèses!$V$8,Hypothèses!$W$8,IF(U41&lt;=Hypothèses!$V$9,Hypothèses!$W$9,IF(U41&lt;=Hypothèses!$V$10,Hypothèses!$W$10,IF(U41&lt;=Hypothèses!$V$11,Hypothèses!$W$11,IF(U41&lt;=Hypothèses!$V$12,Hypothèses!$W$12,IF(U41&lt;=Hypothèses!$V$13,Hypothèses!$W$13,IF(U41&lt;=Hypothèses!$V$14,Hypothèses!$W$14,IF(U41&lt;=Hypothèses!$V$15,Hypothèses!$W$15,IF(U41&lt;=Hypothèses!$V$16,Hypothèses!$W$16,IF(U41&lt;=Hypothèses!$V$17,Hypothèses!$W$17,IF(U41&lt;=Hypothèses!$V$18,Hypothèses!$W$18,""))))))))))))</f>
        <v>#DIV/0!</v>
      </c>
      <c r="AP41" s="87" t="e">
        <f t="shared" ca="1" si="117"/>
        <v>#DIV/0!</v>
      </c>
      <c r="AQ41" s="88" t="e">
        <f ca="1">IF(U41&lt;=Hypothèses!$V$7,Hypothèses!$X$7,IF(U41&lt;=Hypothèses!$V$8,Hypothèses!$X$8,IF(U41&lt;=Hypothèses!$V$9,Hypothèses!$X$9,IF(U41&lt;=Hypothèses!$V$10,Hypothèses!$X$10,IF(U41&lt;=Hypothèses!$V$11,Hypothèses!$X$11,IF(U41&lt;=Hypothèses!$V$12,Hypothèses!$X$12,IF(U41&lt;=Hypothèses!$V$13,Hypothèses!$X$13,IF(U41&lt;=Hypothèses!$V$14,Hypothèses!$X$14,IF(U41&lt;=Hypothèses!$V$15,Hypothèses!$X$15,IF(U41&lt;=Hypothèses!$V$16,Hypothèses!$X$16,IF(U41&lt;=Hypothèses!$U$17,Hypothèses!$W$17,IF(U41&lt;=Hypothèses!$U$18,Hypothèses!$W$18,""))))))))))))</f>
        <v>#DIV/0!</v>
      </c>
      <c r="AR41" s="95" t="e">
        <f t="shared" ca="1" si="72"/>
        <v>#DIV/0!</v>
      </c>
      <c r="AS41" s="101">
        <f t="shared" si="124"/>
        <v>0</v>
      </c>
      <c r="AT41" s="91">
        <f t="shared" si="21"/>
        <v>0</v>
      </c>
      <c r="AU41" s="30" t="e">
        <f t="shared" si="102"/>
        <v>#N/A</v>
      </c>
      <c r="AV41" s="30" t="e">
        <f t="shared" si="103"/>
        <v>#N/A</v>
      </c>
      <c r="AW41" s="31" t="e">
        <f>IF(OR(Hypothèses!$B$4=17,Hypothèses!$B$4=18,Hypothèses!$B$4=19,Hypothèses!$B$4=20),
IF($D41="Pressio.",
IF(OR($E41=3,$E41=1,$E41=4),AV41,AU41),
IF($D41="Pénétro.",
IF(OR($E41=3,$E41=1,$E41=4),AV41,AU41))),IF($D41="Pressio.",
IF($E41=3,AV41,AU41),
IF($D41="Pénétro.",
IF($E41=4,AV41,AU41))))</f>
        <v>#N/A</v>
      </c>
      <c r="AX41" s="31">
        <v>0</v>
      </c>
      <c r="AY41" s="102" t="e">
        <f>IF(NDC!$H$10="Oui",(VLOOKUP($B$3,'Coeff EC7'!$T$39:$X$59,2,0)*AW41+VLOOKUP($B$3,'Coeff EC7'!$T$65:$X$85,2,0)*Model0.1T!AX41)/1.5,PI()*AU$12*$Q41*($B41-$B40)*0.15/10+AY40)</f>
        <v>#N/A</v>
      </c>
      <c r="AZ41" s="102" t="e">
        <f>(VLOOKUP($B$3,'Coeff EC7'!$T$39:$X$59,3,0)*AW41+VLOOKUP($B$3,'Coeff EC7'!$T$65:$X$85,3,0)*Model0.1T!AX41)/1.1</f>
        <v>#N/A</v>
      </c>
      <c r="BA41" s="102" t="e">
        <f t="shared" si="73"/>
        <v>#N/A</v>
      </c>
      <c r="BB41" s="102" t="e">
        <f t="shared" si="74"/>
        <v>#N/A</v>
      </c>
      <c r="BC41" s="414" t="e">
        <f>IF(AND(AY41&gt;NDC!$C$63,AZ41&gt;NDC!$C$65,BA41&gt;NDC!$D$73,BB41&gt;NDC!$D$74,$B41&gt;NDC!$H$22-0.1+MIN(3*BC$12,1.5)),0,1)</f>
        <v>#N/A</v>
      </c>
      <c r="BD41" s="86" t="b">
        <f t="shared" si="24"/>
        <v>0</v>
      </c>
      <c r="BE41" s="86">
        <f t="shared" si="75"/>
        <v>0.5</v>
      </c>
      <c r="BF41" s="86">
        <f t="shared" si="25"/>
        <v>0.5</v>
      </c>
      <c r="BG41" s="30" t="e">
        <f t="shared" ca="1" si="76"/>
        <v>#DIV/0!</v>
      </c>
      <c r="BH41" s="85" t="e">
        <f ca="1">IF(AN41&lt;=Hypothèses!$V$7,Hypothèses!$W$7,IF(AN41&lt;=Hypothèses!$V$8,Hypothèses!$W$8,IF(AN41&lt;=Hypothèses!$V$9,Hypothèses!$W$9,IF(AN41&lt;=Hypothèses!$V$10,Hypothèses!$W$10,IF(AN41&lt;=Hypothèses!$V$11,Hypothèses!$W$11,IF(AN41&lt;=Hypothèses!$V$12,Hypothèses!$W$12,IF(AN41&lt;=Hypothèses!$V$13,Hypothèses!$W$13,IF(AN41&lt;=Hypothèses!$V$14,Hypothèses!$W$14,IF(AN41&lt;=Hypothèses!$V$15,Hypothèses!$W$15,IF(AN41&lt;=Hypothèses!$V$16,Hypothèses!$W$16,IF(AN41&lt;=Hypothèses!$V$17,Hypothèses!$W$17,IF(AN41&lt;=Hypothèses!$V$18,Hypothèses!$W$18,""))))))))))))</f>
        <v>#DIV/0!</v>
      </c>
      <c r="BI41" s="87" t="e">
        <f t="shared" ca="1" si="118"/>
        <v>#DIV/0!</v>
      </c>
      <c r="BJ41" s="88" t="e">
        <f ca="1">IF(AN41&lt;=Hypothèses!$V$7,Hypothèses!$X$7,IF(AN41&lt;=Hypothèses!$V$8,Hypothèses!$X$8,IF(AN41&lt;=Hypothèses!$V$9,Hypothèses!$X$9,IF(AN41&lt;=Hypothèses!$V$10,Hypothèses!$X$10,IF(AN41&lt;=Hypothèses!$V$11,Hypothèses!$X$11,IF(AN41&lt;=Hypothèses!$V$12,Hypothèses!$X$12,IF(AN41&lt;=Hypothèses!$V$13,Hypothèses!$X$13,IF(AN41&lt;=Hypothèses!$V$14,Hypothèses!$X$14,IF(AN41&lt;=Hypothèses!$V$15,Hypothèses!$X$15,IF(AN41&lt;=Hypothèses!$V$16,Hypothèses!$X$16,IF(AN41&lt;=Hypothèses!$U$17,Hypothèses!$W$17,IF(AN41&lt;=Hypothèses!$U$18,Hypothèses!$W$18,""))))))))))))</f>
        <v>#DIV/0!</v>
      </c>
      <c r="BK41" s="95" t="e">
        <f t="shared" ca="1" si="77"/>
        <v>#DIV/0!</v>
      </c>
      <c r="BL41" s="101">
        <f t="shared" si="125"/>
        <v>0</v>
      </c>
      <c r="BM41" s="91">
        <f t="shared" si="27"/>
        <v>0</v>
      </c>
      <c r="BN41" s="30" t="e">
        <f t="shared" si="104"/>
        <v>#N/A</v>
      </c>
      <c r="BO41" s="30" t="e">
        <f t="shared" si="105"/>
        <v>#N/A</v>
      </c>
      <c r="BP41" s="31" t="e">
        <f>IF(OR(Hypothèses!$B$4=17,Hypothèses!$B$4=18,Hypothèses!$B$4=19,Hypothèses!$B$4=20),
IF($D41="Pressio.",
IF(OR($E41=3,$E41=1,$E41=4),BO41,BN41),
IF($D41="Pénétro.",
IF(OR($E41=3,$E41=1,$E41=4),BO41,BN41))),IF($D41="Pressio.",
IF($E41=3,BO41,BN41),
IF($D41="Pénétro.",
IF($E41=4,BO41,BN41))))</f>
        <v>#N/A</v>
      </c>
      <c r="BQ41" s="31">
        <v>0</v>
      </c>
      <c r="BR41" s="102" t="e">
        <f>IF(NDC!$H$10="Oui",(VLOOKUP($B$3,'Coeff EC7'!$T$39:$X$59,2,0)*BP41+VLOOKUP($B$3,'Coeff EC7'!$T$65:$X$85,2,0)*Model0.1T!BQ41)/1.5,PI()*BN$12*$Q41*($B41-$B40)*0.15/10+BR40)</f>
        <v>#N/A</v>
      </c>
      <c r="BS41" s="102" t="e">
        <f>(VLOOKUP($B$3,'Coeff EC7'!$T$39:$X$59,3,0)*BP41+VLOOKUP($B$3,'Coeff EC7'!$T$65:$X$85,3,0)*Model0.1T!BQ41)/1.1</f>
        <v>#N/A</v>
      </c>
      <c r="BT41" s="102" t="e">
        <f t="shared" si="78"/>
        <v>#N/A</v>
      </c>
      <c r="BU41" s="102" t="e">
        <f t="shared" si="79"/>
        <v>#N/A</v>
      </c>
      <c r="BV41" s="414" t="e">
        <f>IF(AND(BR41&gt;NDC!$C$63,BS41&gt;NDC!$C$65,BT41&gt;NDC!$D$73,BU41&gt;NDC!$D$74,$B41&gt;NDC!$H$22-0.1+MIN(3*BV$12,1.5)),0,1)</f>
        <v>#N/A</v>
      </c>
      <c r="BW41" s="86" t="b">
        <f t="shared" si="30"/>
        <v>0</v>
      </c>
      <c r="BX41" s="86">
        <f t="shared" si="31"/>
        <v>0.5</v>
      </c>
      <c r="BY41" s="86">
        <f t="shared" si="32"/>
        <v>0.5</v>
      </c>
      <c r="BZ41" s="30" t="e">
        <f t="shared" ca="1" si="80"/>
        <v>#DIV/0!</v>
      </c>
      <c r="CA41" s="85" t="e">
        <f ca="1">IF(BG41&lt;=Hypothèses!$V$7,Hypothèses!$W$7,IF(BG41&lt;=Hypothèses!$V$8,Hypothèses!$W$8,IF(BG41&lt;=Hypothèses!$V$9,Hypothèses!$W$9,IF(BG41&lt;=Hypothèses!$V$10,Hypothèses!$W$10,IF(BG41&lt;=Hypothèses!$V$11,Hypothèses!$W$11,IF(BG41&lt;=Hypothèses!$V$12,Hypothèses!$W$12,IF(BG41&lt;=Hypothèses!$V$13,Hypothèses!$W$13,IF(BG41&lt;=Hypothèses!$V$14,Hypothèses!$W$14,IF(BG41&lt;=Hypothèses!$V$15,Hypothèses!$W$15,IF(BG41&lt;=Hypothèses!$V$16,Hypothèses!$W$16,IF(BG41&lt;=Hypothèses!$V$17,Hypothèses!$W$17,IF(BG41&lt;=Hypothèses!$V$18,Hypothèses!$W$18,""))))))))))))</f>
        <v>#DIV/0!</v>
      </c>
      <c r="CB41" s="87" t="e">
        <f t="shared" ca="1" si="119"/>
        <v>#DIV/0!</v>
      </c>
      <c r="CC41" s="88" t="e">
        <f ca="1">IF(BG41&lt;=Hypothèses!$V$7,Hypothèses!$X$7,IF(BG41&lt;=Hypothèses!$V$8,Hypothèses!$X$8,IF(BG41&lt;=Hypothèses!$V$9,Hypothèses!$X$9,IF(BG41&lt;=Hypothèses!$V$10,Hypothèses!$X$10,IF(BG41&lt;=Hypothèses!$V$11,Hypothèses!$X$11,IF(BG41&lt;=Hypothèses!$V$12,Hypothèses!$X$12,IF(BG41&lt;=Hypothèses!$V$13,Hypothèses!$X$13,IF(BG41&lt;=Hypothèses!$V$14,Hypothèses!$X$14,IF(BG41&lt;=Hypothèses!$V$15,Hypothèses!$X$15,IF(BG41&lt;=Hypothèses!$V$16,Hypothèses!$X$16,IF(BG41&lt;=Hypothèses!$U$17,Hypothèses!$W$17,IF(BG41&lt;=Hypothèses!$U$18,Hypothèses!$W$18,""))))))))))))</f>
        <v>#DIV/0!</v>
      </c>
      <c r="CD41" s="95" t="e">
        <f t="shared" ca="1" si="81"/>
        <v>#DIV/0!</v>
      </c>
      <c r="CE41" s="101">
        <f t="shared" si="126"/>
        <v>0</v>
      </c>
      <c r="CF41" s="91">
        <f t="shared" si="34"/>
        <v>0</v>
      </c>
      <c r="CG41" s="30" t="e">
        <f t="shared" si="106"/>
        <v>#N/A</v>
      </c>
      <c r="CH41" s="30" t="e">
        <f t="shared" si="107"/>
        <v>#N/A</v>
      </c>
      <c r="CI41" s="31" t="e">
        <f>IF(OR(Hypothèses!$B$4=17,Hypothèses!$B$4=18,Hypothèses!$B$4=19,Hypothèses!$B$4=20),
IF($D41="Pressio.",
IF(OR($E41=3,$E41=1,$E41=4),CH41,CG41),
IF($D41="Pénétro.",
IF(OR($E41=3,$E41=1,$E41=4),CH41,CG41))),IF($D41="Pressio.",
IF($E41=3,CH41,CG41),
IF($D41="Pénétro.",
IF($E41=4,CH41,CG41))))</f>
        <v>#N/A</v>
      </c>
      <c r="CJ41" s="31">
        <v>0</v>
      </c>
      <c r="CK41" s="102" t="e">
        <f>IF(NDC!$H$10="Oui",(VLOOKUP($B$3,'Coeff EC7'!$T$39:$X$59,2,0)*CI41+VLOOKUP($B$3,'Coeff EC7'!$T$65:$X$85,2,0)*Model0.1T!CJ41)/1.5,PI()*CG$12*$Q41*($B41-$B40)*0.15/10+CK40)</f>
        <v>#N/A</v>
      </c>
      <c r="CL41" s="102" t="e">
        <f>(VLOOKUP($B$3,'Coeff EC7'!$T$39:$X$59,3,0)*CI41+VLOOKUP($B$3,'Coeff EC7'!$T$65:$X$85,3,0)*Model0.1T!CJ41)/1.1</f>
        <v>#N/A</v>
      </c>
      <c r="CM41" s="102" t="e">
        <f t="shared" si="82"/>
        <v>#N/A</v>
      </c>
      <c r="CN41" s="102" t="e">
        <f t="shared" si="83"/>
        <v>#N/A</v>
      </c>
      <c r="CO41" s="414" t="e">
        <f>IF(AND(CK41&gt;NDC!$C$63,CL41&gt;NDC!$C$65,CM41&gt;NDC!$D$73,CN41&gt;NDC!$D$74,$B41&gt;NDC!$H$22-0.1+MIN(3*CO$12,1.5)),0,1)</f>
        <v>#N/A</v>
      </c>
      <c r="CP41" s="86" t="b">
        <f t="shared" si="37"/>
        <v>0</v>
      </c>
      <c r="CQ41" s="86">
        <f t="shared" si="38"/>
        <v>0.5</v>
      </c>
      <c r="CR41" s="86">
        <f t="shared" si="39"/>
        <v>0.5</v>
      </c>
      <c r="CS41" s="30" t="e">
        <f t="shared" ca="1" si="84"/>
        <v>#DIV/0!</v>
      </c>
      <c r="CT41" s="85" t="e">
        <f ca="1">IF(BZ41&lt;=Hypothèses!$V$7,Hypothèses!$W$7,IF(BZ41&lt;=Hypothèses!$V$8,Hypothèses!$W$8,IF(BZ41&lt;=Hypothèses!$V$9,Hypothèses!$W$9,IF(BZ41&lt;=Hypothèses!$V$10,Hypothèses!$W$10,IF(BZ41&lt;=Hypothèses!$V$11,Hypothèses!$W$11,IF(BZ41&lt;=Hypothèses!$V$12,Hypothèses!$W$12,IF(BZ41&lt;=Hypothèses!$V$13,Hypothèses!$W$13,IF(BZ41&lt;=Hypothèses!$V$14,Hypothèses!$W$14,IF(BZ41&lt;=Hypothèses!$V$15,Hypothèses!$W$15,IF(BZ41&lt;=Hypothèses!$V$16,Hypothèses!$W$16,IF(BZ41&lt;=Hypothèses!$V$17,Hypothèses!$W$17,IF(BZ41&lt;=Hypothèses!$V$18,Hypothèses!$W$18,""))))))))))))</f>
        <v>#DIV/0!</v>
      </c>
      <c r="CU41" s="87" t="e">
        <f t="shared" ca="1" si="120"/>
        <v>#DIV/0!</v>
      </c>
      <c r="CV41" s="88" t="e">
        <f ca="1">IF(BZ41&lt;=Hypothèses!$V$7,Hypothèses!$X$7,IF(BZ41&lt;=Hypothèses!$V$8,Hypothèses!$X$8,IF(BZ41&lt;=Hypothèses!$V$9,Hypothèses!$X$9,IF(BZ41&lt;=Hypothèses!$V$10,Hypothèses!$X$10,IF(BZ41&lt;=Hypothèses!$V$11,Hypothèses!$X$11,IF(BZ41&lt;=Hypothèses!$V$12,Hypothèses!$X$12,IF(BZ41&lt;=Hypothèses!$V$13,Hypothèses!$X$13,IF(BZ41&lt;=Hypothèses!$V$14,Hypothèses!$X$14,IF(BZ41&lt;=Hypothèses!$V$15,Hypothèses!$X$15,IF(BZ41&lt;=Hypothèses!$V$16,Hypothèses!$X$16,IF(BZ41&lt;=Hypothèses!$U$17,Hypothèses!$W$17,IF(BZ41&lt;=Hypothèses!$U$18,Hypothèses!$W$18,""))))))))))))</f>
        <v>#DIV/0!</v>
      </c>
      <c r="CW41" s="95" t="e">
        <f t="shared" ca="1" si="85"/>
        <v>#DIV/0!</v>
      </c>
      <c r="CX41" s="101">
        <f t="shared" si="127"/>
        <v>0</v>
      </c>
      <c r="CY41" s="91">
        <f t="shared" si="41"/>
        <v>0</v>
      </c>
      <c r="CZ41" s="30" t="e">
        <f t="shared" si="108"/>
        <v>#N/A</v>
      </c>
      <c r="DA41" s="30" t="e">
        <f t="shared" si="109"/>
        <v>#N/A</v>
      </c>
      <c r="DB41" s="31" t="e">
        <f>IF(OR(Hypothèses!$B$4=17,Hypothèses!$B$4=18,Hypothèses!$B$4=19,Hypothèses!$B$4=20),
IF($D41="Pressio.",
IF(OR($E41=3,$E41=1,$E41=4),DA41,CZ41),
IF($D41="Pénétro.",
IF(OR($E41=3,$E41=1,$E41=4),DA41,CZ41))),IF($D41="Pressio.",
IF($E41=3,DA41,CZ41),
IF($D41="Pénétro.",
IF($E41=4,DA41,CZ41))))</f>
        <v>#N/A</v>
      </c>
      <c r="DC41" s="31">
        <v>0</v>
      </c>
      <c r="DD41" s="102" t="e">
        <f>IF(NDC!$H$10="Oui",(VLOOKUP($B$3,'Coeff EC7'!$T$39:$X$59,2,0)*DB41+VLOOKUP($B$3,'Coeff EC7'!$T$65:$X$85,2,0)*Model0.1T!DC41)/1.5,PI()*CZ$12*$Q41*($B41-$B40)*0.15/10+DD40)</f>
        <v>#N/A</v>
      </c>
      <c r="DE41" s="102" t="e">
        <f>(VLOOKUP($B$3,'Coeff EC7'!$T$39:$X$59,3,0)*DB41+VLOOKUP($B$3,'Coeff EC7'!$T$65:$X$85,3,0)*Model0.1T!DC41)/1.1</f>
        <v>#N/A</v>
      </c>
      <c r="DF41" s="102" t="e">
        <f t="shared" si="86"/>
        <v>#N/A</v>
      </c>
      <c r="DG41" s="102" t="e">
        <f t="shared" si="87"/>
        <v>#N/A</v>
      </c>
      <c r="DH41" s="414" t="e">
        <f>IF(AND(DD41&gt;NDC!$C$63,DE41&gt;NDC!$C$65,DF41&gt;NDC!$D$73,DG41&gt;NDC!$D$74,$B41&gt;NDC!$H$22-0.1+MIN(3*DH$12,1.5)),0,1)</f>
        <v>#N/A</v>
      </c>
      <c r="DI41" s="86" t="b">
        <f t="shared" si="44"/>
        <v>0</v>
      </c>
      <c r="DJ41" s="86">
        <f t="shared" si="45"/>
        <v>0.5</v>
      </c>
      <c r="DK41" s="86">
        <f t="shared" si="46"/>
        <v>0.5</v>
      </c>
      <c r="DL41" s="30" t="e">
        <f t="shared" ca="1" si="88"/>
        <v>#DIV/0!</v>
      </c>
      <c r="DM41" s="85" t="e">
        <f ca="1">IF(CS41&lt;=Hypothèses!$V$7,Hypothèses!$W$7,IF(CS41&lt;=Hypothèses!$V$8,Hypothèses!$W$8,IF(CS41&lt;=Hypothèses!$V$9,Hypothèses!$W$9,IF(CS41&lt;=Hypothèses!$V$10,Hypothèses!$W$10,IF(CS41&lt;=Hypothèses!$V$11,Hypothèses!$W$11,IF(CS41&lt;=Hypothèses!$V$12,Hypothèses!$W$12,IF(CS41&lt;=Hypothèses!$V$13,Hypothèses!$W$13,IF(CS41&lt;=Hypothèses!$V$14,Hypothèses!$W$14,IF(CS41&lt;=Hypothèses!$V$15,Hypothèses!$W$15,IF(CS41&lt;=Hypothèses!$V$16,Hypothèses!$W$16,IF(CS41&lt;=Hypothèses!$V$17,Hypothèses!$W$17,IF(CS41&lt;=Hypothèses!$V$18,Hypothèses!$W$18,""))))))))))))</f>
        <v>#DIV/0!</v>
      </c>
      <c r="DN41" s="87" t="e">
        <f t="shared" ca="1" si="121"/>
        <v>#DIV/0!</v>
      </c>
      <c r="DO41" s="88" t="e">
        <f ca="1">IF(CS41&lt;=Hypothèses!$V$7,Hypothèses!$X$7,IF(CS41&lt;=Hypothèses!$V$8,Hypothèses!$X$8,IF(CS41&lt;=Hypothèses!$V$9,Hypothèses!$X$9,IF(CS41&lt;=Hypothèses!$V$10,Hypothèses!$X$10,IF(CS41&lt;=Hypothèses!$V$11,Hypothèses!$X$11,IF(CS41&lt;=Hypothèses!$V$12,Hypothèses!$X$12,IF(CS41&lt;=Hypothèses!$V$13,Hypothèses!$X$13,IF(CS41&lt;=Hypothèses!$V$14,Hypothèses!$X$14,IF(CS41&lt;=Hypothèses!$V$15,Hypothèses!$X$15,IF(CS41&lt;=Hypothèses!$V$16,Hypothèses!$X$16,IF(CS41&lt;=Hypothèses!$U$17,Hypothèses!$W$17,IF(CS41&lt;=Hypothèses!$U$18,Hypothèses!$W$18,""))))))))))))</f>
        <v>#DIV/0!</v>
      </c>
      <c r="DP41" s="95" t="e">
        <f t="shared" ca="1" si="89"/>
        <v>#DIV/0!</v>
      </c>
      <c r="DQ41" s="101">
        <f t="shared" si="128"/>
        <v>0</v>
      </c>
      <c r="DR41" s="91">
        <f t="shared" si="48"/>
        <v>0</v>
      </c>
      <c r="DS41" s="30" t="e">
        <f t="shared" si="110"/>
        <v>#N/A</v>
      </c>
      <c r="DT41" s="30" t="e">
        <f t="shared" si="111"/>
        <v>#N/A</v>
      </c>
      <c r="DU41" s="31" t="e">
        <f>IF(OR(Hypothèses!$B$4=17,Hypothèses!$B$4=18,Hypothèses!$B$4=19,Hypothèses!$B$4=20),
IF($D41="Pressio.",
IF(OR($E41=3,$E41=1,$E41=4),DT41,DS41),
IF($D41="Pénétro.",
IF(OR($E41=3,$E41=1,$E41=4),DT41,DS41))),IF($D41="Pressio.",
IF($E41=3,DT41,DS41),
IF($D41="Pénétro.",
IF($E41=4,DT41,DS41))))</f>
        <v>#N/A</v>
      </c>
      <c r="DV41" s="31">
        <v>0</v>
      </c>
      <c r="DW41" s="102" t="e">
        <f>IF(NDC!$H$10="Oui",(VLOOKUP($B$3,'Coeff EC7'!$T$39:$X$59,2,0)*DU41+VLOOKUP($B$3,'Coeff EC7'!$T$65:$X$85,2,0)*Model0.1T!DV41)/1.5,PI()*DS$12*$Q41*($B41-$B40)*0.15/10+DW40)</f>
        <v>#N/A</v>
      </c>
      <c r="DX41" s="102" t="e">
        <f>(VLOOKUP($B$3,'Coeff EC7'!$T$39:$X$59,3,0)*DU41+VLOOKUP($B$3,'Coeff EC7'!$T$65:$X$85,3,0)*Model0.1T!DV41)/1.1</f>
        <v>#N/A</v>
      </c>
      <c r="DY41" s="102" t="e">
        <f t="shared" si="90"/>
        <v>#N/A</v>
      </c>
      <c r="DZ41" s="102" t="e">
        <f t="shared" si="91"/>
        <v>#N/A</v>
      </c>
      <c r="EA41" s="414" t="e">
        <f>IF(AND(DW41&gt;NDC!$C$63,DX41&gt;NDC!$C$65,DY41&gt;NDC!$D$73,DZ41&gt;NDC!$D$74,$B41&gt;NDC!$H$22-0.1+MIN(3*EA$12,1.5)),0,1)</f>
        <v>#N/A</v>
      </c>
      <c r="EB41" s="86" t="b">
        <f t="shared" si="51"/>
        <v>0</v>
      </c>
      <c r="EC41" s="418">
        <f t="shared" si="52"/>
        <v>0.51</v>
      </c>
      <c r="ED41" s="86">
        <f t="shared" si="53"/>
        <v>0.51</v>
      </c>
      <c r="EE41" s="30" t="e">
        <f t="shared" ca="1" si="92"/>
        <v>#DIV/0!</v>
      </c>
      <c r="EF41" s="85" t="e">
        <f ca="1">IF(DL41&lt;=Hypothèses!$V$7,Hypothèses!$W$7,IF(DL41&lt;=Hypothèses!$V$8,Hypothèses!$W$8,IF(DL41&lt;=Hypothèses!$V$9,Hypothèses!$W$9,IF(DL41&lt;=Hypothèses!$V$10,Hypothèses!$W$10,IF(DL41&lt;=Hypothèses!$V$11,Hypothèses!$W$11,IF(DL41&lt;=Hypothèses!$V$12,Hypothèses!$W$12,IF(DL41&lt;=Hypothèses!$V$13,Hypothèses!$W$13,IF(DL41&lt;=Hypothèses!$V$14,Hypothèses!$W$14,IF(DL41&lt;=Hypothèses!$V$15,Hypothèses!$W$15,IF(DL41&lt;=Hypothèses!$V$16,Hypothèses!$W$16,IF(DL41&lt;=Hypothèses!$V$17,Hypothèses!$W$17,IF(DL41&lt;=Hypothèses!$V$18,Hypothèses!$W$18,""))))))))))))</f>
        <v>#DIV/0!</v>
      </c>
      <c r="EG41" s="87" t="e">
        <f t="shared" ca="1" si="122"/>
        <v>#DIV/0!</v>
      </c>
      <c r="EH41" s="88" t="e">
        <f ca="1">IF(DL41&lt;=Hypothèses!$V$7,Hypothèses!$X$7,IF(DL41&lt;=Hypothèses!$V$8,Hypothèses!$X$8,IF(DL41&lt;=Hypothèses!$V$9,Hypothèses!$X$9,IF(DL41&lt;=Hypothèses!$V$10,Hypothèses!$X$10,IF(DL41&lt;=Hypothèses!$V$11,Hypothèses!$X$11,IF(DL41&lt;=Hypothèses!$V$12,Hypothèses!$X$12,IF(DL41&lt;=Hypothèses!$V$13,Hypothèses!$X$13,IF(DL41&lt;=Hypothèses!$V$14,Hypothèses!$X$14,IF(DL41&lt;=Hypothèses!$V$15,Hypothèses!$X$15,IF(DL41&lt;=Hypothèses!$V$16,Hypothèses!$X$16,IF(DL41&lt;=Hypothèses!$U$17,Hypothèses!$W$17,IF(DL41&lt;=Hypothèses!$U$18,Hypothèses!$W$18,""))))))))))))</f>
        <v>#DIV/0!</v>
      </c>
      <c r="EI41" s="95" t="e">
        <f t="shared" ca="1" si="93"/>
        <v>#DIV/0!</v>
      </c>
      <c r="EJ41" s="101">
        <f t="shared" si="129"/>
        <v>0</v>
      </c>
      <c r="EK41" s="91">
        <f t="shared" si="55"/>
        <v>0</v>
      </c>
      <c r="EL41" s="30" t="e">
        <f t="shared" si="112"/>
        <v>#N/A</v>
      </c>
      <c r="EM41" s="30" t="e">
        <f t="shared" si="113"/>
        <v>#N/A</v>
      </c>
      <c r="EN41" s="31" t="e">
        <f>IF(OR(Hypothèses!$B$4=17,Hypothèses!$B$4=18,Hypothèses!$B$4=19,Hypothèses!$B$4=20),
IF($D41="Pressio.",
IF(OR($E41=3,$E41=1,$E41=4),EM41,EL41),
IF($D41="Pénétro.",
IF(OR($E41=3,$E41=1,$E41=4),EM41,EL41))),IF($D41="Pressio.",
IF($E41=3,EM41,EL41),
IF($D41="Pénétro.",
IF($E41=4,EM41,EL41))))</f>
        <v>#N/A</v>
      </c>
      <c r="EO41" s="31">
        <v>0</v>
      </c>
      <c r="EP41" s="102" t="e">
        <f>IF(NDC!$H$10="Oui",(VLOOKUP($B$3,'Coeff EC7'!$T$39:$X$59,2,0)*EN41+VLOOKUP($B$3,'Coeff EC7'!$T$65:$X$85,2,0)*Model0.1T!EO41)/1.5,PI()*EL$12*$Q41*($B41-$B40)*0.15/10+EP40)</f>
        <v>#N/A</v>
      </c>
      <c r="EQ41" s="102" t="e">
        <f>(VLOOKUP($B$3,'Coeff EC7'!$T$39:$X$59,3,0)*EN41+VLOOKUP($B$3,'Coeff EC7'!$T$65:$X$85,3,0)*Model0.1T!EO41)/1.1</f>
        <v>#N/A</v>
      </c>
      <c r="ER41" s="102" t="e">
        <f t="shared" si="94"/>
        <v>#N/A</v>
      </c>
      <c r="ES41" s="102" t="e">
        <f t="shared" si="95"/>
        <v>#N/A</v>
      </c>
      <c r="ET41" s="414" t="e">
        <f>IF(AND(EP41&gt;NDC!$C$63,EQ41&gt;NDC!$C$65,ER41&gt;NDC!$D$73,ES41&gt;NDC!$D$74,$B41&gt;NDC!$H$22-0.1+MIN(3*ET$12,1.5)),0,1)</f>
        <v>#N/A</v>
      </c>
      <c r="EU41" s="86" t="b">
        <f t="shared" si="58"/>
        <v>0</v>
      </c>
      <c r="EV41" s="86">
        <f t="shared" si="59"/>
        <v>0.61</v>
      </c>
      <c r="EW41" s="86">
        <f t="shared" si="60"/>
        <v>0.61</v>
      </c>
      <c r="EX41" s="30" t="e">
        <f t="shared" ca="1" si="96"/>
        <v>#DIV/0!</v>
      </c>
      <c r="EY41" s="85" t="e">
        <f ca="1">IF(EE41&lt;=Hypothèses!$V$7,Hypothèses!$W$7,IF(EE41&lt;=Hypothèses!$V$8,Hypothèses!$W$8,IF(EE41&lt;=Hypothèses!$V$9,Hypothèses!$W$9,IF(EE41&lt;=Hypothèses!$V$10,Hypothèses!$W$10,IF(EE41&lt;=Hypothèses!$V$11,Hypothèses!$W$11,IF(EE41&lt;=Hypothèses!$V$12,Hypothèses!$W$12,IF(EE41&lt;=Hypothèses!$V$13,Hypothèses!$W$13,IF(EE41&lt;=Hypothèses!$V$14,Hypothèses!$W$14,IF(EE41&lt;=Hypothèses!$V$15,Hypothèses!$W$15,IF(EE41&lt;=Hypothèses!$V$16,Hypothèses!$W$16,IF(EE41&lt;=Hypothèses!$V$17,Hypothèses!$W$17,IF(EE41&lt;=Hypothèses!$V$18,Hypothèses!$W$18,""))))))))))))</f>
        <v>#DIV/0!</v>
      </c>
      <c r="EZ41" s="87" t="e">
        <f t="shared" ca="1" si="123"/>
        <v>#DIV/0!</v>
      </c>
      <c r="FA41" s="88" t="e">
        <f ca="1">IF(EE41&lt;=Hypothèses!$V$7,Hypothèses!$X$7,IF(EE41&lt;=Hypothèses!$V$8,Hypothèses!$X$8,IF(EE41&lt;=Hypothèses!$V$9,Hypothèses!$X$9,IF(EE41&lt;=Hypothèses!$V$10,Hypothèses!$X$10,IF(EE41&lt;=Hypothèses!$V$11,Hypothèses!$X$11,IF(EE41&lt;=Hypothèses!$V$12,Hypothèses!$X$12,IF(EE41&lt;=Hypothèses!$V$13,Hypothèses!$X$13,IF(EE41&lt;=Hypothèses!$V$14,Hypothèses!$X$14,IF(EE41&lt;=Hypothèses!$V$15,Hypothèses!$X$15,IF(EE41&lt;=Hypothèses!$V$16,Hypothèses!$X$16,IF(EE41&lt;=Hypothèses!$U$17,Hypothèses!$W$17,IF(EE41&lt;=Hypothèses!$U$18,Hypothèses!$W$18,""))))))))))))</f>
        <v>#DIV/0!</v>
      </c>
      <c r="FB41" s="95" t="e">
        <f t="shared" ca="1" si="97"/>
        <v>#DIV/0!</v>
      </c>
      <c r="FC41" s="101">
        <f t="shared" si="130"/>
        <v>0</v>
      </c>
      <c r="FD41" s="91">
        <f t="shared" si="62"/>
        <v>0</v>
      </c>
      <c r="FE41" s="30" t="e">
        <f t="shared" si="114"/>
        <v>#N/A</v>
      </c>
      <c r="FF41" s="30" t="e">
        <f t="shared" si="115"/>
        <v>#N/A</v>
      </c>
      <c r="FG41" s="31" t="e">
        <f>IF(OR(Hypothèses!$B$4=17,Hypothèses!$B$4=18,Hypothèses!$B$4=19,Hypothèses!$B$4=20),
IF($D41="Pressio.",
IF(OR($E41=3,$E41=1,$E41=4),FF41,FE41),
IF($D41="Pénétro.",
IF(OR($E41=3,$E41=1,$E41=4),FF41,FE41))),IF($D41="Pressio.",
IF($E41=3,FF41,FE41),
IF($D41="Pénétro.",
IF($E41=4,FF41,FE41))))</f>
        <v>#N/A</v>
      </c>
      <c r="FH41" s="31">
        <v>0</v>
      </c>
      <c r="FI41" s="102" t="e">
        <f>IF(NDC!$H$10="Oui",(VLOOKUP($B$3,'Coeff EC7'!$T$39:$X$59,2,0)*FG41+VLOOKUP($B$3,'Coeff EC7'!$T$65:$X$85,2,0)*Model0.1T!FH41)/1.5,PI()*FE$12*$Q41*($B41-$B40)*0.15/10+FI40)</f>
        <v>#N/A</v>
      </c>
      <c r="FJ41" s="102" t="e">
        <f>(VLOOKUP($B$3,'Coeff EC7'!$T$39:$X$59,3,0)*FG41+VLOOKUP($B$3,'Coeff EC7'!$T$65:$X$85,3,0)*Model0.1T!FH41)/1.1</f>
        <v>#N/A</v>
      </c>
      <c r="FK41" s="102" t="e">
        <f t="shared" si="98"/>
        <v>#N/A</v>
      </c>
      <c r="FL41" s="102" t="e">
        <f t="shared" si="99"/>
        <v>#N/A</v>
      </c>
      <c r="FM41" s="414" t="e">
        <f>IF(AND(FI41&gt;NDC!$C$63,FJ41&gt;NDC!$C$65,FK41&gt;NDC!$D$73,FL41&gt;NDC!$D$74,$B41&gt;NDC!$H$22-0.1+MIN(3*FM$12,1.5)),0,1)</f>
        <v>#N/A</v>
      </c>
    </row>
    <row r="42" spans="1:169">
      <c r="A42" s="96">
        <f t="shared" si="65"/>
        <v>97.100000000000165</v>
      </c>
      <c r="B42" s="97">
        <v>2.9</v>
      </c>
      <c r="C42" s="81">
        <f>IF(B42&lt;=Hypothèses!$C$7,Hypothèses!$A$7,IF(B42&lt;=Hypothèses!$C$8,Hypothèses!$A$8,IF(B42&lt;=Hypothèses!$C$9,Hypothèses!$A$9,IF(B42&lt;=Hypothèses!$C$10,Hypothèses!$A$10,IF(B42&lt;=Hypothèses!$C$11,Hypothèses!$A$11,IF(B42&lt;=Hypothèses!$C$12,Hypothèses!$A$12,IF(B42&lt;=Hypothèses!$C$13,Hypothèses!$A$13,IF(B42&lt;=Hypothèses!$C$14,Hypothèses!$A$14,IF(B42&lt;=Hypothèses!$C$15,Hypothèses!$A$15,IF(B42&lt;=Hypothèses!$C$16,Hypothèses!$A$16,IF(B42&lt;=Hypothèses!$C$17,Hypothèses!$A$17,IF(B42&lt;=Hypothèses!$C$18,Hypothèses!$A$18,C41))))))))))))</f>
        <v>11</v>
      </c>
      <c r="D42" s="82" t="str">
        <f>IF(B42&lt;=Hypothèses!$C$7,Hypothèses!$R$7,IF(B42&lt;=Hypothèses!$C$8,Hypothèses!$R$8,IF(B42&lt;=Hypothèses!$C$9,Hypothèses!$R$9,IF(B42&lt;=Hypothèses!$C$10,Hypothèses!$R$10,IF(B42&lt;=Hypothèses!$C$11,Hypothèses!$R$11,IF(B42&lt;=Hypothèses!$C$12,Hypothèses!$R$12,IF(B42&lt;=Hypothèses!$C$13,Hypothèses!$R$13,IF(B42&lt;=Hypothèses!$C$14,Hypothèses!$R$14,IF(B42&lt;=Hypothèses!$C$15,Hypothèses!$R$15,IF(B42&lt;=Hypothèses!$C$16,Hypothèses!$R$16,IF(B42&lt;=Hypothèses!$C$17,Hypothèses!$R$17,IF(B42&lt;=Hypothèses!$C$18,Hypothèses!$R$18,D41))))))))))))</f>
        <v>Pressio.</v>
      </c>
      <c r="E42" s="82" t="e">
        <f>IF(B42&lt;=Hypothèses!$C$7,Hypothèses!$G$7,IF(B42&lt;=Hypothèses!$C$8,Hypothèses!$G$8,IF(B42&lt;=Hypothèses!$C$9,Hypothèses!$G$9,IF(B42&lt;=Hypothèses!$C$10,Hypothèses!$G$10,IF(B42&lt;=Hypothèses!$C$11,Hypothèses!$G$11,IF(B42&lt;=Hypothèses!$C$12,Hypothèses!$G$12,IF(B42&lt;=Hypothèses!$C$13,Hypothèses!$G$13,IF(B42&lt;=Hypothèses!$C$14,Hypothèses!$G$14,IF(B42&lt;=Hypothèses!$C$15,Hypothèses!$G$15,IF(B42&lt;=Hypothèses!$C$16,Hypothèses!$G$16,IF(B42&lt;=Hypothèses!$C$17,Hypothèses!$G$17,IF(B42&lt;=Hypothèses!$C$18,Hypothèses!$G$18,E41))))))))))))</f>
        <v>#N/A</v>
      </c>
      <c r="F42" s="82" t="str">
        <f>IF(B42&lt;=Hypothèses!$C$7,Hypothèses!$F$7,IF(B42&lt;=Hypothèses!$C$8,Hypothèses!$F$8,IF(B42&lt;=Hypothèses!$C$9,Hypothèses!$F$9,IF(B42&lt;=Hypothèses!$C$10,Hypothèses!$F$10,IF(B42&lt;=Hypothèses!$C$11,Hypothèses!$F$11,IF(B42&lt;=Hypothèses!$C$12,Hypothèses!$F$12,IF(B42&lt;=Hypothèses!$C$13,Hypothèses!$F$13,IF(B42&lt;=Hypothèses!$C$14,Hypothèses!$F$14,IF(B42&lt;=Hypothèses!$C$15,Hypothèses!$F$15,IF(B42&lt;=Hypothèses!$C$16,Hypothèses!$F$16,IF(B42&lt;=Hypothèses!$C$17,Hypothèses!$F$17,IF(B42&lt;=Hypothèses!$C$18,Hypothèses!$F$18,F41))))))))))))</f>
        <v/>
      </c>
      <c r="G42" s="91">
        <f t="array" ref="G42">INDEX('Coeff EC7'!$U$7:$X$27,
MATCH(Model0.1T!$B$3,'Coeff EC7'!$T$7:$T$27,0),
MATCH(Model0.1T!$D42&amp;Model0.1T!$B$4,
'Coeff EC7'!$U$6:$X$6&amp;
'Coeff EC7'!$U$5:$X$5,0))</f>
        <v>1.4</v>
      </c>
      <c r="H42" s="91">
        <f t="array" ref="H42">INDEX('Coeff EC7'!$Y$7:$AB$27,
MATCH(Model0.1T!$B$3,'Coeff EC7'!$T$7:$T$27,0),
MATCH(Model0.1T!$D42&amp;Model0.1T!$B$4,
'Coeff EC7'!$Y$6:$AB$6&amp;
'Coeff EC7'!$Y$5:$AB$5,0))</f>
        <v>1.7</v>
      </c>
      <c r="I42" s="83">
        <v>0</v>
      </c>
      <c r="J42" s="91" t="e">
        <f t="array" ref="J42">INDEX('Coeff EC7'!$D$33:$Q$33,1,MATCH(D42&amp;E42,'Coeff EC7'!$D$31:$Q$31&amp;'Coeff EC7'!$D$32:$Q$32,0))</f>
        <v>#N/A</v>
      </c>
      <c r="K42" s="91" t="e">
        <f t="array" ref="K42">INDEX('Coeff EC7'!$D$34:$Q$34,1,MATCH(D42&amp;E42,'Coeff EC7'!$D$31:$Q$31&amp;'Coeff EC7'!$D$32:$Q$32,0))</f>
        <v>#N/A</v>
      </c>
      <c r="L42" s="91" t="e">
        <f t="array" ref="L42">INDEX('Coeff EC7'!$D$35:$Q$35,1,MATCH(D42&amp;E42,'Coeff EC7'!$D$31:$Q$31&amp;'Coeff EC7'!$D$32:$Q$32,0))</f>
        <v>#N/A</v>
      </c>
      <c r="M42" s="98" t="e">
        <f t="shared" si="8"/>
        <v>#N/A</v>
      </c>
      <c r="N42" s="99" t="e">
        <f t="array" ref="N42">INDEX('Coeff EC7'!$D$7:$Q$27,MATCH($B$3,'Coeff EC7'!$C$7:$C$27,0),MATCH(D42&amp;E42,'Coeff EC7'!$D$5:$Q$5&amp;'Coeff EC7'!$D$6:$Q$6,0))</f>
        <v>#N/A</v>
      </c>
      <c r="O42" s="99" t="e">
        <f t="array" ref="O42">INDEX('Coeff EC7'!$D$41:$Q$61,MATCH($B$3,'Coeff EC7'!$C$41:$C$61,0),MATCH(D42&amp;E42,'Coeff EC7'!$D$39:$Q$39&amp;'Coeff EC7'!$D$40:$Q$40,0))</f>
        <v>#N/A</v>
      </c>
      <c r="P42" s="30" t="e">
        <f t="shared" si="66"/>
        <v>#N/A</v>
      </c>
      <c r="Q42" s="100" t="e">
        <f t="shared" si="10"/>
        <v>#N/A</v>
      </c>
      <c r="R42" s="86" t="b">
        <f t="shared" si="11"/>
        <v>0</v>
      </c>
      <c r="S42" s="86">
        <f t="shared" si="9"/>
        <v>0.5</v>
      </c>
      <c r="T42" s="86">
        <f t="shared" si="12"/>
        <v>0.5</v>
      </c>
      <c r="U42" s="30" t="e">
        <f t="shared" ca="1" si="67"/>
        <v>#DIV/0!</v>
      </c>
      <c r="V42" s="85" t="str">
        <f>IF(B42&lt;=Hypothèses!$V$7,Hypothèses!$W$7,IF(B42&lt;=Hypothèses!$V$8,Hypothèses!$W$8,IF(B42&lt;=Hypothèses!$V$9,Hypothèses!$W$9,IF(B42&lt;=Hypothèses!$V$10,Hypothèses!$W$10,IF(B42&lt;=Hypothèses!$V$11,Hypothèses!$W$11,IF(B42&lt;=Hypothèses!$V$12,Hypothèses!$W$12,IF(B42&lt;=Hypothèses!$V$13,Hypothèses!$W$13,IF(B42&lt;=Hypothèses!$V$14,Hypothèses!$W$14,IF(B42&lt;=Hypothèses!$V$15,Hypothèses!$W$15,IF(B42&lt;=Hypothèses!$V$16,Hypothèses!$W$16,IF(B42&lt;=Hypothèses!$V$17,Hypothèses!$W$17,IF(B42&lt;=Hypothèses!$V$18,Hypothèses!$W$18,""))))))))))))</f>
        <v/>
      </c>
      <c r="W42" s="87" t="e">
        <f t="shared" ca="1" si="116"/>
        <v>#DIV/0!</v>
      </c>
      <c r="X42" s="88" t="str">
        <f>IF(B42&lt;=Hypothèses!$V$7,Hypothèses!$X$7,IF(B42&lt;=Hypothèses!$V$8,Hypothèses!$X$8,IF(B42&lt;=Hypothèses!$V$9,Hypothèses!$X$9,IF(B42&lt;=Hypothèses!$V$10,Hypothèses!$X$10,IF(B42&lt;=Hypothèses!$V$11,Hypothèses!$X$11,IF(B42&lt;=Hypothèses!$V$12,Hypothèses!$X$12,IF(B42&lt;=Hypothèses!$V$13,Hypothèses!$X$13,IF(B42&lt;=Hypothèses!$V$14,Hypothèses!$X$14,IF(B42&lt;=Hypothèses!$V$15,Hypothèses!$X$15,IF(B42&lt;=Hypothèses!$V$16,Hypothèses!$X$16,IF(B42&lt;=Hypothèses!$U$17,Hypothèses!$W$17,IF(B42&lt;=Hypothèses!$U$18,Hypothèses!$W$18,""))))))))))))</f>
        <v/>
      </c>
      <c r="Y42" s="95" t="e">
        <f t="shared" ca="1" si="13"/>
        <v>#DIV/0!</v>
      </c>
      <c r="Z42" s="101">
        <f t="shared" si="14"/>
        <v>0</v>
      </c>
      <c r="AA42" s="91">
        <f t="shared" si="15"/>
        <v>0</v>
      </c>
      <c r="AB42" s="30" t="e">
        <f t="shared" si="100"/>
        <v>#N/A</v>
      </c>
      <c r="AC42" s="30" t="e">
        <f t="shared" si="101"/>
        <v>#N/A</v>
      </c>
      <c r="AD42" s="31" t="e">
        <f>IF(OR(Hypothèses!$B$4=17,Hypothèses!$B$4=18,Hypothèses!$B$4=19,Hypothèses!$B$4=20),
IF($D42="Pressio.",
IF(OR($E42=3,$E42=1,$E42=4),AC42,AB42),
IF($D42="Pénétro.",
IF(OR($E42=3,$E42=1,$E42=4),AC42,AB42))),IF($D42="Pressio.",
IF($E42=3,AC42,AB42),
IF($D42="Pénétro.",
IF($E42=4,AC42,AB42))))</f>
        <v>#N/A</v>
      </c>
      <c r="AE42" s="31">
        <v>0</v>
      </c>
      <c r="AF42" s="102" t="e">
        <f>IF(NDC!$H$10="Oui",(VLOOKUP($B$3,'Coeff EC7'!$T$39:$X$59,2,0)*AD42+VLOOKUP($B$3,'Coeff EC7'!$T$65:$X$85,2,0)*Model0.1T!AE42)/1.5,PI()*AB$12*$Q42*($B42-$B41)*0.15/10+AF41)</f>
        <v>#N/A</v>
      </c>
      <c r="AG42" s="102" t="e">
        <f>(VLOOKUP($B$3,'Coeff EC7'!$T$39:$X$59,3,0)*AD42+VLOOKUP($B$3,'Coeff EC7'!$T$65:$X$85,3,0)*Model0.1T!AE42)/1.1</f>
        <v>#N/A</v>
      </c>
      <c r="AH42" s="102" t="e">
        <f t="shared" si="68"/>
        <v>#N/A</v>
      </c>
      <c r="AI42" s="102" t="e">
        <f t="shared" si="69"/>
        <v>#N/A</v>
      </c>
      <c r="AJ42" s="414" t="e">
        <f>IF(AND(AF42&gt;NDC!$C$63,AG42&gt;NDC!$C$65,AH42&gt;NDC!$D$73,AI42&gt;NDC!$D$74,$B42&gt;NDC!$H$22-0.1+MIN(3*$AJ$12,1.5)),0,1)</f>
        <v>#N/A</v>
      </c>
      <c r="AK42" s="86" t="b">
        <f t="shared" si="18"/>
        <v>0</v>
      </c>
      <c r="AL42" s="86">
        <f t="shared" si="70"/>
        <v>0.5</v>
      </c>
      <c r="AM42" s="86">
        <f t="shared" si="19"/>
        <v>0.5</v>
      </c>
      <c r="AN42" s="30" t="e">
        <f t="shared" ca="1" si="71"/>
        <v>#DIV/0!</v>
      </c>
      <c r="AO42" s="85" t="e">
        <f ca="1">IF(U42&lt;=Hypothèses!$V$7,Hypothèses!$W$7,IF(U42&lt;=Hypothèses!$V$8,Hypothèses!$W$8,IF(U42&lt;=Hypothèses!$V$9,Hypothèses!$W$9,IF(U42&lt;=Hypothèses!$V$10,Hypothèses!$W$10,IF(U42&lt;=Hypothèses!$V$11,Hypothèses!$W$11,IF(U42&lt;=Hypothèses!$V$12,Hypothèses!$W$12,IF(U42&lt;=Hypothèses!$V$13,Hypothèses!$W$13,IF(U42&lt;=Hypothèses!$V$14,Hypothèses!$W$14,IF(U42&lt;=Hypothèses!$V$15,Hypothèses!$W$15,IF(U42&lt;=Hypothèses!$V$16,Hypothèses!$W$16,IF(U42&lt;=Hypothèses!$V$17,Hypothèses!$W$17,IF(U42&lt;=Hypothèses!$V$18,Hypothèses!$W$18,""))))))))))))</f>
        <v>#DIV/0!</v>
      </c>
      <c r="AP42" s="87" t="e">
        <f t="shared" ca="1" si="117"/>
        <v>#DIV/0!</v>
      </c>
      <c r="AQ42" s="88" t="e">
        <f ca="1">IF(U42&lt;=Hypothèses!$V$7,Hypothèses!$X$7,IF(U42&lt;=Hypothèses!$V$8,Hypothèses!$X$8,IF(U42&lt;=Hypothèses!$V$9,Hypothèses!$X$9,IF(U42&lt;=Hypothèses!$V$10,Hypothèses!$X$10,IF(U42&lt;=Hypothèses!$V$11,Hypothèses!$X$11,IF(U42&lt;=Hypothèses!$V$12,Hypothèses!$X$12,IF(U42&lt;=Hypothèses!$V$13,Hypothèses!$X$13,IF(U42&lt;=Hypothèses!$V$14,Hypothèses!$X$14,IF(U42&lt;=Hypothèses!$V$15,Hypothèses!$X$15,IF(U42&lt;=Hypothèses!$V$16,Hypothèses!$X$16,IF(U42&lt;=Hypothèses!$U$17,Hypothèses!$W$17,IF(U42&lt;=Hypothèses!$U$18,Hypothèses!$W$18,""))))))))))))</f>
        <v>#DIV/0!</v>
      </c>
      <c r="AR42" s="95" t="e">
        <f t="shared" ca="1" si="72"/>
        <v>#DIV/0!</v>
      </c>
      <c r="AS42" s="101">
        <f t="shared" si="124"/>
        <v>0</v>
      </c>
      <c r="AT42" s="91">
        <f t="shared" si="21"/>
        <v>0</v>
      </c>
      <c r="AU42" s="30" t="e">
        <f t="shared" si="102"/>
        <v>#N/A</v>
      </c>
      <c r="AV42" s="30" t="e">
        <f t="shared" si="103"/>
        <v>#N/A</v>
      </c>
      <c r="AW42" s="31" t="e">
        <f>IF(OR(Hypothèses!$B$4=17,Hypothèses!$B$4=18,Hypothèses!$B$4=19,Hypothèses!$B$4=20),
IF($D42="Pressio.",
IF(OR($E42=3,$E42=1,$E42=4),AV42,AU42),
IF($D42="Pénétro.",
IF(OR($E42=3,$E42=1,$E42=4),AV42,AU42))),IF($D42="Pressio.",
IF($E42=3,AV42,AU42),
IF($D42="Pénétro.",
IF($E42=4,AV42,AU42))))</f>
        <v>#N/A</v>
      </c>
      <c r="AX42" s="31">
        <v>0</v>
      </c>
      <c r="AY42" s="102" t="e">
        <f>IF(NDC!$H$10="Oui",(VLOOKUP($B$3,'Coeff EC7'!$T$39:$X$59,2,0)*AW42+VLOOKUP($B$3,'Coeff EC7'!$T$65:$X$85,2,0)*Model0.1T!AX42)/1.5,PI()*AU$12*$Q42*($B42-$B41)*0.15/10+AY41)</f>
        <v>#N/A</v>
      </c>
      <c r="AZ42" s="102" t="e">
        <f>(VLOOKUP($B$3,'Coeff EC7'!$T$39:$X$59,3,0)*AW42+VLOOKUP($B$3,'Coeff EC7'!$T$65:$X$85,3,0)*Model0.1T!AX42)/1.1</f>
        <v>#N/A</v>
      </c>
      <c r="BA42" s="102" t="e">
        <f t="shared" si="73"/>
        <v>#N/A</v>
      </c>
      <c r="BB42" s="102" t="e">
        <f t="shared" si="74"/>
        <v>#N/A</v>
      </c>
      <c r="BC42" s="414" t="e">
        <f>IF(AND(AY42&gt;NDC!$C$63,AZ42&gt;NDC!$C$65,BA42&gt;NDC!$D$73,BB42&gt;NDC!$D$74,$B42&gt;NDC!$H$22-0.1+MIN(3*BC$12,1.5)),0,1)</f>
        <v>#N/A</v>
      </c>
      <c r="BD42" s="86" t="b">
        <f t="shared" si="24"/>
        <v>0</v>
      </c>
      <c r="BE42" s="86">
        <f t="shared" si="75"/>
        <v>0.5</v>
      </c>
      <c r="BF42" s="86">
        <f t="shared" si="25"/>
        <v>0.5</v>
      </c>
      <c r="BG42" s="30" t="e">
        <f t="shared" ca="1" si="76"/>
        <v>#DIV/0!</v>
      </c>
      <c r="BH42" s="85" t="e">
        <f ca="1">IF(AN42&lt;=Hypothèses!$V$7,Hypothèses!$W$7,IF(AN42&lt;=Hypothèses!$V$8,Hypothèses!$W$8,IF(AN42&lt;=Hypothèses!$V$9,Hypothèses!$W$9,IF(AN42&lt;=Hypothèses!$V$10,Hypothèses!$W$10,IF(AN42&lt;=Hypothèses!$V$11,Hypothèses!$W$11,IF(AN42&lt;=Hypothèses!$V$12,Hypothèses!$W$12,IF(AN42&lt;=Hypothèses!$V$13,Hypothèses!$W$13,IF(AN42&lt;=Hypothèses!$V$14,Hypothèses!$W$14,IF(AN42&lt;=Hypothèses!$V$15,Hypothèses!$W$15,IF(AN42&lt;=Hypothèses!$V$16,Hypothèses!$W$16,IF(AN42&lt;=Hypothèses!$V$17,Hypothèses!$W$17,IF(AN42&lt;=Hypothèses!$V$18,Hypothèses!$W$18,""))))))))))))</f>
        <v>#DIV/0!</v>
      </c>
      <c r="BI42" s="87" t="e">
        <f t="shared" ca="1" si="118"/>
        <v>#DIV/0!</v>
      </c>
      <c r="BJ42" s="88" t="e">
        <f ca="1">IF(AN42&lt;=Hypothèses!$V$7,Hypothèses!$X$7,IF(AN42&lt;=Hypothèses!$V$8,Hypothèses!$X$8,IF(AN42&lt;=Hypothèses!$V$9,Hypothèses!$X$9,IF(AN42&lt;=Hypothèses!$V$10,Hypothèses!$X$10,IF(AN42&lt;=Hypothèses!$V$11,Hypothèses!$X$11,IF(AN42&lt;=Hypothèses!$V$12,Hypothèses!$X$12,IF(AN42&lt;=Hypothèses!$V$13,Hypothèses!$X$13,IF(AN42&lt;=Hypothèses!$V$14,Hypothèses!$X$14,IF(AN42&lt;=Hypothèses!$V$15,Hypothèses!$X$15,IF(AN42&lt;=Hypothèses!$V$16,Hypothèses!$X$16,IF(AN42&lt;=Hypothèses!$U$17,Hypothèses!$W$17,IF(AN42&lt;=Hypothèses!$U$18,Hypothèses!$W$18,""))))))))))))</f>
        <v>#DIV/0!</v>
      </c>
      <c r="BK42" s="95" t="e">
        <f t="shared" ca="1" si="77"/>
        <v>#DIV/0!</v>
      </c>
      <c r="BL42" s="101">
        <f t="shared" si="125"/>
        <v>0</v>
      </c>
      <c r="BM42" s="91">
        <f t="shared" si="27"/>
        <v>0</v>
      </c>
      <c r="BN42" s="30" t="e">
        <f t="shared" si="104"/>
        <v>#N/A</v>
      </c>
      <c r="BO42" s="30" t="e">
        <f t="shared" si="105"/>
        <v>#N/A</v>
      </c>
      <c r="BP42" s="31" t="e">
        <f>IF(OR(Hypothèses!$B$4=17,Hypothèses!$B$4=18,Hypothèses!$B$4=19,Hypothèses!$B$4=20),
IF($D42="Pressio.",
IF(OR($E42=3,$E42=1,$E42=4),BO42,BN42),
IF($D42="Pénétro.",
IF(OR($E42=3,$E42=1,$E42=4),BO42,BN42))),IF($D42="Pressio.",
IF($E42=3,BO42,BN42),
IF($D42="Pénétro.",
IF($E42=4,BO42,BN42))))</f>
        <v>#N/A</v>
      </c>
      <c r="BQ42" s="31">
        <v>0</v>
      </c>
      <c r="BR42" s="102" t="e">
        <f>IF(NDC!$H$10="Oui",(VLOOKUP($B$3,'Coeff EC7'!$T$39:$X$59,2,0)*BP42+VLOOKUP($B$3,'Coeff EC7'!$T$65:$X$85,2,0)*Model0.1T!BQ42)/1.5,PI()*BN$12*$Q42*($B42-$B41)*0.15/10+BR41)</f>
        <v>#N/A</v>
      </c>
      <c r="BS42" s="102" t="e">
        <f>(VLOOKUP($B$3,'Coeff EC7'!$T$39:$X$59,3,0)*BP42+VLOOKUP($B$3,'Coeff EC7'!$T$65:$X$85,3,0)*Model0.1T!BQ42)/1.1</f>
        <v>#N/A</v>
      </c>
      <c r="BT42" s="102" t="e">
        <f t="shared" si="78"/>
        <v>#N/A</v>
      </c>
      <c r="BU42" s="102" t="e">
        <f t="shared" si="79"/>
        <v>#N/A</v>
      </c>
      <c r="BV42" s="414" t="e">
        <f>IF(AND(BR42&gt;NDC!$C$63,BS42&gt;NDC!$C$65,BT42&gt;NDC!$D$73,BU42&gt;NDC!$D$74,$B42&gt;NDC!$H$22-0.1+MIN(3*BV$12,1.5)),0,1)</f>
        <v>#N/A</v>
      </c>
      <c r="BW42" s="86" t="b">
        <f t="shared" si="30"/>
        <v>0</v>
      </c>
      <c r="BX42" s="86">
        <f t="shared" si="31"/>
        <v>0.5</v>
      </c>
      <c r="BY42" s="86">
        <f t="shared" si="32"/>
        <v>0.5</v>
      </c>
      <c r="BZ42" s="30" t="e">
        <f t="shared" ca="1" si="80"/>
        <v>#DIV/0!</v>
      </c>
      <c r="CA42" s="85" t="e">
        <f ca="1">IF(BG42&lt;=Hypothèses!$V$7,Hypothèses!$W$7,IF(BG42&lt;=Hypothèses!$V$8,Hypothèses!$W$8,IF(BG42&lt;=Hypothèses!$V$9,Hypothèses!$W$9,IF(BG42&lt;=Hypothèses!$V$10,Hypothèses!$W$10,IF(BG42&lt;=Hypothèses!$V$11,Hypothèses!$W$11,IF(BG42&lt;=Hypothèses!$V$12,Hypothèses!$W$12,IF(BG42&lt;=Hypothèses!$V$13,Hypothèses!$W$13,IF(BG42&lt;=Hypothèses!$V$14,Hypothèses!$W$14,IF(BG42&lt;=Hypothèses!$V$15,Hypothèses!$W$15,IF(BG42&lt;=Hypothèses!$V$16,Hypothèses!$W$16,IF(BG42&lt;=Hypothèses!$V$17,Hypothèses!$W$17,IF(BG42&lt;=Hypothèses!$V$18,Hypothèses!$W$18,""))))))))))))</f>
        <v>#DIV/0!</v>
      </c>
      <c r="CB42" s="87" t="e">
        <f t="shared" ca="1" si="119"/>
        <v>#DIV/0!</v>
      </c>
      <c r="CC42" s="88" t="e">
        <f ca="1">IF(BG42&lt;=Hypothèses!$V$7,Hypothèses!$X$7,IF(BG42&lt;=Hypothèses!$V$8,Hypothèses!$X$8,IF(BG42&lt;=Hypothèses!$V$9,Hypothèses!$X$9,IF(BG42&lt;=Hypothèses!$V$10,Hypothèses!$X$10,IF(BG42&lt;=Hypothèses!$V$11,Hypothèses!$X$11,IF(BG42&lt;=Hypothèses!$V$12,Hypothèses!$X$12,IF(BG42&lt;=Hypothèses!$V$13,Hypothèses!$X$13,IF(BG42&lt;=Hypothèses!$V$14,Hypothèses!$X$14,IF(BG42&lt;=Hypothèses!$V$15,Hypothèses!$X$15,IF(BG42&lt;=Hypothèses!$V$16,Hypothèses!$X$16,IF(BG42&lt;=Hypothèses!$U$17,Hypothèses!$W$17,IF(BG42&lt;=Hypothèses!$U$18,Hypothèses!$W$18,""))))))))))))</f>
        <v>#DIV/0!</v>
      </c>
      <c r="CD42" s="95" t="e">
        <f t="shared" ca="1" si="81"/>
        <v>#DIV/0!</v>
      </c>
      <c r="CE42" s="101">
        <f t="shared" si="126"/>
        <v>0</v>
      </c>
      <c r="CF42" s="91">
        <f t="shared" si="34"/>
        <v>0</v>
      </c>
      <c r="CG42" s="30" t="e">
        <f t="shared" si="106"/>
        <v>#N/A</v>
      </c>
      <c r="CH42" s="30" t="e">
        <f t="shared" si="107"/>
        <v>#N/A</v>
      </c>
      <c r="CI42" s="31" t="e">
        <f>IF(OR(Hypothèses!$B$4=17,Hypothèses!$B$4=18,Hypothèses!$B$4=19,Hypothèses!$B$4=20),
IF($D42="Pressio.",
IF(OR($E42=3,$E42=1,$E42=4),CH42,CG42),
IF($D42="Pénétro.",
IF(OR($E42=3,$E42=1,$E42=4),CH42,CG42))),IF($D42="Pressio.",
IF($E42=3,CH42,CG42),
IF($D42="Pénétro.",
IF($E42=4,CH42,CG42))))</f>
        <v>#N/A</v>
      </c>
      <c r="CJ42" s="31">
        <v>0</v>
      </c>
      <c r="CK42" s="102" t="e">
        <f>IF(NDC!$H$10="Oui",(VLOOKUP($B$3,'Coeff EC7'!$T$39:$X$59,2,0)*CI42+VLOOKUP($B$3,'Coeff EC7'!$T$65:$X$85,2,0)*Model0.1T!CJ42)/1.5,PI()*CG$12*$Q42*($B42-$B41)*0.15/10+CK41)</f>
        <v>#N/A</v>
      </c>
      <c r="CL42" s="102" t="e">
        <f>(VLOOKUP($B$3,'Coeff EC7'!$T$39:$X$59,3,0)*CI42+VLOOKUP($B$3,'Coeff EC7'!$T$65:$X$85,3,0)*Model0.1T!CJ42)/1.1</f>
        <v>#N/A</v>
      </c>
      <c r="CM42" s="102" t="e">
        <f t="shared" si="82"/>
        <v>#N/A</v>
      </c>
      <c r="CN42" s="102" t="e">
        <f t="shared" si="83"/>
        <v>#N/A</v>
      </c>
      <c r="CO42" s="414" t="e">
        <f>IF(AND(CK42&gt;NDC!$C$63,CL42&gt;NDC!$C$65,CM42&gt;NDC!$D$73,CN42&gt;NDC!$D$74,$B42&gt;NDC!$H$22-0.1+MIN(3*CO$12,1.5)),0,1)</f>
        <v>#N/A</v>
      </c>
      <c r="CP42" s="86" t="b">
        <f t="shared" si="37"/>
        <v>0</v>
      </c>
      <c r="CQ42" s="86">
        <f t="shared" si="38"/>
        <v>0.5</v>
      </c>
      <c r="CR42" s="86">
        <f t="shared" si="39"/>
        <v>0.5</v>
      </c>
      <c r="CS42" s="30" t="e">
        <f t="shared" ca="1" si="84"/>
        <v>#DIV/0!</v>
      </c>
      <c r="CT42" s="85" t="e">
        <f ca="1">IF(BZ42&lt;=Hypothèses!$V$7,Hypothèses!$W$7,IF(BZ42&lt;=Hypothèses!$V$8,Hypothèses!$W$8,IF(BZ42&lt;=Hypothèses!$V$9,Hypothèses!$W$9,IF(BZ42&lt;=Hypothèses!$V$10,Hypothèses!$W$10,IF(BZ42&lt;=Hypothèses!$V$11,Hypothèses!$W$11,IF(BZ42&lt;=Hypothèses!$V$12,Hypothèses!$W$12,IF(BZ42&lt;=Hypothèses!$V$13,Hypothèses!$W$13,IF(BZ42&lt;=Hypothèses!$V$14,Hypothèses!$W$14,IF(BZ42&lt;=Hypothèses!$V$15,Hypothèses!$W$15,IF(BZ42&lt;=Hypothèses!$V$16,Hypothèses!$W$16,IF(BZ42&lt;=Hypothèses!$V$17,Hypothèses!$W$17,IF(BZ42&lt;=Hypothèses!$V$18,Hypothèses!$W$18,""))))))))))))</f>
        <v>#DIV/0!</v>
      </c>
      <c r="CU42" s="87" t="e">
        <f t="shared" ca="1" si="120"/>
        <v>#DIV/0!</v>
      </c>
      <c r="CV42" s="88" t="e">
        <f ca="1">IF(BZ42&lt;=Hypothèses!$V$7,Hypothèses!$X$7,IF(BZ42&lt;=Hypothèses!$V$8,Hypothèses!$X$8,IF(BZ42&lt;=Hypothèses!$V$9,Hypothèses!$X$9,IF(BZ42&lt;=Hypothèses!$V$10,Hypothèses!$X$10,IF(BZ42&lt;=Hypothèses!$V$11,Hypothèses!$X$11,IF(BZ42&lt;=Hypothèses!$V$12,Hypothèses!$X$12,IF(BZ42&lt;=Hypothèses!$V$13,Hypothèses!$X$13,IF(BZ42&lt;=Hypothèses!$V$14,Hypothèses!$X$14,IF(BZ42&lt;=Hypothèses!$V$15,Hypothèses!$X$15,IF(BZ42&lt;=Hypothèses!$V$16,Hypothèses!$X$16,IF(BZ42&lt;=Hypothèses!$U$17,Hypothèses!$W$17,IF(BZ42&lt;=Hypothèses!$U$18,Hypothèses!$W$18,""))))))))))))</f>
        <v>#DIV/0!</v>
      </c>
      <c r="CW42" s="95" t="e">
        <f t="shared" ca="1" si="85"/>
        <v>#DIV/0!</v>
      </c>
      <c r="CX42" s="101">
        <f t="shared" si="127"/>
        <v>0</v>
      </c>
      <c r="CY42" s="91">
        <f t="shared" si="41"/>
        <v>0</v>
      </c>
      <c r="CZ42" s="30" t="e">
        <f t="shared" si="108"/>
        <v>#N/A</v>
      </c>
      <c r="DA42" s="30" t="e">
        <f t="shared" si="109"/>
        <v>#N/A</v>
      </c>
      <c r="DB42" s="31" t="e">
        <f>IF(OR(Hypothèses!$B$4=17,Hypothèses!$B$4=18,Hypothèses!$B$4=19,Hypothèses!$B$4=20),
IF($D42="Pressio.",
IF(OR($E42=3,$E42=1,$E42=4),DA42,CZ42),
IF($D42="Pénétro.",
IF(OR($E42=3,$E42=1,$E42=4),DA42,CZ42))),IF($D42="Pressio.",
IF($E42=3,DA42,CZ42),
IF($D42="Pénétro.",
IF($E42=4,DA42,CZ42))))</f>
        <v>#N/A</v>
      </c>
      <c r="DC42" s="31">
        <v>0</v>
      </c>
      <c r="DD42" s="102" t="e">
        <f>IF(NDC!$H$10="Oui",(VLOOKUP($B$3,'Coeff EC7'!$T$39:$X$59,2,0)*DB42+VLOOKUP($B$3,'Coeff EC7'!$T$65:$X$85,2,0)*Model0.1T!DC42)/1.5,PI()*CZ$12*$Q42*($B42-$B41)*0.15/10+DD41)</f>
        <v>#N/A</v>
      </c>
      <c r="DE42" s="102" t="e">
        <f>(VLOOKUP($B$3,'Coeff EC7'!$T$39:$X$59,3,0)*DB42+VLOOKUP($B$3,'Coeff EC7'!$T$65:$X$85,3,0)*Model0.1T!DC42)/1.1</f>
        <v>#N/A</v>
      </c>
      <c r="DF42" s="102" t="e">
        <f t="shared" si="86"/>
        <v>#N/A</v>
      </c>
      <c r="DG42" s="102" t="e">
        <f t="shared" si="87"/>
        <v>#N/A</v>
      </c>
      <c r="DH42" s="414" t="e">
        <f>IF(AND(DD42&gt;NDC!$C$63,DE42&gt;NDC!$C$65,DF42&gt;NDC!$D$73,DG42&gt;NDC!$D$74,$B42&gt;NDC!$H$22-0.1+MIN(3*DH$12,1.5)),0,1)</f>
        <v>#N/A</v>
      </c>
      <c r="DI42" s="86" t="b">
        <f t="shared" si="44"/>
        <v>0</v>
      </c>
      <c r="DJ42" s="86">
        <f t="shared" si="45"/>
        <v>0.5</v>
      </c>
      <c r="DK42" s="86">
        <f t="shared" si="46"/>
        <v>0.5</v>
      </c>
      <c r="DL42" s="30" t="e">
        <f t="shared" ca="1" si="88"/>
        <v>#DIV/0!</v>
      </c>
      <c r="DM42" s="85" t="e">
        <f ca="1">IF(CS42&lt;=Hypothèses!$V$7,Hypothèses!$W$7,IF(CS42&lt;=Hypothèses!$V$8,Hypothèses!$W$8,IF(CS42&lt;=Hypothèses!$V$9,Hypothèses!$W$9,IF(CS42&lt;=Hypothèses!$V$10,Hypothèses!$W$10,IF(CS42&lt;=Hypothèses!$V$11,Hypothèses!$W$11,IF(CS42&lt;=Hypothèses!$V$12,Hypothèses!$W$12,IF(CS42&lt;=Hypothèses!$V$13,Hypothèses!$W$13,IF(CS42&lt;=Hypothèses!$V$14,Hypothèses!$W$14,IF(CS42&lt;=Hypothèses!$V$15,Hypothèses!$W$15,IF(CS42&lt;=Hypothèses!$V$16,Hypothèses!$W$16,IF(CS42&lt;=Hypothèses!$V$17,Hypothèses!$W$17,IF(CS42&lt;=Hypothèses!$V$18,Hypothèses!$W$18,""))))))))))))</f>
        <v>#DIV/0!</v>
      </c>
      <c r="DN42" s="87" t="e">
        <f t="shared" ca="1" si="121"/>
        <v>#DIV/0!</v>
      </c>
      <c r="DO42" s="88" t="e">
        <f ca="1">IF(CS42&lt;=Hypothèses!$V$7,Hypothèses!$X$7,IF(CS42&lt;=Hypothèses!$V$8,Hypothèses!$X$8,IF(CS42&lt;=Hypothèses!$V$9,Hypothèses!$X$9,IF(CS42&lt;=Hypothèses!$V$10,Hypothèses!$X$10,IF(CS42&lt;=Hypothèses!$V$11,Hypothèses!$X$11,IF(CS42&lt;=Hypothèses!$V$12,Hypothèses!$X$12,IF(CS42&lt;=Hypothèses!$V$13,Hypothèses!$X$13,IF(CS42&lt;=Hypothèses!$V$14,Hypothèses!$X$14,IF(CS42&lt;=Hypothèses!$V$15,Hypothèses!$X$15,IF(CS42&lt;=Hypothèses!$V$16,Hypothèses!$X$16,IF(CS42&lt;=Hypothèses!$U$17,Hypothèses!$W$17,IF(CS42&lt;=Hypothèses!$U$18,Hypothèses!$W$18,""))))))))))))</f>
        <v>#DIV/0!</v>
      </c>
      <c r="DP42" s="95" t="e">
        <f t="shared" ca="1" si="89"/>
        <v>#DIV/0!</v>
      </c>
      <c r="DQ42" s="101">
        <f t="shared" si="128"/>
        <v>0</v>
      </c>
      <c r="DR42" s="91">
        <f t="shared" si="48"/>
        <v>0</v>
      </c>
      <c r="DS42" s="30" t="e">
        <f t="shared" si="110"/>
        <v>#N/A</v>
      </c>
      <c r="DT42" s="30" t="e">
        <f t="shared" si="111"/>
        <v>#N/A</v>
      </c>
      <c r="DU42" s="31" t="e">
        <f>IF(OR(Hypothèses!$B$4=17,Hypothèses!$B$4=18,Hypothèses!$B$4=19,Hypothèses!$B$4=20),
IF($D42="Pressio.",
IF(OR($E42=3,$E42=1,$E42=4),DT42,DS42),
IF($D42="Pénétro.",
IF(OR($E42=3,$E42=1,$E42=4),DT42,DS42))),IF($D42="Pressio.",
IF($E42=3,DT42,DS42),
IF($D42="Pénétro.",
IF($E42=4,DT42,DS42))))</f>
        <v>#N/A</v>
      </c>
      <c r="DV42" s="31">
        <v>0</v>
      </c>
      <c r="DW42" s="102" t="e">
        <f>IF(NDC!$H$10="Oui",(VLOOKUP($B$3,'Coeff EC7'!$T$39:$X$59,2,0)*DU42+VLOOKUP($B$3,'Coeff EC7'!$T$65:$X$85,2,0)*Model0.1T!DV42)/1.5,PI()*DS$12*$Q42*($B42-$B41)*0.15/10+DW41)</f>
        <v>#N/A</v>
      </c>
      <c r="DX42" s="102" t="e">
        <f>(VLOOKUP($B$3,'Coeff EC7'!$T$39:$X$59,3,0)*DU42+VLOOKUP($B$3,'Coeff EC7'!$T$65:$X$85,3,0)*Model0.1T!DV42)/1.1</f>
        <v>#N/A</v>
      </c>
      <c r="DY42" s="102" t="e">
        <f t="shared" si="90"/>
        <v>#N/A</v>
      </c>
      <c r="DZ42" s="102" t="e">
        <f t="shared" si="91"/>
        <v>#N/A</v>
      </c>
      <c r="EA42" s="414" t="e">
        <f>IF(AND(DW42&gt;NDC!$C$63,DX42&gt;NDC!$C$65,DY42&gt;NDC!$D$73,DZ42&gt;NDC!$D$74,$B42&gt;NDC!$H$22-0.1+MIN(3*EA$12,1.5)),0,1)</f>
        <v>#N/A</v>
      </c>
      <c r="EB42" s="86" t="b">
        <f t="shared" si="51"/>
        <v>0</v>
      </c>
      <c r="EC42" s="418">
        <f t="shared" si="52"/>
        <v>0.51</v>
      </c>
      <c r="ED42" s="86">
        <f t="shared" si="53"/>
        <v>0.51</v>
      </c>
      <c r="EE42" s="30" t="e">
        <f t="shared" ca="1" si="92"/>
        <v>#DIV/0!</v>
      </c>
      <c r="EF42" s="85" t="e">
        <f ca="1">IF(DL42&lt;=Hypothèses!$V$7,Hypothèses!$W$7,IF(DL42&lt;=Hypothèses!$V$8,Hypothèses!$W$8,IF(DL42&lt;=Hypothèses!$V$9,Hypothèses!$W$9,IF(DL42&lt;=Hypothèses!$V$10,Hypothèses!$W$10,IF(DL42&lt;=Hypothèses!$V$11,Hypothèses!$W$11,IF(DL42&lt;=Hypothèses!$V$12,Hypothèses!$W$12,IF(DL42&lt;=Hypothèses!$V$13,Hypothèses!$W$13,IF(DL42&lt;=Hypothèses!$V$14,Hypothèses!$W$14,IF(DL42&lt;=Hypothèses!$V$15,Hypothèses!$W$15,IF(DL42&lt;=Hypothèses!$V$16,Hypothèses!$W$16,IF(DL42&lt;=Hypothèses!$V$17,Hypothèses!$W$17,IF(DL42&lt;=Hypothèses!$V$18,Hypothèses!$W$18,""))))))))))))</f>
        <v>#DIV/0!</v>
      </c>
      <c r="EG42" s="87" t="e">
        <f t="shared" ca="1" si="122"/>
        <v>#DIV/0!</v>
      </c>
      <c r="EH42" s="88" t="e">
        <f ca="1">IF(DL42&lt;=Hypothèses!$V$7,Hypothèses!$X$7,IF(DL42&lt;=Hypothèses!$V$8,Hypothèses!$X$8,IF(DL42&lt;=Hypothèses!$V$9,Hypothèses!$X$9,IF(DL42&lt;=Hypothèses!$V$10,Hypothèses!$X$10,IF(DL42&lt;=Hypothèses!$V$11,Hypothèses!$X$11,IF(DL42&lt;=Hypothèses!$V$12,Hypothèses!$X$12,IF(DL42&lt;=Hypothèses!$V$13,Hypothèses!$X$13,IF(DL42&lt;=Hypothèses!$V$14,Hypothèses!$X$14,IF(DL42&lt;=Hypothèses!$V$15,Hypothèses!$X$15,IF(DL42&lt;=Hypothèses!$V$16,Hypothèses!$X$16,IF(DL42&lt;=Hypothèses!$U$17,Hypothèses!$W$17,IF(DL42&lt;=Hypothèses!$U$18,Hypothèses!$W$18,""))))))))))))</f>
        <v>#DIV/0!</v>
      </c>
      <c r="EI42" s="95" t="e">
        <f t="shared" ca="1" si="93"/>
        <v>#DIV/0!</v>
      </c>
      <c r="EJ42" s="101">
        <f t="shared" si="129"/>
        <v>0</v>
      </c>
      <c r="EK42" s="91">
        <f t="shared" si="55"/>
        <v>0</v>
      </c>
      <c r="EL42" s="30" t="e">
        <f t="shared" si="112"/>
        <v>#N/A</v>
      </c>
      <c r="EM42" s="30" t="e">
        <f t="shared" si="113"/>
        <v>#N/A</v>
      </c>
      <c r="EN42" s="31" t="e">
        <f>IF(OR(Hypothèses!$B$4=17,Hypothèses!$B$4=18,Hypothèses!$B$4=19,Hypothèses!$B$4=20),
IF($D42="Pressio.",
IF(OR($E42=3,$E42=1,$E42=4),EM42,EL42),
IF($D42="Pénétro.",
IF(OR($E42=3,$E42=1,$E42=4),EM42,EL42))),IF($D42="Pressio.",
IF($E42=3,EM42,EL42),
IF($D42="Pénétro.",
IF($E42=4,EM42,EL42))))</f>
        <v>#N/A</v>
      </c>
      <c r="EO42" s="31">
        <v>0</v>
      </c>
      <c r="EP42" s="102" t="e">
        <f>IF(NDC!$H$10="Oui",(VLOOKUP($B$3,'Coeff EC7'!$T$39:$X$59,2,0)*EN42+VLOOKUP($B$3,'Coeff EC7'!$T$65:$X$85,2,0)*Model0.1T!EO42)/1.5,PI()*EL$12*$Q42*($B42-$B41)*0.15/10+EP41)</f>
        <v>#N/A</v>
      </c>
      <c r="EQ42" s="102" t="e">
        <f>(VLOOKUP($B$3,'Coeff EC7'!$T$39:$X$59,3,0)*EN42+VLOOKUP($B$3,'Coeff EC7'!$T$65:$X$85,3,0)*Model0.1T!EO42)/1.1</f>
        <v>#N/A</v>
      </c>
      <c r="ER42" s="102" t="e">
        <f t="shared" si="94"/>
        <v>#N/A</v>
      </c>
      <c r="ES42" s="102" t="e">
        <f t="shared" si="95"/>
        <v>#N/A</v>
      </c>
      <c r="ET42" s="414" t="e">
        <f>IF(AND(EP42&gt;NDC!$C$63,EQ42&gt;NDC!$C$65,ER42&gt;NDC!$D$73,ES42&gt;NDC!$D$74,$B42&gt;NDC!$H$22-0.1+MIN(3*ET$12,1.5)),0,1)</f>
        <v>#N/A</v>
      </c>
      <c r="EU42" s="86" t="b">
        <f t="shared" si="58"/>
        <v>0</v>
      </c>
      <c r="EV42" s="86">
        <f t="shared" si="59"/>
        <v>0.61</v>
      </c>
      <c r="EW42" s="86">
        <f t="shared" si="60"/>
        <v>0.61</v>
      </c>
      <c r="EX42" s="30" t="e">
        <f t="shared" ca="1" si="96"/>
        <v>#DIV/0!</v>
      </c>
      <c r="EY42" s="85" t="e">
        <f ca="1">IF(EE42&lt;=Hypothèses!$V$7,Hypothèses!$W$7,IF(EE42&lt;=Hypothèses!$V$8,Hypothèses!$W$8,IF(EE42&lt;=Hypothèses!$V$9,Hypothèses!$W$9,IF(EE42&lt;=Hypothèses!$V$10,Hypothèses!$W$10,IF(EE42&lt;=Hypothèses!$V$11,Hypothèses!$W$11,IF(EE42&lt;=Hypothèses!$V$12,Hypothèses!$W$12,IF(EE42&lt;=Hypothèses!$V$13,Hypothèses!$W$13,IF(EE42&lt;=Hypothèses!$V$14,Hypothèses!$W$14,IF(EE42&lt;=Hypothèses!$V$15,Hypothèses!$W$15,IF(EE42&lt;=Hypothèses!$V$16,Hypothèses!$W$16,IF(EE42&lt;=Hypothèses!$V$17,Hypothèses!$W$17,IF(EE42&lt;=Hypothèses!$V$18,Hypothèses!$W$18,""))))))))))))</f>
        <v>#DIV/0!</v>
      </c>
      <c r="EZ42" s="87" t="e">
        <f t="shared" ca="1" si="123"/>
        <v>#DIV/0!</v>
      </c>
      <c r="FA42" s="88" t="e">
        <f ca="1">IF(EE42&lt;=Hypothèses!$V$7,Hypothèses!$X$7,IF(EE42&lt;=Hypothèses!$V$8,Hypothèses!$X$8,IF(EE42&lt;=Hypothèses!$V$9,Hypothèses!$X$9,IF(EE42&lt;=Hypothèses!$V$10,Hypothèses!$X$10,IF(EE42&lt;=Hypothèses!$V$11,Hypothèses!$X$11,IF(EE42&lt;=Hypothèses!$V$12,Hypothèses!$X$12,IF(EE42&lt;=Hypothèses!$V$13,Hypothèses!$X$13,IF(EE42&lt;=Hypothèses!$V$14,Hypothèses!$X$14,IF(EE42&lt;=Hypothèses!$V$15,Hypothèses!$X$15,IF(EE42&lt;=Hypothèses!$V$16,Hypothèses!$X$16,IF(EE42&lt;=Hypothèses!$U$17,Hypothèses!$W$17,IF(EE42&lt;=Hypothèses!$U$18,Hypothèses!$W$18,""))))))))))))</f>
        <v>#DIV/0!</v>
      </c>
      <c r="FB42" s="95" t="e">
        <f t="shared" ca="1" si="97"/>
        <v>#DIV/0!</v>
      </c>
      <c r="FC42" s="101">
        <f t="shared" si="130"/>
        <v>0</v>
      </c>
      <c r="FD42" s="91">
        <f t="shared" si="62"/>
        <v>0</v>
      </c>
      <c r="FE42" s="30" t="e">
        <f t="shared" si="114"/>
        <v>#N/A</v>
      </c>
      <c r="FF42" s="30" t="e">
        <f t="shared" si="115"/>
        <v>#N/A</v>
      </c>
      <c r="FG42" s="31" t="e">
        <f>IF(OR(Hypothèses!$B$4=17,Hypothèses!$B$4=18,Hypothèses!$B$4=19,Hypothèses!$B$4=20),
IF($D42="Pressio.",
IF(OR($E42=3,$E42=1,$E42=4),FF42,FE42),
IF($D42="Pénétro.",
IF(OR($E42=3,$E42=1,$E42=4),FF42,FE42))),IF($D42="Pressio.",
IF($E42=3,FF42,FE42),
IF($D42="Pénétro.",
IF($E42=4,FF42,FE42))))</f>
        <v>#N/A</v>
      </c>
      <c r="FH42" s="31">
        <v>0</v>
      </c>
      <c r="FI42" s="102" t="e">
        <f>IF(NDC!$H$10="Oui",(VLOOKUP($B$3,'Coeff EC7'!$T$39:$X$59,2,0)*FG42+VLOOKUP($B$3,'Coeff EC7'!$T$65:$X$85,2,0)*Model0.1T!FH42)/1.5,PI()*FE$12*$Q42*($B42-$B41)*0.15/10+FI41)</f>
        <v>#N/A</v>
      </c>
      <c r="FJ42" s="102" t="e">
        <f>(VLOOKUP($B$3,'Coeff EC7'!$T$39:$X$59,3,0)*FG42+VLOOKUP($B$3,'Coeff EC7'!$T$65:$X$85,3,0)*Model0.1T!FH42)/1.1</f>
        <v>#N/A</v>
      </c>
      <c r="FK42" s="102" t="e">
        <f t="shared" si="98"/>
        <v>#N/A</v>
      </c>
      <c r="FL42" s="102" t="e">
        <f t="shared" si="99"/>
        <v>#N/A</v>
      </c>
      <c r="FM42" s="414" t="e">
        <f>IF(AND(FI42&gt;NDC!$C$63,FJ42&gt;NDC!$C$65,FK42&gt;NDC!$D$73,FL42&gt;NDC!$D$74,$B42&gt;NDC!$H$22-0.1+MIN(3*FM$12,1.5)),0,1)</f>
        <v>#N/A</v>
      </c>
    </row>
    <row r="43" spans="1:169">
      <c r="A43" s="96">
        <f t="shared" si="65"/>
        <v>97.000000000000171</v>
      </c>
      <c r="B43" s="97">
        <v>3</v>
      </c>
      <c r="C43" s="81">
        <f>IF(B43&lt;=Hypothèses!$C$7,Hypothèses!$A$7,IF(B43&lt;=Hypothèses!$C$8,Hypothèses!$A$8,IF(B43&lt;=Hypothèses!$C$9,Hypothèses!$A$9,IF(B43&lt;=Hypothèses!$C$10,Hypothèses!$A$10,IF(B43&lt;=Hypothèses!$C$11,Hypothèses!$A$11,IF(B43&lt;=Hypothèses!$C$12,Hypothèses!$A$12,IF(B43&lt;=Hypothèses!$C$13,Hypothèses!$A$13,IF(B43&lt;=Hypothèses!$C$14,Hypothèses!$A$14,IF(B43&lt;=Hypothèses!$C$15,Hypothèses!$A$15,IF(B43&lt;=Hypothèses!$C$16,Hypothèses!$A$16,IF(B43&lt;=Hypothèses!$C$17,Hypothèses!$A$17,IF(B43&lt;=Hypothèses!$C$18,Hypothèses!$A$18,C42))))))))))))</f>
        <v>11</v>
      </c>
      <c r="D43" s="82" t="str">
        <f>IF(B43&lt;=Hypothèses!$C$7,Hypothèses!$R$7,IF(B43&lt;=Hypothèses!$C$8,Hypothèses!$R$8,IF(B43&lt;=Hypothèses!$C$9,Hypothèses!$R$9,IF(B43&lt;=Hypothèses!$C$10,Hypothèses!$R$10,IF(B43&lt;=Hypothèses!$C$11,Hypothèses!$R$11,IF(B43&lt;=Hypothèses!$C$12,Hypothèses!$R$12,IF(B43&lt;=Hypothèses!$C$13,Hypothèses!$R$13,IF(B43&lt;=Hypothèses!$C$14,Hypothèses!$R$14,IF(B43&lt;=Hypothèses!$C$15,Hypothèses!$R$15,IF(B43&lt;=Hypothèses!$C$16,Hypothèses!$R$16,IF(B43&lt;=Hypothèses!$C$17,Hypothèses!$R$17,IF(B43&lt;=Hypothèses!$C$18,Hypothèses!$R$18,D42))))))))))))</f>
        <v>Pressio.</v>
      </c>
      <c r="E43" s="82" t="e">
        <f>IF(B43&lt;=Hypothèses!$C$7,Hypothèses!$G$7,IF(B43&lt;=Hypothèses!$C$8,Hypothèses!$G$8,IF(B43&lt;=Hypothèses!$C$9,Hypothèses!$G$9,IF(B43&lt;=Hypothèses!$C$10,Hypothèses!$G$10,IF(B43&lt;=Hypothèses!$C$11,Hypothèses!$G$11,IF(B43&lt;=Hypothèses!$C$12,Hypothèses!$G$12,IF(B43&lt;=Hypothèses!$C$13,Hypothèses!$G$13,IF(B43&lt;=Hypothèses!$C$14,Hypothèses!$G$14,IF(B43&lt;=Hypothèses!$C$15,Hypothèses!$G$15,IF(B43&lt;=Hypothèses!$C$16,Hypothèses!$G$16,IF(B43&lt;=Hypothèses!$C$17,Hypothèses!$G$17,IF(B43&lt;=Hypothèses!$C$18,Hypothèses!$G$18,E42))))))))))))</f>
        <v>#N/A</v>
      </c>
      <c r="F43" s="82" t="str">
        <f>IF(B43&lt;=Hypothèses!$C$7,Hypothèses!$F$7,IF(B43&lt;=Hypothèses!$C$8,Hypothèses!$F$8,IF(B43&lt;=Hypothèses!$C$9,Hypothèses!$F$9,IF(B43&lt;=Hypothèses!$C$10,Hypothèses!$F$10,IF(B43&lt;=Hypothèses!$C$11,Hypothèses!$F$11,IF(B43&lt;=Hypothèses!$C$12,Hypothèses!$F$12,IF(B43&lt;=Hypothèses!$C$13,Hypothèses!$F$13,IF(B43&lt;=Hypothèses!$C$14,Hypothèses!$F$14,IF(B43&lt;=Hypothèses!$C$15,Hypothèses!$F$15,IF(B43&lt;=Hypothèses!$C$16,Hypothèses!$F$16,IF(B43&lt;=Hypothèses!$C$17,Hypothèses!$F$17,IF(B43&lt;=Hypothèses!$C$18,Hypothèses!$F$18,F42))))))))))))</f>
        <v/>
      </c>
      <c r="G43" s="91">
        <f t="array" ref="G43">INDEX('Coeff EC7'!$U$7:$X$27,
MATCH(Model0.1T!$B$3,'Coeff EC7'!$T$7:$T$27,0),
MATCH(Model0.1T!$D43&amp;Model0.1T!$B$4,
'Coeff EC7'!$U$6:$X$6&amp;
'Coeff EC7'!$U$5:$X$5,0))</f>
        <v>1.4</v>
      </c>
      <c r="H43" s="91">
        <f t="array" ref="H43">INDEX('Coeff EC7'!$Y$7:$AB$27,
MATCH(Model0.1T!$B$3,'Coeff EC7'!$T$7:$T$27,0),
MATCH(Model0.1T!$D43&amp;Model0.1T!$B$4,
'Coeff EC7'!$Y$6:$AB$6&amp;
'Coeff EC7'!$Y$5:$AB$5,0))</f>
        <v>1.7</v>
      </c>
      <c r="I43" s="83">
        <v>0</v>
      </c>
      <c r="J43" s="91" t="e">
        <f t="array" ref="J43">INDEX('Coeff EC7'!$D$33:$Q$33,1,MATCH(D43&amp;E43,'Coeff EC7'!$D$31:$Q$31&amp;'Coeff EC7'!$D$32:$Q$32,0))</f>
        <v>#N/A</v>
      </c>
      <c r="K43" s="91" t="e">
        <f t="array" ref="K43">INDEX('Coeff EC7'!$D$34:$Q$34,1,MATCH(D43&amp;E43,'Coeff EC7'!$D$31:$Q$31&amp;'Coeff EC7'!$D$32:$Q$32,0))</f>
        <v>#N/A</v>
      </c>
      <c r="L43" s="91" t="e">
        <f t="array" ref="L43">INDEX('Coeff EC7'!$D$35:$Q$35,1,MATCH(D43&amp;E43,'Coeff EC7'!$D$31:$Q$31&amp;'Coeff EC7'!$D$32:$Q$32,0))</f>
        <v>#N/A</v>
      </c>
      <c r="M43" s="98" t="e">
        <f t="shared" si="8"/>
        <v>#N/A</v>
      </c>
      <c r="N43" s="99" t="e">
        <f t="array" ref="N43">INDEX('Coeff EC7'!$D$7:$Q$27,MATCH($B$3,'Coeff EC7'!$C$7:$C$27,0),MATCH(D43&amp;E43,'Coeff EC7'!$D$5:$Q$5&amp;'Coeff EC7'!$D$6:$Q$6,0))</f>
        <v>#N/A</v>
      </c>
      <c r="O43" s="99" t="e">
        <f t="array" ref="O43">INDEX('Coeff EC7'!$D$41:$Q$61,MATCH($B$3,'Coeff EC7'!$C$41:$C$61,0),MATCH(D43&amp;E43,'Coeff EC7'!$D$39:$Q$39&amp;'Coeff EC7'!$D$40:$Q$40,0))</f>
        <v>#N/A</v>
      </c>
      <c r="P43" s="30" t="e">
        <f t="shared" si="66"/>
        <v>#N/A</v>
      </c>
      <c r="Q43" s="100" t="e">
        <f t="shared" si="10"/>
        <v>#N/A</v>
      </c>
      <c r="R43" s="86" t="b">
        <f t="shared" si="11"/>
        <v>0</v>
      </c>
      <c r="S43" s="86">
        <f t="shared" si="9"/>
        <v>0.5</v>
      </c>
      <c r="T43" s="86">
        <f t="shared" si="12"/>
        <v>0.5</v>
      </c>
      <c r="U43" s="30" t="e">
        <f t="shared" ca="1" si="67"/>
        <v>#DIV/0!</v>
      </c>
      <c r="V43" s="85" t="str">
        <f>IF(B43&lt;=Hypothèses!$V$7,Hypothèses!$W$7,IF(B43&lt;=Hypothèses!$V$8,Hypothèses!$W$8,IF(B43&lt;=Hypothèses!$V$9,Hypothèses!$W$9,IF(B43&lt;=Hypothèses!$V$10,Hypothèses!$W$10,IF(B43&lt;=Hypothèses!$V$11,Hypothèses!$W$11,IF(B43&lt;=Hypothèses!$V$12,Hypothèses!$W$12,IF(B43&lt;=Hypothèses!$V$13,Hypothèses!$W$13,IF(B43&lt;=Hypothèses!$V$14,Hypothèses!$W$14,IF(B43&lt;=Hypothèses!$V$15,Hypothèses!$W$15,IF(B43&lt;=Hypothèses!$V$16,Hypothèses!$W$16,IF(B43&lt;=Hypothèses!$V$17,Hypothèses!$W$17,IF(B43&lt;=Hypothèses!$V$18,Hypothèses!$W$18,""))))))))))))</f>
        <v/>
      </c>
      <c r="W43" s="87" t="e">
        <f t="shared" ca="1" si="116"/>
        <v>#DIV/0!</v>
      </c>
      <c r="X43" s="88" t="str">
        <f>IF(B43&lt;=Hypothèses!$V$7,Hypothèses!$X$7,IF(B43&lt;=Hypothèses!$V$8,Hypothèses!$X$8,IF(B43&lt;=Hypothèses!$V$9,Hypothèses!$X$9,IF(B43&lt;=Hypothèses!$V$10,Hypothèses!$X$10,IF(B43&lt;=Hypothèses!$V$11,Hypothèses!$X$11,IF(B43&lt;=Hypothèses!$V$12,Hypothèses!$X$12,IF(B43&lt;=Hypothèses!$V$13,Hypothèses!$X$13,IF(B43&lt;=Hypothèses!$V$14,Hypothèses!$X$14,IF(B43&lt;=Hypothèses!$V$15,Hypothèses!$X$15,IF(B43&lt;=Hypothèses!$V$16,Hypothèses!$X$16,IF(B43&lt;=Hypothèses!$U$17,Hypothèses!$W$17,IF(B43&lt;=Hypothèses!$U$18,Hypothèses!$W$18,""))))))))))))</f>
        <v/>
      </c>
      <c r="Y43" s="95" t="e">
        <f t="shared" ca="1" si="13"/>
        <v>#DIV/0!</v>
      </c>
      <c r="Z43" s="101">
        <f t="shared" si="14"/>
        <v>0</v>
      </c>
      <c r="AA43" s="91">
        <f t="shared" si="15"/>
        <v>0</v>
      </c>
      <c r="AB43" s="30" t="e">
        <f t="shared" si="100"/>
        <v>#N/A</v>
      </c>
      <c r="AC43" s="30" t="e">
        <f t="shared" si="101"/>
        <v>#N/A</v>
      </c>
      <c r="AD43" s="31" t="e">
        <f>IF(OR(Hypothèses!$B$4=17,Hypothèses!$B$4=18,Hypothèses!$B$4=19,Hypothèses!$B$4=20),
IF($D43="Pressio.",
IF(OR($E43=3,$E43=1,$E43=4),AC43,AB43),
IF($D43="Pénétro.",
IF(OR($E43=3,$E43=1,$E43=4),AC43,AB43))),IF($D43="Pressio.",
IF($E43=3,AC43,AB43),
IF($D43="Pénétro.",
IF($E43=4,AC43,AB43))))</f>
        <v>#N/A</v>
      </c>
      <c r="AE43" s="31">
        <v>0</v>
      </c>
      <c r="AF43" s="102" t="e">
        <f>IF(NDC!$H$10="Oui",(VLOOKUP($B$3,'Coeff EC7'!$T$39:$X$59,2,0)*AD43+VLOOKUP($B$3,'Coeff EC7'!$T$65:$X$85,2,0)*Model0.1T!AE43)/1.5,PI()*AB$12*$Q43*($B43-$B42)*0.15/10+AF42)</f>
        <v>#N/A</v>
      </c>
      <c r="AG43" s="102" t="e">
        <f>(VLOOKUP($B$3,'Coeff EC7'!$T$39:$X$59,3,0)*AD43+VLOOKUP($B$3,'Coeff EC7'!$T$65:$X$85,3,0)*Model0.1T!AE43)/1.1</f>
        <v>#N/A</v>
      </c>
      <c r="AH43" s="102" t="e">
        <f t="shared" si="68"/>
        <v>#N/A</v>
      </c>
      <c r="AI43" s="102" t="e">
        <f t="shared" si="69"/>
        <v>#N/A</v>
      </c>
      <c r="AJ43" s="414" t="e">
        <f>IF(AND(AF43&gt;NDC!$C$63,AG43&gt;NDC!$C$65,AH43&gt;NDC!$D$73,AI43&gt;NDC!$D$74,$B43&gt;NDC!$H$22-0.1+MIN(3*$AJ$12,1.5)),0,1)</f>
        <v>#N/A</v>
      </c>
      <c r="AK43" s="86" t="b">
        <f t="shared" si="18"/>
        <v>0</v>
      </c>
      <c r="AL43" s="86">
        <f t="shared" si="70"/>
        <v>0.5</v>
      </c>
      <c r="AM43" s="86">
        <f t="shared" si="19"/>
        <v>0.5</v>
      </c>
      <c r="AN43" s="30" t="e">
        <f t="shared" ca="1" si="71"/>
        <v>#DIV/0!</v>
      </c>
      <c r="AO43" s="85" t="e">
        <f ca="1">IF(U43&lt;=Hypothèses!$V$7,Hypothèses!$W$7,IF(U43&lt;=Hypothèses!$V$8,Hypothèses!$W$8,IF(U43&lt;=Hypothèses!$V$9,Hypothèses!$W$9,IF(U43&lt;=Hypothèses!$V$10,Hypothèses!$W$10,IF(U43&lt;=Hypothèses!$V$11,Hypothèses!$W$11,IF(U43&lt;=Hypothèses!$V$12,Hypothèses!$W$12,IF(U43&lt;=Hypothèses!$V$13,Hypothèses!$W$13,IF(U43&lt;=Hypothèses!$V$14,Hypothèses!$W$14,IF(U43&lt;=Hypothèses!$V$15,Hypothèses!$W$15,IF(U43&lt;=Hypothèses!$V$16,Hypothèses!$W$16,IF(U43&lt;=Hypothèses!$V$17,Hypothèses!$W$17,IF(U43&lt;=Hypothèses!$V$18,Hypothèses!$W$18,""))))))))))))</f>
        <v>#DIV/0!</v>
      </c>
      <c r="AP43" s="87" t="e">
        <f t="shared" ca="1" si="117"/>
        <v>#DIV/0!</v>
      </c>
      <c r="AQ43" s="88" t="e">
        <f ca="1">IF(U43&lt;=Hypothèses!$V$7,Hypothèses!$X$7,IF(U43&lt;=Hypothèses!$V$8,Hypothèses!$X$8,IF(U43&lt;=Hypothèses!$V$9,Hypothèses!$X$9,IF(U43&lt;=Hypothèses!$V$10,Hypothèses!$X$10,IF(U43&lt;=Hypothèses!$V$11,Hypothèses!$X$11,IF(U43&lt;=Hypothèses!$V$12,Hypothèses!$X$12,IF(U43&lt;=Hypothèses!$V$13,Hypothèses!$X$13,IF(U43&lt;=Hypothèses!$V$14,Hypothèses!$X$14,IF(U43&lt;=Hypothèses!$V$15,Hypothèses!$X$15,IF(U43&lt;=Hypothèses!$V$16,Hypothèses!$X$16,IF(U43&lt;=Hypothèses!$U$17,Hypothèses!$W$17,IF(U43&lt;=Hypothèses!$U$18,Hypothèses!$W$18,""))))))))))))</f>
        <v>#DIV/0!</v>
      </c>
      <c r="AR43" s="95" t="e">
        <f t="shared" ca="1" si="72"/>
        <v>#DIV/0!</v>
      </c>
      <c r="AS43" s="101">
        <f t="shared" si="124"/>
        <v>0</v>
      </c>
      <c r="AT43" s="91">
        <f t="shared" si="21"/>
        <v>0</v>
      </c>
      <c r="AU43" s="30" t="e">
        <f t="shared" si="102"/>
        <v>#N/A</v>
      </c>
      <c r="AV43" s="30" t="e">
        <f t="shared" si="103"/>
        <v>#N/A</v>
      </c>
      <c r="AW43" s="31" t="e">
        <f>IF(OR(Hypothèses!$B$4=17,Hypothèses!$B$4=18,Hypothèses!$B$4=19,Hypothèses!$B$4=20),
IF($D43="Pressio.",
IF(OR($E43=3,$E43=1,$E43=4),AV43,AU43),
IF($D43="Pénétro.",
IF(OR($E43=3,$E43=1,$E43=4),AV43,AU43))),IF($D43="Pressio.",
IF($E43=3,AV43,AU43),
IF($D43="Pénétro.",
IF($E43=4,AV43,AU43))))</f>
        <v>#N/A</v>
      </c>
      <c r="AX43" s="31">
        <v>0</v>
      </c>
      <c r="AY43" s="102" t="e">
        <f>IF(NDC!$H$10="Oui",(VLOOKUP($B$3,'Coeff EC7'!$T$39:$X$59,2,0)*AW43+VLOOKUP($B$3,'Coeff EC7'!$T$65:$X$85,2,0)*Model0.1T!AX43)/1.5,PI()*AU$12*$Q43*($B43-$B42)*0.15/10+AY42)</f>
        <v>#N/A</v>
      </c>
      <c r="AZ43" s="102" t="e">
        <f>(VLOOKUP($B$3,'Coeff EC7'!$T$39:$X$59,3,0)*AW43+VLOOKUP($B$3,'Coeff EC7'!$T$65:$X$85,3,0)*Model0.1T!AX43)/1.1</f>
        <v>#N/A</v>
      </c>
      <c r="BA43" s="102" t="e">
        <f t="shared" si="73"/>
        <v>#N/A</v>
      </c>
      <c r="BB43" s="102" t="e">
        <f t="shared" si="74"/>
        <v>#N/A</v>
      </c>
      <c r="BC43" s="414" t="e">
        <f>IF(AND(AY43&gt;NDC!$C$63,AZ43&gt;NDC!$C$65,BA43&gt;NDC!$D$73,BB43&gt;NDC!$D$74,$B43&gt;NDC!$H$22-0.1+MIN(3*BC$12,1.5)),0,1)</f>
        <v>#N/A</v>
      </c>
      <c r="BD43" s="86" t="b">
        <f t="shared" si="24"/>
        <v>0</v>
      </c>
      <c r="BE43" s="86">
        <f t="shared" si="75"/>
        <v>0.5</v>
      </c>
      <c r="BF43" s="86">
        <f t="shared" si="25"/>
        <v>0.5</v>
      </c>
      <c r="BG43" s="30" t="e">
        <f t="shared" ca="1" si="76"/>
        <v>#DIV/0!</v>
      </c>
      <c r="BH43" s="85" t="e">
        <f ca="1">IF(AN43&lt;=Hypothèses!$V$7,Hypothèses!$W$7,IF(AN43&lt;=Hypothèses!$V$8,Hypothèses!$W$8,IF(AN43&lt;=Hypothèses!$V$9,Hypothèses!$W$9,IF(AN43&lt;=Hypothèses!$V$10,Hypothèses!$W$10,IF(AN43&lt;=Hypothèses!$V$11,Hypothèses!$W$11,IF(AN43&lt;=Hypothèses!$V$12,Hypothèses!$W$12,IF(AN43&lt;=Hypothèses!$V$13,Hypothèses!$W$13,IF(AN43&lt;=Hypothèses!$V$14,Hypothèses!$W$14,IF(AN43&lt;=Hypothèses!$V$15,Hypothèses!$W$15,IF(AN43&lt;=Hypothèses!$V$16,Hypothèses!$W$16,IF(AN43&lt;=Hypothèses!$V$17,Hypothèses!$W$17,IF(AN43&lt;=Hypothèses!$V$18,Hypothèses!$W$18,""))))))))))))</f>
        <v>#DIV/0!</v>
      </c>
      <c r="BI43" s="87" t="e">
        <f t="shared" ca="1" si="118"/>
        <v>#DIV/0!</v>
      </c>
      <c r="BJ43" s="88" t="e">
        <f ca="1">IF(AN43&lt;=Hypothèses!$V$7,Hypothèses!$X$7,IF(AN43&lt;=Hypothèses!$V$8,Hypothèses!$X$8,IF(AN43&lt;=Hypothèses!$V$9,Hypothèses!$X$9,IF(AN43&lt;=Hypothèses!$V$10,Hypothèses!$X$10,IF(AN43&lt;=Hypothèses!$V$11,Hypothèses!$X$11,IF(AN43&lt;=Hypothèses!$V$12,Hypothèses!$X$12,IF(AN43&lt;=Hypothèses!$V$13,Hypothèses!$X$13,IF(AN43&lt;=Hypothèses!$V$14,Hypothèses!$X$14,IF(AN43&lt;=Hypothèses!$V$15,Hypothèses!$X$15,IF(AN43&lt;=Hypothèses!$V$16,Hypothèses!$X$16,IF(AN43&lt;=Hypothèses!$U$17,Hypothèses!$W$17,IF(AN43&lt;=Hypothèses!$U$18,Hypothèses!$W$18,""))))))))))))</f>
        <v>#DIV/0!</v>
      </c>
      <c r="BK43" s="95" t="e">
        <f t="shared" ca="1" si="77"/>
        <v>#DIV/0!</v>
      </c>
      <c r="BL43" s="101">
        <f t="shared" si="125"/>
        <v>0</v>
      </c>
      <c r="BM43" s="91">
        <f t="shared" si="27"/>
        <v>0</v>
      </c>
      <c r="BN43" s="30" t="e">
        <f t="shared" si="104"/>
        <v>#N/A</v>
      </c>
      <c r="BO43" s="30" t="e">
        <f t="shared" si="105"/>
        <v>#N/A</v>
      </c>
      <c r="BP43" s="31" t="e">
        <f>IF(OR(Hypothèses!$B$4=17,Hypothèses!$B$4=18,Hypothèses!$B$4=19,Hypothèses!$B$4=20),
IF($D43="Pressio.",
IF(OR($E43=3,$E43=1,$E43=4),BO43,BN43),
IF($D43="Pénétro.",
IF(OR($E43=3,$E43=1,$E43=4),BO43,BN43))),IF($D43="Pressio.",
IF($E43=3,BO43,BN43),
IF($D43="Pénétro.",
IF($E43=4,BO43,BN43))))</f>
        <v>#N/A</v>
      </c>
      <c r="BQ43" s="31">
        <v>0</v>
      </c>
      <c r="BR43" s="102" t="e">
        <f>IF(NDC!$H$10="Oui",(VLOOKUP($B$3,'Coeff EC7'!$T$39:$X$59,2,0)*BP43+VLOOKUP($B$3,'Coeff EC7'!$T$65:$X$85,2,0)*Model0.1T!BQ43)/1.5,PI()*BN$12*$Q43*($B43-$B42)*0.15/10+BR42)</f>
        <v>#N/A</v>
      </c>
      <c r="BS43" s="102" t="e">
        <f>(VLOOKUP($B$3,'Coeff EC7'!$T$39:$X$59,3,0)*BP43+VLOOKUP($B$3,'Coeff EC7'!$T$65:$X$85,3,0)*Model0.1T!BQ43)/1.1</f>
        <v>#N/A</v>
      </c>
      <c r="BT43" s="102" t="e">
        <f t="shared" si="78"/>
        <v>#N/A</v>
      </c>
      <c r="BU43" s="102" t="e">
        <f t="shared" si="79"/>
        <v>#N/A</v>
      </c>
      <c r="BV43" s="414" t="e">
        <f>IF(AND(BR43&gt;NDC!$C$63,BS43&gt;NDC!$C$65,BT43&gt;NDC!$D$73,BU43&gt;NDC!$D$74,$B43&gt;NDC!$H$22-0.1+MIN(3*BV$12,1.5)),0,1)</f>
        <v>#N/A</v>
      </c>
      <c r="BW43" s="86" t="b">
        <f t="shared" si="30"/>
        <v>0</v>
      </c>
      <c r="BX43" s="86">
        <f t="shared" si="31"/>
        <v>0.5</v>
      </c>
      <c r="BY43" s="86">
        <f t="shared" si="32"/>
        <v>0.5</v>
      </c>
      <c r="BZ43" s="30" t="e">
        <f t="shared" ca="1" si="80"/>
        <v>#DIV/0!</v>
      </c>
      <c r="CA43" s="85" t="e">
        <f ca="1">IF(BG43&lt;=Hypothèses!$V$7,Hypothèses!$W$7,IF(BG43&lt;=Hypothèses!$V$8,Hypothèses!$W$8,IF(BG43&lt;=Hypothèses!$V$9,Hypothèses!$W$9,IF(BG43&lt;=Hypothèses!$V$10,Hypothèses!$W$10,IF(BG43&lt;=Hypothèses!$V$11,Hypothèses!$W$11,IF(BG43&lt;=Hypothèses!$V$12,Hypothèses!$W$12,IF(BG43&lt;=Hypothèses!$V$13,Hypothèses!$W$13,IF(BG43&lt;=Hypothèses!$V$14,Hypothèses!$W$14,IF(BG43&lt;=Hypothèses!$V$15,Hypothèses!$W$15,IF(BG43&lt;=Hypothèses!$V$16,Hypothèses!$W$16,IF(BG43&lt;=Hypothèses!$V$17,Hypothèses!$W$17,IF(BG43&lt;=Hypothèses!$V$18,Hypothèses!$W$18,""))))))))))))</f>
        <v>#DIV/0!</v>
      </c>
      <c r="CB43" s="87" t="e">
        <f t="shared" ca="1" si="119"/>
        <v>#DIV/0!</v>
      </c>
      <c r="CC43" s="88" t="e">
        <f ca="1">IF(BG43&lt;=Hypothèses!$V$7,Hypothèses!$X$7,IF(BG43&lt;=Hypothèses!$V$8,Hypothèses!$X$8,IF(BG43&lt;=Hypothèses!$V$9,Hypothèses!$X$9,IF(BG43&lt;=Hypothèses!$V$10,Hypothèses!$X$10,IF(BG43&lt;=Hypothèses!$V$11,Hypothèses!$X$11,IF(BG43&lt;=Hypothèses!$V$12,Hypothèses!$X$12,IF(BG43&lt;=Hypothèses!$V$13,Hypothèses!$X$13,IF(BG43&lt;=Hypothèses!$V$14,Hypothèses!$X$14,IF(BG43&lt;=Hypothèses!$V$15,Hypothèses!$X$15,IF(BG43&lt;=Hypothèses!$V$16,Hypothèses!$X$16,IF(BG43&lt;=Hypothèses!$U$17,Hypothèses!$W$17,IF(BG43&lt;=Hypothèses!$U$18,Hypothèses!$W$18,""))))))))))))</f>
        <v>#DIV/0!</v>
      </c>
      <c r="CD43" s="95" t="e">
        <f t="shared" ca="1" si="81"/>
        <v>#DIV/0!</v>
      </c>
      <c r="CE43" s="101">
        <f t="shared" si="126"/>
        <v>0</v>
      </c>
      <c r="CF43" s="91">
        <f t="shared" si="34"/>
        <v>0</v>
      </c>
      <c r="CG43" s="30" t="e">
        <f t="shared" si="106"/>
        <v>#N/A</v>
      </c>
      <c r="CH43" s="30" t="e">
        <f t="shared" si="107"/>
        <v>#N/A</v>
      </c>
      <c r="CI43" s="31" t="e">
        <f>IF(OR(Hypothèses!$B$4=17,Hypothèses!$B$4=18,Hypothèses!$B$4=19,Hypothèses!$B$4=20),
IF($D43="Pressio.",
IF(OR($E43=3,$E43=1,$E43=4),CH43,CG43),
IF($D43="Pénétro.",
IF(OR($E43=3,$E43=1,$E43=4),CH43,CG43))),IF($D43="Pressio.",
IF($E43=3,CH43,CG43),
IF($D43="Pénétro.",
IF($E43=4,CH43,CG43))))</f>
        <v>#N/A</v>
      </c>
      <c r="CJ43" s="31">
        <v>0</v>
      </c>
      <c r="CK43" s="102" t="e">
        <f>IF(NDC!$H$10="Oui",(VLOOKUP($B$3,'Coeff EC7'!$T$39:$X$59,2,0)*CI43+VLOOKUP($B$3,'Coeff EC7'!$T$65:$X$85,2,0)*Model0.1T!CJ43)/1.5,PI()*CG$12*$Q43*($B43-$B42)*0.15/10+CK42)</f>
        <v>#N/A</v>
      </c>
      <c r="CL43" s="102" t="e">
        <f>(VLOOKUP($B$3,'Coeff EC7'!$T$39:$X$59,3,0)*CI43+VLOOKUP($B$3,'Coeff EC7'!$T$65:$X$85,3,0)*Model0.1T!CJ43)/1.1</f>
        <v>#N/A</v>
      </c>
      <c r="CM43" s="102" t="e">
        <f t="shared" si="82"/>
        <v>#N/A</v>
      </c>
      <c r="CN43" s="102" t="e">
        <f t="shared" si="83"/>
        <v>#N/A</v>
      </c>
      <c r="CO43" s="414" t="e">
        <f>IF(AND(CK43&gt;NDC!$C$63,CL43&gt;NDC!$C$65,CM43&gt;NDC!$D$73,CN43&gt;NDC!$D$74,$B43&gt;NDC!$H$22-0.1+MIN(3*CO$12,1.5)),0,1)</f>
        <v>#N/A</v>
      </c>
      <c r="CP43" s="86" t="b">
        <f t="shared" si="37"/>
        <v>0</v>
      </c>
      <c r="CQ43" s="86">
        <f t="shared" si="38"/>
        <v>0.5</v>
      </c>
      <c r="CR43" s="86">
        <f t="shared" si="39"/>
        <v>0.5</v>
      </c>
      <c r="CS43" s="30" t="e">
        <f t="shared" ca="1" si="84"/>
        <v>#DIV/0!</v>
      </c>
      <c r="CT43" s="85" t="e">
        <f ca="1">IF(BZ43&lt;=Hypothèses!$V$7,Hypothèses!$W$7,IF(BZ43&lt;=Hypothèses!$V$8,Hypothèses!$W$8,IF(BZ43&lt;=Hypothèses!$V$9,Hypothèses!$W$9,IF(BZ43&lt;=Hypothèses!$V$10,Hypothèses!$W$10,IF(BZ43&lt;=Hypothèses!$V$11,Hypothèses!$W$11,IF(BZ43&lt;=Hypothèses!$V$12,Hypothèses!$W$12,IF(BZ43&lt;=Hypothèses!$V$13,Hypothèses!$W$13,IF(BZ43&lt;=Hypothèses!$V$14,Hypothèses!$W$14,IF(BZ43&lt;=Hypothèses!$V$15,Hypothèses!$W$15,IF(BZ43&lt;=Hypothèses!$V$16,Hypothèses!$W$16,IF(BZ43&lt;=Hypothèses!$V$17,Hypothèses!$W$17,IF(BZ43&lt;=Hypothèses!$V$18,Hypothèses!$W$18,""))))))))))))</f>
        <v>#DIV/0!</v>
      </c>
      <c r="CU43" s="87" t="e">
        <f t="shared" ca="1" si="120"/>
        <v>#DIV/0!</v>
      </c>
      <c r="CV43" s="88" t="e">
        <f ca="1">IF(BZ43&lt;=Hypothèses!$V$7,Hypothèses!$X$7,IF(BZ43&lt;=Hypothèses!$V$8,Hypothèses!$X$8,IF(BZ43&lt;=Hypothèses!$V$9,Hypothèses!$X$9,IF(BZ43&lt;=Hypothèses!$V$10,Hypothèses!$X$10,IF(BZ43&lt;=Hypothèses!$V$11,Hypothèses!$X$11,IF(BZ43&lt;=Hypothèses!$V$12,Hypothèses!$X$12,IF(BZ43&lt;=Hypothèses!$V$13,Hypothèses!$X$13,IF(BZ43&lt;=Hypothèses!$V$14,Hypothèses!$X$14,IF(BZ43&lt;=Hypothèses!$V$15,Hypothèses!$X$15,IF(BZ43&lt;=Hypothèses!$V$16,Hypothèses!$X$16,IF(BZ43&lt;=Hypothèses!$U$17,Hypothèses!$W$17,IF(BZ43&lt;=Hypothèses!$U$18,Hypothèses!$W$18,""))))))))))))</f>
        <v>#DIV/0!</v>
      </c>
      <c r="CW43" s="95" t="e">
        <f t="shared" ca="1" si="85"/>
        <v>#DIV/0!</v>
      </c>
      <c r="CX43" s="101">
        <f t="shared" si="127"/>
        <v>0</v>
      </c>
      <c r="CY43" s="91">
        <f t="shared" si="41"/>
        <v>0</v>
      </c>
      <c r="CZ43" s="30" t="e">
        <f t="shared" si="108"/>
        <v>#N/A</v>
      </c>
      <c r="DA43" s="30" t="e">
        <f t="shared" si="109"/>
        <v>#N/A</v>
      </c>
      <c r="DB43" s="31" t="e">
        <f>IF(OR(Hypothèses!$B$4=17,Hypothèses!$B$4=18,Hypothèses!$B$4=19,Hypothèses!$B$4=20),
IF($D43="Pressio.",
IF(OR($E43=3,$E43=1,$E43=4),DA43,CZ43),
IF($D43="Pénétro.",
IF(OR($E43=3,$E43=1,$E43=4),DA43,CZ43))),IF($D43="Pressio.",
IF($E43=3,DA43,CZ43),
IF($D43="Pénétro.",
IF($E43=4,DA43,CZ43))))</f>
        <v>#N/A</v>
      </c>
      <c r="DC43" s="31">
        <v>0</v>
      </c>
      <c r="DD43" s="102" t="e">
        <f>IF(NDC!$H$10="Oui",(VLOOKUP($B$3,'Coeff EC7'!$T$39:$X$59,2,0)*DB43+VLOOKUP($B$3,'Coeff EC7'!$T$65:$X$85,2,0)*Model0.1T!DC43)/1.5,PI()*CZ$12*$Q43*($B43-$B42)*0.15/10+DD42)</f>
        <v>#N/A</v>
      </c>
      <c r="DE43" s="102" t="e">
        <f>(VLOOKUP($B$3,'Coeff EC7'!$T$39:$X$59,3,0)*DB43+VLOOKUP($B$3,'Coeff EC7'!$T$65:$X$85,3,0)*Model0.1T!DC43)/1.1</f>
        <v>#N/A</v>
      </c>
      <c r="DF43" s="102" t="e">
        <f t="shared" si="86"/>
        <v>#N/A</v>
      </c>
      <c r="DG43" s="102" t="e">
        <f t="shared" si="87"/>
        <v>#N/A</v>
      </c>
      <c r="DH43" s="414" t="e">
        <f>IF(AND(DD43&gt;NDC!$C$63,DE43&gt;NDC!$C$65,DF43&gt;NDC!$D$73,DG43&gt;NDC!$D$74,$B43&gt;NDC!$H$22-0.1+MIN(3*DH$12,1.5)),0,1)</f>
        <v>#N/A</v>
      </c>
      <c r="DI43" s="86" t="b">
        <f t="shared" si="44"/>
        <v>0</v>
      </c>
      <c r="DJ43" s="86">
        <f t="shared" si="45"/>
        <v>0.5</v>
      </c>
      <c r="DK43" s="86">
        <f t="shared" si="46"/>
        <v>0.5</v>
      </c>
      <c r="DL43" s="30" t="e">
        <f t="shared" ca="1" si="88"/>
        <v>#DIV/0!</v>
      </c>
      <c r="DM43" s="85" t="e">
        <f ca="1">IF(CS43&lt;=Hypothèses!$V$7,Hypothèses!$W$7,IF(CS43&lt;=Hypothèses!$V$8,Hypothèses!$W$8,IF(CS43&lt;=Hypothèses!$V$9,Hypothèses!$W$9,IF(CS43&lt;=Hypothèses!$V$10,Hypothèses!$W$10,IF(CS43&lt;=Hypothèses!$V$11,Hypothèses!$W$11,IF(CS43&lt;=Hypothèses!$V$12,Hypothèses!$W$12,IF(CS43&lt;=Hypothèses!$V$13,Hypothèses!$W$13,IF(CS43&lt;=Hypothèses!$V$14,Hypothèses!$W$14,IF(CS43&lt;=Hypothèses!$V$15,Hypothèses!$W$15,IF(CS43&lt;=Hypothèses!$V$16,Hypothèses!$W$16,IF(CS43&lt;=Hypothèses!$V$17,Hypothèses!$W$17,IF(CS43&lt;=Hypothèses!$V$18,Hypothèses!$W$18,""))))))))))))</f>
        <v>#DIV/0!</v>
      </c>
      <c r="DN43" s="87" t="e">
        <f t="shared" ca="1" si="121"/>
        <v>#DIV/0!</v>
      </c>
      <c r="DO43" s="88" t="e">
        <f ca="1">IF(CS43&lt;=Hypothèses!$V$7,Hypothèses!$X$7,IF(CS43&lt;=Hypothèses!$V$8,Hypothèses!$X$8,IF(CS43&lt;=Hypothèses!$V$9,Hypothèses!$X$9,IF(CS43&lt;=Hypothèses!$V$10,Hypothèses!$X$10,IF(CS43&lt;=Hypothèses!$V$11,Hypothèses!$X$11,IF(CS43&lt;=Hypothèses!$V$12,Hypothèses!$X$12,IF(CS43&lt;=Hypothèses!$V$13,Hypothèses!$X$13,IF(CS43&lt;=Hypothèses!$V$14,Hypothèses!$X$14,IF(CS43&lt;=Hypothèses!$V$15,Hypothèses!$X$15,IF(CS43&lt;=Hypothèses!$V$16,Hypothèses!$X$16,IF(CS43&lt;=Hypothèses!$U$17,Hypothèses!$W$17,IF(CS43&lt;=Hypothèses!$U$18,Hypothèses!$W$18,""))))))))))))</f>
        <v>#DIV/0!</v>
      </c>
      <c r="DP43" s="95" t="e">
        <f t="shared" ca="1" si="89"/>
        <v>#DIV/0!</v>
      </c>
      <c r="DQ43" s="101">
        <f t="shared" si="128"/>
        <v>0</v>
      </c>
      <c r="DR43" s="91">
        <f t="shared" si="48"/>
        <v>0</v>
      </c>
      <c r="DS43" s="30" t="e">
        <f t="shared" si="110"/>
        <v>#N/A</v>
      </c>
      <c r="DT43" s="30" t="e">
        <f t="shared" si="111"/>
        <v>#N/A</v>
      </c>
      <c r="DU43" s="31" t="e">
        <f>IF(OR(Hypothèses!$B$4=17,Hypothèses!$B$4=18,Hypothèses!$B$4=19,Hypothèses!$B$4=20),
IF($D43="Pressio.",
IF(OR($E43=3,$E43=1,$E43=4),DT43,DS43),
IF($D43="Pénétro.",
IF(OR($E43=3,$E43=1,$E43=4),DT43,DS43))),IF($D43="Pressio.",
IF($E43=3,DT43,DS43),
IF($D43="Pénétro.",
IF($E43=4,DT43,DS43))))</f>
        <v>#N/A</v>
      </c>
      <c r="DV43" s="31">
        <v>0</v>
      </c>
      <c r="DW43" s="102" t="e">
        <f>IF(NDC!$H$10="Oui",(VLOOKUP($B$3,'Coeff EC7'!$T$39:$X$59,2,0)*DU43+VLOOKUP($B$3,'Coeff EC7'!$T$65:$X$85,2,0)*Model0.1T!DV43)/1.5,PI()*DS$12*$Q43*($B43-$B42)*0.15/10+DW42)</f>
        <v>#N/A</v>
      </c>
      <c r="DX43" s="102" t="e">
        <f>(VLOOKUP($B$3,'Coeff EC7'!$T$39:$X$59,3,0)*DU43+VLOOKUP($B$3,'Coeff EC7'!$T$65:$X$85,3,0)*Model0.1T!DV43)/1.1</f>
        <v>#N/A</v>
      </c>
      <c r="DY43" s="102" t="e">
        <f t="shared" si="90"/>
        <v>#N/A</v>
      </c>
      <c r="DZ43" s="102" t="e">
        <f t="shared" si="91"/>
        <v>#N/A</v>
      </c>
      <c r="EA43" s="414" t="e">
        <f>IF(AND(DW43&gt;NDC!$C$63,DX43&gt;NDC!$C$65,DY43&gt;NDC!$D$73,DZ43&gt;NDC!$D$74,$B43&gt;NDC!$H$22-0.1+MIN(3*EA$12,1.5)),0,1)</f>
        <v>#N/A</v>
      </c>
      <c r="EB43" s="86" t="b">
        <f t="shared" si="51"/>
        <v>0</v>
      </c>
      <c r="EC43" s="418">
        <f t="shared" si="52"/>
        <v>0.51</v>
      </c>
      <c r="ED43" s="86">
        <f t="shared" si="53"/>
        <v>0.51</v>
      </c>
      <c r="EE43" s="30" t="e">
        <f t="shared" ca="1" si="92"/>
        <v>#DIV/0!</v>
      </c>
      <c r="EF43" s="85" t="e">
        <f ca="1">IF(DL43&lt;=Hypothèses!$V$7,Hypothèses!$W$7,IF(DL43&lt;=Hypothèses!$V$8,Hypothèses!$W$8,IF(DL43&lt;=Hypothèses!$V$9,Hypothèses!$W$9,IF(DL43&lt;=Hypothèses!$V$10,Hypothèses!$W$10,IF(DL43&lt;=Hypothèses!$V$11,Hypothèses!$W$11,IF(DL43&lt;=Hypothèses!$V$12,Hypothèses!$W$12,IF(DL43&lt;=Hypothèses!$V$13,Hypothèses!$W$13,IF(DL43&lt;=Hypothèses!$V$14,Hypothèses!$W$14,IF(DL43&lt;=Hypothèses!$V$15,Hypothèses!$W$15,IF(DL43&lt;=Hypothèses!$V$16,Hypothèses!$W$16,IF(DL43&lt;=Hypothèses!$V$17,Hypothèses!$W$17,IF(DL43&lt;=Hypothèses!$V$18,Hypothèses!$W$18,""))))))))))))</f>
        <v>#DIV/0!</v>
      </c>
      <c r="EG43" s="87" t="e">
        <f t="shared" ca="1" si="122"/>
        <v>#DIV/0!</v>
      </c>
      <c r="EH43" s="88" t="e">
        <f ca="1">IF(DL43&lt;=Hypothèses!$V$7,Hypothèses!$X$7,IF(DL43&lt;=Hypothèses!$V$8,Hypothèses!$X$8,IF(DL43&lt;=Hypothèses!$V$9,Hypothèses!$X$9,IF(DL43&lt;=Hypothèses!$V$10,Hypothèses!$X$10,IF(DL43&lt;=Hypothèses!$V$11,Hypothèses!$X$11,IF(DL43&lt;=Hypothèses!$V$12,Hypothèses!$X$12,IF(DL43&lt;=Hypothèses!$V$13,Hypothèses!$X$13,IF(DL43&lt;=Hypothèses!$V$14,Hypothèses!$X$14,IF(DL43&lt;=Hypothèses!$V$15,Hypothèses!$X$15,IF(DL43&lt;=Hypothèses!$V$16,Hypothèses!$X$16,IF(DL43&lt;=Hypothèses!$U$17,Hypothèses!$W$17,IF(DL43&lt;=Hypothèses!$U$18,Hypothèses!$W$18,""))))))))))))</f>
        <v>#DIV/0!</v>
      </c>
      <c r="EI43" s="95" t="e">
        <f t="shared" ca="1" si="93"/>
        <v>#DIV/0!</v>
      </c>
      <c r="EJ43" s="101">
        <f t="shared" si="129"/>
        <v>0</v>
      </c>
      <c r="EK43" s="91">
        <f t="shared" si="55"/>
        <v>0</v>
      </c>
      <c r="EL43" s="30" t="e">
        <f t="shared" si="112"/>
        <v>#N/A</v>
      </c>
      <c r="EM43" s="30" t="e">
        <f t="shared" si="113"/>
        <v>#N/A</v>
      </c>
      <c r="EN43" s="31" t="e">
        <f>IF(OR(Hypothèses!$B$4=17,Hypothèses!$B$4=18,Hypothèses!$B$4=19,Hypothèses!$B$4=20),
IF($D43="Pressio.",
IF(OR($E43=3,$E43=1,$E43=4),EM43,EL43),
IF($D43="Pénétro.",
IF(OR($E43=3,$E43=1,$E43=4),EM43,EL43))),IF($D43="Pressio.",
IF($E43=3,EM43,EL43),
IF($D43="Pénétro.",
IF($E43=4,EM43,EL43))))</f>
        <v>#N/A</v>
      </c>
      <c r="EO43" s="31">
        <v>0</v>
      </c>
      <c r="EP43" s="102" t="e">
        <f>IF(NDC!$H$10="Oui",(VLOOKUP($B$3,'Coeff EC7'!$T$39:$X$59,2,0)*EN43+VLOOKUP($B$3,'Coeff EC7'!$T$65:$X$85,2,0)*Model0.1T!EO43)/1.5,PI()*EL$12*$Q43*($B43-$B42)*0.15/10+EP42)</f>
        <v>#N/A</v>
      </c>
      <c r="EQ43" s="102" t="e">
        <f>(VLOOKUP($B$3,'Coeff EC7'!$T$39:$X$59,3,0)*EN43+VLOOKUP($B$3,'Coeff EC7'!$T$65:$X$85,3,0)*Model0.1T!EO43)/1.1</f>
        <v>#N/A</v>
      </c>
      <c r="ER43" s="102" t="e">
        <f t="shared" si="94"/>
        <v>#N/A</v>
      </c>
      <c r="ES43" s="102" t="e">
        <f t="shared" si="95"/>
        <v>#N/A</v>
      </c>
      <c r="ET43" s="414" t="e">
        <f>IF(AND(EP43&gt;NDC!$C$63,EQ43&gt;NDC!$C$65,ER43&gt;NDC!$D$73,ES43&gt;NDC!$D$74,$B43&gt;NDC!$H$22-0.1+MIN(3*ET$12,1.5)),0,1)</f>
        <v>#N/A</v>
      </c>
      <c r="EU43" s="86" t="b">
        <f t="shared" si="58"/>
        <v>0</v>
      </c>
      <c r="EV43" s="86">
        <f t="shared" si="59"/>
        <v>0.61</v>
      </c>
      <c r="EW43" s="86">
        <f t="shared" si="60"/>
        <v>0.61</v>
      </c>
      <c r="EX43" s="30" t="e">
        <f t="shared" ca="1" si="96"/>
        <v>#DIV/0!</v>
      </c>
      <c r="EY43" s="85" t="e">
        <f ca="1">IF(EE43&lt;=Hypothèses!$V$7,Hypothèses!$W$7,IF(EE43&lt;=Hypothèses!$V$8,Hypothèses!$W$8,IF(EE43&lt;=Hypothèses!$V$9,Hypothèses!$W$9,IF(EE43&lt;=Hypothèses!$V$10,Hypothèses!$W$10,IF(EE43&lt;=Hypothèses!$V$11,Hypothèses!$W$11,IF(EE43&lt;=Hypothèses!$V$12,Hypothèses!$W$12,IF(EE43&lt;=Hypothèses!$V$13,Hypothèses!$W$13,IF(EE43&lt;=Hypothèses!$V$14,Hypothèses!$W$14,IF(EE43&lt;=Hypothèses!$V$15,Hypothèses!$W$15,IF(EE43&lt;=Hypothèses!$V$16,Hypothèses!$W$16,IF(EE43&lt;=Hypothèses!$V$17,Hypothèses!$W$17,IF(EE43&lt;=Hypothèses!$V$18,Hypothèses!$W$18,""))))))))))))</f>
        <v>#DIV/0!</v>
      </c>
      <c r="EZ43" s="87" t="e">
        <f t="shared" ca="1" si="123"/>
        <v>#DIV/0!</v>
      </c>
      <c r="FA43" s="88" t="e">
        <f ca="1">IF(EE43&lt;=Hypothèses!$V$7,Hypothèses!$X$7,IF(EE43&lt;=Hypothèses!$V$8,Hypothèses!$X$8,IF(EE43&lt;=Hypothèses!$V$9,Hypothèses!$X$9,IF(EE43&lt;=Hypothèses!$V$10,Hypothèses!$X$10,IF(EE43&lt;=Hypothèses!$V$11,Hypothèses!$X$11,IF(EE43&lt;=Hypothèses!$V$12,Hypothèses!$X$12,IF(EE43&lt;=Hypothèses!$V$13,Hypothèses!$X$13,IF(EE43&lt;=Hypothèses!$V$14,Hypothèses!$X$14,IF(EE43&lt;=Hypothèses!$V$15,Hypothèses!$X$15,IF(EE43&lt;=Hypothèses!$V$16,Hypothèses!$X$16,IF(EE43&lt;=Hypothèses!$U$17,Hypothèses!$W$17,IF(EE43&lt;=Hypothèses!$U$18,Hypothèses!$W$18,""))))))))))))</f>
        <v>#DIV/0!</v>
      </c>
      <c r="FB43" s="95" t="e">
        <f t="shared" ca="1" si="97"/>
        <v>#DIV/0!</v>
      </c>
      <c r="FC43" s="101">
        <f t="shared" si="130"/>
        <v>0</v>
      </c>
      <c r="FD43" s="91">
        <f t="shared" si="62"/>
        <v>0</v>
      </c>
      <c r="FE43" s="30" t="e">
        <f t="shared" si="114"/>
        <v>#N/A</v>
      </c>
      <c r="FF43" s="30" t="e">
        <f t="shared" si="115"/>
        <v>#N/A</v>
      </c>
      <c r="FG43" s="31" t="e">
        <f>IF(OR(Hypothèses!$B$4=17,Hypothèses!$B$4=18,Hypothèses!$B$4=19,Hypothèses!$B$4=20),
IF($D43="Pressio.",
IF(OR($E43=3,$E43=1,$E43=4),FF43,FE43),
IF($D43="Pénétro.",
IF(OR($E43=3,$E43=1,$E43=4),FF43,FE43))),IF($D43="Pressio.",
IF($E43=3,FF43,FE43),
IF($D43="Pénétro.",
IF($E43=4,FF43,FE43))))</f>
        <v>#N/A</v>
      </c>
      <c r="FH43" s="31">
        <v>0</v>
      </c>
      <c r="FI43" s="102" t="e">
        <f>IF(NDC!$H$10="Oui",(VLOOKUP($B$3,'Coeff EC7'!$T$39:$X$59,2,0)*FG43+VLOOKUP($B$3,'Coeff EC7'!$T$65:$X$85,2,0)*Model0.1T!FH43)/1.5,PI()*FE$12*$Q43*($B43-$B42)*0.15/10+FI42)</f>
        <v>#N/A</v>
      </c>
      <c r="FJ43" s="102" t="e">
        <f>(VLOOKUP($B$3,'Coeff EC7'!$T$39:$X$59,3,0)*FG43+VLOOKUP($B$3,'Coeff EC7'!$T$65:$X$85,3,0)*Model0.1T!FH43)/1.1</f>
        <v>#N/A</v>
      </c>
      <c r="FK43" s="102" t="e">
        <f t="shared" si="98"/>
        <v>#N/A</v>
      </c>
      <c r="FL43" s="102" t="e">
        <f t="shared" si="99"/>
        <v>#N/A</v>
      </c>
      <c r="FM43" s="414" t="e">
        <f>IF(AND(FI43&gt;NDC!$C$63,FJ43&gt;NDC!$C$65,FK43&gt;NDC!$D$73,FL43&gt;NDC!$D$74,$B43&gt;NDC!$H$22-0.1+MIN(3*FM$12,1.5)),0,1)</f>
        <v>#N/A</v>
      </c>
    </row>
    <row r="44" spans="1:169">
      <c r="A44" s="96">
        <f t="shared" si="65"/>
        <v>96.900000000000176</v>
      </c>
      <c r="B44" s="97">
        <v>3.1</v>
      </c>
      <c r="C44" s="81">
        <f>IF(B44&lt;=Hypothèses!$C$7,Hypothèses!$A$7,IF(B44&lt;=Hypothèses!$C$8,Hypothèses!$A$8,IF(B44&lt;=Hypothèses!$C$9,Hypothèses!$A$9,IF(B44&lt;=Hypothèses!$C$10,Hypothèses!$A$10,IF(B44&lt;=Hypothèses!$C$11,Hypothèses!$A$11,IF(B44&lt;=Hypothèses!$C$12,Hypothèses!$A$12,IF(B44&lt;=Hypothèses!$C$13,Hypothèses!$A$13,IF(B44&lt;=Hypothèses!$C$14,Hypothèses!$A$14,IF(B44&lt;=Hypothèses!$C$15,Hypothèses!$A$15,IF(B44&lt;=Hypothèses!$C$16,Hypothèses!$A$16,IF(B44&lt;=Hypothèses!$C$17,Hypothèses!$A$17,IF(B44&lt;=Hypothèses!$C$18,Hypothèses!$A$18,C43))))))))))))</f>
        <v>11</v>
      </c>
      <c r="D44" s="82" t="str">
        <f>IF(B44&lt;=Hypothèses!$C$7,Hypothèses!$R$7,IF(B44&lt;=Hypothèses!$C$8,Hypothèses!$R$8,IF(B44&lt;=Hypothèses!$C$9,Hypothèses!$R$9,IF(B44&lt;=Hypothèses!$C$10,Hypothèses!$R$10,IF(B44&lt;=Hypothèses!$C$11,Hypothèses!$R$11,IF(B44&lt;=Hypothèses!$C$12,Hypothèses!$R$12,IF(B44&lt;=Hypothèses!$C$13,Hypothèses!$R$13,IF(B44&lt;=Hypothèses!$C$14,Hypothèses!$R$14,IF(B44&lt;=Hypothèses!$C$15,Hypothèses!$R$15,IF(B44&lt;=Hypothèses!$C$16,Hypothèses!$R$16,IF(B44&lt;=Hypothèses!$C$17,Hypothèses!$R$17,IF(B44&lt;=Hypothèses!$C$18,Hypothèses!$R$18,D43))))))))))))</f>
        <v>Pressio.</v>
      </c>
      <c r="E44" s="82" t="e">
        <f>IF(B44&lt;=Hypothèses!$C$7,Hypothèses!$G$7,IF(B44&lt;=Hypothèses!$C$8,Hypothèses!$G$8,IF(B44&lt;=Hypothèses!$C$9,Hypothèses!$G$9,IF(B44&lt;=Hypothèses!$C$10,Hypothèses!$G$10,IF(B44&lt;=Hypothèses!$C$11,Hypothèses!$G$11,IF(B44&lt;=Hypothèses!$C$12,Hypothèses!$G$12,IF(B44&lt;=Hypothèses!$C$13,Hypothèses!$G$13,IF(B44&lt;=Hypothèses!$C$14,Hypothèses!$G$14,IF(B44&lt;=Hypothèses!$C$15,Hypothèses!$G$15,IF(B44&lt;=Hypothèses!$C$16,Hypothèses!$G$16,IF(B44&lt;=Hypothèses!$C$17,Hypothèses!$G$17,IF(B44&lt;=Hypothèses!$C$18,Hypothèses!$G$18,E43))))))))))))</f>
        <v>#N/A</v>
      </c>
      <c r="F44" s="82" t="str">
        <f>IF(B44&lt;=Hypothèses!$C$7,Hypothèses!$F$7,IF(B44&lt;=Hypothèses!$C$8,Hypothèses!$F$8,IF(B44&lt;=Hypothèses!$C$9,Hypothèses!$F$9,IF(B44&lt;=Hypothèses!$C$10,Hypothèses!$F$10,IF(B44&lt;=Hypothèses!$C$11,Hypothèses!$F$11,IF(B44&lt;=Hypothèses!$C$12,Hypothèses!$F$12,IF(B44&lt;=Hypothèses!$C$13,Hypothèses!$F$13,IF(B44&lt;=Hypothèses!$C$14,Hypothèses!$F$14,IF(B44&lt;=Hypothèses!$C$15,Hypothèses!$F$15,IF(B44&lt;=Hypothèses!$C$16,Hypothèses!$F$16,IF(B44&lt;=Hypothèses!$C$17,Hypothèses!$F$17,IF(B44&lt;=Hypothèses!$C$18,Hypothèses!$F$18,F43))))))))))))</f>
        <v/>
      </c>
      <c r="G44" s="91">
        <f t="array" ref="G44">INDEX('Coeff EC7'!$U$7:$X$27,
MATCH(Model0.1T!$B$3,'Coeff EC7'!$T$7:$T$27,0),
MATCH(Model0.1T!$D44&amp;Model0.1T!$B$4,
'Coeff EC7'!$U$6:$X$6&amp;
'Coeff EC7'!$U$5:$X$5,0))</f>
        <v>1.4</v>
      </c>
      <c r="H44" s="91">
        <f t="array" ref="H44">INDEX('Coeff EC7'!$Y$7:$AB$27,
MATCH(Model0.1T!$B$3,'Coeff EC7'!$T$7:$T$27,0),
MATCH(Model0.1T!$D44&amp;Model0.1T!$B$4,
'Coeff EC7'!$Y$6:$AB$6&amp;
'Coeff EC7'!$Y$5:$AB$5,0))</f>
        <v>1.7</v>
      </c>
      <c r="I44" s="83">
        <v>0</v>
      </c>
      <c r="J44" s="91" t="e">
        <f t="array" ref="J44">INDEX('Coeff EC7'!$D$33:$Q$33,1,MATCH(D44&amp;E44,'Coeff EC7'!$D$31:$Q$31&amp;'Coeff EC7'!$D$32:$Q$32,0))</f>
        <v>#N/A</v>
      </c>
      <c r="K44" s="91" t="e">
        <f t="array" ref="K44">INDEX('Coeff EC7'!$D$34:$Q$34,1,MATCH(D44&amp;E44,'Coeff EC7'!$D$31:$Q$31&amp;'Coeff EC7'!$D$32:$Q$32,0))</f>
        <v>#N/A</v>
      </c>
      <c r="L44" s="91" t="e">
        <f t="array" ref="L44">INDEX('Coeff EC7'!$D$35:$Q$35,1,MATCH(D44&amp;E44,'Coeff EC7'!$D$31:$Q$31&amp;'Coeff EC7'!$D$32:$Q$32,0))</f>
        <v>#N/A</v>
      </c>
      <c r="M44" s="98" t="e">
        <f t="shared" si="8"/>
        <v>#N/A</v>
      </c>
      <c r="N44" s="99" t="e">
        <f t="array" ref="N44">INDEX('Coeff EC7'!$D$7:$Q$27,MATCH($B$3,'Coeff EC7'!$C$7:$C$27,0),MATCH(D44&amp;E44,'Coeff EC7'!$D$5:$Q$5&amp;'Coeff EC7'!$D$6:$Q$6,0))</f>
        <v>#N/A</v>
      </c>
      <c r="O44" s="99" t="e">
        <f t="array" ref="O44">INDEX('Coeff EC7'!$D$41:$Q$61,MATCH($B$3,'Coeff EC7'!$C$41:$C$61,0),MATCH(D44&amp;E44,'Coeff EC7'!$D$39:$Q$39&amp;'Coeff EC7'!$D$40:$Q$40,0))</f>
        <v>#N/A</v>
      </c>
      <c r="P44" s="30" t="e">
        <f t="shared" si="66"/>
        <v>#N/A</v>
      </c>
      <c r="Q44" s="100" t="e">
        <f t="shared" si="10"/>
        <v>#N/A</v>
      </c>
      <c r="R44" s="86" t="b">
        <f t="shared" si="11"/>
        <v>0</v>
      </c>
      <c r="S44" s="86">
        <f t="shared" si="9"/>
        <v>0.5</v>
      </c>
      <c r="T44" s="86">
        <f t="shared" si="12"/>
        <v>0.5</v>
      </c>
      <c r="U44" s="30" t="e">
        <f t="shared" ca="1" si="67"/>
        <v>#DIV/0!</v>
      </c>
      <c r="V44" s="85" t="str">
        <f>IF(B44&lt;=Hypothèses!$V$7,Hypothèses!$W$7,IF(B44&lt;=Hypothèses!$V$8,Hypothèses!$W$8,IF(B44&lt;=Hypothèses!$V$9,Hypothèses!$W$9,IF(B44&lt;=Hypothèses!$V$10,Hypothèses!$W$10,IF(B44&lt;=Hypothèses!$V$11,Hypothèses!$W$11,IF(B44&lt;=Hypothèses!$V$12,Hypothèses!$W$12,IF(B44&lt;=Hypothèses!$V$13,Hypothèses!$W$13,IF(B44&lt;=Hypothèses!$V$14,Hypothèses!$W$14,IF(B44&lt;=Hypothèses!$V$15,Hypothèses!$W$15,IF(B44&lt;=Hypothèses!$V$16,Hypothèses!$W$16,IF(B44&lt;=Hypothèses!$V$17,Hypothèses!$W$17,IF(B44&lt;=Hypothèses!$V$18,Hypothèses!$W$18,""))))))))))))</f>
        <v/>
      </c>
      <c r="W44" s="87" t="e">
        <f t="shared" ca="1" si="116"/>
        <v>#DIV/0!</v>
      </c>
      <c r="X44" s="88" t="str">
        <f>IF(B44&lt;=Hypothèses!$V$7,Hypothèses!$X$7,IF(B44&lt;=Hypothèses!$V$8,Hypothèses!$X$8,IF(B44&lt;=Hypothèses!$V$9,Hypothèses!$X$9,IF(B44&lt;=Hypothèses!$V$10,Hypothèses!$X$10,IF(B44&lt;=Hypothèses!$V$11,Hypothèses!$X$11,IF(B44&lt;=Hypothèses!$V$12,Hypothèses!$X$12,IF(B44&lt;=Hypothèses!$V$13,Hypothèses!$X$13,IF(B44&lt;=Hypothèses!$V$14,Hypothèses!$X$14,IF(B44&lt;=Hypothèses!$V$15,Hypothèses!$X$15,IF(B44&lt;=Hypothèses!$V$16,Hypothèses!$X$16,IF(B44&lt;=Hypothèses!$U$17,Hypothèses!$W$17,IF(B44&lt;=Hypothèses!$U$18,Hypothèses!$W$18,""))))))))))))</f>
        <v/>
      </c>
      <c r="Y44" s="95" t="e">
        <f t="shared" ca="1" si="13"/>
        <v>#DIV/0!</v>
      </c>
      <c r="Z44" s="101">
        <f t="shared" si="14"/>
        <v>0</v>
      </c>
      <c r="AA44" s="91">
        <f t="shared" si="15"/>
        <v>0</v>
      </c>
      <c r="AB44" s="30" t="e">
        <f t="shared" si="100"/>
        <v>#N/A</v>
      </c>
      <c r="AC44" s="30" t="e">
        <f t="shared" si="101"/>
        <v>#N/A</v>
      </c>
      <c r="AD44" s="31" t="e">
        <f>IF(OR(Hypothèses!$B$4=17,Hypothèses!$B$4=18,Hypothèses!$B$4=19,Hypothèses!$B$4=20),
IF($D44="Pressio.",
IF(OR($E44=3,$E44=1,$E44=4),AC44,AB44),
IF($D44="Pénétro.",
IF(OR($E44=3,$E44=1,$E44=4),AC44,AB44))),IF($D44="Pressio.",
IF($E44=3,AC44,AB44),
IF($D44="Pénétro.",
IF($E44=4,AC44,AB44))))</f>
        <v>#N/A</v>
      </c>
      <c r="AE44" s="31">
        <v>0</v>
      </c>
      <c r="AF44" s="102" t="e">
        <f>IF(NDC!$H$10="Oui",(VLOOKUP($B$3,'Coeff EC7'!$T$39:$X$59,2,0)*AD44+VLOOKUP($B$3,'Coeff EC7'!$T$65:$X$85,2,0)*Model0.1T!AE44)/1.5,PI()*AB$12*$Q44*($B44-$B43)*0.15/10+AF43)</f>
        <v>#N/A</v>
      </c>
      <c r="AG44" s="102" t="e">
        <f>(VLOOKUP($B$3,'Coeff EC7'!$T$39:$X$59,3,0)*AD44+VLOOKUP($B$3,'Coeff EC7'!$T$65:$X$85,3,0)*Model0.1T!AE44)/1.1</f>
        <v>#N/A</v>
      </c>
      <c r="AH44" s="102" t="e">
        <f t="shared" si="68"/>
        <v>#N/A</v>
      </c>
      <c r="AI44" s="102" t="e">
        <f t="shared" si="69"/>
        <v>#N/A</v>
      </c>
      <c r="AJ44" s="414" t="e">
        <f>IF(AND(AF44&gt;NDC!$C$63,AG44&gt;NDC!$C$65,AH44&gt;NDC!$D$73,AI44&gt;NDC!$D$74,$B44&gt;NDC!$H$22-0.1+MIN(3*$AJ$12,1.5)),0,1)</f>
        <v>#N/A</v>
      </c>
      <c r="AK44" s="86" t="b">
        <f t="shared" si="18"/>
        <v>0</v>
      </c>
      <c r="AL44" s="86">
        <f t="shared" si="70"/>
        <v>0.5</v>
      </c>
      <c r="AM44" s="86">
        <f t="shared" si="19"/>
        <v>0.5</v>
      </c>
      <c r="AN44" s="30" t="e">
        <f t="shared" ca="1" si="71"/>
        <v>#DIV/0!</v>
      </c>
      <c r="AO44" s="85" t="e">
        <f ca="1">IF(U44&lt;=Hypothèses!$V$7,Hypothèses!$W$7,IF(U44&lt;=Hypothèses!$V$8,Hypothèses!$W$8,IF(U44&lt;=Hypothèses!$V$9,Hypothèses!$W$9,IF(U44&lt;=Hypothèses!$V$10,Hypothèses!$W$10,IF(U44&lt;=Hypothèses!$V$11,Hypothèses!$W$11,IF(U44&lt;=Hypothèses!$V$12,Hypothèses!$W$12,IF(U44&lt;=Hypothèses!$V$13,Hypothèses!$W$13,IF(U44&lt;=Hypothèses!$V$14,Hypothèses!$W$14,IF(U44&lt;=Hypothèses!$V$15,Hypothèses!$W$15,IF(U44&lt;=Hypothèses!$V$16,Hypothèses!$W$16,IF(U44&lt;=Hypothèses!$V$17,Hypothèses!$W$17,IF(U44&lt;=Hypothèses!$V$18,Hypothèses!$W$18,""))))))))))))</f>
        <v>#DIV/0!</v>
      </c>
      <c r="AP44" s="87" t="e">
        <f t="shared" ca="1" si="117"/>
        <v>#DIV/0!</v>
      </c>
      <c r="AQ44" s="88" t="e">
        <f ca="1">IF(U44&lt;=Hypothèses!$V$7,Hypothèses!$X$7,IF(U44&lt;=Hypothèses!$V$8,Hypothèses!$X$8,IF(U44&lt;=Hypothèses!$V$9,Hypothèses!$X$9,IF(U44&lt;=Hypothèses!$V$10,Hypothèses!$X$10,IF(U44&lt;=Hypothèses!$V$11,Hypothèses!$X$11,IF(U44&lt;=Hypothèses!$V$12,Hypothèses!$X$12,IF(U44&lt;=Hypothèses!$V$13,Hypothèses!$X$13,IF(U44&lt;=Hypothèses!$V$14,Hypothèses!$X$14,IF(U44&lt;=Hypothèses!$V$15,Hypothèses!$X$15,IF(U44&lt;=Hypothèses!$V$16,Hypothèses!$X$16,IF(U44&lt;=Hypothèses!$U$17,Hypothèses!$W$17,IF(U44&lt;=Hypothèses!$U$18,Hypothèses!$W$18,""))))))))))))</f>
        <v>#DIV/0!</v>
      </c>
      <c r="AR44" s="95" t="e">
        <f t="shared" ca="1" si="72"/>
        <v>#DIV/0!</v>
      </c>
      <c r="AS44" s="101">
        <f t="shared" si="124"/>
        <v>0</v>
      </c>
      <c r="AT44" s="91">
        <f t="shared" si="21"/>
        <v>0</v>
      </c>
      <c r="AU44" s="30" t="e">
        <f t="shared" si="102"/>
        <v>#N/A</v>
      </c>
      <c r="AV44" s="30" t="e">
        <f t="shared" si="103"/>
        <v>#N/A</v>
      </c>
      <c r="AW44" s="31" t="e">
        <f>IF(OR(Hypothèses!$B$4=17,Hypothèses!$B$4=18,Hypothèses!$B$4=19,Hypothèses!$B$4=20),
IF($D44="Pressio.",
IF(OR($E44=3,$E44=1,$E44=4),AV44,AU44),
IF($D44="Pénétro.",
IF(OR($E44=3,$E44=1,$E44=4),AV44,AU44))),IF($D44="Pressio.",
IF($E44=3,AV44,AU44),
IF($D44="Pénétro.",
IF($E44=4,AV44,AU44))))</f>
        <v>#N/A</v>
      </c>
      <c r="AX44" s="31">
        <v>0</v>
      </c>
      <c r="AY44" s="102" t="e">
        <f>IF(NDC!$H$10="Oui",(VLOOKUP($B$3,'Coeff EC7'!$T$39:$X$59,2,0)*AW44+VLOOKUP($B$3,'Coeff EC7'!$T$65:$X$85,2,0)*Model0.1T!AX44)/1.5,PI()*AU$12*$Q44*($B44-$B43)*0.15/10+AY43)</f>
        <v>#N/A</v>
      </c>
      <c r="AZ44" s="102" t="e">
        <f>(VLOOKUP($B$3,'Coeff EC7'!$T$39:$X$59,3,0)*AW44+VLOOKUP($B$3,'Coeff EC7'!$T$65:$X$85,3,0)*Model0.1T!AX44)/1.1</f>
        <v>#N/A</v>
      </c>
      <c r="BA44" s="102" t="e">
        <f t="shared" si="73"/>
        <v>#N/A</v>
      </c>
      <c r="BB44" s="102" t="e">
        <f t="shared" si="74"/>
        <v>#N/A</v>
      </c>
      <c r="BC44" s="414" t="e">
        <f>IF(AND(AY44&gt;NDC!$C$63,AZ44&gt;NDC!$C$65,BA44&gt;NDC!$D$73,BB44&gt;NDC!$D$74,$B44&gt;NDC!$H$22-0.1+MIN(3*BC$12,1.5)),0,1)</f>
        <v>#N/A</v>
      </c>
      <c r="BD44" s="86" t="b">
        <f t="shared" si="24"/>
        <v>0</v>
      </c>
      <c r="BE44" s="86">
        <f t="shared" si="75"/>
        <v>0.5</v>
      </c>
      <c r="BF44" s="86">
        <f t="shared" si="25"/>
        <v>0.5</v>
      </c>
      <c r="BG44" s="30" t="e">
        <f t="shared" ca="1" si="76"/>
        <v>#DIV/0!</v>
      </c>
      <c r="BH44" s="85" t="e">
        <f ca="1">IF(AN44&lt;=Hypothèses!$V$7,Hypothèses!$W$7,IF(AN44&lt;=Hypothèses!$V$8,Hypothèses!$W$8,IF(AN44&lt;=Hypothèses!$V$9,Hypothèses!$W$9,IF(AN44&lt;=Hypothèses!$V$10,Hypothèses!$W$10,IF(AN44&lt;=Hypothèses!$V$11,Hypothèses!$W$11,IF(AN44&lt;=Hypothèses!$V$12,Hypothèses!$W$12,IF(AN44&lt;=Hypothèses!$V$13,Hypothèses!$W$13,IF(AN44&lt;=Hypothèses!$V$14,Hypothèses!$W$14,IF(AN44&lt;=Hypothèses!$V$15,Hypothèses!$W$15,IF(AN44&lt;=Hypothèses!$V$16,Hypothèses!$W$16,IF(AN44&lt;=Hypothèses!$V$17,Hypothèses!$W$17,IF(AN44&lt;=Hypothèses!$V$18,Hypothèses!$W$18,""))))))))))))</f>
        <v>#DIV/0!</v>
      </c>
      <c r="BI44" s="87" t="e">
        <f t="shared" ca="1" si="118"/>
        <v>#DIV/0!</v>
      </c>
      <c r="BJ44" s="88" t="e">
        <f ca="1">IF(AN44&lt;=Hypothèses!$V$7,Hypothèses!$X$7,IF(AN44&lt;=Hypothèses!$V$8,Hypothèses!$X$8,IF(AN44&lt;=Hypothèses!$V$9,Hypothèses!$X$9,IF(AN44&lt;=Hypothèses!$V$10,Hypothèses!$X$10,IF(AN44&lt;=Hypothèses!$V$11,Hypothèses!$X$11,IF(AN44&lt;=Hypothèses!$V$12,Hypothèses!$X$12,IF(AN44&lt;=Hypothèses!$V$13,Hypothèses!$X$13,IF(AN44&lt;=Hypothèses!$V$14,Hypothèses!$X$14,IF(AN44&lt;=Hypothèses!$V$15,Hypothèses!$X$15,IF(AN44&lt;=Hypothèses!$V$16,Hypothèses!$X$16,IF(AN44&lt;=Hypothèses!$U$17,Hypothèses!$W$17,IF(AN44&lt;=Hypothèses!$U$18,Hypothèses!$W$18,""))))))))))))</f>
        <v>#DIV/0!</v>
      </c>
      <c r="BK44" s="95" t="e">
        <f t="shared" ca="1" si="77"/>
        <v>#DIV/0!</v>
      </c>
      <c r="BL44" s="101">
        <f t="shared" si="125"/>
        <v>0</v>
      </c>
      <c r="BM44" s="91">
        <f t="shared" si="27"/>
        <v>0</v>
      </c>
      <c r="BN44" s="30" t="e">
        <f t="shared" si="104"/>
        <v>#N/A</v>
      </c>
      <c r="BO44" s="30" t="e">
        <f t="shared" si="105"/>
        <v>#N/A</v>
      </c>
      <c r="BP44" s="31" t="e">
        <f>IF(OR(Hypothèses!$B$4=17,Hypothèses!$B$4=18,Hypothèses!$B$4=19,Hypothèses!$B$4=20),
IF($D44="Pressio.",
IF(OR($E44=3,$E44=1,$E44=4),BO44,BN44),
IF($D44="Pénétro.",
IF(OR($E44=3,$E44=1,$E44=4),BO44,BN44))),IF($D44="Pressio.",
IF($E44=3,BO44,BN44),
IF($D44="Pénétro.",
IF($E44=4,BO44,BN44))))</f>
        <v>#N/A</v>
      </c>
      <c r="BQ44" s="31">
        <v>0</v>
      </c>
      <c r="BR44" s="102" t="e">
        <f>IF(NDC!$H$10="Oui",(VLOOKUP($B$3,'Coeff EC7'!$T$39:$X$59,2,0)*BP44+VLOOKUP($B$3,'Coeff EC7'!$T$65:$X$85,2,0)*Model0.1T!BQ44)/1.5,PI()*BN$12*$Q44*($B44-$B43)*0.15/10+BR43)</f>
        <v>#N/A</v>
      </c>
      <c r="BS44" s="102" t="e">
        <f>(VLOOKUP($B$3,'Coeff EC7'!$T$39:$X$59,3,0)*BP44+VLOOKUP($B$3,'Coeff EC7'!$T$65:$X$85,3,0)*Model0.1T!BQ44)/1.1</f>
        <v>#N/A</v>
      </c>
      <c r="BT44" s="102" t="e">
        <f t="shared" si="78"/>
        <v>#N/A</v>
      </c>
      <c r="BU44" s="102" t="e">
        <f t="shared" si="79"/>
        <v>#N/A</v>
      </c>
      <c r="BV44" s="414" t="e">
        <f>IF(AND(BR44&gt;NDC!$C$63,BS44&gt;NDC!$C$65,BT44&gt;NDC!$D$73,BU44&gt;NDC!$D$74,$B44&gt;NDC!$H$22-0.1+MIN(3*BV$12,1.5)),0,1)</f>
        <v>#N/A</v>
      </c>
      <c r="BW44" s="86" t="b">
        <f t="shared" si="30"/>
        <v>0</v>
      </c>
      <c r="BX44" s="86">
        <f t="shared" si="31"/>
        <v>0.5</v>
      </c>
      <c r="BY44" s="86">
        <f t="shared" si="32"/>
        <v>0.5</v>
      </c>
      <c r="BZ44" s="30" t="e">
        <f t="shared" ca="1" si="80"/>
        <v>#DIV/0!</v>
      </c>
      <c r="CA44" s="85" t="e">
        <f ca="1">IF(BG44&lt;=Hypothèses!$V$7,Hypothèses!$W$7,IF(BG44&lt;=Hypothèses!$V$8,Hypothèses!$W$8,IF(BG44&lt;=Hypothèses!$V$9,Hypothèses!$W$9,IF(BG44&lt;=Hypothèses!$V$10,Hypothèses!$W$10,IF(BG44&lt;=Hypothèses!$V$11,Hypothèses!$W$11,IF(BG44&lt;=Hypothèses!$V$12,Hypothèses!$W$12,IF(BG44&lt;=Hypothèses!$V$13,Hypothèses!$W$13,IF(BG44&lt;=Hypothèses!$V$14,Hypothèses!$W$14,IF(BG44&lt;=Hypothèses!$V$15,Hypothèses!$W$15,IF(BG44&lt;=Hypothèses!$V$16,Hypothèses!$W$16,IF(BG44&lt;=Hypothèses!$V$17,Hypothèses!$W$17,IF(BG44&lt;=Hypothèses!$V$18,Hypothèses!$W$18,""))))))))))))</f>
        <v>#DIV/0!</v>
      </c>
      <c r="CB44" s="87" t="e">
        <f t="shared" ca="1" si="119"/>
        <v>#DIV/0!</v>
      </c>
      <c r="CC44" s="88" t="e">
        <f ca="1">IF(BG44&lt;=Hypothèses!$V$7,Hypothèses!$X$7,IF(BG44&lt;=Hypothèses!$V$8,Hypothèses!$X$8,IF(BG44&lt;=Hypothèses!$V$9,Hypothèses!$X$9,IF(BG44&lt;=Hypothèses!$V$10,Hypothèses!$X$10,IF(BG44&lt;=Hypothèses!$V$11,Hypothèses!$X$11,IF(BG44&lt;=Hypothèses!$V$12,Hypothèses!$X$12,IF(BG44&lt;=Hypothèses!$V$13,Hypothèses!$X$13,IF(BG44&lt;=Hypothèses!$V$14,Hypothèses!$X$14,IF(BG44&lt;=Hypothèses!$V$15,Hypothèses!$X$15,IF(BG44&lt;=Hypothèses!$V$16,Hypothèses!$X$16,IF(BG44&lt;=Hypothèses!$U$17,Hypothèses!$W$17,IF(BG44&lt;=Hypothèses!$U$18,Hypothèses!$W$18,""))))))))))))</f>
        <v>#DIV/0!</v>
      </c>
      <c r="CD44" s="95" t="e">
        <f t="shared" ca="1" si="81"/>
        <v>#DIV/0!</v>
      </c>
      <c r="CE44" s="101">
        <f t="shared" si="126"/>
        <v>0</v>
      </c>
      <c r="CF44" s="91">
        <f t="shared" si="34"/>
        <v>0</v>
      </c>
      <c r="CG44" s="30" t="e">
        <f t="shared" si="106"/>
        <v>#N/A</v>
      </c>
      <c r="CH44" s="30" t="e">
        <f t="shared" si="107"/>
        <v>#N/A</v>
      </c>
      <c r="CI44" s="31" t="e">
        <f>IF(OR(Hypothèses!$B$4=17,Hypothèses!$B$4=18,Hypothèses!$B$4=19,Hypothèses!$B$4=20),
IF($D44="Pressio.",
IF(OR($E44=3,$E44=1,$E44=4),CH44,CG44),
IF($D44="Pénétro.",
IF(OR($E44=3,$E44=1,$E44=4),CH44,CG44))),IF($D44="Pressio.",
IF($E44=3,CH44,CG44),
IF($D44="Pénétro.",
IF($E44=4,CH44,CG44))))</f>
        <v>#N/A</v>
      </c>
      <c r="CJ44" s="31">
        <v>0</v>
      </c>
      <c r="CK44" s="102" t="e">
        <f>IF(NDC!$H$10="Oui",(VLOOKUP($B$3,'Coeff EC7'!$T$39:$X$59,2,0)*CI44+VLOOKUP($B$3,'Coeff EC7'!$T$65:$X$85,2,0)*Model0.1T!CJ44)/1.5,PI()*CG$12*$Q44*($B44-$B43)*0.15/10+CK43)</f>
        <v>#N/A</v>
      </c>
      <c r="CL44" s="102" t="e">
        <f>(VLOOKUP($B$3,'Coeff EC7'!$T$39:$X$59,3,0)*CI44+VLOOKUP($B$3,'Coeff EC7'!$T$65:$X$85,3,0)*Model0.1T!CJ44)/1.1</f>
        <v>#N/A</v>
      </c>
      <c r="CM44" s="102" t="e">
        <f t="shared" si="82"/>
        <v>#N/A</v>
      </c>
      <c r="CN44" s="102" t="e">
        <f t="shared" si="83"/>
        <v>#N/A</v>
      </c>
      <c r="CO44" s="414" t="e">
        <f>IF(AND(CK44&gt;NDC!$C$63,CL44&gt;NDC!$C$65,CM44&gt;NDC!$D$73,CN44&gt;NDC!$D$74,$B44&gt;NDC!$H$22-0.1+MIN(3*CO$12,1.5)),0,1)</f>
        <v>#N/A</v>
      </c>
      <c r="CP44" s="86" t="b">
        <f t="shared" si="37"/>
        <v>0</v>
      </c>
      <c r="CQ44" s="86">
        <f t="shared" si="38"/>
        <v>0.5</v>
      </c>
      <c r="CR44" s="86">
        <f t="shared" si="39"/>
        <v>0.5</v>
      </c>
      <c r="CS44" s="30" t="e">
        <f t="shared" ca="1" si="84"/>
        <v>#DIV/0!</v>
      </c>
      <c r="CT44" s="85" t="e">
        <f ca="1">IF(BZ44&lt;=Hypothèses!$V$7,Hypothèses!$W$7,IF(BZ44&lt;=Hypothèses!$V$8,Hypothèses!$W$8,IF(BZ44&lt;=Hypothèses!$V$9,Hypothèses!$W$9,IF(BZ44&lt;=Hypothèses!$V$10,Hypothèses!$W$10,IF(BZ44&lt;=Hypothèses!$V$11,Hypothèses!$W$11,IF(BZ44&lt;=Hypothèses!$V$12,Hypothèses!$W$12,IF(BZ44&lt;=Hypothèses!$V$13,Hypothèses!$W$13,IF(BZ44&lt;=Hypothèses!$V$14,Hypothèses!$W$14,IF(BZ44&lt;=Hypothèses!$V$15,Hypothèses!$W$15,IF(BZ44&lt;=Hypothèses!$V$16,Hypothèses!$W$16,IF(BZ44&lt;=Hypothèses!$V$17,Hypothèses!$W$17,IF(BZ44&lt;=Hypothèses!$V$18,Hypothèses!$W$18,""))))))))))))</f>
        <v>#DIV/0!</v>
      </c>
      <c r="CU44" s="87" t="e">
        <f t="shared" ca="1" si="120"/>
        <v>#DIV/0!</v>
      </c>
      <c r="CV44" s="88" t="e">
        <f ca="1">IF(BZ44&lt;=Hypothèses!$V$7,Hypothèses!$X$7,IF(BZ44&lt;=Hypothèses!$V$8,Hypothèses!$X$8,IF(BZ44&lt;=Hypothèses!$V$9,Hypothèses!$X$9,IF(BZ44&lt;=Hypothèses!$V$10,Hypothèses!$X$10,IF(BZ44&lt;=Hypothèses!$V$11,Hypothèses!$X$11,IF(BZ44&lt;=Hypothèses!$V$12,Hypothèses!$X$12,IF(BZ44&lt;=Hypothèses!$V$13,Hypothèses!$X$13,IF(BZ44&lt;=Hypothèses!$V$14,Hypothèses!$X$14,IF(BZ44&lt;=Hypothèses!$V$15,Hypothèses!$X$15,IF(BZ44&lt;=Hypothèses!$V$16,Hypothèses!$X$16,IF(BZ44&lt;=Hypothèses!$U$17,Hypothèses!$W$17,IF(BZ44&lt;=Hypothèses!$U$18,Hypothèses!$W$18,""))))))))))))</f>
        <v>#DIV/0!</v>
      </c>
      <c r="CW44" s="95" t="e">
        <f t="shared" ca="1" si="85"/>
        <v>#DIV/0!</v>
      </c>
      <c r="CX44" s="101">
        <f t="shared" si="127"/>
        <v>0</v>
      </c>
      <c r="CY44" s="91">
        <f t="shared" si="41"/>
        <v>0</v>
      </c>
      <c r="CZ44" s="30" t="e">
        <f t="shared" si="108"/>
        <v>#N/A</v>
      </c>
      <c r="DA44" s="30" t="e">
        <f t="shared" si="109"/>
        <v>#N/A</v>
      </c>
      <c r="DB44" s="31" t="e">
        <f>IF(OR(Hypothèses!$B$4=17,Hypothèses!$B$4=18,Hypothèses!$B$4=19,Hypothèses!$B$4=20),
IF($D44="Pressio.",
IF(OR($E44=3,$E44=1,$E44=4),DA44,CZ44),
IF($D44="Pénétro.",
IF(OR($E44=3,$E44=1,$E44=4),DA44,CZ44))),IF($D44="Pressio.",
IF($E44=3,DA44,CZ44),
IF($D44="Pénétro.",
IF($E44=4,DA44,CZ44))))</f>
        <v>#N/A</v>
      </c>
      <c r="DC44" s="31">
        <v>0</v>
      </c>
      <c r="DD44" s="102" t="e">
        <f>IF(NDC!$H$10="Oui",(VLOOKUP($B$3,'Coeff EC7'!$T$39:$X$59,2,0)*DB44+VLOOKUP($B$3,'Coeff EC7'!$T$65:$X$85,2,0)*Model0.1T!DC44)/1.5,PI()*CZ$12*$Q44*($B44-$B43)*0.15/10+DD43)</f>
        <v>#N/A</v>
      </c>
      <c r="DE44" s="102" t="e">
        <f>(VLOOKUP($B$3,'Coeff EC7'!$T$39:$X$59,3,0)*DB44+VLOOKUP($B$3,'Coeff EC7'!$T$65:$X$85,3,0)*Model0.1T!DC44)/1.1</f>
        <v>#N/A</v>
      </c>
      <c r="DF44" s="102" t="e">
        <f t="shared" si="86"/>
        <v>#N/A</v>
      </c>
      <c r="DG44" s="102" t="e">
        <f t="shared" si="87"/>
        <v>#N/A</v>
      </c>
      <c r="DH44" s="414" t="e">
        <f>IF(AND(DD44&gt;NDC!$C$63,DE44&gt;NDC!$C$65,DF44&gt;NDC!$D$73,DG44&gt;NDC!$D$74,$B44&gt;NDC!$H$22-0.1+MIN(3*DH$12,1.5)),0,1)</f>
        <v>#N/A</v>
      </c>
      <c r="DI44" s="86" t="b">
        <f t="shared" si="44"/>
        <v>0</v>
      </c>
      <c r="DJ44" s="86">
        <f t="shared" si="45"/>
        <v>0.5</v>
      </c>
      <c r="DK44" s="86">
        <f t="shared" si="46"/>
        <v>0.5</v>
      </c>
      <c r="DL44" s="30" t="e">
        <f t="shared" ca="1" si="88"/>
        <v>#DIV/0!</v>
      </c>
      <c r="DM44" s="85" t="e">
        <f ca="1">IF(CS44&lt;=Hypothèses!$V$7,Hypothèses!$W$7,IF(CS44&lt;=Hypothèses!$V$8,Hypothèses!$W$8,IF(CS44&lt;=Hypothèses!$V$9,Hypothèses!$W$9,IF(CS44&lt;=Hypothèses!$V$10,Hypothèses!$W$10,IF(CS44&lt;=Hypothèses!$V$11,Hypothèses!$W$11,IF(CS44&lt;=Hypothèses!$V$12,Hypothèses!$W$12,IF(CS44&lt;=Hypothèses!$V$13,Hypothèses!$W$13,IF(CS44&lt;=Hypothèses!$V$14,Hypothèses!$W$14,IF(CS44&lt;=Hypothèses!$V$15,Hypothèses!$W$15,IF(CS44&lt;=Hypothèses!$V$16,Hypothèses!$W$16,IF(CS44&lt;=Hypothèses!$V$17,Hypothèses!$W$17,IF(CS44&lt;=Hypothèses!$V$18,Hypothèses!$W$18,""))))))))))))</f>
        <v>#DIV/0!</v>
      </c>
      <c r="DN44" s="87" t="e">
        <f t="shared" ca="1" si="121"/>
        <v>#DIV/0!</v>
      </c>
      <c r="DO44" s="88" t="e">
        <f ca="1">IF(CS44&lt;=Hypothèses!$V$7,Hypothèses!$X$7,IF(CS44&lt;=Hypothèses!$V$8,Hypothèses!$X$8,IF(CS44&lt;=Hypothèses!$V$9,Hypothèses!$X$9,IF(CS44&lt;=Hypothèses!$V$10,Hypothèses!$X$10,IF(CS44&lt;=Hypothèses!$V$11,Hypothèses!$X$11,IF(CS44&lt;=Hypothèses!$V$12,Hypothèses!$X$12,IF(CS44&lt;=Hypothèses!$V$13,Hypothèses!$X$13,IF(CS44&lt;=Hypothèses!$V$14,Hypothèses!$X$14,IF(CS44&lt;=Hypothèses!$V$15,Hypothèses!$X$15,IF(CS44&lt;=Hypothèses!$V$16,Hypothèses!$X$16,IF(CS44&lt;=Hypothèses!$U$17,Hypothèses!$W$17,IF(CS44&lt;=Hypothèses!$U$18,Hypothèses!$W$18,""))))))))))))</f>
        <v>#DIV/0!</v>
      </c>
      <c r="DP44" s="95" t="e">
        <f t="shared" ca="1" si="89"/>
        <v>#DIV/0!</v>
      </c>
      <c r="DQ44" s="101">
        <f t="shared" si="128"/>
        <v>0</v>
      </c>
      <c r="DR44" s="91">
        <f t="shared" si="48"/>
        <v>0</v>
      </c>
      <c r="DS44" s="30" t="e">
        <f t="shared" si="110"/>
        <v>#N/A</v>
      </c>
      <c r="DT44" s="30" t="e">
        <f t="shared" si="111"/>
        <v>#N/A</v>
      </c>
      <c r="DU44" s="31" t="e">
        <f>IF(OR(Hypothèses!$B$4=17,Hypothèses!$B$4=18,Hypothèses!$B$4=19,Hypothèses!$B$4=20),
IF($D44="Pressio.",
IF(OR($E44=3,$E44=1,$E44=4),DT44,DS44),
IF($D44="Pénétro.",
IF(OR($E44=3,$E44=1,$E44=4),DT44,DS44))),IF($D44="Pressio.",
IF($E44=3,DT44,DS44),
IF($D44="Pénétro.",
IF($E44=4,DT44,DS44))))</f>
        <v>#N/A</v>
      </c>
      <c r="DV44" s="31">
        <v>0</v>
      </c>
      <c r="DW44" s="102" t="e">
        <f>IF(NDC!$H$10="Oui",(VLOOKUP($B$3,'Coeff EC7'!$T$39:$X$59,2,0)*DU44+VLOOKUP($B$3,'Coeff EC7'!$T$65:$X$85,2,0)*Model0.1T!DV44)/1.5,PI()*DS$12*$Q44*($B44-$B43)*0.15/10+DW43)</f>
        <v>#N/A</v>
      </c>
      <c r="DX44" s="102" t="e">
        <f>(VLOOKUP($B$3,'Coeff EC7'!$T$39:$X$59,3,0)*DU44+VLOOKUP($B$3,'Coeff EC7'!$T$65:$X$85,3,0)*Model0.1T!DV44)/1.1</f>
        <v>#N/A</v>
      </c>
      <c r="DY44" s="102" t="e">
        <f t="shared" si="90"/>
        <v>#N/A</v>
      </c>
      <c r="DZ44" s="102" t="e">
        <f t="shared" si="91"/>
        <v>#N/A</v>
      </c>
      <c r="EA44" s="414" t="e">
        <f>IF(AND(DW44&gt;NDC!$C$63,DX44&gt;NDC!$C$65,DY44&gt;NDC!$D$73,DZ44&gt;NDC!$D$74,$B44&gt;NDC!$H$22-0.1+MIN(3*EA$12,1.5)),0,1)</f>
        <v>#N/A</v>
      </c>
      <c r="EB44" s="86" t="b">
        <f t="shared" si="51"/>
        <v>0</v>
      </c>
      <c r="EC44" s="418">
        <f t="shared" si="52"/>
        <v>0.51</v>
      </c>
      <c r="ED44" s="86">
        <f t="shared" si="53"/>
        <v>0.51</v>
      </c>
      <c r="EE44" s="30" t="e">
        <f t="shared" ca="1" si="92"/>
        <v>#DIV/0!</v>
      </c>
      <c r="EF44" s="85" t="e">
        <f ca="1">IF(DL44&lt;=Hypothèses!$V$7,Hypothèses!$W$7,IF(DL44&lt;=Hypothèses!$V$8,Hypothèses!$W$8,IF(DL44&lt;=Hypothèses!$V$9,Hypothèses!$W$9,IF(DL44&lt;=Hypothèses!$V$10,Hypothèses!$W$10,IF(DL44&lt;=Hypothèses!$V$11,Hypothèses!$W$11,IF(DL44&lt;=Hypothèses!$V$12,Hypothèses!$W$12,IF(DL44&lt;=Hypothèses!$V$13,Hypothèses!$W$13,IF(DL44&lt;=Hypothèses!$V$14,Hypothèses!$W$14,IF(DL44&lt;=Hypothèses!$V$15,Hypothèses!$W$15,IF(DL44&lt;=Hypothèses!$V$16,Hypothèses!$W$16,IF(DL44&lt;=Hypothèses!$V$17,Hypothèses!$W$17,IF(DL44&lt;=Hypothèses!$V$18,Hypothèses!$W$18,""))))))))))))</f>
        <v>#DIV/0!</v>
      </c>
      <c r="EG44" s="87" t="e">
        <f t="shared" ca="1" si="122"/>
        <v>#DIV/0!</v>
      </c>
      <c r="EH44" s="88" t="e">
        <f ca="1">IF(DL44&lt;=Hypothèses!$V$7,Hypothèses!$X$7,IF(DL44&lt;=Hypothèses!$V$8,Hypothèses!$X$8,IF(DL44&lt;=Hypothèses!$V$9,Hypothèses!$X$9,IF(DL44&lt;=Hypothèses!$V$10,Hypothèses!$X$10,IF(DL44&lt;=Hypothèses!$V$11,Hypothèses!$X$11,IF(DL44&lt;=Hypothèses!$V$12,Hypothèses!$X$12,IF(DL44&lt;=Hypothèses!$V$13,Hypothèses!$X$13,IF(DL44&lt;=Hypothèses!$V$14,Hypothèses!$X$14,IF(DL44&lt;=Hypothèses!$V$15,Hypothèses!$X$15,IF(DL44&lt;=Hypothèses!$V$16,Hypothèses!$X$16,IF(DL44&lt;=Hypothèses!$U$17,Hypothèses!$W$17,IF(DL44&lt;=Hypothèses!$U$18,Hypothèses!$W$18,""))))))))))))</f>
        <v>#DIV/0!</v>
      </c>
      <c r="EI44" s="95" t="e">
        <f t="shared" ca="1" si="93"/>
        <v>#DIV/0!</v>
      </c>
      <c r="EJ44" s="101">
        <f t="shared" si="129"/>
        <v>0</v>
      </c>
      <c r="EK44" s="91">
        <f t="shared" si="55"/>
        <v>0</v>
      </c>
      <c r="EL44" s="30" t="e">
        <f t="shared" si="112"/>
        <v>#N/A</v>
      </c>
      <c r="EM44" s="30" t="e">
        <f t="shared" si="113"/>
        <v>#N/A</v>
      </c>
      <c r="EN44" s="31" t="e">
        <f>IF(OR(Hypothèses!$B$4=17,Hypothèses!$B$4=18,Hypothèses!$B$4=19,Hypothèses!$B$4=20),
IF($D44="Pressio.",
IF(OR($E44=3,$E44=1,$E44=4),EM44,EL44),
IF($D44="Pénétro.",
IF(OR($E44=3,$E44=1,$E44=4),EM44,EL44))),IF($D44="Pressio.",
IF($E44=3,EM44,EL44),
IF($D44="Pénétro.",
IF($E44=4,EM44,EL44))))</f>
        <v>#N/A</v>
      </c>
      <c r="EO44" s="31">
        <v>0</v>
      </c>
      <c r="EP44" s="102" t="e">
        <f>IF(NDC!$H$10="Oui",(VLOOKUP($B$3,'Coeff EC7'!$T$39:$X$59,2,0)*EN44+VLOOKUP($B$3,'Coeff EC7'!$T$65:$X$85,2,0)*Model0.1T!EO44)/1.5,PI()*EL$12*$Q44*($B44-$B43)*0.15/10+EP43)</f>
        <v>#N/A</v>
      </c>
      <c r="EQ44" s="102" t="e">
        <f>(VLOOKUP($B$3,'Coeff EC7'!$T$39:$X$59,3,0)*EN44+VLOOKUP($B$3,'Coeff EC7'!$T$65:$X$85,3,0)*Model0.1T!EO44)/1.1</f>
        <v>#N/A</v>
      </c>
      <c r="ER44" s="102" t="e">
        <f t="shared" si="94"/>
        <v>#N/A</v>
      </c>
      <c r="ES44" s="102" t="e">
        <f t="shared" si="95"/>
        <v>#N/A</v>
      </c>
      <c r="ET44" s="414" t="e">
        <f>IF(AND(EP44&gt;NDC!$C$63,EQ44&gt;NDC!$C$65,ER44&gt;NDC!$D$73,ES44&gt;NDC!$D$74,$B44&gt;NDC!$H$22-0.1+MIN(3*ET$12,1.5)),0,1)</f>
        <v>#N/A</v>
      </c>
      <c r="EU44" s="86" t="b">
        <f t="shared" si="58"/>
        <v>0</v>
      </c>
      <c r="EV44" s="86">
        <f t="shared" si="59"/>
        <v>0.61</v>
      </c>
      <c r="EW44" s="86">
        <f t="shared" si="60"/>
        <v>0.61</v>
      </c>
      <c r="EX44" s="30" t="e">
        <f t="shared" ca="1" si="96"/>
        <v>#DIV/0!</v>
      </c>
      <c r="EY44" s="85" t="e">
        <f ca="1">IF(EE44&lt;=Hypothèses!$V$7,Hypothèses!$W$7,IF(EE44&lt;=Hypothèses!$V$8,Hypothèses!$W$8,IF(EE44&lt;=Hypothèses!$V$9,Hypothèses!$W$9,IF(EE44&lt;=Hypothèses!$V$10,Hypothèses!$W$10,IF(EE44&lt;=Hypothèses!$V$11,Hypothèses!$W$11,IF(EE44&lt;=Hypothèses!$V$12,Hypothèses!$W$12,IF(EE44&lt;=Hypothèses!$V$13,Hypothèses!$W$13,IF(EE44&lt;=Hypothèses!$V$14,Hypothèses!$W$14,IF(EE44&lt;=Hypothèses!$V$15,Hypothèses!$W$15,IF(EE44&lt;=Hypothèses!$V$16,Hypothèses!$W$16,IF(EE44&lt;=Hypothèses!$V$17,Hypothèses!$W$17,IF(EE44&lt;=Hypothèses!$V$18,Hypothèses!$W$18,""))))))))))))</f>
        <v>#DIV/0!</v>
      </c>
      <c r="EZ44" s="87" t="e">
        <f t="shared" ca="1" si="123"/>
        <v>#DIV/0!</v>
      </c>
      <c r="FA44" s="88" t="e">
        <f ca="1">IF(EE44&lt;=Hypothèses!$V$7,Hypothèses!$X$7,IF(EE44&lt;=Hypothèses!$V$8,Hypothèses!$X$8,IF(EE44&lt;=Hypothèses!$V$9,Hypothèses!$X$9,IF(EE44&lt;=Hypothèses!$V$10,Hypothèses!$X$10,IF(EE44&lt;=Hypothèses!$V$11,Hypothèses!$X$11,IF(EE44&lt;=Hypothèses!$V$12,Hypothèses!$X$12,IF(EE44&lt;=Hypothèses!$V$13,Hypothèses!$X$13,IF(EE44&lt;=Hypothèses!$V$14,Hypothèses!$X$14,IF(EE44&lt;=Hypothèses!$V$15,Hypothèses!$X$15,IF(EE44&lt;=Hypothèses!$V$16,Hypothèses!$X$16,IF(EE44&lt;=Hypothèses!$U$17,Hypothèses!$W$17,IF(EE44&lt;=Hypothèses!$U$18,Hypothèses!$W$18,""))))))))))))</f>
        <v>#DIV/0!</v>
      </c>
      <c r="FB44" s="95" t="e">
        <f t="shared" ca="1" si="97"/>
        <v>#DIV/0!</v>
      </c>
      <c r="FC44" s="101">
        <f t="shared" si="130"/>
        <v>0</v>
      </c>
      <c r="FD44" s="91">
        <f t="shared" si="62"/>
        <v>0</v>
      </c>
      <c r="FE44" s="30" t="e">
        <f t="shared" si="114"/>
        <v>#N/A</v>
      </c>
      <c r="FF44" s="30" t="e">
        <f t="shared" si="115"/>
        <v>#N/A</v>
      </c>
      <c r="FG44" s="31" t="e">
        <f>IF(OR(Hypothèses!$B$4=17,Hypothèses!$B$4=18,Hypothèses!$B$4=19,Hypothèses!$B$4=20),
IF($D44="Pressio.",
IF(OR($E44=3,$E44=1,$E44=4),FF44,FE44),
IF($D44="Pénétro.",
IF(OR($E44=3,$E44=1,$E44=4),FF44,FE44))),IF($D44="Pressio.",
IF($E44=3,FF44,FE44),
IF($D44="Pénétro.",
IF($E44=4,FF44,FE44))))</f>
        <v>#N/A</v>
      </c>
      <c r="FH44" s="31">
        <v>0</v>
      </c>
      <c r="FI44" s="102" t="e">
        <f>IF(NDC!$H$10="Oui",(VLOOKUP($B$3,'Coeff EC7'!$T$39:$X$59,2,0)*FG44+VLOOKUP($B$3,'Coeff EC7'!$T$65:$X$85,2,0)*Model0.1T!FH44)/1.5,PI()*FE$12*$Q44*($B44-$B43)*0.15/10+FI43)</f>
        <v>#N/A</v>
      </c>
      <c r="FJ44" s="102" t="e">
        <f>(VLOOKUP($B$3,'Coeff EC7'!$T$39:$X$59,3,0)*FG44+VLOOKUP($B$3,'Coeff EC7'!$T$65:$X$85,3,0)*Model0.1T!FH44)/1.1</f>
        <v>#N/A</v>
      </c>
      <c r="FK44" s="102" t="e">
        <f t="shared" si="98"/>
        <v>#N/A</v>
      </c>
      <c r="FL44" s="102" t="e">
        <f t="shared" si="99"/>
        <v>#N/A</v>
      </c>
      <c r="FM44" s="414" t="e">
        <f>IF(AND(FI44&gt;NDC!$C$63,FJ44&gt;NDC!$C$65,FK44&gt;NDC!$D$73,FL44&gt;NDC!$D$74,$B44&gt;NDC!$H$22-0.1+MIN(3*FM$12,1.5)),0,1)</f>
        <v>#N/A</v>
      </c>
    </row>
    <row r="45" spans="1:169">
      <c r="A45" s="96">
        <f t="shared" si="65"/>
        <v>96.800000000000182</v>
      </c>
      <c r="B45" s="97">
        <v>3.2</v>
      </c>
      <c r="C45" s="81">
        <f>IF(B45&lt;=Hypothèses!$C$7,Hypothèses!$A$7,IF(B45&lt;=Hypothèses!$C$8,Hypothèses!$A$8,IF(B45&lt;=Hypothèses!$C$9,Hypothèses!$A$9,IF(B45&lt;=Hypothèses!$C$10,Hypothèses!$A$10,IF(B45&lt;=Hypothèses!$C$11,Hypothèses!$A$11,IF(B45&lt;=Hypothèses!$C$12,Hypothèses!$A$12,IF(B45&lt;=Hypothèses!$C$13,Hypothèses!$A$13,IF(B45&lt;=Hypothèses!$C$14,Hypothèses!$A$14,IF(B45&lt;=Hypothèses!$C$15,Hypothèses!$A$15,IF(B45&lt;=Hypothèses!$C$16,Hypothèses!$A$16,IF(B45&lt;=Hypothèses!$C$17,Hypothèses!$A$17,IF(B45&lt;=Hypothèses!$C$18,Hypothèses!$A$18,C44))))))))))))</f>
        <v>11</v>
      </c>
      <c r="D45" s="82" t="str">
        <f>IF(B45&lt;=Hypothèses!$C$7,Hypothèses!$R$7,IF(B45&lt;=Hypothèses!$C$8,Hypothèses!$R$8,IF(B45&lt;=Hypothèses!$C$9,Hypothèses!$R$9,IF(B45&lt;=Hypothèses!$C$10,Hypothèses!$R$10,IF(B45&lt;=Hypothèses!$C$11,Hypothèses!$R$11,IF(B45&lt;=Hypothèses!$C$12,Hypothèses!$R$12,IF(B45&lt;=Hypothèses!$C$13,Hypothèses!$R$13,IF(B45&lt;=Hypothèses!$C$14,Hypothèses!$R$14,IF(B45&lt;=Hypothèses!$C$15,Hypothèses!$R$15,IF(B45&lt;=Hypothèses!$C$16,Hypothèses!$R$16,IF(B45&lt;=Hypothèses!$C$17,Hypothèses!$R$17,IF(B45&lt;=Hypothèses!$C$18,Hypothèses!$R$18,D44))))))))))))</f>
        <v>Pressio.</v>
      </c>
      <c r="E45" s="82" t="e">
        <f>IF(B45&lt;=Hypothèses!$C$7,Hypothèses!$G$7,IF(B45&lt;=Hypothèses!$C$8,Hypothèses!$G$8,IF(B45&lt;=Hypothèses!$C$9,Hypothèses!$G$9,IF(B45&lt;=Hypothèses!$C$10,Hypothèses!$G$10,IF(B45&lt;=Hypothèses!$C$11,Hypothèses!$G$11,IF(B45&lt;=Hypothèses!$C$12,Hypothèses!$G$12,IF(B45&lt;=Hypothèses!$C$13,Hypothèses!$G$13,IF(B45&lt;=Hypothèses!$C$14,Hypothèses!$G$14,IF(B45&lt;=Hypothèses!$C$15,Hypothèses!$G$15,IF(B45&lt;=Hypothèses!$C$16,Hypothèses!$G$16,IF(B45&lt;=Hypothèses!$C$17,Hypothèses!$G$17,IF(B45&lt;=Hypothèses!$C$18,Hypothèses!$G$18,E44))))))))))))</f>
        <v>#N/A</v>
      </c>
      <c r="F45" s="82" t="str">
        <f>IF(B45&lt;=Hypothèses!$C$7,Hypothèses!$F$7,IF(B45&lt;=Hypothèses!$C$8,Hypothèses!$F$8,IF(B45&lt;=Hypothèses!$C$9,Hypothèses!$F$9,IF(B45&lt;=Hypothèses!$C$10,Hypothèses!$F$10,IF(B45&lt;=Hypothèses!$C$11,Hypothèses!$F$11,IF(B45&lt;=Hypothèses!$C$12,Hypothèses!$F$12,IF(B45&lt;=Hypothèses!$C$13,Hypothèses!$F$13,IF(B45&lt;=Hypothèses!$C$14,Hypothèses!$F$14,IF(B45&lt;=Hypothèses!$C$15,Hypothèses!$F$15,IF(B45&lt;=Hypothèses!$C$16,Hypothèses!$F$16,IF(B45&lt;=Hypothèses!$C$17,Hypothèses!$F$17,IF(B45&lt;=Hypothèses!$C$18,Hypothèses!$F$18,F44))))))))))))</f>
        <v/>
      </c>
      <c r="G45" s="91">
        <f t="array" ref="G45">INDEX('Coeff EC7'!$U$7:$X$27,
MATCH(Model0.1T!$B$3,'Coeff EC7'!$T$7:$T$27,0),
MATCH(Model0.1T!$D45&amp;Model0.1T!$B$4,
'Coeff EC7'!$U$6:$X$6&amp;
'Coeff EC7'!$U$5:$X$5,0))</f>
        <v>1.4</v>
      </c>
      <c r="H45" s="91">
        <f t="array" ref="H45">INDEX('Coeff EC7'!$Y$7:$AB$27,
MATCH(Model0.1T!$B$3,'Coeff EC7'!$T$7:$T$27,0),
MATCH(Model0.1T!$D45&amp;Model0.1T!$B$4,
'Coeff EC7'!$Y$6:$AB$6&amp;
'Coeff EC7'!$Y$5:$AB$5,0))</f>
        <v>1.7</v>
      </c>
      <c r="I45" s="83">
        <v>0</v>
      </c>
      <c r="J45" s="91" t="e">
        <f t="array" ref="J45">INDEX('Coeff EC7'!$D$33:$Q$33,1,MATCH(D45&amp;E45,'Coeff EC7'!$D$31:$Q$31&amp;'Coeff EC7'!$D$32:$Q$32,0))</f>
        <v>#N/A</v>
      </c>
      <c r="K45" s="91" t="e">
        <f t="array" ref="K45">INDEX('Coeff EC7'!$D$34:$Q$34,1,MATCH(D45&amp;E45,'Coeff EC7'!$D$31:$Q$31&amp;'Coeff EC7'!$D$32:$Q$32,0))</f>
        <v>#N/A</v>
      </c>
      <c r="L45" s="91" t="e">
        <f t="array" ref="L45">INDEX('Coeff EC7'!$D$35:$Q$35,1,MATCH(D45&amp;E45,'Coeff EC7'!$D$31:$Q$31&amp;'Coeff EC7'!$D$32:$Q$32,0))</f>
        <v>#N/A</v>
      </c>
      <c r="M45" s="98" t="e">
        <f t="shared" si="8"/>
        <v>#N/A</v>
      </c>
      <c r="N45" s="99" t="e">
        <f t="array" ref="N45">INDEX('Coeff EC7'!$D$7:$Q$27,MATCH($B$3,'Coeff EC7'!$C$7:$C$27,0),MATCH(D45&amp;E45,'Coeff EC7'!$D$5:$Q$5&amp;'Coeff EC7'!$D$6:$Q$6,0))</f>
        <v>#N/A</v>
      </c>
      <c r="O45" s="99" t="e">
        <f t="array" ref="O45">INDEX('Coeff EC7'!$D$41:$Q$61,MATCH($B$3,'Coeff EC7'!$C$41:$C$61,0),MATCH(D45&amp;E45,'Coeff EC7'!$D$39:$Q$39&amp;'Coeff EC7'!$D$40:$Q$40,0))</f>
        <v>#N/A</v>
      </c>
      <c r="P45" s="30" t="e">
        <f t="shared" si="66"/>
        <v>#N/A</v>
      </c>
      <c r="Q45" s="100" t="e">
        <f t="shared" si="10"/>
        <v>#N/A</v>
      </c>
      <c r="R45" s="86" t="b">
        <f t="shared" si="11"/>
        <v>0</v>
      </c>
      <c r="S45" s="86">
        <f t="shared" si="9"/>
        <v>0.5</v>
      </c>
      <c r="T45" s="86">
        <f t="shared" si="12"/>
        <v>0.5</v>
      </c>
      <c r="U45" s="30" t="e">
        <f t="shared" ca="1" si="67"/>
        <v>#DIV/0!</v>
      </c>
      <c r="V45" s="85" t="str">
        <f>IF(B45&lt;=Hypothèses!$V$7,Hypothèses!$W$7,IF(B45&lt;=Hypothèses!$V$8,Hypothèses!$W$8,IF(B45&lt;=Hypothèses!$V$9,Hypothèses!$W$9,IF(B45&lt;=Hypothèses!$V$10,Hypothèses!$W$10,IF(B45&lt;=Hypothèses!$V$11,Hypothèses!$W$11,IF(B45&lt;=Hypothèses!$V$12,Hypothèses!$W$12,IF(B45&lt;=Hypothèses!$V$13,Hypothèses!$W$13,IF(B45&lt;=Hypothèses!$V$14,Hypothèses!$W$14,IF(B45&lt;=Hypothèses!$V$15,Hypothèses!$W$15,IF(B45&lt;=Hypothèses!$V$16,Hypothèses!$W$16,IF(B45&lt;=Hypothèses!$V$17,Hypothèses!$W$17,IF(B45&lt;=Hypothèses!$V$18,Hypothèses!$W$18,""))))))))))))</f>
        <v/>
      </c>
      <c r="W45" s="87" t="e">
        <f t="shared" ca="1" si="116"/>
        <v>#DIV/0!</v>
      </c>
      <c r="X45" s="88" t="str">
        <f>IF(B45&lt;=Hypothèses!$V$7,Hypothèses!$X$7,IF(B45&lt;=Hypothèses!$V$8,Hypothèses!$X$8,IF(B45&lt;=Hypothèses!$V$9,Hypothèses!$X$9,IF(B45&lt;=Hypothèses!$V$10,Hypothèses!$X$10,IF(B45&lt;=Hypothèses!$V$11,Hypothèses!$X$11,IF(B45&lt;=Hypothèses!$V$12,Hypothèses!$X$12,IF(B45&lt;=Hypothèses!$V$13,Hypothèses!$X$13,IF(B45&lt;=Hypothèses!$V$14,Hypothèses!$X$14,IF(B45&lt;=Hypothèses!$V$15,Hypothèses!$X$15,IF(B45&lt;=Hypothèses!$V$16,Hypothèses!$X$16,IF(B45&lt;=Hypothèses!$U$17,Hypothèses!$W$17,IF(B45&lt;=Hypothèses!$U$18,Hypothèses!$W$18,""))))))))))))</f>
        <v/>
      </c>
      <c r="Y45" s="95" t="e">
        <f t="shared" ca="1" si="13"/>
        <v>#DIV/0!</v>
      </c>
      <c r="Z45" s="101">
        <f t="shared" si="14"/>
        <v>0</v>
      </c>
      <c r="AA45" s="91">
        <f t="shared" si="15"/>
        <v>0</v>
      </c>
      <c r="AB45" s="30" t="e">
        <f t="shared" si="100"/>
        <v>#N/A</v>
      </c>
      <c r="AC45" s="30" t="e">
        <f t="shared" si="101"/>
        <v>#N/A</v>
      </c>
      <c r="AD45" s="31" t="e">
        <f>IF(OR(Hypothèses!$B$4=17,Hypothèses!$B$4=18,Hypothèses!$B$4=19,Hypothèses!$B$4=20),
IF($D45="Pressio.",
IF(OR($E45=3,$E45=1,$E45=4),AC45,AB45),
IF($D45="Pénétro.",
IF(OR($E45=3,$E45=1,$E45=4),AC45,AB45))),IF($D45="Pressio.",
IF($E45=3,AC45,AB45),
IF($D45="Pénétro.",
IF($E45=4,AC45,AB45))))</f>
        <v>#N/A</v>
      </c>
      <c r="AE45" s="31">
        <v>0</v>
      </c>
      <c r="AF45" s="102" t="e">
        <f>IF(NDC!$H$10="Oui",(VLOOKUP($B$3,'Coeff EC7'!$T$39:$X$59,2,0)*AD45+VLOOKUP($B$3,'Coeff EC7'!$T$65:$X$85,2,0)*Model0.1T!AE45)/1.5,PI()*AB$12*$Q45*($B45-$B44)*0.15/10+AF44)</f>
        <v>#N/A</v>
      </c>
      <c r="AG45" s="102" t="e">
        <f>(VLOOKUP($B$3,'Coeff EC7'!$T$39:$X$59,3,0)*AD45+VLOOKUP($B$3,'Coeff EC7'!$T$65:$X$85,3,0)*Model0.1T!AE45)/1.1</f>
        <v>#N/A</v>
      </c>
      <c r="AH45" s="102" t="e">
        <f t="shared" si="68"/>
        <v>#N/A</v>
      </c>
      <c r="AI45" s="102" t="e">
        <f t="shared" si="69"/>
        <v>#N/A</v>
      </c>
      <c r="AJ45" s="414" t="e">
        <f>IF(AND(AF45&gt;NDC!$C$63,AG45&gt;NDC!$C$65,AH45&gt;NDC!$D$73,AI45&gt;NDC!$D$74,$B45&gt;NDC!$H$22-0.1+MIN(3*$AJ$12,1.5)),0,1)</f>
        <v>#N/A</v>
      </c>
      <c r="AK45" s="86" t="b">
        <f t="shared" si="18"/>
        <v>0</v>
      </c>
      <c r="AL45" s="86">
        <f t="shared" si="70"/>
        <v>0.5</v>
      </c>
      <c r="AM45" s="86">
        <f t="shared" si="19"/>
        <v>0.5</v>
      </c>
      <c r="AN45" s="30" t="e">
        <f t="shared" ca="1" si="71"/>
        <v>#DIV/0!</v>
      </c>
      <c r="AO45" s="85" t="e">
        <f ca="1">IF(U45&lt;=Hypothèses!$V$7,Hypothèses!$W$7,IF(U45&lt;=Hypothèses!$V$8,Hypothèses!$W$8,IF(U45&lt;=Hypothèses!$V$9,Hypothèses!$W$9,IF(U45&lt;=Hypothèses!$V$10,Hypothèses!$W$10,IF(U45&lt;=Hypothèses!$V$11,Hypothèses!$W$11,IF(U45&lt;=Hypothèses!$V$12,Hypothèses!$W$12,IF(U45&lt;=Hypothèses!$V$13,Hypothèses!$W$13,IF(U45&lt;=Hypothèses!$V$14,Hypothèses!$W$14,IF(U45&lt;=Hypothèses!$V$15,Hypothèses!$W$15,IF(U45&lt;=Hypothèses!$V$16,Hypothèses!$W$16,IF(U45&lt;=Hypothèses!$V$17,Hypothèses!$W$17,IF(U45&lt;=Hypothèses!$V$18,Hypothèses!$W$18,""))))))))))))</f>
        <v>#DIV/0!</v>
      </c>
      <c r="AP45" s="87" t="e">
        <f t="shared" ca="1" si="117"/>
        <v>#DIV/0!</v>
      </c>
      <c r="AQ45" s="88" t="e">
        <f ca="1">IF(U45&lt;=Hypothèses!$V$7,Hypothèses!$X$7,IF(U45&lt;=Hypothèses!$V$8,Hypothèses!$X$8,IF(U45&lt;=Hypothèses!$V$9,Hypothèses!$X$9,IF(U45&lt;=Hypothèses!$V$10,Hypothèses!$X$10,IF(U45&lt;=Hypothèses!$V$11,Hypothèses!$X$11,IF(U45&lt;=Hypothèses!$V$12,Hypothèses!$X$12,IF(U45&lt;=Hypothèses!$V$13,Hypothèses!$X$13,IF(U45&lt;=Hypothèses!$V$14,Hypothèses!$X$14,IF(U45&lt;=Hypothèses!$V$15,Hypothèses!$X$15,IF(U45&lt;=Hypothèses!$V$16,Hypothèses!$X$16,IF(U45&lt;=Hypothèses!$U$17,Hypothèses!$W$17,IF(U45&lt;=Hypothèses!$U$18,Hypothèses!$W$18,""))))))))))))</f>
        <v>#DIV/0!</v>
      </c>
      <c r="AR45" s="95" t="e">
        <f t="shared" ca="1" si="72"/>
        <v>#DIV/0!</v>
      </c>
      <c r="AS45" s="101">
        <f t="shared" si="124"/>
        <v>0</v>
      </c>
      <c r="AT45" s="91">
        <f t="shared" si="21"/>
        <v>0</v>
      </c>
      <c r="AU45" s="30" t="e">
        <f t="shared" si="102"/>
        <v>#N/A</v>
      </c>
      <c r="AV45" s="30" t="e">
        <f t="shared" si="103"/>
        <v>#N/A</v>
      </c>
      <c r="AW45" s="31" t="e">
        <f>IF(OR(Hypothèses!$B$4=17,Hypothèses!$B$4=18,Hypothèses!$B$4=19,Hypothèses!$B$4=20),
IF($D45="Pressio.",
IF(OR($E45=3,$E45=1,$E45=4),AV45,AU45),
IF($D45="Pénétro.",
IF(OR($E45=3,$E45=1,$E45=4),AV45,AU45))),IF($D45="Pressio.",
IF($E45=3,AV45,AU45),
IF($D45="Pénétro.",
IF($E45=4,AV45,AU45))))</f>
        <v>#N/A</v>
      </c>
      <c r="AX45" s="31">
        <v>0</v>
      </c>
      <c r="AY45" s="102" t="e">
        <f>IF(NDC!$H$10="Oui",(VLOOKUP($B$3,'Coeff EC7'!$T$39:$X$59,2,0)*AW45+VLOOKUP($B$3,'Coeff EC7'!$T$65:$X$85,2,0)*Model0.1T!AX45)/1.5,PI()*AU$12*$Q45*($B45-$B44)*0.15/10+AY44)</f>
        <v>#N/A</v>
      </c>
      <c r="AZ45" s="102" t="e">
        <f>(VLOOKUP($B$3,'Coeff EC7'!$T$39:$X$59,3,0)*AW45+VLOOKUP($B$3,'Coeff EC7'!$T$65:$X$85,3,0)*Model0.1T!AX45)/1.1</f>
        <v>#N/A</v>
      </c>
      <c r="BA45" s="102" t="e">
        <f t="shared" si="73"/>
        <v>#N/A</v>
      </c>
      <c r="BB45" s="102" t="e">
        <f t="shared" si="74"/>
        <v>#N/A</v>
      </c>
      <c r="BC45" s="414" t="e">
        <f>IF(AND(AY45&gt;NDC!$C$63,AZ45&gt;NDC!$C$65,BA45&gt;NDC!$D$73,BB45&gt;NDC!$D$74,$B45&gt;NDC!$H$22-0.1+MIN(3*BC$12,1.5)),0,1)</f>
        <v>#N/A</v>
      </c>
      <c r="BD45" s="86" t="b">
        <f t="shared" si="24"/>
        <v>0</v>
      </c>
      <c r="BE45" s="86">
        <f t="shared" si="75"/>
        <v>0.5</v>
      </c>
      <c r="BF45" s="86">
        <f t="shared" si="25"/>
        <v>0.5</v>
      </c>
      <c r="BG45" s="30" t="e">
        <f t="shared" ca="1" si="76"/>
        <v>#DIV/0!</v>
      </c>
      <c r="BH45" s="85" t="e">
        <f ca="1">IF(AN45&lt;=Hypothèses!$V$7,Hypothèses!$W$7,IF(AN45&lt;=Hypothèses!$V$8,Hypothèses!$W$8,IF(AN45&lt;=Hypothèses!$V$9,Hypothèses!$W$9,IF(AN45&lt;=Hypothèses!$V$10,Hypothèses!$W$10,IF(AN45&lt;=Hypothèses!$V$11,Hypothèses!$W$11,IF(AN45&lt;=Hypothèses!$V$12,Hypothèses!$W$12,IF(AN45&lt;=Hypothèses!$V$13,Hypothèses!$W$13,IF(AN45&lt;=Hypothèses!$V$14,Hypothèses!$W$14,IF(AN45&lt;=Hypothèses!$V$15,Hypothèses!$W$15,IF(AN45&lt;=Hypothèses!$V$16,Hypothèses!$W$16,IF(AN45&lt;=Hypothèses!$V$17,Hypothèses!$W$17,IF(AN45&lt;=Hypothèses!$V$18,Hypothèses!$W$18,""))))))))))))</f>
        <v>#DIV/0!</v>
      </c>
      <c r="BI45" s="87" t="e">
        <f t="shared" ca="1" si="118"/>
        <v>#DIV/0!</v>
      </c>
      <c r="BJ45" s="88" t="e">
        <f ca="1">IF(AN45&lt;=Hypothèses!$V$7,Hypothèses!$X$7,IF(AN45&lt;=Hypothèses!$V$8,Hypothèses!$X$8,IF(AN45&lt;=Hypothèses!$V$9,Hypothèses!$X$9,IF(AN45&lt;=Hypothèses!$V$10,Hypothèses!$X$10,IF(AN45&lt;=Hypothèses!$V$11,Hypothèses!$X$11,IF(AN45&lt;=Hypothèses!$V$12,Hypothèses!$X$12,IF(AN45&lt;=Hypothèses!$V$13,Hypothèses!$X$13,IF(AN45&lt;=Hypothèses!$V$14,Hypothèses!$X$14,IF(AN45&lt;=Hypothèses!$V$15,Hypothèses!$X$15,IF(AN45&lt;=Hypothèses!$V$16,Hypothèses!$X$16,IF(AN45&lt;=Hypothèses!$U$17,Hypothèses!$W$17,IF(AN45&lt;=Hypothèses!$U$18,Hypothèses!$W$18,""))))))))))))</f>
        <v>#DIV/0!</v>
      </c>
      <c r="BK45" s="95" t="e">
        <f t="shared" ca="1" si="77"/>
        <v>#DIV/0!</v>
      </c>
      <c r="BL45" s="101">
        <f t="shared" si="125"/>
        <v>0</v>
      </c>
      <c r="BM45" s="91">
        <f t="shared" si="27"/>
        <v>0</v>
      </c>
      <c r="BN45" s="30" t="e">
        <f t="shared" si="104"/>
        <v>#N/A</v>
      </c>
      <c r="BO45" s="30" t="e">
        <f t="shared" si="105"/>
        <v>#N/A</v>
      </c>
      <c r="BP45" s="31" t="e">
        <f>IF(OR(Hypothèses!$B$4=17,Hypothèses!$B$4=18,Hypothèses!$B$4=19,Hypothèses!$B$4=20),
IF($D45="Pressio.",
IF(OR($E45=3,$E45=1,$E45=4),BO45,BN45),
IF($D45="Pénétro.",
IF(OR($E45=3,$E45=1,$E45=4),BO45,BN45))),IF($D45="Pressio.",
IF($E45=3,BO45,BN45),
IF($D45="Pénétro.",
IF($E45=4,BO45,BN45))))</f>
        <v>#N/A</v>
      </c>
      <c r="BQ45" s="31">
        <v>0</v>
      </c>
      <c r="BR45" s="102" t="e">
        <f>IF(NDC!$H$10="Oui",(VLOOKUP($B$3,'Coeff EC7'!$T$39:$X$59,2,0)*BP45+VLOOKUP($B$3,'Coeff EC7'!$T$65:$X$85,2,0)*Model0.1T!BQ45)/1.5,PI()*BN$12*$Q45*($B45-$B44)*0.15/10+BR44)</f>
        <v>#N/A</v>
      </c>
      <c r="BS45" s="102" t="e">
        <f>(VLOOKUP($B$3,'Coeff EC7'!$T$39:$X$59,3,0)*BP45+VLOOKUP($B$3,'Coeff EC7'!$T$65:$X$85,3,0)*Model0.1T!BQ45)/1.1</f>
        <v>#N/A</v>
      </c>
      <c r="BT45" s="102" t="e">
        <f t="shared" si="78"/>
        <v>#N/A</v>
      </c>
      <c r="BU45" s="102" t="e">
        <f t="shared" si="79"/>
        <v>#N/A</v>
      </c>
      <c r="BV45" s="414" t="e">
        <f>IF(AND(BR45&gt;NDC!$C$63,BS45&gt;NDC!$C$65,BT45&gt;NDC!$D$73,BU45&gt;NDC!$D$74,$B45&gt;NDC!$H$22-0.1+MIN(3*BV$12,1.5)),0,1)</f>
        <v>#N/A</v>
      </c>
      <c r="BW45" s="86" t="b">
        <f t="shared" si="30"/>
        <v>0</v>
      </c>
      <c r="BX45" s="86">
        <f t="shared" si="31"/>
        <v>0.5</v>
      </c>
      <c r="BY45" s="86">
        <f t="shared" si="32"/>
        <v>0.5</v>
      </c>
      <c r="BZ45" s="30" t="e">
        <f t="shared" ca="1" si="80"/>
        <v>#DIV/0!</v>
      </c>
      <c r="CA45" s="85" t="e">
        <f ca="1">IF(BG45&lt;=Hypothèses!$V$7,Hypothèses!$W$7,IF(BG45&lt;=Hypothèses!$V$8,Hypothèses!$W$8,IF(BG45&lt;=Hypothèses!$V$9,Hypothèses!$W$9,IF(BG45&lt;=Hypothèses!$V$10,Hypothèses!$W$10,IF(BG45&lt;=Hypothèses!$V$11,Hypothèses!$W$11,IF(BG45&lt;=Hypothèses!$V$12,Hypothèses!$W$12,IF(BG45&lt;=Hypothèses!$V$13,Hypothèses!$W$13,IF(BG45&lt;=Hypothèses!$V$14,Hypothèses!$W$14,IF(BG45&lt;=Hypothèses!$V$15,Hypothèses!$W$15,IF(BG45&lt;=Hypothèses!$V$16,Hypothèses!$W$16,IF(BG45&lt;=Hypothèses!$V$17,Hypothèses!$W$17,IF(BG45&lt;=Hypothèses!$V$18,Hypothèses!$W$18,""))))))))))))</f>
        <v>#DIV/0!</v>
      </c>
      <c r="CB45" s="87" t="e">
        <f t="shared" ca="1" si="119"/>
        <v>#DIV/0!</v>
      </c>
      <c r="CC45" s="88" t="e">
        <f ca="1">IF(BG45&lt;=Hypothèses!$V$7,Hypothèses!$X$7,IF(BG45&lt;=Hypothèses!$V$8,Hypothèses!$X$8,IF(BG45&lt;=Hypothèses!$V$9,Hypothèses!$X$9,IF(BG45&lt;=Hypothèses!$V$10,Hypothèses!$X$10,IF(BG45&lt;=Hypothèses!$V$11,Hypothèses!$X$11,IF(BG45&lt;=Hypothèses!$V$12,Hypothèses!$X$12,IF(BG45&lt;=Hypothèses!$V$13,Hypothèses!$X$13,IF(BG45&lt;=Hypothèses!$V$14,Hypothèses!$X$14,IF(BG45&lt;=Hypothèses!$V$15,Hypothèses!$X$15,IF(BG45&lt;=Hypothèses!$V$16,Hypothèses!$X$16,IF(BG45&lt;=Hypothèses!$U$17,Hypothèses!$W$17,IF(BG45&lt;=Hypothèses!$U$18,Hypothèses!$W$18,""))))))))))))</f>
        <v>#DIV/0!</v>
      </c>
      <c r="CD45" s="95" t="e">
        <f t="shared" ca="1" si="81"/>
        <v>#DIV/0!</v>
      </c>
      <c r="CE45" s="101">
        <f t="shared" si="126"/>
        <v>0</v>
      </c>
      <c r="CF45" s="91">
        <f t="shared" si="34"/>
        <v>0</v>
      </c>
      <c r="CG45" s="30" t="e">
        <f t="shared" si="106"/>
        <v>#N/A</v>
      </c>
      <c r="CH45" s="30" t="e">
        <f t="shared" si="107"/>
        <v>#N/A</v>
      </c>
      <c r="CI45" s="31" t="e">
        <f>IF(OR(Hypothèses!$B$4=17,Hypothèses!$B$4=18,Hypothèses!$B$4=19,Hypothèses!$B$4=20),
IF($D45="Pressio.",
IF(OR($E45=3,$E45=1,$E45=4),CH45,CG45),
IF($D45="Pénétro.",
IF(OR($E45=3,$E45=1,$E45=4),CH45,CG45))),IF($D45="Pressio.",
IF($E45=3,CH45,CG45),
IF($D45="Pénétro.",
IF($E45=4,CH45,CG45))))</f>
        <v>#N/A</v>
      </c>
      <c r="CJ45" s="31">
        <v>0</v>
      </c>
      <c r="CK45" s="102" t="e">
        <f>IF(NDC!$H$10="Oui",(VLOOKUP($B$3,'Coeff EC7'!$T$39:$X$59,2,0)*CI45+VLOOKUP($B$3,'Coeff EC7'!$T$65:$X$85,2,0)*Model0.1T!CJ45)/1.5,PI()*CG$12*$Q45*($B45-$B44)*0.15/10+CK44)</f>
        <v>#N/A</v>
      </c>
      <c r="CL45" s="102" t="e">
        <f>(VLOOKUP($B$3,'Coeff EC7'!$T$39:$X$59,3,0)*CI45+VLOOKUP($B$3,'Coeff EC7'!$T$65:$X$85,3,0)*Model0.1T!CJ45)/1.1</f>
        <v>#N/A</v>
      </c>
      <c r="CM45" s="102" t="e">
        <f t="shared" si="82"/>
        <v>#N/A</v>
      </c>
      <c r="CN45" s="102" t="e">
        <f t="shared" si="83"/>
        <v>#N/A</v>
      </c>
      <c r="CO45" s="414" t="e">
        <f>IF(AND(CK45&gt;NDC!$C$63,CL45&gt;NDC!$C$65,CM45&gt;NDC!$D$73,CN45&gt;NDC!$D$74,$B45&gt;NDC!$H$22-0.1+MIN(3*CO$12,1.5)),0,1)</f>
        <v>#N/A</v>
      </c>
      <c r="CP45" s="86" t="b">
        <f t="shared" si="37"/>
        <v>0</v>
      </c>
      <c r="CQ45" s="86">
        <f t="shared" si="38"/>
        <v>0.5</v>
      </c>
      <c r="CR45" s="86">
        <f t="shared" si="39"/>
        <v>0.5</v>
      </c>
      <c r="CS45" s="30" t="e">
        <f t="shared" ca="1" si="84"/>
        <v>#DIV/0!</v>
      </c>
      <c r="CT45" s="85" t="e">
        <f ca="1">IF(BZ45&lt;=Hypothèses!$V$7,Hypothèses!$W$7,IF(BZ45&lt;=Hypothèses!$V$8,Hypothèses!$W$8,IF(BZ45&lt;=Hypothèses!$V$9,Hypothèses!$W$9,IF(BZ45&lt;=Hypothèses!$V$10,Hypothèses!$W$10,IF(BZ45&lt;=Hypothèses!$V$11,Hypothèses!$W$11,IF(BZ45&lt;=Hypothèses!$V$12,Hypothèses!$W$12,IF(BZ45&lt;=Hypothèses!$V$13,Hypothèses!$W$13,IF(BZ45&lt;=Hypothèses!$V$14,Hypothèses!$W$14,IF(BZ45&lt;=Hypothèses!$V$15,Hypothèses!$W$15,IF(BZ45&lt;=Hypothèses!$V$16,Hypothèses!$W$16,IF(BZ45&lt;=Hypothèses!$V$17,Hypothèses!$W$17,IF(BZ45&lt;=Hypothèses!$V$18,Hypothèses!$W$18,""))))))))))))</f>
        <v>#DIV/0!</v>
      </c>
      <c r="CU45" s="87" t="e">
        <f t="shared" ca="1" si="120"/>
        <v>#DIV/0!</v>
      </c>
      <c r="CV45" s="88" t="e">
        <f ca="1">IF(BZ45&lt;=Hypothèses!$V$7,Hypothèses!$X$7,IF(BZ45&lt;=Hypothèses!$V$8,Hypothèses!$X$8,IF(BZ45&lt;=Hypothèses!$V$9,Hypothèses!$X$9,IF(BZ45&lt;=Hypothèses!$V$10,Hypothèses!$X$10,IF(BZ45&lt;=Hypothèses!$V$11,Hypothèses!$X$11,IF(BZ45&lt;=Hypothèses!$V$12,Hypothèses!$X$12,IF(BZ45&lt;=Hypothèses!$V$13,Hypothèses!$X$13,IF(BZ45&lt;=Hypothèses!$V$14,Hypothèses!$X$14,IF(BZ45&lt;=Hypothèses!$V$15,Hypothèses!$X$15,IF(BZ45&lt;=Hypothèses!$V$16,Hypothèses!$X$16,IF(BZ45&lt;=Hypothèses!$U$17,Hypothèses!$W$17,IF(BZ45&lt;=Hypothèses!$U$18,Hypothèses!$W$18,""))))))))))))</f>
        <v>#DIV/0!</v>
      </c>
      <c r="CW45" s="95" t="e">
        <f t="shared" ca="1" si="85"/>
        <v>#DIV/0!</v>
      </c>
      <c r="CX45" s="101">
        <f t="shared" si="127"/>
        <v>0</v>
      </c>
      <c r="CY45" s="91">
        <f t="shared" si="41"/>
        <v>0</v>
      </c>
      <c r="CZ45" s="30" t="e">
        <f t="shared" si="108"/>
        <v>#N/A</v>
      </c>
      <c r="DA45" s="30" t="e">
        <f t="shared" si="109"/>
        <v>#N/A</v>
      </c>
      <c r="DB45" s="31" t="e">
        <f>IF(OR(Hypothèses!$B$4=17,Hypothèses!$B$4=18,Hypothèses!$B$4=19,Hypothèses!$B$4=20),
IF($D45="Pressio.",
IF(OR($E45=3,$E45=1,$E45=4),DA45,CZ45),
IF($D45="Pénétro.",
IF(OR($E45=3,$E45=1,$E45=4),DA45,CZ45))),IF($D45="Pressio.",
IF($E45=3,DA45,CZ45),
IF($D45="Pénétro.",
IF($E45=4,DA45,CZ45))))</f>
        <v>#N/A</v>
      </c>
      <c r="DC45" s="31">
        <v>0</v>
      </c>
      <c r="DD45" s="102" t="e">
        <f>IF(NDC!$H$10="Oui",(VLOOKUP($B$3,'Coeff EC7'!$T$39:$X$59,2,0)*DB45+VLOOKUP($B$3,'Coeff EC7'!$T$65:$X$85,2,0)*Model0.1T!DC45)/1.5,PI()*CZ$12*$Q45*($B45-$B44)*0.15/10+DD44)</f>
        <v>#N/A</v>
      </c>
      <c r="DE45" s="102" t="e">
        <f>(VLOOKUP($B$3,'Coeff EC7'!$T$39:$X$59,3,0)*DB45+VLOOKUP($B$3,'Coeff EC7'!$T$65:$X$85,3,0)*Model0.1T!DC45)/1.1</f>
        <v>#N/A</v>
      </c>
      <c r="DF45" s="102" t="e">
        <f t="shared" si="86"/>
        <v>#N/A</v>
      </c>
      <c r="DG45" s="102" t="e">
        <f t="shared" si="87"/>
        <v>#N/A</v>
      </c>
      <c r="DH45" s="414" t="e">
        <f>IF(AND(DD45&gt;NDC!$C$63,DE45&gt;NDC!$C$65,DF45&gt;NDC!$D$73,DG45&gt;NDC!$D$74,$B45&gt;NDC!$H$22-0.1+MIN(3*DH$12,1.5)),0,1)</f>
        <v>#N/A</v>
      </c>
      <c r="DI45" s="86" t="b">
        <f t="shared" si="44"/>
        <v>0</v>
      </c>
      <c r="DJ45" s="86">
        <f t="shared" si="45"/>
        <v>0.5</v>
      </c>
      <c r="DK45" s="86">
        <f t="shared" si="46"/>
        <v>0.5</v>
      </c>
      <c r="DL45" s="30" t="e">
        <f t="shared" ca="1" si="88"/>
        <v>#DIV/0!</v>
      </c>
      <c r="DM45" s="85" t="e">
        <f ca="1">IF(CS45&lt;=Hypothèses!$V$7,Hypothèses!$W$7,IF(CS45&lt;=Hypothèses!$V$8,Hypothèses!$W$8,IF(CS45&lt;=Hypothèses!$V$9,Hypothèses!$W$9,IF(CS45&lt;=Hypothèses!$V$10,Hypothèses!$W$10,IF(CS45&lt;=Hypothèses!$V$11,Hypothèses!$W$11,IF(CS45&lt;=Hypothèses!$V$12,Hypothèses!$W$12,IF(CS45&lt;=Hypothèses!$V$13,Hypothèses!$W$13,IF(CS45&lt;=Hypothèses!$V$14,Hypothèses!$W$14,IF(CS45&lt;=Hypothèses!$V$15,Hypothèses!$W$15,IF(CS45&lt;=Hypothèses!$V$16,Hypothèses!$W$16,IF(CS45&lt;=Hypothèses!$V$17,Hypothèses!$W$17,IF(CS45&lt;=Hypothèses!$V$18,Hypothèses!$W$18,""))))))))))))</f>
        <v>#DIV/0!</v>
      </c>
      <c r="DN45" s="87" t="e">
        <f t="shared" ca="1" si="121"/>
        <v>#DIV/0!</v>
      </c>
      <c r="DO45" s="88" t="e">
        <f ca="1">IF(CS45&lt;=Hypothèses!$V$7,Hypothèses!$X$7,IF(CS45&lt;=Hypothèses!$V$8,Hypothèses!$X$8,IF(CS45&lt;=Hypothèses!$V$9,Hypothèses!$X$9,IF(CS45&lt;=Hypothèses!$V$10,Hypothèses!$X$10,IF(CS45&lt;=Hypothèses!$V$11,Hypothèses!$X$11,IF(CS45&lt;=Hypothèses!$V$12,Hypothèses!$X$12,IF(CS45&lt;=Hypothèses!$V$13,Hypothèses!$X$13,IF(CS45&lt;=Hypothèses!$V$14,Hypothèses!$X$14,IF(CS45&lt;=Hypothèses!$V$15,Hypothèses!$X$15,IF(CS45&lt;=Hypothèses!$V$16,Hypothèses!$X$16,IF(CS45&lt;=Hypothèses!$U$17,Hypothèses!$W$17,IF(CS45&lt;=Hypothèses!$U$18,Hypothèses!$W$18,""))))))))))))</f>
        <v>#DIV/0!</v>
      </c>
      <c r="DP45" s="95" t="e">
        <f t="shared" ca="1" si="89"/>
        <v>#DIV/0!</v>
      </c>
      <c r="DQ45" s="101">
        <f t="shared" si="128"/>
        <v>0</v>
      </c>
      <c r="DR45" s="91">
        <f t="shared" si="48"/>
        <v>0</v>
      </c>
      <c r="DS45" s="30" t="e">
        <f t="shared" si="110"/>
        <v>#N/A</v>
      </c>
      <c r="DT45" s="30" t="e">
        <f t="shared" si="111"/>
        <v>#N/A</v>
      </c>
      <c r="DU45" s="31" t="e">
        <f>IF(OR(Hypothèses!$B$4=17,Hypothèses!$B$4=18,Hypothèses!$B$4=19,Hypothèses!$B$4=20),
IF($D45="Pressio.",
IF(OR($E45=3,$E45=1,$E45=4),DT45,DS45),
IF($D45="Pénétro.",
IF(OR($E45=3,$E45=1,$E45=4),DT45,DS45))),IF($D45="Pressio.",
IF($E45=3,DT45,DS45),
IF($D45="Pénétro.",
IF($E45=4,DT45,DS45))))</f>
        <v>#N/A</v>
      </c>
      <c r="DV45" s="31">
        <v>0</v>
      </c>
      <c r="DW45" s="102" t="e">
        <f>IF(NDC!$H$10="Oui",(VLOOKUP($B$3,'Coeff EC7'!$T$39:$X$59,2,0)*DU45+VLOOKUP($B$3,'Coeff EC7'!$T$65:$X$85,2,0)*Model0.1T!DV45)/1.5,PI()*DS$12*$Q45*($B45-$B44)*0.15/10+DW44)</f>
        <v>#N/A</v>
      </c>
      <c r="DX45" s="102" t="e">
        <f>(VLOOKUP($B$3,'Coeff EC7'!$T$39:$X$59,3,0)*DU45+VLOOKUP($B$3,'Coeff EC7'!$T$65:$X$85,3,0)*Model0.1T!DV45)/1.1</f>
        <v>#N/A</v>
      </c>
      <c r="DY45" s="102" t="e">
        <f t="shared" si="90"/>
        <v>#N/A</v>
      </c>
      <c r="DZ45" s="102" t="e">
        <f t="shared" si="91"/>
        <v>#N/A</v>
      </c>
      <c r="EA45" s="414" t="e">
        <f>IF(AND(DW45&gt;NDC!$C$63,DX45&gt;NDC!$C$65,DY45&gt;NDC!$D$73,DZ45&gt;NDC!$D$74,$B45&gt;NDC!$H$22-0.1+MIN(3*EA$12,1.5)),0,1)</f>
        <v>#N/A</v>
      </c>
      <c r="EB45" s="86" t="b">
        <f t="shared" si="51"/>
        <v>0</v>
      </c>
      <c r="EC45" s="418">
        <f t="shared" si="52"/>
        <v>0.51</v>
      </c>
      <c r="ED45" s="86">
        <f t="shared" si="53"/>
        <v>0.51</v>
      </c>
      <c r="EE45" s="30" t="e">
        <f t="shared" ca="1" si="92"/>
        <v>#DIV/0!</v>
      </c>
      <c r="EF45" s="85" t="e">
        <f ca="1">IF(DL45&lt;=Hypothèses!$V$7,Hypothèses!$W$7,IF(DL45&lt;=Hypothèses!$V$8,Hypothèses!$W$8,IF(DL45&lt;=Hypothèses!$V$9,Hypothèses!$W$9,IF(DL45&lt;=Hypothèses!$V$10,Hypothèses!$W$10,IF(DL45&lt;=Hypothèses!$V$11,Hypothèses!$W$11,IF(DL45&lt;=Hypothèses!$V$12,Hypothèses!$W$12,IF(DL45&lt;=Hypothèses!$V$13,Hypothèses!$W$13,IF(DL45&lt;=Hypothèses!$V$14,Hypothèses!$W$14,IF(DL45&lt;=Hypothèses!$V$15,Hypothèses!$W$15,IF(DL45&lt;=Hypothèses!$V$16,Hypothèses!$W$16,IF(DL45&lt;=Hypothèses!$V$17,Hypothèses!$W$17,IF(DL45&lt;=Hypothèses!$V$18,Hypothèses!$W$18,""))))))))))))</f>
        <v>#DIV/0!</v>
      </c>
      <c r="EG45" s="87" t="e">
        <f t="shared" ca="1" si="122"/>
        <v>#DIV/0!</v>
      </c>
      <c r="EH45" s="88" t="e">
        <f ca="1">IF(DL45&lt;=Hypothèses!$V$7,Hypothèses!$X$7,IF(DL45&lt;=Hypothèses!$V$8,Hypothèses!$X$8,IF(DL45&lt;=Hypothèses!$V$9,Hypothèses!$X$9,IF(DL45&lt;=Hypothèses!$V$10,Hypothèses!$X$10,IF(DL45&lt;=Hypothèses!$V$11,Hypothèses!$X$11,IF(DL45&lt;=Hypothèses!$V$12,Hypothèses!$X$12,IF(DL45&lt;=Hypothèses!$V$13,Hypothèses!$X$13,IF(DL45&lt;=Hypothèses!$V$14,Hypothèses!$X$14,IF(DL45&lt;=Hypothèses!$V$15,Hypothèses!$X$15,IF(DL45&lt;=Hypothèses!$V$16,Hypothèses!$X$16,IF(DL45&lt;=Hypothèses!$U$17,Hypothèses!$W$17,IF(DL45&lt;=Hypothèses!$U$18,Hypothèses!$W$18,""))))))))))))</f>
        <v>#DIV/0!</v>
      </c>
      <c r="EI45" s="95" t="e">
        <f t="shared" ca="1" si="93"/>
        <v>#DIV/0!</v>
      </c>
      <c r="EJ45" s="101">
        <f t="shared" si="129"/>
        <v>0</v>
      </c>
      <c r="EK45" s="91">
        <f t="shared" si="55"/>
        <v>0</v>
      </c>
      <c r="EL45" s="30" t="e">
        <f t="shared" si="112"/>
        <v>#N/A</v>
      </c>
      <c r="EM45" s="30" t="e">
        <f t="shared" si="113"/>
        <v>#N/A</v>
      </c>
      <c r="EN45" s="31" t="e">
        <f>IF(OR(Hypothèses!$B$4=17,Hypothèses!$B$4=18,Hypothèses!$B$4=19,Hypothèses!$B$4=20),
IF($D45="Pressio.",
IF(OR($E45=3,$E45=1,$E45=4),EM45,EL45),
IF($D45="Pénétro.",
IF(OR($E45=3,$E45=1,$E45=4),EM45,EL45))),IF($D45="Pressio.",
IF($E45=3,EM45,EL45),
IF($D45="Pénétro.",
IF($E45=4,EM45,EL45))))</f>
        <v>#N/A</v>
      </c>
      <c r="EO45" s="31">
        <v>0</v>
      </c>
      <c r="EP45" s="102" t="e">
        <f>IF(NDC!$H$10="Oui",(VLOOKUP($B$3,'Coeff EC7'!$T$39:$X$59,2,0)*EN45+VLOOKUP($B$3,'Coeff EC7'!$T$65:$X$85,2,0)*Model0.1T!EO45)/1.5,PI()*EL$12*$Q45*($B45-$B44)*0.15/10+EP44)</f>
        <v>#N/A</v>
      </c>
      <c r="EQ45" s="102" t="e">
        <f>(VLOOKUP($B$3,'Coeff EC7'!$T$39:$X$59,3,0)*EN45+VLOOKUP($B$3,'Coeff EC7'!$T$65:$X$85,3,0)*Model0.1T!EO45)/1.1</f>
        <v>#N/A</v>
      </c>
      <c r="ER45" s="102" t="e">
        <f t="shared" si="94"/>
        <v>#N/A</v>
      </c>
      <c r="ES45" s="102" t="e">
        <f t="shared" si="95"/>
        <v>#N/A</v>
      </c>
      <c r="ET45" s="414" t="e">
        <f>IF(AND(EP45&gt;NDC!$C$63,EQ45&gt;NDC!$C$65,ER45&gt;NDC!$D$73,ES45&gt;NDC!$D$74,$B45&gt;NDC!$H$22-0.1+MIN(3*ET$12,1.5)),0,1)</f>
        <v>#N/A</v>
      </c>
      <c r="EU45" s="86" t="b">
        <f t="shared" si="58"/>
        <v>0</v>
      </c>
      <c r="EV45" s="86">
        <f t="shared" si="59"/>
        <v>0.61</v>
      </c>
      <c r="EW45" s="86">
        <f t="shared" si="60"/>
        <v>0.61</v>
      </c>
      <c r="EX45" s="30" t="e">
        <f t="shared" ca="1" si="96"/>
        <v>#DIV/0!</v>
      </c>
      <c r="EY45" s="85" t="e">
        <f ca="1">IF(EE45&lt;=Hypothèses!$V$7,Hypothèses!$W$7,IF(EE45&lt;=Hypothèses!$V$8,Hypothèses!$W$8,IF(EE45&lt;=Hypothèses!$V$9,Hypothèses!$W$9,IF(EE45&lt;=Hypothèses!$V$10,Hypothèses!$W$10,IF(EE45&lt;=Hypothèses!$V$11,Hypothèses!$W$11,IF(EE45&lt;=Hypothèses!$V$12,Hypothèses!$W$12,IF(EE45&lt;=Hypothèses!$V$13,Hypothèses!$W$13,IF(EE45&lt;=Hypothèses!$V$14,Hypothèses!$W$14,IF(EE45&lt;=Hypothèses!$V$15,Hypothèses!$W$15,IF(EE45&lt;=Hypothèses!$V$16,Hypothèses!$W$16,IF(EE45&lt;=Hypothèses!$V$17,Hypothèses!$W$17,IF(EE45&lt;=Hypothèses!$V$18,Hypothèses!$W$18,""))))))))))))</f>
        <v>#DIV/0!</v>
      </c>
      <c r="EZ45" s="87" t="e">
        <f t="shared" ca="1" si="123"/>
        <v>#DIV/0!</v>
      </c>
      <c r="FA45" s="88" t="e">
        <f ca="1">IF(EE45&lt;=Hypothèses!$V$7,Hypothèses!$X$7,IF(EE45&lt;=Hypothèses!$V$8,Hypothèses!$X$8,IF(EE45&lt;=Hypothèses!$V$9,Hypothèses!$X$9,IF(EE45&lt;=Hypothèses!$V$10,Hypothèses!$X$10,IF(EE45&lt;=Hypothèses!$V$11,Hypothèses!$X$11,IF(EE45&lt;=Hypothèses!$V$12,Hypothèses!$X$12,IF(EE45&lt;=Hypothèses!$V$13,Hypothèses!$X$13,IF(EE45&lt;=Hypothèses!$V$14,Hypothèses!$X$14,IF(EE45&lt;=Hypothèses!$V$15,Hypothèses!$X$15,IF(EE45&lt;=Hypothèses!$V$16,Hypothèses!$X$16,IF(EE45&lt;=Hypothèses!$U$17,Hypothèses!$W$17,IF(EE45&lt;=Hypothèses!$U$18,Hypothèses!$W$18,""))))))))))))</f>
        <v>#DIV/0!</v>
      </c>
      <c r="FB45" s="95" t="e">
        <f t="shared" ca="1" si="97"/>
        <v>#DIV/0!</v>
      </c>
      <c r="FC45" s="101">
        <f t="shared" si="130"/>
        <v>0</v>
      </c>
      <c r="FD45" s="91">
        <f t="shared" si="62"/>
        <v>0</v>
      </c>
      <c r="FE45" s="30" t="e">
        <f t="shared" si="114"/>
        <v>#N/A</v>
      </c>
      <c r="FF45" s="30" t="e">
        <f t="shared" si="115"/>
        <v>#N/A</v>
      </c>
      <c r="FG45" s="31" t="e">
        <f>IF(OR(Hypothèses!$B$4=17,Hypothèses!$B$4=18,Hypothèses!$B$4=19,Hypothèses!$B$4=20),
IF($D45="Pressio.",
IF(OR($E45=3,$E45=1,$E45=4),FF45,FE45),
IF($D45="Pénétro.",
IF(OR($E45=3,$E45=1,$E45=4),FF45,FE45))),IF($D45="Pressio.",
IF($E45=3,FF45,FE45),
IF($D45="Pénétro.",
IF($E45=4,FF45,FE45))))</f>
        <v>#N/A</v>
      </c>
      <c r="FH45" s="31">
        <v>0</v>
      </c>
      <c r="FI45" s="102" t="e">
        <f>IF(NDC!$H$10="Oui",(VLOOKUP($B$3,'Coeff EC7'!$T$39:$X$59,2,0)*FG45+VLOOKUP($B$3,'Coeff EC7'!$T$65:$X$85,2,0)*Model0.1T!FH45)/1.5,PI()*FE$12*$Q45*($B45-$B44)*0.15/10+FI44)</f>
        <v>#N/A</v>
      </c>
      <c r="FJ45" s="102" t="e">
        <f>(VLOOKUP($B$3,'Coeff EC7'!$T$39:$X$59,3,0)*FG45+VLOOKUP($B$3,'Coeff EC7'!$T$65:$X$85,3,0)*Model0.1T!FH45)/1.1</f>
        <v>#N/A</v>
      </c>
      <c r="FK45" s="102" t="e">
        <f t="shared" si="98"/>
        <v>#N/A</v>
      </c>
      <c r="FL45" s="102" t="e">
        <f t="shared" si="99"/>
        <v>#N/A</v>
      </c>
      <c r="FM45" s="414" t="e">
        <f>IF(AND(FI45&gt;NDC!$C$63,FJ45&gt;NDC!$C$65,FK45&gt;NDC!$D$73,FL45&gt;NDC!$D$74,$B45&gt;NDC!$H$22-0.1+MIN(3*FM$12,1.5)),0,1)</f>
        <v>#N/A</v>
      </c>
    </row>
    <row r="46" spans="1:169">
      <c r="A46" s="96">
        <f t="shared" si="65"/>
        <v>96.700000000000188</v>
      </c>
      <c r="B46" s="97">
        <v>3.3</v>
      </c>
      <c r="C46" s="81">
        <f>IF(B46&lt;=Hypothèses!$C$7,Hypothèses!$A$7,IF(B46&lt;=Hypothèses!$C$8,Hypothèses!$A$8,IF(B46&lt;=Hypothèses!$C$9,Hypothèses!$A$9,IF(B46&lt;=Hypothèses!$C$10,Hypothèses!$A$10,IF(B46&lt;=Hypothèses!$C$11,Hypothèses!$A$11,IF(B46&lt;=Hypothèses!$C$12,Hypothèses!$A$12,IF(B46&lt;=Hypothèses!$C$13,Hypothèses!$A$13,IF(B46&lt;=Hypothèses!$C$14,Hypothèses!$A$14,IF(B46&lt;=Hypothèses!$C$15,Hypothèses!$A$15,IF(B46&lt;=Hypothèses!$C$16,Hypothèses!$A$16,IF(B46&lt;=Hypothèses!$C$17,Hypothèses!$A$17,IF(B46&lt;=Hypothèses!$C$18,Hypothèses!$A$18,C45))))))))))))</f>
        <v>11</v>
      </c>
      <c r="D46" s="82" t="str">
        <f>IF(B46&lt;=Hypothèses!$C$7,Hypothèses!$R$7,IF(B46&lt;=Hypothèses!$C$8,Hypothèses!$R$8,IF(B46&lt;=Hypothèses!$C$9,Hypothèses!$R$9,IF(B46&lt;=Hypothèses!$C$10,Hypothèses!$R$10,IF(B46&lt;=Hypothèses!$C$11,Hypothèses!$R$11,IF(B46&lt;=Hypothèses!$C$12,Hypothèses!$R$12,IF(B46&lt;=Hypothèses!$C$13,Hypothèses!$R$13,IF(B46&lt;=Hypothèses!$C$14,Hypothèses!$R$14,IF(B46&lt;=Hypothèses!$C$15,Hypothèses!$R$15,IF(B46&lt;=Hypothèses!$C$16,Hypothèses!$R$16,IF(B46&lt;=Hypothèses!$C$17,Hypothèses!$R$17,IF(B46&lt;=Hypothèses!$C$18,Hypothèses!$R$18,D45))))))))))))</f>
        <v>Pressio.</v>
      </c>
      <c r="E46" s="82" t="e">
        <f>IF(B46&lt;=Hypothèses!$C$7,Hypothèses!$G$7,IF(B46&lt;=Hypothèses!$C$8,Hypothèses!$G$8,IF(B46&lt;=Hypothèses!$C$9,Hypothèses!$G$9,IF(B46&lt;=Hypothèses!$C$10,Hypothèses!$G$10,IF(B46&lt;=Hypothèses!$C$11,Hypothèses!$G$11,IF(B46&lt;=Hypothèses!$C$12,Hypothèses!$G$12,IF(B46&lt;=Hypothèses!$C$13,Hypothèses!$G$13,IF(B46&lt;=Hypothèses!$C$14,Hypothèses!$G$14,IF(B46&lt;=Hypothèses!$C$15,Hypothèses!$G$15,IF(B46&lt;=Hypothèses!$C$16,Hypothèses!$G$16,IF(B46&lt;=Hypothèses!$C$17,Hypothèses!$G$17,IF(B46&lt;=Hypothèses!$C$18,Hypothèses!$G$18,E45))))))))))))</f>
        <v>#N/A</v>
      </c>
      <c r="F46" s="82" t="str">
        <f>IF(B46&lt;=Hypothèses!$C$7,Hypothèses!$F$7,IF(B46&lt;=Hypothèses!$C$8,Hypothèses!$F$8,IF(B46&lt;=Hypothèses!$C$9,Hypothèses!$F$9,IF(B46&lt;=Hypothèses!$C$10,Hypothèses!$F$10,IF(B46&lt;=Hypothèses!$C$11,Hypothèses!$F$11,IF(B46&lt;=Hypothèses!$C$12,Hypothèses!$F$12,IF(B46&lt;=Hypothèses!$C$13,Hypothèses!$F$13,IF(B46&lt;=Hypothèses!$C$14,Hypothèses!$F$14,IF(B46&lt;=Hypothèses!$C$15,Hypothèses!$F$15,IF(B46&lt;=Hypothèses!$C$16,Hypothèses!$F$16,IF(B46&lt;=Hypothèses!$C$17,Hypothèses!$F$17,IF(B46&lt;=Hypothèses!$C$18,Hypothèses!$F$18,F45))))))))))))</f>
        <v/>
      </c>
      <c r="G46" s="91">
        <f t="array" ref="G46">INDEX('Coeff EC7'!$U$7:$X$27,
MATCH(Model0.1T!$B$3,'Coeff EC7'!$T$7:$T$27,0),
MATCH(Model0.1T!$D46&amp;Model0.1T!$B$4,
'Coeff EC7'!$U$6:$X$6&amp;
'Coeff EC7'!$U$5:$X$5,0))</f>
        <v>1.4</v>
      </c>
      <c r="H46" s="91">
        <f t="array" ref="H46">INDEX('Coeff EC7'!$Y$7:$AB$27,
MATCH(Model0.1T!$B$3,'Coeff EC7'!$T$7:$T$27,0),
MATCH(Model0.1T!$D46&amp;Model0.1T!$B$4,
'Coeff EC7'!$Y$6:$AB$6&amp;
'Coeff EC7'!$Y$5:$AB$5,0))</f>
        <v>1.7</v>
      </c>
      <c r="I46" s="83">
        <v>0</v>
      </c>
      <c r="J46" s="91" t="e">
        <f t="array" ref="J46">INDEX('Coeff EC7'!$D$33:$Q$33,1,MATCH(D46&amp;E46,'Coeff EC7'!$D$31:$Q$31&amp;'Coeff EC7'!$D$32:$Q$32,0))</f>
        <v>#N/A</v>
      </c>
      <c r="K46" s="91" t="e">
        <f t="array" ref="K46">INDEX('Coeff EC7'!$D$34:$Q$34,1,MATCH(D46&amp;E46,'Coeff EC7'!$D$31:$Q$31&amp;'Coeff EC7'!$D$32:$Q$32,0))</f>
        <v>#N/A</v>
      </c>
      <c r="L46" s="91" t="e">
        <f t="array" ref="L46">INDEX('Coeff EC7'!$D$35:$Q$35,1,MATCH(D46&amp;E46,'Coeff EC7'!$D$31:$Q$31&amp;'Coeff EC7'!$D$32:$Q$32,0))</f>
        <v>#N/A</v>
      </c>
      <c r="M46" s="98" t="e">
        <f t="shared" si="8"/>
        <v>#N/A</v>
      </c>
      <c r="N46" s="99" t="e">
        <f t="array" ref="N46">INDEX('Coeff EC7'!$D$7:$Q$27,MATCH($B$3,'Coeff EC7'!$C$7:$C$27,0),MATCH(D46&amp;E46,'Coeff EC7'!$D$5:$Q$5&amp;'Coeff EC7'!$D$6:$Q$6,0))</f>
        <v>#N/A</v>
      </c>
      <c r="O46" s="99" t="e">
        <f t="array" ref="O46">INDEX('Coeff EC7'!$D$41:$Q$61,MATCH($B$3,'Coeff EC7'!$C$41:$C$61,0),MATCH(D46&amp;E46,'Coeff EC7'!$D$39:$Q$39&amp;'Coeff EC7'!$D$40:$Q$40,0))</f>
        <v>#N/A</v>
      </c>
      <c r="P46" s="30" t="e">
        <f t="shared" si="66"/>
        <v>#N/A</v>
      </c>
      <c r="Q46" s="100" t="e">
        <f t="shared" si="10"/>
        <v>#N/A</v>
      </c>
      <c r="R46" s="86" t="b">
        <f t="shared" si="11"/>
        <v>0</v>
      </c>
      <c r="S46" s="86">
        <f t="shared" si="9"/>
        <v>0.5</v>
      </c>
      <c r="T46" s="86">
        <f t="shared" si="12"/>
        <v>0.5</v>
      </c>
      <c r="U46" s="30" t="e">
        <f t="shared" ca="1" si="67"/>
        <v>#DIV/0!</v>
      </c>
      <c r="V46" s="85" t="str">
        <f>IF(B46&lt;=Hypothèses!$V$7,Hypothèses!$W$7,IF(B46&lt;=Hypothèses!$V$8,Hypothèses!$W$8,IF(B46&lt;=Hypothèses!$V$9,Hypothèses!$W$9,IF(B46&lt;=Hypothèses!$V$10,Hypothèses!$W$10,IF(B46&lt;=Hypothèses!$V$11,Hypothèses!$W$11,IF(B46&lt;=Hypothèses!$V$12,Hypothèses!$W$12,IF(B46&lt;=Hypothèses!$V$13,Hypothèses!$W$13,IF(B46&lt;=Hypothèses!$V$14,Hypothèses!$W$14,IF(B46&lt;=Hypothèses!$V$15,Hypothèses!$W$15,IF(B46&lt;=Hypothèses!$V$16,Hypothèses!$W$16,IF(B46&lt;=Hypothèses!$V$17,Hypothèses!$W$17,IF(B46&lt;=Hypothèses!$V$18,Hypothèses!$W$18,""))))))))))))</f>
        <v/>
      </c>
      <c r="W46" s="87" t="e">
        <f t="shared" ca="1" si="116"/>
        <v>#DIV/0!</v>
      </c>
      <c r="X46" s="88" t="str">
        <f>IF(B46&lt;=Hypothèses!$V$7,Hypothèses!$X$7,IF(B46&lt;=Hypothèses!$V$8,Hypothèses!$X$8,IF(B46&lt;=Hypothèses!$V$9,Hypothèses!$X$9,IF(B46&lt;=Hypothèses!$V$10,Hypothèses!$X$10,IF(B46&lt;=Hypothèses!$V$11,Hypothèses!$X$11,IF(B46&lt;=Hypothèses!$V$12,Hypothèses!$X$12,IF(B46&lt;=Hypothèses!$V$13,Hypothèses!$X$13,IF(B46&lt;=Hypothèses!$V$14,Hypothèses!$X$14,IF(B46&lt;=Hypothèses!$V$15,Hypothèses!$X$15,IF(B46&lt;=Hypothèses!$V$16,Hypothèses!$X$16,IF(B46&lt;=Hypothèses!$U$17,Hypothèses!$W$17,IF(B46&lt;=Hypothèses!$U$18,Hypothèses!$W$18,""))))))))))))</f>
        <v/>
      </c>
      <c r="Y46" s="95" t="e">
        <f t="shared" ca="1" si="13"/>
        <v>#DIV/0!</v>
      </c>
      <c r="Z46" s="101">
        <f t="shared" si="14"/>
        <v>0</v>
      </c>
      <c r="AA46" s="91">
        <f t="shared" si="15"/>
        <v>0</v>
      </c>
      <c r="AB46" s="30" t="e">
        <f t="shared" si="100"/>
        <v>#N/A</v>
      </c>
      <c r="AC46" s="30" t="e">
        <f t="shared" si="101"/>
        <v>#N/A</v>
      </c>
      <c r="AD46" s="31" t="e">
        <f>IF(OR(Hypothèses!$B$4=17,Hypothèses!$B$4=18,Hypothèses!$B$4=19,Hypothèses!$B$4=20),
IF($D46="Pressio.",
IF(OR($E46=3,$E46=1,$E46=4),AC46,AB46),
IF($D46="Pénétro.",
IF(OR($E46=3,$E46=1,$E46=4),AC46,AB46))),IF($D46="Pressio.",
IF($E46=3,AC46,AB46),
IF($D46="Pénétro.",
IF($E46=4,AC46,AB46))))</f>
        <v>#N/A</v>
      </c>
      <c r="AE46" s="31">
        <v>0</v>
      </c>
      <c r="AF46" s="102" t="e">
        <f>IF(NDC!$H$10="Oui",(VLOOKUP($B$3,'Coeff EC7'!$T$39:$X$59,2,0)*AD46+VLOOKUP($B$3,'Coeff EC7'!$T$65:$X$85,2,0)*Model0.1T!AE46)/1.5,PI()*AB$12*$Q46*($B46-$B45)*0.15/10+AF45)</f>
        <v>#N/A</v>
      </c>
      <c r="AG46" s="102" t="e">
        <f>(VLOOKUP($B$3,'Coeff EC7'!$T$39:$X$59,3,0)*AD46+VLOOKUP($B$3,'Coeff EC7'!$T$65:$X$85,3,0)*Model0.1T!AE46)/1.1</f>
        <v>#N/A</v>
      </c>
      <c r="AH46" s="102" t="e">
        <f t="shared" si="68"/>
        <v>#N/A</v>
      </c>
      <c r="AI46" s="102" t="e">
        <f t="shared" si="69"/>
        <v>#N/A</v>
      </c>
      <c r="AJ46" s="414" t="e">
        <f>IF(AND(AF46&gt;NDC!$C$63,AG46&gt;NDC!$C$65,AH46&gt;NDC!$D$73,AI46&gt;NDC!$D$74,$B46&gt;NDC!$H$22-0.1+MIN(3*$AJ$12,1.5)),0,1)</f>
        <v>#N/A</v>
      </c>
      <c r="AK46" s="86" t="b">
        <f t="shared" si="18"/>
        <v>0</v>
      </c>
      <c r="AL46" s="86">
        <f t="shared" si="70"/>
        <v>0.5</v>
      </c>
      <c r="AM46" s="86">
        <f t="shared" si="19"/>
        <v>0.5</v>
      </c>
      <c r="AN46" s="30" t="e">
        <f t="shared" ca="1" si="71"/>
        <v>#DIV/0!</v>
      </c>
      <c r="AO46" s="85" t="e">
        <f ca="1">IF(U46&lt;=Hypothèses!$V$7,Hypothèses!$W$7,IF(U46&lt;=Hypothèses!$V$8,Hypothèses!$W$8,IF(U46&lt;=Hypothèses!$V$9,Hypothèses!$W$9,IF(U46&lt;=Hypothèses!$V$10,Hypothèses!$W$10,IF(U46&lt;=Hypothèses!$V$11,Hypothèses!$W$11,IF(U46&lt;=Hypothèses!$V$12,Hypothèses!$W$12,IF(U46&lt;=Hypothèses!$V$13,Hypothèses!$W$13,IF(U46&lt;=Hypothèses!$V$14,Hypothèses!$W$14,IF(U46&lt;=Hypothèses!$V$15,Hypothèses!$W$15,IF(U46&lt;=Hypothèses!$V$16,Hypothèses!$W$16,IF(U46&lt;=Hypothèses!$V$17,Hypothèses!$W$17,IF(U46&lt;=Hypothèses!$V$18,Hypothèses!$W$18,""))))))))))))</f>
        <v>#DIV/0!</v>
      </c>
      <c r="AP46" s="87" t="e">
        <f t="shared" ca="1" si="117"/>
        <v>#DIV/0!</v>
      </c>
      <c r="AQ46" s="88" t="e">
        <f ca="1">IF(U46&lt;=Hypothèses!$V$7,Hypothèses!$X$7,IF(U46&lt;=Hypothèses!$V$8,Hypothèses!$X$8,IF(U46&lt;=Hypothèses!$V$9,Hypothèses!$X$9,IF(U46&lt;=Hypothèses!$V$10,Hypothèses!$X$10,IF(U46&lt;=Hypothèses!$V$11,Hypothèses!$X$11,IF(U46&lt;=Hypothèses!$V$12,Hypothèses!$X$12,IF(U46&lt;=Hypothèses!$V$13,Hypothèses!$X$13,IF(U46&lt;=Hypothèses!$V$14,Hypothèses!$X$14,IF(U46&lt;=Hypothèses!$V$15,Hypothèses!$X$15,IF(U46&lt;=Hypothèses!$V$16,Hypothèses!$X$16,IF(U46&lt;=Hypothèses!$U$17,Hypothèses!$W$17,IF(U46&lt;=Hypothèses!$U$18,Hypothèses!$W$18,""))))))))))))</f>
        <v>#DIV/0!</v>
      </c>
      <c r="AR46" s="95" t="e">
        <f t="shared" ca="1" si="72"/>
        <v>#DIV/0!</v>
      </c>
      <c r="AS46" s="101">
        <f t="shared" si="124"/>
        <v>0</v>
      </c>
      <c r="AT46" s="91">
        <f t="shared" si="21"/>
        <v>0</v>
      </c>
      <c r="AU46" s="30" t="e">
        <f t="shared" si="102"/>
        <v>#N/A</v>
      </c>
      <c r="AV46" s="30" t="e">
        <f t="shared" si="103"/>
        <v>#N/A</v>
      </c>
      <c r="AW46" s="31" t="e">
        <f>IF(OR(Hypothèses!$B$4=17,Hypothèses!$B$4=18,Hypothèses!$B$4=19,Hypothèses!$B$4=20),
IF($D46="Pressio.",
IF(OR($E46=3,$E46=1,$E46=4),AV46,AU46),
IF($D46="Pénétro.",
IF(OR($E46=3,$E46=1,$E46=4),AV46,AU46))),IF($D46="Pressio.",
IF($E46=3,AV46,AU46),
IF($D46="Pénétro.",
IF($E46=4,AV46,AU46))))</f>
        <v>#N/A</v>
      </c>
      <c r="AX46" s="31">
        <v>0</v>
      </c>
      <c r="AY46" s="102" t="e">
        <f>IF(NDC!$H$10="Oui",(VLOOKUP($B$3,'Coeff EC7'!$T$39:$X$59,2,0)*AW46+VLOOKUP($B$3,'Coeff EC7'!$T$65:$X$85,2,0)*Model0.1T!AX46)/1.5,PI()*AU$12*$Q46*($B46-$B45)*0.15/10+AY45)</f>
        <v>#N/A</v>
      </c>
      <c r="AZ46" s="102" t="e">
        <f>(VLOOKUP($B$3,'Coeff EC7'!$T$39:$X$59,3,0)*AW46+VLOOKUP($B$3,'Coeff EC7'!$T$65:$X$85,3,0)*Model0.1T!AX46)/1.1</f>
        <v>#N/A</v>
      </c>
      <c r="BA46" s="102" t="e">
        <f t="shared" si="73"/>
        <v>#N/A</v>
      </c>
      <c r="BB46" s="102" t="e">
        <f t="shared" si="74"/>
        <v>#N/A</v>
      </c>
      <c r="BC46" s="414" t="e">
        <f>IF(AND(AY46&gt;NDC!$C$63,AZ46&gt;NDC!$C$65,BA46&gt;NDC!$D$73,BB46&gt;NDC!$D$74,$B46&gt;NDC!$H$22-0.1+MIN(3*BC$12,1.5)),0,1)</f>
        <v>#N/A</v>
      </c>
      <c r="BD46" s="86" t="b">
        <f t="shared" si="24"/>
        <v>0</v>
      </c>
      <c r="BE46" s="86">
        <f t="shared" si="75"/>
        <v>0.5</v>
      </c>
      <c r="BF46" s="86">
        <f t="shared" si="25"/>
        <v>0.5</v>
      </c>
      <c r="BG46" s="30" t="e">
        <f t="shared" ca="1" si="76"/>
        <v>#DIV/0!</v>
      </c>
      <c r="BH46" s="85" t="e">
        <f ca="1">IF(AN46&lt;=Hypothèses!$V$7,Hypothèses!$W$7,IF(AN46&lt;=Hypothèses!$V$8,Hypothèses!$W$8,IF(AN46&lt;=Hypothèses!$V$9,Hypothèses!$W$9,IF(AN46&lt;=Hypothèses!$V$10,Hypothèses!$W$10,IF(AN46&lt;=Hypothèses!$V$11,Hypothèses!$W$11,IF(AN46&lt;=Hypothèses!$V$12,Hypothèses!$W$12,IF(AN46&lt;=Hypothèses!$V$13,Hypothèses!$W$13,IF(AN46&lt;=Hypothèses!$V$14,Hypothèses!$W$14,IF(AN46&lt;=Hypothèses!$V$15,Hypothèses!$W$15,IF(AN46&lt;=Hypothèses!$V$16,Hypothèses!$W$16,IF(AN46&lt;=Hypothèses!$V$17,Hypothèses!$W$17,IF(AN46&lt;=Hypothèses!$V$18,Hypothèses!$W$18,""))))))))))))</f>
        <v>#DIV/0!</v>
      </c>
      <c r="BI46" s="87" t="e">
        <f t="shared" ca="1" si="118"/>
        <v>#DIV/0!</v>
      </c>
      <c r="BJ46" s="88" t="e">
        <f ca="1">IF(AN46&lt;=Hypothèses!$V$7,Hypothèses!$X$7,IF(AN46&lt;=Hypothèses!$V$8,Hypothèses!$X$8,IF(AN46&lt;=Hypothèses!$V$9,Hypothèses!$X$9,IF(AN46&lt;=Hypothèses!$V$10,Hypothèses!$X$10,IF(AN46&lt;=Hypothèses!$V$11,Hypothèses!$X$11,IF(AN46&lt;=Hypothèses!$V$12,Hypothèses!$X$12,IF(AN46&lt;=Hypothèses!$V$13,Hypothèses!$X$13,IF(AN46&lt;=Hypothèses!$V$14,Hypothèses!$X$14,IF(AN46&lt;=Hypothèses!$V$15,Hypothèses!$X$15,IF(AN46&lt;=Hypothèses!$V$16,Hypothèses!$X$16,IF(AN46&lt;=Hypothèses!$U$17,Hypothèses!$W$17,IF(AN46&lt;=Hypothèses!$U$18,Hypothèses!$W$18,""))))))))))))</f>
        <v>#DIV/0!</v>
      </c>
      <c r="BK46" s="95" t="e">
        <f t="shared" ca="1" si="77"/>
        <v>#DIV/0!</v>
      </c>
      <c r="BL46" s="101">
        <f t="shared" si="125"/>
        <v>0</v>
      </c>
      <c r="BM46" s="91">
        <f t="shared" si="27"/>
        <v>0</v>
      </c>
      <c r="BN46" s="30" t="e">
        <f t="shared" si="104"/>
        <v>#N/A</v>
      </c>
      <c r="BO46" s="30" t="e">
        <f t="shared" si="105"/>
        <v>#N/A</v>
      </c>
      <c r="BP46" s="31" t="e">
        <f>IF(OR(Hypothèses!$B$4=17,Hypothèses!$B$4=18,Hypothèses!$B$4=19,Hypothèses!$B$4=20),
IF($D46="Pressio.",
IF(OR($E46=3,$E46=1,$E46=4),BO46,BN46),
IF($D46="Pénétro.",
IF(OR($E46=3,$E46=1,$E46=4),BO46,BN46))),IF($D46="Pressio.",
IF($E46=3,BO46,BN46),
IF($D46="Pénétro.",
IF($E46=4,BO46,BN46))))</f>
        <v>#N/A</v>
      </c>
      <c r="BQ46" s="31">
        <v>0</v>
      </c>
      <c r="BR46" s="102" t="e">
        <f>IF(NDC!$H$10="Oui",(VLOOKUP($B$3,'Coeff EC7'!$T$39:$X$59,2,0)*BP46+VLOOKUP($B$3,'Coeff EC7'!$T$65:$X$85,2,0)*Model0.1T!BQ46)/1.5,PI()*BN$12*$Q46*($B46-$B45)*0.15/10+BR45)</f>
        <v>#N/A</v>
      </c>
      <c r="BS46" s="102" t="e">
        <f>(VLOOKUP($B$3,'Coeff EC7'!$T$39:$X$59,3,0)*BP46+VLOOKUP($B$3,'Coeff EC7'!$T$65:$X$85,3,0)*Model0.1T!BQ46)/1.1</f>
        <v>#N/A</v>
      </c>
      <c r="BT46" s="102" t="e">
        <f t="shared" si="78"/>
        <v>#N/A</v>
      </c>
      <c r="BU46" s="102" t="e">
        <f t="shared" si="79"/>
        <v>#N/A</v>
      </c>
      <c r="BV46" s="414" t="e">
        <f>IF(AND(BR46&gt;NDC!$C$63,BS46&gt;NDC!$C$65,BT46&gt;NDC!$D$73,BU46&gt;NDC!$D$74,$B46&gt;NDC!$H$22-0.1+MIN(3*BV$12,1.5)),0,1)</f>
        <v>#N/A</v>
      </c>
      <c r="BW46" s="86" t="b">
        <f t="shared" si="30"/>
        <v>0</v>
      </c>
      <c r="BX46" s="86">
        <f t="shared" si="31"/>
        <v>0.5</v>
      </c>
      <c r="BY46" s="86">
        <f t="shared" si="32"/>
        <v>0.5</v>
      </c>
      <c r="BZ46" s="30" t="e">
        <f t="shared" ca="1" si="80"/>
        <v>#DIV/0!</v>
      </c>
      <c r="CA46" s="85" t="e">
        <f ca="1">IF(BG46&lt;=Hypothèses!$V$7,Hypothèses!$W$7,IF(BG46&lt;=Hypothèses!$V$8,Hypothèses!$W$8,IF(BG46&lt;=Hypothèses!$V$9,Hypothèses!$W$9,IF(BG46&lt;=Hypothèses!$V$10,Hypothèses!$W$10,IF(BG46&lt;=Hypothèses!$V$11,Hypothèses!$W$11,IF(BG46&lt;=Hypothèses!$V$12,Hypothèses!$W$12,IF(BG46&lt;=Hypothèses!$V$13,Hypothèses!$W$13,IF(BG46&lt;=Hypothèses!$V$14,Hypothèses!$W$14,IF(BG46&lt;=Hypothèses!$V$15,Hypothèses!$W$15,IF(BG46&lt;=Hypothèses!$V$16,Hypothèses!$W$16,IF(BG46&lt;=Hypothèses!$V$17,Hypothèses!$W$17,IF(BG46&lt;=Hypothèses!$V$18,Hypothèses!$W$18,""))))))))))))</f>
        <v>#DIV/0!</v>
      </c>
      <c r="CB46" s="87" t="e">
        <f t="shared" ca="1" si="119"/>
        <v>#DIV/0!</v>
      </c>
      <c r="CC46" s="88" t="e">
        <f ca="1">IF(BG46&lt;=Hypothèses!$V$7,Hypothèses!$X$7,IF(BG46&lt;=Hypothèses!$V$8,Hypothèses!$X$8,IF(BG46&lt;=Hypothèses!$V$9,Hypothèses!$X$9,IF(BG46&lt;=Hypothèses!$V$10,Hypothèses!$X$10,IF(BG46&lt;=Hypothèses!$V$11,Hypothèses!$X$11,IF(BG46&lt;=Hypothèses!$V$12,Hypothèses!$X$12,IF(BG46&lt;=Hypothèses!$V$13,Hypothèses!$X$13,IF(BG46&lt;=Hypothèses!$V$14,Hypothèses!$X$14,IF(BG46&lt;=Hypothèses!$V$15,Hypothèses!$X$15,IF(BG46&lt;=Hypothèses!$V$16,Hypothèses!$X$16,IF(BG46&lt;=Hypothèses!$U$17,Hypothèses!$W$17,IF(BG46&lt;=Hypothèses!$U$18,Hypothèses!$W$18,""))))))))))))</f>
        <v>#DIV/0!</v>
      </c>
      <c r="CD46" s="95" t="e">
        <f t="shared" ca="1" si="81"/>
        <v>#DIV/0!</v>
      </c>
      <c r="CE46" s="101">
        <f t="shared" si="126"/>
        <v>0</v>
      </c>
      <c r="CF46" s="91">
        <f t="shared" si="34"/>
        <v>0</v>
      </c>
      <c r="CG46" s="30" t="e">
        <f t="shared" si="106"/>
        <v>#N/A</v>
      </c>
      <c r="CH46" s="30" t="e">
        <f t="shared" si="107"/>
        <v>#N/A</v>
      </c>
      <c r="CI46" s="31" t="e">
        <f>IF(OR(Hypothèses!$B$4=17,Hypothèses!$B$4=18,Hypothèses!$B$4=19,Hypothèses!$B$4=20),
IF($D46="Pressio.",
IF(OR($E46=3,$E46=1,$E46=4),CH46,CG46),
IF($D46="Pénétro.",
IF(OR($E46=3,$E46=1,$E46=4),CH46,CG46))),IF($D46="Pressio.",
IF($E46=3,CH46,CG46),
IF($D46="Pénétro.",
IF($E46=4,CH46,CG46))))</f>
        <v>#N/A</v>
      </c>
      <c r="CJ46" s="31">
        <v>0</v>
      </c>
      <c r="CK46" s="102" t="e">
        <f>IF(NDC!$H$10="Oui",(VLOOKUP($B$3,'Coeff EC7'!$T$39:$X$59,2,0)*CI46+VLOOKUP($B$3,'Coeff EC7'!$T$65:$X$85,2,0)*Model0.1T!CJ46)/1.5,PI()*CG$12*$Q46*($B46-$B45)*0.15/10+CK45)</f>
        <v>#N/A</v>
      </c>
      <c r="CL46" s="102" t="e">
        <f>(VLOOKUP($B$3,'Coeff EC7'!$T$39:$X$59,3,0)*CI46+VLOOKUP($B$3,'Coeff EC7'!$T$65:$X$85,3,0)*Model0.1T!CJ46)/1.1</f>
        <v>#N/A</v>
      </c>
      <c r="CM46" s="102" t="e">
        <f t="shared" si="82"/>
        <v>#N/A</v>
      </c>
      <c r="CN46" s="102" t="e">
        <f t="shared" si="83"/>
        <v>#N/A</v>
      </c>
      <c r="CO46" s="414" t="e">
        <f>IF(AND(CK46&gt;NDC!$C$63,CL46&gt;NDC!$C$65,CM46&gt;NDC!$D$73,CN46&gt;NDC!$D$74,$B46&gt;NDC!$H$22-0.1+MIN(3*CO$12,1.5)),0,1)</f>
        <v>#N/A</v>
      </c>
      <c r="CP46" s="86" t="b">
        <f t="shared" si="37"/>
        <v>0</v>
      </c>
      <c r="CQ46" s="86">
        <f t="shared" si="38"/>
        <v>0.5</v>
      </c>
      <c r="CR46" s="86">
        <f t="shared" si="39"/>
        <v>0.5</v>
      </c>
      <c r="CS46" s="30" t="e">
        <f t="shared" ca="1" si="84"/>
        <v>#DIV/0!</v>
      </c>
      <c r="CT46" s="85" t="e">
        <f ca="1">IF(BZ46&lt;=Hypothèses!$V$7,Hypothèses!$W$7,IF(BZ46&lt;=Hypothèses!$V$8,Hypothèses!$W$8,IF(BZ46&lt;=Hypothèses!$V$9,Hypothèses!$W$9,IF(BZ46&lt;=Hypothèses!$V$10,Hypothèses!$W$10,IF(BZ46&lt;=Hypothèses!$V$11,Hypothèses!$W$11,IF(BZ46&lt;=Hypothèses!$V$12,Hypothèses!$W$12,IF(BZ46&lt;=Hypothèses!$V$13,Hypothèses!$W$13,IF(BZ46&lt;=Hypothèses!$V$14,Hypothèses!$W$14,IF(BZ46&lt;=Hypothèses!$V$15,Hypothèses!$W$15,IF(BZ46&lt;=Hypothèses!$V$16,Hypothèses!$W$16,IF(BZ46&lt;=Hypothèses!$V$17,Hypothèses!$W$17,IF(BZ46&lt;=Hypothèses!$V$18,Hypothèses!$W$18,""))))))))))))</f>
        <v>#DIV/0!</v>
      </c>
      <c r="CU46" s="87" t="e">
        <f t="shared" ca="1" si="120"/>
        <v>#DIV/0!</v>
      </c>
      <c r="CV46" s="88" t="e">
        <f ca="1">IF(BZ46&lt;=Hypothèses!$V$7,Hypothèses!$X$7,IF(BZ46&lt;=Hypothèses!$V$8,Hypothèses!$X$8,IF(BZ46&lt;=Hypothèses!$V$9,Hypothèses!$X$9,IF(BZ46&lt;=Hypothèses!$V$10,Hypothèses!$X$10,IF(BZ46&lt;=Hypothèses!$V$11,Hypothèses!$X$11,IF(BZ46&lt;=Hypothèses!$V$12,Hypothèses!$X$12,IF(BZ46&lt;=Hypothèses!$V$13,Hypothèses!$X$13,IF(BZ46&lt;=Hypothèses!$V$14,Hypothèses!$X$14,IF(BZ46&lt;=Hypothèses!$V$15,Hypothèses!$X$15,IF(BZ46&lt;=Hypothèses!$V$16,Hypothèses!$X$16,IF(BZ46&lt;=Hypothèses!$U$17,Hypothèses!$W$17,IF(BZ46&lt;=Hypothèses!$U$18,Hypothèses!$W$18,""))))))))))))</f>
        <v>#DIV/0!</v>
      </c>
      <c r="CW46" s="95" t="e">
        <f t="shared" ca="1" si="85"/>
        <v>#DIV/0!</v>
      </c>
      <c r="CX46" s="101">
        <f t="shared" si="127"/>
        <v>0</v>
      </c>
      <c r="CY46" s="91">
        <f t="shared" si="41"/>
        <v>0</v>
      </c>
      <c r="CZ46" s="30" t="e">
        <f t="shared" si="108"/>
        <v>#N/A</v>
      </c>
      <c r="DA46" s="30" t="e">
        <f t="shared" si="109"/>
        <v>#N/A</v>
      </c>
      <c r="DB46" s="31" t="e">
        <f>IF(OR(Hypothèses!$B$4=17,Hypothèses!$B$4=18,Hypothèses!$B$4=19,Hypothèses!$B$4=20),
IF($D46="Pressio.",
IF(OR($E46=3,$E46=1,$E46=4),DA46,CZ46),
IF($D46="Pénétro.",
IF(OR($E46=3,$E46=1,$E46=4),DA46,CZ46))),IF($D46="Pressio.",
IF($E46=3,DA46,CZ46),
IF($D46="Pénétro.",
IF($E46=4,DA46,CZ46))))</f>
        <v>#N/A</v>
      </c>
      <c r="DC46" s="31">
        <v>0</v>
      </c>
      <c r="DD46" s="102" t="e">
        <f>IF(NDC!$H$10="Oui",(VLOOKUP($B$3,'Coeff EC7'!$T$39:$X$59,2,0)*DB46+VLOOKUP($B$3,'Coeff EC7'!$T$65:$X$85,2,0)*Model0.1T!DC46)/1.5,PI()*CZ$12*$Q46*($B46-$B45)*0.15/10+DD45)</f>
        <v>#N/A</v>
      </c>
      <c r="DE46" s="102" t="e">
        <f>(VLOOKUP($B$3,'Coeff EC7'!$T$39:$X$59,3,0)*DB46+VLOOKUP($B$3,'Coeff EC7'!$T$65:$X$85,3,0)*Model0.1T!DC46)/1.1</f>
        <v>#N/A</v>
      </c>
      <c r="DF46" s="102" t="e">
        <f t="shared" si="86"/>
        <v>#N/A</v>
      </c>
      <c r="DG46" s="102" t="e">
        <f t="shared" si="87"/>
        <v>#N/A</v>
      </c>
      <c r="DH46" s="414" t="e">
        <f>IF(AND(DD46&gt;NDC!$C$63,DE46&gt;NDC!$C$65,DF46&gt;NDC!$D$73,DG46&gt;NDC!$D$74,$B46&gt;NDC!$H$22-0.1+MIN(3*DH$12,1.5)),0,1)</f>
        <v>#N/A</v>
      </c>
      <c r="DI46" s="86" t="b">
        <f t="shared" si="44"/>
        <v>0</v>
      </c>
      <c r="DJ46" s="86">
        <f t="shared" si="45"/>
        <v>0.5</v>
      </c>
      <c r="DK46" s="86">
        <f t="shared" si="46"/>
        <v>0.5</v>
      </c>
      <c r="DL46" s="30" t="e">
        <f t="shared" ca="1" si="88"/>
        <v>#DIV/0!</v>
      </c>
      <c r="DM46" s="85" t="e">
        <f ca="1">IF(CS46&lt;=Hypothèses!$V$7,Hypothèses!$W$7,IF(CS46&lt;=Hypothèses!$V$8,Hypothèses!$W$8,IF(CS46&lt;=Hypothèses!$V$9,Hypothèses!$W$9,IF(CS46&lt;=Hypothèses!$V$10,Hypothèses!$W$10,IF(CS46&lt;=Hypothèses!$V$11,Hypothèses!$W$11,IF(CS46&lt;=Hypothèses!$V$12,Hypothèses!$W$12,IF(CS46&lt;=Hypothèses!$V$13,Hypothèses!$W$13,IF(CS46&lt;=Hypothèses!$V$14,Hypothèses!$W$14,IF(CS46&lt;=Hypothèses!$V$15,Hypothèses!$W$15,IF(CS46&lt;=Hypothèses!$V$16,Hypothèses!$W$16,IF(CS46&lt;=Hypothèses!$V$17,Hypothèses!$W$17,IF(CS46&lt;=Hypothèses!$V$18,Hypothèses!$W$18,""))))))))))))</f>
        <v>#DIV/0!</v>
      </c>
      <c r="DN46" s="87" t="e">
        <f t="shared" ca="1" si="121"/>
        <v>#DIV/0!</v>
      </c>
      <c r="DO46" s="88" t="e">
        <f ca="1">IF(CS46&lt;=Hypothèses!$V$7,Hypothèses!$X$7,IF(CS46&lt;=Hypothèses!$V$8,Hypothèses!$X$8,IF(CS46&lt;=Hypothèses!$V$9,Hypothèses!$X$9,IF(CS46&lt;=Hypothèses!$V$10,Hypothèses!$X$10,IF(CS46&lt;=Hypothèses!$V$11,Hypothèses!$X$11,IF(CS46&lt;=Hypothèses!$V$12,Hypothèses!$X$12,IF(CS46&lt;=Hypothèses!$V$13,Hypothèses!$X$13,IF(CS46&lt;=Hypothèses!$V$14,Hypothèses!$X$14,IF(CS46&lt;=Hypothèses!$V$15,Hypothèses!$X$15,IF(CS46&lt;=Hypothèses!$V$16,Hypothèses!$X$16,IF(CS46&lt;=Hypothèses!$U$17,Hypothèses!$W$17,IF(CS46&lt;=Hypothèses!$U$18,Hypothèses!$W$18,""))))))))))))</f>
        <v>#DIV/0!</v>
      </c>
      <c r="DP46" s="95" t="e">
        <f t="shared" ca="1" si="89"/>
        <v>#DIV/0!</v>
      </c>
      <c r="DQ46" s="101">
        <f t="shared" si="128"/>
        <v>0</v>
      </c>
      <c r="DR46" s="91">
        <f t="shared" si="48"/>
        <v>0</v>
      </c>
      <c r="DS46" s="30" t="e">
        <f t="shared" si="110"/>
        <v>#N/A</v>
      </c>
      <c r="DT46" s="30" t="e">
        <f t="shared" si="111"/>
        <v>#N/A</v>
      </c>
      <c r="DU46" s="31" t="e">
        <f>IF(OR(Hypothèses!$B$4=17,Hypothèses!$B$4=18,Hypothèses!$B$4=19,Hypothèses!$B$4=20),
IF($D46="Pressio.",
IF(OR($E46=3,$E46=1,$E46=4),DT46,DS46),
IF($D46="Pénétro.",
IF(OR($E46=3,$E46=1,$E46=4),DT46,DS46))),IF($D46="Pressio.",
IF($E46=3,DT46,DS46),
IF($D46="Pénétro.",
IF($E46=4,DT46,DS46))))</f>
        <v>#N/A</v>
      </c>
      <c r="DV46" s="31">
        <v>0</v>
      </c>
      <c r="DW46" s="102" t="e">
        <f>IF(NDC!$H$10="Oui",(VLOOKUP($B$3,'Coeff EC7'!$T$39:$X$59,2,0)*DU46+VLOOKUP($B$3,'Coeff EC7'!$T$65:$X$85,2,0)*Model0.1T!DV46)/1.5,PI()*DS$12*$Q46*($B46-$B45)*0.15/10+DW45)</f>
        <v>#N/A</v>
      </c>
      <c r="DX46" s="102" t="e">
        <f>(VLOOKUP($B$3,'Coeff EC7'!$T$39:$X$59,3,0)*DU46+VLOOKUP($B$3,'Coeff EC7'!$T$65:$X$85,3,0)*Model0.1T!DV46)/1.1</f>
        <v>#N/A</v>
      </c>
      <c r="DY46" s="102" t="e">
        <f t="shared" si="90"/>
        <v>#N/A</v>
      </c>
      <c r="DZ46" s="102" t="e">
        <f t="shared" si="91"/>
        <v>#N/A</v>
      </c>
      <c r="EA46" s="414" t="e">
        <f>IF(AND(DW46&gt;NDC!$C$63,DX46&gt;NDC!$C$65,DY46&gt;NDC!$D$73,DZ46&gt;NDC!$D$74,$B46&gt;NDC!$H$22-0.1+MIN(3*EA$12,1.5)),0,1)</f>
        <v>#N/A</v>
      </c>
      <c r="EB46" s="86" t="b">
        <f t="shared" si="51"/>
        <v>0</v>
      </c>
      <c r="EC46" s="418">
        <f t="shared" si="52"/>
        <v>0.51</v>
      </c>
      <c r="ED46" s="86">
        <f t="shared" si="53"/>
        <v>0.51</v>
      </c>
      <c r="EE46" s="30" t="e">
        <f t="shared" ca="1" si="92"/>
        <v>#DIV/0!</v>
      </c>
      <c r="EF46" s="85" t="e">
        <f ca="1">IF(DL46&lt;=Hypothèses!$V$7,Hypothèses!$W$7,IF(DL46&lt;=Hypothèses!$V$8,Hypothèses!$W$8,IF(DL46&lt;=Hypothèses!$V$9,Hypothèses!$W$9,IF(DL46&lt;=Hypothèses!$V$10,Hypothèses!$W$10,IF(DL46&lt;=Hypothèses!$V$11,Hypothèses!$W$11,IF(DL46&lt;=Hypothèses!$V$12,Hypothèses!$W$12,IF(DL46&lt;=Hypothèses!$V$13,Hypothèses!$W$13,IF(DL46&lt;=Hypothèses!$V$14,Hypothèses!$W$14,IF(DL46&lt;=Hypothèses!$V$15,Hypothèses!$W$15,IF(DL46&lt;=Hypothèses!$V$16,Hypothèses!$W$16,IF(DL46&lt;=Hypothèses!$V$17,Hypothèses!$W$17,IF(DL46&lt;=Hypothèses!$V$18,Hypothèses!$W$18,""))))))))))))</f>
        <v>#DIV/0!</v>
      </c>
      <c r="EG46" s="87" t="e">
        <f t="shared" ca="1" si="122"/>
        <v>#DIV/0!</v>
      </c>
      <c r="EH46" s="88" t="e">
        <f ca="1">IF(DL46&lt;=Hypothèses!$V$7,Hypothèses!$X$7,IF(DL46&lt;=Hypothèses!$V$8,Hypothèses!$X$8,IF(DL46&lt;=Hypothèses!$V$9,Hypothèses!$X$9,IF(DL46&lt;=Hypothèses!$V$10,Hypothèses!$X$10,IF(DL46&lt;=Hypothèses!$V$11,Hypothèses!$X$11,IF(DL46&lt;=Hypothèses!$V$12,Hypothèses!$X$12,IF(DL46&lt;=Hypothèses!$V$13,Hypothèses!$X$13,IF(DL46&lt;=Hypothèses!$V$14,Hypothèses!$X$14,IF(DL46&lt;=Hypothèses!$V$15,Hypothèses!$X$15,IF(DL46&lt;=Hypothèses!$V$16,Hypothèses!$X$16,IF(DL46&lt;=Hypothèses!$U$17,Hypothèses!$W$17,IF(DL46&lt;=Hypothèses!$U$18,Hypothèses!$W$18,""))))))))))))</f>
        <v>#DIV/0!</v>
      </c>
      <c r="EI46" s="95" t="e">
        <f t="shared" ca="1" si="93"/>
        <v>#DIV/0!</v>
      </c>
      <c r="EJ46" s="101">
        <f t="shared" si="129"/>
        <v>0</v>
      </c>
      <c r="EK46" s="91">
        <f t="shared" si="55"/>
        <v>0</v>
      </c>
      <c r="EL46" s="30" t="e">
        <f t="shared" si="112"/>
        <v>#N/A</v>
      </c>
      <c r="EM46" s="30" t="e">
        <f t="shared" si="113"/>
        <v>#N/A</v>
      </c>
      <c r="EN46" s="31" t="e">
        <f>IF(OR(Hypothèses!$B$4=17,Hypothèses!$B$4=18,Hypothèses!$B$4=19,Hypothèses!$B$4=20),
IF($D46="Pressio.",
IF(OR($E46=3,$E46=1,$E46=4),EM46,EL46),
IF($D46="Pénétro.",
IF(OR($E46=3,$E46=1,$E46=4),EM46,EL46))),IF($D46="Pressio.",
IF($E46=3,EM46,EL46),
IF($D46="Pénétro.",
IF($E46=4,EM46,EL46))))</f>
        <v>#N/A</v>
      </c>
      <c r="EO46" s="31">
        <v>0</v>
      </c>
      <c r="EP46" s="102" t="e">
        <f>IF(NDC!$H$10="Oui",(VLOOKUP($B$3,'Coeff EC7'!$T$39:$X$59,2,0)*EN46+VLOOKUP($B$3,'Coeff EC7'!$T$65:$X$85,2,0)*Model0.1T!EO46)/1.5,PI()*EL$12*$Q46*($B46-$B45)*0.15/10+EP45)</f>
        <v>#N/A</v>
      </c>
      <c r="EQ46" s="102" t="e">
        <f>(VLOOKUP($B$3,'Coeff EC7'!$T$39:$X$59,3,0)*EN46+VLOOKUP($B$3,'Coeff EC7'!$T$65:$X$85,3,0)*Model0.1T!EO46)/1.1</f>
        <v>#N/A</v>
      </c>
      <c r="ER46" s="102" t="e">
        <f t="shared" si="94"/>
        <v>#N/A</v>
      </c>
      <c r="ES46" s="102" t="e">
        <f t="shared" si="95"/>
        <v>#N/A</v>
      </c>
      <c r="ET46" s="414" t="e">
        <f>IF(AND(EP46&gt;NDC!$C$63,EQ46&gt;NDC!$C$65,ER46&gt;NDC!$D$73,ES46&gt;NDC!$D$74,$B46&gt;NDC!$H$22-0.1+MIN(3*ET$12,1.5)),0,1)</f>
        <v>#N/A</v>
      </c>
      <c r="EU46" s="86" t="b">
        <f t="shared" si="58"/>
        <v>0</v>
      </c>
      <c r="EV46" s="86">
        <f t="shared" si="59"/>
        <v>0.61</v>
      </c>
      <c r="EW46" s="86">
        <f t="shared" si="60"/>
        <v>0.61</v>
      </c>
      <c r="EX46" s="30" t="e">
        <f t="shared" ca="1" si="96"/>
        <v>#DIV/0!</v>
      </c>
      <c r="EY46" s="85" t="e">
        <f ca="1">IF(EE46&lt;=Hypothèses!$V$7,Hypothèses!$W$7,IF(EE46&lt;=Hypothèses!$V$8,Hypothèses!$W$8,IF(EE46&lt;=Hypothèses!$V$9,Hypothèses!$W$9,IF(EE46&lt;=Hypothèses!$V$10,Hypothèses!$W$10,IF(EE46&lt;=Hypothèses!$V$11,Hypothèses!$W$11,IF(EE46&lt;=Hypothèses!$V$12,Hypothèses!$W$12,IF(EE46&lt;=Hypothèses!$V$13,Hypothèses!$W$13,IF(EE46&lt;=Hypothèses!$V$14,Hypothèses!$W$14,IF(EE46&lt;=Hypothèses!$V$15,Hypothèses!$W$15,IF(EE46&lt;=Hypothèses!$V$16,Hypothèses!$W$16,IF(EE46&lt;=Hypothèses!$V$17,Hypothèses!$W$17,IF(EE46&lt;=Hypothèses!$V$18,Hypothèses!$W$18,""))))))))))))</f>
        <v>#DIV/0!</v>
      </c>
      <c r="EZ46" s="87" t="e">
        <f t="shared" ca="1" si="123"/>
        <v>#DIV/0!</v>
      </c>
      <c r="FA46" s="88" t="e">
        <f ca="1">IF(EE46&lt;=Hypothèses!$V$7,Hypothèses!$X$7,IF(EE46&lt;=Hypothèses!$V$8,Hypothèses!$X$8,IF(EE46&lt;=Hypothèses!$V$9,Hypothèses!$X$9,IF(EE46&lt;=Hypothèses!$V$10,Hypothèses!$X$10,IF(EE46&lt;=Hypothèses!$V$11,Hypothèses!$X$11,IF(EE46&lt;=Hypothèses!$V$12,Hypothèses!$X$12,IF(EE46&lt;=Hypothèses!$V$13,Hypothèses!$X$13,IF(EE46&lt;=Hypothèses!$V$14,Hypothèses!$X$14,IF(EE46&lt;=Hypothèses!$V$15,Hypothèses!$X$15,IF(EE46&lt;=Hypothèses!$V$16,Hypothèses!$X$16,IF(EE46&lt;=Hypothèses!$U$17,Hypothèses!$W$17,IF(EE46&lt;=Hypothèses!$U$18,Hypothèses!$W$18,""))))))))))))</f>
        <v>#DIV/0!</v>
      </c>
      <c r="FB46" s="95" t="e">
        <f t="shared" ca="1" si="97"/>
        <v>#DIV/0!</v>
      </c>
      <c r="FC46" s="101">
        <f t="shared" si="130"/>
        <v>0</v>
      </c>
      <c r="FD46" s="91">
        <f t="shared" si="62"/>
        <v>0</v>
      </c>
      <c r="FE46" s="30" t="e">
        <f t="shared" si="114"/>
        <v>#N/A</v>
      </c>
      <c r="FF46" s="30" t="e">
        <f t="shared" si="115"/>
        <v>#N/A</v>
      </c>
      <c r="FG46" s="31" t="e">
        <f>IF(OR(Hypothèses!$B$4=17,Hypothèses!$B$4=18,Hypothèses!$B$4=19,Hypothèses!$B$4=20),
IF($D46="Pressio.",
IF(OR($E46=3,$E46=1,$E46=4),FF46,FE46),
IF($D46="Pénétro.",
IF(OR($E46=3,$E46=1,$E46=4),FF46,FE46))),IF($D46="Pressio.",
IF($E46=3,FF46,FE46),
IF($D46="Pénétro.",
IF($E46=4,FF46,FE46))))</f>
        <v>#N/A</v>
      </c>
      <c r="FH46" s="31">
        <v>0</v>
      </c>
      <c r="FI46" s="102" t="e">
        <f>IF(NDC!$H$10="Oui",(VLOOKUP($B$3,'Coeff EC7'!$T$39:$X$59,2,0)*FG46+VLOOKUP($B$3,'Coeff EC7'!$T$65:$X$85,2,0)*Model0.1T!FH46)/1.5,PI()*FE$12*$Q46*($B46-$B45)*0.15/10+FI45)</f>
        <v>#N/A</v>
      </c>
      <c r="FJ46" s="102" t="e">
        <f>(VLOOKUP($B$3,'Coeff EC7'!$T$39:$X$59,3,0)*FG46+VLOOKUP($B$3,'Coeff EC7'!$T$65:$X$85,3,0)*Model0.1T!FH46)/1.1</f>
        <v>#N/A</v>
      </c>
      <c r="FK46" s="102" t="e">
        <f t="shared" si="98"/>
        <v>#N/A</v>
      </c>
      <c r="FL46" s="102" t="e">
        <f t="shared" si="99"/>
        <v>#N/A</v>
      </c>
      <c r="FM46" s="414" t="e">
        <f>IF(AND(FI46&gt;NDC!$C$63,FJ46&gt;NDC!$C$65,FK46&gt;NDC!$D$73,FL46&gt;NDC!$D$74,$B46&gt;NDC!$H$22-0.1+MIN(3*FM$12,1.5)),0,1)</f>
        <v>#N/A</v>
      </c>
    </row>
    <row r="47" spans="1:169">
      <c r="A47" s="96">
        <f t="shared" si="65"/>
        <v>96.600000000000193</v>
      </c>
      <c r="B47" s="97">
        <v>3.4</v>
      </c>
      <c r="C47" s="81">
        <f>IF(B47&lt;=Hypothèses!$C$7,Hypothèses!$A$7,IF(B47&lt;=Hypothèses!$C$8,Hypothèses!$A$8,IF(B47&lt;=Hypothèses!$C$9,Hypothèses!$A$9,IF(B47&lt;=Hypothèses!$C$10,Hypothèses!$A$10,IF(B47&lt;=Hypothèses!$C$11,Hypothèses!$A$11,IF(B47&lt;=Hypothèses!$C$12,Hypothèses!$A$12,IF(B47&lt;=Hypothèses!$C$13,Hypothèses!$A$13,IF(B47&lt;=Hypothèses!$C$14,Hypothèses!$A$14,IF(B47&lt;=Hypothèses!$C$15,Hypothèses!$A$15,IF(B47&lt;=Hypothèses!$C$16,Hypothèses!$A$16,IF(B47&lt;=Hypothèses!$C$17,Hypothèses!$A$17,IF(B47&lt;=Hypothèses!$C$18,Hypothèses!$A$18,C46))))))))))))</f>
        <v>11</v>
      </c>
      <c r="D47" s="82" t="str">
        <f>IF(B47&lt;=Hypothèses!$C$7,Hypothèses!$R$7,IF(B47&lt;=Hypothèses!$C$8,Hypothèses!$R$8,IF(B47&lt;=Hypothèses!$C$9,Hypothèses!$R$9,IF(B47&lt;=Hypothèses!$C$10,Hypothèses!$R$10,IF(B47&lt;=Hypothèses!$C$11,Hypothèses!$R$11,IF(B47&lt;=Hypothèses!$C$12,Hypothèses!$R$12,IF(B47&lt;=Hypothèses!$C$13,Hypothèses!$R$13,IF(B47&lt;=Hypothèses!$C$14,Hypothèses!$R$14,IF(B47&lt;=Hypothèses!$C$15,Hypothèses!$R$15,IF(B47&lt;=Hypothèses!$C$16,Hypothèses!$R$16,IF(B47&lt;=Hypothèses!$C$17,Hypothèses!$R$17,IF(B47&lt;=Hypothèses!$C$18,Hypothèses!$R$18,D46))))))))))))</f>
        <v>Pressio.</v>
      </c>
      <c r="E47" s="82" t="e">
        <f>IF(B47&lt;=Hypothèses!$C$7,Hypothèses!$G$7,IF(B47&lt;=Hypothèses!$C$8,Hypothèses!$G$8,IF(B47&lt;=Hypothèses!$C$9,Hypothèses!$G$9,IF(B47&lt;=Hypothèses!$C$10,Hypothèses!$G$10,IF(B47&lt;=Hypothèses!$C$11,Hypothèses!$G$11,IF(B47&lt;=Hypothèses!$C$12,Hypothèses!$G$12,IF(B47&lt;=Hypothèses!$C$13,Hypothèses!$G$13,IF(B47&lt;=Hypothèses!$C$14,Hypothèses!$G$14,IF(B47&lt;=Hypothèses!$C$15,Hypothèses!$G$15,IF(B47&lt;=Hypothèses!$C$16,Hypothèses!$G$16,IF(B47&lt;=Hypothèses!$C$17,Hypothèses!$G$17,IF(B47&lt;=Hypothèses!$C$18,Hypothèses!$G$18,E46))))))))))))</f>
        <v>#N/A</v>
      </c>
      <c r="F47" s="82" t="str">
        <f>IF(B47&lt;=Hypothèses!$C$7,Hypothèses!$F$7,IF(B47&lt;=Hypothèses!$C$8,Hypothèses!$F$8,IF(B47&lt;=Hypothèses!$C$9,Hypothèses!$F$9,IF(B47&lt;=Hypothèses!$C$10,Hypothèses!$F$10,IF(B47&lt;=Hypothèses!$C$11,Hypothèses!$F$11,IF(B47&lt;=Hypothèses!$C$12,Hypothèses!$F$12,IF(B47&lt;=Hypothèses!$C$13,Hypothèses!$F$13,IF(B47&lt;=Hypothèses!$C$14,Hypothèses!$F$14,IF(B47&lt;=Hypothèses!$C$15,Hypothèses!$F$15,IF(B47&lt;=Hypothèses!$C$16,Hypothèses!$F$16,IF(B47&lt;=Hypothèses!$C$17,Hypothèses!$F$17,IF(B47&lt;=Hypothèses!$C$18,Hypothèses!$F$18,F46))))))))))))</f>
        <v/>
      </c>
      <c r="G47" s="91">
        <f t="array" ref="G47">INDEX('Coeff EC7'!$U$7:$X$27,
MATCH(Model0.1T!$B$3,'Coeff EC7'!$T$7:$T$27,0),
MATCH(Model0.1T!$D47&amp;Model0.1T!$B$4,
'Coeff EC7'!$U$6:$X$6&amp;
'Coeff EC7'!$U$5:$X$5,0))</f>
        <v>1.4</v>
      </c>
      <c r="H47" s="91">
        <f t="array" ref="H47">INDEX('Coeff EC7'!$Y$7:$AB$27,
MATCH(Model0.1T!$B$3,'Coeff EC7'!$T$7:$T$27,0),
MATCH(Model0.1T!$D47&amp;Model0.1T!$B$4,
'Coeff EC7'!$Y$6:$AB$6&amp;
'Coeff EC7'!$Y$5:$AB$5,0))</f>
        <v>1.7</v>
      </c>
      <c r="I47" s="83">
        <v>0</v>
      </c>
      <c r="J47" s="91" t="e">
        <f t="array" ref="J47">INDEX('Coeff EC7'!$D$33:$Q$33,1,MATCH(D47&amp;E47,'Coeff EC7'!$D$31:$Q$31&amp;'Coeff EC7'!$D$32:$Q$32,0))</f>
        <v>#N/A</v>
      </c>
      <c r="K47" s="91" t="e">
        <f t="array" ref="K47">INDEX('Coeff EC7'!$D$34:$Q$34,1,MATCH(D47&amp;E47,'Coeff EC7'!$D$31:$Q$31&amp;'Coeff EC7'!$D$32:$Q$32,0))</f>
        <v>#N/A</v>
      </c>
      <c r="L47" s="91" t="e">
        <f t="array" ref="L47">INDEX('Coeff EC7'!$D$35:$Q$35,1,MATCH(D47&amp;E47,'Coeff EC7'!$D$31:$Q$31&amp;'Coeff EC7'!$D$32:$Q$32,0))</f>
        <v>#N/A</v>
      </c>
      <c r="M47" s="98" t="e">
        <f t="shared" si="8"/>
        <v>#N/A</v>
      </c>
      <c r="N47" s="99" t="e">
        <f t="array" ref="N47">INDEX('Coeff EC7'!$D$7:$Q$27,MATCH($B$3,'Coeff EC7'!$C$7:$C$27,0),MATCH(D47&amp;E47,'Coeff EC7'!$D$5:$Q$5&amp;'Coeff EC7'!$D$6:$Q$6,0))</f>
        <v>#N/A</v>
      </c>
      <c r="O47" s="99" t="e">
        <f t="array" ref="O47">INDEX('Coeff EC7'!$D$41:$Q$61,MATCH($B$3,'Coeff EC7'!$C$41:$C$61,0),MATCH(D47&amp;E47,'Coeff EC7'!$D$39:$Q$39&amp;'Coeff EC7'!$D$40:$Q$40,0))</f>
        <v>#N/A</v>
      </c>
      <c r="P47" s="30" t="e">
        <f t="shared" si="66"/>
        <v>#N/A</v>
      </c>
      <c r="Q47" s="100" t="e">
        <f t="shared" si="10"/>
        <v>#N/A</v>
      </c>
      <c r="R47" s="86" t="b">
        <f t="shared" si="11"/>
        <v>0</v>
      </c>
      <c r="S47" s="86">
        <f t="shared" si="9"/>
        <v>0.5</v>
      </c>
      <c r="T47" s="86">
        <f t="shared" si="12"/>
        <v>0.5</v>
      </c>
      <c r="U47" s="30" t="e">
        <f t="shared" ca="1" si="67"/>
        <v>#DIV/0!</v>
      </c>
      <c r="V47" s="85" t="str">
        <f>IF(B47&lt;=Hypothèses!$V$7,Hypothèses!$W$7,IF(B47&lt;=Hypothèses!$V$8,Hypothèses!$W$8,IF(B47&lt;=Hypothèses!$V$9,Hypothèses!$W$9,IF(B47&lt;=Hypothèses!$V$10,Hypothèses!$W$10,IF(B47&lt;=Hypothèses!$V$11,Hypothèses!$W$11,IF(B47&lt;=Hypothèses!$V$12,Hypothèses!$W$12,IF(B47&lt;=Hypothèses!$V$13,Hypothèses!$W$13,IF(B47&lt;=Hypothèses!$V$14,Hypothèses!$W$14,IF(B47&lt;=Hypothèses!$V$15,Hypothèses!$W$15,IF(B47&lt;=Hypothèses!$V$16,Hypothèses!$W$16,IF(B47&lt;=Hypothèses!$V$17,Hypothèses!$W$17,IF(B47&lt;=Hypothèses!$V$18,Hypothèses!$W$18,""))))))))))))</f>
        <v/>
      </c>
      <c r="W47" s="87" t="e">
        <f t="shared" ca="1" si="116"/>
        <v>#DIV/0!</v>
      </c>
      <c r="X47" s="88" t="str">
        <f>IF(B47&lt;=Hypothèses!$V$7,Hypothèses!$X$7,IF(B47&lt;=Hypothèses!$V$8,Hypothèses!$X$8,IF(B47&lt;=Hypothèses!$V$9,Hypothèses!$X$9,IF(B47&lt;=Hypothèses!$V$10,Hypothèses!$X$10,IF(B47&lt;=Hypothèses!$V$11,Hypothèses!$X$11,IF(B47&lt;=Hypothèses!$V$12,Hypothèses!$X$12,IF(B47&lt;=Hypothèses!$V$13,Hypothèses!$X$13,IF(B47&lt;=Hypothèses!$V$14,Hypothèses!$X$14,IF(B47&lt;=Hypothèses!$V$15,Hypothèses!$X$15,IF(B47&lt;=Hypothèses!$V$16,Hypothèses!$X$16,IF(B47&lt;=Hypothèses!$U$17,Hypothèses!$W$17,IF(B47&lt;=Hypothèses!$U$18,Hypothèses!$W$18,""))))))))))))</f>
        <v/>
      </c>
      <c r="Y47" s="95" t="e">
        <f t="shared" ca="1" si="13"/>
        <v>#DIV/0!</v>
      </c>
      <c r="Z47" s="101">
        <f t="shared" si="14"/>
        <v>0</v>
      </c>
      <c r="AA47" s="91">
        <f t="shared" si="15"/>
        <v>0</v>
      </c>
      <c r="AB47" s="30" t="e">
        <f t="shared" si="100"/>
        <v>#N/A</v>
      </c>
      <c r="AC47" s="30" t="e">
        <f t="shared" si="101"/>
        <v>#N/A</v>
      </c>
      <c r="AD47" s="31" t="e">
        <f>IF(OR(Hypothèses!$B$4=17,Hypothèses!$B$4=18,Hypothèses!$B$4=19,Hypothèses!$B$4=20),
IF($D47="Pressio.",
IF(OR($E47=3,$E47=1,$E47=4),AC47,AB47),
IF($D47="Pénétro.",
IF(OR($E47=3,$E47=1,$E47=4),AC47,AB47))),IF($D47="Pressio.",
IF($E47=3,AC47,AB47),
IF($D47="Pénétro.",
IF($E47=4,AC47,AB47))))</f>
        <v>#N/A</v>
      </c>
      <c r="AE47" s="31">
        <v>0</v>
      </c>
      <c r="AF47" s="102" t="e">
        <f>IF(NDC!$H$10="Oui",(VLOOKUP($B$3,'Coeff EC7'!$T$39:$X$59,2,0)*AD47+VLOOKUP($B$3,'Coeff EC7'!$T$65:$X$85,2,0)*Model0.1T!AE47)/1.5,PI()*AB$12*$Q47*($B47-$B46)*0.15/10+AF46)</f>
        <v>#N/A</v>
      </c>
      <c r="AG47" s="102" t="e">
        <f>(VLOOKUP($B$3,'Coeff EC7'!$T$39:$X$59,3,0)*AD47+VLOOKUP($B$3,'Coeff EC7'!$T$65:$X$85,3,0)*Model0.1T!AE47)/1.1</f>
        <v>#N/A</v>
      </c>
      <c r="AH47" s="102" t="e">
        <f t="shared" si="68"/>
        <v>#N/A</v>
      </c>
      <c r="AI47" s="102" t="e">
        <f t="shared" si="69"/>
        <v>#N/A</v>
      </c>
      <c r="AJ47" s="414" t="e">
        <f>IF(AND(AF47&gt;NDC!$C$63,AG47&gt;NDC!$C$65,AH47&gt;NDC!$D$73,AI47&gt;NDC!$D$74,$B47&gt;NDC!$H$22-0.1+MIN(3*$AJ$12,1.5)),0,1)</f>
        <v>#N/A</v>
      </c>
      <c r="AK47" s="86" t="b">
        <f t="shared" si="18"/>
        <v>0</v>
      </c>
      <c r="AL47" s="86">
        <f t="shared" si="70"/>
        <v>0.5</v>
      </c>
      <c r="AM47" s="86">
        <f t="shared" si="19"/>
        <v>0.5</v>
      </c>
      <c r="AN47" s="30" t="e">
        <f t="shared" ca="1" si="71"/>
        <v>#DIV/0!</v>
      </c>
      <c r="AO47" s="85" t="e">
        <f ca="1">IF(U47&lt;=Hypothèses!$V$7,Hypothèses!$W$7,IF(U47&lt;=Hypothèses!$V$8,Hypothèses!$W$8,IF(U47&lt;=Hypothèses!$V$9,Hypothèses!$W$9,IF(U47&lt;=Hypothèses!$V$10,Hypothèses!$W$10,IF(U47&lt;=Hypothèses!$V$11,Hypothèses!$W$11,IF(U47&lt;=Hypothèses!$V$12,Hypothèses!$W$12,IF(U47&lt;=Hypothèses!$V$13,Hypothèses!$W$13,IF(U47&lt;=Hypothèses!$V$14,Hypothèses!$W$14,IF(U47&lt;=Hypothèses!$V$15,Hypothèses!$W$15,IF(U47&lt;=Hypothèses!$V$16,Hypothèses!$W$16,IF(U47&lt;=Hypothèses!$V$17,Hypothèses!$W$17,IF(U47&lt;=Hypothèses!$V$18,Hypothèses!$W$18,""))))))))))))</f>
        <v>#DIV/0!</v>
      </c>
      <c r="AP47" s="87" t="e">
        <f t="shared" ca="1" si="117"/>
        <v>#DIV/0!</v>
      </c>
      <c r="AQ47" s="88" t="e">
        <f ca="1">IF(U47&lt;=Hypothèses!$V$7,Hypothèses!$X$7,IF(U47&lt;=Hypothèses!$V$8,Hypothèses!$X$8,IF(U47&lt;=Hypothèses!$V$9,Hypothèses!$X$9,IF(U47&lt;=Hypothèses!$V$10,Hypothèses!$X$10,IF(U47&lt;=Hypothèses!$V$11,Hypothèses!$X$11,IF(U47&lt;=Hypothèses!$V$12,Hypothèses!$X$12,IF(U47&lt;=Hypothèses!$V$13,Hypothèses!$X$13,IF(U47&lt;=Hypothèses!$V$14,Hypothèses!$X$14,IF(U47&lt;=Hypothèses!$V$15,Hypothèses!$X$15,IF(U47&lt;=Hypothèses!$V$16,Hypothèses!$X$16,IF(U47&lt;=Hypothèses!$U$17,Hypothèses!$W$17,IF(U47&lt;=Hypothèses!$U$18,Hypothèses!$W$18,""))))))))))))</f>
        <v>#DIV/0!</v>
      </c>
      <c r="AR47" s="95" t="e">
        <f t="shared" ca="1" si="72"/>
        <v>#DIV/0!</v>
      </c>
      <c r="AS47" s="101">
        <f t="shared" si="124"/>
        <v>0</v>
      </c>
      <c r="AT47" s="91">
        <f t="shared" si="21"/>
        <v>0</v>
      </c>
      <c r="AU47" s="30" t="e">
        <f t="shared" si="102"/>
        <v>#N/A</v>
      </c>
      <c r="AV47" s="30" t="e">
        <f t="shared" si="103"/>
        <v>#N/A</v>
      </c>
      <c r="AW47" s="31" t="e">
        <f>IF(OR(Hypothèses!$B$4=17,Hypothèses!$B$4=18,Hypothèses!$B$4=19,Hypothèses!$B$4=20),
IF($D47="Pressio.",
IF(OR($E47=3,$E47=1,$E47=4),AV47,AU47),
IF($D47="Pénétro.",
IF(OR($E47=3,$E47=1,$E47=4),AV47,AU47))),IF($D47="Pressio.",
IF($E47=3,AV47,AU47),
IF($D47="Pénétro.",
IF($E47=4,AV47,AU47))))</f>
        <v>#N/A</v>
      </c>
      <c r="AX47" s="31">
        <v>0</v>
      </c>
      <c r="AY47" s="102" t="e">
        <f>IF(NDC!$H$10="Oui",(VLOOKUP($B$3,'Coeff EC7'!$T$39:$X$59,2,0)*AW47+VLOOKUP($B$3,'Coeff EC7'!$T$65:$X$85,2,0)*Model0.1T!AX47)/1.5,PI()*AU$12*$Q47*($B47-$B46)*0.15/10+AY46)</f>
        <v>#N/A</v>
      </c>
      <c r="AZ47" s="102" t="e">
        <f>(VLOOKUP($B$3,'Coeff EC7'!$T$39:$X$59,3,0)*AW47+VLOOKUP($B$3,'Coeff EC7'!$T$65:$X$85,3,0)*Model0.1T!AX47)/1.1</f>
        <v>#N/A</v>
      </c>
      <c r="BA47" s="102" t="e">
        <f t="shared" si="73"/>
        <v>#N/A</v>
      </c>
      <c r="BB47" s="102" t="e">
        <f t="shared" si="74"/>
        <v>#N/A</v>
      </c>
      <c r="BC47" s="414" t="e">
        <f>IF(AND(AY47&gt;NDC!$C$63,AZ47&gt;NDC!$C$65,BA47&gt;NDC!$D$73,BB47&gt;NDC!$D$74,$B47&gt;NDC!$H$22-0.1+MIN(3*BC$12,1.5)),0,1)</f>
        <v>#N/A</v>
      </c>
      <c r="BD47" s="86" t="b">
        <f t="shared" si="24"/>
        <v>0</v>
      </c>
      <c r="BE47" s="86">
        <f t="shared" si="75"/>
        <v>0.5</v>
      </c>
      <c r="BF47" s="86">
        <f t="shared" si="25"/>
        <v>0.5</v>
      </c>
      <c r="BG47" s="30" t="e">
        <f t="shared" ca="1" si="76"/>
        <v>#DIV/0!</v>
      </c>
      <c r="BH47" s="85" t="e">
        <f ca="1">IF(AN47&lt;=Hypothèses!$V$7,Hypothèses!$W$7,IF(AN47&lt;=Hypothèses!$V$8,Hypothèses!$W$8,IF(AN47&lt;=Hypothèses!$V$9,Hypothèses!$W$9,IF(AN47&lt;=Hypothèses!$V$10,Hypothèses!$W$10,IF(AN47&lt;=Hypothèses!$V$11,Hypothèses!$W$11,IF(AN47&lt;=Hypothèses!$V$12,Hypothèses!$W$12,IF(AN47&lt;=Hypothèses!$V$13,Hypothèses!$W$13,IF(AN47&lt;=Hypothèses!$V$14,Hypothèses!$W$14,IF(AN47&lt;=Hypothèses!$V$15,Hypothèses!$W$15,IF(AN47&lt;=Hypothèses!$V$16,Hypothèses!$W$16,IF(AN47&lt;=Hypothèses!$V$17,Hypothèses!$W$17,IF(AN47&lt;=Hypothèses!$V$18,Hypothèses!$W$18,""))))))))))))</f>
        <v>#DIV/0!</v>
      </c>
      <c r="BI47" s="87" t="e">
        <f t="shared" ca="1" si="118"/>
        <v>#DIV/0!</v>
      </c>
      <c r="BJ47" s="88" t="e">
        <f ca="1">IF(AN47&lt;=Hypothèses!$V$7,Hypothèses!$X$7,IF(AN47&lt;=Hypothèses!$V$8,Hypothèses!$X$8,IF(AN47&lt;=Hypothèses!$V$9,Hypothèses!$X$9,IF(AN47&lt;=Hypothèses!$V$10,Hypothèses!$X$10,IF(AN47&lt;=Hypothèses!$V$11,Hypothèses!$X$11,IF(AN47&lt;=Hypothèses!$V$12,Hypothèses!$X$12,IF(AN47&lt;=Hypothèses!$V$13,Hypothèses!$X$13,IF(AN47&lt;=Hypothèses!$V$14,Hypothèses!$X$14,IF(AN47&lt;=Hypothèses!$V$15,Hypothèses!$X$15,IF(AN47&lt;=Hypothèses!$V$16,Hypothèses!$X$16,IF(AN47&lt;=Hypothèses!$U$17,Hypothèses!$W$17,IF(AN47&lt;=Hypothèses!$U$18,Hypothèses!$W$18,""))))))))))))</f>
        <v>#DIV/0!</v>
      </c>
      <c r="BK47" s="95" t="e">
        <f t="shared" ca="1" si="77"/>
        <v>#DIV/0!</v>
      </c>
      <c r="BL47" s="101">
        <f t="shared" si="125"/>
        <v>0</v>
      </c>
      <c r="BM47" s="91">
        <f t="shared" si="27"/>
        <v>0</v>
      </c>
      <c r="BN47" s="30" t="e">
        <f t="shared" si="104"/>
        <v>#N/A</v>
      </c>
      <c r="BO47" s="30" t="e">
        <f t="shared" si="105"/>
        <v>#N/A</v>
      </c>
      <c r="BP47" s="31" t="e">
        <f>IF(OR(Hypothèses!$B$4=17,Hypothèses!$B$4=18,Hypothèses!$B$4=19,Hypothèses!$B$4=20),
IF($D47="Pressio.",
IF(OR($E47=3,$E47=1,$E47=4),BO47,BN47),
IF($D47="Pénétro.",
IF(OR($E47=3,$E47=1,$E47=4),BO47,BN47))),IF($D47="Pressio.",
IF($E47=3,BO47,BN47),
IF($D47="Pénétro.",
IF($E47=4,BO47,BN47))))</f>
        <v>#N/A</v>
      </c>
      <c r="BQ47" s="31">
        <v>0</v>
      </c>
      <c r="BR47" s="102" t="e">
        <f>IF(NDC!$H$10="Oui",(VLOOKUP($B$3,'Coeff EC7'!$T$39:$X$59,2,0)*BP47+VLOOKUP($B$3,'Coeff EC7'!$T$65:$X$85,2,0)*Model0.1T!BQ47)/1.5,PI()*BN$12*$Q47*($B47-$B46)*0.15/10+BR46)</f>
        <v>#N/A</v>
      </c>
      <c r="BS47" s="102" t="e">
        <f>(VLOOKUP($B$3,'Coeff EC7'!$T$39:$X$59,3,0)*BP47+VLOOKUP($B$3,'Coeff EC7'!$T$65:$X$85,3,0)*Model0.1T!BQ47)/1.1</f>
        <v>#N/A</v>
      </c>
      <c r="BT47" s="102" t="e">
        <f t="shared" si="78"/>
        <v>#N/A</v>
      </c>
      <c r="BU47" s="102" t="e">
        <f t="shared" si="79"/>
        <v>#N/A</v>
      </c>
      <c r="BV47" s="414" t="e">
        <f>IF(AND(BR47&gt;NDC!$C$63,BS47&gt;NDC!$C$65,BT47&gt;NDC!$D$73,BU47&gt;NDC!$D$74,$B47&gt;NDC!$H$22-0.1+MIN(3*BV$12,1.5)),0,1)</f>
        <v>#N/A</v>
      </c>
      <c r="BW47" s="86" t="b">
        <f t="shared" si="30"/>
        <v>0</v>
      </c>
      <c r="BX47" s="86">
        <f t="shared" si="31"/>
        <v>0.5</v>
      </c>
      <c r="BY47" s="86">
        <f t="shared" si="32"/>
        <v>0.5</v>
      </c>
      <c r="BZ47" s="30" t="e">
        <f t="shared" ca="1" si="80"/>
        <v>#DIV/0!</v>
      </c>
      <c r="CA47" s="85" t="e">
        <f ca="1">IF(BG47&lt;=Hypothèses!$V$7,Hypothèses!$W$7,IF(BG47&lt;=Hypothèses!$V$8,Hypothèses!$W$8,IF(BG47&lt;=Hypothèses!$V$9,Hypothèses!$W$9,IF(BG47&lt;=Hypothèses!$V$10,Hypothèses!$W$10,IF(BG47&lt;=Hypothèses!$V$11,Hypothèses!$W$11,IF(BG47&lt;=Hypothèses!$V$12,Hypothèses!$W$12,IF(BG47&lt;=Hypothèses!$V$13,Hypothèses!$W$13,IF(BG47&lt;=Hypothèses!$V$14,Hypothèses!$W$14,IF(BG47&lt;=Hypothèses!$V$15,Hypothèses!$W$15,IF(BG47&lt;=Hypothèses!$V$16,Hypothèses!$W$16,IF(BG47&lt;=Hypothèses!$V$17,Hypothèses!$W$17,IF(BG47&lt;=Hypothèses!$V$18,Hypothèses!$W$18,""))))))))))))</f>
        <v>#DIV/0!</v>
      </c>
      <c r="CB47" s="87" t="e">
        <f t="shared" ca="1" si="119"/>
        <v>#DIV/0!</v>
      </c>
      <c r="CC47" s="88" t="e">
        <f ca="1">IF(BG47&lt;=Hypothèses!$V$7,Hypothèses!$X$7,IF(BG47&lt;=Hypothèses!$V$8,Hypothèses!$X$8,IF(BG47&lt;=Hypothèses!$V$9,Hypothèses!$X$9,IF(BG47&lt;=Hypothèses!$V$10,Hypothèses!$X$10,IF(BG47&lt;=Hypothèses!$V$11,Hypothèses!$X$11,IF(BG47&lt;=Hypothèses!$V$12,Hypothèses!$X$12,IF(BG47&lt;=Hypothèses!$V$13,Hypothèses!$X$13,IF(BG47&lt;=Hypothèses!$V$14,Hypothèses!$X$14,IF(BG47&lt;=Hypothèses!$V$15,Hypothèses!$X$15,IF(BG47&lt;=Hypothèses!$V$16,Hypothèses!$X$16,IF(BG47&lt;=Hypothèses!$U$17,Hypothèses!$W$17,IF(BG47&lt;=Hypothèses!$U$18,Hypothèses!$W$18,""))))))))))))</f>
        <v>#DIV/0!</v>
      </c>
      <c r="CD47" s="95" t="e">
        <f t="shared" ca="1" si="81"/>
        <v>#DIV/0!</v>
      </c>
      <c r="CE47" s="101">
        <f t="shared" si="126"/>
        <v>0</v>
      </c>
      <c r="CF47" s="91">
        <f t="shared" si="34"/>
        <v>0</v>
      </c>
      <c r="CG47" s="30" t="e">
        <f t="shared" si="106"/>
        <v>#N/A</v>
      </c>
      <c r="CH47" s="30" t="e">
        <f t="shared" si="107"/>
        <v>#N/A</v>
      </c>
      <c r="CI47" s="31" t="e">
        <f>IF(OR(Hypothèses!$B$4=17,Hypothèses!$B$4=18,Hypothèses!$B$4=19,Hypothèses!$B$4=20),
IF($D47="Pressio.",
IF(OR($E47=3,$E47=1,$E47=4),CH47,CG47),
IF($D47="Pénétro.",
IF(OR($E47=3,$E47=1,$E47=4),CH47,CG47))),IF($D47="Pressio.",
IF($E47=3,CH47,CG47),
IF($D47="Pénétro.",
IF($E47=4,CH47,CG47))))</f>
        <v>#N/A</v>
      </c>
      <c r="CJ47" s="31">
        <v>0</v>
      </c>
      <c r="CK47" s="102" t="e">
        <f>IF(NDC!$H$10="Oui",(VLOOKUP($B$3,'Coeff EC7'!$T$39:$X$59,2,0)*CI47+VLOOKUP($B$3,'Coeff EC7'!$T$65:$X$85,2,0)*Model0.1T!CJ47)/1.5,PI()*CG$12*$Q47*($B47-$B46)*0.15/10+CK46)</f>
        <v>#N/A</v>
      </c>
      <c r="CL47" s="102" t="e">
        <f>(VLOOKUP($B$3,'Coeff EC7'!$T$39:$X$59,3,0)*CI47+VLOOKUP($B$3,'Coeff EC7'!$T$65:$X$85,3,0)*Model0.1T!CJ47)/1.1</f>
        <v>#N/A</v>
      </c>
      <c r="CM47" s="102" t="e">
        <f t="shared" si="82"/>
        <v>#N/A</v>
      </c>
      <c r="CN47" s="102" t="e">
        <f t="shared" si="83"/>
        <v>#N/A</v>
      </c>
      <c r="CO47" s="414" t="e">
        <f>IF(AND(CK47&gt;NDC!$C$63,CL47&gt;NDC!$C$65,CM47&gt;NDC!$D$73,CN47&gt;NDC!$D$74,$B47&gt;NDC!$H$22-0.1+MIN(3*CO$12,1.5)),0,1)</f>
        <v>#N/A</v>
      </c>
      <c r="CP47" s="86" t="b">
        <f t="shared" si="37"/>
        <v>0</v>
      </c>
      <c r="CQ47" s="86">
        <f t="shared" si="38"/>
        <v>0.5</v>
      </c>
      <c r="CR47" s="86">
        <f t="shared" si="39"/>
        <v>0.5</v>
      </c>
      <c r="CS47" s="30" t="e">
        <f t="shared" ca="1" si="84"/>
        <v>#DIV/0!</v>
      </c>
      <c r="CT47" s="85" t="e">
        <f ca="1">IF(BZ47&lt;=Hypothèses!$V$7,Hypothèses!$W$7,IF(BZ47&lt;=Hypothèses!$V$8,Hypothèses!$W$8,IF(BZ47&lt;=Hypothèses!$V$9,Hypothèses!$W$9,IF(BZ47&lt;=Hypothèses!$V$10,Hypothèses!$W$10,IF(BZ47&lt;=Hypothèses!$V$11,Hypothèses!$W$11,IF(BZ47&lt;=Hypothèses!$V$12,Hypothèses!$W$12,IF(BZ47&lt;=Hypothèses!$V$13,Hypothèses!$W$13,IF(BZ47&lt;=Hypothèses!$V$14,Hypothèses!$W$14,IF(BZ47&lt;=Hypothèses!$V$15,Hypothèses!$W$15,IF(BZ47&lt;=Hypothèses!$V$16,Hypothèses!$W$16,IF(BZ47&lt;=Hypothèses!$V$17,Hypothèses!$W$17,IF(BZ47&lt;=Hypothèses!$V$18,Hypothèses!$W$18,""))))))))))))</f>
        <v>#DIV/0!</v>
      </c>
      <c r="CU47" s="87" t="e">
        <f t="shared" ca="1" si="120"/>
        <v>#DIV/0!</v>
      </c>
      <c r="CV47" s="88" t="e">
        <f ca="1">IF(BZ47&lt;=Hypothèses!$V$7,Hypothèses!$X$7,IF(BZ47&lt;=Hypothèses!$V$8,Hypothèses!$X$8,IF(BZ47&lt;=Hypothèses!$V$9,Hypothèses!$X$9,IF(BZ47&lt;=Hypothèses!$V$10,Hypothèses!$X$10,IF(BZ47&lt;=Hypothèses!$V$11,Hypothèses!$X$11,IF(BZ47&lt;=Hypothèses!$V$12,Hypothèses!$X$12,IF(BZ47&lt;=Hypothèses!$V$13,Hypothèses!$X$13,IF(BZ47&lt;=Hypothèses!$V$14,Hypothèses!$X$14,IF(BZ47&lt;=Hypothèses!$V$15,Hypothèses!$X$15,IF(BZ47&lt;=Hypothèses!$V$16,Hypothèses!$X$16,IF(BZ47&lt;=Hypothèses!$U$17,Hypothèses!$W$17,IF(BZ47&lt;=Hypothèses!$U$18,Hypothèses!$W$18,""))))))))))))</f>
        <v>#DIV/0!</v>
      </c>
      <c r="CW47" s="95" t="e">
        <f t="shared" ca="1" si="85"/>
        <v>#DIV/0!</v>
      </c>
      <c r="CX47" s="101">
        <f t="shared" si="127"/>
        <v>0</v>
      </c>
      <c r="CY47" s="91">
        <f t="shared" si="41"/>
        <v>0</v>
      </c>
      <c r="CZ47" s="30" t="e">
        <f t="shared" si="108"/>
        <v>#N/A</v>
      </c>
      <c r="DA47" s="30" t="e">
        <f t="shared" si="109"/>
        <v>#N/A</v>
      </c>
      <c r="DB47" s="31" t="e">
        <f>IF(OR(Hypothèses!$B$4=17,Hypothèses!$B$4=18,Hypothèses!$B$4=19,Hypothèses!$B$4=20),
IF($D47="Pressio.",
IF(OR($E47=3,$E47=1,$E47=4),DA47,CZ47),
IF($D47="Pénétro.",
IF(OR($E47=3,$E47=1,$E47=4),DA47,CZ47))),IF($D47="Pressio.",
IF($E47=3,DA47,CZ47),
IF($D47="Pénétro.",
IF($E47=4,DA47,CZ47))))</f>
        <v>#N/A</v>
      </c>
      <c r="DC47" s="31">
        <v>0</v>
      </c>
      <c r="DD47" s="102" t="e">
        <f>IF(NDC!$H$10="Oui",(VLOOKUP($B$3,'Coeff EC7'!$T$39:$X$59,2,0)*DB47+VLOOKUP($B$3,'Coeff EC7'!$T$65:$X$85,2,0)*Model0.1T!DC47)/1.5,PI()*CZ$12*$Q47*($B47-$B46)*0.15/10+DD46)</f>
        <v>#N/A</v>
      </c>
      <c r="DE47" s="102" t="e">
        <f>(VLOOKUP($B$3,'Coeff EC7'!$T$39:$X$59,3,0)*DB47+VLOOKUP($B$3,'Coeff EC7'!$T$65:$X$85,3,0)*Model0.1T!DC47)/1.1</f>
        <v>#N/A</v>
      </c>
      <c r="DF47" s="102" t="e">
        <f t="shared" si="86"/>
        <v>#N/A</v>
      </c>
      <c r="DG47" s="102" t="e">
        <f t="shared" si="87"/>
        <v>#N/A</v>
      </c>
      <c r="DH47" s="414" t="e">
        <f>IF(AND(DD47&gt;NDC!$C$63,DE47&gt;NDC!$C$65,DF47&gt;NDC!$D$73,DG47&gt;NDC!$D$74,$B47&gt;NDC!$H$22-0.1+MIN(3*DH$12,1.5)),0,1)</f>
        <v>#N/A</v>
      </c>
      <c r="DI47" s="86" t="b">
        <f t="shared" si="44"/>
        <v>0</v>
      </c>
      <c r="DJ47" s="86">
        <f t="shared" si="45"/>
        <v>0.5</v>
      </c>
      <c r="DK47" s="86">
        <f t="shared" si="46"/>
        <v>0.5</v>
      </c>
      <c r="DL47" s="30" t="e">
        <f t="shared" ca="1" si="88"/>
        <v>#DIV/0!</v>
      </c>
      <c r="DM47" s="85" t="e">
        <f ca="1">IF(CS47&lt;=Hypothèses!$V$7,Hypothèses!$W$7,IF(CS47&lt;=Hypothèses!$V$8,Hypothèses!$W$8,IF(CS47&lt;=Hypothèses!$V$9,Hypothèses!$W$9,IF(CS47&lt;=Hypothèses!$V$10,Hypothèses!$W$10,IF(CS47&lt;=Hypothèses!$V$11,Hypothèses!$W$11,IF(CS47&lt;=Hypothèses!$V$12,Hypothèses!$W$12,IF(CS47&lt;=Hypothèses!$V$13,Hypothèses!$W$13,IF(CS47&lt;=Hypothèses!$V$14,Hypothèses!$W$14,IF(CS47&lt;=Hypothèses!$V$15,Hypothèses!$W$15,IF(CS47&lt;=Hypothèses!$V$16,Hypothèses!$W$16,IF(CS47&lt;=Hypothèses!$V$17,Hypothèses!$W$17,IF(CS47&lt;=Hypothèses!$V$18,Hypothèses!$W$18,""))))))))))))</f>
        <v>#DIV/0!</v>
      </c>
      <c r="DN47" s="87" t="e">
        <f t="shared" ca="1" si="121"/>
        <v>#DIV/0!</v>
      </c>
      <c r="DO47" s="88" t="e">
        <f ca="1">IF(CS47&lt;=Hypothèses!$V$7,Hypothèses!$X$7,IF(CS47&lt;=Hypothèses!$V$8,Hypothèses!$X$8,IF(CS47&lt;=Hypothèses!$V$9,Hypothèses!$X$9,IF(CS47&lt;=Hypothèses!$V$10,Hypothèses!$X$10,IF(CS47&lt;=Hypothèses!$V$11,Hypothèses!$X$11,IF(CS47&lt;=Hypothèses!$V$12,Hypothèses!$X$12,IF(CS47&lt;=Hypothèses!$V$13,Hypothèses!$X$13,IF(CS47&lt;=Hypothèses!$V$14,Hypothèses!$X$14,IF(CS47&lt;=Hypothèses!$V$15,Hypothèses!$X$15,IF(CS47&lt;=Hypothèses!$V$16,Hypothèses!$X$16,IF(CS47&lt;=Hypothèses!$U$17,Hypothèses!$W$17,IF(CS47&lt;=Hypothèses!$U$18,Hypothèses!$W$18,""))))))))))))</f>
        <v>#DIV/0!</v>
      </c>
      <c r="DP47" s="95" t="e">
        <f t="shared" ca="1" si="89"/>
        <v>#DIV/0!</v>
      </c>
      <c r="DQ47" s="101">
        <f t="shared" si="128"/>
        <v>0</v>
      </c>
      <c r="DR47" s="91">
        <f t="shared" si="48"/>
        <v>0</v>
      </c>
      <c r="DS47" s="30" t="e">
        <f t="shared" si="110"/>
        <v>#N/A</v>
      </c>
      <c r="DT47" s="30" t="e">
        <f t="shared" si="111"/>
        <v>#N/A</v>
      </c>
      <c r="DU47" s="31" t="e">
        <f>IF(OR(Hypothèses!$B$4=17,Hypothèses!$B$4=18,Hypothèses!$B$4=19,Hypothèses!$B$4=20),
IF($D47="Pressio.",
IF(OR($E47=3,$E47=1,$E47=4),DT47,DS47),
IF($D47="Pénétro.",
IF(OR($E47=3,$E47=1,$E47=4),DT47,DS47))),IF($D47="Pressio.",
IF($E47=3,DT47,DS47),
IF($D47="Pénétro.",
IF($E47=4,DT47,DS47))))</f>
        <v>#N/A</v>
      </c>
      <c r="DV47" s="31">
        <v>0</v>
      </c>
      <c r="DW47" s="102" t="e">
        <f>IF(NDC!$H$10="Oui",(VLOOKUP($B$3,'Coeff EC7'!$T$39:$X$59,2,0)*DU47+VLOOKUP($B$3,'Coeff EC7'!$T$65:$X$85,2,0)*Model0.1T!DV47)/1.5,PI()*DS$12*$Q47*($B47-$B46)*0.15/10+DW46)</f>
        <v>#N/A</v>
      </c>
      <c r="DX47" s="102" t="e">
        <f>(VLOOKUP($B$3,'Coeff EC7'!$T$39:$X$59,3,0)*DU47+VLOOKUP($B$3,'Coeff EC7'!$T$65:$X$85,3,0)*Model0.1T!DV47)/1.1</f>
        <v>#N/A</v>
      </c>
      <c r="DY47" s="102" t="e">
        <f t="shared" si="90"/>
        <v>#N/A</v>
      </c>
      <c r="DZ47" s="102" t="e">
        <f t="shared" si="91"/>
        <v>#N/A</v>
      </c>
      <c r="EA47" s="414" t="e">
        <f>IF(AND(DW47&gt;NDC!$C$63,DX47&gt;NDC!$C$65,DY47&gt;NDC!$D$73,DZ47&gt;NDC!$D$74,$B47&gt;NDC!$H$22-0.1+MIN(3*EA$12,1.5)),0,1)</f>
        <v>#N/A</v>
      </c>
      <c r="EB47" s="86" t="b">
        <f t="shared" si="51"/>
        <v>0</v>
      </c>
      <c r="EC47" s="418">
        <f t="shared" si="52"/>
        <v>0.51</v>
      </c>
      <c r="ED47" s="86">
        <f t="shared" si="53"/>
        <v>0.51</v>
      </c>
      <c r="EE47" s="30" t="e">
        <f t="shared" ca="1" si="92"/>
        <v>#DIV/0!</v>
      </c>
      <c r="EF47" s="85" t="e">
        <f ca="1">IF(DL47&lt;=Hypothèses!$V$7,Hypothèses!$W$7,IF(DL47&lt;=Hypothèses!$V$8,Hypothèses!$W$8,IF(DL47&lt;=Hypothèses!$V$9,Hypothèses!$W$9,IF(DL47&lt;=Hypothèses!$V$10,Hypothèses!$W$10,IF(DL47&lt;=Hypothèses!$V$11,Hypothèses!$W$11,IF(DL47&lt;=Hypothèses!$V$12,Hypothèses!$W$12,IF(DL47&lt;=Hypothèses!$V$13,Hypothèses!$W$13,IF(DL47&lt;=Hypothèses!$V$14,Hypothèses!$W$14,IF(DL47&lt;=Hypothèses!$V$15,Hypothèses!$W$15,IF(DL47&lt;=Hypothèses!$V$16,Hypothèses!$W$16,IF(DL47&lt;=Hypothèses!$V$17,Hypothèses!$W$17,IF(DL47&lt;=Hypothèses!$V$18,Hypothèses!$W$18,""))))))))))))</f>
        <v>#DIV/0!</v>
      </c>
      <c r="EG47" s="87" t="e">
        <f t="shared" ca="1" si="122"/>
        <v>#DIV/0!</v>
      </c>
      <c r="EH47" s="88" t="e">
        <f ca="1">IF(DL47&lt;=Hypothèses!$V$7,Hypothèses!$X$7,IF(DL47&lt;=Hypothèses!$V$8,Hypothèses!$X$8,IF(DL47&lt;=Hypothèses!$V$9,Hypothèses!$X$9,IF(DL47&lt;=Hypothèses!$V$10,Hypothèses!$X$10,IF(DL47&lt;=Hypothèses!$V$11,Hypothèses!$X$11,IF(DL47&lt;=Hypothèses!$V$12,Hypothèses!$X$12,IF(DL47&lt;=Hypothèses!$V$13,Hypothèses!$X$13,IF(DL47&lt;=Hypothèses!$V$14,Hypothèses!$X$14,IF(DL47&lt;=Hypothèses!$V$15,Hypothèses!$X$15,IF(DL47&lt;=Hypothèses!$V$16,Hypothèses!$X$16,IF(DL47&lt;=Hypothèses!$U$17,Hypothèses!$W$17,IF(DL47&lt;=Hypothèses!$U$18,Hypothèses!$W$18,""))))))))))))</f>
        <v>#DIV/0!</v>
      </c>
      <c r="EI47" s="95" t="e">
        <f t="shared" ca="1" si="93"/>
        <v>#DIV/0!</v>
      </c>
      <c r="EJ47" s="101">
        <f t="shared" si="129"/>
        <v>0</v>
      </c>
      <c r="EK47" s="91">
        <f t="shared" si="55"/>
        <v>0</v>
      </c>
      <c r="EL47" s="30" t="e">
        <f t="shared" si="112"/>
        <v>#N/A</v>
      </c>
      <c r="EM47" s="30" t="e">
        <f t="shared" si="113"/>
        <v>#N/A</v>
      </c>
      <c r="EN47" s="31" t="e">
        <f>IF(OR(Hypothèses!$B$4=17,Hypothèses!$B$4=18,Hypothèses!$B$4=19,Hypothèses!$B$4=20),
IF($D47="Pressio.",
IF(OR($E47=3,$E47=1,$E47=4),EM47,EL47),
IF($D47="Pénétro.",
IF(OR($E47=3,$E47=1,$E47=4),EM47,EL47))),IF($D47="Pressio.",
IF($E47=3,EM47,EL47),
IF($D47="Pénétro.",
IF($E47=4,EM47,EL47))))</f>
        <v>#N/A</v>
      </c>
      <c r="EO47" s="31">
        <v>0</v>
      </c>
      <c r="EP47" s="102" t="e">
        <f>IF(NDC!$H$10="Oui",(VLOOKUP($B$3,'Coeff EC7'!$T$39:$X$59,2,0)*EN47+VLOOKUP($B$3,'Coeff EC7'!$T$65:$X$85,2,0)*Model0.1T!EO47)/1.5,PI()*EL$12*$Q47*($B47-$B46)*0.15/10+EP46)</f>
        <v>#N/A</v>
      </c>
      <c r="EQ47" s="102" t="e">
        <f>(VLOOKUP($B$3,'Coeff EC7'!$T$39:$X$59,3,0)*EN47+VLOOKUP($B$3,'Coeff EC7'!$T$65:$X$85,3,0)*Model0.1T!EO47)/1.1</f>
        <v>#N/A</v>
      </c>
      <c r="ER47" s="102" t="e">
        <f t="shared" si="94"/>
        <v>#N/A</v>
      </c>
      <c r="ES47" s="102" t="e">
        <f t="shared" si="95"/>
        <v>#N/A</v>
      </c>
      <c r="ET47" s="414" t="e">
        <f>IF(AND(EP47&gt;NDC!$C$63,EQ47&gt;NDC!$C$65,ER47&gt;NDC!$D$73,ES47&gt;NDC!$D$74,$B47&gt;NDC!$H$22-0.1+MIN(3*ET$12,1.5)),0,1)</f>
        <v>#N/A</v>
      </c>
      <c r="EU47" s="86" t="b">
        <f t="shared" si="58"/>
        <v>0</v>
      </c>
      <c r="EV47" s="86">
        <f t="shared" si="59"/>
        <v>0.61</v>
      </c>
      <c r="EW47" s="86">
        <f t="shared" si="60"/>
        <v>0.61</v>
      </c>
      <c r="EX47" s="30" t="e">
        <f t="shared" ca="1" si="96"/>
        <v>#DIV/0!</v>
      </c>
      <c r="EY47" s="85" t="e">
        <f ca="1">IF(EE47&lt;=Hypothèses!$V$7,Hypothèses!$W$7,IF(EE47&lt;=Hypothèses!$V$8,Hypothèses!$W$8,IF(EE47&lt;=Hypothèses!$V$9,Hypothèses!$W$9,IF(EE47&lt;=Hypothèses!$V$10,Hypothèses!$W$10,IF(EE47&lt;=Hypothèses!$V$11,Hypothèses!$W$11,IF(EE47&lt;=Hypothèses!$V$12,Hypothèses!$W$12,IF(EE47&lt;=Hypothèses!$V$13,Hypothèses!$W$13,IF(EE47&lt;=Hypothèses!$V$14,Hypothèses!$W$14,IF(EE47&lt;=Hypothèses!$V$15,Hypothèses!$W$15,IF(EE47&lt;=Hypothèses!$V$16,Hypothèses!$W$16,IF(EE47&lt;=Hypothèses!$V$17,Hypothèses!$W$17,IF(EE47&lt;=Hypothèses!$V$18,Hypothèses!$W$18,""))))))))))))</f>
        <v>#DIV/0!</v>
      </c>
      <c r="EZ47" s="87" t="e">
        <f t="shared" ca="1" si="123"/>
        <v>#DIV/0!</v>
      </c>
      <c r="FA47" s="88" t="e">
        <f ca="1">IF(EE47&lt;=Hypothèses!$V$7,Hypothèses!$X$7,IF(EE47&lt;=Hypothèses!$V$8,Hypothèses!$X$8,IF(EE47&lt;=Hypothèses!$V$9,Hypothèses!$X$9,IF(EE47&lt;=Hypothèses!$V$10,Hypothèses!$X$10,IF(EE47&lt;=Hypothèses!$V$11,Hypothèses!$X$11,IF(EE47&lt;=Hypothèses!$V$12,Hypothèses!$X$12,IF(EE47&lt;=Hypothèses!$V$13,Hypothèses!$X$13,IF(EE47&lt;=Hypothèses!$V$14,Hypothèses!$X$14,IF(EE47&lt;=Hypothèses!$V$15,Hypothèses!$X$15,IF(EE47&lt;=Hypothèses!$V$16,Hypothèses!$X$16,IF(EE47&lt;=Hypothèses!$U$17,Hypothèses!$W$17,IF(EE47&lt;=Hypothèses!$U$18,Hypothèses!$W$18,""))))))))))))</f>
        <v>#DIV/0!</v>
      </c>
      <c r="FB47" s="95" t="e">
        <f t="shared" ca="1" si="97"/>
        <v>#DIV/0!</v>
      </c>
      <c r="FC47" s="101">
        <f t="shared" si="130"/>
        <v>0</v>
      </c>
      <c r="FD47" s="91">
        <f t="shared" si="62"/>
        <v>0</v>
      </c>
      <c r="FE47" s="30" t="e">
        <f t="shared" si="114"/>
        <v>#N/A</v>
      </c>
      <c r="FF47" s="30" t="e">
        <f t="shared" si="115"/>
        <v>#N/A</v>
      </c>
      <c r="FG47" s="31" t="e">
        <f>IF(OR(Hypothèses!$B$4=17,Hypothèses!$B$4=18,Hypothèses!$B$4=19,Hypothèses!$B$4=20),
IF($D47="Pressio.",
IF(OR($E47=3,$E47=1,$E47=4),FF47,FE47),
IF($D47="Pénétro.",
IF(OR($E47=3,$E47=1,$E47=4),FF47,FE47))),IF($D47="Pressio.",
IF($E47=3,FF47,FE47),
IF($D47="Pénétro.",
IF($E47=4,FF47,FE47))))</f>
        <v>#N/A</v>
      </c>
      <c r="FH47" s="31">
        <v>0</v>
      </c>
      <c r="FI47" s="102" t="e">
        <f>IF(NDC!$H$10="Oui",(VLOOKUP($B$3,'Coeff EC7'!$T$39:$X$59,2,0)*FG47+VLOOKUP($B$3,'Coeff EC7'!$T$65:$X$85,2,0)*Model0.1T!FH47)/1.5,PI()*FE$12*$Q47*($B47-$B46)*0.15/10+FI46)</f>
        <v>#N/A</v>
      </c>
      <c r="FJ47" s="102" t="e">
        <f>(VLOOKUP($B$3,'Coeff EC7'!$T$39:$X$59,3,0)*FG47+VLOOKUP($B$3,'Coeff EC7'!$T$65:$X$85,3,0)*Model0.1T!FH47)/1.1</f>
        <v>#N/A</v>
      </c>
      <c r="FK47" s="102" t="e">
        <f t="shared" si="98"/>
        <v>#N/A</v>
      </c>
      <c r="FL47" s="102" t="e">
        <f t="shared" si="99"/>
        <v>#N/A</v>
      </c>
      <c r="FM47" s="414" t="e">
        <f>IF(AND(FI47&gt;NDC!$C$63,FJ47&gt;NDC!$C$65,FK47&gt;NDC!$D$73,FL47&gt;NDC!$D$74,$B47&gt;NDC!$H$22-0.1+MIN(3*FM$12,1.5)),0,1)</f>
        <v>#N/A</v>
      </c>
    </row>
    <row r="48" spans="1:169">
      <c r="A48" s="96">
        <f t="shared" si="65"/>
        <v>96.500000000000199</v>
      </c>
      <c r="B48" s="97">
        <v>3.5</v>
      </c>
      <c r="C48" s="81">
        <f>IF(B48&lt;=Hypothèses!$C$7,Hypothèses!$A$7,IF(B48&lt;=Hypothèses!$C$8,Hypothèses!$A$8,IF(B48&lt;=Hypothèses!$C$9,Hypothèses!$A$9,IF(B48&lt;=Hypothèses!$C$10,Hypothèses!$A$10,IF(B48&lt;=Hypothèses!$C$11,Hypothèses!$A$11,IF(B48&lt;=Hypothèses!$C$12,Hypothèses!$A$12,IF(B48&lt;=Hypothèses!$C$13,Hypothèses!$A$13,IF(B48&lt;=Hypothèses!$C$14,Hypothèses!$A$14,IF(B48&lt;=Hypothèses!$C$15,Hypothèses!$A$15,IF(B48&lt;=Hypothèses!$C$16,Hypothèses!$A$16,IF(B48&lt;=Hypothèses!$C$17,Hypothèses!$A$17,IF(B48&lt;=Hypothèses!$C$18,Hypothèses!$A$18,C47))))))))))))</f>
        <v>11</v>
      </c>
      <c r="D48" s="82" t="str">
        <f>IF(B48&lt;=Hypothèses!$C$7,Hypothèses!$R$7,IF(B48&lt;=Hypothèses!$C$8,Hypothèses!$R$8,IF(B48&lt;=Hypothèses!$C$9,Hypothèses!$R$9,IF(B48&lt;=Hypothèses!$C$10,Hypothèses!$R$10,IF(B48&lt;=Hypothèses!$C$11,Hypothèses!$R$11,IF(B48&lt;=Hypothèses!$C$12,Hypothèses!$R$12,IF(B48&lt;=Hypothèses!$C$13,Hypothèses!$R$13,IF(B48&lt;=Hypothèses!$C$14,Hypothèses!$R$14,IF(B48&lt;=Hypothèses!$C$15,Hypothèses!$R$15,IF(B48&lt;=Hypothèses!$C$16,Hypothèses!$R$16,IF(B48&lt;=Hypothèses!$C$17,Hypothèses!$R$17,IF(B48&lt;=Hypothèses!$C$18,Hypothèses!$R$18,D47))))))))))))</f>
        <v>Pressio.</v>
      </c>
      <c r="E48" s="82" t="e">
        <f>IF(B48&lt;=Hypothèses!$C$7,Hypothèses!$G$7,IF(B48&lt;=Hypothèses!$C$8,Hypothèses!$G$8,IF(B48&lt;=Hypothèses!$C$9,Hypothèses!$G$9,IF(B48&lt;=Hypothèses!$C$10,Hypothèses!$G$10,IF(B48&lt;=Hypothèses!$C$11,Hypothèses!$G$11,IF(B48&lt;=Hypothèses!$C$12,Hypothèses!$G$12,IF(B48&lt;=Hypothèses!$C$13,Hypothèses!$G$13,IF(B48&lt;=Hypothèses!$C$14,Hypothèses!$G$14,IF(B48&lt;=Hypothèses!$C$15,Hypothèses!$G$15,IF(B48&lt;=Hypothèses!$C$16,Hypothèses!$G$16,IF(B48&lt;=Hypothèses!$C$17,Hypothèses!$G$17,IF(B48&lt;=Hypothèses!$C$18,Hypothèses!$G$18,E47))))))))))))</f>
        <v>#N/A</v>
      </c>
      <c r="F48" s="82" t="str">
        <f>IF(B48&lt;=Hypothèses!$C$7,Hypothèses!$F$7,IF(B48&lt;=Hypothèses!$C$8,Hypothèses!$F$8,IF(B48&lt;=Hypothèses!$C$9,Hypothèses!$F$9,IF(B48&lt;=Hypothèses!$C$10,Hypothèses!$F$10,IF(B48&lt;=Hypothèses!$C$11,Hypothèses!$F$11,IF(B48&lt;=Hypothèses!$C$12,Hypothèses!$F$12,IF(B48&lt;=Hypothèses!$C$13,Hypothèses!$F$13,IF(B48&lt;=Hypothèses!$C$14,Hypothèses!$F$14,IF(B48&lt;=Hypothèses!$C$15,Hypothèses!$F$15,IF(B48&lt;=Hypothèses!$C$16,Hypothèses!$F$16,IF(B48&lt;=Hypothèses!$C$17,Hypothèses!$F$17,IF(B48&lt;=Hypothèses!$C$18,Hypothèses!$F$18,F47))))))))))))</f>
        <v/>
      </c>
      <c r="G48" s="91">
        <f t="array" ref="G48">INDEX('Coeff EC7'!$U$7:$X$27,
MATCH(Model0.1T!$B$3,'Coeff EC7'!$T$7:$T$27,0),
MATCH(Model0.1T!$D48&amp;Model0.1T!$B$4,
'Coeff EC7'!$U$6:$X$6&amp;
'Coeff EC7'!$U$5:$X$5,0))</f>
        <v>1.4</v>
      </c>
      <c r="H48" s="91">
        <f t="array" ref="H48">INDEX('Coeff EC7'!$Y$7:$AB$27,
MATCH(Model0.1T!$B$3,'Coeff EC7'!$T$7:$T$27,0),
MATCH(Model0.1T!$D48&amp;Model0.1T!$B$4,
'Coeff EC7'!$Y$6:$AB$6&amp;
'Coeff EC7'!$Y$5:$AB$5,0))</f>
        <v>1.7</v>
      </c>
      <c r="I48" s="83">
        <v>0</v>
      </c>
      <c r="J48" s="91" t="e">
        <f t="array" ref="J48">INDEX('Coeff EC7'!$D$33:$Q$33,1,MATCH(D48&amp;E48,'Coeff EC7'!$D$31:$Q$31&amp;'Coeff EC7'!$D$32:$Q$32,0))</f>
        <v>#N/A</v>
      </c>
      <c r="K48" s="91" t="e">
        <f t="array" ref="K48">INDEX('Coeff EC7'!$D$34:$Q$34,1,MATCH(D48&amp;E48,'Coeff EC7'!$D$31:$Q$31&amp;'Coeff EC7'!$D$32:$Q$32,0))</f>
        <v>#N/A</v>
      </c>
      <c r="L48" s="91" t="e">
        <f t="array" ref="L48">INDEX('Coeff EC7'!$D$35:$Q$35,1,MATCH(D48&amp;E48,'Coeff EC7'!$D$31:$Q$31&amp;'Coeff EC7'!$D$32:$Q$32,0))</f>
        <v>#N/A</v>
      </c>
      <c r="M48" s="98" t="e">
        <f t="shared" si="8"/>
        <v>#N/A</v>
      </c>
      <c r="N48" s="99" t="e">
        <f t="array" ref="N48">INDEX('Coeff EC7'!$D$7:$Q$27,MATCH($B$3,'Coeff EC7'!$C$7:$C$27,0),MATCH(D48&amp;E48,'Coeff EC7'!$D$5:$Q$5&amp;'Coeff EC7'!$D$6:$Q$6,0))</f>
        <v>#N/A</v>
      </c>
      <c r="O48" s="99" t="e">
        <f t="array" ref="O48">INDEX('Coeff EC7'!$D$41:$Q$61,MATCH($B$3,'Coeff EC7'!$C$41:$C$61,0),MATCH(D48&amp;E48,'Coeff EC7'!$D$39:$Q$39&amp;'Coeff EC7'!$D$40:$Q$40,0))</f>
        <v>#N/A</v>
      </c>
      <c r="P48" s="30" t="e">
        <f t="shared" si="66"/>
        <v>#N/A</v>
      </c>
      <c r="Q48" s="100" t="e">
        <f t="shared" si="10"/>
        <v>#N/A</v>
      </c>
      <c r="R48" s="86" t="b">
        <f t="shared" si="11"/>
        <v>0</v>
      </c>
      <c r="S48" s="86">
        <f t="shared" si="9"/>
        <v>0.5</v>
      </c>
      <c r="T48" s="86">
        <f t="shared" si="12"/>
        <v>0.5</v>
      </c>
      <c r="U48" s="30" t="e">
        <f t="shared" ca="1" si="67"/>
        <v>#DIV/0!</v>
      </c>
      <c r="V48" s="85" t="str">
        <f>IF(B48&lt;=Hypothèses!$V$7,Hypothèses!$W$7,IF(B48&lt;=Hypothèses!$V$8,Hypothèses!$W$8,IF(B48&lt;=Hypothèses!$V$9,Hypothèses!$W$9,IF(B48&lt;=Hypothèses!$V$10,Hypothèses!$W$10,IF(B48&lt;=Hypothèses!$V$11,Hypothèses!$W$11,IF(B48&lt;=Hypothèses!$V$12,Hypothèses!$W$12,IF(B48&lt;=Hypothèses!$V$13,Hypothèses!$W$13,IF(B48&lt;=Hypothèses!$V$14,Hypothèses!$W$14,IF(B48&lt;=Hypothèses!$V$15,Hypothèses!$W$15,IF(B48&lt;=Hypothèses!$V$16,Hypothèses!$W$16,IF(B48&lt;=Hypothèses!$V$17,Hypothèses!$W$17,IF(B48&lt;=Hypothèses!$V$18,Hypothèses!$W$18,""))))))))))))</f>
        <v/>
      </c>
      <c r="W48" s="87" t="e">
        <f t="shared" ca="1" si="116"/>
        <v>#DIV/0!</v>
      </c>
      <c r="X48" s="88" t="str">
        <f>IF(B48&lt;=Hypothèses!$V$7,Hypothèses!$X$7,IF(B48&lt;=Hypothèses!$V$8,Hypothèses!$X$8,IF(B48&lt;=Hypothèses!$V$9,Hypothèses!$X$9,IF(B48&lt;=Hypothèses!$V$10,Hypothèses!$X$10,IF(B48&lt;=Hypothèses!$V$11,Hypothèses!$X$11,IF(B48&lt;=Hypothèses!$V$12,Hypothèses!$X$12,IF(B48&lt;=Hypothèses!$V$13,Hypothèses!$X$13,IF(B48&lt;=Hypothèses!$V$14,Hypothèses!$X$14,IF(B48&lt;=Hypothèses!$V$15,Hypothèses!$X$15,IF(B48&lt;=Hypothèses!$V$16,Hypothèses!$X$16,IF(B48&lt;=Hypothèses!$U$17,Hypothèses!$W$17,IF(B48&lt;=Hypothèses!$U$18,Hypothèses!$W$18,""))))))))))))</f>
        <v/>
      </c>
      <c r="Y48" s="95" t="e">
        <f t="shared" ca="1" si="13"/>
        <v>#DIV/0!</v>
      </c>
      <c r="Z48" s="101">
        <f t="shared" si="14"/>
        <v>0</v>
      </c>
      <c r="AA48" s="91">
        <f t="shared" si="15"/>
        <v>0</v>
      </c>
      <c r="AB48" s="30" t="e">
        <f t="shared" si="100"/>
        <v>#N/A</v>
      </c>
      <c r="AC48" s="30" t="e">
        <f t="shared" si="101"/>
        <v>#N/A</v>
      </c>
      <c r="AD48" s="31" t="e">
        <f>IF(OR(Hypothèses!$B$4=17,Hypothèses!$B$4=18,Hypothèses!$B$4=19,Hypothèses!$B$4=20),
IF($D48="Pressio.",
IF(OR($E48=3,$E48=1,$E48=4),AC48,AB48),
IF($D48="Pénétro.",
IF(OR($E48=3,$E48=1,$E48=4),AC48,AB48))),IF($D48="Pressio.",
IF($E48=3,AC48,AB48),
IF($D48="Pénétro.",
IF($E48=4,AC48,AB48))))</f>
        <v>#N/A</v>
      </c>
      <c r="AE48" s="31">
        <v>0</v>
      </c>
      <c r="AF48" s="102" t="e">
        <f>IF(NDC!$H$10="Oui",(VLOOKUP($B$3,'Coeff EC7'!$T$39:$X$59,2,0)*AD48+VLOOKUP($B$3,'Coeff EC7'!$T$65:$X$85,2,0)*Model0.1T!AE48)/1.5,PI()*AB$12*$Q48*($B48-$B47)*0.15/10+AF47)</f>
        <v>#N/A</v>
      </c>
      <c r="AG48" s="102" t="e">
        <f>(VLOOKUP($B$3,'Coeff EC7'!$T$39:$X$59,3,0)*AD48+VLOOKUP($B$3,'Coeff EC7'!$T$65:$X$85,3,0)*Model0.1T!AE48)/1.1</f>
        <v>#N/A</v>
      </c>
      <c r="AH48" s="102" t="e">
        <f t="shared" si="68"/>
        <v>#N/A</v>
      </c>
      <c r="AI48" s="102" t="e">
        <f t="shared" si="69"/>
        <v>#N/A</v>
      </c>
      <c r="AJ48" s="414" t="e">
        <f>IF(AND(AF48&gt;NDC!$C$63,AG48&gt;NDC!$C$65,AH48&gt;NDC!$D$73,AI48&gt;NDC!$D$74,$B48&gt;NDC!$H$22-0.1+MIN(3*$AJ$12,1.5)),0,1)</f>
        <v>#N/A</v>
      </c>
      <c r="AK48" s="86" t="b">
        <f t="shared" si="18"/>
        <v>0</v>
      </c>
      <c r="AL48" s="86">
        <f t="shared" si="70"/>
        <v>0.5</v>
      </c>
      <c r="AM48" s="86">
        <f t="shared" si="19"/>
        <v>0.5</v>
      </c>
      <c r="AN48" s="30" t="e">
        <f t="shared" ca="1" si="71"/>
        <v>#DIV/0!</v>
      </c>
      <c r="AO48" s="85" t="e">
        <f ca="1">IF(U48&lt;=Hypothèses!$V$7,Hypothèses!$W$7,IF(U48&lt;=Hypothèses!$V$8,Hypothèses!$W$8,IF(U48&lt;=Hypothèses!$V$9,Hypothèses!$W$9,IF(U48&lt;=Hypothèses!$V$10,Hypothèses!$W$10,IF(U48&lt;=Hypothèses!$V$11,Hypothèses!$W$11,IF(U48&lt;=Hypothèses!$V$12,Hypothèses!$W$12,IF(U48&lt;=Hypothèses!$V$13,Hypothèses!$W$13,IF(U48&lt;=Hypothèses!$V$14,Hypothèses!$W$14,IF(U48&lt;=Hypothèses!$V$15,Hypothèses!$W$15,IF(U48&lt;=Hypothèses!$V$16,Hypothèses!$W$16,IF(U48&lt;=Hypothèses!$V$17,Hypothèses!$W$17,IF(U48&lt;=Hypothèses!$V$18,Hypothèses!$W$18,""))))))))))))</f>
        <v>#DIV/0!</v>
      </c>
      <c r="AP48" s="87" t="e">
        <f t="shared" ca="1" si="117"/>
        <v>#DIV/0!</v>
      </c>
      <c r="AQ48" s="88" t="e">
        <f ca="1">IF(U48&lt;=Hypothèses!$V$7,Hypothèses!$X$7,IF(U48&lt;=Hypothèses!$V$8,Hypothèses!$X$8,IF(U48&lt;=Hypothèses!$V$9,Hypothèses!$X$9,IF(U48&lt;=Hypothèses!$V$10,Hypothèses!$X$10,IF(U48&lt;=Hypothèses!$V$11,Hypothèses!$X$11,IF(U48&lt;=Hypothèses!$V$12,Hypothèses!$X$12,IF(U48&lt;=Hypothèses!$V$13,Hypothèses!$X$13,IF(U48&lt;=Hypothèses!$V$14,Hypothèses!$X$14,IF(U48&lt;=Hypothèses!$V$15,Hypothèses!$X$15,IF(U48&lt;=Hypothèses!$V$16,Hypothèses!$X$16,IF(U48&lt;=Hypothèses!$U$17,Hypothèses!$W$17,IF(U48&lt;=Hypothèses!$U$18,Hypothèses!$W$18,""))))))))))))</f>
        <v>#DIV/0!</v>
      </c>
      <c r="AR48" s="95" t="e">
        <f t="shared" ca="1" si="72"/>
        <v>#DIV/0!</v>
      </c>
      <c r="AS48" s="101">
        <f t="shared" si="124"/>
        <v>0</v>
      </c>
      <c r="AT48" s="91">
        <f t="shared" si="21"/>
        <v>0</v>
      </c>
      <c r="AU48" s="30" t="e">
        <f t="shared" si="102"/>
        <v>#N/A</v>
      </c>
      <c r="AV48" s="30" t="e">
        <f t="shared" si="103"/>
        <v>#N/A</v>
      </c>
      <c r="AW48" s="31" t="e">
        <f>IF(OR(Hypothèses!$B$4=17,Hypothèses!$B$4=18,Hypothèses!$B$4=19,Hypothèses!$B$4=20),
IF($D48="Pressio.",
IF(OR($E48=3,$E48=1,$E48=4),AV48,AU48),
IF($D48="Pénétro.",
IF(OR($E48=3,$E48=1,$E48=4),AV48,AU48))),IF($D48="Pressio.",
IF($E48=3,AV48,AU48),
IF($D48="Pénétro.",
IF($E48=4,AV48,AU48))))</f>
        <v>#N/A</v>
      </c>
      <c r="AX48" s="31">
        <v>0</v>
      </c>
      <c r="AY48" s="102" t="e">
        <f>IF(NDC!$H$10="Oui",(VLOOKUP($B$3,'Coeff EC7'!$T$39:$X$59,2,0)*AW48+VLOOKUP($B$3,'Coeff EC7'!$T$65:$X$85,2,0)*Model0.1T!AX48)/1.5,PI()*AU$12*$Q48*($B48-$B47)*0.15/10+AY47)</f>
        <v>#N/A</v>
      </c>
      <c r="AZ48" s="102" t="e">
        <f>(VLOOKUP($B$3,'Coeff EC7'!$T$39:$X$59,3,0)*AW48+VLOOKUP($B$3,'Coeff EC7'!$T$65:$X$85,3,0)*Model0.1T!AX48)/1.1</f>
        <v>#N/A</v>
      </c>
      <c r="BA48" s="102" t="e">
        <f t="shared" si="73"/>
        <v>#N/A</v>
      </c>
      <c r="BB48" s="102" t="e">
        <f t="shared" si="74"/>
        <v>#N/A</v>
      </c>
      <c r="BC48" s="414" t="e">
        <f>IF(AND(AY48&gt;NDC!$C$63,AZ48&gt;NDC!$C$65,BA48&gt;NDC!$D$73,BB48&gt;NDC!$D$74,$B48&gt;NDC!$H$22-0.1+MIN(3*BC$12,1.5)),0,1)</f>
        <v>#N/A</v>
      </c>
      <c r="BD48" s="86" t="b">
        <f t="shared" si="24"/>
        <v>0</v>
      </c>
      <c r="BE48" s="86">
        <f t="shared" si="75"/>
        <v>0.5</v>
      </c>
      <c r="BF48" s="86">
        <f t="shared" si="25"/>
        <v>0.5</v>
      </c>
      <c r="BG48" s="30" t="e">
        <f t="shared" ca="1" si="76"/>
        <v>#DIV/0!</v>
      </c>
      <c r="BH48" s="85" t="e">
        <f ca="1">IF(AN48&lt;=Hypothèses!$V$7,Hypothèses!$W$7,IF(AN48&lt;=Hypothèses!$V$8,Hypothèses!$W$8,IF(AN48&lt;=Hypothèses!$V$9,Hypothèses!$W$9,IF(AN48&lt;=Hypothèses!$V$10,Hypothèses!$W$10,IF(AN48&lt;=Hypothèses!$V$11,Hypothèses!$W$11,IF(AN48&lt;=Hypothèses!$V$12,Hypothèses!$W$12,IF(AN48&lt;=Hypothèses!$V$13,Hypothèses!$W$13,IF(AN48&lt;=Hypothèses!$V$14,Hypothèses!$W$14,IF(AN48&lt;=Hypothèses!$V$15,Hypothèses!$W$15,IF(AN48&lt;=Hypothèses!$V$16,Hypothèses!$W$16,IF(AN48&lt;=Hypothèses!$V$17,Hypothèses!$W$17,IF(AN48&lt;=Hypothèses!$V$18,Hypothèses!$W$18,""))))))))))))</f>
        <v>#DIV/0!</v>
      </c>
      <c r="BI48" s="87" t="e">
        <f t="shared" ca="1" si="118"/>
        <v>#DIV/0!</v>
      </c>
      <c r="BJ48" s="88" t="e">
        <f ca="1">IF(AN48&lt;=Hypothèses!$V$7,Hypothèses!$X$7,IF(AN48&lt;=Hypothèses!$V$8,Hypothèses!$X$8,IF(AN48&lt;=Hypothèses!$V$9,Hypothèses!$X$9,IF(AN48&lt;=Hypothèses!$V$10,Hypothèses!$X$10,IF(AN48&lt;=Hypothèses!$V$11,Hypothèses!$X$11,IF(AN48&lt;=Hypothèses!$V$12,Hypothèses!$X$12,IF(AN48&lt;=Hypothèses!$V$13,Hypothèses!$X$13,IF(AN48&lt;=Hypothèses!$V$14,Hypothèses!$X$14,IF(AN48&lt;=Hypothèses!$V$15,Hypothèses!$X$15,IF(AN48&lt;=Hypothèses!$V$16,Hypothèses!$X$16,IF(AN48&lt;=Hypothèses!$U$17,Hypothèses!$W$17,IF(AN48&lt;=Hypothèses!$U$18,Hypothèses!$W$18,""))))))))))))</f>
        <v>#DIV/0!</v>
      </c>
      <c r="BK48" s="95" t="e">
        <f t="shared" ca="1" si="77"/>
        <v>#DIV/0!</v>
      </c>
      <c r="BL48" s="101">
        <f t="shared" si="125"/>
        <v>0</v>
      </c>
      <c r="BM48" s="91">
        <f t="shared" si="27"/>
        <v>0</v>
      </c>
      <c r="BN48" s="30" t="e">
        <f t="shared" si="104"/>
        <v>#N/A</v>
      </c>
      <c r="BO48" s="30" t="e">
        <f t="shared" si="105"/>
        <v>#N/A</v>
      </c>
      <c r="BP48" s="31" t="e">
        <f>IF(OR(Hypothèses!$B$4=17,Hypothèses!$B$4=18,Hypothèses!$B$4=19,Hypothèses!$B$4=20),
IF($D48="Pressio.",
IF(OR($E48=3,$E48=1,$E48=4),BO48,BN48),
IF($D48="Pénétro.",
IF(OR($E48=3,$E48=1,$E48=4),BO48,BN48))),IF($D48="Pressio.",
IF($E48=3,BO48,BN48),
IF($D48="Pénétro.",
IF($E48=4,BO48,BN48))))</f>
        <v>#N/A</v>
      </c>
      <c r="BQ48" s="31">
        <v>0</v>
      </c>
      <c r="BR48" s="102" t="e">
        <f>IF(NDC!$H$10="Oui",(VLOOKUP($B$3,'Coeff EC7'!$T$39:$X$59,2,0)*BP48+VLOOKUP($B$3,'Coeff EC7'!$T$65:$X$85,2,0)*Model0.1T!BQ48)/1.5,PI()*BN$12*$Q48*($B48-$B47)*0.15/10+BR47)</f>
        <v>#N/A</v>
      </c>
      <c r="BS48" s="102" t="e">
        <f>(VLOOKUP($B$3,'Coeff EC7'!$T$39:$X$59,3,0)*BP48+VLOOKUP($B$3,'Coeff EC7'!$T$65:$X$85,3,0)*Model0.1T!BQ48)/1.1</f>
        <v>#N/A</v>
      </c>
      <c r="BT48" s="102" t="e">
        <f t="shared" si="78"/>
        <v>#N/A</v>
      </c>
      <c r="BU48" s="102" t="e">
        <f t="shared" si="79"/>
        <v>#N/A</v>
      </c>
      <c r="BV48" s="414" t="e">
        <f>IF(AND(BR48&gt;NDC!$C$63,BS48&gt;NDC!$C$65,BT48&gt;NDC!$D$73,BU48&gt;NDC!$D$74,$B48&gt;NDC!$H$22-0.1+MIN(3*BV$12,1.5)),0,1)</f>
        <v>#N/A</v>
      </c>
      <c r="BW48" s="86" t="b">
        <f t="shared" si="30"/>
        <v>0</v>
      </c>
      <c r="BX48" s="86">
        <f t="shared" si="31"/>
        <v>0.5</v>
      </c>
      <c r="BY48" s="86">
        <f t="shared" si="32"/>
        <v>0.5</v>
      </c>
      <c r="BZ48" s="30" t="e">
        <f t="shared" ca="1" si="80"/>
        <v>#DIV/0!</v>
      </c>
      <c r="CA48" s="85" t="e">
        <f ca="1">IF(BG48&lt;=Hypothèses!$V$7,Hypothèses!$W$7,IF(BG48&lt;=Hypothèses!$V$8,Hypothèses!$W$8,IF(BG48&lt;=Hypothèses!$V$9,Hypothèses!$W$9,IF(BG48&lt;=Hypothèses!$V$10,Hypothèses!$W$10,IF(BG48&lt;=Hypothèses!$V$11,Hypothèses!$W$11,IF(BG48&lt;=Hypothèses!$V$12,Hypothèses!$W$12,IF(BG48&lt;=Hypothèses!$V$13,Hypothèses!$W$13,IF(BG48&lt;=Hypothèses!$V$14,Hypothèses!$W$14,IF(BG48&lt;=Hypothèses!$V$15,Hypothèses!$W$15,IF(BG48&lt;=Hypothèses!$V$16,Hypothèses!$W$16,IF(BG48&lt;=Hypothèses!$V$17,Hypothèses!$W$17,IF(BG48&lt;=Hypothèses!$V$18,Hypothèses!$W$18,""))))))))))))</f>
        <v>#DIV/0!</v>
      </c>
      <c r="CB48" s="87" t="e">
        <f t="shared" ca="1" si="119"/>
        <v>#DIV/0!</v>
      </c>
      <c r="CC48" s="88" t="e">
        <f ca="1">IF(BG48&lt;=Hypothèses!$V$7,Hypothèses!$X$7,IF(BG48&lt;=Hypothèses!$V$8,Hypothèses!$X$8,IF(BG48&lt;=Hypothèses!$V$9,Hypothèses!$X$9,IF(BG48&lt;=Hypothèses!$V$10,Hypothèses!$X$10,IF(BG48&lt;=Hypothèses!$V$11,Hypothèses!$X$11,IF(BG48&lt;=Hypothèses!$V$12,Hypothèses!$X$12,IF(BG48&lt;=Hypothèses!$V$13,Hypothèses!$X$13,IF(BG48&lt;=Hypothèses!$V$14,Hypothèses!$X$14,IF(BG48&lt;=Hypothèses!$V$15,Hypothèses!$X$15,IF(BG48&lt;=Hypothèses!$V$16,Hypothèses!$X$16,IF(BG48&lt;=Hypothèses!$U$17,Hypothèses!$W$17,IF(BG48&lt;=Hypothèses!$U$18,Hypothèses!$W$18,""))))))))))))</f>
        <v>#DIV/0!</v>
      </c>
      <c r="CD48" s="95" t="e">
        <f t="shared" ca="1" si="81"/>
        <v>#DIV/0!</v>
      </c>
      <c r="CE48" s="101">
        <f t="shared" si="126"/>
        <v>0</v>
      </c>
      <c r="CF48" s="91">
        <f t="shared" si="34"/>
        <v>0</v>
      </c>
      <c r="CG48" s="30" t="e">
        <f t="shared" si="106"/>
        <v>#N/A</v>
      </c>
      <c r="CH48" s="30" t="e">
        <f t="shared" si="107"/>
        <v>#N/A</v>
      </c>
      <c r="CI48" s="31" t="e">
        <f>IF(OR(Hypothèses!$B$4=17,Hypothèses!$B$4=18,Hypothèses!$B$4=19,Hypothèses!$B$4=20),
IF($D48="Pressio.",
IF(OR($E48=3,$E48=1,$E48=4),CH48,CG48),
IF($D48="Pénétro.",
IF(OR($E48=3,$E48=1,$E48=4),CH48,CG48))),IF($D48="Pressio.",
IF($E48=3,CH48,CG48),
IF($D48="Pénétro.",
IF($E48=4,CH48,CG48))))</f>
        <v>#N/A</v>
      </c>
      <c r="CJ48" s="31">
        <v>0</v>
      </c>
      <c r="CK48" s="102" t="e">
        <f>IF(NDC!$H$10="Oui",(VLOOKUP($B$3,'Coeff EC7'!$T$39:$X$59,2,0)*CI48+VLOOKUP($B$3,'Coeff EC7'!$T$65:$X$85,2,0)*Model0.1T!CJ48)/1.5,PI()*CG$12*$Q48*($B48-$B47)*0.15/10+CK47)</f>
        <v>#N/A</v>
      </c>
      <c r="CL48" s="102" t="e">
        <f>(VLOOKUP($B$3,'Coeff EC7'!$T$39:$X$59,3,0)*CI48+VLOOKUP($B$3,'Coeff EC7'!$T$65:$X$85,3,0)*Model0.1T!CJ48)/1.1</f>
        <v>#N/A</v>
      </c>
      <c r="CM48" s="102" t="e">
        <f t="shared" si="82"/>
        <v>#N/A</v>
      </c>
      <c r="CN48" s="102" t="e">
        <f t="shared" si="83"/>
        <v>#N/A</v>
      </c>
      <c r="CO48" s="414" t="e">
        <f>IF(AND(CK48&gt;NDC!$C$63,CL48&gt;NDC!$C$65,CM48&gt;NDC!$D$73,CN48&gt;NDC!$D$74,$B48&gt;NDC!$H$22-0.1+MIN(3*CO$12,1.5)),0,1)</f>
        <v>#N/A</v>
      </c>
      <c r="CP48" s="86" t="b">
        <f t="shared" si="37"/>
        <v>0</v>
      </c>
      <c r="CQ48" s="86">
        <f t="shared" si="38"/>
        <v>0.5</v>
      </c>
      <c r="CR48" s="86">
        <f t="shared" si="39"/>
        <v>0.5</v>
      </c>
      <c r="CS48" s="30" t="e">
        <f t="shared" ca="1" si="84"/>
        <v>#DIV/0!</v>
      </c>
      <c r="CT48" s="85" t="e">
        <f ca="1">IF(BZ48&lt;=Hypothèses!$V$7,Hypothèses!$W$7,IF(BZ48&lt;=Hypothèses!$V$8,Hypothèses!$W$8,IF(BZ48&lt;=Hypothèses!$V$9,Hypothèses!$W$9,IF(BZ48&lt;=Hypothèses!$V$10,Hypothèses!$W$10,IF(BZ48&lt;=Hypothèses!$V$11,Hypothèses!$W$11,IF(BZ48&lt;=Hypothèses!$V$12,Hypothèses!$W$12,IF(BZ48&lt;=Hypothèses!$V$13,Hypothèses!$W$13,IF(BZ48&lt;=Hypothèses!$V$14,Hypothèses!$W$14,IF(BZ48&lt;=Hypothèses!$V$15,Hypothèses!$W$15,IF(BZ48&lt;=Hypothèses!$V$16,Hypothèses!$W$16,IF(BZ48&lt;=Hypothèses!$V$17,Hypothèses!$W$17,IF(BZ48&lt;=Hypothèses!$V$18,Hypothèses!$W$18,""))))))))))))</f>
        <v>#DIV/0!</v>
      </c>
      <c r="CU48" s="87" t="e">
        <f t="shared" ca="1" si="120"/>
        <v>#DIV/0!</v>
      </c>
      <c r="CV48" s="88" t="e">
        <f ca="1">IF(BZ48&lt;=Hypothèses!$V$7,Hypothèses!$X$7,IF(BZ48&lt;=Hypothèses!$V$8,Hypothèses!$X$8,IF(BZ48&lt;=Hypothèses!$V$9,Hypothèses!$X$9,IF(BZ48&lt;=Hypothèses!$V$10,Hypothèses!$X$10,IF(BZ48&lt;=Hypothèses!$V$11,Hypothèses!$X$11,IF(BZ48&lt;=Hypothèses!$V$12,Hypothèses!$X$12,IF(BZ48&lt;=Hypothèses!$V$13,Hypothèses!$X$13,IF(BZ48&lt;=Hypothèses!$V$14,Hypothèses!$X$14,IF(BZ48&lt;=Hypothèses!$V$15,Hypothèses!$X$15,IF(BZ48&lt;=Hypothèses!$V$16,Hypothèses!$X$16,IF(BZ48&lt;=Hypothèses!$U$17,Hypothèses!$W$17,IF(BZ48&lt;=Hypothèses!$U$18,Hypothèses!$W$18,""))))))))))))</f>
        <v>#DIV/0!</v>
      </c>
      <c r="CW48" s="95" t="e">
        <f t="shared" ca="1" si="85"/>
        <v>#DIV/0!</v>
      </c>
      <c r="CX48" s="101">
        <f t="shared" si="127"/>
        <v>0</v>
      </c>
      <c r="CY48" s="91">
        <f t="shared" si="41"/>
        <v>0</v>
      </c>
      <c r="CZ48" s="30" t="e">
        <f t="shared" si="108"/>
        <v>#N/A</v>
      </c>
      <c r="DA48" s="30" t="e">
        <f t="shared" si="109"/>
        <v>#N/A</v>
      </c>
      <c r="DB48" s="31" t="e">
        <f>IF(OR(Hypothèses!$B$4=17,Hypothèses!$B$4=18,Hypothèses!$B$4=19,Hypothèses!$B$4=20),
IF($D48="Pressio.",
IF(OR($E48=3,$E48=1,$E48=4),DA48,CZ48),
IF($D48="Pénétro.",
IF(OR($E48=3,$E48=1,$E48=4),DA48,CZ48))),IF($D48="Pressio.",
IF($E48=3,DA48,CZ48),
IF($D48="Pénétro.",
IF($E48=4,DA48,CZ48))))</f>
        <v>#N/A</v>
      </c>
      <c r="DC48" s="31">
        <v>0</v>
      </c>
      <c r="DD48" s="102" t="e">
        <f>IF(NDC!$H$10="Oui",(VLOOKUP($B$3,'Coeff EC7'!$T$39:$X$59,2,0)*DB48+VLOOKUP($B$3,'Coeff EC7'!$T$65:$X$85,2,0)*Model0.1T!DC48)/1.5,PI()*CZ$12*$Q48*($B48-$B47)*0.15/10+DD47)</f>
        <v>#N/A</v>
      </c>
      <c r="DE48" s="102" t="e">
        <f>(VLOOKUP($B$3,'Coeff EC7'!$T$39:$X$59,3,0)*DB48+VLOOKUP($B$3,'Coeff EC7'!$T$65:$X$85,3,0)*Model0.1T!DC48)/1.1</f>
        <v>#N/A</v>
      </c>
      <c r="DF48" s="102" t="e">
        <f t="shared" si="86"/>
        <v>#N/A</v>
      </c>
      <c r="DG48" s="102" t="e">
        <f t="shared" si="87"/>
        <v>#N/A</v>
      </c>
      <c r="DH48" s="414" t="e">
        <f>IF(AND(DD48&gt;NDC!$C$63,DE48&gt;NDC!$C$65,DF48&gt;NDC!$D$73,DG48&gt;NDC!$D$74,$B48&gt;NDC!$H$22-0.1+MIN(3*DH$12,1.5)),0,1)</f>
        <v>#N/A</v>
      </c>
      <c r="DI48" s="86" t="b">
        <f t="shared" si="44"/>
        <v>0</v>
      </c>
      <c r="DJ48" s="86">
        <f t="shared" si="45"/>
        <v>0.5</v>
      </c>
      <c r="DK48" s="86">
        <f t="shared" si="46"/>
        <v>0.5</v>
      </c>
      <c r="DL48" s="30" t="e">
        <f t="shared" ca="1" si="88"/>
        <v>#DIV/0!</v>
      </c>
      <c r="DM48" s="85" t="e">
        <f ca="1">IF(CS48&lt;=Hypothèses!$V$7,Hypothèses!$W$7,IF(CS48&lt;=Hypothèses!$V$8,Hypothèses!$W$8,IF(CS48&lt;=Hypothèses!$V$9,Hypothèses!$W$9,IF(CS48&lt;=Hypothèses!$V$10,Hypothèses!$W$10,IF(CS48&lt;=Hypothèses!$V$11,Hypothèses!$W$11,IF(CS48&lt;=Hypothèses!$V$12,Hypothèses!$W$12,IF(CS48&lt;=Hypothèses!$V$13,Hypothèses!$W$13,IF(CS48&lt;=Hypothèses!$V$14,Hypothèses!$W$14,IF(CS48&lt;=Hypothèses!$V$15,Hypothèses!$W$15,IF(CS48&lt;=Hypothèses!$V$16,Hypothèses!$W$16,IF(CS48&lt;=Hypothèses!$V$17,Hypothèses!$W$17,IF(CS48&lt;=Hypothèses!$V$18,Hypothèses!$W$18,""))))))))))))</f>
        <v>#DIV/0!</v>
      </c>
      <c r="DN48" s="87" t="e">
        <f t="shared" ca="1" si="121"/>
        <v>#DIV/0!</v>
      </c>
      <c r="DO48" s="88" t="e">
        <f ca="1">IF(CS48&lt;=Hypothèses!$V$7,Hypothèses!$X$7,IF(CS48&lt;=Hypothèses!$V$8,Hypothèses!$X$8,IF(CS48&lt;=Hypothèses!$V$9,Hypothèses!$X$9,IF(CS48&lt;=Hypothèses!$V$10,Hypothèses!$X$10,IF(CS48&lt;=Hypothèses!$V$11,Hypothèses!$X$11,IF(CS48&lt;=Hypothèses!$V$12,Hypothèses!$X$12,IF(CS48&lt;=Hypothèses!$V$13,Hypothèses!$X$13,IF(CS48&lt;=Hypothèses!$V$14,Hypothèses!$X$14,IF(CS48&lt;=Hypothèses!$V$15,Hypothèses!$X$15,IF(CS48&lt;=Hypothèses!$V$16,Hypothèses!$X$16,IF(CS48&lt;=Hypothèses!$U$17,Hypothèses!$W$17,IF(CS48&lt;=Hypothèses!$U$18,Hypothèses!$W$18,""))))))))))))</f>
        <v>#DIV/0!</v>
      </c>
      <c r="DP48" s="95" t="e">
        <f t="shared" ca="1" si="89"/>
        <v>#DIV/0!</v>
      </c>
      <c r="DQ48" s="101">
        <f t="shared" si="128"/>
        <v>0</v>
      </c>
      <c r="DR48" s="91">
        <f t="shared" si="48"/>
        <v>0</v>
      </c>
      <c r="DS48" s="30" t="e">
        <f t="shared" si="110"/>
        <v>#N/A</v>
      </c>
      <c r="DT48" s="30" t="e">
        <f t="shared" si="111"/>
        <v>#N/A</v>
      </c>
      <c r="DU48" s="31" t="e">
        <f>IF(OR(Hypothèses!$B$4=17,Hypothèses!$B$4=18,Hypothèses!$B$4=19,Hypothèses!$B$4=20),
IF($D48="Pressio.",
IF(OR($E48=3,$E48=1,$E48=4),DT48,DS48),
IF($D48="Pénétro.",
IF(OR($E48=3,$E48=1,$E48=4),DT48,DS48))),IF($D48="Pressio.",
IF($E48=3,DT48,DS48),
IF($D48="Pénétro.",
IF($E48=4,DT48,DS48))))</f>
        <v>#N/A</v>
      </c>
      <c r="DV48" s="31">
        <v>0</v>
      </c>
      <c r="DW48" s="102" t="e">
        <f>IF(NDC!$H$10="Oui",(VLOOKUP($B$3,'Coeff EC7'!$T$39:$X$59,2,0)*DU48+VLOOKUP($B$3,'Coeff EC7'!$T$65:$X$85,2,0)*Model0.1T!DV48)/1.5,PI()*DS$12*$Q48*($B48-$B47)*0.15/10+DW47)</f>
        <v>#N/A</v>
      </c>
      <c r="DX48" s="102" t="e">
        <f>(VLOOKUP($B$3,'Coeff EC7'!$T$39:$X$59,3,0)*DU48+VLOOKUP($B$3,'Coeff EC7'!$T$65:$X$85,3,0)*Model0.1T!DV48)/1.1</f>
        <v>#N/A</v>
      </c>
      <c r="DY48" s="102" t="e">
        <f t="shared" si="90"/>
        <v>#N/A</v>
      </c>
      <c r="DZ48" s="102" t="e">
        <f t="shared" si="91"/>
        <v>#N/A</v>
      </c>
      <c r="EA48" s="414" t="e">
        <f>IF(AND(DW48&gt;NDC!$C$63,DX48&gt;NDC!$C$65,DY48&gt;NDC!$D$73,DZ48&gt;NDC!$D$74,$B48&gt;NDC!$H$22-0.1+MIN(3*EA$12,1.5)),0,1)</f>
        <v>#N/A</v>
      </c>
      <c r="EB48" s="86" t="b">
        <f t="shared" si="51"/>
        <v>0</v>
      </c>
      <c r="EC48" s="418">
        <f t="shared" si="52"/>
        <v>0.51</v>
      </c>
      <c r="ED48" s="86">
        <f t="shared" si="53"/>
        <v>0.51</v>
      </c>
      <c r="EE48" s="30" t="e">
        <f t="shared" ca="1" si="92"/>
        <v>#DIV/0!</v>
      </c>
      <c r="EF48" s="85" t="e">
        <f ca="1">IF(DL48&lt;=Hypothèses!$V$7,Hypothèses!$W$7,IF(DL48&lt;=Hypothèses!$V$8,Hypothèses!$W$8,IF(DL48&lt;=Hypothèses!$V$9,Hypothèses!$W$9,IF(DL48&lt;=Hypothèses!$V$10,Hypothèses!$W$10,IF(DL48&lt;=Hypothèses!$V$11,Hypothèses!$W$11,IF(DL48&lt;=Hypothèses!$V$12,Hypothèses!$W$12,IF(DL48&lt;=Hypothèses!$V$13,Hypothèses!$W$13,IF(DL48&lt;=Hypothèses!$V$14,Hypothèses!$W$14,IF(DL48&lt;=Hypothèses!$V$15,Hypothèses!$W$15,IF(DL48&lt;=Hypothèses!$V$16,Hypothèses!$W$16,IF(DL48&lt;=Hypothèses!$V$17,Hypothèses!$W$17,IF(DL48&lt;=Hypothèses!$V$18,Hypothèses!$W$18,""))))))))))))</f>
        <v>#DIV/0!</v>
      </c>
      <c r="EG48" s="87" t="e">
        <f t="shared" ca="1" si="122"/>
        <v>#DIV/0!</v>
      </c>
      <c r="EH48" s="88" t="e">
        <f ca="1">IF(DL48&lt;=Hypothèses!$V$7,Hypothèses!$X$7,IF(DL48&lt;=Hypothèses!$V$8,Hypothèses!$X$8,IF(DL48&lt;=Hypothèses!$V$9,Hypothèses!$X$9,IF(DL48&lt;=Hypothèses!$V$10,Hypothèses!$X$10,IF(DL48&lt;=Hypothèses!$V$11,Hypothèses!$X$11,IF(DL48&lt;=Hypothèses!$V$12,Hypothèses!$X$12,IF(DL48&lt;=Hypothèses!$V$13,Hypothèses!$X$13,IF(DL48&lt;=Hypothèses!$V$14,Hypothèses!$X$14,IF(DL48&lt;=Hypothèses!$V$15,Hypothèses!$X$15,IF(DL48&lt;=Hypothèses!$V$16,Hypothèses!$X$16,IF(DL48&lt;=Hypothèses!$U$17,Hypothèses!$W$17,IF(DL48&lt;=Hypothèses!$U$18,Hypothèses!$W$18,""))))))))))))</f>
        <v>#DIV/0!</v>
      </c>
      <c r="EI48" s="95" t="e">
        <f t="shared" ca="1" si="93"/>
        <v>#DIV/0!</v>
      </c>
      <c r="EJ48" s="101">
        <f t="shared" si="129"/>
        <v>0</v>
      </c>
      <c r="EK48" s="91">
        <f t="shared" si="55"/>
        <v>0</v>
      </c>
      <c r="EL48" s="30" t="e">
        <f t="shared" si="112"/>
        <v>#N/A</v>
      </c>
      <c r="EM48" s="30" t="e">
        <f t="shared" si="113"/>
        <v>#N/A</v>
      </c>
      <c r="EN48" s="31" t="e">
        <f>IF(OR(Hypothèses!$B$4=17,Hypothèses!$B$4=18,Hypothèses!$B$4=19,Hypothèses!$B$4=20),
IF($D48="Pressio.",
IF(OR($E48=3,$E48=1,$E48=4),EM48,EL48),
IF($D48="Pénétro.",
IF(OR($E48=3,$E48=1,$E48=4),EM48,EL48))),IF($D48="Pressio.",
IF($E48=3,EM48,EL48),
IF($D48="Pénétro.",
IF($E48=4,EM48,EL48))))</f>
        <v>#N/A</v>
      </c>
      <c r="EO48" s="31">
        <v>0</v>
      </c>
      <c r="EP48" s="102" t="e">
        <f>IF(NDC!$H$10="Oui",(VLOOKUP($B$3,'Coeff EC7'!$T$39:$X$59,2,0)*EN48+VLOOKUP($B$3,'Coeff EC7'!$T$65:$X$85,2,0)*Model0.1T!EO48)/1.5,PI()*EL$12*$Q48*($B48-$B47)*0.15/10+EP47)</f>
        <v>#N/A</v>
      </c>
      <c r="EQ48" s="102" t="e">
        <f>(VLOOKUP($B$3,'Coeff EC7'!$T$39:$X$59,3,0)*EN48+VLOOKUP($B$3,'Coeff EC7'!$T$65:$X$85,3,0)*Model0.1T!EO48)/1.1</f>
        <v>#N/A</v>
      </c>
      <c r="ER48" s="102" t="e">
        <f t="shared" si="94"/>
        <v>#N/A</v>
      </c>
      <c r="ES48" s="102" t="e">
        <f t="shared" si="95"/>
        <v>#N/A</v>
      </c>
      <c r="ET48" s="414" t="e">
        <f>IF(AND(EP48&gt;NDC!$C$63,EQ48&gt;NDC!$C$65,ER48&gt;NDC!$D$73,ES48&gt;NDC!$D$74,$B48&gt;NDC!$H$22-0.1+MIN(3*ET$12,1.5)),0,1)</f>
        <v>#N/A</v>
      </c>
      <c r="EU48" s="86" t="b">
        <f t="shared" si="58"/>
        <v>0</v>
      </c>
      <c r="EV48" s="86">
        <f t="shared" si="59"/>
        <v>0.61</v>
      </c>
      <c r="EW48" s="86">
        <f t="shared" si="60"/>
        <v>0.61</v>
      </c>
      <c r="EX48" s="30" t="e">
        <f t="shared" ca="1" si="96"/>
        <v>#DIV/0!</v>
      </c>
      <c r="EY48" s="85" t="e">
        <f ca="1">IF(EE48&lt;=Hypothèses!$V$7,Hypothèses!$W$7,IF(EE48&lt;=Hypothèses!$V$8,Hypothèses!$W$8,IF(EE48&lt;=Hypothèses!$V$9,Hypothèses!$W$9,IF(EE48&lt;=Hypothèses!$V$10,Hypothèses!$W$10,IF(EE48&lt;=Hypothèses!$V$11,Hypothèses!$W$11,IF(EE48&lt;=Hypothèses!$V$12,Hypothèses!$W$12,IF(EE48&lt;=Hypothèses!$V$13,Hypothèses!$W$13,IF(EE48&lt;=Hypothèses!$V$14,Hypothèses!$W$14,IF(EE48&lt;=Hypothèses!$V$15,Hypothèses!$W$15,IF(EE48&lt;=Hypothèses!$V$16,Hypothèses!$W$16,IF(EE48&lt;=Hypothèses!$V$17,Hypothèses!$W$17,IF(EE48&lt;=Hypothèses!$V$18,Hypothèses!$W$18,""))))))))))))</f>
        <v>#DIV/0!</v>
      </c>
      <c r="EZ48" s="87" t="e">
        <f t="shared" ca="1" si="123"/>
        <v>#DIV/0!</v>
      </c>
      <c r="FA48" s="88" t="e">
        <f ca="1">IF(EE48&lt;=Hypothèses!$V$7,Hypothèses!$X$7,IF(EE48&lt;=Hypothèses!$V$8,Hypothèses!$X$8,IF(EE48&lt;=Hypothèses!$V$9,Hypothèses!$X$9,IF(EE48&lt;=Hypothèses!$V$10,Hypothèses!$X$10,IF(EE48&lt;=Hypothèses!$V$11,Hypothèses!$X$11,IF(EE48&lt;=Hypothèses!$V$12,Hypothèses!$X$12,IF(EE48&lt;=Hypothèses!$V$13,Hypothèses!$X$13,IF(EE48&lt;=Hypothèses!$V$14,Hypothèses!$X$14,IF(EE48&lt;=Hypothèses!$V$15,Hypothèses!$X$15,IF(EE48&lt;=Hypothèses!$V$16,Hypothèses!$X$16,IF(EE48&lt;=Hypothèses!$U$17,Hypothèses!$W$17,IF(EE48&lt;=Hypothèses!$U$18,Hypothèses!$W$18,""))))))))))))</f>
        <v>#DIV/0!</v>
      </c>
      <c r="FB48" s="95" t="e">
        <f t="shared" ca="1" si="97"/>
        <v>#DIV/0!</v>
      </c>
      <c r="FC48" s="101">
        <f t="shared" si="130"/>
        <v>0</v>
      </c>
      <c r="FD48" s="91">
        <f t="shared" si="62"/>
        <v>0</v>
      </c>
      <c r="FE48" s="30" t="e">
        <f t="shared" si="114"/>
        <v>#N/A</v>
      </c>
      <c r="FF48" s="30" t="e">
        <f t="shared" si="115"/>
        <v>#N/A</v>
      </c>
      <c r="FG48" s="31" t="e">
        <f>IF(OR(Hypothèses!$B$4=17,Hypothèses!$B$4=18,Hypothèses!$B$4=19,Hypothèses!$B$4=20),
IF($D48="Pressio.",
IF(OR($E48=3,$E48=1,$E48=4),FF48,FE48),
IF($D48="Pénétro.",
IF(OR($E48=3,$E48=1,$E48=4),FF48,FE48))),IF($D48="Pressio.",
IF($E48=3,FF48,FE48),
IF($D48="Pénétro.",
IF($E48=4,FF48,FE48))))</f>
        <v>#N/A</v>
      </c>
      <c r="FH48" s="31">
        <v>0</v>
      </c>
      <c r="FI48" s="102" t="e">
        <f>IF(NDC!$H$10="Oui",(VLOOKUP($B$3,'Coeff EC7'!$T$39:$X$59,2,0)*FG48+VLOOKUP($B$3,'Coeff EC7'!$T$65:$X$85,2,0)*Model0.1T!FH48)/1.5,PI()*FE$12*$Q48*($B48-$B47)*0.15/10+FI47)</f>
        <v>#N/A</v>
      </c>
      <c r="FJ48" s="102" t="e">
        <f>(VLOOKUP($B$3,'Coeff EC7'!$T$39:$X$59,3,0)*FG48+VLOOKUP($B$3,'Coeff EC7'!$T$65:$X$85,3,0)*Model0.1T!FH48)/1.1</f>
        <v>#N/A</v>
      </c>
      <c r="FK48" s="102" t="e">
        <f t="shared" si="98"/>
        <v>#N/A</v>
      </c>
      <c r="FL48" s="102" t="e">
        <f t="shared" si="99"/>
        <v>#N/A</v>
      </c>
      <c r="FM48" s="414" t="e">
        <f>IF(AND(FI48&gt;NDC!$C$63,FJ48&gt;NDC!$C$65,FK48&gt;NDC!$D$73,FL48&gt;NDC!$D$74,$B48&gt;NDC!$H$22-0.1+MIN(3*FM$12,1.5)),0,1)</f>
        <v>#N/A</v>
      </c>
    </row>
    <row r="49" spans="1:169">
      <c r="A49" s="96">
        <f t="shared" si="65"/>
        <v>96.400000000000205</v>
      </c>
      <c r="B49" s="97">
        <v>3.6</v>
      </c>
      <c r="C49" s="81">
        <f>IF(B49&lt;=Hypothèses!$C$7,Hypothèses!$A$7,IF(B49&lt;=Hypothèses!$C$8,Hypothèses!$A$8,IF(B49&lt;=Hypothèses!$C$9,Hypothèses!$A$9,IF(B49&lt;=Hypothèses!$C$10,Hypothèses!$A$10,IF(B49&lt;=Hypothèses!$C$11,Hypothèses!$A$11,IF(B49&lt;=Hypothèses!$C$12,Hypothèses!$A$12,IF(B49&lt;=Hypothèses!$C$13,Hypothèses!$A$13,IF(B49&lt;=Hypothèses!$C$14,Hypothèses!$A$14,IF(B49&lt;=Hypothèses!$C$15,Hypothèses!$A$15,IF(B49&lt;=Hypothèses!$C$16,Hypothèses!$A$16,IF(B49&lt;=Hypothèses!$C$17,Hypothèses!$A$17,IF(B49&lt;=Hypothèses!$C$18,Hypothèses!$A$18,C48))))))))))))</f>
        <v>11</v>
      </c>
      <c r="D49" s="82" t="str">
        <f>IF(B49&lt;=Hypothèses!$C$7,Hypothèses!$R$7,IF(B49&lt;=Hypothèses!$C$8,Hypothèses!$R$8,IF(B49&lt;=Hypothèses!$C$9,Hypothèses!$R$9,IF(B49&lt;=Hypothèses!$C$10,Hypothèses!$R$10,IF(B49&lt;=Hypothèses!$C$11,Hypothèses!$R$11,IF(B49&lt;=Hypothèses!$C$12,Hypothèses!$R$12,IF(B49&lt;=Hypothèses!$C$13,Hypothèses!$R$13,IF(B49&lt;=Hypothèses!$C$14,Hypothèses!$R$14,IF(B49&lt;=Hypothèses!$C$15,Hypothèses!$R$15,IF(B49&lt;=Hypothèses!$C$16,Hypothèses!$R$16,IF(B49&lt;=Hypothèses!$C$17,Hypothèses!$R$17,IF(B49&lt;=Hypothèses!$C$18,Hypothèses!$R$18,D48))))))))))))</f>
        <v>Pressio.</v>
      </c>
      <c r="E49" s="82" t="e">
        <f>IF(B49&lt;=Hypothèses!$C$7,Hypothèses!$G$7,IF(B49&lt;=Hypothèses!$C$8,Hypothèses!$G$8,IF(B49&lt;=Hypothèses!$C$9,Hypothèses!$G$9,IF(B49&lt;=Hypothèses!$C$10,Hypothèses!$G$10,IF(B49&lt;=Hypothèses!$C$11,Hypothèses!$G$11,IF(B49&lt;=Hypothèses!$C$12,Hypothèses!$G$12,IF(B49&lt;=Hypothèses!$C$13,Hypothèses!$G$13,IF(B49&lt;=Hypothèses!$C$14,Hypothèses!$G$14,IF(B49&lt;=Hypothèses!$C$15,Hypothèses!$G$15,IF(B49&lt;=Hypothèses!$C$16,Hypothèses!$G$16,IF(B49&lt;=Hypothèses!$C$17,Hypothèses!$G$17,IF(B49&lt;=Hypothèses!$C$18,Hypothèses!$G$18,E48))))))))))))</f>
        <v>#N/A</v>
      </c>
      <c r="F49" s="82" t="str">
        <f>IF(B49&lt;=Hypothèses!$C$7,Hypothèses!$F$7,IF(B49&lt;=Hypothèses!$C$8,Hypothèses!$F$8,IF(B49&lt;=Hypothèses!$C$9,Hypothèses!$F$9,IF(B49&lt;=Hypothèses!$C$10,Hypothèses!$F$10,IF(B49&lt;=Hypothèses!$C$11,Hypothèses!$F$11,IF(B49&lt;=Hypothèses!$C$12,Hypothèses!$F$12,IF(B49&lt;=Hypothèses!$C$13,Hypothèses!$F$13,IF(B49&lt;=Hypothèses!$C$14,Hypothèses!$F$14,IF(B49&lt;=Hypothèses!$C$15,Hypothèses!$F$15,IF(B49&lt;=Hypothèses!$C$16,Hypothèses!$F$16,IF(B49&lt;=Hypothèses!$C$17,Hypothèses!$F$17,IF(B49&lt;=Hypothèses!$C$18,Hypothèses!$F$18,F48))))))))))))</f>
        <v/>
      </c>
      <c r="G49" s="91">
        <f t="array" ref="G49">INDEX('Coeff EC7'!$U$7:$X$27,
MATCH(Model0.1T!$B$3,'Coeff EC7'!$T$7:$T$27,0),
MATCH(Model0.1T!$D49&amp;Model0.1T!$B$4,
'Coeff EC7'!$U$6:$X$6&amp;
'Coeff EC7'!$U$5:$X$5,0))</f>
        <v>1.4</v>
      </c>
      <c r="H49" s="91">
        <f t="array" ref="H49">INDEX('Coeff EC7'!$Y$7:$AB$27,
MATCH(Model0.1T!$B$3,'Coeff EC7'!$T$7:$T$27,0),
MATCH(Model0.1T!$D49&amp;Model0.1T!$B$4,
'Coeff EC7'!$Y$6:$AB$6&amp;
'Coeff EC7'!$Y$5:$AB$5,0))</f>
        <v>1.7</v>
      </c>
      <c r="I49" s="83">
        <v>0</v>
      </c>
      <c r="J49" s="91" t="e">
        <f t="array" ref="J49">INDEX('Coeff EC7'!$D$33:$Q$33,1,MATCH(D49&amp;E49,'Coeff EC7'!$D$31:$Q$31&amp;'Coeff EC7'!$D$32:$Q$32,0))</f>
        <v>#N/A</v>
      </c>
      <c r="K49" s="91" t="e">
        <f t="array" ref="K49">INDEX('Coeff EC7'!$D$34:$Q$34,1,MATCH(D49&amp;E49,'Coeff EC7'!$D$31:$Q$31&amp;'Coeff EC7'!$D$32:$Q$32,0))</f>
        <v>#N/A</v>
      </c>
      <c r="L49" s="91" t="e">
        <f t="array" ref="L49">INDEX('Coeff EC7'!$D$35:$Q$35,1,MATCH(D49&amp;E49,'Coeff EC7'!$D$31:$Q$31&amp;'Coeff EC7'!$D$32:$Q$32,0))</f>
        <v>#N/A</v>
      </c>
      <c r="M49" s="98" t="e">
        <f t="shared" si="8"/>
        <v>#N/A</v>
      </c>
      <c r="N49" s="99" t="e">
        <f t="array" ref="N49">INDEX('Coeff EC7'!$D$7:$Q$27,MATCH($B$3,'Coeff EC7'!$C$7:$C$27,0),MATCH(D49&amp;E49,'Coeff EC7'!$D$5:$Q$5&amp;'Coeff EC7'!$D$6:$Q$6,0))</f>
        <v>#N/A</v>
      </c>
      <c r="O49" s="99" t="e">
        <f t="array" ref="O49">INDEX('Coeff EC7'!$D$41:$Q$61,MATCH($B$3,'Coeff EC7'!$C$41:$C$61,0),MATCH(D49&amp;E49,'Coeff EC7'!$D$39:$Q$39&amp;'Coeff EC7'!$D$40:$Q$40,0))</f>
        <v>#N/A</v>
      </c>
      <c r="P49" s="30" t="e">
        <f t="shared" si="66"/>
        <v>#N/A</v>
      </c>
      <c r="Q49" s="100" t="e">
        <f t="shared" si="10"/>
        <v>#N/A</v>
      </c>
      <c r="R49" s="86" t="b">
        <f t="shared" si="11"/>
        <v>0</v>
      </c>
      <c r="S49" s="86">
        <f t="shared" si="9"/>
        <v>0.5</v>
      </c>
      <c r="T49" s="86">
        <f t="shared" si="12"/>
        <v>0.5</v>
      </c>
      <c r="U49" s="30" t="e">
        <f t="shared" ca="1" si="67"/>
        <v>#DIV/0!</v>
      </c>
      <c r="V49" s="85" t="str">
        <f>IF(B49&lt;=Hypothèses!$V$7,Hypothèses!$W$7,IF(B49&lt;=Hypothèses!$V$8,Hypothèses!$W$8,IF(B49&lt;=Hypothèses!$V$9,Hypothèses!$W$9,IF(B49&lt;=Hypothèses!$V$10,Hypothèses!$W$10,IF(B49&lt;=Hypothèses!$V$11,Hypothèses!$W$11,IF(B49&lt;=Hypothèses!$V$12,Hypothèses!$W$12,IF(B49&lt;=Hypothèses!$V$13,Hypothèses!$W$13,IF(B49&lt;=Hypothèses!$V$14,Hypothèses!$W$14,IF(B49&lt;=Hypothèses!$V$15,Hypothèses!$W$15,IF(B49&lt;=Hypothèses!$V$16,Hypothèses!$W$16,IF(B49&lt;=Hypothèses!$V$17,Hypothèses!$W$17,IF(B49&lt;=Hypothèses!$V$18,Hypothèses!$W$18,""))))))))))))</f>
        <v/>
      </c>
      <c r="W49" s="87" t="e">
        <f t="shared" ca="1" si="116"/>
        <v>#DIV/0!</v>
      </c>
      <c r="X49" s="88" t="str">
        <f>IF(B49&lt;=Hypothèses!$V$7,Hypothèses!$X$7,IF(B49&lt;=Hypothèses!$V$8,Hypothèses!$X$8,IF(B49&lt;=Hypothèses!$V$9,Hypothèses!$X$9,IF(B49&lt;=Hypothèses!$V$10,Hypothèses!$X$10,IF(B49&lt;=Hypothèses!$V$11,Hypothèses!$X$11,IF(B49&lt;=Hypothèses!$V$12,Hypothèses!$X$12,IF(B49&lt;=Hypothèses!$V$13,Hypothèses!$X$13,IF(B49&lt;=Hypothèses!$V$14,Hypothèses!$X$14,IF(B49&lt;=Hypothèses!$V$15,Hypothèses!$X$15,IF(B49&lt;=Hypothèses!$V$16,Hypothèses!$X$16,IF(B49&lt;=Hypothèses!$U$17,Hypothèses!$W$17,IF(B49&lt;=Hypothèses!$U$18,Hypothèses!$W$18,""))))))))))))</f>
        <v/>
      </c>
      <c r="Y49" s="95" t="e">
        <f t="shared" ca="1" si="13"/>
        <v>#DIV/0!</v>
      </c>
      <c r="Z49" s="101">
        <f t="shared" si="14"/>
        <v>0</v>
      </c>
      <c r="AA49" s="91">
        <f t="shared" si="15"/>
        <v>0</v>
      </c>
      <c r="AB49" s="30" t="e">
        <f t="shared" si="100"/>
        <v>#N/A</v>
      </c>
      <c r="AC49" s="30" t="e">
        <f t="shared" si="101"/>
        <v>#N/A</v>
      </c>
      <c r="AD49" s="31" t="e">
        <f>IF(OR(Hypothèses!$B$4=17,Hypothèses!$B$4=18,Hypothèses!$B$4=19,Hypothèses!$B$4=20),
IF($D49="Pressio.",
IF(OR($E49=3,$E49=1,$E49=4),AC49,AB49),
IF($D49="Pénétro.",
IF(OR($E49=3,$E49=1,$E49=4),AC49,AB49))),IF($D49="Pressio.",
IF($E49=3,AC49,AB49),
IF($D49="Pénétro.",
IF($E49=4,AC49,AB49))))</f>
        <v>#N/A</v>
      </c>
      <c r="AE49" s="31">
        <v>0</v>
      </c>
      <c r="AF49" s="102" t="e">
        <f>IF(NDC!$H$10="Oui",(VLOOKUP($B$3,'Coeff EC7'!$T$39:$X$59,2,0)*AD49+VLOOKUP($B$3,'Coeff EC7'!$T$65:$X$85,2,0)*Model0.1T!AE49)/1.5,PI()*AB$12*$Q49*($B49-$B48)*0.15/10+AF48)</f>
        <v>#N/A</v>
      </c>
      <c r="AG49" s="102" t="e">
        <f>(VLOOKUP($B$3,'Coeff EC7'!$T$39:$X$59,3,0)*AD49+VLOOKUP($B$3,'Coeff EC7'!$T$65:$X$85,3,0)*Model0.1T!AE49)/1.1</f>
        <v>#N/A</v>
      </c>
      <c r="AH49" s="102" t="e">
        <f t="shared" si="68"/>
        <v>#N/A</v>
      </c>
      <c r="AI49" s="102" t="e">
        <f t="shared" si="69"/>
        <v>#N/A</v>
      </c>
      <c r="AJ49" s="414" t="e">
        <f>IF(AND(AF49&gt;NDC!$C$63,AG49&gt;NDC!$C$65,AH49&gt;NDC!$D$73,AI49&gt;NDC!$D$74,$B49&gt;NDC!$H$22-0.1+MIN(3*$AJ$12,1.5)),0,1)</f>
        <v>#N/A</v>
      </c>
      <c r="AK49" s="86" t="b">
        <f t="shared" si="18"/>
        <v>0</v>
      </c>
      <c r="AL49" s="86">
        <f t="shared" si="70"/>
        <v>0.5</v>
      </c>
      <c r="AM49" s="86">
        <f t="shared" si="19"/>
        <v>0.5</v>
      </c>
      <c r="AN49" s="30" t="e">
        <f t="shared" ca="1" si="71"/>
        <v>#DIV/0!</v>
      </c>
      <c r="AO49" s="85" t="e">
        <f ca="1">IF(U49&lt;=Hypothèses!$V$7,Hypothèses!$W$7,IF(U49&lt;=Hypothèses!$V$8,Hypothèses!$W$8,IF(U49&lt;=Hypothèses!$V$9,Hypothèses!$W$9,IF(U49&lt;=Hypothèses!$V$10,Hypothèses!$W$10,IF(U49&lt;=Hypothèses!$V$11,Hypothèses!$W$11,IF(U49&lt;=Hypothèses!$V$12,Hypothèses!$W$12,IF(U49&lt;=Hypothèses!$V$13,Hypothèses!$W$13,IF(U49&lt;=Hypothèses!$V$14,Hypothèses!$W$14,IF(U49&lt;=Hypothèses!$V$15,Hypothèses!$W$15,IF(U49&lt;=Hypothèses!$V$16,Hypothèses!$W$16,IF(U49&lt;=Hypothèses!$V$17,Hypothèses!$W$17,IF(U49&lt;=Hypothèses!$V$18,Hypothèses!$W$18,""))))))))))))</f>
        <v>#DIV/0!</v>
      </c>
      <c r="AP49" s="87" t="e">
        <f t="shared" ca="1" si="117"/>
        <v>#DIV/0!</v>
      </c>
      <c r="AQ49" s="88" t="e">
        <f ca="1">IF(U49&lt;=Hypothèses!$V$7,Hypothèses!$X$7,IF(U49&lt;=Hypothèses!$V$8,Hypothèses!$X$8,IF(U49&lt;=Hypothèses!$V$9,Hypothèses!$X$9,IF(U49&lt;=Hypothèses!$V$10,Hypothèses!$X$10,IF(U49&lt;=Hypothèses!$V$11,Hypothèses!$X$11,IF(U49&lt;=Hypothèses!$V$12,Hypothèses!$X$12,IF(U49&lt;=Hypothèses!$V$13,Hypothèses!$X$13,IF(U49&lt;=Hypothèses!$V$14,Hypothèses!$X$14,IF(U49&lt;=Hypothèses!$V$15,Hypothèses!$X$15,IF(U49&lt;=Hypothèses!$V$16,Hypothèses!$X$16,IF(U49&lt;=Hypothèses!$U$17,Hypothèses!$W$17,IF(U49&lt;=Hypothèses!$U$18,Hypothèses!$W$18,""))))))))))))</f>
        <v>#DIV/0!</v>
      </c>
      <c r="AR49" s="95" t="e">
        <f t="shared" ca="1" si="72"/>
        <v>#DIV/0!</v>
      </c>
      <c r="AS49" s="101">
        <f t="shared" si="124"/>
        <v>0</v>
      </c>
      <c r="AT49" s="91">
        <f t="shared" si="21"/>
        <v>0</v>
      </c>
      <c r="AU49" s="30" t="e">
        <f t="shared" si="102"/>
        <v>#N/A</v>
      </c>
      <c r="AV49" s="30" t="e">
        <f t="shared" si="103"/>
        <v>#N/A</v>
      </c>
      <c r="AW49" s="31" t="e">
        <f>IF(OR(Hypothèses!$B$4=17,Hypothèses!$B$4=18,Hypothèses!$B$4=19,Hypothèses!$B$4=20),
IF($D49="Pressio.",
IF(OR($E49=3,$E49=1,$E49=4),AV49,AU49),
IF($D49="Pénétro.",
IF(OR($E49=3,$E49=1,$E49=4),AV49,AU49))),IF($D49="Pressio.",
IF($E49=3,AV49,AU49),
IF($D49="Pénétro.",
IF($E49=4,AV49,AU49))))</f>
        <v>#N/A</v>
      </c>
      <c r="AX49" s="31">
        <v>0</v>
      </c>
      <c r="AY49" s="102" t="e">
        <f>IF(NDC!$H$10="Oui",(VLOOKUP($B$3,'Coeff EC7'!$T$39:$X$59,2,0)*AW49+VLOOKUP($B$3,'Coeff EC7'!$T$65:$X$85,2,0)*Model0.1T!AX49)/1.5,PI()*AU$12*$Q49*($B49-$B48)*0.15/10+AY48)</f>
        <v>#N/A</v>
      </c>
      <c r="AZ49" s="102" t="e">
        <f>(VLOOKUP($B$3,'Coeff EC7'!$T$39:$X$59,3,0)*AW49+VLOOKUP($B$3,'Coeff EC7'!$T$65:$X$85,3,0)*Model0.1T!AX49)/1.1</f>
        <v>#N/A</v>
      </c>
      <c r="BA49" s="102" t="e">
        <f t="shared" si="73"/>
        <v>#N/A</v>
      </c>
      <c r="BB49" s="102" t="e">
        <f t="shared" si="74"/>
        <v>#N/A</v>
      </c>
      <c r="BC49" s="414" t="e">
        <f>IF(AND(AY49&gt;NDC!$C$63,AZ49&gt;NDC!$C$65,BA49&gt;NDC!$D$73,BB49&gt;NDC!$D$74,$B49&gt;NDC!$H$22-0.1+MIN(3*BC$12,1.5)),0,1)</f>
        <v>#N/A</v>
      </c>
      <c r="BD49" s="86" t="b">
        <f t="shared" si="24"/>
        <v>0</v>
      </c>
      <c r="BE49" s="86">
        <f t="shared" si="75"/>
        <v>0.5</v>
      </c>
      <c r="BF49" s="86">
        <f t="shared" si="25"/>
        <v>0.5</v>
      </c>
      <c r="BG49" s="30" t="e">
        <f t="shared" ca="1" si="76"/>
        <v>#DIV/0!</v>
      </c>
      <c r="BH49" s="85" t="e">
        <f ca="1">IF(AN49&lt;=Hypothèses!$V$7,Hypothèses!$W$7,IF(AN49&lt;=Hypothèses!$V$8,Hypothèses!$W$8,IF(AN49&lt;=Hypothèses!$V$9,Hypothèses!$W$9,IF(AN49&lt;=Hypothèses!$V$10,Hypothèses!$W$10,IF(AN49&lt;=Hypothèses!$V$11,Hypothèses!$W$11,IF(AN49&lt;=Hypothèses!$V$12,Hypothèses!$W$12,IF(AN49&lt;=Hypothèses!$V$13,Hypothèses!$W$13,IF(AN49&lt;=Hypothèses!$V$14,Hypothèses!$W$14,IF(AN49&lt;=Hypothèses!$V$15,Hypothèses!$W$15,IF(AN49&lt;=Hypothèses!$V$16,Hypothèses!$W$16,IF(AN49&lt;=Hypothèses!$V$17,Hypothèses!$W$17,IF(AN49&lt;=Hypothèses!$V$18,Hypothèses!$W$18,""))))))))))))</f>
        <v>#DIV/0!</v>
      </c>
      <c r="BI49" s="87" t="e">
        <f t="shared" ca="1" si="118"/>
        <v>#DIV/0!</v>
      </c>
      <c r="BJ49" s="88" t="e">
        <f ca="1">IF(AN49&lt;=Hypothèses!$V$7,Hypothèses!$X$7,IF(AN49&lt;=Hypothèses!$V$8,Hypothèses!$X$8,IF(AN49&lt;=Hypothèses!$V$9,Hypothèses!$X$9,IF(AN49&lt;=Hypothèses!$V$10,Hypothèses!$X$10,IF(AN49&lt;=Hypothèses!$V$11,Hypothèses!$X$11,IF(AN49&lt;=Hypothèses!$V$12,Hypothèses!$X$12,IF(AN49&lt;=Hypothèses!$V$13,Hypothèses!$X$13,IF(AN49&lt;=Hypothèses!$V$14,Hypothèses!$X$14,IF(AN49&lt;=Hypothèses!$V$15,Hypothèses!$X$15,IF(AN49&lt;=Hypothèses!$V$16,Hypothèses!$X$16,IF(AN49&lt;=Hypothèses!$U$17,Hypothèses!$W$17,IF(AN49&lt;=Hypothèses!$U$18,Hypothèses!$W$18,""))))))))))))</f>
        <v>#DIV/0!</v>
      </c>
      <c r="BK49" s="95" t="e">
        <f t="shared" ca="1" si="77"/>
        <v>#DIV/0!</v>
      </c>
      <c r="BL49" s="101">
        <f t="shared" si="125"/>
        <v>0</v>
      </c>
      <c r="BM49" s="91">
        <f t="shared" si="27"/>
        <v>0</v>
      </c>
      <c r="BN49" s="30" t="e">
        <f t="shared" si="104"/>
        <v>#N/A</v>
      </c>
      <c r="BO49" s="30" t="e">
        <f t="shared" si="105"/>
        <v>#N/A</v>
      </c>
      <c r="BP49" s="31" t="e">
        <f>IF(OR(Hypothèses!$B$4=17,Hypothèses!$B$4=18,Hypothèses!$B$4=19,Hypothèses!$B$4=20),
IF($D49="Pressio.",
IF(OR($E49=3,$E49=1,$E49=4),BO49,BN49),
IF($D49="Pénétro.",
IF(OR($E49=3,$E49=1,$E49=4),BO49,BN49))),IF($D49="Pressio.",
IF($E49=3,BO49,BN49),
IF($D49="Pénétro.",
IF($E49=4,BO49,BN49))))</f>
        <v>#N/A</v>
      </c>
      <c r="BQ49" s="31">
        <v>0</v>
      </c>
      <c r="BR49" s="102" t="e">
        <f>IF(NDC!$H$10="Oui",(VLOOKUP($B$3,'Coeff EC7'!$T$39:$X$59,2,0)*BP49+VLOOKUP($B$3,'Coeff EC7'!$T$65:$X$85,2,0)*Model0.1T!BQ49)/1.5,PI()*BN$12*$Q49*($B49-$B48)*0.15/10+BR48)</f>
        <v>#N/A</v>
      </c>
      <c r="BS49" s="102" t="e">
        <f>(VLOOKUP($B$3,'Coeff EC7'!$T$39:$X$59,3,0)*BP49+VLOOKUP($B$3,'Coeff EC7'!$T$65:$X$85,3,0)*Model0.1T!BQ49)/1.1</f>
        <v>#N/A</v>
      </c>
      <c r="BT49" s="102" t="e">
        <f t="shared" si="78"/>
        <v>#N/A</v>
      </c>
      <c r="BU49" s="102" t="e">
        <f t="shared" si="79"/>
        <v>#N/A</v>
      </c>
      <c r="BV49" s="414" t="e">
        <f>IF(AND(BR49&gt;NDC!$C$63,BS49&gt;NDC!$C$65,BT49&gt;NDC!$D$73,BU49&gt;NDC!$D$74,$B49&gt;NDC!$H$22-0.1+MIN(3*BV$12,1.5)),0,1)</f>
        <v>#N/A</v>
      </c>
      <c r="BW49" s="86" t="b">
        <f t="shared" si="30"/>
        <v>0</v>
      </c>
      <c r="BX49" s="86">
        <f t="shared" si="31"/>
        <v>0.5</v>
      </c>
      <c r="BY49" s="86">
        <f t="shared" si="32"/>
        <v>0.5</v>
      </c>
      <c r="BZ49" s="30" t="e">
        <f t="shared" ca="1" si="80"/>
        <v>#DIV/0!</v>
      </c>
      <c r="CA49" s="85" t="e">
        <f ca="1">IF(BG49&lt;=Hypothèses!$V$7,Hypothèses!$W$7,IF(BG49&lt;=Hypothèses!$V$8,Hypothèses!$W$8,IF(BG49&lt;=Hypothèses!$V$9,Hypothèses!$W$9,IF(BG49&lt;=Hypothèses!$V$10,Hypothèses!$W$10,IF(BG49&lt;=Hypothèses!$V$11,Hypothèses!$W$11,IF(BG49&lt;=Hypothèses!$V$12,Hypothèses!$W$12,IF(BG49&lt;=Hypothèses!$V$13,Hypothèses!$W$13,IF(BG49&lt;=Hypothèses!$V$14,Hypothèses!$W$14,IF(BG49&lt;=Hypothèses!$V$15,Hypothèses!$W$15,IF(BG49&lt;=Hypothèses!$V$16,Hypothèses!$W$16,IF(BG49&lt;=Hypothèses!$V$17,Hypothèses!$W$17,IF(BG49&lt;=Hypothèses!$V$18,Hypothèses!$W$18,""))))))))))))</f>
        <v>#DIV/0!</v>
      </c>
      <c r="CB49" s="87" t="e">
        <f t="shared" ca="1" si="119"/>
        <v>#DIV/0!</v>
      </c>
      <c r="CC49" s="88" t="e">
        <f ca="1">IF(BG49&lt;=Hypothèses!$V$7,Hypothèses!$X$7,IF(BG49&lt;=Hypothèses!$V$8,Hypothèses!$X$8,IF(BG49&lt;=Hypothèses!$V$9,Hypothèses!$X$9,IF(BG49&lt;=Hypothèses!$V$10,Hypothèses!$X$10,IF(BG49&lt;=Hypothèses!$V$11,Hypothèses!$X$11,IF(BG49&lt;=Hypothèses!$V$12,Hypothèses!$X$12,IF(BG49&lt;=Hypothèses!$V$13,Hypothèses!$X$13,IF(BG49&lt;=Hypothèses!$V$14,Hypothèses!$X$14,IF(BG49&lt;=Hypothèses!$V$15,Hypothèses!$X$15,IF(BG49&lt;=Hypothèses!$V$16,Hypothèses!$X$16,IF(BG49&lt;=Hypothèses!$U$17,Hypothèses!$W$17,IF(BG49&lt;=Hypothèses!$U$18,Hypothèses!$W$18,""))))))))))))</f>
        <v>#DIV/0!</v>
      </c>
      <c r="CD49" s="95" t="e">
        <f t="shared" ca="1" si="81"/>
        <v>#DIV/0!</v>
      </c>
      <c r="CE49" s="101">
        <f t="shared" si="126"/>
        <v>0</v>
      </c>
      <c r="CF49" s="91">
        <f t="shared" si="34"/>
        <v>0</v>
      </c>
      <c r="CG49" s="30" t="e">
        <f t="shared" si="106"/>
        <v>#N/A</v>
      </c>
      <c r="CH49" s="30" t="e">
        <f t="shared" si="107"/>
        <v>#N/A</v>
      </c>
      <c r="CI49" s="31" t="e">
        <f>IF(OR(Hypothèses!$B$4=17,Hypothèses!$B$4=18,Hypothèses!$B$4=19,Hypothèses!$B$4=20),
IF($D49="Pressio.",
IF(OR($E49=3,$E49=1,$E49=4),CH49,CG49),
IF($D49="Pénétro.",
IF(OR($E49=3,$E49=1,$E49=4),CH49,CG49))),IF($D49="Pressio.",
IF($E49=3,CH49,CG49),
IF($D49="Pénétro.",
IF($E49=4,CH49,CG49))))</f>
        <v>#N/A</v>
      </c>
      <c r="CJ49" s="31">
        <v>0</v>
      </c>
      <c r="CK49" s="102" t="e">
        <f>IF(NDC!$H$10="Oui",(VLOOKUP($B$3,'Coeff EC7'!$T$39:$X$59,2,0)*CI49+VLOOKUP($B$3,'Coeff EC7'!$T$65:$X$85,2,0)*Model0.1T!CJ49)/1.5,PI()*CG$12*$Q49*($B49-$B48)*0.15/10+CK48)</f>
        <v>#N/A</v>
      </c>
      <c r="CL49" s="102" t="e">
        <f>(VLOOKUP($B$3,'Coeff EC7'!$T$39:$X$59,3,0)*CI49+VLOOKUP($B$3,'Coeff EC7'!$T$65:$X$85,3,0)*Model0.1T!CJ49)/1.1</f>
        <v>#N/A</v>
      </c>
      <c r="CM49" s="102" t="e">
        <f t="shared" si="82"/>
        <v>#N/A</v>
      </c>
      <c r="CN49" s="102" t="e">
        <f t="shared" si="83"/>
        <v>#N/A</v>
      </c>
      <c r="CO49" s="414" t="e">
        <f>IF(AND(CK49&gt;NDC!$C$63,CL49&gt;NDC!$C$65,CM49&gt;NDC!$D$73,CN49&gt;NDC!$D$74,$B49&gt;NDC!$H$22-0.1+MIN(3*CO$12,1.5)),0,1)</f>
        <v>#N/A</v>
      </c>
      <c r="CP49" s="86" t="b">
        <f t="shared" si="37"/>
        <v>0</v>
      </c>
      <c r="CQ49" s="86">
        <f t="shared" si="38"/>
        <v>0.5</v>
      </c>
      <c r="CR49" s="86">
        <f t="shared" si="39"/>
        <v>0.5</v>
      </c>
      <c r="CS49" s="30" t="e">
        <f t="shared" ca="1" si="84"/>
        <v>#DIV/0!</v>
      </c>
      <c r="CT49" s="85" t="e">
        <f ca="1">IF(BZ49&lt;=Hypothèses!$V$7,Hypothèses!$W$7,IF(BZ49&lt;=Hypothèses!$V$8,Hypothèses!$W$8,IF(BZ49&lt;=Hypothèses!$V$9,Hypothèses!$W$9,IF(BZ49&lt;=Hypothèses!$V$10,Hypothèses!$W$10,IF(BZ49&lt;=Hypothèses!$V$11,Hypothèses!$W$11,IF(BZ49&lt;=Hypothèses!$V$12,Hypothèses!$W$12,IF(BZ49&lt;=Hypothèses!$V$13,Hypothèses!$W$13,IF(BZ49&lt;=Hypothèses!$V$14,Hypothèses!$W$14,IF(BZ49&lt;=Hypothèses!$V$15,Hypothèses!$W$15,IF(BZ49&lt;=Hypothèses!$V$16,Hypothèses!$W$16,IF(BZ49&lt;=Hypothèses!$V$17,Hypothèses!$W$17,IF(BZ49&lt;=Hypothèses!$V$18,Hypothèses!$W$18,""))))))))))))</f>
        <v>#DIV/0!</v>
      </c>
      <c r="CU49" s="87" t="e">
        <f t="shared" ca="1" si="120"/>
        <v>#DIV/0!</v>
      </c>
      <c r="CV49" s="88" t="e">
        <f ca="1">IF(BZ49&lt;=Hypothèses!$V$7,Hypothèses!$X$7,IF(BZ49&lt;=Hypothèses!$V$8,Hypothèses!$X$8,IF(BZ49&lt;=Hypothèses!$V$9,Hypothèses!$X$9,IF(BZ49&lt;=Hypothèses!$V$10,Hypothèses!$X$10,IF(BZ49&lt;=Hypothèses!$V$11,Hypothèses!$X$11,IF(BZ49&lt;=Hypothèses!$V$12,Hypothèses!$X$12,IF(BZ49&lt;=Hypothèses!$V$13,Hypothèses!$X$13,IF(BZ49&lt;=Hypothèses!$V$14,Hypothèses!$X$14,IF(BZ49&lt;=Hypothèses!$V$15,Hypothèses!$X$15,IF(BZ49&lt;=Hypothèses!$V$16,Hypothèses!$X$16,IF(BZ49&lt;=Hypothèses!$U$17,Hypothèses!$W$17,IF(BZ49&lt;=Hypothèses!$U$18,Hypothèses!$W$18,""))))))))))))</f>
        <v>#DIV/0!</v>
      </c>
      <c r="CW49" s="95" t="e">
        <f t="shared" ca="1" si="85"/>
        <v>#DIV/0!</v>
      </c>
      <c r="CX49" s="101">
        <f t="shared" si="127"/>
        <v>0</v>
      </c>
      <c r="CY49" s="91">
        <f t="shared" si="41"/>
        <v>0</v>
      </c>
      <c r="CZ49" s="30" t="e">
        <f t="shared" si="108"/>
        <v>#N/A</v>
      </c>
      <c r="DA49" s="30" t="e">
        <f t="shared" si="109"/>
        <v>#N/A</v>
      </c>
      <c r="DB49" s="31" t="e">
        <f>IF(OR(Hypothèses!$B$4=17,Hypothèses!$B$4=18,Hypothèses!$B$4=19,Hypothèses!$B$4=20),
IF($D49="Pressio.",
IF(OR($E49=3,$E49=1,$E49=4),DA49,CZ49),
IF($D49="Pénétro.",
IF(OR($E49=3,$E49=1,$E49=4),DA49,CZ49))),IF($D49="Pressio.",
IF($E49=3,DA49,CZ49),
IF($D49="Pénétro.",
IF($E49=4,DA49,CZ49))))</f>
        <v>#N/A</v>
      </c>
      <c r="DC49" s="31">
        <v>0</v>
      </c>
      <c r="DD49" s="102" t="e">
        <f>IF(NDC!$H$10="Oui",(VLOOKUP($B$3,'Coeff EC7'!$T$39:$X$59,2,0)*DB49+VLOOKUP($B$3,'Coeff EC7'!$T$65:$X$85,2,0)*Model0.1T!DC49)/1.5,PI()*CZ$12*$Q49*($B49-$B48)*0.15/10+DD48)</f>
        <v>#N/A</v>
      </c>
      <c r="DE49" s="102" t="e">
        <f>(VLOOKUP($B$3,'Coeff EC7'!$T$39:$X$59,3,0)*DB49+VLOOKUP($B$3,'Coeff EC7'!$T$65:$X$85,3,0)*Model0.1T!DC49)/1.1</f>
        <v>#N/A</v>
      </c>
      <c r="DF49" s="102" t="e">
        <f t="shared" si="86"/>
        <v>#N/A</v>
      </c>
      <c r="DG49" s="102" t="e">
        <f t="shared" si="87"/>
        <v>#N/A</v>
      </c>
      <c r="DH49" s="414" t="e">
        <f>IF(AND(DD49&gt;NDC!$C$63,DE49&gt;NDC!$C$65,DF49&gt;NDC!$D$73,DG49&gt;NDC!$D$74,$B49&gt;NDC!$H$22-0.1+MIN(3*DH$12,1.5)),0,1)</f>
        <v>#N/A</v>
      </c>
      <c r="DI49" s="86" t="b">
        <f t="shared" si="44"/>
        <v>0</v>
      </c>
      <c r="DJ49" s="86">
        <f t="shared" si="45"/>
        <v>0.5</v>
      </c>
      <c r="DK49" s="86">
        <f t="shared" si="46"/>
        <v>0.5</v>
      </c>
      <c r="DL49" s="30" t="e">
        <f t="shared" ca="1" si="88"/>
        <v>#DIV/0!</v>
      </c>
      <c r="DM49" s="85" t="e">
        <f ca="1">IF(CS49&lt;=Hypothèses!$V$7,Hypothèses!$W$7,IF(CS49&lt;=Hypothèses!$V$8,Hypothèses!$W$8,IF(CS49&lt;=Hypothèses!$V$9,Hypothèses!$W$9,IF(CS49&lt;=Hypothèses!$V$10,Hypothèses!$W$10,IF(CS49&lt;=Hypothèses!$V$11,Hypothèses!$W$11,IF(CS49&lt;=Hypothèses!$V$12,Hypothèses!$W$12,IF(CS49&lt;=Hypothèses!$V$13,Hypothèses!$W$13,IF(CS49&lt;=Hypothèses!$V$14,Hypothèses!$W$14,IF(CS49&lt;=Hypothèses!$V$15,Hypothèses!$W$15,IF(CS49&lt;=Hypothèses!$V$16,Hypothèses!$W$16,IF(CS49&lt;=Hypothèses!$V$17,Hypothèses!$W$17,IF(CS49&lt;=Hypothèses!$V$18,Hypothèses!$W$18,""))))))))))))</f>
        <v>#DIV/0!</v>
      </c>
      <c r="DN49" s="87" t="e">
        <f t="shared" ca="1" si="121"/>
        <v>#DIV/0!</v>
      </c>
      <c r="DO49" s="88" t="e">
        <f ca="1">IF(CS49&lt;=Hypothèses!$V$7,Hypothèses!$X$7,IF(CS49&lt;=Hypothèses!$V$8,Hypothèses!$X$8,IF(CS49&lt;=Hypothèses!$V$9,Hypothèses!$X$9,IF(CS49&lt;=Hypothèses!$V$10,Hypothèses!$X$10,IF(CS49&lt;=Hypothèses!$V$11,Hypothèses!$X$11,IF(CS49&lt;=Hypothèses!$V$12,Hypothèses!$X$12,IF(CS49&lt;=Hypothèses!$V$13,Hypothèses!$X$13,IF(CS49&lt;=Hypothèses!$V$14,Hypothèses!$X$14,IF(CS49&lt;=Hypothèses!$V$15,Hypothèses!$X$15,IF(CS49&lt;=Hypothèses!$V$16,Hypothèses!$X$16,IF(CS49&lt;=Hypothèses!$U$17,Hypothèses!$W$17,IF(CS49&lt;=Hypothèses!$U$18,Hypothèses!$W$18,""))))))))))))</f>
        <v>#DIV/0!</v>
      </c>
      <c r="DP49" s="95" t="e">
        <f t="shared" ca="1" si="89"/>
        <v>#DIV/0!</v>
      </c>
      <c r="DQ49" s="101">
        <f t="shared" si="128"/>
        <v>0</v>
      </c>
      <c r="DR49" s="91">
        <f t="shared" si="48"/>
        <v>0</v>
      </c>
      <c r="DS49" s="30" t="e">
        <f t="shared" si="110"/>
        <v>#N/A</v>
      </c>
      <c r="DT49" s="30" t="e">
        <f t="shared" si="111"/>
        <v>#N/A</v>
      </c>
      <c r="DU49" s="31" t="e">
        <f>IF(OR(Hypothèses!$B$4=17,Hypothèses!$B$4=18,Hypothèses!$B$4=19,Hypothèses!$B$4=20),
IF($D49="Pressio.",
IF(OR($E49=3,$E49=1,$E49=4),DT49,DS49),
IF($D49="Pénétro.",
IF(OR($E49=3,$E49=1,$E49=4),DT49,DS49))),IF($D49="Pressio.",
IF($E49=3,DT49,DS49),
IF($D49="Pénétro.",
IF($E49=4,DT49,DS49))))</f>
        <v>#N/A</v>
      </c>
      <c r="DV49" s="31">
        <v>0</v>
      </c>
      <c r="DW49" s="102" t="e">
        <f>IF(NDC!$H$10="Oui",(VLOOKUP($B$3,'Coeff EC7'!$T$39:$X$59,2,0)*DU49+VLOOKUP($B$3,'Coeff EC7'!$T$65:$X$85,2,0)*Model0.1T!DV49)/1.5,PI()*DS$12*$Q49*($B49-$B48)*0.15/10+DW48)</f>
        <v>#N/A</v>
      </c>
      <c r="DX49" s="102" t="e">
        <f>(VLOOKUP($B$3,'Coeff EC7'!$T$39:$X$59,3,0)*DU49+VLOOKUP($B$3,'Coeff EC7'!$T$65:$X$85,3,0)*Model0.1T!DV49)/1.1</f>
        <v>#N/A</v>
      </c>
      <c r="DY49" s="102" t="e">
        <f t="shared" si="90"/>
        <v>#N/A</v>
      </c>
      <c r="DZ49" s="102" t="e">
        <f t="shared" si="91"/>
        <v>#N/A</v>
      </c>
      <c r="EA49" s="414" t="e">
        <f>IF(AND(DW49&gt;NDC!$C$63,DX49&gt;NDC!$C$65,DY49&gt;NDC!$D$73,DZ49&gt;NDC!$D$74,$B49&gt;NDC!$H$22-0.1+MIN(3*EA$12,1.5)),0,1)</f>
        <v>#N/A</v>
      </c>
      <c r="EB49" s="86" t="b">
        <f t="shared" si="51"/>
        <v>0</v>
      </c>
      <c r="EC49" s="418">
        <f t="shared" si="52"/>
        <v>0.51</v>
      </c>
      <c r="ED49" s="86">
        <f t="shared" si="53"/>
        <v>0.51</v>
      </c>
      <c r="EE49" s="30" t="e">
        <f t="shared" ca="1" si="92"/>
        <v>#DIV/0!</v>
      </c>
      <c r="EF49" s="85" t="e">
        <f ca="1">IF(DL49&lt;=Hypothèses!$V$7,Hypothèses!$W$7,IF(DL49&lt;=Hypothèses!$V$8,Hypothèses!$W$8,IF(DL49&lt;=Hypothèses!$V$9,Hypothèses!$W$9,IF(DL49&lt;=Hypothèses!$V$10,Hypothèses!$W$10,IF(DL49&lt;=Hypothèses!$V$11,Hypothèses!$W$11,IF(DL49&lt;=Hypothèses!$V$12,Hypothèses!$W$12,IF(DL49&lt;=Hypothèses!$V$13,Hypothèses!$W$13,IF(DL49&lt;=Hypothèses!$V$14,Hypothèses!$W$14,IF(DL49&lt;=Hypothèses!$V$15,Hypothèses!$W$15,IF(DL49&lt;=Hypothèses!$V$16,Hypothèses!$W$16,IF(DL49&lt;=Hypothèses!$V$17,Hypothèses!$W$17,IF(DL49&lt;=Hypothèses!$V$18,Hypothèses!$W$18,""))))))))))))</f>
        <v>#DIV/0!</v>
      </c>
      <c r="EG49" s="87" t="e">
        <f t="shared" ca="1" si="122"/>
        <v>#DIV/0!</v>
      </c>
      <c r="EH49" s="88" t="e">
        <f ca="1">IF(DL49&lt;=Hypothèses!$V$7,Hypothèses!$X$7,IF(DL49&lt;=Hypothèses!$V$8,Hypothèses!$X$8,IF(DL49&lt;=Hypothèses!$V$9,Hypothèses!$X$9,IF(DL49&lt;=Hypothèses!$V$10,Hypothèses!$X$10,IF(DL49&lt;=Hypothèses!$V$11,Hypothèses!$X$11,IF(DL49&lt;=Hypothèses!$V$12,Hypothèses!$X$12,IF(DL49&lt;=Hypothèses!$V$13,Hypothèses!$X$13,IF(DL49&lt;=Hypothèses!$V$14,Hypothèses!$X$14,IF(DL49&lt;=Hypothèses!$V$15,Hypothèses!$X$15,IF(DL49&lt;=Hypothèses!$V$16,Hypothèses!$X$16,IF(DL49&lt;=Hypothèses!$U$17,Hypothèses!$W$17,IF(DL49&lt;=Hypothèses!$U$18,Hypothèses!$W$18,""))))))))))))</f>
        <v>#DIV/0!</v>
      </c>
      <c r="EI49" s="95" t="e">
        <f t="shared" ca="1" si="93"/>
        <v>#DIV/0!</v>
      </c>
      <c r="EJ49" s="101">
        <f t="shared" si="129"/>
        <v>0</v>
      </c>
      <c r="EK49" s="91">
        <f t="shared" si="55"/>
        <v>0</v>
      </c>
      <c r="EL49" s="30" t="e">
        <f t="shared" si="112"/>
        <v>#N/A</v>
      </c>
      <c r="EM49" s="30" t="e">
        <f t="shared" si="113"/>
        <v>#N/A</v>
      </c>
      <c r="EN49" s="31" t="e">
        <f>IF(OR(Hypothèses!$B$4=17,Hypothèses!$B$4=18,Hypothèses!$B$4=19,Hypothèses!$B$4=20),
IF($D49="Pressio.",
IF(OR($E49=3,$E49=1,$E49=4),EM49,EL49),
IF($D49="Pénétro.",
IF(OR($E49=3,$E49=1,$E49=4),EM49,EL49))),IF($D49="Pressio.",
IF($E49=3,EM49,EL49),
IF($D49="Pénétro.",
IF($E49=4,EM49,EL49))))</f>
        <v>#N/A</v>
      </c>
      <c r="EO49" s="31">
        <v>0</v>
      </c>
      <c r="EP49" s="102" t="e">
        <f>IF(NDC!$H$10="Oui",(VLOOKUP($B$3,'Coeff EC7'!$T$39:$X$59,2,0)*EN49+VLOOKUP($B$3,'Coeff EC7'!$T$65:$X$85,2,0)*Model0.1T!EO49)/1.5,PI()*EL$12*$Q49*($B49-$B48)*0.15/10+EP48)</f>
        <v>#N/A</v>
      </c>
      <c r="EQ49" s="102" t="e">
        <f>(VLOOKUP($B$3,'Coeff EC7'!$T$39:$X$59,3,0)*EN49+VLOOKUP($B$3,'Coeff EC7'!$T$65:$X$85,3,0)*Model0.1T!EO49)/1.1</f>
        <v>#N/A</v>
      </c>
      <c r="ER49" s="102" t="e">
        <f t="shared" si="94"/>
        <v>#N/A</v>
      </c>
      <c r="ES49" s="102" t="e">
        <f t="shared" si="95"/>
        <v>#N/A</v>
      </c>
      <c r="ET49" s="414" t="e">
        <f>IF(AND(EP49&gt;NDC!$C$63,EQ49&gt;NDC!$C$65,ER49&gt;NDC!$D$73,ES49&gt;NDC!$D$74,$B49&gt;NDC!$H$22-0.1+MIN(3*ET$12,1.5)),0,1)</f>
        <v>#N/A</v>
      </c>
      <c r="EU49" s="86" t="b">
        <f t="shared" si="58"/>
        <v>0</v>
      </c>
      <c r="EV49" s="86">
        <f t="shared" si="59"/>
        <v>0.61</v>
      </c>
      <c r="EW49" s="86">
        <f t="shared" si="60"/>
        <v>0.61</v>
      </c>
      <c r="EX49" s="30" t="e">
        <f t="shared" ca="1" si="96"/>
        <v>#DIV/0!</v>
      </c>
      <c r="EY49" s="85" t="e">
        <f ca="1">IF(EE49&lt;=Hypothèses!$V$7,Hypothèses!$W$7,IF(EE49&lt;=Hypothèses!$V$8,Hypothèses!$W$8,IF(EE49&lt;=Hypothèses!$V$9,Hypothèses!$W$9,IF(EE49&lt;=Hypothèses!$V$10,Hypothèses!$W$10,IF(EE49&lt;=Hypothèses!$V$11,Hypothèses!$W$11,IF(EE49&lt;=Hypothèses!$V$12,Hypothèses!$W$12,IF(EE49&lt;=Hypothèses!$V$13,Hypothèses!$W$13,IF(EE49&lt;=Hypothèses!$V$14,Hypothèses!$W$14,IF(EE49&lt;=Hypothèses!$V$15,Hypothèses!$W$15,IF(EE49&lt;=Hypothèses!$V$16,Hypothèses!$W$16,IF(EE49&lt;=Hypothèses!$V$17,Hypothèses!$W$17,IF(EE49&lt;=Hypothèses!$V$18,Hypothèses!$W$18,""))))))))))))</f>
        <v>#DIV/0!</v>
      </c>
      <c r="EZ49" s="87" t="e">
        <f t="shared" ca="1" si="123"/>
        <v>#DIV/0!</v>
      </c>
      <c r="FA49" s="88" t="e">
        <f ca="1">IF(EE49&lt;=Hypothèses!$V$7,Hypothèses!$X$7,IF(EE49&lt;=Hypothèses!$V$8,Hypothèses!$X$8,IF(EE49&lt;=Hypothèses!$V$9,Hypothèses!$X$9,IF(EE49&lt;=Hypothèses!$V$10,Hypothèses!$X$10,IF(EE49&lt;=Hypothèses!$V$11,Hypothèses!$X$11,IF(EE49&lt;=Hypothèses!$V$12,Hypothèses!$X$12,IF(EE49&lt;=Hypothèses!$V$13,Hypothèses!$X$13,IF(EE49&lt;=Hypothèses!$V$14,Hypothèses!$X$14,IF(EE49&lt;=Hypothèses!$V$15,Hypothèses!$X$15,IF(EE49&lt;=Hypothèses!$V$16,Hypothèses!$X$16,IF(EE49&lt;=Hypothèses!$U$17,Hypothèses!$W$17,IF(EE49&lt;=Hypothèses!$U$18,Hypothèses!$W$18,""))))))))))))</f>
        <v>#DIV/0!</v>
      </c>
      <c r="FB49" s="95" t="e">
        <f t="shared" ca="1" si="97"/>
        <v>#DIV/0!</v>
      </c>
      <c r="FC49" s="101">
        <f t="shared" si="130"/>
        <v>0</v>
      </c>
      <c r="FD49" s="91">
        <f t="shared" si="62"/>
        <v>0</v>
      </c>
      <c r="FE49" s="30" t="e">
        <f t="shared" si="114"/>
        <v>#N/A</v>
      </c>
      <c r="FF49" s="30" t="e">
        <f t="shared" si="115"/>
        <v>#N/A</v>
      </c>
      <c r="FG49" s="31" t="e">
        <f>IF(OR(Hypothèses!$B$4=17,Hypothèses!$B$4=18,Hypothèses!$B$4=19,Hypothèses!$B$4=20),
IF($D49="Pressio.",
IF(OR($E49=3,$E49=1,$E49=4),FF49,FE49),
IF($D49="Pénétro.",
IF(OR($E49=3,$E49=1,$E49=4),FF49,FE49))),IF($D49="Pressio.",
IF($E49=3,FF49,FE49),
IF($D49="Pénétro.",
IF($E49=4,FF49,FE49))))</f>
        <v>#N/A</v>
      </c>
      <c r="FH49" s="31">
        <v>0</v>
      </c>
      <c r="FI49" s="102" t="e">
        <f>IF(NDC!$H$10="Oui",(VLOOKUP($B$3,'Coeff EC7'!$T$39:$X$59,2,0)*FG49+VLOOKUP($B$3,'Coeff EC7'!$T$65:$X$85,2,0)*Model0.1T!FH49)/1.5,PI()*FE$12*$Q49*($B49-$B48)*0.15/10+FI48)</f>
        <v>#N/A</v>
      </c>
      <c r="FJ49" s="102" t="e">
        <f>(VLOOKUP($B$3,'Coeff EC7'!$T$39:$X$59,3,0)*FG49+VLOOKUP($B$3,'Coeff EC7'!$T$65:$X$85,3,0)*Model0.1T!FH49)/1.1</f>
        <v>#N/A</v>
      </c>
      <c r="FK49" s="102" t="e">
        <f t="shared" si="98"/>
        <v>#N/A</v>
      </c>
      <c r="FL49" s="102" t="e">
        <f t="shared" si="99"/>
        <v>#N/A</v>
      </c>
      <c r="FM49" s="414" t="e">
        <f>IF(AND(FI49&gt;NDC!$C$63,FJ49&gt;NDC!$C$65,FK49&gt;NDC!$D$73,FL49&gt;NDC!$D$74,$B49&gt;NDC!$H$22-0.1+MIN(3*FM$12,1.5)),0,1)</f>
        <v>#N/A</v>
      </c>
    </row>
    <row r="50" spans="1:169">
      <c r="A50" s="96">
        <f t="shared" si="65"/>
        <v>96.30000000000021</v>
      </c>
      <c r="B50" s="97">
        <v>3.7</v>
      </c>
      <c r="C50" s="81">
        <f>IF(B50&lt;=Hypothèses!$C$7,Hypothèses!$A$7,IF(B50&lt;=Hypothèses!$C$8,Hypothèses!$A$8,IF(B50&lt;=Hypothèses!$C$9,Hypothèses!$A$9,IF(B50&lt;=Hypothèses!$C$10,Hypothèses!$A$10,IF(B50&lt;=Hypothèses!$C$11,Hypothèses!$A$11,IF(B50&lt;=Hypothèses!$C$12,Hypothèses!$A$12,IF(B50&lt;=Hypothèses!$C$13,Hypothèses!$A$13,IF(B50&lt;=Hypothèses!$C$14,Hypothèses!$A$14,IF(B50&lt;=Hypothèses!$C$15,Hypothèses!$A$15,IF(B50&lt;=Hypothèses!$C$16,Hypothèses!$A$16,IF(B50&lt;=Hypothèses!$C$17,Hypothèses!$A$17,IF(B50&lt;=Hypothèses!$C$18,Hypothèses!$A$18,C49))))))))))))</f>
        <v>11</v>
      </c>
      <c r="D50" s="82" t="str">
        <f>IF(B50&lt;=Hypothèses!$C$7,Hypothèses!$R$7,IF(B50&lt;=Hypothèses!$C$8,Hypothèses!$R$8,IF(B50&lt;=Hypothèses!$C$9,Hypothèses!$R$9,IF(B50&lt;=Hypothèses!$C$10,Hypothèses!$R$10,IF(B50&lt;=Hypothèses!$C$11,Hypothèses!$R$11,IF(B50&lt;=Hypothèses!$C$12,Hypothèses!$R$12,IF(B50&lt;=Hypothèses!$C$13,Hypothèses!$R$13,IF(B50&lt;=Hypothèses!$C$14,Hypothèses!$R$14,IF(B50&lt;=Hypothèses!$C$15,Hypothèses!$R$15,IF(B50&lt;=Hypothèses!$C$16,Hypothèses!$R$16,IF(B50&lt;=Hypothèses!$C$17,Hypothèses!$R$17,IF(B50&lt;=Hypothèses!$C$18,Hypothèses!$R$18,D49))))))))))))</f>
        <v>Pressio.</v>
      </c>
      <c r="E50" s="82" t="e">
        <f>IF(B50&lt;=Hypothèses!$C$7,Hypothèses!$G$7,IF(B50&lt;=Hypothèses!$C$8,Hypothèses!$G$8,IF(B50&lt;=Hypothèses!$C$9,Hypothèses!$G$9,IF(B50&lt;=Hypothèses!$C$10,Hypothèses!$G$10,IF(B50&lt;=Hypothèses!$C$11,Hypothèses!$G$11,IF(B50&lt;=Hypothèses!$C$12,Hypothèses!$G$12,IF(B50&lt;=Hypothèses!$C$13,Hypothèses!$G$13,IF(B50&lt;=Hypothèses!$C$14,Hypothèses!$G$14,IF(B50&lt;=Hypothèses!$C$15,Hypothèses!$G$15,IF(B50&lt;=Hypothèses!$C$16,Hypothèses!$G$16,IF(B50&lt;=Hypothèses!$C$17,Hypothèses!$G$17,IF(B50&lt;=Hypothèses!$C$18,Hypothèses!$G$18,E49))))))))))))</f>
        <v>#N/A</v>
      </c>
      <c r="F50" s="82" t="str">
        <f>IF(B50&lt;=Hypothèses!$C$7,Hypothèses!$F$7,IF(B50&lt;=Hypothèses!$C$8,Hypothèses!$F$8,IF(B50&lt;=Hypothèses!$C$9,Hypothèses!$F$9,IF(B50&lt;=Hypothèses!$C$10,Hypothèses!$F$10,IF(B50&lt;=Hypothèses!$C$11,Hypothèses!$F$11,IF(B50&lt;=Hypothèses!$C$12,Hypothèses!$F$12,IF(B50&lt;=Hypothèses!$C$13,Hypothèses!$F$13,IF(B50&lt;=Hypothèses!$C$14,Hypothèses!$F$14,IF(B50&lt;=Hypothèses!$C$15,Hypothèses!$F$15,IF(B50&lt;=Hypothèses!$C$16,Hypothèses!$F$16,IF(B50&lt;=Hypothèses!$C$17,Hypothèses!$F$17,IF(B50&lt;=Hypothèses!$C$18,Hypothèses!$F$18,F49))))))))))))</f>
        <v/>
      </c>
      <c r="G50" s="91">
        <f t="array" ref="G50">INDEX('Coeff EC7'!$U$7:$X$27,
MATCH(Model0.1T!$B$3,'Coeff EC7'!$T$7:$T$27,0),
MATCH(Model0.1T!$D50&amp;Model0.1T!$B$4,
'Coeff EC7'!$U$6:$X$6&amp;
'Coeff EC7'!$U$5:$X$5,0))</f>
        <v>1.4</v>
      </c>
      <c r="H50" s="91">
        <f t="array" ref="H50">INDEX('Coeff EC7'!$Y$7:$AB$27,
MATCH(Model0.1T!$B$3,'Coeff EC7'!$T$7:$T$27,0),
MATCH(Model0.1T!$D50&amp;Model0.1T!$B$4,
'Coeff EC7'!$Y$6:$AB$6&amp;
'Coeff EC7'!$Y$5:$AB$5,0))</f>
        <v>1.7</v>
      </c>
      <c r="I50" s="83">
        <v>0</v>
      </c>
      <c r="J50" s="91" t="e">
        <f t="array" ref="J50">INDEX('Coeff EC7'!$D$33:$Q$33,1,MATCH(D50&amp;E50,'Coeff EC7'!$D$31:$Q$31&amp;'Coeff EC7'!$D$32:$Q$32,0))</f>
        <v>#N/A</v>
      </c>
      <c r="K50" s="91" t="e">
        <f t="array" ref="K50">INDEX('Coeff EC7'!$D$34:$Q$34,1,MATCH(D50&amp;E50,'Coeff EC7'!$D$31:$Q$31&amp;'Coeff EC7'!$D$32:$Q$32,0))</f>
        <v>#N/A</v>
      </c>
      <c r="L50" s="91" t="e">
        <f t="array" ref="L50">INDEX('Coeff EC7'!$D$35:$Q$35,1,MATCH(D50&amp;E50,'Coeff EC7'!$D$31:$Q$31&amp;'Coeff EC7'!$D$32:$Q$32,0))</f>
        <v>#N/A</v>
      </c>
      <c r="M50" s="98" t="e">
        <f t="shared" si="8"/>
        <v>#N/A</v>
      </c>
      <c r="N50" s="99" t="e">
        <f t="array" ref="N50">INDEX('Coeff EC7'!$D$7:$Q$27,MATCH($B$3,'Coeff EC7'!$C$7:$C$27,0),MATCH(D50&amp;E50,'Coeff EC7'!$D$5:$Q$5&amp;'Coeff EC7'!$D$6:$Q$6,0))</f>
        <v>#N/A</v>
      </c>
      <c r="O50" s="99" t="e">
        <f t="array" ref="O50">INDEX('Coeff EC7'!$D$41:$Q$61,MATCH($B$3,'Coeff EC7'!$C$41:$C$61,0),MATCH(D50&amp;E50,'Coeff EC7'!$D$39:$Q$39&amp;'Coeff EC7'!$D$40:$Q$40,0))</f>
        <v>#N/A</v>
      </c>
      <c r="P50" s="30" t="e">
        <f t="shared" si="66"/>
        <v>#N/A</v>
      </c>
      <c r="Q50" s="100" t="e">
        <f t="shared" si="10"/>
        <v>#N/A</v>
      </c>
      <c r="R50" s="86" t="b">
        <f t="shared" si="11"/>
        <v>0</v>
      </c>
      <c r="S50" s="86">
        <f t="shared" si="9"/>
        <v>0.5</v>
      </c>
      <c r="T50" s="86">
        <f t="shared" si="12"/>
        <v>0.5</v>
      </c>
      <c r="U50" s="30" t="e">
        <f t="shared" ca="1" si="67"/>
        <v>#DIV/0!</v>
      </c>
      <c r="V50" s="85" t="str">
        <f>IF(B50&lt;=Hypothèses!$V$7,Hypothèses!$W$7,IF(B50&lt;=Hypothèses!$V$8,Hypothèses!$W$8,IF(B50&lt;=Hypothèses!$V$9,Hypothèses!$W$9,IF(B50&lt;=Hypothèses!$V$10,Hypothèses!$W$10,IF(B50&lt;=Hypothèses!$V$11,Hypothèses!$W$11,IF(B50&lt;=Hypothèses!$V$12,Hypothèses!$W$12,IF(B50&lt;=Hypothèses!$V$13,Hypothèses!$W$13,IF(B50&lt;=Hypothèses!$V$14,Hypothèses!$W$14,IF(B50&lt;=Hypothèses!$V$15,Hypothèses!$W$15,IF(B50&lt;=Hypothèses!$V$16,Hypothèses!$W$16,IF(B50&lt;=Hypothèses!$V$17,Hypothèses!$W$17,IF(B50&lt;=Hypothèses!$V$18,Hypothèses!$W$18,""))))))))))))</f>
        <v/>
      </c>
      <c r="W50" s="87" t="e">
        <f t="shared" ca="1" si="116"/>
        <v>#DIV/0!</v>
      </c>
      <c r="X50" s="88" t="str">
        <f>IF(B50&lt;=Hypothèses!$V$7,Hypothèses!$X$7,IF(B50&lt;=Hypothèses!$V$8,Hypothèses!$X$8,IF(B50&lt;=Hypothèses!$V$9,Hypothèses!$X$9,IF(B50&lt;=Hypothèses!$V$10,Hypothèses!$X$10,IF(B50&lt;=Hypothèses!$V$11,Hypothèses!$X$11,IF(B50&lt;=Hypothèses!$V$12,Hypothèses!$X$12,IF(B50&lt;=Hypothèses!$V$13,Hypothèses!$X$13,IF(B50&lt;=Hypothèses!$V$14,Hypothèses!$X$14,IF(B50&lt;=Hypothèses!$V$15,Hypothèses!$X$15,IF(B50&lt;=Hypothèses!$V$16,Hypothèses!$X$16,IF(B50&lt;=Hypothèses!$U$17,Hypothèses!$W$17,IF(B50&lt;=Hypothèses!$U$18,Hypothèses!$W$18,""))))))))))))</f>
        <v/>
      </c>
      <c r="Y50" s="95" t="e">
        <f t="shared" ca="1" si="13"/>
        <v>#DIV/0!</v>
      </c>
      <c r="Z50" s="101">
        <f t="shared" si="14"/>
        <v>0</v>
      </c>
      <c r="AA50" s="91">
        <f t="shared" si="15"/>
        <v>0</v>
      </c>
      <c r="AB50" s="30" t="e">
        <f t="shared" si="100"/>
        <v>#N/A</v>
      </c>
      <c r="AC50" s="30" t="e">
        <f t="shared" si="101"/>
        <v>#N/A</v>
      </c>
      <c r="AD50" s="31" t="e">
        <f>IF(OR(Hypothèses!$B$4=17,Hypothèses!$B$4=18,Hypothèses!$B$4=19,Hypothèses!$B$4=20),
IF($D50="Pressio.",
IF(OR($E50=3,$E50=1,$E50=4),AC50,AB50),
IF($D50="Pénétro.",
IF(OR($E50=3,$E50=1,$E50=4),AC50,AB50))),IF($D50="Pressio.",
IF($E50=3,AC50,AB50),
IF($D50="Pénétro.",
IF($E50=4,AC50,AB50))))</f>
        <v>#N/A</v>
      </c>
      <c r="AE50" s="31">
        <v>0</v>
      </c>
      <c r="AF50" s="102" t="e">
        <f>IF(NDC!$H$10="Oui",(VLOOKUP($B$3,'Coeff EC7'!$T$39:$X$59,2,0)*AD50+VLOOKUP($B$3,'Coeff EC7'!$T$65:$X$85,2,0)*Model0.1T!AE50)/1.5,PI()*AB$12*$Q50*($B50-$B49)*0.15/10+AF49)</f>
        <v>#N/A</v>
      </c>
      <c r="AG50" s="102" t="e">
        <f>(VLOOKUP($B$3,'Coeff EC7'!$T$39:$X$59,3,0)*AD50+VLOOKUP($B$3,'Coeff EC7'!$T$65:$X$85,3,0)*Model0.1T!AE50)/1.1</f>
        <v>#N/A</v>
      </c>
      <c r="AH50" s="102" t="e">
        <f t="shared" si="68"/>
        <v>#N/A</v>
      </c>
      <c r="AI50" s="102" t="e">
        <f t="shared" si="69"/>
        <v>#N/A</v>
      </c>
      <c r="AJ50" s="414" t="e">
        <f>IF(AND(AF50&gt;NDC!$C$63,AG50&gt;NDC!$C$65,AH50&gt;NDC!$D$73,AI50&gt;NDC!$D$74,$B50&gt;NDC!$H$22-0.1+MIN(3*$AJ$12,1.5)),0,1)</f>
        <v>#N/A</v>
      </c>
      <c r="AK50" s="86" t="b">
        <f t="shared" si="18"/>
        <v>0</v>
      </c>
      <c r="AL50" s="86">
        <f t="shared" si="70"/>
        <v>0.5</v>
      </c>
      <c r="AM50" s="86">
        <f t="shared" si="19"/>
        <v>0.5</v>
      </c>
      <c r="AN50" s="30" t="e">
        <f t="shared" ca="1" si="71"/>
        <v>#DIV/0!</v>
      </c>
      <c r="AO50" s="85" t="e">
        <f ca="1">IF(U50&lt;=Hypothèses!$V$7,Hypothèses!$W$7,IF(U50&lt;=Hypothèses!$V$8,Hypothèses!$W$8,IF(U50&lt;=Hypothèses!$V$9,Hypothèses!$W$9,IF(U50&lt;=Hypothèses!$V$10,Hypothèses!$W$10,IF(U50&lt;=Hypothèses!$V$11,Hypothèses!$W$11,IF(U50&lt;=Hypothèses!$V$12,Hypothèses!$W$12,IF(U50&lt;=Hypothèses!$V$13,Hypothèses!$W$13,IF(U50&lt;=Hypothèses!$V$14,Hypothèses!$W$14,IF(U50&lt;=Hypothèses!$V$15,Hypothèses!$W$15,IF(U50&lt;=Hypothèses!$V$16,Hypothèses!$W$16,IF(U50&lt;=Hypothèses!$V$17,Hypothèses!$W$17,IF(U50&lt;=Hypothèses!$V$18,Hypothèses!$W$18,""))))))))))))</f>
        <v>#DIV/0!</v>
      </c>
      <c r="AP50" s="87" t="e">
        <f t="shared" ca="1" si="117"/>
        <v>#DIV/0!</v>
      </c>
      <c r="AQ50" s="88" t="e">
        <f ca="1">IF(U50&lt;=Hypothèses!$V$7,Hypothèses!$X$7,IF(U50&lt;=Hypothèses!$V$8,Hypothèses!$X$8,IF(U50&lt;=Hypothèses!$V$9,Hypothèses!$X$9,IF(U50&lt;=Hypothèses!$V$10,Hypothèses!$X$10,IF(U50&lt;=Hypothèses!$V$11,Hypothèses!$X$11,IF(U50&lt;=Hypothèses!$V$12,Hypothèses!$X$12,IF(U50&lt;=Hypothèses!$V$13,Hypothèses!$X$13,IF(U50&lt;=Hypothèses!$V$14,Hypothèses!$X$14,IF(U50&lt;=Hypothèses!$V$15,Hypothèses!$X$15,IF(U50&lt;=Hypothèses!$V$16,Hypothèses!$X$16,IF(U50&lt;=Hypothèses!$U$17,Hypothèses!$W$17,IF(U50&lt;=Hypothèses!$U$18,Hypothèses!$W$18,""))))))))))))</f>
        <v>#DIV/0!</v>
      </c>
      <c r="AR50" s="95" t="e">
        <f t="shared" ca="1" si="72"/>
        <v>#DIV/0!</v>
      </c>
      <c r="AS50" s="101">
        <f t="shared" si="124"/>
        <v>0</v>
      </c>
      <c r="AT50" s="91">
        <f t="shared" si="21"/>
        <v>0</v>
      </c>
      <c r="AU50" s="30" t="e">
        <f t="shared" si="102"/>
        <v>#N/A</v>
      </c>
      <c r="AV50" s="30" t="e">
        <f t="shared" si="103"/>
        <v>#N/A</v>
      </c>
      <c r="AW50" s="31" t="e">
        <f>IF(OR(Hypothèses!$B$4=17,Hypothèses!$B$4=18,Hypothèses!$B$4=19,Hypothèses!$B$4=20),
IF($D50="Pressio.",
IF(OR($E50=3,$E50=1,$E50=4),AV50,AU50),
IF($D50="Pénétro.",
IF(OR($E50=3,$E50=1,$E50=4),AV50,AU50))),IF($D50="Pressio.",
IF($E50=3,AV50,AU50),
IF($D50="Pénétro.",
IF($E50=4,AV50,AU50))))</f>
        <v>#N/A</v>
      </c>
      <c r="AX50" s="31">
        <v>0</v>
      </c>
      <c r="AY50" s="102" t="e">
        <f>IF(NDC!$H$10="Oui",(VLOOKUP($B$3,'Coeff EC7'!$T$39:$X$59,2,0)*AW50+VLOOKUP($B$3,'Coeff EC7'!$T$65:$X$85,2,0)*Model0.1T!AX50)/1.5,PI()*AU$12*$Q50*($B50-$B49)*0.15/10+AY49)</f>
        <v>#N/A</v>
      </c>
      <c r="AZ50" s="102" t="e">
        <f>(VLOOKUP($B$3,'Coeff EC7'!$T$39:$X$59,3,0)*AW50+VLOOKUP($B$3,'Coeff EC7'!$T$65:$X$85,3,0)*Model0.1T!AX50)/1.1</f>
        <v>#N/A</v>
      </c>
      <c r="BA50" s="102" t="e">
        <f t="shared" si="73"/>
        <v>#N/A</v>
      </c>
      <c r="BB50" s="102" t="e">
        <f t="shared" si="74"/>
        <v>#N/A</v>
      </c>
      <c r="BC50" s="414" t="e">
        <f>IF(AND(AY50&gt;NDC!$C$63,AZ50&gt;NDC!$C$65,BA50&gt;NDC!$D$73,BB50&gt;NDC!$D$74,$B50&gt;NDC!$H$22-0.1+MIN(3*BC$12,1.5)),0,1)</f>
        <v>#N/A</v>
      </c>
      <c r="BD50" s="86" t="b">
        <f t="shared" si="24"/>
        <v>0</v>
      </c>
      <c r="BE50" s="86">
        <f t="shared" si="75"/>
        <v>0.5</v>
      </c>
      <c r="BF50" s="86">
        <f t="shared" si="25"/>
        <v>0.5</v>
      </c>
      <c r="BG50" s="30" t="e">
        <f t="shared" ca="1" si="76"/>
        <v>#DIV/0!</v>
      </c>
      <c r="BH50" s="85" t="e">
        <f ca="1">IF(AN50&lt;=Hypothèses!$V$7,Hypothèses!$W$7,IF(AN50&lt;=Hypothèses!$V$8,Hypothèses!$W$8,IF(AN50&lt;=Hypothèses!$V$9,Hypothèses!$W$9,IF(AN50&lt;=Hypothèses!$V$10,Hypothèses!$W$10,IF(AN50&lt;=Hypothèses!$V$11,Hypothèses!$W$11,IF(AN50&lt;=Hypothèses!$V$12,Hypothèses!$W$12,IF(AN50&lt;=Hypothèses!$V$13,Hypothèses!$W$13,IF(AN50&lt;=Hypothèses!$V$14,Hypothèses!$W$14,IF(AN50&lt;=Hypothèses!$V$15,Hypothèses!$W$15,IF(AN50&lt;=Hypothèses!$V$16,Hypothèses!$W$16,IF(AN50&lt;=Hypothèses!$V$17,Hypothèses!$W$17,IF(AN50&lt;=Hypothèses!$V$18,Hypothèses!$W$18,""))))))))))))</f>
        <v>#DIV/0!</v>
      </c>
      <c r="BI50" s="87" t="e">
        <f t="shared" ca="1" si="118"/>
        <v>#DIV/0!</v>
      </c>
      <c r="BJ50" s="88" t="e">
        <f ca="1">IF(AN50&lt;=Hypothèses!$V$7,Hypothèses!$X$7,IF(AN50&lt;=Hypothèses!$V$8,Hypothèses!$X$8,IF(AN50&lt;=Hypothèses!$V$9,Hypothèses!$X$9,IF(AN50&lt;=Hypothèses!$V$10,Hypothèses!$X$10,IF(AN50&lt;=Hypothèses!$V$11,Hypothèses!$X$11,IF(AN50&lt;=Hypothèses!$V$12,Hypothèses!$X$12,IF(AN50&lt;=Hypothèses!$V$13,Hypothèses!$X$13,IF(AN50&lt;=Hypothèses!$V$14,Hypothèses!$X$14,IF(AN50&lt;=Hypothèses!$V$15,Hypothèses!$X$15,IF(AN50&lt;=Hypothèses!$V$16,Hypothèses!$X$16,IF(AN50&lt;=Hypothèses!$U$17,Hypothèses!$W$17,IF(AN50&lt;=Hypothèses!$U$18,Hypothèses!$W$18,""))))))))))))</f>
        <v>#DIV/0!</v>
      </c>
      <c r="BK50" s="95" t="e">
        <f t="shared" ca="1" si="77"/>
        <v>#DIV/0!</v>
      </c>
      <c r="BL50" s="101">
        <f t="shared" si="125"/>
        <v>0</v>
      </c>
      <c r="BM50" s="91">
        <f t="shared" si="27"/>
        <v>0</v>
      </c>
      <c r="BN50" s="30" t="e">
        <f t="shared" si="104"/>
        <v>#N/A</v>
      </c>
      <c r="BO50" s="30" t="e">
        <f t="shared" si="105"/>
        <v>#N/A</v>
      </c>
      <c r="BP50" s="31" t="e">
        <f>IF(OR(Hypothèses!$B$4=17,Hypothèses!$B$4=18,Hypothèses!$B$4=19,Hypothèses!$B$4=20),
IF($D50="Pressio.",
IF(OR($E50=3,$E50=1,$E50=4),BO50,BN50),
IF($D50="Pénétro.",
IF(OR($E50=3,$E50=1,$E50=4),BO50,BN50))),IF($D50="Pressio.",
IF($E50=3,BO50,BN50),
IF($D50="Pénétro.",
IF($E50=4,BO50,BN50))))</f>
        <v>#N/A</v>
      </c>
      <c r="BQ50" s="31">
        <v>0</v>
      </c>
      <c r="BR50" s="102" t="e">
        <f>IF(NDC!$H$10="Oui",(VLOOKUP($B$3,'Coeff EC7'!$T$39:$X$59,2,0)*BP50+VLOOKUP($B$3,'Coeff EC7'!$T$65:$X$85,2,0)*Model0.1T!BQ50)/1.5,PI()*BN$12*$Q50*($B50-$B49)*0.15/10+BR49)</f>
        <v>#N/A</v>
      </c>
      <c r="BS50" s="102" t="e">
        <f>(VLOOKUP($B$3,'Coeff EC7'!$T$39:$X$59,3,0)*BP50+VLOOKUP($B$3,'Coeff EC7'!$T$65:$X$85,3,0)*Model0.1T!BQ50)/1.1</f>
        <v>#N/A</v>
      </c>
      <c r="BT50" s="102" t="e">
        <f t="shared" si="78"/>
        <v>#N/A</v>
      </c>
      <c r="BU50" s="102" t="e">
        <f t="shared" si="79"/>
        <v>#N/A</v>
      </c>
      <c r="BV50" s="414" t="e">
        <f>IF(AND(BR50&gt;NDC!$C$63,BS50&gt;NDC!$C$65,BT50&gt;NDC!$D$73,BU50&gt;NDC!$D$74,$B50&gt;NDC!$H$22-0.1+MIN(3*BV$12,1.5)),0,1)</f>
        <v>#N/A</v>
      </c>
      <c r="BW50" s="86" t="b">
        <f t="shared" si="30"/>
        <v>0</v>
      </c>
      <c r="BX50" s="86">
        <f t="shared" si="31"/>
        <v>0.5</v>
      </c>
      <c r="BY50" s="86">
        <f t="shared" si="32"/>
        <v>0.5</v>
      </c>
      <c r="BZ50" s="30" t="e">
        <f t="shared" ca="1" si="80"/>
        <v>#DIV/0!</v>
      </c>
      <c r="CA50" s="85" t="e">
        <f ca="1">IF(BG50&lt;=Hypothèses!$V$7,Hypothèses!$W$7,IF(BG50&lt;=Hypothèses!$V$8,Hypothèses!$W$8,IF(BG50&lt;=Hypothèses!$V$9,Hypothèses!$W$9,IF(BG50&lt;=Hypothèses!$V$10,Hypothèses!$W$10,IF(BG50&lt;=Hypothèses!$V$11,Hypothèses!$W$11,IF(BG50&lt;=Hypothèses!$V$12,Hypothèses!$W$12,IF(BG50&lt;=Hypothèses!$V$13,Hypothèses!$W$13,IF(BG50&lt;=Hypothèses!$V$14,Hypothèses!$W$14,IF(BG50&lt;=Hypothèses!$V$15,Hypothèses!$W$15,IF(BG50&lt;=Hypothèses!$V$16,Hypothèses!$W$16,IF(BG50&lt;=Hypothèses!$V$17,Hypothèses!$W$17,IF(BG50&lt;=Hypothèses!$V$18,Hypothèses!$W$18,""))))))))))))</f>
        <v>#DIV/0!</v>
      </c>
      <c r="CB50" s="87" t="e">
        <f t="shared" ca="1" si="119"/>
        <v>#DIV/0!</v>
      </c>
      <c r="CC50" s="88" t="e">
        <f ca="1">IF(BG50&lt;=Hypothèses!$V$7,Hypothèses!$X$7,IF(BG50&lt;=Hypothèses!$V$8,Hypothèses!$X$8,IF(BG50&lt;=Hypothèses!$V$9,Hypothèses!$X$9,IF(BG50&lt;=Hypothèses!$V$10,Hypothèses!$X$10,IF(BG50&lt;=Hypothèses!$V$11,Hypothèses!$X$11,IF(BG50&lt;=Hypothèses!$V$12,Hypothèses!$X$12,IF(BG50&lt;=Hypothèses!$V$13,Hypothèses!$X$13,IF(BG50&lt;=Hypothèses!$V$14,Hypothèses!$X$14,IF(BG50&lt;=Hypothèses!$V$15,Hypothèses!$X$15,IF(BG50&lt;=Hypothèses!$V$16,Hypothèses!$X$16,IF(BG50&lt;=Hypothèses!$U$17,Hypothèses!$W$17,IF(BG50&lt;=Hypothèses!$U$18,Hypothèses!$W$18,""))))))))))))</f>
        <v>#DIV/0!</v>
      </c>
      <c r="CD50" s="95" t="e">
        <f t="shared" ca="1" si="81"/>
        <v>#DIV/0!</v>
      </c>
      <c r="CE50" s="101">
        <f t="shared" si="126"/>
        <v>0</v>
      </c>
      <c r="CF50" s="91">
        <f t="shared" si="34"/>
        <v>0</v>
      </c>
      <c r="CG50" s="30" t="e">
        <f t="shared" si="106"/>
        <v>#N/A</v>
      </c>
      <c r="CH50" s="30" t="e">
        <f t="shared" si="107"/>
        <v>#N/A</v>
      </c>
      <c r="CI50" s="31" t="e">
        <f>IF(OR(Hypothèses!$B$4=17,Hypothèses!$B$4=18,Hypothèses!$B$4=19,Hypothèses!$B$4=20),
IF($D50="Pressio.",
IF(OR($E50=3,$E50=1,$E50=4),CH50,CG50),
IF($D50="Pénétro.",
IF(OR($E50=3,$E50=1,$E50=4),CH50,CG50))),IF($D50="Pressio.",
IF($E50=3,CH50,CG50),
IF($D50="Pénétro.",
IF($E50=4,CH50,CG50))))</f>
        <v>#N/A</v>
      </c>
      <c r="CJ50" s="31">
        <v>0</v>
      </c>
      <c r="CK50" s="102" t="e">
        <f>IF(NDC!$H$10="Oui",(VLOOKUP($B$3,'Coeff EC7'!$T$39:$X$59,2,0)*CI50+VLOOKUP($B$3,'Coeff EC7'!$T$65:$X$85,2,0)*Model0.1T!CJ50)/1.5,PI()*CG$12*$Q50*($B50-$B49)*0.15/10+CK49)</f>
        <v>#N/A</v>
      </c>
      <c r="CL50" s="102" t="e">
        <f>(VLOOKUP($B$3,'Coeff EC7'!$T$39:$X$59,3,0)*CI50+VLOOKUP($B$3,'Coeff EC7'!$T$65:$X$85,3,0)*Model0.1T!CJ50)/1.1</f>
        <v>#N/A</v>
      </c>
      <c r="CM50" s="102" t="e">
        <f t="shared" si="82"/>
        <v>#N/A</v>
      </c>
      <c r="CN50" s="102" t="e">
        <f t="shared" si="83"/>
        <v>#N/A</v>
      </c>
      <c r="CO50" s="414" t="e">
        <f>IF(AND(CK50&gt;NDC!$C$63,CL50&gt;NDC!$C$65,CM50&gt;NDC!$D$73,CN50&gt;NDC!$D$74,$B50&gt;NDC!$H$22-0.1+MIN(3*CO$12,1.5)),0,1)</f>
        <v>#N/A</v>
      </c>
      <c r="CP50" s="86" t="b">
        <f t="shared" si="37"/>
        <v>0</v>
      </c>
      <c r="CQ50" s="86">
        <f t="shared" si="38"/>
        <v>0.5</v>
      </c>
      <c r="CR50" s="86">
        <f t="shared" si="39"/>
        <v>0.5</v>
      </c>
      <c r="CS50" s="30" t="e">
        <f t="shared" ca="1" si="84"/>
        <v>#DIV/0!</v>
      </c>
      <c r="CT50" s="85" t="e">
        <f ca="1">IF(BZ50&lt;=Hypothèses!$V$7,Hypothèses!$W$7,IF(BZ50&lt;=Hypothèses!$V$8,Hypothèses!$W$8,IF(BZ50&lt;=Hypothèses!$V$9,Hypothèses!$W$9,IF(BZ50&lt;=Hypothèses!$V$10,Hypothèses!$W$10,IF(BZ50&lt;=Hypothèses!$V$11,Hypothèses!$W$11,IF(BZ50&lt;=Hypothèses!$V$12,Hypothèses!$W$12,IF(BZ50&lt;=Hypothèses!$V$13,Hypothèses!$W$13,IF(BZ50&lt;=Hypothèses!$V$14,Hypothèses!$W$14,IF(BZ50&lt;=Hypothèses!$V$15,Hypothèses!$W$15,IF(BZ50&lt;=Hypothèses!$V$16,Hypothèses!$W$16,IF(BZ50&lt;=Hypothèses!$V$17,Hypothèses!$W$17,IF(BZ50&lt;=Hypothèses!$V$18,Hypothèses!$W$18,""))))))))))))</f>
        <v>#DIV/0!</v>
      </c>
      <c r="CU50" s="87" t="e">
        <f t="shared" ca="1" si="120"/>
        <v>#DIV/0!</v>
      </c>
      <c r="CV50" s="88" t="e">
        <f ca="1">IF(BZ50&lt;=Hypothèses!$V$7,Hypothèses!$X$7,IF(BZ50&lt;=Hypothèses!$V$8,Hypothèses!$X$8,IF(BZ50&lt;=Hypothèses!$V$9,Hypothèses!$X$9,IF(BZ50&lt;=Hypothèses!$V$10,Hypothèses!$X$10,IF(BZ50&lt;=Hypothèses!$V$11,Hypothèses!$X$11,IF(BZ50&lt;=Hypothèses!$V$12,Hypothèses!$X$12,IF(BZ50&lt;=Hypothèses!$V$13,Hypothèses!$X$13,IF(BZ50&lt;=Hypothèses!$V$14,Hypothèses!$X$14,IF(BZ50&lt;=Hypothèses!$V$15,Hypothèses!$X$15,IF(BZ50&lt;=Hypothèses!$V$16,Hypothèses!$X$16,IF(BZ50&lt;=Hypothèses!$U$17,Hypothèses!$W$17,IF(BZ50&lt;=Hypothèses!$U$18,Hypothèses!$W$18,""))))))))))))</f>
        <v>#DIV/0!</v>
      </c>
      <c r="CW50" s="95" t="e">
        <f t="shared" ca="1" si="85"/>
        <v>#DIV/0!</v>
      </c>
      <c r="CX50" s="101">
        <f t="shared" si="127"/>
        <v>0</v>
      </c>
      <c r="CY50" s="91">
        <f t="shared" si="41"/>
        <v>0</v>
      </c>
      <c r="CZ50" s="30" t="e">
        <f t="shared" si="108"/>
        <v>#N/A</v>
      </c>
      <c r="DA50" s="30" t="e">
        <f t="shared" si="109"/>
        <v>#N/A</v>
      </c>
      <c r="DB50" s="31" t="e">
        <f>IF(OR(Hypothèses!$B$4=17,Hypothèses!$B$4=18,Hypothèses!$B$4=19,Hypothèses!$B$4=20),
IF($D50="Pressio.",
IF(OR($E50=3,$E50=1,$E50=4),DA50,CZ50),
IF($D50="Pénétro.",
IF(OR($E50=3,$E50=1,$E50=4),DA50,CZ50))),IF($D50="Pressio.",
IF($E50=3,DA50,CZ50),
IF($D50="Pénétro.",
IF($E50=4,DA50,CZ50))))</f>
        <v>#N/A</v>
      </c>
      <c r="DC50" s="31">
        <v>0</v>
      </c>
      <c r="DD50" s="102" t="e">
        <f>IF(NDC!$H$10="Oui",(VLOOKUP($B$3,'Coeff EC7'!$T$39:$X$59,2,0)*DB50+VLOOKUP($B$3,'Coeff EC7'!$T$65:$X$85,2,0)*Model0.1T!DC50)/1.5,PI()*CZ$12*$Q50*($B50-$B49)*0.15/10+DD49)</f>
        <v>#N/A</v>
      </c>
      <c r="DE50" s="102" t="e">
        <f>(VLOOKUP($B$3,'Coeff EC7'!$T$39:$X$59,3,0)*DB50+VLOOKUP($B$3,'Coeff EC7'!$T$65:$X$85,3,0)*Model0.1T!DC50)/1.1</f>
        <v>#N/A</v>
      </c>
      <c r="DF50" s="102" t="e">
        <f t="shared" si="86"/>
        <v>#N/A</v>
      </c>
      <c r="DG50" s="102" t="e">
        <f t="shared" si="87"/>
        <v>#N/A</v>
      </c>
      <c r="DH50" s="414" t="e">
        <f>IF(AND(DD50&gt;NDC!$C$63,DE50&gt;NDC!$C$65,DF50&gt;NDC!$D$73,DG50&gt;NDC!$D$74,$B50&gt;NDC!$H$22-0.1+MIN(3*DH$12,1.5)),0,1)</f>
        <v>#N/A</v>
      </c>
      <c r="DI50" s="86" t="b">
        <f t="shared" si="44"/>
        <v>0</v>
      </c>
      <c r="DJ50" s="86">
        <f t="shared" si="45"/>
        <v>0.5</v>
      </c>
      <c r="DK50" s="86">
        <f t="shared" si="46"/>
        <v>0.5</v>
      </c>
      <c r="DL50" s="30" t="e">
        <f t="shared" ca="1" si="88"/>
        <v>#DIV/0!</v>
      </c>
      <c r="DM50" s="85" t="e">
        <f ca="1">IF(CS50&lt;=Hypothèses!$V$7,Hypothèses!$W$7,IF(CS50&lt;=Hypothèses!$V$8,Hypothèses!$W$8,IF(CS50&lt;=Hypothèses!$V$9,Hypothèses!$W$9,IF(CS50&lt;=Hypothèses!$V$10,Hypothèses!$W$10,IF(CS50&lt;=Hypothèses!$V$11,Hypothèses!$W$11,IF(CS50&lt;=Hypothèses!$V$12,Hypothèses!$W$12,IF(CS50&lt;=Hypothèses!$V$13,Hypothèses!$W$13,IF(CS50&lt;=Hypothèses!$V$14,Hypothèses!$W$14,IF(CS50&lt;=Hypothèses!$V$15,Hypothèses!$W$15,IF(CS50&lt;=Hypothèses!$V$16,Hypothèses!$W$16,IF(CS50&lt;=Hypothèses!$V$17,Hypothèses!$W$17,IF(CS50&lt;=Hypothèses!$V$18,Hypothèses!$W$18,""))))))))))))</f>
        <v>#DIV/0!</v>
      </c>
      <c r="DN50" s="87" t="e">
        <f t="shared" ca="1" si="121"/>
        <v>#DIV/0!</v>
      </c>
      <c r="DO50" s="88" t="e">
        <f ca="1">IF(CS50&lt;=Hypothèses!$V$7,Hypothèses!$X$7,IF(CS50&lt;=Hypothèses!$V$8,Hypothèses!$X$8,IF(CS50&lt;=Hypothèses!$V$9,Hypothèses!$X$9,IF(CS50&lt;=Hypothèses!$V$10,Hypothèses!$X$10,IF(CS50&lt;=Hypothèses!$V$11,Hypothèses!$X$11,IF(CS50&lt;=Hypothèses!$V$12,Hypothèses!$X$12,IF(CS50&lt;=Hypothèses!$V$13,Hypothèses!$X$13,IF(CS50&lt;=Hypothèses!$V$14,Hypothèses!$X$14,IF(CS50&lt;=Hypothèses!$V$15,Hypothèses!$X$15,IF(CS50&lt;=Hypothèses!$V$16,Hypothèses!$X$16,IF(CS50&lt;=Hypothèses!$U$17,Hypothèses!$W$17,IF(CS50&lt;=Hypothèses!$U$18,Hypothèses!$W$18,""))))))))))))</f>
        <v>#DIV/0!</v>
      </c>
      <c r="DP50" s="95" t="e">
        <f t="shared" ca="1" si="89"/>
        <v>#DIV/0!</v>
      </c>
      <c r="DQ50" s="101">
        <f t="shared" si="128"/>
        <v>0</v>
      </c>
      <c r="DR50" s="91">
        <f t="shared" si="48"/>
        <v>0</v>
      </c>
      <c r="DS50" s="30" t="e">
        <f t="shared" si="110"/>
        <v>#N/A</v>
      </c>
      <c r="DT50" s="30" t="e">
        <f t="shared" si="111"/>
        <v>#N/A</v>
      </c>
      <c r="DU50" s="31" t="e">
        <f>IF(OR(Hypothèses!$B$4=17,Hypothèses!$B$4=18,Hypothèses!$B$4=19,Hypothèses!$B$4=20),
IF($D50="Pressio.",
IF(OR($E50=3,$E50=1,$E50=4),DT50,DS50),
IF($D50="Pénétro.",
IF(OR($E50=3,$E50=1,$E50=4),DT50,DS50))),IF($D50="Pressio.",
IF($E50=3,DT50,DS50),
IF($D50="Pénétro.",
IF($E50=4,DT50,DS50))))</f>
        <v>#N/A</v>
      </c>
      <c r="DV50" s="31">
        <v>0</v>
      </c>
      <c r="DW50" s="102" t="e">
        <f>IF(NDC!$H$10="Oui",(VLOOKUP($B$3,'Coeff EC7'!$T$39:$X$59,2,0)*DU50+VLOOKUP($B$3,'Coeff EC7'!$T$65:$X$85,2,0)*Model0.1T!DV50)/1.5,PI()*DS$12*$Q50*($B50-$B49)*0.15/10+DW49)</f>
        <v>#N/A</v>
      </c>
      <c r="DX50" s="102" t="e">
        <f>(VLOOKUP($B$3,'Coeff EC7'!$T$39:$X$59,3,0)*DU50+VLOOKUP($B$3,'Coeff EC7'!$T$65:$X$85,3,0)*Model0.1T!DV50)/1.1</f>
        <v>#N/A</v>
      </c>
      <c r="DY50" s="102" t="e">
        <f t="shared" si="90"/>
        <v>#N/A</v>
      </c>
      <c r="DZ50" s="102" t="e">
        <f t="shared" si="91"/>
        <v>#N/A</v>
      </c>
      <c r="EA50" s="414" t="e">
        <f>IF(AND(DW50&gt;NDC!$C$63,DX50&gt;NDC!$C$65,DY50&gt;NDC!$D$73,DZ50&gt;NDC!$D$74,$B50&gt;NDC!$H$22-0.1+MIN(3*EA$12,1.5)),0,1)</f>
        <v>#N/A</v>
      </c>
      <c r="EB50" s="86" t="b">
        <f t="shared" si="51"/>
        <v>0</v>
      </c>
      <c r="EC50" s="418">
        <f t="shared" si="52"/>
        <v>0.51</v>
      </c>
      <c r="ED50" s="86">
        <f t="shared" si="53"/>
        <v>0.51</v>
      </c>
      <c r="EE50" s="30" t="e">
        <f t="shared" ca="1" si="92"/>
        <v>#DIV/0!</v>
      </c>
      <c r="EF50" s="85" t="e">
        <f ca="1">IF(DL50&lt;=Hypothèses!$V$7,Hypothèses!$W$7,IF(DL50&lt;=Hypothèses!$V$8,Hypothèses!$W$8,IF(DL50&lt;=Hypothèses!$V$9,Hypothèses!$W$9,IF(DL50&lt;=Hypothèses!$V$10,Hypothèses!$W$10,IF(DL50&lt;=Hypothèses!$V$11,Hypothèses!$W$11,IF(DL50&lt;=Hypothèses!$V$12,Hypothèses!$W$12,IF(DL50&lt;=Hypothèses!$V$13,Hypothèses!$W$13,IF(DL50&lt;=Hypothèses!$V$14,Hypothèses!$W$14,IF(DL50&lt;=Hypothèses!$V$15,Hypothèses!$W$15,IF(DL50&lt;=Hypothèses!$V$16,Hypothèses!$W$16,IF(DL50&lt;=Hypothèses!$V$17,Hypothèses!$W$17,IF(DL50&lt;=Hypothèses!$V$18,Hypothèses!$W$18,""))))))))))))</f>
        <v>#DIV/0!</v>
      </c>
      <c r="EG50" s="87" t="e">
        <f t="shared" ca="1" si="122"/>
        <v>#DIV/0!</v>
      </c>
      <c r="EH50" s="88" t="e">
        <f ca="1">IF(DL50&lt;=Hypothèses!$V$7,Hypothèses!$X$7,IF(DL50&lt;=Hypothèses!$V$8,Hypothèses!$X$8,IF(DL50&lt;=Hypothèses!$V$9,Hypothèses!$X$9,IF(DL50&lt;=Hypothèses!$V$10,Hypothèses!$X$10,IF(DL50&lt;=Hypothèses!$V$11,Hypothèses!$X$11,IF(DL50&lt;=Hypothèses!$V$12,Hypothèses!$X$12,IF(DL50&lt;=Hypothèses!$V$13,Hypothèses!$X$13,IF(DL50&lt;=Hypothèses!$V$14,Hypothèses!$X$14,IF(DL50&lt;=Hypothèses!$V$15,Hypothèses!$X$15,IF(DL50&lt;=Hypothèses!$V$16,Hypothèses!$X$16,IF(DL50&lt;=Hypothèses!$U$17,Hypothèses!$W$17,IF(DL50&lt;=Hypothèses!$U$18,Hypothèses!$W$18,""))))))))))))</f>
        <v>#DIV/0!</v>
      </c>
      <c r="EI50" s="95" t="e">
        <f t="shared" ca="1" si="93"/>
        <v>#DIV/0!</v>
      </c>
      <c r="EJ50" s="101">
        <f t="shared" si="129"/>
        <v>0</v>
      </c>
      <c r="EK50" s="91">
        <f t="shared" si="55"/>
        <v>0</v>
      </c>
      <c r="EL50" s="30" t="e">
        <f t="shared" si="112"/>
        <v>#N/A</v>
      </c>
      <c r="EM50" s="30" t="e">
        <f t="shared" si="113"/>
        <v>#N/A</v>
      </c>
      <c r="EN50" s="31" t="e">
        <f>IF(OR(Hypothèses!$B$4=17,Hypothèses!$B$4=18,Hypothèses!$B$4=19,Hypothèses!$B$4=20),
IF($D50="Pressio.",
IF(OR($E50=3,$E50=1,$E50=4),EM50,EL50),
IF($D50="Pénétro.",
IF(OR($E50=3,$E50=1,$E50=4),EM50,EL50))),IF($D50="Pressio.",
IF($E50=3,EM50,EL50),
IF($D50="Pénétro.",
IF($E50=4,EM50,EL50))))</f>
        <v>#N/A</v>
      </c>
      <c r="EO50" s="31">
        <v>0</v>
      </c>
      <c r="EP50" s="102" t="e">
        <f>IF(NDC!$H$10="Oui",(VLOOKUP($B$3,'Coeff EC7'!$T$39:$X$59,2,0)*EN50+VLOOKUP($B$3,'Coeff EC7'!$T$65:$X$85,2,0)*Model0.1T!EO50)/1.5,PI()*EL$12*$Q50*($B50-$B49)*0.15/10+EP49)</f>
        <v>#N/A</v>
      </c>
      <c r="EQ50" s="102" t="e">
        <f>(VLOOKUP($B$3,'Coeff EC7'!$T$39:$X$59,3,0)*EN50+VLOOKUP($B$3,'Coeff EC7'!$T$65:$X$85,3,0)*Model0.1T!EO50)/1.1</f>
        <v>#N/A</v>
      </c>
      <c r="ER50" s="102" t="e">
        <f t="shared" si="94"/>
        <v>#N/A</v>
      </c>
      <c r="ES50" s="102" t="e">
        <f t="shared" si="95"/>
        <v>#N/A</v>
      </c>
      <c r="ET50" s="414" t="e">
        <f>IF(AND(EP50&gt;NDC!$C$63,EQ50&gt;NDC!$C$65,ER50&gt;NDC!$D$73,ES50&gt;NDC!$D$74,$B50&gt;NDC!$H$22-0.1+MIN(3*ET$12,1.5)),0,1)</f>
        <v>#N/A</v>
      </c>
      <c r="EU50" s="86" t="b">
        <f t="shared" si="58"/>
        <v>0</v>
      </c>
      <c r="EV50" s="86">
        <f t="shared" si="59"/>
        <v>0.61</v>
      </c>
      <c r="EW50" s="86">
        <f t="shared" si="60"/>
        <v>0.61</v>
      </c>
      <c r="EX50" s="30" t="e">
        <f t="shared" ca="1" si="96"/>
        <v>#DIV/0!</v>
      </c>
      <c r="EY50" s="85" t="e">
        <f ca="1">IF(EE50&lt;=Hypothèses!$V$7,Hypothèses!$W$7,IF(EE50&lt;=Hypothèses!$V$8,Hypothèses!$W$8,IF(EE50&lt;=Hypothèses!$V$9,Hypothèses!$W$9,IF(EE50&lt;=Hypothèses!$V$10,Hypothèses!$W$10,IF(EE50&lt;=Hypothèses!$V$11,Hypothèses!$W$11,IF(EE50&lt;=Hypothèses!$V$12,Hypothèses!$W$12,IF(EE50&lt;=Hypothèses!$V$13,Hypothèses!$W$13,IF(EE50&lt;=Hypothèses!$V$14,Hypothèses!$W$14,IF(EE50&lt;=Hypothèses!$V$15,Hypothèses!$W$15,IF(EE50&lt;=Hypothèses!$V$16,Hypothèses!$W$16,IF(EE50&lt;=Hypothèses!$V$17,Hypothèses!$W$17,IF(EE50&lt;=Hypothèses!$V$18,Hypothèses!$W$18,""))))))))))))</f>
        <v>#DIV/0!</v>
      </c>
      <c r="EZ50" s="87" t="e">
        <f t="shared" ca="1" si="123"/>
        <v>#DIV/0!</v>
      </c>
      <c r="FA50" s="88" t="e">
        <f ca="1">IF(EE50&lt;=Hypothèses!$V$7,Hypothèses!$X$7,IF(EE50&lt;=Hypothèses!$V$8,Hypothèses!$X$8,IF(EE50&lt;=Hypothèses!$V$9,Hypothèses!$X$9,IF(EE50&lt;=Hypothèses!$V$10,Hypothèses!$X$10,IF(EE50&lt;=Hypothèses!$V$11,Hypothèses!$X$11,IF(EE50&lt;=Hypothèses!$V$12,Hypothèses!$X$12,IF(EE50&lt;=Hypothèses!$V$13,Hypothèses!$X$13,IF(EE50&lt;=Hypothèses!$V$14,Hypothèses!$X$14,IF(EE50&lt;=Hypothèses!$V$15,Hypothèses!$X$15,IF(EE50&lt;=Hypothèses!$V$16,Hypothèses!$X$16,IF(EE50&lt;=Hypothèses!$U$17,Hypothèses!$W$17,IF(EE50&lt;=Hypothèses!$U$18,Hypothèses!$W$18,""))))))))))))</f>
        <v>#DIV/0!</v>
      </c>
      <c r="FB50" s="95" t="e">
        <f t="shared" ca="1" si="97"/>
        <v>#DIV/0!</v>
      </c>
      <c r="FC50" s="101">
        <f t="shared" si="130"/>
        <v>0</v>
      </c>
      <c r="FD50" s="91">
        <f t="shared" si="62"/>
        <v>0</v>
      </c>
      <c r="FE50" s="30" t="e">
        <f t="shared" si="114"/>
        <v>#N/A</v>
      </c>
      <c r="FF50" s="30" t="e">
        <f t="shared" si="115"/>
        <v>#N/A</v>
      </c>
      <c r="FG50" s="31" t="e">
        <f>IF(OR(Hypothèses!$B$4=17,Hypothèses!$B$4=18,Hypothèses!$B$4=19,Hypothèses!$B$4=20),
IF($D50="Pressio.",
IF(OR($E50=3,$E50=1,$E50=4),FF50,FE50),
IF($D50="Pénétro.",
IF(OR($E50=3,$E50=1,$E50=4),FF50,FE50))),IF($D50="Pressio.",
IF($E50=3,FF50,FE50),
IF($D50="Pénétro.",
IF($E50=4,FF50,FE50))))</f>
        <v>#N/A</v>
      </c>
      <c r="FH50" s="31">
        <v>0</v>
      </c>
      <c r="FI50" s="102" t="e">
        <f>IF(NDC!$H$10="Oui",(VLOOKUP($B$3,'Coeff EC7'!$T$39:$X$59,2,0)*FG50+VLOOKUP($B$3,'Coeff EC7'!$T$65:$X$85,2,0)*Model0.1T!FH50)/1.5,PI()*FE$12*$Q50*($B50-$B49)*0.15/10+FI49)</f>
        <v>#N/A</v>
      </c>
      <c r="FJ50" s="102" t="e">
        <f>(VLOOKUP($B$3,'Coeff EC7'!$T$39:$X$59,3,0)*FG50+VLOOKUP($B$3,'Coeff EC7'!$T$65:$X$85,3,0)*Model0.1T!FH50)/1.1</f>
        <v>#N/A</v>
      </c>
      <c r="FK50" s="102" t="e">
        <f t="shared" si="98"/>
        <v>#N/A</v>
      </c>
      <c r="FL50" s="102" t="e">
        <f t="shared" si="99"/>
        <v>#N/A</v>
      </c>
      <c r="FM50" s="414" t="e">
        <f>IF(AND(FI50&gt;NDC!$C$63,FJ50&gt;NDC!$C$65,FK50&gt;NDC!$D$73,FL50&gt;NDC!$D$74,$B50&gt;NDC!$H$22-0.1+MIN(3*FM$12,1.5)),0,1)</f>
        <v>#N/A</v>
      </c>
    </row>
    <row r="51" spans="1:169">
      <c r="A51" s="96">
        <f t="shared" si="65"/>
        <v>96.200000000000216</v>
      </c>
      <c r="B51" s="97">
        <v>3.8</v>
      </c>
      <c r="C51" s="81">
        <f>IF(B51&lt;=Hypothèses!$C$7,Hypothèses!$A$7,IF(B51&lt;=Hypothèses!$C$8,Hypothèses!$A$8,IF(B51&lt;=Hypothèses!$C$9,Hypothèses!$A$9,IF(B51&lt;=Hypothèses!$C$10,Hypothèses!$A$10,IF(B51&lt;=Hypothèses!$C$11,Hypothèses!$A$11,IF(B51&lt;=Hypothèses!$C$12,Hypothèses!$A$12,IF(B51&lt;=Hypothèses!$C$13,Hypothèses!$A$13,IF(B51&lt;=Hypothèses!$C$14,Hypothèses!$A$14,IF(B51&lt;=Hypothèses!$C$15,Hypothèses!$A$15,IF(B51&lt;=Hypothèses!$C$16,Hypothèses!$A$16,IF(B51&lt;=Hypothèses!$C$17,Hypothèses!$A$17,IF(B51&lt;=Hypothèses!$C$18,Hypothèses!$A$18,C50))))))))))))</f>
        <v>11</v>
      </c>
      <c r="D51" s="82" t="str">
        <f>IF(B51&lt;=Hypothèses!$C$7,Hypothèses!$R$7,IF(B51&lt;=Hypothèses!$C$8,Hypothèses!$R$8,IF(B51&lt;=Hypothèses!$C$9,Hypothèses!$R$9,IF(B51&lt;=Hypothèses!$C$10,Hypothèses!$R$10,IF(B51&lt;=Hypothèses!$C$11,Hypothèses!$R$11,IF(B51&lt;=Hypothèses!$C$12,Hypothèses!$R$12,IF(B51&lt;=Hypothèses!$C$13,Hypothèses!$R$13,IF(B51&lt;=Hypothèses!$C$14,Hypothèses!$R$14,IF(B51&lt;=Hypothèses!$C$15,Hypothèses!$R$15,IF(B51&lt;=Hypothèses!$C$16,Hypothèses!$R$16,IF(B51&lt;=Hypothèses!$C$17,Hypothèses!$R$17,IF(B51&lt;=Hypothèses!$C$18,Hypothèses!$R$18,D50))))))))))))</f>
        <v>Pressio.</v>
      </c>
      <c r="E51" s="82" t="e">
        <f>IF(B51&lt;=Hypothèses!$C$7,Hypothèses!$G$7,IF(B51&lt;=Hypothèses!$C$8,Hypothèses!$G$8,IF(B51&lt;=Hypothèses!$C$9,Hypothèses!$G$9,IF(B51&lt;=Hypothèses!$C$10,Hypothèses!$G$10,IF(B51&lt;=Hypothèses!$C$11,Hypothèses!$G$11,IF(B51&lt;=Hypothèses!$C$12,Hypothèses!$G$12,IF(B51&lt;=Hypothèses!$C$13,Hypothèses!$G$13,IF(B51&lt;=Hypothèses!$C$14,Hypothèses!$G$14,IF(B51&lt;=Hypothèses!$C$15,Hypothèses!$G$15,IF(B51&lt;=Hypothèses!$C$16,Hypothèses!$G$16,IF(B51&lt;=Hypothèses!$C$17,Hypothèses!$G$17,IF(B51&lt;=Hypothèses!$C$18,Hypothèses!$G$18,E50))))))))))))</f>
        <v>#N/A</v>
      </c>
      <c r="F51" s="82" t="str">
        <f>IF(B51&lt;=Hypothèses!$C$7,Hypothèses!$F$7,IF(B51&lt;=Hypothèses!$C$8,Hypothèses!$F$8,IF(B51&lt;=Hypothèses!$C$9,Hypothèses!$F$9,IF(B51&lt;=Hypothèses!$C$10,Hypothèses!$F$10,IF(B51&lt;=Hypothèses!$C$11,Hypothèses!$F$11,IF(B51&lt;=Hypothèses!$C$12,Hypothèses!$F$12,IF(B51&lt;=Hypothèses!$C$13,Hypothèses!$F$13,IF(B51&lt;=Hypothèses!$C$14,Hypothèses!$F$14,IF(B51&lt;=Hypothèses!$C$15,Hypothèses!$F$15,IF(B51&lt;=Hypothèses!$C$16,Hypothèses!$F$16,IF(B51&lt;=Hypothèses!$C$17,Hypothèses!$F$17,IF(B51&lt;=Hypothèses!$C$18,Hypothèses!$F$18,F50))))))))))))</f>
        <v/>
      </c>
      <c r="G51" s="91">
        <f t="array" ref="G51">INDEX('Coeff EC7'!$U$7:$X$27,
MATCH(Model0.1T!$B$3,'Coeff EC7'!$T$7:$T$27,0),
MATCH(Model0.1T!$D51&amp;Model0.1T!$B$4,
'Coeff EC7'!$U$6:$X$6&amp;
'Coeff EC7'!$U$5:$X$5,0))</f>
        <v>1.4</v>
      </c>
      <c r="H51" s="91">
        <f t="array" ref="H51">INDEX('Coeff EC7'!$Y$7:$AB$27,
MATCH(Model0.1T!$B$3,'Coeff EC7'!$T$7:$T$27,0),
MATCH(Model0.1T!$D51&amp;Model0.1T!$B$4,
'Coeff EC7'!$Y$6:$AB$6&amp;
'Coeff EC7'!$Y$5:$AB$5,0))</f>
        <v>1.7</v>
      </c>
      <c r="I51" s="83">
        <v>0</v>
      </c>
      <c r="J51" s="91" t="e">
        <f t="array" ref="J51">INDEX('Coeff EC7'!$D$33:$Q$33,1,MATCH(D51&amp;E51,'Coeff EC7'!$D$31:$Q$31&amp;'Coeff EC7'!$D$32:$Q$32,0))</f>
        <v>#N/A</v>
      </c>
      <c r="K51" s="91" t="e">
        <f t="array" ref="K51">INDEX('Coeff EC7'!$D$34:$Q$34,1,MATCH(D51&amp;E51,'Coeff EC7'!$D$31:$Q$31&amp;'Coeff EC7'!$D$32:$Q$32,0))</f>
        <v>#N/A</v>
      </c>
      <c r="L51" s="91" t="e">
        <f t="array" ref="L51">INDEX('Coeff EC7'!$D$35:$Q$35,1,MATCH(D51&amp;E51,'Coeff EC7'!$D$31:$Q$31&amp;'Coeff EC7'!$D$32:$Q$32,0))</f>
        <v>#N/A</v>
      </c>
      <c r="M51" s="98" t="e">
        <f t="shared" si="8"/>
        <v>#N/A</v>
      </c>
      <c r="N51" s="99" t="e">
        <f t="array" ref="N51">INDEX('Coeff EC7'!$D$7:$Q$27,MATCH($B$3,'Coeff EC7'!$C$7:$C$27,0),MATCH(D51&amp;E51,'Coeff EC7'!$D$5:$Q$5&amp;'Coeff EC7'!$D$6:$Q$6,0))</f>
        <v>#N/A</v>
      </c>
      <c r="O51" s="99" t="e">
        <f t="array" ref="O51">INDEX('Coeff EC7'!$D$41:$Q$61,MATCH($B$3,'Coeff EC7'!$C$41:$C$61,0),MATCH(D51&amp;E51,'Coeff EC7'!$D$39:$Q$39&amp;'Coeff EC7'!$D$40:$Q$40,0))</f>
        <v>#N/A</v>
      </c>
      <c r="P51" s="30" t="e">
        <f t="shared" si="66"/>
        <v>#N/A</v>
      </c>
      <c r="Q51" s="100" t="e">
        <f t="shared" si="10"/>
        <v>#N/A</v>
      </c>
      <c r="R51" s="86" t="b">
        <f t="shared" si="11"/>
        <v>0</v>
      </c>
      <c r="S51" s="86">
        <f t="shared" si="9"/>
        <v>0.5</v>
      </c>
      <c r="T51" s="86">
        <f t="shared" si="12"/>
        <v>0.5</v>
      </c>
      <c r="U51" s="30" t="e">
        <f t="shared" ca="1" si="67"/>
        <v>#DIV/0!</v>
      </c>
      <c r="V51" s="85" t="str">
        <f>IF(B51&lt;=Hypothèses!$V$7,Hypothèses!$W$7,IF(B51&lt;=Hypothèses!$V$8,Hypothèses!$W$8,IF(B51&lt;=Hypothèses!$V$9,Hypothèses!$W$9,IF(B51&lt;=Hypothèses!$V$10,Hypothèses!$W$10,IF(B51&lt;=Hypothèses!$V$11,Hypothèses!$W$11,IF(B51&lt;=Hypothèses!$V$12,Hypothèses!$W$12,IF(B51&lt;=Hypothèses!$V$13,Hypothèses!$W$13,IF(B51&lt;=Hypothèses!$V$14,Hypothèses!$W$14,IF(B51&lt;=Hypothèses!$V$15,Hypothèses!$W$15,IF(B51&lt;=Hypothèses!$V$16,Hypothèses!$W$16,IF(B51&lt;=Hypothèses!$V$17,Hypothèses!$W$17,IF(B51&lt;=Hypothèses!$V$18,Hypothèses!$W$18,""))))))))))))</f>
        <v/>
      </c>
      <c r="W51" s="87" t="e">
        <f t="shared" ca="1" si="116"/>
        <v>#DIV/0!</v>
      </c>
      <c r="X51" s="88" t="str">
        <f>IF(B51&lt;=Hypothèses!$V$7,Hypothèses!$X$7,IF(B51&lt;=Hypothèses!$V$8,Hypothèses!$X$8,IF(B51&lt;=Hypothèses!$V$9,Hypothèses!$X$9,IF(B51&lt;=Hypothèses!$V$10,Hypothèses!$X$10,IF(B51&lt;=Hypothèses!$V$11,Hypothèses!$X$11,IF(B51&lt;=Hypothèses!$V$12,Hypothèses!$X$12,IF(B51&lt;=Hypothèses!$V$13,Hypothèses!$X$13,IF(B51&lt;=Hypothèses!$V$14,Hypothèses!$X$14,IF(B51&lt;=Hypothèses!$V$15,Hypothèses!$X$15,IF(B51&lt;=Hypothèses!$V$16,Hypothèses!$X$16,IF(B51&lt;=Hypothèses!$U$17,Hypothèses!$W$17,IF(B51&lt;=Hypothèses!$U$18,Hypothèses!$W$18,""))))))))))))</f>
        <v/>
      </c>
      <c r="Y51" s="95" t="e">
        <f t="shared" ca="1" si="13"/>
        <v>#DIV/0!</v>
      </c>
      <c r="Z51" s="101">
        <f t="shared" si="14"/>
        <v>0</v>
      </c>
      <c r="AA51" s="91">
        <f t="shared" si="15"/>
        <v>0</v>
      </c>
      <c r="AB51" s="30" t="e">
        <f t="shared" si="100"/>
        <v>#N/A</v>
      </c>
      <c r="AC51" s="30" t="e">
        <f t="shared" si="101"/>
        <v>#N/A</v>
      </c>
      <c r="AD51" s="31" t="e">
        <f>IF(OR(Hypothèses!$B$4=17,Hypothèses!$B$4=18,Hypothèses!$B$4=19,Hypothèses!$B$4=20),
IF($D51="Pressio.",
IF(OR($E51=3,$E51=1,$E51=4),AC51,AB51),
IF($D51="Pénétro.",
IF(OR($E51=3,$E51=1,$E51=4),AC51,AB51))),IF($D51="Pressio.",
IF($E51=3,AC51,AB51),
IF($D51="Pénétro.",
IF($E51=4,AC51,AB51))))</f>
        <v>#N/A</v>
      </c>
      <c r="AE51" s="31">
        <v>0</v>
      </c>
      <c r="AF51" s="102" t="e">
        <f>IF(NDC!$H$10="Oui",(VLOOKUP($B$3,'Coeff EC7'!$T$39:$X$59,2,0)*AD51+VLOOKUP($B$3,'Coeff EC7'!$T$65:$X$85,2,0)*Model0.1T!AE51)/1.5,PI()*AB$12*$Q51*($B51-$B50)*0.15/10+AF50)</f>
        <v>#N/A</v>
      </c>
      <c r="AG51" s="102" t="e">
        <f>(VLOOKUP($B$3,'Coeff EC7'!$T$39:$X$59,3,0)*AD51+VLOOKUP($B$3,'Coeff EC7'!$T$65:$X$85,3,0)*Model0.1T!AE51)/1.1</f>
        <v>#N/A</v>
      </c>
      <c r="AH51" s="102" t="e">
        <f t="shared" si="68"/>
        <v>#N/A</v>
      </c>
      <c r="AI51" s="102" t="e">
        <f t="shared" si="69"/>
        <v>#N/A</v>
      </c>
      <c r="AJ51" s="414" t="e">
        <f>IF(AND(AF51&gt;NDC!$C$63,AG51&gt;NDC!$C$65,AH51&gt;NDC!$D$73,AI51&gt;NDC!$D$74,$B51&gt;NDC!$H$22-0.1+MIN(3*$AJ$12,1.5)),0,1)</f>
        <v>#N/A</v>
      </c>
      <c r="AK51" s="86" t="b">
        <f t="shared" si="18"/>
        <v>0</v>
      </c>
      <c r="AL51" s="86">
        <f t="shared" si="70"/>
        <v>0.5</v>
      </c>
      <c r="AM51" s="86">
        <f t="shared" si="19"/>
        <v>0.5</v>
      </c>
      <c r="AN51" s="30" t="e">
        <f t="shared" ca="1" si="71"/>
        <v>#DIV/0!</v>
      </c>
      <c r="AO51" s="85" t="e">
        <f ca="1">IF(U51&lt;=Hypothèses!$V$7,Hypothèses!$W$7,IF(U51&lt;=Hypothèses!$V$8,Hypothèses!$W$8,IF(U51&lt;=Hypothèses!$V$9,Hypothèses!$W$9,IF(U51&lt;=Hypothèses!$V$10,Hypothèses!$W$10,IF(U51&lt;=Hypothèses!$V$11,Hypothèses!$W$11,IF(U51&lt;=Hypothèses!$V$12,Hypothèses!$W$12,IF(U51&lt;=Hypothèses!$V$13,Hypothèses!$W$13,IF(U51&lt;=Hypothèses!$V$14,Hypothèses!$W$14,IF(U51&lt;=Hypothèses!$V$15,Hypothèses!$W$15,IF(U51&lt;=Hypothèses!$V$16,Hypothèses!$W$16,IF(U51&lt;=Hypothèses!$V$17,Hypothèses!$W$17,IF(U51&lt;=Hypothèses!$V$18,Hypothèses!$W$18,""))))))))))))</f>
        <v>#DIV/0!</v>
      </c>
      <c r="AP51" s="87" t="e">
        <f t="shared" ca="1" si="117"/>
        <v>#DIV/0!</v>
      </c>
      <c r="AQ51" s="88" t="e">
        <f ca="1">IF(U51&lt;=Hypothèses!$V$7,Hypothèses!$X$7,IF(U51&lt;=Hypothèses!$V$8,Hypothèses!$X$8,IF(U51&lt;=Hypothèses!$V$9,Hypothèses!$X$9,IF(U51&lt;=Hypothèses!$V$10,Hypothèses!$X$10,IF(U51&lt;=Hypothèses!$V$11,Hypothèses!$X$11,IF(U51&lt;=Hypothèses!$V$12,Hypothèses!$X$12,IF(U51&lt;=Hypothèses!$V$13,Hypothèses!$X$13,IF(U51&lt;=Hypothèses!$V$14,Hypothèses!$X$14,IF(U51&lt;=Hypothèses!$V$15,Hypothèses!$X$15,IF(U51&lt;=Hypothèses!$V$16,Hypothèses!$X$16,IF(U51&lt;=Hypothèses!$U$17,Hypothèses!$W$17,IF(U51&lt;=Hypothèses!$U$18,Hypothèses!$W$18,""))))))))))))</f>
        <v>#DIV/0!</v>
      </c>
      <c r="AR51" s="95" t="e">
        <f t="shared" ca="1" si="72"/>
        <v>#DIV/0!</v>
      </c>
      <c r="AS51" s="101">
        <f t="shared" si="124"/>
        <v>0</v>
      </c>
      <c r="AT51" s="91">
        <f t="shared" si="21"/>
        <v>0</v>
      </c>
      <c r="AU51" s="30" t="e">
        <f t="shared" si="102"/>
        <v>#N/A</v>
      </c>
      <c r="AV51" s="30" t="e">
        <f t="shared" si="103"/>
        <v>#N/A</v>
      </c>
      <c r="AW51" s="31" t="e">
        <f>IF(OR(Hypothèses!$B$4=17,Hypothèses!$B$4=18,Hypothèses!$B$4=19,Hypothèses!$B$4=20),
IF($D51="Pressio.",
IF(OR($E51=3,$E51=1,$E51=4),AV51,AU51),
IF($D51="Pénétro.",
IF(OR($E51=3,$E51=1,$E51=4),AV51,AU51))),IF($D51="Pressio.",
IF($E51=3,AV51,AU51),
IF($D51="Pénétro.",
IF($E51=4,AV51,AU51))))</f>
        <v>#N/A</v>
      </c>
      <c r="AX51" s="31">
        <v>0</v>
      </c>
      <c r="AY51" s="102" t="e">
        <f>IF(NDC!$H$10="Oui",(VLOOKUP($B$3,'Coeff EC7'!$T$39:$X$59,2,0)*AW51+VLOOKUP($B$3,'Coeff EC7'!$T$65:$X$85,2,0)*Model0.1T!AX51)/1.5,PI()*AU$12*$Q51*($B51-$B50)*0.15/10+AY50)</f>
        <v>#N/A</v>
      </c>
      <c r="AZ51" s="102" t="e">
        <f>(VLOOKUP($B$3,'Coeff EC7'!$T$39:$X$59,3,0)*AW51+VLOOKUP($B$3,'Coeff EC7'!$T$65:$X$85,3,0)*Model0.1T!AX51)/1.1</f>
        <v>#N/A</v>
      </c>
      <c r="BA51" s="102" t="e">
        <f t="shared" si="73"/>
        <v>#N/A</v>
      </c>
      <c r="BB51" s="102" t="e">
        <f t="shared" si="74"/>
        <v>#N/A</v>
      </c>
      <c r="BC51" s="414" t="e">
        <f>IF(AND(AY51&gt;NDC!$C$63,AZ51&gt;NDC!$C$65,BA51&gt;NDC!$D$73,BB51&gt;NDC!$D$74,$B51&gt;NDC!$H$22-0.1+MIN(3*BC$12,1.5)),0,1)</f>
        <v>#N/A</v>
      </c>
      <c r="BD51" s="86" t="b">
        <f t="shared" si="24"/>
        <v>0</v>
      </c>
      <c r="BE51" s="86">
        <f t="shared" si="75"/>
        <v>0.5</v>
      </c>
      <c r="BF51" s="86">
        <f t="shared" si="25"/>
        <v>0.5</v>
      </c>
      <c r="BG51" s="30" t="e">
        <f t="shared" ca="1" si="76"/>
        <v>#DIV/0!</v>
      </c>
      <c r="BH51" s="85" t="e">
        <f ca="1">IF(AN51&lt;=Hypothèses!$V$7,Hypothèses!$W$7,IF(AN51&lt;=Hypothèses!$V$8,Hypothèses!$W$8,IF(AN51&lt;=Hypothèses!$V$9,Hypothèses!$W$9,IF(AN51&lt;=Hypothèses!$V$10,Hypothèses!$W$10,IF(AN51&lt;=Hypothèses!$V$11,Hypothèses!$W$11,IF(AN51&lt;=Hypothèses!$V$12,Hypothèses!$W$12,IF(AN51&lt;=Hypothèses!$V$13,Hypothèses!$W$13,IF(AN51&lt;=Hypothèses!$V$14,Hypothèses!$W$14,IF(AN51&lt;=Hypothèses!$V$15,Hypothèses!$W$15,IF(AN51&lt;=Hypothèses!$V$16,Hypothèses!$W$16,IF(AN51&lt;=Hypothèses!$V$17,Hypothèses!$W$17,IF(AN51&lt;=Hypothèses!$V$18,Hypothèses!$W$18,""))))))))))))</f>
        <v>#DIV/0!</v>
      </c>
      <c r="BI51" s="87" t="e">
        <f t="shared" ca="1" si="118"/>
        <v>#DIV/0!</v>
      </c>
      <c r="BJ51" s="88" t="e">
        <f ca="1">IF(AN51&lt;=Hypothèses!$V$7,Hypothèses!$X$7,IF(AN51&lt;=Hypothèses!$V$8,Hypothèses!$X$8,IF(AN51&lt;=Hypothèses!$V$9,Hypothèses!$X$9,IF(AN51&lt;=Hypothèses!$V$10,Hypothèses!$X$10,IF(AN51&lt;=Hypothèses!$V$11,Hypothèses!$X$11,IF(AN51&lt;=Hypothèses!$V$12,Hypothèses!$X$12,IF(AN51&lt;=Hypothèses!$V$13,Hypothèses!$X$13,IF(AN51&lt;=Hypothèses!$V$14,Hypothèses!$X$14,IF(AN51&lt;=Hypothèses!$V$15,Hypothèses!$X$15,IF(AN51&lt;=Hypothèses!$V$16,Hypothèses!$X$16,IF(AN51&lt;=Hypothèses!$U$17,Hypothèses!$W$17,IF(AN51&lt;=Hypothèses!$U$18,Hypothèses!$W$18,""))))))))))))</f>
        <v>#DIV/0!</v>
      </c>
      <c r="BK51" s="95" t="e">
        <f t="shared" ca="1" si="77"/>
        <v>#DIV/0!</v>
      </c>
      <c r="BL51" s="101">
        <f t="shared" si="125"/>
        <v>0</v>
      </c>
      <c r="BM51" s="91">
        <f t="shared" si="27"/>
        <v>0</v>
      </c>
      <c r="BN51" s="30" t="e">
        <f t="shared" si="104"/>
        <v>#N/A</v>
      </c>
      <c r="BO51" s="30" t="e">
        <f t="shared" si="105"/>
        <v>#N/A</v>
      </c>
      <c r="BP51" s="31" t="e">
        <f>IF(OR(Hypothèses!$B$4=17,Hypothèses!$B$4=18,Hypothèses!$B$4=19,Hypothèses!$B$4=20),
IF($D51="Pressio.",
IF(OR($E51=3,$E51=1,$E51=4),BO51,BN51),
IF($D51="Pénétro.",
IF(OR($E51=3,$E51=1,$E51=4),BO51,BN51))),IF($D51="Pressio.",
IF($E51=3,BO51,BN51),
IF($D51="Pénétro.",
IF($E51=4,BO51,BN51))))</f>
        <v>#N/A</v>
      </c>
      <c r="BQ51" s="31">
        <v>0</v>
      </c>
      <c r="BR51" s="102" t="e">
        <f>IF(NDC!$H$10="Oui",(VLOOKUP($B$3,'Coeff EC7'!$T$39:$X$59,2,0)*BP51+VLOOKUP($B$3,'Coeff EC7'!$T$65:$X$85,2,0)*Model0.1T!BQ51)/1.5,PI()*BN$12*$Q51*($B51-$B50)*0.15/10+BR50)</f>
        <v>#N/A</v>
      </c>
      <c r="BS51" s="102" t="e">
        <f>(VLOOKUP($B$3,'Coeff EC7'!$T$39:$X$59,3,0)*BP51+VLOOKUP($B$3,'Coeff EC7'!$T$65:$X$85,3,0)*Model0.1T!BQ51)/1.1</f>
        <v>#N/A</v>
      </c>
      <c r="BT51" s="102" t="e">
        <f t="shared" si="78"/>
        <v>#N/A</v>
      </c>
      <c r="BU51" s="102" t="e">
        <f t="shared" si="79"/>
        <v>#N/A</v>
      </c>
      <c r="BV51" s="414" t="e">
        <f>IF(AND(BR51&gt;NDC!$C$63,BS51&gt;NDC!$C$65,BT51&gt;NDC!$D$73,BU51&gt;NDC!$D$74,$B51&gt;NDC!$H$22-0.1+MIN(3*BV$12,1.5)),0,1)</f>
        <v>#N/A</v>
      </c>
      <c r="BW51" s="86" t="b">
        <f t="shared" si="30"/>
        <v>0</v>
      </c>
      <c r="BX51" s="86">
        <f t="shared" si="31"/>
        <v>0.5</v>
      </c>
      <c r="BY51" s="86">
        <f t="shared" si="32"/>
        <v>0.5</v>
      </c>
      <c r="BZ51" s="30" t="e">
        <f t="shared" ca="1" si="80"/>
        <v>#DIV/0!</v>
      </c>
      <c r="CA51" s="85" t="e">
        <f ca="1">IF(BG51&lt;=Hypothèses!$V$7,Hypothèses!$W$7,IF(BG51&lt;=Hypothèses!$V$8,Hypothèses!$W$8,IF(BG51&lt;=Hypothèses!$V$9,Hypothèses!$W$9,IF(BG51&lt;=Hypothèses!$V$10,Hypothèses!$W$10,IF(BG51&lt;=Hypothèses!$V$11,Hypothèses!$W$11,IF(BG51&lt;=Hypothèses!$V$12,Hypothèses!$W$12,IF(BG51&lt;=Hypothèses!$V$13,Hypothèses!$W$13,IF(BG51&lt;=Hypothèses!$V$14,Hypothèses!$W$14,IF(BG51&lt;=Hypothèses!$V$15,Hypothèses!$W$15,IF(BG51&lt;=Hypothèses!$V$16,Hypothèses!$W$16,IF(BG51&lt;=Hypothèses!$V$17,Hypothèses!$W$17,IF(BG51&lt;=Hypothèses!$V$18,Hypothèses!$W$18,""))))))))))))</f>
        <v>#DIV/0!</v>
      </c>
      <c r="CB51" s="87" t="e">
        <f t="shared" ca="1" si="119"/>
        <v>#DIV/0!</v>
      </c>
      <c r="CC51" s="88" t="e">
        <f ca="1">IF(BG51&lt;=Hypothèses!$V$7,Hypothèses!$X$7,IF(BG51&lt;=Hypothèses!$V$8,Hypothèses!$X$8,IF(BG51&lt;=Hypothèses!$V$9,Hypothèses!$X$9,IF(BG51&lt;=Hypothèses!$V$10,Hypothèses!$X$10,IF(BG51&lt;=Hypothèses!$V$11,Hypothèses!$X$11,IF(BG51&lt;=Hypothèses!$V$12,Hypothèses!$X$12,IF(BG51&lt;=Hypothèses!$V$13,Hypothèses!$X$13,IF(BG51&lt;=Hypothèses!$V$14,Hypothèses!$X$14,IF(BG51&lt;=Hypothèses!$V$15,Hypothèses!$X$15,IF(BG51&lt;=Hypothèses!$V$16,Hypothèses!$X$16,IF(BG51&lt;=Hypothèses!$U$17,Hypothèses!$W$17,IF(BG51&lt;=Hypothèses!$U$18,Hypothèses!$W$18,""))))))))))))</f>
        <v>#DIV/0!</v>
      </c>
      <c r="CD51" s="95" t="e">
        <f t="shared" ca="1" si="81"/>
        <v>#DIV/0!</v>
      </c>
      <c r="CE51" s="101">
        <f t="shared" si="126"/>
        <v>0</v>
      </c>
      <c r="CF51" s="91">
        <f t="shared" si="34"/>
        <v>0</v>
      </c>
      <c r="CG51" s="30" t="e">
        <f t="shared" si="106"/>
        <v>#N/A</v>
      </c>
      <c r="CH51" s="30" t="e">
        <f t="shared" si="107"/>
        <v>#N/A</v>
      </c>
      <c r="CI51" s="31" t="e">
        <f>IF(OR(Hypothèses!$B$4=17,Hypothèses!$B$4=18,Hypothèses!$B$4=19,Hypothèses!$B$4=20),
IF($D51="Pressio.",
IF(OR($E51=3,$E51=1,$E51=4),CH51,CG51),
IF($D51="Pénétro.",
IF(OR($E51=3,$E51=1,$E51=4),CH51,CG51))),IF($D51="Pressio.",
IF($E51=3,CH51,CG51),
IF($D51="Pénétro.",
IF($E51=4,CH51,CG51))))</f>
        <v>#N/A</v>
      </c>
      <c r="CJ51" s="31">
        <v>0</v>
      </c>
      <c r="CK51" s="102" t="e">
        <f>IF(NDC!$H$10="Oui",(VLOOKUP($B$3,'Coeff EC7'!$T$39:$X$59,2,0)*CI51+VLOOKUP($B$3,'Coeff EC7'!$T$65:$X$85,2,0)*Model0.1T!CJ51)/1.5,PI()*CG$12*$Q51*($B51-$B50)*0.15/10+CK50)</f>
        <v>#N/A</v>
      </c>
      <c r="CL51" s="102" t="e">
        <f>(VLOOKUP($B$3,'Coeff EC7'!$T$39:$X$59,3,0)*CI51+VLOOKUP($B$3,'Coeff EC7'!$T$65:$X$85,3,0)*Model0.1T!CJ51)/1.1</f>
        <v>#N/A</v>
      </c>
      <c r="CM51" s="102" t="e">
        <f t="shared" si="82"/>
        <v>#N/A</v>
      </c>
      <c r="CN51" s="102" t="e">
        <f t="shared" si="83"/>
        <v>#N/A</v>
      </c>
      <c r="CO51" s="414" t="e">
        <f>IF(AND(CK51&gt;NDC!$C$63,CL51&gt;NDC!$C$65,CM51&gt;NDC!$D$73,CN51&gt;NDC!$D$74,$B51&gt;NDC!$H$22-0.1+MIN(3*CO$12,1.5)),0,1)</f>
        <v>#N/A</v>
      </c>
      <c r="CP51" s="86" t="b">
        <f t="shared" si="37"/>
        <v>0</v>
      </c>
      <c r="CQ51" s="86">
        <f t="shared" si="38"/>
        <v>0.5</v>
      </c>
      <c r="CR51" s="86">
        <f t="shared" si="39"/>
        <v>0.5</v>
      </c>
      <c r="CS51" s="30" t="e">
        <f t="shared" ca="1" si="84"/>
        <v>#DIV/0!</v>
      </c>
      <c r="CT51" s="85" t="e">
        <f ca="1">IF(BZ51&lt;=Hypothèses!$V$7,Hypothèses!$W$7,IF(BZ51&lt;=Hypothèses!$V$8,Hypothèses!$W$8,IF(BZ51&lt;=Hypothèses!$V$9,Hypothèses!$W$9,IF(BZ51&lt;=Hypothèses!$V$10,Hypothèses!$W$10,IF(BZ51&lt;=Hypothèses!$V$11,Hypothèses!$W$11,IF(BZ51&lt;=Hypothèses!$V$12,Hypothèses!$W$12,IF(BZ51&lt;=Hypothèses!$V$13,Hypothèses!$W$13,IF(BZ51&lt;=Hypothèses!$V$14,Hypothèses!$W$14,IF(BZ51&lt;=Hypothèses!$V$15,Hypothèses!$W$15,IF(BZ51&lt;=Hypothèses!$V$16,Hypothèses!$W$16,IF(BZ51&lt;=Hypothèses!$V$17,Hypothèses!$W$17,IF(BZ51&lt;=Hypothèses!$V$18,Hypothèses!$W$18,""))))))))))))</f>
        <v>#DIV/0!</v>
      </c>
      <c r="CU51" s="87" t="e">
        <f t="shared" ca="1" si="120"/>
        <v>#DIV/0!</v>
      </c>
      <c r="CV51" s="88" t="e">
        <f ca="1">IF(BZ51&lt;=Hypothèses!$V$7,Hypothèses!$X$7,IF(BZ51&lt;=Hypothèses!$V$8,Hypothèses!$X$8,IF(BZ51&lt;=Hypothèses!$V$9,Hypothèses!$X$9,IF(BZ51&lt;=Hypothèses!$V$10,Hypothèses!$X$10,IF(BZ51&lt;=Hypothèses!$V$11,Hypothèses!$X$11,IF(BZ51&lt;=Hypothèses!$V$12,Hypothèses!$X$12,IF(BZ51&lt;=Hypothèses!$V$13,Hypothèses!$X$13,IF(BZ51&lt;=Hypothèses!$V$14,Hypothèses!$X$14,IF(BZ51&lt;=Hypothèses!$V$15,Hypothèses!$X$15,IF(BZ51&lt;=Hypothèses!$V$16,Hypothèses!$X$16,IF(BZ51&lt;=Hypothèses!$U$17,Hypothèses!$W$17,IF(BZ51&lt;=Hypothèses!$U$18,Hypothèses!$W$18,""))))))))))))</f>
        <v>#DIV/0!</v>
      </c>
      <c r="CW51" s="95" t="e">
        <f t="shared" ca="1" si="85"/>
        <v>#DIV/0!</v>
      </c>
      <c r="CX51" s="101">
        <f t="shared" si="127"/>
        <v>0</v>
      </c>
      <c r="CY51" s="91">
        <f t="shared" si="41"/>
        <v>0</v>
      </c>
      <c r="CZ51" s="30" t="e">
        <f t="shared" si="108"/>
        <v>#N/A</v>
      </c>
      <c r="DA51" s="30" t="e">
        <f t="shared" si="109"/>
        <v>#N/A</v>
      </c>
      <c r="DB51" s="31" t="e">
        <f>IF(OR(Hypothèses!$B$4=17,Hypothèses!$B$4=18,Hypothèses!$B$4=19,Hypothèses!$B$4=20),
IF($D51="Pressio.",
IF(OR($E51=3,$E51=1,$E51=4),DA51,CZ51),
IF($D51="Pénétro.",
IF(OR($E51=3,$E51=1,$E51=4),DA51,CZ51))),IF($D51="Pressio.",
IF($E51=3,DA51,CZ51),
IF($D51="Pénétro.",
IF($E51=4,DA51,CZ51))))</f>
        <v>#N/A</v>
      </c>
      <c r="DC51" s="31">
        <v>0</v>
      </c>
      <c r="DD51" s="102" t="e">
        <f>IF(NDC!$H$10="Oui",(VLOOKUP($B$3,'Coeff EC7'!$T$39:$X$59,2,0)*DB51+VLOOKUP($B$3,'Coeff EC7'!$T$65:$X$85,2,0)*Model0.1T!DC51)/1.5,PI()*CZ$12*$Q51*($B51-$B50)*0.15/10+DD50)</f>
        <v>#N/A</v>
      </c>
      <c r="DE51" s="102" t="e">
        <f>(VLOOKUP($B$3,'Coeff EC7'!$T$39:$X$59,3,0)*DB51+VLOOKUP($B$3,'Coeff EC7'!$T$65:$X$85,3,0)*Model0.1T!DC51)/1.1</f>
        <v>#N/A</v>
      </c>
      <c r="DF51" s="102" t="e">
        <f t="shared" si="86"/>
        <v>#N/A</v>
      </c>
      <c r="DG51" s="102" t="e">
        <f t="shared" si="87"/>
        <v>#N/A</v>
      </c>
      <c r="DH51" s="414" t="e">
        <f>IF(AND(DD51&gt;NDC!$C$63,DE51&gt;NDC!$C$65,DF51&gt;NDC!$D$73,DG51&gt;NDC!$D$74,$B51&gt;NDC!$H$22-0.1+MIN(3*DH$12,1.5)),0,1)</f>
        <v>#N/A</v>
      </c>
      <c r="DI51" s="86" t="b">
        <f t="shared" si="44"/>
        <v>0</v>
      </c>
      <c r="DJ51" s="86">
        <f t="shared" si="45"/>
        <v>0.5</v>
      </c>
      <c r="DK51" s="86">
        <f t="shared" si="46"/>
        <v>0.5</v>
      </c>
      <c r="DL51" s="30" t="e">
        <f t="shared" ca="1" si="88"/>
        <v>#DIV/0!</v>
      </c>
      <c r="DM51" s="85" t="e">
        <f ca="1">IF(CS51&lt;=Hypothèses!$V$7,Hypothèses!$W$7,IF(CS51&lt;=Hypothèses!$V$8,Hypothèses!$W$8,IF(CS51&lt;=Hypothèses!$V$9,Hypothèses!$W$9,IF(CS51&lt;=Hypothèses!$V$10,Hypothèses!$W$10,IF(CS51&lt;=Hypothèses!$V$11,Hypothèses!$W$11,IF(CS51&lt;=Hypothèses!$V$12,Hypothèses!$W$12,IF(CS51&lt;=Hypothèses!$V$13,Hypothèses!$W$13,IF(CS51&lt;=Hypothèses!$V$14,Hypothèses!$W$14,IF(CS51&lt;=Hypothèses!$V$15,Hypothèses!$W$15,IF(CS51&lt;=Hypothèses!$V$16,Hypothèses!$W$16,IF(CS51&lt;=Hypothèses!$V$17,Hypothèses!$W$17,IF(CS51&lt;=Hypothèses!$V$18,Hypothèses!$W$18,""))))))))))))</f>
        <v>#DIV/0!</v>
      </c>
      <c r="DN51" s="87" t="e">
        <f t="shared" ca="1" si="121"/>
        <v>#DIV/0!</v>
      </c>
      <c r="DO51" s="88" t="e">
        <f ca="1">IF(CS51&lt;=Hypothèses!$V$7,Hypothèses!$X$7,IF(CS51&lt;=Hypothèses!$V$8,Hypothèses!$X$8,IF(CS51&lt;=Hypothèses!$V$9,Hypothèses!$X$9,IF(CS51&lt;=Hypothèses!$V$10,Hypothèses!$X$10,IF(CS51&lt;=Hypothèses!$V$11,Hypothèses!$X$11,IF(CS51&lt;=Hypothèses!$V$12,Hypothèses!$X$12,IF(CS51&lt;=Hypothèses!$V$13,Hypothèses!$X$13,IF(CS51&lt;=Hypothèses!$V$14,Hypothèses!$X$14,IF(CS51&lt;=Hypothèses!$V$15,Hypothèses!$X$15,IF(CS51&lt;=Hypothèses!$V$16,Hypothèses!$X$16,IF(CS51&lt;=Hypothèses!$U$17,Hypothèses!$W$17,IF(CS51&lt;=Hypothèses!$U$18,Hypothèses!$W$18,""))))))))))))</f>
        <v>#DIV/0!</v>
      </c>
      <c r="DP51" s="95" t="e">
        <f t="shared" ca="1" si="89"/>
        <v>#DIV/0!</v>
      </c>
      <c r="DQ51" s="101">
        <f t="shared" si="128"/>
        <v>0</v>
      </c>
      <c r="DR51" s="91">
        <f t="shared" si="48"/>
        <v>0</v>
      </c>
      <c r="DS51" s="30" t="e">
        <f t="shared" si="110"/>
        <v>#N/A</v>
      </c>
      <c r="DT51" s="30" t="e">
        <f t="shared" si="111"/>
        <v>#N/A</v>
      </c>
      <c r="DU51" s="31" t="e">
        <f>IF(OR(Hypothèses!$B$4=17,Hypothèses!$B$4=18,Hypothèses!$B$4=19,Hypothèses!$B$4=20),
IF($D51="Pressio.",
IF(OR($E51=3,$E51=1,$E51=4),DT51,DS51),
IF($D51="Pénétro.",
IF(OR($E51=3,$E51=1,$E51=4),DT51,DS51))),IF($D51="Pressio.",
IF($E51=3,DT51,DS51),
IF($D51="Pénétro.",
IF($E51=4,DT51,DS51))))</f>
        <v>#N/A</v>
      </c>
      <c r="DV51" s="31">
        <v>0</v>
      </c>
      <c r="DW51" s="102" t="e">
        <f>IF(NDC!$H$10="Oui",(VLOOKUP($B$3,'Coeff EC7'!$T$39:$X$59,2,0)*DU51+VLOOKUP($B$3,'Coeff EC7'!$T$65:$X$85,2,0)*Model0.1T!DV51)/1.5,PI()*DS$12*$Q51*($B51-$B50)*0.15/10+DW50)</f>
        <v>#N/A</v>
      </c>
      <c r="DX51" s="102" t="e">
        <f>(VLOOKUP($B$3,'Coeff EC7'!$T$39:$X$59,3,0)*DU51+VLOOKUP($B$3,'Coeff EC7'!$T$65:$X$85,3,0)*Model0.1T!DV51)/1.1</f>
        <v>#N/A</v>
      </c>
      <c r="DY51" s="102" t="e">
        <f t="shared" si="90"/>
        <v>#N/A</v>
      </c>
      <c r="DZ51" s="102" t="e">
        <f t="shared" si="91"/>
        <v>#N/A</v>
      </c>
      <c r="EA51" s="414" t="e">
        <f>IF(AND(DW51&gt;NDC!$C$63,DX51&gt;NDC!$C$65,DY51&gt;NDC!$D$73,DZ51&gt;NDC!$D$74,$B51&gt;NDC!$H$22-0.1+MIN(3*EA$12,1.5)),0,1)</f>
        <v>#N/A</v>
      </c>
      <c r="EB51" s="86" t="b">
        <f t="shared" si="51"/>
        <v>0</v>
      </c>
      <c r="EC51" s="418">
        <f t="shared" si="52"/>
        <v>0.51</v>
      </c>
      <c r="ED51" s="86">
        <f t="shared" si="53"/>
        <v>0.51</v>
      </c>
      <c r="EE51" s="30" t="e">
        <f t="shared" ca="1" si="92"/>
        <v>#DIV/0!</v>
      </c>
      <c r="EF51" s="85" t="e">
        <f ca="1">IF(DL51&lt;=Hypothèses!$V$7,Hypothèses!$W$7,IF(DL51&lt;=Hypothèses!$V$8,Hypothèses!$W$8,IF(DL51&lt;=Hypothèses!$V$9,Hypothèses!$W$9,IF(DL51&lt;=Hypothèses!$V$10,Hypothèses!$W$10,IF(DL51&lt;=Hypothèses!$V$11,Hypothèses!$W$11,IF(DL51&lt;=Hypothèses!$V$12,Hypothèses!$W$12,IF(DL51&lt;=Hypothèses!$V$13,Hypothèses!$W$13,IF(DL51&lt;=Hypothèses!$V$14,Hypothèses!$W$14,IF(DL51&lt;=Hypothèses!$V$15,Hypothèses!$W$15,IF(DL51&lt;=Hypothèses!$V$16,Hypothèses!$W$16,IF(DL51&lt;=Hypothèses!$V$17,Hypothèses!$W$17,IF(DL51&lt;=Hypothèses!$V$18,Hypothèses!$W$18,""))))))))))))</f>
        <v>#DIV/0!</v>
      </c>
      <c r="EG51" s="87" t="e">
        <f t="shared" ca="1" si="122"/>
        <v>#DIV/0!</v>
      </c>
      <c r="EH51" s="88" t="e">
        <f ca="1">IF(DL51&lt;=Hypothèses!$V$7,Hypothèses!$X$7,IF(DL51&lt;=Hypothèses!$V$8,Hypothèses!$X$8,IF(DL51&lt;=Hypothèses!$V$9,Hypothèses!$X$9,IF(DL51&lt;=Hypothèses!$V$10,Hypothèses!$X$10,IF(DL51&lt;=Hypothèses!$V$11,Hypothèses!$X$11,IF(DL51&lt;=Hypothèses!$V$12,Hypothèses!$X$12,IF(DL51&lt;=Hypothèses!$V$13,Hypothèses!$X$13,IF(DL51&lt;=Hypothèses!$V$14,Hypothèses!$X$14,IF(DL51&lt;=Hypothèses!$V$15,Hypothèses!$X$15,IF(DL51&lt;=Hypothèses!$V$16,Hypothèses!$X$16,IF(DL51&lt;=Hypothèses!$U$17,Hypothèses!$W$17,IF(DL51&lt;=Hypothèses!$U$18,Hypothèses!$W$18,""))))))))))))</f>
        <v>#DIV/0!</v>
      </c>
      <c r="EI51" s="95" t="e">
        <f t="shared" ca="1" si="93"/>
        <v>#DIV/0!</v>
      </c>
      <c r="EJ51" s="101">
        <f t="shared" si="129"/>
        <v>0</v>
      </c>
      <c r="EK51" s="91">
        <f t="shared" si="55"/>
        <v>0</v>
      </c>
      <c r="EL51" s="30" t="e">
        <f t="shared" si="112"/>
        <v>#N/A</v>
      </c>
      <c r="EM51" s="30" t="e">
        <f t="shared" si="113"/>
        <v>#N/A</v>
      </c>
      <c r="EN51" s="31" t="e">
        <f>IF(OR(Hypothèses!$B$4=17,Hypothèses!$B$4=18,Hypothèses!$B$4=19,Hypothèses!$B$4=20),
IF($D51="Pressio.",
IF(OR($E51=3,$E51=1,$E51=4),EM51,EL51),
IF($D51="Pénétro.",
IF(OR($E51=3,$E51=1,$E51=4),EM51,EL51))),IF($D51="Pressio.",
IF($E51=3,EM51,EL51),
IF($D51="Pénétro.",
IF($E51=4,EM51,EL51))))</f>
        <v>#N/A</v>
      </c>
      <c r="EO51" s="31">
        <v>0</v>
      </c>
      <c r="EP51" s="102" t="e">
        <f>IF(NDC!$H$10="Oui",(VLOOKUP($B$3,'Coeff EC7'!$T$39:$X$59,2,0)*EN51+VLOOKUP($B$3,'Coeff EC7'!$T$65:$X$85,2,0)*Model0.1T!EO51)/1.5,PI()*EL$12*$Q51*($B51-$B50)*0.15/10+EP50)</f>
        <v>#N/A</v>
      </c>
      <c r="EQ51" s="102" t="e">
        <f>(VLOOKUP($B$3,'Coeff EC7'!$T$39:$X$59,3,0)*EN51+VLOOKUP($B$3,'Coeff EC7'!$T$65:$X$85,3,0)*Model0.1T!EO51)/1.1</f>
        <v>#N/A</v>
      </c>
      <c r="ER51" s="102" t="e">
        <f t="shared" si="94"/>
        <v>#N/A</v>
      </c>
      <c r="ES51" s="102" t="e">
        <f t="shared" si="95"/>
        <v>#N/A</v>
      </c>
      <c r="ET51" s="414" t="e">
        <f>IF(AND(EP51&gt;NDC!$C$63,EQ51&gt;NDC!$C$65,ER51&gt;NDC!$D$73,ES51&gt;NDC!$D$74,$B51&gt;NDC!$H$22-0.1+MIN(3*ET$12,1.5)),0,1)</f>
        <v>#N/A</v>
      </c>
      <c r="EU51" s="86" t="b">
        <f t="shared" si="58"/>
        <v>0</v>
      </c>
      <c r="EV51" s="86">
        <f t="shared" si="59"/>
        <v>0.61</v>
      </c>
      <c r="EW51" s="86">
        <f t="shared" si="60"/>
        <v>0.61</v>
      </c>
      <c r="EX51" s="30" t="e">
        <f t="shared" ca="1" si="96"/>
        <v>#DIV/0!</v>
      </c>
      <c r="EY51" s="85" t="e">
        <f ca="1">IF(EE51&lt;=Hypothèses!$V$7,Hypothèses!$W$7,IF(EE51&lt;=Hypothèses!$V$8,Hypothèses!$W$8,IF(EE51&lt;=Hypothèses!$V$9,Hypothèses!$W$9,IF(EE51&lt;=Hypothèses!$V$10,Hypothèses!$W$10,IF(EE51&lt;=Hypothèses!$V$11,Hypothèses!$W$11,IF(EE51&lt;=Hypothèses!$V$12,Hypothèses!$W$12,IF(EE51&lt;=Hypothèses!$V$13,Hypothèses!$W$13,IF(EE51&lt;=Hypothèses!$V$14,Hypothèses!$W$14,IF(EE51&lt;=Hypothèses!$V$15,Hypothèses!$W$15,IF(EE51&lt;=Hypothèses!$V$16,Hypothèses!$W$16,IF(EE51&lt;=Hypothèses!$V$17,Hypothèses!$W$17,IF(EE51&lt;=Hypothèses!$V$18,Hypothèses!$W$18,""))))))))))))</f>
        <v>#DIV/0!</v>
      </c>
      <c r="EZ51" s="87" t="e">
        <f t="shared" ca="1" si="123"/>
        <v>#DIV/0!</v>
      </c>
      <c r="FA51" s="88" t="e">
        <f ca="1">IF(EE51&lt;=Hypothèses!$V$7,Hypothèses!$X$7,IF(EE51&lt;=Hypothèses!$V$8,Hypothèses!$X$8,IF(EE51&lt;=Hypothèses!$V$9,Hypothèses!$X$9,IF(EE51&lt;=Hypothèses!$V$10,Hypothèses!$X$10,IF(EE51&lt;=Hypothèses!$V$11,Hypothèses!$X$11,IF(EE51&lt;=Hypothèses!$V$12,Hypothèses!$X$12,IF(EE51&lt;=Hypothèses!$V$13,Hypothèses!$X$13,IF(EE51&lt;=Hypothèses!$V$14,Hypothèses!$X$14,IF(EE51&lt;=Hypothèses!$V$15,Hypothèses!$X$15,IF(EE51&lt;=Hypothèses!$V$16,Hypothèses!$X$16,IF(EE51&lt;=Hypothèses!$U$17,Hypothèses!$W$17,IF(EE51&lt;=Hypothèses!$U$18,Hypothèses!$W$18,""))))))))))))</f>
        <v>#DIV/0!</v>
      </c>
      <c r="FB51" s="95" t="e">
        <f t="shared" ca="1" si="97"/>
        <v>#DIV/0!</v>
      </c>
      <c r="FC51" s="101">
        <f t="shared" si="130"/>
        <v>0</v>
      </c>
      <c r="FD51" s="91">
        <f t="shared" si="62"/>
        <v>0</v>
      </c>
      <c r="FE51" s="30" t="e">
        <f t="shared" si="114"/>
        <v>#N/A</v>
      </c>
      <c r="FF51" s="30" t="e">
        <f t="shared" si="115"/>
        <v>#N/A</v>
      </c>
      <c r="FG51" s="31" t="e">
        <f>IF(OR(Hypothèses!$B$4=17,Hypothèses!$B$4=18,Hypothèses!$B$4=19,Hypothèses!$B$4=20),
IF($D51="Pressio.",
IF(OR($E51=3,$E51=1,$E51=4),FF51,FE51),
IF($D51="Pénétro.",
IF(OR($E51=3,$E51=1,$E51=4),FF51,FE51))),IF($D51="Pressio.",
IF($E51=3,FF51,FE51),
IF($D51="Pénétro.",
IF($E51=4,FF51,FE51))))</f>
        <v>#N/A</v>
      </c>
      <c r="FH51" s="31">
        <v>0</v>
      </c>
      <c r="FI51" s="102" t="e">
        <f>IF(NDC!$H$10="Oui",(VLOOKUP($B$3,'Coeff EC7'!$T$39:$X$59,2,0)*FG51+VLOOKUP($B$3,'Coeff EC7'!$T$65:$X$85,2,0)*Model0.1T!FH51)/1.5,PI()*FE$12*$Q51*($B51-$B50)*0.15/10+FI50)</f>
        <v>#N/A</v>
      </c>
      <c r="FJ51" s="102" t="e">
        <f>(VLOOKUP($B$3,'Coeff EC7'!$T$39:$X$59,3,0)*FG51+VLOOKUP($B$3,'Coeff EC7'!$T$65:$X$85,3,0)*Model0.1T!FH51)/1.1</f>
        <v>#N/A</v>
      </c>
      <c r="FK51" s="102" t="e">
        <f t="shared" si="98"/>
        <v>#N/A</v>
      </c>
      <c r="FL51" s="102" t="e">
        <f t="shared" si="99"/>
        <v>#N/A</v>
      </c>
      <c r="FM51" s="414" t="e">
        <f>IF(AND(FI51&gt;NDC!$C$63,FJ51&gt;NDC!$C$65,FK51&gt;NDC!$D$73,FL51&gt;NDC!$D$74,$B51&gt;NDC!$H$22-0.1+MIN(3*FM$12,1.5)),0,1)</f>
        <v>#N/A</v>
      </c>
    </row>
    <row r="52" spans="1:169">
      <c r="A52" s="96">
        <f t="shared" si="65"/>
        <v>96.100000000000222</v>
      </c>
      <c r="B52" s="97">
        <v>3.9</v>
      </c>
      <c r="C52" s="81">
        <f>IF(B52&lt;=Hypothèses!$C$7,Hypothèses!$A$7,IF(B52&lt;=Hypothèses!$C$8,Hypothèses!$A$8,IF(B52&lt;=Hypothèses!$C$9,Hypothèses!$A$9,IF(B52&lt;=Hypothèses!$C$10,Hypothèses!$A$10,IF(B52&lt;=Hypothèses!$C$11,Hypothèses!$A$11,IF(B52&lt;=Hypothèses!$C$12,Hypothèses!$A$12,IF(B52&lt;=Hypothèses!$C$13,Hypothèses!$A$13,IF(B52&lt;=Hypothèses!$C$14,Hypothèses!$A$14,IF(B52&lt;=Hypothèses!$C$15,Hypothèses!$A$15,IF(B52&lt;=Hypothèses!$C$16,Hypothèses!$A$16,IF(B52&lt;=Hypothèses!$C$17,Hypothèses!$A$17,IF(B52&lt;=Hypothèses!$C$18,Hypothèses!$A$18,C51))))))))))))</f>
        <v>11</v>
      </c>
      <c r="D52" s="82" t="str">
        <f>IF(B52&lt;=Hypothèses!$C$7,Hypothèses!$R$7,IF(B52&lt;=Hypothèses!$C$8,Hypothèses!$R$8,IF(B52&lt;=Hypothèses!$C$9,Hypothèses!$R$9,IF(B52&lt;=Hypothèses!$C$10,Hypothèses!$R$10,IF(B52&lt;=Hypothèses!$C$11,Hypothèses!$R$11,IF(B52&lt;=Hypothèses!$C$12,Hypothèses!$R$12,IF(B52&lt;=Hypothèses!$C$13,Hypothèses!$R$13,IF(B52&lt;=Hypothèses!$C$14,Hypothèses!$R$14,IF(B52&lt;=Hypothèses!$C$15,Hypothèses!$R$15,IF(B52&lt;=Hypothèses!$C$16,Hypothèses!$R$16,IF(B52&lt;=Hypothèses!$C$17,Hypothèses!$R$17,IF(B52&lt;=Hypothèses!$C$18,Hypothèses!$R$18,D51))))))))))))</f>
        <v>Pressio.</v>
      </c>
      <c r="E52" s="82" t="e">
        <f>IF(B52&lt;=Hypothèses!$C$7,Hypothèses!$G$7,IF(B52&lt;=Hypothèses!$C$8,Hypothèses!$G$8,IF(B52&lt;=Hypothèses!$C$9,Hypothèses!$G$9,IF(B52&lt;=Hypothèses!$C$10,Hypothèses!$G$10,IF(B52&lt;=Hypothèses!$C$11,Hypothèses!$G$11,IF(B52&lt;=Hypothèses!$C$12,Hypothèses!$G$12,IF(B52&lt;=Hypothèses!$C$13,Hypothèses!$G$13,IF(B52&lt;=Hypothèses!$C$14,Hypothèses!$G$14,IF(B52&lt;=Hypothèses!$C$15,Hypothèses!$G$15,IF(B52&lt;=Hypothèses!$C$16,Hypothèses!$G$16,IF(B52&lt;=Hypothèses!$C$17,Hypothèses!$G$17,IF(B52&lt;=Hypothèses!$C$18,Hypothèses!$G$18,E51))))))))))))</f>
        <v>#N/A</v>
      </c>
      <c r="F52" s="82" t="str">
        <f>IF(B52&lt;=Hypothèses!$C$7,Hypothèses!$F$7,IF(B52&lt;=Hypothèses!$C$8,Hypothèses!$F$8,IF(B52&lt;=Hypothèses!$C$9,Hypothèses!$F$9,IF(B52&lt;=Hypothèses!$C$10,Hypothèses!$F$10,IF(B52&lt;=Hypothèses!$C$11,Hypothèses!$F$11,IF(B52&lt;=Hypothèses!$C$12,Hypothèses!$F$12,IF(B52&lt;=Hypothèses!$C$13,Hypothèses!$F$13,IF(B52&lt;=Hypothèses!$C$14,Hypothèses!$F$14,IF(B52&lt;=Hypothèses!$C$15,Hypothèses!$F$15,IF(B52&lt;=Hypothèses!$C$16,Hypothèses!$F$16,IF(B52&lt;=Hypothèses!$C$17,Hypothèses!$F$17,IF(B52&lt;=Hypothèses!$C$18,Hypothèses!$F$18,F51))))))))))))</f>
        <v/>
      </c>
      <c r="G52" s="91">
        <f t="array" ref="G52">INDEX('Coeff EC7'!$U$7:$X$27,
MATCH(Model0.1T!$B$3,'Coeff EC7'!$T$7:$T$27,0),
MATCH(Model0.1T!$D52&amp;Model0.1T!$B$4,
'Coeff EC7'!$U$6:$X$6&amp;
'Coeff EC7'!$U$5:$X$5,0))</f>
        <v>1.4</v>
      </c>
      <c r="H52" s="91">
        <f t="array" ref="H52">INDEX('Coeff EC7'!$Y$7:$AB$27,
MATCH(Model0.1T!$B$3,'Coeff EC7'!$T$7:$T$27,0),
MATCH(Model0.1T!$D52&amp;Model0.1T!$B$4,
'Coeff EC7'!$Y$6:$AB$6&amp;
'Coeff EC7'!$Y$5:$AB$5,0))</f>
        <v>1.7</v>
      </c>
      <c r="I52" s="83">
        <v>0</v>
      </c>
      <c r="J52" s="91" t="e">
        <f t="array" ref="J52">INDEX('Coeff EC7'!$D$33:$Q$33,1,MATCH(D52&amp;E52,'Coeff EC7'!$D$31:$Q$31&amp;'Coeff EC7'!$D$32:$Q$32,0))</f>
        <v>#N/A</v>
      </c>
      <c r="K52" s="91" t="e">
        <f t="array" ref="K52">INDEX('Coeff EC7'!$D$34:$Q$34,1,MATCH(D52&amp;E52,'Coeff EC7'!$D$31:$Q$31&amp;'Coeff EC7'!$D$32:$Q$32,0))</f>
        <v>#N/A</v>
      </c>
      <c r="L52" s="91" t="e">
        <f t="array" ref="L52">INDEX('Coeff EC7'!$D$35:$Q$35,1,MATCH(D52&amp;E52,'Coeff EC7'!$D$31:$Q$31&amp;'Coeff EC7'!$D$32:$Q$32,0))</f>
        <v>#N/A</v>
      </c>
      <c r="M52" s="98" t="e">
        <f t="shared" si="8"/>
        <v>#N/A</v>
      </c>
      <c r="N52" s="99" t="e">
        <f t="array" ref="N52">INDEX('Coeff EC7'!$D$7:$Q$27,MATCH($B$3,'Coeff EC7'!$C$7:$C$27,0),MATCH(D52&amp;E52,'Coeff EC7'!$D$5:$Q$5&amp;'Coeff EC7'!$D$6:$Q$6,0))</f>
        <v>#N/A</v>
      </c>
      <c r="O52" s="99" t="e">
        <f t="array" ref="O52">INDEX('Coeff EC7'!$D$41:$Q$61,MATCH($B$3,'Coeff EC7'!$C$41:$C$61,0),MATCH(D52&amp;E52,'Coeff EC7'!$D$39:$Q$39&amp;'Coeff EC7'!$D$40:$Q$40,0))</f>
        <v>#N/A</v>
      </c>
      <c r="P52" s="30" t="e">
        <f t="shared" si="66"/>
        <v>#N/A</v>
      </c>
      <c r="Q52" s="100" t="e">
        <f t="shared" si="10"/>
        <v>#N/A</v>
      </c>
      <c r="R52" s="86" t="b">
        <f t="shared" si="11"/>
        <v>0</v>
      </c>
      <c r="S52" s="86">
        <f t="shared" si="9"/>
        <v>0.5</v>
      </c>
      <c r="T52" s="86">
        <f t="shared" si="12"/>
        <v>0.5</v>
      </c>
      <c r="U52" s="30" t="e">
        <f t="shared" ca="1" si="67"/>
        <v>#DIV/0!</v>
      </c>
      <c r="V52" s="85" t="str">
        <f>IF(B52&lt;=Hypothèses!$V$7,Hypothèses!$W$7,IF(B52&lt;=Hypothèses!$V$8,Hypothèses!$W$8,IF(B52&lt;=Hypothèses!$V$9,Hypothèses!$W$9,IF(B52&lt;=Hypothèses!$V$10,Hypothèses!$W$10,IF(B52&lt;=Hypothèses!$V$11,Hypothèses!$W$11,IF(B52&lt;=Hypothèses!$V$12,Hypothèses!$W$12,IF(B52&lt;=Hypothèses!$V$13,Hypothèses!$W$13,IF(B52&lt;=Hypothèses!$V$14,Hypothèses!$W$14,IF(B52&lt;=Hypothèses!$V$15,Hypothèses!$W$15,IF(B52&lt;=Hypothèses!$V$16,Hypothèses!$W$16,IF(B52&lt;=Hypothèses!$V$17,Hypothèses!$W$17,IF(B52&lt;=Hypothèses!$V$18,Hypothèses!$W$18,""))))))))))))</f>
        <v/>
      </c>
      <c r="W52" s="87" t="e">
        <f t="shared" ca="1" si="116"/>
        <v>#DIV/0!</v>
      </c>
      <c r="X52" s="88" t="str">
        <f>IF(B52&lt;=Hypothèses!$V$7,Hypothèses!$X$7,IF(B52&lt;=Hypothèses!$V$8,Hypothèses!$X$8,IF(B52&lt;=Hypothèses!$V$9,Hypothèses!$X$9,IF(B52&lt;=Hypothèses!$V$10,Hypothèses!$X$10,IF(B52&lt;=Hypothèses!$V$11,Hypothèses!$X$11,IF(B52&lt;=Hypothèses!$V$12,Hypothèses!$X$12,IF(B52&lt;=Hypothèses!$V$13,Hypothèses!$X$13,IF(B52&lt;=Hypothèses!$V$14,Hypothèses!$X$14,IF(B52&lt;=Hypothèses!$V$15,Hypothèses!$X$15,IF(B52&lt;=Hypothèses!$V$16,Hypothèses!$X$16,IF(B52&lt;=Hypothèses!$U$17,Hypothèses!$W$17,IF(B52&lt;=Hypothèses!$U$18,Hypothèses!$W$18,""))))))))))))</f>
        <v/>
      </c>
      <c r="Y52" s="95" t="e">
        <f t="shared" ca="1" si="13"/>
        <v>#DIV/0!</v>
      </c>
      <c r="Z52" s="101">
        <f t="shared" si="14"/>
        <v>0</v>
      </c>
      <c r="AA52" s="91">
        <f t="shared" si="15"/>
        <v>0</v>
      </c>
      <c r="AB52" s="30" t="e">
        <f t="shared" si="100"/>
        <v>#N/A</v>
      </c>
      <c r="AC52" s="30" t="e">
        <f t="shared" si="101"/>
        <v>#N/A</v>
      </c>
      <c r="AD52" s="31" t="e">
        <f>IF(OR(Hypothèses!$B$4=17,Hypothèses!$B$4=18,Hypothèses!$B$4=19,Hypothèses!$B$4=20),
IF($D52="Pressio.",
IF(OR($E52=3,$E52=1,$E52=4),AC52,AB52),
IF($D52="Pénétro.",
IF(OR($E52=3,$E52=1,$E52=4),AC52,AB52))),IF($D52="Pressio.",
IF($E52=3,AC52,AB52),
IF($D52="Pénétro.",
IF($E52=4,AC52,AB52))))</f>
        <v>#N/A</v>
      </c>
      <c r="AE52" s="31">
        <v>0</v>
      </c>
      <c r="AF52" s="102" t="e">
        <f>IF(NDC!$H$10="Oui",(VLOOKUP($B$3,'Coeff EC7'!$T$39:$X$59,2,0)*AD52+VLOOKUP($B$3,'Coeff EC7'!$T$65:$X$85,2,0)*Model0.1T!AE52)/1.5,PI()*AB$12*$Q52*($B52-$B51)*0.15/10+AF51)</f>
        <v>#N/A</v>
      </c>
      <c r="AG52" s="102" t="e">
        <f>(VLOOKUP($B$3,'Coeff EC7'!$T$39:$X$59,3,0)*AD52+VLOOKUP($B$3,'Coeff EC7'!$T$65:$X$85,3,0)*Model0.1T!AE52)/1.1</f>
        <v>#N/A</v>
      </c>
      <c r="AH52" s="102" t="e">
        <f t="shared" si="68"/>
        <v>#N/A</v>
      </c>
      <c r="AI52" s="102" t="e">
        <f t="shared" si="69"/>
        <v>#N/A</v>
      </c>
      <c r="AJ52" s="414" t="e">
        <f>IF(AND(AF52&gt;NDC!$C$63,AG52&gt;NDC!$C$65,AH52&gt;NDC!$D$73,AI52&gt;NDC!$D$74,$B52&gt;NDC!$H$22-0.1+MIN(3*$AJ$12,1.5)),0,1)</f>
        <v>#N/A</v>
      </c>
      <c r="AK52" s="86" t="b">
        <f t="shared" si="18"/>
        <v>0</v>
      </c>
      <c r="AL52" s="86">
        <f t="shared" si="70"/>
        <v>0.5</v>
      </c>
      <c r="AM52" s="86">
        <f t="shared" si="19"/>
        <v>0.5</v>
      </c>
      <c r="AN52" s="30" t="e">
        <f t="shared" ca="1" si="71"/>
        <v>#DIV/0!</v>
      </c>
      <c r="AO52" s="85" t="e">
        <f ca="1">IF(U52&lt;=Hypothèses!$V$7,Hypothèses!$W$7,IF(U52&lt;=Hypothèses!$V$8,Hypothèses!$W$8,IF(U52&lt;=Hypothèses!$V$9,Hypothèses!$W$9,IF(U52&lt;=Hypothèses!$V$10,Hypothèses!$W$10,IF(U52&lt;=Hypothèses!$V$11,Hypothèses!$W$11,IF(U52&lt;=Hypothèses!$V$12,Hypothèses!$W$12,IF(U52&lt;=Hypothèses!$V$13,Hypothèses!$W$13,IF(U52&lt;=Hypothèses!$V$14,Hypothèses!$W$14,IF(U52&lt;=Hypothèses!$V$15,Hypothèses!$W$15,IF(U52&lt;=Hypothèses!$V$16,Hypothèses!$W$16,IF(U52&lt;=Hypothèses!$V$17,Hypothèses!$W$17,IF(U52&lt;=Hypothèses!$V$18,Hypothèses!$W$18,""))))))))))))</f>
        <v>#DIV/0!</v>
      </c>
      <c r="AP52" s="87" t="e">
        <f t="shared" ca="1" si="117"/>
        <v>#DIV/0!</v>
      </c>
      <c r="AQ52" s="88" t="e">
        <f ca="1">IF(U52&lt;=Hypothèses!$V$7,Hypothèses!$X$7,IF(U52&lt;=Hypothèses!$V$8,Hypothèses!$X$8,IF(U52&lt;=Hypothèses!$V$9,Hypothèses!$X$9,IF(U52&lt;=Hypothèses!$V$10,Hypothèses!$X$10,IF(U52&lt;=Hypothèses!$V$11,Hypothèses!$X$11,IF(U52&lt;=Hypothèses!$V$12,Hypothèses!$X$12,IF(U52&lt;=Hypothèses!$V$13,Hypothèses!$X$13,IF(U52&lt;=Hypothèses!$V$14,Hypothèses!$X$14,IF(U52&lt;=Hypothèses!$V$15,Hypothèses!$X$15,IF(U52&lt;=Hypothèses!$V$16,Hypothèses!$X$16,IF(U52&lt;=Hypothèses!$U$17,Hypothèses!$W$17,IF(U52&lt;=Hypothèses!$U$18,Hypothèses!$W$18,""))))))))))))</f>
        <v>#DIV/0!</v>
      </c>
      <c r="AR52" s="95" t="e">
        <f t="shared" ca="1" si="72"/>
        <v>#DIV/0!</v>
      </c>
      <c r="AS52" s="101">
        <f t="shared" si="124"/>
        <v>0</v>
      </c>
      <c r="AT52" s="91">
        <f t="shared" si="21"/>
        <v>0</v>
      </c>
      <c r="AU52" s="30" t="e">
        <f t="shared" si="102"/>
        <v>#N/A</v>
      </c>
      <c r="AV52" s="30" t="e">
        <f t="shared" si="103"/>
        <v>#N/A</v>
      </c>
      <c r="AW52" s="31" t="e">
        <f>IF(OR(Hypothèses!$B$4=17,Hypothèses!$B$4=18,Hypothèses!$B$4=19,Hypothèses!$B$4=20),
IF($D52="Pressio.",
IF(OR($E52=3,$E52=1,$E52=4),AV52,AU52),
IF($D52="Pénétro.",
IF(OR($E52=3,$E52=1,$E52=4),AV52,AU52))),IF($D52="Pressio.",
IF($E52=3,AV52,AU52),
IF($D52="Pénétro.",
IF($E52=4,AV52,AU52))))</f>
        <v>#N/A</v>
      </c>
      <c r="AX52" s="31">
        <v>0</v>
      </c>
      <c r="AY52" s="102" t="e">
        <f>IF(NDC!$H$10="Oui",(VLOOKUP($B$3,'Coeff EC7'!$T$39:$X$59,2,0)*AW52+VLOOKUP($B$3,'Coeff EC7'!$T$65:$X$85,2,0)*Model0.1T!AX52)/1.5,PI()*AU$12*$Q52*($B52-$B51)*0.15/10+AY51)</f>
        <v>#N/A</v>
      </c>
      <c r="AZ52" s="102" t="e">
        <f>(VLOOKUP($B$3,'Coeff EC7'!$T$39:$X$59,3,0)*AW52+VLOOKUP($B$3,'Coeff EC7'!$T$65:$X$85,3,0)*Model0.1T!AX52)/1.1</f>
        <v>#N/A</v>
      </c>
      <c r="BA52" s="102" t="e">
        <f t="shared" si="73"/>
        <v>#N/A</v>
      </c>
      <c r="BB52" s="102" t="e">
        <f t="shared" si="74"/>
        <v>#N/A</v>
      </c>
      <c r="BC52" s="414" t="e">
        <f>IF(AND(AY52&gt;NDC!$C$63,AZ52&gt;NDC!$C$65,BA52&gt;NDC!$D$73,BB52&gt;NDC!$D$74,$B52&gt;NDC!$H$22-0.1+MIN(3*BC$12,1.5)),0,1)</f>
        <v>#N/A</v>
      </c>
      <c r="BD52" s="86" t="b">
        <f t="shared" si="24"/>
        <v>0</v>
      </c>
      <c r="BE52" s="86">
        <f t="shared" si="75"/>
        <v>0.5</v>
      </c>
      <c r="BF52" s="86">
        <f t="shared" si="25"/>
        <v>0.5</v>
      </c>
      <c r="BG52" s="30" t="e">
        <f t="shared" ca="1" si="76"/>
        <v>#DIV/0!</v>
      </c>
      <c r="BH52" s="85" t="e">
        <f ca="1">IF(AN52&lt;=Hypothèses!$V$7,Hypothèses!$W$7,IF(AN52&lt;=Hypothèses!$V$8,Hypothèses!$W$8,IF(AN52&lt;=Hypothèses!$V$9,Hypothèses!$W$9,IF(AN52&lt;=Hypothèses!$V$10,Hypothèses!$W$10,IF(AN52&lt;=Hypothèses!$V$11,Hypothèses!$W$11,IF(AN52&lt;=Hypothèses!$V$12,Hypothèses!$W$12,IF(AN52&lt;=Hypothèses!$V$13,Hypothèses!$W$13,IF(AN52&lt;=Hypothèses!$V$14,Hypothèses!$W$14,IF(AN52&lt;=Hypothèses!$V$15,Hypothèses!$W$15,IF(AN52&lt;=Hypothèses!$V$16,Hypothèses!$W$16,IF(AN52&lt;=Hypothèses!$V$17,Hypothèses!$W$17,IF(AN52&lt;=Hypothèses!$V$18,Hypothèses!$W$18,""))))))))))))</f>
        <v>#DIV/0!</v>
      </c>
      <c r="BI52" s="87" t="e">
        <f t="shared" ca="1" si="118"/>
        <v>#DIV/0!</v>
      </c>
      <c r="BJ52" s="88" t="e">
        <f ca="1">IF(AN52&lt;=Hypothèses!$V$7,Hypothèses!$X$7,IF(AN52&lt;=Hypothèses!$V$8,Hypothèses!$X$8,IF(AN52&lt;=Hypothèses!$V$9,Hypothèses!$X$9,IF(AN52&lt;=Hypothèses!$V$10,Hypothèses!$X$10,IF(AN52&lt;=Hypothèses!$V$11,Hypothèses!$X$11,IF(AN52&lt;=Hypothèses!$V$12,Hypothèses!$X$12,IF(AN52&lt;=Hypothèses!$V$13,Hypothèses!$X$13,IF(AN52&lt;=Hypothèses!$V$14,Hypothèses!$X$14,IF(AN52&lt;=Hypothèses!$V$15,Hypothèses!$X$15,IF(AN52&lt;=Hypothèses!$V$16,Hypothèses!$X$16,IF(AN52&lt;=Hypothèses!$U$17,Hypothèses!$W$17,IF(AN52&lt;=Hypothèses!$U$18,Hypothèses!$W$18,""))))))))))))</f>
        <v>#DIV/0!</v>
      </c>
      <c r="BK52" s="95" t="e">
        <f t="shared" ca="1" si="77"/>
        <v>#DIV/0!</v>
      </c>
      <c r="BL52" s="101">
        <f t="shared" si="125"/>
        <v>0</v>
      </c>
      <c r="BM52" s="91">
        <f t="shared" si="27"/>
        <v>0</v>
      </c>
      <c r="BN52" s="30" t="e">
        <f t="shared" si="104"/>
        <v>#N/A</v>
      </c>
      <c r="BO52" s="30" t="e">
        <f t="shared" si="105"/>
        <v>#N/A</v>
      </c>
      <c r="BP52" s="31" t="e">
        <f>IF(OR(Hypothèses!$B$4=17,Hypothèses!$B$4=18,Hypothèses!$B$4=19,Hypothèses!$B$4=20),
IF($D52="Pressio.",
IF(OR($E52=3,$E52=1,$E52=4),BO52,BN52),
IF($D52="Pénétro.",
IF(OR($E52=3,$E52=1,$E52=4),BO52,BN52))),IF($D52="Pressio.",
IF($E52=3,BO52,BN52),
IF($D52="Pénétro.",
IF($E52=4,BO52,BN52))))</f>
        <v>#N/A</v>
      </c>
      <c r="BQ52" s="31">
        <v>0</v>
      </c>
      <c r="BR52" s="102" t="e">
        <f>IF(NDC!$H$10="Oui",(VLOOKUP($B$3,'Coeff EC7'!$T$39:$X$59,2,0)*BP52+VLOOKUP($B$3,'Coeff EC7'!$T$65:$X$85,2,0)*Model0.1T!BQ52)/1.5,PI()*BN$12*$Q52*($B52-$B51)*0.15/10+BR51)</f>
        <v>#N/A</v>
      </c>
      <c r="BS52" s="102" t="e">
        <f>(VLOOKUP($B$3,'Coeff EC7'!$T$39:$X$59,3,0)*BP52+VLOOKUP($B$3,'Coeff EC7'!$T$65:$X$85,3,0)*Model0.1T!BQ52)/1.1</f>
        <v>#N/A</v>
      </c>
      <c r="BT52" s="102" t="e">
        <f t="shared" si="78"/>
        <v>#N/A</v>
      </c>
      <c r="BU52" s="102" t="e">
        <f t="shared" si="79"/>
        <v>#N/A</v>
      </c>
      <c r="BV52" s="414" t="e">
        <f>IF(AND(BR52&gt;NDC!$C$63,BS52&gt;NDC!$C$65,BT52&gt;NDC!$D$73,BU52&gt;NDC!$D$74,$B52&gt;NDC!$H$22-0.1+MIN(3*BV$12,1.5)),0,1)</f>
        <v>#N/A</v>
      </c>
      <c r="BW52" s="86" t="b">
        <f t="shared" si="30"/>
        <v>0</v>
      </c>
      <c r="BX52" s="86">
        <f t="shared" si="31"/>
        <v>0.5</v>
      </c>
      <c r="BY52" s="86">
        <f t="shared" si="32"/>
        <v>0.5</v>
      </c>
      <c r="BZ52" s="30" t="e">
        <f t="shared" ca="1" si="80"/>
        <v>#DIV/0!</v>
      </c>
      <c r="CA52" s="85" t="e">
        <f ca="1">IF(BG52&lt;=Hypothèses!$V$7,Hypothèses!$W$7,IF(BG52&lt;=Hypothèses!$V$8,Hypothèses!$W$8,IF(BG52&lt;=Hypothèses!$V$9,Hypothèses!$W$9,IF(BG52&lt;=Hypothèses!$V$10,Hypothèses!$W$10,IF(BG52&lt;=Hypothèses!$V$11,Hypothèses!$W$11,IF(BG52&lt;=Hypothèses!$V$12,Hypothèses!$W$12,IF(BG52&lt;=Hypothèses!$V$13,Hypothèses!$W$13,IF(BG52&lt;=Hypothèses!$V$14,Hypothèses!$W$14,IF(BG52&lt;=Hypothèses!$V$15,Hypothèses!$W$15,IF(BG52&lt;=Hypothèses!$V$16,Hypothèses!$W$16,IF(BG52&lt;=Hypothèses!$V$17,Hypothèses!$W$17,IF(BG52&lt;=Hypothèses!$V$18,Hypothèses!$W$18,""))))))))))))</f>
        <v>#DIV/0!</v>
      </c>
      <c r="CB52" s="87" t="e">
        <f t="shared" ca="1" si="119"/>
        <v>#DIV/0!</v>
      </c>
      <c r="CC52" s="88" t="e">
        <f ca="1">IF(BG52&lt;=Hypothèses!$V$7,Hypothèses!$X$7,IF(BG52&lt;=Hypothèses!$V$8,Hypothèses!$X$8,IF(BG52&lt;=Hypothèses!$V$9,Hypothèses!$X$9,IF(BG52&lt;=Hypothèses!$V$10,Hypothèses!$X$10,IF(BG52&lt;=Hypothèses!$V$11,Hypothèses!$X$11,IF(BG52&lt;=Hypothèses!$V$12,Hypothèses!$X$12,IF(BG52&lt;=Hypothèses!$V$13,Hypothèses!$X$13,IF(BG52&lt;=Hypothèses!$V$14,Hypothèses!$X$14,IF(BG52&lt;=Hypothèses!$V$15,Hypothèses!$X$15,IF(BG52&lt;=Hypothèses!$V$16,Hypothèses!$X$16,IF(BG52&lt;=Hypothèses!$U$17,Hypothèses!$W$17,IF(BG52&lt;=Hypothèses!$U$18,Hypothèses!$W$18,""))))))))))))</f>
        <v>#DIV/0!</v>
      </c>
      <c r="CD52" s="95" t="e">
        <f t="shared" ca="1" si="81"/>
        <v>#DIV/0!</v>
      </c>
      <c r="CE52" s="101">
        <f t="shared" si="126"/>
        <v>0</v>
      </c>
      <c r="CF52" s="91">
        <f t="shared" si="34"/>
        <v>0</v>
      </c>
      <c r="CG52" s="30" t="e">
        <f t="shared" si="106"/>
        <v>#N/A</v>
      </c>
      <c r="CH52" s="30" t="e">
        <f t="shared" si="107"/>
        <v>#N/A</v>
      </c>
      <c r="CI52" s="31" t="e">
        <f>IF(OR(Hypothèses!$B$4=17,Hypothèses!$B$4=18,Hypothèses!$B$4=19,Hypothèses!$B$4=20),
IF($D52="Pressio.",
IF(OR($E52=3,$E52=1,$E52=4),CH52,CG52),
IF($D52="Pénétro.",
IF(OR($E52=3,$E52=1,$E52=4),CH52,CG52))),IF($D52="Pressio.",
IF($E52=3,CH52,CG52),
IF($D52="Pénétro.",
IF($E52=4,CH52,CG52))))</f>
        <v>#N/A</v>
      </c>
      <c r="CJ52" s="31">
        <v>0</v>
      </c>
      <c r="CK52" s="102" t="e">
        <f>IF(NDC!$H$10="Oui",(VLOOKUP($B$3,'Coeff EC7'!$T$39:$X$59,2,0)*CI52+VLOOKUP($B$3,'Coeff EC7'!$T$65:$X$85,2,0)*Model0.1T!CJ52)/1.5,PI()*CG$12*$Q52*($B52-$B51)*0.15/10+CK51)</f>
        <v>#N/A</v>
      </c>
      <c r="CL52" s="102" t="e">
        <f>(VLOOKUP($B$3,'Coeff EC7'!$T$39:$X$59,3,0)*CI52+VLOOKUP($B$3,'Coeff EC7'!$T$65:$X$85,3,0)*Model0.1T!CJ52)/1.1</f>
        <v>#N/A</v>
      </c>
      <c r="CM52" s="102" t="e">
        <f t="shared" si="82"/>
        <v>#N/A</v>
      </c>
      <c r="CN52" s="102" t="e">
        <f t="shared" si="83"/>
        <v>#N/A</v>
      </c>
      <c r="CO52" s="414" t="e">
        <f>IF(AND(CK52&gt;NDC!$C$63,CL52&gt;NDC!$C$65,CM52&gt;NDC!$D$73,CN52&gt;NDC!$D$74,$B52&gt;NDC!$H$22-0.1+MIN(3*CO$12,1.5)),0,1)</f>
        <v>#N/A</v>
      </c>
      <c r="CP52" s="86" t="b">
        <f t="shared" si="37"/>
        <v>0</v>
      </c>
      <c r="CQ52" s="86">
        <f t="shared" si="38"/>
        <v>0.5</v>
      </c>
      <c r="CR52" s="86">
        <f t="shared" si="39"/>
        <v>0.5</v>
      </c>
      <c r="CS52" s="30" t="e">
        <f t="shared" ca="1" si="84"/>
        <v>#DIV/0!</v>
      </c>
      <c r="CT52" s="85" t="e">
        <f ca="1">IF(BZ52&lt;=Hypothèses!$V$7,Hypothèses!$W$7,IF(BZ52&lt;=Hypothèses!$V$8,Hypothèses!$W$8,IF(BZ52&lt;=Hypothèses!$V$9,Hypothèses!$W$9,IF(BZ52&lt;=Hypothèses!$V$10,Hypothèses!$W$10,IF(BZ52&lt;=Hypothèses!$V$11,Hypothèses!$W$11,IF(BZ52&lt;=Hypothèses!$V$12,Hypothèses!$W$12,IF(BZ52&lt;=Hypothèses!$V$13,Hypothèses!$W$13,IF(BZ52&lt;=Hypothèses!$V$14,Hypothèses!$W$14,IF(BZ52&lt;=Hypothèses!$V$15,Hypothèses!$W$15,IF(BZ52&lt;=Hypothèses!$V$16,Hypothèses!$W$16,IF(BZ52&lt;=Hypothèses!$V$17,Hypothèses!$W$17,IF(BZ52&lt;=Hypothèses!$V$18,Hypothèses!$W$18,""))))))))))))</f>
        <v>#DIV/0!</v>
      </c>
      <c r="CU52" s="87" t="e">
        <f t="shared" ca="1" si="120"/>
        <v>#DIV/0!</v>
      </c>
      <c r="CV52" s="88" t="e">
        <f ca="1">IF(BZ52&lt;=Hypothèses!$V$7,Hypothèses!$X$7,IF(BZ52&lt;=Hypothèses!$V$8,Hypothèses!$X$8,IF(BZ52&lt;=Hypothèses!$V$9,Hypothèses!$X$9,IF(BZ52&lt;=Hypothèses!$V$10,Hypothèses!$X$10,IF(BZ52&lt;=Hypothèses!$V$11,Hypothèses!$X$11,IF(BZ52&lt;=Hypothèses!$V$12,Hypothèses!$X$12,IF(BZ52&lt;=Hypothèses!$V$13,Hypothèses!$X$13,IF(BZ52&lt;=Hypothèses!$V$14,Hypothèses!$X$14,IF(BZ52&lt;=Hypothèses!$V$15,Hypothèses!$X$15,IF(BZ52&lt;=Hypothèses!$V$16,Hypothèses!$X$16,IF(BZ52&lt;=Hypothèses!$U$17,Hypothèses!$W$17,IF(BZ52&lt;=Hypothèses!$U$18,Hypothèses!$W$18,""))))))))))))</f>
        <v>#DIV/0!</v>
      </c>
      <c r="CW52" s="95" t="e">
        <f t="shared" ca="1" si="85"/>
        <v>#DIV/0!</v>
      </c>
      <c r="CX52" s="101">
        <f t="shared" si="127"/>
        <v>0</v>
      </c>
      <c r="CY52" s="91">
        <f t="shared" si="41"/>
        <v>0</v>
      </c>
      <c r="CZ52" s="30" t="e">
        <f t="shared" si="108"/>
        <v>#N/A</v>
      </c>
      <c r="DA52" s="30" t="e">
        <f t="shared" si="109"/>
        <v>#N/A</v>
      </c>
      <c r="DB52" s="31" t="e">
        <f>IF(OR(Hypothèses!$B$4=17,Hypothèses!$B$4=18,Hypothèses!$B$4=19,Hypothèses!$B$4=20),
IF($D52="Pressio.",
IF(OR($E52=3,$E52=1,$E52=4),DA52,CZ52),
IF($D52="Pénétro.",
IF(OR($E52=3,$E52=1,$E52=4),DA52,CZ52))),IF($D52="Pressio.",
IF($E52=3,DA52,CZ52),
IF($D52="Pénétro.",
IF($E52=4,DA52,CZ52))))</f>
        <v>#N/A</v>
      </c>
      <c r="DC52" s="31">
        <v>0</v>
      </c>
      <c r="DD52" s="102" t="e">
        <f>IF(NDC!$H$10="Oui",(VLOOKUP($B$3,'Coeff EC7'!$T$39:$X$59,2,0)*DB52+VLOOKUP($B$3,'Coeff EC7'!$T$65:$X$85,2,0)*Model0.1T!DC52)/1.5,PI()*CZ$12*$Q52*($B52-$B51)*0.15/10+DD51)</f>
        <v>#N/A</v>
      </c>
      <c r="DE52" s="102" t="e">
        <f>(VLOOKUP($B$3,'Coeff EC7'!$T$39:$X$59,3,0)*DB52+VLOOKUP($B$3,'Coeff EC7'!$T$65:$X$85,3,0)*Model0.1T!DC52)/1.1</f>
        <v>#N/A</v>
      </c>
      <c r="DF52" s="102" t="e">
        <f t="shared" si="86"/>
        <v>#N/A</v>
      </c>
      <c r="DG52" s="102" t="e">
        <f t="shared" si="87"/>
        <v>#N/A</v>
      </c>
      <c r="DH52" s="414" t="e">
        <f>IF(AND(DD52&gt;NDC!$C$63,DE52&gt;NDC!$C$65,DF52&gt;NDC!$D$73,DG52&gt;NDC!$D$74,$B52&gt;NDC!$H$22-0.1+MIN(3*DH$12,1.5)),0,1)</f>
        <v>#N/A</v>
      </c>
      <c r="DI52" s="86" t="b">
        <f t="shared" si="44"/>
        <v>0</v>
      </c>
      <c r="DJ52" s="86">
        <f t="shared" si="45"/>
        <v>0.5</v>
      </c>
      <c r="DK52" s="86">
        <f t="shared" si="46"/>
        <v>0.5</v>
      </c>
      <c r="DL52" s="30" t="e">
        <f t="shared" ca="1" si="88"/>
        <v>#DIV/0!</v>
      </c>
      <c r="DM52" s="85" t="e">
        <f ca="1">IF(CS52&lt;=Hypothèses!$V$7,Hypothèses!$W$7,IF(CS52&lt;=Hypothèses!$V$8,Hypothèses!$W$8,IF(CS52&lt;=Hypothèses!$V$9,Hypothèses!$W$9,IF(CS52&lt;=Hypothèses!$V$10,Hypothèses!$W$10,IF(CS52&lt;=Hypothèses!$V$11,Hypothèses!$W$11,IF(CS52&lt;=Hypothèses!$V$12,Hypothèses!$W$12,IF(CS52&lt;=Hypothèses!$V$13,Hypothèses!$W$13,IF(CS52&lt;=Hypothèses!$V$14,Hypothèses!$W$14,IF(CS52&lt;=Hypothèses!$V$15,Hypothèses!$W$15,IF(CS52&lt;=Hypothèses!$V$16,Hypothèses!$W$16,IF(CS52&lt;=Hypothèses!$V$17,Hypothèses!$W$17,IF(CS52&lt;=Hypothèses!$V$18,Hypothèses!$W$18,""))))))))))))</f>
        <v>#DIV/0!</v>
      </c>
      <c r="DN52" s="87" t="e">
        <f t="shared" ca="1" si="121"/>
        <v>#DIV/0!</v>
      </c>
      <c r="DO52" s="88" t="e">
        <f ca="1">IF(CS52&lt;=Hypothèses!$V$7,Hypothèses!$X$7,IF(CS52&lt;=Hypothèses!$V$8,Hypothèses!$X$8,IF(CS52&lt;=Hypothèses!$V$9,Hypothèses!$X$9,IF(CS52&lt;=Hypothèses!$V$10,Hypothèses!$X$10,IF(CS52&lt;=Hypothèses!$V$11,Hypothèses!$X$11,IF(CS52&lt;=Hypothèses!$V$12,Hypothèses!$X$12,IF(CS52&lt;=Hypothèses!$V$13,Hypothèses!$X$13,IF(CS52&lt;=Hypothèses!$V$14,Hypothèses!$X$14,IF(CS52&lt;=Hypothèses!$V$15,Hypothèses!$X$15,IF(CS52&lt;=Hypothèses!$V$16,Hypothèses!$X$16,IF(CS52&lt;=Hypothèses!$U$17,Hypothèses!$W$17,IF(CS52&lt;=Hypothèses!$U$18,Hypothèses!$W$18,""))))))))))))</f>
        <v>#DIV/0!</v>
      </c>
      <c r="DP52" s="95" t="e">
        <f t="shared" ca="1" si="89"/>
        <v>#DIV/0!</v>
      </c>
      <c r="DQ52" s="101">
        <f t="shared" si="128"/>
        <v>0</v>
      </c>
      <c r="DR52" s="91">
        <f t="shared" si="48"/>
        <v>0</v>
      </c>
      <c r="DS52" s="30" t="e">
        <f t="shared" si="110"/>
        <v>#N/A</v>
      </c>
      <c r="DT52" s="30" t="e">
        <f t="shared" si="111"/>
        <v>#N/A</v>
      </c>
      <c r="DU52" s="31" t="e">
        <f>IF(OR(Hypothèses!$B$4=17,Hypothèses!$B$4=18,Hypothèses!$B$4=19,Hypothèses!$B$4=20),
IF($D52="Pressio.",
IF(OR($E52=3,$E52=1,$E52=4),DT52,DS52),
IF($D52="Pénétro.",
IF(OR($E52=3,$E52=1,$E52=4),DT52,DS52))),IF($D52="Pressio.",
IF($E52=3,DT52,DS52),
IF($D52="Pénétro.",
IF($E52=4,DT52,DS52))))</f>
        <v>#N/A</v>
      </c>
      <c r="DV52" s="31">
        <v>0</v>
      </c>
      <c r="DW52" s="102" t="e">
        <f>IF(NDC!$H$10="Oui",(VLOOKUP($B$3,'Coeff EC7'!$T$39:$X$59,2,0)*DU52+VLOOKUP($B$3,'Coeff EC7'!$T$65:$X$85,2,0)*Model0.1T!DV52)/1.5,PI()*DS$12*$Q52*($B52-$B51)*0.15/10+DW51)</f>
        <v>#N/A</v>
      </c>
      <c r="DX52" s="102" t="e">
        <f>(VLOOKUP($B$3,'Coeff EC7'!$T$39:$X$59,3,0)*DU52+VLOOKUP($B$3,'Coeff EC7'!$T$65:$X$85,3,0)*Model0.1T!DV52)/1.1</f>
        <v>#N/A</v>
      </c>
      <c r="DY52" s="102" t="e">
        <f t="shared" si="90"/>
        <v>#N/A</v>
      </c>
      <c r="DZ52" s="102" t="e">
        <f t="shared" si="91"/>
        <v>#N/A</v>
      </c>
      <c r="EA52" s="414" t="e">
        <f>IF(AND(DW52&gt;NDC!$C$63,DX52&gt;NDC!$C$65,DY52&gt;NDC!$D$73,DZ52&gt;NDC!$D$74,$B52&gt;NDC!$H$22-0.1+MIN(3*EA$12,1.5)),0,1)</f>
        <v>#N/A</v>
      </c>
      <c r="EB52" s="86" t="b">
        <f t="shared" si="51"/>
        <v>0</v>
      </c>
      <c r="EC52" s="418">
        <f t="shared" si="52"/>
        <v>0.51</v>
      </c>
      <c r="ED52" s="86">
        <f t="shared" si="53"/>
        <v>0.51</v>
      </c>
      <c r="EE52" s="30" t="e">
        <f t="shared" ca="1" si="92"/>
        <v>#DIV/0!</v>
      </c>
      <c r="EF52" s="85" t="e">
        <f ca="1">IF(DL52&lt;=Hypothèses!$V$7,Hypothèses!$W$7,IF(DL52&lt;=Hypothèses!$V$8,Hypothèses!$W$8,IF(DL52&lt;=Hypothèses!$V$9,Hypothèses!$W$9,IF(DL52&lt;=Hypothèses!$V$10,Hypothèses!$W$10,IF(DL52&lt;=Hypothèses!$V$11,Hypothèses!$W$11,IF(DL52&lt;=Hypothèses!$V$12,Hypothèses!$W$12,IF(DL52&lt;=Hypothèses!$V$13,Hypothèses!$W$13,IF(DL52&lt;=Hypothèses!$V$14,Hypothèses!$W$14,IF(DL52&lt;=Hypothèses!$V$15,Hypothèses!$W$15,IF(DL52&lt;=Hypothèses!$V$16,Hypothèses!$W$16,IF(DL52&lt;=Hypothèses!$V$17,Hypothèses!$W$17,IF(DL52&lt;=Hypothèses!$V$18,Hypothèses!$W$18,""))))))))))))</f>
        <v>#DIV/0!</v>
      </c>
      <c r="EG52" s="87" t="e">
        <f t="shared" ca="1" si="122"/>
        <v>#DIV/0!</v>
      </c>
      <c r="EH52" s="88" t="e">
        <f ca="1">IF(DL52&lt;=Hypothèses!$V$7,Hypothèses!$X$7,IF(DL52&lt;=Hypothèses!$V$8,Hypothèses!$X$8,IF(DL52&lt;=Hypothèses!$V$9,Hypothèses!$X$9,IF(DL52&lt;=Hypothèses!$V$10,Hypothèses!$X$10,IF(DL52&lt;=Hypothèses!$V$11,Hypothèses!$X$11,IF(DL52&lt;=Hypothèses!$V$12,Hypothèses!$X$12,IF(DL52&lt;=Hypothèses!$V$13,Hypothèses!$X$13,IF(DL52&lt;=Hypothèses!$V$14,Hypothèses!$X$14,IF(DL52&lt;=Hypothèses!$V$15,Hypothèses!$X$15,IF(DL52&lt;=Hypothèses!$V$16,Hypothèses!$X$16,IF(DL52&lt;=Hypothèses!$U$17,Hypothèses!$W$17,IF(DL52&lt;=Hypothèses!$U$18,Hypothèses!$W$18,""))))))))))))</f>
        <v>#DIV/0!</v>
      </c>
      <c r="EI52" s="95" t="e">
        <f t="shared" ca="1" si="93"/>
        <v>#DIV/0!</v>
      </c>
      <c r="EJ52" s="101">
        <f t="shared" si="129"/>
        <v>0</v>
      </c>
      <c r="EK52" s="91">
        <f t="shared" si="55"/>
        <v>0</v>
      </c>
      <c r="EL52" s="30" t="e">
        <f t="shared" si="112"/>
        <v>#N/A</v>
      </c>
      <c r="EM52" s="30" t="e">
        <f t="shared" si="113"/>
        <v>#N/A</v>
      </c>
      <c r="EN52" s="31" t="e">
        <f>IF(OR(Hypothèses!$B$4=17,Hypothèses!$B$4=18,Hypothèses!$B$4=19,Hypothèses!$B$4=20),
IF($D52="Pressio.",
IF(OR($E52=3,$E52=1,$E52=4),EM52,EL52),
IF($D52="Pénétro.",
IF(OR($E52=3,$E52=1,$E52=4),EM52,EL52))),IF($D52="Pressio.",
IF($E52=3,EM52,EL52),
IF($D52="Pénétro.",
IF($E52=4,EM52,EL52))))</f>
        <v>#N/A</v>
      </c>
      <c r="EO52" s="31">
        <v>0</v>
      </c>
      <c r="EP52" s="102" t="e">
        <f>IF(NDC!$H$10="Oui",(VLOOKUP($B$3,'Coeff EC7'!$T$39:$X$59,2,0)*EN52+VLOOKUP($B$3,'Coeff EC7'!$T$65:$X$85,2,0)*Model0.1T!EO52)/1.5,PI()*EL$12*$Q52*($B52-$B51)*0.15/10+EP51)</f>
        <v>#N/A</v>
      </c>
      <c r="EQ52" s="102" t="e">
        <f>(VLOOKUP($B$3,'Coeff EC7'!$T$39:$X$59,3,0)*EN52+VLOOKUP($B$3,'Coeff EC7'!$T$65:$X$85,3,0)*Model0.1T!EO52)/1.1</f>
        <v>#N/A</v>
      </c>
      <c r="ER52" s="102" t="e">
        <f t="shared" si="94"/>
        <v>#N/A</v>
      </c>
      <c r="ES52" s="102" t="e">
        <f t="shared" si="95"/>
        <v>#N/A</v>
      </c>
      <c r="ET52" s="414" t="e">
        <f>IF(AND(EP52&gt;NDC!$C$63,EQ52&gt;NDC!$C$65,ER52&gt;NDC!$D$73,ES52&gt;NDC!$D$74,$B52&gt;NDC!$H$22-0.1+MIN(3*ET$12,1.5)),0,1)</f>
        <v>#N/A</v>
      </c>
      <c r="EU52" s="86" t="b">
        <f t="shared" si="58"/>
        <v>0</v>
      </c>
      <c r="EV52" s="86">
        <f t="shared" si="59"/>
        <v>0.61</v>
      </c>
      <c r="EW52" s="86">
        <f t="shared" si="60"/>
        <v>0.61</v>
      </c>
      <c r="EX52" s="30" t="e">
        <f t="shared" ca="1" si="96"/>
        <v>#DIV/0!</v>
      </c>
      <c r="EY52" s="85" t="e">
        <f ca="1">IF(EE52&lt;=Hypothèses!$V$7,Hypothèses!$W$7,IF(EE52&lt;=Hypothèses!$V$8,Hypothèses!$W$8,IF(EE52&lt;=Hypothèses!$V$9,Hypothèses!$W$9,IF(EE52&lt;=Hypothèses!$V$10,Hypothèses!$W$10,IF(EE52&lt;=Hypothèses!$V$11,Hypothèses!$W$11,IF(EE52&lt;=Hypothèses!$V$12,Hypothèses!$W$12,IF(EE52&lt;=Hypothèses!$V$13,Hypothèses!$W$13,IF(EE52&lt;=Hypothèses!$V$14,Hypothèses!$W$14,IF(EE52&lt;=Hypothèses!$V$15,Hypothèses!$W$15,IF(EE52&lt;=Hypothèses!$V$16,Hypothèses!$W$16,IF(EE52&lt;=Hypothèses!$V$17,Hypothèses!$W$17,IF(EE52&lt;=Hypothèses!$V$18,Hypothèses!$W$18,""))))))))))))</f>
        <v>#DIV/0!</v>
      </c>
      <c r="EZ52" s="87" t="e">
        <f t="shared" ca="1" si="123"/>
        <v>#DIV/0!</v>
      </c>
      <c r="FA52" s="88" t="e">
        <f ca="1">IF(EE52&lt;=Hypothèses!$V$7,Hypothèses!$X$7,IF(EE52&lt;=Hypothèses!$V$8,Hypothèses!$X$8,IF(EE52&lt;=Hypothèses!$V$9,Hypothèses!$X$9,IF(EE52&lt;=Hypothèses!$V$10,Hypothèses!$X$10,IF(EE52&lt;=Hypothèses!$V$11,Hypothèses!$X$11,IF(EE52&lt;=Hypothèses!$V$12,Hypothèses!$X$12,IF(EE52&lt;=Hypothèses!$V$13,Hypothèses!$X$13,IF(EE52&lt;=Hypothèses!$V$14,Hypothèses!$X$14,IF(EE52&lt;=Hypothèses!$V$15,Hypothèses!$X$15,IF(EE52&lt;=Hypothèses!$V$16,Hypothèses!$X$16,IF(EE52&lt;=Hypothèses!$U$17,Hypothèses!$W$17,IF(EE52&lt;=Hypothèses!$U$18,Hypothèses!$W$18,""))))))))))))</f>
        <v>#DIV/0!</v>
      </c>
      <c r="FB52" s="95" t="e">
        <f t="shared" ca="1" si="97"/>
        <v>#DIV/0!</v>
      </c>
      <c r="FC52" s="101">
        <f t="shared" si="130"/>
        <v>0</v>
      </c>
      <c r="FD52" s="91">
        <f t="shared" si="62"/>
        <v>0</v>
      </c>
      <c r="FE52" s="30" t="e">
        <f t="shared" si="114"/>
        <v>#N/A</v>
      </c>
      <c r="FF52" s="30" t="e">
        <f t="shared" si="115"/>
        <v>#N/A</v>
      </c>
      <c r="FG52" s="31" t="e">
        <f>IF(OR(Hypothèses!$B$4=17,Hypothèses!$B$4=18,Hypothèses!$B$4=19,Hypothèses!$B$4=20),
IF($D52="Pressio.",
IF(OR($E52=3,$E52=1,$E52=4),FF52,FE52),
IF($D52="Pénétro.",
IF(OR($E52=3,$E52=1,$E52=4),FF52,FE52))),IF($D52="Pressio.",
IF($E52=3,FF52,FE52),
IF($D52="Pénétro.",
IF($E52=4,FF52,FE52))))</f>
        <v>#N/A</v>
      </c>
      <c r="FH52" s="31">
        <v>0</v>
      </c>
      <c r="FI52" s="102" t="e">
        <f>IF(NDC!$H$10="Oui",(VLOOKUP($B$3,'Coeff EC7'!$T$39:$X$59,2,0)*FG52+VLOOKUP($B$3,'Coeff EC7'!$T$65:$X$85,2,0)*Model0.1T!FH52)/1.5,PI()*FE$12*$Q52*($B52-$B51)*0.15/10+FI51)</f>
        <v>#N/A</v>
      </c>
      <c r="FJ52" s="102" t="e">
        <f>(VLOOKUP($B$3,'Coeff EC7'!$T$39:$X$59,3,0)*FG52+VLOOKUP($B$3,'Coeff EC7'!$T$65:$X$85,3,0)*Model0.1T!FH52)/1.1</f>
        <v>#N/A</v>
      </c>
      <c r="FK52" s="102" t="e">
        <f t="shared" si="98"/>
        <v>#N/A</v>
      </c>
      <c r="FL52" s="102" t="e">
        <f t="shared" si="99"/>
        <v>#N/A</v>
      </c>
      <c r="FM52" s="414" t="e">
        <f>IF(AND(FI52&gt;NDC!$C$63,FJ52&gt;NDC!$C$65,FK52&gt;NDC!$D$73,FL52&gt;NDC!$D$74,$B52&gt;NDC!$H$22-0.1+MIN(3*FM$12,1.5)),0,1)</f>
        <v>#N/A</v>
      </c>
    </row>
    <row r="53" spans="1:169">
      <c r="A53" s="96">
        <f t="shared" si="65"/>
        <v>96.000000000000227</v>
      </c>
      <c r="B53" s="97">
        <v>4</v>
      </c>
      <c r="C53" s="81">
        <f>IF(B53&lt;=Hypothèses!$C$7,Hypothèses!$A$7,IF(B53&lt;=Hypothèses!$C$8,Hypothèses!$A$8,IF(B53&lt;=Hypothèses!$C$9,Hypothèses!$A$9,IF(B53&lt;=Hypothèses!$C$10,Hypothèses!$A$10,IF(B53&lt;=Hypothèses!$C$11,Hypothèses!$A$11,IF(B53&lt;=Hypothèses!$C$12,Hypothèses!$A$12,IF(B53&lt;=Hypothèses!$C$13,Hypothèses!$A$13,IF(B53&lt;=Hypothèses!$C$14,Hypothèses!$A$14,IF(B53&lt;=Hypothèses!$C$15,Hypothèses!$A$15,IF(B53&lt;=Hypothèses!$C$16,Hypothèses!$A$16,IF(B53&lt;=Hypothèses!$C$17,Hypothèses!$A$17,IF(B53&lt;=Hypothèses!$C$18,Hypothèses!$A$18,C52))))))))))))</f>
        <v>11</v>
      </c>
      <c r="D53" s="82" t="str">
        <f>IF(B53&lt;=Hypothèses!$C$7,Hypothèses!$R$7,IF(B53&lt;=Hypothèses!$C$8,Hypothèses!$R$8,IF(B53&lt;=Hypothèses!$C$9,Hypothèses!$R$9,IF(B53&lt;=Hypothèses!$C$10,Hypothèses!$R$10,IF(B53&lt;=Hypothèses!$C$11,Hypothèses!$R$11,IF(B53&lt;=Hypothèses!$C$12,Hypothèses!$R$12,IF(B53&lt;=Hypothèses!$C$13,Hypothèses!$R$13,IF(B53&lt;=Hypothèses!$C$14,Hypothèses!$R$14,IF(B53&lt;=Hypothèses!$C$15,Hypothèses!$R$15,IF(B53&lt;=Hypothèses!$C$16,Hypothèses!$R$16,IF(B53&lt;=Hypothèses!$C$17,Hypothèses!$R$17,IF(B53&lt;=Hypothèses!$C$18,Hypothèses!$R$18,D52))))))))))))</f>
        <v>Pressio.</v>
      </c>
      <c r="E53" s="82" t="e">
        <f>IF(B53&lt;=Hypothèses!$C$7,Hypothèses!$G$7,IF(B53&lt;=Hypothèses!$C$8,Hypothèses!$G$8,IF(B53&lt;=Hypothèses!$C$9,Hypothèses!$G$9,IF(B53&lt;=Hypothèses!$C$10,Hypothèses!$G$10,IF(B53&lt;=Hypothèses!$C$11,Hypothèses!$G$11,IF(B53&lt;=Hypothèses!$C$12,Hypothèses!$G$12,IF(B53&lt;=Hypothèses!$C$13,Hypothèses!$G$13,IF(B53&lt;=Hypothèses!$C$14,Hypothèses!$G$14,IF(B53&lt;=Hypothèses!$C$15,Hypothèses!$G$15,IF(B53&lt;=Hypothèses!$C$16,Hypothèses!$G$16,IF(B53&lt;=Hypothèses!$C$17,Hypothèses!$G$17,IF(B53&lt;=Hypothèses!$C$18,Hypothèses!$G$18,E52))))))))))))</f>
        <v>#N/A</v>
      </c>
      <c r="F53" s="82" t="str">
        <f>IF(B53&lt;=Hypothèses!$C$7,Hypothèses!$F$7,IF(B53&lt;=Hypothèses!$C$8,Hypothèses!$F$8,IF(B53&lt;=Hypothèses!$C$9,Hypothèses!$F$9,IF(B53&lt;=Hypothèses!$C$10,Hypothèses!$F$10,IF(B53&lt;=Hypothèses!$C$11,Hypothèses!$F$11,IF(B53&lt;=Hypothèses!$C$12,Hypothèses!$F$12,IF(B53&lt;=Hypothèses!$C$13,Hypothèses!$F$13,IF(B53&lt;=Hypothèses!$C$14,Hypothèses!$F$14,IF(B53&lt;=Hypothèses!$C$15,Hypothèses!$F$15,IF(B53&lt;=Hypothèses!$C$16,Hypothèses!$F$16,IF(B53&lt;=Hypothèses!$C$17,Hypothèses!$F$17,IF(B53&lt;=Hypothèses!$C$18,Hypothèses!$F$18,F52))))))))))))</f>
        <v/>
      </c>
      <c r="G53" s="91">
        <f t="array" ref="G53">INDEX('Coeff EC7'!$U$7:$X$27,
MATCH(Model0.1T!$B$3,'Coeff EC7'!$T$7:$T$27,0),
MATCH(Model0.1T!$D53&amp;Model0.1T!$B$4,
'Coeff EC7'!$U$6:$X$6&amp;
'Coeff EC7'!$U$5:$X$5,0))</f>
        <v>1.4</v>
      </c>
      <c r="H53" s="91">
        <f t="array" ref="H53">INDEX('Coeff EC7'!$Y$7:$AB$27,
MATCH(Model0.1T!$B$3,'Coeff EC7'!$T$7:$T$27,0),
MATCH(Model0.1T!$D53&amp;Model0.1T!$B$4,
'Coeff EC7'!$Y$6:$AB$6&amp;
'Coeff EC7'!$Y$5:$AB$5,0))</f>
        <v>1.7</v>
      </c>
      <c r="I53" s="83">
        <v>0</v>
      </c>
      <c r="J53" s="91" t="e">
        <f t="array" ref="J53">INDEX('Coeff EC7'!$D$33:$Q$33,1,MATCH(D53&amp;E53,'Coeff EC7'!$D$31:$Q$31&amp;'Coeff EC7'!$D$32:$Q$32,0))</f>
        <v>#N/A</v>
      </c>
      <c r="K53" s="91" t="e">
        <f t="array" ref="K53">INDEX('Coeff EC7'!$D$34:$Q$34,1,MATCH(D53&amp;E53,'Coeff EC7'!$D$31:$Q$31&amp;'Coeff EC7'!$D$32:$Q$32,0))</f>
        <v>#N/A</v>
      </c>
      <c r="L53" s="91" t="e">
        <f t="array" ref="L53">INDEX('Coeff EC7'!$D$35:$Q$35,1,MATCH(D53&amp;E53,'Coeff EC7'!$D$31:$Q$31&amp;'Coeff EC7'!$D$32:$Q$32,0))</f>
        <v>#N/A</v>
      </c>
      <c r="M53" s="98" t="e">
        <f t="shared" si="8"/>
        <v>#N/A</v>
      </c>
      <c r="N53" s="99" t="e">
        <f t="array" ref="N53">INDEX('Coeff EC7'!$D$7:$Q$27,MATCH($B$3,'Coeff EC7'!$C$7:$C$27,0),MATCH(D53&amp;E53,'Coeff EC7'!$D$5:$Q$5&amp;'Coeff EC7'!$D$6:$Q$6,0))</f>
        <v>#N/A</v>
      </c>
      <c r="O53" s="99" t="e">
        <f t="array" ref="O53">INDEX('Coeff EC7'!$D$41:$Q$61,MATCH($B$3,'Coeff EC7'!$C$41:$C$61,0),MATCH(D53&amp;E53,'Coeff EC7'!$D$39:$Q$39&amp;'Coeff EC7'!$D$40:$Q$40,0))</f>
        <v>#N/A</v>
      </c>
      <c r="P53" s="30" t="e">
        <f t="shared" si="66"/>
        <v>#N/A</v>
      </c>
      <c r="Q53" s="100" t="e">
        <f t="shared" si="10"/>
        <v>#N/A</v>
      </c>
      <c r="R53" s="86" t="b">
        <f t="shared" si="11"/>
        <v>0</v>
      </c>
      <c r="S53" s="86">
        <f t="shared" si="9"/>
        <v>0.5</v>
      </c>
      <c r="T53" s="86">
        <f t="shared" si="12"/>
        <v>0.5</v>
      </c>
      <c r="U53" s="30" t="e">
        <f t="shared" ca="1" si="67"/>
        <v>#DIV/0!</v>
      </c>
      <c r="V53" s="85" t="str">
        <f>IF(B53&lt;=Hypothèses!$V$7,Hypothèses!$W$7,IF(B53&lt;=Hypothèses!$V$8,Hypothèses!$W$8,IF(B53&lt;=Hypothèses!$V$9,Hypothèses!$W$9,IF(B53&lt;=Hypothèses!$V$10,Hypothèses!$W$10,IF(B53&lt;=Hypothèses!$V$11,Hypothèses!$W$11,IF(B53&lt;=Hypothèses!$V$12,Hypothèses!$W$12,IF(B53&lt;=Hypothèses!$V$13,Hypothèses!$W$13,IF(B53&lt;=Hypothèses!$V$14,Hypothèses!$W$14,IF(B53&lt;=Hypothèses!$V$15,Hypothèses!$W$15,IF(B53&lt;=Hypothèses!$V$16,Hypothèses!$W$16,IF(B53&lt;=Hypothèses!$V$17,Hypothèses!$W$17,IF(B53&lt;=Hypothèses!$V$18,Hypothèses!$W$18,""))))))))))))</f>
        <v/>
      </c>
      <c r="W53" s="87" t="e">
        <f t="shared" ca="1" si="116"/>
        <v>#DIV/0!</v>
      </c>
      <c r="X53" s="88" t="str">
        <f>IF(B53&lt;=Hypothèses!$V$7,Hypothèses!$X$7,IF(B53&lt;=Hypothèses!$V$8,Hypothèses!$X$8,IF(B53&lt;=Hypothèses!$V$9,Hypothèses!$X$9,IF(B53&lt;=Hypothèses!$V$10,Hypothèses!$X$10,IF(B53&lt;=Hypothèses!$V$11,Hypothèses!$X$11,IF(B53&lt;=Hypothèses!$V$12,Hypothèses!$X$12,IF(B53&lt;=Hypothèses!$V$13,Hypothèses!$X$13,IF(B53&lt;=Hypothèses!$V$14,Hypothèses!$X$14,IF(B53&lt;=Hypothèses!$V$15,Hypothèses!$X$15,IF(B53&lt;=Hypothèses!$V$16,Hypothèses!$X$16,IF(B53&lt;=Hypothèses!$U$17,Hypothèses!$W$17,IF(B53&lt;=Hypothèses!$U$18,Hypothèses!$W$18,""))))))))))))</f>
        <v/>
      </c>
      <c r="Y53" s="95" t="e">
        <f t="shared" ca="1" si="13"/>
        <v>#DIV/0!</v>
      </c>
      <c r="Z53" s="101">
        <f t="shared" si="14"/>
        <v>0</v>
      </c>
      <c r="AA53" s="91">
        <f t="shared" si="15"/>
        <v>0</v>
      </c>
      <c r="AB53" s="30" t="e">
        <f t="shared" si="100"/>
        <v>#N/A</v>
      </c>
      <c r="AC53" s="30" t="e">
        <f t="shared" si="101"/>
        <v>#N/A</v>
      </c>
      <c r="AD53" s="31" t="e">
        <f>IF(OR(Hypothèses!$B$4=17,Hypothèses!$B$4=18,Hypothèses!$B$4=19,Hypothèses!$B$4=20),
IF($D53="Pressio.",
IF(OR($E53=3,$E53=1,$E53=4),AC53,AB53),
IF($D53="Pénétro.",
IF(OR($E53=3,$E53=1,$E53=4),AC53,AB53))),IF($D53="Pressio.",
IF($E53=3,AC53,AB53),
IF($D53="Pénétro.",
IF($E53=4,AC53,AB53))))</f>
        <v>#N/A</v>
      </c>
      <c r="AE53" s="31">
        <v>0</v>
      </c>
      <c r="AF53" s="102" t="e">
        <f>IF(NDC!$H$10="Oui",(VLOOKUP($B$3,'Coeff EC7'!$T$39:$X$59,2,0)*AD53+VLOOKUP($B$3,'Coeff EC7'!$T$65:$X$85,2,0)*Model0.1T!AE53)/1.5,PI()*AB$12*$Q53*($B53-$B52)*0.15/10+AF52)</f>
        <v>#N/A</v>
      </c>
      <c r="AG53" s="102" t="e">
        <f>(VLOOKUP($B$3,'Coeff EC7'!$T$39:$X$59,3,0)*AD53+VLOOKUP($B$3,'Coeff EC7'!$T$65:$X$85,3,0)*Model0.1T!AE53)/1.1</f>
        <v>#N/A</v>
      </c>
      <c r="AH53" s="102" t="e">
        <f t="shared" si="68"/>
        <v>#N/A</v>
      </c>
      <c r="AI53" s="102" t="e">
        <f t="shared" si="69"/>
        <v>#N/A</v>
      </c>
      <c r="AJ53" s="414" t="e">
        <f>IF(AND(AF53&gt;NDC!$C$63,AG53&gt;NDC!$C$65,AH53&gt;NDC!$D$73,AI53&gt;NDC!$D$74,$B53&gt;NDC!$H$22-0.1+MIN(3*$AJ$12,1.5)),0,1)</f>
        <v>#N/A</v>
      </c>
      <c r="AK53" s="86" t="b">
        <f t="shared" si="18"/>
        <v>0</v>
      </c>
      <c r="AL53" s="86">
        <f t="shared" si="70"/>
        <v>0.5</v>
      </c>
      <c r="AM53" s="86">
        <f t="shared" si="19"/>
        <v>0.5</v>
      </c>
      <c r="AN53" s="30" t="e">
        <f t="shared" ca="1" si="71"/>
        <v>#DIV/0!</v>
      </c>
      <c r="AO53" s="85" t="e">
        <f ca="1">IF(U53&lt;=Hypothèses!$V$7,Hypothèses!$W$7,IF(U53&lt;=Hypothèses!$V$8,Hypothèses!$W$8,IF(U53&lt;=Hypothèses!$V$9,Hypothèses!$W$9,IF(U53&lt;=Hypothèses!$V$10,Hypothèses!$W$10,IF(U53&lt;=Hypothèses!$V$11,Hypothèses!$W$11,IF(U53&lt;=Hypothèses!$V$12,Hypothèses!$W$12,IF(U53&lt;=Hypothèses!$V$13,Hypothèses!$W$13,IF(U53&lt;=Hypothèses!$V$14,Hypothèses!$W$14,IF(U53&lt;=Hypothèses!$V$15,Hypothèses!$W$15,IF(U53&lt;=Hypothèses!$V$16,Hypothèses!$W$16,IF(U53&lt;=Hypothèses!$V$17,Hypothèses!$W$17,IF(U53&lt;=Hypothèses!$V$18,Hypothèses!$W$18,""))))))))))))</f>
        <v>#DIV/0!</v>
      </c>
      <c r="AP53" s="87" t="e">
        <f t="shared" ca="1" si="117"/>
        <v>#DIV/0!</v>
      </c>
      <c r="AQ53" s="88" t="e">
        <f ca="1">IF(U53&lt;=Hypothèses!$V$7,Hypothèses!$X$7,IF(U53&lt;=Hypothèses!$V$8,Hypothèses!$X$8,IF(U53&lt;=Hypothèses!$V$9,Hypothèses!$X$9,IF(U53&lt;=Hypothèses!$V$10,Hypothèses!$X$10,IF(U53&lt;=Hypothèses!$V$11,Hypothèses!$X$11,IF(U53&lt;=Hypothèses!$V$12,Hypothèses!$X$12,IF(U53&lt;=Hypothèses!$V$13,Hypothèses!$X$13,IF(U53&lt;=Hypothèses!$V$14,Hypothèses!$X$14,IF(U53&lt;=Hypothèses!$V$15,Hypothèses!$X$15,IF(U53&lt;=Hypothèses!$V$16,Hypothèses!$X$16,IF(U53&lt;=Hypothèses!$U$17,Hypothèses!$W$17,IF(U53&lt;=Hypothèses!$U$18,Hypothèses!$W$18,""))))))))))))</f>
        <v>#DIV/0!</v>
      </c>
      <c r="AR53" s="95" t="e">
        <f t="shared" ca="1" si="72"/>
        <v>#DIV/0!</v>
      </c>
      <c r="AS53" s="101">
        <f t="shared" si="124"/>
        <v>0</v>
      </c>
      <c r="AT53" s="91">
        <f t="shared" si="21"/>
        <v>0</v>
      </c>
      <c r="AU53" s="30" t="e">
        <f t="shared" si="102"/>
        <v>#N/A</v>
      </c>
      <c r="AV53" s="30" t="e">
        <f t="shared" si="103"/>
        <v>#N/A</v>
      </c>
      <c r="AW53" s="31" t="e">
        <f>IF(OR(Hypothèses!$B$4=17,Hypothèses!$B$4=18,Hypothèses!$B$4=19,Hypothèses!$B$4=20),
IF($D53="Pressio.",
IF(OR($E53=3,$E53=1,$E53=4),AV53,AU53),
IF($D53="Pénétro.",
IF(OR($E53=3,$E53=1,$E53=4),AV53,AU53))),IF($D53="Pressio.",
IF($E53=3,AV53,AU53),
IF($D53="Pénétro.",
IF($E53=4,AV53,AU53))))</f>
        <v>#N/A</v>
      </c>
      <c r="AX53" s="31">
        <v>0</v>
      </c>
      <c r="AY53" s="102" t="e">
        <f>IF(NDC!$H$10="Oui",(VLOOKUP($B$3,'Coeff EC7'!$T$39:$X$59,2,0)*AW53+VLOOKUP($B$3,'Coeff EC7'!$T$65:$X$85,2,0)*Model0.1T!AX53)/1.5,PI()*AU$12*$Q53*($B53-$B52)*0.15/10+AY52)</f>
        <v>#N/A</v>
      </c>
      <c r="AZ53" s="102" t="e">
        <f>(VLOOKUP($B$3,'Coeff EC7'!$T$39:$X$59,3,0)*AW53+VLOOKUP($B$3,'Coeff EC7'!$T$65:$X$85,3,0)*Model0.1T!AX53)/1.1</f>
        <v>#N/A</v>
      </c>
      <c r="BA53" s="102" t="e">
        <f t="shared" si="73"/>
        <v>#N/A</v>
      </c>
      <c r="BB53" s="102" t="e">
        <f t="shared" si="74"/>
        <v>#N/A</v>
      </c>
      <c r="BC53" s="414" t="e">
        <f>IF(AND(AY53&gt;NDC!$C$63,AZ53&gt;NDC!$C$65,BA53&gt;NDC!$D$73,BB53&gt;NDC!$D$74,$B53&gt;NDC!$H$22-0.1+MIN(3*BC$12,1.5)),0,1)</f>
        <v>#N/A</v>
      </c>
      <c r="BD53" s="86" t="b">
        <f t="shared" si="24"/>
        <v>0</v>
      </c>
      <c r="BE53" s="86">
        <f t="shared" si="75"/>
        <v>0.5</v>
      </c>
      <c r="BF53" s="86">
        <f t="shared" si="25"/>
        <v>0.5</v>
      </c>
      <c r="BG53" s="30" t="e">
        <f t="shared" ca="1" si="76"/>
        <v>#DIV/0!</v>
      </c>
      <c r="BH53" s="85" t="e">
        <f ca="1">IF(AN53&lt;=Hypothèses!$V$7,Hypothèses!$W$7,IF(AN53&lt;=Hypothèses!$V$8,Hypothèses!$W$8,IF(AN53&lt;=Hypothèses!$V$9,Hypothèses!$W$9,IF(AN53&lt;=Hypothèses!$V$10,Hypothèses!$W$10,IF(AN53&lt;=Hypothèses!$V$11,Hypothèses!$W$11,IF(AN53&lt;=Hypothèses!$V$12,Hypothèses!$W$12,IF(AN53&lt;=Hypothèses!$V$13,Hypothèses!$W$13,IF(AN53&lt;=Hypothèses!$V$14,Hypothèses!$W$14,IF(AN53&lt;=Hypothèses!$V$15,Hypothèses!$W$15,IF(AN53&lt;=Hypothèses!$V$16,Hypothèses!$W$16,IF(AN53&lt;=Hypothèses!$V$17,Hypothèses!$W$17,IF(AN53&lt;=Hypothèses!$V$18,Hypothèses!$W$18,""))))))))))))</f>
        <v>#DIV/0!</v>
      </c>
      <c r="BI53" s="87" t="e">
        <f t="shared" ca="1" si="118"/>
        <v>#DIV/0!</v>
      </c>
      <c r="BJ53" s="88" t="e">
        <f ca="1">IF(AN53&lt;=Hypothèses!$V$7,Hypothèses!$X$7,IF(AN53&lt;=Hypothèses!$V$8,Hypothèses!$X$8,IF(AN53&lt;=Hypothèses!$V$9,Hypothèses!$X$9,IF(AN53&lt;=Hypothèses!$V$10,Hypothèses!$X$10,IF(AN53&lt;=Hypothèses!$V$11,Hypothèses!$X$11,IF(AN53&lt;=Hypothèses!$V$12,Hypothèses!$X$12,IF(AN53&lt;=Hypothèses!$V$13,Hypothèses!$X$13,IF(AN53&lt;=Hypothèses!$V$14,Hypothèses!$X$14,IF(AN53&lt;=Hypothèses!$V$15,Hypothèses!$X$15,IF(AN53&lt;=Hypothèses!$V$16,Hypothèses!$X$16,IF(AN53&lt;=Hypothèses!$U$17,Hypothèses!$W$17,IF(AN53&lt;=Hypothèses!$U$18,Hypothèses!$W$18,""))))))))))))</f>
        <v>#DIV/0!</v>
      </c>
      <c r="BK53" s="95" t="e">
        <f t="shared" ca="1" si="77"/>
        <v>#DIV/0!</v>
      </c>
      <c r="BL53" s="101">
        <f t="shared" si="125"/>
        <v>0</v>
      </c>
      <c r="BM53" s="91">
        <f t="shared" si="27"/>
        <v>0</v>
      </c>
      <c r="BN53" s="30" t="e">
        <f t="shared" si="104"/>
        <v>#N/A</v>
      </c>
      <c r="BO53" s="30" t="e">
        <f t="shared" si="105"/>
        <v>#N/A</v>
      </c>
      <c r="BP53" s="31" t="e">
        <f>IF(OR(Hypothèses!$B$4=17,Hypothèses!$B$4=18,Hypothèses!$B$4=19,Hypothèses!$B$4=20),
IF($D53="Pressio.",
IF(OR($E53=3,$E53=1,$E53=4),BO53,BN53),
IF($D53="Pénétro.",
IF(OR($E53=3,$E53=1,$E53=4),BO53,BN53))),IF($D53="Pressio.",
IF($E53=3,BO53,BN53),
IF($D53="Pénétro.",
IF($E53=4,BO53,BN53))))</f>
        <v>#N/A</v>
      </c>
      <c r="BQ53" s="31">
        <v>0</v>
      </c>
      <c r="BR53" s="102" t="e">
        <f>IF(NDC!$H$10="Oui",(VLOOKUP($B$3,'Coeff EC7'!$T$39:$X$59,2,0)*BP53+VLOOKUP($B$3,'Coeff EC7'!$T$65:$X$85,2,0)*Model0.1T!BQ53)/1.5,PI()*BN$12*$Q53*($B53-$B52)*0.15/10+BR52)</f>
        <v>#N/A</v>
      </c>
      <c r="BS53" s="102" t="e">
        <f>(VLOOKUP($B$3,'Coeff EC7'!$T$39:$X$59,3,0)*BP53+VLOOKUP($B$3,'Coeff EC7'!$T$65:$X$85,3,0)*Model0.1T!BQ53)/1.1</f>
        <v>#N/A</v>
      </c>
      <c r="BT53" s="102" t="e">
        <f t="shared" si="78"/>
        <v>#N/A</v>
      </c>
      <c r="BU53" s="102" t="e">
        <f t="shared" si="79"/>
        <v>#N/A</v>
      </c>
      <c r="BV53" s="414" t="e">
        <f>IF(AND(BR53&gt;NDC!$C$63,BS53&gt;NDC!$C$65,BT53&gt;NDC!$D$73,BU53&gt;NDC!$D$74,$B53&gt;NDC!$H$22-0.1+MIN(3*BV$12,1.5)),0,1)</f>
        <v>#N/A</v>
      </c>
      <c r="BW53" s="86" t="b">
        <f t="shared" si="30"/>
        <v>0</v>
      </c>
      <c r="BX53" s="86">
        <f t="shared" si="31"/>
        <v>0.5</v>
      </c>
      <c r="BY53" s="86">
        <f t="shared" si="32"/>
        <v>0.5</v>
      </c>
      <c r="BZ53" s="30" t="e">
        <f t="shared" ca="1" si="80"/>
        <v>#DIV/0!</v>
      </c>
      <c r="CA53" s="85" t="e">
        <f ca="1">IF(BG53&lt;=Hypothèses!$V$7,Hypothèses!$W$7,IF(BG53&lt;=Hypothèses!$V$8,Hypothèses!$W$8,IF(BG53&lt;=Hypothèses!$V$9,Hypothèses!$W$9,IF(BG53&lt;=Hypothèses!$V$10,Hypothèses!$W$10,IF(BG53&lt;=Hypothèses!$V$11,Hypothèses!$W$11,IF(BG53&lt;=Hypothèses!$V$12,Hypothèses!$W$12,IF(BG53&lt;=Hypothèses!$V$13,Hypothèses!$W$13,IF(BG53&lt;=Hypothèses!$V$14,Hypothèses!$W$14,IF(BG53&lt;=Hypothèses!$V$15,Hypothèses!$W$15,IF(BG53&lt;=Hypothèses!$V$16,Hypothèses!$W$16,IF(BG53&lt;=Hypothèses!$V$17,Hypothèses!$W$17,IF(BG53&lt;=Hypothèses!$V$18,Hypothèses!$W$18,""))))))))))))</f>
        <v>#DIV/0!</v>
      </c>
      <c r="CB53" s="87" t="e">
        <f t="shared" ca="1" si="119"/>
        <v>#DIV/0!</v>
      </c>
      <c r="CC53" s="88" t="e">
        <f ca="1">IF(BG53&lt;=Hypothèses!$V$7,Hypothèses!$X$7,IF(BG53&lt;=Hypothèses!$V$8,Hypothèses!$X$8,IF(BG53&lt;=Hypothèses!$V$9,Hypothèses!$X$9,IF(BG53&lt;=Hypothèses!$V$10,Hypothèses!$X$10,IF(BG53&lt;=Hypothèses!$V$11,Hypothèses!$X$11,IF(BG53&lt;=Hypothèses!$V$12,Hypothèses!$X$12,IF(BG53&lt;=Hypothèses!$V$13,Hypothèses!$X$13,IF(BG53&lt;=Hypothèses!$V$14,Hypothèses!$X$14,IF(BG53&lt;=Hypothèses!$V$15,Hypothèses!$X$15,IF(BG53&lt;=Hypothèses!$V$16,Hypothèses!$X$16,IF(BG53&lt;=Hypothèses!$U$17,Hypothèses!$W$17,IF(BG53&lt;=Hypothèses!$U$18,Hypothèses!$W$18,""))))))))))))</f>
        <v>#DIV/0!</v>
      </c>
      <c r="CD53" s="95" t="e">
        <f t="shared" ca="1" si="81"/>
        <v>#DIV/0!</v>
      </c>
      <c r="CE53" s="101">
        <f t="shared" si="126"/>
        <v>0</v>
      </c>
      <c r="CF53" s="91">
        <f t="shared" si="34"/>
        <v>0</v>
      </c>
      <c r="CG53" s="30" t="e">
        <f t="shared" si="106"/>
        <v>#N/A</v>
      </c>
      <c r="CH53" s="30" t="e">
        <f t="shared" si="107"/>
        <v>#N/A</v>
      </c>
      <c r="CI53" s="31" t="e">
        <f>IF(OR(Hypothèses!$B$4=17,Hypothèses!$B$4=18,Hypothèses!$B$4=19,Hypothèses!$B$4=20),
IF($D53="Pressio.",
IF(OR($E53=3,$E53=1,$E53=4),CH53,CG53),
IF($D53="Pénétro.",
IF(OR($E53=3,$E53=1,$E53=4),CH53,CG53))),IF($D53="Pressio.",
IF($E53=3,CH53,CG53),
IF($D53="Pénétro.",
IF($E53=4,CH53,CG53))))</f>
        <v>#N/A</v>
      </c>
      <c r="CJ53" s="31">
        <v>0</v>
      </c>
      <c r="CK53" s="102" t="e">
        <f>IF(NDC!$H$10="Oui",(VLOOKUP($B$3,'Coeff EC7'!$T$39:$X$59,2,0)*CI53+VLOOKUP($B$3,'Coeff EC7'!$T$65:$X$85,2,0)*Model0.1T!CJ53)/1.5,PI()*CG$12*$Q53*($B53-$B52)*0.15/10+CK52)</f>
        <v>#N/A</v>
      </c>
      <c r="CL53" s="102" t="e">
        <f>(VLOOKUP($B$3,'Coeff EC7'!$T$39:$X$59,3,0)*CI53+VLOOKUP($B$3,'Coeff EC7'!$T$65:$X$85,3,0)*Model0.1T!CJ53)/1.1</f>
        <v>#N/A</v>
      </c>
      <c r="CM53" s="102" t="e">
        <f t="shared" si="82"/>
        <v>#N/A</v>
      </c>
      <c r="CN53" s="102" t="e">
        <f t="shared" si="83"/>
        <v>#N/A</v>
      </c>
      <c r="CO53" s="414" t="e">
        <f>IF(AND(CK53&gt;NDC!$C$63,CL53&gt;NDC!$C$65,CM53&gt;NDC!$D$73,CN53&gt;NDC!$D$74,$B53&gt;NDC!$H$22-0.1+MIN(3*CO$12,1.5)),0,1)</f>
        <v>#N/A</v>
      </c>
      <c r="CP53" s="86" t="b">
        <f t="shared" si="37"/>
        <v>0</v>
      </c>
      <c r="CQ53" s="86">
        <f t="shared" si="38"/>
        <v>0.5</v>
      </c>
      <c r="CR53" s="86">
        <f t="shared" si="39"/>
        <v>0.5</v>
      </c>
      <c r="CS53" s="30" t="e">
        <f t="shared" ca="1" si="84"/>
        <v>#DIV/0!</v>
      </c>
      <c r="CT53" s="85" t="e">
        <f ca="1">IF(BZ53&lt;=Hypothèses!$V$7,Hypothèses!$W$7,IF(BZ53&lt;=Hypothèses!$V$8,Hypothèses!$W$8,IF(BZ53&lt;=Hypothèses!$V$9,Hypothèses!$W$9,IF(BZ53&lt;=Hypothèses!$V$10,Hypothèses!$W$10,IF(BZ53&lt;=Hypothèses!$V$11,Hypothèses!$W$11,IF(BZ53&lt;=Hypothèses!$V$12,Hypothèses!$W$12,IF(BZ53&lt;=Hypothèses!$V$13,Hypothèses!$W$13,IF(BZ53&lt;=Hypothèses!$V$14,Hypothèses!$W$14,IF(BZ53&lt;=Hypothèses!$V$15,Hypothèses!$W$15,IF(BZ53&lt;=Hypothèses!$V$16,Hypothèses!$W$16,IF(BZ53&lt;=Hypothèses!$V$17,Hypothèses!$W$17,IF(BZ53&lt;=Hypothèses!$V$18,Hypothèses!$W$18,""))))))))))))</f>
        <v>#DIV/0!</v>
      </c>
      <c r="CU53" s="87" t="e">
        <f t="shared" ca="1" si="120"/>
        <v>#DIV/0!</v>
      </c>
      <c r="CV53" s="88" t="e">
        <f ca="1">IF(BZ53&lt;=Hypothèses!$V$7,Hypothèses!$X$7,IF(BZ53&lt;=Hypothèses!$V$8,Hypothèses!$X$8,IF(BZ53&lt;=Hypothèses!$V$9,Hypothèses!$X$9,IF(BZ53&lt;=Hypothèses!$V$10,Hypothèses!$X$10,IF(BZ53&lt;=Hypothèses!$V$11,Hypothèses!$X$11,IF(BZ53&lt;=Hypothèses!$V$12,Hypothèses!$X$12,IF(BZ53&lt;=Hypothèses!$V$13,Hypothèses!$X$13,IF(BZ53&lt;=Hypothèses!$V$14,Hypothèses!$X$14,IF(BZ53&lt;=Hypothèses!$V$15,Hypothèses!$X$15,IF(BZ53&lt;=Hypothèses!$V$16,Hypothèses!$X$16,IF(BZ53&lt;=Hypothèses!$U$17,Hypothèses!$W$17,IF(BZ53&lt;=Hypothèses!$U$18,Hypothèses!$W$18,""))))))))))))</f>
        <v>#DIV/0!</v>
      </c>
      <c r="CW53" s="95" t="e">
        <f t="shared" ca="1" si="85"/>
        <v>#DIV/0!</v>
      </c>
      <c r="CX53" s="101">
        <f t="shared" si="127"/>
        <v>0</v>
      </c>
      <c r="CY53" s="91">
        <f t="shared" si="41"/>
        <v>0</v>
      </c>
      <c r="CZ53" s="30" t="e">
        <f t="shared" si="108"/>
        <v>#N/A</v>
      </c>
      <c r="DA53" s="30" t="e">
        <f t="shared" si="109"/>
        <v>#N/A</v>
      </c>
      <c r="DB53" s="31" t="e">
        <f>IF(OR(Hypothèses!$B$4=17,Hypothèses!$B$4=18,Hypothèses!$B$4=19,Hypothèses!$B$4=20),
IF($D53="Pressio.",
IF(OR($E53=3,$E53=1,$E53=4),DA53,CZ53),
IF($D53="Pénétro.",
IF(OR($E53=3,$E53=1,$E53=4),DA53,CZ53))),IF($D53="Pressio.",
IF($E53=3,DA53,CZ53),
IF($D53="Pénétro.",
IF($E53=4,DA53,CZ53))))</f>
        <v>#N/A</v>
      </c>
      <c r="DC53" s="31">
        <v>0</v>
      </c>
      <c r="DD53" s="102" t="e">
        <f>IF(NDC!$H$10="Oui",(VLOOKUP($B$3,'Coeff EC7'!$T$39:$X$59,2,0)*DB53+VLOOKUP($B$3,'Coeff EC7'!$T$65:$X$85,2,0)*Model0.1T!DC53)/1.5,PI()*CZ$12*$Q53*($B53-$B52)*0.15/10+DD52)</f>
        <v>#N/A</v>
      </c>
      <c r="DE53" s="102" t="e">
        <f>(VLOOKUP($B$3,'Coeff EC7'!$T$39:$X$59,3,0)*DB53+VLOOKUP($B$3,'Coeff EC7'!$T$65:$X$85,3,0)*Model0.1T!DC53)/1.1</f>
        <v>#N/A</v>
      </c>
      <c r="DF53" s="102" t="e">
        <f t="shared" si="86"/>
        <v>#N/A</v>
      </c>
      <c r="DG53" s="102" t="e">
        <f t="shared" si="87"/>
        <v>#N/A</v>
      </c>
      <c r="DH53" s="414" t="e">
        <f>IF(AND(DD53&gt;NDC!$C$63,DE53&gt;NDC!$C$65,DF53&gt;NDC!$D$73,DG53&gt;NDC!$D$74,$B53&gt;NDC!$H$22-0.1+MIN(3*DH$12,1.5)),0,1)</f>
        <v>#N/A</v>
      </c>
      <c r="DI53" s="86" t="b">
        <f t="shared" si="44"/>
        <v>0</v>
      </c>
      <c r="DJ53" s="86">
        <f t="shared" si="45"/>
        <v>0.5</v>
      </c>
      <c r="DK53" s="86">
        <f t="shared" si="46"/>
        <v>0.5</v>
      </c>
      <c r="DL53" s="30" t="e">
        <f t="shared" ca="1" si="88"/>
        <v>#DIV/0!</v>
      </c>
      <c r="DM53" s="85" t="e">
        <f ca="1">IF(CS53&lt;=Hypothèses!$V$7,Hypothèses!$W$7,IF(CS53&lt;=Hypothèses!$V$8,Hypothèses!$W$8,IF(CS53&lt;=Hypothèses!$V$9,Hypothèses!$W$9,IF(CS53&lt;=Hypothèses!$V$10,Hypothèses!$W$10,IF(CS53&lt;=Hypothèses!$V$11,Hypothèses!$W$11,IF(CS53&lt;=Hypothèses!$V$12,Hypothèses!$W$12,IF(CS53&lt;=Hypothèses!$V$13,Hypothèses!$W$13,IF(CS53&lt;=Hypothèses!$V$14,Hypothèses!$W$14,IF(CS53&lt;=Hypothèses!$V$15,Hypothèses!$W$15,IF(CS53&lt;=Hypothèses!$V$16,Hypothèses!$W$16,IF(CS53&lt;=Hypothèses!$V$17,Hypothèses!$W$17,IF(CS53&lt;=Hypothèses!$V$18,Hypothèses!$W$18,""))))))))))))</f>
        <v>#DIV/0!</v>
      </c>
      <c r="DN53" s="87" t="e">
        <f t="shared" ca="1" si="121"/>
        <v>#DIV/0!</v>
      </c>
      <c r="DO53" s="88" t="e">
        <f ca="1">IF(CS53&lt;=Hypothèses!$V$7,Hypothèses!$X$7,IF(CS53&lt;=Hypothèses!$V$8,Hypothèses!$X$8,IF(CS53&lt;=Hypothèses!$V$9,Hypothèses!$X$9,IF(CS53&lt;=Hypothèses!$V$10,Hypothèses!$X$10,IF(CS53&lt;=Hypothèses!$V$11,Hypothèses!$X$11,IF(CS53&lt;=Hypothèses!$V$12,Hypothèses!$X$12,IF(CS53&lt;=Hypothèses!$V$13,Hypothèses!$X$13,IF(CS53&lt;=Hypothèses!$V$14,Hypothèses!$X$14,IF(CS53&lt;=Hypothèses!$V$15,Hypothèses!$X$15,IF(CS53&lt;=Hypothèses!$V$16,Hypothèses!$X$16,IF(CS53&lt;=Hypothèses!$U$17,Hypothèses!$W$17,IF(CS53&lt;=Hypothèses!$U$18,Hypothèses!$W$18,""))))))))))))</f>
        <v>#DIV/0!</v>
      </c>
      <c r="DP53" s="95" t="e">
        <f t="shared" ca="1" si="89"/>
        <v>#DIV/0!</v>
      </c>
      <c r="DQ53" s="101">
        <f t="shared" si="128"/>
        <v>0</v>
      </c>
      <c r="DR53" s="91">
        <f t="shared" si="48"/>
        <v>0</v>
      </c>
      <c r="DS53" s="30" t="e">
        <f t="shared" si="110"/>
        <v>#N/A</v>
      </c>
      <c r="DT53" s="30" t="e">
        <f t="shared" si="111"/>
        <v>#N/A</v>
      </c>
      <c r="DU53" s="31" t="e">
        <f>IF(OR(Hypothèses!$B$4=17,Hypothèses!$B$4=18,Hypothèses!$B$4=19,Hypothèses!$B$4=20),
IF($D53="Pressio.",
IF(OR($E53=3,$E53=1,$E53=4),DT53,DS53),
IF($D53="Pénétro.",
IF(OR($E53=3,$E53=1,$E53=4),DT53,DS53))),IF($D53="Pressio.",
IF($E53=3,DT53,DS53),
IF($D53="Pénétro.",
IF($E53=4,DT53,DS53))))</f>
        <v>#N/A</v>
      </c>
      <c r="DV53" s="31">
        <v>0</v>
      </c>
      <c r="DW53" s="102" t="e">
        <f>IF(NDC!$H$10="Oui",(VLOOKUP($B$3,'Coeff EC7'!$T$39:$X$59,2,0)*DU53+VLOOKUP($B$3,'Coeff EC7'!$T$65:$X$85,2,0)*Model0.1T!DV53)/1.5,PI()*DS$12*$Q53*($B53-$B52)*0.15/10+DW52)</f>
        <v>#N/A</v>
      </c>
      <c r="DX53" s="102" t="e">
        <f>(VLOOKUP($B$3,'Coeff EC7'!$T$39:$X$59,3,0)*DU53+VLOOKUP($B$3,'Coeff EC7'!$T$65:$X$85,3,0)*Model0.1T!DV53)/1.1</f>
        <v>#N/A</v>
      </c>
      <c r="DY53" s="102" t="e">
        <f t="shared" si="90"/>
        <v>#N/A</v>
      </c>
      <c r="DZ53" s="102" t="e">
        <f t="shared" si="91"/>
        <v>#N/A</v>
      </c>
      <c r="EA53" s="414" t="e">
        <f>IF(AND(DW53&gt;NDC!$C$63,DX53&gt;NDC!$C$65,DY53&gt;NDC!$D$73,DZ53&gt;NDC!$D$74,$B53&gt;NDC!$H$22-0.1+MIN(3*EA$12,1.5)),0,1)</f>
        <v>#N/A</v>
      </c>
      <c r="EB53" s="86" t="b">
        <f t="shared" si="51"/>
        <v>0</v>
      </c>
      <c r="EC53" s="418">
        <f t="shared" si="52"/>
        <v>0.51</v>
      </c>
      <c r="ED53" s="86">
        <f t="shared" si="53"/>
        <v>0.51</v>
      </c>
      <c r="EE53" s="30" t="e">
        <f t="shared" ca="1" si="92"/>
        <v>#DIV/0!</v>
      </c>
      <c r="EF53" s="85" t="e">
        <f ca="1">IF(DL53&lt;=Hypothèses!$V$7,Hypothèses!$W$7,IF(DL53&lt;=Hypothèses!$V$8,Hypothèses!$W$8,IF(DL53&lt;=Hypothèses!$V$9,Hypothèses!$W$9,IF(DL53&lt;=Hypothèses!$V$10,Hypothèses!$W$10,IF(DL53&lt;=Hypothèses!$V$11,Hypothèses!$W$11,IF(DL53&lt;=Hypothèses!$V$12,Hypothèses!$W$12,IF(DL53&lt;=Hypothèses!$V$13,Hypothèses!$W$13,IF(DL53&lt;=Hypothèses!$V$14,Hypothèses!$W$14,IF(DL53&lt;=Hypothèses!$V$15,Hypothèses!$W$15,IF(DL53&lt;=Hypothèses!$V$16,Hypothèses!$W$16,IF(DL53&lt;=Hypothèses!$V$17,Hypothèses!$W$17,IF(DL53&lt;=Hypothèses!$V$18,Hypothèses!$W$18,""))))))))))))</f>
        <v>#DIV/0!</v>
      </c>
      <c r="EG53" s="87" t="e">
        <f t="shared" ca="1" si="122"/>
        <v>#DIV/0!</v>
      </c>
      <c r="EH53" s="88" t="e">
        <f ca="1">IF(DL53&lt;=Hypothèses!$V$7,Hypothèses!$X$7,IF(DL53&lt;=Hypothèses!$V$8,Hypothèses!$X$8,IF(DL53&lt;=Hypothèses!$V$9,Hypothèses!$X$9,IF(DL53&lt;=Hypothèses!$V$10,Hypothèses!$X$10,IF(DL53&lt;=Hypothèses!$V$11,Hypothèses!$X$11,IF(DL53&lt;=Hypothèses!$V$12,Hypothèses!$X$12,IF(DL53&lt;=Hypothèses!$V$13,Hypothèses!$X$13,IF(DL53&lt;=Hypothèses!$V$14,Hypothèses!$X$14,IF(DL53&lt;=Hypothèses!$V$15,Hypothèses!$X$15,IF(DL53&lt;=Hypothèses!$V$16,Hypothèses!$X$16,IF(DL53&lt;=Hypothèses!$U$17,Hypothèses!$W$17,IF(DL53&lt;=Hypothèses!$U$18,Hypothèses!$W$18,""))))))))))))</f>
        <v>#DIV/0!</v>
      </c>
      <c r="EI53" s="95" t="e">
        <f t="shared" ca="1" si="93"/>
        <v>#DIV/0!</v>
      </c>
      <c r="EJ53" s="101">
        <f t="shared" si="129"/>
        <v>0</v>
      </c>
      <c r="EK53" s="91">
        <f t="shared" si="55"/>
        <v>0</v>
      </c>
      <c r="EL53" s="30" t="e">
        <f t="shared" si="112"/>
        <v>#N/A</v>
      </c>
      <c r="EM53" s="30" t="e">
        <f t="shared" si="113"/>
        <v>#N/A</v>
      </c>
      <c r="EN53" s="31" t="e">
        <f>IF(OR(Hypothèses!$B$4=17,Hypothèses!$B$4=18,Hypothèses!$B$4=19,Hypothèses!$B$4=20),
IF($D53="Pressio.",
IF(OR($E53=3,$E53=1,$E53=4),EM53,EL53),
IF($D53="Pénétro.",
IF(OR($E53=3,$E53=1,$E53=4),EM53,EL53))),IF($D53="Pressio.",
IF($E53=3,EM53,EL53),
IF($D53="Pénétro.",
IF($E53=4,EM53,EL53))))</f>
        <v>#N/A</v>
      </c>
      <c r="EO53" s="31">
        <v>0</v>
      </c>
      <c r="EP53" s="102" t="e">
        <f>IF(NDC!$H$10="Oui",(VLOOKUP($B$3,'Coeff EC7'!$T$39:$X$59,2,0)*EN53+VLOOKUP($B$3,'Coeff EC7'!$T$65:$X$85,2,0)*Model0.1T!EO53)/1.5,PI()*EL$12*$Q53*($B53-$B52)*0.15/10+EP52)</f>
        <v>#N/A</v>
      </c>
      <c r="EQ53" s="102" t="e">
        <f>(VLOOKUP($B$3,'Coeff EC7'!$T$39:$X$59,3,0)*EN53+VLOOKUP($B$3,'Coeff EC7'!$T$65:$X$85,3,0)*Model0.1T!EO53)/1.1</f>
        <v>#N/A</v>
      </c>
      <c r="ER53" s="102" t="e">
        <f t="shared" si="94"/>
        <v>#N/A</v>
      </c>
      <c r="ES53" s="102" t="e">
        <f t="shared" si="95"/>
        <v>#N/A</v>
      </c>
      <c r="ET53" s="414" t="e">
        <f>IF(AND(EP53&gt;NDC!$C$63,EQ53&gt;NDC!$C$65,ER53&gt;NDC!$D$73,ES53&gt;NDC!$D$74,$B53&gt;NDC!$H$22-0.1+MIN(3*ET$12,1.5)),0,1)</f>
        <v>#N/A</v>
      </c>
      <c r="EU53" s="86" t="b">
        <f t="shared" si="58"/>
        <v>0</v>
      </c>
      <c r="EV53" s="86">
        <f t="shared" si="59"/>
        <v>0.61</v>
      </c>
      <c r="EW53" s="86">
        <f t="shared" si="60"/>
        <v>0.61</v>
      </c>
      <c r="EX53" s="30" t="e">
        <f t="shared" ca="1" si="96"/>
        <v>#DIV/0!</v>
      </c>
      <c r="EY53" s="85" t="e">
        <f ca="1">IF(EE53&lt;=Hypothèses!$V$7,Hypothèses!$W$7,IF(EE53&lt;=Hypothèses!$V$8,Hypothèses!$W$8,IF(EE53&lt;=Hypothèses!$V$9,Hypothèses!$W$9,IF(EE53&lt;=Hypothèses!$V$10,Hypothèses!$W$10,IF(EE53&lt;=Hypothèses!$V$11,Hypothèses!$W$11,IF(EE53&lt;=Hypothèses!$V$12,Hypothèses!$W$12,IF(EE53&lt;=Hypothèses!$V$13,Hypothèses!$W$13,IF(EE53&lt;=Hypothèses!$V$14,Hypothèses!$W$14,IF(EE53&lt;=Hypothèses!$V$15,Hypothèses!$W$15,IF(EE53&lt;=Hypothèses!$V$16,Hypothèses!$W$16,IF(EE53&lt;=Hypothèses!$V$17,Hypothèses!$W$17,IF(EE53&lt;=Hypothèses!$V$18,Hypothèses!$W$18,""))))))))))))</f>
        <v>#DIV/0!</v>
      </c>
      <c r="EZ53" s="87" t="e">
        <f t="shared" ca="1" si="123"/>
        <v>#DIV/0!</v>
      </c>
      <c r="FA53" s="88" t="e">
        <f ca="1">IF(EE53&lt;=Hypothèses!$V$7,Hypothèses!$X$7,IF(EE53&lt;=Hypothèses!$V$8,Hypothèses!$X$8,IF(EE53&lt;=Hypothèses!$V$9,Hypothèses!$X$9,IF(EE53&lt;=Hypothèses!$V$10,Hypothèses!$X$10,IF(EE53&lt;=Hypothèses!$V$11,Hypothèses!$X$11,IF(EE53&lt;=Hypothèses!$V$12,Hypothèses!$X$12,IF(EE53&lt;=Hypothèses!$V$13,Hypothèses!$X$13,IF(EE53&lt;=Hypothèses!$V$14,Hypothèses!$X$14,IF(EE53&lt;=Hypothèses!$V$15,Hypothèses!$X$15,IF(EE53&lt;=Hypothèses!$V$16,Hypothèses!$X$16,IF(EE53&lt;=Hypothèses!$U$17,Hypothèses!$W$17,IF(EE53&lt;=Hypothèses!$U$18,Hypothèses!$W$18,""))))))))))))</f>
        <v>#DIV/0!</v>
      </c>
      <c r="FB53" s="95" t="e">
        <f t="shared" ca="1" si="97"/>
        <v>#DIV/0!</v>
      </c>
      <c r="FC53" s="101">
        <f t="shared" si="130"/>
        <v>0</v>
      </c>
      <c r="FD53" s="91">
        <f t="shared" si="62"/>
        <v>0</v>
      </c>
      <c r="FE53" s="30" t="e">
        <f t="shared" si="114"/>
        <v>#N/A</v>
      </c>
      <c r="FF53" s="30" t="e">
        <f t="shared" si="115"/>
        <v>#N/A</v>
      </c>
      <c r="FG53" s="31" t="e">
        <f>IF(OR(Hypothèses!$B$4=17,Hypothèses!$B$4=18,Hypothèses!$B$4=19,Hypothèses!$B$4=20),
IF($D53="Pressio.",
IF(OR($E53=3,$E53=1,$E53=4),FF53,FE53),
IF($D53="Pénétro.",
IF(OR($E53=3,$E53=1,$E53=4),FF53,FE53))),IF($D53="Pressio.",
IF($E53=3,FF53,FE53),
IF($D53="Pénétro.",
IF($E53=4,FF53,FE53))))</f>
        <v>#N/A</v>
      </c>
      <c r="FH53" s="31">
        <v>0</v>
      </c>
      <c r="FI53" s="102" t="e">
        <f>IF(NDC!$H$10="Oui",(VLOOKUP($B$3,'Coeff EC7'!$T$39:$X$59,2,0)*FG53+VLOOKUP($B$3,'Coeff EC7'!$T$65:$X$85,2,0)*Model0.1T!FH53)/1.5,PI()*FE$12*$Q53*($B53-$B52)*0.15/10+FI52)</f>
        <v>#N/A</v>
      </c>
      <c r="FJ53" s="102" t="e">
        <f>(VLOOKUP($B$3,'Coeff EC7'!$T$39:$X$59,3,0)*FG53+VLOOKUP($B$3,'Coeff EC7'!$T$65:$X$85,3,0)*Model0.1T!FH53)/1.1</f>
        <v>#N/A</v>
      </c>
      <c r="FK53" s="102" t="e">
        <f t="shared" si="98"/>
        <v>#N/A</v>
      </c>
      <c r="FL53" s="102" t="e">
        <f t="shared" si="99"/>
        <v>#N/A</v>
      </c>
      <c r="FM53" s="414" t="e">
        <f>IF(AND(FI53&gt;NDC!$C$63,FJ53&gt;NDC!$C$65,FK53&gt;NDC!$D$73,FL53&gt;NDC!$D$74,$B53&gt;NDC!$H$22-0.1+MIN(3*FM$12,1.5)),0,1)</f>
        <v>#N/A</v>
      </c>
    </row>
    <row r="54" spans="1:169">
      <c r="A54" s="96">
        <f t="shared" si="65"/>
        <v>95.900000000000233</v>
      </c>
      <c r="B54" s="97">
        <v>4.0999999999999996</v>
      </c>
      <c r="C54" s="81">
        <f>IF(B54&lt;=Hypothèses!$C$7,Hypothèses!$A$7,IF(B54&lt;=Hypothèses!$C$8,Hypothèses!$A$8,IF(B54&lt;=Hypothèses!$C$9,Hypothèses!$A$9,IF(B54&lt;=Hypothèses!$C$10,Hypothèses!$A$10,IF(B54&lt;=Hypothèses!$C$11,Hypothèses!$A$11,IF(B54&lt;=Hypothèses!$C$12,Hypothèses!$A$12,IF(B54&lt;=Hypothèses!$C$13,Hypothèses!$A$13,IF(B54&lt;=Hypothèses!$C$14,Hypothèses!$A$14,IF(B54&lt;=Hypothèses!$C$15,Hypothèses!$A$15,IF(B54&lt;=Hypothèses!$C$16,Hypothèses!$A$16,IF(B54&lt;=Hypothèses!$C$17,Hypothèses!$A$17,IF(B54&lt;=Hypothèses!$C$18,Hypothèses!$A$18,C53))))))))))))</f>
        <v>11</v>
      </c>
      <c r="D54" s="82" t="str">
        <f>IF(B54&lt;=Hypothèses!$C$7,Hypothèses!$R$7,IF(B54&lt;=Hypothèses!$C$8,Hypothèses!$R$8,IF(B54&lt;=Hypothèses!$C$9,Hypothèses!$R$9,IF(B54&lt;=Hypothèses!$C$10,Hypothèses!$R$10,IF(B54&lt;=Hypothèses!$C$11,Hypothèses!$R$11,IF(B54&lt;=Hypothèses!$C$12,Hypothèses!$R$12,IF(B54&lt;=Hypothèses!$C$13,Hypothèses!$R$13,IF(B54&lt;=Hypothèses!$C$14,Hypothèses!$R$14,IF(B54&lt;=Hypothèses!$C$15,Hypothèses!$R$15,IF(B54&lt;=Hypothèses!$C$16,Hypothèses!$R$16,IF(B54&lt;=Hypothèses!$C$17,Hypothèses!$R$17,IF(B54&lt;=Hypothèses!$C$18,Hypothèses!$R$18,D53))))))))))))</f>
        <v>Pressio.</v>
      </c>
      <c r="E54" s="82" t="e">
        <f>IF(B54&lt;=Hypothèses!$C$7,Hypothèses!$G$7,IF(B54&lt;=Hypothèses!$C$8,Hypothèses!$G$8,IF(B54&lt;=Hypothèses!$C$9,Hypothèses!$G$9,IF(B54&lt;=Hypothèses!$C$10,Hypothèses!$G$10,IF(B54&lt;=Hypothèses!$C$11,Hypothèses!$G$11,IF(B54&lt;=Hypothèses!$C$12,Hypothèses!$G$12,IF(B54&lt;=Hypothèses!$C$13,Hypothèses!$G$13,IF(B54&lt;=Hypothèses!$C$14,Hypothèses!$G$14,IF(B54&lt;=Hypothèses!$C$15,Hypothèses!$G$15,IF(B54&lt;=Hypothèses!$C$16,Hypothèses!$G$16,IF(B54&lt;=Hypothèses!$C$17,Hypothèses!$G$17,IF(B54&lt;=Hypothèses!$C$18,Hypothèses!$G$18,E53))))))))))))</f>
        <v>#N/A</v>
      </c>
      <c r="F54" s="82" t="str">
        <f>IF(B54&lt;=Hypothèses!$C$7,Hypothèses!$F$7,IF(B54&lt;=Hypothèses!$C$8,Hypothèses!$F$8,IF(B54&lt;=Hypothèses!$C$9,Hypothèses!$F$9,IF(B54&lt;=Hypothèses!$C$10,Hypothèses!$F$10,IF(B54&lt;=Hypothèses!$C$11,Hypothèses!$F$11,IF(B54&lt;=Hypothèses!$C$12,Hypothèses!$F$12,IF(B54&lt;=Hypothèses!$C$13,Hypothèses!$F$13,IF(B54&lt;=Hypothèses!$C$14,Hypothèses!$F$14,IF(B54&lt;=Hypothèses!$C$15,Hypothèses!$F$15,IF(B54&lt;=Hypothèses!$C$16,Hypothèses!$F$16,IF(B54&lt;=Hypothèses!$C$17,Hypothèses!$F$17,IF(B54&lt;=Hypothèses!$C$18,Hypothèses!$F$18,F53))))))))))))</f>
        <v/>
      </c>
      <c r="G54" s="91">
        <f t="array" ref="G54">INDEX('Coeff EC7'!$U$7:$X$27,
MATCH(Model0.1T!$B$3,'Coeff EC7'!$T$7:$T$27,0),
MATCH(Model0.1T!$D54&amp;Model0.1T!$B$4,
'Coeff EC7'!$U$6:$X$6&amp;
'Coeff EC7'!$U$5:$X$5,0))</f>
        <v>1.4</v>
      </c>
      <c r="H54" s="91">
        <f t="array" ref="H54">INDEX('Coeff EC7'!$Y$7:$AB$27,
MATCH(Model0.1T!$B$3,'Coeff EC7'!$T$7:$T$27,0),
MATCH(Model0.1T!$D54&amp;Model0.1T!$B$4,
'Coeff EC7'!$Y$6:$AB$6&amp;
'Coeff EC7'!$Y$5:$AB$5,0))</f>
        <v>1.7</v>
      </c>
      <c r="I54" s="83">
        <v>0</v>
      </c>
      <c r="J54" s="91" t="e">
        <f t="array" ref="J54">INDEX('Coeff EC7'!$D$33:$Q$33,1,MATCH(D54&amp;E54,'Coeff EC7'!$D$31:$Q$31&amp;'Coeff EC7'!$D$32:$Q$32,0))</f>
        <v>#N/A</v>
      </c>
      <c r="K54" s="91" t="e">
        <f t="array" ref="K54">INDEX('Coeff EC7'!$D$34:$Q$34,1,MATCH(D54&amp;E54,'Coeff EC7'!$D$31:$Q$31&amp;'Coeff EC7'!$D$32:$Q$32,0))</f>
        <v>#N/A</v>
      </c>
      <c r="L54" s="91" t="e">
        <f t="array" ref="L54">INDEX('Coeff EC7'!$D$35:$Q$35,1,MATCH(D54&amp;E54,'Coeff EC7'!$D$31:$Q$31&amp;'Coeff EC7'!$D$32:$Q$32,0))</f>
        <v>#N/A</v>
      </c>
      <c r="M54" s="98" t="e">
        <f t="shared" si="8"/>
        <v>#N/A</v>
      </c>
      <c r="N54" s="99" t="e">
        <f t="array" ref="N54">INDEX('Coeff EC7'!$D$7:$Q$27,MATCH($B$3,'Coeff EC7'!$C$7:$C$27,0),MATCH(D54&amp;E54,'Coeff EC7'!$D$5:$Q$5&amp;'Coeff EC7'!$D$6:$Q$6,0))</f>
        <v>#N/A</v>
      </c>
      <c r="O54" s="99" t="e">
        <f t="array" ref="O54">INDEX('Coeff EC7'!$D$41:$Q$61,MATCH($B$3,'Coeff EC7'!$C$41:$C$61,0),MATCH(D54&amp;E54,'Coeff EC7'!$D$39:$Q$39&amp;'Coeff EC7'!$D$40:$Q$40,0))</f>
        <v>#N/A</v>
      </c>
      <c r="P54" s="30" t="e">
        <f t="shared" si="66"/>
        <v>#N/A</v>
      </c>
      <c r="Q54" s="100" t="e">
        <f t="shared" si="10"/>
        <v>#N/A</v>
      </c>
      <c r="R54" s="86" t="b">
        <f t="shared" si="11"/>
        <v>0</v>
      </c>
      <c r="S54" s="86">
        <f t="shared" si="9"/>
        <v>0.5</v>
      </c>
      <c r="T54" s="86">
        <f t="shared" si="12"/>
        <v>0.5</v>
      </c>
      <c r="U54" s="30" t="e">
        <f t="shared" ca="1" si="67"/>
        <v>#DIV/0!</v>
      </c>
      <c r="V54" s="85" t="str">
        <f>IF(B54&lt;=Hypothèses!$V$7,Hypothèses!$W$7,IF(B54&lt;=Hypothèses!$V$8,Hypothèses!$W$8,IF(B54&lt;=Hypothèses!$V$9,Hypothèses!$W$9,IF(B54&lt;=Hypothèses!$V$10,Hypothèses!$W$10,IF(B54&lt;=Hypothèses!$V$11,Hypothèses!$W$11,IF(B54&lt;=Hypothèses!$V$12,Hypothèses!$W$12,IF(B54&lt;=Hypothèses!$V$13,Hypothèses!$W$13,IF(B54&lt;=Hypothèses!$V$14,Hypothèses!$W$14,IF(B54&lt;=Hypothèses!$V$15,Hypothèses!$W$15,IF(B54&lt;=Hypothèses!$V$16,Hypothèses!$W$16,IF(B54&lt;=Hypothèses!$V$17,Hypothèses!$W$17,IF(B54&lt;=Hypothèses!$V$18,Hypothèses!$W$18,""))))))))))))</f>
        <v/>
      </c>
      <c r="W54" s="87" t="e">
        <f t="shared" ca="1" si="116"/>
        <v>#DIV/0!</v>
      </c>
      <c r="X54" s="88" t="str">
        <f>IF(B54&lt;=Hypothèses!$V$7,Hypothèses!$X$7,IF(B54&lt;=Hypothèses!$V$8,Hypothèses!$X$8,IF(B54&lt;=Hypothèses!$V$9,Hypothèses!$X$9,IF(B54&lt;=Hypothèses!$V$10,Hypothèses!$X$10,IF(B54&lt;=Hypothèses!$V$11,Hypothèses!$X$11,IF(B54&lt;=Hypothèses!$V$12,Hypothèses!$X$12,IF(B54&lt;=Hypothèses!$V$13,Hypothèses!$X$13,IF(B54&lt;=Hypothèses!$V$14,Hypothèses!$X$14,IF(B54&lt;=Hypothèses!$V$15,Hypothèses!$X$15,IF(B54&lt;=Hypothèses!$V$16,Hypothèses!$X$16,IF(B54&lt;=Hypothèses!$U$17,Hypothèses!$W$17,IF(B54&lt;=Hypothèses!$U$18,Hypothèses!$W$18,""))))))))))))</f>
        <v/>
      </c>
      <c r="Y54" s="95" t="e">
        <f t="shared" ca="1" si="13"/>
        <v>#DIV/0!</v>
      </c>
      <c r="Z54" s="101">
        <f t="shared" si="14"/>
        <v>0</v>
      </c>
      <c r="AA54" s="91">
        <f t="shared" si="15"/>
        <v>0</v>
      </c>
      <c r="AB54" s="30" t="e">
        <f t="shared" si="100"/>
        <v>#N/A</v>
      </c>
      <c r="AC54" s="30" t="e">
        <f t="shared" si="101"/>
        <v>#N/A</v>
      </c>
      <c r="AD54" s="31" t="e">
        <f>IF(OR(Hypothèses!$B$4=17,Hypothèses!$B$4=18,Hypothèses!$B$4=19,Hypothèses!$B$4=20),
IF($D54="Pressio.",
IF(OR($E54=3,$E54=1,$E54=4),AC54,AB54),
IF($D54="Pénétro.",
IF(OR($E54=3,$E54=1,$E54=4),AC54,AB54))),IF($D54="Pressio.",
IF($E54=3,AC54,AB54),
IF($D54="Pénétro.",
IF($E54=4,AC54,AB54))))</f>
        <v>#N/A</v>
      </c>
      <c r="AE54" s="31">
        <v>0</v>
      </c>
      <c r="AF54" s="102" t="e">
        <f>IF(NDC!$H$10="Oui",(VLOOKUP($B$3,'Coeff EC7'!$T$39:$X$59,2,0)*AD54+VLOOKUP($B$3,'Coeff EC7'!$T$65:$X$85,2,0)*Model0.1T!AE54)/1.5,PI()*AB$12*$Q54*($B54-$B53)*0.15/10+AF53)</f>
        <v>#N/A</v>
      </c>
      <c r="AG54" s="102" t="e">
        <f>(VLOOKUP($B$3,'Coeff EC7'!$T$39:$X$59,3,0)*AD54+VLOOKUP($B$3,'Coeff EC7'!$T$65:$X$85,3,0)*Model0.1T!AE54)/1.1</f>
        <v>#N/A</v>
      </c>
      <c r="AH54" s="102" t="e">
        <f t="shared" si="68"/>
        <v>#N/A</v>
      </c>
      <c r="AI54" s="102" t="e">
        <f t="shared" si="69"/>
        <v>#N/A</v>
      </c>
      <c r="AJ54" s="414" t="e">
        <f>IF(AND(AF54&gt;NDC!$C$63,AG54&gt;NDC!$C$65,AH54&gt;NDC!$D$73,AI54&gt;NDC!$D$74,$B54&gt;NDC!$H$22-0.1+MIN(3*$AJ$12,1.5)),0,1)</f>
        <v>#N/A</v>
      </c>
      <c r="AK54" s="86" t="b">
        <f t="shared" si="18"/>
        <v>0</v>
      </c>
      <c r="AL54" s="86">
        <f t="shared" si="70"/>
        <v>0.5</v>
      </c>
      <c r="AM54" s="86">
        <f t="shared" si="19"/>
        <v>0.5</v>
      </c>
      <c r="AN54" s="30" t="e">
        <f t="shared" ca="1" si="71"/>
        <v>#DIV/0!</v>
      </c>
      <c r="AO54" s="85" t="e">
        <f ca="1">IF(U54&lt;=Hypothèses!$V$7,Hypothèses!$W$7,IF(U54&lt;=Hypothèses!$V$8,Hypothèses!$W$8,IF(U54&lt;=Hypothèses!$V$9,Hypothèses!$W$9,IF(U54&lt;=Hypothèses!$V$10,Hypothèses!$W$10,IF(U54&lt;=Hypothèses!$V$11,Hypothèses!$W$11,IF(U54&lt;=Hypothèses!$V$12,Hypothèses!$W$12,IF(U54&lt;=Hypothèses!$V$13,Hypothèses!$W$13,IF(U54&lt;=Hypothèses!$V$14,Hypothèses!$W$14,IF(U54&lt;=Hypothèses!$V$15,Hypothèses!$W$15,IF(U54&lt;=Hypothèses!$V$16,Hypothèses!$W$16,IF(U54&lt;=Hypothèses!$V$17,Hypothèses!$W$17,IF(U54&lt;=Hypothèses!$V$18,Hypothèses!$W$18,""))))))))))))</f>
        <v>#DIV/0!</v>
      </c>
      <c r="AP54" s="87" t="e">
        <f t="shared" ca="1" si="117"/>
        <v>#DIV/0!</v>
      </c>
      <c r="AQ54" s="88" t="e">
        <f ca="1">IF(U54&lt;=Hypothèses!$V$7,Hypothèses!$X$7,IF(U54&lt;=Hypothèses!$V$8,Hypothèses!$X$8,IF(U54&lt;=Hypothèses!$V$9,Hypothèses!$X$9,IF(U54&lt;=Hypothèses!$V$10,Hypothèses!$X$10,IF(U54&lt;=Hypothèses!$V$11,Hypothèses!$X$11,IF(U54&lt;=Hypothèses!$V$12,Hypothèses!$X$12,IF(U54&lt;=Hypothèses!$V$13,Hypothèses!$X$13,IF(U54&lt;=Hypothèses!$V$14,Hypothèses!$X$14,IF(U54&lt;=Hypothèses!$V$15,Hypothèses!$X$15,IF(U54&lt;=Hypothèses!$V$16,Hypothèses!$X$16,IF(U54&lt;=Hypothèses!$U$17,Hypothèses!$W$17,IF(U54&lt;=Hypothèses!$U$18,Hypothèses!$W$18,""))))))))))))</f>
        <v>#DIV/0!</v>
      </c>
      <c r="AR54" s="95" t="e">
        <f t="shared" ca="1" si="72"/>
        <v>#DIV/0!</v>
      </c>
      <c r="AS54" s="101">
        <f t="shared" si="124"/>
        <v>0</v>
      </c>
      <c r="AT54" s="91">
        <f t="shared" si="21"/>
        <v>0</v>
      </c>
      <c r="AU54" s="30" t="e">
        <f t="shared" si="102"/>
        <v>#N/A</v>
      </c>
      <c r="AV54" s="30" t="e">
        <f t="shared" si="103"/>
        <v>#N/A</v>
      </c>
      <c r="AW54" s="31" t="e">
        <f>IF(OR(Hypothèses!$B$4=17,Hypothèses!$B$4=18,Hypothèses!$B$4=19,Hypothèses!$B$4=20),
IF($D54="Pressio.",
IF(OR($E54=3,$E54=1,$E54=4),AV54,AU54),
IF($D54="Pénétro.",
IF(OR($E54=3,$E54=1,$E54=4),AV54,AU54))),IF($D54="Pressio.",
IF($E54=3,AV54,AU54),
IF($D54="Pénétro.",
IF($E54=4,AV54,AU54))))</f>
        <v>#N/A</v>
      </c>
      <c r="AX54" s="31">
        <v>0</v>
      </c>
      <c r="AY54" s="102" t="e">
        <f>IF(NDC!$H$10="Oui",(VLOOKUP($B$3,'Coeff EC7'!$T$39:$X$59,2,0)*AW54+VLOOKUP($B$3,'Coeff EC7'!$T$65:$X$85,2,0)*Model0.1T!AX54)/1.5,PI()*AU$12*$Q54*($B54-$B53)*0.15/10+AY53)</f>
        <v>#N/A</v>
      </c>
      <c r="AZ54" s="102" t="e">
        <f>(VLOOKUP($B$3,'Coeff EC7'!$T$39:$X$59,3,0)*AW54+VLOOKUP($B$3,'Coeff EC7'!$T$65:$X$85,3,0)*Model0.1T!AX54)/1.1</f>
        <v>#N/A</v>
      </c>
      <c r="BA54" s="102" t="e">
        <f t="shared" si="73"/>
        <v>#N/A</v>
      </c>
      <c r="BB54" s="102" t="e">
        <f t="shared" si="74"/>
        <v>#N/A</v>
      </c>
      <c r="BC54" s="414" t="e">
        <f>IF(AND(AY54&gt;NDC!$C$63,AZ54&gt;NDC!$C$65,BA54&gt;NDC!$D$73,BB54&gt;NDC!$D$74,$B54&gt;NDC!$H$22-0.1+MIN(3*BC$12,1.5)),0,1)</f>
        <v>#N/A</v>
      </c>
      <c r="BD54" s="86" t="b">
        <f t="shared" si="24"/>
        <v>0</v>
      </c>
      <c r="BE54" s="86">
        <f t="shared" si="75"/>
        <v>0.5</v>
      </c>
      <c r="BF54" s="86">
        <f t="shared" si="25"/>
        <v>0.5</v>
      </c>
      <c r="BG54" s="30" t="e">
        <f t="shared" ca="1" si="76"/>
        <v>#DIV/0!</v>
      </c>
      <c r="BH54" s="85" t="e">
        <f ca="1">IF(AN54&lt;=Hypothèses!$V$7,Hypothèses!$W$7,IF(AN54&lt;=Hypothèses!$V$8,Hypothèses!$W$8,IF(AN54&lt;=Hypothèses!$V$9,Hypothèses!$W$9,IF(AN54&lt;=Hypothèses!$V$10,Hypothèses!$W$10,IF(AN54&lt;=Hypothèses!$V$11,Hypothèses!$W$11,IF(AN54&lt;=Hypothèses!$V$12,Hypothèses!$W$12,IF(AN54&lt;=Hypothèses!$V$13,Hypothèses!$W$13,IF(AN54&lt;=Hypothèses!$V$14,Hypothèses!$W$14,IF(AN54&lt;=Hypothèses!$V$15,Hypothèses!$W$15,IF(AN54&lt;=Hypothèses!$V$16,Hypothèses!$W$16,IF(AN54&lt;=Hypothèses!$V$17,Hypothèses!$W$17,IF(AN54&lt;=Hypothèses!$V$18,Hypothèses!$W$18,""))))))))))))</f>
        <v>#DIV/0!</v>
      </c>
      <c r="BI54" s="87" t="e">
        <f t="shared" ca="1" si="118"/>
        <v>#DIV/0!</v>
      </c>
      <c r="BJ54" s="88" t="e">
        <f ca="1">IF(AN54&lt;=Hypothèses!$V$7,Hypothèses!$X$7,IF(AN54&lt;=Hypothèses!$V$8,Hypothèses!$X$8,IF(AN54&lt;=Hypothèses!$V$9,Hypothèses!$X$9,IF(AN54&lt;=Hypothèses!$V$10,Hypothèses!$X$10,IF(AN54&lt;=Hypothèses!$V$11,Hypothèses!$X$11,IF(AN54&lt;=Hypothèses!$V$12,Hypothèses!$X$12,IF(AN54&lt;=Hypothèses!$V$13,Hypothèses!$X$13,IF(AN54&lt;=Hypothèses!$V$14,Hypothèses!$X$14,IF(AN54&lt;=Hypothèses!$V$15,Hypothèses!$X$15,IF(AN54&lt;=Hypothèses!$V$16,Hypothèses!$X$16,IF(AN54&lt;=Hypothèses!$U$17,Hypothèses!$W$17,IF(AN54&lt;=Hypothèses!$U$18,Hypothèses!$W$18,""))))))))))))</f>
        <v>#DIV/0!</v>
      </c>
      <c r="BK54" s="95" t="e">
        <f t="shared" ca="1" si="77"/>
        <v>#DIV/0!</v>
      </c>
      <c r="BL54" s="101">
        <f t="shared" si="125"/>
        <v>0</v>
      </c>
      <c r="BM54" s="91">
        <f t="shared" si="27"/>
        <v>0</v>
      </c>
      <c r="BN54" s="30" t="e">
        <f t="shared" si="104"/>
        <v>#N/A</v>
      </c>
      <c r="BO54" s="30" t="e">
        <f t="shared" si="105"/>
        <v>#N/A</v>
      </c>
      <c r="BP54" s="31" t="e">
        <f>IF(OR(Hypothèses!$B$4=17,Hypothèses!$B$4=18,Hypothèses!$B$4=19,Hypothèses!$B$4=20),
IF($D54="Pressio.",
IF(OR($E54=3,$E54=1,$E54=4),BO54,BN54),
IF($D54="Pénétro.",
IF(OR($E54=3,$E54=1,$E54=4),BO54,BN54))),IF($D54="Pressio.",
IF($E54=3,BO54,BN54),
IF($D54="Pénétro.",
IF($E54=4,BO54,BN54))))</f>
        <v>#N/A</v>
      </c>
      <c r="BQ54" s="31">
        <v>0</v>
      </c>
      <c r="BR54" s="102" t="e">
        <f>IF(NDC!$H$10="Oui",(VLOOKUP($B$3,'Coeff EC7'!$T$39:$X$59,2,0)*BP54+VLOOKUP($B$3,'Coeff EC7'!$T$65:$X$85,2,0)*Model0.1T!BQ54)/1.5,PI()*BN$12*$Q54*($B54-$B53)*0.15/10+BR53)</f>
        <v>#N/A</v>
      </c>
      <c r="BS54" s="102" t="e">
        <f>(VLOOKUP($B$3,'Coeff EC7'!$T$39:$X$59,3,0)*BP54+VLOOKUP($B$3,'Coeff EC7'!$T$65:$X$85,3,0)*Model0.1T!BQ54)/1.1</f>
        <v>#N/A</v>
      </c>
      <c r="BT54" s="102" t="e">
        <f t="shared" si="78"/>
        <v>#N/A</v>
      </c>
      <c r="BU54" s="102" t="e">
        <f t="shared" si="79"/>
        <v>#N/A</v>
      </c>
      <c r="BV54" s="414" t="e">
        <f>IF(AND(BR54&gt;NDC!$C$63,BS54&gt;NDC!$C$65,BT54&gt;NDC!$D$73,BU54&gt;NDC!$D$74,$B54&gt;NDC!$H$22-0.1+MIN(3*BV$12,1.5)),0,1)</f>
        <v>#N/A</v>
      </c>
      <c r="BW54" s="86" t="b">
        <f t="shared" si="30"/>
        <v>0</v>
      </c>
      <c r="BX54" s="86">
        <f t="shared" si="31"/>
        <v>0.5</v>
      </c>
      <c r="BY54" s="86">
        <f t="shared" si="32"/>
        <v>0.5</v>
      </c>
      <c r="BZ54" s="30" t="e">
        <f t="shared" ca="1" si="80"/>
        <v>#DIV/0!</v>
      </c>
      <c r="CA54" s="85" t="e">
        <f ca="1">IF(BG54&lt;=Hypothèses!$V$7,Hypothèses!$W$7,IF(BG54&lt;=Hypothèses!$V$8,Hypothèses!$W$8,IF(BG54&lt;=Hypothèses!$V$9,Hypothèses!$W$9,IF(BG54&lt;=Hypothèses!$V$10,Hypothèses!$W$10,IF(BG54&lt;=Hypothèses!$V$11,Hypothèses!$W$11,IF(BG54&lt;=Hypothèses!$V$12,Hypothèses!$W$12,IF(BG54&lt;=Hypothèses!$V$13,Hypothèses!$W$13,IF(BG54&lt;=Hypothèses!$V$14,Hypothèses!$W$14,IF(BG54&lt;=Hypothèses!$V$15,Hypothèses!$W$15,IF(BG54&lt;=Hypothèses!$V$16,Hypothèses!$W$16,IF(BG54&lt;=Hypothèses!$V$17,Hypothèses!$W$17,IF(BG54&lt;=Hypothèses!$V$18,Hypothèses!$W$18,""))))))))))))</f>
        <v>#DIV/0!</v>
      </c>
      <c r="CB54" s="87" t="e">
        <f t="shared" ca="1" si="119"/>
        <v>#DIV/0!</v>
      </c>
      <c r="CC54" s="88" t="e">
        <f ca="1">IF(BG54&lt;=Hypothèses!$V$7,Hypothèses!$X$7,IF(BG54&lt;=Hypothèses!$V$8,Hypothèses!$X$8,IF(BG54&lt;=Hypothèses!$V$9,Hypothèses!$X$9,IF(BG54&lt;=Hypothèses!$V$10,Hypothèses!$X$10,IF(BG54&lt;=Hypothèses!$V$11,Hypothèses!$X$11,IF(BG54&lt;=Hypothèses!$V$12,Hypothèses!$X$12,IF(BG54&lt;=Hypothèses!$V$13,Hypothèses!$X$13,IF(BG54&lt;=Hypothèses!$V$14,Hypothèses!$X$14,IF(BG54&lt;=Hypothèses!$V$15,Hypothèses!$X$15,IF(BG54&lt;=Hypothèses!$V$16,Hypothèses!$X$16,IF(BG54&lt;=Hypothèses!$U$17,Hypothèses!$W$17,IF(BG54&lt;=Hypothèses!$U$18,Hypothèses!$W$18,""))))))))))))</f>
        <v>#DIV/0!</v>
      </c>
      <c r="CD54" s="95" t="e">
        <f t="shared" ca="1" si="81"/>
        <v>#DIV/0!</v>
      </c>
      <c r="CE54" s="101">
        <f t="shared" si="126"/>
        <v>0</v>
      </c>
      <c r="CF54" s="91">
        <f t="shared" si="34"/>
        <v>0</v>
      </c>
      <c r="CG54" s="30" t="e">
        <f t="shared" si="106"/>
        <v>#N/A</v>
      </c>
      <c r="CH54" s="30" t="e">
        <f t="shared" si="107"/>
        <v>#N/A</v>
      </c>
      <c r="CI54" s="31" t="e">
        <f>IF(OR(Hypothèses!$B$4=17,Hypothèses!$B$4=18,Hypothèses!$B$4=19,Hypothèses!$B$4=20),
IF($D54="Pressio.",
IF(OR($E54=3,$E54=1,$E54=4),CH54,CG54),
IF($D54="Pénétro.",
IF(OR($E54=3,$E54=1,$E54=4),CH54,CG54))),IF($D54="Pressio.",
IF($E54=3,CH54,CG54),
IF($D54="Pénétro.",
IF($E54=4,CH54,CG54))))</f>
        <v>#N/A</v>
      </c>
      <c r="CJ54" s="31">
        <v>0</v>
      </c>
      <c r="CK54" s="102" t="e">
        <f>IF(NDC!$H$10="Oui",(VLOOKUP($B$3,'Coeff EC7'!$T$39:$X$59,2,0)*CI54+VLOOKUP($B$3,'Coeff EC7'!$T$65:$X$85,2,0)*Model0.1T!CJ54)/1.5,PI()*CG$12*$Q54*($B54-$B53)*0.15/10+CK53)</f>
        <v>#N/A</v>
      </c>
      <c r="CL54" s="102" t="e">
        <f>(VLOOKUP($B$3,'Coeff EC7'!$T$39:$X$59,3,0)*CI54+VLOOKUP($B$3,'Coeff EC7'!$T$65:$X$85,3,0)*Model0.1T!CJ54)/1.1</f>
        <v>#N/A</v>
      </c>
      <c r="CM54" s="102" t="e">
        <f t="shared" si="82"/>
        <v>#N/A</v>
      </c>
      <c r="CN54" s="102" t="e">
        <f t="shared" si="83"/>
        <v>#N/A</v>
      </c>
      <c r="CO54" s="414" t="e">
        <f>IF(AND(CK54&gt;NDC!$C$63,CL54&gt;NDC!$C$65,CM54&gt;NDC!$D$73,CN54&gt;NDC!$D$74,$B54&gt;NDC!$H$22-0.1+MIN(3*CO$12,1.5)),0,1)</f>
        <v>#N/A</v>
      </c>
      <c r="CP54" s="86" t="b">
        <f t="shared" si="37"/>
        <v>0</v>
      </c>
      <c r="CQ54" s="86">
        <f t="shared" si="38"/>
        <v>0.5</v>
      </c>
      <c r="CR54" s="86">
        <f t="shared" si="39"/>
        <v>0.5</v>
      </c>
      <c r="CS54" s="30" t="e">
        <f t="shared" ca="1" si="84"/>
        <v>#DIV/0!</v>
      </c>
      <c r="CT54" s="85" t="e">
        <f ca="1">IF(BZ54&lt;=Hypothèses!$V$7,Hypothèses!$W$7,IF(BZ54&lt;=Hypothèses!$V$8,Hypothèses!$W$8,IF(BZ54&lt;=Hypothèses!$V$9,Hypothèses!$W$9,IF(BZ54&lt;=Hypothèses!$V$10,Hypothèses!$W$10,IF(BZ54&lt;=Hypothèses!$V$11,Hypothèses!$W$11,IF(BZ54&lt;=Hypothèses!$V$12,Hypothèses!$W$12,IF(BZ54&lt;=Hypothèses!$V$13,Hypothèses!$W$13,IF(BZ54&lt;=Hypothèses!$V$14,Hypothèses!$W$14,IF(BZ54&lt;=Hypothèses!$V$15,Hypothèses!$W$15,IF(BZ54&lt;=Hypothèses!$V$16,Hypothèses!$W$16,IF(BZ54&lt;=Hypothèses!$V$17,Hypothèses!$W$17,IF(BZ54&lt;=Hypothèses!$V$18,Hypothèses!$W$18,""))))))))))))</f>
        <v>#DIV/0!</v>
      </c>
      <c r="CU54" s="87" t="e">
        <f t="shared" ca="1" si="120"/>
        <v>#DIV/0!</v>
      </c>
      <c r="CV54" s="88" t="e">
        <f ca="1">IF(BZ54&lt;=Hypothèses!$V$7,Hypothèses!$X$7,IF(BZ54&lt;=Hypothèses!$V$8,Hypothèses!$X$8,IF(BZ54&lt;=Hypothèses!$V$9,Hypothèses!$X$9,IF(BZ54&lt;=Hypothèses!$V$10,Hypothèses!$X$10,IF(BZ54&lt;=Hypothèses!$V$11,Hypothèses!$X$11,IF(BZ54&lt;=Hypothèses!$V$12,Hypothèses!$X$12,IF(BZ54&lt;=Hypothèses!$V$13,Hypothèses!$X$13,IF(BZ54&lt;=Hypothèses!$V$14,Hypothèses!$X$14,IF(BZ54&lt;=Hypothèses!$V$15,Hypothèses!$X$15,IF(BZ54&lt;=Hypothèses!$V$16,Hypothèses!$X$16,IF(BZ54&lt;=Hypothèses!$U$17,Hypothèses!$W$17,IF(BZ54&lt;=Hypothèses!$U$18,Hypothèses!$W$18,""))))))))))))</f>
        <v>#DIV/0!</v>
      </c>
      <c r="CW54" s="95" t="e">
        <f t="shared" ca="1" si="85"/>
        <v>#DIV/0!</v>
      </c>
      <c r="CX54" s="101">
        <f t="shared" si="127"/>
        <v>0</v>
      </c>
      <c r="CY54" s="91">
        <f t="shared" si="41"/>
        <v>0</v>
      </c>
      <c r="CZ54" s="30" t="e">
        <f t="shared" si="108"/>
        <v>#N/A</v>
      </c>
      <c r="DA54" s="30" t="e">
        <f t="shared" si="109"/>
        <v>#N/A</v>
      </c>
      <c r="DB54" s="31" t="e">
        <f>IF(OR(Hypothèses!$B$4=17,Hypothèses!$B$4=18,Hypothèses!$B$4=19,Hypothèses!$B$4=20),
IF($D54="Pressio.",
IF(OR($E54=3,$E54=1,$E54=4),DA54,CZ54),
IF($D54="Pénétro.",
IF(OR($E54=3,$E54=1,$E54=4),DA54,CZ54))),IF($D54="Pressio.",
IF($E54=3,DA54,CZ54),
IF($D54="Pénétro.",
IF($E54=4,DA54,CZ54))))</f>
        <v>#N/A</v>
      </c>
      <c r="DC54" s="31">
        <v>0</v>
      </c>
      <c r="DD54" s="102" t="e">
        <f>IF(NDC!$H$10="Oui",(VLOOKUP($B$3,'Coeff EC7'!$T$39:$X$59,2,0)*DB54+VLOOKUP($B$3,'Coeff EC7'!$T$65:$X$85,2,0)*Model0.1T!DC54)/1.5,PI()*CZ$12*$Q54*($B54-$B53)*0.15/10+DD53)</f>
        <v>#N/A</v>
      </c>
      <c r="DE54" s="102" t="e">
        <f>(VLOOKUP($B$3,'Coeff EC7'!$T$39:$X$59,3,0)*DB54+VLOOKUP($B$3,'Coeff EC7'!$T$65:$X$85,3,0)*Model0.1T!DC54)/1.1</f>
        <v>#N/A</v>
      </c>
      <c r="DF54" s="102" t="e">
        <f t="shared" si="86"/>
        <v>#N/A</v>
      </c>
      <c r="DG54" s="102" t="e">
        <f t="shared" si="87"/>
        <v>#N/A</v>
      </c>
      <c r="DH54" s="414" t="e">
        <f>IF(AND(DD54&gt;NDC!$C$63,DE54&gt;NDC!$C$65,DF54&gt;NDC!$D$73,DG54&gt;NDC!$D$74,$B54&gt;NDC!$H$22-0.1+MIN(3*DH$12,1.5)),0,1)</f>
        <v>#N/A</v>
      </c>
      <c r="DI54" s="86" t="b">
        <f t="shared" si="44"/>
        <v>0</v>
      </c>
      <c r="DJ54" s="86">
        <f t="shared" si="45"/>
        <v>0.5</v>
      </c>
      <c r="DK54" s="86">
        <f t="shared" si="46"/>
        <v>0.5</v>
      </c>
      <c r="DL54" s="30" t="e">
        <f t="shared" ca="1" si="88"/>
        <v>#DIV/0!</v>
      </c>
      <c r="DM54" s="85" t="e">
        <f ca="1">IF(CS54&lt;=Hypothèses!$V$7,Hypothèses!$W$7,IF(CS54&lt;=Hypothèses!$V$8,Hypothèses!$W$8,IF(CS54&lt;=Hypothèses!$V$9,Hypothèses!$W$9,IF(CS54&lt;=Hypothèses!$V$10,Hypothèses!$W$10,IF(CS54&lt;=Hypothèses!$V$11,Hypothèses!$W$11,IF(CS54&lt;=Hypothèses!$V$12,Hypothèses!$W$12,IF(CS54&lt;=Hypothèses!$V$13,Hypothèses!$W$13,IF(CS54&lt;=Hypothèses!$V$14,Hypothèses!$W$14,IF(CS54&lt;=Hypothèses!$V$15,Hypothèses!$W$15,IF(CS54&lt;=Hypothèses!$V$16,Hypothèses!$W$16,IF(CS54&lt;=Hypothèses!$V$17,Hypothèses!$W$17,IF(CS54&lt;=Hypothèses!$V$18,Hypothèses!$W$18,""))))))))))))</f>
        <v>#DIV/0!</v>
      </c>
      <c r="DN54" s="87" t="e">
        <f t="shared" ca="1" si="121"/>
        <v>#DIV/0!</v>
      </c>
      <c r="DO54" s="88" t="e">
        <f ca="1">IF(CS54&lt;=Hypothèses!$V$7,Hypothèses!$X$7,IF(CS54&lt;=Hypothèses!$V$8,Hypothèses!$X$8,IF(CS54&lt;=Hypothèses!$V$9,Hypothèses!$X$9,IF(CS54&lt;=Hypothèses!$V$10,Hypothèses!$X$10,IF(CS54&lt;=Hypothèses!$V$11,Hypothèses!$X$11,IF(CS54&lt;=Hypothèses!$V$12,Hypothèses!$X$12,IF(CS54&lt;=Hypothèses!$V$13,Hypothèses!$X$13,IF(CS54&lt;=Hypothèses!$V$14,Hypothèses!$X$14,IF(CS54&lt;=Hypothèses!$V$15,Hypothèses!$X$15,IF(CS54&lt;=Hypothèses!$V$16,Hypothèses!$X$16,IF(CS54&lt;=Hypothèses!$U$17,Hypothèses!$W$17,IF(CS54&lt;=Hypothèses!$U$18,Hypothèses!$W$18,""))))))))))))</f>
        <v>#DIV/0!</v>
      </c>
      <c r="DP54" s="95" t="e">
        <f t="shared" ca="1" si="89"/>
        <v>#DIV/0!</v>
      </c>
      <c r="DQ54" s="101">
        <f t="shared" si="128"/>
        <v>0</v>
      </c>
      <c r="DR54" s="91">
        <f t="shared" si="48"/>
        <v>0</v>
      </c>
      <c r="DS54" s="30" t="e">
        <f t="shared" si="110"/>
        <v>#N/A</v>
      </c>
      <c r="DT54" s="30" t="e">
        <f t="shared" si="111"/>
        <v>#N/A</v>
      </c>
      <c r="DU54" s="31" t="e">
        <f>IF(OR(Hypothèses!$B$4=17,Hypothèses!$B$4=18,Hypothèses!$B$4=19,Hypothèses!$B$4=20),
IF($D54="Pressio.",
IF(OR($E54=3,$E54=1,$E54=4),DT54,DS54),
IF($D54="Pénétro.",
IF(OR($E54=3,$E54=1,$E54=4),DT54,DS54))),IF($D54="Pressio.",
IF($E54=3,DT54,DS54),
IF($D54="Pénétro.",
IF($E54=4,DT54,DS54))))</f>
        <v>#N/A</v>
      </c>
      <c r="DV54" s="31">
        <v>0</v>
      </c>
      <c r="DW54" s="102" t="e">
        <f>IF(NDC!$H$10="Oui",(VLOOKUP($B$3,'Coeff EC7'!$T$39:$X$59,2,0)*DU54+VLOOKUP($B$3,'Coeff EC7'!$T$65:$X$85,2,0)*Model0.1T!DV54)/1.5,PI()*DS$12*$Q54*($B54-$B53)*0.15/10+DW53)</f>
        <v>#N/A</v>
      </c>
      <c r="DX54" s="102" t="e">
        <f>(VLOOKUP($B$3,'Coeff EC7'!$T$39:$X$59,3,0)*DU54+VLOOKUP($B$3,'Coeff EC7'!$T$65:$X$85,3,0)*Model0.1T!DV54)/1.1</f>
        <v>#N/A</v>
      </c>
      <c r="DY54" s="102" t="e">
        <f t="shared" si="90"/>
        <v>#N/A</v>
      </c>
      <c r="DZ54" s="102" t="e">
        <f t="shared" si="91"/>
        <v>#N/A</v>
      </c>
      <c r="EA54" s="414" t="e">
        <f>IF(AND(DW54&gt;NDC!$C$63,DX54&gt;NDC!$C$65,DY54&gt;NDC!$D$73,DZ54&gt;NDC!$D$74,$B54&gt;NDC!$H$22-0.1+MIN(3*EA$12,1.5)),0,1)</f>
        <v>#N/A</v>
      </c>
      <c r="EB54" s="86" t="b">
        <f t="shared" si="51"/>
        <v>0</v>
      </c>
      <c r="EC54" s="418">
        <f t="shared" si="52"/>
        <v>0.51</v>
      </c>
      <c r="ED54" s="86">
        <f t="shared" si="53"/>
        <v>0.51</v>
      </c>
      <c r="EE54" s="30" t="e">
        <f t="shared" ca="1" si="92"/>
        <v>#DIV/0!</v>
      </c>
      <c r="EF54" s="85" t="e">
        <f ca="1">IF(DL54&lt;=Hypothèses!$V$7,Hypothèses!$W$7,IF(DL54&lt;=Hypothèses!$V$8,Hypothèses!$W$8,IF(DL54&lt;=Hypothèses!$V$9,Hypothèses!$W$9,IF(DL54&lt;=Hypothèses!$V$10,Hypothèses!$W$10,IF(DL54&lt;=Hypothèses!$V$11,Hypothèses!$W$11,IF(DL54&lt;=Hypothèses!$V$12,Hypothèses!$W$12,IF(DL54&lt;=Hypothèses!$V$13,Hypothèses!$W$13,IF(DL54&lt;=Hypothèses!$V$14,Hypothèses!$W$14,IF(DL54&lt;=Hypothèses!$V$15,Hypothèses!$W$15,IF(DL54&lt;=Hypothèses!$V$16,Hypothèses!$W$16,IF(DL54&lt;=Hypothèses!$V$17,Hypothèses!$W$17,IF(DL54&lt;=Hypothèses!$V$18,Hypothèses!$W$18,""))))))))))))</f>
        <v>#DIV/0!</v>
      </c>
      <c r="EG54" s="87" t="e">
        <f t="shared" ca="1" si="122"/>
        <v>#DIV/0!</v>
      </c>
      <c r="EH54" s="88" t="e">
        <f ca="1">IF(DL54&lt;=Hypothèses!$V$7,Hypothèses!$X$7,IF(DL54&lt;=Hypothèses!$V$8,Hypothèses!$X$8,IF(DL54&lt;=Hypothèses!$V$9,Hypothèses!$X$9,IF(DL54&lt;=Hypothèses!$V$10,Hypothèses!$X$10,IF(DL54&lt;=Hypothèses!$V$11,Hypothèses!$X$11,IF(DL54&lt;=Hypothèses!$V$12,Hypothèses!$X$12,IF(DL54&lt;=Hypothèses!$V$13,Hypothèses!$X$13,IF(DL54&lt;=Hypothèses!$V$14,Hypothèses!$X$14,IF(DL54&lt;=Hypothèses!$V$15,Hypothèses!$X$15,IF(DL54&lt;=Hypothèses!$V$16,Hypothèses!$X$16,IF(DL54&lt;=Hypothèses!$U$17,Hypothèses!$W$17,IF(DL54&lt;=Hypothèses!$U$18,Hypothèses!$W$18,""))))))))))))</f>
        <v>#DIV/0!</v>
      </c>
      <c r="EI54" s="95" t="e">
        <f t="shared" ca="1" si="93"/>
        <v>#DIV/0!</v>
      </c>
      <c r="EJ54" s="101">
        <f t="shared" si="129"/>
        <v>0</v>
      </c>
      <c r="EK54" s="91">
        <f t="shared" si="55"/>
        <v>0</v>
      </c>
      <c r="EL54" s="30" t="e">
        <f t="shared" si="112"/>
        <v>#N/A</v>
      </c>
      <c r="EM54" s="30" t="e">
        <f t="shared" si="113"/>
        <v>#N/A</v>
      </c>
      <c r="EN54" s="31" t="e">
        <f>IF(OR(Hypothèses!$B$4=17,Hypothèses!$B$4=18,Hypothèses!$B$4=19,Hypothèses!$B$4=20),
IF($D54="Pressio.",
IF(OR($E54=3,$E54=1,$E54=4),EM54,EL54),
IF($D54="Pénétro.",
IF(OR($E54=3,$E54=1,$E54=4),EM54,EL54))),IF($D54="Pressio.",
IF($E54=3,EM54,EL54),
IF($D54="Pénétro.",
IF($E54=4,EM54,EL54))))</f>
        <v>#N/A</v>
      </c>
      <c r="EO54" s="31">
        <v>0</v>
      </c>
      <c r="EP54" s="102" t="e">
        <f>IF(NDC!$H$10="Oui",(VLOOKUP($B$3,'Coeff EC7'!$T$39:$X$59,2,0)*EN54+VLOOKUP($B$3,'Coeff EC7'!$T$65:$X$85,2,0)*Model0.1T!EO54)/1.5,PI()*EL$12*$Q54*($B54-$B53)*0.15/10+EP53)</f>
        <v>#N/A</v>
      </c>
      <c r="EQ54" s="102" t="e">
        <f>(VLOOKUP($B$3,'Coeff EC7'!$T$39:$X$59,3,0)*EN54+VLOOKUP($B$3,'Coeff EC7'!$T$65:$X$85,3,0)*Model0.1T!EO54)/1.1</f>
        <v>#N/A</v>
      </c>
      <c r="ER54" s="102" t="e">
        <f t="shared" si="94"/>
        <v>#N/A</v>
      </c>
      <c r="ES54" s="102" t="e">
        <f t="shared" si="95"/>
        <v>#N/A</v>
      </c>
      <c r="ET54" s="414" t="e">
        <f>IF(AND(EP54&gt;NDC!$C$63,EQ54&gt;NDC!$C$65,ER54&gt;NDC!$D$73,ES54&gt;NDC!$D$74,$B54&gt;NDC!$H$22-0.1+MIN(3*ET$12,1.5)),0,1)</f>
        <v>#N/A</v>
      </c>
      <c r="EU54" s="86" t="b">
        <f t="shared" si="58"/>
        <v>0</v>
      </c>
      <c r="EV54" s="86">
        <f t="shared" si="59"/>
        <v>0.61</v>
      </c>
      <c r="EW54" s="86">
        <f t="shared" si="60"/>
        <v>0.61</v>
      </c>
      <c r="EX54" s="30" t="e">
        <f t="shared" ca="1" si="96"/>
        <v>#DIV/0!</v>
      </c>
      <c r="EY54" s="85" t="e">
        <f ca="1">IF(EE54&lt;=Hypothèses!$V$7,Hypothèses!$W$7,IF(EE54&lt;=Hypothèses!$V$8,Hypothèses!$W$8,IF(EE54&lt;=Hypothèses!$V$9,Hypothèses!$W$9,IF(EE54&lt;=Hypothèses!$V$10,Hypothèses!$W$10,IF(EE54&lt;=Hypothèses!$V$11,Hypothèses!$W$11,IF(EE54&lt;=Hypothèses!$V$12,Hypothèses!$W$12,IF(EE54&lt;=Hypothèses!$V$13,Hypothèses!$W$13,IF(EE54&lt;=Hypothèses!$V$14,Hypothèses!$W$14,IF(EE54&lt;=Hypothèses!$V$15,Hypothèses!$W$15,IF(EE54&lt;=Hypothèses!$V$16,Hypothèses!$W$16,IF(EE54&lt;=Hypothèses!$V$17,Hypothèses!$W$17,IF(EE54&lt;=Hypothèses!$V$18,Hypothèses!$W$18,""))))))))))))</f>
        <v>#DIV/0!</v>
      </c>
      <c r="EZ54" s="87" t="e">
        <f t="shared" ca="1" si="123"/>
        <v>#DIV/0!</v>
      </c>
      <c r="FA54" s="88" t="e">
        <f ca="1">IF(EE54&lt;=Hypothèses!$V$7,Hypothèses!$X$7,IF(EE54&lt;=Hypothèses!$V$8,Hypothèses!$X$8,IF(EE54&lt;=Hypothèses!$V$9,Hypothèses!$X$9,IF(EE54&lt;=Hypothèses!$V$10,Hypothèses!$X$10,IF(EE54&lt;=Hypothèses!$V$11,Hypothèses!$X$11,IF(EE54&lt;=Hypothèses!$V$12,Hypothèses!$X$12,IF(EE54&lt;=Hypothèses!$V$13,Hypothèses!$X$13,IF(EE54&lt;=Hypothèses!$V$14,Hypothèses!$X$14,IF(EE54&lt;=Hypothèses!$V$15,Hypothèses!$X$15,IF(EE54&lt;=Hypothèses!$V$16,Hypothèses!$X$16,IF(EE54&lt;=Hypothèses!$U$17,Hypothèses!$W$17,IF(EE54&lt;=Hypothèses!$U$18,Hypothèses!$W$18,""))))))))))))</f>
        <v>#DIV/0!</v>
      </c>
      <c r="FB54" s="95" t="e">
        <f t="shared" ca="1" si="97"/>
        <v>#DIV/0!</v>
      </c>
      <c r="FC54" s="101">
        <f t="shared" si="130"/>
        <v>0</v>
      </c>
      <c r="FD54" s="91">
        <f t="shared" si="62"/>
        <v>0</v>
      </c>
      <c r="FE54" s="30" t="e">
        <f t="shared" si="114"/>
        <v>#N/A</v>
      </c>
      <c r="FF54" s="30" t="e">
        <f t="shared" si="115"/>
        <v>#N/A</v>
      </c>
      <c r="FG54" s="31" t="e">
        <f>IF(OR(Hypothèses!$B$4=17,Hypothèses!$B$4=18,Hypothèses!$B$4=19,Hypothèses!$B$4=20),
IF($D54="Pressio.",
IF(OR($E54=3,$E54=1,$E54=4),FF54,FE54),
IF($D54="Pénétro.",
IF(OR($E54=3,$E54=1,$E54=4),FF54,FE54))),IF($D54="Pressio.",
IF($E54=3,FF54,FE54),
IF($D54="Pénétro.",
IF($E54=4,FF54,FE54))))</f>
        <v>#N/A</v>
      </c>
      <c r="FH54" s="31">
        <v>0</v>
      </c>
      <c r="FI54" s="102" t="e">
        <f>IF(NDC!$H$10="Oui",(VLOOKUP($B$3,'Coeff EC7'!$T$39:$X$59,2,0)*FG54+VLOOKUP($B$3,'Coeff EC7'!$T$65:$X$85,2,0)*Model0.1T!FH54)/1.5,PI()*FE$12*$Q54*($B54-$B53)*0.15/10+FI53)</f>
        <v>#N/A</v>
      </c>
      <c r="FJ54" s="102" t="e">
        <f>(VLOOKUP($B$3,'Coeff EC7'!$T$39:$X$59,3,0)*FG54+VLOOKUP($B$3,'Coeff EC7'!$T$65:$X$85,3,0)*Model0.1T!FH54)/1.1</f>
        <v>#N/A</v>
      </c>
      <c r="FK54" s="102" t="e">
        <f t="shared" si="98"/>
        <v>#N/A</v>
      </c>
      <c r="FL54" s="102" t="e">
        <f t="shared" si="99"/>
        <v>#N/A</v>
      </c>
      <c r="FM54" s="414" t="e">
        <f>IF(AND(FI54&gt;NDC!$C$63,FJ54&gt;NDC!$C$65,FK54&gt;NDC!$D$73,FL54&gt;NDC!$D$74,$B54&gt;NDC!$H$22-0.1+MIN(3*FM$12,1.5)),0,1)</f>
        <v>#N/A</v>
      </c>
    </row>
    <row r="55" spans="1:169">
      <c r="A55" s="96">
        <f t="shared" si="65"/>
        <v>95.800000000000239</v>
      </c>
      <c r="B55" s="97">
        <v>4.2</v>
      </c>
      <c r="C55" s="81">
        <f>IF(B55&lt;=Hypothèses!$C$7,Hypothèses!$A$7,IF(B55&lt;=Hypothèses!$C$8,Hypothèses!$A$8,IF(B55&lt;=Hypothèses!$C$9,Hypothèses!$A$9,IF(B55&lt;=Hypothèses!$C$10,Hypothèses!$A$10,IF(B55&lt;=Hypothèses!$C$11,Hypothèses!$A$11,IF(B55&lt;=Hypothèses!$C$12,Hypothèses!$A$12,IF(B55&lt;=Hypothèses!$C$13,Hypothèses!$A$13,IF(B55&lt;=Hypothèses!$C$14,Hypothèses!$A$14,IF(B55&lt;=Hypothèses!$C$15,Hypothèses!$A$15,IF(B55&lt;=Hypothèses!$C$16,Hypothèses!$A$16,IF(B55&lt;=Hypothèses!$C$17,Hypothèses!$A$17,IF(B55&lt;=Hypothèses!$C$18,Hypothèses!$A$18,C54))))))))))))</f>
        <v>11</v>
      </c>
      <c r="D55" s="82" t="str">
        <f>IF(B55&lt;=Hypothèses!$C$7,Hypothèses!$R$7,IF(B55&lt;=Hypothèses!$C$8,Hypothèses!$R$8,IF(B55&lt;=Hypothèses!$C$9,Hypothèses!$R$9,IF(B55&lt;=Hypothèses!$C$10,Hypothèses!$R$10,IF(B55&lt;=Hypothèses!$C$11,Hypothèses!$R$11,IF(B55&lt;=Hypothèses!$C$12,Hypothèses!$R$12,IF(B55&lt;=Hypothèses!$C$13,Hypothèses!$R$13,IF(B55&lt;=Hypothèses!$C$14,Hypothèses!$R$14,IF(B55&lt;=Hypothèses!$C$15,Hypothèses!$R$15,IF(B55&lt;=Hypothèses!$C$16,Hypothèses!$R$16,IF(B55&lt;=Hypothèses!$C$17,Hypothèses!$R$17,IF(B55&lt;=Hypothèses!$C$18,Hypothèses!$R$18,D54))))))))))))</f>
        <v>Pressio.</v>
      </c>
      <c r="E55" s="82" t="e">
        <f>IF(B55&lt;=Hypothèses!$C$7,Hypothèses!$G$7,IF(B55&lt;=Hypothèses!$C$8,Hypothèses!$G$8,IF(B55&lt;=Hypothèses!$C$9,Hypothèses!$G$9,IF(B55&lt;=Hypothèses!$C$10,Hypothèses!$G$10,IF(B55&lt;=Hypothèses!$C$11,Hypothèses!$G$11,IF(B55&lt;=Hypothèses!$C$12,Hypothèses!$G$12,IF(B55&lt;=Hypothèses!$C$13,Hypothèses!$G$13,IF(B55&lt;=Hypothèses!$C$14,Hypothèses!$G$14,IF(B55&lt;=Hypothèses!$C$15,Hypothèses!$G$15,IF(B55&lt;=Hypothèses!$C$16,Hypothèses!$G$16,IF(B55&lt;=Hypothèses!$C$17,Hypothèses!$G$17,IF(B55&lt;=Hypothèses!$C$18,Hypothèses!$G$18,E54))))))))))))</f>
        <v>#N/A</v>
      </c>
      <c r="F55" s="82" t="str">
        <f>IF(B55&lt;=Hypothèses!$C$7,Hypothèses!$F$7,IF(B55&lt;=Hypothèses!$C$8,Hypothèses!$F$8,IF(B55&lt;=Hypothèses!$C$9,Hypothèses!$F$9,IF(B55&lt;=Hypothèses!$C$10,Hypothèses!$F$10,IF(B55&lt;=Hypothèses!$C$11,Hypothèses!$F$11,IF(B55&lt;=Hypothèses!$C$12,Hypothèses!$F$12,IF(B55&lt;=Hypothèses!$C$13,Hypothèses!$F$13,IF(B55&lt;=Hypothèses!$C$14,Hypothèses!$F$14,IF(B55&lt;=Hypothèses!$C$15,Hypothèses!$F$15,IF(B55&lt;=Hypothèses!$C$16,Hypothèses!$F$16,IF(B55&lt;=Hypothèses!$C$17,Hypothèses!$F$17,IF(B55&lt;=Hypothèses!$C$18,Hypothèses!$F$18,F54))))))))))))</f>
        <v/>
      </c>
      <c r="G55" s="91">
        <f t="array" ref="G55">INDEX('Coeff EC7'!$U$7:$X$27,
MATCH(Model0.1T!$B$3,'Coeff EC7'!$T$7:$T$27,0),
MATCH(Model0.1T!$D55&amp;Model0.1T!$B$4,
'Coeff EC7'!$U$6:$X$6&amp;
'Coeff EC7'!$U$5:$X$5,0))</f>
        <v>1.4</v>
      </c>
      <c r="H55" s="91">
        <f t="array" ref="H55">INDEX('Coeff EC7'!$Y$7:$AB$27,
MATCH(Model0.1T!$B$3,'Coeff EC7'!$T$7:$T$27,0),
MATCH(Model0.1T!$D55&amp;Model0.1T!$B$4,
'Coeff EC7'!$Y$6:$AB$6&amp;
'Coeff EC7'!$Y$5:$AB$5,0))</f>
        <v>1.7</v>
      </c>
      <c r="I55" s="83">
        <v>0</v>
      </c>
      <c r="J55" s="91" t="e">
        <f t="array" ref="J55">INDEX('Coeff EC7'!$D$33:$Q$33,1,MATCH(D55&amp;E55,'Coeff EC7'!$D$31:$Q$31&amp;'Coeff EC7'!$D$32:$Q$32,0))</f>
        <v>#N/A</v>
      </c>
      <c r="K55" s="91" t="e">
        <f t="array" ref="K55">INDEX('Coeff EC7'!$D$34:$Q$34,1,MATCH(D55&amp;E55,'Coeff EC7'!$D$31:$Q$31&amp;'Coeff EC7'!$D$32:$Q$32,0))</f>
        <v>#N/A</v>
      </c>
      <c r="L55" s="91" t="e">
        <f t="array" ref="L55">INDEX('Coeff EC7'!$D$35:$Q$35,1,MATCH(D55&amp;E55,'Coeff EC7'!$D$31:$Q$31&amp;'Coeff EC7'!$D$32:$Q$32,0))</f>
        <v>#N/A</v>
      </c>
      <c r="M55" s="98" t="e">
        <f t="shared" si="8"/>
        <v>#N/A</v>
      </c>
      <c r="N55" s="99" t="e">
        <f t="array" ref="N55">INDEX('Coeff EC7'!$D$7:$Q$27,MATCH($B$3,'Coeff EC7'!$C$7:$C$27,0),MATCH(D55&amp;E55,'Coeff EC7'!$D$5:$Q$5&amp;'Coeff EC7'!$D$6:$Q$6,0))</f>
        <v>#N/A</v>
      </c>
      <c r="O55" s="99" t="e">
        <f t="array" ref="O55">INDEX('Coeff EC7'!$D$41:$Q$61,MATCH($B$3,'Coeff EC7'!$C$41:$C$61,0),MATCH(D55&amp;E55,'Coeff EC7'!$D$39:$Q$39&amp;'Coeff EC7'!$D$40:$Q$40,0))</f>
        <v>#N/A</v>
      </c>
      <c r="P55" s="30" t="e">
        <f t="shared" si="66"/>
        <v>#N/A</v>
      </c>
      <c r="Q55" s="100" t="e">
        <f t="shared" si="10"/>
        <v>#N/A</v>
      </c>
      <c r="R55" s="86" t="b">
        <f t="shared" si="11"/>
        <v>0</v>
      </c>
      <c r="S55" s="86">
        <f t="shared" si="9"/>
        <v>0.5</v>
      </c>
      <c r="T55" s="86">
        <f t="shared" si="12"/>
        <v>0.5</v>
      </c>
      <c r="U55" s="30" t="e">
        <f t="shared" ca="1" si="67"/>
        <v>#DIV/0!</v>
      </c>
      <c r="V55" s="85" t="str">
        <f>IF(B55&lt;=Hypothèses!$V$7,Hypothèses!$W$7,IF(B55&lt;=Hypothèses!$V$8,Hypothèses!$W$8,IF(B55&lt;=Hypothèses!$V$9,Hypothèses!$W$9,IF(B55&lt;=Hypothèses!$V$10,Hypothèses!$W$10,IF(B55&lt;=Hypothèses!$V$11,Hypothèses!$W$11,IF(B55&lt;=Hypothèses!$V$12,Hypothèses!$W$12,IF(B55&lt;=Hypothèses!$V$13,Hypothèses!$W$13,IF(B55&lt;=Hypothèses!$V$14,Hypothèses!$W$14,IF(B55&lt;=Hypothèses!$V$15,Hypothèses!$W$15,IF(B55&lt;=Hypothèses!$V$16,Hypothèses!$W$16,IF(B55&lt;=Hypothèses!$V$17,Hypothèses!$W$17,IF(B55&lt;=Hypothèses!$V$18,Hypothèses!$W$18,""))))))))))))</f>
        <v/>
      </c>
      <c r="W55" s="87" t="e">
        <f t="shared" ca="1" si="116"/>
        <v>#DIV/0!</v>
      </c>
      <c r="X55" s="88" t="str">
        <f>IF(B55&lt;=Hypothèses!$V$7,Hypothèses!$X$7,IF(B55&lt;=Hypothèses!$V$8,Hypothèses!$X$8,IF(B55&lt;=Hypothèses!$V$9,Hypothèses!$X$9,IF(B55&lt;=Hypothèses!$V$10,Hypothèses!$X$10,IF(B55&lt;=Hypothèses!$V$11,Hypothèses!$X$11,IF(B55&lt;=Hypothèses!$V$12,Hypothèses!$X$12,IF(B55&lt;=Hypothèses!$V$13,Hypothèses!$X$13,IF(B55&lt;=Hypothèses!$V$14,Hypothèses!$X$14,IF(B55&lt;=Hypothèses!$V$15,Hypothèses!$X$15,IF(B55&lt;=Hypothèses!$V$16,Hypothèses!$X$16,IF(B55&lt;=Hypothèses!$U$17,Hypothèses!$W$17,IF(B55&lt;=Hypothèses!$U$18,Hypothèses!$W$18,""))))))))))))</f>
        <v/>
      </c>
      <c r="Y55" s="95" t="e">
        <f t="shared" ca="1" si="13"/>
        <v>#DIV/0!</v>
      </c>
      <c r="Z55" s="101">
        <f t="shared" si="14"/>
        <v>0</v>
      </c>
      <c r="AA55" s="91">
        <f t="shared" si="15"/>
        <v>0</v>
      </c>
      <c r="AB55" s="30" t="e">
        <f t="shared" si="100"/>
        <v>#N/A</v>
      </c>
      <c r="AC55" s="30" t="e">
        <f t="shared" si="101"/>
        <v>#N/A</v>
      </c>
      <c r="AD55" s="31" t="e">
        <f>IF(OR(Hypothèses!$B$4=17,Hypothèses!$B$4=18,Hypothèses!$B$4=19,Hypothèses!$B$4=20),
IF($D55="Pressio.",
IF(OR($E55=3,$E55=1,$E55=4),AC55,AB55),
IF($D55="Pénétro.",
IF(OR($E55=3,$E55=1,$E55=4),AC55,AB55))),IF($D55="Pressio.",
IF($E55=3,AC55,AB55),
IF($D55="Pénétro.",
IF($E55=4,AC55,AB55))))</f>
        <v>#N/A</v>
      </c>
      <c r="AE55" s="31">
        <v>0</v>
      </c>
      <c r="AF55" s="102" t="e">
        <f>IF(NDC!$H$10="Oui",(VLOOKUP($B$3,'Coeff EC7'!$T$39:$X$59,2,0)*AD55+VLOOKUP($B$3,'Coeff EC7'!$T$65:$X$85,2,0)*Model0.1T!AE55)/1.5,PI()*AB$12*$Q55*($B55-$B54)*0.15/10+AF54)</f>
        <v>#N/A</v>
      </c>
      <c r="AG55" s="102" t="e">
        <f>(VLOOKUP($B$3,'Coeff EC7'!$T$39:$X$59,3,0)*AD55+VLOOKUP($B$3,'Coeff EC7'!$T$65:$X$85,3,0)*Model0.1T!AE55)/1.1</f>
        <v>#N/A</v>
      </c>
      <c r="AH55" s="102" t="e">
        <f t="shared" si="68"/>
        <v>#N/A</v>
      </c>
      <c r="AI55" s="102" t="e">
        <f t="shared" si="69"/>
        <v>#N/A</v>
      </c>
      <c r="AJ55" s="414" t="e">
        <f>IF(AND(AF55&gt;NDC!$C$63,AG55&gt;NDC!$C$65,AH55&gt;NDC!$D$73,AI55&gt;NDC!$D$74,$B55&gt;NDC!$H$22-0.1+MIN(3*$AJ$12,1.5)),0,1)</f>
        <v>#N/A</v>
      </c>
      <c r="AK55" s="86" t="b">
        <f t="shared" si="18"/>
        <v>0</v>
      </c>
      <c r="AL55" s="86">
        <f t="shared" si="70"/>
        <v>0.5</v>
      </c>
      <c r="AM55" s="86">
        <f t="shared" si="19"/>
        <v>0.5</v>
      </c>
      <c r="AN55" s="30" t="e">
        <f t="shared" ca="1" si="71"/>
        <v>#DIV/0!</v>
      </c>
      <c r="AO55" s="85" t="e">
        <f ca="1">IF(U55&lt;=Hypothèses!$V$7,Hypothèses!$W$7,IF(U55&lt;=Hypothèses!$V$8,Hypothèses!$W$8,IF(U55&lt;=Hypothèses!$V$9,Hypothèses!$W$9,IF(U55&lt;=Hypothèses!$V$10,Hypothèses!$W$10,IF(U55&lt;=Hypothèses!$V$11,Hypothèses!$W$11,IF(U55&lt;=Hypothèses!$V$12,Hypothèses!$W$12,IF(U55&lt;=Hypothèses!$V$13,Hypothèses!$W$13,IF(U55&lt;=Hypothèses!$V$14,Hypothèses!$W$14,IF(U55&lt;=Hypothèses!$V$15,Hypothèses!$W$15,IF(U55&lt;=Hypothèses!$V$16,Hypothèses!$W$16,IF(U55&lt;=Hypothèses!$V$17,Hypothèses!$W$17,IF(U55&lt;=Hypothèses!$V$18,Hypothèses!$W$18,""))))))))))))</f>
        <v>#DIV/0!</v>
      </c>
      <c r="AP55" s="87" t="e">
        <f t="shared" ca="1" si="117"/>
        <v>#DIV/0!</v>
      </c>
      <c r="AQ55" s="88" t="e">
        <f ca="1">IF(U55&lt;=Hypothèses!$V$7,Hypothèses!$X$7,IF(U55&lt;=Hypothèses!$V$8,Hypothèses!$X$8,IF(U55&lt;=Hypothèses!$V$9,Hypothèses!$X$9,IF(U55&lt;=Hypothèses!$V$10,Hypothèses!$X$10,IF(U55&lt;=Hypothèses!$V$11,Hypothèses!$X$11,IF(U55&lt;=Hypothèses!$V$12,Hypothèses!$X$12,IF(U55&lt;=Hypothèses!$V$13,Hypothèses!$X$13,IF(U55&lt;=Hypothèses!$V$14,Hypothèses!$X$14,IF(U55&lt;=Hypothèses!$V$15,Hypothèses!$X$15,IF(U55&lt;=Hypothèses!$V$16,Hypothèses!$X$16,IF(U55&lt;=Hypothèses!$U$17,Hypothèses!$W$17,IF(U55&lt;=Hypothèses!$U$18,Hypothèses!$W$18,""))))))))))))</f>
        <v>#DIV/0!</v>
      </c>
      <c r="AR55" s="95" t="e">
        <f t="shared" ca="1" si="72"/>
        <v>#DIV/0!</v>
      </c>
      <c r="AS55" s="101">
        <f t="shared" si="124"/>
        <v>0</v>
      </c>
      <c r="AT55" s="91">
        <f t="shared" si="21"/>
        <v>0</v>
      </c>
      <c r="AU55" s="30" t="e">
        <f t="shared" si="102"/>
        <v>#N/A</v>
      </c>
      <c r="AV55" s="30" t="e">
        <f t="shared" si="103"/>
        <v>#N/A</v>
      </c>
      <c r="AW55" s="31" t="e">
        <f>IF(OR(Hypothèses!$B$4=17,Hypothèses!$B$4=18,Hypothèses!$B$4=19,Hypothèses!$B$4=20),
IF($D55="Pressio.",
IF(OR($E55=3,$E55=1,$E55=4),AV55,AU55),
IF($D55="Pénétro.",
IF(OR($E55=3,$E55=1,$E55=4),AV55,AU55))),IF($D55="Pressio.",
IF($E55=3,AV55,AU55),
IF($D55="Pénétro.",
IF($E55=4,AV55,AU55))))</f>
        <v>#N/A</v>
      </c>
      <c r="AX55" s="31">
        <v>0</v>
      </c>
      <c r="AY55" s="102" t="e">
        <f>IF(NDC!$H$10="Oui",(VLOOKUP($B$3,'Coeff EC7'!$T$39:$X$59,2,0)*AW55+VLOOKUP($B$3,'Coeff EC7'!$T$65:$X$85,2,0)*Model0.1T!AX55)/1.5,PI()*AU$12*$Q55*($B55-$B54)*0.15/10+AY54)</f>
        <v>#N/A</v>
      </c>
      <c r="AZ55" s="102" t="e">
        <f>(VLOOKUP($B$3,'Coeff EC7'!$T$39:$X$59,3,0)*AW55+VLOOKUP($B$3,'Coeff EC7'!$T$65:$X$85,3,0)*Model0.1T!AX55)/1.1</f>
        <v>#N/A</v>
      </c>
      <c r="BA55" s="102" t="e">
        <f t="shared" si="73"/>
        <v>#N/A</v>
      </c>
      <c r="BB55" s="102" t="e">
        <f t="shared" si="74"/>
        <v>#N/A</v>
      </c>
      <c r="BC55" s="414" t="e">
        <f>IF(AND(AY55&gt;NDC!$C$63,AZ55&gt;NDC!$C$65,BA55&gt;NDC!$D$73,BB55&gt;NDC!$D$74,$B55&gt;NDC!$H$22-0.1+MIN(3*BC$12,1.5)),0,1)</f>
        <v>#N/A</v>
      </c>
      <c r="BD55" s="86" t="b">
        <f t="shared" si="24"/>
        <v>0</v>
      </c>
      <c r="BE55" s="86">
        <f t="shared" si="75"/>
        <v>0.5</v>
      </c>
      <c r="BF55" s="86">
        <f t="shared" si="25"/>
        <v>0.5</v>
      </c>
      <c r="BG55" s="30" t="e">
        <f t="shared" ca="1" si="76"/>
        <v>#DIV/0!</v>
      </c>
      <c r="BH55" s="85" t="e">
        <f ca="1">IF(AN55&lt;=Hypothèses!$V$7,Hypothèses!$W$7,IF(AN55&lt;=Hypothèses!$V$8,Hypothèses!$W$8,IF(AN55&lt;=Hypothèses!$V$9,Hypothèses!$W$9,IF(AN55&lt;=Hypothèses!$V$10,Hypothèses!$W$10,IF(AN55&lt;=Hypothèses!$V$11,Hypothèses!$W$11,IF(AN55&lt;=Hypothèses!$V$12,Hypothèses!$W$12,IF(AN55&lt;=Hypothèses!$V$13,Hypothèses!$W$13,IF(AN55&lt;=Hypothèses!$V$14,Hypothèses!$W$14,IF(AN55&lt;=Hypothèses!$V$15,Hypothèses!$W$15,IF(AN55&lt;=Hypothèses!$V$16,Hypothèses!$W$16,IF(AN55&lt;=Hypothèses!$V$17,Hypothèses!$W$17,IF(AN55&lt;=Hypothèses!$V$18,Hypothèses!$W$18,""))))))))))))</f>
        <v>#DIV/0!</v>
      </c>
      <c r="BI55" s="87" t="e">
        <f t="shared" ca="1" si="118"/>
        <v>#DIV/0!</v>
      </c>
      <c r="BJ55" s="88" t="e">
        <f ca="1">IF(AN55&lt;=Hypothèses!$V$7,Hypothèses!$X$7,IF(AN55&lt;=Hypothèses!$V$8,Hypothèses!$X$8,IF(AN55&lt;=Hypothèses!$V$9,Hypothèses!$X$9,IF(AN55&lt;=Hypothèses!$V$10,Hypothèses!$X$10,IF(AN55&lt;=Hypothèses!$V$11,Hypothèses!$X$11,IF(AN55&lt;=Hypothèses!$V$12,Hypothèses!$X$12,IF(AN55&lt;=Hypothèses!$V$13,Hypothèses!$X$13,IF(AN55&lt;=Hypothèses!$V$14,Hypothèses!$X$14,IF(AN55&lt;=Hypothèses!$V$15,Hypothèses!$X$15,IF(AN55&lt;=Hypothèses!$V$16,Hypothèses!$X$16,IF(AN55&lt;=Hypothèses!$U$17,Hypothèses!$W$17,IF(AN55&lt;=Hypothèses!$U$18,Hypothèses!$W$18,""))))))))))))</f>
        <v>#DIV/0!</v>
      </c>
      <c r="BK55" s="95" t="e">
        <f t="shared" ca="1" si="77"/>
        <v>#DIV/0!</v>
      </c>
      <c r="BL55" s="101">
        <f t="shared" si="125"/>
        <v>0</v>
      </c>
      <c r="BM55" s="91">
        <f t="shared" si="27"/>
        <v>0</v>
      </c>
      <c r="BN55" s="30" t="e">
        <f t="shared" si="104"/>
        <v>#N/A</v>
      </c>
      <c r="BO55" s="30" t="e">
        <f t="shared" si="105"/>
        <v>#N/A</v>
      </c>
      <c r="BP55" s="31" t="e">
        <f>IF(OR(Hypothèses!$B$4=17,Hypothèses!$B$4=18,Hypothèses!$B$4=19,Hypothèses!$B$4=20),
IF($D55="Pressio.",
IF(OR($E55=3,$E55=1,$E55=4),BO55,BN55),
IF($D55="Pénétro.",
IF(OR($E55=3,$E55=1,$E55=4),BO55,BN55))),IF($D55="Pressio.",
IF($E55=3,BO55,BN55),
IF($D55="Pénétro.",
IF($E55=4,BO55,BN55))))</f>
        <v>#N/A</v>
      </c>
      <c r="BQ55" s="31">
        <v>0</v>
      </c>
      <c r="BR55" s="102" t="e">
        <f>IF(NDC!$H$10="Oui",(VLOOKUP($B$3,'Coeff EC7'!$T$39:$X$59,2,0)*BP55+VLOOKUP($B$3,'Coeff EC7'!$T$65:$X$85,2,0)*Model0.1T!BQ55)/1.5,PI()*BN$12*$Q55*($B55-$B54)*0.15/10+BR54)</f>
        <v>#N/A</v>
      </c>
      <c r="BS55" s="102" t="e">
        <f>(VLOOKUP($B$3,'Coeff EC7'!$T$39:$X$59,3,0)*BP55+VLOOKUP($B$3,'Coeff EC7'!$T$65:$X$85,3,0)*Model0.1T!BQ55)/1.1</f>
        <v>#N/A</v>
      </c>
      <c r="BT55" s="102" t="e">
        <f t="shared" si="78"/>
        <v>#N/A</v>
      </c>
      <c r="BU55" s="102" t="e">
        <f t="shared" si="79"/>
        <v>#N/A</v>
      </c>
      <c r="BV55" s="414" t="e">
        <f>IF(AND(BR55&gt;NDC!$C$63,BS55&gt;NDC!$C$65,BT55&gt;NDC!$D$73,BU55&gt;NDC!$D$74,$B55&gt;NDC!$H$22-0.1+MIN(3*BV$12,1.5)),0,1)</f>
        <v>#N/A</v>
      </c>
      <c r="BW55" s="86" t="b">
        <f t="shared" si="30"/>
        <v>0</v>
      </c>
      <c r="BX55" s="86">
        <f t="shared" si="31"/>
        <v>0.5</v>
      </c>
      <c r="BY55" s="86">
        <f t="shared" si="32"/>
        <v>0.5</v>
      </c>
      <c r="BZ55" s="30" t="e">
        <f t="shared" ca="1" si="80"/>
        <v>#DIV/0!</v>
      </c>
      <c r="CA55" s="85" t="e">
        <f ca="1">IF(BG55&lt;=Hypothèses!$V$7,Hypothèses!$W$7,IF(BG55&lt;=Hypothèses!$V$8,Hypothèses!$W$8,IF(BG55&lt;=Hypothèses!$V$9,Hypothèses!$W$9,IF(BG55&lt;=Hypothèses!$V$10,Hypothèses!$W$10,IF(BG55&lt;=Hypothèses!$V$11,Hypothèses!$W$11,IF(BG55&lt;=Hypothèses!$V$12,Hypothèses!$W$12,IF(BG55&lt;=Hypothèses!$V$13,Hypothèses!$W$13,IF(BG55&lt;=Hypothèses!$V$14,Hypothèses!$W$14,IF(BG55&lt;=Hypothèses!$V$15,Hypothèses!$W$15,IF(BG55&lt;=Hypothèses!$V$16,Hypothèses!$W$16,IF(BG55&lt;=Hypothèses!$V$17,Hypothèses!$W$17,IF(BG55&lt;=Hypothèses!$V$18,Hypothèses!$W$18,""))))))))))))</f>
        <v>#DIV/0!</v>
      </c>
      <c r="CB55" s="87" t="e">
        <f t="shared" ca="1" si="119"/>
        <v>#DIV/0!</v>
      </c>
      <c r="CC55" s="88" t="e">
        <f ca="1">IF(BG55&lt;=Hypothèses!$V$7,Hypothèses!$X$7,IF(BG55&lt;=Hypothèses!$V$8,Hypothèses!$X$8,IF(BG55&lt;=Hypothèses!$V$9,Hypothèses!$X$9,IF(BG55&lt;=Hypothèses!$V$10,Hypothèses!$X$10,IF(BG55&lt;=Hypothèses!$V$11,Hypothèses!$X$11,IF(BG55&lt;=Hypothèses!$V$12,Hypothèses!$X$12,IF(BG55&lt;=Hypothèses!$V$13,Hypothèses!$X$13,IF(BG55&lt;=Hypothèses!$V$14,Hypothèses!$X$14,IF(BG55&lt;=Hypothèses!$V$15,Hypothèses!$X$15,IF(BG55&lt;=Hypothèses!$V$16,Hypothèses!$X$16,IF(BG55&lt;=Hypothèses!$U$17,Hypothèses!$W$17,IF(BG55&lt;=Hypothèses!$U$18,Hypothèses!$W$18,""))))))))))))</f>
        <v>#DIV/0!</v>
      </c>
      <c r="CD55" s="95" t="e">
        <f t="shared" ca="1" si="81"/>
        <v>#DIV/0!</v>
      </c>
      <c r="CE55" s="101">
        <f t="shared" si="126"/>
        <v>0</v>
      </c>
      <c r="CF55" s="91">
        <f t="shared" si="34"/>
        <v>0</v>
      </c>
      <c r="CG55" s="30" t="e">
        <f t="shared" si="106"/>
        <v>#N/A</v>
      </c>
      <c r="CH55" s="30" t="e">
        <f t="shared" si="107"/>
        <v>#N/A</v>
      </c>
      <c r="CI55" s="31" t="e">
        <f>IF(OR(Hypothèses!$B$4=17,Hypothèses!$B$4=18,Hypothèses!$B$4=19,Hypothèses!$B$4=20),
IF($D55="Pressio.",
IF(OR($E55=3,$E55=1,$E55=4),CH55,CG55),
IF($D55="Pénétro.",
IF(OR($E55=3,$E55=1,$E55=4),CH55,CG55))),IF($D55="Pressio.",
IF($E55=3,CH55,CG55),
IF($D55="Pénétro.",
IF($E55=4,CH55,CG55))))</f>
        <v>#N/A</v>
      </c>
      <c r="CJ55" s="31">
        <v>0</v>
      </c>
      <c r="CK55" s="102" t="e">
        <f>IF(NDC!$H$10="Oui",(VLOOKUP($B$3,'Coeff EC7'!$T$39:$X$59,2,0)*CI55+VLOOKUP($B$3,'Coeff EC7'!$T$65:$X$85,2,0)*Model0.1T!CJ55)/1.5,PI()*CG$12*$Q55*($B55-$B54)*0.15/10+CK54)</f>
        <v>#N/A</v>
      </c>
      <c r="CL55" s="102" t="e">
        <f>(VLOOKUP($B$3,'Coeff EC7'!$T$39:$X$59,3,0)*CI55+VLOOKUP($B$3,'Coeff EC7'!$T$65:$X$85,3,0)*Model0.1T!CJ55)/1.1</f>
        <v>#N/A</v>
      </c>
      <c r="CM55" s="102" t="e">
        <f t="shared" si="82"/>
        <v>#N/A</v>
      </c>
      <c r="CN55" s="102" t="e">
        <f t="shared" si="83"/>
        <v>#N/A</v>
      </c>
      <c r="CO55" s="414" t="e">
        <f>IF(AND(CK55&gt;NDC!$C$63,CL55&gt;NDC!$C$65,CM55&gt;NDC!$D$73,CN55&gt;NDC!$D$74,$B55&gt;NDC!$H$22-0.1+MIN(3*CO$12,1.5)),0,1)</f>
        <v>#N/A</v>
      </c>
      <c r="CP55" s="86" t="b">
        <f t="shared" si="37"/>
        <v>0</v>
      </c>
      <c r="CQ55" s="86">
        <f t="shared" si="38"/>
        <v>0.5</v>
      </c>
      <c r="CR55" s="86">
        <f t="shared" si="39"/>
        <v>0.5</v>
      </c>
      <c r="CS55" s="30" t="e">
        <f t="shared" ca="1" si="84"/>
        <v>#DIV/0!</v>
      </c>
      <c r="CT55" s="85" t="e">
        <f ca="1">IF(BZ55&lt;=Hypothèses!$V$7,Hypothèses!$W$7,IF(BZ55&lt;=Hypothèses!$V$8,Hypothèses!$W$8,IF(BZ55&lt;=Hypothèses!$V$9,Hypothèses!$W$9,IF(BZ55&lt;=Hypothèses!$V$10,Hypothèses!$W$10,IF(BZ55&lt;=Hypothèses!$V$11,Hypothèses!$W$11,IF(BZ55&lt;=Hypothèses!$V$12,Hypothèses!$W$12,IF(BZ55&lt;=Hypothèses!$V$13,Hypothèses!$W$13,IF(BZ55&lt;=Hypothèses!$V$14,Hypothèses!$W$14,IF(BZ55&lt;=Hypothèses!$V$15,Hypothèses!$W$15,IF(BZ55&lt;=Hypothèses!$V$16,Hypothèses!$W$16,IF(BZ55&lt;=Hypothèses!$V$17,Hypothèses!$W$17,IF(BZ55&lt;=Hypothèses!$V$18,Hypothèses!$W$18,""))))))))))))</f>
        <v>#DIV/0!</v>
      </c>
      <c r="CU55" s="87" t="e">
        <f t="shared" ca="1" si="120"/>
        <v>#DIV/0!</v>
      </c>
      <c r="CV55" s="88" t="e">
        <f ca="1">IF(BZ55&lt;=Hypothèses!$V$7,Hypothèses!$X$7,IF(BZ55&lt;=Hypothèses!$V$8,Hypothèses!$X$8,IF(BZ55&lt;=Hypothèses!$V$9,Hypothèses!$X$9,IF(BZ55&lt;=Hypothèses!$V$10,Hypothèses!$X$10,IF(BZ55&lt;=Hypothèses!$V$11,Hypothèses!$X$11,IF(BZ55&lt;=Hypothèses!$V$12,Hypothèses!$X$12,IF(BZ55&lt;=Hypothèses!$V$13,Hypothèses!$X$13,IF(BZ55&lt;=Hypothèses!$V$14,Hypothèses!$X$14,IF(BZ55&lt;=Hypothèses!$V$15,Hypothèses!$X$15,IF(BZ55&lt;=Hypothèses!$V$16,Hypothèses!$X$16,IF(BZ55&lt;=Hypothèses!$U$17,Hypothèses!$W$17,IF(BZ55&lt;=Hypothèses!$U$18,Hypothèses!$W$18,""))))))))))))</f>
        <v>#DIV/0!</v>
      </c>
      <c r="CW55" s="95" t="e">
        <f t="shared" ca="1" si="85"/>
        <v>#DIV/0!</v>
      </c>
      <c r="CX55" s="101">
        <f t="shared" si="127"/>
        <v>0</v>
      </c>
      <c r="CY55" s="91">
        <f t="shared" si="41"/>
        <v>0</v>
      </c>
      <c r="CZ55" s="30" t="e">
        <f t="shared" si="108"/>
        <v>#N/A</v>
      </c>
      <c r="DA55" s="30" t="e">
        <f t="shared" si="109"/>
        <v>#N/A</v>
      </c>
      <c r="DB55" s="31" t="e">
        <f>IF(OR(Hypothèses!$B$4=17,Hypothèses!$B$4=18,Hypothèses!$B$4=19,Hypothèses!$B$4=20),
IF($D55="Pressio.",
IF(OR($E55=3,$E55=1,$E55=4),DA55,CZ55),
IF($D55="Pénétro.",
IF(OR($E55=3,$E55=1,$E55=4),DA55,CZ55))),IF($D55="Pressio.",
IF($E55=3,DA55,CZ55),
IF($D55="Pénétro.",
IF($E55=4,DA55,CZ55))))</f>
        <v>#N/A</v>
      </c>
      <c r="DC55" s="31">
        <v>0</v>
      </c>
      <c r="DD55" s="102" t="e">
        <f>IF(NDC!$H$10="Oui",(VLOOKUP($B$3,'Coeff EC7'!$T$39:$X$59,2,0)*DB55+VLOOKUP($B$3,'Coeff EC7'!$T$65:$X$85,2,0)*Model0.1T!DC55)/1.5,PI()*CZ$12*$Q55*($B55-$B54)*0.15/10+DD54)</f>
        <v>#N/A</v>
      </c>
      <c r="DE55" s="102" t="e">
        <f>(VLOOKUP($B$3,'Coeff EC7'!$T$39:$X$59,3,0)*DB55+VLOOKUP($B$3,'Coeff EC7'!$T$65:$X$85,3,0)*Model0.1T!DC55)/1.1</f>
        <v>#N/A</v>
      </c>
      <c r="DF55" s="102" t="e">
        <f t="shared" si="86"/>
        <v>#N/A</v>
      </c>
      <c r="DG55" s="102" t="e">
        <f t="shared" si="87"/>
        <v>#N/A</v>
      </c>
      <c r="DH55" s="414" t="e">
        <f>IF(AND(DD55&gt;NDC!$C$63,DE55&gt;NDC!$C$65,DF55&gt;NDC!$D$73,DG55&gt;NDC!$D$74,$B55&gt;NDC!$H$22-0.1+MIN(3*DH$12,1.5)),0,1)</f>
        <v>#N/A</v>
      </c>
      <c r="DI55" s="86" t="b">
        <f t="shared" si="44"/>
        <v>0</v>
      </c>
      <c r="DJ55" s="86">
        <f t="shared" si="45"/>
        <v>0.5</v>
      </c>
      <c r="DK55" s="86">
        <f t="shared" si="46"/>
        <v>0.5</v>
      </c>
      <c r="DL55" s="30" t="e">
        <f t="shared" ca="1" si="88"/>
        <v>#DIV/0!</v>
      </c>
      <c r="DM55" s="85" t="e">
        <f ca="1">IF(CS55&lt;=Hypothèses!$V$7,Hypothèses!$W$7,IF(CS55&lt;=Hypothèses!$V$8,Hypothèses!$W$8,IF(CS55&lt;=Hypothèses!$V$9,Hypothèses!$W$9,IF(CS55&lt;=Hypothèses!$V$10,Hypothèses!$W$10,IF(CS55&lt;=Hypothèses!$V$11,Hypothèses!$W$11,IF(CS55&lt;=Hypothèses!$V$12,Hypothèses!$W$12,IF(CS55&lt;=Hypothèses!$V$13,Hypothèses!$W$13,IF(CS55&lt;=Hypothèses!$V$14,Hypothèses!$W$14,IF(CS55&lt;=Hypothèses!$V$15,Hypothèses!$W$15,IF(CS55&lt;=Hypothèses!$V$16,Hypothèses!$W$16,IF(CS55&lt;=Hypothèses!$V$17,Hypothèses!$W$17,IF(CS55&lt;=Hypothèses!$V$18,Hypothèses!$W$18,""))))))))))))</f>
        <v>#DIV/0!</v>
      </c>
      <c r="DN55" s="87" t="e">
        <f t="shared" ca="1" si="121"/>
        <v>#DIV/0!</v>
      </c>
      <c r="DO55" s="88" t="e">
        <f ca="1">IF(CS55&lt;=Hypothèses!$V$7,Hypothèses!$X$7,IF(CS55&lt;=Hypothèses!$V$8,Hypothèses!$X$8,IF(CS55&lt;=Hypothèses!$V$9,Hypothèses!$X$9,IF(CS55&lt;=Hypothèses!$V$10,Hypothèses!$X$10,IF(CS55&lt;=Hypothèses!$V$11,Hypothèses!$X$11,IF(CS55&lt;=Hypothèses!$V$12,Hypothèses!$X$12,IF(CS55&lt;=Hypothèses!$V$13,Hypothèses!$X$13,IF(CS55&lt;=Hypothèses!$V$14,Hypothèses!$X$14,IF(CS55&lt;=Hypothèses!$V$15,Hypothèses!$X$15,IF(CS55&lt;=Hypothèses!$V$16,Hypothèses!$X$16,IF(CS55&lt;=Hypothèses!$U$17,Hypothèses!$W$17,IF(CS55&lt;=Hypothèses!$U$18,Hypothèses!$W$18,""))))))))))))</f>
        <v>#DIV/0!</v>
      </c>
      <c r="DP55" s="95" t="e">
        <f t="shared" ca="1" si="89"/>
        <v>#DIV/0!</v>
      </c>
      <c r="DQ55" s="101">
        <f t="shared" si="128"/>
        <v>0</v>
      </c>
      <c r="DR55" s="91">
        <f t="shared" si="48"/>
        <v>0</v>
      </c>
      <c r="DS55" s="30" t="e">
        <f t="shared" si="110"/>
        <v>#N/A</v>
      </c>
      <c r="DT55" s="30" t="e">
        <f t="shared" si="111"/>
        <v>#N/A</v>
      </c>
      <c r="DU55" s="31" t="e">
        <f>IF(OR(Hypothèses!$B$4=17,Hypothèses!$B$4=18,Hypothèses!$B$4=19,Hypothèses!$B$4=20),
IF($D55="Pressio.",
IF(OR($E55=3,$E55=1,$E55=4),DT55,DS55),
IF($D55="Pénétro.",
IF(OR($E55=3,$E55=1,$E55=4),DT55,DS55))),IF($D55="Pressio.",
IF($E55=3,DT55,DS55),
IF($D55="Pénétro.",
IF($E55=4,DT55,DS55))))</f>
        <v>#N/A</v>
      </c>
      <c r="DV55" s="31">
        <v>0</v>
      </c>
      <c r="DW55" s="102" t="e">
        <f>IF(NDC!$H$10="Oui",(VLOOKUP($B$3,'Coeff EC7'!$T$39:$X$59,2,0)*DU55+VLOOKUP($B$3,'Coeff EC7'!$T$65:$X$85,2,0)*Model0.1T!DV55)/1.5,PI()*DS$12*$Q55*($B55-$B54)*0.15/10+DW54)</f>
        <v>#N/A</v>
      </c>
      <c r="DX55" s="102" t="e">
        <f>(VLOOKUP($B$3,'Coeff EC7'!$T$39:$X$59,3,0)*DU55+VLOOKUP($B$3,'Coeff EC7'!$T$65:$X$85,3,0)*Model0.1T!DV55)/1.1</f>
        <v>#N/A</v>
      </c>
      <c r="DY55" s="102" t="e">
        <f t="shared" si="90"/>
        <v>#N/A</v>
      </c>
      <c r="DZ55" s="102" t="e">
        <f t="shared" si="91"/>
        <v>#N/A</v>
      </c>
      <c r="EA55" s="414" t="e">
        <f>IF(AND(DW55&gt;NDC!$C$63,DX55&gt;NDC!$C$65,DY55&gt;NDC!$D$73,DZ55&gt;NDC!$D$74,$B55&gt;NDC!$H$22-0.1+MIN(3*EA$12,1.5)),0,1)</f>
        <v>#N/A</v>
      </c>
      <c r="EB55" s="86" t="b">
        <f t="shared" si="51"/>
        <v>0</v>
      </c>
      <c r="EC55" s="418">
        <f t="shared" si="52"/>
        <v>0.51</v>
      </c>
      <c r="ED55" s="86">
        <f t="shared" si="53"/>
        <v>0.51</v>
      </c>
      <c r="EE55" s="30" t="e">
        <f t="shared" ca="1" si="92"/>
        <v>#DIV/0!</v>
      </c>
      <c r="EF55" s="85" t="e">
        <f ca="1">IF(DL55&lt;=Hypothèses!$V$7,Hypothèses!$W$7,IF(DL55&lt;=Hypothèses!$V$8,Hypothèses!$W$8,IF(DL55&lt;=Hypothèses!$V$9,Hypothèses!$W$9,IF(DL55&lt;=Hypothèses!$V$10,Hypothèses!$W$10,IF(DL55&lt;=Hypothèses!$V$11,Hypothèses!$W$11,IF(DL55&lt;=Hypothèses!$V$12,Hypothèses!$W$12,IF(DL55&lt;=Hypothèses!$V$13,Hypothèses!$W$13,IF(DL55&lt;=Hypothèses!$V$14,Hypothèses!$W$14,IF(DL55&lt;=Hypothèses!$V$15,Hypothèses!$W$15,IF(DL55&lt;=Hypothèses!$V$16,Hypothèses!$W$16,IF(DL55&lt;=Hypothèses!$V$17,Hypothèses!$W$17,IF(DL55&lt;=Hypothèses!$V$18,Hypothèses!$W$18,""))))))))))))</f>
        <v>#DIV/0!</v>
      </c>
      <c r="EG55" s="87" t="e">
        <f t="shared" ca="1" si="122"/>
        <v>#DIV/0!</v>
      </c>
      <c r="EH55" s="88" t="e">
        <f ca="1">IF(DL55&lt;=Hypothèses!$V$7,Hypothèses!$X$7,IF(DL55&lt;=Hypothèses!$V$8,Hypothèses!$X$8,IF(DL55&lt;=Hypothèses!$V$9,Hypothèses!$X$9,IF(DL55&lt;=Hypothèses!$V$10,Hypothèses!$X$10,IF(DL55&lt;=Hypothèses!$V$11,Hypothèses!$X$11,IF(DL55&lt;=Hypothèses!$V$12,Hypothèses!$X$12,IF(DL55&lt;=Hypothèses!$V$13,Hypothèses!$X$13,IF(DL55&lt;=Hypothèses!$V$14,Hypothèses!$X$14,IF(DL55&lt;=Hypothèses!$V$15,Hypothèses!$X$15,IF(DL55&lt;=Hypothèses!$V$16,Hypothèses!$X$16,IF(DL55&lt;=Hypothèses!$U$17,Hypothèses!$W$17,IF(DL55&lt;=Hypothèses!$U$18,Hypothèses!$W$18,""))))))))))))</f>
        <v>#DIV/0!</v>
      </c>
      <c r="EI55" s="95" t="e">
        <f t="shared" ca="1" si="93"/>
        <v>#DIV/0!</v>
      </c>
      <c r="EJ55" s="101">
        <f t="shared" si="129"/>
        <v>0</v>
      </c>
      <c r="EK55" s="91">
        <f t="shared" si="55"/>
        <v>0</v>
      </c>
      <c r="EL55" s="30" t="e">
        <f t="shared" si="112"/>
        <v>#N/A</v>
      </c>
      <c r="EM55" s="30" t="e">
        <f t="shared" si="113"/>
        <v>#N/A</v>
      </c>
      <c r="EN55" s="31" t="e">
        <f>IF(OR(Hypothèses!$B$4=17,Hypothèses!$B$4=18,Hypothèses!$B$4=19,Hypothèses!$B$4=20),
IF($D55="Pressio.",
IF(OR($E55=3,$E55=1,$E55=4),EM55,EL55),
IF($D55="Pénétro.",
IF(OR($E55=3,$E55=1,$E55=4),EM55,EL55))),IF($D55="Pressio.",
IF($E55=3,EM55,EL55),
IF($D55="Pénétro.",
IF($E55=4,EM55,EL55))))</f>
        <v>#N/A</v>
      </c>
      <c r="EO55" s="31">
        <v>0</v>
      </c>
      <c r="EP55" s="102" t="e">
        <f>IF(NDC!$H$10="Oui",(VLOOKUP($B$3,'Coeff EC7'!$T$39:$X$59,2,0)*EN55+VLOOKUP($B$3,'Coeff EC7'!$T$65:$X$85,2,0)*Model0.1T!EO55)/1.5,PI()*EL$12*$Q55*($B55-$B54)*0.15/10+EP54)</f>
        <v>#N/A</v>
      </c>
      <c r="EQ55" s="102" t="e">
        <f>(VLOOKUP($B$3,'Coeff EC7'!$T$39:$X$59,3,0)*EN55+VLOOKUP($B$3,'Coeff EC7'!$T$65:$X$85,3,0)*Model0.1T!EO55)/1.1</f>
        <v>#N/A</v>
      </c>
      <c r="ER55" s="102" t="e">
        <f t="shared" si="94"/>
        <v>#N/A</v>
      </c>
      <c r="ES55" s="102" t="e">
        <f t="shared" si="95"/>
        <v>#N/A</v>
      </c>
      <c r="ET55" s="414" t="e">
        <f>IF(AND(EP55&gt;NDC!$C$63,EQ55&gt;NDC!$C$65,ER55&gt;NDC!$D$73,ES55&gt;NDC!$D$74,$B55&gt;NDC!$H$22-0.1+MIN(3*ET$12,1.5)),0,1)</f>
        <v>#N/A</v>
      </c>
      <c r="EU55" s="86" t="b">
        <f t="shared" si="58"/>
        <v>0</v>
      </c>
      <c r="EV55" s="86">
        <f t="shared" si="59"/>
        <v>0.61</v>
      </c>
      <c r="EW55" s="86">
        <f t="shared" si="60"/>
        <v>0.61</v>
      </c>
      <c r="EX55" s="30" t="e">
        <f t="shared" ca="1" si="96"/>
        <v>#DIV/0!</v>
      </c>
      <c r="EY55" s="85" t="e">
        <f ca="1">IF(EE55&lt;=Hypothèses!$V$7,Hypothèses!$W$7,IF(EE55&lt;=Hypothèses!$V$8,Hypothèses!$W$8,IF(EE55&lt;=Hypothèses!$V$9,Hypothèses!$W$9,IF(EE55&lt;=Hypothèses!$V$10,Hypothèses!$W$10,IF(EE55&lt;=Hypothèses!$V$11,Hypothèses!$W$11,IF(EE55&lt;=Hypothèses!$V$12,Hypothèses!$W$12,IF(EE55&lt;=Hypothèses!$V$13,Hypothèses!$W$13,IF(EE55&lt;=Hypothèses!$V$14,Hypothèses!$W$14,IF(EE55&lt;=Hypothèses!$V$15,Hypothèses!$W$15,IF(EE55&lt;=Hypothèses!$V$16,Hypothèses!$W$16,IF(EE55&lt;=Hypothèses!$V$17,Hypothèses!$W$17,IF(EE55&lt;=Hypothèses!$V$18,Hypothèses!$W$18,""))))))))))))</f>
        <v>#DIV/0!</v>
      </c>
      <c r="EZ55" s="87" t="e">
        <f t="shared" ca="1" si="123"/>
        <v>#DIV/0!</v>
      </c>
      <c r="FA55" s="88" t="e">
        <f ca="1">IF(EE55&lt;=Hypothèses!$V$7,Hypothèses!$X$7,IF(EE55&lt;=Hypothèses!$V$8,Hypothèses!$X$8,IF(EE55&lt;=Hypothèses!$V$9,Hypothèses!$X$9,IF(EE55&lt;=Hypothèses!$V$10,Hypothèses!$X$10,IF(EE55&lt;=Hypothèses!$V$11,Hypothèses!$X$11,IF(EE55&lt;=Hypothèses!$V$12,Hypothèses!$X$12,IF(EE55&lt;=Hypothèses!$V$13,Hypothèses!$X$13,IF(EE55&lt;=Hypothèses!$V$14,Hypothèses!$X$14,IF(EE55&lt;=Hypothèses!$V$15,Hypothèses!$X$15,IF(EE55&lt;=Hypothèses!$V$16,Hypothèses!$X$16,IF(EE55&lt;=Hypothèses!$U$17,Hypothèses!$W$17,IF(EE55&lt;=Hypothèses!$U$18,Hypothèses!$W$18,""))))))))))))</f>
        <v>#DIV/0!</v>
      </c>
      <c r="FB55" s="95" t="e">
        <f t="shared" ca="1" si="97"/>
        <v>#DIV/0!</v>
      </c>
      <c r="FC55" s="101">
        <f t="shared" si="130"/>
        <v>0</v>
      </c>
      <c r="FD55" s="91">
        <f t="shared" si="62"/>
        <v>0</v>
      </c>
      <c r="FE55" s="30" t="e">
        <f t="shared" si="114"/>
        <v>#N/A</v>
      </c>
      <c r="FF55" s="30" t="e">
        <f t="shared" si="115"/>
        <v>#N/A</v>
      </c>
      <c r="FG55" s="31" t="e">
        <f>IF(OR(Hypothèses!$B$4=17,Hypothèses!$B$4=18,Hypothèses!$B$4=19,Hypothèses!$B$4=20),
IF($D55="Pressio.",
IF(OR($E55=3,$E55=1,$E55=4),FF55,FE55),
IF($D55="Pénétro.",
IF(OR($E55=3,$E55=1,$E55=4),FF55,FE55))),IF($D55="Pressio.",
IF($E55=3,FF55,FE55),
IF($D55="Pénétro.",
IF($E55=4,FF55,FE55))))</f>
        <v>#N/A</v>
      </c>
      <c r="FH55" s="31">
        <v>0</v>
      </c>
      <c r="FI55" s="102" t="e">
        <f>IF(NDC!$H$10="Oui",(VLOOKUP($B$3,'Coeff EC7'!$T$39:$X$59,2,0)*FG55+VLOOKUP($B$3,'Coeff EC7'!$T$65:$X$85,2,0)*Model0.1T!FH55)/1.5,PI()*FE$12*$Q55*($B55-$B54)*0.15/10+FI54)</f>
        <v>#N/A</v>
      </c>
      <c r="FJ55" s="102" t="e">
        <f>(VLOOKUP($B$3,'Coeff EC7'!$T$39:$X$59,3,0)*FG55+VLOOKUP($B$3,'Coeff EC7'!$T$65:$X$85,3,0)*Model0.1T!FH55)/1.1</f>
        <v>#N/A</v>
      </c>
      <c r="FK55" s="102" t="e">
        <f t="shared" si="98"/>
        <v>#N/A</v>
      </c>
      <c r="FL55" s="102" t="e">
        <f t="shared" si="99"/>
        <v>#N/A</v>
      </c>
      <c r="FM55" s="414" t="e">
        <f>IF(AND(FI55&gt;NDC!$C$63,FJ55&gt;NDC!$C$65,FK55&gt;NDC!$D$73,FL55&gt;NDC!$D$74,$B55&gt;NDC!$H$22-0.1+MIN(3*FM$12,1.5)),0,1)</f>
        <v>#N/A</v>
      </c>
    </row>
    <row r="56" spans="1:169">
      <c r="A56" s="96">
        <f t="shared" si="65"/>
        <v>95.700000000000244</v>
      </c>
      <c r="B56" s="97">
        <v>4.3</v>
      </c>
      <c r="C56" s="81">
        <f>IF(B56&lt;=Hypothèses!$C$7,Hypothèses!$A$7,IF(B56&lt;=Hypothèses!$C$8,Hypothèses!$A$8,IF(B56&lt;=Hypothèses!$C$9,Hypothèses!$A$9,IF(B56&lt;=Hypothèses!$C$10,Hypothèses!$A$10,IF(B56&lt;=Hypothèses!$C$11,Hypothèses!$A$11,IF(B56&lt;=Hypothèses!$C$12,Hypothèses!$A$12,IF(B56&lt;=Hypothèses!$C$13,Hypothèses!$A$13,IF(B56&lt;=Hypothèses!$C$14,Hypothèses!$A$14,IF(B56&lt;=Hypothèses!$C$15,Hypothèses!$A$15,IF(B56&lt;=Hypothèses!$C$16,Hypothèses!$A$16,IF(B56&lt;=Hypothèses!$C$17,Hypothèses!$A$17,IF(B56&lt;=Hypothèses!$C$18,Hypothèses!$A$18,C55))))))))))))</f>
        <v>11</v>
      </c>
      <c r="D56" s="82" t="str">
        <f>IF(B56&lt;=Hypothèses!$C$7,Hypothèses!$R$7,IF(B56&lt;=Hypothèses!$C$8,Hypothèses!$R$8,IF(B56&lt;=Hypothèses!$C$9,Hypothèses!$R$9,IF(B56&lt;=Hypothèses!$C$10,Hypothèses!$R$10,IF(B56&lt;=Hypothèses!$C$11,Hypothèses!$R$11,IF(B56&lt;=Hypothèses!$C$12,Hypothèses!$R$12,IF(B56&lt;=Hypothèses!$C$13,Hypothèses!$R$13,IF(B56&lt;=Hypothèses!$C$14,Hypothèses!$R$14,IF(B56&lt;=Hypothèses!$C$15,Hypothèses!$R$15,IF(B56&lt;=Hypothèses!$C$16,Hypothèses!$R$16,IF(B56&lt;=Hypothèses!$C$17,Hypothèses!$R$17,IF(B56&lt;=Hypothèses!$C$18,Hypothèses!$R$18,D55))))))))))))</f>
        <v>Pressio.</v>
      </c>
      <c r="E56" s="82" t="e">
        <f>IF(B56&lt;=Hypothèses!$C$7,Hypothèses!$G$7,IF(B56&lt;=Hypothèses!$C$8,Hypothèses!$G$8,IF(B56&lt;=Hypothèses!$C$9,Hypothèses!$G$9,IF(B56&lt;=Hypothèses!$C$10,Hypothèses!$G$10,IF(B56&lt;=Hypothèses!$C$11,Hypothèses!$G$11,IF(B56&lt;=Hypothèses!$C$12,Hypothèses!$G$12,IF(B56&lt;=Hypothèses!$C$13,Hypothèses!$G$13,IF(B56&lt;=Hypothèses!$C$14,Hypothèses!$G$14,IF(B56&lt;=Hypothèses!$C$15,Hypothèses!$G$15,IF(B56&lt;=Hypothèses!$C$16,Hypothèses!$G$16,IF(B56&lt;=Hypothèses!$C$17,Hypothèses!$G$17,IF(B56&lt;=Hypothèses!$C$18,Hypothèses!$G$18,E55))))))))))))</f>
        <v>#N/A</v>
      </c>
      <c r="F56" s="82" t="str">
        <f>IF(B56&lt;=Hypothèses!$C$7,Hypothèses!$F$7,IF(B56&lt;=Hypothèses!$C$8,Hypothèses!$F$8,IF(B56&lt;=Hypothèses!$C$9,Hypothèses!$F$9,IF(B56&lt;=Hypothèses!$C$10,Hypothèses!$F$10,IF(B56&lt;=Hypothèses!$C$11,Hypothèses!$F$11,IF(B56&lt;=Hypothèses!$C$12,Hypothèses!$F$12,IF(B56&lt;=Hypothèses!$C$13,Hypothèses!$F$13,IF(B56&lt;=Hypothèses!$C$14,Hypothèses!$F$14,IF(B56&lt;=Hypothèses!$C$15,Hypothèses!$F$15,IF(B56&lt;=Hypothèses!$C$16,Hypothèses!$F$16,IF(B56&lt;=Hypothèses!$C$17,Hypothèses!$F$17,IF(B56&lt;=Hypothèses!$C$18,Hypothèses!$F$18,F55))))))))))))</f>
        <v/>
      </c>
      <c r="G56" s="91">
        <f t="array" ref="G56">INDEX('Coeff EC7'!$U$7:$X$27,
MATCH(Model0.1T!$B$3,'Coeff EC7'!$T$7:$T$27,0),
MATCH(Model0.1T!$D56&amp;Model0.1T!$B$4,
'Coeff EC7'!$U$6:$X$6&amp;
'Coeff EC7'!$U$5:$X$5,0))</f>
        <v>1.4</v>
      </c>
      <c r="H56" s="91">
        <f t="array" ref="H56">INDEX('Coeff EC7'!$Y$7:$AB$27,
MATCH(Model0.1T!$B$3,'Coeff EC7'!$T$7:$T$27,0),
MATCH(Model0.1T!$D56&amp;Model0.1T!$B$4,
'Coeff EC7'!$Y$6:$AB$6&amp;
'Coeff EC7'!$Y$5:$AB$5,0))</f>
        <v>1.7</v>
      </c>
      <c r="I56" s="83">
        <v>0</v>
      </c>
      <c r="J56" s="91" t="e">
        <f t="array" ref="J56">INDEX('Coeff EC7'!$D$33:$Q$33,1,MATCH(D56&amp;E56,'Coeff EC7'!$D$31:$Q$31&amp;'Coeff EC7'!$D$32:$Q$32,0))</f>
        <v>#N/A</v>
      </c>
      <c r="K56" s="91" t="e">
        <f t="array" ref="K56">INDEX('Coeff EC7'!$D$34:$Q$34,1,MATCH(D56&amp;E56,'Coeff EC7'!$D$31:$Q$31&amp;'Coeff EC7'!$D$32:$Q$32,0))</f>
        <v>#N/A</v>
      </c>
      <c r="L56" s="91" t="e">
        <f t="array" ref="L56">INDEX('Coeff EC7'!$D$35:$Q$35,1,MATCH(D56&amp;E56,'Coeff EC7'!$D$31:$Q$31&amp;'Coeff EC7'!$D$32:$Q$32,0))</f>
        <v>#N/A</v>
      </c>
      <c r="M56" s="98" t="e">
        <f t="shared" si="8"/>
        <v>#N/A</v>
      </c>
      <c r="N56" s="99" t="e">
        <f t="array" ref="N56">INDEX('Coeff EC7'!$D$7:$Q$27,MATCH($B$3,'Coeff EC7'!$C$7:$C$27,0),MATCH(D56&amp;E56,'Coeff EC7'!$D$5:$Q$5&amp;'Coeff EC7'!$D$6:$Q$6,0))</f>
        <v>#N/A</v>
      </c>
      <c r="O56" s="99" t="e">
        <f t="array" ref="O56">INDEX('Coeff EC7'!$D$41:$Q$61,MATCH($B$3,'Coeff EC7'!$C$41:$C$61,0),MATCH(D56&amp;E56,'Coeff EC7'!$D$39:$Q$39&amp;'Coeff EC7'!$D$40:$Q$40,0))</f>
        <v>#N/A</v>
      </c>
      <c r="P56" s="30" t="e">
        <f t="shared" si="66"/>
        <v>#N/A</v>
      </c>
      <c r="Q56" s="100" t="e">
        <f t="shared" si="10"/>
        <v>#N/A</v>
      </c>
      <c r="R56" s="86" t="b">
        <f t="shared" si="11"/>
        <v>0</v>
      </c>
      <c r="S56" s="86">
        <f t="shared" si="9"/>
        <v>0.5</v>
      </c>
      <c r="T56" s="86">
        <f t="shared" si="12"/>
        <v>0.5</v>
      </c>
      <c r="U56" s="30" t="e">
        <f t="shared" ca="1" si="67"/>
        <v>#DIV/0!</v>
      </c>
      <c r="V56" s="85" t="str">
        <f>IF(B56&lt;=Hypothèses!$V$7,Hypothèses!$W$7,IF(B56&lt;=Hypothèses!$V$8,Hypothèses!$W$8,IF(B56&lt;=Hypothèses!$V$9,Hypothèses!$W$9,IF(B56&lt;=Hypothèses!$V$10,Hypothèses!$W$10,IF(B56&lt;=Hypothèses!$V$11,Hypothèses!$W$11,IF(B56&lt;=Hypothèses!$V$12,Hypothèses!$W$12,IF(B56&lt;=Hypothèses!$V$13,Hypothèses!$W$13,IF(B56&lt;=Hypothèses!$V$14,Hypothèses!$W$14,IF(B56&lt;=Hypothèses!$V$15,Hypothèses!$W$15,IF(B56&lt;=Hypothèses!$V$16,Hypothèses!$W$16,IF(B56&lt;=Hypothèses!$V$17,Hypothèses!$W$17,IF(B56&lt;=Hypothèses!$V$18,Hypothèses!$W$18,""))))))))))))</f>
        <v/>
      </c>
      <c r="W56" s="87" t="e">
        <f t="shared" ca="1" si="116"/>
        <v>#DIV/0!</v>
      </c>
      <c r="X56" s="88" t="str">
        <f>IF(B56&lt;=Hypothèses!$V$7,Hypothèses!$X$7,IF(B56&lt;=Hypothèses!$V$8,Hypothèses!$X$8,IF(B56&lt;=Hypothèses!$V$9,Hypothèses!$X$9,IF(B56&lt;=Hypothèses!$V$10,Hypothèses!$X$10,IF(B56&lt;=Hypothèses!$V$11,Hypothèses!$X$11,IF(B56&lt;=Hypothèses!$V$12,Hypothèses!$X$12,IF(B56&lt;=Hypothèses!$V$13,Hypothèses!$X$13,IF(B56&lt;=Hypothèses!$V$14,Hypothèses!$X$14,IF(B56&lt;=Hypothèses!$V$15,Hypothèses!$X$15,IF(B56&lt;=Hypothèses!$V$16,Hypothèses!$X$16,IF(B56&lt;=Hypothèses!$U$17,Hypothèses!$W$17,IF(B56&lt;=Hypothèses!$U$18,Hypothèses!$W$18,""))))))))))))</f>
        <v/>
      </c>
      <c r="Y56" s="95" t="e">
        <f t="shared" ca="1" si="13"/>
        <v>#DIV/0!</v>
      </c>
      <c r="Z56" s="101">
        <f t="shared" si="14"/>
        <v>0</v>
      </c>
      <c r="AA56" s="91">
        <f t="shared" si="15"/>
        <v>0</v>
      </c>
      <c r="AB56" s="30" t="e">
        <f t="shared" si="100"/>
        <v>#N/A</v>
      </c>
      <c r="AC56" s="30" t="e">
        <f t="shared" si="101"/>
        <v>#N/A</v>
      </c>
      <c r="AD56" s="31" t="e">
        <f>IF(OR(Hypothèses!$B$4=17,Hypothèses!$B$4=18,Hypothèses!$B$4=19,Hypothèses!$B$4=20),
IF($D56="Pressio.",
IF(OR($E56=3,$E56=1,$E56=4),AC56,AB56),
IF($D56="Pénétro.",
IF(OR($E56=3,$E56=1,$E56=4),AC56,AB56))),IF($D56="Pressio.",
IF($E56=3,AC56,AB56),
IF($D56="Pénétro.",
IF($E56=4,AC56,AB56))))</f>
        <v>#N/A</v>
      </c>
      <c r="AE56" s="31">
        <v>0</v>
      </c>
      <c r="AF56" s="102" t="e">
        <f>IF(NDC!$H$10="Oui",(VLOOKUP($B$3,'Coeff EC7'!$T$39:$X$59,2,0)*AD56+VLOOKUP($B$3,'Coeff EC7'!$T$65:$X$85,2,0)*Model0.1T!AE56)/1.5,PI()*AB$12*$Q56*($B56-$B55)*0.15/10+AF55)</f>
        <v>#N/A</v>
      </c>
      <c r="AG56" s="102" t="e">
        <f>(VLOOKUP($B$3,'Coeff EC7'!$T$39:$X$59,3,0)*AD56+VLOOKUP($B$3,'Coeff EC7'!$T$65:$X$85,3,0)*Model0.1T!AE56)/1.1</f>
        <v>#N/A</v>
      </c>
      <c r="AH56" s="102" t="e">
        <f t="shared" si="68"/>
        <v>#N/A</v>
      </c>
      <c r="AI56" s="102" t="e">
        <f t="shared" si="69"/>
        <v>#N/A</v>
      </c>
      <c r="AJ56" s="414" t="e">
        <f>IF(AND(AF56&gt;NDC!$C$63,AG56&gt;NDC!$C$65,AH56&gt;NDC!$D$73,AI56&gt;NDC!$D$74,$B56&gt;NDC!$H$22-0.1+MIN(3*$AJ$12,1.5)),0,1)</f>
        <v>#N/A</v>
      </c>
      <c r="AK56" s="86" t="b">
        <f t="shared" si="18"/>
        <v>0</v>
      </c>
      <c r="AL56" s="86">
        <f t="shared" si="70"/>
        <v>0.5</v>
      </c>
      <c r="AM56" s="86">
        <f t="shared" si="19"/>
        <v>0.5</v>
      </c>
      <c r="AN56" s="30" t="e">
        <f t="shared" ca="1" si="71"/>
        <v>#DIV/0!</v>
      </c>
      <c r="AO56" s="85" t="e">
        <f ca="1">IF(U56&lt;=Hypothèses!$V$7,Hypothèses!$W$7,IF(U56&lt;=Hypothèses!$V$8,Hypothèses!$W$8,IF(U56&lt;=Hypothèses!$V$9,Hypothèses!$W$9,IF(U56&lt;=Hypothèses!$V$10,Hypothèses!$W$10,IF(U56&lt;=Hypothèses!$V$11,Hypothèses!$W$11,IF(U56&lt;=Hypothèses!$V$12,Hypothèses!$W$12,IF(U56&lt;=Hypothèses!$V$13,Hypothèses!$W$13,IF(U56&lt;=Hypothèses!$V$14,Hypothèses!$W$14,IF(U56&lt;=Hypothèses!$V$15,Hypothèses!$W$15,IF(U56&lt;=Hypothèses!$V$16,Hypothèses!$W$16,IF(U56&lt;=Hypothèses!$V$17,Hypothèses!$W$17,IF(U56&lt;=Hypothèses!$V$18,Hypothèses!$W$18,""))))))))))))</f>
        <v>#DIV/0!</v>
      </c>
      <c r="AP56" s="87" t="e">
        <f t="shared" ca="1" si="117"/>
        <v>#DIV/0!</v>
      </c>
      <c r="AQ56" s="88" t="e">
        <f ca="1">IF(U56&lt;=Hypothèses!$V$7,Hypothèses!$X$7,IF(U56&lt;=Hypothèses!$V$8,Hypothèses!$X$8,IF(U56&lt;=Hypothèses!$V$9,Hypothèses!$X$9,IF(U56&lt;=Hypothèses!$V$10,Hypothèses!$X$10,IF(U56&lt;=Hypothèses!$V$11,Hypothèses!$X$11,IF(U56&lt;=Hypothèses!$V$12,Hypothèses!$X$12,IF(U56&lt;=Hypothèses!$V$13,Hypothèses!$X$13,IF(U56&lt;=Hypothèses!$V$14,Hypothèses!$X$14,IF(U56&lt;=Hypothèses!$V$15,Hypothèses!$X$15,IF(U56&lt;=Hypothèses!$V$16,Hypothèses!$X$16,IF(U56&lt;=Hypothèses!$U$17,Hypothèses!$W$17,IF(U56&lt;=Hypothèses!$U$18,Hypothèses!$W$18,""))))))))))))</f>
        <v>#DIV/0!</v>
      </c>
      <c r="AR56" s="95" t="e">
        <f t="shared" ca="1" si="72"/>
        <v>#DIV/0!</v>
      </c>
      <c r="AS56" s="101">
        <f t="shared" si="124"/>
        <v>0</v>
      </c>
      <c r="AT56" s="91">
        <f t="shared" si="21"/>
        <v>0</v>
      </c>
      <c r="AU56" s="30" t="e">
        <f t="shared" si="102"/>
        <v>#N/A</v>
      </c>
      <c r="AV56" s="30" t="e">
        <f t="shared" si="103"/>
        <v>#N/A</v>
      </c>
      <c r="AW56" s="31" t="e">
        <f>IF(OR(Hypothèses!$B$4=17,Hypothèses!$B$4=18,Hypothèses!$B$4=19,Hypothèses!$B$4=20),
IF($D56="Pressio.",
IF(OR($E56=3,$E56=1,$E56=4),AV56,AU56),
IF($D56="Pénétro.",
IF(OR($E56=3,$E56=1,$E56=4),AV56,AU56))),IF($D56="Pressio.",
IF($E56=3,AV56,AU56),
IF($D56="Pénétro.",
IF($E56=4,AV56,AU56))))</f>
        <v>#N/A</v>
      </c>
      <c r="AX56" s="31">
        <v>0</v>
      </c>
      <c r="AY56" s="102" t="e">
        <f>IF(NDC!$H$10="Oui",(VLOOKUP($B$3,'Coeff EC7'!$T$39:$X$59,2,0)*AW56+VLOOKUP($B$3,'Coeff EC7'!$T$65:$X$85,2,0)*Model0.1T!AX56)/1.5,PI()*AU$12*$Q56*($B56-$B55)*0.15/10+AY55)</f>
        <v>#N/A</v>
      </c>
      <c r="AZ56" s="102" t="e">
        <f>(VLOOKUP($B$3,'Coeff EC7'!$T$39:$X$59,3,0)*AW56+VLOOKUP($B$3,'Coeff EC7'!$T$65:$X$85,3,0)*Model0.1T!AX56)/1.1</f>
        <v>#N/A</v>
      </c>
      <c r="BA56" s="102" t="e">
        <f t="shared" si="73"/>
        <v>#N/A</v>
      </c>
      <c r="BB56" s="102" t="e">
        <f t="shared" si="74"/>
        <v>#N/A</v>
      </c>
      <c r="BC56" s="414" t="e">
        <f>IF(AND(AY56&gt;NDC!$C$63,AZ56&gt;NDC!$C$65,BA56&gt;NDC!$D$73,BB56&gt;NDC!$D$74,$B56&gt;NDC!$H$22-0.1+MIN(3*BC$12,1.5)),0,1)</f>
        <v>#N/A</v>
      </c>
      <c r="BD56" s="86" t="b">
        <f t="shared" si="24"/>
        <v>0</v>
      </c>
      <c r="BE56" s="86">
        <f t="shared" si="75"/>
        <v>0.5</v>
      </c>
      <c r="BF56" s="86">
        <f t="shared" si="25"/>
        <v>0.5</v>
      </c>
      <c r="BG56" s="30" t="e">
        <f t="shared" ca="1" si="76"/>
        <v>#DIV/0!</v>
      </c>
      <c r="BH56" s="85" t="e">
        <f ca="1">IF(AN56&lt;=Hypothèses!$V$7,Hypothèses!$W$7,IF(AN56&lt;=Hypothèses!$V$8,Hypothèses!$W$8,IF(AN56&lt;=Hypothèses!$V$9,Hypothèses!$W$9,IF(AN56&lt;=Hypothèses!$V$10,Hypothèses!$W$10,IF(AN56&lt;=Hypothèses!$V$11,Hypothèses!$W$11,IF(AN56&lt;=Hypothèses!$V$12,Hypothèses!$W$12,IF(AN56&lt;=Hypothèses!$V$13,Hypothèses!$W$13,IF(AN56&lt;=Hypothèses!$V$14,Hypothèses!$W$14,IF(AN56&lt;=Hypothèses!$V$15,Hypothèses!$W$15,IF(AN56&lt;=Hypothèses!$V$16,Hypothèses!$W$16,IF(AN56&lt;=Hypothèses!$V$17,Hypothèses!$W$17,IF(AN56&lt;=Hypothèses!$V$18,Hypothèses!$W$18,""))))))))))))</f>
        <v>#DIV/0!</v>
      </c>
      <c r="BI56" s="87" t="e">
        <f t="shared" ca="1" si="118"/>
        <v>#DIV/0!</v>
      </c>
      <c r="BJ56" s="88" t="e">
        <f ca="1">IF(AN56&lt;=Hypothèses!$V$7,Hypothèses!$X$7,IF(AN56&lt;=Hypothèses!$V$8,Hypothèses!$X$8,IF(AN56&lt;=Hypothèses!$V$9,Hypothèses!$X$9,IF(AN56&lt;=Hypothèses!$V$10,Hypothèses!$X$10,IF(AN56&lt;=Hypothèses!$V$11,Hypothèses!$X$11,IF(AN56&lt;=Hypothèses!$V$12,Hypothèses!$X$12,IF(AN56&lt;=Hypothèses!$V$13,Hypothèses!$X$13,IF(AN56&lt;=Hypothèses!$V$14,Hypothèses!$X$14,IF(AN56&lt;=Hypothèses!$V$15,Hypothèses!$X$15,IF(AN56&lt;=Hypothèses!$V$16,Hypothèses!$X$16,IF(AN56&lt;=Hypothèses!$U$17,Hypothèses!$W$17,IF(AN56&lt;=Hypothèses!$U$18,Hypothèses!$W$18,""))))))))))))</f>
        <v>#DIV/0!</v>
      </c>
      <c r="BK56" s="95" t="e">
        <f t="shared" ca="1" si="77"/>
        <v>#DIV/0!</v>
      </c>
      <c r="BL56" s="101">
        <f t="shared" si="125"/>
        <v>0</v>
      </c>
      <c r="BM56" s="91">
        <f t="shared" si="27"/>
        <v>0</v>
      </c>
      <c r="BN56" s="30" t="e">
        <f t="shared" si="104"/>
        <v>#N/A</v>
      </c>
      <c r="BO56" s="30" t="e">
        <f t="shared" si="105"/>
        <v>#N/A</v>
      </c>
      <c r="BP56" s="31" t="e">
        <f>IF(OR(Hypothèses!$B$4=17,Hypothèses!$B$4=18,Hypothèses!$B$4=19,Hypothèses!$B$4=20),
IF($D56="Pressio.",
IF(OR($E56=3,$E56=1,$E56=4),BO56,BN56),
IF($D56="Pénétro.",
IF(OR($E56=3,$E56=1,$E56=4),BO56,BN56))),IF($D56="Pressio.",
IF($E56=3,BO56,BN56),
IF($D56="Pénétro.",
IF($E56=4,BO56,BN56))))</f>
        <v>#N/A</v>
      </c>
      <c r="BQ56" s="31">
        <v>0</v>
      </c>
      <c r="BR56" s="102" t="e">
        <f>IF(NDC!$H$10="Oui",(VLOOKUP($B$3,'Coeff EC7'!$T$39:$X$59,2,0)*BP56+VLOOKUP($B$3,'Coeff EC7'!$T$65:$X$85,2,0)*Model0.1T!BQ56)/1.5,PI()*BN$12*$Q56*($B56-$B55)*0.15/10+BR55)</f>
        <v>#N/A</v>
      </c>
      <c r="BS56" s="102" t="e">
        <f>(VLOOKUP($B$3,'Coeff EC7'!$T$39:$X$59,3,0)*BP56+VLOOKUP($B$3,'Coeff EC7'!$T$65:$X$85,3,0)*Model0.1T!BQ56)/1.1</f>
        <v>#N/A</v>
      </c>
      <c r="BT56" s="102" t="e">
        <f t="shared" si="78"/>
        <v>#N/A</v>
      </c>
      <c r="BU56" s="102" t="e">
        <f t="shared" si="79"/>
        <v>#N/A</v>
      </c>
      <c r="BV56" s="414" t="e">
        <f>IF(AND(BR56&gt;NDC!$C$63,BS56&gt;NDC!$C$65,BT56&gt;NDC!$D$73,BU56&gt;NDC!$D$74,$B56&gt;NDC!$H$22-0.1+MIN(3*BV$12,1.5)),0,1)</f>
        <v>#N/A</v>
      </c>
      <c r="BW56" s="86" t="b">
        <f t="shared" si="30"/>
        <v>0</v>
      </c>
      <c r="BX56" s="86">
        <f t="shared" si="31"/>
        <v>0.5</v>
      </c>
      <c r="BY56" s="86">
        <f t="shared" si="32"/>
        <v>0.5</v>
      </c>
      <c r="BZ56" s="30" t="e">
        <f t="shared" ca="1" si="80"/>
        <v>#DIV/0!</v>
      </c>
      <c r="CA56" s="85" t="e">
        <f ca="1">IF(BG56&lt;=Hypothèses!$V$7,Hypothèses!$W$7,IF(BG56&lt;=Hypothèses!$V$8,Hypothèses!$W$8,IF(BG56&lt;=Hypothèses!$V$9,Hypothèses!$W$9,IF(BG56&lt;=Hypothèses!$V$10,Hypothèses!$W$10,IF(BG56&lt;=Hypothèses!$V$11,Hypothèses!$W$11,IF(BG56&lt;=Hypothèses!$V$12,Hypothèses!$W$12,IF(BG56&lt;=Hypothèses!$V$13,Hypothèses!$W$13,IF(BG56&lt;=Hypothèses!$V$14,Hypothèses!$W$14,IF(BG56&lt;=Hypothèses!$V$15,Hypothèses!$W$15,IF(BG56&lt;=Hypothèses!$V$16,Hypothèses!$W$16,IF(BG56&lt;=Hypothèses!$V$17,Hypothèses!$W$17,IF(BG56&lt;=Hypothèses!$V$18,Hypothèses!$W$18,""))))))))))))</f>
        <v>#DIV/0!</v>
      </c>
      <c r="CB56" s="87" t="e">
        <f t="shared" ca="1" si="119"/>
        <v>#DIV/0!</v>
      </c>
      <c r="CC56" s="88" t="e">
        <f ca="1">IF(BG56&lt;=Hypothèses!$V$7,Hypothèses!$X$7,IF(BG56&lt;=Hypothèses!$V$8,Hypothèses!$X$8,IF(BG56&lt;=Hypothèses!$V$9,Hypothèses!$X$9,IF(BG56&lt;=Hypothèses!$V$10,Hypothèses!$X$10,IF(BG56&lt;=Hypothèses!$V$11,Hypothèses!$X$11,IF(BG56&lt;=Hypothèses!$V$12,Hypothèses!$X$12,IF(BG56&lt;=Hypothèses!$V$13,Hypothèses!$X$13,IF(BG56&lt;=Hypothèses!$V$14,Hypothèses!$X$14,IF(BG56&lt;=Hypothèses!$V$15,Hypothèses!$X$15,IF(BG56&lt;=Hypothèses!$V$16,Hypothèses!$X$16,IF(BG56&lt;=Hypothèses!$U$17,Hypothèses!$W$17,IF(BG56&lt;=Hypothèses!$U$18,Hypothèses!$W$18,""))))))))))))</f>
        <v>#DIV/0!</v>
      </c>
      <c r="CD56" s="95" t="e">
        <f t="shared" ca="1" si="81"/>
        <v>#DIV/0!</v>
      </c>
      <c r="CE56" s="101">
        <f t="shared" si="126"/>
        <v>0</v>
      </c>
      <c r="CF56" s="91">
        <f t="shared" si="34"/>
        <v>0</v>
      </c>
      <c r="CG56" s="30" t="e">
        <f t="shared" si="106"/>
        <v>#N/A</v>
      </c>
      <c r="CH56" s="30" t="e">
        <f t="shared" si="107"/>
        <v>#N/A</v>
      </c>
      <c r="CI56" s="31" t="e">
        <f>IF(OR(Hypothèses!$B$4=17,Hypothèses!$B$4=18,Hypothèses!$B$4=19,Hypothèses!$B$4=20),
IF($D56="Pressio.",
IF(OR($E56=3,$E56=1,$E56=4),CH56,CG56),
IF($D56="Pénétro.",
IF(OR($E56=3,$E56=1,$E56=4),CH56,CG56))),IF($D56="Pressio.",
IF($E56=3,CH56,CG56),
IF($D56="Pénétro.",
IF($E56=4,CH56,CG56))))</f>
        <v>#N/A</v>
      </c>
      <c r="CJ56" s="31">
        <v>0</v>
      </c>
      <c r="CK56" s="102" t="e">
        <f>IF(NDC!$H$10="Oui",(VLOOKUP($B$3,'Coeff EC7'!$T$39:$X$59,2,0)*CI56+VLOOKUP($B$3,'Coeff EC7'!$T$65:$X$85,2,0)*Model0.1T!CJ56)/1.5,PI()*CG$12*$Q56*($B56-$B55)*0.15/10+CK55)</f>
        <v>#N/A</v>
      </c>
      <c r="CL56" s="102" t="e">
        <f>(VLOOKUP($B$3,'Coeff EC7'!$T$39:$X$59,3,0)*CI56+VLOOKUP($B$3,'Coeff EC7'!$T$65:$X$85,3,0)*Model0.1T!CJ56)/1.1</f>
        <v>#N/A</v>
      </c>
      <c r="CM56" s="102" t="e">
        <f t="shared" si="82"/>
        <v>#N/A</v>
      </c>
      <c r="CN56" s="102" t="e">
        <f t="shared" si="83"/>
        <v>#N/A</v>
      </c>
      <c r="CO56" s="414" t="e">
        <f>IF(AND(CK56&gt;NDC!$C$63,CL56&gt;NDC!$C$65,CM56&gt;NDC!$D$73,CN56&gt;NDC!$D$74,$B56&gt;NDC!$H$22-0.1+MIN(3*CO$12,1.5)),0,1)</f>
        <v>#N/A</v>
      </c>
      <c r="CP56" s="86" t="b">
        <f t="shared" si="37"/>
        <v>0</v>
      </c>
      <c r="CQ56" s="86">
        <f t="shared" si="38"/>
        <v>0.5</v>
      </c>
      <c r="CR56" s="86">
        <f t="shared" si="39"/>
        <v>0.5</v>
      </c>
      <c r="CS56" s="30" t="e">
        <f t="shared" ca="1" si="84"/>
        <v>#DIV/0!</v>
      </c>
      <c r="CT56" s="85" t="e">
        <f ca="1">IF(BZ56&lt;=Hypothèses!$V$7,Hypothèses!$W$7,IF(BZ56&lt;=Hypothèses!$V$8,Hypothèses!$W$8,IF(BZ56&lt;=Hypothèses!$V$9,Hypothèses!$W$9,IF(BZ56&lt;=Hypothèses!$V$10,Hypothèses!$W$10,IF(BZ56&lt;=Hypothèses!$V$11,Hypothèses!$W$11,IF(BZ56&lt;=Hypothèses!$V$12,Hypothèses!$W$12,IF(BZ56&lt;=Hypothèses!$V$13,Hypothèses!$W$13,IF(BZ56&lt;=Hypothèses!$V$14,Hypothèses!$W$14,IF(BZ56&lt;=Hypothèses!$V$15,Hypothèses!$W$15,IF(BZ56&lt;=Hypothèses!$V$16,Hypothèses!$W$16,IF(BZ56&lt;=Hypothèses!$V$17,Hypothèses!$W$17,IF(BZ56&lt;=Hypothèses!$V$18,Hypothèses!$W$18,""))))))))))))</f>
        <v>#DIV/0!</v>
      </c>
      <c r="CU56" s="87" t="e">
        <f t="shared" ca="1" si="120"/>
        <v>#DIV/0!</v>
      </c>
      <c r="CV56" s="88" t="e">
        <f ca="1">IF(BZ56&lt;=Hypothèses!$V$7,Hypothèses!$X$7,IF(BZ56&lt;=Hypothèses!$V$8,Hypothèses!$X$8,IF(BZ56&lt;=Hypothèses!$V$9,Hypothèses!$X$9,IF(BZ56&lt;=Hypothèses!$V$10,Hypothèses!$X$10,IF(BZ56&lt;=Hypothèses!$V$11,Hypothèses!$X$11,IF(BZ56&lt;=Hypothèses!$V$12,Hypothèses!$X$12,IF(BZ56&lt;=Hypothèses!$V$13,Hypothèses!$X$13,IF(BZ56&lt;=Hypothèses!$V$14,Hypothèses!$X$14,IF(BZ56&lt;=Hypothèses!$V$15,Hypothèses!$X$15,IF(BZ56&lt;=Hypothèses!$V$16,Hypothèses!$X$16,IF(BZ56&lt;=Hypothèses!$U$17,Hypothèses!$W$17,IF(BZ56&lt;=Hypothèses!$U$18,Hypothèses!$W$18,""))))))))))))</f>
        <v>#DIV/0!</v>
      </c>
      <c r="CW56" s="95" t="e">
        <f t="shared" ca="1" si="85"/>
        <v>#DIV/0!</v>
      </c>
      <c r="CX56" s="101">
        <f t="shared" si="127"/>
        <v>0</v>
      </c>
      <c r="CY56" s="91">
        <f t="shared" si="41"/>
        <v>0</v>
      </c>
      <c r="CZ56" s="30" t="e">
        <f t="shared" si="108"/>
        <v>#N/A</v>
      </c>
      <c r="DA56" s="30" t="e">
        <f t="shared" si="109"/>
        <v>#N/A</v>
      </c>
      <c r="DB56" s="31" t="e">
        <f>IF(OR(Hypothèses!$B$4=17,Hypothèses!$B$4=18,Hypothèses!$B$4=19,Hypothèses!$B$4=20),
IF($D56="Pressio.",
IF(OR($E56=3,$E56=1,$E56=4),DA56,CZ56),
IF($D56="Pénétro.",
IF(OR($E56=3,$E56=1,$E56=4),DA56,CZ56))),IF($D56="Pressio.",
IF($E56=3,DA56,CZ56),
IF($D56="Pénétro.",
IF($E56=4,DA56,CZ56))))</f>
        <v>#N/A</v>
      </c>
      <c r="DC56" s="31">
        <v>0</v>
      </c>
      <c r="DD56" s="102" t="e">
        <f>IF(NDC!$H$10="Oui",(VLOOKUP($B$3,'Coeff EC7'!$T$39:$X$59,2,0)*DB56+VLOOKUP($B$3,'Coeff EC7'!$T$65:$X$85,2,0)*Model0.1T!DC56)/1.5,PI()*CZ$12*$Q56*($B56-$B55)*0.15/10+DD55)</f>
        <v>#N/A</v>
      </c>
      <c r="DE56" s="102" t="e">
        <f>(VLOOKUP($B$3,'Coeff EC7'!$T$39:$X$59,3,0)*DB56+VLOOKUP($B$3,'Coeff EC7'!$T$65:$X$85,3,0)*Model0.1T!DC56)/1.1</f>
        <v>#N/A</v>
      </c>
      <c r="DF56" s="102" t="e">
        <f t="shared" si="86"/>
        <v>#N/A</v>
      </c>
      <c r="DG56" s="102" t="e">
        <f t="shared" si="87"/>
        <v>#N/A</v>
      </c>
      <c r="DH56" s="414" t="e">
        <f>IF(AND(DD56&gt;NDC!$C$63,DE56&gt;NDC!$C$65,DF56&gt;NDC!$D$73,DG56&gt;NDC!$D$74,$B56&gt;NDC!$H$22-0.1+MIN(3*DH$12,1.5)),0,1)</f>
        <v>#N/A</v>
      </c>
      <c r="DI56" s="86" t="b">
        <f t="shared" si="44"/>
        <v>0</v>
      </c>
      <c r="DJ56" s="86">
        <f t="shared" si="45"/>
        <v>0.5</v>
      </c>
      <c r="DK56" s="86">
        <f t="shared" si="46"/>
        <v>0.5</v>
      </c>
      <c r="DL56" s="30" t="e">
        <f t="shared" ca="1" si="88"/>
        <v>#DIV/0!</v>
      </c>
      <c r="DM56" s="85" t="e">
        <f ca="1">IF(CS56&lt;=Hypothèses!$V$7,Hypothèses!$W$7,IF(CS56&lt;=Hypothèses!$V$8,Hypothèses!$W$8,IF(CS56&lt;=Hypothèses!$V$9,Hypothèses!$W$9,IF(CS56&lt;=Hypothèses!$V$10,Hypothèses!$W$10,IF(CS56&lt;=Hypothèses!$V$11,Hypothèses!$W$11,IF(CS56&lt;=Hypothèses!$V$12,Hypothèses!$W$12,IF(CS56&lt;=Hypothèses!$V$13,Hypothèses!$W$13,IF(CS56&lt;=Hypothèses!$V$14,Hypothèses!$W$14,IF(CS56&lt;=Hypothèses!$V$15,Hypothèses!$W$15,IF(CS56&lt;=Hypothèses!$V$16,Hypothèses!$W$16,IF(CS56&lt;=Hypothèses!$V$17,Hypothèses!$W$17,IF(CS56&lt;=Hypothèses!$V$18,Hypothèses!$W$18,""))))))))))))</f>
        <v>#DIV/0!</v>
      </c>
      <c r="DN56" s="87" t="e">
        <f t="shared" ca="1" si="121"/>
        <v>#DIV/0!</v>
      </c>
      <c r="DO56" s="88" t="e">
        <f ca="1">IF(CS56&lt;=Hypothèses!$V$7,Hypothèses!$X$7,IF(CS56&lt;=Hypothèses!$V$8,Hypothèses!$X$8,IF(CS56&lt;=Hypothèses!$V$9,Hypothèses!$X$9,IF(CS56&lt;=Hypothèses!$V$10,Hypothèses!$X$10,IF(CS56&lt;=Hypothèses!$V$11,Hypothèses!$X$11,IF(CS56&lt;=Hypothèses!$V$12,Hypothèses!$X$12,IF(CS56&lt;=Hypothèses!$V$13,Hypothèses!$X$13,IF(CS56&lt;=Hypothèses!$V$14,Hypothèses!$X$14,IF(CS56&lt;=Hypothèses!$V$15,Hypothèses!$X$15,IF(CS56&lt;=Hypothèses!$V$16,Hypothèses!$X$16,IF(CS56&lt;=Hypothèses!$U$17,Hypothèses!$W$17,IF(CS56&lt;=Hypothèses!$U$18,Hypothèses!$W$18,""))))))))))))</f>
        <v>#DIV/0!</v>
      </c>
      <c r="DP56" s="95" t="e">
        <f t="shared" ca="1" si="89"/>
        <v>#DIV/0!</v>
      </c>
      <c r="DQ56" s="101">
        <f t="shared" si="128"/>
        <v>0</v>
      </c>
      <c r="DR56" s="91">
        <f t="shared" si="48"/>
        <v>0</v>
      </c>
      <c r="DS56" s="30" t="e">
        <f t="shared" si="110"/>
        <v>#N/A</v>
      </c>
      <c r="DT56" s="30" t="e">
        <f t="shared" si="111"/>
        <v>#N/A</v>
      </c>
      <c r="DU56" s="31" t="e">
        <f>IF(OR(Hypothèses!$B$4=17,Hypothèses!$B$4=18,Hypothèses!$B$4=19,Hypothèses!$B$4=20),
IF($D56="Pressio.",
IF(OR($E56=3,$E56=1,$E56=4),DT56,DS56),
IF($D56="Pénétro.",
IF(OR($E56=3,$E56=1,$E56=4),DT56,DS56))),IF($D56="Pressio.",
IF($E56=3,DT56,DS56),
IF($D56="Pénétro.",
IF($E56=4,DT56,DS56))))</f>
        <v>#N/A</v>
      </c>
      <c r="DV56" s="31">
        <v>0</v>
      </c>
      <c r="DW56" s="102" t="e">
        <f>IF(NDC!$H$10="Oui",(VLOOKUP($B$3,'Coeff EC7'!$T$39:$X$59,2,0)*DU56+VLOOKUP($B$3,'Coeff EC7'!$T$65:$X$85,2,0)*Model0.1T!DV56)/1.5,PI()*DS$12*$Q56*($B56-$B55)*0.15/10+DW55)</f>
        <v>#N/A</v>
      </c>
      <c r="DX56" s="102" t="e">
        <f>(VLOOKUP($B$3,'Coeff EC7'!$T$39:$X$59,3,0)*DU56+VLOOKUP($B$3,'Coeff EC7'!$T$65:$X$85,3,0)*Model0.1T!DV56)/1.1</f>
        <v>#N/A</v>
      </c>
      <c r="DY56" s="102" t="e">
        <f t="shared" si="90"/>
        <v>#N/A</v>
      </c>
      <c r="DZ56" s="102" t="e">
        <f t="shared" si="91"/>
        <v>#N/A</v>
      </c>
      <c r="EA56" s="414" t="e">
        <f>IF(AND(DW56&gt;NDC!$C$63,DX56&gt;NDC!$C$65,DY56&gt;NDC!$D$73,DZ56&gt;NDC!$D$74,$B56&gt;NDC!$H$22-0.1+MIN(3*EA$12,1.5)),0,1)</f>
        <v>#N/A</v>
      </c>
      <c r="EB56" s="86" t="b">
        <f t="shared" si="51"/>
        <v>0</v>
      </c>
      <c r="EC56" s="418">
        <f t="shared" si="52"/>
        <v>0.51</v>
      </c>
      <c r="ED56" s="86">
        <f t="shared" si="53"/>
        <v>0.51</v>
      </c>
      <c r="EE56" s="30" t="e">
        <f t="shared" ca="1" si="92"/>
        <v>#DIV/0!</v>
      </c>
      <c r="EF56" s="85" t="e">
        <f ca="1">IF(DL56&lt;=Hypothèses!$V$7,Hypothèses!$W$7,IF(DL56&lt;=Hypothèses!$V$8,Hypothèses!$W$8,IF(DL56&lt;=Hypothèses!$V$9,Hypothèses!$W$9,IF(DL56&lt;=Hypothèses!$V$10,Hypothèses!$W$10,IF(DL56&lt;=Hypothèses!$V$11,Hypothèses!$W$11,IF(DL56&lt;=Hypothèses!$V$12,Hypothèses!$W$12,IF(DL56&lt;=Hypothèses!$V$13,Hypothèses!$W$13,IF(DL56&lt;=Hypothèses!$V$14,Hypothèses!$W$14,IF(DL56&lt;=Hypothèses!$V$15,Hypothèses!$W$15,IF(DL56&lt;=Hypothèses!$V$16,Hypothèses!$W$16,IF(DL56&lt;=Hypothèses!$V$17,Hypothèses!$W$17,IF(DL56&lt;=Hypothèses!$V$18,Hypothèses!$W$18,""))))))))))))</f>
        <v>#DIV/0!</v>
      </c>
      <c r="EG56" s="87" t="e">
        <f t="shared" ca="1" si="122"/>
        <v>#DIV/0!</v>
      </c>
      <c r="EH56" s="88" t="e">
        <f ca="1">IF(DL56&lt;=Hypothèses!$V$7,Hypothèses!$X$7,IF(DL56&lt;=Hypothèses!$V$8,Hypothèses!$X$8,IF(DL56&lt;=Hypothèses!$V$9,Hypothèses!$X$9,IF(DL56&lt;=Hypothèses!$V$10,Hypothèses!$X$10,IF(DL56&lt;=Hypothèses!$V$11,Hypothèses!$X$11,IF(DL56&lt;=Hypothèses!$V$12,Hypothèses!$X$12,IF(DL56&lt;=Hypothèses!$V$13,Hypothèses!$X$13,IF(DL56&lt;=Hypothèses!$V$14,Hypothèses!$X$14,IF(DL56&lt;=Hypothèses!$V$15,Hypothèses!$X$15,IF(DL56&lt;=Hypothèses!$V$16,Hypothèses!$X$16,IF(DL56&lt;=Hypothèses!$U$17,Hypothèses!$W$17,IF(DL56&lt;=Hypothèses!$U$18,Hypothèses!$W$18,""))))))))))))</f>
        <v>#DIV/0!</v>
      </c>
      <c r="EI56" s="95" t="e">
        <f t="shared" ca="1" si="93"/>
        <v>#DIV/0!</v>
      </c>
      <c r="EJ56" s="101">
        <f t="shared" si="129"/>
        <v>0</v>
      </c>
      <c r="EK56" s="91">
        <f t="shared" si="55"/>
        <v>0</v>
      </c>
      <c r="EL56" s="30" t="e">
        <f t="shared" si="112"/>
        <v>#N/A</v>
      </c>
      <c r="EM56" s="30" t="e">
        <f t="shared" si="113"/>
        <v>#N/A</v>
      </c>
      <c r="EN56" s="31" t="e">
        <f>IF(OR(Hypothèses!$B$4=17,Hypothèses!$B$4=18,Hypothèses!$B$4=19,Hypothèses!$B$4=20),
IF($D56="Pressio.",
IF(OR($E56=3,$E56=1,$E56=4),EM56,EL56),
IF($D56="Pénétro.",
IF(OR($E56=3,$E56=1,$E56=4),EM56,EL56))),IF($D56="Pressio.",
IF($E56=3,EM56,EL56),
IF($D56="Pénétro.",
IF($E56=4,EM56,EL56))))</f>
        <v>#N/A</v>
      </c>
      <c r="EO56" s="31">
        <v>0</v>
      </c>
      <c r="EP56" s="102" t="e">
        <f>IF(NDC!$H$10="Oui",(VLOOKUP($B$3,'Coeff EC7'!$T$39:$X$59,2,0)*EN56+VLOOKUP($B$3,'Coeff EC7'!$T$65:$X$85,2,0)*Model0.1T!EO56)/1.5,PI()*EL$12*$Q56*($B56-$B55)*0.15/10+EP55)</f>
        <v>#N/A</v>
      </c>
      <c r="EQ56" s="102" t="e">
        <f>(VLOOKUP($B$3,'Coeff EC7'!$T$39:$X$59,3,0)*EN56+VLOOKUP($B$3,'Coeff EC7'!$T$65:$X$85,3,0)*Model0.1T!EO56)/1.1</f>
        <v>#N/A</v>
      </c>
      <c r="ER56" s="102" t="e">
        <f t="shared" si="94"/>
        <v>#N/A</v>
      </c>
      <c r="ES56" s="102" t="e">
        <f t="shared" si="95"/>
        <v>#N/A</v>
      </c>
      <c r="ET56" s="414" t="e">
        <f>IF(AND(EP56&gt;NDC!$C$63,EQ56&gt;NDC!$C$65,ER56&gt;NDC!$D$73,ES56&gt;NDC!$D$74,$B56&gt;NDC!$H$22-0.1+MIN(3*ET$12,1.5)),0,1)</f>
        <v>#N/A</v>
      </c>
      <c r="EU56" s="86" t="b">
        <f t="shared" si="58"/>
        <v>0</v>
      </c>
      <c r="EV56" s="86">
        <f t="shared" si="59"/>
        <v>0.61</v>
      </c>
      <c r="EW56" s="86">
        <f t="shared" si="60"/>
        <v>0.61</v>
      </c>
      <c r="EX56" s="30" t="e">
        <f t="shared" ca="1" si="96"/>
        <v>#DIV/0!</v>
      </c>
      <c r="EY56" s="85" t="e">
        <f ca="1">IF(EE56&lt;=Hypothèses!$V$7,Hypothèses!$W$7,IF(EE56&lt;=Hypothèses!$V$8,Hypothèses!$W$8,IF(EE56&lt;=Hypothèses!$V$9,Hypothèses!$W$9,IF(EE56&lt;=Hypothèses!$V$10,Hypothèses!$W$10,IF(EE56&lt;=Hypothèses!$V$11,Hypothèses!$W$11,IF(EE56&lt;=Hypothèses!$V$12,Hypothèses!$W$12,IF(EE56&lt;=Hypothèses!$V$13,Hypothèses!$W$13,IF(EE56&lt;=Hypothèses!$V$14,Hypothèses!$W$14,IF(EE56&lt;=Hypothèses!$V$15,Hypothèses!$W$15,IF(EE56&lt;=Hypothèses!$V$16,Hypothèses!$W$16,IF(EE56&lt;=Hypothèses!$V$17,Hypothèses!$W$17,IF(EE56&lt;=Hypothèses!$V$18,Hypothèses!$W$18,""))))))))))))</f>
        <v>#DIV/0!</v>
      </c>
      <c r="EZ56" s="87" t="e">
        <f t="shared" ca="1" si="123"/>
        <v>#DIV/0!</v>
      </c>
      <c r="FA56" s="88" t="e">
        <f ca="1">IF(EE56&lt;=Hypothèses!$V$7,Hypothèses!$X$7,IF(EE56&lt;=Hypothèses!$V$8,Hypothèses!$X$8,IF(EE56&lt;=Hypothèses!$V$9,Hypothèses!$X$9,IF(EE56&lt;=Hypothèses!$V$10,Hypothèses!$X$10,IF(EE56&lt;=Hypothèses!$V$11,Hypothèses!$X$11,IF(EE56&lt;=Hypothèses!$V$12,Hypothèses!$X$12,IF(EE56&lt;=Hypothèses!$V$13,Hypothèses!$X$13,IF(EE56&lt;=Hypothèses!$V$14,Hypothèses!$X$14,IF(EE56&lt;=Hypothèses!$V$15,Hypothèses!$X$15,IF(EE56&lt;=Hypothèses!$V$16,Hypothèses!$X$16,IF(EE56&lt;=Hypothèses!$U$17,Hypothèses!$W$17,IF(EE56&lt;=Hypothèses!$U$18,Hypothèses!$W$18,""))))))))))))</f>
        <v>#DIV/0!</v>
      </c>
      <c r="FB56" s="95" t="e">
        <f t="shared" ca="1" si="97"/>
        <v>#DIV/0!</v>
      </c>
      <c r="FC56" s="101">
        <f t="shared" si="130"/>
        <v>0</v>
      </c>
      <c r="FD56" s="91">
        <f t="shared" si="62"/>
        <v>0</v>
      </c>
      <c r="FE56" s="30" t="e">
        <f t="shared" si="114"/>
        <v>#N/A</v>
      </c>
      <c r="FF56" s="30" t="e">
        <f t="shared" si="115"/>
        <v>#N/A</v>
      </c>
      <c r="FG56" s="31" t="e">
        <f>IF(OR(Hypothèses!$B$4=17,Hypothèses!$B$4=18,Hypothèses!$B$4=19,Hypothèses!$B$4=20),
IF($D56="Pressio.",
IF(OR($E56=3,$E56=1,$E56=4),FF56,FE56),
IF($D56="Pénétro.",
IF(OR($E56=3,$E56=1,$E56=4),FF56,FE56))),IF($D56="Pressio.",
IF($E56=3,FF56,FE56),
IF($D56="Pénétro.",
IF($E56=4,FF56,FE56))))</f>
        <v>#N/A</v>
      </c>
      <c r="FH56" s="31">
        <v>0</v>
      </c>
      <c r="FI56" s="102" t="e">
        <f>IF(NDC!$H$10="Oui",(VLOOKUP($B$3,'Coeff EC7'!$T$39:$X$59,2,0)*FG56+VLOOKUP($B$3,'Coeff EC7'!$T$65:$X$85,2,0)*Model0.1T!FH56)/1.5,PI()*FE$12*$Q56*($B56-$B55)*0.15/10+FI55)</f>
        <v>#N/A</v>
      </c>
      <c r="FJ56" s="102" t="e">
        <f>(VLOOKUP($B$3,'Coeff EC7'!$T$39:$X$59,3,0)*FG56+VLOOKUP($B$3,'Coeff EC7'!$T$65:$X$85,3,0)*Model0.1T!FH56)/1.1</f>
        <v>#N/A</v>
      </c>
      <c r="FK56" s="102" t="e">
        <f t="shared" si="98"/>
        <v>#N/A</v>
      </c>
      <c r="FL56" s="102" t="e">
        <f t="shared" si="99"/>
        <v>#N/A</v>
      </c>
      <c r="FM56" s="414" t="e">
        <f>IF(AND(FI56&gt;NDC!$C$63,FJ56&gt;NDC!$C$65,FK56&gt;NDC!$D$73,FL56&gt;NDC!$D$74,$B56&gt;NDC!$H$22-0.1+MIN(3*FM$12,1.5)),0,1)</f>
        <v>#N/A</v>
      </c>
    </row>
    <row r="57" spans="1:169">
      <c r="A57" s="96">
        <f t="shared" si="65"/>
        <v>95.60000000000025</v>
      </c>
      <c r="B57" s="97">
        <v>4.4000000000000004</v>
      </c>
      <c r="C57" s="81">
        <f>IF(B57&lt;=Hypothèses!$C$7,Hypothèses!$A$7,IF(B57&lt;=Hypothèses!$C$8,Hypothèses!$A$8,IF(B57&lt;=Hypothèses!$C$9,Hypothèses!$A$9,IF(B57&lt;=Hypothèses!$C$10,Hypothèses!$A$10,IF(B57&lt;=Hypothèses!$C$11,Hypothèses!$A$11,IF(B57&lt;=Hypothèses!$C$12,Hypothèses!$A$12,IF(B57&lt;=Hypothèses!$C$13,Hypothèses!$A$13,IF(B57&lt;=Hypothèses!$C$14,Hypothèses!$A$14,IF(B57&lt;=Hypothèses!$C$15,Hypothèses!$A$15,IF(B57&lt;=Hypothèses!$C$16,Hypothèses!$A$16,IF(B57&lt;=Hypothèses!$C$17,Hypothèses!$A$17,IF(B57&lt;=Hypothèses!$C$18,Hypothèses!$A$18,C56))))))))))))</f>
        <v>11</v>
      </c>
      <c r="D57" s="82" t="str">
        <f>IF(B57&lt;=Hypothèses!$C$7,Hypothèses!$R$7,IF(B57&lt;=Hypothèses!$C$8,Hypothèses!$R$8,IF(B57&lt;=Hypothèses!$C$9,Hypothèses!$R$9,IF(B57&lt;=Hypothèses!$C$10,Hypothèses!$R$10,IF(B57&lt;=Hypothèses!$C$11,Hypothèses!$R$11,IF(B57&lt;=Hypothèses!$C$12,Hypothèses!$R$12,IF(B57&lt;=Hypothèses!$C$13,Hypothèses!$R$13,IF(B57&lt;=Hypothèses!$C$14,Hypothèses!$R$14,IF(B57&lt;=Hypothèses!$C$15,Hypothèses!$R$15,IF(B57&lt;=Hypothèses!$C$16,Hypothèses!$R$16,IF(B57&lt;=Hypothèses!$C$17,Hypothèses!$R$17,IF(B57&lt;=Hypothèses!$C$18,Hypothèses!$R$18,D56))))))))))))</f>
        <v>Pressio.</v>
      </c>
      <c r="E57" s="82" t="e">
        <f>IF(B57&lt;=Hypothèses!$C$7,Hypothèses!$G$7,IF(B57&lt;=Hypothèses!$C$8,Hypothèses!$G$8,IF(B57&lt;=Hypothèses!$C$9,Hypothèses!$G$9,IF(B57&lt;=Hypothèses!$C$10,Hypothèses!$G$10,IF(B57&lt;=Hypothèses!$C$11,Hypothèses!$G$11,IF(B57&lt;=Hypothèses!$C$12,Hypothèses!$G$12,IF(B57&lt;=Hypothèses!$C$13,Hypothèses!$G$13,IF(B57&lt;=Hypothèses!$C$14,Hypothèses!$G$14,IF(B57&lt;=Hypothèses!$C$15,Hypothèses!$G$15,IF(B57&lt;=Hypothèses!$C$16,Hypothèses!$G$16,IF(B57&lt;=Hypothèses!$C$17,Hypothèses!$G$17,IF(B57&lt;=Hypothèses!$C$18,Hypothèses!$G$18,E56))))))))))))</f>
        <v>#N/A</v>
      </c>
      <c r="F57" s="82" t="str">
        <f>IF(B57&lt;=Hypothèses!$C$7,Hypothèses!$F$7,IF(B57&lt;=Hypothèses!$C$8,Hypothèses!$F$8,IF(B57&lt;=Hypothèses!$C$9,Hypothèses!$F$9,IF(B57&lt;=Hypothèses!$C$10,Hypothèses!$F$10,IF(B57&lt;=Hypothèses!$C$11,Hypothèses!$F$11,IF(B57&lt;=Hypothèses!$C$12,Hypothèses!$F$12,IF(B57&lt;=Hypothèses!$C$13,Hypothèses!$F$13,IF(B57&lt;=Hypothèses!$C$14,Hypothèses!$F$14,IF(B57&lt;=Hypothèses!$C$15,Hypothèses!$F$15,IF(B57&lt;=Hypothèses!$C$16,Hypothèses!$F$16,IF(B57&lt;=Hypothèses!$C$17,Hypothèses!$F$17,IF(B57&lt;=Hypothèses!$C$18,Hypothèses!$F$18,F56))))))))))))</f>
        <v/>
      </c>
      <c r="G57" s="91">
        <f t="array" ref="G57">INDEX('Coeff EC7'!$U$7:$X$27,
MATCH(Model0.1T!$B$3,'Coeff EC7'!$T$7:$T$27,0),
MATCH(Model0.1T!$D57&amp;Model0.1T!$B$4,
'Coeff EC7'!$U$6:$X$6&amp;
'Coeff EC7'!$U$5:$X$5,0))</f>
        <v>1.4</v>
      </c>
      <c r="H57" s="91">
        <f t="array" ref="H57">INDEX('Coeff EC7'!$Y$7:$AB$27,
MATCH(Model0.1T!$B$3,'Coeff EC7'!$T$7:$T$27,0),
MATCH(Model0.1T!$D57&amp;Model0.1T!$B$4,
'Coeff EC7'!$Y$6:$AB$6&amp;
'Coeff EC7'!$Y$5:$AB$5,0))</f>
        <v>1.7</v>
      </c>
      <c r="I57" s="83">
        <v>0</v>
      </c>
      <c r="J57" s="91" t="e">
        <f t="array" ref="J57">INDEX('Coeff EC7'!$D$33:$Q$33,1,MATCH(D57&amp;E57,'Coeff EC7'!$D$31:$Q$31&amp;'Coeff EC7'!$D$32:$Q$32,0))</f>
        <v>#N/A</v>
      </c>
      <c r="K57" s="91" t="e">
        <f t="array" ref="K57">INDEX('Coeff EC7'!$D$34:$Q$34,1,MATCH(D57&amp;E57,'Coeff EC7'!$D$31:$Q$31&amp;'Coeff EC7'!$D$32:$Q$32,0))</f>
        <v>#N/A</v>
      </c>
      <c r="L57" s="91" t="e">
        <f t="array" ref="L57">INDEX('Coeff EC7'!$D$35:$Q$35,1,MATCH(D57&amp;E57,'Coeff EC7'!$D$31:$Q$31&amp;'Coeff EC7'!$D$32:$Q$32,0))</f>
        <v>#N/A</v>
      </c>
      <c r="M57" s="98" t="e">
        <f t="shared" si="8"/>
        <v>#N/A</v>
      </c>
      <c r="N57" s="99" t="e">
        <f t="array" ref="N57">INDEX('Coeff EC7'!$D$7:$Q$27,MATCH($B$3,'Coeff EC7'!$C$7:$C$27,0),MATCH(D57&amp;E57,'Coeff EC7'!$D$5:$Q$5&amp;'Coeff EC7'!$D$6:$Q$6,0))</f>
        <v>#N/A</v>
      </c>
      <c r="O57" s="99" t="e">
        <f t="array" ref="O57">INDEX('Coeff EC7'!$D$41:$Q$61,MATCH($B$3,'Coeff EC7'!$C$41:$C$61,0),MATCH(D57&amp;E57,'Coeff EC7'!$D$39:$Q$39&amp;'Coeff EC7'!$D$40:$Q$40,0))</f>
        <v>#N/A</v>
      </c>
      <c r="P57" s="30" t="e">
        <f t="shared" si="66"/>
        <v>#N/A</v>
      </c>
      <c r="Q57" s="100" t="e">
        <f t="shared" si="10"/>
        <v>#N/A</v>
      </c>
      <c r="R57" s="86" t="b">
        <f t="shared" si="11"/>
        <v>0</v>
      </c>
      <c r="S57" s="86">
        <f t="shared" si="9"/>
        <v>0.5</v>
      </c>
      <c r="T57" s="86">
        <f t="shared" si="12"/>
        <v>0.5</v>
      </c>
      <c r="U57" s="30" t="e">
        <f t="shared" ca="1" si="67"/>
        <v>#DIV/0!</v>
      </c>
      <c r="V57" s="85" t="str">
        <f>IF(B57&lt;=Hypothèses!$V$7,Hypothèses!$W$7,IF(B57&lt;=Hypothèses!$V$8,Hypothèses!$W$8,IF(B57&lt;=Hypothèses!$V$9,Hypothèses!$W$9,IF(B57&lt;=Hypothèses!$V$10,Hypothèses!$W$10,IF(B57&lt;=Hypothèses!$V$11,Hypothèses!$W$11,IF(B57&lt;=Hypothèses!$V$12,Hypothèses!$W$12,IF(B57&lt;=Hypothèses!$V$13,Hypothèses!$W$13,IF(B57&lt;=Hypothèses!$V$14,Hypothèses!$W$14,IF(B57&lt;=Hypothèses!$V$15,Hypothèses!$W$15,IF(B57&lt;=Hypothèses!$V$16,Hypothèses!$W$16,IF(B57&lt;=Hypothèses!$V$17,Hypothèses!$W$17,IF(B57&lt;=Hypothèses!$V$18,Hypothèses!$W$18,""))))))))))))</f>
        <v/>
      </c>
      <c r="W57" s="87" t="e">
        <f t="shared" ca="1" si="116"/>
        <v>#DIV/0!</v>
      </c>
      <c r="X57" s="88" t="str">
        <f>IF(B57&lt;=Hypothèses!$V$7,Hypothèses!$X$7,IF(B57&lt;=Hypothèses!$V$8,Hypothèses!$X$8,IF(B57&lt;=Hypothèses!$V$9,Hypothèses!$X$9,IF(B57&lt;=Hypothèses!$V$10,Hypothèses!$X$10,IF(B57&lt;=Hypothèses!$V$11,Hypothèses!$X$11,IF(B57&lt;=Hypothèses!$V$12,Hypothèses!$X$12,IF(B57&lt;=Hypothèses!$V$13,Hypothèses!$X$13,IF(B57&lt;=Hypothèses!$V$14,Hypothèses!$X$14,IF(B57&lt;=Hypothèses!$V$15,Hypothèses!$X$15,IF(B57&lt;=Hypothèses!$V$16,Hypothèses!$X$16,IF(B57&lt;=Hypothèses!$U$17,Hypothèses!$W$17,IF(B57&lt;=Hypothèses!$U$18,Hypothèses!$W$18,""))))))))))))</f>
        <v/>
      </c>
      <c r="Y57" s="95" t="e">
        <f t="shared" ca="1" si="13"/>
        <v>#DIV/0!</v>
      </c>
      <c r="Z57" s="101">
        <f t="shared" si="14"/>
        <v>0</v>
      </c>
      <c r="AA57" s="91">
        <f t="shared" si="15"/>
        <v>0</v>
      </c>
      <c r="AB57" s="30" t="e">
        <f t="shared" si="100"/>
        <v>#N/A</v>
      </c>
      <c r="AC57" s="30" t="e">
        <f t="shared" si="101"/>
        <v>#N/A</v>
      </c>
      <c r="AD57" s="31" t="e">
        <f>IF(OR(Hypothèses!$B$4=17,Hypothèses!$B$4=18,Hypothèses!$B$4=19,Hypothèses!$B$4=20),
IF($D57="Pressio.",
IF(OR($E57=3,$E57=1,$E57=4),AC57,AB57),
IF($D57="Pénétro.",
IF(OR($E57=3,$E57=1,$E57=4),AC57,AB57))),IF($D57="Pressio.",
IF($E57=3,AC57,AB57),
IF($D57="Pénétro.",
IF($E57=4,AC57,AB57))))</f>
        <v>#N/A</v>
      </c>
      <c r="AE57" s="31">
        <v>0</v>
      </c>
      <c r="AF57" s="102" t="e">
        <f>IF(NDC!$H$10="Oui",(VLOOKUP($B$3,'Coeff EC7'!$T$39:$X$59,2,0)*AD57+VLOOKUP($B$3,'Coeff EC7'!$T$65:$X$85,2,0)*Model0.1T!AE57)/1.5,PI()*AB$12*$Q57*($B57-$B56)*0.15/10+AF56)</f>
        <v>#N/A</v>
      </c>
      <c r="AG57" s="102" t="e">
        <f>(VLOOKUP($B$3,'Coeff EC7'!$T$39:$X$59,3,0)*AD57+VLOOKUP($B$3,'Coeff EC7'!$T$65:$X$85,3,0)*Model0.1T!AE57)/1.1</f>
        <v>#N/A</v>
      </c>
      <c r="AH57" s="102" t="e">
        <f t="shared" si="68"/>
        <v>#N/A</v>
      </c>
      <c r="AI57" s="102" t="e">
        <f t="shared" si="69"/>
        <v>#N/A</v>
      </c>
      <c r="AJ57" s="414" t="e">
        <f>IF(AND(AF57&gt;NDC!$C$63,AG57&gt;NDC!$C$65,AH57&gt;NDC!$D$73,AI57&gt;NDC!$D$74,$B57&gt;NDC!$H$22-0.1+MIN(3*$AJ$12,1.5)),0,1)</f>
        <v>#N/A</v>
      </c>
      <c r="AK57" s="86" t="b">
        <f t="shared" si="18"/>
        <v>0</v>
      </c>
      <c r="AL57" s="86">
        <f t="shared" si="70"/>
        <v>0.5</v>
      </c>
      <c r="AM57" s="86">
        <f t="shared" si="19"/>
        <v>0.5</v>
      </c>
      <c r="AN57" s="30" t="e">
        <f t="shared" ca="1" si="71"/>
        <v>#DIV/0!</v>
      </c>
      <c r="AO57" s="85" t="e">
        <f ca="1">IF(U57&lt;=Hypothèses!$V$7,Hypothèses!$W$7,IF(U57&lt;=Hypothèses!$V$8,Hypothèses!$W$8,IF(U57&lt;=Hypothèses!$V$9,Hypothèses!$W$9,IF(U57&lt;=Hypothèses!$V$10,Hypothèses!$W$10,IF(U57&lt;=Hypothèses!$V$11,Hypothèses!$W$11,IF(U57&lt;=Hypothèses!$V$12,Hypothèses!$W$12,IF(U57&lt;=Hypothèses!$V$13,Hypothèses!$W$13,IF(U57&lt;=Hypothèses!$V$14,Hypothèses!$W$14,IF(U57&lt;=Hypothèses!$V$15,Hypothèses!$W$15,IF(U57&lt;=Hypothèses!$V$16,Hypothèses!$W$16,IF(U57&lt;=Hypothèses!$V$17,Hypothèses!$W$17,IF(U57&lt;=Hypothèses!$V$18,Hypothèses!$W$18,""))))))))))))</f>
        <v>#DIV/0!</v>
      </c>
      <c r="AP57" s="87" t="e">
        <f t="shared" ca="1" si="117"/>
        <v>#DIV/0!</v>
      </c>
      <c r="AQ57" s="88" t="e">
        <f ca="1">IF(U57&lt;=Hypothèses!$V$7,Hypothèses!$X$7,IF(U57&lt;=Hypothèses!$V$8,Hypothèses!$X$8,IF(U57&lt;=Hypothèses!$V$9,Hypothèses!$X$9,IF(U57&lt;=Hypothèses!$V$10,Hypothèses!$X$10,IF(U57&lt;=Hypothèses!$V$11,Hypothèses!$X$11,IF(U57&lt;=Hypothèses!$V$12,Hypothèses!$X$12,IF(U57&lt;=Hypothèses!$V$13,Hypothèses!$X$13,IF(U57&lt;=Hypothèses!$V$14,Hypothèses!$X$14,IF(U57&lt;=Hypothèses!$V$15,Hypothèses!$X$15,IF(U57&lt;=Hypothèses!$V$16,Hypothèses!$X$16,IF(U57&lt;=Hypothèses!$U$17,Hypothèses!$W$17,IF(U57&lt;=Hypothèses!$U$18,Hypothèses!$W$18,""))))))))))))</f>
        <v>#DIV/0!</v>
      </c>
      <c r="AR57" s="95" t="e">
        <f t="shared" ca="1" si="72"/>
        <v>#DIV/0!</v>
      </c>
      <c r="AS57" s="101">
        <f t="shared" si="124"/>
        <v>0</v>
      </c>
      <c r="AT57" s="91">
        <f t="shared" si="21"/>
        <v>0</v>
      </c>
      <c r="AU57" s="30" t="e">
        <f t="shared" si="102"/>
        <v>#N/A</v>
      </c>
      <c r="AV57" s="30" t="e">
        <f t="shared" si="103"/>
        <v>#N/A</v>
      </c>
      <c r="AW57" s="31" t="e">
        <f>IF(OR(Hypothèses!$B$4=17,Hypothèses!$B$4=18,Hypothèses!$B$4=19,Hypothèses!$B$4=20),
IF($D57="Pressio.",
IF(OR($E57=3,$E57=1,$E57=4),AV57,AU57),
IF($D57="Pénétro.",
IF(OR($E57=3,$E57=1,$E57=4),AV57,AU57))),IF($D57="Pressio.",
IF($E57=3,AV57,AU57),
IF($D57="Pénétro.",
IF($E57=4,AV57,AU57))))</f>
        <v>#N/A</v>
      </c>
      <c r="AX57" s="31">
        <v>0</v>
      </c>
      <c r="AY57" s="102" t="e">
        <f>IF(NDC!$H$10="Oui",(VLOOKUP($B$3,'Coeff EC7'!$T$39:$X$59,2,0)*AW57+VLOOKUP($B$3,'Coeff EC7'!$T$65:$X$85,2,0)*Model0.1T!AX57)/1.5,PI()*AU$12*$Q57*($B57-$B56)*0.15/10+AY56)</f>
        <v>#N/A</v>
      </c>
      <c r="AZ57" s="102" t="e">
        <f>(VLOOKUP($B$3,'Coeff EC7'!$T$39:$X$59,3,0)*AW57+VLOOKUP($B$3,'Coeff EC7'!$T$65:$X$85,3,0)*Model0.1T!AX57)/1.1</f>
        <v>#N/A</v>
      </c>
      <c r="BA57" s="102" t="e">
        <f t="shared" si="73"/>
        <v>#N/A</v>
      </c>
      <c r="BB57" s="102" t="e">
        <f t="shared" si="74"/>
        <v>#N/A</v>
      </c>
      <c r="BC57" s="414" t="e">
        <f>IF(AND(AY57&gt;NDC!$C$63,AZ57&gt;NDC!$C$65,BA57&gt;NDC!$D$73,BB57&gt;NDC!$D$74,$B57&gt;NDC!$H$22-0.1+MIN(3*BC$12,1.5)),0,1)</f>
        <v>#N/A</v>
      </c>
      <c r="BD57" s="86" t="b">
        <f t="shared" si="24"/>
        <v>0</v>
      </c>
      <c r="BE57" s="86">
        <f t="shared" si="75"/>
        <v>0.5</v>
      </c>
      <c r="BF57" s="86">
        <f t="shared" si="25"/>
        <v>0.5</v>
      </c>
      <c r="BG57" s="30" t="e">
        <f t="shared" ca="1" si="76"/>
        <v>#DIV/0!</v>
      </c>
      <c r="BH57" s="85" t="e">
        <f ca="1">IF(AN57&lt;=Hypothèses!$V$7,Hypothèses!$W$7,IF(AN57&lt;=Hypothèses!$V$8,Hypothèses!$W$8,IF(AN57&lt;=Hypothèses!$V$9,Hypothèses!$W$9,IF(AN57&lt;=Hypothèses!$V$10,Hypothèses!$W$10,IF(AN57&lt;=Hypothèses!$V$11,Hypothèses!$W$11,IF(AN57&lt;=Hypothèses!$V$12,Hypothèses!$W$12,IF(AN57&lt;=Hypothèses!$V$13,Hypothèses!$W$13,IF(AN57&lt;=Hypothèses!$V$14,Hypothèses!$W$14,IF(AN57&lt;=Hypothèses!$V$15,Hypothèses!$W$15,IF(AN57&lt;=Hypothèses!$V$16,Hypothèses!$W$16,IF(AN57&lt;=Hypothèses!$V$17,Hypothèses!$W$17,IF(AN57&lt;=Hypothèses!$V$18,Hypothèses!$W$18,""))))))))))))</f>
        <v>#DIV/0!</v>
      </c>
      <c r="BI57" s="87" t="e">
        <f t="shared" ca="1" si="118"/>
        <v>#DIV/0!</v>
      </c>
      <c r="BJ57" s="88" t="e">
        <f ca="1">IF(AN57&lt;=Hypothèses!$V$7,Hypothèses!$X$7,IF(AN57&lt;=Hypothèses!$V$8,Hypothèses!$X$8,IF(AN57&lt;=Hypothèses!$V$9,Hypothèses!$X$9,IF(AN57&lt;=Hypothèses!$V$10,Hypothèses!$X$10,IF(AN57&lt;=Hypothèses!$V$11,Hypothèses!$X$11,IF(AN57&lt;=Hypothèses!$V$12,Hypothèses!$X$12,IF(AN57&lt;=Hypothèses!$V$13,Hypothèses!$X$13,IF(AN57&lt;=Hypothèses!$V$14,Hypothèses!$X$14,IF(AN57&lt;=Hypothèses!$V$15,Hypothèses!$X$15,IF(AN57&lt;=Hypothèses!$V$16,Hypothèses!$X$16,IF(AN57&lt;=Hypothèses!$U$17,Hypothèses!$W$17,IF(AN57&lt;=Hypothèses!$U$18,Hypothèses!$W$18,""))))))))))))</f>
        <v>#DIV/0!</v>
      </c>
      <c r="BK57" s="95" t="e">
        <f t="shared" ca="1" si="77"/>
        <v>#DIV/0!</v>
      </c>
      <c r="BL57" s="101">
        <f t="shared" si="125"/>
        <v>0</v>
      </c>
      <c r="BM57" s="91">
        <f t="shared" si="27"/>
        <v>0</v>
      </c>
      <c r="BN57" s="30" t="e">
        <f t="shared" si="104"/>
        <v>#N/A</v>
      </c>
      <c r="BO57" s="30" t="e">
        <f t="shared" si="105"/>
        <v>#N/A</v>
      </c>
      <c r="BP57" s="31" t="e">
        <f>IF(OR(Hypothèses!$B$4=17,Hypothèses!$B$4=18,Hypothèses!$B$4=19,Hypothèses!$B$4=20),
IF($D57="Pressio.",
IF(OR($E57=3,$E57=1,$E57=4),BO57,BN57),
IF($D57="Pénétro.",
IF(OR($E57=3,$E57=1,$E57=4),BO57,BN57))),IF($D57="Pressio.",
IF($E57=3,BO57,BN57),
IF($D57="Pénétro.",
IF($E57=4,BO57,BN57))))</f>
        <v>#N/A</v>
      </c>
      <c r="BQ57" s="31">
        <v>0</v>
      </c>
      <c r="BR57" s="102" t="e">
        <f>IF(NDC!$H$10="Oui",(VLOOKUP($B$3,'Coeff EC7'!$T$39:$X$59,2,0)*BP57+VLOOKUP($B$3,'Coeff EC7'!$T$65:$X$85,2,0)*Model0.1T!BQ57)/1.5,PI()*BN$12*$Q57*($B57-$B56)*0.15/10+BR56)</f>
        <v>#N/A</v>
      </c>
      <c r="BS57" s="102" t="e">
        <f>(VLOOKUP($B$3,'Coeff EC7'!$T$39:$X$59,3,0)*BP57+VLOOKUP($B$3,'Coeff EC7'!$T$65:$X$85,3,0)*Model0.1T!BQ57)/1.1</f>
        <v>#N/A</v>
      </c>
      <c r="BT57" s="102" t="e">
        <f t="shared" si="78"/>
        <v>#N/A</v>
      </c>
      <c r="BU57" s="102" t="e">
        <f t="shared" si="79"/>
        <v>#N/A</v>
      </c>
      <c r="BV57" s="414" t="e">
        <f>IF(AND(BR57&gt;NDC!$C$63,BS57&gt;NDC!$C$65,BT57&gt;NDC!$D$73,BU57&gt;NDC!$D$74,$B57&gt;NDC!$H$22-0.1+MIN(3*BV$12,1.5)),0,1)</f>
        <v>#N/A</v>
      </c>
      <c r="BW57" s="86" t="b">
        <f t="shared" si="30"/>
        <v>0</v>
      </c>
      <c r="BX57" s="86">
        <f t="shared" si="31"/>
        <v>0.5</v>
      </c>
      <c r="BY57" s="86">
        <f t="shared" si="32"/>
        <v>0.5</v>
      </c>
      <c r="BZ57" s="30" t="e">
        <f t="shared" ca="1" si="80"/>
        <v>#DIV/0!</v>
      </c>
      <c r="CA57" s="85" t="e">
        <f ca="1">IF(BG57&lt;=Hypothèses!$V$7,Hypothèses!$W$7,IF(BG57&lt;=Hypothèses!$V$8,Hypothèses!$W$8,IF(BG57&lt;=Hypothèses!$V$9,Hypothèses!$W$9,IF(BG57&lt;=Hypothèses!$V$10,Hypothèses!$W$10,IF(BG57&lt;=Hypothèses!$V$11,Hypothèses!$W$11,IF(BG57&lt;=Hypothèses!$V$12,Hypothèses!$W$12,IF(BG57&lt;=Hypothèses!$V$13,Hypothèses!$W$13,IF(BG57&lt;=Hypothèses!$V$14,Hypothèses!$W$14,IF(BG57&lt;=Hypothèses!$V$15,Hypothèses!$W$15,IF(BG57&lt;=Hypothèses!$V$16,Hypothèses!$W$16,IF(BG57&lt;=Hypothèses!$V$17,Hypothèses!$W$17,IF(BG57&lt;=Hypothèses!$V$18,Hypothèses!$W$18,""))))))))))))</f>
        <v>#DIV/0!</v>
      </c>
      <c r="CB57" s="87" t="e">
        <f t="shared" ca="1" si="119"/>
        <v>#DIV/0!</v>
      </c>
      <c r="CC57" s="88" t="e">
        <f ca="1">IF(BG57&lt;=Hypothèses!$V$7,Hypothèses!$X$7,IF(BG57&lt;=Hypothèses!$V$8,Hypothèses!$X$8,IF(BG57&lt;=Hypothèses!$V$9,Hypothèses!$X$9,IF(BG57&lt;=Hypothèses!$V$10,Hypothèses!$X$10,IF(BG57&lt;=Hypothèses!$V$11,Hypothèses!$X$11,IF(BG57&lt;=Hypothèses!$V$12,Hypothèses!$X$12,IF(BG57&lt;=Hypothèses!$V$13,Hypothèses!$X$13,IF(BG57&lt;=Hypothèses!$V$14,Hypothèses!$X$14,IF(BG57&lt;=Hypothèses!$V$15,Hypothèses!$X$15,IF(BG57&lt;=Hypothèses!$V$16,Hypothèses!$X$16,IF(BG57&lt;=Hypothèses!$U$17,Hypothèses!$W$17,IF(BG57&lt;=Hypothèses!$U$18,Hypothèses!$W$18,""))))))))))))</f>
        <v>#DIV/0!</v>
      </c>
      <c r="CD57" s="95" t="e">
        <f t="shared" ca="1" si="81"/>
        <v>#DIV/0!</v>
      </c>
      <c r="CE57" s="101">
        <f t="shared" si="126"/>
        <v>0</v>
      </c>
      <c r="CF57" s="91">
        <f t="shared" si="34"/>
        <v>0</v>
      </c>
      <c r="CG57" s="30" t="e">
        <f t="shared" si="106"/>
        <v>#N/A</v>
      </c>
      <c r="CH57" s="30" t="e">
        <f t="shared" si="107"/>
        <v>#N/A</v>
      </c>
      <c r="CI57" s="31" t="e">
        <f>IF(OR(Hypothèses!$B$4=17,Hypothèses!$B$4=18,Hypothèses!$B$4=19,Hypothèses!$B$4=20),
IF($D57="Pressio.",
IF(OR($E57=3,$E57=1,$E57=4),CH57,CG57),
IF($D57="Pénétro.",
IF(OR($E57=3,$E57=1,$E57=4),CH57,CG57))),IF($D57="Pressio.",
IF($E57=3,CH57,CG57),
IF($D57="Pénétro.",
IF($E57=4,CH57,CG57))))</f>
        <v>#N/A</v>
      </c>
      <c r="CJ57" s="31">
        <v>0</v>
      </c>
      <c r="CK57" s="102" t="e">
        <f>IF(NDC!$H$10="Oui",(VLOOKUP($B$3,'Coeff EC7'!$T$39:$X$59,2,0)*CI57+VLOOKUP($B$3,'Coeff EC7'!$T$65:$X$85,2,0)*Model0.1T!CJ57)/1.5,PI()*CG$12*$Q57*($B57-$B56)*0.15/10+CK56)</f>
        <v>#N/A</v>
      </c>
      <c r="CL57" s="102" t="e">
        <f>(VLOOKUP($B$3,'Coeff EC7'!$T$39:$X$59,3,0)*CI57+VLOOKUP($B$3,'Coeff EC7'!$T$65:$X$85,3,0)*Model0.1T!CJ57)/1.1</f>
        <v>#N/A</v>
      </c>
      <c r="CM57" s="102" t="e">
        <f t="shared" si="82"/>
        <v>#N/A</v>
      </c>
      <c r="CN57" s="102" t="e">
        <f t="shared" si="83"/>
        <v>#N/A</v>
      </c>
      <c r="CO57" s="414" t="e">
        <f>IF(AND(CK57&gt;NDC!$C$63,CL57&gt;NDC!$C$65,CM57&gt;NDC!$D$73,CN57&gt;NDC!$D$74,$B57&gt;NDC!$H$22-0.1+MIN(3*CO$12,1.5)),0,1)</f>
        <v>#N/A</v>
      </c>
      <c r="CP57" s="86" t="b">
        <f t="shared" si="37"/>
        <v>0</v>
      </c>
      <c r="CQ57" s="86">
        <f t="shared" si="38"/>
        <v>0.5</v>
      </c>
      <c r="CR57" s="86">
        <f t="shared" si="39"/>
        <v>0.5</v>
      </c>
      <c r="CS57" s="30" t="e">
        <f t="shared" ca="1" si="84"/>
        <v>#DIV/0!</v>
      </c>
      <c r="CT57" s="85" t="e">
        <f ca="1">IF(BZ57&lt;=Hypothèses!$V$7,Hypothèses!$W$7,IF(BZ57&lt;=Hypothèses!$V$8,Hypothèses!$W$8,IF(BZ57&lt;=Hypothèses!$V$9,Hypothèses!$W$9,IF(BZ57&lt;=Hypothèses!$V$10,Hypothèses!$W$10,IF(BZ57&lt;=Hypothèses!$V$11,Hypothèses!$W$11,IF(BZ57&lt;=Hypothèses!$V$12,Hypothèses!$W$12,IF(BZ57&lt;=Hypothèses!$V$13,Hypothèses!$W$13,IF(BZ57&lt;=Hypothèses!$V$14,Hypothèses!$W$14,IF(BZ57&lt;=Hypothèses!$V$15,Hypothèses!$W$15,IF(BZ57&lt;=Hypothèses!$V$16,Hypothèses!$W$16,IF(BZ57&lt;=Hypothèses!$V$17,Hypothèses!$W$17,IF(BZ57&lt;=Hypothèses!$V$18,Hypothèses!$W$18,""))))))))))))</f>
        <v>#DIV/0!</v>
      </c>
      <c r="CU57" s="87" t="e">
        <f t="shared" ca="1" si="120"/>
        <v>#DIV/0!</v>
      </c>
      <c r="CV57" s="88" t="e">
        <f ca="1">IF(BZ57&lt;=Hypothèses!$V$7,Hypothèses!$X$7,IF(BZ57&lt;=Hypothèses!$V$8,Hypothèses!$X$8,IF(BZ57&lt;=Hypothèses!$V$9,Hypothèses!$X$9,IF(BZ57&lt;=Hypothèses!$V$10,Hypothèses!$X$10,IF(BZ57&lt;=Hypothèses!$V$11,Hypothèses!$X$11,IF(BZ57&lt;=Hypothèses!$V$12,Hypothèses!$X$12,IF(BZ57&lt;=Hypothèses!$V$13,Hypothèses!$X$13,IF(BZ57&lt;=Hypothèses!$V$14,Hypothèses!$X$14,IF(BZ57&lt;=Hypothèses!$V$15,Hypothèses!$X$15,IF(BZ57&lt;=Hypothèses!$V$16,Hypothèses!$X$16,IF(BZ57&lt;=Hypothèses!$U$17,Hypothèses!$W$17,IF(BZ57&lt;=Hypothèses!$U$18,Hypothèses!$W$18,""))))))))))))</f>
        <v>#DIV/0!</v>
      </c>
      <c r="CW57" s="95" t="e">
        <f t="shared" ca="1" si="85"/>
        <v>#DIV/0!</v>
      </c>
      <c r="CX57" s="101">
        <f t="shared" si="127"/>
        <v>0</v>
      </c>
      <c r="CY57" s="91">
        <f t="shared" si="41"/>
        <v>0</v>
      </c>
      <c r="CZ57" s="30" t="e">
        <f t="shared" si="108"/>
        <v>#N/A</v>
      </c>
      <c r="DA57" s="30" t="e">
        <f t="shared" si="109"/>
        <v>#N/A</v>
      </c>
      <c r="DB57" s="31" t="e">
        <f>IF(OR(Hypothèses!$B$4=17,Hypothèses!$B$4=18,Hypothèses!$B$4=19,Hypothèses!$B$4=20),
IF($D57="Pressio.",
IF(OR($E57=3,$E57=1,$E57=4),DA57,CZ57),
IF($D57="Pénétro.",
IF(OR($E57=3,$E57=1,$E57=4),DA57,CZ57))),IF($D57="Pressio.",
IF($E57=3,DA57,CZ57),
IF($D57="Pénétro.",
IF($E57=4,DA57,CZ57))))</f>
        <v>#N/A</v>
      </c>
      <c r="DC57" s="31">
        <v>0</v>
      </c>
      <c r="DD57" s="102" t="e">
        <f>IF(NDC!$H$10="Oui",(VLOOKUP($B$3,'Coeff EC7'!$T$39:$X$59,2,0)*DB57+VLOOKUP($B$3,'Coeff EC7'!$T$65:$X$85,2,0)*Model0.1T!DC57)/1.5,PI()*CZ$12*$Q57*($B57-$B56)*0.15/10+DD56)</f>
        <v>#N/A</v>
      </c>
      <c r="DE57" s="102" t="e">
        <f>(VLOOKUP($B$3,'Coeff EC7'!$T$39:$X$59,3,0)*DB57+VLOOKUP($B$3,'Coeff EC7'!$T$65:$X$85,3,0)*Model0.1T!DC57)/1.1</f>
        <v>#N/A</v>
      </c>
      <c r="DF57" s="102" t="e">
        <f t="shared" si="86"/>
        <v>#N/A</v>
      </c>
      <c r="DG57" s="102" t="e">
        <f t="shared" si="87"/>
        <v>#N/A</v>
      </c>
      <c r="DH57" s="414" t="e">
        <f>IF(AND(DD57&gt;NDC!$C$63,DE57&gt;NDC!$C$65,DF57&gt;NDC!$D$73,DG57&gt;NDC!$D$74,$B57&gt;NDC!$H$22-0.1+MIN(3*DH$12,1.5)),0,1)</f>
        <v>#N/A</v>
      </c>
      <c r="DI57" s="86" t="b">
        <f t="shared" si="44"/>
        <v>0</v>
      </c>
      <c r="DJ57" s="86">
        <f t="shared" si="45"/>
        <v>0.5</v>
      </c>
      <c r="DK57" s="86">
        <f t="shared" si="46"/>
        <v>0.5</v>
      </c>
      <c r="DL57" s="30" t="e">
        <f t="shared" ca="1" si="88"/>
        <v>#DIV/0!</v>
      </c>
      <c r="DM57" s="85" t="e">
        <f ca="1">IF(CS57&lt;=Hypothèses!$V$7,Hypothèses!$W$7,IF(CS57&lt;=Hypothèses!$V$8,Hypothèses!$W$8,IF(CS57&lt;=Hypothèses!$V$9,Hypothèses!$W$9,IF(CS57&lt;=Hypothèses!$V$10,Hypothèses!$W$10,IF(CS57&lt;=Hypothèses!$V$11,Hypothèses!$W$11,IF(CS57&lt;=Hypothèses!$V$12,Hypothèses!$W$12,IF(CS57&lt;=Hypothèses!$V$13,Hypothèses!$W$13,IF(CS57&lt;=Hypothèses!$V$14,Hypothèses!$W$14,IF(CS57&lt;=Hypothèses!$V$15,Hypothèses!$W$15,IF(CS57&lt;=Hypothèses!$V$16,Hypothèses!$W$16,IF(CS57&lt;=Hypothèses!$V$17,Hypothèses!$W$17,IF(CS57&lt;=Hypothèses!$V$18,Hypothèses!$W$18,""))))))))))))</f>
        <v>#DIV/0!</v>
      </c>
      <c r="DN57" s="87" t="e">
        <f t="shared" ca="1" si="121"/>
        <v>#DIV/0!</v>
      </c>
      <c r="DO57" s="88" t="e">
        <f ca="1">IF(CS57&lt;=Hypothèses!$V$7,Hypothèses!$X$7,IF(CS57&lt;=Hypothèses!$V$8,Hypothèses!$X$8,IF(CS57&lt;=Hypothèses!$V$9,Hypothèses!$X$9,IF(CS57&lt;=Hypothèses!$V$10,Hypothèses!$X$10,IF(CS57&lt;=Hypothèses!$V$11,Hypothèses!$X$11,IF(CS57&lt;=Hypothèses!$V$12,Hypothèses!$X$12,IF(CS57&lt;=Hypothèses!$V$13,Hypothèses!$X$13,IF(CS57&lt;=Hypothèses!$V$14,Hypothèses!$X$14,IF(CS57&lt;=Hypothèses!$V$15,Hypothèses!$X$15,IF(CS57&lt;=Hypothèses!$V$16,Hypothèses!$X$16,IF(CS57&lt;=Hypothèses!$U$17,Hypothèses!$W$17,IF(CS57&lt;=Hypothèses!$U$18,Hypothèses!$W$18,""))))))))))))</f>
        <v>#DIV/0!</v>
      </c>
      <c r="DP57" s="95" t="e">
        <f t="shared" ca="1" si="89"/>
        <v>#DIV/0!</v>
      </c>
      <c r="DQ57" s="101">
        <f t="shared" si="128"/>
        <v>0</v>
      </c>
      <c r="DR57" s="91">
        <f t="shared" si="48"/>
        <v>0</v>
      </c>
      <c r="DS57" s="30" t="e">
        <f t="shared" si="110"/>
        <v>#N/A</v>
      </c>
      <c r="DT57" s="30" t="e">
        <f t="shared" si="111"/>
        <v>#N/A</v>
      </c>
      <c r="DU57" s="31" t="e">
        <f>IF(OR(Hypothèses!$B$4=17,Hypothèses!$B$4=18,Hypothèses!$B$4=19,Hypothèses!$B$4=20),
IF($D57="Pressio.",
IF(OR($E57=3,$E57=1,$E57=4),DT57,DS57),
IF($D57="Pénétro.",
IF(OR($E57=3,$E57=1,$E57=4),DT57,DS57))),IF($D57="Pressio.",
IF($E57=3,DT57,DS57),
IF($D57="Pénétro.",
IF($E57=4,DT57,DS57))))</f>
        <v>#N/A</v>
      </c>
      <c r="DV57" s="31">
        <v>0</v>
      </c>
      <c r="DW57" s="102" t="e">
        <f>IF(NDC!$H$10="Oui",(VLOOKUP($B$3,'Coeff EC7'!$T$39:$X$59,2,0)*DU57+VLOOKUP($B$3,'Coeff EC7'!$T$65:$X$85,2,0)*Model0.1T!DV57)/1.5,PI()*DS$12*$Q57*($B57-$B56)*0.15/10+DW56)</f>
        <v>#N/A</v>
      </c>
      <c r="DX57" s="102" t="e">
        <f>(VLOOKUP($B$3,'Coeff EC7'!$T$39:$X$59,3,0)*DU57+VLOOKUP($B$3,'Coeff EC7'!$T$65:$X$85,3,0)*Model0.1T!DV57)/1.1</f>
        <v>#N/A</v>
      </c>
      <c r="DY57" s="102" t="e">
        <f t="shared" si="90"/>
        <v>#N/A</v>
      </c>
      <c r="DZ57" s="102" t="e">
        <f t="shared" si="91"/>
        <v>#N/A</v>
      </c>
      <c r="EA57" s="414" t="e">
        <f>IF(AND(DW57&gt;NDC!$C$63,DX57&gt;NDC!$C$65,DY57&gt;NDC!$D$73,DZ57&gt;NDC!$D$74,$B57&gt;NDC!$H$22-0.1+MIN(3*EA$12,1.5)),0,1)</f>
        <v>#N/A</v>
      </c>
      <c r="EB57" s="86" t="b">
        <f t="shared" si="51"/>
        <v>0</v>
      </c>
      <c r="EC57" s="418">
        <f t="shared" si="52"/>
        <v>0.51</v>
      </c>
      <c r="ED57" s="86">
        <f t="shared" si="53"/>
        <v>0.51</v>
      </c>
      <c r="EE57" s="30" t="e">
        <f t="shared" ca="1" si="92"/>
        <v>#DIV/0!</v>
      </c>
      <c r="EF57" s="85" t="e">
        <f ca="1">IF(DL57&lt;=Hypothèses!$V$7,Hypothèses!$W$7,IF(DL57&lt;=Hypothèses!$V$8,Hypothèses!$W$8,IF(DL57&lt;=Hypothèses!$V$9,Hypothèses!$W$9,IF(DL57&lt;=Hypothèses!$V$10,Hypothèses!$W$10,IF(DL57&lt;=Hypothèses!$V$11,Hypothèses!$W$11,IF(DL57&lt;=Hypothèses!$V$12,Hypothèses!$W$12,IF(DL57&lt;=Hypothèses!$V$13,Hypothèses!$W$13,IF(DL57&lt;=Hypothèses!$V$14,Hypothèses!$W$14,IF(DL57&lt;=Hypothèses!$V$15,Hypothèses!$W$15,IF(DL57&lt;=Hypothèses!$V$16,Hypothèses!$W$16,IF(DL57&lt;=Hypothèses!$V$17,Hypothèses!$W$17,IF(DL57&lt;=Hypothèses!$V$18,Hypothèses!$W$18,""))))))))))))</f>
        <v>#DIV/0!</v>
      </c>
      <c r="EG57" s="87" t="e">
        <f t="shared" ca="1" si="122"/>
        <v>#DIV/0!</v>
      </c>
      <c r="EH57" s="88" t="e">
        <f ca="1">IF(DL57&lt;=Hypothèses!$V$7,Hypothèses!$X$7,IF(DL57&lt;=Hypothèses!$V$8,Hypothèses!$X$8,IF(DL57&lt;=Hypothèses!$V$9,Hypothèses!$X$9,IF(DL57&lt;=Hypothèses!$V$10,Hypothèses!$X$10,IF(DL57&lt;=Hypothèses!$V$11,Hypothèses!$X$11,IF(DL57&lt;=Hypothèses!$V$12,Hypothèses!$X$12,IF(DL57&lt;=Hypothèses!$V$13,Hypothèses!$X$13,IF(DL57&lt;=Hypothèses!$V$14,Hypothèses!$X$14,IF(DL57&lt;=Hypothèses!$V$15,Hypothèses!$X$15,IF(DL57&lt;=Hypothèses!$V$16,Hypothèses!$X$16,IF(DL57&lt;=Hypothèses!$U$17,Hypothèses!$W$17,IF(DL57&lt;=Hypothèses!$U$18,Hypothèses!$W$18,""))))))))))))</f>
        <v>#DIV/0!</v>
      </c>
      <c r="EI57" s="95" t="e">
        <f t="shared" ca="1" si="93"/>
        <v>#DIV/0!</v>
      </c>
      <c r="EJ57" s="101">
        <f t="shared" si="129"/>
        <v>0</v>
      </c>
      <c r="EK57" s="91">
        <f t="shared" si="55"/>
        <v>0</v>
      </c>
      <c r="EL57" s="30" t="e">
        <f t="shared" si="112"/>
        <v>#N/A</v>
      </c>
      <c r="EM57" s="30" t="e">
        <f t="shared" si="113"/>
        <v>#N/A</v>
      </c>
      <c r="EN57" s="31" t="e">
        <f>IF(OR(Hypothèses!$B$4=17,Hypothèses!$B$4=18,Hypothèses!$B$4=19,Hypothèses!$B$4=20),
IF($D57="Pressio.",
IF(OR($E57=3,$E57=1,$E57=4),EM57,EL57),
IF($D57="Pénétro.",
IF(OR($E57=3,$E57=1,$E57=4),EM57,EL57))),IF($D57="Pressio.",
IF($E57=3,EM57,EL57),
IF($D57="Pénétro.",
IF($E57=4,EM57,EL57))))</f>
        <v>#N/A</v>
      </c>
      <c r="EO57" s="31">
        <v>0</v>
      </c>
      <c r="EP57" s="102" t="e">
        <f>IF(NDC!$H$10="Oui",(VLOOKUP($B$3,'Coeff EC7'!$T$39:$X$59,2,0)*EN57+VLOOKUP($B$3,'Coeff EC7'!$T$65:$X$85,2,0)*Model0.1T!EO57)/1.5,PI()*EL$12*$Q57*($B57-$B56)*0.15/10+EP56)</f>
        <v>#N/A</v>
      </c>
      <c r="EQ57" s="102" t="e">
        <f>(VLOOKUP($B$3,'Coeff EC7'!$T$39:$X$59,3,0)*EN57+VLOOKUP($B$3,'Coeff EC7'!$T$65:$X$85,3,0)*Model0.1T!EO57)/1.1</f>
        <v>#N/A</v>
      </c>
      <c r="ER57" s="102" t="e">
        <f t="shared" si="94"/>
        <v>#N/A</v>
      </c>
      <c r="ES57" s="102" t="e">
        <f t="shared" si="95"/>
        <v>#N/A</v>
      </c>
      <c r="ET57" s="414" t="e">
        <f>IF(AND(EP57&gt;NDC!$C$63,EQ57&gt;NDC!$C$65,ER57&gt;NDC!$D$73,ES57&gt;NDC!$D$74,$B57&gt;NDC!$H$22-0.1+MIN(3*ET$12,1.5)),0,1)</f>
        <v>#N/A</v>
      </c>
      <c r="EU57" s="86" t="b">
        <f t="shared" si="58"/>
        <v>0</v>
      </c>
      <c r="EV57" s="86">
        <f t="shared" si="59"/>
        <v>0.61</v>
      </c>
      <c r="EW57" s="86">
        <f t="shared" si="60"/>
        <v>0.61</v>
      </c>
      <c r="EX57" s="30" t="e">
        <f t="shared" ca="1" si="96"/>
        <v>#DIV/0!</v>
      </c>
      <c r="EY57" s="85" t="e">
        <f ca="1">IF(EE57&lt;=Hypothèses!$V$7,Hypothèses!$W$7,IF(EE57&lt;=Hypothèses!$V$8,Hypothèses!$W$8,IF(EE57&lt;=Hypothèses!$V$9,Hypothèses!$W$9,IF(EE57&lt;=Hypothèses!$V$10,Hypothèses!$W$10,IF(EE57&lt;=Hypothèses!$V$11,Hypothèses!$W$11,IF(EE57&lt;=Hypothèses!$V$12,Hypothèses!$W$12,IF(EE57&lt;=Hypothèses!$V$13,Hypothèses!$W$13,IF(EE57&lt;=Hypothèses!$V$14,Hypothèses!$W$14,IF(EE57&lt;=Hypothèses!$V$15,Hypothèses!$W$15,IF(EE57&lt;=Hypothèses!$V$16,Hypothèses!$W$16,IF(EE57&lt;=Hypothèses!$V$17,Hypothèses!$W$17,IF(EE57&lt;=Hypothèses!$V$18,Hypothèses!$W$18,""))))))))))))</f>
        <v>#DIV/0!</v>
      </c>
      <c r="EZ57" s="87" t="e">
        <f t="shared" ca="1" si="123"/>
        <v>#DIV/0!</v>
      </c>
      <c r="FA57" s="88" t="e">
        <f ca="1">IF(EE57&lt;=Hypothèses!$V$7,Hypothèses!$X$7,IF(EE57&lt;=Hypothèses!$V$8,Hypothèses!$X$8,IF(EE57&lt;=Hypothèses!$V$9,Hypothèses!$X$9,IF(EE57&lt;=Hypothèses!$V$10,Hypothèses!$X$10,IF(EE57&lt;=Hypothèses!$V$11,Hypothèses!$X$11,IF(EE57&lt;=Hypothèses!$V$12,Hypothèses!$X$12,IF(EE57&lt;=Hypothèses!$V$13,Hypothèses!$X$13,IF(EE57&lt;=Hypothèses!$V$14,Hypothèses!$X$14,IF(EE57&lt;=Hypothèses!$V$15,Hypothèses!$X$15,IF(EE57&lt;=Hypothèses!$V$16,Hypothèses!$X$16,IF(EE57&lt;=Hypothèses!$U$17,Hypothèses!$W$17,IF(EE57&lt;=Hypothèses!$U$18,Hypothèses!$W$18,""))))))))))))</f>
        <v>#DIV/0!</v>
      </c>
      <c r="FB57" s="95" t="e">
        <f t="shared" ca="1" si="97"/>
        <v>#DIV/0!</v>
      </c>
      <c r="FC57" s="101">
        <f t="shared" si="130"/>
        <v>0</v>
      </c>
      <c r="FD57" s="91">
        <f t="shared" si="62"/>
        <v>0</v>
      </c>
      <c r="FE57" s="30" t="e">
        <f t="shared" si="114"/>
        <v>#N/A</v>
      </c>
      <c r="FF57" s="30" t="e">
        <f t="shared" si="115"/>
        <v>#N/A</v>
      </c>
      <c r="FG57" s="31" t="e">
        <f>IF(OR(Hypothèses!$B$4=17,Hypothèses!$B$4=18,Hypothèses!$B$4=19,Hypothèses!$B$4=20),
IF($D57="Pressio.",
IF(OR($E57=3,$E57=1,$E57=4),FF57,FE57),
IF($D57="Pénétro.",
IF(OR($E57=3,$E57=1,$E57=4),FF57,FE57))),IF($D57="Pressio.",
IF($E57=3,FF57,FE57),
IF($D57="Pénétro.",
IF($E57=4,FF57,FE57))))</f>
        <v>#N/A</v>
      </c>
      <c r="FH57" s="31">
        <v>0</v>
      </c>
      <c r="FI57" s="102" t="e">
        <f>IF(NDC!$H$10="Oui",(VLOOKUP($B$3,'Coeff EC7'!$T$39:$X$59,2,0)*FG57+VLOOKUP($B$3,'Coeff EC7'!$T$65:$X$85,2,0)*Model0.1T!FH57)/1.5,PI()*FE$12*$Q57*($B57-$B56)*0.15/10+FI56)</f>
        <v>#N/A</v>
      </c>
      <c r="FJ57" s="102" t="e">
        <f>(VLOOKUP($B$3,'Coeff EC7'!$T$39:$X$59,3,0)*FG57+VLOOKUP($B$3,'Coeff EC7'!$T$65:$X$85,3,0)*Model0.1T!FH57)/1.1</f>
        <v>#N/A</v>
      </c>
      <c r="FK57" s="102" t="e">
        <f t="shared" si="98"/>
        <v>#N/A</v>
      </c>
      <c r="FL57" s="102" t="e">
        <f t="shared" si="99"/>
        <v>#N/A</v>
      </c>
      <c r="FM57" s="414" t="e">
        <f>IF(AND(FI57&gt;NDC!$C$63,FJ57&gt;NDC!$C$65,FK57&gt;NDC!$D$73,FL57&gt;NDC!$D$74,$B57&gt;NDC!$H$22-0.1+MIN(3*FM$12,1.5)),0,1)</f>
        <v>#N/A</v>
      </c>
    </row>
    <row r="58" spans="1:169">
      <c r="A58" s="96">
        <f t="shared" si="65"/>
        <v>95.500000000000256</v>
      </c>
      <c r="B58" s="97">
        <v>4.5</v>
      </c>
      <c r="C58" s="81">
        <f>IF(B58&lt;=Hypothèses!$C$7,Hypothèses!$A$7,IF(B58&lt;=Hypothèses!$C$8,Hypothèses!$A$8,IF(B58&lt;=Hypothèses!$C$9,Hypothèses!$A$9,IF(B58&lt;=Hypothèses!$C$10,Hypothèses!$A$10,IF(B58&lt;=Hypothèses!$C$11,Hypothèses!$A$11,IF(B58&lt;=Hypothèses!$C$12,Hypothèses!$A$12,IF(B58&lt;=Hypothèses!$C$13,Hypothèses!$A$13,IF(B58&lt;=Hypothèses!$C$14,Hypothèses!$A$14,IF(B58&lt;=Hypothèses!$C$15,Hypothèses!$A$15,IF(B58&lt;=Hypothèses!$C$16,Hypothèses!$A$16,IF(B58&lt;=Hypothèses!$C$17,Hypothèses!$A$17,IF(B58&lt;=Hypothèses!$C$18,Hypothèses!$A$18,C57))))))))))))</f>
        <v>11</v>
      </c>
      <c r="D58" s="82" t="str">
        <f>IF(B58&lt;=Hypothèses!$C$7,Hypothèses!$R$7,IF(B58&lt;=Hypothèses!$C$8,Hypothèses!$R$8,IF(B58&lt;=Hypothèses!$C$9,Hypothèses!$R$9,IF(B58&lt;=Hypothèses!$C$10,Hypothèses!$R$10,IF(B58&lt;=Hypothèses!$C$11,Hypothèses!$R$11,IF(B58&lt;=Hypothèses!$C$12,Hypothèses!$R$12,IF(B58&lt;=Hypothèses!$C$13,Hypothèses!$R$13,IF(B58&lt;=Hypothèses!$C$14,Hypothèses!$R$14,IF(B58&lt;=Hypothèses!$C$15,Hypothèses!$R$15,IF(B58&lt;=Hypothèses!$C$16,Hypothèses!$R$16,IF(B58&lt;=Hypothèses!$C$17,Hypothèses!$R$17,IF(B58&lt;=Hypothèses!$C$18,Hypothèses!$R$18,D57))))))))))))</f>
        <v>Pressio.</v>
      </c>
      <c r="E58" s="82" t="e">
        <f>IF(B58&lt;=Hypothèses!$C$7,Hypothèses!$G$7,IF(B58&lt;=Hypothèses!$C$8,Hypothèses!$G$8,IF(B58&lt;=Hypothèses!$C$9,Hypothèses!$G$9,IF(B58&lt;=Hypothèses!$C$10,Hypothèses!$G$10,IF(B58&lt;=Hypothèses!$C$11,Hypothèses!$G$11,IF(B58&lt;=Hypothèses!$C$12,Hypothèses!$G$12,IF(B58&lt;=Hypothèses!$C$13,Hypothèses!$G$13,IF(B58&lt;=Hypothèses!$C$14,Hypothèses!$G$14,IF(B58&lt;=Hypothèses!$C$15,Hypothèses!$G$15,IF(B58&lt;=Hypothèses!$C$16,Hypothèses!$G$16,IF(B58&lt;=Hypothèses!$C$17,Hypothèses!$G$17,IF(B58&lt;=Hypothèses!$C$18,Hypothèses!$G$18,E57))))))))))))</f>
        <v>#N/A</v>
      </c>
      <c r="F58" s="82" t="str">
        <f>IF(B58&lt;=Hypothèses!$C$7,Hypothèses!$F$7,IF(B58&lt;=Hypothèses!$C$8,Hypothèses!$F$8,IF(B58&lt;=Hypothèses!$C$9,Hypothèses!$F$9,IF(B58&lt;=Hypothèses!$C$10,Hypothèses!$F$10,IF(B58&lt;=Hypothèses!$C$11,Hypothèses!$F$11,IF(B58&lt;=Hypothèses!$C$12,Hypothèses!$F$12,IF(B58&lt;=Hypothèses!$C$13,Hypothèses!$F$13,IF(B58&lt;=Hypothèses!$C$14,Hypothèses!$F$14,IF(B58&lt;=Hypothèses!$C$15,Hypothèses!$F$15,IF(B58&lt;=Hypothèses!$C$16,Hypothèses!$F$16,IF(B58&lt;=Hypothèses!$C$17,Hypothèses!$F$17,IF(B58&lt;=Hypothèses!$C$18,Hypothèses!$F$18,F57))))))))))))</f>
        <v/>
      </c>
      <c r="G58" s="91">
        <f t="array" ref="G58">INDEX('Coeff EC7'!$U$7:$X$27,
MATCH(Model0.1T!$B$3,'Coeff EC7'!$T$7:$T$27,0),
MATCH(Model0.1T!$D58&amp;Model0.1T!$B$4,
'Coeff EC7'!$U$6:$X$6&amp;
'Coeff EC7'!$U$5:$X$5,0))</f>
        <v>1.4</v>
      </c>
      <c r="H58" s="91">
        <f t="array" ref="H58">INDEX('Coeff EC7'!$Y$7:$AB$27,
MATCH(Model0.1T!$B$3,'Coeff EC7'!$T$7:$T$27,0),
MATCH(Model0.1T!$D58&amp;Model0.1T!$B$4,
'Coeff EC7'!$Y$6:$AB$6&amp;
'Coeff EC7'!$Y$5:$AB$5,0))</f>
        <v>1.7</v>
      </c>
      <c r="I58" s="83">
        <v>0</v>
      </c>
      <c r="J58" s="91" t="e">
        <f t="array" ref="J58">INDEX('Coeff EC7'!$D$33:$Q$33,1,MATCH(D58&amp;E58,'Coeff EC7'!$D$31:$Q$31&amp;'Coeff EC7'!$D$32:$Q$32,0))</f>
        <v>#N/A</v>
      </c>
      <c r="K58" s="91" t="e">
        <f t="array" ref="K58">INDEX('Coeff EC7'!$D$34:$Q$34,1,MATCH(D58&amp;E58,'Coeff EC7'!$D$31:$Q$31&amp;'Coeff EC7'!$D$32:$Q$32,0))</f>
        <v>#N/A</v>
      </c>
      <c r="L58" s="91" t="e">
        <f t="array" ref="L58">INDEX('Coeff EC7'!$D$35:$Q$35,1,MATCH(D58&amp;E58,'Coeff EC7'!$D$31:$Q$31&amp;'Coeff EC7'!$D$32:$Q$32,0))</f>
        <v>#N/A</v>
      </c>
      <c r="M58" s="98" t="e">
        <f t="shared" si="8"/>
        <v>#N/A</v>
      </c>
      <c r="N58" s="99" t="e">
        <f t="array" ref="N58">INDEX('Coeff EC7'!$D$7:$Q$27,MATCH($B$3,'Coeff EC7'!$C$7:$C$27,0),MATCH(D58&amp;E58,'Coeff EC7'!$D$5:$Q$5&amp;'Coeff EC7'!$D$6:$Q$6,0))</f>
        <v>#N/A</v>
      </c>
      <c r="O58" s="99" t="e">
        <f t="array" ref="O58">INDEX('Coeff EC7'!$D$41:$Q$61,MATCH($B$3,'Coeff EC7'!$C$41:$C$61,0),MATCH(D58&amp;E58,'Coeff EC7'!$D$39:$Q$39&amp;'Coeff EC7'!$D$40:$Q$40,0))</f>
        <v>#N/A</v>
      </c>
      <c r="P58" s="30" t="e">
        <f t="shared" si="66"/>
        <v>#N/A</v>
      </c>
      <c r="Q58" s="100" t="e">
        <f t="shared" si="10"/>
        <v>#N/A</v>
      </c>
      <c r="R58" s="86" t="b">
        <f t="shared" si="11"/>
        <v>0</v>
      </c>
      <c r="S58" s="86">
        <f t="shared" si="9"/>
        <v>0.5</v>
      </c>
      <c r="T58" s="86">
        <f t="shared" si="12"/>
        <v>0.5</v>
      </c>
      <c r="U58" s="30" t="e">
        <f t="shared" ca="1" si="67"/>
        <v>#DIV/0!</v>
      </c>
      <c r="V58" s="85" t="str">
        <f>IF(B58&lt;=Hypothèses!$V$7,Hypothèses!$W$7,IF(B58&lt;=Hypothèses!$V$8,Hypothèses!$W$8,IF(B58&lt;=Hypothèses!$V$9,Hypothèses!$W$9,IF(B58&lt;=Hypothèses!$V$10,Hypothèses!$W$10,IF(B58&lt;=Hypothèses!$V$11,Hypothèses!$W$11,IF(B58&lt;=Hypothèses!$V$12,Hypothèses!$W$12,IF(B58&lt;=Hypothèses!$V$13,Hypothèses!$W$13,IF(B58&lt;=Hypothèses!$V$14,Hypothèses!$W$14,IF(B58&lt;=Hypothèses!$V$15,Hypothèses!$W$15,IF(B58&lt;=Hypothèses!$V$16,Hypothèses!$W$16,IF(B58&lt;=Hypothèses!$V$17,Hypothèses!$W$17,IF(B58&lt;=Hypothèses!$V$18,Hypothèses!$W$18,""))))))))))))</f>
        <v/>
      </c>
      <c r="W58" s="87" t="e">
        <f t="shared" ca="1" si="116"/>
        <v>#DIV/0!</v>
      </c>
      <c r="X58" s="88" t="str">
        <f>IF(B58&lt;=Hypothèses!$V$7,Hypothèses!$X$7,IF(B58&lt;=Hypothèses!$V$8,Hypothèses!$X$8,IF(B58&lt;=Hypothèses!$V$9,Hypothèses!$X$9,IF(B58&lt;=Hypothèses!$V$10,Hypothèses!$X$10,IF(B58&lt;=Hypothèses!$V$11,Hypothèses!$X$11,IF(B58&lt;=Hypothèses!$V$12,Hypothèses!$X$12,IF(B58&lt;=Hypothèses!$V$13,Hypothèses!$X$13,IF(B58&lt;=Hypothèses!$V$14,Hypothèses!$X$14,IF(B58&lt;=Hypothèses!$V$15,Hypothèses!$X$15,IF(B58&lt;=Hypothèses!$V$16,Hypothèses!$X$16,IF(B58&lt;=Hypothèses!$U$17,Hypothèses!$W$17,IF(B58&lt;=Hypothèses!$U$18,Hypothèses!$W$18,""))))))))))))</f>
        <v/>
      </c>
      <c r="Y58" s="95" t="e">
        <f t="shared" ca="1" si="13"/>
        <v>#DIV/0!</v>
      </c>
      <c r="Z58" s="101">
        <f t="shared" si="14"/>
        <v>0</v>
      </c>
      <c r="AA58" s="91">
        <f t="shared" si="15"/>
        <v>0</v>
      </c>
      <c r="AB58" s="30" t="e">
        <f t="shared" si="100"/>
        <v>#N/A</v>
      </c>
      <c r="AC58" s="30" t="e">
        <f t="shared" si="101"/>
        <v>#N/A</v>
      </c>
      <c r="AD58" s="31" t="e">
        <f>IF(OR(Hypothèses!$B$4=17,Hypothèses!$B$4=18,Hypothèses!$B$4=19,Hypothèses!$B$4=20),
IF($D58="Pressio.",
IF(OR($E58=3,$E58=1,$E58=4),AC58,AB58),
IF($D58="Pénétro.",
IF(OR($E58=3,$E58=1,$E58=4),AC58,AB58))),IF($D58="Pressio.",
IF($E58=3,AC58,AB58),
IF($D58="Pénétro.",
IF($E58=4,AC58,AB58))))</f>
        <v>#N/A</v>
      </c>
      <c r="AE58" s="31">
        <v>0</v>
      </c>
      <c r="AF58" s="102" t="e">
        <f>IF(NDC!$H$10="Oui",(VLOOKUP($B$3,'Coeff EC7'!$T$39:$X$59,2,0)*AD58+VLOOKUP($B$3,'Coeff EC7'!$T$65:$X$85,2,0)*Model0.1T!AE58)/1.5,PI()*AB$12*$Q58*($B58-$B57)*0.15/10+AF57)</f>
        <v>#N/A</v>
      </c>
      <c r="AG58" s="102" t="e">
        <f>(VLOOKUP($B$3,'Coeff EC7'!$T$39:$X$59,3,0)*AD58+VLOOKUP($B$3,'Coeff EC7'!$T$65:$X$85,3,0)*Model0.1T!AE58)/1.1</f>
        <v>#N/A</v>
      </c>
      <c r="AH58" s="102" t="e">
        <f t="shared" si="68"/>
        <v>#N/A</v>
      </c>
      <c r="AI58" s="102" t="e">
        <f t="shared" si="69"/>
        <v>#N/A</v>
      </c>
      <c r="AJ58" s="414" t="e">
        <f>IF(AND(AF58&gt;NDC!$C$63,AG58&gt;NDC!$C$65,AH58&gt;NDC!$D$73,AI58&gt;NDC!$D$74,$B58&gt;NDC!$H$22-0.1+MIN(3*$AJ$12,1.5)),0,1)</f>
        <v>#N/A</v>
      </c>
      <c r="AK58" s="86" t="b">
        <f t="shared" si="18"/>
        <v>0</v>
      </c>
      <c r="AL58" s="86">
        <f t="shared" si="70"/>
        <v>0.5</v>
      </c>
      <c r="AM58" s="86">
        <f t="shared" si="19"/>
        <v>0.5</v>
      </c>
      <c r="AN58" s="30" t="e">
        <f t="shared" ca="1" si="71"/>
        <v>#DIV/0!</v>
      </c>
      <c r="AO58" s="85" t="e">
        <f ca="1">IF(U58&lt;=Hypothèses!$V$7,Hypothèses!$W$7,IF(U58&lt;=Hypothèses!$V$8,Hypothèses!$W$8,IF(U58&lt;=Hypothèses!$V$9,Hypothèses!$W$9,IF(U58&lt;=Hypothèses!$V$10,Hypothèses!$W$10,IF(U58&lt;=Hypothèses!$V$11,Hypothèses!$W$11,IF(U58&lt;=Hypothèses!$V$12,Hypothèses!$W$12,IF(U58&lt;=Hypothèses!$V$13,Hypothèses!$W$13,IF(U58&lt;=Hypothèses!$V$14,Hypothèses!$W$14,IF(U58&lt;=Hypothèses!$V$15,Hypothèses!$W$15,IF(U58&lt;=Hypothèses!$V$16,Hypothèses!$W$16,IF(U58&lt;=Hypothèses!$V$17,Hypothèses!$W$17,IF(U58&lt;=Hypothèses!$V$18,Hypothèses!$W$18,""))))))))))))</f>
        <v>#DIV/0!</v>
      </c>
      <c r="AP58" s="87" t="e">
        <f t="shared" ca="1" si="117"/>
        <v>#DIV/0!</v>
      </c>
      <c r="AQ58" s="88" t="e">
        <f ca="1">IF(U58&lt;=Hypothèses!$V$7,Hypothèses!$X$7,IF(U58&lt;=Hypothèses!$V$8,Hypothèses!$X$8,IF(U58&lt;=Hypothèses!$V$9,Hypothèses!$X$9,IF(U58&lt;=Hypothèses!$V$10,Hypothèses!$X$10,IF(U58&lt;=Hypothèses!$V$11,Hypothèses!$X$11,IF(U58&lt;=Hypothèses!$V$12,Hypothèses!$X$12,IF(U58&lt;=Hypothèses!$V$13,Hypothèses!$X$13,IF(U58&lt;=Hypothèses!$V$14,Hypothèses!$X$14,IF(U58&lt;=Hypothèses!$V$15,Hypothèses!$X$15,IF(U58&lt;=Hypothèses!$V$16,Hypothèses!$X$16,IF(U58&lt;=Hypothèses!$U$17,Hypothèses!$W$17,IF(U58&lt;=Hypothèses!$U$18,Hypothèses!$W$18,""))))))))))))</f>
        <v>#DIV/0!</v>
      </c>
      <c r="AR58" s="95" t="e">
        <f t="shared" ca="1" si="72"/>
        <v>#DIV/0!</v>
      </c>
      <c r="AS58" s="101">
        <f t="shared" si="124"/>
        <v>0</v>
      </c>
      <c r="AT58" s="91">
        <f t="shared" si="21"/>
        <v>0</v>
      </c>
      <c r="AU58" s="30" t="e">
        <f t="shared" si="102"/>
        <v>#N/A</v>
      </c>
      <c r="AV58" s="30" t="e">
        <f t="shared" si="103"/>
        <v>#N/A</v>
      </c>
      <c r="AW58" s="31" t="e">
        <f>IF(OR(Hypothèses!$B$4=17,Hypothèses!$B$4=18,Hypothèses!$B$4=19,Hypothèses!$B$4=20),
IF($D58="Pressio.",
IF(OR($E58=3,$E58=1,$E58=4),AV58,AU58),
IF($D58="Pénétro.",
IF(OR($E58=3,$E58=1,$E58=4),AV58,AU58))),IF($D58="Pressio.",
IF($E58=3,AV58,AU58),
IF($D58="Pénétro.",
IF($E58=4,AV58,AU58))))</f>
        <v>#N/A</v>
      </c>
      <c r="AX58" s="31">
        <v>0</v>
      </c>
      <c r="AY58" s="102" t="e">
        <f>IF(NDC!$H$10="Oui",(VLOOKUP($B$3,'Coeff EC7'!$T$39:$X$59,2,0)*AW58+VLOOKUP($B$3,'Coeff EC7'!$T$65:$X$85,2,0)*Model0.1T!AX58)/1.5,PI()*AU$12*$Q58*($B58-$B57)*0.15/10+AY57)</f>
        <v>#N/A</v>
      </c>
      <c r="AZ58" s="102" t="e">
        <f>(VLOOKUP($B$3,'Coeff EC7'!$T$39:$X$59,3,0)*AW58+VLOOKUP($B$3,'Coeff EC7'!$T$65:$X$85,3,0)*Model0.1T!AX58)/1.1</f>
        <v>#N/A</v>
      </c>
      <c r="BA58" s="102" t="e">
        <f t="shared" si="73"/>
        <v>#N/A</v>
      </c>
      <c r="BB58" s="102" t="e">
        <f t="shared" si="74"/>
        <v>#N/A</v>
      </c>
      <c r="BC58" s="414" t="e">
        <f>IF(AND(AY58&gt;NDC!$C$63,AZ58&gt;NDC!$C$65,BA58&gt;NDC!$D$73,BB58&gt;NDC!$D$74,$B58&gt;NDC!$H$22-0.1+MIN(3*BC$12,1.5)),0,1)</f>
        <v>#N/A</v>
      </c>
      <c r="BD58" s="86" t="b">
        <f t="shared" si="24"/>
        <v>0</v>
      </c>
      <c r="BE58" s="86">
        <f t="shared" si="75"/>
        <v>0.5</v>
      </c>
      <c r="BF58" s="86">
        <f t="shared" si="25"/>
        <v>0.5</v>
      </c>
      <c r="BG58" s="30" t="e">
        <f t="shared" ca="1" si="76"/>
        <v>#DIV/0!</v>
      </c>
      <c r="BH58" s="85" t="e">
        <f ca="1">IF(AN58&lt;=Hypothèses!$V$7,Hypothèses!$W$7,IF(AN58&lt;=Hypothèses!$V$8,Hypothèses!$W$8,IF(AN58&lt;=Hypothèses!$V$9,Hypothèses!$W$9,IF(AN58&lt;=Hypothèses!$V$10,Hypothèses!$W$10,IF(AN58&lt;=Hypothèses!$V$11,Hypothèses!$W$11,IF(AN58&lt;=Hypothèses!$V$12,Hypothèses!$W$12,IF(AN58&lt;=Hypothèses!$V$13,Hypothèses!$W$13,IF(AN58&lt;=Hypothèses!$V$14,Hypothèses!$W$14,IF(AN58&lt;=Hypothèses!$V$15,Hypothèses!$W$15,IF(AN58&lt;=Hypothèses!$V$16,Hypothèses!$W$16,IF(AN58&lt;=Hypothèses!$V$17,Hypothèses!$W$17,IF(AN58&lt;=Hypothèses!$V$18,Hypothèses!$W$18,""))))))))))))</f>
        <v>#DIV/0!</v>
      </c>
      <c r="BI58" s="87" t="e">
        <f t="shared" ca="1" si="118"/>
        <v>#DIV/0!</v>
      </c>
      <c r="BJ58" s="88" t="e">
        <f ca="1">IF(AN58&lt;=Hypothèses!$V$7,Hypothèses!$X$7,IF(AN58&lt;=Hypothèses!$V$8,Hypothèses!$X$8,IF(AN58&lt;=Hypothèses!$V$9,Hypothèses!$X$9,IF(AN58&lt;=Hypothèses!$V$10,Hypothèses!$X$10,IF(AN58&lt;=Hypothèses!$V$11,Hypothèses!$X$11,IF(AN58&lt;=Hypothèses!$V$12,Hypothèses!$X$12,IF(AN58&lt;=Hypothèses!$V$13,Hypothèses!$X$13,IF(AN58&lt;=Hypothèses!$V$14,Hypothèses!$X$14,IF(AN58&lt;=Hypothèses!$V$15,Hypothèses!$X$15,IF(AN58&lt;=Hypothèses!$V$16,Hypothèses!$X$16,IF(AN58&lt;=Hypothèses!$U$17,Hypothèses!$W$17,IF(AN58&lt;=Hypothèses!$U$18,Hypothèses!$W$18,""))))))))))))</f>
        <v>#DIV/0!</v>
      </c>
      <c r="BK58" s="95" t="e">
        <f t="shared" ca="1" si="77"/>
        <v>#DIV/0!</v>
      </c>
      <c r="BL58" s="101">
        <f t="shared" si="125"/>
        <v>0</v>
      </c>
      <c r="BM58" s="91">
        <f t="shared" si="27"/>
        <v>0</v>
      </c>
      <c r="BN58" s="30" t="e">
        <f t="shared" si="104"/>
        <v>#N/A</v>
      </c>
      <c r="BO58" s="30" t="e">
        <f t="shared" si="105"/>
        <v>#N/A</v>
      </c>
      <c r="BP58" s="31" t="e">
        <f>IF(OR(Hypothèses!$B$4=17,Hypothèses!$B$4=18,Hypothèses!$B$4=19,Hypothèses!$B$4=20),
IF($D58="Pressio.",
IF(OR($E58=3,$E58=1,$E58=4),BO58,BN58),
IF($D58="Pénétro.",
IF(OR($E58=3,$E58=1,$E58=4),BO58,BN58))),IF($D58="Pressio.",
IF($E58=3,BO58,BN58),
IF($D58="Pénétro.",
IF($E58=4,BO58,BN58))))</f>
        <v>#N/A</v>
      </c>
      <c r="BQ58" s="31">
        <v>0</v>
      </c>
      <c r="BR58" s="102" t="e">
        <f>IF(NDC!$H$10="Oui",(VLOOKUP($B$3,'Coeff EC7'!$T$39:$X$59,2,0)*BP58+VLOOKUP($B$3,'Coeff EC7'!$T$65:$X$85,2,0)*Model0.1T!BQ58)/1.5,PI()*BN$12*$Q58*($B58-$B57)*0.15/10+BR57)</f>
        <v>#N/A</v>
      </c>
      <c r="BS58" s="102" t="e">
        <f>(VLOOKUP($B$3,'Coeff EC7'!$T$39:$X$59,3,0)*BP58+VLOOKUP($B$3,'Coeff EC7'!$T$65:$X$85,3,0)*Model0.1T!BQ58)/1.1</f>
        <v>#N/A</v>
      </c>
      <c r="BT58" s="102" t="e">
        <f t="shared" si="78"/>
        <v>#N/A</v>
      </c>
      <c r="BU58" s="102" t="e">
        <f t="shared" si="79"/>
        <v>#N/A</v>
      </c>
      <c r="BV58" s="414" t="e">
        <f>IF(AND(BR58&gt;NDC!$C$63,BS58&gt;NDC!$C$65,BT58&gt;NDC!$D$73,BU58&gt;NDC!$D$74,$B58&gt;NDC!$H$22-0.1+MIN(3*BV$12,1.5)),0,1)</f>
        <v>#N/A</v>
      </c>
      <c r="BW58" s="86" t="b">
        <f t="shared" si="30"/>
        <v>0</v>
      </c>
      <c r="BX58" s="86">
        <f t="shared" si="31"/>
        <v>0.5</v>
      </c>
      <c r="BY58" s="86">
        <f t="shared" si="32"/>
        <v>0.5</v>
      </c>
      <c r="BZ58" s="30" t="e">
        <f t="shared" ca="1" si="80"/>
        <v>#DIV/0!</v>
      </c>
      <c r="CA58" s="85" t="e">
        <f ca="1">IF(BG58&lt;=Hypothèses!$V$7,Hypothèses!$W$7,IF(BG58&lt;=Hypothèses!$V$8,Hypothèses!$W$8,IF(BG58&lt;=Hypothèses!$V$9,Hypothèses!$W$9,IF(BG58&lt;=Hypothèses!$V$10,Hypothèses!$W$10,IF(BG58&lt;=Hypothèses!$V$11,Hypothèses!$W$11,IF(BG58&lt;=Hypothèses!$V$12,Hypothèses!$W$12,IF(BG58&lt;=Hypothèses!$V$13,Hypothèses!$W$13,IF(BG58&lt;=Hypothèses!$V$14,Hypothèses!$W$14,IF(BG58&lt;=Hypothèses!$V$15,Hypothèses!$W$15,IF(BG58&lt;=Hypothèses!$V$16,Hypothèses!$W$16,IF(BG58&lt;=Hypothèses!$V$17,Hypothèses!$W$17,IF(BG58&lt;=Hypothèses!$V$18,Hypothèses!$W$18,""))))))))))))</f>
        <v>#DIV/0!</v>
      </c>
      <c r="CB58" s="87" t="e">
        <f t="shared" ca="1" si="119"/>
        <v>#DIV/0!</v>
      </c>
      <c r="CC58" s="88" t="e">
        <f ca="1">IF(BG58&lt;=Hypothèses!$V$7,Hypothèses!$X$7,IF(BG58&lt;=Hypothèses!$V$8,Hypothèses!$X$8,IF(BG58&lt;=Hypothèses!$V$9,Hypothèses!$X$9,IF(BG58&lt;=Hypothèses!$V$10,Hypothèses!$X$10,IF(BG58&lt;=Hypothèses!$V$11,Hypothèses!$X$11,IF(BG58&lt;=Hypothèses!$V$12,Hypothèses!$X$12,IF(BG58&lt;=Hypothèses!$V$13,Hypothèses!$X$13,IF(BG58&lt;=Hypothèses!$V$14,Hypothèses!$X$14,IF(BG58&lt;=Hypothèses!$V$15,Hypothèses!$X$15,IF(BG58&lt;=Hypothèses!$V$16,Hypothèses!$X$16,IF(BG58&lt;=Hypothèses!$U$17,Hypothèses!$W$17,IF(BG58&lt;=Hypothèses!$U$18,Hypothèses!$W$18,""))))))))))))</f>
        <v>#DIV/0!</v>
      </c>
      <c r="CD58" s="95" t="e">
        <f t="shared" ca="1" si="81"/>
        <v>#DIV/0!</v>
      </c>
      <c r="CE58" s="101">
        <f t="shared" si="126"/>
        <v>0</v>
      </c>
      <c r="CF58" s="91">
        <f t="shared" si="34"/>
        <v>0</v>
      </c>
      <c r="CG58" s="30" t="e">
        <f t="shared" si="106"/>
        <v>#N/A</v>
      </c>
      <c r="CH58" s="30" t="e">
        <f t="shared" si="107"/>
        <v>#N/A</v>
      </c>
      <c r="CI58" s="31" t="e">
        <f>IF(OR(Hypothèses!$B$4=17,Hypothèses!$B$4=18,Hypothèses!$B$4=19,Hypothèses!$B$4=20),
IF($D58="Pressio.",
IF(OR($E58=3,$E58=1,$E58=4),CH58,CG58),
IF($D58="Pénétro.",
IF(OR($E58=3,$E58=1,$E58=4),CH58,CG58))),IF($D58="Pressio.",
IF($E58=3,CH58,CG58),
IF($D58="Pénétro.",
IF($E58=4,CH58,CG58))))</f>
        <v>#N/A</v>
      </c>
      <c r="CJ58" s="31">
        <v>0</v>
      </c>
      <c r="CK58" s="102" t="e">
        <f>IF(NDC!$H$10="Oui",(VLOOKUP($B$3,'Coeff EC7'!$T$39:$X$59,2,0)*CI58+VLOOKUP($B$3,'Coeff EC7'!$T$65:$X$85,2,0)*Model0.1T!CJ58)/1.5,PI()*CG$12*$Q58*($B58-$B57)*0.15/10+CK57)</f>
        <v>#N/A</v>
      </c>
      <c r="CL58" s="102" t="e">
        <f>(VLOOKUP($B$3,'Coeff EC7'!$T$39:$X$59,3,0)*CI58+VLOOKUP($B$3,'Coeff EC7'!$T$65:$X$85,3,0)*Model0.1T!CJ58)/1.1</f>
        <v>#N/A</v>
      </c>
      <c r="CM58" s="102" t="e">
        <f t="shared" si="82"/>
        <v>#N/A</v>
      </c>
      <c r="CN58" s="102" t="e">
        <f t="shared" si="83"/>
        <v>#N/A</v>
      </c>
      <c r="CO58" s="414" t="e">
        <f>IF(AND(CK58&gt;NDC!$C$63,CL58&gt;NDC!$C$65,CM58&gt;NDC!$D$73,CN58&gt;NDC!$D$74,$B58&gt;NDC!$H$22-0.1+MIN(3*CO$12,1.5)),0,1)</f>
        <v>#N/A</v>
      </c>
      <c r="CP58" s="86" t="b">
        <f t="shared" si="37"/>
        <v>0</v>
      </c>
      <c r="CQ58" s="86">
        <f t="shared" si="38"/>
        <v>0.5</v>
      </c>
      <c r="CR58" s="86">
        <f t="shared" si="39"/>
        <v>0.5</v>
      </c>
      <c r="CS58" s="30" t="e">
        <f t="shared" ca="1" si="84"/>
        <v>#DIV/0!</v>
      </c>
      <c r="CT58" s="85" t="e">
        <f ca="1">IF(BZ58&lt;=Hypothèses!$V$7,Hypothèses!$W$7,IF(BZ58&lt;=Hypothèses!$V$8,Hypothèses!$W$8,IF(BZ58&lt;=Hypothèses!$V$9,Hypothèses!$W$9,IF(BZ58&lt;=Hypothèses!$V$10,Hypothèses!$W$10,IF(BZ58&lt;=Hypothèses!$V$11,Hypothèses!$W$11,IF(BZ58&lt;=Hypothèses!$V$12,Hypothèses!$W$12,IF(BZ58&lt;=Hypothèses!$V$13,Hypothèses!$W$13,IF(BZ58&lt;=Hypothèses!$V$14,Hypothèses!$W$14,IF(BZ58&lt;=Hypothèses!$V$15,Hypothèses!$W$15,IF(BZ58&lt;=Hypothèses!$V$16,Hypothèses!$W$16,IF(BZ58&lt;=Hypothèses!$V$17,Hypothèses!$W$17,IF(BZ58&lt;=Hypothèses!$V$18,Hypothèses!$W$18,""))))))))))))</f>
        <v>#DIV/0!</v>
      </c>
      <c r="CU58" s="87" t="e">
        <f t="shared" ca="1" si="120"/>
        <v>#DIV/0!</v>
      </c>
      <c r="CV58" s="88" t="e">
        <f ca="1">IF(BZ58&lt;=Hypothèses!$V$7,Hypothèses!$X$7,IF(BZ58&lt;=Hypothèses!$V$8,Hypothèses!$X$8,IF(BZ58&lt;=Hypothèses!$V$9,Hypothèses!$X$9,IF(BZ58&lt;=Hypothèses!$V$10,Hypothèses!$X$10,IF(BZ58&lt;=Hypothèses!$V$11,Hypothèses!$X$11,IF(BZ58&lt;=Hypothèses!$V$12,Hypothèses!$X$12,IF(BZ58&lt;=Hypothèses!$V$13,Hypothèses!$X$13,IF(BZ58&lt;=Hypothèses!$V$14,Hypothèses!$X$14,IF(BZ58&lt;=Hypothèses!$V$15,Hypothèses!$X$15,IF(BZ58&lt;=Hypothèses!$V$16,Hypothèses!$X$16,IF(BZ58&lt;=Hypothèses!$U$17,Hypothèses!$W$17,IF(BZ58&lt;=Hypothèses!$U$18,Hypothèses!$W$18,""))))))))))))</f>
        <v>#DIV/0!</v>
      </c>
      <c r="CW58" s="95" t="e">
        <f t="shared" ca="1" si="85"/>
        <v>#DIV/0!</v>
      </c>
      <c r="CX58" s="101">
        <f t="shared" si="127"/>
        <v>0</v>
      </c>
      <c r="CY58" s="91">
        <f t="shared" si="41"/>
        <v>0</v>
      </c>
      <c r="CZ58" s="30" t="e">
        <f t="shared" si="108"/>
        <v>#N/A</v>
      </c>
      <c r="DA58" s="30" t="e">
        <f t="shared" si="109"/>
        <v>#N/A</v>
      </c>
      <c r="DB58" s="31" t="e">
        <f>IF(OR(Hypothèses!$B$4=17,Hypothèses!$B$4=18,Hypothèses!$B$4=19,Hypothèses!$B$4=20),
IF($D58="Pressio.",
IF(OR($E58=3,$E58=1,$E58=4),DA58,CZ58),
IF($D58="Pénétro.",
IF(OR($E58=3,$E58=1,$E58=4),DA58,CZ58))),IF($D58="Pressio.",
IF($E58=3,DA58,CZ58),
IF($D58="Pénétro.",
IF($E58=4,DA58,CZ58))))</f>
        <v>#N/A</v>
      </c>
      <c r="DC58" s="31">
        <v>0</v>
      </c>
      <c r="DD58" s="102" t="e">
        <f>IF(NDC!$H$10="Oui",(VLOOKUP($B$3,'Coeff EC7'!$T$39:$X$59,2,0)*DB58+VLOOKUP($B$3,'Coeff EC7'!$T$65:$X$85,2,0)*Model0.1T!DC58)/1.5,PI()*CZ$12*$Q58*($B58-$B57)*0.15/10+DD57)</f>
        <v>#N/A</v>
      </c>
      <c r="DE58" s="102" t="e">
        <f>(VLOOKUP($B$3,'Coeff EC7'!$T$39:$X$59,3,0)*DB58+VLOOKUP($B$3,'Coeff EC7'!$T$65:$X$85,3,0)*Model0.1T!DC58)/1.1</f>
        <v>#N/A</v>
      </c>
      <c r="DF58" s="102" t="e">
        <f t="shared" si="86"/>
        <v>#N/A</v>
      </c>
      <c r="DG58" s="102" t="e">
        <f t="shared" si="87"/>
        <v>#N/A</v>
      </c>
      <c r="DH58" s="414" t="e">
        <f>IF(AND(DD58&gt;NDC!$C$63,DE58&gt;NDC!$C$65,DF58&gt;NDC!$D$73,DG58&gt;NDC!$D$74,$B58&gt;NDC!$H$22-0.1+MIN(3*DH$12,1.5)),0,1)</f>
        <v>#N/A</v>
      </c>
      <c r="DI58" s="86" t="b">
        <f t="shared" si="44"/>
        <v>0</v>
      </c>
      <c r="DJ58" s="86">
        <f t="shared" si="45"/>
        <v>0.5</v>
      </c>
      <c r="DK58" s="86">
        <f t="shared" si="46"/>
        <v>0.5</v>
      </c>
      <c r="DL58" s="30" t="e">
        <f t="shared" ca="1" si="88"/>
        <v>#DIV/0!</v>
      </c>
      <c r="DM58" s="85" t="e">
        <f ca="1">IF(CS58&lt;=Hypothèses!$V$7,Hypothèses!$W$7,IF(CS58&lt;=Hypothèses!$V$8,Hypothèses!$W$8,IF(CS58&lt;=Hypothèses!$V$9,Hypothèses!$W$9,IF(CS58&lt;=Hypothèses!$V$10,Hypothèses!$W$10,IF(CS58&lt;=Hypothèses!$V$11,Hypothèses!$W$11,IF(CS58&lt;=Hypothèses!$V$12,Hypothèses!$W$12,IF(CS58&lt;=Hypothèses!$V$13,Hypothèses!$W$13,IF(CS58&lt;=Hypothèses!$V$14,Hypothèses!$W$14,IF(CS58&lt;=Hypothèses!$V$15,Hypothèses!$W$15,IF(CS58&lt;=Hypothèses!$V$16,Hypothèses!$W$16,IF(CS58&lt;=Hypothèses!$V$17,Hypothèses!$W$17,IF(CS58&lt;=Hypothèses!$V$18,Hypothèses!$W$18,""))))))))))))</f>
        <v>#DIV/0!</v>
      </c>
      <c r="DN58" s="87" t="e">
        <f t="shared" ca="1" si="121"/>
        <v>#DIV/0!</v>
      </c>
      <c r="DO58" s="88" t="e">
        <f ca="1">IF(CS58&lt;=Hypothèses!$V$7,Hypothèses!$X$7,IF(CS58&lt;=Hypothèses!$V$8,Hypothèses!$X$8,IF(CS58&lt;=Hypothèses!$V$9,Hypothèses!$X$9,IF(CS58&lt;=Hypothèses!$V$10,Hypothèses!$X$10,IF(CS58&lt;=Hypothèses!$V$11,Hypothèses!$X$11,IF(CS58&lt;=Hypothèses!$V$12,Hypothèses!$X$12,IF(CS58&lt;=Hypothèses!$V$13,Hypothèses!$X$13,IF(CS58&lt;=Hypothèses!$V$14,Hypothèses!$X$14,IF(CS58&lt;=Hypothèses!$V$15,Hypothèses!$X$15,IF(CS58&lt;=Hypothèses!$V$16,Hypothèses!$X$16,IF(CS58&lt;=Hypothèses!$U$17,Hypothèses!$W$17,IF(CS58&lt;=Hypothèses!$U$18,Hypothèses!$W$18,""))))))))))))</f>
        <v>#DIV/0!</v>
      </c>
      <c r="DP58" s="95" t="e">
        <f t="shared" ca="1" si="89"/>
        <v>#DIV/0!</v>
      </c>
      <c r="DQ58" s="101">
        <f t="shared" si="128"/>
        <v>0</v>
      </c>
      <c r="DR58" s="91">
        <f t="shared" si="48"/>
        <v>0</v>
      </c>
      <c r="DS58" s="30" t="e">
        <f t="shared" si="110"/>
        <v>#N/A</v>
      </c>
      <c r="DT58" s="30" t="e">
        <f t="shared" si="111"/>
        <v>#N/A</v>
      </c>
      <c r="DU58" s="31" t="e">
        <f>IF(OR(Hypothèses!$B$4=17,Hypothèses!$B$4=18,Hypothèses!$B$4=19,Hypothèses!$B$4=20),
IF($D58="Pressio.",
IF(OR($E58=3,$E58=1,$E58=4),DT58,DS58),
IF($D58="Pénétro.",
IF(OR($E58=3,$E58=1,$E58=4),DT58,DS58))),IF($D58="Pressio.",
IF($E58=3,DT58,DS58),
IF($D58="Pénétro.",
IF($E58=4,DT58,DS58))))</f>
        <v>#N/A</v>
      </c>
      <c r="DV58" s="31">
        <v>0</v>
      </c>
      <c r="DW58" s="102" t="e">
        <f>IF(NDC!$H$10="Oui",(VLOOKUP($B$3,'Coeff EC7'!$T$39:$X$59,2,0)*DU58+VLOOKUP($B$3,'Coeff EC7'!$T$65:$X$85,2,0)*Model0.1T!DV58)/1.5,PI()*DS$12*$Q58*($B58-$B57)*0.15/10+DW57)</f>
        <v>#N/A</v>
      </c>
      <c r="DX58" s="102" t="e">
        <f>(VLOOKUP($B$3,'Coeff EC7'!$T$39:$X$59,3,0)*DU58+VLOOKUP($B$3,'Coeff EC7'!$T$65:$X$85,3,0)*Model0.1T!DV58)/1.1</f>
        <v>#N/A</v>
      </c>
      <c r="DY58" s="102" t="e">
        <f t="shared" si="90"/>
        <v>#N/A</v>
      </c>
      <c r="DZ58" s="102" t="e">
        <f t="shared" si="91"/>
        <v>#N/A</v>
      </c>
      <c r="EA58" s="414" t="e">
        <f>IF(AND(DW58&gt;NDC!$C$63,DX58&gt;NDC!$C$65,DY58&gt;NDC!$D$73,DZ58&gt;NDC!$D$74,$B58&gt;NDC!$H$22-0.1+MIN(3*EA$12,1.5)),0,1)</f>
        <v>#N/A</v>
      </c>
      <c r="EB58" s="86" t="b">
        <f t="shared" si="51"/>
        <v>0</v>
      </c>
      <c r="EC58" s="418">
        <f t="shared" si="52"/>
        <v>0.51</v>
      </c>
      <c r="ED58" s="86">
        <f t="shared" si="53"/>
        <v>0.51</v>
      </c>
      <c r="EE58" s="30" t="e">
        <f t="shared" ca="1" si="92"/>
        <v>#DIV/0!</v>
      </c>
      <c r="EF58" s="85" t="e">
        <f ca="1">IF(DL58&lt;=Hypothèses!$V$7,Hypothèses!$W$7,IF(DL58&lt;=Hypothèses!$V$8,Hypothèses!$W$8,IF(DL58&lt;=Hypothèses!$V$9,Hypothèses!$W$9,IF(DL58&lt;=Hypothèses!$V$10,Hypothèses!$W$10,IF(DL58&lt;=Hypothèses!$V$11,Hypothèses!$W$11,IF(DL58&lt;=Hypothèses!$V$12,Hypothèses!$W$12,IF(DL58&lt;=Hypothèses!$V$13,Hypothèses!$W$13,IF(DL58&lt;=Hypothèses!$V$14,Hypothèses!$W$14,IF(DL58&lt;=Hypothèses!$V$15,Hypothèses!$W$15,IF(DL58&lt;=Hypothèses!$V$16,Hypothèses!$W$16,IF(DL58&lt;=Hypothèses!$V$17,Hypothèses!$W$17,IF(DL58&lt;=Hypothèses!$V$18,Hypothèses!$W$18,""))))))))))))</f>
        <v>#DIV/0!</v>
      </c>
      <c r="EG58" s="87" t="e">
        <f t="shared" ca="1" si="122"/>
        <v>#DIV/0!</v>
      </c>
      <c r="EH58" s="88" t="e">
        <f ca="1">IF(DL58&lt;=Hypothèses!$V$7,Hypothèses!$X$7,IF(DL58&lt;=Hypothèses!$V$8,Hypothèses!$X$8,IF(DL58&lt;=Hypothèses!$V$9,Hypothèses!$X$9,IF(DL58&lt;=Hypothèses!$V$10,Hypothèses!$X$10,IF(DL58&lt;=Hypothèses!$V$11,Hypothèses!$X$11,IF(DL58&lt;=Hypothèses!$V$12,Hypothèses!$X$12,IF(DL58&lt;=Hypothèses!$V$13,Hypothèses!$X$13,IF(DL58&lt;=Hypothèses!$V$14,Hypothèses!$X$14,IF(DL58&lt;=Hypothèses!$V$15,Hypothèses!$X$15,IF(DL58&lt;=Hypothèses!$V$16,Hypothèses!$X$16,IF(DL58&lt;=Hypothèses!$U$17,Hypothèses!$W$17,IF(DL58&lt;=Hypothèses!$U$18,Hypothèses!$W$18,""))))))))))))</f>
        <v>#DIV/0!</v>
      </c>
      <c r="EI58" s="95" t="e">
        <f t="shared" ca="1" si="93"/>
        <v>#DIV/0!</v>
      </c>
      <c r="EJ58" s="101">
        <f t="shared" si="129"/>
        <v>0</v>
      </c>
      <c r="EK58" s="91">
        <f t="shared" si="55"/>
        <v>0</v>
      </c>
      <c r="EL58" s="30" t="e">
        <f t="shared" si="112"/>
        <v>#N/A</v>
      </c>
      <c r="EM58" s="30" t="e">
        <f t="shared" si="113"/>
        <v>#N/A</v>
      </c>
      <c r="EN58" s="31" t="e">
        <f>IF(OR(Hypothèses!$B$4=17,Hypothèses!$B$4=18,Hypothèses!$B$4=19,Hypothèses!$B$4=20),
IF($D58="Pressio.",
IF(OR($E58=3,$E58=1,$E58=4),EM58,EL58),
IF($D58="Pénétro.",
IF(OR($E58=3,$E58=1,$E58=4),EM58,EL58))),IF($D58="Pressio.",
IF($E58=3,EM58,EL58),
IF($D58="Pénétro.",
IF($E58=4,EM58,EL58))))</f>
        <v>#N/A</v>
      </c>
      <c r="EO58" s="31">
        <v>0</v>
      </c>
      <c r="EP58" s="102" t="e">
        <f>IF(NDC!$H$10="Oui",(VLOOKUP($B$3,'Coeff EC7'!$T$39:$X$59,2,0)*EN58+VLOOKUP($B$3,'Coeff EC7'!$T$65:$X$85,2,0)*Model0.1T!EO58)/1.5,PI()*EL$12*$Q58*($B58-$B57)*0.15/10+EP57)</f>
        <v>#N/A</v>
      </c>
      <c r="EQ58" s="102" t="e">
        <f>(VLOOKUP($B$3,'Coeff EC7'!$T$39:$X$59,3,0)*EN58+VLOOKUP($B$3,'Coeff EC7'!$T$65:$X$85,3,0)*Model0.1T!EO58)/1.1</f>
        <v>#N/A</v>
      </c>
      <c r="ER58" s="102" t="e">
        <f t="shared" si="94"/>
        <v>#N/A</v>
      </c>
      <c r="ES58" s="102" t="e">
        <f t="shared" si="95"/>
        <v>#N/A</v>
      </c>
      <c r="ET58" s="414" t="e">
        <f>IF(AND(EP58&gt;NDC!$C$63,EQ58&gt;NDC!$C$65,ER58&gt;NDC!$D$73,ES58&gt;NDC!$D$74,$B58&gt;NDC!$H$22-0.1+MIN(3*ET$12,1.5)),0,1)</f>
        <v>#N/A</v>
      </c>
      <c r="EU58" s="86" t="b">
        <f t="shared" si="58"/>
        <v>0</v>
      </c>
      <c r="EV58" s="86">
        <f t="shared" si="59"/>
        <v>0.61</v>
      </c>
      <c r="EW58" s="86">
        <f t="shared" si="60"/>
        <v>0.61</v>
      </c>
      <c r="EX58" s="30" t="e">
        <f t="shared" ca="1" si="96"/>
        <v>#DIV/0!</v>
      </c>
      <c r="EY58" s="85" t="e">
        <f ca="1">IF(EE58&lt;=Hypothèses!$V$7,Hypothèses!$W$7,IF(EE58&lt;=Hypothèses!$V$8,Hypothèses!$W$8,IF(EE58&lt;=Hypothèses!$V$9,Hypothèses!$W$9,IF(EE58&lt;=Hypothèses!$V$10,Hypothèses!$W$10,IF(EE58&lt;=Hypothèses!$V$11,Hypothèses!$W$11,IF(EE58&lt;=Hypothèses!$V$12,Hypothèses!$W$12,IF(EE58&lt;=Hypothèses!$V$13,Hypothèses!$W$13,IF(EE58&lt;=Hypothèses!$V$14,Hypothèses!$W$14,IF(EE58&lt;=Hypothèses!$V$15,Hypothèses!$W$15,IF(EE58&lt;=Hypothèses!$V$16,Hypothèses!$W$16,IF(EE58&lt;=Hypothèses!$V$17,Hypothèses!$W$17,IF(EE58&lt;=Hypothèses!$V$18,Hypothèses!$W$18,""))))))))))))</f>
        <v>#DIV/0!</v>
      </c>
      <c r="EZ58" s="87" t="e">
        <f t="shared" ca="1" si="123"/>
        <v>#DIV/0!</v>
      </c>
      <c r="FA58" s="88" t="e">
        <f ca="1">IF(EE58&lt;=Hypothèses!$V$7,Hypothèses!$X$7,IF(EE58&lt;=Hypothèses!$V$8,Hypothèses!$X$8,IF(EE58&lt;=Hypothèses!$V$9,Hypothèses!$X$9,IF(EE58&lt;=Hypothèses!$V$10,Hypothèses!$X$10,IF(EE58&lt;=Hypothèses!$V$11,Hypothèses!$X$11,IF(EE58&lt;=Hypothèses!$V$12,Hypothèses!$X$12,IF(EE58&lt;=Hypothèses!$V$13,Hypothèses!$X$13,IF(EE58&lt;=Hypothèses!$V$14,Hypothèses!$X$14,IF(EE58&lt;=Hypothèses!$V$15,Hypothèses!$X$15,IF(EE58&lt;=Hypothèses!$V$16,Hypothèses!$X$16,IF(EE58&lt;=Hypothèses!$U$17,Hypothèses!$W$17,IF(EE58&lt;=Hypothèses!$U$18,Hypothèses!$W$18,""))))))))))))</f>
        <v>#DIV/0!</v>
      </c>
      <c r="FB58" s="95" t="e">
        <f t="shared" ca="1" si="97"/>
        <v>#DIV/0!</v>
      </c>
      <c r="FC58" s="101">
        <f t="shared" si="130"/>
        <v>0</v>
      </c>
      <c r="FD58" s="91">
        <f t="shared" si="62"/>
        <v>0</v>
      </c>
      <c r="FE58" s="30" t="e">
        <f t="shared" si="114"/>
        <v>#N/A</v>
      </c>
      <c r="FF58" s="30" t="e">
        <f t="shared" si="115"/>
        <v>#N/A</v>
      </c>
      <c r="FG58" s="31" t="e">
        <f>IF(OR(Hypothèses!$B$4=17,Hypothèses!$B$4=18,Hypothèses!$B$4=19,Hypothèses!$B$4=20),
IF($D58="Pressio.",
IF(OR($E58=3,$E58=1,$E58=4),FF58,FE58),
IF($D58="Pénétro.",
IF(OR($E58=3,$E58=1,$E58=4),FF58,FE58))),IF($D58="Pressio.",
IF($E58=3,FF58,FE58),
IF($D58="Pénétro.",
IF($E58=4,FF58,FE58))))</f>
        <v>#N/A</v>
      </c>
      <c r="FH58" s="31">
        <v>0</v>
      </c>
      <c r="FI58" s="102" t="e">
        <f>IF(NDC!$H$10="Oui",(VLOOKUP($B$3,'Coeff EC7'!$T$39:$X$59,2,0)*FG58+VLOOKUP($B$3,'Coeff EC7'!$T$65:$X$85,2,0)*Model0.1T!FH58)/1.5,PI()*FE$12*$Q58*($B58-$B57)*0.15/10+FI57)</f>
        <v>#N/A</v>
      </c>
      <c r="FJ58" s="102" t="e">
        <f>(VLOOKUP($B$3,'Coeff EC7'!$T$39:$X$59,3,0)*FG58+VLOOKUP($B$3,'Coeff EC7'!$T$65:$X$85,3,0)*Model0.1T!FH58)/1.1</f>
        <v>#N/A</v>
      </c>
      <c r="FK58" s="102" t="e">
        <f t="shared" si="98"/>
        <v>#N/A</v>
      </c>
      <c r="FL58" s="102" t="e">
        <f t="shared" si="99"/>
        <v>#N/A</v>
      </c>
      <c r="FM58" s="414" t="e">
        <f>IF(AND(FI58&gt;NDC!$C$63,FJ58&gt;NDC!$C$65,FK58&gt;NDC!$D$73,FL58&gt;NDC!$D$74,$B58&gt;NDC!$H$22-0.1+MIN(3*FM$12,1.5)),0,1)</f>
        <v>#N/A</v>
      </c>
    </row>
    <row r="59" spans="1:169">
      <c r="A59" s="96">
        <f t="shared" si="65"/>
        <v>95.400000000000261</v>
      </c>
      <c r="B59" s="97">
        <v>4.5999999999999996</v>
      </c>
      <c r="C59" s="81">
        <f>IF(B59&lt;=Hypothèses!$C$7,Hypothèses!$A$7,IF(B59&lt;=Hypothèses!$C$8,Hypothèses!$A$8,IF(B59&lt;=Hypothèses!$C$9,Hypothèses!$A$9,IF(B59&lt;=Hypothèses!$C$10,Hypothèses!$A$10,IF(B59&lt;=Hypothèses!$C$11,Hypothèses!$A$11,IF(B59&lt;=Hypothèses!$C$12,Hypothèses!$A$12,IF(B59&lt;=Hypothèses!$C$13,Hypothèses!$A$13,IF(B59&lt;=Hypothèses!$C$14,Hypothèses!$A$14,IF(B59&lt;=Hypothèses!$C$15,Hypothèses!$A$15,IF(B59&lt;=Hypothèses!$C$16,Hypothèses!$A$16,IF(B59&lt;=Hypothèses!$C$17,Hypothèses!$A$17,IF(B59&lt;=Hypothèses!$C$18,Hypothèses!$A$18,C58))))))))))))</f>
        <v>11</v>
      </c>
      <c r="D59" s="82" t="str">
        <f>IF(B59&lt;=Hypothèses!$C$7,Hypothèses!$R$7,IF(B59&lt;=Hypothèses!$C$8,Hypothèses!$R$8,IF(B59&lt;=Hypothèses!$C$9,Hypothèses!$R$9,IF(B59&lt;=Hypothèses!$C$10,Hypothèses!$R$10,IF(B59&lt;=Hypothèses!$C$11,Hypothèses!$R$11,IF(B59&lt;=Hypothèses!$C$12,Hypothèses!$R$12,IF(B59&lt;=Hypothèses!$C$13,Hypothèses!$R$13,IF(B59&lt;=Hypothèses!$C$14,Hypothèses!$R$14,IF(B59&lt;=Hypothèses!$C$15,Hypothèses!$R$15,IF(B59&lt;=Hypothèses!$C$16,Hypothèses!$R$16,IF(B59&lt;=Hypothèses!$C$17,Hypothèses!$R$17,IF(B59&lt;=Hypothèses!$C$18,Hypothèses!$R$18,D58))))))))))))</f>
        <v>Pressio.</v>
      </c>
      <c r="E59" s="82" t="e">
        <f>IF(B59&lt;=Hypothèses!$C$7,Hypothèses!$G$7,IF(B59&lt;=Hypothèses!$C$8,Hypothèses!$G$8,IF(B59&lt;=Hypothèses!$C$9,Hypothèses!$G$9,IF(B59&lt;=Hypothèses!$C$10,Hypothèses!$G$10,IF(B59&lt;=Hypothèses!$C$11,Hypothèses!$G$11,IF(B59&lt;=Hypothèses!$C$12,Hypothèses!$G$12,IF(B59&lt;=Hypothèses!$C$13,Hypothèses!$G$13,IF(B59&lt;=Hypothèses!$C$14,Hypothèses!$G$14,IF(B59&lt;=Hypothèses!$C$15,Hypothèses!$G$15,IF(B59&lt;=Hypothèses!$C$16,Hypothèses!$G$16,IF(B59&lt;=Hypothèses!$C$17,Hypothèses!$G$17,IF(B59&lt;=Hypothèses!$C$18,Hypothèses!$G$18,E58))))))))))))</f>
        <v>#N/A</v>
      </c>
      <c r="F59" s="82" t="str">
        <f>IF(B59&lt;=Hypothèses!$C$7,Hypothèses!$F$7,IF(B59&lt;=Hypothèses!$C$8,Hypothèses!$F$8,IF(B59&lt;=Hypothèses!$C$9,Hypothèses!$F$9,IF(B59&lt;=Hypothèses!$C$10,Hypothèses!$F$10,IF(B59&lt;=Hypothèses!$C$11,Hypothèses!$F$11,IF(B59&lt;=Hypothèses!$C$12,Hypothèses!$F$12,IF(B59&lt;=Hypothèses!$C$13,Hypothèses!$F$13,IF(B59&lt;=Hypothèses!$C$14,Hypothèses!$F$14,IF(B59&lt;=Hypothèses!$C$15,Hypothèses!$F$15,IF(B59&lt;=Hypothèses!$C$16,Hypothèses!$F$16,IF(B59&lt;=Hypothèses!$C$17,Hypothèses!$F$17,IF(B59&lt;=Hypothèses!$C$18,Hypothèses!$F$18,F58))))))))))))</f>
        <v/>
      </c>
      <c r="G59" s="91">
        <f t="array" ref="G59">INDEX('Coeff EC7'!$U$7:$X$27,
MATCH(Model0.1T!$B$3,'Coeff EC7'!$T$7:$T$27,0),
MATCH(Model0.1T!$D59&amp;Model0.1T!$B$4,
'Coeff EC7'!$U$6:$X$6&amp;
'Coeff EC7'!$U$5:$X$5,0))</f>
        <v>1.4</v>
      </c>
      <c r="H59" s="91">
        <f t="array" ref="H59">INDEX('Coeff EC7'!$Y$7:$AB$27,
MATCH(Model0.1T!$B$3,'Coeff EC7'!$T$7:$T$27,0),
MATCH(Model0.1T!$D59&amp;Model0.1T!$B$4,
'Coeff EC7'!$Y$6:$AB$6&amp;
'Coeff EC7'!$Y$5:$AB$5,0))</f>
        <v>1.7</v>
      </c>
      <c r="I59" s="83">
        <v>0</v>
      </c>
      <c r="J59" s="91" t="e">
        <f t="array" ref="J59">INDEX('Coeff EC7'!$D$33:$Q$33,1,MATCH(D59&amp;E59,'Coeff EC7'!$D$31:$Q$31&amp;'Coeff EC7'!$D$32:$Q$32,0))</f>
        <v>#N/A</v>
      </c>
      <c r="K59" s="91" t="e">
        <f t="array" ref="K59">INDEX('Coeff EC7'!$D$34:$Q$34,1,MATCH(D59&amp;E59,'Coeff EC7'!$D$31:$Q$31&amp;'Coeff EC7'!$D$32:$Q$32,0))</f>
        <v>#N/A</v>
      </c>
      <c r="L59" s="91" t="e">
        <f t="array" ref="L59">INDEX('Coeff EC7'!$D$35:$Q$35,1,MATCH(D59&amp;E59,'Coeff EC7'!$D$31:$Q$31&amp;'Coeff EC7'!$D$32:$Q$32,0))</f>
        <v>#N/A</v>
      </c>
      <c r="M59" s="98" t="e">
        <f t="shared" si="8"/>
        <v>#N/A</v>
      </c>
      <c r="N59" s="99" t="e">
        <f t="array" ref="N59">INDEX('Coeff EC7'!$D$7:$Q$27,MATCH($B$3,'Coeff EC7'!$C$7:$C$27,0),MATCH(D59&amp;E59,'Coeff EC7'!$D$5:$Q$5&amp;'Coeff EC7'!$D$6:$Q$6,0))</f>
        <v>#N/A</v>
      </c>
      <c r="O59" s="99" t="e">
        <f t="array" ref="O59">INDEX('Coeff EC7'!$D$41:$Q$61,MATCH($B$3,'Coeff EC7'!$C$41:$C$61,0),MATCH(D59&amp;E59,'Coeff EC7'!$D$39:$Q$39&amp;'Coeff EC7'!$D$40:$Q$40,0))</f>
        <v>#N/A</v>
      </c>
      <c r="P59" s="30" t="e">
        <f t="shared" si="66"/>
        <v>#N/A</v>
      </c>
      <c r="Q59" s="100" t="e">
        <f t="shared" si="10"/>
        <v>#N/A</v>
      </c>
      <c r="R59" s="86" t="b">
        <f t="shared" si="11"/>
        <v>0</v>
      </c>
      <c r="S59" s="86">
        <f t="shared" si="9"/>
        <v>0.5</v>
      </c>
      <c r="T59" s="86">
        <f t="shared" si="12"/>
        <v>0.5</v>
      </c>
      <c r="U59" s="30" t="e">
        <f t="shared" ca="1" si="67"/>
        <v>#DIV/0!</v>
      </c>
      <c r="V59" s="85" t="str">
        <f>IF(B59&lt;=Hypothèses!$V$7,Hypothèses!$W$7,IF(B59&lt;=Hypothèses!$V$8,Hypothèses!$W$8,IF(B59&lt;=Hypothèses!$V$9,Hypothèses!$W$9,IF(B59&lt;=Hypothèses!$V$10,Hypothèses!$W$10,IF(B59&lt;=Hypothèses!$V$11,Hypothèses!$W$11,IF(B59&lt;=Hypothèses!$V$12,Hypothèses!$W$12,IF(B59&lt;=Hypothèses!$V$13,Hypothèses!$W$13,IF(B59&lt;=Hypothèses!$V$14,Hypothèses!$W$14,IF(B59&lt;=Hypothèses!$V$15,Hypothèses!$W$15,IF(B59&lt;=Hypothèses!$V$16,Hypothèses!$W$16,IF(B59&lt;=Hypothèses!$V$17,Hypothèses!$W$17,IF(B59&lt;=Hypothèses!$V$18,Hypothèses!$W$18,""))))))))))))</f>
        <v/>
      </c>
      <c r="W59" s="87" t="e">
        <f t="shared" ca="1" si="116"/>
        <v>#DIV/0!</v>
      </c>
      <c r="X59" s="88" t="str">
        <f>IF(B59&lt;=Hypothèses!$V$7,Hypothèses!$X$7,IF(B59&lt;=Hypothèses!$V$8,Hypothèses!$X$8,IF(B59&lt;=Hypothèses!$V$9,Hypothèses!$X$9,IF(B59&lt;=Hypothèses!$V$10,Hypothèses!$X$10,IF(B59&lt;=Hypothèses!$V$11,Hypothèses!$X$11,IF(B59&lt;=Hypothèses!$V$12,Hypothèses!$X$12,IF(B59&lt;=Hypothèses!$V$13,Hypothèses!$X$13,IF(B59&lt;=Hypothèses!$V$14,Hypothèses!$X$14,IF(B59&lt;=Hypothèses!$V$15,Hypothèses!$X$15,IF(B59&lt;=Hypothèses!$V$16,Hypothèses!$X$16,IF(B59&lt;=Hypothèses!$U$17,Hypothèses!$W$17,IF(B59&lt;=Hypothèses!$U$18,Hypothèses!$W$18,""))))))))))))</f>
        <v/>
      </c>
      <c r="Y59" s="95" t="e">
        <f t="shared" ca="1" si="13"/>
        <v>#DIV/0!</v>
      </c>
      <c r="Z59" s="101">
        <f t="shared" si="14"/>
        <v>0</v>
      </c>
      <c r="AA59" s="91">
        <f t="shared" si="15"/>
        <v>0</v>
      </c>
      <c r="AB59" s="30" t="e">
        <f t="shared" si="100"/>
        <v>#N/A</v>
      </c>
      <c r="AC59" s="30" t="e">
        <f t="shared" si="101"/>
        <v>#N/A</v>
      </c>
      <c r="AD59" s="31" t="e">
        <f>IF(OR(Hypothèses!$B$4=17,Hypothèses!$B$4=18,Hypothèses!$B$4=19,Hypothèses!$B$4=20),
IF($D59="Pressio.",
IF(OR($E59=3,$E59=1,$E59=4),AC59,AB59),
IF($D59="Pénétro.",
IF(OR($E59=3,$E59=1,$E59=4),AC59,AB59))),IF($D59="Pressio.",
IF($E59=3,AC59,AB59),
IF($D59="Pénétro.",
IF($E59=4,AC59,AB59))))</f>
        <v>#N/A</v>
      </c>
      <c r="AE59" s="31">
        <v>0</v>
      </c>
      <c r="AF59" s="102" t="e">
        <f>IF(NDC!$H$10="Oui",(VLOOKUP($B$3,'Coeff EC7'!$T$39:$X$59,2,0)*AD59+VLOOKUP($B$3,'Coeff EC7'!$T$65:$X$85,2,0)*Model0.1T!AE59)/1.5,PI()*AB$12*$Q59*($B59-$B58)*0.15/10+AF58)</f>
        <v>#N/A</v>
      </c>
      <c r="AG59" s="102" t="e">
        <f>(VLOOKUP($B$3,'Coeff EC7'!$T$39:$X$59,3,0)*AD59+VLOOKUP($B$3,'Coeff EC7'!$T$65:$X$85,3,0)*Model0.1T!AE59)/1.1</f>
        <v>#N/A</v>
      </c>
      <c r="AH59" s="102" t="e">
        <f t="shared" si="68"/>
        <v>#N/A</v>
      </c>
      <c r="AI59" s="102" t="e">
        <f t="shared" si="69"/>
        <v>#N/A</v>
      </c>
      <c r="AJ59" s="414" t="e">
        <f>IF(AND(AF59&gt;NDC!$C$63,AG59&gt;NDC!$C$65,AH59&gt;NDC!$D$73,AI59&gt;NDC!$D$74,$B59&gt;NDC!$H$22-0.1+MIN(3*$AJ$12,1.5)),0,1)</f>
        <v>#N/A</v>
      </c>
      <c r="AK59" s="86" t="b">
        <f t="shared" si="18"/>
        <v>0</v>
      </c>
      <c r="AL59" s="86">
        <f t="shared" si="70"/>
        <v>0.5</v>
      </c>
      <c r="AM59" s="86">
        <f t="shared" si="19"/>
        <v>0.5</v>
      </c>
      <c r="AN59" s="30" t="e">
        <f t="shared" ca="1" si="71"/>
        <v>#DIV/0!</v>
      </c>
      <c r="AO59" s="85" t="e">
        <f ca="1">IF(U59&lt;=Hypothèses!$V$7,Hypothèses!$W$7,IF(U59&lt;=Hypothèses!$V$8,Hypothèses!$W$8,IF(U59&lt;=Hypothèses!$V$9,Hypothèses!$W$9,IF(U59&lt;=Hypothèses!$V$10,Hypothèses!$W$10,IF(U59&lt;=Hypothèses!$V$11,Hypothèses!$W$11,IF(U59&lt;=Hypothèses!$V$12,Hypothèses!$W$12,IF(U59&lt;=Hypothèses!$V$13,Hypothèses!$W$13,IF(U59&lt;=Hypothèses!$V$14,Hypothèses!$W$14,IF(U59&lt;=Hypothèses!$V$15,Hypothèses!$W$15,IF(U59&lt;=Hypothèses!$V$16,Hypothèses!$W$16,IF(U59&lt;=Hypothèses!$V$17,Hypothèses!$W$17,IF(U59&lt;=Hypothèses!$V$18,Hypothèses!$W$18,""))))))))))))</f>
        <v>#DIV/0!</v>
      </c>
      <c r="AP59" s="87" t="e">
        <f t="shared" ca="1" si="117"/>
        <v>#DIV/0!</v>
      </c>
      <c r="AQ59" s="88" t="e">
        <f ca="1">IF(U59&lt;=Hypothèses!$V$7,Hypothèses!$X$7,IF(U59&lt;=Hypothèses!$V$8,Hypothèses!$X$8,IF(U59&lt;=Hypothèses!$V$9,Hypothèses!$X$9,IF(U59&lt;=Hypothèses!$V$10,Hypothèses!$X$10,IF(U59&lt;=Hypothèses!$V$11,Hypothèses!$X$11,IF(U59&lt;=Hypothèses!$V$12,Hypothèses!$X$12,IF(U59&lt;=Hypothèses!$V$13,Hypothèses!$X$13,IF(U59&lt;=Hypothèses!$V$14,Hypothèses!$X$14,IF(U59&lt;=Hypothèses!$V$15,Hypothèses!$X$15,IF(U59&lt;=Hypothèses!$V$16,Hypothèses!$X$16,IF(U59&lt;=Hypothèses!$U$17,Hypothèses!$W$17,IF(U59&lt;=Hypothèses!$U$18,Hypothèses!$W$18,""))))))))))))</f>
        <v>#DIV/0!</v>
      </c>
      <c r="AR59" s="95" t="e">
        <f t="shared" ca="1" si="72"/>
        <v>#DIV/0!</v>
      </c>
      <c r="AS59" s="101">
        <f t="shared" si="124"/>
        <v>0</v>
      </c>
      <c r="AT59" s="91">
        <f t="shared" si="21"/>
        <v>0</v>
      </c>
      <c r="AU59" s="30" t="e">
        <f t="shared" si="102"/>
        <v>#N/A</v>
      </c>
      <c r="AV59" s="30" t="e">
        <f t="shared" si="103"/>
        <v>#N/A</v>
      </c>
      <c r="AW59" s="31" t="e">
        <f>IF(OR(Hypothèses!$B$4=17,Hypothèses!$B$4=18,Hypothèses!$B$4=19,Hypothèses!$B$4=20),
IF($D59="Pressio.",
IF(OR($E59=3,$E59=1,$E59=4),AV59,AU59),
IF($D59="Pénétro.",
IF(OR($E59=3,$E59=1,$E59=4),AV59,AU59))),IF($D59="Pressio.",
IF($E59=3,AV59,AU59),
IF($D59="Pénétro.",
IF($E59=4,AV59,AU59))))</f>
        <v>#N/A</v>
      </c>
      <c r="AX59" s="31">
        <v>0</v>
      </c>
      <c r="AY59" s="102" t="e">
        <f>IF(NDC!$H$10="Oui",(VLOOKUP($B$3,'Coeff EC7'!$T$39:$X$59,2,0)*AW59+VLOOKUP($B$3,'Coeff EC7'!$T$65:$X$85,2,0)*Model0.1T!AX59)/1.5,PI()*AU$12*$Q59*($B59-$B58)*0.15/10+AY58)</f>
        <v>#N/A</v>
      </c>
      <c r="AZ59" s="102" t="e">
        <f>(VLOOKUP($B$3,'Coeff EC7'!$T$39:$X$59,3,0)*AW59+VLOOKUP($B$3,'Coeff EC7'!$T$65:$X$85,3,0)*Model0.1T!AX59)/1.1</f>
        <v>#N/A</v>
      </c>
      <c r="BA59" s="102" t="e">
        <f t="shared" si="73"/>
        <v>#N/A</v>
      </c>
      <c r="BB59" s="102" t="e">
        <f t="shared" si="74"/>
        <v>#N/A</v>
      </c>
      <c r="BC59" s="414" t="e">
        <f>IF(AND(AY59&gt;NDC!$C$63,AZ59&gt;NDC!$C$65,BA59&gt;NDC!$D$73,BB59&gt;NDC!$D$74,$B59&gt;NDC!$H$22-0.1+MIN(3*BC$12,1.5)),0,1)</f>
        <v>#N/A</v>
      </c>
      <c r="BD59" s="86" t="b">
        <f t="shared" si="24"/>
        <v>0</v>
      </c>
      <c r="BE59" s="86">
        <f t="shared" si="75"/>
        <v>0.5</v>
      </c>
      <c r="BF59" s="86">
        <f t="shared" si="25"/>
        <v>0.5</v>
      </c>
      <c r="BG59" s="30" t="e">
        <f t="shared" ca="1" si="76"/>
        <v>#DIV/0!</v>
      </c>
      <c r="BH59" s="85" t="e">
        <f ca="1">IF(AN59&lt;=Hypothèses!$V$7,Hypothèses!$W$7,IF(AN59&lt;=Hypothèses!$V$8,Hypothèses!$W$8,IF(AN59&lt;=Hypothèses!$V$9,Hypothèses!$W$9,IF(AN59&lt;=Hypothèses!$V$10,Hypothèses!$W$10,IF(AN59&lt;=Hypothèses!$V$11,Hypothèses!$W$11,IF(AN59&lt;=Hypothèses!$V$12,Hypothèses!$W$12,IF(AN59&lt;=Hypothèses!$V$13,Hypothèses!$W$13,IF(AN59&lt;=Hypothèses!$V$14,Hypothèses!$W$14,IF(AN59&lt;=Hypothèses!$V$15,Hypothèses!$W$15,IF(AN59&lt;=Hypothèses!$V$16,Hypothèses!$W$16,IF(AN59&lt;=Hypothèses!$V$17,Hypothèses!$W$17,IF(AN59&lt;=Hypothèses!$V$18,Hypothèses!$W$18,""))))))))))))</f>
        <v>#DIV/0!</v>
      </c>
      <c r="BI59" s="87" t="e">
        <f t="shared" ca="1" si="118"/>
        <v>#DIV/0!</v>
      </c>
      <c r="BJ59" s="88" t="e">
        <f ca="1">IF(AN59&lt;=Hypothèses!$V$7,Hypothèses!$X$7,IF(AN59&lt;=Hypothèses!$V$8,Hypothèses!$X$8,IF(AN59&lt;=Hypothèses!$V$9,Hypothèses!$X$9,IF(AN59&lt;=Hypothèses!$V$10,Hypothèses!$X$10,IF(AN59&lt;=Hypothèses!$V$11,Hypothèses!$X$11,IF(AN59&lt;=Hypothèses!$V$12,Hypothèses!$X$12,IF(AN59&lt;=Hypothèses!$V$13,Hypothèses!$X$13,IF(AN59&lt;=Hypothèses!$V$14,Hypothèses!$X$14,IF(AN59&lt;=Hypothèses!$V$15,Hypothèses!$X$15,IF(AN59&lt;=Hypothèses!$V$16,Hypothèses!$X$16,IF(AN59&lt;=Hypothèses!$U$17,Hypothèses!$W$17,IF(AN59&lt;=Hypothèses!$U$18,Hypothèses!$W$18,""))))))))))))</f>
        <v>#DIV/0!</v>
      </c>
      <c r="BK59" s="95" t="e">
        <f t="shared" ca="1" si="77"/>
        <v>#DIV/0!</v>
      </c>
      <c r="BL59" s="101">
        <f t="shared" si="125"/>
        <v>0</v>
      </c>
      <c r="BM59" s="91">
        <f t="shared" si="27"/>
        <v>0</v>
      </c>
      <c r="BN59" s="30" t="e">
        <f t="shared" si="104"/>
        <v>#N/A</v>
      </c>
      <c r="BO59" s="30" t="e">
        <f t="shared" si="105"/>
        <v>#N/A</v>
      </c>
      <c r="BP59" s="31" t="e">
        <f>IF(OR(Hypothèses!$B$4=17,Hypothèses!$B$4=18,Hypothèses!$B$4=19,Hypothèses!$B$4=20),
IF($D59="Pressio.",
IF(OR($E59=3,$E59=1,$E59=4),BO59,BN59),
IF($D59="Pénétro.",
IF(OR($E59=3,$E59=1,$E59=4),BO59,BN59))),IF($D59="Pressio.",
IF($E59=3,BO59,BN59),
IF($D59="Pénétro.",
IF($E59=4,BO59,BN59))))</f>
        <v>#N/A</v>
      </c>
      <c r="BQ59" s="31">
        <v>0</v>
      </c>
      <c r="BR59" s="102" t="e">
        <f>IF(NDC!$H$10="Oui",(VLOOKUP($B$3,'Coeff EC7'!$T$39:$X$59,2,0)*BP59+VLOOKUP($B$3,'Coeff EC7'!$T$65:$X$85,2,0)*Model0.1T!BQ59)/1.5,PI()*BN$12*$Q59*($B59-$B58)*0.15/10+BR58)</f>
        <v>#N/A</v>
      </c>
      <c r="BS59" s="102" t="e">
        <f>(VLOOKUP($B$3,'Coeff EC7'!$T$39:$X$59,3,0)*BP59+VLOOKUP($B$3,'Coeff EC7'!$T$65:$X$85,3,0)*Model0.1T!BQ59)/1.1</f>
        <v>#N/A</v>
      </c>
      <c r="BT59" s="102" t="e">
        <f t="shared" si="78"/>
        <v>#N/A</v>
      </c>
      <c r="BU59" s="102" t="e">
        <f t="shared" si="79"/>
        <v>#N/A</v>
      </c>
      <c r="BV59" s="414" t="e">
        <f>IF(AND(BR59&gt;NDC!$C$63,BS59&gt;NDC!$C$65,BT59&gt;NDC!$D$73,BU59&gt;NDC!$D$74,$B59&gt;NDC!$H$22-0.1+MIN(3*BV$12,1.5)),0,1)</f>
        <v>#N/A</v>
      </c>
      <c r="BW59" s="86" t="b">
        <f t="shared" si="30"/>
        <v>0</v>
      </c>
      <c r="BX59" s="86">
        <f t="shared" si="31"/>
        <v>0.5</v>
      </c>
      <c r="BY59" s="86">
        <f t="shared" si="32"/>
        <v>0.5</v>
      </c>
      <c r="BZ59" s="30" t="e">
        <f t="shared" ca="1" si="80"/>
        <v>#DIV/0!</v>
      </c>
      <c r="CA59" s="85" t="e">
        <f ca="1">IF(BG59&lt;=Hypothèses!$V$7,Hypothèses!$W$7,IF(BG59&lt;=Hypothèses!$V$8,Hypothèses!$W$8,IF(BG59&lt;=Hypothèses!$V$9,Hypothèses!$W$9,IF(BG59&lt;=Hypothèses!$V$10,Hypothèses!$W$10,IF(BG59&lt;=Hypothèses!$V$11,Hypothèses!$W$11,IF(BG59&lt;=Hypothèses!$V$12,Hypothèses!$W$12,IF(BG59&lt;=Hypothèses!$V$13,Hypothèses!$W$13,IF(BG59&lt;=Hypothèses!$V$14,Hypothèses!$W$14,IF(BG59&lt;=Hypothèses!$V$15,Hypothèses!$W$15,IF(BG59&lt;=Hypothèses!$V$16,Hypothèses!$W$16,IF(BG59&lt;=Hypothèses!$V$17,Hypothèses!$W$17,IF(BG59&lt;=Hypothèses!$V$18,Hypothèses!$W$18,""))))))))))))</f>
        <v>#DIV/0!</v>
      </c>
      <c r="CB59" s="87" t="e">
        <f t="shared" ca="1" si="119"/>
        <v>#DIV/0!</v>
      </c>
      <c r="CC59" s="88" t="e">
        <f ca="1">IF(BG59&lt;=Hypothèses!$V$7,Hypothèses!$X$7,IF(BG59&lt;=Hypothèses!$V$8,Hypothèses!$X$8,IF(BG59&lt;=Hypothèses!$V$9,Hypothèses!$X$9,IF(BG59&lt;=Hypothèses!$V$10,Hypothèses!$X$10,IF(BG59&lt;=Hypothèses!$V$11,Hypothèses!$X$11,IF(BG59&lt;=Hypothèses!$V$12,Hypothèses!$X$12,IF(BG59&lt;=Hypothèses!$V$13,Hypothèses!$X$13,IF(BG59&lt;=Hypothèses!$V$14,Hypothèses!$X$14,IF(BG59&lt;=Hypothèses!$V$15,Hypothèses!$X$15,IF(BG59&lt;=Hypothèses!$V$16,Hypothèses!$X$16,IF(BG59&lt;=Hypothèses!$U$17,Hypothèses!$W$17,IF(BG59&lt;=Hypothèses!$U$18,Hypothèses!$W$18,""))))))))))))</f>
        <v>#DIV/0!</v>
      </c>
      <c r="CD59" s="95" t="e">
        <f t="shared" ca="1" si="81"/>
        <v>#DIV/0!</v>
      </c>
      <c r="CE59" s="101">
        <f t="shared" si="126"/>
        <v>0</v>
      </c>
      <c r="CF59" s="91">
        <f t="shared" si="34"/>
        <v>0</v>
      </c>
      <c r="CG59" s="30" t="e">
        <f t="shared" si="106"/>
        <v>#N/A</v>
      </c>
      <c r="CH59" s="30" t="e">
        <f t="shared" si="107"/>
        <v>#N/A</v>
      </c>
      <c r="CI59" s="31" t="e">
        <f>IF(OR(Hypothèses!$B$4=17,Hypothèses!$B$4=18,Hypothèses!$B$4=19,Hypothèses!$B$4=20),
IF($D59="Pressio.",
IF(OR($E59=3,$E59=1,$E59=4),CH59,CG59),
IF($D59="Pénétro.",
IF(OR($E59=3,$E59=1,$E59=4),CH59,CG59))),IF($D59="Pressio.",
IF($E59=3,CH59,CG59),
IF($D59="Pénétro.",
IF($E59=4,CH59,CG59))))</f>
        <v>#N/A</v>
      </c>
      <c r="CJ59" s="31">
        <v>0</v>
      </c>
      <c r="CK59" s="102" t="e">
        <f>IF(NDC!$H$10="Oui",(VLOOKUP($B$3,'Coeff EC7'!$T$39:$X$59,2,0)*CI59+VLOOKUP($B$3,'Coeff EC7'!$T$65:$X$85,2,0)*Model0.1T!CJ59)/1.5,PI()*CG$12*$Q59*($B59-$B58)*0.15/10+CK58)</f>
        <v>#N/A</v>
      </c>
      <c r="CL59" s="102" t="e">
        <f>(VLOOKUP($B$3,'Coeff EC7'!$T$39:$X$59,3,0)*CI59+VLOOKUP($B$3,'Coeff EC7'!$T$65:$X$85,3,0)*Model0.1T!CJ59)/1.1</f>
        <v>#N/A</v>
      </c>
      <c r="CM59" s="102" t="e">
        <f t="shared" si="82"/>
        <v>#N/A</v>
      </c>
      <c r="CN59" s="102" t="e">
        <f t="shared" si="83"/>
        <v>#N/A</v>
      </c>
      <c r="CO59" s="414" t="e">
        <f>IF(AND(CK59&gt;NDC!$C$63,CL59&gt;NDC!$C$65,CM59&gt;NDC!$D$73,CN59&gt;NDC!$D$74,$B59&gt;NDC!$H$22-0.1+MIN(3*CO$12,1.5)),0,1)</f>
        <v>#N/A</v>
      </c>
      <c r="CP59" s="86" t="b">
        <f t="shared" si="37"/>
        <v>0</v>
      </c>
      <c r="CQ59" s="86">
        <f t="shared" si="38"/>
        <v>0.5</v>
      </c>
      <c r="CR59" s="86">
        <f t="shared" si="39"/>
        <v>0.5</v>
      </c>
      <c r="CS59" s="30" t="e">
        <f t="shared" ca="1" si="84"/>
        <v>#DIV/0!</v>
      </c>
      <c r="CT59" s="85" t="e">
        <f ca="1">IF(BZ59&lt;=Hypothèses!$V$7,Hypothèses!$W$7,IF(BZ59&lt;=Hypothèses!$V$8,Hypothèses!$W$8,IF(BZ59&lt;=Hypothèses!$V$9,Hypothèses!$W$9,IF(BZ59&lt;=Hypothèses!$V$10,Hypothèses!$W$10,IF(BZ59&lt;=Hypothèses!$V$11,Hypothèses!$W$11,IF(BZ59&lt;=Hypothèses!$V$12,Hypothèses!$W$12,IF(BZ59&lt;=Hypothèses!$V$13,Hypothèses!$W$13,IF(BZ59&lt;=Hypothèses!$V$14,Hypothèses!$W$14,IF(BZ59&lt;=Hypothèses!$V$15,Hypothèses!$W$15,IF(BZ59&lt;=Hypothèses!$V$16,Hypothèses!$W$16,IF(BZ59&lt;=Hypothèses!$V$17,Hypothèses!$W$17,IF(BZ59&lt;=Hypothèses!$V$18,Hypothèses!$W$18,""))))))))))))</f>
        <v>#DIV/0!</v>
      </c>
      <c r="CU59" s="87" t="e">
        <f t="shared" ca="1" si="120"/>
        <v>#DIV/0!</v>
      </c>
      <c r="CV59" s="88" t="e">
        <f ca="1">IF(BZ59&lt;=Hypothèses!$V$7,Hypothèses!$X$7,IF(BZ59&lt;=Hypothèses!$V$8,Hypothèses!$X$8,IF(BZ59&lt;=Hypothèses!$V$9,Hypothèses!$X$9,IF(BZ59&lt;=Hypothèses!$V$10,Hypothèses!$X$10,IF(BZ59&lt;=Hypothèses!$V$11,Hypothèses!$X$11,IF(BZ59&lt;=Hypothèses!$V$12,Hypothèses!$X$12,IF(BZ59&lt;=Hypothèses!$V$13,Hypothèses!$X$13,IF(BZ59&lt;=Hypothèses!$V$14,Hypothèses!$X$14,IF(BZ59&lt;=Hypothèses!$V$15,Hypothèses!$X$15,IF(BZ59&lt;=Hypothèses!$V$16,Hypothèses!$X$16,IF(BZ59&lt;=Hypothèses!$U$17,Hypothèses!$W$17,IF(BZ59&lt;=Hypothèses!$U$18,Hypothèses!$W$18,""))))))))))))</f>
        <v>#DIV/0!</v>
      </c>
      <c r="CW59" s="95" t="e">
        <f t="shared" ca="1" si="85"/>
        <v>#DIV/0!</v>
      </c>
      <c r="CX59" s="101">
        <f t="shared" si="127"/>
        <v>0</v>
      </c>
      <c r="CY59" s="91">
        <f t="shared" si="41"/>
        <v>0</v>
      </c>
      <c r="CZ59" s="30" t="e">
        <f t="shared" si="108"/>
        <v>#N/A</v>
      </c>
      <c r="DA59" s="30" t="e">
        <f t="shared" si="109"/>
        <v>#N/A</v>
      </c>
      <c r="DB59" s="31" t="e">
        <f>IF(OR(Hypothèses!$B$4=17,Hypothèses!$B$4=18,Hypothèses!$B$4=19,Hypothèses!$B$4=20),
IF($D59="Pressio.",
IF(OR($E59=3,$E59=1,$E59=4),DA59,CZ59),
IF($D59="Pénétro.",
IF(OR($E59=3,$E59=1,$E59=4),DA59,CZ59))),IF($D59="Pressio.",
IF($E59=3,DA59,CZ59),
IF($D59="Pénétro.",
IF($E59=4,DA59,CZ59))))</f>
        <v>#N/A</v>
      </c>
      <c r="DC59" s="31">
        <v>0</v>
      </c>
      <c r="DD59" s="102" t="e">
        <f>IF(NDC!$H$10="Oui",(VLOOKUP($B$3,'Coeff EC7'!$T$39:$X$59,2,0)*DB59+VLOOKUP($B$3,'Coeff EC7'!$T$65:$X$85,2,0)*Model0.1T!DC59)/1.5,PI()*CZ$12*$Q59*($B59-$B58)*0.15/10+DD58)</f>
        <v>#N/A</v>
      </c>
      <c r="DE59" s="102" t="e">
        <f>(VLOOKUP($B$3,'Coeff EC7'!$T$39:$X$59,3,0)*DB59+VLOOKUP($B$3,'Coeff EC7'!$T$65:$X$85,3,0)*Model0.1T!DC59)/1.1</f>
        <v>#N/A</v>
      </c>
      <c r="DF59" s="102" t="e">
        <f t="shared" si="86"/>
        <v>#N/A</v>
      </c>
      <c r="DG59" s="102" t="e">
        <f t="shared" si="87"/>
        <v>#N/A</v>
      </c>
      <c r="DH59" s="414" t="e">
        <f>IF(AND(DD59&gt;NDC!$C$63,DE59&gt;NDC!$C$65,DF59&gt;NDC!$D$73,DG59&gt;NDC!$D$74,$B59&gt;NDC!$H$22-0.1+MIN(3*DH$12,1.5)),0,1)</f>
        <v>#N/A</v>
      </c>
      <c r="DI59" s="86" t="b">
        <f t="shared" si="44"/>
        <v>0</v>
      </c>
      <c r="DJ59" s="86">
        <f t="shared" si="45"/>
        <v>0.5</v>
      </c>
      <c r="DK59" s="86">
        <f t="shared" si="46"/>
        <v>0.5</v>
      </c>
      <c r="DL59" s="30" t="e">
        <f t="shared" ca="1" si="88"/>
        <v>#DIV/0!</v>
      </c>
      <c r="DM59" s="85" t="e">
        <f ca="1">IF(CS59&lt;=Hypothèses!$V$7,Hypothèses!$W$7,IF(CS59&lt;=Hypothèses!$V$8,Hypothèses!$W$8,IF(CS59&lt;=Hypothèses!$V$9,Hypothèses!$W$9,IF(CS59&lt;=Hypothèses!$V$10,Hypothèses!$W$10,IF(CS59&lt;=Hypothèses!$V$11,Hypothèses!$W$11,IF(CS59&lt;=Hypothèses!$V$12,Hypothèses!$W$12,IF(CS59&lt;=Hypothèses!$V$13,Hypothèses!$W$13,IF(CS59&lt;=Hypothèses!$V$14,Hypothèses!$W$14,IF(CS59&lt;=Hypothèses!$V$15,Hypothèses!$W$15,IF(CS59&lt;=Hypothèses!$V$16,Hypothèses!$W$16,IF(CS59&lt;=Hypothèses!$V$17,Hypothèses!$W$17,IF(CS59&lt;=Hypothèses!$V$18,Hypothèses!$W$18,""))))))))))))</f>
        <v>#DIV/0!</v>
      </c>
      <c r="DN59" s="87" t="e">
        <f t="shared" ca="1" si="121"/>
        <v>#DIV/0!</v>
      </c>
      <c r="DO59" s="88" t="e">
        <f ca="1">IF(CS59&lt;=Hypothèses!$V$7,Hypothèses!$X$7,IF(CS59&lt;=Hypothèses!$V$8,Hypothèses!$X$8,IF(CS59&lt;=Hypothèses!$V$9,Hypothèses!$X$9,IF(CS59&lt;=Hypothèses!$V$10,Hypothèses!$X$10,IF(CS59&lt;=Hypothèses!$V$11,Hypothèses!$X$11,IF(CS59&lt;=Hypothèses!$V$12,Hypothèses!$X$12,IF(CS59&lt;=Hypothèses!$V$13,Hypothèses!$X$13,IF(CS59&lt;=Hypothèses!$V$14,Hypothèses!$X$14,IF(CS59&lt;=Hypothèses!$V$15,Hypothèses!$X$15,IF(CS59&lt;=Hypothèses!$V$16,Hypothèses!$X$16,IF(CS59&lt;=Hypothèses!$U$17,Hypothèses!$W$17,IF(CS59&lt;=Hypothèses!$U$18,Hypothèses!$W$18,""))))))))))))</f>
        <v>#DIV/0!</v>
      </c>
      <c r="DP59" s="95" t="e">
        <f t="shared" ca="1" si="89"/>
        <v>#DIV/0!</v>
      </c>
      <c r="DQ59" s="101">
        <f t="shared" si="128"/>
        <v>0</v>
      </c>
      <c r="DR59" s="91">
        <f t="shared" si="48"/>
        <v>0</v>
      </c>
      <c r="DS59" s="30" t="e">
        <f t="shared" si="110"/>
        <v>#N/A</v>
      </c>
      <c r="DT59" s="30" t="e">
        <f t="shared" si="111"/>
        <v>#N/A</v>
      </c>
      <c r="DU59" s="31" t="e">
        <f>IF(OR(Hypothèses!$B$4=17,Hypothèses!$B$4=18,Hypothèses!$B$4=19,Hypothèses!$B$4=20),
IF($D59="Pressio.",
IF(OR($E59=3,$E59=1,$E59=4),DT59,DS59),
IF($D59="Pénétro.",
IF(OR($E59=3,$E59=1,$E59=4),DT59,DS59))),IF($D59="Pressio.",
IF($E59=3,DT59,DS59),
IF($D59="Pénétro.",
IF($E59=4,DT59,DS59))))</f>
        <v>#N/A</v>
      </c>
      <c r="DV59" s="31">
        <v>0</v>
      </c>
      <c r="DW59" s="102" t="e">
        <f>IF(NDC!$H$10="Oui",(VLOOKUP($B$3,'Coeff EC7'!$T$39:$X$59,2,0)*DU59+VLOOKUP($B$3,'Coeff EC7'!$T$65:$X$85,2,0)*Model0.1T!DV59)/1.5,PI()*DS$12*$Q59*($B59-$B58)*0.15/10+DW58)</f>
        <v>#N/A</v>
      </c>
      <c r="DX59" s="102" t="e">
        <f>(VLOOKUP($B$3,'Coeff EC7'!$T$39:$X$59,3,0)*DU59+VLOOKUP($B$3,'Coeff EC7'!$T$65:$X$85,3,0)*Model0.1T!DV59)/1.1</f>
        <v>#N/A</v>
      </c>
      <c r="DY59" s="102" t="e">
        <f t="shared" si="90"/>
        <v>#N/A</v>
      </c>
      <c r="DZ59" s="102" t="e">
        <f t="shared" si="91"/>
        <v>#N/A</v>
      </c>
      <c r="EA59" s="414" t="e">
        <f>IF(AND(DW59&gt;NDC!$C$63,DX59&gt;NDC!$C$65,DY59&gt;NDC!$D$73,DZ59&gt;NDC!$D$74,$B59&gt;NDC!$H$22-0.1+MIN(3*EA$12,1.5)),0,1)</f>
        <v>#N/A</v>
      </c>
      <c r="EB59" s="86" t="b">
        <f t="shared" si="51"/>
        <v>0</v>
      </c>
      <c r="EC59" s="418">
        <f t="shared" si="52"/>
        <v>0.51</v>
      </c>
      <c r="ED59" s="86">
        <f t="shared" si="53"/>
        <v>0.51</v>
      </c>
      <c r="EE59" s="30" t="e">
        <f t="shared" ca="1" si="92"/>
        <v>#DIV/0!</v>
      </c>
      <c r="EF59" s="85" t="e">
        <f ca="1">IF(DL59&lt;=Hypothèses!$V$7,Hypothèses!$W$7,IF(DL59&lt;=Hypothèses!$V$8,Hypothèses!$W$8,IF(DL59&lt;=Hypothèses!$V$9,Hypothèses!$W$9,IF(DL59&lt;=Hypothèses!$V$10,Hypothèses!$W$10,IF(DL59&lt;=Hypothèses!$V$11,Hypothèses!$W$11,IF(DL59&lt;=Hypothèses!$V$12,Hypothèses!$W$12,IF(DL59&lt;=Hypothèses!$V$13,Hypothèses!$W$13,IF(DL59&lt;=Hypothèses!$V$14,Hypothèses!$W$14,IF(DL59&lt;=Hypothèses!$V$15,Hypothèses!$W$15,IF(DL59&lt;=Hypothèses!$V$16,Hypothèses!$W$16,IF(DL59&lt;=Hypothèses!$V$17,Hypothèses!$W$17,IF(DL59&lt;=Hypothèses!$V$18,Hypothèses!$W$18,""))))))))))))</f>
        <v>#DIV/0!</v>
      </c>
      <c r="EG59" s="87" t="e">
        <f t="shared" ca="1" si="122"/>
        <v>#DIV/0!</v>
      </c>
      <c r="EH59" s="88" t="e">
        <f ca="1">IF(DL59&lt;=Hypothèses!$V$7,Hypothèses!$X$7,IF(DL59&lt;=Hypothèses!$V$8,Hypothèses!$X$8,IF(DL59&lt;=Hypothèses!$V$9,Hypothèses!$X$9,IF(DL59&lt;=Hypothèses!$V$10,Hypothèses!$X$10,IF(DL59&lt;=Hypothèses!$V$11,Hypothèses!$X$11,IF(DL59&lt;=Hypothèses!$V$12,Hypothèses!$X$12,IF(DL59&lt;=Hypothèses!$V$13,Hypothèses!$X$13,IF(DL59&lt;=Hypothèses!$V$14,Hypothèses!$X$14,IF(DL59&lt;=Hypothèses!$V$15,Hypothèses!$X$15,IF(DL59&lt;=Hypothèses!$V$16,Hypothèses!$X$16,IF(DL59&lt;=Hypothèses!$U$17,Hypothèses!$W$17,IF(DL59&lt;=Hypothèses!$U$18,Hypothèses!$W$18,""))))))))))))</f>
        <v>#DIV/0!</v>
      </c>
      <c r="EI59" s="95" t="e">
        <f t="shared" ca="1" si="93"/>
        <v>#DIV/0!</v>
      </c>
      <c r="EJ59" s="101">
        <f t="shared" si="129"/>
        <v>0</v>
      </c>
      <c r="EK59" s="91">
        <f t="shared" si="55"/>
        <v>0</v>
      </c>
      <c r="EL59" s="30" t="e">
        <f t="shared" si="112"/>
        <v>#N/A</v>
      </c>
      <c r="EM59" s="30" t="e">
        <f t="shared" si="113"/>
        <v>#N/A</v>
      </c>
      <c r="EN59" s="31" t="e">
        <f>IF(OR(Hypothèses!$B$4=17,Hypothèses!$B$4=18,Hypothèses!$B$4=19,Hypothèses!$B$4=20),
IF($D59="Pressio.",
IF(OR($E59=3,$E59=1,$E59=4),EM59,EL59),
IF($D59="Pénétro.",
IF(OR($E59=3,$E59=1,$E59=4),EM59,EL59))),IF($D59="Pressio.",
IF($E59=3,EM59,EL59),
IF($D59="Pénétro.",
IF($E59=4,EM59,EL59))))</f>
        <v>#N/A</v>
      </c>
      <c r="EO59" s="31">
        <v>0</v>
      </c>
      <c r="EP59" s="102" t="e">
        <f>IF(NDC!$H$10="Oui",(VLOOKUP($B$3,'Coeff EC7'!$T$39:$X$59,2,0)*EN59+VLOOKUP($B$3,'Coeff EC7'!$T$65:$X$85,2,0)*Model0.1T!EO59)/1.5,PI()*EL$12*$Q59*($B59-$B58)*0.15/10+EP58)</f>
        <v>#N/A</v>
      </c>
      <c r="EQ59" s="102" t="e">
        <f>(VLOOKUP($B$3,'Coeff EC7'!$T$39:$X$59,3,0)*EN59+VLOOKUP($B$3,'Coeff EC7'!$T$65:$X$85,3,0)*Model0.1T!EO59)/1.1</f>
        <v>#N/A</v>
      </c>
      <c r="ER59" s="102" t="e">
        <f t="shared" si="94"/>
        <v>#N/A</v>
      </c>
      <c r="ES59" s="102" t="e">
        <f t="shared" si="95"/>
        <v>#N/A</v>
      </c>
      <c r="ET59" s="414" t="e">
        <f>IF(AND(EP59&gt;NDC!$C$63,EQ59&gt;NDC!$C$65,ER59&gt;NDC!$D$73,ES59&gt;NDC!$D$74,$B59&gt;NDC!$H$22-0.1+MIN(3*ET$12,1.5)),0,1)</f>
        <v>#N/A</v>
      </c>
      <c r="EU59" s="86" t="b">
        <f t="shared" si="58"/>
        <v>0</v>
      </c>
      <c r="EV59" s="86">
        <f t="shared" si="59"/>
        <v>0.61</v>
      </c>
      <c r="EW59" s="86">
        <f t="shared" si="60"/>
        <v>0.61</v>
      </c>
      <c r="EX59" s="30" t="e">
        <f t="shared" ca="1" si="96"/>
        <v>#DIV/0!</v>
      </c>
      <c r="EY59" s="85" t="e">
        <f ca="1">IF(EE59&lt;=Hypothèses!$V$7,Hypothèses!$W$7,IF(EE59&lt;=Hypothèses!$V$8,Hypothèses!$W$8,IF(EE59&lt;=Hypothèses!$V$9,Hypothèses!$W$9,IF(EE59&lt;=Hypothèses!$V$10,Hypothèses!$W$10,IF(EE59&lt;=Hypothèses!$V$11,Hypothèses!$W$11,IF(EE59&lt;=Hypothèses!$V$12,Hypothèses!$W$12,IF(EE59&lt;=Hypothèses!$V$13,Hypothèses!$W$13,IF(EE59&lt;=Hypothèses!$V$14,Hypothèses!$W$14,IF(EE59&lt;=Hypothèses!$V$15,Hypothèses!$W$15,IF(EE59&lt;=Hypothèses!$V$16,Hypothèses!$W$16,IF(EE59&lt;=Hypothèses!$V$17,Hypothèses!$W$17,IF(EE59&lt;=Hypothèses!$V$18,Hypothèses!$W$18,""))))))))))))</f>
        <v>#DIV/0!</v>
      </c>
      <c r="EZ59" s="87" t="e">
        <f t="shared" ca="1" si="123"/>
        <v>#DIV/0!</v>
      </c>
      <c r="FA59" s="88" t="e">
        <f ca="1">IF(EE59&lt;=Hypothèses!$V$7,Hypothèses!$X$7,IF(EE59&lt;=Hypothèses!$V$8,Hypothèses!$X$8,IF(EE59&lt;=Hypothèses!$V$9,Hypothèses!$X$9,IF(EE59&lt;=Hypothèses!$V$10,Hypothèses!$X$10,IF(EE59&lt;=Hypothèses!$V$11,Hypothèses!$X$11,IF(EE59&lt;=Hypothèses!$V$12,Hypothèses!$X$12,IF(EE59&lt;=Hypothèses!$V$13,Hypothèses!$X$13,IF(EE59&lt;=Hypothèses!$V$14,Hypothèses!$X$14,IF(EE59&lt;=Hypothèses!$V$15,Hypothèses!$X$15,IF(EE59&lt;=Hypothèses!$V$16,Hypothèses!$X$16,IF(EE59&lt;=Hypothèses!$U$17,Hypothèses!$W$17,IF(EE59&lt;=Hypothèses!$U$18,Hypothèses!$W$18,""))))))))))))</f>
        <v>#DIV/0!</v>
      </c>
      <c r="FB59" s="95" t="e">
        <f t="shared" ca="1" si="97"/>
        <v>#DIV/0!</v>
      </c>
      <c r="FC59" s="101">
        <f t="shared" si="130"/>
        <v>0</v>
      </c>
      <c r="FD59" s="91">
        <f t="shared" si="62"/>
        <v>0</v>
      </c>
      <c r="FE59" s="30" t="e">
        <f t="shared" si="114"/>
        <v>#N/A</v>
      </c>
      <c r="FF59" s="30" t="e">
        <f t="shared" si="115"/>
        <v>#N/A</v>
      </c>
      <c r="FG59" s="31" t="e">
        <f>IF(OR(Hypothèses!$B$4=17,Hypothèses!$B$4=18,Hypothèses!$B$4=19,Hypothèses!$B$4=20),
IF($D59="Pressio.",
IF(OR($E59=3,$E59=1,$E59=4),FF59,FE59),
IF($D59="Pénétro.",
IF(OR($E59=3,$E59=1,$E59=4),FF59,FE59))),IF($D59="Pressio.",
IF($E59=3,FF59,FE59),
IF($D59="Pénétro.",
IF($E59=4,FF59,FE59))))</f>
        <v>#N/A</v>
      </c>
      <c r="FH59" s="31">
        <v>0</v>
      </c>
      <c r="FI59" s="102" t="e">
        <f>IF(NDC!$H$10="Oui",(VLOOKUP($B$3,'Coeff EC7'!$T$39:$X$59,2,0)*FG59+VLOOKUP($B$3,'Coeff EC7'!$T$65:$X$85,2,0)*Model0.1T!FH59)/1.5,PI()*FE$12*$Q59*($B59-$B58)*0.15/10+FI58)</f>
        <v>#N/A</v>
      </c>
      <c r="FJ59" s="102" t="e">
        <f>(VLOOKUP($B$3,'Coeff EC7'!$T$39:$X$59,3,0)*FG59+VLOOKUP($B$3,'Coeff EC7'!$T$65:$X$85,3,0)*Model0.1T!FH59)/1.1</f>
        <v>#N/A</v>
      </c>
      <c r="FK59" s="102" t="e">
        <f t="shared" si="98"/>
        <v>#N/A</v>
      </c>
      <c r="FL59" s="102" t="e">
        <f t="shared" si="99"/>
        <v>#N/A</v>
      </c>
      <c r="FM59" s="414" t="e">
        <f>IF(AND(FI59&gt;NDC!$C$63,FJ59&gt;NDC!$C$65,FK59&gt;NDC!$D$73,FL59&gt;NDC!$D$74,$B59&gt;NDC!$H$22-0.1+MIN(3*FM$12,1.5)),0,1)</f>
        <v>#N/A</v>
      </c>
    </row>
    <row r="60" spans="1:169">
      <c r="A60" s="96">
        <f t="shared" si="65"/>
        <v>95.300000000000267</v>
      </c>
      <c r="B60" s="97">
        <v>4.7</v>
      </c>
      <c r="C60" s="81">
        <f>IF(B60&lt;=Hypothèses!$C$7,Hypothèses!$A$7,IF(B60&lt;=Hypothèses!$C$8,Hypothèses!$A$8,IF(B60&lt;=Hypothèses!$C$9,Hypothèses!$A$9,IF(B60&lt;=Hypothèses!$C$10,Hypothèses!$A$10,IF(B60&lt;=Hypothèses!$C$11,Hypothèses!$A$11,IF(B60&lt;=Hypothèses!$C$12,Hypothèses!$A$12,IF(B60&lt;=Hypothèses!$C$13,Hypothèses!$A$13,IF(B60&lt;=Hypothèses!$C$14,Hypothèses!$A$14,IF(B60&lt;=Hypothèses!$C$15,Hypothèses!$A$15,IF(B60&lt;=Hypothèses!$C$16,Hypothèses!$A$16,IF(B60&lt;=Hypothèses!$C$17,Hypothèses!$A$17,IF(B60&lt;=Hypothèses!$C$18,Hypothèses!$A$18,C59))))))))))))</f>
        <v>11</v>
      </c>
      <c r="D60" s="82" t="str">
        <f>IF(B60&lt;=Hypothèses!$C$7,Hypothèses!$R$7,IF(B60&lt;=Hypothèses!$C$8,Hypothèses!$R$8,IF(B60&lt;=Hypothèses!$C$9,Hypothèses!$R$9,IF(B60&lt;=Hypothèses!$C$10,Hypothèses!$R$10,IF(B60&lt;=Hypothèses!$C$11,Hypothèses!$R$11,IF(B60&lt;=Hypothèses!$C$12,Hypothèses!$R$12,IF(B60&lt;=Hypothèses!$C$13,Hypothèses!$R$13,IF(B60&lt;=Hypothèses!$C$14,Hypothèses!$R$14,IF(B60&lt;=Hypothèses!$C$15,Hypothèses!$R$15,IF(B60&lt;=Hypothèses!$C$16,Hypothèses!$R$16,IF(B60&lt;=Hypothèses!$C$17,Hypothèses!$R$17,IF(B60&lt;=Hypothèses!$C$18,Hypothèses!$R$18,D59))))))))))))</f>
        <v>Pressio.</v>
      </c>
      <c r="E60" s="82" t="e">
        <f>IF(B60&lt;=Hypothèses!$C$7,Hypothèses!$G$7,IF(B60&lt;=Hypothèses!$C$8,Hypothèses!$G$8,IF(B60&lt;=Hypothèses!$C$9,Hypothèses!$G$9,IF(B60&lt;=Hypothèses!$C$10,Hypothèses!$G$10,IF(B60&lt;=Hypothèses!$C$11,Hypothèses!$G$11,IF(B60&lt;=Hypothèses!$C$12,Hypothèses!$G$12,IF(B60&lt;=Hypothèses!$C$13,Hypothèses!$G$13,IF(B60&lt;=Hypothèses!$C$14,Hypothèses!$G$14,IF(B60&lt;=Hypothèses!$C$15,Hypothèses!$G$15,IF(B60&lt;=Hypothèses!$C$16,Hypothèses!$G$16,IF(B60&lt;=Hypothèses!$C$17,Hypothèses!$G$17,IF(B60&lt;=Hypothèses!$C$18,Hypothèses!$G$18,E59))))))))))))</f>
        <v>#N/A</v>
      </c>
      <c r="F60" s="82" t="str">
        <f>IF(B60&lt;=Hypothèses!$C$7,Hypothèses!$F$7,IF(B60&lt;=Hypothèses!$C$8,Hypothèses!$F$8,IF(B60&lt;=Hypothèses!$C$9,Hypothèses!$F$9,IF(B60&lt;=Hypothèses!$C$10,Hypothèses!$F$10,IF(B60&lt;=Hypothèses!$C$11,Hypothèses!$F$11,IF(B60&lt;=Hypothèses!$C$12,Hypothèses!$F$12,IF(B60&lt;=Hypothèses!$C$13,Hypothèses!$F$13,IF(B60&lt;=Hypothèses!$C$14,Hypothèses!$F$14,IF(B60&lt;=Hypothèses!$C$15,Hypothèses!$F$15,IF(B60&lt;=Hypothèses!$C$16,Hypothèses!$F$16,IF(B60&lt;=Hypothèses!$C$17,Hypothèses!$F$17,IF(B60&lt;=Hypothèses!$C$18,Hypothèses!$F$18,F59))))))))))))</f>
        <v/>
      </c>
      <c r="G60" s="91">
        <f t="array" ref="G60">INDEX('Coeff EC7'!$U$7:$X$27,
MATCH(Model0.1T!$B$3,'Coeff EC7'!$T$7:$T$27,0),
MATCH(Model0.1T!$D60&amp;Model0.1T!$B$4,
'Coeff EC7'!$U$6:$X$6&amp;
'Coeff EC7'!$U$5:$X$5,0))</f>
        <v>1.4</v>
      </c>
      <c r="H60" s="91">
        <f t="array" ref="H60">INDEX('Coeff EC7'!$Y$7:$AB$27,
MATCH(Model0.1T!$B$3,'Coeff EC7'!$T$7:$T$27,0),
MATCH(Model0.1T!$D60&amp;Model0.1T!$B$4,
'Coeff EC7'!$Y$6:$AB$6&amp;
'Coeff EC7'!$Y$5:$AB$5,0))</f>
        <v>1.7</v>
      </c>
      <c r="I60" s="83">
        <v>0</v>
      </c>
      <c r="J60" s="91" t="e">
        <f t="array" ref="J60">INDEX('Coeff EC7'!$D$33:$Q$33,1,MATCH(D60&amp;E60,'Coeff EC7'!$D$31:$Q$31&amp;'Coeff EC7'!$D$32:$Q$32,0))</f>
        <v>#N/A</v>
      </c>
      <c r="K60" s="91" t="e">
        <f t="array" ref="K60">INDEX('Coeff EC7'!$D$34:$Q$34,1,MATCH(D60&amp;E60,'Coeff EC7'!$D$31:$Q$31&amp;'Coeff EC7'!$D$32:$Q$32,0))</f>
        <v>#N/A</v>
      </c>
      <c r="L60" s="91" t="e">
        <f t="array" ref="L60">INDEX('Coeff EC7'!$D$35:$Q$35,1,MATCH(D60&amp;E60,'Coeff EC7'!$D$31:$Q$31&amp;'Coeff EC7'!$D$32:$Q$32,0))</f>
        <v>#N/A</v>
      </c>
      <c r="M60" s="98" t="e">
        <f t="shared" si="8"/>
        <v>#N/A</v>
      </c>
      <c r="N60" s="99" t="e">
        <f t="array" ref="N60">INDEX('Coeff EC7'!$D$7:$Q$27,MATCH($B$3,'Coeff EC7'!$C$7:$C$27,0),MATCH(D60&amp;E60,'Coeff EC7'!$D$5:$Q$5&amp;'Coeff EC7'!$D$6:$Q$6,0))</f>
        <v>#N/A</v>
      </c>
      <c r="O60" s="99" t="e">
        <f t="array" ref="O60">INDEX('Coeff EC7'!$D$41:$Q$61,MATCH($B$3,'Coeff EC7'!$C$41:$C$61,0),MATCH(D60&amp;E60,'Coeff EC7'!$D$39:$Q$39&amp;'Coeff EC7'!$D$40:$Q$40,0))</f>
        <v>#N/A</v>
      </c>
      <c r="P60" s="30" t="e">
        <f t="shared" si="66"/>
        <v>#N/A</v>
      </c>
      <c r="Q60" s="100" t="e">
        <f t="shared" si="10"/>
        <v>#N/A</v>
      </c>
      <c r="R60" s="86" t="b">
        <f t="shared" si="11"/>
        <v>0</v>
      </c>
      <c r="S60" s="86">
        <f t="shared" si="9"/>
        <v>0.5</v>
      </c>
      <c r="T60" s="86">
        <f t="shared" si="12"/>
        <v>0.5</v>
      </c>
      <c r="U60" s="30" t="e">
        <f t="shared" ca="1" si="67"/>
        <v>#DIV/0!</v>
      </c>
      <c r="V60" s="85" t="str">
        <f>IF(B60&lt;=Hypothèses!$V$7,Hypothèses!$W$7,IF(B60&lt;=Hypothèses!$V$8,Hypothèses!$W$8,IF(B60&lt;=Hypothèses!$V$9,Hypothèses!$W$9,IF(B60&lt;=Hypothèses!$V$10,Hypothèses!$W$10,IF(B60&lt;=Hypothèses!$V$11,Hypothèses!$W$11,IF(B60&lt;=Hypothèses!$V$12,Hypothèses!$W$12,IF(B60&lt;=Hypothèses!$V$13,Hypothèses!$W$13,IF(B60&lt;=Hypothèses!$V$14,Hypothèses!$W$14,IF(B60&lt;=Hypothèses!$V$15,Hypothèses!$W$15,IF(B60&lt;=Hypothèses!$V$16,Hypothèses!$W$16,IF(B60&lt;=Hypothèses!$V$17,Hypothèses!$W$17,IF(B60&lt;=Hypothèses!$V$18,Hypothèses!$W$18,""))))))))))))</f>
        <v/>
      </c>
      <c r="W60" s="87" t="e">
        <f t="shared" ca="1" si="116"/>
        <v>#DIV/0!</v>
      </c>
      <c r="X60" s="88" t="str">
        <f>IF(B60&lt;=Hypothèses!$V$7,Hypothèses!$X$7,IF(B60&lt;=Hypothèses!$V$8,Hypothèses!$X$8,IF(B60&lt;=Hypothèses!$V$9,Hypothèses!$X$9,IF(B60&lt;=Hypothèses!$V$10,Hypothèses!$X$10,IF(B60&lt;=Hypothèses!$V$11,Hypothèses!$X$11,IF(B60&lt;=Hypothèses!$V$12,Hypothèses!$X$12,IF(B60&lt;=Hypothèses!$V$13,Hypothèses!$X$13,IF(B60&lt;=Hypothèses!$V$14,Hypothèses!$X$14,IF(B60&lt;=Hypothèses!$V$15,Hypothèses!$X$15,IF(B60&lt;=Hypothèses!$V$16,Hypothèses!$X$16,IF(B60&lt;=Hypothèses!$U$17,Hypothèses!$W$17,IF(B60&lt;=Hypothèses!$U$18,Hypothèses!$W$18,""))))))))))))</f>
        <v/>
      </c>
      <c r="Y60" s="95" t="e">
        <f t="shared" ca="1" si="13"/>
        <v>#DIV/0!</v>
      </c>
      <c r="Z60" s="101">
        <f t="shared" si="14"/>
        <v>0</v>
      </c>
      <c r="AA60" s="91">
        <f t="shared" si="15"/>
        <v>0</v>
      </c>
      <c r="AB60" s="30" t="e">
        <f t="shared" si="100"/>
        <v>#N/A</v>
      </c>
      <c r="AC60" s="30" t="e">
        <f t="shared" si="101"/>
        <v>#N/A</v>
      </c>
      <c r="AD60" s="31" t="e">
        <f>IF(OR(Hypothèses!$B$4=17,Hypothèses!$B$4=18,Hypothèses!$B$4=19,Hypothèses!$B$4=20),
IF($D60="Pressio.",
IF(OR($E60=3,$E60=1,$E60=4),AC60,AB60),
IF($D60="Pénétro.",
IF(OR($E60=3,$E60=1,$E60=4),AC60,AB60))),IF($D60="Pressio.",
IF($E60=3,AC60,AB60),
IF($D60="Pénétro.",
IF($E60=4,AC60,AB60))))</f>
        <v>#N/A</v>
      </c>
      <c r="AE60" s="31">
        <v>0</v>
      </c>
      <c r="AF60" s="102" t="e">
        <f>IF(NDC!$H$10="Oui",(VLOOKUP($B$3,'Coeff EC7'!$T$39:$X$59,2,0)*AD60+VLOOKUP($B$3,'Coeff EC7'!$T$65:$X$85,2,0)*Model0.1T!AE60)/1.5,PI()*AB$12*$Q60*($B60-$B59)*0.15/10+AF59)</f>
        <v>#N/A</v>
      </c>
      <c r="AG60" s="102" t="e">
        <f>(VLOOKUP($B$3,'Coeff EC7'!$T$39:$X$59,3,0)*AD60+VLOOKUP($B$3,'Coeff EC7'!$T$65:$X$85,3,0)*Model0.1T!AE60)/1.1</f>
        <v>#N/A</v>
      </c>
      <c r="AH60" s="102" t="e">
        <f t="shared" si="68"/>
        <v>#N/A</v>
      </c>
      <c r="AI60" s="102" t="e">
        <f t="shared" si="69"/>
        <v>#N/A</v>
      </c>
      <c r="AJ60" s="414" t="e">
        <f>IF(AND(AF60&gt;NDC!$C$63,AG60&gt;NDC!$C$65,AH60&gt;NDC!$D$73,AI60&gt;NDC!$D$74,$B60&gt;NDC!$H$22-0.1+MIN(3*$AJ$12,1.5)),0,1)</f>
        <v>#N/A</v>
      </c>
      <c r="AK60" s="86" t="b">
        <f t="shared" si="18"/>
        <v>0</v>
      </c>
      <c r="AL60" s="86">
        <f t="shared" si="70"/>
        <v>0.5</v>
      </c>
      <c r="AM60" s="86">
        <f t="shared" si="19"/>
        <v>0.5</v>
      </c>
      <c r="AN60" s="30" t="e">
        <f t="shared" ca="1" si="71"/>
        <v>#DIV/0!</v>
      </c>
      <c r="AO60" s="85" t="e">
        <f ca="1">IF(U60&lt;=Hypothèses!$V$7,Hypothèses!$W$7,IF(U60&lt;=Hypothèses!$V$8,Hypothèses!$W$8,IF(U60&lt;=Hypothèses!$V$9,Hypothèses!$W$9,IF(U60&lt;=Hypothèses!$V$10,Hypothèses!$W$10,IF(U60&lt;=Hypothèses!$V$11,Hypothèses!$W$11,IF(U60&lt;=Hypothèses!$V$12,Hypothèses!$W$12,IF(U60&lt;=Hypothèses!$V$13,Hypothèses!$W$13,IF(U60&lt;=Hypothèses!$V$14,Hypothèses!$W$14,IF(U60&lt;=Hypothèses!$V$15,Hypothèses!$W$15,IF(U60&lt;=Hypothèses!$V$16,Hypothèses!$W$16,IF(U60&lt;=Hypothèses!$V$17,Hypothèses!$W$17,IF(U60&lt;=Hypothèses!$V$18,Hypothèses!$W$18,""))))))))))))</f>
        <v>#DIV/0!</v>
      </c>
      <c r="AP60" s="87" t="e">
        <f t="shared" ca="1" si="117"/>
        <v>#DIV/0!</v>
      </c>
      <c r="AQ60" s="88" t="e">
        <f ca="1">IF(U60&lt;=Hypothèses!$V$7,Hypothèses!$X$7,IF(U60&lt;=Hypothèses!$V$8,Hypothèses!$X$8,IF(U60&lt;=Hypothèses!$V$9,Hypothèses!$X$9,IF(U60&lt;=Hypothèses!$V$10,Hypothèses!$X$10,IF(U60&lt;=Hypothèses!$V$11,Hypothèses!$X$11,IF(U60&lt;=Hypothèses!$V$12,Hypothèses!$X$12,IF(U60&lt;=Hypothèses!$V$13,Hypothèses!$X$13,IF(U60&lt;=Hypothèses!$V$14,Hypothèses!$X$14,IF(U60&lt;=Hypothèses!$V$15,Hypothèses!$X$15,IF(U60&lt;=Hypothèses!$V$16,Hypothèses!$X$16,IF(U60&lt;=Hypothèses!$U$17,Hypothèses!$W$17,IF(U60&lt;=Hypothèses!$U$18,Hypothèses!$W$18,""))))))))))))</f>
        <v>#DIV/0!</v>
      </c>
      <c r="AR60" s="95" t="e">
        <f t="shared" ca="1" si="72"/>
        <v>#DIV/0!</v>
      </c>
      <c r="AS60" s="101">
        <f t="shared" si="124"/>
        <v>0</v>
      </c>
      <c r="AT60" s="91">
        <f t="shared" si="21"/>
        <v>0</v>
      </c>
      <c r="AU60" s="30" t="e">
        <f t="shared" si="102"/>
        <v>#N/A</v>
      </c>
      <c r="AV60" s="30" t="e">
        <f t="shared" si="103"/>
        <v>#N/A</v>
      </c>
      <c r="AW60" s="31" t="e">
        <f>IF(OR(Hypothèses!$B$4=17,Hypothèses!$B$4=18,Hypothèses!$B$4=19,Hypothèses!$B$4=20),
IF($D60="Pressio.",
IF(OR($E60=3,$E60=1,$E60=4),AV60,AU60),
IF($D60="Pénétro.",
IF(OR($E60=3,$E60=1,$E60=4),AV60,AU60))),IF($D60="Pressio.",
IF($E60=3,AV60,AU60),
IF($D60="Pénétro.",
IF($E60=4,AV60,AU60))))</f>
        <v>#N/A</v>
      </c>
      <c r="AX60" s="31">
        <v>0</v>
      </c>
      <c r="AY60" s="102" t="e">
        <f>IF(NDC!$H$10="Oui",(VLOOKUP($B$3,'Coeff EC7'!$T$39:$X$59,2,0)*AW60+VLOOKUP($B$3,'Coeff EC7'!$T$65:$X$85,2,0)*Model0.1T!AX60)/1.5,PI()*AU$12*$Q60*($B60-$B59)*0.15/10+AY59)</f>
        <v>#N/A</v>
      </c>
      <c r="AZ60" s="102" t="e">
        <f>(VLOOKUP($B$3,'Coeff EC7'!$T$39:$X$59,3,0)*AW60+VLOOKUP($B$3,'Coeff EC7'!$T$65:$X$85,3,0)*Model0.1T!AX60)/1.1</f>
        <v>#N/A</v>
      </c>
      <c r="BA60" s="102" t="e">
        <f t="shared" si="73"/>
        <v>#N/A</v>
      </c>
      <c r="BB60" s="102" t="e">
        <f t="shared" si="74"/>
        <v>#N/A</v>
      </c>
      <c r="BC60" s="414" t="e">
        <f>IF(AND(AY60&gt;NDC!$C$63,AZ60&gt;NDC!$C$65,BA60&gt;NDC!$D$73,BB60&gt;NDC!$D$74,$B60&gt;NDC!$H$22-0.1+MIN(3*BC$12,1.5)),0,1)</f>
        <v>#N/A</v>
      </c>
      <c r="BD60" s="86" t="b">
        <f t="shared" si="24"/>
        <v>0</v>
      </c>
      <c r="BE60" s="86">
        <f t="shared" si="75"/>
        <v>0.5</v>
      </c>
      <c r="BF60" s="86">
        <f t="shared" si="25"/>
        <v>0.5</v>
      </c>
      <c r="BG60" s="30" t="e">
        <f t="shared" ca="1" si="76"/>
        <v>#DIV/0!</v>
      </c>
      <c r="BH60" s="85" t="e">
        <f ca="1">IF(AN60&lt;=Hypothèses!$V$7,Hypothèses!$W$7,IF(AN60&lt;=Hypothèses!$V$8,Hypothèses!$W$8,IF(AN60&lt;=Hypothèses!$V$9,Hypothèses!$W$9,IF(AN60&lt;=Hypothèses!$V$10,Hypothèses!$W$10,IF(AN60&lt;=Hypothèses!$V$11,Hypothèses!$W$11,IF(AN60&lt;=Hypothèses!$V$12,Hypothèses!$W$12,IF(AN60&lt;=Hypothèses!$V$13,Hypothèses!$W$13,IF(AN60&lt;=Hypothèses!$V$14,Hypothèses!$W$14,IF(AN60&lt;=Hypothèses!$V$15,Hypothèses!$W$15,IF(AN60&lt;=Hypothèses!$V$16,Hypothèses!$W$16,IF(AN60&lt;=Hypothèses!$V$17,Hypothèses!$W$17,IF(AN60&lt;=Hypothèses!$V$18,Hypothèses!$W$18,""))))))))))))</f>
        <v>#DIV/0!</v>
      </c>
      <c r="BI60" s="87" t="e">
        <f t="shared" ca="1" si="118"/>
        <v>#DIV/0!</v>
      </c>
      <c r="BJ60" s="88" t="e">
        <f ca="1">IF(AN60&lt;=Hypothèses!$V$7,Hypothèses!$X$7,IF(AN60&lt;=Hypothèses!$V$8,Hypothèses!$X$8,IF(AN60&lt;=Hypothèses!$V$9,Hypothèses!$X$9,IF(AN60&lt;=Hypothèses!$V$10,Hypothèses!$X$10,IF(AN60&lt;=Hypothèses!$V$11,Hypothèses!$X$11,IF(AN60&lt;=Hypothèses!$V$12,Hypothèses!$X$12,IF(AN60&lt;=Hypothèses!$V$13,Hypothèses!$X$13,IF(AN60&lt;=Hypothèses!$V$14,Hypothèses!$X$14,IF(AN60&lt;=Hypothèses!$V$15,Hypothèses!$X$15,IF(AN60&lt;=Hypothèses!$V$16,Hypothèses!$X$16,IF(AN60&lt;=Hypothèses!$U$17,Hypothèses!$W$17,IF(AN60&lt;=Hypothèses!$U$18,Hypothèses!$W$18,""))))))))))))</f>
        <v>#DIV/0!</v>
      </c>
      <c r="BK60" s="95" t="e">
        <f t="shared" ca="1" si="77"/>
        <v>#DIV/0!</v>
      </c>
      <c r="BL60" s="101">
        <f t="shared" si="125"/>
        <v>0</v>
      </c>
      <c r="BM60" s="91">
        <f t="shared" si="27"/>
        <v>0</v>
      </c>
      <c r="BN60" s="30" t="e">
        <f t="shared" si="104"/>
        <v>#N/A</v>
      </c>
      <c r="BO60" s="30" t="e">
        <f t="shared" si="105"/>
        <v>#N/A</v>
      </c>
      <c r="BP60" s="31" t="e">
        <f>IF(OR(Hypothèses!$B$4=17,Hypothèses!$B$4=18,Hypothèses!$B$4=19,Hypothèses!$B$4=20),
IF($D60="Pressio.",
IF(OR($E60=3,$E60=1,$E60=4),BO60,BN60),
IF($D60="Pénétro.",
IF(OR($E60=3,$E60=1,$E60=4),BO60,BN60))),IF($D60="Pressio.",
IF($E60=3,BO60,BN60),
IF($D60="Pénétro.",
IF($E60=4,BO60,BN60))))</f>
        <v>#N/A</v>
      </c>
      <c r="BQ60" s="31">
        <v>0</v>
      </c>
      <c r="BR60" s="102" t="e">
        <f>IF(NDC!$H$10="Oui",(VLOOKUP($B$3,'Coeff EC7'!$T$39:$X$59,2,0)*BP60+VLOOKUP($B$3,'Coeff EC7'!$T$65:$X$85,2,0)*Model0.1T!BQ60)/1.5,PI()*BN$12*$Q60*($B60-$B59)*0.15/10+BR59)</f>
        <v>#N/A</v>
      </c>
      <c r="BS60" s="102" t="e">
        <f>(VLOOKUP($B$3,'Coeff EC7'!$T$39:$X$59,3,0)*BP60+VLOOKUP($B$3,'Coeff EC7'!$T$65:$X$85,3,0)*Model0.1T!BQ60)/1.1</f>
        <v>#N/A</v>
      </c>
      <c r="BT60" s="102" t="e">
        <f t="shared" si="78"/>
        <v>#N/A</v>
      </c>
      <c r="BU60" s="102" t="e">
        <f t="shared" si="79"/>
        <v>#N/A</v>
      </c>
      <c r="BV60" s="414" t="e">
        <f>IF(AND(BR60&gt;NDC!$C$63,BS60&gt;NDC!$C$65,BT60&gt;NDC!$D$73,BU60&gt;NDC!$D$74,$B60&gt;NDC!$H$22-0.1+MIN(3*BV$12,1.5)),0,1)</f>
        <v>#N/A</v>
      </c>
      <c r="BW60" s="86" t="b">
        <f t="shared" si="30"/>
        <v>0</v>
      </c>
      <c r="BX60" s="86">
        <f t="shared" si="31"/>
        <v>0.5</v>
      </c>
      <c r="BY60" s="86">
        <f t="shared" si="32"/>
        <v>0.5</v>
      </c>
      <c r="BZ60" s="30" t="e">
        <f t="shared" ca="1" si="80"/>
        <v>#DIV/0!</v>
      </c>
      <c r="CA60" s="85" t="e">
        <f ca="1">IF(BG60&lt;=Hypothèses!$V$7,Hypothèses!$W$7,IF(BG60&lt;=Hypothèses!$V$8,Hypothèses!$W$8,IF(BG60&lt;=Hypothèses!$V$9,Hypothèses!$W$9,IF(BG60&lt;=Hypothèses!$V$10,Hypothèses!$W$10,IF(BG60&lt;=Hypothèses!$V$11,Hypothèses!$W$11,IF(BG60&lt;=Hypothèses!$V$12,Hypothèses!$W$12,IF(BG60&lt;=Hypothèses!$V$13,Hypothèses!$W$13,IF(BG60&lt;=Hypothèses!$V$14,Hypothèses!$W$14,IF(BG60&lt;=Hypothèses!$V$15,Hypothèses!$W$15,IF(BG60&lt;=Hypothèses!$V$16,Hypothèses!$W$16,IF(BG60&lt;=Hypothèses!$V$17,Hypothèses!$W$17,IF(BG60&lt;=Hypothèses!$V$18,Hypothèses!$W$18,""))))))))))))</f>
        <v>#DIV/0!</v>
      </c>
      <c r="CB60" s="87" t="e">
        <f t="shared" ca="1" si="119"/>
        <v>#DIV/0!</v>
      </c>
      <c r="CC60" s="88" t="e">
        <f ca="1">IF(BG60&lt;=Hypothèses!$V$7,Hypothèses!$X$7,IF(BG60&lt;=Hypothèses!$V$8,Hypothèses!$X$8,IF(BG60&lt;=Hypothèses!$V$9,Hypothèses!$X$9,IF(BG60&lt;=Hypothèses!$V$10,Hypothèses!$X$10,IF(BG60&lt;=Hypothèses!$V$11,Hypothèses!$X$11,IF(BG60&lt;=Hypothèses!$V$12,Hypothèses!$X$12,IF(BG60&lt;=Hypothèses!$V$13,Hypothèses!$X$13,IF(BG60&lt;=Hypothèses!$V$14,Hypothèses!$X$14,IF(BG60&lt;=Hypothèses!$V$15,Hypothèses!$X$15,IF(BG60&lt;=Hypothèses!$V$16,Hypothèses!$X$16,IF(BG60&lt;=Hypothèses!$U$17,Hypothèses!$W$17,IF(BG60&lt;=Hypothèses!$U$18,Hypothèses!$W$18,""))))))))))))</f>
        <v>#DIV/0!</v>
      </c>
      <c r="CD60" s="95" t="e">
        <f t="shared" ca="1" si="81"/>
        <v>#DIV/0!</v>
      </c>
      <c r="CE60" s="101">
        <f t="shared" si="126"/>
        <v>0</v>
      </c>
      <c r="CF60" s="91">
        <f t="shared" si="34"/>
        <v>0</v>
      </c>
      <c r="CG60" s="30" t="e">
        <f t="shared" si="106"/>
        <v>#N/A</v>
      </c>
      <c r="CH60" s="30" t="e">
        <f t="shared" si="107"/>
        <v>#N/A</v>
      </c>
      <c r="CI60" s="31" t="e">
        <f>IF(OR(Hypothèses!$B$4=17,Hypothèses!$B$4=18,Hypothèses!$B$4=19,Hypothèses!$B$4=20),
IF($D60="Pressio.",
IF(OR($E60=3,$E60=1,$E60=4),CH60,CG60),
IF($D60="Pénétro.",
IF(OR($E60=3,$E60=1,$E60=4),CH60,CG60))),IF($D60="Pressio.",
IF($E60=3,CH60,CG60),
IF($D60="Pénétro.",
IF($E60=4,CH60,CG60))))</f>
        <v>#N/A</v>
      </c>
      <c r="CJ60" s="31">
        <v>0</v>
      </c>
      <c r="CK60" s="102" t="e">
        <f>IF(NDC!$H$10="Oui",(VLOOKUP($B$3,'Coeff EC7'!$T$39:$X$59,2,0)*CI60+VLOOKUP($B$3,'Coeff EC7'!$T$65:$X$85,2,0)*Model0.1T!CJ60)/1.5,PI()*CG$12*$Q60*($B60-$B59)*0.15/10+CK59)</f>
        <v>#N/A</v>
      </c>
      <c r="CL60" s="102" t="e">
        <f>(VLOOKUP($B$3,'Coeff EC7'!$T$39:$X$59,3,0)*CI60+VLOOKUP($B$3,'Coeff EC7'!$T$65:$X$85,3,0)*Model0.1T!CJ60)/1.1</f>
        <v>#N/A</v>
      </c>
      <c r="CM60" s="102" t="e">
        <f t="shared" si="82"/>
        <v>#N/A</v>
      </c>
      <c r="CN60" s="102" t="e">
        <f t="shared" si="83"/>
        <v>#N/A</v>
      </c>
      <c r="CO60" s="414" t="e">
        <f>IF(AND(CK60&gt;NDC!$C$63,CL60&gt;NDC!$C$65,CM60&gt;NDC!$D$73,CN60&gt;NDC!$D$74,$B60&gt;NDC!$H$22-0.1+MIN(3*CO$12,1.5)),0,1)</f>
        <v>#N/A</v>
      </c>
      <c r="CP60" s="86" t="b">
        <f t="shared" si="37"/>
        <v>0</v>
      </c>
      <c r="CQ60" s="86">
        <f t="shared" si="38"/>
        <v>0.5</v>
      </c>
      <c r="CR60" s="86">
        <f t="shared" si="39"/>
        <v>0.5</v>
      </c>
      <c r="CS60" s="30" t="e">
        <f t="shared" ca="1" si="84"/>
        <v>#DIV/0!</v>
      </c>
      <c r="CT60" s="85" t="e">
        <f ca="1">IF(BZ60&lt;=Hypothèses!$V$7,Hypothèses!$W$7,IF(BZ60&lt;=Hypothèses!$V$8,Hypothèses!$W$8,IF(BZ60&lt;=Hypothèses!$V$9,Hypothèses!$W$9,IF(BZ60&lt;=Hypothèses!$V$10,Hypothèses!$W$10,IF(BZ60&lt;=Hypothèses!$V$11,Hypothèses!$W$11,IF(BZ60&lt;=Hypothèses!$V$12,Hypothèses!$W$12,IF(BZ60&lt;=Hypothèses!$V$13,Hypothèses!$W$13,IF(BZ60&lt;=Hypothèses!$V$14,Hypothèses!$W$14,IF(BZ60&lt;=Hypothèses!$V$15,Hypothèses!$W$15,IF(BZ60&lt;=Hypothèses!$V$16,Hypothèses!$W$16,IF(BZ60&lt;=Hypothèses!$V$17,Hypothèses!$W$17,IF(BZ60&lt;=Hypothèses!$V$18,Hypothèses!$W$18,""))))))))))))</f>
        <v>#DIV/0!</v>
      </c>
      <c r="CU60" s="87" t="e">
        <f t="shared" ca="1" si="120"/>
        <v>#DIV/0!</v>
      </c>
      <c r="CV60" s="88" t="e">
        <f ca="1">IF(BZ60&lt;=Hypothèses!$V$7,Hypothèses!$X$7,IF(BZ60&lt;=Hypothèses!$V$8,Hypothèses!$X$8,IF(BZ60&lt;=Hypothèses!$V$9,Hypothèses!$X$9,IF(BZ60&lt;=Hypothèses!$V$10,Hypothèses!$X$10,IF(BZ60&lt;=Hypothèses!$V$11,Hypothèses!$X$11,IF(BZ60&lt;=Hypothèses!$V$12,Hypothèses!$X$12,IF(BZ60&lt;=Hypothèses!$V$13,Hypothèses!$X$13,IF(BZ60&lt;=Hypothèses!$V$14,Hypothèses!$X$14,IF(BZ60&lt;=Hypothèses!$V$15,Hypothèses!$X$15,IF(BZ60&lt;=Hypothèses!$V$16,Hypothèses!$X$16,IF(BZ60&lt;=Hypothèses!$U$17,Hypothèses!$W$17,IF(BZ60&lt;=Hypothèses!$U$18,Hypothèses!$W$18,""))))))))))))</f>
        <v>#DIV/0!</v>
      </c>
      <c r="CW60" s="95" t="e">
        <f t="shared" ca="1" si="85"/>
        <v>#DIV/0!</v>
      </c>
      <c r="CX60" s="101">
        <f t="shared" si="127"/>
        <v>0</v>
      </c>
      <c r="CY60" s="91">
        <f t="shared" si="41"/>
        <v>0</v>
      </c>
      <c r="CZ60" s="30" t="e">
        <f t="shared" si="108"/>
        <v>#N/A</v>
      </c>
      <c r="DA60" s="30" t="e">
        <f t="shared" si="109"/>
        <v>#N/A</v>
      </c>
      <c r="DB60" s="31" t="e">
        <f>IF(OR(Hypothèses!$B$4=17,Hypothèses!$B$4=18,Hypothèses!$B$4=19,Hypothèses!$B$4=20),
IF($D60="Pressio.",
IF(OR($E60=3,$E60=1,$E60=4),DA60,CZ60),
IF($D60="Pénétro.",
IF(OR($E60=3,$E60=1,$E60=4),DA60,CZ60))),IF($D60="Pressio.",
IF($E60=3,DA60,CZ60),
IF($D60="Pénétro.",
IF($E60=4,DA60,CZ60))))</f>
        <v>#N/A</v>
      </c>
      <c r="DC60" s="31">
        <v>0</v>
      </c>
      <c r="DD60" s="102" t="e">
        <f>IF(NDC!$H$10="Oui",(VLOOKUP($B$3,'Coeff EC7'!$T$39:$X$59,2,0)*DB60+VLOOKUP($B$3,'Coeff EC7'!$T$65:$X$85,2,0)*Model0.1T!DC60)/1.5,PI()*CZ$12*$Q60*($B60-$B59)*0.15/10+DD59)</f>
        <v>#N/A</v>
      </c>
      <c r="DE60" s="102" t="e">
        <f>(VLOOKUP($B$3,'Coeff EC7'!$T$39:$X$59,3,0)*DB60+VLOOKUP($B$3,'Coeff EC7'!$T$65:$X$85,3,0)*Model0.1T!DC60)/1.1</f>
        <v>#N/A</v>
      </c>
      <c r="DF60" s="102" t="e">
        <f t="shared" si="86"/>
        <v>#N/A</v>
      </c>
      <c r="DG60" s="102" t="e">
        <f t="shared" si="87"/>
        <v>#N/A</v>
      </c>
      <c r="DH60" s="414" t="e">
        <f>IF(AND(DD60&gt;NDC!$C$63,DE60&gt;NDC!$C$65,DF60&gt;NDC!$D$73,DG60&gt;NDC!$D$74,$B60&gt;NDC!$H$22-0.1+MIN(3*DH$12,1.5)),0,1)</f>
        <v>#N/A</v>
      </c>
      <c r="DI60" s="86" t="b">
        <f t="shared" si="44"/>
        <v>0</v>
      </c>
      <c r="DJ60" s="86">
        <f t="shared" si="45"/>
        <v>0.5</v>
      </c>
      <c r="DK60" s="86">
        <f t="shared" si="46"/>
        <v>0.5</v>
      </c>
      <c r="DL60" s="30" t="e">
        <f t="shared" ca="1" si="88"/>
        <v>#DIV/0!</v>
      </c>
      <c r="DM60" s="85" t="e">
        <f ca="1">IF(CS60&lt;=Hypothèses!$V$7,Hypothèses!$W$7,IF(CS60&lt;=Hypothèses!$V$8,Hypothèses!$W$8,IF(CS60&lt;=Hypothèses!$V$9,Hypothèses!$W$9,IF(CS60&lt;=Hypothèses!$V$10,Hypothèses!$W$10,IF(CS60&lt;=Hypothèses!$V$11,Hypothèses!$W$11,IF(CS60&lt;=Hypothèses!$V$12,Hypothèses!$W$12,IF(CS60&lt;=Hypothèses!$V$13,Hypothèses!$W$13,IF(CS60&lt;=Hypothèses!$V$14,Hypothèses!$W$14,IF(CS60&lt;=Hypothèses!$V$15,Hypothèses!$W$15,IF(CS60&lt;=Hypothèses!$V$16,Hypothèses!$W$16,IF(CS60&lt;=Hypothèses!$V$17,Hypothèses!$W$17,IF(CS60&lt;=Hypothèses!$V$18,Hypothèses!$W$18,""))))))))))))</f>
        <v>#DIV/0!</v>
      </c>
      <c r="DN60" s="87" t="e">
        <f t="shared" ca="1" si="121"/>
        <v>#DIV/0!</v>
      </c>
      <c r="DO60" s="88" t="e">
        <f ca="1">IF(CS60&lt;=Hypothèses!$V$7,Hypothèses!$X$7,IF(CS60&lt;=Hypothèses!$V$8,Hypothèses!$X$8,IF(CS60&lt;=Hypothèses!$V$9,Hypothèses!$X$9,IF(CS60&lt;=Hypothèses!$V$10,Hypothèses!$X$10,IF(CS60&lt;=Hypothèses!$V$11,Hypothèses!$X$11,IF(CS60&lt;=Hypothèses!$V$12,Hypothèses!$X$12,IF(CS60&lt;=Hypothèses!$V$13,Hypothèses!$X$13,IF(CS60&lt;=Hypothèses!$V$14,Hypothèses!$X$14,IF(CS60&lt;=Hypothèses!$V$15,Hypothèses!$X$15,IF(CS60&lt;=Hypothèses!$V$16,Hypothèses!$X$16,IF(CS60&lt;=Hypothèses!$U$17,Hypothèses!$W$17,IF(CS60&lt;=Hypothèses!$U$18,Hypothèses!$W$18,""))))))))))))</f>
        <v>#DIV/0!</v>
      </c>
      <c r="DP60" s="95" t="e">
        <f t="shared" ca="1" si="89"/>
        <v>#DIV/0!</v>
      </c>
      <c r="DQ60" s="101">
        <f t="shared" si="128"/>
        <v>0</v>
      </c>
      <c r="DR60" s="91">
        <f t="shared" si="48"/>
        <v>0</v>
      </c>
      <c r="DS60" s="30" t="e">
        <f t="shared" si="110"/>
        <v>#N/A</v>
      </c>
      <c r="DT60" s="30" t="e">
        <f t="shared" si="111"/>
        <v>#N/A</v>
      </c>
      <c r="DU60" s="31" t="e">
        <f>IF(OR(Hypothèses!$B$4=17,Hypothèses!$B$4=18,Hypothèses!$B$4=19,Hypothèses!$B$4=20),
IF($D60="Pressio.",
IF(OR($E60=3,$E60=1,$E60=4),DT60,DS60),
IF($D60="Pénétro.",
IF(OR($E60=3,$E60=1,$E60=4),DT60,DS60))),IF($D60="Pressio.",
IF($E60=3,DT60,DS60),
IF($D60="Pénétro.",
IF($E60=4,DT60,DS60))))</f>
        <v>#N/A</v>
      </c>
      <c r="DV60" s="31">
        <v>0</v>
      </c>
      <c r="DW60" s="102" t="e">
        <f>IF(NDC!$H$10="Oui",(VLOOKUP($B$3,'Coeff EC7'!$T$39:$X$59,2,0)*DU60+VLOOKUP($B$3,'Coeff EC7'!$T$65:$X$85,2,0)*Model0.1T!DV60)/1.5,PI()*DS$12*$Q60*($B60-$B59)*0.15/10+DW59)</f>
        <v>#N/A</v>
      </c>
      <c r="DX60" s="102" t="e">
        <f>(VLOOKUP($B$3,'Coeff EC7'!$T$39:$X$59,3,0)*DU60+VLOOKUP($B$3,'Coeff EC7'!$T$65:$X$85,3,0)*Model0.1T!DV60)/1.1</f>
        <v>#N/A</v>
      </c>
      <c r="DY60" s="102" t="e">
        <f t="shared" si="90"/>
        <v>#N/A</v>
      </c>
      <c r="DZ60" s="102" t="e">
        <f t="shared" si="91"/>
        <v>#N/A</v>
      </c>
      <c r="EA60" s="414" t="e">
        <f>IF(AND(DW60&gt;NDC!$C$63,DX60&gt;NDC!$C$65,DY60&gt;NDC!$D$73,DZ60&gt;NDC!$D$74,$B60&gt;NDC!$H$22-0.1+MIN(3*EA$12,1.5)),0,1)</f>
        <v>#N/A</v>
      </c>
      <c r="EB60" s="86" t="b">
        <f t="shared" si="51"/>
        <v>0</v>
      </c>
      <c r="EC60" s="418">
        <f t="shared" si="52"/>
        <v>0.51</v>
      </c>
      <c r="ED60" s="86">
        <f t="shared" si="53"/>
        <v>0.51</v>
      </c>
      <c r="EE60" s="30" t="e">
        <f t="shared" ca="1" si="92"/>
        <v>#DIV/0!</v>
      </c>
      <c r="EF60" s="85" t="e">
        <f ca="1">IF(DL60&lt;=Hypothèses!$V$7,Hypothèses!$W$7,IF(DL60&lt;=Hypothèses!$V$8,Hypothèses!$W$8,IF(DL60&lt;=Hypothèses!$V$9,Hypothèses!$W$9,IF(DL60&lt;=Hypothèses!$V$10,Hypothèses!$W$10,IF(DL60&lt;=Hypothèses!$V$11,Hypothèses!$W$11,IF(DL60&lt;=Hypothèses!$V$12,Hypothèses!$W$12,IF(DL60&lt;=Hypothèses!$V$13,Hypothèses!$W$13,IF(DL60&lt;=Hypothèses!$V$14,Hypothèses!$W$14,IF(DL60&lt;=Hypothèses!$V$15,Hypothèses!$W$15,IF(DL60&lt;=Hypothèses!$V$16,Hypothèses!$W$16,IF(DL60&lt;=Hypothèses!$V$17,Hypothèses!$W$17,IF(DL60&lt;=Hypothèses!$V$18,Hypothèses!$W$18,""))))))))))))</f>
        <v>#DIV/0!</v>
      </c>
      <c r="EG60" s="87" t="e">
        <f t="shared" ca="1" si="122"/>
        <v>#DIV/0!</v>
      </c>
      <c r="EH60" s="88" t="e">
        <f ca="1">IF(DL60&lt;=Hypothèses!$V$7,Hypothèses!$X$7,IF(DL60&lt;=Hypothèses!$V$8,Hypothèses!$X$8,IF(DL60&lt;=Hypothèses!$V$9,Hypothèses!$X$9,IF(DL60&lt;=Hypothèses!$V$10,Hypothèses!$X$10,IF(DL60&lt;=Hypothèses!$V$11,Hypothèses!$X$11,IF(DL60&lt;=Hypothèses!$V$12,Hypothèses!$X$12,IF(DL60&lt;=Hypothèses!$V$13,Hypothèses!$X$13,IF(DL60&lt;=Hypothèses!$V$14,Hypothèses!$X$14,IF(DL60&lt;=Hypothèses!$V$15,Hypothèses!$X$15,IF(DL60&lt;=Hypothèses!$V$16,Hypothèses!$X$16,IF(DL60&lt;=Hypothèses!$U$17,Hypothèses!$W$17,IF(DL60&lt;=Hypothèses!$U$18,Hypothèses!$W$18,""))))))))))))</f>
        <v>#DIV/0!</v>
      </c>
      <c r="EI60" s="95" t="e">
        <f t="shared" ca="1" si="93"/>
        <v>#DIV/0!</v>
      </c>
      <c r="EJ60" s="101">
        <f t="shared" si="129"/>
        <v>0</v>
      </c>
      <c r="EK60" s="91">
        <f t="shared" si="55"/>
        <v>0</v>
      </c>
      <c r="EL60" s="30" t="e">
        <f t="shared" si="112"/>
        <v>#N/A</v>
      </c>
      <c r="EM60" s="30" t="e">
        <f t="shared" si="113"/>
        <v>#N/A</v>
      </c>
      <c r="EN60" s="31" t="e">
        <f>IF(OR(Hypothèses!$B$4=17,Hypothèses!$B$4=18,Hypothèses!$B$4=19,Hypothèses!$B$4=20),
IF($D60="Pressio.",
IF(OR($E60=3,$E60=1,$E60=4),EM60,EL60),
IF($D60="Pénétro.",
IF(OR($E60=3,$E60=1,$E60=4),EM60,EL60))),IF($D60="Pressio.",
IF($E60=3,EM60,EL60),
IF($D60="Pénétro.",
IF($E60=4,EM60,EL60))))</f>
        <v>#N/A</v>
      </c>
      <c r="EO60" s="31">
        <v>0</v>
      </c>
      <c r="EP60" s="102" t="e">
        <f>IF(NDC!$H$10="Oui",(VLOOKUP($B$3,'Coeff EC7'!$T$39:$X$59,2,0)*EN60+VLOOKUP($B$3,'Coeff EC7'!$T$65:$X$85,2,0)*Model0.1T!EO60)/1.5,PI()*EL$12*$Q60*($B60-$B59)*0.15/10+EP59)</f>
        <v>#N/A</v>
      </c>
      <c r="EQ60" s="102" t="e">
        <f>(VLOOKUP($B$3,'Coeff EC7'!$T$39:$X$59,3,0)*EN60+VLOOKUP($B$3,'Coeff EC7'!$T$65:$X$85,3,0)*Model0.1T!EO60)/1.1</f>
        <v>#N/A</v>
      </c>
      <c r="ER60" s="102" t="e">
        <f t="shared" si="94"/>
        <v>#N/A</v>
      </c>
      <c r="ES60" s="102" t="e">
        <f t="shared" si="95"/>
        <v>#N/A</v>
      </c>
      <c r="ET60" s="414" t="e">
        <f>IF(AND(EP60&gt;NDC!$C$63,EQ60&gt;NDC!$C$65,ER60&gt;NDC!$D$73,ES60&gt;NDC!$D$74,$B60&gt;NDC!$H$22-0.1+MIN(3*ET$12,1.5)),0,1)</f>
        <v>#N/A</v>
      </c>
      <c r="EU60" s="86" t="b">
        <f t="shared" si="58"/>
        <v>0</v>
      </c>
      <c r="EV60" s="86">
        <f t="shared" si="59"/>
        <v>0.61</v>
      </c>
      <c r="EW60" s="86">
        <f t="shared" si="60"/>
        <v>0.61</v>
      </c>
      <c r="EX60" s="30" t="e">
        <f t="shared" ca="1" si="96"/>
        <v>#DIV/0!</v>
      </c>
      <c r="EY60" s="85" t="e">
        <f ca="1">IF(EE60&lt;=Hypothèses!$V$7,Hypothèses!$W$7,IF(EE60&lt;=Hypothèses!$V$8,Hypothèses!$W$8,IF(EE60&lt;=Hypothèses!$V$9,Hypothèses!$W$9,IF(EE60&lt;=Hypothèses!$V$10,Hypothèses!$W$10,IF(EE60&lt;=Hypothèses!$V$11,Hypothèses!$W$11,IF(EE60&lt;=Hypothèses!$V$12,Hypothèses!$W$12,IF(EE60&lt;=Hypothèses!$V$13,Hypothèses!$W$13,IF(EE60&lt;=Hypothèses!$V$14,Hypothèses!$W$14,IF(EE60&lt;=Hypothèses!$V$15,Hypothèses!$W$15,IF(EE60&lt;=Hypothèses!$V$16,Hypothèses!$W$16,IF(EE60&lt;=Hypothèses!$V$17,Hypothèses!$W$17,IF(EE60&lt;=Hypothèses!$V$18,Hypothèses!$W$18,""))))))))))))</f>
        <v>#DIV/0!</v>
      </c>
      <c r="EZ60" s="87" t="e">
        <f t="shared" ca="1" si="123"/>
        <v>#DIV/0!</v>
      </c>
      <c r="FA60" s="88" t="e">
        <f ca="1">IF(EE60&lt;=Hypothèses!$V$7,Hypothèses!$X$7,IF(EE60&lt;=Hypothèses!$V$8,Hypothèses!$X$8,IF(EE60&lt;=Hypothèses!$V$9,Hypothèses!$X$9,IF(EE60&lt;=Hypothèses!$V$10,Hypothèses!$X$10,IF(EE60&lt;=Hypothèses!$V$11,Hypothèses!$X$11,IF(EE60&lt;=Hypothèses!$V$12,Hypothèses!$X$12,IF(EE60&lt;=Hypothèses!$V$13,Hypothèses!$X$13,IF(EE60&lt;=Hypothèses!$V$14,Hypothèses!$X$14,IF(EE60&lt;=Hypothèses!$V$15,Hypothèses!$X$15,IF(EE60&lt;=Hypothèses!$V$16,Hypothèses!$X$16,IF(EE60&lt;=Hypothèses!$U$17,Hypothèses!$W$17,IF(EE60&lt;=Hypothèses!$U$18,Hypothèses!$W$18,""))))))))))))</f>
        <v>#DIV/0!</v>
      </c>
      <c r="FB60" s="95" t="e">
        <f t="shared" ca="1" si="97"/>
        <v>#DIV/0!</v>
      </c>
      <c r="FC60" s="101">
        <f t="shared" si="130"/>
        <v>0</v>
      </c>
      <c r="FD60" s="91">
        <f t="shared" si="62"/>
        <v>0</v>
      </c>
      <c r="FE60" s="30" t="e">
        <f t="shared" si="114"/>
        <v>#N/A</v>
      </c>
      <c r="FF60" s="30" t="e">
        <f t="shared" si="115"/>
        <v>#N/A</v>
      </c>
      <c r="FG60" s="31" t="e">
        <f>IF(OR(Hypothèses!$B$4=17,Hypothèses!$B$4=18,Hypothèses!$B$4=19,Hypothèses!$B$4=20),
IF($D60="Pressio.",
IF(OR($E60=3,$E60=1,$E60=4),FF60,FE60),
IF($D60="Pénétro.",
IF(OR($E60=3,$E60=1,$E60=4),FF60,FE60))),IF($D60="Pressio.",
IF($E60=3,FF60,FE60),
IF($D60="Pénétro.",
IF($E60=4,FF60,FE60))))</f>
        <v>#N/A</v>
      </c>
      <c r="FH60" s="31">
        <v>0</v>
      </c>
      <c r="FI60" s="102" t="e">
        <f>IF(NDC!$H$10="Oui",(VLOOKUP($B$3,'Coeff EC7'!$T$39:$X$59,2,0)*FG60+VLOOKUP($B$3,'Coeff EC7'!$T$65:$X$85,2,0)*Model0.1T!FH60)/1.5,PI()*FE$12*$Q60*($B60-$B59)*0.15/10+FI59)</f>
        <v>#N/A</v>
      </c>
      <c r="FJ60" s="102" t="e">
        <f>(VLOOKUP($B$3,'Coeff EC7'!$T$39:$X$59,3,0)*FG60+VLOOKUP($B$3,'Coeff EC7'!$T$65:$X$85,3,0)*Model0.1T!FH60)/1.1</f>
        <v>#N/A</v>
      </c>
      <c r="FK60" s="102" t="e">
        <f t="shared" si="98"/>
        <v>#N/A</v>
      </c>
      <c r="FL60" s="102" t="e">
        <f t="shared" si="99"/>
        <v>#N/A</v>
      </c>
      <c r="FM60" s="414" t="e">
        <f>IF(AND(FI60&gt;NDC!$C$63,FJ60&gt;NDC!$C$65,FK60&gt;NDC!$D$73,FL60&gt;NDC!$D$74,$B60&gt;NDC!$H$22-0.1+MIN(3*FM$12,1.5)),0,1)</f>
        <v>#N/A</v>
      </c>
    </row>
    <row r="61" spans="1:169">
      <c r="A61" s="96">
        <f t="shared" si="65"/>
        <v>95.200000000000273</v>
      </c>
      <c r="B61" s="97">
        <v>4.8</v>
      </c>
      <c r="C61" s="81">
        <f>IF(B61&lt;=Hypothèses!$C$7,Hypothèses!$A$7,IF(B61&lt;=Hypothèses!$C$8,Hypothèses!$A$8,IF(B61&lt;=Hypothèses!$C$9,Hypothèses!$A$9,IF(B61&lt;=Hypothèses!$C$10,Hypothèses!$A$10,IF(B61&lt;=Hypothèses!$C$11,Hypothèses!$A$11,IF(B61&lt;=Hypothèses!$C$12,Hypothèses!$A$12,IF(B61&lt;=Hypothèses!$C$13,Hypothèses!$A$13,IF(B61&lt;=Hypothèses!$C$14,Hypothèses!$A$14,IF(B61&lt;=Hypothèses!$C$15,Hypothèses!$A$15,IF(B61&lt;=Hypothèses!$C$16,Hypothèses!$A$16,IF(B61&lt;=Hypothèses!$C$17,Hypothèses!$A$17,IF(B61&lt;=Hypothèses!$C$18,Hypothèses!$A$18,C60))))))))))))</f>
        <v>11</v>
      </c>
      <c r="D61" s="82" t="str">
        <f>IF(B61&lt;=Hypothèses!$C$7,Hypothèses!$R$7,IF(B61&lt;=Hypothèses!$C$8,Hypothèses!$R$8,IF(B61&lt;=Hypothèses!$C$9,Hypothèses!$R$9,IF(B61&lt;=Hypothèses!$C$10,Hypothèses!$R$10,IF(B61&lt;=Hypothèses!$C$11,Hypothèses!$R$11,IF(B61&lt;=Hypothèses!$C$12,Hypothèses!$R$12,IF(B61&lt;=Hypothèses!$C$13,Hypothèses!$R$13,IF(B61&lt;=Hypothèses!$C$14,Hypothèses!$R$14,IF(B61&lt;=Hypothèses!$C$15,Hypothèses!$R$15,IF(B61&lt;=Hypothèses!$C$16,Hypothèses!$R$16,IF(B61&lt;=Hypothèses!$C$17,Hypothèses!$R$17,IF(B61&lt;=Hypothèses!$C$18,Hypothèses!$R$18,D60))))))))))))</f>
        <v>Pressio.</v>
      </c>
      <c r="E61" s="82" t="e">
        <f>IF(B61&lt;=Hypothèses!$C$7,Hypothèses!$G$7,IF(B61&lt;=Hypothèses!$C$8,Hypothèses!$G$8,IF(B61&lt;=Hypothèses!$C$9,Hypothèses!$G$9,IF(B61&lt;=Hypothèses!$C$10,Hypothèses!$G$10,IF(B61&lt;=Hypothèses!$C$11,Hypothèses!$G$11,IF(B61&lt;=Hypothèses!$C$12,Hypothèses!$G$12,IF(B61&lt;=Hypothèses!$C$13,Hypothèses!$G$13,IF(B61&lt;=Hypothèses!$C$14,Hypothèses!$G$14,IF(B61&lt;=Hypothèses!$C$15,Hypothèses!$G$15,IF(B61&lt;=Hypothèses!$C$16,Hypothèses!$G$16,IF(B61&lt;=Hypothèses!$C$17,Hypothèses!$G$17,IF(B61&lt;=Hypothèses!$C$18,Hypothèses!$G$18,E60))))))))))))</f>
        <v>#N/A</v>
      </c>
      <c r="F61" s="82" t="str">
        <f>IF(B61&lt;=Hypothèses!$C$7,Hypothèses!$F$7,IF(B61&lt;=Hypothèses!$C$8,Hypothèses!$F$8,IF(B61&lt;=Hypothèses!$C$9,Hypothèses!$F$9,IF(B61&lt;=Hypothèses!$C$10,Hypothèses!$F$10,IF(B61&lt;=Hypothèses!$C$11,Hypothèses!$F$11,IF(B61&lt;=Hypothèses!$C$12,Hypothèses!$F$12,IF(B61&lt;=Hypothèses!$C$13,Hypothèses!$F$13,IF(B61&lt;=Hypothèses!$C$14,Hypothèses!$F$14,IF(B61&lt;=Hypothèses!$C$15,Hypothèses!$F$15,IF(B61&lt;=Hypothèses!$C$16,Hypothèses!$F$16,IF(B61&lt;=Hypothèses!$C$17,Hypothèses!$F$17,IF(B61&lt;=Hypothèses!$C$18,Hypothèses!$F$18,F60))))))))))))</f>
        <v/>
      </c>
      <c r="G61" s="91">
        <f t="array" ref="G61">INDEX('Coeff EC7'!$U$7:$X$27,
MATCH(Model0.1T!$B$3,'Coeff EC7'!$T$7:$T$27,0),
MATCH(Model0.1T!$D61&amp;Model0.1T!$B$4,
'Coeff EC7'!$U$6:$X$6&amp;
'Coeff EC7'!$U$5:$X$5,0))</f>
        <v>1.4</v>
      </c>
      <c r="H61" s="91">
        <f t="array" ref="H61">INDEX('Coeff EC7'!$Y$7:$AB$27,
MATCH(Model0.1T!$B$3,'Coeff EC7'!$T$7:$T$27,0),
MATCH(Model0.1T!$D61&amp;Model0.1T!$B$4,
'Coeff EC7'!$Y$6:$AB$6&amp;
'Coeff EC7'!$Y$5:$AB$5,0))</f>
        <v>1.7</v>
      </c>
      <c r="I61" s="83">
        <v>0</v>
      </c>
      <c r="J61" s="91" t="e">
        <f t="array" ref="J61">INDEX('Coeff EC7'!$D$33:$Q$33,1,MATCH(D61&amp;E61,'Coeff EC7'!$D$31:$Q$31&amp;'Coeff EC7'!$D$32:$Q$32,0))</f>
        <v>#N/A</v>
      </c>
      <c r="K61" s="91" t="e">
        <f t="array" ref="K61">INDEX('Coeff EC7'!$D$34:$Q$34,1,MATCH(D61&amp;E61,'Coeff EC7'!$D$31:$Q$31&amp;'Coeff EC7'!$D$32:$Q$32,0))</f>
        <v>#N/A</v>
      </c>
      <c r="L61" s="91" t="e">
        <f t="array" ref="L61">INDEX('Coeff EC7'!$D$35:$Q$35,1,MATCH(D61&amp;E61,'Coeff EC7'!$D$31:$Q$31&amp;'Coeff EC7'!$D$32:$Q$32,0))</f>
        <v>#N/A</v>
      </c>
      <c r="M61" s="98" t="e">
        <f t="shared" si="8"/>
        <v>#N/A</v>
      </c>
      <c r="N61" s="99" t="e">
        <f t="array" ref="N61">INDEX('Coeff EC7'!$D$7:$Q$27,MATCH($B$3,'Coeff EC7'!$C$7:$C$27,0),MATCH(D61&amp;E61,'Coeff EC7'!$D$5:$Q$5&amp;'Coeff EC7'!$D$6:$Q$6,0))</f>
        <v>#N/A</v>
      </c>
      <c r="O61" s="99" t="e">
        <f t="array" ref="O61">INDEX('Coeff EC7'!$D$41:$Q$61,MATCH($B$3,'Coeff EC7'!$C$41:$C$61,0),MATCH(D61&amp;E61,'Coeff EC7'!$D$39:$Q$39&amp;'Coeff EC7'!$D$40:$Q$40,0))</f>
        <v>#N/A</v>
      </c>
      <c r="P61" s="30" t="e">
        <f t="shared" si="66"/>
        <v>#N/A</v>
      </c>
      <c r="Q61" s="100" t="e">
        <f t="shared" si="10"/>
        <v>#N/A</v>
      </c>
      <c r="R61" s="86" t="b">
        <f t="shared" si="11"/>
        <v>0</v>
      </c>
      <c r="S61" s="86">
        <f t="shared" si="9"/>
        <v>0.5</v>
      </c>
      <c r="T61" s="86">
        <f t="shared" si="12"/>
        <v>0.5</v>
      </c>
      <c r="U61" s="30" t="e">
        <f t="shared" ca="1" si="67"/>
        <v>#DIV/0!</v>
      </c>
      <c r="V61" s="85" t="str">
        <f>IF(B61&lt;=Hypothèses!$V$7,Hypothèses!$W$7,IF(B61&lt;=Hypothèses!$V$8,Hypothèses!$W$8,IF(B61&lt;=Hypothèses!$V$9,Hypothèses!$W$9,IF(B61&lt;=Hypothèses!$V$10,Hypothèses!$W$10,IF(B61&lt;=Hypothèses!$V$11,Hypothèses!$W$11,IF(B61&lt;=Hypothèses!$V$12,Hypothèses!$W$12,IF(B61&lt;=Hypothèses!$V$13,Hypothèses!$W$13,IF(B61&lt;=Hypothèses!$V$14,Hypothèses!$W$14,IF(B61&lt;=Hypothèses!$V$15,Hypothèses!$W$15,IF(B61&lt;=Hypothèses!$V$16,Hypothèses!$W$16,IF(B61&lt;=Hypothèses!$V$17,Hypothèses!$W$17,IF(B61&lt;=Hypothèses!$V$18,Hypothèses!$W$18,""))))))))))))</f>
        <v/>
      </c>
      <c r="W61" s="87" t="e">
        <f t="shared" ca="1" si="116"/>
        <v>#DIV/0!</v>
      </c>
      <c r="X61" s="88" t="str">
        <f>IF(B61&lt;=Hypothèses!$V$7,Hypothèses!$X$7,IF(B61&lt;=Hypothèses!$V$8,Hypothèses!$X$8,IF(B61&lt;=Hypothèses!$V$9,Hypothèses!$X$9,IF(B61&lt;=Hypothèses!$V$10,Hypothèses!$X$10,IF(B61&lt;=Hypothèses!$V$11,Hypothèses!$X$11,IF(B61&lt;=Hypothèses!$V$12,Hypothèses!$X$12,IF(B61&lt;=Hypothèses!$V$13,Hypothèses!$X$13,IF(B61&lt;=Hypothèses!$V$14,Hypothèses!$X$14,IF(B61&lt;=Hypothèses!$V$15,Hypothèses!$X$15,IF(B61&lt;=Hypothèses!$V$16,Hypothèses!$X$16,IF(B61&lt;=Hypothèses!$U$17,Hypothèses!$W$17,IF(B61&lt;=Hypothèses!$U$18,Hypothèses!$W$18,""))))))))))))</f>
        <v/>
      </c>
      <c r="Y61" s="95" t="e">
        <f t="shared" ca="1" si="13"/>
        <v>#DIV/0!</v>
      </c>
      <c r="Z61" s="101">
        <f t="shared" si="14"/>
        <v>0</v>
      </c>
      <c r="AA61" s="91">
        <f t="shared" si="15"/>
        <v>0</v>
      </c>
      <c r="AB61" s="30" t="e">
        <f t="shared" si="100"/>
        <v>#N/A</v>
      </c>
      <c r="AC61" s="30" t="e">
        <f t="shared" si="101"/>
        <v>#N/A</v>
      </c>
      <c r="AD61" s="31" t="e">
        <f>IF(OR(Hypothèses!$B$4=17,Hypothèses!$B$4=18,Hypothèses!$B$4=19,Hypothèses!$B$4=20),
IF($D61="Pressio.",
IF(OR($E61=3,$E61=1,$E61=4),AC61,AB61),
IF($D61="Pénétro.",
IF(OR($E61=3,$E61=1,$E61=4),AC61,AB61))),IF($D61="Pressio.",
IF($E61=3,AC61,AB61),
IF($D61="Pénétro.",
IF($E61=4,AC61,AB61))))</f>
        <v>#N/A</v>
      </c>
      <c r="AE61" s="31">
        <v>0</v>
      </c>
      <c r="AF61" s="102" t="e">
        <f>IF(NDC!$H$10="Oui",(VLOOKUP($B$3,'Coeff EC7'!$T$39:$X$59,2,0)*AD61+VLOOKUP($B$3,'Coeff EC7'!$T$65:$X$85,2,0)*Model0.1T!AE61)/1.5,PI()*AB$12*$Q61*($B61-$B60)*0.15/10+AF60)</f>
        <v>#N/A</v>
      </c>
      <c r="AG61" s="102" t="e">
        <f>(VLOOKUP($B$3,'Coeff EC7'!$T$39:$X$59,3,0)*AD61+VLOOKUP($B$3,'Coeff EC7'!$T$65:$X$85,3,0)*Model0.1T!AE61)/1.1</f>
        <v>#N/A</v>
      </c>
      <c r="AH61" s="102" t="e">
        <f t="shared" si="68"/>
        <v>#N/A</v>
      </c>
      <c r="AI61" s="102" t="e">
        <f t="shared" si="69"/>
        <v>#N/A</v>
      </c>
      <c r="AJ61" s="414" t="e">
        <f>IF(AND(AF61&gt;NDC!$C$63,AG61&gt;NDC!$C$65,AH61&gt;NDC!$D$73,AI61&gt;NDC!$D$74,$B61&gt;NDC!$H$22-0.1+MIN(3*$AJ$12,1.5)),0,1)</f>
        <v>#N/A</v>
      </c>
      <c r="AK61" s="86" t="b">
        <f t="shared" si="18"/>
        <v>0</v>
      </c>
      <c r="AL61" s="86">
        <f t="shared" si="70"/>
        <v>0.5</v>
      </c>
      <c r="AM61" s="86">
        <f t="shared" si="19"/>
        <v>0.5</v>
      </c>
      <c r="AN61" s="30" t="e">
        <f t="shared" ca="1" si="71"/>
        <v>#DIV/0!</v>
      </c>
      <c r="AO61" s="85" t="e">
        <f ca="1">IF(U61&lt;=Hypothèses!$V$7,Hypothèses!$W$7,IF(U61&lt;=Hypothèses!$V$8,Hypothèses!$W$8,IF(U61&lt;=Hypothèses!$V$9,Hypothèses!$W$9,IF(U61&lt;=Hypothèses!$V$10,Hypothèses!$W$10,IF(U61&lt;=Hypothèses!$V$11,Hypothèses!$W$11,IF(U61&lt;=Hypothèses!$V$12,Hypothèses!$W$12,IF(U61&lt;=Hypothèses!$V$13,Hypothèses!$W$13,IF(U61&lt;=Hypothèses!$V$14,Hypothèses!$W$14,IF(U61&lt;=Hypothèses!$V$15,Hypothèses!$W$15,IF(U61&lt;=Hypothèses!$V$16,Hypothèses!$W$16,IF(U61&lt;=Hypothèses!$V$17,Hypothèses!$W$17,IF(U61&lt;=Hypothèses!$V$18,Hypothèses!$W$18,""))))))))))))</f>
        <v>#DIV/0!</v>
      </c>
      <c r="AP61" s="87" t="e">
        <f t="shared" ca="1" si="117"/>
        <v>#DIV/0!</v>
      </c>
      <c r="AQ61" s="88" t="e">
        <f ca="1">IF(U61&lt;=Hypothèses!$V$7,Hypothèses!$X$7,IF(U61&lt;=Hypothèses!$V$8,Hypothèses!$X$8,IF(U61&lt;=Hypothèses!$V$9,Hypothèses!$X$9,IF(U61&lt;=Hypothèses!$V$10,Hypothèses!$X$10,IF(U61&lt;=Hypothèses!$V$11,Hypothèses!$X$11,IF(U61&lt;=Hypothèses!$V$12,Hypothèses!$X$12,IF(U61&lt;=Hypothèses!$V$13,Hypothèses!$X$13,IF(U61&lt;=Hypothèses!$V$14,Hypothèses!$X$14,IF(U61&lt;=Hypothèses!$V$15,Hypothèses!$X$15,IF(U61&lt;=Hypothèses!$V$16,Hypothèses!$X$16,IF(U61&lt;=Hypothèses!$U$17,Hypothèses!$W$17,IF(U61&lt;=Hypothèses!$U$18,Hypothèses!$W$18,""))))))))))))</f>
        <v>#DIV/0!</v>
      </c>
      <c r="AR61" s="95" t="e">
        <f t="shared" ca="1" si="72"/>
        <v>#DIV/0!</v>
      </c>
      <c r="AS61" s="101">
        <f t="shared" si="124"/>
        <v>0</v>
      </c>
      <c r="AT61" s="91">
        <f t="shared" si="21"/>
        <v>0</v>
      </c>
      <c r="AU61" s="30" t="e">
        <f t="shared" si="102"/>
        <v>#N/A</v>
      </c>
      <c r="AV61" s="30" t="e">
        <f t="shared" si="103"/>
        <v>#N/A</v>
      </c>
      <c r="AW61" s="31" t="e">
        <f>IF(OR(Hypothèses!$B$4=17,Hypothèses!$B$4=18,Hypothèses!$B$4=19,Hypothèses!$B$4=20),
IF($D61="Pressio.",
IF(OR($E61=3,$E61=1,$E61=4),AV61,AU61),
IF($D61="Pénétro.",
IF(OR($E61=3,$E61=1,$E61=4),AV61,AU61))),IF($D61="Pressio.",
IF($E61=3,AV61,AU61),
IF($D61="Pénétro.",
IF($E61=4,AV61,AU61))))</f>
        <v>#N/A</v>
      </c>
      <c r="AX61" s="31">
        <v>0</v>
      </c>
      <c r="AY61" s="102" t="e">
        <f>IF(NDC!$H$10="Oui",(VLOOKUP($B$3,'Coeff EC7'!$T$39:$X$59,2,0)*AW61+VLOOKUP($B$3,'Coeff EC7'!$T$65:$X$85,2,0)*Model0.1T!AX61)/1.5,PI()*AU$12*$Q61*($B61-$B60)*0.15/10+AY60)</f>
        <v>#N/A</v>
      </c>
      <c r="AZ61" s="102" t="e">
        <f>(VLOOKUP($B$3,'Coeff EC7'!$T$39:$X$59,3,0)*AW61+VLOOKUP($B$3,'Coeff EC7'!$T$65:$X$85,3,0)*Model0.1T!AX61)/1.1</f>
        <v>#N/A</v>
      </c>
      <c r="BA61" s="102" t="e">
        <f t="shared" si="73"/>
        <v>#N/A</v>
      </c>
      <c r="BB61" s="102" t="e">
        <f t="shared" si="74"/>
        <v>#N/A</v>
      </c>
      <c r="BC61" s="414" t="e">
        <f>IF(AND(AY61&gt;NDC!$C$63,AZ61&gt;NDC!$C$65,BA61&gt;NDC!$D$73,BB61&gt;NDC!$D$74,$B61&gt;NDC!$H$22-0.1+MIN(3*BC$12,1.5)),0,1)</f>
        <v>#N/A</v>
      </c>
      <c r="BD61" s="86" t="b">
        <f t="shared" si="24"/>
        <v>0</v>
      </c>
      <c r="BE61" s="86">
        <f t="shared" si="75"/>
        <v>0.5</v>
      </c>
      <c r="BF61" s="86">
        <f t="shared" si="25"/>
        <v>0.5</v>
      </c>
      <c r="BG61" s="30" t="e">
        <f t="shared" ca="1" si="76"/>
        <v>#DIV/0!</v>
      </c>
      <c r="BH61" s="85" t="e">
        <f ca="1">IF(AN61&lt;=Hypothèses!$V$7,Hypothèses!$W$7,IF(AN61&lt;=Hypothèses!$V$8,Hypothèses!$W$8,IF(AN61&lt;=Hypothèses!$V$9,Hypothèses!$W$9,IF(AN61&lt;=Hypothèses!$V$10,Hypothèses!$W$10,IF(AN61&lt;=Hypothèses!$V$11,Hypothèses!$W$11,IF(AN61&lt;=Hypothèses!$V$12,Hypothèses!$W$12,IF(AN61&lt;=Hypothèses!$V$13,Hypothèses!$W$13,IF(AN61&lt;=Hypothèses!$V$14,Hypothèses!$W$14,IF(AN61&lt;=Hypothèses!$V$15,Hypothèses!$W$15,IF(AN61&lt;=Hypothèses!$V$16,Hypothèses!$W$16,IF(AN61&lt;=Hypothèses!$V$17,Hypothèses!$W$17,IF(AN61&lt;=Hypothèses!$V$18,Hypothèses!$W$18,""))))))))))))</f>
        <v>#DIV/0!</v>
      </c>
      <c r="BI61" s="87" t="e">
        <f t="shared" ca="1" si="118"/>
        <v>#DIV/0!</v>
      </c>
      <c r="BJ61" s="88" t="e">
        <f ca="1">IF(AN61&lt;=Hypothèses!$V$7,Hypothèses!$X$7,IF(AN61&lt;=Hypothèses!$V$8,Hypothèses!$X$8,IF(AN61&lt;=Hypothèses!$V$9,Hypothèses!$X$9,IF(AN61&lt;=Hypothèses!$V$10,Hypothèses!$X$10,IF(AN61&lt;=Hypothèses!$V$11,Hypothèses!$X$11,IF(AN61&lt;=Hypothèses!$V$12,Hypothèses!$X$12,IF(AN61&lt;=Hypothèses!$V$13,Hypothèses!$X$13,IF(AN61&lt;=Hypothèses!$V$14,Hypothèses!$X$14,IF(AN61&lt;=Hypothèses!$V$15,Hypothèses!$X$15,IF(AN61&lt;=Hypothèses!$V$16,Hypothèses!$X$16,IF(AN61&lt;=Hypothèses!$U$17,Hypothèses!$W$17,IF(AN61&lt;=Hypothèses!$U$18,Hypothèses!$W$18,""))))))))))))</f>
        <v>#DIV/0!</v>
      </c>
      <c r="BK61" s="95" t="e">
        <f t="shared" ca="1" si="77"/>
        <v>#DIV/0!</v>
      </c>
      <c r="BL61" s="101">
        <f t="shared" si="125"/>
        <v>0</v>
      </c>
      <c r="BM61" s="91">
        <f t="shared" si="27"/>
        <v>0</v>
      </c>
      <c r="BN61" s="30" t="e">
        <f t="shared" si="104"/>
        <v>#N/A</v>
      </c>
      <c r="BO61" s="30" t="e">
        <f t="shared" si="105"/>
        <v>#N/A</v>
      </c>
      <c r="BP61" s="31" t="e">
        <f>IF(OR(Hypothèses!$B$4=17,Hypothèses!$B$4=18,Hypothèses!$B$4=19,Hypothèses!$B$4=20),
IF($D61="Pressio.",
IF(OR($E61=3,$E61=1,$E61=4),BO61,BN61),
IF($D61="Pénétro.",
IF(OR($E61=3,$E61=1,$E61=4),BO61,BN61))),IF($D61="Pressio.",
IF($E61=3,BO61,BN61),
IF($D61="Pénétro.",
IF($E61=4,BO61,BN61))))</f>
        <v>#N/A</v>
      </c>
      <c r="BQ61" s="31">
        <v>0</v>
      </c>
      <c r="BR61" s="102" t="e">
        <f>IF(NDC!$H$10="Oui",(VLOOKUP($B$3,'Coeff EC7'!$T$39:$X$59,2,0)*BP61+VLOOKUP($B$3,'Coeff EC7'!$T$65:$X$85,2,0)*Model0.1T!BQ61)/1.5,PI()*BN$12*$Q61*($B61-$B60)*0.15/10+BR60)</f>
        <v>#N/A</v>
      </c>
      <c r="BS61" s="102" t="e">
        <f>(VLOOKUP($B$3,'Coeff EC7'!$T$39:$X$59,3,0)*BP61+VLOOKUP($B$3,'Coeff EC7'!$T$65:$X$85,3,0)*Model0.1T!BQ61)/1.1</f>
        <v>#N/A</v>
      </c>
      <c r="BT61" s="102" t="e">
        <f t="shared" si="78"/>
        <v>#N/A</v>
      </c>
      <c r="BU61" s="102" t="e">
        <f t="shared" si="79"/>
        <v>#N/A</v>
      </c>
      <c r="BV61" s="414" t="e">
        <f>IF(AND(BR61&gt;NDC!$C$63,BS61&gt;NDC!$C$65,BT61&gt;NDC!$D$73,BU61&gt;NDC!$D$74,$B61&gt;NDC!$H$22-0.1+MIN(3*BV$12,1.5)),0,1)</f>
        <v>#N/A</v>
      </c>
      <c r="BW61" s="86" t="b">
        <f t="shared" si="30"/>
        <v>0</v>
      </c>
      <c r="BX61" s="86">
        <f t="shared" si="31"/>
        <v>0.5</v>
      </c>
      <c r="BY61" s="86">
        <f t="shared" si="32"/>
        <v>0.5</v>
      </c>
      <c r="BZ61" s="30" t="e">
        <f t="shared" ca="1" si="80"/>
        <v>#DIV/0!</v>
      </c>
      <c r="CA61" s="85" t="e">
        <f ca="1">IF(BG61&lt;=Hypothèses!$V$7,Hypothèses!$W$7,IF(BG61&lt;=Hypothèses!$V$8,Hypothèses!$W$8,IF(BG61&lt;=Hypothèses!$V$9,Hypothèses!$W$9,IF(BG61&lt;=Hypothèses!$V$10,Hypothèses!$W$10,IF(BG61&lt;=Hypothèses!$V$11,Hypothèses!$W$11,IF(BG61&lt;=Hypothèses!$V$12,Hypothèses!$W$12,IF(BG61&lt;=Hypothèses!$V$13,Hypothèses!$W$13,IF(BG61&lt;=Hypothèses!$V$14,Hypothèses!$W$14,IF(BG61&lt;=Hypothèses!$V$15,Hypothèses!$W$15,IF(BG61&lt;=Hypothèses!$V$16,Hypothèses!$W$16,IF(BG61&lt;=Hypothèses!$V$17,Hypothèses!$W$17,IF(BG61&lt;=Hypothèses!$V$18,Hypothèses!$W$18,""))))))))))))</f>
        <v>#DIV/0!</v>
      </c>
      <c r="CB61" s="87" t="e">
        <f t="shared" ca="1" si="119"/>
        <v>#DIV/0!</v>
      </c>
      <c r="CC61" s="88" t="e">
        <f ca="1">IF(BG61&lt;=Hypothèses!$V$7,Hypothèses!$X$7,IF(BG61&lt;=Hypothèses!$V$8,Hypothèses!$X$8,IF(BG61&lt;=Hypothèses!$V$9,Hypothèses!$X$9,IF(BG61&lt;=Hypothèses!$V$10,Hypothèses!$X$10,IF(BG61&lt;=Hypothèses!$V$11,Hypothèses!$X$11,IF(BG61&lt;=Hypothèses!$V$12,Hypothèses!$X$12,IF(BG61&lt;=Hypothèses!$V$13,Hypothèses!$X$13,IF(BG61&lt;=Hypothèses!$V$14,Hypothèses!$X$14,IF(BG61&lt;=Hypothèses!$V$15,Hypothèses!$X$15,IF(BG61&lt;=Hypothèses!$V$16,Hypothèses!$X$16,IF(BG61&lt;=Hypothèses!$U$17,Hypothèses!$W$17,IF(BG61&lt;=Hypothèses!$U$18,Hypothèses!$W$18,""))))))))))))</f>
        <v>#DIV/0!</v>
      </c>
      <c r="CD61" s="95" t="e">
        <f t="shared" ca="1" si="81"/>
        <v>#DIV/0!</v>
      </c>
      <c r="CE61" s="101">
        <f t="shared" si="126"/>
        <v>0</v>
      </c>
      <c r="CF61" s="91">
        <f t="shared" si="34"/>
        <v>0</v>
      </c>
      <c r="CG61" s="30" t="e">
        <f t="shared" si="106"/>
        <v>#N/A</v>
      </c>
      <c r="CH61" s="30" t="e">
        <f t="shared" si="107"/>
        <v>#N/A</v>
      </c>
      <c r="CI61" s="31" t="e">
        <f>IF(OR(Hypothèses!$B$4=17,Hypothèses!$B$4=18,Hypothèses!$B$4=19,Hypothèses!$B$4=20),
IF($D61="Pressio.",
IF(OR($E61=3,$E61=1,$E61=4),CH61,CG61),
IF($D61="Pénétro.",
IF(OR($E61=3,$E61=1,$E61=4),CH61,CG61))),IF($D61="Pressio.",
IF($E61=3,CH61,CG61),
IF($D61="Pénétro.",
IF($E61=4,CH61,CG61))))</f>
        <v>#N/A</v>
      </c>
      <c r="CJ61" s="31">
        <v>0</v>
      </c>
      <c r="CK61" s="102" t="e">
        <f>IF(NDC!$H$10="Oui",(VLOOKUP($B$3,'Coeff EC7'!$T$39:$X$59,2,0)*CI61+VLOOKUP($B$3,'Coeff EC7'!$T$65:$X$85,2,0)*Model0.1T!CJ61)/1.5,PI()*CG$12*$Q61*($B61-$B60)*0.15/10+CK60)</f>
        <v>#N/A</v>
      </c>
      <c r="CL61" s="102" t="e">
        <f>(VLOOKUP($B$3,'Coeff EC7'!$T$39:$X$59,3,0)*CI61+VLOOKUP($B$3,'Coeff EC7'!$T$65:$X$85,3,0)*Model0.1T!CJ61)/1.1</f>
        <v>#N/A</v>
      </c>
      <c r="CM61" s="102" t="e">
        <f t="shared" si="82"/>
        <v>#N/A</v>
      </c>
      <c r="CN61" s="102" t="e">
        <f t="shared" si="83"/>
        <v>#N/A</v>
      </c>
      <c r="CO61" s="414" t="e">
        <f>IF(AND(CK61&gt;NDC!$C$63,CL61&gt;NDC!$C$65,CM61&gt;NDC!$D$73,CN61&gt;NDC!$D$74,$B61&gt;NDC!$H$22-0.1+MIN(3*CO$12,1.5)),0,1)</f>
        <v>#N/A</v>
      </c>
      <c r="CP61" s="86" t="b">
        <f t="shared" si="37"/>
        <v>0</v>
      </c>
      <c r="CQ61" s="86">
        <f t="shared" si="38"/>
        <v>0.5</v>
      </c>
      <c r="CR61" s="86">
        <f t="shared" si="39"/>
        <v>0.5</v>
      </c>
      <c r="CS61" s="30" t="e">
        <f t="shared" ca="1" si="84"/>
        <v>#DIV/0!</v>
      </c>
      <c r="CT61" s="85" t="e">
        <f ca="1">IF(BZ61&lt;=Hypothèses!$V$7,Hypothèses!$W$7,IF(BZ61&lt;=Hypothèses!$V$8,Hypothèses!$W$8,IF(BZ61&lt;=Hypothèses!$V$9,Hypothèses!$W$9,IF(BZ61&lt;=Hypothèses!$V$10,Hypothèses!$W$10,IF(BZ61&lt;=Hypothèses!$V$11,Hypothèses!$W$11,IF(BZ61&lt;=Hypothèses!$V$12,Hypothèses!$W$12,IF(BZ61&lt;=Hypothèses!$V$13,Hypothèses!$W$13,IF(BZ61&lt;=Hypothèses!$V$14,Hypothèses!$W$14,IF(BZ61&lt;=Hypothèses!$V$15,Hypothèses!$W$15,IF(BZ61&lt;=Hypothèses!$V$16,Hypothèses!$W$16,IF(BZ61&lt;=Hypothèses!$V$17,Hypothèses!$W$17,IF(BZ61&lt;=Hypothèses!$V$18,Hypothèses!$W$18,""))))))))))))</f>
        <v>#DIV/0!</v>
      </c>
      <c r="CU61" s="87" t="e">
        <f t="shared" ca="1" si="120"/>
        <v>#DIV/0!</v>
      </c>
      <c r="CV61" s="88" t="e">
        <f ca="1">IF(BZ61&lt;=Hypothèses!$V$7,Hypothèses!$X$7,IF(BZ61&lt;=Hypothèses!$V$8,Hypothèses!$X$8,IF(BZ61&lt;=Hypothèses!$V$9,Hypothèses!$X$9,IF(BZ61&lt;=Hypothèses!$V$10,Hypothèses!$X$10,IF(BZ61&lt;=Hypothèses!$V$11,Hypothèses!$X$11,IF(BZ61&lt;=Hypothèses!$V$12,Hypothèses!$X$12,IF(BZ61&lt;=Hypothèses!$V$13,Hypothèses!$X$13,IF(BZ61&lt;=Hypothèses!$V$14,Hypothèses!$X$14,IF(BZ61&lt;=Hypothèses!$V$15,Hypothèses!$X$15,IF(BZ61&lt;=Hypothèses!$V$16,Hypothèses!$X$16,IF(BZ61&lt;=Hypothèses!$U$17,Hypothèses!$W$17,IF(BZ61&lt;=Hypothèses!$U$18,Hypothèses!$W$18,""))))))))))))</f>
        <v>#DIV/0!</v>
      </c>
      <c r="CW61" s="95" t="e">
        <f t="shared" ca="1" si="85"/>
        <v>#DIV/0!</v>
      </c>
      <c r="CX61" s="101">
        <f t="shared" si="127"/>
        <v>0</v>
      </c>
      <c r="CY61" s="91">
        <f t="shared" si="41"/>
        <v>0</v>
      </c>
      <c r="CZ61" s="30" t="e">
        <f t="shared" si="108"/>
        <v>#N/A</v>
      </c>
      <c r="DA61" s="30" t="e">
        <f t="shared" si="109"/>
        <v>#N/A</v>
      </c>
      <c r="DB61" s="31" t="e">
        <f>IF(OR(Hypothèses!$B$4=17,Hypothèses!$B$4=18,Hypothèses!$B$4=19,Hypothèses!$B$4=20),
IF($D61="Pressio.",
IF(OR($E61=3,$E61=1,$E61=4),DA61,CZ61),
IF($D61="Pénétro.",
IF(OR($E61=3,$E61=1,$E61=4),DA61,CZ61))),IF($D61="Pressio.",
IF($E61=3,DA61,CZ61),
IF($D61="Pénétro.",
IF($E61=4,DA61,CZ61))))</f>
        <v>#N/A</v>
      </c>
      <c r="DC61" s="31">
        <v>0</v>
      </c>
      <c r="DD61" s="102" t="e">
        <f>IF(NDC!$H$10="Oui",(VLOOKUP($B$3,'Coeff EC7'!$T$39:$X$59,2,0)*DB61+VLOOKUP($B$3,'Coeff EC7'!$T$65:$X$85,2,0)*Model0.1T!DC61)/1.5,PI()*CZ$12*$Q61*($B61-$B60)*0.15/10+DD60)</f>
        <v>#N/A</v>
      </c>
      <c r="DE61" s="102" t="e">
        <f>(VLOOKUP($B$3,'Coeff EC7'!$T$39:$X$59,3,0)*DB61+VLOOKUP($B$3,'Coeff EC7'!$T$65:$X$85,3,0)*Model0.1T!DC61)/1.1</f>
        <v>#N/A</v>
      </c>
      <c r="DF61" s="102" t="e">
        <f t="shared" si="86"/>
        <v>#N/A</v>
      </c>
      <c r="DG61" s="102" t="e">
        <f t="shared" si="87"/>
        <v>#N/A</v>
      </c>
      <c r="DH61" s="414" t="e">
        <f>IF(AND(DD61&gt;NDC!$C$63,DE61&gt;NDC!$C$65,DF61&gt;NDC!$D$73,DG61&gt;NDC!$D$74,$B61&gt;NDC!$H$22-0.1+MIN(3*DH$12,1.5)),0,1)</f>
        <v>#N/A</v>
      </c>
      <c r="DI61" s="86" t="b">
        <f t="shared" si="44"/>
        <v>0</v>
      </c>
      <c r="DJ61" s="86">
        <f t="shared" si="45"/>
        <v>0.5</v>
      </c>
      <c r="DK61" s="86">
        <f t="shared" si="46"/>
        <v>0.5</v>
      </c>
      <c r="DL61" s="30" t="e">
        <f t="shared" ca="1" si="88"/>
        <v>#DIV/0!</v>
      </c>
      <c r="DM61" s="85" t="e">
        <f ca="1">IF(CS61&lt;=Hypothèses!$V$7,Hypothèses!$W$7,IF(CS61&lt;=Hypothèses!$V$8,Hypothèses!$W$8,IF(CS61&lt;=Hypothèses!$V$9,Hypothèses!$W$9,IF(CS61&lt;=Hypothèses!$V$10,Hypothèses!$W$10,IF(CS61&lt;=Hypothèses!$V$11,Hypothèses!$W$11,IF(CS61&lt;=Hypothèses!$V$12,Hypothèses!$W$12,IF(CS61&lt;=Hypothèses!$V$13,Hypothèses!$W$13,IF(CS61&lt;=Hypothèses!$V$14,Hypothèses!$W$14,IF(CS61&lt;=Hypothèses!$V$15,Hypothèses!$W$15,IF(CS61&lt;=Hypothèses!$V$16,Hypothèses!$W$16,IF(CS61&lt;=Hypothèses!$V$17,Hypothèses!$W$17,IF(CS61&lt;=Hypothèses!$V$18,Hypothèses!$W$18,""))))))))))))</f>
        <v>#DIV/0!</v>
      </c>
      <c r="DN61" s="87" t="e">
        <f t="shared" ca="1" si="121"/>
        <v>#DIV/0!</v>
      </c>
      <c r="DO61" s="88" t="e">
        <f ca="1">IF(CS61&lt;=Hypothèses!$V$7,Hypothèses!$X$7,IF(CS61&lt;=Hypothèses!$V$8,Hypothèses!$X$8,IF(CS61&lt;=Hypothèses!$V$9,Hypothèses!$X$9,IF(CS61&lt;=Hypothèses!$V$10,Hypothèses!$X$10,IF(CS61&lt;=Hypothèses!$V$11,Hypothèses!$X$11,IF(CS61&lt;=Hypothèses!$V$12,Hypothèses!$X$12,IF(CS61&lt;=Hypothèses!$V$13,Hypothèses!$X$13,IF(CS61&lt;=Hypothèses!$V$14,Hypothèses!$X$14,IF(CS61&lt;=Hypothèses!$V$15,Hypothèses!$X$15,IF(CS61&lt;=Hypothèses!$V$16,Hypothèses!$X$16,IF(CS61&lt;=Hypothèses!$U$17,Hypothèses!$W$17,IF(CS61&lt;=Hypothèses!$U$18,Hypothèses!$W$18,""))))))))))))</f>
        <v>#DIV/0!</v>
      </c>
      <c r="DP61" s="95" t="e">
        <f t="shared" ca="1" si="89"/>
        <v>#DIV/0!</v>
      </c>
      <c r="DQ61" s="101">
        <f t="shared" si="128"/>
        <v>0</v>
      </c>
      <c r="DR61" s="91">
        <f t="shared" si="48"/>
        <v>0</v>
      </c>
      <c r="DS61" s="30" t="e">
        <f t="shared" si="110"/>
        <v>#N/A</v>
      </c>
      <c r="DT61" s="30" t="e">
        <f t="shared" si="111"/>
        <v>#N/A</v>
      </c>
      <c r="DU61" s="31" t="e">
        <f>IF(OR(Hypothèses!$B$4=17,Hypothèses!$B$4=18,Hypothèses!$B$4=19,Hypothèses!$B$4=20),
IF($D61="Pressio.",
IF(OR($E61=3,$E61=1,$E61=4),DT61,DS61),
IF($D61="Pénétro.",
IF(OR($E61=3,$E61=1,$E61=4),DT61,DS61))),IF($D61="Pressio.",
IF($E61=3,DT61,DS61),
IF($D61="Pénétro.",
IF($E61=4,DT61,DS61))))</f>
        <v>#N/A</v>
      </c>
      <c r="DV61" s="31">
        <v>0</v>
      </c>
      <c r="DW61" s="102" t="e">
        <f>IF(NDC!$H$10="Oui",(VLOOKUP($B$3,'Coeff EC7'!$T$39:$X$59,2,0)*DU61+VLOOKUP($B$3,'Coeff EC7'!$T$65:$X$85,2,0)*Model0.1T!DV61)/1.5,PI()*DS$12*$Q61*($B61-$B60)*0.15/10+DW60)</f>
        <v>#N/A</v>
      </c>
      <c r="DX61" s="102" t="e">
        <f>(VLOOKUP($B$3,'Coeff EC7'!$T$39:$X$59,3,0)*DU61+VLOOKUP($B$3,'Coeff EC7'!$T$65:$X$85,3,0)*Model0.1T!DV61)/1.1</f>
        <v>#N/A</v>
      </c>
      <c r="DY61" s="102" t="e">
        <f t="shared" si="90"/>
        <v>#N/A</v>
      </c>
      <c r="DZ61" s="102" t="e">
        <f t="shared" si="91"/>
        <v>#N/A</v>
      </c>
      <c r="EA61" s="414" t="e">
        <f>IF(AND(DW61&gt;NDC!$C$63,DX61&gt;NDC!$C$65,DY61&gt;NDC!$D$73,DZ61&gt;NDC!$D$74,$B61&gt;NDC!$H$22-0.1+MIN(3*EA$12,1.5)),0,1)</f>
        <v>#N/A</v>
      </c>
      <c r="EB61" s="86" t="b">
        <f t="shared" si="51"/>
        <v>0</v>
      </c>
      <c r="EC61" s="418">
        <f t="shared" si="52"/>
        <v>0.51</v>
      </c>
      <c r="ED61" s="86">
        <f t="shared" si="53"/>
        <v>0.51</v>
      </c>
      <c r="EE61" s="30" t="e">
        <f t="shared" ca="1" si="92"/>
        <v>#DIV/0!</v>
      </c>
      <c r="EF61" s="85" t="e">
        <f ca="1">IF(DL61&lt;=Hypothèses!$V$7,Hypothèses!$W$7,IF(DL61&lt;=Hypothèses!$V$8,Hypothèses!$W$8,IF(DL61&lt;=Hypothèses!$V$9,Hypothèses!$W$9,IF(DL61&lt;=Hypothèses!$V$10,Hypothèses!$W$10,IF(DL61&lt;=Hypothèses!$V$11,Hypothèses!$W$11,IF(DL61&lt;=Hypothèses!$V$12,Hypothèses!$W$12,IF(DL61&lt;=Hypothèses!$V$13,Hypothèses!$W$13,IF(DL61&lt;=Hypothèses!$V$14,Hypothèses!$W$14,IF(DL61&lt;=Hypothèses!$V$15,Hypothèses!$W$15,IF(DL61&lt;=Hypothèses!$V$16,Hypothèses!$W$16,IF(DL61&lt;=Hypothèses!$V$17,Hypothèses!$W$17,IF(DL61&lt;=Hypothèses!$V$18,Hypothèses!$W$18,""))))))))))))</f>
        <v>#DIV/0!</v>
      </c>
      <c r="EG61" s="87" t="e">
        <f t="shared" ca="1" si="122"/>
        <v>#DIV/0!</v>
      </c>
      <c r="EH61" s="88" t="e">
        <f ca="1">IF(DL61&lt;=Hypothèses!$V$7,Hypothèses!$X$7,IF(DL61&lt;=Hypothèses!$V$8,Hypothèses!$X$8,IF(DL61&lt;=Hypothèses!$V$9,Hypothèses!$X$9,IF(DL61&lt;=Hypothèses!$V$10,Hypothèses!$X$10,IF(DL61&lt;=Hypothèses!$V$11,Hypothèses!$X$11,IF(DL61&lt;=Hypothèses!$V$12,Hypothèses!$X$12,IF(DL61&lt;=Hypothèses!$V$13,Hypothèses!$X$13,IF(DL61&lt;=Hypothèses!$V$14,Hypothèses!$X$14,IF(DL61&lt;=Hypothèses!$V$15,Hypothèses!$X$15,IF(DL61&lt;=Hypothèses!$V$16,Hypothèses!$X$16,IF(DL61&lt;=Hypothèses!$U$17,Hypothèses!$W$17,IF(DL61&lt;=Hypothèses!$U$18,Hypothèses!$W$18,""))))))))))))</f>
        <v>#DIV/0!</v>
      </c>
      <c r="EI61" s="95" t="e">
        <f t="shared" ca="1" si="93"/>
        <v>#DIV/0!</v>
      </c>
      <c r="EJ61" s="101">
        <f t="shared" si="129"/>
        <v>0</v>
      </c>
      <c r="EK61" s="91">
        <f t="shared" si="55"/>
        <v>0</v>
      </c>
      <c r="EL61" s="30" t="e">
        <f t="shared" si="112"/>
        <v>#N/A</v>
      </c>
      <c r="EM61" s="30" t="e">
        <f t="shared" si="113"/>
        <v>#N/A</v>
      </c>
      <c r="EN61" s="31" t="e">
        <f>IF(OR(Hypothèses!$B$4=17,Hypothèses!$B$4=18,Hypothèses!$B$4=19,Hypothèses!$B$4=20),
IF($D61="Pressio.",
IF(OR($E61=3,$E61=1,$E61=4),EM61,EL61),
IF($D61="Pénétro.",
IF(OR($E61=3,$E61=1,$E61=4),EM61,EL61))),IF($D61="Pressio.",
IF($E61=3,EM61,EL61),
IF($D61="Pénétro.",
IF($E61=4,EM61,EL61))))</f>
        <v>#N/A</v>
      </c>
      <c r="EO61" s="31">
        <v>0</v>
      </c>
      <c r="EP61" s="102" t="e">
        <f>IF(NDC!$H$10="Oui",(VLOOKUP($B$3,'Coeff EC7'!$T$39:$X$59,2,0)*EN61+VLOOKUP($B$3,'Coeff EC7'!$T$65:$X$85,2,0)*Model0.1T!EO61)/1.5,PI()*EL$12*$Q61*($B61-$B60)*0.15/10+EP60)</f>
        <v>#N/A</v>
      </c>
      <c r="EQ61" s="102" t="e">
        <f>(VLOOKUP($B$3,'Coeff EC7'!$T$39:$X$59,3,0)*EN61+VLOOKUP($B$3,'Coeff EC7'!$T$65:$X$85,3,0)*Model0.1T!EO61)/1.1</f>
        <v>#N/A</v>
      </c>
      <c r="ER61" s="102" t="e">
        <f t="shared" si="94"/>
        <v>#N/A</v>
      </c>
      <c r="ES61" s="102" t="e">
        <f t="shared" si="95"/>
        <v>#N/A</v>
      </c>
      <c r="ET61" s="414" t="e">
        <f>IF(AND(EP61&gt;NDC!$C$63,EQ61&gt;NDC!$C$65,ER61&gt;NDC!$D$73,ES61&gt;NDC!$D$74,$B61&gt;NDC!$H$22-0.1+MIN(3*ET$12,1.5)),0,1)</f>
        <v>#N/A</v>
      </c>
      <c r="EU61" s="86" t="b">
        <f t="shared" si="58"/>
        <v>0</v>
      </c>
      <c r="EV61" s="86">
        <f t="shared" si="59"/>
        <v>0.61</v>
      </c>
      <c r="EW61" s="86">
        <f t="shared" si="60"/>
        <v>0.61</v>
      </c>
      <c r="EX61" s="30" t="e">
        <f t="shared" ca="1" si="96"/>
        <v>#DIV/0!</v>
      </c>
      <c r="EY61" s="85" t="e">
        <f ca="1">IF(EE61&lt;=Hypothèses!$V$7,Hypothèses!$W$7,IF(EE61&lt;=Hypothèses!$V$8,Hypothèses!$W$8,IF(EE61&lt;=Hypothèses!$V$9,Hypothèses!$W$9,IF(EE61&lt;=Hypothèses!$V$10,Hypothèses!$W$10,IF(EE61&lt;=Hypothèses!$V$11,Hypothèses!$W$11,IF(EE61&lt;=Hypothèses!$V$12,Hypothèses!$W$12,IF(EE61&lt;=Hypothèses!$V$13,Hypothèses!$W$13,IF(EE61&lt;=Hypothèses!$V$14,Hypothèses!$W$14,IF(EE61&lt;=Hypothèses!$V$15,Hypothèses!$W$15,IF(EE61&lt;=Hypothèses!$V$16,Hypothèses!$W$16,IF(EE61&lt;=Hypothèses!$V$17,Hypothèses!$W$17,IF(EE61&lt;=Hypothèses!$V$18,Hypothèses!$W$18,""))))))))))))</f>
        <v>#DIV/0!</v>
      </c>
      <c r="EZ61" s="87" t="e">
        <f t="shared" ca="1" si="123"/>
        <v>#DIV/0!</v>
      </c>
      <c r="FA61" s="88" t="e">
        <f ca="1">IF(EE61&lt;=Hypothèses!$V$7,Hypothèses!$X$7,IF(EE61&lt;=Hypothèses!$V$8,Hypothèses!$X$8,IF(EE61&lt;=Hypothèses!$V$9,Hypothèses!$X$9,IF(EE61&lt;=Hypothèses!$V$10,Hypothèses!$X$10,IF(EE61&lt;=Hypothèses!$V$11,Hypothèses!$X$11,IF(EE61&lt;=Hypothèses!$V$12,Hypothèses!$X$12,IF(EE61&lt;=Hypothèses!$V$13,Hypothèses!$X$13,IF(EE61&lt;=Hypothèses!$V$14,Hypothèses!$X$14,IF(EE61&lt;=Hypothèses!$V$15,Hypothèses!$X$15,IF(EE61&lt;=Hypothèses!$V$16,Hypothèses!$X$16,IF(EE61&lt;=Hypothèses!$U$17,Hypothèses!$W$17,IF(EE61&lt;=Hypothèses!$U$18,Hypothèses!$W$18,""))))))))))))</f>
        <v>#DIV/0!</v>
      </c>
      <c r="FB61" s="95" t="e">
        <f t="shared" ca="1" si="97"/>
        <v>#DIV/0!</v>
      </c>
      <c r="FC61" s="101">
        <f t="shared" si="130"/>
        <v>0</v>
      </c>
      <c r="FD61" s="91">
        <f t="shared" si="62"/>
        <v>0</v>
      </c>
      <c r="FE61" s="30" t="e">
        <f t="shared" si="114"/>
        <v>#N/A</v>
      </c>
      <c r="FF61" s="30" t="e">
        <f t="shared" si="115"/>
        <v>#N/A</v>
      </c>
      <c r="FG61" s="31" t="e">
        <f>IF(OR(Hypothèses!$B$4=17,Hypothèses!$B$4=18,Hypothèses!$B$4=19,Hypothèses!$B$4=20),
IF($D61="Pressio.",
IF(OR($E61=3,$E61=1,$E61=4),FF61,FE61),
IF($D61="Pénétro.",
IF(OR($E61=3,$E61=1,$E61=4),FF61,FE61))),IF($D61="Pressio.",
IF($E61=3,FF61,FE61),
IF($D61="Pénétro.",
IF($E61=4,FF61,FE61))))</f>
        <v>#N/A</v>
      </c>
      <c r="FH61" s="31">
        <v>0</v>
      </c>
      <c r="FI61" s="102" t="e">
        <f>IF(NDC!$H$10="Oui",(VLOOKUP($B$3,'Coeff EC7'!$T$39:$X$59,2,0)*FG61+VLOOKUP($B$3,'Coeff EC7'!$T$65:$X$85,2,0)*Model0.1T!FH61)/1.5,PI()*FE$12*$Q61*($B61-$B60)*0.15/10+FI60)</f>
        <v>#N/A</v>
      </c>
      <c r="FJ61" s="102" t="e">
        <f>(VLOOKUP($B$3,'Coeff EC7'!$T$39:$X$59,3,0)*FG61+VLOOKUP($B$3,'Coeff EC7'!$T$65:$X$85,3,0)*Model0.1T!FH61)/1.1</f>
        <v>#N/A</v>
      </c>
      <c r="FK61" s="102" t="e">
        <f t="shared" si="98"/>
        <v>#N/A</v>
      </c>
      <c r="FL61" s="102" t="e">
        <f t="shared" si="99"/>
        <v>#N/A</v>
      </c>
      <c r="FM61" s="414" t="e">
        <f>IF(AND(FI61&gt;NDC!$C$63,FJ61&gt;NDC!$C$65,FK61&gt;NDC!$D$73,FL61&gt;NDC!$D$74,$B61&gt;NDC!$H$22-0.1+MIN(3*FM$12,1.5)),0,1)</f>
        <v>#N/A</v>
      </c>
    </row>
    <row r="62" spans="1:169">
      <c r="A62" s="96">
        <f t="shared" si="65"/>
        <v>95.100000000000279</v>
      </c>
      <c r="B62" s="97">
        <v>4.9000000000000004</v>
      </c>
      <c r="C62" s="81">
        <f>IF(B62&lt;=Hypothèses!$C$7,Hypothèses!$A$7,IF(B62&lt;=Hypothèses!$C$8,Hypothèses!$A$8,IF(B62&lt;=Hypothèses!$C$9,Hypothèses!$A$9,IF(B62&lt;=Hypothèses!$C$10,Hypothèses!$A$10,IF(B62&lt;=Hypothèses!$C$11,Hypothèses!$A$11,IF(B62&lt;=Hypothèses!$C$12,Hypothèses!$A$12,IF(B62&lt;=Hypothèses!$C$13,Hypothèses!$A$13,IF(B62&lt;=Hypothèses!$C$14,Hypothèses!$A$14,IF(B62&lt;=Hypothèses!$C$15,Hypothèses!$A$15,IF(B62&lt;=Hypothèses!$C$16,Hypothèses!$A$16,IF(B62&lt;=Hypothèses!$C$17,Hypothèses!$A$17,IF(B62&lt;=Hypothèses!$C$18,Hypothèses!$A$18,C61))))))))))))</f>
        <v>11</v>
      </c>
      <c r="D62" s="82" t="str">
        <f>IF(B62&lt;=Hypothèses!$C$7,Hypothèses!$R$7,IF(B62&lt;=Hypothèses!$C$8,Hypothèses!$R$8,IF(B62&lt;=Hypothèses!$C$9,Hypothèses!$R$9,IF(B62&lt;=Hypothèses!$C$10,Hypothèses!$R$10,IF(B62&lt;=Hypothèses!$C$11,Hypothèses!$R$11,IF(B62&lt;=Hypothèses!$C$12,Hypothèses!$R$12,IF(B62&lt;=Hypothèses!$C$13,Hypothèses!$R$13,IF(B62&lt;=Hypothèses!$C$14,Hypothèses!$R$14,IF(B62&lt;=Hypothèses!$C$15,Hypothèses!$R$15,IF(B62&lt;=Hypothèses!$C$16,Hypothèses!$R$16,IF(B62&lt;=Hypothèses!$C$17,Hypothèses!$R$17,IF(B62&lt;=Hypothèses!$C$18,Hypothèses!$R$18,D61))))))))))))</f>
        <v>Pressio.</v>
      </c>
      <c r="E62" s="82" t="e">
        <f>IF(B62&lt;=Hypothèses!$C$7,Hypothèses!$G$7,IF(B62&lt;=Hypothèses!$C$8,Hypothèses!$G$8,IF(B62&lt;=Hypothèses!$C$9,Hypothèses!$G$9,IF(B62&lt;=Hypothèses!$C$10,Hypothèses!$G$10,IF(B62&lt;=Hypothèses!$C$11,Hypothèses!$G$11,IF(B62&lt;=Hypothèses!$C$12,Hypothèses!$G$12,IF(B62&lt;=Hypothèses!$C$13,Hypothèses!$G$13,IF(B62&lt;=Hypothèses!$C$14,Hypothèses!$G$14,IF(B62&lt;=Hypothèses!$C$15,Hypothèses!$G$15,IF(B62&lt;=Hypothèses!$C$16,Hypothèses!$G$16,IF(B62&lt;=Hypothèses!$C$17,Hypothèses!$G$17,IF(B62&lt;=Hypothèses!$C$18,Hypothèses!$G$18,E61))))))))))))</f>
        <v>#N/A</v>
      </c>
      <c r="F62" s="82" t="str">
        <f>IF(B62&lt;=Hypothèses!$C$7,Hypothèses!$F$7,IF(B62&lt;=Hypothèses!$C$8,Hypothèses!$F$8,IF(B62&lt;=Hypothèses!$C$9,Hypothèses!$F$9,IF(B62&lt;=Hypothèses!$C$10,Hypothèses!$F$10,IF(B62&lt;=Hypothèses!$C$11,Hypothèses!$F$11,IF(B62&lt;=Hypothèses!$C$12,Hypothèses!$F$12,IF(B62&lt;=Hypothèses!$C$13,Hypothèses!$F$13,IF(B62&lt;=Hypothèses!$C$14,Hypothèses!$F$14,IF(B62&lt;=Hypothèses!$C$15,Hypothèses!$F$15,IF(B62&lt;=Hypothèses!$C$16,Hypothèses!$F$16,IF(B62&lt;=Hypothèses!$C$17,Hypothèses!$F$17,IF(B62&lt;=Hypothèses!$C$18,Hypothèses!$F$18,F61))))))))))))</f>
        <v/>
      </c>
      <c r="G62" s="91">
        <f t="array" ref="G62">INDEX('Coeff EC7'!$U$7:$X$27,
MATCH(Model0.1T!$B$3,'Coeff EC7'!$T$7:$T$27,0),
MATCH(Model0.1T!$D62&amp;Model0.1T!$B$4,
'Coeff EC7'!$U$6:$X$6&amp;
'Coeff EC7'!$U$5:$X$5,0))</f>
        <v>1.4</v>
      </c>
      <c r="H62" s="91">
        <f t="array" ref="H62">INDEX('Coeff EC7'!$Y$7:$AB$27,
MATCH(Model0.1T!$B$3,'Coeff EC7'!$T$7:$T$27,0),
MATCH(Model0.1T!$D62&amp;Model0.1T!$B$4,
'Coeff EC7'!$Y$6:$AB$6&amp;
'Coeff EC7'!$Y$5:$AB$5,0))</f>
        <v>1.7</v>
      </c>
      <c r="I62" s="83">
        <v>0</v>
      </c>
      <c r="J62" s="91" t="e">
        <f t="array" ref="J62">INDEX('Coeff EC7'!$D$33:$Q$33,1,MATCH(D62&amp;E62,'Coeff EC7'!$D$31:$Q$31&amp;'Coeff EC7'!$D$32:$Q$32,0))</f>
        <v>#N/A</v>
      </c>
      <c r="K62" s="91" t="e">
        <f t="array" ref="K62">INDEX('Coeff EC7'!$D$34:$Q$34,1,MATCH(D62&amp;E62,'Coeff EC7'!$D$31:$Q$31&amp;'Coeff EC7'!$D$32:$Q$32,0))</f>
        <v>#N/A</v>
      </c>
      <c r="L62" s="91" t="e">
        <f t="array" ref="L62">INDEX('Coeff EC7'!$D$35:$Q$35,1,MATCH(D62&amp;E62,'Coeff EC7'!$D$31:$Q$31&amp;'Coeff EC7'!$D$32:$Q$32,0))</f>
        <v>#N/A</v>
      </c>
      <c r="M62" s="98" t="e">
        <f t="shared" si="8"/>
        <v>#N/A</v>
      </c>
      <c r="N62" s="99" t="e">
        <f t="array" ref="N62">INDEX('Coeff EC7'!$D$7:$Q$27,MATCH($B$3,'Coeff EC7'!$C$7:$C$27,0),MATCH(D62&amp;E62,'Coeff EC7'!$D$5:$Q$5&amp;'Coeff EC7'!$D$6:$Q$6,0))</f>
        <v>#N/A</v>
      </c>
      <c r="O62" s="99" t="e">
        <f t="array" ref="O62">INDEX('Coeff EC7'!$D$41:$Q$61,MATCH($B$3,'Coeff EC7'!$C$41:$C$61,0),MATCH(D62&amp;E62,'Coeff EC7'!$D$39:$Q$39&amp;'Coeff EC7'!$D$40:$Q$40,0))</f>
        <v>#N/A</v>
      </c>
      <c r="P62" s="30" t="e">
        <f t="shared" si="66"/>
        <v>#N/A</v>
      </c>
      <c r="Q62" s="100" t="e">
        <f t="shared" si="10"/>
        <v>#N/A</v>
      </c>
      <c r="R62" s="86" t="b">
        <f t="shared" si="11"/>
        <v>0</v>
      </c>
      <c r="S62" s="86">
        <f t="shared" si="9"/>
        <v>0.5</v>
      </c>
      <c r="T62" s="86">
        <f t="shared" si="12"/>
        <v>0.5</v>
      </c>
      <c r="U62" s="30" t="e">
        <f t="shared" ca="1" si="67"/>
        <v>#DIV/0!</v>
      </c>
      <c r="V62" s="85" t="str">
        <f>IF(B62&lt;=Hypothèses!$V$7,Hypothèses!$W$7,IF(B62&lt;=Hypothèses!$V$8,Hypothèses!$W$8,IF(B62&lt;=Hypothèses!$V$9,Hypothèses!$W$9,IF(B62&lt;=Hypothèses!$V$10,Hypothèses!$W$10,IF(B62&lt;=Hypothèses!$V$11,Hypothèses!$W$11,IF(B62&lt;=Hypothèses!$V$12,Hypothèses!$W$12,IF(B62&lt;=Hypothèses!$V$13,Hypothèses!$W$13,IF(B62&lt;=Hypothèses!$V$14,Hypothèses!$W$14,IF(B62&lt;=Hypothèses!$V$15,Hypothèses!$W$15,IF(B62&lt;=Hypothèses!$V$16,Hypothèses!$W$16,IF(B62&lt;=Hypothèses!$V$17,Hypothèses!$W$17,IF(B62&lt;=Hypothèses!$V$18,Hypothèses!$W$18,""))))))))))))</f>
        <v/>
      </c>
      <c r="W62" s="87" t="e">
        <f t="shared" ca="1" si="116"/>
        <v>#DIV/0!</v>
      </c>
      <c r="X62" s="88" t="str">
        <f>IF(B62&lt;=Hypothèses!$V$7,Hypothèses!$X$7,IF(B62&lt;=Hypothèses!$V$8,Hypothèses!$X$8,IF(B62&lt;=Hypothèses!$V$9,Hypothèses!$X$9,IF(B62&lt;=Hypothèses!$V$10,Hypothèses!$X$10,IF(B62&lt;=Hypothèses!$V$11,Hypothèses!$X$11,IF(B62&lt;=Hypothèses!$V$12,Hypothèses!$X$12,IF(B62&lt;=Hypothèses!$V$13,Hypothèses!$X$13,IF(B62&lt;=Hypothèses!$V$14,Hypothèses!$X$14,IF(B62&lt;=Hypothèses!$V$15,Hypothèses!$X$15,IF(B62&lt;=Hypothèses!$V$16,Hypothèses!$X$16,IF(B62&lt;=Hypothèses!$U$17,Hypothèses!$W$17,IF(B62&lt;=Hypothèses!$U$18,Hypothèses!$W$18,""))))))))))))</f>
        <v/>
      </c>
      <c r="Y62" s="95" t="e">
        <f t="shared" ca="1" si="13"/>
        <v>#DIV/0!</v>
      </c>
      <c r="Z62" s="101">
        <f t="shared" si="14"/>
        <v>0</v>
      </c>
      <c r="AA62" s="91">
        <f t="shared" si="15"/>
        <v>0</v>
      </c>
      <c r="AB62" s="30" t="e">
        <f t="shared" si="100"/>
        <v>#N/A</v>
      </c>
      <c r="AC62" s="30" t="e">
        <f t="shared" si="101"/>
        <v>#N/A</v>
      </c>
      <c r="AD62" s="31" t="e">
        <f>IF(OR(Hypothèses!$B$4=17,Hypothèses!$B$4=18,Hypothèses!$B$4=19,Hypothèses!$B$4=20),
IF($D62="Pressio.",
IF(OR($E62=3,$E62=1,$E62=4),AC62,AB62),
IF($D62="Pénétro.",
IF(OR($E62=3,$E62=1,$E62=4),AC62,AB62))),IF($D62="Pressio.",
IF($E62=3,AC62,AB62),
IF($D62="Pénétro.",
IF($E62=4,AC62,AB62))))</f>
        <v>#N/A</v>
      </c>
      <c r="AE62" s="31">
        <v>0</v>
      </c>
      <c r="AF62" s="102" t="e">
        <f>IF(NDC!$H$10="Oui",(VLOOKUP($B$3,'Coeff EC7'!$T$39:$X$59,2,0)*AD62+VLOOKUP($B$3,'Coeff EC7'!$T$65:$X$85,2,0)*Model0.1T!AE62)/1.5,PI()*AB$12*$Q62*($B62-$B61)*0.15/10+AF61)</f>
        <v>#N/A</v>
      </c>
      <c r="AG62" s="102" t="e">
        <f>(VLOOKUP($B$3,'Coeff EC7'!$T$39:$X$59,3,0)*AD62+VLOOKUP($B$3,'Coeff EC7'!$T$65:$X$85,3,0)*Model0.1T!AE62)/1.1</f>
        <v>#N/A</v>
      </c>
      <c r="AH62" s="102" t="e">
        <f t="shared" si="68"/>
        <v>#N/A</v>
      </c>
      <c r="AI62" s="102" t="e">
        <f t="shared" si="69"/>
        <v>#N/A</v>
      </c>
      <c r="AJ62" s="414" t="e">
        <f>IF(AND(AF62&gt;NDC!$C$63,AG62&gt;NDC!$C$65,AH62&gt;NDC!$D$73,AI62&gt;NDC!$D$74,$B62&gt;NDC!$H$22-0.1+MIN(3*$AJ$12,1.5)),0,1)</f>
        <v>#N/A</v>
      </c>
      <c r="AK62" s="86" t="b">
        <f t="shared" si="18"/>
        <v>0</v>
      </c>
      <c r="AL62" s="86">
        <f t="shared" si="70"/>
        <v>0.5</v>
      </c>
      <c r="AM62" s="86">
        <f t="shared" si="19"/>
        <v>0.5</v>
      </c>
      <c r="AN62" s="30" t="e">
        <f t="shared" ca="1" si="71"/>
        <v>#DIV/0!</v>
      </c>
      <c r="AO62" s="85" t="e">
        <f ca="1">IF(U62&lt;=Hypothèses!$V$7,Hypothèses!$W$7,IF(U62&lt;=Hypothèses!$V$8,Hypothèses!$W$8,IF(U62&lt;=Hypothèses!$V$9,Hypothèses!$W$9,IF(U62&lt;=Hypothèses!$V$10,Hypothèses!$W$10,IF(U62&lt;=Hypothèses!$V$11,Hypothèses!$W$11,IF(U62&lt;=Hypothèses!$V$12,Hypothèses!$W$12,IF(U62&lt;=Hypothèses!$V$13,Hypothèses!$W$13,IF(U62&lt;=Hypothèses!$V$14,Hypothèses!$W$14,IF(U62&lt;=Hypothèses!$V$15,Hypothèses!$W$15,IF(U62&lt;=Hypothèses!$V$16,Hypothèses!$W$16,IF(U62&lt;=Hypothèses!$V$17,Hypothèses!$W$17,IF(U62&lt;=Hypothèses!$V$18,Hypothèses!$W$18,""))))))))))))</f>
        <v>#DIV/0!</v>
      </c>
      <c r="AP62" s="87" t="e">
        <f t="shared" ca="1" si="117"/>
        <v>#DIV/0!</v>
      </c>
      <c r="AQ62" s="88" t="e">
        <f ca="1">IF(U62&lt;=Hypothèses!$V$7,Hypothèses!$X$7,IF(U62&lt;=Hypothèses!$V$8,Hypothèses!$X$8,IF(U62&lt;=Hypothèses!$V$9,Hypothèses!$X$9,IF(U62&lt;=Hypothèses!$V$10,Hypothèses!$X$10,IF(U62&lt;=Hypothèses!$V$11,Hypothèses!$X$11,IF(U62&lt;=Hypothèses!$V$12,Hypothèses!$X$12,IF(U62&lt;=Hypothèses!$V$13,Hypothèses!$X$13,IF(U62&lt;=Hypothèses!$V$14,Hypothèses!$X$14,IF(U62&lt;=Hypothèses!$V$15,Hypothèses!$X$15,IF(U62&lt;=Hypothèses!$V$16,Hypothèses!$X$16,IF(U62&lt;=Hypothèses!$U$17,Hypothèses!$W$17,IF(U62&lt;=Hypothèses!$U$18,Hypothèses!$W$18,""))))))))))))</f>
        <v>#DIV/0!</v>
      </c>
      <c r="AR62" s="95" t="e">
        <f t="shared" ca="1" si="72"/>
        <v>#DIV/0!</v>
      </c>
      <c r="AS62" s="101">
        <f t="shared" si="124"/>
        <v>0</v>
      </c>
      <c r="AT62" s="91">
        <f t="shared" si="21"/>
        <v>0</v>
      </c>
      <c r="AU62" s="30" t="e">
        <f t="shared" si="102"/>
        <v>#N/A</v>
      </c>
      <c r="AV62" s="30" t="e">
        <f t="shared" si="103"/>
        <v>#N/A</v>
      </c>
      <c r="AW62" s="31" t="e">
        <f>IF(OR(Hypothèses!$B$4=17,Hypothèses!$B$4=18,Hypothèses!$B$4=19,Hypothèses!$B$4=20),
IF($D62="Pressio.",
IF(OR($E62=3,$E62=1,$E62=4),AV62,AU62),
IF($D62="Pénétro.",
IF(OR($E62=3,$E62=1,$E62=4),AV62,AU62))),IF($D62="Pressio.",
IF($E62=3,AV62,AU62),
IF($D62="Pénétro.",
IF($E62=4,AV62,AU62))))</f>
        <v>#N/A</v>
      </c>
      <c r="AX62" s="31">
        <v>0</v>
      </c>
      <c r="AY62" s="102" t="e">
        <f>IF(NDC!$H$10="Oui",(VLOOKUP($B$3,'Coeff EC7'!$T$39:$X$59,2,0)*AW62+VLOOKUP($B$3,'Coeff EC7'!$T$65:$X$85,2,0)*Model0.1T!AX62)/1.5,PI()*AU$12*$Q62*($B62-$B61)*0.15/10+AY61)</f>
        <v>#N/A</v>
      </c>
      <c r="AZ62" s="102" t="e">
        <f>(VLOOKUP($B$3,'Coeff EC7'!$T$39:$X$59,3,0)*AW62+VLOOKUP($B$3,'Coeff EC7'!$T$65:$X$85,3,0)*Model0.1T!AX62)/1.1</f>
        <v>#N/A</v>
      </c>
      <c r="BA62" s="102" t="e">
        <f t="shared" si="73"/>
        <v>#N/A</v>
      </c>
      <c r="BB62" s="102" t="e">
        <f t="shared" si="74"/>
        <v>#N/A</v>
      </c>
      <c r="BC62" s="414" t="e">
        <f>IF(AND(AY62&gt;NDC!$C$63,AZ62&gt;NDC!$C$65,BA62&gt;NDC!$D$73,BB62&gt;NDC!$D$74,$B62&gt;NDC!$H$22-0.1+MIN(3*BC$12,1.5)),0,1)</f>
        <v>#N/A</v>
      </c>
      <c r="BD62" s="86" t="b">
        <f t="shared" si="24"/>
        <v>0</v>
      </c>
      <c r="BE62" s="86">
        <f t="shared" si="75"/>
        <v>0.5</v>
      </c>
      <c r="BF62" s="86">
        <f t="shared" si="25"/>
        <v>0.5</v>
      </c>
      <c r="BG62" s="30" t="e">
        <f t="shared" ca="1" si="76"/>
        <v>#DIV/0!</v>
      </c>
      <c r="BH62" s="85" t="e">
        <f ca="1">IF(AN62&lt;=Hypothèses!$V$7,Hypothèses!$W$7,IF(AN62&lt;=Hypothèses!$V$8,Hypothèses!$W$8,IF(AN62&lt;=Hypothèses!$V$9,Hypothèses!$W$9,IF(AN62&lt;=Hypothèses!$V$10,Hypothèses!$W$10,IF(AN62&lt;=Hypothèses!$V$11,Hypothèses!$W$11,IF(AN62&lt;=Hypothèses!$V$12,Hypothèses!$W$12,IF(AN62&lt;=Hypothèses!$V$13,Hypothèses!$W$13,IF(AN62&lt;=Hypothèses!$V$14,Hypothèses!$W$14,IF(AN62&lt;=Hypothèses!$V$15,Hypothèses!$W$15,IF(AN62&lt;=Hypothèses!$V$16,Hypothèses!$W$16,IF(AN62&lt;=Hypothèses!$V$17,Hypothèses!$W$17,IF(AN62&lt;=Hypothèses!$V$18,Hypothèses!$W$18,""))))))))))))</f>
        <v>#DIV/0!</v>
      </c>
      <c r="BI62" s="87" t="e">
        <f t="shared" ca="1" si="118"/>
        <v>#DIV/0!</v>
      </c>
      <c r="BJ62" s="88" t="e">
        <f ca="1">IF(AN62&lt;=Hypothèses!$V$7,Hypothèses!$X$7,IF(AN62&lt;=Hypothèses!$V$8,Hypothèses!$X$8,IF(AN62&lt;=Hypothèses!$V$9,Hypothèses!$X$9,IF(AN62&lt;=Hypothèses!$V$10,Hypothèses!$X$10,IF(AN62&lt;=Hypothèses!$V$11,Hypothèses!$X$11,IF(AN62&lt;=Hypothèses!$V$12,Hypothèses!$X$12,IF(AN62&lt;=Hypothèses!$V$13,Hypothèses!$X$13,IF(AN62&lt;=Hypothèses!$V$14,Hypothèses!$X$14,IF(AN62&lt;=Hypothèses!$V$15,Hypothèses!$X$15,IF(AN62&lt;=Hypothèses!$V$16,Hypothèses!$X$16,IF(AN62&lt;=Hypothèses!$U$17,Hypothèses!$W$17,IF(AN62&lt;=Hypothèses!$U$18,Hypothèses!$W$18,""))))))))))))</f>
        <v>#DIV/0!</v>
      </c>
      <c r="BK62" s="95" t="e">
        <f t="shared" ca="1" si="77"/>
        <v>#DIV/0!</v>
      </c>
      <c r="BL62" s="101">
        <f t="shared" si="125"/>
        <v>0</v>
      </c>
      <c r="BM62" s="91">
        <f t="shared" si="27"/>
        <v>0</v>
      </c>
      <c r="BN62" s="30" t="e">
        <f t="shared" si="104"/>
        <v>#N/A</v>
      </c>
      <c r="BO62" s="30" t="e">
        <f t="shared" si="105"/>
        <v>#N/A</v>
      </c>
      <c r="BP62" s="31" t="e">
        <f>IF(OR(Hypothèses!$B$4=17,Hypothèses!$B$4=18,Hypothèses!$B$4=19,Hypothèses!$B$4=20),
IF($D62="Pressio.",
IF(OR($E62=3,$E62=1,$E62=4),BO62,BN62),
IF($D62="Pénétro.",
IF(OR($E62=3,$E62=1,$E62=4),BO62,BN62))),IF($D62="Pressio.",
IF($E62=3,BO62,BN62),
IF($D62="Pénétro.",
IF($E62=4,BO62,BN62))))</f>
        <v>#N/A</v>
      </c>
      <c r="BQ62" s="31">
        <v>0</v>
      </c>
      <c r="BR62" s="102" t="e">
        <f>IF(NDC!$H$10="Oui",(VLOOKUP($B$3,'Coeff EC7'!$T$39:$X$59,2,0)*BP62+VLOOKUP($B$3,'Coeff EC7'!$T$65:$X$85,2,0)*Model0.1T!BQ62)/1.5,PI()*BN$12*$Q62*($B62-$B61)*0.15/10+BR61)</f>
        <v>#N/A</v>
      </c>
      <c r="BS62" s="102" t="e">
        <f>(VLOOKUP($B$3,'Coeff EC7'!$T$39:$X$59,3,0)*BP62+VLOOKUP($B$3,'Coeff EC7'!$T$65:$X$85,3,0)*Model0.1T!BQ62)/1.1</f>
        <v>#N/A</v>
      </c>
      <c r="BT62" s="102" t="e">
        <f t="shared" si="78"/>
        <v>#N/A</v>
      </c>
      <c r="BU62" s="102" t="e">
        <f t="shared" si="79"/>
        <v>#N/A</v>
      </c>
      <c r="BV62" s="414" t="e">
        <f>IF(AND(BR62&gt;NDC!$C$63,BS62&gt;NDC!$C$65,BT62&gt;NDC!$D$73,BU62&gt;NDC!$D$74,$B62&gt;NDC!$H$22-0.1+MIN(3*BV$12,1.5)),0,1)</f>
        <v>#N/A</v>
      </c>
      <c r="BW62" s="86" t="b">
        <f t="shared" si="30"/>
        <v>0</v>
      </c>
      <c r="BX62" s="86">
        <f t="shared" si="31"/>
        <v>0.5</v>
      </c>
      <c r="BY62" s="86">
        <f t="shared" si="32"/>
        <v>0.5</v>
      </c>
      <c r="BZ62" s="30" t="e">
        <f t="shared" ca="1" si="80"/>
        <v>#DIV/0!</v>
      </c>
      <c r="CA62" s="85" t="e">
        <f ca="1">IF(BG62&lt;=Hypothèses!$V$7,Hypothèses!$W$7,IF(BG62&lt;=Hypothèses!$V$8,Hypothèses!$W$8,IF(BG62&lt;=Hypothèses!$V$9,Hypothèses!$W$9,IF(BG62&lt;=Hypothèses!$V$10,Hypothèses!$W$10,IF(BG62&lt;=Hypothèses!$V$11,Hypothèses!$W$11,IF(BG62&lt;=Hypothèses!$V$12,Hypothèses!$W$12,IF(BG62&lt;=Hypothèses!$V$13,Hypothèses!$W$13,IF(BG62&lt;=Hypothèses!$V$14,Hypothèses!$W$14,IF(BG62&lt;=Hypothèses!$V$15,Hypothèses!$W$15,IF(BG62&lt;=Hypothèses!$V$16,Hypothèses!$W$16,IF(BG62&lt;=Hypothèses!$V$17,Hypothèses!$W$17,IF(BG62&lt;=Hypothèses!$V$18,Hypothèses!$W$18,""))))))))))))</f>
        <v>#DIV/0!</v>
      </c>
      <c r="CB62" s="87" t="e">
        <f t="shared" ca="1" si="119"/>
        <v>#DIV/0!</v>
      </c>
      <c r="CC62" s="88" t="e">
        <f ca="1">IF(BG62&lt;=Hypothèses!$V$7,Hypothèses!$X$7,IF(BG62&lt;=Hypothèses!$V$8,Hypothèses!$X$8,IF(BG62&lt;=Hypothèses!$V$9,Hypothèses!$X$9,IF(BG62&lt;=Hypothèses!$V$10,Hypothèses!$X$10,IF(BG62&lt;=Hypothèses!$V$11,Hypothèses!$X$11,IF(BG62&lt;=Hypothèses!$V$12,Hypothèses!$X$12,IF(BG62&lt;=Hypothèses!$V$13,Hypothèses!$X$13,IF(BG62&lt;=Hypothèses!$V$14,Hypothèses!$X$14,IF(BG62&lt;=Hypothèses!$V$15,Hypothèses!$X$15,IF(BG62&lt;=Hypothèses!$V$16,Hypothèses!$X$16,IF(BG62&lt;=Hypothèses!$U$17,Hypothèses!$W$17,IF(BG62&lt;=Hypothèses!$U$18,Hypothèses!$W$18,""))))))))))))</f>
        <v>#DIV/0!</v>
      </c>
      <c r="CD62" s="95" t="e">
        <f t="shared" ca="1" si="81"/>
        <v>#DIV/0!</v>
      </c>
      <c r="CE62" s="101">
        <f t="shared" si="126"/>
        <v>0</v>
      </c>
      <c r="CF62" s="91">
        <f t="shared" si="34"/>
        <v>0</v>
      </c>
      <c r="CG62" s="30" t="e">
        <f t="shared" si="106"/>
        <v>#N/A</v>
      </c>
      <c r="CH62" s="30" t="e">
        <f t="shared" si="107"/>
        <v>#N/A</v>
      </c>
      <c r="CI62" s="31" t="e">
        <f>IF(OR(Hypothèses!$B$4=17,Hypothèses!$B$4=18,Hypothèses!$B$4=19,Hypothèses!$B$4=20),
IF($D62="Pressio.",
IF(OR($E62=3,$E62=1,$E62=4),CH62,CG62),
IF($D62="Pénétro.",
IF(OR($E62=3,$E62=1,$E62=4),CH62,CG62))),IF($D62="Pressio.",
IF($E62=3,CH62,CG62),
IF($D62="Pénétro.",
IF($E62=4,CH62,CG62))))</f>
        <v>#N/A</v>
      </c>
      <c r="CJ62" s="31">
        <v>0</v>
      </c>
      <c r="CK62" s="102" t="e">
        <f>IF(NDC!$H$10="Oui",(VLOOKUP($B$3,'Coeff EC7'!$T$39:$X$59,2,0)*CI62+VLOOKUP($B$3,'Coeff EC7'!$T$65:$X$85,2,0)*Model0.1T!CJ62)/1.5,PI()*CG$12*$Q62*($B62-$B61)*0.15/10+CK61)</f>
        <v>#N/A</v>
      </c>
      <c r="CL62" s="102" t="e">
        <f>(VLOOKUP($B$3,'Coeff EC7'!$T$39:$X$59,3,0)*CI62+VLOOKUP($B$3,'Coeff EC7'!$T$65:$X$85,3,0)*Model0.1T!CJ62)/1.1</f>
        <v>#N/A</v>
      </c>
      <c r="CM62" s="102" t="e">
        <f t="shared" si="82"/>
        <v>#N/A</v>
      </c>
      <c r="CN62" s="102" t="e">
        <f t="shared" si="83"/>
        <v>#N/A</v>
      </c>
      <c r="CO62" s="414" t="e">
        <f>IF(AND(CK62&gt;NDC!$C$63,CL62&gt;NDC!$C$65,CM62&gt;NDC!$D$73,CN62&gt;NDC!$D$74,$B62&gt;NDC!$H$22-0.1+MIN(3*CO$12,1.5)),0,1)</f>
        <v>#N/A</v>
      </c>
      <c r="CP62" s="86" t="b">
        <f t="shared" si="37"/>
        <v>0</v>
      </c>
      <c r="CQ62" s="86">
        <f t="shared" si="38"/>
        <v>0.5</v>
      </c>
      <c r="CR62" s="86">
        <f t="shared" si="39"/>
        <v>0.5</v>
      </c>
      <c r="CS62" s="30" t="e">
        <f t="shared" ca="1" si="84"/>
        <v>#DIV/0!</v>
      </c>
      <c r="CT62" s="85" t="e">
        <f ca="1">IF(BZ62&lt;=Hypothèses!$V$7,Hypothèses!$W$7,IF(BZ62&lt;=Hypothèses!$V$8,Hypothèses!$W$8,IF(BZ62&lt;=Hypothèses!$V$9,Hypothèses!$W$9,IF(BZ62&lt;=Hypothèses!$V$10,Hypothèses!$W$10,IF(BZ62&lt;=Hypothèses!$V$11,Hypothèses!$W$11,IF(BZ62&lt;=Hypothèses!$V$12,Hypothèses!$W$12,IF(BZ62&lt;=Hypothèses!$V$13,Hypothèses!$W$13,IF(BZ62&lt;=Hypothèses!$V$14,Hypothèses!$W$14,IF(BZ62&lt;=Hypothèses!$V$15,Hypothèses!$W$15,IF(BZ62&lt;=Hypothèses!$V$16,Hypothèses!$W$16,IF(BZ62&lt;=Hypothèses!$V$17,Hypothèses!$W$17,IF(BZ62&lt;=Hypothèses!$V$18,Hypothèses!$W$18,""))))))))))))</f>
        <v>#DIV/0!</v>
      </c>
      <c r="CU62" s="87" t="e">
        <f t="shared" ca="1" si="120"/>
        <v>#DIV/0!</v>
      </c>
      <c r="CV62" s="88" t="e">
        <f ca="1">IF(BZ62&lt;=Hypothèses!$V$7,Hypothèses!$X$7,IF(BZ62&lt;=Hypothèses!$V$8,Hypothèses!$X$8,IF(BZ62&lt;=Hypothèses!$V$9,Hypothèses!$X$9,IF(BZ62&lt;=Hypothèses!$V$10,Hypothèses!$X$10,IF(BZ62&lt;=Hypothèses!$V$11,Hypothèses!$X$11,IF(BZ62&lt;=Hypothèses!$V$12,Hypothèses!$X$12,IF(BZ62&lt;=Hypothèses!$V$13,Hypothèses!$X$13,IF(BZ62&lt;=Hypothèses!$V$14,Hypothèses!$X$14,IF(BZ62&lt;=Hypothèses!$V$15,Hypothèses!$X$15,IF(BZ62&lt;=Hypothèses!$V$16,Hypothèses!$X$16,IF(BZ62&lt;=Hypothèses!$U$17,Hypothèses!$W$17,IF(BZ62&lt;=Hypothèses!$U$18,Hypothèses!$W$18,""))))))))))))</f>
        <v>#DIV/0!</v>
      </c>
      <c r="CW62" s="95" t="e">
        <f t="shared" ca="1" si="85"/>
        <v>#DIV/0!</v>
      </c>
      <c r="CX62" s="101">
        <f t="shared" si="127"/>
        <v>0</v>
      </c>
      <c r="CY62" s="91">
        <f t="shared" si="41"/>
        <v>0</v>
      </c>
      <c r="CZ62" s="30" t="e">
        <f t="shared" si="108"/>
        <v>#N/A</v>
      </c>
      <c r="DA62" s="30" t="e">
        <f t="shared" si="109"/>
        <v>#N/A</v>
      </c>
      <c r="DB62" s="31" t="e">
        <f>IF(OR(Hypothèses!$B$4=17,Hypothèses!$B$4=18,Hypothèses!$B$4=19,Hypothèses!$B$4=20),
IF($D62="Pressio.",
IF(OR($E62=3,$E62=1,$E62=4),DA62,CZ62),
IF($D62="Pénétro.",
IF(OR($E62=3,$E62=1,$E62=4),DA62,CZ62))),IF($D62="Pressio.",
IF($E62=3,DA62,CZ62),
IF($D62="Pénétro.",
IF($E62=4,DA62,CZ62))))</f>
        <v>#N/A</v>
      </c>
      <c r="DC62" s="31">
        <v>0</v>
      </c>
      <c r="DD62" s="102" t="e">
        <f>IF(NDC!$H$10="Oui",(VLOOKUP($B$3,'Coeff EC7'!$T$39:$X$59,2,0)*DB62+VLOOKUP($B$3,'Coeff EC7'!$T$65:$X$85,2,0)*Model0.1T!DC62)/1.5,PI()*CZ$12*$Q62*($B62-$B61)*0.15/10+DD61)</f>
        <v>#N/A</v>
      </c>
      <c r="DE62" s="102" t="e">
        <f>(VLOOKUP($B$3,'Coeff EC7'!$T$39:$X$59,3,0)*DB62+VLOOKUP($B$3,'Coeff EC7'!$T$65:$X$85,3,0)*Model0.1T!DC62)/1.1</f>
        <v>#N/A</v>
      </c>
      <c r="DF62" s="102" t="e">
        <f t="shared" si="86"/>
        <v>#N/A</v>
      </c>
      <c r="DG62" s="102" t="e">
        <f t="shared" si="87"/>
        <v>#N/A</v>
      </c>
      <c r="DH62" s="414" t="e">
        <f>IF(AND(DD62&gt;NDC!$C$63,DE62&gt;NDC!$C$65,DF62&gt;NDC!$D$73,DG62&gt;NDC!$D$74,$B62&gt;NDC!$H$22-0.1+MIN(3*DH$12,1.5)),0,1)</f>
        <v>#N/A</v>
      </c>
      <c r="DI62" s="86" t="b">
        <f t="shared" si="44"/>
        <v>0</v>
      </c>
      <c r="DJ62" s="86">
        <f t="shared" si="45"/>
        <v>0.5</v>
      </c>
      <c r="DK62" s="86">
        <f t="shared" si="46"/>
        <v>0.5</v>
      </c>
      <c r="DL62" s="30" t="e">
        <f t="shared" ca="1" si="88"/>
        <v>#DIV/0!</v>
      </c>
      <c r="DM62" s="85" t="e">
        <f ca="1">IF(CS62&lt;=Hypothèses!$V$7,Hypothèses!$W$7,IF(CS62&lt;=Hypothèses!$V$8,Hypothèses!$W$8,IF(CS62&lt;=Hypothèses!$V$9,Hypothèses!$W$9,IF(CS62&lt;=Hypothèses!$V$10,Hypothèses!$W$10,IF(CS62&lt;=Hypothèses!$V$11,Hypothèses!$W$11,IF(CS62&lt;=Hypothèses!$V$12,Hypothèses!$W$12,IF(CS62&lt;=Hypothèses!$V$13,Hypothèses!$W$13,IF(CS62&lt;=Hypothèses!$V$14,Hypothèses!$W$14,IF(CS62&lt;=Hypothèses!$V$15,Hypothèses!$W$15,IF(CS62&lt;=Hypothèses!$V$16,Hypothèses!$W$16,IF(CS62&lt;=Hypothèses!$V$17,Hypothèses!$W$17,IF(CS62&lt;=Hypothèses!$V$18,Hypothèses!$W$18,""))))))))))))</f>
        <v>#DIV/0!</v>
      </c>
      <c r="DN62" s="87" t="e">
        <f t="shared" ca="1" si="121"/>
        <v>#DIV/0!</v>
      </c>
      <c r="DO62" s="88" t="e">
        <f ca="1">IF(CS62&lt;=Hypothèses!$V$7,Hypothèses!$X$7,IF(CS62&lt;=Hypothèses!$V$8,Hypothèses!$X$8,IF(CS62&lt;=Hypothèses!$V$9,Hypothèses!$X$9,IF(CS62&lt;=Hypothèses!$V$10,Hypothèses!$X$10,IF(CS62&lt;=Hypothèses!$V$11,Hypothèses!$X$11,IF(CS62&lt;=Hypothèses!$V$12,Hypothèses!$X$12,IF(CS62&lt;=Hypothèses!$V$13,Hypothèses!$X$13,IF(CS62&lt;=Hypothèses!$V$14,Hypothèses!$X$14,IF(CS62&lt;=Hypothèses!$V$15,Hypothèses!$X$15,IF(CS62&lt;=Hypothèses!$V$16,Hypothèses!$X$16,IF(CS62&lt;=Hypothèses!$U$17,Hypothèses!$W$17,IF(CS62&lt;=Hypothèses!$U$18,Hypothèses!$W$18,""))))))))))))</f>
        <v>#DIV/0!</v>
      </c>
      <c r="DP62" s="95" t="e">
        <f t="shared" ca="1" si="89"/>
        <v>#DIV/0!</v>
      </c>
      <c r="DQ62" s="101">
        <f t="shared" si="128"/>
        <v>0</v>
      </c>
      <c r="DR62" s="91">
        <f t="shared" si="48"/>
        <v>0</v>
      </c>
      <c r="DS62" s="30" t="e">
        <f t="shared" si="110"/>
        <v>#N/A</v>
      </c>
      <c r="DT62" s="30" t="e">
        <f t="shared" si="111"/>
        <v>#N/A</v>
      </c>
      <c r="DU62" s="31" t="e">
        <f>IF(OR(Hypothèses!$B$4=17,Hypothèses!$B$4=18,Hypothèses!$B$4=19,Hypothèses!$B$4=20),
IF($D62="Pressio.",
IF(OR($E62=3,$E62=1,$E62=4),DT62,DS62),
IF($D62="Pénétro.",
IF(OR($E62=3,$E62=1,$E62=4),DT62,DS62))),IF($D62="Pressio.",
IF($E62=3,DT62,DS62),
IF($D62="Pénétro.",
IF($E62=4,DT62,DS62))))</f>
        <v>#N/A</v>
      </c>
      <c r="DV62" s="31">
        <v>0</v>
      </c>
      <c r="DW62" s="102" t="e">
        <f>IF(NDC!$H$10="Oui",(VLOOKUP($B$3,'Coeff EC7'!$T$39:$X$59,2,0)*DU62+VLOOKUP($B$3,'Coeff EC7'!$T$65:$X$85,2,0)*Model0.1T!DV62)/1.5,PI()*DS$12*$Q62*($B62-$B61)*0.15/10+DW61)</f>
        <v>#N/A</v>
      </c>
      <c r="DX62" s="102" t="e">
        <f>(VLOOKUP($B$3,'Coeff EC7'!$T$39:$X$59,3,0)*DU62+VLOOKUP($B$3,'Coeff EC7'!$T$65:$X$85,3,0)*Model0.1T!DV62)/1.1</f>
        <v>#N/A</v>
      </c>
      <c r="DY62" s="102" t="e">
        <f t="shared" si="90"/>
        <v>#N/A</v>
      </c>
      <c r="DZ62" s="102" t="e">
        <f t="shared" si="91"/>
        <v>#N/A</v>
      </c>
      <c r="EA62" s="414" t="e">
        <f>IF(AND(DW62&gt;NDC!$C$63,DX62&gt;NDC!$C$65,DY62&gt;NDC!$D$73,DZ62&gt;NDC!$D$74,$B62&gt;NDC!$H$22-0.1+MIN(3*EA$12,1.5)),0,1)</f>
        <v>#N/A</v>
      </c>
      <c r="EB62" s="86" t="b">
        <f t="shared" si="51"/>
        <v>0</v>
      </c>
      <c r="EC62" s="418">
        <f t="shared" si="52"/>
        <v>0.51</v>
      </c>
      <c r="ED62" s="86">
        <f t="shared" si="53"/>
        <v>0.51</v>
      </c>
      <c r="EE62" s="30" t="e">
        <f t="shared" ca="1" si="92"/>
        <v>#DIV/0!</v>
      </c>
      <c r="EF62" s="85" t="e">
        <f ca="1">IF(DL62&lt;=Hypothèses!$V$7,Hypothèses!$W$7,IF(DL62&lt;=Hypothèses!$V$8,Hypothèses!$W$8,IF(DL62&lt;=Hypothèses!$V$9,Hypothèses!$W$9,IF(DL62&lt;=Hypothèses!$V$10,Hypothèses!$W$10,IF(DL62&lt;=Hypothèses!$V$11,Hypothèses!$W$11,IF(DL62&lt;=Hypothèses!$V$12,Hypothèses!$W$12,IF(DL62&lt;=Hypothèses!$V$13,Hypothèses!$W$13,IF(DL62&lt;=Hypothèses!$V$14,Hypothèses!$W$14,IF(DL62&lt;=Hypothèses!$V$15,Hypothèses!$W$15,IF(DL62&lt;=Hypothèses!$V$16,Hypothèses!$W$16,IF(DL62&lt;=Hypothèses!$V$17,Hypothèses!$W$17,IF(DL62&lt;=Hypothèses!$V$18,Hypothèses!$W$18,""))))))))))))</f>
        <v>#DIV/0!</v>
      </c>
      <c r="EG62" s="87" t="e">
        <f t="shared" ca="1" si="122"/>
        <v>#DIV/0!</v>
      </c>
      <c r="EH62" s="88" t="e">
        <f ca="1">IF(DL62&lt;=Hypothèses!$V$7,Hypothèses!$X$7,IF(DL62&lt;=Hypothèses!$V$8,Hypothèses!$X$8,IF(DL62&lt;=Hypothèses!$V$9,Hypothèses!$X$9,IF(DL62&lt;=Hypothèses!$V$10,Hypothèses!$X$10,IF(DL62&lt;=Hypothèses!$V$11,Hypothèses!$X$11,IF(DL62&lt;=Hypothèses!$V$12,Hypothèses!$X$12,IF(DL62&lt;=Hypothèses!$V$13,Hypothèses!$X$13,IF(DL62&lt;=Hypothèses!$V$14,Hypothèses!$X$14,IF(DL62&lt;=Hypothèses!$V$15,Hypothèses!$X$15,IF(DL62&lt;=Hypothèses!$V$16,Hypothèses!$X$16,IF(DL62&lt;=Hypothèses!$U$17,Hypothèses!$W$17,IF(DL62&lt;=Hypothèses!$U$18,Hypothèses!$W$18,""))))))))))))</f>
        <v>#DIV/0!</v>
      </c>
      <c r="EI62" s="95" t="e">
        <f t="shared" ca="1" si="93"/>
        <v>#DIV/0!</v>
      </c>
      <c r="EJ62" s="101">
        <f t="shared" si="129"/>
        <v>0</v>
      </c>
      <c r="EK62" s="91">
        <f t="shared" si="55"/>
        <v>0</v>
      </c>
      <c r="EL62" s="30" t="e">
        <f t="shared" si="112"/>
        <v>#N/A</v>
      </c>
      <c r="EM62" s="30" t="e">
        <f t="shared" si="113"/>
        <v>#N/A</v>
      </c>
      <c r="EN62" s="31" t="e">
        <f>IF(OR(Hypothèses!$B$4=17,Hypothèses!$B$4=18,Hypothèses!$B$4=19,Hypothèses!$B$4=20),
IF($D62="Pressio.",
IF(OR($E62=3,$E62=1,$E62=4),EM62,EL62),
IF($D62="Pénétro.",
IF(OR($E62=3,$E62=1,$E62=4),EM62,EL62))),IF($D62="Pressio.",
IF($E62=3,EM62,EL62),
IF($D62="Pénétro.",
IF($E62=4,EM62,EL62))))</f>
        <v>#N/A</v>
      </c>
      <c r="EO62" s="31">
        <v>0</v>
      </c>
      <c r="EP62" s="102" t="e">
        <f>IF(NDC!$H$10="Oui",(VLOOKUP($B$3,'Coeff EC7'!$T$39:$X$59,2,0)*EN62+VLOOKUP($B$3,'Coeff EC7'!$T$65:$X$85,2,0)*Model0.1T!EO62)/1.5,PI()*EL$12*$Q62*($B62-$B61)*0.15/10+EP61)</f>
        <v>#N/A</v>
      </c>
      <c r="EQ62" s="102" t="e">
        <f>(VLOOKUP($B$3,'Coeff EC7'!$T$39:$X$59,3,0)*EN62+VLOOKUP($B$3,'Coeff EC7'!$T$65:$X$85,3,0)*Model0.1T!EO62)/1.1</f>
        <v>#N/A</v>
      </c>
      <c r="ER62" s="102" t="e">
        <f t="shared" si="94"/>
        <v>#N/A</v>
      </c>
      <c r="ES62" s="102" t="e">
        <f t="shared" si="95"/>
        <v>#N/A</v>
      </c>
      <c r="ET62" s="414" t="e">
        <f>IF(AND(EP62&gt;NDC!$C$63,EQ62&gt;NDC!$C$65,ER62&gt;NDC!$D$73,ES62&gt;NDC!$D$74,$B62&gt;NDC!$H$22-0.1+MIN(3*ET$12,1.5)),0,1)</f>
        <v>#N/A</v>
      </c>
      <c r="EU62" s="86" t="b">
        <f t="shared" si="58"/>
        <v>0</v>
      </c>
      <c r="EV62" s="86">
        <f t="shared" si="59"/>
        <v>0.61</v>
      </c>
      <c r="EW62" s="86">
        <f t="shared" si="60"/>
        <v>0.61</v>
      </c>
      <c r="EX62" s="30" t="e">
        <f t="shared" ca="1" si="96"/>
        <v>#DIV/0!</v>
      </c>
      <c r="EY62" s="85" t="e">
        <f ca="1">IF(EE62&lt;=Hypothèses!$V$7,Hypothèses!$W$7,IF(EE62&lt;=Hypothèses!$V$8,Hypothèses!$W$8,IF(EE62&lt;=Hypothèses!$V$9,Hypothèses!$W$9,IF(EE62&lt;=Hypothèses!$V$10,Hypothèses!$W$10,IF(EE62&lt;=Hypothèses!$V$11,Hypothèses!$W$11,IF(EE62&lt;=Hypothèses!$V$12,Hypothèses!$W$12,IF(EE62&lt;=Hypothèses!$V$13,Hypothèses!$W$13,IF(EE62&lt;=Hypothèses!$V$14,Hypothèses!$W$14,IF(EE62&lt;=Hypothèses!$V$15,Hypothèses!$W$15,IF(EE62&lt;=Hypothèses!$V$16,Hypothèses!$W$16,IF(EE62&lt;=Hypothèses!$V$17,Hypothèses!$W$17,IF(EE62&lt;=Hypothèses!$V$18,Hypothèses!$W$18,""))))))))))))</f>
        <v>#DIV/0!</v>
      </c>
      <c r="EZ62" s="87" t="e">
        <f t="shared" ca="1" si="123"/>
        <v>#DIV/0!</v>
      </c>
      <c r="FA62" s="88" t="e">
        <f ca="1">IF(EE62&lt;=Hypothèses!$V$7,Hypothèses!$X$7,IF(EE62&lt;=Hypothèses!$V$8,Hypothèses!$X$8,IF(EE62&lt;=Hypothèses!$V$9,Hypothèses!$X$9,IF(EE62&lt;=Hypothèses!$V$10,Hypothèses!$X$10,IF(EE62&lt;=Hypothèses!$V$11,Hypothèses!$X$11,IF(EE62&lt;=Hypothèses!$V$12,Hypothèses!$X$12,IF(EE62&lt;=Hypothèses!$V$13,Hypothèses!$X$13,IF(EE62&lt;=Hypothèses!$V$14,Hypothèses!$X$14,IF(EE62&lt;=Hypothèses!$V$15,Hypothèses!$X$15,IF(EE62&lt;=Hypothèses!$V$16,Hypothèses!$X$16,IF(EE62&lt;=Hypothèses!$U$17,Hypothèses!$W$17,IF(EE62&lt;=Hypothèses!$U$18,Hypothèses!$W$18,""))))))))))))</f>
        <v>#DIV/0!</v>
      </c>
      <c r="FB62" s="95" t="e">
        <f t="shared" ca="1" si="97"/>
        <v>#DIV/0!</v>
      </c>
      <c r="FC62" s="101">
        <f t="shared" si="130"/>
        <v>0</v>
      </c>
      <c r="FD62" s="91">
        <f t="shared" si="62"/>
        <v>0</v>
      </c>
      <c r="FE62" s="30" t="e">
        <f t="shared" si="114"/>
        <v>#N/A</v>
      </c>
      <c r="FF62" s="30" t="e">
        <f t="shared" si="115"/>
        <v>#N/A</v>
      </c>
      <c r="FG62" s="31" t="e">
        <f>IF(OR(Hypothèses!$B$4=17,Hypothèses!$B$4=18,Hypothèses!$B$4=19,Hypothèses!$B$4=20),
IF($D62="Pressio.",
IF(OR($E62=3,$E62=1,$E62=4),FF62,FE62),
IF($D62="Pénétro.",
IF(OR($E62=3,$E62=1,$E62=4),FF62,FE62))),IF($D62="Pressio.",
IF($E62=3,FF62,FE62),
IF($D62="Pénétro.",
IF($E62=4,FF62,FE62))))</f>
        <v>#N/A</v>
      </c>
      <c r="FH62" s="31">
        <v>0</v>
      </c>
      <c r="FI62" s="102" t="e">
        <f>IF(NDC!$H$10="Oui",(VLOOKUP($B$3,'Coeff EC7'!$T$39:$X$59,2,0)*FG62+VLOOKUP($B$3,'Coeff EC7'!$T$65:$X$85,2,0)*Model0.1T!FH62)/1.5,PI()*FE$12*$Q62*($B62-$B61)*0.15/10+FI61)</f>
        <v>#N/A</v>
      </c>
      <c r="FJ62" s="102" t="e">
        <f>(VLOOKUP($B$3,'Coeff EC7'!$T$39:$X$59,3,0)*FG62+VLOOKUP($B$3,'Coeff EC7'!$T$65:$X$85,3,0)*Model0.1T!FH62)/1.1</f>
        <v>#N/A</v>
      </c>
      <c r="FK62" s="102" t="e">
        <f t="shared" si="98"/>
        <v>#N/A</v>
      </c>
      <c r="FL62" s="102" t="e">
        <f t="shared" si="99"/>
        <v>#N/A</v>
      </c>
      <c r="FM62" s="414" t="e">
        <f>IF(AND(FI62&gt;NDC!$C$63,FJ62&gt;NDC!$C$65,FK62&gt;NDC!$D$73,FL62&gt;NDC!$D$74,$B62&gt;NDC!$H$22-0.1+MIN(3*FM$12,1.5)),0,1)</f>
        <v>#N/A</v>
      </c>
    </row>
    <row r="63" spans="1:169">
      <c r="A63" s="96">
        <f t="shared" si="65"/>
        <v>95.000000000000284</v>
      </c>
      <c r="B63" s="97">
        <v>5</v>
      </c>
      <c r="C63" s="81">
        <f>IF(B63&lt;=Hypothèses!$C$7,Hypothèses!$A$7,IF(B63&lt;=Hypothèses!$C$8,Hypothèses!$A$8,IF(B63&lt;=Hypothèses!$C$9,Hypothèses!$A$9,IF(B63&lt;=Hypothèses!$C$10,Hypothèses!$A$10,IF(B63&lt;=Hypothèses!$C$11,Hypothèses!$A$11,IF(B63&lt;=Hypothèses!$C$12,Hypothèses!$A$12,IF(B63&lt;=Hypothèses!$C$13,Hypothèses!$A$13,IF(B63&lt;=Hypothèses!$C$14,Hypothèses!$A$14,IF(B63&lt;=Hypothèses!$C$15,Hypothèses!$A$15,IF(B63&lt;=Hypothèses!$C$16,Hypothèses!$A$16,IF(B63&lt;=Hypothèses!$C$17,Hypothèses!$A$17,IF(B63&lt;=Hypothèses!$C$18,Hypothèses!$A$18,C62))))))))))))</f>
        <v>11</v>
      </c>
      <c r="D63" s="82" t="str">
        <f>IF(B63&lt;=Hypothèses!$C$7,Hypothèses!$R$7,IF(B63&lt;=Hypothèses!$C$8,Hypothèses!$R$8,IF(B63&lt;=Hypothèses!$C$9,Hypothèses!$R$9,IF(B63&lt;=Hypothèses!$C$10,Hypothèses!$R$10,IF(B63&lt;=Hypothèses!$C$11,Hypothèses!$R$11,IF(B63&lt;=Hypothèses!$C$12,Hypothèses!$R$12,IF(B63&lt;=Hypothèses!$C$13,Hypothèses!$R$13,IF(B63&lt;=Hypothèses!$C$14,Hypothèses!$R$14,IF(B63&lt;=Hypothèses!$C$15,Hypothèses!$R$15,IF(B63&lt;=Hypothèses!$C$16,Hypothèses!$R$16,IF(B63&lt;=Hypothèses!$C$17,Hypothèses!$R$17,IF(B63&lt;=Hypothèses!$C$18,Hypothèses!$R$18,D62))))))))))))</f>
        <v>Pressio.</v>
      </c>
      <c r="E63" s="82" t="e">
        <f>IF(B63&lt;=Hypothèses!$C$7,Hypothèses!$G$7,IF(B63&lt;=Hypothèses!$C$8,Hypothèses!$G$8,IF(B63&lt;=Hypothèses!$C$9,Hypothèses!$G$9,IF(B63&lt;=Hypothèses!$C$10,Hypothèses!$G$10,IF(B63&lt;=Hypothèses!$C$11,Hypothèses!$G$11,IF(B63&lt;=Hypothèses!$C$12,Hypothèses!$G$12,IF(B63&lt;=Hypothèses!$C$13,Hypothèses!$G$13,IF(B63&lt;=Hypothèses!$C$14,Hypothèses!$G$14,IF(B63&lt;=Hypothèses!$C$15,Hypothèses!$G$15,IF(B63&lt;=Hypothèses!$C$16,Hypothèses!$G$16,IF(B63&lt;=Hypothèses!$C$17,Hypothèses!$G$17,IF(B63&lt;=Hypothèses!$C$18,Hypothèses!$G$18,E62))))))))))))</f>
        <v>#N/A</v>
      </c>
      <c r="F63" s="82" t="str">
        <f>IF(B63&lt;=Hypothèses!$C$7,Hypothèses!$F$7,IF(B63&lt;=Hypothèses!$C$8,Hypothèses!$F$8,IF(B63&lt;=Hypothèses!$C$9,Hypothèses!$F$9,IF(B63&lt;=Hypothèses!$C$10,Hypothèses!$F$10,IF(B63&lt;=Hypothèses!$C$11,Hypothèses!$F$11,IF(B63&lt;=Hypothèses!$C$12,Hypothèses!$F$12,IF(B63&lt;=Hypothèses!$C$13,Hypothèses!$F$13,IF(B63&lt;=Hypothèses!$C$14,Hypothèses!$F$14,IF(B63&lt;=Hypothèses!$C$15,Hypothèses!$F$15,IF(B63&lt;=Hypothèses!$C$16,Hypothèses!$F$16,IF(B63&lt;=Hypothèses!$C$17,Hypothèses!$F$17,IF(B63&lt;=Hypothèses!$C$18,Hypothèses!$F$18,F62))))))))))))</f>
        <v/>
      </c>
      <c r="G63" s="91">
        <f t="array" ref="G63">INDEX('Coeff EC7'!$U$7:$X$27,
MATCH(Model0.1T!$B$3,'Coeff EC7'!$T$7:$T$27,0),
MATCH(Model0.1T!$D63&amp;Model0.1T!$B$4,
'Coeff EC7'!$U$6:$X$6&amp;
'Coeff EC7'!$U$5:$X$5,0))</f>
        <v>1.4</v>
      </c>
      <c r="H63" s="91">
        <f t="array" ref="H63">INDEX('Coeff EC7'!$Y$7:$AB$27,
MATCH(Model0.1T!$B$3,'Coeff EC7'!$T$7:$T$27,0),
MATCH(Model0.1T!$D63&amp;Model0.1T!$B$4,
'Coeff EC7'!$Y$6:$AB$6&amp;
'Coeff EC7'!$Y$5:$AB$5,0))</f>
        <v>1.7</v>
      </c>
      <c r="I63" s="83">
        <v>0</v>
      </c>
      <c r="J63" s="91" t="e">
        <f t="array" ref="J63">INDEX('Coeff EC7'!$D$33:$Q$33,1,MATCH(D63&amp;E63,'Coeff EC7'!$D$31:$Q$31&amp;'Coeff EC7'!$D$32:$Q$32,0))</f>
        <v>#N/A</v>
      </c>
      <c r="K63" s="91" t="e">
        <f t="array" ref="K63">INDEX('Coeff EC7'!$D$34:$Q$34,1,MATCH(D63&amp;E63,'Coeff EC7'!$D$31:$Q$31&amp;'Coeff EC7'!$D$32:$Q$32,0))</f>
        <v>#N/A</v>
      </c>
      <c r="L63" s="91" t="e">
        <f t="array" ref="L63">INDEX('Coeff EC7'!$D$35:$Q$35,1,MATCH(D63&amp;E63,'Coeff EC7'!$D$31:$Q$31&amp;'Coeff EC7'!$D$32:$Q$32,0))</f>
        <v>#N/A</v>
      </c>
      <c r="M63" s="98" t="e">
        <f t="shared" si="8"/>
        <v>#N/A</v>
      </c>
      <c r="N63" s="99" t="e">
        <f t="array" ref="N63">INDEX('Coeff EC7'!$D$7:$Q$27,MATCH($B$3,'Coeff EC7'!$C$7:$C$27,0),MATCH(D63&amp;E63,'Coeff EC7'!$D$5:$Q$5&amp;'Coeff EC7'!$D$6:$Q$6,0))</f>
        <v>#N/A</v>
      </c>
      <c r="O63" s="99" t="e">
        <f t="array" ref="O63">INDEX('Coeff EC7'!$D$41:$Q$61,MATCH($B$3,'Coeff EC7'!$C$41:$C$61,0),MATCH(D63&amp;E63,'Coeff EC7'!$D$39:$Q$39&amp;'Coeff EC7'!$D$40:$Q$40,0))</f>
        <v>#N/A</v>
      </c>
      <c r="P63" s="30" t="e">
        <f t="shared" si="66"/>
        <v>#N/A</v>
      </c>
      <c r="Q63" s="100" t="e">
        <f t="shared" si="10"/>
        <v>#N/A</v>
      </c>
      <c r="R63" s="86" t="b">
        <f t="shared" si="11"/>
        <v>0</v>
      </c>
      <c r="S63" s="86">
        <f t="shared" si="9"/>
        <v>0.5</v>
      </c>
      <c r="T63" s="86">
        <f t="shared" si="12"/>
        <v>0.5</v>
      </c>
      <c r="U63" s="30" t="e">
        <f t="shared" ca="1" si="67"/>
        <v>#DIV/0!</v>
      </c>
      <c r="V63" s="85" t="str">
        <f>IF(B63&lt;=Hypothèses!$V$7,Hypothèses!$W$7,IF(B63&lt;=Hypothèses!$V$8,Hypothèses!$W$8,IF(B63&lt;=Hypothèses!$V$9,Hypothèses!$W$9,IF(B63&lt;=Hypothèses!$V$10,Hypothèses!$W$10,IF(B63&lt;=Hypothèses!$V$11,Hypothèses!$W$11,IF(B63&lt;=Hypothèses!$V$12,Hypothèses!$W$12,IF(B63&lt;=Hypothèses!$V$13,Hypothèses!$W$13,IF(B63&lt;=Hypothèses!$V$14,Hypothèses!$W$14,IF(B63&lt;=Hypothèses!$V$15,Hypothèses!$W$15,IF(B63&lt;=Hypothèses!$V$16,Hypothèses!$W$16,IF(B63&lt;=Hypothèses!$V$17,Hypothèses!$W$17,IF(B63&lt;=Hypothèses!$V$18,Hypothèses!$W$18,""))))))))))))</f>
        <v/>
      </c>
      <c r="W63" s="87" t="e">
        <f t="shared" ca="1" si="116"/>
        <v>#DIV/0!</v>
      </c>
      <c r="X63" s="88" t="str">
        <f>IF(B63&lt;=Hypothèses!$V$7,Hypothèses!$X$7,IF(B63&lt;=Hypothèses!$V$8,Hypothèses!$X$8,IF(B63&lt;=Hypothèses!$V$9,Hypothèses!$X$9,IF(B63&lt;=Hypothèses!$V$10,Hypothèses!$X$10,IF(B63&lt;=Hypothèses!$V$11,Hypothèses!$X$11,IF(B63&lt;=Hypothèses!$V$12,Hypothèses!$X$12,IF(B63&lt;=Hypothèses!$V$13,Hypothèses!$X$13,IF(B63&lt;=Hypothèses!$V$14,Hypothèses!$X$14,IF(B63&lt;=Hypothèses!$V$15,Hypothèses!$X$15,IF(B63&lt;=Hypothèses!$V$16,Hypothèses!$X$16,IF(B63&lt;=Hypothèses!$U$17,Hypothèses!$W$17,IF(B63&lt;=Hypothèses!$U$18,Hypothèses!$W$18,""))))))))))))</f>
        <v/>
      </c>
      <c r="Y63" s="95" t="e">
        <f t="shared" ca="1" si="13"/>
        <v>#DIV/0!</v>
      </c>
      <c r="Z63" s="101">
        <f t="shared" si="14"/>
        <v>0</v>
      </c>
      <c r="AA63" s="91">
        <f t="shared" si="15"/>
        <v>0</v>
      </c>
      <c r="AB63" s="30" t="e">
        <f t="shared" si="100"/>
        <v>#N/A</v>
      </c>
      <c r="AC63" s="30" t="e">
        <f t="shared" si="101"/>
        <v>#N/A</v>
      </c>
      <c r="AD63" s="31" t="e">
        <f>IF(OR(Hypothèses!$B$4=17,Hypothèses!$B$4=18,Hypothèses!$B$4=19,Hypothèses!$B$4=20),
IF($D63="Pressio.",
IF(OR($E63=3,$E63=1,$E63=4),AC63,AB63),
IF($D63="Pénétro.",
IF(OR($E63=3,$E63=1,$E63=4),AC63,AB63))),IF($D63="Pressio.",
IF($E63=3,AC63,AB63),
IF($D63="Pénétro.",
IF($E63=4,AC63,AB63))))</f>
        <v>#N/A</v>
      </c>
      <c r="AE63" s="31">
        <v>0</v>
      </c>
      <c r="AF63" s="102" t="e">
        <f>IF(NDC!$H$10="Oui",(VLOOKUP($B$3,'Coeff EC7'!$T$39:$X$59,2,0)*AD63+VLOOKUP($B$3,'Coeff EC7'!$T$65:$X$85,2,0)*Model0.1T!AE63)/1.5,PI()*AB$12*$Q63*($B63-$B62)*0.15/10+AF62)</f>
        <v>#N/A</v>
      </c>
      <c r="AG63" s="102" t="e">
        <f>(VLOOKUP($B$3,'Coeff EC7'!$T$39:$X$59,3,0)*AD63+VLOOKUP($B$3,'Coeff EC7'!$T$65:$X$85,3,0)*Model0.1T!AE63)/1.1</f>
        <v>#N/A</v>
      </c>
      <c r="AH63" s="102" t="e">
        <f t="shared" si="68"/>
        <v>#N/A</v>
      </c>
      <c r="AI63" s="102" t="e">
        <f t="shared" si="69"/>
        <v>#N/A</v>
      </c>
      <c r="AJ63" s="414" t="e">
        <f>IF(AND(AF63&gt;NDC!$C$63,AG63&gt;NDC!$C$65,AH63&gt;NDC!$D$73,AI63&gt;NDC!$D$74,$B63&gt;NDC!$H$22-0.1+MIN(3*$AJ$12,1.5)),0,1)</f>
        <v>#N/A</v>
      </c>
      <c r="AK63" s="86" t="b">
        <f t="shared" si="18"/>
        <v>0</v>
      </c>
      <c r="AL63" s="86">
        <f t="shared" si="70"/>
        <v>0.5</v>
      </c>
      <c r="AM63" s="86">
        <f t="shared" si="19"/>
        <v>0.5</v>
      </c>
      <c r="AN63" s="30" t="e">
        <f t="shared" ca="1" si="71"/>
        <v>#DIV/0!</v>
      </c>
      <c r="AO63" s="85" t="e">
        <f ca="1">IF(U63&lt;=Hypothèses!$V$7,Hypothèses!$W$7,IF(U63&lt;=Hypothèses!$V$8,Hypothèses!$W$8,IF(U63&lt;=Hypothèses!$V$9,Hypothèses!$W$9,IF(U63&lt;=Hypothèses!$V$10,Hypothèses!$W$10,IF(U63&lt;=Hypothèses!$V$11,Hypothèses!$W$11,IF(U63&lt;=Hypothèses!$V$12,Hypothèses!$W$12,IF(U63&lt;=Hypothèses!$V$13,Hypothèses!$W$13,IF(U63&lt;=Hypothèses!$V$14,Hypothèses!$W$14,IF(U63&lt;=Hypothèses!$V$15,Hypothèses!$W$15,IF(U63&lt;=Hypothèses!$V$16,Hypothèses!$W$16,IF(U63&lt;=Hypothèses!$V$17,Hypothèses!$W$17,IF(U63&lt;=Hypothèses!$V$18,Hypothèses!$W$18,""))))))))))))</f>
        <v>#DIV/0!</v>
      </c>
      <c r="AP63" s="87" t="e">
        <f t="shared" ca="1" si="117"/>
        <v>#DIV/0!</v>
      </c>
      <c r="AQ63" s="88" t="e">
        <f ca="1">IF(U63&lt;=Hypothèses!$V$7,Hypothèses!$X$7,IF(U63&lt;=Hypothèses!$V$8,Hypothèses!$X$8,IF(U63&lt;=Hypothèses!$V$9,Hypothèses!$X$9,IF(U63&lt;=Hypothèses!$V$10,Hypothèses!$X$10,IF(U63&lt;=Hypothèses!$V$11,Hypothèses!$X$11,IF(U63&lt;=Hypothèses!$V$12,Hypothèses!$X$12,IF(U63&lt;=Hypothèses!$V$13,Hypothèses!$X$13,IF(U63&lt;=Hypothèses!$V$14,Hypothèses!$X$14,IF(U63&lt;=Hypothèses!$V$15,Hypothèses!$X$15,IF(U63&lt;=Hypothèses!$V$16,Hypothèses!$X$16,IF(U63&lt;=Hypothèses!$U$17,Hypothèses!$W$17,IF(U63&lt;=Hypothèses!$U$18,Hypothèses!$W$18,""))))))))))))</f>
        <v>#DIV/0!</v>
      </c>
      <c r="AR63" s="95" t="e">
        <f t="shared" ca="1" si="72"/>
        <v>#DIV/0!</v>
      </c>
      <c r="AS63" s="101">
        <f t="shared" si="124"/>
        <v>0</v>
      </c>
      <c r="AT63" s="91">
        <f t="shared" si="21"/>
        <v>0</v>
      </c>
      <c r="AU63" s="30" t="e">
        <f t="shared" si="102"/>
        <v>#N/A</v>
      </c>
      <c r="AV63" s="30" t="e">
        <f t="shared" si="103"/>
        <v>#N/A</v>
      </c>
      <c r="AW63" s="31" t="e">
        <f>IF(OR(Hypothèses!$B$4=17,Hypothèses!$B$4=18,Hypothèses!$B$4=19,Hypothèses!$B$4=20),
IF($D63="Pressio.",
IF(OR($E63=3,$E63=1,$E63=4),AV63,AU63),
IF($D63="Pénétro.",
IF(OR($E63=3,$E63=1,$E63=4),AV63,AU63))),IF($D63="Pressio.",
IF($E63=3,AV63,AU63),
IF($D63="Pénétro.",
IF($E63=4,AV63,AU63))))</f>
        <v>#N/A</v>
      </c>
      <c r="AX63" s="31">
        <v>0</v>
      </c>
      <c r="AY63" s="102" t="e">
        <f>IF(NDC!$H$10="Oui",(VLOOKUP($B$3,'Coeff EC7'!$T$39:$X$59,2,0)*AW63+VLOOKUP($B$3,'Coeff EC7'!$T$65:$X$85,2,0)*Model0.1T!AX63)/1.5,PI()*AU$12*$Q63*($B63-$B62)*0.15/10+AY62)</f>
        <v>#N/A</v>
      </c>
      <c r="AZ63" s="102" t="e">
        <f>(VLOOKUP($B$3,'Coeff EC7'!$T$39:$X$59,3,0)*AW63+VLOOKUP($B$3,'Coeff EC7'!$T$65:$X$85,3,0)*Model0.1T!AX63)/1.1</f>
        <v>#N/A</v>
      </c>
      <c r="BA63" s="102" t="e">
        <f t="shared" si="73"/>
        <v>#N/A</v>
      </c>
      <c r="BB63" s="102" t="e">
        <f t="shared" si="74"/>
        <v>#N/A</v>
      </c>
      <c r="BC63" s="414" t="e">
        <f>IF(AND(AY63&gt;NDC!$C$63,AZ63&gt;NDC!$C$65,BA63&gt;NDC!$D$73,BB63&gt;NDC!$D$74,$B63&gt;NDC!$H$22-0.1+MIN(3*BC$12,1.5)),0,1)</f>
        <v>#N/A</v>
      </c>
      <c r="BD63" s="86" t="b">
        <f t="shared" si="24"/>
        <v>0</v>
      </c>
      <c r="BE63" s="86">
        <f t="shared" si="75"/>
        <v>0.5</v>
      </c>
      <c r="BF63" s="86">
        <f t="shared" si="25"/>
        <v>0.5</v>
      </c>
      <c r="BG63" s="30" t="e">
        <f t="shared" ca="1" si="76"/>
        <v>#DIV/0!</v>
      </c>
      <c r="BH63" s="85" t="e">
        <f ca="1">IF(AN63&lt;=Hypothèses!$V$7,Hypothèses!$W$7,IF(AN63&lt;=Hypothèses!$V$8,Hypothèses!$W$8,IF(AN63&lt;=Hypothèses!$V$9,Hypothèses!$W$9,IF(AN63&lt;=Hypothèses!$V$10,Hypothèses!$W$10,IF(AN63&lt;=Hypothèses!$V$11,Hypothèses!$W$11,IF(AN63&lt;=Hypothèses!$V$12,Hypothèses!$W$12,IF(AN63&lt;=Hypothèses!$V$13,Hypothèses!$W$13,IF(AN63&lt;=Hypothèses!$V$14,Hypothèses!$W$14,IF(AN63&lt;=Hypothèses!$V$15,Hypothèses!$W$15,IF(AN63&lt;=Hypothèses!$V$16,Hypothèses!$W$16,IF(AN63&lt;=Hypothèses!$V$17,Hypothèses!$W$17,IF(AN63&lt;=Hypothèses!$V$18,Hypothèses!$W$18,""))))))))))))</f>
        <v>#DIV/0!</v>
      </c>
      <c r="BI63" s="87" t="e">
        <f t="shared" ca="1" si="118"/>
        <v>#DIV/0!</v>
      </c>
      <c r="BJ63" s="88" t="e">
        <f ca="1">IF(AN63&lt;=Hypothèses!$V$7,Hypothèses!$X$7,IF(AN63&lt;=Hypothèses!$V$8,Hypothèses!$X$8,IF(AN63&lt;=Hypothèses!$V$9,Hypothèses!$X$9,IF(AN63&lt;=Hypothèses!$V$10,Hypothèses!$X$10,IF(AN63&lt;=Hypothèses!$V$11,Hypothèses!$X$11,IF(AN63&lt;=Hypothèses!$V$12,Hypothèses!$X$12,IF(AN63&lt;=Hypothèses!$V$13,Hypothèses!$X$13,IF(AN63&lt;=Hypothèses!$V$14,Hypothèses!$X$14,IF(AN63&lt;=Hypothèses!$V$15,Hypothèses!$X$15,IF(AN63&lt;=Hypothèses!$V$16,Hypothèses!$X$16,IF(AN63&lt;=Hypothèses!$U$17,Hypothèses!$W$17,IF(AN63&lt;=Hypothèses!$U$18,Hypothèses!$W$18,""))))))))))))</f>
        <v>#DIV/0!</v>
      </c>
      <c r="BK63" s="95" t="e">
        <f t="shared" ca="1" si="77"/>
        <v>#DIV/0!</v>
      </c>
      <c r="BL63" s="101">
        <f t="shared" si="125"/>
        <v>0</v>
      </c>
      <c r="BM63" s="91">
        <f t="shared" si="27"/>
        <v>0</v>
      </c>
      <c r="BN63" s="30" t="e">
        <f t="shared" si="104"/>
        <v>#N/A</v>
      </c>
      <c r="BO63" s="30" t="e">
        <f t="shared" si="105"/>
        <v>#N/A</v>
      </c>
      <c r="BP63" s="31" t="e">
        <f>IF(OR(Hypothèses!$B$4=17,Hypothèses!$B$4=18,Hypothèses!$B$4=19,Hypothèses!$B$4=20),
IF($D63="Pressio.",
IF(OR($E63=3,$E63=1,$E63=4),BO63,BN63),
IF($D63="Pénétro.",
IF(OR($E63=3,$E63=1,$E63=4),BO63,BN63))),IF($D63="Pressio.",
IF($E63=3,BO63,BN63),
IF($D63="Pénétro.",
IF($E63=4,BO63,BN63))))</f>
        <v>#N/A</v>
      </c>
      <c r="BQ63" s="31">
        <v>0</v>
      </c>
      <c r="BR63" s="102" t="e">
        <f>IF(NDC!$H$10="Oui",(VLOOKUP($B$3,'Coeff EC7'!$T$39:$X$59,2,0)*BP63+VLOOKUP($B$3,'Coeff EC7'!$T$65:$X$85,2,0)*Model0.1T!BQ63)/1.5,PI()*BN$12*$Q63*($B63-$B62)*0.15/10+BR62)</f>
        <v>#N/A</v>
      </c>
      <c r="BS63" s="102" t="e">
        <f>(VLOOKUP($B$3,'Coeff EC7'!$T$39:$X$59,3,0)*BP63+VLOOKUP($B$3,'Coeff EC7'!$T$65:$X$85,3,0)*Model0.1T!BQ63)/1.1</f>
        <v>#N/A</v>
      </c>
      <c r="BT63" s="102" t="e">
        <f t="shared" si="78"/>
        <v>#N/A</v>
      </c>
      <c r="BU63" s="102" t="e">
        <f t="shared" si="79"/>
        <v>#N/A</v>
      </c>
      <c r="BV63" s="414" t="e">
        <f>IF(AND(BR63&gt;NDC!$C$63,BS63&gt;NDC!$C$65,BT63&gt;NDC!$D$73,BU63&gt;NDC!$D$74,$B63&gt;NDC!$H$22-0.1+MIN(3*BV$12,1.5)),0,1)</f>
        <v>#N/A</v>
      </c>
      <c r="BW63" s="86" t="b">
        <f t="shared" si="30"/>
        <v>0</v>
      </c>
      <c r="BX63" s="86">
        <f t="shared" si="31"/>
        <v>0.5</v>
      </c>
      <c r="BY63" s="86">
        <f t="shared" si="32"/>
        <v>0.5</v>
      </c>
      <c r="BZ63" s="30" t="e">
        <f t="shared" ca="1" si="80"/>
        <v>#DIV/0!</v>
      </c>
      <c r="CA63" s="85" t="e">
        <f ca="1">IF(BG63&lt;=Hypothèses!$V$7,Hypothèses!$W$7,IF(BG63&lt;=Hypothèses!$V$8,Hypothèses!$W$8,IF(BG63&lt;=Hypothèses!$V$9,Hypothèses!$W$9,IF(BG63&lt;=Hypothèses!$V$10,Hypothèses!$W$10,IF(BG63&lt;=Hypothèses!$V$11,Hypothèses!$W$11,IF(BG63&lt;=Hypothèses!$V$12,Hypothèses!$W$12,IF(BG63&lt;=Hypothèses!$V$13,Hypothèses!$W$13,IF(BG63&lt;=Hypothèses!$V$14,Hypothèses!$W$14,IF(BG63&lt;=Hypothèses!$V$15,Hypothèses!$W$15,IF(BG63&lt;=Hypothèses!$V$16,Hypothèses!$W$16,IF(BG63&lt;=Hypothèses!$V$17,Hypothèses!$W$17,IF(BG63&lt;=Hypothèses!$V$18,Hypothèses!$W$18,""))))))))))))</f>
        <v>#DIV/0!</v>
      </c>
      <c r="CB63" s="87" t="e">
        <f t="shared" ca="1" si="119"/>
        <v>#DIV/0!</v>
      </c>
      <c r="CC63" s="88" t="e">
        <f ca="1">IF(BG63&lt;=Hypothèses!$V$7,Hypothèses!$X$7,IF(BG63&lt;=Hypothèses!$V$8,Hypothèses!$X$8,IF(BG63&lt;=Hypothèses!$V$9,Hypothèses!$X$9,IF(BG63&lt;=Hypothèses!$V$10,Hypothèses!$X$10,IF(BG63&lt;=Hypothèses!$V$11,Hypothèses!$X$11,IF(BG63&lt;=Hypothèses!$V$12,Hypothèses!$X$12,IF(BG63&lt;=Hypothèses!$V$13,Hypothèses!$X$13,IF(BG63&lt;=Hypothèses!$V$14,Hypothèses!$X$14,IF(BG63&lt;=Hypothèses!$V$15,Hypothèses!$X$15,IF(BG63&lt;=Hypothèses!$V$16,Hypothèses!$X$16,IF(BG63&lt;=Hypothèses!$U$17,Hypothèses!$W$17,IF(BG63&lt;=Hypothèses!$U$18,Hypothèses!$W$18,""))))))))))))</f>
        <v>#DIV/0!</v>
      </c>
      <c r="CD63" s="95" t="e">
        <f t="shared" ca="1" si="81"/>
        <v>#DIV/0!</v>
      </c>
      <c r="CE63" s="101">
        <f t="shared" si="126"/>
        <v>0</v>
      </c>
      <c r="CF63" s="91">
        <f t="shared" si="34"/>
        <v>0</v>
      </c>
      <c r="CG63" s="30" t="e">
        <f t="shared" si="106"/>
        <v>#N/A</v>
      </c>
      <c r="CH63" s="30" t="e">
        <f t="shared" si="107"/>
        <v>#N/A</v>
      </c>
      <c r="CI63" s="31" t="e">
        <f>IF(OR(Hypothèses!$B$4=17,Hypothèses!$B$4=18,Hypothèses!$B$4=19,Hypothèses!$B$4=20),
IF($D63="Pressio.",
IF(OR($E63=3,$E63=1,$E63=4),CH63,CG63),
IF($D63="Pénétro.",
IF(OR($E63=3,$E63=1,$E63=4),CH63,CG63))),IF($D63="Pressio.",
IF($E63=3,CH63,CG63),
IF($D63="Pénétro.",
IF($E63=4,CH63,CG63))))</f>
        <v>#N/A</v>
      </c>
      <c r="CJ63" s="31">
        <v>0</v>
      </c>
      <c r="CK63" s="102" t="e">
        <f>IF(NDC!$H$10="Oui",(VLOOKUP($B$3,'Coeff EC7'!$T$39:$X$59,2,0)*CI63+VLOOKUP($B$3,'Coeff EC7'!$T$65:$X$85,2,0)*Model0.1T!CJ63)/1.5,PI()*CG$12*$Q63*($B63-$B62)*0.15/10+CK62)</f>
        <v>#N/A</v>
      </c>
      <c r="CL63" s="102" t="e">
        <f>(VLOOKUP($B$3,'Coeff EC7'!$T$39:$X$59,3,0)*CI63+VLOOKUP($B$3,'Coeff EC7'!$T$65:$X$85,3,0)*Model0.1T!CJ63)/1.1</f>
        <v>#N/A</v>
      </c>
      <c r="CM63" s="102" t="e">
        <f t="shared" si="82"/>
        <v>#N/A</v>
      </c>
      <c r="CN63" s="102" t="e">
        <f t="shared" si="83"/>
        <v>#N/A</v>
      </c>
      <c r="CO63" s="414" t="e">
        <f>IF(AND(CK63&gt;NDC!$C$63,CL63&gt;NDC!$C$65,CM63&gt;NDC!$D$73,CN63&gt;NDC!$D$74,$B63&gt;NDC!$H$22-0.1+MIN(3*CO$12,1.5)),0,1)</f>
        <v>#N/A</v>
      </c>
      <c r="CP63" s="86" t="b">
        <f t="shared" si="37"/>
        <v>0</v>
      </c>
      <c r="CQ63" s="86">
        <f t="shared" si="38"/>
        <v>0.5</v>
      </c>
      <c r="CR63" s="86">
        <f t="shared" si="39"/>
        <v>0.5</v>
      </c>
      <c r="CS63" s="30" t="e">
        <f t="shared" ca="1" si="84"/>
        <v>#DIV/0!</v>
      </c>
      <c r="CT63" s="85" t="e">
        <f ca="1">IF(BZ63&lt;=Hypothèses!$V$7,Hypothèses!$W$7,IF(BZ63&lt;=Hypothèses!$V$8,Hypothèses!$W$8,IF(BZ63&lt;=Hypothèses!$V$9,Hypothèses!$W$9,IF(BZ63&lt;=Hypothèses!$V$10,Hypothèses!$W$10,IF(BZ63&lt;=Hypothèses!$V$11,Hypothèses!$W$11,IF(BZ63&lt;=Hypothèses!$V$12,Hypothèses!$W$12,IF(BZ63&lt;=Hypothèses!$V$13,Hypothèses!$W$13,IF(BZ63&lt;=Hypothèses!$V$14,Hypothèses!$W$14,IF(BZ63&lt;=Hypothèses!$V$15,Hypothèses!$W$15,IF(BZ63&lt;=Hypothèses!$V$16,Hypothèses!$W$16,IF(BZ63&lt;=Hypothèses!$V$17,Hypothèses!$W$17,IF(BZ63&lt;=Hypothèses!$V$18,Hypothèses!$W$18,""))))))))))))</f>
        <v>#DIV/0!</v>
      </c>
      <c r="CU63" s="87" t="e">
        <f t="shared" ca="1" si="120"/>
        <v>#DIV/0!</v>
      </c>
      <c r="CV63" s="88" t="e">
        <f ca="1">IF(BZ63&lt;=Hypothèses!$V$7,Hypothèses!$X$7,IF(BZ63&lt;=Hypothèses!$V$8,Hypothèses!$X$8,IF(BZ63&lt;=Hypothèses!$V$9,Hypothèses!$X$9,IF(BZ63&lt;=Hypothèses!$V$10,Hypothèses!$X$10,IF(BZ63&lt;=Hypothèses!$V$11,Hypothèses!$X$11,IF(BZ63&lt;=Hypothèses!$V$12,Hypothèses!$X$12,IF(BZ63&lt;=Hypothèses!$V$13,Hypothèses!$X$13,IF(BZ63&lt;=Hypothèses!$V$14,Hypothèses!$X$14,IF(BZ63&lt;=Hypothèses!$V$15,Hypothèses!$X$15,IF(BZ63&lt;=Hypothèses!$V$16,Hypothèses!$X$16,IF(BZ63&lt;=Hypothèses!$U$17,Hypothèses!$W$17,IF(BZ63&lt;=Hypothèses!$U$18,Hypothèses!$W$18,""))))))))))))</f>
        <v>#DIV/0!</v>
      </c>
      <c r="CW63" s="95" t="e">
        <f t="shared" ca="1" si="85"/>
        <v>#DIV/0!</v>
      </c>
      <c r="CX63" s="101">
        <f t="shared" si="127"/>
        <v>0</v>
      </c>
      <c r="CY63" s="91">
        <f t="shared" si="41"/>
        <v>0</v>
      </c>
      <c r="CZ63" s="30" t="e">
        <f t="shared" si="108"/>
        <v>#N/A</v>
      </c>
      <c r="DA63" s="30" t="e">
        <f t="shared" si="109"/>
        <v>#N/A</v>
      </c>
      <c r="DB63" s="31" t="e">
        <f>IF(OR(Hypothèses!$B$4=17,Hypothèses!$B$4=18,Hypothèses!$B$4=19,Hypothèses!$B$4=20),
IF($D63="Pressio.",
IF(OR($E63=3,$E63=1,$E63=4),DA63,CZ63),
IF($D63="Pénétro.",
IF(OR($E63=3,$E63=1,$E63=4),DA63,CZ63))),IF($D63="Pressio.",
IF($E63=3,DA63,CZ63),
IF($D63="Pénétro.",
IF($E63=4,DA63,CZ63))))</f>
        <v>#N/A</v>
      </c>
      <c r="DC63" s="31">
        <v>0</v>
      </c>
      <c r="DD63" s="102" t="e">
        <f>IF(NDC!$H$10="Oui",(VLOOKUP($B$3,'Coeff EC7'!$T$39:$X$59,2,0)*DB63+VLOOKUP($B$3,'Coeff EC7'!$T$65:$X$85,2,0)*Model0.1T!DC63)/1.5,PI()*CZ$12*$Q63*($B63-$B62)*0.15/10+DD62)</f>
        <v>#N/A</v>
      </c>
      <c r="DE63" s="102" t="e">
        <f>(VLOOKUP($B$3,'Coeff EC7'!$T$39:$X$59,3,0)*DB63+VLOOKUP($B$3,'Coeff EC7'!$T$65:$X$85,3,0)*Model0.1T!DC63)/1.1</f>
        <v>#N/A</v>
      </c>
      <c r="DF63" s="102" t="e">
        <f t="shared" si="86"/>
        <v>#N/A</v>
      </c>
      <c r="DG63" s="102" t="e">
        <f t="shared" si="87"/>
        <v>#N/A</v>
      </c>
      <c r="DH63" s="414" t="e">
        <f>IF(AND(DD63&gt;NDC!$C$63,DE63&gt;NDC!$C$65,DF63&gt;NDC!$D$73,DG63&gt;NDC!$D$74,$B63&gt;NDC!$H$22-0.1+MIN(3*DH$12,1.5)),0,1)</f>
        <v>#N/A</v>
      </c>
      <c r="DI63" s="86" t="b">
        <f t="shared" si="44"/>
        <v>0</v>
      </c>
      <c r="DJ63" s="86">
        <f t="shared" si="45"/>
        <v>0.5</v>
      </c>
      <c r="DK63" s="86">
        <f t="shared" si="46"/>
        <v>0.5</v>
      </c>
      <c r="DL63" s="30" t="e">
        <f t="shared" ca="1" si="88"/>
        <v>#DIV/0!</v>
      </c>
      <c r="DM63" s="85" t="e">
        <f ca="1">IF(CS63&lt;=Hypothèses!$V$7,Hypothèses!$W$7,IF(CS63&lt;=Hypothèses!$V$8,Hypothèses!$W$8,IF(CS63&lt;=Hypothèses!$V$9,Hypothèses!$W$9,IF(CS63&lt;=Hypothèses!$V$10,Hypothèses!$W$10,IF(CS63&lt;=Hypothèses!$V$11,Hypothèses!$W$11,IF(CS63&lt;=Hypothèses!$V$12,Hypothèses!$W$12,IF(CS63&lt;=Hypothèses!$V$13,Hypothèses!$W$13,IF(CS63&lt;=Hypothèses!$V$14,Hypothèses!$W$14,IF(CS63&lt;=Hypothèses!$V$15,Hypothèses!$W$15,IF(CS63&lt;=Hypothèses!$V$16,Hypothèses!$W$16,IF(CS63&lt;=Hypothèses!$V$17,Hypothèses!$W$17,IF(CS63&lt;=Hypothèses!$V$18,Hypothèses!$W$18,""))))))))))))</f>
        <v>#DIV/0!</v>
      </c>
      <c r="DN63" s="87" t="e">
        <f t="shared" ca="1" si="121"/>
        <v>#DIV/0!</v>
      </c>
      <c r="DO63" s="88" t="e">
        <f ca="1">IF(CS63&lt;=Hypothèses!$V$7,Hypothèses!$X$7,IF(CS63&lt;=Hypothèses!$V$8,Hypothèses!$X$8,IF(CS63&lt;=Hypothèses!$V$9,Hypothèses!$X$9,IF(CS63&lt;=Hypothèses!$V$10,Hypothèses!$X$10,IF(CS63&lt;=Hypothèses!$V$11,Hypothèses!$X$11,IF(CS63&lt;=Hypothèses!$V$12,Hypothèses!$X$12,IF(CS63&lt;=Hypothèses!$V$13,Hypothèses!$X$13,IF(CS63&lt;=Hypothèses!$V$14,Hypothèses!$X$14,IF(CS63&lt;=Hypothèses!$V$15,Hypothèses!$X$15,IF(CS63&lt;=Hypothèses!$V$16,Hypothèses!$X$16,IF(CS63&lt;=Hypothèses!$U$17,Hypothèses!$W$17,IF(CS63&lt;=Hypothèses!$U$18,Hypothèses!$W$18,""))))))))))))</f>
        <v>#DIV/0!</v>
      </c>
      <c r="DP63" s="95" t="e">
        <f t="shared" ca="1" si="89"/>
        <v>#DIV/0!</v>
      </c>
      <c r="DQ63" s="101">
        <f t="shared" si="128"/>
        <v>0</v>
      </c>
      <c r="DR63" s="91">
        <f t="shared" si="48"/>
        <v>0</v>
      </c>
      <c r="DS63" s="30" t="e">
        <f t="shared" si="110"/>
        <v>#N/A</v>
      </c>
      <c r="DT63" s="30" t="e">
        <f t="shared" si="111"/>
        <v>#N/A</v>
      </c>
      <c r="DU63" s="31" t="e">
        <f>IF(OR(Hypothèses!$B$4=17,Hypothèses!$B$4=18,Hypothèses!$B$4=19,Hypothèses!$B$4=20),
IF($D63="Pressio.",
IF(OR($E63=3,$E63=1,$E63=4),DT63,DS63),
IF($D63="Pénétro.",
IF(OR($E63=3,$E63=1,$E63=4),DT63,DS63))),IF($D63="Pressio.",
IF($E63=3,DT63,DS63),
IF($D63="Pénétro.",
IF($E63=4,DT63,DS63))))</f>
        <v>#N/A</v>
      </c>
      <c r="DV63" s="31">
        <v>0</v>
      </c>
      <c r="DW63" s="102" t="e">
        <f>IF(NDC!$H$10="Oui",(VLOOKUP($B$3,'Coeff EC7'!$T$39:$X$59,2,0)*DU63+VLOOKUP($B$3,'Coeff EC7'!$T$65:$X$85,2,0)*Model0.1T!DV63)/1.5,PI()*DS$12*$Q63*($B63-$B62)*0.15/10+DW62)</f>
        <v>#N/A</v>
      </c>
      <c r="DX63" s="102" t="e">
        <f>(VLOOKUP($B$3,'Coeff EC7'!$T$39:$X$59,3,0)*DU63+VLOOKUP($B$3,'Coeff EC7'!$T$65:$X$85,3,0)*Model0.1T!DV63)/1.1</f>
        <v>#N/A</v>
      </c>
      <c r="DY63" s="102" t="e">
        <f t="shared" si="90"/>
        <v>#N/A</v>
      </c>
      <c r="DZ63" s="102" t="e">
        <f t="shared" si="91"/>
        <v>#N/A</v>
      </c>
      <c r="EA63" s="414" t="e">
        <f>IF(AND(DW63&gt;NDC!$C$63,DX63&gt;NDC!$C$65,DY63&gt;NDC!$D$73,DZ63&gt;NDC!$D$74,$B63&gt;NDC!$H$22-0.1+MIN(3*EA$12,1.5)),0,1)</f>
        <v>#N/A</v>
      </c>
      <c r="EB63" s="86" t="b">
        <f t="shared" si="51"/>
        <v>0</v>
      </c>
      <c r="EC63" s="418">
        <f t="shared" si="52"/>
        <v>0.51</v>
      </c>
      <c r="ED63" s="86">
        <f t="shared" si="53"/>
        <v>0.51</v>
      </c>
      <c r="EE63" s="30" t="e">
        <f t="shared" ca="1" si="92"/>
        <v>#DIV/0!</v>
      </c>
      <c r="EF63" s="85" t="e">
        <f ca="1">IF(DL63&lt;=Hypothèses!$V$7,Hypothèses!$W$7,IF(DL63&lt;=Hypothèses!$V$8,Hypothèses!$W$8,IF(DL63&lt;=Hypothèses!$V$9,Hypothèses!$W$9,IF(DL63&lt;=Hypothèses!$V$10,Hypothèses!$W$10,IF(DL63&lt;=Hypothèses!$V$11,Hypothèses!$W$11,IF(DL63&lt;=Hypothèses!$V$12,Hypothèses!$W$12,IF(DL63&lt;=Hypothèses!$V$13,Hypothèses!$W$13,IF(DL63&lt;=Hypothèses!$V$14,Hypothèses!$W$14,IF(DL63&lt;=Hypothèses!$V$15,Hypothèses!$W$15,IF(DL63&lt;=Hypothèses!$V$16,Hypothèses!$W$16,IF(DL63&lt;=Hypothèses!$V$17,Hypothèses!$W$17,IF(DL63&lt;=Hypothèses!$V$18,Hypothèses!$W$18,""))))))))))))</f>
        <v>#DIV/0!</v>
      </c>
      <c r="EG63" s="87" t="e">
        <f t="shared" ca="1" si="122"/>
        <v>#DIV/0!</v>
      </c>
      <c r="EH63" s="88" t="e">
        <f ca="1">IF(DL63&lt;=Hypothèses!$V$7,Hypothèses!$X$7,IF(DL63&lt;=Hypothèses!$V$8,Hypothèses!$X$8,IF(DL63&lt;=Hypothèses!$V$9,Hypothèses!$X$9,IF(DL63&lt;=Hypothèses!$V$10,Hypothèses!$X$10,IF(DL63&lt;=Hypothèses!$V$11,Hypothèses!$X$11,IF(DL63&lt;=Hypothèses!$V$12,Hypothèses!$X$12,IF(DL63&lt;=Hypothèses!$V$13,Hypothèses!$X$13,IF(DL63&lt;=Hypothèses!$V$14,Hypothèses!$X$14,IF(DL63&lt;=Hypothèses!$V$15,Hypothèses!$X$15,IF(DL63&lt;=Hypothèses!$V$16,Hypothèses!$X$16,IF(DL63&lt;=Hypothèses!$U$17,Hypothèses!$W$17,IF(DL63&lt;=Hypothèses!$U$18,Hypothèses!$W$18,""))))))))))))</f>
        <v>#DIV/0!</v>
      </c>
      <c r="EI63" s="95" t="e">
        <f t="shared" ca="1" si="93"/>
        <v>#DIV/0!</v>
      </c>
      <c r="EJ63" s="101">
        <f t="shared" si="129"/>
        <v>0</v>
      </c>
      <c r="EK63" s="91">
        <f t="shared" si="55"/>
        <v>0</v>
      </c>
      <c r="EL63" s="30" t="e">
        <f t="shared" si="112"/>
        <v>#N/A</v>
      </c>
      <c r="EM63" s="30" t="e">
        <f t="shared" si="113"/>
        <v>#N/A</v>
      </c>
      <c r="EN63" s="31" t="e">
        <f>IF(OR(Hypothèses!$B$4=17,Hypothèses!$B$4=18,Hypothèses!$B$4=19,Hypothèses!$B$4=20),
IF($D63="Pressio.",
IF(OR($E63=3,$E63=1,$E63=4),EM63,EL63),
IF($D63="Pénétro.",
IF(OR($E63=3,$E63=1,$E63=4),EM63,EL63))),IF($D63="Pressio.",
IF($E63=3,EM63,EL63),
IF($D63="Pénétro.",
IF($E63=4,EM63,EL63))))</f>
        <v>#N/A</v>
      </c>
      <c r="EO63" s="31">
        <v>0</v>
      </c>
      <c r="EP63" s="102" t="e">
        <f>IF(NDC!$H$10="Oui",(VLOOKUP($B$3,'Coeff EC7'!$T$39:$X$59,2,0)*EN63+VLOOKUP($B$3,'Coeff EC7'!$T$65:$X$85,2,0)*Model0.1T!EO63)/1.5,PI()*EL$12*$Q63*($B63-$B62)*0.15/10+EP62)</f>
        <v>#N/A</v>
      </c>
      <c r="EQ63" s="102" t="e">
        <f>(VLOOKUP($B$3,'Coeff EC7'!$T$39:$X$59,3,0)*EN63+VLOOKUP($B$3,'Coeff EC7'!$T$65:$X$85,3,0)*Model0.1T!EO63)/1.1</f>
        <v>#N/A</v>
      </c>
      <c r="ER63" s="102" t="e">
        <f t="shared" si="94"/>
        <v>#N/A</v>
      </c>
      <c r="ES63" s="102" t="e">
        <f t="shared" si="95"/>
        <v>#N/A</v>
      </c>
      <c r="ET63" s="414" t="e">
        <f>IF(AND(EP63&gt;NDC!$C$63,EQ63&gt;NDC!$C$65,ER63&gt;NDC!$D$73,ES63&gt;NDC!$D$74,$B63&gt;NDC!$H$22-0.1+MIN(3*ET$12,1.5)),0,1)</f>
        <v>#N/A</v>
      </c>
      <c r="EU63" s="86" t="b">
        <f t="shared" si="58"/>
        <v>0</v>
      </c>
      <c r="EV63" s="86">
        <f t="shared" si="59"/>
        <v>0.61</v>
      </c>
      <c r="EW63" s="86">
        <f t="shared" si="60"/>
        <v>0.61</v>
      </c>
      <c r="EX63" s="30" t="e">
        <f t="shared" ca="1" si="96"/>
        <v>#DIV/0!</v>
      </c>
      <c r="EY63" s="85" t="e">
        <f ca="1">IF(EE63&lt;=Hypothèses!$V$7,Hypothèses!$W$7,IF(EE63&lt;=Hypothèses!$V$8,Hypothèses!$W$8,IF(EE63&lt;=Hypothèses!$V$9,Hypothèses!$W$9,IF(EE63&lt;=Hypothèses!$V$10,Hypothèses!$W$10,IF(EE63&lt;=Hypothèses!$V$11,Hypothèses!$W$11,IF(EE63&lt;=Hypothèses!$V$12,Hypothèses!$W$12,IF(EE63&lt;=Hypothèses!$V$13,Hypothèses!$W$13,IF(EE63&lt;=Hypothèses!$V$14,Hypothèses!$W$14,IF(EE63&lt;=Hypothèses!$V$15,Hypothèses!$W$15,IF(EE63&lt;=Hypothèses!$V$16,Hypothèses!$W$16,IF(EE63&lt;=Hypothèses!$V$17,Hypothèses!$W$17,IF(EE63&lt;=Hypothèses!$V$18,Hypothèses!$W$18,""))))))))))))</f>
        <v>#DIV/0!</v>
      </c>
      <c r="EZ63" s="87" t="e">
        <f t="shared" ca="1" si="123"/>
        <v>#DIV/0!</v>
      </c>
      <c r="FA63" s="88" t="e">
        <f ca="1">IF(EE63&lt;=Hypothèses!$V$7,Hypothèses!$X$7,IF(EE63&lt;=Hypothèses!$V$8,Hypothèses!$X$8,IF(EE63&lt;=Hypothèses!$V$9,Hypothèses!$X$9,IF(EE63&lt;=Hypothèses!$V$10,Hypothèses!$X$10,IF(EE63&lt;=Hypothèses!$V$11,Hypothèses!$X$11,IF(EE63&lt;=Hypothèses!$V$12,Hypothèses!$X$12,IF(EE63&lt;=Hypothèses!$V$13,Hypothèses!$X$13,IF(EE63&lt;=Hypothèses!$V$14,Hypothèses!$X$14,IF(EE63&lt;=Hypothèses!$V$15,Hypothèses!$X$15,IF(EE63&lt;=Hypothèses!$V$16,Hypothèses!$X$16,IF(EE63&lt;=Hypothèses!$U$17,Hypothèses!$W$17,IF(EE63&lt;=Hypothèses!$U$18,Hypothèses!$W$18,""))))))))))))</f>
        <v>#DIV/0!</v>
      </c>
      <c r="FB63" s="95" t="e">
        <f t="shared" ca="1" si="97"/>
        <v>#DIV/0!</v>
      </c>
      <c r="FC63" s="101">
        <f t="shared" si="130"/>
        <v>0</v>
      </c>
      <c r="FD63" s="91">
        <f t="shared" si="62"/>
        <v>0</v>
      </c>
      <c r="FE63" s="30" t="e">
        <f t="shared" si="114"/>
        <v>#N/A</v>
      </c>
      <c r="FF63" s="30" t="e">
        <f t="shared" si="115"/>
        <v>#N/A</v>
      </c>
      <c r="FG63" s="31" t="e">
        <f>IF(OR(Hypothèses!$B$4=17,Hypothèses!$B$4=18,Hypothèses!$B$4=19,Hypothèses!$B$4=20),
IF($D63="Pressio.",
IF(OR($E63=3,$E63=1,$E63=4),FF63,FE63),
IF($D63="Pénétro.",
IF(OR($E63=3,$E63=1,$E63=4),FF63,FE63))),IF($D63="Pressio.",
IF($E63=3,FF63,FE63),
IF($D63="Pénétro.",
IF($E63=4,FF63,FE63))))</f>
        <v>#N/A</v>
      </c>
      <c r="FH63" s="31">
        <v>0</v>
      </c>
      <c r="FI63" s="102" t="e">
        <f>IF(NDC!$H$10="Oui",(VLOOKUP($B$3,'Coeff EC7'!$T$39:$X$59,2,0)*FG63+VLOOKUP($B$3,'Coeff EC7'!$T$65:$X$85,2,0)*Model0.1T!FH63)/1.5,PI()*FE$12*$Q63*($B63-$B62)*0.15/10+FI62)</f>
        <v>#N/A</v>
      </c>
      <c r="FJ63" s="102" t="e">
        <f>(VLOOKUP($B$3,'Coeff EC7'!$T$39:$X$59,3,0)*FG63+VLOOKUP($B$3,'Coeff EC7'!$T$65:$X$85,3,0)*Model0.1T!FH63)/1.1</f>
        <v>#N/A</v>
      </c>
      <c r="FK63" s="102" t="e">
        <f t="shared" si="98"/>
        <v>#N/A</v>
      </c>
      <c r="FL63" s="102" t="e">
        <f t="shared" si="99"/>
        <v>#N/A</v>
      </c>
      <c r="FM63" s="414" t="e">
        <f>IF(AND(FI63&gt;NDC!$C$63,FJ63&gt;NDC!$C$65,FK63&gt;NDC!$D$73,FL63&gt;NDC!$D$74,$B63&gt;NDC!$H$22-0.1+MIN(3*FM$12,1.5)),0,1)</f>
        <v>#N/A</v>
      </c>
    </row>
    <row r="64" spans="1:169">
      <c r="A64" s="96">
        <f t="shared" si="65"/>
        <v>94.90000000000029</v>
      </c>
      <c r="B64" s="97">
        <v>5.0999999999999996</v>
      </c>
      <c r="C64" s="81">
        <f>IF(B64&lt;=Hypothèses!$C$7,Hypothèses!$A$7,IF(B64&lt;=Hypothèses!$C$8,Hypothèses!$A$8,IF(B64&lt;=Hypothèses!$C$9,Hypothèses!$A$9,IF(B64&lt;=Hypothèses!$C$10,Hypothèses!$A$10,IF(B64&lt;=Hypothèses!$C$11,Hypothèses!$A$11,IF(B64&lt;=Hypothèses!$C$12,Hypothèses!$A$12,IF(B64&lt;=Hypothèses!$C$13,Hypothèses!$A$13,IF(B64&lt;=Hypothèses!$C$14,Hypothèses!$A$14,IF(B64&lt;=Hypothèses!$C$15,Hypothèses!$A$15,IF(B64&lt;=Hypothèses!$C$16,Hypothèses!$A$16,IF(B64&lt;=Hypothèses!$C$17,Hypothèses!$A$17,IF(B64&lt;=Hypothèses!$C$18,Hypothèses!$A$18,C63))))))))))))</f>
        <v>11</v>
      </c>
      <c r="D64" s="82" t="str">
        <f>IF(B64&lt;=Hypothèses!$C$7,Hypothèses!$R$7,IF(B64&lt;=Hypothèses!$C$8,Hypothèses!$R$8,IF(B64&lt;=Hypothèses!$C$9,Hypothèses!$R$9,IF(B64&lt;=Hypothèses!$C$10,Hypothèses!$R$10,IF(B64&lt;=Hypothèses!$C$11,Hypothèses!$R$11,IF(B64&lt;=Hypothèses!$C$12,Hypothèses!$R$12,IF(B64&lt;=Hypothèses!$C$13,Hypothèses!$R$13,IF(B64&lt;=Hypothèses!$C$14,Hypothèses!$R$14,IF(B64&lt;=Hypothèses!$C$15,Hypothèses!$R$15,IF(B64&lt;=Hypothèses!$C$16,Hypothèses!$R$16,IF(B64&lt;=Hypothèses!$C$17,Hypothèses!$R$17,IF(B64&lt;=Hypothèses!$C$18,Hypothèses!$R$18,D63))))))))))))</f>
        <v>Pressio.</v>
      </c>
      <c r="E64" s="82" t="e">
        <f>IF(B64&lt;=Hypothèses!$C$7,Hypothèses!$G$7,IF(B64&lt;=Hypothèses!$C$8,Hypothèses!$G$8,IF(B64&lt;=Hypothèses!$C$9,Hypothèses!$G$9,IF(B64&lt;=Hypothèses!$C$10,Hypothèses!$G$10,IF(B64&lt;=Hypothèses!$C$11,Hypothèses!$G$11,IF(B64&lt;=Hypothèses!$C$12,Hypothèses!$G$12,IF(B64&lt;=Hypothèses!$C$13,Hypothèses!$G$13,IF(B64&lt;=Hypothèses!$C$14,Hypothèses!$G$14,IF(B64&lt;=Hypothèses!$C$15,Hypothèses!$G$15,IF(B64&lt;=Hypothèses!$C$16,Hypothèses!$G$16,IF(B64&lt;=Hypothèses!$C$17,Hypothèses!$G$17,IF(B64&lt;=Hypothèses!$C$18,Hypothèses!$G$18,E63))))))))))))</f>
        <v>#N/A</v>
      </c>
      <c r="F64" s="82" t="str">
        <f>IF(B64&lt;=Hypothèses!$C$7,Hypothèses!$F$7,IF(B64&lt;=Hypothèses!$C$8,Hypothèses!$F$8,IF(B64&lt;=Hypothèses!$C$9,Hypothèses!$F$9,IF(B64&lt;=Hypothèses!$C$10,Hypothèses!$F$10,IF(B64&lt;=Hypothèses!$C$11,Hypothèses!$F$11,IF(B64&lt;=Hypothèses!$C$12,Hypothèses!$F$12,IF(B64&lt;=Hypothèses!$C$13,Hypothèses!$F$13,IF(B64&lt;=Hypothèses!$C$14,Hypothèses!$F$14,IF(B64&lt;=Hypothèses!$C$15,Hypothèses!$F$15,IF(B64&lt;=Hypothèses!$C$16,Hypothèses!$F$16,IF(B64&lt;=Hypothèses!$C$17,Hypothèses!$F$17,IF(B64&lt;=Hypothèses!$C$18,Hypothèses!$F$18,F63))))))))))))</f>
        <v/>
      </c>
      <c r="G64" s="91">
        <f t="array" ref="G64">INDEX('Coeff EC7'!$U$7:$X$27,
MATCH(Model0.1T!$B$3,'Coeff EC7'!$T$7:$T$27,0),
MATCH(Model0.1T!$D64&amp;Model0.1T!$B$4,
'Coeff EC7'!$U$6:$X$6&amp;
'Coeff EC7'!$U$5:$X$5,0))</f>
        <v>1.4</v>
      </c>
      <c r="H64" s="91">
        <f t="array" ref="H64">INDEX('Coeff EC7'!$Y$7:$AB$27,
MATCH(Model0.1T!$B$3,'Coeff EC7'!$T$7:$T$27,0),
MATCH(Model0.1T!$D64&amp;Model0.1T!$B$4,
'Coeff EC7'!$Y$6:$AB$6&amp;
'Coeff EC7'!$Y$5:$AB$5,0))</f>
        <v>1.7</v>
      </c>
      <c r="I64" s="83">
        <v>0</v>
      </c>
      <c r="J64" s="91" t="e">
        <f t="array" ref="J64">INDEX('Coeff EC7'!$D$33:$Q$33,1,MATCH(D64&amp;E64,'Coeff EC7'!$D$31:$Q$31&amp;'Coeff EC7'!$D$32:$Q$32,0))</f>
        <v>#N/A</v>
      </c>
      <c r="K64" s="91" t="e">
        <f t="array" ref="K64">INDEX('Coeff EC7'!$D$34:$Q$34,1,MATCH(D64&amp;E64,'Coeff EC7'!$D$31:$Q$31&amp;'Coeff EC7'!$D$32:$Q$32,0))</f>
        <v>#N/A</v>
      </c>
      <c r="L64" s="91" t="e">
        <f t="array" ref="L64">INDEX('Coeff EC7'!$D$35:$Q$35,1,MATCH(D64&amp;E64,'Coeff EC7'!$D$31:$Q$31&amp;'Coeff EC7'!$D$32:$Q$32,0))</f>
        <v>#N/A</v>
      </c>
      <c r="M64" s="98" t="e">
        <f t="shared" si="8"/>
        <v>#N/A</v>
      </c>
      <c r="N64" s="99" t="e">
        <f t="array" ref="N64">INDEX('Coeff EC7'!$D$7:$Q$27,MATCH($B$3,'Coeff EC7'!$C$7:$C$27,0),MATCH(D64&amp;E64,'Coeff EC7'!$D$5:$Q$5&amp;'Coeff EC7'!$D$6:$Q$6,0))</f>
        <v>#N/A</v>
      </c>
      <c r="O64" s="99" t="e">
        <f t="array" ref="O64">INDEX('Coeff EC7'!$D$41:$Q$61,MATCH($B$3,'Coeff EC7'!$C$41:$C$61,0),MATCH(D64&amp;E64,'Coeff EC7'!$D$39:$Q$39&amp;'Coeff EC7'!$D$40:$Q$40,0))</f>
        <v>#N/A</v>
      </c>
      <c r="P64" s="30" t="e">
        <f t="shared" si="66"/>
        <v>#N/A</v>
      </c>
      <c r="Q64" s="100" t="e">
        <f t="shared" si="10"/>
        <v>#N/A</v>
      </c>
      <c r="R64" s="86" t="b">
        <f t="shared" si="11"/>
        <v>0</v>
      </c>
      <c r="S64" s="86">
        <f t="shared" si="9"/>
        <v>0.5</v>
      </c>
      <c r="T64" s="86">
        <f t="shared" si="12"/>
        <v>0.5</v>
      </c>
      <c r="U64" s="30" t="e">
        <f t="shared" ca="1" si="67"/>
        <v>#DIV/0!</v>
      </c>
      <c r="V64" s="85" t="str">
        <f>IF(B64&lt;=Hypothèses!$V$7,Hypothèses!$W$7,IF(B64&lt;=Hypothèses!$V$8,Hypothèses!$W$8,IF(B64&lt;=Hypothèses!$V$9,Hypothèses!$W$9,IF(B64&lt;=Hypothèses!$V$10,Hypothèses!$W$10,IF(B64&lt;=Hypothèses!$V$11,Hypothèses!$W$11,IF(B64&lt;=Hypothèses!$V$12,Hypothèses!$W$12,IF(B64&lt;=Hypothèses!$V$13,Hypothèses!$W$13,IF(B64&lt;=Hypothèses!$V$14,Hypothèses!$W$14,IF(B64&lt;=Hypothèses!$V$15,Hypothèses!$W$15,IF(B64&lt;=Hypothèses!$V$16,Hypothèses!$W$16,IF(B64&lt;=Hypothèses!$V$17,Hypothèses!$W$17,IF(B64&lt;=Hypothèses!$V$18,Hypothèses!$W$18,""))))))))))))</f>
        <v/>
      </c>
      <c r="W64" s="87" t="e">
        <f t="shared" ca="1" si="116"/>
        <v>#DIV/0!</v>
      </c>
      <c r="X64" s="88" t="str">
        <f>IF(B64&lt;=Hypothèses!$V$7,Hypothèses!$X$7,IF(B64&lt;=Hypothèses!$V$8,Hypothèses!$X$8,IF(B64&lt;=Hypothèses!$V$9,Hypothèses!$X$9,IF(B64&lt;=Hypothèses!$V$10,Hypothèses!$X$10,IF(B64&lt;=Hypothèses!$V$11,Hypothèses!$X$11,IF(B64&lt;=Hypothèses!$V$12,Hypothèses!$X$12,IF(B64&lt;=Hypothèses!$V$13,Hypothèses!$X$13,IF(B64&lt;=Hypothèses!$V$14,Hypothèses!$X$14,IF(B64&lt;=Hypothèses!$V$15,Hypothèses!$X$15,IF(B64&lt;=Hypothèses!$V$16,Hypothèses!$X$16,IF(B64&lt;=Hypothèses!$U$17,Hypothèses!$W$17,IF(B64&lt;=Hypothèses!$U$18,Hypothèses!$W$18,""))))))))))))</f>
        <v/>
      </c>
      <c r="Y64" s="95" t="e">
        <f t="shared" ca="1" si="13"/>
        <v>#DIV/0!</v>
      </c>
      <c r="Z64" s="101">
        <f t="shared" si="14"/>
        <v>0</v>
      </c>
      <c r="AA64" s="91">
        <f t="shared" si="15"/>
        <v>0</v>
      </c>
      <c r="AB64" s="30" t="e">
        <f t="shared" si="100"/>
        <v>#N/A</v>
      </c>
      <c r="AC64" s="30" t="e">
        <f t="shared" si="101"/>
        <v>#N/A</v>
      </c>
      <c r="AD64" s="31" t="e">
        <f>IF(OR(Hypothèses!$B$4=17,Hypothèses!$B$4=18,Hypothèses!$B$4=19,Hypothèses!$B$4=20),
IF($D64="Pressio.",
IF(OR($E64=3,$E64=1,$E64=4),AC64,AB64),
IF($D64="Pénétro.",
IF(OR($E64=3,$E64=1,$E64=4),AC64,AB64))),IF($D64="Pressio.",
IF($E64=3,AC64,AB64),
IF($D64="Pénétro.",
IF($E64=4,AC64,AB64))))</f>
        <v>#N/A</v>
      </c>
      <c r="AE64" s="31">
        <v>0</v>
      </c>
      <c r="AF64" s="102" t="e">
        <f>IF(NDC!$H$10="Oui",(VLOOKUP($B$3,'Coeff EC7'!$T$39:$X$59,2,0)*AD64+VLOOKUP($B$3,'Coeff EC7'!$T$65:$X$85,2,0)*Model0.1T!AE64)/1.5,PI()*AB$12*$Q64*($B64-$B63)*0.15/10+AF63)</f>
        <v>#N/A</v>
      </c>
      <c r="AG64" s="102" t="e">
        <f>(VLOOKUP($B$3,'Coeff EC7'!$T$39:$X$59,3,0)*AD64+VLOOKUP($B$3,'Coeff EC7'!$T$65:$X$85,3,0)*Model0.1T!AE64)/1.1</f>
        <v>#N/A</v>
      </c>
      <c r="AH64" s="102" t="e">
        <f t="shared" si="68"/>
        <v>#N/A</v>
      </c>
      <c r="AI64" s="102" t="e">
        <f t="shared" si="69"/>
        <v>#N/A</v>
      </c>
      <c r="AJ64" s="414" t="e">
        <f>IF(AND(AF64&gt;NDC!$C$63,AG64&gt;NDC!$C$65,AH64&gt;NDC!$D$73,AI64&gt;NDC!$D$74,$B64&gt;NDC!$H$22-0.1+MIN(3*$AJ$12,1.5)),0,1)</f>
        <v>#N/A</v>
      </c>
      <c r="AK64" s="86" t="b">
        <f t="shared" si="18"/>
        <v>0</v>
      </c>
      <c r="AL64" s="86">
        <f t="shared" si="70"/>
        <v>0.5</v>
      </c>
      <c r="AM64" s="86">
        <f t="shared" si="19"/>
        <v>0.5</v>
      </c>
      <c r="AN64" s="30" t="e">
        <f t="shared" ca="1" si="71"/>
        <v>#DIV/0!</v>
      </c>
      <c r="AO64" s="85" t="e">
        <f ca="1">IF(U64&lt;=Hypothèses!$V$7,Hypothèses!$W$7,IF(U64&lt;=Hypothèses!$V$8,Hypothèses!$W$8,IF(U64&lt;=Hypothèses!$V$9,Hypothèses!$W$9,IF(U64&lt;=Hypothèses!$V$10,Hypothèses!$W$10,IF(U64&lt;=Hypothèses!$V$11,Hypothèses!$W$11,IF(U64&lt;=Hypothèses!$V$12,Hypothèses!$W$12,IF(U64&lt;=Hypothèses!$V$13,Hypothèses!$W$13,IF(U64&lt;=Hypothèses!$V$14,Hypothèses!$W$14,IF(U64&lt;=Hypothèses!$V$15,Hypothèses!$W$15,IF(U64&lt;=Hypothèses!$V$16,Hypothèses!$W$16,IF(U64&lt;=Hypothèses!$V$17,Hypothèses!$W$17,IF(U64&lt;=Hypothèses!$V$18,Hypothèses!$W$18,""))))))))))))</f>
        <v>#DIV/0!</v>
      </c>
      <c r="AP64" s="87" t="e">
        <f t="shared" ca="1" si="117"/>
        <v>#DIV/0!</v>
      </c>
      <c r="AQ64" s="88" t="e">
        <f ca="1">IF(U64&lt;=Hypothèses!$V$7,Hypothèses!$X$7,IF(U64&lt;=Hypothèses!$V$8,Hypothèses!$X$8,IF(U64&lt;=Hypothèses!$V$9,Hypothèses!$X$9,IF(U64&lt;=Hypothèses!$V$10,Hypothèses!$X$10,IF(U64&lt;=Hypothèses!$V$11,Hypothèses!$X$11,IF(U64&lt;=Hypothèses!$V$12,Hypothèses!$X$12,IF(U64&lt;=Hypothèses!$V$13,Hypothèses!$X$13,IF(U64&lt;=Hypothèses!$V$14,Hypothèses!$X$14,IF(U64&lt;=Hypothèses!$V$15,Hypothèses!$X$15,IF(U64&lt;=Hypothèses!$V$16,Hypothèses!$X$16,IF(U64&lt;=Hypothèses!$U$17,Hypothèses!$W$17,IF(U64&lt;=Hypothèses!$U$18,Hypothèses!$W$18,""))))))))))))</f>
        <v>#DIV/0!</v>
      </c>
      <c r="AR64" s="95" t="e">
        <f t="shared" ca="1" si="72"/>
        <v>#DIV/0!</v>
      </c>
      <c r="AS64" s="101">
        <f t="shared" si="124"/>
        <v>0</v>
      </c>
      <c r="AT64" s="91">
        <f t="shared" si="21"/>
        <v>0</v>
      </c>
      <c r="AU64" s="30" t="e">
        <f t="shared" si="102"/>
        <v>#N/A</v>
      </c>
      <c r="AV64" s="30" t="e">
        <f t="shared" si="103"/>
        <v>#N/A</v>
      </c>
      <c r="AW64" s="31" t="e">
        <f>IF(OR(Hypothèses!$B$4=17,Hypothèses!$B$4=18,Hypothèses!$B$4=19,Hypothèses!$B$4=20),
IF($D64="Pressio.",
IF(OR($E64=3,$E64=1,$E64=4),AV64,AU64),
IF($D64="Pénétro.",
IF(OR($E64=3,$E64=1,$E64=4),AV64,AU64))),IF($D64="Pressio.",
IF($E64=3,AV64,AU64),
IF($D64="Pénétro.",
IF($E64=4,AV64,AU64))))</f>
        <v>#N/A</v>
      </c>
      <c r="AX64" s="31">
        <v>0</v>
      </c>
      <c r="AY64" s="102" t="e">
        <f>IF(NDC!$H$10="Oui",(VLOOKUP($B$3,'Coeff EC7'!$T$39:$X$59,2,0)*AW64+VLOOKUP($B$3,'Coeff EC7'!$T$65:$X$85,2,0)*Model0.1T!AX64)/1.5,PI()*AU$12*$Q64*($B64-$B63)*0.15/10+AY63)</f>
        <v>#N/A</v>
      </c>
      <c r="AZ64" s="102" t="e">
        <f>(VLOOKUP($B$3,'Coeff EC7'!$T$39:$X$59,3,0)*AW64+VLOOKUP($B$3,'Coeff EC7'!$T$65:$X$85,3,0)*Model0.1T!AX64)/1.1</f>
        <v>#N/A</v>
      </c>
      <c r="BA64" s="102" t="e">
        <f t="shared" si="73"/>
        <v>#N/A</v>
      </c>
      <c r="BB64" s="102" t="e">
        <f t="shared" si="74"/>
        <v>#N/A</v>
      </c>
      <c r="BC64" s="414" t="e">
        <f>IF(AND(AY64&gt;NDC!$C$63,AZ64&gt;NDC!$C$65,BA64&gt;NDC!$D$73,BB64&gt;NDC!$D$74,$B64&gt;NDC!$H$22-0.1+MIN(3*BC$12,1.5)),0,1)</f>
        <v>#N/A</v>
      </c>
      <c r="BD64" s="86" t="b">
        <f t="shared" si="24"/>
        <v>0</v>
      </c>
      <c r="BE64" s="86">
        <f t="shared" si="75"/>
        <v>0.5</v>
      </c>
      <c r="BF64" s="86">
        <f t="shared" si="25"/>
        <v>0.5</v>
      </c>
      <c r="BG64" s="30" t="e">
        <f t="shared" ca="1" si="76"/>
        <v>#DIV/0!</v>
      </c>
      <c r="BH64" s="85" t="e">
        <f ca="1">IF(AN64&lt;=Hypothèses!$V$7,Hypothèses!$W$7,IF(AN64&lt;=Hypothèses!$V$8,Hypothèses!$W$8,IF(AN64&lt;=Hypothèses!$V$9,Hypothèses!$W$9,IF(AN64&lt;=Hypothèses!$V$10,Hypothèses!$W$10,IF(AN64&lt;=Hypothèses!$V$11,Hypothèses!$W$11,IF(AN64&lt;=Hypothèses!$V$12,Hypothèses!$W$12,IF(AN64&lt;=Hypothèses!$V$13,Hypothèses!$W$13,IF(AN64&lt;=Hypothèses!$V$14,Hypothèses!$W$14,IF(AN64&lt;=Hypothèses!$V$15,Hypothèses!$W$15,IF(AN64&lt;=Hypothèses!$V$16,Hypothèses!$W$16,IF(AN64&lt;=Hypothèses!$V$17,Hypothèses!$W$17,IF(AN64&lt;=Hypothèses!$V$18,Hypothèses!$W$18,""))))))))))))</f>
        <v>#DIV/0!</v>
      </c>
      <c r="BI64" s="87" t="e">
        <f t="shared" ca="1" si="118"/>
        <v>#DIV/0!</v>
      </c>
      <c r="BJ64" s="88" t="e">
        <f ca="1">IF(AN64&lt;=Hypothèses!$V$7,Hypothèses!$X$7,IF(AN64&lt;=Hypothèses!$V$8,Hypothèses!$X$8,IF(AN64&lt;=Hypothèses!$V$9,Hypothèses!$X$9,IF(AN64&lt;=Hypothèses!$V$10,Hypothèses!$X$10,IF(AN64&lt;=Hypothèses!$V$11,Hypothèses!$X$11,IF(AN64&lt;=Hypothèses!$V$12,Hypothèses!$X$12,IF(AN64&lt;=Hypothèses!$V$13,Hypothèses!$X$13,IF(AN64&lt;=Hypothèses!$V$14,Hypothèses!$X$14,IF(AN64&lt;=Hypothèses!$V$15,Hypothèses!$X$15,IF(AN64&lt;=Hypothèses!$V$16,Hypothèses!$X$16,IF(AN64&lt;=Hypothèses!$U$17,Hypothèses!$W$17,IF(AN64&lt;=Hypothèses!$U$18,Hypothèses!$W$18,""))))))))))))</f>
        <v>#DIV/0!</v>
      </c>
      <c r="BK64" s="95" t="e">
        <f t="shared" ca="1" si="77"/>
        <v>#DIV/0!</v>
      </c>
      <c r="BL64" s="101">
        <f t="shared" si="125"/>
        <v>0</v>
      </c>
      <c r="BM64" s="91">
        <f t="shared" si="27"/>
        <v>0</v>
      </c>
      <c r="BN64" s="30" t="e">
        <f t="shared" si="104"/>
        <v>#N/A</v>
      </c>
      <c r="BO64" s="30" t="e">
        <f t="shared" si="105"/>
        <v>#N/A</v>
      </c>
      <c r="BP64" s="31" t="e">
        <f>IF(OR(Hypothèses!$B$4=17,Hypothèses!$B$4=18,Hypothèses!$B$4=19,Hypothèses!$B$4=20),
IF($D64="Pressio.",
IF(OR($E64=3,$E64=1,$E64=4),BO64,BN64),
IF($D64="Pénétro.",
IF(OR($E64=3,$E64=1,$E64=4),BO64,BN64))),IF($D64="Pressio.",
IF($E64=3,BO64,BN64),
IF($D64="Pénétro.",
IF($E64=4,BO64,BN64))))</f>
        <v>#N/A</v>
      </c>
      <c r="BQ64" s="31">
        <v>0</v>
      </c>
      <c r="BR64" s="102" t="e">
        <f>IF(NDC!$H$10="Oui",(VLOOKUP($B$3,'Coeff EC7'!$T$39:$X$59,2,0)*BP64+VLOOKUP($B$3,'Coeff EC7'!$T$65:$X$85,2,0)*Model0.1T!BQ64)/1.5,PI()*BN$12*$Q64*($B64-$B63)*0.15/10+BR63)</f>
        <v>#N/A</v>
      </c>
      <c r="BS64" s="102" t="e">
        <f>(VLOOKUP($B$3,'Coeff EC7'!$T$39:$X$59,3,0)*BP64+VLOOKUP($B$3,'Coeff EC7'!$T$65:$X$85,3,0)*Model0.1T!BQ64)/1.1</f>
        <v>#N/A</v>
      </c>
      <c r="BT64" s="102" t="e">
        <f t="shared" si="78"/>
        <v>#N/A</v>
      </c>
      <c r="BU64" s="102" t="e">
        <f t="shared" si="79"/>
        <v>#N/A</v>
      </c>
      <c r="BV64" s="414" t="e">
        <f>IF(AND(BR64&gt;NDC!$C$63,BS64&gt;NDC!$C$65,BT64&gt;NDC!$D$73,BU64&gt;NDC!$D$74,$B64&gt;NDC!$H$22-0.1+MIN(3*BV$12,1.5)),0,1)</f>
        <v>#N/A</v>
      </c>
      <c r="BW64" s="86" t="b">
        <f t="shared" si="30"/>
        <v>0</v>
      </c>
      <c r="BX64" s="86">
        <f t="shared" si="31"/>
        <v>0.5</v>
      </c>
      <c r="BY64" s="86">
        <f t="shared" si="32"/>
        <v>0.5</v>
      </c>
      <c r="BZ64" s="30" t="e">
        <f t="shared" ca="1" si="80"/>
        <v>#DIV/0!</v>
      </c>
      <c r="CA64" s="85" t="e">
        <f ca="1">IF(BG64&lt;=Hypothèses!$V$7,Hypothèses!$W$7,IF(BG64&lt;=Hypothèses!$V$8,Hypothèses!$W$8,IF(BG64&lt;=Hypothèses!$V$9,Hypothèses!$W$9,IF(BG64&lt;=Hypothèses!$V$10,Hypothèses!$W$10,IF(BG64&lt;=Hypothèses!$V$11,Hypothèses!$W$11,IF(BG64&lt;=Hypothèses!$V$12,Hypothèses!$W$12,IF(BG64&lt;=Hypothèses!$V$13,Hypothèses!$W$13,IF(BG64&lt;=Hypothèses!$V$14,Hypothèses!$W$14,IF(BG64&lt;=Hypothèses!$V$15,Hypothèses!$W$15,IF(BG64&lt;=Hypothèses!$V$16,Hypothèses!$W$16,IF(BG64&lt;=Hypothèses!$V$17,Hypothèses!$W$17,IF(BG64&lt;=Hypothèses!$V$18,Hypothèses!$W$18,""))))))))))))</f>
        <v>#DIV/0!</v>
      </c>
      <c r="CB64" s="87" t="e">
        <f t="shared" ca="1" si="119"/>
        <v>#DIV/0!</v>
      </c>
      <c r="CC64" s="88" t="e">
        <f ca="1">IF(BG64&lt;=Hypothèses!$V$7,Hypothèses!$X$7,IF(BG64&lt;=Hypothèses!$V$8,Hypothèses!$X$8,IF(BG64&lt;=Hypothèses!$V$9,Hypothèses!$X$9,IF(BG64&lt;=Hypothèses!$V$10,Hypothèses!$X$10,IF(BG64&lt;=Hypothèses!$V$11,Hypothèses!$X$11,IF(BG64&lt;=Hypothèses!$V$12,Hypothèses!$X$12,IF(BG64&lt;=Hypothèses!$V$13,Hypothèses!$X$13,IF(BG64&lt;=Hypothèses!$V$14,Hypothèses!$X$14,IF(BG64&lt;=Hypothèses!$V$15,Hypothèses!$X$15,IF(BG64&lt;=Hypothèses!$V$16,Hypothèses!$X$16,IF(BG64&lt;=Hypothèses!$U$17,Hypothèses!$W$17,IF(BG64&lt;=Hypothèses!$U$18,Hypothèses!$W$18,""))))))))))))</f>
        <v>#DIV/0!</v>
      </c>
      <c r="CD64" s="95" t="e">
        <f t="shared" ca="1" si="81"/>
        <v>#DIV/0!</v>
      </c>
      <c r="CE64" s="101">
        <f t="shared" si="126"/>
        <v>0</v>
      </c>
      <c r="CF64" s="91">
        <f t="shared" si="34"/>
        <v>0</v>
      </c>
      <c r="CG64" s="30" t="e">
        <f t="shared" si="106"/>
        <v>#N/A</v>
      </c>
      <c r="CH64" s="30" t="e">
        <f t="shared" si="107"/>
        <v>#N/A</v>
      </c>
      <c r="CI64" s="31" t="e">
        <f>IF(OR(Hypothèses!$B$4=17,Hypothèses!$B$4=18,Hypothèses!$B$4=19,Hypothèses!$B$4=20),
IF($D64="Pressio.",
IF(OR($E64=3,$E64=1,$E64=4),CH64,CG64),
IF($D64="Pénétro.",
IF(OR($E64=3,$E64=1,$E64=4),CH64,CG64))),IF($D64="Pressio.",
IF($E64=3,CH64,CG64),
IF($D64="Pénétro.",
IF($E64=4,CH64,CG64))))</f>
        <v>#N/A</v>
      </c>
      <c r="CJ64" s="31">
        <v>0</v>
      </c>
      <c r="CK64" s="102" t="e">
        <f>IF(NDC!$H$10="Oui",(VLOOKUP($B$3,'Coeff EC7'!$T$39:$X$59,2,0)*CI64+VLOOKUP($B$3,'Coeff EC7'!$T$65:$X$85,2,0)*Model0.1T!CJ64)/1.5,PI()*CG$12*$Q64*($B64-$B63)*0.15/10+CK63)</f>
        <v>#N/A</v>
      </c>
      <c r="CL64" s="102" t="e">
        <f>(VLOOKUP($B$3,'Coeff EC7'!$T$39:$X$59,3,0)*CI64+VLOOKUP($B$3,'Coeff EC7'!$T$65:$X$85,3,0)*Model0.1T!CJ64)/1.1</f>
        <v>#N/A</v>
      </c>
      <c r="CM64" s="102" t="e">
        <f t="shared" si="82"/>
        <v>#N/A</v>
      </c>
      <c r="CN64" s="102" t="e">
        <f t="shared" si="83"/>
        <v>#N/A</v>
      </c>
      <c r="CO64" s="414" t="e">
        <f>IF(AND(CK64&gt;NDC!$C$63,CL64&gt;NDC!$C$65,CM64&gt;NDC!$D$73,CN64&gt;NDC!$D$74,$B64&gt;NDC!$H$22-0.1+MIN(3*CO$12,1.5)),0,1)</f>
        <v>#N/A</v>
      </c>
      <c r="CP64" s="86" t="b">
        <f t="shared" si="37"/>
        <v>0</v>
      </c>
      <c r="CQ64" s="86">
        <f t="shared" si="38"/>
        <v>0.5</v>
      </c>
      <c r="CR64" s="86">
        <f t="shared" si="39"/>
        <v>0.5</v>
      </c>
      <c r="CS64" s="30" t="e">
        <f t="shared" ca="1" si="84"/>
        <v>#DIV/0!</v>
      </c>
      <c r="CT64" s="85" t="e">
        <f ca="1">IF(BZ64&lt;=Hypothèses!$V$7,Hypothèses!$W$7,IF(BZ64&lt;=Hypothèses!$V$8,Hypothèses!$W$8,IF(BZ64&lt;=Hypothèses!$V$9,Hypothèses!$W$9,IF(BZ64&lt;=Hypothèses!$V$10,Hypothèses!$W$10,IF(BZ64&lt;=Hypothèses!$V$11,Hypothèses!$W$11,IF(BZ64&lt;=Hypothèses!$V$12,Hypothèses!$W$12,IF(BZ64&lt;=Hypothèses!$V$13,Hypothèses!$W$13,IF(BZ64&lt;=Hypothèses!$V$14,Hypothèses!$W$14,IF(BZ64&lt;=Hypothèses!$V$15,Hypothèses!$W$15,IF(BZ64&lt;=Hypothèses!$V$16,Hypothèses!$W$16,IF(BZ64&lt;=Hypothèses!$V$17,Hypothèses!$W$17,IF(BZ64&lt;=Hypothèses!$V$18,Hypothèses!$W$18,""))))))))))))</f>
        <v>#DIV/0!</v>
      </c>
      <c r="CU64" s="87" t="e">
        <f t="shared" ca="1" si="120"/>
        <v>#DIV/0!</v>
      </c>
      <c r="CV64" s="88" t="e">
        <f ca="1">IF(BZ64&lt;=Hypothèses!$V$7,Hypothèses!$X$7,IF(BZ64&lt;=Hypothèses!$V$8,Hypothèses!$X$8,IF(BZ64&lt;=Hypothèses!$V$9,Hypothèses!$X$9,IF(BZ64&lt;=Hypothèses!$V$10,Hypothèses!$X$10,IF(BZ64&lt;=Hypothèses!$V$11,Hypothèses!$X$11,IF(BZ64&lt;=Hypothèses!$V$12,Hypothèses!$X$12,IF(BZ64&lt;=Hypothèses!$V$13,Hypothèses!$X$13,IF(BZ64&lt;=Hypothèses!$V$14,Hypothèses!$X$14,IF(BZ64&lt;=Hypothèses!$V$15,Hypothèses!$X$15,IF(BZ64&lt;=Hypothèses!$V$16,Hypothèses!$X$16,IF(BZ64&lt;=Hypothèses!$U$17,Hypothèses!$W$17,IF(BZ64&lt;=Hypothèses!$U$18,Hypothèses!$W$18,""))))))))))))</f>
        <v>#DIV/0!</v>
      </c>
      <c r="CW64" s="95" t="e">
        <f t="shared" ca="1" si="85"/>
        <v>#DIV/0!</v>
      </c>
      <c r="CX64" s="101">
        <f t="shared" si="127"/>
        <v>0</v>
      </c>
      <c r="CY64" s="91">
        <f t="shared" si="41"/>
        <v>0</v>
      </c>
      <c r="CZ64" s="30" t="e">
        <f t="shared" si="108"/>
        <v>#N/A</v>
      </c>
      <c r="DA64" s="30" t="e">
        <f t="shared" si="109"/>
        <v>#N/A</v>
      </c>
      <c r="DB64" s="31" t="e">
        <f>IF(OR(Hypothèses!$B$4=17,Hypothèses!$B$4=18,Hypothèses!$B$4=19,Hypothèses!$B$4=20),
IF($D64="Pressio.",
IF(OR($E64=3,$E64=1,$E64=4),DA64,CZ64),
IF($D64="Pénétro.",
IF(OR($E64=3,$E64=1,$E64=4),DA64,CZ64))),IF($D64="Pressio.",
IF($E64=3,DA64,CZ64),
IF($D64="Pénétro.",
IF($E64=4,DA64,CZ64))))</f>
        <v>#N/A</v>
      </c>
      <c r="DC64" s="31">
        <v>0</v>
      </c>
      <c r="DD64" s="102" t="e">
        <f>IF(NDC!$H$10="Oui",(VLOOKUP($B$3,'Coeff EC7'!$T$39:$X$59,2,0)*DB64+VLOOKUP($B$3,'Coeff EC7'!$T$65:$X$85,2,0)*Model0.1T!DC64)/1.5,PI()*CZ$12*$Q64*($B64-$B63)*0.15/10+DD63)</f>
        <v>#N/A</v>
      </c>
      <c r="DE64" s="102" t="e">
        <f>(VLOOKUP($B$3,'Coeff EC7'!$T$39:$X$59,3,0)*DB64+VLOOKUP($B$3,'Coeff EC7'!$T$65:$X$85,3,0)*Model0.1T!DC64)/1.1</f>
        <v>#N/A</v>
      </c>
      <c r="DF64" s="102" t="e">
        <f t="shared" si="86"/>
        <v>#N/A</v>
      </c>
      <c r="DG64" s="102" t="e">
        <f t="shared" si="87"/>
        <v>#N/A</v>
      </c>
      <c r="DH64" s="414" t="e">
        <f>IF(AND(DD64&gt;NDC!$C$63,DE64&gt;NDC!$C$65,DF64&gt;NDC!$D$73,DG64&gt;NDC!$D$74,$B64&gt;NDC!$H$22-0.1+MIN(3*DH$12,1.5)),0,1)</f>
        <v>#N/A</v>
      </c>
      <c r="DI64" s="86" t="b">
        <f t="shared" si="44"/>
        <v>0</v>
      </c>
      <c r="DJ64" s="86">
        <f t="shared" si="45"/>
        <v>0.5</v>
      </c>
      <c r="DK64" s="86">
        <f t="shared" si="46"/>
        <v>0.5</v>
      </c>
      <c r="DL64" s="30" t="e">
        <f t="shared" ca="1" si="88"/>
        <v>#DIV/0!</v>
      </c>
      <c r="DM64" s="85" t="e">
        <f ca="1">IF(CS64&lt;=Hypothèses!$V$7,Hypothèses!$W$7,IF(CS64&lt;=Hypothèses!$V$8,Hypothèses!$W$8,IF(CS64&lt;=Hypothèses!$V$9,Hypothèses!$W$9,IF(CS64&lt;=Hypothèses!$V$10,Hypothèses!$W$10,IF(CS64&lt;=Hypothèses!$V$11,Hypothèses!$W$11,IF(CS64&lt;=Hypothèses!$V$12,Hypothèses!$W$12,IF(CS64&lt;=Hypothèses!$V$13,Hypothèses!$W$13,IF(CS64&lt;=Hypothèses!$V$14,Hypothèses!$W$14,IF(CS64&lt;=Hypothèses!$V$15,Hypothèses!$W$15,IF(CS64&lt;=Hypothèses!$V$16,Hypothèses!$W$16,IF(CS64&lt;=Hypothèses!$V$17,Hypothèses!$W$17,IF(CS64&lt;=Hypothèses!$V$18,Hypothèses!$W$18,""))))))))))))</f>
        <v>#DIV/0!</v>
      </c>
      <c r="DN64" s="87" t="e">
        <f t="shared" ca="1" si="121"/>
        <v>#DIV/0!</v>
      </c>
      <c r="DO64" s="88" t="e">
        <f ca="1">IF(CS64&lt;=Hypothèses!$V$7,Hypothèses!$X$7,IF(CS64&lt;=Hypothèses!$V$8,Hypothèses!$X$8,IF(CS64&lt;=Hypothèses!$V$9,Hypothèses!$X$9,IF(CS64&lt;=Hypothèses!$V$10,Hypothèses!$X$10,IF(CS64&lt;=Hypothèses!$V$11,Hypothèses!$X$11,IF(CS64&lt;=Hypothèses!$V$12,Hypothèses!$X$12,IF(CS64&lt;=Hypothèses!$V$13,Hypothèses!$X$13,IF(CS64&lt;=Hypothèses!$V$14,Hypothèses!$X$14,IF(CS64&lt;=Hypothèses!$V$15,Hypothèses!$X$15,IF(CS64&lt;=Hypothèses!$V$16,Hypothèses!$X$16,IF(CS64&lt;=Hypothèses!$U$17,Hypothèses!$W$17,IF(CS64&lt;=Hypothèses!$U$18,Hypothèses!$W$18,""))))))))))))</f>
        <v>#DIV/0!</v>
      </c>
      <c r="DP64" s="95" t="e">
        <f t="shared" ca="1" si="89"/>
        <v>#DIV/0!</v>
      </c>
      <c r="DQ64" s="101">
        <f t="shared" si="128"/>
        <v>0</v>
      </c>
      <c r="DR64" s="91">
        <f t="shared" si="48"/>
        <v>0</v>
      </c>
      <c r="DS64" s="30" t="e">
        <f t="shared" si="110"/>
        <v>#N/A</v>
      </c>
      <c r="DT64" s="30" t="e">
        <f t="shared" si="111"/>
        <v>#N/A</v>
      </c>
      <c r="DU64" s="31" t="e">
        <f>IF(OR(Hypothèses!$B$4=17,Hypothèses!$B$4=18,Hypothèses!$B$4=19,Hypothèses!$B$4=20),
IF($D64="Pressio.",
IF(OR($E64=3,$E64=1,$E64=4),DT64,DS64),
IF($D64="Pénétro.",
IF(OR($E64=3,$E64=1,$E64=4),DT64,DS64))),IF($D64="Pressio.",
IF($E64=3,DT64,DS64),
IF($D64="Pénétro.",
IF($E64=4,DT64,DS64))))</f>
        <v>#N/A</v>
      </c>
      <c r="DV64" s="31">
        <v>0</v>
      </c>
      <c r="DW64" s="102" t="e">
        <f>IF(NDC!$H$10="Oui",(VLOOKUP($B$3,'Coeff EC7'!$T$39:$X$59,2,0)*DU64+VLOOKUP($B$3,'Coeff EC7'!$T$65:$X$85,2,0)*Model0.1T!DV64)/1.5,PI()*DS$12*$Q64*($B64-$B63)*0.15/10+DW63)</f>
        <v>#N/A</v>
      </c>
      <c r="DX64" s="102" t="e">
        <f>(VLOOKUP($B$3,'Coeff EC7'!$T$39:$X$59,3,0)*DU64+VLOOKUP($B$3,'Coeff EC7'!$T$65:$X$85,3,0)*Model0.1T!DV64)/1.1</f>
        <v>#N/A</v>
      </c>
      <c r="DY64" s="102" t="e">
        <f t="shared" si="90"/>
        <v>#N/A</v>
      </c>
      <c r="DZ64" s="102" t="e">
        <f t="shared" si="91"/>
        <v>#N/A</v>
      </c>
      <c r="EA64" s="414" t="e">
        <f>IF(AND(DW64&gt;NDC!$C$63,DX64&gt;NDC!$C$65,DY64&gt;NDC!$D$73,DZ64&gt;NDC!$D$74,$B64&gt;NDC!$H$22-0.1+MIN(3*EA$12,1.5)),0,1)</f>
        <v>#N/A</v>
      </c>
      <c r="EB64" s="86" t="b">
        <f t="shared" si="51"/>
        <v>0</v>
      </c>
      <c r="EC64" s="418">
        <f t="shared" si="52"/>
        <v>0.51</v>
      </c>
      <c r="ED64" s="86">
        <f t="shared" si="53"/>
        <v>0.51</v>
      </c>
      <c r="EE64" s="30" t="e">
        <f t="shared" ca="1" si="92"/>
        <v>#DIV/0!</v>
      </c>
      <c r="EF64" s="85" t="e">
        <f ca="1">IF(DL64&lt;=Hypothèses!$V$7,Hypothèses!$W$7,IF(DL64&lt;=Hypothèses!$V$8,Hypothèses!$W$8,IF(DL64&lt;=Hypothèses!$V$9,Hypothèses!$W$9,IF(DL64&lt;=Hypothèses!$V$10,Hypothèses!$W$10,IF(DL64&lt;=Hypothèses!$V$11,Hypothèses!$W$11,IF(DL64&lt;=Hypothèses!$V$12,Hypothèses!$W$12,IF(DL64&lt;=Hypothèses!$V$13,Hypothèses!$W$13,IF(DL64&lt;=Hypothèses!$V$14,Hypothèses!$W$14,IF(DL64&lt;=Hypothèses!$V$15,Hypothèses!$W$15,IF(DL64&lt;=Hypothèses!$V$16,Hypothèses!$W$16,IF(DL64&lt;=Hypothèses!$V$17,Hypothèses!$W$17,IF(DL64&lt;=Hypothèses!$V$18,Hypothèses!$W$18,""))))))))))))</f>
        <v>#DIV/0!</v>
      </c>
      <c r="EG64" s="87" t="e">
        <f t="shared" ca="1" si="122"/>
        <v>#DIV/0!</v>
      </c>
      <c r="EH64" s="88" t="e">
        <f ca="1">IF(DL64&lt;=Hypothèses!$V$7,Hypothèses!$X$7,IF(DL64&lt;=Hypothèses!$V$8,Hypothèses!$X$8,IF(DL64&lt;=Hypothèses!$V$9,Hypothèses!$X$9,IF(DL64&lt;=Hypothèses!$V$10,Hypothèses!$X$10,IF(DL64&lt;=Hypothèses!$V$11,Hypothèses!$X$11,IF(DL64&lt;=Hypothèses!$V$12,Hypothèses!$X$12,IF(DL64&lt;=Hypothèses!$V$13,Hypothèses!$X$13,IF(DL64&lt;=Hypothèses!$V$14,Hypothèses!$X$14,IF(DL64&lt;=Hypothèses!$V$15,Hypothèses!$X$15,IF(DL64&lt;=Hypothèses!$V$16,Hypothèses!$X$16,IF(DL64&lt;=Hypothèses!$U$17,Hypothèses!$W$17,IF(DL64&lt;=Hypothèses!$U$18,Hypothèses!$W$18,""))))))))))))</f>
        <v>#DIV/0!</v>
      </c>
      <c r="EI64" s="95" t="e">
        <f t="shared" ca="1" si="93"/>
        <v>#DIV/0!</v>
      </c>
      <c r="EJ64" s="101">
        <f t="shared" si="129"/>
        <v>0</v>
      </c>
      <c r="EK64" s="91">
        <f t="shared" si="55"/>
        <v>0</v>
      </c>
      <c r="EL64" s="30" t="e">
        <f t="shared" si="112"/>
        <v>#N/A</v>
      </c>
      <c r="EM64" s="30" t="e">
        <f t="shared" si="113"/>
        <v>#N/A</v>
      </c>
      <c r="EN64" s="31" t="e">
        <f>IF(OR(Hypothèses!$B$4=17,Hypothèses!$B$4=18,Hypothèses!$B$4=19,Hypothèses!$B$4=20),
IF($D64="Pressio.",
IF(OR($E64=3,$E64=1,$E64=4),EM64,EL64),
IF($D64="Pénétro.",
IF(OR($E64=3,$E64=1,$E64=4),EM64,EL64))),IF($D64="Pressio.",
IF($E64=3,EM64,EL64),
IF($D64="Pénétro.",
IF($E64=4,EM64,EL64))))</f>
        <v>#N/A</v>
      </c>
      <c r="EO64" s="31">
        <v>0</v>
      </c>
      <c r="EP64" s="102" t="e">
        <f>IF(NDC!$H$10="Oui",(VLOOKUP($B$3,'Coeff EC7'!$T$39:$X$59,2,0)*EN64+VLOOKUP($B$3,'Coeff EC7'!$T$65:$X$85,2,0)*Model0.1T!EO64)/1.5,PI()*EL$12*$Q64*($B64-$B63)*0.15/10+EP63)</f>
        <v>#N/A</v>
      </c>
      <c r="EQ64" s="102" t="e">
        <f>(VLOOKUP($B$3,'Coeff EC7'!$T$39:$X$59,3,0)*EN64+VLOOKUP($B$3,'Coeff EC7'!$T$65:$X$85,3,0)*Model0.1T!EO64)/1.1</f>
        <v>#N/A</v>
      </c>
      <c r="ER64" s="102" t="e">
        <f t="shared" si="94"/>
        <v>#N/A</v>
      </c>
      <c r="ES64" s="102" t="e">
        <f t="shared" si="95"/>
        <v>#N/A</v>
      </c>
      <c r="ET64" s="414" t="e">
        <f>IF(AND(EP64&gt;NDC!$C$63,EQ64&gt;NDC!$C$65,ER64&gt;NDC!$D$73,ES64&gt;NDC!$D$74,$B64&gt;NDC!$H$22-0.1+MIN(3*ET$12,1.5)),0,1)</f>
        <v>#N/A</v>
      </c>
      <c r="EU64" s="86" t="b">
        <f t="shared" si="58"/>
        <v>0</v>
      </c>
      <c r="EV64" s="86">
        <f t="shared" si="59"/>
        <v>0.61</v>
      </c>
      <c r="EW64" s="86">
        <f t="shared" si="60"/>
        <v>0.61</v>
      </c>
      <c r="EX64" s="30" t="e">
        <f t="shared" ca="1" si="96"/>
        <v>#DIV/0!</v>
      </c>
      <c r="EY64" s="85" t="e">
        <f ca="1">IF(EE64&lt;=Hypothèses!$V$7,Hypothèses!$W$7,IF(EE64&lt;=Hypothèses!$V$8,Hypothèses!$W$8,IF(EE64&lt;=Hypothèses!$V$9,Hypothèses!$W$9,IF(EE64&lt;=Hypothèses!$V$10,Hypothèses!$W$10,IF(EE64&lt;=Hypothèses!$V$11,Hypothèses!$W$11,IF(EE64&lt;=Hypothèses!$V$12,Hypothèses!$W$12,IF(EE64&lt;=Hypothèses!$V$13,Hypothèses!$W$13,IF(EE64&lt;=Hypothèses!$V$14,Hypothèses!$W$14,IF(EE64&lt;=Hypothèses!$V$15,Hypothèses!$W$15,IF(EE64&lt;=Hypothèses!$V$16,Hypothèses!$W$16,IF(EE64&lt;=Hypothèses!$V$17,Hypothèses!$W$17,IF(EE64&lt;=Hypothèses!$V$18,Hypothèses!$W$18,""))))))))))))</f>
        <v>#DIV/0!</v>
      </c>
      <c r="EZ64" s="87" t="e">
        <f t="shared" ca="1" si="123"/>
        <v>#DIV/0!</v>
      </c>
      <c r="FA64" s="88" t="e">
        <f ca="1">IF(EE64&lt;=Hypothèses!$V$7,Hypothèses!$X$7,IF(EE64&lt;=Hypothèses!$V$8,Hypothèses!$X$8,IF(EE64&lt;=Hypothèses!$V$9,Hypothèses!$X$9,IF(EE64&lt;=Hypothèses!$V$10,Hypothèses!$X$10,IF(EE64&lt;=Hypothèses!$V$11,Hypothèses!$X$11,IF(EE64&lt;=Hypothèses!$V$12,Hypothèses!$X$12,IF(EE64&lt;=Hypothèses!$V$13,Hypothèses!$X$13,IF(EE64&lt;=Hypothèses!$V$14,Hypothèses!$X$14,IF(EE64&lt;=Hypothèses!$V$15,Hypothèses!$X$15,IF(EE64&lt;=Hypothèses!$V$16,Hypothèses!$X$16,IF(EE64&lt;=Hypothèses!$U$17,Hypothèses!$W$17,IF(EE64&lt;=Hypothèses!$U$18,Hypothèses!$W$18,""))))))))))))</f>
        <v>#DIV/0!</v>
      </c>
      <c r="FB64" s="95" t="e">
        <f t="shared" ca="1" si="97"/>
        <v>#DIV/0!</v>
      </c>
      <c r="FC64" s="101">
        <f t="shared" si="130"/>
        <v>0</v>
      </c>
      <c r="FD64" s="91">
        <f t="shared" si="62"/>
        <v>0</v>
      </c>
      <c r="FE64" s="30" t="e">
        <f t="shared" si="114"/>
        <v>#N/A</v>
      </c>
      <c r="FF64" s="30" t="e">
        <f t="shared" si="115"/>
        <v>#N/A</v>
      </c>
      <c r="FG64" s="31" t="e">
        <f>IF(OR(Hypothèses!$B$4=17,Hypothèses!$B$4=18,Hypothèses!$B$4=19,Hypothèses!$B$4=20),
IF($D64="Pressio.",
IF(OR($E64=3,$E64=1,$E64=4),FF64,FE64),
IF($D64="Pénétro.",
IF(OR($E64=3,$E64=1,$E64=4),FF64,FE64))),IF($D64="Pressio.",
IF($E64=3,FF64,FE64),
IF($D64="Pénétro.",
IF($E64=4,FF64,FE64))))</f>
        <v>#N/A</v>
      </c>
      <c r="FH64" s="31">
        <v>0</v>
      </c>
      <c r="FI64" s="102" t="e">
        <f>IF(NDC!$H$10="Oui",(VLOOKUP($B$3,'Coeff EC7'!$T$39:$X$59,2,0)*FG64+VLOOKUP($B$3,'Coeff EC7'!$T$65:$X$85,2,0)*Model0.1T!FH64)/1.5,PI()*FE$12*$Q64*($B64-$B63)*0.15/10+FI63)</f>
        <v>#N/A</v>
      </c>
      <c r="FJ64" s="102" t="e">
        <f>(VLOOKUP($B$3,'Coeff EC7'!$T$39:$X$59,3,0)*FG64+VLOOKUP($B$3,'Coeff EC7'!$T$65:$X$85,3,0)*Model0.1T!FH64)/1.1</f>
        <v>#N/A</v>
      </c>
      <c r="FK64" s="102" t="e">
        <f t="shared" si="98"/>
        <v>#N/A</v>
      </c>
      <c r="FL64" s="102" t="e">
        <f t="shared" si="99"/>
        <v>#N/A</v>
      </c>
      <c r="FM64" s="414" t="e">
        <f>IF(AND(FI64&gt;NDC!$C$63,FJ64&gt;NDC!$C$65,FK64&gt;NDC!$D$73,FL64&gt;NDC!$D$74,$B64&gt;NDC!$H$22-0.1+MIN(3*FM$12,1.5)),0,1)</f>
        <v>#N/A</v>
      </c>
    </row>
    <row r="65" spans="1:169">
      <c r="A65" s="96">
        <f t="shared" si="65"/>
        <v>94.800000000000296</v>
      </c>
      <c r="B65" s="97">
        <v>5.2</v>
      </c>
      <c r="C65" s="81">
        <f>IF(B65&lt;=Hypothèses!$C$7,Hypothèses!$A$7,IF(B65&lt;=Hypothèses!$C$8,Hypothèses!$A$8,IF(B65&lt;=Hypothèses!$C$9,Hypothèses!$A$9,IF(B65&lt;=Hypothèses!$C$10,Hypothèses!$A$10,IF(B65&lt;=Hypothèses!$C$11,Hypothèses!$A$11,IF(B65&lt;=Hypothèses!$C$12,Hypothèses!$A$12,IF(B65&lt;=Hypothèses!$C$13,Hypothèses!$A$13,IF(B65&lt;=Hypothèses!$C$14,Hypothèses!$A$14,IF(B65&lt;=Hypothèses!$C$15,Hypothèses!$A$15,IF(B65&lt;=Hypothèses!$C$16,Hypothèses!$A$16,IF(B65&lt;=Hypothèses!$C$17,Hypothèses!$A$17,IF(B65&lt;=Hypothèses!$C$18,Hypothèses!$A$18,C64))))))))))))</f>
        <v>11</v>
      </c>
      <c r="D65" s="82" t="str">
        <f>IF(B65&lt;=Hypothèses!$C$7,Hypothèses!$R$7,IF(B65&lt;=Hypothèses!$C$8,Hypothèses!$R$8,IF(B65&lt;=Hypothèses!$C$9,Hypothèses!$R$9,IF(B65&lt;=Hypothèses!$C$10,Hypothèses!$R$10,IF(B65&lt;=Hypothèses!$C$11,Hypothèses!$R$11,IF(B65&lt;=Hypothèses!$C$12,Hypothèses!$R$12,IF(B65&lt;=Hypothèses!$C$13,Hypothèses!$R$13,IF(B65&lt;=Hypothèses!$C$14,Hypothèses!$R$14,IF(B65&lt;=Hypothèses!$C$15,Hypothèses!$R$15,IF(B65&lt;=Hypothèses!$C$16,Hypothèses!$R$16,IF(B65&lt;=Hypothèses!$C$17,Hypothèses!$R$17,IF(B65&lt;=Hypothèses!$C$18,Hypothèses!$R$18,D64))))))))))))</f>
        <v>Pressio.</v>
      </c>
      <c r="E65" s="82" t="e">
        <f>IF(B65&lt;=Hypothèses!$C$7,Hypothèses!$G$7,IF(B65&lt;=Hypothèses!$C$8,Hypothèses!$G$8,IF(B65&lt;=Hypothèses!$C$9,Hypothèses!$G$9,IF(B65&lt;=Hypothèses!$C$10,Hypothèses!$G$10,IF(B65&lt;=Hypothèses!$C$11,Hypothèses!$G$11,IF(B65&lt;=Hypothèses!$C$12,Hypothèses!$G$12,IF(B65&lt;=Hypothèses!$C$13,Hypothèses!$G$13,IF(B65&lt;=Hypothèses!$C$14,Hypothèses!$G$14,IF(B65&lt;=Hypothèses!$C$15,Hypothèses!$G$15,IF(B65&lt;=Hypothèses!$C$16,Hypothèses!$G$16,IF(B65&lt;=Hypothèses!$C$17,Hypothèses!$G$17,IF(B65&lt;=Hypothèses!$C$18,Hypothèses!$G$18,E64))))))))))))</f>
        <v>#N/A</v>
      </c>
      <c r="F65" s="82" t="str">
        <f>IF(B65&lt;=Hypothèses!$C$7,Hypothèses!$F$7,IF(B65&lt;=Hypothèses!$C$8,Hypothèses!$F$8,IF(B65&lt;=Hypothèses!$C$9,Hypothèses!$F$9,IF(B65&lt;=Hypothèses!$C$10,Hypothèses!$F$10,IF(B65&lt;=Hypothèses!$C$11,Hypothèses!$F$11,IF(B65&lt;=Hypothèses!$C$12,Hypothèses!$F$12,IF(B65&lt;=Hypothèses!$C$13,Hypothèses!$F$13,IF(B65&lt;=Hypothèses!$C$14,Hypothèses!$F$14,IF(B65&lt;=Hypothèses!$C$15,Hypothèses!$F$15,IF(B65&lt;=Hypothèses!$C$16,Hypothèses!$F$16,IF(B65&lt;=Hypothèses!$C$17,Hypothèses!$F$17,IF(B65&lt;=Hypothèses!$C$18,Hypothèses!$F$18,F64))))))))))))</f>
        <v/>
      </c>
      <c r="G65" s="91">
        <f t="array" ref="G65">INDEX('Coeff EC7'!$U$7:$X$27,
MATCH(Model0.1T!$B$3,'Coeff EC7'!$T$7:$T$27,0),
MATCH(Model0.1T!$D65&amp;Model0.1T!$B$4,
'Coeff EC7'!$U$6:$X$6&amp;
'Coeff EC7'!$U$5:$X$5,0))</f>
        <v>1.4</v>
      </c>
      <c r="H65" s="91">
        <f t="array" ref="H65">INDEX('Coeff EC7'!$Y$7:$AB$27,
MATCH(Model0.1T!$B$3,'Coeff EC7'!$T$7:$T$27,0),
MATCH(Model0.1T!$D65&amp;Model0.1T!$B$4,
'Coeff EC7'!$Y$6:$AB$6&amp;
'Coeff EC7'!$Y$5:$AB$5,0))</f>
        <v>1.7</v>
      </c>
      <c r="I65" s="83">
        <v>0</v>
      </c>
      <c r="J65" s="91" t="e">
        <f t="array" ref="J65">INDEX('Coeff EC7'!$D$33:$Q$33,1,MATCH(D65&amp;E65,'Coeff EC7'!$D$31:$Q$31&amp;'Coeff EC7'!$D$32:$Q$32,0))</f>
        <v>#N/A</v>
      </c>
      <c r="K65" s="91" t="e">
        <f t="array" ref="K65">INDEX('Coeff EC7'!$D$34:$Q$34,1,MATCH(D65&amp;E65,'Coeff EC7'!$D$31:$Q$31&amp;'Coeff EC7'!$D$32:$Q$32,0))</f>
        <v>#N/A</v>
      </c>
      <c r="L65" s="91" t="e">
        <f t="array" ref="L65">INDEX('Coeff EC7'!$D$35:$Q$35,1,MATCH(D65&amp;E65,'Coeff EC7'!$D$31:$Q$31&amp;'Coeff EC7'!$D$32:$Q$32,0))</f>
        <v>#N/A</v>
      </c>
      <c r="M65" s="98" t="e">
        <f t="shared" si="8"/>
        <v>#N/A</v>
      </c>
      <c r="N65" s="99" t="e">
        <f t="array" ref="N65">INDEX('Coeff EC7'!$D$7:$Q$27,MATCH($B$3,'Coeff EC7'!$C$7:$C$27,0),MATCH(D65&amp;E65,'Coeff EC7'!$D$5:$Q$5&amp;'Coeff EC7'!$D$6:$Q$6,0))</f>
        <v>#N/A</v>
      </c>
      <c r="O65" s="99" t="e">
        <f t="array" ref="O65">INDEX('Coeff EC7'!$D$41:$Q$61,MATCH($B$3,'Coeff EC7'!$C$41:$C$61,0),MATCH(D65&amp;E65,'Coeff EC7'!$D$39:$Q$39&amp;'Coeff EC7'!$D$40:$Q$40,0))</f>
        <v>#N/A</v>
      </c>
      <c r="P65" s="30" t="e">
        <f t="shared" si="66"/>
        <v>#N/A</v>
      </c>
      <c r="Q65" s="100" t="e">
        <f t="shared" si="10"/>
        <v>#N/A</v>
      </c>
      <c r="R65" s="86" t="b">
        <f t="shared" si="11"/>
        <v>0</v>
      </c>
      <c r="S65" s="86">
        <f t="shared" si="9"/>
        <v>0.5</v>
      </c>
      <c r="T65" s="86">
        <f t="shared" si="12"/>
        <v>0.5</v>
      </c>
      <c r="U65" s="30" t="e">
        <f t="shared" ca="1" si="67"/>
        <v>#DIV/0!</v>
      </c>
      <c r="V65" s="85" t="str">
        <f>IF(B65&lt;=Hypothèses!$V$7,Hypothèses!$W$7,IF(B65&lt;=Hypothèses!$V$8,Hypothèses!$W$8,IF(B65&lt;=Hypothèses!$V$9,Hypothèses!$W$9,IF(B65&lt;=Hypothèses!$V$10,Hypothèses!$W$10,IF(B65&lt;=Hypothèses!$V$11,Hypothèses!$W$11,IF(B65&lt;=Hypothèses!$V$12,Hypothèses!$W$12,IF(B65&lt;=Hypothèses!$V$13,Hypothèses!$W$13,IF(B65&lt;=Hypothèses!$V$14,Hypothèses!$W$14,IF(B65&lt;=Hypothèses!$V$15,Hypothèses!$W$15,IF(B65&lt;=Hypothèses!$V$16,Hypothèses!$W$16,IF(B65&lt;=Hypothèses!$V$17,Hypothèses!$W$17,IF(B65&lt;=Hypothèses!$V$18,Hypothèses!$W$18,""))))))))))))</f>
        <v/>
      </c>
      <c r="W65" s="87" t="e">
        <f t="shared" ca="1" si="116"/>
        <v>#DIV/0!</v>
      </c>
      <c r="X65" s="88" t="str">
        <f>IF(B65&lt;=Hypothèses!$V$7,Hypothèses!$X$7,IF(B65&lt;=Hypothèses!$V$8,Hypothèses!$X$8,IF(B65&lt;=Hypothèses!$V$9,Hypothèses!$X$9,IF(B65&lt;=Hypothèses!$V$10,Hypothèses!$X$10,IF(B65&lt;=Hypothèses!$V$11,Hypothèses!$X$11,IF(B65&lt;=Hypothèses!$V$12,Hypothèses!$X$12,IF(B65&lt;=Hypothèses!$V$13,Hypothèses!$X$13,IF(B65&lt;=Hypothèses!$V$14,Hypothèses!$X$14,IF(B65&lt;=Hypothèses!$V$15,Hypothèses!$X$15,IF(B65&lt;=Hypothèses!$V$16,Hypothèses!$X$16,IF(B65&lt;=Hypothèses!$U$17,Hypothèses!$W$17,IF(B65&lt;=Hypothèses!$U$18,Hypothèses!$W$18,""))))))))))))</f>
        <v/>
      </c>
      <c r="Y65" s="95" t="e">
        <f t="shared" ca="1" si="13"/>
        <v>#DIV/0!</v>
      </c>
      <c r="Z65" s="101">
        <f t="shared" si="14"/>
        <v>0</v>
      </c>
      <c r="AA65" s="91">
        <f t="shared" si="15"/>
        <v>0</v>
      </c>
      <c r="AB65" s="30" t="e">
        <f t="shared" si="100"/>
        <v>#N/A</v>
      </c>
      <c r="AC65" s="30" t="e">
        <f t="shared" si="101"/>
        <v>#N/A</v>
      </c>
      <c r="AD65" s="31" t="e">
        <f>IF(OR(Hypothèses!$B$4=17,Hypothèses!$B$4=18,Hypothèses!$B$4=19,Hypothèses!$B$4=20),
IF($D65="Pressio.",
IF(OR($E65=3,$E65=1,$E65=4),AC65,AB65),
IF($D65="Pénétro.",
IF(OR($E65=3,$E65=1,$E65=4),AC65,AB65))),IF($D65="Pressio.",
IF($E65=3,AC65,AB65),
IF($D65="Pénétro.",
IF($E65=4,AC65,AB65))))</f>
        <v>#N/A</v>
      </c>
      <c r="AE65" s="31">
        <v>0</v>
      </c>
      <c r="AF65" s="102" t="e">
        <f>IF(NDC!$H$10="Oui",(VLOOKUP($B$3,'Coeff EC7'!$T$39:$X$59,2,0)*AD65+VLOOKUP($B$3,'Coeff EC7'!$T$65:$X$85,2,0)*Model0.1T!AE65)/1.5,PI()*AB$12*$Q65*($B65-$B64)*0.15/10+AF64)</f>
        <v>#N/A</v>
      </c>
      <c r="AG65" s="102" t="e">
        <f>(VLOOKUP($B$3,'Coeff EC7'!$T$39:$X$59,3,0)*AD65+VLOOKUP($B$3,'Coeff EC7'!$T$65:$X$85,3,0)*Model0.1T!AE65)/1.1</f>
        <v>#N/A</v>
      </c>
      <c r="AH65" s="102" t="e">
        <f t="shared" si="68"/>
        <v>#N/A</v>
      </c>
      <c r="AI65" s="102" t="e">
        <f t="shared" si="69"/>
        <v>#N/A</v>
      </c>
      <c r="AJ65" s="414" t="e">
        <f>IF(AND(AF65&gt;NDC!$C$63,AG65&gt;NDC!$C$65,AH65&gt;NDC!$D$73,AI65&gt;NDC!$D$74,$B65&gt;NDC!$H$22-0.1+MIN(3*$AJ$12,1.5)),0,1)</f>
        <v>#N/A</v>
      </c>
      <c r="AK65" s="86" t="b">
        <f t="shared" si="18"/>
        <v>0</v>
      </c>
      <c r="AL65" s="86">
        <f t="shared" si="70"/>
        <v>0.5</v>
      </c>
      <c r="AM65" s="86">
        <f t="shared" si="19"/>
        <v>0.5</v>
      </c>
      <c r="AN65" s="30" t="e">
        <f t="shared" ca="1" si="71"/>
        <v>#DIV/0!</v>
      </c>
      <c r="AO65" s="85" t="e">
        <f ca="1">IF(U65&lt;=Hypothèses!$V$7,Hypothèses!$W$7,IF(U65&lt;=Hypothèses!$V$8,Hypothèses!$W$8,IF(U65&lt;=Hypothèses!$V$9,Hypothèses!$W$9,IF(U65&lt;=Hypothèses!$V$10,Hypothèses!$W$10,IF(U65&lt;=Hypothèses!$V$11,Hypothèses!$W$11,IF(U65&lt;=Hypothèses!$V$12,Hypothèses!$W$12,IF(U65&lt;=Hypothèses!$V$13,Hypothèses!$W$13,IF(U65&lt;=Hypothèses!$V$14,Hypothèses!$W$14,IF(U65&lt;=Hypothèses!$V$15,Hypothèses!$W$15,IF(U65&lt;=Hypothèses!$V$16,Hypothèses!$W$16,IF(U65&lt;=Hypothèses!$V$17,Hypothèses!$W$17,IF(U65&lt;=Hypothèses!$V$18,Hypothèses!$W$18,""))))))))))))</f>
        <v>#DIV/0!</v>
      </c>
      <c r="AP65" s="87" t="e">
        <f t="shared" ca="1" si="117"/>
        <v>#DIV/0!</v>
      </c>
      <c r="AQ65" s="88" t="e">
        <f ca="1">IF(U65&lt;=Hypothèses!$V$7,Hypothèses!$X$7,IF(U65&lt;=Hypothèses!$V$8,Hypothèses!$X$8,IF(U65&lt;=Hypothèses!$V$9,Hypothèses!$X$9,IF(U65&lt;=Hypothèses!$V$10,Hypothèses!$X$10,IF(U65&lt;=Hypothèses!$V$11,Hypothèses!$X$11,IF(U65&lt;=Hypothèses!$V$12,Hypothèses!$X$12,IF(U65&lt;=Hypothèses!$V$13,Hypothèses!$X$13,IF(U65&lt;=Hypothèses!$V$14,Hypothèses!$X$14,IF(U65&lt;=Hypothèses!$V$15,Hypothèses!$X$15,IF(U65&lt;=Hypothèses!$V$16,Hypothèses!$X$16,IF(U65&lt;=Hypothèses!$U$17,Hypothèses!$W$17,IF(U65&lt;=Hypothèses!$U$18,Hypothèses!$W$18,""))))))))))))</f>
        <v>#DIV/0!</v>
      </c>
      <c r="AR65" s="95" t="e">
        <f t="shared" ca="1" si="72"/>
        <v>#DIV/0!</v>
      </c>
      <c r="AS65" s="101">
        <f t="shared" si="124"/>
        <v>0</v>
      </c>
      <c r="AT65" s="91">
        <f t="shared" si="21"/>
        <v>0</v>
      </c>
      <c r="AU65" s="30" t="e">
        <f t="shared" si="102"/>
        <v>#N/A</v>
      </c>
      <c r="AV65" s="30" t="e">
        <f t="shared" si="103"/>
        <v>#N/A</v>
      </c>
      <c r="AW65" s="31" t="e">
        <f>IF(OR(Hypothèses!$B$4=17,Hypothèses!$B$4=18,Hypothèses!$B$4=19,Hypothèses!$B$4=20),
IF($D65="Pressio.",
IF(OR($E65=3,$E65=1,$E65=4),AV65,AU65),
IF($D65="Pénétro.",
IF(OR($E65=3,$E65=1,$E65=4),AV65,AU65))),IF($D65="Pressio.",
IF($E65=3,AV65,AU65),
IF($D65="Pénétro.",
IF($E65=4,AV65,AU65))))</f>
        <v>#N/A</v>
      </c>
      <c r="AX65" s="31">
        <v>0</v>
      </c>
      <c r="AY65" s="102" t="e">
        <f>IF(NDC!$H$10="Oui",(VLOOKUP($B$3,'Coeff EC7'!$T$39:$X$59,2,0)*AW65+VLOOKUP($B$3,'Coeff EC7'!$T$65:$X$85,2,0)*Model0.1T!AX65)/1.5,PI()*AU$12*$Q65*($B65-$B64)*0.15/10+AY64)</f>
        <v>#N/A</v>
      </c>
      <c r="AZ65" s="102" t="e">
        <f>(VLOOKUP($B$3,'Coeff EC7'!$T$39:$X$59,3,0)*AW65+VLOOKUP($B$3,'Coeff EC7'!$T$65:$X$85,3,0)*Model0.1T!AX65)/1.1</f>
        <v>#N/A</v>
      </c>
      <c r="BA65" s="102" t="e">
        <f t="shared" si="73"/>
        <v>#N/A</v>
      </c>
      <c r="BB65" s="102" t="e">
        <f t="shared" si="74"/>
        <v>#N/A</v>
      </c>
      <c r="BC65" s="414" t="e">
        <f>IF(AND(AY65&gt;NDC!$C$63,AZ65&gt;NDC!$C$65,BA65&gt;NDC!$D$73,BB65&gt;NDC!$D$74,$B65&gt;NDC!$H$22-0.1+MIN(3*BC$12,1.5)),0,1)</f>
        <v>#N/A</v>
      </c>
      <c r="BD65" s="86" t="b">
        <f t="shared" si="24"/>
        <v>0</v>
      </c>
      <c r="BE65" s="86">
        <f t="shared" si="75"/>
        <v>0.5</v>
      </c>
      <c r="BF65" s="86">
        <f t="shared" si="25"/>
        <v>0.5</v>
      </c>
      <c r="BG65" s="30" t="e">
        <f t="shared" ca="1" si="76"/>
        <v>#DIV/0!</v>
      </c>
      <c r="BH65" s="85" t="e">
        <f ca="1">IF(AN65&lt;=Hypothèses!$V$7,Hypothèses!$W$7,IF(AN65&lt;=Hypothèses!$V$8,Hypothèses!$W$8,IF(AN65&lt;=Hypothèses!$V$9,Hypothèses!$W$9,IF(AN65&lt;=Hypothèses!$V$10,Hypothèses!$W$10,IF(AN65&lt;=Hypothèses!$V$11,Hypothèses!$W$11,IF(AN65&lt;=Hypothèses!$V$12,Hypothèses!$W$12,IF(AN65&lt;=Hypothèses!$V$13,Hypothèses!$W$13,IF(AN65&lt;=Hypothèses!$V$14,Hypothèses!$W$14,IF(AN65&lt;=Hypothèses!$V$15,Hypothèses!$W$15,IF(AN65&lt;=Hypothèses!$V$16,Hypothèses!$W$16,IF(AN65&lt;=Hypothèses!$V$17,Hypothèses!$W$17,IF(AN65&lt;=Hypothèses!$V$18,Hypothèses!$W$18,""))))))))))))</f>
        <v>#DIV/0!</v>
      </c>
      <c r="BI65" s="87" t="e">
        <f t="shared" ca="1" si="118"/>
        <v>#DIV/0!</v>
      </c>
      <c r="BJ65" s="88" t="e">
        <f ca="1">IF(AN65&lt;=Hypothèses!$V$7,Hypothèses!$X$7,IF(AN65&lt;=Hypothèses!$V$8,Hypothèses!$X$8,IF(AN65&lt;=Hypothèses!$V$9,Hypothèses!$X$9,IF(AN65&lt;=Hypothèses!$V$10,Hypothèses!$X$10,IF(AN65&lt;=Hypothèses!$V$11,Hypothèses!$X$11,IF(AN65&lt;=Hypothèses!$V$12,Hypothèses!$X$12,IF(AN65&lt;=Hypothèses!$V$13,Hypothèses!$X$13,IF(AN65&lt;=Hypothèses!$V$14,Hypothèses!$X$14,IF(AN65&lt;=Hypothèses!$V$15,Hypothèses!$X$15,IF(AN65&lt;=Hypothèses!$V$16,Hypothèses!$X$16,IF(AN65&lt;=Hypothèses!$U$17,Hypothèses!$W$17,IF(AN65&lt;=Hypothèses!$U$18,Hypothèses!$W$18,""))))))))))))</f>
        <v>#DIV/0!</v>
      </c>
      <c r="BK65" s="95" t="e">
        <f t="shared" ca="1" si="77"/>
        <v>#DIV/0!</v>
      </c>
      <c r="BL65" s="101">
        <f t="shared" si="125"/>
        <v>0</v>
      </c>
      <c r="BM65" s="91">
        <f t="shared" si="27"/>
        <v>0</v>
      </c>
      <c r="BN65" s="30" t="e">
        <f t="shared" si="104"/>
        <v>#N/A</v>
      </c>
      <c r="BO65" s="30" t="e">
        <f t="shared" si="105"/>
        <v>#N/A</v>
      </c>
      <c r="BP65" s="31" t="e">
        <f>IF(OR(Hypothèses!$B$4=17,Hypothèses!$B$4=18,Hypothèses!$B$4=19,Hypothèses!$B$4=20),
IF($D65="Pressio.",
IF(OR($E65=3,$E65=1,$E65=4),BO65,BN65),
IF($D65="Pénétro.",
IF(OR($E65=3,$E65=1,$E65=4),BO65,BN65))),IF($D65="Pressio.",
IF($E65=3,BO65,BN65),
IF($D65="Pénétro.",
IF($E65=4,BO65,BN65))))</f>
        <v>#N/A</v>
      </c>
      <c r="BQ65" s="31">
        <v>0</v>
      </c>
      <c r="BR65" s="102" t="e">
        <f>IF(NDC!$H$10="Oui",(VLOOKUP($B$3,'Coeff EC7'!$T$39:$X$59,2,0)*BP65+VLOOKUP($B$3,'Coeff EC7'!$T$65:$X$85,2,0)*Model0.1T!BQ65)/1.5,PI()*BN$12*$Q65*($B65-$B64)*0.15/10+BR64)</f>
        <v>#N/A</v>
      </c>
      <c r="BS65" s="102" t="e">
        <f>(VLOOKUP($B$3,'Coeff EC7'!$T$39:$X$59,3,0)*BP65+VLOOKUP($B$3,'Coeff EC7'!$T$65:$X$85,3,0)*Model0.1T!BQ65)/1.1</f>
        <v>#N/A</v>
      </c>
      <c r="BT65" s="102" t="e">
        <f t="shared" si="78"/>
        <v>#N/A</v>
      </c>
      <c r="BU65" s="102" t="e">
        <f t="shared" si="79"/>
        <v>#N/A</v>
      </c>
      <c r="BV65" s="414" t="e">
        <f>IF(AND(BR65&gt;NDC!$C$63,BS65&gt;NDC!$C$65,BT65&gt;NDC!$D$73,BU65&gt;NDC!$D$74,$B65&gt;NDC!$H$22-0.1+MIN(3*BV$12,1.5)),0,1)</f>
        <v>#N/A</v>
      </c>
      <c r="BW65" s="86" t="b">
        <f t="shared" si="30"/>
        <v>0</v>
      </c>
      <c r="BX65" s="86">
        <f t="shared" si="31"/>
        <v>0.5</v>
      </c>
      <c r="BY65" s="86">
        <f t="shared" si="32"/>
        <v>0.5</v>
      </c>
      <c r="BZ65" s="30" t="e">
        <f t="shared" ca="1" si="80"/>
        <v>#DIV/0!</v>
      </c>
      <c r="CA65" s="85" t="e">
        <f ca="1">IF(BG65&lt;=Hypothèses!$V$7,Hypothèses!$W$7,IF(BG65&lt;=Hypothèses!$V$8,Hypothèses!$W$8,IF(BG65&lt;=Hypothèses!$V$9,Hypothèses!$W$9,IF(BG65&lt;=Hypothèses!$V$10,Hypothèses!$W$10,IF(BG65&lt;=Hypothèses!$V$11,Hypothèses!$W$11,IF(BG65&lt;=Hypothèses!$V$12,Hypothèses!$W$12,IF(BG65&lt;=Hypothèses!$V$13,Hypothèses!$W$13,IF(BG65&lt;=Hypothèses!$V$14,Hypothèses!$W$14,IF(BG65&lt;=Hypothèses!$V$15,Hypothèses!$W$15,IF(BG65&lt;=Hypothèses!$V$16,Hypothèses!$W$16,IF(BG65&lt;=Hypothèses!$V$17,Hypothèses!$W$17,IF(BG65&lt;=Hypothèses!$V$18,Hypothèses!$W$18,""))))))))))))</f>
        <v>#DIV/0!</v>
      </c>
      <c r="CB65" s="87" t="e">
        <f t="shared" ca="1" si="119"/>
        <v>#DIV/0!</v>
      </c>
      <c r="CC65" s="88" t="e">
        <f ca="1">IF(BG65&lt;=Hypothèses!$V$7,Hypothèses!$X$7,IF(BG65&lt;=Hypothèses!$V$8,Hypothèses!$X$8,IF(BG65&lt;=Hypothèses!$V$9,Hypothèses!$X$9,IF(BG65&lt;=Hypothèses!$V$10,Hypothèses!$X$10,IF(BG65&lt;=Hypothèses!$V$11,Hypothèses!$X$11,IF(BG65&lt;=Hypothèses!$V$12,Hypothèses!$X$12,IF(BG65&lt;=Hypothèses!$V$13,Hypothèses!$X$13,IF(BG65&lt;=Hypothèses!$V$14,Hypothèses!$X$14,IF(BG65&lt;=Hypothèses!$V$15,Hypothèses!$X$15,IF(BG65&lt;=Hypothèses!$V$16,Hypothèses!$X$16,IF(BG65&lt;=Hypothèses!$U$17,Hypothèses!$W$17,IF(BG65&lt;=Hypothèses!$U$18,Hypothèses!$W$18,""))))))))))))</f>
        <v>#DIV/0!</v>
      </c>
      <c r="CD65" s="95" t="e">
        <f t="shared" ca="1" si="81"/>
        <v>#DIV/0!</v>
      </c>
      <c r="CE65" s="101">
        <f t="shared" si="126"/>
        <v>0</v>
      </c>
      <c r="CF65" s="91">
        <f t="shared" si="34"/>
        <v>0</v>
      </c>
      <c r="CG65" s="30" t="e">
        <f t="shared" si="106"/>
        <v>#N/A</v>
      </c>
      <c r="CH65" s="30" t="e">
        <f t="shared" si="107"/>
        <v>#N/A</v>
      </c>
      <c r="CI65" s="31" t="e">
        <f>IF(OR(Hypothèses!$B$4=17,Hypothèses!$B$4=18,Hypothèses!$B$4=19,Hypothèses!$B$4=20),
IF($D65="Pressio.",
IF(OR($E65=3,$E65=1,$E65=4),CH65,CG65),
IF($D65="Pénétro.",
IF(OR($E65=3,$E65=1,$E65=4),CH65,CG65))),IF($D65="Pressio.",
IF($E65=3,CH65,CG65),
IF($D65="Pénétro.",
IF($E65=4,CH65,CG65))))</f>
        <v>#N/A</v>
      </c>
      <c r="CJ65" s="31">
        <v>0</v>
      </c>
      <c r="CK65" s="102" t="e">
        <f>IF(NDC!$H$10="Oui",(VLOOKUP($B$3,'Coeff EC7'!$T$39:$X$59,2,0)*CI65+VLOOKUP($B$3,'Coeff EC7'!$T$65:$X$85,2,0)*Model0.1T!CJ65)/1.5,PI()*CG$12*$Q65*($B65-$B64)*0.15/10+CK64)</f>
        <v>#N/A</v>
      </c>
      <c r="CL65" s="102" t="e">
        <f>(VLOOKUP($B$3,'Coeff EC7'!$T$39:$X$59,3,0)*CI65+VLOOKUP($B$3,'Coeff EC7'!$T$65:$X$85,3,0)*Model0.1T!CJ65)/1.1</f>
        <v>#N/A</v>
      </c>
      <c r="CM65" s="102" t="e">
        <f t="shared" si="82"/>
        <v>#N/A</v>
      </c>
      <c r="CN65" s="102" t="e">
        <f t="shared" si="83"/>
        <v>#N/A</v>
      </c>
      <c r="CO65" s="414" t="e">
        <f>IF(AND(CK65&gt;NDC!$C$63,CL65&gt;NDC!$C$65,CM65&gt;NDC!$D$73,CN65&gt;NDC!$D$74,$B65&gt;NDC!$H$22-0.1+MIN(3*CO$12,1.5)),0,1)</f>
        <v>#N/A</v>
      </c>
      <c r="CP65" s="86" t="b">
        <f t="shared" si="37"/>
        <v>0</v>
      </c>
      <c r="CQ65" s="86">
        <f t="shared" si="38"/>
        <v>0.5</v>
      </c>
      <c r="CR65" s="86">
        <f t="shared" si="39"/>
        <v>0.5</v>
      </c>
      <c r="CS65" s="30" t="e">
        <f t="shared" ca="1" si="84"/>
        <v>#DIV/0!</v>
      </c>
      <c r="CT65" s="85" t="e">
        <f ca="1">IF(BZ65&lt;=Hypothèses!$V$7,Hypothèses!$W$7,IF(BZ65&lt;=Hypothèses!$V$8,Hypothèses!$W$8,IF(BZ65&lt;=Hypothèses!$V$9,Hypothèses!$W$9,IF(BZ65&lt;=Hypothèses!$V$10,Hypothèses!$W$10,IF(BZ65&lt;=Hypothèses!$V$11,Hypothèses!$W$11,IF(BZ65&lt;=Hypothèses!$V$12,Hypothèses!$W$12,IF(BZ65&lt;=Hypothèses!$V$13,Hypothèses!$W$13,IF(BZ65&lt;=Hypothèses!$V$14,Hypothèses!$W$14,IF(BZ65&lt;=Hypothèses!$V$15,Hypothèses!$W$15,IF(BZ65&lt;=Hypothèses!$V$16,Hypothèses!$W$16,IF(BZ65&lt;=Hypothèses!$V$17,Hypothèses!$W$17,IF(BZ65&lt;=Hypothèses!$V$18,Hypothèses!$W$18,""))))))))))))</f>
        <v>#DIV/0!</v>
      </c>
      <c r="CU65" s="87" t="e">
        <f t="shared" ca="1" si="120"/>
        <v>#DIV/0!</v>
      </c>
      <c r="CV65" s="88" t="e">
        <f ca="1">IF(BZ65&lt;=Hypothèses!$V$7,Hypothèses!$X$7,IF(BZ65&lt;=Hypothèses!$V$8,Hypothèses!$X$8,IF(BZ65&lt;=Hypothèses!$V$9,Hypothèses!$X$9,IF(BZ65&lt;=Hypothèses!$V$10,Hypothèses!$X$10,IF(BZ65&lt;=Hypothèses!$V$11,Hypothèses!$X$11,IF(BZ65&lt;=Hypothèses!$V$12,Hypothèses!$X$12,IF(BZ65&lt;=Hypothèses!$V$13,Hypothèses!$X$13,IF(BZ65&lt;=Hypothèses!$V$14,Hypothèses!$X$14,IF(BZ65&lt;=Hypothèses!$V$15,Hypothèses!$X$15,IF(BZ65&lt;=Hypothèses!$V$16,Hypothèses!$X$16,IF(BZ65&lt;=Hypothèses!$U$17,Hypothèses!$W$17,IF(BZ65&lt;=Hypothèses!$U$18,Hypothèses!$W$18,""))))))))))))</f>
        <v>#DIV/0!</v>
      </c>
      <c r="CW65" s="95" t="e">
        <f t="shared" ca="1" si="85"/>
        <v>#DIV/0!</v>
      </c>
      <c r="CX65" s="101">
        <f t="shared" si="127"/>
        <v>0</v>
      </c>
      <c r="CY65" s="91">
        <f t="shared" si="41"/>
        <v>0</v>
      </c>
      <c r="CZ65" s="30" t="e">
        <f t="shared" si="108"/>
        <v>#N/A</v>
      </c>
      <c r="DA65" s="30" t="e">
        <f t="shared" si="109"/>
        <v>#N/A</v>
      </c>
      <c r="DB65" s="31" t="e">
        <f>IF(OR(Hypothèses!$B$4=17,Hypothèses!$B$4=18,Hypothèses!$B$4=19,Hypothèses!$B$4=20),
IF($D65="Pressio.",
IF(OR($E65=3,$E65=1,$E65=4),DA65,CZ65),
IF($D65="Pénétro.",
IF(OR($E65=3,$E65=1,$E65=4),DA65,CZ65))),IF($D65="Pressio.",
IF($E65=3,DA65,CZ65),
IF($D65="Pénétro.",
IF($E65=4,DA65,CZ65))))</f>
        <v>#N/A</v>
      </c>
      <c r="DC65" s="31">
        <v>0</v>
      </c>
      <c r="DD65" s="102" t="e">
        <f>IF(NDC!$H$10="Oui",(VLOOKUP($B$3,'Coeff EC7'!$T$39:$X$59,2,0)*DB65+VLOOKUP($B$3,'Coeff EC7'!$T$65:$X$85,2,0)*Model0.1T!DC65)/1.5,PI()*CZ$12*$Q65*($B65-$B64)*0.15/10+DD64)</f>
        <v>#N/A</v>
      </c>
      <c r="DE65" s="102" t="e">
        <f>(VLOOKUP($B$3,'Coeff EC7'!$T$39:$X$59,3,0)*DB65+VLOOKUP($B$3,'Coeff EC7'!$T$65:$X$85,3,0)*Model0.1T!DC65)/1.1</f>
        <v>#N/A</v>
      </c>
      <c r="DF65" s="102" t="e">
        <f t="shared" si="86"/>
        <v>#N/A</v>
      </c>
      <c r="DG65" s="102" t="e">
        <f t="shared" si="87"/>
        <v>#N/A</v>
      </c>
      <c r="DH65" s="414" t="e">
        <f>IF(AND(DD65&gt;NDC!$C$63,DE65&gt;NDC!$C$65,DF65&gt;NDC!$D$73,DG65&gt;NDC!$D$74,$B65&gt;NDC!$H$22-0.1+MIN(3*DH$12,1.5)),0,1)</f>
        <v>#N/A</v>
      </c>
      <c r="DI65" s="86" t="b">
        <f t="shared" si="44"/>
        <v>0</v>
      </c>
      <c r="DJ65" s="86">
        <f t="shared" si="45"/>
        <v>0.5</v>
      </c>
      <c r="DK65" s="86">
        <f t="shared" si="46"/>
        <v>0.5</v>
      </c>
      <c r="DL65" s="30" t="e">
        <f t="shared" ca="1" si="88"/>
        <v>#DIV/0!</v>
      </c>
      <c r="DM65" s="85" t="e">
        <f ca="1">IF(CS65&lt;=Hypothèses!$V$7,Hypothèses!$W$7,IF(CS65&lt;=Hypothèses!$V$8,Hypothèses!$W$8,IF(CS65&lt;=Hypothèses!$V$9,Hypothèses!$W$9,IF(CS65&lt;=Hypothèses!$V$10,Hypothèses!$W$10,IF(CS65&lt;=Hypothèses!$V$11,Hypothèses!$W$11,IF(CS65&lt;=Hypothèses!$V$12,Hypothèses!$W$12,IF(CS65&lt;=Hypothèses!$V$13,Hypothèses!$W$13,IF(CS65&lt;=Hypothèses!$V$14,Hypothèses!$W$14,IF(CS65&lt;=Hypothèses!$V$15,Hypothèses!$W$15,IF(CS65&lt;=Hypothèses!$V$16,Hypothèses!$W$16,IF(CS65&lt;=Hypothèses!$V$17,Hypothèses!$W$17,IF(CS65&lt;=Hypothèses!$V$18,Hypothèses!$W$18,""))))))))))))</f>
        <v>#DIV/0!</v>
      </c>
      <c r="DN65" s="87" t="e">
        <f t="shared" ca="1" si="121"/>
        <v>#DIV/0!</v>
      </c>
      <c r="DO65" s="88" t="e">
        <f ca="1">IF(CS65&lt;=Hypothèses!$V$7,Hypothèses!$X$7,IF(CS65&lt;=Hypothèses!$V$8,Hypothèses!$X$8,IF(CS65&lt;=Hypothèses!$V$9,Hypothèses!$X$9,IF(CS65&lt;=Hypothèses!$V$10,Hypothèses!$X$10,IF(CS65&lt;=Hypothèses!$V$11,Hypothèses!$X$11,IF(CS65&lt;=Hypothèses!$V$12,Hypothèses!$X$12,IF(CS65&lt;=Hypothèses!$V$13,Hypothèses!$X$13,IF(CS65&lt;=Hypothèses!$V$14,Hypothèses!$X$14,IF(CS65&lt;=Hypothèses!$V$15,Hypothèses!$X$15,IF(CS65&lt;=Hypothèses!$V$16,Hypothèses!$X$16,IF(CS65&lt;=Hypothèses!$U$17,Hypothèses!$W$17,IF(CS65&lt;=Hypothèses!$U$18,Hypothèses!$W$18,""))))))))))))</f>
        <v>#DIV/0!</v>
      </c>
      <c r="DP65" s="95" t="e">
        <f t="shared" ca="1" si="89"/>
        <v>#DIV/0!</v>
      </c>
      <c r="DQ65" s="101">
        <f t="shared" si="128"/>
        <v>0</v>
      </c>
      <c r="DR65" s="91">
        <f t="shared" si="48"/>
        <v>0</v>
      </c>
      <c r="DS65" s="30" t="e">
        <f t="shared" si="110"/>
        <v>#N/A</v>
      </c>
      <c r="DT65" s="30" t="e">
        <f t="shared" si="111"/>
        <v>#N/A</v>
      </c>
      <c r="DU65" s="31" t="e">
        <f>IF(OR(Hypothèses!$B$4=17,Hypothèses!$B$4=18,Hypothèses!$B$4=19,Hypothèses!$B$4=20),
IF($D65="Pressio.",
IF(OR($E65=3,$E65=1,$E65=4),DT65,DS65),
IF($D65="Pénétro.",
IF(OR($E65=3,$E65=1,$E65=4),DT65,DS65))),IF($D65="Pressio.",
IF($E65=3,DT65,DS65),
IF($D65="Pénétro.",
IF($E65=4,DT65,DS65))))</f>
        <v>#N/A</v>
      </c>
      <c r="DV65" s="31">
        <v>0</v>
      </c>
      <c r="DW65" s="102" t="e">
        <f>IF(NDC!$H$10="Oui",(VLOOKUP($B$3,'Coeff EC7'!$T$39:$X$59,2,0)*DU65+VLOOKUP($B$3,'Coeff EC7'!$T$65:$X$85,2,0)*Model0.1T!DV65)/1.5,PI()*DS$12*$Q65*($B65-$B64)*0.15/10+DW64)</f>
        <v>#N/A</v>
      </c>
      <c r="DX65" s="102" t="e">
        <f>(VLOOKUP($B$3,'Coeff EC7'!$T$39:$X$59,3,0)*DU65+VLOOKUP($B$3,'Coeff EC7'!$T$65:$X$85,3,0)*Model0.1T!DV65)/1.1</f>
        <v>#N/A</v>
      </c>
      <c r="DY65" s="102" t="e">
        <f t="shared" si="90"/>
        <v>#N/A</v>
      </c>
      <c r="DZ65" s="102" t="e">
        <f t="shared" si="91"/>
        <v>#N/A</v>
      </c>
      <c r="EA65" s="414" t="e">
        <f>IF(AND(DW65&gt;NDC!$C$63,DX65&gt;NDC!$C$65,DY65&gt;NDC!$D$73,DZ65&gt;NDC!$D$74,$B65&gt;NDC!$H$22-0.1+MIN(3*EA$12,1.5)),0,1)</f>
        <v>#N/A</v>
      </c>
      <c r="EB65" s="86" t="b">
        <f t="shared" si="51"/>
        <v>0</v>
      </c>
      <c r="EC65" s="418">
        <f t="shared" si="52"/>
        <v>0.51</v>
      </c>
      <c r="ED65" s="86">
        <f t="shared" si="53"/>
        <v>0.51</v>
      </c>
      <c r="EE65" s="30" t="e">
        <f t="shared" ca="1" si="92"/>
        <v>#DIV/0!</v>
      </c>
      <c r="EF65" s="85" t="e">
        <f ca="1">IF(DL65&lt;=Hypothèses!$V$7,Hypothèses!$W$7,IF(DL65&lt;=Hypothèses!$V$8,Hypothèses!$W$8,IF(DL65&lt;=Hypothèses!$V$9,Hypothèses!$W$9,IF(DL65&lt;=Hypothèses!$V$10,Hypothèses!$W$10,IF(DL65&lt;=Hypothèses!$V$11,Hypothèses!$W$11,IF(DL65&lt;=Hypothèses!$V$12,Hypothèses!$W$12,IF(DL65&lt;=Hypothèses!$V$13,Hypothèses!$W$13,IF(DL65&lt;=Hypothèses!$V$14,Hypothèses!$W$14,IF(DL65&lt;=Hypothèses!$V$15,Hypothèses!$W$15,IF(DL65&lt;=Hypothèses!$V$16,Hypothèses!$W$16,IF(DL65&lt;=Hypothèses!$V$17,Hypothèses!$W$17,IF(DL65&lt;=Hypothèses!$V$18,Hypothèses!$W$18,""))))))))))))</f>
        <v>#DIV/0!</v>
      </c>
      <c r="EG65" s="87" t="e">
        <f t="shared" ca="1" si="122"/>
        <v>#DIV/0!</v>
      </c>
      <c r="EH65" s="88" t="e">
        <f ca="1">IF(DL65&lt;=Hypothèses!$V$7,Hypothèses!$X$7,IF(DL65&lt;=Hypothèses!$V$8,Hypothèses!$X$8,IF(DL65&lt;=Hypothèses!$V$9,Hypothèses!$X$9,IF(DL65&lt;=Hypothèses!$V$10,Hypothèses!$X$10,IF(DL65&lt;=Hypothèses!$V$11,Hypothèses!$X$11,IF(DL65&lt;=Hypothèses!$V$12,Hypothèses!$X$12,IF(DL65&lt;=Hypothèses!$V$13,Hypothèses!$X$13,IF(DL65&lt;=Hypothèses!$V$14,Hypothèses!$X$14,IF(DL65&lt;=Hypothèses!$V$15,Hypothèses!$X$15,IF(DL65&lt;=Hypothèses!$V$16,Hypothèses!$X$16,IF(DL65&lt;=Hypothèses!$U$17,Hypothèses!$W$17,IF(DL65&lt;=Hypothèses!$U$18,Hypothèses!$W$18,""))))))))))))</f>
        <v>#DIV/0!</v>
      </c>
      <c r="EI65" s="95" t="e">
        <f t="shared" ca="1" si="93"/>
        <v>#DIV/0!</v>
      </c>
      <c r="EJ65" s="101">
        <f t="shared" si="129"/>
        <v>0</v>
      </c>
      <c r="EK65" s="91">
        <f t="shared" si="55"/>
        <v>0</v>
      </c>
      <c r="EL65" s="30" t="e">
        <f t="shared" si="112"/>
        <v>#N/A</v>
      </c>
      <c r="EM65" s="30" t="e">
        <f t="shared" si="113"/>
        <v>#N/A</v>
      </c>
      <c r="EN65" s="31" t="e">
        <f>IF(OR(Hypothèses!$B$4=17,Hypothèses!$B$4=18,Hypothèses!$B$4=19,Hypothèses!$B$4=20),
IF($D65="Pressio.",
IF(OR($E65=3,$E65=1,$E65=4),EM65,EL65),
IF($D65="Pénétro.",
IF(OR($E65=3,$E65=1,$E65=4),EM65,EL65))),IF($D65="Pressio.",
IF($E65=3,EM65,EL65),
IF($D65="Pénétro.",
IF($E65=4,EM65,EL65))))</f>
        <v>#N/A</v>
      </c>
      <c r="EO65" s="31">
        <v>0</v>
      </c>
      <c r="EP65" s="102" t="e">
        <f>IF(NDC!$H$10="Oui",(VLOOKUP($B$3,'Coeff EC7'!$T$39:$X$59,2,0)*EN65+VLOOKUP($B$3,'Coeff EC7'!$T$65:$X$85,2,0)*Model0.1T!EO65)/1.5,PI()*EL$12*$Q65*($B65-$B64)*0.15/10+EP64)</f>
        <v>#N/A</v>
      </c>
      <c r="EQ65" s="102" t="e">
        <f>(VLOOKUP($B$3,'Coeff EC7'!$T$39:$X$59,3,0)*EN65+VLOOKUP($B$3,'Coeff EC7'!$T$65:$X$85,3,0)*Model0.1T!EO65)/1.1</f>
        <v>#N/A</v>
      </c>
      <c r="ER65" s="102" t="e">
        <f t="shared" si="94"/>
        <v>#N/A</v>
      </c>
      <c r="ES65" s="102" t="e">
        <f t="shared" si="95"/>
        <v>#N/A</v>
      </c>
      <c r="ET65" s="414" t="e">
        <f>IF(AND(EP65&gt;NDC!$C$63,EQ65&gt;NDC!$C$65,ER65&gt;NDC!$D$73,ES65&gt;NDC!$D$74,$B65&gt;NDC!$H$22-0.1+MIN(3*ET$12,1.5)),0,1)</f>
        <v>#N/A</v>
      </c>
      <c r="EU65" s="86" t="b">
        <f t="shared" si="58"/>
        <v>0</v>
      </c>
      <c r="EV65" s="86">
        <f t="shared" si="59"/>
        <v>0.61</v>
      </c>
      <c r="EW65" s="86">
        <f t="shared" si="60"/>
        <v>0.61</v>
      </c>
      <c r="EX65" s="30" t="e">
        <f t="shared" ca="1" si="96"/>
        <v>#DIV/0!</v>
      </c>
      <c r="EY65" s="85" t="e">
        <f ca="1">IF(EE65&lt;=Hypothèses!$V$7,Hypothèses!$W$7,IF(EE65&lt;=Hypothèses!$V$8,Hypothèses!$W$8,IF(EE65&lt;=Hypothèses!$V$9,Hypothèses!$W$9,IF(EE65&lt;=Hypothèses!$V$10,Hypothèses!$W$10,IF(EE65&lt;=Hypothèses!$V$11,Hypothèses!$W$11,IF(EE65&lt;=Hypothèses!$V$12,Hypothèses!$W$12,IF(EE65&lt;=Hypothèses!$V$13,Hypothèses!$W$13,IF(EE65&lt;=Hypothèses!$V$14,Hypothèses!$W$14,IF(EE65&lt;=Hypothèses!$V$15,Hypothèses!$W$15,IF(EE65&lt;=Hypothèses!$V$16,Hypothèses!$W$16,IF(EE65&lt;=Hypothèses!$V$17,Hypothèses!$W$17,IF(EE65&lt;=Hypothèses!$V$18,Hypothèses!$W$18,""))))))))))))</f>
        <v>#DIV/0!</v>
      </c>
      <c r="EZ65" s="87" t="e">
        <f t="shared" ca="1" si="123"/>
        <v>#DIV/0!</v>
      </c>
      <c r="FA65" s="88" t="e">
        <f ca="1">IF(EE65&lt;=Hypothèses!$V$7,Hypothèses!$X$7,IF(EE65&lt;=Hypothèses!$V$8,Hypothèses!$X$8,IF(EE65&lt;=Hypothèses!$V$9,Hypothèses!$X$9,IF(EE65&lt;=Hypothèses!$V$10,Hypothèses!$X$10,IF(EE65&lt;=Hypothèses!$V$11,Hypothèses!$X$11,IF(EE65&lt;=Hypothèses!$V$12,Hypothèses!$X$12,IF(EE65&lt;=Hypothèses!$V$13,Hypothèses!$X$13,IF(EE65&lt;=Hypothèses!$V$14,Hypothèses!$X$14,IF(EE65&lt;=Hypothèses!$V$15,Hypothèses!$X$15,IF(EE65&lt;=Hypothèses!$V$16,Hypothèses!$X$16,IF(EE65&lt;=Hypothèses!$U$17,Hypothèses!$W$17,IF(EE65&lt;=Hypothèses!$U$18,Hypothèses!$W$18,""))))))))))))</f>
        <v>#DIV/0!</v>
      </c>
      <c r="FB65" s="95" t="e">
        <f t="shared" ca="1" si="97"/>
        <v>#DIV/0!</v>
      </c>
      <c r="FC65" s="101">
        <f t="shared" si="130"/>
        <v>0</v>
      </c>
      <c r="FD65" s="91">
        <f t="shared" si="62"/>
        <v>0</v>
      </c>
      <c r="FE65" s="30" t="e">
        <f t="shared" si="114"/>
        <v>#N/A</v>
      </c>
      <c r="FF65" s="30" t="e">
        <f t="shared" si="115"/>
        <v>#N/A</v>
      </c>
      <c r="FG65" s="31" t="e">
        <f>IF(OR(Hypothèses!$B$4=17,Hypothèses!$B$4=18,Hypothèses!$B$4=19,Hypothèses!$B$4=20),
IF($D65="Pressio.",
IF(OR($E65=3,$E65=1,$E65=4),FF65,FE65),
IF($D65="Pénétro.",
IF(OR($E65=3,$E65=1,$E65=4),FF65,FE65))),IF($D65="Pressio.",
IF($E65=3,FF65,FE65),
IF($D65="Pénétro.",
IF($E65=4,FF65,FE65))))</f>
        <v>#N/A</v>
      </c>
      <c r="FH65" s="31">
        <v>0</v>
      </c>
      <c r="FI65" s="102" t="e">
        <f>IF(NDC!$H$10="Oui",(VLOOKUP($B$3,'Coeff EC7'!$T$39:$X$59,2,0)*FG65+VLOOKUP($B$3,'Coeff EC7'!$T$65:$X$85,2,0)*Model0.1T!FH65)/1.5,PI()*FE$12*$Q65*($B65-$B64)*0.15/10+FI64)</f>
        <v>#N/A</v>
      </c>
      <c r="FJ65" s="102" t="e">
        <f>(VLOOKUP($B$3,'Coeff EC7'!$T$39:$X$59,3,0)*FG65+VLOOKUP($B$3,'Coeff EC7'!$T$65:$X$85,3,0)*Model0.1T!FH65)/1.1</f>
        <v>#N/A</v>
      </c>
      <c r="FK65" s="102" t="e">
        <f t="shared" si="98"/>
        <v>#N/A</v>
      </c>
      <c r="FL65" s="102" t="e">
        <f t="shared" si="99"/>
        <v>#N/A</v>
      </c>
      <c r="FM65" s="414" t="e">
        <f>IF(AND(FI65&gt;NDC!$C$63,FJ65&gt;NDC!$C$65,FK65&gt;NDC!$D$73,FL65&gt;NDC!$D$74,$B65&gt;NDC!$H$22-0.1+MIN(3*FM$12,1.5)),0,1)</f>
        <v>#N/A</v>
      </c>
    </row>
    <row r="66" spans="1:169">
      <c r="A66" s="96">
        <f t="shared" si="65"/>
        <v>94.700000000000301</v>
      </c>
      <c r="B66" s="97">
        <v>5.3</v>
      </c>
      <c r="C66" s="81">
        <f>IF(B66&lt;=Hypothèses!$C$7,Hypothèses!$A$7,IF(B66&lt;=Hypothèses!$C$8,Hypothèses!$A$8,IF(B66&lt;=Hypothèses!$C$9,Hypothèses!$A$9,IF(B66&lt;=Hypothèses!$C$10,Hypothèses!$A$10,IF(B66&lt;=Hypothèses!$C$11,Hypothèses!$A$11,IF(B66&lt;=Hypothèses!$C$12,Hypothèses!$A$12,IF(B66&lt;=Hypothèses!$C$13,Hypothèses!$A$13,IF(B66&lt;=Hypothèses!$C$14,Hypothèses!$A$14,IF(B66&lt;=Hypothèses!$C$15,Hypothèses!$A$15,IF(B66&lt;=Hypothèses!$C$16,Hypothèses!$A$16,IF(B66&lt;=Hypothèses!$C$17,Hypothèses!$A$17,IF(B66&lt;=Hypothèses!$C$18,Hypothèses!$A$18,C65))))))))))))</f>
        <v>11</v>
      </c>
      <c r="D66" s="82" t="str">
        <f>IF(B66&lt;=Hypothèses!$C$7,Hypothèses!$R$7,IF(B66&lt;=Hypothèses!$C$8,Hypothèses!$R$8,IF(B66&lt;=Hypothèses!$C$9,Hypothèses!$R$9,IF(B66&lt;=Hypothèses!$C$10,Hypothèses!$R$10,IF(B66&lt;=Hypothèses!$C$11,Hypothèses!$R$11,IF(B66&lt;=Hypothèses!$C$12,Hypothèses!$R$12,IF(B66&lt;=Hypothèses!$C$13,Hypothèses!$R$13,IF(B66&lt;=Hypothèses!$C$14,Hypothèses!$R$14,IF(B66&lt;=Hypothèses!$C$15,Hypothèses!$R$15,IF(B66&lt;=Hypothèses!$C$16,Hypothèses!$R$16,IF(B66&lt;=Hypothèses!$C$17,Hypothèses!$R$17,IF(B66&lt;=Hypothèses!$C$18,Hypothèses!$R$18,D65))))))))))))</f>
        <v>Pressio.</v>
      </c>
      <c r="E66" s="82" t="e">
        <f>IF(B66&lt;=Hypothèses!$C$7,Hypothèses!$G$7,IF(B66&lt;=Hypothèses!$C$8,Hypothèses!$G$8,IF(B66&lt;=Hypothèses!$C$9,Hypothèses!$G$9,IF(B66&lt;=Hypothèses!$C$10,Hypothèses!$G$10,IF(B66&lt;=Hypothèses!$C$11,Hypothèses!$G$11,IF(B66&lt;=Hypothèses!$C$12,Hypothèses!$G$12,IF(B66&lt;=Hypothèses!$C$13,Hypothèses!$G$13,IF(B66&lt;=Hypothèses!$C$14,Hypothèses!$G$14,IF(B66&lt;=Hypothèses!$C$15,Hypothèses!$G$15,IF(B66&lt;=Hypothèses!$C$16,Hypothèses!$G$16,IF(B66&lt;=Hypothèses!$C$17,Hypothèses!$G$17,IF(B66&lt;=Hypothèses!$C$18,Hypothèses!$G$18,E65))))))))))))</f>
        <v>#N/A</v>
      </c>
      <c r="F66" s="82" t="str">
        <f>IF(B66&lt;=Hypothèses!$C$7,Hypothèses!$F$7,IF(B66&lt;=Hypothèses!$C$8,Hypothèses!$F$8,IF(B66&lt;=Hypothèses!$C$9,Hypothèses!$F$9,IF(B66&lt;=Hypothèses!$C$10,Hypothèses!$F$10,IF(B66&lt;=Hypothèses!$C$11,Hypothèses!$F$11,IF(B66&lt;=Hypothèses!$C$12,Hypothèses!$F$12,IF(B66&lt;=Hypothèses!$C$13,Hypothèses!$F$13,IF(B66&lt;=Hypothèses!$C$14,Hypothèses!$F$14,IF(B66&lt;=Hypothèses!$C$15,Hypothèses!$F$15,IF(B66&lt;=Hypothèses!$C$16,Hypothèses!$F$16,IF(B66&lt;=Hypothèses!$C$17,Hypothèses!$F$17,IF(B66&lt;=Hypothèses!$C$18,Hypothèses!$F$18,F65))))))))))))</f>
        <v/>
      </c>
      <c r="G66" s="91">
        <f t="array" ref="G66">INDEX('Coeff EC7'!$U$7:$X$27,
MATCH(Model0.1T!$B$3,'Coeff EC7'!$T$7:$T$27,0),
MATCH(Model0.1T!$D66&amp;Model0.1T!$B$4,
'Coeff EC7'!$U$6:$X$6&amp;
'Coeff EC7'!$U$5:$X$5,0))</f>
        <v>1.4</v>
      </c>
      <c r="H66" s="91">
        <f t="array" ref="H66">INDEX('Coeff EC7'!$Y$7:$AB$27,
MATCH(Model0.1T!$B$3,'Coeff EC7'!$T$7:$T$27,0),
MATCH(Model0.1T!$D66&amp;Model0.1T!$B$4,
'Coeff EC7'!$Y$6:$AB$6&amp;
'Coeff EC7'!$Y$5:$AB$5,0))</f>
        <v>1.7</v>
      </c>
      <c r="I66" s="83">
        <v>0</v>
      </c>
      <c r="J66" s="91" t="e">
        <f t="array" ref="J66">INDEX('Coeff EC7'!$D$33:$Q$33,1,MATCH(D66&amp;E66,'Coeff EC7'!$D$31:$Q$31&amp;'Coeff EC7'!$D$32:$Q$32,0))</f>
        <v>#N/A</v>
      </c>
      <c r="K66" s="91" t="e">
        <f t="array" ref="K66">INDEX('Coeff EC7'!$D$34:$Q$34,1,MATCH(D66&amp;E66,'Coeff EC7'!$D$31:$Q$31&amp;'Coeff EC7'!$D$32:$Q$32,0))</f>
        <v>#N/A</v>
      </c>
      <c r="L66" s="91" t="e">
        <f t="array" ref="L66">INDEX('Coeff EC7'!$D$35:$Q$35,1,MATCH(D66&amp;E66,'Coeff EC7'!$D$31:$Q$31&amp;'Coeff EC7'!$D$32:$Q$32,0))</f>
        <v>#N/A</v>
      </c>
      <c r="M66" s="98" t="e">
        <f t="shared" si="8"/>
        <v>#N/A</v>
      </c>
      <c r="N66" s="99" t="e">
        <f t="array" ref="N66">INDEX('Coeff EC7'!$D$7:$Q$27,MATCH($B$3,'Coeff EC7'!$C$7:$C$27,0),MATCH(D66&amp;E66,'Coeff EC7'!$D$5:$Q$5&amp;'Coeff EC7'!$D$6:$Q$6,0))</f>
        <v>#N/A</v>
      </c>
      <c r="O66" s="99" t="e">
        <f t="array" ref="O66">INDEX('Coeff EC7'!$D$41:$Q$61,MATCH($B$3,'Coeff EC7'!$C$41:$C$61,0),MATCH(D66&amp;E66,'Coeff EC7'!$D$39:$Q$39&amp;'Coeff EC7'!$D$40:$Q$40,0))</f>
        <v>#N/A</v>
      </c>
      <c r="P66" s="30" t="e">
        <f t="shared" si="66"/>
        <v>#N/A</v>
      </c>
      <c r="Q66" s="100" t="e">
        <f t="shared" si="10"/>
        <v>#N/A</v>
      </c>
      <c r="R66" s="86" t="b">
        <f t="shared" si="11"/>
        <v>0</v>
      </c>
      <c r="S66" s="86">
        <f t="shared" si="9"/>
        <v>0.5</v>
      </c>
      <c r="T66" s="86">
        <f t="shared" si="12"/>
        <v>0.5</v>
      </c>
      <c r="U66" s="30" t="e">
        <f t="shared" ca="1" si="67"/>
        <v>#DIV/0!</v>
      </c>
      <c r="V66" s="85" t="str">
        <f>IF(B66&lt;=Hypothèses!$V$7,Hypothèses!$W$7,IF(B66&lt;=Hypothèses!$V$8,Hypothèses!$W$8,IF(B66&lt;=Hypothèses!$V$9,Hypothèses!$W$9,IF(B66&lt;=Hypothèses!$V$10,Hypothèses!$W$10,IF(B66&lt;=Hypothèses!$V$11,Hypothèses!$W$11,IF(B66&lt;=Hypothèses!$V$12,Hypothèses!$W$12,IF(B66&lt;=Hypothèses!$V$13,Hypothèses!$W$13,IF(B66&lt;=Hypothèses!$V$14,Hypothèses!$W$14,IF(B66&lt;=Hypothèses!$V$15,Hypothèses!$W$15,IF(B66&lt;=Hypothèses!$V$16,Hypothèses!$W$16,IF(B66&lt;=Hypothèses!$V$17,Hypothèses!$W$17,IF(B66&lt;=Hypothèses!$V$18,Hypothèses!$W$18,""))))))))))))</f>
        <v/>
      </c>
      <c r="W66" s="87" t="e">
        <f t="shared" ca="1" si="116"/>
        <v>#DIV/0!</v>
      </c>
      <c r="X66" s="88" t="str">
        <f>IF(B66&lt;=Hypothèses!$V$7,Hypothèses!$X$7,IF(B66&lt;=Hypothèses!$V$8,Hypothèses!$X$8,IF(B66&lt;=Hypothèses!$V$9,Hypothèses!$X$9,IF(B66&lt;=Hypothèses!$V$10,Hypothèses!$X$10,IF(B66&lt;=Hypothèses!$V$11,Hypothèses!$X$11,IF(B66&lt;=Hypothèses!$V$12,Hypothèses!$X$12,IF(B66&lt;=Hypothèses!$V$13,Hypothèses!$X$13,IF(B66&lt;=Hypothèses!$V$14,Hypothèses!$X$14,IF(B66&lt;=Hypothèses!$V$15,Hypothèses!$X$15,IF(B66&lt;=Hypothèses!$V$16,Hypothèses!$X$16,IF(B66&lt;=Hypothèses!$U$17,Hypothèses!$W$17,IF(B66&lt;=Hypothèses!$U$18,Hypothèses!$W$18,""))))))))))))</f>
        <v/>
      </c>
      <c r="Y66" s="95" t="e">
        <f t="shared" ca="1" si="13"/>
        <v>#DIV/0!</v>
      </c>
      <c r="Z66" s="101">
        <f t="shared" si="14"/>
        <v>0</v>
      </c>
      <c r="AA66" s="91">
        <f t="shared" si="15"/>
        <v>0</v>
      </c>
      <c r="AB66" s="30" t="e">
        <f t="shared" si="100"/>
        <v>#N/A</v>
      </c>
      <c r="AC66" s="30" t="e">
        <f t="shared" si="101"/>
        <v>#N/A</v>
      </c>
      <c r="AD66" s="31" t="e">
        <f>IF(OR(Hypothèses!$B$4=17,Hypothèses!$B$4=18,Hypothèses!$B$4=19,Hypothèses!$B$4=20),
IF($D66="Pressio.",
IF(OR($E66=3,$E66=1,$E66=4),AC66,AB66),
IF($D66="Pénétro.",
IF(OR($E66=3,$E66=1,$E66=4),AC66,AB66))),IF($D66="Pressio.",
IF($E66=3,AC66,AB66),
IF($D66="Pénétro.",
IF($E66=4,AC66,AB66))))</f>
        <v>#N/A</v>
      </c>
      <c r="AE66" s="31">
        <v>0</v>
      </c>
      <c r="AF66" s="102" t="e">
        <f>IF(NDC!$H$10="Oui",(VLOOKUP($B$3,'Coeff EC7'!$T$39:$X$59,2,0)*AD66+VLOOKUP($B$3,'Coeff EC7'!$T$65:$X$85,2,0)*Model0.1T!AE66)/1.5,PI()*AB$12*$Q66*($B66-$B65)*0.15/10+AF65)</f>
        <v>#N/A</v>
      </c>
      <c r="AG66" s="102" t="e">
        <f>(VLOOKUP($B$3,'Coeff EC7'!$T$39:$X$59,3,0)*AD66+VLOOKUP($B$3,'Coeff EC7'!$T$65:$X$85,3,0)*Model0.1T!AE66)/1.1</f>
        <v>#N/A</v>
      </c>
      <c r="AH66" s="102" t="e">
        <f t="shared" si="68"/>
        <v>#N/A</v>
      </c>
      <c r="AI66" s="102" t="e">
        <f t="shared" si="69"/>
        <v>#N/A</v>
      </c>
      <c r="AJ66" s="414" t="e">
        <f>IF(AND(AF66&gt;NDC!$C$63,AG66&gt;NDC!$C$65,AH66&gt;NDC!$D$73,AI66&gt;NDC!$D$74,$B66&gt;NDC!$H$22-0.1+MIN(3*$AJ$12,1.5)),0,1)</f>
        <v>#N/A</v>
      </c>
      <c r="AK66" s="86" t="b">
        <f t="shared" si="18"/>
        <v>0</v>
      </c>
      <c r="AL66" s="86">
        <f t="shared" si="70"/>
        <v>0.5</v>
      </c>
      <c r="AM66" s="86">
        <f t="shared" si="19"/>
        <v>0.5</v>
      </c>
      <c r="AN66" s="30" t="e">
        <f t="shared" ca="1" si="71"/>
        <v>#DIV/0!</v>
      </c>
      <c r="AO66" s="85" t="e">
        <f ca="1">IF(U66&lt;=Hypothèses!$V$7,Hypothèses!$W$7,IF(U66&lt;=Hypothèses!$V$8,Hypothèses!$W$8,IF(U66&lt;=Hypothèses!$V$9,Hypothèses!$W$9,IF(U66&lt;=Hypothèses!$V$10,Hypothèses!$W$10,IF(U66&lt;=Hypothèses!$V$11,Hypothèses!$W$11,IF(U66&lt;=Hypothèses!$V$12,Hypothèses!$W$12,IF(U66&lt;=Hypothèses!$V$13,Hypothèses!$W$13,IF(U66&lt;=Hypothèses!$V$14,Hypothèses!$W$14,IF(U66&lt;=Hypothèses!$V$15,Hypothèses!$W$15,IF(U66&lt;=Hypothèses!$V$16,Hypothèses!$W$16,IF(U66&lt;=Hypothèses!$V$17,Hypothèses!$W$17,IF(U66&lt;=Hypothèses!$V$18,Hypothèses!$W$18,""))))))))))))</f>
        <v>#DIV/0!</v>
      </c>
      <c r="AP66" s="87" t="e">
        <f t="shared" ca="1" si="117"/>
        <v>#DIV/0!</v>
      </c>
      <c r="AQ66" s="88" t="e">
        <f ca="1">IF(U66&lt;=Hypothèses!$V$7,Hypothèses!$X$7,IF(U66&lt;=Hypothèses!$V$8,Hypothèses!$X$8,IF(U66&lt;=Hypothèses!$V$9,Hypothèses!$X$9,IF(U66&lt;=Hypothèses!$V$10,Hypothèses!$X$10,IF(U66&lt;=Hypothèses!$V$11,Hypothèses!$X$11,IF(U66&lt;=Hypothèses!$V$12,Hypothèses!$X$12,IF(U66&lt;=Hypothèses!$V$13,Hypothèses!$X$13,IF(U66&lt;=Hypothèses!$V$14,Hypothèses!$X$14,IF(U66&lt;=Hypothèses!$V$15,Hypothèses!$X$15,IF(U66&lt;=Hypothèses!$V$16,Hypothèses!$X$16,IF(U66&lt;=Hypothèses!$U$17,Hypothèses!$W$17,IF(U66&lt;=Hypothèses!$U$18,Hypothèses!$W$18,""))))))))))))</f>
        <v>#DIV/0!</v>
      </c>
      <c r="AR66" s="95" t="e">
        <f t="shared" ca="1" si="72"/>
        <v>#DIV/0!</v>
      </c>
      <c r="AS66" s="101">
        <f t="shared" si="124"/>
        <v>0</v>
      </c>
      <c r="AT66" s="91">
        <f t="shared" si="21"/>
        <v>0</v>
      </c>
      <c r="AU66" s="30" t="e">
        <f t="shared" si="102"/>
        <v>#N/A</v>
      </c>
      <c r="AV66" s="30" t="e">
        <f t="shared" si="103"/>
        <v>#N/A</v>
      </c>
      <c r="AW66" s="31" t="e">
        <f>IF(OR(Hypothèses!$B$4=17,Hypothèses!$B$4=18,Hypothèses!$B$4=19,Hypothèses!$B$4=20),
IF($D66="Pressio.",
IF(OR($E66=3,$E66=1,$E66=4),AV66,AU66),
IF($D66="Pénétro.",
IF(OR($E66=3,$E66=1,$E66=4),AV66,AU66))),IF($D66="Pressio.",
IF($E66=3,AV66,AU66),
IF($D66="Pénétro.",
IF($E66=4,AV66,AU66))))</f>
        <v>#N/A</v>
      </c>
      <c r="AX66" s="31">
        <v>0</v>
      </c>
      <c r="AY66" s="102" t="e">
        <f>IF(NDC!$H$10="Oui",(VLOOKUP($B$3,'Coeff EC7'!$T$39:$X$59,2,0)*AW66+VLOOKUP($B$3,'Coeff EC7'!$T$65:$X$85,2,0)*Model0.1T!AX66)/1.5,PI()*AU$12*$Q66*($B66-$B65)*0.15/10+AY65)</f>
        <v>#N/A</v>
      </c>
      <c r="AZ66" s="102" t="e">
        <f>(VLOOKUP($B$3,'Coeff EC7'!$T$39:$X$59,3,0)*AW66+VLOOKUP($B$3,'Coeff EC7'!$T$65:$X$85,3,0)*Model0.1T!AX66)/1.1</f>
        <v>#N/A</v>
      </c>
      <c r="BA66" s="102" t="e">
        <f t="shared" si="73"/>
        <v>#N/A</v>
      </c>
      <c r="BB66" s="102" t="e">
        <f t="shared" si="74"/>
        <v>#N/A</v>
      </c>
      <c r="BC66" s="414" t="e">
        <f>IF(AND(AY66&gt;NDC!$C$63,AZ66&gt;NDC!$C$65,BA66&gt;NDC!$D$73,BB66&gt;NDC!$D$74,$B66&gt;NDC!$H$22-0.1+MIN(3*BC$12,1.5)),0,1)</f>
        <v>#N/A</v>
      </c>
      <c r="BD66" s="86" t="b">
        <f t="shared" si="24"/>
        <v>0</v>
      </c>
      <c r="BE66" s="86">
        <f t="shared" si="75"/>
        <v>0.5</v>
      </c>
      <c r="BF66" s="86">
        <f t="shared" si="25"/>
        <v>0.5</v>
      </c>
      <c r="BG66" s="30" t="e">
        <f t="shared" ca="1" si="76"/>
        <v>#DIV/0!</v>
      </c>
      <c r="BH66" s="85" t="e">
        <f ca="1">IF(AN66&lt;=Hypothèses!$V$7,Hypothèses!$W$7,IF(AN66&lt;=Hypothèses!$V$8,Hypothèses!$W$8,IF(AN66&lt;=Hypothèses!$V$9,Hypothèses!$W$9,IF(AN66&lt;=Hypothèses!$V$10,Hypothèses!$W$10,IF(AN66&lt;=Hypothèses!$V$11,Hypothèses!$W$11,IF(AN66&lt;=Hypothèses!$V$12,Hypothèses!$W$12,IF(AN66&lt;=Hypothèses!$V$13,Hypothèses!$W$13,IF(AN66&lt;=Hypothèses!$V$14,Hypothèses!$W$14,IF(AN66&lt;=Hypothèses!$V$15,Hypothèses!$W$15,IF(AN66&lt;=Hypothèses!$V$16,Hypothèses!$W$16,IF(AN66&lt;=Hypothèses!$V$17,Hypothèses!$W$17,IF(AN66&lt;=Hypothèses!$V$18,Hypothèses!$W$18,""))))))))))))</f>
        <v>#DIV/0!</v>
      </c>
      <c r="BI66" s="87" t="e">
        <f t="shared" ca="1" si="118"/>
        <v>#DIV/0!</v>
      </c>
      <c r="BJ66" s="88" t="e">
        <f ca="1">IF(AN66&lt;=Hypothèses!$V$7,Hypothèses!$X$7,IF(AN66&lt;=Hypothèses!$V$8,Hypothèses!$X$8,IF(AN66&lt;=Hypothèses!$V$9,Hypothèses!$X$9,IF(AN66&lt;=Hypothèses!$V$10,Hypothèses!$X$10,IF(AN66&lt;=Hypothèses!$V$11,Hypothèses!$X$11,IF(AN66&lt;=Hypothèses!$V$12,Hypothèses!$X$12,IF(AN66&lt;=Hypothèses!$V$13,Hypothèses!$X$13,IF(AN66&lt;=Hypothèses!$V$14,Hypothèses!$X$14,IF(AN66&lt;=Hypothèses!$V$15,Hypothèses!$X$15,IF(AN66&lt;=Hypothèses!$V$16,Hypothèses!$X$16,IF(AN66&lt;=Hypothèses!$U$17,Hypothèses!$W$17,IF(AN66&lt;=Hypothèses!$U$18,Hypothèses!$W$18,""))))))))))))</f>
        <v>#DIV/0!</v>
      </c>
      <c r="BK66" s="95" t="e">
        <f t="shared" ca="1" si="77"/>
        <v>#DIV/0!</v>
      </c>
      <c r="BL66" s="101">
        <f t="shared" si="125"/>
        <v>0</v>
      </c>
      <c r="BM66" s="91">
        <f t="shared" si="27"/>
        <v>0</v>
      </c>
      <c r="BN66" s="30" t="e">
        <f t="shared" si="104"/>
        <v>#N/A</v>
      </c>
      <c r="BO66" s="30" t="e">
        <f t="shared" si="105"/>
        <v>#N/A</v>
      </c>
      <c r="BP66" s="31" t="e">
        <f>IF(OR(Hypothèses!$B$4=17,Hypothèses!$B$4=18,Hypothèses!$B$4=19,Hypothèses!$B$4=20),
IF($D66="Pressio.",
IF(OR($E66=3,$E66=1,$E66=4),BO66,BN66),
IF($D66="Pénétro.",
IF(OR($E66=3,$E66=1,$E66=4),BO66,BN66))),IF($D66="Pressio.",
IF($E66=3,BO66,BN66),
IF($D66="Pénétro.",
IF($E66=4,BO66,BN66))))</f>
        <v>#N/A</v>
      </c>
      <c r="BQ66" s="31">
        <v>0</v>
      </c>
      <c r="BR66" s="102" t="e">
        <f>IF(NDC!$H$10="Oui",(VLOOKUP($B$3,'Coeff EC7'!$T$39:$X$59,2,0)*BP66+VLOOKUP($B$3,'Coeff EC7'!$T$65:$X$85,2,0)*Model0.1T!BQ66)/1.5,PI()*BN$12*$Q66*($B66-$B65)*0.15/10+BR65)</f>
        <v>#N/A</v>
      </c>
      <c r="BS66" s="102" t="e">
        <f>(VLOOKUP($B$3,'Coeff EC7'!$T$39:$X$59,3,0)*BP66+VLOOKUP($B$3,'Coeff EC7'!$T$65:$X$85,3,0)*Model0.1T!BQ66)/1.1</f>
        <v>#N/A</v>
      </c>
      <c r="BT66" s="102" t="e">
        <f t="shared" si="78"/>
        <v>#N/A</v>
      </c>
      <c r="BU66" s="102" t="e">
        <f t="shared" si="79"/>
        <v>#N/A</v>
      </c>
      <c r="BV66" s="414" t="e">
        <f>IF(AND(BR66&gt;NDC!$C$63,BS66&gt;NDC!$C$65,BT66&gt;NDC!$D$73,BU66&gt;NDC!$D$74,$B66&gt;NDC!$H$22-0.1+MIN(3*BV$12,1.5)),0,1)</f>
        <v>#N/A</v>
      </c>
      <c r="BW66" s="86" t="b">
        <f t="shared" si="30"/>
        <v>0</v>
      </c>
      <c r="BX66" s="86">
        <f t="shared" si="31"/>
        <v>0.5</v>
      </c>
      <c r="BY66" s="86">
        <f t="shared" si="32"/>
        <v>0.5</v>
      </c>
      <c r="BZ66" s="30" t="e">
        <f t="shared" ca="1" si="80"/>
        <v>#DIV/0!</v>
      </c>
      <c r="CA66" s="85" t="e">
        <f ca="1">IF(BG66&lt;=Hypothèses!$V$7,Hypothèses!$W$7,IF(BG66&lt;=Hypothèses!$V$8,Hypothèses!$W$8,IF(BG66&lt;=Hypothèses!$V$9,Hypothèses!$W$9,IF(BG66&lt;=Hypothèses!$V$10,Hypothèses!$W$10,IF(BG66&lt;=Hypothèses!$V$11,Hypothèses!$W$11,IF(BG66&lt;=Hypothèses!$V$12,Hypothèses!$W$12,IF(BG66&lt;=Hypothèses!$V$13,Hypothèses!$W$13,IF(BG66&lt;=Hypothèses!$V$14,Hypothèses!$W$14,IF(BG66&lt;=Hypothèses!$V$15,Hypothèses!$W$15,IF(BG66&lt;=Hypothèses!$V$16,Hypothèses!$W$16,IF(BG66&lt;=Hypothèses!$V$17,Hypothèses!$W$17,IF(BG66&lt;=Hypothèses!$V$18,Hypothèses!$W$18,""))))))))))))</f>
        <v>#DIV/0!</v>
      </c>
      <c r="CB66" s="87" t="e">
        <f t="shared" ca="1" si="119"/>
        <v>#DIV/0!</v>
      </c>
      <c r="CC66" s="88" t="e">
        <f ca="1">IF(BG66&lt;=Hypothèses!$V$7,Hypothèses!$X$7,IF(BG66&lt;=Hypothèses!$V$8,Hypothèses!$X$8,IF(BG66&lt;=Hypothèses!$V$9,Hypothèses!$X$9,IF(BG66&lt;=Hypothèses!$V$10,Hypothèses!$X$10,IF(BG66&lt;=Hypothèses!$V$11,Hypothèses!$X$11,IF(BG66&lt;=Hypothèses!$V$12,Hypothèses!$X$12,IF(BG66&lt;=Hypothèses!$V$13,Hypothèses!$X$13,IF(BG66&lt;=Hypothèses!$V$14,Hypothèses!$X$14,IF(BG66&lt;=Hypothèses!$V$15,Hypothèses!$X$15,IF(BG66&lt;=Hypothèses!$V$16,Hypothèses!$X$16,IF(BG66&lt;=Hypothèses!$U$17,Hypothèses!$W$17,IF(BG66&lt;=Hypothèses!$U$18,Hypothèses!$W$18,""))))))))))))</f>
        <v>#DIV/0!</v>
      </c>
      <c r="CD66" s="95" t="e">
        <f t="shared" ca="1" si="81"/>
        <v>#DIV/0!</v>
      </c>
      <c r="CE66" s="101">
        <f t="shared" si="126"/>
        <v>0</v>
      </c>
      <c r="CF66" s="91">
        <f t="shared" si="34"/>
        <v>0</v>
      </c>
      <c r="CG66" s="30" t="e">
        <f t="shared" si="106"/>
        <v>#N/A</v>
      </c>
      <c r="CH66" s="30" t="e">
        <f t="shared" si="107"/>
        <v>#N/A</v>
      </c>
      <c r="CI66" s="31" t="e">
        <f>IF(OR(Hypothèses!$B$4=17,Hypothèses!$B$4=18,Hypothèses!$B$4=19,Hypothèses!$B$4=20),
IF($D66="Pressio.",
IF(OR($E66=3,$E66=1,$E66=4),CH66,CG66),
IF($D66="Pénétro.",
IF(OR($E66=3,$E66=1,$E66=4),CH66,CG66))),IF($D66="Pressio.",
IF($E66=3,CH66,CG66),
IF($D66="Pénétro.",
IF($E66=4,CH66,CG66))))</f>
        <v>#N/A</v>
      </c>
      <c r="CJ66" s="31">
        <v>0</v>
      </c>
      <c r="CK66" s="102" t="e">
        <f>IF(NDC!$H$10="Oui",(VLOOKUP($B$3,'Coeff EC7'!$T$39:$X$59,2,0)*CI66+VLOOKUP($B$3,'Coeff EC7'!$T$65:$X$85,2,0)*Model0.1T!CJ66)/1.5,PI()*CG$12*$Q66*($B66-$B65)*0.15/10+CK65)</f>
        <v>#N/A</v>
      </c>
      <c r="CL66" s="102" t="e">
        <f>(VLOOKUP($B$3,'Coeff EC7'!$T$39:$X$59,3,0)*CI66+VLOOKUP($B$3,'Coeff EC7'!$T$65:$X$85,3,0)*Model0.1T!CJ66)/1.1</f>
        <v>#N/A</v>
      </c>
      <c r="CM66" s="102" t="e">
        <f t="shared" si="82"/>
        <v>#N/A</v>
      </c>
      <c r="CN66" s="102" t="e">
        <f t="shared" si="83"/>
        <v>#N/A</v>
      </c>
      <c r="CO66" s="414" t="e">
        <f>IF(AND(CK66&gt;NDC!$C$63,CL66&gt;NDC!$C$65,CM66&gt;NDC!$D$73,CN66&gt;NDC!$D$74,$B66&gt;NDC!$H$22-0.1+MIN(3*CO$12,1.5)),0,1)</f>
        <v>#N/A</v>
      </c>
      <c r="CP66" s="86" t="b">
        <f t="shared" si="37"/>
        <v>0</v>
      </c>
      <c r="CQ66" s="86">
        <f t="shared" si="38"/>
        <v>0.5</v>
      </c>
      <c r="CR66" s="86">
        <f t="shared" si="39"/>
        <v>0.5</v>
      </c>
      <c r="CS66" s="30" t="e">
        <f t="shared" ca="1" si="84"/>
        <v>#DIV/0!</v>
      </c>
      <c r="CT66" s="85" t="e">
        <f ca="1">IF(BZ66&lt;=Hypothèses!$V$7,Hypothèses!$W$7,IF(BZ66&lt;=Hypothèses!$V$8,Hypothèses!$W$8,IF(BZ66&lt;=Hypothèses!$V$9,Hypothèses!$W$9,IF(BZ66&lt;=Hypothèses!$V$10,Hypothèses!$W$10,IF(BZ66&lt;=Hypothèses!$V$11,Hypothèses!$W$11,IF(BZ66&lt;=Hypothèses!$V$12,Hypothèses!$W$12,IF(BZ66&lt;=Hypothèses!$V$13,Hypothèses!$W$13,IF(BZ66&lt;=Hypothèses!$V$14,Hypothèses!$W$14,IF(BZ66&lt;=Hypothèses!$V$15,Hypothèses!$W$15,IF(BZ66&lt;=Hypothèses!$V$16,Hypothèses!$W$16,IF(BZ66&lt;=Hypothèses!$V$17,Hypothèses!$W$17,IF(BZ66&lt;=Hypothèses!$V$18,Hypothèses!$W$18,""))))))))))))</f>
        <v>#DIV/0!</v>
      </c>
      <c r="CU66" s="87" t="e">
        <f t="shared" ca="1" si="120"/>
        <v>#DIV/0!</v>
      </c>
      <c r="CV66" s="88" t="e">
        <f ca="1">IF(BZ66&lt;=Hypothèses!$V$7,Hypothèses!$X$7,IF(BZ66&lt;=Hypothèses!$V$8,Hypothèses!$X$8,IF(BZ66&lt;=Hypothèses!$V$9,Hypothèses!$X$9,IF(BZ66&lt;=Hypothèses!$V$10,Hypothèses!$X$10,IF(BZ66&lt;=Hypothèses!$V$11,Hypothèses!$X$11,IF(BZ66&lt;=Hypothèses!$V$12,Hypothèses!$X$12,IF(BZ66&lt;=Hypothèses!$V$13,Hypothèses!$X$13,IF(BZ66&lt;=Hypothèses!$V$14,Hypothèses!$X$14,IF(BZ66&lt;=Hypothèses!$V$15,Hypothèses!$X$15,IF(BZ66&lt;=Hypothèses!$V$16,Hypothèses!$X$16,IF(BZ66&lt;=Hypothèses!$U$17,Hypothèses!$W$17,IF(BZ66&lt;=Hypothèses!$U$18,Hypothèses!$W$18,""))))))))))))</f>
        <v>#DIV/0!</v>
      </c>
      <c r="CW66" s="95" t="e">
        <f t="shared" ca="1" si="85"/>
        <v>#DIV/0!</v>
      </c>
      <c r="CX66" s="101">
        <f t="shared" si="127"/>
        <v>0</v>
      </c>
      <c r="CY66" s="91">
        <f t="shared" si="41"/>
        <v>0</v>
      </c>
      <c r="CZ66" s="30" t="e">
        <f t="shared" si="108"/>
        <v>#N/A</v>
      </c>
      <c r="DA66" s="30" t="e">
        <f t="shared" si="109"/>
        <v>#N/A</v>
      </c>
      <c r="DB66" s="31" t="e">
        <f>IF(OR(Hypothèses!$B$4=17,Hypothèses!$B$4=18,Hypothèses!$B$4=19,Hypothèses!$B$4=20),
IF($D66="Pressio.",
IF(OR($E66=3,$E66=1,$E66=4),DA66,CZ66),
IF($D66="Pénétro.",
IF(OR($E66=3,$E66=1,$E66=4),DA66,CZ66))),IF($D66="Pressio.",
IF($E66=3,DA66,CZ66),
IF($D66="Pénétro.",
IF($E66=4,DA66,CZ66))))</f>
        <v>#N/A</v>
      </c>
      <c r="DC66" s="31">
        <v>0</v>
      </c>
      <c r="DD66" s="102" t="e">
        <f>IF(NDC!$H$10="Oui",(VLOOKUP($B$3,'Coeff EC7'!$T$39:$X$59,2,0)*DB66+VLOOKUP($B$3,'Coeff EC7'!$T$65:$X$85,2,0)*Model0.1T!DC66)/1.5,PI()*CZ$12*$Q66*($B66-$B65)*0.15/10+DD65)</f>
        <v>#N/A</v>
      </c>
      <c r="DE66" s="102" t="e">
        <f>(VLOOKUP($B$3,'Coeff EC7'!$T$39:$X$59,3,0)*DB66+VLOOKUP($B$3,'Coeff EC7'!$T$65:$X$85,3,0)*Model0.1T!DC66)/1.1</f>
        <v>#N/A</v>
      </c>
      <c r="DF66" s="102" t="e">
        <f t="shared" si="86"/>
        <v>#N/A</v>
      </c>
      <c r="DG66" s="102" t="e">
        <f t="shared" si="87"/>
        <v>#N/A</v>
      </c>
      <c r="DH66" s="414" t="e">
        <f>IF(AND(DD66&gt;NDC!$C$63,DE66&gt;NDC!$C$65,DF66&gt;NDC!$D$73,DG66&gt;NDC!$D$74,$B66&gt;NDC!$H$22-0.1+MIN(3*DH$12,1.5)),0,1)</f>
        <v>#N/A</v>
      </c>
      <c r="DI66" s="86" t="b">
        <f t="shared" si="44"/>
        <v>0</v>
      </c>
      <c r="DJ66" s="86">
        <f t="shared" si="45"/>
        <v>0.5</v>
      </c>
      <c r="DK66" s="86">
        <f t="shared" si="46"/>
        <v>0.5</v>
      </c>
      <c r="DL66" s="30" t="e">
        <f t="shared" ca="1" si="88"/>
        <v>#DIV/0!</v>
      </c>
      <c r="DM66" s="85" t="e">
        <f ca="1">IF(CS66&lt;=Hypothèses!$V$7,Hypothèses!$W$7,IF(CS66&lt;=Hypothèses!$V$8,Hypothèses!$W$8,IF(CS66&lt;=Hypothèses!$V$9,Hypothèses!$W$9,IF(CS66&lt;=Hypothèses!$V$10,Hypothèses!$W$10,IF(CS66&lt;=Hypothèses!$V$11,Hypothèses!$W$11,IF(CS66&lt;=Hypothèses!$V$12,Hypothèses!$W$12,IF(CS66&lt;=Hypothèses!$V$13,Hypothèses!$W$13,IF(CS66&lt;=Hypothèses!$V$14,Hypothèses!$W$14,IF(CS66&lt;=Hypothèses!$V$15,Hypothèses!$W$15,IF(CS66&lt;=Hypothèses!$V$16,Hypothèses!$W$16,IF(CS66&lt;=Hypothèses!$V$17,Hypothèses!$W$17,IF(CS66&lt;=Hypothèses!$V$18,Hypothèses!$W$18,""))))))))))))</f>
        <v>#DIV/0!</v>
      </c>
      <c r="DN66" s="87" t="e">
        <f t="shared" ca="1" si="121"/>
        <v>#DIV/0!</v>
      </c>
      <c r="DO66" s="88" t="e">
        <f ca="1">IF(CS66&lt;=Hypothèses!$V$7,Hypothèses!$X$7,IF(CS66&lt;=Hypothèses!$V$8,Hypothèses!$X$8,IF(CS66&lt;=Hypothèses!$V$9,Hypothèses!$X$9,IF(CS66&lt;=Hypothèses!$V$10,Hypothèses!$X$10,IF(CS66&lt;=Hypothèses!$V$11,Hypothèses!$X$11,IF(CS66&lt;=Hypothèses!$V$12,Hypothèses!$X$12,IF(CS66&lt;=Hypothèses!$V$13,Hypothèses!$X$13,IF(CS66&lt;=Hypothèses!$V$14,Hypothèses!$X$14,IF(CS66&lt;=Hypothèses!$V$15,Hypothèses!$X$15,IF(CS66&lt;=Hypothèses!$V$16,Hypothèses!$X$16,IF(CS66&lt;=Hypothèses!$U$17,Hypothèses!$W$17,IF(CS66&lt;=Hypothèses!$U$18,Hypothèses!$W$18,""))))))))))))</f>
        <v>#DIV/0!</v>
      </c>
      <c r="DP66" s="95" t="e">
        <f t="shared" ca="1" si="89"/>
        <v>#DIV/0!</v>
      </c>
      <c r="DQ66" s="101">
        <f t="shared" si="128"/>
        <v>0</v>
      </c>
      <c r="DR66" s="91">
        <f t="shared" si="48"/>
        <v>0</v>
      </c>
      <c r="DS66" s="30" t="e">
        <f t="shared" si="110"/>
        <v>#N/A</v>
      </c>
      <c r="DT66" s="30" t="e">
        <f t="shared" si="111"/>
        <v>#N/A</v>
      </c>
      <c r="DU66" s="31" t="e">
        <f>IF(OR(Hypothèses!$B$4=17,Hypothèses!$B$4=18,Hypothèses!$B$4=19,Hypothèses!$B$4=20),
IF($D66="Pressio.",
IF(OR($E66=3,$E66=1,$E66=4),DT66,DS66),
IF($D66="Pénétro.",
IF(OR($E66=3,$E66=1,$E66=4),DT66,DS66))),IF($D66="Pressio.",
IF($E66=3,DT66,DS66),
IF($D66="Pénétro.",
IF($E66=4,DT66,DS66))))</f>
        <v>#N/A</v>
      </c>
      <c r="DV66" s="31">
        <v>0</v>
      </c>
      <c r="DW66" s="102" t="e">
        <f>IF(NDC!$H$10="Oui",(VLOOKUP($B$3,'Coeff EC7'!$T$39:$X$59,2,0)*DU66+VLOOKUP($B$3,'Coeff EC7'!$T$65:$X$85,2,0)*Model0.1T!DV66)/1.5,PI()*DS$12*$Q66*($B66-$B65)*0.15/10+DW65)</f>
        <v>#N/A</v>
      </c>
      <c r="DX66" s="102" t="e">
        <f>(VLOOKUP($B$3,'Coeff EC7'!$T$39:$X$59,3,0)*DU66+VLOOKUP($B$3,'Coeff EC7'!$T$65:$X$85,3,0)*Model0.1T!DV66)/1.1</f>
        <v>#N/A</v>
      </c>
      <c r="DY66" s="102" t="e">
        <f t="shared" si="90"/>
        <v>#N/A</v>
      </c>
      <c r="DZ66" s="102" t="e">
        <f t="shared" si="91"/>
        <v>#N/A</v>
      </c>
      <c r="EA66" s="414" t="e">
        <f>IF(AND(DW66&gt;NDC!$C$63,DX66&gt;NDC!$C$65,DY66&gt;NDC!$D$73,DZ66&gt;NDC!$D$74,$B66&gt;NDC!$H$22-0.1+MIN(3*EA$12,1.5)),0,1)</f>
        <v>#N/A</v>
      </c>
      <c r="EB66" s="86" t="b">
        <f t="shared" si="51"/>
        <v>0</v>
      </c>
      <c r="EC66" s="418">
        <f t="shared" si="52"/>
        <v>0.51</v>
      </c>
      <c r="ED66" s="86">
        <f t="shared" si="53"/>
        <v>0.51</v>
      </c>
      <c r="EE66" s="30" t="e">
        <f t="shared" ca="1" si="92"/>
        <v>#DIV/0!</v>
      </c>
      <c r="EF66" s="85" t="e">
        <f ca="1">IF(DL66&lt;=Hypothèses!$V$7,Hypothèses!$W$7,IF(DL66&lt;=Hypothèses!$V$8,Hypothèses!$W$8,IF(DL66&lt;=Hypothèses!$V$9,Hypothèses!$W$9,IF(DL66&lt;=Hypothèses!$V$10,Hypothèses!$W$10,IF(DL66&lt;=Hypothèses!$V$11,Hypothèses!$W$11,IF(DL66&lt;=Hypothèses!$V$12,Hypothèses!$W$12,IF(DL66&lt;=Hypothèses!$V$13,Hypothèses!$W$13,IF(DL66&lt;=Hypothèses!$V$14,Hypothèses!$W$14,IF(DL66&lt;=Hypothèses!$V$15,Hypothèses!$W$15,IF(DL66&lt;=Hypothèses!$V$16,Hypothèses!$W$16,IF(DL66&lt;=Hypothèses!$V$17,Hypothèses!$W$17,IF(DL66&lt;=Hypothèses!$V$18,Hypothèses!$W$18,""))))))))))))</f>
        <v>#DIV/0!</v>
      </c>
      <c r="EG66" s="87" t="e">
        <f t="shared" ca="1" si="122"/>
        <v>#DIV/0!</v>
      </c>
      <c r="EH66" s="88" t="e">
        <f ca="1">IF(DL66&lt;=Hypothèses!$V$7,Hypothèses!$X$7,IF(DL66&lt;=Hypothèses!$V$8,Hypothèses!$X$8,IF(DL66&lt;=Hypothèses!$V$9,Hypothèses!$X$9,IF(DL66&lt;=Hypothèses!$V$10,Hypothèses!$X$10,IF(DL66&lt;=Hypothèses!$V$11,Hypothèses!$X$11,IF(DL66&lt;=Hypothèses!$V$12,Hypothèses!$X$12,IF(DL66&lt;=Hypothèses!$V$13,Hypothèses!$X$13,IF(DL66&lt;=Hypothèses!$V$14,Hypothèses!$X$14,IF(DL66&lt;=Hypothèses!$V$15,Hypothèses!$X$15,IF(DL66&lt;=Hypothèses!$V$16,Hypothèses!$X$16,IF(DL66&lt;=Hypothèses!$U$17,Hypothèses!$W$17,IF(DL66&lt;=Hypothèses!$U$18,Hypothèses!$W$18,""))))))))))))</f>
        <v>#DIV/0!</v>
      </c>
      <c r="EI66" s="95" t="e">
        <f t="shared" ca="1" si="93"/>
        <v>#DIV/0!</v>
      </c>
      <c r="EJ66" s="101">
        <f t="shared" si="129"/>
        <v>0</v>
      </c>
      <c r="EK66" s="91">
        <f t="shared" si="55"/>
        <v>0</v>
      </c>
      <c r="EL66" s="30" t="e">
        <f t="shared" si="112"/>
        <v>#N/A</v>
      </c>
      <c r="EM66" s="30" t="e">
        <f t="shared" si="113"/>
        <v>#N/A</v>
      </c>
      <c r="EN66" s="31" t="e">
        <f>IF(OR(Hypothèses!$B$4=17,Hypothèses!$B$4=18,Hypothèses!$B$4=19,Hypothèses!$B$4=20),
IF($D66="Pressio.",
IF(OR($E66=3,$E66=1,$E66=4),EM66,EL66),
IF($D66="Pénétro.",
IF(OR($E66=3,$E66=1,$E66=4),EM66,EL66))),IF($D66="Pressio.",
IF($E66=3,EM66,EL66),
IF($D66="Pénétro.",
IF($E66=4,EM66,EL66))))</f>
        <v>#N/A</v>
      </c>
      <c r="EO66" s="31">
        <v>0</v>
      </c>
      <c r="EP66" s="102" t="e">
        <f>IF(NDC!$H$10="Oui",(VLOOKUP($B$3,'Coeff EC7'!$T$39:$X$59,2,0)*EN66+VLOOKUP($B$3,'Coeff EC7'!$T$65:$X$85,2,0)*Model0.1T!EO66)/1.5,PI()*EL$12*$Q66*($B66-$B65)*0.15/10+EP65)</f>
        <v>#N/A</v>
      </c>
      <c r="EQ66" s="102" t="e">
        <f>(VLOOKUP($B$3,'Coeff EC7'!$T$39:$X$59,3,0)*EN66+VLOOKUP($B$3,'Coeff EC7'!$T$65:$X$85,3,0)*Model0.1T!EO66)/1.1</f>
        <v>#N/A</v>
      </c>
      <c r="ER66" s="102" t="e">
        <f t="shared" si="94"/>
        <v>#N/A</v>
      </c>
      <c r="ES66" s="102" t="e">
        <f t="shared" si="95"/>
        <v>#N/A</v>
      </c>
      <c r="ET66" s="414" t="e">
        <f>IF(AND(EP66&gt;NDC!$C$63,EQ66&gt;NDC!$C$65,ER66&gt;NDC!$D$73,ES66&gt;NDC!$D$74,$B66&gt;NDC!$H$22-0.1+MIN(3*ET$12,1.5)),0,1)</f>
        <v>#N/A</v>
      </c>
      <c r="EU66" s="86" t="b">
        <f t="shared" si="58"/>
        <v>0</v>
      </c>
      <c r="EV66" s="86">
        <f t="shared" si="59"/>
        <v>0.61</v>
      </c>
      <c r="EW66" s="86">
        <f t="shared" si="60"/>
        <v>0.61</v>
      </c>
      <c r="EX66" s="30" t="e">
        <f t="shared" ca="1" si="96"/>
        <v>#DIV/0!</v>
      </c>
      <c r="EY66" s="85" t="e">
        <f ca="1">IF(EE66&lt;=Hypothèses!$V$7,Hypothèses!$W$7,IF(EE66&lt;=Hypothèses!$V$8,Hypothèses!$W$8,IF(EE66&lt;=Hypothèses!$V$9,Hypothèses!$W$9,IF(EE66&lt;=Hypothèses!$V$10,Hypothèses!$W$10,IF(EE66&lt;=Hypothèses!$V$11,Hypothèses!$W$11,IF(EE66&lt;=Hypothèses!$V$12,Hypothèses!$W$12,IF(EE66&lt;=Hypothèses!$V$13,Hypothèses!$W$13,IF(EE66&lt;=Hypothèses!$V$14,Hypothèses!$W$14,IF(EE66&lt;=Hypothèses!$V$15,Hypothèses!$W$15,IF(EE66&lt;=Hypothèses!$V$16,Hypothèses!$W$16,IF(EE66&lt;=Hypothèses!$V$17,Hypothèses!$W$17,IF(EE66&lt;=Hypothèses!$V$18,Hypothèses!$W$18,""))))))))))))</f>
        <v>#DIV/0!</v>
      </c>
      <c r="EZ66" s="87" t="e">
        <f t="shared" ca="1" si="123"/>
        <v>#DIV/0!</v>
      </c>
      <c r="FA66" s="88" t="e">
        <f ca="1">IF(EE66&lt;=Hypothèses!$V$7,Hypothèses!$X$7,IF(EE66&lt;=Hypothèses!$V$8,Hypothèses!$X$8,IF(EE66&lt;=Hypothèses!$V$9,Hypothèses!$X$9,IF(EE66&lt;=Hypothèses!$V$10,Hypothèses!$X$10,IF(EE66&lt;=Hypothèses!$V$11,Hypothèses!$X$11,IF(EE66&lt;=Hypothèses!$V$12,Hypothèses!$X$12,IF(EE66&lt;=Hypothèses!$V$13,Hypothèses!$X$13,IF(EE66&lt;=Hypothèses!$V$14,Hypothèses!$X$14,IF(EE66&lt;=Hypothèses!$V$15,Hypothèses!$X$15,IF(EE66&lt;=Hypothèses!$V$16,Hypothèses!$X$16,IF(EE66&lt;=Hypothèses!$U$17,Hypothèses!$W$17,IF(EE66&lt;=Hypothèses!$U$18,Hypothèses!$W$18,""))))))))))))</f>
        <v>#DIV/0!</v>
      </c>
      <c r="FB66" s="95" t="e">
        <f t="shared" ca="1" si="97"/>
        <v>#DIV/0!</v>
      </c>
      <c r="FC66" s="101">
        <f t="shared" si="130"/>
        <v>0</v>
      </c>
      <c r="FD66" s="91">
        <f t="shared" si="62"/>
        <v>0</v>
      </c>
      <c r="FE66" s="30" t="e">
        <f t="shared" si="114"/>
        <v>#N/A</v>
      </c>
      <c r="FF66" s="30" t="e">
        <f t="shared" si="115"/>
        <v>#N/A</v>
      </c>
      <c r="FG66" s="31" t="e">
        <f>IF(OR(Hypothèses!$B$4=17,Hypothèses!$B$4=18,Hypothèses!$B$4=19,Hypothèses!$B$4=20),
IF($D66="Pressio.",
IF(OR($E66=3,$E66=1,$E66=4),FF66,FE66),
IF($D66="Pénétro.",
IF(OR($E66=3,$E66=1,$E66=4),FF66,FE66))),IF($D66="Pressio.",
IF($E66=3,FF66,FE66),
IF($D66="Pénétro.",
IF($E66=4,FF66,FE66))))</f>
        <v>#N/A</v>
      </c>
      <c r="FH66" s="31">
        <v>0</v>
      </c>
      <c r="FI66" s="102" t="e">
        <f>IF(NDC!$H$10="Oui",(VLOOKUP($B$3,'Coeff EC7'!$T$39:$X$59,2,0)*FG66+VLOOKUP($B$3,'Coeff EC7'!$T$65:$X$85,2,0)*Model0.1T!FH66)/1.5,PI()*FE$12*$Q66*($B66-$B65)*0.15/10+FI65)</f>
        <v>#N/A</v>
      </c>
      <c r="FJ66" s="102" t="e">
        <f>(VLOOKUP($B$3,'Coeff EC7'!$T$39:$X$59,3,0)*FG66+VLOOKUP($B$3,'Coeff EC7'!$T$65:$X$85,3,0)*Model0.1T!FH66)/1.1</f>
        <v>#N/A</v>
      </c>
      <c r="FK66" s="102" t="e">
        <f t="shared" si="98"/>
        <v>#N/A</v>
      </c>
      <c r="FL66" s="102" t="e">
        <f t="shared" si="99"/>
        <v>#N/A</v>
      </c>
      <c r="FM66" s="414" t="e">
        <f>IF(AND(FI66&gt;NDC!$C$63,FJ66&gt;NDC!$C$65,FK66&gt;NDC!$D$73,FL66&gt;NDC!$D$74,$B66&gt;NDC!$H$22-0.1+MIN(3*FM$12,1.5)),0,1)</f>
        <v>#N/A</v>
      </c>
    </row>
    <row r="67" spans="1:169">
      <c r="A67" s="96">
        <f t="shared" si="65"/>
        <v>94.600000000000307</v>
      </c>
      <c r="B67" s="97">
        <v>5.4</v>
      </c>
      <c r="C67" s="81">
        <f>IF(B67&lt;=Hypothèses!$C$7,Hypothèses!$A$7,IF(B67&lt;=Hypothèses!$C$8,Hypothèses!$A$8,IF(B67&lt;=Hypothèses!$C$9,Hypothèses!$A$9,IF(B67&lt;=Hypothèses!$C$10,Hypothèses!$A$10,IF(B67&lt;=Hypothèses!$C$11,Hypothèses!$A$11,IF(B67&lt;=Hypothèses!$C$12,Hypothèses!$A$12,IF(B67&lt;=Hypothèses!$C$13,Hypothèses!$A$13,IF(B67&lt;=Hypothèses!$C$14,Hypothèses!$A$14,IF(B67&lt;=Hypothèses!$C$15,Hypothèses!$A$15,IF(B67&lt;=Hypothèses!$C$16,Hypothèses!$A$16,IF(B67&lt;=Hypothèses!$C$17,Hypothèses!$A$17,IF(B67&lt;=Hypothèses!$C$18,Hypothèses!$A$18,C66))))))))))))</f>
        <v>11</v>
      </c>
      <c r="D67" s="82" t="str">
        <f>IF(B67&lt;=Hypothèses!$C$7,Hypothèses!$R$7,IF(B67&lt;=Hypothèses!$C$8,Hypothèses!$R$8,IF(B67&lt;=Hypothèses!$C$9,Hypothèses!$R$9,IF(B67&lt;=Hypothèses!$C$10,Hypothèses!$R$10,IF(B67&lt;=Hypothèses!$C$11,Hypothèses!$R$11,IF(B67&lt;=Hypothèses!$C$12,Hypothèses!$R$12,IF(B67&lt;=Hypothèses!$C$13,Hypothèses!$R$13,IF(B67&lt;=Hypothèses!$C$14,Hypothèses!$R$14,IF(B67&lt;=Hypothèses!$C$15,Hypothèses!$R$15,IF(B67&lt;=Hypothèses!$C$16,Hypothèses!$R$16,IF(B67&lt;=Hypothèses!$C$17,Hypothèses!$R$17,IF(B67&lt;=Hypothèses!$C$18,Hypothèses!$R$18,D66))))))))))))</f>
        <v>Pressio.</v>
      </c>
      <c r="E67" s="82" t="e">
        <f>IF(B67&lt;=Hypothèses!$C$7,Hypothèses!$G$7,IF(B67&lt;=Hypothèses!$C$8,Hypothèses!$G$8,IF(B67&lt;=Hypothèses!$C$9,Hypothèses!$G$9,IF(B67&lt;=Hypothèses!$C$10,Hypothèses!$G$10,IF(B67&lt;=Hypothèses!$C$11,Hypothèses!$G$11,IF(B67&lt;=Hypothèses!$C$12,Hypothèses!$G$12,IF(B67&lt;=Hypothèses!$C$13,Hypothèses!$G$13,IF(B67&lt;=Hypothèses!$C$14,Hypothèses!$G$14,IF(B67&lt;=Hypothèses!$C$15,Hypothèses!$G$15,IF(B67&lt;=Hypothèses!$C$16,Hypothèses!$G$16,IF(B67&lt;=Hypothèses!$C$17,Hypothèses!$G$17,IF(B67&lt;=Hypothèses!$C$18,Hypothèses!$G$18,E66))))))))))))</f>
        <v>#N/A</v>
      </c>
      <c r="F67" s="82" t="str">
        <f>IF(B67&lt;=Hypothèses!$C$7,Hypothèses!$F$7,IF(B67&lt;=Hypothèses!$C$8,Hypothèses!$F$8,IF(B67&lt;=Hypothèses!$C$9,Hypothèses!$F$9,IF(B67&lt;=Hypothèses!$C$10,Hypothèses!$F$10,IF(B67&lt;=Hypothèses!$C$11,Hypothèses!$F$11,IF(B67&lt;=Hypothèses!$C$12,Hypothèses!$F$12,IF(B67&lt;=Hypothèses!$C$13,Hypothèses!$F$13,IF(B67&lt;=Hypothèses!$C$14,Hypothèses!$F$14,IF(B67&lt;=Hypothèses!$C$15,Hypothèses!$F$15,IF(B67&lt;=Hypothèses!$C$16,Hypothèses!$F$16,IF(B67&lt;=Hypothèses!$C$17,Hypothèses!$F$17,IF(B67&lt;=Hypothèses!$C$18,Hypothèses!$F$18,F66))))))))))))</f>
        <v/>
      </c>
      <c r="G67" s="91">
        <f t="array" ref="G67">INDEX('Coeff EC7'!$U$7:$X$27,
MATCH(Model0.1T!$B$3,'Coeff EC7'!$T$7:$T$27,0),
MATCH(Model0.1T!$D67&amp;Model0.1T!$B$4,
'Coeff EC7'!$U$6:$X$6&amp;
'Coeff EC7'!$U$5:$X$5,0))</f>
        <v>1.4</v>
      </c>
      <c r="H67" s="91">
        <f t="array" ref="H67">INDEX('Coeff EC7'!$Y$7:$AB$27,
MATCH(Model0.1T!$B$3,'Coeff EC7'!$T$7:$T$27,0),
MATCH(Model0.1T!$D67&amp;Model0.1T!$B$4,
'Coeff EC7'!$Y$6:$AB$6&amp;
'Coeff EC7'!$Y$5:$AB$5,0))</f>
        <v>1.7</v>
      </c>
      <c r="I67" s="83">
        <v>0</v>
      </c>
      <c r="J67" s="91" t="e">
        <f t="array" ref="J67">INDEX('Coeff EC7'!$D$33:$Q$33,1,MATCH(D67&amp;E67,'Coeff EC7'!$D$31:$Q$31&amp;'Coeff EC7'!$D$32:$Q$32,0))</f>
        <v>#N/A</v>
      </c>
      <c r="K67" s="91" t="e">
        <f t="array" ref="K67">INDEX('Coeff EC7'!$D$34:$Q$34,1,MATCH(D67&amp;E67,'Coeff EC7'!$D$31:$Q$31&amp;'Coeff EC7'!$D$32:$Q$32,0))</f>
        <v>#N/A</v>
      </c>
      <c r="L67" s="91" t="e">
        <f t="array" ref="L67">INDEX('Coeff EC7'!$D$35:$Q$35,1,MATCH(D67&amp;E67,'Coeff EC7'!$D$31:$Q$31&amp;'Coeff EC7'!$D$32:$Q$32,0))</f>
        <v>#N/A</v>
      </c>
      <c r="M67" s="98" t="e">
        <f t="shared" si="8"/>
        <v>#N/A</v>
      </c>
      <c r="N67" s="99" t="e">
        <f t="array" ref="N67">INDEX('Coeff EC7'!$D$7:$Q$27,MATCH($B$3,'Coeff EC7'!$C$7:$C$27,0),MATCH(D67&amp;E67,'Coeff EC7'!$D$5:$Q$5&amp;'Coeff EC7'!$D$6:$Q$6,0))</f>
        <v>#N/A</v>
      </c>
      <c r="O67" s="99" t="e">
        <f t="array" ref="O67">INDEX('Coeff EC7'!$D$41:$Q$61,MATCH($B$3,'Coeff EC7'!$C$41:$C$61,0),MATCH(D67&amp;E67,'Coeff EC7'!$D$39:$Q$39&amp;'Coeff EC7'!$D$40:$Q$40,0))</f>
        <v>#N/A</v>
      </c>
      <c r="P67" s="30" t="e">
        <f t="shared" si="66"/>
        <v>#N/A</v>
      </c>
      <c r="Q67" s="100" t="e">
        <f t="shared" si="10"/>
        <v>#N/A</v>
      </c>
      <c r="R67" s="86" t="b">
        <f t="shared" si="11"/>
        <v>0</v>
      </c>
      <c r="S67" s="86">
        <f t="shared" si="9"/>
        <v>0.5</v>
      </c>
      <c r="T67" s="86">
        <f t="shared" si="12"/>
        <v>0.5</v>
      </c>
      <c r="U67" s="30" t="e">
        <f t="shared" ca="1" si="67"/>
        <v>#DIV/0!</v>
      </c>
      <c r="V67" s="85" t="str">
        <f>IF(B67&lt;=Hypothèses!$V$7,Hypothèses!$W$7,IF(B67&lt;=Hypothèses!$V$8,Hypothèses!$W$8,IF(B67&lt;=Hypothèses!$V$9,Hypothèses!$W$9,IF(B67&lt;=Hypothèses!$V$10,Hypothèses!$W$10,IF(B67&lt;=Hypothèses!$V$11,Hypothèses!$W$11,IF(B67&lt;=Hypothèses!$V$12,Hypothèses!$W$12,IF(B67&lt;=Hypothèses!$V$13,Hypothèses!$W$13,IF(B67&lt;=Hypothèses!$V$14,Hypothèses!$W$14,IF(B67&lt;=Hypothèses!$V$15,Hypothèses!$W$15,IF(B67&lt;=Hypothèses!$V$16,Hypothèses!$W$16,IF(B67&lt;=Hypothèses!$V$17,Hypothèses!$W$17,IF(B67&lt;=Hypothèses!$V$18,Hypothèses!$W$18,""))))))))))))</f>
        <v/>
      </c>
      <c r="W67" s="87" t="e">
        <f t="shared" ca="1" si="116"/>
        <v>#DIV/0!</v>
      </c>
      <c r="X67" s="88" t="str">
        <f>IF(B67&lt;=Hypothèses!$V$7,Hypothèses!$X$7,IF(B67&lt;=Hypothèses!$V$8,Hypothèses!$X$8,IF(B67&lt;=Hypothèses!$V$9,Hypothèses!$X$9,IF(B67&lt;=Hypothèses!$V$10,Hypothèses!$X$10,IF(B67&lt;=Hypothèses!$V$11,Hypothèses!$X$11,IF(B67&lt;=Hypothèses!$V$12,Hypothèses!$X$12,IF(B67&lt;=Hypothèses!$V$13,Hypothèses!$X$13,IF(B67&lt;=Hypothèses!$V$14,Hypothèses!$X$14,IF(B67&lt;=Hypothèses!$V$15,Hypothèses!$X$15,IF(B67&lt;=Hypothèses!$V$16,Hypothèses!$X$16,IF(B67&lt;=Hypothèses!$U$17,Hypothèses!$W$17,IF(B67&lt;=Hypothèses!$U$18,Hypothèses!$W$18,""))))))))))))</f>
        <v/>
      </c>
      <c r="Y67" s="95" t="e">
        <f t="shared" ca="1" si="13"/>
        <v>#DIV/0!</v>
      </c>
      <c r="Z67" s="101">
        <f t="shared" si="14"/>
        <v>0</v>
      </c>
      <c r="AA67" s="91">
        <f t="shared" si="15"/>
        <v>0</v>
      </c>
      <c r="AB67" s="30" t="e">
        <f t="shared" si="100"/>
        <v>#N/A</v>
      </c>
      <c r="AC67" s="30" t="e">
        <f t="shared" si="101"/>
        <v>#N/A</v>
      </c>
      <c r="AD67" s="31" t="e">
        <f>IF(OR(Hypothèses!$B$4=17,Hypothèses!$B$4=18,Hypothèses!$B$4=19,Hypothèses!$B$4=20),
IF($D67="Pressio.",
IF(OR($E67=3,$E67=1,$E67=4),AC67,AB67),
IF($D67="Pénétro.",
IF(OR($E67=3,$E67=1,$E67=4),AC67,AB67))),IF($D67="Pressio.",
IF($E67=3,AC67,AB67),
IF($D67="Pénétro.",
IF($E67=4,AC67,AB67))))</f>
        <v>#N/A</v>
      </c>
      <c r="AE67" s="31">
        <v>0</v>
      </c>
      <c r="AF67" s="102" t="e">
        <f>IF(NDC!$H$10="Oui",(VLOOKUP($B$3,'Coeff EC7'!$T$39:$X$59,2,0)*AD67+VLOOKUP($B$3,'Coeff EC7'!$T$65:$X$85,2,0)*Model0.1T!AE67)/1.5,PI()*AB$12*$Q67*($B67-$B66)*0.15/10+AF66)</f>
        <v>#N/A</v>
      </c>
      <c r="AG67" s="102" t="e">
        <f>(VLOOKUP($B$3,'Coeff EC7'!$T$39:$X$59,3,0)*AD67+VLOOKUP($B$3,'Coeff EC7'!$T$65:$X$85,3,0)*Model0.1T!AE67)/1.1</f>
        <v>#N/A</v>
      </c>
      <c r="AH67" s="102" t="e">
        <f t="shared" si="68"/>
        <v>#N/A</v>
      </c>
      <c r="AI67" s="102" t="e">
        <f t="shared" si="69"/>
        <v>#N/A</v>
      </c>
      <c r="AJ67" s="414" t="e">
        <f>IF(AND(AF67&gt;NDC!$C$63,AG67&gt;NDC!$C$65,AH67&gt;NDC!$D$73,AI67&gt;NDC!$D$74,$B67&gt;NDC!$H$22-0.1+MIN(3*$AJ$12,1.5)),0,1)</f>
        <v>#N/A</v>
      </c>
      <c r="AK67" s="86" t="b">
        <f t="shared" si="18"/>
        <v>0</v>
      </c>
      <c r="AL67" s="86">
        <f t="shared" si="70"/>
        <v>0.5</v>
      </c>
      <c r="AM67" s="86">
        <f t="shared" si="19"/>
        <v>0.5</v>
      </c>
      <c r="AN67" s="30" t="e">
        <f t="shared" ca="1" si="71"/>
        <v>#DIV/0!</v>
      </c>
      <c r="AO67" s="85" t="e">
        <f ca="1">IF(U67&lt;=Hypothèses!$V$7,Hypothèses!$W$7,IF(U67&lt;=Hypothèses!$V$8,Hypothèses!$W$8,IF(U67&lt;=Hypothèses!$V$9,Hypothèses!$W$9,IF(U67&lt;=Hypothèses!$V$10,Hypothèses!$W$10,IF(U67&lt;=Hypothèses!$V$11,Hypothèses!$W$11,IF(U67&lt;=Hypothèses!$V$12,Hypothèses!$W$12,IF(U67&lt;=Hypothèses!$V$13,Hypothèses!$W$13,IF(U67&lt;=Hypothèses!$V$14,Hypothèses!$W$14,IF(U67&lt;=Hypothèses!$V$15,Hypothèses!$W$15,IF(U67&lt;=Hypothèses!$V$16,Hypothèses!$W$16,IF(U67&lt;=Hypothèses!$V$17,Hypothèses!$W$17,IF(U67&lt;=Hypothèses!$V$18,Hypothèses!$W$18,""))))))))))))</f>
        <v>#DIV/0!</v>
      </c>
      <c r="AP67" s="87" t="e">
        <f t="shared" ca="1" si="117"/>
        <v>#DIV/0!</v>
      </c>
      <c r="AQ67" s="88" t="e">
        <f ca="1">IF(U67&lt;=Hypothèses!$V$7,Hypothèses!$X$7,IF(U67&lt;=Hypothèses!$V$8,Hypothèses!$X$8,IF(U67&lt;=Hypothèses!$V$9,Hypothèses!$X$9,IF(U67&lt;=Hypothèses!$V$10,Hypothèses!$X$10,IF(U67&lt;=Hypothèses!$V$11,Hypothèses!$X$11,IF(U67&lt;=Hypothèses!$V$12,Hypothèses!$X$12,IF(U67&lt;=Hypothèses!$V$13,Hypothèses!$X$13,IF(U67&lt;=Hypothèses!$V$14,Hypothèses!$X$14,IF(U67&lt;=Hypothèses!$V$15,Hypothèses!$X$15,IF(U67&lt;=Hypothèses!$V$16,Hypothèses!$X$16,IF(U67&lt;=Hypothèses!$U$17,Hypothèses!$W$17,IF(U67&lt;=Hypothèses!$U$18,Hypothèses!$W$18,""))))))))))))</f>
        <v>#DIV/0!</v>
      </c>
      <c r="AR67" s="95" t="e">
        <f t="shared" ca="1" si="72"/>
        <v>#DIV/0!</v>
      </c>
      <c r="AS67" s="101">
        <f t="shared" si="124"/>
        <v>0</v>
      </c>
      <c r="AT67" s="91">
        <f t="shared" si="21"/>
        <v>0</v>
      </c>
      <c r="AU67" s="30" t="e">
        <f t="shared" si="102"/>
        <v>#N/A</v>
      </c>
      <c r="AV67" s="30" t="e">
        <f t="shared" si="103"/>
        <v>#N/A</v>
      </c>
      <c r="AW67" s="31" t="e">
        <f>IF(OR(Hypothèses!$B$4=17,Hypothèses!$B$4=18,Hypothèses!$B$4=19,Hypothèses!$B$4=20),
IF($D67="Pressio.",
IF(OR($E67=3,$E67=1,$E67=4),AV67,AU67),
IF($D67="Pénétro.",
IF(OR($E67=3,$E67=1,$E67=4),AV67,AU67))),IF($D67="Pressio.",
IF($E67=3,AV67,AU67),
IF($D67="Pénétro.",
IF($E67=4,AV67,AU67))))</f>
        <v>#N/A</v>
      </c>
      <c r="AX67" s="31">
        <v>0</v>
      </c>
      <c r="AY67" s="102" t="e">
        <f>IF(NDC!$H$10="Oui",(VLOOKUP($B$3,'Coeff EC7'!$T$39:$X$59,2,0)*AW67+VLOOKUP($B$3,'Coeff EC7'!$T$65:$X$85,2,0)*Model0.1T!AX67)/1.5,PI()*AU$12*$Q67*($B67-$B66)*0.15/10+AY66)</f>
        <v>#N/A</v>
      </c>
      <c r="AZ67" s="102" t="e">
        <f>(VLOOKUP($B$3,'Coeff EC7'!$T$39:$X$59,3,0)*AW67+VLOOKUP($B$3,'Coeff EC7'!$T$65:$X$85,3,0)*Model0.1T!AX67)/1.1</f>
        <v>#N/A</v>
      </c>
      <c r="BA67" s="102" t="e">
        <f t="shared" si="73"/>
        <v>#N/A</v>
      </c>
      <c r="BB67" s="102" t="e">
        <f t="shared" si="74"/>
        <v>#N/A</v>
      </c>
      <c r="BC67" s="414" t="e">
        <f>IF(AND(AY67&gt;NDC!$C$63,AZ67&gt;NDC!$C$65,BA67&gt;NDC!$D$73,BB67&gt;NDC!$D$74,$B67&gt;NDC!$H$22-0.1+MIN(3*BC$12,1.5)),0,1)</f>
        <v>#N/A</v>
      </c>
      <c r="BD67" s="86" t="b">
        <f t="shared" si="24"/>
        <v>0</v>
      </c>
      <c r="BE67" s="86">
        <f t="shared" si="75"/>
        <v>0.5</v>
      </c>
      <c r="BF67" s="86">
        <f t="shared" si="25"/>
        <v>0.5</v>
      </c>
      <c r="BG67" s="30" t="e">
        <f t="shared" ca="1" si="76"/>
        <v>#DIV/0!</v>
      </c>
      <c r="BH67" s="85" t="e">
        <f ca="1">IF(AN67&lt;=Hypothèses!$V$7,Hypothèses!$W$7,IF(AN67&lt;=Hypothèses!$V$8,Hypothèses!$W$8,IF(AN67&lt;=Hypothèses!$V$9,Hypothèses!$W$9,IF(AN67&lt;=Hypothèses!$V$10,Hypothèses!$W$10,IF(AN67&lt;=Hypothèses!$V$11,Hypothèses!$W$11,IF(AN67&lt;=Hypothèses!$V$12,Hypothèses!$W$12,IF(AN67&lt;=Hypothèses!$V$13,Hypothèses!$W$13,IF(AN67&lt;=Hypothèses!$V$14,Hypothèses!$W$14,IF(AN67&lt;=Hypothèses!$V$15,Hypothèses!$W$15,IF(AN67&lt;=Hypothèses!$V$16,Hypothèses!$W$16,IF(AN67&lt;=Hypothèses!$V$17,Hypothèses!$W$17,IF(AN67&lt;=Hypothèses!$V$18,Hypothèses!$W$18,""))))))))))))</f>
        <v>#DIV/0!</v>
      </c>
      <c r="BI67" s="87" t="e">
        <f t="shared" ca="1" si="118"/>
        <v>#DIV/0!</v>
      </c>
      <c r="BJ67" s="88" t="e">
        <f ca="1">IF(AN67&lt;=Hypothèses!$V$7,Hypothèses!$X$7,IF(AN67&lt;=Hypothèses!$V$8,Hypothèses!$X$8,IF(AN67&lt;=Hypothèses!$V$9,Hypothèses!$X$9,IF(AN67&lt;=Hypothèses!$V$10,Hypothèses!$X$10,IF(AN67&lt;=Hypothèses!$V$11,Hypothèses!$X$11,IF(AN67&lt;=Hypothèses!$V$12,Hypothèses!$X$12,IF(AN67&lt;=Hypothèses!$V$13,Hypothèses!$X$13,IF(AN67&lt;=Hypothèses!$V$14,Hypothèses!$X$14,IF(AN67&lt;=Hypothèses!$V$15,Hypothèses!$X$15,IF(AN67&lt;=Hypothèses!$V$16,Hypothèses!$X$16,IF(AN67&lt;=Hypothèses!$U$17,Hypothèses!$W$17,IF(AN67&lt;=Hypothèses!$U$18,Hypothèses!$W$18,""))))))))))))</f>
        <v>#DIV/0!</v>
      </c>
      <c r="BK67" s="95" t="e">
        <f t="shared" ca="1" si="77"/>
        <v>#DIV/0!</v>
      </c>
      <c r="BL67" s="101">
        <f t="shared" si="125"/>
        <v>0</v>
      </c>
      <c r="BM67" s="91">
        <f t="shared" si="27"/>
        <v>0</v>
      </c>
      <c r="BN67" s="30" t="e">
        <f t="shared" si="104"/>
        <v>#N/A</v>
      </c>
      <c r="BO67" s="30" t="e">
        <f t="shared" si="105"/>
        <v>#N/A</v>
      </c>
      <c r="BP67" s="31" t="e">
        <f>IF(OR(Hypothèses!$B$4=17,Hypothèses!$B$4=18,Hypothèses!$B$4=19,Hypothèses!$B$4=20),
IF($D67="Pressio.",
IF(OR($E67=3,$E67=1,$E67=4),BO67,BN67),
IF($D67="Pénétro.",
IF(OR($E67=3,$E67=1,$E67=4),BO67,BN67))),IF($D67="Pressio.",
IF($E67=3,BO67,BN67),
IF($D67="Pénétro.",
IF($E67=4,BO67,BN67))))</f>
        <v>#N/A</v>
      </c>
      <c r="BQ67" s="31">
        <v>0</v>
      </c>
      <c r="BR67" s="102" t="e">
        <f>IF(NDC!$H$10="Oui",(VLOOKUP($B$3,'Coeff EC7'!$T$39:$X$59,2,0)*BP67+VLOOKUP($B$3,'Coeff EC7'!$T$65:$X$85,2,0)*Model0.1T!BQ67)/1.5,PI()*BN$12*$Q67*($B67-$B66)*0.15/10+BR66)</f>
        <v>#N/A</v>
      </c>
      <c r="BS67" s="102" t="e">
        <f>(VLOOKUP($B$3,'Coeff EC7'!$T$39:$X$59,3,0)*BP67+VLOOKUP($B$3,'Coeff EC7'!$T$65:$X$85,3,0)*Model0.1T!BQ67)/1.1</f>
        <v>#N/A</v>
      </c>
      <c r="BT67" s="102" t="e">
        <f t="shared" si="78"/>
        <v>#N/A</v>
      </c>
      <c r="BU67" s="102" t="e">
        <f t="shared" si="79"/>
        <v>#N/A</v>
      </c>
      <c r="BV67" s="414" t="e">
        <f>IF(AND(BR67&gt;NDC!$C$63,BS67&gt;NDC!$C$65,BT67&gt;NDC!$D$73,BU67&gt;NDC!$D$74,$B67&gt;NDC!$H$22-0.1+MIN(3*BV$12,1.5)),0,1)</f>
        <v>#N/A</v>
      </c>
      <c r="BW67" s="86" t="b">
        <f t="shared" si="30"/>
        <v>0</v>
      </c>
      <c r="BX67" s="86">
        <f t="shared" si="31"/>
        <v>0.5</v>
      </c>
      <c r="BY67" s="86">
        <f t="shared" si="32"/>
        <v>0.5</v>
      </c>
      <c r="BZ67" s="30" t="e">
        <f t="shared" ca="1" si="80"/>
        <v>#DIV/0!</v>
      </c>
      <c r="CA67" s="85" t="e">
        <f ca="1">IF(BG67&lt;=Hypothèses!$V$7,Hypothèses!$W$7,IF(BG67&lt;=Hypothèses!$V$8,Hypothèses!$W$8,IF(BG67&lt;=Hypothèses!$V$9,Hypothèses!$W$9,IF(BG67&lt;=Hypothèses!$V$10,Hypothèses!$W$10,IF(BG67&lt;=Hypothèses!$V$11,Hypothèses!$W$11,IF(BG67&lt;=Hypothèses!$V$12,Hypothèses!$W$12,IF(BG67&lt;=Hypothèses!$V$13,Hypothèses!$W$13,IF(BG67&lt;=Hypothèses!$V$14,Hypothèses!$W$14,IF(BG67&lt;=Hypothèses!$V$15,Hypothèses!$W$15,IF(BG67&lt;=Hypothèses!$V$16,Hypothèses!$W$16,IF(BG67&lt;=Hypothèses!$V$17,Hypothèses!$W$17,IF(BG67&lt;=Hypothèses!$V$18,Hypothèses!$W$18,""))))))))))))</f>
        <v>#DIV/0!</v>
      </c>
      <c r="CB67" s="87" t="e">
        <f t="shared" ca="1" si="119"/>
        <v>#DIV/0!</v>
      </c>
      <c r="CC67" s="88" t="e">
        <f ca="1">IF(BG67&lt;=Hypothèses!$V$7,Hypothèses!$X$7,IF(BG67&lt;=Hypothèses!$V$8,Hypothèses!$X$8,IF(BG67&lt;=Hypothèses!$V$9,Hypothèses!$X$9,IF(BG67&lt;=Hypothèses!$V$10,Hypothèses!$X$10,IF(BG67&lt;=Hypothèses!$V$11,Hypothèses!$X$11,IF(BG67&lt;=Hypothèses!$V$12,Hypothèses!$X$12,IF(BG67&lt;=Hypothèses!$V$13,Hypothèses!$X$13,IF(BG67&lt;=Hypothèses!$V$14,Hypothèses!$X$14,IF(BG67&lt;=Hypothèses!$V$15,Hypothèses!$X$15,IF(BG67&lt;=Hypothèses!$V$16,Hypothèses!$X$16,IF(BG67&lt;=Hypothèses!$U$17,Hypothèses!$W$17,IF(BG67&lt;=Hypothèses!$U$18,Hypothèses!$W$18,""))))))))))))</f>
        <v>#DIV/0!</v>
      </c>
      <c r="CD67" s="95" t="e">
        <f t="shared" ca="1" si="81"/>
        <v>#DIV/0!</v>
      </c>
      <c r="CE67" s="101">
        <f t="shared" si="126"/>
        <v>0</v>
      </c>
      <c r="CF67" s="91">
        <f t="shared" si="34"/>
        <v>0</v>
      </c>
      <c r="CG67" s="30" t="e">
        <f t="shared" si="106"/>
        <v>#N/A</v>
      </c>
      <c r="CH67" s="30" t="e">
        <f t="shared" si="107"/>
        <v>#N/A</v>
      </c>
      <c r="CI67" s="31" t="e">
        <f>IF(OR(Hypothèses!$B$4=17,Hypothèses!$B$4=18,Hypothèses!$B$4=19,Hypothèses!$B$4=20),
IF($D67="Pressio.",
IF(OR($E67=3,$E67=1,$E67=4),CH67,CG67),
IF($D67="Pénétro.",
IF(OR($E67=3,$E67=1,$E67=4),CH67,CG67))),IF($D67="Pressio.",
IF($E67=3,CH67,CG67),
IF($D67="Pénétro.",
IF($E67=4,CH67,CG67))))</f>
        <v>#N/A</v>
      </c>
      <c r="CJ67" s="31">
        <v>0</v>
      </c>
      <c r="CK67" s="102" t="e">
        <f>IF(NDC!$H$10="Oui",(VLOOKUP($B$3,'Coeff EC7'!$T$39:$X$59,2,0)*CI67+VLOOKUP($B$3,'Coeff EC7'!$T$65:$X$85,2,0)*Model0.1T!CJ67)/1.5,PI()*CG$12*$Q67*($B67-$B66)*0.15/10+CK66)</f>
        <v>#N/A</v>
      </c>
      <c r="CL67" s="102" t="e">
        <f>(VLOOKUP($B$3,'Coeff EC7'!$T$39:$X$59,3,0)*CI67+VLOOKUP($B$3,'Coeff EC7'!$T$65:$X$85,3,0)*Model0.1T!CJ67)/1.1</f>
        <v>#N/A</v>
      </c>
      <c r="CM67" s="102" t="e">
        <f t="shared" si="82"/>
        <v>#N/A</v>
      </c>
      <c r="CN67" s="102" t="e">
        <f t="shared" si="83"/>
        <v>#N/A</v>
      </c>
      <c r="CO67" s="414" t="e">
        <f>IF(AND(CK67&gt;NDC!$C$63,CL67&gt;NDC!$C$65,CM67&gt;NDC!$D$73,CN67&gt;NDC!$D$74,$B67&gt;NDC!$H$22-0.1+MIN(3*CO$12,1.5)),0,1)</f>
        <v>#N/A</v>
      </c>
      <c r="CP67" s="86" t="b">
        <f t="shared" si="37"/>
        <v>0</v>
      </c>
      <c r="CQ67" s="86">
        <f t="shared" si="38"/>
        <v>0.5</v>
      </c>
      <c r="CR67" s="86">
        <f t="shared" si="39"/>
        <v>0.5</v>
      </c>
      <c r="CS67" s="30" t="e">
        <f t="shared" ca="1" si="84"/>
        <v>#DIV/0!</v>
      </c>
      <c r="CT67" s="85" t="e">
        <f ca="1">IF(BZ67&lt;=Hypothèses!$V$7,Hypothèses!$W$7,IF(BZ67&lt;=Hypothèses!$V$8,Hypothèses!$W$8,IF(BZ67&lt;=Hypothèses!$V$9,Hypothèses!$W$9,IF(BZ67&lt;=Hypothèses!$V$10,Hypothèses!$W$10,IF(BZ67&lt;=Hypothèses!$V$11,Hypothèses!$W$11,IF(BZ67&lt;=Hypothèses!$V$12,Hypothèses!$W$12,IF(BZ67&lt;=Hypothèses!$V$13,Hypothèses!$W$13,IF(BZ67&lt;=Hypothèses!$V$14,Hypothèses!$W$14,IF(BZ67&lt;=Hypothèses!$V$15,Hypothèses!$W$15,IF(BZ67&lt;=Hypothèses!$V$16,Hypothèses!$W$16,IF(BZ67&lt;=Hypothèses!$V$17,Hypothèses!$W$17,IF(BZ67&lt;=Hypothèses!$V$18,Hypothèses!$W$18,""))))))))))))</f>
        <v>#DIV/0!</v>
      </c>
      <c r="CU67" s="87" t="e">
        <f t="shared" ca="1" si="120"/>
        <v>#DIV/0!</v>
      </c>
      <c r="CV67" s="88" t="e">
        <f ca="1">IF(BZ67&lt;=Hypothèses!$V$7,Hypothèses!$X$7,IF(BZ67&lt;=Hypothèses!$V$8,Hypothèses!$X$8,IF(BZ67&lt;=Hypothèses!$V$9,Hypothèses!$X$9,IF(BZ67&lt;=Hypothèses!$V$10,Hypothèses!$X$10,IF(BZ67&lt;=Hypothèses!$V$11,Hypothèses!$X$11,IF(BZ67&lt;=Hypothèses!$V$12,Hypothèses!$X$12,IF(BZ67&lt;=Hypothèses!$V$13,Hypothèses!$X$13,IF(BZ67&lt;=Hypothèses!$V$14,Hypothèses!$X$14,IF(BZ67&lt;=Hypothèses!$V$15,Hypothèses!$X$15,IF(BZ67&lt;=Hypothèses!$V$16,Hypothèses!$X$16,IF(BZ67&lt;=Hypothèses!$U$17,Hypothèses!$W$17,IF(BZ67&lt;=Hypothèses!$U$18,Hypothèses!$W$18,""))))))))))))</f>
        <v>#DIV/0!</v>
      </c>
      <c r="CW67" s="95" t="e">
        <f t="shared" ca="1" si="85"/>
        <v>#DIV/0!</v>
      </c>
      <c r="CX67" s="101">
        <f t="shared" si="127"/>
        <v>0</v>
      </c>
      <c r="CY67" s="91">
        <f t="shared" si="41"/>
        <v>0</v>
      </c>
      <c r="CZ67" s="30" t="e">
        <f t="shared" si="108"/>
        <v>#N/A</v>
      </c>
      <c r="DA67" s="30" t="e">
        <f t="shared" si="109"/>
        <v>#N/A</v>
      </c>
      <c r="DB67" s="31" t="e">
        <f>IF(OR(Hypothèses!$B$4=17,Hypothèses!$B$4=18,Hypothèses!$B$4=19,Hypothèses!$B$4=20),
IF($D67="Pressio.",
IF(OR($E67=3,$E67=1,$E67=4),DA67,CZ67),
IF($D67="Pénétro.",
IF(OR($E67=3,$E67=1,$E67=4),DA67,CZ67))),IF($D67="Pressio.",
IF($E67=3,DA67,CZ67),
IF($D67="Pénétro.",
IF($E67=4,DA67,CZ67))))</f>
        <v>#N/A</v>
      </c>
      <c r="DC67" s="31">
        <v>0</v>
      </c>
      <c r="DD67" s="102" t="e">
        <f>IF(NDC!$H$10="Oui",(VLOOKUP($B$3,'Coeff EC7'!$T$39:$X$59,2,0)*DB67+VLOOKUP($B$3,'Coeff EC7'!$T$65:$X$85,2,0)*Model0.1T!DC67)/1.5,PI()*CZ$12*$Q67*($B67-$B66)*0.15/10+DD66)</f>
        <v>#N/A</v>
      </c>
      <c r="DE67" s="102" t="e">
        <f>(VLOOKUP($B$3,'Coeff EC7'!$T$39:$X$59,3,0)*DB67+VLOOKUP($B$3,'Coeff EC7'!$T$65:$X$85,3,0)*Model0.1T!DC67)/1.1</f>
        <v>#N/A</v>
      </c>
      <c r="DF67" s="102" t="e">
        <f t="shared" si="86"/>
        <v>#N/A</v>
      </c>
      <c r="DG67" s="102" t="e">
        <f t="shared" si="87"/>
        <v>#N/A</v>
      </c>
      <c r="DH67" s="414" t="e">
        <f>IF(AND(DD67&gt;NDC!$C$63,DE67&gt;NDC!$C$65,DF67&gt;NDC!$D$73,DG67&gt;NDC!$D$74,$B67&gt;NDC!$H$22-0.1+MIN(3*DH$12,1.5)),0,1)</f>
        <v>#N/A</v>
      </c>
      <c r="DI67" s="86" t="b">
        <f t="shared" si="44"/>
        <v>0</v>
      </c>
      <c r="DJ67" s="86">
        <f t="shared" si="45"/>
        <v>0.5</v>
      </c>
      <c r="DK67" s="86">
        <f t="shared" si="46"/>
        <v>0.5</v>
      </c>
      <c r="DL67" s="30" t="e">
        <f t="shared" ca="1" si="88"/>
        <v>#DIV/0!</v>
      </c>
      <c r="DM67" s="85" t="e">
        <f ca="1">IF(CS67&lt;=Hypothèses!$V$7,Hypothèses!$W$7,IF(CS67&lt;=Hypothèses!$V$8,Hypothèses!$W$8,IF(CS67&lt;=Hypothèses!$V$9,Hypothèses!$W$9,IF(CS67&lt;=Hypothèses!$V$10,Hypothèses!$W$10,IF(CS67&lt;=Hypothèses!$V$11,Hypothèses!$W$11,IF(CS67&lt;=Hypothèses!$V$12,Hypothèses!$W$12,IF(CS67&lt;=Hypothèses!$V$13,Hypothèses!$W$13,IF(CS67&lt;=Hypothèses!$V$14,Hypothèses!$W$14,IF(CS67&lt;=Hypothèses!$V$15,Hypothèses!$W$15,IF(CS67&lt;=Hypothèses!$V$16,Hypothèses!$W$16,IF(CS67&lt;=Hypothèses!$V$17,Hypothèses!$W$17,IF(CS67&lt;=Hypothèses!$V$18,Hypothèses!$W$18,""))))))))))))</f>
        <v>#DIV/0!</v>
      </c>
      <c r="DN67" s="87" t="e">
        <f t="shared" ca="1" si="121"/>
        <v>#DIV/0!</v>
      </c>
      <c r="DO67" s="88" t="e">
        <f ca="1">IF(CS67&lt;=Hypothèses!$V$7,Hypothèses!$X$7,IF(CS67&lt;=Hypothèses!$V$8,Hypothèses!$X$8,IF(CS67&lt;=Hypothèses!$V$9,Hypothèses!$X$9,IF(CS67&lt;=Hypothèses!$V$10,Hypothèses!$X$10,IF(CS67&lt;=Hypothèses!$V$11,Hypothèses!$X$11,IF(CS67&lt;=Hypothèses!$V$12,Hypothèses!$X$12,IF(CS67&lt;=Hypothèses!$V$13,Hypothèses!$X$13,IF(CS67&lt;=Hypothèses!$V$14,Hypothèses!$X$14,IF(CS67&lt;=Hypothèses!$V$15,Hypothèses!$X$15,IF(CS67&lt;=Hypothèses!$V$16,Hypothèses!$X$16,IF(CS67&lt;=Hypothèses!$U$17,Hypothèses!$W$17,IF(CS67&lt;=Hypothèses!$U$18,Hypothèses!$W$18,""))))))))))))</f>
        <v>#DIV/0!</v>
      </c>
      <c r="DP67" s="95" t="e">
        <f t="shared" ca="1" si="89"/>
        <v>#DIV/0!</v>
      </c>
      <c r="DQ67" s="101">
        <f t="shared" si="128"/>
        <v>0</v>
      </c>
      <c r="DR67" s="91">
        <f t="shared" si="48"/>
        <v>0</v>
      </c>
      <c r="DS67" s="30" t="e">
        <f t="shared" si="110"/>
        <v>#N/A</v>
      </c>
      <c r="DT67" s="30" t="e">
        <f t="shared" si="111"/>
        <v>#N/A</v>
      </c>
      <c r="DU67" s="31" t="e">
        <f>IF(OR(Hypothèses!$B$4=17,Hypothèses!$B$4=18,Hypothèses!$B$4=19,Hypothèses!$B$4=20),
IF($D67="Pressio.",
IF(OR($E67=3,$E67=1,$E67=4),DT67,DS67),
IF($D67="Pénétro.",
IF(OR($E67=3,$E67=1,$E67=4),DT67,DS67))),IF($D67="Pressio.",
IF($E67=3,DT67,DS67),
IF($D67="Pénétro.",
IF($E67=4,DT67,DS67))))</f>
        <v>#N/A</v>
      </c>
      <c r="DV67" s="31">
        <v>0</v>
      </c>
      <c r="DW67" s="102" t="e">
        <f>IF(NDC!$H$10="Oui",(VLOOKUP($B$3,'Coeff EC7'!$T$39:$X$59,2,0)*DU67+VLOOKUP($B$3,'Coeff EC7'!$T$65:$X$85,2,0)*Model0.1T!DV67)/1.5,PI()*DS$12*$Q67*($B67-$B66)*0.15/10+DW66)</f>
        <v>#N/A</v>
      </c>
      <c r="DX67" s="102" t="e">
        <f>(VLOOKUP($B$3,'Coeff EC7'!$T$39:$X$59,3,0)*DU67+VLOOKUP($B$3,'Coeff EC7'!$T$65:$X$85,3,0)*Model0.1T!DV67)/1.1</f>
        <v>#N/A</v>
      </c>
      <c r="DY67" s="102" t="e">
        <f t="shared" si="90"/>
        <v>#N/A</v>
      </c>
      <c r="DZ67" s="102" t="e">
        <f t="shared" si="91"/>
        <v>#N/A</v>
      </c>
      <c r="EA67" s="414" t="e">
        <f>IF(AND(DW67&gt;NDC!$C$63,DX67&gt;NDC!$C$65,DY67&gt;NDC!$D$73,DZ67&gt;NDC!$D$74,$B67&gt;NDC!$H$22-0.1+MIN(3*EA$12,1.5)),0,1)</f>
        <v>#N/A</v>
      </c>
      <c r="EB67" s="86" t="b">
        <f t="shared" si="51"/>
        <v>0</v>
      </c>
      <c r="EC67" s="418">
        <f t="shared" si="52"/>
        <v>0.51</v>
      </c>
      <c r="ED67" s="86">
        <f t="shared" si="53"/>
        <v>0.51</v>
      </c>
      <c r="EE67" s="30" t="e">
        <f t="shared" ca="1" si="92"/>
        <v>#DIV/0!</v>
      </c>
      <c r="EF67" s="85" t="e">
        <f ca="1">IF(DL67&lt;=Hypothèses!$V$7,Hypothèses!$W$7,IF(DL67&lt;=Hypothèses!$V$8,Hypothèses!$W$8,IF(DL67&lt;=Hypothèses!$V$9,Hypothèses!$W$9,IF(DL67&lt;=Hypothèses!$V$10,Hypothèses!$W$10,IF(DL67&lt;=Hypothèses!$V$11,Hypothèses!$W$11,IF(DL67&lt;=Hypothèses!$V$12,Hypothèses!$W$12,IF(DL67&lt;=Hypothèses!$V$13,Hypothèses!$W$13,IF(DL67&lt;=Hypothèses!$V$14,Hypothèses!$W$14,IF(DL67&lt;=Hypothèses!$V$15,Hypothèses!$W$15,IF(DL67&lt;=Hypothèses!$V$16,Hypothèses!$W$16,IF(DL67&lt;=Hypothèses!$V$17,Hypothèses!$W$17,IF(DL67&lt;=Hypothèses!$V$18,Hypothèses!$W$18,""))))))))))))</f>
        <v>#DIV/0!</v>
      </c>
      <c r="EG67" s="87" t="e">
        <f t="shared" ca="1" si="122"/>
        <v>#DIV/0!</v>
      </c>
      <c r="EH67" s="88" t="e">
        <f ca="1">IF(DL67&lt;=Hypothèses!$V$7,Hypothèses!$X$7,IF(DL67&lt;=Hypothèses!$V$8,Hypothèses!$X$8,IF(DL67&lt;=Hypothèses!$V$9,Hypothèses!$X$9,IF(DL67&lt;=Hypothèses!$V$10,Hypothèses!$X$10,IF(DL67&lt;=Hypothèses!$V$11,Hypothèses!$X$11,IF(DL67&lt;=Hypothèses!$V$12,Hypothèses!$X$12,IF(DL67&lt;=Hypothèses!$V$13,Hypothèses!$X$13,IF(DL67&lt;=Hypothèses!$V$14,Hypothèses!$X$14,IF(DL67&lt;=Hypothèses!$V$15,Hypothèses!$X$15,IF(DL67&lt;=Hypothèses!$V$16,Hypothèses!$X$16,IF(DL67&lt;=Hypothèses!$U$17,Hypothèses!$W$17,IF(DL67&lt;=Hypothèses!$U$18,Hypothèses!$W$18,""))))))))))))</f>
        <v>#DIV/0!</v>
      </c>
      <c r="EI67" s="95" t="e">
        <f t="shared" ca="1" si="93"/>
        <v>#DIV/0!</v>
      </c>
      <c r="EJ67" s="101">
        <f t="shared" si="129"/>
        <v>0</v>
      </c>
      <c r="EK67" s="91">
        <f t="shared" si="55"/>
        <v>0</v>
      </c>
      <c r="EL67" s="30" t="e">
        <f t="shared" si="112"/>
        <v>#N/A</v>
      </c>
      <c r="EM67" s="30" t="e">
        <f t="shared" si="113"/>
        <v>#N/A</v>
      </c>
      <c r="EN67" s="31" t="e">
        <f>IF(OR(Hypothèses!$B$4=17,Hypothèses!$B$4=18,Hypothèses!$B$4=19,Hypothèses!$B$4=20),
IF($D67="Pressio.",
IF(OR($E67=3,$E67=1,$E67=4),EM67,EL67),
IF($D67="Pénétro.",
IF(OR($E67=3,$E67=1,$E67=4),EM67,EL67))),IF($D67="Pressio.",
IF($E67=3,EM67,EL67),
IF($D67="Pénétro.",
IF($E67=4,EM67,EL67))))</f>
        <v>#N/A</v>
      </c>
      <c r="EO67" s="31">
        <v>0</v>
      </c>
      <c r="EP67" s="102" t="e">
        <f>IF(NDC!$H$10="Oui",(VLOOKUP($B$3,'Coeff EC7'!$T$39:$X$59,2,0)*EN67+VLOOKUP($B$3,'Coeff EC7'!$T$65:$X$85,2,0)*Model0.1T!EO67)/1.5,PI()*EL$12*$Q67*($B67-$B66)*0.15/10+EP66)</f>
        <v>#N/A</v>
      </c>
      <c r="EQ67" s="102" t="e">
        <f>(VLOOKUP($B$3,'Coeff EC7'!$T$39:$X$59,3,0)*EN67+VLOOKUP($B$3,'Coeff EC7'!$T$65:$X$85,3,0)*Model0.1T!EO67)/1.1</f>
        <v>#N/A</v>
      </c>
      <c r="ER67" s="102" t="e">
        <f t="shared" si="94"/>
        <v>#N/A</v>
      </c>
      <c r="ES67" s="102" t="e">
        <f t="shared" si="95"/>
        <v>#N/A</v>
      </c>
      <c r="ET67" s="414" t="e">
        <f>IF(AND(EP67&gt;NDC!$C$63,EQ67&gt;NDC!$C$65,ER67&gt;NDC!$D$73,ES67&gt;NDC!$D$74,$B67&gt;NDC!$H$22-0.1+MIN(3*ET$12,1.5)),0,1)</f>
        <v>#N/A</v>
      </c>
      <c r="EU67" s="86" t="b">
        <f t="shared" si="58"/>
        <v>0</v>
      </c>
      <c r="EV67" s="86">
        <f t="shared" si="59"/>
        <v>0.61</v>
      </c>
      <c r="EW67" s="86">
        <f t="shared" si="60"/>
        <v>0.61</v>
      </c>
      <c r="EX67" s="30" t="e">
        <f t="shared" ca="1" si="96"/>
        <v>#DIV/0!</v>
      </c>
      <c r="EY67" s="85" t="e">
        <f ca="1">IF(EE67&lt;=Hypothèses!$V$7,Hypothèses!$W$7,IF(EE67&lt;=Hypothèses!$V$8,Hypothèses!$W$8,IF(EE67&lt;=Hypothèses!$V$9,Hypothèses!$W$9,IF(EE67&lt;=Hypothèses!$V$10,Hypothèses!$W$10,IF(EE67&lt;=Hypothèses!$V$11,Hypothèses!$W$11,IF(EE67&lt;=Hypothèses!$V$12,Hypothèses!$W$12,IF(EE67&lt;=Hypothèses!$V$13,Hypothèses!$W$13,IF(EE67&lt;=Hypothèses!$V$14,Hypothèses!$W$14,IF(EE67&lt;=Hypothèses!$V$15,Hypothèses!$W$15,IF(EE67&lt;=Hypothèses!$V$16,Hypothèses!$W$16,IF(EE67&lt;=Hypothèses!$V$17,Hypothèses!$W$17,IF(EE67&lt;=Hypothèses!$V$18,Hypothèses!$W$18,""))))))))))))</f>
        <v>#DIV/0!</v>
      </c>
      <c r="EZ67" s="87" t="e">
        <f t="shared" ca="1" si="123"/>
        <v>#DIV/0!</v>
      </c>
      <c r="FA67" s="88" t="e">
        <f ca="1">IF(EE67&lt;=Hypothèses!$V$7,Hypothèses!$X$7,IF(EE67&lt;=Hypothèses!$V$8,Hypothèses!$X$8,IF(EE67&lt;=Hypothèses!$V$9,Hypothèses!$X$9,IF(EE67&lt;=Hypothèses!$V$10,Hypothèses!$X$10,IF(EE67&lt;=Hypothèses!$V$11,Hypothèses!$X$11,IF(EE67&lt;=Hypothèses!$V$12,Hypothèses!$X$12,IF(EE67&lt;=Hypothèses!$V$13,Hypothèses!$X$13,IF(EE67&lt;=Hypothèses!$V$14,Hypothèses!$X$14,IF(EE67&lt;=Hypothèses!$V$15,Hypothèses!$X$15,IF(EE67&lt;=Hypothèses!$V$16,Hypothèses!$X$16,IF(EE67&lt;=Hypothèses!$U$17,Hypothèses!$W$17,IF(EE67&lt;=Hypothèses!$U$18,Hypothèses!$W$18,""))))))))))))</f>
        <v>#DIV/0!</v>
      </c>
      <c r="FB67" s="95" t="e">
        <f t="shared" ca="1" si="97"/>
        <v>#DIV/0!</v>
      </c>
      <c r="FC67" s="101">
        <f t="shared" si="130"/>
        <v>0</v>
      </c>
      <c r="FD67" s="91">
        <f t="shared" si="62"/>
        <v>0</v>
      </c>
      <c r="FE67" s="30" t="e">
        <f t="shared" si="114"/>
        <v>#N/A</v>
      </c>
      <c r="FF67" s="30" t="e">
        <f t="shared" si="115"/>
        <v>#N/A</v>
      </c>
      <c r="FG67" s="31" t="e">
        <f>IF(OR(Hypothèses!$B$4=17,Hypothèses!$B$4=18,Hypothèses!$B$4=19,Hypothèses!$B$4=20),
IF($D67="Pressio.",
IF(OR($E67=3,$E67=1,$E67=4),FF67,FE67),
IF($D67="Pénétro.",
IF(OR($E67=3,$E67=1,$E67=4),FF67,FE67))),IF($D67="Pressio.",
IF($E67=3,FF67,FE67),
IF($D67="Pénétro.",
IF($E67=4,FF67,FE67))))</f>
        <v>#N/A</v>
      </c>
      <c r="FH67" s="31">
        <v>0</v>
      </c>
      <c r="FI67" s="102" t="e">
        <f>IF(NDC!$H$10="Oui",(VLOOKUP($B$3,'Coeff EC7'!$T$39:$X$59,2,0)*FG67+VLOOKUP($B$3,'Coeff EC7'!$T$65:$X$85,2,0)*Model0.1T!FH67)/1.5,PI()*FE$12*$Q67*($B67-$B66)*0.15/10+FI66)</f>
        <v>#N/A</v>
      </c>
      <c r="FJ67" s="102" t="e">
        <f>(VLOOKUP($B$3,'Coeff EC7'!$T$39:$X$59,3,0)*FG67+VLOOKUP($B$3,'Coeff EC7'!$T$65:$X$85,3,0)*Model0.1T!FH67)/1.1</f>
        <v>#N/A</v>
      </c>
      <c r="FK67" s="102" t="e">
        <f t="shared" si="98"/>
        <v>#N/A</v>
      </c>
      <c r="FL67" s="102" t="e">
        <f t="shared" si="99"/>
        <v>#N/A</v>
      </c>
      <c r="FM67" s="414" t="e">
        <f>IF(AND(FI67&gt;NDC!$C$63,FJ67&gt;NDC!$C$65,FK67&gt;NDC!$D$73,FL67&gt;NDC!$D$74,$B67&gt;NDC!$H$22-0.1+MIN(3*FM$12,1.5)),0,1)</f>
        <v>#N/A</v>
      </c>
    </row>
    <row r="68" spans="1:169">
      <c r="A68" s="96">
        <f t="shared" si="65"/>
        <v>94.500000000000313</v>
      </c>
      <c r="B68" s="97">
        <v>5.5</v>
      </c>
      <c r="C68" s="81">
        <f>IF(B68&lt;=Hypothèses!$C$7,Hypothèses!$A$7,IF(B68&lt;=Hypothèses!$C$8,Hypothèses!$A$8,IF(B68&lt;=Hypothèses!$C$9,Hypothèses!$A$9,IF(B68&lt;=Hypothèses!$C$10,Hypothèses!$A$10,IF(B68&lt;=Hypothèses!$C$11,Hypothèses!$A$11,IF(B68&lt;=Hypothèses!$C$12,Hypothèses!$A$12,IF(B68&lt;=Hypothèses!$C$13,Hypothèses!$A$13,IF(B68&lt;=Hypothèses!$C$14,Hypothèses!$A$14,IF(B68&lt;=Hypothèses!$C$15,Hypothèses!$A$15,IF(B68&lt;=Hypothèses!$C$16,Hypothèses!$A$16,IF(B68&lt;=Hypothèses!$C$17,Hypothèses!$A$17,IF(B68&lt;=Hypothèses!$C$18,Hypothèses!$A$18,C67))))))))))))</f>
        <v>11</v>
      </c>
      <c r="D68" s="82" t="str">
        <f>IF(B68&lt;=Hypothèses!$C$7,Hypothèses!$R$7,IF(B68&lt;=Hypothèses!$C$8,Hypothèses!$R$8,IF(B68&lt;=Hypothèses!$C$9,Hypothèses!$R$9,IF(B68&lt;=Hypothèses!$C$10,Hypothèses!$R$10,IF(B68&lt;=Hypothèses!$C$11,Hypothèses!$R$11,IF(B68&lt;=Hypothèses!$C$12,Hypothèses!$R$12,IF(B68&lt;=Hypothèses!$C$13,Hypothèses!$R$13,IF(B68&lt;=Hypothèses!$C$14,Hypothèses!$R$14,IF(B68&lt;=Hypothèses!$C$15,Hypothèses!$R$15,IF(B68&lt;=Hypothèses!$C$16,Hypothèses!$R$16,IF(B68&lt;=Hypothèses!$C$17,Hypothèses!$R$17,IF(B68&lt;=Hypothèses!$C$18,Hypothèses!$R$18,D67))))))))))))</f>
        <v>Pressio.</v>
      </c>
      <c r="E68" s="82" t="e">
        <f>IF(B68&lt;=Hypothèses!$C$7,Hypothèses!$G$7,IF(B68&lt;=Hypothèses!$C$8,Hypothèses!$G$8,IF(B68&lt;=Hypothèses!$C$9,Hypothèses!$G$9,IF(B68&lt;=Hypothèses!$C$10,Hypothèses!$G$10,IF(B68&lt;=Hypothèses!$C$11,Hypothèses!$G$11,IF(B68&lt;=Hypothèses!$C$12,Hypothèses!$G$12,IF(B68&lt;=Hypothèses!$C$13,Hypothèses!$G$13,IF(B68&lt;=Hypothèses!$C$14,Hypothèses!$G$14,IF(B68&lt;=Hypothèses!$C$15,Hypothèses!$G$15,IF(B68&lt;=Hypothèses!$C$16,Hypothèses!$G$16,IF(B68&lt;=Hypothèses!$C$17,Hypothèses!$G$17,IF(B68&lt;=Hypothèses!$C$18,Hypothèses!$G$18,E67))))))))))))</f>
        <v>#N/A</v>
      </c>
      <c r="F68" s="82" t="str">
        <f>IF(B68&lt;=Hypothèses!$C$7,Hypothèses!$F$7,IF(B68&lt;=Hypothèses!$C$8,Hypothèses!$F$8,IF(B68&lt;=Hypothèses!$C$9,Hypothèses!$F$9,IF(B68&lt;=Hypothèses!$C$10,Hypothèses!$F$10,IF(B68&lt;=Hypothèses!$C$11,Hypothèses!$F$11,IF(B68&lt;=Hypothèses!$C$12,Hypothèses!$F$12,IF(B68&lt;=Hypothèses!$C$13,Hypothèses!$F$13,IF(B68&lt;=Hypothèses!$C$14,Hypothèses!$F$14,IF(B68&lt;=Hypothèses!$C$15,Hypothèses!$F$15,IF(B68&lt;=Hypothèses!$C$16,Hypothèses!$F$16,IF(B68&lt;=Hypothèses!$C$17,Hypothèses!$F$17,IF(B68&lt;=Hypothèses!$C$18,Hypothèses!$F$18,F67))))))))))))</f>
        <v/>
      </c>
      <c r="G68" s="91">
        <f t="array" ref="G68">INDEX('Coeff EC7'!$U$7:$X$27,
MATCH(Model0.1T!$B$3,'Coeff EC7'!$T$7:$T$27,0),
MATCH(Model0.1T!$D68&amp;Model0.1T!$B$4,
'Coeff EC7'!$U$6:$X$6&amp;
'Coeff EC7'!$U$5:$X$5,0))</f>
        <v>1.4</v>
      </c>
      <c r="H68" s="91">
        <f t="array" ref="H68">INDEX('Coeff EC7'!$Y$7:$AB$27,
MATCH(Model0.1T!$B$3,'Coeff EC7'!$T$7:$T$27,0),
MATCH(Model0.1T!$D68&amp;Model0.1T!$B$4,
'Coeff EC7'!$Y$6:$AB$6&amp;
'Coeff EC7'!$Y$5:$AB$5,0))</f>
        <v>1.7</v>
      </c>
      <c r="I68" s="83">
        <v>0</v>
      </c>
      <c r="J68" s="91" t="e">
        <f t="array" ref="J68">INDEX('Coeff EC7'!$D$33:$Q$33,1,MATCH(D68&amp;E68,'Coeff EC7'!$D$31:$Q$31&amp;'Coeff EC7'!$D$32:$Q$32,0))</f>
        <v>#N/A</v>
      </c>
      <c r="K68" s="91" t="e">
        <f t="array" ref="K68">INDEX('Coeff EC7'!$D$34:$Q$34,1,MATCH(D68&amp;E68,'Coeff EC7'!$D$31:$Q$31&amp;'Coeff EC7'!$D$32:$Q$32,0))</f>
        <v>#N/A</v>
      </c>
      <c r="L68" s="91" t="e">
        <f t="array" ref="L68">INDEX('Coeff EC7'!$D$35:$Q$35,1,MATCH(D68&amp;E68,'Coeff EC7'!$D$31:$Q$31&amp;'Coeff EC7'!$D$32:$Q$32,0))</f>
        <v>#N/A</v>
      </c>
      <c r="M68" s="98" t="e">
        <f t="shared" si="8"/>
        <v>#N/A</v>
      </c>
      <c r="N68" s="99" t="e">
        <f t="array" ref="N68">INDEX('Coeff EC7'!$D$7:$Q$27,MATCH($B$3,'Coeff EC7'!$C$7:$C$27,0),MATCH(D68&amp;E68,'Coeff EC7'!$D$5:$Q$5&amp;'Coeff EC7'!$D$6:$Q$6,0))</f>
        <v>#N/A</v>
      </c>
      <c r="O68" s="99" t="e">
        <f t="array" ref="O68">INDEX('Coeff EC7'!$D$41:$Q$61,MATCH($B$3,'Coeff EC7'!$C$41:$C$61,0),MATCH(D68&amp;E68,'Coeff EC7'!$D$39:$Q$39&amp;'Coeff EC7'!$D$40:$Q$40,0))</f>
        <v>#N/A</v>
      </c>
      <c r="P68" s="30" t="e">
        <f t="shared" si="66"/>
        <v>#N/A</v>
      </c>
      <c r="Q68" s="100" t="e">
        <f t="shared" si="10"/>
        <v>#N/A</v>
      </c>
      <c r="R68" s="86" t="b">
        <f t="shared" si="11"/>
        <v>0</v>
      </c>
      <c r="S68" s="86">
        <f t="shared" si="9"/>
        <v>0.5</v>
      </c>
      <c r="T68" s="86">
        <f t="shared" si="12"/>
        <v>0.5</v>
      </c>
      <c r="U68" s="30" t="e">
        <f t="shared" ca="1" si="67"/>
        <v>#DIV/0!</v>
      </c>
      <c r="V68" s="85" t="str">
        <f>IF(B68&lt;=Hypothèses!$V$7,Hypothèses!$W$7,IF(B68&lt;=Hypothèses!$V$8,Hypothèses!$W$8,IF(B68&lt;=Hypothèses!$V$9,Hypothèses!$W$9,IF(B68&lt;=Hypothèses!$V$10,Hypothèses!$W$10,IF(B68&lt;=Hypothèses!$V$11,Hypothèses!$W$11,IF(B68&lt;=Hypothèses!$V$12,Hypothèses!$W$12,IF(B68&lt;=Hypothèses!$V$13,Hypothèses!$W$13,IF(B68&lt;=Hypothèses!$V$14,Hypothèses!$W$14,IF(B68&lt;=Hypothèses!$V$15,Hypothèses!$W$15,IF(B68&lt;=Hypothèses!$V$16,Hypothèses!$W$16,IF(B68&lt;=Hypothèses!$V$17,Hypothèses!$W$17,IF(B68&lt;=Hypothèses!$V$18,Hypothèses!$W$18,""))))))))))))</f>
        <v/>
      </c>
      <c r="W68" s="87" t="e">
        <f t="shared" ca="1" si="116"/>
        <v>#DIV/0!</v>
      </c>
      <c r="X68" s="88" t="str">
        <f>IF(B68&lt;=Hypothèses!$V$7,Hypothèses!$X$7,IF(B68&lt;=Hypothèses!$V$8,Hypothèses!$X$8,IF(B68&lt;=Hypothèses!$V$9,Hypothèses!$X$9,IF(B68&lt;=Hypothèses!$V$10,Hypothèses!$X$10,IF(B68&lt;=Hypothèses!$V$11,Hypothèses!$X$11,IF(B68&lt;=Hypothèses!$V$12,Hypothèses!$X$12,IF(B68&lt;=Hypothèses!$V$13,Hypothèses!$X$13,IF(B68&lt;=Hypothèses!$V$14,Hypothèses!$X$14,IF(B68&lt;=Hypothèses!$V$15,Hypothèses!$X$15,IF(B68&lt;=Hypothèses!$V$16,Hypothèses!$X$16,IF(B68&lt;=Hypothèses!$U$17,Hypothèses!$W$17,IF(B68&lt;=Hypothèses!$U$18,Hypothèses!$W$18,""))))))))))))</f>
        <v/>
      </c>
      <c r="Y68" s="95" t="e">
        <f t="shared" ca="1" si="13"/>
        <v>#DIV/0!</v>
      </c>
      <c r="Z68" s="101">
        <f t="shared" si="14"/>
        <v>0</v>
      </c>
      <c r="AA68" s="91">
        <f t="shared" si="15"/>
        <v>0</v>
      </c>
      <c r="AB68" s="30" t="e">
        <f t="shared" si="100"/>
        <v>#N/A</v>
      </c>
      <c r="AC68" s="30" t="e">
        <f t="shared" si="101"/>
        <v>#N/A</v>
      </c>
      <c r="AD68" s="31" t="e">
        <f>IF(OR(Hypothèses!$B$4=17,Hypothèses!$B$4=18,Hypothèses!$B$4=19,Hypothèses!$B$4=20),
IF($D68="Pressio.",
IF(OR($E68=3,$E68=1,$E68=4),AC68,AB68),
IF($D68="Pénétro.",
IF(OR($E68=3,$E68=1,$E68=4),AC68,AB68))),IF($D68="Pressio.",
IF($E68=3,AC68,AB68),
IF($D68="Pénétro.",
IF($E68=4,AC68,AB68))))</f>
        <v>#N/A</v>
      </c>
      <c r="AE68" s="31">
        <v>0</v>
      </c>
      <c r="AF68" s="102" t="e">
        <f>IF(NDC!$H$10="Oui",(VLOOKUP($B$3,'Coeff EC7'!$T$39:$X$59,2,0)*AD68+VLOOKUP($B$3,'Coeff EC7'!$T$65:$X$85,2,0)*Model0.1T!AE68)/1.5,PI()*AB$12*$Q68*($B68-$B67)*0.15/10+AF67)</f>
        <v>#N/A</v>
      </c>
      <c r="AG68" s="102" t="e">
        <f>(VLOOKUP($B$3,'Coeff EC7'!$T$39:$X$59,3,0)*AD68+VLOOKUP($B$3,'Coeff EC7'!$T$65:$X$85,3,0)*Model0.1T!AE68)/1.1</f>
        <v>#N/A</v>
      </c>
      <c r="AH68" s="102" t="e">
        <f t="shared" si="68"/>
        <v>#N/A</v>
      </c>
      <c r="AI68" s="102" t="e">
        <f t="shared" si="69"/>
        <v>#N/A</v>
      </c>
      <c r="AJ68" s="414" t="e">
        <f>IF(AND(AF68&gt;NDC!$C$63,AG68&gt;NDC!$C$65,AH68&gt;NDC!$D$73,AI68&gt;NDC!$D$74,$B68&gt;NDC!$H$22-0.1+MIN(3*$AJ$12,1.5)),0,1)</f>
        <v>#N/A</v>
      </c>
      <c r="AK68" s="86" t="b">
        <f t="shared" si="18"/>
        <v>0</v>
      </c>
      <c r="AL68" s="86">
        <f t="shared" si="70"/>
        <v>0.5</v>
      </c>
      <c r="AM68" s="86">
        <f t="shared" si="19"/>
        <v>0.5</v>
      </c>
      <c r="AN68" s="30" t="e">
        <f t="shared" ca="1" si="71"/>
        <v>#DIV/0!</v>
      </c>
      <c r="AO68" s="85" t="e">
        <f ca="1">IF(U68&lt;=Hypothèses!$V$7,Hypothèses!$W$7,IF(U68&lt;=Hypothèses!$V$8,Hypothèses!$W$8,IF(U68&lt;=Hypothèses!$V$9,Hypothèses!$W$9,IF(U68&lt;=Hypothèses!$V$10,Hypothèses!$W$10,IF(U68&lt;=Hypothèses!$V$11,Hypothèses!$W$11,IF(U68&lt;=Hypothèses!$V$12,Hypothèses!$W$12,IF(U68&lt;=Hypothèses!$V$13,Hypothèses!$W$13,IF(U68&lt;=Hypothèses!$V$14,Hypothèses!$W$14,IF(U68&lt;=Hypothèses!$V$15,Hypothèses!$W$15,IF(U68&lt;=Hypothèses!$V$16,Hypothèses!$W$16,IF(U68&lt;=Hypothèses!$V$17,Hypothèses!$W$17,IF(U68&lt;=Hypothèses!$V$18,Hypothèses!$W$18,""))))))))))))</f>
        <v>#DIV/0!</v>
      </c>
      <c r="AP68" s="87" t="e">
        <f t="shared" ca="1" si="117"/>
        <v>#DIV/0!</v>
      </c>
      <c r="AQ68" s="88" t="e">
        <f ca="1">IF(U68&lt;=Hypothèses!$V$7,Hypothèses!$X$7,IF(U68&lt;=Hypothèses!$V$8,Hypothèses!$X$8,IF(U68&lt;=Hypothèses!$V$9,Hypothèses!$X$9,IF(U68&lt;=Hypothèses!$V$10,Hypothèses!$X$10,IF(U68&lt;=Hypothèses!$V$11,Hypothèses!$X$11,IF(U68&lt;=Hypothèses!$V$12,Hypothèses!$X$12,IF(U68&lt;=Hypothèses!$V$13,Hypothèses!$X$13,IF(U68&lt;=Hypothèses!$V$14,Hypothèses!$X$14,IF(U68&lt;=Hypothèses!$V$15,Hypothèses!$X$15,IF(U68&lt;=Hypothèses!$V$16,Hypothèses!$X$16,IF(U68&lt;=Hypothèses!$U$17,Hypothèses!$W$17,IF(U68&lt;=Hypothèses!$U$18,Hypothèses!$W$18,""))))))))))))</f>
        <v>#DIV/0!</v>
      </c>
      <c r="AR68" s="95" t="e">
        <f t="shared" ca="1" si="72"/>
        <v>#DIV/0!</v>
      </c>
      <c r="AS68" s="101">
        <f t="shared" si="124"/>
        <v>0</v>
      </c>
      <c r="AT68" s="91">
        <f t="shared" si="21"/>
        <v>0</v>
      </c>
      <c r="AU68" s="30" t="e">
        <f t="shared" si="102"/>
        <v>#N/A</v>
      </c>
      <c r="AV68" s="30" t="e">
        <f t="shared" si="103"/>
        <v>#N/A</v>
      </c>
      <c r="AW68" s="31" t="e">
        <f>IF(OR(Hypothèses!$B$4=17,Hypothèses!$B$4=18,Hypothèses!$B$4=19,Hypothèses!$B$4=20),
IF($D68="Pressio.",
IF(OR($E68=3,$E68=1,$E68=4),AV68,AU68),
IF($D68="Pénétro.",
IF(OR($E68=3,$E68=1,$E68=4),AV68,AU68))),IF($D68="Pressio.",
IF($E68=3,AV68,AU68),
IF($D68="Pénétro.",
IF($E68=4,AV68,AU68))))</f>
        <v>#N/A</v>
      </c>
      <c r="AX68" s="31">
        <v>0</v>
      </c>
      <c r="AY68" s="102" t="e">
        <f>IF(NDC!$H$10="Oui",(VLOOKUP($B$3,'Coeff EC7'!$T$39:$X$59,2,0)*AW68+VLOOKUP($B$3,'Coeff EC7'!$T$65:$X$85,2,0)*Model0.1T!AX68)/1.5,PI()*AU$12*$Q68*($B68-$B67)*0.15/10+AY67)</f>
        <v>#N/A</v>
      </c>
      <c r="AZ68" s="102" t="e">
        <f>(VLOOKUP($B$3,'Coeff EC7'!$T$39:$X$59,3,0)*AW68+VLOOKUP($B$3,'Coeff EC7'!$T$65:$X$85,3,0)*Model0.1T!AX68)/1.1</f>
        <v>#N/A</v>
      </c>
      <c r="BA68" s="102" t="e">
        <f t="shared" si="73"/>
        <v>#N/A</v>
      </c>
      <c r="BB68" s="102" t="e">
        <f t="shared" si="74"/>
        <v>#N/A</v>
      </c>
      <c r="BC68" s="414" t="e">
        <f>IF(AND(AY68&gt;NDC!$C$63,AZ68&gt;NDC!$C$65,BA68&gt;NDC!$D$73,BB68&gt;NDC!$D$74,$B68&gt;NDC!$H$22-0.1+MIN(3*BC$12,1.5)),0,1)</f>
        <v>#N/A</v>
      </c>
      <c r="BD68" s="86" t="b">
        <f t="shared" si="24"/>
        <v>0</v>
      </c>
      <c r="BE68" s="86">
        <f t="shared" si="75"/>
        <v>0.5</v>
      </c>
      <c r="BF68" s="86">
        <f t="shared" si="25"/>
        <v>0.5</v>
      </c>
      <c r="BG68" s="30" t="e">
        <f t="shared" ca="1" si="76"/>
        <v>#DIV/0!</v>
      </c>
      <c r="BH68" s="85" t="e">
        <f ca="1">IF(AN68&lt;=Hypothèses!$V$7,Hypothèses!$W$7,IF(AN68&lt;=Hypothèses!$V$8,Hypothèses!$W$8,IF(AN68&lt;=Hypothèses!$V$9,Hypothèses!$W$9,IF(AN68&lt;=Hypothèses!$V$10,Hypothèses!$W$10,IF(AN68&lt;=Hypothèses!$V$11,Hypothèses!$W$11,IF(AN68&lt;=Hypothèses!$V$12,Hypothèses!$W$12,IF(AN68&lt;=Hypothèses!$V$13,Hypothèses!$W$13,IF(AN68&lt;=Hypothèses!$V$14,Hypothèses!$W$14,IF(AN68&lt;=Hypothèses!$V$15,Hypothèses!$W$15,IF(AN68&lt;=Hypothèses!$V$16,Hypothèses!$W$16,IF(AN68&lt;=Hypothèses!$V$17,Hypothèses!$W$17,IF(AN68&lt;=Hypothèses!$V$18,Hypothèses!$W$18,""))))))))))))</f>
        <v>#DIV/0!</v>
      </c>
      <c r="BI68" s="87" t="e">
        <f t="shared" ca="1" si="118"/>
        <v>#DIV/0!</v>
      </c>
      <c r="BJ68" s="88" t="e">
        <f ca="1">IF(AN68&lt;=Hypothèses!$V$7,Hypothèses!$X$7,IF(AN68&lt;=Hypothèses!$V$8,Hypothèses!$X$8,IF(AN68&lt;=Hypothèses!$V$9,Hypothèses!$X$9,IF(AN68&lt;=Hypothèses!$V$10,Hypothèses!$X$10,IF(AN68&lt;=Hypothèses!$V$11,Hypothèses!$X$11,IF(AN68&lt;=Hypothèses!$V$12,Hypothèses!$X$12,IF(AN68&lt;=Hypothèses!$V$13,Hypothèses!$X$13,IF(AN68&lt;=Hypothèses!$V$14,Hypothèses!$X$14,IF(AN68&lt;=Hypothèses!$V$15,Hypothèses!$X$15,IF(AN68&lt;=Hypothèses!$V$16,Hypothèses!$X$16,IF(AN68&lt;=Hypothèses!$U$17,Hypothèses!$W$17,IF(AN68&lt;=Hypothèses!$U$18,Hypothèses!$W$18,""))))))))))))</f>
        <v>#DIV/0!</v>
      </c>
      <c r="BK68" s="95" t="e">
        <f t="shared" ca="1" si="77"/>
        <v>#DIV/0!</v>
      </c>
      <c r="BL68" s="101">
        <f t="shared" si="125"/>
        <v>0</v>
      </c>
      <c r="BM68" s="91">
        <f t="shared" si="27"/>
        <v>0</v>
      </c>
      <c r="BN68" s="30" t="e">
        <f t="shared" si="104"/>
        <v>#N/A</v>
      </c>
      <c r="BO68" s="30" t="e">
        <f t="shared" si="105"/>
        <v>#N/A</v>
      </c>
      <c r="BP68" s="31" t="e">
        <f>IF(OR(Hypothèses!$B$4=17,Hypothèses!$B$4=18,Hypothèses!$B$4=19,Hypothèses!$B$4=20),
IF($D68="Pressio.",
IF(OR($E68=3,$E68=1,$E68=4),BO68,BN68),
IF($D68="Pénétro.",
IF(OR($E68=3,$E68=1,$E68=4),BO68,BN68))),IF($D68="Pressio.",
IF($E68=3,BO68,BN68),
IF($D68="Pénétro.",
IF($E68=4,BO68,BN68))))</f>
        <v>#N/A</v>
      </c>
      <c r="BQ68" s="31">
        <v>0</v>
      </c>
      <c r="BR68" s="102" t="e">
        <f>IF(NDC!$H$10="Oui",(VLOOKUP($B$3,'Coeff EC7'!$T$39:$X$59,2,0)*BP68+VLOOKUP($B$3,'Coeff EC7'!$T$65:$X$85,2,0)*Model0.1T!BQ68)/1.5,PI()*BN$12*$Q68*($B68-$B67)*0.15/10+BR67)</f>
        <v>#N/A</v>
      </c>
      <c r="BS68" s="102" t="e">
        <f>(VLOOKUP($B$3,'Coeff EC7'!$T$39:$X$59,3,0)*BP68+VLOOKUP($B$3,'Coeff EC7'!$T$65:$X$85,3,0)*Model0.1T!BQ68)/1.1</f>
        <v>#N/A</v>
      </c>
      <c r="BT68" s="102" t="e">
        <f t="shared" si="78"/>
        <v>#N/A</v>
      </c>
      <c r="BU68" s="102" t="e">
        <f t="shared" si="79"/>
        <v>#N/A</v>
      </c>
      <c r="BV68" s="414" t="e">
        <f>IF(AND(BR68&gt;NDC!$C$63,BS68&gt;NDC!$C$65,BT68&gt;NDC!$D$73,BU68&gt;NDC!$D$74,$B68&gt;NDC!$H$22-0.1+MIN(3*BV$12,1.5)),0,1)</f>
        <v>#N/A</v>
      </c>
      <c r="BW68" s="86" t="b">
        <f t="shared" si="30"/>
        <v>0</v>
      </c>
      <c r="BX68" s="86">
        <f t="shared" si="31"/>
        <v>0.5</v>
      </c>
      <c r="BY68" s="86">
        <f t="shared" si="32"/>
        <v>0.5</v>
      </c>
      <c r="BZ68" s="30" t="e">
        <f t="shared" ca="1" si="80"/>
        <v>#DIV/0!</v>
      </c>
      <c r="CA68" s="85" t="e">
        <f ca="1">IF(BG68&lt;=Hypothèses!$V$7,Hypothèses!$W$7,IF(BG68&lt;=Hypothèses!$V$8,Hypothèses!$W$8,IF(BG68&lt;=Hypothèses!$V$9,Hypothèses!$W$9,IF(BG68&lt;=Hypothèses!$V$10,Hypothèses!$W$10,IF(BG68&lt;=Hypothèses!$V$11,Hypothèses!$W$11,IF(BG68&lt;=Hypothèses!$V$12,Hypothèses!$W$12,IF(BG68&lt;=Hypothèses!$V$13,Hypothèses!$W$13,IF(BG68&lt;=Hypothèses!$V$14,Hypothèses!$W$14,IF(BG68&lt;=Hypothèses!$V$15,Hypothèses!$W$15,IF(BG68&lt;=Hypothèses!$V$16,Hypothèses!$W$16,IF(BG68&lt;=Hypothèses!$V$17,Hypothèses!$W$17,IF(BG68&lt;=Hypothèses!$V$18,Hypothèses!$W$18,""))))))))))))</f>
        <v>#DIV/0!</v>
      </c>
      <c r="CB68" s="87" t="e">
        <f t="shared" ca="1" si="119"/>
        <v>#DIV/0!</v>
      </c>
      <c r="CC68" s="88" t="e">
        <f ca="1">IF(BG68&lt;=Hypothèses!$V$7,Hypothèses!$X$7,IF(BG68&lt;=Hypothèses!$V$8,Hypothèses!$X$8,IF(BG68&lt;=Hypothèses!$V$9,Hypothèses!$X$9,IF(BG68&lt;=Hypothèses!$V$10,Hypothèses!$X$10,IF(BG68&lt;=Hypothèses!$V$11,Hypothèses!$X$11,IF(BG68&lt;=Hypothèses!$V$12,Hypothèses!$X$12,IF(BG68&lt;=Hypothèses!$V$13,Hypothèses!$X$13,IF(BG68&lt;=Hypothèses!$V$14,Hypothèses!$X$14,IF(BG68&lt;=Hypothèses!$V$15,Hypothèses!$X$15,IF(BG68&lt;=Hypothèses!$V$16,Hypothèses!$X$16,IF(BG68&lt;=Hypothèses!$U$17,Hypothèses!$W$17,IF(BG68&lt;=Hypothèses!$U$18,Hypothèses!$W$18,""))))))))))))</f>
        <v>#DIV/0!</v>
      </c>
      <c r="CD68" s="95" t="e">
        <f t="shared" ca="1" si="81"/>
        <v>#DIV/0!</v>
      </c>
      <c r="CE68" s="101">
        <f t="shared" si="126"/>
        <v>0</v>
      </c>
      <c r="CF68" s="91">
        <f t="shared" si="34"/>
        <v>0</v>
      </c>
      <c r="CG68" s="30" t="e">
        <f t="shared" si="106"/>
        <v>#N/A</v>
      </c>
      <c r="CH68" s="30" t="e">
        <f t="shared" si="107"/>
        <v>#N/A</v>
      </c>
      <c r="CI68" s="31" t="e">
        <f>IF(OR(Hypothèses!$B$4=17,Hypothèses!$B$4=18,Hypothèses!$B$4=19,Hypothèses!$B$4=20),
IF($D68="Pressio.",
IF(OR($E68=3,$E68=1,$E68=4),CH68,CG68),
IF($D68="Pénétro.",
IF(OR($E68=3,$E68=1,$E68=4),CH68,CG68))),IF($D68="Pressio.",
IF($E68=3,CH68,CG68),
IF($D68="Pénétro.",
IF($E68=4,CH68,CG68))))</f>
        <v>#N/A</v>
      </c>
      <c r="CJ68" s="31">
        <v>0</v>
      </c>
      <c r="CK68" s="102" t="e">
        <f>IF(NDC!$H$10="Oui",(VLOOKUP($B$3,'Coeff EC7'!$T$39:$X$59,2,0)*CI68+VLOOKUP($B$3,'Coeff EC7'!$T$65:$X$85,2,0)*Model0.1T!CJ68)/1.5,PI()*CG$12*$Q68*($B68-$B67)*0.15/10+CK67)</f>
        <v>#N/A</v>
      </c>
      <c r="CL68" s="102" t="e">
        <f>(VLOOKUP($B$3,'Coeff EC7'!$T$39:$X$59,3,0)*CI68+VLOOKUP($B$3,'Coeff EC7'!$T$65:$X$85,3,0)*Model0.1T!CJ68)/1.1</f>
        <v>#N/A</v>
      </c>
      <c r="CM68" s="102" t="e">
        <f t="shared" si="82"/>
        <v>#N/A</v>
      </c>
      <c r="CN68" s="102" t="e">
        <f t="shared" si="83"/>
        <v>#N/A</v>
      </c>
      <c r="CO68" s="414" t="e">
        <f>IF(AND(CK68&gt;NDC!$C$63,CL68&gt;NDC!$C$65,CM68&gt;NDC!$D$73,CN68&gt;NDC!$D$74,$B68&gt;NDC!$H$22-0.1+MIN(3*CO$12,1.5)),0,1)</f>
        <v>#N/A</v>
      </c>
      <c r="CP68" s="86" t="b">
        <f t="shared" si="37"/>
        <v>0</v>
      </c>
      <c r="CQ68" s="86">
        <f t="shared" si="38"/>
        <v>0.5</v>
      </c>
      <c r="CR68" s="86">
        <f t="shared" si="39"/>
        <v>0.5</v>
      </c>
      <c r="CS68" s="30" t="e">
        <f t="shared" ca="1" si="84"/>
        <v>#DIV/0!</v>
      </c>
      <c r="CT68" s="85" t="e">
        <f ca="1">IF(BZ68&lt;=Hypothèses!$V$7,Hypothèses!$W$7,IF(BZ68&lt;=Hypothèses!$V$8,Hypothèses!$W$8,IF(BZ68&lt;=Hypothèses!$V$9,Hypothèses!$W$9,IF(BZ68&lt;=Hypothèses!$V$10,Hypothèses!$W$10,IF(BZ68&lt;=Hypothèses!$V$11,Hypothèses!$W$11,IF(BZ68&lt;=Hypothèses!$V$12,Hypothèses!$W$12,IF(BZ68&lt;=Hypothèses!$V$13,Hypothèses!$W$13,IF(BZ68&lt;=Hypothèses!$V$14,Hypothèses!$W$14,IF(BZ68&lt;=Hypothèses!$V$15,Hypothèses!$W$15,IF(BZ68&lt;=Hypothèses!$V$16,Hypothèses!$W$16,IF(BZ68&lt;=Hypothèses!$V$17,Hypothèses!$W$17,IF(BZ68&lt;=Hypothèses!$V$18,Hypothèses!$W$18,""))))))))))))</f>
        <v>#DIV/0!</v>
      </c>
      <c r="CU68" s="87" t="e">
        <f t="shared" ca="1" si="120"/>
        <v>#DIV/0!</v>
      </c>
      <c r="CV68" s="88" t="e">
        <f ca="1">IF(BZ68&lt;=Hypothèses!$V$7,Hypothèses!$X$7,IF(BZ68&lt;=Hypothèses!$V$8,Hypothèses!$X$8,IF(BZ68&lt;=Hypothèses!$V$9,Hypothèses!$X$9,IF(BZ68&lt;=Hypothèses!$V$10,Hypothèses!$X$10,IF(BZ68&lt;=Hypothèses!$V$11,Hypothèses!$X$11,IF(BZ68&lt;=Hypothèses!$V$12,Hypothèses!$X$12,IF(BZ68&lt;=Hypothèses!$V$13,Hypothèses!$X$13,IF(BZ68&lt;=Hypothèses!$V$14,Hypothèses!$X$14,IF(BZ68&lt;=Hypothèses!$V$15,Hypothèses!$X$15,IF(BZ68&lt;=Hypothèses!$V$16,Hypothèses!$X$16,IF(BZ68&lt;=Hypothèses!$U$17,Hypothèses!$W$17,IF(BZ68&lt;=Hypothèses!$U$18,Hypothèses!$W$18,""))))))))))))</f>
        <v>#DIV/0!</v>
      </c>
      <c r="CW68" s="95" t="e">
        <f t="shared" ca="1" si="85"/>
        <v>#DIV/0!</v>
      </c>
      <c r="CX68" s="101">
        <f t="shared" si="127"/>
        <v>0</v>
      </c>
      <c r="CY68" s="91">
        <f t="shared" si="41"/>
        <v>0</v>
      </c>
      <c r="CZ68" s="30" t="e">
        <f t="shared" si="108"/>
        <v>#N/A</v>
      </c>
      <c r="DA68" s="30" t="e">
        <f t="shared" si="109"/>
        <v>#N/A</v>
      </c>
      <c r="DB68" s="31" t="e">
        <f>IF(OR(Hypothèses!$B$4=17,Hypothèses!$B$4=18,Hypothèses!$B$4=19,Hypothèses!$B$4=20),
IF($D68="Pressio.",
IF(OR($E68=3,$E68=1,$E68=4),DA68,CZ68),
IF($D68="Pénétro.",
IF(OR($E68=3,$E68=1,$E68=4),DA68,CZ68))),IF($D68="Pressio.",
IF($E68=3,DA68,CZ68),
IF($D68="Pénétro.",
IF($E68=4,DA68,CZ68))))</f>
        <v>#N/A</v>
      </c>
      <c r="DC68" s="31">
        <v>0</v>
      </c>
      <c r="DD68" s="102" t="e">
        <f>IF(NDC!$H$10="Oui",(VLOOKUP($B$3,'Coeff EC7'!$T$39:$X$59,2,0)*DB68+VLOOKUP($B$3,'Coeff EC7'!$T$65:$X$85,2,0)*Model0.1T!DC68)/1.5,PI()*CZ$12*$Q68*($B68-$B67)*0.15/10+DD67)</f>
        <v>#N/A</v>
      </c>
      <c r="DE68" s="102" t="e">
        <f>(VLOOKUP($B$3,'Coeff EC7'!$T$39:$X$59,3,0)*DB68+VLOOKUP($B$3,'Coeff EC7'!$T$65:$X$85,3,0)*Model0.1T!DC68)/1.1</f>
        <v>#N/A</v>
      </c>
      <c r="DF68" s="102" t="e">
        <f t="shared" si="86"/>
        <v>#N/A</v>
      </c>
      <c r="DG68" s="102" t="e">
        <f t="shared" si="87"/>
        <v>#N/A</v>
      </c>
      <c r="DH68" s="414" t="e">
        <f>IF(AND(DD68&gt;NDC!$C$63,DE68&gt;NDC!$C$65,DF68&gt;NDC!$D$73,DG68&gt;NDC!$D$74,$B68&gt;NDC!$H$22-0.1+MIN(3*DH$12,1.5)),0,1)</f>
        <v>#N/A</v>
      </c>
      <c r="DI68" s="86" t="b">
        <f t="shared" si="44"/>
        <v>0</v>
      </c>
      <c r="DJ68" s="86">
        <f t="shared" si="45"/>
        <v>0.5</v>
      </c>
      <c r="DK68" s="86">
        <f t="shared" si="46"/>
        <v>0.5</v>
      </c>
      <c r="DL68" s="30" t="e">
        <f t="shared" ca="1" si="88"/>
        <v>#DIV/0!</v>
      </c>
      <c r="DM68" s="85" t="e">
        <f ca="1">IF(CS68&lt;=Hypothèses!$V$7,Hypothèses!$W$7,IF(CS68&lt;=Hypothèses!$V$8,Hypothèses!$W$8,IF(CS68&lt;=Hypothèses!$V$9,Hypothèses!$W$9,IF(CS68&lt;=Hypothèses!$V$10,Hypothèses!$W$10,IF(CS68&lt;=Hypothèses!$V$11,Hypothèses!$W$11,IF(CS68&lt;=Hypothèses!$V$12,Hypothèses!$W$12,IF(CS68&lt;=Hypothèses!$V$13,Hypothèses!$W$13,IF(CS68&lt;=Hypothèses!$V$14,Hypothèses!$W$14,IF(CS68&lt;=Hypothèses!$V$15,Hypothèses!$W$15,IF(CS68&lt;=Hypothèses!$V$16,Hypothèses!$W$16,IF(CS68&lt;=Hypothèses!$V$17,Hypothèses!$W$17,IF(CS68&lt;=Hypothèses!$V$18,Hypothèses!$W$18,""))))))))))))</f>
        <v>#DIV/0!</v>
      </c>
      <c r="DN68" s="87" t="e">
        <f t="shared" ca="1" si="121"/>
        <v>#DIV/0!</v>
      </c>
      <c r="DO68" s="88" t="e">
        <f ca="1">IF(CS68&lt;=Hypothèses!$V$7,Hypothèses!$X$7,IF(CS68&lt;=Hypothèses!$V$8,Hypothèses!$X$8,IF(CS68&lt;=Hypothèses!$V$9,Hypothèses!$X$9,IF(CS68&lt;=Hypothèses!$V$10,Hypothèses!$X$10,IF(CS68&lt;=Hypothèses!$V$11,Hypothèses!$X$11,IF(CS68&lt;=Hypothèses!$V$12,Hypothèses!$X$12,IF(CS68&lt;=Hypothèses!$V$13,Hypothèses!$X$13,IF(CS68&lt;=Hypothèses!$V$14,Hypothèses!$X$14,IF(CS68&lt;=Hypothèses!$V$15,Hypothèses!$X$15,IF(CS68&lt;=Hypothèses!$V$16,Hypothèses!$X$16,IF(CS68&lt;=Hypothèses!$U$17,Hypothèses!$W$17,IF(CS68&lt;=Hypothèses!$U$18,Hypothèses!$W$18,""))))))))))))</f>
        <v>#DIV/0!</v>
      </c>
      <c r="DP68" s="95" t="e">
        <f t="shared" ca="1" si="89"/>
        <v>#DIV/0!</v>
      </c>
      <c r="DQ68" s="101">
        <f t="shared" si="128"/>
        <v>0</v>
      </c>
      <c r="DR68" s="91">
        <f t="shared" si="48"/>
        <v>0</v>
      </c>
      <c r="DS68" s="30" t="e">
        <f t="shared" si="110"/>
        <v>#N/A</v>
      </c>
      <c r="DT68" s="30" t="e">
        <f t="shared" si="111"/>
        <v>#N/A</v>
      </c>
      <c r="DU68" s="31" t="e">
        <f>IF(OR(Hypothèses!$B$4=17,Hypothèses!$B$4=18,Hypothèses!$B$4=19,Hypothèses!$B$4=20),
IF($D68="Pressio.",
IF(OR($E68=3,$E68=1,$E68=4),DT68,DS68),
IF($D68="Pénétro.",
IF(OR($E68=3,$E68=1,$E68=4),DT68,DS68))),IF($D68="Pressio.",
IF($E68=3,DT68,DS68),
IF($D68="Pénétro.",
IF($E68=4,DT68,DS68))))</f>
        <v>#N/A</v>
      </c>
      <c r="DV68" s="31">
        <v>0</v>
      </c>
      <c r="DW68" s="102" t="e">
        <f>IF(NDC!$H$10="Oui",(VLOOKUP($B$3,'Coeff EC7'!$T$39:$X$59,2,0)*DU68+VLOOKUP($B$3,'Coeff EC7'!$T$65:$X$85,2,0)*Model0.1T!DV68)/1.5,PI()*DS$12*$Q68*($B68-$B67)*0.15/10+DW67)</f>
        <v>#N/A</v>
      </c>
      <c r="DX68" s="102" t="e">
        <f>(VLOOKUP($B$3,'Coeff EC7'!$T$39:$X$59,3,0)*DU68+VLOOKUP($B$3,'Coeff EC7'!$T$65:$X$85,3,0)*Model0.1T!DV68)/1.1</f>
        <v>#N/A</v>
      </c>
      <c r="DY68" s="102" t="e">
        <f t="shared" si="90"/>
        <v>#N/A</v>
      </c>
      <c r="DZ68" s="102" t="e">
        <f t="shared" si="91"/>
        <v>#N/A</v>
      </c>
      <c r="EA68" s="414" t="e">
        <f>IF(AND(DW68&gt;NDC!$C$63,DX68&gt;NDC!$C$65,DY68&gt;NDC!$D$73,DZ68&gt;NDC!$D$74,$B68&gt;NDC!$H$22-0.1+MIN(3*EA$12,1.5)),0,1)</f>
        <v>#N/A</v>
      </c>
      <c r="EB68" s="86" t="b">
        <f t="shared" si="51"/>
        <v>0</v>
      </c>
      <c r="EC68" s="418">
        <f t="shared" si="52"/>
        <v>0.51</v>
      </c>
      <c r="ED68" s="86">
        <f t="shared" si="53"/>
        <v>0.51</v>
      </c>
      <c r="EE68" s="30" t="e">
        <f t="shared" ca="1" si="92"/>
        <v>#DIV/0!</v>
      </c>
      <c r="EF68" s="85" t="e">
        <f ca="1">IF(DL68&lt;=Hypothèses!$V$7,Hypothèses!$W$7,IF(DL68&lt;=Hypothèses!$V$8,Hypothèses!$W$8,IF(DL68&lt;=Hypothèses!$V$9,Hypothèses!$W$9,IF(DL68&lt;=Hypothèses!$V$10,Hypothèses!$W$10,IF(DL68&lt;=Hypothèses!$V$11,Hypothèses!$W$11,IF(DL68&lt;=Hypothèses!$V$12,Hypothèses!$W$12,IF(DL68&lt;=Hypothèses!$V$13,Hypothèses!$W$13,IF(DL68&lt;=Hypothèses!$V$14,Hypothèses!$W$14,IF(DL68&lt;=Hypothèses!$V$15,Hypothèses!$W$15,IF(DL68&lt;=Hypothèses!$V$16,Hypothèses!$W$16,IF(DL68&lt;=Hypothèses!$V$17,Hypothèses!$W$17,IF(DL68&lt;=Hypothèses!$V$18,Hypothèses!$W$18,""))))))))))))</f>
        <v>#DIV/0!</v>
      </c>
      <c r="EG68" s="87" t="e">
        <f t="shared" ca="1" si="122"/>
        <v>#DIV/0!</v>
      </c>
      <c r="EH68" s="88" t="e">
        <f ca="1">IF(DL68&lt;=Hypothèses!$V$7,Hypothèses!$X$7,IF(DL68&lt;=Hypothèses!$V$8,Hypothèses!$X$8,IF(DL68&lt;=Hypothèses!$V$9,Hypothèses!$X$9,IF(DL68&lt;=Hypothèses!$V$10,Hypothèses!$X$10,IF(DL68&lt;=Hypothèses!$V$11,Hypothèses!$X$11,IF(DL68&lt;=Hypothèses!$V$12,Hypothèses!$X$12,IF(DL68&lt;=Hypothèses!$V$13,Hypothèses!$X$13,IF(DL68&lt;=Hypothèses!$V$14,Hypothèses!$X$14,IF(DL68&lt;=Hypothèses!$V$15,Hypothèses!$X$15,IF(DL68&lt;=Hypothèses!$V$16,Hypothèses!$X$16,IF(DL68&lt;=Hypothèses!$U$17,Hypothèses!$W$17,IF(DL68&lt;=Hypothèses!$U$18,Hypothèses!$W$18,""))))))))))))</f>
        <v>#DIV/0!</v>
      </c>
      <c r="EI68" s="95" t="e">
        <f t="shared" ca="1" si="93"/>
        <v>#DIV/0!</v>
      </c>
      <c r="EJ68" s="101">
        <f t="shared" si="129"/>
        <v>0</v>
      </c>
      <c r="EK68" s="91">
        <f t="shared" si="55"/>
        <v>0</v>
      </c>
      <c r="EL68" s="30" t="e">
        <f t="shared" si="112"/>
        <v>#N/A</v>
      </c>
      <c r="EM68" s="30" t="e">
        <f t="shared" si="113"/>
        <v>#N/A</v>
      </c>
      <c r="EN68" s="31" t="e">
        <f>IF(OR(Hypothèses!$B$4=17,Hypothèses!$B$4=18,Hypothèses!$B$4=19,Hypothèses!$B$4=20),
IF($D68="Pressio.",
IF(OR($E68=3,$E68=1,$E68=4),EM68,EL68),
IF($D68="Pénétro.",
IF(OR($E68=3,$E68=1,$E68=4),EM68,EL68))),IF($D68="Pressio.",
IF($E68=3,EM68,EL68),
IF($D68="Pénétro.",
IF($E68=4,EM68,EL68))))</f>
        <v>#N/A</v>
      </c>
      <c r="EO68" s="31">
        <v>0</v>
      </c>
      <c r="EP68" s="102" t="e">
        <f>IF(NDC!$H$10="Oui",(VLOOKUP($B$3,'Coeff EC7'!$T$39:$X$59,2,0)*EN68+VLOOKUP($B$3,'Coeff EC7'!$T$65:$X$85,2,0)*Model0.1T!EO68)/1.5,PI()*EL$12*$Q68*($B68-$B67)*0.15/10+EP67)</f>
        <v>#N/A</v>
      </c>
      <c r="EQ68" s="102" t="e">
        <f>(VLOOKUP($B$3,'Coeff EC7'!$T$39:$X$59,3,0)*EN68+VLOOKUP($B$3,'Coeff EC7'!$T$65:$X$85,3,0)*Model0.1T!EO68)/1.1</f>
        <v>#N/A</v>
      </c>
      <c r="ER68" s="102" t="e">
        <f t="shared" si="94"/>
        <v>#N/A</v>
      </c>
      <c r="ES68" s="102" t="e">
        <f t="shared" si="95"/>
        <v>#N/A</v>
      </c>
      <c r="ET68" s="414" t="e">
        <f>IF(AND(EP68&gt;NDC!$C$63,EQ68&gt;NDC!$C$65,ER68&gt;NDC!$D$73,ES68&gt;NDC!$D$74,$B68&gt;NDC!$H$22-0.1+MIN(3*ET$12,1.5)),0,1)</f>
        <v>#N/A</v>
      </c>
      <c r="EU68" s="86" t="b">
        <f t="shared" si="58"/>
        <v>0</v>
      </c>
      <c r="EV68" s="86">
        <f t="shared" si="59"/>
        <v>0.61</v>
      </c>
      <c r="EW68" s="86">
        <f t="shared" si="60"/>
        <v>0.61</v>
      </c>
      <c r="EX68" s="30" t="e">
        <f t="shared" ca="1" si="96"/>
        <v>#DIV/0!</v>
      </c>
      <c r="EY68" s="85" t="e">
        <f ca="1">IF(EE68&lt;=Hypothèses!$V$7,Hypothèses!$W$7,IF(EE68&lt;=Hypothèses!$V$8,Hypothèses!$W$8,IF(EE68&lt;=Hypothèses!$V$9,Hypothèses!$W$9,IF(EE68&lt;=Hypothèses!$V$10,Hypothèses!$W$10,IF(EE68&lt;=Hypothèses!$V$11,Hypothèses!$W$11,IF(EE68&lt;=Hypothèses!$V$12,Hypothèses!$W$12,IF(EE68&lt;=Hypothèses!$V$13,Hypothèses!$W$13,IF(EE68&lt;=Hypothèses!$V$14,Hypothèses!$W$14,IF(EE68&lt;=Hypothèses!$V$15,Hypothèses!$W$15,IF(EE68&lt;=Hypothèses!$V$16,Hypothèses!$W$16,IF(EE68&lt;=Hypothèses!$V$17,Hypothèses!$W$17,IF(EE68&lt;=Hypothèses!$V$18,Hypothèses!$W$18,""))))))))))))</f>
        <v>#DIV/0!</v>
      </c>
      <c r="EZ68" s="87" t="e">
        <f t="shared" ca="1" si="123"/>
        <v>#DIV/0!</v>
      </c>
      <c r="FA68" s="88" t="e">
        <f ca="1">IF(EE68&lt;=Hypothèses!$V$7,Hypothèses!$X$7,IF(EE68&lt;=Hypothèses!$V$8,Hypothèses!$X$8,IF(EE68&lt;=Hypothèses!$V$9,Hypothèses!$X$9,IF(EE68&lt;=Hypothèses!$V$10,Hypothèses!$X$10,IF(EE68&lt;=Hypothèses!$V$11,Hypothèses!$X$11,IF(EE68&lt;=Hypothèses!$V$12,Hypothèses!$X$12,IF(EE68&lt;=Hypothèses!$V$13,Hypothèses!$X$13,IF(EE68&lt;=Hypothèses!$V$14,Hypothèses!$X$14,IF(EE68&lt;=Hypothèses!$V$15,Hypothèses!$X$15,IF(EE68&lt;=Hypothèses!$V$16,Hypothèses!$X$16,IF(EE68&lt;=Hypothèses!$U$17,Hypothèses!$W$17,IF(EE68&lt;=Hypothèses!$U$18,Hypothèses!$W$18,""))))))))))))</f>
        <v>#DIV/0!</v>
      </c>
      <c r="FB68" s="95" t="e">
        <f t="shared" ca="1" si="97"/>
        <v>#DIV/0!</v>
      </c>
      <c r="FC68" s="101">
        <f t="shared" si="130"/>
        <v>0</v>
      </c>
      <c r="FD68" s="91">
        <f t="shared" si="62"/>
        <v>0</v>
      </c>
      <c r="FE68" s="30" t="e">
        <f t="shared" si="114"/>
        <v>#N/A</v>
      </c>
      <c r="FF68" s="30" t="e">
        <f t="shared" si="115"/>
        <v>#N/A</v>
      </c>
      <c r="FG68" s="31" t="e">
        <f>IF(OR(Hypothèses!$B$4=17,Hypothèses!$B$4=18,Hypothèses!$B$4=19,Hypothèses!$B$4=20),
IF($D68="Pressio.",
IF(OR($E68=3,$E68=1,$E68=4),FF68,FE68),
IF($D68="Pénétro.",
IF(OR($E68=3,$E68=1,$E68=4),FF68,FE68))),IF($D68="Pressio.",
IF($E68=3,FF68,FE68),
IF($D68="Pénétro.",
IF($E68=4,FF68,FE68))))</f>
        <v>#N/A</v>
      </c>
      <c r="FH68" s="31">
        <v>0</v>
      </c>
      <c r="FI68" s="102" t="e">
        <f>IF(NDC!$H$10="Oui",(VLOOKUP($B$3,'Coeff EC7'!$T$39:$X$59,2,0)*FG68+VLOOKUP($B$3,'Coeff EC7'!$T$65:$X$85,2,0)*Model0.1T!FH68)/1.5,PI()*FE$12*$Q68*($B68-$B67)*0.15/10+FI67)</f>
        <v>#N/A</v>
      </c>
      <c r="FJ68" s="102" t="e">
        <f>(VLOOKUP($B$3,'Coeff EC7'!$T$39:$X$59,3,0)*FG68+VLOOKUP($B$3,'Coeff EC7'!$T$65:$X$85,3,0)*Model0.1T!FH68)/1.1</f>
        <v>#N/A</v>
      </c>
      <c r="FK68" s="102" t="e">
        <f t="shared" si="98"/>
        <v>#N/A</v>
      </c>
      <c r="FL68" s="102" t="e">
        <f t="shared" si="99"/>
        <v>#N/A</v>
      </c>
      <c r="FM68" s="414" t="e">
        <f>IF(AND(FI68&gt;NDC!$C$63,FJ68&gt;NDC!$C$65,FK68&gt;NDC!$D$73,FL68&gt;NDC!$D$74,$B68&gt;NDC!$H$22-0.1+MIN(3*FM$12,1.5)),0,1)</f>
        <v>#N/A</v>
      </c>
    </row>
    <row r="69" spans="1:169">
      <c r="A69" s="96">
        <f t="shared" si="65"/>
        <v>94.400000000000318</v>
      </c>
      <c r="B69" s="97">
        <v>5.6</v>
      </c>
      <c r="C69" s="81">
        <f>IF(B69&lt;=Hypothèses!$C$7,Hypothèses!$A$7,IF(B69&lt;=Hypothèses!$C$8,Hypothèses!$A$8,IF(B69&lt;=Hypothèses!$C$9,Hypothèses!$A$9,IF(B69&lt;=Hypothèses!$C$10,Hypothèses!$A$10,IF(B69&lt;=Hypothèses!$C$11,Hypothèses!$A$11,IF(B69&lt;=Hypothèses!$C$12,Hypothèses!$A$12,IF(B69&lt;=Hypothèses!$C$13,Hypothèses!$A$13,IF(B69&lt;=Hypothèses!$C$14,Hypothèses!$A$14,IF(B69&lt;=Hypothèses!$C$15,Hypothèses!$A$15,IF(B69&lt;=Hypothèses!$C$16,Hypothèses!$A$16,IF(B69&lt;=Hypothèses!$C$17,Hypothèses!$A$17,IF(B69&lt;=Hypothèses!$C$18,Hypothèses!$A$18,C68))))))))))))</f>
        <v>11</v>
      </c>
      <c r="D69" s="82" t="str">
        <f>IF(B69&lt;=Hypothèses!$C$7,Hypothèses!$R$7,IF(B69&lt;=Hypothèses!$C$8,Hypothèses!$R$8,IF(B69&lt;=Hypothèses!$C$9,Hypothèses!$R$9,IF(B69&lt;=Hypothèses!$C$10,Hypothèses!$R$10,IF(B69&lt;=Hypothèses!$C$11,Hypothèses!$R$11,IF(B69&lt;=Hypothèses!$C$12,Hypothèses!$R$12,IF(B69&lt;=Hypothèses!$C$13,Hypothèses!$R$13,IF(B69&lt;=Hypothèses!$C$14,Hypothèses!$R$14,IF(B69&lt;=Hypothèses!$C$15,Hypothèses!$R$15,IF(B69&lt;=Hypothèses!$C$16,Hypothèses!$R$16,IF(B69&lt;=Hypothèses!$C$17,Hypothèses!$R$17,IF(B69&lt;=Hypothèses!$C$18,Hypothèses!$R$18,D68))))))))))))</f>
        <v>Pressio.</v>
      </c>
      <c r="E69" s="82" t="e">
        <f>IF(B69&lt;=Hypothèses!$C$7,Hypothèses!$G$7,IF(B69&lt;=Hypothèses!$C$8,Hypothèses!$G$8,IF(B69&lt;=Hypothèses!$C$9,Hypothèses!$G$9,IF(B69&lt;=Hypothèses!$C$10,Hypothèses!$G$10,IF(B69&lt;=Hypothèses!$C$11,Hypothèses!$G$11,IF(B69&lt;=Hypothèses!$C$12,Hypothèses!$G$12,IF(B69&lt;=Hypothèses!$C$13,Hypothèses!$G$13,IF(B69&lt;=Hypothèses!$C$14,Hypothèses!$G$14,IF(B69&lt;=Hypothèses!$C$15,Hypothèses!$G$15,IF(B69&lt;=Hypothèses!$C$16,Hypothèses!$G$16,IF(B69&lt;=Hypothèses!$C$17,Hypothèses!$G$17,IF(B69&lt;=Hypothèses!$C$18,Hypothèses!$G$18,E68))))))))))))</f>
        <v>#N/A</v>
      </c>
      <c r="F69" s="82" t="str">
        <f>IF(B69&lt;=Hypothèses!$C$7,Hypothèses!$F$7,IF(B69&lt;=Hypothèses!$C$8,Hypothèses!$F$8,IF(B69&lt;=Hypothèses!$C$9,Hypothèses!$F$9,IF(B69&lt;=Hypothèses!$C$10,Hypothèses!$F$10,IF(B69&lt;=Hypothèses!$C$11,Hypothèses!$F$11,IF(B69&lt;=Hypothèses!$C$12,Hypothèses!$F$12,IF(B69&lt;=Hypothèses!$C$13,Hypothèses!$F$13,IF(B69&lt;=Hypothèses!$C$14,Hypothèses!$F$14,IF(B69&lt;=Hypothèses!$C$15,Hypothèses!$F$15,IF(B69&lt;=Hypothèses!$C$16,Hypothèses!$F$16,IF(B69&lt;=Hypothèses!$C$17,Hypothèses!$F$17,IF(B69&lt;=Hypothèses!$C$18,Hypothèses!$F$18,F68))))))))))))</f>
        <v/>
      </c>
      <c r="G69" s="91">
        <f t="array" ref="G69">INDEX('Coeff EC7'!$U$7:$X$27,
MATCH(Model0.1T!$B$3,'Coeff EC7'!$T$7:$T$27,0),
MATCH(Model0.1T!$D69&amp;Model0.1T!$B$4,
'Coeff EC7'!$U$6:$X$6&amp;
'Coeff EC7'!$U$5:$X$5,0))</f>
        <v>1.4</v>
      </c>
      <c r="H69" s="91">
        <f t="array" ref="H69">INDEX('Coeff EC7'!$Y$7:$AB$27,
MATCH(Model0.1T!$B$3,'Coeff EC7'!$T$7:$T$27,0),
MATCH(Model0.1T!$D69&amp;Model0.1T!$B$4,
'Coeff EC7'!$Y$6:$AB$6&amp;
'Coeff EC7'!$Y$5:$AB$5,0))</f>
        <v>1.7</v>
      </c>
      <c r="I69" s="83">
        <v>0</v>
      </c>
      <c r="J69" s="91" t="e">
        <f t="array" ref="J69">INDEX('Coeff EC7'!$D$33:$Q$33,1,MATCH(D69&amp;E69,'Coeff EC7'!$D$31:$Q$31&amp;'Coeff EC7'!$D$32:$Q$32,0))</f>
        <v>#N/A</v>
      </c>
      <c r="K69" s="91" t="e">
        <f t="array" ref="K69">INDEX('Coeff EC7'!$D$34:$Q$34,1,MATCH(D69&amp;E69,'Coeff EC7'!$D$31:$Q$31&amp;'Coeff EC7'!$D$32:$Q$32,0))</f>
        <v>#N/A</v>
      </c>
      <c r="L69" s="91" t="e">
        <f t="array" ref="L69">INDEX('Coeff EC7'!$D$35:$Q$35,1,MATCH(D69&amp;E69,'Coeff EC7'!$D$31:$Q$31&amp;'Coeff EC7'!$D$32:$Q$32,0))</f>
        <v>#N/A</v>
      </c>
      <c r="M69" s="98" t="e">
        <f t="shared" si="8"/>
        <v>#N/A</v>
      </c>
      <c r="N69" s="99" t="e">
        <f t="array" ref="N69">INDEX('Coeff EC7'!$D$7:$Q$27,MATCH($B$3,'Coeff EC7'!$C$7:$C$27,0),MATCH(D69&amp;E69,'Coeff EC7'!$D$5:$Q$5&amp;'Coeff EC7'!$D$6:$Q$6,0))</f>
        <v>#N/A</v>
      </c>
      <c r="O69" s="99" t="e">
        <f t="array" ref="O69">INDEX('Coeff EC7'!$D$41:$Q$61,MATCH($B$3,'Coeff EC7'!$C$41:$C$61,0),MATCH(D69&amp;E69,'Coeff EC7'!$D$39:$Q$39&amp;'Coeff EC7'!$D$40:$Q$40,0))</f>
        <v>#N/A</v>
      </c>
      <c r="P69" s="30" t="e">
        <f t="shared" si="66"/>
        <v>#N/A</v>
      </c>
      <c r="Q69" s="100" t="e">
        <f t="shared" si="10"/>
        <v>#N/A</v>
      </c>
      <c r="R69" s="86" t="b">
        <f t="shared" si="11"/>
        <v>0</v>
      </c>
      <c r="S69" s="86">
        <f t="shared" si="9"/>
        <v>0.5</v>
      </c>
      <c r="T69" s="86">
        <f t="shared" si="12"/>
        <v>0.5</v>
      </c>
      <c r="U69" s="30" t="e">
        <f t="shared" ca="1" si="67"/>
        <v>#DIV/0!</v>
      </c>
      <c r="V69" s="85" t="str">
        <f>IF(B69&lt;=Hypothèses!$V$7,Hypothèses!$W$7,IF(B69&lt;=Hypothèses!$V$8,Hypothèses!$W$8,IF(B69&lt;=Hypothèses!$V$9,Hypothèses!$W$9,IF(B69&lt;=Hypothèses!$V$10,Hypothèses!$W$10,IF(B69&lt;=Hypothèses!$V$11,Hypothèses!$W$11,IF(B69&lt;=Hypothèses!$V$12,Hypothèses!$W$12,IF(B69&lt;=Hypothèses!$V$13,Hypothèses!$W$13,IF(B69&lt;=Hypothèses!$V$14,Hypothèses!$W$14,IF(B69&lt;=Hypothèses!$V$15,Hypothèses!$W$15,IF(B69&lt;=Hypothèses!$V$16,Hypothèses!$W$16,IF(B69&lt;=Hypothèses!$V$17,Hypothèses!$W$17,IF(B69&lt;=Hypothèses!$V$18,Hypothèses!$W$18,""))))))))))))</f>
        <v/>
      </c>
      <c r="W69" s="87" t="e">
        <f t="shared" ca="1" si="116"/>
        <v>#DIV/0!</v>
      </c>
      <c r="X69" s="88" t="str">
        <f>IF(B69&lt;=Hypothèses!$V$7,Hypothèses!$X$7,IF(B69&lt;=Hypothèses!$V$8,Hypothèses!$X$8,IF(B69&lt;=Hypothèses!$V$9,Hypothèses!$X$9,IF(B69&lt;=Hypothèses!$V$10,Hypothèses!$X$10,IF(B69&lt;=Hypothèses!$V$11,Hypothèses!$X$11,IF(B69&lt;=Hypothèses!$V$12,Hypothèses!$X$12,IF(B69&lt;=Hypothèses!$V$13,Hypothèses!$X$13,IF(B69&lt;=Hypothèses!$V$14,Hypothèses!$X$14,IF(B69&lt;=Hypothèses!$V$15,Hypothèses!$X$15,IF(B69&lt;=Hypothèses!$V$16,Hypothèses!$X$16,IF(B69&lt;=Hypothèses!$U$17,Hypothèses!$W$17,IF(B69&lt;=Hypothèses!$U$18,Hypothèses!$W$18,""))))))))))))</f>
        <v/>
      </c>
      <c r="Y69" s="95" t="e">
        <f t="shared" ca="1" si="13"/>
        <v>#DIV/0!</v>
      </c>
      <c r="Z69" s="101">
        <f t="shared" si="14"/>
        <v>0</v>
      </c>
      <c r="AA69" s="91">
        <f t="shared" si="15"/>
        <v>0</v>
      </c>
      <c r="AB69" s="30" t="e">
        <f t="shared" si="100"/>
        <v>#N/A</v>
      </c>
      <c r="AC69" s="30" t="e">
        <f t="shared" si="101"/>
        <v>#N/A</v>
      </c>
      <c r="AD69" s="31" t="e">
        <f>IF(OR(Hypothèses!$B$4=17,Hypothèses!$B$4=18,Hypothèses!$B$4=19,Hypothèses!$B$4=20),
IF($D69="Pressio.",
IF(OR($E69=3,$E69=1,$E69=4),AC69,AB69),
IF($D69="Pénétro.",
IF(OR($E69=3,$E69=1,$E69=4),AC69,AB69))),IF($D69="Pressio.",
IF($E69=3,AC69,AB69),
IF($D69="Pénétro.",
IF($E69=4,AC69,AB69))))</f>
        <v>#N/A</v>
      </c>
      <c r="AE69" s="31">
        <v>0</v>
      </c>
      <c r="AF69" s="102" t="e">
        <f>IF(NDC!$H$10="Oui",(VLOOKUP($B$3,'Coeff EC7'!$T$39:$X$59,2,0)*AD69+VLOOKUP($B$3,'Coeff EC7'!$T$65:$X$85,2,0)*Model0.1T!AE69)/1.5,PI()*AB$12*$Q69*($B69-$B68)*0.15/10+AF68)</f>
        <v>#N/A</v>
      </c>
      <c r="AG69" s="102" t="e">
        <f>(VLOOKUP($B$3,'Coeff EC7'!$T$39:$X$59,3,0)*AD69+VLOOKUP($B$3,'Coeff EC7'!$T$65:$X$85,3,0)*Model0.1T!AE69)/1.1</f>
        <v>#N/A</v>
      </c>
      <c r="AH69" s="102" t="e">
        <f t="shared" si="68"/>
        <v>#N/A</v>
      </c>
      <c r="AI69" s="102" t="e">
        <f t="shared" si="69"/>
        <v>#N/A</v>
      </c>
      <c r="AJ69" s="414" t="e">
        <f>IF(AND(AF69&gt;NDC!$C$63,AG69&gt;NDC!$C$65,AH69&gt;NDC!$D$73,AI69&gt;NDC!$D$74,$B69&gt;NDC!$H$22-0.1+MIN(3*$AJ$12,1.5)),0,1)</f>
        <v>#N/A</v>
      </c>
      <c r="AK69" s="86" t="b">
        <f t="shared" si="18"/>
        <v>0</v>
      </c>
      <c r="AL69" s="86">
        <f t="shared" si="70"/>
        <v>0.5</v>
      </c>
      <c r="AM69" s="86">
        <f t="shared" si="19"/>
        <v>0.5</v>
      </c>
      <c r="AN69" s="30" t="e">
        <f t="shared" ca="1" si="71"/>
        <v>#DIV/0!</v>
      </c>
      <c r="AO69" s="85" t="e">
        <f ca="1">IF(U69&lt;=Hypothèses!$V$7,Hypothèses!$W$7,IF(U69&lt;=Hypothèses!$V$8,Hypothèses!$W$8,IF(U69&lt;=Hypothèses!$V$9,Hypothèses!$W$9,IF(U69&lt;=Hypothèses!$V$10,Hypothèses!$W$10,IF(U69&lt;=Hypothèses!$V$11,Hypothèses!$W$11,IF(U69&lt;=Hypothèses!$V$12,Hypothèses!$W$12,IF(U69&lt;=Hypothèses!$V$13,Hypothèses!$W$13,IF(U69&lt;=Hypothèses!$V$14,Hypothèses!$W$14,IF(U69&lt;=Hypothèses!$V$15,Hypothèses!$W$15,IF(U69&lt;=Hypothèses!$V$16,Hypothèses!$W$16,IF(U69&lt;=Hypothèses!$V$17,Hypothèses!$W$17,IF(U69&lt;=Hypothèses!$V$18,Hypothèses!$W$18,""))))))))))))</f>
        <v>#DIV/0!</v>
      </c>
      <c r="AP69" s="87" t="e">
        <f t="shared" ca="1" si="117"/>
        <v>#DIV/0!</v>
      </c>
      <c r="AQ69" s="88" t="e">
        <f ca="1">IF(U69&lt;=Hypothèses!$V$7,Hypothèses!$X$7,IF(U69&lt;=Hypothèses!$V$8,Hypothèses!$X$8,IF(U69&lt;=Hypothèses!$V$9,Hypothèses!$X$9,IF(U69&lt;=Hypothèses!$V$10,Hypothèses!$X$10,IF(U69&lt;=Hypothèses!$V$11,Hypothèses!$X$11,IF(U69&lt;=Hypothèses!$V$12,Hypothèses!$X$12,IF(U69&lt;=Hypothèses!$V$13,Hypothèses!$X$13,IF(U69&lt;=Hypothèses!$V$14,Hypothèses!$X$14,IF(U69&lt;=Hypothèses!$V$15,Hypothèses!$X$15,IF(U69&lt;=Hypothèses!$V$16,Hypothèses!$X$16,IF(U69&lt;=Hypothèses!$U$17,Hypothèses!$W$17,IF(U69&lt;=Hypothèses!$U$18,Hypothèses!$W$18,""))))))))))))</f>
        <v>#DIV/0!</v>
      </c>
      <c r="AR69" s="95" t="e">
        <f t="shared" ca="1" si="72"/>
        <v>#DIV/0!</v>
      </c>
      <c r="AS69" s="101">
        <f t="shared" si="124"/>
        <v>0</v>
      </c>
      <c r="AT69" s="91">
        <f t="shared" si="21"/>
        <v>0</v>
      </c>
      <c r="AU69" s="30" t="e">
        <f t="shared" si="102"/>
        <v>#N/A</v>
      </c>
      <c r="AV69" s="30" t="e">
        <f t="shared" si="103"/>
        <v>#N/A</v>
      </c>
      <c r="AW69" s="31" t="e">
        <f>IF(OR(Hypothèses!$B$4=17,Hypothèses!$B$4=18,Hypothèses!$B$4=19,Hypothèses!$B$4=20),
IF($D69="Pressio.",
IF(OR($E69=3,$E69=1,$E69=4),AV69,AU69),
IF($D69="Pénétro.",
IF(OR($E69=3,$E69=1,$E69=4),AV69,AU69))),IF($D69="Pressio.",
IF($E69=3,AV69,AU69),
IF($D69="Pénétro.",
IF($E69=4,AV69,AU69))))</f>
        <v>#N/A</v>
      </c>
      <c r="AX69" s="31">
        <v>0</v>
      </c>
      <c r="AY69" s="102" t="e">
        <f>IF(NDC!$H$10="Oui",(VLOOKUP($B$3,'Coeff EC7'!$T$39:$X$59,2,0)*AW69+VLOOKUP($B$3,'Coeff EC7'!$T$65:$X$85,2,0)*Model0.1T!AX69)/1.5,PI()*AU$12*$Q69*($B69-$B68)*0.15/10+AY68)</f>
        <v>#N/A</v>
      </c>
      <c r="AZ69" s="102" t="e">
        <f>(VLOOKUP($B$3,'Coeff EC7'!$T$39:$X$59,3,0)*AW69+VLOOKUP($B$3,'Coeff EC7'!$T$65:$X$85,3,0)*Model0.1T!AX69)/1.1</f>
        <v>#N/A</v>
      </c>
      <c r="BA69" s="102" t="e">
        <f t="shared" si="73"/>
        <v>#N/A</v>
      </c>
      <c r="BB69" s="102" t="e">
        <f t="shared" si="74"/>
        <v>#N/A</v>
      </c>
      <c r="BC69" s="414" t="e">
        <f>IF(AND(AY69&gt;NDC!$C$63,AZ69&gt;NDC!$C$65,BA69&gt;NDC!$D$73,BB69&gt;NDC!$D$74,$B69&gt;NDC!$H$22-0.1+MIN(3*BC$12,1.5)),0,1)</f>
        <v>#N/A</v>
      </c>
      <c r="BD69" s="86" t="b">
        <f t="shared" si="24"/>
        <v>0</v>
      </c>
      <c r="BE69" s="86">
        <f t="shared" si="75"/>
        <v>0.5</v>
      </c>
      <c r="BF69" s="86">
        <f t="shared" si="25"/>
        <v>0.5</v>
      </c>
      <c r="BG69" s="30" t="e">
        <f t="shared" ca="1" si="76"/>
        <v>#DIV/0!</v>
      </c>
      <c r="BH69" s="85" t="e">
        <f ca="1">IF(AN69&lt;=Hypothèses!$V$7,Hypothèses!$W$7,IF(AN69&lt;=Hypothèses!$V$8,Hypothèses!$W$8,IF(AN69&lt;=Hypothèses!$V$9,Hypothèses!$W$9,IF(AN69&lt;=Hypothèses!$V$10,Hypothèses!$W$10,IF(AN69&lt;=Hypothèses!$V$11,Hypothèses!$W$11,IF(AN69&lt;=Hypothèses!$V$12,Hypothèses!$W$12,IF(AN69&lt;=Hypothèses!$V$13,Hypothèses!$W$13,IF(AN69&lt;=Hypothèses!$V$14,Hypothèses!$W$14,IF(AN69&lt;=Hypothèses!$V$15,Hypothèses!$W$15,IF(AN69&lt;=Hypothèses!$V$16,Hypothèses!$W$16,IF(AN69&lt;=Hypothèses!$V$17,Hypothèses!$W$17,IF(AN69&lt;=Hypothèses!$V$18,Hypothèses!$W$18,""))))))))))))</f>
        <v>#DIV/0!</v>
      </c>
      <c r="BI69" s="87" t="e">
        <f t="shared" ca="1" si="118"/>
        <v>#DIV/0!</v>
      </c>
      <c r="BJ69" s="88" t="e">
        <f ca="1">IF(AN69&lt;=Hypothèses!$V$7,Hypothèses!$X$7,IF(AN69&lt;=Hypothèses!$V$8,Hypothèses!$X$8,IF(AN69&lt;=Hypothèses!$V$9,Hypothèses!$X$9,IF(AN69&lt;=Hypothèses!$V$10,Hypothèses!$X$10,IF(AN69&lt;=Hypothèses!$V$11,Hypothèses!$X$11,IF(AN69&lt;=Hypothèses!$V$12,Hypothèses!$X$12,IF(AN69&lt;=Hypothèses!$V$13,Hypothèses!$X$13,IF(AN69&lt;=Hypothèses!$V$14,Hypothèses!$X$14,IF(AN69&lt;=Hypothèses!$V$15,Hypothèses!$X$15,IF(AN69&lt;=Hypothèses!$V$16,Hypothèses!$X$16,IF(AN69&lt;=Hypothèses!$U$17,Hypothèses!$W$17,IF(AN69&lt;=Hypothèses!$U$18,Hypothèses!$W$18,""))))))))))))</f>
        <v>#DIV/0!</v>
      </c>
      <c r="BK69" s="95" t="e">
        <f t="shared" ca="1" si="77"/>
        <v>#DIV/0!</v>
      </c>
      <c r="BL69" s="101">
        <f t="shared" si="125"/>
        <v>0</v>
      </c>
      <c r="BM69" s="91">
        <f t="shared" si="27"/>
        <v>0</v>
      </c>
      <c r="BN69" s="30" t="e">
        <f t="shared" si="104"/>
        <v>#N/A</v>
      </c>
      <c r="BO69" s="30" t="e">
        <f t="shared" si="105"/>
        <v>#N/A</v>
      </c>
      <c r="BP69" s="31" t="e">
        <f>IF(OR(Hypothèses!$B$4=17,Hypothèses!$B$4=18,Hypothèses!$B$4=19,Hypothèses!$B$4=20),
IF($D69="Pressio.",
IF(OR($E69=3,$E69=1,$E69=4),BO69,BN69),
IF($D69="Pénétro.",
IF(OR($E69=3,$E69=1,$E69=4),BO69,BN69))),IF($D69="Pressio.",
IF($E69=3,BO69,BN69),
IF($D69="Pénétro.",
IF($E69=4,BO69,BN69))))</f>
        <v>#N/A</v>
      </c>
      <c r="BQ69" s="31">
        <v>0</v>
      </c>
      <c r="BR69" s="102" t="e">
        <f>IF(NDC!$H$10="Oui",(VLOOKUP($B$3,'Coeff EC7'!$T$39:$X$59,2,0)*BP69+VLOOKUP($B$3,'Coeff EC7'!$T$65:$X$85,2,0)*Model0.1T!BQ69)/1.5,PI()*BN$12*$Q69*($B69-$B68)*0.15/10+BR68)</f>
        <v>#N/A</v>
      </c>
      <c r="BS69" s="102" t="e">
        <f>(VLOOKUP($B$3,'Coeff EC7'!$T$39:$X$59,3,0)*BP69+VLOOKUP($B$3,'Coeff EC7'!$T$65:$X$85,3,0)*Model0.1T!BQ69)/1.1</f>
        <v>#N/A</v>
      </c>
      <c r="BT69" s="102" t="e">
        <f t="shared" si="78"/>
        <v>#N/A</v>
      </c>
      <c r="BU69" s="102" t="e">
        <f t="shared" si="79"/>
        <v>#N/A</v>
      </c>
      <c r="BV69" s="414" t="e">
        <f>IF(AND(BR69&gt;NDC!$C$63,BS69&gt;NDC!$C$65,BT69&gt;NDC!$D$73,BU69&gt;NDC!$D$74,$B69&gt;NDC!$H$22-0.1+MIN(3*BV$12,1.5)),0,1)</f>
        <v>#N/A</v>
      </c>
      <c r="BW69" s="86" t="b">
        <f t="shared" si="30"/>
        <v>0</v>
      </c>
      <c r="BX69" s="86">
        <f t="shared" si="31"/>
        <v>0.5</v>
      </c>
      <c r="BY69" s="86">
        <f t="shared" si="32"/>
        <v>0.5</v>
      </c>
      <c r="BZ69" s="30" t="e">
        <f t="shared" ca="1" si="80"/>
        <v>#DIV/0!</v>
      </c>
      <c r="CA69" s="85" t="e">
        <f ca="1">IF(BG69&lt;=Hypothèses!$V$7,Hypothèses!$W$7,IF(BG69&lt;=Hypothèses!$V$8,Hypothèses!$W$8,IF(BG69&lt;=Hypothèses!$V$9,Hypothèses!$W$9,IF(BG69&lt;=Hypothèses!$V$10,Hypothèses!$W$10,IF(BG69&lt;=Hypothèses!$V$11,Hypothèses!$W$11,IF(BG69&lt;=Hypothèses!$V$12,Hypothèses!$W$12,IF(BG69&lt;=Hypothèses!$V$13,Hypothèses!$W$13,IF(BG69&lt;=Hypothèses!$V$14,Hypothèses!$W$14,IF(BG69&lt;=Hypothèses!$V$15,Hypothèses!$W$15,IF(BG69&lt;=Hypothèses!$V$16,Hypothèses!$W$16,IF(BG69&lt;=Hypothèses!$V$17,Hypothèses!$W$17,IF(BG69&lt;=Hypothèses!$V$18,Hypothèses!$W$18,""))))))))))))</f>
        <v>#DIV/0!</v>
      </c>
      <c r="CB69" s="87" t="e">
        <f t="shared" ca="1" si="119"/>
        <v>#DIV/0!</v>
      </c>
      <c r="CC69" s="88" t="e">
        <f ca="1">IF(BG69&lt;=Hypothèses!$V$7,Hypothèses!$X$7,IF(BG69&lt;=Hypothèses!$V$8,Hypothèses!$X$8,IF(BG69&lt;=Hypothèses!$V$9,Hypothèses!$X$9,IF(BG69&lt;=Hypothèses!$V$10,Hypothèses!$X$10,IF(BG69&lt;=Hypothèses!$V$11,Hypothèses!$X$11,IF(BG69&lt;=Hypothèses!$V$12,Hypothèses!$X$12,IF(BG69&lt;=Hypothèses!$V$13,Hypothèses!$X$13,IF(BG69&lt;=Hypothèses!$V$14,Hypothèses!$X$14,IF(BG69&lt;=Hypothèses!$V$15,Hypothèses!$X$15,IF(BG69&lt;=Hypothèses!$V$16,Hypothèses!$X$16,IF(BG69&lt;=Hypothèses!$U$17,Hypothèses!$W$17,IF(BG69&lt;=Hypothèses!$U$18,Hypothèses!$W$18,""))))))))))))</f>
        <v>#DIV/0!</v>
      </c>
      <c r="CD69" s="95" t="e">
        <f t="shared" ca="1" si="81"/>
        <v>#DIV/0!</v>
      </c>
      <c r="CE69" s="101">
        <f t="shared" si="126"/>
        <v>0</v>
      </c>
      <c r="CF69" s="91">
        <f t="shared" si="34"/>
        <v>0</v>
      </c>
      <c r="CG69" s="30" t="e">
        <f t="shared" si="106"/>
        <v>#N/A</v>
      </c>
      <c r="CH69" s="30" t="e">
        <f t="shared" si="107"/>
        <v>#N/A</v>
      </c>
      <c r="CI69" s="31" t="e">
        <f>IF(OR(Hypothèses!$B$4=17,Hypothèses!$B$4=18,Hypothèses!$B$4=19,Hypothèses!$B$4=20),
IF($D69="Pressio.",
IF(OR($E69=3,$E69=1,$E69=4),CH69,CG69),
IF($D69="Pénétro.",
IF(OR($E69=3,$E69=1,$E69=4),CH69,CG69))),IF($D69="Pressio.",
IF($E69=3,CH69,CG69),
IF($D69="Pénétro.",
IF($E69=4,CH69,CG69))))</f>
        <v>#N/A</v>
      </c>
      <c r="CJ69" s="31">
        <v>0</v>
      </c>
      <c r="CK69" s="102" t="e">
        <f>IF(NDC!$H$10="Oui",(VLOOKUP($B$3,'Coeff EC7'!$T$39:$X$59,2,0)*CI69+VLOOKUP($B$3,'Coeff EC7'!$T$65:$X$85,2,0)*Model0.1T!CJ69)/1.5,PI()*CG$12*$Q69*($B69-$B68)*0.15/10+CK68)</f>
        <v>#N/A</v>
      </c>
      <c r="CL69" s="102" t="e">
        <f>(VLOOKUP($B$3,'Coeff EC7'!$T$39:$X$59,3,0)*CI69+VLOOKUP($B$3,'Coeff EC7'!$T$65:$X$85,3,0)*Model0.1T!CJ69)/1.1</f>
        <v>#N/A</v>
      </c>
      <c r="CM69" s="102" t="e">
        <f t="shared" si="82"/>
        <v>#N/A</v>
      </c>
      <c r="CN69" s="102" t="e">
        <f t="shared" si="83"/>
        <v>#N/A</v>
      </c>
      <c r="CO69" s="414" t="e">
        <f>IF(AND(CK69&gt;NDC!$C$63,CL69&gt;NDC!$C$65,CM69&gt;NDC!$D$73,CN69&gt;NDC!$D$74,$B69&gt;NDC!$H$22-0.1+MIN(3*CO$12,1.5)),0,1)</f>
        <v>#N/A</v>
      </c>
      <c r="CP69" s="86" t="b">
        <f t="shared" si="37"/>
        <v>0</v>
      </c>
      <c r="CQ69" s="86">
        <f t="shared" si="38"/>
        <v>0.5</v>
      </c>
      <c r="CR69" s="86">
        <f t="shared" si="39"/>
        <v>0.5</v>
      </c>
      <c r="CS69" s="30" t="e">
        <f t="shared" ca="1" si="84"/>
        <v>#DIV/0!</v>
      </c>
      <c r="CT69" s="85" t="e">
        <f ca="1">IF(BZ69&lt;=Hypothèses!$V$7,Hypothèses!$W$7,IF(BZ69&lt;=Hypothèses!$V$8,Hypothèses!$W$8,IF(BZ69&lt;=Hypothèses!$V$9,Hypothèses!$W$9,IF(BZ69&lt;=Hypothèses!$V$10,Hypothèses!$W$10,IF(BZ69&lt;=Hypothèses!$V$11,Hypothèses!$W$11,IF(BZ69&lt;=Hypothèses!$V$12,Hypothèses!$W$12,IF(BZ69&lt;=Hypothèses!$V$13,Hypothèses!$W$13,IF(BZ69&lt;=Hypothèses!$V$14,Hypothèses!$W$14,IF(BZ69&lt;=Hypothèses!$V$15,Hypothèses!$W$15,IF(BZ69&lt;=Hypothèses!$V$16,Hypothèses!$W$16,IF(BZ69&lt;=Hypothèses!$V$17,Hypothèses!$W$17,IF(BZ69&lt;=Hypothèses!$V$18,Hypothèses!$W$18,""))))))))))))</f>
        <v>#DIV/0!</v>
      </c>
      <c r="CU69" s="87" t="e">
        <f t="shared" ca="1" si="120"/>
        <v>#DIV/0!</v>
      </c>
      <c r="CV69" s="88" t="e">
        <f ca="1">IF(BZ69&lt;=Hypothèses!$V$7,Hypothèses!$X$7,IF(BZ69&lt;=Hypothèses!$V$8,Hypothèses!$X$8,IF(BZ69&lt;=Hypothèses!$V$9,Hypothèses!$X$9,IF(BZ69&lt;=Hypothèses!$V$10,Hypothèses!$X$10,IF(BZ69&lt;=Hypothèses!$V$11,Hypothèses!$X$11,IF(BZ69&lt;=Hypothèses!$V$12,Hypothèses!$X$12,IF(BZ69&lt;=Hypothèses!$V$13,Hypothèses!$X$13,IF(BZ69&lt;=Hypothèses!$V$14,Hypothèses!$X$14,IF(BZ69&lt;=Hypothèses!$V$15,Hypothèses!$X$15,IF(BZ69&lt;=Hypothèses!$V$16,Hypothèses!$X$16,IF(BZ69&lt;=Hypothèses!$U$17,Hypothèses!$W$17,IF(BZ69&lt;=Hypothèses!$U$18,Hypothèses!$W$18,""))))))))))))</f>
        <v>#DIV/0!</v>
      </c>
      <c r="CW69" s="95" t="e">
        <f t="shared" ca="1" si="85"/>
        <v>#DIV/0!</v>
      </c>
      <c r="CX69" s="101">
        <f t="shared" si="127"/>
        <v>0</v>
      </c>
      <c r="CY69" s="91">
        <f t="shared" si="41"/>
        <v>0</v>
      </c>
      <c r="CZ69" s="30" t="e">
        <f t="shared" si="108"/>
        <v>#N/A</v>
      </c>
      <c r="DA69" s="30" t="e">
        <f t="shared" si="109"/>
        <v>#N/A</v>
      </c>
      <c r="DB69" s="31" t="e">
        <f>IF(OR(Hypothèses!$B$4=17,Hypothèses!$B$4=18,Hypothèses!$B$4=19,Hypothèses!$B$4=20),
IF($D69="Pressio.",
IF(OR($E69=3,$E69=1,$E69=4),DA69,CZ69),
IF($D69="Pénétro.",
IF(OR($E69=3,$E69=1,$E69=4),DA69,CZ69))),IF($D69="Pressio.",
IF($E69=3,DA69,CZ69),
IF($D69="Pénétro.",
IF($E69=4,DA69,CZ69))))</f>
        <v>#N/A</v>
      </c>
      <c r="DC69" s="31">
        <v>0</v>
      </c>
      <c r="DD69" s="102" t="e">
        <f>IF(NDC!$H$10="Oui",(VLOOKUP($B$3,'Coeff EC7'!$T$39:$X$59,2,0)*DB69+VLOOKUP($B$3,'Coeff EC7'!$T$65:$X$85,2,0)*Model0.1T!DC69)/1.5,PI()*CZ$12*$Q69*($B69-$B68)*0.15/10+DD68)</f>
        <v>#N/A</v>
      </c>
      <c r="DE69" s="102" t="e">
        <f>(VLOOKUP($B$3,'Coeff EC7'!$T$39:$X$59,3,0)*DB69+VLOOKUP($B$3,'Coeff EC7'!$T$65:$X$85,3,0)*Model0.1T!DC69)/1.1</f>
        <v>#N/A</v>
      </c>
      <c r="DF69" s="102" t="e">
        <f t="shared" si="86"/>
        <v>#N/A</v>
      </c>
      <c r="DG69" s="102" t="e">
        <f t="shared" si="87"/>
        <v>#N/A</v>
      </c>
      <c r="DH69" s="414" t="e">
        <f>IF(AND(DD69&gt;NDC!$C$63,DE69&gt;NDC!$C$65,DF69&gt;NDC!$D$73,DG69&gt;NDC!$D$74,$B69&gt;NDC!$H$22-0.1+MIN(3*DH$12,1.5)),0,1)</f>
        <v>#N/A</v>
      </c>
      <c r="DI69" s="86" t="b">
        <f t="shared" si="44"/>
        <v>0</v>
      </c>
      <c r="DJ69" s="86">
        <f t="shared" si="45"/>
        <v>0.5</v>
      </c>
      <c r="DK69" s="86">
        <f t="shared" si="46"/>
        <v>0.5</v>
      </c>
      <c r="DL69" s="30" t="e">
        <f t="shared" ca="1" si="88"/>
        <v>#DIV/0!</v>
      </c>
      <c r="DM69" s="85" t="e">
        <f ca="1">IF(CS69&lt;=Hypothèses!$V$7,Hypothèses!$W$7,IF(CS69&lt;=Hypothèses!$V$8,Hypothèses!$W$8,IF(CS69&lt;=Hypothèses!$V$9,Hypothèses!$W$9,IF(CS69&lt;=Hypothèses!$V$10,Hypothèses!$W$10,IF(CS69&lt;=Hypothèses!$V$11,Hypothèses!$W$11,IF(CS69&lt;=Hypothèses!$V$12,Hypothèses!$W$12,IF(CS69&lt;=Hypothèses!$V$13,Hypothèses!$W$13,IF(CS69&lt;=Hypothèses!$V$14,Hypothèses!$W$14,IF(CS69&lt;=Hypothèses!$V$15,Hypothèses!$W$15,IF(CS69&lt;=Hypothèses!$V$16,Hypothèses!$W$16,IF(CS69&lt;=Hypothèses!$V$17,Hypothèses!$W$17,IF(CS69&lt;=Hypothèses!$V$18,Hypothèses!$W$18,""))))))))))))</f>
        <v>#DIV/0!</v>
      </c>
      <c r="DN69" s="87" t="e">
        <f t="shared" ca="1" si="121"/>
        <v>#DIV/0!</v>
      </c>
      <c r="DO69" s="88" t="e">
        <f ca="1">IF(CS69&lt;=Hypothèses!$V$7,Hypothèses!$X$7,IF(CS69&lt;=Hypothèses!$V$8,Hypothèses!$X$8,IF(CS69&lt;=Hypothèses!$V$9,Hypothèses!$X$9,IF(CS69&lt;=Hypothèses!$V$10,Hypothèses!$X$10,IF(CS69&lt;=Hypothèses!$V$11,Hypothèses!$X$11,IF(CS69&lt;=Hypothèses!$V$12,Hypothèses!$X$12,IF(CS69&lt;=Hypothèses!$V$13,Hypothèses!$X$13,IF(CS69&lt;=Hypothèses!$V$14,Hypothèses!$X$14,IF(CS69&lt;=Hypothèses!$V$15,Hypothèses!$X$15,IF(CS69&lt;=Hypothèses!$V$16,Hypothèses!$X$16,IF(CS69&lt;=Hypothèses!$U$17,Hypothèses!$W$17,IF(CS69&lt;=Hypothèses!$U$18,Hypothèses!$W$18,""))))))))))))</f>
        <v>#DIV/0!</v>
      </c>
      <c r="DP69" s="95" t="e">
        <f t="shared" ca="1" si="89"/>
        <v>#DIV/0!</v>
      </c>
      <c r="DQ69" s="101">
        <f t="shared" si="128"/>
        <v>0</v>
      </c>
      <c r="DR69" s="91">
        <f t="shared" si="48"/>
        <v>0</v>
      </c>
      <c r="DS69" s="30" t="e">
        <f t="shared" si="110"/>
        <v>#N/A</v>
      </c>
      <c r="DT69" s="30" t="e">
        <f t="shared" si="111"/>
        <v>#N/A</v>
      </c>
      <c r="DU69" s="31" t="e">
        <f>IF(OR(Hypothèses!$B$4=17,Hypothèses!$B$4=18,Hypothèses!$B$4=19,Hypothèses!$B$4=20),
IF($D69="Pressio.",
IF(OR($E69=3,$E69=1,$E69=4),DT69,DS69),
IF($D69="Pénétro.",
IF(OR($E69=3,$E69=1,$E69=4),DT69,DS69))),IF($D69="Pressio.",
IF($E69=3,DT69,DS69),
IF($D69="Pénétro.",
IF($E69=4,DT69,DS69))))</f>
        <v>#N/A</v>
      </c>
      <c r="DV69" s="31">
        <v>0</v>
      </c>
      <c r="DW69" s="102" t="e">
        <f>IF(NDC!$H$10="Oui",(VLOOKUP($B$3,'Coeff EC7'!$T$39:$X$59,2,0)*DU69+VLOOKUP($B$3,'Coeff EC7'!$T$65:$X$85,2,0)*Model0.1T!DV69)/1.5,PI()*DS$12*$Q69*($B69-$B68)*0.15/10+DW68)</f>
        <v>#N/A</v>
      </c>
      <c r="DX69" s="102" t="e">
        <f>(VLOOKUP($B$3,'Coeff EC7'!$T$39:$X$59,3,0)*DU69+VLOOKUP($B$3,'Coeff EC7'!$T$65:$X$85,3,0)*Model0.1T!DV69)/1.1</f>
        <v>#N/A</v>
      </c>
      <c r="DY69" s="102" t="e">
        <f t="shared" si="90"/>
        <v>#N/A</v>
      </c>
      <c r="DZ69" s="102" t="e">
        <f t="shared" si="91"/>
        <v>#N/A</v>
      </c>
      <c r="EA69" s="414" t="e">
        <f>IF(AND(DW69&gt;NDC!$C$63,DX69&gt;NDC!$C$65,DY69&gt;NDC!$D$73,DZ69&gt;NDC!$D$74,$B69&gt;NDC!$H$22-0.1+MIN(3*EA$12,1.5)),0,1)</f>
        <v>#N/A</v>
      </c>
      <c r="EB69" s="86" t="b">
        <f t="shared" si="51"/>
        <v>0</v>
      </c>
      <c r="EC69" s="418">
        <f t="shared" si="52"/>
        <v>0.51</v>
      </c>
      <c r="ED69" s="86">
        <f t="shared" si="53"/>
        <v>0.51</v>
      </c>
      <c r="EE69" s="30" t="e">
        <f t="shared" ca="1" si="92"/>
        <v>#DIV/0!</v>
      </c>
      <c r="EF69" s="85" t="e">
        <f ca="1">IF(DL69&lt;=Hypothèses!$V$7,Hypothèses!$W$7,IF(DL69&lt;=Hypothèses!$V$8,Hypothèses!$W$8,IF(DL69&lt;=Hypothèses!$V$9,Hypothèses!$W$9,IF(DL69&lt;=Hypothèses!$V$10,Hypothèses!$W$10,IF(DL69&lt;=Hypothèses!$V$11,Hypothèses!$W$11,IF(DL69&lt;=Hypothèses!$V$12,Hypothèses!$W$12,IF(DL69&lt;=Hypothèses!$V$13,Hypothèses!$W$13,IF(DL69&lt;=Hypothèses!$V$14,Hypothèses!$W$14,IF(DL69&lt;=Hypothèses!$V$15,Hypothèses!$W$15,IF(DL69&lt;=Hypothèses!$V$16,Hypothèses!$W$16,IF(DL69&lt;=Hypothèses!$V$17,Hypothèses!$W$17,IF(DL69&lt;=Hypothèses!$V$18,Hypothèses!$W$18,""))))))))))))</f>
        <v>#DIV/0!</v>
      </c>
      <c r="EG69" s="87" t="e">
        <f t="shared" ca="1" si="122"/>
        <v>#DIV/0!</v>
      </c>
      <c r="EH69" s="88" t="e">
        <f ca="1">IF(DL69&lt;=Hypothèses!$V$7,Hypothèses!$X$7,IF(DL69&lt;=Hypothèses!$V$8,Hypothèses!$X$8,IF(DL69&lt;=Hypothèses!$V$9,Hypothèses!$X$9,IF(DL69&lt;=Hypothèses!$V$10,Hypothèses!$X$10,IF(DL69&lt;=Hypothèses!$V$11,Hypothèses!$X$11,IF(DL69&lt;=Hypothèses!$V$12,Hypothèses!$X$12,IF(DL69&lt;=Hypothèses!$V$13,Hypothèses!$X$13,IF(DL69&lt;=Hypothèses!$V$14,Hypothèses!$X$14,IF(DL69&lt;=Hypothèses!$V$15,Hypothèses!$X$15,IF(DL69&lt;=Hypothèses!$V$16,Hypothèses!$X$16,IF(DL69&lt;=Hypothèses!$U$17,Hypothèses!$W$17,IF(DL69&lt;=Hypothèses!$U$18,Hypothèses!$W$18,""))))))))))))</f>
        <v>#DIV/0!</v>
      </c>
      <c r="EI69" s="95" t="e">
        <f t="shared" ca="1" si="93"/>
        <v>#DIV/0!</v>
      </c>
      <c r="EJ69" s="101">
        <f t="shared" si="129"/>
        <v>0</v>
      </c>
      <c r="EK69" s="91">
        <f t="shared" si="55"/>
        <v>0</v>
      </c>
      <c r="EL69" s="30" t="e">
        <f t="shared" si="112"/>
        <v>#N/A</v>
      </c>
      <c r="EM69" s="30" t="e">
        <f t="shared" si="113"/>
        <v>#N/A</v>
      </c>
      <c r="EN69" s="31" t="e">
        <f>IF(OR(Hypothèses!$B$4=17,Hypothèses!$B$4=18,Hypothèses!$B$4=19,Hypothèses!$B$4=20),
IF($D69="Pressio.",
IF(OR($E69=3,$E69=1,$E69=4),EM69,EL69),
IF($D69="Pénétro.",
IF(OR($E69=3,$E69=1,$E69=4),EM69,EL69))),IF($D69="Pressio.",
IF($E69=3,EM69,EL69),
IF($D69="Pénétro.",
IF($E69=4,EM69,EL69))))</f>
        <v>#N/A</v>
      </c>
      <c r="EO69" s="31">
        <v>0</v>
      </c>
      <c r="EP69" s="102" t="e">
        <f>IF(NDC!$H$10="Oui",(VLOOKUP($B$3,'Coeff EC7'!$T$39:$X$59,2,0)*EN69+VLOOKUP($B$3,'Coeff EC7'!$T$65:$X$85,2,0)*Model0.1T!EO69)/1.5,PI()*EL$12*$Q69*($B69-$B68)*0.15/10+EP68)</f>
        <v>#N/A</v>
      </c>
      <c r="EQ69" s="102" t="e">
        <f>(VLOOKUP($B$3,'Coeff EC7'!$T$39:$X$59,3,0)*EN69+VLOOKUP($B$3,'Coeff EC7'!$T$65:$X$85,3,0)*Model0.1T!EO69)/1.1</f>
        <v>#N/A</v>
      </c>
      <c r="ER69" s="102" t="e">
        <f t="shared" si="94"/>
        <v>#N/A</v>
      </c>
      <c r="ES69" s="102" t="e">
        <f t="shared" si="95"/>
        <v>#N/A</v>
      </c>
      <c r="ET69" s="414" t="e">
        <f>IF(AND(EP69&gt;NDC!$C$63,EQ69&gt;NDC!$C$65,ER69&gt;NDC!$D$73,ES69&gt;NDC!$D$74,$B69&gt;NDC!$H$22-0.1+MIN(3*ET$12,1.5)),0,1)</f>
        <v>#N/A</v>
      </c>
      <c r="EU69" s="86" t="b">
        <f t="shared" si="58"/>
        <v>0</v>
      </c>
      <c r="EV69" s="86">
        <f t="shared" si="59"/>
        <v>0.61</v>
      </c>
      <c r="EW69" s="86">
        <f t="shared" si="60"/>
        <v>0.61</v>
      </c>
      <c r="EX69" s="30" t="e">
        <f t="shared" ca="1" si="96"/>
        <v>#DIV/0!</v>
      </c>
      <c r="EY69" s="85" t="e">
        <f ca="1">IF(EE69&lt;=Hypothèses!$V$7,Hypothèses!$W$7,IF(EE69&lt;=Hypothèses!$V$8,Hypothèses!$W$8,IF(EE69&lt;=Hypothèses!$V$9,Hypothèses!$W$9,IF(EE69&lt;=Hypothèses!$V$10,Hypothèses!$W$10,IF(EE69&lt;=Hypothèses!$V$11,Hypothèses!$W$11,IF(EE69&lt;=Hypothèses!$V$12,Hypothèses!$W$12,IF(EE69&lt;=Hypothèses!$V$13,Hypothèses!$W$13,IF(EE69&lt;=Hypothèses!$V$14,Hypothèses!$W$14,IF(EE69&lt;=Hypothèses!$V$15,Hypothèses!$W$15,IF(EE69&lt;=Hypothèses!$V$16,Hypothèses!$W$16,IF(EE69&lt;=Hypothèses!$V$17,Hypothèses!$W$17,IF(EE69&lt;=Hypothèses!$V$18,Hypothèses!$W$18,""))))))))))))</f>
        <v>#DIV/0!</v>
      </c>
      <c r="EZ69" s="87" t="e">
        <f t="shared" ca="1" si="123"/>
        <v>#DIV/0!</v>
      </c>
      <c r="FA69" s="88" t="e">
        <f ca="1">IF(EE69&lt;=Hypothèses!$V$7,Hypothèses!$X$7,IF(EE69&lt;=Hypothèses!$V$8,Hypothèses!$X$8,IF(EE69&lt;=Hypothèses!$V$9,Hypothèses!$X$9,IF(EE69&lt;=Hypothèses!$V$10,Hypothèses!$X$10,IF(EE69&lt;=Hypothèses!$V$11,Hypothèses!$X$11,IF(EE69&lt;=Hypothèses!$V$12,Hypothèses!$X$12,IF(EE69&lt;=Hypothèses!$V$13,Hypothèses!$X$13,IF(EE69&lt;=Hypothèses!$V$14,Hypothèses!$X$14,IF(EE69&lt;=Hypothèses!$V$15,Hypothèses!$X$15,IF(EE69&lt;=Hypothèses!$V$16,Hypothèses!$X$16,IF(EE69&lt;=Hypothèses!$U$17,Hypothèses!$W$17,IF(EE69&lt;=Hypothèses!$U$18,Hypothèses!$W$18,""))))))))))))</f>
        <v>#DIV/0!</v>
      </c>
      <c r="FB69" s="95" t="e">
        <f t="shared" ca="1" si="97"/>
        <v>#DIV/0!</v>
      </c>
      <c r="FC69" s="101">
        <f t="shared" si="130"/>
        <v>0</v>
      </c>
      <c r="FD69" s="91">
        <f t="shared" si="62"/>
        <v>0</v>
      </c>
      <c r="FE69" s="30" t="e">
        <f t="shared" si="114"/>
        <v>#N/A</v>
      </c>
      <c r="FF69" s="30" t="e">
        <f t="shared" si="115"/>
        <v>#N/A</v>
      </c>
      <c r="FG69" s="31" t="e">
        <f>IF(OR(Hypothèses!$B$4=17,Hypothèses!$B$4=18,Hypothèses!$B$4=19,Hypothèses!$B$4=20),
IF($D69="Pressio.",
IF(OR($E69=3,$E69=1,$E69=4),FF69,FE69),
IF($D69="Pénétro.",
IF(OR($E69=3,$E69=1,$E69=4),FF69,FE69))),IF($D69="Pressio.",
IF($E69=3,FF69,FE69),
IF($D69="Pénétro.",
IF($E69=4,FF69,FE69))))</f>
        <v>#N/A</v>
      </c>
      <c r="FH69" s="31">
        <v>0</v>
      </c>
      <c r="FI69" s="102" t="e">
        <f>IF(NDC!$H$10="Oui",(VLOOKUP($B$3,'Coeff EC7'!$T$39:$X$59,2,0)*FG69+VLOOKUP($B$3,'Coeff EC7'!$T$65:$X$85,2,0)*Model0.1T!FH69)/1.5,PI()*FE$12*$Q69*($B69-$B68)*0.15/10+FI68)</f>
        <v>#N/A</v>
      </c>
      <c r="FJ69" s="102" t="e">
        <f>(VLOOKUP($B$3,'Coeff EC7'!$T$39:$X$59,3,0)*FG69+VLOOKUP($B$3,'Coeff EC7'!$T$65:$X$85,3,0)*Model0.1T!FH69)/1.1</f>
        <v>#N/A</v>
      </c>
      <c r="FK69" s="102" t="e">
        <f t="shared" si="98"/>
        <v>#N/A</v>
      </c>
      <c r="FL69" s="102" t="e">
        <f t="shared" si="99"/>
        <v>#N/A</v>
      </c>
      <c r="FM69" s="414" t="e">
        <f>IF(AND(FI69&gt;NDC!$C$63,FJ69&gt;NDC!$C$65,FK69&gt;NDC!$D$73,FL69&gt;NDC!$D$74,$B69&gt;NDC!$H$22-0.1+MIN(3*FM$12,1.5)),0,1)</f>
        <v>#N/A</v>
      </c>
    </row>
    <row r="70" spans="1:169">
      <c r="A70" s="96">
        <f t="shared" si="65"/>
        <v>94.300000000000324</v>
      </c>
      <c r="B70" s="97">
        <v>5.7</v>
      </c>
      <c r="C70" s="81">
        <f>IF(B70&lt;=Hypothèses!$C$7,Hypothèses!$A$7,IF(B70&lt;=Hypothèses!$C$8,Hypothèses!$A$8,IF(B70&lt;=Hypothèses!$C$9,Hypothèses!$A$9,IF(B70&lt;=Hypothèses!$C$10,Hypothèses!$A$10,IF(B70&lt;=Hypothèses!$C$11,Hypothèses!$A$11,IF(B70&lt;=Hypothèses!$C$12,Hypothèses!$A$12,IF(B70&lt;=Hypothèses!$C$13,Hypothèses!$A$13,IF(B70&lt;=Hypothèses!$C$14,Hypothèses!$A$14,IF(B70&lt;=Hypothèses!$C$15,Hypothèses!$A$15,IF(B70&lt;=Hypothèses!$C$16,Hypothèses!$A$16,IF(B70&lt;=Hypothèses!$C$17,Hypothèses!$A$17,IF(B70&lt;=Hypothèses!$C$18,Hypothèses!$A$18,C69))))))))))))</f>
        <v>11</v>
      </c>
      <c r="D70" s="82" t="str">
        <f>IF(B70&lt;=Hypothèses!$C$7,Hypothèses!$R$7,IF(B70&lt;=Hypothèses!$C$8,Hypothèses!$R$8,IF(B70&lt;=Hypothèses!$C$9,Hypothèses!$R$9,IF(B70&lt;=Hypothèses!$C$10,Hypothèses!$R$10,IF(B70&lt;=Hypothèses!$C$11,Hypothèses!$R$11,IF(B70&lt;=Hypothèses!$C$12,Hypothèses!$R$12,IF(B70&lt;=Hypothèses!$C$13,Hypothèses!$R$13,IF(B70&lt;=Hypothèses!$C$14,Hypothèses!$R$14,IF(B70&lt;=Hypothèses!$C$15,Hypothèses!$R$15,IF(B70&lt;=Hypothèses!$C$16,Hypothèses!$R$16,IF(B70&lt;=Hypothèses!$C$17,Hypothèses!$R$17,IF(B70&lt;=Hypothèses!$C$18,Hypothèses!$R$18,D69))))))))))))</f>
        <v>Pressio.</v>
      </c>
      <c r="E70" s="82" t="e">
        <f>IF(B70&lt;=Hypothèses!$C$7,Hypothèses!$G$7,IF(B70&lt;=Hypothèses!$C$8,Hypothèses!$G$8,IF(B70&lt;=Hypothèses!$C$9,Hypothèses!$G$9,IF(B70&lt;=Hypothèses!$C$10,Hypothèses!$G$10,IF(B70&lt;=Hypothèses!$C$11,Hypothèses!$G$11,IF(B70&lt;=Hypothèses!$C$12,Hypothèses!$G$12,IF(B70&lt;=Hypothèses!$C$13,Hypothèses!$G$13,IF(B70&lt;=Hypothèses!$C$14,Hypothèses!$G$14,IF(B70&lt;=Hypothèses!$C$15,Hypothèses!$G$15,IF(B70&lt;=Hypothèses!$C$16,Hypothèses!$G$16,IF(B70&lt;=Hypothèses!$C$17,Hypothèses!$G$17,IF(B70&lt;=Hypothèses!$C$18,Hypothèses!$G$18,E69))))))))))))</f>
        <v>#N/A</v>
      </c>
      <c r="F70" s="82" t="str">
        <f>IF(B70&lt;=Hypothèses!$C$7,Hypothèses!$F$7,IF(B70&lt;=Hypothèses!$C$8,Hypothèses!$F$8,IF(B70&lt;=Hypothèses!$C$9,Hypothèses!$F$9,IF(B70&lt;=Hypothèses!$C$10,Hypothèses!$F$10,IF(B70&lt;=Hypothèses!$C$11,Hypothèses!$F$11,IF(B70&lt;=Hypothèses!$C$12,Hypothèses!$F$12,IF(B70&lt;=Hypothèses!$C$13,Hypothèses!$F$13,IF(B70&lt;=Hypothèses!$C$14,Hypothèses!$F$14,IF(B70&lt;=Hypothèses!$C$15,Hypothèses!$F$15,IF(B70&lt;=Hypothèses!$C$16,Hypothèses!$F$16,IF(B70&lt;=Hypothèses!$C$17,Hypothèses!$F$17,IF(B70&lt;=Hypothèses!$C$18,Hypothèses!$F$18,F69))))))))))))</f>
        <v/>
      </c>
      <c r="G70" s="91">
        <f t="array" ref="G70">INDEX('Coeff EC7'!$U$7:$X$27,
MATCH(Model0.1T!$B$3,'Coeff EC7'!$T$7:$T$27,0),
MATCH(Model0.1T!$D70&amp;Model0.1T!$B$4,
'Coeff EC7'!$U$6:$X$6&amp;
'Coeff EC7'!$U$5:$X$5,0))</f>
        <v>1.4</v>
      </c>
      <c r="H70" s="91">
        <f t="array" ref="H70">INDEX('Coeff EC7'!$Y$7:$AB$27,
MATCH(Model0.1T!$B$3,'Coeff EC7'!$T$7:$T$27,0),
MATCH(Model0.1T!$D70&amp;Model0.1T!$B$4,
'Coeff EC7'!$Y$6:$AB$6&amp;
'Coeff EC7'!$Y$5:$AB$5,0))</f>
        <v>1.7</v>
      </c>
      <c r="I70" s="83">
        <v>0</v>
      </c>
      <c r="J70" s="91" t="e">
        <f t="array" ref="J70">INDEX('Coeff EC7'!$D$33:$Q$33,1,MATCH(D70&amp;E70,'Coeff EC7'!$D$31:$Q$31&amp;'Coeff EC7'!$D$32:$Q$32,0))</f>
        <v>#N/A</v>
      </c>
      <c r="K70" s="91" t="e">
        <f t="array" ref="K70">INDEX('Coeff EC7'!$D$34:$Q$34,1,MATCH(D70&amp;E70,'Coeff EC7'!$D$31:$Q$31&amp;'Coeff EC7'!$D$32:$Q$32,0))</f>
        <v>#N/A</v>
      </c>
      <c r="L70" s="91" t="e">
        <f t="array" ref="L70">INDEX('Coeff EC7'!$D$35:$Q$35,1,MATCH(D70&amp;E70,'Coeff EC7'!$D$31:$Q$31&amp;'Coeff EC7'!$D$32:$Q$32,0))</f>
        <v>#N/A</v>
      </c>
      <c r="M70" s="98" t="e">
        <f t="shared" si="8"/>
        <v>#N/A</v>
      </c>
      <c r="N70" s="99" t="e">
        <f t="array" ref="N70">INDEX('Coeff EC7'!$D$7:$Q$27,MATCH($B$3,'Coeff EC7'!$C$7:$C$27,0),MATCH(D70&amp;E70,'Coeff EC7'!$D$5:$Q$5&amp;'Coeff EC7'!$D$6:$Q$6,0))</f>
        <v>#N/A</v>
      </c>
      <c r="O70" s="99" t="e">
        <f t="array" ref="O70">INDEX('Coeff EC7'!$D$41:$Q$61,MATCH($B$3,'Coeff EC7'!$C$41:$C$61,0),MATCH(D70&amp;E70,'Coeff EC7'!$D$39:$Q$39&amp;'Coeff EC7'!$D$40:$Q$40,0))</f>
        <v>#N/A</v>
      </c>
      <c r="P70" s="30" t="e">
        <f t="shared" si="66"/>
        <v>#N/A</v>
      </c>
      <c r="Q70" s="100" t="e">
        <f t="shared" si="10"/>
        <v>#N/A</v>
      </c>
      <c r="R70" s="86" t="b">
        <f t="shared" si="11"/>
        <v>0</v>
      </c>
      <c r="S70" s="86">
        <f t="shared" si="9"/>
        <v>0.5</v>
      </c>
      <c r="T70" s="86">
        <f t="shared" si="12"/>
        <v>0.5</v>
      </c>
      <c r="U70" s="30" t="e">
        <f t="shared" ca="1" si="67"/>
        <v>#DIV/0!</v>
      </c>
      <c r="V70" s="85" t="str">
        <f>IF(B70&lt;=Hypothèses!$V$7,Hypothèses!$W$7,IF(B70&lt;=Hypothèses!$V$8,Hypothèses!$W$8,IF(B70&lt;=Hypothèses!$V$9,Hypothèses!$W$9,IF(B70&lt;=Hypothèses!$V$10,Hypothèses!$W$10,IF(B70&lt;=Hypothèses!$V$11,Hypothèses!$W$11,IF(B70&lt;=Hypothèses!$V$12,Hypothèses!$W$12,IF(B70&lt;=Hypothèses!$V$13,Hypothèses!$W$13,IF(B70&lt;=Hypothèses!$V$14,Hypothèses!$W$14,IF(B70&lt;=Hypothèses!$V$15,Hypothèses!$W$15,IF(B70&lt;=Hypothèses!$V$16,Hypothèses!$W$16,IF(B70&lt;=Hypothèses!$V$17,Hypothèses!$W$17,IF(B70&lt;=Hypothèses!$V$18,Hypothèses!$W$18,""))))))))))))</f>
        <v/>
      </c>
      <c r="W70" s="87" t="e">
        <f t="shared" ca="1" si="116"/>
        <v>#DIV/0!</v>
      </c>
      <c r="X70" s="88" t="str">
        <f>IF(B70&lt;=Hypothèses!$V$7,Hypothèses!$X$7,IF(B70&lt;=Hypothèses!$V$8,Hypothèses!$X$8,IF(B70&lt;=Hypothèses!$V$9,Hypothèses!$X$9,IF(B70&lt;=Hypothèses!$V$10,Hypothèses!$X$10,IF(B70&lt;=Hypothèses!$V$11,Hypothèses!$X$11,IF(B70&lt;=Hypothèses!$V$12,Hypothèses!$X$12,IF(B70&lt;=Hypothèses!$V$13,Hypothèses!$X$13,IF(B70&lt;=Hypothèses!$V$14,Hypothèses!$X$14,IF(B70&lt;=Hypothèses!$V$15,Hypothèses!$X$15,IF(B70&lt;=Hypothèses!$V$16,Hypothèses!$X$16,IF(B70&lt;=Hypothèses!$U$17,Hypothèses!$W$17,IF(B70&lt;=Hypothèses!$U$18,Hypothèses!$W$18,""))))))))))))</f>
        <v/>
      </c>
      <c r="Y70" s="95" t="e">
        <f t="shared" ca="1" si="13"/>
        <v>#DIV/0!</v>
      </c>
      <c r="Z70" s="101">
        <f t="shared" si="14"/>
        <v>0</v>
      </c>
      <c r="AA70" s="91">
        <f t="shared" si="15"/>
        <v>0</v>
      </c>
      <c r="AB70" s="30" t="e">
        <f t="shared" si="100"/>
        <v>#N/A</v>
      </c>
      <c r="AC70" s="30" t="e">
        <f t="shared" si="101"/>
        <v>#N/A</v>
      </c>
      <c r="AD70" s="31" t="e">
        <f>IF(OR(Hypothèses!$B$4=17,Hypothèses!$B$4=18,Hypothèses!$B$4=19,Hypothèses!$B$4=20),
IF($D70="Pressio.",
IF(OR($E70=3,$E70=1,$E70=4),AC70,AB70),
IF($D70="Pénétro.",
IF(OR($E70=3,$E70=1,$E70=4),AC70,AB70))),IF($D70="Pressio.",
IF($E70=3,AC70,AB70),
IF($D70="Pénétro.",
IF($E70=4,AC70,AB70))))</f>
        <v>#N/A</v>
      </c>
      <c r="AE70" s="31">
        <v>0</v>
      </c>
      <c r="AF70" s="102" t="e">
        <f>IF(NDC!$H$10="Oui",(VLOOKUP($B$3,'Coeff EC7'!$T$39:$X$59,2,0)*AD70+VLOOKUP($B$3,'Coeff EC7'!$T$65:$X$85,2,0)*Model0.1T!AE70)/1.5,PI()*AB$12*$Q70*($B70-$B69)*0.15/10+AF69)</f>
        <v>#N/A</v>
      </c>
      <c r="AG70" s="102" t="e">
        <f>(VLOOKUP($B$3,'Coeff EC7'!$T$39:$X$59,3,0)*AD70+VLOOKUP($B$3,'Coeff EC7'!$T$65:$X$85,3,0)*Model0.1T!AE70)/1.1</f>
        <v>#N/A</v>
      </c>
      <c r="AH70" s="102" t="e">
        <f t="shared" si="68"/>
        <v>#N/A</v>
      </c>
      <c r="AI70" s="102" t="e">
        <f t="shared" si="69"/>
        <v>#N/A</v>
      </c>
      <c r="AJ70" s="414" t="e">
        <f>IF(AND(AF70&gt;NDC!$C$63,AG70&gt;NDC!$C$65,AH70&gt;NDC!$D$73,AI70&gt;NDC!$D$74,$B70&gt;NDC!$H$22-0.1+MIN(3*$AJ$12,1.5)),0,1)</f>
        <v>#N/A</v>
      </c>
      <c r="AK70" s="86" t="b">
        <f t="shared" si="18"/>
        <v>0</v>
      </c>
      <c r="AL70" s="86">
        <f t="shared" si="70"/>
        <v>0.5</v>
      </c>
      <c r="AM70" s="86">
        <f t="shared" si="19"/>
        <v>0.5</v>
      </c>
      <c r="AN70" s="30" t="e">
        <f t="shared" ca="1" si="71"/>
        <v>#DIV/0!</v>
      </c>
      <c r="AO70" s="85" t="e">
        <f ca="1">IF(U70&lt;=Hypothèses!$V$7,Hypothèses!$W$7,IF(U70&lt;=Hypothèses!$V$8,Hypothèses!$W$8,IF(U70&lt;=Hypothèses!$V$9,Hypothèses!$W$9,IF(U70&lt;=Hypothèses!$V$10,Hypothèses!$W$10,IF(U70&lt;=Hypothèses!$V$11,Hypothèses!$W$11,IF(U70&lt;=Hypothèses!$V$12,Hypothèses!$W$12,IF(U70&lt;=Hypothèses!$V$13,Hypothèses!$W$13,IF(U70&lt;=Hypothèses!$V$14,Hypothèses!$W$14,IF(U70&lt;=Hypothèses!$V$15,Hypothèses!$W$15,IF(U70&lt;=Hypothèses!$V$16,Hypothèses!$W$16,IF(U70&lt;=Hypothèses!$V$17,Hypothèses!$W$17,IF(U70&lt;=Hypothèses!$V$18,Hypothèses!$W$18,""))))))))))))</f>
        <v>#DIV/0!</v>
      </c>
      <c r="AP70" s="87" t="e">
        <f t="shared" ca="1" si="117"/>
        <v>#DIV/0!</v>
      </c>
      <c r="AQ70" s="88" t="e">
        <f ca="1">IF(U70&lt;=Hypothèses!$V$7,Hypothèses!$X$7,IF(U70&lt;=Hypothèses!$V$8,Hypothèses!$X$8,IF(U70&lt;=Hypothèses!$V$9,Hypothèses!$X$9,IF(U70&lt;=Hypothèses!$V$10,Hypothèses!$X$10,IF(U70&lt;=Hypothèses!$V$11,Hypothèses!$X$11,IF(U70&lt;=Hypothèses!$V$12,Hypothèses!$X$12,IF(U70&lt;=Hypothèses!$V$13,Hypothèses!$X$13,IF(U70&lt;=Hypothèses!$V$14,Hypothèses!$X$14,IF(U70&lt;=Hypothèses!$V$15,Hypothèses!$X$15,IF(U70&lt;=Hypothèses!$V$16,Hypothèses!$X$16,IF(U70&lt;=Hypothèses!$U$17,Hypothèses!$W$17,IF(U70&lt;=Hypothèses!$U$18,Hypothèses!$W$18,""))))))))))))</f>
        <v>#DIV/0!</v>
      </c>
      <c r="AR70" s="95" t="e">
        <f t="shared" ca="1" si="72"/>
        <v>#DIV/0!</v>
      </c>
      <c r="AS70" s="101">
        <f t="shared" si="124"/>
        <v>0</v>
      </c>
      <c r="AT70" s="91">
        <f t="shared" si="21"/>
        <v>0</v>
      </c>
      <c r="AU70" s="30" t="e">
        <f t="shared" si="102"/>
        <v>#N/A</v>
      </c>
      <c r="AV70" s="30" t="e">
        <f t="shared" si="103"/>
        <v>#N/A</v>
      </c>
      <c r="AW70" s="31" t="e">
        <f>IF(OR(Hypothèses!$B$4=17,Hypothèses!$B$4=18,Hypothèses!$B$4=19,Hypothèses!$B$4=20),
IF($D70="Pressio.",
IF(OR($E70=3,$E70=1,$E70=4),AV70,AU70),
IF($D70="Pénétro.",
IF(OR($E70=3,$E70=1,$E70=4),AV70,AU70))),IF($D70="Pressio.",
IF($E70=3,AV70,AU70),
IF($D70="Pénétro.",
IF($E70=4,AV70,AU70))))</f>
        <v>#N/A</v>
      </c>
      <c r="AX70" s="31">
        <v>0</v>
      </c>
      <c r="AY70" s="102" t="e">
        <f>IF(NDC!$H$10="Oui",(VLOOKUP($B$3,'Coeff EC7'!$T$39:$X$59,2,0)*AW70+VLOOKUP($B$3,'Coeff EC7'!$T$65:$X$85,2,0)*Model0.1T!AX70)/1.5,PI()*AU$12*$Q70*($B70-$B69)*0.15/10+AY69)</f>
        <v>#N/A</v>
      </c>
      <c r="AZ70" s="102" t="e">
        <f>(VLOOKUP($B$3,'Coeff EC7'!$T$39:$X$59,3,0)*AW70+VLOOKUP($B$3,'Coeff EC7'!$T$65:$X$85,3,0)*Model0.1T!AX70)/1.1</f>
        <v>#N/A</v>
      </c>
      <c r="BA70" s="102" t="e">
        <f t="shared" si="73"/>
        <v>#N/A</v>
      </c>
      <c r="BB70" s="102" t="e">
        <f t="shared" si="74"/>
        <v>#N/A</v>
      </c>
      <c r="BC70" s="414" t="e">
        <f>IF(AND(AY70&gt;NDC!$C$63,AZ70&gt;NDC!$C$65,BA70&gt;NDC!$D$73,BB70&gt;NDC!$D$74,$B70&gt;NDC!$H$22-0.1+MIN(3*BC$12,1.5)),0,1)</f>
        <v>#N/A</v>
      </c>
      <c r="BD70" s="86" t="b">
        <f t="shared" si="24"/>
        <v>0</v>
      </c>
      <c r="BE70" s="86">
        <f t="shared" si="75"/>
        <v>0.5</v>
      </c>
      <c r="BF70" s="86">
        <f t="shared" si="25"/>
        <v>0.5</v>
      </c>
      <c r="BG70" s="30" t="e">
        <f t="shared" ca="1" si="76"/>
        <v>#DIV/0!</v>
      </c>
      <c r="BH70" s="85" t="e">
        <f ca="1">IF(AN70&lt;=Hypothèses!$V$7,Hypothèses!$W$7,IF(AN70&lt;=Hypothèses!$V$8,Hypothèses!$W$8,IF(AN70&lt;=Hypothèses!$V$9,Hypothèses!$W$9,IF(AN70&lt;=Hypothèses!$V$10,Hypothèses!$W$10,IF(AN70&lt;=Hypothèses!$V$11,Hypothèses!$W$11,IF(AN70&lt;=Hypothèses!$V$12,Hypothèses!$W$12,IF(AN70&lt;=Hypothèses!$V$13,Hypothèses!$W$13,IF(AN70&lt;=Hypothèses!$V$14,Hypothèses!$W$14,IF(AN70&lt;=Hypothèses!$V$15,Hypothèses!$W$15,IF(AN70&lt;=Hypothèses!$V$16,Hypothèses!$W$16,IF(AN70&lt;=Hypothèses!$V$17,Hypothèses!$W$17,IF(AN70&lt;=Hypothèses!$V$18,Hypothèses!$W$18,""))))))))))))</f>
        <v>#DIV/0!</v>
      </c>
      <c r="BI70" s="87" t="e">
        <f t="shared" ca="1" si="118"/>
        <v>#DIV/0!</v>
      </c>
      <c r="BJ70" s="88" t="e">
        <f ca="1">IF(AN70&lt;=Hypothèses!$V$7,Hypothèses!$X$7,IF(AN70&lt;=Hypothèses!$V$8,Hypothèses!$X$8,IF(AN70&lt;=Hypothèses!$V$9,Hypothèses!$X$9,IF(AN70&lt;=Hypothèses!$V$10,Hypothèses!$X$10,IF(AN70&lt;=Hypothèses!$V$11,Hypothèses!$X$11,IF(AN70&lt;=Hypothèses!$V$12,Hypothèses!$X$12,IF(AN70&lt;=Hypothèses!$V$13,Hypothèses!$X$13,IF(AN70&lt;=Hypothèses!$V$14,Hypothèses!$X$14,IF(AN70&lt;=Hypothèses!$V$15,Hypothèses!$X$15,IF(AN70&lt;=Hypothèses!$V$16,Hypothèses!$X$16,IF(AN70&lt;=Hypothèses!$U$17,Hypothèses!$W$17,IF(AN70&lt;=Hypothèses!$U$18,Hypothèses!$W$18,""))))))))))))</f>
        <v>#DIV/0!</v>
      </c>
      <c r="BK70" s="95" t="e">
        <f t="shared" ca="1" si="77"/>
        <v>#DIV/0!</v>
      </c>
      <c r="BL70" s="101">
        <f t="shared" si="125"/>
        <v>0</v>
      </c>
      <c r="BM70" s="91">
        <f t="shared" si="27"/>
        <v>0</v>
      </c>
      <c r="BN70" s="30" t="e">
        <f t="shared" si="104"/>
        <v>#N/A</v>
      </c>
      <c r="BO70" s="30" t="e">
        <f t="shared" si="105"/>
        <v>#N/A</v>
      </c>
      <c r="BP70" s="31" t="e">
        <f>IF(OR(Hypothèses!$B$4=17,Hypothèses!$B$4=18,Hypothèses!$B$4=19,Hypothèses!$B$4=20),
IF($D70="Pressio.",
IF(OR($E70=3,$E70=1,$E70=4),BO70,BN70),
IF($D70="Pénétro.",
IF(OR($E70=3,$E70=1,$E70=4),BO70,BN70))),IF($D70="Pressio.",
IF($E70=3,BO70,BN70),
IF($D70="Pénétro.",
IF($E70=4,BO70,BN70))))</f>
        <v>#N/A</v>
      </c>
      <c r="BQ70" s="31">
        <v>0</v>
      </c>
      <c r="BR70" s="102" t="e">
        <f>IF(NDC!$H$10="Oui",(VLOOKUP($B$3,'Coeff EC7'!$T$39:$X$59,2,0)*BP70+VLOOKUP($B$3,'Coeff EC7'!$T$65:$X$85,2,0)*Model0.1T!BQ70)/1.5,PI()*BN$12*$Q70*($B70-$B69)*0.15/10+BR69)</f>
        <v>#N/A</v>
      </c>
      <c r="BS70" s="102" t="e">
        <f>(VLOOKUP($B$3,'Coeff EC7'!$T$39:$X$59,3,0)*BP70+VLOOKUP($B$3,'Coeff EC7'!$T$65:$X$85,3,0)*Model0.1T!BQ70)/1.1</f>
        <v>#N/A</v>
      </c>
      <c r="BT70" s="102" t="e">
        <f t="shared" si="78"/>
        <v>#N/A</v>
      </c>
      <c r="BU70" s="102" t="e">
        <f t="shared" si="79"/>
        <v>#N/A</v>
      </c>
      <c r="BV70" s="414" t="e">
        <f>IF(AND(BR70&gt;NDC!$C$63,BS70&gt;NDC!$C$65,BT70&gt;NDC!$D$73,BU70&gt;NDC!$D$74,$B70&gt;NDC!$H$22-0.1+MIN(3*BV$12,1.5)),0,1)</f>
        <v>#N/A</v>
      </c>
      <c r="BW70" s="86" t="b">
        <f t="shared" si="30"/>
        <v>0</v>
      </c>
      <c r="BX70" s="86">
        <f t="shared" si="31"/>
        <v>0.5</v>
      </c>
      <c r="BY70" s="86">
        <f t="shared" si="32"/>
        <v>0.5</v>
      </c>
      <c r="BZ70" s="30" t="e">
        <f t="shared" ca="1" si="80"/>
        <v>#DIV/0!</v>
      </c>
      <c r="CA70" s="85" t="e">
        <f ca="1">IF(BG70&lt;=Hypothèses!$V$7,Hypothèses!$W$7,IF(BG70&lt;=Hypothèses!$V$8,Hypothèses!$W$8,IF(BG70&lt;=Hypothèses!$V$9,Hypothèses!$W$9,IF(BG70&lt;=Hypothèses!$V$10,Hypothèses!$W$10,IF(BG70&lt;=Hypothèses!$V$11,Hypothèses!$W$11,IF(BG70&lt;=Hypothèses!$V$12,Hypothèses!$W$12,IF(BG70&lt;=Hypothèses!$V$13,Hypothèses!$W$13,IF(BG70&lt;=Hypothèses!$V$14,Hypothèses!$W$14,IF(BG70&lt;=Hypothèses!$V$15,Hypothèses!$W$15,IF(BG70&lt;=Hypothèses!$V$16,Hypothèses!$W$16,IF(BG70&lt;=Hypothèses!$V$17,Hypothèses!$W$17,IF(BG70&lt;=Hypothèses!$V$18,Hypothèses!$W$18,""))))))))))))</f>
        <v>#DIV/0!</v>
      </c>
      <c r="CB70" s="87" t="e">
        <f t="shared" ca="1" si="119"/>
        <v>#DIV/0!</v>
      </c>
      <c r="CC70" s="88" t="e">
        <f ca="1">IF(BG70&lt;=Hypothèses!$V$7,Hypothèses!$X$7,IF(BG70&lt;=Hypothèses!$V$8,Hypothèses!$X$8,IF(BG70&lt;=Hypothèses!$V$9,Hypothèses!$X$9,IF(BG70&lt;=Hypothèses!$V$10,Hypothèses!$X$10,IF(BG70&lt;=Hypothèses!$V$11,Hypothèses!$X$11,IF(BG70&lt;=Hypothèses!$V$12,Hypothèses!$X$12,IF(BG70&lt;=Hypothèses!$V$13,Hypothèses!$X$13,IF(BG70&lt;=Hypothèses!$V$14,Hypothèses!$X$14,IF(BG70&lt;=Hypothèses!$V$15,Hypothèses!$X$15,IF(BG70&lt;=Hypothèses!$V$16,Hypothèses!$X$16,IF(BG70&lt;=Hypothèses!$U$17,Hypothèses!$W$17,IF(BG70&lt;=Hypothèses!$U$18,Hypothèses!$W$18,""))))))))))))</f>
        <v>#DIV/0!</v>
      </c>
      <c r="CD70" s="95" t="e">
        <f t="shared" ca="1" si="81"/>
        <v>#DIV/0!</v>
      </c>
      <c r="CE70" s="101">
        <f t="shared" si="126"/>
        <v>0</v>
      </c>
      <c r="CF70" s="91">
        <f t="shared" si="34"/>
        <v>0</v>
      </c>
      <c r="CG70" s="30" t="e">
        <f t="shared" si="106"/>
        <v>#N/A</v>
      </c>
      <c r="CH70" s="30" t="e">
        <f t="shared" si="107"/>
        <v>#N/A</v>
      </c>
      <c r="CI70" s="31" t="e">
        <f>IF(OR(Hypothèses!$B$4=17,Hypothèses!$B$4=18,Hypothèses!$B$4=19,Hypothèses!$B$4=20),
IF($D70="Pressio.",
IF(OR($E70=3,$E70=1,$E70=4),CH70,CG70),
IF($D70="Pénétro.",
IF(OR($E70=3,$E70=1,$E70=4),CH70,CG70))),IF($D70="Pressio.",
IF($E70=3,CH70,CG70),
IF($D70="Pénétro.",
IF($E70=4,CH70,CG70))))</f>
        <v>#N/A</v>
      </c>
      <c r="CJ70" s="31">
        <v>0</v>
      </c>
      <c r="CK70" s="102" t="e">
        <f>IF(NDC!$H$10="Oui",(VLOOKUP($B$3,'Coeff EC7'!$T$39:$X$59,2,0)*CI70+VLOOKUP($B$3,'Coeff EC7'!$T$65:$X$85,2,0)*Model0.1T!CJ70)/1.5,PI()*CG$12*$Q70*($B70-$B69)*0.15/10+CK69)</f>
        <v>#N/A</v>
      </c>
      <c r="CL70" s="102" t="e">
        <f>(VLOOKUP($B$3,'Coeff EC7'!$T$39:$X$59,3,0)*CI70+VLOOKUP($B$3,'Coeff EC7'!$T$65:$X$85,3,0)*Model0.1T!CJ70)/1.1</f>
        <v>#N/A</v>
      </c>
      <c r="CM70" s="102" t="e">
        <f t="shared" si="82"/>
        <v>#N/A</v>
      </c>
      <c r="CN70" s="102" t="e">
        <f t="shared" si="83"/>
        <v>#N/A</v>
      </c>
      <c r="CO70" s="414" t="e">
        <f>IF(AND(CK70&gt;NDC!$C$63,CL70&gt;NDC!$C$65,CM70&gt;NDC!$D$73,CN70&gt;NDC!$D$74,$B70&gt;NDC!$H$22-0.1+MIN(3*CO$12,1.5)),0,1)</f>
        <v>#N/A</v>
      </c>
      <c r="CP70" s="86" t="b">
        <f t="shared" si="37"/>
        <v>0</v>
      </c>
      <c r="CQ70" s="86">
        <f t="shared" si="38"/>
        <v>0.5</v>
      </c>
      <c r="CR70" s="86">
        <f t="shared" si="39"/>
        <v>0.5</v>
      </c>
      <c r="CS70" s="30" t="e">
        <f t="shared" ca="1" si="84"/>
        <v>#DIV/0!</v>
      </c>
      <c r="CT70" s="85" t="e">
        <f ca="1">IF(BZ70&lt;=Hypothèses!$V$7,Hypothèses!$W$7,IF(BZ70&lt;=Hypothèses!$V$8,Hypothèses!$W$8,IF(BZ70&lt;=Hypothèses!$V$9,Hypothèses!$W$9,IF(BZ70&lt;=Hypothèses!$V$10,Hypothèses!$W$10,IF(BZ70&lt;=Hypothèses!$V$11,Hypothèses!$W$11,IF(BZ70&lt;=Hypothèses!$V$12,Hypothèses!$W$12,IF(BZ70&lt;=Hypothèses!$V$13,Hypothèses!$W$13,IF(BZ70&lt;=Hypothèses!$V$14,Hypothèses!$W$14,IF(BZ70&lt;=Hypothèses!$V$15,Hypothèses!$W$15,IF(BZ70&lt;=Hypothèses!$V$16,Hypothèses!$W$16,IF(BZ70&lt;=Hypothèses!$V$17,Hypothèses!$W$17,IF(BZ70&lt;=Hypothèses!$V$18,Hypothèses!$W$18,""))))))))))))</f>
        <v>#DIV/0!</v>
      </c>
      <c r="CU70" s="87" t="e">
        <f t="shared" ca="1" si="120"/>
        <v>#DIV/0!</v>
      </c>
      <c r="CV70" s="88" t="e">
        <f ca="1">IF(BZ70&lt;=Hypothèses!$V$7,Hypothèses!$X$7,IF(BZ70&lt;=Hypothèses!$V$8,Hypothèses!$X$8,IF(BZ70&lt;=Hypothèses!$V$9,Hypothèses!$X$9,IF(BZ70&lt;=Hypothèses!$V$10,Hypothèses!$X$10,IF(BZ70&lt;=Hypothèses!$V$11,Hypothèses!$X$11,IF(BZ70&lt;=Hypothèses!$V$12,Hypothèses!$X$12,IF(BZ70&lt;=Hypothèses!$V$13,Hypothèses!$X$13,IF(BZ70&lt;=Hypothèses!$V$14,Hypothèses!$X$14,IF(BZ70&lt;=Hypothèses!$V$15,Hypothèses!$X$15,IF(BZ70&lt;=Hypothèses!$V$16,Hypothèses!$X$16,IF(BZ70&lt;=Hypothèses!$U$17,Hypothèses!$W$17,IF(BZ70&lt;=Hypothèses!$U$18,Hypothèses!$W$18,""))))))))))))</f>
        <v>#DIV/0!</v>
      </c>
      <c r="CW70" s="95" t="e">
        <f t="shared" ca="1" si="85"/>
        <v>#DIV/0!</v>
      </c>
      <c r="CX70" s="101">
        <f t="shared" si="127"/>
        <v>0</v>
      </c>
      <c r="CY70" s="91">
        <f t="shared" si="41"/>
        <v>0</v>
      </c>
      <c r="CZ70" s="30" t="e">
        <f t="shared" si="108"/>
        <v>#N/A</v>
      </c>
      <c r="DA70" s="30" t="e">
        <f t="shared" si="109"/>
        <v>#N/A</v>
      </c>
      <c r="DB70" s="31" t="e">
        <f>IF(OR(Hypothèses!$B$4=17,Hypothèses!$B$4=18,Hypothèses!$B$4=19,Hypothèses!$B$4=20),
IF($D70="Pressio.",
IF(OR($E70=3,$E70=1,$E70=4),DA70,CZ70),
IF($D70="Pénétro.",
IF(OR($E70=3,$E70=1,$E70=4),DA70,CZ70))),IF($D70="Pressio.",
IF($E70=3,DA70,CZ70),
IF($D70="Pénétro.",
IF($E70=4,DA70,CZ70))))</f>
        <v>#N/A</v>
      </c>
      <c r="DC70" s="31">
        <v>0</v>
      </c>
      <c r="DD70" s="102" t="e">
        <f>IF(NDC!$H$10="Oui",(VLOOKUP($B$3,'Coeff EC7'!$T$39:$X$59,2,0)*DB70+VLOOKUP($B$3,'Coeff EC7'!$T$65:$X$85,2,0)*Model0.1T!DC70)/1.5,PI()*CZ$12*$Q70*($B70-$B69)*0.15/10+DD69)</f>
        <v>#N/A</v>
      </c>
      <c r="DE70" s="102" t="e">
        <f>(VLOOKUP($B$3,'Coeff EC7'!$T$39:$X$59,3,0)*DB70+VLOOKUP($B$3,'Coeff EC7'!$T$65:$X$85,3,0)*Model0.1T!DC70)/1.1</f>
        <v>#N/A</v>
      </c>
      <c r="DF70" s="102" t="e">
        <f t="shared" si="86"/>
        <v>#N/A</v>
      </c>
      <c r="DG70" s="102" t="e">
        <f t="shared" si="87"/>
        <v>#N/A</v>
      </c>
      <c r="DH70" s="414" t="e">
        <f>IF(AND(DD70&gt;NDC!$C$63,DE70&gt;NDC!$C$65,DF70&gt;NDC!$D$73,DG70&gt;NDC!$D$74,$B70&gt;NDC!$H$22-0.1+MIN(3*DH$12,1.5)),0,1)</f>
        <v>#N/A</v>
      </c>
      <c r="DI70" s="86" t="b">
        <f t="shared" si="44"/>
        <v>0</v>
      </c>
      <c r="DJ70" s="86">
        <f t="shared" si="45"/>
        <v>0.5</v>
      </c>
      <c r="DK70" s="86">
        <f t="shared" si="46"/>
        <v>0.5</v>
      </c>
      <c r="DL70" s="30" t="e">
        <f t="shared" ca="1" si="88"/>
        <v>#DIV/0!</v>
      </c>
      <c r="DM70" s="85" t="e">
        <f ca="1">IF(CS70&lt;=Hypothèses!$V$7,Hypothèses!$W$7,IF(CS70&lt;=Hypothèses!$V$8,Hypothèses!$W$8,IF(CS70&lt;=Hypothèses!$V$9,Hypothèses!$W$9,IF(CS70&lt;=Hypothèses!$V$10,Hypothèses!$W$10,IF(CS70&lt;=Hypothèses!$V$11,Hypothèses!$W$11,IF(CS70&lt;=Hypothèses!$V$12,Hypothèses!$W$12,IF(CS70&lt;=Hypothèses!$V$13,Hypothèses!$W$13,IF(CS70&lt;=Hypothèses!$V$14,Hypothèses!$W$14,IF(CS70&lt;=Hypothèses!$V$15,Hypothèses!$W$15,IF(CS70&lt;=Hypothèses!$V$16,Hypothèses!$W$16,IF(CS70&lt;=Hypothèses!$V$17,Hypothèses!$W$17,IF(CS70&lt;=Hypothèses!$V$18,Hypothèses!$W$18,""))))))))))))</f>
        <v>#DIV/0!</v>
      </c>
      <c r="DN70" s="87" t="e">
        <f t="shared" ca="1" si="121"/>
        <v>#DIV/0!</v>
      </c>
      <c r="DO70" s="88" t="e">
        <f ca="1">IF(CS70&lt;=Hypothèses!$V$7,Hypothèses!$X$7,IF(CS70&lt;=Hypothèses!$V$8,Hypothèses!$X$8,IF(CS70&lt;=Hypothèses!$V$9,Hypothèses!$X$9,IF(CS70&lt;=Hypothèses!$V$10,Hypothèses!$X$10,IF(CS70&lt;=Hypothèses!$V$11,Hypothèses!$X$11,IF(CS70&lt;=Hypothèses!$V$12,Hypothèses!$X$12,IF(CS70&lt;=Hypothèses!$V$13,Hypothèses!$X$13,IF(CS70&lt;=Hypothèses!$V$14,Hypothèses!$X$14,IF(CS70&lt;=Hypothèses!$V$15,Hypothèses!$X$15,IF(CS70&lt;=Hypothèses!$V$16,Hypothèses!$X$16,IF(CS70&lt;=Hypothèses!$U$17,Hypothèses!$W$17,IF(CS70&lt;=Hypothèses!$U$18,Hypothèses!$W$18,""))))))))))))</f>
        <v>#DIV/0!</v>
      </c>
      <c r="DP70" s="95" t="e">
        <f t="shared" ca="1" si="89"/>
        <v>#DIV/0!</v>
      </c>
      <c r="DQ70" s="101">
        <f t="shared" si="128"/>
        <v>0</v>
      </c>
      <c r="DR70" s="91">
        <f t="shared" si="48"/>
        <v>0</v>
      </c>
      <c r="DS70" s="30" t="e">
        <f t="shared" si="110"/>
        <v>#N/A</v>
      </c>
      <c r="DT70" s="30" t="e">
        <f t="shared" si="111"/>
        <v>#N/A</v>
      </c>
      <c r="DU70" s="31" t="e">
        <f>IF(OR(Hypothèses!$B$4=17,Hypothèses!$B$4=18,Hypothèses!$B$4=19,Hypothèses!$B$4=20),
IF($D70="Pressio.",
IF(OR($E70=3,$E70=1,$E70=4),DT70,DS70),
IF($D70="Pénétro.",
IF(OR($E70=3,$E70=1,$E70=4),DT70,DS70))),IF($D70="Pressio.",
IF($E70=3,DT70,DS70),
IF($D70="Pénétro.",
IF($E70=4,DT70,DS70))))</f>
        <v>#N/A</v>
      </c>
      <c r="DV70" s="31">
        <v>0</v>
      </c>
      <c r="DW70" s="102" t="e">
        <f>IF(NDC!$H$10="Oui",(VLOOKUP($B$3,'Coeff EC7'!$T$39:$X$59,2,0)*DU70+VLOOKUP($B$3,'Coeff EC7'!$T$65:$X$85,2,0)*Model0.1T!DV70)/1.5,PI()*DS$12*$Q70*($B70-$B69)*0.15/10+DW69)</f>
        <v>#N/A</v>
      </c>
      <c r="DX70" s="102" t="e">
        <f>(VLOOKUP($B$3,'Coeff EC7'!$T$39:$X$59,3,0)*DU70+VLOOKUP($B$3,'Coeff EC7'!$T$65:$X$85,3,0)*Model0.1T!DV70)/1.1</f>
        <v>#N/A</v>
      </c>
      <c r="DY70" s="102" t="e">
        <f t="shared" si="90"/>
        <v>#N/A</v>
      </c>
      <c r="DZ70" s="102" t="e">
        <f t="shared" si="91"/>
        <v>#N/A</v>
      </c>
      <c r="EA70" s="414" t="e">
        <f>IF(AND(DW70&gt;NDC!$C$63,DX70&gt;NDC!$C$65,DY70&gt;NDC!$D$73,DZ70&gt;NDC!$D$74,$B70&gt;NDC!$H$22-0.1+MIN(3*EA$12,1.5)),0,1)</f>
        <v>#N/A</v>
      </c>
      <c r="EB70" s="86" t="b">
        <f t="shared" si="51"/>
        <v>0</v>
      </c>
      <c r="EC70" s="418">
        <f t="shared" si="52"/>
        <v>0.51</v>
      </c>
      <c r="ED70" s="86">
        <f t="shared" si="53"/>
        <v>0.51</v>
      </c>
      <c r="EE70" s="30" t="e">
        <f t="shared" ca="1" si="92"/>
        <v>#DIV/0!</v>
      </c>
      <c r="EF70" s="85" t="e">
        <f ca="1">IF(DL70&lt;=Hypothèses!$V$7,Hypothèses!$W$7,IF(DL70&lt;=Hypothèses!$V$8,Hypothèses!$W$8,IF(DL70&lt;=Hypothèses!$V$9,Hypothèses!$W$9,IF(DL70&lt;=Hypothèses!$V$10,Hypothèses!$W$10,IF(DL70&lt;=Hypothèses!$V$11,Hypothèses!$W$11,IF(DL70&lt;=Hypothèses!$V$12,Hypothèses!$W$12,IF(DL70&lt;=Hypothèses!$V$13,Hypothèses!$W$13,IF(DL70&lt;=Hypothèses!$V$14,Hypothèses!$W$14,IF(DL70&lt;=Hypothèses!$V$15,Hypothèses!$W$15,IF(DL70&lt;=Hypothèses!$V$16,Hypothèses!$W$16,IF(DL70&lt;=Hypothèses!$V$17,Hypothèses!$W$17,IF(DL70&lt;=Hypothèses!$V$18,Hypothèses!$W$18,""))))))))))))</f>
        <v>#DIV/0!</v>
      </c>
      <c r="EG70" s="87" t="e">
        <f t="shared" ca="1" si="122"/>
        <v>#DIV/0!</v>
      </c>
      <c r="EH70" s="88" t="e">
        <f ca="1">IF(DL70&lt;=Hypothèses!$V$7,Hypothèses!$X$7,IF(DL70&lt;=Hypothèses!$V$8,Hypothèses!$X$8,IF(DL70&lt;=Hypothèses!$V$9,Hypothèses!$X$9,IF(DL70&lt;=Hypothèses!$V$10,Hypothèses!$X$10,IF(DL70&lt;=Hypothèses!$V$11,Hypothèses!$X$11,IF(DL70&lt;=Hypothèses!$V$12,Hypothèses!$X$12,IF(DL70&lt;=Hypothèses!$V$13,Hypothèses!$X$13,IF(DL70&lt;=Hypothèses!$V$14,Hypothèses!$X$14,IF(DL70&lt;=Hypothèses!$V$15,Hypothèses!$X$15,IF(DL70&lt;=Hypothèses!$V$16,Hypothèses!$X$16,IF(DL70&lt;=Hypothèses!$U$17,Hypothèses!$W$17,IF(DL70&lt;=Hypothèses!$U$18,Hypothèses!$W$18,""))))))))))))</f>
        <v>#DIV/0!</v>
      </c>
      <c r="EI70" s="95" t="e">
        <f t="shared" ca="1" si="93"/>
        <v>#DIV/0!</v>
      </c>
      <c r="EJ70" s="101">
        <f t="shared" si="129"/>
        <v>0</v>
      </c>
      <c r="EK70" s="91">
        <f t="shared" si="55"/>
        <v>0</v>
      </c>
      <c r="EL70" s="30" t="e">
        <f t="shared" si="112"/>
        <v>#N/A</v>
      </c>
      <c r="EM70" s="30" t="e">
        <f t="shared" si="113"/>
        <v>#N/A</v>
      </c>
      <c r="EN70" s="31" t="e">
        <f>IF(OR(Hypothèses!$B$4=17,Hypothèses!$B$4=18,Hypothèses!$B$4=19,Hypothèses!$B$4=20),
IF($D70="Pressio.",
IF(OR($E70=3,$E70=1,$E70=4),EM70,EL70),
IF($D70="Pénétro.",
IF(OR($E70=3,$E70=1,$E70=4),EM70,EL70))),IF($D70="Pressio.",
IF($E70=3,EM70,EL70),
IF($D70="Pénétro.",
IF($E70=4,EM70,EL70))))</f>
        <v>#N/A</v>
      </c>
      <c r="EO70" s="31">
        <v>0</v>
      </c>
      <c r="EP70" s="102" t="e">
        <f>IF(NDC!$H$10="Oui",(VLOOKUP($B$3,'Coeff EC7'!$T$39:$X$59,2,0)*EN70+VLOOKUP($B$3,'Coeff EC7'!$T$65:$X$85,2,0)*Model0.1T!EO70)/1.5,PI()*EL$12*$Q70*($B70-$B69)*0.15/10+EP69)</f>
        <v>#N/A</v>
      </c>
      <c r="EQ70" s="102" t="e">
        <f>(VLOOKUP($B$3,'Coeff EC7'!$T$39:$X$59,3,0)*EN70+VLOOKUP($B$3,'Coeff EC7'!$T$65:$X$85,3,0)*Model0.1T!EO70)/1.1</f>
        <v>#N/A</v>
      </c>
      <c r="ER70" s="102" t="e">
        <f t="shared" si="94"/>
        <v>#N/A</v>
      </c>
      <c r="ES70" s="102" t="e">
        <f t="shared" si="95"/>
        <v>#N/A</v>
      </c>
      <c r="ET70" s="414" t="e">
        <f>IF(AND(EP70&gt;NDC!$C$63,EQ70&gt;NDC!$C$65,ER70&gt;NDC!$D$73,ES70&gt;NDC!$D$74,$B70&gt;NDC!$H$22-0.1+MIN(3*ET$12,1.5)),0,1)</f>
        <v>#N/A</v>
      </c>
      <c r="EU70" s="86" t="b">
        <f t="shared" si="58"/>
        <v>0</v>
      </c>
      <c r="EV70" s="86">
        <f t="shared" si="59"/>
        <v>0.61</v>
      </c>
      <c r="EW70" s="86">
        <f t="shared" si="60"/>
        <v>0.61</v>
      </c>
      <c r="EX70" s="30" t="e">
        <f t="shared" ca="1" si="96"/>
        <v>#DIV/0!</v>
      </c>
      <c r="EY70" s="85" t="e">
        <f ca="1">IF(EE70&lt;=Hypothèses!$V$7,Hypothèses!$W$7,IF(EE70&lt;=Hypothèses!$V$8,Hypothèses!$W$8,IF(EE70&lt;=Hypothèses!$V$9,Hypothèses!$W$9,IF(EE70&lt;=Hypothèses!$V$10,Hypothèses!$W$10,IF(EE70&lt;=Hypothèses!$V$11,Hypothèses!$W$11,IF(EE70&lt;=Hypothèses!$V$12,Hypothèses!$W$12,IF(EE70&lt;=Hypothèses!$V$13,Hypothèses!$W$13,IF(EE70&lt;=Hypothèses!$V$14,Hypothèses!$W$14,IF(EE70&lt;=Hypothèses!$V$15,Hypothèses!$W$15,IF(EE70&lt;=Hypothèses!$V$16,Hypothèses!$W$16,IF(EE70&lt;=Hypothèses!$V$17,Hypothèses!$W$17,IF(EE70&lt;=Hypothèses!$V$18,Hypothèses!$W$18,""))))))))))))</f>
        <v>#DIV/0!</v>
      </c>
      <c r="EZ70" s="87" t="e">
        <f t="shared" ca="1" si="123"/>
        <v>#DIV/0!</v>
      </c>
      <c r="FA70" s="88" t="e">
        <f ca="1">IF(EE70&lt;=Hypothèses!$V$7,Hypothèses!$X$7,IF(EE70&lt;=Hypothèses!$V$8,Hypothèses!$X$8,IF(EE70&lt;=Hypothèses!$V$9,Hypothèses!$X$9,IF(EE70&lt;=Hypothèses!$V$10,Hypothèses!$X$10,IF(EE70&lt;=Hypothèses!$V$11,Hypothèses!$X$11,IF(EE70&lt;=Hypothèses!$V$12,Hypothèses!$X$12,IF(EE70&lt;=Hypothèses!$V$13,Hypothèses!$X$13,IF(EE70&lt;=Hypothèses!$V$14,Hypothèses!$X$14,IF(EE70&lt;=Hypothèses!$V$15,Hypothèses!$X$15,IF(EE70&lt;=Hypothèses!$V$16,Hypothèses!$X$16,IF(EE70&lt;=Hypothèses!$U$17,Hypothèses!$W$17,IF(EE70&lt;=Hypothèses!$U$18,Hypothèses!$W$18,""))))))))))))</f>
        <v>#DIV/0!</v>
      </c>
      <c r="FB70" s="95" t="e">
        <f t="shared" ca="1" si="97"/>
        <v>#DIV/0!</v>
      </c>
      <c r="FC70" s="101">
        <f t="shared" si="130"/>
        <v>0</v>
      </c>
      <c r="FD70" s="91">
        <f t="shared" si="62"/>
        <v>0</v>
      </c>
      <c r="FE70" s="30" t="e">
        <f t="shared" si="114"/>
        <v>#N/A</v>
      </c>
      <c r="FF70" s="30" t="e">
        <f t="shared" si="115"/>
        <v>#N/A</v>
      </c>
      <c r="FG70" s="31" t="e">
        <f>IF(OR(Hypothèses!$B$4=17,Hypothèses!$B$4=18,Hypothèses!$B$4=19,Hypothèses!$B$4=20),
IF($D70="Pressio.",
IF(OR($E70=3,$E70=1,$E70=4),FF70,FE70),
IF($D70="Pénétro.",
IF(OR($E70=3,$E70=1,$E70=4),FF70,FE70))),IF($D70="Pressio.",
IF($E70=3,FF70,FE70),
IF($D70="Pénétro.",
IF($E70=4,FF70,FE70))))</f>
        <v>#N/A</v>
      </c>
      <c r="FH70" s="31">
        <v>0</v>
      </c>
      <c r="FI70" s="102" t="e">
        <f>IF(NDC!$H$10="Oui",(VLOOKUP($B$3,'Coeff EC7'!$T$39:$X$59,2,0)*FG70+VLOOKUP($B$3,'Coeff EC7'!$T$65:$X$85,2,0)*Model0.1T!FH70)/1.5,PI()*FE$12*$Q70*($B70-$B69)*0.15/10+FI69)</f>
        <v>#N/A</v>
      </c>
      <c r="FJ70" s="102" t="e">
        <f>(VLOOKUP($B$3,'Coeff EC7'!$T$39:$X$59,3,0)*FG70+VLOOKUP($B$3,'Coeff EC7'!$T$65:$X$85,3,0)*Model0.1T!FH70)/1.1</f>
        <v>#N/A</v>
      </c>
      <c r="FK70" s="102" t="e">
        <f t="shared" si="98"/>
        <v>#N/A</v>
      </c>
      <c r="FL70" s="102" t="e">
        <f t="shared" si="99"/>
        <v>#N/A</v>
      </c>
      <c r="FM70" s="414" t="e">
        <f>IF(AND(FI70&gt;NDC!$C$63,FJ70&gt;NDC!$C$65,FK70&gt;NDC!$D$73,FL70&gt;NDC!$D$74,$B70&gt;NDC!$H$22-0.1+MIN(3*FM$12,1.5)),0,1)</f>
        <v>#N/A</v>
      </c>
    </row>
    <row r="71" spans="1:169">
      <c r="A71" s="96">
        <f t="shared" si="65"/>
        <v>94.20000000000033</v>
      </c>
      <c r="B71" s="97">
        <v>5.8</v>
      </c>
      <c r="C71" s="81">
        <f>IF(B71&lt;=Hypothèses!$C$7,Hypothèses!$A$7,IF(B71&lt;=Hypothèses!$C$8,Hypothèses!$A$8,IF(B71&lt;=Hypothèses!$C$9,Hypothèses!$A$9,IF(B71&lt;=Hypothèses!$C$10,Hypothèses!$A$10,IF(B71&lt;=Hypothèses!$C$11,Hypothèses!$A$11,IF(B71&lt;=Hypothèses!$C$12,Hypothèses!$A$12,IF(B71&lt;=Hypothèses!$C$13,Hypothèses!$A$13,IF(B71&lt;=Hypothèses!$C$14,Hypothèses!$A$14,IF(B71&lt;=Hypothèses!$C$15,Hypothèses!$A$15,IF(B71&lt;=Hypothèses!$C$16,Hypothèses!$A$16,IF(B71&lt;=Hypothèses!$C$17,Hypothèses!$A$17,IF(B71&lt;=Hypothèses!$C$18,Hypothèses!$A$18,C70))))))))))))</f>
        <v>11</v>
      </c>
      <c r="D71" s="82" t="str">
        <f>IF(B71&lt;=Hypothèses!$C$7,Hypothèses!$R$7,IF(B71&lt;=Hypothèses!$C$8,Hypothèses!$R$8,IF(B71&lt;=Hypothèses!$C$9,Hypothèses!$R$9,IF(B71&lt;=Hypothèses!$C$10,Hypothèses!$R$10,IF(B71&lt;=Hypothèses!$C$11,Hypothèses!$R$11,IF(B71&lt;=Hypothèses!$C$12,Hypothèses!$R$12,IF(B71&lt;=Hypothèses!$C$13,Hypothèses!$R$13,IF(B71&lt;=Hypothèses!$C$14,Hypothèses!$R$14,IF(B71&lt;=Hypothèses!$C$15,Hypothèses!$R$15,IF(B71&lt;=Hypothèses!$C$16,Hypothèses!$R$16,IF(B71&lt;=Hypothèses!$C$17,Hypothèses!$R$17,IF(B71&lt;=Hypothèses!$C$18,Hypothèses!$R$18,D70))))))))))))</f>
        <v>Pressio.</v>
      </c>
      <c r="E71" s="82" t="e">
        <f>IF(B71&lt;=Hypothèses!$C$7,Hypothèses!$G$7,IF(B71&lt;=Hypothèses!$C$8,Hypothèses!$G$8,IF(B71&lt;=Hypothèses!$C$9,Hypothèses!$G$9,IF(B71&lt;=Hypothèses!$C$10,Hypothèses!$G$10,IF(B71&lt;=Hypothèses!$C$11,Hypothèses!$G$11,IF(B71&lt;=Hypothèses!$C$12,Hypothèses!$G$12,IF(B71&lt;=Hypothèses!$C$13,Hypothèses!$G$13,IF(B71&lt;=Hypothèses!$C$14,Hypothèses!$G$14,IF(B71&lt;=Hypothèses!$C$15,Hypothèses!$G$15,IF(B71&lt;=Hypothèses!$C$16,Hypothèses!$G$16,IF(B71&lt;=Hypothèses!$C$17,Hypothèses!$G$17,IF(B71&lt;=Hypothèses!$C$18,Hypothèses!$G$18,E70))))))))))))</f>
        <v>#N/A</v>
      </c>
      <c r="F71" s="82" t="str">
        <f>IF(B71&lt;=Hypothèses!$C$7,Hypothèses!$F$7,IF(B71&lt;=Hypothèses!$C$8,Hypothèses!$F$8,IF(B71&lt;=Hypothèses!$C$9,Hypothèses!$F$9,IF(B71&lt;=Hypothèses!$C$10,Hypothèses!$F$10,IF(B71&lt;=Hypothèses!$C$11,Hypothèses!$F$11,IF(B71&lt;=Hypothèses!$C$12,Hypothèses!$F$12,IF(B71&lt;=Hypothèses!$C$13,Hypothèses!$F$13,IF(B71&lt;=Hypothèses!$C$14,Hypothèses!$F$14,IF(B71&lt;=Hypothèses!$C$15,Hypothèses!$F$15,IF(B71&lt;=Hypothèses!$C$16,Hypothèses!$F$16,IF(B71&lt;=Hypothèses!$C$17,Hypothèses!$F$17,IF(B71&lt;=Hypothèses!$C$18,Hypothèses!$F$18,F70))))))))))))</f>
        <v/>
      </c>
      <c r="G71" s="91">
        <f t="array" ref="G71">INDEX('Coeff EC7'!$U$7:$X$27,
MATCH(Model0.1T!$B$3,'Coeff EC7'!$T$7:$T$27,0),
MATCH(Model0.1T!$D71&amp;Model0.1T!$B$4,
'Coeff EC7'!$U$6:$X$6&amp;
'Coeff EC7'!$U$5:$X$5,0))</f>
        <v>1.4</v>
      </c>
      <c r="H71" s="91">
        <f t="array" ref="H71">INDEX('Coeff EC7'!$Y$7:$AB$27,
MATCH(Model0.1T!$B$3,'Coeff EC7'!$T$7:$T$27,0),
MATCH(Model0.1T!$D71&amp;Model0.1T!$B$4,
'Coeff EC7'!$Y$6:$AB$6&amp;
'Coeff EC7'!$Y$5:$AB$5,0))</f>
        <v>1.7</v>
      </c>
      <c r="I71" s="83">
        <v>0</v>
      </c>
      <c r="J71" s="91" t="e">
        <f t="array" ref="J71">INDEX('Coeff EC7'!$D$33:$Q$33,1,MATCH(D71&amp;E71,'Coeff EC7'!$D$31:$Q$31&amp;'Coeff EC7'!$D$32:$Q$32,0))</f>
        <v>#N/A</v>
      </c>
      <c r="K71" s="91" t="e">
        <f t="array" ref="K71">INDEX('Coeff EC7'!$D$34:$Q$34,1,MATCH(D71&amp;E71,'Coeff EC7'!$D$31:$Q$31&amp;'Coeff EC7'!$D$32:$Q$32,0))</f>
        <v>#N/A</v>
      </c>
      <c r="L71" s="91" t="e">
        <f t="array" ref="L71">INDEX('Coeff EC7'!$D$35:$Q$35,1,MATCH(D71&amp;E71,'Coeff EC7'!$D$31:$Q$31&amp;'Coeff EC7'!$D$32:$Q$32,0))</f>
        <v>#N/A</v>
      </c>
      <c r="M71" s="98" t="e">
        <f t="shared" si="8"/>
        <v>#N/A</v>
      </c>
      <c r="N71" s="99" t="e">
        <f t="array" ref="N71">INDEX('Coeff EC7'!$D$7:$Q$27,MATCH($B$3,'Coeff EC7'!$C$7:$C$27,0),MATCH(D71&amp;E71,'Coeff EC7'!$D$5:$Q$5&amp;'Coeff EC7'!$D$6:$Q$6,0))</f>
        <v>#N/A</v>
      </c>
      <c r="O71" s="99" t="e">
        <f t="array" ref="O71">INDEX('Coeff EC7'!$D$41:$Q$61,MATCH($B$3,'Coeff EC7'!$C$41:$C$61,0),MATCH(D71&amp;E71,'Coeff EC7'!$D$39:$Q$39&amp;'Coeff EC7'!$D$40:$Q$40,0))</f>
        <v>#N/A</v>
      </c>
      <c r="P71" s="30" t="e">
        <f t="shared" si="66"/>
        <v>#N/A</v>
      </c>
      <c r="Q71" s="100" t="e">
        <f t="shared" si="10"/>
        <v>#N/A</v>
      </c>
      <c r="R71" s="86" t="b">
        <f t="shared" si="11"/>
        <v>0</v>
      </c>
      <c r="S71" s="86">
        <f t="shared" si="9"/>
        <v>0.5</v>
      </c>
      <c r="T71" s="86">
        <f t="shared" si="12"/>
        <v>0.5</v>
      </c>
      <c r="U71" s="30" t="e">
        <f t="shared" ca="1" si="67"/>
        <v>#DIV/0!</v>
      </c>
      <c r="V71" s="85" t="str">
        <f>IF(B71&lt;=Hypothèses!$V$7,Hypothèses!$W$7,IF(B71&lt;=Hypothèses!$V$8,Hypothèses!$W$8,IF(B71&lt;=Hypothèses!$V$9,Hypothèses!$W$9,IF(B71&lt;=Hypothèses!$V$10,Hypothèses!$W$10,IF(B71&lt;=Hypothèses!$V$11,Hypothèses!$W$11,IF(B71&lt;=Hypothèses!$V$12,Hypothèses!$W$12,IF(B71&lt;=Hypothèses!$V$13,Hypothèses!$W$13,IF(B71&lt;=Hypothèses!$V$14,Hypothèses!$W$14,IF(B71&lt;=Hypothèses!$V$15,Hypothèses!$W$15,IF(B71&lt;=Hypothèses!$V$16,Hypothèses!$W$16,IF(B71&lt;=Hypothèses!$V$17,Hypothèses!$W$17,IF(B71&lt;=Hypothèses!$V$18,Hypothèses!$W$18,""))))))))))))</f>
        <v/>
      </c>
      <c r="W71" s="87" t="e">
        <f t="shared" ca="1" si="116"/>
        <v>#DIV/0!</v>
      </c>
      <c r="X71" s="88" t="str">
        <f>IF(B71&lt;=Hypothèses!$V$7,Hypothèses!$X$7,IF(B71&lt;=Hypothèses!$V$8,Hypothèses!$X$8,IF(B71&lt;=Hypothèses!$V$9,Hypothèses!$X$9,IF(B71&lt;=Hypothèses!$V$10,Hypothèses!$X$10,IF(B71&lt;=Hypothèses!$V$11,Hypothèses!$X$11,IF(B71&lt;=Hypothèses!$V$12,Hypothèses!$X$12,IF(B71&lt;=Hypothèses!$V$13,Hypothèses!$X$13,IF(B71&lt;=Hypothèses!$V$14,Hypothèses!$X$14,IF(B71&lt;=Hypothèses!$V$15,Hypothèses!$X$15,IF(B71&lt;=Hypothèses!$V$16,Hypothèses!$X$16,IF(B71&lt;=Hypothèses!$U$17,Hypothèses!$W$17,IF(B71&lt;=Hypothèses!$U$18,Hypothèses!$W$18,""))))))))))))</f>
        <v/>
      </c>
      <c r="Y71" s="95" t="e">
        <f t="shared" ca="1" si="13"/>
        <v>#DIV/0!</v>
      </c>
      <c r="Z71" s="101">
        <f t="shared" si="14"/>
        <v>0</v>
      </c>
      <c r="AA71" s="91">
        <f t="shared" si="15"/>
        <v>0</v>
      </c>
      <c r="AB71" s="30" t="e">
        <f t="shared" si="100"/>
        <v>#N/A</v>
      </c>
      <c r="AC71" s="30" t="e">
        <f t="shared" si="101"/>
        <v>#N/A</v>
      </c>
      <c r="AD71" s="31" t="e">
        <f>IF(OR(Hypothèses!$B$4=17,Hypothèses!$B$4=18,Hypothèses!$B$4=19,Hypothèses!$B$4=20),
IF($D71="Pressio.",
IF(OR($E71=3,$E71=1,$E71=4),AC71,AB71),
IF($D71="Pénétro.",
IF(OR($E71=3,$E71=1,$E71=4),AC71,AB71))),IF($D71="Pressio.",
IF($E71=3,AC71,AB71),
IF($D71="Pénétro.",
IF($E71=4,AC71,AB71))))</f>
        <v>#N/A</v>
      </c>
      <c r="AE71" s="31">
        <v>0</v>
      </c>
      <c r="AF71" s="102" t="e">
        <f>IF(NDC!$H$10="Oui",(VLOOKUP($B$3,'Coeff EC7'!$T$39:$X$59,2,0)*AD71+VLOOKUP($B$3,'Coeff EC7'!$T$65:$X$85,2,0)*Model0.1T!AE71)/1.5,PI()*AB$12*$Q71*($B71-$B70)*0.15/10+AF70)</f>
        <v>#N/A</v>
      </c>
      <c r="AG71" s="102" t="e">
        <f>(VLOOKUP($B$3,'Coeff EC7'!$T$39:$X$59,3,0)*AD71+VLOOKUP($B$3,'Coeff EC7'!$T$65:$X$85,3,0)*Model0.1T!AE71)/1.1</f>
        <v>#N/A</v>
      </c>
      <c r="AH71" s="102" t="e">
        <f t="shared" si="68"/>
        <v>#N/A</v>
      </c>
      <c r="AI71" s="102" t="e">
        <f t="shared" si="69"/>
        <v>#N/A</v>
      </c>
      <c r="AJ71" s="414" t="e">
        <f>IF(AND(AF71&gt;NDC!$C$63,AG71&gt;NDC!$C$65,AH71&gt;NDC!$D$73,AI71&gt;NDC!$D$74,$B71&gt;NDC!$H$22-0.1+MIN(3*$AJ$12,1.5)),0,1)</f>
        <v>#N/A</v>
      </c>
      <c r="AK71" s="86" t="b">
        <f t="shared" si="18"/>
        <v>0</v>
      </c>
      <c r="AL71" s="86">
        <f t="shared" si="70"/>
        <v>0.5</v>
      </c>
      <c r="AM71" s="86">
        <f t="shared" si="19"/>
        <v>0.5</v>
      </c>
      <c r="AN71" s="30" t="e">
        <f t="shared" ca="1" si="71"/>
        <v>#DIV/0!</v>
      </c>
      <c r="AO71" s="85" t="e">
        <f ca="1">IF(U71&lt;=Hypothèses!$V$7,Hypothèses!$W$7,IF(U71&lt;=Hypothèses!$V$8,Hypothèses!$W$8,IF(U71&lt;=Hypothèses!$V$9,Hypothèses!$W$9,IF(U71&lt;=Hypothèses!$V$10,Hypothèses!$W$10,IF(U71&lt;=Hypothèses!$V$11,Hypothèses!$W$11,IF(U71&lt;=Hypothèses!$V$12,Hypothèses!$W$12,IF(U71&lt;=Hypothèses!$V$13,Hypothèses!$W$13,IF(U71&lt;=Hypothèses!$V$14,Hypothèses!$W$14,IF(U71&lt;=Hypothèses!$V$15,Hypothèses!$W$15,IF(U71&lt;=Hypothèses!$V$16,Hypothèses!$W$16,IF(U71&lt;=Hypothèses!$V$17,Hypothèses!$W$17,IF(U71&lt;=Hypothèses!$V$18,Hypothèses!$W$18,""))))))))))))</f>
        <v>#DIV/0!</v>
      </c>
      <c r="AP71" s="87" t="e">
        <f t="shared" ca="1" si="117"/>
        <v>#DIV/0!</v>
      </c>
      <c r="AQ71" s="88" t="e">
        <f ca="1">IF(U71&lt;=Hypothèses!$V$7,Hypothèses!$X$7,IF(U71&lt;=Hypothèses!$V$8,Hypothèses!$X$8,IF(U71&lt;=Hypothèses!$V$9,Hypothèses!$X$9,IF(U71&lt;=Hypothèses!$V$10,Hypothèses!$X$10,IF(U71&lt;=Hypothèses!$V$11,Hypothèses!$X$11,IF(U71&lt;=Hypothèses!$V$12,Hypothèses!$X$12,IF(U71&lt;=Hypothèses!$V$13,Hypothèses!$X$13,IF(U71&lt;=Hypothèses!$V$14,Hypothèses!$X$14,IF(U71&lt;=Hypothèses!$V$15,Hypothèses!$X$15,IF(U71&lt;=Hypothèses!$V$16,Hypothèses!$X$16,IF(U71&lt;=Hypothèses!$U$17,Hypothèses!$W$17,IF(U71&lt;=Hypothèses!$U$18,Hypothèses!$W$18,""))))))))))))</f>
        <v>#DIV/0!</v>
      </c>
      <c r="AR71" s="95" t="e">
        <f t="shared" ca="1" si="72"/>
        <v>#DIV/0!</v>
      </c>
      <c r="AS71" s="101">
        <f t="shared" si="124"/>
        <v>0</v>
      </c>
      <c r="AT71" s="91">
        <f t="shared" si="21"/>
        <v>0</v>
      </c>
      <c r="AU71" s="30" t="e">
        <f t="shared" si="102"/>
        <v>#N/A</v>
      </c>
      <c r="AV71" s="30" t="e">
        <f t="shared" si="103"/>
        <v>#N/A</v>
      </c>
      <c r="AW71" s="31" t="e">
        <f>IF(OR(Hypothèses!$B$4=17,Hypothèses!$B$4=18,Hypothèses!$B$4=19,Hypothèses!$B$4=20),
IF($D71="Pressio.",
IF(OR($E71=3,$E71=1,$E71=4),AV71,AU71),
IF($D71="Pénétro.",
IF(OR($E71=3,$E71=1,$E71=4),AV71,AU71))),IF($D71="Pressio.",
IF($E71=3,AV71,AU71),
IF($D71="Pénétro.",
IF($E71=4,AV71,AU71))))</f>
        <v>#N/A</v>
      </c>
      <c r="AX71" s="31">
        <v>0</v>
      </c>
      <c r="AY71" s="102" t="e">
        <f>IF(NDC!$H$10="Oui",(VLOOKUP($B$3,'Coeff EC7'!$T$39:$X$59,2,0)*AW71+VLOOKUP($B$3,'Coeff EC7'!$T$65:$X$85,2,0)*Model0.1T!AX71)/1.5,PI()*AU$12*$Q71*($B71-$B70)*0.15/10+AY70)</f>
        <v>#N/A</v>
      </c>
      <c r="AZ71" s="102" t="e">
        <f>(VLOOKUP($B$3,'Coeff EC7'!$T$39:$X$59,3,0)*AW71+VLOOKUP($B$3,'Coeff EC7'!$T$65:$X$85,3,0)*Model0.1T!AX71)/1.1</f>
        <v>#N/A</v>
      </c>
      <c r="BA71" s="102" t="e">
        <f t="shared" si="73"/>
        <v>#N/A</v>
      </c>
      <c r="BB71" s="102" t="e">
        <f t="shared" si="74"/>
        <v>#N/A</v>
      </c>
      <c r="BC71" s="414" t="e">
        <f>IF(AND(AY71&gt;NDC!$C$63,AZ71&gt;NDC!$C$65,BA71&gt;NDC!$D$73,BB71&gt;NDC!$D$74,$B71&gt;NDC!$H$22-0.1+MIN(3*BC$12,1.5)),0,1)</f>
        <v>#N/A</v>
      </c>
      <c r="BD71" s="86" t="b">
        <f t="shared" si="24"/>
        <v>0</v>
      </c>
      <c r="BE71" s="86">
        <f t="shared" si="75"/>
        <v>0.5</v>
      </c>
      <c r="BF71" s="86">
        <f t="shared" si="25"/>
        <v>0.5</v>
      </c>
      <c r="BG71" s="30" t="e">
        <f t="shared" ca="1" si="76"/>
        <v>#DIV/0!</v>
      </c>
      <c r="BH71" s="85" t="e">
        <f ca="1">IF(AN71&lt;=Hypothèses!$V$7,Hypothèses!$W$7,IF(AN71&lt;=Hypothèses!$V$8,Hypothèses!$W$8,IF(AN71&lt;=Hypothèses!$V$9,Hypothèses!$W$9,IF(AN71&lt;=Hypothèses!$V$10,Hypothèses!$W$10,IF(AN71&lt;=Hypothèses!$V$11,Hypothèses!$W$11,IF(AN71&lt;=Hypothèses!$V$12,Hypothèses!$W$12,IF(AN71&lt;=Hypothèses!$V$13,Hypothèses!$W$13,IF(AN71&lt;=Hypothèses!$V$14,Hypothèses!$W$14,IF(AN71&lt;=Hypothèses!$V$15,Hypothèses!$W$15,IF(AN71&lt;=Hypothèses!$V$16,Hypothèses!$W$16,IF(AN71&lt;=Hypothèses!$V$17,Hypothèses!$W$17,IF(AN71&lt;=Hypothèses!$V$18,Hypothèses!$W$18,""))))))))))))</f>
        <v>#DIV/0!</v>
      </c>
      <c r="BI71" s="87" t="e">
        <f t="shared" ca="1" si="118"/>
        <v>#DIV/0!</v>
      </c>
      <c r="BJ71" s="88" t="e">
        <f ca="1">IF(AN71&lt;=Hypothèses!$V$7,Hypothèses!$X$7,IF(AN71&lt;=Hypothèses!$V$8,Hypothèses!$X$8,IF(AN71&lt;=Hypothèses!$V$9,Hypothèses!$X$9,IF(AN71&lt;=Hypothèses!$V$10,Hypothèses!$X$10,IF(AN71&lt;=Hypothèses!$V$11,Hypothèses!$X$11,IF(AN71&lt;=Hypothèses!$V$12,Hypothèses!$X$12,IF(AN71&lt;=Hypothèses!$V$13,Hypothèses!$X$13,IF(AN71&lt;=Hypothèses!$V$14,Hypothèses!$X$14,IF(AN71&lt;=Hypothèses!$V$15,Hypothèses!$X$15,IF(AN71&lt;=Hypothèses!$V$16,Hypothèses!$X$16,IF(AN71&lt;=Hypothèses!$U$17,Hypothèses!$W$17,IF(AN71&lt;=Hypothèses!$U$18,Hypothèses!$W$18,""))))))))))))</f>
        <v>#DIV/0!</v>
      </c>
      <c r="BK71" s="95" t="e">
        <f t="shared" ca="1" si="77"/>
        <v>#DIV/0!</v>
      </c>
      <c r="BL71" s="101">
        <f t="shared" si="125"/>
        <v>0</v>
      </c>
      <c r="BM71" s="91">
        <f t="shared" si="27"/>
        <v>0</v>
      </c>
      <c r="BN71" s="30" t="e">
        <f t="shared" si="104"/>
        <v>#N/A</v>
      </c>
      <c r="BO71" s="30" t="e">
        <f t="shared" si="105"/>
        <v>#N/A</v>
      </c>
      <c r="BP71" s="31" t="e">
        <f>IF(OR(Hypothèses!$B$4=17,Hypothèses!$B$4=18,Hypothèses!$B$4=19,Hypothèses!$B$4=20),
IF($D71="Pressio.",
IF(OR($E71=3,$E71=1,$E71=4),BO71,BN71),
IF($D71="Pénétro.",
IF(OR($E71=3,$E71=1,$E71=4),BO71,BN71))),IF($D71="Pressio.",
IF($E71=3,BO71,BN71),
IF($D71="Pénétro.",
IF($E71=4,BO71,BN71))))</f>
        <v>#N/A</v>
      </c>
      <c r="BQ71" s="31">
        <v>0</v>
      </c>
      <c r="BR71" s="102" t="e">
        <f>IF(NDC!$H$10="Oui",(VLOOKUP($B$3,'Coeff EC7'!$T$39:$X$59,2,0)*BP71+VLOOKUP($B$3,'Coeff EC7'!$T$65:$X$85,2,0)*Model0.1T!BQ71)/1.5,PI()*BN$12*$Q71*($B71-$B70)*0.15/10+BR70)</f>
        <v>#N/A</v>
      </c>
      <c r="BS71" s="102" t="e">
        <f>(VLOOKUP($B$3,'Coeff EC7'!$T$39:$X$59,3,0)*BP71+VLOOKUP($B$3,'Coeff EC7'!$T$65:$X$85,3,0)*Model0.1T!BQ71)/1.1</f>
        <v>#N/A</v>
      </c>
      <c r="BT71" s="102" t="e">
        <f t="shared" si="78"/>
        <v>#N/A</v>
      </c>
      <c r="BU71" s="102" t="e">
        <f t="shared" si="79"/>
        <v>#N/A</v>
      </c>
      <c r="BV71" s="414" t="e">
        <f>IF(AND(BR71&gt;NDC!$C$63,BS71&gt;NDC!$C$65,BT71&gt;NDC!$D$73,BU71&gt;NDC!$D$74,$B71&gt;NDC!$H$22-0.1+MIN(3*BV$12,1.5)),0,1)</f>
        <v>#N/A</v>
      </c>
      <c r="BW71" s="86" t="b">
        <f t="shared" si="30"/>
        <v>0</v>
      </c>
      <c r="BX71" s="86">
        <f t="shared" si="31"/>
        <v>0.5</v>
      </c>
      <c r="BY71" s="86">
        <f t="shared" si="32"/>
        <v>0.5</v>
      </c>
      <c r="BZ71" s="30" t="e">
        <f t="shared" ca="1" si="80"/>
        <v>#DIV/0!</v>
      </c>
      <c r="CA71" s="85" t="e">
        <f ca="1">IF(BG71&lt;=Hypothèses!$V$7,Hypothèses!$W$7,IF(BG71&lt;=Hypothèses!$V$8,Hypothèses!$W$8,IF(BG71&lt;=Hypothèses!$V$9,Hypothèses!$W$9,IF(BG71&lt;=Hypothèses!$V$10,Hypothèses!$W$10,IF(BG71&lt;=Hypothèses!$V$11,Hypothèses!$W$11,IF(BG71&lt;=Hypothèses!$V$12,Hypothèses!$W$12,IF(BG71&lt;=Hypothèses!$V$13,Hypothèses!$W$13,IF(BG71&lt;=Hypothèses!$V$14,Hypothèses!$W$14,IF(BG71&lt;=Hypothèses!$V$15,Hypothèses!$W$15,IF(BG71&lt;=Hypothèses!$V$16,Hypothèses!$W$16,IF(BG71&lt;=Hypothèses!$V$17,Hypothèses!$W$17,IF(BG71&lt;=Hypothèses!$V$18,Hypothèses!$W$18,""))))))))))))</f>
        <v>#DIV/0!</v>
      </c>
      <c r="CB71" s="87" t="e">
        <f t="shared" ca="1" si="119"/>
        <v>#DIV/0!</v>
      </c>
      <c r="CC71" s="88" t="e">
        <f ca="1">IF(BG71&lt;=Hypothèses!$V$7,Hypothèses!$X$7,IF(BG71&lt;=Hypothèses!$V$8,Hypothèses!$X$8,IF(BG71&lt;=Hypothèses!$V$9,Hypothèses!$X$9,IF(BG71&lt;=Hypothèses!$V$10,Hypothèses!$X$10,IF(BG71&lt;=Hypothèses!$V$11,Hypothèses!$X$11,IF(BG71&lt;=Hypothèses!$V$12,Hypothèses!$X$12,IF(BG71&lt;=Hypothèses!$V$13,Hypothèses!$X$13,IF(BG71&lt;=Hypothèses!$V$14,Hypothèses!$X$14,IF(BG71&lt;=Hypothèses!$V$15,Hypothèses!$X$15,IF(BG71&lt;=Hypothèses!$V$16,Hypothèses!$X$16,IF(BG71&lt;=Hypothèses!$U$17,Hypothèses!$W$17,IF(BG71&lt;=Hypothèses!$U$18,Hypothèses!$W$18,""))))))))))))</f>
        <v>#DIV/0!</v>
      </c>
      <c r="CD71" s="95" t="e">
        <f t="shared" ca="1" si="81"/>
        <v>#DIV/0!</v>
      </c>
      <c r="CE71" s="101">
        <f t="shared" si="126"/>
        <v>0</v>
      </c>
      <c r="CF71" s="91">
        <f t="shared" si="34"/>
        <v>0</v>
      </c>
      <c r="CG71" s="30" t="e">
        <f t="shared" si="106"/>
        <v>#N/A</v>
      </c>
      <c r="CH71" s="30" t="e">
        <f t="shared" si="107"/>
        <v>#N/A</v>
      </c>
      <c r="CI71" s="31" t="e">
        <f>IF(OR(Hypothèses!$B$4=17,Hypothèses!$B$4=18,Hypothèses!$B$4=19,Hypothèses!$B$4=20),
IF($D71="Pressio.",
IF(OR($E71=3,$E71=1,$E71=4),CH71,CG71),
IF($D71="Pénétro.",
IF(OR($E71=3,$E71=1,$E71=4),CH71,CG71))),IF($D71="Pressio.",
IF($E71=3,CH71,CG71),
IF($D71="Pénétro.",
IF($E71=4,CH71,CG71))))</f>
        <v>#N/A</v>
      </c>
      <c r="CJ71" s="31">
        <v>0</v>
      </c>
      <c r="CK71" s="102" t="e">
        <f>IF(NDC!$H$10="Oui",(VLOOKUP($B$3,'Coeff EC7'!$T$39:$X$59,2,0)*CI71+VLOOKUP($B$3,'Coeff EC7'!$T$65:$X$85,2,0)*Model0.1T!CJ71)/1.5,PI()*CG$12*$Q71*($B71-$B70)*0.15/10+CK70)</f>
        <v>#N/A</v>
      </c>
      <c r="CL71" s="102" t="e">
        <f>(VLOOKUP($B$3,'Coeff EC7'!$T$39:$X$59,3,0)*CI71+VLOOKUP($B$3,'Coeff EC7'!$T$65:$X$85,3,0)*Model0.1T!CJ71)/1.1</f>
        <v>#N/A</v>
      </c>
      <c r="CM71" s="102" t="e">
        <f t="shared" si="82"/>
        <v>#N/A</v>
      </c>
      <c r="CN71" s="102" t="e">
        <f t="shared" si="83"/>
        <v>#N/A</v>
      </c>
      <c r="CO71" s="414" t="e">
        <f>IF(AND(CK71&gt;NDC!$C$63,CL71&gt;NDC!$C$65,CM71&gt;NDC!$D$73,CN71&gt;NDC!$D$74,$B71&gt;NDC!$H$22-0.1+MIN(3*CO$12,1.5)),0,1)</f>
        <v>#N/A</v>
      </c>
      <c r="CP71" s="86" t="b">
        <f t="shared" si="37"/>
        <v>0</v>
      </c>
      <c r="CQ71" s="86">
        <f t="shared" si="38"/>
        <v>0.5</v>
      </c>
      <c r="CR71" s="86">
        <f t="shared" si="39"/>
        <v>0.5</v>
      </c>
      <c r="CS71" s="30" t="e">
        <f t="shared" ca="1" si="84"/>
        <v>#DIV/0!</v>
      </c>
      <c r="CT71" s="85" t="e">
        <f ca="1">IF(BZ71&lt;=Hypothèses!$V$7,Hypothèses!$W$7,IF(BZ71&lt;=Hypothèses!$V$8,Hypothèses!$W$8,IF(BZ71&lt;=Hypothèses!$V$9,Hypothèses!$W$9,IF(BZ71&lt;=Hypothèses!$V$10,Hypothèses!$W$10,IF(BZ71&lt;=Hypothèses!$V$11,Hypothèses!$W$11,IF(BZ71&lt;=Hypothèses!$V$12,Hypothèses!$W$12,IF(BZ71&lt;=Hypothèses!$V$13,Hypothèses!$W$13,IF(BZ71&lt;=Hypothèses!$V$14,Hypothèses!$W$14,IF(BZ71&lt;=Hypothèses!$V$15,Hypothèses!$W$15,IF(BZ71&lt;=Hypothèses!$V$16,Hypothèses!$W$16,IF(BZ71&lt;=Hypothèses!$V$17,Hypothèses!$W$17,IF(BZ71&lt;=Hypothèses!$V$18,Hypothèses!$W$18,""))))))))))))</f>
        <v>#DIV/0!</v>
      </c>
      <c r="CU71" s="87" t="e">
        <f t="shared" ca="1" si="120"/>
        <v>#DIV/0!</v>
      </c>
      <c r="CV71" s="88" t="e">
        <f ca="1">IF(BZ71&lt;=Hypothèses!$V$7,Hypothèses!$X$7,IF(BZ71&lt;=Hypothèses!$V$8,Hypothèses!$X$8,IF(BZ71&lt;=Hypothèses!$V$9,Hypothèses!$X$9,IF(BZ71&lt;=Hypothèses!$V$10,Hypothèses!$X$10,IF(BZ71&lt;=Hypothèses!$V$11,Hypothèses!$X$11,IF(BZ71&lt;=Hypothèses!$V$12,Hypothèses!$X$12,IF(BZ71&lt;=Hypothèses!$V$13,Hypothèses!$X$13,IF(BZ71&lt;=Hypothèses!$V$14,Hypothèses!$X$14,IF(BZ71&lt;=Hypothèses!$V$15,Hypothèses!$X$15,IF(BZ71&lt;=Hypothèses!$V$16,Hypothèses!$X$16,IF(BZ71&lt;=Hypothèses!$U$17,Hypothèses!$W$17,IF(BZ71&lt;=Hypothèses!$U$18,Hypothèses!$W$18,""))))))))))))</f>
        <v>#DIV/0!</v>
      </c>
      <c r="CW71" s="95" t="e">
        <f t="shared" ca="1" si="85"/>
        <v>#DIV/0!</v>
      </c>
      <c r="CX71" s="101">
        <f t="shared" si="127"/>
        <v>0</v>
      </c>
      <c r="CY71" s="91">
        <f t="shared" si="41"/>
        <v>0</v>
      </c>
      <c r="CZ71" s="30" t="e">
        <f t="shared" si="108"/>
        <v>#N/A</v>
      </c>
      <c r="DA71" s="30" t="e">
        <f t="shared" si="109"/>
        <v>#N/A</v>
      </c>
      <c r="DB71" s="31" t="e">
        <f>IF(OR(Hypothèses!$B$4=17,Hypothèses!$B$4=18,Hypothèses!$B$4=19,Hypothèses!$B$4=20),
IF($D71="Pressio.",
IF(OR($E71=3,$E71=1,$E71=4),DA71,CZ71),
IF($D71="Pénétro.",
IF(OR($E71=3,$E71=1,$E71=4),DA71,CZ71))),IF($D71="Pressio.",
IF($E71=3,DA71,CZ71),
IF($D71="Pénétro.",
IF($E71=4,DA71,CZ71))))</f>
        <v>#N/A</v>
      </c>
      <c r="DC71" s="31">
        <v>0</v>
      </c>
      <c r="DD71" s="102" t="e">
        <f>IF(NDC!$H$10="Oui",(VLOOKUP($B$3,'Coeff EC7'!$T$39:$X$59,2,0)*DB71+VLOOKUP($B$3,'Coeff EC7'!$T$65:$X$85,2,0)*Model0.1T!DC71)/1.5,PI()*CZ$12*$Q71*($B71-$B70)*0.15/10+DD70)</f>
        <v>#N/A</v>
      </c>
      <c r="DE71" s="102" t="e">
        <f>(VLOOKUP($B$3,'Coeff EC7'!$T$39:$X$59,3,0)*DB71+VLOOKUP($B$3,'Coeff EC7'!$T$65:$X$85,3,0)*Model0.1T!DC71)/1.1</f>
        <v>#N/A</v>
      </c>
      <c r="DF71" s="102" t="e">
        <f t="shared" si="86"/>
        <v>#N/A</v>
      </c>
      <c r="DG71" s="102" t="e">
        <f t="shared" si="87"/>
        <v>#N/A</v>
      </c>
      <c r="DH71" s="414" t="e">
        <f>IF(AND(DD71&gt;NDC!$C$63,DE71&gt;NDC!$C$65,DF71&gt;NDC!$D$73,DG71&gt;NDC!$D$74,$B71&gt;NDC!$H$22-0.1+MIN(3*DH$12,1.5)),0,1)</f>
        <v>#N/A</v>
      </c>
      <c r="DI71" s="86" t="b">
        <f t="shared" si="44"/>
        <v>0</v>
      </c>
      <c r="DJ71" s="86">
        <f t="shared" si="45"/>
        <v>0.5</v>
      </c>
      <c r="DK71" s="86">
        <f t="shared" si="46"/>
        <v>0.5</v>
      </c>
      <c r="DL71" s="30" t="e">
        <f t="shared" ca="1" si="88"/>
        <v>#DIV/0!</v>
      </c>
      <c r="DM71" s="85" t="e">
        <f ca="1">IF(CS71&lt;=Hypothèses!$V$7,Hypothèses!$W$7,IF(CS71&lt;=Hypothèses!$V$8,Hypothèses!$W$8,IF(CS71&lt;=Hypothèses!$V$9,Hypothèses!$W$9,IF(CS71&lt;=Hypothèses!$V$10,Hypothèses!$W$10,IF(CS71&lt;=Hypothèses!$V$11,Hypothèses!$W$11,IF(CS71&lt;=Hypothèses!$V$12,Hypothèses!$W$12,IF(CS71&lt;=Hypothèses!$V$13,Hypothèses!$W$13,IF(CS71&lt;=Hypothèses!$V$14,Hypothèses!$W$14,IF(CS71&lt;=Hypothèses!$V$15,Hypothèses!$W$15,IF(CS71&lt;=Hypothèses!$V$16,Hypothèses!$W$16,IF(CS71&lt;=Hypothèses!$V$17,Hypothèses!$W$17,IF(CS71&lt;=Hypothèses!$V$18,Hypothèses!$W$18,""))))))))))))</f>
        <v>#DIV/0!</v>
      </c>
      <c r="DN71" s="87" t="e">
        <f t="shared" ca="1" si="121"/>
        <v>#DIV/0!</v>
      </c>
      <c r="DO71" s="88" t="e">
        <f ca="1">IF(CS71&lt;=Hypothèses!$V$7,Hypothèses!$X$7,IF(CS71&lt;=Hypothèses!$V$8,Hypothèses!$X$8,IF(CS71&lt;=Hypothèses!$V$9,Hypothèses!$X$9,IF(CS71&lt;=Hypothèses!$V$10,Hypothèses!$X$10,IF(CS71&lt;=Hypothèses!$V$11,Hypothèses!$X$11,IF(CS71&lt;=Hypothèses!$V$12,Hypothèses!$X$12,IF(CS71&lt;=Hypothèses!$V$13,Hypothèses!$X$13,IF(CS71&lt;=Hypothèses!$V$14,Hypothèses!$X$14,IF(CS71&lt;=Hypothèses!$V$15,Hypothèses!$X$15,IF(CS71&lt;=Hypothèses!$V$16,Hypothèses!$X$16,IF(CS71&lt;=Hypothèses!$U$17,Hypothèses!$W$17,IF(CS71&lt;=Hypothèses!$U$18,Hypothèses!$W$18,""))))))))))))</f>
        <v>#DIV/0!</v>
      </c>
      <c r="DP71" s="95" t="e">
        <f t="shared" ca="1" si="89"/>
        <v>#DIV/0!</v>
      </c>
      <c r="DQ71" s="101">
        <f t="shared" si="128"/>
        <v>0</v>
      </c>
      <c r="DR71" s="91">
        <f t="shared" si="48"/>
        <v>0</v>
      </c>
      <c r="DS71" s="30" t="e">
        <f t="shared" si="110"/>
        <v>#N/A</v>
      </c>
      <c r="DT71" s="30" t="e">
        <f t="shared" si="111"/>
        <v>#N/A</v>
      </c>
      <c r="DU71" s="31" t="e">
        <f>IF(OR(Hypothèses!$B$4=17,Hypothèses!$B$4=18,Hypothèses!$B$4=19,Hypothèses!$B$4=20),
IF($D71="Pressio.",
IF(OR($E71=3,$E71=1,$E71=4),DT71,DS71),
IF($D71="Pénétro.",
IF(OR($E71=3,$E71=1,$E71=4),DT71,DS71))),IF($D71="Pressio.",
IF($E71=3,DT71,DS71),
IF($D71="Pénétro.",
IF($E71=4,DT71,DS71))))</f>
        <v>#N/A</v>
      </c>
      <c r="DV71" s="31">
        <v>0</v>
      </c>
      <c r="DW71" s="102" t="e">
        <f>IF(NDC!$H$10="Oui",(VLOOKUP($B$3,'Coeff EC7'!$T$39:$X$59,2,0)*DU71+VLOOKUP($B$3,'Coeff EC7'!$T$65:$X$85,2,0)*Model0.1T!DV71)/1.5,PI()*DS$12*$Q71*($B71-$B70)*0.15/10+DW70)</f>
        <v>#N/A</v>
      </c>
      <c r="DX71" s="102" t="e">
        <f>(VLOOKUP($B$3,'Coeff EC7'!$T$39:$X$59,3,0)*DU71+VLOOKUP($B$3,'Coeff EC7'!$T$65:$X$85,3,0)*Model0.1T!DV71)/1.1</f>
        <v>#N/A</v>
      </c>
      <c r="DY71" s="102" t="e">
        <f t="shared" si="90"/>
        <v>#N/A</v>
      </c>
      <c r="DZ71" s="102" t="e">
        <f t="shared" si="91"/>
        <v>#N/A</v>
      </c>
      <c r="EA71" s="414" t="e">
        <f>IF(AND(DW71&gt;NDC!$C$63,DX71&gt;NDC!$C$65,DY71&gt;NDC!$D$73,DZ71&gt;NDC!$D$74,$B71&gt;NDC!$H$22-0.1+MIN(3*EA$12,1.5)),0,1)</f>
        <v>#N/A</v>
      </c>
      <c r="EB71" s="86" t="b">
        <f t="shared" si="51"/>
        <v>0</v>
      </c>
      <c r="EC71" s="418">
        <f t="shared" si="52"/>
        <v>0.51</v>
      </c>
      <c r="ED71" s="86">
        <f t="shared" si="53"/>
        <v>0.51</v>
      </c>
      <c r="EE71" s="30" t="e">
        <f t="shared" ca="1" si="92"/>
        <v>#DIV/0!</v>
      </c>
      <c r="EF71" s="85" t="e">
        <f ca="1">IF(DL71&lt;=Hypothèses!$V$7,Hypothèses!$W$7,IF(DL71&lt;=Hypothèses!$V$8,Hypothèses!$W$8,IF(DL71&lt;=Hypothèses!$V$9,Hypothèses!$W$9,IF(DL71&lt;=Hypothèses!$V$10,Hypothèses!$W$10,IF(DL71&lt;=Hypothèses!$V$11,Hypothèses!$W$11,IF(DL71&lt;=Hypothèses!$V$12,Hypothèses!$W$12,IF(DL71&lt;=Hypothèses!$V$13,Hypothèses!$W$13,IF(DL71&lt;=Hypothèses!$V$14,Hypothèses!$W$14,IF(DL71&lt;=Hypothèses!$V$15,Hypothèses!$W$15,IF(DL71&lt;=Hypothèses!$V$16,Hypothèses!$W$16,IF(DL71&lt;=Hypothèses!$V$17,Hypothèses!$W$17,IF(DL71&lt;=Hypothèses!$V$18,Hypothèses!$W$18,""))))))))))))</f>
        <v>#DIV/0!</v>
      </c>
      <c r="EG71" s="87" t="e">
        <f t="shared" ca="1" si="122"/>
        <v>#DIV/0!</v>
      </c>
      <c r="EH71" s="88" t="e">
        <f ca="1">IF(DL71&lt;=Hypothèses!$V$7,Hypothèses!$X$7,IF(DL71&lt;=Hypothèses!$V$8,Hypothèses!$X$8,IF(DL71&lt;=Hypothèses!$V$9,Hypothèses!$X$9,IF(DL71&lt;=Hypothèses!$V$10,Hypothèses!$X$10,IF(DL71&lt;=Hypothèses!$V$11,Hypothèses!$X$11,IF(DL71&lt;=Hypothèses!$V$12,Hypothèses!$X$12,IF(DL71&lt;=Hypothèses!$V$13,Hypothèses!$X$13,IF(DL71&lt;=Hypothèses!$V$14,Hypothèses!$X$14,IF(DL71&lt;=Hypothèses!$V$15,Hypothèses!$X$15,IF(DL71&lt;=Hypothèses!$V$16,Hypothèses!$X$16,IF(DL71&lt;=Hypothèses!$U$17,Hypothèses!$W$17,IF(DL71&lt;=Hypothèses!$U$18,Hypothèses!$W$18,""))))))))))))</f>
        <v>#DIV/0!</v>
      </c>
      <c r="EI71" s="95" t="e">
        <f t="shared" ca="1" si="93"/>
        <v>#DIV/0!</v>
      </c>
      <c r="EJ71" s="101">
        <f t="shared" si="129"/>
        <v>0</v>
      </c>
      <c r="EK71" s="91">
        <f t="shared" si="55"/>
        <v>0</v>
      </c>
      <c r="EL71" s="30" t="e">
        <f t="shared" si="112"/>
        <v>#N/A</v>
      </c>
      <c r="EM71" s="30" t="e">
        <f t="shared" si="113"/>
        <v>#N/A</v>
      </c>
      <c r="EN71" s="31" t="e">
        <f>IF(OR(Hypothèses!$B$4=17,Hypothèses!$B$4=18,Hypothèses!$B$4=19,Hypothèses!$B$4=20),
IF($D71="Pressio.",
IF(OR($E71=3,$E71=1,$E71=4),EM71,EL71),
IF($D71="Pénétro.",
IF(OR($E71=3,$E71=1,$E71=4),EM71,EL71))),IF($D71="Pressio.",
IF($E71=3,EM71,EL71),
IF($D71="Pénétro.",
IF($E71=4,EM71,EL71))))</f>
        <v>#N/A</v>
      </c>
      <c r="EO71" s="31">
        <v>0</v>
      </c>
      <c r="EP71" s="102" t="e">
        <f>IF(NDC!$H$10="Oui",(VLOOKUP($B$3,'Coeff EC7'!$T$39:$X$59,2,0)*EN71+VLOOKUP($B$3,'Coeff EC7'!$T$65:$X$85,2,0)*Model0.1T!EO71)/1.5,PI()*EL$12*$Q71*($B71-$B70)*0.15/10+EP70)</f>
        <v>#N/A</v>
      </c>
      <c r="EQ71" s="102" t="e">
        <f>(VLOOKUP($B$3,'Coeff EC7'!$T$39:$X$59,3,0)*EN71+VLOOKUP($B$3,'Coeff EC7'!$T$65:$X$85,3,0)*Model0.1T!EO71)/1.1</f>
        <v>#N/A</v>
      </c>
      <c r="ER71" s="102" t="e">
        <f t="shared" si="94"/>
        <v>#N/A</v>
      </c>
      <c r="ES71" s="102" t="e">
        <f t="shared" si="95"/>
        <v>#N/A</v>
      </c>
      <c r="ET71" s="414" t="e">
        <f>IF(AND(EP71&gt;NDC!$C$63,EQ71&gt;NDC!$C$65,ER71&gt;NDC!$D$73,ES71&gt;NDC!$D$74,$B71&gt;NDC!$H$22-0.1+MIN(3*ET$12,1.5)),0,1)</f>
        <v>#N/A</v>
      </c>
      <c r="EU71" s="86" t="b">
        <f t="shared" si="58"/>
        <v>0</v>
      </c>
      <c r="EV71" s="86">
        <f t="shared" si="59"/>
        <v>0.61</v>
      </c>
      <c r="EW71" s="86">
        <f t="shared" si="60"/>
        <v>0.61</v>
      </c>
      <c r="EX71" s="30" t="e">
        <f t="shared" ca="1" si="96"/>
        <v>#DIV/0!</v>
      </c>
      <c r="EY71" s="85" t="e">
        <f ca="1">IF(EE71&lt;=Hypothèses!$V$7,Hypothèses!$W$7,IF(EE71&lt;=Hypothèses!$V$8,Hypothèses!$W$8,IF(EE71&lt;=Hypothèses!$V$9,Hypothèses!$W$9,IF(EE71&lt;=Hypothèses!$V$10,Hypothèses!$W$10,IF(EE71&lt;=Hypothèses!$V$11,Hypothèses!$W$11,IF(EE71&lt;=Hypothèses!$V$12,Hypothèses!$W$12,IF(EE71&lt;=Hypothèses!$V$13,Hypothèses!$W$13,IF(EE71&lt;=Hypothèses!$V$14,Hypothèses!$W$14,IF(EE71&lt;=Hypothèses!$V$15,Hypothèses!$W$15,IF(EE71&lt;=Hypothèses!$V$16,Hypothèses!$W$16,IF(EE71&lt;=Hypothèses!$V$17,Hypothèses!$W$17,IF(EE71&lt;=Hypothèses!$V$18,Hypothèses!$W$18,""))))))))))))</f>
        <v>#DIV/0!</v>
      </c>
      <c r="EZ71" s="87" t="e">
        <f t="shared" ca="1" si="123"/>
        <v>#DIV/0!</v>
      </c>
      <c r="FA71" s="88" t="e">
        <f ca="1">IF(EE71&lt;=Hypothèses!$V$7,Hypothèses!$X$7,IF(EE71&lt;=Hypothèses!$V$8,Hypothèses!$X$8,IF(EE71&lt;=Hypothèses!$V$9,Hypothèses!$X$9,IF(EE71&lt;=Hypothèses!$V$10,Hypothèses!$X$10,IF(EE71&lt;=Hypothèses!$V$11,Hypothèses!$X$11,IF(EE71&lt;=Hypothèses!$V$12,Hypothèses!$X$12,IF(EE71&lt;=Hypothèses!$V$13,Hypothèses!$X$13,IF(EE71&lt;=Hypothèses!$V$14,Hypothèses!$X$14,IF(EE71&lt;=Hypothèses!$V$15,Hypothèses!$X$15,IF(EE71&lt;=Hypothèses!$V$16,Hypothèses!$X$16,IF(EE71&lt;=Hypothèses!$U$17,Hypothèses!$W$17,IF(EE71&lt;=Hypothèses!$U$18,Hypothèses!$W$18,""))))))))))))</f>
        <v>#DIV/0!</v>
      </c>
      <c r="FB71" s="95" t="e">
        <f t="shared" ca="1" si="97"/>
        <v>#DIV/0!</v>
      </c>
      <c r="FC71" s="101">
        <f t="shared" si="130"/>
        <v>0</v>
      </c>
      <c r="FD71" s="91">
        <f t="shared" si="62"/>
        <v>0</v>
      </c>
      <c r="FE71" s="30" t="e">
        <f t="shared" si="114"/>
        <v>#N/A</v>
      </c>
      <c r="FF71" s="30" t="e">
        <f t="shared" si="115"/>
        <v>#N/A</v>
      </c>
      <c r="FG71" s="31" t="e">
        <f>IF(OR(Hypothèses!$B$4=17,Hypothèses!$B$4=18,Hypothèses!$B$4=19,Hypothèses!$B$4=20),
IF($D71="Pressio.",
IF(OR($E71=3,$E71=1,$E71=4),FF71,FE71),
IF($D71="Pénétro.",
IF(OR($E71=3,$E71=1,$E71=4),FF71,FE71))),IF($D71="Pressio.",
IF($E71=3,FF71,FE71),
IF($D71="Pénétro.",
IF($E71=4,FF71,FE71))))</f>
        <v>#N/A</v>
      </c>
      <c r="FH71" s="31">
        <v>0</v>
      </c>
      <c r="FI71" s="102" t="e">
        <f>IF(NDC!$H$10="Oui",(VLOOKUP($B$3,'Coeff EC7'!$T$39:$X$59,2,0)*FG71+VLOOKUP($B$3,'Coeff EC7'!$T$65:$X$85,2,0)*Model0.1T!FH71)/1.5,PI()*FE$12*$Q71*($B71-$B70)*0.15/10+FI70)</f>
        <v>#N/A</v>
      </c>
      <c r="FJ71" s="102" t="e">
        <f>(VLOOKUP($B$3,'Coeff EC7'!$T$39:$X$59,3,0)*FG71+VLOOKUP($B$3,'Coeff EC7'!$T$65:$X$85,3,0)*Model0.1T!FH71)/1.1</f>
        <v>#N/A</v>
      </c>
      <c r="FK71" s="102" t="e">
        <f t="shared" si="98"/>
        <v>#N/A</v>
      </c>
      <c r="FL71" s="102" t="e">
        <f t="shared" si="99"/>
        <v>#N/A</v>
      </c>
      <c r="FM71" s="414" t="e">
        <f>IF(AND(FI71&gt;NDC!$C$63,FJ71&gt;NDC!$C$65,FK71&gt;NDC!$D$73,FL71&gt;NDC!$D$74,$B71&gt;NDC!$H$22-0.1+MIN(3*FM$12,1.5)),0,1)</f>
        <v>#N/A</v>
      </c>
    </row>
    <row r="72" spans="1:169">
      <c r="A72" s="96">
        <f t="shared" si="65"/>
        <v>94.100000000000335</v>
      </c>
      <c r="B72" s="97">
        <v>5.9</v>
      </c>
      <c r="C72" s="81">
        <f>IF(B72&lt;=Hypothèses!$C$7,Hypothèses!$A$7,IF(B72&lt;=Hypothèses!$C$8,Hypothèses!$A$8,IF(B72&lt;=Hypothèses!$C$9,Hypothèses!$A$9,IF(B72&lt;=Hypothèses!$C$10,Hypothèses!$A$10,IF(B72&lt;=Hypothèses!$C$11,Hypothèses!$A$11,IF(B72&lt;=Hypothèses!$C$12,Hypothèses!$A$12,IF(B72&lt;=Hypothèses!$C$13,Hypothèses!$A$13,IF(B72&lt;=Hypothèses!$C$14,Hypothèses!$A$14,IF(B72&lt;=Hypothèses!$C$15,Hypothèses!$A$15,IF(B72&lt;=Hypothèses!$C$16,Hypothèses!$A$16,IF(B72&lt;=Hypothèses!$C$17,Hypothèses!$A$17,IF(B72&lt;=Hypothèses!$C$18,Hypothèses!$A$18,C71))))))))))))</f>
        <v>11</v>
      </c>
      <c r="D72" s="82" t="str">
        <f>IF(B72&lt;=Hypothèses!$C$7,Hypothèses!$R$7,IF(B72&lt;=Hypothèses!$C$8,Hypothèses!$R$8,IF(B72&lt;=Hypothèses!$C$9,Hypothèses!$R$9,IF(B72&lt;=Hypothèses!$C$10,Hypothèses!$R$10,IF(B72&lt;=Hypothèses!$C$11,Hypothèses!$R$11,IF(B72&lt;=Hypothèses!$C$12,Hypothèses!$R$12,IF(B72&lt;=Hypothèses!$C$13,Hypothèses!$R$13,IF(B72&lt;=Hypothèses!$C$14,Hypothèses!$R$14,IF(B72&lt;=Hypothèses!$C$15,Hypothèses!$R$15,IF(B72&lt;=Hypothèses!$C$16,Hypothèses!$R$16,IF(B72&lt;=Hypothèses!$C$17,Hypothèses!$R$17,IF(B72&lt;=Hypothèses!$C$18,Hypothèses!$R$18,D71))))))))))))</f>
        <v>Pressio.</v>
      </c>
      <c r="E72" s="82" t="e">
        <f>IF(B72&lt;=Hypothèses!$C$7,Hypothèses!$G$7,IF(B72&lt;=Hypothèses!$C$8,Hypothèses!$G$8,IF(B72&lt;=Hypothèses!$C$9,Hypothèses!$G$9,IF(B72&lt;=Hypothèses!$C$10,Hypothèses!$G$10,IF(B72&lt;=Hypothèses!$C$11,Hypothèses!$G$11,IF(B72&lt;=Hypothèses!$C$12,Hypothèses!$G$12,IF(B72&lt;=Hypothèses!$C$13,Hypothèses!$G$13,IF(B72&lt;=Hypothèses!$C$14,Hypothèses!$G$14,IF(B72&lt;=Hypothèses!$C$15,Hypothèses!$G$15,IF(B72&lt;=Hypothèses!$C$16,Hypothèses!$G$16,IF(B72&lt;=Hypothèses!$C$17,Hypothèses!$G$17,IF(B72&lt;=Hypothèses!$C$18,Hypothèses!$G$18,E71))))))))))))</f>
        <v>#N/A</v>
      </c>
      <c r="F72" s="82" t="str">
        <f>IF(B72&lt;=Hypothèses!$C$7,Hypothèses!$F$7,IF(B72&lt;=Hypothèses!$C$8,Hypothèses!$F$8,IF(B72&lt;=Hypothèses!$C$9,Hypothèses!$F$9,IF(B72&lt;=Hypothèses!$C$10,Hypothèses!$F$10,IF(B72&lt;=Hypothèses!$C$11,Hypothèses!$F$11,IF(B72&lt;=Hypothèses!$C$12,Hypothèses!$F$12,IF(B72&lt;=Hypothèses!$C$13,Hypothèses!$F$13,IF(B72&lt;=Hypothèses!$C$14,Hypothèses!$F$14,IF(B72&lt;=Hypothèses!$C$15,Hypothèses!$F$15,IF(B72&lt;=Hypothèses!$C$16,Hypothèses!$F$16,IF(B72&lt;=Hypothèses!$C$17,Hypothèses!$F$17,IF(B72&lt;=Hypothèses!$C$18,Hypothèses!$F$18,F71))))))))))))</f>
        <v/>
      </c>
      <c r="G72" s="91">
        <f t="array" ref="G72">INDEX('Coeff EC7'!$U$7:$X$27,
MATCH(Model0.1T!$B$3,'Coeff EC7'!$T$7:$T$27,0),
MATCH(Model0.1T!$D72&amp;Model0.1T!$B$4,
'Coeff EC7'!$U$6:$X$6&amp;
'Coeff EC7'!$U$5:$X$5,0))</f>
        <v>1.4</v>
      </c>
      <c r="H72" s="91">
        <f t="array" ref="H72">INDEX('Coeff EC7'!$Y$7:$AB$27,
MATCH(Model0.1T!$B$3,'Coeff EC7'!$T$7:$T$27,0),
MATCH(Model0.1T!$D72&amp;Model0.1T!$B$4,
'Coeff EC7'!$Y$6:$AB$6&amp;
'Coeff EC7'!$Y$5:$AB$5,0))</f>
        <v>1.7</v>
      </c>
      <c r="I72" s="83">
        <v>0</v>
      </c>
      <c r="J72" s="91" t="e">
        <f t="array" ref="J72">INDEX('Coeff EC7'!$D$33:$Q$33,1,MATCH(D72&amp;E72,'Coeff EC7'!$D$31:$Q$31&amp;'Coeff EC7'!$D$32:$Q$32,0))</f>
        <v>#N/A</v>
      </c>
      <c r="K72" s="91" t="e">
        <f t="array" ref="K72">INDEX('Coeff EC7'!$D$34:$Q$34,1,MATCH(D72&amp;E72,'Coeff EC7'!$D$31:$Q$31&amp;'Coeff EC7'!$D$32:$Q$32,0))</f>
        <v>#N/A</v>
      </c>
      <c r="L72" s="91" t="e">
        <f t="array" ref="L72">INDEX('Coeff EC7'!$D$35:$Q$35,1,MATCH(D72&amp;E72,'Coeff EC7'!$D$31:$Q$31&amp;'Coeff EC7'!$D$32:$Q$32,0))</f>
        <v>#N/A</v>
      </c>
      <c r="M72" s="98" t="e">
        <f t="shared" si="8"/>
        <v>#N/A</v>
      </c>
      <c r="N72" s="99" t="e">
        <f t="array" ref="N72">INDEX('Coeff EC7'!$D$7:$Q$27,MATCH($B$3,'Coeff EC7'!$C$7:$C$27,0),MATCH(D72&amp;E72,'Coeff EC7'!$D$5:$Q$5&amp;'Coeff EC7'!$D$6:$Q$6,0))</f>
        <v>#N/A</v>
      </c>
      <c r="O72" s="99" t="e">
        <f t="array" ref="O72">INDEX('Coeff EC7'!$D$41:$Q$61,MATCH($B$3,'Coeff EC7'!$C$41:$C$61,0),MATCH(D72&amp;E72,'Coeff EC7'!$D$39:$Q$39&amp;'Coeff EC7'!$D$40:$Q$40,0))</f>
        <v>#N/A</v>
      </c>
      <c r="P72" s="30" t="e">
        <f t="shared" si="66"/>
        <v>#N/A</v>
      </c>
      <c r="Q72" s="100" t="e">
        <f t="shared" si="10"/>
        <v>#N/A</v>
      </c>
      <c r="R72" s="86" t="b">
        <f t="shared" si="11"/>
        <v>0</v>
      </c>
      <c r="S72" s="86">
        <f t="shared" si="9"/>
        <v>0.5</v>
      </c>
      <c r="T72" s="86">
        <f t="shared" si="12"/>
        <v>0.5</v>
      </c>
      <c r="U72" s="30" t="e">
        <f t="shared" ca="1" si="67"/>
        <v>#DIV/0!</v>
      </c>
      <c r="V72" s="85" t="str">
        <f>IF(B72&lt;=Hypothèses!$V$7,Hypothèses!$W$7,IF(B72&lt;=Hypothèses!$V$8,Hypothèses!$W$8,IF(B72&lt;=Hypothèses!$V$9,Hypothèses!$W$9,IF(B72&lt;=Hypothèses!$V$10,Hypothèses!$W$10,IF(B72&lt;=Hypothèses!$V$11,Hypothèses!$W$11,IF(B72&lt;=Hypothèses!$V$12,Hypothèses!$W$12,IF(B72&lt;=Hypothèses!$V$13,Hypothèses!$W$13,IF(B72&lt;=Hypothèses!$V$14,Hypothèses!$W$14,IF(B72&lt;=Hypothèses!$V$15,Hypothèses!$W$15,IF(B72&lt;=Hypothèses!$V$16,Hypothèses!$W$16,IF(B72&lt;=Hypothèses!$V$17,Hypothèses!$W$17,IF(B72&lt;=Hypothèses!$V$18,Hypothèses!$W$18,""))))))))))))</f>
        <v/>
      </c>
      <c r="W72" s="87" t="e">
        <f t="shared" ca="1" si="116"/>
        <v>#DIV/0!</v>
      </c>
      <c r="X72" s="88" t="str">
        <f>IF(B72&lt;=Hypothèses!$V$7,Hypothèses!$X$7,IF(B72&lt;=Hypothèses!$V$8,Hypothèses!$X$8,IF(B72&lt;=Hypothèses!$V$9,Hypothèses!$X$9,IF(B72&lt;=Hypothèses!$V$10,Hypothèses!$X$10,IF(B72&lt;=Hypothèses!$V$11,Hypothèses!$X$11,IF(B72&lt;=Hypothèses!$V$12,Hypothèses!$X$12,IF(B72&lt;=Hypothèses!$V$13,Hypothèses!$X$13,IF(B72&lt;=Hypothèses!$V$14,Hypothèses!$X$14,IF(B72&lt;=Hypothèses!$V$15,Hypothèses!$X$15,IF(B72&lt;=Hypothèses!$V$16,Hypothèses!$X$16,IF(B72&lt;=Hypothèses!$U$17,Hypothèses!$W$17,IF(B72&lt;=Hypothèses!$U$18,Hypothèses!$W$18,""))))))))))))</f>
        <v/>
      </c>
      <c r="Y72" s="95" t="e">
        <f t="shared" ca="1" si="13"/>
        <v>#DIV/0!</v>
      </c>
      <c r="Z72" s="101">
        <f t="shared" si="14"/>
        <v>0</v>
      </c>
      <c r="AA72" s="91">
        <f t="shared" si="15"/>
        <v>0</v>
      </c>
      <c r="AB72" s="30" t="e">
        <f t="shared" si="100"/>
        <v>#N/A</v>
      </c>
      <c r="AC72" s="30" t="e">
        <f t="shared" si="101"/>
        <v>#N/A</v>
      </c>
      <c r="AD72" s="31" t="e">
        <f>IF(OR(Hypothèses!$B$4=17,Hypothèses!$B$4=18,Hypothèses!$B$4=19,Hypothèses!$B$4=20),
IF($D72="Pressio.",
IF(OR($E72=3,$E72=1,$E72=4),AC72,AB72),
IF($D72="Pénétro.",
IF(OR($E72=3,$E72=1,$E72=4),AC72,AB72))),IF($D72="Pressio.",
IF($E72=3,AC72,AB72),
IF($D72="Pénétro.",
IF($E72=4,AC72,AB72))))</f>
        <v>#N/A</v>
      </c>
      <c r="AE72" s="31">
        <v>0</v>
      </c>
      <c r="AF72" s="102" t="e">
        <f>IF(NDC!$H$10="Oui",(VLOOKUP($B$3,'Coeff EC7'!$T$39:$X$59,2,0)*AD72+VLOOKUP($B$3,'Coeff EC7'!$T$65:$X$85,2,0)*Model0.1T!AE72)/1.5,PI()*AB$12*$Q72*($B72-$B71)*0.15/10+AF71)</f>
        <v>#N/A</v>
      </c>
      <c r="AG72" s="102" t="e">
        <f>(VLOOKUP($B$3,'Coeff EC7'!$T$39:$X$59,3,0)*AD72+VLOOKUP($B$3,'Coeff EC7'!$T$65:$X$85,3,0)*Model0.1T!AE72)/1.1</f>
        <v>#N/A</v>
      </c>
      <c r="AH72" s="102" t="e">
        <f t="shared" si="68"/>
        <v>#N/A</v>
      </c>
      <c r="AI72" s="102" t="e">
        <f t="shared" si="69"/>
        <v>#N/A</v>
      </c>
      <c r="AJ72" s="414" t="e">
        <f>IF(AND(AF72&gt;NDC!$C$63,AG72&gt;NDC!$C$65,AH72&gt;NDC!$D$73,AI72&gt;NDC!$D$74,$B72&gt;NDC!$H$22-0.1+MIN(3*$AJ$12,1.5)),0,1)</f>
        <v>#N/A</v>
      </c>
      <c r="AK72" s="86" t="b">
        <f t="shared" si="18"/>
        <v>0</v>
      </c>
      <c r="AL72" s="86">
        <f t="shared" si="70"/>
        <v>0.5</v>
      </c>
      <c r="AM72" s="86">
        <f t="shared" si="19"/>
        <v>0.5</v>
      </c>
      <c r="AN72" s="30" t="e">
        <f t="shared" ca="1" si="71"/>
        <v>#DIV/0!</v>
      </c>
      <c r="AO72" s="85" t="e">
        <f ca="1">IF(U72&lt;=Hypothèses!$V$7,Hypothèses!$W$7,IF(U72&lt;=Hypothèses!$V$8,Hypothèses!$W$8,IF(U72&lt;=Hypothèses!$V$9,Hypothèses!$W$9,IF(U72&lt;=Hypothèses!$V$10,Hypothèses!$W$10,IF(U72&lt;=Hypothèses!$V$11,Hypothèses!$W$11,IF(U72&lt;=Hypothèses!$V$12,Hypothèses!$W$12,IF(U72&lt;=Hypothèses!$V$13,Hypothèses!$W$13,IF(U72&lt;=Hypothèses!$V$14,Hypothèses!$W$14,IF(U72&lt;=Hypothèses!$V$15,Hypothèses!$W$15,IF(U72&lt;=Hypothèses!$V$16,Hypothèses!$W$16,IF(U72&lt;=Hypothèses!$V$17,Hypothèses!$W$17,IF(U72&lt;=Hypothèses!$V$18,Hypothèses!$W$18,""))))))))))))</f>
        <v>#DIV/0!</v>
      </c>
      <c r="AP72" s="87" t="e">
        <f t="shared" ca="1" si="117"/>
        <v>#DIV/0!</v>
      </c>
      <c r="AQ72" s="88" t="e">
        <f ca="1">IF(U72&lt;=Hypothèses!$V$7,Hypothèses!$X$7,IF(U72&lt;=Hypothèses!$V$8,Hypothèses!$X$8,IF(U72&lt;=Hypothèses!$V$9,Hypothèses!$X$9,IF(U72&lt;=Hypothèses!$V$10,Hypothèses!$X$10,IF(U72&lt;=Hypothèses!$V$11,Hypothèses!$X$11,IF(U72&lt;=Hypothèses!$V$12,Hypothèses!$X$12,IF(U72&lt;=Hypothèses!$V$13,Hypothèses!$X$13,IF(U72&lt;=Hypothèses!$V$14,Hypothèses!$X$14,IF(U72&lt;=Hypothèses!$V$15,Hypothèses!$X$15,IF(U72&lt;=Hypothèses!$V$16,Hypothèses!$X$16,IF(U72&lt;=Hypothèses!$U$17,Hypothèses!$W$17,IF(U72&lt;=Hypothèses!$U$18,Hypothèses!$W$18,""))))))))))))</f>
        <v>#DIV/0!</v>
      </c>
      <c r="AR72" s="95" t="e">
        <f t="shared" ca="1" si="72"/>
        <v>#DIV/0!</v>
      </c>
      <c r="AS72" s="101">
        <f t="shared" si="124"/>
        <v>0</v>
      </c>
      <c r="AT72" s="91">
        <f t="shared" si="21"/>
        <v>0</v>
      </c>
      <c r="AU72" s="30" t="e">
        <f t="shared" si="102"/>
        <v>#N/A</v>
      </c>
      <c r="AV72" s="30" t="e">
        <f t="shared" si="103"/>
        <v>#N/A</v>
      </c>
      <c r="AW72" s="31" t="e">
        <f>IF(OR(Hypothèses!$B$4=17,Hypothèses!$B$4=18,Hypothèses!$B$4=19,Hypothèses!$B$4=20),
IF($D72="Pressio.",
IF(OR($E72=3,$E72=1,$E72=4),AV72,AU72),
IF($D72="Pénétro.",
IF(OR($E72=3,$E72=1,$E72=4),AV72,AU72))),IF($D72="Pressio.",
IF($E72=3,AV72,AU72),
IF($D72="Pénétro.",
IF($E72=4,AV72,AU72))))</f>
        <v>#N/A</v>
      </c>
      <c r="AX72" s="31">
        <v>0</v>
      </c>
      <c r="AY72" s="102" t="e">
        <f>IF(NDC!$H$10="Oui",(VLOOKUP($B$3,'Coeff EC7'!$T$39:$X$59,2,0)*AW72+VLOOKUP($B$3,'Coeff EC7'!$T$65:$X$85,2,0)*Model0.1T!AX72)/1.5,PI()*AU$12*$Q72*($B72-$B71)*0.15/10+AY71)</f>
        <v>#N/A</v>
      </c>
      <c r="AZ72" s="102" t="e">
        <f>(VLOOKUP($B$3,'Coeff EC7'!$T$39:$X$59,3,0)*AW72+VLOOKUP($B$3,'Coeff EC7'!$T$65:$X$85,3,0)*Model0.1T!AX72)/1.1</f>
        <v>#N/A</v>
      </c>
      <c r="BA72" s="102" t="e">
        <f t="shared" si="73"/>
        <v>#N/A</v>
      </c>
      <c r="BB72" s="102" t="e">
        <f t="shared" si="74"/>
        <v>#N/A</v>
      </c>
      <c r="BC72" s="414" t="e">
        <f>IF(AND(AY72&gt;NDC!$C$63,AZ72&gt;NDC!$C$65,BA72&gt;NDC!$D$73,BB72&gt;NDC!$D$74,$B72&gt;NDC!$H$22-0.1+MIN(3*BC$12,1.5)),0,1)</f>
        <v>#N/A</v>
      </c>
      <c r="BD72" s="86" t="b">
        <f t="shared" si="24"/>
        <v>0</v>
      </c>
      <c r="BE72" s="86">
        <f t="shared" si="75"/>
        <v>0.5</v>
      </c>
      <c r="BF72" s="86">
        <f t="shared" si="25"/>
        <v>0.5</v>
      </c>
      <c r="BG72" s="30" t="e">
        <f t="shared" ca="1" si="76"/>
        <v>#DIV/0!</v>
      </c>
      <c r="BH72" s="85" t="e">
        <f ca="1">IF(AN72&lt;=Hypothèses!$V$7,Hypothèses!$W$7,IF(AN72&lt;=Hypothèses!$V$8,Hypothèses!$W$8,IF(AN72&lt;=Hypothèses!$V$9,Hypothèses!$W$9,IF(AN72&lt;=Hypothèses!$V$10,Hypothèses!$W$10,IF(AN72&lt;=Hypothèses!$V$11,Hypothèses!$W$11,IF(AN72&lt;=Hypothèses!$V$12,Hypothèses!$W$12,IF(AN72&lt;=Hypothèses!$V$13,Hypothèses!$W$13,IF(AN72&lt;=Hypothèses!$V$14,Hypothèses!$W$14,IF(AN72&lt;=Hypothèses!$V$15,Hypothèses!$W$15,IF(AN72&lt;=Hypothèses!$V$16,Hypothèses!$W$16,IF(AN72&lt;=Hypothèses!$V$17,Hypothèses!$W$17,IF(AN72&lt;=Hypothèses!$V$18,Hypothèses!$W$18,""))))))))))))</f>
        <v>#DIV/0!</v>
      </c>
      <c r="BI72" s="87" t="e">
        <f t="shared" ca="1" si="118"/>
        <v>#DIV/0!</v>
      </c>
      <c r="BJ72" s="88" t="e">
        <f ca="1">IF(AN72&lt;=Hypothèses!$V$7,Hypothèses!$X$7,IF(AN72&lt;=Hypothèses!$V$8,Hypothèses!$X$8,IF(AN72&lt;=Hypothèses!$V$9,Hypothèses!$X$9,IF(AN72&lt;=Hypothèses!$V$10,Hypothèses!$X$10,IF(AN72&lt;=Hypothèses!$V$11,Hypothèses!$X$11,IF(AN72&lt;=Hypothèses!$V$12,Hypothèses!$X$12,IF(AN72&lt;=Hypothèses!$V$13,Hypothèses!$X$13,IF(AN72&lt;=Hypothèses!$V$14,Hypothèses!$X$14,IF(AN72&lt;=Hypothèses!$V$15,Hypothèses!$X$15,IF(AN72&lt;=Hypothèses!$V$16,Hypothèses!$X$16,IF(AN72&lt;=Hypothèses!$U$17,Hypothèses!$W$17,IF(AN72&lt;=Hypothèses!$U$18,Hypothèses!$W$18,""))))))))))))</f>
        <v>#DIV/0!</v>
      </c>
      <c r="BK72" s="95" t="e">
        <f t="shared" ca="1" si="77"/>
        <v>#DIV/0!</v>
      </c>
      <c r="BL72" s="101">
        <f t="shared" si="125"/>
        <v>0</v>
      </c>
      <c r="BM72" s="91">
        <f t="shared" si="27"/>
        <v>0</v>
      </c>
      <c r="BN72" s="30" t="e">
        <f t="shared" si="104"/>
        <v>#N/A</v>
      </c>
      <c r="BO72" s="30" t="e">
        <f t="shared" si="105"/>
        <v>#N/A</v>
      </c>
      <c r="BP72" s="31" t="e">
        <f>IF(OR(Hypothèses!$B$4=17,Hypothèses!$B$4=18,Hypothèses!$B$4=19,Hypothèses!$B$4=20),
IF($D72="Pressio.",
IF(OR($E72=3,$E72=1,$E72=4),BO72,BN72),
IF($D72="Pénétro.",
IF(OR($E72=3,$E72=1,$E72=4),BO72,BN72))),IF($D72="Pressio.",
IF($E72=3,BO72,BN72),
IF($D72="Pénétro.",
IF($E72=4,BO72,BN72))))</f>
        <v>#N/A</v>
      </c>
      <c r="BQ72" s="31">
        <v>0</v>
      </c>
      <c r="BR72" s="102" t="e">
        <f>IF(NDC!$H$10="Oui",(VLOOKUP($B$3,'Coeff EC7'!$T$39:$X$59,2,0)*BP72+VLOOKUP($B$3,'Coeff EC7'!$T$65:$X$85,2,0)*Model0.1T!BQ72)/1.5,PI()*BN$12*$Q72*($B72-$B71)*0.15/10+BR71)</f>
        <v>#N/A</v>
      </c>
      <c r="BS72" s="102" t="e">
        <f>(VLOOKUP($B$3,'Coeff EC7'!$T$39:$X$59,3,0)*BP72+VLOOKUP($B$3,'Coeff EC7'!$T$65:$X$85,3,0)*Model0.1T!BQ72)/1.1</f>
        <v>#N/A</v>
      </c>
      <c r="BT72" s="102" t="e">
        <f t="shared" si="78"/>
        <v>#N/A</v>
      </c>
      <c r="BU72" s="102" t="e">
        <f t="shared" si="79"/>
        <v>#N/A</v>
      </c>
      <c r="BV72" s="414" t="e">
        <f>IF(AND(BR72&gt;NDC!$C$63,BS72&gt;NDC!$C$65,BT72&gt;NDC!$D$73,BU72&gt;NDC!$D$74,$B72&gt;NDC!$H$22-0.1+MIN(3*BV$12,1.5)),0,1)</f>
        <v>#N/A</v>
      </c>
      <c r="BW72" s="86" t="b">
        <f t="shared" si="30"/>
        <v>0</v>
      </c>
      <c r="BX72" s="86">
        <f t="shared" si="31"/>
        <v>0.5</v>
      </c>
      <c r="BY72" s="86">
        <f t="shared" si="32"/>
        <v>0.5</v>
      </c>
      <c r="BZ72" s="30" t="e">
        <f t="shared" ca="1" si="80"/>
        <v>#DIV/0!</v>
      </c>
      <c r="CA72" s="85" t="e">
        <f ca="1">IF(BG72&lt;=Hypothèses!$V$7,Hypothèses!$W$7,IF(BG72&lt;=Hypothèses!$V$8,Hypothèses!$W$8,IF(BG72&lt;=Hypothèses!$V$9,Hypothèses!$W$9,IF(BG72&lt;=Hypothèses!$V$10,Hypothèses!$W$10,IF(BG72&lt;=Hypothèses!$V$11,Hypothèses!$W$11,IF(BG72&lt;=Hypothèses!$V$12,Hypothèses!$W$12,IF(BG72&lt;=Hypothèses!$V$13,Hypothèses!$W$13,IF(BG72&lt;=Hypothèses!$V$14,Hypothèses!$W$14,IF(BG72&lt;=Hypothèses!$V$15,Hypothèses!$W$15,IF(BG72&lt;=Hypothèses!$V$16,Hypothèses!$W$16,IF(BG72&lt;=Hypothèses!$V$17,Hypothèses!$W$17,IF(BG72&lt;=Hypothèses!$V$18,Hypothèses!$W$18,""))))))))))))</f>
        <v>#DIV/0!</v>
      </c>
      <c r="CB72" s="87" t="e">
        <f t="shared" ca="1" si="119"/>
        <v>#DIV/0!</v>
      </c>
      <c r="CC72" s="88" t="e">
        <f ca="1">IF(BG72&lt;=Hypothèses!$V$7,Hypothèses!$X$7,IF(BG72&lt;=Hypothèses!$V$8,Hypothèses!$X$8,IF(BG72&lt;=Hypothèses!$V$9,Hypothèses!$X$9,IF(BG72&lt;=Hypothèses!$V$10,Hypothèses!$X$10,IF(BG72&lt;=Hypothèses!$V$11,Hypothèses!$X$11,IF(BG72&lt;=Hypothèses!$V$12,Hypothèses!$X$12,IF(BG72&lt;=Hypothèses!$V$13,Hypothèses!$X$13,IF(BG72&lt;=Hypothèses!$V$14,Hypothèses!$X$14,IF(BG72&lt;=Hypothèses!$V$15,Hypothèses!$X$15,IF(BG72&lt;=Hypothèses!$V$16,Hypothèses!$X$16,IF(BG72&lt;=Hypothèses!$U$17,Hypothèses!$W$17,IF(BG72&lt;=Hypothèses!$U$18,Hypothèses!$W$18,""))))))))))))</f>
        <v>#DIV/0!</v>
      </c>
      <c r="CD72" s="95" t="e">
        <f t="shared" ca="1" si="81"/>
        <v>#DIV/0!</v>
      </c>
      <c r="CE72" s="101">
        <f t="shared" si="126"/>
        <v>0</v>
      </c>
      <c r="CF72" s="91">
        <f t="shared" si="34"/>
        <v>0</v>
      </c>
      <c r="CG72" s="30" t="e">
        <f t="shared" si="106"/>
        <v>#N/A</v>
      </c>
      <c r="CH72" s="30" t="e">
        <f t="shared" si="107"/>
        <v>#N/A</v>
      </c>
      <c r="CI72" s="31" t="e">
        <f>IF(OR(Hypothèses!$B$4=17,Hypothèses!$B$4=18,Hypothèses!$B$4=19,Hypothèses!$B$4=20),
IF($D72="Pressio.",
IF(OR($E72=3,$E72=1,$E72=4),CH72,CG72),
IF($D72="Pénétro.",
IF(OR($E72=3,$E72=1,$E72=4),CH72,CG72))),IF($D72="Pressio.",
IF($E72=3,CH72,CG72),
IF($D72="Pénétro.",
IF($E72=4,CH72,CG72))))</f>
        <v>#N/A</v>
      </c>
      <c r="CJ72" s="31">
        <v>0</v>
      </c>
      <c r="CK72" s="102" t="e">
        <f>IF(NDC!$H$10="Oui",(VLOOKUP($B$3,'Coeff EC7'!$T$39:$X$59,2,0)*CI72+VLOOKUP($B$3,'Coeff EC7'!$T$65:$X$85,2,0)*Model0.1T!CJ72)/1.5,PI()*CG$12*$Q72*($B72-$B71)*0.15/10+CK71)</f>
        <v>#N/A</v>
      </c>
      <c r="CL72" s="102" t="e">
        <f>(VLOOKUP($B$3,'Coeff EC7'!$T$39:$X$59,3,0)*CI72+VLOOKUP($B$3,'Coeff EC7'!$T$65:$X$85,3,0)*Model0.1T!CJ72)/1.1</f>
        <v>#N/A</v>
      </c>
      <c r="CM72" s="102" t="e">
        <f t="shared" si="82"/>
        <v>#N/A</v>
      </c>
      <c r="CN72" s="102" t="e">
        <f t="shared" si="83"/>
        <v>#N/A</v>
      </c>
      <c r="CO72" s="414" t="e">
        <f>IF(AND(CK72&gt;NDC!$C$63,CL72&gt;NDC!$C$65,CM72&gt;NDC!$D$73,CN72&gt;NDC!$D$74,$B72&gt;NDC!$H$22-0.1+MIN(3*CO$12,1.5)),0,1)</f>
        <v>#N/A</v>
      </c>
      <c r="CP72" s="86" t="b">
        <f t="shared" si="37"/>
        <v>0</v>
      </c>
      <c r="CQ72" s="86">
        <f t="shared" si="38"/>
        <v>0.5</v>
      </c>
      <c r="CR72" s="86">
        <f t="shared" si="39"/>
        <v>0.5</v>
      </c>
      <c r="CS72" s="30" t="e">
        <f t="shared" ca="1" si="84"/>
        <v>#DIV/0!</v>
      </c>
      <c r="CT72" s="85" t="e">
        <f ca="1">IF(BZ72&lt;=Hypothèses!$V$7,Hypothèses!$W$7,IF(BZ72&lt;=Hypothèses!$V$8,Hypothèses!$W$8,IF(BZ72&lt;=Hypothèses!$V$9,Hypothèses!$W$9,IF(BZ72&lt;=Hypothèses!$V$10,Hypothèses!$W$10,IF(BZ72&lt;=Hypothèses!$V$11,Hypothèses!$W$11,IF(BZ72&lt;=Hypothèses!$V$12,Hypothèses!$W$12,IF(BZ72&lt;=Hypothèses!$V$13,Hypothèses!$W$13,IF(BZ72&lt;=Hypothèses!$V$14,Hypothèses!$W$14,IF(BZ72&lt;=Hypothèses!$V$15,Hypothèses!$W$15,IF(BZ72&lt;=Hypothèses!$V$16,Hypothèses!$W$16,IF(BZ72&lt;=Hypothèses!$V$17,Hypothèses!$W$17,IF(BZ72&lt;=Hypothèses!$V$18,Hypothèses!$W$18,""))))))))))))</f>
        <v>#DIV/0!</v>
      </c>
      <c r="CU72" s="87" t="e">
        <f t="shared" ca="1" si="120"/>
        <v>#DIV/0!</v>
      </c>
      <c r="CV72" s="88" t="e">
        <f ca="1">IF(BZ72&lt;=Hypothèses!$V$7,Hypothèses!$X$7,IF(BZ72&lt;=Hypothèses!$V$8,Hypothèses!$X$8,IF(BZ72&lt;=Hypothèses!$V$9,Hypothèses!$X$9,IF(BZ72&lt;=Hypothèses!$V$10,Hypothèses!$X$10,IF(BZ72&lt;=Hypothèses!$V$11,Hypothèses!$X$11,IF(BZ72&lt;=Hypothèses!$V$12,Hypothèses!$X$12,IF(BZ72&lt;=Hypothèses!$V$13,Hypothèses!$X$13,IF(BZ72&lt;=Hypothèses!$V$14,Hypothèses!$X$14,IF(BZ72&lt;=Hypothèses!$V$15,Hypothèses!$X$15,IF(BZ72&lt;=Hypothèses!$V$16,Hypothèses!$X$16,IF(BZ72&lt;=Hypothèses!$U$17,Hypothèses!$W$17,IF(BZ72&lt;=Hypothèses!$U$18,Hypothèses!$W$18,""))))))))))))</f>
        <v>#DIV/0!</v>
      </c>
      <c r="CW72" s="95" t="e">
        <f t="shared" ca="1" si="85"/>
        <v>#DIV/0!</v>
      </c>
      <c r="CX72" s="101">
        <f t="shared" si="127"/>
        <v>0</v>
      </c>
      <c r="CY72" s="91">
        <f t="shared" si="41"/>
        <v>0</v>
      </c>
      <c r="CZ72" s="30" t="e">
        <f t="shared" si="108"/>
        <v>#N/A</v>
      </c>
      <c r="DA72" s="30" t="e">
        <f t="shared" si="109"/>
        <v>#N/A</v>
      </c>
      <c r="DB72" s="31" t="e">
        <f>IF(OR(Hypothèses!$B$4=17,Hypothèses!$B$4=18,Hypothèses!$B$4=19,Hypothèses!$B$4=20),
IF($D72="Pressio.",
IF(OR($E72=3,$E72=1,$E72=4),DA72,CZ72),
IF($D72="Pénétro.",
IF(OR($E72=3,$E72=1,$E72=4),DA72,CZ72))),IF($D72="Pressio.",
IF($E72=3,DA72,CZ72),
IF($D72="Pénétro.",
IF($E72=4,DA72,CZ72))))</f>
        <v>#N/A</v>
      </c>
      <c r="DC72" s="31">
        <v>0</v>
      </c>
      <c r="DD72" s="102" t="e">
        <f>IF(NDC!$H$10="Oui",(VLOOKUP($B$3,'Coeff EC7'!$T$39:$X$59,2,0)*DB72+VLOOKUP($B$3,'Coeff EC7'!$T$65:$X$85,2,0)*Model0.1T!DC72)/1.5,PI()*CZ$12*$Q72*($B72-$B71)*0.15/10+DD71)</f>
        <v>#N/A</v>
      </c>
      <c r="DE72" s="102" t="e">
        <f>(VLOOKUP($B$3,'Coeff EC7'!$T$39:$X$59,3,0)*DB72+VLOOKUP($B$3,'Coeff EC7'!$T$65:$X$85,3,0)*Model0.1T!DC72)/1.1</f>
        <v>#N/A</v>
      </c>
      <c r="DF72" s="102" t="e">
        <f t="shared" si="86"/>
        <v>#N/A</v>
      </c>
      <c r="DG72" s="102" t="e">
        <f t="shared" si="87"/>
        <v>#N/A</v>
      </c>
      <c r="DH72" s="414" t="e">
        <f>IF(AND(DD72&gt;NDC!$C$63,DE72&gt;NDC!$C$65,DF72&gt;NDC!$D$73,DG72&gt;NDC!$D$74,$B72&gt;NDC!$H$22-0.1+MIN(3*DH$12,1.5)),0,1)</f>
        <v>#N/A</v>
      </c>
      <c r="DI72" s="86" t="b">
        <f t="shared" si="44"/>
        <v>0</v>
      </c>
      <c r="DJ72" s="86">
        <f t="shared" si="45"/>
        <v>0.5</v>
      </c>
      <c r="DK72" s="86">
        <f t="shared" si="46"/>
        <v>0.5</v>
      </c>
      <c r="DL72" s="30" t="e">
        <f t="shared" ca="1" si="88"/>
        <v>#DIV/0!</v>
      </c>
      <c r="DM72" s="85" t="e">
        <f ca="1">IF(CS72&lt;=Hypothèses!$V$7,Hypothèses!$W$7,IF(CS72&lt;=Hypothèses!$V$8,Hypothèses!$W$8,IF(CS72&lt;=Hypothèses!$V$9,Hypothèses!$W$9,IF(CS72&lt;=Hypothèses!$V$10,Hypothèses!$W$10,IF(CS72&lt;=Hypothèses!$V$11,Hypothèses!$W$11,IF(CS72&lt;=Hypothèses!$V$12,Hypothèses!$W$12,IF(CS72&lt;=Hypothèses!$V$13,Hypothèses!$W$13,IF(CS72&lt;=Hypothèses!$V$14,Hypothèses!$W$14,IF(CS72&lt;=Hypothèses!$V$15,Hypothèses!$W$15,IF(CS72&lt;=Hypothèses!$V$16,Hypothèses!$W$16,IF(CS72&lt;=Hypothèses!$V$17,Hypothèses!$W$17,IF(CS72&lt;=Hypothèses!$V$18,Hypothèses!$W$18,""))))))))))))</f>
        <v>#DIV/0!</v>
      </c>
      <c r="DN72" s="87" t="e">
        <f t="shared" ca="1" si="121"/>
        <v>#DIV/0!</v>
      </c>
      <c r="DO72" s="88" t="e">
        <f ca="1">IF(CS72&lt;=Hypothèses!$V$7,Hypothèses!$X$7,IF(CS72&lt;=Hypothèses!$V$8,Hypothèses!$X$8,IF(CS72&lt;=Hypothèses!$V$9,Hypothèses!$X$9,IF(CS72&lt;=Hypothèses!$V$10,Hypothèses!$X$10,IF(CS72&lt;=Hypothèses!$V$11,Hypothèses!$X$11,IF(CS72&lt;=Hypothèses!$V$12,Hypothèses!$X$12,IF(CS72&lt;=Hypothèses!$V$13,Hypothèses!$X$13,IF(CS72&lt;=Hypothèses!$V$14,Hypothèses!$X$14,IF(CS72&lt;=Hypothèses!$V$15,Hypothèses!$X$15,IF(CS72&lt;=Hypothèses!$V$16,Hypothèses!$X$16,IF(CS72&lt;=Hypothèses!$U$17,Hypothèses!$W$17,IF(CS72&lt;=Hypothèses!$U$18,Hypothèses!$W$18,""))))))))))))</f>
        <v>#DIV/0!</v>
      </c>
      <c r="DP72" s="95" t="e">
        <f t="shared" ca="1" si="89"/>
        <v>#DIV/0!</v>
      </c>
      <c r="DQ72" s="101">
        <f t="shared" si="128"/>
        <v>0</v>
      </c>
      <c r="DR72" s="91">
        <f t="shared" si="48"/>
        <v>0</v>
      </c>
      <c r="DS72" s="30" t="e">
        <f t="shared" si="110"/>
        <v>#N/A</v>
      </c>
      <c r="DT72" s="30" t="e">
        <f t="shared" si="111"/>
        <v>#N/A</v>
      </c>
      <c r="DU72" s="31" t="e">
        <f>IF(OR(Hypothèses!$B$4=17,Hypothèses!$B$4=18,Hypothèses!$B$4=19,Hypothèses!$B$4=20),
IF($D72="Pressio.",
IF(OR($E72=3,$E72=1,$E72=4),DT72,DS72),
IF($D72="Pénétro.",
IF(OR($E72=3,$E72=1,$E72=4),DT72,DS72))),IF($D72="Pressio.",
IF($E72=3,DT72,DS72),
IF($D72="Pénétro.",
IF($E72=4,DT72,DS72))))</f>
        <v>#N/A</v>
      </c>
      <c r="DV72" s="31">
        <v>0</v>
      </c>
      <c r="DW72" s="102" t="e">
        <f>IF(NDC!$H$10="Oui",(VLOOKUP($B$3,'Coeff EC7'!$T$39:$X$59,2,0)*DU72+VLOOKUP($B$3,'Coeff EC7'!$T$65:$X$85,2,0)*Model0.1T!DV72)/1.5,PI()*DS$12*$Q72*($B72-$B71)*0.15/10+DW71)</f>
        <v>#N/A</v>
      </c>
      <c r="DX72" s="102" t="e">
        <f>(VLOOKUP($B$3,'Coeff EC7'!$T$39:$X$59,3,0)*DU72+VLOOKUP($B$3,'Coeff EC7'!$T$65:$X$85,3,0)*Model0.1T!DV72)/1.1</f>
        <v>#N/A</v>
      </c>
      <c r="DY72" s="102" t="e">
        <f t="shared" si="90"/>
        <v>#N/A</v>
      </c>
      <c r="DZ72" s="102" t="e">
        <f t="shared" si="91"/>
        <v>#N/A</v>
      </c>
      <c r="EA72" s="414" t="e">
        <f>IF(AND(DW72&gt;NDC!$C$63,DX72&gt;NDC!$C$65,DY72&gt;NDC!$D$73,DZ72&gt;NDC!$D$74,$B72&gt;NDC!$H$22-0.1+MIN(3*EA$12,1.5)),0,1)</f>
        <v>#N/A</v>
      </c>
      <c r="EB72" s="86" t="b">
        <f t="shared" si="51"/>
        <v>0</v>
      </c>
      <c r="EC72" s="418">
        <f t="shared" si="52"/>
        <v>0.51</v>
      </c>
      <c r="ED72" s="86">
        <f t="shared" si="53"/>
        <v>0.51</v>
      </c>
      <c r="EE72" s="30" t="e">
        <f t="shared" ca="1" si="92"/>
        <v>#DIV/0!</v>
      </c>
      <c r="EF72" s="85" t="e">
        <f ca="1">IF(DL72&lt;=Hypothèses!$V$7,Hypothèses!$W$7,IF(DL72&lt;=Hypothèses!$V$8,Hypothèses!$W$8,IF(DL72&lt;=Hypothèses!$V$9,Hypothèses!$W$9,IF(DL72&lt;=Hypothèses!$V$10,Hypothèses!$W$10,IF(DL72&lt;=Hypothèses!$V$11,Hypothèses!$W$11,IF(DL72&lt;=Hypothèses!$V$12,Hypothèses!$W$12,IF(DL72&lt;=Hypothèses!$V$13,Hypothèses!$W$13,IF(DL72&lt;=Hypothèses!$V$14,Hypothèses!$W$14,IF(DL72&lt;=Hypothèses!$V$15,Hypothèses!$W$15,IF(DL72&lt;=Hypothèses!$V$16,Hypothèses!$W$16,IF(DL72&lt;=Hypothèses!$V$17,Hypothèses!$W$17,IF(DL72&lt;=Hypothèses!$V$18,Hypothèses!$W$18,""))))))))))))</f>
        <v>#DIV/0!</v>
      </c>
      <c r="EG72" s="87" t="e">
        <f t="shared" ca="1" si="122"/>
        <v>#DIV/0!</v>
      </c>
      <c r="EH72" s="88" t="e">
        <f ca="1">IF(DL72&lt;=Hypothèses!$V$7,Hypothèses!$X$7,IF(DL72&lt;=Hypothèses!$V$8,Hypothèses!$X$8,IF(DL72&lt;=Hypothèses!$V$9,Hypothèses!$X$9,IF(DL72&lt;=Hypothèses!$V$10,Hypothèses!$X$10,IF(DL72&lt;=Hypothèses!$V$11,Hypothèses!$X$11,IF(DL72&lt;=Hypothèses!$V$12,Hypothèses!$X$12,IF(DL72&lt;=Hypothèses!$V$13,Hypothèses!$X$13,IF(DL72&lt;=Hypothèses!$V$14,Hypothèses!$X$14,IF(DL72&lt;=Hypothèses!$V$15,Hypothèses!$X$15,IF(DL72&lt;=Hypothèses!$V$16,Hypothèses!$X$16,IF(DL72&lt;=Hypothèses!$U$17,Hypothèses!$W$17,IF(DL72&lt;=Hypothèses!$U$18,Hypothèses!$W$18,""))))))))))))</f>
        <v>#DIV/0!</v>
      </c>
      <c r="EI72" s="95" t="e">
        <f t="shared" ca="1" si="93"/>
        <v>#DIV/0!</v>
      </c>
      <c r="EJ72" s="101">
        <f t="shared" si="129"/>
        <v>0</v>
      </c>
      <c r="EK72" s="91">
        <f t="shared" si="55"/>
        <v>0</v>
      </c>
      <c r="EL72" s="30" t="e">
        <f t="shared" si="112"/>
        <v>#N/A</v>
      </c>
      <c r="EM72" s="30" t="e">
        <f t="shared" si="113"/>
        <v>#N/A</v>
      </c>
      <c r="EN72" s="31" t="e">
        <f>IF(OR(Hypothèses!$B$4=17,Hypothèses!$B$4=18,Hypothèses!$B$4=19,Hypothèses!$B$4=20),
IF($D72="Pressio.",
IF(OR($E72=3,$E72=1,$E72=4),EM72,EL72),
IF($D72="Pénétro.",
IF(OR($E72=3,$E72=1,$E72=4),EM72,EL72))),IF($D72="Pressio.",
IF($E72=3,EM72,EL72),
IF($D72="Pénétro.",
IF($E72=4,EM72,EL72))))</f>
        <v>#N/A</v>
      </c>
      <c r="EO72" s="31">
        <v>0</v>
      </c>
      <c r="EP72" s="102" t="e">
        <f>IF(NDC!$H$10="Oui",(VLOOKUP($B$3,'Coeff EC7'!$T$39:$X$59,2,0)*EN72+VLOOKUP($B$3,'Coeff EC7'!$T$65:$X$85,2,0)*Model0.1T!EO72)/1.5,PI()*EL$12*$Q72*($B72-$B71)*0.15/10+EP71)</f>
        <v>#N/A</v>
      </c>
      <c r="EQ72" s="102" t="e">
        <f>(VLOOKUP($B$3,'Coeff EC7'!$T$39:$X$59,3,0)*EN72+VLOOKUP($B$3,'Coeff EC7'!$T$65:$X$85,3,0)*Model0.1T!EO72)/1.1</f>
        <v>#N/A</v>
      </c>
      <c r="ER72" s="102" t="e">
        <f t="shared" si="94"/>
        <v>#N/A</v>
      </c>
      <c r="ES72" s="102" t="e">
        <f t="shared" si="95"/>
        <v>#N/A</v>
      </c>
      <c r="ET72" s="414" t="e">
        <f>IF(AND(EP72&gt;NDC!$C$63,EQ72&gt;NDC!$C$65,ER72&gt;NDC!$D$73,ES72&gt;NDC!$D$74,$B72&gt;NDC!$H$22-0.1+MIN(3*ET$12,1.5)),0,1)</f>
        <v>#N/A</v>
      </c>
      <c r="EU72" s="86" t="b">
        <f t="shared" si="58"/>
        <v>0</v>
      </c>
      <c r="EV72" s="86">
        <f t="shared" si="59"/>
        <v>0.61</v>
      </c>
      <c r="EW72" s="86">
        <f t="shared" si="60"/>
        <v>0.61</v>
      </c>
      <c r="EX72" s="30" t="e">
        <f t="shared" ca="1" si="96"/>
        <v>#DIV/0!</v>
      </c>
      <c r="EY72" s="85" t="e">
        <f ca="1">IF(EE72&lt;=Hypothèses!$V$7,Hypothèses!$W$7,IF(EE72&lt;=Hypothèses!$V$8,Hypothèses!$W$8,IF(EE72&lt;=Hypothèses!$V$9,Hypothèses!$W$9,IF(EE72&lt;=Hypothèses!$V$10,Hypothèses!$W$10,IF(EE72&lt;=Hypothèses!$V$11,Hypothèses!$W$11,IF(EE72&lt;=Hypothèses!$V$12,Hypothèses!$W$12,IF(EE72&lt;=Hypothèses!$V$13,Hypothèses!$W$13,IF(EE72&lt;=Hypothèses!$V$14,Hypothèses!$W$14,IF(EE72&lt;=Hypothèses!$V$15,Hypothèses!$W$15,IF(EE72&lt;=Hypothèses!$V$16,Hypothèses!$W$16,IF(EE72&lt;=Hypothèses!$V$17,Hypothèses!$W$17,IF(EE72&lt;=Hypothèses!$V$18,Hypothèses!$W$18,""))))))))))))</f>
        <v>#DIV/0!</v>
      </c>
      <c r="EZ72" s="87" t="e">
        <f t="shared" ca="1" si="123"/>
        <v>#DIV/0!</v>
      </c>
      <c r="FA72" s="88" t="e">
        <f ca="1">IF(EE72&lt;=Hypothèses!$V$7,Hypothèses!$X$7,IF(EE72&lt;=Hypothèses!$V$8,Hypothèses!$X$8,IF(EE72&lt;=Hypothèses!$V$9,Hypothèses!$X$9,IF(EE72&lt;=Hypothèses!$V$10,Hypothèses!$X$10,IF(EE72&lt;=Hypothèses!$V$11,Hypothèses!$X$11,IF(EE72&lt;=Hypothèses!$V$12,Hypothèses!$X$12,IF(EE72&lt;=Hypothèses!$V$13,Hypothèses!$X$13,IF(EE72&lt;=Hypothèses!$V$14,Hypothèses!$X$14,IF(EE72&lt;=Hypothèses!$V$15,Hypothèses!$X$15,IF(EE72&lt;=Hypothèses!$V$16,Hypothèses!$X$16,IF(EE72&lt;=Hypothèses!$U$17,Hypothèses!$W$17,IF(EE72&lt;=Hypothèses!$U$18,Hypothèses!$W$18,""))))))))))))</f>
        <v>#DIV/0!</v>
      </c>
      <c r="FB72" s="95" t="e">
        <f t="shared" ca="1" si="97"/>
        <v>#DIV/0!</v>
      </c>
      <c r="FC72" s="101">
        <f t="shared" si="130"/>
        <v>0</v>
      </c>
      <c r="FD72" s="91">
        <f t="shared" si="62"/>
        <v>0</v>
      </c>
      <c r="FE72" s="30" t="e">
        <f t="shared" si="114"/>
        <v>#N/A</v>
      </c>
      <c r="FF72" s="30" t="e">
        <f t="shared" si="115"/>
        <v>#N/A</v>
      </c>
      <c r="FG72" s="31" t="e">
        <f>IF(OR(Hypothèses!$B$4=17,Hypothèses!$B$4=18,Hypothèses!$B$4=19,Hypothèses!$B$4=20),
IF($D72="Pressio.",
IF(OR($E72=3,$E72=1,$E72=4),FF72,FE72),
IF($D72="Pénétro.",
IF(OR($E72=3,$E72=1,$E72=4),FF72,FE72))),IF($D72="Pressio.",
IF($E72=3,FF72,FE72),
IF($D72="Pénétro.",
IF($E72=4,FF72,FE72))))</f>
        <v>#N/A</v>
      </c>
      <c r="FH72" s="31">
        <v>0</v>
      </c>
      <c r="FI72" s="102" t="e">
        <f>IF(NDC!$H$10="Oui",(VLOOKUP($B$3,'Coeff EC7'!$T$39:$X$59,2,0)*FG72+VLOOKUP($B$3,'Coeff EC7'!$T$65:$X$85,2,0)*Model0.1T!FH72)/1.5,PI()*FE$12*$Q72*($B72-$B71)*0.15/10+FI71)</f>
        <v>#N/A</v>
      </c>
      <c r="FJ72" s="102" t="e">
        <f>(VLOOKUP($B$3,'Coeff EC7'!$T$39:$X$59,3,0)*FG72+VLOOKUP($B$3,'Coeff EC7'!$T$65:$X$85,3,0)*Model0.1T!FH72)/1.1</f>
        <v>#N/A</v>
      </c>
      <c r="FK72" s="102" t="e">
        <f t="shared" si="98"/>
        <v>#N/A</v>
      </c>
      <c r="FL72" s="102" t="e">
        <f t="shared" si="99"/>
        <v>#N/A</v>
      </c>
      <c r="FM72" s="414" t="e">
        <f>IF(AND(FI72&gt;NDC!$C$63,FJ72&gt;NDC!$C$65,FK72&gt;NDC!$D$73,FL72&gt;NDC!$D$74,$B72&gt;NDC!$H$22-0.1+MIN(3*FM$12,1.5)),0,1)</f>
        <v>#N/A</v>
      </c>
    </row>
    <row r="73" spans="1:169">
      <c r="A73" s="96">
        <f t="shared" si="65"/>
        <v>94.000000000000341</v>
      </c>
      <c r="B73" s="97">
        <v>6</v>
      </c>
      <c r="C73" s="81">
        <f>IF(B73&lt;=Hypothèses!$C$7,Hypothèses!$A$7,IF(B73&lt;=Hypothèses!$C$8,Hypothèses!$A$8,IF(B73&lt;=Hypothèses!$C$9,Hypothèses!$A$9,IF(B73&lt;=Hypothèses!$C$10,Hypothèses!$A$10,IF(B73&lt;=Hypothèses!$C$11,Hypothèses!$A$11,IF(B73&lt;=Hypothèses!$C$12,Hypothèses!$A$12,IF(B73&lt;=Hypothèses!$C$13,Hypothèses!$A$13,IF(B73&lt;=Hypothèses!$C$14,Hypothèses!$A$14,IF(B73&lt;=Hypothèses!$C$15,Hypothèses!$A$15,IF(B73&lt;=Hypothèses!$C$16,Hypothèses!$A$16,IF(B73&lt;=Hypothèses!$C$17,Hypothèses!$A$17,IF(B73&lt;=Hypothèses!$C$18,Hypothèses!$A$18,C72))))))))))))</f>
        <v>11</v>
      </c>
      <c r="D73" s="82" t="str">
        <f>IF(B73&lt;=Hypothèses!$C$7,Hypothèses!$R$7,IF(B73&lt;=Hypothèses!$C$8,Hypothèses!$R$8,IF(B73&lt;=Hypothèses!$C$9,Hypothèses!$R$9,IF(B73&lt;=Hypothèses!$C$10,Hypothèses!$R$10,IF(B73&lt;=Hypothèses!$C$11,Hypothèses!$R$11,IF(B73&lt;=Hypothèses!$C$12,Hypothèses!$R$12,IF(B73&lt;=Hypothèses!$C$13,Hypothèses!$R$13,IF(B73&lt;=Hypothèses!$C$14,Hypothèses!$R$14,IF(B73&lt;=Hypothèses!$C$15,Hypothèses!$R$15,IF(B73&lt;=Hypothèses!$C$16,Hypothèses!$R$16,IF(B73&lt;=Hypothèses!$C$17,Hypothèses!$R$17,IF(B73&lt;=Hypothèses!$C$18,Hypothèses!$R$18,D72))))))))))))</f>
        <v>Pressio.</v>
      </c>
      <c r="E73" s="82" t="e">
        <f>IF(B73&lt;=Hypothèses!$C$7,Hypothèses!$G$7,IF(B73&lt;=Hypothèses!$C$8,Hypothèses!$G$8,IF(B73&lt;=Hypothèses!$C$9,Hypothèses!$G$9,IF(B73&lt;=Hypothèses!$C$10,Hypothèses!$G$10,IF(B73&lt;=Hypothèses!$C$11,Hypothèses!$G$11,IF(B73&lt;=Hypothèses!$C$12,Hypothèses!$G$12,IF(B73&lt;=Hypothèses!$C$13,Hypothèses!$G$13,IF(B73&lt;=Hypothèses!$C$14,Hypothèses!$G$14,IF(B73&lt;=Hypothèses!$C$15,Hypothèses!$G$15,IF(B73&lt;=Hypothèses!$C$16,Hypothèses!$G$16,IF(B73&lt;=Hypothèses!$C$17,Hypothèses!$G$17,IF(B73&lt;=Hypothèses!$C$18,Hypothèses!$G$18,E72))))))))))))</f>
        <v>#N/A</v>
      </c>
      <c r="F73" s="82" t="str">
        <f>IF(B73&lt;=Hypothèses!$C$7,Hypothèses!$F$7,IF(B73&lt;=Hypothèses!$C$8,Hypothèses!$F$8,IF(B73&lt;=Hypothèses!$C$9,Hypothèses!$F$9,IF(B73&lt;=Hypothèses!$C$10,Hypothèses!$F$10,IF(B73&lt;=Hypothèses!$C$11,Hypothèses!$F$11,IF(B73&lt;=Hypothèses!$C$12,Hypothèses!$F$12,IF(B73&lt;=Hypothèses!$C$13,Hypothèses!$F$13,IF(B73&lt;=Hypothèses!$C$14,Hypothèses!$F$14,IF(B73&lt;=Hypothèses!$C$15,Hypothèses!$F$15,IF(B73&lt;=Hypothèses!$C$16,Hypothèses!$F$16,IF(B73&lt;=Hypothèses!$C$17,Hypothèses!$F$17,IF(B73&lt;=Hypothèses!$C$18,Hypothèses!$F$18,F72))))))))))))</f>
        <v/>
      </c>
      <c r="G73" s="91">
        <f t="array" ref="G73">INDEX('Coeff EC7'!$U$7:$X$27,
MATCH(Model0.1T!$B$3,'Coeff EC7'!$T$7:$T$27,0),
MATCH(Model0.1T!$D73&amp;Model0.1T!$B$4,
'Coeff EC7'!$U$6:$X$6&amp;
'Coeff EC7'!$U$5:$X$5,0))</f>
        <v>1.4</v>
      </c>
      <c r="H73" s="91">
        <f t="array" ref="H73">INDEX('Coeff EC7'!$Y$7:$AB$27,
MATCH(Model0.1T!$B$3,'Coeff EC7'!$T$7:$T$27,0),
MATCH(Model0.1T!$D73&amp;Model0.1T!$B$4,
'Coeff EC7'!$Y$6:$AB$6&amp;
'Coeff EC7'!$Y$5:$AB$5,0))</f>
        <v>1.7</v>
      </c>
      <c r="I73" s="83">
        <v>0</v>
      </c>
      <c r="J73" s="91" t="e">
        <f t="array" ref="J73">INDEX('Coeff EC7'!$D$33:$Q$33,1,MATCH(D73&amp;E73,'Coeff EC7'!$D$31:$Q$31&amp;'Coeff EC7'!$D$32:$Q$32,0))</f>
        <v>#N/A</v>
      </c>
      <c r="K73" s="91" t="e">
        <f t="array" ref="K73">INDEX('Coeff EC7'!$D$34:$Q$34,1,MATCH(D73&amp;E73,'Coeff EC7'!$D$31:$Q$31&amp;'Coeff EC7'!$D$32:$Q$32,0))</f>
        <v>#N/A</v>
      </c>
      <c r="L73" s="91" t="e">
        <f t="array" ref="L73">INDEX('Coeff EC7'!$D$35:$Q$35,1,MATCH(D73&amp;E73,'Coeff EC7'!$D$31:$Q$31&amp;'Coeff EC7'!$D$32:$Q$32,0))</f>
        <v>#N/A</v>
      </c>
      <c r="M73" s="98" t="e">
        <f t="shared" si="8"/>
        <v>#N/A</v>
      </c>
      <c r="N73" s="99" t="e">
        <f t="array" ref="N73">INDEX('Coeff EC7'!$D$7:$Q$27,MATCH($B$3,'Coeff EC7'!$C$7:$C$27,0),MATCH(D73&amp;E73,'Coeff EC7'!$D$5:$Q$5&amp;'Coeff EC7'!$D$6:$Q$6,0))</f>
        <v>#N/A</v>
      </c>
      <c r="O73" s="99" t="e">
        <f t="array" ref="O73">INDEX('Coeff EC7'!$D$41:$Q$61,MATCH($B$3,'Coeff EC7'!$C$41:$C$61,0),MATCH(D73&amp;E73,'Coeff EC7'!$D$39:$Q$39&amp;'Coeff EC7'!$D$40:$Q$40,0))</f>
        <v>#N/A</v>
      </c>
      <c r="P73" s="30" t="e">
        <f t="shared" si="66"/>
        <v>#N/A</v>
      </c>
      <c r="Q73" s="100" t="e">
        <f t="shared" si="10"/>
        <v>#N/A</v>
      </c>
      <c r="R73" s="86" t="b">
        <f t="shared" si="11"/>
        <v>0</v>
      </c>
      <c r="S73" s="86">
        <f t="shared" si="9"/>
        <v>0.5</v>
      </c>
      <c r="T73" s="86">
        <f t="shared" si="12"/>
        <v>0.5</v>
      </c>
      <c r="U73" s="30" t="e">
        <f t="shared" ca="1" si="67"/>
        <v>#DIV/0!</v>
      </c>
      <c r="V73" s="85" t="str">
        <f>IF(B73&lt;=Hypothèses!$V$7,Hypothèses!$W$7,IF(B73&lt;=Hypothèses!$V$8,Hypothèses!$W$8,IF(B73&lt;=Hypothèses!$V$9,Hypothèses!$W$9,IF(B73&lt;=Hypothèses!$V$10,Hypothèses!$W$10,IF(B73&lt;=Hypothèses!$V$11,Hypothèses!$W$11,IF(B73&lt;=Hypothèses!$V$12,Hypothèses!$W$12,IF(B73&lt;=Hypothèses!$V$13,Hypothèses!$W$13,IF(B73&lt;=Hypothèses!$V$14,Hypothèses!$W$14,IF(B73&lt;=Hypothèses!$V$15,Hypothèses!$W$15,IF(B73&lt;=Hypothèses!$V$16,Hypothèses!$W$16,IF(B73&lt;=Hypothèses!$V$17,Hypothèses!$W$17,IF(B73&lt;=Hypothèses!$V$18,Hypothèses!$W$18,""))))))))))))</f>
        <v/>
      </c>
      <c r="W73" s="87" t="e">
        <f t="shared" ca="1" si="116"/>
        <v>#DIV/0!</v>
      </c>
      <c r="X73" s="88" t="str">
        <f>IF(B73&lt;=Hypothèses!$V$7,Hypothèses!$X$7,IF(B73&lt;=Hypothèses!$V$8,Hypothèses!$X$8,IF(B73&lt;=Hypothèses!$V$9,Hypothèses!$X$9,IF(B73&lt;=Hypothèses!$V$10,Hypothèses!$X$10,IF(B73&lt;=Hypothèses!$V$11,Hypothèses!$X$11,IF(B73&lt;=Hypothèses!$V$12,Hypothèses!$X$12,IF(B73&lt;=Hypothèses!$V$13,Hypothèses!$X$13,IF(B73&lt;=Hypothèses!$V$14,Hypothèses!$X$14,IF(B73&lt;=Hypothèses!$V$15,Hypothèses!$X$15,IF(B73&lt;=Hypothèses!$V$16,Hypothèses!$X$16,IF(B73&lt;=Hypothèses!$U$17,Hypothèses!$W$17,IF(B73&lt;=Hypothèses!$U$18,Hypothèses!$W$18,""))))))))))))</f>
        <v/>
      </c>
      <c r="Y73" s="95" t="e">
        <f t="shared" ca="1" si="13"/>
        <v>#DIV/0!</v>
      </c>
      <c r="Z73" s="101">
        <f t="shared" si="14"/>
        <v>0</v>
      </c>
      <c r="AA73" s="91">
        <f t="shared" si="15"/>
        <v>0</v>
      </c>
      <c r="AB73" s="30" t="e">
        <f t="shared" si="100"/>
        <v>#N/A</v>
      </c>
      <c r="AC73" s="30" t="e">
        <f t="shared" si="101"/>
        <v>#N/A</v>
      </c>
      <c r="AD73" s="31" t="e">
        <f>IF(OR(Hypothèses!$B$4=17,Hypothèses!$B$4=18,Hypothèses!$B$4=19,Hypothèses!$B$4=20),
IF($D73="Pressio.",
IF(OR($E73=3,$E73=1,$E73=4),AC73,AB73),
IF($D73="Pénétro.",
IF(OR($E73=3,$E73=1,$E73=4),AC73,AB73))),IF($D73="Pressio.",
IF($E73=3,AC73,AB73),
IF($D73="Pénétro.",
IF($E73=4,AC73,AB73))))</f>
        <v>#N/A</v>
      </c>
      <c r="AE73" s="31">
        <v>0</v>
      </c>
      <c r="AF73" s="102" t="e">
        <f>IF(NDC!$H$10="Oui",(VLOOKUP($B$3,'Coeff EC7'!$T$39:$X$59,2,0)*AD73+VLOOKUP($B$3,'Coeff EC7'!$T$65:$X$85,2,0)*Model0.1T!AE73)/1.5,PI()*AB$12*$Q73*($B73-$B72)*0.15/10+AF72)</f>
        <v>#N/A</v>
      </c>
      <c r="AG73" s="102" t="e">
        <f>(VLOOKUP($B$3,'Coeff EC7'!$T$39:$X$59,3,0)*AD73+VLOOKUP($B$3,'Coeff EC7'!$T$65:$X$85,3,0)*Model0.1T!AE73)/1.1</f>
        <v>#N/A</v>
      </c>
      <c r="AH73" s="102" t="e">
        <f t="shared" si="68"/>
        <v>#N/A</v>
      </c>
      <c r="AI73" s="102" t="e">
        <f t="shared" si="69"/>
        <v>#N/A</v>
      </c>
      <c r="AJ73" s="414" t="e">
        <f>IF(AND(AF73&gt;NDC!$C$63,AG73&gt;NDC!$C$65,AH73&gt;NDC!$D$73,AI73&gt;NDC!$D$74,$B73&gt;NDC!$H$22-0.1+MIN(3*$AJ$12,1.5)),0,1)</f>
        <v>#N/A</v>
      </c>
      <c r="AK73" s="86" t="b">
        <f t="shared" si="18"/>
        <v>0</v>
      </c>
      <c r="AL73" s="86">
        <f t="shared" si="70"/>
        <v>0.5</v>
      </c>
      <c r="AM73" s="86">
        <f t="shared" si="19"/>
        <v>0.5</v>
      </c>
      <c r="AN73" s="30" t="e">
        <f t="shared" ca="1" si="71"/>
        <v>#DIV/0!</v>
      </c>
      <c r="AO73" s="85" t="e">
        <f ca="1">IF(U73&lt;=Hypothèses!$V$7,Hypothèses!$W$7,IF(U73&lt;=Hypothèses!$V$8,Hypothèses!$W$8,IF(U73&lt;=Hypothèses!$V$9,Hypothèses!$W$9,IF(U73&lt;=Hypothèses!$V$10,Hypothèses!$W$10,IF(U73&lt;=Hypothèses!$V$11,Hypothèses!$W$11,IF(U73&lt;=Hypothèses!$V$12,Hypothèses!$W$12,IF(U73&lt;=Hypothèses!$V$13,Hypothèses!$W$13,IF(U73&lt;=Hypothèses!$V$14,Hypothèses!$W$14,IF(U73&lt;=Hypothèses!$V$15,Hypothèses!$W$15,IF(U73&lt;=Hypothèses!$V$16,Hypothèses!$W$16,IF(U73&lt;=Hypothèses!$V$17,Hypothèses!$W$17,IF(U73&lt;=Hypothèses!$V$18,Hypothèses!$W$18,""))))))))))))</f>
        <v>#DIV/0!</v>
      </c>
      <c r="AP73" s="87" t="e">
        <f t="shared" ca="1" si="117"/>
        <v>#DIV/0!</v>
      </c>
      <c r="AQ73" s="88" t="e">
        <f ca="1">IF(U73&lt;=Hypothèses!$V$7,Hypothèses!$X$7,IF(U73&lt;=Hypothèses!$V$8,Hypothèses!$X$8,IF(U73&lt;=Hypothèses!$V$9,Hypothèses!$X$9,IF(U73&lt;=Hypothèses!$V$10,Hypothèses!$X$10,IF(U73&lt;=Hypothèses!$V$11,Hypothèses!$X$11,IF(U73&lt;=Hypothèses!$V$12,Hypothèses!$X$12,IF(U73&lt;=Hypothèses!$V$13,Hypothèses!$X$13,IF(U73&lt;=Hypothèses!$V$14,Hypothèses!$X$14,IF(U73&lt;=Hypothèses!$V$15,Hypothèses!$X$15,IF(U73&lt;=Hypothèses!$V$16,Hypothèses!$X$16,IF(U73&lt;=Hypothèses!$U$17,Hypothèses!$W$17,IF(U73&lt;=Hypothèses!$U$18,Hypothèses!$W$18,""))))))))))))</f>
        <v>#DIV/0!</v>
      </c>
      <c r="AR73" s="95" t="e">
        <f t="shared" ca="1" si="72"/>
        <v>#DIV/0!</v>
      </c>
      <c r="AS73" s="101">
        <f t="shared" si="124"/>
        <v>0</v>
      </c>
      <c r="AT73" s="91">
        <f t="shared" si="21"/>
        <v>0</v>
      </c>
      <c r="AU73" s="30" t="e">
        <f t="shared" si="102"/>
        <v>#N/A</v>
      </c>
      <c r="AV73" s="30" t="e">
        <f t="shared" si="103"/>
        <v>#N/A</v>
      </c>
      <c r="AW73" s="31" t="e">
        <f>IF(OR(Hypothèses!$B$4=17,Hypothèses!$B$4=18,Hypothèses!$B$4=19,Hypothèses!$B$4=20),
IF($D73="Pressio.",
IF(OR($E73=3,$E73=1,$E73=4),AV73,AU73),
IF($D73="Pénétro.",
IF(OR($E73=3,$E73=1,$E73=4),AV73,AU73))),IF($D73="Pressio.",
IF($E73=3,AV73,AU73),
IF($D73="Pénétro.",
IF($E73=4,AV73,AU73))))</f>
        <v>#N/A</v>
      </c>
      <c r="AX73" s="31">
        <v>0</v>
      </c>
      <c r="AY73" s="102" t="e">
        <f>IF(NDC!$H$10="Oui",(VLOOKUP($B$3,'Coeff EC7'!$T$39:$X$59,2,0)*AW73+VLOOKUP($B$3,'Coeff EC7'!$T$65:$X$85,2,0)*Model0.1T!AX73)/1.5,PI()*AU$12*$Q73*($B73-$B72)*0.15/10+AY72)</f>
        <v>#N/A</v>
      </c>
      <c r="AZ73" s="102" t="e">
        <f>(VLOOKUP($B$3,'Coeff EC7'!$T$39:$X$59,3,0)*AW73+VLOOKUP($B$3,'Coeff EC7'!$T$65:$X$85,3,0)*Model0.1T!AX73)/1.1</f>
        <v>#N/A</v>
      </c>
      <c r="BA73" s="102" t="e">
        <f t="shared" si="73"/>
        <v>#N/A</v>
      </c>
      <c r="BB73" s="102" t="e">
        <f t="shared" si="74"/>
        <v>#N/A</v>
      </c>
      <c r="BC73" s="414" t="e">
        <f>IF(AND(AY73&gt;NDC!$C$63,AZ73&gt;NDC!$C$65,BA73&gt;NDC!$D$73,BB73&gt;NDC!$D$74,$B73&gt;NDC!$H$22-0.1+MIN(3*BC$12,1.5)),0,1)</f>
        <v>#N/A</v>
      </c>
      <c r="BD73" s="86" t="b">
        <f t="shared" si="24"/>
        <v>0</v>
      </c>
      <c r="BE73" s="86">
        <f t="shared" si="75"/>
        <v>0.5</v>
      </c>
      <c r="BF73" s="86">
        <f t="shared" si="25"/>
        <v>0.5</v>
      </c>
      <c r="BG73" s="30" t="e">
        <f t="shared" ca="1" si="76"/>
        <v>#DIV/0!</v>
      </c>
      <c r="BH73" s="85" t="e">
        <f ca="1">IF(AN73&lt;=Hypothèses!$V$7,Hypothèses!$W$7,IF(AN73&lt;=Hypothèses!$V$8,Hypothèses!$W$8,IF(AN73&lt;=Hypothèses!$V$9,Hypothèses!$W$9,IF(AN73&lt;=Hypothèses!$V$10,Hypothèses!$W$10,IF(AN73&lt;=Hypothèses!$V$11,Hypothèses!$W$11,IF(AN73&lt;=Hypothèses!$V$12,Hypothèses!$W$12,IF(AN73&lt;=Hypothèses!$V$13,Hypothèses!$W$13,IF(AN73&lt;=Hypothèses!$V$14,Hypothèses!$W$14,IF(AN73&lt;=Hypothèses!$V$15,Hypothèses!$W$15,IF(AN73&lt;=Hypothèses!$V$16,Hypothèses!$W$16,IF(AN73&lt;=Hypothèses!$V$17,Hypothèses!$W$17,IF(AN73&lt;=Hypothèses!$V$18,Hypothèses!$W$18,""))))))))))))</f>
        <v>#DIV/0!</v>
      </c>
      <c r="BI73" s="87" t="e">
        <f t="shared" ca="1" si="118"/>
        <v>#DIV/0!</v>
      </c>
      <c r="BJ73" s="88" t="e">
        <f ca="1">IF(AN73&lt;=Hypothèses!$V$7,Hypothèses!$X$7,IF(AN73&lt;=Hypothèses!$V$8,Hypothèses!$X$8,IF(AN73&lt;=Hypothèses!$V$9,Hypothèses!$X$9,IF(AN73&lt;=Hypothèses!$V$10,Hypothèses!$X$10,IF(AN73&lt;=Hypothèses!$V$11,Hypothèses!$X$11,IF(AN73&lt;=Hypothèses!$V$12,Hypothèses!$X$12,IF(AN73&lt;=Hypothèses!$V$13,Hypothèses!$X$13,IF(AN73&lt;=Hypothèses!$V$14,Hypothèses!$X$14,IF(AN73&lt;=Hypothèses!$V$15,Hypothèses!$X$15,IF(AN73&lt;=Hypothèses!$V$16,Hypothèses!$X$16,IF(AN73&lt;=Hypothèses!$U$17,Hypothèses!$W$17,IF(AN73&lt;=Hypothèses!$U$18,Hypothèses!$W$18,""))))))))))))</f>
        <v>#DIV/0!</v>
      </c>
      <c r="BK73" s="95" t="e">
        <f t="shared" ca="1" si="77"/>
        <v>#DIV/0!</v>
      </c>
      <c r="BL73" s="101">
        <f t="shared" si="125"/>
        <v>0</v>
      </c>
      <c r="BM73" s="91">
        <f t="shared" si="27"/>
        <v>0</v>
      </c>
      <c r="BN73" s="30" t="e">
        <f t="shared" si="104"/>
        <v>#N/A</v>
      </c>
      <c r="BO73" s="30" t="e">
        <f t="shared" si="105"/>
        <v>#N/A</v>
      </c>
      <c r="BP73" s="31" t="e">
        <f>IF(OR(Hypothèses!$B$4=17,Hypothèses!$B$4=18,Hypothèses!$B$4=19,Hypothèses!$B$4=20),
IF($D73="Pressio.",
IF(OR($E73=3,$E73=1,$E73=4),BO73,BN73),
IF($D73="Pénétro.",
IF(OR($E73=3,$E73=1,$E73=4),BO73,BN73))),IF($D73="Pressio.",
IF($E73=3,BO73,BN73),
IF($D73="Pénétro.",
IF($E73=4,BO73,BN73))))</f>
        <v>#N/A</v>
      </c>
      <c r="BQ73" s="31">
        <v>0</v>
      </c>
      <c r="BR73" s="102" t="e">
        <f>IF(NDC!$H$10="Oui",(VLOOKUP($B$3,'Coeff EC7'!$T$39:$X$59,2,0)*BP73+VLOOKUP($B$3,'Coeff EC7'!$T$65:$X$85,2,0)*Model0.1T!BQ73)/1.5,PI()*BN$12*$Q73*($B73-$B72)*0.15/10+BR72)</f>
        <v>#N/A</v>
      </c>
      <c r="BS73" s="102" t="e">
        <f>(VLOOKUP($B$3,'Coeff EC7'!$T$39:$X$59,3,0)*BP73+VLOOKUP($B$3,'Coeff EC7'!$T$65:$X$85,3,0)*Model0.1T!BQ73)/1.1</f>
        <v>#N/A</v>
      </c>
      <c r="BT73" s="102" t="e">
        <f t="shared" si="78"/>
        <v>#N/A</v>
      </c>
      <c r="BU73" s="102" t="e">
        <f t="shared" si="79"/>
        <v>#N/A</v>
      </c>
      <c r="BV73" s="414" t="e">
        <f>IF(AND(BR73&gt;NDC!$C$63,BS73&gt;NDC!$C$65,BT73&gt;NDC!$D$73,BU73&gt;NDC!$D$74,$B73&gt;NDC!$H$22-0.1+MIN(3*BV$12,1.5)),0,1)</f>
        <v>#N/A</v>
      </c>
      <c r="BW73" s="86" t="b">
        <f t="shared" si="30"/>
        <v>0</v>
      </c>
      <c r="BX73" s="86">
        <f t="shared" si="31"/>
        <v>0.5</v>
      </c>
      <c r="BY73" s="86">
        <f t="shared" si="32"/>
        <v>0.5</v>
      </c>
      <c r="BZ73" s="30" t="e">
        <f t="shared" ca="1" si="80"/>
        <v>#DIV/0!</v>
      </c>
      <c r="CA73" s="85" t="e">
        <f ca="1">IF(BG73&lt;=Hypothèses!$V$7,Hypothèses!$W$7,IF(BG73&lt;=Hypothèses!$V$8,Hypothèses!$W$8,IF(BG73&lt;=Hypothèses!$V$9,Hypothèses!$W$9,IF(BG73&lt;=Hypothèses!$V$10,Hypothèses!$W$10,IF(BG73&lt;=Hypothèses!$V$11,Hypothèses!$W$11,IF(BG73&lt;=Hypothèses!$V$12,Hypothèses!$W$12,IF(BG73&lt;=Hypothèses!$V$13,Hypothèses!$W$13,IF(BG73&lt;=Hypothèses!$V$14,Hypothèses!$W$14,IF(BG73&lt;=Hypothèses!$V$15,Hypothèses!$W$15,IF(BG73&lt;=Hypothèses!$V$16,Hypothèses!$W$16,IF(BG73&lt;=Hypothèses!$V$17,Hypothèses!$W$17,IF(BG73&lt;=Hypothèses!$V$18,Hypothèses!$W$18,""))))))))))))</f>
        <v>#DIV/0!</v>
      </c>
      <c r="CB73" s="87" t="e">
        <f t="shared" ca="1" si="119"/>
        <v>#DIV/0!</v>
      </c>
      <c r="CC73" s="88" t="e">
        <f ca="1">IF(BG73&lt;=Hypothèses!$V$7,Hypothèses!$X$7,IF(BG73&lt;=Hypothèses!$V$8,Hypothèses!$X$8,IF(BG73&lt;=Hypothèses!$V$9,Hypothèses!$X$9,IF(BG73&lt;=Hypothèses!$V$10,Hypothèses!$X$10,IF(BG73&lt;=Hypothèses!$V$11,Hypothèses!$X$11,IF(BG73&lt;=Hypothèses!$V$12,Hypothèses!$X$12,IF(BG73&lt;=Hypothèses!$V$13,Hypothèses!$X$13,IF(BG73&lt;=Hypothèses!$V$14,Hypothèses!$X$14,IF(BG73&lt;=Hypothèses!$V$15,Hypothèses!$X$15,IF(BG73&lt;=Hypothèses!$V$16,Hypothèses!$X$16,IF(BG73&lt;=Hypothèses!$U$17,Hypothèses!$W$17,IF(BG73&lt;=Hypothèses!$U$18,Hypothèses!$W$18,""))))))))))))</f>
        <v>#DIV/0!</v>
      </c>
      <c r="CD73" s="95" t="e">
        <f t="shared" ca="1" si="81"/>
        <v>#DIV/0!</v>
      </c>
      <c r="CE73" s="101">
        <f t="shared" si="126"/>
        <v>0</v>
      </c>
      <c r="CF73" s="91">
        <f t="shared" si="34"/>
        <v>0</v>
      </c>
      <c r="CG73" s="30" t="e">
        <f t="shared" si="106"/>
        <v>#N/A</v>
      </c>
      <c r="CH73" s="30" t="e">
        <f t="shared" si="107"/>
        <v>#N/A</v>
      </c>
      <c r="CI73" s="31" t="e">
        <f>IF(OR(Hypothèses!$B$4=17,Hypothèses!$B$4=18,Hypothèses!$B$4=19,Hypothèses!$B$4=20),
IF($D73="Pressio.",
IF(OR($E73=3,$E73=1,$E73=4),CH73,CG73),
IF($D73="Pénétro.",
IF(OR($E73=3,$E73=1,$E73=4),CH73,CG73))),IF($D73="Pressio.",
IF($E73=3,CH73,CG73),
IF($D73="Pénétro.",
IF($E73=4,CH73,CG73))))</f>
        <v>#N/A</v>
      </c>
      <c r="CJ73" s="31">
        <v>0</v>
      </c>
      <c r="CK73" s="102" t="e">
        <f>IF(NDC!$H$10="Oui",(VLOOKUP($B$3,'Coeff EC7'!$T$39:$X$59,2,0)*CI73+VLOOKUP($B$3,'Coeff EC7'!$T$65:$X$85,2,0)*Model0.1T!CJ73)/1.5,PI()*CG$12*$Q73*($B73-$B72)*0.15/10+CK72)</f>
        <v>#N/A</v>
      </c>
      <c r="CL73" s="102" t="e">
        <f>(VLOOKUP($B$3,'Coeff EC7'!$T$39:$X$59,3,0)*CI73+VLOOKUP($B$3,'Coeff EC7'!$T$65:$X$85,3,0)*Model0.1T!CJ73)/1.1</f>
        <v>#N/A</v>
      </c>
      <c r="CM73" s="102" t="e">
        <f t="shared" si="82"/>
        <v>#N/A</v>
      </c>
      <c r="CN73" s="102" t="e">
        <f t="shared" si="83"/>
        <v>#N/A</v>
      </c>
      <c r="CO73" s="414" t="e">
        <f>IF(AND(CK73&gt;NDC!$C$63,CL73&gt;NDC!$C$65,CM73&gt;NDC!$D$73,CN73&gt;NDC!$D$74,$B73&gt;NDC!$H$22-0.1+MIN(3*CO$12,1.5)),0,1)</f>
        <v>#N/A</v>
      </c>
      <c r="CP73" s="86" t="b">
        <f t="shared" si="37"/>
        <v>0</v>
      </c>
      <c r="CQ73" s="86">
        <f t="shared" si="38"/>
        <v>0.5</v>
      </c>
      <c r="CR73" s="86">
        <f t="shared" si="39"/>
        <v>0.5</v>
      </c>
      <c r="CS73" s="30" t="e">
        <f t="shared" ca="1" si="84"/>
        <v>#DIV/0!</v>
      </c>
      <c r="CT73" s="85" t="e">
        <f ca="1">IF(BZ73&lt;=Hypothèses!$V$7,Hypothèses!$W$7,IF(BZ73&lt;=Hypothèses!$V$8,Hypothèses!$W$8,IF(BZ73&lt;=Hypothèses!$V$9,Hypothèses!$W$9,IF(BZ73&lt;=Hypothèses!$V$10,Hypothèses!$W$10,IF(BZ73&lt;=Hypothèses!$V$11,Hypothèses!$W$11,IF(BZ73&lt;=Hypothèses!$V$12,Hypothèses!$W$12,IF(BZ73&lt;=Hypothèses!$V$13,Hypothèses!$W$13,IF(BZ73&lt;=Hypothèses!$V$14,Hypothèses!$W$14,IF(BZ73&lt;=Hypothèses!$V$15,Hypothèses!$W$15,IF(BZ73&lt;=Hypothèses!$V$16,Hypothèses!$W$16,IF(BZ73&lt;=Hypothèses!$V$17,Hypothèses!$W$17,IF(BZ73&lt;=Hypothèses!$V$18,Hypothèses!$W$18,""))))))))))))</f>
        <v>#DIV/0!</v>
      </c>
      <c r="CU73" s="87" t="e">
        <f t="shared" ca="1" si="120"/>
        <v>#DIV/0!</v>
      </c>
      <c r="CV73" s="88" t="e">
        <f ca="1">IF(BZ73&lt;=Hypothèses!$V$7,Hypothèses!$X$7,IF(BZ73&lt;=Hypothèses!$V$8,Hypothèses!$X$8,IF(BZ73&lt;=Hypothèses!$V$9,Hypothèses!$X$9,IF(BZ73&lt;=Hypothèses!$V$10,Hypothèses!$X$10,IF(BZ73&lt;=Hypothèses!$V$11,Hypothèses!$X$11,IF(BZ73&lt;=Hypothèses!$V$12,Hypothèses!$X$12,IF(BZ73&lt;=Hypothèses!$V$13,Hypothèses!$X$13,IF(BZ73&lt;=Hypothèses!$V$14,Hypothèses!$X$14,IF(BZ73&lt;=Hypothèses!$V$15,Hypothèses!$X$15,IF(BZ73&lt;=Hypothèses!$V$16,Hypothèses!$X$16,IF(BZ73&lt;=Hypothèses!$U$17,Hypothèses!$W$17,IF(BZ73&lt;=Hypothèses!$U$18,Hypothèses!$W$18,""))))))))))))</f>
        <v>#DIV/0!</v>
      </c>
      <c r="CW73" s="95" t="e">
        <f t="shared" ca="1" si="85"/>
        <v>#DIV/0!</v>
      </c>
      <c r="CX73" s="101">
        <f t="shared" si="127"/>
        <v>0</v>
      </c>
      <c r="CY73" s="91">
        <f t="shared" si="41"/>
        <v>0</v>
      </c>
      <c r="CZ73" s="30" t="e">
        <f t="shared" si="108"/>
        <v>#N/A</v>
      </c>
      <c r="DA73" s="30" t="e">
        <f t="shared" si="109"/>
        <v>#N/A</v>
      </c>
      <c r="DB73" s="31" t="e">
        <f>IF(OR(Hypothèses!$B$4=17,Hypothèses!$B$4=18,Hypothèses!$B$4=19,Hypothèses!$B$4=20),
IF($D73="Pressio.",
IF(OR($E73=3,$E73=1,$E73=4),DA73,CZ73),
IF($D73="Pénétro.",
IF(OR($E73=3,$E73=1,$E73=4),DA73,CZ73))),IF($D73="Pressio.",
IF($E73=3,DA73,CZ73),
IF($D73="Pénétro.",
IF($E73=4,DA73,CZ73))))</f>
        <v>#N/A</v>
      </c>
      <c r="DC73" s="31">
        <v>0</v>
      </c>
      <c r="DD73" s="102" t="e">
        <f>IF(NDC!$H$10="Oui",(VLOOKUP($B$3,'Coeff EC7'!$T$39:$X$59,2,0)*DB73+VLOOKUP($B$3,'Coeff EC7'!$T$65:$X$85,2,0)*Model0.1T!DC73)/1.5,PI()*CZ$12*$Q73*($B73-$B72)*0.15/10+DD72)</f>
        <v>#N/A</v>
      </c>
      <c r="DE73" s="102" t="e">
        <f>(VLOOKUP($B$3,'Coeff EC7'!$T$39:$X$59,3,0)*DB73+VLOOKUP($B$3,'Coeff EC7'!$T$65:$X$85,3,0)*Model0.1T!DC73)/1.1</f>
        <v>#N/A</v>
      </c>
      <c r="DF73" s="102" t="e">
        <f t="shared" si="86"/>
        <v>#N/A</v>
      </c>
      <c r="DG73" s="102" t="e">
        <f t="shared" si="87"/>
        <v>#N/A</v>
      </c>
      <c r="DH73" s="414" t="e">
        <f>IF(AND(DD73&gt;NDC!$C$63,DE73&gt;NDC!$C$65,DF73&gt;NDC!$D$73,DG73&gt;NDC!$D$74,$B73&gt;NDC!$H$22-0.1+MIN(3*DH$12,1.5)),0,1)</f>
        <v>#N/A</v>
      </c>
      <c r="DI73" s="86" t="b">
        <f t="shared" si="44"/>
        <v>0</v>
      </c>
      <c r="DJ73" s="86">
        <f t="shared" si="45"/>
        <v>0.5</v>
      </c>
      <c r="DK73" s="86">
        <f t="shared" si="46"/>
        <v>0.5</v>
      </c>
      <c r="DL73" s="30" t="e">
        <f t="shared" ca="1" si="88"/>
        <v>#DIV/0!</v>
      </c>
      <c r="DM73" s="85" t="e">
        <f ca="1">IF(CS73&lt;=Hypothèses!$V$7,Hypothèses!$W$7,IF(CS73&lt;=Hypothèses!$V$8,Hypothèses!$W$8,IF(CS73&lt;=Hypothèses!$V$9,Hypothèses!$W$9,IF(CS73&lt;=Hypothèses!$V$10,Hypothèses!$W$10,IF(CS73&lt;=Hypothèses!$V$11,Hypothèses!$W$11,IF(CS73&lt;=Hypothèses!$V$12,Hypothèses!$W$12,IF(CS73&lt;=Hypothèses!$V$13,Hypothèses!$W$13,IF(CS73&lt;=Hypothèses!$V$14,Hypothèses!$W$14,IF(CS73&lt;=Hypothèses!$V$15,Hypothèses!$W$15,IF(CS73&lt;=Hypothèses!$V$16,Hypothèses!$W$16,IF(CS73&lt;=Hypothèses!$V$17,Hypothèses!$W$17,IF(CS73&lt;=Hypothèses!$V$18,Hypothèses!$W$18,""))))))))))))</f>
        <v>#DIV/0!</v>
      </c>
      <c r="DN73" s="87" t="e">
        <f t="shared" ca="1" si="121"/>
        <v>#DIV/0!</v>
      </c>
      <c r="DO73" s="88" t="e">
        <f ca="1">IF(CS73&lt;=Hypothèses!$V$7,Hypothèses!$X$7,IF(CS73&lt;=Hypothèses!$V$8,Hypothèses!$X$8,IF(CS73&lt;=Hypothèses!$V$9,Hypothèses!$X$9,IF(CS73&lt;=Hypothèses!$V$10,Hypothèses!$X$10,IF(CS73&lt;=Hypothèses!$V$11,Hypothèses!$X$11,IF(CS73&lt;=Hypothèses!$V$12,Hypothèses!$X$12,IF(CS73&lt;=Hypothèses!$V$13,Hypothèses!$X$13,IF(CS73&lt;=Hypothèses!$V$14,Hypothèses!$X$14,IF(CS73&lt;=Hypothèses!$V$15,Hypothèses!$X$15,IF(CS73&lt;=Hypothèses!$V$16,Hypothèses!$X$16,IF(CS73&lt;=Hypothèses!$U$17,Hypothèses!$W$17,IF(CS73&lt;=Hypothèses!$U$18,Hypothèses!$W$18,""))))))))))))</f>
        <v>#DIV/0!</v>
      </c>
      <c r="DP73" s="95" t="e">
        <f t="shared" ca="1" si="89"/>
        <v>#DIV/0!</v>
      </c>
      <c r="DQ73" s="101">
        <f t="shared" si="128"/>
        <v>0</v>
      </c>
      <c r="DR73" s="91">
        <f t="shared" si="48"/>
        <v>0</v>
      </c>
      <c r="DS73" s="30" t="e">
        <f t="shared" si="110"/>
        <v>#N/A</v>
      </c>
      <c r="DT73" s="30" t="e">
        <f t="shared" si="111"/>
        <v>#N/A</v>
      </c>
      <c r="DU73" s="31" t="e">
        <f>IF(OR(Hypothèses!$B$4=17,Hypothèses!$B$4=18,Hypothèses!$B$4=19,Hypothèses!$B$4=20),
IF($D73="Pressio.",
IF(OR($E73=3,$E73=1,$E73=4),DT73,DS73),
IF($D73="Pénétro.",
IF(OR($E73=3,$E73=1,$E73=4),DT73,DS73))),IF($D73="Pressio.",
IF($E73=3,DT73,DS73),
IF($D73="Pénétro.",
IF($E73=4,DT73,DS73))))</f>
        <v>#N/A</v>
      </c>
      <c r="DV73" s="31">
        <v>0</v>
      </c>
      <c r="DW73" s="102" t="e">
        <f>IF(NDC!$H$10="Oui",(VLOOKUP($B$3,'Coeff EC7'!$T$39:$X$59,2,0)*DU73+VLOOKUP($B$3,'Coeff EC7'!$T$65:$X$85,2,0)*Model0.1T!DV73)/1.5,PI()*DS$12*$Q73*($B73-$B72)*0.15/10+DW72)</f>
        <v>#N/A</v>
      </c>
      <c r="DX73" s="102" t="e">
        <f>(VLOOKUP($B$3,'Coeff EC7'!$T$39:$X$59,3,0)*DU73+VLOOKUP($B$3,'Coeff EC7'!$T$65:$X$85,3,0)*Model0.1T!DV73)/1.1</f>
        <v>#N/A</v>
      </c>
      <c r="DY73" s="102" t="e">
        <f t="shared" si="90"/>
        <v>#N/A</v>
      </c>
      <c r="DZ73" s="102" t="e">
        <f t="shared" si="91"/>
        <v>#N/A</v>
      </c>
      <c r="EA73" s="414" t="e">
        <f>IF(AND(DW73&gt;NDC!$C$63,DX73&gt;NDC!$C$65,DY73&gt;NDC!$D$73,DZ73&gt;NDC!$D$74,$B73&gt;NDC!$H$22-0.1+MIN(3*EA$12,1.5)),0,1)</f>
        <v>#N/A</v>
      </c>
      <c r="EB73" s="86" t="b">
        <f t="shared" si="51"/>
        <v>0</v>
      </c>
      <c r="EC73" s="418">
        <f t="shared" si="52"/>
        <v>0.51</v>
      </c>
      <c r="ED73" s="86">
        <f t="shared" si="53"/>
        <v>0.51</v>
      </c>
      <c r="EE73" s="30" t="e">
        <f t="shared" ca="1" si="92"/>
        <v>#DIV/0!</v>
      </c>
      <c r="EF73" s="85" t="e">
        <f ca="1">IF(DL73&lt;=Hypothèses!$V$7,Hypothèses!$W$7,IF(DL73&lt;=Hypothèses!$V$8,Hypothèses!$W$8,IF(DL73&lt;=Hypothèses!$V$9,Hypothèses!$W$9,IF(DL73&lt;=Hypothèses!$V$10,Hypothèses!$W$10,IF(DL73&lt;=Hypothèses!$V$11,Hypothèses!$W$11,IF(DL73&lt;=Hypothèses!$V$12,Hypothèses!$W$12,IF(DL73&lt;=Hypothèses!$V$13,Hypothèses!$W$13,IF(DL73&lt;=Hypothèses!$V$14,Hypothèses!$W$14,IF(DL73&lt;=Hypothèses!$V$15,Hypothèses!$W$15,IF(DL73&lt;=Hypothèses!$V$16,Hypothèses!$W$16,IF(DL73&lt;=Hypothèses!$V$17,Hypothèses!$W$17,IF(DL73&lt;=Hypothèses!$V$18,Hypothèses!$W$18,""))))))))))))</f>
        <v>#DIV/0!</v>
      </c>
      <c r="EG73" s="87" t="e">
        <f t="shared" ca="1" si="122"/>
        <v>#DIV/0!</v>
      </c>
      <c r="EH73" s="88" t="e">
        <f ca="1">IF(DL73&lt;=Hypothèses!$V$7,Hypothèses!$X$7,IF(DL73&lt;=Hypothèses!$V$8,Hypothèses!$X$8,IF(DL73&lt;=Hypothèses!$V$9,Hypothèses!$X$9,IF(DL73&lt;=Hypothèses!$V$10,Hypothèses!$X$10,IF(DL73&lt;=Hypothèses!$V$11,Hypothèses!$X$11,IF(DL73&lt;=Hypothèses!$V$12,Hypothèses!$X$12,IF(DL73&lt;=Hypothèses!$V$13,Hypothèses!$X$13,IF(DL73&lt;=Hypothèses!$V$14,Hypothèses!$X$14,IF(DL73&lt;=Hypothèses!$V$15,Hypothèses!$X$15,IF(DL73&lt;=Hypothèses!$V$16,Hypothèses!$X$16,IF(DL73&lt;=Hypothèses!$U$17,Hypothèses!$W$17,IF(DL73&lt;=Hypothèses!$U$18,Hypothèses!$W$18,""))))))))))))</f>
        <v>#DIV/0!</v>
      </c>
      <c r="EI73" s="95" t="e">
        <f t="shared" ca="1" si="93"/>
        <v>#DIV/0!</v>
      </c>
      <c r="EJ73" s="101">
        <f t="shared" si="129"/>
        <v>0</v>
      </c>
      <c r="EK73" s="91">
        <f t="shared" si="55"/>
        <v>0</v>
      </c>
      <c r="EL73" s="30" t="e">
        <f t="shared" si="112"/>
        <v>#N/A</v>
      </c>
      <c r="EM73" s="30" t="e">
        <f t="shared" si="113"/>
        <v>#N/A</v>
      </c>
      <c r="EN73" s="31" t="e">
        <f>IF(OR(Hypothèses!$B$4=17,Hypothèses!$B$4=18,Hypothèses!$B$4=19,Hypothèses!$B$4=20),
IF($D73="Pressio.",
IF(OR($E73=3,$E73=1,$E73=4),EM73,EL73),
IF($D73="Pénétro.",
IF(OR($E73=3,$E73=1,$E73=4),EM73,EL73))),IF($D73="Pressio.",
IF($E73=3,EM73,EL73),
IF($D73="Pénétro.",
IF($E73=4,EM73,EL73))))</f>
        <v>#N/A</v>
      </c>
      <c r="EO73" s="31">
        <v>0</v>
      </c>
      <c r="EP73" s="102" t="e">
        <f>IF(NDC!$H$10="Oui",(VLOOKUP($B$3,'Coeff EC7'!$T$39:$X$59,2,0)*EN73+VLOOKUP($B$3,'Coeff EC7'!$T$65:$X$85,2,0)*Model0.1T!EO73)/1.5,PI()*EL$12*$Q73*($B73-$B72)*0.15/10+EP72)</f>
        <v>#N/A</v>
      </c>
      <c r="EQ73" s="102" t="e">
        <f>(VLOOKUP($B$3,'Coeff EC7'!$T$39:$X$59,3,0)*EN73+VLOOKUP($B$3,'Coeff EC7'!$T$65:$X$85,3,0)*Model0.1T!EO73)/1.1</f>
        <v>#N/A</v>
      </c>
      <c r="ER73" s="102" t="e">
        <f t="shared" si="94"/>
        <v>#N/A</v>
      </c>
      <c r="ES73" s="102" t="e">
        <f t="shared" si="95"/>
        <v>#N/A</v>
      </c>
      <c r="ET73" s="414" t="e">
        <f>IF(AND(EP73&gt;NDC!$C$63,EQ73&gt;NDC!$C$65,ER73&gt;NDC!$D$73,ES73&gt;NDC!$D$74,$B73&gt;NDC!$H$22-0.1+MIN(3*ET$12,1.5)),0,1)</f>
        <v>#N/A</v>
      </c>
      <c r="EU73" s="86" t="b">
        <f t="shared" si="58"/>
        <v>0</v>
      </c>
      <c r="EV73" s="86">
        <f t="shared" si="59"/>
        <v>0.61</v>
      </c>
      <c r="EW73" s="86">
        <f t="shared" si="60"/>
        <v>0.61</v>
      </c>
      <c r="EX73" s="30" t="e">
        <f t="shared" ca="1" si="96"/>
        <v>#DIV/0!</v>
      </c>
      <c r="EY73" s="85" t="e">
        <f ca="1">IF(EE73&lt;=Hypothèses!$V$7,Hypothèses!$W$7,IF(EE73&lt;=Hypothèses!$V$8,Hypothèses!$W$8,IF(EE73&lt;=Hypothèses!$V$9,Hypothèses!$W$9,IF(EE73&lt;=Hypothèses!$V$10,Hypothèses!$W$10,IF(EE73&lt;=Hypothèses!$V$11,Hypothèses!$W$11,IF(EE73&lt;=Hypothèses!$V$12,Hypothèses!$W$12,IF(EE73&lt;=Hypothèses!$V$13,Hypothèses!$W$13,IF(EE73&lt;=Hypothèses!$V$14,Hypothèses!$W$14,IF(EE73&lt;=Hypothèses!$V$15,Hypothèses!$W$15,IF(EE73&lt;=Hypothèses!$V$16,Hypothèses!$W$16,IF(EE73&lt;=Hypothèses!$V$17,Hypothèses!$W$17,IF(EE73&lt;=Hypothèses!$V$18,Hypothèses!$W$18,""))))))))))))</f>
        <v>#DIV/0!</v>
      </c>
      <c r="EZ73" s="87" t="e">
        <f t="shared" ca="1" si="123"/>
        <v>#DIV/0!</v>
      </c>
      <c r="FA73" s="88" t="e">
        <f ca="1">IF(EE73&lt;=Hypothèses!$V$7,Hypothèses!$X$7,IF(EE73&lt;=Hypothèses!$V$8,Hypothèses!$X$8,IF(EE73&lt;=Hypothèses!$V$9,Hypothèses!$X$9,IF(EE73&lt;=Hypothèses!$V$10,Hypothèses!$X$10,IF(EE73&lt;=Hypothèses!$V$11,Hypothèses!$X$11,IF(EE73&lt;=Hypothèses!$V$12,Hypothèses!$X$12,IF(EE73&lt;=Hypothèses!$V$13,Hypothèses!$X$13,IF(EE73&lt;=Hypothèses!$V$14,Hypothèses!$X$14,IF(EE73&lt;=Hypothèses!$V$15,Hypothèses!$X$15,IF(EE73&lt;=Hypothèses!$V$16,Hypothèses!$X$16,IF(EE73&lt;=Hypothèses!$U$17,Hypothèses!$W$17,IF(EE73&lt;=Hypothèses!$U$18,Hypothèses!$W$18,""))))))))))))</f>
        <v>#DIV/0!</v>
      </c>
      <c r="FB73" s="95" t="e">
        <f t="shared" ca="1" si="97"/>
        <v>#DIV/0!</v>
      </c>
      <c r="FC73" s="101">
        <f t="shared" si="130"/>
        <v>0</v>
      </c>
      <c r="FD73" s="91">
        <f t="shared" si="62"/>
        <v>0</v>
      </c>
      <c r="FE73" s="30" t="e">
        <f t="shared" si="114"/>
        <v>#N/A</v>
      </c>
      <c r="FF73" s="30" t="e">
        <f t="shared" si="115"/>
        <v>#N/A</v>
      </c>
      <c r="FG73" s="31" t="e">
        <f>IF(OR(Hypothèses!$B$4=17,Hypothèses!$B$4=18,Hypothèses!$B$4=19,Hypothèses!$B$4=20),
IF($D73="Pressio.",
IF(OR($E73=3,$E73=1,$E73=4),FF73,FE73),
IF($D73="Pénétro.",
IF(OR($E73=3,$E73=1,$E73=4),FF73,FE73))),IF($D73="Pressio.",
IF($E73=3,FF73,FE73),
IF($D73="Pénétro.",
IF($E73=4,FF73,FE73))))</f>
        <v>#N/A</v>
      </c>
      <c r="FH73" s="31">
        <v>0</v>
      </c>
      <c r="FI73" s="102" t="e">
        <f>IF(NDC!$H$10="Oui",(VLOOKUP($B$3,'Coeff EC7'!$T$39:$X$59,2,0)*FG73+VLOOKUP($B$3,'Coeff EC7'!$T$65:$X$85,2,0)*Model0.1T!FH73)/1.5,PI()*FE$12*$Q73*($B73-$B72)*0.15/10+FI72)</f>
        <v>#N/A</v>
      </c>
      <c r="FJ73" s="102" t="e">
        <f>(VLOOKUP($B$3,'Coeff EC7'!$T$39:$X$59,3,0)*FG73+VLOOKUP($B$3,'Coeff EC7'!$T$65:$X$85,3,0)*Model0.1T!FH73)/1.1</f>
        <v>#N/A</v>
      </c>
      <c r="FK73" s="102" t="e">
        <f t="shared" si="98"/>
        <v>#N/A</v>
      </c>
      <c r="FL73" s="102" t="e">
        <f t="shared" si="99"/>
        <v>#N/A</v>
      </c>
      <c r="FM73" s="414" t="e">
        <f>IF(AND(FI73&gt;NDC!$C$63,FJ73&gt;NDC!$C$65,FK73&gt;NDC!$D$73,FL73&gt;NDC!$D$74,$B73&gt;NDC!$H$22-0.1+MIN(3*FM$12,1.5)),0,1)</f>
        <v>#N/A</v>
      </c>
    </row>
    <row r="74" spans="1:169">
      <c r="A74" s="96">
        <f t="shared" si="65"/>
        <v>93.900000000000347</v>
      </c>
      <c r="B74" s="97">
        <v>6.1</v>
      </c>
      <c r="C74" s="81">
        <f>IF(B74&lt;=Hypothèses!$C$7,Hypothèses!$A$7,IF(B74&lt;=Hypothèses!$C$8,Hypothèses!$A$8,IF(B74&lt;=Hypothèses!$C$9,Hypothèses!$A$9,IF(B74&lt;=Hypothèses!$C$10,Hypothèses!$A$10,IF(B74&lt;=Hypothèses!$C$11,Hypothèses!$A$11,IF(B74&lt;=Hypothèses!$C$12,Hypothèses!$A$12,IF(B74&lt;=Hypothèses!$C$13,Hypothèses!$A$13,IF(B74&lt;=Hypothèses!$C$14,Hypothèses!$A$14,IF(B74&lt;=Hypothèses!$C$15,Hypothèses!$A$15,IF(B74&lt;=Hypothèses!$C$16,Hypothèses!$A$16,IF(B74&lt;=Hypothèses!$C$17,Hypothèses!$A$17,IF(B74&lt;=Hypothèses!$C$18,Hypothèses!$A$18,C73))))))))))))</f>
        <v>11</v>
      </c>
      <c r="D74" s="82" t="str">
        <f>IF(B74&lt;=Hypothèses!$C$7,Hypothèses!$R$7,IF(B74&lt;=Hypothèses!$C$8,Hypothèses!$R$8,IF(B74&lt;=Hypothèses!$C$9,Hypothèses!$R$9,IF(B74&lt;=Hypothèses!$C$10,Hypothèses!$R$10,IF(B74&lt;=Hypothèses!$C$11,Hypothèses!$R$11,IF(B74&lt;=Hypothèses!$C$12,Hypothèses!$R$12,IF(B74&lt;=Hypothèses!$C$13,Hypothèses!$R$13,IF(B74&lt;=Hypothèses!$C$14,Hypothèses!$R$14,IF(B74&lt;=Hypothèses!$C$15,Hypothèses!$R$15,IF(B74&lt;=Hypothèses!$C$16,Hypothèses!$R$16,IF(B74&lt;=Hypothèses!$C$17,Hypothèses!$R$17,IF(B74&lt;=Hypothèses!$C$18,Hypothèses!$R$18,D73))))))))))))</f>
        <v>Pressio.</v>
      </c>
      <c r="E74" s="82" t="e">
        <f>IF(B74&lt;=Hypothèses!$C$7,Hypothèses!$G$7,IF(B74&lt;=Hypothèses!$C$8,Hypothèses!$G$8,IF(B74&lt;=Hypothèses!$C$9,Hypothèses!$G$9,IF(B74&lt;=Hypothèses!$C$10,Hypothèses!$G$10,IF(B74&lt;=Hypothèses!$C$11,Hypothèses!$G$11,IF(B74&lt;=Hypothèses!$C$12,Hypothèses!$G$12,IF(B74&lt;=Hypothèses!$C$13,Hypothèses!$G$13,IF(B74&lt;=Hypothèses!$C$14,Hypothèses!$G$14,IF(B74&lt;=Hypothèses!$C$15,Hypothèses!$G$15,IF(B74&lt;=Hypothèses!$C$16,Hypothèses!$G$16,IF(B74&lt;=Hypothèses!$C$17,Hypothèses!$G$17,IF(B74&lt;=Hypothèses!$C$18,Hypothèses!$G$18,E73))))))))))))</f>
        <v>#N/A</v>
      </c>
      <c r="F74" s="82" t="str">
        <f>IF(B74&lt;=Hypothèses!$C$7,Hypothèses!$F$7,IF(B74&lt;=Hypothèses!$C$8,Hypothèses!$F$8,IF(B74&lt;=Hypothèses!$C$9,Hypothèses!$F$9,IF(B74&lt;=Hypothèses!$C$10,Hypothèses!$F$10,IF(B74&lt;=Hypothèses!$C$11,Hypothèses!$F$11,IF(B74&lt;=Hypothèses!$C$12,Hypothèses!$F$12,IF(B74&lt;=Hypothèses!$C$13,Hypothèses!$F$13,IF(B74&lt;=Hypothèses!$C$14,Hypothèses!$F$14,IF(B74&lt;=Hypothèses!$C$15,Hypothèses!$F$15,IF(B74&lt;=Hypothèses!$C$16,Hypothèses!$F$16,IF(B74&lt;=Hypothèses!$C$17,Hypothèses!$F$17,IF(B74&lt;=Hypothèses!$C$18,Hypothèses!$F$18,F73))))))))))))</f>
        <v/>
      </c>
      <c r="G74" s="91">
        <f t="array" ref="G74">INDEX('Coeff EC7'!$U$7:$X$27,
MATCH(Model0.1T!$B$3,'Coeff EC7'!$T$7:$T$27,0),
MATCH(Model0.1T!$D74&amp;Model0.1T!$B$4,
'Coeff EC7'!$U$6:$X$6&amp;
'Coeff EC7'!$U$5:$X$5,0))</f>
        <v>1.4</v>
      </c>
      <c r="H74" s="91">
        <f t="array" ref="H74">INDEX('Coeff EC7'!$Y$7:$AB$27,
MATCH(Model0.1T!$B$3,'Coeff EC7'!$T$7:$T$27,0),
MATCH(Model0.1T!$D74&amp;Model0.1T!$B$4,
'Coeff EC7'!$Y$6:$AB$6&amp;
'Coeff EC7'!$Y$5:$AB$5,0))</f>
        <v>1.7</v>
      </c>
      <c r="I74" s="83">
        <v>0</v>
      </c>
      <c r="J74" s="91" t="e">
        <f t="array" ref="J74">INDEX('Coeff EC7'!$D$33:$Q$33,1,MATCH(D74&amp;E74,'Coeff EC7'!$D$31:$Q$31&amp;'Coeff EC7'!$D$32:$Q$32,0))</f>
        <v>#N/A</v>
      </c>
      <c r="K74" s="91" t="e">
        <f t="array" ref="K74">INDEX('Coeff EC7'!$D$34:$Q$34,1,MATCH(D74&amp;E74,'Coeff EC7'!$D$31:$Q$31&amp;'Coeff EC7'!$D$32:$Q$32,0))</f>
        <v>#N/A</v>
      </c>
      <c r="L74" s="91" t="e">
        <f t="array" ref="L74">INDEX('Coeff EC7'!$D$35:$Q$35,1,MATCH(D74&amp;E74,'Coeff EC7'!$D$31:$Q$31&amp;'Coeff EC7'!$D$32:$Q$32,0))</f>
        <v>#N/A</v>
      </c>
      <c r="M74" s="98" t="e">
        <f t="shared" si="8"/>
        <v>#N/A</v>
      </c>
      <c r="N74" s="99" t="e">
        <f t="array" ref="N74">INDEX('Coeff EC7'!$D$7:$Q$27,MATCH($B$3,'Coeff EC7'!$C$7:$C$27,0),MATCH(D74&amp;E74,'Coeff EC7'!$D$5:$Q$5&amp;'Coeff EC7'!$D$6:$Q$6,0))</f>
        <v>#N/A</v>
      </c>
      <c r="O74" s="99" t="e">
        <f t="array" ref="O74">INDEX('Coeff EC7'!$D$41:$Q$61,MATCH($B$3,'Coeff EC7'!$C$41:$C$61,0),MATCH(D74&amp;E74,'Coeff EC7'!$D$39:$Q$39&amp;'Coeff EC7'!$D$40:$Q$40,0))</f>
        <v>#N/A</v>
      </c>
      <c r="P74" s="30" t="e">
        <f t="shared" si="66"/>
        <v>#N/A</v>
      </c>
      <c r="Q74" s="100" t="e">
        <f t="shared" si="10"/>
        <v>#N/A</v>
      </c>
      <c r="R74" s="86" t="b">
        <f t="shared" si="11"/>
        <v>0</v>
      </c>
      <c r="S74" s="86">
        <f t="shared" si="9"/>
        <v>0.5</v>
      </c>
      <c r="T74" s="86">
        <f t="shared" si="12"/>
        <v>0.5</v>
      </c>
      <c r="U74" s="30" t="e">
        <f t="shared" ca="1" si="67"/>
        <v>#DIV/0!</v>
      </c>
      <c r="V74" s="85" t="str">
        <f>IF(B74&lt;=Hypothèses!$V$7,Hypothèses!$W$7,IF(B74&lt;=Hypothèses!$V$8,Hypothèses!$W$8,IF(B74&lt;=Hypothèses!$V$9,Hypothèses!$W$9,IF(B74&lt;=Hypothèses!$V$10,Hypothèses!$W$10,IF(B74&lt;=Hypothèses!$V$11,Hypothèses!$W$11,IF(B74&lt;=Hypothèses!$V$12,Hypothèses!$W$12,IF(B74&lt;=Hypothèses!$V$13,Hypothèses!$W$13,IF(B74&lt;=Hypothèses!$V$14,Hypothèses!$W$14,IF(B74&lt;=Hypothèses!$V$15,Hypothèses!$W$15,IF(B74&lt;=Hypothèses!$V$16,Hypothèses!$W$16,IF(B74&lt;=Hypothèses!$V$17,Hypothèses!$W$17,IF(B74&lt;=Hypothèses!$V$18,Hypothèses!$W$18,""))))))))))))</f>
        <v/>
      </c>
      <c r="W74" s="87" t="e">
        <f t="shared" ca="1" si="116"/>
        <v>#DIV/0!</v>
      </c>
      <c r="X74" s="88" t="str">
        <f>IF(B74&lt;=Hypothèses!$V$7,Hypothèses!$X$7,IF(B74&lt;=Hypothèses!$V$8,Hypothèses!$X$8,IF(B74&lt;=Hypothèses!$V$9,Hypothèses!$X$9,IF(B74&lt;=Hypothèses!$V$10,Hypothèses!$X$10,IF(B74&lt;=Hypothèses!$V$11,Hypothèses!$X$11,IF(B74&lt;=Hypothèses!$V$12,Hypothèses!$X$12,IF(B74&lt;=Hypothèses!$V$13,Hypothèses!$X$13,IF(B74&lt;=Hypothèses!$V$14,Hypothèses!$X$14,IF(B74&lt;=Hypothèses!$V$15,Hypothèses!$X$15,IF(B74&lt;=Hypothèses!$V$16,Hypothèses!$X$16,IF(B74&lt;=Hypothèses!$U$17,Hypothèses!$W$17,IF(B74&lt;=Hypothèses!$U$18,Hypothèses!$W$18,""))))))))))))</f>
        <v/>
      </c>
      <c r="Y74" s="95" t="e">
        <f t="shared" ca="1" si="13"/>
        <v>#DIV/0!</v>
      </c>
      <c r="Z74" s="101">
        <f t="shared" si="14"/>
        <v>0</v>
      </c>
      <c r="AA74" s="91">
        <f t="shared" si="15"/>
        <v>0</v>
      </c>
      <c r="AB74" s="30" t="e">
        <f t="shared" si="100"/>
        <v>#N/A</v>
      </c>
      <c r="AC74" s="30" t="e">
        <f t="shared" si="101"/>
        <v>#N/A</v>
      </c>
      <c r="AD74" s="31" t="e">
        <f>IF(OR(Hypothèses!$B$4=17,Hypothèses!$B$4=18,Hypothèses!$B$4=19,Hypothèses!$B$4=20),
IF($D74="Pressio.",
IF(OR($E74=3,$E74=1,$E74=4),AC74,AB74),
IF($D74="Pénétro.",
IF(OR($E74=3,$E74=1,$E74=4),AC74,AB74))),IF($D74="Pressio.",
IF($E74=3,AC74,AB74),
IF($D74="Pénétro.",
IF($E74=4,AC74,AB74))))</f>
        <v>#N/A</v>
      </c>
      <c r="AE74" s="31">
        <v>0</v>
      </c>
      <c r="AF74" s="102" t="e">
        <f>IF(NDC!$H$10="Oui",(VLOOKUP($B$3,'Coeff EC7'!$T$39:$X$59,2,0)*AD74+VLOOKUP($B$3,'Coeff EC7'!$T$65:$X$85,2,0)*Model0.1T!AE74)/1.5,PI()*AB$12*$Q74*($B74-$B73)*0.15/10+AF73)</f>
        <v>#N/A</v>
      </c>
      <c r="AG74" s="102" t="e">
        <f>(VLOOKUP($B$3,'Coeff EC7'!$T$39:$X$59,3,0)*AD74+VLOOKUP($B$3,'Coeff EC7'!$T$65:$X$85,3,0)*Model0.1T!AE74)/1.1</f>
        <v>#N/A</v>
      </c>
      <c r="AH74" s="102" t="e">
        <f t="shared" si="68"/>
        <v>#N/A</v>
      </c>
      <c r="AI74" s="102" t="e">
        <f t="shared" si="69"/>
        <v>#N/A</v>
      </c>
      <c r="AJ74" s="414" t="e">
        <f>IF(AND(AF74&gt;NDC!$C$63,AG74&gt;NDC!$C$65,AH74&gt;NDC!$D$73,AI74&gt;NDC!$D$74,$B74&gt;NDC!$H$22-0.1+MIN(3*$AJ$12,1.5)),0,1)</f>
        <v>#N/A</v>
      </c>
      <c r="AK74" s="86" t="b">
        <f t="shared" si="18"/>
        <v>0</v>
      </c>
      <c r="AL74" s="86">
        <f t="shared" si="70"/>
        <v>0.5</v>
      </c>
      <c r="AM74" s="86">
        <f t="shared" si="19"/>
        <v>0.5</v>
      </c>
      <c r="AN74" s="30" t="e">
        <f t="shared" ca="1" si="71"/>
        <v>#DIV/0!</v>
      </c>
      <c r="AO74" s="85" t="e">
        <f ca="1">IF(U74&lt;=Hypothèses!$V$7,Hypothèses!$W$7,IF(U74&lt;=Hypothèses!$V$8,Hypothèses!$W$8,IF(U74&lt;=Hypothèses!$V$9,Hypothèses!$W$9,IF(U74&lt;=Hypothèses!$V$10,Hypothèses!$W$10,IF(U74&lt;=Hypothèses!$V$11,Hypothèses!$W$11,IF(U74&lt;=Hypothèses!$V$12,Hypothèses!$W$12,IF(U74&lt;=Hypothèses!$V$13,Hypothèses!$W$13,IF(U74&lt;=Hypothèses!$V$14,Hypothèses!$W$14,IF(U74&lt;=Hypothèses!$V$15,Hypothèses!$W$15,IF(U74&lt;=Hypothèses!$V$16,Hypothèses!$W$16,IF(U74&lt;=Hypothèses!$V$17,Hypothèses!$W$17,IF(U74&lt;=Hypothèses!$V$18,Hypothèses!$W$18,""))))))))))))</f>
        <v>#DIV/0!</v>
      </c>
      <c r="AP74" s="87" t="e">
        <f t="shared" ca="1" si="117"/>
        <v>#DIV/0!</v>
      </c>
      <c r="AQ74" s="88" t="e">
        <f ca="1">IF(U74&lt;=Hypothèses!$V$7,Hypothèses!$X$7,IF(U74&lt;=Hypothèses!$V$8,Hypothèses!$X$8,IF(U74&lt;=Hypothèses!$V$9,Hypothèses!$X$9,IF(U74&lt;=Hypothèses!$V$10,Hypothèses!$X$10,IF(U74&lt;=Hypothèses!$V$11,Hypothèses!$X$11,IF(U74&lt;=Hypothèses!$V$12,Hypothèses!$X$12,IF(U74&lt;=Hypothèses!$V$13,Hypothèses!$X$13,IF(U74&lt;=Hypothèses!$V$14,Hypothèses!$X$14,IF(U74&lt;=Hypothèses!$V$15,Hypothèses!$X$15,IF(U74&lt;=Hypothèses!$V$16,Hypothèses!$X$16,IF(U74&lt;=Hypothèses!$U$17,Hypothèses!$W$17,IF(U74&lt;=Hypothèses!$U$18,Hypothèses!$W$18,""))))))))))))</f>
        <v>#DIV/0!</v>
      </c>
      <c r="AR74" s="95" t="e">
        <f t="shared" ca="1" si="72"/>
        <v>#DIV/0!</v>
      </c>
      <c r="AS74" s="101">
        <f t="shared" si="124"/>
        <v>0</v>
      </c>
      <c r="AT74" s="91">
        <f t="shared" si="21"/>
        <v>0</v>
      </c>
      <c r="AU74" s="30" t="e">
        <f t="shared" si="102"/>
        <v>#N/A</v>
      </c>
      <c r="AV74" s="30" t="e">
        <f t="shared" si="103"/>
        <v>#N/A</v>
      </c>
      <c r="AW74" s="31" t="e">
        <f>IF(OR(Hypothèses!$B$4=17,Hypothèses!$B$4=18,Hypothèses!$B$4=19,Hypothèses!$B$4=20),
IF($D74="Pressio.",
IF(OR($E74=3,$E74=1,$E74=4),AV74,AU74),
IF($D74="Pénétro.",
IF(OR($E74=3,$E74=1,$E74=4),AV74,AU74))),IF($D74="Pressio.",
IF($E74=3,AV74,AU74),
IF($D74="Pénétro.",
IF($E74=4,AV74,AU74))))</f>
        <v>#N/A</v>
      </c>
      <c r="AX74" s="31">
        <v>0</v>
      </c>
      <c r="AY74" s="102" t="e">
        <f>IF(NDC!$H$10="Oui",(VLOOKUP($B$3,'Coeff EC7'!$T$39:$X$59,2,0)*AW74+VLOOKUP($B$3,'Coeff EC7'!$T$65:$X$85,2,0)*Model0.1T!AX74)/1.5,PI()*AU$12*$Q74*($B74-$B73)*0.15/10+AY73)</f>
        <v>#N/A</v>
      </c>
      <c r="AZ74" s="102" t="e">
        <f>(VLOOKUP($B$3,'Coeff EC7'!$T$39:$X$59,3,0)*AW74+VLOOKUP($B$3,'Coeff EC7'!$T$65:$X$85,3,0)*Model0.1T!AX74)/1.1</f>
        <v>#N/A</v>
      </c>
      <c r="BA74" s="102" t="e">
        <f t="shared" si="73"/>
        <v>#N/A</v>
      </c>
      <c r="BB74" s="102" t="e">
        <f t="shared" si="74"/>
        <v>#N/A</v>
      </c>
      <c r="BC74" s="414" t="e">
        <f>IF(AND(AY74&gt;NDC!$C$63,AZ74&gt;NDC!$C$65,BA74&gt;NDC!$D$73,BB74&gt;NDC!$D$74,$B74&gt;NDC!$H$22-0.1+MIN(3*BC$12,1.5)),0,1)</f>
        <v>#N/A</v>
      </c>
      <c r="BD74" s="86" t="b">
        <f t="shared" si="24"/>
        <v>0</v>
      </c>
      <c r="BE74" s="86">
        <f t="shared" si="75"/>
        <v>0.5</v>
      </c>
      <c r="BF74" s="86">
        <f t="shared" si="25"/>
        <v>0.5</v>
      </c>
      <c r="BG74" s="30" t="e">
        <f t="shared" ca="1" si="76"/>
        <v>#DIV/0!</v>
      </c>
      <c r="BH74" s="85" t="e">
        <f ca="1">IF(AN74&lt;=Hypothèses!$V$7,Hypothèses!$W$7,IF(AN74&lt;=Hypothèses!$V$8,Hypothèses!$W$8,IF(AN74&lt;=Hypothèses!$V$9,Hypothèses!$W$9,IF(AN74&lt;=Hypothèses!$V$10,Hypothèses!$W$10,IF(AN74&lt;=Hypothèses!$V$11,Hypothèses!$W$11,IF(AN74&lt;=Hypothèses!$V$12,Hypothèses!$W$12,IF(AN74&lt;=Hypothèses!$V$13,Hypothèses!$W$13,IF(AN74&lt;=Hypothèses!$V$14,Hypothèses!$W$14,IF(AN74&lt;=Hypothèses!$V$15,Hypothèses!$W$15,IF(AN74&lt;=Hypothèses!$V$16,Hypothèses!$W$16,IF(AN74&lt;=Hypothèses!$V$17,Hypothèses!$W$17,IF(AN74&lt;=Hypothèses!$V$18,Hypothèses!$W$18,""))))))))))))</f>
        <v>#DIV/0!</v>
      </c>
      <c r="BI74" s="87" t="e">
        <f t="shared" ca="1" si="118"/>
        <v>#DIV/0!</v>
      </c>
      <c r="BJ74" s="88" t="e">
        <f ca="1">IF(AN74&lt;=Hypothèses!$V$7,Hypothèses!$X$7,IF(AN74&lt;=Hypothèses!$V$8,Hypothèses!$X$8,IF(AN74&lt;=Hypothèses!$V$9,Hypothèses!$X$9,IF(AN74&lt;=Hypothèses!$V$10,Hypothèses!$X$10,IF(AN74&lt;=Hypothèses!$V$11,Hypothèses!$X$11,IF(AN74&lt;=Hypothèses!$V$12,Hypothèses!$X$12,IF(AN74&lt;=Hypothèses!$V$13,Hypothèses!$X$13,IF(AN74&lt;=Hypothèses!$V$14,Hypothèses!$X$14,IF(AN74&lt;=Hypothèses!$V$15,Hypothèses!$X$15,IF(AN74&lt;=Hypothèses!$V$16,Hypothèses!$X$16,IF(AN74&lt;=Hypothèses!$U$17,Hypothèses!$W$17,IF(AN74&lt;=Hypothèses!$U$18,Hypothèses!$W$18,""))))))))))))</f>
        <v>#DIV/0!</v>
      </c>
      <c r="BK74" s="95" t="e">
        <f t="shared" ca="1" si="77"/>
        <v>#DIV/0!</v>
      </c>
      <c r="BL74" s="101">
        <f t="shared" si="125"/>
        <v>0</v>
      </c>
      <c r="BM74" s="91">
        <f t="shared" si="27"/>
        <v>0</v>
      </c>
      <c r="BN74" s="30" t="e">
        <f t="shared" si="104"/>
        <v>#N/A</v>
      </c>
      <c r="BO74" s="30" t="e">
        <f t="shared" si="105"/>
        <v>#N/A</v>
      </c>
      <c r="BP74" s="31" t="e">
        <f>IF(OR(Hypothèses!$B$4=17,Hypothèses!$B$4=18,Hypothèses!$B$4=19,Hypothèses!$B$4=20),
IF($D74="Pressio.",
IF(OR($E74=3,$E74=1,$E74=4),BO74,BN74),
IF($D74="Pénétro.",
IF(OR($E74=3,$E74=1,$E74=4),BO74,BN74))),IF($D74="Pressio.",
IF($E74=3,BO74,BN74),
IF($D74="Pénétro.",
IF($E74=4,BO74,BN74))))</f>
        <v>#N/A</v>
      </c>
      <c r="BQ74" s="31">
        <v>0</v>
      </c>
      <c r="BR74" s="102" t="e">
        <f>IF(NDC!$H$10="Oui",(VLOOKUP($B$3,'Coeff EC7'!$T$39:$X$59,2,0)*BP74+VLOOKUP($B$3,'Coeff EC7'!$T$65:$X$85,2,0)*Model0.1T!BQ74)/1.5,PI()*BN$12*$Q74*($B74-$B73)*0.15/10+BR73)</f>
        <v>#N/A</v>
      </c>
      <c r="BS74" s="102" t="e">
        <f>(VLOOKUP($B$3,'Coeff EC7'!$T$39:$X$59,3,0)*BP74+VLOOKUP($B$3,'Coeff EC7'!$T$65:$X$85,3,0)*Model0.1T!BQ74)/1.1</f>
        <v>#N/A</v>
      </c>
      <c r="BT74" s="102" t="e">
        <f t="shared" si="78"/>
        <v>#N/A</v>
      </c>
      <c r="BU74" s="102" t="e">
        <f t="shared" si="79"/>
        <v>#N/A</v>
      </c>
      <c r="BV74" s="414" t="e">
        <f>IF(AND(BR74&gt;NDC!$C$63,BS74&gt;NDC!$C$65,BT74&gt;NDC!$D$73,BU74&gt;NDC!$D$74,$B74&gt;NDC!$H$22-0.1+MIN(3*BV$12,1.5)),0,1)</f>
        <v>#N/A</v>
      </c>
      <c r="BW74" s="86" t="b">
        <f t="shared" si="30"/>
        <v>0</v>
      </c>
      <c r="BX74" s="86">
        <f t="shared" si="31"/>
        <v>0.5</v>
      </c>
      <c r="BY74" s="86">
        <f t="shared" si="32"/>
        <v>0.5</v>
      </c>
      <c r="BZ74" s="30" t="e">
        <f t="shared" ca="1" si="80"/>
        <v>#DIV/0!</v>
      </c>
      <c r="CA74" s="85" t="e">
        <f ca="1">IF(BG74&lt;=Hypothèses!$V$7,Hypothèses!$W$7,IF(BG74&lt;=Hypothèses!$V$8,Hypothèses!$W$8,IF(BG74&lt;=Hypothèses!$V$9,Hypothèses!$W$9,IF(BG74&lt;=Hypothèses!$V$10,Hypothèses!$W$10,IF(BG74&lt;=Hypothèses!$V$11,Hypothèses!$W$11,IF(BG74&lt;=Hypothèses!$V$12,Hypothèses!$W$12,IF(BG74&lt;=Hypothèses!$V$13,Hypothèses!$W$13,IF(BG74&lt;=Hypothèses!$V$14,Hypothèses!$W$14,IF(BG74&lt;=Hypothèses!$V$15,Hypothèses!$W$15,IF(BG74&lt;=Hypothèses!$V$16,Hypothèses!$W$16,IF(BG74&lt;=Hypothèses!$V$17,Hypothèses!$W$17,IF(BG74&lt;=Hypothèses!$V$18,Hypothèses!$W$18,""))))))))))))</f>
        <v>#DIV/0!</v>
      </c>
      <c r="CB74" s="87" t="e">
        <f t="shared" ca="1" si="119"/>
        <v>#DIV/0!</v>
      </c>
      <c r="CC74" s="88" t="e">
        <f ca="1">IF(BG74&lt;=Hypothèses!$V$7,Hypothèses!$X$7,IF(BG74&lt;=Hypothèses!$V$8,Hypothèses!$X$8,IF(BG74&lt;=Hypothèses!$V$9,Hypothèses!$X$9,IF(BG74&lt;=Hypothèses!$V$10,Hypothèses!$X$10,IF(BG74&lt;=Hypothèses!$V$11,Hypothèses!$X$11,IF(BG74&lt;=Hypothèses!$V$12,Hypothèses!$X$12,IF(BG74&lt;=Hypothèses!$V$13,Hypothèses!$X$13,IF(BG74&lt;=Hypothèses!$V$14,Hypothèses!$X$14,IF(BG74&lt;=Hypothèses!$V$15,Hypothèses!$X$15,IF(BG74&lt;=Hypothèses!$V$16,Hypothèses!$X$16,IF(BG74&lt;=Hypothèses!$U$17,Hypothèses!$W$17,IF(BG74&lt;=Hypothèses!$U$18,Hypothèses!$W$18,""))))))))))))</f>
        <v>#DIV/0!</v>
      </c>
      <c r="CD74" s="95" t="e">
        <f t="shared" ca="1" si="81"/>
        <v>#DIV/0!</v>
      </c>
      <c r="CE74" s="101">
        <f t="shared" si="126"/>
        <v>0</v>
      </c>
      <c r="CF74" s="91">
        <f t="shared" si="34"/>
        <v>0</v>
      </c>
      <c r="CG74" s="30" t="e">
        <f t="shared" si="106"/>
        <v>#N/A</v>
      </c>
      <c r="CH74" s="30" t="e">
        <f t="shared" si="107"/>
        <v>#N/A</v>
      </c>
      <c r="CI74" s="31" t="e">
        <f>IF(OR(Hypothèses!$B$4=17,Hypothèses!$B$4=18,Hypothèses!$B$4=19,Hypothèses!$B$4=20),
IF($D74="Pressio.",
IF(OR($E74=3,$E74=1,$E74=4),CH74,CG74),
IF($D74="Pénétro.",
IF(OR($E74=3,$E74=1,$E74=4),CH74,CG74))),IF($D74="Pressio.",
IF($E74=3,CH74,CG74),
IF($D74="Pénétro.",
IF($E74=4,CH74,CG74))))</f>
        <v>#N/A</v>
      </c>
      <c r="CJ74" s="31">
        <v>0</v>
      </c>
      <c r="CK74" s="102" t="e">
        <f>IF(NDC!$H$10="Oui",(VLOOKUP($B$3,'Coeff EC7'!$T$39:$X$59,2,0)*CI74+VLOOKUP($B$3,'Coeff EC7'!$T$65:$X$85,2,0)*Model0.1T!CJ74)/1.5,PI()*CG$12*$Q74*($B74-$B73)*0.15/10+CK73)</f>
        <v>#N/A</v>
      </c>
      <c r="CL74" s="102" t="e">
        <f>(VLOOKUP($B$3,'Coeff EC7'!$T$39:$X$59,3,0)*CI74+VLOOKUP($B$3,'Coeff EC7'!$T$65:$X$85,3,0)*Model0.1T!CJ74)/1.1</f>
        <v>#N/A</v>
      </c>
      <c r="CM74" s="102" t="e">
        <f t="shared" si="82"/>
        <v>#N/A</v>
      </c>
      <c r="CN74" s="102" t="e">
        <f t="shared" si="83"/>
        <v>#N/A</v>
      </c>
      <c r="CO74" s="414" t="e">
        <f>IF(AND(CK74&gt;NDC!$C$63,CL74&gt;NDC!$C$65,CM74&gt;NDC!$D$73,CN74&gt;NDC!$D$74,$B74&gt;NDC!$H$22-0.1+MIN(3*CO$12,1.5)),0,1)</f>
        <v>#N/A</v>
      </c>
      <c r="CP74" s="86" t="b">
        <f t="shared" si="37"/>
        <v>0</v>
      </c>
      <c r="CQ74" s="86">
        <f t="shared" si="38"/>
        <v>0.5</v>
      </c>
      <c r="CR74" s="86">
        <f t="shared" si="39"/>
        <v>0.5</v>
      </c>
      <c r="CS74" s="30" t="e">
        <f t="shared" ca="1" si="84"/>
        <v>#DIV/0!</v>
      </c>
      <c r="CT74" s="85" t="e">
        <f ca="1">IF(BZ74&lt;=Hypothèses!$V$7,Hypothèses!$W$7,IF(BZ74&lt;=Hypothèses!$V$8,Hypothèses!$W$8,IF(BZ74&lt;=Hypothèses!$V$9,Hypothèses!$W$9,IF(BZ74&lt;=Hypothèses!$V$10,Hypothèses!$W$10,IF(BZ74&lt;=Hypothèses!$V$11,Hypothèses!$W$11,IF(BZ74&lt;=Hypothèses!$V$12,Hypothèses!$W$12,IF(BZ74&lt;=Hypothèses!$V$13,Hypothèses!$W$13,IF(BZ74&lt;=Hypothèses!$V$14,Hypothèses!$W$14,IF(BZ74&lt;=Hypothèses!$V$15,Hypothèses!$W$15,IF(BZ74&lt;=Hypothèses!$V$16,Hypothèses!$W$16,IF(BZ74&lt;=Hypothèses!$V$17,Hypothèses!$W$17,IF(BZ74&lt;=Hypothèses!$V$18,Hypothèses!$W$18,""))))))))))))</f>
        <v>#DIV/0!</v>
      </c>
      <c r="CU74" s="87" t="e">
        <f t="shared" ca="1" si="120"/>
        <v>#DIV/0!</v>
      </c>
      <c r="CV74" s="88" t="e">
        <f ca="1">IF(BZ74&lt;=Hypothèses!$V$7,Hypothèses!$X$7,IF(BZ74&lt;=Hypothèses!$V$8,Hypothèses!$X$8,IF(BZ74&lt;=Hypothèses!$V$9,Hypothèses!$X$9,IF(BZ74&lt;=Hypothèses!$V$10,Hypothèses!$X$10,IF(BZ74&lt;=Hypothèses!$V$11,Hypothèses!$X$11,IF(BZ74&lt;=Hypothèses!$V$12,Hypothèses!$X$12,IF(BZ74&lt;=Hypothèses!$V$13,Hypothèses!$X$13,IF(BZ74&lt;=Hypothèses!$V$14,Hypothèses!$X$14,IF(BZ74&lt;=Hypothèses!$V$15,Hypothèses!$X$15,IF(BZ74&lt;=Hypothèses!$V$16,Hypothèses!$X$16,IF(BZ74&lt;=Hypothèses!$U$17,Hypothèses!$W$17,IF(BZ74&lt;=Hypothèses!$U$18,Hypothèses!$W$18,""))))))))))))</f>
        <v>#DIV/0!</v>
      </c>
      <c r="CW74" s="95" t="e">
        <f t="shared" ca="1" si="85"/>
        <v>#DIV/0!</v>
      </c>
      <c r="CX74" s="101">
        <f t="shared" si="127"/>
        <v>0</v>
      </c>
      <c r="CY74" s="91">
        <f t="shared" si="41"/>
        <v>0</v>
      </c>
      <c r="CZ74" s="30" t="e">
        <f t="shared" si="108"/>
        <v>#N/A</v>
      </c>
      <c r="DA74" s="30" t="e">
        <f t="shared" si="109"/>
        <v>#N/A</v>
      </c>
      <c r="DB74" s="31" t="e">
        <f>IF(OR(Hypothèses!$B$4=17,Hypothèses!$B$4=18,Hypothèses!$B$4=19,Hypothèses!$B$4=20),
IF($D74="Pressio.",
IF(OR($E74=3,$E74=1,$E74=4),DA74,CZ74),
IF($D74="Pénétro.",
IF(OR($E74=3,$E74=1,$E74=4),DA74,CZ74))),IF($D74="Pressio.",
IF($E74=3,DA74,CZ74),
IF($D74="Pénétro.",
IF($E74=4,DA74,CZ74))))</f>
        <v>#N/A</v>
      </c>
      <c r="DC74" s="31">
        <v>0</v>
      </c>
      <c r="DD74" s="102" t="e">
        <f>IF(NDC!$H$10="Oui",(VLOOKUP($B$3,'Coeff EC7'!$T$39:$X$59,2,0)*DB74+VLOOKUP($B$3,'Coeff EC7'!$T$65:$X$85,2,0)*Model0.1T!DC74)/1.5,PI()*CZ$12*$Q74*($B74-$B73)*0.15/10+DD73)</f>
        <v>#N/A</v>
      </c>
      <c r="DE74" s="102" t="e">
        <f>(VLOOKUP($B$3,'Coeff EC7'!$T$39:$X$59,3,0)*DB74+VLOOKUP($B$3,'Coeff EC7'!$T$65:$X$85,3,0)*Model0.1T!DC74)/1.1</f>
        <v>#N/A</v>
      </c>
      <c r="DF74" s="102" t="e">
        <f t="shared" si="86"/>
        <v>#N/A</v>
      </c>
      <c r="DG74" s="102" t="e">
        <f t="shared" si="87"/>
        <v>#N/A</v>
      </c>
      <c r="DH74" s="414" t="e">
        <f>IF(AND(DD74&gt;NDC!$C$63,DE74&gt;NDC!$C$65,DF74&gt;NDC!$D$73,DG74&gt;NDC!$D$74,$B74&gt;NDC!$H$22-0.1+MIN(3*DH$12,1.5)),0,1)</f>
        <v>#N/A</v>
      </c>
      <c r="DI74" s="86" t="b">
        <f t="shared" si="44"/>
        <v>0</v>
      </c>
      <c r="DJ74" s="86">
        <f t="shared" si="45"/>
        <v>0.5</v>
      </c>
      <c r="DK74" s="86">
        <f t="shared" si="46"/>
        <v>0.5</v>
      </c>
      <c r="DL74" s="30" t="e">
        <f t="shared" ca="1" si="88"/>
        <v>#DIV/0!</v>
      </c>
      <c r="DM74" s="85" t="e">
        <f ca="1">IF(CS74&lt;=Hypothèses!$V$7,Hypothèses!$W$7,IF(CS74&lt;=Hypothèses!$V$8,Hypothèses!$W$8,IF(CS74&lt;=Hypothèses!$V$9,Hypothèses!$W$9,IF(CS74&lt;=Hypothèses!$V$10,Hypothèses!$W$10,IF(CS74&lt;=Hypothèses!$V$11,Hypothèses!$W$11,IF(CS74&lt;=Hypothèses!$V$12,Hypothèses!$W$12,IF(CS74&lt;=Hypothèses!$V$13,Hypothèses!$W$13,IF(CS74&lt;=Hypothèses!$V$14,Hypothèses!$W$14,IF(CS74&lt;=Hypothèses!$V$15,Hypothèses!$W$15,IF(CS74&lt;=Hypothèses!$V$16,Hypothèses!$W$16,IF(CS74&lt;=Hypothèses!$V$17,Hypothèses!$W$17,IF(CS74&lt;=Hypothèses!$V$18,Hypothèses!$W$18,""))))))))))))</f>
        <v>#DIV/0!</v>
      </c>
      <c r="DN74" s="87" t="e">
        <f t="shared" ca="1" si="121"/>
        <v>#DIV/0!</v>
      </c>
      <c r="DO74" s="88" t="e">
        <f ca="1">IF(CS74&lt;=Hypothèses!$V$7,Hypothèses!$X$7,IF(CS74&lt;=Hypothèses!$V$8,Hypothèses!$X$8,IF(CS74&lt;=Hypothèses!$V$9,Hypothèses!$X$9,IF(CS74&lt;=Hypothèses!$V$10,Hypothèses!$X$10,IF(CS74&lt;=Hypothèses!$V$11,Hypothèses!$X$11,IF(CS74&lt;=Hypothèses!$V$12,Hypothèses!$X$12,IF(CS74&lt;=Hypothèses!$V$13,Hypothèses!$X$13,IF(CS74&lt;=Hypothèses!$V$14,Hypothèses!$X$14,IF(CS74&lt;=Hypothèses!$V$15,Hypothèses!$X$15,IF(CS74&lt;=Hypothèses!$V$16,Hypothèses!$X$16,IF(CS74&lt;=Hypothèses!$U$17,Hypothèses!$W$17,IF(CS74&lt;=Hypothèses!$U$18,Hypothèses!$W$18,""))))))))))))</f>
        <v>#DIV/0!</v>
      </c>
      <c r="DP74" s="95" t="e">
        <f t="shared" ca="1" si="89"/>
        <v>#DIV/0!</v>
      </c>
      <c r="DQ74" s="101">
        <f t="shared" si="128"/>
        <v>0</v>
      </c>
      <c r="DR74" s="91">
        <f t="shared" si="48"/>
        <v>0</v>
      </c>
      <c r="DS74" s="30" t="e">
        <f t="shared" si="110"/>
        <v>#N/A</v>
      </c>
      <c r="DT74" s="30" t="e">
        <f t="shared" si="111"/>
        <v>#N/A</v>
      </c>
      <c r="DU74" s="31" t="e">
        <f>IF(OR(Hypothèses!$B$4=17,Hypothèses!$B$4=18,Hypothèses!$B$4=19,Hypothèses!$B$4=20),
IF($D74="Pressio.",
IF(OR($E74=3,$E74=1,$E74=4),DT74,DS74),
IF($D74="Pénétro.",
IF(OR($E74=3,$E74=1,$E74=4),DT74,DS74))),IF($D74="Pressio.",
IF($E74=3,DT74,DS74),
IF($D74="Pénétro.",
IF($E74=4,DT74,DS74))))</f>
        <v>#N/A</v>
      </c>
      <c r="DV74" s="31">
        <v>0</v>
      </c>
      <c r="DW74" s="102" t="e">
        <f>IF(NDC!$H$10="Oui",(VLOOKUP($B$3,'Coeff EC7'!$T$39:$X$59,2,0)*DU74+VLOOKUP($B$3,'Coeff EC7'!$T$65:$X$85,2,0)*Model0.1T!DV74)/1.5,PI()*DS$12*$Q74*($B74-$B73)*0.15/10+DW73)</f>
        <v>#N/A</v>
      </c>
      <c r="DX74" s="102" t="e">
        <f>(VLOOKUP($B$3,'Coeff EC7'!$T$39:$X$59,3,0)*DU74+VLOOKUP($B$3,'Coeff EC7'!$T$65:$X$85,3,0)*Model0.1T!DV74)/1.1</f>
        <v>#N/A</v>
      </c>
      <c r="DY74" s="102" t="e">
        <f t="shared" si="90"/>
        <v>#N/A</v>
      </c>
      <c r="DZ74" s="102" t="e">
        <f t="shared" si="91"/>
        <v>#N/A</v>
      </c>
      <c r="EA74" s="414" t="e">
        <f>IF(AND(DW74&gt;NDC!$C$63,DX74&gt;NDC!$C$65,DY74&gt;NDC!$D$73,DZ74&gt;NDC!$D$74,$B74&gt;NDC!$H$22-0.1+MIN(3*EA$12,1.5)),0,1)</f>
        <v>#N/A</v>
      </c>
      <c r="EB74" s="86" t="b">
        <f t="shared" si="51"/>
        <v>0</v>
      </c>
      <c r="EC74" s="418">
        <f t="shared" si="52"/>
        <v>0.51</v>
      </c>
      <c r="ED74" s="86">
        <f t="shared" si="53"/>
        <v>0.51</v>
      </c>
      <c r="EE74" s="30" t="e">
        <f t="shared" ca="1" si="92"/>
        <v>#DIV/0!</v>
      </c>
      <c r="EF74" s="85" t="e">
        <f ca="1">IF(DL74&lt;=Hypothèses!$V$7,Hypothèses!$W$7,IF(DL74&lt;=Hypothèses!$V$8,Hypothèses!$W$8,IF(DL74&lt;=Hypothèses!$V$9,Hypothèses!$W$9,IF(DL74&lt;=Hypothèses!$V$10,Hypothèses!$W$10,IF(DL74&lt;=Hypothèses!$V$11,Hypothèses!$W$11,IF(DL74&lt;=Hypothèses!$V$12,Hypothèses!$W$12,IF(DL74&lt;=Hypothèses!$V$13,Hypothèses!$W$13,IF(DL74&lt;=Hypothèses!$V$14,Hypothèses!$W$14,IF(DL74&lt;=Hypothèses!$V$15,Hypothèses!$W$15,IF(DL74&lt;=Hypothèses!$V$16,Hypothèses!$W$16,IF(DL74&lt;=Hypothèses!$V$17,Hypothèses!$W$17,IF(DL74&lt;=Hypothèses!$V$18,Hypothèses!$W$18,""))))))))))))</f>
        <v>#DIV/0!</v>
      </c>
      <c r="EG74" s="87" t="e">
        <f t="shared" ca="1" si="122"/>
        <v>#DIV/0!</v>
      </c>
      <c r="EH74" s="88" t="e">
        <f ca="1">IF(DL74&lt;=Hypothèses!$V$7,Hypothèses!$X$7,IF(DL74&lt;=Hypothèses!$V$8,Hypothèses!$X$8,IF(DL74&lt;=Hypothèses!$V$9,Hypothèses!$X$9,IF(DL74&lt;=Hypothèses!$V$10,Hypothèses!$X$10,IF(DL74&lt;=Hypothèses!$V$11,Hypothèses!$X$11,IF(DL74&lt;=Hypothèses!$V$12,Hypothèses!$X$12,IF(DL74&lt;=Hypothèses!$V$13,Hypothèses!$X$13,IF(DL74&lt;=Hypothèses!$V$14,Hypothèses!$X$14,IF(DL74&lt;=Hypothèses!$V$15,Hypothèses!$X$15,IF(DL74&lt;=Hypothèses!$V$16,Hypothèses!$X$16,IF(DL74&lt;=Hypothèses!$U$17,Hypothèses!$W$17,IF(DL74&lt;=Hypothèses!$U$18,Hypothèses!$W$18,""))))))))))))</f>
        <v>#DIV/0!</v>
      </c>
      <c r="EI74" s="95" t="e">
        <f t="shared" ca="1" si="93"/>
        <v>#DIV/0!</v>
      </c>
      <c r="EJ74" s="101">
        <f t="shared" si="129"/>
        <v>0</v>
      </c>
      <c r="EK74" s="91">
        <f t="shared" si="55"/>
        <v>0</v>
      </c>
      <c r="EL74" s="30" t="e">
        <f t="shared" si="112"/>
        <v>#N/A</v>
      </c>
      <c r="EM74" s="30" t="e">
        <f t="shared" si="113"/>
        <v>#N/A</v>
      </c>
      <c r="EN74" s="31" t="e">
        <f>IF(OR(Hypothèses!$B$4=17,Hypothèses!$B$4=18,Hypothèses!$B$4=19,Hypothèses!$B$4=20),
IF($D74="Pressio.",
IF(OR($E74=3,$E74=1,$E74=4),EM74,EL74),
IF($D74="Pénétro.",
IF(OR($E74=3,$E74=1,$E74=4),EM74,EL74))),IF($D74="Pressio.",
IF($E74=3,EM74,EL74),
IF($D74="Pénétro.",
IF($E74=4,EM74,EL74))))</f>
        <v>#N/A</v>
      </c>
      <c r="EO74" s="31">
        <v>0</v>
      </c>
      <c r="EP74" s="102" t="e">
        <f>IF(NDC!$H$10="Oui",(VLOOKUP($B$3,'Coeff EC7'!$T$39:$X$59,2,0)*EN74+VLOOKUP($B$3,'Coeff EC7'!$T$65:$X$85,2,0)*Model0.1T!EO74)/1.5,PI()*EL$12*$Q74*($B74-$B73)*0.15/10+EP73)</f>
        <v>#N/A</v>
      </c>
      <c r="EQ74" s="102" t="e">
        <f>(VLOOKUP($B$3,'Coeff EC7'!$T$39:$X$59,3,0)*EN74+VLOOKUP($B$3,'Coeff EC7'!$T$65:$X$85,3,0)*Model0.1T!EO74)/1.1</f>
        <v>#N/A</v>
      </c>
      <c r="ER74" s="102" t="e">
        <f t="shared" si="94"/>
        <v>#N/A</v>
      </c>
      <c r="ES74" s="102" t="e">
        <f t="shared" si="95"/>
        <v>#N/A</v>
      </c>
      <c r="ET74" s="414" t="e">
        <f>IF(AND(EP74&gt;NDC!$C$63,EQ74&gt;NDC!$C$65,ER74&gt;NDC!$D$73,ES74&gt;NDC!$D$74,$B74&gt;NDC!$H$22-0.1+MIN(3*ET$12,1.5)),0,1)</f>
        <v>#N/A</v>
      </c>
      <c r="EU74" s="86" t="b">
        <f t="shared" si="58"/>
        <v>0</v>
      </c>
      <c r="EV74" s="86">
        <f t="shared" si="59"/>
        <v>0.61</v>
      </c>
      <c r="EW74" s="86">
        <f t="shared" si="60"/>
        <v>0.61</v>
      </c>
      <c r="EX74" s="30" t="e">
        <f t="shared" ca="1" si="96"/>
        <v>#DIV/0!</v>
      </c>
      <c r="EY74" s="85" t="e">
        <f ca="1">IF(EE74&lt;=Hypothèses!$V$7,Hypothèses!$W$7,IF(EE74&lt;=Hypothèses!$V$8,Hypothèses!$W$8,IF(EE74&lt;=Hypothèses!$V$9,Hypothèses!$W$9,IF(EE74&lt;=Hypothèses!$V$10,Hypothèses!$W$10,IF(EE74&lt;=Hypothèses!$V$11,Hypothèses!$W$11,IF(EE74&lt;=Hypothèses!$V$12,Hypothèses!$W$12,IF(EE74&lt;=Hypothèses!$V$13,Hypothèses!$W$13,IF(EE74&lt;=Hypothèses!$V$14,Hypothèses!$W$14,IF(EE74&lt;=Hypothèses!$V$15,Hypothèses!$W$15,IF(EE74&lt;=Hypothèses!$V$16,Hypothèses!$W$16,IF(EE74&lt;=Hypothèses!$V$17,Hypothèses!$W$17,IF(EE74&lt;=Hypothèses!$V$18,Hypothèses!$W$18,""))))))))))))</f>
        <v>#DIV/0!</v>
      </c>
      <c r="EZ74" s="87" t="e">
        <f t="shared" ca="1" si="123"/>
        <v>#DIV/0!</v>
      </c>
      <c r="FA74" s="88" t="e">
        <f ca="1">IF(EE74&lt;=Hypothèses!$V$7,Hypothèses!$X$7,IF(EE74&lt;=Hypothèses!$V$8,Hypothèses!$X$8,IF(EE74&lt;=Hypothèses!$V$9,Hypothèses!$X$9,IF(EE74&lt;=Hypothèses!$V$10,Hypothèses!$X$10,IF(EE74&lt;=Hypothèses!$V$11,Hypothèses!$X$11,IF(EE74&lt;=Hypothèses!$V$12,Hypothèses!$X$12,IF(EE74&lt;=Hypothèses!$V$13,Hypothèses!$X$13,IF(EE74&lt;=Hypothèses!$V$14,Hypothèses!$X$14,IF(EE74&lt;=Hypothèses!$V$15,Hypothèses!$X$15,IF(EE74&lt;=Hypothèses!$V$16,Hypothèses!$X$16,IF(EE74&lt;=Hypothèses!$U$17,Hypothèses!$W$17,IF(EE74&lt;=Hypothèses!$U$18,Hypothèses!$W$18,""))))))))))))</f>
        <v>#DIV/0!</v>
      </c>
      <c r="FB74" s="95" t="e">
        <f t="shared" ca="1" si="97"/>
        <v>#DIV/0!</v>
      </c>
      <c r="FC74" s="101">
        <f t="shared" si="130"/>
        <v>0</v>
      </c>
      <c r="FD74" s="91">
        <f t="shared" si="62"/>
        <v>0</v>
      </c>
      <c r="FE74" s="30" t="e">
        <f t="shared" si="114"/>
        <v>#N/A</v>
      </c>
      <c r="FF74" s="30" t="e">
        <f t="shared" si="115"/>
        <v>#N/A</v>
      </c>
      <c r="FG74" s="31" t="e">
        <f>IF(OR(Hypothèses!$B$4=17,Hypothèses!$B$4=18,Hypothèses!$B$4=19,Hypothèses!$B$4=20),
IF($D74="Pressio.",
IF(OR($E74=3,$E74=1,$E74=4),FF74,FE74),
IF($D74="Pénétro.",
IF(OR($E74=3,$E74=1,$E74=4),FF74,FE74))),IF($D74="Pressio.",
IF($E74=3,FF74,FE74),
IF($D74="Pénétro.",
IF($E74=4,FF74,FE74))))</f>
        <v>#N/A</v>
      </c>
      <c r="FH74" s="31">
        <v>0</v>
      </c>
      <c r="FI74" s="102" t="e">
        <f>IF(NDC!$H$10="Oui",(VLOOKUP($B$3,'Coeff EC7'!$T$39:$X$59,2,0)*FG74+VLOOKUP($B$3,'Coeff EC7'!$T$65:$X$85,2,0)*Model0.1T!FH74)/1.5,PI()*FE$12*$Q74*($B74-$B73)*0.15/10+FI73)</f>
        <v>#N/A</v>
      </c>
      <c r="FJ74" s="102" t="e">
        <f>(VLOOKUP($B$3,'Coeff EC7'!$T$39:$X$59,3,0)*FG74+VLOOKUP($B$3,'Coeff EC7'!$T$65:$X$85,3,0)*Model0.1T!FH74)/1.1</f>
        <v>#N/A</v>
      </c>
      <c r="FK74" s="102" t="e">
        <f t="shared" si="98"/>
        <v>#N/A</v>
      </c>
      <c r="FL74" s="102" t="e">
        <f t="shared" si="99"/>
        <v>#N/A</v>
      </c>
      <c r="FM74" s="414" t="e">
        <f>IF(AND(FI74&gt;NDC!$C$63,FJ74&gt;NDC!$C$65,FK74&gt;NDC!$D$73,FL74&gt;NDC!$D$74,$B74&gt;NDC!$H$22-0.1+MIN(3*FM$12,1.5)),0,1)</f>
        <v>#N/A</v>
      </c>
    </row>
    <row r="75" spans="1:169">
      <c r="A75" s="96">
        <f t="shared" si="65"/>
        <v>93.800000000000352</v>
      </c>
      <c r="B75" s="97">
        <v>6.2</v>
      </c>
      <c r="C75" s="81">
        <f>IF(B75&lt;=Hypothèses!$C$7,Hypothèses!$A$7,IF(B75&lt;=Hypothèses!$C$8,Hypothèses!$A$8,IF(B75&lt;=Hypothèses!$C$9,Hypothèses!$A$9,IF(B75&lt;=Hypothèses!$C$10,Hypothèses!$A$10,IF(B75&lt;=Hypothèses!$C$11,Hypothèses!$A$11,IF(B75&lt;=Hypothèses!$C$12,Hypothèses!$A$12,IF(B75&lt;=Hypothèses!$C$13,Hypothèses!$A$13,IF(B75&lt;=Hypothèses!$C$14,Hypothèses!$A$14,IF(B75&lt;=Hypothèses!$C$15,Hypothèses!$A$15,IF(B75&lt;=Hypothèses!$C$16,Hypothèses!$A$16,IF(B75&lt;=Hypothèses!$C$17,Hypothèses!$A$17,IF(B75&lt;=Hypothèses!$C$18,Hypothèses!$A$18,C74))))))))))))</f>
        <v>11</v>
      </c>
      <c r="D75" s="82" t="str">
        <f>IF(B75&lt;=Hypothèses!$C$7,Hypothèses!$R$7,IF(B75&lt;=Hypothèses!$C$8,Hypothèses!$R$8,IF(B75&lt;=Hypothèses!$C$9,Hypothèses!$R$9,IF(B75&lt;=Hypothèses!$C$10,Hypothèses!$R$10,IF(B75&lt;=Hypothèses!$C$11,Hypothèses!$R$11,IF(B75&lt;=Hypothèses!$C$12,Hypothèses!$R$12,IF(B75&lt;=Hypothèses!$C$13,Hypothèses!$R$13,IF(B75&lt;=Hypothèses!$C$14,Hypothèses!$R$14,IF(B75&lt;=Hypothèses!$C$15,Hypothèses!$R$15,IF(B75&lt;=Hypothèses!$C$16,Hypothèses!$R$16,IF(B75&lt;=Hypothèses!$C$17,Hypothèses!$R$17,IF(B75&lt;=Hypothèses!$C$18,Hypothèses!$R$18,D74))))))))))))</f>
        <v>Pressio.</v>
      </c>
      <c r="E75" s="82" t="e">
        <f>IF(B75&lt;=Hypothèses!$C$7,Hypothèses!$G$7,IF(B75&lt;=Hypothèses!$C$8,Hypothèses!$G$8,IF(B75&lt;=Hypothèses!$C$9,Hypothèses!$G$9,IF(B75&lt;=Hypothèses!$C$10,Hypothèses!$G$10,IF(B75&lt;=Hypothèses!$C$11,Hypothèses!$G$11,IF(B75&lt;=Hypothèses!$C$12,Hypothèses!$G$12,IF(B75&lt;=Hypothèses!$C$13,Hypothèses!$G$13,IF(B75&lt;=Hypothèses!$C$14,Hypothèses!$G$14,IF(B75&lt;=Hypothèses!$C$15,Hypothèses!$G$15,IF(B75&lt;=Hypothèses!$C$16,Hypothèses!$G$16,IF(B75&lt;=Hypothèses!$C$17,Hypothèses!$G$17,IF(B75&lt;=Hypothèses!$C$18,Hypothèses!$G$18,E74))))))))))))</f>
        <v>#N/A</v>
      </c>
      <c r="F75" s="82" t="str">
        <f>IF(B75&lt;=Hypothèses!$C$7,Hypothèses!$F$7,IF(B75&lt;=Hypothèses!$C$8,Hypothèses!$F$8,IF(B75&lt;=Hypothèses!$C$9,Hypothèses!$F$9,IF(B75&lt;=Hypothèses!$C$10,Hypothèses!$F$10,IF(B75&lt;=Hypothèses!$C$11,Hypothèses!$F$11,IF(B75&lt;=Hypothèses!$C$12,Hypothèses!$F$12,IF(B75&lt;=Hypothèses!$C$13,Hypothèses!$F$13,IF(B75&lt;=Hypothèses!$C$14,Hypothèses!$F$14,IF(B75&lt;=Hypothèses!$C$15,Hypothèses!$F$15,IF(B75&lt;=Hypothèses!$C$16,Hypothèses!$F$16,IF(B75&lt;=Hypothèses!$C$17,Hypothèses!$F$17,IF(B75&lt;=Hypothèses!$C$18,Hypothèses!$F$18,F74))))))))))))</f>
        <v/>
      </c>
      <c r="G75" s="91">
        <f t="array" ref="G75">INDEX('Coeff EC7'!$U$7:$X$27,
MATCH(Model0.1T!$B$3,'Coeff EC7'!$T$7:$T$27,0),
MATCH(Model0.1T!$D75&amp;Model0.1T!$B$4,
'Coeff EC7'!$U$6:$X$6&amp;
'Coeff EC7'!$U$5:$X$5,0))</f>
        <v>1.4</v>
      </c>
      <c r="H75" s="91">
        <f t="array" ref="H75">INDEX('Coeff EC7'!$Y$7:$AB$27,
MATCH(Model0.1T!$B$3,'Coeff EC7'!$T$7:$T$27,0),
MATCH(Model0.1T!$D75&amp;Model0.1T!$B$4,
'Coeff EC7'!$Y$6:$AB$6&amp;
'Coeff EC7'!$Y$5:$AB$5,0))</f>
        <v>1.7</v>
      </c>
      <c r="I75" s="83">
        <v>0</v>
      </c>
      <c r="J75" s="91" t="e">
        <f t="array" ref="J75">INDEX('Coeff EC7'!$D$33:$Q$33,1,MATCH(D75&amp;E75,'Coeff EC7'!$D$31:$Q$31&amp;'Coeff EC7'!$D$32:$Q$32,0))</f>
        <v>#N/A</v>
      </c>
      <c r="K75" s="91" t="e">
        <f t="array" ref="K75">INDEX('Coeff EC7'!$D$34:$Q$34,1,MATCH(D75&amp;E75,'Coeff EC7'!$D$31:$Q$31&amp;'Coeff EC7'!$D$32:$Q$32,0))</f>
        <v>#N/A</v>
      </c>
      <c r="L75" s="91" t="e">
        <f t="array" ref="L75">INDEX('Coeff EC7'!$D$35:$Q$35,1,MATCH(D75&amp;E75,'Coeff EC7'!$D$31:$Q$31&amp;'Coeff EC7'!$D$32:$Q$32,0))</f>
        <v>#N/A</v>
      </c>
      <c r="M75" s="98" t="e">
        <f t="shared" si="8"/>
        <v>#N/A</v>
      </c>
      <c r="N75" s="99" t="e">
        <f t="array" ref="N75">INDEX('Coeff EC7'!$D$7:$Q$27,MATCH($B$3,'Coeff EC7'!$C$7:$C$27,0),MATCH(D75&amp;E75,'Coeff EC7'!$D$5:$Q$5&amp;'Coeff EC7'!$D$6:$Q$6,0))</f>
        <v>#N/A</v>
      </c>
      <c r="O75" s="99" t="e">
        <f t="array" ref="O75">INDEX('Coeff EC7'!$D$41:$Q$61,MATCH($B$3,'Coeff EC7'!$C$41:$C$61,0),MATCH(D75&amp;E75,'Coeff EC7'!$D$39:$Q$39&amp;'Coeff EC7'!$D$40:$Q$40,0))</f>
        <v>#N/A</v>
      </c>
      <c r="P75" s="30" t="e">
        <f t="shared" si="66"/>
        <v>#N/A</v>
      </c>
      <c r="Q75" s="100" t="e">
        <f t="shared" si="10"/>
        <v>#N/A</v>
      </c>
      <c r="R75" s="86" t="b">
        <f t="shared" si="11"/>
        <v>0</v>
      </c>
      <c r="S75" s="86">
        <f t="shared" si="9"/>
        <v>0.5</v>
      </c>
      <c r="T75" s="86">
        <f t="shared" si="12"/>
        <v>0.5</v>
      </c>
      <c r="U75" s="30" t="e">
        <f t="shared" ca="1" si="67"/>
        <v>#DIV/0!</v>
      </c>
      <c r="V75" s="85" t="str">
        <f>IF(B75&lt;=Hypothèses!$V$7,Hypothèses!$W$7,IF(B75&lt;=Hypothèses!$V$8,Hypothèses!$W$8,IF(B75&lt;=Hypothèses!$V$9,Hypothèses!$W$9,IF(B75&lt;=Hypothèses!$V$10,Hypothèses!$W$10,IF(B75&lt;=Hypothèses!$V$11,Hypothèses!$W$11,IF(B75&lt;=Hypothèses!$V$12,Hypothèses!$W$12,IF(B75&lt;=Hypothèses!$V$13,Hypothèses!$W$13,IF(B75&lt;=Hypothèses!$V$14,Hypothèses!$W$14,IF(B75&lt;=Hypothèses!$V$15,Hypothèses!$W$15,IF(B75&lt;=Hypothèses!$V$16,Hypothèses!$W$16,IF(B75&lt;=Hypothèses!$V$17,Hypothèses!$W$17,IF(B75&lt;=Hypothèses!$V$18,Hypothèses!$W$18,""))))))))))))</f>
        <v/>
      </c>
      <c r="W75" s="87" t="e">
        <f t="shared" ca="1" si="116"/>
        <v>#DIV/0!</v>
      </c>
      <c r="X75" s="88" t="str">
        <f>IF(B75&lt;=Hypothèses!$V$7,Hypothèses!$X$7,IF(B75&lt;=Hypothèses!$V$8,Hypothèses!$X$8,IF(B75&lt;=Hypothèses!$V$9,Hypothèses!$X$9,IF(B75&lt;=Hypothèses!$V$10,Hypothèses!$X$10,IF(B75&lt;=Hypothèses!$V$11,Hypothèses!$X$11,IF(B75&lt;=Hypothèses!$V$12,Hypothèses!$X$12,IF(B75&lt;=Hypothèses!$V$13,Hypothèses!$X$13,IF(B75&lt;=Hypothèses!$V$14,Hypothèses!$X$14,IF(B75&lt;=Hypothèses!$V$15,Hypothèses!$X$15,IF(B75&lt;=Hypothèses!$V$16,Hypothèses!$X$16,IF(B75&lt;=Hypothèses!$U$17,Hypothèses!$W$17,IF(B75&lt;=Hypothèses!$U$18,Hypothèses!$W$18,""))))))))))))</f>
        <v/>
      </c>
      <c r="Y75" s="95" t="e">
        <f t="shared" ca="1" si="13"/>
        <v>#DIV/0!</v>
      </c>
      <c r="Z75" s="101">
        <f t="shared" si="14"/>
        <v>0</v>
      </c>
      <c r="AA75" s="91">
        <f t="shared" si="15"/>
        <v>0</v>
      </c>
      <c r="AB75" s="30" t="e">
        <f t="shared" si="100"/>
        <v>#N/A</v>
      </c>
      <c r="AC75" s="30" t="e">
        <f t="shared" si="101"/>
        <v>#N/A</v>
      </c>
      <c r="AD75" s="31" t="e">
        <f>IF(OR(Hypothèses!$B$4=17,Hypothèses!$B$4=18,Hypothèses!$B$4=19,Hypothèses!$B$4=20),
IF($D75="Pressio.",
IF(OR($E75=3,$E75=1,$E75=4),AC75,AB75),
IF($D75="Pénétro.",
IF(OR($E75=3,$E75=1,$E75=4),AC75,AB75))),IF($D75="Pressio.",
IF($E75=3,AC75,AB75),
IF($D75="Pénétro.",
IF($E75=4,AC75,AB75))))</f>
        <v>#N/A</v>
      </c>
      <c r="AE75" s="31">
        <v>0</v>
      </c>
      <c r="AF75" s="102" t="e">
        <f>IF(NDC!$H$10="Oui",(VLOOKUP($B$3,'Coeff EC7'!$T$39:$X$59,2,0)*AD75+VLOOKUP($B$3,'Coeff EC7'!$T$65:$X$85,2,0)*Model0.1T!AE75)/1.5,PI()*AB$12*$Q75*($B75-$B74)*0.15/10+AF74)</f>
        <v>#N/A</v>
      </c>
      <c r="AG75" s="102" t="e">
        <f>(VLOOKUP($B$3,'Coeff EC7'!$T$39:$X$59,3,0)*AD75+VLOOKUP($B$3,'Coeff EC7'!$T$65:$X$85,3,0)*Model0.1T!AE75)/1.1</f>
        <v>#N/A</v>
      </c>
      <c r="AH75" s="102" t="e">
        <f t="shared" si="68"/>
        <v>#N/A</v>
      </c>
      <c r="AI75" s="102" t="e">
        <f t="shared" si="69"/>
        <v>#N/A</v>
      </c>
      <c r="AJ75" s="414" t="e">
        <f>IF(AND(AF75&gt;NDC!$C$63,AG75&gt;NDC!$C$65,AH75&gt;NDC!$D$73,AI75&gt;NDC!$D$74,$B75&gt;NDC!$H$22-0.1+MIN(3*$AJ$12,1.5)),0,1)</f>
        <v>#N/A</v>
      </c>
      <c r="AK75" s="86" t="b">
        <f t="shared" si="18"/>
        <v>0</v>
      </c>
      <c r="AL75" s="86">
        <f t="shared" si="70"/>
        <v>0.5</v>
      </c>
      <c r="AM75" s="86">
        <f t="shared" si="19"/>
        <v>0.5</v>
      </c>
      <c r="AN75" s="30" t="e">
        <f t="shared" ca="1" si="71"/>
        <v>#DIV/0!</v>
      </c>
      <c r="AO75" s="85" t="e">
        <f ca="1">IF(U75&lt;=Hypothèses!$V$7,Hypothèses!$W$7,IF(U75&lt;=Hypothèses!$V$8,Hypothèses!$W$8,IF(U75&lt;=Hypothèses!$V$9,Hypothèses!$W$9,IF(U75&lt;=Hypothèses!$V$10,Hypothèses!$W$10,IF(U75&lt;=Hypothèses!$V$11,Hypothèses!$W$11,IF(U75&lt;=Hypothèses!$V$12,Hypothèses!$W$12,IF(U75&lt;=Hypothèses!$V$13,Hypothèses!$W$13,IF(U75&lt;=Hypothèses!$V$14,Hypothèses!$W$14,IF(U75&lt;=Hypothèses!$V$15,Hypothèses!$W$15,IF(U75&lt;=Hypothèses!$V$16,Hypothèses!$W$16,IF(U75&lt;=Hypothèses!$V$17,Hypothèses!$W$17,IF(U75&lt;=Hypothèses!$V$18,Hypothèses!$W$18,""))))))))))))</f>
        <v>#DIV/0!</v>
      </c>
      <c r="AP75" s="87" t="e">
        <f t="shared" ca="1" si="117"/>
        <v>#DIV/0!</v>
      </c>
      <c r="AQ75" s="88" t="e">
        <f ca="1">IF(U75&lt;=Hypothèses!$V$7,Hypothèses!$X$7,IF(U75&lt;=Hypothèses!$V$8,Hypothèses!$X$8,IF(U75&lt;=Hypothèses!$V$9,Hypothèses!$X$9,IF(U75&lt;=Hypothèses!$V$10,Hypothèses!$X$10,IF(U75&lt;=Hypothèses!$V$11,Hypothèses!$X$11,IF(U75&lt;=Hypothèses!$V$12,Hypothèses!$X$12,IF(U75&lt;=Hypothèses!$V$13,Hypothèses!$X$13,IF(U75&lt;=Hypothèses!$V$14,Hypothèses!$X$14,IF(U75&lt;=Hypothèses!$V$15,Hypothèses!$X$15,IF(U75&lt;=Hypothèses!$V$16,Hypothèses!$X$16,IF(U75&lt;=Hypothèses!$U$17,Hypothèses!$W$17,IF(U75&lt;=Hypothèses!$U$18,Hypothèses!$W$18,""))))))))))))</f>
        <v>#DIV/0!</v>
      </c>
      <c r="AR75" s="95" t="e">
        <f t="shared" ca="1" si="72"/>
        <v>#DIV/0!</v>
      </c>
      <c r="AS75" s="101">
        <f t="shared" si="124"/>
        <v>0</v>
      </c>
      <c r="AT75" s="91">
        <f t="shared" si="21"/>
        <v>0</v>
      </c>
      <c r="AU75" s="30" t="e">
        <f t="shared" si="102"/>
        <v>#N/A</v>
      </c>
      <c r="AV75" s="30" t="e">
        <f t="shared" si="103"/>
        <v>#N/A</v>
      </c>
      <c r="AW75" s="31" t="e">
        <f>IF(OR(Hypothèses!$B$4=17,Hypothèses!$B$4=18,Hypothèses!$B$4=19,Hypothèses!$B$4=20),
IF($D75="Pressio.",
IF(OR($E75=3,$E75=1,$E75=4),AV75,AU75),
IF($D75="Pénétro.",
IF(OR($E75=3,$E75=1,$E75=4),AV75,AU75))),IF($D75="Pressio.",
IF($E75=3,AV75,AU75),
IF($D75="Pénétro.",
IF($E75=4,AV75,AU75))))</f>
        <v>#N/A</v>
      </c>
      <c r="AX75" s="31">
        <v>0</v>
      </c>
      <c r="AY75" s="102" t="e">
        <f>IF(NDC!$H$10="Oui",(VLOOKUP($B$3,'Coeff EC7'!$T$39:$X$59,2,0)*AW75+VLOOKUP($B$3,'Coeff EC7'!$T$65:$X$85,2,0)*Model0.1T!AX75)/1.5,PI()*AU$12*$Q75*($B75-$B74)*0.15/10+AY74)</f>
        <v>#N/A</v>
      </c>
      <c r="AZ75" s="102" t="e">
        <f>(VLOOKUP($B$3,'Coeff EC7'!$T$39:$X$59,3,0)*AW75+VLOOKUP($B$3,'Coeff EC7'!$T$65:$X$85,3,0)*Model0.1T!AX75)/1.1</f>
        <v>#N/A</v>
      </c>
      <c r="BA75" s="102" t="e">
        <f t="shared" si="73"/>
        <v>#N/A</v>
      </c>
      <c r="BB75" s="102" t="e">
        <f t="shared" si="74"/>
        <v>#N/A</v>
      </c>
      <c r="BC75" s="414" t="e">
        <f>IF(AND(AY75&gt;NDC!$C$63,AZ75&gt;NDC!$C$65,BA75&gt;NDC!$D$73,BB75&gt;NDC!$D$74,$B75&gt;NDC!$H$22-0.1+MIN(3*BC$12,1.5)),0,1)</f>
        <v>#N/A</v>
      </c>
      <c r="BD75" s="86" t="b">
        <f t="shared" si="24"/>
        <v>0</v>
      </c>
      <c r="BE75" s="86">
        <f t="shared" si="75"/>
        <v>0.5</v>
      </c>
      <c r="BF75" s="86">
        <f t="shared" si="25"/>
        <v>0.5</v>
      </c>
      <c r="BG75" s="30" t="e">
        <f t="shared" ca="1" si="76"/>
        <v>#DIV/0!</v>
      </c>
      <c r="BH75" s="85" t="e">
        <f ca="1">IF(AN75&lt;=Hypothèses!$V$7,Hypothèses!$W$7,IF(AN75&lt;=Hypothèses!$V$8,Hypothèses!$W$8,IF(AN75&lt;=Hypothèses!$V$9,Hypothèses!$W$9,IF(AN75&lt;=Hypothèses!$V$10,Hypothèses!$W$10,IF(AN75&lt;=Hypothèses!$V$11,Hypothèses!$W$11,IF(AN75&lt;=Hypothèses!$V$12,Hypothèses!$W$12,IF(AN75&lt;=Hypothèses!$V$13,Hypothèses!$W$13,IF(AN75&lt;=Hypothèses!$V$14,Hypothèses!$W$14,IF(AN75&lt;=Hypothèses!$V$15,Hypothèses!$W$15,IF(AN75&lt;=Hypothèses!$V$16,Hypothèses!$W$16,IF(AN75&lt;=Hypothèses!$V$17,Hypothèses!$W$17,IF(AN75&lt;=Hypothèses!$V$18,Hypothèses!$W$18,""))))))))))))</f>
        <v>#DIV/0!</v>
      </c>
      <c r="BI75" s="87" t="e">
        <f t="shared" ca="1" si="118"/>
        <v>#DIV/0!</v>
      </c>
      <c r="BJ75" s="88" t="e">
        <f ca="1">IF(AN75&lt;=Hypothèses!$V$7,Hypothèses!$X$7,IF(AN75&lt;=Hypothèses!$V$8,Hypothèses!$X$8,IF(AN75&lt;=Hypothèses!$V$9,Hypothèses!$X$9,IF(AN75&lt;=Hypothèses!$V$10,Hypothèses!$X$10,IF(AN75&lt;=Hypothèses!$V$11,Hypothèses!$X$11,IF(AN75&lt;=Hypothèses!$V$12,Hypothèses!$X$12,IF(AN75&lt;=Hypothèses!$V$13,Hypothèses!$X$13,IF(AN75&lt;=Hypothèses!$V$14,Hypothèses!$X$14,IF(AN75&lt;=Hypothèses!$V$15,Hypothèses!$X$15,IF(AN75&lt;=Hypothèses!$V$16,Hypothèses!$X$16,IF(AN75&lt;=Hypothèses!$U$17,Hypothèses!$W$17,IF(AN75&lt;=Hypothèses!$U$18,Hypothèses!$W$18,""))))))))))))</f>
        <v>#DIV/0!</v>
      </c>
      <c r="BK75" s="95" t="e">
        <f t="shared" ca="1" si="77"/>
        <v>#DIV/0!</v>
      </c>
      <c r="BL75" s="101">
        <f t="shared" si="125"/>
        <v>0</v>
      </c>
      <c r="BM75" s="91">
        <f t="shared" si="27"/>
        <v>0</v>
      </c>
      <c r="BN75" s="30" t="e">
        <f t="shared" si="104"/>
        <v>#N/A</v>
      </c>
      <c r="BO75" s="30" t="e">
        <f t="shared" si="105"/>
        <v>#N/A</v>
      </c>
      <c r="BP75" s="31" t="e">
        <f>IF(OR(Hypothèses!$B$4=17,Hypothèses!$B$4=18,Hypothèses!$B$4=19,Hypothèses!$B$4=20),
IF($D75="Pressio.",
IF(OR($E75=3,$E75=1,$E75=4),BO75,BN75),
IF($D75="Pénétro.",
IF(OR($E75=3,$E75=1,$E75=4),BO75,BN75))),IF($D75="Pressio.",
IF($E75=3,BO75,BN75),
IF($D75="Pénétro.",
IF($E75=4,BO75,BN75))))</f>
        <v>#N/A</v>
      </c>
      <c r="BQ75" s="31">
        <v>0</v>
      </c>
      <c r="BR75" s="102" t="e">
        <f>IF(NDC!$H$10="Oui",(VLOOKUP($B$3,'Coeff EC7'!$T$39:$X$59,2,0)*BP75+VLOOKUP($B$3,'Coeff EC7'!$T$65:$X$85,2,0)*Model0.1T!BQ75)/1.5,PI()*BN$12*$Q75*($B75-$B74)*0.15/10+BR74)</f>
        <v>#N/A</v>
      </c>
      <c r="BS75" s="102" t="e">
        <f>(VLOOKUP($B$3,'Coeff EC7'!$T$39:$X$59,3,0)*BP75+VLOOKUP($B$3,'Coeff EC7'!$T$65:$X$85,3,0)*Model0.1T!BQ75)/1.1</f>
        <v>#N/A</v>
      </c>
      <c r="BT75" s="102" t="e">
        <f t="shared" si="78"/>
        <v>#N/A</v>
      </c>
      <c r="BU75" s="102" t="e">
        <f t="shared" si="79"/>
        <v>#N/A</v>
      </c>
      <c r="BV75" s="414" t="e">
        <f>IF(AND(BR75&gt;NDC!$C$63,BS75&gt;NDC!$C$65,BT75&gt;NDC!$D$73,BU75&gt;NDC!$D$74,$B75&gt;NDC!$H$22-0.1+MIN(3*BV$12,1.5)),0,1)</f>
        <v>#N/A</v>
      </c>
      <c r="BW75" s="86" t="b">
        <f t="shared" si="30"/>
        <v>0</v>
      </c>
      <c r="BX75" s="86">
        <f t="shared" si="31"/>
        <v>0.5</v>
      </c>
      <c r="BY75" s="86">
        <f t="shared" si="32"/>
        <v>0.5</v>
      </c>
      <c r="BZ75" s="30" t="e">
        <f t="shared" ca="1" si="80"/>
        <v>#DIV/0!</v>
      </c>
      <c r="CA75" s="85" t="e">
        <f ca="1">IF(BG75&lt;=Hypothèses!$V$7,Hypothèses!$W$7,IF(BG75&lt;=Hypothèses!$V$8,Hypothèses!$W$8,IF(BG75&lt;=Hypothèses!$V$9,Hypothèses!$W$9,IF(BG75&lt;=Hypothèses!$V$10,Hypothèses!$W$10,IF(BG75&lt;=Hypothèses!$V$11,Hypothèses!$W$11,IF(BG75&lt;=Hypothèses!$V$12,Hypothèses!$W$12,IF(BG75&lt;=Hypothèses!$V$13,Hypothèses!$W$13,IF(BG75&lt;=Hypothèses!$V$14,Hypothèses!$W$14,IF(BG75&lt;=Hypothèses!$V$15,Hypothèses!$W$15,IF(BG75&lt;=Hypothèses!$V$16,Hypothèses!$W$16,IF(BG75&lt;=Hypothèses!$V$17,Hypothèses!$W$17,IF(BG75&lt;=Hypothèses!$V$18,Hypothèses!$W$18,""))))))))))))</f>
        <v>#DIV/0!</v>
      </c>
      <c r="CB75" s="87" t="e">
        <f t="shared" ca="1" si="119"/>
        <v>#DIV/0!</v>
      </c>
      <c r="CC75" s="88" t="e">
        <f ca="1">IF(BG75&lt;=Hypothèses!$V$7,Hypothèses!$X$7,IF(BG75&lt;=Hypothèses!$V$8,Hypothèses!$X$8,IF(BG75&lt;=Hypothèses!$V$9,Hypothèses!$X$9,IF(BG75&lt;=Hypothèses!$V$10,Hypothèses!$X$10,IF(BG75&lt;=Hypothèses!$V$11,Hypothèses!$X$11,IF(BG75&lt;=Hypothèses!$V$12,Hypothèses!$X$12,IF(BG75&lt;=Hypothèses!$V$13,Hypothèses!$X$13,IF(BG75&lt;=Hypothèses!$V$14,Hypothèses!$X$14,IF(BG75&lt;=Hypothèses!$V$15,Hypothèses!$X$15,IF(BG75&lt;=Hypothèses!$V$16,Hypothèses!$X$16,IF(BG75&lt;=Hypothèses!$U$17,Hypothèses!$W$17,IF(BG75&lt;=Hypothèses!$U$18,Hypothèses!$W$18,""))))))))))))</f>
        <v>#DIV/0!</v>
      </c>
      <c r="CD75" s="95" t="e">
        <f t="shared" ca="1" si="81"/>
        <v>#DIV/0!</v>
      </c>
      <c r="CE75" s="101">
        <f t="shared" si="126"/>
        <v>0</v>
      </c>
      <c r="CF75" s="91">
        <f t="shared" si="34"/>
        <v>0</v>
      </c>
      <c r="CG75" s="30" t="e">
        <f t="shared" si="106"/>
        <v>#N/A</v>
      </c>
      <c r="CH75" s="30" t="e">
        <f t="shared" si="107"/>
        <v>#N/A</v>
      </c>
      <c r="CI75" s="31" t="e">
        <f>IF(OR(Hypothèses!$B$4=17,Hypothèses!$B$4=18,Hypothèses!$B$4=19,Hypothèses!$B$4=20),
IF($D75="Pressio.",
IF(OR($E75=3,$E75=1,$E75=4),CH75,CG75),
IF($D75="Pénétro.",
IF(OR($E75=3,$E75=1,$E75=4),CH75,CG75))),IF($D75="Pressio.",
IF($E75=3,CH75,CG75),
IF($D75="Pénétro.",
IF($E75=4,CH75,CG75))))</f>
        <v>#N/A</v>
      </c>
      <c r="CJ75" s="31">
        <v>0</v>
      </c>
      <c r="CK75" s="102" t="e">
        <f>IF(NDC!$H$10="Oui",(VLOOKUP($B$3,'Coeff EC7'!$T$39:$X$59,2,0)*CI75+VLOOKUP($B$3,'Coeff EC7'!$T$65:$X$85,2,0)*Model0.1T!CJ75)/1.5,PI()*CG$12*$Q75*($B75-$B74)*0.15/10+CK74)</f>
        <v>#N/A</v>
      </c>
      <c r="CL75" s="102" t="e">
        <f>(VLOOKUP($B$3,'Coeff EC7'!$T$39:$X$59,3,0)*CI75+VLOOKUP($B$3,'Coeff EC7'!$T$65:$X$85,3,0)*Model0.1T!CJ75)/1.1</f>
        <v>#N/A</v>
      </c>
      <c r="CM75" s="102" t="e">
        <f t="shared" si="82"/>
        <v>#N/A</v>
      </c>
      <c r="CN75" s="102" t="e">
        <f t="shared" si="83"/>
        <v>#N/A</v>
      </c>
      <c r="CO75" s="414" t="e">
        <f>IF(AND(CK75&gt;NDC!$C$63,CL75&gt;NDC!$C$65,CM75&gt;NDC!$D$73,CN75&gt;NDC!$D$74,$B75&gt;NDC!$H$22-0.1+MIN(3*CO$12,1.5)),0,1)</f>
        <v>#N/A</v>
      </c>
      <c r="CP75" s="86" t="b">
        <f t="shared" si="37"/>
        <v>0</v>
      </c>
      <c r="CQ75" s="86">
        <f t="shared" si="38"/>
        <v>0.5</v>
      </c>
      <c r="CR75" s="86">
        <f t="shared" si="39"/>
        <v>0.5</v>
      </c>
      <c r="CS75" s="30" t="e">
        <f t="shared" ca="1" si="84"/>
        <v>#DIV/0!</v>
      </c>
      <c r="CT75" s="85" t="e">
        <f ca="1">IF(BZ75&lt;=Hypothèses!$V$7,Hypothèses!$W$7,IF(BZ75&lt;=Hypothèses!$V$8,Hypothèses!$W$8,IF(BZ75&lt;=Hypothèses!$V$9,Hypothèses!$W$9,IF(BZ75&lt;=Hypothèses!$V$10,Hypothèses!$W$10,IF(BZ75&lt;=Hypothèses!$V$11,Hypothèses!$W$11,IF(BZ75&lt;=Hypothèses!$V$12,Hypothèses!$W$12,IF(BZ75&lt;=Hypothèses!$V$13,Hypothèses!$W$13,IF(BZ75&lt;=Hypothèses!$V$14,Hypothèses!$W$14,IF(BZ75&lt;=Hypothèses!$V$15,Hypothèses!$W$15,IF(BZ75&lt;=Hypothèses!$V$16,Hypothèses!$W$16,IF(BZ75&lt;=Hypothèses!$V$17,Hypothèses!$W$17,IF(BZ75&lt;=Hypothèses!$V$18,Hypothèses!$W$18,""))))))))))))</f>
        <v>#DIV/0!</v>
      </c>
      <c r="CU75" s="87" t="e">
        <f t="shared" ca="1" si="120"/>
        <v>#DIV/0!</v>
      </c>
      <c r="CV75" s="88" t="e">
        <f ca="1">IF(BZ75&lt;=Hypothèses!$V$7,Hypothèses!$X$7,IF(BZ75&lt;=Hypothèses!$V$8,Hypothèses!$X$8,IF(BZ75&lt;=Hypothèses!$V$9,Hypothèses!$X$9,IF(BZ75&lt;=Hypothèses!$V$10,Hypothèses!$X$10,IF(BZ75&lt;=Hypothèses!$V$11,Hypothèses!$X$11,IF(BZ75&lt;=Hypothèses!$V$12,Hypothèses!$X$12,IF(BZ75&lt;=Hypothèses!$V$13,Hypothèses!$X$13,IF(BZ75&lt;=Hypothèses!$V$14,Hypothèses!$X$14,IF(BZ75&lt;=Hypothèses!$V$15,Hypothèses!$X$15,IF(BZ75&lt;=Hypothèses!$V$16,Hypothèses!$X$16,IF(BZ75&lt;=Hypothèses!$U$17,Hypothèses!$W$17,IF(BZ75&lt;=Hypothèses!$U$18,Hypothèses!$W$18,""))))))))))))</f>
        <v>#DIV/0!</v>
      </c>
      <c r="CW75" s="95" t="e">
        <f t="shared" ca="1" si="85"/>
        <v>#DIV/0!</v>
      </c>
      <c r="CX75" s="101">
        <f t="shared" si="127"/>
        <v>0</v>
      </c>
      <c r="CY75" s="91">
        <f t="shared" si="41"/>
        <v>0</v>
      </c>
      <c r="CZ75" s="30" t="e">
        <f t="shared" si="108"/>
        <v>#N/A</v>
      </c>
      <c r="DA75" s="30" t="e">
        <f t="shared" si="109"/>
        <v>#N/A</v>
      </c>
      <c r="DB75" s="31" t="e">
        <f>IF(OR(Hypothèses!$B$4=17,Hypothèses!$B$4=18,Hypothèses!$B$4=19,Hypothèses!$B$4=20),
IF($D75="Pressio.",
IF(OR($E75=3,$E75=1,$E75=4),DA75,CZ75),
IF($D75="Pénétro.",
IF(OR($E75=3,$E75=1,$E75=4),DA75,CZ75))),IF($D75="Pressio.",
IF($E75=3,DA75,CZ75),
IF($D75="Pénétro.",
IF($E75=4,DA75,CZ75))))</f>
        <v>#N/A</v>
      </c>
      <c r="DC75" s="31">
        <v>0</v>
      </c>
      <c r="DD75" s="102" t="e">
        <f>IF(NDC!$H$10="Oui",(VLOOKUP($B$3,'Coeff EC7'!$T$39:$X$59,2,0)*DB75+VLOOKUP($B$3,'Coeff EC7'!$T$65:$X$85,2,0)*Model0.1T!DC75)/1.5,PI()*CZ$12*$Q75*($B75-$B74)*0.15/10+DD74)</f>
        <v>#N/A</v>
      </c>
      <c r="DE75" s="102" t="e">
        <f>(VLOOKUP($B$3,'Coeff EC7'!$T$39:$X$59,3,0)*DB75+VLOOKUP($B$3,'Coeff EC7'!$T$65:$X$85,3,0)*Model0.1T!DC75)/1.1</f>
        <v>#N/A</v>
      </c>
      <c r="DF75" s="102" t="e">
        <f t="shared" si="86"/>
        <v>#N/A</v>
      </c>
      <c r="DG75" s="102" t="e">
        <f t="shared" si="87"/>
        <v>#N/A</v>
      </c>
      <c r="DH75" s="414" t="e">
        <f>IF(AND(DD75&gt;NDC!$C$63,DE75&gt;NDC!$C$65,DF75&gt;NDC!$D$73,DG75&gt;NDC!$D$74,$B75&gt;NDC!$H$22-0.1+MIN(3*DH$12,1.5)),0,1)</f>
        <v>#N/A</v>
      </c>
      <c r="DI75" s="86" t="b">
        <f t="shared" si="44"/>
        <v>0</v>
      </c>
      <c r="DJ75" s="86">
        <f t="shared" si="45"/>
        <v>0.5</v>
      </c>
      <c r="DK75" s="86">
        <f t="shared" si="46"/>
        <v>0.5</v>
      </c>
      <c r="DL75" s="30" t="e">
        <f t="shared" ca="1" si="88"/>
        <v>#DIV/0!</v>
      </c>
      <c r="DM75" s="85" t="e">
        <f ca="1">IF(CS75&lt;=Hypothèses!$V$7,Hypothèses!$W$7,IF(CS75&lt;=Hypothèses!$V$8,Hypothèses!$W$8,IF(CS75&lt;=Hypothèses!$V$9,Hypothèses!$W$9,IF(CS75&lt;=Hypothèses!$V$10,Hypothèses!$W$10,IF(CS75&lt;=Hypothèses!$V$11,Hypothèses!$W$11,IF(CS75&lt;=Hypothèses!$V$12,Hypothèses!$W$12,IF(CS75&lt;=Hypothèses!$V$13,Hypothèses!$W$13,IF(CS75&lt;=Hypothèses!$V$14,Hypothèses!$W$14,IF(CS75&lt;=Hypothèses!$V$15,Hypothèses!$W$15,IF(CS75&lt;=Hypothèses!$V$16,Hypothèses!$W$16,IF(CS75&lt;=Hypothèses!$V$17,Hypothèses!$W$17,IF(CS75&lt;=Hypothèses!$V$18,Hypothèses!$W$18,""))))))))))))</f>
        <v>#DIV/0!</v>
      </c>
      <c r="DN75" s="87" t="e">
        <f t="shared" ca="1" si="121"/>
        <v>#DIV/0!</v>
      </c>
      <c r="DO75" s="88" t="e">
        <f ca="1">IF(CS75&lt;=Hypothèses!$V$7,Hypothèses!$X$7,IF(CS75&lt;=Hypothèses!$V$8,Hypothèses!$X$8,IF(CS75&lt;=Hypothèses!$V$9,Hypothèses!$X$9,IF(CS75&lt;=Hypothèses!$V$10,Hypothèses!$X$10,IF(CS75&lt;=Hypothèses!$V$11,Hypothèses!$X$11,IF(CS75&lt;=Hypothèses!$V$12,Hypothèses!$X$12,IF(CS75&lt;=Hypothèses!$V$13,Hypothèses!$X$13,IF(CS75&lt;=Hypothèses!$V$14,Hypothèses!$X$14,IF(CS75&lt;=Hypothèses!$V$15,Hypothèses!$X$15,IF(CS75&lt;=Hypothèses!$V$16,Hypothèses!$X$16,IF(CS75&lt;=Hypothèses!$U$17,Hypothèses!$W$17,IF(CS75&lt;=Hypothèses!$U$18,Hypothèses!$W$18,""))))))))))))</f>
        <v>#DIV/0!</v>
      </c>
      <c r="DP75" s="95" t="e">
        <f t="shared" ca="1" si="89"/>
        <v>#DIV/0!</v>
      </c>
      <c r="DQ75" s="101">
        <f t="shared" si="128"/>
        <v>0</v>
      </c>
      <c r="DR75" s="91">
        <f t="shared" si="48"/>
        <v>0</v>
      </c>
      <c r="DS75" s="30" t="e">
        <f t="shared" si="110"/>
        <v>#N/A</v>
      </c>
      <c r="DT75" s="30" t="e">
        <f t="shared" si="111"/>
        <v>#N/A</v>
      </c>
      <c r="DU75" s="31" t="e">
        <f>IF(OR(Hypothèses!$B$4=17,Hypothèses!$B$4=18,Hypothèses!$B$4=19,Hypothèses!$B$4=20),
IF($D75="Pressio.",
IF(OR($E75=3,$E75=1,$E75=4),DT75,DS75),
IF($D75="Pénétro.",
IF(OR($E75=3,$E75=1,$E75=4),DT75,DS75))),IF($D75="Pressio.",
IF($E75=3,DT75,DS75),
IF($D75="Pénétro.",
IF($E75=4,DT75,DS75))))</f>
        <v>#N/A</v>
      </c>
      <c r="DV75" s="31">
        <v>0</v>
      </c>
      <c r="DW75" s="102" t="e">
        <f>IF(NDC!$H$10="Oui",(VLOOKUP($B$3,'Coeff EC7'!$T$39:$X$59,2,0)*DU75+VLOOKUP($B$3,'Coeff EC7'!$T$65:$X$85,2,0)*Model0.1T!DV75)/1.5,PI()*DS$12*$Q75*($B75-$B74)*0.15/10+DW74)</f>
        <v>#N/A</v>
      </c>
      <c r="DX75" s="102" t="e">
        <f>(VLOOKUP($B$3,'Coeff EC7'!$T$39:$X$59,3,0)*DU75+VLOOKUP($B$3,'Coeff EC7'!$T$65:$X$85,3,0)*Model0.1T!DV75)/1.1</f>
        <v>#N/A</v>
      </c>
      <c r="DY75" s="102" t="e">
        <f t="shared" si="90"/>
        <v>#N/A</v>
      </c>
      <c r="DZ75" s="102" t="e">
        <f t="shared" si="91"/>
        <v>#N/A</v>
      </c>
      <c r="EA75" s="414" t="e">
        <f>IF(AND(DW75&gt;NDC!$C$63,DX75&gt;NDC!$C$65,DY75&gt;NDC!$D$73,DZ75&gt;NDC!$D$74,$B75&gt;NDC!$H$22-0.1+MIN(3*EA$12,1.5)),0,1)</f>
        <v>#N/A</v>
      </c>
      <c r="EB75" s="86" t="b">
        <f t="shared" si="51"/>
        <v>0</v>
      </c>
      <c r="EC75" s="418">
        <f t="shared" si="52"/>
        <v>0.51</v>
      </c>
      <c r="ED75" s="86">
        <f t="shared" si="53"/>
        <v>0.51</v>
      </c>
      <c r="EE75" s="30" t="e">
        <f t="shared" ca="1" si="92"/>
        <v>#DIV/0!</v>
      </c>
      <c r="EF75" s="85" t="e">
        <f ca="1">IF(DL75&lt;=Hypothèses!$V$7,Hypothèses!$W$7,IF(DL75&lt;=Hypothèses!$V$8,Hypothèses!$W$8,IF(DL75&lt;=Hypothèses!$V$9,Hypothèses!$W$9,IF(DL75&lt;=Hypothèses!$V$10,Hypothèses!$W$10,IF(DL75&lt;=Hypothèses!$V$11,Hypothèses!$W$11,IF(DL75&lt;=Hypothèses!$V$12,Hypothèses!$W$12,IF(DL75&lt;=Hypothèses!$V$13,Hypothèses!$W$13,IF(DL75&lt;=Hypothèses!$V$14,Hypothèses!$W$14,IF(DL75&lt;=Hypothèses!$V$15,Hypothèses!$W$15,IF(DL75&lt;=Hypothèses!$V$16,Hypothèses!$W$16,IF(DL75&lt;=Hypothèses!$V$17,Hypothèses!$W$17,IF(DL75&lt;=Hypothèses!$V$18,Hypothèses!$W$18,""))))))))))))</f>
        <v>#DIV/0!</v>
      </c>
      <c r="EG75" s="87" t="e">
        <f t="shared" ca="1" si="122"/>
        <v>#DIV/0!</v>
      </c>
      <c r="EH75" s="88" t="e">
        <f ca="1">IF(DL75&lt;=Hypothèses!$V$7,Hypothèses!$X$7,IF(DL75&lt;=Hypothèses!$V$8,Hypothèses!$X$8,IF(DL75&lt;=Hypothèses!$V$9,Hypothèses!$X$9,IF(DL75&lt;=Hypothèses!$V$10,Hypothèses!$X$10,IF(DL75&lt;=Hypothèses!$V$11,Hypothèses!$X$11,IF(DL75&lt;=Hypothèses!$V$12,Hypothèses!$X$12,IF(DL75&lt;=Hypothèses!$V$13,Hypothèses!$X$13,IF(DL75&lt;=Hypothèses!$V$14,Hypothèses!$X$14,IF(DL75&lt;=Hypothèses!$V$15,Hypothèses!$X$15,IF(DL75&lt;=Hypothèses!$V$16,Hypothèses!$X$16,IF(DL75&lt;=Hypothèses!$U$17,Hypothèses!$W$17,IF(DL75&lt;=Hypothèses!$U$18,Hypothèses!$W$18,""))))))))))))</f>
        <v>#DIV/0!</v>
      </c>
      <c r="EI75" s="95" t="e">
        <f t="shared" ca="1" si="93"/>
        <v>#DIV/0!</v>
      </c>
      <c r="EJ75" s="101">
        <f t="shared" si="129"/>
        <v>0</v>
      </c>
      <c r="EK75" s="91">
        <f t="shared" si="55"/>
        <v>0</v>
      </c>
      <c r="EL75" s="30" t="e">
        <f t="shared" si="112"/>
        <v>#N/A</v>
      </c>
      <c r="EM75" s="30" t="e">
        <f t="shared" si="113"/>
        <v>#N/A</v>
      </c>
      <c r="EN75" s="31" t="e">
        <f>IF(OR(Hypothèses!$B$4=17,Hypothèses!$B$4=18,Hypothèses!$B$4=19,Hypothèses!$B$4=20),
IF($D75="Pressio.",
IF(OR($E75=3,$E75=1,$E75=4),EM75,EL75),
IF($D75="Pénétro.",
IF(OR($E75=3,$E75=1,$E75=4),EM75,EL75))),IF($D75="Pressio.",
IF($E75=3,EM75,EL75),
IF($D75="Pénétro.",
IF($E75=4,EM75,EL75))))</f>
        <v>#N/A</v>
      </c>
      <c r="EO75" s="31">
        <v>0</v>
      </c>
      <c r="EP75" s="102" t="e">
        <f>IF(NDC!$H$10="Oui",(VLOOKUP($B$3,'Coeff EC7'!$T$39:$X$59,2,0)*EN75+VLOOKUP($B$3,'Coeff EC7'!$T$65:$X$85,2,0)*Model0.1T!EO75)/1.5,PI()*EL$12*$Q75*($B75-$B74)*0.15/10+EP74)</f>
        <v>#N/A</v>
      </c>
      <c r="EQ75" s="102" t="e">
        <f>(VLOOKUP($B$3,'Coeff EC7'!$T$39:$X$59,3,0)*EN75+VLOOKUP($B$3,'Coeff EC7'!$T$65:$X$85,3,0)*Model0.1T!EO75)/1.1</f>
        <v>#N/A</v>
      </c>
      <c r="ER75" s="102" t="e">
        <f t="shared" si="94"/>
        <v>#N/A</v>
      </c>
      <c r="ES75" s="102" t="e">
        <f t="shared" si="95"/>
        <v>#N/A</v>
      </c>
      <c r="ET75" s="414" t="e">
        <f>IF(AND(EP75&gt;NDC!$C$63,EQ75&gt;NDC!$C$65,ER75&gt;NDC!$D$73,ES75&gt;NDC!$D$74,$B75&gt;NDC!$H$22-0.1+MIN(3*ET$12,1.5)),0,1)</f>
        <v>#N/A</v>
      </c>
      <c r="EU75" s="86" t="b">
        <f t="shared" si="58"/>
        <v>0</v>
      </c>
      <c r="EV75" s="86">
        <f t="shared" si="59"/>
        <v>0.61</v>
      </c>
      <c r="EW75" s="86">
        <f t="shared" si="60"/>
        <v>0.61</v>
      </c>
      <c r="EX75" s="30" t="e">
        <f t="shared" ca="1" si="96"/>
        <v>#DIV/0!</v>
      </c>
      <c r="EY75" s="85" t="e">
        <f ca="1">IF(EE75&lt;=Hypothèses!$V$7,Hypothèses!$W$7,IF(EE75&lt;=Hypothèses!$V$8,Hypothèses!$W$8,IF(EE75&lt;=Hypothèses!$V$9,Hypothèses!$W$9,IF(EE75&lt;=Hypothèses!$V$10,Hypothèses!$W$10,IF(EE75&lt;=Hypothèses!$V$11,Hypothèses!$W$11,IF(EE75&lt;=Hypothèses!$V$12,Hypothèses!$W$12,IF(EE75&lt;=Hypothèses!$V$13,Hypothèses!$W$13,IF(EE75&lt;=Hypothèses!$V$14,Hypothèses!$W$14,IF(EE75&lt;=Hypothèses!$V$15,Hypothèses!$W$15,IF(EE75&lt;=Hypothèses!$V$16,Hypothèses!$W$16,IF(EE75&lt;=Hypothèses!$V$17,Hypothèses!$W$17,IF(EE75&lt;=Hypothèses!$V$18,Hypothèses!$W$18,""))))))))))))</f>
        <v>#DIV/0!</v>
      </c>
      <c r="EZ75" s="87" t="e">
        <f t="shared" ca="1" si="123"/>
        <v>#DIV/0!</v>
      </c>
      <c r="FA75" s="88" t="e">
        <f ca="1">IF(EE75&lt;=Hypothèses!$V$7,Hypothèses!$X$7,IF(EE75&lt;=Hypothèses!$V$8,Hypothèses!$X$8,IF(EE75&lt;=Hypothèses!$V$9,Hypothèses!$X$9,IF(EE75&lt;=Hypothèses!$V$10,Hypothèses!$X$10,IF(EE75&lt;=Hypothèses!$V$11,Hypothèses!$X$11,IF(EE75&lt;=Hypothèses!$V$12,Hypothèses!$X$12,IF(EE75&lt;=Hypothèses!$V$13,Hypothèses!$X$13,IF(EE75&lt;=Hypothèses!$V$14,Hypothèses!$X$14,IF(EE75&lt;=Hypothèses!$V$15,Hypothèses!$X$15,IF(EE75&lt;=Hypothèses!$V$16,Hypothèses!$X$16,IF(EE75&lt;=Hypothèses!$U$17,Hypothèses!$W$17,IF(EE75&lt;=Hypothèses!$U$18,Hypothèses!$W$18,""))))))))))))</f>
        <v>#DIV/0!</v>
      </c>
      <c r="FB75" s="95" t="e">
        <f t="shared" ca="1" si="97"/>
        <v>#DIV/0!</v>
      </c>
      <c r="FC75" s="101">
        <f t="shared" si="130"/>
        <v>0</v>
      </c>
      <c r="FD75" s="91">
        <f t="shared" si="62"/>
        <v>0</v>
      </c>
      <c r="FE75" s="30" t="e">
        <f t="shared" si="114"/>
        <v>#N/A</v>
      </c>
      <c r="FF75" s="30" t="e">
        <f t="shared" si="115"/>
        <v>#N/A</v>
      </c>
      <c r="FG75" s="31" t="e">
        <f>IF(OR(Hypothèses!$B$4=17,Hypothèses!$B$4=18,Hypothèses!$B$4=19,Hypothèses!$B$4=20),
IF($D75="Pressio.",
IF(OR($E75=3,$E75=1,$E75=4),FF75,FE75),
IF($D75="Pénétro.",
IF(OR($E75=3,$E75=1,$E75=4),FF75,FE75))),IF($D75="Pressio.",
IF($E75=3,FF75,FE75),
IF($D75="Pénétro.",
IF($E75=4,FF75,FE75))))</f>
        <v>#N/A</v>
      </c>
      <c r="FH75" s="31">
        <v>0</v>
      </c>
      <c r="FI75" s="102" t="e">
        <f>IF(NDC!$H$10="Oui",(VLOOKUP($B$3,'Coeff EC7'!$T$39:$X$59,2,0)*FG75+VLOOKUP($B$3,'Coeff EC7'!$T$65:$X$85,2,0)*Model0.1T!FH75)/1.5,PI()*FE$12*$Q75*($B75-$B74)*0.15/10+FI74)</f>
        <v>#N/A</v>
      </c>
      <c r="FJ75" s="102" t="e">
        <f>(VLOOKUP($B$3,'Coeff EC7'!$T$39:$X$59,3,0)*FG75+VLOOKUP($B$3,'Coeff EC7'!$T$65:$X$85,3,0)*Model0.1T!FH75)/1.1</f>
        <v>#N/A</v>
      </c>
      <c r="FK75" s="102" t="e">
        <f t="shared" si="98"/>
        <v>#N/A</v>
      </c>
      <c r="FL75" s="102" t="e">
        <f t="shared" si="99"/>
        <v>#N/A</v>
      </c>
      <c r="FM75" s="414" t="e">
        <f>IF(AND(FI75&gt;NDC!$C$63,FJ75&gt;NDC!$C$65,FK75&gt;NDC!$D$73,FL75&gt;NDC!$D$74,$B75&gt;NDC!$H$22-0.1+MIN(3*FM$12,1.5)),0,1)</f>
        <v>#N/A</v>
      </c>
    </row>
    <row r="76" spans="1:169">
      <c r="A76" s="96">
        <f t="shared" si="65"/>
        <v>93.700000000000358</v>
      </c>
      <c r="B76" s="97">
        <v>6.3</v>
      </c>
      <c r="C76" s="81">
        <f>IF(B76&lt;=Hypothèses!$C$7,Hypothèses!$A$7,IF(B76&lt;=Hypothèses!$C$8,Hypothèses!$A$8,IF(B76&lt;=Hypothèses!$C$9,Hypothèses!$A$9,IF(B76&lt;=Hypothèses!$C$10,Hypothèses!$A$10,IF(B76&lt;=Hypothèses!$C$11,Hypothèses!$A$11,IF(B76&lt;=Hypothèses!$C$12,Hypothèses!$A$12,IF(B76&lt;=Hypothèses!$C$13,Hypothèses!$A$13,IF(B76&lt;=Hypothèses!$C$14,Hypothèses!$A$14,IF(B76&lt;=Hypothèses!$C$15,Hypothèses!$A$15,IF(B76&lt;=Hypothèses!$C$16,Hypothèses!$A$16,IF(B76&lt;=Hypothèses!$C$17,Hypothèses!$A$17,IF(B76&lt;=Hypothèses!$C$18,Hypothèses!$A$18,C75))))))))))))</f>
        <v>11</v>
      </c>
      <c r="D76" s="82" t="str">
        <f>IF(B76&lt;=Hypothèses!$C$7,Hypothèses!$R$7,IF(B76&lt;=Hypothèses!$C$8,Hypothèses!$R$8,IF(B76&lt;=Hypothèses!$C$9,Hypothèses!$R$9,IF(B76&lt;=Hypothèses!$C$10,Hypothèses!$R$10,IF(B76&lt;=Hypothèses!$C$11,Hypothèses!$R$11,IF(B76&lt;=Hypothèses!$C$12,Hypothèses!$R$12,IF(B76&lt;=Hypothèses!$C$13,Hypothèses!$R$13,IF(B76&lt;=Hypothèses!$C$14,Hypothèses!$R$14,IF(B76&lt;=Hypothèses!$C$15,Hypothèses!$R$15,IF(B76&lt;=Hypothèses!$C$16,Hypothèses!$R$16,IF(B76&lt;=Hypothèses!$C$17,Hypothèses!$R$17,IF(B76&lt;=Hypothèses!$C$18,Hypothèses!$R$18,D75))))))))))))</f>
        <v>Pressio.</v>
      </c>
      <c r="E76" s="82" t="e">
        <f>IF(B76&lt;=Hypothèses!$C$7,Hypothèses!$G$7,IF(B76&lt;=Hypothèses!$C$8,Hypothèses!$G$8,IF(B76&lt;=Hypothèses!$C$9,Hypothèses!$G$9,IF(B76&lt;=Hypothèses!$C$10,Hypothèses!$G$10,IF(B76&lt;=Hypothèses!$C$11,Hypothèses!$G$11,IF(B76&lt;=Hypothèses!$C$12,Hypothèses!$G$12,IF(B76&lt;=Hypothèses!$C$13,Hypothèses!$G$13,IF(B76&lt;=Hypothèses!$C$14,Hypothèses!$G$14,IF(B76&lt;=Hypothèses!$C$15,Hypothèses!$G$15,IF(B76&lt;=Hypothèses!$C$16,Hypothèses!$G$16,IF(B76&lt;=Hypothèses!$C$17,Hypothèses!$G$17,IF(B76&lt;=Hypothèses!$C$18,Hypothèses!$G$18,E75))))))))))))</f>
        <v>#N/A</v>
      </c>
      <c r="F76" s="82" t="str">
        <f>IF(B76&lt;=Hypothèses!$C$7,Hypothèses!$F$7,IF(B76&lt;=Hypothèses!$C$8,Hypothèses!$F$8,IF(B76&lt;=Hypothèses!$C$9,Hypothèses!$F$9,IF(B76&lt;=Hypothèses!$C$10,Hypothèses!$F$10,IF(B76&lt;=Hypothèses!$C$11,Hypothèses!$F$11,IF(B76&lt;=Hypothèses!$C$12,Hypothèses!$F$12,IF(B76&lt;=Hypothèses!$C$13,Hypothèses!$F$13,IF(B76&lt;=Hypothèses!$C$14,Hypothèses!$F$14,IF(B76&lt;=Hypothèses!$C$15,Hypothèses!$F$15,IF(B76&lt;=Hypothèses!$C$16,Hypothèses!$F$16,IF(B76&lt;=Hypothèses!$C$17,Hypothèses!$F$17,IF(B76&lt;=Hypothèses!$C$18,Hypothèses!$F$18,F75))))))))))))</f>
        <v/>
      </c>
      <c r="G76" s="91">
        <f t="array" ref="G76">INDEX('Coeff EC7'!$U$7:$X$27,
MATCH(Model0.1T!$B$3,'Coeff EC7'!$T$7:$T$27,0),
MATCH(Model0.1T!$D76&amp;Model0.1T!$B$4,
'Coeff EC7'!$U$6:$X$6&amp;
'Coeff EC7'!$U$5:$X$5,0))</f>
        <v>1.4</v>
      </c>
      <c r="H76" s="91">
        <f t="array" ref="H76">INDEX('Coeff EC7'!$Y$7:$AB$27,
MATCH(Model0.1T!$B$3,'Coeff EC7'!$T$7:$T$27,0),
MATCH(Model0.1T!$D76&amp;Model0.1T!$B$4,
'Coeff EC7'!$Y$6:$AB$6&amp;
'Coeff EC7'!$Y$5:$AB$5,0))</f>
        <v>1.7</v>
      </c>
      <c r="I76" s="83">
        <v>0</v>
      </c>
      <c r="J76" s="91" t="e">
        <f t="array" ref="J76">INDEX('Coeff EC7'!$D$33:$Q$33,1,MATCH(D76&amp;E76,'Coeff EC7'!$D$31:$Q$31&amp;'Coeff EC7'!$D$32:$Q$32,0))</f>
        <v>#N/A</v>
      </c>
      <c r="K76" s="91" t="e">
        <f t="array" ref="K76">INDEX('Coeff EC7'!$D$34:$Q$34,1,MATCH(D76&amp;E76,'Coeff EC7'!$D$31:$Q$31&amp;'Coeff EC7'!$D$32:$Q$32,0))</f>
        <v>#N/A</v>
      </c>
      <c r="L76" s="91" t="e">
        <f t="array" ref="L76">INDEX('Coeff EC7'!$D$35:$Q$35,1,MATCH(D76&amp;E76,'Coeff EC7'!$D$31:$Q$31&amp;'Coeff EC7'!$D$32:$Q$32,0))</f>
        <v>#N/A</v>
      </c>
      <c r="M76" s="98" t="e">
        <f t="shared" si="8"/>
        <v>#N/A</v>
      </c>
      <c r="N76" s="99" t="e">
        <f t="array" ref="N76">INDEX('Coeff EC7'!$D$7:$Q$27,MATCH($B$3,'Coeff EC7'!$C$7:$C$27,0),MATCH(D76&amp;E76,'Coeff EC7'!$D$5:$Q$5&amp;'Coeff EC7'!$D$6:$Q$6,0))</f>
        <v>#N/A</v>
      </c>
      <c r="O76" s="99" t="e">
        <f t="array" ref="O76">INDEX('Coeff EC7'!$D$41:$Q$61,MATCH($B$3,'Coeff EC7'!$C$41:$C$61,0),MATCH(D76&amp;E76,'Coeff EC7'!$D$39:$Q$39&amp;'Coeff EC7'!$D$40:$Q$40,0))</f>
        <v>#N/A</v>
      </c>
      <c r="P76" s="30" t="e">
        <f t="shared" si="66"/>
        <v>#N/A</v>
      </c>
      <c r="Q76" s="100" t="e">
        <f t="shared" si="10"/>
        <v>#N/A</v>
      </c>
      <c r="R76" s="86" t="b">
        <f t="shared" si="11"/>
        <v>0</v>
      </c>
      <c r="S76" s="86">
        <f t="shared" si="9"/>
        <v>0.5</v>
      </c>
      <c r="T76" s="86">
        <f t="shared" si="12"/>
        <v>0.5</v>
      </c>
      <c r="U76" s="30" t="e">
        <f t="shared" ca="1" si="67"/>
        <v>#DIV/0!</v>
      </c>
      <c r="V76" s="85" t="str">
        <f>IF(B76&lt;=Hypothèses!$V$7,Hypothèses!$W$7,IF(B76&lt;=Hypothèses!$V$8,Hypothèses!$W$8,IF(B76&lt;=Hypothèses!$V$9,Hypothèses!$W$9,IF(B76&lt;=Hypothèses!$V$10,Hypothèses!$W$10,IF(B76&lt;=Hypothèses!$V$11,Hypothèses!$W$11,IF(B76&lt;=Hypothèses!$V$12,Hypothèses!$W$12,IF(B76&lt;=Hypothèses!$V$13,Hypothèses!$W$13,IF(B76&lt;=Hypothèses!$V$14,Hypothèses!$W$14,IF(B76&lt;=Hypothèses!$V$15,Hypothèses!$W$15,IF(B76&lt;=Hypothèses!$V$16,Hypothèses!$W$16,IF(B76&lt;=Hypothèses!$V$17,Hypothèses!$W$17,IF(B76&lt;=Hypothèses!$V$18,Hypothèses!$W$18,""))))))))))))</f>
        <v/>
      </c>
      <c r="W76" s="87" t="e">
        <f t="shared" ca="1" si="116"/>
        <v>#DIV/0!</v>
      </c>
      <c r="X76" s="88" t="str">
        <f>IF(B76&lt;=Hypothèses!$V$7,Hypothèses!$X$7,IF(B76&lt;=Hypothèses!$V$8,Hypothèses!$X$8,IF(B76&lt;=Hypothèses!$V$9,Hypothèses!$X$9,IF(B76&lt;=Hypothèses!$V$10,Hypothèses!$X$10,IF(B76&lt;=Hypothèses!$V$11,Hypothèses!$X$11,IF(B76&lt;=Hypothèses!$V$12,Hypothèses!$X$12,IF(B76&lt;=Hypothèses!$V$13,Hypothèses!$X$13,IF(B76&lt;=Hypothèses!$V$14,Hypothèses!$X$14,IF(B76&lt;=Hypothèses!$V$15,Hypothèses!$X$15,IF(B76&lt;=Hypothèses!$V$16,Hypothèses!$X$16,IF(B76&lt;=Hypothèses!$U$17,Hypothèses!$W$17,IF(B76&lt;=Hypothèses!$U$18,Hypothèses!$W$18,""))))))))))))</f>
        <v/>
      </c>
      <c r="Y76" s="95" t="e">
        <f t="shared" ca="1" si="13"/>
        <v>#DIV/0!</v>
      </c>
      <c r="Z76" s="101">
        <f t="shared" si="14"/>
        <v>0</v>
      </c>
      <c r="AA76" s="91">
        <f t="shared" si="15"/>
        <v>0</v>
      </c>
      <c r="AB76" s="30" t="e">
        <f t="shared" si="100"/>
        <v>#N/A</v>
      </c>
      <c r="AC76" s="30" t="e">
        <f t="shared" si="101"/>
        <v>#N/A</v>
      </c>
      <c r="AD76" s="31" t="e">
        <f>IF(OR(Hypothèses!$B$4=17,Hypothèses!$B$4=18,Hypothèses!$B$4=19,Hypothèses!$B$4=20),
IF($D76="Pressio.",
IF(OR($E76=3,$E76=1,$E76=4),AC76,AB76),
IF($D76="Pénétro.",
IF(OR($E76=3,$E76=1,$E76=4),AC76,AB76))),IF($D76="Pressio.",
IF($E76=3,AC76,AB76),
IF($D76="Pénétro.",
IF($E76=4,AC76,AB76))))</f>
        <v>#N/A</v>
      </c>
      <c r="AE76" s="31">
        <v>0</v>
      </c>
      <c r="AF76" s="102" t="e">
        <f>IF(NDC!$H$10="Oui",(VLOOKUP($B$3,'Coeff EC7'!$T$39:$X$59,2,0)*AD76+VLOOKUP($B$3,'Coeff EC7'!$T$65:$X$85,2,0)*Model0.1T!AE76)/1.5,PI()*AB$12*$Q76*($B76-$B75)*0.15/10+AF75)</f>
        <v>#N/A</v>
      </c>
      <c r="AG76" s="102" t="e">
        <f>(VLOOKUP($B$3,'Coeff EC7'!$T$39:$X$59,3,0)*AD76+VLOOKUP($B$3,'Coeff EC7'!$T$65:$X$85,3,0)*Model0.1T!AE76)/1.1</f>
        <v>#N/A</v>
      </c>
      <c r="AH76" s="102" t="e">
        <f t="shared" si="68"/>
        <v>#N/A</v>
      </c>
      <c r="AI76" s="102" t="e">
        <f t="shared" si="69"/>
        <v>#N/A</v>
      </c>
      <c r="AJ76" s="414" t="e">
        <f>IF(AND(AF76&gt;NDC!$C$63,AG76&gt;NDC!$C$65,AH76&gt;NDC!$D$73,AI76&gt;NDC!$D$74,$B76&gt;NDC!$H$22-0.1+MIN(3*$AJ$12,1.5)),0,1)</f>
        <v>#N/A</v>
      </c>
      <c r="AK76" s="86" t="b">
        <f t="shared" si="18"/>
        <v>0</v>
      </c>
      <c r="AL76" s="86">
        <f t="shared" si="70"/>
        <v>0.5</v>
      </c>
      <c r="AM76" s="86">
        <f t="shared" si="19"/>
        <v>0.5</v>
      </c>
      <c r="AN76" s="30" t="e">
        <f t="shared" ca="1" si="71"/>
        <v>#DIV/0!</v>
      </c>
      <c r="AO76" s="85" t="e">
        <f ca="1">IF(U76&lt;=Hypothèses!$V$7,Hypothèses!$W$7,IF(U76&lt;=Hypothèses!$V$8,Hypothèses!$W$8,IF(U76&lt;=Hypothèses!$V$9,Hypothèses!$W$9,IF(U76&lt;=Hypothèses!$V$10,Hypothèses!$W$10,IF(U76&lt;=Hypothèses!$V$11,Hypothèses!$W$11,IF(U76&lt;=Hypothèses!$V$12,Hypothèses!$W$12,IF(U76&lt;=Hypothèses!$V$13,Hypothèses!$W$13,IF(U76&lt;=Hypothèses!$V$14,Hypothèses!$W$14,IF(U76&lt;=Hypothèses!$V$15,Hypothèses!$W$15,IF(U76&lt;=Hypothèses!$V$16,Hypothèses!$W$16,IF(U76&lt;=Hypothèses!$V$17,Hypothèses!$W$17,IF(U76&lt;=Hypothèses!$V$18,Hypothèses!$W$18,""))))))))))))</f>
        <v>#DIV/0!</v>
      </c>
      <c r="AP76" s="87" t="e">
        <f t="shared" ca="1" si="117"/>
        <v>#DIV/0!</v>
      </c>
      <c r="AQ76" s="88" t="e">
        <f ca="1">IF(U76&lt;=Hypothèses!$V$7,Hypothèses!$X$7,IF(U76&lt;=Hypothèses!$V$8,Hypothèses!$X$8,IF(U76&lt;=Hypothèses!$V$9,Hypothèses!$X$9,IF(U76&lt;=Hypothèses!$V$10,Hypothèses!$X$10,IF(U76&lt;=Hypothèses!$V$11,Hypothèses!$X$11,IF(U76&lt;=Hypothèses!$V$12,Hypothèses!$X$12,IF(U76&lt;=Hypothèses!$V$13,Hypothèses!$X$13,IF(U76&lt;=Hypothèses!$V$14,Hypothèses!$X$14,IF(U76&lt;=Hypothèses!$V$15,Hypothèses!$X$15,IF(U76&lt;=Hypothèses!$V$16,Hypothèses!$X$16,IF(U76&lt;=Hypothèses!$U$17,Hypothèses!$W$17,IF(U76&lt;=Hypothèses!$U$18,Hypothèses!$W$18,""))))))))))))</f>
        <v>#DIV/0!</v>
      </c>
      <c r="AR76" s="95" t="e">
        <f t="shared" ca="1" si="72"/>
        <v>#DIV/0!</v>
      </c>
      <c r="AS76" s="101">
        <f t="shared" si="124"/>
        <v>0</v>
      </c>
      <c r="AT76" s="91">
        <f t="shared" si="21"/>
        <v>0</v>
      </c>
      <c r="AU76" s="30" t="e">
        <f t="shared" si="102"/>
        <v>#N/A</v>
      </c>
      <c r="AV76" s="30" t="e">
        <f t="shared" si="103"/>
        <v>#N/A</v>
      </c>
      <c r="AW76" s="31" t="e">
        <f>IF(OR(Hypothèses!$B$4=17,Hypothèses!$B$4=18,Hypothèses!$B$4=19,Hypothèses!$B$4=20),
IF($D76="Pressio.",
IF(OR($E76=3,$E76=1,$E76=4),AV76,AU76),
IF($D76="Pénétro.",
IF(OR($E76=3,$E76=1,$E76=4),AV76,AU76))),IF($D76="Pressio.",
IF($E76=3,AV76,AU76),
IF($D76="Pénétro.",
IF($E76=4,AV76,AU76))))</f>
        <v>#N/A</v>
      </c>
      <c r="AX76" s="31">
        <v>0</v>
      </c>
      <c r="AY76" s="102" t="e">
        <f>IF(NDC!$H$10="Oui",(VLOOKUP($B$3,'Coeff EC7'!$T$39:$X$59,2,0)*AW76+VLOOKUP($B$3,'Coeff EC7'!$T$65:$X$85,2,0)*Model0.1T!AX76)/1.5,PI()*AU$12*$Q76*($B76-$B75)*0.15/10+AY75)</f>
        <v>#N/A</v>
      </c>
      <c r="AZ76" s="102" t="e">
        <f>(VLOOKUP($B$3,'Coeff EC7'!$T$39:$X$59,3,0)*AW76+VLOOKUP($B$3,'Coeff EC7'!$T$65:$X$85,3,0)*Model0.1T!AX76)/1.1</f>
        <v>#N/A</v>
      </c>
      <c r="BA76" s="102" t="e">
        <f t="shared" si="73"/>
        <v>#N/A</v>
      </c>
      <c r="BB76" s="102" t="e">
        <f t="shared" si="74"/>
        <v>#N/A</v>
      </c>
      <c r="BC76" s="414" t="e">
        <f>IF(AND(AY76&gt;NDC!$C$63,AZ76&gt;NDC!$C$65,BA76&gt;NDC!$D$73,BB76&gt;NDC!$D$74,$B76&gt;NDC!$H$22-0.1+MIN(3*BC$12,1.5)),0,1)</f>
        <v>#N/A</v>
      </c>
      <c r="BD76" s="86" t="b">
        <f t="shared" si="24"/>
        <v>0</v>
      </c>
      <c r="BE76" s="86">
        <f t="shared" si="75"/>
        <v>0.5</v>
      </c>
      <c r="BF76" s="86">
        <f t="shared" si="25"/>
        <v>0.5</v>
      </c>
      <c r="BG76" s="30" t="e">
        <f t="shared" ca="1" si="76"/>
        <v>#DIV/0!</v>
      </c>
      <c r="BH76" s="85" t="e">
        <f ca="1">IF(AN76&lt;=Hypothèses!$V$7,Hypothèses!$W$7,IF(AN76&lt;=Hypothèses!$V$8,Hypothèses!$W$8,IF(AN76&lt;=Hypothèses!$V$9,Hypothèses!$W$9,IF(AN76&lt;=Hypothèses!$V$10,Hypothèses!$W$10,IF(AN76&lt;=Hypothèses!$V$11,Hypothèses!$W$11,IF(AN76&lt;=Hypothèses!$V$12,Hypothèses!$W$12,IF(AN76&lt;=Hypothèses!$V$13,Hypothèses!$W$13,IF(AN76&lt;=Hypothèses!$V$14,Hypothèses!$W$14,IF(AN76&lt;=Hypothèses!$V$15,Hypothèses!$W$15,IF(AN76&lt;=Hypothèses!$V$16,Hypothèses!$W$16,IF(AN76&lt;=Hypothèses!$V$17,Hypothèses!$W$17,IF(AN76&lt;=Hypothèses!$V$18,Hypothèses!$W$18,""))))))))))))</f>
        <v>#DIV/0!</v>
      </c>
      <c r="BI76" s="87" t="e">
        <f t="shared" ca="1" si="118"/>
        <v>#DIV/0!</v>
      </c>
      <c r="BJ76" s="88" t="e">
        <f ca="1">IF(AN76&lt;=Hypothèses!$V$7,Hypothèses!$X$7,IF(AN76&lt;=Hypothèses!$V$8,Hypothèses!$X$8,IF(AN76&lt;=Hypothèses!$V$9,Hypothèses!$X$9,IF(AN76&lt;=Hypothèses!$V$10,Hypothèses!$X$10,IF(AN76&lt;=Hypothèses!$V$11,Hypothèses!$X$11,IF(AN76&lt;=Hypothèses!$V$12,Hypothèses!$X$12,IF(AN76&lt;=Hypothèses!$V$13,Hypothèses!$X$13,IF(AN76&lt;=Hypothèses!$V$14,Hypothèses!$X$14,IF(AN76&lt;=Hypothèses!$V$15,Hypothèses!$X$15,IF(AN76&lt;=Hypothèses!$V$16,Hypothèses!$X$16,IF(AN76&lt;=Hypothèses!$U$17,Hypothèses!$W$17,IF(AN76&lt;=Hypothèses!$U$18,Hypothèses!$W$18,""))))))))))))</f>
        <v>#DIV/0!</v>
      </c>
      <c r="BK76" s="95" t="e">
        <f t="shared" ca="1" si="77"/>
        <v>#DIV/0!</v>
      </c>
      <c r="BL76" s="101">
        <f t="shared" si="125"/>
        <v>0</v>
      </c>
      <c r="BM76" s="91">
        <f t="shared" si="27"/>
        <v>0</v>
      </c>
      <c r="BN76" s="30" t="e">
        <f t="shared" si="104"/>
        <v>#N/A</v>
      </c>
      <c r="BO76" s="30" t="e">
        <f t="shared" si="105"/>
        <v>#N/A</v>
      </c>
      <c r="BP76" s="31" t="e">
        <f>IF(OR(Hypothèses!$B$4=17,Hypothèses!$B$4=18,Hypothèses!$B$4=19,Hypothèses!$B$4=20),
IF($D76="Pressio.",
IF(OR($E76=3,$E76=1,$E76=4),BO76,BN76),
IF($D76="Pénétro.",
IF(OR($E76=3,$E76=1,$E76=4),BO76,BN76))),IF($D76="Pressio.",
IF($E76=3,BO76,BN76),
IF($D76="Pénétro.",
IF($E76=4,BO76,BN76))))</f>
        <v>#N/A</v>
      </c>
      <c r="BQ76" s="31">
        <v>0</v>
      </c>
      <c r="BR76" s="102" t="e">
        <f>IF(NDC!$H$10="Oui",(VLOOKUP($B$3,'Coeff EC7'!$T$39:$X$59,2,0)*BP76+VLOOKUP($B$3,'Coeff EC7'!$T$65:$X$85,2,0)*Model0.1T!BQ76)/1.5,PI()*BN$12*$Q76*($B76-$B75)*0.15/10+BR75)</f>
        <v>#N/A</v>
      </c>
      <c r="BS76" s="102" t="e">
        <f>(VLOOKUP($B$3,'Coeff EC7'!$T$39:$X$59,3,0)*BP76+VLOOKUP($B$3,'Coeff EC7'!$T$65:$X$85,3,0)*Model0.1T!BQ76)/1.1</f>
        <v>#N/A</v>
      </c>
      <c r="BT76" s="102" t="e">
        <f t="shared" si="78"/>
        <v>#N/A</v>
      </c>
      <c r="BU76" s="102" t="e">
        <f t="shared" si="79"/>
        <v>#N/A</v>
      </c>
      <c r="BV76" s="414" t="e">
        <f>IF(AND(BR76&gt;NDC!$C$63,BS76&gt;NDC!$C$65,BT76&gt;NDC!$D$73,BU76&gt;NDC!$D$74,$B76&gt;NDC!$H$22-0.1+MIN(3*BV$12,1.5)),0,1)</f>
        <v>#N/A</v>
      </c>
      <c r="BW76" s="86" t="b">
        <f t="shared" si="30"/>
        <v>0</v>
      </c>
      <c r="BX76" s="86">
        <f t="shared" si="31"/>
        <v>0.5</v>
      </c>
      <c r="BY76" s="86">
        <f t="shared" si="32"/>
        <v>0.5</v>
      </c>
      <c r="BZ76" s="30" t="e">
        <f t="shared" ca="1" si="80"/>
        <v>#DIV/0!</v>
      </c>
      <c r="CA76" s="85" t="e">
        <f ca="1">IF(BG76&lt;=Hypothèses!$V$7,Hypothèses!$W$7,IF(BG76&lt;=Hypothèses!$V$8,Hypothèses!$W$8,IF(BG76&lt;=Hypothèses!$V$9,Hypothèses!$W$9,IF(BG76&lt;=Hypothèses!$V$10,Hypothèses!$W$10,IF(BG76&lt;=Hypothèses!$V$11,Hypothèses!$W$11,IF(BG76&lt;=Hypothèses!$V$12,Hypothèses!$W$12,IF(BG76&lt;=Hypothèses!$V$13,Hypothèses!$W$13,IF(BG76&lt;=Hypothèses!$V$14,Hypothèses!$W$14,IF(BG76&lt;=Hypothèses!$V$15,Hypothèses!$W$15,IF(BG76&lt;=Hypothèses!$V$16,Hypothèses!$W$16,IF(BG76&lt;=Hypothèses!$V$17,Hypothèses!$W$17,IF(BG76&lt;=Hypothèses!$V$18,Hypothèses!$W$18,""))))))))))))</f>
        <v>#DIV/0!</v>
      </c>
      <c r="CB76" s="87" t="e">
        <f t="shared" ca="1" si="119"/>
        <v>#DIV/0!</v>
      </c>
      <c r="CC76" s="88" t="e">
        <f ca="1">IF(BG76&lt;=Hypothèses!$V$7,Hypothèses!$X$7,IF(BG76&lt;=Hypothèses!$V$8,Hypothèses!$X$8,IF(BG76&lt;=Hypothèses!$V$9,Hypothèses!$X$9,IF(BG76&lt;=Hypothèses!$V$10,Hypothèses!$X$10,IF(BG76&lt;=Hypothèses!$V$11,Hypothèses!$X$11,IF(BG76&lt;=Hypothèses!$V$12,Hypothèses!$X$12,IF(BG76&lt;=Hypothèses!$V$13,Hypothèses!$X$13,IF(BG76&lt;=Hypothèses!$V$14,Hypothèses!$X$14,IF(BG76&lt;=Hypothèses!$V$15,Hypothèses!$X$15,IF(BG76&lt;=Hypothèses!$V$16,Hypothèses!$X$16,IF(BG76&lt;=Hypothèses!$U$17,Hypothèses!$W$17,IF(BG76&lt;=Hypothèses!$U$18,Hypothèses!$W$18,""))))))))))))</f>
        <v>#DIV/0!</v>
      </c>
      <c r="CD76" s="95" t="e">
        <f t="shared" ca="1" si="81"/>
        <v>#DIV/0!</v>
      </c>
      <c r="CE76" s="101">
        <f t="shared" si="126"/>
        <v>0</v>
      </c>
      <c r="CF76" s="91">
        <f t="shared" si="34"/>
        <v>0</v>
      </c>
      <c r="CG76" s="30" t="e">
        <f t="shared" si="106"/>
        <v>#N/A</v>
      </c>
      <c r="CH76" s="30" t="e">
        <f t="shared" si="107"/>
        <v>#N/A</v>
      </c>
      <c r="CI76" s="31" t="e">
        <f>IF(OR(Hypothèses!$B$4=17,Hypothèses!$B$4=18,Hypothèses!$B$4=19,Hypothèses!$B$4=20),
IF($D76="Pressio.",
IF(OR($E76=3,$E76=1,$E76=4),CH76,CG76),
IF($D76="Pénétro.",
IF(OR($E76=3,$E76=1,$E76=4),CH76,CG76))),IF($D76="Pressio.",
IF($E76=3,CH76,CG76),
IF($D76="Pénétro.",
IF($E76=4,CH76,CG76))))</f>
        <v>#N/A</v>
      </c>
      <c r="CJ76" s="31">
        <v>0</v>
      </c>
      <c r="CK76" s="102" t="e">
        <f>IF(NDC!$H$10="Oui",(VLOOKUP($B$3,'Coeff EC7'!$T$39:$X$59,2,0)*CI76+VLOOKUP($B$3,'Coeff EC7'!$T$65:$X$85,2,0)*Model0.1T!CJ76)/1.5,PI()*CG$12*$Q76*($B76-$B75)*0.15/10+CK75)</f>
        <v>#N/A</v>
      </c>
      <c r="CL76" s="102" t="e">
        <f>(VLOOKUP($B$3,'Coeff EC7'!$T$39:$X$59,3,0)*CI76+VLOOKUP($B$3,'Coeff EC7'!$T$65:$X$85,3,0)*Model0.1T!CJ76)/1.1</f>
        <v>#N/A</v>
      </c>
      <c r="CM76" s="102" t="e">
        <f t="shared" si="82"/>
        <v>#N/A</v>
      </c>
      <c r="CN76" s="102" t="e">
        <f t="shared" si="83"/>
        <v>#N/A</v>
      </c>
      <c r="CO76" s="414" t="e">
        <f>IF(AND(CK76&gt;NDC!$C$63,CL76&gt;NDC!$C$65,CM76&gt;NDC!$D$73,CN76&gt;NDC!$D$74,$B76&gt;NDC!$H$22-0.1+MIN(3*CO$12,1.5)),0,1)</f>
        <v>#N/A</v>
      </c>
      <c r="CP76" s="86" t="b">
        <f t="shared" si="37"/>
        <v>0</v>
      </c>
      <c r="CQ76" s="86">
        <f t="shared" si="38"/>
        <v>0.5</v>
      </c>
      <c r="CR76" s="86">
        <f t="shared" si="39"/>
        <v>0.5</v>
      </c>
      <c r="CS76" s="30" t="e">
        <f t="shared" ca="1" si="84"/>
        <v>#DIV/0!</v>
      </c>
      <c r="CT76" s="85" t="e">
        <f ca="1">IF(BZ76&lt;=Hypothèses!$V$7,Hypothèses!$W$7,IF(BZ76&lt;=Hypothèses!$V$8,Hypothèses!$W$8,IF(BZ76&lt;=Hypothèses!$V$9,Hypothèses!$W$9,IF(BZ76&lt;=Hypothèses!$V$10,Hypothèses!$W$10,IF(BZ76&lt;=Hypothèses!$V$11,Hypothèses!$W$11,IF(BZ76&lt;=Hypothèses!$V$12,Hypothèses!$W$12,IF(BZ76&lt;=Hypothèses!$V$13,Hypothèses!$W$13,IF(BZ76&lt;=Hypothèses!$V$14,Hypothèses!$W$14,IF(BZ76&lt;=Hypothèses!$V$15,Hypothèses!$W$15,IF(BZ76&lt;=Hypothèses!$V$16,Hypothèses!$W$16,IF(BZ76&lt;=Hypothèses!$V$17,Hypothèses!$W$17,IF(BZ76&lt;=Hypothèses!$V$18,Hypothèses!$W$18,""))))))))))))</f>
        <v>#DIV/0!</v>
      </c>
      <c r="CU76" s="87" t="e">
        <f t="shared" ca="1" si="120"/>
        <v>#DIV/0!</v>
      </c>
      <c r="CV76" s="88" t="e">
        <f ca="1">IF(BZ76&lt;=Hypothèses!$V$7,Hypothèses!$X$7,IF(BZ76&lt;=Hypothèses!$V$8,Hypothèses!$X$8,IF(BZ76&lt;=Hypothèses!$V$9,Hypothèses!$X$9,IF(BZ76&lt;=Hypothèses!$V$10,Hypothèses!$X$10,IF(BZ76&lt;=Hypothèses!$V$11,Hypothèses!$X$11,IF(BZ76&lt;=Hypothèses!$V$12,Hypothèses!$X$12,IF(BZ76&lt;=Hypothèses!$V$13,Hypothèses!$X$13,IF(BZ76&lt;=Hypothèses!$V$14,Hypothèses!$X$14,IF(BZ76&lt;=Hypothèses!$V$15,Hypothèses!$X$15,IF(BZ76&lt;=Hypothèses!$V$16,Hypothèses!$X$16,IF(BZ76&lt;=Hypothèses!$U$17,Hypothèses!$W$17,IF(BZ76&lt;=Hypothèses!$U$18,Hypothèses!$W$18,""))))))))))))</f>
        <v>#DIV/0!</v>
      </c>
      <c r="CW76" s="95" t="e">
        <f t="shared" ca="1" si="85"/>
        <v>#DIV/0!</v>
      </c>
      <c r="CX76" s="101">
        <f t="shared" si="127"/>
        <v>0</v>
      </c>
      <c r="CY76" s="91">
        <f t="shared" si="41"/>
        <v>0</v>
      </c>
      <c r="CZ76" s="30" t="e">
        <f t="shared" si="108"/>
        <v>#N/A</v>
      </c>
      <c r="DA76" s="30" t="e">
        <f t="shared" si="109"/>
        <v>#N/A</v>
      </c>
      <c r="DB76" s="31" t="e">
        <f>IF(OR(Hypothèses!$B$4=17,Hypothèses!$B$4=18,Hypothèses!$B$4=19,Hypothèses!$B$4=20),
IF($D76="Pressio.",
IF(OR($E76=3,$E76=1,$E76=4),DA76,CZ76),
IF($D76="Pénétro.",
IF(OR($E76=3,$E76=1,$E76=4),DA76,CZ76))),IF($D76="Pressio.",
IF($E76=3,DA76,CZ76),
IF($D76="Pénétro.",
IF($E76=4,DA76,CZ76))))</f>
        <v>#N/A</v>
      </c>
      <c r="DC76" s="31">
        <v>0</v>
      </c>
      <c r="DD76" s="102" t="e">
        <f>IF(NDC!$H$10="Oui",(VLOOKUP($B$3,'Coeff EC7'!$T$39:$X$59,2,0)*DB76+VLOOKUP($B$3,'Coeff EC7'!$T$65:$X$85,2,0)*Model0.1T!DC76)/1.5,PI()*CZ$12*$Q76*($B76-$B75)*0.15/10+DD75)</f>
        <v>#N/A</v>
      </c>
      <c r="DE76" s="102" t="e">
        <f>(VLOOKUP($B$3,'Coeff EC7'!$T$39:$X$59,3,0)*DB76+VLOOKUP($B$3,'Coeff EC7'!$T$65:$X$85,3,0)*Model0.1T!DC76)/1.1</f>
        <v>#N/A</v>
      </c>
      <c r="DF76" s="102" t="e">
        <f t="shared" si="86"/>
        <v>#N/A</v>
      </c>
      <c r="DG76" s="102" t="e">
        <f t="shared" si="87"/>
        <v>#N/A</v>
      </c>
      <c r="DH76" s="414" t="e">
        <f>IF(AND(DD76&gt;NDC!$C$63,DE76&gt;NDC!$C$65,DF76&gt;NDC!$D$73,DG76&gt;NDC!$D$74,$B76&gt;NDC!$H$22-0.1+MIN(3*DH$12,1.5)),0,1)</f>
        <v>#N/A</v>
      </c>
      <c r="DI76" s="86" t="b">
        <f t="shared" si="44"/>
        <v>0</v>
      </c>
      <c r="DJ76" s="86">
        <f t="shared" si="45"/>
        <v>0.5</v>
      </c>
      <c r="DK76" s="86">
        <f t="shared" si="46"/>
        <v>0.5</v>
      </c>
      <c r="DL76" s="30" t="e">
        <f t="shared" ca="1" si="88"/>
        <v>#DIV/0!</v>
      </c>
      <c r="DM76" s="85" t="e">
        <f ca="1">IF(CS76&lt;=Hypothèses!$V$7,Hypothèses!$W$7,IF(CS76&lt;=Hypothèses!$V$8,Hypothèses!$W$8,IF(CS76&lt;=Hypothèses!$V$9,Hypothèses!$W$9,IF(CS76&lt;=Hypothèses!$V$10,Hypothèses!$W$10,IF(CS76&lt;=Hypothèses!$V$11,Hypothèses!$W$11,IF(CS76&lt;=Hypothèses!$V$12,Hypothèses!$W$12,IF(CS76&lt;=Hypothèses!$V$13,Hypothèses!$W$13,IF(CS76&lt;=Hypothèses!$V$14,Hypothèses!$W$14,IF(CS76&lt;=Hypothèses!$V$15,Hypothèses!$W$15,IF(CS76&lt;=Hypothèses!$V$16,Hypothèses!$W$16,IF(CS76&lt;=Hypothèses!$V$17,Hypothèses!$W$17,IF(CS76&lt;=Hypothèses!$V$18,Hypothèses!$W$18,""))))))))))))</f>
        <v>#DIV/0!</v>
      </c>
      <c r="DN76" s="87" t="e">
        <f t="shared" ca="1" si="121"/>
        <v>#DIV/0!</v>
      </c>
      <c r="DO76" s="88" t="e">
        <f ca="1">IF(CS76&lt;=Hypothèses!$V$7,Hypothèses!$X$7,IF(CS76&lt;=Hypothèses!$V$8,Hypothèses!$X$8,IF(CS76&lt;=Hypothèses!$V$9,Hypothèses!$X$9,IF(CS76&lt;=Hypothèses!$V$10,Hypothèses!$X$10,IF(CS76&lt;=Hypothèses!$V$11,Hypothèses!$X$11,IF(CS76&lt;=Hypothèses!$V$12,Hypothèses!$X$12,IF(CS76&lt;=Hypothèses!$V$13,Hypothèses!$X$13,IF(CS76&lt;=Hypothèses!$V$14,Hypothèses!$X$14,IF(CS76&lt;=Hypothèses!$V$15,Hypothèses!$X$15,IF(CS76&lt;=Hypothèses!$V$16,Hypothèses!$X$16,IF(CS76&lt;=Hypothèses!$U$17,Hypothèses!$W$17,IF(CS76&lt;=Hypothèses!$U$18,Hypothèses!$W$18,""))))))))))))</f>
        <v>#DIV/0!</v>
      </c>
      <c r="DP76" s="95" t="e">
        <f t="shared" ca="1" si="89"/>
        <v>#DIV/0!</v>
      </c>
      <c r="DQ76" s="101">
        <f t="shared" si="128"/>
        <v>0</v>
      </c>
      <c r="DR76" s="91">
        <f t="shared" si="48"/>
        <v>0</v>
      </c>
      <c r="DS76" s="30" t="e">
        <f t="shared" si="110"/>
        <v>#N/A</v>
      </c>
      <c r="DT76" s="30" t="e">
        <f t="shared" si="111"/>
        <v>#N/A</v>
      </c>
      <c r="DU76" s="31" t="e">
        <f>IF(OR(Hypothèses!$B$4=17,Hypothèses!$B$4=18,Hypothèses!$B$4=19,Hypothèses!$B$4=20),
IF($D76="Pressio.",
IF(OR($E76=3,$E76=1,$E76=4),DT76,DS76),
IF($D76="Pénétro.",
IF(OR($E76=3,$E76=1,$E76=4),DT76,DS76))),IF($D76="Pressio.",
IF($E76=3,DT76,DS76),
IF($D76="Pénétro.",
IF($E76=4,DT76,DS76))))</f>
        <v>#N/A</v>
      </c>
      <c r="DV76" s="31">
        <v>0</v>
      </c>
      <c r="DW76" s="102" t="e">
        <f>IF(NDC!$H$10="Oui",(VLOOKUP($B$3,'Coeff EC7'!$T$39:$X$59,2,0)*DU76+VLOOKUP($B$3,'Coeff EC7'!$T$65:$X$85,2,0)*Model0.1T!DV76)/1.5,PI()*DS$12*$Q76*($B76-$B75)*0.15/10+DW75)</f>
        <v>#N/A</v>
      </c>
      <c r="DX76" s="102" t="e">
        <f>(VLOOKUP($B$3,'Coeff EC7'!$T$39:$X$59,3,0)*DU76+VLOOKUP($B$3,'Coeff EC7'!$T$65:$X$85,3,0)*Model0.1T!DV76)/1.1</f>
        <v>#N/A</v>
      </c>
      <c r="DY76" s="102" t="e">
        <f t="shared" si="90"/>
        <v>#N/A</v>
      </c>
      <c r="DZ76" s="102" t="e">
        <f t="shared" si="91"/>
        <v>#N/A</v>
      </c>
      <c r="EA76" s="414" t="e">
        <f>IF(AND(DW76&gt;NDC!$C$63,DX76&gt;NDC!$C$65,DY76&gt;NDC!$D$73,DZ76&gt;NDC!$D$74,$B76&gt;NDC!$H$22-0.1+MIN(3*EA$12,1.5)),0,1)</f>
        <v>#N/A</v>
      </c>
      <c r="EB76" s="86" t="b">
        <f t="shared" si="51"/>
        <v>0</v>
      </c>
      <c r="EC76" s="418">
        <f t="shared" si="52"/>
        <v>0.51</v>
      </c>
      <c r="ED76" s="86">
        <f t="shared" si="53"/>
        <v>0.51</v>
      </c>
      <c r="EE76" s="30" t="e">
        <f t="shared" ca="1" si="92"/>
        <v>#DIV/0!</v>
      </c>
      <c r="EF76" s="85" t="e">
        <f ca="1">IF(DL76&lt;=Hypothèses!$V$7,Hypothèses!$W$7,IF(DL76&lt;=Hypothèses!$V$8,Hypothèses!$W$8,IF(DL76&lt;=Hypothèses!$V$9,Hypothèses!$W$9,IF(DL76&lt;=Hypothèses!$V$10,Hypothèses!$W$10,IF(DL76&lt;=Hypothèses!$V$11,Hypothèses!$W$11,IF(DL76&lt;=Hypothèses!$V$12,Hypothèses!$W$12,IF(DL76&lt;=Hypothèses!$V$13,Hypothèses!$W$13,IF(DL76&lt;=Hypothèses!$V$14,Hypothèses!$W$14,IF(DL76&lt;=Hypothèses!$V$15,Hypothèses!$W$15,IF(DL76&lt;=Hypothèses!$V$16,Hypothèses!$W$16,IF(DL76&lt;=Hypothèses!$V$17,Hypothèses!$W$17,IF(DL76&lt;=Hypothèses!$V$18,Hypothèses!$W$18,""))))))))))))</f>
        <v>#DIV/0!</v>
      </c>
      <c r="EG76" s="87" t="e">
        <f t="shared" ca="1" si="122"/>
        <v>#DIV/0!</v>
      </c>
      <c r="EH76" s="88" t="e">
        <f ca="1">IF(DL76&lt;=Hypothèses!$V$7,Hypothèses!$X$7,IF(DL76&lt;=Hypothèses!$V$8,Hypothèses!$X$8,IF(DL76&lt;=Hypothèses!$V$9,Hypothèses!$X$9,IF(DL76&lt;=Hypothèses!$V$10,Hypothèses!$X$10,IF(DL76&lt;=Hypothèses!$V$11,Hypothèses!$X$11,IF(DL76&lt;=Hypothèses!$V$12,Hypothèses!$X$12,IF(DL76&lt;=Hypothèses!$V$13,Hypothèses!$X$13,IF(DL76&lt;=Hypothèses!$V$14,Hypothèses!$X$14,IF(DL76&lt;=Hypothèses!$V$15,Hypothèses!$X$15,IF(DL76&lt;=Hypothèses!$V$16,Hypothèses!$X$16,IF(DL76&lt;=Hypothèses!$U$17,Hypothèses!$W$17,IF(DL76&lt;=Hypothèses!$U$18,Hypothèses!$W$18,""))))))))))))</f>
        <v>#DIV/0!</v>
      </c>
      <c r="EI76" s="95" t="e">
        <f t="shared" ca="1" si="93"/>
        <v>#DIV/0!</v>
      </c>
      <c r="EJ76" s="101">
        <f t="shared" si="129"/>
        <v>0</v>
      </c>
      <c r="EK76" s="91">
        <f t="shared" si="55"/>
        <v>0</v>
      </c>
      <c r="EL76" s="30" t="e">
        <f t="shared" si="112"/>
        <v>#N/A</v>
      </c>
      <c r="EM76" s="30" t="e">
        <f t="shared" si="113"/>
        <v>#N/A</v>
      </c>
      <c r="EN76" s="31" t="e">
        <f>IF(OR(Hypothèses!$B$4=17,Hypothèses!$B$4=18,Hypothèses!$B$4=19,Hypothèses!$B$4=20),
IF($D76="Pressio.",
IF(OR($E76=3,$E76=1,$E76=4),EM76,EL76),
IF($D76="Pénétro.",
IF(OR($E76=3,$E76=1,$E76=4),EM76,EL76))),IF($D76="Pressio.",
IF($E76=3,EM76,EL76),
IF($D76="Pénétro.",
IF($E76=4,EM76,EL76))))</f>
        <v>#N/A</v>
      </c>
      <c r="EO76" s="31">
        <v>0</v>
      </c>
      <c r="EP76" s="102" t="e">
        <f>IF(NDC!$H$10="Oui",(VLOOKUP($B$3,'Coeff EC7'!$T$39:$X$59,2,0)*EN76+VLOOKUP($B$3,'Coeff EC7'!$T$65:$X$85,2,0)*Model0.1T!EO76)/1.5,PI()*EL$12*$Q76*($B76-$B75)*0.15/10+EP75)</f>
        <v>#N/A</v>
      </c>
      <c r="EQ76" s="102" t="e">
        <f>(VLOOKUP($B$3,'Coeff EC7'!$T$39:$X$59,3,0)*EN76+VLOOKUP($B$3,'Coeff EC7'!$T$65:$X$85,3,0)*Model0.1T!EO76)/1.1</f>
        <v>#N/A</v>
      </c>
      <c r="ER76" s="102" t="e">
        <f t="shared" si="94"/>
        <v>#N/A</v>
      </c>
      <c r="ES76" s="102" t="e">
        <f t="shared" si="95"/>
        <v>#N/A</v>
      </c>
      <c r="ET76" s="414" t="e">
        <f>IF(AND(EP76&gt;NDC!$C$63,EQ76&gt;NDC!$C$65,ER76&gt;NDC!$D$73,ES76&gt;NDC!$D$74,$B76&gt;NDC!$H$22-0.1+MIN(3*ET$12,1.5)),0,1)</f>
        <v>#N/A</v>
      </c>
      <c r="EU76" s="86" t="b">
        <f t="shared" si="58"/>
        <v>0</v>
      </c>
      <c r="EV76" s="86">
        <f t="shared" si="59"/>
        <v>0.61</v>
      </c>
      <c r="EW76" s="86">
        <f t="shared" si="60"/>
        <v>0.61</v>
      </c>
      <c r="EX76" s="30" t="e">
        <f t="shared" ca="1" si="96"/>
        <v>#DIV/0!</v>
      </c>
      <c r="EY76" s="85" t="e">
        <f ca="1">IF(EE76&lt;=Hypothèses!$V$7,Hypothèses!$W$7,IF(EE76&lt;=Hypothèses!$V$8,Hypothèses!$W$8,IF(EE76&lt;=Hypothèses!$V$9,Hypothèses!$W$9,IF(EE76&lt;=Hypothèses!$V$10,Hypothèses!$W$10,IF(EE76&lt;=Hypothèses!$V$11,Hypothèses!$W$11,IF(EE76&lt;=Hypothèses!$V$12,Hypothèses!$W$12,IF(EE76&lt;=Hypothèses!$V$13,Hypothèses!$W$13,IF(EE76&lt;=Hypothèses!$V$14,Hypothèses!$W$14,IF(EE76&lt;=Hypothèses!$V$15,Hypothèses!$W$15,IF(EE76&lt;=Hypothèses!$V$16,Hypothèses!$W$16,IF(EE76&lt;=Hypothèses!$V$17,Hypothèses!$W$17,IF(EE76&lt;=Hypothèses!$V$18,Hypothèses!$W$18,""))))))))))))</f>
        <v>#DIV/0!</v>
      </c>
      <c r="EZ76" s="87" t="e">
        <f t="shared" ca="1" si="123"/>
        <v>#DIV/0!</v>
      </c>
      <c r="FA76" s="88" t="e">
        <f ca="1">IF(EE76&lt;=Hypothèses!$V$7,Hypothèses!$X$7,IF(EE76&lt;=Hypothèses!$V$8,Hypothèses!$X$8,IF(EE76&lt;=Hypothèses!$V$9,Hypothèses!$X$9,IF(EE76&lt;=Hypothèses!$V$10,Hypothèses!$X$10,IF(EE76&lt;=Hypothèses!$V$11,Hypothèses!$X$11,IF(EE76&lt;=Hypothèses!$V$12,Hypothèses!$X$12,IF(EE76&lt;=Hypothèses!$V$13,Hypothèses!$X$13,IF(EE76&lt;=Hypothèses!$V$14,Hypothèses!$X$14,IF(EE76&lt;=Hypothèses!$V$15,Hypothèses!$X$15,IF(EE76&lt;=Hypothèses!$V$16,Hypothèses!$X$16,IF(EE76&lt;=Hypothèses!$U$17,Hypothèses!$W$17,IF(EE76&lt;=Hypothèses!$U$18,Hypothèses!$W$18,""))))))))))))</f>
        <v>#DIV/0!</v>
      </c>
      <c r="FB76" s="95" t="e">
        <f t="shared" ca="1" si="97"/>
        <v>#DIV/0!</v>
      </c>
      <c r="FC76" s="101">
        <f t="shared" si="130"/>
        <v>0</v>
      </c>
      <c r="FD76" s="91">
        <f t="shared" si="62"/>
        <v>0</v>
      </c>
      <c r="FE76" s="30" t="e">
        <f t="shared" si="114"/>
        <v>#N/A</v>
      </c>
      <c r="FF76" s="30" t="e">
        <f t="shared" si="115"/>
        <v>#N/A</v>
      </c>
      <c r="FG76" s="31" t="e">
        <f>IF(OR(Hypothèses!$B$4=17,Hypothèses!$B$4=18,Hypothèses!$B$4=19,Hypothèses!$B$4=20),
IF($D76="Pressio.",
IF(OR($E76=3,$E76=1,$E76=4),FF76,FE76),
IF($D76="Pénétro.",
IF(OR($E76=3,$E76=1,$E76=4),FF76,FE76))),IF($D76="Pressio.",
IF($E76=3,FF76,FE76),
IF($D76="Pénétro.",
IF($E76=4,FF76,FE76))))</f>
        <v>#N/A</v>
      </c>
      <c r="FH76" s="31">
        <v>0</v>
      </c>
      <c r="FI76" s="102" t="e">
        <f>IF(NDC!$H$10="Oui",(VLOOKUP($B$3,'Coeff EC7'!$T$39:$X$59,2,0)*FG76+VLOOKUP($B$3,'Coeff EC7'!$T$65:$X$85,2,0)*Model0.1T!FH76)/1.5,PI()*FE$12*$Q76*($B76-$B75)*0.15/10+FI75)</f>
        <v>#N/A</v>
      </c>
      <c r="FJ76" s="102" t="e">
        <f>(VLOOKUP($B$3,'Coeff EC7'!$T$39:$X$59,3,0)*FG76+VLOOKUP($B$3,'Coeff EC7'!$T$65:$X$85,3,0)*Model0.1T!FH76)/1.1</f>
        <v>#N/A</v>
      </c>
      <c r="FK76" s="102" t="e">
        <f t="shared" si="98"/>
        <v>#N/A</v>
      </c>
      <c r="FL76" s="102" t="e">
        <f t="shared" si="99"/>
        <v>#N/A</v>
      </c>
      <c r="FM76" s="414" t="e">
        <f>IF(AND(FI76&gt;NDC!$C$63,FJ76&gt;NDC!$C$65,FK76&gt;NDC!$D$73,FL76&gt;NDC!$D$74,$B76&gt;NDC!$H$22-0.1+MIN(3*FM$12,1.5)),0,1)</f>
        <v>#N/A</v>
      </c>
    </row>
    <row r="77" spans="1:169">
      <c r="A77" s="96">
        <f t="shared" si="65"/>
        <v>93.600000000000364</v>
      </c>
      <c r="B77" s="97">
        <v>6.4</v>
      </c>
      <c r="C77" s="81">
        <f>IF(B77&lt;=Hypothèses!$C$7,Hypothèses!$A$7,IF(B77&lt;=Hypothèses!$C$8,Hypothèses!$A$8,IF(B77&lt;=Hypothèses!$C$9,Hypothèses!$A$9,IF(B77&lt;=Hypothèses!$C$10,Hypothèses!$A$10,IF(B77&lt;=Hypothèses!$C$11,Hypothèses!$A$11,IF(B77&lt;=Hypothèses!$C$12,Hypothèses!$A$12,IF(B77&lt;=Hypothèses!$C$13,Hypothèses!$A$13,IF(B77&lt;=Hypothèses!$C$14,Hypothèses!$A$14,IF(B77&lt;=Hypothèses!$C$15,Hypothèses!$A$15,IF(B77&lt;=Hypothèses!$C$16,Hypothèses!$A$16,IF(B77&lt;=Hypothèses!$C$17,Hypothèses!$A$17,IF(B77&lt;=Hypothèses!$C$18,Hypothèses!$A$18,C76))))))))))))</f>
        <v>11</v>
      </c>
      <c r="D77" s="82" t="str">
        <f>IF(B77&lt;=Hypothèses!$C$7,Hypothèses!$R$7,IF(B77&lt;=Hypothèses!$C$8,Hypothèses!$R$8,IF(B77&lt;=Hypothèses!$C$9,Hypothèses!$R$9,IF(B77&lt;=Hypothèses!$C$10,Hypothèses!$R$10,IF(B77&lt;=Hypothèses!$C$11,Hypothèses!$R$11,IF(B77&lt;=Hypothèses!$C$12,Hypothèses!$R$12,IF(B77&lt;=Hypothèses!$C$13,Hypothèses!$R$13,IF(B77&lt;=Hypothèses!$C$14,Hypothèses!$R$14,IF(B77&lt;=Hypothèses!$C$15,Hypothèses!$R$15,IF(B77&lt;=Hypothèses!$C$16,Hypothèses!$R$16,IF(B77&lt;=Hypothèses!$C$17,Hypothèses!$R$17,IF(B77&lt;=Hypothèses!$C$18,Hypothèses!$R$18,D76))))))))))))</f>
        <v>Pressio.</v>
      </c>
      <c r="E77" s="82" t="e">
        <f>IF(B77&lt;=Hypothèses!$C$7,Hypothèses!$G$7,IF(B77&lt;=Hypothèses!$C$8,Hypothèses!$G$8,IF(B77&lt;=Hypothèses!$C$9,Hypothèses!$G$9,IF(B77&lt;=Hypothèses!$C$10,Hypothèses!$G$10,IF(B77&lt;=Hypothèses!$C$11,Hypothèses!$G$11,IF(B77&lt;=Hypothèses!$C$12,Hypothèses!$G$12,IF(B77&lt;=Hypothèses!$C$13,Hypothèses!$G$13,IF(B77&lt;=Hypothèses!$C$14,Hypothèses!$G$14,IF(B77&lt;=Hypothèses!$C$15,Hypothèses!$G$15,IF(B77&lt;=Hypothèses!$C$16,Hypothèses!$G$16,IF(B77&lt;=Hypothèses!$C$17,Hypothèses!$G$17,IF(B77&lt;=Hypothèses!$C$18,Hypothèses!$G$18,E76))))))))))))</f>
        <v>#N/A</v>
      </c>
      <c r="F77" s="82" t="str">
        <f>IF(B77&lt;=Hypothèses!$C$7,Hypothèses!$F$7,IF(B77&lt;=Hypothèses!$C$8,Hypothèses!$F$8,IF(B77&lt;=Hypothèses!$C$9,Hypothèses!$F$9,IF(B77&lt;=Hypothèses!$C$10,Hypothèses!$F$10,IF(B77&lt;=Hypothèses!$C$11,Hypothèses!$F$11,IF(B77&lt;=Hypothèses!$C$12,Hypothèses!$F$12,IF(B77&lt;=Hypothèses!$C$13,Hypothèses!$F$13,IF(B77&lt;=Hypothèses!$C$14,Hypothèses!$F$14,IF(B77&lt;=Hypothèses!$C$15,Hypothèses!$F$15,IF(B77&lt;=Hypothèses!$C$16,Hypothèses!$F$16,IF(B77&lt;=Hypothèses!$C$17,Hypothèses!$F$17,IF(B77&lt;=Hypothèses!$C$18,Hypothèses!$F$18,F76))))))))))))</f>
        <v/>
      </c>
      <c r="G77" s="91">
        <f t="array" ref="G77">INDEX('Coeff EC7'!$U$7:$X$27,
MATCH(Model0.1T!$B$3,'Coeff EC7'!$T$7:$T$27,0),
MATCH(Model0.1T!$D77&amp;Model0.1T!$B$4,
'Coeff EC7'!$U$6:$X$6&amp;
'Coeff EC7'!$U$5:$X$5,0))</f>
        <v>1.4</v>
      </c>
      <c r="H77" s="91">
        <f t="array" ref="H77">INDEX('Coeff EC7'!$Y$7:$AB$27,
MATCH(Model0.1T!$B$3,'Coeff EC7'!$T$7:$T$27,0),
MATCH(Model0.1T!$D77&amp;Model0.1T!$B$4,
'Coeff EC7'!$Y$6:$AB$6&amp;
'Coeff EC7'!$Y$5:$AB$5,0))</f>
        <v>1.7</v>
      </c>
      <c r="I77" s="83">
        <v>0</v>
      </c>
      <c r="J77" s="91" t="e">
        <f t="array" ref="J77">INDEX('Coeff EC7'!$D$33:$Q$33,1,MATCH(D77&amp;E77,'Coeff EC7'!$D$31:$Q$31&amp;'Coeff EC7'!$D$32:$Q$32,0))</f>
        <v>#N/A</v>
      </c>
      <c r="K77" s="91" t="e">
        <f t="array" ref="K77">INDEX('Coeff EC7'!$D$34:$Q$34,1,MATCH(D77&amp;E77,'Coeff EC7'!$D$31:$Q$31&amp;'Coeff EC7'!$D$32:$Q$32,0))</f>
        <v>#N/A</v>
      </c>
      <c r="L77" s="91" t="e">
        <f t="array" ref="L77">INDEX('Coeff EC7'!$D$35:$Q$35,1,MATCH(D77&amp;E77,'Coeff EC7'!$D$31:$Q$31&amp;'Coeff EC7'!$D$32:$Q$32,0))</f>
        <v>#N/A</v>
      </c>
      <c r="M77" s="98" t="e">
        <f t="shared" ref="M77:M140" si="131">((J77*F77+K77)*(1-(EXP(-L77*F77))))</f>
        <v>#N/A</v>
      </c>
      <c r="N77" s="99" t="e">
        <f t="array" ref="N77">INDEX('Coeff EC7'!$D$7:$Q$27,MATCH($B$3,'Coeff EC7'!$C$7:$C$27,0),MATCH(D77&amp;E77,'Coeff EC7'!$D$5:$Q$5&amp;'Coeff EC7'!$D$6:$Q$6,0))</f>
        <v>#N/A</v>
      </c>
      <c r="O77" s="99" t="e">
        <f t="array" ref="O77">INDEX('Coeff EC7'!$D$41:$Q$61,MATCH($B$3,'Coeff EC7'!$C$41:$C$61,0),MATCH(D77&amp;E77,'Coeff EC7'!$D$39:$Q$39&amp;'Coeff EC7'!$D$40:$Q$40,0))</f>
        <v>#N/A</v>
      </c>
      <c r="P77" s="30" t="e">
        <f t="shared" si="66"/>
        <v>#N/A</v>
      </c>
      <c r="Q77" s="100" t="e">
        <f t="shared" si="10"/>
        <v>#N/A</v>
      </c>
      <c r="R77" s="86" t="b">
        <f t="shared" si="11"/>
        <v>0</v>
      </c>
      <c r="S77" s="86">
        <f t="shared" ref="S77:S140" si="132">MAX($AF$12/2,0.5)</f>
        <v>0.5</v>
      </c>
      <c r="T77" s="86">
        <f t="shared" si="12"/>
        <v>0.5</v>
      </c>
      <c r="U77" s="30" t="e">
        <f t="shared" ca="1" si="67"/>
        <v>#DIV/0!</v>
      </c>
      <c r="V77" s="85" t="str">
        <f>IF(B77&lt;=Hypothèses!$V$7,Hypothèses!$W$7,IF(B77&lt;=Hypothèses!$V$8,Hypothèses!$W$8,IF(B77&lt;=Hypothèses!$V$9,Hypothèses!$W$9,IF(B77&lt;=Hypothèses!$V$10,Hypothèses!$W$10,IF(B77&lt;=Hypothèses!$V$11,Hypothèses!$W$11,IF(B77&lt;=Hypothèses!$V$12,Hypothèses!$W$12,IF(B77&lt;=Hypothèses!$V$13,Hypothèses!$W$13,IF(B77&lt;=Hypothèses!$V$14,Hypothèses!$W$14,IF(B77&lt;=Hypothèses!$V$15,Hypothèses!$W$15,IF(B77&lt;=Hypothèses!$V$16,Hypothèses!$W$16,IF(B77&lt;=Hypothèses!$V$17,Hypothèses!$W$17,IF(B77&lt;=Hypothèses!$V$18,Hypothèses!$W$18,""))))))))))))</f>
        <v/>
      </c>
      <c r="W77" s="87" t="e">
        <f t="shared" ca="1" si="116"/>
        <v>#DIV/0!</v>
      </c>
      <c r="X77" s="88" t="str">
        <f>IF(B77&lt;=Hypothèses!$V$7,Hypothèses!$X$7,IF(B77&lt;=Hypothèses!$V$8,Hypothèses!$X$8,IF(B77&lt;=Hypothèses!$V$9,Hypothèses!$X$9,IF(B77&lt;=Hypothèses!$V$10,Hypothèses!$X$10,IF(B77&lt;=Hypothèses!$V$11,Hypothèses!$X$11,IF(B77&lt;=Hypothèses!$V$12,Hypothèses!$X$12,IF(B77&lt;=Hypothèses!$V$13,Hypothèses!$X$13,IF(B77&lt;=Hypothèses!$V$14,Hypothèses!$X$14,IF(B77&lt;=Hypothèses!$V$15,Hypothèses!$X$15,IF(B77&lt;=Hypothèses!$V$16,Hypothèses!$X$16,IF(B77&lt;=Hypothèses!$U$17,Hypothèses!$W$17,IF(B77&lt;=Hypothèses!$U$18,Hypothèses!$W$18,""))))))))))))</f>
        <v/>
      </c>
      <c r="Y77" s="95" t="e">
        <f t="shared" ca="1" si="13"/>
        <v>#DIV/0!</v>
      </c>
      <c r="Z77" s="101">
        <f t="shared" si="14"/>
        <v>0</v>
      </c>
      <c r="AA77" s="91">
        <f t="shared" si="15"/>
        <v>0</v>
      </c>
      <c r="AB77" s="30" t="e">
        <f t="shared" si="100"/>
        <v>#N/A</v>
      </c>
      <c r="AC77" s="30" t="e">
        <f t="shared" si="101"/>
        <v>#N/A</v>
      </c>
      <c r="AD77" s="31" t="e">
        <f>IF(OR(Hypothèses!$B$4=17,Hypothèses!$B$4=18,Hypothèses!$B$4=19,Hypothèses!$B$4=20),
IF($D77="Pressio.",
IF(OR($E77=3,$E77=1,$E77=4),AC77,AB77),
IF($D77="Pénétro.",
IF(OR($E77=3,$E77=1,$E77=4),AC77,AB77))),IF($D77="Pressio.",
IF($E77=3,AC77,AB77),
IF($D77="Pénétro.",
IF($E77=4,AC77,AB77))))</f>
        <v>#N/A</v>
      </c>
      <c r="AE77" s="31">
        <v>0</v>
      </c>
      <c r="AF77" s="102" t="e">
        <f>IF(NDC!$H$10="Oui",(VLOOKUP($B$3,'Coeff EC7'!$T$39:$X$59,2,0)*AD77+VLOOKUP($B$3,'Coeff EC7'!$T$65:$X$85,2,0)*Model0.1T!AE77)/1.5,PI()*AB$12*$Q77*($B77-$B76)*0.15/10+AF76)</f>
        <v>#N/A</v>
      </c>
      <c r="AG77" s="102" t="e">
        <f>(VLOOKUP($B$3,'Coeff EC7'!$T$39:$X$59,3,0)*AD77+VLOOKUP($B$3,'Coeff EC7'!$T$65:$X$85,3,0)*Model0.1T!AE77)/1.1</f>
        <v>#N/A</v>
      </c>
      <c r="AH77" s="102" t="e">
        <f t="shared" si="68"/>
        <v>#N/A</v>
      </c>
      <c r="AI77" s="102" t="e">
        <f t="shared" si="69"/>
        <v>#N/A</v>
      </c>
      <c r="AJ77" s="414" t="e">
        <f>IF(AND(AF77&gt;NDC!$C$63,AG77&gt;NDC!$C$65,AH77&gt;NDC!$D$73,AI77&gt;NDC!$D$74,$B77&gt;NDC!$H$22-0.1+MIN(3*$AJ$12,1.5)),0,1)</f>
        <v>#N/A</v>
      </c>
      <c r="AK77" s="86" t="b">
        <f t="shared" si="18"/>
        <v>0</v>
      </c>
      <c r="AL77" s="86">
        <f t="shared" si="70"/>
        <v>0.5</v>
      </c>
      <c r="AM77" s="86">
        <f t="shared" si="19"/>
        <v>0.5</v>
      </c>
      <c r="AN77" s="30" t="e">
        <f t="shared" ca="1" si="71"/>
        <v>#DIV/0!</v>
      </c>
      <c r="AO77" s="85" t="e">
        <f ca="1">IF(U77&lt;=Hypothèses!$V$7,Hypothèses!$W$7,IF(U77&lt;=Hypothèses!$V$8,Hypothèses!$W$8,IF(U77&lt;=Hypothèses!$V$9,Hypothèses!$W$9,IF(U77&lt;=Hypothèses!$V$10,Hypothèses!$W$10,IF(U77&lt;=Hypothèses!$V$11,Hypothèses!$W$11,IF(U77&lt;=Hypothèses!$V$12,Hypothèses!$W$12,IF(U77&lt;=Hypothèses!$V$13,Hypothèses!$W$13,IF(U77&lt;=Hypothèses!$V$14,Hypothèses!$W$14,IF(U77&lt;=Hypothèses!$V$15,Hypothèses!$W$15,IF(U77&lt;=Hypothèses!$V$16,Hypothèses!$W$16,IF(U77&lt;=Hypothèses!$V$17,Hypothèses!$W$17,IF(U77&lt;=Hypothèses!$V$18,Hypothèses!$W$18,""))))))))))))</f>
        <v>#DIV/0!</v>
      </c>
      <c r="AP77" s="87" t="e">
        <f t="shared" ca="1" si="117"/>
        <v>#DIV/0!</v>
      </c>
      <c r="AQ77" s="88" t="e">
        <f ca="1">IF(U77&lt;=Hypothèses!$V$7,Hypothèses!$X$7,IF(U77&lt;=Hypothèses!$V$8,Hypothèses!$X$8,IF(U77&lt;=Hypothèses!$V$9,Hypothèses!$X$9,IF(U77&lt;=Hypothèses!$V$10,Hypothèses!$X$10,IF(U77&lt;=Hypothèses!$V$11,Hypothèses!$X$11,IF(U77&lt;=Hypothèses!$V$12,Hypothèses!$X$12,IF(U77&lt;=Hypothèses!$V$13,Hypothèses!$X$13,IF(U77&lt;=Hypothèses!$V$14,Hypothèses!$X$14,IF(U77&lt;=Hypothèses!$V$15,Hypothèses!$X$15,IF(U77&lt;=Hypothèses!$V$16,Hypothèses!$X$16,IF(U77&lt;=Hypothèses!$U$17,Hypothèses!$W$17,IF(U77&lt;=Hypothèses!$U$18,Hypothèses!$W$18,""))))))))))))</f>
        <v>#DIV/0!</v>
      </c>
      <c r="AR77" s="95" t="e">
        <f t="shared" ca="1" si="72"/>
        <v>#DIV/0!</v>
      </c>
      <c r="AS77" s="101">
        <f t="shared" si="124"/>
        <v>0</v>
      </c>
      <c r="AT77" s="91">
        <f t="shared" si="21"/>
        <v>0</v>
      </c>
      <c r="AU77" s="30" t="e">
        <f t="shared" si="102"/>
        <v>#N/A</v>
      </c>
      <c r="AV77" s="30" t="e">
        <f t="shared" si="103"/>
        <v>#N/A</v>
      </c>
      <c r="AW77" s="31" t="e">
        <f>IF(OR(Hypothèses!$B$4=17,Hypothèses!$B$4=18,Hypothèses!$B$4=19,Hypothèses!$B$4=20),
IF($D77="Pressio.",
IF(OR($E77=3,$E77=1,$E77=4),AV77,AU77),
IF($D77="Pénétro.",
IF(OR($E77=3,$E77=1,$E77=4),AV77,AU77))),IF($D77="Pressio.",
IF($E77=3,AV77,AU77),
IF($D77="Pénétro.",
IF($E77=4,AV77,AU77))))</f>
        <v>#N/A</v>
      </c>
      <c r="AX77" s="31">
        <v>0</v>
      </c>
      <c r="AY77" s="102" t="e">
        <f>IF(NDC!$H$10="Oui",(VLOOKUP($B$3,'Coeff EC7'!$T$39:$X$59,2,0)*AW77+VLOOKUP($B$3,'Coeff EC7'!$T$65:$X$85,2,0)*Model0.1T!AX77)/1.5,PI()*AU$12*$Q77*($B77-$B76)*0.15/10+AY76)</f>
        <v>#N/A</v>
      </c>
      <c r="AZ77" s="102" t="e">
        <f>(VLOOKUP($B$3,'Coeff EC7'!$T$39:$X$59,3,0)*AW77+VLOOKUP($B$3,'Coeff EC7'!$T$65:$X$85,3,0)*Model0.1T!AX77)/1.1</f>
        <v>#N/A</v>
      </c>
      <c r="BA77" s="102" t="e">
        <f t="shared" si="73"/>
        <v>#N/A</v>
      </c>
      <c r="BB77" s="102" t="e">
        <f t="shared" si="74"/>
        <v>#N/A</v>
      </c>
      <c r="BC77" s="414" t="e">
        <f>IF(AND(AY77&gt;NDC!$C$63,AZ77&gt;NDC!$C$65,BA77&gt;NDC!$D$73,BB77&gt;NDC!$D$74,$B77&gt;NDC!$H$22-0.1+MIN(3*BC$12,1.5)),0,1)</f>
        <v>#N/A</v>
      </c>
      <c r="BD77" s="86" t="b">
        <f t="shared" si="24"/>
        <v>0</v>
      </c>
      <c r="BE77" s="86">
        <f t="shared" si="75"/>
        <v>0.5</v>
      </c>
      <c r="BF77" s="86">
        <f t="shared" si="25"/>
        <v>0.5</v>
      </c>
      <c r="BG77" s="30" t="e">
        <f t="shared" ca="1" si="76"/>
        <v>#DIV/0!</v>
      </c>
      <c r="BH77" s="85" t="e">
        <f ca="1">IF(AN77&lt;=Hypothèses!$V$7,Hypothèses!$W$7,IF(AN77&lt;=Hypothèses!$V$8,Hypothèses!$W$8,IF(AN77&lt;=Hypothèses!$V$9,Hypothèses!$W$9,IF(AN77&lt;=Hypothèses!$V$10,Hypothèses!$W$10,IF(AN77&lt;=Hypothèses!$V$11,Hypothèses!$W$11,IF(AN77&lt;=Hypothèses!$V$12,Hypothèses!$W$12,IF(AN77&lt;=Hypothèses!$V$13,Hypothèses!$W$13,IF(AN77&lt;=Hypothèses!$V$14,Hypothèses!$W$14,IF(AN77&lt;=Hypothèses!$V$15,Hypothèses!$W$15,IF(AN77&lt;=Hypothèses!$V$16,Hypothèses!$W$16,IF(AN77&lt;=Hypothèses!$V$17,Hypothèses!$W$17,IF(AN77&lt;=Hypothèses!$V$18,Hypothèses!$W$18,""))))))))))))</f>
        <v>#DIV/0!</v>
      </c>
      <c r="BI77" s="87" t="e">
        <f t="shared" ca="1" si="118"/>
        <v>#DIV/0!</v>
      </c>
      <c r="BJ77" s="88" t="e">
        <f ca="1">IF(AN77&lt;=Hypothèses!$V$7,Hypothèses!$X$7,IF(AN77&lt;=Hypothèses!$V$8,Hypothèses!$X$8,IF(AN77&lt;=Hypothèses!$V$9,Hypothèses!$X$9,IF(AN77&lt;=Hypothèses!$V$10,Hypothèses!$X$10,IF(AN77&lt;=Hypothèses!$V$11,Hypothèses!$X$11,IF(AN77&lt;=Hypothèses!$V$12,Hypothèses!$X$12,IF(AN77&lt;=Hypothèses!$V$13,Hypothèses!$X$13,IF(AN77&lt;=Hypothèses!$V$14,Hypothèses!$X$14,IF(AN77&lt;=Hypothèses!$V$15,Hypothèses!$X$15,IF(AN77&lt;=Hypothèses!$V$16,Hypothèses!$X$16,IF(AN77&lt;=Hypothèses!$U$17,Hypothèses!$W$17,IF(AN77&lt;=Hypothèses!$U$18,Hypothèses!$W$18,""))))))))))))</f>
        <v>#DIV/0!</v>
      </c>
      <c r="BK77" s="95" t="e">
        <f t="shared" ca="1" si="77"/>
        <v>#DIV/0!</v>
      </c>
      <c r="BL77" s="101">
        <f t="shared" si="125"/>
        <v>0</v>
      </c>
      <c r="BM77" s="91">
        <f t="shared" si="27"/>
        <v>0</v>
      </c>
      <c r="BN77" s="30" t="e">
        <f t="shared" si="104"/>
        <v>#N/A</v>
      </c>
      <c r="BO77" s="30" t="e">
        <f t="shared" si="105"/>
        <v>#N/A</v>
      </c>
      <c r="BP77" s="31" t="e">
        <f>IF(OR(Hypothèses!$B$4=17,Hypothèses!$B$4=18,Hypothèses!$B$4=19,Hypothèses!$B$4=20),
IF($D77="Pressio.",
IF(OR($E77=3,$E77=1,$E77=4),BO77,BN77),
IF($D77="Pénétro.",
IF(OR($E77=3,$E77=1,$E77=4),BO77,BN77))),IF($D77="Pressio.",
IF($E77=3,BO77,BN77),
IF($D77="Pénétro.",
IF($E77=4,BO77,BN77))))</f>
        <v>#N/A</v>
      </c>
      <c r="BQ77" s="31">
        <v>0</v>
      </c>
      <c r="BR77" s="102" t="e">
        <f>IF(NDC!$H$10="Oui",(VLOOKUP($B$3,'Coeff EC7'!$T$39:$X$59,2,0)*BP77+VLOOKUP($B$3,'Coeff EC7'!$T$65:$X$85,2,0)*Model0.1T!BQ77)/1.5,PI()*BN$12*$Q77*($B77-$B76)*0.15/10+BR76)</f>
        <v>#N/A</v>
      </c>
      <c r="BS77" s="102" t="e">
        <f>(VLOOKUP($B$3,'Coeff EC7'!$T$39:$X$59,3,0)*BP77+VLOOKUP($B$3,'Coeff EC7'!$T$65:$X$85,3,0)*Model0.1T!BQ77)/1.1</f>
        <v>#N/A</v>
      </c>
      <c r="BT77" s="102" t="e">
        <f t="shared" si="78"/>
        <v>#N/A</v>
      </c>
      <c r="BU77" s="102" t="e">
        <f t="shared" si="79"/>
        <v>#N/A</v>
      </c>
      <c r="BV77" s="414" t="e">
        <f>IF(AND(BR77&gt;NDC!$C$63,BS77&gt;NDC!$C$65,BT77&gt;NDC!$D$73,BU77&gt;NDC!$D$74,$B77&gt;NDC!$H$22-0.1+MIN(3*BV$12,1.5)),0,1)</f>
        <v>#N/A</v>
      </c>
      <c r="BW77" s="86" t="b">
        <f t="shared" si="30"/>
        <v>0</v>
      </c>
      <c r="BX77" s="86">
        <f t="shared" si="31"/>
        <v>0.5</v>
      </c>
      <c r="BY77" s="86">
        <f t="shared" si="32"/>
        <v>0.5</v>
      </c>
      <c r="BZ77" s="30" t="e">
        <f t="shared" ca="1" si="80"/>
        <v>#DIV/0!</v>
      </c>
      <c r="CA77" s="85" t="e">
        <f ca="1">IF(BG77&lt;=Hypothèses!$V$7,Hypothèses!$W$7,IF(BG77&lt;=Hypothèses!$V$8,Hypothèses!$W$8,IF(BG77&lt;=Hypothèses!$V$9,Hypothèses!$W$9,IF(BG77&lt;=Hypothèses!$V$10,Hypothèses!$W$10,IF(BG77&lt;=Hypothèses!$V$11,Hypothèses!$W$11,IF(BG77&lt;=Hypothèses!$V$12,Hypothèses!$W$12,IF(BG77&lt;=Hypothèses!$V$13,Hypothèses!$W$13,IF(BG77&lt;=Hypothèses!$V$14,Hypothèses!$W$14,IF(BG77&lt;=Hypothèses!$V$15,Hypothèses!$W$15,IF(BG77&lt;=Hypothèses!$V$16,Hypothèses!$W$16,IF(BG77&lt;=Hypothèses!$V$17,Hypothèses!$W$17,IF(BG77&lt;=Hypothèses!$V$18,Hypothèses!$W$18,""))))))))))))</f>
        <v>#DIV/0!</v>
      </c>
      <c r="CB77" s="87" t="e">
        <f t="shared" ca="1" si="119"/>
        <v>#DIV/0!</v>
      </c>
      <c r="CC77" s="88" t="e">
        <f ca="1">IF(BG77&lt;=Hypothèses!$V$7,Hypothèses!$X$7,IF(BG77&lt;=Hypothèses!$V$8,Hypothèses!$X$8,IF(BG77&lt;=Hypothèses!$V$9,Hypothèses!$X$9,IF(BG77&lt;=Hypothèses!$V$10,Hypothèses!$X$10,IF(BG77&lt;=Hypothèses!$V$11,Hypothèses!$X$11,IF(BG77&lt;=Hypothèses!$V$12,Hypothèses!$X$12,IF(BG77&lt;=Hypothèses!$V$13,Hypothèses!$X$13,IF(BG77&lt;=Hypothèses!$V$14,Hypothèses!$X$14,IF(BG77&lt;=Hypothèses!$V$15,Hypothèses!$X$15,IF(BG77&lt;=Hypothèses!$V$16,Hypothèses!$X$16,IF(BG77&lt;=Hypothèses!$U$17,Hypothèses!$W$17,IF(BG77&lt;=Hypothèses!$U$18,Hypothèses!$W$18,""))))))))))))</f>
        <v>#DIV/0!</v>
      </c>
      <c r="CD77" s="95" t="e">
        <f t="shared" ca="1" si="81"/>
        <v>#DIV/0!</v>
      </c>
      <c r="CE77" s="101">
        <f t="shared" si="126"/>
        <v>0</v>
      </c>
      <c r="CF77" s="91">
        <f t="shared" si="34"/>
        <v>0</v>
      </c>
      <c r="CG77" s="30" t="e">
        <f t="shared" si="106"/>
        <v>#N/A</v>
      </c>
      <c r="CH77" s="30" t="e">
        <f t="shared" si="107"/>
        <v>#N/A</v>
      </c>
      <c r="CI77" s="31" t="e">
        <f>IF(OR(Hypothèses!$B$4=17,Hypothèses!$B$4=18,Hypothèses!$B$4=19,Hypothèses!$B$4=20),
IF($D77="Pressio.",
IF(OR($E77=3,$E77=1,$E77=4),CH77,CG77),
IF($D77="Pénétro.",
IF(OR($E77=3,$E77=1,$E77=4),CH77,CG77))),IF($D77="Pressio.",
IF($E77=3,CH77,CG77),
IF($D77="Pénétro.",
IF($E77=4,CH77,CG77))))</f>
        <v>#N/A</v>
      </c>
      <c r="CJ77" s="31">
        <v>0</v>
      </c>
      <c r="CK77" s="102" t="e">
        <f>IF(NDC!$H$10="Oui",(VLOOKUP($B$3,'Coeff EC7'!$T$39:$X$59,2,0)*CI77+VLOOKUP($B$3,'Coeff EC7'!$T$65:$X$85,2,0)*Model0.1T!CJ77)/1.5,PI()*CG$12*$Q77*($B77-$B76)*0.15/10+CK76)</f>
        <v>#N/A</v>
      </c>
      <c r="CL77" s="102" t="e">
        <f>(VLOOKUP($B$3,'Coeff EC7'!$T$39:$X$59,3,0)*CI77+VLOOKUP($B$3,'Coeff EC7'!$T$65:$X$85,3,0)*Model0.1T!CJ77)/1.1</f>
        <v>#N/A</v>
      </c>
      <c r="CM77" s="102" t="e">
        <f t="shared" si="82"/>
        <v>#N/A</v>
      </c>
      <c r="CN77" s="102" t="e">
        <f t="shared" si="83"/>
        <v>#N/A</v>
      </c>
      <c r="CO77" s="414" t="e">
        <f>IF(AND(CK77&gt;NDC!$C$63,CL77&gt;NDC!$C$65,CM77&gt;NDC!$D$73,CN77&gt;NDC!$D$74,$B77&gt;NDC!$H$22-0.1+MIN(3*CO$12,1.5)),0,1)</f>
        <v>#N/A</v>
      </c>
      <c r="CP77" s="86" t="b">
        <f t="shared" si="37"/>
        <v>0</v>
      </c>
      <c r="CQ77" s="86">
        <f t="shared" si="38"/>
        <v>0.5</v>
      </c>
      <c r="CR77" s="86">
        <f t="shared" si="39"/>
        <v>0.5</v>
      </c>
      <c r="CS77" s="30" t="e">
        <f t="shared" ca="1" si="84"/>
        <v>#DIV/0!</v>
      </c>
      <c r="CT77" s="85" t="e">
        <f ca="1">IF(BZ77&lt;=Hypothèses!$V$7,Hypothèses!$W$7,IF(BZ77&lt;=Hypothèses!$V$8,Hypothèses!$W$8,IF(BZ77&lt;=Hypothèses!$V$9,Hypothèses!$W$9,IF(BZ77&lt;=Hypothèses!$V$10,Hypothèses!$W$10,IF(BZ77&lt;=Hypothèses!$V$11,Hypothèses!$W$11,IF(BZ77&lt;=Hypothèses!$V$12,Hypothèses!$W$12,IF(BZ77&lt;=Hypothèses!$V$13,Hypothèses!$W$13,IF(BZ77&lt;=Hypothèses!$V$14,Hypothèses!$W$14,IF(BZ77&lt;=Hypothèses!$V$15,Hypothèses!$W$15,IF(BZ77&lt;=Hypothèses!$V$16,Hypothèses!$W$16,IF(BZ77&lt;=Hypothèses!$V$17,Hypothèses!$W$17,IF(BZ77&lt;=Hypothèses!$V$18,Hypothèses!$W$18,""))))))))))))</f>
        <v>#DIV/0!</v>
      </c>
      <c r="CU77" s="87" t="e">
        <f t="shared" ca="1" si="120"/>
        <v>#DIV/0!</v>
      </c>
      <c r="CV77" s="88" t="e">
        <f ca="1">IF(BZ77&lt;=Hypothèses!$V$7,Hypothèses!$X$7,IF(BZ77&lt;=Hypothèses!$V$8,Hypothèses!$X$8,IF(BZ77&lt;=Hypothèses!$V$9,Hypothèses!$X$9,IF(BZ77&lt;=Hypothèses!$V$10,Hypothèses!$X$10,IF(BZ77&lt;=Hypothèses!$V$11,Hypothèses!$X$11,IF(BZ77&lt;=Hypothèses!$V$12,Hypothèses!$X$12,IF(BZ77&lt;=Hypothèses!$V$13,Hypothèses!$X$13,IF(BZ77&lt;=Hypothèses!$V$14,Hypothèses!$X$14,IF(BZ77&lt;=Hypothèses!$V$15,Hypothèses!$X$15,IF(BZ77&lt;=Hypothèses!$V$16,Hypothèses!$X$16,IF(BZ77&lt;=Hypothèses!$U$17,Hypothèses!$W$17,IF(BZ77&lt;=Hypothèses!$U$18,Hypothèses!$W$18,""))))))))))))</f>
        <v>#DIV/0!</v>
      </c>
      <c r="CW77" s="95" t="e">
        <f t="shared" ca="1" si="85"/>
        <v>#DIV/0!</v>
      </c>
      <c r="CX77" s="101">
        <f t="shared" si="127"/>
        <v>0</v>
      </c>
      <c r="CY77" s="91">
        <f t="shared" si="41"/>
        <v>0</v>
      </c>
      <c r="CZ77" s="30" t="e">
        <f t="shared" si="108"/>
        <v>#N/A</v>
      </c>
      <c r="DA77" s="30" t="e">
        <f t="shared" si="109"/>
        <v>#N/A</v>
      </c>
      <c r="DB77" s="31" t="e">
        <f>IF(OR(Hypothèses!$B$4=17,Hypothèses!$B$4=18,Hypothèses!$B$4=19,Hypothèses!$B$4=20),
IF($D77="Pressio.",
IF(OR($E77=3,$E77=1,$E77=4),DA77,CZ77),
IF($D77="Pénétro.",
IF(OR($E77=3,$E77=1,$E77=4),DA77,CZ77))),IF($D77="Pressio.",
IF($E77=3,DA77,CZ77),
IF($D77="Pénétro.",
IF($E77=4,DA77,CZ77))))</f>
        <v>#N/A</v>
      </c>
      <c r="DC77" s="31">
        <v>0</v>
      </c>
      <c r="DD77" s="102" t="e">
        <f>IF(NDC!$H$10="Oui",(VLOOKUP($B$3,'Coeff EC7'!$T$39:$X$59,2,0)*DB77+VLOOKUP($B$3,'Coeff EC7'!$T$65:$X$85,2,0)*Model0.1T!DC77)/1.5,PI()*CZ$12*$Q77*($B77-$B76)*0.15/10+DD76)</f>
        <v>#N/A</v>
      </c>
      <c r="DE77" s="102" t="e">
        <f>(VLOOKUP($B$3,'Coeff EC7'!$T$39:$X$59,3,0)*DB77+VLOOKUP($B$3,'Coeff EC7'!$T$65:$X$85,3,0)*Model0.1T!DC77)/1.1</f>
        <v>#N/A</v>
      </c>
      <c r="DF77" s="102" t="e">
        <f t="shared" si="86"/>
        <v>#N/A</v>
      </c>
      <c r="DG77" s="102" t="e">
        <f t="shared" si="87"/>
        <v>#N/A</v>
      </c>
      <c r="DH77" s="414" t="e">
        <f>IF(AND(DD77&gt;NDC!$C$63,DE77&gt;NDC!$C$65,DF77&gt;NDC!$D$73,DG77&gt;NDC!$D$74,$B77&gt;NDC!$H$22-0.1+MIN(3*DH$12,1.5)),0,1)</f>
        <v>#N/A</v>
      </c>
      <c r="DI77" s="86" t="b">
        <f t="shared" si="44"/>
        <v>0</v>
      </c>
      <c r="DJ77" s="86">
        <f t="shared" si="45"/>
        <v>0.5</v>
      </c>
      <c r="DK77" s="86">
        <f t="shared" si="46"/>
        <v>0.5</v>
      </c>
      <c r="DL77" s="30" t="e">
        <f t="shared" ca="1" si="88"/>
        <v>#DIV/0!</v>
      </c>
      <c r="DM77" s="85" t="e">
        <f ca="1">IF(CS77&lt;=Hypothèses!$V$7,Hypothèses!$W$7,IF(CS77&lt;=Hypothèses!$V$8,Hypothèses!$W$8,IF(CS77&lt;=Hypothèses!$V$9,Hypothèses!$W$9,IF(CS77&lt;=Hypothèses!$V$10,Hypothèses!$W$10,IF(CS77&lt;=Hypothèses!$V$11,Hypothèses!$W$11,IF(CS77&lt;=Hypothèses!$V$12,Hypothèses!$W$12,IF(CS77&lt;=Hypothèses!$V$13,Hypothèses!$W$13,IF(CS77&lt;=Hypothèses!$V$14,Hypothèses!$W$14,IF(CS77&lt;=Hypothèses!$V$15,Hypothèses!$W$15,IF(CS77&lt;=Hypothèses!$V$16,Hypothèses!$W$16,IF(CS77&lt;=Hypothèses!$V$17,Hypothèses!$W$17,IF(CS77&lt;=Hypothèses!$V$18,Hypothèses!$W$18,""))))))))))))</f>
        <v>#DIV/0!</v>
      </c>
      <c r="DN77" s="87" t="e">
        <f t="shared" ca="1" si="121"/>
        <v>#DIV/0!</v>
      </c>
      <c r="DO77" s="88" t="e">
        <f ca="1">IF(CS77&lt;=Hypothèses!$V$7,Hypothèses!$X$7,IF(CS77&lt;=Hypothèses!$V$8,Hypothèses!$X$8,IF(CS77&lt;=Hypothèses!$V$9,Hypothèses!$X$9,IF(CS77&lt;=Hypothèses!$V$10,Hypothèses!$X$10,IF(CS77&lt;=Hypothèses!$V$11,Hypothèses!$X$11,IF(CS77&lt;=Hypothèses!$V$12,Hypothèses!$X$12,IF(CS77&lt;=Hypothèses!$V$13,Hypothèses!$X$13,IF(CS77&lt;=Hypothèses!$V$14,Hypothèses!$X$14,IF(CS77&lt;=Hypothèses!$V$15,Hypothèses!$X$15,IF(CS77&lt;=Hypothèses!$V$16,Hypothèses!$X$16,IF(CS77&lt;=Hypothèses!$U$17,Hypothèses!$W$17,IF(CS77&lt;=Hypothèses!$U$18,Hypothèses!$W$18,""))))))))))))</f>
        <v>#DIV/0!</v>
      </c>
      <c r="DP77" s="95" t="e">
        <f t="shared" ca="1" si="89"/>
        <v>#DIV/0!</v>
      </c>
      <c r="DQ77" s="101">
        <f t="shared" si="128"/>
        <v>0</v>
      </c>
      <c r="DR77" s="91">
        <f t="shared" si="48"/>
        <v>0</v>
      </c>
      <c r="DS77" s="30" t="e">
        <f t="shared" si="110"/>
        <v>#N/A</v>
      </c>
      <c r="DT77" s="30" t="e">
        <f t="shared" si="111"/>
        <v>#N/A</v>
      </c>
      <c r="DU77" s="31" t="e">
        <f>IF(OR(Hypothèses!$B$4=17,Hypothèses!$B$4=18,Hypothèses!$B$4=19,Hypothèses!$B$4=20),
IF($D77="Pressio.",
IF(OR($E77=3,$E77=1,$E77=4),DT77,DS77),
IF($D77="Pénétro.",
IF(OR($E77=3,$E77=1,$E77=4),DT77,DS77))),IF($D77="Pressio.",
IF($E77=3,DT77,DS77),
IF($D77="Pénétro.",
IF($E77=4,DT77,DS77))))</f>
        <v>#N/A</v>
      </c>
      <c r="DV77" s="31">
        <v>0</v>
      </c>
      <c r="DW77" s="102" t="e">
        <f>IF(NDC!$H$10="Oui",(VLOOKUP($B$3,'Coeff EC7'!$T$39:$X$59,2,0)*DU77+VLOOKUP($B$3,'Coeff EC7'!$T$65:$X$85,2,0)*Model0.1T!DV77)/1.5,PI()*DS$12*$Q77*($B77-$B76)*0.15/10+DW76)</f>
        <v>#N/A</v>
      </c>
      <c r="DX77" s="102" t="e">
        <f>(VLOOKUP($B$3,'Coeff EC7'!$T$39:$X$59,3,0)*DU77+VLOOKUP($B$3,'Coeff EC7'!$T$65:$X$85,3,0)*Model0.1T!DV77)/1.1</f>
        <v>#N/A</v>
      </c>
      <c r="DY77" s="102" t="e">
        <f t="shared" si="90"/>
        <v>#N/A</v>
      </c>
      <c r="DZ77" s="102" t="e">
        <f t="shared" si="91"/>
        <v>#N/A</v>
      </c>
      <c r="EA77" s="414" t="e">
        <f>IF(AND(DW77&gt;NDC!$C$63,DX77&gt;NDC!$C$65,DY77&gt;NDC!$D$73,DZ77&gt;NDC!$D$74,$B77&gt;NDC!$H$22-0.1+MIN(3*EA$12,1.5)),0,1)</f>
        <v>#N/A</v>
      </c>
      <c r="EB77" s="86" t="b">
        <f t="shared" si="51"/>
        <v>0</v>
      </c>
      <c r="EC77" s="418">
        <f t="shared" si="52"/>
        <v>0.51</v>
      </c>
      <c r="ED77" s="86">
        <f t="shared" si="53"/>
        <v>0.51</v>
      </c>
      <c r="EE77" s="30" t="e">
        <f t="shared" ca="1" si="92"/>
        <v>#DIV/0!</v>
      </c>
      <c r="EF77" s="85" t="e">
        <f ca="1">IF(DL77&lt;=Hypothèses!$V$7,Hypothèses!$W$7,IF(DL77&lt;=Hypothèses!$V$8,Hypothèses!$W$8,IF(DL77&lt;=Hypothèses!$V$9,Hypothèses!$W$9,IF(DL77&lt;=Hypothèses!$V$10,Hypothèses!$W$10,IF(DL77&lt;=Hypothèses!$V$11,Hypothèses!$W$11,IF(DL77&lt;=Hypothèses!$V$12,Hypothèses!$W$12,IF(DL77&lt;=Hypothèses!$V$13,Hypothèses!$W$13,IF(DL77&lt;=Hypothèses!$V$14,Hypothèses!$W$14,IF(DL77&lt;=Hypothèses!$V$15,Hypothèses!$W$15,IF(DL77&lt;=Hypothèses!$V$16,Hypothèses!$W$16,IF(DL77&lt;=Hypothèses!$V$17,Hypothèses!$W$17,IF(DL77&lt;=Hypothèses!$V$18,Hypothèses!$W$18,""))))))))))))</f>
        <v>#DIV/0!</v>
      </c>
      <c r="EG77" s="87" t="e">
        <f t="shared" ca="1" si="122"/>
        <v>#DIV/0!</v>
      </c>
      <c r="EH77" s="88" t="e">
        <f ca="1">IF(DL77&lt;=Hypothèses!$V$7,Hypothèses!$X$7,IF(DL77&lt;=Hypothèses!$V$8,Hypothèses!$X$8,IF(DL77&lt;=Hypothèses!$V$9,Hypothèses!$X$9,IF(DL77&lt;=Hypothèses!$V$10,Hypothèses!$X$10,IF(DL77&lt;=Hypothèses!$V$11,Hypothèses!$X$11,IF(DL77&lt;=Hypothèses!$V$12,Hypothèses!$X$12,IF(DL77&lt;=Hypothèses!$V$13,Hypothèses!$X$13,IF(DL77&lt;=Hypothèses!$V$14,Hypothèses!$X$14,IF(DL77&lt;=Hypothèses!$V$15,Hypothèses!$X$15,IF(DL77&lt;=Hypothèses!$V$16,Hypothèses!$X$16,IF(DL77&lt;=Hypothèses!$U$17,Hypothèses!$W$17,IF(DL77&lt;=Hypothèses!$U$18,Hypothèses!$W$18,""))))))))))))</f>
        <v>#DIV/0!</v>
      </c>
      <c r="EI77" s="95" t="e">
        <f t="shared" ca="1" si="93"/>
        <v>#DIV/0!</v>
      </c>
      <c r="EJ77" s="101">
        <f t="shared" si="129"/>
        <v>0</v>
      </c>
      <c r="EK77" s="91">
        <f t="shared" si="55"/>
        <v>0</v>
      </c>
      <c r="EL77" s="30" t="e">
        <f t="shared" si="112"/>
        <v>#N/A</v>
      </c>
      <c r="EM77" s="30" t="e">
        <f t="shared" si="113"/>
        <v>#N/A</v>
      </c>
      <c r="EN77" s="31" t="e">
        <f>IF(OR(Hypothèses!$B$4=17,Hypothèses!$B$4=18,Hypothèses!$B$4=19,Hypothèses!$B$4=20),
IF($D77="Pressio.",
IF(OR($E77=3,$E77=1,$E77=4),EM77,EL77),
IF($D77="Pénétro.",
IF(OR($E77=3,$E77=1,$E77=4),EM77,EL77))),IF($D77="Pressio.",
IF($E77=3,EM77,EL77),
IF($D77="Pénétro.",
IF($E77=4,EM77,EL77))))</f>
        <v>#N/A</v>
      </c>
      <c r="EO77" s="31">
        <v>0</v>
      </c>
      <c r="EP77" s="102" t="e">
        <f>IF(NDC!$H$10="Oui",(VLOOKUP($B$3,'Coeff EC7'!$T$39:$X$59,2,0)*EN77+VLOOKUP($B$3,'Coeff EC7'!$T$65:$X$85,2,0)*Model0.1T!EO77)/1.5,PI()*EL$12*$Q77*($B77-$B76)*0.15/10+EP76)</f>
        <v>#N/A</v>
      </c>
      <c r="EQ77" s="102" t="e">
        <f>(VLOOKUP($B$3,'Coeff EC7'!$T$39:$X$59,3,0)*EN77+VLOOKUP($B$3,'Coeff EC7'!$T$65:$X$85,3,0)*Model0.1T!EO77)/1.1</f>
        <v>#N/A</v>
      </c>
      <c r="ER77" s="102" t="e">
        <f t="shared" si="94"/>
        <v>#N/A</v>
      </c>
      <c r="ES77" s="102" t="e">
        <f t="shared" si="95"/>
        <v>#N/A</v>
      </c>
      <c r="ET77" s="414" t="e">
        <f>IF(AND(EP77&gt;NDC!$C$63,EQ77&gt;NDC!$C$65,ER77&gt;NDC!$D$73,ES77&gt;NDC!$D$74,$B77&gt;NDC!$H$22-0.1+MIN(3*ET$12,1.5)),0,1)</f>
        <v>#N/A</v>
      </c>
      <c r="EU77" s="86" t="b">
        <f t="shared" si="58"/>
        <v>0</v>
      </c>
      <c r="EV77" s="86">
        <f t="shared" si="59"/>
        <v>0.61</v>
      </c>
      <c r="EW77" s="86">
        <f t="shared" si="60"/>
        <v>0.61</v>
      </c>
      <c r="EX77" s="30" t="e">
        <f t="shared" ca="1" si="96"/>
        <v>#DIV/0!</v>
      </c>
      <c r="EY77" s="85" t="e">
        <f ca="1">IF(EE77&lt;=Hypothèses!$V$7,Hypothèses!$W$7,IF(EE77&lt;=Hypothèses!$V$8,Hypothèses!$W$8,IF(EE77&lt;=Hypothèses!$V$9,Hypothèses!$W$9,IF(EE77&lt;=Hypothèses!$V$10,Hypothèses!$W$10,IF(EE77&lt;=Hypothèses!$V$11,Hypothèses!$W$11,IF(EE77&lt;=Hypothèses!$V$12,Hypothèses!$W$12,IF(EE77&lt;=Hypothèses!$V$13,Hypothèses!$W$13,IF(EE77&lt;=Hypothèses!$V$14,Hypothèses!$W$14,IF(EE77&lt;=Hypothèses!$V$15,Hypothèses!$W$15,IF(EE77&lt;=Hypothèses!$V$16,Hypothèses!$W$16,IF(EE77&lt;=Hypothèses!$V$17,Hypothèses!$W$17,IF(EE77&lt;=Hypothèses!$V$18,Hypothèses!$W$18,""))))))))))))</f>
        <v>#DIV/0!</v>
      </c>
      <c r="EZ77" s="87" t="e">
        <f t="shared" ca="1" si="123"/>
        <v>#DIV/0!</v>
      </c>
      <c r="FA77" s="88" t="e">
        <f ca="1">IF(EE77&lt;=Hypothèses!$V$7,Hypothèses!$X$7,IF(EE77&lt;=Hypothèses!$V$8,Hypothèses!$X$8,IF(EE77&lt;=Hypothèses!$V$9,Hypothèses!$X$9,IF(EE77&lt;=Hypothèses!$V$10,Hypothèses!$X$10,IF(EE77&lt;=Hypothèses!$V$11,Hypothèses!$X$11,IF(EE77&lt;=Hypothèses!$V$12,Hypothèses!$X$12,IF(EE77&lt;=Hypothèses!$V$13,Hypothèses!$X$13,IF(EE77&lt;=Hypothèses!$V$14,Hypothèses!$X$14,IF(EE77&lt;=Hypothèses!$V$15,Hypothèses!$X$15,IF(EE77&lt;=Hypothèses!$V$16,Hypothèses!$X$16,IF(EE77&lt;=Hypothèses!$U$17,Hypothèses!$W$17,IF(EE77&lt;=Hypothèses!$U$18,Hypothèses!$W$18,""))))))))))))</f>
        <v>#DIV/0!</v>
      </c>
      <c r="FB77" s="95" t="e">
        <f t="shared" ca="1" si="97"/>
        <v>#DIV/0!</v>
      </c>
      <c r="FC77" s="101">
        <f t="shared" si="130"/>
        <v>0</v>
      </c>
      <c r="FD77" s="91">
        <f t="shared" si="62"/>
        <v>0</v>
      </c>
      <c r="FE77" s="30" t="e">
        <f t="shared" si="114"/>
        <v>#N/A</v>
      </c>
      <c r="FF77" s="30" t="e">
        <f t="shared" si="115"/>
        <v>#N/A</v>
      </c>
      <c r="FG77" s="31" t="e">
        <f>IF(OR(Hypothèses!$B$4=17,Hypothèses!$B$4=18,Hypothèses!$B$4=19,Hypothèses!$B$4=20),
IF($D77="Pressio.",
IF(OR($E77=3,$E77=1,$E77=4),FF77,FE77),
IF($D77="Pénétro.",
IF(OR($E77=3,$E77=1,$E77=4),FF77,FE77))),IF($D77="Pressio.",
IF($E77=3,FF77,FE77),
IF($D77="Pénétro.",
IF($E77=4,FF77,FE77))))</f>
        <v>#N/A</v>
      </c>
      <c r="FH77" s="31">
        <v>0</v>
      </c>
      <c r="FI77" s="102" t="e">
        <f>IF(NDC!$H$10="Oui",(VLOOKUP($B$3,'Coeff EC7'!$T$39:$X$59,2,0)*FG77+VLOOKUP($B$3,'Coeff EC7'!$T$65:$X$85,2,0)*Model0.1T!FH77)/1.5,PI()*FE$12*$Q77*($B77-$B76)*0.15/10+FI76)</f>
        <v>#N/A</v>
      </c>
      <c r="FJ77" s="102" t="e">
        <f>(VLOOKUP($B$3,'Coeff EC7'!$T$39:$X$59,3,0)*FG77+VLOOKUP($B$3,'Coeff EC7'!$T$65:$X$85,3,0)*Model0.1T!FH77)/1.1</f>
        <v>#N/A</v>
      </c>
      <c r="FK77" s="102" t="e">
        <f t="shared" si="98"/>
        <v>#N/A</v>
      </c>
      <c r="FL77" s="102" t="e">
        <f t="shared" si="99"/>
        <v>#N/A</v>
      </c>
      <c r="FM77" s="414" t="e">
        <f>IF(AND(FI77&gt;NDC!$C$63,FJ77&gt;NDC!$C$65,FK77&gt;NDC!$D$73,FL77&gt;NDC!$D$74,$B77&gt;NDC!$H$22-0.1+MIN(3*FM$12,1.5)),0,1)</f>
        <v>#N/A</v>
      </c>
    </row>
    <row r="78" spans="1:169">
      <c r="A78" s="96">
        <f t="shared" si="65"/>
        <v>93.500000000000369</v>
      </c>
      <c r="B78" s="97">
        <v>6.5</v>
      </c>
      <c r="C78" s="81">
        <f>IF(B78&lt;=Hypothèses!$C$7,Hypothèses!$A$7,IF(B78&lt;=Hypothèses!$C$8,Hypothèses!$A$8,IF(B78&lt;=Hypothèses!$C$9,Hypothèses!$A$9,IF(B78&lt;=Hypothèses!$C$10,Hypothèses!$A$10,IF(B78&lt;=Hypothèses!$C$11,Hypothèses!$A$11,IF(B78&lt;=Hypothèses!$C$12,Hypothèses!$A$12,IF(B78&lt;=Hypothèses!$C$13,Hypothèses!$A$13,IF(B78&lt;=Hypothèses!$C$14,Hypothèses!$A$14,IF(B78&lt;=Hypothèses!$C$15,Hypothèses!$A$15,IF(B78&lt;=Hypothèses!$C$16,Hypothèses!$A$16,IF(B78&lt;=Hypothèses!$C$17,Hypothèses!$A$17,IF(B78&lt;=Hypothèses!$C$18,Hypothèses!$A$18,C77))))))))))))</f>
        <v>11</v>
      </c>
      <c r="D78" s="82" t="str">
        <f>IF(B78&lt;=Hypothèses!$C$7,Hypothèses!$R$7,IF(B78&lt;=Hypothèses!$C$8,Hypothèses!$R$8,IF(B78&lt;=Hypothèses!$C$9,Hypothèses!$R$9,IF(B78&lt;=Hypothèses!$C$10,Hypothèses!$R$10,IF(B78&lt;=Hypothèses!$C$11,Hypothèses!$R$11,IF(B78&lt;=Hypothèses!$C$12,Hypothèses!$R$12,IF(B78&lt;=Hypothèses!$C$13,Hypothèses!$R$13,IF(B78&lt;=Hypothèses!$C$14,Hypothèses!$R$14,IF(B78&lt;=Hypothèses!$C$15,Hypothèses!$R$15,IF(B78&lt;=Hypothèses!$C$16,Hypothèses!$R$16,IF(B78&lt;=Hypothèses!$C$17,Hypothèses!$R$17,IF(B78&lt;=Hypothèses!$C$18,Hypothèses!$R$18,D77))))))))))))</f>
        <v>Pressio.</v>
      </c>
      <c r="E78" s="82" t="e">
        <f>IF(B78&lt;=Hypothèses!$C$7,Hypothèses!$G$7,IF(B78&lt;=Hypothèses!$C$8,Hypothèses!$G$8,IF(B78&lt;=Hypothèses!$C$9,Hypothèses!$G$9,IF(B78&lt;=Hypothèses!$C$10,Hypothèses!$G$10,IF(B78&lt;=Hypothèses!$C$11,Hypothèses!$G$11,IF(B78&lt;=Hypothèses!$C$12,Hypothèses!$G$12,IF(B78&lt;=Hypothèses!$C$13,Hypothèses!$G$13,IF(B78&lt;=Hypothèses!$C$14,Hypothèses!$G$14,IF(B78&lt;=Hypothèses!$C$15,Hypothèses!$G$15,IF(B78&lt;=Hypothèses!$C$16,Hypothèses!$G$16,IF(B78&lt;=Hypothèses!$C$17,Hypothèses!$G$17,IF(B78&lt;=Hypothèses!$C$18,Hypothèses!$G$18,E77))))))))))))</f>
        <v>#N/A</v>
      </c>
      <c r="F78" s="82" t="str">
        <f>IF(B78&lt;=Hypothèses!$C$7,Hypothèses!$F$7,IF(B78&lt;=Hypothèses!$C$8,Hypothèses!$F$8,IF(B78&lt;=Hypothèses!$C$9,Hypothèses!$F$9,IF(B78&lt;=Hypothèses!$C$10,Hypothèses!$F$10,IF(B78&lt;=Hypothèses!$C$11,Hypothèses!$F$11,IF(B78&lt;=Hypothèses!$C$12,Hypothèses!$F$12,IF(B78&lt;=Hypothèses!$C$13,Hypothèses!$F$13,IF(B78&lt;=Hypothèses!$C$14,Hypothèses!$F$14,IF(B78&lt;=Hypothèses!$C$15,Hypothèses!$F$15,IF(B78&lt;=Hypothèses!$C$16,Hypothèses!$F$16,IF(B78&lt;=Hypothèses!$C$17,Hypothèses!$F$17,IF(B78&lt;=Hypothèses!$C$18,Hypothèses!$F$18,F77))))))))))))</f>
        <v/>
      </c>
      <c r="G78" s="91">
        <f t="array" ref="G78">INDEX('Coeff EC7'!$U$7:$X$27,
MATCH(Model0.1T!$B$3,'Coeff EC7'!$T$7:$T$27,0),
MATCH(Model0.1T!$D78&amp;Model0.1T!$B$4,
'Coeff EC7'!$U$6:$X$6&amp;
'Coeff EC7'!$U$5:$X$5,0))</f>
        <v>1.4</v>
      </c>
      <c r="H78" s="91">
        <f t="array" ref="H78">INDEX('Coeff EC7'!$Y$7:$AB$27,
MATCH(Model0.1T!$B$3,'Coeff EC7'!$T$7:$T$27,0),
MATCH(Model0.1T!$D78&amp;Model0.1T!$B$4,
'Coeff EC7'!$Y$6:$AB$6&amp;
'Coeff EC7'!$Y$5:$AB$5,0))</f>
        <v>1.7</v>
      </c>
      <c r="I78" s="83">
        <v>0</v>
      </c>
      <c r="J78" s="91" t="e">
        <f t="array" ref="J78">INDEX('Coeff EC7'!$D$33:$Q$33,1,MATCH(D78&amp;E78,'Coeff EC7'!$D$31:$Q$31&amp;'Coeff EC7'!$D$32:$Q$32,0))</f>
        <v>#N/A</v>
      </c>
      <c r="K78" s="91" t="e">
        <f t="array" ref="K78">INDEX('Coeff EC7'!$D$34:$Q$34,1,MATCH(D78&amp;E78,'Coeff EC7'!$D$31:$Q$31&amp;'Coeff EC7'!$D$32:$Q$32,0))</f>
        <v>#N/A</v>
      </c>
      <c r="L78" s="91" t="e">
        <f t="array" ref="L78">INDEX('Coeff EC7'!$D$35:$Q$35,1,MATCH(D78&amp;E78,'Coeff EC7'!$D$31:$Q$31&amp;'Coeff EC7'!$D$32:$Q$32,0))</f>
        <v>#N/A</v>
      </c>
      <c r="M78" s="98" t="e">
        <f t="shared" si="131"/>
        <v>#N/A</v>
      </c>
      <c r="N78" s="99" t="e">
        <f t="array" ref="N78">INDEX('Coeff EC7'!$D$7:$Q$27,MATCH($B$3,'Coeff EC7'!$C$7:$C$27,0),MATCH(D78&amp;E78,'Coeff EC7'!$D$5:$Q$5&amp;'Coeff EC7'!$D$6:$Q$6,0))</f>
        <v>#N/A</v>
      </c>
      <c r="O78" s="99" t="e">
        <f t="array" ref="O78">INDEX('Coeff EC7'!$D$41:$Q$61,MATCH($B$3,'Coeff EC7'!$C$41:$C$61,0),MATCH(D78&amp;E78,'Coeff EC7'!$D$39:$Q$39&amp;'Coeff EC7'!$D$40:$Q$40,0))</f>
        <v>#N/A</v>
      </c>
      <c r="P78" s="30" t="e">
        <f t="shared" si="66"/>
        <v>#N/A</v>
      </c>
      <c r="Q78" s="100" t="e">
        <f t="shared" ref="Q78:Q141" si="133">MIN(O78,P78)*$B$10</f>
        <v>#N/A</v>
      </c>
      <c r="R78" s="86" t="b">
        <f t="shared" ref="R78:R141" si="134">IF($B78&lt;=$P$4, $B78, IF($B78&lt;=$P$5, $B78-$P$4, IF($B78&lt;=$P$6, $B78-$P$5, IF($B78&lt;=$P$7,$B78-$P$6, IF($B78&lt;=$P$8, $B78-$P$7, IF($B78&lt;=$P$9, $B78-$P$8, IF($B78&lt;=$P$10,$B78-$P$9)))))))</f>
        <v>0</v>
      </c>
      <c r="S78" s="86">
        <f t="shared" si="132"/>
        <v>0.5</v>
      </c>
      <c r="T78" s="86">
        <f t="shared" ref="T78:T141" si="135">MIN(S78,R78)</f>
        <v>0.5</v>
      </c>
      <c r="U78" s="30" t="e">
        <f t="shared" ca="1" si="67"/>
        <v>#DIV/0!</v>
      </c>
      <c r="V78" s="85" t="str">
        <f>IF(B78&lt;=Hypothèses!$V$7,Hypothèses!$W$7,IF(B78&lt;=Hypothèses!$V$8,Hypothèses!$W$8,IF(B78&lt;=Hypothèses!$V$9,Hypothèses!$W$9,IF(B78&lt;=Hypothèses!$V$10,Hypothèses!$W$10,IF(B78&lt;=Hypothèses!$V$11,Hypothèses!$W$11,IF(B78&lt;=Hypothèses!$V$12,Hypothèses!$W$12,IF(B78&lt;=Hypothèses!$V$13,Hypothèses!$W$13,IF(B78&lt;=Hypothèses!$V$14,Hypothèses!$W$14,IF(B78&lt;=Hypothèses!$V$15,Hypothèses!$W$15,IF(B78&lt;=Hypothèses!$V$16,Hypothèses!$W$16,IF(B78&lt;=Hypothèses!$V$17,Hypothèses!$W$17,IF(B78&lt;=Hypothèses!$V$18,Hypothèses!$W$18,""))))))))))))</f>
        <v/>
      </c>
      <c r="W78" s="87" t="e">
        <f t="shared" ca="1" si="116"/>
        <v>#DIV/0!</v>
      </c>
      <c r="X78" s="88" t="str">
        <f>IF(B78&lt;=Hypothèses!$V$7,Hypothèses!$X$7,IF(B78&lt;=Hypothèses!$V$8,Hypothèses!$X$8,IF(B78&lt;=Hypothèses!$V$9,Hypothèses!$X$9,IF(B78&lt;=Hypothèses!$V$10,Hypothèses!$X$10,IF(B78&lt;=Hypothèses!$V$11,Hypothèses!$X$11,IF(B78&lt;=Hypothèses!$V$12,Hypothèses!$X$12,IF(B78&lt;=Hypothèses!$V$13,Hypothèses!$X$13,IF(B78&lt;=Hypothèses!$V$14,Hypothèses!$X$14,IF(B78&lt;=Hypothèses!$V$15,Hypothèses!$X$15,IF(B78&lt;=Hypothèses!$V$16,Hypothèses!$X$16,IF(B78&lt;=Hypothèses!$U$17,Hypothèses!$W$17,IF(B78&lt;=Hypothèses!$U$18,Hypothèses!$W$18,""))))))))))))</f>
        <v/>
      </c>
      <c r="Y78" s="95" t="e">
        <f t="shared" ref="Y78:Y141" ca="1" si="136">IF($B78&lt;10*$AI$12,0.1/W78*SUM(OFFSET(F78,-10*$B78+1,0,10*$B78,1)),0.1/W78*SUM(OFFSET(F78,-100*$AI$12+1,0,100*$AI$12,1)))</f>
        <v>#DIV/0!</v>
      </c>
      <c r="Z78" s="101">
        <f t="shared" ref="Z78:Z141" si="137">IF($I78=0,0,
IF(Y78&gt;5*AD$12,$I78,
IF($D78="Pressio.",1+($I78-1)*(Y78/AD$12)/5,
IF($D78="Pénétro.",IF($E78=1,0.3+($I78-0.3)*(Y78/AD$12)/5,
IF($E78=2,0.2+($I78-0.2)*(Y78/AD$12)/5,
IF($E78=3,0.1+($I78-0.1)*(Y78/AD$12)/5,
0.15+($I78-0.15)*(Y78/AD$12)/5)))))))</f>
        <v>0</v>
      </c>
      <c r="AA78" s="91">
        <f t="shared" ref="AA78:AA141" si="138">IF($X78&lt;&gt;"",$X78,Z78)</f>
        <v>0</v>
      </c>
      <c r="AB78" s="30" t="e">
        <f t="shared" si="100"/>
        <v>#N/A</v>
      </c>
      <c r="AC78" s="30" t="e">
        <f t="shared" si="101"/>
        <v>#N/A</v>
      </c>
      <c r="AD78" s="31" t="e">
        <f>IF(OR(Hypothèses!$B$4=17,Hypothèses!$B$4=18,Hypothèses!$B$4=19,Hypothèses!$B$4=20),
IF($D78="Pressio.",
IF(OR($E78=3,$E78=1,$E78=4),AC78,AB78),
IF($D78="Pénétro.",
IF(OR($E78=3,$E78=1,$E78=4),AC78,AB78))),IF($D78="Pressio.",
IF($E78=3,AC78,AB78),
IF($D78="Pénétro.",
IF($E78=4,AC78,AB78))))</f>
        <v>#N/A</v>
      </c>
      <c r="AE78" s="31">
        <v>0</v>
      </c>
      <c r="AF78" s="102" t="e">
        <f>IF(NDC!$H$10="Oui",(VLOOKUP($B$3,'Coeff EC7'!$T$39:$X$59,2,0)*AD78+VLOOKUP($B$3,'Coeff EC7'!$T$65:$X$85,2,0)*Model0.1T!AE78)/1.5,PI()*AB$12*$Q78*($B78-$B77)*0.15/10+AF77)</f>
        <v>#N/A</v>
      </c>
      <c r="AG78" s="102" t="e">
        <f>(VLOOKUP($B$3,'Coeff EC7'!$T$39:$X$59,3,0)*AD78+VLOOKUP($B$3,'Coeff EC7'!$T$65:$X$85,3,0)*Model0.1T!AE78)/1.1</f>
        <v>#N/A</v>
      </c>
      <c r="AH78" s="102" t="e">
        <f t="shared" si="68"/>
        <v>#N/A</v>
      </c>
      <c r="AI78" s="102" t="e">
        <f t="shared" si="69"/>
        <v>#N/A</v>
      </c>
      <c r="AJ78" s="414" t="e">
        <f>IF(AND(AF78&gt;NDC!$C$63,AG78&gt;NDC!$C$65,AH78&gt;NDC!$D$73,AI78&gt;NDC!$D$74,$B78&gt;NDC!$H$22-0.1+MIN(3*$AJ$12,1.5)),0,1)</f>
        <v>#N/A</v>
      </c>
      <c r="AK78" s="86" t="b">
        <f t="shared" ref="AK78:AK141" si="139">IF($B78&lt;=$P$4, $B78, IF($B78&lt;=$P$5, $B78-$P$4, IF($B78&lt;=$P$6, $B78-$P$5, IF($B78&lt;=$P$7,$B78-$P$6, IF($B78&lt;=$P$8, $B78-$P$7, IF($B78&lt;=$P$9, $B78-$P$8, IF($B78&lt;=$P$10,$B78-$P$9)))))))</f>
        <v>0</v>
      </c>
      <c r="AL78" s="86">
        <f t="shared" si="70"/>
        <v>0.5</v>
      </c>
      <c r="AM78" s="86">
        <f t="shared" ref="AM78:AM141" si="140">MIN(AL78,AK78)</f>
        <v>0.5</v>
      </c>
      <c r="AN78" s="30" t="e">
        <f t="shared" ca="1" si="71"/>
        <v>#DIV/0!</v>
      </c>
      <c r="AO78" s="85" t="e">
        <f ca="1">IF(U78&lt;=Hypothèses!$V$7,Hypothèses!$W$7,IF(U78&lt;=Hypothèses!$V$8,Hypothèses!$W$8,IF(U78&lt;=Hypothèses!$V$9,Hypothèses!$W$9,IF(U78&lt;=Hypothèses!$V$10,Hypothèses!$W$10,IF(U78&lt;=Hypothèses!$V$11,Hypothèses!$W$11,IF(U78&lt;=Hypothèses!$V$12,Hypothèses!$W$12,IF(U78&lt;=Hypothèses!$V$13,Hypothèses!$W$13,IF(U78&lt;=Hypothèses!$V$14,Hypothèses!$W$14,IF(U78&lt;=Hypothèses!$V$15,Hypothèses!$W$15,IF(U78&lt;=Hypothèses!$V$16,Hypothèses!$W$16,IF(U78&lt;=Hypothèses!$V$17,Hypothèses!$W$17,IF(U78&lt;=Hypothèses!$V$18,Hypothèses!$W$18,""))))))))))))</f>
        <v>#DIV/0!</v>
      </c>
      <c r="AP78" s="87" t="e">
        <f t="shared" ca="1" si="117"/>
        <v>#DIV/0!</v>
      </c>
      <c r="AQ78" s="88" t="e">
        <f ca="1">IF(U78&lt;=Hypothèses!$V$7,Hypothèses!$X$7,IF(U78&lt;=Hypothèses!$V$8,Hypothèses!$X$8,IF(U78&lt;=Hypothèses!$V$9,Hypothèses!$X$9,IF(U78&lt;=Hypothèses!$V$10,Hypothèses!$X$10,IF(U78&lt;=Hypothèses!$V$11,Hypothèses!$X$11,IF(U78&lt;=Hypothèses!$V$12,Hypothèses!$X$12,IF(U78&lt;=Hypothèses!$V$13,Hypothèses!$X$13,IF(U78&lt;=Hypothèses!$V$14,Hypothèses!$X$14,IF(U78&lt;=Hypothèses!$V$15,Hypothèses!$X$15,IF(U78&lt;=Hypothèses!$V$16,Hypothèses!$X$16,IF(U78&lt;=Hypothèses!$U$17,Hypothèses!$W$17,IF(U78&lt;=Hypothèses!$U$18,Hypothèses!$W$18,""))))))))))))</f>
        <v>#DIV/0!</v>
      </c>
      <c r="AR78" s="95" t="e">
        <f t="shared" ca="1" si="72"/>
        <v>#DIV/0!</v>
      </c>
      <c r="AS78" s="101">
        <f t="shared" si="124"/>
        <v>0</v>
      </c>
      <c r="AT78" s="91">
        <f t="shared" ref="AT78:AT141" si="141">IF($X78&lt;&gt;"",$X78,AS78)</f>
        <v>0</v>
      </c>
      <c r="AU78" s="30" t="e">
        <f t="shared" si="102"/>
        <v>#N/A</v>
      </c>
      <c r="AV78" s="30" t="e">
        <f t="shared" si="103"/>
        <v>#N/A</v>
      </c>
      <c r="AW78" s="31" t="e">
        <f>IF(OR(Hypothèses!$B$4=17,Hypothèses!$B$4=18,Hypothèses!$B$4=19,Hypothèses!$B$4=20),
IF($D78="Pressio.",
IF(OR($E78=3,$E78=1,$E78=4),AV78,AU78),
IF($D78="Pénétro.",
IF(OR($E78=3,$E78=1,$E78=4),AV78,AU78))),IF($D78="Pressio.",
IF($E78=3,AV78,AU78),
IF($D78="Pénétro.",
IF($E78=4,AV78,AU78))))</f>
        <v>#N/A</v>
      </c>
      <c r="AX78" s="31">
        <v>0</v>
      </c>
      <c r="AY78" s="102" t="e">
        <f>IF(NDC!$H$10="Oui",(VLOOKUP($B$3,'Coeff EC7'!$T$39:$X$59,2,0)*AW78+VLOOKUP($B$3,'Coeff EC7'!$T$65:$X$85,2,0)*Model0.1T!AX78)/1.5,PI()*AU$12*$Q78*($B78-$B77)*0.15/10+AY77)</f>
        <v>#N/A</v>
      </c>
      <c r="AZ78" s="102" t="e">
        <f>(VLOOKUP($B$3,'Coeff EC7'!$T$39:$X$59,3,0)*AW78+VLOOKUP($B$3,'Coeff EC7'!$T$65:$X$85,3,0)*Model0.1T!AX78)/1.1</f>
        <v>#N/A</v>
      </c>
      <c r="BA78" s="102" t="e">
        <f t="shared" si="73"/>
        <v>#N/A</v>
      </c>
      <c r="BB78" s="102" t="e">
        <f t="shared" si="74"/>
        <v>#N/A</v>
      </c>
      <c r="BC78" s="414" t="e">
        <f>IF(AND(AY78&gt;NDC!$C$63,AZ78&gt;NDC!$C$65,BA78&gt;NDC!$D$73,BB78&gt;NDC!$D$74,$B78&gt;NDC!$H$22-0.1+MIN(3*BC$12,1.5)),0,1)</f>
        <v>#N/A</v>
      </c>
      <c r="BD78" s="86" t="b">
        <f t="shared" ref="BD78:BD141" si="142">IF($B78&lt;=$P$4, $B78, IF($B78&lt;=$P$5, $B78-$P$4, IF($B78&lt;=$P$6, $B78-$P$5, IF($B78&lt;=$P$7,$B78-$P$6, IF($B78&lt;=$P$8, $B78-$P$7, IF($B78&lt;=$P$9, $B78-$P$8, IF($B78&lt;=$P$10,$B78-$P$9)))))))</f>
        <v>0</v>
      </c>
      <c r="BE78" s="86">
        <f t="shared" si="75"/>
        <v>0.5</v>
      </c>
      <c r="BF78" s="86">
        <f t="shared" ref="BF78:BF141" si="143">MIN(BE78,BD78)</f>
        <v>0.5</v>
      </c>
      <c r="BG78" s="30" t="e">
        <f t="shared" ca="1" si="76"/>
        <v>#DIV/0!</v>
      </c>
      <c r="BH78" s="85" t="e">
        <f ca="1">IF(AN78&lt;=Hypothèses!$V$7,Hypothèses!$W$7,IF(AN78&lt;=Hypothèses!$V$8,Hypothèses!$W$8,IF(AN78&lt;=Hypothèses!$V$9,Hypothèses!$W$9,IF(AN78&lt;=Hypothèses!$V$10,Hypothèses!$W$10,IF(AN78&lt;=Hypothèses!$V$11,Hypothèses!$W$11,IF(AN78&lt;=Hypothèses!$V$12,Hypothèses!$W$12,IF(AN78&lt;=Hypothèses!$V$13,Hypothèses!$W$13,IF(AN78&lt;=Hypothèses!$V$14,Hypothèses!$W$14,IF(AN78&lt;=Hypothèses!$V$15,Hypothèses!$W$15,IF(AN78&lt;=Hypothèses!$V$16,Hypothèses!$W$16,IF(AN78&lt;=Hypothèses!$V$17,Hypothèses!$W$17,IF(AN78&lt;=Hypothèses!$V$18,Hypothèses!$W$18,""))))))))))))</f>
        <v>#DIV/0!</v>
      </c>
      <c r="BI78" s="87" t="e">
        <f t="shared" ca="1" si="118"/>
        <v>#DIV/0!</v>
      </c>
      <c r="BJ78" s="88" t="e">
        <f ca="1">IF(AN78&lt;=Hypothèses!$V$7,Hypothèses!$X$7,IF(AN78&lt;=Hypothèses!$V$8,Hypothèses!$X$8,IF(AN78&lt;=Hypothèses!$V$9,Hypothèses!$X$9,IF(AN78&lt;=Hypothèses!$V$10,Hypothèses!$X$10,IF(AN78&lt;=Hypothèses!$V$11,Hypothèses!$X$11,IF(AN78&lt;=Hypothèses!$V$12,Hypothèses!$X$12,IF(AN78&lt;=Hypothèses!$V$13,Hypothèses!$X$13,IF(AN78&lt;=Hypothèses!$V$14,Hypothèses!$X$14,IF(AN78&lt;=Hypothèses!$V$15,Hypothèses!$X$15,IF(AN78&lt;=Hypothèses!$V$16,Hypothèses!$X$16,IF(AN78&lt;=Hypothèses!$U$17,Hypothèses!$W$17,IF(AN78&lt;=Hypothèses!$U$18,Hypothèses!$W$18,""))))))))))))</f>
        <v>#DIV/0!</v>
      </c>
      <c r="BK78" s="95" t="e">
        <f t="shared" ca="1" si="77"/>
        <v>#DIV/0!</v>
      </c>
      <c r="BL78" s="101">
        <f t="shared" si="125"/>
        <v>0</v>
      </c>
      <c r="BM78" s="91">
        <f t="shared" ref="BM78:BM141" si="144">IF($X78&lt;&gt;"",$X78,BL78)</f>
        <v>0</v>
      </c>
      <c r="BN78" s="30" t="e">
        <f t="shared" si="104"/>
        <v>#N/A</v>
      </c>
      <c r="BO78" s="30" t="e">
        <f t="shared" si="105"/>
        <v>#N/A</v>
      </c>
      <c r="BP78" s="31" t="e">
        <f>IF(OR(Hypothèses!$B$4=17,Hypothèses!$B$4=18,Hypothèses!$B$4=19,Hypothèses!$B$4=20),
IF($D78="Pressio.",
IF(OR($E78=3,$E78=1,$E78=4),BO78,BN78),
IF($D78="Pénétro.",
IF(OR($E78=3,$E78=1,$E78=4),BO78,BN78))),IF($D78="Pressio.",
IF($E78=3,BO78,BN78),
IF($D78="Pénétro.",
IF($E78=4,BO78,BN78))))</f>
        <v>#N/A</v>
      </c>
      <c r="BQ78" s="31">
        <v>0</v>
      </c>
      <c r="BR78" s="102" t="e">
        <f>IF(NDC!$H$10="Oui",(VLOOKUP($B$3,'Coeff EC7'!$T$39:$X$59,2,0)*BP78+VLOOKUP($B$3,'Coeff EC7'!$T$65:$X$85,2,0)*Model0.1T!BQ78)/1.5,PI()*BN$12*$Q78*($B78-$B77)*0.15/10+BR77)</f>
        <v>#N/A</v>
      </c>
      <c r="BS78" s="102" t="e">
        <f>(VLOOKUP($B$3,'Coeff EC7'!$T$39:$X$59,3,0)*BP78+VLOOKUP($B$3,'Coeff EC7'!$T$65:$X$85,3,0)*Model0.1T!BQ78)/1.1</f>
        <v>#N/A</v>
      </c>
      <c r="BT78" s="102" t="e">
        <f t="shared" si="78"/>
        <v>#N/A</v>
      </c>
      <c r="BU78" s="102" t="e">
        <f t="shared" si="79"/>
        <v>#N/A</v>
      </c>
      <c r="BV78" s="414" t="e">
        <f>IF(AND(BR78&gt;NDC!$C$63,BS78&gt;NDC!$C$65,BT78&gt;NDC!$D$73,BU78&gt;NDC!$D$74,$B78&gt;NDC!$H$22-0.1+MIN(3*BV$12,1.5)),0,1)</f>
        <v>#N/A</v>
      </c>
      <c r="BW78" s="86" t="b">
        <f t="shared" ref="BW78:BW141" si="145">IF($B78&lt;=$P$4, $B78, IF($B78&lt;=$P$5, $B78-$P$4, IF($B78&lt;=$P$6, $B78-$P$5, IF($B78&lt;=$P$7,$B78-$P$6, IF($B78&lt;=$P$8, $B78-$P$7, IF($B78&lt;=$P$9, $B78-$P$8, IF($B78&lt;=$P$10,$B78-$P$9)))))))</f>
        <v>0</v>
      </c>
      <c r="BX78" s="86">
        <f t="shared" ref="BX78:BX141" si="146">MAX($CK$12/2,0.5)</f>
        <v>0.5</v>
      </c>
      <c r="BY78" s="86">
        <f t="shared" ref="BY78:BY141" si="147">MIN(BX78,BW78)</f>
        <v>0.5</v>
      </c>
      <c r="BZ78" s="30" t="e">
        <f t="shared" ca="1" si="80"/>
        <v>#DIV/0!</v>
      </c>
      <c r="CA78" s="85" t="e">
        <f ca="1">IF(BG78&lt;=Hypothèses!$V$7,Hypothèses!$W$7,IF(BG78&lt;=Hypothèses!$V$8,Hypothèses!$W$8,IF(BG78&lt;=Hypothèses!$V$9,Hypothèses!$W$9,IF(BG78&lt;=Hypothèses!$V$10,Hypothèses!$W$10,IF(BG78&lt;=Hypothèses!$V$11,Hypothèses!$W$11,IF(BG78&lt;=Hypothèses!$V$12,Hypothèses!$W$12,IF(BG78&lt;=Hypothèses!$V$13,Hypothèses!$W$13,IF(BG78&lt;=Hypothèses!$V$14,Hypothèses!$W$14,IF(BG78&lt;=Hypothèses!$V$15,Hypothèses!$W$15,IF(BG78&lt;=Hypothèses!$V$16,Hypothèses!$W$16,IF(BG78&lt;=Hypothèses!$V$17,Hypothèses!$W$17,IF(BG78&lt;=Hypothèses!$V$18,Hypothèses!$W$18,""))))))))))))</f>
        <v>#DIV/0!</v>
      </c>
      <c r="CB78" s="87" t="e">
        <f t="shared" ca="1" si="119"/>
        <v>#DIV/0!</v>
      </c>
      <c r="CC78" s="88" t="e">
        <f ca="1">IF(BG78&lt;=Hypothèses!$V$7,Hypothèses!$X$7,IF(BG78&lt;=Hypothèses!$V$8,Hypothèses!$X$8,IF(BG78&lt;=Hypothèses!$V$9,Hypothèses!$X$9,IF(BG78&lt;=Hypothèses!$V$10,Hypothèses!$X$10,IF(BG78&lt;=Hypothèses!$V$11,Hypothèses!$X$11,IF(BG78&lt;=Hypothèses!$V$12,Hypothèses!$X$12,IF(BG78&lt;=Hypothèses!$V$13,Hypothèses!$X$13,IF(BG78&lt;=Hypothèses!$V$14,Hypothèses!$X$14,IF(BG78&lt;=Hypothèses!$V$15,Hypothèses!$X$15,IF(BG78&lt;=Hypothèses!$V$16,Hypothèses!$X$16,IF(BG78&lt;=Hypothèses!$U$17,Hypothèses!$W$17,IF(BG78&lt;=Hypothèses!$U$18,Hypothèses!$W$18,""))))))))))))</f>
        <v>#DIV/0!</v>
      </c>
      <c r="CD78" s="95" t="e">
        <f t="shared" ca="1" si="81"/>
        <v>#DIV/0!</v>
      </c>
      <c r="CE78" s="101">
        <f t="shared" si="126"/>
        <v>0</v>
      </c>
      <c r="CF78" s="91">
        <f t="shared" ref="CF78:CF141" si="148">IF($X78&lt;&gt;"",$X78,CE78)</f>
        <v>0</v>
      </c>
      <c r="CG78" s="30" t="e">
        <f t="shared" si="106"/>
        <v>#N/A</v>
      </c>
      <c r="CH78" s="30" t="e">
        <f t="shared" si="107"/>
        <v>#N/A</v>
      </c>
      <c r="CI78" s="31" t="e">
        <f>IF(OR(Hypothèses!$B$4=17,Hypothèses!$B$4=18,Hypothèses!$B$4=19,Hypothèses!$B$4=20),
IF($D78="Pressio.",
IF(OR($E78=3,$E78=1,$E78=4),CH78,CG78),
IF($D78="Pénétro.",
IF(OR($E78=3,$E78=1,$E78=4),CH78,CG78))),IF($D78="Pressio.",
IF($E78=3,CH78,CG78),
IF($D78="Pénétro.",
IF($E78=4,CH78,CG78))))</f>
        <v>#N/A</v>
      </c>
      <c r="CJ78" s="31">
        <v>0</v>
      </c>
      <c r="CK78" s="102" t="e">
        <f>IF(NDC!$H$10="Oui",(VLOOKUP($B$3,'Coeff EC7'!$T$39:$X$59,2,0)*CI78+VLOOKUP($B$3,'Coeff EC7'!$T$65:$X$85,2,0)*Model0.1T!CJ78)/1.5,PI()*CG$12*$Q78*($B78-$B77)*0.15/10+CK77)</f>
        <v>#N/A</v>
      </c>
      <c r="CL78" s="102" t="e">
        <f>(VLOOKUP($B$3,'Coeff EC7'!$T$39:$X$59,3,0)*CI78+VLOOKUP($B$3,'Coeff EC7'!$T$65:$X$85,3,0)*Model0.1T!CJ78)/1.1</f>
        <v>#N/A</v>
      </c>
      <c r="CM78" s="102" t="e">
        <f t="shared" si="82"/>
        <v>#N/A</v>
      </c>
      <c r="CN78" s="102" t="e">
        <f t="shared" si="83"/>
        <v>#N/A</v>
      </c>
      <c r="CO78" s="414" t="e">
        <f>IF(AND(CK78&gt;NDC!$C$63,CL78&gt;NDC!$C$65,CM78&gt;NDC!$D$73,CN78&gt;NDC!$D$74,$B78&gt;NDC!$H$22-0.1+MIN(3*CO$12,1.5)),0,1)</f>
        <v>#N/A</v>
      </c>
      <c r="CP78" s="86" t="b">
        <f t="shared" ref="CP78:CP141" si="149">IF($B78&lt;=$P$4, $B78, IF($B78&lt;=$P$5, $B78-$P$4, IF($B78&lt;=$P$6, $B78-$P$5, IF($B78&lt;=$P$7,$B78-$P$6, IF($B78&lt;=$P$8, $B78-$P$7, IF($B78&lt;=$P$9, $B78-$P$8, IF($B78&lt;=$P$10,$B78-$P$9)))))))</f>
        <v>0</v>
      </c>
      <c r="CQ78" s="86">
        <f t="shared" ref="CQ78:CQ141" si="150">MAX($DD$12/2,0.5)</f>
        <v>0.5</v>
      </c>
      <c r="CR78" s="86">
        <f t="shared" ref="CR78:CR141" si="151">MIN(CQ78,CP78)</f>
        <v>0.5</v>
      </c>
      <c r="CS78" s="30" t="e">
        <f t="shared" ca="1" si="84"/>
        <v>#DIV/0!</v>
      </c>
      <c r="CT78" s="85" t="e">
        <f ca="1">IF(BZ78&lt;=Hypothèses!$V$7,Hypothèses!$W$7,IF(BZ78&lt;=Hypothèses!$V$8,Hypothèses!$W$8,IF(BZ78&lt;=Hypothèses!$V$9,Hypothèses!$W$9,IF(BZ78&lt;=Hypothèses!$V$10,Hypothèses!$W$10,IF(BZ78&lt;=Hypothèses!$V$11,Hypothèses!$W$11,IF(BZ78&lt;=Hypothèses!$V$12,Hypothèses!$W$12,IF(BZ78&lt;=Hypothèses!$V$13,Hypothèses!$W$13,IF(BZ78&lt;=Hypothèses!$V$14,Hypothèses!$W$14,IF(BZ78&lt;=Hypothèses!$V$15,Hypothèses!$W$15,IF(BZ78&lt;=Hypothèses!$V$16,Hypothèses!$W$16,IF(BZ78&lt;=Hypothèses!$V$17,Hypothèses!$W$17,IF(BZ78&lt;=Hypothèses!$V$18,Hypothèses!$W$18,""))))))))))))</f>
        <v>#DIV/0!</v>
      </c>
      <c r="CU78" s="87" t="e">
        <f t="shared" ca="1" si="120"/>
        <v>#DIV/0!</v>
      </c>
      <c r="CV78" s="88" t="e">
        <f ca="1">IF(BZ78&lt;=Hypothèses!$V$7,Hypothèses!$X$7,IF(BZ78&lt;=Hypothèses!$V$8,Hypothèses!$X$8,IF(BZ78&lt;=Hypothèses!$V$9,Hypothèses!$X$9,IF(BZ78&lt;=Hypothèses!$V$10,Hypothèses!$X$10,IF(BZ78&lt;=Hypothèses!$V$11,Hypothèses!$X$11,IF(BZ78&lt;=Hypothèses!$V$12,Hypothèses!$X$12,IF(BZ78&lt;=Hypothèses!$V$13,Hypothèses!$X$13,IF(BZ78&lt;=Hypothèses!$V$14,Hypothèses!$X$14,IF(BZ78&lt;=Hypothèses!$V$15,Hypothèses!$X$15,IF(BZ78&lt;=Hypothèses!$V$16,Hypothèses!$X$16,IF(BZ78&lt;=Hypothèses!$U$17,Hypothèses!$W$17,IF(BZ78&lt;=Hypothèses!$U$18,Hypothèses!$W$18,""))))))))))))</f>
        <v>#DIV/0!</v>
      </c>
      <c r="CW78" s="95" t="e">
        <f t="shared" ca="1" si="85"/>
        <v>#DIV/0!</v>
      </c>
      <c r="CX78" s="101">
        <f t="shared" si="127"/>
        <v>0</v>
      </c>
      <c r="CY78" s="91">
        <f t="shared" ref="CY78:CY141" si="152">IF($X78&lt;&gt;"",$X78,CX78)</f>
        <v>0</v>
      </c>
      <c r="CZ78" s="30" t="e">
        <f t="shared" si="108"/>
        <v>#N/A</v>
      </c>
      <c r="DA78" s="30" t="e">
        <f t="shared" si="109"/>
        <v>#N/A</v>
      </c>
      <c r="DB78" s="31" t="e">
        <f>IF(OR(Hypothèses!$B$4=17,Hypothèses!$B$4=18,Hypothèses!$B$4=19,Hypothèses!$B$4=20),
IF($D78="Pressio.",
IF(OR($E78=3,$E78=1,$E78=4),DA78,CZ78),
IF($D78="Pénétro.",
IF(OR($E78=3,$E78=1,$E78=4),DA78,CZ78))),IF($D78="Pressio.",
IF($E78=3,DA78,CZ78),
IF($D78="Pénétro.",
IF($E78=4,DA78,CZ78))))</f>
        <v>#N/A</v>
      </c>
      <c r="DC78" s="31">
        <v>0</v>
      </c>
      <c r="DD78" s="102" t="e">
        <f>IF(NDC!$H$10="Oui",(VLOOKUP($B$3,'Coeff EC7'!$T$39:$X$59,2,0)*DB78+VLOOKUP($B$3,'Coeff EC7'!$T$65:$X$85,2,0)*Model0.1T!DC78)/1.5,PI()*CZ$12*$Q78*($B78-$B77)*0.15/10+DD77)</f>
        <v>#N/A</v>
      </c>
      <c r="DE78" s="102" t="e">
        <f>(VLOOKUP($B$3,'Coeff EC7'!$T$39:$X$59,3,0)*DB78+VLOOKUP($B$3,'Coeff EC7'!$T$65:$X$85,3,0)*Model0.1T!DC78)/1.1</f>
        <v>#N/A</v>
      </c>
      <c r="DF78" s="102" t="e">
        <f t="shared" si="86"/>
        <v>#N/A</v>
      </c>
      <c r="DG78" s="102" t="e">
        <f t="shared" si="87"/>
        <v>#N/A</v>
      </c>
      <c r="DH78" s="414" t="e">
        <f>IF(AND(DD78&gt;NDC!$C$63,DE78&gt;NDC!$C$65,DF78&gt;NDC!$D$73,DG78&gt;NDC!$D$74,$B78&gt;NDC!$H$22-0.1+MIN(3*DH$12,1.5)),0,1)</f>
        <v>#N/A</v>
      </c>
      <c r="DI78" s="86" t="b">
        <f t="shared" ref="DI78:DI141" si="153">IF($B78&lt;=$P$4, $B78, IF($B78&lt;=$P$5, $B78-$P$4, IF($B78&lt;=$P$6, $B78-$P$5, IF($B78&lt;=$P$7,$B78-$P$6, IF($B78&lt;=$P$8, $B78-$P$7, IF($B78&lt;=$P$9, $B78-$P$8, IF($B78&lt;=$P$10,$B78-$P$9)))))))</f>
        <v>0</v>
      </c>
      <c r="DJ78" s="86">
        <f t="shared" ref="DJ78:DJ141" si="154">MAX($DW$12/2,0.5)</f>
        <v>0.5</v>
      </c>
      <c r="DK78" s="86">
        <f t="shared" ref="DK78:DK141" si="155">MIN(DJ78,DI78)</f>
        <v>0.5</v>
      </c>
      <c r="DL78" s="30" t="e">
        <f t="shared" ca="1" si="88"/>
        <v>#DIV/0!</v>
      </c>
      <c r="DM78" s="85" t="e">
        <f ca="1">IF(CS78&lt;=Hypothèses!$V$7,Hypothèses!$W$7,IF(CS78&lt;=Hypothèses!$V$8,Hypothèses!$W$8,IF(CS78&lt;=Hypothèses!$V$9,Hypothèses!$W$9,IF(CS78&lt;=Hypothèses!$V$10,Hypothèses!$W$10,IF(CS78&lt;=Hypothèses!$V$11,Hypothèses!$W$11,IF(CS78&lt;=Hypothèses!$V$12,Hypothèses!$W$12,IF(CS78&lt;=Hypothèses!$V$13,Hypothèses!$W$13,IF(CS78&lt;=Hypothèses!$V$14,Hypothèses!$W$14,IF(CS78&lt;=Hypothèses!$V$15,Hypothèses!$W$15,IF(CS78&lt;=Hypothèses!$V$16,Hypothèses!$W$16,IF(CS78&lt;=Hypothèses!$V$17,Hypothèses!$W$17,IF(CS78&lt;=Hypothèses!$V$18,Hypothèses!$W$18,""))))))))))))</f>
        <v>#DIV/0!</v>
      </c>
      <c r="DN78" s="87" t="e">
        <f t="shared" ca="1" si="121"/>
        <v>#DIV/0!</v>
      </c>
      <c r="DO78" s="88" t="e">
        <f ca="1">IF(CS78&lt;=Hypothèses!$V$7,Hypothèses!$X$7,IF(CS78&lt;=Hypothèses!$V$8,Hypothèses!$X$8,IF(CS78&lt;=Hypothèses!$V$9,Hypothèses!$X$9,IF(CS78&lt;=Hypothèses!$V$10,Hypothèses!$X$10,IF(CS78&lt;=Hypothèses!$V$11,Hypothèses!$X$11,IF(CS78&lt;=Hypothèses!$V$12,Hypothèses!$X$12,IF(CS78&lt;=Hypothèses!$V$13,Hypothèses!$X$13,IF(CS78&lt;=Hypothèses!$V$14,Hypothèses!$X$14,IF(CS78&lt;=Hypothèses!$V$15,Hypothèses!$X$15,IF(CS78&lt;=Hypothèses!$V$16,Hypothèses!$X$16,IF(CS78&lt;=Hypothèses!$U$17,Hypothèses!$W$17,IF(CS78&lt;=Hypothèses!$U$18,Hypothèses!$W$18,""))))))))))))</f>
        <v>#DIV/0!</v>
      </c>
      <c r="DP78" s="95" t="e">
        <f t="shared" ca="1" si="89"/>
        <v>#DIV/0!</v>
      </c>
      <c r="DQ78" s="101">
        <f t="shared" si="128"/>
        <v>0</v>
      </c>
      <c r="DR78" s="91">
        <f t="shared" ref="DR78:DR141" si="156">IF($X78&lt;&gt;"",$X78,DQ78)</f>
        <v>0</v>
      </c>
      <c r="DS78" s="30" t="e">
        <f t="shared" si="110"/>
        <v>#N/A</v>
      </c>
      <c r="DT78" s="30" t="e">
        <f t="shared" si="111"/>
        <v>#N/A</v>
      </c>
      <c r="DU78" s="31" t="e">
        <f>IF(OR(Hypothèses!$B$4=17,Hypothèses!$B$4=18,Hypothèses!$B$4=19,Hypothèses!$B$4=20),
IF($D78="Pressio.",
IF(OR($E78=3,$E78=1,$E78=4),DT78,DS78),
IF($D78="Pénétro.",
IF(OR($E78=3,$E78=1,$E78=4),DT78,DS78))),IF($D78="Pressio.",
IF($E78=3,DT78,DS78),
IF($D78="Pénétro.",
IF($E78=4,DT78,DS78))))</f>
        <v>#N/A</v>
      </c>
      <c r="DV78" s="31">
        <v>0</v>
      </c>
      <c r="DW78" s="102" t="e">
        <f>IF(NDC!$H$10="Oui",(VLOOKUP($B$3,'Coeff EC7'!$T$39:$X$59,2,0)*DU78+VLOOKUP($B$3,'Coeff EC7'!$T$65:$X$85,2,0)*Model0.1T!DV78)/1.5,PI()*DS$12*$Q78*($B78-$B77)*0.15/10+DW77)</f>
        <v>#N/A</v>
      </c>
      <c r="DX78" s="102" t="e">
        <f>(VLOOKUP($B$3,'Coeff EC7'!$T$39:$X$59,3,0)*DU78+VLOOKUP($B$3,'Coeff EC7'!$T$65:$X$85,3,0)*Model0.1T!DV78)/1.1</f>
        <v>#N/A</v>
      </c>
      <c r="DY78" s="102" t="e">
        <f t="shared" si="90"/>
        <v>#N/A</v>
      </c>
      <c r="DZ78" s="102" t="e">
        <f t="shared" si="91"/>
        <v>#N/A</v>
      </c>
      <c r="EA78" s="414" t="e">
        <f>IF(AND(DW78&gt;NDC!$C$63,DX78&gt;NDC!$C$65,DY78&gt;NDC!$D$73,DZ78&gt;NDC!$D$74,$B78&gt;NDC!$H$22-0.1+MIN(3*EA$12,1.5)),0,1)</f>
        <v>#N/A</v>
      </c>
      <c r="EB78" s="86" t="b">
        <f t="shared" ref="EB78:EB141" si="157">IF($B78&lt;=$P$4, $B78, IF($B78&lt;=$P$5, $B78-$P$4, IF($B78&lt;=$P$6, $B78-$P$5, IF($B78&lt;=$P$7,$B78-$P$6, IF($B78&lt;=$P$8, $B78-$P$7, IF($B78&lt;=$P$9, $B78-$P$8, IF($B78&lt;=$P$10,$B78-$P$9)))))))</f>
        <v>0</v>
      </c>
      <c r="EC78" s="418">
        <f t="shared" ref="EC78:EC141" si="158">MAX($EP$12/2,0.5)</f>
        <v>0.51</v>
      </c>
      <c r="ED78" s="86">
        <f t="shared" ref="ED78:ED141" si="159">MIN(EC78,EB78)</f>
        <v>0.51</v>
      </c>
      <c r="EE78" s="30" t="e">
        <f t="shared" ca="1" si="92"/>
        <v>#DIV/0!</v>
      </c>
      <c r="EF78" s="85" t="e">
        <f ca="1">IF(DL78&lt;=Hypothèses!$V$7,Hypothèses!$W$7,IF(DL78&lt;=Hypothèses!$V$8,Hypothèses!$W$8,IF(DL78&lt;=Hypothèses!$V$9,Hypothèses!$W$9,IF(DL78&lt;=Hypothèses!$V$10,Hypothèses!$W$10,IF(DL78&lt;=Hypothèses!$V$11,Hypothèses!$W$11,IF(DL78&lt;=Hypothèses!$V$12,Hypothèses!$W$12,IF(DL78&lt;=Hypothèses!$V$13,Hypothèses!$W$13,IF(DL78&lt;=Hypothèses!$V$14,Hypothèses!$W$14,IF(DL78&lt;=Hypothèses!$V$15,Hypothèses!$W$15,IF(DL78&lt;=Hypothèses!$V$16,Hypothèses!$W$16,IF(DL78&lt;=Hypothèses!$V$17,Hypothèses!$W$17,IF(DL78&lt;=Hypothèses!$V$18,Hypothèses!$W$18,""))))))))))))</f>
        <v>#DIV/0!</v>
      </c>
      <c r="EG78" s="87" t="e">
        <f t="shared" ca="1" si="122"/>
        <v>#DIV/0!</v>
      </c>
      <c r="EH78" s="88" t="e">
        <f ca="1">IF(DL78&lt;=Hypothèses!$V$7,Hypothèses!$X$7,IF(DL78&lt;=Hypothèses!$V$8,Hypothèses!$X$8,IF(DL78&lt;=Hypothèses!$V$9,Hypothèses!$X$9,IF(DL78&lt;=Hypothèses!$V$10,Hypothèses!$X$10,IF(DL78&lt;=Hypothèses!$V$11,Hypothèses!$X$11,IF(DL78&lt;=Hypothèses!$V$12,Hypothèses!$X$12,IF(DL78&lt;=Hypothèses!$V$13,Hypothèses!$X$13,IF(DL78&lt;=Hypothèses!$V$14,Hypothèses!$X$14,IF(DL78&lt;=Hypothèses!$V$15,Hypothèses!$X$15,IF(DL78&lt;=Hypothèses!$V$16,Hypothèses!$X$16,IF(DL78&lt;=Hypothèses!$U$17,Hypothèses!$W$17,IF(DL78&lt;=Hypothèses!$U$18,Hypothèses!$W$18,""))))))))))))</f>
        <v>#DIV/0!</v>
      </c>
      <c r="EI78" s="95" t="e">
        <f t="shared" ca="1" si="93"/>
        <v>#DIV/0!</v>
      </c>
      <c r="EJ78" s="101">
        <f t="shared" si="129"/>
        <v>0</v>
      </c>
      <c r="EK78" s="91">
        <f t="shared" ref="EK78:EK141" si="160">IF($X78&lt;&gt;"",$X78,EJ78)</f>
        <v>0</v>
      </c>
      <c r="EL78" s="30" t="e">
        <f t="shared" si="112"/>
        <v>#N/A</v>
      </c>
      <c r="EM78" s="30" t="e">
        <f t="shared" si="113"/>
        <v>#N/A</v>
      </c>
      <c r="EN78" s="31" t="e">
        <f>IF(OR(Hypothèses!$B$4=17,Hypothèses!$B$4=18,Hypothèses!$B$4=19,Hypothèses!$B$4=20),
IF($D78="Pressio.",
IF(OR($E78=3,$E78=1,$E78=4),EM78,EL78),
IF($D78="Pénétro.",
IF(OR($E78=3,$E78=1,$E78=4),EM78,EL78))),IF($D78="Pressio.",
IF($E78=3,EM78,EL78),
IF($D78="Pénétro.",
IF($E78=4,EM78,EL78))))</f>
        <v>#N/A</v>
      </c>
      <c r="EO78" s="31">
        <v>0</v>
      </c>
      <c r="EP78" s="102" t="e">
        <f>IF(NDC!$H$10="Oui",(VLOOKUP($B$3,'Coeff EC7'!$T$39:$X$59,2,0)*EN78+VLOOKUP($B$3,'Coeff EC7'!$T$65:$X$85,2,0)*Model0.1T!EO78)/1.5,PI()*EL$12*$Q78*($B78-$B77)*0.15/10+EP77)</f>
        <v>#N/A</v>
      </c>
      <c r="EQ78" s="102" t="e">
        <f>(VLOOKUP($B$3,'Coeff EC7'!$T$39:$X$59,3,0)*EN78+VLOOKUP($B$3,'Coeff EC7'!$T$65:$X$85,3,0)*Model0.1T!EO78)/1.1</f>
        <v>#N/A</v>
      </c>
      <c r="ER78" s="102" t="e">
        <f t="shared" si="94"/>
        <v>#N/A</v>
      </c>
      <c r="ES78" s="102" t="e">
        <f t="shared" si="95"/>
        <v>#N/A</v>
      </c>
      <c r="ET78" s="414" t="e">
        <f>IF(AND(EP78&gt;NDC!$C$63,EQ78&gt;NDC!$C$65,ER78&gt;NDC!$D$73,ES78&gt;NDC!$D$74,$B78&gt;NDC!$H$22-0.1+MIN(3*ET$12,1.5)),0,1)</f>
        <v>#N/A</v>
      </c>
      <c r="EU78" s="86" t="b">
        <f t="shared" ref="EU78:EU141" si="161">IF($B78&lt;=$P$4, $B78, IF($B78&lt;=$P$5, $B78-$P$4, IF($B78&lt;=$P$6, $B78-$P$5, IF($B78&lt;=$P$7,$B78-$P$6, IF($B78&lt;=$P$8, $B78-$P$7, IF($B78&lt;=$P$9, $B78-$P$8, IF($B78&lt;=$P$10,$B78-$P$9)))))))</f>
        <v>0</v>
      </c>
      <c r="EV78" s="86">
        <f t="shared" ref="EV78:EV141" si="162">MAX($FI$12/2,0.5)</f>
        <v>0.61</v>
      </c>
      <c r="EW78" s="86">
        <f t="shared" ref="EW78:EW141" si="163">MIN(EV78,EU78)</f>
        <v>0.61</v>
      </c>
      <c r="EX78" s="30" t="e">
        <f t="shared" ca="1" si="96"/>
        <v>#DIV/0!</v>
      </c>
      <c r="EY78" s="85" t="e">
        <f ca="1">IF(EE78&lt;=Hypothèses!$V$7,Hypothèses!$W$7,IF(EE78&lt;=Hypothèses!$V$8,Hypothèses!$W$8,IF(EE78&lt;=Hypothèses!$V$9,Hypothèses!$W$9,IF(EE78&lt;=Hypothèses!$V$10,Hypothèses!$W$10,IF(EE78&lt;=Hypothèses!$V$11,Hypothèses!$W$11,IF(EE78&lt;=Hypothèses!$V$12,Hypothèses!$W$12,IF(EE78&lt;=Hypothèses!$V$13,Hypothèses!$W$13,IF(EE78&lt;=Hypothèses!$V$14,Hypothèses!$W$14,IF(EE78&lt;=Hypothèses!$V$15,Hypothèses!$W$15,IF(EE78&lt;=Hypothèses!$V$16,Hypothèses!$W$16,IF(EE78&lt;=Hypothèses!$V$17,Hypothèses!$W$17,IF(EE78&lt;=Hypothèses!$V$18,Hypothèses!$W$18,""))))))))))))</f>
        <v>#DIV/0!</v>
      </c>
      <c r="EZ78" s="87" t="e">
        <f t="shared" ca="1" si="123"/>
        <v>#DIV/0!</v>
      </c>
      <c r="FA78" s="88" t="e">
        <f ca="1">IF(EE78&lt;=Hypothèses!$V$7,Hypothèses!$X$7,IF(EE78&lt;=Hypothèses!$V$8,Hypothèses!$X$8,IF(EE78&lt;=Hypothèses!$V$9,Hypothèses!$X$9,IF(EE78&lt;=Hypothèses!$V$10,Hypothèses!$X$10,IF(EE78&lt;=Hypothèses!$V$11,Hypothèses!$X$11,IF(EE78&lt;=Hypothèses!$V$12,Hypothèses!$X$12,IF(EE78&lt;=Hypothèses!$V$13,Hypothèses!$X$13,IF(EE78&lt;=Hypothèses!$V$14,Hypothèses!$X$14,IF(EE78&lt;=Hypothèses!$V$15,Hypothèses!$X$15,IF(EE78&lt;=Hypothèses!$V$16,Hypothèses!$X$16,IF(EE78&lt;=Hypothèses!$U$17,Hypothèses!$W$17,IF(EE78&lt;=Hypothèses!$U$18,Hypothèses!$W$18,""))))))))))))</f>
        <v>#DIV/0!</v>
      </c>
      <c r="FB78" s="95" t="e">
        <f t="shared" ca="1" si="97"/>
        <v>#DIV/0!</v>
      </c>
      <c r="FC78" s="101">
        <f t="shared" si="130"/>
        <v>0</v>
      </c>
      <c r="FD78" s="91">
        <f t="shared" ref="FD78:FD141" si="164">IF($X78&lt;&gt;"",$X78,FC78)</f>
        <v>0</v>
      </c>
      <c r="FE78" s="30" t="e">
        <f t="shared" si="114"/>
        <v>#N/A</v>
      </c>
      <c r="FF78" s="30" t="e">
        <f t="shared" si="115"/>
        <v>#N/A</v>
      </c>
      <c r="FG78" s="31" t="e">
        <f>IF(OR(Hypothèses!$B$4=17,Hypothèses!$B$4=18,Hypothèses!$B$4=19,Hypothèses!$B$4=20),
IF($D78="Pressio.",
IF(OR($E78=3,$E78=1,$E78=4),FF78,FE78),
IF($D78="Pénétro.",
IF(OR($E78=3,$E78=1,$E78=4),FF78,FE78))),IF($D78="Pressio.",
IF($E78=3,FF78,FE78),
IF($D78="Pénétro.",
IF($E78=4,FF78,FE78))))</f>
        <v>#N/A</v>
      </c>
      <c r="FH78" s="31">
        <v>0</v>
      </c>
      <c r="FI78" s="102" t="e">
        <f>IF(NDC!$H$10="Oui",(VLOOKUP($B$3,'Coeff EC7'!$T$39:$X$59,2,0)*FG78+VLOOKUP($B$3,'Coeff EC7'!$T$65:$X$85,2,0)*Model0.1T!FH78)/1.5,PI()*FE$12*$Q78*($B78-$B77)*0.15/10+FI77)</f>
        <v>#N/A</v>
      </c>
      <c r="FJ78" s="102" t="e">
        <f>(VLOOKUP($B$3,'Coeff EC7'!$T$39:$X$59,3,0)*FG78+VLOOKUP($B$3,'Coeff EC7'!$T$65:$X$85,3,0)*Model0.1T!FH78)/1.1</f>
        <v>#N/A</v>
      </c>
      <c r="FK78" s="102" t="e">
        <f t="shared" si="98"/>
        <v>#N/A</v>
      </c>
      <c r="FL78" s="102" t="e">
        <f t="shared" si="99"/>
        <v>#N/A</v>
      </c>
      <c r="FM78" s="414" t="e">
        <f>IF(AND(FI78&gt;NDC!$C$63,FJ78&gt;NDC!$C$65,FK78&gt;NDC!$D$73,FL78&gt;NDC!$D$74,$B78&gt;NDC!$H$22-0.1+MIN(3*FM$12,1.5)),0,1)</f>
        <v>#N/A</v>
      </c>
    </row>
    <row r="79" spans="1:169">
      <c r="A79" s="96">
        <f t="shared" ref="A79:A142" si="165">A78-0.1</f>
        <v>93.400000000000375</v>
      </c>
      <c r="B79" s="97">
        <v>6.6</v>
      </c>
      <c r="C79" s="81">
        <f>IF(B79&lt;=Hypothèses!$C$7,Hypothèses!$A$7,IF(B79&lt;=Hypothèses!$C$8,Hypothèses!$A$8,IF(B79&lt;=Hypothèses!$C$9,Hypothèses!$A$9,IF(B79&lt;=Hypothèses!$C$10,Hypothèses!$A$10,IF(B79&lt;=Hypothèses!$C$11,Hypothèses!$A$11,IF(B79&lt;=Hypothèses!$C$12,Hypothèses!$A$12,IF(B79&lt;=Hypothèses!$C$13,Hypothèses!$A$13,IF(B79&lt;=Hypothèses!$C$14,Hypothèses!$A$14,IF(B79&lt;=Hypothèses!$C$15,Hypothèses!$A$15,IF(B79&lt;=Hypothèses!$C$16,Hypothèses!$A$16,IF(B79&lt;=Hypothèses!$C$17,Hypothèses!$A$17,IF(B79&lt;=Hypothèses!$C$18,Hypothèses!$A$18,C78))))))))))))</f>
        <v>11</v>
      </c>
      <c r="D79" s="82" t="str">
        <f>IF(B79&lt;=Hypothèses!$C$7,Hypothèses!$R$7,IF(B79&lt;=Hypothèses!$C$8,Hypothèses!$R$8,IF(B79&lt;=Hypothèses!$C$9,Hypothèses!$R$9,IF(B79&lt;=Hypothèses!$C$10,Hypothèses!$R$10,IF(B79&lt;=Hypothèses!$C$11,Hypothèses!$R$11,IF(B79&lt;=Hypothèses!$C$12,Hypothèses!$R$12,IF(B79&lt;=Hypothèses!$C$13,Hypothèses!$R$13,IF(B79&lt;=Hypothèses!$C$14,Hypothèses!$R$14,IF(B79&lt;=Hypothèses!$C$15,Hypothèses!$R$15,IF(B79&lt;=Hypothèses!$C$16,Hypothèses!$R$16,IF(B79&lt;=Hypothèses!$C$17,Hypothèses!$R$17,IF(B79&lt;=Hypothèses!$C$18,Hypothèses!$R$18,D78))))))))))))</f>
        <v>Pressio.</v>
      </c>
      <c r="E79" s="82" t="e">
        <f>IF(B79&lt;=Hypothèses!$C$7,Hypothèses!$G$7,IF(B79&lt;=Hypothèses!$C$8,Hypothèses!$G$8,IF(B79&lt;=Hypothèses!$C$9,Hypothèses!$G$9,IF(B79&lt;=Hypothèses!$C$10,Hypothèses!$G$10,IF(B79&lt;=Hypothèses!$C$11,Hypothèses!$G$11,IF(B79&lt;=Hypothèses!$C$12,Hypothèses!$G$12,IF(B79&lt;=Hypothèses!$C$13,Hypothèses!$G$13,IF(B79&lt;=Hypothèses!$C$14,Hypothèses!$G$14,IF(B79&lt;=Hypothèses!$C$15,Hypothèses!$G$15,IF(B79&lt;=Hypothèses!$C$16,Hypothèses!$G$16,IF(B79&lt;=Hypothèses!$C$17,Hypothèses!$G$17,IF(B79&lt;=Hypothèses!$C$18,Hypothèses!$G$18,E78))))))))))))</f>
        <v>#N/A</v>
      </c>
      <c r="F79" s="82" t="str">
        <f>IF(B79&lt;=Hypothèses!$C$7,Hypothèses!$F$7,IF(B79&lt;=Hypothèses!$C$8,Hypothèses!$F$8,IF(B79&lt;=Hypothèses!$C$9,Hypothèses!$F$9,IF(B79&lt;=Hypothèses!$C$10,Hypothèses!$F$10,IF(B79&lt;=Hypothèses!$C$11,Hypothèses!$F$11,IF(B79&lt;=Hypothèses!$C$12,Hypothèses!$F$12,IF(B79&lt;=Hypothèses!$C$13,Hypothèses!$F$13,IF(B79&lt;=Hypothèses!$C$14,Hypothèses!$F$14,IF(B79&lt;=Hypothèses!$C$15,Hypothèses!$F$15,IF(B79&lt;=Hypothèses!$C$16,Hypothèses!$F$16,IF(B79&lt;=Hypothèses!$C$17,Hypothèses!$F$17,IF(B79&lt;=Hypothèses!$C$18,Hypothèses!$F$18,F78))))))))))))</f>
        <v/>
      </c>
      <c r="G79" s="91">
        <f t="array" ref="G79">INDEX('Coeff EC7'!$U$7:$X$27,
MATCH(Model0.1T!$B$3,'Coeff EC7'!$T$7:$T$27,0),
MATCH(Model0.1T!$D79&amp;Model0.1T!$B$4,
'Coeff EC7'!$U$6:$X$6&amp;
'Coeff EC7'!$U$5:$X$5,0))</f>
        <v>1.4</v>
      </c>
      <c r="H79" s="91">
        <f t="array" ref="H79">INDEX('Coeff EC7'!$Y$7:$AB$27,
MATCH(Model0.1T!$B$3,'Coeff EC7'!$T$7:$T$27,0),
MATCH(Model0.1T!$D79&amp;Model0.1T!$B$4,
'Coeff EC7'!$Y$6:$AB$6&amp;
'Coeff EC7'!$Y$5:$AB$5,0))</f>
        <v>1.7</v>
      </c>
      <c r="I79" s="83">
        <v>0</v>
      </c>
      <c r="J79" s="91" t="e">
        <f t="array" ref="J79">INDEX('Coeff EC7'!$D$33:$Q$33,1,MATCH(D79&amp;E79,'Coeff EC7'!$D$31:$Q$31&amp;'Coeff EC7'!$D$32:$Q$32,0))</f>
        <v>#N/A</v>
      </c>
      <c r="K79" s="91" t="e">
        <f t="array" ref="K79">INDEX('Coeff EC7'!$D$34:$Q$34,1,MATCH(D79&amp;E79,'Coeff EC7'!$D$31:$Q$31&amp;'Coeff EC7'!$D$32:$Q$32,0))</f>
        <v>#N/A</v>
      </c>
      <c r="L79" s="91" t="e">
        <f t="array" ref="L79">INDEX('Coeff EC7'!$D$35:$Q$35,1,MATCH(D79&amp;E79,'Coeff EC7'!$D$31:$Q$31&amp;'Coeff EC7'!$D$32:$Q$32,0))</f>
        <v>#N/A</v>
      </c>
      <c r="M79" s="98" t="e">
        <f t="shared" si="131"/>
        <v>#N/A</v>
      </c>
      <c r="N79" s="99" t="e">
        <f t="array" ref="N79">INDEX('Coeff EC7'!$D$7:$Q$27,MATCH($B$3,'Coeff EC7'!$C$7:$C$27,0),MATCH(D79&amp;E79,'Coeff EC7'!$D$5:$Q$5&amp;'Coeff EC7'!$D$6:$Q$6,0))</f>
        <v>#N/A</v>
      </c>
      <c r="O79" s="99" t="e">
        <f t="array" ref="O79">INDEX('Coeff EC7'!$D$41:$Q$61,MATCH($B$3,'Coeff EC7'!$C$41:$C$61,0),MATCH(D79&amp;E79,'Coeff EC7'!$D$39:$Q$39&amp;'Coeff EC7'!$D$40:$Q$40,0))</f>
        <v>#N/A</v>
      </c>
      <c r="P79" s="30" t="e">
        <f t="shared" ref="P79:P142" si="166">N79*M79*1000</f>
        <v>#N/A</v>
      </c>
      <c r="Q79" s="100" t="e">
        <f t="shared" si="133"/>
        <v>#N/A</v>
      </c>
      <c r="R79" s="86" t="b">
        <f t="shared" si="134"/>
        <v>0</v>
      </c>
      <c r="S79" s="86">
        <f t="shared" si="132"/>
        <v>0.5</v>
      </c>
      <c r="T79" s="86">
        <f t="shared" si="135"/>
        <v>0.5</v>
      </c>
      <c r="U79" s="30" t="e">
        <f t="shared" ref="U79:U142" ca="1" si="167">AVERAGE(OFFSET($F79, -10*T79, 0,10*T79, 1), OFFSET($F79, 1, 0, 30*S79, 1))</f>
        <v>#DIV/0!</v>
      </c>
      <c r="V79" s="85" t="str">
        <f>IF(B79&lt;=Hypothèses!$V$7,Hypothèses!$W$7,IF(B79&lt;=Hypothèses!$V$8,Hypothèses!$W$8,IF(B79&lt;=Hypothèses!$V$9,Hypothèses!$W$9,IF(B79&lt;=Hypothèses!$V$10,Hypothèses!$W$10,IF(B79&lt;=Hypothèses!$V$11,Hypothèses!$W$11,IF(B79&lt;=Hypothèses!$V$12,Hypothèses!$W$12,IF(B79&lt;=Hypothèses!$V$13,Hypothèses!$W$13,IF(B79&lt;=Hypothèses!$V$14,Hypothèses!$W$14,IF(B79&lt;=Hypothèses!$V$15,Hypothèses!$W$15,IF(B79&lt;=Hypothèses!$V$16,Hypothèses!$W$16,IF(B79&lt;=Hypothèses!$V$17,Hypothèses!$W$17,IF(B79&lt;=Hypothèses!$V$18,Hypothèses!$W$18,""))))))))))))</f>
        <v/>
      </c>
      <c r="W79" s="87" t="e">
        <f t="shared" ca="1" si="116"/>
        <v>#DIV/0!</v>
      </c>
      <c r="X79" s="88" t="str">
        <f>IF(B79&lt;=Hypothèses!$V$7,Hypothèses!$X$7,IF(B79&lt;=Hypothèses!$V$8,Hypothèses!$X$8,IF(B79&lt;=Hypothèses!$V$9,Hypothèses!$X$9,IF(B79&lt;=Hypothèses!$V$10,Hypothèses!$X$10,IF(B79&lt;=Hypothèses!$V$11,Hypothèses!$X$11,IF(B79&lt;=Hypothèses!$V$12,Hypothèses!$X$12,IF(B79&lt;=Hypothèses!$V$13,Hypothèses!$X$13,IF(B79&lt;=Hypothèses!$V$14,Hypothèses!$X$14,IF(B79&lt;=Hypothèses!$V$15,Hypothèses!$X$15,IF(B79&lt;=Hypothèses!$V$16,Hypothèses!$X$16,IF(B79&lt;=Hypothèses!$U$17,Hypothèses!$W$17,IF(B79&lt;=Hypothèses!$U$18,Hypothèses!$W$18,""))))))))))))</f>
        <v/>
      </c>
      <c r="Y79" s="95" t="e">
        <f t="shared" ca="1" si="136"/>
        <v>#DIV/0!</v>
      </c>
      <c r="Z79" s="101">
        <f t="shared" si="137"/>
        <v>0</v>
      </c>
      <c r="AA79" s="91">
        <f t="shared" si="138"/>
        <v>0</v>
      </c>
      <c r="AB79" s="30" t="e">
        <f t="shared" si="100"/>
        <v>#N/A</v>
      </c>
      <c r="AC79" s="30" t="e">
        <f t="shared" si="101"/>
        <v>#N/A</v>
      </c>
      <c r="AD79" s="31" t="e">
        <f>IF(OR(Hypothèses!$B$4=17,Hypothèses!$B$4=18,Hypothèses!$B$4=19,Hypothèses!$B$4=20),
IF($D79="Pressio.",
IF(OR($E79=3,$E79=1,$E79=4),AC79,AB79),
IF($D79="Pénétro.",
IF(OR($E79=3,$E79=1,$E79=4),AC79,AB79))),IF($D79="Pressio.",
IF($E79=3,AC79,AB79),
IF($D79="Pénétro.",
IF($E79=4,AC79,AB79))))</f>
        <v>#N/A</v>
      </c>
      <c r="AE79" s="31">
        <v>0</v>
      </c>
      <c r="AF79" s="102" t="e">
        <f>IF(NDC!$H$10="Oui",(VLOOKUP($B$3,'Coeff EC7'!$T$39:$X$59,2,0)*AD79+VLOOKUP($B$3,'Coeff EC7'!$T$65:$X$85,2,0)*Model0.1T!AE79)/1.5,PI()*AB$12*$Q79*($B79-$B78)*0.15/10+AF78)</f>
        <v>#N/A</v>
      </c>
      <c r="AG79" s="102" t="e">
        <f>(VLOOKUP($B$3,'Coeff EC7'!$T$39:$X$59,3,0)*AD79+VLOOKUP($B$3,'Coeff EC7'!$T$65:$X$85,3,0)*Model0.1T!AE79)/1.1</f>
        <v>#N/A</v>
      </c>
      <c r="AH79" s="102" t="e">
        <f t="shared" ref="AH79:AH142" si="168">AD79/1.15+AE79/1.15</f>
        <v>#N/A</v>
      </c>
      <c r="AI79" s="102" t="e">
        <f t="shared" ref="AI79:AI142" si="169">(AD79+AE79)/1.05</f>
        <v>#N/A</v>
      </c>
      <c r="AJ79" s="414" t="e">
        <f>IF(AND(AF79&gt;NDC!$C$63,AG79&gt;NDC!$C$65,AH79&gt;NDC!$D$73,AI79&gt;NDC!$D$74,$B79&gt;NDC!$H$22-0.1+MIN(3*$AJ$12,1.5)),0,1)</f>
        <v>#N/A</v>
      </c>
      <c r="AK79" s="86" t="b">
        <f t="shared" si="139"/>
        <v>0</v>
      </c>
      <c r="AL79" s="86">
        <f t="shared" ref="AL79:AL142" si="170">MAX($AY$12/2,0.5)</f>
        <v>0.5</v>
      </c>
      <c r="AM79" s="86">
        <f t="shared" si="140"/>
        <v>0.5</v>
      </c>
      <c r="AN79" s="30" t="e">
        <f t="shared" ref="AN79:AN142" ca="1" si="171">AVERAGE(OFFSET($F79, -10*AM79, 0,10*AM79, 1), OFFSET($F79, 1, 0, 30*AL79, 1))</f>
        <v>#DIV/0!</v>
      </c>
      <c r="AO79" s="85" t="e">
        <f ca="1">IF(U79&lt;=Hypothèses!$V$7,Hypothèses!$W$7,IF(U79&lt;=Hypothèses!$V$8,Hypothèses!$W$8,IF(U79&lt;=Hypothèses!$V$9,Hypothèses!$W$9,IF(U79&lt;=Hypothèses!$V$10,Hypothèses!$W$10,IF(U79&lt;=Hypothèses!$V$11,Hypothèses!$W$11,IF(U79&lt;=Hypothèses!$V$12,Hypothèses!$W$12,IF(U79&lt;=Hypothèses!$V$13,Hypothèses!$W$13,IF(U79&lt;=Hypothèses!$V$14,Hypothèses!$W$14,IF(U79&lt;=Hypothèses!$V$15,Hypothèses!$W$15,IF(U79&lt;=Hypothèses!$V$16,Hypothèses!$W$16,IF(U79&lt;=Hypothèses!$V$17,Hypothèses!$W$17,IF(U79&lt;=Hypothèses!$V$18,Hypothèses!$W$18,""))))))))))))</f>
        <v>#DIV/0!</v>
      </c>
      <c r="AP79" s="87" t="e">
        <f t="shared" ca="1" si="117"/>
        <v>#DIV/0!</v>
      </c>
      <c r="AQ79" s="88" t="e">
        <f ca="1">IF(U79&lt;=Hypothèses!$V$7,Hypothèses!$X$7,IF(U79&lt;=Hypothèses!$V$8,Hypothèses!$X$8,IF(U79&lt;=Hypothèses!$V$9,Hypothèses!$X$9,IF(U79&lt;=Hypothèses!$V$10,Hypothèses!$X$10,IF(U79&lt;=Hypothèses!$V$11,Hypothèses!$X$11,IF(U79&lt;=Hypothèses!$V$12,Hypothèses!$X$12,IF(U79&lt;=Hypothèses!$V$13,Hypothèses!$X$13,IF(U79&lt;=Hypothèses!$V$14,Hypothèses!$X$14,IF(U79&lt;=Hypothèses!$V$15,Hypothèses!$X$15,IF(U79&lt;=Hypothèses!$V$16,Hypothèses!$X$16,IF(U79&lt;=Hypothèses!$U$17,Hypothèses!$W$17,IF(U79&lt;=Hypothèses!$U$18,Hypothèses!$W$18,""))))))))))))</f>
        <v>#DIV/0!</v>
      </c>
      <c r="AR79" s="95" t="e">
        <f t="shared" ref="AR79:AR142" ca="1" si="172">IF($B79&lt;10*$BB$12,0.1/AP79*SUM(OFFSET(F79,-10*$B79+1,0,10*$B79,1)),0.1/AP79*SUM(OFFSET(F79,-100*$BB$12+1,0,100*$BB$12,1)))</f>
        <v>#DIV/0!</v>
      </c>
      <c r="AS79" s="101">
        <f t="shared" si="124"/>
        <v>0</v>
      </c>
      <c r="AT79" s="91">
        <f t="shared" si="141"/>
        <v>0</v>
      </c>
      <c r="AU79" s="30" t="e">
        <f t="shared" si="102"/>
        <v>#N/A</v>
      </c>
      <c r="AV79" s="30" t="e">
        <f t="shared" si="103"/>
        <v>#N/A</v>
      </c>
      <c r="AW79" s="31" t="e">
        <f>IF(OR(Hypothèses!$B$4=17,Hypothèses!$B$4=18,Hypothèses!$B$4=19,Hypothèses!$B$4=20),
IF($D79="Pressio.",
IF(OR($E79=3,$E79=1,$E79=4),AV79,AU79),
IF($D79="Pénétro.",
IF(OR($E79=3,$E79=1,$E79=4),AV79,AU79))),IF($D79="Pressio.",
IF($E79=3,AV79,AU79),
IF($D79="Pénétro.",
IF($E79=4,AV79,AU79))))</f>
        <v>#N/A</v>
      </c>
      <c r="AX79" s="31">
        <v>0</v>
      </c>
      <c r="AY79" s="102" t="e">
        <f>IF(NDC!$H$10="Oui",(VLOOKUP($B$3,'Coeff EC7'!$T$39:$X$59,2,0)*AW79+VLOOKUP($B$3,'Coeff EC7'!$T$65:$X$85,2,0)*Model0.1T!AX79)/1.5,PI()*AU$12*$Q79*($B79-$B78)*0.15/10+AY78)</f>
        <v>#N/A</v>
      </c>
      <c r="AZ79" s="102" t="e">
        <f>(VLOOKUP($B$3,'Coeff EC7'!$T$39:$X$59,3,0)*AW79+VLOOKUP($B$3,'Coeff EC7'!$T$65:$X$85,3,0)*Model0.1T!AX79)/1.1</f>
        <v>#N/A</v>
      </c>
      <c r="BA79" s="102" t="e">
        <f t="shared" ref="BA79:BA142" si="173">AW79/1.15+AX79/1.15</f>
        <v>#N/A</v>
      </c>
      <c r="BB79" s="102" t="e">
        <f t="shared" ref="BB79:BB142" si="174">(AW79+AX79)/1.05</f>
        <v>#N/A</v>
      </c>
      <c r="BC79" s="414" t="e">
        <f>IF(AND(AY79&gt;NDC!$C$63,AZ79&gt;NDC!$C$65,BA79&gt;NDC!$D$73,BB79&gt;NDC!$D$74,$B79&gt;NDC!$H$22-0.1+MIN(3*BC$12,1.5)),0,1)</f>
        <v>#N/A</v>
      </c>
      <c r="BD79" s="86" t="b">
        <f t="shared" si="142"/>
        <v>0</v>
      </c>
      <c r="BE79" s="86">
        <f t="shared" ref="BE79:BE142" si="175">MAX($BR$12/2,0.5)</f>
        <v>0.5</v>
      </c>
      <c r="BF79" s="86">
        <f t="shared" si="143"/>
        <v>0.5</v>
      </c>
      <c r="BG79" s="30" t="e">
        <f t="shared" ref="BG79:BG142" ca="1" si="176">AVERAGE(OFFSET($F79, -10*BF79, 0,10*BF79, 1), OFFSET($F79, 1, 0, 30*BE79, 1))</f>
        <v>#DIV/0!</v>
      </c>
      <c r="BH79" s="85" t="e">
        <f ca="1">IF(AN79&lt;=Hypothèses!$V$7,Hypothèses!$W$7,IF(AN79&lt;=Hypothèses!$V$8,Hypothèses!$W$8,IF(AN79&lt;=Hypothèses!$V$9,Hypothèses!$W$9,IF(AN79&lt;=Hypothèses!$V$10,Hypothèses!$W$10,IF(AN79&lt;=Hypothèses!$V$11,Hypothèses!$W$11,IF(AN79&lt;=Hypothèses!$V$12,Hypothèses!$W$12,IF(AN79&lt;=Hypothèses!$V$13,Hypothèses!$W$13,IF(AN79&lt;=Hypothèses!$V$14,Hypothèses!$W$14,IF(AN79&lt;=Hypothèses!$V$15,Hypothèses!$W$15,IF(AN79&lt;=Hypothèses!$V$16,Hypothèses!$W$16,IF(AN79&lt;=Hypothèses!$V$17,Hypothèses!$W$17,IF(AN79&lt;=Hypothèses!$V$18,Hypothèses!$W$18,""))))))))))))</f>
        <v>#DIV/0!</v>
      </c>
      <c r="BI79" s="87" t="e">
        <f t="shared" ca="1" si="118"/>
        <v>#DIV/0!</v>
      </c>
      <c r="BJ79" s="88" t="e">
        <f ca="1">IF(AN79&lt;=Hypothèses!$V$7,Hypothèses!$X$7,IF(AN79&lt;=Hypothèses!$V$8,Hypothèses!$X$8,IF(AN79&lt;=Hypothèses!$V$9,Hypothèses!$X$9,IF(AN79&lt;=Hypothèses!$V$10,Hypothèses!$X$10,IF(AN79&lt;=Hypothèses!$V$11,Hypothèses!$X$11,IF(AN79&lt;=Hypothèses!$V$12,Hypothèses!$X$12,IF(AN79&lt;=Hypothèses!$V$13,Hypothèses!$X$13,IF(AN79&lt;=Hypothèses!$V$14,Hypothèses!$X$14,IF(AN79&lt;=Hypothèses!$V$15,Hypothèses!$X$15,IF(AN79&lt;=Hypothèses!$V$16,Hypothèses!$X$16,IF(AN79&lt;=Hypothèses!$U$17,Hypothèses!$W$17,IF(AN79&lt;=Hypothèses!$U$18,Hypothèses!$W$18,""))))))))))))</f>
        <v>#DIV/0!</v>
      </c>
      <c r="BK79" s="95" t="e">
        <f t="shared" ref="BK79:BK142" ca="1" si="177">IF($B79&lt;10*$BU$12,0.1/BI79*SUM(OFFSET(F79,-10*$B79+1,0,10*$B79,1)),0.1/BI79*SUM(OFFSET(F79,-100*$BU$12+1,0,100*$BU$12,1)))</f>
        <v>#DIV/0!</v>
      </c>
      <c r="BL79" s="101">
        <f t="shared" si="125"/>
        <v>0</v>
      </c>
      <c r="BM79" s="91">
        <f t="shared" si="144"/>
        <v>0</v>
      </c>
      <c r="BN79" s="30" t="e">
        <f t="shared" si="104"/>
        <v>#N/A</v>
      </c>
      <c r="BO79" s="30" t="e">
        <f t="shared" si="105"/>
        <v>#N/A</v>
      </c>
      <c r="BP79" s="31" t="e">
        <f>IF(OR(Hypothèses!$B$4=17,Hypothèses!$B$4=18,Hypothèses!$B$4=19,Hypothèses!$B$4=20),
IF($D79="Pressio.",
IF(OR($E79=3,$E79=1,$E79=4),BO79,BN79),
IF($D79="Pénétro.",
IF(OR($E79=3,$E79=1,$E79=4),BO79,BN79))),IF($D79="Pressio.",
IF($E79=3,BO79,BN79),
IF($D79="Pénétro.",
IF($E79=4,BO79,BN79))))</f>
        <v>#N/A</v>
      </c>
      <c r="BQ79" s="31">
        <v>0</v>
      </c>
      <c r="BR79" s="102" t="e">
        <f>IF(NDC!$H$10="Oui",(VLOOKUP($B$3,'Coeff EC7'!$T$39:$X$59,2,0)*BP79+VLOOKUP($B$3,'Coeff EC7'!$T$65:$X$85,2,0)*Model0.1T!BQ79)/1.5,PI()*BN$12*$Q79*($B79-$B78)*0.15/10+BR78)</f>
        <v>#N/A</v>
      </c>
      <c r="BS79" s="102" t="e">
        <f>(VLOOKUP($B$3,'Coeff EC7'!$T$39:$X$59,3,0)*BP79+VLOOKUP($B$3,'Coeff EC7'!$T$65:$X$85,3,0)*Model0.1T!BQ79)/1.1</f>
        <v>#N/A</v>
      </c>
      <c r="BT79" s="102" t="e">
        <f t="shared" ref="BT79:BT142" si="178">BP79/1.15+BQ79/1.15</f>
        <v>#N/A</v>
      </c>
      <c r="BU79" s="102" t="e">
        <f t="shared" ref="BU79:BU142" si="179">(BP79+BQ79)/1.05</f>
        <v>#N/A</v>
      </c>
      <c r="BV79" s="414" t="e">
        <f>IF(AND(BR79&gt;NDC!$C$63,BS79&gt;NDC!$C$65,BT79&gt;NDC!$D$73,BU79&gt;NDC!$D$74,$B79&gt;NDC!$H$22-0.1+MIN(3*BV$12,1.5)),0,1)</f>
        <v>#N/A</v>
      </c>
      <c r="BW79" s="86" t="b">
        <f t="shared" si="145"/>
        <v>0</v>
      </c>
      <c r="BX79" s="86">
        <f t="shared" si="146"/>
        <v>0.5</v>
      </c>
      <c r="BY79" s="86">
        <f t="shared" si="147"/>
        <v>0.5</v>
      </c>
      <c r="BZ79" s="30" t="e">
        <f t="shared" ref="BZ79:BZ142" ca="1" si="180">AVERAGE(OFFSET($F79, -10*BY79, 0,10*BY79, 1), OFFSET($F79, 1, 0, 30*BX79, 1))</f>
        <v>#DIV/0!</v>
      </c>
      <c r="CA79" s="85" t="e">
        <f ca="1">IF(BG79&lt;=Hypothèses!$V$7,Hypothèses!$W$7,IF(BG79&lt;=Hypothèses!$V$8,Hypothèses!$W$8,IF(BG79&lt;=Hypothèses!$V$9,Hypothèses!$W$9,IF(BG79&lt;=Hypothèses!$V$10,Hypothèses!$W$10,IF(BG79&lt;=Hypothèses!$V$11,Hypothèses!$W$11,IF(BG79&lt;=Hypothèses!$V$12,Hypothèses!$W$12,IF(BG79&lt;=Hypothèses!$V$13,Hypothèses!$W$13,IF(BG79&lt;=Hypothèses!$V$14,Hypothèses!$W$14,IF(BG79&lt;=Hypothèses!$V$15,Hypothèses!$W$15,IF(BG79&lt;=Hypothèses!$V$16,Hypothèses!$W$16,IF(BG79&lt;=Hypothèses!$V$17,Hypothèses!$W$17,IF(BG79&lt;=Hypothèses!$V$18,Hypothèses!$W$18,""))))))))))))</f>
        <v>#DIV/0!</v>
      </c>
      <c r="CB79" s="87" t="e">
        <f t="shared" ca="1" si="119"/>
        <v>#DIV/0!</v>
      </c>
      <c r="CC79" s="88" t="e">
        <f ca="1">IF(BG79&lt;=Hypothèses!$V$7,Hypothèses!$X$7,IF(BG79&lt;=Hypothèses!$V$8,Hypothèses!$X$8,IF(BG79&lt;=Hypothèses!$V$9,Hypothèses!$X$9,IF(BG79&lt;=Hypothèses!$V$10,Hypothèses!$X$10,IF(BG79&lt;=Hypothèses!$V$11,Hypothèses!$X$11,IF(BG79&lt;=Hypothèses!$V$12,Hypothèses!$X$12,IF(BG79&lt;=Hypothèses!$V$13,Hypothèses!$X$13,IF(BG79&lt;=Hypothèses!$V$14,Hypothèses!$X$14,IF(BG79&lt;=Hypothèses!$V$15,Hypothèses!$X$15,IF(BG79&lt;=Hypothèses!$V$16,Hypothèses!$X$16,IF(BG79&lt;=Hypothèses!$U$17,Hypothèses!$W$17,IF(BG79&lt;=Hypothèses!$U$18,Hypothèses!$W$18,""))))))))))))</f>
        <v>#DIV/0!</v>
      </c>
      <c r="CD79" s="95" t="e">
        <f t="shared" ref="CD79:CD142" ca="1" si="181">IF($B79&lt;10*$CN$12,0.1/CB79*SUM(OFFSET(F79,-10*$B79+1,0,10*$B79,1)),0.1/CB79*SUM(OFFSET(F79,-100*$CN$12+1,0,100*$CN$12,1)))</f>
        <v>#DIV/0!</v>
      </c>
      <c r="CE79" s="101">
        <f t="shared" si="126"/>
        <v>0</v>
      </c>
      <c r="CF79" s="91">
        <f t="shared" si="148"/>
        <v>0</v>
      </c>
      <c r="CG79" s="30" t="e">
        <f t="shared" si="106"/>
        <v>#N/A</v>
      </c>
      <c r="CH79" s="30" t="e">
        <f t="shared" si="107"/>
        <v>#N/A</v>
      </c>
      <c r="CI79" s="31" t="e">
        <f>IF(OR(Hypothèses!$B$4=17,Hypothèses!$B$4=18,Hypothèses!$B$4=19,Hypothèses!$B$4=20),
IF($D79="Pressio.",
IF(OR($E79=3,$E79=1,$E79=4),CH79,CG79),
IF($D79="Pénétro.",
IF(OR($E79=3,$E79=1,$E79=4),CH79,CG79))),IF($D79="Pressio.",
IF($E79=3,CH79,CG79),
IF($D79="Pénétro.",
IF($E79=4,CH79,CG79))))</f>
        <v>#N/A</v>
      </c>
      <c r="CJ79" s="31">
        <v>0</v>
      </c>
      <c r="CK79" s="102" t="e">
        <f>IF(NDC!$H$10="Oui",(VLOOKUP($B$3,'Coeff EC7'!$T$39:$X$59,2,0)*CI79+VLOOKUP($B$3,'Coeff EC7'!$T$65:$X$85,2,0)*Model0.1T!CJ79)/1.5,PI()*CG$12*$Q79*($B79-$B78)*0.15/10+CK78)</f>
        <v>#N/A</v>
      </c>
      <c r="CL79" s="102" t="e">
        <f>(VLOOKUP($B$3,'Coeff EC7'!$T$39:$X$59,3,0)*CI79+VLOOKUP($B$3,'Coeff EC7'!$T$65:$X$85,3,0)*Model0.1T!CJ79)/1.1</f>
        <v>#N/A</v>
      </c>
      <c r="CM79" s="102" t="e">
        <f t="shared" ref="CM79:CM142" si="182">CI79/1.15+CJ79/1.15</f>
        <v>#N/A</v>
      </c>
      <c r="CN79" s="102" t="e">
        <f t="shared" ref="CN79:CN142" si="183">(CI79+CJ79)/1.05</f>
        <v>#N/A</v>
      </c>
      <c r="CO79" s="414" t="e">
        <f>IF(AND(CK79&gt;NDC!$C$63,CL79&gt;NDC!$C$65,CM79&gt;NDC!$D$73,CN79&gt;NDC!$D$74,$B79&gt;NDC!$H$22-0.1+MIN(3*CO$12,1.5)),0,1)</f>
        <v>#N/A</v>
      </c>
      <c r="CP79" s="86" t="b">
        <f t="shared" si="149"/>
        <v>0</v>
      </c>
      <c r="CQ79" s="86">
        <f t="shared" si="150"/>
        <v>0.5</v>
      </c>
      <c r="CR79" s="86">
        <f t="shared" si="151"/>
        <v>0.5</v>
      </c>
      <c r="CS79" s="30" t="e">
        <f t="shared" ref="CS79:CS142" ca="1" si="184">AVERAGE(OFFSET($F79, -10*CR79, 0,10*CR79, 1), OFFSET($F79, 1, 0, 30*CQ79, 1))</f>
        <v>#DIV/0!</v>
      </c>
      <c r="CT79" s="85" t="e">
        <f ca="1">IF(BZ79&lt;=Hypothèses!$V$7,Hypothèses!$W$7,IF(BZ79&lt;=Hypothèses!$V$8,Hypothèses!$W$8,IF(BZ79&lt;=Hypothèses!$V$9,Hypothèses!$W$9,IF(BZ79&lt;=Hypothèses!$V$10,Hypothèses!$W$10,IF(BZ79&lt;=Hypothèses!$V$11,Hypothèses!$W$11,IF(BZ79&lt;=Hypothèses!$V$12,Hypothèses!$W$12,IF(BZ79&lt;=Hypothèses!$V$13,Hypothèses!$W$13,IF(BZ79&lt;=Hypothèses!$V$14,Hypothèses!$W$14,IF(BZ79&lt;=Hypothèses!$V$15,Hypothèses!$W$15,IF(BZ79&lt;=Hypothèses!$V$16,Hypothèses!$W$16,IF(BZ79&lt;=Hypothèses!$V$17,Hypothèses!$W$17,IF(BZ79&lt;=Hypothèses!$V$18,Hypothèses!$W$18,""))))))))))))</f>
        <v>#DIV/0!</v>
      </c>
      <c r="CU79" s="87" t="e">
        <f t="shared" ca="1" si="120"/>
        <v>#DIV/0!</v>
      </c>
      <c r="CV79" s="88" t="e">
        <f ca="1">IF(BZ79&lt;=Hypothèses!$V$7,Hypothèses!$X$7,IF(BZ79&lt;=Hypothèses!$V$8,Hypothèses!$X$8,IF(BZ79&lt;=Hypothèses!$V$9,Hypothèses!$X$9,IF(BZ79&lt;=Hypothèses!$V$10,Hypothèses!$X$10,IF(BZ79&lt;=Hypothèses!$V$11,Hypothèses!$X$11,IF(BZ79&lt;=Hypothèses!$V$12,Hypothèses!$X$12,IF(BZ79&lt;=Hypothèses!$V$13,Hypothèses!$X$13,IF(BZ79&lt;=Hypothèses!$V$14,Hypothèses!$X$14,IF(BZ79&lt;=Hypothèses!$V$15,Hypothèses!$X$15,IF(BZ79&lt;=Hypothèses!$V$16,Hypothèses!$X$16,IF(BZ79&lt;=Hypothèses!$U$17,Hypothèses!$W$17,IF(BZ79&lt;=Hypothèses!$U$18,Hypothèses!$W$18,""))))))))))))</f>
        <v>#DIV/0!</v>
      </c>
      <c r="CW79" s="95" t="e">
        <f t="shared" ref="CW79:CW142" ca="1" si="185">IF($B79&lt;10*$DG$12,0.1/CU79*SUM(OFFSET(F79,-10*$B79+1,0,10*$B79,1)),0.1/CU79*SUM(OFFSET(F79,-100*$DG$12+1,0,100*$DG$12,1)))</f>
        <v>#DIV/0!</v>
      </c>
      <c r="CX79" s="101">
        <f t="shared" si="127"/>
        <v>0</v>
      </c>
      <c r="CY79" s="91">
        <f t="shared" si="152"/>
        <v>0</v>
      </c>
      <c r="CZ79" s="30" t="e">
        <f t="shared" si="108"/>
        <v>#N/A</v>
      </c>
      <c r="DA79" s="30" t="e">
        <f t="shared" si="109"/>
        <v>#N/A</v>
      </c>
      <c r="DB79" s="31" t="e">
        <f>IF(OR(Hypothèses!$B$4=17,Hypothèses!$B$4=18,Hypothèses!$B$4=19,Hypothèses!$B$4=20),
IF($D79="Pressio.",
IF(OR($E79=3,$E79=1,$E79=4),DA79,CZ79),
IF($D79="Pénétro.",
IF(OR($E79=3,$E79=1,$E79=4),DA79,CZ79))),IF($D79="Pressio.",
IF($E79=3,DA79,CZ79),
IF($D79="Pénétro.",
IF($E79=4,DA79,CZ79))))</f>
        <v>#N/A</v>
      </c>
      <c r="DC79" s="31">
        <v>0</v>
      </c>
      <c r="DD79" s="102" t="e">
        <f>IF(NDC!$H$10="Oui",(VLOOKUP($B$3,'Coeff EC7'!$T$39:$X$59,2,0)*DB79+VLOOKUP($B$3,'Coeff EC7'!$T$65:$X$85,2,0)*Model0.1T!DC79)/1.5,PI()*CZ$12*$Q79*($B79-$B78)*0.15/10+DD78)</f>
        <v>#N/A</v>
      </c>
      <c r="DE79" s="102" t="e">
        <f>(VLOOKUP($B$3,'Coeff EC7'!$T$39:$X$59,3,0)*DB79+VLOOKUP($B$3,'Coeff EC7'!$T$65:$X$85,3,0)*Model0.1T!DC79)/1.1</f>
        <v>#N/A</v>
      </c>
      <c r="DF79" s="102" t="e">
        <f t="shared" ref="DF79:DF142" si="186">DB79/1.15+DC79/1.15</f>
        <v>#N/A</v>
      </c>
      <c r="DG79" s="102" t="e">
        <f t="shared" ref="DG79:DG142" si="187">(DB79+DC79)/1.05</f>
        <v>#N/A</v>
      </c>
      <c r="DH79" s="414" t="e">
        <f>IF(AND(DD79&gt;NDC!$C$63,DE79&gt;NDC!$C$65,DF79&gt;NDC!$D$73,DG79&gt;NDC!$D$74,$B79&gt;NDC!$H$22-0.1+MIN(3*DH$12,1.5)),0,1)</f>
        <v>#N/A</v>
      </c>
      <c r="DI79" s="86" t="b">
        <f t="shared" si="153"/>
        <v>0</v>
      </c>
      <c r="DJ79" s="86">
        <f t="shared" si="154"/>
        <v>0.5</v>
      </c>
      <c r="DK79" s="86">
        <f t="shared" si="155"/>
        <v>0.5</v>
      </c>
      <c r="DL79" s="30" t="e">
        <f t="shared" ref="DL79:DL142" ca="1" si="188">AVERAGE(OFFSET($F79, -10*DK79, 0,10*DK79, 1), OFFSET($F79, 1, 0, 30*DJ79, 1))</f>
        <v>#DIV/0!</v>
      </c>
      <c r="DM79" s="85" t="e">
        <f ca="1">IF(CS79&lt;=Hypothèses!$V$7,Hypothèses!$W$7,IF(CS79&lt;=Hypothèses!$V$8,Hypothèses!$W$8,IF(CS79&lt;=Hypothèses!$V$9,Hypothèses!$W$9,IF(CS79&lt;=Hypothèses!$V$10,Hypothèses!$W$10,IF(CS79&lt;=Hypothèses!$V$11,Hypothèses!$W$11,IF(CS79&lt;=Hypothèses!$V$12,Hypothèses!$W$12,IF(CS79&lt;=Hypothèses!$V$13,Hypothèses!$W$13,IF(CS79&lt;=Hypothèses!$V$14,Hypothèses!$W$14,IF(CS79&lt;=Hypothèses!$V$15,Hypothèses!$W$15,IF(CS79&lt;=Hypothèses!$V$16,Hypothèses!$W$16,IF(CS79&lt;=Hypothèses!$V$17,Hypothèses!$W$17,IF(CS79&lt;=Hypothèses!$V$18,Hypothèses!$W$18,""))))))))))))</f>
        <v>#DIV/0!</v>
      </c>
      <c r="DN79" s="87" t="e">
        <f t="shared" ca="1" si="121"/>
        <v>#DIV/0!</v>
      </c>
      <c r="DO79" s="88" t="e">
        <f ca="1">IF(CS79&lt;=Hypothèses!$V$7,Hypothèses!$X$7,IF(CS79&lt;=Hypothèses!$V$8,Hypothèses!$X$8,IF(CS79&lt;=Hypothèses!$V$9,Hypothèses!$X$9,IF(CS79&lt;=Hypothèses!$V$10,Hypothèses!$X$10,IF(CS79&lt;=Hypothèses!$V$11,Hypothèses!$X$11,IF(CS79&lt;=Hypothèses!$V$12,Hypothèses!$X$12,IF(CS79&lt;=Hypothèses!$V$13,Hypothèses!$X$13,IF(CS79&lt;=Hypothèses!$V$14,Hypothèses!$X$14,IF(CS79&lt;=Hypothèses!$V$15,Hypothèses!$X$15,IF(CS79&lt;=Hypothèses!$V$16,Hypothèses!$X$16,IF(CS79&lt;=Hypothèses!$U$17,Hypothèses!$W$17,IF(CS79&lt;=Hypothèses!$U$18,Hypothèses!$W$18,""))))))))))))</f>
        <v>#DIV/0!</v>
      </c>
      <c r="DP79" s="95" t="e">
        <f t="shared" ref="DP79:DP142" ca="1" si="189">IF($B79&lt;10*$DZ$12,0.1/DN79*SUM(OFFSET(F79,-10*$B79+1,0,10*$B79,1)),0.1/DN79*SUM(OFFSET(F79,-100*$DZ$12+1,0,100*$DZ$12,1)))</f>
        <v>#DIV/0!</v>
      </c>
      <c r="DQ79" s="101">
        <f t="shared" si="128"/>
        <v>0</v>
      </c>
      <c r="DR79" s="91">
        <f t="shared" si="156"/>
        <v>0</v>
      </c>
      <c r="DS79" s="30" t="e">
        <f t="shared" si="110"/>
        <v>#N/A</v>
      </c>
      <c r="DT79" s="30" t="e">
        <f t="shared" si="111"/>
        <v>#N/A</v>
      </c>
      <c r="DU79" s="31" t="e">
        <f>IF(OR(Hypothèses!$B$4=17,Hypothèses!$B$4=18,Hypothèses!$B$4=19,Hypothèses!$B$4=20),
IF($D79="Pressio.",
IF(OR($E79=3,$E79=1,$E79=4),DT79,DS79),
IF($D79="Pénétro.",
IF(OR($E79=3,$E79=1,$E79=4),DT79,DS79))),IF($D79="Pressio.",
IF($E79=3,DT79,DS79),
IF($D79="Pénétro.",
IF($E79=4,DT79,DS79))))</f>
        <v>#N/A</v>
      </c>
      <c r="DV79" s="31">
        <v>0</v>
      </c>
      <c r="DW79" s="102" t="e">
        <f>IF(NDC!$H$10="Oui",(VLOOKUP($B$3,'Coeff EC7'!$T$39:$X$59,2,0)*DU79+VLOOKUP($B$3,'Coeff EC7'!$T$65:$X$85,2,0)*Model0.1T!DV79)/1.5,PI()*DS$12*$Q79*($B79-$B78)*0.15/10+DW78)</f>
        <v>#N/A</v>
      </c>
      <c r="DX79" s="102" t="e">
        <f>(VLOOKUP($B$3,'Coeff EC7'!$T$39:$X$59,3,0)*DU79+VLOOKUP($B$3,'Coeff EC7'!$T$65:$X$85,3,0)*Model0.1T!DV79)/1.1</f>
        <v>#N/A</v>
      </c>
      <c r="DY79" s="102" t="e">
        <f t="shared" ref="DY79:DY142" si="190">DU79/1.15+DV79/1.15</f>
        <v>#N/A</v>
      </c>
      <c r="DZ79" s="102" t="e">
        <f t="shared" ref="DZ79:DZ142" si="191">(DU79+DV79)/1.05</f>
        <v>#N/A</v>
      </c>
      <c r="EA79" s="414" t="e">
        <f>IF(AND(DW79&gt;NDC!$C$63,DX79&gt;NDC!$C$65,DY79&gt;NDC!$D$73,DZ79&gt;NDC!$D$74,$B79&gt;NDC!$H$22-0.1+MIN(3*EA$12,1.5)),0,1)</f>
        <v>#N/A</v>
      </c>
      <c r="EB79" s="86" t="b">
        <f t="shared" si="157"/>
        <v>0</v>
      </c>
      <c r="EC79" s="418">
        <f t="shared" si="158"/>
        <v>0.51</v>
      </c>
      <c r="ED79" s="86">
        <f t="shared" si="159"/>
        <v>0.51</v>
      </c>
      <c r="EE79" s="30" t="e">
        <f t="shared" ref="EE79:EE142" ca="1" si="192">AVERAGE(OFFSET($F79, -10*ED79, 0,10*ED79, 1), OFFSET($F79, 1, 0, 30*EC79, 1))</f>
        <v>#DIV/0!</v>
      </c>
      <c r="EF79" s="85" t="e">
        <f ca="1">IF(DL79&lt;=Hypothèses!$V$7,Hypothèses!$W$7,IF(DL79&lt;=Hypothèses!$V$8,Hypothèses!$W$8,IF(DL79&lt;=Hypothèses!$V$9,Hypothèses!$W$9,IF(DL79&lt;=Hypothèses!$V$10,Hypothèses!$W$10,IF(DL79&lt;=Hypothèses!$V$11,Hypothèses!$W$11,IF(DL79&lt;=Hypothèses!$V$12,Hypothèses!$W$12,IF(DL79&lt;=Hypothèses!$V$13,Hypothèses!$W$13,IF(DL79&lt;=Hypothèses!$V$14,Hypothèses!$W$14,IF(DL79&lt;=Hypothèses!$V$15,Hypothèses!$W$15,IF(DL79&lt;=Hypothèses!$V$16,Hypothèses!$W$16,IF(DL79&lt;=Hypothèses!$V$17,Hypothèses!$W$17,IF(DL79&lt;=Hypothèses!$V$18,Hypothèses!$W$18,""))))))))))))</f>
        <v>#DIV/0!</v>
      </c>
      <c r="EG79" s="87" t="e">
        <f t="shared" ca="1" si="122"/>
        <v>#DIV/0!</v>
      </c>
      <c r="EH79" s="88" t="e">
        <f ca="1">IF(DL79&lt;=Hypothèses!$V$7,Hypothèses!$X$7,IF(DL79&lt;=Hypothèses!$V$8,Hypothèses!$X$8,IF(DL79&lt;=Hypothèses!$V$9,Hypothèses!$X$9,IF(DL79&lt;=Hypothèses!$V$10,Hypothèses!$X$10,IF(DL79&lt;=Hypothèses!$V$11,Hypothèses!$X$11,IF(DL79&lt;=Hypothèses!$V$12,Hypothèses!$X$12,IF(DL79&lt;=Hypothèses!$V$13,Hypothèses!$X$13,IF(DL79&lt;=Hypothèses!$V$14,Hypothèses!$X$14,IF(DL79&lt;=Hypothèses!$V$15,Hypothèses!$X$15,IF(DL79&lt;=Hypothèses!$V$16,Hypothèses!$X$16,IF(DL79&lt;=Hypothèses!$U$17,Hypothèses!$W$17,IF(DL79&lt;=Hypothèses!$U$18,Hypothèses!$W$18,""))))))))))))</f>
        <v>#DIV/0!</v>
      </c>
      <c r="EI79" s="95" t="e">
        <f t="shared" ref="EI79:EI142" ca="1" si="193">IF($B79&lt;10*$ES$12,0.1/EG79*SUM(OFFSET(F79,-10*$B79+1,0,10*$B79,1)),0.1/EG79*SUM(OFFSET(F79,-100*$ES$12+1,0,100*$ES$12,1)))</f>
        <v>#DIV/0!</v>
      </c>
      <c r="EJ79" s="101">
        <f t="shared" si="129"/>
        <v>0</v>
      </c>
      <c r="EK79" s="91">
        <f t="shared" si="160"/>
        <v>0</v>
      </c>
      <c r="EL79" s="30" t="e">
        <f t="shared" si="112"/>
        <v>#N/A</v>
      </c>
      <c r="EM79" s="30" t="e">
        <f t="shared" si="113"/>
        <v>#N/A</v>
      </c>
      <c r="EN79" s="31" t="e">
        <f>IF(OR(Hypothèses!$B$4=17,Hypothèses!$B$4=18,Hypothèses!$B$4=19,Hypothèses!$B$4=20),
IF($D79="Pressio.",
IF(OR($E79=3,$E79=1,$E79=4),EM79,EL79),
IF($D79="Pénétro.",
IF(OR($E79=3,$E79=1,$E79=4),EM79,EL79))),IF($D79="Pressio.",
IF($E79=3,EM79,EL79),
IF($D79="Pénétro.",
IF($E79=4,EM79,EL79))))</f>
        <v>#N/A</v>
      </c>
      <c r="EO79" s="31">
        <v>0</v>
      </c>
      <c r="EP79" s="102" t="e">
        <f>IF(NDC!$H$10="Oui",(VLOOKUP($B$3,'Coeff EC7'!$T$39:$X$59,2,0)*EN79+VLOOKUP($B$3,'Coeff EC7'!$T$65:$X$85,2,0)*Model0.1T!EO79)/1.5,PI()*EL$12*$Q79*($B79-$B78)*0.15/10+EP78)</f>
        <v>#N/A</v>
      </c>
      <c r="EQ79" s="102" t="e">
        <f>(VLOOKUP($B$3,'Coeff EC7'!$T$39:$X$59,3,0)*EN79+VLOOKUP($B$3,'Coeff EC7'!$T$65:$X$85,3,0)*Model0.1T!EO79)/1.1</f>
        <v>#N/A</v>
      </c>
      <c r="ER79" s="102" t="e">
        <f t="shared" ref="ER79:ER142" si="194">EN79/1.15+EO79/1.15</f>
        <v>#N/A</v>
      </c>
      <c r="ES79" s="102" t="e">
        <f t="shared" ref="ES79:ES142" si="195">(EN79+EO79)/1.05</f>
        <v>#N/A</v>
      </c>
      <c r="ET79" s="414" t="e">
        <f>IF(AND(EP79&gt;NDC!$C$63,EQ79&gt;NDC!$C$65,ER79&gt;NDC!$D$73,ES79&gt;NDC!$D$74,$B79&gt;NDC!$H$22-0.1+MIN(3*ET$12,1.5)),0,1)</f>
        <v>#N/A</v>
      </c>
      <c r="EU79" s="86" t="b">
        <f t="shared" si="161"/>
        <v>0</v>
      </c>
      <c r="EV79" s="86">
        <f t="shared" si="162"/>
        <v>0.61</v>
      </c>
      <c r="EW79" s="86">
        <f t="shared" si="163"/>
        <v>0.61</v>
      </c>
      <c r="EX79" s="30" t="e">
        <f t="shared" ref="EX79:EX142" ca="1" si="196">AVERAGE(OFFSET($F79, -10*EW79, 0,10*EW79, 1), OFFSET($F79, 1, 0, 30*EV79, 1))</f>
        <v>#DIV/0!</v>
      </c>
      <c r="EY79" s="85" t="e">
        <f ca="1">IF(EE79&lt;=Hypothèses!$V$7,Hypothèses!$W$7,IF(EE79&lt;=Hypothèses!$V$8,Hypothèses!$W$8,IF(EE79&lt;=Hypothèses!$V$9,Hypothèses!$W$9,IF(EE79&lt;=Hypothèses!$V$10,Hypothèses!$W$10,IF(EE79&lt;=Hypothèses!$V$11,Hypothèses!$W$11,IF(EE79&lt;=Hypothèses!$V$12,Hypothèses!$W$12,IF(EE79&lt;=Hypothèses!$V$13,Hypothèses!$W$13,IF(EE79&lt;=Hypothèses!$V$14,Hypothèses!$W$14,IF(EE79&lt;=Hypothèses!$V$15,Hypothèses!$W$15,IF(EE79&lt;=Hypothèses!$V$16,Hypothèses!$W$16,IF(EE79&lt;=Hypothèses!$V$17,Hypothèses!$W$17,IF(EE79&lt;=Hypothèses!$V$18,Hypothèses!$W$18,""))))))))))))</f>
        <v>#DIV/0!</v>
      </c>
      <c r="EZ79" s="87" t="e">
        <f t="shared" ca="1" si="123"/>
        <v>#DIV/0!</v>
      </c>
      <c r="FA79" s="88" t="e">
        <f ca="1">IF(EE79&lt;=Hypothèses!$V$7,Hypothèses!$X$7,IF(EE79&lt;=Hypothèses!$V$8,Hypothèses!$X$8,IF(EE79&lt;=Hypothèses!$V$9,Hypothèses!$X$9,IF(EE79&lt;=Hypothèses!$V$10,Hypothèses!$X$10,IF(EE79&lt;=Hypothèses!$V$11,Hypothèses!$X$11,IF(EE79&lt;=Hypothèses!$V$12,Hypothèses!$X$12,IF(EE79&lt;=Hypothèses!$V$13,Hypothèses!$X$13,IF(EE79&lt;=Hypothèses!$V$14,Hypothèses!$X$14,IF(EE79&lt;=Hypothèses!$V$15,Hypothèses!$X$15,IF(EE79&lt;=Hypothèses!$V$16,Hypothèses!$X$16,IF(EE79&lt;=Hypothèses!$U$17,Hypothèses!$W$17,IF(EE79&lt;=Hypothèses!$U$18,Hypothèses!$W$18,""))))))))))))</f>
        <v>#DIV/0!</v>
      </c>
      <c r="FB79" s="95" t="e">
        <f t="shared" ref="FB79:FB142" ca="1" si="197">IF($B79&lt;10*$FL$12,0.1/EZ79*SUM(OFFSET(F79,-10*$B79+1,0,10*$B79,1)),0.1/EZ79*SUM(OFFSET(F79,-100*$FL$12+1,0,100*$FL$12,1)))</f>
        <v>#DIV/0!</v>
      </c>
      <c r="FC79" s="101">
        <f t="shared" si="130"/>
        <v>0</v>
      </c>
      <c r="FD79" s="91">
        <f t="shared" si="164"/>
        <v>0</v>
      </c>
      <c r="FE79" s="30" t="e">
        <f t="shared" si="114"/>
        <v>#N/A</v>
      </c>
      <c r="FF79" s="30" t="e">
        <f t="shared" si="115"/>
        <v>#N/A</v>
      </c>
      <c r="FG79" s="31" t="e">
        <f>IF(OR(Hypothèses!$B$4=17,Hypothèses!$B$4=18,Hypothèses!$B$4=19,Hypothèses!$B$4=20),
IF($D79="Pressio.",
IF(OR($E79=3,$E79=1,$E79=4),FF79,FE79),
IF($D79="Pénétro.",
IF(OR($E79=3,$E79=1,$E79=4),FF79,FE79))),IF($D79="Pressio.",
IF($E79=3,FF79,FE79),
IF($D79="Pénétro.",
IF($E79=4,FF79,FE79))))</f>
        <v>#N/A</v>
      </c>
      <c r="FH79" s="31">
        <v>0</v>
      </c>
      <c r="FI79" s="102" t="e">
        <f>IF(NDC!$H$10="Oui",(VLOOKUP($B$3,'Coeff EC7'!$T$39:$X$59,2,0)*FG79+VLOOKUP($B$3,'Coeff EC7'!$T$65:$X$85,2,0)*Model0.1T!FH79)/1.5,PI()*FE$12*$Q79*($B79-$B78)*0.15/10+FI78)</f>
        <v>#N/A</v>
      </c>
      <c r="FJ79" s="102" t="e">
        <f>(VLOOKUP($B$3,'Coeff EC7'!$T$39:$X$59,3,0)*FG79+VLOOKUP($B$3,'Coeff EC7'!$T$65:$X$85,3,0)*Model0.1T!FH79)/1.1</f>
        <v>#N/A</v>
      </c>
      <c r="FK79" s="102" t="e">
        <f t="shared" ref="FK79:FK142" si="198">FG79/1.15+FH79/1.15</f>
        <v>#N/A</v>
      </c>
      <c r="FL79" s="102" t="e">
        <f t="shared" ref="FL79:FL142" si="199">(FG79+FH79)/1.05</f>
        <v>#N/A</v>
      </c>
      <c r="FM79" s="414" t="e">
        <f>IF(AND(FI79&gt;NDC!$C$63,FJ79&gt;NDC!$C$65,FK79&gt;NDC!$D$73,FL79&gt;NDC!$D$74,$B79&gt;NDC!$H$22-0.1+MIN(3*FM$12,1.5)),0,1)</f>
        <v>#N/A</v>
      </c>
    </row>
    <row r="80" spans="1:169">
      <c r="A80" s="96">
        <f t="shared" si="165"/>
        <v>93.300000000000381</v>
      </c>
      <c r="B80" s="97">
        <v>6.7</v>
      </c>
      <c r="C80" s="81">
        <f>IF(B80&lt;=Hypothèses!$C$7,Hypothèses!$A$7,IF(B80&lt;=Hypothèses!$C$8,Hypothèses!$A$8,IF(B80&lt;=Hypothèses!$C$9,Hypothèses!$A$9,IF(B80&lt;=Hypothèses!$C$10,Hypothèses!$A$10,IF(B80&lt;=Hypothèses!$C$11,Hypothèses!$A$11,IF(B80&lt;=Hypothèses!$C$12,Hypothèses!$A$12,IF(B80&lt;=Hypothèses!$C$13,Hypothèses!$A$13,IF(B80&lt;=Hypothèses!$C$14,Hypothèses!$A$14,IF(B80&lt;=Hypothèses!$C$15,Hypothèses!$A$15,IF(B80&lt;=Hypothèses!$C$16,Hypothèses!$A$16,IF(B80&lt;=Hypothèses!$C$17,Hypothèses!$A$17,IF(B80&lt;=Hypothèses!$C$18,Hypothèses!$A$18,C79))))))))))))</f>
        <v>11</v>
      </c>
      <c r="D80" s="82" t="str">
        <f>IF(B80&lt;=Hypothèses!$C$7,Hypothèses!$R$7,IF(B80&lt;=Hypothèses!$C$8,Hypothèses!$R$8,IF(B80&lt;=Hypothèses!$C$9,Hypothèses!$R$9,IF(B80&lt;=Hypothèses!$C$10,Hypothèses!$R$10,IF(B80&lt;=Hypothèses!$C$11,Hypothèses!$R$11,IF(B80&lt;=Hypothèses!$C$12,Hypothèses!$R$12,IF(B80&lt;=Hypothèses!$C$13,Hypothèses!$R$13,IF(B80&lt;=Hypothèses!$C$14,Hypothèses!$R$14,IF(B80&lt;=Hypothèses!$C$15,Hypothèses!$R$15,IF(B80&lt;=Hypothèses!$C$16,Hypothèses!$R$16,IF(B80&lt;=Hypothèses!$C$17,Hypothèses!$R$17,IF(B80&lt;=Hypothèses!$C$18,Hypothèses!$R$18,D79))))))))))))</f>
        <v>Pressio.</v>
      </c>
      <c r="E80" s="82" t="e">
        <f>IF(B80&lt;=Hypothèses!$C$7,Hypothèses!$G$7,IF(B80&lt;=Hypothèses!$C$8,Hypothèses!$G$8,IF(B80&lt;=Hypothèses!$C$9,Hypothèses!$G$9,IF(B80&lt;=Hypothèses!$C$10,Hypothèses!$G$10,IF(B80&lt;=Hypothèses!$C$11,Hypothèses!$G$11,IF(B80&lt;=Hypothèses!$C$12,Hypothèses!$G$12,IF(B80&lt;=Hypothèses!$C$13,Hypothèses!$G$13,IF(B80&lt;=Hypothèses!$C$14,Hypothèses!$G$14,IF(B80&lt;=Hypothèses!$C$15,Hypothèses!$G$15,IF(B80&lt;=Hypothèses!$C$16,Hypothèses!$G$16,IF(B80&lt;=Hypothèses!$C$17,Hypothèses!$G$17,IF(B80&lt;=Hypothèses!$C$18,Hypothèses!$G$18,E79))))))))))))</f>
        <v>#N/A</v>
      </c>
      <c r="F80" s="82" t="str">
        <f>IF(B80&lt;=Hypothèses!$C$7,Hypothèses!$F$7,IF(B80&lt;=Hypothèses!$C$8,Hypothèses!$F$8,IF(B80&lt;=Hypothèses!$C$9,Hypothèses!$F$9,IF(B80&lt;=Hypothèses!$C$10,Hypothèses!$F$10,IF(B80&lt;=Hypothèses!$C$11,Hypothèses!$F$11,IF(B80&lt;=Hypothèses!$C$12,Hypothèses!$F$12,IF(B80&lt;=Hypothèses!$C$13,Hypothèses!$F$13,IF(B80&lt;=Hypothèses!$C$14,Hypothèses!$F$14,IF(B80&lt;=Hypothèses!$C$15,Hypothèses!$F$15,IF(B80&lt;=Hypothèses!$C$16,Hypothèses!$F$16,IF(B80&lt;=Hypothèses!$C$17,Hypothèses!$F$17,IF(B80&lt;=Hypothèses!$C$18,Hypothèses!$F$18,F79))))))))))))</f>
        <v/>
      </c>
      <c r="G80" s="91">
        <f t="array" ref="G80">INDEX('Coeff EC7'!$U$7:$X$27,
MATCH(Model0.1T!$B$3,'Coeff EC7'!$T$7:$T$27,0),
MATCH(Model0.1T!$D80&amp;Model0.1T!$B$4,
'Coeff EC7'!$U$6:$X$6&amp;
'Coeff EC7'!$U$5:$X$5,0))</f>
        <v>1.4</v>
      </c>
      <c r="H80" s="91">
        <f t="array" ref="H80">INDEX('Coeff EC7'!$Y$7:$AB$27,
MATCH(Model0.1T!$B$3,'Coeff EC7'!$T$7:$T$27,0),
MATCH(Model0.1T!$D80&amp;Model0.1T!$B$4,
'Coeff EC7'!$Y$6:$AB$6&amp;
'Coeff EC7'!$Y$5:$AB$5,0))</f>
        <v>1.7</v>
      </c>
      <c r="I80" s="83">
        <v>0</v>
      </c>
      <c r="J80" s="91" t="e">
        <f t="array" ref="J80">INDEX('Coeff EC7'!$D$33:$Q$33,1,MATCH(D80&amp;E80,'Coeff EC7'!$D$31:$Q$31&amp;'Coeff EC7'!$D$32:$Q$32,0))</f>
        <v>#N/A</v>
      </c>
      <c r="K80" s="91" t="e">
        <f t="array" ref="K80">INDEX('Coeff EC7'!$D$34:$Q$34,1,MATCH(D80&amp;E80,'Coeff EC7'!$D$31:$Q$31&amp;'Coeff EC7'!$D$32:$Q$32,0))</f>
        <v>#N/A</v>
      </c>
      <c r="L80" s="91" t="e">
        <f t="array" ref="L80">INDEX('Coeff EC7'!$D$35:$Q$35,1,MATCH(D80&amp;E80,'Coeff EC7'!$D$31:$Q$31&amp;'Coeff EC7'!$D$32:$Q$32,0))</f>
        <v>#N/A</v>
      </c>
      <c r="M80" s="98" t="e">
        <f t="shared" si="131"/>
        <v>#N/A</v>
      </c>
      <c r="N80" s="99" t="e">
        <f t="array" ref="N80">INDEX('Coeff EC7'!$D$7:$Q$27,MATCH($B$3,'Coeff EC7'!$C$7:$C$27,0),MATCH(D80&amp;E80,'Coeff EC7'!$D$5:$Q$5&amp;'Coeff EC7'!$D$6:$Q$6,0))</f>
        <v>#N/A</v>
      </c>
      <c r="O80" s="99" t="e">
        <f t="array" ref="O80">INDEX('Coeff EC7'!$D$41:$Q$61,MATCH($B$3,'Coeff EC7'!$C$41:$C$61,0),MATCH(D80&amp;E80,'Coeff EC7'!$D$39:$Q$39&amp;'Coeff EC7'!$D$40:$Q$40,0))</f>
        <v>#N/A</v>
      </c>
      <c r="P80" s="30" t="e">
        <f t="shared" si="166"/>
        <v>#N/A</v>
      </c>
      <c r="Q80" s="100" t="e">
        <f t="shared" si="133"/>
        <v>#N/A</v>
      </c>
      <c r="R80" s="86" t="b">
        <f t="shared" si="134"/>
        <v>0</v>
      </c>
      <c r="S80" s="86">
        <f t="shared" si="132"/>
        <v>0.5</v>
      </c>
      <c r="T80" s="86">
        <f t="shared" si="135"/>
        <v>0.5</v>
      </c>
      <c r="U80" s="30" t="e">
        <f t="shared" ca="1" si="167"/>
        <v>#DIV/0!</v>
      </c>
      <c r="V80" s="85" t="str">
        <f>IF(B80&lt;=Hypothèses!$V$7,Hypothèses!$W$7,IF(B80&lt;=Hypothèses!$V$8,Hypothèses!$W$8,IF(B80&lt;=Hypothèses!$V$9,Hypothèses!$W$9,IF(B80&lt;=Hypothèses!$V$10,Hypothèses!$W$10,IF(B80&lt;=Hypothèses!$V$11,Hypothèses!$W$11,IF(B80&lt;=Hypothèses!$V$12,Hypothèses!$W$12,IF(B80&lt;=Hypothèses!$V$13,Hypothèses!$W$13,IF(B80&lt;=Hypothèses!$V$14,Hypothèses!$W$14,IF(B80&lt;=Hypothèses!$V$15,Hypothèses!$W$15,IF(B80&lt;=Hypothèses!$V$16,Hypothèses!$W$16,IF(B80&lt;=Hypothèses!$V$17,Hypothèses!$W$17,IF(B80&lt;=Hypothèses!$V$18,Hypothèses!$W$18,""))))))))))))</f>
        <v/>
      </c>
      <c r="W80" s="87" t="e">
        <f t="shared" ca="1" si="116"/>
        <v>#DIV/0!</v>
      </c>
      <c r="X80" s="88" t="str">
        <f>IF(B80&lt;=Hypothèses!$V$7,Hypothèses!$X$7,IF(B80&lt;=Hypothèses!$V$8,Hypothèses!$X$8,IF(B80&lt;=Hypothèses!$V$9,Hypothèses!$X$9,IF(B80&lt;=Hypothèses!$V$10,Hypothèses!$X$10,IF(B80&lt;=Hypothèses!$V$11,Hypothèses!$X$11,IF(B80&lt;=Hypothèses!$V$12,Hypothèses!$X$12,IF(B80&lt;=Hypothèses!$V$13,Hypothèses!$X$13,IF(B80&lt;=Hypothèses!$V$14,Hypothèses!$X$14,IF(B80&lt;=Hypothèses!$V$15,Hypothèses!$X$15,IF(B80&lt;=Hypothèses!$V$16,Hypothèses!$X$16,IF(B80&lt;=Hypothèses!$U$17,Hypothèses!$W$17,IF(B80&lt;=Hypothèses!$U$18,Hypothèses!$W$18,""))))))))))))</f>
        <v/>
      </c>
      <c r="Y80" s="95" t="e">
        <f t="shared" ca="1" si="136"/>
        <v>#DIV/0!</v>
      </c>
      <c r="Z80" s="101">
        <f t="shared" si="137"/>
        <v>0</v>
      </c>
      <c r="AA80" s="91">
        <f t="shared" si="138"/>
        <v>0</v>
      </c>
      <c r="AB80" s="30" t="e">
        <f t="shared" ref="AB80:AB143" si="200">PI()*AB$12*$Q80*($B80-$B79)/($G80*$B$5)/10+AD79</f>
        <v>#N/A</v>
      </c>
      <c r="AC80" s="30" t="e">
        <f t="shared" ref="AC80:AC143" si="201">(PI()*AC$12*$Q80*($B80-$B79))/($H80*$B$5)/10+AD79</f>
        <v>#N/A</v>
      </c>
      <c r="AD80" s="31" t="e">
        <f>IF(OR(Hypothèses!$B$4=17,Hypothèses!$B$4=18,Hypothèses!$B$4=19,Hypothèses!$B$4=20),
IF($D80="Pressio.",
IF(OR($E80=3,$E80=1,$E80=4),AC80,AB80),
IF($D80="Pénétro.",
IF(OR($E80=3,$E80=1,$E80=4),AC80,AB80))),IF($D80="Pressio.",
IF($E80=3,AC80,AB80),
IF($D80="Pénétro.",
IF($E80=4,AC80,AB80))))</f>
        <v>#N/A</v>
      </c>
      <c r="AE80" s="31">
        <v>0</v>
      </c>
      <c r="AF80" s="102" t="e">
        <f>IF(NDC!$H$10="Oui",(VLOOKUP($B$3,'Coeff EC7'!$T$39:$X$59,2,0)*AD80+VLOOKUP($B$3,'Coeff EC7'!$T$65:$X$85,2,0)*Model0.1T!AE80)/1.5,PI()*AB$12*$Q80*($B80-$B79)*0.15/10+AF79)</f>
        <v>#N/A</v>
      </c>
      <c r="AG80" s="102" t="e">
        <f>(VLOOKUP($B$3,'Coeff EC7'!$T$39:$X$59,3,0)*AD80+VLOOKUP($B$3,'Coeff EC7'!$T$65:$X$85,3,0)*Model0.1T!AE80)/1.1</f>
        <v>#N/A</v>
      </c>
      <c r="AH80" s="102" t="e">
        <f t="shared" si="168"/>
        <v>#N/A</v>
      </c>
      <c r="AI80" s="102" t="e">
        <f t="shared" si="169"/>
        <v>#N/A</v>
      </c>
      <c r="AJ80" s="414" t="e">
        <f>IF(AND(AF80&gt;NDC!$C$63,AG80&gt;NDC!$C$65,AH80&gt;NDC!$D$73,AI80&gt;NDC!$D$74,$B80&gt;NDC!$H$22-0.1+MIN(3*$AJ$12,1.5)),0,1)</f>
        <v>#N/A</v>
      </c>
      <c r="AK80" s="86" t="b">
        <f t="shared" si="139"/>
        <v>0</v>
      </c>
      <c r="AL80" s="86">
        <f t="shared" si="170"/>
        <v>0.5</v>
      </c>
      <c r="AM80" s="86">
        <f t="shared" si="140"/>
        <v>0.5</v>
      </c>
      <c r="AN80" s="30" t="e">
        <f t="shared" ca="1" si="171"/>
        <v>#DIV/0!</v>
      </c>
      <c r="AO80" s="85" t="e">
        <f ca="1">IF(U80&lt;=Hypothèses!$V$7,Hypothèses!$W$7,IF(U80&lt;=Hypothèses!$V$8,Hypothèses!$W$8,IF(U80&lt;=Hypothèses!$V$9,Hypothèses!$W$9,IF(U80&lt;=Hypothèses!$V$10,Hypothèses!$W$10,IF(U80&lt;=Hypothèses!$V$11,Hypothèses!$W$11,IF(U80&lt;=Hypothèses!$V$12,Hypothèses!$W$12,IF(U80&lt;=Hypothèses!$V$13,Hypothèses!$W$13,IF(U80&lt;=Hypothèses!$V$14,Hypothèses!$W$14,IF(U80&lt;=Hypothèses!$V$15,Hypothèses!$W$15,IF(U80&lt;=Hypothèses!$V$16,Hypothèses!$W$16,IF(U80&lt;=Hypothèses!$V$17,Hypothèses!$W$17,IF(U80&lt;=Hypothèses!$V$18,Hypothèses!$W$18,""))))))))))))</f>
        <v>#DIV/0!</v>
      </c>
      <c r="AP80" s="87" t="e">
        <f t="shared" ca="1" si="117"/>
        <v>#DIV/0!</v>
      </c>
      <c r="AQ80" s="88" t="e">
        <f ca="1">IF(U80&lt;=Hypothèses!$V$7,Hypothèses!$X$7,IF(U80&lt;=Hypothèses!$V$8,Hypothèses!$X$8,IF(U80&lt;=Hypothèses!$V$9,Hypothèses!$X$9,IF(U80&lt;=Hypothèses!$V$10,Hypothèses!$X$10,IF(U80&lt;=Hypothèses!$V$11,Hypothèses!$X$11,IF(U80&lt;=Hypothèses!$V$12,Hypothèses!$X$12,IF(U80&lt;=Hypothèses!$V$13,Hypothèses!$X$13,IF(U80&lt;=Hypothèses!$V$14,Hypothèses!$X$14,IF(U80&lt;=Hypothèses!$V$15,Hypothèses!$X$15,IF(U80&lt;=Hypothèses!$V$16,Hypothèses!$X$16,IF(U80&lt;=Hypothèses!$U$17,Hypothèses!$W$17,IF(U80&lt;=Hypothèses!$U$18,Hypothèses!$W$18,""))))))))))))</f>
        <v>#DIV/0!</v>
      </c>
      <c r="AR80" s="95" t="e">
        <f t="shared" ca="1" si="172"/>
        <v>#DIV/0!</v>
      </c>
      <c r="AS80" s="101">
        <f t="shared" si="124"/>
        <v>0</v>
      </c>
      <c r="AT80" s="91">
        <f t="shared" si="141"/>
        <v>0</v>
      </c>
      <c r="AU80" s="30" t="e">
        <f t="shared" ref="AU80:AU143" si="202">PI()*AU$12*$Q80*($B80-$B79)/($G80*$B$5)/10+AW79</f>
        <v>#N/A</v>
      </c>
      <c r="AV80" s="30" t="e">
        <f t="shared" ref="AV80:AV143" si="203">(PI()*AV$12*$Q80*($B80-$B79))/($H80*$B$5)/10+AW79</f>
        <v>#N/A</v>
      </c>
      <c r="AW80" s="31" t="e">
        <f>IF(OR(Hypothèses!$B$4=17,Hypothèses!$B$4=18,Hypothèses!$B$4=19,Hypothèses!$B$4=20),
IF($D80="Pressio.",
IF(OR($E80=3,$E80=1,$E80=4),AV80,AU80),
IF($D80="Pénétro.",
IF(OR($E80=3,$E80=1,$E80=4),AV80,AU80))),IF($D80="Pressio.",
IF($E80=3,AV80,AU80),
IF($D80="Pénétro.",
IF($E80=4,AV80,AU80))))</f>
        <v>#N/A</v>
      </c>
      <c r="AX80" s="31">
        <v>0</v>
      </c>
      <c r="AY80" s="102" t="e">
        <f>IF(NDC!$H$10="Oui",(VLOOKUP($B$3,'Coeff EC7'!$T$39:$X$59,2,0)*AW80+VLOOKUP($B$3,'Coeff EC7'!$T$65:$X$85,2,0)*Model0.1T!AX80)/1.5,PI()*AU$12*$Q80*($B80-$B79)*0.15/10+AY79)</f>
        <v>#N/A</v>
      </c>
      <c r="AZ80" s="102" t="e">
        <f>(VLOOKUP($B$3,'Coeff EC7'!$T$39:$X$59,3,0)*AW80+VLOOKUP($B$3,'Coeff EC7'!$T$65:$X$85,3,0)*Model0.1T!AX80)/1.1</f>
        <v>#N/A</v>
      </c>
      <c r="BA80" s="102" t="e">
        <f t="shared" si="173"/>
        <v>#N/A</v>
      </c>
      <c r="BB80" s="102" t="e">
        <f t="shared" si="174"/>
        <v>#N/A</v>
      </c>
      <c r="BC80" s="414" t="e">
        <f>IF(AND(AY80&gt;NDC!$C$63,AZ80&gt;NDC!$C$65,BA80&gt;NDC!$D$73,BB80&gt;NDC!$D$74,$B80&gt;NDC!$H$22-0.1+MIN(3*BC$12,1.5)),0,1)</f>
        <v>#N/A</v>
      </c>
      <c r="BD80" s="86" t="b">
        <f t="shared" si="142"/>
        <v>0</v>
      </c>
      <c r="BE80" s="86">
        <f t="shared" si="175"/>
        <v>0.5</v>
      </c>
      <c r="BF80" s="86">
        <f t="shared" si="143"/>
        <v>0.5</v>
      </c>
      <c r="BG80" s="30" t="e">
        <f t="shared" ca="1" si="176"/>
        <v>#DIV/0!</v>
      </c>
      <c r="BH80" s="85" t="e">
        <f ca="1">IF(AN80&lt;=Hypothèses!$V$7,Hypothèses!$W$7,IF(AN80&lt;=Hypothèses!$V$8,Hypothèses!$W$8,IF(AN80&lt;=Hypothèses!$V$9,Hypothèses!$W$9,IF(AN80&lt;=Hypothèses!$V$10,Hypothèses!$W$10,IF(AN80&lt;=Hypothèses!$V$11,Hypothèses!$W$11,IF(AN80&lt;=Hypothèses!$V$12,Hypothèses!$W$12,IF(AN80&lt;=Hypothèses!$V$13,Hypothèses!$W$13,IF(AN80&lt;=Hypothèses!$V$14,Hypothèses!$W$14,IF(AN80&lt;=Hypothèses!$V$15,Hypothèses!$W$15,IF(AN80&lt;=Hypothèses!$V$16,Hypothèses!$W$16,IF(AN80&lt;=Hypothèses!$V$17,Hypothèses!$W$17,IF(AN80&lt;=Hypothèses!$V$18,Hypothèses!$W$18,""))))))))))))</f>
        <v>#DIV/0!</v>
      </c>
      <c r="BI80" s="87" t="e">
        <f t="shared" ca="1" si="118"/>
        <v>#DIV/0!</v>
      </c>
      <c r="BJ80" s="88" t="e">
        <f ca="1">IF(AN80&lt;=Hypothèses!$V$7,Hypothèses!$X$7,IF(AN80&lt;=Hypothèses!$V$8,Hypothèses!$X$8,IF(AN80&lt;=Hypothèses!$V$9,Hypothèses!$X$9,IF(AN80&lt;=Hypothèses!$V$10,Hypothèses!$X$10,IF(AN80&lt;=Hypothèses!$V$11,Hypothèses!$X$11,IF(AN80&lt;=Hypothèses!$V$12,Hypothèses!$X$12,IF(AN80&lt;=Hypothèses!$V$13,Hypothèses!$X$13,IF(AN80&lt;=Hypothèses!$V$14,Hypothèses!$X$14,IF(AN80&lt;=Hypothèses!$V$15,Hypothèses!$X$15,IF(AN80&lt;=Hypothèses!$V$16,Hypothèses!$X$16,IF(AN80&lt;=Hypothèses!$U$17,Hypothèses!$W$17,IF(AN80&lt;=Hypothèses!$U$18,Hypothèses!$W$18,""))))))))))))</f>
        <v>#DIV/0!</v>
      </c>
      <c r="BK80" s="95" t="e">
        <f t="shared" ca="1" si="177"/>
        <v>#DIV/0!</v>
      </c>
      <c r="BL80" s="101">
        <f t="shared" si="125"/>
        <v>0</v>
      </c>
      <c r="BM80" s="91">
        <f t="shared" si="144"/>
        <v>0</v>
      </c>
      <c r="BN80" s="30" t="e">
        <f t="shared" ref="BN80:BN143" si="204">PI()*BN$12*$Q80*($B80-$B79)/($G80*$B$5)/10+BP79</f>
        <v>#N/A</v>
      </c>
      <c r="BO80" s="30" t="e">
        <f t="shared" ref="BO80:BO143" si="205">(PI()*BO$12*$Q80*($B80-$B79))/($H80*$B$5)/10+BP79</f>
        <v>#N/A</v>
      </c>
      <c r="BP80" s="31" t="e">
        <f>IF(OR(Hypothèses!$B$4=17,Hypothèses!$B$4=18,Hypothèses!$B$4=19,Hypothèses!$B$4=20),
IF($D80="Pressio.",
IF(OR($E80=3,$E80=1,$E80=4),BO80,BN80),
IF($D80="Pénétro.",
IF(OR($E80=3,$E80=1,$E80=4),BO80,BN80))),IF($D80="Pressio.",
IF($E80=3,BO80,BN80),
IF($D80="Pénétro.",
IF($E80=4,BO80,BN80))))</f>
        <v>#N/A</v>
      </c>
      <c r="BQ80" s="31">
        <v>0</v>
      </c>
      <c r="BR80" s="102" t="e">
        <f>IF(NDC!$H$10="Oui",(VLOOKUP($B$3,'Coeff EC7'!$T$39:$X$59,2,0)*BP80+VLOOKUP($B$3,'Coeff EC7'!$T$65:$X$85,2,0)*Model0.1T!BQ80)/1.5,PI()*BN$12*$Q80*($B80-$B79)*0.15/10+BR79)</f>
        <v>#N/A</v>
      </c>
      <c r="BS80" s="102" t="e">
        <f>(VLOOKUP($B$3,'Coeff EC7'!$T$39:$X$59,3,0)*BP80+VLOOKUP($B$3,'Coeff EC7'!$T$65:$X$85,3,0)*Model0.1T!BQ80)/1.1</f>
        <v>#N/A</v>
      </c>
      <c r="BT80" s="102" t="e">
        <f t="shared" si="178"/>
        <v>#N/A</v>
      </c>
      <c r="BU80" s="102" t="e">
        <f t="shared" si="179"/>
        <v>#N/A</v>
      </c>
      <c r="BV80" s="414" t="e">
        <f>IF(AND(BR80&gt;NDC!$C$63,BS80&gt;NDC!$C$65,BT80&gt;NDC!$D$73,BU80&gt;NDC!$D$74,$B80&gt;NDC!$H$22-0.1+MIN(3*BV$12,1.5)),0,1)</f>
        <v>#N/A</v>
      </c>
      <c r="BW80" s="86" t="b">
        <f t="shared" si="145"/>
        <v>0</v>
      </c>
      <c r="BX80" s="86">
        <f t="shared" si="146"/>
        <v>0.5</v>
      </c>
      <c r="BY80" s="86">
        <f t="shared" si="147"/>
        <v>0.5</v>
      </c>
      <c r="BZ80" s="30" t="e">
        <f t="shared" ca="1" si="180"/>
        <v>#DIV/0!</v>
      </c>
      <c r="CA80" s="85" t="e">
        <f ca="1">IF(BG80&lt;=Hypothèses!$V$7,Hypothèses!$W$7,IF(BG80&lt;=Hypothèses!$V$8,Hypothèses!$W$8,IF(BG80&lt;=Hypothèses!$V$9,Hypothèses!$W$9,IF(BG80&lt;=Hypothèses!$V$10,Hypothèses!$W$10,IF(BG80&lt;=Hypothèses!$V$11,Hypothèses!$W$11,IF(BG80&lt;=Hypothèses!$V$12,Hypothèses!$W$12,IF(BG80&lt;=Hypothèses!$V$13,Hypothèses!$W$13,IF(BG80&lt;=Hypothèses!$V$14,Hypothèses!$W$14,IF(BG80&lt;=Hypothèses!$V$15,Hypothèses!$W$15,IF(BG80&lt;=Hypothèses!$V$16,Hypothèses!$W$16,IF(BG80&lt;=Hypothèses!$V$17,Hypothèses!$W$17,IF(BG80&lt;=Hypothèses!$V$18,Hypothèses!$W$18,""))))))))))))</f>
        <v>#DIV/0!</v>
      </c>
      <c r="CB80" s="87" t="e">
        <f t="shared" ca="1" si="119"/>
        <v>#DIV/0!</v>
      </c>
      <c r="CC80" s="88" t="e">
        <f ca="1">IF(BG80&lt;=Hypothèses!$V$7,Hypothèses!$X$7,IF(BG80&lt;=Hypothèses!$V$8,Hypothèses!$X$8,IF(BG80&lt;=Hypothèses!$V$9,Hypothèses!$X$9,IF(BG80&lt;=Hypothèses!$V$10,Hypothèses!$X$10,IF(BG80&lt;=Hypothèses!$V$11,Hypothèses!$X$11,IF(BG80&lt;=Hypothèses!$V$12,Hypothèses!$X$12,IF(BG80&lt;=Hypothèses!$V$13,Hypothèses!$X$13,IF(BG80&lt;=Hypothèses!$V$14,Hypothèses!$X$14,IF(BG80&lt;=Hypothèses!$V$15,Hypothèses!$X$15,IF(BG80&lt;=Hypothèses!$V$16,Hypothèses!$X$16,IF(BG80&lt;=Hypothèses!$U$17,Hypothèses!$W$17,IF(BG80&lt;=Hypothèses!$U$18,Hypothèses!$W$18,""))))))))))))</f>
        <v>#DIV/0!</v>
      </c>
      <c r="CD80" s="95" t="e">
        <f t="shared" ca="1" si="181"/>
        <v>#DIV/0!</v>
      </c>
      <c r="CE80" s="101">
        <f t="shared" si="126"/>
        <v>0</v>
      </c>
      <c r="CF80" s="91">
        <f t="shared" si="148"/>
        <v>0</v>
      </c>
      <c r="CG80" s="30" t="e">
        <f t="shared" ref="CG80:CG143" si="206">PI()*CG$12*$Q80*($B80-$B79)/($G80*$B$5)/10+CI79</f>
        <v>#N/A</v>
      </c>
      <c r="CH80" s="30" t="e">
        <f t="shared" ref="CH80:CH143" si="207">(PI()*CH$12*$Q80*($B80-$B79))/($H80*$B$5)/10+CI79</f>
        <v>#N/A</v>
      </c>
      <c r="CI80" s="31" t="e">
        <f>IF(OR(Hypothèses!$B$4=17,Hypothèses!$B$4=18,Hypothèses!$B$4=19,Hypothèses!$B$4=20),
IF($D80="Pressio.",
IF(OR($E80=3,$E80=1,$E80=4),CH80,CG80),
IF($D80="Pénétro.",
IF(OR($E80=3,$E80=1,$E80=4),CH80,CG80))),IF($D80="Pressio.",
IF($E80=3,CH80,CG80),
IF($D80="Pénétro.",
IF($E80=4,CH80,CG80))))</f>
        <v>#N/A</v>
      </c>
      <c r="CJ80" s="31">
        <v>0</v>
      </c>
      <c r="CK80" s="102" t="e">
        <f>IF(NDC!$H$10="Oui",(VLOOKUP($B$3,'Coeff EC7'!$T$39:$X$59,2,0)*CI80+VLOOKUP($B$3,'Coeff EC7'!$T$65:$X$85,2,0)*Model0.1T!CJ80)/1.5,PI()*CG$12*$Q80*($B80-$B79)*0.15/10+CK79)</f>
        <v>#N/A</v>
      </c>
      <c r="CL80" s="102" t="e">
        <f>(VLOOKUP($B$3,'Coeff EC7'!$T$39:$X$59,3,0)*CI80+VLOOKUP($B$3,'Coeff EC7'!$T$65:$X$85,3,0)*Model0.1T!CJ80)/1.1</f>
        <v>#N/A</v>
      </c>
      <c r="CM80" s="102" t="e">
        <f t="shared" si="182"/>
        <v>#N/A</v>
      </c>
      <c r="CN80" s="102" t="e">
        <f t="shared" si="183"/>
        <v>#N/A</v>
      </c>
      <c r="CO80" s="414" t="e">
        <f>IF(AND(CK80&gt;NDC!$C$63,CL80&gt;NDC!$C$65,CM80&gt;NDC!$D$73,CN80&gt;NDC!$D$74,$B80&gt;NDC!$H$22-0.1+MIN(3*CO$12,1.5)),0,1)</f>
        <v>#N/A</v>
      </c>
      <c r="CP80" s="86" t="b">
        <f t="shared" si="149"/>
        <v>0</v>
      </c>
      <c r="CQ80" s="86">
        <f t="shared" si="150"/>
        <v>0.5</v>
      </c>
      <c r="CR80" s="86">
        <f t="shared" si="151"/>
        <v>0.5</v>
      </c>
      <c r="CS80" s="30" t="e">
        <f t="shared" ca="1" si="184"/>
        <v>#DIV/0!</v>
      </c>
      <c r="CT80" s="85" t="e">
        <f ca="1">IF(BZ80&lt;=Hypothèses!$V$7,Hypothèses!$W$7,IF(BZ80&lt;=Hypothèses!$V$8,Hypothèses!$W$8,IF(BZ80&lt;=Hypothèses!$V$9,Hypothèses!$W$9,IF(BZ80&lt;=Hypothèses!$V$10,Hypothèses!$W$10,IF(BZ80&lt;=Hypothèses!$V$11,Hypothèses!$W$11,IF(BZ80&lt;=Hypothèses!$V$12,Hypothèses!$W$12,IF(BZ80&lt;=Hypothèses!$V$13,Hypothèses!$W$13,IF(BZ80&lt;=Hypothèses!$V$14,Hypothèses!$W$14,IF(BZ80&lt;=Hypothèses!$V$15,Hypothèses!$W$15,IF(BZ80&lt;=Hypothèses!$V$16,Hypothèses!$W$16,IF(BZ80&lt;=Hypothèses!$V$17,Hypothèses!$W$17,IF(BZ80&lt;=Hypothèses!$V$18,Hypothèses!$W$18,""))))))))))))</f>
        <v>#DIV/0!</v>
      </c>
      <c r="CU80" s="87" t="e">
        <f t="shared" ca="1" si="120"/>
        <v>#DIV/0!</v>
      </c>
      <c r="CV80" s="88" t="e">
        <f ca="1">IF(BZ80&lt;=Hypothèses!$V$7,Hypothèses!$X$7,IF(BZ80&lt;=Hypothèses!$V$8,Hypothèses!$X$8,IF(BZ80&lt;=Hypothèses!$V$9,Hypothèses!$X$9,IF(BZ80&lt;=Hypothèses!$V$10,Hypothèses!$X$10,IF(BZ80&lt;=Hypothèses!$V$11,Hypothèses!$X$11,IF(BZ80&lt;=Hypothèses!$V$12,Hypothèses!$X$12,IF(BZ80&lt;=Hypothèses!$V$13,Hypothèses!$X$13,IF(BZ80&lt;=Hypothèses!$V$14,Hypothèses!$X$14,IF(BZ80&lt;=Hypothèses!$V$15,Hypothèses!$X$15,IF(BZ80&lt;=Hypothèses!$V$16,Hypothèses!$X$16,IF(BZ80&lt;=Hypothèses!$U$17,Hypothèses!$W$17,IF(BZ80&lt;=Hypothèses!$U$18,Hypothèses!$W$18,""))))))))))))</f>
        <v>#DIV/0!</v>
      </c>
      <c r="CW80" s="95" t="e">
        <f t="shared" ca="1" si="185"/>
        <v>#DIV/0!</v>
      </c>
      <c r="CX80" s="101">
        <f t="shared" si="127"/>
        <v>0</v>
      </c>
      <c r="CY80" s="91">
        <f t="shared" si="152"/>
        <v>0</v>
      </c>
      <c r="CZ80" s="30" t="e">
        <f t="shared" ref="CZ80:CZ143" si="208">PI()*CZ$12*$Q80*($B80-$B79)/($G80*$B$5)/10+DB79</f>
        <v>#N/A</v>
      </c>
      <c r="DA80" s="30" t="e">
        <f t="shared" ref="DA80:DA143" si="209">(PI()*DA$12*$Q80*($B80-$B79))/($H80*$B$5)/10+DB79</f>
        <v>#N/A</v>
      </c>
      <c r="DB80" s="31" t="e">
        <f>IF(OR(Hypothèses!$B$4=17,Hypothèses!$B$4=18,Hypothèses!$B$4=19,Hypothèses!$B$4=20),
IF($D80="Pressio.",
IF(OR($E80=3,$E80=1,$E80=4),DA80,CZ80),
IF($D80="Pénétro.",
IF(OR($E80=3,$E80=1,$E80=4),DA80,CZ80))),IF($D80="Pressio.",
IF($E80=3,DA80,CZ80),
IF($D80="Pénétro.",
IF($E80=4,DA80,CZ80))))</f>
        <v>#N/A</v>
      </c>
      <c r="DC80" s="31">
        <v>0</v>
      </c>
      <c r="DD80" s="102" t="e">
        <f>IF(NDC!$H$10="Oui",(VLOOKUP($B$3,'Coeff EC7'!$T$39:$X$59,2,0)*DB80+VLOOKUP($B$3,'Coeff EC7'!$T$65:$X$85,2,0)*Model0.1T!DC80)/1.5,PI()*CZ$12*$Q80*($B80-$B79)*0.15/10+DD79)</f>
        <v>#N/A</v>
      </c>
      <c r="DE80" s="102" t="e">
        <f>(VLOOKUP($B$3,'Coeff EC7'!$T$39:$X$59,3,0)*DB80+VLOOKUP($B$3,'Coeff EC7'!$T$65:$X$85,3,0)*Model0.1T!DC80)/1.1</f>
        <v>#N/A</v>
      </c>
      <c r="DF80" s="102" t="e">
        <f t="shared" si="186"/>
        <v>#N/A</v>
      </c>
      <c r="DG80" s="102" t="e">
        <f t="shared" si="187"/>
        <v>#N/A</v>
      </c>
      <c r="DH80" s="414" t="e">
        <f>IF(AND(DD80&gt;NDC!$C$63,DE80&gt;NDC!$C$65,DF80&gt;NDC!$D$73,DG80&gt;NDC!$D$74,$B80&gt;NDC!$H$22-0.1+MIN(3*DH$12,1.5)),0,1)</f>
        <v>#N/A</v>
      </c>
      <c r="DI80" s="86" t="b">
        <f t="shared" si="153"/>
        <v>0</v>
      </c>
      <c r="DJ80" s="86">
        <f t="shared" si="154"/>
        <v>0.5</v>
      </c>
      <c r="DK80" s="86">
        <f t="shared" si="155"/>
        <v>0.5</v>
      </c>
      <c r="DL80" s="30" t="e">
        <f t="shared" ca="1" si="188"/>
        <v>#DIV/0!</v>
      </c>
      <c r="DM80" s="85" t="e">
        <f ca="1">IF(CS80&lt;=Hypothèses!$V$7,Hypothèses!$W$7,IF(CS80&lt;=Hypothèses!$V$8,Hypothèses!$W$8,IF(CS80&lt;=Hypothèses!$V$9,Hypothèses!$W$9,IF(CS80&lt;=Hypothèses!$V$10,Hypothèses!$W$10,IF(CS80&lt;=Hypothèses!$V$11,Hypothèses!$W$11,IF(CS80&lt;=Hypothèses!$V$12,Hypothèses!$W$12,IF(CS80&lt;=Hypothèses!$V$13,Hypothèses!$W$13,IF(CS80&lt;=Hypothèses!$V$14,Hypothèses!$W$14,IF(CS80&lt;=Hypothèses!$V$15,Hypothèses!$W$15,IF(CS80&lt;=Hypothèses!$V$16,Hypothèses!$W$16,IF(CS80&lt;=Hypothèses!$V$17,Hypothèses!$W$17,IF(CS80&lt;=Hypothèses!$V$18,Hypothèses!$W$18,""))))))))))))</f>
        <v>#DIV/0!</v>
      </c>
      <c r="DN80" s="87" t="e">
        <f t="shared" ca="1" si="121"/>
        <v>#DIV/0!</v>
      </c>
      <c r="DO80" s="88" t="e">
        <f ca="1">IF(CS80&lt;=Hypothèses!$V$7,Hypothèses!$X$7,IF(CS80&lt;=Hypothèses!$V$8,Hypothèses!$X$8,IF(CS80&lt;=Hypothèses!$V$9,Hypothèses!$X$9,IF(CS80&lt;=Hypothèses!$V$10,Hypothèses!$X$10,IF(CS80&lt;=Hypothèses!$V$11,Hypothèses!$X$11,IF(CS80&lt;=Hypothèses!$V$12,Hypothèses!$X$12,IF(CS80&lt;=Hypothèses!$V$13,Hypothèses!$X$13,IF(CS80&lt;=Hypothèses!$V$14,Hypothèses!$X$14,IF(CS80&lt;=Hypothèses!$V$15,Hypothèses!$X$15,IF(CS80&lt;=Hypothèses!$V$16,Hypothèses!$X$16,IF(CS80&lt;=Hypothèses!$U$17,Hypothèses!$W$17,IF(CS80&lt;=Hypothèses!$U$18,Hypothèses!$W$18,""))))))))))))</f>
        <v>#DIV/0!</v>
      </c>
      <c r="DP80" s="95" t="e">
        <f t="shared" ca="1" si="189"/>
        <v>#DIV/0!</v>
      </c>
      <c r="DQ80" s="101">
        <f t="shared" si="128"/>
        <v>0</v>
      </c>
      <c r="DR80" s="91">
        <f t="shared" si="156"/>
        <v>0</v>
      </c>
      <c r="DS80" s="30" t="e">
        <f t="shared" ref="DS80:DS143" si="210">PI()*DS$12*$Q80*($B80-$B79)/($G80*$B$5)/10+DU79</f>
        <v>#N/A</v>
      </c>
      <c r="DT80" s="30" t="e">
        <f t="shared" ref="DT80:DT143" si="211">(PI()*DT$12*$Q80*($B80-$B79))/($H80*$B$5)/10+DU79</f>
        <v>#N/A</v>
      </c>
      <c r="DU80" s="31" t="e">
        <f>IF(OR(Hypothèses!$B$4=17,Hypothèses!$B$4=18,Hypothèses!$B$4=19,Hypothèses!$B$4=20),
IF($D80="Pressio.",
IF(OR($E80=3,$E80=1,$E80=4),DT80,DS80),
IF($D80="Pénétro.",
IF(OR($E80=3,$E80=1,$E80=4),DT80,DS80))),IF($D80="Pressio.",
IF($E80=3,DT80,DS80),
IF($D80="Pénétro.",
IF($E80=4,DT80,DS80))))</f>
        <v>#N/A</v>
      </c>
      <c r="DV80" s="31">
        <v>0</v>
      </c>
      <c r="DW80" s="102" t="e">
        <f>IF(NDC!$H$10="Oui",(VLOOKUP($B$3,'Coeff EC7'!$T$39:$X$59,2,0)*DU80+VLOOKUP($B$3,'Coeff EC7'!$T$65:$X$85,2,0)*Model0.1T!DV80)/1.5,PI()*DS$12*$Q80*($B80-$B79)*0.15/10+DW79)</f>
        <v>#N/A</v>
      </c>
      <c r="DX80" s="102" t="e">
        <f>(VLOOKUP($B$3,'Coeff EC7'!$T$39:$X$59,3,0)*DU80+VLOOKUP($B$3,'Coeff EC7'!$T$65:$X$85,3,0)*Model0.1T!DV80)/1.1</f>
        <v>#N/A</v>
      </c>
      <c r="DY80" s="102" t="e">
        <f t="shared" si="190"/>
        <v>#N/A</v>
      </c>
      <c r="DZ80" s="102" t="e">
        <f t="shared" si="191"/>
        <v>#N/A</v>
      </c>
      <c r="EA80" s="414" t="e">
        <f>IF(AND(DW80&gt;NDC!$C$63,DX80&gt;NDC!$C$65,DY80&gt;NDC!$D$73,DZ80&gt;NDC!$D$74,$B80&gt;NDC!$H$22-0.1+MIN(3*EA$12,1.5)),0,1)</f>
        <v>#N/A</v>
      </c>
      <c r="EB80" s="86" t="b">
        <f t="shared" si="157"/>
        <v>0</v>
      </c>
      <c r="EC80" s="418">
        <f t="shared" si="158"/>
        <v>0.51</v>
      </c>
      <c r="ED80" s="86">
        <f t="shared" si="159"/>
        <v>0.51</v>
      </c>
      <c r="EE80" s="30" t="e">
        <f t="shared" ca="1" si="192"/>
        <v>#DIV/0!</v>
      </c>
      <c r="EF80" s="85" t="e">
        <f ca="1">IF(DL80&lt;=Hypothèses!$V$7,Hypothèses!$W$7,IF(DL80&lt;=Hypothèses!$V$8,Hypothèses!$W$8,IF(DL80&lt;=Hypothèses!$V$9,Hypothèses!$W$9,IF(DL80&lt;=Hypothèses!$V$10,Hypothèses!$W$10,IF(DL80&lt;=Hypothèses!$V$11,Hypothèses!$W$11,IF(DL80&lt;=Hypothèses!$V$12,Hypothèses!$W$12,IF(DL80&lt;=Hypothèses!$V$13,Hypothèses!$W$13,IF(DL80&lt;=Hypothèses!$V$14,Hypothèses!$W$14,IF(DL80&lt;=Hypothèses!$V$15,Hypothèses!$W$15,IF(DL80&lt;=Hypothèses!$V$16,Hypothèses!$W$16,IF(DL80&lt;=Hypothèses!$V$17,Hypothèses!$W$17,IF(DL80&lt;=Hypothèses!$V$18,Hypothèses!$W$18,""))))))))))))</f>
        <v>#DIV/0!</v>
      </c>
      <c r="EG80" s="87" t="e">
        <f t="shared" ca="1" si="122"/>
        <v>#DIV/0!</v>
      </c>
      <c r="EH80" s="88" t="e">
        <f ca="1">IF(DL80&lt;=Hypothèses!$V$7,Hypothèses!$X$7,IF(DL80&lt;=Hypothèses!$V$8,Hypothèses!$X$8,IF(DL80&lt;=Hypothèses!$V$9,Hypothèses!$X$9,IF(DL80&lt;=Hypothèses!$V$10,Hypothèses!$X$10,IF(DL80&lt;=Hypothèses!$V$11,Hypothèses!$X$11,IF(DL80&lt;=Hypothèses!$V$12,Hypothèses!$X$12,IF(DL80&lt;=Hypothèses!$V$13,Hypothèses!$X$13,IF(DL80&lt;=Hypothèses!$V$14,Hypothèses!$X$14,IF(DL80&lt;=Hypothèses!$V$15,Hypothèses!$X$15,IF(DL80&lt;=Hypothèses!$V$16,Hypothèses!$X$16,IF(DL80&lt;=Hypothèses!$U$17,Hypothèses!$W$17,IF(DL80&lt;=Hypothèses!$U$18,Hypothèses!$W$18,""))))))))))))</f>
        <v>#DIV/0!</v>
      </c>
      <c r="EI80" s="95" t="e">
        <f t="shared" ca="1" si="193"/>
        <v>#DIV/0!</v>
      </c>
      <c r="EJ80" s="101">
        <f t="shared" si="129"/>
        <v>0</v>
      </c>
      <c r="EK80" s="91">
        <f t="shared" si="160"/>
        <v>0</v>
      </c>
      <c r="EL80" s="30" t="e">
        <f t="shared" ref="EL80:EL143" si="212">PI()*EL$12*$Q80*($B80-$B79)/($G80*$B$5)/10+EN79</f>
        <v>#N/A</v>
      </c>
      <c r="EM80" s="30" t="e">
        <f t="shared" ref="EM80:EM143" si="213">(PI()*EM$12*$Q80*($B80-$B79))/($H80*$B$5)/10+EN79</f>
        <v>#N/A</v>
      </c>
      <c r="EN80" s="31" t="e">
        <f>IF(OR(Hypothèses!$B$4=17,Hypothèses!$B$4=18,Hypothèses!$B$4=19,Hypothèses!$B$4=20),
IF($D80="Pressio.",
IF(OR($E80=3,$E80=1,$E80=4),EM80,EL80),
IF($D80="Pénétro.",
IF(OR($E80=3,$E80=1,$E80=4),EM80,EL80))),IF($D80="Pressio.",
IF($E80=3,EM80,EL80),
IF($D80="Pénétro.",
IF($E80=4,EM80,EL80))))</f>
        <v>#N/A</v>
      </c>
      <c r="EO80" s="31">
        <v>0</v>
      </c>
      <c r="EP80" s="102" t="e">
        <f>IF(NDC!$H$10="Oui",(VLOOKUP($B$3,'Coeff EC7'!$T$39:$X$59,2,0)*EN80+VLOOKUP($B$3,'Coeff EC7'!$T$65:$X$85,2,0)*Model0.1T!EO80)/1.5,PI()*EL$12*$Q80*($B80-$B79)*0.15/10+EP79)</f>
        <v>#N/A</v>
      </c>
      <c r="EQ80" s="102" t="e">
        <f>(VLOOKUP($B$3,'Coeff EC7'!$T$39:$X$59,3,0)*EN80+VLOOKUP($B$3,'Coeff EC7'!$T$65:$X$85,3,0)*Model0.1T!EO80)/1.1</f>
        <v>#N/A</v>
      </c>
      <c r="ER80" s="102" t="e">
        <f t="shared" si="194"/>
        <v>#N/A</v>
      </c>
      <c r="ES80" s="102" t="e">
        <f t="shared" si="195"/>
        <v>#N/A</v>
      </c>
      <c r="ET80" s="414" t="e">
        <f>IF(AND(EP80&gt;NDC!$C$63,EQ80&gt;NDC!$C$65,ER80&gt;NDC!$D$73,ES80&gt;NDC!$D$74,$B80&gt;NDC!$H$22-0.1+MIN(3*ET$12,1.5)),0,1)</f>
        <v>#N/A</v>
      </c>
      <c r="EU80" s="86" t="b">
        <f t="shared" si="161"/>
        <v>0</v>
      </c>
      <c r="EV80" s="86">
        <f t="shared" si="162"/>
        <v>0.61</v>
      </c>
      <c r="EW80" s="86">
        <f t="shared" si="163"/>
        <v>0.61</v>
      </c>
      <c r="EX80" s="30" t="e">
        <f t="shared" ca="1" si="196"/>
        <v>#DIV/0!</v>
      </c>
      <c r="EY80" s="85" t="e">
        <f ca="1">IF(EE80&lt;=Hypothèses!$V$7,Hypothèses!$W$7,IF(EE80&lt;=Hypothèses!$V$8,Hypothèses!$W$8,IF(EE80&lt;=Hypothèses!$V$9,Hypothèses!$W$9,IF(EE80&lt;=Hypothèses!$V$10,Hypothèses!$W$10,IF(EE80&lt;=Hypothèses!$V$11,Hypothèses!$W$11,IF(EE80&lt;=Hypothèses!$V$12,Hypothèses!$W$12,IF(EE80&lt;=Hypothèses!$V$13,Hypothèses!$W$13,IF(EE80&lt;=Hypothèses!$V$14,Hypothèses!$W$14,IF(EE80&lt;=Hypothèses!$V$15,Hypothèses!$W$15,IF(EE80&lt;=Hypothèses!$V$16,Hypothèses!$W$16,IF(EE80&lt;=Hypothèses!$V$17,Hypothèses!$W$17,IF(EE80&lt;=Hypothèses!$V$18,Hypothèses!$W$18,""))))))))))))</f>
        <v>#DIV/0!</v>
      </c>
      <c r="EZ80" s="87" t="e">
        <f t="shared" ca="1" si="123"/>
        <v>#DIV/0!</v>
      </c>
      <c r="FA80" s="88" t="e">
        <f ca="1">IF(EE80&lt;=Hypothèses!$V$7,Hypothèses!$X$7,IF(EE80&lt;=Hypothèses!$V$8,Hypothèses!$X$8,IF(EE80&lt;=Hypothèses!$V$9,Hypothèses!$X$9,IF(EE80&lt;=Hypothèses!$V$10,Hypothèses!$X$10,IF(EE80&lt;=Hypothèses!$V$11,Hypothèses!$X$11,IF(EE80&lt;=Hypothèses!$V$12,Hypothèses!$X$12,IF(EE80&lt;=Hypothèses!$V$13,Hypothèses!$X$13,IF(EE80&lt;=Hypothèses!$V$14,Hypothèses!$X$14,IF(EE80&lt;=Hypothèses!$V$15,Hypothèses!$X$15,IF(EE80&lt;=Hypothèses!$V$16,Hypothèses!$X$16,IF(EE80&lt;=Hypothèses!$U$17,Hypothèses!$W$17,IF(EE80&lt;=Hypothèses!$U$18,Hypothèses!$W$18,""))))))))))))</f>
        <v>#DIV/0!</v>
      </c>
      <c r="FB80" s="95" t="e">
        <f t="shared" ca="1" si="197"/>
        <v>#DIV/0!</v>
      </c>
      <c r="FC80" s="101">
        <f t="shared" si="130"/>
        <v>0</v>
      </c>
      <c r="FD80" s="91">
        <f t="shared" si="164"/>
        <v>0</v>
      </c>
      <c r="FE80" s="30" t="e">
        <f t="shared" ref="FE80:FE143" si="214">PI()*FE$12*$Q80*($B80-$B79)/($G80*$B$5)/10+FG79</f>
        <v>#N/A</v>
      </c>
      <c r="FF80" s="30" t="e">
        <f t="shared" ref="FF80:FF143" si="215">(PI()*FF$12*$Q80*($B80-$B79))/($H80*$B$5)/10+FG79</f>
        <v>#N/A</v>
      </c>
      <c r="FG80" s="31" t="e">
        <f>IF(OR(Hypothèses!$B$4=17,Hypothèses!$B$4=18,Hypothèses!$B$4=19,Hypothèses!$B$4=20),
IF($D80="Pressio.",
IF(OR($E80=3,$E80=1,$E80=4),FF80,FE80),
IF($D80="Pénétro.",
IF(OR($E80=3,$E80=1,$E80=4),FF80,FE80))),IF($D80="Pressio.",
IF($E80=3,FF80,FE80),
IF($D80="Pénétro.",
IF($E80=4,FF80,FE80))))</f>
        <v>#N/A</v>
      </c>
      <c r="FH80" s="31">
        <v>0</v>
      </c>
      <c r="FI80" s="102" t="e">
        <f>IF(NDC!$H$10="Oui",(VLOOKUP($B$3,'Coeff EC7'!$T$39:$X$59,2,0)*FG80+VLOOKUP($B$3,'Coeff EC7'!$T$65:$X$85,2,0)*Model0.1T!FH80)/1.5,PI()*FE$12*$Q80*($B80-$B79)*0.15/10+FI79)</f>
        <v>#N/A</v>
      </c>
      <c r="FJ80" s="102" t="e">
        <f>(VLOOKUP($B$3,'Coeff EC7'!$T$39:$X$59,3,0)*FG80+VLOOKUP($B$3,'Coeff EC7'!$T$65:$X$85,3,0)*Model0.1T!FH80)/1.1</f>
        <v>#N/A</v>
      </c>
      <c r="FK80" s="102" t="e">
        <f t="shared" si="198"/>
        <v>#N/A</v>
      </c>
      <c r="FL80" s="102" t="e">
        <f t="shared" si="199"/>
        <v>#N/A</v>
      </c>
      <c r="FM80" s="414" t="e">
        <f>IF(AND(FI80&gt;NDC!$C$63,FJ80&gt;NDC!$C$65,FK80&gt;NDC!$D$73,FL80&gt;NDC!$D$74,$B80&gt;NDC!$H$22-0.1+MIN(3*FM$12,1.5)),0,1)</f>
        <v>#N/A</v>
      </c>
    </row>
    <row r="81" spans="1:169">
      <c r="A81" s="96">
        <f t="shared" si="165"/>
        <v>93.200000000000387</v>
      </c>
      <c r="B81" s="97">
        <v>6.8</v>
      </c>
      <c r="C81" s="81">
        <f>IF(B81&lt;=Hypothèses!$C$7,Hypothèses!$A$7,IF(B81&lt;=Hypothèses!$C$8,Hypothèses!$A$8,IF(B81&lt;=Hypothèses!$C$9,Hypothèses!$A$9,IF(B81&lt;=Hypothèses!$C$10,Hypothèses!$A$10,IF(B81&lt;=Hypothèses!$C$11,Hypothèses!$A$11,IF(B81&lt;=Hypothèses!$C$12,Hypothèses!$A$12,IF(B81&lt;=Hypothèses!$C$13,Hypothèses!$A$13,IF(B81&lt;=Hypothèses!$C$14,Hypothèses!$A$14,IF(B81&lt;=Hypothèses!$C$15,Hypothèses!$A$15,IF(B81&lt;=Hypothèses!$C$16,Hypothèses!$A$16,IF(B81&lt;=Hypothèses!$C$17,Hypothèses!$A$17,IF(B81&lt;=Hypothèses!$C$18,Hypothèses!$A$18,C80))))))))))))</f>
        <v>11</v>
      </c>
      <c r="D81" s="82" t="str">
        <f>IF(B81&lt;=Hypothèses!$C$7,Hypothèses!$R$7,IF(B81&lt;=Hypothèses!$C$8,Hypothèses!$R$8,IF(B81&lt;=Hypothèses!$C$9,Hypothèses!$R$9,IF(B81&lt;=Hypothèses!$C$10,Hypothèses!$R$10,IF(B81&lt;=Hypothèses!$C$11,Hypothèses!$R$11,IF(B81&lt;=Hypothèses!$C$12,Hypothèses!$R$12,IF(B81&lt;=Hypothèses!$C$13,Hypothèses!$R$13,IF(B81&lt;=Hypothèses!$C$14,Hypothèses!$R$14,IF(B81&lt;=Hypothèses!$C$15,Hypothèses!$R$15,IF(B81&lt;=Hypothèses!$C$16,Hypothèses!$R$16,IF(B81&lt;=Hypothèses!$C$17,Hypothèses!$R$17,IF(B81&lt;=Hypothèses!$C$18,Hypothèses!$R$18,D80))))))))))))</f>
        <v>Pressio.</v>
      </c>
      <c r="E81" s="82" t="e">
        <f>IF(B81&lt;=Hypothèses!$C$7,Hypothèses!$G$7,IF(B81&lt;=Hypothèses!$C$8,Hypothèses!$G$8,IF(B81&lt;=Hypothèses!$C$9,Hypothèses!$G$9,IF(B81&lt;=Hypothèses!$C$10,Hypothèses!$G$10,IF(B81&lt;=Hypothèses!$C$11,Hypothèses!$G$11,IF(B81&lt;=Hypothèses!$C$12,Hypothèses!$G$12,IF(B81&lt;=Hypothèses!$C$13,Hypothèses!$G$13,IF(B81&lt;=Hypothèses!$C$14,Hypothèses!$G$14,IF(B81&lt;=Hypothèses!$C$15,Hypothèses!$G$15,IF(B81&lt;=Hypothèses!$C$16,Hypothèses!$G$16,IF(B81&lt;=Hypothèses!$C$17,Hypothèses!$G$17,IF(B81&lt;=Hypothèses!$C$18,Hypothèses!$G$18,E80))))))))))))</f>
        <v>#N/A</v>
      </c>
      <c r="F81" s="82" t="str">
        <f>IF(B81&lt;=Hypothèses!$C$7,Hypothèses!$F$7,IF(B81&lt;=Hypothèses!$C$8,Hypothèses!$F$8,IF(B81&lt;=Hypothèses!$C$9,Hypothèses!$F$9,IF(B81&lt;=Hypothèses!$C$10,Hypothèses!$F$10,IF(B81&lt;=Hypothèses!$C$11,Hypothèses!$F$11,IF(B81&lt;=Hypothèses!$C$12,Hypothèses!$F$12,IF(B81&lt;=Hypothèses!$C$13,Hypothèses!$F$13,IF(B81&lt;=Hypothèses!$C$14,Hypothèses!$F$14,IF(B81&lt;=Hypothèses!$C$15,Hypothèses!$F$15,IF(B81&lt;=Hypothèses!$C$16,Hypothèses!$F$16,IF(B81&lt;=Hypothèses!$C$17,Hypothèses!$F$17,IF(B81&lt;=Hypothèses!$C$18,Hypothèses!$F$18,F80))))))))))))</f>
        <v/>
      </c>
      <c r="G81" s="91">
        <f t="array" ref="G81">INDEX('Coeff EC7'!$U$7:$X$27,
MATCH(Model0.1T!$B$3,'Coeff EC7'!$T$7:$T$27,0),
MATCH(Model0.1T!$D81&amp;Model0.1T!$B$4,
'Coeff EC7'!$U$6:$X$6&amp;
'Coeff EC7'!$U$5:$X$5,0))</f>
        <v>1.4</v>
      </c>
      <c r="H81" s="91">
        <f t="array" ref="H81">INDEX('Coeff EC7'!$Y$7:$AB$27,
MATCH(Model0.1T!$B$3,'Coeff EC7'!$T$7:$T$27,0),
MATCH(Model0.1T!$D81&amp;Model0.1T!$B$4,
'Coeff EC7'!$Y$6:$AB$6&amp;
'Coeff EC7'!$Y$5:$AB$5,0))</f>
        <v>1.7</v>
      </c>
      <c r="I81" s="83">
        <v>0</v>
      </c>
      <c r="J81" s="91" t="e">
        <f t="array" ref="J81">INDEX('Coeff EC7'!$D$33:$Q$33,1,MATCH(D81&amp;E81,'Coeff EC7'!$D$31:$Q$31&amp;'Coeff EC7'!$D$32:$Q$32,0))</f>
        <v>#N/A</v>
      </c>
      <c r="K81" s="91" t="e">
        <f t="array" ref="K81">INDEX('Coeff EC7'!$D$34:$Q$34,1,MATCH(D81&amp;E81,'Coeff EC7'!$D$31:$Q$31&amp;'Coeff EC7'!$D$32:$Q$32,0))</f>
        <v>#N/A</v>
      </c>
      <c r="L81" s="91" t="e">
        <f t="array" ref="L81">INDEX('Coeff EC7'!$D$35:$Q$35,1,MATCH(D81&amp;E81,'Coeff EC7'!$D$31:$Q$31&amp;'Coeff EC7'!$D$32:$Q$32,0))</f>
        <v>#N/A</v>
      </c>
      <c r="M81" s="98" t="e">
        <f t="shared" si="131"/>
        <v>#N/A</v>
      </c>
      <c r="N81" s="99" t="e">
        <f t="array" ref="N81">INDEX('Coeff EC7'!$D$7:$Q$27,MATCH($B$3,'Coeff EC7'!$C$7:$C$27,0),MATCH(D81&amp;E81,'Coeff EC7'!$D$5:$Q$5&amp;'Coeff EC7'!$D$6:$Q$6,0))</f>
        <v>#N/A</v>
      </c>
      <c r="O81" s="99" t="e">
        <f t="array" ref="O81">INDEX('Coeff EC7'!$D$41:$Q$61,MATCH($B$3,'Coeff EC7'!$C$41:$C$61,0),MATCH(D81&amp;E81,'Coeff EC7'!$D$39:$Q$39&amp;'Coeff EC7'!$D$40:$Q$40,0))</f>
        <v>#N/A</v>
      </c>
      <c r="P81" s="30" t="e">
        <f t="shared" si="166"/>
        <v>#N/A</v>
      </c>
      <c r="Q81" s="100" t="e">
        <f t="shared" si="133"/>
        <v>#N/A</v>
      </c>
      <c r="R81" s="86" t="b">
        <f t="shared" si="134"/>
        <v>0</v>
      </c>
      <c r="S81" s="86">
        <f t="shared" si="132"/>
        <v>0.5</v>
      </c>
      <c r="T81" s="86">
        <f t="shared" si="135"/>
        <v>0.5</v>
      </c>
      <c r="U81" s="30" t="e">
        <f t="shared" ca="1" si="167"/>
        <v>#DIV/0!</v>
      </c>
      <c r="V81" s="85" t="str">
        <f>IF(B81&lt;=Hypothèses!$V$7,Hypothèses!$W$7,IF(B81&lt;=Hypothèses!$V$8,Hypothèses!$W$8,IF(B81&lt;=Hypothèses!$V$9,Hypothèses!$W$9,IF(B81&lt;=Hypothèses!$V$10,Hypothèses!$W$10,IF(B81&lt;=Hypothèses!$V$11,Hypothèses!$W$11,IF(B81&lt;=Hypothèses!$V$12,Hypothèses!$W$12,IF(B81&lt;=Hypothèses!$V$13,Hypothèses!$W$13,IF(B81&lt;=Hypothèses!$V$14,Hypothèses!$W$14,IF(B81&lt;=Hypothèses!$V$15,Hypothèses!$W$15,IF(B81&lt;=Hypothèses!$V$16,Hypothèses!$W$16,IF(B81&lt;=Hypothèses!$V$17,Hypothèses!$W$17,IF(B81&lt;=Hypothèses!$V$18,Hypothèses!$W$18,""))))))))))))</f>
        <v/>
      </c>
      <c r="W81" s="87" t="e">
        <f t="shared" ref="W81:W144" ca="1" si="216">IF(V81&lt;&gt;"",V81,U81)</f>
        <v>#DIV/0!</v>
      </c>
      <c r="X81" s="88" t="str">
        <f>IF(B81&lt;=Hypothèses!$V$7,Hypothèses!$X$7,IF(B81&lt;=Hypothèses!$V$8,Hypothèses!$X$8,IF(B81&lt;=Hypothèses!$V$9,Hypothèses!$X$9,IF(B81&lt;=Hypothèses!$V$10,Hypothèses!$X$10,IF(B81&lt;=Hypothèses!$V$11,Hypothèses!$X$11,IF(B81&lt;=Hypothèses!$V$12,Hypothèses!$X$12,IF(B81&lt;=Hypothèses!$V$13,Hypothèses!$X$13,IF(B81&lt;=Hypothèses!$V$14,Hypothèses!$X$14,IF(B81&lt;=Hypothèses!$V$15,Hypothèses!$X$15,IF(B81&lt;=Hypothèses!$V$16,Hypothèses!$X$16,IF(B81&lt;=Hypothèses!$U$17,Hypothèses!$W$17,IF(B81&lt;=Hypothèses!$U$18,Hypothèses!$W$18,""))))))))))))</f>
        <v/>
      </c>
      <c r="Y81" s="95" t="e">
        <f t="shared" ca="1" si="136"/>
        <v>#DIV/0!</v>
      </c>
      <c r="Z81" s="101">
        <f t="shared" si="137"/>
        <v>0</v>
      </c>
      <c r="AA81" s="91">
        <f t="shared" si="138"/>
        <v>0</v>
      </c>
      <c r="AB81" s="30" t="e">
        <f t="shared" si="200"/>
        <v>#N/A</v>
      </c>
      <c r="AC81" s="30" t="e">
        <f t="shared" si="201"/>
        <v>#N/A</v>
      </c>
      <c r="AD81" s="31" t="e">
        <f>IF(OR(Hypothèses!$B$4=17,Hypothèses!$B$4=18,Hypothèses!$B$4=19,Hypothèses!$B$4=20),
IF($D81="Pressio.",
IF(OR($E81=3,$E81=1,$E81=4),AC81,AB81),
IF($D81="Pénétro.",
IF(OR($E81=3,$E81=1,$E81=4),AC81,AB81))),IF($D81="Pressio.",
IF($E81=3,AC81,AB81),
IF($D81="Pénétro.",
IF($E81=4,AC81,AB81))))</f>
        <v>#N/A</v>
      </c>
      <c r="AE81" s="31">
        <v>0</v>
      </c>
      <c r="AF81" s="102" t="e">
        <f>IF(NDC!$H$10="Oui",(VLOOKUP($B$3,'Coeff EC7'!$T$39:$X$59,2,0)*AD81+VLOOKUP($B$3,'Coeff EC7'!$T$65:$X$85,2,0)*Model0.1T!AE81)/1.5,PI()*AB$12*$Q81*($B81-$B80)*0.15/10+AF80)</f>
        <v>#N/A</v>
      </c>
      <c r="AG81" s="102" t="e">
        <f>(VLOOKUP($B$3,'Coeff EC7'!$T$39:$X$59,3,0)*AD81+VLOOKUP($B$3,'Coeff EC7'!$T$65:$X$85,3,0)*Model0.1T!AE81)/1.1</f>
        <v>#N/A</v>
      </c>
      <c r="AH81" s="102" t="e">
        <f t="shared" si="168"/>
        <v>#N/A</v>
      </c>
      <c r="AI81" s="102" t="e">
        <f t="shared" si="169"/>
        <v>#N/A</v>
      </c>
      <c r="AJ81" s="414" t="e">
        <f>IF(AND(AF81&gt;NDC!$C$63,AG81&gt;NDC!$C$65,AH81&gt;NDC!$D$73,AI81&gt;NDC!$D$74,$B81&gt;NDC!$H$22-0.1+MIN(3*$AJ$12,1.5)),0,1)</f>
        <v>#N/A</v>
      </c>
      <c r="AK81" s="86" t="b">
        <f t="shared" si="139"/>
        <v>0</v>
      </c>
      <c r="AL81" s="86">
        <f t="shared" si="170"/>
        <v>0.5</v>
      </c>
      <c r="AM81" s="86">
        <f t="shared" si="140"/>
        <v>0.5</v>
      </c>
      <c r="AN81" s="30" t="e">
        <f t="shared" ca="1" si="171"/>
        <v>#DIV/0!</v>
      </c>
      <c r="AO81" s="85" t="e">
        <f ca="1">IF(U81&lt;=Hypothèses!$V$7,Hypothèses!$W$7,IF(U81&lt;=Hypothèses!$V$8,Hypothèses!$W$8,IF(U81&lt;=Hypothèses!$V$9,Hypothèses!$W$9,IF(U81&lt;=Hypothèses!$V$10,Hypothèses!$W$10,IF(U81&lt;=Hypothèses!$V$11,Hypothèses!$W$11,IF(U81&lt;=Hypothèses!$V$12,Hypothèses!$W$12,IF(U81&lt;=Hypothèses!$V$13,Hypothèses!$W$13,IF(U81&lt;=Hypothèses!$V$14,Hypothèses!$W$14,IF(U81&lt;=Hypothèses!$V$15,Hypothèses!$W$15,IF(U81&lt;=Hypothèses!$V$16,Hypothèses!$W$16,IF(U81&lt;=Hypothèses!$V$17,Hypothèses!$W$17,IF(U81&lt;=Hypothèses!$V$18,Hypothèses!$W$18,""))))))))))))</f>
        <v>#DIV/0!</v>
      </c>
      <c r="AP81" s="87" t="e">
        <f t="shared" ref="AP81:AP144" ca="1" si="217">IF(AO81&lt;&gt;"",AO81,AN81)</f>
        <v>#DIV/0!</v>
      </c>
      <c r="AQ81" s="88" t="e">
        <f ca="1">IF(U81&lt;=Hypothèses!$V$7,Hypothèses!$X$7,IF(U81&lt;=Hypothèses!$V$8,Hypothèses!$X$8,IF(U81&lt;=Hypothèses!$V$9,Hypothèses!$X$9,IF(U81&lt;=Hypothèses!$V$10,Hypothèses!$X$10,IF(U81&lt;=Hypothèses!$V$11,Hypothèses!$X$11,IF(U81&lt;=Hypothèses!$V$12,Hypothèses!$X$12,IF(U81&lt;=Hypothèses!$V$13,Hypothèses!$X$13,IF(U81&lt;=Hypothèses!$V$14,Hypothèses!$X$14,IF(U81&lt;=Hypothèses!$V$15,Hypothèses!$X$15,IF(U81&lt;=Hypothèses!$V$16,Hypothèses!$X$16,IF(U81&lt;=Hypothèses!$U$17,Hypothèses!$W$17,IF(U81&lt;=Hypothèses!$U$18,Hypothèses!$W$18,""))))))))))))</f>
        <v>#DIV/0!</v>
      </c>
      <c r="AR81" s="95" t="e">
        <f t="shared" ca="1" si="172"/>
        <v>#DIV/0!</v>
      </c>
      <c r="AS81" s="101">
        <f t="shared" si="124"/>
        <v>0</v>
      </c>
      <c r="AT81" s="91">
        <f t="shared" si="141"/>
        <v>0</v>
      </c>
      <c r="AU81" s="30" t="e">
        <f t="shared" si="202"/>
        <v>#N/A</v>
      </c>
      <c r="AV81" s="30" t="e">
        <f t="shared" si="203"/>
        <v>#N/A</v>
      </c>
      <c r="AW81" s="31" t="e">
        <f>IF(OR(Hypothèses!$B$4=17,Hypothèses!$B$4=18,Hypothèses!$B$4=19,Hypothèses!$B$4=20),
IF($D81="Pressio.",
IF(OR($E81=3,$E81=1,$E81=4),AV81,AU81),
IF($D81="Pénétro.",
IF(OR($E81=3,$E81=1,$E81=4),AV81,AU81))),IF($D81="Pressio.",
IF($E81=3,AV81,AU81),
IF($D81="Pénétro.",
IF($E81=4,AV81,AU81))))</f>
        <v>#N/A</v>
      </c>
      <c r="AX81" s="31">
        <v>0</v>
      </c>
      <c r="AY81" s="102" t="e">
        <f>IF(NDC!$H$10="Oui",(VLOOKUP($B$3,'Coeff EC7'!$T$39:$X$59,2,0)*AW81+VLOOKUP($B$3,'Coeff EC7'!$T$65:$X$85,2,0)*Model0.1T!AX81)/1.5,PI()*AU$12*$Q81*($B81-$B80)*0.15/10+AY80)</f>
        <v>#N/A</v>
      </c>
      <c r="AZ81" s="102" t="e">
        <f>(VLOOKUP($B$3,'Coeff EC7'!$T$39:$X$59,3,0)*AW81+VLOOKUP($B$3,'Coeff EC7'!$T$65:$X$85,3,0)*Model0.1T!AX81)/1.1</f>
        <v>#N/A</v>
      </c>
      <c r="BA81" s="102" t="e">
        <f t="shared" si="173"/>
        <v>#N/A</v>
      </c>
      <c r="BB81" s="102" t="e">
        <f t="shared" si="174"/>
        <v>#N/A</v>
      </c>
      <c r="BC81" s="414" t="e">
        <f>IF(AND(AY81&gt;NDC!$C$63,AZ81&gt;NDC!$C$65,BA81&gt;NDC!$D$73,BB81&gt;NDC!$D$74,$B81&gt;NDC!$H$22-0.1+MIN(3*BC$12,1.5)),0,1)</f>
        <v>#N/A</v>
      </c>
      <c r="BD81" s="86" t="b">
        <f t="shared" si="142"/>
        <v>0</v>
      </c>
      <c r="BE81" s="86">
        <f t="shared" si="175"/>
        <v>0.5</v>
      </c>
      <c r="BF81" s="86">
        <f t="shared" si="143"/>
        <v>0.5</v>
      </c>
      <c r="BG81" s="30" t="e">
        <f t="shared" ca="1" si="176"/>
        <v>#DIV/0!</v>
      </c>
      <c r="BH81" s="85" t="e">
        <f ca="1">IF(AN81&lt;=Hypothèses!$V$7,Hypothèses!$W$7,IF(AN81&lt;=Hypothèses!$V$8,Hypothèses!$W$8,IF(AN81&lt;=Hypothèses!$V$9,Hypothèses!$W$9,IF(AN81&lt;=Hypothèses!$V$10,Hypothèses!$W$10,IF(AN81&lt;=Hypothèses!$V$11,Hypothèses!$W$11,IF(AN81&lt;=Hypothèses!$V$12,Hypothèses!$W$12,IF(AN81&lt;=Hypothèses!$V$13,Hypothèses!$W$13,IF(AN81&lt;=Hypothèses!$V$14,Hypothèses!$W$14,IF(AN81&lt;=Hypothèses!$V$15,Hypothèses!$W$15,IF(AN81&lt;=Hypothèses!$V$16,Hypothèses!$W$16,IF(AN81&lt;=Hypothèses!$V$17,Hypothèses!$W$17,IF(AN81&lt;=Hypothèses!$V$18,Hypothèses!$W$18,""))))))))))))</f>
        <v>#DIV/0!</v>
      </c>
      <c r="BI81" s="87" t="e">
        <f t="shared" ref="BI81:BI144" ca="1" si="218">IF(BH81&lt;&gt;"",BH81,BG81)</f>
        <v>#DIV/0!</v>
      </c>
      <c r="BJ81" s="88" t="e">
        <f ca="1">IF(AN81&lt;=Hypothèses!$V$7,Hypothèses!$X$7,IF(AN81&lt;=Hypothèses!$V$8,Hypothèses!$X$8,IF(AN81&lt;=Hypothèses!$V$9,Hypothèses!$X$9,IF(AN81&lt;=Hypothèses!$V$10,Hypothèses!$X$10,IF(AN81&lt;=Hypothèses!$V$11,Hypothèses!$X$11,IF(AN81&lt;=Hypothèses!$V$12,Hypothèses!$X$12,IF(AN81&lt;=Hypothèses!$V$13,Hypothèses!$X$13,IF(AN81&lt;=Hypothèses!$V$14,Hypothèses!$X$14,IF(AN81&lt;=Hypothèses!$V$15,Hypothèses!$X$15,IF(AN81&lt;=Hypothèses!$V$16,Hypothèses!$X$16,IF(AN81&lt;=Hypothèses!$U$17,Hypothèses!$W$17,IF(AN81&lt;=Hypothèses!$U$18,Hypothèses!$W$18,""))))))))))))</f>
        <v>#DIV/0!</v>
      </c>
      <c r="BK81" s="95" t="e">
        <f t="shared" ca="1" si="177"/>
        <v>#DIV/0!</v>
      </c>
      <c r="BL81" s="101">
        <f t="shared" si="125"/>
        <v>0</v>
      </c>
      <c r="BM81" s="91">
        <f t="shared" si="144"/>
        <v>0</v>
      </c>
      <c r="BN81" s="30" t="e">
        <f t="shared" si="204"/>
        <v>#N/A</v>
      </c>
      <c r="BO81" s="30" t="e">
        <f t="shared" si="205"/>
        <v>#N/A</v>
      </c>
      <c r="BP81" s="31" t="e">
        <f>IF(OR(Hypothèses!$B$4=17,Hypothèses!$B$4=18,Hypothèses!$B$4=19,Hypothèses!$B$4=20),
IF($D81="Pressio.",
IF(OR($E81=3,$E81=1,$E81=4),BO81,BN81),
IF($D81="Pénétro.",
IF(OR($E81=3,$E81=1,$E81=4),BO81,BN81))),IF($D81="Pressio.",
IF($E81=3,BO81,BN81),
IF($D81="Pénétro.",
IF($E81=4,BO81,BN81))))</f>
        <v>#N/A</v>
      </c>
      <c r="BQ81" s="31">
        <v>0</v>
      </c>
      <c r="BR81" s="102" t="e">
        <f>IF(NDC!$H$10="Oui",(VLOOKUP($B$3,'Coeff EC7'!$T$39:$X$59,2,0)*BP81+VLOOKUP($B$3,'Coeff EC7'!$T$65:$X$85,2,0)*Model0.1T!BQ81)/1.5,PI()*BN$12*$Q81*($B81-$B80)*0.15/10+BR80)</f>
        <v>#N/A</v>
      </c>
      <c r="BS81" s="102" t="e">
        <f>(VLOOKUP($B$3,'Coeff EC7'!$T$39:$X$59,3,0)*BP81+VLOOKUP($B$3,'Coeff EC7'!$T$65:$X$85,3,0)*Model0.1T!BQ81)/1.1</f>
        <v>#N/A</v>
      </c>
      <c r="BT81" s="102" t="e">
        <f t="shared" si="178"/>
        <v>#N/A</v>
      </c>
      <c r="BU81" s="102" t="e">
        <f t="shared" si="179"/>
        <v>#N/A</v>
      </c>
      <c r="BV81" s="414" t="e">
        <f>IF(AND(BR81&gt;NDC!$C$63,BS81&gt;NDC!$C$65,BT81&gt;NDC!$D$73,BU81&gt;NDC!$D$74,$B81&gt;NDC!$H$22-0.1+MIN(3*BV$12,1.5)),0,1)</f>
        <v>#N/A</v>
      </c>
      <c r="BW81" s="86" t="b">
        <f t="shared" si="145"/>
        <v>0</v>
      </c>
      <c r="BX81" s="86">
        <f t="shared" si="146"/>
        <v>0.5</v>
      </c>
      <c r="BY81" s="86">
        <f t="shared" si="147"/>
        <v>0.5</v>
      </c>
      <c r="BZ81" s="30" t="e">
        <f t="shared" ca="1" si="180"/>
        <v>#DIV/0!</v>
      </c>
      <c r="CA81" s="85" t="e">
        <f ca="1">IF(BG81&lt;=Hypothèses!$V$7,Hypothèses!$W$7,IF(BG81&lt;=Hypothèses!$V$8,Hypothèses!$W$8,IF(BG81&lt;=Hypothèses!$V$9,Hypothèses!$W$9,IF(BG81&lt;=Hypothèses!$V$10,Hypothèses!$W$10,IF(BG81&lt;=Hypothèses!$V$11,Hypothèses!$W$11,IF(BG81&lt;=Hypothèses!$V$12,Hypothèses!$W$12,IF(BG81&lt;=Hypothèses!$V$13,Hypothèses!$W$13,IF(BG81&lt;=Hypothèses!$V$14,Hypothèses!$W$14,IF(BG81&lt;=Hypothèses!$V$15,Hypothèses!$W$15,IF(BG81&lt;=Hypothèses!$V$16,Hypothèses!$W$16,IF(BG81&lt;=Hypothèses!$V$17,Hypothèses!$W$17,IF(BG81&lt;=Hypothèses!$V$18,Hypothèses!$W$18,""))))))))))))</f>
        <v>#DIV/0!</v>
      </c>
      <c r="CB81" s="87" t="e">
        <f t="shared" ref="CB81:CB144" ca="1" si="219">IF(CA81&lt;&gt;"",CA81,BZ81)</f>
        <v>#DIV/0!</v>
      </c>
      <c r="CC81" s="88" t="e">
        <f ca="1">IF(BG81&lt;=Hypothèses!$V$7,Hypothèses!$X$7,IF(BG81&lt;=Hypothèses!$V$8,Hypothèses!$X$8,IF(BG81&lt;=Hypothèses!$V$9,Hypothèses!$X$9,IF(BG81&lt;=Hypothèses!$V$10,Hypothèses!$X$10,IF(BG81&lt;=Hypothèses!$V$11,Hypothèses!$X$11,IF(BG81&lt;=Hypothèses!$V$12,Hypothèses!$X$12,IF(BG81&lt;=Hypothèses!$V$13,Hypothèses!$X$13,IF(BG81&lt;=Hypothèses!$V$14,Hypothèses!$X$14,IF(BG81&lt;=Hypothèses!$V$15,Hypothèses!$X$15,IF(BG81&lt;=Hypothèses!$V$16,Hypothèses!$X$16,IF(BG81&lt;=Hypothèses!$U$17,Hypothèses!$W$17,IF(BG81&lt;=Hypothèses!$U$18,Hypothèses!$W$18,""))))))))))))</f>
        <v>#DIV/0!</v>
      </c>
      <c r="CD81" s="95" t="e">
        <f t="shared" ca="1" si="181"/>
        <v>#DIV/0!</v>
      </c>
      <c r="CE81" s="101">
        <f t="shared" si="126"/>
        <v>0</v>
      </c>
      <c r="CF81" s="91">
        <f t="shared" si="148"/>
        <v>0</v>
      </c>
      <c r="CG81" s="30" t="e">
        <f t="shared" si="206"/>
        <v>#N/A</v>
      </c>
      <c r="CH81" s="30" t="e">
        <f t="shared" si="207"/>
        <v>#N/A</v>
      </c>
      <c r="CI81" s="31" t="e">
        <f>IF(OR(Hypothèses!$B$4=17,Hypothèses!$B$4=18,Hypothèses!$B$4=19,Hypothèses!$B$4=20),
IF($D81="Pressio.",
IF(OR($E81=3,$E81=1,$E81=4),CH81,CG81),
IF($D81="Pénétro.",
IF(OR($E81=3,$E81=1,$E81=4),CH81,CG81))),IF($D81="Pressio.",
IF($E81=3,CH81,CG81),
IF($D81="Pénétro.",
IF($E81=4,CH81,CG81))))</f>
        <v>#N/A</v>
      </c>
      <c r="CJ81" s="31">
        <v>0</v>
      </c>
      <c r="CK81" s="102" t="e">
        <f>IF(NDC!$H$10="Oui",(VLOOKUP($B$3,'Coeff EC7'!$T$39:$X$59,2,0)*CI81+VLOOKUP($B$3,'Coeff EC7'!$T$65:$X$85,2,0)*Model0.1T!CJ81)/1.5,PI()*CG$12*$Q81*($B81-$B80)*0.15/10+CK80)</f>
        <v>#N/A</v>
      </c>
      <c r="CL81" s="102" t="e">
        <f>(VLOOKUP($B$3,'Coeff EC7'!$T$39:$X$59,3,0)*CI81+VLOOKUP($B$3,'Coeff EC7'!$T$65:$X$85,3,0)*Model0.1T!CJ81)/1.1</f>
        <v>#N/A</v>
      </c>
      <c r="CM81" s="102" t="e">
        <f t="shared" si="182"/>
        <v>#N/A</v>
      </c>
      <c r="CN81" s="102" t="e">
        <f t="shared" si="183"/>
        <v>#N/A</v>
      </c>
      <c r="CO81" s="414" t="e">
        <f>IF(AND(CK81&gt;NDC!$C$63,CL81&gt;NDC!$C$65,CM81&gt;NDC!$D$73,CN81&gt;NDC!$D$74,$B81&gt;NDC!$H$22-0.1+MIN(3*CO$12,1.5)),0,1)</f>
        <v>#N/A</v>
      </c>
      <c r="CP81" s="86" t="b">
        <f t="shared" si="149"/>
        <v>0</v>
      </c>
      <c r="CQ81" s="86">
        <f t="shared" si="150"/>
        <v>0.5</v>
      </c>
      <c r="CR81" s="86">
        <f t="shared" si="151"/>
        <v>0.5</v>
      </c>
      <c r="CS81" s="30" t="e">
        <f t="shared" ca="1" si="184"/>
        <v>#DIV/0!</v>
      </c>
      <c r="CT81" s="85" t="e">
        <f ca="1">IF(BZ81&lt;=Hypothèses!$V$7,Hypothèses!$W$7,IF(BZ81&lt;=Hypothèses!$V$8,Hypothèses!$W$8,IF(BZ81&lt;=Hypothèses!$V$9,Hypothèses!$W$9,IF(BZ81&lt;=Hypothèses!$V$10,Hypothèses!$W$10,IF(BZ81&lt;=Hypothèses!$V$11,Hypothèses!$W$11,IF(BZ81&lt;=Hypothèses!$V$12,Hypothèses!$W$12,IF(BZ81&lt;=Hypothèses!$V$13,Hypothèses!$W$13,IF(BZ81&lt;=Hypothèses!$V$14,Hypothèses!$W$14,IF(BZ81&lt;=Hypothèses!$V$15,Hypothèses!$W$15,IF(BZ81&lt;=Hypothèses!$V$16,Hypothèses!$W$16,IF(BZ81&lt;=Hypothèses!$V$17,Hypothèses!$W$17,IF(BZ81&lt;=Hypothèses!$V$18,Hypothèses!$W$18,""))))))))))))</f>
        <v>#DIV/0!</v>
      </c>
      <c r="CU81" s="87" t="e">
        <f t="shared" ref="CU81:CU144" ca="1" si="220">IF(CT81&lt;&gt;"",CT81,CS81)</f>
        <v>#DIV/0!</v>
      </c>
      <c r="CV81" s="88" t="e">
        <f ca="1">IF(BZ81&lt;=Hypothèses!$V$7,Hypothèses!$X$7,IF(BZ81&lt;=Hypothèses!$V$8,Hypothèses!$X$8,IF(BZ81&lt;=Hypothèses!$V$9,Hypothèses!$X$9,IF(BZ81&lt;=Hypothèses!$V$10,Hypothèses!$X$10,IF(BZ81&lt;=Hypothèses!$V$11,Hypothèses!$X$11,IF(BZ81&lt;=Hypothèses!$V$12,Hypothèses!$X$12,IF(BZ81&lt;=Hypothèses!$V$13,Hypothèses!$X$13,IF(BZ81&lt;=Hypothèses!$V$14,Hypothèses!$X$14,IF(BZ81&lt;=Hypothèses!$V$15,Hypothèses!$X$15,IF(BZ81&lt;=Hypothèses!$V$16,Hypothèses!$X$16,IF(BZ81&lt;=Hypothèses!$U$17,Hypothèses!$W$17,IF(BZ81&lt;=Hypothèses!$U$18,Hypothèses!$W$18,""))))))))))))</f>
        <v>#DIV/0!</v>
      </c>
      <c r="CW81" s="95" t="e">
        <f t="shared" ca="1" si="185"/>
        <v>#DIV/0!</v>
      </c>
      <c r="CX81" s="101">
        <f t="shared" si="127"/>
        <v>0</v>
      </c>
      <c r="CY81" s="91">
        <f t="shared" si="152"/>
        <v>0</v>
      </c>
      <c r="CZ81" s="30" t="e">
        <f t="shared" si="208"/>
        <v>#N/A</v>
      </c>
      <c r="DA81" s="30" t="e">
        <f t="shared" si="209"/>
        <v>#N/A</v>
      </c>
      <c r="DB81" s="31" t="e">
        <f>IF(OR(Hypothèses!$B$4=17,Hypothèses!$B$4=18,Hypothèses!$B$4=19,Hypothèses!$B$4=20),
IF($D81="Pressio.",
IF(OR($E81=3,$E81=1,$E81=4),DA81,CZ81),
IF($D81="Pénétro.",
IF(OR($E81=3,$E81=1,$E81=4),DA81,CZ81))),IF($D81="Pressio.",
IF($E81=3,DA81,CZ81),
IF($D81="Pénétro.",
IF($E81=4,DA81,CZ81))))</f>
        <v>#N/A</v>
      </c>
      <c r="DC81" s="31">
        <v>0</v>
      </c>
      <c r="DD81" s="102" t="e">
        <f>IF(NDC!$H$10="Oui",(VLOOKUP($B$3,'Coeff EC7'!$T$39:$X$59,2,0)*DB81+VLOOKUP($B$3,'Coeff EC7'!$T$65:$X$85,2,0)*Model0.1T!DC81)/1.5,PI()*CZ$12*$Q81*($B81-$B80)*0.15/10+DD80)</f>
        <v>#N/A</v>
      </c>
      <c r="DE81" s="102" t="e">
        <f>(VLOOKUP($B$3,'Coeff EC7'!$T$39:$X$59,3,0)*DB81+VLOOKUP($B$3,'Coeff EC7'!$T$65:$X$85,3,0)*Model0.1T!DC81)/1.1</f>
        <v>#N/A</v>
      </c>
      <c r="DF81" s="102" t="e">
        <f t="shared" si="186"/>
        <v>#N/A</v>
      </c>
      <c r="DG81" s="102" t="e">
        <f t="shared" si="187"/>
        <v>#N/A</v>
      </c>
      <c r="DH81" s="414" t="e">
        <f>IF(AND(DD81&gt;NDC!$C$63,DE81&gt;NDC!$C$65,DF81&gt;NDC!$D$73,DG81&gt;NDC!$D$74,$B81&gt;NDC!$H$22-0.1+MIN(3*DH$12,1.5)),0,1)</f>
        <v>#N/A</v>
      </c>
      <c r="DI81" s="86" t="b">
        <f t="shared" si="153"/>
        <v>0</v>
      </c>
      <c r="DJ81" s="86">
        <f t="shared" si="154"/>
        <v>0.5</v>
      </c>
      <c r="DK81" s="86">
        <f t="shared" si="155"/>
        <v>0.5</v>
      </c>
      <c r="DL81" s="30" t="e">
        <f t="shared" ca="1" si="188"/>
        <v>#DIV/0!</v>
      </c>
      <c r="DM81" s="85" t="e">
        <f ca="1">IF(CS81&lt;=Hypothèses!$V$7,Hypothèses!$W$7,IF(CS81&lt;=Hypothèses!$V$8,Hypothèses!$W$8,IF(CS81&lt;=Hypothèses!$V$9,Hypothèses!$W$9,IF(CS81&lt;=Hypothèses!$V$10,Hypothèses!$W$10,IF(CS81&lt;=Hypothèses!$V$11,Hypothèses!$W$11,IF(CS81&lt;=Hypothèses!$V$12,Hypothèses!$W$12,IF(CS81&lt;=Hypothèses!$V$13,Hypothèses!$W$13,IF(CS81&lt;=Hypothèses!$V$14,Hypothèses!$W$14,IF(CS81&lt;=Hypothèses!$V$15,Hypothèses!$W$15,IF(CS81&lt;=Hypothèses!$V$16,Hypothèses!$W$16,IF(CS81&lt;=Hypothèses!$V$17,Hypothèses!$W$17,IF(CS81&lt;=Hypothèses!$V$18,Hypothèses!$W$18,""))))))))))))</f>
        <v>#DIV/0!</v>
      </c>
      <c r="DN81" s="87" t="e">
        <f t="shared" ref="DN81:DN144" ca="1" si="221">IF(DM81&lt;&gt;"",DM81,DL81)</f>
        <v>#DIV/0!</v>
      </c>
      <c r="DO81" s="88" t="e">
        <f ca="1">IF(CS81&lt;=Hypothèses!$V$7,Hypothèses!$X$7,IF(CS81&lt;=Hypothèses!$V$8,Hypothèses!$X$8,IF(CS81&lt;=Hypothèses!$V$9,Hypothèses!$X$9,IF(CS81&lt;=Hypothèses!$V$10,Hypothèses!$X$10,IF(CS81&lt;=Hypothèses!$V$11,Hypothèses!$X$11,IF(CS81&lt;=Hypothèses!$V$12,Hypothèses!$X$12,IF(CS81&lt;=Hypothèses!$V$13,Hypothèses!$X$13,IF(CS81&lt;=Hypothèses!$V$14,Hypothèses!$X$14,IF(CS81&lt;=Hypothèses!$V$15,Hypothèses!$X$15,IF(CS81&lt;=Hypothèses!$V$16,Hypothèses!$X$16,IF(CS81&lt;=Hypothèses!$U$17,Hypothèses!$W$17,IF(CS81&lt;=Hypothèses!$U$18,Hypothèses!$W$18,""))))))))))))</f>
        <v>#DIV/0!</v>
      </c>
      <c r="DP81" s="95" t="e">
        <f t="shared" ca="1" si="189"/>
        <v>#DIV/0!</v>
      </c>
      <c r="DQ81" s="101">
        <f t="shared" si="128"/>
        <v>0</v>
      </c>
      <c r="DR81" s="91">
        <f t="shared" si="156"/>
        <v>0</v>
      </c>
      <c r="DS81" s="30" t="e">
        <f t="shared" si="210"/>
        <v>#N/A</v>
      </c>
      <c r="DT81" s="30" t="e">
        <f t="shared" si="211"/>
        <v>#N/A</v>
      </c>
      <c r="DU81" s="31" t="e">
        <f>IF(OR(Hypothèses!$B$4=17,Hypothèses!$B$4=18,Hypothèses!$B$4=19,Hypothèses!$B$4=20),
IF($D81="Pressio.",
IF(OR($E81=3,$E81=1,$E81=4),DT81,DS81),
IF($D81="Pénétro.",
IF(OR($E81=3,$E81=1,$E81=4),DT81,DS81))),IF($D81="Pressio.",
IF($E81=3,DT81,DS81),
IF($D81="Pénétro.",
IF($E81=4,DT81,DS81))))</f>
        <v>#N/A</v>
      </c>
      <c r="DV81" s="31">
        <v>0</v>
      </c>
      <c r="DW81" s="102" t="e">
        <f>IF(NDC!$H$10="Oui",(VLOOKUP($B$3,'Coeff EC7'!$T$39:$X$59,2,0)*DU81+VLOOKUP($B$3,'Coeff EC7'!$T$65:$X$85,2,0)*Model0.1T!DV81)/1.5,PI()*DS$12*$Q81*($B81-$B80)*0.15/10+DW80)</f>
        <v>#N/A</v>
      </c>
      <c r="DX81" s="102" t="e">
        <f>(VLOOKUP($B$3,'Coeff EC7'!$T$39:$X$59,3,0)*DU81+VLOOKUP($B$3,'Coeff EC7'!$T$65:$X$85,3,0)*Model0.1T!DV81)/1.1</f>
        <v>#N/A</v>
      </c>
      <c r="DY81" s="102" t="e">
        <f t="shared" si="190"/>
        <v>#N/A</v>
      </c>
      <c r="DZ81" s="102" t="e">
        <f t="shared" si="191"/>
        <v>#N/A</v>
      </c>
      <c r="EA81" s="414" t="e">
        <f>IF(AND(DW81&gt;NDC!$C$63,DX81&gt;NDC!$C$65,DY81&gt;NDC!$D$73,DZ81&gt;NDC!$D$74,$B81&gt;NDC!$H$22-0.1+MIN(3*EA$12,1.5)),0,1)</f>
        <v>#N/A</v>
      </c>
      <c r="EB81" s="86" t="b">
        <f t="shared" si="157"/>
        <v>0</v>
      </c>
      <c r="EC81" s="418">
        <f t="shared" si="158"/>
        <v>0.51</v>
      </c>
      <c r="ED81" s="86">
        <f t="shared" si="159"/>
        <v>0.51</v>
      </c>
      <c r="EE81" s="30" t="e">
        <f t="shared" ca="1" si="192"/>
        <v>#DIV/0!</v>
      </c>
      <c r="EF81" s="85" t="e">
        <f ca="1">IF(DL81&lt;=Hypothèses!$V$7,Hypothèses!$W$7,IF(DL81&lt;=Hypothèses!$V$8,Hypothèses!$W$8,IF(DL81&lt;=Hypothèses!$V$9,Hypothèses!$W$9,IF(DL81&lt;=Hypothèses!$V$10,Hypothèses!$W$10,IF(DL81&lt;=Hypothèses!$V$11,Hypothèses!$W$11,IF(DL81&lt;=Hypothèses!$V$12,Hypothèses!$W$12,IF(DL81&lt;=Hypothèses!$V$13,Hypothèses!$W$13,IF(DL81&lt;=Hypothèses!$V$14,Hypothèses!$W$14,IF(DL81&lt;=Hypothèses!$V$15,Hypothèses!$W$15,IF(DL81&lt;=Hypothèses!$V$16,Hypothèses!$W$16,IF(DL81&lt;=Hypothèses!$V$17,Hypothèses!$W$17,IF(DL81&lt;=Hypothèses!$V$18,Hypothèses!$W$18,""))))))))))))</f>
        <v>#DIV/0!</v>
      </c>
      <c r="EG81" s="87" t="e">
        <f t="shared" ref="EG81:EG144" ca="1" si="222">IF(EF81&lt;&gt;"",EF81,EE81)</f>
        <v>#DIV/0!</v>
      </c>
      <c r="EH81" s="88" t="e">
        <f ca="1">IF(DL81&lt;=Hypothèses!$V$7,Hypothèses!$X$7,IF(DL81&lt;=Hypothèses!$V$8,Hypothèses!$X$8,IF(DL81&lt;=Hypothèses!$V$9,Hypothèses!$X$9,IF(DL81&lt;=Hypothèses!$V$10,Hypothèses!$X$10,IF(DL81&lt;=Hypothèses!$V$11,Hypothèses!$X$11,IF(DL81&lt;=Hypothèses!$V$12,Hypothèses!$X$12,IF(DL81&lt;=Hypothèses!$V$13,Hypothèses!$X$13,IF(DL81&lt;=Hypothèses!$V$14,Hypothèses!$X$14,IF(DL81&lt;=Hypothèses!$V$15,Hypothèses!$X$15,IF(DL81&lt;=Hypothèses!$V$16,Hypothèses!$X$16,IF(DL81&lt;=Hypothèses!$U$17,Hypothèses!$W$17,IF(DL81&lt;=Hypothèses!$U$18,Hypothèses!$W$18,""))))))))))))</f>
        <v>#DIV/0!</v>
      </c>
      <c r="EI81" s="95" t="e">
        <f t="shared" ca="1" si="193"/>
        <v>#DIV/0!</v>
      </c>
      <c r="EJ81" s="101">
        <f t="shared" si="129"/>
        <v>0</v>
      </c>
      <c r="EK81" s="91">
        <f t="shared" si="160"/>
        <v>0</v>
      </c>
      <c r="EL81" s="30" t="e">
        <f t="shared" si="212"/>
        <v>#N/A</v>
      </c>
      <c r="EM81" s="30" t="e">
        <f t="shared" si="213"/>
        <v>#N/A</v>
      </c>
      <c r="EN81" s="31" t="e">
        <f>IF(OR(Hypothèses!$B$4=17,Hypothèses!$B$4=18,Hypothèses!$B$4=19,Hypothèses!$B$4=20),
IF($D81="Pressio.",
IF(OR($E81=3,$E81=1,$E81=4),EM81,EL81),
IF($D81="Pénétro.",
IF(OR($E81=3,$E81=1,$E81=4),EM81,EL81))),IF($D81="Pressio.",
IF($E81=3,EM81,EL81),
IF($D81="Pénétro.",
IF($E81=4,EM81,EL81))))</f>
        <v>#N/A</v>
      </c>
      <c r="EO81" s="31">
        <v>0</v>
      </c>
      <c r="EP81" s="102" t="e">
        <f>IF(NDC!$H$10="Oui",(VLOOKUP($B$3,'Coeff EC7'!$T$39:$X$59,2,0)*EN81+VLOOKUP($B$3,'Coeff EC7'!$T$65:$X$85,2,0)*Model0.1T!EO81)/1.5,PI()*EL$12*$Q81*($B81-$B80)*0.15/10+EP80)</f>
        <v>#N/A</v>
      </c>
      <c r="EQ81" s="102" t="e">
        <f>(VLOOKUP($B$3,'Coeff EC7'!$T$39:$X$59,3,0)*EN81+VLOOKUP($B$3,'Coeff EC7'!$T$65:$X$85,3,0)*Model0.1T!EO81)/1.1</f>
        <v>#N/A</v>
      </c>
      <c r="ER81" s="102" t="e">
        <f t="shared" si="194"/>
        <v>#N/A</v>
      </c>
      <c r="ES81" s="102" t="e">
        <f t="shared" si="195"/>
        <v>#N/A</v>
      </c>
      <c r="ET81" s="414" t="e">
        <f>IF(AND(EP81&gt;NDC!$C$63,EQ81&gt;NDC!$C$65,ER81&gt;NDC!$D$73,ES81&gt;NDC!$D$74,$B81&gt;NDC!$H$22-0.1+MIN(3*ET$12,1.5)),0,1)</f>
        <v>#N/A</v>
      </c>
      <c r="EU81" s="86" t="b">
        <f t="shared" si="161"/>
        <v>0</v>
      </c>
      <c r="EV81" s="86">
        <f t="shared" si="162"/>
        <v>0.61</v>
      </c>
      <c r="EW81" s="86">
        <f t="shared" si="163"/>
        <v>0.61</v>
      </c>
      <c r="EX81" s="30" t="e">
        <f t="shared" ca="1" si="196"/>
        <v>#DIV/0!</v>
      </c>
      <c r="EY81" s="85" t="e">
        <f ca="1">IF(EE81&lt;=Hypothèses!$V$7,Hypothèses!$W$7,IF(EE81&lt;=Hypothèses!$V$8,Hypothèses!$W$8,IF(EE81&lt;=Hypothèses!$V$9,Hypothèses!$W$9,IF(EE81&lt;=Hypothèses!$V$10,Hypothèses!$W$10,IF(EE81&lt;=Hypothèses!$V$11,Hypothèses!$W$11,IF(EE81&lt;=Hypothèses!$V$12,Hypothèses!$W$12,IF(EE81&lt;=Hypothèses!$V$13,Hypothèses!$W$13,IF(EE81&lt;=Hypothèses!$V$14,Hypothèses!$W$14,IF(EE81&lt;=Hypothèses!$V$15,Hypothèses!$W$15,IF(EE81&lt;=Hypothèses!$V$16,Hypothèses!$W$16,IF(EE81&lt;=Hypothèses!$V$17,Hypothèses!$W$17,IF(EE81&lt;=Hypothèses!$V$18,Hypothèses!$W$18,""))))))))))))</f>
        <v>#DIV/0!</v>
      </c>
      <c r="EZ81" s="87" t="e">
        <f t="shared" ref="EZ81:EZ144" ca="1" si="223">IF(EY81&lt;&gt;"",EY81,EX81)</f>
        <v>#DIV/0!</v>
      </c>
      <c r="FA81" s="88" t="e">
        <f ca="1">IF(EE81&lt;=Hypothèses!$V$7,Hypothèses!$X$7,IF(EE81&lt;=Hypothèses!$V$8,Hypothèses!$X$8,IF(EE81&lt;=Hypothèses!$V$9,Hypothèses!$X$9,IF(EE81&lt;=Hypothèses!$V$10,Hypothèses!$X$10,IF(EE81&lt;=Hypothèses!$V$11,Hypothèses!$X$11,IF(EE81&lt;=Hypothèses!$V$12,Hypothèses!$X$12,IF(EE81&lt;=Hypothèses!$V$13,Hypothèses!$X$13,IF(EE81&lt;=Hypothèses!$V$14,Hypothèses!$X$14,IF(EE81&lt;=Hypothèses!$V$15,Hypothèses!$X$15,IF(EE81&lt;=Hypothèses!$V$16,Hypothèses!$X$16,IF(EE81&lt;=Hypothèses!$U$17,Hypothèses!$W$17,IF(EE81&lt;=Hypothèses!$U$18,Hypothèses!$W$18,""))))))))))))</f>
        <v>#DIV/0!</v>
      </c>
      <c r="FB81" s="95" t="e">
        <f t="shared" ca="1" si="197"/>
        <v>#DIV/0!</v>
      </c>
      <c r="FC81" s="101">
        <f t="shared" si="130"/>
        <v>0</v>
      </c>
      <c r="FD81" s="91">
        <f t="shared" si="164"/>
        <v>0</v>
      </c>
      <c r="FE81" s="30" t="e">
        <f t="shared" si="214"/>
        <v>#N/A</v>
      </c>
      <c r="FF81" s="30" t="e">
        <f t="shared" si="215"/>
        <v>#N/A</v>
      </c>
      <c r="FG81" s="31" t="e">
        <f>IF(OR(Hypothèses!$B$4=17,Hypothèses!$B$4=18,Hypothèses!$B$4=19,Hypothèses!$B$4=20),
IF($D81="Pressio.",
IF(OR($E81=3,$E81=1,$E81=4),FF81,FE81),
IF($D81="Pénétro.",
IF(OR($E81=3,$E81=1,$E81=4),FF81,FE81))),IF($D81="Pressio.",
IF($E81=3,FF81,FE81),
IF($D81="Pénétro.",
IF($E81=4,FF81,FE81))))</f>
        <v>#N/A</v>
      </c>
      <c r="FH81" s="31">
        <v>0</v>
      </c>
      <c r="FI81" s="102" t="e">
        <f>IF(NDC!$H$10="Oui",(VLOOKUP($B$3,'Coeff EC7'!$T$39:$X$59,2,0)*FG81+VLOOKUP($B$3,'Coeff EC7'!$T$65:$X$85,2,0)*Model0.1T!FH81)/1.5,PI()*FE$12*$Q81*($B81-$B80)*0.15/10+FI80)</f>
        <v>#N/A</v>
      </c>
      <c r="FJ81" s="102" t="e">
        <f>(VLOOKUP($B$3,'Coeff EC7'!$T$39:$X$59,3,0)*FG81+VLOOKUP($B$3,'Coeff EC7'!$T$65:$X$85,3,0)*Model0.1T!FH81)/1.1</f>
        <v>#N/A</v>
      </c>
      <c r="FK81" s="102" t="e">
        <f t="shared" si="198"/>
        <v>#N/A</v>
      </c>
      <c r="FL81" s="102" t="e">
        <f t="shared" si="199"/>
        <v>#N/A</v>
      </c>
      <c r="FM81" s="414" t="e">
        <f>IF(AND(FI81&gt;NDC!$C$63,FJ81&gt;NDC!$C$65,FK81&gt;NDC!$D$73,FL81&gt;NDC!$D$74,$B81&gt;NDC!$H$22-0.1+MIN(3*FM$12,1.5)),0,1)</f>
        <v>#N/A</v>
      </c>
    </row>
    <row r="82" spans="1:169">
      <c r="A82" s="96">
        <f t="shared" si="165"/>
        <v>93.100000000000392</v>
      </c>
      <c r="B82" s="97">
        <v>6.9</v>
      </c>
      <c r="C82" s="81">
        <f>IF(B82&lt;=Hypothèses!$C$7,Hypothèses!$A$7,IF(B82&lt;=Hypothèses!$C$8,Hypothèses!$A$8,IF(B82&lt;=Hypothèses!$C$9,Hypothèses!$A$9,IF(B82&lt;=Hypothèses!$C$10,Hypothèses!$A$10,IF(B82&lt;=Hypothèses!$C$11,Hypothèses!$A$11,IF(B82&lt;=Hypothèses!$C$12,Hypothèses!$A$12,IF(B82&lt;=Hypothèses!$C$13,Hypothèses!$A$13,IF(B82&lt;=Hypothèses!$C$14,Hypothèses!$A$14,IF(B82&lt;=Hypothèses!$C$15,Hypothèses!$A$15,IF(B82&lt;=Hypothèses!$C$16,Hypothèses!$A$16,IF(B82&lt;=Hypothèses!$C$17,Hypothèses!$A$17,IF(B82&lt;=Hypothèses!$C$18,Hypothèses!$A$18,C81))))))))))))</f>
        <v>11</v>
      </c>
      <c r="D82" s="82" t="str">
        <f>IF(B82&lt;=Hypothèses!$C$7,Hypothèses!$R$7,IF(B82&lt;=Hypothèses!$C$8,Hypothèses!$R$8,IF(B82&lt;=Hypothèses!$C$9,Hypothèses!$R$9,IF(B82&lt;=Hypothèses!$C$10,Hypothèses!$R$10,IF(B82&lt;=Hypothèses!$C$11,Hypothèses!$R$11,IF(B82&lt;=Hypothèses!$C$12,Hypothèses!$R$12,IF(B82&lt;=Hypothèses!$C$13,Hypothèses!$R$13,IF(B82&lt;=Hypothèses!$C$14,Hypothèses!$R$14,IF(B82&lt;=Hypothèses!$C$15,Hypothèses!$R$15,IF(B82&lt;=Hypothèses!$C$16,Hypothèses!$R$16,IF(B82&lt;=Hypothèses!$C$17,Hypothèses!$R$17,IF(B82&lt;=Hypothèses!$C$18,Hypothèses!$R$18,D81))))))))))))</f>
        <v>Pressio.</v>
      </c>
      <c r="E82" s="82" t="e">
        <f>IF(B82&lt;=Hypothèses!$C$7,Hypothèses!$G$7,IF(B82&lt;=Hypothèses!$C$8,Hypothèses!$G$8,IF(B82&lt;=Hypothèses!$C$9,Hypothèses!$G$9,IF(B82&lt;=Hypothèses!$C$10,Hypothèses!$G$10,IF(B82&lt;=Hypothèses!$C$11,Hypothèses!$G$11,IF(B82&lt;=Hypothèses!$C$12,Hypothèses!$G$12,IF(B82&lt;=Hypothèses!$C$13,Hypothèses!$G$13,IF(B82&lt;=Hypothèses!$C$14,Hypothèses!$G$14,IF(B82&lt;=Hypothèses!$C$15,Hypothèses!$G$15,IF(B82&lt;=Hypothèses!$C$16,Hypothèses!$G$16,IF(B82&lt;=Hypothèses!$C$17,Hypothèses!$G$17,IF(B82&lt;=Hypothèses!$C$18,Hypothèses!$G$18,E81))))))))))))</f>
        <v>#N/A</v>
      </c>
      <c r="F82" s="82" t="str">
        <f>IF(B82&lt;=Hypothèses!$C$7,Hypothèses!$F$7,IF(B82&lt;=Hypothèses!$C$8,Hypothèses!$F$8,IF(B82&lt;=Hypothèses!$C$9,Hypothèses!$F$9,IF(B82&lt;=Hypothèses!$C$10,Hypothèses!$F$10,IF(B82&lt;=Hypothèses!$C$11,Hypothèses!$F$11,IF(B82&lt;=Hypothèses!$C$12,Hypothèses!$F$12,IF(B82&lt;=Hypothèses!$C$13,Hypothèses!$F$13,IF(B82&lt;=Hypothèses!$C$14,Hypothèses!$F$14,IF(B82&lt;=Hypothèses!$C$15,Hypothèses!$F$15,IF(B82&lt;=Hypothèses!$C$16,Hypothèses!$F$16,IF(B82&lt;=Hypothèses!$C$17,Hypothèses!$F$17,IF(B82&lt;=Hypothèses!$C$18,Hypothèses!$F$18,F81))))))))))))</f>
        <v/>
      </c>
      <c r="G82" s="91">
        <f t="array" ref="G82">INDEX('Coeff EC7'!$U$7:$X$27,
MATCH(Model0.1T!$B$3,'Coeff EC7'!$T$7:$T$27,0),
MATCH(Model0.1T!$D82&amp;Model0.1T!$B$4,
'Coeff EC7'!$U$6:$X$6&amp;
'Coeff EC7'!$U$5:$X$5,0))</f>
        <v>1.4</v>
      </c>
      <c r="H82" s="91">
        <f t="array" ref="H82">INDEX('Coeff EC7'!$Y$7:$AB$27,
MATCH(Model0.1T!$B$3,'Coeff EC7'!$T$7:$T$27,0),
MATCH(Model0.1T!$D82&amp;Model0.1T!$B$4,
'Coeff EC7'!$Y$6:$AB$6&amp;
'Coeff EC7'!$Y$5:$AB$5,0))</f>
        <v>1.7</v>
      </c>
      <c r="I82" s="83">
        <v>0</v>
      </c>
      <c r="J82" s="91" t="e">
        <f t="array" ref="J82">INDEX('Coeff EC7'!$D$33:$Q$33,1,MATCH(D82&amp;E82,'Coeff EC7'!$D$31:$Q$31&amp;'Coeff EC7'!$D$32:$Q$32,0))</f>
        <v>#N/A</v>
      </c>
      <c r="K82" s="91" t="e">
        <f t="array" ref="K82">INDEX('Coeff EC7'!$D$34:$Q$34,1,MATCH(D82&amp;E82,'Coeff EC7'!$D$31:$Q$31&amp;'Coeff EC7'!$D$32:$Q$32,0))</f>
        <v>#N/A</v>
      </c>
      <c r="L82" s="91" t="e">
        <f t="array" ref="L82">INDEX('Coeff EC7'!$D$35:$Q$35,1,MATCH(D82&amp;E82,'Coeff EC7'!$D$31:$Q$31&amp;'Coeff EC7'!$D$32:$Q$32,0))</f>
        <v>#N/A</v>
      </c>
      <c r="M82" s="98" t="e">
        <f t="shared" si="131"/>
        <v>#N/A</v>
      </c>
      <c r="N82" s="99" t="e">
        <f t="array" ref="N82">INDEX('Coeff EC7'!$D$7:$Q$27,MATCH($B$3,'Coeff EC7'!$C$7:$C$27,0),MATCH(D82&amp;E82,'Coeff EC7'!$D$5:$Q$5&amp;'Coeff EC7'!$D$6:$Q$6,0))</f>
        <v>#N/A</v>
      </c>
      <c r="O82" s="99" t="e">
        <f t="array" ref="O82">INDEX('Coeff EC7'!$D$41:$Q$61,MATCH($B$3,'Coeff EC7'!$C$41:$C$61,0),MATCH(D82&amp;E82,'Coeff EC7'!$D$39:$Q$39&amp;'Coeff EC7'!$D$40:$Q$40,0))</f>
        <v>#N/A</v>
      </c>
      <c r="P82" s="30" t="e">
        <f t="shared" si="166"/>
        <v>#N/A</v>
      </c>
      <c r="Q82" s="100" t="e">
        <f t="shared" si="133"/>
        <v>#N/A</v>
      </c>
      <c r="R82" s="86" t="b">
        <f t="shared" si="134"/>
        <v>0</v>
      </c>
      <c r="S82" s="86">
        <f t="shared" si="132"/>
        <v>0.5</v>
      </c>
      <c r="T82" s="86">
        <f t="shared" si="135"/>
        <v>0.5</v>
      </c>
      <c r="U82" s="30" t="e">
        <f t="shared" ca="1" si="167"/>
        <v>#DIV/0!</v>
      </c>
      <c r="V82" s="85" t="str">
        <f>IF(B82&lt;=Hypothèses!$V$7,Hypothèses!$W$7,IF(B82&lt;=Hypothèses!$V$8,Hypothèses!$W$8,IF(B82&lt;=Hypothèses!$V$9,Hypothèses!$W$9,IF(B82&lt;=Hypothèses!$V$10,Hypothèses!$W$10,IF(B82&lt;=Hypothèses!$V$11,Hypothèses!$W$11,IF(B82&lt;=Hypothèses!$V$12,Hypothèses!$W$12,IF(B82&lt;=Hypothèses!$V$13,Hypothèses!$W$13,IF(B82&lt;=Hypothèses!$V$14,Hypothèses!$W$14,IF(B82&lt;=Hypothèses!$V$15,Hypothèses!$W$15,IF(B82&lt;=Hypothèses!$V$16,Hypothèses!$W$16,IF(B82&lt;=Hypothèses!$V$17,Hypothèses!$W$17,IF(B82&lt;=Hypothèses!$V$18,Hypothèses!$W$18,""))))))))))))</f>
        <v/>
      </c>
      <c r="W82" s="87" t="e">
        <f t="shared" ca="1" si="216"/>
        <v>#DIV/0!</v>
      </c>
      <c r="X82" s="88" t="str">
        <f>IF(B82&lt;=Hypothèses!$V$7,Hypothèses!$X$7,IF(B82&lt;=Hypothèses!$V$8,Hypothèses!$X$8,IF(B82&lt;=Hypothèses!$V$9,Hypothèses!$X$9,IF(B82&lt;=Hypothèses!$V$10,Hypothèses!$X$10,IF(B82&lt;=Hypothèses!$V$11,Hypothèses!$X$11,IF(B82&lt;=Hypothèses!$V$12,Hypothèses!$X$12,IF(B82&lt;=Hypothèses!$V$13,Hypothèses!$X$13,IF(B82&lt;=Hypothèses!$V$14,Hypothèses!$X$14,IF(B82&lt;=Hypothèses!$V$15,Hypothèses!$X$15,IF(B82&lt;=Hypothèses!$V$16,Hypothèses!$X$16,IF(B82&lt;=Hypothèses!$U$17,Hypothèses!$W$17,IF(B82&lt;=Hypothèses!$U$18,Hypothèses!$W$18,""))))))))))))</f>
        <v/>
      </c>
      <c r="Y82" s="95" t="e">
        <f t="shared" ca="1" si="136"/>
        <v>#DIV/0!</v>
      </c>
      <c r="Z82" s="101">
        <f t="shared" si="137"/>
        <v>0</v>
      </c>
      <c r="AA82" s="91">
        <f t="shared" si="138"/>
        <v>0</v>
      </c>
      <c r="AB82" s="30" t="e">
        <f t="shared" si="200"/>
        <v>#N/A</v>
      </c>
      <c r="AC82" s="30" t="e">
        <f t="shared" si="201"/>
        <v>#N/A</v>
      </c>
      <c r="AD82" s="31" t="e">
        <f>IF(OR(Hypothèses!$B$4=17,Hypothèses!$B$4=18,Hypothèses!$B$4=19,Hypothèses!$B$4=20),
IF($D82="Pressio.",
IF(OR($E82=3,$E82=1,$E82=4),AC82,AB82),
IF($D82="Pénétro.",
IF(OR($E82=3,$E82=1,$E82=4),AC82,AB82))),IF($D82="Pressio.",
IF($E82=3,AC82,AB82),
IF($D82="Pénétro.",
IF($E82=4,AC82,AB82))))</f>
        <v>#N/A</v>
      </c>
      <c r="AE82" s="31">
        <v>0</v>
      </c>
      <c r="AF82" s="102" t="e">
        <f>IF(NDC!$H$10="Oui",(VLOOKUP($B$3,'Coeff EC7'!$T$39:$X$59,2,0)*AD82+VLOOKUP($B$3,'Coeff EC7'!$T$65:$X$85,2,0)*Model0.1T!AE82)/1.5,PI()*AB$12*$Q82*($B82-$B81)*0.15/10+AF81)</f>
        <v>#N/A</v>
      </c>
      <c r="AG82" s="102" t="e">
        <f>(VLOOKUP($B$3,'Coeff EC7'!$T$39:$X$59,3,0)*AD82+VLOOKUP($B$3,'Coeff EC7'!$T$65:$X$85,3,0)*Model0.1T!AE82)/1.1</f>
        <v>#N/A</v>
      </c>
      <c r="AH82" s="102" t="e">
        <f t="shared" si="168"/>
        <v>#N/A</v>
      </c>
      <c r="AI82" s="102" t="e">
        <f t="shared" si="169"/>
        <v>#N/A</v>
      </c>
      <c r="AJ82" s="414" t="e">
        <f>IF(AND(AF82&gt;NDC!$C$63,AG82&gt;NDC!$C$65,AH82&gt;NDC!$D$73,AI82&gt;NDC!$D$74,$B82&gt;NDC!$H$22-0.1+MIN(3*$AJ$12,1.5)),0,1)</f>
        <v>#N/A</v>
      </c>
      <c r="AK82" s="86" t="b">
        <f t="shared" si="139"/>
        <v>0</v>
      </c>
      <c r="AL82" s="86">
        <f t="shared" si="170"/>
        <v>0.5</v>
      </c>
      <c r="AM82" s="86">
        <f t="shared" si="140"/>
        <v>0.5</v>
      </c>
      <c r="AN82" s="30" t="e">
        <f t="shared" ca="1" si="171"/>
        <v>#DIV/0!</v>
      </c>
      <c r="AO82" s="85" t="e">
        <f ca="1">IF(U82&lt;=Hypothèses!$V$7,Hypothèses!$W$7,IF(U82&lt;=Hypothèses!$V$8,Hypothèses!$W$8,IF(U82&lt;=Hypothèses!$V$9,Hypothèses!$W$9,IF(U82&lt;=Hypothèses!$V$10,Hypothèses!$W$10,IF(U82&lt;=Hypothèses!$V$11,Hypothèses!$W$11,IF(U82&lt;=Hypothèses!$V$12,Hypothèses!$W$12,IF(U82&lt;=Hypothèses!$V$13,Hypothèses!$W$13,IF(U82&lt;=Hypothèses!$V$14,Hypothèses!$W$14,IF(U82&lt;=Hypothèses!$V$15,Hypothèses!$W$15,IF(U82&lt;=Hypothèses!$V$16,Hypothèses!$W$16,IF(U82&lt;=Hypothèses!$V$17,Hypothèses!$W$17,IF(U82&lt;=Hypothèses!$V$18,Hypothèses!$W$18,""))))))))))))</f>
        <v>#DIV/0!</v>
      </c>
      <c r="AP82" s="87" t="e">
        <f t="shared" ca="1" si="217"/>
        <v>#DIV/0!</v>
      </c>
      <c r="AQ82" s="88" t="e">
        <f ca="1">IF(U82&lt;=Hypothèses!$V$7,Hypothèses!$X$7,IF(U82&lt;=Hypothèses!$V$8,Hypothèses!$X$8,IF(U82&lt;=Hypothèses!$V$9,Hypothèses!$X$9,IF(U82&lt;=Hypothèses!$V$10,Hypothèses!$X$10,IF(U82&lt;=Hypothèses!$V$11,Hypothèses!$X$11,IF(U82&lt;=Hypothèses!$V$12,Hypothèses!$X$12,IF(U82&lt;=Hypothèses!$V$13,Hypothèses!$X$13,IF(U82&lt;=Hypothèses!$V$14,Hypothèses!$X$14,IF(U82&lt;=Hypothèses!$V$15,Hypothèses!$X$15,IF(U82&lt;=Hypothèses!$V$16,Hypothèses!$X$16,IF(U82&lt;=Hypothèses!$U$17,Hypothèses!$W$17,IF(U82&lt;=Hypothèses!$U$18,Hypothèses!$W$18,""))))))))))))</f>
        <v>#DIV/0!</v>
      </c>
      <c r="AR82" s="95" t="e">
        <f t="shared" ca="1" si="172"/>
        <v>#DIV/0!</v>
      </c>
      <c r="AS82" s="101">
        <f t="shared" ref="AS82:AS145" si="224">IF($I82=0,0,
IF(AR82&gt;5*AW$12,$I82,
IF($D82="Pressio.",1+($I82-1)*(AR82/AW$12)/5,
IF($D82="Pénétro.",IF($E82=1,0.3+($I82-0.3)*(AR82/AW$12)/5,
IF($E82=2,0.2+($I82-0.2)*(AR82/AW$12)/5,
IF($E82=3,0.1+($I82-0.1)*(AR82/AW$12)/5,
0.15+($I82-0.15)*(AR82/AW$12)/5)))))))</f>
        <v>0</v>
      </c>
      <c r="AT82" s="91">
        <f t="shared" si="141"/>
        <v>0</v>
      </c>
      <c r="AU82" s="30" t="e">
        <f t="shared" si="202"/>
        <v>#N/A</v>
      </c>
      <c r="AV82" s="30" t="e">
        <f t="shared" si="203"/>
        <v>#N/A</v>
      </c>
      <c r="AW82" s="31" t="e">
        <f>IF(OR(Hypothèses!$B$4=17,Hypothèses!$B$4=18,Hypothèses!$B$4=19,Hypothèses!$B$4=20),
IF($D82="Pressio.",
IF(OR($E82=3,$E82=1,$E82=4),AV82,AU82),
IF($D82="Pénétro.",
IF(OR($E82=3,$E82=1,$E82=4),AV82,AU82))),IF($D82="Pressio.",
IF($E82=3,AV82,AU82),
IF($D82="Pénétro.",
IF($E82=4,AV82,AU82))))</f>
        <v>#N/A</v>
      </c>
      <c r="AX82" s="31">
        <v>0</v>
      </c>
      <c r="AY82" s="102" t="e">
        <f>IF(NDC!$H$10="Oui",(VLOOKUP($B$3,'Coeff EC7'!$T$39:$X$59,2,0)*AW82+VLOOKUP($B$3,'Coeff EC7'!$T$65:$X$85,2,0)*Model0.1T!AX82)/1.5,PI()*AU$12*$Q82*($B82-$B81)*0.15/10+AY81)</f>
        <v>#N/A</v>
      </c>
      <c r="AZ82" s="102" t="e">
        <f>(VLOOKUP($B$3,'Coeff EC7'!$T$39:$X$59,3,0)*AW82+VLOOKUP($B$3,'Coeff EC7'!$T$65:$X$85,3,0)*Model0.1T!AX82)/1.1</f>
        <v>#N/A</v>
      </c>
      <c r="BA82" s="102" t="e">
        <f t="shared" si="173"/>
        <v>#N/A</v>
      </c>
      <c r="BB82" s="102" t="e">
        <f t="shared" si="174"/>
        <v>#N/A</v>
      </c>
      <c r="BC82" s="414" t="e">
        <f>IF(AND(AY82&gt;NDC!$C$63,AZ82&gt;NDC!$C$65,BA82&gt;NDC!$D$73,BB82&gt;NDC!$D$74,$B82&gt;NDC!$H$22-0.1+MIN(3*BC$12,1.5)),0,1)</f>
        <v>#N/A</v>
      </c>
      <c r="BD82" s="86" t="b">
        <f t="shared" si="142"/>
        <v>0</v>
      </c>
      <c r="BE82" s="86">
        <f t="shared" si="175"/>
        <v>0.5</v>
      </c>
      <c r="BF82" s="86">
        <f t="shared" si="143"/>
        <v>0.5</v>
      </c>
      <c r="BG82" s="30" t="e">
        <f t="shared" ca="1" si="176"/>
        <v>#DIV/0!</v>
      </c>
      <c r="BH82" s="85" t="e">
        <f ca="1">IF(AN82&lt;=Hypothèses!$V$7,Hypothèses!$W$7,IF(AN82&lt;=Hypothèses!$V$8,Hypothèses!$W$8,IF(AN82&lt;=Hypothèses!$V$9,Hypothèses!$W$9,IF(AN82&lt;=Hypothèses!$V$10,Hypothèses!$W$10,IF(AN82&lt;=Hypothèses!$V$11,Hypothèses!$W$11,IF(AN82&lt;=Hypothèses!$V$12,Hypothèses!$W$12,IF(AN82&lt;=Hypothèses!$V$13,Hypothèses!$W$13,IF(AN82&lt;=Hypothèses!$V$14,Hypothèses!$W$14,IF(AN82&lt;=Hypothèses!$V$15,Hypothèses!$W$15,IF(AN82&lt;=Hypothèses!$V$16,Hypothèses!$W$16,IF(AN82&lt;=Hypothèses!$V$17,Hypothèses!$W$17,IF(AN82&lt;=Hypothèses!$V$18,Hypothèses!$W$18,""))))))))))))</f>
        <v>#DIV/0!</v>
      </c>
      <c r="BI82" s="87" t="e">
        <f t="shared" ca="1" si="218"/>
        <v>#DIV/0!</v>
      </c>
      <c r="BJ82" s="88" t="e">
        <f ca="1">IF(AN82&lt;=Hypothèses!$V$7,Hypothèses!$X$7,IF(AN82&lt;=Hypothèses!$V$8,Hypothèses!$X$8,IF(AN82&lt;=Hypothèses!$V$9,Hypothèses!$X$9,IF(AN82&lt;=Hypothèses!$V$10,Hypothèses!$X$10,IF(AN82&lt;=Hypothèses!$V$11,Hypothèses!$X$11,IF(AN82&lt;=Hypothèses!$V$12,Hypothèses!$X$12,IF(AN82&lt;=Hypothèses!$V$13,Hypothèses!$X$13,IF(AN82&lt;=Hypothèses!$V$14,Hypothèses!$X$14,IF(AN82&lt;=Hypothèses!$V$15,Hypothèses!$X$15,IF(AN82&lt;=Hypothèses!$V$16,Hypothèses!$X$16,IF(AN82&lt;=Hypothèses!$U$17,Hypothèses!$W$17,IF(AN82&lt;=Hypothèses!$U$18,Hypothèses!$W$18,""))))))))))))</f>
        <v>#DIV/0!</v>
      </c>
      <c r="BK82" s="95" t="e">
        <f t="shared" ca="1" si="177"/>
        <v>#DIV/0!</v>
      </c>
      <c r="BL82" s="101">
        <f t="shared" ref="BL82:BL145" si="225">IF($I82=0,0,
IF(BK82&gt;5*BP$12,$I82,
IF($D82="Pressio.",1+($I82-1)*(BK82/BP$12)/5,
IF($D82="Pénétro.",IF($E82=1,0.3+($I82-0.3)*(BK82/BP$12)/5,
IF($E82=2,0.2+($I82-0.2)*(BK82/BP$12)/5,
IF($E82=3,0.1+($I82-0.1)*(BK82/BP$12)/5,
0.15+($I82-0.15)*(BK82/BP$12)/5)))))))</f>
        <v>0</v>
      </c>
      <c r="BM82" s="91">
        <f t="shared" si="144"/>
        <v>0</v>
      </c>
      <c r="BN82" s="30" t="e">
        <f t="shared" si="204"/>
        <v>#N/A</v>
      </c>
      <c r="BO82" s="30" t="e">
        <f t="shared" si="205"/>
        <v>#N/A</v>
      </c>
      <c r="BP82" s="31" t="e">
        <f>IF(OR(Hypothèses!$B$4=17,Hypothèses!$B$4=18,Hypothèses!$B$4=19,Hypothèses!$B$4=20),
IF($D82="Pressio.",
IF(OR($E82=3,$E82=1,$E82=4),BO82,BN82),
IF($D82="Pénétro.",
IF(OR($E82=3,$E82=1,$E82=4),BO82,BN82))),IF($D82="Pressio.",
IF($E82=3,BO82,BN82),
IF($D82="Pénétro.",
IF($E82=4,BO82,BN82))))</f>
        <v>#N/A</v>
      </c>
      <c r="BQ82" s="31">
        <v>0</v>
      </c>
      <c r="BR82" s="102" t="e">
        <f>IF(NDC!$H$10="Oui",(VLOOKUP($B$3,'Coeff EC7'!$T$39:$X$59,2,0)*BP82+VLOOKUP($B$3,'Coeff EC7'!$T$65:$X$85,2,0)*Model0.1T!BQ82)/1.5,PI()*BN$12*$Q82*($B82-$B81)*0.15/10+BR81)</f>
        <v>#N/A</v>
      </c>
      <c r="BS82" s="102" t="e">
        <f>(VLOOKUP($B$3,'Coeff EC7'!$T$39:$X$59,3,0)*BP82+VLOOKUP($B$3,'Coeff EC7'!$T$65:$X$85,3,0)*Model0.1T!BQ82)/1.1</f>
        <v>#N/A</v>
      </c>
      <c r="BT82" s="102" t="e">
        <f t="shared" si="178"/>
        <v>#N/A</v>
      </c>
      <c r="BU82" s="102" t="e">
        <f t="shared" si="179"/>
        <v>#N/A</v>
      </c>
      <c r="BV82" s="414" t="e">
        <f>IF(AND(BR82&gt;NDC!$C$63,BS82&gt;NDC!$C$65,BT82&gt;NDC!$D$73,BU82&gt;NDC!$D$74,$B82&gt;NDC!$H$22-0.1+MIN(3*BV$12,1.5)),0,1)</f>
        <v>#N/A</v>
      </c>
      <c r="BW82" s="86" t="b">
        <f t="shared" si="145"/>
        <v>0</v>
      </c>
      <c r="BX82" s="86">
        <f t="shared" si="146"/>
        <v>0.5</v>
      </c>
      <c r="BY82" s="86">
        <f t="shared" si="147"/>
        <v>0.5</v>
      </c>
      <c r="BZ82" s="30" t="e">
        <f t="shared" ca="1" si="180"/>
        <v>#DIV/0!</v>
      </c>
      <c r="CA82" s="85" t="e">
        <f ca="1">IF(BG82&lt;=Hypothèses!$V$7,Hypothèses!$W$7,IF(BG82&lt;=Hypothèses!$V$8,Hypothèses!$W$8,IF(BG82&lt;=Hypothèses!$V$9,Hypothèses!$W$9,IF(BG82&lt;=Hypothèses!$V$10,Hypothèses!$W$10,IF(BG82&lt;=Hypothèses!$V$11,Hypothèses!$W$11,IF(BG82&lt;=Hypothèses!$V$12,Hypothèses!$W$12,IF(BG82&lt;=Hypothèses!$V$13,Hypothèses!$W$13,IF(BG82&lt;=Hypothèses!$V$14,Hypothèses!$W$14,IF(BG82&lt;=Hypothèses!$V$15,Hypothèses!$W$15,IF(BG82&lt;=Hypothèses!$V$16,Hypothèses!$W$16,IF(BG82&lt;=Hypothèses!$V$17,Hypothèses!$W$17,IF(BG82&lt;=Hypothèses!$V$18,Hypothèses!$W$18,""))))))))))))</f>
        <v>#DIV/0!</v>
      </c>
      <c r="CB82" s="87" t="e">
        <f t="shared" ca="1" si="219"/>
        <v>#DIV/0!</v>
      </c>
      <c r="CC82" s="88" t="e">
        <f ca="1">IF(BG82&lt;=Hypothèses!$V$7,Hypothèses!$X$7,IF(BG82&lt;=Hypothèses!$V$8,Hypothèses!$X$8,IF(BG82&lt;=Hypothèses!$V$9,Hypothèses!$X$9,IF(BG82&lt;=Hypothèses!$V$10,Hypothèses!$X$10,IF(BG82&lt;=Hypothèses!$V$11,Hypothèses!$X$11,IF(BG82&lt;=Hypothèses!$V$12,Hypothèses!$X$12,IF(BG82&lt;=Hypothèses!$V$13,Hypothèses!$X$13,IF(BG82&lt;=Hypothèses!$V$14,Hypothèses!$X$14,IF(BG82&lt;=Hypothèses!$V$15,Hypothèses!$X$15,IF(BG82&lt;=Hypothèses!$V$16,Hypothèses!$X$16,IF(BG82&lt;=Hypothèses!$U$17,Hypothèses!$W$17,IF(BG82&lt;=Hypothèses!$U$18,Hypothèses!$W$18,""))))))))))))</f>
        <v>#DIV/0!</v>
      </c>
      <c r="CD82" s="95" t="e">
        <f t="shared" ca="1" si="181"/>
        <v>#DIV/0!</v>
      </c>
      <c r="CE82" s="101">
        <f t="shared" ref="CE82:CE145" si="226">IF($I82=0,0,
IF(CD82&gt;5*CI$12,$I82,
IF($D82="Pressio.",1+($I82-1)*(CD82/CI$12)/5,
IF($D82="Pénétro.",IF($E82=1,0.3+($I82-0.3)*(CD82/CI$12)/5,
IF($E82=2,0.2+($I82-0.2)*(CD82/CI$12)/5,
IF($E82=3,0.1+($I82-0.1)*(CD82/CI$12)/5,
0.15+($I82-0.15)*(CD82/CI$12)/5)))))))</f>
        <v>0</v>
      </c>
      <c r="CF82" s="91">
        <f t="shared" si="148"/>
        <v>0</v>
      </c>
      <c r="CG82" s="30" t="e">
        <f t="shared" si="206"/>
        <v>#N/A</v>
      </c>
      <c r="CH82" s="30" t="e">
        <f t="shared" si="207"/>
        <v>#N/A</v>
      </c>
      <c r="CI82" s="31" t="e">
        <f>IF(OR(Hypothèses!$B$4=17,Hypothèses!$B$4=18,Hypothèses!$B$4=19,Hypothèses!$B$4=20),
IF($D82="Pressio.",
IF(OR($E82=3,$E82=1,$E82=4),CH82,CG82),
IF($D82="Pénétro.",
IF(OR($E82=3,$E82=1,$E82=4),CH82,CG82))),IF($D82="Pressio.",
IF($E82=3,CH82,CG82),
IF($D82="Pénétro.",
IF($E82=4,CH82,CG82))))</f>
        <v>#N/A</v>
      </c>
      <c r="CJ82" s="31">
        <v>0</v>
      </c>
      <c r="CK82" s="102" t="e">
        <f>IF(NDC!$H$10="Oui",(VLOOKUP($B$3,'Coeff EC7'!$T$39:$X$59,2,0)*CI82+VLOOKUP($B$3,'Coeff EC7'!$T$65:$X$85,2,0)*Model0.1T!CJ82)/1.5,PI()*CG$12*$Q82*($B82-$B81)*0.15/10+CK81)</f>
        <v>#N/A</v>
      </c>
      <c r="CL82" s="102" t="e">
        <f>(VLOOKUP($B$3,'Coeff EC7'!$T$39:$X$59,3,0)*CI82+VLOOKUP($B$3,'Coeff EC7'!$T$65:$X$85,3,0)*Model0.1T!CJ82)/1.1</f>
        <v>#N/A</v>
      </c>
      <c r="CM82" s="102" t="e">
        <f t="shared" si="182"/>
        <v>#N/A</v>
      </c>
      <c r="CN82" s="102" t="e">
        <f t="shared" si="183"/>
        <v>#N/A</v>
      </c>
      <c r="CO82" s="414" t="e">
        <f>IF(AND(CK82&gt;NDC!$C$63,CL82&gt;NDC!$C$65,CM82&gt;NDC!$D$73,CN82&gt;NDC!$D$74,$B82&gt;NDC!$H$22-0.1+MIN(3*CO$12,1.5)),0,1)</f>
        <v>#N/A</v>
      </c>
      <c r="CP82" s="86" t="b">
        <f t="shared" si="149"/>
        <v>0</v>
      </c>
      <c r="CQ82" s="86">
        <f t="shared" si="150"/>
        <v>0.5</v>
      </c>
      <c r="CR82" s="86">
        <f t="shared" si="151"/>
        <v>0.5</v>
      </c>
      <c r="CS82" s="30" t="e">
        <f t="shared" ca="1" si="184"/>
        <v>#DIV/0!</v>
      </c>
      <c r="CT82" s="85" t="e">
        <f ca="1">IF(BZ82&lt;=Hypothèses!$V$7,Hypothèses!$W$7,IF(BZ82&lt;=Hypothèses!$V$8,Hypothèses!$W$8,IF(BZ82&lt;=Hypothèses!$V$9,Hypothèses!$W$9,IF(BZ82&lt;=Hypothèses!$V$10,Hypothèses!$W$10,IF(BZ82&lt;=Hypothèses!$V$11,Hypothèses!$W$11,IF(BZ82&lt;=Hypothèses!$V$12,Hypothèses!$W$12,IF(BZ82&lt;=Hypothèses!$V$13,Hypothèses!$W$13,IF(BZ82&lt;=Hypothèses!$V$14,Hypothèses!$W$14,IF(BZ82&lt;=Hypothèses!$V$15,Hypothèses!$W$15,IF(BZ82&lt;=Hypothèses!$V$16,Hypothèses!$W$16,IF(BZ82&lt;=Hypothèses!$V$17,Hypothèses!$W$17,IF(BZ82&lt;=Hypothèses!$V$18,Hypothèses!$W$18,""))))))))))))</f>
        <v>#DIV/0!</v>
      </c>
      <c r="CU82" s="87" t="e">
        <f t="shared" ca="1" si="220"/>
        <v>#DIV/0!</v>
      </c>
      <c r="CV82" s="88" t="e">
        <f ca="1">IF(BZ82&lt;=Hypothèses!$V$7,Hypothèses!$X$7,IF(BZ82&lt;=Hypothèses!$V$8,Hypothèses!$X$8,IF(BZ82&lt;=Hypothèses!$V$9,Hypothèses!$X$9,IF(BZ82&lt;=Hypothèses!$V$10,Hypothèses!$X$10,IF(BZ82&lt;=Hypothèses!$V$11,Hypothèses!$X$11,IF(BZ82&lt;=Hypothèses!$V$12,Hypothèses!$X$12,IF(BZ82&lt;=Hypothèses!$V$13,Hypothèses!$X$13,IF(BZ82&lt;=Hypothèses!$V$14,Hypothèses!$X$14,IF(BZ82&lt;=Hypothèses!$V$15,Hypothèses!$X$15,IF(BZ82&lt;=Hypothèses!$V$16,Hypothèses!$X$16,IF(BZ82&lt;=Hypothèses!$U$17,Hypothèses!$W$17,IF(BZ82&lt;=Hypothèses!$U$18,Hypothèses!$W$18,""))))))))))))</f>
        <v>#DIV/0!</v>
      </c>
      <c r="CW82" s="95" t="e">
        <f t="shared" ca="1" si="185"/>
        <v>#DIV/0!</v>
      </c>
      <c r="CX82" s="101">
        <f t="shared" ref="CX82:CX145" si="227">IF($I82=0,0,
IF(CW82&gt;5*DB$12,$I82,
IF($D82="Pressio.",1+($I82-1)*(CW82/DB$12)/5,
IF($D82="Pénétro.",IF($E82=1,0.3+($I82-0.3)*(CW82/DB$12)/5,
IF($E82=2,0.2+($I82-0.2)*(CW82/DB$12)/5,
IF($E82=3,0.1+($I82-0.1)*(CW82/DB$12)/5,
0.15+($I82-0.15)*(CW82/DB$12)/5)))))))</f>
        <v>0</v>
      </c>
      <c r="CY82" s="91">
        <f t="shared" si="152"/>
        <v>0</v>
      </c>
      <c r="CZ82" s="30" t="e">
        <f t="shared" si="208"/>
        <v>#N/A</v>
      </c>
      <c r="DA82" s="30" t="e">
        <f t="shared" si="209"/>
        <v>#N/A</v>
      </c>
      <c r="DB82" s="31" t="e">
        <f>IF(OR(Hypothèses!$B$4=17,Hypothèses!$B$4=18,Hypothèses!$B$4=19,Hypothèses!$B$4=20),
IF($D82="Pressio.",
IF(OR($E82=3,$E82=1,$E82=4),DA82,CZ82),
IF($D82="Pénétro.",
IF(OR($E82=3,$E82=1,$E82=4),DA82,CZ82))),IF($D82="Pressio.",
IF($E82=3,DA82,CZ82),
IF($D82="Pénétro.",
IF($E82=4,DA82,CZ82))))</f>
        <v>#N/A</v>
      </c>
      <c r="DC82" s="31">
        <v>0</v>
      </c>
      <c r="DD82" s="102" t="e">
        <f>IF(NDC!$H$10="Oui",(VLOOKUP($B$3,'Coeff EC7'!$T$39:$X$59,2,0)*DB82+VLOOKUP($B$3,'Coeff EC7'!$T$65:$X$85,2,0)*Model0.1T!DC82)/1.5,PI()*CZ$12*$Q82*($B82-$B81)*0.15/10+DD81)</f>
        <v>#N/A</v>
      </c>
      <c r="DE82" s="102" t="e">
        <f>(VLOOKUP($B$3,'Coeff EC7'!$T$39:$X$59,3,0)*DB82+VLOOKUP($B$3,'Coeff EC7'!$T$65:$X$85,3,0)*Model0.1T!DC82)/1.1</f>
        <v>#N/A</v>
      </c>
      <c r="DF82" s="102" t="e">
        <f t="shared" si="186"/>
        <v>#N/A</v>
      </c>
      <c r="DG82" s="102" t="e">
        <f t="shared" si="187"/>
        <v>#N/A</v>
      </c>
      <c r="DH82" s="414" t="e">
        <f>IF(AND(DD82&gt;NDC!$C$63,DE82&gt;NDC!$C$65,DF82&gt;NDC!$D$73,DG82&gt;NDC!$D$74,$B82&gt;NDC!$H$22-0.1+MIN(3*DH$12,1.5)),0,1)</f>
        <v>#N/A</v>
      </c>
      <c r="DI82" s="86" t="b">
        <f t="shared" si="153"/>
        <v>0</v>
      </c>
      <c r="DJ82" s="86">
        <f t="shared" si="154"/>
        <v>0.5</v>
      </c>
      <c r="DK82" s="86">
        <f t="shared" si="155"/>
        <v>0.5</v>
      </c>
      <c r="DL82" s="30" t="e">
        <f t="shared" ca="1" si="188"/>
        <v>#DIV/0!</v>
      </c>
      <c r="DM82" s="85" t="e">
        <f ca="1">IF(CS82&lt;=Hypothèses!$V$7,Hypothèses!$W$7,IF(CS82&lt;=Hypothèses!$V$8,Hypothèses!$W$8,IF(CS82&lt;=Hypothèses!$V$9,Hypothèses!$W$9,IF(CS82&lt;=Hypothèses!$V$10,Hypothèses!$W$10,IF(CS82&lt;=Hypothèses!$V$11,Hypothèses!$W$11,IF(CS82&lt;=Hypothèses!$V$12,Hypothèses!$W$12,IF(CS82&lt;=Hypothèses!$V$13,Hypothèses!$W$13,IF(CS82&lt;=Hypothèses!$V$14,Hypothèses!$W$14,IF(CS82&lt;=Hypothèses!$V$15,Hypothèses!$W$15,IF(CS82&lt;=Hypothèses!$V$16,Hypothèses!$W$16,IF(CS82&lt;=Hypothèses!$V$17,Hypothèses!$W$17,IF(CS82&lt;=Hypothèses!$V$18,Hypothèses!$W$18,""))))))))))))</f>
        <v>#DIV/0!</v>
      </c>
      <c r="DN82" s="87" t="e">
        <f t="shared" ca="1" si="221"/>
        <v>#DIV/0!</v>
      </c>
      <c r="DO82" s="88" t="e">
        <f ca="1">IF(CS82&lt;=Hypothèses!$V$7,Hypothèses!$X$7,IF(CS82&lt;=Hypothèses!$V$8,Hypothèses!$X$8,IF(CS82&lt;=Hypothèses!$V$9,Hypothèses!$X$9,IF(CS82&lt;=Hypothèses!$V$10,Hypothèses!$X$10,IF(CS82&lt;=Hypothèses!$V$11,Hypothèses!$X$11,IF(CS82&lt;=Hypothèses!$V$12,Hypothèses!$X$12,IF(CS82&lt;=Hypothèses!$V$13,Hypothèses!$X$13,IF(CS82&lt;=Hypothèses!$V$14,Hypothèses!$X$14,IF(CS82&lt;=Hypothèses!$V$15,Hypothèses!$X$15,IF(CS82&lt;=Hypothèses!$V$16,Hypothèses!$X$16,IF(CS82&lt;=Hypothèses!$U$17,Hypothèses!$W$17,IF(CS82&lt;=Hypothèses!$U$18,Hypothèses!$W$18,""))))))))))))</f>
        <v>#DIV/0!</v>
      </c>
      <c r="DP82" s="95" t="e">
        <f t="shared" ca="1" si="189"/>
        <v>#DIV/0!</v>
      </c>
      <c r="DQ82" s="101">
        <f t="shared" ref="DQ82:DQ145" si="228">IF($I82=0,0,
IF(DP82&gt;5*DU$12,$I82,
IF($D82="Pressio.",1+($I82-1)*(DP82/DU$12)/5,
IF($D82="Pénétro.",IF($E82=1,0.3+($I82-0.3)*(DP82/DU$12)/5,
IF($E82=2,0.2+($I82-0.2)*(DP82/DU$12)/5,
IF($E82=3,0.1+($I82-0.1)*(DP82/DU$12)/5,
0.15+($I82-0.15)*(DP82/DU$12)/5)))))))</f>
        <v>0</v>
      </c>
      <c r="DR82" s="91">
        <f t="shared" si="156"/>
        <v>0</v>
      </c>
      <c r="DS82" s="30" t="e">
        <f t="shared" si="210"/>
        <v>#N/A</v>
      </c>
      <c r="DT82" s="30" t="e">
        <f t="shared" si="211"/>
        <v>#N/A</v>
      </c>
      <c r="DU82" s="31" t="e">
        <f>IF(OR(Hypothèses!$B$4=17,Hypothèses!$B$4=18,Hypothèses!$B$4=19,Hypothèses!$B$4=20),
IF($D82="Pressio.",
IF(OR($E82=3,$E82=1,$E82=4),DT82,DS82),
IF($D82="Pénétro.",
IF(OR($E82=3,$E82=1,$E82=4),DT82,DS82))),IF($D82="Pressio.",
IF($E82=3,DT82,DS82),
IF($D82="Pénétro.",
IF($E82=4,DT82,DS82))))</f>
        <v>#N/A</v>
      </c>
      <c r="DV82" s="31">
        <v>0</v>
      </c>
      <c r="DW82" s="102" t="e">
        <f>IF(NDC!$H$10="Oui",(VLOOKUP($B$3,'Coeff EC7'!$T$39:$X$59,2,0)*DU82+VLOOKUP($B$3,'Coeff EC7'!$T$65:$X$85,2,0)*Model0.1T!DV82)/1.5,PI()*DS$12*$Q82*($B82-$B81)*0.15/10+DW81)</f>
        <v>#N/A</v>
      </c>
      <c r="DX82" s="102" t="e">
        <f>(VLOOKUP($B$3,'Coeff EC7'!$T$39:$X$59,3,0)*DU82+VLOOKUP($B$3,'Coeff EC7'!$T$65:$X$85,3,0)*Model0.1T!DV82)/1.1</f>
        <v>#N/A</v>
      </c>
      <c r="DY82" s="102" t="e">
        <f t="shared" si="190"/>
        <v>#N/A</v>
      </c>
      <c r="DZ82" s="102" t="e">
        <f t="shared" si="191"/>
        <v>#N/A</v>
      </c>
      <c r="EA82" s="414" t="e">
        <f>IF(AND(DW82&gt;NDC!$C$63,DX82&gt;NDC!$C$65,DY82&gt;NDC!$D$73,DZ82&gt;NDC!$D$74,$B82&gt;NDC!$H$22-0.1+MIN(3*EA$12,1.5)),0,1)</f>
        <v>#N/A</v>
      </c>
      <c r="EB82" s="86" t="b">
        <f t="shared" si="157"/>
        <v>0</v>
      </c>
      <c r="EC82" s="418">
        <f t="shared" si="158"/>
        <v>0.51</v>
      </c>
      <c r="ED82" s="86">
        <f t="shared" si="159"/>
        <v>0.51</v>
      </c>
      <c r="EE82" s="30" t="e">
        <f t="shared" ca="1" si="192"/>
        <v>#DIV/0!</v>
      </c>
      <c r="EF82" s="85" t="e">
        <f ca="1">IF(DL82&lt;=Hypothèses!$V$7,Hypothèses!$W$7,IF(DL82&lt;=Hypothèses!$V$8,Hypothèses!$W$8,IF(DL82&lt;=Hypothèses!$V$9,Hypothèses!$W$9,IF(DL82&lt;=Hypothèses!$V$10,Hypothèses!$W$10,IF(DL82&lt;=Hypothèses!$V$11,Hypothèses!$W$11,IF(DL82&lt;=Hypothèses!$V$12,Hypothèses!$W$12,IF(DL82&lt;=Hypothèses!$V$13,Hypothèses!$W$13,IF(DL82&lt;=Hypothèses!$V$14,Hypothèses!$W$14,IF(DL82&lt;=Hypothèses!$V$15,Hypothèses!$W$15,IF(DL82&lt;=Hypothèses!$V$16,Hypothèses!$W$16,IF(DL82&lt;=Hypothèses!$V$17,Hypothèses!$W$17,IF(DL82&lt;=Hypothèses!$V$18,Hypothèses!$W$18,""))))))))))))</f>
        <v>#DIV/0!</v>
      </c>
      <c r="EG82" s="87" t="e">
        <f t="shared" ca="1" si="222"/>
        <v>#DIV/0!</v>
      </c>
      <c r="EH82" s="88" t="e">
        <f ca="1">IF(DL82&lt;=Hypothèses!$V$7,Hypothèses!$X$7,IF(DL82&lt;=Hypothèses!$V$8,Hypothèses!$X$8,IF(DL82&lt;=Hypothèses!$V$9,Hypothèses!$X$9,IF(DL82&lt;=Hypothèses!$V$10,Hypothèses!$X$10,IF(DL82&lt;=Hypothèses!$V$11,Hypothèses!$X$11,IF(DL82&lt;=Hypothèses!$V$12,Hypothèses!$X$12,IF(DL82&lt;=Hypothèses!$V$13,Hypothèses!$X$13,IF(DL82&lt;=Hypothèses!$V$14,Hypothèses!$X$14,IF(DL82&lt;=Hypothèses!$V$15,Hypothèses!$X$15,IF(DL82&lt;=Hypothèses!$V$16,Hypothèses!$X$16,IF(DL82&lt;=Hypothèses!$U$17,Hypothèses!$W$17,IF(DL82&lt;=Hypothèses!$U$18,Hypothèses!$W$18,""))))))))))))</f>
        <v>#DIV/0!</v>
      </c>
      <c r="EI82" s="95" t="e">
        <f t="shared" ca="1" si="193"/>
        <v>#DIV/0!</v>
      </c>
      <c r="EJ82" s="101">
        <f t="shared" ref="EJ82:EJ145" si="229">IF($I82=0,0,
IF(EI82&gt;5*EN$12,$I82,
IF($D82="Pressio.",1+($I82-1)*(EI82/EN$12)/5,
IF($D82="Pénétro.",IF($E82=1,0.3+($I82-0.3)*(EI82/EN$12)/5,
IF($E82=2,0.2+($I82-0.2)*(EI82/EN$12)/5,
IF($E82=3,0.1+($I82-0.1)*(EI82/EN$12)/5,
0.15+($I82-0.15)*(EI82/EN$12)/5)))))))</f>
        <v>0</v>
      </c>
      <c r="EK82" s="91">
        <f t="shared" si="160"/>
        <v>0</v>
      </c>
      <c r="EL82" s="30" t="e">
        <f t="shared" si="212"/>
        <v>#N/A</v>
      </c>
      <c r="EM82" s="30" t="e">
        <f t="shared" si="213"/>
        <v>#N/A</v>
      </c>
      <c r="EN82" s="31" t="e">
        <f>IF(OR(Hypothèses!$B$4=17,Hypothèses!$B$4=18,Hypothèses!$B$4=19,Hypothèses!$B$4=20),
IF($D82="Pressio.",
IF(OR($E82=3,$E82=1,$E82=4),EM82,EL82),
IF($D82="Pénétro.",
IF(OR($E82=3,$E82=1,$E82=4),EM82,EL82))),IF($D82="Pressio.",
IF($E82=3,EM82,EL82),
IF($D82="Pénétro.",
IF($E82=4,EM82,EL82))))</f>
        <v>#N/A</v>
      </c>
      <c r="EO82" s="31">
        <v>0</v>
      </c>
      <c r="EP82" s="102" t="e">
        <f>IF(NDC!$H$10="Oui",(VLOOKUP($B$3,'Coeff EC7'!$T$39:$X$59,2,0)*EN82+VLOOKUP($B$3,'Coeff EC7'!$T$65:$X$85,2,0)*Model0.1T!EO82)/1.5,PI()*EL$12*$Q82*($B82-$B81)*0.15/10+EP81)</f>
        <v>#N/A</v>
      </c>
      <c r="EQ82" s="102" t="e">
        <f>(VLOOKUP($B$3,'Coeff EC7'!$T$39:$X$59,3,0)*EN82+VLOOKUP($B$3,'Coeff EC7'!$T$65:$X$85,3,0)*Model0.1T!EO82)/1.1</f>
        <v>#N/A</v>
      </c>
      <c r="ER82" s="102" t="e">
        <f t="shared" si="194"/>
        <v>#N/A</v>
      </c>
      <c r="ES82" s="102" t="e">
        <f t="shared" si="195"/>
        <v>#N/A</v>
      </c>
      <c r="ET82" s="414" t="e">
        <f>IF(AND(EP82&gt;NDC!$C$63,EQ82&gt;NDC!$C$65,ER82&gt;NDC!$D$73,ES82&gt;NDC!$D$74,$B82&gt;NDC!$H$22-0.1+MIN(3*ET$12,1.5)),0,1)</f>
        <v>#N/A</v>
      </c>
      <c r="EU82" s="86" t="b">
        <f t="shared" si="161"/>
        <v>0</v>
      </c>
      <c r="EV82" s="86">
        <f t="shared" si="162"/>
        <v>0.61</v>
      </c>
      <c r="EW82" s="86">
        <f t="shared" si="163"/>
        <v>0.61</v>
      </c>
      <c r="EX82" s="30" t="e">
        <f t="shared" ca="1" si="196"/>
        <v>#DIV/0!</v>
      </c>
      <c r="EY82" s="85" t="e">
        <f ca="1">IF(EE82&lt;=Hypothèses!$V$7,Hypothèses!$W$7,IF(EE82&lt;=Hypothèses!$V$8,Hypothèses!$W$8,IF(EE82&lt;=Hypothèses!$V$9,Hypothèses!$W$9,IF(EE82&lt;=Hypothèses!$V$10,Hypothèses!$W$10,IF(EE82&lt;=Hypothèses!$V$11,Hypothèses!$W$11,IF(EE82&lt;=Hypothèses!$V$12,Hypothèses!$W$12,IF(EE82&lt;=Hypothèses!$V$13,Hypothèses!$W$13,IF(EE82&lt;=Hypothèses!$V$14,Hypothèses!$W$14,IF(EE82&lt;=Hypothèses!$V$15,Hypothèses!$W$15,IF(EE82&lt;=Hypothèses!$V$16,Hypothèses!$W$16,IF(EE82&lt;=Hypothèses!$V$17,Hypothèses!$W$17,IF(EE82&lt;=Hypothèses!$V$18,Hypothèses!$W$18,""))))))))))))</f>
        <v>#DIV/0!</v>
      </c>
      <c r="EZ82" s="87" t="e">
        <f t="shared" ca="1" si="223"/>
        <v>#DIV/0!</v>
      </c>
      <c r="FA82" s="88" t="e">
        <f ca="1">IF(EE82&lt;=Hypothèses!$V$7,Hypothèses!$X$7,IF(EE82&lt;=Hypothèses!$V$8,Hypothèses!$X$8,IF(EE82&lt;=Hypothèses!$V$9,Hypothèses!$X$9,IF(EE82&lt;=Hypothèses!$V$10,Hypothèses!$X$10,IF(EE82&lt;=Hypothèses!$V$11,Hypothèses!$X$11,IF(EE82&lt;=Hypothèses!$V$12,Hypothèses!$X$12,IF(EE82&lt;=Hypothèses!$V$13,Hypothèses!$X$13,IF(EE82&lt;=Hypothèses!$V$14,Hypothèses!$X$14,IF(EE82&lt;=Hypothèses!$V$15,Hypothèses!$X$15,IF(EE82&lt;=Hypothèses!$V$16,Hypothèses!$X$16,IF(EE82&lt;=Hypothèses!$U$17,Hypothèses!$W$17,IF(EE82&lt;=Hypothèses!$U$18,Hypothèses!$W$18,""))))))))))))</f>
        <v>#DIV/0!</v>
      </c>
      <c r="FB82" s="95" t="e">
        <f t="shared" ca="1" si="197"/>
        <v>#DIV/0!</v>
      </c>
      <c r="FC82" s="101">
        <f t="shared" ref="FC82:FC145" si="230">IF($I82=0,0,
IF(FB82&gt;5*FG$12,$I82,
IF($D82="Pressio.",1+($I82-1)*(FB82/FG$12)/5,
IF($D82="Pénétro.",IF($E82=1,0.3+($I82-0.3)*(FB82/FG$12)/5,
IF($E82=2,0.2+($I82-0.2)*(FB82/FG$12)/5,
IF($E82=3,0.1+($I82-0.1)*(FB82/FG$12)/5,
0.15+($I82-0.15)*(FB82/FG$12)/5)))))))</f>
        <v>0</v>
      </c>
      <c r="FD82" s="91">
        <f t="shared" si="164"/>
        <v>0</v>
      </c>
      <c r="FE82" s="30" t="e">
        <f t="shared" si="214"/>
        <v>#N/A</v>
      </c>
      <c r="FF82" s="30" t="e">
        <f t="shared" si="215"/>
        <v>#N/A</v>
      </c>
      <c r="FG82" s="31" t="e">
        <f>IF(OR(Hypothèses!$B$4=17,Hypothèses!$B$4=18,Hypothèses!$B$4=19,Hypothèses!$B$4=20),
IF($D82="Pressio.",
IF(OR($E82=3,$E82=1,$E82=4),FF82,FE82),
IF($D82="Pénétro.",
IF(OR($E82=3,$E82=1,$E82=4),FF82,FE82))),IF($D82="Pressio.",
IF($E82=3,FF82,FE82),
IF($D82="Pénétro.",
IF($E82=4,FF82,FE82))))</f>
        <v>#N/A</v>
      </c>
      <c r="FH82" s="31">
        <v>0</v>
      </c>
      <c r="FI82" s="102" t="e">
        <f>IF(NDC!$H$10="Oui",(VLOOKUP($B$3,'Coeff EC7'!$T$39:$X$59,2,0)*FG82+VLOOKUP($B$3,'Coeff EC7'!$T$65:$X$85,2,0)*Model0.1T!FH82)/1.5,PI()*FE$12*$Q82*($B82-$B81)*0.15/10+FI81)</f>
        <v>#N/A</v>
      </c>
      <c r="FJ82" s="102" t="e">
        <f>(VLOOKUP($B$3,'Coeff EC7'!$T$39:$X$59,3,0)*FG82+VLOOKUP($B$3,'Coeff EC7'!$T$65:$X$85,3,0)*Model0.1T!FH82)/1.1</f>
        <v>#N/A</v>
      </c>
      <c r="FK82" s="102" t="e">
        <f t="shared" si="198"/>
        <v>#N/A</v>
      </c>
      <c r="FL82" s="102" t="e">
        <f t="shared" si="199"/>
        <v>#N/A</v>
      </c>
      <c r="FM82" s="414" t="e">
        <f>IF(AND(FI82&gt;NDC!$C$63,FJ82&gt;NDC!$C$65,FK82&gt;NDC!$D$73,FL82&gt;NDC!$D$74,$B82&gt;NDC!$H$22-0.1+MIN(3*FM$12,1.5)),0,1)</f>
        <v>#N/A</v>
      </c>
    </row>
    <row r="83" spans="1:169">
      <c r="A83" s="96">
        <f t="shared" si="165"/>
        <v>93.000000000000398</v>
      </c>
      <c r="B83" s="97">
        <v>7</v>
      </c>
      <c r="C83" s="81">
        <f>IF(B83&lt;=Hypothèses!$C$7,Hypothèses!$A$7,IF(B83&lt;=Hypothèses!$C$8,Hypothèses!$A$8,IF(B83&lt;=Hypothèses!$C$9,Hypothèses!$A$9,IF(B83&lt;=Hypothèses!$C$10,Hypothèses!$A$10,IF(B83&lt;=Hypothèses!$C$11,Hypothèses!$A$11,IF(B83&lt;=Hypothèses!$C$12,Hypothèses!$A$12,IF(B83&lt;=Hypothèses!$C$13,Hypothèses!$A$13,IF(B83&lt;=Hypothèses!$C$14,Hypothèses!$A$14,IF(B83&lt;=Hypothèses!$C$15,Hypothèses!$A$15,IF(B83&lt;=Hypothèses!$C$16,Hypothèses!$A$16,IF(B83&lt;=Hypothèses!$C$17,Hypothèses!$A$17,IF(B83&lt;=Hypothèses!$C$18,Hypothèses!$A$18,C82))))))))))))</f>
        <v>11</v>
      </c>
      <c r="D83" s="82" t="str">
        <f>IF(B83&lt;=Hypothèses!$C$7,Hypothèses!$R$7,IF(B83&lt;=Hypothèses!$C$8,Hypothèses!$R$8,IF(B83&lt;=Hypothèses!$C$9,Hypothèses!$R$9,IF(B83&lt;=Hypothèses!$C$10,Hypothèses!$R$10,IF(B83&lt;=Hypothèses!$C$11,Hypothèses!$R$11,IF(B83&lt;=Hypothèses!$C$12,Hypothèses!$R$12,IF(B83&lt;=Hypothèses!$C$13,Hypothèses!$R$13,IF(B83&lt;=Hypothèses!$C$14,Hypothèses!$R$14,IF(B83&lt;=Hypothèses!$C$15,Hypothèses!$R$15,IF(B83&lt;=Hypothèses!$C$16,Hypothèses!$R$16,IF(B83&lt;=Hypothèses!$C$17,Hypothèses!$R$17,IF(B83&lt;=Hypothèses!$C$18,Hypothèses!$R$18,D82))))))))))))</f>
        <v>Pressio.</v>
      </c>
      <c r="E83" s="82" t="e">
        <f>IF(B83&lt;=Hypothèses!$C$7,Hypothèses!$G$7,IF(B83&lt;=Hypothèses!$C$8,Hypothèses!$G$8,IF(B83&lt;=Hypothèses!$C$9,Hypothèses!$G$9,IF(B83&lt;=Hypothèses!$C$10,Hypothèses!$G$10,IF(B83&lt;=Hypothèses!$C$11,Hypothèses!$G$11,IF(B83&lt;=Hypothèses!$C$12,Hypothèses!$G$12,IF(B83&lt;=Hypothèses!$C$13,Hypothèses!$G$13,IF(B83&lt;=Hypothèses!$C$14,Hypothèses!$G$14,IF(B83&lt;=Hypothèses!$C$15,Hypothèses!$G$15,IF(B83&lt;=Hypothèses!$C$16,Hypothèses!$G$16,IF(B83&lt;=Hypothèses!$C$17,Hypothèses!$G$17,IF(B83&lt;=Hypothèses!$C$18,Hypothèses!$G$18,E82))))))))))))</f>
        <v>#N/A</v>
      </c>
      <c r="F83" s="82" t="str">
        <f>IF(B83&lt;=Hypothèses!$C$7,Hypothèses!$F$7,IF(B83&lt;=Hypothèses!$C$8,Hypothèses!$F$8,IF(B83&lt;=Hypothèses!$C$9,Hypothèses!$F$9,IF(B83&lt;=Hypothèses!$C$10,Hypothèses!$F$10,IF(B83&lt;=Hypothèses!$C$11,Hypothèses!$F$11,IF(B83&lt;=Hypothèses!$C$12,Hypothèses!$F$12,IF(B83&lt;=Hypothèses!$C$13,Hypothèses!$F$13,IF(B83&lt;=Hypothèses!$C$14,Hypothèses!$F$14,IF(B83&lt;=Hypothèses!$C$15,Hypothèses!$F$15,IF(B83&lt;=Hypothèses!$C$16,Hypothèses!$F$16,IF(B83&lt;=Hypothèses!$C$17,Hypothèses!$F$17,IF(B83&lt;=Hypothèses!$C$18,Hypothèses!$F$18,F82))))))))))))</f>
        <v/>
      </c>
      <c r="G83" s="91">
        <f t="array" ref="G83">INDEX('Coeff EC7'!$U$7:$X$27,
MATCH(Model0.1T!$B$3,'Coeff EC7'!$T$7:$T$27,0),
MATCH(Model0.1T!$D83&amp;Model0.1T!$B$4,
'Coeff EC7'!$U$6:$X$6&amp;
'Coeff EC7'!$U$5:$X$5,0))</f>
        <v>1.4</v>
      </c>
      <c r="H83" s="91">
        <f t="array" ref="H83">INDEX('Coeff EC7'!$Y$7:$AB$27,
MATCH(Model0.1T!$B$3,'Coeff EC7'!$T$7:$T$27,0),
MATCH(Model0.1T!$D83&amp;Model0.1T!$B$4,
'Coeff EC7'!$Y$6:$AB$6&amp;
'Coeff EC7'!$Y$5:$AB$5,0))</f>
        <v>1.7</v>
      </c>
      <c r="I83" s="83">
        <v>0</v>
      </c>
      <c r="J83" s="91" t="e">
        <f t="array" ref="J83">INDEX('Coeff EC7'!$D$33:$Q$33,1,MATCH(D83&amp;E83,'Coeff EC7'!$D$31:$Q$31&amp;'Coeff EC7'!$D$32:$Q$32,0))</f>
        <v>#N/A</v>
      </c>
      <c r="K83" s="91" t="e">
        <f t="array" ref="K83">INDEX('Coeff EC7'!$D$34:$Q$34,1,MATCH(D83&amp;E83,'Coeff EC7'!$D$31:$Q$31&amp;'Coeff EC7'!$D$32:$Q$32,0))</f>
        <v>#N/A</v>
      </c>
      <c r="L83" s="91" t="e">
        <f t="array" ref="L83">INDEX('Coeff EC7'!$D$35:$Q$35,1,MATCH(D83&amp;E83,'Coeff EC7'!$D$31:$Q$31&amp;'Coeff EC7'!$D$32:$Q$32,0))</f>
        <v>#N/A</v>
      </c>
      <c r="M83" s="98" t="e">
        <f t="shared" si="131"/>
        <v>#N/A</v>
      </c>
      <c r="N83" s="99" t="e">
        <f t="array" ref="N83">INDEX('Coeff EC7'!$D$7:$Q$27,MATCH($B$3,'Coeff EC7'!$C$7:$C$27,0),MATCH(D83&amp;E83,'Coeff EC7'!$D$5:$Q$5&amp;'Coeff EC7'!$D$6:$Q$6,0))</f>
        <v>#N/A</v>
      </c>
      <c r="O83" s="99" t="e">
        <f t="array" ref="O83">INDEX('Coeff EC7'!$D$41:$Q$61,MATCH($B$3,'Coeff EC7'!$C$41:$C$61,0),MATCH(D83&amp;E83,'Coeff EC7'!$D$39:$Q$39&amp;'Coeff EC7'!$D$40:$Q$40,0))</f>
        <v>#N/A</v>
      </c>
      <c r="P83" s="30" t="e">
        <f t="shared" si="166"/>
        <v>#N/A</v>
      </c>
      <c r="Q83" s="100" t="e">
        <f t="shared" si="133"/>
        <v>#N/A</v>
      </c>
      <c r="R83" s="86" t="b">
        <f t="shared" si="134"/>
        <v>0</v>
      </c>
      <c r="S83" s="86">
        <f t="shared" si="132"/>
        <v>0.5</v>
      </c>
      <c r="T83" s="86">
        <f t="shared" si="135"/>
        <v>0.5</v>
      </c>
      <c r="U83" s="30" t="e">
        <f t="shared" ca="1" si="167"/>
        <v>#DIV/0!</v>
      </c>
      <c r="V83" s="85" t="str">
        <f>IF(B83&lt;=Hypothèses!$V$7,Hypothèses!$W$7,IF(B83&lt;=Hypothèses!$V$8,Hypothèses!$W$8,IF(B83&lt;=Hypothèses!$V$9,Hypothèses!$W$9,IF(B83&lt;=Hypothèses!$V$10,Hypothèses!$W$10,IF(B83&lt;=Hypothèses!$V$11,Hypothèses!$W$11,IF(B83&lt;=Hypothèses!$V$12,Hypothèses!$W$12,IF(B83&lt;=Hypothèses!$V$13,Hypothèses!$W$13,IF(B83&lt;=Hypothèses!$V$14,Hypothèses!$W$14,IF(B83&lt;=Hypothèses!$V$15,Hypothèses!$W$15,IF(B83&lt;=Hypothèses!$V$16,Hypothèses!$W$16,IF(B83&lt;=Hypothèses!$V$17,Hypothèses!$W$17,IF(B83&lt;=Hypothèses!$V$18,Hypothèses!$W$18,""))))))))))))</f>
        <v/>
      </c>
      <c r="W83" s="87" t="e">
        <f t="shared" ca="1" si="216"/>
        <v>#DIV/0!</v>
      </c>
      <c r="X83" s="88" t="str">
        <f>IF(B83&lt;=Hypothèses!$V$7,Hypothèses!$X$7,IF(B83&lt;=Hypothèses!$V$8,Hypothèses!$X$8,IF(B83&lt;=Hypothèses!$V$9,Hypothèses!$X$9,IF(B83&lt;=Hypothèses!$V$10,Hypothèses!$X$10,IF(B83&lt;=Hypothèses!$V$11,Hypothèses!$X$11,IF(B83&lt;=Hypothèses!$V$12,Hypothèses!$X$12,IF(B83&lt;=Hypothèses!$V$13,Hypothèses!$X$13,IF(B83&lt;=Hypothèses!$V$14,Hypothèses!$X$14,IF(B83&lt;=Hypothèses!$V$15,Hypothèses!$X$15,IF(B83&lt;=Hypothèses!$V$16,Hypothèses!$X$16,IF(B83&lt;=Hypothèses!$U$17,Hypothèses!$W$17,IF(B83&lt;=Hypothèses!$U$18,Hypothèses!$W$18,""))))))))))))</f>
        <v/>
      </c>
      <c r="Y83" s="95" t="e">
        <f t="shared" ca="1" si="136"/>
        <v>#DIV/0!</v>
      </c>
      <c r="Z83" s="101">
        <f t="shared" si="137"/>
        <v>0</v>
      </c>
      <c r="AA83" s="91">
        <f t="shared" si="138"/>
        <v>0</v>
      </c>
      <c r="AB83" s="30" t="e">
        <f t="shared" si="200"/>
        <v>#N/A</v>
      </c>
      <c r="AC83" s="30" t="e">
        <f t="shared" si="201"/>
        <v>#N/A</v>
      </c>
      <c r="AD83" s="31" t="e">
        <f>IF(OR(Hypothèses!$B$4=17,Hypothèses!$B$4=18,Hypothèses!$B$4=19,Hypothèses!$B$4=20),
IF($D83="Pressio.",
IF(OR($E83=3,$E83=1,$E83=4),AC83,AB83),
IF($D83="Pénétro.",
IF(OR($E83=3,$E83=1,$E83=4),AC83,AB83))),IF($D83="Pressio.",
IF($E83=3,AC83,AB83),
IF($D83="Pénétro.",
IF($E83=4,AC83,AB83))))</f>
        <v>#N/A</v>
      </c>
      <c r="AE83" s="31">
        <v>0</v>
      </c>
      <c r="AF83" s="102" t="e">
        <f>IF(NDC!$H$10="Oui",(VLOOKUP($B$3,'Coeff EC7'!$T$39:$X$59,2,0)*AD83+VLOOKUP($B$3,'Coeff EC7'!$T$65:$X$85,2,0)*Model0.1T!AE83)/1.5,PI()*AB$12*$Q83*($B83-$B82)*0.15/10+AF82)</f>
        <v>#N/A</v>
      </c>
      <c r="AG83" s="102" t="e">
        <f>(VLOOKUP($B$3,'Coeff EC7'!$T$39:$X$59,3,0)*AD83+VLOOKUP($B$3,'Coeff EC7'!$T$65:$X$85,3,0)*Model0.1T!AE83)/1.1</f>
        <v>#N/A</v>
      </c>
      <c r="AH83" s="102" t="e">
        <f t="shared" si="168"/>
        <v>#N/A</v>
      </c>
      <c r="AI83" s="102" t="e">
        <f t="shared" si="169"/>
        <v>#N/A</v>
      </c>
      <c r="AJ83" s="414" t="e">
        <f>IF(AND(AF83&gt;NDC!$C$63,AG83&gt;NDC!$C$65,AH83&gt;NDC!$D$73,AI83&gt;NDC!$D$74,$B83&gt;NDC!$H$22-0.1+MIN(3*$AJ$12,1.5)),0,1)</f>
        <v>#N/A</v>
      </c>
      <c r="AK83" s="86" t="b">
        <f t="shared" si="139"/>
        <v>0</v>
      </c>
      <c r="AL83" s="86">
        <f t="shared" si="170"/>
        <v>0.5</v>
      </c>
      <c r="AM83" s="86">
        <f t="shared" si="140"/>
        <v>0.5</v>
      </c>
      <c r="AN83" s="30" t="e">
        <f t="shared" ca="1" si="171"/>
        <v>#DIV/0!</v>
      </c>
      <c r="AO83" s="85" t="e">
        <f ca="1">IF(U83&lt;=Hypothèses!$V$7,Hypothèses!$W$7,IF(U83&lt;=Hypothèses!$V$8,Hypothèses!$W$8,IF(U83&lt;=Hypothèses!$V$9,Hypothèses!$W$9,IF(U83&lt;=Hypothèses!$V$10,Hypothèses!$W$10,IF(U83&lt;=Hypothèses!$V$11,Hypothèses!$W$11,IF(U83&lt;=Hypothèses!$V$12,Hypothèses!$W$12,IF(U83&lt;=Hypothèses!$V$13,Hypothèses!$W$13,IF(U83&lt;=Hypothèses!$V$14,Hypothèses!$W$14,IF(U83&lt;=Hypothèses!$V$15,Hypothèses!$W$15,IF(U83&lt;=Hypothèses!$V$16,Hypothèses!$W$16,IF(U83&lt;=Hypothèses!$V$17,Hypothèses!$W$17,IF(U83&lt;=Hypothèses!$V$18,Hypothèses!$W$18,""))))))))))))</f>
        <v>#DIV/0!</v>
      </c>
      <c r="AP83" s="87" t="e">
        <f t="shared" ca="1" si="217"/>
        <v>#DIV/0!</v>
      </c>
      <c r="AQ83" s="88" t="e">
        <f ca="1">IF(U83&lt;=Hypothèses!$V$7,Hypothèses!$X$7,IF(U83&lt;=Hypothèses!$V$8,Hypothèses!$X$8,IF(U83&lt;=Hypothèses!$V$9,Hypothèses!$X$9,IF(U83&lt;=Hypothèses!$V$10,Hypothèses!$X$10,IF(U83&lt;=Hypothèses!$V$11,Hypothèses!$X$11,IF(U83&lt;=Hypothèses!$V$12,Hypothèses!$X$12,IF(U83&lt;=Hypothèses!$V$13,Hypothèses!$X$13,IF(U83&lt;=Hypothèses!$V$14,Hypothèses!$X$14,IF(U83&lt;=Hypothèses!$V$15,Hypothèses!$X$15,IF(U83&lt;=Hypothèses!$V$16,Hypothèses!$X$16,IF(U83&lt;=Hypothèses!$U$17,Hypothèses!$W$17,IF(U83&lt;=Hypothèses!$U$18,Hypothèses!$W$18,""))))))))))))</f>
        <v>#DIV/0!</v>
      </c>
      <c r="AR83" s="95" t="e">
        <f t="shared" ca="1" si="172"/>
        <v>#DIV/0!</v>
      </c>
      <c r="AS83" s="101">
        <f t="shared" si="224"/>
        <v>0</v>
      </c>
      <c r="AT83" s="91">
        <f t="shared" si="141"/>
        <v>0</v>
      </c>
      <c r="AU83" s="30" t="e">
        <f t="shared" si="202"/>
        <v>#N/A</v>
      </c>
      <c r="AV83" s="30" t="e">
        <f t="shared" si="203"/>
        <v>#N/A</v>
      </c>
      <c r="AW83" s="31" t="e">
        <f>IF(OR(Hypothèses!$B$4=17,Hypothèses!$B$4=18,Hypothèses!$B$4=19,Hypothèses!$B$4=20),
IF($D83="Pressio.",
IF(OR($E83=3,$E83=1,$E83=4),AV83,AU83),
IF($D83="Pénétro.",
IF(OR($E83=3,$E83=1,$E83=4),AV83,AU83))),IF($D83="Pressio.",
IF($E83=3,AV83,AU83),
IF($D83="Pénétro.",
IF($E83=4,AV83,AU83))))</f>
        <v>#N/A</v>
      </c>
      <c r="AX83" s="31">
        <v>0</v>
      </c>
      <c r="AY83" s="102" t="e">
        <f>IF(NDC!$H$10="Oui",(VLOOKUP($B$3,'Coeff EC7'!$T$39:$X$59,2,0)*AW83+VLOOKUP($B$3,'Coeff EC7'!$T$65:$X$85,2,0)*Model0.1T!AX83)/1.5,PI()*AU$12*$Q83*($B83-$B82)*0.15/10+AY82)</f>
        <v>#N/A</v>
      </c>
      <c r="AZ83" s="102" t="e">
        <f>(VLOOKUP($B$3,'Coeff EC7'!$T$39:$X$59,3,0)*AW83+VLOOKUP($B$3,'Coeff EC7'!$T$65:$X$85,3,0)*Model0.1T!AX83)/1.1</f>
        <v>#N/A</v>
      </c>
      <c r="BA83" s="102" t="e">
        <f t="shared" si="173"/>
        <v>#N/A</v>
      </c>
      <c r="BB83" s="102" t="e">
        <f t="shared" si="174"/>
        <v>#N/A</v>
      </c>
      <c r="BC83" s="414" t="e">
        <f>IF(AND(AY83&gt;NDC!$C$63,AZ83&gt;NDC!$C$65,BA83&gt;NDC!$D$73,BB83&gt;NDC!$D$74,$B83&gt;NDC!$H$22-0.1+MIN(3*BC$12,1.5)),0,1)</f>
        <v>#N/A</v>
      </c>
      <c r="BD83" s="86" t="b">
        <f t="shared" si="142"/>
        <v>0</v>
      </c>
      <c r="BE83" s="86">
        <f t="shared" si="175"/>
        <v>0.5</v>
      </c>
      <c r="BF83" s="86">
        <f t="shared" si="143"/>
        <v>0.5</v>
      </c>
      <c r="BG83" s="30" t="e">
        <f t="shared" ca="1" si="176"/>
        <v>#DIV/0!</v>
      </c>
      <c r="BH83" s="85" t="e">
        <f ca="1">IF(AN83&lt;=Hypothèses!$V$7,Hypothèses!$W$7,IF(AN83&lt;=Hypothèses!$V$8,Hypothèses!$W$8,IF(AN83&lt;=Hypothèses!$V$9,Hypothèses!$W$9,IF(AN83&lt;=Hypothèses!$V$10,Hypothèses!$W$10,IF(AN83&lt;=Hypothèses!$V$11,Hypothèses!$W$11,IF(AN83&lt;=Hypothèses!$V$12,Hypothèses!$W$12,IF(AN83&lt;=Hypothèses!$V$13,Hypothèses!$W$13,IF(AN83&lt;=Hypothèses!$V$14,Hypothèses!$W$14,IF(AN83&lt;=Hypothèses!$V$15,Hypothèses!$W$15,IF(AN83&lt;=Hypothèses!$V$16,Hypothèses!$W$16,IF(AN83&lt;=Hypothèses!$V$17,Hypothèses!$W$17,IF(AN83&lt;=Hypothèses!$V$18,Hypothèses!$W$18,""))))))))))))</f>
        <v>#DIV/0!</v>
      </c>
      <c r="BI83" s="87" t="e">
        <f t="shared" ca="1" si="218"/>
        <v>#DIV/0!</v>
      </c>
      <c r="BJ83" s="88" t="e">
        <f ca="1">IF(AN83&lt;=Hypothèses!$V$7,Hypothèses!$X$7,IF(AN83&lt;=Hypothèses!$V$8,Hypothèses!$X$8,IF(AN83&lt;=Hypothèses!$V$9,Hypothèses!$X$9,IF(AN83&lt;=Hypothèses!$V$10,Hypothèses!$X$10,IF(AN83&lt;=Hypothèses!$V$11,Hypothèses!$X$11,IF(AN83&lt;=Hypothèses!$V$12,Hypothèses!$X$12,IF(AN83&lt;=Hypothèses!$V$13,Hypothèses!$X$13,IF(AN83&lt;=Hypothèses!$V$14,Hypothèses!$X$14,IF(AN83&lt;=Hypothèses!$V$15,Hypothèses!$X$15,IF(AN83&lt;=Hypothèses!$V$16,Hypothèses!$X$16,IF(AN83&lt;=Hypothèses!$U$17,Hypothèses!$W$17,IF(AN83&lt;=Hypothèses!$U$18,Hypothèses!$W$18,""))))))))))))</f>
        <v>#DIV/0!</v>
      </c>
      <c r="BK83" s="95" t="e">
        <f t="shared" ca="1" si="177"/>
        <v>#DIV/0!</v>
      </c>
      <c r="BL83" s="101">
        <f t="shared" si="225"/>
        <v>0</v>
      </c>
      <c r="BM83" s="91">
        <f t="shared" si="144"/>
        <v>0</v>
      </c>
      <c r="BN83" s="30" t="e">
        <f t="shared" si="204"/>
        <v>#N/A</v>
      </c>
      <c r="BO83" s="30" t="e">
        <f t="shared" si="205"/>
        <v>#N/A</v>
      </c>
      <c r="BP83" s="31" t="e">
        <f>IF(OR(Hypothèses!$B$4=17,Hypothèses!$B$4=18,Hypothèses!$B$4=19,Hypothèses!$B$4=20),
IF($D83="Pressio.",
IF(OR($E83=3,$E83=1,$E83=4),BO83,BN83),
IF($D83="Pénétro.",
IF(OR($E83=3,$E83=1,$E83=4),BO83,BN83))),IF($D83="Pressio.",
IF($E83=3,BO83,BN83),
IF($D83="Pénétro.",
IF($E83=4,BO83,BN83))))</f>
        <v>#N/A</v>
      </c>
      <c r="BQ83" s="31">
        <v>0</v>
      </c>
      <c r="BR83" s="102" t="e">
        <f>IF(NDC!$H$10="Oui",(VLOOKUP($B$3,'Coeff EC7'!$T$39:$X$59,2,0)*BP83+VLOOKUP($B$3,'Coeff EC7'!$T$65:$X$85,2,0)*Model0.1T!BQ83)/1.5,PI()*BN$12*$Q83*($B83-$B82)*0.15/10+BR82)</f>
        <v>#N/A</v>
      </c>
      <c r="BS83" s="102" t="e">
        <f>(VLOOKUP($B$3,'Coeff EC7'!$T$39:$X$59,3,0)*BP83+VLOOKUP($B$3,'Coeff EC7'!$T$65:$X$85,3,0)*Model0.1T!BQ83)/1.1</f>
        <v>#N/A</v>
      </c>
      <c r="BT83" s="102" t="e">
        <f t="shared" si="178"/>
        <v>#N/A</v>
      </c>
      <c r="BU83" s="102" t="e">
        <f t="shared" si="179"/>
        <v>#N/A</v>
      </c>
      <c r="BV83" s="414" t="e">
        <f>IF(AND(BR83&gt;NDC!$C$63,BS83&gt;NDC!$C$65,BT83&gt;NDC!$D$73,BU83&gt;NDC!$D$74,$B83&gt;NDC!$H$22-0.1+MIN(3*BV$12,1.5)),0,1)</f>
        <v>#N/A</v>
      </c>
      <c r="BW83" s="86" t="b">
        <f t="shared" si="145"/>
        <v>0</v>
      </c>
      <c r="BX83" s="86">
        <f t="shared" si="146"/>
        <v>0.5</v>
      </c>
      <c r="BY83" s="86">
        <f t="shared" si="147"/>
        <v>0.5</v>
      </c>
      <c r="BZ83" s="30" t="e">
        <f t="shared" ca="1" si="180"/>
        <v>#DIV/0!</v>
      </c>
      <c r="CA83" s="85" t="e">
        <f ca="1">IF(BG83&lt;=Hypothèses!$V$7,Hypothèses!$W$7,IF(BG83&lt;=Hypothèses!$V$8,Hypothèses!$W$8,IF(BG83&lt;=Hypothèses!$V$9,Hypothèses!$W$9,IF(BG83&lt;=Hypothèses!$V$10,Hypothèses!$W$10,IF(BG83&lt;=Hypothèses!$V$11,Hypothèses!$W$11,IF(BG83&lt;=Hypothèses!$V$12,Hypothèses!$W$12,IF(BG83&lt;=Hypothèses!$V$13,Hypothèses!$W$13,IF(BG83&lt;=Hypothèses!$V$14,Hypothèses!$W$14,IF(BG83&lt;=Hypothèses!$V$15,Hypothèses!$W$15,IF(BG83&lt;=Hypothèses!$V$16,Hypothèses!$W$16,IF(BG83&lt;=Hypothèses!$V$17,Hypothèses!$W$17,IF(BG83&lt;=Hypothèses!$V$18,Hypothèses!$W$18,""))))))))))))</f>
        <v>#DIV/0!</v>
      </c>
      <c r="CB83" s="87" t="e">
        <f t="shared" ca="1" si="219"/>
        <v>#DIV/0!</v>
      </c>
      <c r="CC83" s="88" t="e">
        <f ca="1">IF(BG83&lt;=Hypothèses!$V$7,Hypothèses!$X$7,IF(BG83&lt;=Hypothèses!$V$8,Hypothèses!$X$8,IF(BG83&lt;=Hypothèses!$V$9,Hypothèses!$X$9,IF(BG83&lt;=Hypothèses!$V$10,Hypothèses!$X$10,IF(BG83&lt;=Hypothèses!$V$11,Hypothèses!$X$11,IF(BG83&lt;=Hypothèses!$V$12,Hypothèses!$X$12,IF(BG83&lt;=Hypothèses!$V$13,Hypothèses!$X$13,IF(BG83&lt;=Hypothèses!$V$14,Hypothèses!$X$14,IF(BG83&lt;=Hypothèses!$V$15,Hypothèses!$X$15,IF(BG83&lt;=Hypothèses!$V$16,Hypothèses!$X$16,IF(BG83&lt;=Hypothèses!$U$17,Hypothèses!$W$17,IF(BG83&lt;=Hypothèses!$U$18,Hypothèses!$W$18,""))))))))))))</f>
        <v>#DIV/0!</v>
      </c>
      <c r="CD83" s="95" t="e">
        <f t="shared" ca="1" si="181"/>
        <v>#DIV/0!</v>
      </c>
      <c r="CE83" s="101">
        <f t="shared" si="226"/>
        <v>0</v>
      </c>
      <c r="CF83" s="91">
        <f t="shared" si="148"/>
        <v>0</v>
      </c>
      <c r="CG83" s="30" t="e">
        <f t="shared" si="206"/>
        <v>#N/A</v>
      </c>
      <c r="CH83" s="30" t="e">
        <f t="shared" si="207"/>
        <v>#N/A</v>
      </c>
      <c r="CI83" s="31" t="e">
        <f>IF(OR(Hypothèses!$B$4=17,Hypothèses!$B$4=18,Hypothèses!$B$4=19,Hypothèses!$B$4=20),
IF($D83="Pressio.",
IF(OR($E83=3,$E83=1,$E83=4),CH83,CG83),
IF($D83="Pénétro.",
IF(OR($E83=3,$E83=1,$E83=4),CH83,CG83))),IF($D83="Pressio.",
IF($E83=3,CH83,CG83),
IF($D83="Pénétro.",
IF($E83=4,CH83,CG83))))</f>
        <v>#N/A</v>
      </c>
      <c r="CJ83" s="31">
        <v>0</v>
      </c>
      <c r="CK83" s="102" t="e">
        <f>IF(NDC!$H$10="Oui",(VLOOKUP($B$3,'Coeff EC7'!$T$39:$X$59,2,0)*CI83+VLOOKUP($B$3,'Coeff EC7'!$T$65:$X$85,2,0)*Model0.1T!CJ83)/1.5,PI()*CG$12*$Q83*($B83-$B82)*0.15/10+CK82)</f>
        <v>#N/A</v>
      </c>
      <c r="CL83" s="102" t="e">
        <f>(VLOOKUP($B$3,'Coeff EC7'!$T$39:$X$59,3,0)*CI83+VLOOKUP($B$3,'Coeff EC7'!$T$65:$X$85,3,0)*Model0.1T!CJ83)/1.1</f>
        <v>#N/A</v>
      </c>
      <c r="CM83" s="102" t="e">
        <f t="shared" si="182"/>
        <v>#N/A</v>
      </c>
      <c r="CN83" s="102" t="e">
        <f t="shared" si="183"/>
        <v>#N/A</v>
      </c>
      <c r="CO83" s="414" t="e">
        <f>IF(AND(CK83&gt;NDC!$C$63,CL83&gt;NDC!$C$65,CM83&gt;NDC!$D$73,CN83&gt;NDC!$D$74,$B83&gt;NDC!$H$22-0.1+MIN(3*CO$12,1.5)),0,1)</f>
        <v>#N/A</v>
      </c>
      <c r="CP83" s="86" t="b">
        <f t="shared" si="149"/>
        <v>0</v>
      </c>
      <c r="CQ83" s="86">
        <f t="shared" si="150"/>
        <v>0.5</v>
      </c>
      <c r="CR83" s="86">
        <f t="shared" si="151"/>
        <v>0.5</v>
      </c>
      <c r="CS83" s="30" t="e">
        <f t="shared" ca="1" si="184"/>
        <v>#DIV/0!</v>
      </c>
      <c r="CT83" s="85" t="e">
        <f ca="1">IF(BZ83&lt;=Hypothèses!$V$7,Hypothèses!$W$7,IF(BZ83&lt;=Hypothèses!$V$8,Hypothèses!$W$8,IF(BZ83&lt;=Hypothèses!$V$9,Hypothèses!$W$9,IF(BZ83&lt;=Hypothèses!$V$10,Hypothèses!$W$10,IF(BZ83&lt;=Hypothèses!$V$11,Hypothèses!$W$11,IF(BZ83&lt;=Hypothèses!$V$12,Hypothèses!$W$12,IF(BZ83&lt;=Hypothèses!$V$13,Hypothèses!$W$13,IF(BZ83&lt;=Hypothèses!$V$14,Hypothèses!$W$14,IF(BZ83&lt;=Hypothèses!$V$15,Hypothèses!$W$15,IF(BZ83&lt;=Hypothèses!$V$16,Hypothèses!$W$16,IF(BZ83&lt;=Hypothèses!$V$17,Hypothèses!$W$17,IF(BZ83&lt;=Hypothèses!$V$18,Hypothèses!$W$18,""))))))))))))</f>
        <v>#DIV/0!</v>
      </c>
      <c r="CU83" s="87" t="e">
        <f t="shared" ca="1" si="220"/>
        <v>#DIV/0!</v>
      </c>
      <c r="CV83" s="88" t="e">
        <f ca="1">IF(BZ83&lt;=Hypothèses!$V$7,Hypothèses!$X$7,IF(BZ83&lt;=Hypothèses!$V$8,Hypothèses!$X$8,IF(BZ83&lt;=Hypothèses!$V$9,Hypothèses!$X$9,IF(BZ83&lt;=Hypothèses!$V$10,Hypothèses!$X$10,IF(BZ83&lt;=Hypothèses!$V$11,Hypothèses!$X$11,IF(BZ83&lt;=Hypothèses!$V$12,Hypothèses!$X$12,IF(BZ83&lt;=Hypothèses!$V$13,Hypothèses!$X$13,IF(BZ83&lt;=Hypothèses!$V$14,Hypothèses!$X$14,IF(BZ83&lt;=Hypothèses!$V$15,Hypothèses!$X$15,IF(BZ83&lt;=Hypothèses!$V$16,Hypothèses!$X$16,IF(BZ83&lt;=Hypothèses!$U$17,Hypothèses!$W$17,IF(BZ83&lt;=Hypothèses!$U$18,Hypothèses!$W$18,""))))))))))))</f>
        <v>#DIV/0!</v>
      </c>
      <c r="CW83" s="95" t="e">
        <f t="shared" ca="1" si="185"/>
        <v>#DIV/0!</v>
      </c>
      <c r="CX83" s="101">
        <f t="shared" si="227"/>
        <v>0</v>
      </c>
      <c r="CY83" s="91">
        <f t="shared" si="152"/>
        <v>0</v>
      </c>
      <c r="CZ83" s="30" t="e">
        <f t="shared" si="208"/>
        <v>#N/A</v>
      </c>
      <c r="DA83" s="30" t="e">
        <f t="shared" si="209"/>
        <v>#N/A</v>
      </c>
      <c r="DB83" s="31" t="e">
        <f>IF(OR(Hypothèses!$B$4=17,Hypothèses!$B$4=18,Hypothèses!$B$4=19,Hypothèses!$B$4=20),
IF($D83="Pressio.",
IF(OR($E83=3,$E83=1,$E83=4),DA83,CZ83),
IF($D83="Pénétro.",
IF(OR($E83=3,$E83=1,$E83=4),DA83,CZ83))),IF($D83="Pressio.",
IF($E83=3,DA83,CZ83),
IF($D83="Pénétro.",
IF($E83=4,DA83,CZ83))))</f>
        <v>#N/A</v>
      </c>
      <c r="DC83" s="31">
        <v>0</v>
      </c>
      <c r="DD83" s="102" t="e">
        <f>IF(NDC!$H$10="Oui",(VLOOKUP($B$3,'Coeff EC7'!$T$39:$X$59,2,0)*DB83+VLOOKUP($B$3,'Coeff EC7'!$T$65:$X$85,2,0)*Model0.1T!DC83)/1.5,PI()*CZ$12*$Q83*($B83-$B82)*0.15/10+DD82)</f>
        <v>#N/A</v>
      </c>
      <c r="DE83" s="102" t="e">
        <f>(VLOOKUP($B$3,'Coeff EC7'!$T$39:$X$59,3,0)*DB83+VLOOKUP($B$3,'Coeff EC7'!$T$65:$X$85,3,0)*Model0.1T!DC83)/1.1</f>
        <v>#N/A</v>
      </c>
      <c r="DF83" s="102" t="e">
        <f t="shared" si="186"/>
        <v>#N/A</v>
      </c>
      <c r="DG83" s="102" t="e">
        <f t="shared" si="187"/>
        <v>#N/A</v>
      </c>
      <c r="DH83" s="414" t="e">
        <f>IF(AND(DD83&gt;NDC!$C$63,DE83&gt;NDC!$C$65,DF83&gt;NDC!$D$73,DG83&gt;NDC!$D$74,$B83&gt;NDC!$H$22-0.1+MIN(3*DH$12,1.5)),0,1)</f>
        <v>#N/A</v>
      </c>
      <c r="DI83" s="86" t="b">
        <f t="shared" si="153"/>
        <v>0</v>
      </c>
      <c r="DJ83" s="86">
        <f t="shared" si="154"/>
        <v>0.5</v>
      </c>
      <c r="DK83" s="86">
        <f t="shared" si="155"/>
        <v>0.5</v>
      </c>
      <c r="DL83" s="30" t="e">
        <f t="shared" ca="1" si="188"/>
        <v>#DIV/0!</v>
      </c>
      <c r="DM83" s="85" t="e">
        <f ca="1">IF(CS83&lt;=Hypothèses!$V$7,Hypothèses!$W$7,IF(CS83&lt;=Hypothèses!$V$8,Hypothèses!$W$8,IF(CS83&lt;=Hypothèses!$V$9,Hypothèses!$W$9,IF(CS83&lt;=Hypothèses!$V$10,Hypothèses!$W$10,IF(CS83&lt;=Hypothèses!$V$11,Hypothèses!$W$11,IF(CS83&lt;=Hypothèses!$V$12,Hypothèses!$W$12,IF(CS83&lt;=Hypothèses!$V$13,Hypothèses!$W$13,IF(CS83&lt;=Hypothèses!$V$14,Hypothèses!$W$14,IF(CS83&lt;=Hypothèses!$V$15,Hypothèses!$W$15,IF(CS83&lt;=Hypothèses!$V$16,Hypothèses!$W$16,IF(CS83&lt;=Hypothèses!$V$17,Hypothèses!$W$17,IF(CS83&lt;=Hypothèses!$V$18,Hypothèses!$W$18,""))))))))))))</f>
        <v>#DIV/0!</v>
      </c>
      <c r="DN83" s="87" t="e">
        <f t="shared" ca="1" si="221"/>
        <v>#DIV/0!</v>
      </c>
      <c r="DO83" s="88" t="e">
        <f ca="1">IF(CS83&lt;=Hypothèses!$V$7,Hypothèses!$X$7,IF(CS83&lt;=Hypothèses!$V$8,Hypothèses!$X$8,IF(CS83&lt;=Hypothèses!$V$9,Hypothèses!$X$9,IF(CS83&lt;=Hypothèses!$V$10,Hypothèses!$X$10,IF(CS83&lt;=Hypothèses!$V$11,Hypothèses!$X$11,IF(CS83&lt;=Hypothèses!$V$12,Hypothèses!$X$12,IF(CS83&lt;=Hypothèses!$V$13,Hypothèses!$X$13,IF(CS83&lt;=Hypothèses!$V$14,Hypothèses!$X$14,IF(CS83&lt;=Hypothèses!$V$15,Hypothèses!$X$15,IF(CS83&lt;=Hypothèses!$V$16,Hypothèses!$X$16,IF(CS83&lt;=Hypothèses!$U$17,Hypothèses!$W$17,IF(CS83&lt;=Hypothèses!$U$18,Hypothèses!$W$18,""))))))))))))</f>
        <v>#DIV/0!</v>
      </c>
      <c r="DP83" s="95" t="e">
        <f t="shared" ca="1" si="189"/>
        <v>#DIV/0!</v>
      </c>
      <c r="DQ83" s="101">
        <f t="shared" si="228"/>
        <v>0</v>
      </c>
      <c r="DR83" s="91">
        <f t="shared" si="156"/>
        <v>0</v>
      </c>
      <c r="DS83" s="30" t="e">
        <f t="shared" si="210"/>
        <v>#N/A</v>
      </c>
      <c r="DT83" s="30" t="e">
        <f t="shared" si="211"/>
        <v>#N/A</v>
      </c>
      <c r="DU83" s="31" t="e">
        <f>IF(OR(Hypothèses!$B$4=17,Hypothèses!$B$4=18,Hypothèses!$B$4=19,Hypothèses!$B$4=20),
IF($D83="Pressio.",
IF(OR($E83=3,$E83=1,$E83=4),DT83,DS83),
IF($D83="Pénétro.",
IF(OR($E83=3,$E83=1,$E83=4),DT83,DS83))),IF($D83="Pressio.",
IF($E83=3,DT83,DS83),
IF($D83="Pénétro.",
IF($E83=4,DT83,DS83))))</f>
        <v>#N/A</v>
      </c>
      <c r="DV83" s="31">
        <v>0</v>
      </c>
      <c r="DW83" s="102" t="e">
        <f>IF(NDC!$H$10="Oui",(VLOOKUP($B$3,'Coeff EC7'!$T$39:$X$59,2,0)*DU83+VLOOKUP($B$3,'Coeff EC7'!$T$65:$X$85,2,0)*Model0.1T!DV83)/1.5,PI()*DS$12*$Q83*($B83-$B82)*0.15/10+DW82)</f>
        <v>#N/A</v>
      </c>
      <c r="DX83" s="102" t="e">
        <f>(VLOOKUP($B$3,'Coeff EC7'!$T$39:$X$59,3,0)*DU83+VLOOKUP($B$3,'Coeff EC7'!$T$65:$X$85,3,0)*Model0.1T!DV83)/1.1</f>
        <v>#N/A</v>
      </c>
      <c r="DY83" s="102" t="e">
        <f t="shared" si="190"/>
        <v>#N/A</v>
      </c>
      <c r="DZ83" s="102" t="e">
        <f t="shared" si="191"/>
        <v>#N/A</v>
      </c>
      <c r="EA83" s="414" t="e">
        <f>IF(AND(DW83&gt;NDC!$C$63,DX83&gt;NDC!$C$65,DY83&gt;NDC!$D$73,DZ83&gt;NDC!$D$74,$B83&gt;NDC!$H$22-0.1+MIN(3*EA$12,1.5)),0,1)</f>
        <v>#N/A</v>
      </c>
      <c r="EB83" s="86" t="b">
        <f t="shared" si="157"/>
        <v>0</v>
      </c>
      <c r="EC83" s="418">
        <f t="shared" si="158"/>
        <v>0.51</v>
      </c>
      <c r="ED83" s="86">
        <f t="shared" si="159"/>
        <v>0.51</v>
      </c>
      <c r="EE83" s="30" t="e">
        <f t="shared" ca="1" si="192"/>
        <v>#DIV/0!</v>
      </c>
      <c r="EF83" s="85" t="e">
        <f ca="1">IF(DL83&lt;=Hypothèses!$V$7,Hypothèses!$W$7,IF(DL83&lt;=Hypothèses!$V$8,Hypothèses!$W$8,IF(DL83&lt;=Hypothèses!$V$9,Hypothèses!$W$9,IF(DL83&lt;=Hypothèses!$V$10,Hypothèses!$W$10,IF(DL83&lt;=Hypothèses!$V$11,Hypothèses!$W$11,IF(DL83&lt;=Hypothèses!$V$12,Hypothèses!$W$12,IF(DL83&lt;=Hypothèses!$V$13,Hypothèses!$W$13,IF(DL83&lt;=Hypothèses!$V$14,Hypothèses!$W$14,IF(DL83&lt;=Hypothèses!$V$15,Hypothèses!$W$15,IF(DL83&lt;=Hypothèses!$V$16,Hypothèses!$W$16,IF(DL83&lt;=Hypothèses!$V$17,Hypothèses!$W$17,IF(DL83&lt;=Hypothèses!$V$18,Hypothèses!$W$18,""))))))))))))</f>
        <v>#DIV/0!</v>
      </c>
      <c r="EG83" s="87" t="e">
        <f t="shared" ca="1" si="222"/>
        <v>#DIV/0!</v>
      </c>
      <c r="EH83" s="88" t="e">
        <f ca="1">IF(DL83&lt;=Hypothèses!$V$7,Hypothèses!$X$7,IF(DL83&lt;=Hypothèses!$V$8,Hypothèses!$X$8,IF(DL83&lt;=Hypothèses!$V$9,Hypothèses!$X$9,IF(DL83&lt;=Hypothèses!$V$10,Hypothèses!$X$10,IF(DL83&lt;=Hypothèses!$V$11,Hypothèses!$X$11,IF(DL83&lt;=Hypothèses!$V$12,Hypothèses!$X$12,IF(DL83&lt;=Hypothèses!$V$13,Hypothèses!$X$13,IF(DL83&lt;=Hypothèses!$V$14,Hypothèses!$X$14,IF(DL83&lt;=Hypothèses!$V$15,Hypothèses!$X$15,IF(DL83&lt;=Hypothèses!$V$16,Hypothèses!$X$16,IF(DL83&lt;=Hypothèses!$U$17,Hypothèses!$W$17,IF(DL83&lt;=Hypothèses!$U$18,Hypothèses!$W$18,""))))))))))))</f>
        <v>#DIV/0!</v>
      </c>
      <c r="EI83" s="95" t="e">
        <f t="shared" ca="1" si="193"/>
        <v>#DIV/0!</v>
      </c>
      <c r="EJ83" s="101">
        <f t="shared" si="229"/>
        <v>0</v>
      </c>
      <c r="EK83" s="91">
        <f t="shared" si="160"/>
        <v>0</v>
      </c>
      <c r="EL83" s="30" t="e">
        <f t="shared" si="212"/>
        <v>#N/A</v>
      </c>
      <c r="EM83" s="30" t="e">
        <f t="shared" si="213"/>
        <v>#N/A</v>
      </c>
      <c r="EN83" s="31" t="e">
        <f>IF(OR(Hypothèses!$B$4=17,Hypothèses!$B$4=18,Hypothèses!$B$4=19,Hypothèses!$B$4=20),
IF($D83="Pressio.",
IF(OR($E83=3,$E83=1,$E83=4),EM83,EL83),
IF($D83="Pénétro.",
IF(OR($E83=3,$E83=1,$E83=4),EM83,EL83))),IF($D83="Pressio.",
IF($E83=3,EM83,EL83),
IF($D83="Pénétro.",
IF($E83=4,EM83,EL83))))</f>
        <v>#N/A</v>
      </c>
      <c r="EO83" s="31">
        <v>0</v>
      </c>
      <c r="EP83" s="102" t="e">
        <f>IF(NDC!$H$10="Oui",(VLOOKUP($B$3,'Coeff EC7'!$T$39:$X$59,2,0)*EN83+VLOOKUP($B$3,'Coeff EC7'!$T$65:$X$85,2,0)*Model0.1T!EO83)/1.5,PI()*EL$12*$Q83*($B83-$B82)*0.15/10+EP82)</f>
        <v>#N/A</v>
      </c>
      <c r="EQ83" s="102" t="e">
        <f>(VLOOKUP($B$3,'Coeff EC7'!$T$39:$X$59,3,0)*EN83+VLOOKUP($B$3,'Coeff EC7'!$T$65:$X$85,3,0)*Model0.1T!EO83)/1.1</f>
        <v>#N/A</v>
      </c>
      <c r="ER83" s="102" t="e">
        <f t="shared" si="194"/>
        <v>#N/A</v>
      </c>
      <c r="ES83" s="102" t="e">
        <f t="shared" si="195"/>
        <v>#N/A</v>
      </c>
      <c r="ET83" s="414" t="e">
        <f>IF(AND(EP83&gt;NDC!$C$63,EQ83&gt;NDC!$C$65,ER83&gt;NDC!$D$73,ES83&gt;NDC!$D$74,$B83&gt;NDC!$H$22-0.1+MIN(3*ET$12,1.5)),0,1)</f>
        <v>#N/A</v>
      </c>
      <c r="EU83" s="86" t="b">
        <f t="shared" si="161"/>
        <v>0</v>
      </c>
      <c r="EV83" s="86">
        <f t="shared" si="162"/>
        <v>0.61</v>
      </c>
      <c r="EW83" s="86">
        <f t="shared" si="163"/>
        <v>0.61</v>
      </c>
      <c r="EX83" s="30" t="e">
        <f t="shared" ca="1" si="196"/>
        <v>#DIV/0!</v>
      </c>
      <c r="EY83" s="85" t="e">
        <f ca="1">IF(EE83&lt;=Hypothèses!$V$7,Hypothèses!$W$7,IF(EE83&lt;=Hypothèses!$V$8,Hypothèses!$W$8,IF(EE83&lt;=Hypothèses!$V$9,Hypothèses!$W$9,IF(EE83&lt;=Hypothèses!$V$10,Hypothèses!$W$10,IF(EE83&lt;=Hypothèses!$V$11,Hypothèses!$W$11,IF(EE83&lt;=Hypothèses!$V$12,Hypothèses!$W$12,IF(EE83&lt;=Hypothèses!$V$13,Hypothèses!$W$13,IF(EE83&lt;=Hypothèses!$V$14,Hypothèses!$W$14,IF(EE83&lt;=Hypothèses!$V$15,Hypothèses!$W$15,IF(EE83&lt;=Hypothèses!$V$16,Hypothèses!$W$16,IF(EE83&lt;=Hypothèses!$V$17,Hypothèses!$W$17,IF(EE83&lt;=Hypothèses!$V$18,Hypothèses!$W$18,""))))))))))))</f>
        <v>#DIV/0!</v>
      </c>
      <c r="EZ83" s="87" t="e">
        <f t="shared" ca="1" si="223"/>
        <v>#DIV/0!</v>
      </c>
      <c r="FA83" s="88" t="e">
        <f ca="1">IF(EE83&lt;=Hypothèses!$V$7,Hypothèses!$X$7,IF(EE83&lt;=Hypothèses!$V$8,Hypothèses!$X$8,IF(EE83&lt;=Hypothèses!$V$9,Hypothèses!$X$9,IF(EE83&lt;=Hypothèses!$V$10,Hypothèses!$X$10,IF(EE83&lt;=Hypothèses!$V$11,Hypothèses!$X$11,IF(EE83&lt;=Hypothèses!$V$12,Hypothèses!$X$12,IF(EE83&lt;=Hypothèses!$V$13,Hypothèses!$X$13,IF(EE83&lt;=Hypothèses!$V$14,Hypothèses!$X$14,IF(EE83&lt;=Hypothèses!$V$15,Hypothèses!$X$15,IF(EE83&lt;=Hypothèses!$V$16,Hypothèses!$X$16,IF(EE83&lt;=Hypothèses!$U$17,Hypothèses!$W$17,IF(EE83&lt;=Hypothèses!$U$18,Hypothèses!$W$18,""))))))))))))</f>
        <v>#DIV/0!</v>
      </c>
      <c r="FB83" s="95" t="e">
        <f t="shared" ca="1" si="197"/>
        <v>#DIV/0!</v>
      </c>
      <c r="FC83" s="101">
        <f t="shared" si="230"/>
        <v>0</v>
      </c>
      <c r="FD83" s="91">
        <f t="shared" si="164"/>
        <v>0</v>
      </c>
      <c r="FE83" s="30" t="e">
        <f t="shared" si="214"/>
        <v>#N/A</v>
      </c>
      <c r="FF83" s="30" t="e">
        <f t="shared" si="215"/>
        <v>#N/A</v>
      </c>
      <c r="FG83" s="31" t="e">
        <f>IF(OR(Hypothèses!$B$4=17,Hypothèses!$B$4=18,Hypothèses!$B$4=19,Hypothèses!$B$4=20),
IF($D83="Pressio.",
IF(OR($E83=3,$E83=1,$E83=4),FF83,FE83),
IF($D83="Pénétro.",
IF(OR($E83=3,$E83=1,$E83=4),FF83,FE83))),IF($D83="Pressio.",
IF($E83=3,FF83,FE83),
IF($D83="Pénétro.",
IF($E83=4,FF83,FE83))))</f>
        <v>#N/A</v>
      </c>
      <c r="FH83" s="31">
        <v>0</v>
      </c>
      <c r="FI83" s="102" t="e">
        <f>IF(NDC!$H$10="Oui",(VLOOKUP($B$3,'Coeff EC7'!$T$39:$X$59,2,0)*FG83+VLOOKUP($B$3,'Coeff EC7'!$T$65:$X$85,2,0)*Model0.1T!FH83)/1.5,PI()*FE$12*$Q83*($B83-$B82)*0.15/10+FI82)</f>
        <v>#N/A</v>
      </c>
      <c r="FJ83" s="102" t="e">
        <f>(VLOOKUP($B$3,'Coeff EC7'!$T$39:$X$59,3,0)*FG83+VLOOKUP($B$3,'Coeff EC7'!$T$65:$X$85,3,0)*Model0.1T!FH83)/1.1</f>
        <v>#N/A</v>
      </c>
      <c r="FK83" s="102" t="e">
        <f t="shared" si="198"/>
        <v>#N/A</v>
      </c>
      <c r="FL83" s="102" t="e">
        <f t="shared" si="199"/>
        <v>#N/A</v>
      </c>
      <c r="FM83" s="414" t="e">
        <f>IF(AND(FI83&gt;NDC!$C$63,FJ83&gt;NDC!$C$65,FK83&gt;NDC!$D$73,FL83&gt;NDC!$D$74,$B83&gt;NDC!$H$22-0.1+MIN(3*FM$12,1.5)),0,1)</f>
        <v>#N/A</v>
      </c>
    </row>
    <row r="84" spans="1:169">
      <c r="A84" s="96">
        <f t="shared" si="165"/>
        <v>92.900000000000404</v>
      </c>
      <c r="B84" s="97">
        <v>7.1</v>
      </c>
      <c r="C84" s="81">
        <f>IF(B84&lt;=Hypothèses!$C$7,Hypothèses!$A$7,IF(B84&lt;=Hypothèses!$C$8,Hypothèses!$A$8,IF(B84&lt;=Hypothèses!$C$9,Hypothèses!$A$9,IF(B84&lt;=Hypothèses!$C$10,Hypothèses!$A$10,IF(B84&lt;=Hypothèses!$C$11,Hypothèses!$A$11,IF(B84&lt;=Hypothèses!$C$12,Hypothèses!$A$12,IF(B84&lt;=Hypothèses!$C$13,Hypothèses!$A$13,IF(B84&lt;=Hypothèses!$C$14,Hypothèses!$A$14,IF(B84&lt;=Hypothèses!$C$15,Hypothèses!$A$15,IF(B84&lt;=Hypothèses!$C$16,Hypothèses!$A$16,IF(B84&lt;=Hypothèses!$C$17,Hypothèses!$A$17,IF(B84&lt;=Hypothèses!$C$18,Hypothèses!$A$18,C83))))))))))))</f>
        <v>11</v>
      </c>
      <c r="D84" s="82" t="str">
        <f>IF(B84&lt;=Hypothèses!$C$7,Hypothèses!$R$7,IF(B84&lt;=Hypothèses!$C$8,Hypothèses!$R$8,IF(B84&lt;=Hypothèses!$C$9,Hypothèses!$R$9,IF(B84&lt;=Hypothèses!$C$10,Hypothèses!$R$10,IF(B84&lt;=Hypothèses!$C$11,Hypothèses!$R$11,IF(B84&lt;=Hypothèses!$C$12,Hypothèses!$R$12,IF(B84&lt;=Hypothèses!$C$13,Hypothèses!$R$13,IF(B84&lt;=Hypothèses!$C$14,Hypothèses!$R$14,IF(B84&lt;=Hypothèses!$C$15,Hypothèses!$R$15,IF(B84&lt;=Hypothèses!$C$16,Hypothèses!$R$16,IF(B84&lt;=Hypothèses!$C$17,Hypothèses!$R$17,IF(B84&lt;=Hypothèses!$C$18,Hypothèses!$R$18,D83))))))))))))</f>
        <v>Pressio.</v>
      </c>
      <c r="E84" s="82" t="e">
        <f>IF(B84&lt;=Hypothèses!$C$7,Hypothèses!$G$7,IF(B84&lt;=Hypothèses!$C$8,Hypothèses!$G$8,IF(B84&lt;=Hypothèses!$C$9,Hypothèses!$G$9,IF(B84&lt;=Hypothèses!$C$10,Hypothèses!$G$10,IF(B84&lt;=Hypothèses!$C$11,Hypothèses!$G$11,IF(B84&lt;=Hypothèses!$C$12,Hypothèses!$G$12,IF(B84&lt;=Hypothèses!$C$13,Hypothèses!$G$13,IF(B84&lt;=Hypothèses!$C$14,Hypothèses!$G$14,IF(B84&lt;=Hypothèses!$C$15,Hypothèses!$G$15,IF(B84&lt;=Hypothèses!$C$16,Hypothèses!$G$16,IF(B84&lt;=Hypothèses!$C$17,Hypothèses!$G$17,IF(B84&lt;=Hypothèses!$C$18,Hypothèses!$G$18,E83))))))))))))</f>
        <v>#N/A</v>
      </c>
      <c r="F84" s="82" t="str">
        <f>IF(B84&lt;=Hypothèses!$C$7,Hypothèses!$F$7,IF(B84&lt;=Hypothèses!$C$8,Hypothèses!$F$8,IF(B84&lt;=Hypothèses!$C$9,Hypothèses!$F$9,IF(B84&lt;=Hypothèses!$C$10,Hypothèses!$F$10,IF(B84&lt;=Hypothèses!$C$11,Hypothèses!$F$11,IF(B84&lt;=Hypothèses!$C$12,Hypothèses!$F$12,IF(B84&lt;=Hypothèses!$C$13,Hypothèses!$F$13,IF(B84&lt;=Hypothèses!$C$14,Hypothèses!$F$14,IF(B84&lt;=Hypothèses!$C$15,Hypothèses!$F$15,IF(B84&lt;=Hypothèses!$C$16,Hypothèses!$F$16,IF(B84&lt;=Hypothèses!$C$17,Hypothèses!$F$17,IF(B84&lt;=Hypothèses!$C$18,Hypothèses!$F$18,F83))))))))))))</f>
        <v/>
      </c>
      <c r="G84" s="91">
        <f t="array" ref="G84">INDEX('Coeff EC7'!$U$7:$X$27,
MATCH(Model0.1T!$B$3,'Coeff EC7'!$T$7:$T$27,0),
MATCH(Model0.1T!$D84&amp;Model0.1T!$B$4,
'Coeff EC7'!$U$6:$X$6&amp;
'Coeff EC7'!$U$5:$X$5,0))</f>
        <v>1.4</v>
      </c>
      <c r="H84" s="91">
        <f t="array" ref="H84">INDEX('Coeff EC7'!$Y$7:$AB$27,
MATCH(Model0.1T!$B$3,'Coeff EC7'!$T$7:$T$27,0),
MATCH(Model0.1T!$D84&amp;Model0.1T!$B$4,
'Coeff EC7'!$Y$6:$AB$6&amp;
'Coeff EC7'!$Y$5:$AB$5,0))</f>
        <v>1.7</v>
      </c>
      <c r="I84" s="83">
        <v>0</v>
      </c>
      <c r="J84" s="91" t="e">
        <f t="array" ref="J84">INDEX('Coeff EC7'!$D$33:$Q$33,1,MATCH(D84&amp;E84,'Coeff EC7'!$D$31:$Q$31&amp;'Coeff EC7'!$D$32:$Q$32,0))</f>
        <v>#N/A</v>
      </c>
      <c r="K84" s="91" t="e">
        <f t="array" ref="K84">INDEX('Coeff EC7'!$D$34:$Q$34,1,MATCH(D84&amp;E84,'Coeff EC7'!$D$31:$Q$31&amp;'Coeff EC7'!$D$32:$Q$32,0))</f>
        <v>#N/A</v>
      </c>
      <c r="L84" s="91" t="e">
        <f t="array" ref="L84">INDEX('Coeff EC7'!$D$35:$Q$35,1,MATCH(D84&amp;E84,'Coeff EC7'!$D$31:$Q$31&amp;'Coeff EC7'!$D$32:$Q$32,0))</f>
        <v>#N/A</v>
      </c>
      <c r="M84" s="98" t="e">
        <f t="shared" si="131"/>
        <v>#N/A</v>
      </c>
      <c r="N84" s="99" t="e">
        <f t="array" ref="N84">INDEX('Coeff EC7'!$D$7:$Q$27,MATCH($B$3,'Coeff EC7'!$C$7:$C$27,0),MATCH(D84&amp;E84,'Coeff EC7'!$D$5:$Q$5&amp;'Coeff EC7'!$D$6:$Q$6,0))</f>
        <v>#N/A</v>
      </c>
      <c r="O84" s="99" t="e">
        <f t="array" ref="O84">INDEX('Coeff EC7'!$D$41:$Q$61,MATCH($B$3,'Coeff EC7'!$C$41:$C$61,0),MATCH(D84&amp;E84,'Coeff EC7'!$D$39:$Q$39&amp;'Coeff EC7'!$D$40:$Q$40,0))</f>
        <v>#N/A</v>
      </c>
      <c r="P84" s="30" t="e">
        <f t="shared" si="166"/>
        <v>#N/A</v>
      </c>
      <c r="Q84" s="100" t="e">
        <f t="shared" si="133"/>
        <v>#N/A</v>
      </c>
      <c r="R84" s="86" t="b">
        <f t="shared" si="134"/>
        <v>0</v>
      </c>
      <c r="S84" s="86">
        <f t="shared" si="132"/>
        <v>0.5</v>
      </c>
      <c r="T84" s="86">
        <f t="shared" si="135"/>
        <v>0.5</v>
      </c>
      <c r="U84" s="30" t="e">
        <f t="shared" ca="1" si="167"/>
        <v>#DIV/0!</v>
      </c>
      <c r="V84" s="85" t="str">
        <f>IF(B84&lt;=Hypothèses!$V$7,Hypothèses!$W$7,IF(B84&lt;=Hypothèses!$V$8,Hypothèses!$W$8,IF(B84&lt;=Hypothèses!$V$9,Hypothèses!$W$9,IF(B84&lt;=Hypothèses!$V$10,Hypothèses!$W$10,IF(B84&lt;=Hypothèses!$V$11,Hypothèses!$W$11,IF(B84&lt;=Hypothèses!$V$12,Hypothèses!$W$12,IF(B84&lt;=Hypothèses!$V$13,Hypothèses!$W$13,IF(B84&lt;=Hypothèses!$V$14,Hypothèses!$W$14,IF(B84&lt;=Hypothèses!$V$15,Hypothèses!$W$15,IF(B84&lt;=Hypothèses!$V$16,Hypothèses!$W$16,IF(B84&lt;=Hypothèses!$V$17,Hypothèses!$W$17,IF(B84&lt;=Hypothèses!$V$18,Hypothèses!$W$18,""))))))))))))</f>
        <v/>
      </c>
      <c r="W84" s="87" t="e">
        <f t="shared" ca="1" si="216"/>
        <v>#DIV/0!</v>
      </c>
      <c r="X84" s="88" t="str">
        <f>IF(B84&lt;=Hypothèses!$V$7,Hypothèses!$X$7,IF(B84&lt;=Hypothèses!$V$8,Hypothèses!$X$8,IF(B84&lt;=Hypothèses!$V$9,Hypothèses!$X$9,IF(B84&lt;=Hypothèses!$V$10,Hypothèses!$X$10,IF(B84&lt;=Hypothèses!$V$11,Hypothèses!$X$11,IF(B84&lt;=Hypothèses!$V$12,Hypothèses!$X$12,IF(B84&lt;=Hypothèses!$V$13,Hypothèses!$X$13,IF(B84&lt;=Hypothèses!$V$14,Hypothèses!$X$14,IF(B84&lt;=Hypothèses!$V$15,Hypothèses!$X$15,IF(B84&lt;=Hypothèses!$V$16,Hypothèses!$X$16,IF(B84&lt;=Hypothèses!$U$17,Hypothèses!$W$17,IF(B84&lt;=Hypothèses!$U$18,Hypothèses!$W$18,""))))))))))))</f>
        <v/>
      </c>
      <c r="Y84" s="95" t="e">
        <f t="shared" ca="1" si="136"/>
        <v>#DIV/0!</v>
      </c>
      <c r="Z84" s="101">
        <f t="shared" si="137"/>
        <v>0</v>
      </c>
      <c r="AA84" s="91">
        <f t="shared" si="138"/>
        <v>0</v>
      </c>
      <c r="AB84" s="30" t="e">
        <f t="shared" si="200"/>
        <v>#N/A</v>
      </c>
      <c r="AC84" s="30" t="e">
        <f t="shared" si="201"/>
        <v>#N/A</v>
      </c>
      <c r="AD84" s="31" t="e">
        <f>IF(OR(Hypothèses!$B$4=17,Hypothèses!$B$4=18,Hypothèses!$B$4=19,Hypothèses!$B$4=20),
IF($D84="Pressio.",
IF(OR($E84=3,$E84=1,$E84=4),AC84,AB84),
IF($D84="Pénétro.",
IF(OR($E84=3,$E84=1,$E84=4),AC84,AB84))),IF($D84="Pressio.",
IF($E84=3,AC84,AB84),
IF($D84="Pénétro.",
IF($E84=4,AC84,AB84))))</f>
        <v>#N/A</v>
      </c>
      <c r="AE84" s="31">
        <v>0</v>
      </c>
      <c r="AF84" s="102" t="e">
        <f>IF(NDC!$H$10="Oui",(VLOOKUP($B$3,'Coeff EC7'!$T$39:$X$59,2,0)*AD84+VLOOKUP($B$3,'Coeff EC7'!$T$65:$X$85,2,0)*Model0.1T!AE84)/1.5,PI()*AB$12*$Q84*($B84-$B83)*0.15/10+AF83)</f>
        <v>#N/A</v>
      </c>
      <c r="AG84" s="102" t="e">
        <f>(VLOOKUP($B$3,'Coeff EC7'!$T$39:$X$59,3,0)*AD84+VLOOKUP($B$3,'Coeff EC7'!$T$65:$X$85,3,0)*Model0.1T!AE84)/1.1</f>
        <v>#N/A</v>
      </c>
      <c r="AH84" s="102" t="e">
        <f t="shared" si="168"/>
        <v>#N/A</v>
      </c>
      <c r="AI84" s="102" t="e">
        <f t="shared" si="169"/>
        <v>#N/A</v>
      </c>
      <c r="AJ84" s="414" t="e">
        <f>IF(AND(AF84&gt;NDC!$C$63,AG84&gt;NDC!$C$65,AH84&gt;NDC!$D$73,AI84&gt;NDC!$D$74,$B84&gt;NDC!$H$22-0.1+MIN(3*$AJ$12,1.5)),0,1)</f>
        <v>#N/A</v>
      </c>
      <c r="AK84" s="86" t="b">
        <f t="shared" si="139"/>
        <v>0</v>
      </c>
      <c r="AL84" s="86">
        <f t="shared" si="170"/>
        <v>0.5</v>
      </c>
      <c r="AM84" s="86">
        <f t="shared" si="140"/>
        <v>0.5</v>
      </c>
      <c r="AN84" s="30" t="e">
        <f t="shared" ca="1" si="171"/>
        <v>#DIV/0!</v>
      </c>
      <c r="AO84" s="85" t="e">
        <f ca="1">IF(U84&lt;=Hypothèses!$V$7,Hypothèses!$W$7,IF(U84&lt;=Hypothèses!$V$8,Hypothèses!$W$8,IF(U84&lt;=Hypothèses!$V$9,Hypothèses!$W$9,IF(U84&lt;=Hypothèses!$V$10,Hypothèses!$W$10,IF(U84&lt;=Hypothèses!$V$11,Hypothèses!$W$11,IF(U84&lt;=Hypothèses!$V$12,Hypothèses!$W$12,IF(U84&lt;=Hypothèses!$V$13,Hypothèses!$W$13,IF(U84&lt;=Hypothèses!$V$14,Hypothèses!$W$14,IF(U84&lt;=Hypothèses!$V$15,Hypothèses!$W$15,IF(U84&lt;=Hypothèses!$V$16,Hypothèses!$W$16,IF(U84&lt;=Hypothèses!$V$17,Hypothèses!$W$17,IF(U84&lt;=Hypothèses!$V$18,Hypothèses!$W$18,""))))))))))))</f>
        <v>#DIV/0!</v>
      </c>
      <c r="AP84" s="87" t="e">
        <f t="shared" ca="1" si="217"/>
        <v>#DIV/0!</v>
      </c>
      <c r="AQ84" s="88" t="e">
        <f ca="1">IF(U84&lt;=Hypothèses!$V$7,Hypothèses!$X$7,IF(U84&lt;=Hypothèses!$V$8,Hypothèses!$X$8,IF(U84&lt;=Hypothèses!$V$9,Hypothèses!$X$9,IF(U84&lt;=Hypothèses!$V$10,Hypothèses!$X$10,IF(U84&lt;=Hypothèses!$V$11,Hypothèses!$X$11,IF(U84&lt;=Hypothèses!$V$12,Hypothèses!$X$12,IF(U84&lt;=Hypothèses!$V$13,Hypothèses!$X$13,IF(U84&lt;=Hypothèses!$V$14,Hypothèses!$X$14,IF(U84&lt;=Hypothèses!$V$15,Hypothèses!$X$15,IF(U84&lt;=Hypothèses!$V$16,Hypothèses!$X$16,IF(U84&lt;=Hypothèses!$U$17,Hypothèses!$W$17,IF(U84&lt;=Hypothèses!$U$18,Hypothèses!$W$18,""))))))))))))</f>
        <v>#DIV/0!</v>
      </c>
      <c r="AR84" s="95" t="e">
        <f t="shared" ca="1" si="172"/>
        <v>#DIV/0!</v>
      </c>
      <c r="AS84" s="101">
        <f t="shared" si="224"/>
        <v>0</v>
      </c>
      <c r="AT84" s="91">
        <f t="shared" si="141"/>
        <v>0</v>
      </c>
      <c r="AU84" s="30" t="e">
        <f t="shared" si="202"/>
        <v>#N/A</v>
      </c>
      <c r="AV84" s="30" t="e">
        <f t="shared" si="203"/>
        <v>#N/A</v>
      </c>
      <c r="AW84" s="31" t="e">
        <f>IF(OR(Hypothèses!$B$4=17,Hypothèses!$B$4=18,Hypothèses!$B$4=19,Hypothèses!$B$4=20),
IF($D84="Pressio.",
IF(OR($E84=3,$E84=1,$E84=4),AV84,AU84),
IF($D84="Pénétro.",
IF(OR($E84=3,$E84=1,$E84=4),AV84,AU84))),IF($D84="Pressio.",
IF($E84=3,AV84,AU84),
IF($D84="Pénétro.",
IF($E84=4,AV84,AU84))))</f>
        <v>#N/A</v>
      </c>
      <c r="AX84" s="31">
        <v>0</v>
      </c>
      <c r="AY84" s="102" t="e">
        <f>IF(NDC!$H$10="Oui",(VLOOKUP($B$3,'Coeff EC7'!$T$39:$X$59,2,0)*AW84+VLOOKUP($B$3,'Coeff EC7'!$T$65:$X$85,2,0)*Model0.1T!AX84)/1.5,PI()*AU$12*$Q84*($B84-$B83)*0.15/10+AY83)</f>
        <v>#N/A</v>
      </c>
      <c r="AZ84" s="102" t="e">
        <f>(VLOOKUP($B$3,'Coeff EC7'!$T$39:$X$59,3,0)*AW84+VLOOKUP($B$3,'Coeff EC7'!$T$65:$X$85,3,0)*Model0.1T!AX84)/1.1</f>
        <v>#N/A</v>
      </c>
      <c r="BA84" s="102" t="e">
        <f t="shared" si="173"/>
        <v>#N/A</v>
      </c>
      <c r="BB84" s="102" t="e">
        <f t="shared" si="174"/>
        <v>#N/A</v>
      </c>
      <c r="BC84" s="414" t="e">
        <f>IF(AND(AY84&gt;NDC!$C$63,AZ84&gt;NDC!$C$65,BA84&gt;NDC!$D$73,BB84&gt;NDC!$D$74,$B84&gt;NDC!$H$22-0.1+MIN(3*BC$12,1.5)),0,1)</f>
        <v>#N/A</v>
      </c>
      <c r="BD84" s="86" t="b">
        <f t="shared" si="142"/>
        <v>0</v>
      </c>
      <c r="BE84" s="86">
        <f t="shared" si="175"/>
        <v>0.5</v>
      </c>
      <c r="BF84" s="86">
        <f t="shared" si="143"/>
        <v>0.5</v>
      </c>
      <c r="BG84" s="30" t="e">
        <f t="shared" ca="1" si="176"/>
        <v>#DIV/0!</v>
      </c>
      <c r="BH84" s="85" t="e">
        <f ca="1">IF(AN84&lt;=Hypothèses!$V$7,Hypothèses!$W$7,IF(AN84&lt;=Hypothèses!$V$8,Hypothèses!$W$8,IF(AN84&lt;=Hypothèses!$V$9,Hypothèses!$W$9,IF(AN84&lt;=Hypothèses!$V$10,Hypothèses!$W$10,IF(AN84&lt;=Hypothèses!$V$11,Hypothèses!$W$11,IF(AN84&lt;=Hypothèses!$V$12,Hypothèses!$W$12,IF(AN84&lt;=Hypothèses!$V$13,Hypothèses!$W$13,IF(AN84&lt;=Hypothèses!$V$14,Hypothèses!$W$14,IF(AN84&lt;=Hypothèses!$V$15,Hypothèses!$W$15,IF(AN84&lt;=Hypothèses!$V$16,Hypothèses!$W$16,IF(AN84&lt;=Hypothèses!$V$17,Hypothèses!$W$17,IF(AN84&lt;=Hypothèses!$V$18,Hypothèses!$W$18,""))))))))))))</f>
        <v>#DIV/0!</v>
      </c>
      <c r="BI84" s="87" t="e">
        <f t="shared" ca="1" si="218"/>
        <v>#DIV/0!</v>
      </c>
      <c r="BJ84" s="88" t="e">
        <f ca="1">IF(AN84&lt;=Hypothèses!$V$7,Hypothèses!$X$7,IF(AN84&lt;=Hypothèses!$V$8,Hypothèses!$X$8,IF(AN84&lt;=Hypothèses!$V$9,Hypothèses!$X$9,IF(AN84&lt;=Hypothèses!$V$10,Hypothèses!$X$10,IF(AN84&lt;=Hypothèses!$V$11,Hypothèses!$X$11,IF(AN84&lt;=Hypothèses!$V$12,Hypothèses!$X$12,IF(AN84&lt;=Hypothèses!$V$13,Hypothèses!$X$13,IF(AN84&lt;=Hypothèses!$V$14,Hypothèses!$X$14,IF(AN84&lt;=Hypothèses!$V$15,Hypothèses!$X$15,IF(AN84&lt;=Hypothèses!$V$16,Hypothèses!$X$16,IF(AN84&lt;=Hypothèses!$U$17,Hypothèses!$W$17,IF(AN84&lt;=Hypothèses!$U$18,Hypothèses!$W$18,""))))))))))))</f>
        <v>#DIV/0!</v>
      </c>
      <c r="BK84" s="95" t="e">
        <f t="shared" ca="1" si="177"/>
        <v>#DIV/0!</v>
      </c>
      <c r="BL84" s="101">
        <f t="shared" si="225"/>
        <v>0</v>
      </c>
      <c r="BM84" s="91">
        <f t="shared" si="144"/>
        <v>0</v>
      </c>
      <c r="BN84" s="30" t="e">
        <f t="shared" si="204"/>
        <v>#N/A</v>
      </c>
      <c r="BO84" s="30" t="e">
        <f t="shared" si="205"/>
        <v>#N/A</v>
      </c>
      <c r="BP84" s="31" t="e">
        <f>IF(OR(Hypothèses!$B$4=17,Hypothèses!$B$4=18,Hypothèses!$B$4=19,Hypothèses!$B$4=20),
IF($D84="Pressio.",
IF(OR($E84=3,$E84=1,$E84=4),BO84,BN84),
IF($D84="Pénétro.",
IF(OR($E84=3,$E84=1,$E84=4),BO84,BN84))),IF($D84="Pressio.",
IF($E84=3,BO84,BN84),
IF($D84="Pénétro.",
IF($E84=4,BO84,BN84))))</f>
        <v>#N/A</v>
      </c>
      <c r="BQ84" s="31">
        <v>0</v>
      </c>
      <c r="BR84" s="102" t="e">
        <f>IF(NDC!$H$10="Oui",(VLOOKUP($B$3,'Coeff EC7'!$T$39:$X$59,2,0)*BP84+VLOOKUP($B$3,'Coeff EC7'!$T$65:$X$85,2,0)*Model0.1T!BQ84)/1.5,PI()*BN$12*$Q84*($B84-$B83)*0.15/10+BR83)</f>
        <v>#N/A</v>
      </c>
      <c r="BS84" s="102" t="e">
        <f>(VLOOKUP($B$3,'Coeff EC7'!$T$39:$X$59,3,0)*BP84+VLOOKUP($B$3,'Coeff EC7'!$T$65:$X$85,3,0)*Model0.1T!BQ84)/1.1</f>
        <v>#N/A</v>
      </c>
      <c r="BT84" s="102" t="e">
        <f t="shared" si="178"/>
        <v>#N/A</v>
      </c>
      <c r="BU84" s="102" t="e">
        <f t="shared" si="179"/>
        <v>#N/A</v>
      </c>
      <c r="BV84" s="414" t="e">
        <f>IF(AND(BR84&gt;NDC!$C$63,BS84&gt;NDC!$C$65,BT84&gt;NDC!$D$73,BU84&gt;NDC!$D$74,$B84&gt;NDC!$H$22-0.1+MIN(3*BV$12,1.5)),0,1)</f>
        <v>#N/A</v>
      </c>
      <c r="BW84" s="86" t="b">
        <f t="shared" si="145"/>
        <v>0</v>
      </c>
      <c r="BX84" s="86">
        <f t="shared" si="146"/>
        <v>0.5</v>
      </c>
      <c r="BY84" s="86">
        <f t="shared" si="147"/>
        <v>0.5</v>
      </c>
      <c r="BZ84" s="30" t="e">
        <f t="shared" ca="1" si="180"/>
        <v>#DIV/0!</v>
      </c>
      <c r="CA84" s="85" t="e">
        <f ca="1">IF(BG84&lt;=Hypothèses!$V$7,Hypothèses!$W$7,IF(BG84&lt;=Hypothèses!$V$8,Hypothèses!$W$8,IF(BG84&lt;=Hypothèses!$V$9,Hypothèses!$W$9,IF(BG84&lt;=Hypothèses!$V$10,Hypothèses!$W$10,IF(BG84&lt;=Hypothèses!$V$11,Hypothèses!$W$11,IF(BG84&lt;=Hypothèses!$V$12,Hypothèses!$W$12,IF(BG84&lt;=Hypothèses!$V$13,Hypothèses!$W$13,IF(BG84&lt;=Hypothèses!$V$14,Hypothèses!$W$14,IF(BG84&lt;=Hypothèses!$V$15,Hypothèses!$W$15,IF(BG84&lt;=Hypothèses!$V$16,Hypothèses!$W$16,IF(BG84&lt;=Hypothèses!$V$17,Hypothèses!$W$17,IF(BG84&lt;=Hypothèses!$V$18,Hypothèses!$W$18,""))))))))))))</f>
        <v>#DIV/0!</v>
      </c>
      <c r="CB84" s="87" t="e">
        <f t="shared" ca="1" si="219"/>
        <v>#DIV/0!</v>
      </c>
      <c r="CC84" s="88" t="e">
        <f ca="1">IF(BG84&lt;=Hypothèses!$V$7,Hypothèses!$X$7,IF(BG84&lt;=Hypothèses!$V$8,Hypothèses!$X$8,IF(BG84&lt;=Hypothèses!$V$9,Hypothèses!$X$9,IF(BG84&lt;=Hypothèses!$V$10,Hypothèses!$X$10,IF(BG84&lt;=Hypothèses!$V$11,Hypothèses!$X$11,IF(BG84&lt;=Hypothèses!$V$12,Hypothèses!$X$12,IF(BG84&lt;=Hypothèses!$V$13,Hypothèses!$X$13,IF(BG84&lt;=Hypothèses!$V$14,Hypothèses!$X$14,IF(BG84&lt;=Hypothèses!$V$15,Hypothèses!$X$15,IF(BG84&lt;=Hypothèses!$V$16,Hypothèses!$X$16,IF(BG84&lt;=Hypothèses!$U$17,Hypothèses!$W$17,IF(BG84&lt;=Hypothèses!$U$18,Hypothèses!$W$18,""))))))))))))</f>
        <v>#DIV/0!</v>
      </c>
      <c r="CD84" s="95" t="e">
        <f t="shared" ca="1" si="181"/>
        <v>#DIV/0!</v>
      </c>
      <c r="CE84" s="101">
        <f t="shared" si="226"/>
        <v>0</v>
      </c>
      <c r="CF84" s="91">
        <f t="shared" si="148"/>
        <v>0</v>
      </c>
      <c r="CG84" s="30" t="e">
        <f t="shared" si="206"/>
        <v>#N/A</v>
      </c>
      <c r="CH84" s="30" t="e">
        <f t="shared" si="207"/>
        <v>#N/A</v>
      </c>
      <c r="CI84" s="31" t="e">
        <f>IF(OR(Hypothèses!$B$4=17,Hypothèses!$B$4=18,Hypothèses!$B$4=19,Hypothèses!$B$4=20),
IF($D84="Pressio.",
IF(OR($E84=3,$E84=1,$E84=4),CH84,CG84),
IF($D84="Pénétro.",
IF(OR($E84=3,$E84=1,$E84=4),CH84,CG84))),IF($D84="Pressio.",
IF($E84=3,CH84,CG84),
IF($D84="Pénétro.",
IF($E84=4,CH84,CG84))))</f>
        <v>#N/A</v>
      </c>
      <c r="CJ84" s="31">
        <v>0</v>
      </c>
      <c r="CK84" s="102" t="e">
        <f>IF(NDC!$H$10="Oui",(VLOOKUP($B$3,'Coeff EC7'!$T$39:$X$59,2,0)*CI84+VLOOKUP($B$3,'Coeff EC7'!$T$65:$X$85,2,0)*Model0.1T!CJ84)/1.5,PI()*CG$12*$Q84*($B84-$B83)*0.15/10+CK83)</f>
        <v>#N/A</v>
      </c>
      <c r="CL84" s="102" t="e">
        <f>(VLOOKUP($B$3,'Coeff EC7'!$T$39:$X$59,3,0)*CI84+VLOOKUP($B$3,'Coeff EC7'!$T$65:$X$85,3,0)*Model0.1T!CJ84)/1.1</f>
        <v>#N/A</v>
      </c>
      <c r="CM84" s="102" t="e">
        <f t="shared" si="182"/>
        <v>#N/A</v>
      </c>
      <c r="CN84" s="102" t="e">
        <f t="shared" si="183"/>
        <v>#N/A</v>
      </c>
      <c r="CO84" s="414" t="e">
        <f>IF(AND(CK84&gt;NDC!$C$63,CL84&gt;NDC!$C$65,CM84&gt;NDC!$D$73,CN84&gt;NDC!$D$74,$B84&gt;NDC!$H$22-0.1+MIN(3*CO$12,1.5)),0,1)</f>
        <v>#N/A</v>
      </c>
      <c r="CP84" s="86" t="b">
        <f t="shared" si="149"/>
        <v>0</v>
      </c>
      <c r="CQ84" s="86">
        <f t="shared" si="150"/>
        <v>0.5</v>
      </c>
      <c r="CR84" s="86">
        <f t="shared" si="151"/>
        <v>0.5</v>
      </c>
      <c r="CS84" s="30" t="e">
        <f t="shared" ca="1" si="184"/>
        <v>#DIV/0!</v>
      </c>
      <c r="CT84" s="85" t="e">
        <f ca="1">IF(BZ84&lt;=Hypothèses!$V$7,Hypothèses!$W$7,IF(BZ84&lt;=Hypothèses!$V$8,Hypothèses!$W$8,IF(BZ84&lt;=Hypothèses!$V$9,Hypothèses!$W$9,IF(BZ84&lt;=Hypothèses!$V$10,Hypothèses!$W$10,IF(BZ84&lt;=Hypothèses!$V$11,Hypothèses!$W$11,IF(BZ84&lt;=Hypothèses!$V$12,Hypothèses!$W$12,IF(BZ84&lt;=Hypothèses!$V$13,Hypothèses!$W$13,IF(BZ84&lt;=Hypothèses!$V$14,Hypothèses!$W$14,IF(BZ84&lt;=Hypothèses!$V$15,Hypothèses!$W$15,IF(BZ84&lt;=Hypothèses!$V$16,Hypothèses!$W$16,IF(BZ84&lt;=Hypothèses!$V$17,Hypothèses!$W$17,IF(BZ84&lt;=Hypothèses!$V$18,Hypothèses!$W$18,""))))))))))))</f>
        <v>#DIV/0!</v>
      </c>
      <c r="CU84" s="87" t="e">
        <f t="shared" ca="1" si="220"/>
        <v>#DIV/0!</v>
      </c>
      <c r="CV84" s="88" t="e">
        <f ca="1">IF(BZ84&lt;=Hypothèses!$V$7,Hypothèses!$X$7,IF(BZ84&lt;=Hypothèses!$V$8,Hypothèses!$X$8,IF(BZ84&lt;=Hypothèses!$V$9,Hypothèses!$X$9,IF(BZ84&lt;=Hypothèses!$V$10,Hypothèses!$X$10,IF(BZ84&lt;=Hypothèses!$V$11,Hypothèses!$X$11,IF(BZ84&lt;=Hypothèses!$V$12,Hypothèses!$X$12,IF(BZ84&lt;=Hypothèses!$V$13,Hypothèses!$X$13,IF(BZ84&lt;=Hypothèses!$V$14,Hypothèses!$X$14,IF(BZ84&lt;=Hypothèses!$V$15,Hypothèses!$X$15,IF(BZ84&lt;=Hypothèses!$V$16,Hypothèses!$X$16,IF(BZ84&lt;=Hypothèses!$U$17,Hypothèses!$W$17,IF(BZ84&lt;=Hypothèses!$U$18,Hypothèses!$W$18,""))))))))))))</f>
        <v>#DIV/0!</v>
      </c>
      <c r="CW84" s="95" t="e">
        <f t="shared" ca="1" si="185"/>
        <v>#DIV/0!</v>
      </c>
      <c r="CX84" s="101">
        <f t="shared" si="227"/>
        <v>0</v>
      </c>
      <c r="CY84" s="91">
        <f t="shared" si="152"/>
        <v>0</v>
      </c>
      <c r="CZ84" s="30" t="e">
        <f t="shared" si="208"/>
        <v>#N/A</v>
      </c>
      <c r="DA84" s="30" t="e">
        <f t="shared" si="209"/>
        <v>#N/A</v>
      </c>
      <c r="DB84" s="31" t="e">
        <f>IF(OR(Hypothèses!$B$4=17,Hypothèses!$B$4=18,Hypothèses!$B$4=19,Hypothèses!$B$4=20),
IF($D84="Pressio.",
IF(OR($E84=3,$E84=1,$E84=4),DA84,CZ84),
IF($D84="Pénétro.",
IF(OR($E84=3,$E84=1,$E84=4),DA84,CZ84))),IF($D84="Pressio.",
IF($E84=3,DA84,CZ84),
IF($D84="Pénétro.",
IF($E84=4,DA84,CZ84))))</f>
        <v>#N/A</v>
      </c>
      <c r="DC84" s="31">
        <v>0</v>
      </c>
      <c r="DD84" s="102" t="e">
        <f>IF(NDC!$H$10="Oui",(VLOOKUP($B$3,'Coeff EC7'!$T$39:$X$59,2,0)*DB84+VLOOKUP($B$3,'Coeff EC7'!$T$65:$X$85,2,0)*Model0.1T!DC84)/1.5,PI()*CZ$12*$Q84*($B84-$B83)*0.15/10+DD83)</f>
        <v>#N/A</v>
      </c>
      <c r="DE84" s="102" t="e">
        <f>(VLOOKUP($B$3,'Coeff EC7'!$T$39:$X$59,3,0)*DB84+VLOOKUP($B$3,'Coeff EC7'!$T$65:$X$85,3,0)*Model0.1T!DC84)/1.1</f>
        <v>#N/A</v>
      </c>
      <c r="DF84" s="102" t="e">
        <f t="shared" si="186"/>
        <v>#N/A</v>
      </c>
      <c r="DG84" s="102" t="e">
        <f t="shared" si="187"/>
        <v>#N/A</v>
      </c>
      <c r="DH84" s="414" t="e">
        <f>IF(AND(DD84&gt;NDC!$C$63,DE84&gt;NDC!$C$65,DF84&gt;NDC!$D$73,DG84&gt;NDC!$D$74,$B84&gt;NDC!$H$22-0.1+MIN(3*DH$12,1.5)),0,1)</f>
        <v>#N/A</v>
      </c>
      <c r="DI84" s="86" t="b">
        <f t="shared" si="153"/>
        <v>0</v>
      </c>
      <c r="DJ84" s="86">
        <f t="shared" si="154"/>
        <v>0.5</v>
      </c>
      <c r="DK84" s="86">
        <f t="shared" si="155"/>
        <v>0.5</v>
      </c>
      <c r="DL84" s="30" t="e">
        <f t="shared" ca="1" si="188"/>
        <v>#DIV/0!</v>
      </c>
      <c r="DM84" s="85" t="e">
        <f ca="1">IF(CS84&lt;=Hypothèses!$V$7,Hypothèses!$W$7,IF(CS84&lt;=Hypothèses!$V$8,Hypothèses!$W$8,IF(CS84&lt;=Hypothèses!$V$9,Hypothèses!$W$9,IF(CS84&lt;=Hypothèses!$V$10,Hypothèses!$W$10,IF(CS84&lt;=Hypothèses!$V$11,Hypothèses!$W$11,IF(CS84&lt;=Hypothèses!$V$12,Hypothèses!$W$12,IF(CS84&lt;=Hypothèses!$V$13,Hypothèses!$W$13,IF(CS84&lt;=Hypothèses!$V$14,Hypothèses!$W$14,IF(CS84&lt;=Hypothèses!$V$15,Hypothèses!$W$15,IF(CS84&lt;=Hypothèses!$V$16,Hypothèses!$W$16,IF(CS84&lt;=Hypothèses!$V$17,Hypothèses!$W$17,IF(CS84&lt;=Hypothèses!$V$18,Hypothèses!$W$18,""))))))))))))</f>
        <v>#DIV/0!</v>
      </c>
      <c r="DN84" s="87" t="e">
        <f t="shared" ca="1" si="221"/>
        <v>#DIV/0!</v>
      </c>
      <c r="DO84" s="88" t="e">
        <f ca="1">IF(CS84&lt;=Hypothèses!$V$7,Hypothèses!$X$7,IF(CS84&lt;=Hypothèses!$V$8,Hypothèses!$X$8,IF(CS84&lt;=Hypothèses!$V$9,Hypothèses!$X$9,IF(CS84&lt;=Hypothèses!$V$10,Hypothèses!$X$10,IF(CS84&lt;=Hypothèses!$V$11,Hypothèses!$X$11,IF(CS84&lt;=Hypothèses!$V$12,Hypothèses!$X$12,IF(CS84&lt;=Hypothèses!$V$13,Hypothèses!$X$13,IF(CS84&lt;=Hypothèses!$V$14,Hypothèses!$X$14,IF(CS84&lt;=Hypothèses!$V$15,Hypothèses!$X$15,IF(CS84&lt;=Hypothèses!$V$16,Hypothèses!$X$16,IF(CS84&lt;=Hypothèses!$U$17,Hypothèses!$W$17,IF(CS84&lt;=Hypothèses!$U$18,Hypothèses!$W$18,""))))))))))))</f>
        <v>#DIV/0!</v>
      </c>
      <c r="DP84" s="95" t="e">
        <f t="shared" ca="1" si="189"/>
        <v>#DIV/0!</v>
      </c>
      <c r="DQ84" s="101">
        <f t="shared" si="228"/>
        <v>0</v>
      </c>
      <c r="DR84" s="91">
        <f t="shared" si="156"/>
        <v>0</v>
      </c>
      <c r="DS84" s="30" t="e">
        <f t="shared" si="210"/>
        <v>#N/A</v>
      </c>
      <c r="DT84" s="30" t="e">
        <f t="shared" si="211"/>
        <v>#N/A</v>
      </c>
      <c r="DU84" s="31" t="e">
        <f>IF(OR(Hypothèses!$B$4=17,Hypothèses!$B$4=18,Hypothèses!$B$4=19,Hypothèses!$B$4=20),
IF($D84="Pressio.",
IF(OR($E84=3,$E84=1,$E84=4),DT84,DS84),
IF($D84="Pénétro.",
IF(OR($E84=3,$E84=1,$E84=4),DT84,DS84))),IF($D84="Pressio.",
IF($E84=3,DT84,DS84),
IF($D84="Pénétro.",
IF($E84=4,DT84,DS84))))</f>
        <v>#N/A</v>
      </c>
      <c r="DV84" s="31">
        <v>0</v>
      </c>
      <c r="DW84" s="102" t="e">
        <f>IF(NDC!$H$10="Oui",(VLOOKUP($B$3,'Coeff EC7'!$T$39:$X$59,2,0)*DU84+VLOOKUP($B$3,'Coeff EC7'!$T$65:$X$85,2,0)*Model0.1T!DV84)/1.5,PI()*DS$12*$Q84*($B84-$B83)*0.15/10+DW83)</f>
        <v>#N/A</v>
      </c>
      <c r="DX84" s="102" t="e">
        <f>(VLOOKUP($B$3,'Coeff EC7'!$T$39:$X$59,3,0)*DU84+VLOOKUP($B$3,'Coeff EC7'!$T$65:$X$85,3,0)*Model0.1T!DV84)/1.1</f>
        <v>#N/A</v>
      </c>
      <c r="DY84" s="102" t="e">
        <f t="shared" si="190"/>
        <v>#N/A</v>
      </c>
      <c r="DZ84" s="102" t="e">
        <f t="shared" si="191"/>
        <v>#N/A</v>
      </c>
      <c r="EA84" s="414" t="e">
        <f>IF(AND(DW84&gt;NDC!$C$63,DX84&gt;NDC!$C$65,DY84&gt;NDC!$D$73,DZ84&gt;NDC!$D$74,$B84&gt;NDC!$H$22-0.1+MIN(3*EA$12,1.5)),0,1)</f>
        <v>#N/A</v>
      </c>
      <c r="EB84" s="86" t="b">
        <f t="shared" si="157"/>
        <v>0</v>
      </c>
      <c r="EC84" s="418">
        <f t="shared" si="158"/>
        <v>0.51</v>
      </c>
      <c r="ED84" s="86">
        <f t="shared" si="159"/>
        <v>0.51</v>
      </c>
      <c r="EE84" s="30" t="e">
        <f t="shared" ca="1" si="192"/>
        <v>#DIV/0!</v>
      </c>
      <c r="EF84" s="85" t="e">
        <f ca="1">IF(DL84&lt;=Hypothèses!$V$7,Hypothèses!$W$7,IF(DL84&lt;=Hypothèses!$V$8,Hypothèses!$W$8,IF(DL84&lt;=Hypothèses!$V$9,Hypothèses!$W$9,IF(DL84&lt;=Hypothèses!$V$10,Hypothèses!$W$10,IF(DL84&lt;=Hypothèses!$V$11,Hypothèses!$W$11,IF(DL84&lt;=Hypothèses!$V$12,Hypothèses!$W$12,IF(DL84&lt;=Hypothèses!$V$13,Hypothèses!$W$13,IF(DL84&lt;=Hypothèses!$V$14,Hypothèses!$W$14,IF(DL84&lt;=Hypothèses!$V$15,Hypothèses!$W$15,IF(DL84&lt;=Hypothèses!$V$16,Hypothèses!$W$16,IF(DL84&lt;=Hypothèses!$V$17,Hypothèses!$W$17,IF(DL84&lt;=Hypothèses!$V$18,Hypothèses!$W$18,""))))))))))))</f>
        <v>#DIV/0!</v>
      </c>
      <c r="EG84" s="87" t="e">
        <f t="shared" ca="1" si="222"/>
        <v>#DIV/0!</v>
      </c>
      <c r="EH84" s="88" t="e">
        <f ca="1">IF(DL84&lt;=Hypothèses!$V$7,Hypothèses!$X$7,IF(DL84&lt;=Hypothèses!$V$8,Hypothèses!$X$8,IF(DL84&lt;=Hypothèses!$V$9,Hypothèses!$X$9,IF(DL84&lt;=Hypothèses!$V$10,Hypothèses!$X$10,IF(DL84&lt;=Hypothèses!$V$11,Hypothèses!$X$11,IF(DL84&lt;=Hypothèses!$V$12,Hypothèses!$X$12,IF(DL84&lt;=Hypothèses!$V$13,Hypothèses!$X$13,IF(DL84&lt;=Hypothèses!$V$14,Hypothèses!$X$14,IF(DL84&lt;=Hypothèses!$V$15,Hypothèses!$X$15,IF(DL84&lt;=Hypothèses!$V$16,Hypothèses!$X$16,IF(DL84&lt;=Hypothèses!$U$17,Hypothèses!$W$17,IF(DL84&lt;=Hypothèses!$U$18,Hypothèses!$W$18,""))))))))))))</f>
        <v>#DIV/0!</v>
      </c>
      <c r="EI84" s="95" t="e">
        <f t="shared" ca="1" si="193"/>
        <v>#DIV/0!</v>
      </c>
      <c r="EJ84" s="101">
        <f t="shared" si="229"/>
        <v>0</v>
      </c>
      <c r="EK84" s="91">
        <f t="shared" si="160"/>
        <v>0</v>
      </c>
      <c r="EL84" s="30" t="e">
        <f t="shared" si="212"/>
        <v>#N/A</v>
      </c>
      <c r="EM84" s="30" t="e">
        <f t="shared" si="213"/>
        <v>#N/A</v>
      </c>
      <c r="EN84" s="31" t="e">
        <f>IF(OR(Hypothèses!$B$4=17,Hypothèses!$B$4=18,Hypothèses!$B$4=19,Hypothèses!$B$4=20),
IF($D84="Pressio.",
IF(OR($E84=3,$E84=1,$E84=4),EM84,EL84),
IF($D84="Pénétro.",
IF(OR($E84=3,$E84=1,$E84=4),EM84,EL84))),IF($D84="Pressio.",
IF($E84=3,EM84,EL84),
IF($D84="Pénétro.",
IF($E84=4,EM84,EL84))))</f>
        <v>#N/A</v>
      </c>
      <c r="EO84" s="31">
        <v>0</v>
      </c>
      <c r="EP84" s="102" t="e">
        <f>IF(NDC!$H$10="Oui",(VLOOKUP($B$3,'Coeff EC7'!$T$39:$X$59,2,0)*EN84+VLOOKUP($B$3,'Coeff EC7'!$T$65:$X$85,2,0)*Model0.1T!EO84)/1.5,PI()*EL$12*$Q84*($B84-$B83)*0.15/10+EP83)</f>
        <v>#N/A</v>
      </c>
      <c r="EQ84" s="102" t="e">
        <f>(VLOOKUP($B$3,'Coeff EC7'!$T$39:$X$59,3,0)*EN84+VLOOKUP($B$3,'Coeff EC7'!$T$65:$X$85,3,0)*Model0.1T!EO84)/1.1</f>
        <v>#N/A</v>
      </c>
      <c r="ER84" s="102" t="e">
        <f t="shared" si="194"/>
        <v>#N/A</v>
      </c>
      <c r="ES84" s="102" t="e">
        <f t="shared" si="195"/>
        <v>#N/A</v>
      </c>
      <c r="ET84" s="414" t="e">
        <f>IF(AND(EP84&gt;NDC!$C$63,EQ84&gt;NDC!$C$65,ER84&gt;NDC!$D$73,ES84&gt;NDC!$D$74,$B84&gt;NDC!$H$22-0.1+MIN(3*ET$12,1.5)),0,1)</f>
        <v>#N/A</v>
      </c>
      <c r="EU84" s="86" t="b">
        <f t="shared" si="161"/>
        <v>0</v>
      </c>
      <c r="EV84" s="86">
        <f t="shared" si="162"/>
        <v>0.61</v>
      </c>
      <c r="EW84" s="86">
        <f t="shared" si="163"/>
        <v>0.61</v>
      </c>
      <c r="EX84" s="30" t="e">
        <f t="shared" ca="1" si="196"/>
        <v>#DIV/0!</v>
      </c>
      <c r="EY84" s="85" t="e">
        <f ca="1">IF(EE84&lt;=Hypothèses!$V$7,Hypothèses!$W$7,IF(EE84&lt;=Hypothèses!$V$8,Hypothèses!$W$8,IF(EE84&lt;=Hypothèses!$V$9,Hypothèses!$W$9,IF(EE84&lt;=Hypothèses!$V$10,Hypothèses!$W$10,IF(EE84&lt;=Hypothèses!$V$11,Hypothèses!$W$11,IF(EE84&lt;=Hypothèses!$V$12,Hypothèses!$W$12,IF(EE84&lt;=Hypothèses!$V$13,Hypothèses!$W$13,IF(EE84&lt;=Hypothèses!$V$14,Hypothèses!$W$14,IF(EE84&lt;=Hypothèses!$V$15,Hypothèses!$W$15,IF(EE84&lt;=Hypothèses!$V$16,Hypothèses!$W$16,IF(EE84&lt;=Hypothèses!$V$17,Hypothèses!$W$17,IF(EE84&lt;=Hypothèses!$V$18,Hypothèses!$W$18,""))))))))))))</f>
        <v>#DIV/0!</v>
      </c>
      <c r="EZ84" s="87" t="e">
        <f t="shared" ca="1" si="223"/>
        <v>#DIV/0!</v>
      </c>
      <c r="FA84" s="88" t="e">
        <f ca="1">IF(EE84&lt;=Hypothèses!$V$7,Hypothèses!$X$7,IF(EE84&lt;=Hypothèses!$V$8,Hypothèses!$X$8,IF(EE84&lt;=Hypothèses!$V$9,Hypothèses!$X$9,IF(EE84&lt;=Hypothèses!$V$10,Hypothèses!$X$10,IF(EE84&lt;=Hypothèses!$V$11,Hypothèses!$X$11,IF(EE84&lt;=Hypothèses!$V$12,Hypothèses!$X$12,IF(EE84&lt;=Hypothèses!$V$13,Hypothèses!$X$13,IF(EE84&lt;=Hypothèses!$V$14,Hypothèses!$X$14,IF(EE84&lt;=Hypothèses!$V$15,Hypothèses!$X$15,IF(EE84&lt;=Hypothèses!$V$16,Hypothèses!$X$16,IF(EE84&lt;=Hypothèses!$U$17,Hypothèses!$W$17,IF(EE84&lt;=Hypothèses!$U$18,Hypothèses!$W$18,""))))))))))))</f>
        <v>#DIV/0!</v>
      </c>
      <c r="FB84" s="95" t="e">
        <f t="shared" ca="1" si="197"/>
        <v>#DIV/0!</v>
      </c>
      <c r="FC84" s="101">
        <f t="shared" si="230"/>
        <v>0</v>
      </c>
      <c r="FD84" s="91">
        <f t="shared" si="164"/>
        <v>0</v>
      </c>
      <c r="FE84" s="30" t="e">
        <f t="shared" si="214"/>
        <v>#N/A</v>
      </c>
      <c r="FF84" s="30" t="e">
        <f t="shared" si="215"/>
        <v>#N/A</v>
      </c>
      <c r="FG84" s="31" t="e">
        <f>IF(OR(Hypothèses!$B$4=17,Hypothèses!$B$4=18,Hypothèses!$B$4=19,Hypothèses!$B$4=20),
IF($D84="Pressio.",
IF(OR($E84=3,$E84=1,$E84=4),FF84,FE84),
IF($D84="Pénétro.",
IF(OR($E84=3,$E84=1,$E84=4),FF84,FE84))),IF($D84="Pressio.",
IF($E84=3,FF84,FE84),
IF($D84="Pénétro.",
IF($E84=4,FF84,FE84))))</f>
        <v>#N/A</v>
      </c>
      <c r="FH84" s="31">
        <v>0</v>
      </c>
      <c r="FI84" s="102" t="e">
        <f>IF(NDC!$H$10="Oui",(VLOOKUP($B$3,'Coeff EC7'!$T$39:$X$59,2,0)*FG84+VLOOKUP($B$3,'Coeff EC7'!$T$65:$X$85,2,0)*Model0.1T!FH84)/1.5,PI()*FE$12*$Q84*($B84-$B83)*0.15/10+FI83)</f>
        <v>#N/A</v>
      </c>
      <c r="FJ84" s="102" t="e">
        <f>(VLOOKUP($B$3,'Coeff EC7'!$T$39:$X$59,3,0)*FG84+VLOOKUP($B$3,'Coeff EC7'!$T$65:$X$85,3,0)*Model0.1T!FH84)/1.1</f>
        <v>#N/A</v>
      </c>
      <c r="FK84" s="102" t="e">
        <f t="shared" si="198"/>
        <v>#N/A</v>
      </c>
      <c r="FL84" s="102" t="e">
        <f t="shared" si="199"/>
        <v>#N/A</v>
      </c>
      <c r="FM84" s="414" t="e">
        <f>IF(AND(FI84&gt;NDC!$C$63,FJ84&gt;NDC!$C$65,FK84&gt;NDC!$D$73,FL84&gt;NDC!$D$74,$B84&gt;NDC!$H$22-0.1+MIN(3*FM$12,1.5)),0,1)</f>
        <v>#N/A</v>
      </c>
    </row>
    <row r="85" spans="1:169">
      <c r="A85" s="96">
        <f t="shared" si="165"/>
        <v>92.800000000000409</v>
      </c>
      <c r="B85" s="97">
        <v>7.2</v>
      </c>
      <c r="C85" s="81">
        <f>IF(B85&lt;=Hypothèses!$C$7,Hypothèses!$A$7,IF(B85&lt;=Hypothèses!$C$8,Hypothèses!$A$8,IF(B85&lt;=Hypothèses!$C$9,Hypothèses!$A$9,IF(B85&lt;=Hypothèses!$C$10,Hypothèses!$A$10,IF(B85&lt;=Hypothèses!$C$11,Hypothèses!$A$11,IF(B85&lt;=Hypothèses!$C$12,Hypothèses!$A$12,IF(B85&lt;=Hypothèses!$C$13,Hypothèses!$A$13,IF(B85&lt;=Hypothèses!$C$14,Hypothèses!$A$14,IF(B85&lt;=Hypothèses!$C$15,Hypothèses!$A$15,IF(B85&lt;=Hypothèses!$C$16,Hypothèses!$A$16,IF(B85&lt;=Hypothèses!$C$17,Hypothèses!$A$17,IF(B85&lt;=Hypothèses!$C$18,Hypothèses!$A$18,C84))))))))))))</f>
        <v>11</v>
      </c>
      <c r="D85" s="82" t="str">
        <f>IF(B85&lt;=Hypothèses!$C$7,Hypothèses!$R$7,IF(B85&lt;=Hypothèses!$C$8,Hypothèses!$R$8,IF(B85&lt;=Hypothèses!$C$9,Hypothèses!$R$9,IF(B85&lt;=Hypothèses!$C$10,Hypothèses!$R$10,IF(B85&lt;=Hypothèses!$C$11,Hypothèses!$R$11,IF(B85&lt;=Hypothèses!$C$12,Hypothèses!$R$12,IF(B85&lt;=Hypothèses!$C$13,Hypothèses!$R$13,IF(B85&lt;=Hypothèses!$C$14,Hypothèses!$R$14,IF(B85&lt;=Hypothèses!$C$15,Hypothèses!$R$15,IF(B85&lt;=Hypothèses!$C$16,Hypothèses!$R$16,IF(B85&lt;=Hypothèses!$C$17,Hypothèses!$R$17,IF(B85&lt;=Hypothèses!$C$18,Hypothèses!$R$18,D84))))))))))))</f>
        <v>Pressio.</v>
      </c>
      <c r="E85" s="82" t="e">
        <f>IF(B85&lt;=Hypothèses!$C$7,Hypothèses!$G$7,IF(B85&lt;=Hypothèses!$C$8,Hypothèses!$G$8,IF(B85&lt;=Hypothèses!$C$9,Hypothèses!$G$9,IF(B85&lt;=Hypothèses!$C$10,Hypothèses!$G$10,IF(B85&lt;=Hypothèses!$C$11,Hypothèses!$G$11,IF(B85&lt;=Hypothèses!$C$12,Hypothèses!$G$12,IF(B85&lt;=Hypothèses!$C$13,Hypothèses!$G$13,IF(B85&lt;=Hypothèses!$C$14,Hypothèses!$G$14,IF(B85&lt;=Hypothèses!$C$15,Hypothèses!$G$15,IF(B85&lt;=Hypothèses!$C$16,Hypothèses!$G$16,IF(B85&lt;=Hypothèses!$C$17,Hypothèses!$G$17,IF(B85&lt;=Hypothèses!$C$18,Hypothèses!$G$18,E84))))))))))))</f>
        <v>#N/A</v>
      </c>
      <c r="F85" s="82" t="str">
        <f>IF(B85&lt;=Hypothèses!$C$7,Hypothèses!$F$7,IF(B85&lt;=Hypothèses!$C$8,Hypothèses!$F$8,IF(B85&lt;=Hypothèses!$C$9,Hypothèses!$F$9,IF(B85&lt;=Hypothèses!$C$10,Hypothèses!$F$10,IF(B85&lt;=Hypothèses!$C$11,Hypothèses!$F$11,IF(B85&lt;=Hypothèses!$C$12,Hypothèses!$F$12,IF(B85&lt;=Hypothèses!$C$13,Hypothèses!$F$13,IF(B85&lt;=Hypothèses!$C$14,Hypothèses!$F$14,IF(B85&lt;=Hypothèses!$C$15,Hypothèses!$F$15,IF(B85&lt;=Hypothèses!$C$16,Hypothèses!$F$16,IF(B85&lt;=Hypothèses!$C$17,Hypothèses!$F$17,IF(B85&lt;=Hypothèses!$C$18,Hypothèses!$F$18,F84))))))))))))</f>
        <v/>
      </c>
      <c r="G85" s="91">
        <f t="array" ref="G85">INDEX('Coeff EC7'!$U$7:$X$27,
MATCH(Model0.1T!$B$3,'Coeff EC7'!$T$7:$T$27,0),
MATCH(Model0.1T!$D85&amp;Model0.1T!$B$4,
'Coeff EC7'!$U$6:$X$6&amp;
'Coeff EC7'!$U$5:$X$5,0))</f>
        <v>1.4</v>
      </c>
      <c r="H85" s="91">
        <f t="array" ref="H85">INDEX('Coeff EC7'!$Y$7:$AB$27,
MATCH(Model0.1T!$B$3,'Coeff EC7'!$T$7:$T$27,0),
MATCH(Model0.1T!$D85&amp;Model0.1T!$B$4,
'Coeff EC7'!$Y$6:$AB$6&amp;
'Coeff EC7'!$Y$5:$AB$5,0))</f>
        <v>1.7</v>
      </c>
      <c r="I85" s="83">
        <v>0</v>
      </c>
      <c r="J85" s="91" t="e">
        <f t="array" ref="J85">INDEX('Coeff EC7'!$D$33:$Q$33,1,MATCH(D85&amp;E85,'Coeff EC7'!$D$31:$Q$31&amp;'Coeff EC7'!$D$32:$Q$32,0))</f>
        <v>#N/A</v>
      </c>
      <c r="K85" s="91" t="e">
        <f t="array" ref="K85">INDEX('Coeff EC7'!$D$34:$Q$34,1,MATCH(D85&amp;E85,'Coeff EC7'!$D$31:$Q$31&amp;'Coeff EC7'!$D$32:$Q$32,0))</f>
        <v>#N/A</v>
      </c>
      <c r="L85" s="91" t="e">
        <f t="array" ref="L85">INDEX('Coeff EC7'!$D$35:$Q$35,1,MATCH(D85&amp;E85,'Coeff EC7'!$D$31:$Q$31&amp;'Coeff EC7'!$D$32:$Q$32,0))</f>
        <v>#N/A</v>
      </c>
      <c r="M85" s="98" t="e">
        <f t="shared" si="131"/>
        <v>#N/A</v>
      </c>
      <c r="N85" s="99" t="e">
        <f t="array" ref="N85">INDEX('Coeff EC7'!$D$7:$Q$27,MATCH($B$3,'Coeff EC7'!$C$7:$C$27,0),MATCH(D85&amp;E85,'Coeff EC7'!$D$5:$Q$5&amp;'Coeff EC7'!$D$6:$Q$6,0))</f>
        <v>#N/A</v>
      </c>
      <c r="O85" s="99" t="e">
        <f t="array" ref="O85">INDEX('Coeff EC7'!$D$41:$Q$61,MATCH($B$3,'Coeff EC7'!$C$41:$C$61,0),MATCH(D85&amp;E85,'Coeff EC7'!$D$39:$Q$39&amp;'Coeff EC7'!$D$40:$Q$40,0))</f>
        <v>#N/A</v>
      </c>
      <c r="P85" s="30" t="e">
        <f t="shared" si="166"/>
        <v>#N/A</v>
      </c>
      <c r="Q85" s="100" t="e">
        <f t="shared" si="133"/>
        <v>#N/A</v>
      </c>
      <c r="R85" s="86" t="b">
        <f t="shared" si="134"/>
        <v>0</v>
      </c>
      <c r="S85" s="86">
        <f t="shared" si="132"/>
        <v>0.5</v>
      </c>
      <c r="T85" s="86">
        <f t="shared" si="135"/>
        <v>0.5</v>
      </c>
      <c r="U85" s="30" t="e">
        <f t="shared" ca="1" si="167"/>
        <v>#DIV/0!</v>
      </c>
      <c r="V85" s="85" t="str">
        <f>IF(B85&lt;=Hypothèses!$V$7,Hypothèses!$W$7,IF(B85&lt;=Hypothèses!$V$8,Hypothèses!$W$8,IF(B85&lt;=Hypothèses!$V$9,Hypothèses!$W$9,IF(B85&lt;=Hypothèses!$V$10,Hypothèses!$W$10,IF(B85&lt;=Hypothèses!$V$11,Hypothèses!$W$11,IF(B85&lt;=Hypothèses!$V$12,Hypothèses!$W$12,IF(B85&lt;=Hypothèses!$V$13,Hypothèses!$W$13,IF(B85&lt;=Hypothèses!$V$14,Hypothèses!$W$14,IF(B85&lt;=Hypothèses!$V$15,Hypothèses!$W$15,IF(B85&lt;=Hypothèses!$V$16,Hypothèses!$W$16,IF(B85&lt;=Hypothèses!$V$17,Hypothèses!$W$17,IF(B85&lt;=Hypothèses!$V$18,Hypothèses!$W$18,""))))))))))))</f>
        <v/>
      </c>
      <c r="W85" s="87" t="e">
        <f t="shared" ca="1" si="216"/>
        <v>#DIV/0!</v>
      </c>
      <c r="X85" s="88" t="str">
        <f>IF(B85&lt;=Hypothèses!$V$7,Hypothèses!$X$7,IF(B85&lt;=Hypothèses!$V$8,Hypothèses!$X$8,IF(B85&lt;=Hypothèses!$V$9,Hypothèses!$X$9,IF(B85&lt;=Hypothèses!$V$10,Hypothèses!$X$10,IF(B85&lt;=Hypothèses!$V$11,Hypothèses!$X$11,IF(B85&lt;=Hypothèses!$V$12,Hypothèses!$X$12,IF(B85&lt;=Hypothèses!$V$13,Hypothèses!$X$13,IF(B85&lt;=Hypothèses!$V$14,Hypothèses!$X$14,IF(B85&lt;=Hypothèses!$V$15,Hypothèses!$X$15,IF(B85&lt;=Hypothèses!$V$16,Hypothèses!$X$16,IF(B85&lt;=Hypothèses!$U$17,Hypothèses!$W$17,IF(B85&lt;=Hypothèses!$U$18,Hypothèses!$W$18,""))))))))))))</f>
        <v/>
      </c>
      <c r="Y85" s="95" t="e">
        <f t="shared" ca="1" si="136"/>
        <v>#DIV/0!</v>
      </c>
      <c r="Z85" s="101">
        <f t="shared" si="137"/>
        <v>0</v>
      </c>
      <c r="AA85" s="91">
        <f t="shared" si="138"/>
        <v>0</v>
      </c>
      <c r="AB85" s="30" t="e">
        <f t="shared" si="200"/>
        <v>#N/A</v>
      </c>
      <c r="AC85" s="30" t="e">
        <f t="shared" si="201"/>
        <v>#N/A</v>
      </c>
      <c r="AD85" s="31" t="e">
        <f>IF(OR(Hypothèses!$B$4=17,Hypothèses!$B$4=18,Hypothèses!$B$4=19,Hypothèses!$B$4=20),
IF($D85="Pressio.",
IF(OR($E85=3,$E85=1,$E85=4),AC85,AB85),
IF($D85="Pénétro.",
IF(OR($E85=3,$E85=1,$E85=4),AC85,AB85))),IF($D85="Pressio.",
IF($E85=3,AC85,AB85),
IF($D85="Pénétro.",
IF($E85=4,AC85,AB85))))</f>
        <v>#N/A</v>
      </c>
      <c r="AE85" s="31">
        <v>0</v>
      </c>
      <c r="AF85" s="102" t="e">
        <f>IF(NDC!$H$10="Oui",(VLOOKUP($B$3,'Coeff EC7'!$T$39:$X$59,2,0)*AD85+VLOOKUP($B$3,'Coeff EC7'!$T$65:$X$85,2,0)*Model0.1T!AE85)/1.5,PI()*AB$12*$Q85*($B85-$B84)*0.15/10+AF84)</f>
        <v>#N/A</v>
      </c>
      <c r="AG85" s="102" t="e">
        <f>(VLOOKUP($B$3,'Coeff EC7'!$T$39:$X$59,3,0)*AD85+VLOOKUP($B$3,'Coeff EC7'!$T$65:$X$85,3,0)*Model0.1T!AE85)/1.1</f>
        <v>#N/A</v>
      </c>
      <c r="AH85" s="102" t="e">
        <f t="shared" si="168"/>
        <v>#N/A</v>
      </c>
      <c r="AI85" s="102" t="e">
        <f t="shared" si="169"/>
        <v>#N/A</v>
      </c>
      <c r="AJ85" s="414" t="e">
        <f>IF(AND(AF85&gt;NDC!$C$63,AG85&gt;NDC!$C$65,AH85&gt;NDC!$D$73,AI85&gt;NDC!$D$74,$B85&gt;NDC!$H$22-0.1+MIN(3*$AJ$12,1.5)),0,1)</f>
        <v>#N/A</v>
      </c>
      <c r="AK85" s="86" t="b">
        <f t="shared" si="139"/>
        <v>0</v>
      </c>
      <c r="AL85" s="86">
        <f t="shared" si="170"/>
        <v>0.5</v>
      </c>
      <c r="AM85" s="86">
        <f t="shared" si="140"/>
        <v>0.5</v>
      </c>
      <c r="AN85" s="30" t="e">
        <f t="shared" ca="1" si="171"/>
        <v>#DIV/0!</v>
      </c>
      <c r="AO85" s="85" t="e">
        <f ca="1">IF(U85&lt;=Hypothèses!$V$7,Hypothèses!$W$7,IF(U85&lt;=Hypothèses!$V$8,Hypothèses!$W$8,IF(U85&lt;=Hypothèses!$V$9,Hypothèses!$W$9,IF(U85&lt;=Hypothèses!$V$10,Hypothèses!$W$10,IF(U85&lt;=Hypothèses!$V$11,Hypothèses!$W$11,IF(U85&lt;=Hypothèses!$V$12,Hypothèses!$W$12,IF(U85&lt;=Hypothèses!$V$13,Hypothèses!$W$13,IF(U85&lt;=Hypothèses!$V$14,Hypothèses!$W$14,IF(U85&lt;=Hypothèses!$V$15,Hypothèses!$W$15,IF(U85&lt;=Hypothèses!$V$16,Hypothèses!$W$16,IF(U85&lt;=Hypothèses!$V$17,Hypothèses!$W$17,IF(U85&lt;=Hypothèses!$V$18,Hypothèses!$W$18,""))))))))))))</f>
        <v>#DIV/0!</v>
      </c>
      <c r="AP85" s="87" t="e">
        <f t="shared" ca="1" si="217"/>
        <v>#DIV/0!</v>
      </c>
      <c r="AQ85" s="88" t="e">
        <f ca="1">IF(U85&lt;=Hypothèses!$V$7,Hypothèses!$X$7,IF(U85&lt;=Hypothèses!$V$8,Hypothèses!$X$8,IF(U85&lt;=Hypothèses!$V$9,Hypothèses!$X$9,IF(U85&lt;=Hypothèses!$V$10,Hypothèses!$X$10,IF(U85&lt;=Hypothèses!$V$11,Hypothèses!$X$11,IF(U85&lt;=Hypothèses!$V$12,Hypothèses!$X$12,IF(U85&lt;=Hypothèses!$V$13,Hypothèses!$X$13,IF(U85&lt;=Hypothèses!$V$14,Hypothèses!$X$14,IF(U85&lt;=Hypothèses!$V$15,Hypothèses!$X$15,IF(U85&lt;=Hypothèses!$V$16,Hypothèses!$X$16,IF(U85&lt;=Hypothèses!$U$17,Hypothèses!$W$17,IF(U85&lt;=Hypothèses!$U$18,Hypothèses!$W$18,""))))))))))))</f>
        <v>#DIV/0!</v>
      </c>
      <c r="AR85" s="95" t="e">
        <f t="shared" ca="1" si="172"/>
        <v>#DIV/0!</v>
      </c>
      <c r="AS85" s="101">
        <f t="shared" si="224"/>
        <v>0</v>
      </c>
      <c r="AT85" s="91">
        <f t="shared" si="141"/>
        <v>0</v>
      </c>
      <c r="AU85" s="30" t="e">
        <f t="shared" si="202"/>
        <v>#N/A</v>
      </c>
      <c r="AV85" s="30" t="e">
        <f t="shared" si="203"/>
        <v>#N/A</v>
      </c>
      <c r="AW85" s="31" t="e">
        <f>IF(OR(Hypothèses!$B$4=17,Hypothèses!$B$4=18,Hypothèses!$B$4=19,Hypothèses!$B$4=20),
IF($D85="Pressio.",
IF(OR($E85=3,$E85=1,$E85=4),AV85,AU85),
IF($D85="Pénétro.",
IF(OR($E85=3,$E85=1,$E85=4),AV85,AU85))),IF($D85="Pressio.",
IF($E85=3,AV85,AU85),
IF($D85="Pénétro.",
IF($E85=4,AV85,AU85))))</f>
        <v>#N/A</v>
      </c>
      <c r="AX85" s="31">
        <v>0</v>
      </c>
      <c r="AY85" s="102" t="e">
        <f>IF(NDC!$H$10="Oui",(VLOOKUP($B$3,'Coeff EC7'!$T$39:$X$59,2,0)*AW85+VLOOKUP($B$3,'Coeff EC7'!$T$65:$X$85,2,0)*Model0.1T!AX85)/1.5,PI()*AU$12*$Q85*($B85-$B84)*0.15/10+AY84)</f>
        <v>#N/A</v>
      </c>
      <c r="AZ85" s="102" t="e">
        <f>(VLOOKUP($B$3,'Coeff EC7'!$T$39:$X$59,3,0)*AW85+VLOOKUP($B$3,'Coeff EC7'!$T$65:$X$85,3,0)*Model0.1T!AX85)/1.1</f>
        <v>#N/A</v>
      </c>
      <c r="BA85" s="102" t="e">
        <f t="shared" si="173"/>
        <v>#N/A</v>
      </c>
      <c r="BB85" s="102" t="e">
        <f t="shared" si="174"/>
        <v>#N/A</v>
      </c>
      <c r="BC85" s="414" t="e">
        <f>IF(AND(AY85&gt;NDC!$C$63,AZ85&gt;NDC!$C$65,BA85&gt;NDC!$D$73,BB85&gt;NDC!$D$74,$B85&gt;NDC!$H$22-0.1+MIN(3*BC$12,1.5)),0,1)</f>
        <v>#N/A</v>
      </c>
      <c r="BD85" s="86" t="b">
        <f t="shared" si="142"/>
        <v>0</v>
      </c>
      <c r="BE85" s="86">
        <f t="shared" si="175"/>
        <v>0.5</v>
      </c>
      <c r="BF85" s="86">
        <f t="shared" si="143"/>
        <v>0.5</v>
      </c>
      <c r="BG85" s="30" t="e">
        <f t="shared" ca="1" si="176"/>
        <v>#DIV/0!</v>
      </c>
      <c r="BH85" s="85" t="e">
        <f ca="1">IF(AN85&lt;=Hypothèses!$V$7,Hypothèses!$W$7,IF(AN85&lt;=Hypothèses!$V$8,Hypothèses!$W$8,IF(AN85&lt;=Hypothèses!$V$9,Hypothèses!$W$9,IF(AN85&lt;=Hypothèses!$V$10,Hypothèses!$W$10,IF(AN85&lt;=Hypothèses!$V$11,Hypothèses!$W$11,IF(AN85&lt;=Hypothèses!$V$12,Hypothèses!$W$12,IF(AN85&lt;=Hypothèses!$V$13,Hypothèses!$W$13,IF(AN85&lt;=Hypothèses!$V$14,Hypothèses!$W$14,IF(AN85&lt;=Hypothèses!$V$15,Hypothèses!$W$15,IF(AN85&lt;=Hypothèses!$V$16,Hypothèses!$W$16,IF(AN85&lt;=Hypothèses!$V$17,Hypothèses!$W$17,IF(AN85&lt;=Hypothèses!$V$18,Hypothèses!$W$18,""))))))))))))</f>
        <v>#DIV/0!</v>
      </c>
      <c r="BI85" s="87" t="e">
        <f t="shared" ca="1" si="218"/>
        <v>#DIV/0!</v>
      </c>
      <c r="BJ85" s="88" t="e">
        <f ca="1">IF(AN85&lt;=Hypothèses!$V$7,Hypothèses!$X$7,IF(AN85&lt;=Hypothèses!$V$8,Hypothèses!$X$8,IF(AN85&lt;=Hypothèses!$V$9,Hypothèses!$X$9,IF(AN85&lt;=Hypothèses!$V$10,Hypothèses!$X$10,IF(AN85&lt;=Hypothèses!$V$11,Hypothèses!$X$11,IF(AN85&lt;=Hypothèses!$V$12,Hypothèses!$X$12,IF(AN85&lt;=Hypothèses!$V$13,Hypothèses!$X$13,IF(AN85&lt;=Hypothèses!$V$14,Hypothèses!$X$14,IF(AN85&lt;=Hypothèses!$V$15,Hypothèses!$X$15,IF(AN85&lt;=Hypothèses!$V$16,Hypothèses!$X$16,IF(AN85&lt;=Hypothèses!$U$17,Hypothèses!$W$17,IF(AN85&lt;=Hypothèses!$U$18,Hypothèses!$W$18,""))))))))))))</f>
        <v>#DIV/0!</v>
      </c>
      <c r="BK85" s="95" t="e">
        <f t="shared" ca="1" si="177"/>
        <v>#DIV/0!</v>
      </c>
      <c r="BL85" s="101">
        <f t="shared" si="225"/>
        <v>0</v>
      </c>
      <c r="BM85" s="91">
        <f t="shared" si="144"/>
        <v>0</v>
      </c>
      <c r="BN85" s="30" t="e">
        <f t="shared" si="204"/>
        <v>#N/A</v>
      </c>
      <c r="BO85" s="30" t="e">
        <f t="shared" si="205"/>
        <v>#N/A</v>
      </c>
      <c r="BP85" s="31" t="e">
        <f>IF(OR(Hypothèses!$B$4=17,Hypothèses!$B$4=18,Hypothèses!$B$4=19,Hypothèses!$B$4=20),
IF($D85="Pressio.",
IF(OR($E85=3,$E85=1,$E85=4),BO85,BN85),
IF($D85="Pénétro.",
IF(OR($E85=3,$E85=1,$E85=4),BO85,BN85))),IF($D85="Pressio.",
IF($E85=3,BO85,BN85),
IF($D85="Pénétro.",
IF($E85=4,BO85,BN85))))</f>
        <v>#N/A</v>
      </c>
      <c r="BQ85" s="31">
        <v>0</v>
      </c>
      <c r="BR85" s="102" t="e">
        <f>IF(NDC!$H$10="Oui",(VLOOKUP($B$3,'Coeff EC7'!$T$39:$X$59,2,0)*BP85+VLOOKUP($B$3,'Coeff EC7'!$T$65:$X$85,2,0)*Model0.1T!BQ85)/1.5,PI()*BN$12*$Q85*($B85-$B84)*0.15/10+BR84)</f>
        <v>#N/A</v>
      </c>
      <c r="BS85" s="102" t="e">
        <f>(VLOOKUP($B$3,'Coeff EC7'!$T$39:$X$59,3,0)*BP85+VLOOKUP($B$3,'Coeff EC7'!$T$65:$X$85,3,0)*Model0.1T!BQ85)/1.1</f>
        <v>#N/A</v>
      </c>
      <c r="BT85" s="102" t="e">
        <f t="shared" si="178"/>
        <v>#N/A</v>
      </c>
      <c r="BU85" s="102" t="e">
        <f t="shared" si="179"/>
        <v>#N/A</v>
      </c>
      <c r="BV85" s="414" t="e">
        <f>IF(AND(BR85&gt;NDC!$C$63,BS85&gt;NDC!$C$65,BT85&gt;NDC!$D$73,BU85&gt;NDC!$D$74,$B85&gt;NDC!$H$22-0.1+MIN(3*BV$12,1.5)),0,1)</f>
        <v>#N/A</v>
      </c>
      <c r="BW85" s="86" t="b">
        <f t="shared" si="145"/>
        <v>0</v>
      </c>
      <c r="BX85" s="86">
        <f t="shared" si="146"/>
        <v>0.5</v>
      </c>
      <c r="BY85" s="86">
        <f t="shared" si="147"/>
        <v>0.5</v>
      </c>
      <c r="BZ85" s="30" t="e">
        <f t="shared" ca="1" si="180"/>
        <v>#DIV/0!</v>
      </c>
      <c r="CA85" s="85" t="e">
        <f ca="1">IF(BG85&lt;=Hypothèses!$V$7,Hypothèses!$W$7,IF(BG85&lt;=Hypothèses!$V$8,Hypothèses!$W$8,IF(BG85&lt;=Hypothèses!$V$9,Hypothèses!$W$9,IF(BG85&lt;=Hypothèses!$V$10,Hypothèses!$W$10,IF(BG85&lt;=Hypothèses!$V$11,Hypothèses!$W$11,IF(BG85&lt;=Hypothèses!$V$12,Hypothèses!$W$12,IF(BG85&lt;=Hypothèses!$V$13,Hypothèses!$W$13,IF(BG85&lt;=Hypothèses!$V$14,Hypothèses!$W$14,IF(BG85&lt;=Hypothèses!$V$15,Hypothèses!$W$15,IF(BG85&lt;=Hypothèses!$V$16,Hypothèses!$W$16,IF(BG85&lt;=Hypothèses!$V$17,Hypothèses!$W$17,IF(BG85&lt;=Hypothèses!$V$18,Hypothèses!$W$18,""))))))))))))</f>
        <v>#DIV/0!</v>
      </c>
      <c r="CB85" s="87" t="e">
        <f t="shared" ca="1" si="219"/>
        <v>#DIV/0!</v>
      </c>
      <c r="CC85" s="88" t="e">
        <f ca="1">IF(BG85&lt;=Hypothèses!$V$7,Hypothèses!$X$7,IF(BG85&lt;=Hypothèses!$V$8,Hypothèses!$X$8,IF(BG85&lt;=Hypothèses!$V$9,Hypothèses!$X$9,IF(BG85&lt;=Hypothèses!$V$10,Hypothèses!$X$10,IF(BG85&lt;=Hypothèses!$V$11,Hypothèses!$X$11,IF(BG85&lt;=Hypothèses!$V$12,Hypothèses!$X$12,IF(BG85&lt;=Hypothèses!$V$13,Hypothèses!$X$13,IF(BG85&lt;=Hypothèses!$V$14,Hypothèses!$X$14,IF(BG85&lt;=Hypothèses!$V$15,Hypothèses!$X$15,IF(BG85&lt;=Hypothèses!$V$16,Hypothèses!$X$16,IF(BG85&lt;=Hypothèses!$U$17,Hypothèses!$W$17,IF(BG85&lt;=Hypothèses!$U$18,Hypothèses!$W$18,""))))))))))))</f>
        <v>#DIV/0!</v>
      </c>
      <c r="CD85" s="95" t="e">
        <f t="shared" ca="1" si="181"/>
        <v>#DIV/0!</v>
      </c>
      <c r="CE85" s="101">
        <f t="shared" si="226"/>
        <v>0</v>
      </c>
      <c r="CF85" s="91">
        <f t="shared" si="148"/>
        <v>0</v>
      </c>
      <c r="CG85" s="30" t="e">
        <f t="shared" si="206"/>
        <v>#N/A</v>
      </c>
      <c r="CH85" s="30" t="e">
        <f t="shared" si="207"/>
        <v>#N/A</v>
      </c>
      <c r="CI85" s="31" t="e">
        <f>IF(OR(Hypothèses!$B$4=17,Hypothèses!$B$4=18,Hypothèses!$B$4=19,Hypothèses!$B$4=20),
IF($D85="Pressio.",
IF(OR($E85=3,$E85=1,$E85=4),CH85,CG85),
IF($D85="Pénétro.",
IF(OR($E85=3,$E85=1,$E85=4),CH85,CG85))),IF($D85="Pressio.",
IF($E85=3,CH85,CG85),
IF($D85="Pénétro.",
IF($E85=4,CH85,CG85))))</f>
        <v>#N/A</v>
      </c>
      <c r="CJ85" s="31">
        <v>0</v>
      </c>
      <c r="CK85" s="102" t="e">
        <f>IF(NDC!$H$10="Oui",(VLOOKUP($B$3,'Coeff EC7'!$T$39:$X$59,2,0)*CI85+VLOOKUP($B$3,'Coeff EC7'!$T$65:$X$85,2,0)*Model0.1T!CJ85)/1.5,PI()*CG$12*$Q85*($B85-$B84)*0.15/10+CK84)</f>
        <v>#N/A</v>
      </c>
      <c r="CL85" s="102" t="e">
        <f>(VLOOKUP($B$3,'Coeff EC7'!$T$39:$X$59,3,0)*CI85+VLOOKUP($B$3,'Coeff EC7'!$T$65:$X$85,3,0)*Model0.1T!CJ85)/1.1</f>
        <v>#N/A</v>
      </c>
      <c r="CM85" s="102" t="e">
        <f t="shared" si="182"/>
        <v>#N/A</v>
      </c>
      <c r="CN85" s="102" t="e">
        <f t="shared" si="183"/>
        <v>#N/A</v>
      </c>
      <c r="CO85" s="414" t="e">
        <f>IF(AND(CK85&gt;NDC!$C$63,CL85&gt;NDC!$C$65,CM85&gt;NDC!$D$73,CN85&gt;NDC!$D$74,$B85&gt;NDC!$H$22-0.1+MIN(3*CO$12,1.5)),0,1)</f>
        <v>#N/A</v>
      </c>
      <c r="CP85" s="86" t="b">
        <f t="shared" si="149"/>
        <v>0</v>
      </c>
      <c r="CQ85" s="86">
        <f t="shared" si="150"/>
        <v>0.5</v>
      </c>
      <c r="CR85" s="86">
        <f t="shared" si="151"/>
        <v>0.5</v>
      </c>
      <c r="CS85" s="30" t="e">
        <f t="shared" ca="1" si="184"/>
        <v>#DIV/0!</v>
      </c>
      <c r="CT85" s="85" t="e">
        <f ca="1">IF(BZ85&lt;=Hypothèses!$V$7,Hypothèses!$W$7,IF(BZ85&lt;=Hypothèses!$V$8,Hypothèses!$W$8,IF(BZ85&lt;=Hypothèses!$V$9,Hypothèses!$W$9,IF(BZ85&lt;=Hypothèses!$V$10,Hypothèses!$W$10,IF(BZ85&lt;=Hypothèses!$V$11,Hypothèses!$W$11,IF(BZ85&lt;=Hypothèses!$V$12,Hypothèses!$W$12,IF(BZ85&lt;=Hypothèses!$V$13,Hypothèses!$W$13,IF(BZ85&lt;=Hypothèses!$V$14,Hypothèses!$W$14,IF(BZ85&lt;=Hypothèses!$V$15,Hypothèses!$W$15,IF(BZ85&lt;=Hypothèses!$V$16,Hypothèses!$W$16,IF(BZ85&lt;=Hypothèses!$V$17,Hypothèses!$W$17,IF(BZ85&lt;=Hypothèses!$V$18,Hypothèses!$W$18,""))))))))))))</f>
        <v>#DIV/0!</v>
      </c>
      <c r="CU85" s="87" t="e">
        <f t="shared" ca="1" si="220"/>
        <v>#DIV/0!</v>
      </c>
      <c r="CV85" s="88" t="e">
        <f ca="1">IF(BZ85&lt;=Hypothèses!$V$7,Hypothèses!$X$7,IF(BZ85&lt;=Hypothèses!$V$8,Hypothèses!$X$8,IF(BZ85&lt;=Hypothèses!$V$9,Hypothèses!$X$9,IF(BZ85&lt;=Hypothèses!$V$10,Hypothèses!$X$10,IF(BZ85&lt;=Hypothèses!$V$11,Hypothèses!$X$11,IF(BZ85&lt;=Hypothèses!$V$12,Hypothèses!$X$12,IF(BZ85&lt;=Hypothèses!$V$13,Hypothèses!$X$13,IF(BZ85&lt;=Hypothèses!$V$14,Hypothèses!$X$14,IF(BZ85&lt;=Hypothèses!$V$15,Hypothèses!$X$15,IF(BZ85&lt;=Hypothèses!$V$16,Hypothèses!$X$16,IF(BZ85&lt;=Hypothèses!$U$17,Hypothèses!$W$17,IF(BZ85&lt;=Hypothèses!$U$18,Hypothèses!$W$18,""))))))))))))</f>
        <v>#DIV/0!</v>
      </c>
      <c r="CW85" s="95" t="e">
        <f t="shared" ca="1" si="185"/>
        <v>#DIV/0!</v>
      </c>
      <c r="CX85" s="101">
        <f t="shared" si="227"/>
        <v>0</v>
      </c>
      <c r="CY85" s="91">
        <f t="shared" si="152"/>
        <v>0</v>
      </c>
      <c r="CZ85" s="30" t="e">
        <f t="shared" si="208"/>
        <v>#N/A</v>
      </c>
      <c r="DA85" s="30" t="e">
        <f t="shared" si="209"/>
        <v>#N/A</v>
      </c>
      <c r="DB85" s="31" t="e">
        <f>IF(OR(Hypothèses!$B$4=17,Hypothèses!$B$4=18,Hypothèses!$B$4=19,Hypothèses!$B$4=20),
IF($D85="Pressio.",
IF(OR($E85=3,$E85=1,$E85=4),DA85,CZ85),
IF($D85="Pénétro.",
IF(OR($E85=3,$E85=1,$E85=4),DA85,CZ85))),IF($D85="Pressio.",
IF($E85=3,DA85,CZ85),
IF($D85="Pénétro.",
IF($E85=4,DA85,CZ85))))</f>
        <v>#N/A</v>
      </c>
      <c r="DC85" s="31">
        <v>0</v>
      </c>
      <c r="DD85" s="102" t="e">
        <f>IF(NDC!$H$10="Oui",(VLOOKUP($B$3,'Coeff EC7'!$T$39:$X$59,2,0)*DB85+VLOOKUP($B$3,'Coeff EC7'!$T$65:$X$85,2,0)*Model0.1T!DC85)/1.5,PI()*CZ$12*$Q85*($B85-$B84)*0.15/10+DD84)</f>
        <v>#N/A</v>
      </c>
      <c r="DE85" s="102" t="e">
        <f>(VLOOKUP($B$3,'Coeff EC7'!$T$39:$X$59,3,0)*DB85+VLOOKUP($B$3,'Coeff EC7'!$T$65:$X$85,3,0)*Model0.1T!DC85)/1.1</f>
        <v>#N/A</v>
      </c>
      <c r="DF85" s="102" t="e">
        <f t="shared" si="186"/>
        <v>#N/A</v>
      </c>
      <c r="DG85" s="102" t="e">
        <f t="shared" si="187"/>
        <v>#N/A</v>
      </c>
      <c r="DH85" s="414" t="e">
        <f>IF(AND(DD85&gt;NDC!$C$63,DE85&gt;NDC!$C$65,DF85&gt;NDC!$D$73,DG85&gt;NDC!$D$74,$B85&gt;NDC!$H$22-0.1+MIN(3*DH$12,1.5)),0,1)</f>
        <v>#N/A</v>
      </c>
      <c r="DI85" s="86" t="b">
        <f t="shared" si="153"/>
        <v>0</v>
      </c>
      <c r="DJ85" s="86">
        <f t="shared" si="154"/>
        <v>0.5</v>
      </c>
      <c r="DK85" s="86">
        <f t="shared" si="155"/>
        <v>0.5</v>
      </c>
      <c r="DL85" s="30" t="e">
        <f t="shared" ca="1" si="188"/>
        <v>#DIV/0!</v>
      </c>
      <c r="DM85" s="85" t="e">
        <f ca="1">IF(CS85&lt;=Hypothèses!$V$7,Hypothèses!$W$7,IF(CS85&lt;=Hypothèses!$V$8,Hypothèses!$W$8,IF(CS85&lt;=Hypothèses!$V$9,Hypothèses!$W$9,IF(CS85&lt;=Hypothèses!$V$10,Hypothèses!$W$10,IF(CS85&lt;=Hypothèses!$V$11,Hypothèses!$W$11,IF(CS85&lt;=Hypothèses!$V$12,Hypothèses!$W$12,IF(CS85&lt;=Hypothèses!$V$13,Hypothèses!$W$13,IF(CS85&lt;=Hypothèses!$V$14,Hypothèses!$W$14,IF(CS85&lt;=Hypothèses!$V$15,Hypothèses!$W$15,IF(CS85&lt;=Hypothèses!$V$16,Hypothèses!$W$16,IF(CS85&lt;=Hypothèses!$V$17,Hypothèses!$W$17,IF(CS85&lt;=Hypothèses!$V$18,Hypothèses!$W$18,""))))))))))))</f>
        <v>#DIV/0!</v>
      </c>
      <c r="DN85" s="87" t="e">
        <f t="shared" ca="1" si="221"/>
        <v>#DIV/0!</v>
      </c>
      <c r="DO85" s="88" t="e">
        <f ca="1">IF(CS85&lt;=Hypothèses!$V$7,Hypothèses!$X$7,IF(CS85&lt;=Hypothèses!$V$8,Hypothèses!$X$8,IF(CS85&lt;=Hypothèses!$V$9,Hypothèses!$X$9,IF(CS85&lt;=Hypothèses!$V$10,Hypothèses!$X$10,IF(CS85&lt;=Hypothèses!$V$11,Hypothèses!$X$11,IF(CS85&lt;=Hypothèses!$V$12,Hypothèses!$X$12,IF(CS85&lt;=Hypothèses!$V$13,Hypothèses!$X$13,IF(CS85&lt;=Hypothèses!$V$14,Hypothèses!$X$14,IF(CS85&lt;=Hypothèses!$V$15,Hypothèses!$X$15,IF(CS85&lt;=Hypothèses!$V$16,Hypothèses!$X$16,IF(CS85&lt;=Hypothèses!$U$17,Hypothèses!$W$17,IF(CS85&lt;=Hypothèses!$U$18,Hypothèses!$W$18,""))))))))))))</f>
        <v>#DIV/0!</v>
      </c>
      <c r="DP85" s="95" t="e">
        <f t="shared" ca="1" si="189"/>
        <v>#DIV/0!</v>
      </c>
      <c r="DQ85" s="101">
        <f t="shared" si="228"/>
        <v>0</v>
      </c>
      <c r="DR85" s="91">
        <f t="shared" si="156"/>
        <v>0</v>
      </c>
      <c r="DS85" s="30" t="e">
        <f t="shared" si="210"/>
        <v>#N/A</v>
      </c>
      <c r="DT85" s="30" t="e">
        <f t="shared" si="211"/>
        <v>#N/A</v>
      </c>
      <c r="DU85" s="31" t="e">
        <f>IF(OR(Hypothèses!$B$4=17,Hypothèses!$B$4=18,Hypothèses!$B$4=19,Hypothèses!$B$4=20),
IF($D85="Pressio.",
IF(OR($E85=3,$E85=1,$E85=4),DT85,DS85),
IF($D85="Pénétro.",
IF(OR($E85=3,$E85=1,$E85=4),DT85,DS85))),IF($D85="Pressio.",
IF($E85=3,DT85,DS85),
IF($D85="Pénétro.",
IF($E85=4,DT85,DS85))))</f>
        <v>#N/A</v>
      </c>
      <c r="DV85" s="31">
        <v>0</v>
      </c>
      <c r="DW85" s="102" t="e">
        <f>IF(NDC!$H$10="Oui",(VLOOKUP($B$3,'Coeff EC7'!$T$39:$X$59,2,0)*DU85+VLOOKUP($B$3,'Coeff EC7'!$T$65:$X$85,2,0)*Model0.1T!DV85)/1.5,PI()*DS$12*$Q85*($B85-$B84)*0.15/10+DW84)</f>
        <v>#N/A</v>
      </c>
      <c r="DX85" s="102" t="e">
        <f>(VLOOKUP($B$3,'Coeff EC7'!$T$39:$X$59,3,0)*DU85+VLOOKUP($B$3,'Coeff EC7'!$T$65:$X$85,3,0)*Model0.1T!DV85)/1.1</f>
        <v>#N/A</v>
      </c>
      <c r="DY85" s="102" t="e">
        <f t="shared" si="190"/>
        <v>#N/A</v>
      </c>
      <c r="DZ85" s="102" t="e">
        <f t="shared" si="191"/>
        <v>#N/A</v>
      </c>
      <c r="EA85" s="414" t="e">
        <f>IF(AND(DW85&gt;NDC!$C$63,DX85&gt;NDC!$C$65,DY85&gt;NDC!$D$73,DZ85&gt;NDC!$D$74,$B85&gt;NDC!$H$22-0.1+MIN(3*EA$12,1.5)),0,1)</f>
        <v>#N/A</v>
      </c>
      <c r="EB85" s="86" t="b">
        <f t="shared" si="157"/>
        <v>0</v>
      </c>
      <c r="EC85" s="418">
        <f t="shared" si="158"/>
        <v>0.51</v>
      </c>
      <c r="ED85" s="86">
        <f t="shared" si="159"/>
        <v>0.51</v>
      </c>
      <c r="EE85" s="30" t="e">
        <f t="shared" ca="1" si="192"/>
        <v>#DIV/0!</v>
      </c>
      <c r="EF85" s="85" t="e">
        <f ca="1">IF(DL85&lt;=Hypothèses!$V$7,Hypothèses!$W$7,IF(DL85&lt;=Hypothèses!$V$8,Hypothèses!$W$8,IF(DL85&lt;=Hypothèses!$V$9,Hypothèses!$W$9,IF(DL85&lt;=Hypothèses!$V$10,Hypothèses!$W$10,IF(DL85&lt;=Hypothèses!$V$11,Hypothèses!$W$11,IF(DL85&lt;=Hypothèses!$V$12,Hypothèses!$W$12,IF(DL85&lt;=Hypothèses!$V$13,Hypothèses!$W$13,IF(DL85&lt;=Hypothèses!$V$14,Hypothèses!$W$14,IF(DL85&lt;=Hypothèses!$V$15,Hypothèses!$W$15,IF(DL85&lt;=Hypothèses!$V$16,Hypothèses!$W$16,IF(DL85&lt;=Hypothèses!$V$17,Hypothèses!$W$17,IF(DL85&lt;=Hypothèses!$V$18,Hypothèses!$W$18,""))))))))))))</f>
        <v>#DIV/0!</v>
      </c>
      <c r="EG85" s="87" t="e">
        <f t="shared" ca="1" si="222"/>
        <v>#DIV/0!</v>
      </c>
      <c r="EH85" s="88" t="e">
        <f ca="1">IF(DL85&lt;=Hypothèses!$V$7,Hypothèses!$X$7,IF(DL85&lt;=Hypothèses!$V$8,Hypothèses!$X$8,IF(DL85&lt;=Hypothèses!$V$9,Hypothèses!$X$9,IF(DL85&lt;=Hypothèses!$V$10,Hypothèses!$X$10,IF(DL85&lt;=Hypothèses!$V$11,Hypothèses!$X$11,IF(DL85&lt;=Hypothèses!$V$12,Hypothèses!$X$12,IF(DL85&lt;=Hypothèses!$V$13,Hypothèses!$X$13,IF(DL85&lt;=Hypothèses!$V$14,Hypothèses!$X$14,IF(DL85&lt;=Hypothèses!$V$15,Hypothèses!$X$15,IF(DL85&lt;=Hypothèses!$V$16,Hypothèses!$X$16,IF(DL85&lt;=Hypothèses!$U$17,Hypothèses!$W$17,IF(DL85&lt;=Hypothèses!$U$18,Hypothèses!$W$18,""))))))))))))</f>
        <v>#DIV/0!</v>
      </c>
      <c r="EI85" s="95" t="e">
        <f t="shared" ca="1" si="193"/>
        <v>#DIV/0!</v>
      </c>
      <c r="EJ85" s="101">
        <f t="shared" si="229"/>
        <v>0</v>
      </c>
      <c r="EK85" s="91">
        <f t="shared" si="160"/>
        <v>0</v>
      </c>
      <c r="EL85" s="30" t="e">
        <f t="shared" si="212"/>
        <v>#N/A</v>
      </c>
      <c r="EM85" s="30" t="e">
        <f t="shared" si="213"/>
        <v>#N/A</v>
      </c>
      <c r="EN85" s="31" t="e">
        <f>IF(OR(Hypothèses!$B$4=17,Hypothèses!$B$4=18,Hypothèses!$B$4=19,Hypothèses!$B$4=20),
IF($D85="Pressio.",
IF(OR($E85=3,$E85=1,$E85=4),EM85,EL85),
IF($D85="Pénétro.",
IF(OR($E85=3,$E85=1,$E85=4),EM85,EL85))),IF($D85="Pressio.",
IF($E85=3,EM85,EL85),
IF($D85="Pénétro.",
IF($E85=4,EM85,EL85))))</f>
        <v>#N/A</v>
      </c>
      <c r="EO85" s="31">
        <v>0</v>
      </c>
      <c r="EP85" s="102" t="e">
        <f>IF(NDC!$H$10="Oui",(VLOOKUP($B$3,'Coeff EC7'!$T$39:$X$59,2,0)*EN85+VLOOKUP($B$3,'Coeff EC7'!$T$65:$X$85,2,0)*Model0.1T!EO85)/1.5,PI()*EL$12*$Q85*($B85-$B84)*0.15/10+EP84)</f>
        <v>#N/A</v>
      </c>
      <c r="EQ85" s="102" t="e">
        <f>(VLOOKUP($B$3,'Coeff EC7'!$T$39:$X$59,3,0)*EN85+VLOOKUP($B$3,'Coeff EC7'!$T$65:$X$85,3,0)*Model0.1T!EO85)/1.1</f>
        <v>#N/A</v>
      </c>
      <c r="ER85" s="102" t="e">
        <f t="shared" si="194"/>
        <v>#N/A</v>
      </c>
      <c r="ES85" s="102" t="e">
        <f t="shared" si="195"/>
        <v>#N/A</v>
      </c>
      <c r="ET85" s="414" t="e">
        <f>IF(AND(EP85&gt;NDC!$C$63,EQ85&gt;NDC!$C$65,ER85&gt;NDC!$D$73,ES85&gt;NDC!$D$74,$B85&gt;NDC!$H$22-0.1+MIN(3*ET$12,1.5)),0,1)</f>
        <v>#N/A</v>
      </c>
      <c r="EU85" s="86" t="b">
        <f t="shared" si="161"/>
        <v>0</v>
      </c>
      <c r="EV85" s="86">
        <f t="shared" si="162"/>
        <v>0.61</v>
      </c>
      <c r="EW85" s="86">
        <f t="shared" si="163"/>
        <v>0.61</v>
      </c>
      <c r="EX85" s="30" t="e">
        <f t="shared" ca="1" si="196"/>
        <v>#DIV/0!</v>
      </c>
      <c r="EY85" s="85" t="e">
        <f ca="1">IF(EE85&lt;=Hypothèses!$V$7,Hypothèses!$W$7,IF(EE85&lt;=Hypothèses!$V$8,Hypothèses!$W$8,IF(EE85&lt;=Hypothèses!$V$9,Hypothèses!$W$9,IF(EE85&lt;=Hypothèses!$V$10,Hypothèses!$W$10,IF(EE85&lt;=Hypothèses!$V$11,Hypothèses!$W$11,IF(EE85&lt;=Hypothèses!$V$12,Hypothèses!$W$12,IF(EE85&lt;=Hypothèses!$V$13,Hypothèses!$W$13,IF(EE85&lt;=Hypothèses!$V$14,Hypothèses!$W$14,IF(EE85&lt;=Hypothèses!$V$15,Hypothèses!$W$15,IF(EE85&lt;=Hypothèses!$V$16,Hypothèses!$W$16,IF(EE85&lt;=Hypothèses!$V$17,Hypothèses!$W$17,IF(EE85&lt;=Hypothèses!$V$18,Hypothèses!$W$18,""))))))))))))</f>
        <v>#DIV/0!</v>
      </c>
      <c r="EZ85" s="87" t="e">
        <f t="shared" ca="1" si="223"/>
        <v>#DIV/0!</v>
      </c>
      <c r="FA85" s="88" t="e">
        <f ca="1">IF(EE85&lt;=Hypothèses!$V$7,Hypothèses!$X$7,IF(EE85&lt;=Hypothèses!$V$8,Hypothèses!$X$8,IF(EE85&lt;=Hypothèses!$V$9,Hypothèses!$X$9,IF(EE85&lt;=Hypothèses!$V$10,Hypothèses!$X$10,IF(EE85&lt;=Hypothèses!$V$11,Hypothèses!$X$11,IF(EE85&lt;=Hypothèses!$V$12,Hypothèses!$X$12,IF(EE85&lt;=Hypothèses!$V$13,Hypothèses!$X$13,IF(EE85&lt;=Hypothèses!$V$14,Hypothèses!$X$14,IF(EE85&lt;=Hypothèses!$V$15,Hypothèses!$X$15,IF(EE85&lt;=Hypothèses!$V$16,Hypothèses!$X$16,IF(EE85&lt;=Hypothèses!$U$17,Hypothèses!$W$17,IF(EE85&lt;=Hypothèses!$U$18,Hypothèses!$W$18,""))))))))))))</f>
        <v>#DIV/0!</v>
      </c>
      <c r="FB85" s="95" t="e">
        <f t="shared" ca="1" si="197"/>
        <v>#DIV/0!</v>
      </c>
      <c r="FC85" s="101">
        <f t="shared" si="230"/>
        <v>0</v>
      </c>
      <c r="FD85" s="91">
        <f t="shared" si="164"/>
        <v>0</v>
      </c>
      <c r="FE85" s="30" t="e">
        <f t="shared" si="214"/>
        <v>#N/A</v>
      </c>
      <c r="FF85" s="30" t="e">
        <f t="shared" si="215"/>
        <v>#N/A</v>
      </c>
      <c r="FG85" s="31" t="e">
        <f>IF(OR(Hypothèses!$B$4=17,Hypothèses!$B$4=18,Hypothèses!$B$4=19,Hypothèses!$B$4=20),
IF($D85="Pressio.",
IF(OR($E85=3,$E85=1,$E85=4),FF85,FE85),
IF($D85="Pénétro.",
IF(OR($E85=3,$E85=1,$E85=4),FF85,FE85))),IF($D85="Pressio.",
IF($E85=3,FF85,FE85),
IF($D85="Pénétro.",
IF($E85=4,FF85,FE85))))</f>
        <v>#N/A</v>
      </c>
      <c r="FH85" s="31">
        <v>0</v>
      </c>
      <c r="FI85" s="102" t="e">
        <f>IF(NDC!$H$10="Oui",(VLOOKUP($B$3,'Coeff EC7'!$T$39:$X$59,2,0)*FG85+VLOOKUP($B$3,'Coeff EC7'!$T$65:$X$85,2,0)*Model0.1T!FH85)/1.5,PI()*FE$12*$Q85*($B85-$B84)*0.15/10+FI84)</f>
        <v>#N/A</v>
      </c>
      <c r="FJ85" s="102" t="e">
        <f>(VLOOKUP($B$3,'Coeff EC7'!$T$39:$X$59,3,0)*FG85+VLOOKUP($B$3,'Coeff EC7'!$T$65:$X$85,3,0)*Model0.1T!FH85)/1.1</f>
        <v>#N/A</v>
      </c>
      <c r="FK85" s="102" t="e">
        <f t="shared" si="198"/>
        <v>#N/A</v>
      </c>
      <c r="FL85" s="102" t="e">
        <f t="shared" si="199"/>
        <v>#N/A</v>
      </c>
      <c r="FM85" s="414" t="e">
        <f>IF(AND(FI85&gt;NDC!$C$63,FJ85&gt;NDC!$C$65,FK85&gt;NDC!$D$73,FL85&gt;NDC!$D$74,$B85&gt;NDC!$H$22-0.1+MIN(3*FM$12,1.5)),0,1)</f>
        <v>#N/A</v>
      </c>
    </row>
    <row r="86" spans="1:169">
      <c r="A86" s="96">
        <f t="shared" si="165"/>
        <v>92.700000000000415</v>
      </c>
      <c r="B86" s="97">
        <v>7.3</v>
      </c>
      <c r="C86" s="81">
        <f>IF(B86&lt;=Hypothèses!$C$7,Hypothèses!$A$7,IF(B86&lt;=Hypothèses!$C$8,Hypothèses!$A$8,IF(B86&lt;=Hypothèses!$C$9,Hypothèses!$A$9,IF(B86&lt;=Hypothèses!$C$10,Hypothèses!$A$10,IF(B86&lt;=Hypothèses!$C$11,Hypothèses!$A$11,IF(B86&lt;=Hypothèses!$C$12,Hypothèses!$A$12,IF(B86&lt;=Hypothèses!$C$13,Hypothèses!$A$13,IF(B86&lt;=Hypothèses!$C$14,Hypothèses!$A$14,IF(B86&lt;=Hypothèses!$C$15,Hypothèses!$A$15,IF(B86&lt;=Hypothèses!$C$16,Hypothèses!$A$16,IF(B86&lt;=Hypothèses!$C$17,Hypothèses!$A$17,IF(B86&lt;=Hypothèses!$C$18,Hypothèses!$A$18,C85))))))))))))</f>
        <v>11</v>
      </c>
      <c r="D86" s="82" t="str">
        <f>IF(B86&lt;=Hypothèses!$C$7,Hypothèses!$R$7,IF(B86&lt;=Hypothèses!$C$8,Hypothèses!$R$8,IF(B86&lt;=Hypothèses!$C$9,Hypothèses!$R$9,IF(B86&lt;=Hypothèses!$C$10,Hypothèses!$R$10,IF(B86&lt;=Hypothèses!$C$11,Hypothèses!$R$11,IF(B86&lt;=Hypothèses!$C$12,Hypothèses!$R$12,IF(B86&lt;=Hypothèses!$C$13,Hypothèses!$R$13,IF(B86&lt;=Hypothèses!$C$14,Hypothèses!$R$14,IF(B86&lt;=Hypothèses!$C$15,Hypothèses!$R$15,IF(B86&lt;=Hypothèses!$C$16,Hypothèses!$R$16,IF(B86&lt;=Hypothèses!$C$17,Hypothèses!$R$17,IF(B86&lt;=Hypothèses!$C$18,Hypothèses!$R$18,D85))))))))))))</f>
        <v>Pressio.</v>
      </c>
      <c r="E86" s="82" t="e">
        <f>IF(B86&lt;=Hypothèses!$C$7,Hypothèses!$G$7,IF(B86&lt;=Hypothèses!$C$8,Hypothèses!$G$8,IF(B86&lt;=Hypothèses!$C$9,Hypothèses!$G$9,IF(B86&lt;=Hypothèses!$C$10,Hypothèses!$G$10,IF(B86&lt;=Hypothèses!$C$11,Hypothèses!$G$11,IF(B86&lt;=Hypothèses!$C$12,Hypothèses!$G$12,IF(B86&lt;=Hypothèses!$C$13,Hypothèses!$G$13,IF(B86&lt;=Hypothèses!$C$14,Hypothèses!$G$14,IF(B86&lt;=Hypothèses!$C$15,Hypothèses!$G$15,IF(B86&lt;=Hypothèses!$C$16,Hypothèses!$G$16,IF(B86&lt;=Hypothèses!$C$17,Hypothèses!$G$17,IF(B86&lt;=Hypothèses!$C$18,Hypothèses!$G$18,E85))))))))))))</f>
        <v>#N/A</v>
      </c>
      <c r="F86" s="82" t="str">
        <f>IF(B86&lt;=Hypothèses!$C$7,Hypothèses!$F$7,IF(B86&lt;=Hypothèses!$C$8,Hypothèses!$F$8,IF(B86&lt;=Hypothèses!$C$9,Hypothèses!$F$9,IF(B86&lt;=Hypothèses!$C$10,Hypothèses!$F$10,IF(B86&lt;=Hypothèses!$C$11,Hypothèses!$F$11,IF(B86&lt;=Hypothèses!$C$12,Hypothèses!$F$12,IF(B86&lt;=Hypothèses!$C$13,Hypothèses!$F$13,IF(B86&lt;=Hypothèses!$C$14,Hypothèses!$F$14,IF(B86&lt;=Hypothèses!$C$15,Hypothèses!$F$15,IF(B86&lt;=Hypothèses!$C$16,Hypothèses!$F$16,IF(B86&lt;=Hypothèses!$C$17,Hypothèses!$F$17,IF(B86&lt;=Hypothèses!$C$18,Hypothèses!$F$18,F85))))))))))))</f>
        <v/>
      </c>
      <c r="G86" s="91">
        <f t="array" ref="G86">INDEX('Coeff EC7'!$U$7:$X$27,
MATCH(Model0.1T!$B$3,'Coeff EC7'!$T$7:$T$27,0),
MATCH(Model0.1T!$D86&amp;Model0.1T!$B$4,
'Coeff EC7'!$U$6:$X$6&amp;
'Coeff EC7'!$U$5:$X$5,0))</f>
        <v>1.4</v>
      </c>
      <c r="H86" s="91">
        <f t="array" ref="H86">INDEX('Coeff EC7'!$Y$7:$AB$27,
MATCH(Model0.1T!$B$3,'Coeff EC7'!$T$7:$T$27,0),
MATCH(Model0.1T!$D86&amp;Model0.1T!$B$4,
'Coeff EC7'!$Y$6:$AB$6&amp;
'Coeff EC7'!$Y$5:$AB$5,0))</f>
        <v>1.7</v>
      </c>
      <c r="I86" s="83">
        <v>0</v>
      </c>
      <c r="J86" s="91" t="e">
        <f t="array" ref="J86">INDEX('Coeff EC7'!$D$33:$Q$33,1,MATCH(D86&amp;E86,'Coeff EC7'!$D$31:$Q$31&amp;'Coeff EC7'!$D$32:$Q$32,0))</f>
        <v>#N/A</v>
      </c>
      <c r="K86" s="91" t="e">
        <f t="array" ref="K86">INDEX('Coeff EC7'!$D$34:$Q$34,1,MATCH(D86&amp;E86,'Coeff EC7'!$D$31:$Q$31&amp;'Coeff EC7'!$D$32:$Q$32,0))</f>
        <v>#N/A</v>
      </c>
      <c r="L86" s="91" t="e">
        <f t="array" ref="L86">INDEX('Coeff EC7'!$D$35:$Q$35,1,MATCH(D86&amp;E86,'Coeff EC7'!$D$31:$Q$31&amp;'Coeff EC7'!$D$32:$Q$32,0))</f>
        <v>#N/A</v>
      </c>
      <c r="M86" s="98" t="e">
        <f t="shared" si="131"/>
        <v>#N/A</v>
      </c>
      <c r="N86" s="99" t="e">
        <f t="array" ref="N86">INDEX('Coeff EC7'!$D$7:$Q$27,MATCH($B$3,'Coeff EC7'!$C$7:$C$27,0),MATCH(D86&amp;E86,'Coeff EC7'!$D$5:$Q$5&amp;'Coeff EC7'!$D$6:$Q$6,0))</f>
        <v>#N/A</v>
      </c>
      <c r="O86" s="99" t="e">
        <f t="array" ref="O86">INDEX('Coeff EC7'!$D$41:$Q$61,MATCH($B$3,'Coeff EC7'!$C$41:$C$61,0),MATCH(D86&amp;E86,'Coeff EC7'!$D$39:$Q$39&amp;'Coeff EC7'!$D$40:$Q$40,0))</f>
        <v>#N/A</v>
      </c>
      <c r="P86" s="30" t="e">
        <f t="shared" si="166"/>
        <v>#N/A</v>
      </c>
      <c r="Q86" s="100" t="e">
        <f t="shared" si="133"/>
        <v>#N/A</v>
      </c>
      <c r="R86" s="86" t="b">
        <f t="shared" si="134"/>
        <v>0</v>
      </c>
      <c r="S86" s="86">
        <f t="shared" si="132"/>
        <v>0.5</v>
      </c>
      <c r="T86" s="86">
        <f t="shared" si="135"/>
        <v>0.5</v>
      </c>
      <c r="U86" s="30" t="e">
        <f t="shared" ca="1" si="167"/>
        <v>#DIV/0!</v>
      </c>
      <c r="V86" s="85" t="str">
        <f>IF(B86&lt;=Hypothèses!$V$7,Hypothèses!$W$7,IF(B86&lt;=Hypothèses!$V$8,Hypothèses!$W$8,IF(B86&lt;=Hypothèses!$V$9,Hypothèses!$W$9,IF(B86&lt;=Hypothèses!$V$10,Hypothèses!$W$10,IF(B86&lt;=Hypothèses!$V$11,Hypothèses!$W$11,IF(B86&lt;=Hypothèses!$V$12,Hypothèses!$W$12,IF(B86&lt;=Hypothèses!$V$13,Hypothèses!$W$13,IF(B86&lt;=Hypothèses!$V$14,Hypothèses!$W$14,IF(B86&lt;=Hypothèses!$V$15,Hypothèses!$W$15,IF(B86&lt;=Hypothèses!$V$16,Hypothèses!$W$16,IF(B86&lt;=Hypothèses!$V$17,Hypothèses!$W$17,IF(B86&lt;=Hypothèses!$V$18,Hypothèses!$W$18,""))))))))))))</f>
        <v/>
      </c>
      <c r="W86" s="87" t="e">
        <f t="shared" ca="1" si="216"/>
        <v>#DIV/0!</v>
      </c>
      <c r="X86" s="88" t="str">
        <f>IF(B86&lt;=Hypothèses!$V$7,Hypothèses!$X$7,IF(B86&lt;=Hypothèses!$V$8,Hypothèses!$X$8,IF(B86&lt;=Hypothèses!$V$9,Hypothèses!$X$9,IF(B86&lt;=Hypothèses!$V$10,Hypothèses!$X$10,IF(B86&lt;=Hypothèses!$V$11,Hypothèses!$X$11,IF(B86&lt;=Hypothèses!$V$12,Hypothèses!$X$12,IF(B86&lt;=Hypothèses!$V$13,Hypothèses!$X$13,IF(B86&lt;=Hypothèses!$V$14,Hypothèses!$X$14,IF(B86&lt;=Hypothèses!$V$15,Hypothèses!$X$15,IF(B86&lt;=Hypothèses!$V$16,Hypothèses!$X$16,IF(B86&lt;=Hypothèses!$U$17,Hypothèses!$W$17,IF(B86&lt;=Hypothèses!$U$18,Hypothèses!$W$18,""))))))))))))</f>
        <v/>
      </c>
      <c r="Y86" s="95" t="e">
        <f t="shared" ca="1" si="136"/>
        <v>#DIV/0!</v>
      </c>
      <c r="Z86" s="101">
        <f t="shared" si="137"/>
        <v>0</v>
      </c>
      <c r="AA86" s="91">
        <f t="shared" si="138"/>
        <v>0</v>
      </c>
      <c r="AB86" s="30" t="e">
        <f t="shared" si="200"/>
        <v>#N/A</v>
      </c>
      <c r="AC86" s="30" t="e">
        <f t="shared" si="201"/>
        <v>#N/A</v>
      </c>
      <c r="AD86" s="31" t="e">
        <f>IF(OR(Hypothèses!$B$4=17,Hypothèses!$B$4=18,Hypothèses!$B$4=19,Hypothèses!$B$4=20),
IF($D86="Pressio.",
IF(OR($E86=3,$E86=1,$E86=4),AC86,AB86),
IF($D86="Pénétro.",
IF(OR($E86=3,$E86=1,$E86=4),AC86,AB86))),IF($D86="Pressio.",
IF($E86=3,AC86,AB86),
IF($D86="Pénétro.",
IF($E86=4,AC86,AB86))))</f>
        <v>#N/A</v>
      </c>
      <c r="AE86" s="31">
        <v>0</v>
      </c>
      <c r="AF86" s="102" t="e">
        <f>IF(NDC!$H$10="Oui",(VLOOKUP($B$3,'Coeff EC7'!$T$39:$X$59,2,0)*AD86+VLOOKUP($B$3,'Coeff EC7'!$T$65:$X$85,2,0)*Model0.1T!AE86)/1.5,PI()*AB$12*$Q86*($B86-$B85)*0.15/10+AF85)</f>
        <v>#N/A</v>
      </c>
      <c r="AG86" s="102" t="e">
        <f>(VLOOKUP($B$3,'Coeff EC7'!$T$39:$X$59,3,0)*AD86+VLOOKUP($B$3,'Coeff EC7'!$T$65:$X$85,3,0)*Model0.1T!AE86)/1.1</f>
        <v>#N/A</v>
      </c>
      <c r="AH86" s="102" t="e">
        <f t="shared" si="168"/>
        <v>#N/A</v>
      </c>
      <c r="AI86" s="102" t="e">
        <f t="shared" si="169"/>
        <v>#N/A</v>
      </c>
      <c r="AJ86" s="414" t="e">
        <f>IF(AND(AF86&gt;NDC!$C$63,AG86&gt;NDC!$C$65,AH86&gt;NDC!$D$73,AI86&gt;NDC!$D$74,$B86&gt;NDC!$H$22-0.1+MIN(3*$AJ$12,1.5)),0,1)</f>
        <v>#N/A</v>
      </c>
      <c r="AK86" s="86" t="b">
        <f t="shared" si="139"/>
        <v>0</v>
      </c>
      <c r="AL86" s="86">
        <f t="shared" si="170"/>
        <v>0.5</v>
      </c>
      <c r="AM86" s="86">
        <f t="shared" si="140"/>
        <v>0.5</v>
      </c>
      <c r="AN86" s="30" t="e">
        <f t="shared" ca="1" si="171"/>
        <v>#DIV/0!</v>
      </c>
      <c r="AO86" s="85" t="e">
        <f ca="1">IF(U86&lt;=Hypothèses!$V$7,Hypothèses!$W$7,IF(U86&lt;=Hypothèses!$V$8,Hypothèses!$W$8,IF(U86&lt;=Hypothèses!$V$9,Hypothèses!$W$9,IF(U86&lt;=Hypothèses!$V$10,Hypothèses!$W$10,IF(U86&lt;=Hypothèses!$V$11,Hypothèses!$W$11,IF(U86&lt;=Hypothèses!$V$12,Hypothèses!$W$12,IF(U86&lt;=Hypothèses!$V$13,Hypothèses!$W$13,IF(U86&lt;=Hypothèses!$V$14,Hypothèses!$W$14,IF(U86&lt;=Hypothèses!$V$15,Hypothèses!$W$15,IF(U86&lt;=Hypothèses!$V$16,Hypothèses!$W$16,IF(U86&lt;=Hypothèses!$V$17,Hypothèses!$W$17,IF(U86&lt;=Hypothèses!$V$18,Hypothèses!$W$18,""))))))))))))</f>
        <v>#DIV/0!</v>
      </c>
      <c r="AP86" s="87" t="e">
        <f t="shared" ca="1" si="217"/>
        <v>#DIV/0!</v>
      </c>
      <c r="AQ86" s="88" t="e">
        <f ca="1">IF(U86&lt;=Hypothèses!$V$7,Hypothèses!$X$7,IF(U86&lt;=Hypothèses!$V$8,Hypothèses!$X$8,IF(U86&lt;=Hypothèses!$V$9,Hypothèses!$X$9,IF(U86&lt;=Hypothèses!$V$10,Hypothèses!$X$10,IF(U86&lt;=Hypothèses!$V$11,Hypothèses!$X$11,IF(U86&lt;=Hypothèses!$V$12,Hypothèses!$X$12,IF(U86&lt;=Hypothèses!$V$13,Hypothèses!$X$13,IF(U86&lt;=Hypothèses!$V$14,Hypothèses!$X$14,IF(U86&lt;=Hypothèses!$V$15,Hypothèses!$X$15,IF(U86&lt;=Hypothèses!$V$16,Hypothèses!$X$16,IF(U86&lt;=Hypothèses!$U$17,Hypothèses!$W$17,IF(U86&lt;=Hypothèses!$U$18,Hypothèses!$W$18,""))))))))))))</f>
        <v>#DIV/0!</v>
      </c>
      <c r="AR86" s="95" t="e">
        <f t="shared" ca="1" si="172"/>
        <v>#DIV/0!</v>
      </c>
      <c r="AS86" s="101">
        <f t="shared" si="224"/>
        <v>0</v>
      </c>
      <c r="AT86" s="91">
        <f t="shared" si="141"/>
        <v>0</v>
      </c>
      <c r="AU86" s="30" t="e">
        <f t="shared" si="202"/>
        <v>#N/A</v>
      </c>
      <c r="AV86" s="30" t="e">
        <f t="shared" si="203"/>
        <v>#N/A</v>
      </c>
      <c r="AW86" s="31" t="e">
        <f>IF(OR(Hypothèses!$B$4=17,Hypothèses!$B$4=18,Hypothèses!$B$4=19,Hypothèses!$B$4=20),
IF($D86="Pressio.",
IF(OR($E86=3,$E86=1,$E86=4),AV86,AU86),
IF($D86="Pénétro.",
IF(OR($E86=3,$E86=1,$E86=4),AV86,AU86))),IF($D86="Pressio.",
IF($E86=3,AV86,AU86),
IF($D86="Pénétro.",
IF($E86=4,AV86,AU86))))</f>
        <v>#N/A</v>
      </c>
      <c r="AX86" s="31">
        <v>0</v>
      </c>
      <c r="AY86" s="102" t="e">
        <f>IF(NDC!$H$10="Oui",(VLOOKUP($B$3,'Coeff EC7'!$T$39:$X$59,2,0)*AW86+VLOOKUP($B$3,'Coeff EC7'!$T$65:$X$85,2,0)*Model0.1T!AX86)/1.5,PI()*AU$12*$Q86*($B86-$B85)*0.15/10+AY85)</f>
        <v>#N/A</v>
      </c>
      <c r="AZ86" s="102" t="e">
        <f>(VLOOKUP($B$3,'Coeff EC7'!$T$39:$X$59,3,0)*AW86+VLOOKUP($B$3,'Coeff EC7'!$T$65:$X$85,3,0)*Model0.1T!AX86)/1.1</f>
        <v>#N/A</v>
      </c>
      <c r="BA86" s="102" t="e">
        <f t="shared" si="173"/>
        <v>#N/A</v>
      </c>
      <c r="BB86" s="102" t="e">
        <f t="shared" si="174"/>
        <v>#N/A</v>
      </c>
      <c r="BC86" s="414" t="e">
        <f>IF(AND(AY86&gt;NDC!$C$63,AZ86&gt;NDC!$C$65,BA86&gt;NDC!$D$73,BB86&gt;NDC!$D$74,$B86&gt;NDC!$H$22-0.1+MIN(3*BC$12,1.5)),0,1)</f>
        <v>#N/A</v>
      </c>
      <c r="BD86" s="86" t="b">
        <f t="shared" si="142"/>
        <v>0</v>
      </c>
      <c r="BE86" s="86">
        <f t="shared" si="175"/>
        <v>0.5</v>
      </c>
      <c r="BF86" s="86">
        <f t="shared" si="143"/>
        <v>0.5</v>
      </c>
      <c r="BG86" s="30" t="e">
        <f t="shared" ca="1" si="176"/>
        <v>#DIV/0!</v>
      </c>
      <c r="BH86" s="85" t="e">
        <f ca="1">IF(AN86&lt;=Hypothèses!$V$7,Hypothèses!$W$7,IF(AN86&lt;=Hypothèses!$V$8,Hypothèses!$W$8,IF(AN86&lt;=Hypothèses!$V$9,Hypothèses!$W$9,IF(AN86&lt;=Hypothèses!$V$10,Hypothèses!$W$10,IF(AN86&lt;=Hypothèses!$V$11,Hypothèses!$W$11,IF(AN86&lt;=Hypothèses!$V$12,Hypothèses!$W$12,IF(AN86&lt;=Hypothèses!$V$13,Hypothèses!$W$13,IF(AN86&lt;=Hypothèses!$V$14,Hypothèses!$W$14,IF(AN86&lt;=Hypothèses!$V$15,Hypothèses!$W$15,IF(AN86&lt;=Hypothèses!$V$16,Hypothèses!$W$16,IF(AN86&lt;=Hypothèses!$V$17,Hypothèses!$W$17,IF(AN86&lt;=Hypothèses!$V$18,Hypothèses!$W$18,""))))))))))))</f>
        <v>#DIV/0!</v>
      </c>
      <c r="BI86" s="87" t="e">
        <f t="shared" ca="1" si="218"/>
        <v>#DIV/0!</v>
      </c>
      <c r="BJ86" s="88" t="e">
        <f ca="1">IF(AN86&lt;=Hypothèses!$V$7,Hypothèses!$X$7,IF(AN86&lt;=Hypothèses!$V$8,Hypothèses!$X$8,IF(AN86&lt;=Hypothèses!$V$9,Hypothèses!$X$9,IF(AN86&lt;=Hypothèses!$V$10,Hypothèses!$X$10,IF(AN86&lt;=Hypothèses!$V$11,Hypothèses!$X$11,IF(AN86&lt;=Hypothèses!$V$12,Hypothèses!$X$12,IF(AN86&lt;=Hypothèses!$V$13,Hypothèses!$X$13,IF(AN86&lt;=Hypothèses!$V$14,Hypothèses!$X$14,IF(AN86&lt;=Hypothèses!$V$15,Hypothèses!$X$15,IF(AN86&lt;=Hypothèses!$V$16,Hypothèses!$X$16,IF(AN86&lt;=Hypothèses!$U$17,Hypothèses!$W$17,IF(AN86&lt;=Hypothèses!$U$18,Hypothèses!$W$18,""))))))))))))</f>
        <v>#DIV/0!</v>
      </c>
      <c r="BK86" s="95" t="e">
        <f t="shared" ca="1" si="177"/>
        <v>#DIV/0!</v>
      </c>
      <c r="BL86" s="101">
        <f t="shared" si="225"/>
        <v>0</v>
      </c>
      <c r="BM86" s="91">
        <f t="shared" si="144"/>
        <v>0</v>
      </c>
      <c r="BN86" s="30" t="e">
        <f t="shared" si="204"/>
        <v>#N/A</v>
      </c>
      <c r="BO86" s="30" t="e">
        <f t="shared" si="205"/>
        <v>#N/A</v>
      </c>
      <c r="BP86" s="31" t="e">
        <f>IF(OR(Hypothèses!$B$4=17,Hypothèses!$B$4=18,Hypothèses!$B$4=19,Hypothèses!$B$4=20),
IF($D86="Pressio.",
IF(OR($E86=3,$E86=1,$E86=4),BO86,BN86),
IF($D86="Pénétro.",
IF(OR($E86=3,$E86=1,$E86=4),BO86,BN86))),IF($D86="Pressio.",
IF($E86=3,BO86,BN86),
IF($D86="Pénétro.",
IF($E86=4,BO86,BN86))))</f>
        <v>#N/A</v>
      </c>
      <c r="BQ86" s="31">
        <v>0</v>
      </c>
      <c r="BR86" s="102" t="e">
        <f>IF(NDC!$H$10="Oui",(VLOOKUP($B$3,'Coeff EC7'!$T$39:$X$59,2,0)*BP86+VLOOKUP($B$3,'Coeff EC7'!$T$65:$X$85,2,0)*Model0.1T!BQ86)/1.5,PI()*BN$12*$Q86*($B86-$B85)*0.15/10+BR85)</f>
        <v>#N/A</v>
      </c>
      <c r="BS86" s="102" t="e">
        <f>(VLOOKUP($B$3,'Coeff EC7'!$T$39:$X$59,3,0)*BP86+VLOOKUP($B$3,'Coeff EC7'!$T$65:$X$85,3,0)*Model0.1T!BQ86)/1.1</f>
        <v>#N/A</v>
      </c>
      <c r="BT86" s="102" t="e">
        <f t="shared" si="178"/>
        <v>#N/A</v>
      </c>
      <c r="BU86" s="102" t="e">
        <f t="shared" si="179"/>
        <v>#N/A</v>
      </c>
      <c r="BV86" s="414" t="e">
        <f>IF(AND(BR86&gt;NDC!$C$63,BS86&gt;NDC!$C$65,BT86&gt;NDC!$D$73,BU86&gt;NDC!$D$74,$B86&gt;NDC!$H$22-0.1+MIN(3*BV$12,1.5)),0,1)</f>
        <v>#N/A</v>
      </c>
      <c r="BW86" s="86" t="b">
        <f t="shared" si="145"/>
        <v>0</v>
      </c>
      <c r="BX86" s="86">
        <f t="shared" si="146"/>
        <v>0.5</v>
      </c>
      <c r="BY86" s="86">
        <f t="shared" si="147"/>
        <v>0.5</v>
      </c>
      <c r="BZ86" s="30" t="e">
        <f t="shared" ca="1" si="180"/>
        <v>#DIV/0!</v>
      </c>
      <c r="CA86" s="85" t="e">
        <f ca="1">IF(BG86&lt;=Hypothèses!$V$7,Hypothèses!$W$7,IF(BG86&lt;=Hypothèses!$V$8,Hypothèses!$W$8,IF(BG86&lt;=Hypothèses!$V$9,Hypothèses!$W$9,IF(BG86&lt;=Hypothèses!$V$10,Hypothèses!$W$10,IF(BG86&lt;=Hypothèses!$V$11,Hypothèses!$W$11,IF(BG86&lt;=Hypothèses!$V$12,Hypothèses!$W$12,IF(BG86&lt;=Hypothèses!$V$13,Hypothèses!$W$13,IF(BG86&lt;=Hypothèses!$V$14,Hypothèses!$W$14,IF(BG86&lt;=Hypothèses!$V$15,Hypothèses!$W$15,IF(BG86&lt;=Hypothèses!$V$16,Hypothèses!$W$16,IF(BG86&lt;=Hypothèses!$V$17,Hypothèses!$W$17,IF(BG86&lt;=Hypothèses!$V$18,Hypothèses!$W$18,""))))))))))))</f>
        <v>#DIV/0!</v>
      </c>
      <c r="CB86" s="87" t="e">
        <f t="shared" ca="1" si="219"/>
        <v>#DIV/0!</v>
      </c>
      <c r="CC86" s="88" t="e">
        <f ca="1">IF(BG86&lt;=Hypothèses!$V$7,Hypothèses!$X$7,IF(BG86&lt;=Hypothèses!$V$8,Hypothèses!$X$8,IF(BG86&lt;=Hypothèses!$V$9,Hypothèses!$X$9,IF(BG86&lt;=Hypothèses!$V$10,Hypothèses!$X$10,IF(BG86&lt;=Hypothèses!$V$11,Hypothèses!$X$11,IF(BG86&lt;=Hypothèses!$V$12,Hypothèses!$X$12,IF(BG86&lt;=Hypothèses!$V$13,Hypothèses!$X$13,IF(BG86&lt;=Hypothèses!$V$14,Hypothèses!$X$14,IF(BG86&lt;=Hypothèses!$V$15,Hypothèses!$X$15,IF(BG86&lt;=Hypothèses!$V$16,Hypothèses!$X$16,IF(BG86&lt;=Hypothèses!$U$17,Hypothèses!$W$17,IF(BG86&lt;=Hypothèses!$U$18,Hypothèses!$W$18,""))))))))))))</f>
        <v>#DIV/0!</v>
      </c>
      <c r="CD86" s="95" t="e">
        <f t="shared" ca="1" si="181"/>
        <v>#DIV/0!</v>
      </c>
      <c r="CE86" s="101">
        <f t="shared" si="226"/>
        <v>0</v>
      </c>
      <c r="CF86" s="91">
        <f t="shared" si="148"/>
        <v>0</v>
      </c>
      <c r="CG86" s="30" t="e">
        <f t="shared" si="206"/>
        <v>#N/A</v>
      </c>
      <c r="CH86" s="30" t="e">
        <f t="shared" si="207"/>
        <v>#N/A</v>
      </c>
      <c r="CI86" s="31" t="e">
        <f>IF(OR(Hypothèses!$B$4=17,Hypothèses!$B$4=18,Hypothèses!$B$4=19,Hypothèses!$B$4=20),
IF($D86="Pressio.",
IF(OR($E86=3,$E86=1,$E86=4),CH86,CG86),
IF($D86="Pénétro.",
IF(OR($E86=3,$E86=1,$E86=4),CH86,CG86))),IF($D86="Pressio.",
IF($E86=3,CH86,CG86),
IF($D86="Pénétro.",
IF($E86=4,CH86,CG86))))</f>
        <v>#N/A</v>
      </c>
      <c r="CJ86" s="31">
        <v>0</v>
      </c>
      <c r="CK86" s="102" t="e">
        <f>IF(NDC!$H$10="Oui",(VLOOKUP($B$3,'Coeff EC7'!$T$39:$X$59,2,0)*CI86+VLOOKUP($B$3,'Coeff EC7'!$T$65:$X$85,2,0)*Model0.1T!CJ86)/1.5,PI()*CG$12*$Q86*($B86-$B85)*0.15/10+CK85)</f>
        <v>#N/A</v>
      </c>
      <c r="CL86" s="102" t="e">
        <f>(VLOOKUP($B$3,'Coeff EC7'!$T$39:$X$59,3,0)*CI86+VLOOKUP($B$3,'Coeff EC7'!$T$65:$X$85,3,0)*Model0.1T!CJ86)/1.1</f>
        <v>#N/A</v>
      </c>
      <c r="CM86" s="102" t="e">
        <f t="shared" si="182"/>
        <v>#N/A</v>
      </c>
      <c r="CN86" s="102" t="e">
        <f t="shared" si="183"/>
        <v>#N/A</v>
      </c>
      <c r="CO86" s="414" t="e">
        <f>IF(AND(CK86&gt;NDC!$C$63,CL86&gt;NDC!$C$65,CM86&gt;NDC!$D$73,CN86&gt;NDC!$D$74,$B86&gt;NDC!$H$22-0.1+MIN(3*CO$12,1.5)),0,1)</f>
        <v>#N/A</v>
      </c>
      <c r="CP86" s="86" t="b">
        <f t="shared" si="149"/>
        <v>0</v>
      </c>
      <c r="CQ86" s="86">
        <f t="shared" si="150"/>
        <v>0.5</v>
      </c>
      <c r="CR86" s="86">
        <f t="shared" si="151"/>
        <v>0.5</v>
      </c>
      <c r="CS86" s="30" t="e">
        <f t="shared" ca="1" si="184"/>
        <v>#DIV/0!</v>
      </c>
      <c r="CT86" s="85" t="e">
        <f ca="1">IF(BZ86&lt;=Hypothèses!$V$7,Hypothèses!$W$7,IF(BZ86&lt;=Hypothèses!$V$8,Hypothèses!$W$8,IF(BZ86&lt;=Hypothèses!$V$9,Hypothèses!$W$9,IF(BZ86&lt;=Hypothèses!$V$10,Hypothèses!$W$10,IF(BZ86&lt;=Hypothèses!$V$11,Hypothèses!$W$11,IF(BZ86&lt;=Hypothèses!$V$12,Hypothèses!$W$12,IF(BZ86&lt;=Hypothèses!$V$13,Hypothèses!$W$13,IF(BZ86&lt;=Hypothèses!$V$14,Hypothèses!$W$14,IF(BZ86&lt;=Hypothèses!$V$15,Hypothèses!$W$15,IF(BZ86&lt;=Hypothèses!$V$16,Hypothèses!$W$16,IF(BZ86&lt;=Hypothèses!$V$17,Hypothèses!$W$17,IF(BZ86&lt;=Hypothèses!$V$18,Hypothèses!$W$18,""))))))))))))</f>
        <v>#DIV/0!</v>
      </c>
      <c r="CU86" s="87" t="e">
        <f t="shared" ca="1" si="220"/>
        <v>#DIV/0!</v>
      </c>
      <c r="CV86" s="88" t="e">
        <f ca="1">IF(BZ86&lt;=Hypothèses!$V$7,Hypothèses!$X$7,IF(BZ86&lt;=Hypothèses!$V$8,Hypothèses!$X$8,IF(BZ86&lt;=Hypothèses!$V$9,Hypothèses!$X$9,IF(BZ86&lt;=Hypothèses!$V$10,Hypothèses!$X$10,IF(BZ86&lt;=Hypothèses!$V$11,Hypothèses!$X$11,IF(BZ86&lt;=Hypothèses!$V$12,Hypothèses!$X$12,IF(BZ86&lt;=Hypothèses!$V$13,Hypothèses!$X$13,IF(BZ86&lt;=Hypothèses!$V$14,Hypothèses!$X$14,IF(BZ86&lt;=Hypothèses!$V$15,Hypothèses!$X$15,IF(BZ86&lt;=Hypothèses!$V$16,Hypothèses!$X$16,IF(BZ86&lt;=Hypothèses!$U$17,Hypothèses!$W$17,IF(BZ86&lt;=Hypothèses!$U$18,Hypothèses!$W$18,""))))))))))))</f>
        <v>#DIV/0!</v>
      </c>
      <c r="CW86" s="95" t="e">
        <f t="shared" ca="1" si="185"/>
        <v>#DIV/0!</v>
      </c>
      <c r="CX86" s="101">
        <f t="shared" si="227"/>
        <v>0</v>
      </c>
      <c r="CY86" s="91">
        <f t="shared" si="152"/>
        <v>0</v>
      </c>
      <c r="CZ86" s="30" t="e">
        <f t="shared" si="208"/>
        <v>#N/A</v>
      </c>
      <c r="DA86" s="30" t="e">
        <f t="shared" si="209"/>
        <v>#N/A</v>
      </c>
      <c r="DB86" s="31" t="e">
        <f>IF(OR(Hypothèses!$B$4=17,Hypothèses!$B$4=18,Hypothèses!$B$4=19,Hypothèses!$B$4=20),
IF($D86="Pressio.",
IF(OR($E86=3,$E86=1,$E86=4),DA86,CZ86),
IF($D86="Pénétro.",
IF(OR($E86=3,$E86=1,$E86=4),DA86,CZ86))),IF($D86="Pressio.",
IF($E86=3,DA86,CZ86),
IF($D86="Pénétro.",
IF($E86=4,DA86,CZ86))))</f>
        <v>#N/A</v>
      </c>
      <c r="DC86" s="31">
        <v>0</v>
      </c>
      <c r="DD86" s="102" t="e">
        <f>IF(NDC!$H$10="Oui",(VLOOKUP($B$3,'Coeff EC7'!$T$39:$X$59,2,0)*DB86+VLOOKUP($B$3,'Coeff EC7'!$T$65:$X$85,2,0)*Model0.1T!DC86)/1.5,PI()*CZ$12*$Q86*($B86-$B85)*0.15/10+DD85)</f>
        <v>#N/A</v>
      </c>
      <c r="DE86" s="102" t="e">
        <f>(VLOOKUP($B$3,'Coeff EC7'!$T$39:$X$59,3,0)*DB86+VLOOKUP($B$3,'Coeff EC7'!$T$65:$X$85,3,0)*Model0.1T!DC86)/1.1</f>
        <v>#N/A</v>
      </c>
      <c r="DF86" s="102" t="e">
        <f t="shared" si="186"/>
        <v>#N/A</v>
      </c>
      <c r="DG86" s="102" t="e">
        <f t="shared" si="187"/>
        <v>#N/A</v>
      </c>
      <c r="DH86" s="414" t="e">
        <f>IF(AND(DD86&gt;NDC!$C$63,DE86&gt;NDC!$C$65,DF86&gt;NDC!$D$73,DG86&gt;NDC!$D$74,$B86&gt;NDC!$H$22-0.1+MIN(3*DH$12,1.5)),0,1)</f>
        <v>#N/A</v>
      </c>
      <c r="DI86" s="86" t="b">
        <f t="shared" si="153"/>
        <v>0</v>
      </c>
      <c r="DJ86" s="86">
        <f t="shared" si="154"/>
        <v>0.5</v>
      </c>
      <c r="DK86" s="86">
        <f t="shared" si="155"/>
        <v>0.5</v>
      </c>
      <c r="DL86" s="30" t="e">
        <f t="shared" ca="1" si="188"/>
        <v>#DIV/0!</v>
      </c>
      <c r="DM86" s="85" t="e">
        <f ca="1">IF(CS86&lt;=Hypothèses!$V$7,Hypothèses!$W$7,IF(CS86&lt;=Hypothèses!$V$8,Hypothèses!$W$8,IF(CS86&lt;=Hypothèses!$V$9,Hypothèses!$W$9,IF(CS86&lt;=Hypothèses!$V$10,Hypothèses!$W$10,IF(CS86&lt;=Hypothèses!$V$11,Hypothèses!$W$11,IF(CS86&lt;=Hypothèses!$V$12,Hypothèses!$W$12,IF(CS86&lt;=Hypothèses!$V$13,Hypothèses!$W$13,IF(CS86&lt;=Hypothèses!$V$14,Hypothèses!$W$14,IF(CS86&lt;=Hypothèses!$V$15,Hypothèses!$W$15,IF(CS86&lt;=Hypothèses!$V$16,Hypothèses!$W$16,IF(CS86&lt;=Hypothèses!$V$17,Hypothèses!$W$17,IF(CS86&lt;=Hypothèses!$V$18,Hypothèses!$W$18,""))))))))))))</f>
        <v>#DIV/0!</v>
      </c>
      <c r="DN86" s="87" t="e">
        <f t="shared" ca="1" si="221"/>
        <v>#DIV/0!</v>
      </c>
      <c r="DO86" s="88" t="e">
        <f ca="1">IF(CS86&lt;=Hypothèses!$V$7,Hypothèses!$X$7,IF(CS86&lt;=Hypothèses!$V$8,Hypothèses!$X$8,IF(CS86&lt;=Hypothèses!$V$9,Hypothèses!$X$9,IF(CS86&lt;=Hypothèses!$V$10,Hypothèses!$X$10,IF(CS86&lt;=Hypothèses!$V$11,Hypothèses!$X$11,IF(CS86&lt;=Hypothèses!$V$12,Hypothèses!$X$12,IF(CS86&lt;=Hypothèses!$V$13,Hypothèses!$X$13,IF(CS86&lt;=Hypothèses!$V$14,Hypothèses!$X$14,IF(CS86&lt;=Hypothèses!$V$15,Hypothèses!$X$15,IF(CS86&lt;=Hypothèses!$V$16,Hypothèses!$X$16,IF(CS86&lt;=Hypothèses!$U$17,Hypothèses!$W$17,IF(CS86&lt;=Hypothèses!$U$18,Hypothèses!$W$18,""))))))))))))</f>
        <v>#DIV/0!</v>
      </c>
      <c r="DP86" s="95" t="e">
        <f t="shared" ca="1" si="189"/>
        <v>#DIV/0!</v>
      </c>
      <c r="DQ86" s="101">
        <f t="shared" si="228"/>
        <v>0</v>
      </c>
      <c r="DR86" s="91">
        <f t="shared" si="156"/>
        <v>0</v>
      </c>
      <c r="DS86" s="30" t="e">
        <f t="shared" si="210"/>
        <v>#N/A</v>
      </c>
      <c r="DT86" s="30" t="e">
        <f t="shared" si="211"/>
        <v>#N/A</v>
      </c>
      <c r="DU86" s="31" t="e">
        <f>IF(OR(Hypothèses!$B$4=17,Hypothèses!$B$4=18,Hypothèses!$B$4=19,Hypothèses!$B$4=20),
IF($D86="Pressio.",
IF(OR($E86=3,$E86=1,$E86=4),DT86,DS86),
IF($D86="Pénétro.",
IF(OR($E86=3,$E86=1,$E86=4),DT86,DS86))),IF($D86="Pressio.",
IF($E86=3,DT86,DS86),
IF($D86="Pénétro.",
IF($E86=4,DT86,DS86))))</f>
        <v>#N/A</v>
      </c>
      <c r="DV86" s="31">
        <v>0</v>
      </c>
      <c r="DW86" s="102" t="e">
        <f>IF(NDC!$H$10="Oui",(VLOOKUP($B$3,'Coeff EC7'!$T$39:$X$59,2,0)*DU86+VLOOKUP($B$3,'Coeff EC7'!$T$65:$X$85,2,0)*Model0.1T!DV86)/1.5,PI()*DS$12*$Q86*($B86-$B85)*0.15/10+DW85)</f>
        <v>#N/A</v>
      </c>
      <c r="DX86" s="102" t="e">
        <f>(VLOOKUP($B$3,'Coeff EC7'!$T$39:$X$59,3,0)*DU86+VLOOKUP($B$3,'Coeff EC7'!$T$65:$X$85,3,0)*Model0.1T!DV86)/1.1</f>
        <v>#N/A</v>
      </c>
      <c r="DY86" s="102" t="e">
        <f t="shared" si="190"/>
        <v>#N/A</v>
      </c>
      <c r="DZ86" s="102" t="e">
        <f t="shared" si="191"/>
        <v>#N/A</v>
      </c>
      <c r="EA86" s="414" t="e">
        <f>IF(AND(DW86&gt;NDC!$C$63,DX86&gt;NDC!$C$65,DY86&gt;NDC!$D$73,DZ86&gt;NDC!$D$74,$B86&gt;NDC!$H$22-0.1+MIN(3*EA$12,1.5)),0,1)</f>
        <v>#N/A</v>
      </c>
      <c r="EB86" s="86" t="b">
        <f t="shared" si="157"/>
        <v>0</v>
      </c>
      <c r="EC86" s="418">
        <f t="shared" si="158"/>
        <v>0.51</v>
      </c>
      <c r="ED86" s="86">
        <f t="shared" si="159"/>
        <v>0.51</v>
      </c>
      <c r="EE86" s="30" t="e">
        <f t="shared" ca="1" si="192"/>
        <v>#DIV/0!</v>
      </c>
      <c r="EF86" s="85" t="e">
        <f ca="1">IF(DL86&lt;=Hypothèses!$V$7,Hypothèses!$W$7,IF(DL86&lt;=Hypothèses!$V$8,Hypothèses!$W$8,IF(DL86&lt;=Hypothèses!$V$9,Hypothèses!$W$9,IF(DL86&lt;=Hypothèses!$V$10,Hypothèses!$W$10,IF(DL86&lt;=Hypothèses!$V$11,Hypothèses!$W$11,IF(DL86&lt;=Hypothèses!$V$12,Hypothèses!$W$12,IF(DL86&lt;=Hypothèses!$V$13,Hypothèses!$W$13,IF(DL86&lt;=Hypothèses!$V$14,Hypothèses!$W$14,IF(DL86&lt;=Hypothèses!$V$15,Hypothèses!$W$15,IF(DL86&lt;=Hypothèses!$V$16,Hypothèses!$W$16,IF(DL86&lt;=Hypothèses!$V$17,Hypothèses!$W$17,IF(DL86&lt;=Hypothèses!$V$18,Hypothèses!$W$18,""))))))))))))</f>
        <v>#DIV/0!</v>
      </c>
      <c r="EG86" s="87" t="e">
        <f t="shared" ca="1" si="222"/>
        <v>#DIV/0!</v>
      </c>
      <c r="EH86" s="88" t="e">
        <f ca="1">IF(DL86&lt;=Hypothèses!$V$7,Hypothèses!$X$7,IF(DL86&lt;=Hypothèses!$V$8,Hypothèses!$X$8,IF(DL86&lt;=Hypothèses!$V$9,Hypothèses!$X$9,IF(DL86&lt;=Hypothèses!$V$10,Hypothèses!$X$10,IF(DL86&lt;=Hypothèses!$V$11,Hypothèses!$X$11,IF(DL86&lt;=Hypothèses!$V$12,Hypothèses!$X$12,IF(DL86&lt;=Hypothèses!$V$13,Hypothèses!$X$13,IF(DL86&lt;=Hypothèses!$V$14,Hypothèses!$X$14,IF(DL86&lt;=Hypothèses!$V$15,Hypothèses!$X$15,IF(DL86&lt;=Hypothèses!$V$16,Hypothèses!$X$16,IF(DL86&lt;=Hypothèses!$U$17,Hypothèses!$W$17,IF(DL86&lt;=Hypothèses!$U$18,Hypothèses!$W$18,""))))))))))))</f>
        <v>#DIV/0!</v>
      </c>
      <c r="EI86" s="95" t="e">
        <f t="shared" ca="1" si="193"/>
        <v>#DIV/0!</v>
      </c>
      <c r="EJ86" s="101">
        <f t="shared" si="229"/>
        <v>0</v>
      </c>
      <c r="EK86" s="91">
        <f t="shared" si="160"/>
        <v>0</v>
      </c>
      <c r="EL86" s="30" t="e">
        <f t="shared" si="212"/>
        <v>#N/A</v>
      </c>
      <c r="EM86" s="30" t="e">
        <f t="shared" si="213"/>
        <v>#N/A</v>
      </c>
      <c r="EN86" s="31" t="e">
        <f>IF(OR(Hypothèses!$B$4=17,Hypothèses!$B$4=18,Hypothèses!$B$4=19,Hypothèses!$B$4=20),
IF($D86="Pressio.",
IF(OR($E86=3,$E86=1,$E86=4),EM86,EL86),
IF($D86="Pénétro.",
IF(OR($E86=3,$E86=1,$E86=4),EM86,EL86))),IF($D86="Pressio.",
IF($E86=3,EM86,EL86),
IF($D86="Pénétro.",
IF($E86=4,EM86,EL86))))</f>
        <v>#N/A</v>
      </c>
      <c r="EO86" s="31">
        <v>0</v>
      </c>
      <c r="EP86" s="102" t="e">
        <f>IF(NDC!$H$10="Oui",(VLOOKUP($B$3,'Coeff EC7'!$T$39:$X$59,2,0)*EN86+VLOOKUP($B$3,'Coeff EC7'!$T$65:$X$85,2,0)*Model0.1T!EO86)/1.5,PI()*EL$12*$Q86*($B86-$B85)*0.15/10+EP85)</f>
        <v>#N/A</v>
      </c>
      <c r="EQ86" s="102" t="e">
        <f>(VLOOKUP($B$3,'Coeff EC7'!$T$39:$X$59,3,0)*EN86+VLOOKUP($B$3,'Coeff EC7'!$T$65:$X$85,3,0)*Model0.1T!EO86)/1.1</f>
        <v>#N/A</v>
      </c>
      <c r="ER86" s="102" t="e">
        <f t="shared" si="194"/>
        <v>#N/A</v>
      </c>
      <c r="ES86" s="102" t="e">
        <f t="shared" si="195"/>
        <v>#N/A</v>
      </c>
      <c r="ET86" s="414" t="e">
        <f>IF(AND(EP86&gt;NDC!$C$63,EQ86&gt;NDC!$C$65,ER86&gt;NDC!$D$73,ES86&gt;NDC!$D$74,$B86&gt;NDC!$H$22-0.1+MIN(3*ET$12,1.5)),0,1)</f>
        <v>#N/A</v>
      </c>
      <c r="EU86" s="86" t="b">
        <f t="shared" si="161"/>
        <v>0</v>
      </c>
      <c r="EV86" s="86">
        <f t="shared" si="162"/>
        <v>0.61</v>
      </c>
      <c r="EW86" s="86">
        <f t="shared" si="163"/>
        <v>0.61</v>
      </c>
      <c r="EX86" s="30" t="e">
        <f t="shared" ca="1" si="196"/>
        <v>#DIV/0!</v>
      </c>
      <c r="EY86" s="85" t="e">
        <f ca="1">IF(EE86&lt;=Hypothèses!$V$7,Hypothèses!$W$7,IF(EE86&lt;=Hypothèses!$V$8,Hypothèses!$W$8,IF(EE86&lt;=Hypothèses!$V$9,Hypothèses!$W$9,IF(EE86&lt;=Hypothèses!$V$10,Hypothèses!$W$10,IF(EE86&lt;=Hypothèses!$V$11,Hypothèses!$W$11,IF(EE86&lt;=Hypothèses!$V$12,Hypothèses!$W$12,IF(EE86&lt;=Hypothèses!$V$13,Hypothèses!$W$13,IF(EE86&lt;=Hypothèses!$V$14,Hypothèses!$W$14,IF(EE86&lt;=Hypothèses!$V$15,Hypothèses!$W$15,IF(EE86&lt;=Hypothèses!$V$16,Hypothèses!$W$16,IF(EE86&lt;=Hypothèses!$V$17,Hypothèses!$W$17,IF(EE86&lt;=Hypothèses!$V$18,Hypothèses!$W$18,""))))))))))))</f>
        <v>#DIV/0!</v>
      </c>
      <c r="EZ86" s="87" t="e">
        <f t="shared" ca="1" si="223"/>
        <v>#DIV/0!</v>
      </c>
      <c r="FA86" s="88" t="e">
        <f ca="1">IF(EE86&lt;=Hypothèses!$V$7,Hypothèses!$X$7,IF(EE86&lt;=Hypothèses!$V$8,Hypothèses!$X$8,IF(EE86&lt;=Hypothèses!$V$9,Hypothèses!$X$9,IF(EE86&lt;=Hypothèses!$V$10,Hypothèses!$X$10,IF(EE86&lt;=Hypothèses!$V$11,Hypothèses!$X$11,IF(EE86&lt;=Hypothèses!$V$12,Hypothèses!$X$12,IF(EE86&lt;=Hypothèses!$V$13,Hypothèses!$X$13,IF(EE86&lt;=Hypothèses!$V$14,Hypothèses!$X$14,IF(EE86&lt;=Hypothèses!$V$15,Hypothèses!$X$15,IF(EE86&lt;=Hypothèses!$V$16,Hypothèses!$X$16,IF(EE86&lt;=Hypothèses!$U$17,Hypothèses!$W$17,IF(EE86&lt;=Hypothèses!$U$18,Hypothèses!$W$18,""))))))))))))</f>
        <v>#DIV/0!</v>
      </c>
      <c r="FB86" s="95" t="e">
        <f t="shared" ca="1" si="197"/>
        <v>#DIV/0!</v>
      </c>
      <c r="FC86" s="101">
        <f t="shared" si="230"/>
        <v>0</v>
      </c>
      <c r="FD86" s="91">
        <f t="shared" si="164"/>
        <v>0</v>
      </c>
      <c r="FE86" s="30" t="e">
        <f t="shared" si="214"/>
        <v>#N/A</v>
      </c>
      <c r="FF86" s="30" t="e">
        <f t="shared" si="215"/>
        <v>#N/A</v>
      </c>
      <c r="FG86" s="31" t="e">
        <f>IF(OR(Hypothèses!$B$4=17,Hypothèses!$B$4=18,Hypothèses!$B$4=19,Hypothèses!$B$4=20),
IF($D86="Pressio.",
IF(OR($E86=3,$E86=1,$E86=4),FF86,FE86),
IF($D86="Pénétro.",
IF(OR($E86=3,$E86=1,$E86=4),FF86,FE86))),IF($D86="Pressio.",
IF($E86=3,FF86,FE86),
IF($D86="Pénétro.",
IF($E86=4,FF86,FE86))))</f>
        <v>#N/A</v>
      </c>
      <c r="FH86" s="31">
        <v>0</v>
      </c>
      <c r="FI86" s="102" t="e">
        <f>IF(NDC!$H$10="Oui",(VLOOKUP($B$3,'Coeff EC7'!$T$39:$X$59,2,0)*FG86+VLOOKUP($B$3,'Coeff EC7'!$T$65:$X$85,2,0)*Model0.1T!FH86)/1.5,PI()*FE$12*$Q86*($B86-$B85)*0.15/10+FI85)</f>
        <v>#N/A</v>
      </c>
      <c r="FJ86" s="102" t="e">
        <f>(VLOOKUP($B$3,'Coeff EC7'!$T$39:$X$59,3,0)*FG86+VLOOKUP($B$3,'Coeff EC7'!$T$65:$X$85,3,0)*Model0.1T!FH86)/1.1</f>
        <v>#N/A</v>
      </c>
      <c r="FK86" s="102" t="e">
        <f t="shared" si="198"/>
        <v>#N/A</v>
      </c>
      <c r="FL86" s="102" t="e">
        <f t="shared" si="199"/>
        <v>#N/A</v>
      </c>
      <c r="FM86" s="414" t="e">
        <f>IF(AND(FI86&gt;NDC!$C$63,FJ86&gt;NDC!$C$65,FK86&gt;NDC!$D$73,FL86&gt;NDC!$D$74,$B86&gt;NDC!$H$22-0.1+MIN(3*FM$12,1.5)),0,1)</f>
        <v>#N/A</v>
      </c>
    </row>
    <row r="87" spans="1:169">
      <c r="A87" s="96">
        <f t="shared" si="165"/>
        <v>92.600000000000421</v>
      </c>
      <c r="B87" s="97">
        <v>7.4</v>
      </c>
      <c r="C87" s="81">
        <f>IF(B87&lt;=Hypothèses!$C$7,Hypothèses!$A$7,IF(B87&lt;=Hypothèses!$C$8,Hypothèses!$A$8,IF(B87&lt;=Hypothèses!$C$9,Hypothèses!$A$9,IF(B87&lt;=Hypothèses!$C$10,Hypothèses!$A$10,IF(B87&lt;=Hypothèses!$C$11,Hypothèses!$A$11,IF(B87&lt;=Hypothèses!$C$12,Hypothèses!$A$12,IF(B87&lt;=Hypothèses!$C$13,Hypothèses!$A$13,IF(B87&lt;=Hypothèses!$C$14,Hypothèses!$A$14,IF(B87&lt;=Hypothèses!$C$15,Hypothèses!$A$15,IF(B87&lt;=Hypothèses!$C$16,Hypothèses!$A$16,IF(B87&lt;=Hypothèses!$C$17,Hypothèses!$A$17,IF(B87&lt;=Hypothèses!$C$18,Hypothèses!$A$18,C86))))))))))))</f>
        <v>11</v>
      </c>
      <c r="D87" s="82" t="str">
        <f>IF(B87&lt;=Hypothèses!$C$7,Hypothèses!$R$7,IF(B87&lt;=Hypothèses!$C$8,Hypothèses!$R$8,IF(B87&lt;=Hypothèses!$C$9,Hypothèses!$R$9,IF(B87&lt;=Hypothèses!$C$10,Hypothèses!$R$10,IF(B87&lt;=Hypothèses!$C$11,Hypothèses!$R$11,IF(B87&lt;=Hypothèses!$C$12,Hypothèses!$R$12,IF(B87&lt;=Hypothèses!$C$13,Hypothèses!$R$13,IF(B87&lt;=Hypothèses!$C$14,Hypothèses!$R$14,IF(B87&lt;=Hypothèses!$C$15,Hypothèses!$R$15,IF(B87&lt;=Hypothèses!$C$16,Hypothèses!$R$16,IF(B87&lt;=Hypothèses!$C$17,Hypothèses!$R$17,IF(B87&lt;=Hypothèses!$C$18,Hypothèses!$R$18,D86))))))))))))</f>
        <v>Pressio.</v>
      </c>
      <c r="E87" s="82" t="e">
        <f>IF(B87&lt;=Hypothèses!$C$7,Hypothèses!$G$7,IF(B87&lt;=Hypothèses!$C$8,Hypothèses!$G$8,IF(B87&lt;=Hypothèses!$C$9,Hypothèses!$G$9,IF(B87&lt;=Hypothèses!$C$10,Hypothèses!$G$10,IF(B87&lt;=Hypothèses!$C$11,Hypothèses!$G$11,IF(B87&lt;=Hypothèses!$C$12,Hypothèses!$G$12,IF(B87&lt;=Hypothèses!$C$13,Hypothèses!$G$13,IF(B87&lt;=Hypothèses!$C$14,Hypothèses!$G$14,IF(B87&lt;=Hypothèses!$C$15,Hypothèses!$G$15,IF(B87&lt;=Hypothèses!$C$16,Hypothèses!$G$16,IF(B87&lt;=Hypothèses!$C$17,Hypothèses!$G$17,IF(B87&lt;=Hypothèses!$C$18,Hypothèses!$G$18,E86))))))))))))</f>
        <v>#N/A</v>
      </c>
      <c r="F87" s="82" t="str">
        <f>IF(B87&lt;=Hypothèses!$C$7,Hypothèses!$F$7,IF(B87&lt;=Hypothèses!$C$8,Hypothèses!$F$8,IF(B87&lt;=Hypothèses!$C$9,Hypothèses!$F$9,IF(B87&lt;=Hypothèses!$C$10,Hypothèses!$F$10,IF(B87&lt;=Hypothèses!$C$11,Hypothèses!$F$11,IF(B87&lt;=Hypothèses!$C$12,Hypothèses!$F$12,IF(B87&lt;=Hypothèses!$C$13,Hypothèses!$F$13,IF(B87&lt;=Hypothèses!$C$14,Hypothèses!$F$14,IF(B87&lt;=Hypothèses!$C$15,Hypothèses!$F$15,IF(B87&lt;=Hypothèses!$C$16,Hypothèses!$F$16,IF(B87&lt;=Hypothèses!$C$17,Hypothèses!$F$17,IF(B87&lt;=Hypothèses!$C$18,Hypothèses!$F$18,F86))))))))))))</f>
        <v/>
      </c>
      <c r="G87" s="91">
        <f t="array" ref="G87">INDEX('Coeff EC7'!$U$7:$X$27,
MATCH(Model0.1T!$B$3,'Coeff EC7'!$T$7:$T$27,0),
MATCH(Model0.1T!$D87&amp;Model0.1T!$B$4,
'Coeff EC7'!$U$6:$X$6&amp;
'Coeff EC7'!$U$5:$X$5,0))</f>
        <v>1.4</v>
      </c>
      <c r="H87" s="91">
        <f t="array" ref="H87">INDEX('Coeff EC7'!$Y$7:$AB$27,
MATCH(Model0.1T!$B$3,'Coeff EC7'!$T$7:$T$27,0),
MATCH(Model0.1T!$D87&amp;Model0.1T!$B$4,
'Coeff EC7'!$Y$6:$AB$6&amp;
'Coeff EC7'!$Y$5:$AB$5,0))</f>
        <v>1.7</v>
      </c>
      <c r="I87" s="83">
        <v>0</v>
      </c>
      <c r="J87" s="91" t="e">
        <f t="array" ref="J87">INDEX('Coeff EC7'!$D$33:$Q$33,1,MATCH(D87&amp;E87,'Coeff EC7'!$D$31:$Q$31&amp;'Coeff EC7'!$D$32:$Q$32,0))</f>
        <v>#N/A</v>
      </c>
      <c r="K87" s="91" t="e">
        <f t="array" ref="K87">INDEX('Coeff EC7'!$D$34:$Q$34,1,MATCH(D87&amp;E87,'Coeff EC7'!$D$31:$Q$31&amp;'Coeff EC7'!$D$32:$Q$32,0))</f>
        <v>#N/A</v>
      </c>
      <c r="L87" s="91" t="e">
        <f t="array" ref="L87">INDEX('Coeff EC7'!$D$35:$Q$35,1,MATCH(D87&amp;E87,'Coeff EC7'!$D$31:$Q$31&amp;'Coeff EC7'!$D$32:$Q$32,0))</f>
        <v>#N/A</v>
      </c>
      <c r="M87" s="98" t="e">
        <f t="shared" si="131"/>
        <v>#N/A</v>
      </c>
      <c r="N87" s="99" t="e">
        <f t="array" ref="N87">INDEX('Coeff EC7'!$D$7:$Q$27,MATCH($B$3,'Coeff EC7'!$C$7:$C$27,0),MATCH(D87&amp;E87,'Coeff EC7'!$D$5:$Q$5&amp;'Coeff EC7'!$D$6:$Q$6,0))</f>
        <v>#N/A</v>
      </c>
      <c r="O87" s="99" t="e">
        <f t="array" ref="O87">INDEX('Coeff EC7'!$D$41:$Q$61,MATCH($B$3,'Coeff EC7'!$C$41:$C$61,0),MATCH(D87&amp;E87,'Coeff EC7'!$D$39:$Q$39&amp;'Coeff EC7'!$D$40:$Q$40,0))</f>
        <v>#N/A</v>
      </c>
      <c r="P87" s="30" t="e">
        <f t="shared" si="166"/>
        <v>#N/A</v>
      </c>
      <c r="Q87" s="100" t="e">
        <f t="shared" si="133"/>
        <v>#N/A</v>
      </c>
      <c r="R87" s="86" t="b">
        <f t="shared" si="134"/>
        <v>0</v>
      </c>
      <c r="S87" s="86">
        <f t="shared" si="132"/>
        <v>0.5</v>
      </c>
      <c r="T87" s="86">
        <f t="shared" si="135"/>
        <v>0.5</v>
      </c>
      <c r="U87" s="30" t="e">
        <f t="shared" ca="1" si="167"/>
        <v>#DIV/0!</v>
      </c>
      <c r="V87" s="85" t="str">
        <f>IF(B87&lt;=Hypothèses!$V$7,Hypothèses!$W$7,IF(B87&lt;=Hypothèses!$V$8,Hypothèses!$W$8,IF(B87&lt;=Hypothèses!$V$9,Hypothèses!$W$9,IF(B87&lt;=Hypothèses!$V$10,Hypothèses!$W$10,IF(B87&lt;=Hypothèses!$V$11,Hypothèses!$W$11,IF(B87&lt;=Hypothèses!$V$12,Hypothèses!$W$12,IF(B87&lt;=Hypothèses!$V$13,Hypothèses!$W$13,IF(B87&lt;=Hypothèses!$V$14,Hypothèses!$W$14,IF(B87&lt;=Hypothèses!$V$15,Hypothèses!$W$15,IF(B87&lt;=Hypothèses!$V$16,Hypothèses!$W$16,IF(B87&lt;=Hypothèses!$V$17,Hypothèses!$W$17,IF(B87&lt;=Hypothèses!$V$18,Hypothèses!$W$18,""))))))))))))</f>
        <v/>
      </c>
      <c r="W87" s="87" t="e">
        <f t="shared" ca="1" si="216"/>
        <v>#DIV/0!</v>
      </c>
      <c r="X87" s="88" t="str">
        <f>IF(B87&lt;=Hypothèses!$V$7,Hypothèses!$X$7,IF(B87&lt;=Hypothèses!$V$8,Hypothèses!$X$8,IF(B87&lt;=Hypothèses!$V$9,Hypothèses!$X$9,IF(B87&lt;=Hypothèses!$V$10,Hypothèses!$X$10,IF(B87&lt;=Hypothèses!$V$11,Hypothèses!$X$11,IF(B87&lt;=Hypothèses!$V$12,Hypothèses!$X$12,IF(B87&lt;=Hypothèses!$V$13,Hypothèses!$X$13,IF(B87&lt;=Hypothèses!$V$14,Hypothèses!$X$14,IF(B87&lt;=Hypothèses!$V$15,Hypothèses!$X$15,IF(B87&lt;=Hypothèses!$V$16,Hypothèses!$X$16,IF(B87&lt;=Hypothèses!$U$17,Hypothèses!$W$17,IF(B87&lt;=Hypothèses!$U$18,Hypothèses!$W$18,""))))))))))))</f>
        <v/>
      </c>
      <c r="Y87" s="95" t="e">
        <f t="shared" ca="1" si="136"/>
        <v>#DIV/0!</v>
      </c>
      <c r="Z87" s="101">
        <f t="shared" si="137"/>
        <v>0</v>
      </c>
      <c r="AA87" s="91">
        <f t="shared" si="138"/>
        <v>0</v>
      </c>
      <c r="AB87" s="30" t="e">
        <f t="shared" si="200"/>
        <v>#N/A</v>
      </c>
      <c r="AC87" s="30" t="e">
        <f t="shared" si="201"/>
        <v>#N/A</v>
      </c>
      <c r="AD87" s="31" t="e">
        <f>IF(OR(Hypothèses!$B$4=17,Hypothèses!$B$4=18,Hypothèses!$B$4=19,Hypothèses!$B$4=20),
IF($D87="Pressio.",
IF(OR($E87=3,$E87=1,$E87=4),AC87,AB87),
IF($D87="Pénétro.",
IF(OR($E87=3,$E87=1,$E87=4),AC87,AB87))),IF($D87="Pressio.",
IF($E87=3,AC87,AB87),
IF($D87="Pénétro.",
IF($E87=4,AC87,AB87))))</f>
        <v>#N/A</v>
      </c>
      <c r="AE87" s="31">
        <v>0</v>
      </c>
      <c r="AF87" s="102" t="e">
        <f>IF(NDC!$H$10="Oui",(VLOOKUP($B$3,'Coeff EC7'!$T$39:$X$59,2,0)*AD87+VLOOKUP($B$3,'Coeff EC7'!$T$65:$X$85,2,0)*Model0.1T!AE87)/1.5,PI()*AB$12*$Q87*($B87-$B86)*0.15/10+AF86)</f>
        <v>#N/A</v>
      </c>
      <c r="AG87" s="102" t="e">
        <f>(VLOOKUP($B$3,'Coeff EC7'!$T$39:$X$59,3,0)*AD87+VLOOKUP($B$3,'Coeff EC7'!$T$65:$X$85,3,0)*Model0.1T!AE87)/1.1</f>
        <v>#N/A</v>
      </c>
      <c r="AH87" s="102" t="e">
        <f t="shared" si="168"/>
        <v>#N/A</v>
      </c>
      <c r="AI87" s="102" t="e">
        <f t="shared" si="169"/>
        <v>#N/A</v>
      </c>
      <c r="AJ87" s="414" t="e">
        <f>IF(AND(AF87&gt;NDC!$C$63,AG87&gt;NDC!$C$65,AH87&gt;NDC!$D$73,AI87&gt;NDC!$D$74,$B87&gt;NDC!$H$22-0.1+MIN(3*$AJ$12,1.5)),0,1)</f>
        <v>#N/A</v>
      </c>
      <c r="AK87" s="86" t="b">
        <f t="shared" si="139"/>
        <v>0</v>
      </c>
      <c r="AL87" s="86">
        <f t="shared" si="170"/>
        <v>0.5</v>
      </c>
      <c r="AM87" s="86">
        <f t="shared" si="140"/>
        <v>0.5</v>
      </c>
      <c r="AN87" s="30" t="e">
        <f t="shared" ca="1" si="171"/>
        <v>#DIV/0!</v>
      </c>
      <c r="AO87" s="85" t="e">
        <f ca="1">IF(U87&lt;=Hypothèses!$V$7,Hypothèses!$W$7,IF(U87&lt;=Hypothèses!$V$8,Hypothèses!$W$8,IF(U87&lt;=Hypothèses!$V$9,Hypothèses!$W$9,IF(U87&lt;=Hypothèses!$V$10,Hypothèses!$W$10,IF(U87&lt;=Hypothèses!$V$11,Hypothèses!$W$11,IF(U87&lt;=Hypothèses!$V$12,Hypothèses!$W$12,IF(U87&lt;=Hypothèses!$V$13,Hypothèses!$W$13,IF(U87&lt;=Hypothèses!$V$14,Hypothèses!$W$14,IF(U87&lt;=Hypothèses!$V$15,Hypothèses!$W$15,IF(U87&lt;=Hypothèses!$V$16,Hypothèses!$W$16,IF(U87&lt;=Hypothèses!$V$17,Hypothèses!$W$17,IF(U87&lt;=Hypothèses!$V$18,Hypothèses!$W$18,""))))))))))))</f>
        <v>#DIV/0!</v>
      </c>
      <c r="AP87" s="87" t="e">
        <f t="shared" ca="1" si="217"/>
        <v>#DIV/0!</v>
      </c>
      <c r="AQ87" s="88" t="e">
        <f ca="1">IF(U87&lt;=Hypothèses!$V$7,Hypothèses!$X$7,IF(U87&lt;=Hypothèses!$V$8,Hypothèses!$X$8,IF(U87&lt;=Hypothèses!$V$9,Hypothèses!$X$9,IF(U87&lt;=Hypothèses!$V$10,Hypothèses!$X$10,IF(U87&lt;=Hypothèses!$V$11,Hypothèses!$X$11,IF(U87&lt;=Hypothèses!$V$12,Hypothèses!$X$12,IF(U87&lt;=Hypothèses!$V$13,Hypothèses!$X$13,IF(U87&lt;=Hypothèses!$V$14,Hypothèses!$X$14,IF(U87&lt;=Hypothèses!$V$15,Hypothèses!$X$15,IF(U87&lt;=Hypothèses!$V$16,Hypothèses!$X$16,IF(U87&lt;=Hypothèses!$U$17,Hypothèses!$W$17,IF(U87&lt;=Hypothèses!$U$18,Hypothèses!$W$18,""))))))))))))</f>
        <v>#DIV/0!</v>
      </c>
      <c r="AR87" s="95" t="e">
        <f t="shared" ca="1" si="172"/>
        <v>#DIV/0!</v>
      </c>
      <c r="AS87" s="101">
        <f t="shared" si="224"/>
        <v>0</v>
      </c>
      <c r="AT87" s="91">
        <f t="shared" si="141"/>
        <v>0</v>
      </c>
      <c r="AU87" s="30" t="e">
        <f t="shared" si="202"/>
        <v>#N/A</v>
      </c>
      <c r="AV87" s="30" t="e">
        <f t="shared" si="203"/>
        <v>#N/A</v>
      </c>
      <c r="AW87" s="31" t="e">
        <f>IF(OR(Hypothèses!$B$4=17,Hypothèses!$B$4=18,Hypothèses!$B$4=19,Hypothèses!$B$4=20),
IF($D87="Pressio.",
IF(OR($E87=3,$E87=1,$E87=4),AV87,AU87),
IF($D87="Pénétro.",
IF(OR($E87=3,$E87=1,$E87=4),AV87,AU87))),IF($D87="Pressio.",
IF($E87=3,AV87,AU87),
IF($D87="Pénétro.",
IF($E87=4,AV87,AU87))))</f>
        <v>#N/A</v>
      </c>
      <c r="AX87" s="31">
        <v>0</v>
      </c>
      <c r="AY87" s="102" t="e">
        <f>IF(NDC!$H$10="Oui",(VLOOKUP($B$3,'Coeff EC7'!$T$39:$X$59,2,0)*AW87+VLOOKUP($B$3,'Coeff EC7'!$T$65:$X$85,2,0)*Model0.1T!AX87)/1.5,PI()*AU$12*$Q87*($B87-$B86)*0.15/10+AY86)</f>
        <v>#N/A</v>
      </c>
      <c r="AZ87" s="102" t="e">
        <f>(VLOOKUP($B$3,'Coeff EC7'!$T$39:$X$59,3,0)*AW87+VLOOKUP($B$3,'Coeff EC7'!$T$65:$X$85,3,0)*Model0.1T!AX87)/1.1</f>
        <v>#N/A</v>
      </c>
      <c r="BA87" s="102" t="e">
        <f t="shared" si="173"/>
        <v>#N/A</v>
      </c>
      <c r="BB87" s="102" t="e">
        <f t="shared" si="174"/>
        <v>#N/A</v>
      </c>
      <c r="BC87" s="414" t="e">
        <f>IF(AND(AY87&gt;NDC!$C$63,AZ87&gt;NDC!$C$65,BA87&gt;NDC!$D$73,BB87&gt;NDC!$D$74,$B87&gt;NDC!$H$22-0.1+MIN(3*BC$12,1.5)),0,1)</f>
        <v>#N/A</v>
      </c>
      <c r="BD87" s="86" t="b">
        <f t="shared" si="142"/>
        <v>0</v>
      </c>
      <c r="BE87" s="86">
        <f t="shared" si="175"/>
        <v>0.5</v>
      </c>
      <c r="BF87" s="86">
        <f t="shared" si="143"/>
        <v>0.5</v>
      </c>
      <c r="BG87" s="30" t="e">
        <f t="shared" ca="1" si="176"/>
        <v>#DIV/0!</v>
      </c>
      <c r="BH87" s="85" t="e">
        <f ca="1">IF(AN87&lt;=Hypothèses!$V$7,Hypothèses!$W$7,IF(AN87&lt;=Hypothèses!$V$8,Hypothèses!$W$8,IF(AN87&lt;=Hypothèses!$V$9,Hypothèses!$W$9,IF(AN87&lt;=Hypothèses!$V$10,Hypothèses!$W$10,IF(AN87&lt;=Hypothèses!$V$11,Hypothèses!$W$11,IF(AN87&lt;=Hypothèses!$V$12,Hypothèses!$W$12,IF(AN87&lt;=Hypothèses!$V$13,Hypothèses!$W$13,IF(AN87&lt;=Hypothèses!$V$14,Hypothèses!$W$14,IF(AN87&lt;=Hypothèses!$V$15,Hypothèses!$W$15,IF(AN87&lt;=Hypothèses!$V$16,Hypothèses!$W$16,IF(AN87&lt;=Hypothèses!$V$17,Hypothèses!$W$17,IF(AN87&lt;=Hypothèses!$V$18,Hypothèses!$W$18,""))))))))))))</f>
        <v>#DIV/0!</v>
      </c>
      <c r="BI87" s="87" t="e">
        <f t="shared" ca="1" si="218"/>
        <v>#DIV/0!</v>
      </c>
      <c r="BJ87" s="88" t="e">
        <f ca="1">IF(AN87&lt;=Hypothèses!$V$7,Hypothèses!$X$7,IF(AN87&lt;=Hypothèses!$V$8,Hypothèses!$X$8,IF(AN87&lt;=Hypothèses!$V$9,Hypothèses!$X$9,IF(AN87&lt;=Hypothèses!$V$10,Hypothèses!$X$10,IF(AN87&lt;=Hypothèses!$V$11,Hypothèses!$X$11,IF(AN87&lt;=Hypothèses!$V$12,Hypothèses!$X$12,IF(AN87&lt;=Hypothèses!$V$13,Hypothèses!$X$13,IF(AN87&lt;=Hypothèses!$V$14,Hypothèses!$X$14,IF(AN87&lt;=Hypothèses!$V$15,Hypothèses!$X$15,IF(AN87&lt;=Hypothèses!$V$16,Hypothèses!$X$16,IF(AN87&lt;=Hypothèses!$U$17,Hypothèses!$W$17,IF(AN87&lt;=Hypothèses!$U$18,Hypothèses!$W$18,""))))))))))))</f>
        <v>#DIV/0!</v>
      </c>
      <c r="BK87" s="95" t="e">
        <f t="shared" ca="1" si="177"/>
        <v>#DIV/0!</v>
      </c>
      <c r="BL87" s="101">
        <f t="shared" si="225"/>
        <v>0</v>
      </c>
      <c r="BM87" s="91">
        <f t="shared" si="144"/>
        <v>0</v>
      </c>
      <c r="BN87" s="30" t="e">
        <f t="shared" si="204"/>
        <v>#N/A</v>
      </c>
      <c r="BO87" s="30" t="e">
        <f t="shared" si="205"/>
        <v>#N/A</v>
      </c>
      <c r="BP87" s="31" t="e">
        <f>IF(OR(Hypothèses!$B$4=17,Hypothèses!$B$4=18,Hypothèses!$B$4=19,Hypothèses!$B$4=20),
IF($D87="Pressio.",
IF(OR($E87=3,$E87=1,$E87=4),BO87,BN87),
IF($D87="Pénétro.",
IF(OR($E87=3,$E87=1,$E87=4),BO87,BN87))),IF($D87="Pressio.",
IF($E87=3,BO87,BN87),
IF($D87="Pénétro.",
IF($E87=4,BO87,BN87))))</f>
        <v>#N/A</v>
      </c>
      <c r="BQ87" s="31">
        <v>0</v>
      </c>
      <c r="BR87" s="102" t="e">
        <f>IF(NDC!$H$10="Oui",(VLOOKUP($B$3,'Coeff EC7'!$T$39:$X$59,2,0)*BP87+VLOOKUP($B$3,'Coeff EC7'!$T$65:$X$85,2,0)*Model0.1T!BQ87)/1.5,PI()*BN$12*$Q87*($B87-$B86)*0.15/10+BR86)</f>
        <v>#N/A</v>
      </c>
      <c r="BS87" s="102" t="e">
        <f>(VLOOKUP($B$3,'Coeff EC7'!$T$39:$X$59,3,0)*BP87+VLOOKUP($B$3,'Coeff EC7'!$T$65:$X$85,3,0)*Model0.1T!BQ87)/1.1</f>
        <v>#N/A</v>
      </c>
      <c r="BT87" s="102" t="e">
        <f t="shared" si="178"/>
        <v>#N/A</v>
      </c>
      <c r="BU87" s="102" t="e">
        <f t="shared" si="179"/>
        <v>#N/A</v>
      </c>
      <c r="BV87" s="414" t="e">
        <f>IF(AND(BR87&gt;NDC!$C$63,BS87&gt;NDC!$C$65,BT87&gt;NDC!$D$73,BU87&gt;NDC!$D$74,$B87&gt;NDC!$H$22-0.1+MIN(3*BV$12,1.5)),0,1)</f>
        <v>#N/A</v>
      </c>
      <c r="BW87" s="86" t="b">
        <f t="shared" si="145"/>
        <v>0</v>
      </c>
      <c r="BX87" s="86">
        <f t="shared" si="146"/>
        <v>0.5</v>
      </c>
      <c r="BY87" s="86">
        <f t="shared" si="147"/>
        <v>0.5</v>
      </c>
      <c r="BZ87" s="30" t="e">
        <f t="shared" ca="1" si="180"/>
        <v>#DIV/0!</v>
      </c>
      <c r="CA87" s="85" t="e">
        <f ca="1">IF(BG87&lt;=Hypothèses!$V$7,Hypothèses!$W$7,IF(BG87&lt;=Hypothèses!$V$8,Hypothèses!$W$8,IF(BG87&lt;=Hypothèses!$V$9,Hypothèses!$W$9,IF(BG87&lt;=Hypothèses!$V$10,Hypothèses!$W$10,IF(BG87&lt;=Hypothèses!$V$11,Hypothèses!$W$11,IF(BG87&lt;=Hypothèses!$V$12,Hypothèses!$W$12,IF(BG87&lt;=Hypothèses!$V$13,Hypothèses!$W$13,IF(BG87&lt;=Hypothèses!$V$14,Hypothèses!$W$14,IF(BG87&lt;=Hypothèses!$V$15,Hypothèses!$W$15,IF(BG87&lt;=Hypothèses!$V$16,Hypothèses!$W$16,IF(BG87&lt;=Hypothèses!$V$17,Hypothèses!$W$17,IF(BG87&lt;=Hypothèses!$V$18,Hypothèses!$W$18,""))))))))))))</f>
        <v>#DIV/0!</v>
      </c>
      <c r="CB87" s="87" t="e">
        <f t="shared" ca="1" si="219"/>
        <v>#DIV/0!</v>
      </c>
      <c r="CC87" s="88" t="e">
        <f ca="1">IF(BG87&lt;=Hypothèses!$V$7,Hypothèses!$X$7,IF(BG87&lt;=Hypothèses!$V$8,Hypothèses!$X$8,IF(BG87&lt;=Hypothèses!$V$9,Hypothèses!$X$9,IF(BG87&lt;=Hypothèses!$V$10,Hypothèses!$X$10,IF(BG87&lt;=Hypothèses!$V$11,Hypothèses!$X$11,IF(BG87&lt;=Hypothèses!$V$12,Hypothèses!$X$12,IF(BG87&lt;=Hypothèses!$V$13,Hypothèses!$X$13,IF(BG87&lt;=Hypothèses!$V$14,Hypothèses!$X$14,IF(BG87&lt;=Hypothèses!$V$15,Hypothèses!$X$15,IF(BG87&lt;=Hypothèses!$V$16,Hypothèses!$X$16,IF(BG87&lt;=Hypothèses!$U$17,Hypothèses!$W$17,IF(BG87&lt;=Hypothèses!$U$18,Hypothèses!$W$18,""))))))))))))</f>
        <v>#DIV/0!</v>
      </c>
      <c r="CD87" s="95" t="e">
        <f t="shared" ca="1" si="181"/>
        <v>#DIV/0!</v>
      </c>
      <c r="CE87" s="101">
        <f t="shared" si="226"/>
        <v>0</v>
      </c>
      <c r="CF87" s="91">
        <f t="shared" si="148"/>
        <v>0</v>
      </c>
      <c r="CG87" s="30" t="e">
        <f t="shared" si="206"/>
        <v>#N/A</v>
      </c>
      <c r="CH87" s="30" t="e">
        <f t="shared" si="207"/>
        <v>#N/A</v>
      </c>
      <c r="CI87" s="31" t="e">
        <f>IF(OR(Hypothèses!$B$4=17,Hypothèses!$B$4=18,Hypothèses!$B$4=19,Hypothèses!$B$4=20),
IF($D87="Pressio.",
IF(OR($E87=3,$E87=1,$E87=4),CH87,CG87),
IF($D87="Pénétro.",
IF(OR($E87=3,$E87=1,$E87=4),CH87,CG87))),IF($D87="Pressio.",
IF($E87=3,CH87,CG87),
IF($D87="Pénétro.",
IF($E87=4,CH87,CG87))))</f>
        <v>#N/A</v>
      </c>
      <c r="CJ87" s="31">
        <v>0</v>
      </c>
      <c r="CK87" s="102" t="e">
        <f>IF(NDC!$H$10="Oui",(VLOOKUP($B$3,'Coeff EC7'!$T$39:$X$59,2,0)*CI87+VLOOKUP($B$3,'Coeff EC7'!$T$65:$X$85,2,0)*Model0.1T!CJ87)/1.5,PI()*CG$12*$Q87*($B87-$B86)*0.15/10+CK86)</f>
        <v>#N/A</v>
      </c>
      <c r="CL87" s="102" t="e">
        <f>(VLOOKUP($B$3,'Coeff EC7'!$T$39:$X$59,3,0)*CI87+VLOOKUP($B$3,'Coeff EC7'!$T$65:$X$85,3,0)*Model0.1T!CJ87)/1.1</f>
        <v>#N/A</v>
      </c>
      <c r="CM87" s="102" t="e">
        <f t="shared" si="182"/>
        <v>#N/A</v>
      </c>
      <c r="CN87" s="102" t="e">
        <f t="shared" si="183"/>
        <v>#N/A</v>
      </c>
      <c r="CO87" s="414" t="e">
        <f>IF(AND(CK87&gt;NDC!$C$63,CL87&gt;NDC!$C$65,CM87&gt;NDC!$D$73,CN87&gt;NDC!$D$74,$B87&gt;NDC!$H$22-0.1+MIN(3*CO$12,1.5)),0,1)</f>
        <v>#N/A</v>
      </c>
      <c r="CP87" s="86" t="b">
        <f t="shared" si="149"/>
        <v>0</v>
      </c>
      <c r="CQ87" s="86">
        <f t="shared" si="150"/>
        <v>0.5</v>
      </c>
      <c r="CR87" s="86">
        <f t="shared" si="151"/>
        <v>0.5</v>
      </c>
      <c r="CS87" s="30" t="e">
        <f t="shared" ca="1" si="184"/>
        <v>#DIV/0!</v>
      </c>
      <c r="CT87" s="85" t="e">
        <f ca="1">IF(BZ87&lt;=Hypothèses!$V$7,Hypothèses!$W$7,IF(BZ87&lt;=Hypothèses!$V$8,Hypothèses!$W$8,IF(BZ87&lt;=Hypothèses!$V$9,Hypothèses!$W$9,IF(BZ87&lt;=Hypothèses!$V$10,Hypothèses!$W$10,IF(BZ87&lt;=Hypothèses!$V$11,Hypothèses!$W$11,IF(BZ87&lt;=Hypothèses!$V$12,Hypothèses!$W$12,IF(BZ87&lt;=Hypothèses!$V$13,Hypothèses!$W$13,IF(BZ87&lt;=Hypothèses!$V$14,Hypothèses!$W$14,IF(BZ87&lt;=Hypothèses!$V$15,Hypothèses!$W$15,IF(BZ87&lt;=Hypothèses!$V$16,Hypothèses!$W$16,IF(BZ87&lt;=Hypothèses!$V$17,Hypothèses!$W$17,IF(BZ87&lt;=Hypothèses!$V$18,Hypothèses!$W$18,""))))))))))))</f>
        <v>#DIV/0!</v>
      </c>
      <c r="CU87" s="87" t="e">
        <f t="shared" ca="1" si="220"/>
        <v>#DIV/0!</v>
      </c>
      <c r="CV87" s="88" t="e">
        <f ca="1">IF(BZ87&lt;=Hypothèses!$V$7,Hypothèses!$X$7,IF(BZ87&lt;=Hypothèses!$V$8,Hypothèses!$X$8,IF(BZ87&lt;=Hypothèses!$V$9,Hypothèses!$X$9,IF(BZ87&lt;=Hypothèses!$V$10,Hypothèses!$X$10,IF(BZ87&lt;=Hypothèses!$V$11,Hypothèses!$X$11,IF(BZ87&lt;=Hypothèses!$V$12,Hypothèses!$X$12,IF(BZ87&lt;=Hypothèses!$V$13,Hypothèses!$X$13,IF(BZ87&lt;=Hypothèses!$V$14,Hypothèses!$X$14,IF(BZ87&lt;=Hypothèses!$V$15,Hypothèses!$X$15,IF(BZ87&lt;=Hypothèses!$V$16,Hypothèses!$X$16,IF(BZ87&lt;=Hypothèses!$U$17,Hypothèses!$W$17,IF(BZ87&lt;=Hypothèses!$U$18,Hypothèses!$W$18,""))))))))))))</f>
        <v>#DIV/0!</v>
      </c>
      <c r="CW87" s="95" t="e">
        <f t="shared" ca="1" si="185"/>
        <v>#DIV/0!</v>
      </c>
      <c r="CX87" s="101">
        <f t="shared" si="227"/>
        <v>0</v>
      </c>
      <c r="CY87" s="91">
        <f t="shared" si="152"/>
        <v>0</v>
      </c>
      <c r="CZ87" s="30" t="e">
        <f t="shared" si="208"/>
        <v>#N/A</v>
      </c>
      <c r="DA87" s="30" t="e">
        <f t="shared" si="209"/>
        <v>#N/A</v>
      </c>
      <c r="DB87" s="31" t="e">
        <f>IF(OR(Hypothèses!$B$4=17,Hypothèses!$B$4=18,Hypothèses!$B$4=19,Hypothèses!$B$4=20),
IF($D87="Pressio.",
IF(OR($E87=3,$E87=1,$E87=4),DA87,CZ87),
IF($D87="Pénétro.",
IF(OR($E87=3,$E87=1,$E87=4),DA87,CZ87))),IF($D87="Pressio.",
IF($E87=3,DA87,CZ87),
IF($D87="Pénétro.",
IF($E87=4,DA87,CZ87))))</f>
        <v>#N/A</v>
      </c>
      <c r="DC87" s="31">
        <v>0</v>
      </c>
      <c r="DD87" s="102" t="e">
        <f>IF(NDC!$H$10="Oui",(VLOOKUP($B$3,'Coeff EC7'!$T$39:$X$59,2,0)*DB87+VLOOKUP($B$3,'Coeff EC7'!$T$65:$X$85,2,0)*Model0.1T!DC87)/1.5,PI()*CZ$12*$Q87*($B87-$B86)*0.15/10+DD86)</f>
        <v>#N/A</v>
      </c>
      <c r="DE87" s="102" t="e">
        <f>(VLOOKUP($B$3,'Coeff EC7'!$T$39:$X$59,3,0)*DB87+VLOOKUP($B$3,'Coeff EC7'!$T$65:$X$85,3,0)*Model0.1T!DC87)/1.1</f>
        <v>#N/A</v>
      </c>
      <c r="DF87" s="102" t="e">
        <f t="shared" si="186"/>
        <v>#N/A</v>
      </c>
      <c r="DG87" s="102" t="e">
        <f t="shared" si="187"/>
        <v>#N/A</v>
      </c>
      <c r="DH87" s="414" t="e">
        <f>IF(AND(DD87&gt;NDC!$C$63,DE87&gt;NDC!$C$65,DF87&gt;NDC!$D$73,DG87&gt;NDC!$D$74,$B87&gt;NDC!$H$22-0.1+MIN(3*DH$12,1.5)),0,1)</f>
        <v>#N/A</v>
      </c>
      <c r="DI87" s="86" t="b">
        <f t="shared" si="153"/>
        <v>0</v>
      </c>
      <c r="DJ87" s="86">
        <f t="shared" si="154"/>
        <v>0.5</v>
      </c>
      <c r="DK87" s="86">
        <f t="shared" si="155"/>
        <v>0.5</v>
      </c>
      <c r="DL87" s="30" t="e">
        <f t="shared" ca="1" si="188"/>
        <v>#DIV/0!</v>
      </c>
      <c r="DM87" s="85" t="e">
        <f ca="1">IF(CS87&lt;=Hypothèses!$V$7,Hypothèses!$W$7,IF(CS87&lt;=Hypothèses!$V$8,Hypothèses!$W$8,IF(CS87&lt;=Hypothèses!$V$9,Hypothèses!$W$9,IF(CS87&lt;=Hypothèses!$V$10,Hypothèses!$W$10,IF(CS87&lt;=Hypothèses!$V$11,Hypothèses!$W$11,IF(CS87&lt;=Hypothèses!$V$12,Hypothèses!$W$12,IF(CS87&lt;=Hypothèses!$V$13,Hypothèses!$W$13,IF(CS87&lt;=Hypothèses!$V$14,Hypothèses!$W$14,IF(CS87&lt;=Hypothèses!$V$15,Hypothèses!$W$15,IF(CS87&lt;=Hypothèses!$V$16,Hypothèses!$W$16,IF(CS87&lt;=Hypothèses!$V$17,Hypothèses!$W$17,IF(CS87&lt;=Hypothèses!$V$18,Hypothèses!$W$18,""))))))))))))</f>
        <v>#DIV/0!</v>
      </c>
      <c r="DN87" s="87" t="e">
        <f t="shared" ca="1" si="221"/>
        <v>#DIV/0!</v>
      </c>
      <c r="DO87" s="88" t="e">
        <f ca="1">IF(CS87&lt;=Hypothèses!$V$7,Hypothèses!$X$7,IF(CS87&lt;=Hypothèses!$V$8,Hypothèses!$X$8,IF(CS87&lt;=Hypothèses!$V$9,Hypothèses!$X$9,IF(CS87&lt;=Hypothèses!$V$10,Hypothèses!$X$10,IF(CS87&lt;=Hypothèses!$V$11,Hypothèses!$X$11,IF(CS87&lt;=Hypothèses!$V$12,Hypothèses!$X$12,IF(CS87&lt;=Hypothèses!$V$13,Hypothèses!$X$13,IF(CS87&lt;=Hypothèses!$V$14,Hypothèses!$X$14,IF(CS87&lt;=Hypothèses!$V$15,Hypothèses!$X$15,IF(CS87&lt;=Hypothèses!$V$16,Hypothèses!$X$16,IF(CS87&lt;=Hypothèses!$U$17,Hypothèses!$W$17,IF(CS87&lt;=Hypothèses!$U$18,Hypothèses!$W$18,""))))))))))))</f>
        <v>#DIV/0!</v>
      </c>
      <c r="DP87" s="95" t="e">
        <f t="shared" ca="1" si="189"/>
        <v>#DIV/0!</v>
      </c>
      <c r="DQ87" s="101">
        <f t="shared" si="228"/>
        <v>0</v>
      </c>
      <c r="DR87" s="91">
        <f t="shared" si="156"/>
        <v>0</v>
      </c>
      <c r="DS87" s="30" t="e">
        <f t="shared" si="210"/>
        <v>#N/A</v>
      </c>
      <c r="DT87" s="30" t="e">
        <f t="shared" si="211"/>
        <v>#N/A</v>
      </c>
      <c r="DU87" s="31" t="e">
        <f>IF(OR(Hypothèses!$B$4=17,Hypothèses!$B$4=18,Hypothèses!$B$4=19,Hypothèses!$B$4=20),
IF($D87="Pressio.",
IF(OR($E87=3,$E87=1,$E87=4),DT87,DS87),
IF($D87="Pénétro.",
IF(OR($E87=3,$E87=1,$E87=4),DT87,DS87))),IF($D87="Pressio.",
IF($E87=3,DT87,DS87),
IF($D87="Pénétro.",
IF($E87=4,DT87,DS87))))</f>
        <v>#N/A</v>
      </c>
      <c r="DV87" s="31">
        <v>0</v>
      </c>
      <c r="DW87" s="102" t="e">
        <f>IF(NDC!$H$10="Oui",(VLOOKUP($B$3,'Coeff EC7'!$T$39:$X$59,2,0)*DU87+VLOOKUP($B$3,'Coeff EC7'!$T$65:$X$85,2,0)*Model0.1T!DV87)/1.5,PI()*DS$12*$Q87*($B87-$B86)*0.15/10+DW86)</f>
        <v>#N/A</v>
      </c>
      <c r="DX87" s="102" t="e">
        <f>(VLOOKUP($B$3,'Coeff EC7'!$T$39:$X$59,3,0)*DU87+VLOOKUP($B$3,'Coeff EC7'!$T$65:$X$85,3,0)*Model0.1T!DV87)/1.1</f>
        <v>#N/A</v>
      </c>
      <c r="DY87" s="102" t="e">
        <f t="shared" si="190"/>
        <v>#N/A</v>
      </c>
      <c r="DZ87" s="102" t="e">
        <f t="shared" si="191"/>
        <v>#N/A</v>
      </c>
      <c r="EA87" s="414" t="e">
        <f>IF(AND(DW87&gt;NDC!$C$63,DX87&gt;NDC!$C$65,DY87&gt;NDC!$D$73,DZ87&gt;NDC!$D$74,$B87&gt;NDC!$H$22-0.1+MIN(3*EA$12,1.5)),0,1)</f>
        <v>#N/A</v>
      </c>
      <c r="EB87" s="86" t="b">
        <f t="shared" si="157"/>
        <v>0</v>
      </c>
      <c r="EC87" s="418">
        <f t="shared" si="158"/>
        <v>0.51</v>
      </c>
      <c r="ED87" s="86">
        <f t="shared" si="159"/>
        <v>0.51</v>
      </c>
      <c r="EE87" s="30" t="e">
        <f t="shared" ca="1" si="192"/>
        <v>#DIV/0!</v>
      </c>
      <c r="EF87" s="85" t="e">
        <f ca="1">IF(DL87&lt;=Hypothèses!$V$7,Hypothèses!$W$7,IF(DL87&lt;=Hypothèses!$V$8,Hypothèses!$W$8,IF(DL87&lt;=Hypothèses!$V$9,Hypothèses!$W$9,IF(DL87&lt;=Hypothèses!$V$10,Hypothèses!$W$10,IF(DL87&lt;=Hypothèses!$V$11,Hypothèses!$W$11,IF(DL87&lt;=Hypothèses!$V$12,Hypothèses!$W$12,IF(DL87&lt;=Hypothèses!$V$13,Hypothèses!$W$13,IF(DL87&lt;=Hypothèses!$V$14,Hypothèses!$W$14,IF(DL87&lt;=Hypothèses!$V$15,Hypothèses!$W$15,IF(DL87&lt;=Hypothèses!$V$16,Hypothèses!$W$16,IF(DL87&lt;=Hypothèses!$V$17,Hypothèses!$W$17,IF(DL87&lt;=Hypothèses!$V$18,Hypothèses!$W$18,""))))))))))))</f>
        <v>#DIV/0!</v>
      </c>
      <c r="EG87" s="87" t="e">
        <f t="shared" ca="1" si="222"/>
        <v>#DIV/0!</v>
      </c>
      <c r="EH87" s="88" t="e">
        <f ca="1">IF(DL87&lt;=Hypothèses!$V$7,Hypothèses!$X$7,IF(DL87&lt;=Hypothèses!$V$8,Hypothèses!$X$8,IF(DL87&lt;=Hypothèses!$V$9,Hypothèses!$X$9,IF(DL87&lt;=Hypothèses!$V$10,Hypothèses!$X$10,IF(DL87&lt;=Hypothèses!$V$11,Hypothèses!$X$11,IF(DL87&lt;=Hypothèses!$V$12,Hypothèses!$X$12,IF(DL87&lt;=Hypothèses!$V$13,Hypothèses!$X$13,IF(DL87&lt;=Hypothèses!$V$14,Hypothèses!$X$14,IF(DL87&lt;=Hypothèses!$V$15,Hypothèses!$X$15,IF(DL87&lt;=Hypothèses!$V$16,Hypothèses!$X$16,IF(DL87&lt;=Hypothèses!$U$17,Hypothèses!$W$17,IF(DL87&lt;=Hypothèses!$U$18,Hypothèses!$W$18,""))))))))))))</f>
        <v>#DIV/0!</v>
      </c>
      <c r="EI87" s="95" t="e">
        <f t="shared" ca="1" si="193"/>
        <v>#DIV/0!</v>
      </c>
      <c r="EJ87" s="101">
        <f t="shared" si="229"/>
        <v>0</v>
      </c>
      <c r="EK87" s="91">
        <f t="shared" si="160"/>
        <v>0</v>
      </c>
      <c r="EL87" s="30" t="e">
        <f t="shared" si="212"/>
        <v>#N/A</v>
      </c>
      <c r="EM87" s="30" t="e">
        <f t="shared" si="213"/>
        <v>#N/A</v>
      </c>
      <c r="EN87" s="31" t="e">
        <f>IF(OR(Hypothèses!$B$4=17,Hypothèses!$B$4=18,Hypothèses!$B$4=19,Hypothèses!$B$4=20),
IF($D87="Pressio.",
IF(OR($E87=3,$E87=1,$E87=4),EM87,EL87),
IF($D87="Pénétro.",
IF(OR($E87=3,$E87=1,$E87=4),EM87,EL87))),IF($D87="Pressio.",
IF($E87=3,EM87,EL87),
IF($D87="Pénétro.",
IF($E87=4,EM87,EL87))))</f>
        <v>#N/A</v>
      </c>
      <c r="EO87" s="31">
        <v>0</v>
      </c>
      <c r="EP87" s="102" t="e">
        <f>IF(NDC!$H$10="Oui",(VLOOKUP($B$3,'Coeff EC7'!$T$39:$X$59,2,0)*EN87+VLOOKUP($B$3,'Coeff EC7'!$T$65:$X$85,2,0)*Model0.1T!EO87)/1.5,PI()*EL$12*$Q87*($B87-$B86)*0.15/10+EP86)</f>
        <v>#N/A</v>
      </c>
      <c r="EQ87" s="102" t="e">
        <f>(VLOOKUP($B$3,'Coeff EC7'!$T$39:$X$59,3,0)*EN87+VLOOKUP($B$3,'Coeff EC7'!$T$65:$X$85,3,0)*Model0.1T!EO87)/1.1</f>
        <v>#N/A</v>
      </c>
      <c r="ER87" s="102" t="e">
        <f t="shared" si="194"/>
        <v>#N/A</v>
      </c>
      <c r="ES87" s="102" t="e">
        <f t="shared" si="195"/>
        <v>#N/A</v>
      </c>
      <c r="ET87" s="414" t="e">
        <f>IF(AND(EP87&gt;NDC!$C$63,EQ87&gt;NDC!$C$65,ER87&gt;NDC!$D$73,ES87&gt;NDC!$D$74,$B87&gt;NDC!$H$22-0.1+MIN(3*ET$12,1.5)),0,1)</f>
        <v>#N/A</v>
      </c>
      <c r="EU87" s="86" t="b">
        <f t="shared" si="161"/>
        <v>0</v>
      </c>
      <c r="EV87" s="86">
        <f t="shared" si="162"/>
        <v>0.61</v>
      </c>
      <c r="EW87" s="86">
        <f t="shared" si="163"/>
        <v>0.61</v>
      </c>
      <c r="EX87" s="30" t="e">
        <f t="shared" ca="1" si="196"/>
        <v>#DIV/0!</v>
      </c>
      <c r="EY87" s="85" t="e">
        <f ca="1">IF(EE87&lt;=Hypothèses!$V$7,Hypothèses!$W$7,IF(EE87&lt;=Hypothèses!$V$8,Hypothèses!$W$8,IF(EE87&lt;=Hypothèses!$V$9,Hypothèses!$W$9,IF(EE87&lt;=Hypothèses!$V$10,Hypothèses!$W$10,IF(EE87&lt;=Hypothèses!$V$11,Hypothèses!$W$11,IF(EE87&lt;=Hypothèses!$V$12,Hypothèses!$W$12,IF(EE87&lt;=Hypothèses!$V$13,Hypothèses!$W$13,IF(EE87&lt;=Hypothèses!$V$14,Hypothèses!$W$14,IF(EE87&lt;=Hypothèses!$V$15,Hypothèses!$W$15,IF(EE87&lt;=Hypothèses!$V$16,Hypothèses!$W$16,IF(EE87&lt;=Hypothèses!$V$17,Hypothèses!$W$17,IF(EE87&lt;=Hypothèses!$V$18,Hypothèses!$W$18,""))))))))))))</f>
        <v>#DIV/0!</v>
      </c>
      <c r="EZ87" s="87" t="e">
        <f t="shared" ca="1" si="223"/>
        <v>#DIV/0!</v>
      </c>
      <c r="FA87" s="88" t="e">
        <f ca="1">IF(EE87&lt;=Hypothèses!$V$7,Hypothèses!$X$7,IF(EE87&lt;=Hypothèses!$V$8,Hypothèses!$X$8,IF(EE87&lt;=Hypothèses!$V$9,Hypothèses!$X$9,IF(EE87&lt;=Hypothèses!$V$10,Hypothèses!$X$10,IF(EE87&lt;=Hypothèses!$V$11,Hypothèses!$X$11,IF(EE87&lt;=Hypothèses!$V$12,Hypothèses!$X$12,IF(EE87&lt;=Hypothèses!$V$13,Hypothèses!$X$13,IF(EE87&lt;=Hypothèses!$V$14,Hypothèses!$X$14,IF(EE87&lt;=Hypothèses!$V$15,Hypothèses!$X$15,IF(EE87&lt;=Hypothèses!$V$16,Hypothèses!$X$16,IF(EE87&lt;=Hypothèses!$U$17,Hypothèses!$W$17,IF(EE87&lt;=Hypothèses!$U$18,Hypothèses!$W$18,""))))))))))))</f>
        <v>#DIV/0!</v>
      </c>
      <c r="FB87" s="95" t="e">
        <f t="shared" ca="1" si="197"/>
        <v>#DIV/0!</v>
      </c>
      <c r="FC87" s="101">
        <f t="shared" si="230"/>
        <v>0</v>
      </c>
      <c r="FD87" s="91">
        <f t="shared" si="164"/>
        <v>0</v>
      </c>
      <c r="FE87" s="30" t="e">
        <f t="shared" si="214"/>
        <v>#N/A</v>
      </c>
      <c r="FF87" s="30" t="e">
        <f t="shared" si="215"/>
        <v>#N/A</v>
      </c>
      <c r="FG87" s="31" t="e">
        <f>IF(OR(Hypothèses!$B$4=17,Hypothèses!$B$4=18,Hypothèses!$B$4=19,Hypothèses!$B$4=20),
IF($D87="Pressio.",
IF(OR($E87=3,$E87=1,$E87=4),FF87,FE87),
IF($D87="Pénétro.",
IF(OR($E87=3,$E87=1,$E87=4),FF87,FE87))),IF($D87="Pressio.",
IF($E87=3,FF87,FE87),
IF($D87="Pénétro.",
IF($E87=4,FF87,FE87))))</f>
        <v>#N/A</v>
      </c>
      <c r="FH87" s="31">
        <v>0</v>
      </c>
      <c r="FI87" s="102" t="e">
        <f>IF(NDC!$H$10="Oui",(VLOOKUP($B$3,'Coeff EC7'!$T$39:$X$59,2,0)*FG87+VLOOKUP($B$3,'Coeff EC7'!$T$65:$X$85,2,0)*Model0.1T!FH87)/1.5,PI()*FE$12*$Q87*($B87-$B86)*0.15/10+FI86)</f>
        <v>#N/A</v>
      </c>
      <c r="FJ87" s="102" t="e">
        <f>(VLOOKUP($B$3,'Coeff EC7'!$T$39:$X$59,3,0)*FG87+VLOOKUP($B$3,'Coeff EC7'!$T$65:$X$85,3,0)*Model0.1T!FH87)/1.1</f>
        <v>#N/A</v>
      </c>
      <c r="FK87" s="102" t="e">
        <f t="shared" si="198"/>
        <v>#N/A</v>
      </c>
      <c r="FL87" s="102" t="e">
        <f t="shared" si="199"/>
        <v>#N/A</v>
      </c>
      <c r="FM87" s="414" t="e">
        <f>IF(AND(FI87&gt;NDC!$C$63,FJ87&gt;NDC!$C$65,FK87&gt;NDC!$D$73,FL87&gt;NDC!$D$74,$B87&gt;NDC!$H$22-0.1+MIN(3*FM$12,1.5)),0,1)</f>
        <v>#N/A</v>
      </c>
    </row>
    <row r="88" spans="1:169">
      <c r="A88" s="96">
        <f t="shared" si="165"/>
        <v>92.500000000000426</v>
      </c>
      <c r="B88" s="97">
        <v>7.5</v>
      </c>
      <c r="C88" s="81">
        <f>IF(B88&lt;=Hypothèses!$C$7,Hypothèses!$A$7,IF(B88&lt;=Hypothèses!$C$8,Hypothèses!$A$8,IF(B88&lt;=Hypothèses!$C$9,Hypothèses!$A$9,IF(B88&lt;=Hypothèses!$C$10,Hypothèses!$A$10,IF(B88&lt;=Hypothèses!$C$11,Hypothèses!$A$11,IF(B88&lt;=Hypothèses!$C$12,Hypothèses!$A$12,IF(B88&lt;=Hypothèses!$C$13,Hypothèses!$A$13,IF(B88&lt;=Hypothèses!$C$14,Hypothèses!$A$14,IF(B88&lt;=Hypothèses!$C$15,Hypothèses!$A$15,IF(B88&lt;=Hypothèses!$C$16,Hypothèses!$A$16,IF(B88&lt;=Hypothèses!$C$17,Hypothèses!$A$17,IF(B88&lt;=Hypothèses!$C$18,Hypothèses!$A$18,C87))))))))))))</f>
        <v>11</v>
      </c>
      <c r="D88" s="82" t="str">
        <f>IF(B88&lt;=Hypothèses!$C$7,Hypothèses!$R$7,IF(B88&lt;=Hypothèses!$C$8,Hypothèses!$R$8,IF(B88&lt;=Hypothèses!$C$9,Hypothèses!$R$9,IF(B88&lt;=Hypothèses!$C$10,Hypothèses!$R$10,IF(B88&lt;=Hypothèses!$C$11,Hypothèses!$R$11,IF(B88&lt;=Hypothèses!$C$12,Hypothèses!$R$12,IF(B88&lt;=Hypothèses!$C$13,Hypothèses!$R$13,IF(B88&lt;=Hypothèses!$C$14,Hypothèses!$R$14,IF(B88&lt;=Hypothèses!$C$15,Hypothèses!$R$15,IF(B88&lt;=Hypothèses!$C$16,Hypothèses!$R$16,IF(B88&lt;=Hypothèses!$C$17,Hypothèses!$R$17,IF(B88&lt;=Hypothèses!$C$18,Hypothèses!$R$18,D87))))))))))))</f>
        <v>Pressio.</v>
      </c>
      <c r="E88" s="82" t="e">
        <f>IF(B88&lt;=Hypothèses!$C$7,Hypothèses!$G$7,IF(B88&lt;=Hypothèses!$C$8,Hypothèses!$G$8,IF(B88&lt;=Hypothèses!$C$9,Hypothèses!$G$9,IF(B88&lt;=Hypothèses!$C$10,Hypothèses!$G$10,IF(B88&lt;=Hypothèses!$C$11,Hypothèses!$G$11,IF(B88&lt;=Hypothèses!$C$12,Hypothèses!$G$12,IF(B88&lt;=Hypothèses!$C$13,Hypothèses!$G$13,IF(B88&lt;=Hypothèses!$C$14,Hypothèses!$G$14,IF(B88&lt;=Hypothèses!$C$15,Hypothèses!$G$15,IF(B88&lt;=Hypothèses!$C$16,Hypothèses!$G$16,IF(B88&lt;=Hypothèses!$C$17,Hypothèses!$G$17,IF(B88&lt;=Hypothèses!$C$18,Hypothèses!$G$18,E87))))))))))))</f>
        <v>#N/A</v>
      </c>
      <c r="F88" s="82" t="str">
        <f>IF(B88&lt;=Hypothèses!$C$7,Hypothèses!$F$7,IF(B88&lt;=Hypothèses!$C$8,Hypothèses!$F$8,IF(B88&lt;=Hypothèses!$C$9,Hypothèses!$F$9,IF(B88&lt;=Hypothèses!$C$10,Hypothèses!$F$10,IF(B88&lt;=Hypothèses!$C$11,Hypothèses!$F$11,IF(B88&lt;=Hypothèses!$C$12,Hypothèses!$F$12,IF(B88&lt;=Hypothèses!$C$13,Hypothèses!$F$13,IF(B88&lt;=Hypothèses!$C$14,Hypothèses!$F$14,IF(B88&lt;=Hypothèses!$C$15,Hypothèses!$F$15,IF(B88&lt;=Hypothèses!$C$16,Hypothèses!$F$16,IF(B88&lt;=Hypothèses!$C$17,Hypothèses!$F$17,IF(B88&lt;=Hypothèses!$C$18,Hypothèses!$F$18,F87))))))))))))</f>
        <v/>
      </c>
      <c r="G88" s="91">
        <f t="array" ref="G88">INDEX('Coeff EC7'!$U$7:$X$27,
MATCH(Model0.1T!$B$3,'Coeff EC7'!$T$7:$T$27,0),
MATCH(Model0.1T!$D88&amp;Model0.1T!$B$4,
'Coeff EC7'!$U$6:$X$6&amp;
'Coeff EC7'!$U$5:$X$5,0))</f>
        <v>1.4</v>
      </c>
      <c r="H88" s="91">
        <f t="array" ref="H88">INDEX('Coeff EC7'!$Y$7:$AB$27,
MATCH(Model0.1T!$B$3,'Coeff EC7'!$T$7:$T$27,0),
MATCH(Model0.1T!$D88&amp;Model0.1T!$B$4,
'Coeff EC7'!$Y$6:$AB$6&amp;
'Coeff EC7'!$Y$5:$AB$5,0))</f>
        <v>1.7</v>
      </c>
      <c r="I88" s="83">
        <v>0</v>
      </c>
      <c r="J88" s="91" t="e">
        <f t="array" ref="J88">INDEX('Coeff EC7'!$D$33:$Q$33,1,MATCH(D88&amp;E88,'Coeff EC7'!$D$31:$Q$31&amp;'Coeff EC7'!$D$32:$Q$32,0))</f>
        <v>#N/A</v>
      </c>
      <c r="K88" s="91" t="e">
        <f t="array" ref="K88">INDEX('Coeff EC7'!$D$34:$Q$34,1,MATCH(D88&amp;E88,'Coeff EC7'!$D$31:$Q$31&amp;'Coeff EC7'!$D$32:$Q$32,0))</f>
        <v>#N/A</v>
      </c>
      <c r="L88" s="91" t="e">
        <f t="array" ref="L88">INDEX('Coeff EC7'!$D$35:$Q$35,1,MATCH(D88&amp;E88,'Coeff EC7'!$D$31:$Q$31&amp;'Coeff EC7'!$D$32:$Q$32,0))</f>
        <v>#N/A</v>
      </c>
      <c r="M88" s="98" t="e">
        <f t="shared" si="131"/>
        <v>#N/A</v>
      </c>
      <c r="N88" s="99" t="e">
        <f t="array" ref="N88">INDEX('Coeff EC7'!$D$7:$Q$27,MATCH($B$3,'Coeff EC7'!$C$7:$C$27,0),MATCH(D88&amp;E88,'Coeff EC7'!$D$5:$Q$5&amp;'Coeff EC7'!$D$6:$Q$6,0))</f>
        <v>#N/A</v>
      </c>
      <c r="O88" s="99" t="e">
        <f t="array" ref="O88">INDEX('Coeff EC7'!$D$41:$Q$61,MATCH($B$3,'Coeff EC7'!$C$41:$C$61,0),MATCH(D88&amp;E88,'Coeff EC7'!$D$39:$Q$39&amp;'Coeff EC7'!$D$40:$Q$40,0))</f>
        <v>#N/A</v>
      </c>
      <c r="P88" s="30" t="e">
        <f t="shared" si="166"/>
        <v>#N/A</v>
      </c>
      <c r="Q88" s="100" t="e">
        <f t="shared" si="133"/>
        <v>#N/A</v>
      </c>
      <c r="R88" s="86" t="b">
        <f t="shared" si="134"/>
        <v>0</v>
      </c>
      <c r="S88" s="86">
        <f t="shared" si="132"/>
        <v>0.5</v>
      </c>
      <c r="T88" s="86">
        <f t="shared" si="135"/>
        <v>0.5</v>
      </c>
      <c r="U88" s="30" t="e">
        <f t="shared" ca="1" si="167"/>
        <v>#DIV/0!</v>
      </c>
      <c r="V88" s="85" t="str">
        <f>IF(B88&lt;=Hypothèses!$V$7,Hypothèses!$W$7,IF(B88&lt;=Hypothèses!$V$8,Hypothèses!$W$8,IF(B88&lt;=Hypothèses!$V$9,Hypothèses!$W$9,IF(B88&lt;=Hypothèses!$V$10,Hypothèses!$W$10,IF(B88&lt;=Hypothèses!$V$11,Hypothèses!$W$11,IF(B88&lt;=Hypothèses!$V$12,Hypothèses!$W$12,IF(B88&lt;=Hypothèses!$V$13,Hypothèses!$W$13,IF(B88&lt;=Hypothèses!$V$14,Hypothèses!$W$14,IF(B88&lt;=Hypothèses!$V$15,Hypothèses!$W$15,IF(B88&lt;=Hypothèses!$V$16,Hypothèses!$W$16,IF(B88&lt;=Hypothèses!$V$17,Hypothèses!$W$17,IF(B88&lt;=Hypothèses!$V$18,Hypothèses!$W$18,""))))))))))))</f>
        <v/>
      </c>
      <c r="W88" s="87" t="e">
        <f t="shared" ca="1" si="216"/>
        <v>#DIV/0!</v>
      </c>
      <c r="X88" s="88" t="str">
        <f>IF(B88&lt;=Hypothèses!$V$7,Hypothèses!$X$7,IF(B88&lt;=Hypothèses!$V$8,Hypothèses!$X$8,IF(B88&lt;=Hypothèses!$V$9,Hypothèses!$X$9,IF(B88&lt;=Hypothèses!$V$10,Hypothèses!$X$10,IF(B88&lt;=Hypothèses!$V$11,Hypothèses!$X$11,IF(B88&lt;=Hypothèses!$V$12,Hypothèses!$X$12,IF(B88&lt;=Hypothèses!$V$13,Hypothèses!$X$13,IF(B88&lt;=Hypothèses!$V$14,Hypothèses!$X$14,IF(B88&lt;=Hypothèses!$V$15,Hypothèses!$X$15,IF(B88&lt;=Hypothèses!$V$16,Hypothèses!$X$16,IF(B88&lt;=Hypothèses!$U$17,Hypothèses!$W$17,IF(B88&lt;=Hypothèses!$U$18,Hypothèses!$W$18,""))))))))))))</f>
        <v/>
      </c>
      <c r="Y88" s="95" t="e">
        <f t="shared" ca="1" si="136"/>
        <v>#DIV/0!</v>
      </c>
      <c r="Z88" s="101">
        <f t="shared" si="137"/>
        <v>0</v>
      </c>
      <c r="AA88" s="91">
        <f t="shared" si="138"/>
        <v>0</v>
      </c>
      <c r="AB88" s="30" t="e">
        <f t="shared" si="200"/>
        <v>#N/A</v>
      </c>
      <c r="AC88" s="30" t="e">
        <f t="shared" si="201"/>
        <v>#N/A</v>
      </c>
      <c r="AD88" s="31" t="e">
        <f>IF(OR(Hypothèses!$B$4=17,Hypothèses!$B$4=18,Hypothèses!$B$4=19,Hypothèses!$B$4=20),
IF($D88="Pressio.",
IF(OR($E88=3,$E88=1,$E88=4),AC88,AB88),
IF($D88="Pénétro.",
IF(OR($E88=3,$E88=1,$E88=4),AC88,AB88))),IF($D88="Pressio.",
IF($E88=3,AC88,AB88),
IF($D88="Pénétro.",
IF($E88=4,AC88,AB88))))</f>
        <v>#N/A</v>
      </c>
      <c r="AE88" s="31">
        <v>0</v>
      </c>
      <c r="AF88" s="102" t="e">
        <f>IF(NDC!$H$10="Oui",(VLOOKUP($B$3,'Coeff EC7'!$T$39:$X$59,2,0)*AD88+VLOOKUP($B$3,'Coeff EC7'!$T$65:$X$85,2,0)*Model0.1T!AE88)/1.5,PI()*AB$12*$Q88*($B88-$B87)*0.15/10+AF87)</f>
        <v>#N/A</v>
      </c>
      <c r="AG88" s="102" t="e">
        <f>(VLOOKUP($B$3,'Coeff EC7'!$T$39:$X$59,3,0)*AD88+VLOOKUP($B$3,'Coeff EC7'!$T$65:$X$85,3,0)*Model0.1T!AE88)/1.1</f>
        <v>#N/A</v>
      </c>
      <c r="AH88" s="102" t="e">
        <f t="shared" si="168"/>
        <v>#N/A</v>
      </c>
      <c r="AI88" s="102" t="e">
        <f t="shared" si="169"/>
        <v>#N/A</v>
      </c>
      <c r="AJ88" s="414" t="e">
        <f>IF(AND(AF88&gt;NDC!$C$63,AG88&gt;NDC!$C$65,AH88&gt;NDC!$D$73,AI88&gt;NDC!$D$74,$B88&gt;NDC!$H$22-0.1+MIN(3*$AJ$12,1.5)),0,1)</f>
        <v>#N/A</v>
      </c>
      <c r="AK88" s="86" t="b">
        <f t="shared" si="139"/>
        <v>0</v>
      </c>
      <c r="AL88" s="86">
        <f t="shared" si="170"/>
        <v>0.5</v>
      </c>
      <c r="AM88" s="86">
        <f t="shared" si="140"/>
        <v>0.5</v>
      </c>
      <c r="AN88" s="30" t="e">
        <f t="shared" ca="1" si="171"/>
        <v>#DIV/0!</v>
      </c>
      <c r="AO88" s="85" t="e">
        <f ca="1">IF(U88&lt;=Hypothèses!$V$7,Hypothèses!$W$7,IF(U88&lt;=Hypothèses!$V$8,Hypothèses!$W$8,IF(U88&lt;=Hypothèses!$V$9,Hypothèses!$W$9,IF(U88&lt;=Hypothèses!$V$10,Hypothèses!$W$10,IF(U88&lt;=Hypothèses!$V$11,Hypothèses!$W$11,IF(U88&lt;=Hypothèses!$V$12,Hypothèses!$W$12,IF(U88&lt;=Hypothèses!$V$13,Hypothèses!$W$13,IF(U88&lt;=Hypothèses!$V$14,Hypothèses!$W$14,IF(U88&lt;=Hypothèses!$V$15,Hypothèses!$W$15,IF(U88&lt;=Hypothèses!$V$16,Hypothèses!$W$16,IF(U88&lt;=Hypothèses!$V$17,Hypothèses!$W$17,IF(U88&lt;=Hypothèses!$V$18,Hypothèses!$W$18,""))))))))))))</f>
        <v>#DIV/0!</v>
      </c>
      <c r="AP88" s="87" t="e">
        <f t="shared" ca="1" si="217"/>
        <v>#DIV/0!</v>
      </c>
      <c r="AQ88" s="88" t="e">
        <f ca="1">IF(U88&lt;=Hypothèses!$V$7,Hypothèses!$X$7,IF(U88&lt;=Hypothèses!$V$8,Hypothèses!$X$8,IF(U88&lt;=Hypothèses!$V$9,Hypothèses!$X$9,IF(U88&lt;=Hypothèses!$V$10,Hypothèses!$X$10,IF(U88&lt;=Hypothèses!$V$11,Hypothèses!$X$11,IF(U88&lt;=Hypothèses!$V$12,Hypothèses!$X$12,IF(U88&lt;=Hypothèses!$V$13,Hypothèses!$X$13,IF(U88&lt;=Hypothèses!$V$14,Hypothèses!$X$14,IF(U88&lt;=Hypothèses!$V$15,Hypothèses!$X$15,IF(U88&lt;=Hypothèses!$V$16,Hypothèses!$X$16,IF(U88&lt;=Hypothèses!$U$17,Hypothèses!$W$17,IF(U88&lt;=Hypothèses!$U$18,Hypothèses!$W$18,""))))))))))))</f>
        <v>#DIV/0!</v>
      </c>
      <c r="AR88" s="95" t="e">
        <f t="shared" ca="1" si="172"/>
        <v>#DIV/0!</v>
      </c>
      <c r="AS88" s="101">
        <f t="shared" si="224"/>
        <v>0</v>
      </c>
      <c r="AT88" s="91">
        <f t="shared" si="141"/>
        <v>0</v>
      </c>
      <c r="AU88" s="30" t="e">
        <f t="shared" si="202"/>
        <v>#N/A</v>
      </c>
      <c r="AV88" s="30" t="e">
        <f t="shared" si="203"/>
        <v>#N/A</v>
      </c>
      <c r="AW88" s="31" t="e">
        <f>IF(OR(Hypothèses!$B$4=17,Hypothèses!$B$4=18,Hypothèses!$B$4=19,Hypothèses!$B$4=20),
IF($D88="Pressio.",
IF(OR($E88=3,$E88=1,$E88=4),AV88,AU88),
IF($D88="Pénétro.",
IF(OR($E88=3,$E88=1,$E88=4),AV88,AU88))),IF($D88="Pressio.",
IF($E88=3,AV88,AU88),
IF($D88="Pénétro.",
IF($E88=4,AV88,AU88))))</f>
        <v>#N/A</v>
      </c>
      <c r="AX88" s="31">
        <v>0</v>
      </c>
      <c r="AY88" s="102" t="e">
        <f>IF(NDC!$H$10="Oui",(VLOOKUP($B$3,'Coeff EC7'!$T$39:$X$59,2,0)*AW88+VLOOKUP($B$3,'Coeff EC7'!$T$65:$X$85,2,0)*Model0.1T!AX88)/1.5,PI()*AU$12*$Q88*($B88-$B87)*0.15/10+AY87)</f>
        <v>#N/A</v>
      </c>
      <c r="AZ88" s="102" t="e">
        <f>(VLOOKUP($B$3,'Coeff EC7'!$T$39:$X$59,3,0)*AW88+VLOOKUP($B$3,'Coeff EC7'!$T$65:$X$85,3,0)*Model0.1T!AX88)/1.1</f>
        <v>#N/A</v>
      </c>
      <c r="BA88" s="102" t="e">
        <f t="shared" si="173"/>
        <v>#N/A</v>
      </c>
      <c r="BB88" s="102" t="e">
        <f t="shared" si="174"/>
        <v>#N/A</v>
      </c>
      <c r="BC88" s="414" t="e">
        <f>IF(AND(AY88&gt;NDC!$C$63,AZ88&gt;NDC!$C$65,BA88&gt;NDC!$D$73,BB88&gt;NDC!$D$74,$B88&gt;NDC!$H$22-0.1+MIN(3*BC$12,1.5)),0,1)</f>
        <v>#N/A</v>
      </c>
      <c r="BD88" s="86" t="b">
        <f t="shared" si="142"/>
        <v>0</v>
      </c>
      <c r="BE88" s="86">
        <f t="shared" si="175"/>
        <v>0.5</v>
      </c>
      <c r="BF88" s="86">
        <f t="shared" si="143"/>
        <v>0.5</v>
      </c>
      <c r="BG88" s="30" t="e">
        <f t="shared" ca="1" si="176"/>
        <v>#DIV/0!</v>
      </c>
      <c r="BH88" s="85" t="e">
        <f ca="1">IF(AN88&lt;=Hypothèses!$V$7,Hypothèses!$W$7,IF(AN88&lt;=Hypothèses!$V$8,Hypothèses!$W$8,IF(AN88&lt;=Hypothèses!$V$9,Hypothèses!$W$9,IF(AN88&lt;=Hypothèses!$V$10,Hypothèses!$W$10,IF(AN88&lt;=Hypothèses!$V$11,Hypothèses!$W$11,IF(AN88&lt;=Hypothèses!$V$12,Hypothèses!$W$12,IF(AN88&lt;=Hypothèses!$V$13,Hypothèses!$W$13,IF(AN88&lt;=Hypothèses!$V$14,Hypothèses!$W$14,IF(AN88&lt;=Hypothèses!$V$15,Hypothèses!$W$15,IF(AN88&lt;=Hypothèses!$V$16,Hypothèses!$W$16,IF(AN88&lt;=Hypothèses!$V$17,Hypothèses!$W$17,IF(AN88&lt;=Hypothèses!$V$18,Hypothèses!$W$18,""))))))))))))</f>
        <v>#DIV/0!</v>
      </c>
      <c r="BI88" s="87" t="e">
        <f t="shared" ca="1" si="218"/>
        <v>#DIV/0!</v>
      </c>
      <c r="BJ88" s="88" t="e">
        <f ca="1">IF(AN88&lt;=Hypothèses!$V$7,Hypothèses!$X$7,IF(AN88&lt;=Hypothèses!$V$8,Hypothèses!$X$8,IF(AN88&lt;=Hypothèses!$V$9,Hypothèses!$X$9,IF(AN88&lt;=Hypothèses!$V$10,Hypothèses!$X$10,IF(AN88&lt;=Hypothèses!$V$11,Hypothèses!$X$11,IF(AN88&lt;=Hypothèses!$V$12,Hypothèses!$X$12,IF(AN88&lt;=Hypothèses!$V$13,Hypothèses!$X$13,IF(AN88&lt;=Hypothèses!$V$14,Hypothèses!$X$14,IF(AN88&lt;=Hypothèses!$V$15,Hypothèses!$X$15,IF(AN88&lt;=Hypothèses!$V$16,Hypothèses!$X$16,IF(AN88&lt;=Hypothèses!$U$17,Hypothèses!$W$17,IF(AN88&lt;=Hypothèses!$U$18,Hypothèses!$W$18,""))))))))))))</f>
        <v>#DIV/0!</v>
      </c>
      <c r="BK88" s="95" t="e">
        <f t="shared" ca="1" si="177"/>
        <v>#DIV/0!</v>
      </c>
      <c r="BL88" s="101">
        <f t="shared" si="225"/>
        <v>0</v>
      </c>
      <c r="BM88" s="91">
        <f t="shared" si="144"/>
        <v>0</v>
      </c>
      <c r="BN88" s="30" t="e">
        <f t="shared" si="204"/>
        <v>#N/A</v>
      </c>
      <c r="BO88" s="30" t="e">
        <f t="shared" si="205"/>
        <v>#N/A</v>
      </c>
      <c r="BP88" s="31" t="e">
        <f>IF(OR(Hypothèses!$B$4=17,Hypothèses!$B$4=18,Hypothèses!$B$4=19,Hypothèses!$B$4=20),
IF($D88="Pressio.",
IF(OR($E88=3,$E88=1,$E88=4),BO88,BN88),
IF($D88="Pénétro.",
IF(OR($E88=3,$E88=1,$E88=4),BO88,BN88))),IF($D88="Pressio.",
IF($E88=3,BO88,BN88),
IF($D88="Pénétro.",
IF($E88=4,BO88,BN88))))</f>
        <v>#N/A</v>
      </c>
      <c r="BQ88" s="31">
        <v>0</v>
      </c>
      <c r="BR88" s="102" t="e">
        <f>IF(NDC!$H$10="Oui",(VLOOKUP($B$3,'Coeff EC7'!$T$39:$X$59,2,0)*BP88+VLOOKUP($B$3,'Coeff EC7'!$T$65:$X$85,2,0)*Model0.1T!BQ88)/1.5,PI()*BN$12*$Q88*($B88-$B87)*0.15/10+BR87)</f>
        <v>#N/A</v>
      </c>
      <c r="BS88" s="102" t="e">
        <f>(VLOOKUP($B$3,'Coeff EC7'!$T$39:$X$59,3,0)*BP88+VLOOKUP($B$3,'Coeff EC7'!$T$65:$X$85,3,0)*Model0.1T!BQ88)/1.1</f>
        <v>#N/A</v>
      </c>
      <c r="BT88" s="102" t="e">
        <f t="shared" si="178"/>
        <v>#N/A</v>
      </c>
      <c r="BU88" s="102" t="e">
        <f t="shared" si="179"/>
        <v>#N/A</v>
      </c>
      <c r="BV88" s="414" t="e">
        <f>IF(AND(BR88&gt;NDC!$C$63,BS88&gt;NDC!$C$65,BT88&gt;NDC!$D$73,BU88&gt;NDC!$D$74,$B88&gt;NDC!$H$22-0.1+MIN(3*BV$12,1.5)),0,1)</f>
        <v>#N/A</v>
      </c>
      <c r="BW88" s="86" t="b">
        <f t="shared" si="145"/>
        <v>0</v>
      </c>
      <c r="BX88" s="86">
        <f t="shared" si="146"/>
        <v>0.5</v>
      </c>
      <c r="BY88" s="86">
        <f t="shared" si="147"/>
        <v>0.5</v>
      </c>
      <c r="BZ88" s="30" t="e">
        <f t="shared" ca="1" si="180"/>
        <v>#DIV/0!</v>
      </c>
      <c r="CA88" s="85" t="e">
        <f ca="1">IF(BG88&lt;=Hypothèses!$V$7,Hypothèses!$W$7,IF(BG88&lt;=Hypothèses!$V$8,Hypothèses!$W$8,IF(BG88&lt;=Hypothèses!$V$9,Hypothèses!$W$9,IF(BG88&lt;=Hypothèses!$V$10,Hypothèses!$W$10,IF(BG88&lt;=Hypothèses!$V$11,Hypothèses!$W$11,IF(BG88&lt;=Hypothèses!$V$12,Hypothèses!$W$12,IF(BG88&lt;=Hypothèses!$V$13,Hypothèses!$W$13,IF(BG88&lt;=Hypothèses!$V$14,Hypothèses!$W$14,IF(BG88&lt;=Hypothèses!$V$15,Hypothèses!$W$15,IF(BG88&lt;=Hypothèses!$V$16,Hypothèses!$W$16,IF(BG88&lt;=Hypothèses!$V$17,Hypothèses!$W$17,IF(BG88&lt;=Hypothèses!$V$18,Hypothèses!$W$18,""))))))))))))</f>
        <v>#DIV/0!</v>
      </c>
      <c r="CB88" s="87" t="e">
        <f t="shared" ca="1" si="219"/>
        <v>#DIV/0!</v>
      </c>
      <c r="CC88" s="88" t="e">
        <f ca="1">IF(BG88&lt;=Hypothèses!$V$7,Hypothèses!$X$7,IF(BG88&lt;=Hypothèses!$V$8,Hypothèses!$X$8,IF(BG88&lt;=Hypothèses!$V$9,Hypothèses!$X$9,IF(BG88&lt;=Hypothèses!$V$10,Hypothèses!$X$10,IF(BG88&lt;=Hypothèses!$V$11,Hypothèses!$X$11,IF(BG88&lt;=Hypothèses!$V$12,Hypothèses!$X$12,IF(BG88&lt;=Hypothèses!$V$13,Hypothèses!$X$13,IF(BG88&lt;=Hypothèses!$V$14,Hypothèses!$X$14,IF(BG88&lt;=Hypothèses!$V$15,Hypothèses!$X$15,IF(BG88&lt;=Hypothèses!$V$16,Hypothèses!$X$16,IF(BG88&lt;=Hypothèses!$U$17,Hypothèses!$W$17,IF(BG88&lt;=Hypothèses!$U$18,Hypothèses!$W$18,""))))))))))))</f>
        <v>#DIV/0!</v>
      </c>
      <c r="CD88" s="95" t="e">
        <f t="shared" ca="1" si="181"/>
        <v>#DIV/0!</v>
      </c>
      <c r="CE88" s="101">
        <f t="shared" si="226"/>
        <v>0</v>
      </c>
      <c r="CF88" s="91">
        <f t="shared" si="148"/>
        <v>0</v>
      </c>
      <c r="CG88" s="30" t="e">
        <f t="shared" si="206"/>
        <v>#N/A</v>
      </c>
      <c r="CH88" s="30" t="e">
        <f t="shared" si="207"/>
        <v>#N/A</v>
      </c>
      <c r="CI88" s="31" t="e">
        <f>IF(OR(Hypothèses!$B$4=17,Hypothèses!$B$4=18,Hypothèses!$B$4=19,Hypothèses!$B$4=20),
IF($D88="Pressio.",
IF(OR($E88=3,$E88=1,$E88=4),CH88,CG88),
IF($D88="Pénétro.",
IF(OR($E88=3,$E88=1,$E88=4),CH88,CG88))),IF($D88="Pressio.",
IF($E88=3,CH88,CG88),
IF($D88="Pénétro.",
IF($E88=4,CH88,CG88))))</f>
        <v>#N/A</v>
      </c>
      <c r="CJ88" s="31">
        <v>0</v>
      </c>
      <c r="CK88" s="102" t="e">
        <f>IF(NDC!$H$10="Oui",(VLOOKUP($B$3,'Coeff EC7'!$T$39:$X$59,2,0)*CI88+VLOOKUP($B$3,'Coeff EC7'!$T$65:$X$85,2,0)*Model0.1T!CJ88)/1.5,PI()*CG$12*$Q88*($B88-$B87)*0.15/10+CK87)</f>
        <v>#N/A</v>
      </c>
      <c r="CL88" s="102" t="e">
        <f>(VLOOKUP($B$3,'Coeff EC7'!$T$39:$X$59,3,0)*CI88+VLOOKUP($B$3,'Coeff EC7'!$T$65:$X$85,3,0)*Model0.1T!CJ88)/1.1</f>
        <v>#N/A</v>
      </c>
      <c r="CM88" s="102" t="e">
        <f t="shared" si="182"/>
        <v>#N/A</v>
      </c>
      <c r="CN88" s="102" t="e">
        <f t="shared" si="183"/>
        <v>#N/A</v>
      </c>
      <c r="CO88" s="414" t="e">
        <f>IF(AND(CK88&gt;NDC!$C$63,CL88&gt;NDC!$C$65,CM88&gt;NDC!$D$73,CN88&gt;NDC!$D$74,$B88&gt;NDC!$H$22-0.1+MIN(3*CO$12,1.5)),0,1)</f>
        <v>#N/A</v>
      </c>
      <c r="CP88" s="86" t="b">
        <f t="shared" si="149"/>
        <v>0</v>
      </c>
      <c r="CQ88" s="86">
        <f t="shared" si="150"/>
        <v>0.5</v>
      </c>
      <c r="CR88" s="86">
        <f t="shared" si="151"/>
        <v>0.5</v>
      </c>
      <c r="CS88" s="30" t="e">
        <f t="shared" ca="1" si="184"/>
        <v>#DIV/0!</v>
      </c>
      <c r="CT88" s="85" t="e">
        <f ca="1">IF(BZ88&lt;=Hypothèses!$V$7,Hypothèses!$W$7,IF(BZ88&lt;=Hypothèses!$V$8,Hypothèses!$W$8,IF(BZ88&lt;=Hypothèses!$V$9,Hypothèses!$W$9,IF(BZ88&lt;=Hypothèses!$V$10,Hypothèses!$W$10,IF(BZ88&lt;=Hypothèses!$V$11,Hypothèses!$W$11,IF(BZ88&lt;=Hypothèses!$V$12,Hypothèses!$W$12,IF(BZ88&lt;=Hypothèses!$V$13,Hypothèses!$W$13,IF(BZ88&lt;=Hypothèses!$V$14,Hypothèses!$W$14,IF(BZ88&lt;=Hypothèses!$V$15,Hypothèses!$W$15,IF(BZ88&lt;=Hypothèses!$V$16,Hypothèses!$W$16,IF(BZ88&lt;=Hypothèses!$V$17,Hypothèses!$W$17,IF(BZ88&lt;=Hypothèses!$V$18,Hypothèses!$W$18,""))))))))))))</f>
        <v>#DIV/0!</v>
      </c>
      <c r="CU88" s="87" t="e">
        <f t="shared" ca="1" si="220"/>
        <v>#DIV/0!</v>
      </c>
      <c r="CV88" s="88" t="e">
        <f ca="1">IF(BZ88&lt;=Hypothèses!$V$7,Hypothèses!$X$7,IF(BZ88&lt;=Hypothèses!$V$8,Hypothèses!$X$8,IF(BZ88&lt;=Hypothèses!$V$9,Hypothèses!$X$9,IF(BZ88&lt;=Hypothèses!$V$10,Hypothèses!$X$10,IF(BZ88&lt;=Hypothèses!$V$11,Hypothèses!$X$11,IF(BZ88&lt;=Hypothèses!$V$12,Hypothèses!$X$12,IF(BZ88&lt;=Hypothèses!$V$13,Hypothèses!$X$13,IF(BZ88&lt;=Hypothèses!$V$14,Hypothèses!$X$14,IF(BZ88&lt;=Hypothèses!$V$15,Hypothèses!$X$15,IF(BZ88&lt;=Hypothèses!$V$16,Hypothèses!$X$16,IF(BZ88&lt;=Hypothèses!$U$17,Hypothèses!$W$17,IF(BZ88&lt;=Hypothèses!$U$18,Hypothèses!$W$18,""))))))))))))</f>
        <v>#DIV/0!</v>
      </c>
      <c r="CW88" s="95" t="e">
        <f t="shared" ca="1" si="185"/>
        <v>#DIV/0!</v>
      </c>
      <c r="CX88" s="101">
        <f t="shared" si="227"/>
        <v>0</v>
      </c>
      <c r="CY88" s="91">
        <f t="shared" si="152"/>
        <v>0</v>
      </c>
      <c r="CZ88" s="30" t="e">
        <f t="shared" si="208"/>
        <v>#N/A</v>
      </c>
      <c r="DA88" s="30" t="e">
        <f t="shared" si="209"/>
        <v>#N/A</v>
      </c>
      <c r="DB88" s="31" t="e">
        <f>IF(OR(Hypothèses!$B$4=17,Hypothèses!$B$4=18,Hypothèses!$B$4=19,Hypothèses!$B$4=20),
IF($D88="Pressio.",
IF(OR($E88=3,$E88=1,$E88=4),DA88,CZ88),
IF($D88="Pénétro.",
IF(OR($E88=3,$E88=1,$E88=4),DA88,CZ88))),IF($D88="Pressio.",
IF($E88=3,DA88,CZ88),
IF($D88="Pénétro.",
IF($E88=4,DA88,CZ88))))</f>
        <v>#N/A</v>
      </c>
      <c r="DC88" s="31">
        <v>0</v>
      </c>
      <c r="DD88" s="102" t="e">
        <f>IF(NDC!$H$10="Oui",(VLOOKUP($B$3,'Coeff EC7'!$T$39:$X$59,2,0)*DB88+VLOOKUP($B$3,'Coeff EC7'!$T$65:$X$85,2,0)*Model0.1T!DC88)/1.5,PI()*CZ$12*$Q88*($B88-$B87)*0.15/10+DD87)</f>
        <v>#N/A</v>
      </c>
      <c r="DE88" s="102" t="e">
        <f>(VLOOKUP($B$3,'Coeff EC7'!$T$39:$X$59,3,0)*DB88+VLOOKUP($B$3,'Coeff EC7'!$T$65:$X$85,3,0)*Model0.1T!DC88)/1.1</f>
        <v>#N/A</v>
      </c>
      <c r="DF88" s="102" t="e">
        <f t="shared" si="186"/>
        <v>#N/A</v>
      </c>
      <c r="DG88" s="102" t="e">
        <f t="shared" si="187"/>
        <v>#N/A</v>
      </c>
      <c r="DH88" s="414" t="e">
        <f>IF(AND(DD88&gt;NDC!$C$63,DE88&gt;NDC!$C$65,DF88&gt;NDC!$D$73,DG88&gt;NDC!$D$74,$B88&gt;NDC!$H$22-0.1+MIN(3*DH$12,1.5)),0,1)</f>
        <v>#N/A</v>
      </c>
      <c r="DI88" s="86" t="b">
        <f t="shared" si="153"/>
        <v>0</v>
      </c>
      <c r="DJ88" s="86">
        <f t="shared" si="154"/>
        <v>0.5</v>
      </c>
      <c r="DK88" s="86">
        <f t="shared" si="155"/>
        <v>0.5</v>
      </c>
      <c r="DL88" s="30" t="e">
        <f t="shared" ca="1" si="188"/>
        <v>#DIV/0!</v>
      </c>
      <c r="DM88" s="85" t="e">
        <f ca="1">IF(CS88&lt;=Hypothèses!$V$7,Hypothèses!$W$7,IF(CS88&lt;=Hypothèses!$V$8,Hypothèses!$W$8,IF(CS88&lt;=Hypothèses!$V$9,Hypothèses!$W$9,IF(CS88&lt;=Hypothèses!$V$10,Hypothèses!$W$10,IF(CS88&lt;=Hypothèses!$V$11,Hypothèses!$W$11,IF(CS88&lt;=Hypothèses!$V$12,Hypothèses!$W$12,IF(CS88&lt;=Hypothèses!$V$13,Hypothèses!$W$13,IF(CS88&lt;=Hypothèses!$V$14,Hypothèses!$W$14,IF(CS88&lt;=Hypothèses!$V$15,Hypothèses!$W$15,IF(CS88&lt;=Hypothèses!$V$16,Hypothèses!$W$16,IF(CS88&lt;=Hypothèses!$V$17,Hypothèses!$W$17,IF(CS88&lt;=Hypothèses!$V$18,Hypothèses!$W$18,""))))))))))))</f>
        <v>#DIV/0!</v>
      </c>
      <c r="DN88" s="87" t="e">
        <f t="shared" ca="1" si="221"/>
        <v>#DIV/0!</v>
      </c>
      <c r="DO88" s="88" t="e">
        <f ca="1">IF(CS88&lt;=Hypothèses!$V$7,Hypothèses!$X$7,IF(CS88&lt;=Hypothèses!$V$8,Hypothèses!$X$8,IF(CS88&lt;=Hypothèses!$V$9,Hypothèses!$X$9,IF(CS88&lt;=Hypothèses!$V$10,Hypothèses!$X$10,IF(CS88&lt;=Hypothèses!$V$11,Hypothèses!$X$11,IF(CS88&lt;=Hypothèses!$V$12,Hypothèses!$X$12,IF(CS88&lt;=Hypothèses!$V$13,Hypothèses!$X$13,IF(CS88&lt;=Hypothèses!$V$14,Hypothèses!$X$14,IF(CS88&lt;=Hypothèses!$V$15,Hypothèses!$X$15,IF(CS88&lt;=Hypothèses!$V$16,Hypothèses!$X$16,IF(CS88&lt;=Hypothèses!$U$17,Hypothèses!$W$17,IF(CS88&lt;=Hypothèses!$U$18,Hypothèses!$W$18,""))))))))))))</f>
        <v>#DIV/0!</v>
      </c>
      <c r="DP88" s="95" t="e">
        <f t="shared" ca="1" si="189"/>
        <v>#DIV/0!</v>
      </c>
      <c r="DQ88" s="101">
        <f t="shared" si="228"/>
        <v>0</v>
      </c>
      <c r="DR88" s="91">
        <f t="shared" si="156"/>
        <v>0</v>
      </c>
      <c r="DS88" s="30" t="e">
        <f t="shared" si="210"/>
        <v>#N/A</v>
      </c>
      <c r="DT88" s="30" t="e">
        <f t="shared" si="211"/>
        <v>#N/A</v>
      </c>
      <c r="DU88" s="31" t="e">
        <f>IF(OR(Hypothèses!$B$4=17,Hypothèses!$B$4=18,Hypothèses!$B$4=19,Hypothèses!$B$4=20),
IF($D88="Pressio.",
IF(OR($E88=3,$E88=1,$E88=4),DT88,DS88),
IF($D88="Pénétro.",
IF(OR($E88=3,$E88=1,$E88=4),DT88,DS88))),IF($D88="Pressio.",
IF($E88=3,DT88,DS88),
IF($D88="Pénétro.",
IF($E88=4,DT88,DS88))))</f>
        <v>#N/A</v>
      </c>
      <c r="DV88" s="31">
        <v>0</v>
      </c>
      <c r="DW88" s="102" t="e">
        <f>IF(NDC!$H$10="Oui",(VLOOKUP($B$3,'Coeff EC7'!$T$39:$X$59,2,0)*DU88+VLOOKUP($B$3,'Coeff EC7'!$T$65:$X$85,2,0)*Model0.1T!DV88)/1.5,PI()*DS$12*$Q88*($B88-$B87)*0.15/10+DW87)</f>
        <v>#N/A</v>
      </c>
      <c r="DX88" s="102" t="e">
        <f>(VLOOKUP($B$3,'Coeff EC7'!$T$39:$X$59,3,0)*DU88+VLOOKUP($B$3,'Coeff EC7'!$T$65:$X$85,3,0)*Model0.1T!DV88)/1.1</f>
        <v>#N/A</v>
      </c>
      <c r="DY88" s="102" t="e">
        <f t="shared" si="190"/>
        <v>#N/A</v>
      </c>
      <c r="DZ88" s="102" t="e">
        <f t="shared" si="191"/>
        <v>#N/A</v>
      </c>
      <c r="EA88" s="414" t="e">
        <f>IF(AND(DW88&gt;NDC!$C$63,DX88&gt;NDC!$C$65,DY88&gt;NDC!$D$73,DZ88&gt;NDC!$D$74,$B88&gt;NDC!$H$22-0.1+MIN(3*EA$12,1.5)),0,1)</f>
        <v>#N/A</v>
      </c>
      <c r="EB88" s="86" t="b">
        <f t="shared" si="157"/>
        <v>0</v>
      </c>
      <c r="EC88" s="418">
        <f t="shared" si="158"/>
        <v>0.51</v>
      </c>
      <c r="ED88" s="86">
        <f t="shared" si="159"/>
        <v>0.51</v>
      </c>
      <c r="EE88" s="30" t="e">
        <f t="shared" ca="1" si="192"/>
        <v>#DIV/0!</v>
      </c>
      <c r="EF88" s="85" t="e">
        <f ca="1">IF(DL88&lt;=Hypothèses!$V$7,Hypothèses!$W$7,IF(DL88&lt;=Hypothèses!$V$8,Hypothèses!$W$8,IF(DL88&lt;=Hypothèses!$V$9,Hypothèses!$W$9,IF(DL88&lt;=Hypothèses!$V$10,Hypothèses!$W$10,IF(DL88&lt;=Hypothèses!$V$11,Hypothèses!$W$11,IF(DL88&lt;=Hypothèses!$V$12,Hypothèses!$W$12,IF(DL88&lt;=Hypothèses!$V$13,Hypothèses!$W$13,IF(DL88&lt;=Hypothèses!$V$14,Hypothèses!$W$14,IF(DL88&lt;=Hypothèses!$V$15,Hypothèses!$W$15,IF(DL88&lt;=Hypothèses!$V$16,Hypothèses!$W$16,IF(DL88&lt;=Hypothèses!$V$17,Hypothèses!$W$17,IF(DL88&lt;=Hypothèses!$V$18,Hypothèses!$W$18,""))))))))))))</f>
        <v>#DIV/0!</v>
      </c>
      <c r="EG88" s="87" t="e">
        <f t="shared" ca="1" si="222"/>
        <v>#DIV/0!</v>
      </c>
      <c r="EH88" s="88" t="e">
        <f ca="1">IF(DL88&lt;=Hypothèses!$V$7,Hypothèses!$X$7,IF(DL88&lt;=Hypothèses!$V$8,Hypothèses!$X$8,IF(DL88&lt;=Hypothèses!$V$9,Hypothèses!$X$9,IF(DL88&lt;=Hypothèses!$V$10,Hypothèses!$X$10,IF(DL88&lt;=Hypothèses!$V$11,Hypothèses!$X$11,IF(DL88&lt;=Hypothèses!$V$12,Hypothèses!$X$12,IF(DL88&lt;=Hypothèses!$V$13,Hypothèses!$X$13,IF(DL88&lt;=Hypothèses!$V$14,Hypothèses!$X$14,IF(DL88&lt;=Hypothèses!$V$15,Hypothèses!$X$15,IF(DL88&lt;=Hypothèses!$V$16,Hypothèses!$X$16,IF(DL88&lt;=Hypothèses!$U$17,Hypothèses!$W$17,IF(DL88&lt;=Hypothèses!$U$18,Hypothèses!$W$18,""))))))))))))</f>
        <v>#DIV/0!</v>
      </c>
      <c r="EI88" s="95" t="e">
        <f t="shared" ca="1" si="193"/>
        <v>#DIV/0!</v>
      </c>
      <c r="EJ88" s="101">
        <f t="shared" si="229"/>
        <v>0</v>
      </c>
      <c r="EK88" s="91">
        <f t="shared" si="160"/>
        <v>0</v>
      </c>
      <c r="EL88" s="30" t="e">
        <f t="shared" si="212"/>
        <v>#N/A</v>
      </c>
      <c r="EM88" s="30" t="e">
        <f t="shared" si="213"/>
        <v>#N/A</v>
      </c>
      <c r="EN88" s="31" t="e">
        <f>IF(OR(Hypothèses!$B$4=17,Hypothèses!$B$4=18,Hypothèses!$B$4=19,Hypothèses!$B$4=20),
IF($D88="Pressio.",
IF(OR($E88=3,$E88=1,$E88=4),EM88,EL88),
IF($D88="Pénétro.",
IF(OR($E88=3,$E88=1,$E88=4),EM88,EL88))),IF($D88="Pressio.",
IF($E88=3,EM88,EL88),
IF($D88="Pénétro.",
IF($E88=4,EM88,EL88))))</f>
        <v>#N/A</v>
      </c>
      <c r="EO88" s="31">
        <v>0</v>
      </c>
      <c r="EP88" s="102" t="e">
        <f>IF(NDC!$H$10="Oui",(VLOOKUP($B$3,'Coeff EC7'!$T$39:$X$59,2,0)*EN88+VLOOKUP($B$3,'Coeff EC7'!$T$65:$X$85,2,0)*Model0.1T!EO88)/1.5,PI()*EL$12*$Q88*($B88-$B87)*0.15/10+EP87)</f>
        <v>#N/A</v>
      </c>
      <c r="EQ88" s="102" t="e">
        <f>(VLOOKUP($B$3,'Coeff EC7'!$T$39:$X$59,3,0)*EN88+VLOOKUP($B$3,'Coeff EC7'!$T$65:$X$85,3,0)*Model0.1T!EO88)/1.1</f>
        <v>#N/A</v>
      </c>
      <c r="ER88" s="102" t="e">
        <f t="shared" si="194"/>
        <v>#N/A</v>
      </c>
      <c r="ES88" s="102" t="e">
        <f t="shared" si="195"/>
        <v>#N/A</v>
      </c>
      <c r="ET88" s="414" t="e">
        <f>IF(AND(EP88&gt;NDC!$C$63,EQ88&gt;NDC!$C$65,ER88&gt;NDC!$D$73,ES88&gt;NDC!$D$74,$B88&gt;NDC!$H$22-0.1+MIN(3*ET$12,1.5)),0,1)</f>
        <v>#N/A</v>
      </c>
      <c r="EU88" s="86" t="b">
        <f t="shared" si="161"/>
        <v>0</v>
      </c>
      <c r="EV88" s="86">
        <f t="shared" si="162"/>
        <v>0.61</v>
      </c>
      <c r="EW88" s="86">
        <f t="shared" si="163"/>
        <v>0.61</v>
      </c>
      <c r="EX88" s="30" t="e">
        <f t="shared" ca="1" si="196"/>
        <v>#DIV/0!</v>
      </c>
      <c r="EY88" s="85" t="e">
        <f ca="1">IF(EE88&lt;=Hypothèses!$V$7,Hypothèses!$W$7,IF(EE88&lt;=Hypothèses!$V$8,Hypothèses!$W$8,IF(EE88&lt;=Hypothèses!$V$9,Hypothèses!$W$9,IF(EE88&lt;=Hypothèses!$V$10,Hypothèses!$W$10,IF(EE88&lt;=Hypothèses!$V$11,Hypothèses!$W$11,IF(EE88&lt;=Hypothèses!$V$12,Hypothèses!$W$12,IF(EE88&lt;=Hypothèses!$V$13,Hypothèses!$W$13,IF(EE88&lt;=Hypothèses!$V$14,Hypothèses!$W$14,IF(EE88&lt;=Hypothèses!$V$15,Hypothèses!$W$15,IF(EE88&lt;=Hypothèses!$V$16,Hypothèses!$W$16,IF(EE88&lt;=Hypothèses!$V$17,Hypothèses!$W$17,IF(EE88&lt;=Hypothèses!$V$18,Hypothèses!$W$18,""))))))))))))</f>
        <v>#DIV/0!</v>
      </c>
      <c r="EZ88" s="87" t="e">
        <f t="shared" ca="1" si="223"/>
        <v>#DIV/0!</v>
      </c>
      <c r="FA88" s="88" t="e">
        <f ca="1">IF(EE88&lt;=Hypothèses!$V$7,Hypothèses!$X$7,IF(EE88&lt;=Hypothèses!$V$8,Hypothèses!$X$8,IF(EE88&lt;=Hypothèses!$V$9,Hypothèses!$X$9,IF(EE88&lt;=Hypothèses!$V$10,Hypothèses!$X$10,IF(EE88&lt;=Hypothèses!$V$11,Hypothèses!$X$11,IF(EE88&lt;=Hypothèses!$V$12,Hypothèses!$X$12,IF(EE88&lt;=Hypothèses!$V$13,Hypothèses!$X$13,IF(EE88&lt;=Hypothèses!$V$14,Hypothèses!$X$14,IF(EE88&lt;=Hypothèses!$V$15,Hypothèses!$X$15,IF(EE88&lt;=Hypothèses!$V$16,Hypothèses!$X$16,IF(EE88&lt;=Hypothèses!$U$17,Hypothèses!$W$17,IF(EE88&lt;=Hypothèses!$U$18,Hypothèses!$W$18,""))))))))))))</f>
        <v>#DIV/0!</v>
      </c>
      <c r="FB88" s="95" t="e">
        <f t="shared" ca="1" si="197"/>
        <v>#DIV/0!</v>
      </c>
      <c r="FC88" s="101">
        <f t="shared" si="230"/>
        <v>0</v>
      </c>
      <c r="FD88" s="91">
        <f t="shared" si="164"/>
        <v>0</v>
      </c>
      <c r="FE88" s="30" t="e">
        <f t="shared" si="214"/>
        <v>#N/A</v>
      </c>
      <c r="FF88" s="30" t="e">
        <f t="shared" si="215"/>
        <v>#N/A</v>
      </c>
      <c r="FG88" s="31" t="e">
        <f>IF(OR(Hypothèses!$B$4=17,Hypothèses!$B$4=18,Hypothèses!$B$4=19,Hypothèses!$B$4=20),
IF($D88="Pressio.",
IF(OR($E88=3,$E88=1,$E88=4),FF88,FE88),
IF($D88="Pénétro.",
IF(OR($E88=3,$E88=1,$E88=4),FF88,FE88))),IF($D88="Pressio.",
IF($E88=3,FF88,FE88),
IF($D88="Pénétro.",
IF($E88=4,FF88,FE88))))</f>
        <v>#N/A</v>
      </c>
      <c r="FH88" s="31">
        <v>0</v>
      </c>
      <c r="FI88" s="102" t="e">
        <f>IF(NDC!$H$10="Oui",(VLOOKUP($B$3,'Coeff EC7'!$T$39:$X$59,2,0)*FG88+VLOOKUP($B$3,'Coeff EC7'!$T$65:$X$85,2,0)*Model0.1T!FH88)/1.5,PI()*FE$12*$Q88*($B88-$B87)*0.15/10+FI87)</f>
        <v>#N/A</v>
      </c>
      <c r="FJ88" s="102" t="e">
        <f>(VLOOKUP($B$3,'Coeff EC7'!$T$39:$X$59,3,0)*FG88+VLOOKUP($B$3,'Coeff EC7'!$T$65:$X$85,3,0)*Model0.1T!FH88)/1.1</f>
        <v>#N/A</v>
      </c>
      <c r="FK88" s="102" t="e">
        <f t="shared" si="198"/>
        <v>#N/A</v>
      </c>
      <c r="FL88" s="102" t="e">
        <f t="shared" si="199"/>
        <v>#N/A</v>
      </c>
      <c r="FM88" s="414" t="e">
        <f>IF(AND(FI88&gt;NDC!$C$63,FJ88&gt;NDC!$C$65,FK88&gt;NDC!$D$73,FL88&gt;NDC!$D$74,$B88&gt;NDC!$H$22-0.1+MIN(3*FM$12,1.5)),0,1)</f>
        <v>#N/A</v>
      </c>
    </row>
    <row r="89" spans="1:169">
      <c r="A89" s="96">
        <f t="shared" si="165"/>
        <v>92.400000000000432</v>
      </c>
      <c r="B89" s="97">
        <v>7.6</v>
      </c>
      <c r="C89" s="81">
        <f>IF(B89&lt;=Hypothèses!$C$7,Hypothèses!$A$7,IF(B89&lt;=Hypothèses!$C$8,Hypothèses!$A$8,IF(B89&lt;=Hypothèses!$C$9,Hypothèses!$A$9,IF(B89&lt;=Hypothèses!$C$10,Hypothèses!$A$10,IF(B89&lt;=Hypothèses!$C$11,Hypothèses!$A$11,IF(B89&lt;=Hypothèses!$C$12,Hypothèses!$A$12,IF(B89&lt;=Hypothèses!$C$13,Hypothèses!$A$13,IF(B89&lt;=Hypothèses!$C$14,Hypothèses!$A$14,IF(B89&lt;=Hypothèses!$C$15,Hypothèses!$A$15,IF(B89&lt;=Hypothèses!$C$16,Hypothèses!$A$16,IF(B89&lt;=Hypothèses!$C$17,Hypothèses!$A$17,IF(B89&lt;=Hypothèses!$C$18,Hypothèses!$A$18,C88))))))))))))</f>
        <v>11</v>
      </c>
      <c r="D89" s="82" t="str">
        <f>IF(B89&lt;=Hypothèses!$C$7,Hypothèses!$R$7,IF(B89&lt;=Hypothèses!$C$8,Hypothèses!$R$8,IF(B89&lt;=Hypothèses!$C$9,Hypothèses!$R$9,IF(B89&lt;=Hypothèses!$C$10,Hypothèses!$R$10,IF(B89&lt;=Hypothèses!$C$11,Hypothèses!$R$11,IF(B89&lt;=Hypothèses!$C$12,Hypothèses!$R$12,IF(B89&lt;=Hypothèses!$C$13,Hypothèses!$R$13,IF(B89&lt;=Hypothèses!$C$14,Hypothèses!$R$14,IF(B89&lt;=Hypothèses!$C$15,Hypothèses!$R$15,IF(B89&lt;=Hypothèses!$C$16,Hypothèses!$R$16,IF(B89&lt;=Hypothèses!$C$17,Hypothèses!$R$17,IF(B89&lt;=Hypothèses!$C$18,Hypothèses!$R$18,D88))))))))))))</f>
        <v>Pressio.</v>
      </c>
      <c r="E89" s="82" t="e">
        <f>IF(B89&lt;=Hypothèses!$C$7,Hypothèses!$G$7,IF(B89&lt;=Hypothèses!$C$8,Hypothèses!$G$8,IF(B89&lt;=Hypothèses!$C$9,Hypothèses!$G$9,IF(B89&lt;=Hypothèses!$C$10,Hypothèses!$G$10,IF(B89&lt;=Hypothèses!$C$11,Hypothèses!$G$11,IF(B89&lt;=Hypothèses!$C$12,Hypothèses!$G$12,IF(B89&lt;=Hypothèses!$C$13,Hypothèses!$G$13,IF(B89&lt;=Hypothèses!$C$14,Hypothèses!$G$14,IF(B89&lt;=Hypothèses!$C$15,Hypothèses!$G$15,IF(B89&lt;=Hypothèses!$C$16,Hypothèses!$G$16,IF(B89&lt;=Hypothèses!$C$17,Hypothèses!$G$17,IF(B89&lt;=Hypothèses!$C$18,Hypothèses!$G$18,E88))))))))))))</f>
        <v>#N/A</v>
      </c>
      <c r="F89" s="82" t="str">
        <f>IF(B89&lt;=Hypothèses!$C$7,Hypothèses!$F$7,IF(B89&lt;=Hypothèses!$C$8,Hypothèses!$F$8,IF(B89&lt;=Hypothèses!$C$9,Hypothèses!$F$9,IF(B89&lt;=Hypothèses!$C$10,Hypothèses!$F$10,IF(B89&lt;=Hypothèses!$C$11,Hypothèses!$F$11,IF(B89&lt;=Hypothèses!$C$12,Hypothèses!$F$12,IF(B89&lt;=Hypothèses!$C$13,Hypothèses!$F$13,IF(B89&lt;=Hypothèses!$C$14,Hypothèses!$F$14,IF(B89&lt;=Hypothèses!$C$15,Hypothèses!$F$15,IF(B89&lt;=Hypothèses!$C$16,Hypothèses!$F$16,IF(B89&lt;=Hypothèses!$C$17,Hypothèses!$F$17,IF(B89&lt;=Hypothèses!$C$18,Hypothèses!$F$18,F88))))))))))))</f>
        <v/>
      </c>
      <c r="G89" s="91">
        <f t="array" ref="G89">INDEX('Coeff EC7'!$U$7:$X$27,
MATCH(Model0.1T!$B$3,'Coeff EC7'!$T$7:$T$27,0),
MATCH(Model0.1T!$D89&amp;Model0.1T!$B$4,
'Coeff EC7'!$U$6:$X$6&amp;
'Coeff EC7'!$U$5:$X$5,0))</f>
        <v>1.4</v>
      </c>
      <c r="H89" s="91">
        <f t="array" ref="H89">INDEX('Coeff EC7'!$Y$7:$AB$27,
MATCH(Model0.1T!$B$3,'Coeff EC7'!$T$7:$T$27,0),
MATCH(Model0.1T!$D89&amp;Model0.1T!$B$4,
'Coeff EC7'!$Y$6:$AB$6&amp;
'Coeff EC7'!$Y$5:$AB$5,0))</f>
        <v>1.7</v>
      </c>
      <c r="I89" s="83">
        <v>0</v>
      </c>
      <c r="J89" s="91" t="e">
        <f t="array" ref="J89">INDEX('Coeff EC7'!$D$33:$Q$33,1,MATCH(D89&amp;E89,'Coeff EC7'!$D$31:$Q$31&amp;'Coeff EC7'!$D$32:$Q$32,0))</f>
        <v>#N/A</v>
      </c>
      <c r="K89" s="91" t="e">
        <f t="array" ref="K89">INDEX('Coeff EC7'!$D$34:$Q$34,1,MATCH(D89&amp;E89,'Coeff EC7'!$D$31:$Q$31&amp;'Coeff EC7'!$D$32:$Q$32,0))</f>
        <v>#N/A</v>
      </c>
      <c r="L89" s="91" t="e">
        <f t="array" ref="L89">INDEX('Coeff EC7'!$D$35:$Q$35,1,MATCH(D89&amp;E89,'Coeff EC7'!$D$31:$Q$31&amp;'Coeff EC7'!$D$32:$Q$32,0))</f>
        <v>#N/A</v>
      </c>
      <c r="M89" s="98" t="e">
        <f t="shared" si="131"/>
        <v>#N/A</v>
      </c>
      <c r="N89" s="99" t="e">
        <f t="array" ref="N89">INDEX('Coeff EC7'!$D$7:$Q$27,MATCH($B$3,'Coeff EC7'!$C$7:$C$27,0),MATCH(D89&amp;E89,'Coeff EC7'!$D$5:$Q$5&amp;'Coeff EC7'!$D$6:$Q$6,0))</f>
        <v>#N/A</v>
      </c>
      <c r="O89" s="99" t="e">
        <f t="array" ref="O89">INDEX('Coeff EC7'!$D$41:$Q$61,MATCH($B$3,'Coeff EC7'!$C$41:$C$61,0),MATCH(D89&amp;E89,'Coeff EC7'!$D$39:$Q$39&amp;'Coeff EC7'!$D$40:$Q$40,0))</f>
        <v>#N/A</v>
      </c>
      <c r="P89" s="30" t="e">
        <f t="shared" si="166"/>
        <v>#N/A</v>
      </c>
      <c r="Q89" s="100" t="e">
        <f t="shared" si="133"/>
        <v>#N/A</v>
      </c>
      <c r="R89" s="86" t="b">
        <f t="shared" si="134"/>
        <v>0</v>
      </c>
      <c r="S89" s="86">
        <f t="shared" si="132"/>
        <v>0.5</v>
      </c>
      <c r="T89" s="86">
        <f t="shared" si="135"/>
        <v>0.5</v>
      </c>
      <c r="U89" s="30" t="e">
        <f t="shared" ca="1" si="167"/>
        <v>#DIV/0!</v>
      </c>
      <c r="V89" s="85" t="str">
        <f>IF(B89&lt;=Hypothèses!$V$7,Hypothèses!$W$7,IF(B89&lt;=Hypothèses!$V$8,Hypothèses!$W$8,IF(B89&lt;=Hypothèses!$V$9,Hypothèses!$W$9,IF(B89&lt;=Hypothèses!$V$10,Hypothèses!$W$10,IF(B89&lt;=Hypothèses!$V$11,Hypothèses!$W$11,IF(B89&lt;=Hypothèses!$V$12,Hypothèses!$W$12,IF(B89&lt;=Hypothèses!$V$13,Hypothèses!$W$13,IF(B89&lt;=Hypothèses!$V$14,Hypothèses!$W$14,IF(B89&lt;=Hypothèses!$V$15,Hypothèses!$W$15,IF(B89&lt;=Hypothèses!$V$16,Hypothèses!$W$16,IF(B89&lt;=Hypothèses!$V$17,Hypothèses!$W$17,IF(B89&lt;=Hypothèses!$V$18,Hypothèses!$W$18,""))))))))))))</f>
        <v/>
      </c>
      <c r="W89" s="87" t="e">
        <f t="shared" ca="1" si="216"/>
        <v>#DIV/0!</v>
      </c>
      <c r="X89" s="88" t="str">
        <f>IF(B89&lt;=Hypothèses!$V$7,Hypothèses!$X$7,IF(B89&lt;=Hypothèses!$V$8,Hypothèses!$X$8,IF(B89&lt;=Hypothèses!$V$9,Hypothèses!$X$9,IF(B89&lt;=Hypothèses!$V$10,Hypothèses!$X$10,IF(B89&lt;=Hypothèses!$V$11,Hypothèses!$X$11,IF(B89&lt;=Hypothèses!$V$12,Hypothèses!$X$12,IF(B89&lt;=Hypothèses!$V$13,Hypothèses!$X$13,IF(B89&lt;=Hypothèses!$V$14,Hypothèses!$X$14,IF(B89&lt;=Hypothèses!$V$15,Hypothèses!$X$15,IF(B89&lt;=Hypothèses!$V$16,Hypothèses!$X$16,IF(B89&lt;=Hypothèses!$U$17,Hypothèses!$W$17,IF(B89&lt;=Hypothèses!$U$18,Hypothèses!$W$18,""))))))))))))</f>
        <v/>
      </c>
      <c r="Y89" s="95" t="e">
        <f t="shared" ca="1" si="136"/>
        <v>#DIV/0!</v>
      </c>
      <c r="Z89" s="101">
        <f t="shared" si="137"/>
        <v>0</v>
      </c>
      <c r="AA89" s="91">
        <f t="shared" si="138"/>
        <v>0</v>
      </c>
      <c r="AB89" s="30" t="e">
        <f t="shared" si="200"/>
        <v>#N/A</v>
      </c>
      <c r="AC89" s="30" t="e">
        <f t="shared" si="201"/>
        <v>#N/A</v>
      </c>
      <c r="AD89" s="31" t="e">
        <f>IF(OR(Hypothèses!$B$4=17,Hypothèses!$B$4=18,Hypothèses!$B$4=19,Hypothèses!$B$4=20),
IF($D89="Pressio.",
IF(OR($E89=3,$E89=1,$E89=4),AC89,AB89),
IF($D89="Pénétro.",
IF(OR($E89=3,$E89=1,$E89=4),AC89,AB89))),IF($D89="Pressio.",
IF($E89=3,AC89,AB89),
IF($D89="Pénétro.",
IF($E89=4,AC89,AB89))))</f>
        <v>#N/A</v>
      </c>
      <c r="AE89" s="31">
        <v>0</v>
      </c>
      <c r="AF89" s="102" t="e">
        <f>IF(NDC!$H$10="Oui",(VLOOKUP($B$3,'Coeff EC7'!$T$39:$X$59,2,0)*AD89+VLOOKUP($B$3,'Coeff EC7'!$T$65:$X$85,2,0)*Model0.1T!AE89)/1.5,PI()*AB$12*$Q89*($B89-$B88)*0.15/10+AF88)</f>
        <v>#N/A</v>
      </c>
      <c r="AG89" s="102" t="e">
        <f>(VLOOKUP($B$3,'Coeff EC7'!$T$39:$X$59,3,0)*AD89+VLOOKUP($B$3,'Coeff EC7'!$T$65:$X$85,3,0)*Model0.1T!AE89)/1.1</f>
        <v>#N/A</v>
      </c>
      <c r="AH89" s="102" t="e">
        <f t="shared" si="168"/>
        <v>#N/A</v>
      </c>
      <c r="AI89" s="102" t="e">
        <f t="shared" si="169"/>
        <v>#N/A</v>
      </c>
      <c r="AJ89" s="414" t="e">
        <f>IF(AND(AF89&gt;NDC!$C$63,AG89&gt;NDC!$C$65,AH89&gt;NDC!$D$73,AI89&gt;NDC!$D$74,$B89&gt;NDC!$H$22-0.1+MIN(3*$AJ$12,1.5)),0,1)</f>
        <v>#N/A</v>
      </c>
      <c r="AK89" s="86" t="b">
        <f t="shared" si="139"/>
        <v>0</v>
      </c>
      <c r="AL89" s="86">
        <f t="shared" si="170"/>
        <v>0.5</v>
      </c>
      <c r="AM89" s="86">
        <f t="shared" si="140"/>
        <v>0.5</v>
      </c>
      <c r="AN89" s="30" t="e">
        <f t="shared" ca="1" si="171"/>
        <v>#DIV/0!</v>
      </c>
      <c r="AO89" s="85" t="e">
        <f ca="1">IF(U89&lt;=Hypothèses!$V$7,Hypothèses!$W$7,IF(U89&lt;=Hypothèses!$V$8,Hypothèses!$W$8,IF(U89&lt;=Hypothèses!$V$9,Hypothèses!$W$9,IF(U89&lt;=Hypothèses!$V$10,Hypothèses!$W$10,IF(U89&lt;=Hypothèses!$V$11,Hypothèses!$W$11,IF(U89&lt;=Hypothèses!$V$12,Hypothèses!$W$12,IF(U89&lt;=Hypothèses!$V$13,Hypothèses!$W$13,IF(U89&lt;=Hypothèses!$V$14,Hypothèses!$W$14,IF(U89&lt;=Hypothèses!$V$15,Hypothèses!$W$15,IF(U89&lt;=Hypothèses!$V$16,Hypothèses!$W$16,IF(U89&lt;=Hypothèses!$V$17,Hypothèses!$W$17,IF(U89&lt;=Hypothèses!$V$18,Hypothèses!$W$18,""))))))))))))</f>
        <v>#DIV/0!</v>
      </c>
      <c r="AP89" s="87" t="e">
        <f t="shared" ca="1" si="217"/>
        <v>#DIV/0!</v>
      </c>
      <c r="AQ89" s="88" t="e">
        <f ca="1">IF(U89&lt;=Hypothèses!$V$7,Hypothèses!$X$7,IF(U89&lt;=Hypothèses!$V$8,Hypothèses!$X$8,IF(U89&lt;=Hypothèses!$V$9,Hypothèses!$X$9,IF(U89&lt;=Hypothèses!$V$10,Hypothèses!$X$10,IF(U89&lt;=Hypothèses!$V$11,Hypothèses!$X$11,IF(U89&lt;=Hypothèses!$V$12,Hypothèses!$X$12,IF(U89&lt;=Hypothèses!$V$13,Hypothèses!$X$13,IF(U89&lt;=Hypothèses!$V$14,Hypothèses!$X$14,IF(U89&lt;=Hypothèses!$V$15,Hypothèses!$X$15,IF(U89&lt;=Hypothèses!$V$16,Hypothèses!$X$16,IF(U89&lt;=Hypothèses!$U$17,Hypothèses!$W$17,IF(U89&lt;=Hypothèses!$U$18,Hypothèses!$W$18,""))))))))))))</f>
        <v>#DIV/0!</v>
      </c>
      <c r="AR89" s="95" t="e">
        <f t="shared" ca="1" si="172"/>
        <v>#DIV/0!</v>
      </c>
      <c r="AS89" s="101">
        <f t="shared" si="224"/>
        <v>0</v>
      </c>
      <c r="AT89" s="91">
        <f t="shared" si="141"/>
        <v>0</v>
      </c>
      <c r="AU89" s="30" t="e">
        <f t="shared" si="202"/>
        <v>#N/A</v>
      </c>
      <c r="AV89" s="30" t="e">
        <f t="shared" si="203"/>
        <v>#N/A</v>
      </c>
      <c r="AW89" s="31" t="e">
        <f>IF(OR(Hypothèses!$B$4=17,Hypothèses!$B$4=18,Hypothèses!$B$4=19,Hypothèses!$B$4=20),
IF($D89="Pressio.",
IF(OR($E89=3,$E89=1,$E89=4),AV89,AU89),
IF($D89="Pénétro.",
IF(OR($E89=3,$E89=1,$E89=4),AV89,AU89))),IF($D89="Pressio.",
IF($E89=3,AV89,AU89),
IF($D89="Pénétro.",
IF($E89=4,AV89,AU89))))</f>
        <v>#N/A</v>
      </c>
      <c r="AX89" s="31">
        <v>0</v>
      </c>
      <c r="AY89" s="102" t="e">
        <f>IF(NDC!$H$10="Oui",(VLOOKUP($B$3,'Coeff EC7'!$T$39:$X$59,2,0)*AW89+VLOOKUP($B$3,'Coeff EC7'!$T$65:$X$85,2,0)*Model0.1T!AX89)/1.5,PI()*AU$12*$Q89*($B89-$B88)*0.15/10+AY88)</f>
        <v>#N/A</v>
      </c>
      <c r="AZ89" s="102" t="e">
        <f>(VLOOKUP($B$3,'Coeff EC7'!$T$39:$X$59,3,0)*AW89+VLOOKUP($B$3,'Coeff EC7'!$T$65:$X$85,3,0)*Model0.1T!AX89)/1.1</f>
        <v>#N/A</v>
      </c>
      <c r="BA89" s="102" t="e">
        <f t="shared" si="173"/>
        <v>#N/A</v>
      </c>
      <c r="BB89" s="102" t="e">
        <f t="shared" si="174"/>
        <v>#N/A</v>
      </c>
      <c r="BC89" s="414" t="e">
        <f>IF(AND(AY89&gt;NDC!$C$63,AZ89&gt;NDC!$C$65,BA89&gt;NDC!$D$73,BB89&gt;NDC!$D$74,$B89&gt;NDC!$H$22-0.1+MIN(3*BC$12,1.5)),0,1)</f>
        <v>#N/A</v>
      </c>
      <c r="BD89" s="86" t="b">
        <f t="shared" si="142"/>
        <v>0</v>
      </c>
      <c r="BE89" s="86">
        <f t="shared" si="175"/>
        <v>0.5</v>
      </c>
      <c r="BF89" s="86">
        <f t="shared" si="143"/>
        <v>0.5</v>
      </c>
      <c r="BG89" s="30" t="e">
        <f t="shared" ca="1" si="176"/>
        <v>#DIV/0!</v>
      </c>
      <c r="BH89" s="85" t="e">
        <f ca="1">IF(AN89&lt;=Hypothèses!$V$7,Hypothèses!$W$7,IF(AN89&lt;=Hypothèses!$V$8,Hypothèses!$W$8,IF(AN89&lt;=Hypothèses!$V$9,Hypothèses!$W$9,IF(AN89&lt;=Hypothèses!$V$10,Hypothèses!$W$10,IF(AN89&lt;=Hypothèses!$V$11,Hypothèses!$W$11,IF(AN89&lt;=Hypothèses!$V$12,Hypothèses!$W$12,IF(AN89&lt;=Hypothèses!$V$13,Hypothèses!$W$13,IF(AN89&lt;=Hypothèses!$V$14,Hypothèses!$W$14,IF(AN89&lt;=Hypothèses!$V$15,Hypothèses!$W$15,IF(AN89&lt;=Hypothèses!$V$16,Hypothèses!$W$16,IF(AN89&lt;=Hypothèses!$V$17,Hypothèses!$W$17,IF(AN89&lt;=Hypothèses!$V$18,Hypothèses!$W$18,""))))))))))))</f>
        <v>#DIV/0!</v>
      </c>
      <c r="BI89" s="87" t="e">
        <f t="shared" ca="1" si="218"/>
        <v>#DIV/0!</v>
      </c>
      <c r="BJ89" s="88" t="e">
        <f ca="1">IF(AN89&lt;=Hypothèses!$V$7,Hypothèses!$X$7,IF(AN89&lt;=Hypothèses!$V$8,Hypothèses!$X$8,IF(AN89&lt;=Hypothèses!$V$9,Hypothèses!$X$9,IF(AN89&lt;=Hypothèses!$V$10,Hypothèses!$X$10,IF(AN89&lt;=Hypothèses!$V$11,Hypothèses!$X$11,IF(AN89&lt;=Hypothèses!$V$12,Hypothèses!$X$12,IF(AN89&lt;=Hypothèses!$V$13,Hypothèses!$X$13,IF(AN89&lt;=Hypothèses!$V$14,Hypothèses!$X$14,IF(AN89&lt;=Hypothèses!$V$15,Hypothèses!$X$15,IF(AN89&lt;=Hypothèses!$V$16,Hypothèses!$X$16,IF(AN89&lt;=Hypothèses!$U$17,Hypothèses!$W$17,IF(AN89&lt;=Hypothèses!$U$18,Hypothèses!$W$18,""))))))))))))</f>
        <v>#DIV/0!</v>
      </c>
      <c r="BK89" s="95" t="e">
        <f t="shared" ca="1" si="177"/>
        <v>#DIV/0!</v>
      </c>
      <c r="BL89" s="101">
        <f t="shared" si="225"/>
        <v>0</v>
      </c>
      <c r="BM89" s="91">
        <f t="shared" si="144"/>
        <v>0</v>
      </c>
      <c r="BN89" s="30" t="e">
        <f t="shared" si="204"/>
        <v>#N/A</v>
      </c>
      <c r="BO89" s="30" t="e">
        <f t="shared" si="205"/>
        <v>#N/A</v>
      </c>
      <c r="BP89" s="31" t="e">
        <f>IF(OR(Hypothèses!$B$4=17,Hypothèses!$B$4=18,Hypothèses!$B$4=19,Hypothèses!$B$4=20),
IF($D89="Pressio.",
IF(OR($E89=3,$E89=1,$E89=4),BO89,BN89),
IF($D89="Pénétro.",
IF(OR($E89=3,$E89=1,$E89=4),BO89,BN89))),IF($D89="Pressio.",
IF($E89=3,BO89,BN89),
IF($D89="Pénétro.",
IF($E89=4,BO89,BN89))))</f>
        <v>#N/A</v>
      </c>
      <c r="BQ89" s="31">
        <v>0</v>
      </c>
      <c r="BR89" s="102" t="e">
        <f>IF(NDC!$H$10="Oui",(VLOOKUP($B$3,'Coeff EC7'!$T$39:$X$59,2,0)*BP89+VLOOKUP($B$3,'Coeff EC7'!$T$65:$X$85,2,0)*Model0.1T!BQ89)/1.5,PI()*BN$12*$Q89*($B89-$B88)*0.15/10+BR88)</f>
        <v>#N/A</v>
      </c>
      <c r="BS89" s="102" t="e">
        <f>(VLOOKUP($B$3,'Coeff EC7'!$T$39:$X$59,3,0)*BP89+VLOOKUP($B$3,'Coeff EC7'!$T$65:$X$85,3,0)*Model0.1T!BQ89)/1.1</f>
        <v>#N/A</v>
      </c>
      <c r="BT89" s="102" t="e">
        <f t="shared" si="178"/>
        <v>#N/A</v>
      </c>
      <c r="BU89" s="102" t="e">
        <f t="shared" si="179"/>
        <v>#N/A</v>
      </c>
      <c r="BV89" s="414" t="e">
        <f>IF(AND(BR89&gt;NDC!$C$63,BS89&gt;NDC!$C$65,BT89&gt;NDC!$D$73,BU89&gt;NDC!$D$74,$B89&gt;NDC!$H$22-0.1+MIN(3*BV$12,1.5)),0,1)</f>
        <v>#N/A</v>
      </c>
      <c r="BW89" s="86" t="b">
        <f t="shared" si="145"/>
        <v>0</v>
      </c>
      <c r="BX89" s="86">
        <f t="shared" si="146"/>
        <v>0.5</v>
      </c>
      <c r="BY89" s="86">
        <f t="shared" si="147"/>
        <v>0.5</v>
      </c>
      <c r="BZ89" s="30" t="e">
        <f t="shared" ca="1" si="180"/>
        <v>#DIV/0!</v>
      </c>
      <c r="CA89" s="85" t="e">
        <f ca="1">IF(BG89&lt;=Hypothèses!$V$7,Hypothèses!$W$7,IF(BG89&lt;=Hypothèses!$V$8,Hypothèses!$W$8,IF(BG89&lt;=Hypothèses!$V$9,Hypothèses!$W$9,IF(BG89&lt;=Hypothèses!$V$10,Hypothèses!$W$10,IF(BG89&lt;=Hypothèses!$V$11,Hypothèses!$W$11,IF(BG89&lt;=Hypothèses!$V$12,Hypothèses!$W$12,IF(BG89&lt;=Hypothèses!$V$13,Hypothèses!$W$13,IF(BG89&lt;=Hypothèses!$V$14,Hypothèses!$W$14,IF(BG89&lt;=Hypothèses!$V$15,Hypothèses!$W$15,IF(BG89&lt;=Hypothèses!$V$16,Hypothèses!$W$16,IF(BG89&lt;=Hypothèses!$V$17,Hypothèses!$W$17,IF(BG89&lt;=Hypothèses!$V$18,Hypothèses!$W$18,""))))))))))))</f>
        <v>#DIV/0!</v>
      </c>
      <c r="CB89" s="87" t="e">
        <f t="shared" ca="1" si="219"/>
        <v>#DIV/0!</v>
      </c>
      <c r="CC89" s="88" t="e">
        <f ca="1">IF(BG89&lt;=Hypothèses!$V$7,Hypothèses!$X$7,IF(BG89&lt;=Hypothèses!$V$8,Hypothèses!$X$8,IF(BG89&lt;=Hypothèses!$V$9,Hypothèses!$X$9,IF(BG89&lt;=Hypothèses!$V$10,Hypothèses!$X$10,IF(BG89&lt;=Hypothèses!$V$11,Hypothèses!$X$11,IF(BG89&lt;=Hypothèses!$V$12,Hypothèses!$X$12,IF(BG89&lt;=Hypothèses!$V$13,Hypothèses!$X$13,IF(BG89&lt;=Hypothèses!$V$14,Hypothèses!$X$14,IF(BG89&lt;=Hypothèses!$V$15,Hypothèses!$X$15,IF(BG89&lt;=Hypothèses!$V$16,Hypothèses!$X$16,IF(BG89&lt;=Hypothèses!$U$17,Hypothèses!$W$17,IF(BG89&lt;=Hypothèses!$U$18,Hypothèses!$W$18,""))))))))))))</f>
        <v>#DIV/0!</v>
      </c>
      <c r="CD89" s="95" t="e">
        <f t="shared" ca="1" si="181"/>
        <v>#DIV/0!</v>
      </c>
      <c r="CE89" s="101">
        <f t="shared" si="226"/>
        <v>0</v>
      </c>
      <c r="CF89" s="91">
        <f t="shared" si="148"/>
        <v>0</v>
      </c>
      <c r="CG89" s="30" t="e">
        <f t="shared" si="206"/>
        <v>#N/A</v>
      </c>
      <c r="CH89" s="30" t="e">
        <f t="shared" si="207"/>
        <v>#N/A</v>
      </c>
      <c r="CI89" s="31" t="e">
        <f>IF(OR(Hypothèses!$B$4=17,Hypothèses!$B$4=18,Hypothèses!$B$4=19,Hypothèses!$B$4=20),
IF($D89="Pressio.",
IF(OR($E89=3,$E89=1,$E89=4),CH89,CG89),
IF($D89="Pénétro.",
IF(OR($E89=3,$E89=1,$E89=4),CH89,CG89))),IF($D89="Pressio.",
IF($E89=3,CH89,CG89),
IF($D89="Pénétro.",
IF($E89=4,CH89,CG89))))</f>
        <v>#N/A</v>
      </c>
      <c r="CJ89" s="31">
        <v>0</v>
      </c>
      <c r="CK89" s="102" t="e">
        <f>IF(NDC!$H$10="Oui",(VLOOKUP($B$3,'Coeff EC7'!$T$39:$X$59,2,0)*CI89+VLOOKUP($B$3,'Coeff EC7'!$T$65:$X$85,2,0)*Model0.1T!CJ89)/1.5,PI()*CG$12*$Q89*($B89-$B88)*0.15/10+CK88)</f>
        <v>#N/A</v>
      </c>
      <c r="CL89" s="102" t="e">
        <f>(VLOOKUP($B$3,'Coeff EC7'!$T$39:$X$59,3,0)*CI89+VLOOKUP($B$3,'Coeff EC7'!$T$65:$X$85,3,0)*Model0.1T!CJ89)/1.1</f>
        <v>#N/A</v>
      </c>
      <c r="CM89" s="102" t="e">
        <f t="shared" si="182"/>
        <v>#N/A</v>
      </c>
      <c r="CN89" s="102" t="e">
        <f t="shared" si="183"/>
        <v>#N/A</v>
      </c>
      <c r="CO89" s="414" t="e">
        <f>IF(AND(CK89&gt;NDC!$C$63,CL89&gt;NDC!$C$65,CM89&gt;NDC!$D$73,CN89&gt;NDC!$D$74,$B89&gt;NDC!$H$22-0.1+MIN(3*CO$12,1.5)),0,1)</f>
        <v>#N/A</v>
      </c>
      <c r="CP89" s="86" t="b">
        <f t="shared" si="149"/>
        <v>0</v>
      </c>
      <c r="CQ89" s="86">
        <f t="shared" si="150"/>
        <v>0.5</v>
      </c>
      <c r="CR89" s="86">
        <f t="shared" si="151"/>
        <v>0.5</v>
      </c>
      <c r="CS89" s="30" t="e">
        <f t="shared" ca="1" si="184"/>
        <v>#DIV/0!</v>
      </c>
      <c r="CT89" s="85" t="e">
        <f ca="1">IF(BZ89&lt;=Hypothèses!$V$7,Hypothèses!$W$7,IF(BZ89&lt;=Hypothèses!$V$8,Hypothèses!$W$8,IF(BZ89&lt;=Hypothèses!$V$9,Hypothèses!$W$9,IF(BZ89&lt;=Hypothèses!$V$10,Hypothèses!$W$10,IF(BZ89&lt;=Hypothèses!$V$11,Hypothèses!$W$11,IF(BZ89&lt;=Hypothèses!$V$12,Hypothèses!$W$12,IF(BZ89&lt;=Hypothèses!$V$13,Hypothèses!$W$13,IF(BZ89&lt;=Hypothèses!$V$14,Hypothèses!$W$14,IF(BZ89&lt;=Hypothèses!$V$15,Hypothèses!$W$15,IF(BZ89&lt;=Hypothèses!$V$16,Hypothèses!$W$16,IF(BZ89&lt;=Hypothèses!$V$17,Hypothèses!$W$17,IF(BZ89&lt;=Hypothèses!$V$18,Hypothèses!$W$18,""))))))))))))</f>
        <v>#DIV/0!</v>
      </c>
      <c r="CU89" s="87" t="e">
        <f t="shared" ca="1" si="220"/>
        <v>#DIV/0!</v>
      </c>
      <c r="CV89" s="88" t="e">
        <f ca="1">IF(BZ89&lt;=Hypothèses!$V$7,Hypothèses!$X$7,IF(BZ89&lt;=Hypothèses!$V$8,Hypothèses!$X$8,IF(BZ89&lt;=Hypothèses!$V$9,Hypothèses!$X$9,IF(BZ89&lt;=Hypothèses!$V$10,Hypothèses!$X$10,IF(BZ89&lt;=Hypothèses!$V$11,Hypothèses!$X$11,IF(BZ89&lt;=Hypothèses!$V$12,Hypothèses!$X$12,IF(BZ89&lt;=Hypothèses!$V$13,Hypothèses!$X$13,IF(BZ89&lt;=Hypothèses!$V$14,Hypothèses!$X$14,IF(BZ89&lt;=Hypothèses!$V$15,Hypothèses!$X$15,IF(BZ89&lt;=Hypothèses!$V$16,Hypothèses!$X$16,IF(BZ89&lt;=Hypothèses!$U$17,Hypothèses!$W$17,IF(BZ89&lt;=Hypothèses!$U$18,Hypothèses!$W$18,""))))))))))))</f>
        <v>#DIV/0!</v>
      </c>
      <c r="CW89" s="95" t="e">
        <f t="shared" ca="1" si="185"/>
        <v>#DIV/0!</v>
      </c>
      <c r="CX89" s="101">
        <f t="shared" si="227"/>
        <v>0</v>
      </c>
      <c r="CY89" s="91">
        <f t="shared" si="152"/>
        <v>0</v>
      </c>
      <c r="CZ89" s="30" t="e">
        <f t="shared" si="208"/>
        <v>#N/A</v>
      </c>
      <c r="DA89" s="30" t="e">
        <f t="shared" si="209"/>
        <v>#N/A</v>
      </c>
      <c r="DB89" s="31" t="e">
        <f>IF(OR(Hypothèses!$B$4=17,Hypothèses!$B$4=18,Hypothèses!$B$4=19,Hypothèses!$B$4=20),
IF($D89="Pressio.",
IF(OR($E89=3,$E89=1,$E89=4),DA89,CZ89),
IF($D89="Pénétro.",
IF(OR($E89=3,$E89=1,$E89=4),DA89,CZ89))),IF($D89="Pressio.",
IF($E89=3,DA89,CZ89),
IF($D89="Pénétro.",
IF($E89=4,DA89,CZ89))))</f>
        <v>#N/A</v>
      </c>
      <c r="DC89" s="31">
        <v>0</v>
      </c>
      <c r="DD89" s="102" t="e">
        <f>IF(NDC!$H$10="Oui",(VLOOKUP($B$3,'Coeff EC7'!$T$39:$X$59,2,0)*DB89+VLOOKUP($B$3,'Coeff EC7'!$T$65:$X$85,2,0)*Model0.1T!DC89)/1.5,PI()*CZ$12*$Q89*($B89-$B88)*0.15/10+DD88)</f>
        <v>#N/A</v>
      </c>
      <c r="DE89" s="102" t="e">
        <f>(VLOOKUP($B$3,'Coeff EC7'!$T$39:$X$59,3,0)*DB89+VLOOKUP($B$3,'Coeff EC7'!$T$65:$X$85,3,0)*Model0.1T!DC89)/1.1</f>
        <v>#N/A</v>
      </c>
      <c r="DF89" s="102" t="e">
        <f t="shared" si="186"/>
        <v>#N/A</v>
      </c>
      <c r="DG89" s="102" t="e">
        <f t="shared" si="187"/>
        <v>#N/A</v>
      </c>
      <c r="DH89" s="414" t="e">
        <f>IF(AND(DD89&gt;NDC!$C$63,DE89&gt;NDC!$C$65,DF89&gt;NDC!$D$73,DG89&gt;NDC!$D$74,$B89&gt;NDC!$H$22-0.1+MIN(3*DH$12,1.5)),0,1)</f>
        <v>#N/A</v>
      </c>
      <c r="DI89" s="86" t="b">
        <f t="shared" si="153"/>
        <v>0</v>
      </c>
      <c r="DJ89" s="86">
        <f t="shared" si="154"/>
        <v>0.5</v>
      </c>
      <c r="DK89" s="86">
        <f t="shared" si="155"/>
        <v>0.5</v>
      </c>
      <c r="DL89" s="30" t="e">
        <f t="shared" ca="1" si="188"/>
        <v>#DIV/0!</v>
      </c>
      <c r="DM89" s="85" t="e">
        <f ca="1">IF(CS89&lt;=Hypothèses!$V$7,Hypothèses!$W$7,IF(CS89&lt;=Hypothèses!$V$8,Hypothèses!$W$8,IF(CS89&lt;=Hypothèses!$V$9,Hypothèses!$W$9,IF(CS89&lt;=Hypothèses!$V$10,Hypothèses!$W$10,IF(CS89&lt;=Hypothèses!$V$11,Hypothèses!$W$11,IF(CS89&lt;=Hypothèses!$V$12,Hypothèses!$W$12,IF(CS89&lt;=Hypothèses!$V$13,Hypothèses!$W$13,IF(CS89&lt;=Hypothèses!$V$14,Hypothèses!$W$14,IF(CS89&lt;=Hypothèses!$V$15,Hypothèses!$W$15,IF(CS89&lt;=Hypothèses!$V$16,Hypothèses!$W$16,IF(CS89&lt;=Hypothèses!$V$17,Hypothèses!$W$17,IF(CS89&lt;=Hypothèses!$V$18,Hypothèses!$W$18,""))))))))))))</f>
        <v>#DIV/0!</v>
      </c>
      <c r="DN89" s="87" t="e">
        <f t="shared" ca="1" si="221"/>
        <v>#DIV/0!</v>
      </c>
      <c r="DO89" s="88" t="e">
        <f ca="1">IF(CS89&lt;=Hypothèses!$V$7,Hypothèses!$X$7,IF(CS89&lt;=Hypothèses!$V$8,Hypothèses!$X$8,IF(CS89&lt;=Hypothèses!$V$9,Hypothèses!$X$9,IF(CS89&lt;=Hypothèses!$V$10,Hypothèses!$X$10,IF(CS89&lt;=Hypothèses!$V$11,Hypothèses!$X$11,IF(CS89&lt;=Hypothèses!$V$12,Hypothèses!$X$12,IF(CS89&lt;=Hypothèses!$V$13,Hypothèses!$X$13,IF(CS89&lt;=Hypothèses!$V$14,Hypothèses!$X$14,IF(CS89&lt;=Hypothèses!$V$15,Hypothèses!$X$15,IF(CS89&lt;=Hypothèses!$V$16,Hypothèses!$X$16,IF(CS89&lt;=Hypothèses!$U$17,Hypothèses!$W$17,IF(CS89&lt;=Hypothèses!$U$18,Hypothèses!$W$18,""))))))))))))</f>
        <v>#DIV/0!</v>
      </c>
      <c r="DP89" s="95" t="e">
        <f t="shared" ca="1" si="189"/>
        <v>#DIV/0!</v>
      </c>
      <c r="DQ89" s="101">
        <f t="shared" si="228"/>
        <v>0</v>
      </c>
      <c r="DR89" s="91">
        <f t="shared" si="156"/>
        <v>0</v>
      </c>
      <c r="DS89" s="30" t="e">
        <f t="shared" si="210"/>
        <v>#N/A</v>
      </c>
      <c r="DT89" s="30" t="e">
        <f t="shared" si="211"/>
        <v>#N/A</v>
      </c>
      <c r="DU89" s="31" t="e">
        <f>IF(OR(Hypothèses!$B$4=17,Hypothèses!$B$4=18,Hypothèses!$B$4=19,Hypothèses!$B$4=20),
IF($D89="Pressio.",
IF(OR($E89=3,$E89=1,$E89=4),DT89,DS89),
IF($D89="Pénétro.",
IF(OR($E89=3,$E89=1,$E89=4),DT89,DS89))),IF($D89="Pressio.",
IF($E89=3,DT89,DS89),
IF($D89="Pénétro.",
IF($E89=4,DT89,DS89))))</f>
        <v>#N/A</v>
      </c>
      <c r="DV89" s="31">
        <v>0</v>
      </c>
      <c r="DW89" s="102" t="e">
        <f>IF(NDC!$H$10="Oui",(VLOOKUP($B$3,'Coeff EC7'!$T$39:$X$59,2,0)*DU89+VLOOKUP($B$3,'Coeff EC7'!$T$65:$X$85,2,0)*Model0.1T!DV89)/1.5,PI()*DS$12*$Q89*($B89-$B88)*0.15/10+DW88)</f>
        <v>#N/A</v>
      </c>
      <c r="DX89" s="102" t="e">
        <f>(VLOOKUP($B$3,'Coeff EC7'!$T$39:$X$59,3,0)*DU89+VLOOKUP($B$3,'Coeff EC7'!$T$65:$X$85,3,0)*Model0.1T!DV89)/1.1</f>
        <v>#N/A</v>
      </c>
      <c r="DY89" s="102" t="e">
        <f t="shared" si="190"/>
        <v>#N/A</v>
      </c>
      <c r="DZ89" s="102" t="e">
        <f t="shared" si="191"/>
        <v>#N/A</v>
      </c>
      <c r="EA89" s="414" t="e">
        <f>IF(AND(DW89&gt;NDC!$C$63,DX89&gt;NDC!$C$65,DY89&gt;NDC!$D$73,DZ89&gt;NDC!$D$74,$B89&gt;NDC!$H$22-0.1+MIN(3*EA$12,1.5)),0,1)</f>
        <v>#N/A</v>
      </c>
      <c r="EB89" s="86" t="b">
        <f t="shared" si="157"/>
        <v>0</v>
      </c>
      <c r="EC89" s="418">
        <f t="shared" si="158"/>
        <v>0.51</v>
      </c>
      <c r="ED89" s="86">
        <f t="shared" si="159"/>
        <v>0.51</v>
      </c>
      <c r="EE89" s="30" t="e">
        <f t="shared" ca="1" si="192"/>
        <v>#DIV/0!</v>
      </c>
      <c r="EF89" s="85" t="e">
        <f ca="1">IF(DL89&lt;=Hypothèses!$V$7,Hypothèses!$W$7,IF(DL89&lt;=Hypothèses!$V$8,Hypothèses!$W$8,IF(DL89&lt;=Hypothèses!$V$9,Hypothèses!$W$9,IF(DL89&lt;=Hypothèses!$V$10,Hypothèses!$W$10,IF(DL89&lt;=Hypothèses!$V$11,Hypothèses!$W$11,IF(DL89&lt;=Hypothèses!$V$12,Hypothèses!$W$12,IF(DL89&lt;=Hypothèses!$V$13,Hypothèses!$W$13,IF(DL89&lt;=Hypothèses!$V$14,Hypothèses!$W$14,IF(DL89&lt;=Hypothèses!$V$15,Hypothèses!$W$15,IF(DL89&lt;=Hypothèses!$V$16,Hypothèses!$W$16,IF(DL89&lt;=Hypothèses!$V$17,Hypothèses!$W$17,IF(DL89&lt;=Hypothèses!$V$18,Hypothèses!$W$18,""))))))))))))</f>
        <v>#DIV/0!</v>
      </c>
      <c r="EG89" s="87" t="e">
        <f t="shared" ca="1" si="222"/>
        <v>#DIV/0!</v>
      </c>
      <c r="EH89" s="88" t="e">
        <f ca="1">IF(DL89&lt;=Hypothèses!$V$7,Hypothèses!$X$7,IF(DL89&lt;=Hypothèses!$V$8,Hypothèses!$X$8,IF(DL89&lt;=Hypothèses!$V$9,Hypothèses!$X$9,IF(DL89&lt;=Hypothèses!$V$10,Hypothèses!$X$10,IF(DL89&lt;=Hypothèses!$V$11,Hypothèses!$X$11,IF(DL89&lt;=Hypothèses!$V$12,Hypothèses!$X$12,IF(DL89&lt;=Hypothèses!$V$13,Hypothèses!$X$13,IF(DL89&lt;=Hypothèses!$V$14,Hypothèses!$X$14,IF(DL89&lt;=Hypothèses!$V$15,Hypothèses!$X$15,IF(DL89&lt;=Hypothèses!$V$16,Hypothèses!$X$16,IF(DL89&lt;=Hypothèses!$U$17,Hypothèses!$W$17,IF(DL89&lt;=Hypothèses!$U$18,Hypothèses!$W$18,""))))))))))))</f>
        <v>#DIV/0!</v>
      </c>
      <c r="EI89" s="95" t="e">
        <f t="shared" ca="1" si="193"/>
        <v>#DIV/0!</v>
      </c>
      <c r="EJ89" s="101">
        <f t="shared" si="229"/>
        <v>0</v>
      </c>
      <c r="EK89" s="91">
        <f t="shared" si="160"/>
        <v>0</v>
      </c>
      <c r="EL89" s="30" t="e">
        <f t="shared" si="212"/>
        <v>#N/A</v>
      </c>
      <c r="EM89" s="30" t="e">
        <f t="shared" si="213"/>
        <v>#N/A</v>
      </c>
      <c r="EN89" s="31" t="e">
        <f>IF(OR(Hypothèses!$B$4=17,Hypothèses!$B$4=18,Hypothèses!$B$4=19,Hypothèses!$B$4=20),
IF($D89="Pressio.",
IF(OR($E89=3,$E89=1,$E89=4),EM89,EL89),
IF($D89="Pénétro.",
IF(OR($E89=3,$E89=1,$E89=4),EM89,EL89))),IF($D89="Pressio.",
IF($E89=3,EM89,EL89),
IF($D89="Pénétro.",
IF($E89=4,EM89,EL89))))</f>
        <v>#N/A</v>
      </c>
      <c r="EO89" s="31">
        <v>0</v>
      </c>
      <c r="EP89" s="102" t="e">
        <f>IF(NDC!$H$10="Oui",(VLOOKUP($B$3,'Coeff EC7'!$T$39:$X$59,2,0)*EN89+VLOOKUP($B$3,'Coeff EC7'!$T$65:$X$85,2,0)*Model0.1T!EO89)/1.5,PI()*EL$12*$Q89*($B89-$B88)*0.15/10+EP88)</f>
        <v>#N/A</v>
      </c>
      <c r="EQ89" s="102" t="e">
        <f>(VLOOKUP($B$3,'Coeff EC7'!$T$39:$X$59,3,0)*EN89+VLOOKUP($B$3,'Coeff EC7'!$T$65:$X$85,3,0)*Model0.1T!EO89)/1.1</f>
        <v>#N/A</v>
      </c>
      <c r="ER89" s="102" t="e">
        <f t="shared" si="194"/>
        <v>#N/A</v>
      </c>
      <c r="ES89" s="102" t="e">
        <f t="shared" si="195"/>
        <v>#N/A</v>
      </c>
      <c r="ET89" s="414" t="e">
        <f>IF(AND(EP89&gt;NDC!$C$63,EQ89&gt;NDC!$C$65,ER89&gt;NDC!$D$73,ES89&gt;NDC!$D$74,$B89&gt;NDC!$H$22-0.1+MIN(3*ET$12,1.5)),0,1)</f>
        <v>#N/A</v>
      </c>
      <c r="EU89" s="86" t="b">
        <f t="shared" si="161"/>
        <v>0</v>
      </c>
      <c r="EV89" s="86">
        <f t="shared" si="162"/>
        <v>0.61</v>
      </c>
      <c r="EW89" s="86">
        <f t="shared" si="163"/>
        <v>0.61</v>
      </c>
      <c r="EX89" s="30" t="e">
        <f t="shared" ca="1" si="196"/>
        <v>#DIV/0!</v>
      </c>
      <c r="EY89" s="85" t="e">
        <f ca="1">IF(EE89&lt;=Hypothèses!$V$7,Hypothèses!$W$7,IF(EE89&lt;=Hypothèses!$V$8,Hypothèses!$W$8,IF(EE89&lt;=Hypothèses!$V$9,Hypothèses!$W$9,IF(EE89&lt;=Hypothèses!$V$10,Hypothèses!$W$10,IF(EE89&lt;=Hypothèses!$V$11,Hypothèses!$W$11,IF(EE89&lt;=Hypothèses!$V$12,Hypothèses!$W$12,IF(EE89&lt;=Hypothèses!$V$13,Hypothèses!$W$13,IF(EE89&lt;=Hypothèses!$V$14,Hypothèses!$W$14,IF(EE89&lt;=Hypothèses!$V$15,Hypothèses!$W$15,IF(EE89&lt;=Hypothèses!$V$16,Hypothèses!$W$16,IF(EE89&lt;=Hypothèses!$V$17,Hypothèses!$W$17,IF(EE89&lt;=Hypothèses!$V$18,Hypothèses!$W$18,""))))))))))))</f>
        <v>#DIV/0!</v>
      </c>
      <c r="EZ89" s="87" t="e">
        <f t="shared" ca="1" si="223"/>
        <v>#DIV/0!</v>
      </c>
      <c r="FA89" s="88" t="e">
        <f ca="1">IF(EE89&lt;=Hypothèses!$V$7,Hypothèses!$X$7,IF(EE89&lt;=Hypothèses!$V$8,Hypothèses!$X$8,IF(EE89&lt;=Hypothèses!$V$9,Hypothèses!$X$9,IF(EE89&lt;=Hypothèses!$V$10,Hypothèses!$X$10,IF(EE89&lt;=Hypothèses!$V$11,Hypothèses!$X$11,IF(EE89&lt;=Hypothèses!$V$12,Hypothèses!$X$12,IF(EE89&lt;=Hypothèses!$V$13,Hypothèses!$X$13,IF(EE89&lt;=Hypothèses!$V$14,Hypothèses!$X$14,IF(EE89&lt;=Hypothèses!$V$15,Hypothèses!$X$15,IF(EE89&lt;=Hypothèses!$V$16,Hypothèses!$X$16,IF(EE89&lt;=Hypothèses!$U$17,Hypothèses!$W$17,IF(EE89&lt;=Hypothèses!$U$18,Hypothèses!$W$18,""))))))))))))</f>
        <v>#DIV/0!</v>
      </c>
      <c r="FB89" s="95" t="e">
        <f t="shared" ca="1" si="197"/>
        <v>#DIV/0!</v>
      </c>
      <c r="FC89" s="101">
        <f t="shared" si="230"/>
        <v>0</v>
      </c>
      <c r="FD89" s="91">
        <f t="shared" si="164"/>
        <v>0</v>
      </c>
      <c r="FE89" s="30" t="e">
        <f t="shared" si="214"/>
        <v>#N/A</v>
      </c>
      <c r="FF89" s="30" t="e">
        <f t="shared" si="215"/>
        <v>#N/A</v>
      </c>
      <c r="FG89" s="31" t="e">
        <f>IF(OR(Hypothèses!$B$4=17,Hypothèses!$B$4=18,Hypothèses!$B$4=19,Hypothèses!$B$4=20),
IF($D89="Pressio.",
IF(OR($E89=3,$E89=1,$E89=4),FF89,FE89),
IF($D89="Pénétro.",
IF(OR($E89=3,$E89=1,$E89=4),FF89,FE89))),IF($D89="Pressio.",
IF($E89=3,FF89,FE89),
IF($D89="Pénétro.",
IF($E89=4,FF89,FE89))))</f>
        <v>#N/A</v>
      </c>
      <c r="FH89" s="31">
        <v>0</v>
      </c>
      <c r="FI89" s="102" t="e">
        <f>IF(NDC!$H$10="Oui",(VLOOKUP($B$3,'Coeff EC7'!$T$39:$X$59,2,0)*FG89+VLOOKUP($B$3,'Coeff EC7'!$T$65:$X$85,2,0)*Model0.1T!FH89)/1.5,PI()*FE$12*$Q89*($B89-$B88)*0.15/10+FI88)</f>
        <v>#N/A</v>
      </c>
      <c r="FJ89" s="102" t="e">
        <f>(VLOOKUP($B$3,'Coeff EC7'!$T$39:$X$59,3,0)*FG89+VLOOKUP($B$3,'Coeff EC7'!$T$65:$X$85,3,0)*Model0.1T!FH89)/1.1</f>
        <v>#N/A</v>
      </c>
      <c r="FK89" s="102" t="e">
        <f t="shared" si="198"/>
        <v>#N/A</v>
      </c>
      <c r="FL89" s="102" t="e">
        <f t="shared" si="199"/>
        <v>#N/A</v>
      </c>
      <c r="FM89" s="414" t="e">
        <f>IF(AND(FI89&gt;NDC!$C$63,FJ89&gt;NDC!$C$65,FK89&gt;NDC!$D$73,FL89&gt;NDC!$D$74,$B89&gt;NDC!$H$22-0.1+MIN(3*FM$12,1.5)),0,1)</f>
        <v>#N/A</v>
      </c>
    </row>
    <row r="90" spans="1:169">
      <c r="A90" s="96">
        <f t="shared" si="165"/>
        <v>92.300000000000438</v>
      </c>
      <c r="B90" s="97">
        <v>7.7</v>
      </c>
      <c r="C90" s="81">
        <f>IF(B90&lt;=Hypothèses!$C$7,Hypothèses!$A$7,IF(B90&lt;=Hypothèses!$C$8,Hypothèses!$A$8,IF(B90&lt;=Hypothèses!$C$9,Hypothèses!$A$9,IF(B90&lt;=Hypothèses!$C$10,Hypothèses!$A$10,IF(B90&lt;=Hypothèses!$C$11,Hypothèses!$A$11,IF(B90&lt;=Hypothèses!$C$12,Hypothèses!$A$12,IF(B90&lt;=Hypothèses!$C$13,Hypothèses!$A$13,IF(B90&lt;=Hypothèses!$C$14,Hypothèses!$A$14,IF(B90&lt;=Hypothèses!$C$15,Hypothèses!$A$15,IF(B90&lt;=Hypothèses!$C$16,Hypothèses!$A$16,IF(B90&lt;=Hypothèses!$C$17,Hypothèses!$A$17,IF(B90&lt;=Hypothèses!$C$18,Hypothèses!$A$18,C89))))))))))))</f>
        <v>11</v>
      </c>
      <c r="D90" s="82" t="str">
        <f>IF(B90&lt;=Hypothèses!$C$7,Hypothèses!$R$7,IF(B90&lt;=Hypothèses!$C$8,Hypothèses!$R$8,IF(B90&lt;=Hypothèses!$C$9,Hypothèses!$R$9,IF(B90&lt;=Hypothèses!$C$10,Hypothèses!$R$10,IF(B90&lt;=Hypothèses!$C$11,Hypothèses!$R$11,IF(B90&lt;=Hypothèses!$C$12,Hypothèses!$R$12,IF(B90&lt;=Hypothèses!$C$13,Hypothèses!$R$13,IF(B90&lt;=Hypothèses!$C$14,Hypothèses!$R$14,IF(B90&lt;=Hypothèses!$C$15,Hypothèses!$R$15,IF(B90&lt;=Hypothèses!$C$16,Hypothèses!$R$16,IF(B90&lt;=Hypothèses!$C$17,Hypothèses!$R$17,IF(B90&lt;=Hypothèses!$C$18,Hypothèses!$R$18,D89))))))))))))</f>
        <v>Pressio.</v>
      </c>
      <c r="E90" s="82" t="e">
        <f>IF(B90&lt;=Hypothèses!$C$7,Hypothèses!$G$7,IF(B90&lt;=Hypothèses!$C$8,Hypothèses!$G$8,IF(B90&lt;=Hypothèses!$C$9,Hypothèses!$G$9,IF(B90&lt;=Hypothèses!$C$10,Hypothèses!$G$10,IF(B90&lt;=Hypothèses!$C$11,Hypothèses!$G$11,IF(B90&lt;=Hypothèses!$C$12,Hypothèses!$G$12,IF(B90&lt;=Hypothèses!$C$13,Hypothèses!$G$13,IF(B90&lt;=Hypothèses!$C$14,Hypothèses!$G$14,IF(B90&lt;=Hypothèses!$C$15,Hypothèses!$G$15,IF(B90&lt;=Hypothèses!$C$16,Hypothèses!$G$16,IF(B90&lt;=Hypothèses!$C$17,Hypothèses!$G$17,IF(B90&lt;=Hypothèses!$C$18,Hypothèses!$G$18,E89))))))))))))</f>
        <v>#N/A</v>
      </c>
      <c r="F90" s="82" t="str">
        <f>IF(B90&lt;=Hypothèses!$C$7,Hypothèses!$F$7,IF(B90&lt;=Hypothèses!$C$8,Hypothèses!$F$8,IF(B90&lt;=Hypothèses!$C$9,Hypothèses!$F$9,IF(B90&lt;=Hypothèses!$C$10,Hypothèses!$F$10,IF(B90&lt;=Hypothèses!$C$11,Hypothèses!$F$11,IF(B90&lt;=Hypothèses!$C$12,Hypothèses!$F$12,IF(B90&lt;=Hypothèses!$C$13,Hypothèses!$F$13,IF(B90&lt;=Hypothèses!$C$14,Hypothèses!$F$14,IF(B90&lt;=Hypothèses!$C$15,Hypothèses!$F$15,IF(B90&lt;=Hypothèses!$C$16,Hypothèses!$F$16,IF(B90&lt;=Hypothèses!$C$17,Hypothèses!$F$17,IF(B90&lt;=Hypothèses!$C$18,Hypothèses!$F$18,F89))))))))))))</f>
        <v/>
      </c>
      <c r="G90" s="91">
        <f t="array" ref="G90">INDEX('Coeff EC7'!$U$7:$X$27,
MATCH(Model0.1T!$B$3,'Coeff EC7'!$T$7:$T$27,0),
MATCH(Model0.1T!$D90&amp;Model0.1T!$B$4,
'Coeff EC7'!$U$6:$X$6&amp;
'Coeff EC7'!$U$5:$X$5,0))</f>
        <v>1.4</v>
      </c>
      <c r="H90" s="91">
        <f t="array" ref="H90">INDEX('Coeff EC7'!$Y$7:$AB$27,
MATCH(Model0.1T!$B$3,'Coeff EC7'!$T$7:$T$27,0),
MATCH(Model0.1T!$D90&amp;Model0.1T!$B$4,
'Coeff EC7'!$Y$6:$AB$6&amp;
'Coeff EC7'!$Y$5:$AB$5,0))</f>
        <v>1.7</v>
      </c>
      <c r="I90" s="83">
        <v>0</v>
      </c>
      <c r="J90" s="91" t="e">
        <f t="array" ref="J90">INDEX('Coeff EC7'!$D$33:$Q$33,1,MATCH(D90&amp;E90,'Coeff EC7'!$D$31:$Q$31&amp;'Coeff EC7'!$D$32:$Q$32,0))</f>
        <v>#N/A</v>
      </c>
      <c r="K90" s="91" t="e">
        <f t="array" ref="K90">INDEX('Coeff EC7'!$D$34:$Q$34,1,MATCH(D90&amp;E90,'Coeff EC7'!$D$31:$Q$31&amp;'Coeff EC7'!$D$32:$Q$32,0))</f>
        <v>#N/A</v>
      </c>
      <c r="L90" s="91" t="e">
        <f t="array" ref="L90">INDEX('Coeff EC7'!$D$35:$Q$35,1,MATCH(D90&amp;E90,'Coeff EC7'!$D$31:$Q$31&amp;'Coeff EC7'!$D$32:$Q$32,0))</f>
        <v>#N/A</v>
      </c>
      <c r="M90" s="98" t="e">
        <f t="shared" si="131"/>
        <v>#N/A</v>
      </c>
      <c r="N90" s="99" t="e">
        <f t="array" ref="N90">INDEX('Coeff EC7'!$D$7:$Q$27,MATCH($B$3,'Coeff EC7'!$C$7:$C$27,0),MATCH(D90&amp;E90,'Coeff EC7'!$D$5:$Q$5&amp;'Coeff EC7'!$D$6:$Q$6,0))</f>
        <v>#N/A</v>
      </c>
      <c r="O90" s="99" t="e">
        <f t="array" ref="O90">INDEX('Coeff EC7'!$D$41:$Q$61,MATCH($B$3,'Coeff EC7'!$C$41:$C$61,0),MATCH(D90&amp;E90,'Coeff EC7'!$D$39:$Q$39&amp;'Coeff EC7'!$D$40:$Q$40,0))</f>
        <v>#N/A</v>
      </c>
      <c r="P90" s="30" t="e">
        <f t="shared" si="166"/>
        <v>#N/A</v>
      </c>
      <c r="Q90" s="100" t="e">
        <f t="shared" si="133"/>
        <v>#N/A</v>
      </c>
      <c r="R90" s="86" t="b">
        <f t="shared" si="134"/>
        <v>0</v>
      </c>
      <c r="S90" s="86">
        <f t="shared" si="132"/>
        <v>0.5</v>
      </c>
      <c r="T90" s="86">
        <f t="shared" si="135"/>
        <v>0.5</v>
      </c>
      <c r="U90" s="30" t="e">
        <f t="shared" ca="1" si="167"/>
        <v>#DIV/0!</v>
      </c>
      <c r="V90" s="85" t="str">
        <f>IF(B90&lt;=Hypothèses!$V$7,Hypothèses!$W$7,IF(B90&lt;=Hypothèses!$V$8,Hypothèses!$W$8,IF(B90&lt;=Hypothèses!$V$9,Hypothèses!$W$9,IF(B90&lt;=Hypothèses!$V$10,Hypothèses!$W$10,IF(B90&lt;=Hypothèses!$V$11,Hypothèses!$W$11,IF(B90&lt;=Hypothèses!$V$12,Hypothèses!$W$12,IF(B90&lt;=Hypothèses!$V$13,Hypothèses!$W$13,IF(B90&lt;=Hypothèses!$V$14,Hypothèses!$W$14,IF(B90&lt;=Hypothèses!$V$15,Hypothèses!$W$15,IF(B90&lt;=Hypothèses!$V$16,Hypothèses!$W$16,IF(B90&lt;=Hypothèses!$V$17,Hypothèses!$W$17,IF(B90&lt;=Hypothèses!$V$18,Hypothèses!$W$18,""))))))))))))</f>
        <v/>
      </c>
      <c r="W90" s="87" t="e">
        <f t="shared" ca="1" si="216"/>
        <v>#DIV/0!</v>
      </c>
      <c r="X90" s="88" t="str">
        <f>IF(B90&lt;=Hypothèses!$V$7,Hypothèses!$X$7,IF(B90&lt;=Hypothèses!$V$8,Hypothèses!$X$8,IF(B90&lt;=Hypothèses!$V$9,Hypothèses!$X$9,IF(B90&lt;=Hypothèses!$V$10,Hypothèses!$X$10,IF(B90&lt;=Hypothèses!$V$11,Hypothèses!$X$11,IF(B90&lt;=Hypothèses!$V$12,Hypothèses!$X$12,IF(B90&lt;=Hypothèses!$V$13,Hypothèses!$X$13,IF(B90&lt;=Hypothèses!$V$14,Hypothèses!$X$14,IF(B90&lt;=Hypothèses!$V$15,Hypothèses!$X$15,IF(B90&lt;=Hypothèses!$V$16,Hypothèses!$X$16,IF(B90&lt;=Hypothèses!$U$17,Hypothèses!$W$17,IF(B90&lt;=Hypothèses!$U$18,Hypothèses!$W$18,""))))))))))))</f>
        <v/>
      </c>
      <c r="Y90" s="95" t="e">
        <f t="shared" ca="1" si="136"/>
        <v>#DIV/0!</v>
      </c>
      <c r="Z90" s="101">
        <f t="shared" si="137"/>
        <v>0</v>
      </c>
      <c r="AA90" s="91">
        <f t="shared" si="138"/>
        <v>0</v>
      </c>
      <c r="AB90" s="30" t="e">
        <f t="shared" si="200"/>
        <v>#N/A</v>
      </c>
      <c r="AC90" s="30" t="e">
        <f t="shared" si="201"/>
        <v>#N/A</v>
      </c>
      <c r="AD90" s="31" t="e">
        <f>IF(OR(Hypothèses!$B$4=17,Hypothèses!$B$4=18,Hypothèses!$B$4=19,Hypothèses!$B$4=20),
IF($D90="Pressio.",
IF(OR($E90=3,$E90=1,$E90=4),AC90,AB90),
IF($D90="Pénétro.",
IF(OR($E90=3,$E90=1,$E90=4),AC90,AB90))),IF($D90="Pressio.",
IF($E90=3,AC90,AB90),
IF($D90="Pénétro.",
IF($E90=4,AC90,AB90))))</f>
        <v>#N/A</v>
      </c>
      <c r="AE90" s="31">
        <v>0</v>
      </c>
      <c r="AF90" s="102" t="e">
        <f>IF(NDC!$H$10="Oui",(VLOOKUP($B$3,'Coeff EC7'!$T$39:$X$59,2,0)*AD90+VLOOKUP($B$3,'Coeff EC7'!$T$65:$X$85,2,0)*Model0.1T!AE90)/1.5,PI()*AB$12*$Q90*($B90-$B89)*0.15/10+AF89)</f>
        <v>#N/A</v>
      </c>
      <c r="AG90" s="102" t="e">
        <f>(VLOOKUP($B$3,'Coeff EC7'!$T$39:$X$59,3,0)*AD90+VLOOKUP($B$3,'Coeff EC7'!$T$65:$X$85,3,0)*Model0.1T!AE90)/1.1</f>
        <v>#N/A</v>
      </c>
      <c r="AH90" s="102" t="e">
        <f t="shared" si="168"/>
        <v>#N/A</v>
      </c>
      <c r="AI90" s="102" t="e">
        <f t="shared" si="169"/>
        <v>#N/A</v>
      </c>
      <c r="AJ90" s="414" t="e">
        <f>IF(AND(AF90&gt;NDC!$C$63,AG90&gt;NDC!$C$65,AH90&gt;NDC!$D$73,AI90&gt;NDC!$D$74,$B90&gt;NDC!$H$22-0.1+MIN(3*$AJ$12,1.5)),0,1)</f>
        <v>#N/A</v>
      </c>
      <c r="AK90" s="86" t="b">
        <f t="shared" si="139"/>
        <v>0</v>
      </c>
      <c r="AL90" s="86">
        <f t="shared" si="170"/>
        <v>0.5</v>
      </c>
      <c r="AM90" s="86">
        <f t="shared" si="140"/>
        <v>0.5</v>
      </c>
      <c r="AN90" s="30" t="e">
        <f t="shared" ca="1" si="171"/>
        <v>#DIV/0!</v>
      </c>
      <c r="AO90" s="85" t="e">
        <f ca="1">IF(U90&lt;=Hypothèses!$V$7,Hypothèses!$W$7,IF(U90&lt;=Hypothèses!$V$8,Hypothèses!$W$8,IF(U90&lt;=Hypothèses!$V$9,Hypothèses!$W$9,IF(U90&lt;=Hypothèses!$V$10,Hypothèses!$W$10,IF(U90&lt;=Hypothèses!$V$11,Hypothèses!$W$11,IF(U90&lt;=Hypothèses!$V$12,Hypothèses!$W$12,IF(U90&lt;=Hypothèses!$V$13,Hypothèses!$W$13,IF(U90&lt;=Hypothèses!$V$14,Hypothèses!$W$14,IF(U90&lt;=Hypothèses!$V$15,Hypothèses!$W$15,IF(U90&lt;=Hypothèses!$V$16,Hypothèses!$W$16,IF(U90&lt;=Hypothèses!$V$17,Hypothèses!$W$17,IF(U90&lt;=Hypothèses!$V$18,Hypothèses!$W$18,""))))))))))))</f>
        <v>#DIV/0!</v>
      </c>
      <c r="AP90" s="87" t="e">
        <f t="shared" ca="1" si="217"/>
        <v>#DIV/0!</v>
      </c>
      <c r="AQ90" s="88" t="e">
        <f ca="1">IF(U90&lt;=Hypothèses!$V$7,Hypothèses!$X$7,IF(U90&lt;=Hypothèses!$V$8,Hypothèses!$X$8,IF(U90&lt;=Hypothèses!$V$9,Hypothèses!$X$9,IF(U90&lt;=Hypothèses!$V$10,Hypothèses!$X$10,IF(U90&lt;=Hypothèses!$V$11,Hypothèses!$X$11,IF(U90&lt;=Hypothèses!$V$12,Hypothèses!$X$12,IF(U90&lt;=Hypothèses!$V$13,Hypothèses!$X$13,IF(U90&lt;=Hypothèses!$V$14,Hypothèses!$X$14,IF(U90&lt;=Hypothèses!$V$15,Hypothèses!$X$15,IF(U90&lt;=Hypothèses!$V$16,Hypothèses!$X$16,IF(U90&lt;=Hypothèses!$U$17,Hypothèses!$W$17,IF(U90&lt;=Hypothèses!$U$18,Hypothèses!$W$18,""))))))))))))</f>
        <v>#DIV/0!</v>
      </c>
      <c r="AR90" s="95" t="e">
        <f t="shared" ca="1" si="172"/>
        <v>#DIV/0!</v>
      </c>
      <c r="AS90" s="101">
        <f t="shared" si="224"/>
        <v>0</v>
      </c>
      <c r="AT90" s="91">
        <f t="shared" si="141"/>
        <v>0</v>
      </c>
      <c r="AU90" s="30" t="e">
        <f t="shared" si="202"/>
        <v>#N/A</v>
      </c>
      <c r="AV90" s="30" t="e">
        <f t="shared" si="203"/>
        <v>#N/A</v>
      </c>
      <c r="AW90" s="31" t="e">
        <f>IF(OR(Hypothèses!$B$4=17,Hypothèses!$B$4=18,Hypothèses!$B$4=19,Hypothèses!$B$4=20),
IF($D90="Pressio.",
IF(OR($E90=3,$E90=1,$E90=4),AV90,AU90),
IF($D90="Pénétro.",
IF(OR($E90=3,$E90=1,$E90=4),AV90,AU90))),IF($D90="Pressio.",
IF($E90=3,AV90,AU90),
IF($D90="Pénétro.",
IF($E90=4,AV90,AU90))))</f>
        <v>#N/A</v>
      </c>
      <c r="AX90" s="31">
        <v>0</v>
      </c>
      <c r="AY90" s="102" t="e">
        <f>IF(NDC!$H$10="Oui",(VLOOKUP($B$3,'Coeff EC7'!$T$39:$X$59,2,0)*AW90+VLOOKUP($B$3,'Coeff EC7'!$T$65:$X$85,2,0)*Model0.1T!AX90)/1.5,PI()*AU$12*$Q90*($B90-$B89)*0.15/10+AY89)</f>
        <v>#N/A</v>
      </c>
      <c r="AZ90" s="102" t="e">
        <f>(VLOOKUP($B$3,'Coeff EC7'!$T$39:$X$59,3,0)*AW90+VLOOKUP($B$3,'Coeff EC7'!$T$65:$X$85,3,0)*Model0.1T!AX90)/1.1</f>
        <v>#N/A</v>
      </c>
      <c r="BA90" s="102" t="e">
        <f t="shared" si="173"/>
        <v>#N/A</v>
      </c>
      <c r="BB90" s="102" t="e">
        <f t="shared" si="174"/>
        <v>#N/A</v>
      </c>
      <c r="BC90" s="414" t="e">
        <f>IF(AND(AY90&gt;NDC!$C$63,AZ90&gt;NDC!$C$65,BA90&gt;NDC!$D$73,BB90&gt;NDC!$D$74,$B90&gt;NDC!$H$22-0.1+MIN(3*BC$12,1.5)),0,1)</f>
        <v>#N/A</v>
      </c>
      <c r="BD90" s="86" t="b">
        <f t="shared" si="142"/>
        <v>0</v>
      </c>
      <c r="BE90" s="86">
        <f t="shared" si="175"/>
        <v>0.5</v>
      </c>
      <c r="BF90" s="86">
        <f t="shared" si="143"/>
        <v>0.5</v>
      </c>
      <c r="BG90" s="30" t="e">
        <f t="shared" ca="1" si="176"/>
        <v>#DIV/0!</v>
      </c>
      <c r="BH90" s="85" t="e">
        <f ca="1">IF(AN90&lt;=Hypothèses!$V$7,Hypothèses!$W$7,IF(AN90&lt;=Hypothèses!$V$8,Hypothèses!$W$8,IF(AN90&lt;=Hypothèses!$V$9,Hypothèses!$W$9,IF(AN90&lt;=Hypothèses!$V$10,Hypothèses!$W$10,IF(AN90&lt;=Hypothèses!$V$11,Hypothèses!$W$11,IF(AN90&lt;=Hypothèses!$V$12,Hypothèses!$W$12,IF(AN90&lt;=Hypothèses!$V$13,Hypothèses!$W$13,IF(AN90&lt;=Hypothèses!$V$14,Hypothèses!$W$14,IF(AN90&lt;=Hypothèses!$V$15,Hypothèses!$W$15,IF(AN90&lt;=Hypothèses!$V$16,Hypothèses!$W$16,IF(AN90&lt;=Hypothèses!$V$17,Hypothèses!$W$17,IF(AN90&lt;=Hypothèses!$V$18,Hypothèses!$W$18,""))))))))))))</f>
        <v>#DIV/0!</v>
      </c>
      <c r="BI90" s="87" t="e">
        <f t="shared" ca="1" si="218"/>
        <v>#DIV/0!</v>
      </c>
      <c r="BJ90" s="88" t="e">
        <f ca="1">IF(AN90&lt;=Hypothèses!$V$7,Hypothèses!$X$7,IF(AN90&lt;=Hypothèses!$V$8,Hypothèses!$X$8,IF(AN90&lt;=Hypothèses!$V$9,Hypothèses!$X$9,IF(AN90&lt;=Hypothèses!$V$10,Hypothèses!$X$10,IF(AN90&lt;=Hypothèses!$V$11,Hypothèses!$X$11,IF(AN90&lt;=Hypothèses!$V$12,Hypothèses!$X$12,IF(AN90&lt;=Hypothèses!$V$13,Hypothèses!$X$13,IF(AN90&lt;=Hypothèses!$V$14,Hypothèses!$X$14,IF(AN90&lt;=Hypothèses!$V$15,Hypothèses!$X$15,IF(AN90&lt;=Hypothèses!$V$16,Hypothèses!$X$16,IF(AN90&lt;=Hypothèses!$U$17,Hypothèses!$W$17,IF(AN90&lt;=Hypothèses!$U$18,Hypothèses!$W$18,""))))))))))))</f>
        <v>#DIV/0!</v>
      </c>
      <c r="BK90" s="95" t="e">
        <f t="shared" ca="1" si="177"/>
        <v>#DIV/0!</v>
      </c>
      <c r="BL90" s="101">
        <f t="shared" si="225"/>
        <v>0</v>
      </c>
      <c r="BM90" s="91">
        <f t="shared" si="144"/>
        <v>0</v>
      </c>
      <c r="BN90" s="30" t="e">
        <f t="shared" si="204"/>
        <v>#N/A</v>
      </c>
      <c r="BO90" s="30" t="e">
        <f t="shared" si="205"/>
        <v>#N/A</v>
      </c>
      <c r="BP90" s="31" t="e">
        <f>IF(OR(Hypothèses!$B$4=17,Hypothèses!$B$4=18,Hypothèses!$B$4=19,Hypothèses!$B$4=20),
IF($D90="Pressio.",
IF(OR($E90=3,$E90=1,$E90=4),BO90,BN90),
IF($D90="Pénétro.",
IF(OR($E90=3,$E90=1,$E90=4),BO90,BN90))),IF($D90="Pressio.",
IF($E90=3,BO90,BN90),
IF($D90="Pénétro.",
IF($E90=4,BO90,BN90))))</f>
        <v>#N/A</v>
      </c>
      <c r="BQ90" s="31">
        <v>0</v>
      </c>
      <c r="BR90" s="102" t="e">
        <f>IF(NDC!$H$10="Oui",(VLOOKUP($B$3,'Coeff EC7'!$T$39:$X$59,2,0)*BP90+VLOOKUP($B$3,'Coeff EC7'!$T$65:$X$85,2,0)*Model0.1T!BQ90)/1.5,PI()*BN$12*$Q90*($B90-$B89)*0.15/10+BR89)</f>
        <v>#N/A</v>
      </c>
      <c r="BS90" s="102" t="e">
        <f>(VLOOKUP($B$3,'Coeff EC7'!$T$39:$X$59,3,0)*BP90+VLOOKUP($B$3,'Coeff EC7'!$T$65:$X$85,3,0)*Model0.1T!BQ90)/1.1</f>
        <v>#N/A</v>
      </c>
      <c r="BT90" s="102" t="e">
        <f t="shared" si="178"/>
        <v>#N/A</v>
      </c>
      <c r="BU90" s="102" t="e">
        <f t="shared" si="179"/>
        <v>#N/A</v>
      </c>
      <c r="BV90" s="414" t="e">
        <f>IF(AND(BR90&gt;NDC!$C$63,BS90&gt;NDC!$C$65,BT90&gt;NDC!$D$73,BU90&gt;NDC!$D$74,$B90&gt;NDC!$H$22-0.1+MIN(3*BV$12,1.5)),0,1)</f>
        <v>#N/A</v>
      </c>
      <c r="BW90" s="86" t="b">
        <f t="shared" si="145"/>
        <v>0</v>
      </c>
      <c r="BX90" s="86">
        <f t="shared" si="146"/>
        <v>0.5</v>
      </c>
      <c r="BY90" s="86">
        <f t="shared" si="147"/>
        <v>0.5</v>
      </c>
      <c r="BZ90" s="30" t="e">
        <f t="shared" ca="1" si="180"/>
        <v>#DIV/0!</v>
      </c>
      <c r="CA90" s="85" t="e">
        <f ca="1">IF(BG90&lt;=Hypothèses!$V$7,Hypothèses!$W$7,IF(BG90&lt;=Hypothèses!$V$8,Hypothèses!$W$8,IF(BG90&lt;=Hypothèses!$V$9,Hypothèses!$W$9,IF(BG90&lt;=Hypothèses!$V$10,Hypothèses!$W$10,IF(BG90&lt;=Hypothèses!$V$11,Hypothèses!$W$11,IF(BG90&lt;=Hypothèses!$V$12,Hypothèses!$W$12,IF(BG90&lt;=Hypothèses!$V$13,Hypothèses!$W$13,IF(BG90&lt;=Hypothèses!$V$14,Hypothèses!$W$14,IF(BG90&lt;=Hypothèses!$V$15,Hypothèses!$W$15,IF(BG90&lt;=Hypothèses!$V$16,Hypothèses!$W$16,IF(BG90&lt;=Hypothèses!$V$17,Hypothèses!$W$17,IF(BG90&lt;=Hypothèses!$V$18,Hypothèses!$W$18,""))))))))))))</f>
        <v>#DIV/0!</v>
      </c>
      <c r="CB90" s="87" t="e">
        <f t="shared" ca="1" si="219"/>
        <v>#DIV/0!</v>
      </c>
      <c r="CC90" s="88" t="e">
        <f ca="1">IF(BG90&lt;=Hypothèses!$V$7,Hypothèses!$X$7,IF(BG90&lt;=Hypothèses!$V$8,Hypothèses!$X$8,IF(BG90&lt;=Hypothèses!$V$9,Hypothèses!$X$9,IF(BG90&lt;=Hypothèses!$V$10,Hypothèses!$X$10,IF(BG90&lt;=Hypothèses!$V$11,Hypothèses!$X$11,IF(BG90&lt;=Hypothèses!$V$12,Hypothèses!$X$12,IF(BG90&lt;=Hypothèses!$V$13,Hypothèses!$X$13,IF(BG90&lt;=Hypothèses!$V$14,Hypothèses!$X$14,IF(BG90&lt;=Hypothèses!$V$15,Hypothèses!$X$15,IF(BG90&lt;=Hypothèses!$V$16,Hypothèses!$X$16,IF(BG90&lt;=Hypothèses!$U$17,Hypothèses!$W$17,IF(BG90&lt;=Hypothèses!$U$18,Hypothèses!$W$18,""))))))))))))</f>
        <v>#DIV/0!</v>
      </c>
      <c r="CD90" s="95" t="e">
        <f t="shared" ca="1" si="181"/>
        <v>#DIV/0!</v>
      </c>
      <c r="CE90" s="101">
        <f t="shared" si="226"/>
        <v>0</v>
      </c>
      <c r="CF90" s="91">
        <f t="shared" si="148"/>
        <v>0</v>
      </c>
      <c r="CG90" s="30" t="e">
        <f t="shared" si="206"/>
        <v>#N/A</v>
      </c>
      <c r="CH90" s="30" t="e">
        <f t="shared" si="207"/>
        <v>#N/A</v>
      </c>
      <c r="CI90" s="31" t="e">
        <f>IF(OR(Hypothèses!$B$4=17,Hypothèses!$B$4=18,Hypothèses!$B$4=19,Hypothèses!$B$4=20),
IF($D90="Pressio.",
IF(OR($E90=3,$E90=1,$E90=4),CH90,CG90),
IF($D90="Pénétro.",
IF(OR($E90=3,$E90=1,$E90=4),CH90,CG90))),IF($D90="Pressio.",
IF($E90=3,CH90,CG90),
IF($D90="Pénétro.",
IF($E90=4,CH90,CG90))))</f>
        <v>#N/A</v>
      </c>
      <c r="CJ90" s="31">
        <v>0</v>
      </c>
      <c r="CK90" s="102" t="e">
        <f>IF(NDC!$H$10="Oui",(VLOOKUP($B$3,'Coeff EC7'!$T$39:$X$59,2,0)*CI90+VLOOKUP($B$3,'Coeff EC7'!$T$65:$X$85,2,0)*Model0.1T!CJ90)/1.5,PI()*CG$12*$Q90*($B90-$B89)*0.15/10+CK89)</f>
        <v>#N/A</v>
      </c>
      <c r="CL90" s="102" t="e">
        <f>(VLOOKUP($B$3,'Coeff EC7'!$T$39:$X$59,3,0)*CI90+VLOOKUP($B$3,'Coeff EC7'!$T$65:$X$85,3,0)*Model0.1T!CJ90)/1.1</f>
        <v>#N/A</v>
      </c>
      <c r="CM90" s="102" t="e">
        <f t="shared" si="182"/>
        <v>#N/A</v>
      </c>
      <c r="CN90" s="102" t="e">
        <f t="shared" si="183"/>
        <v>#N/A</v>
      </c>
      <c r="CO90" s="414" t="e">
        <f>IF(AND(CK90&gt;NDC!$C$63,CL90&gt;NDC!$C$65,CM90&gt;NDC!$D$73,CN90&gt;NDC!$D$74,$B90&gt;NDC!$H$22-0.1+MIN(3*CO$12,1.5)),0,1)</f>
        <v>#N/A</v>
      </c>
      <c r="CP90" s="86" t="b">
        <f t="shared" si="149"/>
        <v>0</v>
      </c>
      <c r="CQ90" s="86">
        <f t="shared" si="150"/>
        <v>0.5</v>
      </c>
      <c r="CR90" s="86">
        <f t="shared" si="151"/>
        <v>0.5</v>
      </c>
      <c r="CS90" s="30" t="e">
        <f t="shared" ca="1" si="184"/>
        <v>#DIV/0!</v>
      </c>
      <c r="CT90" s="85" t="e">
        <f ca="1">IF(BZ90&lt;=Hypothèses!$V$7,Hypothèses!$W$7,IF(BZ90&lt;=Hypothèses!$V$8,Hypothèses!$W$8,IF(BZ90&lt;=Hypothèses!$V$9,Hypothèses!$W$9,IF(BZ90&lt;=Hypothèses!$V$10,Hypothèses!$W$10,IF(BZ90&lt;=Hypothèses!$V$11,Hypothèses!$W$11,IF(BZ90&lt;=Hypothèses!$V$12,Hypothèses!$W$12,IF(BZ90&lt;=Hypothèses!$V$13,Hypothèses!$W$13,IF(BZ90&lt;=Hypothèses!$V$14,Hypothèses!$W$14,IF(BZ90&lt;=Hypothèses!$V$15,Hypothèses!$W$15,IF(BZ90&lt;=Hypothèses!$V$16,Hypothèses!$W$16,IF(BZ90&lt;=Hypothèses!$V$17,Hypothèses!$W$17,IF(BZ90&lt;=Hypothèses!$V$18,Hypothèses!$W$18,""))))))))))))</f>
        <v>#DIV/0!</v>
      </c>
      <c r="CU90" s="87" t="e">
        <f t="shared" ca="1" si="220"/>
        <v>#DIV/0!</v>
      </c>
      <c r="CV90" s="88" t="e">
        <f ca="1">IF(BZ90&lt;=Hypothèses!$V$7,Hypothèses!$X$7,IF(BZ90&lt;=Hypothèses!$V$8,Hypothèses!$X$8,IF(BZ90&lt;=Hypothèses!$V$9,Hypothèses!$X$9,IF(BZ90&lt;=Hypothèses!$V$10,Hypothèses!$X$10,IF(BZ90&lt;=Hypothèses!$V$11,Hypothèses!$X$11,IF(BZ90&lt;=Hypothèses!$V$12,Hypothèses!$X$12,IF(BZ90&lt;=Hypothèses!$V$13,Hypothèses!$X$13,IF(BZ90&lt;=Hypothèses!$V$14,Hypothèses!$X$14,IF(BZ90&lt;=Hypothèses!$V$15,Hypothèses!$X$15,IF(BZ90&lt;=Hypothèses!$V$16,Hypothèses!$X$16,IF(BZ90&lt;=Hypothèses!$U$17,Hypothèses!$W$17,IF(BZ90&lt;=Hypothèses!$U$18,Hypothèses!$W$18,""))))))))))))</f>
        <v>#DIV/0!</v>
      </c>
      <c r="CW90" s="95" t="e">
        <f t="shared" ca="1" si="185"/>
        <v>#DIV/0!</v>
      </c>
      <c r="CX90" s="101">
        <f t="shared" si="227"/>
        <v>0</v>
      </c>
      <c r="CY90" s="91">
        <f t="shared" si="152"/>
        <v>0</v>
      </c>
      <c r="CZ90" s="30" t="e">
        <f t="shared" si="208"/>
        <v>#N/A</v>
      </c>
      <c r="DA90" s="30" t="e">
        <f t="shared" si="209"/>
        <v>#N/A</v>
      </c>
      <c r="DB90" s="31" t="e">
        <f>IF(OR(Hypothèses!$B$4=17,Hypothèses!$B$4=18,Hypothèses!$B$4=19,Hypothèses!$B$4=20),
IF($D90="Pressio.",
IF(OR($E90=3,$E90=1,$E90=4),DA90,CZ90),
IF($D90="Pénétro.",
IF(OR($E90=3,$E90=1,$E90=4),DA90,CZ90))),IF($D90="Pressio.",
IF($E90=3,DA90,CZ90),
IF($D90="Pénétro.",
IF($E90=4,DA90,CZ90))))</f>
        <v>#N/A</v>
      </c>
      <c r="DC90" s="31">
        <v>0</v>
      </c>
      <c r="DD90" s="102" t="e">
        <f>IF(NDC!$H$10="Oui",(VLOOKUP($B$3,'Coeff EC7'!$T$39:$X$59,2,0)*DB90+VLOOKUP($B$3,'Coeff EC7'!$T$65:$X$85,2,0)*Model0.1T!DC90)/1.5,PI()*CZ$12*$Q90*($B90-$B89)*0.15/10+DD89)</f>
        <v>#N/A</v>
      </c>
      <c r="DE90" s="102" t="e">
        <f>(VLOOKUP($B$3,'Coeff EC7'!$T$39:$X$59,3,0)*DB90+VLOOKUP($B$3,'Coeff EC7'!$T$65:$X$85,3,0)*Model0.1T!DC90)/1.1</f>
        <v>#N/A</v>
      </c>
      <c r="DF90" s="102" t="e">
        <f t="shared" si="186"/>
        <v>#N/A</v>
      </c>
      <c r="DG90" s="102" t="e">
        <f t="shared" si="187"/>
        <v>#N/A</v>
      </c>
      <c r="DH90" s="414" t="e">
        <f>IF(AND(DD90&gt;NDC!$C$63,DE90&gt;NDC!$C$65,DF90&gt;NDC!$D$73,DG90&gt;NDC!$D$74,$B90&gt;NDC!$H$22-0.1+MIN(3*DH$12,1.5)),0,1)</f>
        <v>#N/A</v>
      </c>
      <c r="DI90" s="86" t="b">
        <f t="shared" si="153"/>
        <v>0</v>
      </c>
      <c r="DJ90" s="86">
        <f t="shared" si="154"/>
        <v>0.5</v>
      </c>
      <c r="DK90" s="86">
        <f t="shared" si="155"/>
        <v>0.5</v>
      </c>
      <c r="DL90" s="30" t="e">
        <f t="shared" ca="1" si="188"/>
        <v>#DIV/0!</v>
      </c>
      <c r="DM90" s="85" t="e">
        <f ca="1">IF(CS90&lt;=Hypothèses!$V$7,Hypothèses!$W$7,IF(CS90&lt;=Hypothèses!$V$8,Hypothèses!$W$8,IF(CS90&lt;=Hypothèses!$V$9,Hypothèses!$W$9,IF(CS90&lt;=Hypothèses!$V$10,Hypothèses!$W$10,IF(CS90&lt;=Hypothèses!$V$11,Hypothèses!$W$11,IF(CS90&lt;=Hypothèses!$V$12,Hypothèses!$W$12,IF(CS90&lt;=Hypothèses!$V$13,Hypothèses!$W$13,IF(CS90&lt;=Hypothèses!$V$14,Hypothèses!$W$14,IF(CS90&lt;=Hypothèses!$V$15,Hypothèses!$W$15,IF(CS90&lt;=Hypothèses!$V$16,Hypothèses!$W$16,IF(CS90&lt;=Hypothèses!$V$17,Hypothèses!$W$17,IF(CS90&lt;=Hypothèses!$V$18,Hypothèses!$W$18,""))))))))))))</f>
        <v>#DIV/0!</v>
      </c>
      <c r="DN90" s="87" t="e">
        <f t="shared" ca="1" si="221"/>
        <v>#DIV/0!</v>
      </c>
      <c r="DO90" s="88" t="e">
        <f ca="1">IF(CS90&lt;=Hypothèses!$V$7,Hypothèses!$X$7,IF(CS90&lt;=Hypothèses!$V$8,Hypothèses!$X$8,IF(CS90&lt;=Hypothèses!$V$9,Hypothèses!$X$9,IF(CS90&lt;=Hypothèses!$V$10,Hypothèses!$X$10,IF(CS90&lt;=Hypothèses!$V$11,Hypothèses!$X$11,IF(CS90&lt;=Hypothèses!$V$12,Hypothèses!$X$12,IF(CS90&lt;=Hypothèses!$V$13,Hypothèses!$X$13,IF(CS90&lt;=Hypothèses!$V$14,Hypothèses!$X$14,IF(CS90&lt;=Hypothèses!$V$15,Hypothèses!$X$15,IF(CS90&lt;=Hypothèses!$V$16,Hypothèses!$X$16,IF(CS90&lt;=Hypothèses!$U$17,Hypothèses!$W$17,IF(CS90&lt;=Hypothèses!$U$18,Hypothèses!$W$18,""))))))))))))</f>
        <v>#DIV/0!</v>
      </c>
      <c r="DP90" s="95" t="e">
        <f t="shared" ca="1" si="189"/>
        <v>#DIV/0!</v>
      </c>
      <c r="DQ90" s="101">
        <f t="shared" si="228"/>
        <v>0</v>
      </c>
      <c r="DR90" s="91">
        <f t="shared" si="156"/>
        <v>0</v>
      </c>
      <c r="DS90" s="30" t="e">
        <f t="shared" si="210"/>
        <v>#N/A</v>
      </c>
      <c r="DT90" s="30" t="e">
        <f t="shared" si="211"/>
        <v>#N/A</v>
      </c>
      <c r="DU90" s="31" t="e">
        <f>IF(OR(Hypothèses!$B$4=17,Hypothèses!$B$4=18,Hypothèses!$B$4=19,Hypothèses!$B$4=20),
IF($D90="Pressio.",
IF(OR($E90=3,$E90=1,$E90=4),DT90,DS90),
IF($D90="Pénétro.",
IF(OR($E90=3,$E90=1,$E90=4),DT90,DS90))),IF($D90="Pressio.",
IF($E90=3,DT90,DS90),
IF($D90="Pénétro.",
IF($E90=4,DT90,DS90))))</f>
        <v>#N/A</v>
      </c>
      <c r="DV90" s="31">
        <v>0</v>
      </c>
      <c r="DW90" s="102" t="e">
        <f>IF(NDC!$H$10="Oui",(VLOOKUP($B$3,'Coeff EC7'!$T$39:$X$59,2,0)*DU90+VLOOKUP($B$3,'Coeff EC7'!$T$65:$X$85,2,0)*Model0.1T!DV90)/1.5,PI()*DS$12*$Q90*($B90-$B89)*0.15/10+DW89)</f>
        <v>#N/A</v>
      </c>
      <c r="DX90" s="102" t="e">
        <f>(VLOOKUP($B$3,'Coeff EC7'!$T$39:$X$59,3,0)*DU90+VLOOKUP($B$3,'Coeff EC7'!$T$65:$X$85,3,0)*Model0.1T!DV90)/1.1</f>
        <v>#N/A</v>
      </c>
      <c r="DY90" s="102" t="e">
        <f t="shared" si="190"/>
        <v>#N/A</v>
      </c>
      <c r="DZ90" s="102" t="e">
        <f t="shared" si="191"/>
        <v>#N/A</v>
      </c>
      <c r="EA90" s="414" t="e">
        <f>IF(AND(DW90&gt;NDC!$C$63,DX90&gt;NDC!$C$65,DY90&gt;NDC!$D$73,DZ90&gt;NDC!$D$74,$B90&gt;NDC!$H$22-0.1+MIN(3*EA$12,1.5)),0,1)</f>
        <v>#N/A</v>
      </c>
      <c r="EB90" s="86" t="b">
        <f t="shared" si="157"/>
        <v>0</v>
      </c>
      <c r="EC90" s="418">
        <f t="shared" si="158"/>
        <v>0.51</v>
      </c>
      <c r="ED90" s="86">
        <f t="shared" si="159"/>
        <v>0.51</v>
      </c>
      <c r="EE90" s="30" t="e">
        <f t="shared" ca="1" si="192"/>
        <v>#DIV/0!</v>
      </c>
      <c r="EF90" s="85" t="e">
        <f ca="1">IF(DL90&lt;=Hypothèses!$V$7,Hypothèses!$W$7,IF(DL90&lt;=Hypothèses!$V$8,Hypothèses!$W$8,IF(DL90&lt;=Hypothèses!$V$9,Hypothèses!$W$9,IF(DL90&lt;=Hypothèses!$V$10,Hypothèses!$W$10,IF(DL90&lt;=Hypothèses!$V$11,Hypothèses!$W$11,IF(DL90&lt;=Hypothèses!$V$12,Hypothèses!$W$12,IF(DL90&lt;=Hypothèses!$V$13,Hypothèses!$W$13,IF(DL90&lt;=Hypothèses!$V$14,Hypothèses!$W$14,IF(DL90&lt;=Hypothèses!$V$15,Hypothèses!$W$15,IF(DL90&lt;=Hypothèses!$V$16,Hypothèses!$W$16,IF(DL90&lt;=Hypothèses!$V$17,Hypothèses!$W$17,IF(DL90&lt;=Hypothèses!$V$18,Hypothèses!$W$18,""))))))))))))</f>
        <v>#DIV/0!</v>
      </c>
      <c r="EG90" s="87" t="e">
        <f t="shared" ca="1" si="222"/>
        <v>#DIV/0!</v>
      </c>
      <c r="EH90" s="88" t="e">
        <f ca="1">IF(DL90&lt;=Hypothèses!$V$7,Hypothèses!$X$7,IF(DL90&lt;=Hypothèses!$V$8,Hypothèses!$X$8,IF(DL90&lt;=Hypothèses!$V$9,Hypothèses!$X$9,IF(DL90&lt;=Hypothèses!$V$10,Hypothèses!$X$10,IF(DL90&lt;=Hypothèses!$V$11,Hypothèses!$X$11,IF(DL90&lt;=Hypothèses!$V$12,Hypothèses!$X$12,IF(DL90&lt;=Hypothèses!$V$13,Hypothèses!$X$13,IF(DL90&lt;=Hypothèses!$V$14,Hypothèses!$X$14,IF(DL90&lt;=Hypothèses!$V$15,Hypothèses!$X$15,IF(DL90&lt;=Hypothèses!$V$16,Hypothèses!$X$16,IF(DL90&lt;=Hypothèses!$U$17,Hypothèses!$W$17,IF(DL90&lt;=Hypothèses!$U$18,Hypothèses!$W$18,""))))))))))))</f>
        <v>#DIV/0!</v>
      </c>
      <c r="EI90" s="95" t="e">
        <f t="shared" ca="1" si="193"/>
        <v>#DIV/0!</v>
      </c>
      <c r="EJ90" s="101">
        <f t="shared" si="229"/>
        <v>0</v>
      </c>
      <c r="EK90" s="91">
        <f t="shared" si="160"/>
        <v>0</v>
      </c>
      <c r="EL90" s="30" t="e">
        <f t="shared" si="212"/>
        <v>#N/A</v>
      </c>
      <c r="EM90" s="30" t="e">
        <f t="shared" si="213"/>
        <v>#N/A</v>
      </c>
      <c r="EN90" s="31" t="e">
        <f>IF(OR(Hypothèses!$B$4=17,Hypothèses!$B$4=18,Hypothèses!$B$4=19,Hypothèses!$B$4=20),
IF($D90="Pressio.",
IF(OR($E90=3,$E90=1,$E90=4),EM90,EL90),
IF($D90="Pénétro.",
IF(OR($E90=3,$E90=1,$E90=4),EM90,EL90))),IF($D90="Pressio.",
IF($E90=3,EM90,EL90),
IF($D90="Pénétro.",
IF($E90=4,EM90,EL90))))</f>
        <v>#N/A</v>
      </c>
      <c r="EO90" s="31">
        <v>0</v>
      </c>
      <c r="EP90" s="102" t="e">
        <f>IF(NDC!$H$10="Oui",(VLOOKUP($B$3,'Coeff EC7'!$T$39:$X$59,2,0)*EN90+VLOOKUP($B$3,'Coeff EC7'!$T$65:$X$85,2,0)*Model0.1T!EO90)/1.5,PI()*EL$12*$Q90*($B90-$B89)*0.15/10+EP89)</f>
        <v>#N/A</v>
      </c>
      <c r="EQ90" s="102" t="e">
        <f>(VLOOKUP($B$3,'Coeff EC7'!$T$39:$X$59,3,0)*EN90+VLOOKUP($B$3,'Coeff EC7'!$T$65:$X$85,3,0)*Model0.1T!EO90)/1.1</f>
        <v>#N/A</v>
      </c>
      <c r="ER90" s="102" t="e">
        <f t="shared" si="194"/>
        <v>#N/A</v>
      </c>
      <c r="ES90" s="102" t="e">
        <f t="shared" si="195"/>
        <v>#N/A</v>
      </c>
      <c r="ET90" s="414" t="e">
        <f>IF(AND(EP90&gt;NDC!$C$63,EQ90&gt;NDC!$C$65,ER90&gt;NDC!$D$73,ES90&gt;NDC!$D$74,$B90&gt;NDC!$H$22-0.1+MIN(3*ET$12,1.5)),0,1)</f>
        <v>#N/A</v>
      </c>
      <c r="EU90" s="86" t="b">
        <f t="shared" si="161"/>
        <v>0</v>
      </c>
      <c r="EV90" s="86">
        <f t="shared" si="162"/>
        <v>0.61</v>
      </c>
      <c r="EW90" s="86">
        <f t="shared" si="163"/>
        <v>0.61</v>
      </c>
      <c r="EX90" s="30" t="e">
        <f t="shared" ca="1" si="196"/>
        <v>#DIV/0!</v>
      </c>
      <c r="EY90" s="85" t="e">
        <f ca="1">IF(EE90&lt;=Hypothèses!$V$7,Hypothèses!$W$7,IF(EE90&lt;=Hypothèses!$V$8,Hypothèses!$W$8,IF(EE90&lt;=Hypothèses!$V$9,Hypothèses!$W$9,IF(EE90&lt;=Hypothèses!$V$10,Hypothèses!$W$10,IF(EE90&lt;=Hypothèses!$V$11,Hypothèses!$W$11,IF(EE90&lt;=Hypothèses!$V$12,Hypothèses!$W$12,IF(EE90&lt;=Hypothèses!$V$13,Hypothèses!$W$13,IF(EE90&lt;=Hypothèses!$V$14,Hypothèses!$W$14,IF(EE90&lt;=Hypothèses!$V$15,Hypothèses!$W$15,IF(EE90&lt;=Hypothèses!$V$16,Hypothèses!$W$16,IF(EE90&lt;=Hypothèses!$V$17,Hypothèses!$W$17,IF(EE90&lt;=Hypothèses!$V$18,Hypothèses!$W$18,""))))))))))))</f>
        <v>#DIV/0!</v>
      </c>
      <c r="EZ90" s="87" t="e">
        <f t="shared" ca="1" si="223"/>
        <v>#DIV/0!</v>
      </c>
      <c r="FA90" s="88" t="e">
        <f ca="1">IF(EE90&lt;=Hypothèses!$V$7,Hypothèses!$X$7,IF(EE90&lt;=Hypothèses!$V$8,Hypothèses!$X$8,IF(EE90&lt;=Hypothèses!$V$9,Hypothèses!$X$9,IF(EE90&lt;=Hypothèses!$V$10,Hypothèses!$X$10,IF(EE90&lt;=Hypothèses!$V$11,Hypothèses!$X$11,IF(EE90&lt;=Hypothèses!$V$12,Hypothèses!$X$12,IF(EE90&lt;=Hypothèses!$V$13,Hypothèses!$X$13,IF(EE90&lt;=Hypothèses!$V$14,Hypothèses!$X$14,IF(EE90&lt;=Hypothèses!$V$15,Hypothèses!$X$15,IF(EE90&lt;=Hypothèses!$V$16,Hypothèses!$X$16,IF(EE90&lt;=Hypothèses!$U$17,Hypothèses!$W$17,IF(EE90&lt;=Hypothèses!$U$18,Hypothèses!$W$18,""))))))))))))</f>
        <v>#DIV/0!</v>
      </c>
      <c r="FB90" s="95" t="e">
        <f t="shared" ca="1" si="197"/>
        <v>#DIV/0!</v>
      </c>
      <c r="FC90" s="101">
        <f t="shared" si="230"/>
        <v>0</v>
      </c>
      <c r="FD90" s="91">
        <f t="shared" si="164"/>
        <v>0</v>
      </c>
      <c r="FE90" s="30" t="e">
        <f t="shared" si="214"/>
        <v>#N/A</v>
      </c>
      <c r="FF90" s="30" t="e">
        <f t="shared" si="215"/>
        <v>#N/A</v>
      </c>
      <c r="FG90" s="31" t="e">
        <f>IF(OR(Hypothèses!$B$4=17,Hypothèses!$B$4=18,Hypothèses!$B$4=19,Hypothèses!$B$4=20),
IF($D90="Pressio.",
IF(OR($E90=3,$E90=1,$E90=4),FF90,FE90),
IF($D90="Pénétro.",
IF(OR($E90=3,$E90=1,$E90=4),FF90,FE90))),IF($D90="Pressio.",
IF($E90=3,FF90,FE90),
IF($D90="Pénétro.",
IF($E90=4,FF90,FE90))))</f>
        <v>#N/A</v>
      </c>
      <c r="FH90" s="31">
        <v>0</v>
      </c>
      <c r="FI90" s="102" t="e">
        <f>IF(NDC!$H$10="Oui",(VLOOKUP($B$3,'Coeff EC7'!$T$39:$X$59,2,0)*FG90+VLOOKUP($B$3,'Coeff EC7'!$T$65:$X$85,2,0)*Model0.1T!FH90)/1.5,PI()*FE$12*$Q90*($B90-$B89)*0.15/10+FI89)</f>
        <v>#N/A</v>
      </c>
      <c r="FJ90" s="102" t="e">
        <f>(VLOOKUP($B$3,'Coeff EC7'!$T$39:$X$59,3,0)*FG90+VLOOKUP($B$3,'Coeff EC7'!$T$65:$X$85,3,0)*Model0.1T!FH90)/1.1</f>
        <v>#N/A</v>
      </c>
      <c r="FK90" s="102" t="e">
        <f t="shared" si="198"/>
        <v>#N/A</v>
      </c>
      <c r="FL90" s="102" t="e">
        <f t="shared" si="199"/>
        <v>#N/A</v>
      </c>
      <c r="FM90" s="414" t="e">
        <f>IF(AND(FI90&gt;NDC!$C$63,FJ90&gt;NDC!$C$65,FK90&gt;NDC!$D$73,FL90&gt;NDC!$D$74,$B90&gt;NDC!$H$22-0.1+MIN(3*FM$12,1.5)),0,1)</f>
        <v>#N/A</v>
      </c>
    </row>
    <row r="91" spans="1:169">
      <c r="A91" s="96">
        <f t="shared" si="165"/>
        <v>92.200000000000443</v>
      </c>
      <c r="B91" s="97">
        <v>7.8</v>
      </c>
      <c r="C91" s="81">
        <f>IF(B91&lt;=Hypothèses!$C$7,Hypothèses!$A$7,IF(B91&lt;=Hypothèses!$C$8,Hypothèses!$A$8,IF(B91&lt;=Hypothèses!$C$9,Hypothèses!$A$9,IF(B91&lt;=Hypothèses!$C$10,Hypothèses!$A$10,IF(B91&lt;=Hypothèses!$C$11,Hypothèses!$A$11,IF(B91&lt;=Hypothèses!$C$12,Hypothèses!$A$12,IF(B91&lt;=Hypothèses!$C$13,Hypothèses!$A$13,IF(B91&lt;=Hypothèses!$C$14,Hypothèses!$A$14,IF(B91&lt;=Hypothèses!$C$15,Hypothèses!$A$15,IF(B91&lt;=Hypothèses!$C$16,Hypothèses!$A$16,IF(B91&lt;=Hypothèses!$C$17,Hypothèses!$A$17,IF(B91&lt;=Hypothèses!$C$18,Hypothèses!$A$18,C90))))))))))))</f>
        <v>11</v>
      </c>
      <c r="D91" s="82" t="str">
        <f>IF(B91&lt;=Hypothèses!$C$7,Hypothèses!$R$7,IF(B91&lt;=Hypothèses!$C$8,Hypothèses!$R$8,IF(B91&lt;=Hypothèses!$C$9,Hypothèses!$R$9,IF(B91&lt;=Hypothèses!$C$10,Hypothèses!$R$10,IF(B91&lt;=Hypothèses!$C$11,Hypothèses!$R$11,IF(B91&lt;=Hypothèses!$C$12,Hypothèses!$R$12,IF(B91&lt;=Hypothèses!$C$13,Hypothèses!$R$13,IF(B91&lt;=Hypothèses!$C$14,Hypothèses!$R$14,IF(B91&lt;=Hypothèses!$C$15,Hypothèses!$R$15,IF(B91&lt;=Hypothèses!$C$16,Hypothèses!$R$16,IF(B91&lt;=Hypothèses!$C$17,Hypothèses!$R$17,IF(B91&lt;=Hypothèses!$C$18,Hypothèses!$R$18,D90))))))))))))</f>
        <v>Pressio.</v>
      </c>
      <c r="E91" s="82" t="e">
        <f>IF(B91&lt;=Hypothèses!$C$7,Hypothèses!$G$7,IF(B91&lt;=Hypothèses!$C$8,Hypothèses!$G$8,IF(B91&lt;=Hypothèses!$C$9,Hypothèses!$G$9,IF(B91&lt;=Hypothèses!$C$10,Hypothèses!$G$10,IF(B91&lt;=Hypothèses!$C$11,Hypothèses!$G$11,IF(B91&lt;=Hypothèses!$C$12,Hypothèses!$G$12,IF(B91&lt;=Hypothèses!$C$13,Hypothèses!$G$13,IF(B91&lt;=Hypothèses!$C$14,Hypothèses!$G$14,IF(B91&lt;=Hypothèses!$C$15,Hypothèses!$G$15,IF(B91&lt;=Hypothèses!$C$16,Hypothèses!$G$16,IF(B91&lt;=Hypothèses!$C$17,Hypothèses!$G$17,IF(B91&lt;=Hypothèses!$C$18,Hypothèses!$G$18,E90))))))))))))</f>
        <v>#N/A</v>
      </c>
      <c r="F91" s="82" t="str">
        <f>IF(B91&lt;=Hypothèses!$C$7,Hypothèses!$F$7,IF(B91&lt;=Hypothèses!$C$8,Hypothèses!$F$8,IF(B91&lt;=Hypothèses!$C$9,Hypothèses!$F$9,IF(B91&lt;=Hypothèses!$C$10,Hypothèses!$F$10,IF(B91&lt;=Hypothèses!$C$11,Hypothèses!$F$11,IF(B91&lt;=Hypothèses!$C$12,Hypothèses!$F$12,IF(B91&lt;=Hypothèses!$C$13,Hypothèses!$F$13,IF(B91&lt;=Hypothèses!$C$14,Hypothèses!$F$14,IF(B91&lt;=Hypothèses!$C$15,Hypothèses!$F$15,IF(B91&lt;=Hypothèses!$C$16,Hypothèses!$F$16,IF(B91&lt;=Hypothèses!$C$17,Hypothèses!$F$17,IF(B91&lt;=Hypothèses!$C$18,Hypothèses!$F$18,F90))))))))))))</f>
        <v/>
      </c>
      <c r="G91" s="91">
        <f t="array" ref="G91">INDEX('Coeff EC7'!$U$7:$X$27,
MATCH(Model0.1T!$B$3,'Coeff EC7'!$T$7:$T$27,0),
MATCH(Model0.1T!$D91&amp;Model0.1T!$B$4,
'Coeff EC7'!$U$6:$X$6&amp;
'Coeff EC7'!$U$5:$X$5,0))</f>
        <v>1.4</v>
      </c>
      <c r="H91" s="91">
        <f t="array" ref="H91">INDEX('Coeff EC7'!$Y$7:$AB$27,
MATCH(Model0.1T!$B$3,'Coeff EC7'!$T$7:$T$27,0),
MATCH(Model0.1T!$D91&amp;Model0.1T!$B$4,
'Coeff EC7'!$Y$6:$AB$6&amp;
'Coeff EC7'!$Y$5:$AB$5,0))</f>
        <v>1.7</v>
      </c>
      <c r="I91" s="83">
        <v>0</v>
      </c>
      <c r="J91" s="91" t="e">
        <f t="array" ref="J91">INDEX('Coeff EC7'!$D$33:$Q$33,1,MATCH(D91&amp;E91,'Coeff EC7'!$D$31:$Q$31&amp;'Coeff EC7'!$D$32:$Q$32,0))</f>
        <v>#N/A</v>
      </c>
      <c r="K91" s="91" t="e">
        <f t="array" ref="K91">INDEX('Coeff EC7'!$D$34:$Q$34,1,MATCH(D91&amp;E91,'Coeff EC7'!$D$31:$Q$31&amp;'Coeff EC7'!$D$32:$Q$32,0))</f>
        <v>#N/A</v>
      </c>
      <c r="L91" s="91" t="e">
        <f t="array" ref="L91">INDEX('Coeff EC7'!$D$35:$Q$35,1,MATCH(D91&amp;E91,'Coeff EC7'!$D$31:$Q$31&amp;'Coeff EC7'!$D$32:$Q$32,0))</f>
        <v>#N/A</v>
      </c>
      <c r="M91" s="98" t="e">
        <f t="shared" si="131"/>
        <v>#N/A</v>
      </c>
      <c r="N91" s="99" t="e">
        <f t="array" ref="N91">INDEX('Coeff EC7'!$D$7:$Q$27,MATCH($B$3,'Coeff EC7'!$C$7:$C$27,0),MATCH(D91&amp;E91,'Coeff EC7'!$D$5:$Q$5&amp;'Coeff EC7'!$D$6:$Q$6,0))</f>
        <v>#N/A</v>
      </c>
      <c r="O91" s="99" t="e">
        <f t="array" ref="O91">INDEX('Coeff EC7'!$D$41:$Q$61,MATCH($B$3,'Coeff EC7'!$C$41:$C$61,0),MATCH(D91&amp;E91,'Coeff EC7'!$D$39:$Q$39&amp;'Coeff EC7'!$D$40:$Q$40,0))</f>
        <v>#N/A</v>
      </c>
      <c r="P91" s="30" t="e">
        <f t="shared" si="166"/>
        <v>#N/A</v>
      </c>
      <c r="Q91" s="100" t="e">
        <f t="shared" si="133"/>
        <v>#N/A</v>
      </c>
      <c r="R91" s="86" t="b">
        <f t="shared" si="134"/>
        <v>0</v>
      </c>
      <c r="S91" s="86">
        <f t="shared" si="132"/>
        <v>0.5</v>
      </c>
      <c r="T91" s="86">
        <f t="shared" si="135"/>
        <v>0.5</v>
      </c>
      <c r="U91" s="30" t="e">
        <f t="shared" ca="1" si="167"/>
        <v>#DIV/0!</v>
      </c>
      <c r="V91" s="85" t="str">
        <f>IF(B91&lt;=Hypothèses!$V$7,Hypothèses!$W$7,IF(B91&lt;=Hypothèses!$V$8,Hypothèses!$W$8,IF(B91&lt;=Hypothèses!$V$9,Hypothèses!$W$9,IF(B91&lt;=Hypothèses!$V$10,Hypothèses!$W$10,IF(B91&lt;=Hypothèses!$V$11,Hypothèses!$W$11,IF(B91&lt;=Hypothèses!$V$12,Hypothèses!$W$12,IF(B91&lt;=Hypothèses!$V$13,Hypothèses!$W$13,IF(B91&lt;=Hypothèses!$V$14,Hypothèses!$W$14,IF(B91&lt;=Hypothèses!$V$15,Hypothèses!$W$15,IF(B91&lt;=Hypothèses!$V$16,Hypothèses!$W$16,IF(B91&lt;=Hypothèses!$V$17,Hypothèses!$W$17,IF(B91&lt;=Hypothèses!$V$18,Hypothèses!$W$18,""))))))))))))</f>
        <v/>
      </c>
      <c r="W91" s="87" t="e">
        <f t="shared" ca="1" si="216"/>
        <v>#DIV/0!</v>
      </c>
      <c r="X91" s="88" t="str">
        <f>IF(B91&lt;=Hypothèses!$V$7,Hypothèses!$X$7,IF(B91&lt;=Hypothèses!$V$8,Hypothèses!$X$8,IF(B91&lt;=Hypothèses!$V$9,Hypothèses!$X$9,IF(B91&lt;=Hypothèses!$V$10,Hypothèses!$X$10,IF(B91&lt;=Hypothèses!$V$11,Hypothèses!$X$11,IF(B91&lt;=Hypothèses!$V$12,Hypothèses!$X$12,IF(B91&lt;=Hypothèses!$V$13,Hypothèses!$X$13,IF(B91&lt;=Hypothèses!$V$14,Hypothèses!$X$14,IF(B91&lt;=Hypothèses!$V$15,Hypothèses!$X$15,IF(B91&lt;=Hypothèses!$V$16,Hypothèses!$X$16,IF(B91&lt;=Hypothèses!$U$17,Hypothèses!$W$17,IF(B91&lt;=Hypothèses!$U$18,Hypothèses!$W$18,""))))))))))))</f>
        <v/>
      </c>
      <c r="Y91" s="95" t="e">
        <f t="shared" ca="1" si="136"/>
        <v>#DIV/0!</v>
      </c>
      <c r="Z91" s="101">
        <f t="shared" si="137"/>
        <v>0</v>
      </c>
      <c r="AA91" s="91">
        <f t="shared" si="138"/>
        <v>0</v>
      </c>
      <c r="AB91" s="30" t="e">
        <f t="shared" si="200"/>
        <v>#N/A</v>
      </c>
      <c r="AC91" s="30" t="e">
        <f t="shared" si="201"/>
        <v>#N/A</v>
      </c>
      <c r="AD91" s="31" t="e">
        <f>IF(OR(Hypothèses!$B$4=17,Hypothèses!$B$4=18,Hypothèses!$B$4=19,Hypothèses!$B$4=20),
IF($D91="Pressio.",
IF(OR($E91=3,$E91=1,$E91=4),AC91,AB91),
IF($D91="Pénétro.",
IF(OR($E91=3,$E91=1,$E91=4),AC91,AB91))),IF($D91="Pressio.",
IF($E91=3,AC91,AB91),
IF($D91="Pénétro.",
IF($E91=4,AC91,AB91))))</f>
        <v>#N/A</v>
      </c>
      <c r="AE91" s="31">
        <v>0</v>
      </c>
      <c r="AF91" s="102" t="e">
        <f>IF(NDC!$H$10="Oui",(VLOOKUP($B$3,'Coeff EC7'!$T$39:$X$59,2,0)*AD91+VLOOKUP($B$3,'Coeff EC7'!$T$65:$X$85,2,0)*Model0.1T!AE91)/1.5,PI()*AB$12*$Q91*($B91-$B90)*0.15/10+AF90)</f>
        <v>#N/A</v>
      </c>
      <c r="AG91" s="102" t="e">
        <f>(VLOOKUP($B$3,'Coeff EC7'!$T$39:$X$59,3,0)*AD91+VLOOKUP($B$3,'Coeff EC7'!$T$65:$X$85,3,0)*Model0.1T!AE91)/1.1</f>
        <v>#N/A</v>
      </c>
      <c r="AH91" s="102" t="e">
        <f t="shared" si="168"/>
        <v>#N/A</v>
      </c>
      <c r="AI91" s="102" t="e">
        <f t="shared" si="169"/>
        <v>#N/A</v>
      </c>
      <c r="AJ91" s="414" t="e">
        <f>IF(AND(AF91&gt;NDC!$C$63,AG91&gt;NDC!$C$65,AH91&gt;NDC!$D$73,AI91&gt;NDC!$D$74,$B91&gt;NDC!$H$22-0.1+MIN(3*$AJ$12,1.5)),0,1)</f>
        <v>#N/A</v>
      </c>
      <c r="AK91" s="86" t="b">
        <f t="shared" si="139"/>
        <v>0</v>
      </c>
      <c r="AL91" s="86">
        <f t="shared" si="170"/>
        <v>0.5</v>
      </c>
      <c r="AM91" s="86">
        <f t="shared" si="140"/>
        <v>0.5</v>
      </c>
      <c r="AN91" s="30" t="e">
        <f t="shared" ca="1" si="171"/>
        <v>#DIV/0!</v>
      </c>
      <c r="AO91" s="85" t="e">
        <f ca="1">IF(U91&lt;=Hypothèses!$V$7,Hypothèses!$W$7,IF(U91&lt;=Hypothèses!$V$8,Hypothèses!$W$8,IF(U91&lt;=Hypothèses!$V$9,Hypothèses!$W$9,IF(U91&lt;=Hypothèses!$V$10,Hypothèses!$W$10,IF(U91&lt;=Hypothèses!$V$11,Hypothèses!$W$11,IF(U91&lt;=Hypothèses!$V$12,Hypothèses!$W$12,IF(U91&lt;=Hypothèses!$V$13,Hypothèses!$W$13,IF(U91&lt;=Hypothèses!$V$14,Hypothèses!$W$14,IF(U91&lt;=Hypothèses!$V$15,Hypothèses!$W$15,IF(U91&lt;=Hypothèses!$V$16,Hypothèses!$W$16,IF(U91&lt;=Hypothèses!$V$17,Hypothèses!$W$17,IF(U91&lt;=Hypothèses!$V$18,Hypothèses!$W$18,""))))))))))))</f>
        <v>#DIV/0!</v>
      </c>
      <c r="AP91" s="87" t="e">
        <f t="shared" ca="1" si="217"/>
        <v>#DIV/0!</v>
      </c>
      <c r="AQ91" s="88" t="e">
        <f ca="1">IF(U91&lt;=Hypothèses!$V$7,Hypothèses!$X$7,IF(U91&lt;=Hypothèses!$V$8,Hypothèses!$X$8,IF(U91&lt;=Hypothèses!$V$9,Hypothèses!$X$9,IF(U91&lt;=Hypothèses!$V$10,Hypothèses!$X$10,IF(U91&lt;=Hypothèses!$V$11,Hypothèses!$X$11,IF(U91&lt;=Hypothèses!$V$12,Hypothèses!$X$12,IF(U91&lt;=Hypothèses!$V$13,Hypothèses!$X$13,IF(U91&lt;=Hypothèses!$V$14,Hypothèses!$X$14,IF(U91&lt;=Hypothèses!$V$15,Hypothèses!$X$15,IF(U91&lt;=Hypothèses!$V$16,Hypothèses!$X$16,IF(U91&lt;=Hypothèses!$U$17,Hypothèses!$W$17,IF(U91&lt;=Hypothèses!$U$18,Hypothèses!$W$18,""))))))))))))</f>
        <v>#DIV/0!</v>
      </c>
      <c r="AR91" s="95" t="e">
        <f t="shared" ca="1" si="172"/>
        <v>#DIV/0!</v>
      </c>
      <c r="AS91" s="101">
        <f t="shared" si="224"/>
        <v>0</v>
      </c>
      <c r="AT91" s="91">
        <f t="shared" si="141"/>
        <v>0</v>
      </c>
      <c r="AU91" s="30" t="e">
        <f t="shared" si="202"/>
        <v>#N/A</v>
      </c>
      <c r="AV91" s="30" t="e">
        <f t="shared" si="203"/>
        <v>#N/A</v>
      </c>
      <c r="AW91" s="31" t="e">
        <f>IF(OR(Hypothèses!$B$4=17,Hypothèses!$B$4=18,Hypothèses!$B$4=19,Hypothèses!$B$4=20),
IF($D91="Pressio.",
IF(OR($E91=3,$E91=1,$E91=4),AV91,AU91),
IF($D91="Pénétro.",
IF(OR($E91=3,$E91=1,$E91=4),AV91,AU91))),IF($D91="Pressio.",
IF($E91=3,AV91,AU91),
IF($D91="Pénétro.",
IF($E91=4,AV91,AU91))))</f>
        <v>#N/A</v>
      </c>
      <c r="AX91" s="31">
        <v>0</v>
      </c>
      <c r="AY91" s="102" t="e">
        <f>IF(NDC!$H$10="Oui",(VLOOKUP($B$3,'Coeff EC7'!$T$39:$X$59,2,0)*AW91+VLOOKUP($B$3,'Coeff EC7'!$T$65:$X$85,2,0)*Model0.1T!AX91)/1.5,PI()*AU$12*$Q91*($B91-$B90)*0.15/10+AY90)</f>
        <v>#N/A</v>
      </c>
      <c r="AZ91" s="102" t="e">
        <f>(VLOOKUP($B$3,'Coeff EC7'!$T$39:$X$59,3,0)*AW91+VLOOKUP($B$3,'Coeff EC7'!$T$65:$X$85,3,0)*Model0.1T!AX91)/1.1</f>
        <v>#N/A</v>
      </c>
      <c r="BA91" s="102" t="e">
        <f t="shared" si="173"/>
        <v>#N/A</v>
      </c>
      <c r="BB91" s="102" t="e">
        <f t="shared" si="174"/>
        <v>#N/A</v>
      </c>
      <c r="BC91" s="414" t="e">
        <f>IF(AND(AY91&gt;NDC!$C$63,AZ91&gt;NDC!$C$65,BA91&gt;NDC!$D$73,BB91&gt;NDC!$D$74,$B91&gt;NDC!$H$22-0.1+MIN(3*BC$12,1.5)),0,1)</f>
        <v>#N/A</v>
      </c>
      <c r="BD91" s="86" t="b">
        <f t="shared" si="142"/>
        <v>0</v>
      </c>
      <c r="BE91" s="86">
        <f t="shared" si="175"/>
        <v>0.5</v>
      </c>
      <c r="BF91" s="86">
        <f t="shared" si="143"/>
        <v>0.5</v>
      </c>
      <c r="BG91" s="30" t="e">
        <f t="shared" ca="1" si="176"/>
        <v>#DIV/0!</v>
      </c>
      <c r="BH91" s="85" t="e">
        <f ca="1">IF(AN91&lt;=Hypothèses!$V$7,Hypothèses!$W$7,IF(AN91&lt;=Hypothèses!$V$8,Hypothèses!$W$8,IF(AN91&lt;=Hypothèses!$V$9,Hypothèses!$W$9,IF(AN91&lt;=Hypothèses!$V$10,Hypothèses!$W$10,IF(AN91&lt;=Hypothèses!$V$11,Hypothèses!$W$11,IF(AN91&lt;=Hypothèses!$V$12,Hypothèses!$W$12,IF(AN91&lt;=Hypothèses!$V$13,Hypothèses!$W$13,IF(AN91&lt;=Hypothèses!$V$14,Hypothèses!$W$14,IF(AN91&lt;=Hypothèses!$V$15,Hypothèses!$W$15,IF(AN91&lt;=Hypothèses!$V$16,Hypothèses!$W$16,IF(AN91&lt;=Hypothèses!$V$17,Hypothèses!$W$17,IF(AN91&lt;=Hypothèses!$V$18,Hypothèses!$W$18,""))))))))))))</f>
        <v>#DIV/0!</v>
      </c>
      <c r="BI91" s="87" t="e">
        <f t="shared" ca="1" si="218"/>
        <v>#DIV/0!</v>
      </c>
      <c r="BJ91" s="88" t="e">
        <f ca="1">IF(AN91&lt;=Hypothèses!$V$7,Hypothèses!$X$7,IF(AN91&lt;=Hypothèses!$V$8,Hypothèses!$X$8,IF(AN91&lt;=Hypothèses!$V$9,Hypothèses!$X$9,IF(AN91&lt;=Hypothèses!$V$10,Hypothèses!$X$10,IF(AN91&lt;=Hypothèses!$V$11,Hypothèses!$X$11,IF(AN91&lt;=Hypothèses!$V$12,Hypothèses!$X$12,IF(AN91&lt;=Hypothèses!$V$13,Hypothèses!$X$13,IF(AN91&lt;=Hypothèses!$V$14,Hypothèses!$X$14,IF(AN91&lt;=Hypothèses!$V$15,Hypothèses!$X$15,IF(AN91&lt;=Hypothèses!$V$16,Hypothèses!$X$16,IF(AN91&lt;=Hypothèses!$U$17,Hypothèses!$W$17,IF(AN91&lt;=Hypothèses!$U$18,Hypothèses!$W$18,""))))))))))))</f>
        <v>#DIV/0!</v>
      </c>
      <c r="BK91" s="95" t="e">
        <f t="shared" ca="1" si="177"/>
        <v>#DIV/0!</v>
      </c>
      <c r="BL91" s="101">
        <f t="shared" si="225"/>
        <v>0</v>
      </c>
      <c r="BM91" s="91">
        <f t="shared" si="144"/>
        <v>0</v>
      </c>
      <c r="BN91" s="30" t="e">
        <f t="shared" si="204"/>
        <v>#N/A</v>
      </c>
      <c r="BO91" s="30" t="e">
        <f t="shared" si="205"/>
        <v>#N/A</v>
      </c>
      <c r="BP91" s="31" t="e">
        <f>IF(OR(Hypothèses!$B$4=17,Hypothèses!$B$4=18,Hypothèses!$B$4=19,Hypothèses!$B$4=20),
IF($D91="Pressio.",
IF(OR($E91=3,$E91=1,$E91=4),BO91,BN91),
IF($D91="Pénétro.",
IF(OR($E91=3,$E91=1,$E91=4),BO91,BN91))),IF($D91="Pressio.",
IF($E91=3,BO91,BN91),
IF($D91="Pénétro.",
IF($E91=4,BO91,BN91))))</f>
        <v>#N/A</v>
      </c>
      <c r="BQ91" s="31">
        <v>0</v>
      </c>
      <c r="BR91" s="102" t="e">
        <f>IF(NDC!$H$10="Oui",(VLOOKUP($B$3,'Coeff EC7'!$T$39:$X$59,2,0)*BP91+VLOOKUP($B$3,'Coeff EC7'!$T$65:$X$85,2,0)*Model0.1T!BQ91)/1.5,PI()*BN$12*$Q91*($B91-$B90)*0.15/10+BR90)</f>
        <v>#N/A</v>
      </c>
      <c r="BS91" s="102" t="e">
        <f>(VLOOKUP($B$3,'Coeff EC7'!$T$39:$X$59,3,0)*BP91+VLOOKUP($B$3,'Coeff EC7'!$T$65:$X$85,3,0)*Model0.1T!BQ91)/1.1</f>
        <v>#N/A</v>
      </c>
      <c r="BT91" s="102" t="e">
        <f t="shared" si="178"/>
        <v>#N/A</v>
      </c>
      <c r="BU91" s="102" t="e">
        <f t="shared" si="179"/>
        <v>#N/A</v>
      </c>
      <c r="BV91" s="414" t="e">
        <f>IF(AND(BR91&gt;NDC!$C$63,BS91&gt;NDC!$C$65,BT91&gt;NDC!$D$73,BU91&gt;NDC!$D$74,$B91&gt;NDC!$H$22-0.1+MIN(3*BV$12,1.5)),0,1)</f>
        <v>#N/A</v>
      </c>
      <c r="BW91" s="86" t="b">
        <f t="shared" si="145"/>
        <v>0</v>
      </c>
      <c r="BX91" s="86">
        <f t="shared" si="146"/>
        <v>0.5</v>
      </c>
      <c r="BY91" s="86">
        <f t="shared" si="147"/>
        <v>0.5</v>
      </c>
      <c r="BZ91" s="30" t="e">
        <f t="shared" ca="1" si="180"/>
        <v>#DIV/0!</v>
      </c>
      <c r="CA91" s="85" t="e">
        <f ca="1">IF(BG91&lt;=Hypothèses!$V$7,Hypothèses!$W$7,IF(BG91&lt;=Hypothèses!$V$8,Hypothèses!$W$8,IF(BG91&lt;=Hypothèses!$V$9,Hypothèses!$W$9,IF(BG91&lt;=Hypothèses!$V$10,Hypothèses!$W$10,IF(BG91&lt;=Hypothèses!$V$11,Hypothèses!$W$11,IF(BG91&lt;=Hypothèses!$V$12,Hypothèses!$W$12,IF(BG91&lt;=Hypothèses!$V$13,Hypothèses!$W$13,IF(BG91&lt;=Hypothèses!$V$14,Hypothèses!$W$14,IF(BG91&lt;=Hypothèses!$V$15,Hypothèses!$W$15,IF(BG91&lt;=Hypothèses!$V$16,Hypothèses!$W$16,IF(BG91&lt;=Hypothèses!$V$17,Hypothèses!$W$17,IF(BG91&lt;=Hypothèses!$V$18,Hypothèses!$W$18,""))))))))))))</f>
        <v>#DIV/0!</v>
      </c>
      <c r="CB91" s="87" t="e">
        <f t="shared" ca="1" si="219"/>
        <v>#DIV/0!</v>
      </c>
      <c r="CC91" s="88" t="e">
        <f ca="1">IF(BG91&lt;=Hypothèses!$V$7,Hypothèses!$X$7,IF(BG91&lt;=Hypothèses!$V$8,Hypothèses!$X$8,IF(BG91&lt;=Hypothèses!$V$9,Hypothèses!$X$9,IF(BG91&lt;=Hypothèses!$V$10,Hypothèses!$X$10,IF(BG91&lt;=Hypothèses!$V$11,Hypothèses!$X$11,IF(BG91&lt;=Hypothèses!$V$12,Hypothèses!$X$12,IF(BG91&lt;=Hypothèses!$V$13,Hypothèses!$X$13,IF(BG91&lt;=Hypothèses!$V$14,Hypothèses!$X$14,IF(BG91&lt;=Hypothèses!$V$15,Hypothèses!$X$15,IF(BG91&lt;=Hypothèses!$V$16,Hypothèses!$X$16,IF(BG91&lt;=Hypothèses!$U$17,Hypothèses!$W$17,IF(BG91&lt;=Hypothèses!$U$18,Hypothèses!$W$18,""))))))))))))</f>
        <v>#DIV/0!</v>
      </c>
      <c r="CD91" s="95" t="e">
        <f t="shared" ca="1" si="181"/>
        <v>#DIV/0!</v>
      </c>
      <c r="CE91" s="101">
        <f t="shared" si="226"/>
        <v>0</v>
      </c>
      <c r="CF91" s="91">
        <f t="shared" si="148"/>
        <v>0</v>
      </c>
      <c r="CG91" s="30" t="e">
        <f t="shared" si="206"/>
        <v>#N/A</v>
      </c>
      <c r="CH91" s="30" t="e">
        <f t="shared" si="207"/>
        <v>#N/A</v>
      </c>
      <c r="CI91" s="31" t="e">
        <f>IF(OR(Hypothèses!$B$4=17,Hypothèses!$B$4=18,Hypothèses!$B$4=19,Hypothèses!$B$4=20),
IF($D91="Pressio.",
IF(OR($E91=3,$E91=1,$E91=4),CH91,CG91),
IF($D91="Pénétro.",
IF(OR($E91=3,$E91=1,$E91=4),CH91,CG91))),IF($D91="Pressio.",
IF($E91=3,CH91,CG91),
IF($D91="Pénétro.",
IF($E91=4,CH91,CG91))))</f>
        <v>#N/A</v>
      </c>
      <c r="CJ91" s="31">
        <v>0</v>
      </c>
      <c r="CK91" s="102" t="e">
        <f>IF(NDC!$H$10="Oui",(VLOOKUP($B$3,'Coeff EC7'!$T$39:$X$59,2,0)*CI91+VLOOKUP($B$3,'Coeff EC7'!$T$65:$X$85,2,0)*Model0.1T!CJ91)/1.5,PI()*CG$12*$Q91*($B91-$B90)*0.15/10+CK90)</f>
        <v>#N/A</v>
      </c>
      <c r="CL91" s="102" t="e">
        <f>(VLOOKUP($B$3,'Coeff EC7'!$T$39:$X$59,3,0)*CI91+VLOOKUP($B$3,'Coeff EC7'!$T$65:$X$85,3,0)*Model0.1T!CJ91)/1.1</f>
        <v>#N/A</v>
      </c>
      <c r="CM91" s="102" t="e">
        <f t="shared" si="182"/>
        <v>#N/A</v>
      </c>
      <c r="CN91" s="102" t="e">
        <f t="shared" si="183"/>
        <v>#N/A</v>
      </c>
      <c r="CO91" s="414" t="e">
        <f>IF(AND(CK91&gt;NDC!$C$63,CL91&gt;NDC!$C$65,CM91&gt;NDC!$D$73,CN91&gt;NDC!$D$74,$B91&gt;NDC!$H$22-0.1+MIN(3*CO$12,1.5)),0,1)</f>
        <v>#N/A</v>
      </c>
      <c r="CP91" s="86" t="b">
        <f t="shared" si="149"/>
        <v>0</v>
      </c>
      <c r="CQ91" s="86">
        <f t="shared" si="150"/>
        <v>0.5</v>
      </c>
      <c r="CR91" s="86">
        <f t="shared" si="151"/>
        <v>0.5</v>
      </c>
      <c r="CS91" s="30" t="e">
        <f t="shared" ca="1" si="184"/>
        <v>#DIV/0!</v>
      </c>
      <c r="CT91" s="85" t="e">
        <f ca="1">IF(BZ91&lt;=Hypothèses!$V$7,Hypothèses!$W$7,IF(BZ91&lt;=Hypothèses!$V$8,Hypothèses!$W$8,IF(BZ91&lt;=Hypothèses!$V$9,Hypothèses!$W$9,IF(BZ91&lt;=Hypothèses!$V$10,Hypothèses!$W$10,IF(BZ91&lt;=Hypothèses!$V$11,Hypothèses!$W$11,IF(BZ91&lt;=Hypothèses!$V$12,Hypothèses!$W$12,IF(BZ91&lt;=Hypothèses!$V$13,Hypothèses!$W$13,IF(BZ91&lt;=Hypothèses!$V$14,Hypothèses!$W$14,IF(BZ91&lt;=Hypothèses!$V$15,Hypothèses!$W$15,IF(BZ91&lt;=Hypothèses!$V$16,Hypothèses!$W$16,IF(BZ91&lt;=Hypothèses!$V$17,Hypothèses!$W$17,IF(BZ91&lt;=Hypothèses!$V$18,Hypothèses!$W$18,""))))))))))))</f>
        <v>#DIV/0!</v>
      </c>
      <c r="CU91" s="87" t="e">
        <f t="shared" ca="1" si="220"/>
        <v>#DIV/0!</v>
      </c>
      <c r="CV91" s="88" t="e">
        <f ca="1">IF(BZ91&lt;=Hypothèses!$V$7,Hypothèses!$X$7,IF(BZ91&lt;=Hypothèses!$V$8,Hypothèses!$X$8,IF(BZ91&lt;=Hypothèses!$V$9,Hypothèses!$X$9,IF(BZ91&lt;=Hypothèses!$V$10,Hypothèses!$X$10,IF(BZ91&lt;=Hypothèses!$V$11,Hypothèses!$X$11,IF(BZ91&lt;=Hypothèses!$V$12,Hypothèses!$X$12,IF(BZ91&lt;=Hypothèses!$V$13,Hypothèses!$X$13,IF(BZ91&lt;=Hypothèses!$V$14,Hypothèses!$X$14,IF(BZ91&lt;=Hypothèses!$V$15,Hypothèses!$X$15,IF(BZ91&lt;=Hypothèses!$V$16,Hypothèses!$X$16,IF(BZ91&lt;=Hypothèses!$U$17,Hypothèses!$W$17,IF(BZ91&lt;=Hypothèses!$U$18,Hypothèses!$W$18,""))))))))))))</f>
        <v>#DIV/0!</v>
      </c>
      <c r="CW91" s="95" t="e">
        <f t="shared" ca="1" si="185"/>
        <v>#DIV/0!</v>
      </c>
      <c r="CX91" s="101">
        <f t="shared" si="227"/>
        <v>0</v>
      </c>
      <c r="CY91" s="91">
        <f t="shared" si="152"/>
        <v>0</v>
      </c>
      <c r="CZ91" s="30" t="e">
        <f t="shared" si="208"/>
        <v>#N/A</v>
      </c>
      <c r="DA91" s="30" t="e">
        <f t="shared" si="209"/>
        <v>#N/A</v>
      </c>
      <c r="DB91" s="31" t="e">
        <f>IF(OR(Hypothèses!$B$4=17,Hypothèses!$B$4=18,Hypothèses!$B$4=19,Hypothèses!$B$4=20),
IF($D91="Pressio.",
IF(OR($E91=3,$E91=1,$E91=4),DA91,CZ91),
IF($D91="Pénétro.",
IF(OR($E91=3,$E91=1,$E91=4),DA91,CZ91))),IF($D91="Pressio.",
IF($E91=3,DA91,CZ91),
IF($D91="Pénétro.",
IF($E91=4,DA91,CZ91))))</f>
        <v>#N/A</v>
      </c>
      <c r="DC91" s="31">
        <v>0</v>
      </c>
      <c r="DD91" s="102" t="e">
        <f>IF(NDC!$H$10="Oui",(VLOOKUP($B$3,'Coeff EC7'!$T$39:$X$59,2,0)*DB91+VLOOKUP($B$3,'Coeff EC7'!$T$65:$X$85,2,0)*Model0.1T!DC91)/1.5,PI()*CZ$12*$Q91*($B91-$B90)*0.15/10+DD90)</f>
        <v>#N/A</v>
      </c>
      <c r="DE91" s="102" t="e">
        <f>(VLOOKUP($B$3,'Coeff EC7'!$T$39:$X$59,3,0)*DB91+VLOOKUP($B$3,'Coeff EC7'!$T$65:$X$85,3,0)*Model0.1T!DC91)/1.1</f>
        <v>#N/A</v>
      </c>
      <c r="DF91" s="102" t="e">
        <f t="shared" si="186"/>
        <v>#N/A</v>
      </c>
      <c r="DG91" s="102" t="e">
        <f t="shared" si="187"/>
        <v>#N/A</v>
      </c>
      <c r="DH91" s="414" t="e">
        <f>IF(AND(DD91&gt;NDC!$C$63,DE91&gt;NDC!$C$65,DF91&gt;NDC!$D$73,DG91&gt;NDC!$D$74,$B91&gt;NDC!$H$22-0.1+MIN(3*DH$12,1.5)),0,1)</f>
        <v>#N/A</v>
      </c>
      <c r="DI91" s="86" t="b">
        <f t="shared" si="153"/>
        <v>0</v>
      </c>
      <c r="DJ91" s="86">
        <f t="shared" si="154"/>
        <v>0.5</v>
      </c>
      <c r="DK91" s="86">
        <f t="shared" si="155"/>
        <v>0.5</v>
      </c>
      <c r="DL91" s="30" t="e">
        <f t="shared" ca="1" si="188"/>
        <v>#DIV/0!</v>
      </c>
      <c r="DM91" s="85" t="e">
        <f ca="1">IF(CS91&lt;=Hypothèses!$V$7,Hypothèses!$W$7,IF(CS91&lt;=Hypothèses!$V$8,Hypothèses!$W$8,IF(CS91&lt;=Hypothèses!$V$9,Hypothèses!$W$9,IF(CS91&lt;=Hypothèses!$V$10,Hypothèses!$W$10,IF(CS91&lt;=Hypothèses!$V$11,Hypothèses!$W$11,IF(CS91&lt;=Hypothèses!$V$12,Hypothèses!$W$12,IF(CS91&lt;=Hypothèses!$V$13,Hypothèses!$W$13,IF(CS91&lt;=Hypothèses!$V$14,Hypothèses!$W$14,IF(CS91&lt;=Hypothèses!$V$15,Hypothèses!$W$15,IF(CS91&lt;=Hypothèses!$V$16,Hypothèses!$W$16,IF(CS91&lt;=Hypothèses!$V$17,Hypothèses!$W$17,IF(CS91&lt;=Hypothèses!$V$18,Hypothèses!$W$18,""))))))))))))</f>
        <v>#DIV/0!</v>
      </c>
      <c r="DN91" s="87" t="e">
        <f t="shared" ca="1" si="221"/>
        <v>#DIV/0!</v>
      </c>
      <c r="DO91" s="88" t="e">
        <f ca="1">IF(CS91&lt;=Hypothèses!$V$7,Hypothèses!$X$7,IF(CS91&lt;=Hypothèses!$V$8,Hypothèses!$X$8,IF(CS91&lt;=Hypothèses!$V$9,Hypothèses!$X$9,IF(CS91&lt;=Hypothèses!$V$10,Hypothèses!$X$10,IF(CS91&lt;=Hypothèses!$V$11,Hypothèses!$X$11,IF(CS91&lt;=Hypothèses!$V$12,Hypothèses!$X$12,IF(CS91&lt;=Hypothèses!$V$13,Hypothèses!$X$13,IF(CS91&lt;=Hypothèses!$V$14,Hypothèses!$X$14,IF(CS91&lt;=Hypothèses!$V$15,Hypothèses!$X$15,IF(CS91&lt;=Hypothèses!$V$16,Hypothèses!$X$16,IF(CS91&lt;=Hypothèses!$U$17,Hypothèses!$W$17,IF(CS91&lt;=Hypothèses!$U$18,Hypothèses!$W$18,""))))))))))))</f>
        <v>#DIV/0!</v>
      </c>
      <c r="DP91" s="95" t="e">
        <f t="shared" ca="1" si="189"/>
        <v>#DIV/0!</v>
      </c>
      <c r="DQ91" s="101">
        <f t="shared" si="228"/>
        <v>0</v>
      </c>
      <c r="DR91" s="91">
        <f t="shared" si="156"/>
        <v>0</v>
      </c>
      <c r="DS91" s="30" t="e">
        <f t="shared" si="210"/>
        <v>#N/A</v>
      </c>
      <c r="DT91" s="30" t="e">
        <f t="shared" si="211"/>
        <v>#N/A</v>
      </c>
      <c r="DU91" s="31" t="e">
        <f>IF(OR(Hypothèses!$B$4=17,Hypothèses!$B$4=18,Hypothèses!$B$4=19,Hypothèses!$B$4=20),
IF($D91="Pressio.",
IF(OR($E91=3,$E91=1,$E91=4),DT91,DS91),
IF($D91="Pénétro.",
IF(OR($E91=3,$E91=1,$E91=4),DT91,DS91))),IF($D91="Pressio.",
IF($E91=3,DT91,DS91),
IF($D91="Pénétro.",
IF($E91=4,DT91,DS91))))</f>
        <v>#N/A</v>
      </c>
      <c r="DV91" s="31">
        <v>0</v>
      </c>
      <c r="DW91" s="102" t="e">
        <f>IF(NDC!$H$10="Oui",(VLOOKUP($B$3,'Coeff EC7'!$T$39:$X$59,2,0)*DU91+VLOOKUP($B$3,'Coeff EC7'!$T$65:$X$85,2,0)*Model0.1T!DV91)/1.5,PI()*DS$12*$Q91*($B91-$B90)*0.15/10+DW90)</f>
        <v>#N/A</v>
      </c>
      <c r="DX91" s="102" t="e">
        <f>(VLOOKUP($B$3,'Coeff EC7'!$T$39:$X$59,3,0)*DU91+VLOOKUP($B$3,'Coeff EC7'!$T$65:$X$85,3,0)*Model0.1T!DV91)/1.1</f>
        <v>#N/A</v>
      </c>
      <c r="DY91" s="102" t="e">
        <f t="shared" si="190"/>
        <v>#N/A</v>
      </c>
      <c r="DZ91" s="102" t="e">
        <f t="shared" si="191"/>
        <v>#N/A</v>
      </c>
      <c r="EA91" s="414" t="e">
        <f>IF(AND(DW91&gt;NDC!$C$63,DX91&gt;NDC!$C$65,DY91&gt;NDC!$D$73,DZ91&gt;NDC!$D$74,$B91&gt;NDC!$H$22-0.1+MIN(3*EA$12,1.5)),0,1)</f>
        <v>#N/A</v>
      </c>
      <c r="EB91" s="86" t="b">
        <f t="shared" si="157"/>
        <v>0</v>
      </c>
      <c r="EC91" s="418">
        <f t="shared" si="158"/>
        <v>0.51</v>
      </c>
      <c r="ED91" s="86">
        <f t="shared" si="159"/>
        <v>0.51</v>
      </c>
      <c r="EE91" s="30" t="e">
        <f t="shared" ca="1" si="192"/>
        <v>#DIV/0!</v>
      </c>
      <c r="EF91" s="85" t="e">
        <f ca="1">IF(DL91&lt;=Hypothèses!$V$7,Hypothèses!$W$7,IF(DL91&lt;=Hypothèses!$V$8,Hypothèses!$W$8,IF(DL91&lt;=Hypothèses!$V$9,Hypothèses!$W$9,IF(DL91&lt;=Hypothèses!$V$10,Hypothèses!$W$10,IF(DL91&lt;=Hypothèses!$V$11,Hypothèses!$W$11,IF(DL91&lt;=Hypothèses!$V$12,Hypothèses!$W$12,IF(DL91&lt;=Hypothèses!$V$13,Hypothèses!$W$13,IF(DL91&lt;=Hypothèses!$V$14,Hypothèses!$W$14,IF(DL91&lt;=Hypothèses!$V$15,Hypothèses!$W$15,IF(DL91&lt;=Hypothèses!$V$16,Hypothèses!$W$16,IF(DL91&lt;=Hypothèses!$V$17,Hypothèses!$W$17,IF(DL91&lt;=Hypothèses!$V$18,Hypothèses!$W$18,""))))))))))))</f>
        <v>#DIV/0!</v>
      </c>
      <c r="EG91" s="87" t="e">
        <f t="shared" ca="1" si="222"/>
        <v>#DIV/0!</v>
      </c>
      <c r="EH91" s="88" t="e">
        <f ca="1">IF(DL91&lt;=Hypothèses!$V$7,Hypothèses!$X$7,IF(DL91&lt;=Hypothèses!$V$8,Hypothèses!$X$8,IF(DL91&lt;=Hypothèses!$V$9,Hypothèses!$X$9,IF(DL91&lt;=Hypothèses!$V$10,Hypothèses!$X$10,IF(DL91&lt;=Hypothèses!$V$11,Hypothèses!$X$11,IF(DL91&lt;=Hypothèses!$V$12,Hypothèses!$X$12,IF(DL91&lt;=Hypothèses!$V$13,Hypothèses!$X$13,IF(DL91&lt;=Hypothèses!$V$14,Hypothèses!$X$14,IF(DL91&lt;=Hypothèses!$V$15,Hypothèses!$X$15,IF(DL91&lt;=Hypothèses!$V$16,Hypothèses!$X$16,IF(DL91&lt;=Hypothèses!$U$17,Hypothèses!$W$17,IF(DL91&lt;=Hypothèses!$U$18,Hypothèses!$W$18,""))))))))))))</f>
        <v>#DIV/0!</v>
      </c>
      <c r="EI91" s="95" t="e">
        <f t="shared" ca="1" si="193"/>
        <v>#DIV/0!</v>
      </c>
      <c r="EJ91" s="101">
        <f t="shared" si="229"/>
        <v>0</v>
      </c>
      <c r="EK91" s="91">
        <f t="shared" si="160"/>
        <v>0</v>
      </c>
      <c r="EL91" s="30" t="e">
        <f t="shared" si="212"/>
        <v>#N/A</v>
      </c>
      <c r="EM91" s="30" t="e">
        <f t="shared" si="213"/>
        <v>#N/A</v>
      </c>
      <c r="EN91" s="31" t="e">
        <f>IF(OR(Hypothèses!$B$4=17,Hypothèses!$B$4=18,Hypothèses!$B$4=19,Hypothèses!$B$4=20),
IF($D91="Pressio.",
IF(OR($E91=3,$E91=1,$E91=4),EM91,EL91),
IF($D91="Pénétro.",
IF(OR($E91=3,$E91=1,$E91=4),EM91,EL91))),IF($D91="Pressio.",
IF($E91=3,EM91,EL91),
IF($D91="Pénétro.",
IF($E91=4,EM91,EL91))))</f>
        <v>#N/A</v>
      </c>
      <c r="EO91" s="31">
        <v>0</v>
      </c>
      <c r="EP91" s="102" t="e">
        <f>IF(NDC!$H$10="Oui",(VLOOKUP($B$3,'Coeff EC7'!$T$39:$X$59,2,0)*EN91+VLOOKUP($B$3,'Coeff EC7'!$T$65:$X$85,2,0)*Model0.1T!EO91)/1.5,PI()*EL$12*$Q91*($B91-$B90)*0.15/10+EP90)</f>
        <v>#N/A</v>
      </c>
      <c r="EQ91" s="102" t="e">
        <f>(VLOOKUP($B$3,'Coeff EC7'!$T$39:$X$59,3,0)*EN91+VLOOKUP($B$3,'Coeff EC7'!$T$65:$X$85,3,0)*Model0.1T!EO91)/1.1</f>
        <v>#N/A</v>
      </c>
      <c r="ER91" s="102" t="e">
        <f t="shared" si="194"/>
        <v>#N/A</v>
      </c>
      <c r="ES91" s="102" t="e">
        <f t="shared" si="195"/>
        <v>#N/A</v>
      </c>
      <c r="ET91" s="414" t="e">
        <f>IF(AND(EP91&gt;NDC!$C$63,EQ91&gt;NDC!$C$65,ER91&gt;NDC!$D$73,ES91&gt;NDC!$D$74,$B91&gt;NDC!$H$22-0.1+MIN(3*ET$12,1.5)),0,1)</f>
        <v>#N/A</v>
      </c>
      <c r="EU91" s="86" t="b">
        <f t="shared" si="161"/>
        <v>0</v>
      </c>
      <c r="EV91" s="86">
        <f t="shared" si="162"/>
        <v>0.61</v>
      </c>
      <c r="EW91" s="86">
        <f t="shared" si="163"/>
        <v>0.61</v>
      </c>
      <c r="EX91" s="30" t="e">
        <f t="shared" ca="1" si="196"/>
        <v>#DIV/0!</v>
      </c>
      <c r="EY91" s="85" t="e">
        <f ca="1">IF(EE91&lt;=Hypothèses!$V$7,Hypothèses!$W$7,IF(EE91&lt;=Hypothèses!$V$8,Hypothèses!$W$8,IF(EE91&lt;=Hypothèses!$V$9,Hypothèses!$W$9,IF(EE91&lt;=Hypothèses!$V$10,Hypothèses!$W$10,IF(EE91&lt;=Hypothèses!$V$11,Hypothèses!$W$11,IF(EE91&lt;=Hypothèses!$V$12,Hypothèses!$W$12,IF(EE91&lt;=Hypothèses!$V$13,Hypothèses!$W$13,IF(EE91&lt;=Hypothèses!$V$14,Hypothèses!$W$14,IF(EE91&lt;=Hypothèses!$V$15,Hypothèses!$W$15,IF(EE91&lt;=Hypothèses!$V$16,Hypothèses!$W$16,IF(EE91&lt;=Hypothèses!$V$17,Hypothèses!$W$17,IF(EE91&lt;=Hypothèses!$V$18,Hypothèses!$W$18,""))))))))))))</f>
        <v>#DIV/0!</v>
      </c>
      <c r="EZ91" s="87" t="e">
        <f t="shared" ca="1" si="223"/>
        <v>#DIV/0!</v>
      </c>
      <c r="FA91" s="88" t="e">
        <f ca="1">IF(EE91&lt;=Hypothèses!$V$7,Hypothèses!$X$7,IF(EE91&lt;=Hypothèses!$V$8,Hypothèses!$X$8,IF(EE91&lt;=Hypothèses!$V$9,Hypothèses!$X$9,IF(EE91&lt;=Hypothèses!$V$10,Hypothèses!$X$10,IF(EE91&lt;=Hypothèses!$V$11,Hypothèses!$X$11,IF(EE91&lt;=Hypothèses!$V$12,Hypothèses!$X$12,IF(EE91&lt;=Hypothèses!$V$13,Hypothèses!$X$13,IF(EE91&lt;=Hypothèses!$V$14,Hypothèses!$X$14,IF(EE91&lt;=Hypothèses!$V$15,Hypothèses!$X$15,IF(EE91&lt;=Hypothèses!$V$16,Hypothèses!$X$16,IF(EE91&lt;=Hypothèses!$U$17,Hypothèses!$W$17,IF(EE91&lt;=Hypothèses!$U$18,Hypothèses!$W$18,""))))))))))))</f>
        <v>#DIV/0!</v>
      </c>
      <c r="FB91" s="95" t="e">
        <f t="shared" ca="1" si="197"/>
        <v>#DIV/0!</v>
      </c>
      <c r="FC91" s="101">
        <f t="shared" si="230"/>
        <v>0</v>
      </c>
      <c r="FD91" s="91">
        <f t="shared" si="164"/>
        <v>0</v>
      </c>
      <c r="FE91" s="30" t="e">
        <f t="shared" si="214"/>
        <v>#N/A</v>
      </c>
      <c r="FF91" s="30" t="e">
        <f t="shared" si="215"/>
        <v>#N/A</v>
      </c>
      <c r="FG91" s="31" t="e">
        <f>IF(OR(Hypothèses!$B$4=17,Hypothèses!$B$4=18,Hypothèses!$B$4=19,Hypothèses!$B$4=20),
IF($D91="Pressio.",
IF(OR($E91=3,$E91=1,$E91=4),FF91,FE91),
IF($D91="Pénétro.",
IF(OR($E91=3,$E91=1,$E91=4),FF91,FE91))),IF($D91="Pressio.",
IF($E91=3,FF91,FE91),
IF($D91="Pénétro.",
IF($E91=4,FF91,FE91))))</f>
        <v>#N/A</v>
      </c>
      <c r="FH91" s="31">
        <v>0</v>
      </c>
      <c r="FI91" s="102" t="e">
        <f>IF(NDC!$H$10="Oui",(VLOOKUP($B$3,'Coeff EC7'!$T$39:$X$59,2,0)*FG91+VLOOKUP($B$3,'Coeff EC7'!$T$65:$X$85,2,0)*Model0.1T!FH91)/1.5,PI()*FE$12*$Q91*($B91-$B90)*0.15/10+FI90)</f>
        <v>#N/A</v>
      </c>
      <c r="FJ91" s="102" t="e">
        <f>(VLOOKUP($B$3,'Coeff EC7'!$T$39:$X$59,3,0)*FG91+VLOOKUP($B$3,'Coeff EC7'!$T$65:$X$85,3,0)*Model0.1T!FH91)/1.1</f>
        <v>#N/A</v>
      </c>
      <c r="FK91" s="102" t="e">
        <f t="shared" si="198"/>
        <v>#N/A</v>
      </c>
      <c r="FL91" s="102" t="e">
        <f t="shared" si="199"/>
        <v>#N/A</v>
      </c>
      <c r="FM91" s="414" t="e">
        <f>IF(AND(FI91&gt;NDC!$C$63,FJ91&gt;NDC!$C$65,FK91&gt;NDC!$D$73,FL91&gt;NDC!$D$74,$B91&gt;NDC!$H$22-0.1+MIN(3*FM$12,1.5)),0,1)</f>
        <v>#N/A</v>
      </c>
    </row>
    <row r="92" spans="1:169">
      <c r="A92" s="96">
        <f t="shared" si="165"/>
        <v>92.100000000000449</v>
      </c>
      <c r="B92" s="97">
        <v>7.9</v>
      </c>
      <c r="C92" s="81">
        <f>IF(B92&lt;=Hypothèses!$C$7,Hypothèses!$A$7,IF(B92&lt;=Hypothèses!$C$8,Hypothèses!$A$8,IF(B92&lt;=Hypothèses!$C$9,Hypothèses!$A$9,IF(B92&lt;=Hypothèses!$C$10,Hypothèses!$A$10,IF(B92&lt;=Hypothèses!$C$11,Hypothèses!$A$11,IF(B92&lt;=Hypothèses!$C$12,Hypothèses!$A$12,IF(B92&lt;=Hypothèses!$C$13,Hypothèses!$A$13,IF(B92&lt;=Hypothèses!$C$14,Hypothèses!$A$14,IF(B92&lt;=Hypothèses!$C$15,Hypothèses!$A$15,IF(B92&lt;=Hypothèses!$C$16,Hypothèses!$A$16,IF(B92&lt;=Hypothèses!$C$17,Hypothèses!$A$17,IF(B92&lt;=Hypothèses!$C$18,Hypothèses!$A$18,C91))))))))))))</f>
        <v>11</v>
      </c>
      <c r="D92" s="82" t="str">
        <f>IF(B92&lt;=Hypothèses!$C$7,Hypothèses!$R$7,IF(B92&lt;=Hypothèses!$C$8,Hypothèses!$R$8,IF(B92&lt;=Hypothèses!$C$9,Hypothèses!$R$9,IF(B92&lt;=Hypothèses!$C$10,Hypothèses!$R$10,IF(B92&lt;=Hypothèses!$C$11,Hypothèses!$R$11,IF(B92&lt;=Hypothèses!$C$12,Hypothèses!$R$12,IF(B92&lt;=Hypothèses!$C$13,Hypothèses!$R$13,IF(B92&lt;=Hypothèses!$C$14,Hypothèses!$R$14,IF(B92&lt;=Hypothèses!$C$15,Hypothèses!$R$15,IF(B92&lt;=Hypothèses!$C$16,Hypothèses!$R$16,IF(B92&lt;=Hypothèses!$C$17,Hypothèses!$R$17,IF(B92&lt;=Hypothèses!$C$18,Hypothèses!$R$18,D91))))))))))))</f>
        <v>Pressio.</v>
      </c>
      <c r="E92" s="82" t="e">
        <f>IF(B92&lt;=Hypothèses!$C$7,Hypothèses!$G$7,IF(B92&lt;=Hypothèses!$C$8,Hypothèses!$G$8,IF(B92&lt;=Hypothèses!$C$9,Hypothèses!$G$9,IF(B92&lt;=Hypothèses!$C$10,Hypothèses!$G$10,IF(B92&lt;=Hypothèses!$C$11,Hypothèses!$G$11,IF(B92&lt;=Hypothèses!$C$12,Hypothèses!$G$12,IF(B92&lt;=Hypothèses!$C$13,Hypothèses!$G$13,IF(B92&lt;=Hypothèses!$C$14,Hypothèses!$G$14,IF(B92&lt;=Hypothèses!$C$15,Hypothèses!$G$15,IF(B92&lt;=Hypothèses!$C$16,Hypothèses!$G$16,IF(B92&lt;=Hypothèses!$C$17,Hypothèses!$G$17,IF(B92&lt;=Hypothèses!$C$18,Hypothèses!$G$18,E91))))))))))))</f>
        <v>#N/A</v>
      </c>
      <c r="F92" s="82" t="str">
        <f>IF(B92&lt;=Hypothèses!$C$7,Hypothèses!$F$7,IF(B92&lt;=Hypothèses!$C$8,Hypothèses!$F$8,IF(B92&lt;=Hypothèses!$C$9,Hypothèses!$F$9,IF(B92&lt;=Hypothèses!$C$10,Hypothèses!$F$10,IF(B92&lt;=Hypothèses!$C$11,Hypothèses!$F$11,IF(B92&lt;=Hypothèses!$C$12,Hypothèses!$F$12,IF(B92&lt;=Hypothèses!$C$13,Hypothèses!$F$13,IF(B92&lt;=Hypothèses!$C$14,Hypothèses!$F$14,IF(B92&lt;=Hypothèses!$C$15,Hypothèses!$F$15,IF(B92&lt;=Hypothèses!$C$16,Hypothèses!$F$16,IF(B92&lt;=Hypothèses!$C$17,Hypothèses!$F$17,IF(B92&lt;=Hypothèses!$C$18,Hypothèses!$F$18,F91))))))))))))</f>
        <v/>
      </c>
      <c r="G92" s="91">
        <f t="array" ref="G92">INDEX('Coeff EC7'!$U$7:$X$27,
MATCH(Model0.1T!$B$3,'Coeff EC7'!$T$7:$T$27,0),
MATCH(Model0.1T!$D92&amp;Model0.1T!$B$4,
'Coeff EC7'!$U$6:$X$6&amp;
'Coeff EC7'!$U$5:$X$5,0))</f>
        <v>1.4</v>
      </c>
      <c r="H92" s="91">
        <f t="array" ref="H92">INDEX('Coeff EC7'!$Y$7:$AB$27,
MATCH(Model0.1T!$B$3,'Coeff EC7'!$T$7:$T$27,0),
MATCH(Model0.1T!$D92&amp;Model0.1T!$B$4,
'Coeff EC7'!$Y$6:$AB$6&amp;
'Coeff EC7'!$Y$5:$AB$5,0))</f>
        <v>1.7</v>
      </c>
      <c r="I92" s="83">
        <v>0</v>
      </c>
      <c r="J92" s="91" t="e">
        <f t="array" ref="J92">INDEX('Coeff EC7'!$D$33:$Q$33,1,MATCH(D92&amp;E92,'Coeff EC7'!$D$31:$Q$31&amp;'Coeff EC7'!$D$32:$Q$32,0))</f>
        <v>#N/A</v>
      </c>
      <c r="K92" s="91" t="e">
        <f t="array" ref="K92">INDEX('Coeff EC7'!$D$34:$Q$34,1,MATCH(D92&amp;E92,'Coeff EC7'!$D$31:$Q$31&amp;'Coeff EC7'!$D$32:$Q$32,0))</f>
        <v>#N/A</v>
      </c>
      <c r="L92" s="91" t="e">
        <f t="array" ref="L92">INDEX('Coeff EC7'!$D$35:$Q$35,1,MATCH(D92&amp;E92,'Coeff EC7'!$D$31:$Q$31&amp;'Coeff EC7'!$D$32:$Q$32,0))</f>
        <v>#N/A</v>
      </c>
      <c r="M92" s="98" t="e">
        <f t="shared" si="131"/>
        <v>#N/A</v>
      </c>
      <c r="N92" s="99" t="e">
        <f t="array" ref="N92">INDEX('Coeff EC7'!$D$7:$Q$27,MATCH($B$3,'Coeff EC7'!$C$7:$C$27,0),MATCH(D92&amp;E92,'Coeff EC7'!$D$5:$Q$5&amp;'Coeff EC7'!$D$6:$Q$6,0))</f>
        <v>#N/A</v>
      </c>
      <c r="O92" s="99" t="e">
        <f t="array" ref="O92">INDEX('Coeff EC7'!$D$41:$Q$61,MATCH($B$3,'Coeff EC7'!$C$41:$C$61,0),MATCH(D92&amp;E92,'Coeff EC7'!$D$39:$Q$39&amp;'Coeff EC7'!$D$40:$Q$40,0))</f>
        <v>#N/A</v>
      </c>
      <c r="P92" s="30" t="e">
        <f t="shared" si="166"/>
        <v>#N/A</v>
      </c>
      <c r="Q92" s="100" t="e">
        <f t="shared" si="133"/>
        <v>#N/A</v>
      </c>
      <c r="R92" s="86" t="b">
        <f t="shared" si="134"/>
        <v>0</v>
      </c>
      <c r="S92" s="86">
        <f t="shared" si="132"/>
        <v>0.5</v>
      </c>
      <c r="T92" s="86">
        <f t="shared" si="135"/>
        <v>0.5</v>
      </c>
      <c r="U92" s="30" t="e">
        <f t="shared" ca="1" si="167"/>
        <v>#DIV/0!</v>
      </c>
      <c r="V92" s="85" t="str">
        <f>IF(B92&lt;=Hypothèses!$V$7,Hypothèses!$W$7,IF(B92&lt;=Hypothèses!$V$8,Hypothèses!$W$8,IF(B92&lt;=Hypothèses!$V$9,Hypothèses!$W$9,IF(B92&lt;=Hypothèses!$V$10,Hypothèses!$W$10,IF(B92&lt;=Hypothèses!$V$11,Hypothèses!$W$11,IF(B92&lt;=Hypothèses!$V$12,Hypothèses!$W$12,IF(B92&lt;=Hypothèses!$V$13,Hypothèses!$W$13,IF(B92&lt;=Hypothèses!$V$14,Hypothèses!$W$14,IF(B92&lt;=Hypothèses!$V$15,Hypothèses!$W$15,IF(B92&lt;=Hypothèses!$V$16,Hypothèses!$W$16,IF(B92&lt;=Hypothèses!$V$17,Hypothèses!$W$17,IF(B92&lt;=Hypothèses!$V$18,Hypothèses!$W$18,""))))))))))))</f>
        <v/>
      </c>
      <c r="W92" s="87" t="e">
        <f t="shared" ca="1" si="216"/>
        <v>#DIV/0!</v>
      </c>
      <c r="X92" s="88" t="str">
        <f>IF(B92&lt;=Hypothèses!$V$7,Hypothèses!$X$7,IF(B92&lt;=Hypothèses!$V$8,Hypothèses!$X$8,IF(B92&lt;=Hypothèses!$V$9,Hypothèses!$X$9,IF(B92&lt;=Hypothèses!$V$10,Hypothèses!$X$10,IF(B92&lt;=Hypothèses!$V$11,Hypothèses!$X$11,IF(B92&lt;=Hypothèses!$V$12,Hypothèses!$X$12,IF(B92&lt;=Hypothèses!$V$13,Hypothèses!$X$13,IF(B92&lt;=Hypothèses!$V$14,Hypothèses!$X$14,IF(B92&lt;=Hypothèses!$V$15,Hypothèses!$X$15,IF(B92&lt;=Hypothèses!$V$16,Hypothèses!$X$16,IF(B92&lt;=Hypothèses!$U$17,Hypothèses!$W$17,IF(B92&lt;=Hypothèses!$U$18,Hypothèses!$W$18,""))))))))))))</f>
        <v/>
      </c>
      <c r="Y92" s="95" t="e">
        <f t="shared" ca="1" si="136"/>
        <v>#DIV/0!</v>
      </c>
      <c r="Z92" s="101">
        <f t="shared" si="137"/>
        <v>0</v>
      </c>
      <c r="AA92" s="91">
        <f t="shared" si="138"/>
        <v>0</v>
      </c>
      <c r="AB92" s="30" t="e">
        <f t="shared" si="200"/>
        <v>#N/A</v>
      </c>
      <c r="AC92" s="30" t="e">
        <f t="shared" si="201"/>
        <v>#N/A</v>
      </c>
      <c r="AD92" s="31" t="e">
        <f>IF(OR(Hypothèses!$B$4=17,Hypothèses!$B$4=18,Hypothèses!$B$4=19,Hypothèses!$B$4=20),
IF($D92="Pressio.",
IF(OR($E92=3,$E92=1,$E92=4),AC92,AB92),
IF($D92="Pénétro.",
IF(OR($E92=3,$E92=1,$E92=4),AC92,AB92))),IF($D92="Pressio.",
IF($E92=3,AC92,AB92),
IF($D92="Pénétro.",
IF($E92=4,AC92,AB92))))</f>
        <v>#N/A</v>
      </c>
      <c r="AE92" s="31">
        <v>0</v>
      </c>
      <c r="AF92" s="102" t="e">
        <f>IF(NDC!$H$10="Oui",(VLOOKUP($B$3,'Coeff EC7'!$T$39:$X$59,2,0)*AD92+VLOOKUP($B$3,'Coeff EC7'!$T$65:$X$85,2,0)*Model0.1T!AE92)/1.5,PI()*AB$12*$Q92*($B92-$B91)*0.15/10+AF91)</f>
        <v>#N/A</v>
      </c>
      <c r="AG92" s="102" t="e">
        <f>(VLOOKUP($B$3,'Coeff EC7'!$T$39:$X$59,3,0)*AD92+VLOOKUP($B$3,'Coeff EC7'!$T$65:$X$85,3,0)*Model0.1T!AE92)/1.1</f>
        <v>#N/A</v>
      </c>
      <c r="AH92" s="102" t="e">
        <f t="shared" si="168"/>
        <v>#N/A</v>
      </c>
      <c r="AI92" s="102" t="e">
        <f t="shared" si="169"/>
        <v>#N/A</v>
      </c>
      <c r="AJ92" s="414" t="e">
        <f>IF(AND(AF92&gt;NDC!$C$63,AG92&gt;NDC!$C$65,AH92&gt;NDC!$D$73,AI92&gt;NDC!$D$74,$B92&gt;NDC!$H$22-0.1+MIN(3*$AJ$12,1.5)),0,1)</f>
        <v>#N/A</v>
      </c>
      <c r="AK92" s="86" t="b">
        <f t="shared" si="139"/>
        <v>0</v>
      </c>
      <c r="AL92" s="86">
        <f t="shared" si="170"/>
        <v>0.5</v>
      </c>
      <c r="AM92" s="86">
        <f t="shared" si="140"/>
        <v>0.5</v>
      </c>
      <c r="AN92" s="30" t="e">
        <f t="shared" ca="1" si="171"/>
        <v>#DIV/0!</v>
      </c>
      <c r="AO92" s="85" t="e">
        <f ca="1">IF(U92&lt;=Hypothèses!$V$7,Hypothèses!$W$7,IF(U92&lt;=Hypothèses!$V$8,Hypothèses!$W$8,IF(U92&lt;=Hypothèses!$V$9,Hypothèses!$W$9,IF(U92&lt;=Hypothèses!$V$10,Hypothèses!$W$10,IF(U92&lt;=Hypothèses!$V$11,Hypothèses!$W$11,IF(U92&lt;=Hypothèses!$V$12,Hypothèses!$W$12,IF(U92&lt;=Hypothèses!$V$13,Hypothèses!$W$13,IF(U92&lt;=Hypothèses!$V$14,Hypothèses!$W$14,IF(U92&lt;=Hypothèses!$V$15,Hypothèses!$W$15,IF(U92&lt;=Hypothèses!$V$16,Hypothèses!$W$16,IF(U92&lt;=Hypothèses!$V$17,Hypothèses!$W$17,IF(U92&lt;=Hypothèses!$V$18,Hypothèses!$W$18,""))))))))))))</f>
        <v>#DIV/0!</v>
      </c>
      <c r="AP92" s="87" t="e">
        <f t="shared" ca="1" si="217"/>
        <v>#DIV/0!</v>
      </c>
      <c r="AQ92" s="88" t="e">
        <f ca="1">IF(U92&lt;=Hypothèses!$V$7,Hypothèses!$X$7,IF(U92&lt;=Hypothèses!$V$8,Hypothèses!$X$8,IF(U92&lt;=Hypothèses!$V$9,Hypothèses!$X$9,IF(U92&lt;=Hypothèses!$V$10,Hypothèses!$X$10,IF(U92&lt;=Hypothèses!$V$11,Hypothèses!$X$11,IF(U92&lt;=Hypothèses!$V$12,Hypothèses!$X$12,IF(U92&lt;=Hypothèses!$V$13,Hypothèses!$X$13,IF(U92&lt;=Hypothèses!$V$14,Hypothèses!$X$14,IF(U92&lt;=Hypothèses!$V$15,Hypothèses!$X$15,IF(U92&lt;=Hypothèses!$V$16,Hypothèses!$X$16,IF(U92&lt;=Hypothèses!$U$17,Hypothèses!$W$17,IF(U92&lt;=Hypothèses!$U$18,Hypothèses!$W$18,""))))))))))))</f>
        <v>#DIV/0!</v>
      </c>
      <c r="AR92" s="95" t="e">
        <f t="shared" ca="1" si="172"/>
        <v>#DIV/0!</v>
      </c>
      <c r="AS92" s="101">
        <f t="shared" si="224"/>
        <v>0</v>
      </c>
      <c r="AT92" s="91">
        <f t="shared" si="141"/>
        <v>0</v>
      </c>
      <c r="AU92" s="30" t="e">
        <f t="shared" si="202"/>
        <v>#N/A</v>
      </c>
      <c r="AV92" s="30" t="e">
        <f t="shared" si="203"/>
        <v>#N/A</v>
      </c>
      <c r="AW92" s="31" t="e">
        <f>IF(OR(Hypothèses!$B$4=17,Hypothèses!$B$4=18,Hypothèses!$B$4=19,Hypothèses!$B$4=20),
IF($D92="Pressio.",
IF(OR($E92=3,$E92=1,$E92=4),AV92,AU92),
IF($D92="Pénétro.",
IF(OR($E92=3,$E92=1,$E92=4),AV92,AU92))),IF($D92="Pressio.",
IF($E92=3,AV92,AU92),
IF($D92="Pénétro.",
IF($E92=4,AV92,AU92))))</f>
        <v>#N/A</v>
      </c>
      <c r="AX92" s="31">
        <v>0</v>
      </c>
      <c r="AY92" s="102" t="e">
        <f>IF(NDC!$H$10="Oui",(VLOOKUP($B$3,'Coeff EC7'!$T$39:$X$59,2,0)*AW92+VLOOKUP($B$3,'Coeff EC7'!$T$65:$X$85,2,0)*Model0.1T!AX92)/1.5,PI()*AU$12*$Q92*($B92-$B91)*0.15/10+AY91)</f>
        <v>#N/A</v>
      </c>
      <c r="AZ92" s="102" t="e">
        <f>(VLOOKUP($B$3,'Coeff EC7'!$T$39:$X$59,3,0)*AW92+VLOOKUP($B$3,'Coeff EC7'!$T$65:$X$85,3,0)*Model0.1T!AX92)/1.1</f>
        <v>#N/A</v>
      </c>
      <c r="BA92" s="102" t="e">
        <f t="shared" si="173"/>
        <v>#N/A</v>
      </c>
      <c r="BB92" s="102" t="e">
        <f t="shared" si="174"/>
        <v>#N/A</v>
      </c>
      <c r="BC92" s="414" t="e">
        <f>IF(AND(AY92&gt;NDC!$C$63,AZ92&gt;NDC!$C$65,BA92&gt;NDC!$D$73,BB92&gt;NDC!$D$74,$B92&gt;NDC!$H$22-0.1+MIN(3*BC$12,1.5)),0,1)</f>
        <v>#N/A</v>
      </c>
      <c r="BD92" s="86" t="b">
        <f t="shared" si="142"/>
        <v>0</v>
      </c>
      <c r="BE92" s="86">
        <f t="shared" si="175"/>
        <v>0.5</v>
      </c>
      <c r="BF92" s="86">
        <f t="shared" si="143"/>
        <v>0.5</v>
      </c>
      <c r="BG92" s="30" t="e">
        <f t="shared" ca="1" si="176"/>
        <v>#DIV/0!</v>
      </c>
      <c r="BH92" s="85" t="e">
        <f ca="1">IF(AN92&lt;=Hypothèses!$V$7,Hypothèses!$W$7,IF(AN92&lt;=Hypothèses!$V$8,Hypothèses!$W$8,IF(AN92&lt;=Hypothèses!$V$9,Hypothèses!$W$9,IF(AN92&lt;=Hypothèses!$V$10,Hypothèses!$W$10,IF(AN92&lt;=Hypothèses!$V$11,Hypothèses!$W$11,IF(AN92&lt;=Hypothèses!$V$12,Hypothèses!$W$12,IF(AN92&lt;=Hypothèses!$V$13,Hypothèses!$W$13,IF(AN92&lt;=Hypothèses!$V$14,Hypothèses!$W$14,IF(AN92&lt;=Hypothèses!$V$15,Hypothèses!$W$15,IF(AN92&lt;=Hypothèses!$V$16,Hypothèses!$W$16,IF(AN92&lt;=Hypothèses!$V$17,Hypothèses!$W$17,IF(AN92&lt;=Hypothèses!$V$18,Hypothèses!$W$18,""))))))))))))</f>
        <v>#DIV/0!</v>
      </c>
      <c r="BI92" s="87" t="e">
        <f t="shared" ca="1" si="218"/>
        <v>#DIV/0!</v>
      </c>
      <c r="BJ92" s="88" t="e">
        <f ca="1">IF(AN92&lt;=Hypothèses!$V$7,Hypothèses!$X$7,IF(AN92&lt;=Hypothèses!$V$8,Hypothèses!$X$8,IF(AN92&lt;=Hypothèses!$V$9,Hypothèses!$X$9,IF(AN92&lt;=Hypothèses!$V$10,Hypothèses!$X$10,IF(AN92&lt;=Hypothèses!$V$11,Hypothèses!$X$11,IF(AN92&lt;=Hypothèses!$V$12,Hypothèses!$X$12,IF(AN92&lt;=Hypothèses!$V$13,Hypothèses!$X$13,IF(AN92&lt;=Hypothèses!$V$14,Hypothèses!$X$14,IF(AN92&lt;=Hypothèses!$V$15,Hypothèses!$X$15,IF(AN92&lt;=Hypothèses!$V$16,Hypothèses!$X$16,IF(AN92&lt;=Hypothèses!$U$17,Hypothèses!$W$17,IF(AN92&lt;=Hypothèses!$U$18,Hypothèses!$W$18,""))))))))))))</f>
        <v>#DIV/0!</v>
      </c>
      <c r="BK92" s="95" t="e">
        <f t="shared" ca="1" si="177"/>
        <v>#DIV/0!</v>
      </c>
      <c r="BL92" s="101">
        <f t="shared" si="225"/>
        <v>0</v>
      </c>
      <c r="BM92" s="91">
        <f t="shared" si="144"/>
        <v>0</v>
      </c>
      <c r="BN92" s="30" t="e">
        <f t="shared" si="204"/>
        <v>#N/A</v>
      </c>
      <c r="BO92" s="30" t="e">
        <f t="shared" si="205"/>
        <v>#N/A</v>
      </c>
      <c r="BP92" s="31" t="e">
        <f>IF(OR(Hypothèses!$B$4=17,Hypothèses!$B$4=18,Hypothèses!$B$4=19,Hypothèses!$B$4=20),
IF($D92="Pressio.",
IF(OR($E92=3,$E92=1,$E92=4),BO92,BN92),
IF($D92="Pénétro.",
IF(OR($E92=3,$E92=1,$E92=4),BO92,BN92))),IF($D92="Pressio.",
IF($E92=3,BO92,BN92),
IF($D92="Pénétro.",
IF($E92=4,BO92,BN92))))</f>
        <v>#N/A</v>
      </c>
      <c r="BQ92" s="31">
        <v>0</v>
      </c>
      <c r="BR92" s="102" t="e">
        <f>IF(NDC!$H$10="Oui",(VLOOKUP($B$3,'Coeff EC7'!$T$39:$X$59,2,0)*BP92+VLOOKUP($B$3,'Coeff EC7'!$T$65:$X$85,2,0)*Model0.1T!BQ92)/1.5,PI()*BN$12*$Q92*($B92-$B91)*0.15/10+BR91)</f>
        <v>#N/A</v>
      </c>
      <c r="BS92" s="102" t="e">
        <f>(VLOOKUP($B$3,'Coeff EC7'!$T$39:$X$59,3,0)*BP92+VLOOKUP($B$3,'Coeff EC7'!$T$65:$X$85,3,0)*Model0.1T!BQ92)/1.1</f>
        <v>#N/A</v>
      </c>
      <c r="BT92" s="102" t="e">
        <f t="shared" si="178"/>
        <v>#N/A</v>
      </c>
      <c r="BU92" s="102" t="e">
        <f t="shared" si="179"/>
        <v>#N/A</v>
      </c>
      <c r="BV92" s="414" t="e">
        <f>IF(AND(BR92&gt;NDC!$C$63,BS92&gt;NDC!$C$65,BT92&gt;NDC!$D$73,BU92&gt;NDC!$D$74,$B92&gt;NDC!$H$22-0.1+MIN(3*BV$12,1.5)),0,1)</f>
        <v>#N/A</v>
      </c>
      <c r="BW92" s="86" t="b">
        <f t="shared" si="145"/>
        <v>0</v>
      </c>
      <c r="BX92" s="86">
        <f t="shared" si="146"/>
        <v>0.5</v>
      </c>
      <c r="BY92" s="86">
        <f t="shared" si="147"/>
        <v>0.5</v>
      </c>
      <c r="BZ92" s="30" t="e">
        <f t="shared" ca="1" si="180"/>
        <v>#DIV/0!</v>
      </c>
      <c r="CA92" s="85" t="e">
        <f ca="1">IF(BG92&lt;=Hypothèses!$V$7,Hypothèses!$W$7,IF(BG92&lt;=Hypothèses!$V$8,Hypothèses!$W$8,IF(BG92&lt;=Hypothèses!$V$9,Hypothèses!$W$9,IF(BG92&lt;=Hypothèses!$V$10,Hypothèses!$W$10,IF(BG92&lt;=Hypothèses!$V$11,Hypothèses!$W$11,IF(BG92&lt;=Hypothèses!$V$12,Hypothèses!$W$12,IF(BG92&lt;=Hypothèses!$V$13,Hypothèses!$W$13,IF(BG92&lt;=Hypothèses!$V$14,Hypothèses!$W$14,IF(BG92&lt;=Hypothèses!$V$15,Hypothèses!$W$15,IF(BG92&lt;=Hypothèses!$V$16,Hypothèses!$W$16,IF(BG92&lt;=Hypothèses!$V$17,Hypothèses!$W$17,IF(BG92&lt;=Hypothèses!$V$18,Hypothèses!$W$18,""))))))))))))</f>
        <v>#DIV/0!</v>
      </c>
      <c r="CB92" s="87" t="e">
        <f t="shared" ca="1" si="219"/>
        <v>#DIV/0!</v>
      </c>
      <c r="CC92" s="88" t="e">
        <f ca="1">IF(BG92&lt;=Hypothèses!$V$7,Hypothèses!$X$7,IF(BG92&lt;=Hypothèses!$V$8,Hypothèses!$X$8,IF(BG92&lt;=Hypothèses!$V$9,Hypothèses!$X$9,IF(BG92&lt;=Hypothèses!$V$10,Hypothèses!$X$10,IF(BG92&lt;=Hypothèses!$V$11,Hypothèses!$X$11,IF(BG92&lt;=Hypothèses!$V$12,Hypothèses!$X$12,IF(BG92&lt;=Hypothèses!$V$13,Hypothèses!$X$13,IF(BG92&lt;=Hypothèses!$V$14,Hypothèses!$X$14,IF(BG92&lt;=Hypothèses!$V$15,Hypothèses!$X$15,IF(BG92&lt;=Hypothèses!$V$16,Hypothèses!$X$16,IF(BG92&lt;=Hypothèses!$U$17,Hypothèses!$W$17,IF(BG92&lt;=Hypothèses!$U$18,Hypothèses!$W$18,""))))))))))))</f>
        <v>#DIV/0!</v>
      </c>
      <c r="CD92" s="95" t="e">
        <f t="shared" ca="1" si="181"/>
        <v>#DIV/0!</v>
      </c>
      <c r="CE92" s="101">
        <f t="shared" si="226"/>
        <v>0</v>
      </c>
      <c r="CF92" s="91">
        <f t="shared" si="148"/>
        <v>0</v>
      </c>
      <c r="CG92" s="30" t="e">
        <f t="shared" si="206"/>
        <v>#N/A</v>
      </c>
      <c r="CH92" s="30" t="e">
        <f t="shared" si="207"/>
        <v>#N/A</v>
      </c>
      <c r="CI92" s="31" t="e">
        <f>IF(OR(Hypothèses!$B$4=17,Hypothèses!$B$4=18,Hypothèses!$B$4=19,Hypothèses!$B$4=20),
IF($D92="Pressio.",
IF(OR($E92=3,$E92=1,$E92=4),CH92,CG92),
IF($D92="Pénétro.",
IF(OR($E92=3,$E92=1,$E92=4),CH92,CG92))),IF($D92="Pressio.",
IF($E92=3,CH92,CG92),
IF($D92="Pénétro.",
IF($E92=4,CH92,CG92))))</f>
        <v>#N/A</v>
      </c>
      <c r="CJ92" s="31">
        <v>0</v>
      </c>
      <c r="CK92" s="102" t="e">
        <f>IF(NDC!$H$10="Oui",(VLOOKUP($B$3,'Coeff EC7'!$T$39:$X$59,2,0)*CI92+VLOOKUP($B$3,'Coeff EC7'!$T$65:$X$85,2,0)*Model0.1T!CJ92)/1.5,PI()*CG$12*$Q92*($B92-$B91)*0.15/10+CK91)</f>
        <v>#N/A</v>
      </c>
      <c r="CL92" s="102" t="e">
        <f>(VLOOKUP($B$3,'Coeff EC7'!$T$39:$X$59,3,0)*CI92+VLOOKUP($B$3,'Coeff EC7'!$T$65:$X$85,3,0)*Model0.1T!CJ92)/1.1</f>
        <v>#N/A</v>
      </c>
      <c r="CM92" s="102" t="e">
        <f t="shared" si="182"/>
        <v>#N/A</v>
      </c>
      <c r="CN92" s="102" t="e">
        <f t="shared" si="183"/>
        <v>#N/A</v>
      </c>
      <c r="CO92" s="414" t="e">
        <f>IF(AND(CK92&gt;NDC!$C$63,CL92&gt;NDC!$C$65,CM92&gt;NDC!$D$73,CN92&gt;NDC!$D$74,$B92&gt;NDC!$H$22-0.1+MIN(3*CO$12,1.5)),0,1)</f>
        <v>#N/A</v>
      </c>
      <c r="CP92" s="86" t="b">
        <f t="shared" si="149"/>
        <v>0</v>
      </c>
      <c r="CQ92" s="86">
        <f t="shared" si="150"/>
        <v>0.5</v>
      </c>
      <c r="CR92" s="86">
        <f t="shared" si="151"/>
        <v>0.5</v>
      </c>
      <c r="CS92" s="30" t="e">
        <f t="shared" ca="1" si="184"/>
        <v>#DIV/0!</v>
      </c>
      <c r="CT92" s="85" t="e">
        <f ca="1">IF(BZ92&lt;=Hypothèses!$V$7,Hypothèses!$W$7,IF(BZ92&lt;=Hypothèses!$V$8,Hypothèses!$W$8,IF(BZ92&lt;=Hypothèses!$V$9,Hypothèses!$W$9,IF(BZ92&lt;=Hypothèses!$V$10,Hypothèses!$W$10,IF(BZ92&lt;=Hypothèses!$V$11,Hypothèses!$W$11,IF(BZ92&lt;=Hypothèses!$V$12,Hypothèses!$W$12,IF(BZ92&lt;=Hypothèses!$V$13,Hypothèses!$W$13,IF(BZ92&lt;=Hypothèses!$V$14,Hypothèses!$W$14,IF(BZ92&lt;=Hypothèses!$V$15,Hypothèses!$W$15,IF(BZ92&lt;=Hypothèses!$V$16,Hypothèses!$W$16,IF(BZ92&lt;=Hypothèses!$V$17,Hypothèses!$W$17,IF(BZ92&lt;=Hypothèses!$V$18,Hypothèses!$W$18,""))))))))))))</f>
        <v>#DIV/0!</v>
      </c>
      <c r="CU92" s="87" t="e">
        <f t="shared" ca="1" si="220"/>
        <v>#DIV/0!</v>
      </c>
      <c r="CV92" s="88" t="e">
        <f ca="1">IF(BZ92&lt;=Hypothèses!$V$7,Hypothèses!$X$7,IF(BZ92&lt;=Hypothèses!$V$8,Hypothèses!$X$8,IF(BZ92&lt;=Hypothèses!$V$9,Hypothèses!$X$9,IF(BZ92&lt;=Hypothèses!$V$10,Hypothèses!$X$10,IF(BZ92&lt;=Hypothèses!$V$11,Hypothèses!$X$11,IF(BZ92&lt;=Hypothèses!$V$12,Hypothèses!$X$12,IF(BZ92&lt;=Hypothèses!$V$13,Hypothèses!$X$13,IF(BZ92&lt;=Hypothèses!$V$14,Hypothèses!$X$14,IF(BZ92&lt;=Hypothèses!$V$15,Hypothèses!$X$15,IF(BZ92&lt;=Hypothèses!$V$16,Hypothèses!$X$16,IF(BZ92&lt;=Hypothèses!$U$17,Hypothèses!$W$17,IF(BZ92&lt;=Hypothèses!$U$18,Hypothèses!$W$18,""))))))))))))</f>
        <v>#DIV/0!</v>
      </c>
      <c r="CW92" s="95" t="e">
        <f t="shared" ca="1" si="185"/>
        <v>#DIV/0!</v>
      </c>
      <c r="CX92" s="101">
        <f t="shared" si="227"/>
        <v>0</v>
      </c>
      <c r="CY92" s="91">
        <f t="shared" si="152"/>
        <v>0</v>
      </c>
      <c r="CZ92" s="30" t="e">
        <f t="shared" si="208"/>
        <v>#N/A</v>
      </c>
      <c r="DA92" s="30" t="e">
        <f t="shared" si="209"/>
        <v>#N/A</v>
      </c>
      <c r="DB92" s="31" t="e">
        <f>IF(OR(Hypothèses!$B$4=17,Hypothèses!$B$4=18,Hypothèses!$B$4=19,Hypothèses!$B$4=20),
IF($D92="Pressio.",
IF(OR($E92=3,$E92=1,$E92=4),DA92,CZ92),
IF($D92="Pénétro.",
IF(OR($E92=3,$E92=1,$E92=4),DA92,CZ92))),IF($D92="Pressio.",
IF($E92=3,DA92,CZ92),
IF($D92="Pénétro.",
IF($E92=4,DA92,CZ92))))</f>
        <v>#N/A</v>
      </c>
      <c r="DC92" s="31">
        <v>0</v>
      </c>
      <c r="DD92" s="102" t="e">
        <f>IF(NDC!$H$10="Oui",(VLOOKUP($B$3,'Coeff EC7'!$T$39:$X$59,2,0)*DB92+VLOOKUP($B$3,'Coeff EC7'!$T$65:$X$85,2,0)*Model0.1T!DC92)/1.5,PI()*CZ$12*$Q92*($B92-$B91)*0.15/10+DD91)</f>
        <v>#N/A</v>
      </c>
      <c r="DE92" s="102" t="e">
        <f>(VLOOKUP($B$3,'Coeff EC7'!$T$39:$X$59,3,0)*DB92+VLOOKUP($B$3,'Coeff EC7'!$T$65:$X$85,3,0)*Model0.1T!DC92)/1.1</f>
        <v>#N/A</v>
      </c>
      <c r="DF92" s="102" t="e">
        <f t="shared" si="186"/>
        <v>#N/A</v>
      </c>
      <c r="DG92" s="102" t="e">
        <f t="shared" si="187"/>
        <v>#N/A</v>
      </c>
      <c r="DH92" s="414" t="e">
        <f>IF(AND(DD92&gt;NDC!$C$63,DE92&gt;NDC!$C$65,DF92&gt;NDC!$D$73,DG92&gt;NDC!$D$74,$B92&gt;NDC!$H$22-0.1+MIN(3*DH$12,1.5)),0,1)</f>
        <v>#N/A</v>
      </c>
      <c r="DI92" s="86" t="b">
        <f t="shared" si="153"/>
        <v>0</v>
      </c>
      <c r="DJ92" s="86">
        <f t="shared" si="154"/>
        <v>0.5</v>
      </c>
      <c r="DK92" s="86">
        <f t="shared" si="155"/>
        <v>0.5</v>
      </c>
      <c r="DL92" s="30" t="e">
        <f t="shared" ca="1" si="188"/>
        <v>#DIV/0!</v>
      </c>
      <c r="DM92" s="85" t="e">
        <f ca="1">IF(CS92&lt;=Hypothèses!$V$7,Hypothèses!$W$7,IF(CS92&lt;=Hypothèses!$V$8,Hypothèses!$W$8,IF(CS92&lt;=Hypothèses!$V$9,Hypothèses!$W$9,IF(CS92&lt;=Hypothèses!$V$10,Hypothèses!$W$10,IF(CS92&lt;=Hypothèses!$V$11,Hypothèses!$W$11,IF(CS92&lt;=Hypothèses!$V$12,Hypothèses!$W$12,IF(CS92&lt;=Hypothèses!$V$13,Hypothèses!$W$13,IF(CS92&lt;=Hypothèses!$V$14,Hypothèses!$W$14,IF(CS92&lt;=Hypothèses!$V$15,Hypothèses!$W$15,IF(CS92&lt;=Hypothèses!$V$16,Hypothèses!$W$16,IF(CS92&lt;=Hypothèses!$V$17,Hypothèses!$W$17,IF(CS92&lt;=Hypothèses!$V$18,Hypothèses!$W$18,""))))))))))))</f>
        <v>#DIV/0!</v>
      </c>
      <c r="DN92" s="87" t="e">
        <f t="shared" ca="1" si="221"/>
        <v>#DIV/0!</v>
      </c>
      <c r="DO92" s="88" t="e">
        <f ca="1">IF(CS92&lt;=Hypothèses!$V$7,Hypothèses!$X$7,IF(CS92&lt;=Hypothèses!$V$8,Hypothèses!$X$8,IF(CS92&lt;=Hypothèses!$V$9,Hypothèses!$X$9,IF(CS92&lt;=Hypothèses!$V$10,Hypothèses!$X$10,IF(CS92&lt;=Hypothèses!$V$11,Hypothèses!$X$11,IF(CS92&lt;=Hypothèses!$V$12,Hypothèses!$X$12,IF(CS92&lt;=Hypothèses!$V$13,Hypothèses!$X$13,IF(CS92&lt;=Hypothèses!$V$14,Hypothèses!$X$14,IF(CS92&lt;=Hypothèses!$V$15,Hypothèses!$X$15,IF(CS92&lt;=Hypothèses!$V$16,Hypothèses!$X$16,IF(CS92&lt;=Hypothèses!$U$17,Hypothèses!$W$17,IF(CS92&lt;=Hypothèses!$U$18,Hypothèses!$W$18,""))))))))))))</f>
        <v>#DIV/0!</v>
      </c>
      <c r="DP92" s="95" t="e">
        <f t="shared" ca="1" si="189"/>
        <v>#DIV/0!</v>
      </c>
      <c r="DQ92" s="101">
        <f t="shared" si="228"/>
        <v>0</v>
      </c>
      <c r="DR92" s="91">
        <f t="shared" si="156"/>
        <v>0</v>
      </c>
      <c r="DS92" s="30" t="e">
        <f t="shared" si="210"/>
        <v>#N/A</v>
      </c>
      <c r="DT92" s="30" t="e">
        <f t="shared" si="211"/>
        <v>#N/A</v>
      </c>
      <c r="DU92" s="31" t="e">
        <f>IF(OR(Hypothèses!$B$4=17,Hypothèses!$B$4=18,Hypothèses!$B$4=19,Hypothèses!$B$4=20),
IF($D92="Pressio.",
IF(OR($E92=3,$E92=1,$E92=4),DT92,DS92),
IF($D92="Pénétro.",
IF(OR($E92=3,$E92=1,$E92=4),DT92,DS92))),IF($D92="Pressio.",
IF($E92=3,DT92,DS92),
IF($D92="Pénétro.",
IF($E92=4,DT92,DS92))))</f>
        <v>#N/A</v>
      </c>
      <c r="DV92" s="31">
        <v>0</v>
      </c>
      <c r="DW92" s="102" t="e">
        <f>IF(NDC!$H$10="Oui",(VLOOKUP($B$3,'Coeff EC7'!$T$39:$X$59,2,0)*DU92+VLOOKUP($B$3,'Coeff EC7'!$T$65:$X$85,2,0)*Model0.1T!DV92)/1.5,PI()*DS$12*$Q92*($B92-$B91)*0.15/10+DW91)</f>
        <v>#N/A</v>
      </c>
      <c r="DX92" s="102" t="e">
        <f>(VLOOKUP($B$3,'Coeff EC7'!$T$39:$X$59,3,0)*DU92+VLOOKUP($B$3,'Coeff EC7'!$T$65:$X$85,3,0)*Model0.1T!DV92)/1.1</f>
        <v>#N/A</v>
      </c>
      <c r="DY92" s="102" t="e">
        <f t="shared" si="190"/>
        <v>#N/A</v>
      </c>
      <c r="DZ92" s="102" t="e">
        <f t="shared" si="191"/>
        <v>#N/A</v>
      </c>
      <c r="EA92" s="414" t="e">
        <f>IF(AND(DW92&gt;NDC!$C$63,DX92&gt;NDC!$C$65,DY92&gt;NDC!$D$73,DZ92&gt;NDC!$D$74,$B92&gt;NDC!$H$22-0.1+MIN(3*EA$12,1.5)),0,1)</f>
        <v>#N/A</v>
      </c>
      <c r="EB92" s="86" t="b">
        <f t="shared" si="157"/>
        <v>0</v>
      </c>
      <c r="EC92" s="418">
        <f t="shared" si="158"/>
        <v>0.51</v>
      </c>
      <c r="ED92" s="86">
        <f t="shared" si="159"/>
        <v>0.51</v>
      </c>
      <c r="EE92" s="30" t="e">
        <f t="shared" ca="1" si="192"/>
        <v>#DIV/0!</v>
      </c>
      <c r="EF92" s="85" t="e">
        <f ca="1">IF(DL92&lt;=Hypothèses!$V$7,Hypothèses!$W$7,IF(DL92&lt;=Hypothèses!$V$8,Hypothèses!$W$8,IF(DL92&lt;=Hypothèses!$V$9,Hypothèses!$W$9,IF(DL92&lt;=Hypothèses!$V$10,Hypothèses!$W$10,IF(DL92&lt;=Hypothèses!$V$11,Hypothèses!$W$11,IF(DL92&lt;=Hypothèses!$V$12,Hypothèses!$W$12,IF(DL92&lt;=Hypothèses!$V$13,Hypothèses!$W$13,IF(DL92&lt;=Hypothèses!$V$14,Hypothèses!$W$14,IF(DL92&lt;=Hypothèses!$V$15,Hypothèses!$W$15,IF(DL92&lt;=Hypothèses!$V$16,Hypothèses!$W$16,IF(DL92&lt;=Hypothèses!$V$17,Hypothèses!$W$17,IF(DL92&lt;=Hypothèses!$V$18,Hypothèses!$W$18,""))))))))))))</f>
        <v>#DIV/0!</v>
      </c>
      <c r="EG92" s="87" t="e">
        <f t="shared" ca="1" si="222"/>
        <v>#DIV/0!</v>
      </c>
      <c r="EH92" s="88" t="e">
        <f ca="1">IF(DL92&lt;=Hypothèses!$V$7,Hypothèses!$X$7,IF(DL92&lt;=Hypothèses!$V$8,Hypothèses!$X$8,IF(DL92&lt;=Hypothèses!$V$9,Hypothèses!$X$9,IF(DL92&lt;=Hypothèses!$V$10,Hypothèses!$X$10,IF(DL92&lt;=Hypothèses!$V$11,Hypothèses!$X$11,IF(DL92&lt;=Hypothèses!$V$12,Hypothèses!$X$12,IF(DL92&lt;=Hypothèses!$V$13,Hypothèses!$X$13,IF(DL92&lt;=Hypothèses!$V$14,Hypothèses!$X$14,IF(DL92&lt;=Hypothèses!$V$15,Hypothèses!$X$15,IF(DL92&lt;=Hypothèses!$V$16,Hypothèses!$X$16,IF(DL92&lt;=Hypothèses!$U$17,Hypothèses!$W$17,IF(DL92&lt;=Hypothèses!$U$18,Hypothèses!$W$18,""))))))))))))</f>
        <v>#DIV/0!</v>
      </c>
      <c r="EI92" s="95" t="e">
        <f t="shared" ca="1" si="193"/>
        <v>#DIV/0!</v>
      </c>
      <c r="EJ92" s="101">
        <f t="shared" si="229"/>
        <v>0</v>
      </c>
      <c r="EK92" s="91">
        <f t="shared" si="160"/>
        <v>0</v>
      </c>
      <c r="EL92" s="30" t="e">
        <f t="shared" si="212"/>
        <v>#N/A</v>
      </c>
      <c r="EM92" s="30" t="e">
        <f t="shared" si="213"/>
        <v>#N/A</v>
      </c>
      <c r="EN92" s="31" t="e">
        <f>IF(OR(Hypothèses!$B$4=17,Hypothèses!$B$4=18,Hypothèses!$B$4=19,Hypothèses!$B$4=20),
IF($D92="Pressio.",
IF(OR($E92=3,$E92=1,$E92=4),EM92,EL92),
IF($D92="Pénétro.",
IF(OR($E92=3,$E92=1,$E92=4),EM92,EL92))),IF($D92="Pressio.",
IF($E92=3,EM92,EL92),
IF($D92="Pénétro.",
IF($E92=4,EM92,EL92))))</f>
        <v>#N/A</v>
      </c>
      <c r="EO92" s="31">
        <v>0</v>
      </c>
      <c r="EP92" s="102" t="e">
        <f>IF(NDC!$H$10="Oui",(VLOOKUP($B$3,'Coeff EC7'!$T$39:$X$59,2,0)*EN92+VLOOKUP($B$3,'Coeff EC7'!$T$65:$X$85,2,0)*Model0.1T!EO92)/1.5,PI()*EL$12*$Q92*($B92-$B91)*0.15/10+EP91)</f>
        <v>#N/A</v>
      </c>
      <c r="EQ92" s="102" t="e">
        <f>(VLOOKUP($B$3,'Coeff EC7'!$T$39:$X$59,3,0)*EN92+VLOOKUP($B$3,'Coeff EC7'!$T$65:$X$85,3,0)*Model0.1T!EO92)/1.1</f>
        <v>#N/A</v>
      </c>
      <c r="ER92" s="102" t="e">
        <f t="shared" si="194"/>
        <v>#N/A</v>
      </c>
      <c r="ES92" s="102" t="e">
        <f t="shared" si="195"/>
        <v>#N/A</v>
      </c>
      <c r="ET92" s="414" t="e">
        <f>IF(AND(EP92&gt;NDC!$C$63,EQ92&gt;NDC!$C$65,ER92&gt;NDC!$D$73,ES92&gt;NDC!$D$74,$B92&gt;NDC!$H$22-0.1+MIN(3*ET$12,1.5)),0,1)</f>
        <v>#N/A</v>
      </c>
      <c r="EU92" s="86" t="b">
        <f t="shared" si="161"/>
        <v>0</v>
      </c>
      <c r="EV92" s="86">
        <f t="shared" si="162"/>
        <v>0.61</v>
      </c>
      <c r="EW92" s="86">
        <f t="shared" si="163"/>
        <v>0.61</v>
      </c>
      <c r="EX92" s="30" t="e">
        <f t="shared" ca="1" si="196"/>
        <v>#DIV/0!</v>
      </c>
      <c r="EY92" s="85" t="e">
        <f ca="1">IF(EE92&lt;=Hypothèses!$V$7,Hypothèses!$W$7,IF(EE92&lt;=Hypothèses!$V$8,Hypothèses!$W$8,IF(EE92&lt;=Hypothèses!$V$9,Hypothèses!$W$9,IF(EE92&lt;=Hypothèses!$V$10,Hypothèses!$W$10,IF(EE92&lt;=Hypothèses!$V$11,Hypothèses!$W$11,IF(EE92&lt;=Hypothèses!$V$12,Hypothèses!$W$12,IF(EE92&lt;=Hypothèses!$V$13,Hypothèses!$W$13,IF(EE92&lt;=Hypothèses!$V$14,Hypothèses!$W$14,IF(EE92&lt;=Hypothèses!$V$15,Hypothèses!$W$15,IF(EE92&lt;=Hypothèses!$V$16,Hypothèses!$W$16,IF(EE92&lt;=Hypothèses!$V$17,Hypothèses!$W$17,IF(EE92&lt;=Hypothèses!$V$18,Hypothèses!$W$18,""))))))))))))</f>
        <v>#DIV/0!</v>
      </c>
      <c r="EZ92" s="87" t="e">
        <f t="shared" ca="1" si="223"/>
        <v>#DIV/0!</v>
      </c>
      <c r="FA92" s="88" t="e">
        <f ca="1">IF(EE92&lt;=Hypothèses!$V$7,Hypothèses!$X$7,IF(EE92&lt;=Hypothèses!$V$8,Hypothèses!$X$8,IF(EE92&lt;=Hypothèses!$V$9,Hypothèses!$X$9,IF(EE92&lt;=Hypothèses!$V$10,Hypothèses!$X$10,IF(EE92&lt;=Hypothèses!$V$11,Hypothèses!$X$11,IF(EE92&lt;=Hypothèses!$V$12,Hypothèses!$X$12,IF(EE92&lt;=Hypothèses!$V$13,Hypothèses!$X$13,IF(EE92&lt;=Hypothèses!$V$14,Hypothèses!$X$14,IF(EE92&lt;=Hypothèses!$V$15,Hypothèses!$X$15,IF(EE92&lt;=Hypothèses!$V$16,Hypothèses!$X$16,IF(EE92&lt;=Hypothèses!$U$17,Hypothèses!$W$17,IF(EE92&lt;=Hypothèses!$U$18,Hypothèses!$W$18,""))))))))))))</f>
        <v>#DIV/0!</v>
      </c>
      <c r="FB92" s="95" t="e">
        <f t="shared" ca="1" si="197"/>
        <v>#DIV/0!</v>
      </c>
      <c r="FC92" s="101">
        <f t="shared" si="230"/>
        <v>0</v>
      </c>
      <c r="FD92" s="91">
        <f t="shared" si="164"/>
        <v>0</v>
      </c>
      <c r="FE92" s="30" t="e">
        <f t="shared" si="214"/>
        <v>#N/A</v>
      </c>
      <c r="FF92" s="30" t="e">
        <f t="shared" si="215"/>
        <v>#N/A</v>
      </c>
      <c r="FG92" s="31" t="e">
        <f>IF(OR(Hypothèses!$B$4=17,Hypothèses!$B$4=18,Hypothèses!$B$4=19,Hypothèses!$B$4=20),
IF($D92="Pressio.",
IF(OR($E92=3,$E92=1,$E92=4),FF92,FE92),
IF($D92="Pénétro.",
IF(OR($E92=3,$E92=1,$E92=4),FF92,FE92))),IF($D92="Pressio.",
IF($E92=3,FF92,FE92),
IF($D92="Pénétro.",
IF($E92=4,FF92,FE92))))</f>
        <v>#N/A</v>
      </c>
      <c r="FH92" s="31">
        <v>0</v>
      </c>
      <c r="FI92" s="102" t="e">
        <f>IF(NDC!$H$10="Oui",(VLOOKUP($B$3,'Coeff EC7'!$T$39:$X$59,2,0)*FG92+VLOOKUP($B$3,'Coeff EC7'!$T$65:$X$85,2,0)*Model0.1T!FH92)/1.5,PI()*FE$12*$Q92*($B92-$B91)*0.15/10+FI91)</f>
        <v>#N/A</v>
      </c>
      <c r="FJ92" s="102" t="e">
        <f>(VLOOKUP($B$3,'Coeff EC7'!$T$39:$X$59,3,0)*FG92+VLOOKUP($B$3,'Coeff EC7'!$T$65:$X$85,3,0)*Model0.1T!FH92)/1.1</f>
        <v>#N/A</v>
      </c>
      <c r="FK92" s="102" t="e">
        <f t="shared" si="198"/>
        <v>#N/A</v>
      </c>
      <c r="FL92" s="102" t="e">
        <f t="shared" si="199"/>
        <v>#N/A</v>
      </c>
      <c r="FM92" s="414" t="e">
        <f>IF(AND(FI92&gt;NDC!$C$63,FJ92&gt;NDC!$C$65,FK92&gt;NDC!$D$73,FL92&gt;NDC!$D$74,$B92&gt;NDC!$H$22-0.1+MIN(3*FM$12,1.5)),0,1)</f>
        <v>#N/A</v>
      </c>
    </row>
    <row r="93" spans="1:169">
      <c r="A93" s="96">
        <f t="shared" si="165"/>
        <v>92.000000000000455</v>
      </c>
      <c r="B93" s="97">
        <v>8</v>
      </c>
      <c r="C93" s="81">
        <f>IF(B93&lt;=Hypothèses!$C$7,Hypothèses!$A$7,IF(B93&lt;=Hypothèses!$C$8,Hypothèses!$A$8,IF(B93&lt;=Hypothèses!$C$9,Hypothèses!$A$9,IF(B93&lt;=Hypothèses!$C$10,Hypothèses!$A$10,IF(B93&lt;=Hypothèses!$C$11,Hypothèses!$A$11,IF(B93&lt;=Hypothèses!$C$12,Hypothèses!$A$12,IF(B93&lt;=Hypothèses!$C$13,Hypothèses!$A$13,IF(B93&lt;=Hypothèses!$C$14,Hypothèses!$A$14,IF(B93&lt;=Hypothèses!$C$15,Hypothèses!$A$15,IF(B93&lt;=Hypothèses!$C$16,Hypothèses!$A$16,IF(B93&lt;=Hypothèses!$C$17,Hypothèses!$A$17,IF(B93&lt;=Hypothèses!$C$18,Hypothèses!$A$18,C92))))))))))))</f>
        <v>11</v>
      </c>
      <c r="D93" s="82" t="str">
        <f>IF(B93&lt;=Hypothèses!$C$7,Hypothèses!$R$7,IF(B93&lt;=Hypothèses!$C$8,Hypothèses!$R$8,IF(B93&lt;=Hypothèses!$C$9,Hypothèses!$R$9,IF(B93&lt;=Hypothèses!$C$10,Hypothèses!$R$10,IF(B93&lt;=Hypothèses!$C$11,Hypothèses!$R$11,IF(B93&lt;=Hypothèses!$C$12,Hypothèses!$R$12,IF(B93&lt;=Hypothèses!$C$13,Hypothèses!$R$13,IF(B93&lt;=Hypothèses!$C$14,Hypothèses!$R$14,IF(B93&lt;=Hypothèses!$C$15,Hypothèses!$R$15,IF(B93&lt;=Hypothèses!$C$16,Hypothèses!$R$16,IF(B93&lt;=Hypothèses!$C$17,Hypothèses!$R$17,IF(B93&lt;=Hypothèses!$C$18,Hypothèses!$R$18,D92))))))))))))</f>
        <v>Pressio.</v>
      </c>
      <c r="E93" s="82" t="e">
        <f>IF(B93&lt;=Hypothèses!$C$7,Hypothèses!$G$7,IF(B93&lt;=Hypothèses!$C$8,Hypothèses!$G$8,IF(B93&lt;=Hypothèses!$C$9,Hypothèses!$G$9,IF(B93&lt;=Hypothèses!$C$10,Hypothèses!$G$10,IF(B93&lt;=Hypothèses!$C$11,Hypothèses!$G$11,IF(B93&lt;=Hypothèses!$C$12,Hypothèses!$G$12,IF(B93&lt;=Hypothèses!$C$13,Hypothèses!$G$13,IF(B93&lt;=Hypothèses!$C$14,Hypothèses!$G$14,IF(B93&lt;=Hypothèses!$C$15,Hypothèses!$G$15,IF(B93&lt;=Hypothèses!$C$16,Hypothèses!$G$16,IF(B93&lt;=Hypothèses!$C$17,Hypothèses!$G$17,IF(B93&lt;=Hypothèses!$C$18,Hypothèses!$G$18,E92))))))))))))</f>
        <v>#N/A</v>
      </c>
      <c r="F93" s="82" t="str">
        <f>IF(B93&lt;=Hypothèses!$C$7,Hypothèses!$F$7,IF(B93&lt;=Hypothèses!$C$8,Hypothèses!$F$8,IF(B93&lt;=Hypothèses!$C$9,Hypothèses!$F$9,IF(B93&lt;=Hypothèses!$C$10,Hypothèses!$F$10,IF(B93&lt;=Hypothèses!$C$11,Hypothèses!$F$11,IF(B93&lt;=Hypothèses!$C$12,Hypothèses!$F$12,IF(B93&lt;=Hypothèses!$C$13,Hypothèses!$F$13,IF(B93&lt;=Hypothèses!$C$14,Hypothèses!$F$14,IF(B93&lt;=Hypothèses!$C$15,Hypothèses!$F$15,IF(B93&lt;=Hypothèses!$C$16,Hypothèses!$F$16,IF(B93&lt;=Hypothèses!$C$17,Hypothèses!$F$17,IF(B93&lt;=Hypothèses!$C$18,Hypothèses!$F$18,F92))))))))))))</f>
        <v/>
      </c>
      <c r="G93" s="91">
        <f t="array" ref="G93">INDEX('Coeff EC7'!$U$7:$X$27,
MATCH(Model0.1T!$B$3,'Coeff EC7'!$T$7:$T$27,0),
MATCH(Model0.1T!$D93&amp;Model0.1T!$B$4,
'Coeff EC7'!$U$6:$X$6&amp;
'Coeff EC7'!$U$5:$X$5,0))</f>
        <v>1.4</v>
      </c>
      <c r="H93" s="91">
        <f t="array" ref="H93">INDEX('Coeff EC7'!$Y$7:$AB$27,
MATCH(Model0.1T!$B$3,'Coeff EC7'!$T$7:$T$27,0),
MATCH(Model0.1T!$D93&amp;Model0.1T!$B$4,
'Coeff EC7'!$Y$6:$AB$6&amp;
'Coeff EC7'!$Y$5:$AB$5,0))</f>
        <v>1.7</v>
      </c>
      <c r="I93" s="83">
        <v>0</v>
      </c>
      <c r="J93" s="91" t="e">
        <f t="array" ref="J93">INDEX('Coeff EC7'!$D$33:$Q$33,1,MATCH(D93&amp;E93,'Coeff EC7'!$D$31:$Q$31&amp;'Coeff EC7'!$D$32:$Q$32,0))</f>
        <v>#N/A</v>
      </c>
      <c r="K93" s="91" t="e">
        <f t="array" ref="K93">INDEX('Coeff EC7'!$D$34:$Q$34,1,MATCH(D93&amp;E93,'Coeff EC7'!$D$31:$Q$31&amp;'Coeff EC7'!$D$32:$Q$32,0))</f>
        <v>#N/A</v>
      </c>
      <c r="L93" s="91" t="e">
        <f t="array" ref="L93">INDEX('Coeff EC7'!$D$35:$Q$35,1,MATCH(D93&amp;E93,'Coeff EC7'!$D$31:$Q$31&amp;'Coeff EC7'!$D$32:$Q$32,0))</f>
        <v>#N/A</v>
      </c>
      <c r="M93" s="98" t="e">
        <f t="shared" si="131"/>
        <v>#N/A</v>
      </c>
      <c r="N93" s="99" t="e">
        <f t="array" ref="N93">INDEX('Coeff EC7'!$D$7:$Q$27,MATCH($B$3,'Coeff EC7'!$C$7:$C$27,0),MATCH(D93&amp;E93,'Coeff EC7'!$D$5:$Q$5&amp;'Coeff EC7'!$D$6:$Q$6,0))</f>
        <v>#N/A</v>
      </c>
      <c r="O93" s="99" t="e">
        <f t="array" ref="O93">INDEX('Coeff EC7'!$D$41:$Q$61,MATCH($B$3,'Coeff EC7'!$C$41:$C$61,0),MATCH(D93&amp;E93,'Coeff EC7'!$D$39:$Q$39&amp;'Coeff EC7'!$D$40:$Q$40,0))</f>
        <v>#N/A</v>
      </c>
      <c r="P93" s="30" t="e">
        <f t="shared" si="166"/>
        <v>#N/A</v>
      </c>
      <c r="Q93" s="100" t="e">
        <f t="shared" si="133"/>
        <v>#N/A</v>
      </c>
      <c r="R93" s="86" t="b">
        <f t="shared" si="134"/>
        <v>0</v>
      </c>
      <c r="S93" s="86">
        <f t="shared" si="132"/>
        <v>0.5</v>
      </c>
      <c r="T93" s="86">
        <f t="shared" si="135"/>
        <v>0.5</v>
      </c>
      <c r="U93" s="30" t="e">
        <f t="shared" ca="1" si="167"/>
        <v>#DIV/0!</v>
      </c>
      <c r="V93" s="85" t="str">
        <f>IF(B93&lt;=Hypothèses!$V$7,Hypothèses!$W$7,IF(B93&lt;=Hypothèses!$V$8,Hypothèses!$W$8,IF(B93&lt;=Hypothèses!$V$9,Hypothèses!$W$9,IF(B93&lt;=Hypothèses!$V$10,Hypothèses!$W$10,IF(B93&lt;=Hypothèses!$V$11,Hypothèses!$W$11,IF(B93&lt;=Hypothèses!$V$12,Hypothèses!$W$12,IF(B93&lt;=Hypothèses!$V$13,Hypothèses!$W$13,IF(B93&lt;=Hypothèses!$V$14,Hypothèses!$W$14,IF(B93&lt;=Hypothèses!$V$15,Hypothèses!$W$15,IF(B93&lt;=Hypothèses!$V$16,Hypothèses!$W$16,IF(B93&lt;=Hypothèses!$V$17,Hypothèses!$W$17,IF(B93&lt;=Hypothèses!$V$18,Hypothèses!$W$18,""))))))))))))</f>
        <v/>
      </c>
      <c r="W93" s="87" t="e">
        <f t="shared" ca="1" si="216"/>
        <v>#DIV/0!</v>
      </c>
      <c r="X93" s="88" t="str">
        <f>IF(B93&lt;=Hypothèses!$V$7,Hypothèses!$X$7,IF(B93&lt;=Hypothèses!$V$8,Hypothèses!$X$8,IF(B93&lt;=Hypothèses!$V$9,Hypothèses!$X$9,IF(B93&lt;=Hypothèses!$V$10,Hypothèses!$X$10,IF(B93&lt;=Hypothèses!$V$11,Hypothèses!$X$11,IF(B93&lt;=Hypothèses!$V$12,Hypothèses!$X$12,IF(B93&lt;=Hypothèses!$V$13,Hypothèses!$X$13,IF(B93&lt;=Hypothèses!$V$14,Hypothèses!$X$14,IF(B93&lt;=Hypothèses!$V$15,Hypothèses!$X$15,IF(B93&lt;=Hypothèses!$V$16,Hypothèses!$X$16,IF(B93&lt;=Hypothèses!$U$17,Hypothèses!$W$17,IF(B93&lt;=Hypothèses!$U$18,Hypothèses!$W$18,""))))))))))))</f>
        <v/>
      </c>
      <c r="Y93" s="95" t="e">
        <f t="shared" ca="1" si="136"/>
        <v>#DIV/0!</v>
      </c>
      <c r="Z93" s="101">
        <f t="shared" si="137"/>
        <v>0</v>
      </c>
      <c r="AA93" s="91">
        <f t="shared" si="138"/>
        <v>0</v>
      </c>
      <c r="AB93" s="30" t="e">
        <f t="shared" si="200"/>
        <v>#N/A</v>
      </c>
      <c r="AC93" s="30" t="e">
        <f t="shared" si="201"/>
        <v>#N/A</v>
      </c>
      <c r="AD93" s="31" t="e">
        <f>IF(OR(Hypothèses!$B$4=17,Hypothèses!$B$4=18,Hypothèses!$B$4=19,Hypothèses!$B$4=20),
IF($D93="Pressio.",
IF(OR($E93=3,$E93=1,$E93=4),AC93,AB93),
IF($D93="Pénétro.",
IF(OR($E93=3,$E93=1,$E93=4),AC93,AB93))),IF($D93="Pressio.",
IF($E93=3,AC93,AB93),
IF($D93="Pénétro.",
IF($E93=4,AC93,AB93))))</f>
        <v>#N/A</v>
      </c>
      <c r="AE93" s="31">
        <v>0</v>
      </c>
      <c r="AF93" s="102" t="e">
        <f>IF(NDC!$H$10="Oui",(VLOOKUP($B$3,'Coeff EC7'!$T$39:$X$59,2,0)*AD93+VLOOKUP($B$3,'Coeff EC7'!$T$65:$X$85,2,0)*Model0.1T!AE93)/1.5,PI()*AB$12*$Q93*($B93-$B92)*0.15/10+AF92)</f>
        <v>#N/A</v>
      </c>
      <c r="AG93" s="102" t="e">
        <f>(VLOOKUP($B$3,'Coeff EC7'!$T$39:$X$59,3,0)*AD93+VLOOKUP($B$3,'Coeff EC7'!$T$65:$X$85,3,0)*Model0.1T!AE93)/1.1</f>
        <v>#N/A</v>
      </c>
      <c r="AH93" s="102" t="e">
        <f t="shared" si="168"/>
        <v>#N/A</v>
      </c>
      <c r="AI93" s="102" t="e">
        <f t="shared" si="169"/>
        <v>#N/A</v>
      </c>
      <c r="AJ93" s="414" t="e">
        <f>IF(AND(AF93&gt;NDC!$C$63,AG93&gt;NDC!$C$65,AH93&gt;NDC!$D$73,AI93&gt;NDC!$D$74,$B93&gt;NDC!$H$22-0.1+MIN(3*$AJ$12,1.5)),0,1)</f>
        <v>#N/A</v>
      </c>
      <c r="AK93" s="86" t="b">
        <f t="shared" si="139"/>
        <v>0</v>
      </c>
      <c r="AL93" s="86">
        <f t="shared" si="170"/>
        <v>0.5</v>
      </c>
      <c r="AM93" s="86">
        <f t="shared" si="140"/>
        <v>0.5</v>
      </c>
      <c r="AN93" s="30" t="e">
        <f t="shared" ca="1" si="171"/>
        <v>#DIV/0!</v>
      </c>
      <c r="AO93" s="85" t="e">
        <f ca="1">IF(U93&lt;=Hypothèses!$V$7,Hypothèses!$W$7,IF(U93&lt;=Hypothèses!$V$8,Hypothèses!$W$8,IF(U93&lt;=Hypothèses!$V$9,Hypothèses!$W$9,IF(U93&lt;=Hypothèses!$V$10,Hypothèses!$W$10,IF(U93&lt;=Hypothèses!$V$11,Hypothèses!$W$11,IF(U93&lt;=Hypothèses!$V$12,Hypothèses!$W$12,IF(U93&lt;=Hypothèses!$V$13,Hypothèses!$W$13,IF(U93&lt;=Hypothèses!$V$14,Hypothèses!$W$14,IF(U93&lt;=Hypothèses!$V$15,Hypothèses!$W$15,IF(U93&lt;=Hypothèses!$V$16,Hypothèses!$W$16,IF(U93&lt;=Hypothèses!$V$17,Hypothèses!$W$17,IF(U93&lt;=Hypothèses!$V$18,Hypothèses!$W$18,""))))))))))))</f>
        <v>#DIV/0!</v>
      </c>
      <c r="AP93" s="87" t="e">
        <f t="shared" ca="1" si="217"/>
        <v>#DIV/0!</v>
      </c>
      <c r="AQ93" s="88" t="e">
        <f ca="1">IF(U93&lt;=Hypothèses!$V$7,Hypothèses!$X$7,IF(U93&lt;=Hypothèses!$V$8,Hypothèses!$X$8,IF(U93&lt;=Hypothèses!$V$9,Hypothèses!$X$9,IF(U93&lt;=Hypothèses!$V$10,Hypothèses!$X$10,IF(U93&lt;=Hypothèses!$V$11,Hypothèses!$X$11,IF(U93&lt;=Hypothèses!$V$12,Hypothèses!$X$12,IF(U93&lt;=Hypothèses!$V$13,Hypothèses!$X$13,IF(U93&lt;=Hypothèses!$V$14,Hypothèses!$X$14,IF(U93&lt;=Hypothèses!$V$15,Hypothèses!$X$15,IF(U93&lt;=Hypothèses!$V$16,Hypothèses!$X$16,IF(U93&lt;=Hypothèses!$U$17,Hypothèses!$W$17,IF(U93&lt;=Hypothèses!$U$18,Hypothèses!$W$18,""))))))))))))</f>
        <v>#DIV/0!</v>
      </c>
      <c r="AR93" s="95" t="e">
        <f t="shared" ca="1" si="172"/>
        <v>#DIV/0!</v>
      </c>
      <c r="AS93" s="101">
        <f t="shared" si="224"/>
        <v>0</v>
      </c>
      <c r="AT93" s="91">
        <f t="shared" si="141"/>
        <v>0</v>
      </c>
      <c r="AU93" s="30" t="e">
        <f t="shared" si="202"/>
        <v>#N/A</v>
      </c>
      <c r="AV93" s="30" t="e">
        <f t="shared" si="203"/>
        <v>#N/A</v>
      </c>
      <c r="AW93" s="31" t="e">
        <f>IF(OR(Hypothèses!$B$4=17,Hypothèses!$B$4=18,Hypothèses!$B$4=19,Hypothèses!$B$4=20),
IF($D93="Pressio.",
IF(OR($E93=3,$E93=1,$E93=4),AV93,AU93),
IF($D93="Pénétro.",
IF(OR($E93=3,$E93=1,$E93=4),AV93,AU93))),IF($D93="Pressio.",
IF($E93=3,AV93,AU93),
IF($D93="Pénétro.",
IF($E93=4,AV93,AU93))))</f>
        <v>#N/A</v>
      </c>
      <c r="AX93" s="31">
        <v>0</v>
      </c>
      <c r="AY93" s="102" t="e">
        <f>IF(NDC!$H$10="Oui",(VLOOKUP($B$3,'Coeff EC7'!$T$39:$X$59,2,0)*AW93+VLOOKUP($B$3,'Coeff EC7'!$T$65:$X$85,2,0)*Model0.1T!AX93)/1.5,PI()*AU$12*$Q93*($B93-$B92)*0.15/10+AY92)</f>
        <v>#N/A</v>
      </c>
      <c r="AZ93" s="102" t="e">
        <f>(VLOOKUP($B$3,'Coeff EC7'!$T$39:$X$59,3,0)*AW93+VLOOKUP($B$3,'Coeff EC7'!$T$65:$X$85,3,0)*Model0.1T!AX93)/1.1</f>
        <v>#N/A</v>
      </c>
      <c r="BA93" s="102" t="e">
        <f t="shared" si="173"/>
        <v>#N/A</v>
      </c>
      <c r="BB93" s="102" t="e">
        <f t="shared" si="174"/>
        <v>#N/A</v>
      </c>
      <c r="BC93" s="414" t="e">
        <f>IF(AND(AY93&gt;NDC!$C$63,AZ93&gt;NDC!$C$65,BA93&gt;NDC!$D$73,BB93&gt;NDC!$D$74,$B93&gt;NDC!$H$22-0.1+MIN(3*BC$12,1.5)),0,1)</f>
        <v>#N/A</v>
      </c>
      <c r="BD93" s="86" t="b">
        <f t="shared" si="142"/>
        <v>0</v>
      </c>
      <c r="BE93" s="86">
        <f t="shared" si="175"/>
        <v>0.5</v>
      </c>
      <c r="BF93" s="86">
        <f t="shared" si="143"/>
        <v>0.5</v>
      </c>
      <c r="BG93" s="30" t="e">
        <f t="shared" ca="1" si="176"/>
        <v>#DIV/0!</v>
      </c>
      <c r="BH93" s="85" t="e">
        <f ca="1">IF(AN93&lt;=Hypothèses!$V$7,Hypothèses!$W$7,IF(AN93&lt;=Hypothèses!$V$8,Hypothèses!$W$8,IF(AN93&lt;=Hypothèses!$V$9,Hypothèses!$W$9,IF(AN93&lt;=Hypothèses!$V$10,Hypothèses!$W$10,IF(AN93&lt;=Hypothèses!$V$11,Hypothèses!$W$11,IF(AN93&lt;=Hypothèses!$V$12,Hypothèses!$W$12,IF(AN93&lt;=Hypothèses!$V$13,Hypothèses!$W$13,IF(AN93&lt;=Hypothèses!$V$14,Hypothèses!$W$14,IF(AN93&lt;=Hypothèses!$V$15,Hypothèses!$W$15,IF(AN93&lt;=Hypothèses!$V$16,Hypothèses!$W$16,IF(AN93&lt;=Hypothèses!$V$17,Hypothèses!$W$17,IF(AN93&lt;=Hypothèses!$V$18,Hypothèses!$W$18,""))))))))))))</f>
        <v>#DIV/0!</v>
      </c>
      <c r="BI93" s="87" t="e">
        <f t="shared" ca="1" si="218"/>
        <v>#DIV/0!</v>
      </c>
      <c r="BJ93" s="88" t="e">
        <f ca="1">IF(AN93&lt;=Hypothèses!$V$7,Hypothèses!$X$7,IF(AN93&lt;=Hypothèses!$V$8,Hypothèses!$X$8,IF(AN93&lt;=Hypothèses!$V$9,Hypothèses!$X$9,IF(AN93&lt;=Hypothèses!$V$10,Hypothèses!$X$10,IF(AN93&lt;=Hypothèses!$V$11,Hypothèses!$X$11,IF(AN93&lt;=Hypothèses!$V$12,Hypothèses!$X$12,IF(AN93&lt;=Hypothèses!$V$13,Hypothèses!$X$13,IF(AN93&lt;=Hypothèses!$V$14,Hypothèses!$X$14,IF(AN93&lt;=Hypothèses!$V$15,Hypothèses!$X$15,IF(AN93&lt;=Hypothèses!$V$16,Hypothèses!$X$16,IF(AN93&lt;=Hypothèses!$U$17,Hypothèses!$W$17,IF(AN93&lt;=Hypothèses!$U$18,Hypothèses!$W$18,""))))))))))))</f>
        <v>#DIV/0!</v>
      </c>
      <c r="BK93" s="95" t="e">
        <f t="shared" ca="1" si="177"/>
        <v>#DIV/0!</v>
      </c>
      <c r="BL93" s="101">
        <f t="shared" si="225"/>
        <v>0</v>
      </c>
      <c r="BM93" s="91">
        <f t="shared" si="144"/>
        <v>0</v>
      </c>
      <c r="BN93" s="30" t="e">
        <f t="shared" si="204"/>
        <v>#N/A</v>
      </c>
      <c r="BO93" s="30" t="e">
        <f t="shared" si="205"/>
        <v>#N/A</v>
      </c>
      <c r="BP93" s="31" t="e">
        <f>IF(OR(Hypothèses!$B$4=17,Hypothèses!$B$4=18,Hypothèses!$B$4=19,Hypothèses!$B$4=20),
IF($D93="Pressio.",
IF(OR($E93=3,$E93=1,$E93=4),BO93,BN93),
IF($D93="Pénétro.",
IF(OR($E93=3,$E93=1,$E93=4),BO93,BN93))),IF($D93="Pressio.",
IF($E93=3,BO93,BN93),
IF($D93="Pénétro.",
IF($E93=4,BO93,BN93))))</f>
        <v>#N/A</v>
      </c>
      <c r="BQ93" s="31">
        <v>0</v>
      </c>
      <c r="BR93" s="102" t="e">
        <f>IF(NDC!$H$10="Oui",(VLOOKUP($B$3,'Coeff EC7'!$T$39:$X$59,2,0)*BP93+VLOOKUP($B$3,'Coeff EC7'!$T$65:$X$85,2,0)*Model0.1T!BQ93)/1.5,PI()*BN$12*$Q93*($B93-$B92)*0.15/10+BR92)</f>
        <v>#N/A</v>
      </c>
      <c r="BS93" s="102" t="e">
        <f>(VLOOKUP($B$3,'Coeff EC7'!$T$39:$X$59,3,0)*BP93+VLOOKUP($B$3,'Coeff EC7'!$T$65:$X$85,3,0)*Model0.1T!BQ93)/1.1</f>
        <v>#N/A</v>
      </c>
      <c r="BT93" s="102" t="e">
        <f t="shared" si="178"/>
        <v>#N/A</v>
      </c>
      <c r="BU93" s="102" t="e">
        <f t="shared" si="179"/>
        <v>#N/A</v>
      </c>
      <c r="BV93" s="414" t="e">
        <f>IF(AND(BR93&gt;NDC!$C$63,BS93&gt;NDC!$C$65,BT93&gt;NDC!$D$73,BU93&gt;NDC!$D$74,$B93&gt;NDC!$H$22-0.1+MIN(3*BV$12,1.5)),0,1)</f>
        <v>#N/A</v>
      </c>
      <c r="BW93" s="86" t="b">
        <f t="shared" si="145"/>
        <v>0</v>
      </c>
      <c r="BX93" s="86">
        <f t="shared" si="146"/>
        <v>0.5</v>
      </c>
      <c r="BY93" s="86">
        <f t="shared" si="147"/>
        <v>0.5</v>
      </c>
      <c r="BZ93" s="30" t="e">
        <f t="shared" ca="1" si="180"/>
        <v>#DIV/0!</v>
      </c>
      <c r="CA93" s="85" t="e">
        <f ca="1">IF(BG93&lt;=Hypothèses!$V$7,Hypothèses!$W$7,IF(BG93&lt;=Hypothèses!$V$8,Hypothèses!$W$8,IF(BG93&lt;=Hypothèses!$V$9,Hypothèses!$W$9,IF(BG93&lt;=Hypothèses!$V$10,Hypothèses!$W$10,IF(BG93&lt;=Hypothèses!$V$11,Hypothèses!$W$11,IF(BG93&lt;=Hypothèses!$V$12,Hypothèses!$W$12,IF(BG93&lt;=Hypothèses!$V$13,Hypothèses!$W$13,IF(BG93&lt;=Hypothèses!$V$14,Hypothèses!$W$14,IF(BG93&lt;=Hypothèses!$V$15,Hypothèses!$W$15,IF(BG93&lt;=Hypothèses!$V$16,Hypothèses!$W$16,IF(BG93&lt;=Hypothèses!$V$17,Hypothèses!$W$17,IF(BG93&lt;=Hypothèses!$V$18,Hypothèses!$W$18,""))))))))))))</f>
        <v>#DIV/0!</v>
      </c>
      <c r="CB93" s="87" t="e">
        <f t="shared" ca="1" si="219"/>
        <v>#DIV/0!</v>
      </c>
      <c r="CC93" s="88" t="e">
        <f ca="1">IF(BG93&lt;=Hypothèses!$V$7,Hypothèses!$X$7,IF(BG93&lt;=Hypothèses!$V$8,Hypothèses!$X$8,IF(BG93&lt;=Hypothèses!$V$9,Hypothèses!$X$9,IF(BG93&lt;=Hypothèses!$V$10,Hypothèses!$X$10,IF(BG93&lt;=Hypothèses!$V$11,Hypothèses!$X$11,IF(BG93&lt;=Hypothèses!$V$12,Hypothèses!$X$12,IF(BG93&lt;=Hypothèses!$V$13,Hypothèses!$X$13,IF(BG93&lt;=Hypothèses!$V$14,Hypothèses!$X$14,IF(BG93&lt;=Hypothèses!$V$15,Hypothèses!$X$15,IF(BG93&lt;=Hypothèses!$V$16,Hypothèses!$X$16,IF(BG93&lt;=Hypothèses!$U$17,Hypothèses!$W$17,IF(BG93&lt;=Hypothèses!$U$18,Hypothèses!$W$18,""))))))))))))</f>
        <v>#DIV/0!</v>
      </c>
      <c r="CD93" s="95" t="e">
        <f t="shared" ca="1" si="181"/>
        <v>#DIV/0!</v>
      </c>
      <c r="CE93" s="101">
        <f t="shared" si="226"/>
        <v>0</v>
      </c>
      <c r="CF93" s="91">
        <f t="shared" si="148"/>
        <v>0</v>
      </c>
      <c r="CG93" s="30" t="e">
        <f t="shared" si="206"/>
        <v>#N/A</v>
      </c>
      <c r="CH93" s="30" t="e">
        <f t="shared" si="207"/>
        <v>#N/A</v>
      </c>
      <c r="CI93" s="31" t="e">
        <f>IF(OR(Hypothèses!$B$4=17,Hypothèses!$B$4=18,Hypothèses!$B$4=19,Hypothèses!$B$4=20),
IF($D93="Pressio.",
IF(OR($E93=3,$E93=1,$E93=4),CH93,CG93),
IF($D93="Pénétro.",
IF(OR($E93=3,$E93=1,$E93=4),CH93,CG93))),IF($D93="Pressio.",
IF($E93=3,CH93,CG93),
IF($D93="Pénétro.",
IF($E93=4,CH93,CG93))))</f>
        <v>#N/A</v>
      </c>
      <c r="CJ93" s="31">
        <v>0</v>
      </c>
      <c r="CK93" s="102" t="e">
        <f>IF(NDC!$H$10="Oui",(VLOOKUP($B$3,'Coeff EC7'!$T$39:$X$59,2,0)*CI93+VLOOKUP($B$3,'Coeff EC7'!$T$65:$X$85,2,0)*Model0.1T!CJ93)/1.5,PI()*CG$12*$Q93*($B93-$B92)*0.15/10+CK92)</f>
        <v>#N/A</v>
      </c>
      <c r="CL93" s="102" t="e">
        <f>(VLOOKUP($B$3,'Coeff EC7'!$T$39:$X$59,3,0)*CI93+VLOOKUP($B$3,'Coeff EC7'!$T$65:$X$85,3,0)*Model0.1T!CJ93)/1.1</f>
        <v>#N/A</v>
      </c>
      <c r="CM93" s="102" t="e">
        <f t="shared" si="182"/>
        <v>#N/A</v>
      </c>
      <c r="CN93" s="102" t="e">
        <f t="shared" si="183"/>
        <v>#N/A</v>
      </c>
      <c r="CO93" s="414" t="e">
        <f>IF(AND(CK93&gt;NDC!$C$63,CL93&gt;NDC!$C$65,CM93&gt;NDC!$D$73,CN93&gt;NDC!$D$74,$B93&gt;NDC!$H$22-0.1+MIN(3*CO$12,1.5)),0,1)</f>
        <v>#N/A</v>
      </c>
      <c r="CP93" s="86" t="b">
        <f t="shared" si="149"/>
        <v>0</v>
      </c>
      <c r="CQ93" s="86">
        <f t="shared" si="150"/>
        <v>0.5</v>
      </c>
      <c r="CR93" s="86">
        <f t="shared" si="151"/>
        <v>0.5</v>
      </c>
      <c r="CS93" s="30" t="e">
        <f t="shared" ca="1" si="184"/>
        <v>#DIV/0!</v>
      </c>
      <c r="CT93" s="85" t="e">
        <f ca="1">IF(BZ93&lt;=Hypothèses!$V$7,Hypothèses!$W$7,IF(BZ93&lt;=Hypothèses!$V$8,Hypothèses!$W$8,IF(BZ93&lt;=Hypothèses!$V$9,Hypothèses!$W$9,IF(BZ93&lt;=Hypothèses!$V$10,Hypothèses!$W$10,IF(BZ93&lt;=Hypothèses!$V$11,Hypothèses!$W$11,IF(BZ93&lt;=Hypothèses!$V$12,Hypothèses!$W$12,IF(BZ93&lt;=Hypothèses!$V$13,Hypothèses!$W$13,IF(BZ93&lt;=Hypothèses!$V$14,Hypothèses!$W$14,IF(BZ93&lt;=Hypothèses!$V$15,Hypothèses!$W$15,IF(BZ93&lt;=Hypothèses!$V$16,Hypothèses!$W$16,IF(BZ93&lt;=Hypothèses!$V$17,Hypothèses!$W$17,IF(BZ93&lt;=Hypothèses!$V$18,Hypothèses!$W$18,""))))))))))))</f>
        <v>#DIV/0!</v>
      </c>
      <c r="CU93" s="87" t="e">
        <f t="shared" ca="1" si="220"/>
        <v>#DIV/0!</v>
      </c>
      <c r="CV93" s="88" t="e">
        <f ca="1">IF(BZ93&lt;=Hypothèses!$V$7,Hypothèses!$X$7,IF(BZ93&lt;=Hypothèses!$V$8,Hypothèses!$X$8,IF(BZ93&lt;=Hypothèses!$V$9,Hypothèses!$X$9,IF(BZ93&lt;=Hypothèses!$V$10,Hypothèses!$X$10,IF(BZ93&lt;=Hypothèses!$V$11,Hypothèses!$X$11,IF(BZ93&lt;=Hypothèses!$V$12,Hypothèses!$X$12,IF(BZ93&lt;=Hypothèses!$V$13,Hypothèses!$X$13,IF(BZ93&lt;=Hypothèses!$V$14,Hypothèses!$X$14,IF(BZ93&lt;=Hypothèses!$V$15,Hypothèses!$X$15,IF(BZ93&lt;=Hypothèses!$V$16,Hypothèses!$X$16,IF(BZ93&lt;=Hypothèses!$U$17,Hypothèses!$W$17,IF(BZ93&lt;=Hypothèses!$U$18,Hypothèses!$W$18,""))))))))))))</f>
        <v>#DIV/0!</v>
      </c>
      <c r="CW93" s="95" t="e">
        <f t="shared" ca="1" si="185"/>
        <v>#DIV/0!</v>
      </c>
      <c r="CX93" s="101">
        <f t="shared" si="227"/>
        <v>0</v>
      </c>
      <c r="CY93" s="91">
        <f t="shared" si="152"/>
        <v>0</v>
      </c>
      <c r="CZ93" s="30" t="e">
        <f t="shared" si="208"/>
        <v>#N/A</v>
      </c>
      <c r="DA93" s="30" t="e">
        <f t="shared" si="209"/>
        <v>#N/A</v>
      </c>
      <c r="DB93" s="31" t="e">
        <f>IF(OR(Hypothèses!$B$4=17,Hypothèses!$B$4=18,Hypothèses!$B$4=19,Hypothèses!$B$4=20),
IF($D93="Pressio.",
IF(OR($E93=3,$E93=1,$E93=4),DA93,CZ93),
IF($D93="Pénétro.",
IF(OR($E93=3,$E93=1,$E93=4),DA93,CZ93))),IF($D93="Pressio.",
IF($E93=3,DA93,CZ93),
IF($D93="Pénétro.",
IF($E93=4,DA93,CZ93))))</f>
        <v>#N/A</v>
      </c>
      <c r="DC93" s="31">
        <v>0</v>
      </c>
      <c r="DD93" s="102" t="e">
        <f>IF(NDC!$H$10="Oui",(VLOOKUP($B$3,'Coeff EC7'!$T$39:$X$59,2,0)*DB93+VLOOKUP($B$3,'Coeff EC7'!$T$65:$X$85,2,0)*Model0.1T!DC93)/1.5,PI()*CZ$12*$Q93*($B93-$B92)*0.15/10+DD92)</f>
        <v>#N/A</v>
      </c>
      <c r="DE93" s="102" t="e">
        <f>(VLOOKUP($B$3,'Coeff EC7'!$T$39:$X$59,3,0)*DB93+VLOOKUP($B$3,'Coeff EC7'!$T$65:$X$85,3,0)*Model0.1T!DC93)/1.1</f>
        <v>#N/A</v>
      </c>
      <c r="DF93" s="102" t="e">
        <f t="shared" si="186"/>
        <v>#N/A</v>
      </c>
      <c r="DG93" s="102" t="e">
        <f t="shared" si="187"/>
        <v>#N/A</v>
      </c>
      <c r="DH93" s="414" t="e">
        <f>IF(AND(DD93&gt;NDC!$C$63,DE93&gt;NDC!$C$65,DF93&gt;NDC!$D$73,DG93&gt;NDC!$D$74,$B93&gt;NDC!$H$22-0.1+MIN(3*DH$12,1.5)),0,1)</f>
        <v>#N/A</v>
      </c>
      <c r="DI93" s="86" t="b">
        <f t="shared" si="153"/>
        <v>0</v>
      </c>
      <c r="DJ93" s="86">
        <f t="shared" si="154"/>
        <v>0.5</v>
      </c>
      <c r="DK93" s="86">
        <f t="shared" si="155"/>
        <v>0.5</v>
      </c>
      <c r="DL93" s="30" t="e">
        <f t="shared" ca="1" si="188"/>
        <v>#DIV/0!</v>
      </c>
      <c r="DM93" s="85" t="e">
        <f ca="1">IF(CS93&lt;=Hypothèses!$V$7,Hypothèses!$W$7,IF(CS93&lt;=Hypothèses!$V$8,Hypothèses!$W$8,IF(CS93&lt;=Hypothèses!$V$9,Hypothèses!$W$9,IF(CS93&lt;=Hypothèses!$V$10,Hypothèses!$W$10,IF(CS93&lt;=Hypothèses!$V$11,Hypothèses!$W$11,IF(CS93&lt;=Hypothèses!$V$12,Hypothèses!$W$12,IF(CS93&lt;=Hypothèses!$V$13,Hypothèses!$W$13,IF(CS93&lt;=Hypothèses!$V$14,Hypothèses!$W$14,IF(CS93&lt;=Hypothèses!$V$15,Hypothèses!$W$15,IF(CS93&lt;=Hypothèses!$V$16,Hypothèses!$W$16,IF(CS93&lt;=Hypothèses!$V$17,Hypothèses!$W$17,IF(CS93&lt;=Hypothèses!$V$18,Hypothèses!$W$18,""))))))))))))</f>
        <v>#DIV/0!</v>
      </c>
      <c r="DN93" s="87" t="e">
        <f t="shared" ca="1" si="221"/>
        <v>#DIV/0!</v>
      </c>
      <c r="DO93" s="88" t="e">
        <f ca="1">IF(CS93&lt;=Hypothèses!$V$7,Hypothèses!$X$7,IF(CS93&lt;=Hypothèses!$V$8,Hypothèses!$X$8,IF(CS93&lt;=Hypothèses!$V$9,Hypothèses!$X$9,IF(CS93&lt;=Hypothèses!$V$10,Hypothèses!$X$10,IF(CS93&lt;=Hypothèses!$V$11,Hypothèses!$X$11,IF(CS93&lt;=Hypothèses!$V$12,Hypothèses!$X$12,IF(CS93&lt;=Hypothèses!$V$13,Hypothèses!$X$13,IF(CS93&lt;=Hypothèses!$V$14,Hypothèses!$X$14,IF(CS93&lt;=Hypothèses!$V$15,Hypothèses!$X$15,IF(CS93&lt;=Hypothèses!$V$16,Hypothèses!$X$16,IF(CS93&lt;=Hypothèses!$U$17,Hypothèses!$W$17,IF(CS93&lt;=Hypothèses!$U$18,Hypothèses!$W$18,""))))))))))))</f>
        <v>#DIV/0!</v>
      </c>
      <c r="DP93" s="95" t="e">
        <f t="shared" ca="1" si="189"/>
        <v>#DIV/0!</v>
      </c>
      <c r="DQ93" s="101">
        <f t="shared" si="228"/>
        <v>0</v>
      </c>
      <c r="DR93" s="91">
        <f t="shared" si="156"/>
        <v>0</v>
      </c>
      <c r="DS93" s="30" t="e">
        <f t="shared" si="210"/>
        <v>#N/A</v>
      </c>
      <c r="DT93" s="30" t="e">
        <f t="shared" si="211"/>
        <v>#N/A</v>
      </c>
      <c r="DU93" s="31" t="e">
        <f>IF(OR(Hypothèses!$B$4=17,Hypothèses!$B$4=18,Hypothèses!$B$4=19,Hypothèses!$B$4=20),
IF($D93="Pressio.",
IF(OR($E93=3,$E93=1,$E93=4),DT93,DS93),
IF($D93="Pénétro.",
IF(OR($E93=3,$E93=1,$E93=4),DT93,DS93))),IF($D93="Pressio.",
IF($E93=3,DT93,DS93),
IF($D93="Pénétro.",
IF($E93=4,DT93,DS93))))</f>
        <v>#N/A</v>
      </c>
      <c r="DV93" s="31">
        <v>0</v>
      </c>
      <c r="DW93" s="102" t="e">
        <f>IF(NDC!$H$10="Oui",(VLOOKUP($B$3,'Coeff EC7'!$T$39:$X$59,2,0)*DU93+VLOOKUP($B$3,'Coeff EC7'!$T$65:$X$85,2,0)*Model0.1T!DV93)/1.5,PI()*DS$12*$Q93*($B93-$B92)*0.15/10+DW92)</f>
        <v>#N/A</v>
      </c>
      <c r="DX93" s="102" t="e">
        <f>(VLOOKUP($B$3,'Coeff EC7'!$T$39:$X$59,3,0)*DU93+VLOOKUP($B$3,'Coeff EC7'!$T$65:$X$85,3,0)*Model0.1T!DV93)/1.1</f>
        <v>#N/A</v>
      </c>
      <c r="DY93" s="102" t="e">
        <f t="shared" si="190"/>
        <v>#N/A</v>
      </c>
      <c r="DZ93" s="102" t="e">
        <f t="shared" si="191"/>
        <v>#N/A</v>
      </c>
      <c r="EA93" s="414" t="e">
        <f>IF(AND(DW93&gt;NDC!$C$63,DX93&gt;NDC!$C$65,DY93&gt;NDC!$D$73,DZ93&gt;NDC!$D$74,$B93&gt;NDC!$H$22-0.1+MIN(3*EA$12,1.5)),0,1)</f>
        <v>#N/A</v>
      </c>
      <c r="EB93" s="86" t="b">
        <f t="shared" si="157"/>
        <v>0</v>
      </c>
      <c r="EC93" s="418">
        <f t="shared" si="158"/>
        <v>0.51</v>
      </c>
      <c r="ED93" s="86">
        <f t="shared" si="159"/>
        <v>0.51</v>
      </c>
      <c r="EE93" s="30" t="e">
        <f t="shared" ca="1" si="192"/>
        <v>#DIV/0!</v>
      </c>
      <c r="EF93" s="85" t="e">
        <f ca="1">IF(DL93&lt;=Hypothèses!$V$7,Hypothèses!$W$7,IF(DL93&lt;=Hypothèses!$V$8,Hypothèses!$W$8,IF(DL93&lt;=Hypothèses!$V$9,Hypothèses!$W$9,IF(DL93&lt;=Hypothèses!$V$10,Hypothèses!$W$10,IF(DL93&lt;=Hypothèses!$V$11,Hypothèses!$W$11,IF(DL93&lt;=Hypothèses!$V$12,Hypothèses!$W$12,IF(DL93&lt;=Hypothèses!$V$13,Hypothèses!$W$13,IF(DL93&lt;=Hypothèses!$V$14,Hypothèses!$W$14,IF(DL93&lt;=Hypothèses!$V$15,Hypothèses!$W$15,IF(DL93&lt;=Hypothèses!$V$16,Hypothèses!$W$16,IF(DL93&lt;=Hypothèses!$V$17,Hypothèses!$W$17,IF(DL93&lt;=Hypothèses!$V$18,Hypothèses!$W$18,""))))))))))))</f>
        <v>#DIV/0!</v>
      </c>
      <c r="EG93" s="87" t="e">
        <f t="shared" ca="1" si="222"/>
        <v>#DIV/0!</v>
      </c>
      <c r="EH93" s="88" t="e">
        <f ca="1">IF(DL93&lt;=Hypothèses!$V$7,Hypothèses!$X$7,IF(DL93&lt;=Hypothèses!$V$8,Hypothèses!$X$8,IF(DL93&lt;=Hypothèses!$V$9,Hypothèses!$X$9,IF(DL93&lt;=Hypothèses!$V$10,Hypothèses!$X$10,IF(DL93&lt;=Hypothèses!$V$11,Hypothèses!$X$11,IF(DL93&lt;=Hypothèses!$V$12,Hypothèses!$X$12,IF(DL93&lt;=Hypothèses!$V$13,Hypothèses!$X$13,IF(DL93&lt;=Hypothèses!$V$14,Hypothèses!$X$14,IF(DL93&lt;=Hypothèses!$V$15,Hypothèses!$X$15,IF(DL93&lt;=Hypothèses!$V$16,Hypothèses!$X$16,IF(DL93&lt;=Hypothèses!$U$17,Hypothèses!$W$17,IF(DL93&lt;=Hypothèses!$U$18,Hypothèses!$W$18,""))))))))))))</f>
        <v>#DIV/0!</v>
      </c>
      <c r="EI93" s="95" t="e">
        <f t="shared" ca="1" si="193"/>
        <v>#DIV/0!</v>
      </c>
      <c r="EJ93" s="101">
        <f t="shared" si="229"/>
        <v>0</v>
      </c>
      <c r="EK93" s="91">
        <f t="shared" si="160"/>
        <v>0</v>
      </c>
      <c r="EL93" s="30" t="e">
        <f t="shared" si="212"/>
        <v>#N/A</v>
      </c>
      <c r="EM93" s="30" t="e">
        <f t="shared" si="213"/>
        <v>#N/A</v>
      </c>
      <c r="EN93" s="31" t="e">
        <f>IF(OR(Hypothèses!$B$4=17,Hypothèses!$B$4=18,Hypothèses!$B$4=19,Hypothèses!$B$4=20),
IF($D93="Pressio.",
IF(OR($E93=3,$E93=1,$E93=4),EM93,EL93),
IF($D93="Pénétro.",
IF(OR($E93=3,$E93=1,$E93=4),EM93,EL93))),IF($D93="Pressio.",
IF($E93=3,EM93,EL93),
IF($D93="Pénétro.",
IF($E93=4,EM93,EL93))))</f>
        <v>#N/A</v>
      </c>
      <c r="EO93" s="31">
        <v>0</v>
      </c>
      <c r="EP93" s="102" t="e">
        <f>IF(NDC!$H$10="Oui",(VLOOKUP($B$3,'Coeff EC7'!$T$39:$X$59,2,0)*EN93+VLOOKUP($B$3,'Coeff EC7'!$T$65:$X$85,2,0)*Model0.1T!EO93)/1.5,PI()*EL$12*$Q93*($B93-$B92)*0.15/10+EP92)</f>
        <v>#N/A</v>
      </c>
      <c r="EQ93" s="102" t="e">
        <f>(VLOOKUP($B$3,'Coeff EC7'!$T$39:$X$59,3,0)*EN93+VLOOKUP($B$3,'Coeff EC7'!$T$65:$X$85,3,0)*Model0.1T!EO93)/1.1</f>
        <v>#N/A</v>
      </c>
      <c r="ER93" s="102" t="e">
        <f t="shared" si="194"/>
        <v>#N/A</v>
      </c>
      <c r="ES93" s="102" t="e">
        <f t="shared" si="195"/>
        <v>#N/A</v>
      </c>
      <c r="ET93" s="414" t="e">
        <f>IF(AND(EP93&gt;NDC!$C$63,EQ93&gt;NDC!$C$65,ER93&gt;NDC!$D$73,ES93&gt;NDC!$D$74,$B93&gt;NDC!$H$22-0.1+MIN(3*ET$12,1.5)),0,1)</f>
        <v>#N/A</v>
      </c>
      <c r="EU93" s="86" t="b">
        <f t="shared" si="161"/>
        <v>0</v>
      </c>
      <c r="EV93" s="86">
        <f t="shared" si="162"/>
        <v>0.61</v>
      </c>
      <c r="EW93" s="86">
        <f t="shared" si="163"/>
        <v>0.61</v>
      </c>
      <c r="EX93" s="30" t="e">
        <f t="shared" ca="1" si="196"/>
        <v>#DIV/0!</v>
      </c>
      <c r="EY93" s="85" t="e">
        <f ca="1">IF(EE93&lt;=Hypothèses!$V$7,Hypothèses!$W$7,IF(EE93&lt;=Hypothèses!$V$8,Hypothèses!$W$8,IF(EE93&lt;=Hypothèses!$V$9,Hypothèses!$W$9,IF(EE93&lt;=Hypothèses!$V$10,Hypothèses!$W$10,IF(EE93&lt;=Hypothèses!$V$11,Hypothèses!$W$11,IF(EE93&lt;=Hypothèses!$V$12,Hypothèses!$W$12,IF(EE93&lt;=Hypothèses!$V$13,Hypothèses!$W$13,IF(EE93&lt;=Hypothèses!$V$14,Hypothèses!$W$14,IF(EE93&lt;=Hypothèses!$V$15,Hypothèses!$W$15,IF(EE93&lt;=Hypothèses!$V$16,Hypothèses!$W$16,IF(EE93&lt;=Hypothèses!$V$17,Hypothèses!$W$17,IF(EE93&lt;=Hypothèses!$V$18,Hypothèses!$W$18,""))))))))))))</f>
        <v>#DIV/0!</v>
      </c>
      <c r="EZ93" s="87" t="e">
        <f t="shared" ca="1" si="223"/>
        <v>#DIV/0!</v>
      </c>
      <c r="FA93" s="88" t="e">
        <f ca="1">IF(EE93&lt;=Hypothèses!$V$7,Hypothèses!$X$7,IF(EE93&lt;=Hypothèses!$V$8,Hypothèses!$X$8,IF(EE93&lt;=Hypothèses!$V$9,Hypothèses!$X$9,IF(EE93&lt;=Hypothèses!$V$10,Hypothèses!$X$10,IF(EE93&lt;=Hypothèses!$V$11,Hypothèses!$X$11,IF(EE93&lt;=Hypothèses!$V$12,Hypothèses!$X$12,IF(EE93&lt;=Hypothèses!$V$13,Hypothèses!$X$13,IF(EE93&lt;=Hypothèses!$V$14,Hypothèses!$X$14,IF(EE93&lt;=Hypothèses!$V$15,Hypothèses!$X$15,IF(EE93&lt;=Hypothèses!$V$16,Hypothèses!$X$16,IF(EE93&lt;=Hypothèses!$U$17,Hypothèses!$W$17,IF(EE93&lt;=Hypothèses!$U$18,Hypothèses!$W$18,""))))))))))))</f>
        <v>#DIV/0!</v>
      </c>
      <c r="FB93" s="95" t="e">
        <f t="shared" ca="1" si="197"/>
        <v>#DIV/0!</v>
      </c>
      <c r="FC93" s="101">
        <f t="shared" si="230"/>
        <v>0</v>
      </c>
      <c r="FD93" s="91">
        <f t="shared" si="164"/>
        <v>0</v>
      </c>
      <c r="FE93" s="30" t="e">
        <f t="shared" si="214"/>
        <v>#N/A</v>
      </c>
      <c r="FF93" s="30" t="e">
        <f t="shared" si="215"/>
        <v>#N/A</v>
      </c>
      <c r="FG93" s="31" t="e">
        <f>IF(OR(Hypothèses!$B$4=17,Hypothèses!$B$4=18,Hypothèses!$B$4=19,Hypothèses!$B$4=20),
IF($D93="Pressio.",
IF(OR($E93=3,$E93=1,$E93=4),FF93,FE93),
IF($D93="Pénétro.",
IF(OR($E93=3,$E93=1,$E93=4),FF93,FE93))),IF($D93="Pressio.",
IF($E93=3,FF93,FE93),
IF($D93="Pénétro.",
IF($E93=4,FF93,FE93))))</f>
        <v>#N/A</v>
      </c>
      <c r="FH93" s="31">
        <v>0</v>
      </c>
      <c r="FI93" s="102" t="e">
        <f>IF(NDC!$H$10="Oui",(VLOOKUP($B$3,'Coeff EC7'!$T$39:$X$59,2,0)*FG93+VLOOKUP($B$3,'Coeff EC7'!$T$65:$X$85,2,0)*Model0.1T!FH93)/1.5,PI()*FE$12*$Q93*($B93-$B92)*0.15/10+FI92)</f>
        <v>#N/A</v>
      </c>
      <c r="FJ93" s="102" t="e">
        <f>(VLOOKUP($B$3,'Coeff EC7'!$T$39:$X$59,3,0)*FG93+VLOOKUP($B$3,'Coeff EC7'!$T$65:$X$85,3,0)*Model0.1T!FH93)/1.1</f>
        <v>#N/A</v>
      </c>
      <c r="FK93" s="102" t="e">
        <f t="shared" si="198"/>
        <v>#N/A</v>
      </c>
      <c r="FL93" s="102" t="e">
        <f t="shared" si="199"/>
        <v>#N/A</v>
      </c>
      <c r="FM93" s="414" t="e">
        <f>IF(AND(FI93&gt;NDC!$C$63,FJ93&gt;NDC!$C$65,FK93&gt;NDC!$D$73,FL93&gt;NDC!$D$74,$B93&gt;NDC!$H$22-0.1+MIN(3*FM$12,1.5)),0,1)</f>
        <v>#N/A</v>
      </c>
    </row>
    <row r="94" spans="1:169">
      <c r="A94" s="96">
        <f t="shared" si="165"/>
        <v>91.90000000000046</v>
      </c>
      <c r="B94" s="97">
        <v>8.1</v>
      </c>
      <c r="C94" s="81">
        <f>IF(B94&lt;=Hypothèses!$C$7,Hypothèses!$A$7,IF(B94&lt;=Hypothèses!$C$8,Hypothèses!$A$8,IF(B94&lt;=Hypothèses!$C$9,Hypothèses!$A$9,IF(B94&lt;=Hypothèses!$C$10,Hypothèses!$A$10,IF(B94&lt;=Hypothèses!$C$11,Hypothèses!$A$11,IF(B94&lt;=Hypothèses!$C$12,Hypothèses!$A$12,IF(B94&lt;=Hypothèses!$C$13,Hypothèses!$A$13,IF(B94&lt;=Hypothèses!$C$14,Hypothèses!$A$14,IF(B94&lt;=Hypothèses!$C$15,Hypothèses!$A$15,IF(B94&lt;=Hypothèses!$C$16,Hypothèses!$A$16,IF(B94&lt;=Hypothèses!$C$17,Hypothèses!$A$17,IF(B94&lt;=Hypothèses!$C$18,Hypothèses!$A$18,C93))))))))))))</f>
        <v>11</v>
      </c>
      <c r="D94" s="82" t="str">
        <f>IF(B94&lt;=Hypothèses!$C$7,Hypothèses!$R$7,IF(B94&lt;=Hypothèses!$C$8,Hypothèses!$R$8,IF(B94&lt;=Hypothèses!$C$9,Hypothèses!$R$9,IF(B94&lt;=Hypothèses!$C$10,Hypothèses!$R$10,IF(B94&lt;=Hypothèses!$C$11,Hypothèses!$R$11,IF(B94&lt;=Hypothèses!$C$12,Hypothèses!$R$12,IF(B94&lt;=Hypothèses!$C$13,Hypothèses!$R$13,IF(B94&lt;=Hypothèses!$C$14,Hypothèses!$R$14,IF(B94&lt;=Hypothèses!$C$15,Hypothèses!$R$15,IF(B94&lt;=Hypothèses!$C$16,Hypothèses!$R$16,IF(B94&lt;=Hypothèses!$C$17,Hypothèses!$R$17,IF(B94&lt;=Hypothèses!$C$18,Hypothèses!$R$18,D93))))))))))))</f>
        <v>Pressio.</v>
      </c>
      <c r="E94" s="82" t="e">
        <f>IF(B94&lt;=Hypothèses!$C$7,Hypothèses!$G$7,IF(B94&lt;=Hypothèses!$C$8,Hypothèses!$G$8,IF(B94&lt;=Hypothèses!$C$9,Hypothèses!$G$9,IF(B94&lt;=Hypothèses!$C$10,Hypothèses!$G$10,IF(B94&lt;=Hypothèses!$C$11,Hypothèses!$G$11,IF(B94&lt;=Hypothèses!$C$12,Hypothèses!$G$12,IF(B94&lt;=Hypothèses!$C$13,Hypothèses!$G$13,IF(B94&lt;=Hypothèses!$C$14,Hypothèses!$G$14,IF(B94&lt;=Hypothèses!$C$15,Hypothèses!$G$15,IF(B94&lt;=Hypothèses!$C$16,Hypothèses!$G$16,IF(B94&lt;=Hypothèses!$C$17,Hypothèses!$G$17,IF(B94&lt;=Hypothèses!$C$18,Hypothèses!$G$18,E93))))))))))))</f>
        <v>#N/A</v>
      </c>
      <c r="F94" s="82" t="str">
        <f>IF(B94&lt;=Hypothèses!$C$7,Hypothèses!$F$7,IF(B94&lt;=Hypothèses!$C$8,Hypothèses!$F$8,IF(B94&lt;=Hypothèses!$C$9,Hypothèses!$F$9,IF(B94&lt;=Hypothèses!$C$10,Hypothèses!$F$10,IF(B94&lt;=Hypothèses!$C$11,Hypothèses!$F$11,IF(B94&lt;=Hypothèses!$C$12,Hypothèses!$F$12,IF(B94&lt;=Hypothèses!$C$13,Hypothèses!$F$13,IF(B94&lt;=Hypothèses!$C$14,Hypothèses!$F$14,IF(B94&lt;=Hypothèses!$C$15,Hypothèses!$F$15,IF(B94&lt;=Hypothèses!$C$16,Hypothèses!$F$16,IF(B94&lt;=Hypothèses!$C$17,Hypothèses!$F$17,IF(B94&lt;=Hypothèses!$C$18,Hypothèses!$F$18,F93))))))))))))</f>
        <v/>
      </c>
      <c r="G94" s="91">
        <f t="array" ref="G94">INDEX('Coeff EC7'!$U$7:$X$27,
MATCH(Model0.1T!$B$3,'Coeff EC7'!$T$7:$T$27,0),
MATCH(Model0.1T!$D94&amp;Model0.1T!$B$4,
'Coeff EC7'!$U$6:$X$6&amp;
'Coeff EC7'!$U$5:$X$5,0))</f>
        <v>1.4</v>
      </c>
      <c r="H94" s="91">
        <f t="array" ref="H94">INDEX('Coeff EC7'!$Y$7:$AB$27,
MATCH(Model0.1T!$B$3,'Coeff EC7'!$T$7:$T$27,0),
MATCH(Model0.1T!$D94&amp;Model0.1T!$B$4,
'Coeff EC7'!$Y$6:$AB$6&amp;
'Coeff EC7'!$Y$5:$AB$5,0))</f>
        <v>1.7</v>
      </c>
      <c r="I94" s="83">
        <v>0</v>
      </c>
      <c r="J94" s="91" t="e">
        <f t="array" ref="J94">INDEX('Coeff EC7'!$D$33:$Q$33,1,MATCH(D94&amp;E94,'Coeff EC7'!$D$31:$Q$31&amp;'Coeff EC7'!$D$32:$Q$32,0))</f>
        <v>#N/A</v>
      </c>
      <c r="K94" s="91" t="e">
        <f t="array" ref="K94">INDEX('Coeff EC7'!$D$34:$Q$34,1,MATCH(D94&amp;E94,'Coeff EC7'!$D$31:$Q$31&amp;'Coeff EC7'!$D$32:$Q$32,0))</f>
        <v>#N/A</v>
      </c>
      <c r="L94" s="91" t="e">
        <f t="array" ref="L94">INDEX('Coeff EC7'!$D$35:$Q$35,1,MATCH(D94&amp;E94,'Coeff EC7'!$D$31:$Q$31&amp;'Coeff EC7'!$D$32:$Q$32,0))</f>
        <v>#N/A</v>
      </c>
      <c r="M94" s="98" t="e">
        <f t="shared" si="131"/>
        <v>#N/A</v>
      </c>
      <c r="N94" s="99" t="e">
        <f t="array" ref="N94">INDEX('Coeff EC7'!$D$7:$Q$27,MATCH($B$3,'Coeff EC7'!$C$7:$C$27,0),MATCH(D94&amp;E94,'Coeff EC7'!$D$5:$Q$5&amp;'Coeff EC7'!$D$6:$Q$6,0))</f>
        <v>#N/A</v>
      </c>
      <c r="O94" s="99" t="e">
        <f t="array" ref="O94">INDEX('Coeff EC7'!$D$41:$Q$61,MATCH($B$3,'Coeff EC7'!$C$41:$C$61,0),MATCH(D94&amp;E94,'Coeff EC7'!$D$39:$Q$39&amp;'Coeff EC7'!$D$40:$Q$40,0))</f>
        <v>#N/A</v>
      </c>
      <c r="P94" s="30" t="e">
        <f t="shared" si="166"/>
        <v>#N/A</v>
      </c>
      <c r="Q94" s="100" t="e">
        <f t="shared" si="133"/>
        <v>#N/A</v>
      </c>
      <c r="R94" s="86" t="b">
        <f t="shared" si="134"/>
        <v>0</v>
      </c>
      <c r="S94" s="86">
        <f t="shared" si="132"/>
        <v>0.5</v>
      </c>
      <c r="T94" s="86">
        <f t="shared" si="135"/>
        <v>0.5</v>
      </c>
      <c r="U94" s="30" t="e">
        <f t="shared" ca="1" si="167"/>
        <v>#DIV/0!</v>
      </c>
      <c r="V94" s="85" t="str">
        <f>IF(B94&lt;=Hypothèses!$V$7,Hypothèses!$W$7,IF(B94&lt;=Hypothèses!$V$8,Hypothèses!$W$8,IF(B94&lt;=Hypothèses!$V$9,Hypothèses!$W$9,IF(B94&lt;=Hypothèses!$V$10,Hypothèses!$W$10,IF(B94&lt;=Hypothèses!$V$11,Hypothèses!$W$11,IF(B94&lt;=Hypothèses!$V$12,Hypothèses!$W$12,IF(B94&lt;=Hypothèses!$V$13,Hypothèses!$W$13,IF(B94&lt;=Hypothèses!$V$14,Hypothèses!$W$14,IF(B94&lt;=Hypothèses!$V$15,Hypothèses!$W$15,IF(B94&lt;=Hypothèses!$V$16,Hypothèses!$W$16,IF(B94&lt;=Hypothèses!$V$17,Hypothèses!$W$17,IF(B94&lt;=Hypothèses!$V$18,Hypothèses!$W$18,""))))))))))))</f>
        <v/>
      </c>
      <c r="W94" s="87" t="e">
        <f t="shared" ca="1" si="216"/>
        <v>#DIV/0!</v>
      </c>
      <c r="X94" s="88" t="str">
        <f>IF(B94&lt;=Hypothèses!$V$7,Hypothèses!$X$7,IF(B94&lt;=Hypothèses!$V$8,Hypothèses!$X$8,IF(B94&lt;=Hypothèses!$V$9,Hypothèses!$X$9,IF(B94&lt;=Hypothèses!$V$10,Hypothèses!$X$10,IF(B94&lt;=Hypothèses!$V$11,Hypothèses!$X$11,IF(B94&lt;=Hypothèses!$V$12,Hypothèses!$X$12,IF(B94&lt;=Hypothèses!$V$13,Hypothèses!$X$13,IF(B94&lt;=Hypothèses!$V$14,Hypothèses!$X$14,IF(B94&lt;=Hypothèses!$V$15,Hypothèses!$X$15,IF(B94&lt;=Hypothèses!$V$16,Hypothèses!$X$16,IF(B94&lt;=Hypothèses!$U$17,Hypothèses!$W$17,IF(B94&lt;=Hypothèses!$U$18,Hypothèses!$W$18,""))))))))))))</f>
        <v/>
      </c>
      <c r="Y94" s="95" t="e">
        <f t="shared" ca="1" si="136"/>
        <v>#DIV/0!</v>
      </c>
      <c r="Z94" s="101">
        <f t="shared" si="137"/>
        <v>0</v>
      </c>
      <c r="AA94" s="91">
        <f t="shared" si="138"/>
        <v>0</v>
      </c>
      <c r="AB94" s="30" t="e">
        <f t="shared" si="200"/>
        <v>#N/A</v>
      </c>
      <c r="AC94" s="30" t="e">
        <f t="shared" si="201"/>
        <v>#N/A</v>
      </c>
      <c r="AD94" s="31" t="e">
        <f>IF(OR(Hypothèses!$B$4=17,Hypothèses!$B$4=18,Hypothèses!$B$4=19,Hypothèses!$B$4=20),
IF($D94="Pressio.",
IF(OR($E94=3,$E94=1,$E94=4),AC94,AB94),
IF($D94="Pénétro.",
IF(OR($E94=3,$E94=1,$E94=4),AC94,AB94))),IF($D94="Pressio.",
IF($E94=3,AC94,AB94),
IF($D94="Pénétro.",
IF($E94=4,AC94,AB94))))</f>
        <v>#N/A</v>
      </c>
      <c r="AE94" s="31">
        <v>0</v>
      </c>
      <c r="AF94" s="102" t="e">
        <f>IF(NDC!$H$10="Oui",(VLOOKUP($B$3,'Coeff EC7'!$T$39:$X$59,2,0)*AD94+VLOOKUP($B$3,'Coeff EC7'!$T$65:$X$85,2,0)*Model0.1T!AE94)/1.5,PI()*AB$12*$Q94*($B94-$B93)*0.15/10+AF93)</f>
        <v>#N/A</v>
      </c>
      <c r="AG94" s="102" t="e">
        <f>(VLOOKUP($B$3,'Coeff EC7'!$T$39:$X$59,3,0)*AD94+VLOOKUP($B$3,'Coeff EC7'!$T$65:$X$85,3,0)*Model0.1T!AE94)/1.1</f>
        <v>#N/A</v>
      </c>
      <c r="AH94" s="102" t="e">
        <f t="shared" si="168"/>
        <v>#N/A</v>
      </c>
      <c r="AI94" s="102" t="e">
        <f t="shared" si="169"/>
        <v>#N/A</v>
      </c>
      <c r="AJ94" s="414" t="e">
        <f>IF(AND(AF94&gt;NDC!$C$63,AG94&gt;NDC!$C$65,AH94&gt;NDC!$D$73,AI94&gt;NDC!$D$74,$B94&gt;NDC!$H$22-0.1+MIN(3*$AJ$12,1.5)),0,1)</f>
        <v>#N/A</v>
      </c>
      <c r="AK94" s="86" t="b">
        <f t="shared" si="139"/>
        <v>0</v>
      </c>
      <c r="AL94" s="86">
        <f t="shared" si="170"/>
        <v>0.5</v>
      </c>
      <c r="AM94" s="86">
        <f t="shared" si="140"/>
        <v>0.5</v>
      </c>
      <c r="AN94" s="30" t="e">
        <f t="shared" ca="1" si="171"/>
        <v>#DIV/0!</v>
      </c>
      <c r="AO94" s="85" t="e">
        <f ca="1">IF(U94&lt;=Hypothèses!$V$7,Hypothèses!$W$7,IF(U94&lt;=Hypothèses!$V$8,Hypothèses!$W$8,IF(U94&lt;=Hypothèses!$V$9,Hypothèses!$W$9,IF(U94&lt;=Hypothèses!$V$10,Hypothèses!$W$10,IF(U94&lt;=Hypothèses!$V$11,Hypothèses!$W$11,IF(U94&lt;=Hypothèses!$V$12,Hypothèses!$W$12,IF(U94&lt;=Hypothèses!$V$13,Hypothèses!$W$13,IF(U94&lt;=Hypothèses!$V$14,Hypothèses!$W$14,IF(U94&lt;=Hypothèses!$V$15,Hypothèses!$W$15,IF(U94&lt;=Hypothèses!$V$16,Hypothèses!$W$16,IF(U94&lt;=Hypothèses!$V$17,Hypothèses!$W$17,IF(U94&lt;=Hypothèses!$V$18,Hypothèses!$W$18,""))))))))))))</f>
        <v>#DIV/0!</v>
      </c>
      <c r="AP94" s="87" t="e">
        <f t="shared" ca="1" si="217"/>
        <v>#DIV/0!</v>
      </c>
      <c r="AQ94" s="88" t="e">
        <f ca="1">IF(U94&lt;=Hypothèses!$V$7,Hypothèses!$X$7,IF(U94&lt;=Hypothèses!$V$8,Hypothèses!$X$8,IF(U94&lt;=Hypothèses!$V$9,Hypothèses!$X$9,IF(U94&lt;=Hypothèses!$V$10,Hypothèses!$X$10,IF(U94&lt;=Hypothèses!$V$11,Hypothèses!$X$11,IF(U94&lt;=Hypothèses!$V$12,Hypothèses!$X$12,IF(U94&lt;=Hypothèses!$V$13,Hypothèses!$X$13,IF(U94&lt;=Hypothèses!$V$14,Hypothèses!$X$14,IF(U94&lt;=Hypothèses!$V$15,Hypothèses!$X$15,IF(U94&lt;=Hypothèses!$V$16,Hypothèses!$X$16,IF(U94&lt;=Hypothèses!$U$17,Hypothèses!$W$17,IF(U94&lt;=Hypothèses!$U$18,Hypothèses!$W$18,""))))))))))))</f>
        <v>#DIV/0!</v>
      </c>
      <c r="AR94" s="95" t="e">
        <f t="shared" ca="1" si="172"/>
        <v>#DIV/0!</v>
      </c>
      <c r="AS94" s="101">
        <f t="shared" si="224"/>
        <v>0</v>
      </c>
      <c r="AT94" s="91">
        <f t="shared" si="141"/>
        <v>0</v>
      </c>
      <c r="AU94" s="30" t="e">
        <f t="shared" si="202"/>
        <v>#N/A</v>
      </c>
      <c r="AV94" s="30" t="e">
        <f t="shared" si="203"/>
        <v>#N/A</v>
      </c>
      <c r="AW94" s="31" t="e">
        <f>IF(OR(Hypothèses!$B$4=17,Hypothèses!$B$4=18,Hypothèses!$B$4=19,Hypothèses!$B$4=20),
IF($D94="Pressio.",
IF(OR($E94=3,$E94=1,$E94=4),AV94,AU94),
IF($D94="Pénétro.",
IF(OR($E94=3,$E94=1,$E94=4),AV94,AU94))),IF($D94="Pressio.",
IF($E94=3,AV94,AU94),
IF($D94="Pénétro.",
IF($E94=4,AV94,AU94))))</f>
        <v>#N/A</v>
      </c>
      <c r="AX94" s="31">
        <v>0</v>
      </c>
      <c r="AY94" s="102" t="e">
        <f>IF(NDC!$H$10="Oui",(VLOOKUP($B$3,'Coeff EC7'!$T$39:$X$59,2,0)*AW94+VLOOKUP($B$3,'Coeff EC7'!$T$65:$X$85,2,0)*Model0.1T!AX94)/1.5,PI()*AU$12*$Q94*($B94-$B93)*0.15/10+AY93)</f>
        <v>#N/A</v>
      </c>
      <c r="AZ94" s="102" t="e">
        <f>(VLOOKUP($B$3,'Coeff EC7'!$T$39:$X$59,3,0)*AW94+VLOOKUP($B$3,'Coeff EC7'!$T$65:$X$85,3,0)*Model0.1T!AX94)/1.1</f>
        <v>#N/A</v>
      </c>
      <c r="BA94" s="102" t="e">
        <f t="shared" si="173"/>
        <v>#N/A</v>
      </c>
      <c r="BB94" s="102" t="e">
        <f t="shared" si="174"/>
        <v>#N/A</v>
      </c>
      <c r="BC94" s="414" t="e">
        <f>IF(AND(AY94&gt;NDC!$C$63,AZ94&gt;NDC!$C$65,BA94&gt;NDC!$D$73,BB94&gt;NDC!$D$74,$B94&gt;NDC!$H$22-0.1+MIN(3*BC$12,1.5)),0,1)</f>
        <v>#N/A</v>
      </c>
      <c r="BD94" s="86" t="b">
        <f t="shared" si="142"/>
        <v>0</v>
      </c>
      <c r="BE94" s="86">
        <f t="shared" si="175"/>
        <v>0.5</v>
      </c>
      <c r="BF94" s="86">
        <f t="shared" si="143"/>
        <v>0.5</v>
      </c>
      <c r="BG94" s="30" t="e">
        <f t="shared" ca="1" si="176"/>
        <v>#DIV/0!</v>
      </c>
      <c r="BH94" s="85" t="e">
        <f ca="1">IF(AN94&lt;=Hypothèses!$V$7,Hypothèses!$W$7,IF(AN94&lt;=Hypothèses!$V$8,Hypothèses!$W$8,IF(AN94&lt;=Hypothèses!$V$9,Hypothèses!$W$9,IF(AN94&lt;=Hypothèses!$V$10,Hypothèses!$W$10,IF(AN94&lt;=Hypothèses!$V$11,Hypothèses!$W$11,IF(AN94&lt;=Hypothèses!$V$12,Hypothèses!$W$12,IF(AN94&lt;=Hypothèses!$V$13,Hypothèses!$W$13,IF(AN94&lt;=Hypothèses!$V$14,Hypothèses!$W$14,IF(AN94&lt;=Hypothèses!$V$15,Hypothèses!$W$15,IF(AN94&lt;=Hypothèses!$V$16,Hypothèses!$W$16,IF(AN94&lt;=Hypothèses!$V$17,Hypothèses!$W$17,IF(AN94&lt;=Hypothèses!$V$18,Hypothèses!$W$18,""))))))))))))</f>
        <v>#DIV/0!</v>
      </c>
      <c r="BI94" s="87" t="e">
        <f t="shared" ca="1" si="218"/>
        <v>#DIV/0!</v>
      </c>
      <c r="BJ94" s="88" t="e">
        <f ca="1">IF(AN94&lt;=Hypothèses!$V$7,Hypothèses!$X$7,IF(AN94&lt;=Hypothèses!$V$8,Hypothèses!$X$8,IF(AN94&lt;=Hypothèses!$V$9,Hypothèses!$X$9,IF(AN94&lt;=Hypothèses!$V$10,Hypothèses!$X$10,IF(AN94&lt;=Hypothèses!$V$11,Hypothèses!$X$11,IF(AN94&lt;=Hypothèses!$V$12,Hypothèses!$X$12,IF(AN94&lt;=Hypothèses!$V$13,Hypothèses!$X$13,IF(AN94&lt;=Hypothèses!$V$14,Hypothèses!$X$14,IF(AN94&lt;=Hypothèses!$V$15,Hypothèses!$X$15,IF(AN94&lt;=Hypothèses!$V$16,Hypothèses!$X$16,IF(AN94&lt;=Hypothèses!$U$17,Hypothèses!$W$17,IF(AN94&lt;=Hypothèses!$U$18,Hypothèses!$W$18,""))))))))))))</f>
        <v>#DIV/0!</v>
      </c>
      <c r="BK94" s="95" t="e">
        <f t="shared" ca="1" si="177"/>
        <v>#DIV/0!</v>
      </c>
      <c r="BL94" s="101">
        <f t="shared" si="225"/>
        <v>0</v>
      </c>
      <c r="BM94" s="91">
        <f t="shared" si="144"/>
        <v>0</v>
      </c>
      <c r="BN94" s="30" t="e">
        <f t="shared" si="204"/>
        <v>#N/A</v>
      </c>
      <c r="BO94" s="30" t="e">
        <f t="shared" si="205"/>
        <v>#N/A</v>
      </c>
      <c r="BP94" s="31" t="e">
        <f>IF(OR(Hypothèses!$B$4=17,Hypothèses!$B$4=18,Hypothèses!$B$4=19,Hypothèses!$B$4=20),
IF($D94="Pressio.",
IF(OR($E94=3,$E94=1,$E94=4),BO94,BN94),
IF($D94="Pénétro.",
IF(OR($E94=3,$E94=1,$E94=4),BO94,BN94))),IF($D94="Pressio.",
IF($E94=3,BO94,BN94),
IF($D94="Pénétro.",
IF($E94=4,BO94,BN94))))</f>
        <v>#N/A</v>
      </c>
      <c r="BQ94" s="31">
        <v>0</v>
      </c>
      <c r="BR94" s="102" t="e">
        <f>IF(NDC!$H$10="Oui",(VLOOKUP($B$3,'Coeff EC7'!$T$39:$X$59,2,0)*BP94+VLOOKUP($B$3,'Coeff EC7'!$T$65:$X$85,2,0)*Model0.1T!BQ94)/1.5,PI()*BN$12*$Q94*($B94-$B93)*0.15/10+BR93)</f>
        <v>#N/A</v>
      </c>
      <c r="BS94" s="102" t="e">
        <f>(VLOOKUP($B$3,'Coeff EC7'!$T$39:$X$59,3,0)*BP94+VLOOKUP($B$3,'Coeff EC7'!$T$65:$X$85,3,0)*Model0.1T!BQ94)/1.1</f>
        <v>#N/A</v>
      </c>
      <c r="BT94" s="102" t="e">
        <f t="shared" si="178"/>
        <v>#N/A</v>
      </c>
      <c r="BU94" s="102" t="e">
        <f t="shared" si="179"/>
        <v>#N/A</v>
      </c>
      <c r="BV94" s="414" t="e">
        <f>IF(AND(BR94&gt;NDC!$C$63,BS94&gt;NDC!$C$65,BT94&gt;NDC!$D$73,BU94&gt;NDC!$D$74,$B94&gt;NDC!$H$22-0.1+MIN(3*BV$12,1.5)),0,1)</f>
        <v>#N/A</v>
      </c>
      <c r="BW94" s="86" t="b">
        <f t="shared" si="145"/>
        <v>0</v>
      </c>
      <c r="BX94" s="86">
        <f t="shared" si="146"/>
        <v>0.5</v>
      </c>
      <c r="BY94" s="86">
        <f t="shared" si="147"/>
        <v>0.5</v>
      </c>
      <c r="BZ94" s="30" t="e">
        <f t="shared" ca="1" si="180"/>
        <v>#DIV/0!</v>
      </c>
      <c r="CA94" s="85" t="e">
        <f ca="1">IF(BG94&lt;=Hypothèses!$V$7,Hypothèses!$W$7,IF(BG94&lt;=Hypothèses!$V$8,Hypothèses!$W$8,IF(BG94&lt;=Hypothèses!$V$9,Hypothèses!$W$9,IF(BG94&lt;=Hypothèses!$V$10,Hypothèses!$W$10,IF(BG94&lt;=Hypothèses!$V$11,Hypothèses!$W$11,IF(BG94&lt;=Hypothèses!$V$12,Hypothèses!$W$12,IF(BG94&lt;=Hypothèses!$V$13,Hypothèses!$W$13,IF(BG94&lt;=Hypothèses!$V$14,Hypothèses!$W$14,IF(BG94&lt;=Hypothèses!$V$15,Hypothèses!$W$15,IF(BG94&lt;=Hypothèses!$V$16,Hypothèses!$W$16,IF(BG94&lt;=Hypothèses!$V$17,Hypothèses!$W$17,IF(BG94&lt;=Hypothèses!$V$18,Hypothèses!$W$18,""))))))))))))</f>
        <v>#DIV/0!</v>
      </c>
      <c r="CB94" s="87" t="e">
        <f t="shared" ca="1" si="219"/>
        <v>#DIV/0!</v>
      </c>
      <c r="CC94" s="88" t="e">
        <f ca="1">IF(BG94&lt;=Hypothèses!$V$7,Hypothèses!$X$7,IF(BG94&lt;=Hypothèses!$V$8,Hypothèses!$X$8,IF(BG94&lt;=Hypothèses!$V$9,Hypothèses!$X$9,IF(BG94&lt;=Hypothèses!$V$10,Hypothèses!$X$10,IF(BG94&lt;=Hypothèses!$V$11,Hypothèses!$X$11,IF(BG94&lt;=Hypothèses!$V$12,Hypothèses!$X$12,IF(BG94&lt;=Hypothèses!$V$13,Hypothèses!$X$13,IF(BG94&lt;=Hypothèses!$V$14,Hypothèses!$X$14,IF(BG94&lt;=Hypothèses!$V$15,Hypothèses!$X$15,IF(BG94&lt;=Hypothèses!$V$16,Hypothèses!$X$16,IF(BG94&lt;=Hypothèses!$U$17,Hypothèses!$W$17,IF(BG94&lt;=Hypothèses!$U$18,Hypothèses!$W$18,""))))))))))))</f>
        <v>#DIV/0!</v>
      </c>
      <c r="CD94" s="95" t="e">
        <f t="shared" ca="1" si="181"/>
        <v>#DIV/0!</v>
      </c>
      <c r="CE94" s="101">
        <f t="shared" si="226"/>
        <v>0</v>
      </c>
      <c r="CF94" s="91">
        <f t="shared" si="148"/>
        <v>0</v>
      </c>
      <c r="CG94" s="30" t="e">
        <f t="shared" si="206"/>
        <v>#N/A</v>
      </c>
      <c r="CH94" s="30" t="e">
        <f t="shared" si="207"/>
        <v>#N/A</v>
      </c>
      <c r="CI94" s="31" t="e">
        <f>IF(OR(Hypothèses!$B$4=17,Hypothèses!$B$4=18,Hypothèses!$B$4=19,Hypothèses!$B$4=20),
IF($D94="Pressio.",
IF(OR($E94=3,$E94=1,$E94=4),CH94,CG94),
IF($D94="Pénétro.",
IF(OR($E94=3,$E94=1,$E94=4),CH94,CG94))),IF($D94="Pressio.",
IF($E94=3,CH94,CG94),
IF($D94="Pénétro.",
IF($E94=4,CH94,CG94))))</f>
        <v>#N/A</v>
      </c>
      <c r="CJ94" s="31">
        <v>0</v>
      </c>
      <c r="CK94" s="102" t="e">
        <f>IF(NDC!$H$10="Oui",(VLOOKUP($B$3,'Coeff EC7'!$T$39:$X$59,2,0)*CI94+VLOOKUP($B$3,'Coeff EC7'!$T$65:$X$85,2,0)*Model0.1T!CJ94)/1.5,PI()*CG$12*$Q94*($B94-$B93)*0.15/10+CK93)</f>
        <v>#N/A</v>
      </c>
      <c r="CL94" s="102" t="e">
        <f>(VLOOKUP($B$3,'Coeff EC7'!$T$39:$X$59,3,0)*CI94+VLOOKUP($B$3,'Coeff EC7'!$T$65:$X$85,3,0)*Model0.1T!CJ94)/1.1</f>
        <v>#N/A</v>
      </c>
      <c r="CM94" s="102" t="e">
        <f t="shared" si="182"/>
        <v>#N/A</v>
      </c>
      <c r="CN94" s="102" t="e">
        <f t="shared" si="183"/>
        <v>#N/A</v>
      </c>
      <c r="CO94" s="414" t="e">
        <f>IF(AND(CK94&gt;NDC!$C$63,CL94&gt;NDC!$C$65,CM94&gt;NDC!$D$73,CN94&gt;NDC!$D$74,$B94&gt;NDC!$H$22-0.1+MIN(3*CO$12,1.5)),0,1)</f>
        <v>#N/A</v>
      </c>
      <c r="CP94" s="86" t="b">
        <f t="shared" si="149"/>
        <v>0</v>
      </c>
      <c r="CQ94" s="86">
        <f t="shared" si="150"/>
        <v>0.5</v>
      </c>
      <c r="CR94" s="86">
        <f t="shared" si="151"/>
        <v>0.5</v>
      </c>
      <c r="CS94" s="30" t="e">
        <f t="shared" ca="1" si="184"/>
        <v>#DIV/0!</v>
      </c>
      <c r="CT94" s="85" t="e">
        <f ca="1">IF(BZ94&lt;=Hypothèses!$V$7,Hypothèses!$W$7,IF(BZ94&lt;=Hypothèses!$V$8,Hypothèses!$W$8,IF(BZ94&lt;=Hypothèses!$V$9,Hypothèses!$W$9,IF(BZ94&lt;=Hypothèses!$V$10,Hypothèses!$W$10,IF(BZ94&lt;=Hypothèses!$V$11,Hypothèses!$W$11,IF(BZ94&lt;=Hypothèses!$V$12,Hypothèses!$W$12,IF(BZ94&lt;=Hypothèses!$V$13,Hypothèses!$W$13,IF(BZ94&lt;=Hypothèses!$V$14,Hypothèses!$W$14,IF(BZ94&lt;=Hypothèses!$V$15,Hypothèses!$W$15,IF(BZ94&lt;=Hypothèses!$V$16,Hypothèses!$W$16,IF(BZ94&lt;=Hypothèses!$V$17,Hypothèses!$W$17,IF(BZ94&lt;=Hypothèses!$V$18,Hypothèses!$W$18,""))))))))))))</f>
        <v>#DIV/0!</v>
      </c>
      <c r="CU94" s="87" t="e">
        <f t="shared" ca="1" si="220"/>
        <v>#DIV/0!</v>
      </c>
      <c r="CV94" s="88" t="e">
        <f ca="1">IF(BZ94&lt;=Hypothèses!$V$7,Hypothèses!$X$7,IF(BZ94&lt;=Hypothèses!$V$8,Hypothèses!$X$8,IF(BZ94&lt;=Hypothèses!$V$9,Hypothèses!$X$9,IF(BZ94&lt;=Hypothèses!$V$10,Hypothèses!$X$10,IF(BZ94&lt;=Hypothèses!$V$11,Hypothèses!$X$11,IF(BZ94&lt;=Hypothèses!$V$12,Hypothèses!$X$12,IF(BZ94&lt;=Hypothèses!$V$13,Hypothèses!$X$13,IF(BZ94&lt;=Hypothèses!$V$14,Hypothèses!$X$14,IF(BZ94&lt;=Hypothèses!$V$15,Hypothèses!$X$15,IF(BZ94&lt;=Hypothèses!$V$16,Hypothèses!$X$16,IF(BZ94&lt;=Hypothèses!$U$17,Hypothèses!$W$17,IF(BZ94&lt;=Hypothèses!$U$18,Hypothèses!$W$18,""))))))))))))</f>
        <v>#DIV/0!</v>
      </c>
      <c r="CW94" s="95" t="e">
        <f t="shared" ca="1" si="185"/>
        <v>#DIV/0!</v>
      </c>
      <c r="CX94" s="101">
        <f t="shared" si="227"/>
        <v>0</v>
      </c>
      <c r="CY94" s="91">
        <f t="shared" si="152"/>
        <v>0</v>
      </c>
      <c r="CZ94" s="30" t="e">
        <f t="shared" si="208"/>
        <v>#N/A</v>
      </c>
      <c r="DA94" s="30" t="e">
        <f t="shared" si="209"/>
        <v>#N/A</v>
      </c>
      <c r="DB94" s="31" t="e">
        <f>IF(OR(Hypothèses!$B$4=17,Hypothèses!$B$4=18,Hypothèses!$B$4=19,Hypothèses!$B$4=20),
IF($D94="Pressio.",
IF(OR($E94=3,$E94=1,$E94=4),DA94,CZ94),
IF($D94="Pénétro.",
IF(OR($E94=3,$E94=1,$E94=4),DA94,CZ94))),IF($D94="Pressio.",
IF($E94=3,DA94,CZ94),
IF($D94="Pénétro.",
IF($E94=4,DA94,CZ94))))</f>
        <v>#N/A</v>
      </c>
      <c r="DC94" s="31">
        <v>0</v>
      </c>
      <c r="DD94" s="102" t="e">
        <f>IF(NDC!$H$10="Oui",(VLOOKUP($B$3,'Coeff EC7'!$T$39:$X$59,2,0)*DB94+VLOOKUP($B$3,'Coeff EC7'!$T$65:$X$85,2,0)*Model0.1T!DC94)/1.5,PI()*CZ$12*$Q94*($B94-$B93)*0.15/10+DD93)</f>
        <v>#N/A</v>
      </c>
      <c r="DE94" s="102" t="e">
        <f>(VLOOKUP($B$3,'Coeff EC7'!$T$39:$X$59,3,0)*DB94+VLOOKUP($B$3,'Coeff EC7'!$T$65:$X$85,3,0)*Model0.1T!DC94)/1.1</f>
        <v>#N/A</v>
      </c>
      <c r="DF94" s="102" t="e">
        <f t="shared" si="186"/>
        <v>#N/A</v>
      </c>
      <c r="DG94" s="102" t="e">
        <f t="shared" si="187"/>
        <v>#N/A</v>
      </c>
      <c r="DH94" s="414" t="e">
        <f>IF(AND(DD94&gt;NDC!$C$63,DE94&gt;NDC!$C$65,DF94&gt;NDC!$D$73,DG94&gt;NDC!$D$74,$B94&gt;NDC!$H$22-0.1+MIN(3*DH$12,1.5)),0,1)</f>
        <v>#N/A</v>
      </c>
      <c r="DI94" s="86" t="b">
        <f t="shared" si="153"/>
        <v>0</v>
      </c>
      <c r="DJ94" s="86">
        <f t="shared" si="154"/>
        <v>0.5</v>
      </c>
      <c r="DK94" s="86">
        <f t="shared" si="155"/>
        <v>0.5</v>
      </c>
      <c r="DL94" s="30" t="e">
        <f t="shared" ca="1" si="188"/>
        <v>#DIV/0!</v>
      </c>
      <c r="DM94" s="85" t="e">
        <f ca="1">IF(CS94&lt;=Hypothèses!$V$7,Hypothèses!$W$7,IF(CS94&lt;=Hypothèses!$V$8,Hypothèses!$W$8,IF(CS94&lt;=Hypothèses!$V$9,Hypothèses!$W$9,IF(CS94&lt;=Hypothèses!$V$10,Hypothèses!$W$10,IF(CS94&lt;=Hypothèses!$V$11,Hypothèses!$W$11,IF(CS94&lt;=Hypothèses!$V$12,Hypothèses!$W$12,IF(CS94&lt;=Hypothèses!$V$13,Hypothèses!$W$13,IF(CS94&lt;=Hypothèses!$V$14,Hypothèses!$W$14,IF(CS94&lt;=Hypothèses!$V$15,Hypothèses!$W$15,IF(CS94&lt;=Hypothèses!$V$16,Hypothèses!$W$16,IF(CS94&lt;=Hypothèses!$V$17,Hypothèses!$W$17,IF(CS94&lt;=Hypothèses!$V$18,Hypothèses!$W$18,""))))))))))))</f>
        <v>#DIV/0!</v>
      </c>
      <c r="DN94" s="87" t="e">
        <f t="shared" ca="1" si="221"/>
        <v>#DIV/0!</v>
      </c>
      <c r="DO94" s="88" t="e">
        <f ca="1">IF(CS94&lt;=Hypothèses!$V$7,Hypothèses!$X$7,IF(CS94&lt;=Hypothèses!$V$8,Hypothèses!$X$8,IF(CS94&lt;=Hypothèses!$V$9,Hypothèses!$X$9,IF(CS94&lt;=Hypothèses!$V$10,Hypothèses!$X$10,IF(CS94&lt;=Hypothèses!$V$11,Hypothèses!$X$11,IF(CS94&lt;=Hypothèses!$V$12,Hypothèses!$X$12,IF(CS94&lt;=Hypothèses!$V$13,Hypothèses!$X$13,IF(CS94&lt;=Hypothèses!$V$14,Hypothèses!$X$14,IF(CS94&lt;=Hypothèses!$V$15,Hypothèses!$X$15,IF(CS94&lt;=Hypothèses!$V$16,Hypothèses!$X$16,IF(CS94&lt;=Hypothèses!$U$17,Hypothèses!$W$17,IF(CS94&lt;=Hypothèses!$U$18,Hypothèses!$W$18,""))))))))))))</f>
        <v>#DIV/0!</v>
      </c>
      <c r="DP94" s="95" t="e">
        <f t="shared" ca="1" si="189"/>
        <v>#DIV/0!</v>
      </c>
      <c r="DQ94" s="101">
        <f t="shared" si="228"/>
        <v>0</v>
      </c>
      <c r="DR94" s="91">
        <f t="shared" si="156"/>
        <v>0</v>
      </c>
      <c r="DS94" s="30" t="e">
        <f t="shared" si="210"/>
        <v>#N/A</v>
      </c>
      <c r="DT94" s="30" t="e">
        <f t="shared" si="211"/>
        <v>#N/A</v>
      </c>
      <c r="DU94" s="31" t="e">
        <f>IF(OR(Hypothèses!$B$4=17,Hypothèses!$B$4=18,Hypothèses!$B$4=19,Hypothèses!$B$4=20),
IF($D94="Pressio.",
IF(OR($E94=3,$E94=1,$E94=4),DT94,DS94),
IF($D94="Pénétro.",
IF(OR($E94=3,$E94=1,$E94=4),DT94,DS94))),IF($D94="Pressio.",
IF($E94=3,DT94,DS94),
IF($D94="Pénétro.",
IF($E94=4,DT94,DS94))))</f>
        <v>#N/A</v>
      </c>
      <c r="DV94" s="31">
        <v>0</v>
      </c>
      <c r="DW94" s="102" t="e">
        <f>IF(NDC!$H$10="Oui",(VLOOKUP($B$3,'Coeff EC7'!$T$39:$X$59,2,0)*DU94+VLOOKUP($B$3,'Coeff EC7'!$T$65:$X$85,2,0)*Model0.1T!DV94)/1.5,PI()*DS$12*$Q94*($B94-$B93)*0.15/10+DW93)</f>
        <v>#N/A</v>
      </c>
      <c r="DX94" s="102" t="e">
        <f>(VLOOKUP($B$3,'Coeff EC7'!$T$39:$X$59,3,0)*DU94+VLOOKUP($B$3,'Coeff EC7'!$T$65:$X$85,3,0)*Model0.1T!DV94)/1.1</f>
        <v>#N/A</v>
      </c>
      <c r="DY94" s="102" t="e">
        <f t="shared" si="190"/>
        <v>#N/A</v>
      </c>
      <c r="DZ94" s="102" t="e">
        <f t="shared" si="191"/>
        <v>#N/A</v>
      </c>
      <c r="EA94" s="414" t="e">
        <f>IF(AND(DW94&gt;NDC!$C$63,DX94&gt;NDC!$C$65,DY94&gt;NDC!$D$73,DZ94&gt;NDC!$D$74,$B94&gt;NDC!$H$22-0.1+MIN(3*EA$12,1.5)),0,1)</f>
        <v>#N/A</v>
      </c>
      <c r="EB94" s="86" t="b">
        <f t="shared" si="157"/>
        <v>0</v>
      </c>
      <c r="EC94" s="418">
        <f t="shared" si="158"/>
        <v>0.51</v>
      </c>
      <c r="ED94" s="86">
        <f t="shared" si="159"/>
        <v>0.51</v>
      </c>
      <c r="EE94" s="30" t="e">
        <f t="shared" ca="1" si="192"/>
        <v>#DIV/0!</v>
      </c>
      <c r="EF94" s="85" t="e">
        <f ca="1">IF(DL94&lt;=Hypothèses!$V$7,Hypothèses!$W$7,IF(DL94&lt;=Hypothèses!$V$8,Hypothèses!$W$8,IF(DL94&lt;=Hypothèses!$V$9,Hypothèses!$W$9,IF(DL94&lt;=Hypothèses!$V$10,Hypothèses!$W$10,IF(DL94&lt;=Hypothèses!$V$11,Hypothèses!$W$11,IF(DL94&lt;=Hypothèses!$V$12,Hypothèses!$W$12,IF(DL94&lt;=Hypothèses!$V$13,Hypothèses!$W$13,IF(DL94&lt;=Hypothèses!$V$14,Hypothèses!$W$14,IF(DL94&lt;=Hypothèses!$V$15,Hypothèses!$W$15,IF(DL94&lt;=Hypothèses!$V$16,Hypothèses!$W$16,IF(DL94&lt;=Hypothèses!$V$17,Hypothèses!$W$17,IF(DL94&lt;=Hypothèses!$V$18,Hypothèses!$W$18,""))))))))))))</f>
        <v>#DIV/0!</v>
      </c>
      <c r="EG94" s="87" t="e">
        <f t="shared" ca="1" si="222"/>
        <v>#DIV/0!</v>
      </c>
      <c r="EH94" s="88" t="e">
        <f ca="1">IF(DL94&lt;=Hypothèses!$V$7,Hypothèses!$X$7,IF(DL94&lt;=Hypothèses!$V$8,Hypothèses!$X$8,IF(DL94&lt;=Hypothèses!$V$9,Hypothèses!$X$9,IF(DL94&lt;=Hypothèses!$V$10,Hypothèses!$X$10,IF(DL94&lt;=Hypothèses!$V$11,Hypothèses!$X$11,IF(DL94&lt;=Hypothèses!$V$12,Hypothèses!$X$12,IF(DL94&lt;=Hypothèses!$V$13,Hypothèses!$X$13,IF(DL94&lt;=Hypothèses!$V$14,Hypothèses!$X$14,IF(DL94&lt;=Hypothèses!$V$15,Hypothèses!$X$15,IF(DL94&lt;=Hypothèses!$V$16,Hypothèses!$X$16,IF(DL94&lt;=Hypothèses!$U$17,Hypothèses!$W$17,IF(DL94&lt;=Hypothèses!$U$18,Hypothèses!$W$18,""))))))))))))</f>
        <v>#DIV/0!</v>
      </c>
      <c r="EI94" s="95" t="e">
        <f t="shared" ca="1" si="193"/>
        <v>#DIV/0!</v>
      </c>
      <c r="EJ94" s="101">
        <f t="shared" si="229"/>
        <v>0</v>
      </c>
      <c r="EK94" s="91">
        <f t="shared" si="160"/>
        <v>0</v>
      </c>
      <c r="EL94" s="30" t="e">
        <f t="shared" si="212"/>
        <v>#N/A</v>
      </c>
      <c r="EM94" s="30" t="e">
        <f t="shared" si="213"/>
        <v>#N/A</v>
      </c>
      <c r="EN94" s="31" t="e">
        <f>IF(OR(Hypothèses!$B$4=17,Hypothèses!$B$4=18,Hypothèses!$B$4=19,Hypothèses!$B$4=20),
IF($D94="Pressio.",
IF(OR($E94=3,$E94=1,$E94=4),EM94,EL94),
IF($D94="Pénétro.",
IF(OR($E94=3,$E94=1,$E94=4),EM94,EL94))),IF($D94="Pressio.",
IF($E94=3,EM94,EL94),
IF($D94="Pénétro.",
IF($E94=4,EM94,EL94))))</f>
        <v>#N/A</v>
      </c>
      <c r="EO94" s="31">
        <v>0</v>
      </c>
      <c r="EP94" s="102" t="e">
        <f>IF(NDC!$H$10="Oui",(VLOOKUP($B$3,'Coeff EC7'!$T$39:$X$59,2,0)*EN94+VLOOKUP($B$3,'Coeff EC7'!$T$65:$X$85,2,0)*Model0.1T!EO94)/1.5,PI()*EL$12*$Q94*($B94-$B93)*0.15/10+EP93)</f>
        <v>#N/A</v>
      </c>
      <c r="EQ94" s="102" t="e">
        <f>(VLOOKUP($B$3,'Coeff EC7'!$T$39:$X$59,3,0)*EN94+VLOOKUP($B$3,'Coeff EC7'!$T$65:$X$85,3,0)*Model0.1T!EO94)/1.1</f>
        <v>#N/A</v>
      </c>
      <c r="ER94" s="102" t="e">
        <f t="shared" si="194"/>
        <v>#N/A</v>
      </c>
      <c r="ES94" s="102" t="e">
        <f t="shared" si="195"/>
        <v>#N/A</v>
      </c>
      <c r="ET94" s="414" t="e">
        <f>IF(AND(EP94&gt;NDC!$C$63,EQ94&gt;NDC!$C$65,ER94&gt;NDC!$D$73,ES94&gt;NDC!$D$74,$B94&gt;NDC!$H$22-0.1+MIN(3*ET$12,1.5)),0,1)</f>
        <v>#N/A</v>
      </c>
      <c r="EU94" s="86" t="b">
        <f t="shared" si="161"/>
        <v>0</v>
      </c>
      <c r="EV94" s="86">
        <f t="shared" si="162"/>
        <v>0.61</v>
      </c>
      <c r="EW94" s="86">
        <f t="shared" si="163"/>
        <v>0.61</v>
      </c>
      <c r="EX94" s="30" t="e">
        <f t="shared" ca="1" si="196"/>
        <v>#DIV/0!</v>
      </c>
      <c r="EY94" s="85" t="e">
        <f ca="1">IF(EE94&lt;=Hypothèses!$V$7,Hypothèses!$W$7,IF(EE94&lt;=Hypothèses!$V$8,Hypothèses!$W$8,IF(EE94&lt;=Hypothèses!$V$9,Hypothèses!$W$9,IF(EE94&lt;=Hypothèses!$V$10,Hypothèses!$W$10,IF(EE94&lt;=Hypothèses!$V$11,Hypothèses!$W$11,IF(EE94&lt;=Hypothèses!$V$12,Hypothèses!$W$12,IF(EE94&lt;=Hypothèses!$V$13,Hypothèses!$W$13,IF(EE94&lt;=Hypothèses!$V$14,Hypothèses!$W$14,IF(EE94&lt;=Hypothèses!$V$15,Hypothèses!$W$15,IF(EE94&lt;=Hypothèses!$V$16,Hypothèses!$W$16,IF(EE94&lt;=Hypothèses!$V$17,Hypothèses!$W$17,IF(EE94&lt;=Hypothèses!$V$18,Hypothèses!$W$18,""))))))))))))</f>
        <v>#DIV/0!</v>
      </c>
      <c r="EZ94" s="87" t="e">
        <f t="shared" ca="1" si="223"/>
        <v>#DIV/0!</v>
      </c>
      <c r="FA94" s="88" t="e">
        <f ca="1">IF(EE94&lt;=Hypothèses!$V$7,Hypothèses!$X$7,IF(EE94&lt;=Hypothèses!$V$8,Hypothèses!$X$8,IF(EE94&lt;=Hypothèses!$V$9,Hypothèses!$X$9,IF(EE94&lt;=Hypothèses!$V$10,Hypothèses!$X$10,IF(EE94&lt;=Hypothèses!$V$11,Hypothèses!$X$11,IF(EE94&lt;=Hypothèses!$V$12,Hypothèses!$X$12,IF(EE94&lt;=Hypothèses!$V$13,Hypothèses!$X$13,IF(EE94&lt;=Hypothèses!$V$14,Hypothèses!$X$14,IF(EE94&lt;=Hypothèses!$V$15,Hypothèses!$X$15,IF(EE94&lt;=Hypothèses!$V$16,Hypothèses!$X$16,IF(EE94&lt;=Hypothèses!$U$17,Hypothèses!$W$17,IF(EE94&lt;=Hypothèses!$U$18,Hypothèses!$W$18,""))))))))))))</f>
        <v>#DIV/0!</v>
      </c>
      <c r="FB94" s="95" t="e">
        <f t="shared" ca="1" si="197"/>
        <v>#DIV/0!</v>
      </c>
      <c r="FC94" s="101">
        <f t="shared" si="230"/>
        <v>0</v>
      </c>
      <c r="FD94" s="91">
        <f t="shared" si="164"/>
        <v>0</v>
      </c>
      <c r="FE94" s="30" t="e">
        <f t="shared" si="214"/>
        <v>#N/A</v>
      </c>
      <c r="FF94" s="30" t="e">
        <f t="shared" si="215"/>
        <v>#N/A</v>
      </c>
      <c r="FG94" s="31" t="e">
        <f>IF(OR(Hypothèses!$B$4=17,Hypothèses!$B$4=18,Hypothèses!$B$4=19,Hypothèses!$B$4=20),
IF($D94="Pressio.",
IF(OR($E94=3,$E94=1,$E94=4),FF94,FE94),
IF($D94="Pénétro.",
IF(OR($E94=3,$E94=1,$E94=4),FF94,FE94))),IF($D94="Pressio.",
IF($E94=3,FF94,FE94),
IF($D94="Pénétro.",
IF($E94=4,FF94,FE94))))</f>
        <v>#N/A</v>
      </c>
      <c r="FH94" s="31">
        <v>0</v>
      </c>
      <c r="FI94" s="102" t="e">
        <f>IF(NDC!$H$10="Oui",(VLOOKUP($B$3,'Coeff EC7'!$T$39:$X$59,2,0)*FG94+VLOOKUP($B$3,'Coeff EC7'!$T$65:$X$85,2,0)*Model0.1T!FH94)/1.5,PI()*FE$12*$Q94*($B94-$B93)*0.15/10+FI93)</f>
        <v>#N/A</v>
      </c>
      <c r="FJ94" s="102" t="e">
        <f>(VLOOKUP($B$3,'Coeff EC7'!$T$39:$X$59,3,0)*FG94+VLOOKUP($B$3,'Coeff EC7'!$T$65:$X$85,3,0)*Model0.1T!FH94)/1.1</f>
        <v>#N/A</v>
      </c>
      <c r="FK94" s="102" t="e">
        <f t="shared" si="198"/>
        <v>#N/A</v>
      </c>
      <c r="FL94" s="102" t="e">
        <f t="shared" si="199"/>
        <v>#N/A</v>
      </c>
      <c r="FM94" s="414" t="e">
        <f>IF(AND(FI94&gt;NDC!$C$63,FJ94&gt;NDC!$C$65,FK94&gt;NDC!$D$73,FL94&gt;NDC!$D$74,$B94&gt;NDC!$H$22-0.1+MIN(3*FM$12,1.5)),0,1)</f>
        <v>#N/A</v>
      </c>
    </row>
    <row r="95" spans="1:169">
      <c r="A95" s="96">
        <f t="shared" si="165"/>
        <v>91.800000000000466</v>
      </c>
      <c r="B95" s="97">
        <v>8.1999999999999993</v>
      </c>
      <c r="C95" s="81">
        <f>IF(B95&lt;=Hypothèses!$C$7,Hypothèses!$A$7,IF(B95&lt;=Hypothèses!$C$8,Hypothèses!$A$8,IF(B95&lt;=Hypothèses!$C$9,Hypothèses!$A$9,IF(B95&lt;=Hypothèses!$C$10,Hypothèses!$A$10,IF(B95&lt;=Hypothèses!$C$11,Hypothèses!$A$11,IF(B95&lt;=Hypothèses!$C$12,Hypothèses!$A$12,IF(B95&lt;=Hypothèses!$C$13,Hypothèses!$A$13,IF(B95&lt;=Hypothèses!$C$14,Hypothèses!$A$14,IF(B95&lt;=Hypothèses!$C$15,Hypothèses!$A$15,IF(B95&lt;=Hypothèses!$C$16,Hypothèses!$A$16,IF(B95&lt;=Hypothèses!$C$17,Hypothèses!$A$17,IF(B95&lt;=Hypothèses!$C$18,Hypothèses!$A$18,C94))))))))))))</f>
        <v>11</v>
      </c>
      <c r="D95" s="82" t="str">
        <f>IF(B95&lt;=Hypothèses!$C$7,Hypothèses!$R$7,IF(B95&lt;=Hypothèses!$C$8,Hypothèses!$R$8,IF(B95&lt;=Hypothèses!$C$9,Hypothèses!$R$9,IF(B95&lt;=Hypothèses!$C$10,Hypothèses!$R$10,IF(B95&lt;=Hypothèses!$C$11,Hypothèses!$R$11,IF(B95&lt;=Hypothèses!$C$12,Hypothèses!$R$12,IF(B95&lt;=Hypothèses!$C$13,Hypothèses!$R$13,IF(B95&lt;=Hypothèses!$C$14,Hypothèses!$R$14,IF(B95&lt;=Hypothèses!$C$15,Hypothèses!$R$15,IF(B95&lt;=Hypothèses!$C$16,Hypothèses!$R$16,IF(B95&lt;=Hypothèses!$C$17,Hypothèses!$R$17,IF(B95&lt;=Hypothèses!$C$18,Hypothèses!$R$18,D94))))))))))))</f>
        <v>Pressio.</v>
      </c>
      <c r="E95" s="82" t="e">
        <f>IF(B95&lt;=Hypothèses!$C$7,Hypothèses!$G$7,IF(B95&lt;=Hypothèses!$C$8,Hypothèses!$G$8,IF(B95&lt;=Hypothèses!$C$9,Hypothèses!$G$9,IF(B95&lt;=Hypothèses!$C$10,Hypothèses!$G$10,IF(B95&lt;=Hypothèses!$C$11,Hypothèses!$G$11,IF(B95&lt;=Hypothèses!$C$12,Hypothèses!$G$12,IF(B95&lt;=Hypothèses!$C$13,Hypothèses!$G$13,IF(B95&lt;=Hypothèses!$C$14,Hypothèses!$G$14,IF(B95&lt;=Hypothèses!$C$15,Hypothèses!$G$15,IF(B95&lt;=Hypothèses!$C$16,Hypothèses!$G$16,IF(B95&lt;=Hypothèses!$C$17,Hypothèses!$G$17,IF(B95&lt;=Hypothèses!$C$18,Hypothèses!$G$18,E94))))))))))))</f>
        <v>#N/A</v>
      </c>
      <c r="F95" s="82" t="str">
        <f>IF(B95&lt;=Hypothèses!$C$7,Hypothèses!$F$7,IF(B95&lt;=Hypothèses!$C$8,Hypothèses!$F$8,IF(B95&lt;=Hypothèses!$C$9,Hypothèses!$F$9,IF(B95&lt;=Hypothèses!$C$10,Hypothèses!$F$10,IF(B95&lt;=Hypothèses!$C$11,Hypothèses!$F$11,IF(B95&lt;=Hypothèses!$C$12,Hypothèses!$F$12,IF(B95&lt;=Hypothèses!$C$13,Hypothèses!$F$13,IF(B95&lt;=Hypothèses!$C$14,Hypothèses!$F$14,IF(B95&lt;=Hypothèses!$C$15,Hypothèses!$F$15,IF(B95&lt;=Hypothèses!$C$16,Hypothèses!$F$16,IF(B95&lt;=Hypothèses!$C$17,Hypothèses!$F$17,IF(B95&lt;=Hypothèses!$C$18,Hypothèses!$F$18,F94))))))))))))</f>
        <v/>
      </c>
      <c r="G95" s="91">
        <f t="array" ref="G95">INDEX('Coeff EC7'!$U$7:$X$27,
MATCH(Model0.1T!$B$3,'Coeff EC7'!$T$7:$T$27,0),
MATCH(Model0.1T!$D95&amp;Model0.1T!$B$4,
'Coeff EC7'!$U$6:$X$6&amp;
'Coeff EC7'!$U$5:$X$5,0))</f>
        <v>1.4</v>
      </c>
      <c r="H95" s="91">
        <f t="array" ref="H95">INDEX('Coeff EC7'!$Y$7:$AB$27,
MATCH(Model0.1T!$B$3,'Coeff EC7'!$T$7:$T$27,0),
MATCH(Model0.1T!$D95&amp;Model0.1T!$B$4,
'Coeff EC7'!$Y$6:$AB$6&amp;
'Coeff EC7'!$Y$5:$AB$5,0))</f>
        <v>1.7</v>
      </c>
      <c r="I95" s="83">
        <v>0</v>
      </c>
      <c r="J95" s="91" t="e">
        <f t="array" ref="J95">INDEX('Coeff EC7'!$D$33:$Q$33,1,MATCH(D95&amp;E95,'Coeff EC7'!$D$31:$Q$31&amp;'Coeff EC7'!$D$32:$Q$32,0))</f>
        <v>#N/A</v>
      </c>
      <c r="K95" s="91" t="e">
        <f t="array" ref="K95">INDEX('Coeff EC7'!$D$34:$Q$34,1,MATCH(D95&amp;E95,'Coeff EC7'!$D$31:$Q$31&amp;'Coeff EC7'!$D$32:$Q$32,0))</f>
        <v>#N/A</v>
      </c>
      <c r="L95" s="91" t="e">
        <f t="array" ref="L95">INDEX('Coeff EC7'!$D$35:$Q$35,1,MATCH(D95&amp;E95,'Coeff EC7'!$D$31:$Q$31&amp;'Coeff EC7'!$D$32:$Q$32,0))</f>
        <v>#N/A</v>
      </c>
      <c r="M95" s="98" t="e">
        <f t="shared" si="131"/>
        <v>#N/A</v>
      </c>
      <c r="N95" s="99" t="e">
        <f t="array" ref="N95">INDEX('Coeff EC7'!$D$7:$Q$27,MATCH($B$3,'Coeff EC7'!$C$7:$C$27,0),MATCH(D95&amp;E95,'Coeff EC7'!$D$5:$Q$5&amp;'Coeff EC7'!$D$6:$Q$6,0))</f>
        <v>#N/A</v>
      </c>
      <c r="O95" s="99" t="e">
        <f t="array" ref="O95">INDEX('Coeff EC7'!$D$41:$Q$61,MATCH($B$3,'Coeff EC7'!$C$41:$C$61,0),MATCH(D95&amp;E95,'Coeff EC7'!$D$39:$Q$39&amp;'Coeff EC7'!$D$40:$Q$40,0))</f>
        <v>#N/A</v>
      </c>
      <c r="P95" s="30" t="e">
        <f t="shared" si="166"/>
        <v>#N/A</v>
      </c>
      <c r="Q95" s="100" t="e">
        <f t="shared" si="133"/>
        <v>#N/A</v>
      </c>
      <c r="R95" s="86" t="b">
        <f t="shared" si="134"/>
        <v>0</v>
      </c>
      <c r="S95" s="86">
        <f t="shared" si="132"/>
        <v>0.5</v>
      </c>
      <c r="T95" s="86">
        <f t="shared" si="135"/>
        <v>0.5</v>
      </c>
      <c r="U95" s="30" t="e">
        <f t="shared" ca="1" si="167"/>
        <v>#DIV/0!</v>
      </c>
      <c r="V95" s="85" t="str">
        <f>IF(B95&lt;=Hypothèses!$V$7,Hypothèses!$W$7,IF(B95&lt;=Hypothèses!$V$8,Hypothèses!$W$8,IF(B95&lt;=Hypothèses!$V$9,Hypothèses!$W$9,IF(B95&lt;=Hypothèses!$V$10,Hypothèses!$W$10,IF(B95&lt;=Hypothèses!$V$11,Hypothèses!$W$11,IF(B95&lt;=Hypothèses!$V$12,Hypothèses!$W$12,IF(B95&lt;=Hypothèses!$V$13,Hypothèses!$W$13,IF(B95&lt;=Hypothèses!$V$14,Hypothèses!$W$14,IF(B95&lt;=Hypothèses!$V$15,Hypothèses!$W$15,IF(B95&lt;=Hypothèses!$V$16,Hypothèses!$W$16,IF(B95&lt;=Hypothèses!$V$17,Hypothèses!$W$17,IF(B95&lt;=Hypothèses!$V$18,Hypothèses!$W$18,""))))))))))))</f>
        <v/>
      </c>
      <c r="W95" s="87" t="e">
        <f t="shared" ca="1" si="216"/>
        <v>#DIV/0!</v>
      </c>
      <c r="X95" s="88" t="str">
        <f>IF(B95&lt;=Hypothèses!$V$7,Hypothèses!$X$7,IF(B95&lt;=Hypothèses!$V$8,Hypothèses!$X$8,IF(B95&lt;=Hypothèses!$V$9,Hypothèses!$X$9,IF(B95&lt;=Hypothèses!$V$10,Hypothèses!$X$10,IF(B95&lt;=Hypothèses!$V$11,Hypothèses!$X$11,IF(B95&lt;=Hypothèses!$V$12,Hypothèses!$X$12,IF(B95&lt;=Hypothèses!$V$13,Hypothèses!$X$13,IF(B95&lt;=Hypothèses!$V$14,Hypothèses!$X$14,IF(B95&lt;=Hypothèses!$V$15,Hypothèses!$X$15,IF(B95&lt;=Hypothèses!$V$16,Hypothèses!$X$16,IF(B95&lt;=Hypothèses!$U$17,Hypothèses!$W$17,IF(B95&lt;=Hypothèses!$U$18,Hypothèses!$W$18,""))))))))))))</f>
        <v/>
      </c>
      <c r="Y95" s="95" t="e">
        <f t="shared" ca="1" si="136"/>
        <v>#DIV/0!</v>
      </c>
      <c r="Z95" s="101">
        <f t="shared" si="137"/>
        <v>0</v>
      </c>
      <c r="AA95" s="91">
        <f t="shared" si="138"/>
        <v>0</v>
      </c>
      <c r="AB95" s="30" t="e">
        <f t="shared" si="200"/>
        <v>#N/A</v>
      </c>
      <c r="AC95" s="30" t="e">
        <f t="shared" si="201"/>
        <v>#N/A</v>
      </c>
      <c r="AD95" s="31" t="e">
        <f>IF(OR(Hypothèses!$B$4=17,Hypothèses!$B$4=18,Hypothèses!$B$4=19,Hypothèses!$B$4=20),
IF($D95="Pressio.",
IF(OR($E95=3,$E95=1,$E95=4),AC95,AB95),
IF($D95="Pénétro.",
IF(OR($E95=3,$E95=1,$E95=4),AC95,AB95))),IF($D95="Pressio.",
IF($E95=3,AC95,AB95),
IF($D95="Pénétro.",
IF($E95=4,AC95,AB95))))</f>
        <v>#N/A</v>
      </c>
      <c r="AE95" s="31">
        <v>0</v>
      </c>
      <c r="AF95" s="102" t="e">
        <f>IF(NDC!$H$10="Oui",(VLOOKUP($B$3,'Coeff EC7'!$T$39:$X$59,2,0)*AD95+VLOOKUP($B$3,'Coeff EC7'!$T$65:$X$85,2,0)*Model0.1T!AE95)/1.5,PI()*AB$12*$Q95*($B95-$B94)*0.15/10+AF94)</f>
        <v>#N/A</v>
      </c>
      <c r="AG95" s="102" t="e">
        <f>(VLOOKUP($B$3,'Coeff EC7'!$T$39:$X$59,3,0)*AD95+VLOOKUP($B$3,'Coeff EC7'!$T$65:$X$85,3,0)*Model0.1T!AE95)/1.1</f>
        <v>#N/A</v>
      </c>
      <c r="AH95" s="102" t="e">
        <f t="shared" si="168"/>
        <v>#N/A</v>
      </c>
      <c r="AI95" s="102" t="e">
        <f t="shared" si="169"/>
        <v>#N/A</v>
      </c>
      <c r="AJ95" s="414" t="e">
        <f>IF(AND(AF95&gt;NDC!$C$63,AG95&gt;NDC!$C$65,AH95&gt;NDC!$D$73,AI95&gt;NDC!$D$74,$B95&gt;NDC!$H$22-0.1+MIN(3*$AJ$12,1.5)),0,1)</f>
        <v>#N/A</v>
      </c>
      <c r="AK95" s="86" t="b">
        <f t="shared" si="139"/>
        <v>0</v>
      </c>
      <c r="AL95" s="86">
        <f t="shared" si="170"/>
        <v>0.5</v>
      </c>
      <c r="AM95" s="86">
        <f t="shared" si="140"/>
        <v>0.5</v>
      </c>
      <c r="AN95" s="30" t="e">
        <f t="shared" ca="1" si="171"/>
        <v>#DIV/0!</v>
      </c>
      <c r="AO95" s="85" t="e">
        <f ca="1">IF(U95&lt;=Hypothèses!$V$7,Hypothèses!$W$7,IF(U95&lt;=Hypothèses!$V$8,Hypothèses!$W$8,IF(U95&lt;=Hypothèses!$V$9,Hypothèses!$W$9,IF(U95&lt;=Hypothèses!$V$10,Hypothèses!$W$10,IF(U95&lt;=Hypothèses!$V$11,Hypothèses!$W$11,IF(U95&lt;=Hypothèses!$V$12,Hypothèses!$W$12,IF(U95&lt;=Hypothèses!$V$13,Hypothèses!$W$13,IF(U95&lt;=Hypothèses!$V$14,Hypothèses!$W$14,IF(U95&lt;=Hypothèses!$V$15,Hypothèses!$W$15,IF(U95&lt;=Hypothèses!$V$16,Hypothèses!$W$16,IF(U95&lt;=Hypothèses!$V$17,Hypothèses!$W$17,IF(U95&lt;=Hypothèses!$V$18,Hypothèses!$W$18,""))))))))))))</f>
        <v>#DIV/0!</v>
      </c>
      <c r="AP95" s="87" t="e">
        <f t="shared" ca="1" si="217"/>
        <v>#DIV/0!</v>
      </c>
      <c r="AQ95" s="88" t="e">
        <f ca="1">IF(U95&lt;=Hypothèses!$V$7,Hypothèses!$X$7,IF(U95&lt;=Hypothèses!$V$8,Hypothèses!$X$8,IF(U95&lt;=Hypothèses!$V$9,Hypothèses!$X$9,IF(U95&lt;=Hypothèses!$V$10,Hypothèses!$X$10,IF(U95&lt;=Hypothèses!$V$11,Hypothèses!$X$11,IF(U95&lt;=Hypothèses!$V$12,Hypothèses!$X$12,IF(U95&lt;=Hypothèses!$V$13,Hypothèses!$X$13,IF(U95&lt;=Hypothèses!$V$14,Hypothèses!$X$14,IF(U95&lt;=Hypothèses!$V$15,Hypothèses!$X$15,IF(U95&lt;=Hypothèses!$V$16,Hypothèses!$X$16,IF(U95&lt;=Hypothèses!$U$17,Hypothèses!$W$17,IF(U95&lt;=Hypothèses!$U$18,Hypothèses!$W$18,""))))))))))))</f>
        <v>#DIV/0!</v>
      </c>
      <c r="AR95" s="95" t="e">
        <f t="shared" ca="1" si="172"/>
        <v>#DIV/0!</v>
      </c>
      <c r="AS95" s="101">
        <f t="shared" si="224"/>
        <v>0</v>
      </c>
      <c r="AT95" s="91">
        <f t="shared" si="141"/>
        <v>0</v>
      </c>
      <c r="AU95" s="30" t="e">
        <f t="shared" si="202"/>
        <v>#N/A</v>
      </c>
      <c r="AV95" s="30" t="e">
        <f t="shared" si="203"/>
        <v>#N/A</v>
      </c>
      <c r="AW95" s="31" t="e">
        <f>IF(OR(Hypothèses!$B$4=17,Hypothèses!$B$4=18,Hypothèses!$B$4=19,Hypothèses!$B$4=20),
IF($D95="Pressio.",
IF(OR($E95=3,$E95=1,$E95=4),AV95,AU95),
IF($D95="Pénétro.",
IF(OR($E95=3,$E95=1,$E95=4),AV95,AU95))),IF($D95="Pressio.",
IF($E95=3,AV95,AU95),
IF($D95="Pénétro.",
IF($E95=4,AV95,AU95))))</f>
        <v>#N/A</v>
      </c>
      <c r="AX95" s="31">
        <v>0</v>
      </c>
      <c r="AY95" s="102" t="e">
        <f>IF(NDC!$H$10="Oui",(VLOOKUP($B$3,'Coeff EC7'!$T$39:$X$59,2,0)*AW95+VLOOKUP($B$3,'Coeff EC7'!$T$65:$X$85,2,0)*Model0.1T!AX95)/1.5,PI()*AU$12*$Q95*($B95-$B94)*0.15/10+AY94)</f>
        <v>#N/A</v>
      </c>
      <c r="AZ95" s="102" t="e">
        <f>(VLOOKUP($B$3,'Coeff EC7'!$T$39:$X$59,3,0)*AW95+VLOOKUP($B$3,'Coeff EC7'!$T$65:$X$85,3,0)*Model0.1T!AX95)/1.1</f>
        <v>#N/A</v>
      </c>
      <c r="BA95" s="102" t="e">
        <f t="shared" si="173"/>
        <v>#N/A</v>
      </c>
      <c r="BB95" s="102" t="e">
        <f t="shared" si="174"/>
        <v>#N/A</v>
      </c>
      <c r="BC95" s="414" t="e">
        <f>IF(AND(AY95&gt;NDC!$C$63,AZ95&gt;NDC!$C$65,BA95&gt;NDC!$D$73,BB95&gt;NDC!$D$74,$B95&gt;NDC!$H$22-0.1+MIN(3*BC$12,1.5)),0,1)</f>
        <v>#N/A</v>
      </c>
      <c r="BD95" s="86" t="b">
        <f t="shared" si="142"/>
        <v>0</v>
      </c>
      <c r="BE95" s="86">
        <f t="shared" si="175"/>
        <v>0.5</v>
      </c>
      <c r="BF95" s="86">
        <f t="shared" si="143"/>
        <v>0.5</v>
      </c>
      <c r="BG95" s="30" t="e">
        <f t="shared" ca="1" si="176"/>
        <v>#DIV/0!</v>
      </c>
      <c r="BH95" s="85" t="e">
        <f ca="1">IF(AN95&lt;=Hypothèses!$V$7,Hypothèses!$W$7,IF(AN95&lt;=Hypothèses!$V$8,Hypothèses!$W$8,IF(AN95&lt;=Hypothèses!$V$9,Hypothèses!$W$9,IF(AN95&lt;=Hypothèses!$V$10,Hypothèses!$W$10,IF(AN95&lt;=Hypothèses!$V$11,Hypothèses!$W$11,IF(AN95&lt;=Hypothèses!$V$12,Hypothèses!$W$12,IF(AN95&lt;=Hypothèses!$V$13,Hypothèses!$W$13,IF(AN95&lt;=Hypothèses!$V$14,Hypothèses!$W$14,IF(AN95&lt;=Hypothèses!$V$15,Hypothèses!$W$15,IF(AN95&lt;=Hypothèses!$V$16,Hypothèses!$W$16,IF(AN95&lt;=Hypothèses!$V$17,Hypothèses!$W$17,IF(AN95&lt;=Hypothèses!$V$18,Hypothèses!$W$18,""))))))))))))</f>
        <v>#DIV/0!</v>
      </c>
      <c r="BI95" s="87" t="e">
        <f t="shared" ca="1" si="218"/>
        <v>#DIV/0!</v>
      </c>
      <c r="BJ95" s="88" t="e">
        <f ca="1">IF(AN95&lt;=Hypothèses!$V$7,Hypothèses!$X$7,IF(AN95&lt;=Hypothèses!$V$8,Hypothèses!$X$8,IF(AN95&lt;=Hypothèses!$V$9,Hypothèses!$X$9,IF(AN95&lt;=Hypothèses!$V$10,Hypothèses!$X$10,IF(AN95&lt;=Hypothèses!$V$11,Hypothèses!$X$11,IF(AN95&lt;=Hypothèses!$V$12,Hypothèses!$X$12,IF(AN95&lt;=Hypothèses!$V$13,Hypothèses!$X$13,IF(AN95&lt;=Hypothèses!$V$14,Hypothèses!$X$14,IF(AN95&lt;=Hypothèses!$V$15,Hypothèses!$X$15,IF(AN95&lt;=Hypothèses!$V$16,Hypothèses!$X$16,IF(AN95&lt;=Hypothèses!$U$17,Hypothèses!$W$17,IF(AN95&lt;=Hypothèses!$U$18,Hypothèses!$W$18,""))))))))))))</f>
        <v>#DIV/0!</v>
      </c>
      <c r="BK95" s="95" t="e">
        <f t="shared" ca="1" si="177"/>
        <v>#DIV/0!</v>
      </c>
      <c r="BL95" s="101">
        <f t="shared" si="225"/>
        <v>0</v>
      </c>
      <c r="BM95" s="91">
        <f t="shared" si="144"/>
        <v>0</v>
      </c>
      <c r="BN95" s="30" t="e">
        <f t="shared" si="204"/>
        <v>#N/A</v>
      </c>
      <c r="BO95" s="30" t="e">
        <f t="shared" si="205"/>
        <v>#N/A</v>
      </c>
      <c r="BP95" s="31" t="e">
        <f>IF(OR(Hypothèses!$B$4=17,Hypothèses!$B$4=18,Hypothèses!$B$4=19,Hypothèses!$B$4=20),
IF($D95="Pressio.",
IF(OR($E95=3,$E95=1,$E95=4),BO95,BN95),
IF($D95="Pénétro.",
IF(OR($E95=3,$E95=1,$E95=4),BO95,BN95))),IF($D95="Pressio.",
IF($E95=3,BO95,BN95),
IF($D95="Pénétro.",
IF($E95=4,BO95,BN95))))</f>
        <v>#N/A</v>
      </c>
      <c r="BQ95" s="31">
        <v>0</v>
      </c>
      <c r="BR95" s="102" t="e">
        <f>IF(NDC!$H$10="Oui",(VLOOKUP($B$3,'Coeff EC7'!$T$39:$X$59,2,0)*BP95+VLOOKUP($B$3,'Coeff EC7'!$T$65:$X$85,2,0)*Model0.1T!BQ95)/1.5,PI()*BN$12*$Q95*($B95-$B94)*0.15/10+BR94)</f>
        <v>#N/A</v>
      </c>
      <c r="BS95" s="102" t="e">
        <f>(VLOOKUP($B$3,'Coeff EC7'!$T$39:$X$59,3,0)*BP95+VLOOKUP($B$3,'Coeff EC7'!$T$65:$X$85,3,0)*Model0.1T!BQ95)/1.1</f>
        <v>#N/A</v>
      </c>
      <c r="BT95" s="102" t="e">
        <f t="shared" si="178"/>
        <v>#N/A</v>
      </c>
      <c r="BU95" s="102" t="e">
        <f t="shared" si="179"/>
        <v>#N/A</v>
      </c>
      <c r="BV95" s="414" t="e">
        <f>IF(AND(BR95&gt;NDC!$C$63,BS95&gt;NDC!$C$65,BT95&gt;NDC!$D$73,BU95&gt;NDC!$D$74,$B95&gt;NDC!$H$22-0.1+MIN(3*BV$12,1.5)),0,1)</f>
        <v>#N/A</v>
      </c>
      <c r="BW95" s="86" t="b">
        <f t="shared" si="145"/>
        <v>0</v>
      </c>
      <c r="BX95" s="86">
        <f t="shared" si="146"/>
        <v>0.5</v>
      </c>
      <c r="BY95" s="86">
        <f t="shared" si="147"/>
        <v>0.5</v>
      </c>
      <c r="BZ95" s="30" t="e">
        <f t="shared" ca="1" si="180"/>
        <v>#DIV/0!</v>
      </c>
      <c r="CA95" s="85" t="e">
        <f ca="1">IF(BG95&lt;=Hypothèses!$V$7,Hypothèses!$W$7,IF(BG95&lt;=Hypothèses!$V$8,Hypothèses!$W$8,IF(BG95&lt;=Hypothèses!$V$9,Hypothèses!$W$9,IF(BG95&lt;=Hypothèses!$V$10,Hypothèses!$W$10,IF(BG95&lt;=Hypothèses!$V$11,Hypothèses!$W$11,IF(BG95&lt;=Hypothèses!$V$12,Hypothèses!$W$12,IF(BG95&lt;=Hypothèses!$V$13,Hypothèses!$W$13,IF(BG95&lt;=Hypothèses!$V$14,Hypothèses!$W$14,IF(BG95&lt;=Hypothèses!$V$15,Hypothèses!$W$15,IF(BG95&lt;=Hypothèses!$V$16,Hypothèses!$W$16,IF(BG95&lt;=Hypothèses!$V$17,Hypothèses!$W$17,IF(BG95&lt;=Hypothèses!$V$18,Hypothèses!$W$18,""))))))))))))</f>
        <v>#DIV/0!</v>
      </c>
      <c r="CB95" s="87" t="e">
        <f t="shared" ca="1" si="219"/>
        <v>#DIV/0!</v>
      </c>
      <c r="CC95" s="88" t="e">
        <f ca="1">IF(BG95&lt;=Hypothèses!$V$7,Hypothèses!$X$7,IF(BG95&lt;=Hypothèses!$V$8,Hypothèses!$X$8,IF(BG95&lt;=Hypothèses!$V$9,Hypothèses!$X$9,IF(BG95&lt;=Hypothèses!$V$10,Hypothèses!$X$10,IF(BG95&lt;=Hypothèses!$V$11,Hypothèses!$X$11,IF(BG95&lt;=Hypothèses!$V$12,Hypothèses!$X$12,IF(BG95&lt;=Hypothèses!$V$13,Hypothèses!$X$13,IF(BG95&lt;=Hypothèses!$V$14,Hypothèses!$X$14,IF(BG95&lt;=Hypothèses!$V$15,Hypothèses!$X$15,IF(BG95&lt;=Hypothèses!$V$16,Hypothèses!$X$16,IF(BG95&lt;=Hypothèses!$U$17,Hypothèses!$W$17,IF(BG95&lt;=Hypothèses!$U$18,Hypothèses!$W$18,""))))))))))))</f>
        <v>#DIV/0!</v>
      </c>
      <c r="CD95" s="95" t="e">
        <f t="shared" ca="1" si="181"/>
        <v>#DIV/0!</v>
      </c>
      <c r="CE95" s="101">
        <f t="shared" si="226"/>
        <v>0</v>
      </c>
      <c r="CF95" s="91">
        <f t="shared" si="148"/>
        <v>0</v>
      </c>
      <c r="CG95" s="30" t="e">
        <f t="shared" si="206"/>
        <v>#N/A</v>
      </c>
      <c r="CH95" s="30" t="e">
        <f t="shared" si="207"/>
        <v>#N/A</v>
      </c>
      <c r="CI95" s="31" t="e">
        <f>IF(OR(Hypothèses!$B$4=17,Hypothèses!$B$4=18,Hypothèses!$B$4=19,Hypothèses!$B$4=20),
IF($D95="Pressio.",
IF(OR($E95=3,$E95=1,$E95=4),CH95,CG95),
IF($D95="Pénétro.",
IF(OR($E95=3,$E95=1,$E95=4),CH95,CG95))),IF($D95="Pressio.",
IF($E95=3,CH95,CG95),
IF($D95="Pénétro.",
IF($E95=4,CH95,CG95))))</f>
        <v>#N/A</v>
      </c>
      <c r="CJ95" s="31">
        <v>0</v>
      </c>
      <c r="CK95" s="102" t="e">
        <f>IF(NDC!$H$10="Oui",(VLOOKUP($B$3,'Coeff EC7'!$T$39:$X$59,2,0)*CI95+VLOOKUP($B$3,'Coeff EC7'!$T$65:$X$85,2,0)*Model0.1T!CJ95)/1.5,PI()*CG$12*$Q95*($B95-$B94)*0.15/10+CK94)</f>
        <v>#N/A</v>
      </c>
      <c r="CL95" s="102" t="e">
        <f>(VLOOKUP($B$3,'Coeff EC7'!$T$39:$X$59,3,0)*CI95+VLOOKUP($B$3,'Coeff EC7'!$T$65:$X$85,3,0)*Model0.1T!CJ95)/1.1</f>
        <v>#N/A</v>
      </c>
      <c r="CM95" s="102" t="e">
        <f t="shared" si="182"/>
        <v>#N/A</v>
      </c>
      <c r="CN95" s="102" t="e">
        <f t="shared" si="183"/>
        <v>#N/A</v>
      </c>
      <c r="CO95" s="414" t="e">
        <f>IF(AND(CK95&gt;NDC!$C$63,CL95&gt;NDC!$C$65,CM95&gt;NDC!$D$73,CN95&gt;NDC!$D$74,$B95&gt;NDC!$H$22-0.1+MIN(3*CO$12,1.5)),0,1)</f>
        <v>#N/A</v>
      </c>
      <c r="CP95" s="86" t="b">
        <f t="shared" si="149"/>
        <v>0</v>
      </c>
      <c r="CQ95" s="86">
        <f t="shared" si="150"/>
        <v>0.5</v>
      </c>
      <c r="CR95" s="86">
        <f t="shared" si="151"/>
        <v>0.5</v>
      </c>
      <c r="CS95" s="30" t="e">
        <f t="shared" ca="1" si="184"/>
        <v>#DIV/0!</v>
      </c>
      <c r="CT95" s="85" t="e">
        <f ca="1">IF(BZ95&lt;=Hypothèses!$V$7,Hypothèses!$W$7,IF(BZ95&lt;=Hypothèses!$V$8,Hypothèses!$W$8,IF(BZ95&lt;=Hypothèses!$V$9,Hypothèses!$W$9,IF(BZ95&lt;=Hypothèses!$V$10,Hypothèses!$W$10,IF(BZ95&lt;=Hypothèses!$V$11,Hypothèses!$W$11,IF(BZ95&lt;=Hypothèses!$V$12,Hypothèses!$W$12,IF(BZ95&lt;=Hypothèses!$V$13,Hypothèses!$W$13,IF(BZ95&lt;=Hypothèses!$V$14,Hypothèses!$W$14,IF(BZ95&lt;=Hypothèses!$V$15,Hypothèses!$W$15,IF(BZ95&lt;=Hypothèses!$V$16,Hypothèses!$W$16,IF(BZ95&lt;=Hypothèses!$V$17,Hypothèses!$W$17,IF(BZ95&lt;=Hypothèses!$V$18,Hypothèses!$W$18,""))))))))))))</f>
        <v>#DIV/0!</v>
      </c>
      <c r="CU95" s="87" t="e">
        <f t="shared" ca="1" si="220"/>
        <v>#DIV/0!</v>
      </c>
      <c r="CV95" s="88" t="e">
        <f ca="1">IF(BZ95&lt;=Hypothèses!$V$7,Hypothèses!$X$7,IF(BZ95&lt;=Hypothèses!$V$8,Hypothèses!$X$8,IF(BZ95&lt;=Hypothèses!$V$9,Hypothèses!$X$9,IF(BZ95&lt;=Hypothèses!$V$10,Hypothèses!$X$10,IF(BZ95&lt;=Hypothèses!$V$11,Hypothèses!$X$11,IF(BZ95&lt;=Hypothèses!$V$12,Hypothèses!$X$12,IF(BZ95&lt;=Hypothèses!$V$13,Hypothèses!$X$13,IF(BZ95&lt;=Hypothèses!$V$14,Hypothèses!$X$14,IF(BZ95&lt;=Hypothèses!$V$15,Hypothèses!$X$15,IF(BZ95&lt;=Hypothèses!$V$16,Hypothèses!$X$16,IF(BZ95&lt;=Hypothèses!$U$17,Hypothèses!$W$17,IF(BZ95&lt;=Hypothèses!$U$18,Hypothèses!$W$18,""))))))))))))</f>
        <v>#DIV/0!</v>
      </c>
      <c r="CW95" s="95" t="e">
        <f t="shared" ca="1" si="185"/>
        <v>#DIV/0!</v>
      </c>
      <c r="CX95" s="101">
        <f t="shared" si="227"/>
        <v>0</v>
      </c>
      <c r="CY95" s="91">
        <f t="shared" si="152"/>
        <v>0</v>
      </c>
      <c r="CZ95" s="30" t="e">
        <f t="shared" si="208"/>
        <v>#N/A</v>
      </c>
      <c r="DA95" s="30" t="e">
        <f t="shared" si="209"/>
        <v>#N/A</v>
      </c>
      <c r="DB95" s="31" t="e">
        <f>IF(OR(Hypothèses!$B$4=17,Hypothèses!$B$4=18,Hypothèses!$B$4=19,Hypothèses!$B$4=20),
IF($D95="Pressio.",
IF(OR($E95=3,$E95=1,$E95=4),DA95,CZ95),
IF($D95="Pénétro.",
IF(OR($E95=3,$E95=1,$E95=4),DA95,CZ95))),IF($D95="Pressio.",
IF($E95=3,DA95,CZ95),
IF($D95="Pénétro.",
IF($E95=4,DA95,CZ95))))</f>
        <v>#N/A</v>
      </c>
      <c r="DC95" s="31">
        <v>0</v>
      </c>
      <c r="DD95" s="102" t="e">
        <f>IF(NDC!$H$10="Oui",(VLOOKUP($B$3,'Coeff EC7'!$T$39:$X$59,2,0)*DB95+VLOOKUP($B$3,'Coeff EC7'!$T$65:$X$85,2,0)*Model0.1T!DC95)/1.5,PI()*CZ$12*$Q95*($B95-$B94)*0.15/10+DD94)</f>
        <v>#N/A</v>
      </c>
      <c r="DE95" s="102" t="e">
        <f>(VLOOKUP($B$3,'Coeff EC7'!$T$39:$X$59,3,0)*DB95+VLOOKUP($B$3,'Coeff EC7'!$T$65:$X$85,3,0)*Model0.1T!DC95)/1.1</f>
        <v>#N/A</v>
      </c>
      <c r="DF95" s="102" t="e">
        <f t="shared" si="186"/>
        <v>#N/A</v>
      </c>
      <c r="DG95" s="102" t="e">
        <f t="shared" si="187"/>
        <v>#N/A</v>
      </c>
      <c r="DH95" s="414" t="e">
        <f>IF(AND(DD95&gt;NDC!$C$63,DE95&gt;NDC!$C$65,DF95&gt;NDC!$D$73,DG95&gt;NDC!$D$74,$B95&gt;NDC!$H$22-0.1+MIN(3*DH$12,1.5)),0,1)</f>
        <v>#N/A</v>
      </c>
      <c r="DI95" s="86" t="b">
        <f t="shared" si="153"/>
        <v>0</v>
      </c>
      <c r="DJ95" s="86">
        <f t="shared" si="154"/>
        <v>0.5</v>
      </c>
      <c r="DK95" s="86">
        <f t="shared" si="155"/>
        <v>0.5</v>
      </c>
      <c r="DL95" s="30" t="e">
        <f t="shared" ca="1" si="188"/>
        <v>#DIV/0!</v>
      </c>
      <c r="DM95" s="85" t="e">
        <f ca="1">IF(CS95&lt;=Hypothèses!$V$7,Hypothèses!$W$7,IF(CS95&lt;=Hypothèses!$V$8,Hypothèses!$W$8,IF(CS95&lt;=Hypothèses!$V$9,Hypothèses!$W$9,IF(CS95&lt;=Hypothèses!$V$10,Hypothèses!$W$10,IF(CS95&lt;=Hypothèses!$V$11,Hypothèses!$W$11,IF(CS95&lt;=Hypothèses!$V$12,Hypothèses!$W$12,IF(CS95&lt;=Hypothèses!$V$13,Hypothèses!$W$13,IF(CS95&lt;=Hypothèses!$V$14,Hypothèses!$W$14,IF(CS95&lt;=Hypothèses!$V$15,Hypothèses!$W$15,IF(CS95&lt;=Hypothèses!$V$16,Hypothèses!$W$16,IF(CS95&lt;=Hypothèses!$V$17,Hypothèses!$W$17,IF(CS95&lt;=Hypothèses!$V$18,Hypothèses!$W$18,""))))))))))))</f>
        <v>#DIV/0!</v>
      </c>
      <c r="DN95" s="87" t="e">
        <f t="shared" ca="1" si="221"/>
        <v>#DIV/0!</v>
      </c>
      <c r="DO95" s="88" t="e">
        <f ca="1">IF(CS95&lt;=Hypothèses!$V$7,Hypothèses!$X$7,IF(CS95&lt;=Hypothèses!$V$8,Hypothèses!$X$8,IF(CS95&lt;=Hypothèses!$V$9,Hypothèses!$X$9,IF(CS95&lt;=Hypothèses!$V$10,Hypothèses!$X$10,IF(CS95&lt;=Hypothèses!$V$11,Hypothèses!$X$11,IF(CS95&lt;=Hypothèses!$V$12,Hypothèses!$X$12,IF(CS95&lt;=Hypothèses!$V$13,Hypothèses!$X$13,IF(CS95&lt;=Hypothèses!$V$14,Hypothèses!$X$14,IF(CS95&lt;=Hypothèses!$V$15,Hypothèses!$X$15,IF(CS95&lt;=Hypothèses!$V$16,Hypothèses!$X$16,IF(CS95&lt;=Hypothèses!$U$17,Hypothèses!$W$17,IF(CS95&lt;=Hypothèses!$U$18,Hypothèses!$W$18,""))))))))))))</f>
        <v>#DIV/0!</v>
      </c>
      <c r="DP95" s="95" t="e">
        <f t="shared" ca="1" si="189"/>
        <v>#DIV/0!</v>
      </c>
      <c r="DQ95" s="101">
        <f t="shared" si="228"/>
        <v>0</v>
      </c>
      <c r="DR95" s="91">
        <f t="shared" si="156"/>
        <v>0</v>
      </c>
      <c r="DS95" s="30" t="e">
        <f t="shared" si="210"/>
        <v>#N/A</v>
      </c>
      <c r="DT95" s="30" t="e">
        <f t="shared" si="211"/>
        <v>#N/A</v>
      </c>
      <c r="DU95" s="31" t="e">
        <f>IF(OR(Hypothèses!$B$4=17,Hypothèses!$B$4=18,Hypothèses!$B$4=19,Hypothèses!$B$4=20),
IF($D95="Pressio.",
IF(OR($E95=3,$E95=1,$E95=4),DT95,DS95),
IF($D95="Pénétro.",
IF(OR($E95=3,$E95=1,$E95=4),DT95,DS95))),IF($D95="Pressio.",
IF($E95=3,DT95,DS95),
IF($D95="Pénétro.",
IF($E95=4,DT95,DS95))))</f>
        <v>#N/A</v>
      </c>
      <c r="DV95" s="31">
        <v>0</v>
      </c>
      <c r="DW95" s="102" t="e">
        <f>IF(NDC!$H$10="Oui",(VLOOKUP($B$3,'Coeff EC7'!$T$39:$X$59,2,0)*DU95+VLOOKUP($B$3,'Coeff EC7'!$T$65:$X$85,2,0)*Model0.1T!DV95)/1.5,PI()*DS$12*$Q95*($B95-$B94)*0.15/10+DW94)</f>
        <v>#N/A</v>
      </c>
      <c r="DX95" s="102" t="e">
        <f>(VLOOKUP($B$3,'Coeff EC7'!$T$39:$X$59,3,0)*DU95+VLOOKUP($B$3,'Coeff EC7'!$T$65:$X$85,3,0)*Model0.1T!DV95)/1.1</f>
        <v>#N/A</v>
      </c>
      <c r="DY95" s="102" t="e">
        <f t="shared" si="190"/>
        <v>#N/A</v>
      </c>
      <c r="DZ95" s="102" t="e">
        <f t="shared" si="191"/>
        <v>#N/A</v>
      </c>
      <c r="EA95" s="414" t="e">
        <f>IF(AND(DW95&gt;NDC!$C$63,DX95&gt;NDC!$C$65,DY95&gt;NDC!$D$73,DZ95&gt;NDC!$D$74,$B95&gt;NDC!$H$22-0.1+MIN(3*EA$12,1.5)),0,1)</f>
        <v>#N/A</v>
      </c>
      <c r="EB95" s="86" t="b">
        <f t="shared" si="157"/>
        <v>0</v>
      </c>
      <c r="EC95" s="418">
        <f t="shared" si="158"/>
        <v>0.51</v>
      </c>
      <c r="ED95" s="86">
        <f t="shared" si="159"/>
        <v>0.51</v>
      </c>
      <c r="EE95" s="30" t="e">
        <f t="shared" ca="1" si="192"/>
        <v>#DIV/0!</v>
      </c>
      <c r="EF95" s="85" t="e">
        <f ca="1">IF(DL95&lt;=Hypothèses!$V$7,Hypothèses!$W$7,IF(DL95&lt;=Hypothèses!$V$8,Hypothèses!$W$8,IF(DL95&lt;=Hypothèses!$V$9,Hypothèses!$W$9,IF(DL95&lt;=Hypothèses!$V$10,Hypothèses!$W$10,IF(DL95&lt;=Hypothèses!$V$11,Hypothèses!$W$11,IF(DL95&lt;=Hypothèses!$V$12,Hypothèses!$W$12,IF(DL95&lt;=Hypothèses!$V$13,Hypothèses!$W$13,IF(DL95&lt;=Hypothèses!$V$14,Hypothèses!$W$14,IF(DL95&lt;=Hypothèses!$V$15,Hypothèses!$W$15,IF(DL95&lt;=Hypothèses!$V$16,Hypothèses!$W$16,IF(DL95&lt;=Hypothèses!$V$17,Hypothèses!$W$17,IF(DL95&lt;=Hypothèses!$V$18,Hypothèses!$W$18,""))))))))))))</f>
        <v>#DIV/0!</v>
      </c>
      <c r="EG95" s="87" t="e">
        <f t="shared" ca="1" si="222"/>
        <v>#DIV/0!</v>
      </c>
      <c r="EH95" s="88" t="e">
        <f ca="1">IF(DL95&lt;=Hypothèses!$V$7,Hypothèses!$X$7,IF(DL95&lt;=Hypothèses!$V$8,Hypothèses!$X$8,IF(DL95&lt;=Hypothèses!$V$9,Hypothèses!$X$9,IF(DL95&lt;=Hypothèses!$V$10,Hypothèses!$X$10,IF(DL95&lt;=Hypothèses!$V$11,Hypothèses!$X$11,IF(DL95&lt;=Hypothèses!$V$12,Hypothèses!$X$12,IF(DL95&lt;=Hypothèses!$V$13,Hypothèses!$X$13,IF(DL95&lt;=Hypothèses!$V$14,Hypothèses!$X$14,IF(DL95&lt;=Hypothèses!$V$15,Hypothèses!$X$15,IF(DL95&lt;=Hypothèses!$V$16,Hypothèses!$X$16,IF(DL95&lt;=Hypothèses!$U$17,Hypothèses!$W$17,IF(DL95&lt;=Hypothèses!$U$18,Hypothèses!$W$18,""))))))))))))</f>
        <v>#DIV/0!</v>
      </c>
      <c r="EI95" s="95" t="e">
        <f t="shared" ca="1" si="193"/>
        <v>#DIV/0!</v>
      </c>
      <c r="EJ95" s="101">
        <f t="shared" si="229"/>
        <v>0</v>
      </c>
      <c r="EK95" s="91">
        <f t="shared" si="160"/>
        <v>0</v>
      </c>
      <c r="EL95" s="30" t="e">
        <f t="shared" si="212"/>
        <v>#N/A</v>
      </c>
      <c r="EM95" s="30" t="e">
        <f t="shared" si="213"/>
        <v>#N/A</v>
      </c>
      <c r="EN95" s="31" t="e">
        <f>IF(OR(Hypothèses!$B$4=17,Hypothèses!$B$4=18,Hypothèses!$B$4=19,Hypothèses!$B$4=20),
IF($D95="Pressio.",
IF(OR($E95=3,$E95=1,$E95=4),EM95,EL95),
IF($D95="Pénétro.",
IF(OR($E95=3,$E95=1,$E95=4),EM95,EL95))),IF($D95="Pressio.",
IF($E95=3,EM95,EL95),
IF($D95="Pénétro.",
IF($E95=4,EM95,EL95))))</f>
        <v>#N/A</v>
      </c>
      <c r="EO95" s="31">
        <v>0</v>
      </c>
      <c r="EP95" s="102" t="e">
        <f>IF(NDC!$H$10="Oui",(VLOOKUP($B$3,'Coeff EC7'!$T$39:$X$59,2,0)*EN95+VLOOKUP($B$3,'Coeff EC7'!$T$65:$X$85,2,0)*Model0.1T!EO95)/1.5,PI()*EL$12*$Q95*($B95-$B94)*0.15/10+EP94)</f>
        <v>#N/A</v>
      </c>
      <c r="EQ95" s="102" t="e">
        <f>(VLOOKUP($B$3,'Coeff EC7'!$T$39:$X$59,3,0)*EN95+VLOOKUP($B$3,'Coeff EC7'!$T$65:$X$85,3,0)*Model0.1T!EO95)/1.1</f>
        <v>#N/A</v>
      </c>
      <c r="ER95" s="102" t="e">
        <f t="shared" si="194"/>
        <v>#N/A</v>
      </c>
      <c r="ES95" s="102" t="e">
        <f t="shared" si="195"/>
        <v>#N/A</v>
      </c>
      <c r="ET95" s="414" t="e">
        <f>IF(AND(EP95&gt;NDC!$C$63,EQ95&gt;NDC!$C$65,ER95&gt;NDC!$D$73,ES95&gt;NDC!$D$74,$B95&gt;NDC!$H$22-0.1+MIN(3*ET$12,1.5)),0,1)</f>
        <v>#N/A</v>
      </c>
      <c r="EU95" s="86" t="b">
        <f t="shared" si="161"/>
        <v>0</v>
      </c>
      <c r="EV95" s="86">
        <f t="shared" si="162"/>
        <v>0.61</v>
      </c>
      <c r="EW95" s="86">
        <f t="shared" si="163"/>
        <v>0.61</v>
      </c>
      <c r="EX95" s="30" t="e">
        <f t="shared" ca="1" si="196"/>
        <v>#DIV/0!</v>
      </c>
      <c r="EY95" s="85" t="e">
        <f ca="1">IF(EE95&lt;=Hypothèses!$V$7,Hypothèses!$W$7,IF(EE95&lt;=Hypothèses!$V$8,Hypothèses!$W$8,IF(EE95&lt;=Hypothèses!$V$9,Hypothèses!$W$9,IF(EE95&lt;=Hypothèses!$V$10,Hypothèses!$W$10,IF(EE95&lt;=Hypothèses!$V$11,Hypothèses!$W$11,IF(EE95&lt;=Hypothèses!$V$12,Hypothèses!$W$12,IF(EE95&lt;=Hypothèses!$V$13,Hypothèses!$W$13,IF(EE95&lt;=Hypothèses!$V$14,Hypothèses!$W$14,IF(EE95&lt;=Hypothèses!$V$15,Hypothèses!$W$15,IF(EE95&lt;=Hypothèses!$V$16,Hypothèses!$W$16,IF(EE95&lt;=Hypothèses!$V$17,Hypothèses!$W$17,IF(EE95&lt;=Hypothèses!$V$18,Hypothèses!$W$18,""))))))))))))</f>
        <v>#DIV/0!</v>
      </c>
      <c r="EZ95" s="87" t="e">
        <f t="shared" ca="1" si="223"/>
        <v>#DIV/0!</v>
      </c>
      <c r="FA95" s="88" t="e">
        <f ca="1">IF(EE95&lt;=Hypothèses!$V$7,Hypothèses!$X$7,IF(EE95&lt;=Hypothèses!$V$8,Hypothèses!$X$8,IF(EE95&lt;=Hypothèses!$V$9,Hypothèses!$X$9,IF(EE95&lt;=Hypothèses!$V$10,Hypothèses!$X$10,IF(EE95&lt;=Hypothèses!$V$11,Hypothèses!$X$11,IF(EE95&lt;=Hypothèses!$V$12,Hypothèses!$X$12,IF(EE95&lt;=Hypothèses!$V$13,Hypothèses!$X$13,IF(EE95&lt;=Hypothèses!$V$14,Hypothèses!$X$14,IF(EE95&lt;=Hypothèses!$V$15,Hypothèses!$X$15,IF(EE95&lt;=Hypothèses!$V$16,Hypothèses!$X$16,IF(EE95&lt;=Hypothèses!$U$17,Hypothèses!$W$17,IF(EE95&lt;=Hypothèses!$U$18,Hypothèses!$W$18,""))))))))))))</f>
        <v>#DIV/0!</v>
      </c>
      <c r="FB95" s="95" t="e">
        <f t="shared" ca="1" si="197"/>
        <v>#DIV/0!</v>
      </c>
      <c r="FC95" s="101">
        <f t="shared" si="230"/>
        <v>0</v>
      </c>
      <c r="FD95" s="91">
        <f t="shared" si="164"/>
        <v>0</v>
      </c>
      <c r="FE95" s="30" t="e">
        <f t="shared" si="214"/>
        <v>#N/A</v>
      </c>
      <c r="FF95" s="30" t="e">
        <f t="shared" si="215"/>
        <v>#N/A</v>
      </c>
      <c r="FG95" s="31" t="e">
        <f>IF(OR(Hypothèses!$B$4=17,Hypothèses!$B$4=18,Hypothèses!$B$4=19,Hypothèses!$B$4=20),
IF($D95="Pressio.",
IF(OR($E95=3,$E95=1,$E95=4),FF95,FE95),
IF($D95="Pénétro.",
IF(OR($E95=3,$E95=1,$E95=4),FF95,FE95))),IF($D95="Pressio.",
IF($E95=3,FF95,FE95),
IF($D95="Pénétro.",
IF($E95=4,FF95,FE95))))</f>
        <v>#N/A</v>
      </c>
      <c r="FH95" s="31">
        <v>0</v>
      </c>
      <c r="FI95" s="102" t="e">
        <f>IF(NDC!$H$10="Oui",(VLOOKUP($B$3,'Coeff EC7'!$T$39:$X$59,2,0)*FG95+VLOOKUP($B$3,'Coeff EC7'!$T$65:$X$85,2,0)*Model0.1T!FH95)/1.5,PI()*FE$12*$Q95*($B95-$B94)*0.15/10+FI94)</f>
        <v>#N/A</v>
      </c>
      <c r="FJ95" s="102" t="e">
        <f>(VLOOKUP($B$3,'Coeff EC7'!$T$39:$X$59,3,0)*FG95+VLOOKUP($B$3,'Coeff EC7'!$T$65:$X$85,3,0)*Model0.1T!FH95)/1.1</f>
        <v>#N/A</v>
      </c>
      <c r="FK95" s="102" t="e">
        <f t="shared" si="198"/>
        <v>#N/A</v>
      </c>
      <c r="FL95" s="102" t="e">
        <f t="shared" si="199"/>
        <v>#N/A</v>
      </c>
      <c r="FM95" s="414" t="e">
        <f>IF(AND(FI95&gt;NDC!$C$63,FJ95&gt;NDC!$C$65,FK95&gt;NDC!$D$73,FL95&gt;NDC!$D$74,$B95&gt;NDC!$H$22-0.1+MIN(3*FM$12,1.5)),0,1)</f>
        <v>#N/A</v>
      </c>
    </row>
    <row r="96" spans="1:169">
      <c r="A96" s="96">
        <f t="shared" si="165"/>
        <v>91.700000000000472</v>
      </c>
      <c r="B96" s="97">
        <v>8.3000000000000007</v>
      </c>
      <c r="C96" s="81">
        <f>IF(B96&lt;=Hypothèses!$C$7,Hypothèses!$A$7,IF(B96&lt;=Hypothèses!$C$8,Hypothèses!$A$8,IF(B96&lt;=Hypothèses!$C$9,Hypothèses!$A$9,IF(B96&lt;=Hypothèses!$C$10,Hypothèses!$A$10,IF(B96&lt;=Hypothèses!$C$11,Hypothèses!$A$11,IF(B96&lt;=Hypothèses!$C$12,Hypothèses!$A$12,IF(B96&lt;=Hypothèses!$C$13,Hypothèses!$A$13,IF(B96&lt;=Hypothèses!$C$14,Hypothèses!$A$14,IF(B96&lt;=Hypothèses!$C$15,Hypothèses!$A$15,IF(B96&lt;=Hypothèses!$C$16,Hypothèses!$A$16,IF(B96&lt;=Hypothèses!$C$17,Hypothèses!$A$17,IF(B96&lt;=Hypothèses!$C$18,Hypothèses!$A$18,C95))))))))))))</f>
        <v>11</v>
      </c>
      <c r="D96" s="82" t="str">
        <f>IF(B96&lt;=Hypothèses!$C$7,Hypothèses!$R$7,IF(B96&lt;=Hypothèses!$C$8,Hypothèses!$R$8,IF(B96&lt;=Hypothèses!$C$9,Hypothèses!$R$9,IF(B96&lt;=Hypothèses!$C$10,Hypothèses!$R$10,IF(B96&lt;=Hypothèses!$C$11,Hypothèses!$R$11,IF(B96&lt;=Hypothèses!$C$12,Hypothèses!$R$12,IF(B96&lt;=Hypothèses!$C$13,Hypothèses!$R$13,IF(B96&lt;=Hypothèses!$C$14,Hypothèses!$R$14,IF(B96&lt;=Hypothèses!$C$15,Hypothèses!$R$15,IF(B96&lt;=Hypothèses!$C$16,Hypothèses!$R$16,IF(B96&lt;=Hypothèses!$C$17,Hypothèses!$R$17,IF(B96&lt;=Hypothèses!$C$18,Hypothèses!$R$18,D95))))))))))))</f>
        <v>Pressio.</v>
      </c>
      <c r="E96" s="82" t="e">
        <f>IF(B96&lt;=Hypothèses!$C$7,Hypothèses!$G$7,IF(B96&lt;=Hypothèses!$C$8,Hypothèses!$G$8,IF(B96&lt;=Hypothèses!$C$9,Hypothèses!$G$9,IF(B96&lt;=Hypothèses!$C$10,Hypothèses!$G$10,IF(B96&lt;=Hypothèses!$C$11,Hypothèses!$G$11,IF(B96&lt;=Hypothèses!$C$12,Hypothèses!$G$12,IF(B96&lt;=Hypothèses!$C$13,Hypothèses!$G$13,IF(B96&lt;=Hypothèses!$C$14,Hypothèses!$G$14,IF(B96&lt;=Hypothèses!$C$15,Hypothèses!$G$15,IF(B96&lt;=Hypothèses!$C$16,Hypothèses!$G$16,IF(B96&lt;=Hypothèses!$C$17,Hypothèses!$G$17,IF(B96&lt;=Hypothèses!$C$18,Hypothèses!$G$18,E95))))))))))))</f>
        <v>#N/A</v>
      </c>
      <c r="F96" s="82" t="str">
        <f>IF(B96&lt;=Hypothèses!$C$7,Hypothèses!$F$7,IF(B96&lt;=Hypothèses!$C$8,Hypothèses!$F$8,IF(B96&lt;=Hypothèses!$C$9,Hypothèses!$F$9,IF(B96&lt;=Hypothèses!$C$10,Hypothèses!$F$10,IF(B96&lt;=Hypothèses!$C$11,Hypothèses!$F$11,IF(B96&lt;=Hypothèses!$C$12,Hypothèses!$F$12,IF(B96&lt;=Hypothèses!$C$13,Hypothèses!$F$13,IF(B96&lt;=Hypothèses!$C$14,Hypothèses!$F$14,IF(B96&lt;=Hypothèses!$C$15,Hypothèses!$F$15,IF(B96&lt;=Hypothèses!$C$16,Hypothèses!$F$16,IF(B96&lt;=Hypothèses!$C$17,Hypothèses!$F$17,IF(B96&lt;=Hypothèses!$C$18,Hypothèses!$F$18,F95))))))))))))</f>
        <v/>
      </c>
      <c r="G96" s="91">
        <f t="array" ref="G96">INDEX('Coeff EC7'!$U$7:$X$27,
MATCH(Model0.1T!$B$3,'Coeff EC7'!$T$7:$T$27,0),
MATCH(Model0.1T!$D96&amp;Model0.1T!$B$4,
'Coeff EC7'!$U$6:$X$6&amp;
'Coeff EC7'!$U$5:$X$5,0))</f>
        <v>1.4</v>
      </c>
      <c r="H96" s="91">
        <f t="array" ref="H96">INDEX('Coeff EC7'!$Y$7:$AB$27,
MATCH(Model0.1T!$B$3,'Coeff EC7'!$T$7:$T$27,0),
MATCH(Model0.1T!$D96&amp;Model0.1T!$B$4,
'Coeff EC7'!$Y$6:$AB$6&amp;
'Coeff EC7'!$Y$5:$AB$5,0))</f>
        <v>1.7</v>
      </c>
      <c r="I96" s="83">
        <v>0</v>
      </c>
      <c r="J96" s="91" t="e">
        <f t="array" ref="J96">INDEX('Coeff EC7'!$D$33:$Q$33,1,MATCH(D96&amp;E96,'Coeff EC7'!$D$31:$Q$31&amp;'Coeff EC7'!$D$32:$Q$32,0))</f>
        <v>#N/A</v>
      </c>
      <c r="K96" s="91" t="e">
        <f t="array" ref="K96">INDEX('Coeff EC7'!$D$34:$Q$34,1,MATCH(D96&amp;E96,'Coeff EC7'!$D$31:$Q$31&amp;'Coeff EC7'!$D$32:$Q$32,0))</f>
        <v>#N/A</v>
      </c>
      <c r="L96" s="91" t="e">
        <f t="array" ref="L96">INDEX('Coeff EC7'!$D$35:$Q$35,1,MATCH(D96&amp;E96,'Coeff EC7'!$D$31:$Q$31&amp;'Coeff EC7'!$D$32:$Q$32,0))</f>
        <v>#N/A</v>
      </c>
      <c r="M96" s="98" t="e">
        <f t="shared" si="131"/>
        <v>#N/A</v>
      </c>
      <c r="N96" s="99" t="e">
        <f t="array" ref="N96">INDEX('Coeff EC7'!$D$7:$Q$27,MATCH($B$3,'Coeff EC7'!$C$7:$C$27,0),MATCH(D96&amp;E96,'Coeff EC7'!$D$5:$Q$5&amp;'Coeff EC7'!$D$6:$Q$6,0))</f>
        <v>#N/A</v>
      </c>
      <c r="O96" s="99" t="e">
        <f t="array" ref="O96">INDEX('Coeff EC7'!$D$41:$Q$61,MATCH($B$3,'Coeff EC7'!$C$41:$C$61,0),MATCH(D96&amp;E96,'Coeff EC7'!$D$39:$Q$39&amp;'Coeff EC7'!$D$40:$Q$40,0))</f>
        <v>#N/A</v>
      </c>
      <c r="P96" s="30" t="e">
        <f t="shared" si="166"/>
        <v>#N/A</v>
      </c>
      <c r="Q96" s="100" t="e">
        <f t="shared" si="133"/>
        <v>#N/A</v>
      </c>
      <c r="R96" s="86" t="b">
        <f t="shared" si="134"/>
        <v>0</v>
      </c>
      <c r="S96" s="86">
        <f t="shared" si="132"/>
        <v>0.5</v>
      </c>
      <c r="T96" s="86">
        <f t="shared" si="135"/>
        <v>0.5</v>
      </c>
      <c r="U96" s="30" t="e">
        <f t="shared" ca="1" si="167"/>
        <v>#DIV/0!</v>
      </c>
      <c r="V96" s="85" t="str">
        <f>IF(B96&lt;=Hypothèses!$V$7,Hypothèses!$W$7,IF(B96&lt;=Hypothèses!$V$8,Hypothèses!$W$8,IF(B96&lt;=Hypothèses!$V$9,Hypothèses!$W$9,IF(B96&lt;=Hypothèses!$V$10,Hypothèses!$W$10,IF(B96&lt;=Hypothèses!$V$11,Hypothèses!$W$11,IF(B96&lt;=Hypothèses!$V$12,Hypothèses!$W$12,IF(B96&lt;=Hypothèses!$V$13,Hypothèses!$W$13,IF(B96&lt;=Hypothèses!$V$14,Hypothèses!$W$14,IF(B96&lt;=Hypothèses!$V$15,Hypothèses!$W$15,IF(B96&lt;=Hypothèses!$V$16,Hypothèses!$W$16,IF(B96&lt;=Hypothèses!$V$17,Hypothèses!$W$17,IF(B96&lt;=Hypothèses!$V$18,Hypothèses!$W$18,""))))))))))))</f>
        <v/>
      </c>
      <c r="W96" s="87" t="e">
        <f t="shared" ca="1" si="216"/>
        <v>#DIV/0!</v>
      </c>
      <c r="X96" s="88" t="str">
        <f>IF(B96&lt;=Hypothèses!$V$7,Hypothèses!$X$7,IF(B96&lt;=Hypothèses!$V$8,Hypothèses!$X$8,IF(B96&lt;=Hypothèses!$V$9,Hypothèses!$X$9,IF(B96&lt;=Hypothèses!$V$10,Hypothèses!$X$10,IF(B96&lt;=Hypothèses!$V$11,Hypothèses!$X$11,IF(B96&lt;=Hypothèses!$V$12,Hypothèses!$X$12,IF(B96&lt;=Hypothèses!$V$13,Hypothèses!$X$13,IF(B96&lt;=Hypothèses!$V$14,Hypothèses!$X$14,IF(B96&lt;=Hypothèses!$V$15,Hypothèses!$X$15,IF(B96&lt;=Hypothèses!$V$16,Hypothèses!$X$16,IF(B96&lt;=Hypothèses!$U$17,Hypothèses!$W$17,IF(B96&lt;=Hypothèses!$U$18,Hypothèses!$W$18,""))))))))))))</f>
        <v/>
      </c>
      <c r="Y96" s="95" t="e">
        <f t="shared" ca="1" si="136"/>
        <v>#DIV/0!</v>
      </c>
      <c r="Z96" s="101">
        <f t="shared" si="137"/>
        <v>0</v>
      </c>
      <c r="AA96" s="91">
        <f t="shared" si="138"/>
        <v>0</v>
      </c>
      <c r="AB96" s="30" t="e">
        <f t="shared" si="200"/>
        <v>#N/A</v>
      </c>
      <c r="AC96" s="30" t="e">
        <f t="shared" si="201"/>
        <v>#N/A</v>
      </c>
      <c r="AD96" s="31" t="e">
        <f>IF(OR(Hypothèses!$B$4=17,Hypothèses!$B$4=18,Hypothèses!$B$4=19,Hypothèses!$B$4=20),
IF($D96="Pressio.",
IF(OR($E96=3,$E96=1,$E96=4),AC96,AB96),
IF($D96="Pénétro.",
IF(OR($E96=3,$E96=1,$E96=4),AC96,AB96))),IF($D96="Pressio.",
IF($E96=3,AC96,AB96),
IF($D96="Pénétro.",
IF($E96=4,AC96,AB96))))</f>
        <v>#N/A</v>
      </c>
      <c r="AE96" s="31">
        <v>0</v>
      </c>
      <c r="AF96" s="102" t="e">
        <f>IF(NDC!$H$10="Oui",(VLOOKUP($B$3,'Coeff EC7'!$T$39:$X$59,2,0)*AD96+VLOOKUP($B$3,'Coeff EC7'!$T$65:$X$85,2,0)*Model0.1T!AE96)/1.5,PI()*AB$12*$Q96*($B96-$B95)*0.15/10+AF95)</f>
        <v>#N/A</v>
      </c>
      <c r="AG96" s="102" t="e">
        <f>(VLOOKUP($B$3,'Coeff EC7'!$T$39:$X$59,3,0)*AD96+VLOOKUP($B$3,'Coeff EC7'!$T$65:$X$85,3,0)*Model0.1T!AE96)/1.1</f>
        <v>#N/A</v>
      </c>
      <c r="AH96" s="102" t="e">
        <f t="shared" si="168"/>
        <v>#N/A</v>
      </c>
      <c r="AI96" s="102" t="e">
        <f t="shared" si="169"/>
        <v>#N/A</v>
      </c>
      <c r="AJ96" s="414" t="e">
        <f>IF(AND(AF96&gt;NDC!$C$63,AG96&gt;NDC!$C$65,AH96&gt;NDC!$D$73,AI96&gt;NDC!$D$74,$B96&gt;NDC!$H$22-0.1+MIN(3*$AJ$12,1.5)),0,1)</f>
        <v>#N/A</v>
      </c>
      <c r="AK96" s="86" t="b">
        <f t="shared" si="139"/>
        <v>0</v>
      </c>
      <c r="AL96" s="86">
        <f t="shared" si="170"/>
        <v>0.5</v>
      </c>
      <c r="AM96" s="86">
        <f t="shared" si="140"/>
        <v>0.5</v>
      </c>
      <c r="AN96" s="30" t="e">
        <f t="shared" ca="1" si="171"/>
        <v>#DIV/0!</v>
      </c>
      <c r="AO96" s="85" t="e">
        <f ca="1">IF(U96&lt;=Hypothèses!$V$7,Hypothèses!$W$7,IF(U96&lt;=Hypothèses!$V$8,Hypothèses!$W$8,IF(U96&lt;=Hypothèses!$V$9,Hypothèses!$W$9,IF(U96&lt;=Hypothèses!$V$10,Hypothèses!$W$10,IF(U96&lt;=Hypothèses!$V$11,Hypothèses!$W$11,IF(U96&lt;=Hypothèses!$V$12,Hypothèses!$W$12,IF(U96&lt;=Hypothèses!$V$13,Hypothèses!$W$13,IF(U96&lt;=Hypothèses!$V$14,Hypothèses!$W$14,IF(U96&lt;=Hypothèses!$V$15,Hypothèses!$W$15,IF(U96&lt;=Hypothèses!$V$16,Hypothèses!$W$16,IF(U96&lt;=Hypothèses!$V$17,Hypothèses!$W$17,IF(U96&lt;=Hypothèses!$V$18,Hypothèses!$W$18,""))))))))))))</f>
        <v>#DIV/0!</v>
      </c>
      <c r="AP96" s="87" t="e">
        <f t="shared" ca="1" si="217"/>
        <v>#DIV/0!</v>
      </c>
      <c r="AQ96" s="88" t="e">
        <f ca="1">IF(U96&lt;=Hypothèses!$V$7,Hypothèses!$X$7,IF(U96&lt;=Hypothèses!$V$8,Hypothèses!$X$8,IF(U96&lt;=Hypothèses!$V$9,Hypothèses!$X$9,IF(U96&lt;=Hypothèses!$V$10,Hypothèses!$X$10,IF(U96&lt;=Hypothèses!$V$11,Hypothèses!$X$11,IF(U96&lt;=Hypothèses!$V$12,Hypothèses!$X$12,IF(U96&lt;=Hypothèses!$V$13,Hypothèses!$X$13,IF(U96&lt;=Hypothèses!$V$14,Hypothèses!$X$14,IF(U96&lt;=Hypothèses!$V$15,Hypothèses!$X$15,IF(U96&lt;=Hypothèses!$V$16,Hypothèses!$X$16,IF(U96&lt;=Hypothèses!$U$17,Hypothèses!$W$17,IF(U96&lt;=Hypothèses!$U$18,Hypothèses!$W$18,""))))))))))))</f>
        <v>#DIV/0!</v>
      </c>
      <c r="AR96" s="95" t="e">
        <f t="shared" ca="1" si="172"/>
        <v>#DIV/0!</v>
      </c>
      <c r="AS96" s="101">
        <f t="shared" si="224"/>
        <v>0</v>
      </c>
      <c r="AT96" s="91">
        <f t="shared" si="141"/>
        <v>0</v>
      </c>
      <c r="AU96" s="30" t="e">
        <f t="shared" si="202"/>
        <v>#N/A</v>
      </c>
      <c r="AV96" s="30" t="e">
        <f t="shared" si="203"/>
        <v>#N/A</v>
      </c>
      <c r="AW96" s="31" t="e">
        <f>IF(OR(Hypothèses!$B$4=17,Hypothèses!$B$4=18,Hypothèses!$B$4=19,Hypothèses!$B$4=20),
IF($D96="Pressio.",
IF(OR($E96=3,$E96=1,$E96=4),AV96,AU96),
IF($D96="Pénétro.",
IF(OR($E96=3,$E96=1,$E96=4),AV96,AU96))),IF($D96="Pressio.",
IF($E96=3,AV96,AU96),
IF($D96="Pénétro.",
IF($E96=4,AV96,AU96))))</f>
        <v>#N/A</v>
      </c>
      <c r="AX96" s="31">
        <v>0</v>
      </c>
      <c r="AY96" s="102" t="e">
        <f>IF(NDC!$H$10="Oui",(VLOOKUP($B$3,'Coeff EC7'!$T$39:$X$59,2,0)*AW96+VLOOKUP($B$3,'Coeff EC7'!$T$65:$X$85,2,0)*Model0.1T!AX96)/1.5,PI()*AU$12*$Q96*($B96-$B95)*0.15/10+AY95)</f>
        <v>#N/A</v>
      </c>
      <c r="AZ96" s="102" t="e">
        <f>(VLOOKUP($B$3,'Coeff EC7'!$T$39:$X$59,3,0)*AW96+VLOOKUP($B$3,'Coeff EC7'!$T$65:$X$85,3,0)*Model0.1T!AX96)/1.1</f>
        <v>#N/A</v>
      </c>
      <c r="BA96" s="102" t="e">
        <f t="shared" si="173"/>
        <v>#N/A</v>
      </c>
      <c r="BB96" s="102" t="e">
        <f t="shared" si="174"/>
        <v>#N/A</v>
      </c>
      <c r="BC96" s="414" t="e">
        <f>IF(AND(AY96&gt;NDC!$C$63,AZ96&gt;NDC!$C$65,BA96&gt;NDC!$D$73,BB96&gt;NDC!$D$74,$B96&gt;NDC!$H$22-0.1+MIN(3*BC$12,1.5)),0,1)</f>
        <v>#N/A</v>
      </c>
      <c r="BD96" s="86" t="b">
        <f t="shared" si="142"/>
        <v>0</v>
      </c>
      <c r="BE96" s="86">
        <f t="shared" si="175"/>
        <v>0.5</v>
      </c>
      <c r="BF96" s="86">
        <f t="shared" si="143"/>
        <v>0.5</v>
      </c>
      <c r="BG96" s="30" t="e">
        <f t="shared" ca="1" si="176"/>
        <v>#DIV/0!</v>
      </c>
      <c r="BH96" s="85" t="e">
        <f ca="1">IF(AN96&lt;=Hypothèses!$V$7,Hypothèses!$W$7,IF(AN96&lt;=Hypothèses!$V$8,Hypothèses!$W$8,IF(AN96&lt;=Hypothèses!$V$9,Hypothèses!$W$9,IF(AN96&lt;=Hypothèses!$V$10,Hypothèses!$W$10,IF(AN96&lt;=Hypothèses!$V$11,Hypothèses!$W$11,IF(AN96&lt;=Hypothèses!$V$12,Hypothèses!$W$12,IF(AN96&lt;=Hypothèses!$V$13,Hypothèses!$W$13,IF(AN96&lt;=Hypothèses!$V$14,Hypothèses!$W$14,IF(AN96&lt;=Hypothèses!$V$15,Hypothèses!$W$15,IF(AN96&lt;=Hypothèses!$V$16,Hypothèses!$W$16,IF(AN96&lt;=Hypothèses!$V$17,Hypothèses!$W$17,IF(AN96&lt;=Hypothèses!$V$18,Hypothèses!$W$18,""))))))))))))</f>
        <v>#DIV/0!</v>
      </c>
      <c r="BI96" s="87" t="e">
        <f t="shared" ca="1" si="218"/>
        <v>#DIV/0!</v>
      </c>
      <c r="BJ96" s="88" t="e">
        <f ca="1">IF(AN96&lt;=Hypothèses!$V$7,Hypothèses!$X$7,IF(AN96&lt;=Hypothèses!$V$8,Hypothèses!$X$8,IF(AN96&lt;=Hypothèses!$V$9,Hypothèses!$X$9,IF(AN96&lt;=Hypothèses!$V$10,Hypothèses!$X$10,IF(AN96&lt;=Hypothèses!$V$11,Hypothèses!$X$11,IF(AN96&lt;=Hypothèses!$V$12,Hypothèses!$X$12,IF(AN96&lt;=Hypothèses!$V$13,Hypothèses!$X$13,IF(AN96&lt;=Hypothèses!$V$14,Hypothèses!$X$14,IF(AN96&lt;=Hypothèses!$V$15,Hypothèses!$X$15,IF(AN96&lt;=Hypothèses!$V$16,Hypothèses!$X$16,IF(AN96&lt;=Hypothèses!$U$17,Hypothèses!$W$17,IF(AN96&lt;=Hypothèses!$U$18,Hypothèses!$W$18,""))))))))))))</f>
        <v>#DIV/0!</v>
      </c>
      <c r="BK96" s="95" t="e">
        <f t="shared" ca="1" si="177"/>
        <v>#DIV/0!</v>
      </c>
      <c r="BL96" s="101">
        <f t="shared" si="225"/>
        <v>0</v>
      </c>
      <c r="BM96" s="91">
        <f t="shared" si="144"/>
        <v>0</v>
      </c>
      <c r="BN96" s="30" t="e">
        <f t="shared" si="204"/>
        <v>#N/A</v>
      </c>
      <c r="BO96" s="30" t="e">
        <f t="shared" si="205"/>
        <v>#N/A</v>
      </c>
      <c r="BP96" s="31" t="e">
        <f>IF(OR(Hypothèses!$B$4=17,Hypothèses!$B$4=18,Hypothèses!$B$4=19,Hypothèses!$B$4=20),
IF($D96="Pressio.",
IF(OR($E96=3,$E96=1,$E96=4),BO96,BN96),
IF($D96="Pénétro.",
IF(OR($E96=3,$E96=1,$E96=4),BO96,BN96))),IF($D96="Pressio.",
IF($E96=3,BO96,BN96),
IF($D96="Pénétro.",
IF($E96=4,BO96,BN96))))</f>
        <v>#N/A</v>
      </c>
      <c r="BQ96" s="31">
        <v>0</v>
      </c>
      <c r="BR96" s="102" t="e">
        <f>IF(NDC!$H$10="Oui",(VLOOKUP($B$3,'Coeff EC7'!$T$39:$X$59,2,0)*BP96+VLOOKUP($B$3,'Coeff EC7'!$T$65:$X$85,2,0)*Model0.1T!BQ96)/1.5,PI()*BN$12*$Q96*($B96-$B95)*0.15/10+BR95)</f>
        <v>#N/A</v>
      </c>
      <c r="BS96" s="102" t="e">
        <f>(VLOOKUP($B$3,'Coeff EC7'!$T$39:$X$59,3,0)*BP96+VLOOKUP($B$3,'Coeff EC7'!$T$65:$X$85,3,0)*Model0.1T!BQ96)/1.1</f>
        <v>#N/A</v>
      </c>
      <c r="BT96" s="102" t="e">
        <f t="shared" si="178"/>
        <v>#N/A</v>
      </c>
      <c r="BU96" s="102" t="e">
        <f t="shared" si="179"/>
        <v>#N/A</v>
      </c>
      <c r="BV96" s="414" t="e">
        <f>IF(AND(BR96&gt;NDC!$C$63,BS96&gt;NDC!$C$65,BT96&gt;NDC!$D$73,BU96&gt;NDC!$D$74,$B96&gt;NDC!$H$22-0.1+MIN(3*BV$12,1.5)),0,1)</f>
        <v>#N/A</v>
      </c>
      <c r="BW96" s="86" t="b">
        <f t="shared" si="145"/>
        <v>0</v>
      </c>
      <c r="BX96" s="86">
        <f t="shared" si="146"/>
        <v>0.5</v>
      </c>
      <c r="BY96" s="86">
        <f t="shared" si="147"/>
        <v>0.5</v>
      </c>
      <c r="BZ96" s="30" t="e">
        <f t="shared" ca="1" si="180"/>
        <v>#DIV/0!</v>
      </c>
      <c r="CA96" s="85" t="e">
        <f ca="1">IF(BG96&lt;=Hypothèses!$V$7,Hypothèses!$W$7,IF(BG96&lt;=Hypothèses!$V$8,Hypothèses!$W$8,IF(BG96&lt;=Hypothèses!$V$9,Hypothèses!$W$9,IF(BG96&lt;=Hypothèses!$V$10,Hypothèses!$W$10,IF(BG96&lt;=Hypothèses!$V$11,Hypothèses!$W$11,IF(BG96&lt;=Hypothèses!$V$12,Hypothèses!$W$12,IF(BG96&lt;=Hypothèses!$V$13,Hypothèses!$W$13,IF(BG96&lt;=Hypothèses!$V$14,Hypothèses!$W$14,IF(BG96&lt;=Hypothèses!$V$15,Hypothèses!$W$15,IF(BG96&lt;=Hypothèses!$V$16,Hypothèses!$W$16,IF(BG96&lt;=Hypothèses!$V$17,Hypothèses!$W$17,IF(BG96&lt;=Hypothèses!$V$18,Hypothèses!$W$18,""))))))))))))</f>
        <v>#DIV/0!</v>
      </c>
      <c r="CB96" s="87" t="e">
        <f t="shared" ca="1" si="219"/>
        <v>#DIV/0!</v>
      </c>
      <c r="CC96" s="88" t="e">
        <f ca="1">IF(BG96&lt;=Hypothèses!$V$7,Hypothèses!$X$7,IF(BG96&lt;=Hypothèses!$V$8,Hypothèses!$X$8,IF(BG96&lt;=Hypothèses!$V$9,Hypothèses!$X$9,IF(BG96&lt;=Hypothèses!$V$10,Hypothèses!$X$10,IF(BG96&lt;=Hypothèses!$V$11,Hypothèses!$X$11,IF(BG96&lt;=Hypothèses!$V$12,Hypothèses!$X$12,IF(BG96&lt;=Hypothèses!$V$13,Hypothèses!$X$13,IF(BG96&lt;=Hypothèses!$V$14,Hypothèses!$X$14,IF(BG96&lt;=Hypothèses!$V$15,Hypothèses!$X$15,IF(BG96&lt;=Hypothèses!$V$16,Hypothèses!$X$16,IF(BG96&lt;=Hypothèses!$U$17,Hypothèses!$W$17,IF(BG96&lt;=Hypothèses!$U$18,Hypothèses!$W$18,""))))))))))))</f>
        <v>#DIV/0!</v>
      </c>
      <c r="CD96" s="95" t="e">
        <f t="shared" ca="1" si="181"/>
        <v>#DIV/0!</v>
      </c>
      <c r="CE96" s="101">
        <f t="shared" si="226"/>
        <v>0</v>
      </c>
      <c r="CF96" s="91">
        <f t="shared" si="148"/>
        <v>0</v>
      </c>
      <c r="CG96" s="30" t="e">
        <f t="shared" si="206"/>
        <v>#N/A</v>
      </c>
      <c r="CH96" s="30" t="e">
        <f t="shared" si="207"/>
        <v>#N/A</v>
      </c>
      <c r="CI96" s="31" t="e">
        <f>IF(OR(Hypothèses!$B$4=17,Hypothèses!$B$4=18,Hypothèses!$B$4=19,Hypothèses!$B$4=20),
IF($D96="Pressio.",
IF(OR($E96=3,$E96=1,$E96=4),CH96,CG96),
IF($D96="Pénétro.",
IF(OR($E96=3,$E96=1,$E96=4),CH96,CG96))),IF($D96="Pressio.",
IF($E96=3,CH96,CG96),
IF($D96="Pénétro.",
IF($E96=4,CH96,CG96))))</f>
        <v>#N/A</v>
      </c>
      <c r="CJ96" s="31">
        <v>0</v>
      </c>
      <c r="CK96" s="102" t="e">
        <f>IF(NDC!$H$10="Oui",(VLOOKUP($B$3,'Coeff EC7'!$T$39:$X$59,2,0)*CI96+VLOOKUP($B$3,'Coeff EC7'!$T$65:$X$85,2,0)*Model0.1T!CJ96)/1.5,PI()*CG$12*$Q96*($B96-$B95)*0.15/10+CK95)</f>
        <v>#N/A</v>
      </c>
      <c r="CL96" s="102" t="e">
        <f>(VLOOKUP($B$3,'Coeff EC7'!$T$39:$X$59,3,0)*CI96+VLOOKUP($B$3,'Coeff EC7'!$T$65:$X$85,3,0)*Model0.1T!CJ96)/1.1</f>
        <v>#N/A</v>
      </c>
      <c r="CM96" s="102" t="e">
        <f t="shared" si="182"/>
        <v>#N/A</v>
      </c>
      <c r="CN96" s="102" t="e">
        <f t="shared" si="183"/>
        <v>#N/A</v>
      </c>
      <c r="CO96" s="414" t="e">
        <f>IF(AND(CK96&gt;NDC!$C$63,CL96&gt;NDC!$C$65,CM96&gt;NDC!$D$73,CN96&gt;NDC!$D$74,$B96&gt;NDC!$H$22-0.1+MIN(3*CO$12,1.5)),0,1)</f>
        <v>#N/A</v>
      </c>
      <c r="CP96" s="86" t="b">
        <f t="shared" si="149"/>
        <v>0</v>
      </c>
      <c r="CQ96" s="86">
        <f t="shared" si="150"/>
        <v>0.5</v>
      </c>
      <c r="CR96" s="86">
        <f t="shared" si="151"/>
        <v>0.5</v>
      </c>
      <c r="CS96" s="30" t="e">
        <f t="shared" ca="1" si="184"/>
        <v>#DIV/0!</v>
      </c>
      <c r="CT96" s="85" t="e">
        <f ca="1">IF(BZ96&lt;=Hypothèses!$V$7,Hypothèses!$W$7,IF(BZ96&lt;=Hypothèses!$V$8,Hypothèses!$W$8,IF(BZ96&lt;=Hypothèses!$V$9,Hypothèses!$W$9,IF(BZ96&lt;=Hypothèses!$V$10,Hypothèses!$W$10,IF(BZ96&lt;=Hypothèses!$V$11,Hypothèses!$W$11,IF(BZ96&lt;=Hypothèses!$V$12,Hypothèses!$W$12,IF(BZ96&lt;=Hypothèses!$V$13,Hypothèses!$W$13,IF(BZ96&lt;=Hypothèses!$V$14,Hypothèses!$W$14,IF(BZ96&lt;=Hypothèses!$V$15,Hypothèses!$W$15,IF(BZ96&lt;=Hypothèses!$V$16,Hypothèses!$W$16,IF(BZ96&lt;=Hypothèses!$V$17,Hypothèses!$W$17,IF(BZ96&lt;=Hypothèses!$V$18,Hypothèses!$W$18,""))))))))))))</f>
        <v>#DIV/0!</v>
      </c>
      <c r="CU96" s="87" t="e">
        <f t="shared" ca="1" si="220"/>
        <v>#DIV/0!</v>
      </c>
      <c r="CV96" s="88" t="e">
        <f ca="1">IF(BZ96&lt;=Hypothèses!$V$7,Hypothèses!$X$7,IF(BZ96&lt;=Hypothèses!$V$8,Hypothèses!$X$8,IF(BZ96&lt;=Hypothèses!$V$9,Hypothèses!$X$9,IF(BZ96&lt;=Hypothèses!$V$10,Hypothèses!$X$10,IF(BZ96&lt;=Hypothèses!$V$11,Hypothèses!$X$11,IF(BZ96&lt;=Hypothèses!$V$12,Hypothèses!$X$12,IF(BZ96&lt;=Hypothèses!$V$13,Hypothèses!$X$13,IF(BZ96&lt;=Hypothèses!$V$14,Hypothèses!$X$14,IF(BZ96&lt;=Hypothèses!$V$15,Hypothèses!$X$15,IF(BZ96&lt;=Hypothèses!$V$16,Hypothèses!$X$16,IF(BZ96&lt;=Hypothèses!$U$17,Hypothèses!$W$17,IF(BZ96&lt;=Hypothèses!$U$18,Hypothèses!$W$18,""))))))))))))</f>
        <v>#DIV/0!</v>
      </c>
      <c r="CW96" s="95" t="e">
        <f t="shared" ca="1" si="185"/>
        <v>#DIV/0!</v>
      </c>
      <c r="CX96" s="101">
        <f t="shared" si="227"/>
        <v>0</v>
      </c>
      <c r="CY96" s="91">
        <f t="shared" si="152"/>
        <v>0</v>
      </c>
      <c r="CZ96" s="30" t="e">
        <f t="shared" si="208"/>
        <v>#N/A</v>
      </c>
      <c r="DA96" s="30" t="e">
        <f t="shared" si="209"/>
        <v>#N/A</v>
      </c>
      <c r="DB96" s="31" t="e">
        <f>IF(OR(Hypothèses!$B$4=17,Hypothèses!$B$4=18,Hypothèses!$B$4=19,Hypothèses!$B$4=20),
IF($D96="Pressio.",
IF(OR($E96=3,$E96=1,$E96=4),DA96,CZ96),
IF($D96="Pénétro.",
IF(OR($E96=3,$E96=1,$E96=4),DA96,CZ96))),IF($D96="Pressio.",
IF($E96=3,DA96,CZ96),
IF($D96="Pénétro.",
IF($E96=4,DA96,CZ96))))</f>
        <v>#N/A</v>
      </c>
      <c r="DC96" s="31">
        <v>0</v>
      </c>
      <c r="DD96" s="102" t="e">
        <f>IF(NDC!$H$10="Oui",(VLOOKUP($B$3,'Coeff EC7'!$T$39:$X$59,2,0)*DB96+VLOOKUP($B$3,'Coeff EC7'!$T$65:$X$85,2,0)*Model0.1T!DC96)/1.5,PI()*CZ$12*$Q96*($B96-$B95)*0.15/10+DD95)</f>
        <v>#N/A</v>
      </c>
      <c r="DE96" s="102" t="e">
        <f>(VLOOKUP($B$3,'Coeff EC7'!$T$39:$X$59,3,0)*DB96+VLOOKUP($B$3,'Coeff EC7'!$T$65:$X$85,3,0)*Model0.1T!DC96)/1.1</f>
        <v>#N/A</v>
      </c>
      <c r="DF96" s="102" t="e">
        <f t="shared" si="186"/>
        <v>#N/A</v>
      </c>
      <c r="DG96" s="102" t="e">
        <f t="shared" si="187"/>
        <v>#N/A</v>
      </c>
      <c r="DH96" s="414" t="e">
        <f>IF(AND(DD96&gt;NDC!$C$63,DE96&gt;NDC!$C$65,DF96&gt;NDC!$D$73,DG96&gt;NDC!$D$74,$B96&gt;NDC!$H$22-0.1+MIN(3*DH$12,1.5)),0,1)</f>
        <v>#N/A</v>
      </c>
      <c r="DI96" s="86" t="b">
        <f t="shared" si="153"/>
        <v>0</v>
      </c>
      <c r="DJ96" s="86">
        <f t="shared" si="154"/>
        <v>0.5</v>
      </c>
      <c r="DK96" s="86">
        <f t="shared" si="155"/>
        <v>0.5</v>
      </c>
      <c r="DL96" s="30" t="e">
        <f t="shared" ca="1" si="188"/>
        <v>#DIV/0!</v>
      </c>
      <c r="DM96" s="85" t="e">
        <f ca="1">IF(CS96&lt;=Hypothèses!$V$7,Hypothèses!$W$7,IF(CS96&lt;=Hypothèses!$V$8,Hypothèses!$W$8,IF(CS96&lt;=Hypothèses!$V$9,Hypothèses!$W$9,IF(CS96&lt;=Hypothèses!$V$10,Hypothèses!$W$10,IF(CS96&lt;=Hypothèses!$V$11,Hypothèses!$W$11,IF(CS96&lt;=Hypothèses!$V$12,Hypothèses!$W$12,IF(CS96&lt;=Hypothèses!$V$13,Hypothèses!$W$13,IF(CS96&lt;=Hypothèses!$V$14,Hypothèses!$W$14,IF(CS96&lt;=Hypothèses!$V$15,Hypothèses!$W$15,IF(CS96&lt;=Hypothèses!$V$16,Hypothèses!$W$16,IF(CS96&lt;=Hypothèses!$V$17,Hypothèses!$W$17,IF(CS96&lt;=Hypothèses!$V$18,Hypothèses!$W$18,""))))))))))))</f>
        <v>#DIV/0!</v>
      </c>
      <c r="DN96" s="87" t="e">
        <f t="shared" ca="1" si="221"/>
        <v>#DIV/0!</v>
      </c>
      <c r="DO96" s="88" t="e">
        <f ca="1">IF(CS96&lt;=Hypothèses!$V$7,Hypothèses!$X$7,IF(CS96&lt;=Hypothèses!$V$8,Hypothèses!$X$8,IF(CS96&lt;=Hypothèses!$V$9,Hypothèses!$X$9,IF(CS96&lt;=Hypothèses!$V$10,Hypothèses!$X$10,IF(CS96&lt;=Hypothèses!$V$11,Hypothèses!$X$11,IF(CS96&lt;=Hypothèses!$V$12,Hypothèses!$X$12,IF(CS96&lt;=Hypothèses!$V$13,Hypothèses!$X$13,IF(CS96&lt;=Hypothèses!$V$14,Hypothèses!$X$14,IF(CS96&lt;=Hypothèses!$V$15,Hypothèses!$X$15,IF(CS96&lt;=Hypothèses!$V$16,Hypothèses!$X$16,IF(CS96&lt;=Hypothèses!$U$17,Hypothèses!$W$17,IF(CS96&lt;=Hypothèses!$U$18,Hypothèses!$W$18,""))))))))))))</f>
        <v>#DIV/0!</v>
      </c>
      <c r="DP96" s="95" t="e">
        <f t="shared" ca="1" si="189"/>
        <v>#DIV/0!</v>
      </c>
      <c r="DQ96" s="101">
        <f t="shared" si="228"/>
        <v>0</v>
      </c>
      <c r="DR96" s="91">
        <f t="shared" si="156"/>
        <v>0</v>
      </c>
      <c r="DS96" s="30" t="e">
        <f t="shared" si="210"/>
        <v>#N/A</v>
      </c>
      <c r="DT96" s="30" t="e">
        <f t="shared" si="211"/>
        <v>#N/A</v>
      </c>
      <c r="DU96" s="31" t="e">
        <f>IF(OR(Hypothèses!$B$4=17,Hypothèses!$B$4=18,Hypothèses!$B$4=19,Hypothèses!$B$4=20),
IF($D96="Pressio.",
IF(OR($E96=3,$E96=1,$E96=4),DT96,DS96),
IF($D96="Pénétro.",
IF(OR($E96=3,$E96=1,$E96=4),DT96,DS96))),IF($D96="Pressio.",
IF($E96=3,DT96,DS96),
IF($D96="Pénétro.",
IF($E96=4,DT96,DS96))))</f>
        <v>#N/A</v>
      </c>
      <c r="DV96" s="31">
        <v>0</v>
      </c>
      <c r="DW96" s="102" t="e">
        <f>IF(NDC!$H$10="Oui",(VLOOKUP($B$3,'Coeff EC7'!$T$39:$X$59,2,0)*DU96+VLOOKUP($B$3,'Coeff EC7'!$T$65:$X$85,2,0)*Model0.1T!DV96)/1.5,PI()*DS$12*$Q96*($B96-$B95)*0.15/10+DW95)</f>
        <v>#N/A</v>
      </c>
      <c r="DX96" s="102" t="e">
        <f>(VLOOKUP($B$3,'Coeff EC7'!$T$39:$X$59,3,0)*DU96+VLOOKUP($B$3,'Coeff EC7'!$T$65:$X$85,3,0)*Model0.1T!DV96)/1.1</f>
        <v>#N/A</v>
      </c>
      <c r="DY96" s="102" t="e">
        <f t="shared" si="190"/>
        <v>#N/A</v>
      </c>
      <c r="DZ96" s="102" t="e">
        <f t="shared" si="191"/>
        <v>#N/A</v>
      </c>
      <c r="EA96" s="414" t="e">
        <f>IF(AND(DW96&gt;NDC!$C$63,DX96&gt;NDC!$C$65,DY96&gt;NDC!$D$73,DZ96&gt;NDC!$D$74,$B96&gt;NDC!$H$22-0.1+MIN(3*EA$12,1.5)),0,1)</f>
        <v>#N/A</v>
      </c>
      <c r="EB96" s="86" t="b">
        <f t="shared" si="157"/>
        <v>0</v>
      </c>
      <c r="EC96" s="418">
        <f t="shared" si="158"/>
        <v>0.51</v>
      </c>
      <c r="ED96" s="86">
        <f t="shared" si="159"/>
        <v>0.51</v>
      </c>
      <c r="EE96" s="30" t="e">
        <f t="shared" ca="1" si="192"/>
        <v>#DIV/0!</v>
      </c>
      <c r="EF96" s="85" t="e">
        <f ca="1">IF(DL96&lt;=Hypothèses!$V$7,Hypothèses!$W$7,IF(DL96&lt;=Hypothèses!$V$8,Hypothèses!$W$8,IF(DL96&lt;=Hypothèses!$V$9,Hypothèses!$W$9,IF(DL96&lt;=Hypothèses!$V$10,Hypothèses!$W$10,IF(DL96&lt;=Hypothèses!$V$11,Hypothèses!$W$11,IF(DL96&lt;=Hypothèses!$V$12,Hypothèses!$W$12,IF(DL96&lt;=Hypothèses!$V$13,Hypothèses!$W$13,IF(DL96&lt;=Hypothèses!$V$14,Hypothèses!$W$14,IF(DL96&lt;=Hypothèses!$V$15,Hypothèses!$W$15,IF(DL96&lt;=Hypothèses!$V$16,Hypothèses!$W$16,IF(DL96&lt;=Hypothèses!$V$17,Hypothèses!$W$17,IF(DL96&lt;=Hypothèses!$V$18,Hypothèses!$W$18,""))))))))))))</f>
        <v>#DIV/0!</v>
      </c>
      <c r="EG96" s="87" t="e">
        <f t="shared" ca="1" si="222"/>
        <v>#DIV/0!</v>
      </c>
      <c r="EH96" s="88" t="e">
        <f ca="1">IF(DL96&lt;=Hypothèses!$V$7,Hypothèses!$X$7,IF(DL96&lt;=Hypothèses!$V$8,Hypothèses!$X$8,IF(DL96&lt;=Hypothèses!$V$9,Hypothèses!$X$9,IF(DL96&lt;=Hypothèses!$V$10,Hypothèses!$X$10,IF(DL96&lt;=Hypothèses!$V$11,Hypothèses!$X$11,IF(DL96&lt;=Hypothèses!$V$12,Hypothèses!$X$12,IF(DL96&lt;=Hypothèses!$V$13,Hypothèses!$X$13,IF(DL96&lt;=Hypothèses!$V$14,Hypothèses!$X$14,IF(DL96&lt;=Hypothèses!$V$15,Hypothèses!$X$15,IF(DL96&lt;=Hypothèses!$V$16,Hypothèses!$X$16,IF(DL96&lt;=Hypothèses!$U$17,Hypothèses!$W$17,IF(DL96&lt;=Hypothèses!$U$18,Hypothèses!$W$18,""))))))))))))</f>
        <v>#DIV/0!</v>
      </c>
      <c r="EI96" s="95" t="e">
        <f t="shared" ca="1" si="193"/>
        <v>#DIV/0!</v>
      </c>
      <c r="EJ96" s="101">
        <f t="shared" si="229"/>
        <v>0</v>
      </c>
      <c r="EK96" s="91">
        <f t="shared" si="160"/>
        <v>0</v>
      </c>
      <c r="EL96" s="30" t="e">
        <f t="shared" si="212"/>
        <v>#N/A</v>
      </c>
      <c r="EM96" s="30" t="e">
        <f t="shared" si="213"/>
        <v>#N/A</v>
      </c>
      <c r="EN96" s="31" t="e">
        <f>IF(OR(Hypothèses!$B$4=17,Hypothèses!$B$4=18,Hypothèses!$B$4=19,Hypothèses!$B$4=20),
IF($D96="Pressio.",
IF(OR($E96=3,$E96=1,$E96=4),EM96,EL96),
IF($D96="Pénétro.",
IF(OR($E96=3,$E96=1,$E96=4),EM96,EL96))),IF($D96="Pressio.",
IF($E96=3,EM96,EL96),
IF($D96="Pénétro.",
IF($E96=4,EM96,EL96))))</f>
        <v>#N/A</v>
      </c>
      <c r="EO96" s="31">
        <v>0</v>
      </c>
      <c r="EP96" s="102" t="e">
        <f>IF(NDC!$H$10="Oui",(VLOOKUP($B$3,'Coeff EC7'!$T$39:$X$59,2,0)*EN96+VLOOKUP($B$3,'Coeff EC7'!$T$65:$X$85,2,0)*Model0.1T!EO96)/1.5,PI()*EL$12*$Q96*($B96-$B95)*0.15/10+EP95)</f>
        <v>#N/A</v>
      </c>
      <c r="EQ96" s="102" t="e">
        <f>(VLOOKUP($B$3,'Coeff EC7'!$T$39:$X$59,3,0)*EN96+VLOOKUP($B$3,'Coeff EC7'!$T$65:$X$85,3,0)*Model0.1T!EO96)/1.1</f>
        <v>#N/A</v>
      </c>
      <c r="ER96" s="102" t="e">
        <f t="shared" si="194"/>
        <v>#N/A</v>
      </c>
      <c r="ES96" s="102" t="e">
        <f t="shared" si="195"/>
        <v>#N/A</v>
      </c>
      <c r="ET96" s="414" t="e">
        <f>IF(AND(EP96&gt;NDC!$C$63,EQ96&gt;NDC!$C$65,ER96&gt;NDC!$D$73,ES96&gt;NDC!$D$74,$B96&gt;NDC!$H$22-0.1+MIN(3*ET$12,1.5)),0,1)</f>
        <v>#N/A</v>
      </c>
      <c r="EU96" s="86" t="b">
        <f t="shared" si="161"/>
        <v>0</v>
      </c>
      <c r="EV96" s="86">
        <f t="shared" si="162"/>
        <v>0.61</v>
      </c>
      <c r="EW96" s="86">
        <f t="shared" si="163"/>
        <v>0.61</v>
      </c>
      <c r="EX96" s="30" t="e">
        <f t="shared" ca="1" si="196"/>
        <v>#DIV/0!</v>
      </c>
      <c r="EY96" s="85" t="e">
        <f ca="1">IF(EE96&lt;=Hypothèses!$V$7,Hypothèses!$W$7,IF(EE96&lt;=Hypothèses!$V$8,Hypothèses!$W$8,IF(EE96&lt;=Hypothèses!$V$9,Hypothèses!$W$9,IF(EE96&lt;=Hypothèses!$V$10,Hypothèses!$W$10,IF(EE96&lt;=Hypothèses!$V$11,Hypothèses!$W$11,IF(EE96&lt;=Hypothèses!$V$12,Hypothèses!$W$12,IF(EE96&lt;=Hypothèses!$V$13,Hypothèses!$W$13,IF(EE96&lt;=Hypothèses!$V$14,Hypothèses!$W$14,IF(EE96&lt;=Hypothèses!$V$15,Hypothèses!$W$15,IF(EE96&lt;=Hypothèses!$V$16,Hypothèses!$W$16,IF(EE96&lt;=Hypothèses!$V$17,Hypothèses!$W$17,IF(EE96&lt;=Hypothèses!$V$18,Hypothèses!$W$18,""))))))))))))</f>
        <v>#DIV/0!</v>
      </c>
      <c r="EZ96" s="87" t="e">
        <f t="shared" ca="1" si="223"/>
        <v>#DIV/0!</v>
      </c>
      <c r="FA96" s="88" t="e">
        <f ca="1">IF(EE96&lt;=Hypothèses!$V$7,Hypothèses!$X$7,IF(EE96&lt;=Hypothèses!$V$8,Hypothèses!$X$8,IF(EE96&lt;=Hypothèses!$V$9,Hypothèses!$X$9,IF(EE96&lt;=Hypothèses!$V$10,Hypothèses!$X$10,IF(EE96&lt;=Hypothèses!$V$11,Hypothèses!$X$11,IF(EE96&lt;=Hypothèses!$V$12,Hypothèses!$X$12,IF(EE96&lt;=Hypothèses!$V$13,Hypothèses!$X$13,IF(EE96&lt;=Hypothèses!$V$14,Hypothèses!$X$14,IF(EE96&lt;=Hypothèses!$V$15,Hypothèses!$X$15,IF(EE96&lt;=Hypothèses!$V$16,Hypothèses!$X$16,IF(EE96&lt;=Hypothèses!$U$17,Hypothèses!$W$17,IF(EE96&lt;=Hypothèses!$U$18,Hypothèses!$W$18,""))))))))))))</f>
        <v>#DIV/0!</v>
      </c>
      <c r="FB96" s="95" t="e">
        <f t="shared" ca="1" si="197"/>
        <v>#DIV/0!</v>
      </c>
      <c r="FC96" s="101">
        <f t="shared" si="230"/>
        <v>0</v>
      </c>
      <c r="FD96" s="91">
        <f t="shared" si="164"/>
        <v>0</v>
      </c>
      <c r="FE96" s="30" t="e">
        <f t="shared" si="214"/>
        <v>#N/A</v>
      </c>
      <c r="FF96" s="30" t="e">
        <f t="shared" si="215"/>
        <v>#N/A</v>
      </c>
      <c r="FG96" s="31" t="e">
        <f>IF(OR(Hypothèses!$B$4=17,Hypothèses!$B$4=18,Hypothèses!$B$4=19,Hypothèses!$B$4=20),
IF($D96="Pressio.",
IF(OR($E96=3,$E96=1,$E96=4),FF96,FE96),
IF($D96="Pénétro.",
IF(OR($E96=3,$E96=1,$E96=4),FF96,FE96))),IF($D96="Pressio.",
IF($E96=3,FF96,FE96),
IF($D96="Pénétro.",
IF($E96=4,FF96,FE96))))</f>
        <v>#N/A</v>
      </c>
      <c r="FH96" s="31">
        <v>0</v>
      </c>
      <c r="FI96" s="102" t="e">
        <f>IF(NDC!$H$10="Oui",(VLOOKUP($B$3,'Coeff EC7'!$T$39:$X$59,2,0)*FG96+VLOOKUP($B$3,'Coeff EC7'!$T$65:$X$85,2,0)*Model0.1T!FH96)/1.5,PI()*FE$12*$Q96*($B96-$B95)*0.15/10+FI95)</f>
        <v>#N/A</v>
      </c>
      <c r="FJ96" s="102" t="e">
        <f>(VLOOKUP($B$3,'Coeff EC7'!$T$39:$X$59,3,0)*FG96+VLOOKUP($B$3,'Coeff EC7'!$T$65:$X$85,3,0)*Model0.1T!FH96)/1.1</f>
        <v>#N/A</v>
      </c>
      <c r="FK96" s="102" t="e">
        <f t="shared" si="198"/>
        <v>#N/A</v>
      </c>
      <c r="FL96" s="102" t="e">
        <f t="shared" si="199"/>
        <v>#N/A</v>
      </c>
      <c r="FM96" s="414" t="e">
        <f>IF(AND(FI96&gt;NDC!$C$63,FJ96&gt;NDC!$C$65,FK96&gt;NDC!$D$73,FL96&gt;NDC!$D$74,$B96&gt;NDC!$H$22-0.1+MIN(3*FM$12,1.5)),0,1)</f>
        <v>#N/A</v>
      </c>
    </row>
    <row r="97" spans="1:169">
      <c r="A97" s="96">
        <f t="shared" si="165"/>
        <v>91.600000000000477</v>
      </c>
      <c r="B97" s="97">
        <v>8.4</v>
      </c>
      <c r="C97" s="81">
        <f>IF(B97&lt;=Hypothèses!$C$7,Hypothèses!$A$7,IF(B97&lt;=Hypothèses!$C$8,Hypothèses!$A$8,IF(B97&lt;=Hypothèses!$C$9,Hypothèses!$A$9,IF(B97&lt;=Hypothèses!$C$10,Hypothèses!$A$10,IF(B97&lt;=Hypothèses!$C$11,Hypothèses!$A$11,IF(B97&lt;=Hypothèses!$C$12,Hypothèses!$A$12,IF(B97&lt;=Hypothèses!$C$13,Hypothèses!$A$13,IF(B97&lt;=Hypothèses!$C$14,Hypothèses!$A$14,IF(B97&lt;=Hypothèses!$C$15,Hypothèses!$A$15,IF(B97&lt;=Hypothèses!$C$16,Hypothèses!$A$16,IF(B97&lt;=Hypothèses!$C$17,Hypothèses!$A$17,IF(B97&lt;=Hypothèses!$C$18,Hypothèses!$A$18,C96))))))))))))</f>
        <v>11</v>
      </c>
      <c r="D97" s="82" t="str">
        <f>IF(B97&lt;=Hypothèses!$C$7,Hypothèses!$R$7,IF(B97&lt;=Hypothèses!$C$8,Hypothèses!$R$8,IF(B97&lt;=Hypothèses!$C$9,Hypothèses!$R$9,IF(B97&lt;=Hypothèses!$C$10,Hypothèses!$R$10,IF(B97&lt;=Hypothèses!$C$11,Hypothèses!$R$11,IF(B97&lt;=Hypothèses!$C$12,Hypothèses!$R$12,IF(B97&lt;=Hypothèses!$C$13,Hypothèses!$R$13,IF(B97&lt;=Hypothèses!$C$14,Hypothèses!$R$14,IF(B97&lt;=Hypothèses!$C$15,Hypothèses!$R$15,IF(B97&lt;=Hypothèses!$C$16,Hypothèses!$R$16,IF(B97&lt;=Hypothèses!$C$17,Hypothèses!$R$17,IF(B97&lt;=Hypothèses!$C$18,Hypothèses!$R$18,D96))))))))))))</f>
        <v>Pressio.</v>
      </c>
      <c r="E97" s="82" t="e">
        <f>IF(B97&lt;=Hypothèses!$C$7,Hypothèses!$G$7,IF(B97&lt;=Hypothèses!$C$8,Hypothèses!$G$8,IF(B97&lt;=Hypothèses!$C$9,Hypothèses!$G$9,IF(B97&lt;=Hypothèses!$C$10,Hypothèses!$G$10,IF(B97&lt;=Hypothèses!$C$11,Hypothèses!$G$11,IF(B97&lt;=Hypothèses!$C$12,Hypothèses!$G$12,IF(B97&lt;=Hypothèses!$C$13,Hypothèses!$G$13,IF(B97&lt;=Hypothèses!$C$14,Hypothèses!$G$14,IF(B97&lt;=Hypothèses!$C$15,Hypothèses!$G$15,IF(B97&lt;=Hypothèses!$C$16,Hypothèses!$G$16,IF(B97&lt;=Hypothèses!$C$17,Hypothèses!$G$17,IF(B97&lt;=Hypothèses!$C$18,Hypothèses!$G$18,E96))))))))))))</f>
        <v>#N/A</v>
      </c>
      <c r="F97" s="82" t="str">
        <f>IF(B97&lt;=Hypothèses!$C$7,Hypothèses!$F$7,IF(B97&lt;=Hypothèses!$C$8,Hypothèses!$F$8,IF(B97&lt;=Hypothèses!$C$9,Hypothèses!$F$9,IF(B97&lt;=Hypothèses!$C$10,Hypothèses!$F$10,IF(B97&lt;=Hypothèses!$C$11,Hypothèses!$F$11,IF(B97&lt;=Hypothèses!$C$12,Hypothèses!$F$12,IF(B97&lt;=Hypothèses!$C$13,Hypothèses!$F$13,IF(B97&lt;=Hypothèses!$C$14,Hypothèses!$F$14,IF(B97&lt;=Hypothèses!$C$15,Hypothèses!$F$15,IF(B97&lt;=Hypothèses!$C$16,Hypothèses!$F$16,IF(B97&lt;=Hypothèses!$C$17,Hypothèses!$F$17,IF(B97&lt;=Hypothèses!$C$18,Hypothèses!$F$18,F96))))))))))))</f>
        <v/>
      </c>
      <c r="G97" s="91">
        <f t="array" ref="G97">INDEX('Coeff EC7'!$U$7:$X$27,
MATCH(Model0.1T!$B$3,'Coeff EC7'!$T$7:$T$27,0),
MATCH(Model0.1T!$D97&amp;Model0.1T!$B$4,
'Coeff EC7'!$U$6:$X$6&amp;
'Coeff EC7'!$U$5:$X$5,0))</f>
        <v>1.4</v>
      </c>
      <c r="H97" s="91">
        <f t="array" ref="H97">INDEX('Coeff EC7'!$Y$7:$AB$27,
MATCH(Model0.1T!$B$3,'Coeff EC7'!$T$7:$T$27,0),
MATCH(Model0.1T!$D97&amp;Model0.1T!$B$4,
'Coeff EC7'!$Y$6:$AB$6&amp;
'Coeff EC7'!$Y$5:$AB$5,0))</f>
        <v>1.7</v>
      </c>
      <c r="I97" s="83">
        <v>0</v>
      </c>
      <c r="J97" s="91" t="e">
        <f t="array" ref="J97">INDEX('Coeff EC7'!$D$33:$Q$33,1,MATCH(D97&amp;E97,'Coeff EC7'!$D$31:$Q$31&amp;'Coeff EC7'!$D$32:$Q$32,0))</f>
        <v>#N/A</v>
      </c>
      <c r="K97" s="91" t="e">
        <f t="array" ref="K97">INDEX('Coeff EC7'!$D$34:$Q$34,1,MATCH(D97&amp;E97,'Coeff EC7'!$D$31:$Q$31&amp;'Coeff EC7'!$D$32:$Q$32,0))</f>
        <v>#N/A</v>
      </c>
      <c r="L97" s="91" t="e">
        <f t="array" ref="L97">INDEX('Coeff EC7'!$D$35:$Q$35,1,MATCH(D97&amp;E97,'Coeff EC7'!$D$31:$Q$31&amp;'Coeff EC7'!$D$32:$Q$32,0))</f>
        <v>#N/A</v>
      </c>
      <c r="M97" s="98" t="e">
        <f t="shared" si="131"/>
        <v>#N/A</v>
      </c>
      <c r="N97" s="99" t="e">
        <f t="array" ref="N97">INDEX('Coeff EC7'!$D$7:$Q$27,MATCH($B$3,'Coeff EC7'!$C$7:$C$27,0),MATCH(D97&amp;E97,'Coeff EC7'!$D$5:$Q$5&amp;'Coeff EC7'!$D$6:$Q$6,0))</f>
        <v>#N/A</v>
      </c>
      <c r="O97" s="99" t="e">
        <f t="array" ref="O97">INDEX('Coeff EC7'!$D$41:$Q$61,MATCH($B$3,'Coeff EC7'!$C$41:$C$61,0),MATCH(D97&amp;E97,'Coeff EC7'!$D$39:$Q$39&amp;'Coeff EC7'!$D$40:$Q$40,0))</f>
        <v>#N/A</v>
      </c>
      <c r="P97" s="30" t="e">
        <f t="shared" si="166"/>
        <v>#N/A</v>
      </c>
      <c r="Q97" s="100" t="e">
        <f t="shared" si="133"/>
        <v>#N/A</v>
      </c>
      <c r="R97" s="86" t="b">
        <f t="shared" si="134"/>
        <v>0</v>
      </c>
      <c r="S97" s="86">
        <f t="shared" si="132"/>
        <v>0.5</v>
      </c>
      <c r="T97" s="86">
        <f t="shared" si="135"/>
        <v>0.5</v>
      </c>
      <c r="U97" s="30" t="e">
        <f t="shared" ca="1" si="167"/>
        <v>#DIV/0!</v>
      </c>
      <c r="V97" s="85" t="str">
        <f>IF(B97&lt;=Hypothèses!$V$7,Hypothèses!$W$7,IF(B97&lt;=Hypothèses!$V$8,Hypothèses!$W$8,IF(B97&lt;=Hypothèses!$V$9,Hypothèses!$W$9,IF(B97&lt;=Hypothèses!$V$10,Hypothèses!$W$10,IF(B97&lt;=Hypothèses!$V$11,Hypothèses!$W$11,IF(B97&lt;=Hypothèses!$V$12,Hypothèses!$W$12,IF(B97&lt;=Hypothèses!$V$13,Hypothèses!$W$13,IF(B97&lt;=Hypothèses!$V$14,Hypothèses!$W$14,IF(B97&lt;=Hypothèses!$V$15,Hypothèses!$W$15,IF(B97&lt;=Hypothèses!$V$16,Hypothèses!$W$16,IF(B97&lt;=Hypothèses!$V$17,Hypothèses!$W$17,IF(B97&lt;=Hypothèses!$V$18,Hypothèses!$W$18,""))))))))))))</f>
        <v/>
      </c>
      <c r="W97" s="87" t="e">
        <f t="shared" ca="1" si="216"/>
        <v>#DIV/0!</v>
      </c>
      <c r="X97" s="88" t="str">
        <f>IF(B97&lt;=Hypothèses!$V$7,Hypothèses!$X$7,IF(B97&lt;=Hypothèses!$V$8,Hypothèses!$X$8,IF(B97&lt;=Hypothèses!$V$9,Hypothèses!$X$9,IF(B97&lt;=Hypothèses!$V$10,Hypothèses!$X$10,IF(B97&lt;=Hypothèses!$V$11,Hypothèses!$X$11,IF(B97&lt;=Hypothèses!$V$12,Hypothèses!$X$12,IF(B97&lt;=Hypothèses!$V$13,Hypothèses!$X$13,IF(B97&lt;=Hypothèses!$V$14,Hypothèses!$X$14,IF(B97&lt;=Hypothèses!$V$15,Hypothèses!$X$15,IF(B97&lt;=Hypothèses!$V$16,Hypothèses!$X$16,IF(B97&lt;=Hypothèses!$U$17,Hypothèses!$W$17,IF(B97&lt;=Hypothèses!$U$18,Hypothèses!$W$18,""))))))))))))</f>
        <v/>
      </c>
      <c r="Y97" s="95" t="e">
        <f t="shared" ca="1" si="136"/>
        <v>#DIV/0!</v>
      </c>
      <c r="Z97" s="101">
        <f t="shared" si="137"/>
        <v>0</v>
      </c>
      <c r="AA97" s="91">
        <f t="shared" si="138"/>
        <v>0</v>
      </c>
      <c r="AB97" s="30" t="e">
        <f t="shared" si="200"/>
        <v>#N/A</v>
      </c>
      <c r="AC97" s="30" t="e">
        <f t="shared" si="201"/>
        <v>#N/A</v>
      </c>
      <c r="AD97" s="31" t="e">
        <f>IF(OR(Hypothèses!$B$4=17,Hypothèses!$B$4=18,Hypothèses!$B$4=19,Hypothèses!$B$4=20),
IF($D97="Pressio.",
IF(OR($E97=3,$E97=1,$E97=4),AC97,AB97),
IF($D97="Pénétro.",
IF(OR($E97=3,$E97=1,$E97=4),AC97,AB97))),IF($D97="Pressio.",
IF($E97=3,AC97,AB97),
IF($D97="Pénétro.",
IF($E97=4,AC97,AB97))))</f>
        <v>#N/A</v>
      </c>
      <c r="AE97" s="31">
        <v>0</v>
      </c>
      <c r="AF97" s="102" t="e">
        <f>IF(NDC!$H$10="Oui",(VLOOKUP($B$3,'Coeff EC7'!$T$39:$X$59,2,0)*AD97+VLOOKUP($B$3,'Coeff EC7'!$T$65:$X$85,2,0)*Model0.1T!AE97)/1.5,PI()*AB$12*$Q97*($B97-$B96)*0.15/10+AF96)</f>
        <v>#N/A</v>
      </c>
      <c r="AG97" s="102" t="e">
        <f>(VLOOKUP($B$3,'Coeff EC7'!$T$39:$X$59,3,0)*AD97+VLOOKUP($B$3,'Coeff EC7'!$T$65:$X$85,3,0)*Model0.1T!AE97)/1.1</f>
        <v>#N/A</v>
      </c>
      <c r="AH97" s="102" t="e">
        <f t="shared" si="168"/>
        <v>#N/A</v>
      </c>
      <c r="AI97" s="102" t="e">
        <f t="shared" si="169"/>
        <v>#N/A</v>
      </c>
      <c r="AJ97" s="414" t="e">
        <f>IF(AND(AF97&gt;NDC!$C$63,AG97&gt;NDC!$C$65,AH97&gt;NDC!$D$73,AI97&gt;NDC!$D$74,$B97&gt;NDC!$H$22-0.1+MIN(3*$AJ$12,1.5)),0,1)</f>
        <v>#N/A</v>
      </c>
      <c r="AK97" s="86" t="b">
        <f t="shared" si="139"/>
        <v>0</v>
      </c>
      <c r="AL97" s="86">
        <f t="shared" si="170"/>
        <v>0.5</v>
      </c>
      <c r="AM97" s="86">
        <f t="shared" si="140"/>
        <v>0.5</v>
      </c>
      <c r="AN97" s="30" t="e">
        <f t="shared" ca="1" si="171"/>
        <v>#DIV/0!</v>
      </c>
      <c r="AO97" s="85" t="e">
        <f ca="1">IF(U97&lt;=Hypothèses!$V$7,Hypothèses!$W$7,IF(U97&lt;=Hypothèses!$V$8,Hypothèses!$W$8,IF(U97&lt;=Hypothèses!$V$9,Hypothèses!$W$9,IF(U97&lt;=Hypothèses!$V$10,Hypothèses!$W$10,IF(U97&lt;=Hypothèses!$V$11,Hypothèses!$W$11,IF(U97&lt;=Hypothèses!$V$12,Hypothèses!$W$12,IF(U97&lt;=Hypothèses!$V$13,Hypothèses!$W$13,IF(U97&lt;=Hypothèses!$V$14,Hypothèses!$W$14,IF(U97&lt;=Hypothèses!$V$15,Hypothèses!$W$15,IF(U97&lt;=Hypothèses!$V$16,Hypothèses!$W$16,IF(U97&lt;=Hypothèses!$V$17,Hypothèses!$W$17,IF(U97&lt;=Hypothèses!$V$18,Hypothèses!$W$18,""))))))))))))</f>
        <v>#DIV/0!</v>
      </c>
      <c r="AP97" s="87" t="e">
        <f t="shared" ca="1" si="217"/>
        <v>#DIV/0!</v>
      </c>
      <c r="AQ97" s="88" t="e">
        <f ca="1">IF(U97&lt;=Hypothèses!$V$7,Hypothèses!$X$7,IF(U97&lt;=Hypothèses!$V$8,Hypothèses!$X$8,IF(U97&lt;=Hypothèses!$V$9,Hypothèses!$X$9,IF(U97&lt;=Hypothèses!$V$10,Hypothèses!$X$10,IF(U97&lt;=Hypothèses!$V$11,Hypothèses!$X$11,IF(U97&lt;=Hypothèses!$V$12,Hypothèses!$X$12,IF(U97&lt;=Hypothèses!$V$13,Hypothèses!$X$13,IF(U97&lt;=Hypothèses!$V$14,Hypothèses!$X$14,IF(U97&lt;=Hypothèses!$V$15,Hypothèses!$X$15,IF(U97&lt;=Hypothèses!$V$16,Hypothèses!$X$16,IF(U97&lt;=Hypothèses!$U$17,Hypothèses!$W$17,IF(U97&lt;=Hypothèses!$U$18,Hypothèses!$W$18,""))))))))))))</f>
        <v>#DIV/0!</v>
      </c>
      <c r="AR97" s="95" t="e">
        <f t="shared" ca="1" si="172"/>
        <v>#DIV/0!</v>
      </c>
      <c r="AS97" s="101">
        <f t="shared" si="224"/>
        <v>0</v>
      </c>
      <c r="AT97" s="91">
        <f t="shared" si="141"/>
        <v>0</v>
      </c>
      <c r="AU97" s="30" t="e">
        <f t="shared" si="202"/>
        <v>#N/A</v>
      </c>
      <c r="AV97" s="30" t="e">
        <f t="shared" si="203"/>
        <v>#N/A</v>
      </c>
      <c r="AW97" s="31" t="e">
        <f>IF(OR(Hypothèses!$B$4=17,Hypothèses!$B$4=18,Hypothèses!$B$4=19,Hypothèses!$B$4=20),
IF($D97="Pressio.",
IF(OR($E97=3,$E97=1,$E97=4),AV97,AU97),
IF($D97="Pénétro.",
IF(OR($E97=3,$E97=1,$E97=4),AV97,AU97))),IF($D97="Pressio.",
IF($E97=3,AV97,AU97),
IF($D97="Pénétro.",
IF($E97=4,AV97,AU97))))</f>
        <v>#N/A</v>
      </c>
      <c r="AX97" s="31">
        <v>0</v>
      </c>
      <c r="AY97" s="102" t="e">
        <f>IF(NDC!$H$10="Oui",(VLOOKUP($B$3,'Coeff EC7'!$T$39:$X$59,2,0)*AW97+VLOOKUP($B$3,'Coeff EC7'!$T$65:$X$85,2,0)*Model0.1T!AX97)/1.5,PI()*AU$12*$Q97*($B97-$B96)*0.15/10+AY96)</f>
        <v>#N/A</v>
      </c>
      <c r="AZ97" s="102" t="e">
        <f>(VLOOKUP($B$3,'Coeff EC7'!$T$39:$X$59,3,0)*AW97+VLOOKUP($B$3,'Coeff EC7'!$T$65:$X$85,3,0)*Model0.1T!AX97)/1.1</f>
        <v>#N/A</v>
      </c>
      <c r="BA97" s="102" t="e">
        <f t="shared" si="173"/>
        <v>#N/A</v>
      </c>
      <c r="BB97" s="102" t="e">
        <f t="shared" si="174"/>
        <v>#N/A</v>
      </c>
      <c r="BC97" s="414" t="e">
        <f>IF(AND(AY97&gt;NDC!$C$63,AZ97&gt;NDC!$C$65,BA97&gt;NDC!$D$73,BB97&gt;NDC!$D$74,$B97&gt;NDC!$H$22-0.1+MIN(3*BC$12,1.5)),0,1)</f>
        <v>#N/A</v>
      </c>
      <c r="BD97" s="86" t="b">
        <f t="shared" si="142"/>
        <v>0</v>
      </c>
      <c r="BE97" s="86">
        <f t="shared" si="175"/>
        <v>0.5</v>
      </c>
      <c r="BF97" s="86">
        <f t="shared" si="143"/>
        <v>0.5</v>
      </c>
      <c r="BG97" s="30" t="e">
        <f t="shared" ca="1" si="176"/>
        <v>#DIV/0!</v>
      </c>
      <c r="BH97" s="85" t="e">
        <f ca="1">IF(AN97&lt;=Hypothèses!$V$7,Hypothèses!$W$7,IF(AN97&lt;=Hypothèses!$V$8,Hypothèses!$W$8,IF(AN97&lt;=Hypothèses!$V$9,Hypothèses!$W$9,IF(AN97&lt;=Hypothèses!$V$10,Hypothèses!$W$10,IF(AN97&lt;=Hypothèses!$V$11,Hypothèses!$W$11,IF(AN97&lt;=Hypothèses!$V$12,Hypothèses!$W$12,IF(AN97&lt;=Hypothèses!$V$13,Hypothèses!$W$13,IF(AN97&lt;=Hypothèses!$V$14,Hypothèses!$W$14,IF(AN97&lt;=Hypothèses!$V$15,Hypothèses!$W$15,IF(AN97&lt;=Hypothèses!$V$16,Hypothèses!$W$16,IF(AN97&lt;=Hypothèses!$V$17,Hypothèses!$W$17,IF(AN97&lt;=Hypothèses!$V$18,Hypothèses!$W$18,""))))))))))))</f>
        <v>#DIV/0!</v>
      </c>
      <c r="BI97" s="87" t="e">
        <f t="shared" ca="1" si="218"/>
        <v>#DIV/0!</v>
      </c>
      <c r="BJ97" s="88" t="e">
        <f ca="1">IF(AN97&lt;=Hypothèses!$V$7,Hypothèses!$X$7,IF(AN97&lt;=Hypothèses!$V$8,Hypothèses!$X$8,IF(AN97&lt;=Hypothèses!$V$9,Hypothèses!$X$9,IF(AN97&lt;=Hypothèses!$V$10,Hypothèses!$X$10,IF(AN97&lt;=Hypothèses!$V$11,Hypothèses!$X$11,IF(AN97&lt;=Hypothèses!$V$12,Hypothèses!$X$12,IF(AN97&lt;=Hypothèses!$V$13,Hypothèses!$X$13,IF(AN97&lt;=Hypothèses!$V$14,Hypothèses!$X$14,IF(AN97&lt;=Hypothèses!$V$15,Hypothèses!$X$15,IF(AN97&lt;=Hypothèses!$V$16,Hypothèses!$X$16,IF(AN97&lt;=Hypothèses!$U$17,Hypothèses!$W$17,IF(AN97&lt;=Hypothèses!$U$18,Hypothèses!$W$18,""))))))))))))</f>
        <v>#DIV/0!</v>
      </c>
      <c r="BK97" s="95" t="e">
        <f t="shared" ca="1" si="177"/>
        <v>#DIV/0!</v>
      </c>
      <c r="BL97" s="101">
        <f t="shared" si="225"/>
        <v>0</v>
      </c>
      <c r="BM97" s="91">
        <f t="shared" si="144"/>
        <v>0</v>
      </c>
      <c r="BN97" s="30" t="e">
        <f t="shared" si="204"/>
        <v>#N/A</v>
      </c>
      <c r="BO97" s="30" t="e">
        <f t="shared" si="205"/>
        <v>#N/A</v>
      </c>
      <c r="BP97" s="31" t="e">
        <f>IF(OR(Hypothèses!$B$4=17,Hypothèses!$B$4=18,Hypothèses!$B$4=19,Hypothèses!$B$4=20),
IF($D97="Pressio.",
IF(OR($E97=3,$E97=1,$E97=4),BO97,BN97),
IF($D97="Pénétro.",
IF(OR($E97=3,$E97=1,$E97=4),BO97,BN97))),IF($D97="Pressio.",
IF($E97=3,BO97,BN97),
IF($D97="Pénétro.",
IF($E97=4,BO97,BN97))))</f>
        <v>#N/A</v>
      </c>
      <c r="BQ97" s="31">
        <v>0</v>
      </c>
      <c r="BR97" s="102" t="e">
        <f>IF(NDC!$H$10="Oui",(VLOOKUP($B$3,'Coeff EC7'!$T$39:$X$59,2,0)*BP97+VLOOKUP($B$3,'Coeff EC7'!$T$65:$X$85,2,0)*Model0.1T!BQ97)/1.5,PI()*BN$12*$Q97*($B97-$B96)*0.15/10+BR96)</f>
        <v>#N/A</v>
      </c>
      <c r="BS97" s="102" t="e">
        <f>(VLOOKUP($B$3,'Coeff EC7'!$T$39:$X$59,3,0)*BP97+VLOOKUP($B$3,'Coeff EC7'!$T$65:$X$85,3,0)*Model0.1T!BQ97)/1.1</f>
        <v>#N/A</v>
      </c>
      <c r="BT97" s="102" t="e">
        <f t="shared" si="178"/>
        <v>#N/A</v>
      </c>
      <c r="BU97" s="102" t="e">
        <f t="shared" si="179"/>
        <v>#N/A</v>
      </c>
      <c r="BV97" s="414" t="e">
        <f>IF(AND(BR97&gt;NDC!$C$63,BS97&gt;NDC!$C$65,BT97&gt;NDC!$D$73,BU97&gt;NDC!$D$74,$B97&gt;NDC!$H$22-0.1+MIN(3*BV$12,1.5)),0,1)</f>
        <v>#N/A</v>
      </c>
      <c r="BW97" s="86" t="b">
        <f t="shared" si="145"/>
        <v>0</v>
      </c>
      <c r="BX97" s="86">
        <f t="shared" si="146"/>
        <v>0.5</v>
      </c>
      <c r="BY97" s="86">
        <f t="shared" si="147"/>
        <v>0.5</v>
      </c>
      <c r="BZ97" s="30" t="e">
        <f t="shared" ca="1" si="180"/>
        <v>#DIV/0!</v>
      </c>
      <c r="CA97" s="85" t="e">
        <f ca="1">IF(BG97&lt;=Hypothèses!$V$7,Hypothèses!$W$7,IF(BG97&lt;=Hypothèses!$V$8,Hypothèses!$W$8,IF(BG97&lt;=Hypothèses!$V$9,Hypothèses!$W$9,IF(BG97&lt;=Hypothèses!$V$10,Hypothèses!$W$10,IF(BG97&lt;=Hypothèses!$V$11,Hypothèses!$W$11,IF(BG97&lt;=Hypothèses!$V$12,Hypothèses!$W$12,IF(BG97&lt;=Hypothèses!$V$13,Hypothèses!$W$13,IF(BG97&lt;=Hypothèses!$V$14,Hypothèses!$W$14,IF(BG97&lt;=Hypothèses!$V$15,Hypothèses!$W$15,IF(BG97&lt;=Hypothèses!$V$16,Hypothèses!$W$16,IF(BG97&lt;=Hypothèses!$V$17,Hypothèses!$W$17,IF(BG97&lt;=Hypothèses!$V$18,Hypothèses!$W$18,""))))))))))))</f>
        <v>#DIV/0!</v>
      </c>
      <c r="CB97" s="87" t="e">
        <f t="shared" ca="1" si="219"/>
        <v>#DIV/0!</v>
      </c>
      <c r="CC97" s="88" t="e">
        <f ca="1">IF(BG97&lt;=Hypothèses!$V$7,Hypothèses!$X$7,IF(BG97&lt;=Hypothèses!$V$8,Hypothèses!$X$8,IF(BG97&lt;=Hypothèses!$V$9,Hypothèses!$X$9,IF(BG97&lt;=Hypothèses!$V$10,Hypothèses!$X$10,IF(BG97&lt;=Hypothèses!$V$11,Hypothèses!$X$11,IF(BG97&lt;=Hypothèses!$V$12,Hypothèses!$X$12,IF(BG97&lt;=Hypothèses!$V$13,Hypothèses!$X$13,IF(BG97&lt;=Hypothèses!$V$14,Hypothèses!$X$14,IF(BG97&lt;=Hypothèses!$V$15,Hypothèses!$X$15,IF(BG97&lt;=Hypothèses!$V$16,Hypothèses!$X$16,IF(BG97&lt;=Hypothèses!$U$17,Hypothèses!$W$17,IF(BG97&lt;=Hypothèses!$U$18,Hypothèses!$W$18,""))))))))))))</f>
        <v>#DIV/0!</v>
      </c>
      <c r="CD97" s="95" t="e">
        <f t="shared" ca="1" si="181"/>
        <v>#DIV/0!</v>
      </c>
      <c r="CE97" s="101">
        <f t="shared" si="226"/>
        <v>0</v>
      </c>
      <c r="CF97" s="91">
        <f t="shared" si="148"/>
        <v>0</v>
      </c>
      <c r="CG97" s="30" t="e">
        <f t="shared" si="206"/>
        <v>#N/A</v>
      </c>
      <c r="CH97" s="30" t="e">
        <f t="shared" si="207"/>
        <v>#N/A</v>
      </c>
      <c r="CI97" s="31" t="e">
        <f>IF(OR(Hypothèses!$B$4=17,Hypothèses!$B$4=18,Hypothèses!$B$4=19,Hypothèses!$B$4=20),
IF($D97="Pressio.",
IF(OR($E97=3,$E97=1,$E97=4),CH97,CG97),
IF($D97="Pénétro.",
IF(OR($E97=3,$E97=1,$E97=4),CH97,CG97))),IF($D97="Pressio.",
IF($E97=3,CH97,CG97),
IF($D97="Pénétro.",
IF($E97=4,CH97,CG97))))</f>
        <v>#N/A</v>
      </c>
      <c r="CJ97" s="31">
        <v>0</v>
      </c>
      <c r="CK97" s="102" t="e">
        <f>IF(NDC!$H$10="Oui",(VLOOKUP($B$3,'Coeff EC7'!$T$39:$X$59,2,0)*CI97+VLOOKUP($B$3,'Coeff EC7'!$T$65:$X$85,2,0)*Model0.1T!CJ97)/1.5,PI()*CG$12*$Q97*($B97-$B96)*0.15/10+CK96)</f>
        <v>#N/A</v>
      </c>
      <c r="CL97" s="102" t="e">
        <f>(VLOOKUP($B$3,'Coeff EC7'!$T$39:$X$59,3,0)*CI97+VLOOKUP($B$3,'Coeff EC7'!$T$65:$X$85,3,0)*Model0.1T!CJ97)/1.1</f>
        <v>#N/A</v>
      </c>
      <c r="CM97" s="102" t="e">
        <f t="shared" si="182"/>
        <v>#N/A</v>
      </c>
      <c r="CN97" s="102" t="e">
        <f t="shared" si="183"/>
        <v>#N/A</v>
      </c>
      <c r="CO97" s="414" t="e">
        <f>IF(AND(CK97&gt;NDC!$C$63,CL97&gt;NDC!$C$65,CM97&gt;NDC!$D$73,CN97&gt;NDC!$D$74,$B97&gt;NDC!$H$22-0.1+MIN(3*CO$12,1.5)),0,1)</f>
        <v>#N/A</v>
      </c>
      <c r="CP97" s="86" t="b">
        <f t="shared" si="149"/>
        <v>0</v>
      </c>
      <c r="CQ97" s="86">
        <f t="shared" si="150"/>
        <v>0.5</v>
      </c>
      <c r="CR97" s="86">
        <f t="shared" si="151"/>
        <v>0.5</v>
      </c>
      <c r="CS97" s="30" t="e">
        <f t="shared" ca="1" si="184"/>
        <v>#DIV/0!</v>
      </c>
      <c r="CT97" s="85" t="e">
        <f ca="1">IF(BZ97&lt;=Hypothèses!$V$7,Hypothèses!$W$7,IF(BZ97&lt;=Hypothèses!$V$8,Hypothèses!$W$8,IF(BZ97&lt;=Hypothèses!$V$9,Hypothèses!$W$9,IF(BZ97&lt;=Hypothèses!$V$10,Hypothèses!$W$10,IF(BZ97&lt;=Hypothèses!$V$11,Hypothèses!$W$11,IF(BZ97&lt;=Hypothèses!$V$12,Hypothèses!$W$12,IF(BZ97&lt;=Hypothèses!$V$13,Hypothèses!$W$13,IF(BZ97&lt;=Hypothèses!$V$14,Hypothèses!$W$14,IF(BZ97&lt;=Hypothèses!$V$15,Hypothèses!$W$15,IF(BZ97&lt;=Hypothèses!$V$16,Hypothèses!$W$16,IF(BZ97&lt;=Hypothèses!$V$17,Hypothèses!$W$17,IF(BZ97&lt;=Hypothèses!$V$18,Hypothèses!$W$18,""))))))))))))</f>
        <v>#DIV/0!</v>
      </c>
      <c r="CU97" s="87" t="e">
        <f t="shared" ca="1" si="220"/>
        <v>#DIV/0!</v>
      </c>
      <c r="CV97" s="88" t="e">
        <f ca="1">IF(BZ97&lt;=Hypothèses!$V$7,Hypothèses!$X$7,IF(BZ97&lt;=Hypothèses!$V$8,Hypothèses!$X$8,IF(BZ97&lt;=Hypothèses!$V$9,Hypothèses!$X$9,IF(BZ97&lt;=Hypothèses!$V$10,Hypothèses!$X$10,IF(BZ97&lt;=Hypothèses!$V$11,Hypothèses!$X$11,IF(BZ97&lt;=Hypothèses!$V$12,Hypothèses!$X$12,IF(BZ97&lt;=Hypothèses!$V$13,Hypothèses!$X$13,IF(BZ97&lt;=Hypothèses!$V$14,Hypothèses!$X$14,IF(BZ97&lt;=Hypothèses!$V$15,Hypothèses!$X$15,IF(BZ97&lt;=Hypothèses!$V$16,Hypothèses!$X$16,IF(BZ97&lt;=Hypothèses!$U$17,Hypothèses!$W$17,IF(BZ97&lt;=Hypothèses!$U$18,Hypothèses!$W$18,""))))))))))))</f>
        <v>#DIV/0!</v>
      </c>
      <c r="CW97" s="95" t="e">
        <f t="shared" ca="1" si="185"/>
        <v>#DIV/0!</v>
      </c>
      <c r="CX97" s="101">
        <f t="shared" si="227"/>
        <v>0</v>
      </c>
      <c r="CY97" s="91">
        <f t="shared" si="152"/>
        <v>0</v>
      </c>
      <c r="CZ97" s="30" t="e">
        <f t="shared" si="208"/>
        <v>#N/A</v>
      </c>
      <c r="DA97" s="30" t="e">
        <f t="shared" si="209"/>
        <v>#N/A</v>
      </c>
      <c r="DB97" s="31" t="e">
        <f>IF(OR(Hypothèses!$B$4=17,Hypothèses!$B$4=18,Hypothèses!$B$4=19,Hypothèses!$B$4=20),
IF($D97="Pressio.",
IF(OR($E97=3,$E97=1,$E97=4),DA97,CZ97),
IF($D97="Pénétro.",
IF(OR($E97=3,$E97=1,$E97=4),DA97,CZ97))),IF($D97="Pressio.",
IF($E97=3,DA97,CZ97),
IF($D97="Pénétro.",
IF($E97=4,DA97,CZ97))))</f>
        <v>#N/A</v>
      </c>
      <c r="DC97" s="31">
        <v>0</v>
      </c>
      <c r="DD97" s="102" t="e">
        <f>IF(NDC!$H$10="Oui",(VLOOKUP($B$3,'Coeff EC7'!$T$39:$X$59,2,0)*DB97+VLOOKUP($B$3,'Coeff EC7'!$T$65:$X$85,2,0)*Model0.1T!DC97)/1.5,PI()*CZ$12*$Q97*($B97-$B96)*0.15/10+DD96)</f>
        <v>#N/A</v>
      </c>
      <c r="DE97" s="102" t="e">
        <f>(VLOOKUP($B$3,'Coeff EC7'!$T$39:$X$59,3,0)*DB97+VLOOKUP($B$3,'Coeff EC7'!$T$65:$X$85,3,0)*Model0.1T!DC97)/1.1</f>
        <v>#N/A</v>
      </c>
      <c r="DF97" s="102" t="e">
        <f t="shared" si="186"/>
        <v>#N/A</v>
      </c>
      <c r="DG97" s="102" t="e">
        <f t="shared" si="187"/>
        <v>#N/A</v>
      </c>
      <c r="DH97" s="414" t="e">
        <f>IF(AND(DD97&gt;NDC!$C$63,DE97&gt;NDC!$C$65,DF97&gt;NDC!$D$73,DG97&gt;NDC!$D$74,$B97&gt;NDC!$H$22-0.1+MIN(3*DH$12,1.5)),0,1)</f>
        <v>#N/A</v>
      </c>
      <c r="DI97" s="86" t="b">
        <f t="shared" si="153"/>
        <v>0</v>
      </c>
      <c r="DJ97" s="86">
        <f t="shared" si="154"/>
        <v>0.5</v>
      </c>
      <c r="DK97" s="86">
        <f t="shared" si="155"/>
        <v>0.5</v>
      </c>
      <c r="DL97" s="30" t="e">
        <f t="shared" ca="1" si="188"/>
        <v>#DIV/0!</v>
      </c>
      <c r="DM97" s="85" t="e">
        <f ca="1">IF(CS97&lt;=Hypothèses!$V$7,Hypothèses!$W$7,IF(CS97&lt;=Hypothèses!$V$8,Hypothèses!$W$8,IF(CS97&lt;=Hypothèses!$V$9,Hypothèses!$W$9,IF(CS97&lt;=Hypothèses!$V$10,Hypothèses!$W$10,IF(CS97&lt;=Hypothèses!$V$11,Hypothèses!$W$11,IF(CS97&lt;=Hypothèses!$V$12,Hypothèses!$W$12,IF(CS97&lt;=Hypothèses!$V$13,Hypothèses!$W$13,IF(CS97&lt;=Hypothèses!$V$14,Hypothèses!$W$14,IF(CS97&lt;=Hypothèses!$V$15,Hypothèses!$W$15,IF(CS97&lt;=Hypothèses!$V$16,Hypothèses!$W$16,IF(CS97&lt;=Hypothèses!$V$17,Hypothèses!$W$17,IF(CS97&lt;=Hypothèses!$V$18,Hypothèses!$W$18,""))))))))))))</f>
        <v>#DIV/0!</v>
      </c>
      <c r="DN97" s="87" t="e">
        <f t="shared" ca="1" si="221"/>
        <v>#DIV/0!</v>
      </c>
      <c r="DO97" s="88" t="e">
        <f ca="1">IF(CS97&lt;=Hypothèses!$V$7,Hypothèses!$X$7,IF(CS97&lt;=Hypothèses!$V$8,Hypothèses!$X$8,IF(CS97&lt;=Hypothèses!$V$9,Hypothèses!$X$9,IF(CS97&lt;=Hypothèses!$V$10,Hypothèses!$X$10,IF(CS97&lt;=Hypothèses!$V$11,Hypothèses!$X$11,IF(CS97&lt;=Hypothèses!$V$12,Hypothèses!$X$12,IF(CS97&lt;=Hypothèses!$V$13,Hypothèses!$X$13,IF(CS97&lt;=Hypothèses!$V$14,Hypothèses!$X$14,IF(CS97&lt;=Hypothèses!$V$15,Hypothèses!$X$15,IF(CS97&lt;=Hypothèses!$V$16,Hypothèses!$X$16,IF(CS97&lt;=Hypothèses!$U$17,Hypothèses!$W$17,IF(CS97&lt;=Hypothèses!$U$18,Hypothèses!$W$18,""))))))))))))</f>
        <v>#DIV/0!</v>
      </c>
      <c r="DP97" s="95" t="e">
        <f t="shared" ca="1" si="189"/>
        <v>#DIV/0!</v>
      </c>
      <c r="DQ97" s="101">
        <f t="shared" si="228"/>
        <v>0</v>
      </c>
      <c r="DR97" s="91">
        <f t="shared" si="156"/>
        <v>0</v>
      </c>
      <c r="DS97" s="30" t="e">
        <f t="shared" si="210"/>
        <v>#N/A</v>
      </c>
      <c r="DT97" s="30" t="e">
        <f t="shared" si="211"/>
        <v>#N/A</v>
      </c>
      <c r="DU97" s="31" t="e">
        <f>IF(OR(Hypothèses!$B$4=17,Hypothèses!$B$4=18,Hypothèses!$B$4=19,Hypothèses!$B$4=20),
IF($D97="Pressio.",
IF(OR($E97=3,$E97=1,$E97=4),DT97,DS97),
IF($D97="Pénétro.",
IF(OR($E97=3,$E97=1,$E97=4),DT97,DS97))),IF($D97="Pressio.",
IF($E97=3,DT97,DS97),
IF($D97="Pénétro.",
IF($E97=4,DT97,DS97))))</f>
        <v>#N/A</v>
      </c>
      <c r="DV97" s="31">
        <v>0</v>
      </c>
      <c r="DW97" s="102" t="e">
        <f>IF(NDC!$H$10="Oui",(VLOOKUP($B$3,'Coeff EC7'!$T$39:$X$59,2,0)*DU97+VLOOKUP($B$3,'Coeff EC7'!$T$65:$X$85,2,0)*Model0.1T!DV97)/1.5,PI()*DS$12*$Q97*($B97-$B96)*0.15/10+DW96)</f>
        <v>#N/A</v>
      </c>
      <c r="DX97" s="102" t="e">
        <f>(VLOOKUP($B$3,'Coeff EC7'!$T$39:$X$59,3,0)*DU97+VLOOKUP($B$3,'Coeff EC7'!$T$65:$X$85,3,0)*Model0.1T!DV97)/1.1</f>
        <v>#N/A</v>
      </c>
      <c r="DY97" s="102" t="e">
        <f t="shared" si="190"/>
        <v>#N/A</v>
      </c>
      <c r="DZ97" s="102" t="e">
        <f t="shared" si="191"/>
        <v>#N/A</v>
      </c>
      <c r="EA97" s="414" t="e">
        <f>IF(AND(DW97&gt;NDC!$C$63,DX97&gt;NDC!$C$65,DY97&gt;NDC!$D$73,DZ97&gt;NDC!$D$74,$B97&gt;NDC!$H$22-0.1+MIN(3*EA$12,1.5)),0,1)</f>
        <v>#N/A</v>
      </c>
      <c r="EB97" s="86" t="b">
        <f t="shared" si="157"/>
        <v>0</v>
      </c>
      <c r="EC97" s="418">
        <f t="shared" si="158"/>
        <v>0.51</v>
      </c>
      <c r="ED97" s="86">
        <f t="shared" si="159"/>
        <v>0.51</v>
      </c>
      <c r="EE97" s="30" t="e">
        <f t="shared" ca="1" si="192"/>
        <v>#DIV/0!</v>
      </c>
      <c r="EF97" s="85" t="e">
        <f ca="1">IF(DL97&lt;=Hypothèses!$V$7,Hypothèses!$W$7,IF(DL97&lt;=Hypothèses!$V$8,Hypothèses!$W$8,IF(DL97&lt;=Hypothèses!$V$9,Hypothèses!$W$9,IF(DL97&lt;=Hypothèses!$V$10,Hypothèses!$W$10,IF(DL97&lt;=Hypothèses!$V$11,Hypothèses!$W$11,IF(DL97&lt;=Hypothèses!$V$12,Hypothèses!$W$12,IF(DL97&lt;=Hypothèses!$V$13,Hypothèses!$W$13,IF(DL97&lt;=Hypothèses!$V$14,Hypothèses!$W$14,IF(DL97&lt;=Hypothèses!$V$15,Hypothèses!$W$15,IF(DL97&lt;=Hypothèses!$V$16,Hypothèses!$W$16,IF(DL97&lt;=Hypothèses!$V$17,Hypothèses!$W$17,IF(DL97&lt;=Hypothèses!$V$18,Hypothèses!$W$18,""))))))))))))</f>
        <v>#DIV/0!</v>
      </c>
      <c r="EG97" s="87" t="e">
        <f t="shared" ca="1" si="222"/>
        <v>#DIV/0!</v>
      </c>
      <c r="EH97" s="88" t="e">
        <f ca="1">IF(DL97&lt;=Hypothèses!$V$7,Hypothèses!$X$7,IF(DL97&lt;=Hypothèses!$V$8,Hypothèses!$X$8,IF(DL97&lt;=Hypothèses!$V$9,Hypothèses!$X$9,IF(DL97&lt;=Hypothèses!$V$10,Hypothèses!$X$10,IF(DL97&lt;=Hypothèses!$V$11,Hypothèses!$X$11,IF(DL97&lt;=Hypothèses!$V$12,Hypothèses!$X$12,IF(DL97&lt;=Hypothèses!$V$13,Hypothèses!$X$13,IF(DL97&lt;=Hypothèses!$V$14,Hypothèses!$X$14,IF(DL97&lt;=Hypothèses!$V$15,Hypothèses!$X$15,IF(DL97&lt;=Hypothèses!$V$16,Hypothèses!$X$16,IF(DL97&lt;=Hypothèses!$U$17,Hypothèses!$W$17,IF(DL97&lt;=Hypothèses!$U$18,Hypothèses!$W$18,""))))))))))))</f>
        <v>#DIV/0!</v>
      </c>
      <c r="EI97" s="95" t="e">
        <f t="shared" ca="1" si="193"/>
        <v>#DIV/0!</v>
      </c>
      <c r="EJ97" s="101">
        <f t="shared" si="229"/>
        <v>0</v>
      </c>
      <c r="EK97" s="91">
        <f t="shared" si="160"/>
        <v>0</v>
      </c>
      <c r="EL97" s="30" t="e">
        <f t="shared" si="212"/>
        <v>#N/A</v>
      </c>
      <c r="EM97" s="30" t="e">
        <f t="shared" si="213"/>
        <v>#N/A</v>
      </c>
      <c r="EN97" s="31" t="e">
        <f>IF(OR(Hypothèses!$B$4=17,Hypothèses!$B$4=18,Hypothèses!$B$4=19,Hypothèses!$B$4=20),
IF($D97="Pressio.",
IF(OR($E97=3,$E97=1,$E97=4),EM97,EL97),
IF($D97="Pénétro.",
IF(OR($E97=3,$E97=1,$E97=4),EM97,EL97))),IF($D97="Pressio.",
IF($E97=3,EM97,EL97),
IF($D97="Pénétro.",
IF($E97=4,EM97,EL97))))</f>
        <v>#N/A</v>
      </c>
      <c r="EO97" s="31">
        <v>0</v>
      </c>
      <c r="EP97" s="102" t="e">
        <f>IF(NDC!$H$10="Oui",(VLOOKUP($B$3,'Coeff EC7'!$T$39:$X$59,2,0)*EN97+VLOOKUP($B$3,'Coeff EC7'!$T$65:$X$85,2,0)*Model0.1T!EO97)/1.5,PI()*EL$12*$Q97*($B97-$B96)*0.15/10+EP96)</f>
        <v>#N/A</v>
      </c>
      <c r="EQ97" s="102" t="e">
        <f>(VLOOKUP($B$3,'Coeff EC7'!$T$39:$X$59,3,0)*EN97+VLOOKUP($B$3,'Coeff EC7'!$T$65:$X$85,3,0)*Model0.1T!EO97)/1.1</f>
        <v>#N/A</v>
      </c>
      <c r="ER97" s="102" t="e">
        <f t="shared" si="194"/>
        <v>#N/A</v>
      </c>
      <c r="ES97" s="102" t="e">
        <f t="shared" si="195"/>
        <v>#N/A</v>
      </c>
      <c r="ET97" s="414" t="e">
        <f>IF(AND(EP97&gt;NDC!$C$63,EQ97&gt;NDC!$C$65,ER97&gt;NDC!$D$73,ES97&gt;NDC!$D$74,$B97&gt;NDC!$H$22-0.1+MIN(3*ET$12,1.5)),0,1)</f>
        <v>#N/A</v>
      </c>
      <c r="EU97" s="86" t="b">
        <f t="shared" si="161"/>
        <v>0</v>
      </c>
      <c r="EV97" s="86">
        <f t="shared" si="162"/>
        <v>0.61</v>
      </c>
      <c r="EW97" s="86">
        <f t="shared" si="163"/>
        <v>0.61</v>
      </c>
      <c r="EX97" s="30" t="e">
        <f t="shared" ca="1" si="196"/>
        <v>#DIV/0!</v>
      </c>
      <c r="EY97" s="85" t="e">
        <f ca="1">IF(EE97&lt;=Hypothèses!$V$7,Hypothèses!$W$7,IF(EE97&lt;=Hypothèses!$V$8,Hypothèses!$W$8,IF(EE97&lt;=Hypothèses!$V$9,Hypothèses!$W$9,IF(EE97&lt;=Hypothèses!$V$10,Hypothèses!$W$10,IF(EE97&lt;=Hypothèses!$V$11,Hypothèses!$W$11,IF(EE97&lt;=Hypothèses!$V$12,Hypothèses!$W$12,IF(EE97&lt;=Hypothèses!$V$13,Hypothèses!$W$13,IF(EE97&lt;=Hypothèses!$V$14,Hypothèses!$W$14,IF(EE97&lt;=Hypothèses!$V$15,Hypothèses!$W$15,IF(EE97&lt;=Hypothèses!$V$16,Hypothèses!$W$16,IF(EE97&lt;=Hypothèses!$V$17,Hypothèses!$W$17,IF(EE97&lt;=Hypothèses!$V$18,Hypothèses!$W$18,""))))))))))))</f>
        <v>#DIV/0!</v>
      </c>
      <c r="EZ97" s="87" t="e">
        <f t="shared" ca="1" si="223"/>
        <v>#DIV/0!</v>
      </c>
      <c r="FA97" s="88" t="e">
        <f ca="1">IF(EE97&lt;=Hypothèses!$V$7,Hypothèses!$X$7,IF(EE97&lt;=Hypothèses!$V$8,Hypothèses!$X$8,IF(EE97&lt;=Hypothèses!$V$9,Hypothèses!$X$9,IF(EE97&lt;=Hypothèses!$V$10,Hypothèses!$X$10,IF(EE97&lt;=Hypothèses!$V$11,Hypothèses!$X$11,IF(EE97&lt;=Hypothèses!$V$12,Hypothèses!$X$12,IF(EE97&lt;=Hypothèses!$V$13,Hypothèses!$X$13,IF(EE97&lt;=Hypothèses!$V$14,Hypothèses!$X$14,IF(EE97&lt;=Hypothèses!$V$15,Hypothèses!$X$15,IF(EE97&lt;=Hypothèses!$V$16,Hypothèses!$X$16,IF(EE97&lt;=Hypothèses!$U$17,Hypothèses!$W$17,IF(EE97&lt;=Hypothèses!$U$18,Hypothèses!$W$18,""))))))))))))</f>
        <v>#DIV/0!</v>
      </c>
      <c r="FB97" s="95" t="e">
        <f t="shared" ca="1" si="197"/>
        <v>#DIV/0!</v>
      </c>
      <c r="FC97" s="101">
        <f t="shared" si="230"/>
        <v>0</v>
      </c>
      <c r="FD97" s="91">
        <f t="shared" si="164"/>
        <v>0</v>
      </c>
      <c r="FE97" s="30" t="e">
        <f t="shared" si="214"/>
        <v>#N/A</v>
      </c>
      <c r="FF97" s="30" t="e">
        <f t="shared" si="215"/>
        <v>#N/A</v>
      </c>
      <c r="FG97" s="31" t="e">
        <f>IF(OR(Hypothèses!$B$4=17,Hypothèses!$B$4=18,Hypothèses!$B$4=19,Hypothèses!$B$4=20),
IF($D97="Pressio.",
IF(OR($E97=3,$E97=1,$E97=4),FF97,FE97),
IF($D97="Pénétro.",
IF(OR($E97=3,$E97=1,$E97=4),FF97,FE97))),IF($D97="Pressio.",
IF($E97=3,FF97,FE97),
IF($D97="Pénétro.",
IF($E97=4,FF97,FE97))))</f>
        <v>#N/A</v>
      </c>
      <c r="FH97" s="31">
        <v>0</v>
      </c>
      <c r="FI97" s="102" t="e">
        <f>IF(NDC!$H$10="Oui",(VLOOKUP($B$3,'Coeff EC7'!$T$39:$X$59,2,0)*FG97+VLOOKUP($B$3,'Coeff EC7'!$T$65:$X$85,2,0)*Model0.1T!FH97)/1.5,PI()*FE$12*$Q97*($B97-$B96)*0.15/10+FI96)</f>
        <v>#N/A</v>
      </c>
      <c r="FJ97" s="102" t="e">
        <f>(VLOOKUP($B$3,'Coeff EC7'!$T$39:$X$59,3,0)*FG97+VLOOKUP($B$3,'Coeff EC7'!$T$65:$X$85,3,0)*Model0.1T!FH97)/1.1</f>
        <v>#N/A</v>
      </c>
      <c r="FK97" s="102" t="e">
        <f t="shared" si="198"/>
        <v>#N/A</v>
      </c>
      <c r="FL97" s="102" t="e">
        <f t="shared" si="199"/>
        <v>#N/A</v>
      </c>
      <c r="FM97" s="414" t="e">
        <f>IF(AND(FI97&gt;NDC!$C$63,FJ97&gt;NDC!$C$65,FK97&gt;NDC!$D$73,FL97&gt;NDC!$D$74,$B97&gt;NDC!$H$22-0.1+MIN(3*FM$12,1.5)),0,1)</f>
        <v>#N/A</v>
      </c>
    </row>
    <row r="98" spans="1:169">
      <c r="A98" s="96">
        <f t="shared" si="165"/>
        <v>91.500000000000483</v>
      </c>
      <c r="B98" s="97">
        <v>8.5</v>
      </c>
      <c r="C98" s="81">
        <f>IF(B98&lt;=Hypothèses!$C$7,Hypothèses!$A$7,IF(B98&lt;=Hypothèses!$C$8,Hypothèses!$A$8,IF(B98&lt;=Hypothèses!$C$9,Hypothèses!$A$9,IF(B98&lt;=Hypothèses!$C$10,Hypothèses!$A$10,IF(B98&lt;=Hypothèses!$C$11,Hypothèses!$A$11,IF(B98&lt;=Hypothèses!$C$12,Hypothèses!$A$12,IF(B98&lt;=Hypothèses!$C$13,Hypothèses!$A$13,IF(B98&lt;=Hypothèses!$C$14,Hypothèses!$A$14,IF(B98&lt;=Hypothèses!$C$15,Hypothèses!$A$15,IF(B98&lt;=Hypothèses!$C$16,Hypothèses!$A$16,IF(B98&lt;=Hypothèses!$C$17,Hypothèses!$A$17,IF(B98&lt;=Hypothèses!$C$18,Hypothèses!$A$18,C97))))))))))))</f>
        <v>11</v>
      </c>
      <c r="D98" s="82" t="str">
        <f>IF(B98&lt;=Hypothèses!$C$7,Hypothèses!$R$7,IF(B98&lt;=Hypothèses!$C$8,Hypothèses!$R$8,IF(B98&lt;=Hypothèses!$C$9,Hypothèses!$R$9,IF(B98&lt;=Hypothèses!$C$10,Hypothèses!$R$10,IF(B98&lt;=Hypothèses!$C$11,Hypothèses!$R$11,IF(B98&lt;=Hypothèses!$C$12,Hypothèses!$R$12,IF(B98&lt;=Hypothèses!$C$13,Hypothèses!$R$13,IF(B98&lt;=Hypothèses!$C$14,Hypothèses!$R$14,IF(B98&lt;=Hypothèses!$C$15,Hypothèses!$R$15,IF(B98&lt;=Hypothèses!$C$16,Hypothèses!$R$16,IF(B98&lt;=Hypothèses!$C$17,Hypothèses!$R$17,IF(B98&lt;=Hypothèses!$C$18,Hypothèses!$R$18,D97))))))))))))</f>
        <v>Pressio.</v>
      </c>
      <c r="E98" s="82" t="e">
        <f>IF(B98&lt;=Hypothèses!$C$7,Hypothèses!$G$7,IF(B98&lt;=Hypothèses!$C$8,Hypothèses!$G$8,IF(B98&lt;=Hypothèses!$C$9,Hypothèses!$G$9,IF(B98&lt;=Hypothèses!$C$10,Hypothèses!$G$10,IF(B98&lt;=Hypothèses!$C$11,Hypothèses!$G$11,IF(B98&lt;=Hypothèses!$C$12,Hypothèses!$G$12,IF(B98&lt;=Hypothèses!$C$13,Hypothèses!$G$13,IF(B98&lt;=Hypothèses!$C$14,Hypothèses!$G$14,IF(B98&lt;=Hypothèses!$C$15,Hypothèses!$G$15,IF(B98&lt;=Hypothèses!$C$16,Hypothèses!$G$16,IF(B98&lt;=Hypothèses!$C$17,Hypothèses!$G$17,IF(B98&lt;=Hypothèses!$C$18,Hypothèses!$G$18,E97))))))))))))</f>
        <v>#N/A</v>
      </c>
      <c r="F98" s="82" t="str">
        <f>IF(B98&lt;=Hypothèses!$C$7,Hypothèses!$F$7,IF(B98&lt;=Hypothèses!$C$8,Hypothèses!$F$8,IF(B98&lt;=Hypothèses!$C$9,Hypothèses!$F$9,IF(B98&lt;=Hypothèses!$C$10,Hypothèses!$F$10,IF(B98&lt;=Hypothèses!$C$11,Hypothèses!$F$11,IF(B98&lt;=Hypothèses!$C$12,Hypothèses!$F$12,IF(B98&lt;=Hypothèses!$C$13,Hypothèses!$F$13,IF(B98&lt;=Hypothèses!$C$14,Hypothèses!$F$14,IF(B98&lt;=Hypothèses!$C$15,Hypothèses!$F$15,IF(B98&lt;=Hypothèses!$C$16,Hypothèses!$F$16,IF(B98&lt;=Hypothèses!$C$17,Hypothèses!$F$17,IF(B98&lt;=Hypothèses!$C$18,Hypothèses!$F$18,F97))))))))))))</f>
        <v/>
      </c>
      <c r="G98" s="91">
        <f t="array" ref="G98">INDEX('Coeff EC7'!$U$7:$X$27,
MATCH(Model0.1T!$B$3,'Coeff EC7'!$T$7:$T$27,0),
MATCH(Model0.1T!$D98&amp;Model0.1T!$B$4,
'Coeff EC7'!$U$6:$X$6&amp;
'Coeff EC7'!$U$5:$X$5,0))</f>
        <v>1.4</v>
      </c>
      <c r="H98" s="91">
        <f t="array" ref="H98">INDEX('Coeff EC7'!$Y$7:$AB$27,
MATCH(Model0.1T!$B$3,'Coeff EC7'!$T$7:$T$27,0),
MATCH(Model0.1T!$D98&amp;Model0.1T!$B$4,
'Coeff EC7'!$Y$6:$AB$6&amp;
'Coeff EC7'!$Y$5:$AB$5,0))</f>
        <v>1.7</v>
      </c>
      <c r="I98" s="83">
        <v>0</v>
      </c>
      <c r="J98" s="91" t="e">
        <f t="array" ref="J98">INDEX('Coeff EC7'!$D$33:$Q$33,1,MATCH(D98&amp;E98,'Coeff EC7'!$D$31:$Q$31&amp;'Coeff EC7'!$D$32:$Q$32,0))</f>
        <v>#N/A</v>
      </c>
      <c r="K98" s="91" t="e">
        <f t="array" ref="K98">INDEX('Coeff EC7'!$D$34:$Q$34,1,MATCH(D98&amp;E98,'Coeff EC7'!$D$31:$Q$31&amp;'Coeff EC7'!$D$32:$Q$32,0))</f>
        <v>#N/A</v>
      </c>
      <c r="L98" s="91" t="e">
        <f t="array" ref="L98">INDEX('Coeff EC7'!$D$35:$Q$35,1,MATCH(D98&amp;E98,'Coeff EC7'!$D$31:$Q$31&amp;'Coeff EC7'!$D$32:$Q$32,0))</f>
        <v>#N/A</v>
      </c>
      <c r="M98" s="98" t="e">
        <f t="shared" si="131"/>
        <v>#N/A</v>
      </c>
      <c r="N98" s="99" t="e">
        <f t="array" ref="N98">INDEX('Coeff EC7'!$D$7:$Q$27,MATCH($B$3,'Coeff EC7'!$C$7:$C$27,0),MATCH(D98&amp;E98,'Coeff EC7'!$D$5:$Q$5&amp;'Coeff EC7'!$D$6:$Q$6,0))</f>
        <v>#N/A</v>
      </c>
      <c r="O98" s="99" t="e">
        <f t="array" ref="O98">INDEX('Coeff EC7'!$D$41:$Q$61,MATCH($B$3,'Coeff EC7'!$C$41:$C$61,0),MATCH(D98&amp;E98,'Coeff EC7'!$D$39:$Q$39&amp;'Coeff EC7'!$D$40:$Q$40,0))</f>
        <v>#N/A</v>
      </c>
      <c r="P98" s="30" t="e">
        <f t="shared" si="166"/>
        <v>#N/A</v>
      </c>
      <c r="Q98" s="100" t="e">
        <f t="shared" si="133"/>
        <v>#N/A</v>
      </c>
      <c r="R98" s="86" t="b">
        <f t="shared" si="134"/>
        <v>0</v>
      </c>
      <c r="S98" s="86">
        <f t="shared" si="132"/>
        <v>0.5</v>
      </c>
      <c r="T98" s="86">
        <f t="shared" si="135"/>
        <v>0.5</v>
      </c>
      <c r="U98" s="30" t="e">
        <f t="shared" ca="1" si="167"/>
        <v>#DIV/0!</v>
      </c>
      <c r="V98" s="85" t="str">
        <f>IF(B98&lt;=Hypothèses!$V$7,Hypothèses!$W$7,IF(B98&lt;=Hypothèses!$V$8,Hypothèses!$W$8,IF(B98&lt;=Hypothèses!$V$9,Hypothèses!$W$9,IF(B98&lt;=Hypothèses!$V$10,Hypothèses!$W$10,IF(B98&lt;=Hypothèses!$V$11,Hypothèses!$W$11,IF(B98&lt;=Hypothèses!$V$12,Hypothèses!$W$12,IF(B98&lt;=Hypothèses!$V$13,Hypothèses!$W$13,IF(B98&lt;=Hypothèses!$V$14,Hypothèses!$W$14,IF(B98&lt;=Hypothèses!$V$15,Hypothèses!$W$15,IF(B98&lt;=Hypothèses!$V$16,Hypothèses!$W$16,IF(B98&lt;=Hypothèses!$V$17,Hypothèses!$W$17,IF(B98&lt;=Hypothèses!$V$18,Hypothèses!$W$18,""))))))))))))</f>
        <v/>
      </c>
      <c r="W98" s="87" t="e">
        <f t="shared" ca="1" si="216"/>
        <v>#DIV/0!</v>
      </c>
      <c r="X98" s="88" t="str">
        <f>IF(B98&lt;=Hypothèses!$V$7,Hypothèses!$X$7,IF(B98&lt;=Hypothèses!$V$8,Hypothèses!$X$8,IF(B98&lt;=Hypothèses!$V$9,Hypothèses!$X$9,IF(B98&lt;=Hypothèses!$V$10,Hypothèses!$X$10,IF(B98&lt;=Hypothèses!$V$11,Hypothèses!$X$11,IF(B98&lt;=Hypothèses!$V$12,Hypothèses!$X$12,IF(B98&lt;=Hypothèses!$V$13,Hypothèses!$X$13,IF(B98&lt;=Hypothèses!$V$14,Hypothèses!$X$14,IF(B98&lt;=Hypothèses!$V$15,Hypothèses!$X$15,IF(B98&lt;=Hypothèses!$V$16,Hypothèses!$X$16,IF(B98&lt;=Hypothèses!$U$17,Hypothèses!$W$17,IF(B98&lt;=Hypothèses!$U$18,Hypothèses!$W$18,""))))))))))))</f>
        <v/>
      </c>
      <c r="Y98" s="95" t="e">
        <f t="shared" ca="1" si="136"/>
        <v>#DIV/0!</v>
      </c>
      <c r="Z98" s="101">
        <f t="shared" si="137"/>
        <v>0</v>
      </c>
      <c r="AA98" s="91">
        <f t="shared" si="138"/>
        <v>0</v>
      </c>
      <c r="AB98" s="30" t="e">
        <f t="shared" si="200"/>
        <v>#N/A</v>
      </c>
      <c r="AC98" s="30" t="e">
        <f t="shared" si="201"/>
        <v>#N/A</v>
      </c>
      <c r="AD98" s="31" t="e">
        <f>IF(OR(Hypothèses!$B$4=17,Hypothèses!$B$4=18,Hypothèses!$B$4=19,Hypothèses!$B$4=20),
IF($D98="Pressio.",
IF(OR($E98=3,$E98=1,$E98=4),AC98,AB98),
IF($D98="Pénétro.",
IF(OR($E98=3,$E98=1,$E98=4),AC98,AB98))),IF($D98="Pressio.",
IF($E98=3,AC98,AB98),
IF($D98="Pénétro.",
IF($E98=4,AC98,AB98))))</f>
        <v>#N/A</v>
      </c>
      <c r="AE98" s="31">
        <v>0</v>
      </c>
      <c r="AF98" s="102" t="e">
        <f>IF(NDC!$H$10="Oui",(VLOOKUP($B$3,'Coeff EC7'!$T$39:$X$59,2,0)*AD98+VLOOKUP($B$3,'Coeff EC7'!$T$65:$X$85,2,0)*Model0.1T!AE98)/1.5,PI()*AB$12*$Q98*($B98-$B97)*0.15/10+AF97)</f>
        <v>#N/A</v>
      </c>
      <c r="AG98" s="102" t="e">
        <f>(VLOOKUP($B$3,'Coeff EC7'!$T$39:$X$59,3,0)*AD98+VLOOKUP($B$3,'Coeff EC7'!$T$65:$X$85,3,0)*Model0.1T!AE98)/1.1</f>
        <v>#N/A</v>
      </c>
      <c r="AH98" s="102" t="e">
        <f t="shared" si="168"/>
        <v>#N/A</v>
      </c>
      <c r="AI98" s="102" t="e">
        <f t="shared" si="169"/>
        <v>#N/A</v>
      </c>
      <c r="AJ98" s="414" t="e">
        <f>IF(AND(AF98&gt;NDC!$C$63,AG98&gt;NDC!$C$65,AH98&gt;NDC!$D$73,AI98&gt;NDC!$D$74,$B98&gt;NDC!$H$22-0.1+MIN(3*$AJ$12,1.5)),0,1)</f>
        <v>#N/A</v>
      </c>
      <c r="AK98" s="86" t="b">
        <f t="shared" si="139"/>
        <v>0</v>
      </c>
      <c r="AL98" s="86">
        <f t="shared" si="170"/>
        <v>0.5</v>
      </c>
      <c r="AM98" s="86">
        <f t="shared" si="140"/>
        <v>0.5</v>
      </c>
      <c r="AN98" s="30" t="e">
        <f t="shared" ca="1" si="171"/>
        <v>#DIV/0!</v>
      </c>
      <c r="AO98" s="85" t="e">
        <f ca="1">IF(U98&lt;=Hypothèses!$V$7,Hypothèses!$W$7,IF(U98&lt;=Hypothèses!$V$8,Hypothèses!$W$8,IF(U98&lt;=Hypothèses!$V$9,Hypothèses!$W$9,IF(U98&lt;=Hypothèses!$V$10,Hypothèses!$W$10,IF(U98&lt;=Hypothèses!$V$11,Hypothèses!$W$11,IF(U98&lt;=Hypothèses!$V$12,Hypothèses!$W$12,IF(U98&lt;=Hypothèses!$V$13,Hypothèses!$W$13,IF(U98&lt;=Hypothèses!$V$14,Hypothèses!$W$14,IF(U98&lt;=Hypothèses!$V$15,Hypothèses!$W$15,IF(U98&lt;=Hypothèses!$V$16,Hypothèses!$W$16,IF(U98&lt;=Hypothèses!$V$17,Hypothèses!$W$17,IF(U98&lt;=Hypothèses!$V$18,Hypothèses!$W$18,""))))))))))))</f>
        <v>#DIV/0!</v>
      </c>
      <c r="AP98" s="87" t="e">
        <f t="shared" ca="1" si="217"/>
        <v>#DIV/0!</v>
      </c>
      <c r="AQ98" s="88" t="e">
        <f ca="1">IF(U98&lt;=Hypothèses!$V$7,Hypothèses!$X$7,IF(U98&lt;=Hypothèses!$V$8,Hypothèses!$X$8,IF(U98&lt;=Hypothèses!$V$9,Hypothèses!$X$9,IF(U98&lt;=Hypothèses!$V$10,Hypothèses!$X$10,IF(U98&lt;=Hypothèses!$V$11,Hypothèses!$X$11,IF(U98&lt;=Hypothèses!$V$12,Hypothèses!$X$12,IF(U98&lt;=Hypothèses!$V$13,Hypothèses!$X$13,IF(U98&lt;=Hypothèses!$V$14,Hypothèses!$X$14,IF(U98&lt;=Hypothèses!$V$15,Hypothèses!$X$15,IF(U98&lt;=Hypothèses!$V$16,Hypothèses!$X$16,IF(U98&lt;=Hypothèses!$U$17,Hypothèses!$W$17,IF(U98&lt;=Hypothèses!$U$18,Hypothèses!$W$18,""))))))))))))</f>
        <v>#DIV/0!</v>
      </c>
      <c r="AR98" s="95" t="e">
        <f t="shared" ca="1" si="172"/>
        <v>#DIV/0!</v>
      </c>
      <c r="AS98" s="101">
        <f t="shared" si="224"/>
        <v>0</v>
      </c>
      <c r="AT98" s="91">
        <f t="shared" si="141"/>
        <v>0</v>
      </c>
      <c r="AU98" s="30" t="e">
        <f t="shared" si="202"/>
        <v>#N/A</v>
      </c>
      <c r="AV98" s="30" t="e">
        <f t="shared" si="203"/>
        <v>#N/A</v>
      </c>
      <c r="AW98" s="31" t="e">
        <f>IF(OR(Hypothèses!$B$4=17,Hypothèses!$B$4=18,Hypothèses!$B$4=19,Hypothèses!$B$4=20),
IF($D98="Pressio.",
IF(OR($E98=3,$E98=1,$E98=4),AV98,AU98),
IF($D98="Pénétro.",
IF(OR($E98=3,$E98=1,$E98=4),AV98,AU98))),IF($D98="Pressio.",
IF($E98=3,AV98,AU98),
IF($D98="Pénétro.",
IF($E98=4,AV98,AU98))))</f>
        <v>#N/A</v>
      </c>
      <c r="AX98" s="31">
        <v>0</v>
      </c>
      <c r="AY98" s="102" t="e">
        <f>IF(NDC!$H$10="Oui",(VLOOKUP($B$3,'Coeff EC7'!$T$39:$X$59,2,0)*AW98+VLOOKUP($B$3,'Coeff EC7'!$T$65:$X$85,2,0)*Model0.1T!AX98)/1.5,PI()*AU$12*$Q98*($B98-$B97)*0.15/10+AY97)</f>
        <v>#N/A</v>
      </c>
      <c r="AZ98" s="102" t="e">
        <f>(VLOOKUP($B$3,'Coeff EC7'!$T$39:$X$59,3,0)*AW98+VLOOKUP($B$3,'Coeff EC7'!$T$65:$X$85,3,0)*Model0.1T!AX98)/1.1</f>
        <v>#N/A</v>
      </c>
      <c r="BA98" s="102" t="e">
        <f t="shared" si="173"/>
        <v>#N/A</v>
      </c>
      <c r="BB98" s="102" t="e">
        <f t="shared" si="174"/>
        <v>#N/A</v>
      </c>
      <c r="BC98" s="414" t="e">
        <f>IF(AND(AY98&gt;NDC!$C$63,AZ98&gt;NDC!$C$65,BA98&gt;NDC!$D$73,BB98&gt;NDC!$D$74,$B98&gt;NDC!$H$22-0.1+MIN(3*BC$12,1.5)),0,1)</f>
        <v>#N/A</v>
      </c>
      <c r="BD98" s="86" t="b">
        <f t="shared" si="142"/>
        <v>0</v>
      </c>
      <c r="BE98" s="86">
        <f t="shared" si="175"/>
        <v>0.5</v>
      </c>
      <c r="BF98" s="86">
        <f t="shared" si="143"/>
        <v>0.5</v>
      </c>
      <c r="BG98" s="30" t="e">
        <f t="shared" ca="1" si="176"/>
        <v>#DIV/0!</v>
      </c>
      <c r="BH98" s="85" t="e">
        <f ca="1">IF(AN98&lt;=Hypothèses!$V$7,Hypothèses!$W$7,IF(AN98&lt;=Hypothèses!$V$8,Hypothèses!$W$8,IF(AN98&lt;=Hypothèses!$V$9,Hypothèses!$W$9,IF(AN98&lt;=Hypothèses!$V$10,Hypothèses!$W$10,IF(AN98&lt;=Hypothèses!$V$11,Hypothèses!$W$11,IF(AN98&lt;=Hypothèses!$V$12,Hypothèses!$W$12,IF(AN98&lt;=Hypothèses!$V$13,Hypothèses!$W$13,IF(AN98&lt;=Hypothèses!$V$14,Hypothèses!$W$14,IF(AN98&lt;=Hypothèses!$V$15,Hypothèses!$W$15,IF(AN98&lt;=Hypothèses!$V$16,Hypothèses!$W$16,IF(AN98&lt;=Hypothèses!$V$17,Hypothèses!$W$17,IF(AN98&lt;=Hypothèses!$V$18,Hypothèses!$W$18,""))))))))))))</f>
        <v>#DIV/0!</v>
      </c>
      <c r="BI98" s="87" t="e">
        <f t="shared" ca="1" si="218"/>
        <v>#DIV/0!</v>
      </c>
      <c r="BJ98" s="88" t="e">
        <f ca="1">IF(AN98&lt;=Hypothèses!$V$7,Hypothèses!$X$7,IF(AN98&lt;=Hypothèses!$V$8,Hypothèses!$X$8,IF(AN98&lt;=Hypothèses!$V$9,Hypothèses!$X$9,IF(AN98&lt;=Hypothèses!$V$10,Hypothèses!$X$10,IF(AN98&lt;=Hypothèses!$V$11,Hypothèses!$X$11,IF(AN98&lt;=Hypothèses!$V$12,Hypothèses!$X$12,IF(AN98&lt;=Hypothèses!$V$13,Hypothèses!$X$13,IF(AN98&lt;=Hypothèses!$V$14,Hypothèses!$X$14,IF(AN98&lt;=Hypothèses!$V$15,Hypothèses!$X$15,IF(AN98&lt;=Hypothèses!$V$16,Hypothèses!$X$16,IF(AN98&lt;=Hypothèses!$U$17,Hypothèses!$W$17,IF(AN98&lt;=Hypothèses!$U$18,Hypothèses!$W$18,""))))))))))))</f>
        <v>#DIV/0!</v>
      </c>
      <c r="BK98" s="95" t="e">
        <f t="shared" ca="1" si="177"/>
        <v>#DIV/0!</v>
      </c>
      <c r="BL98" s="101">
        <f t="shared" si="225"/>
        <v>0</v>
      </c>
      <c r="BM98" s="91">
        <f t="shared" si="144"/>
        <v>0</v>
      </c>
      <c r="BN98" s="30" t="e">
        <f t="shared" si="204"/>
        <v>#N/A</v>
      </c>
      <c r="BO98" s="30" t="e">
        <f t="shared" si="205"/>
        <v>#N/A</v>
      </c>
      <c r="BP98" s="31" t="e">
        <f>IF(OR(Hypothèses!$B$4=17,Hypothèses!$B$4=18,Hypothèses!$B$4=19,Hypothèses!$B$4=20),
IF($D98="Pressio.",
IF(OR($E98=3,$E98=1,$E98=4),BO98,BN98),
IF($D98="Pénétro.",
IF(OR($E98=3,$E98=1,$E98=4),BO98,BN98))),IF($D98="Pressio.",
IF($E98=3,BO98,BN98),
IF($D98="Pénétro.",
IF($E98=4,BO98,BN98))))</f>
        <v>#N/A</v>
      </c>
      <c r="BQ98" s="31">
        <v>0</v>
      </c>
      <c r="BR98" s="102" t="e">
        <f>IF(NDC!$H$10="Oui",(VLOOKUP($B$3,'Coeff EC7'!$T$39:$X$59,2,0)*BP98+VLOOKUP($B$3,'Coeff EC7'!$T$65:$X$85,2,0)*Model0.1T!BQ98)/1.5,PI()*BN$12*$Q98*($B98-$B97)*0.15/10+BR97)</f>
        <v>#N/A</v>
      </c>
      <c r="BS98" s="102" t="e">
        <f>(VLOOKUP($B$3,'Coeff EC7'!$T$39:$X$59,3,0)*BP98+VLOOKUP($B$3,'Coeff EC7'!$T$65:$X$85,3,0)*Model0.1T!BQ98)/1.1</f>
        <v>#N/A</v>
      </c>
      <c r="BT98" s="102" t="e">
        <f t="shared" si="178"/>
        <v>#N/A</v>
      </c>
      <c r="BU98" s="102" t="e">
        <f t="shared" si="179"/>
        <v>#N/A</v>
      </c>
      <c r="BV98" s="414" t="e">
        <f>IF(AND(BR98&gt;NDC!$C$63,BS98&gt;NDC!$C$65,BT98&gt;NDC!$D$73,BU98&gt;NDC!$D$74,$B98&gt;NDC!$H$22-0.1+MIN(3*BV$12,1.5)),0,1)</f>
        <v>#N/A</v>
      </c>
      <c r="BW98" s="86" t="b">
        <f t="shared" si="145"/>
        <v>0</v>
      </c>
      <c r="BX98" s="86">
        <f t="shared" si="146"/>
        <v>0.5</v>
      </c>
      <c r="BY98" s="86">
        <f t="shared" si="147"/>
        <v>0.5</v>
      </c>
      <c r="BZ98" s="30" t="e">
        <f t="shared" ca="1" si="180"/>
        <v>#DIV/0!</v>
      </c>
      <c r="CA98" s="85" t="e">
        <f ca="1">IF(BG98&lt;=Hypothèses!$V$7,Hypothèses!$W$7,IF(BG98&lt;=Hypothèses!$V$8,Hypothèses!$W$8,IF(BG98&lt;=Hypothèses!$V$9,Hypothèses!$W$9,IF(BG98&lt;=Hypothèses!$V$10,Hypothèses!$W$10,IF(BG98&lt;=Hypothèses!$V$11,Hypothèses!$W$11,IF(BG98&lt;=Hypothèses!$V$12,Hypothèses!$W$12,IF(BG98&lt;=Hypothèses!$V$13,Hypothèses!$W$13,IF(BG98&lt;=Hypothèses!$V$14,Hypothèses!$W$14,IF(BG98&lt;=Hypothèses!$V$15,Hypothèses!$W$15,IF(BG98&lt;=Hypothèses!$V$16,Hypothèses!$W$16,IF(BG98&lt;=Hypothèses!$V$17,Hypothèses!$W$17,IF(BG98&lt;=Hypothèses!$V$18,Hypothèses!$W$18,""))))))))))))</f>
        <v>#DIV/0!</v>
      </c>
      <c r="CB98" s="87" t="e">
        <f t="shared" ca="1" si="219"/>
        <v>#DIV/0!</v>
      </c>
      <c r="CC98" s="88" t="e">
        <f ca="1">IF(BG98&lt;=Hypothèses!$V$7,Hypothèses!$X$7,IF(BG98&lt;=Hypothèses!$V$8,Hypothèses!$X$8,IF(BG98&lt;=Hypothèses!$V$9,Hypothèses!$X$9,IF(BG98&lt;=Hypothèses!$V$10,Hypothèses!$X$10,IF(BG98&lt;=Hypothèses!$V$11,Hypothèses!$X$11,IF(BG98&lt;=Hypothèses!$V$12,Hypothèses!$X$12,IF(BG98&lt;=Hypothèses!$V$13,Hypothèses!$X$13,IF(BG98&lt;=Hypothèses!$V$14,Hypothèses!$X$14,IF(BG98&lt;=Hypothèses!$V$15,Hypothèses!$X$15,IF(BG98&lt;=Hypothèses!$V$16,Hypothèses!$X$16,IF(BG98&lt;=Hypothèses!$U$17,Hypothèses!$W$17,IF(BG98&lt;=Hypothèses!$U$18,Hypothèses!$W$18,""))))))))))))</f>
        <v>#DIV/0!</v>
      </c>
      <c r="CD98" s="95" t="e">
        <f t="shared" ca="1" si="181"/>
        <v>#DIV/0!</v>
      </c>
      <c r="CE98" s="101">
        <f t="shared" si="226"/>
        <v>0</v>
      </c>
      <c r="CF98" s="91">
        <f t="shared" si="148"/>
        <v>0</v>
      </c>
      <c r="CG98" s="30" t="e">
        <f t="shared" si="206"/>
        <v>#N/A</v>
      </c>
      <c r="CH98" s="30" t="e">
        <f t="shared" si="207"/>
        <v>#N/A</v>
      </c>
      <c r="CI98" s="31" t="e">
        <f>IF(OR(Hypothèses!$B$4=17,Hypothèses!$B$4=18,Hypothèses!$B$4=19,Hypothèses!$B$4=20),
IF($D98="Pressio.",
IF(OR($E98=3,$E98=1,$E98=4),CH98,CG98),
IF($D98="Pénétro.",
IF(OR($E98=3,$E98=1,$E98=4),CH98,CG98))),IF($D98="Pressio.",
IF($E98=3,CH98,CG98),
IF($D98="Pénétro.",
IF($E98=4,CH98,CG98))))</f>
        <v>#N/A</v>
      </c>
      <c r="CJ98" s="31">
        <v>0</v>
      </c>
      <c r="CK98" s="102" t="e">
        <f>IF(NDC!$H$10="Oui",(VLOOKUP($B$3,'Coeff EC7'!$T$39:$X$59,2,0)*CI98+VLOOKUP($B$3,'Coeff EC7'!$T$65:$X$85,2,0)*Model0.1T!CJ98)/1.5,PI()*CG$12*$Q98*($B98-$B97)*0.15/10+CK97)</f>
        <v>#N/A</v>
      </c>
      <c r="CL98" s="102" t="e">
        <f>(VLOOKUP($B$3,'Coeff EC7'!$T$39:$X$59,3,0)*CI98+VLOOKUP($B$3,'Coeff EC7'!$T$65:$X$85,3,0)*Model0.1T!CJ98)/1.1</f>
        <v>#N/A</v>
      </c>
      <c r="CM98" s="102" t="e">
        <f t="shared" si="182"/>
        <v>#N/A</v>
      </c>
      <c r="CN98" s="102" t="e">
        <f t="shared" si="183"/>
        <v>#N/A</v>
      </c>
      <c r="CO98" s="414" t="e">
        <f>IF(AND(CK98&gt;NDC!$C$63,CL98&gt;NDC!$C$65,CM98&gt;NDC!$D$73,CN98&gt;NDC!$D$74,$B98&gt;NDC!$H$22-0.1+MIN(3*CO$12,1.5)),0,1)</f>
        <v>#N/A</v>
      </c>
      <c r="CP98" s="86" t="b">
        <f t="shared" si="149"/>
        <v>0</v>
      </c>
      <c r="CQ98" s="86">
        <f t="shared" si="150"/>
        <v>0.5</v>
      </c>
      <c r="CR98" s="86">
        <f t="shared" si="151"/>
        <v>0.5</v>
      </c>
      <c r="CS98" s="30" t="e">
        <f t="shared" ca="1" si="184"/>
        <v>#DIV/0!</v>
      </c>
      <c r="CT98" s="85" t="e">
        <f ca="1">IF(BZ98&lt;=Hypothèses!$V$7,Hypothèses!$W$7,IF(BZ98&lt;=Hypothèses!$V$8,Hypothèses!$W$8,IF(BZ98&lt;=Hypothèses!$V$9,Hypothèses!$W$9,IF(BZ98&lt;=Hypothèses!$V$10,Hypothèses!$W$10,IF(BZ98&lt;=Hypothèses!$V$11,Hypothèses!$W$11,IF(BZ98&lt;=Hypothèses!$V$12,Hypothèses!$W$12,IF(BZ98&lt;=Hypothèses!$V$13,Hypothèses!$W$13,IF(BZ98&lt;=Hypothèses!$V$14,Hypothèses!$W$14,IF(BZ98&lt;=Hypothèses!$V$15,Hypothèses!$W$15,IF(BZ98&lt;=Hypothèses!$V$16,Hypothèses!$W$16,IF(BZ98&lt;=Hypothèses!$V$17,Hypothèses!$W$17,IF(BZ98&lt;=Hypothèses!$V$18,Hypothèses!$W$18,""))))))))))))</f>
        <v>#DIV/0!</v>
      </c>
      <c r="CU98" s="87" t="e">
        <f t="shared" ca="1" si="220"/>
        <v>#DIV/0!</v>
      </c>
      <c r="CV98" s="88" t="e">
        <f ca="1">IF(BZ98&lt;=Hypothèses!$V$7,Hypothèses!$X$7,IF(BZ98&lt;=Hypothèses!$V$8,Hypothèses!$X$8,IF(BZ98&lt;=Hypothèses!$V$9,Hypothèses!$X$9,IF(BZ98&lt;=Hypothèses!$V$10,Hypothèses!$X$10,IF(BZ98&lt;=Hypothèses!$V$11,Hypothèses!$X$11,IF(BZ98&lt;=Hypothèses!$V$12,Hypothèses!$X$12,IF(BZ98&lt;=Hypothèses!$V$13,Hypothèses!$X$13,IF(BZ98&lt;=Hypothèses!$V$14,Hypothèses!$X$14,IF(BZ98&lt;=Hypothèses!$V$15,Hypothèses!$X$15,IF(BZ98&lt;=Hypothèses!$V$16,Hypothèses!$X$16,IF(BZ98&lt;=Hypothèses!$U$17,Hypothèses!$W$17,IF(BZ98&lt;=Hypothèses!$U$18,Hypothèses!$W$18,""))))))))))))</f>
        <v>#DIV/0!</v>
      </c>
      <c r="CW98" s="95" t="e">
        <f t="shared" ca="1" si="185"/>
        <v>#DIV/0!</v>
      </c>
      <c r="CX98" s="101">
        <f t="shared" si="227"/>
        <v>0</v>
      </c>
      <c r="CY98" s="91">
        <f t="shared" si="152"/>
        <v>0</v>
      </c>
      <c r="CZ98" s="30" t="e">
        <f t="shared" si="208"/>
        <v>#N/A</v>
      </c>
      <c r="DA98" s="30" t="e">
        <f t="shared" si="209"/>
        <v>#N/A</v>
      </c>
      <c r="DB98" s="31" t="e">
        <f>IF(OR(Hypothèses!$B$4=17,Hypothèses!$B$4=18,Hypothèses!$B$4=19,Hypothèses!$B$4=20),
IF($D98="Pressio.",
IF(OR($E98=3,$E98=1,$E98=4),DA98,CZ98),
IF($D98="Pénétro.",
IF(OR($E98=3,$E98=1,$E98=4),DA98,CZ98))),IF($D98="Pressio.",
IF($E98=3,DA98,CZ98),
IF($D98="Pénétro.",
IF($E98=4,DA98,CZ98))))</f>
        <v>#N/A</v>
      </c>
      <c r="DC98" s="31">
        <v>0</v>
      </c>
      <c r="DD98" s="102" t="e">
        <f>IF(NDC!$H$10="Oui",(VLOOKUP($B$3,'Coeff EC7'!$T$39:$X$59,2,0)*DB98+VLOOKUP($B$3,'Coeff EC7'!$T$65:$X$85,2,0)*Model0.1T!DC98)/1.5,PI()*CZ$12*$Q98*($B98-$B97)*0.15/10+DD97)</f>
        <v>#N/A</v>
      </c>
      <c r="DE98" s="102" t="e">
        <f>(VLOOKUP($B$3,'Coeff EC7'!$T$39:$X$59,3,0)*DB98+VLOOKUP($B$3,'Coeff EC7'!$T$65:$X$85,3,0)*Model0.1T!DC98)/1.1</f>
        <v>#N/A</v>
      </c>
      <c r="DF98" s="102" t="e">
        <f t="shared" si="186"/>
        <v>#N/A</v>
      </c>
      <c r="DG98" s="102" t="e">
        <f t="shared" si="187"/>
        <v>#N/A</v>
      </c>
      <c r="DH98" s="414" t="e">
        <f>IF(AND(DD98&gt;NDC!$C$63,DE98&gt;NDC!$C$65,DF98&gt;NDC!$D$73,DG98&gt;NDC!$D$74,$B98&gt;NDC!$H$22-0.1+MIN(3*DH$12,1.5)),0,1)</f>
        <v>#N/A</v>
      </c>
      <c r="DI98" s="86" t="b">
        <f t="shared" si="153"/>
        <v>0</v>
      </c>
      <c r="DJ98" s="86">
        <f t="shared" si="154"/>
        <v>0.5</v>
      </c>
      <c r="DK98" s="86">
        <f t="shared" si="155"/>
        <v>0.5</v>
      </c>
      <c r="DL98" s="30" t="e">
        <f t="shared" ca="1" si="188"/>
        <v>#DIV/0!</v>
      </c>
      <c r="DM98" s="85" t="e">
        <f ca="1">IF(CS98&lt;=Hypothèses!$V$7,Hypothèses!$W$7,IF(CS98&lt;=Hypothèses!$V$8,Hypothèses!$W$8,IF(CS98&lt;=Hypothèses!$V$9,Hypothèses!$W$9,IF(CS98&lt;=Hypothèses!$V$10,Hypothèses!$W$10,IF(CS98&lt;=Hypothèses!$V$11,Hypothèses!$W$11,IF(CS98&lt;=Hypothèses!$V$12,Hypothèses!$W$12,IF(CS98&lt;=Hypothèses!$V$13,Hypothèses!$W$13,IF(CS98&lt;=Hypothèses!$V$14,Hypothèses!$W$14,IF(CS98&lt;=Hypothèses!$V$15,Hypothèses!$W$15,IF(CS98&lt;=Hypothèses!$V$16,Hypothèses!$W$16,IF(CS98&lt;=Hypothèses!$V$17,Hypothèses!$W$17,IF(CS98&lt;=Hypothèses!$V$18,Hypothèses!$W$18,""))))))))))))</f>
        <v>#DIV/0!</v>
      </c>
      <c r="DN98" s="87" t="e">
        <f t="shared" ca="1" si="221"/>
        <v>#DIV/0!</v>
      </c>
      <c r="DO98" s="88" t="e">
        <f ca="1">IF(CS98&lt;=Hypothèses!$V$7,Hypothèses!$X$7,IF(CS98&lt;=Hypothèses!$V$8,Hypothèses!$X$8,IF(CS98&lt;=Hypothèses!$V$9,Hypothèses!$X$9,IF(CS98&lt;=Hypothèses!$V$10,Hypothèses!$X$10,IF(CS98&lt;=Hypothèses!$V$11,Hypothèses!$X$11,IF(CS98&lt;=Hypothèses!$V$12,Hypothèses!$X$12,IF(CS98&lt;=Hypothèses!$V$13,Hypothèses!$X$13,IF(CS98&lt;=Hypothèses!$V$14,Hypothèses!$X$14,IF(CS98&lt;=Hypothèses!$V$15,Hypothèses!$X$15,IF(CS98&lt;=Hypothèses!$V$16,Hypothèses!$X$16,IF(CS98&lt;=Hypothèses!$U$17,Hypothèses!$W$17,IF(CS98&lt;=Hypothèses!$U$18,Hypothèses!$W$18,""))))))))))))</f>
        <v>#DIV/0!</v>
      </c>
      <c r="DP98" s="95" t="e">
        <f t="shared" ca="1" si="189"/>
        <v>#DIV/0!</v>
      </c>
      <c r="DQ98" s="101">
        <f t="shared" si="228"/>
        <v>0</v>
      </c>
      <c r="DR98" s="91">
        <f t="shared" si="156"/>
        <v>0</v>
      </c>
      <c r="DS98" s="30" t="e">
        <f t="shared" si="210"/>
        <v>#N/A</v>
      </c>
      <c r="DT98" s="30" t="e">
        <f t="shared" si="211"/>
        <v>#N/A</v>
      </c>
      <c r="DU98" s="31" t="e">
        <f>IF(OR(Hypothèses!$B$4=17,Hypothèses!$B$4=18,Hypothèses!$B$4=19,Hypothèses!$B$4=20),
IF($D98="Pressio.",
IF(OR($E98=3,$E98=1,$E98=4),DT98,DS98),
IF($D98="Pénétro.",
IF(OR($E98=3,$E98=1,$E98=4),DT98,DS98))),IF($D98="Pressio.",
IF($E98=3,DT98,DS98),
IF($D98="Pénétro.",
IF($E98=4,DT98,DS98))))</f>
        <v>#N/A</v>
      </c>
      <c r="DV98" s="31">
        <v>0</v>
      </c>
      <c r="DW98" s="102" t="e">
        <f>IF(NDC!$H$10="Oui",(VLOOKUP($B$3,'Coeff EC7'!$T$39:$X$59,2,0)*DU98+VLOOKUP($B$3,'Coeff EC7'!$T$65:$X$85,2,0)*Model0.1T!DV98)/1.5,PI()*DS$12*$Q98*($B98-$B97)*0.15/10+DW97)</f>
        <v>#N/A</v>
      </c>
      <c r="DX98" s="102" t="e">
        <f>(VLOOKUP($B$3,'Coeff EC7'!$T$39:$X$59,3,0)*DU98+VLOOKUP($B$3,'Coeff EC7'!$T$65:$X$85,3,0)*Model0.1T!DV98)/1.1</f>
        <v>#N/A</v>
      </c>
      <c r="DY98" s="102" t="e">
        <f t="shared" si="190"/>
        <v>#N/A</v>
      </c>
      <c r="DZ98" s="102" t="e">
        <f t="shared" si="191"/>
        <v>#N/A</v>
      </c>
      <c r="EA98" s="414" t="e">
        <f>IF(AND(DW98&gt;NDC!$C$63,DX98&gt;NDC!$C$65,DY98&gt;NDC!$D$73,DZ98&gt;NDC!$D$74,$B98&gt;NDC!$H$22-0.1+MIN(3*EA$12,1.5)),0,1)</f>
        <v>#N/A</v>
      </c>
      <c r="EB98" s="86" t="b">
        <f t="shared" si="157"/>
        <v>0</v>
      </c>
      <c r="EC98" s="418">
        <f t="shared" si="158"/>
        <v>0.51</v>
      </c>
      <c r="ED98" s="86">
        <f t="shared" si="159"/>
        <v>0.51</v>
      </c>
      <c r="EE98" s="30" t="e">
        <f t="shared" ca="1" si="192"/>
        <v>#DIV/0!</v>
      </c>
      <c r="EF98" s="85" t="e">
        <f ca="1">IF(DL98&lt;=Hypothèses!$V$7,Hypothèses!$W$7,IF(DL98&lt;=Hypothèses!$V$8,Hypothèses!$W$8,IF(DL98&lt;=Hypothèses!$V$9,Hypothèses!$W$9,IF(DL98&lt;=Hypothèses!$V$10,Hypothèses!$W$10,IF(DL98&lt;=Hypothèses!$V$11,Hypothèses!$W$11,IF(DL98&lt;=Hypothèses!$V$12,Hypothèses!$W$12,IF(DL98&lt;=Hypothèses!$V$13,Hypothèses!$W$13,IF(DL98&lt;=Hypothèses!$V$14,Hypothèses!$W$14,IF(DL98&lt;=Hypothèses!$V$15,Hypothèses!$W$15,IF(DL98&lt;=Hypothèses!$V$16,Hypothèses!$W$16,IF(DL98&lt;=Hypothèses!$V$17,Hypothèses!$W$17,IF(DL98&lt;=Hypothèses!$V$18,Hypothèses!$W$18,""))))))))))))</f>
        <v>#DIV/0!</v>
      </c>
      <c r="EG98" s="87" t="e">
        <f t="shared" ca="1" si="222"/>
        <v>#DIV/0!</v>
      </c>
      <c r="EH98" s="88" t="e">
        <f ca="1">IF(DL98&lt;=Hypothèses!$V$7,Hypothèses!$X$7,IF(DL98&lt;=Hypothèses!$V$8,Hypothèses!$X$8,IF(DL98&lt;=Hypothèses!$V$9,Hypothèses!$X$9,IF(DL98&lt;=Hypothèses!$V$10,Hypothèses!$X$10,IF(DL98&lt;=Hypothèses!$V$11,Hypothèses!$X$11,IF(DL98&lt;=Hypothèses!$V$12,Hypothèses!$X$12,IF(DL98&lt;=Hypothèses!$V$13,Hypothèses!$X$13,IF(DL98&lt;=Hypothèses!$V$14,Hypothèses!$X$14,IF(DL98&lt;=Hypothèses!$V$15,Hypothèses!$X$15,IF(DL98&lt;=Hypothèses!$V$16,Hypothèses!$X$16,IF(DL98&lt;=Hypothèses!$U$17,Hypothèses!$W$17,IF(DL98&lt;=Hypothèses!$U$18,Hypothèses!$W$18,""))))))))))))</f>
        <v>#DIV/0!</v>
      </c>
      <c r="EI98" s="95" t="e">
        <f t="shared" ca="1" si="193"/>
        <v>#DIV/0!</v>
      </c>
      <c r="EJ98" s="101">
        <f t="shared" si="229"/>
        <v>0</v>
      </c>
      <c r="EK98" s="91">
        <f t="shared" si="160"/>
        <v>0</v>
      </c>
      <c r="EL98" s="30" t="e">
        <f t="shared" si="212"/>
        <v>#N/A</v>
      </c>
      <c r="EM98" s="30" t="e">
        <f t="shared" si="213"/>
        <v>#N/A</v>
      </c>
      <c r="EN98" s="31" t="e">
        <f>IF(OR(Hypothèses!$B$4=17,Hypothèses!$B$4=18,Hypothèses!$B$4=19,Hypothèses!$B$4=20),
IF($D98="Pressio.",
IF(OR($E98=3,$E98=1,$E98=4),EM98,EL98),
IF($D98="Pénétro.",
IF(OR($E98=3,$E98=1,$E98=4),EM98,EL98))),IF($D98="Pressio.",
IF($E98=3,EM98,EL98),
IF($D98="Pénétro.",
IF($E98=4,EM98,EL98))))</f>
        <v>#N/A</v>
      </c>
      <c r="EO98" s="31">
        <v>0</v>
      </c>
      <c r="EP98" s="102" t="e">
        <f>IF(NDC!$H$10="Oui",(VLOOKUP($B$3,'Coeff EC7'!$T$39:$X$59,2,0)*EN98+VLOOKUP($B$3,'Coeff EC7'!$T$65:$X$85,2,0)*Model0.1T!EO98)/1.5,PI()*EL$12*$Q98*($B98-$B97)*0.15/10+EP97)</f>
        <v>#N/A</v>
      </c>
      <c r="EQ98" s="102" t="e">
        <f>(VLOOKUP($B$3,'Coeff EC7'!$T$39:$X$59,3,0)*EN98+VLOOKUP($B$3,'Coeff EC7'!$T$65:$X$85,3,0)*Model0.1T!EO98)/1.1</f>
        <v>#N/A</v>
      </c>
      <c r="ER98" s="102" t="e">
        <f t="shared" si="194"/>
        <v>#N/A</v>
      </c>
      <c r="ES98" s="102" t="e">
        <f t="shared" si="195"/>
        <v>#N/A</v>
      </c>
      <c r="ET98" s="414" t="e">
        <f>IF(AND(EP98&gt;NDC!$C$63,EQ98&gt;NDC!$C$65,ER98&gt;NDC!$D$73,ES98&gt;NDC!$D$74,$B98&gt;NDC!$H$22-0.1+MIN(3*ET$12,1.5)),0,1)</f>
        <v>#N/A</v>
      </c>
      <c r="EU98" s="86" t="b">
        <f t="shared" si="161"/>
        <v>0</v>
      </c>
      <c r="EV98" s="86">
        <f t="shared" si="162"/>
        <v>0.61</v>
      </c>
      <c r="EW98" s="86">
        <f t="shared" si="163"/>
        <v>0.61</v>
      </c>
      <c r="EX98" s="30" t="e">
        <f t="shared" ca="1" si="196"/>
        <v>#DIV/0!</v>
      </c>
      <c r="EY98" s="85" t="e">
        <f ca="1">IF(EE98&lt;=Hypothèses!$V$7,Hypothèses!$W$7,IF(EE98&lt;=Hypothèses!$V$8,Hypothèses!$W$8,IF(EE98&lt;=Hypothèses!$V$9,Hypothèses!$W$9,IF(EE98&lt;=Hypothèses!$V$10,Hypothèses!$W$10,IF(EE98&lt;=Hypothèses!$V$11,Hypothèses!$W$11,IF(EE98&lt;=Hypothèses!$V$12,Hypothèses!$W$12,IF(EE98&lt;=Hypothèses!$V$13,Hypothèses!$W$13,IF(EE98&lt;=Hypothèses!$V$14,Hypothèses!$W$14,IF(EE98&lt;=Hypothèses!$V$15,Hypothèses!$W$15,IF(EE98&lt;=Hypothèses!$V$16,Hypothèses!$W$16,IF(EE98&lt;=Hypothèses!$V$17,Hypothèses!$W$17,IF(EE98&lt;=Hypothèses!$V$18,Hypothèses!$W$18,""))))))))))))</f>
        <v>#DIV/0!</v>
      </c>
      <c r="EZ98" s="87" t="e">
        <f t="shared" ca="1" si="223"/>
        <v>#DIV/0!</v>
      </c>
      <c r="FA98" s="88" t="e">
        <f ca="1">IF(EE98&lt;=Hypothèses!$V$7,Hypothèses!$X$7,IF(EE98&lt;=Hypothèses!$V$8,Hypothèses!$X$8,IF(EE98&lt;=Hypothèses!$V$9,Hypothèses!$X$9,IF(EE98&lt;=Hypothèses!$V$10,Hypothèses!$X$10,IF(EE98&lt;=Hypothèses!$V$11,Hypothèses!$X$11,IF(EE98&lt;=Hypothèses!$V$12,Hypothèses!$X$12,IF(EE98&lt;=Hypothèses!$V$13,Hypothèses!$X$13,IF(EE98&lt;=Hypothèses!$V$14,Hypothèses!$X$14,IF(EE98&lt;=Hypothèses!$V$15,Hypothèses!$X$15,IF(EE98&lt;=Hypothèses!$V$16,Hypothèses!$X$16,IF(EE98&lt;=Hypothèses!$U$17,Hypothèses!$W$17,IF(EE98&lt;=Hypothèses!$U$18,Hypothèses!$W$18,""))))))))))))</f>
        <v>#DIV/0!</v>
      </c>
      <c r="FB98" s="95" t="e">
        <f t="shared" ca="1" si="197"/>
        <v>#DIV/0!</v>
      </c>
      <c r="FC98" s="101">
        <f t="shared" si="230"/>
        <v>0</v>
      </c>
      <c r="FD98" s="91">
        <f t="shared" si="164"/>
        <v>0</v>
      </c>
      <c r="FE98" s="30" t="e">
        <f t="shared" si="214"/>
        <v>#N/A</v>
      </c>
      <c r="FF98" s="30" t="e">
        <f t="shared" si="215"/>
        <v>#N/A</v>
      </c>
      <c r="FG98" s="31" t="e">
        <f>IF(OR(Hypothèses!$B$4=17,Hypothèses!$B$4=18,Hypothèses!$B$4=19,Hypothèses!$B$4=20),
IF($D98="Pressio.",
IF(OR($E98=3,$E98=1,$E98=4),FF98,FE98),
IF($D98="Pénétro.",
IF(OR($E98=3,$E98=1,$E98=4),FF98,FE98))),IF($D98="Pressio.",
IF($E98=3,FF98,FE98),
IF($D98="Pénétro.",
IF($E98=4,FF98,FE98))))</f>
        <v>#N/A</v>
      </c>
      <c r="FH98" s="31">
        <v>0</v>
      </c>
      <c r="FI98" s="102" t="e">
        <f>IF(NDC!$H$10="Oui",(VLOOKUP($B$3,'Coeff EC7'!$T$39:$X$59,2,0)*FG98+VLOOKUP($B$3,'Coeff EC7'!$T$65:$X$85,2,0)*Model0.1T!FH98)/1.5,PI()*FE$12*$Q98*($B98-$B97)*0.15/10+FI97)</f>
        <v>#N/A</v>
      </c>
      <c r="FJ98" s="102" t="e">
        <f>(VLOOKUP($B$3,'Coeff EC7'!$T$39:$X$59,3,0)*FG98+VLOOKUP($B$3,'Coeff EC7'!$T$65:$X$85,3,0)*Model0.1T!FH98)/1.1</f>
        <v>#N/A</v>
      </c>
      <c r="FK98" s="102" t="e">
        <f t="shared" si="198"/>
        <v>#N/A</v>
      </c>
      <c r="FL98" s="102" t="e">
        <f t="shared" si="199"/>
        <v>#N/A</v>
      </c>
      <c r="FM98" s="414" t="e">
        <f>IF(AND(FI98&gt;NDC!$C$63,FJ98&gt;NDC!$C$65,FK98&gt;NDC!$D$73,FL98&gt;NDC!$D$74,$B98&gt;NDC!$H$22-0.1+MIN(3*FM$12,1.5)),0,1)</f>
        <v>#N/A</v>
      </c>
    </row>
    <row r="99" spans="1:169">
      <c r="A99" s="96">
        <f t="shared" si="165"/>
        <v>91.400000000000489</v>
      </c>
      <c r="B99" s="97">
        <v>8.6</v>
      </c>
      <c r="C99" s="81">
        <f>IF(B99&lt;=Hypothèses!$C$7,Hypothèses!$A$7,IF(B99&lt;=Hypothèses!$C$8,Hypothèses!$A$8,IF(B99&lt;=Hypothèses!$C$9,Hypothèses!$A$9,IF(B99&lt;=Hypothèses!$C$10,Hypothèses!$A$10,IF(B99&lt;=Hypothèses!$C$11,Hypothèses!$A$11,IF(B99&lt;=Hypothèses!$C$12,Hypothèses!$A$12,IF(B99&lt;=Hypothèses!$C$13,Hypothèses!$A$13,IF(B99&lt;=Hypothèses!$C$14,Hypothèses!$A$14,IF(B99&lt;=Hypothèses!$C$15,Hypothèses!$A$15,IF(B99&lt;=Hypothèses!$C$16,Hypothèses!$A$16,IF(B99&lt;=Hypothèses!$C$17,Hypothèses!$A$17,IF(B99&lt;=Hypothèses!$C$18,Hypothèses!$A$18,C98))))))))))))</f>
        <v>11</v>
      </c>
      <c r="D99" s="82" t="str">
        <f>IF(B99&lt;=Hypothèses!$C$7,Hypothèses!$R$7,IF(B99&lt;=Hypothèses!$C$8,Hypothèses!$R$8,IF(B99&lt;=Hypothèses!$C$9,Hypothèses!$R$9,IF(B99&lt;=Hypothèses!$C$10,Hypothèses!$R$10,IF(B99&lt;=Hypothèses!$C$11,Hypothèses!$R$11,IF(B99&lt;=Hypothèses!$C$12,Hypothèses!$R$12,IF(B99&lt;=Hypothèses!$C$13,Hypothèses!$R$13,IF(B99&lt;=Hypothèses!$C$14,Hypothèses!$R$14,IF(B99&lt;=Hypothèses!$C$15,Hypothèses!$R$15,IF(B99&lt;=Hypothèses!$C$16,Hypothèses!$R$16,IF(B99&lt;=Hypothèses!$C$17,Hypothèses!$R$17,IF(B99&lt;=Hypothèses!$C$18,Hypothèses!$R$18,D98))))))))))))</f>
        <v>Pressio.</v>
      </c>
      <c r="E99" s="82" t="e">
        <f>IF(B99&lt;=Hypothèses!$C$7,Hypothèses!$G$7,IF(B99&lt;=Hypothèses!$C$8,Hypothèses!$G$8,IF(B99&lt;=Hypothèses!$C$9,Hypothèses!$G$9,IF(B99&lt;=Hypothèses!$C$10,Hypothèses!$G$10,IF(B99&lt;=Hypothèses!$C$11,Hypothèses!$G$11,IF(B99&lt;=Hypothèses!$C$12,Hypothèses!$G$12,IF(B99&lt;=Hypothèses!$C$13,Hypothèses!$G$13,IF(B99&lt;=Hypothèses!$C$14,Hypothèses!$G$14,IF(B99&lt;=Hypothèses!$C$15,Hypothèses!$G$15,IF(B99&lt;=Hypothèses!$C$16,Hypothèses!$G$16,IF(B99&lt;=Hypothèses!$C$17,Hypothèses!$G$17,IF(B99&lt;=Hypothèses!$C$18,Hypothèses!$G$18,E98))))))))))))</f>
        <v>#N/A</v>
      </c>
      <c r="F99" s="82" t="str">
        <f>IF(B99&lt;=Hypothèses!$C$7,Hypothèses!$F$7,IF(B99&lt;=Hypothèses!$C$8,Hypothèses!$F$8,IF(B99&lt;=Hypothèses!$C$9,Hypothèses!$F$9,IF(B99&lt;=Hypothèses!$C$10,Hypothèses!$F$10,IF(B99&lt;=Hypothèses!$C$11,Hypothèses!$F$11,IF(B99&lt;=Hypothèses!$C$12,Hypothèses!$F$12,IF(B99&lt;=Hypothèses!$C$13,Hypothèses!$F$13,IF(B99&lt;=Hypothèses!$C$14,Hypothèses!$F$14,IF(B99&lt;=Hypothèses!$C$15,Hypothèses!$F$15,IF(B99&lt;=Hypothèses!$C$16,Hypothèses!$F$16,IF(B99&lt;=Hypothèses!$C$17,Hypothèses!$F$17,IF(B99&lt;=Hypothèses!$C$18,Hypothèses!$F$18,F98))))))))))))</f>
        <v/>
      </c>
      <c r="G99" s="91">
        <f t="array" ref="G99">INDEX('Coeff EC7'!$U$7:$X$27,
MATCH(Model0.1T!$B$3,'Coeff EC7'!$T$7:$T$27,0),
MATCH(Model0.1T!$D99&amp;Model0.1T!$B$4,
'Coeff EC7'!$U$6:$X$6&amp;
'Coeff EC7'!$U$5:$X$5,0))</f>
        <v>1.4</v>
      </c>
      <c r="H99" s="91">
        <f t="array" ref="H99">INDEX('Coeff EC7'!$Y$7:$AB$27,
MATCH(Model0.1T!$B$3,'Coeff EC7'!$T$7:$T$27,0),
MATCH(Model0.1T!$D99&amp;Model0.1T!$B$4,
'Coeff EC7'!$Y$6:$AB$6&amp;
'Coeff EC7'!$Y$5:$AB$5,0))</f>
        <v>1.7</v>
      </c>
      <c r="I99" s="83">
        <v>0</v>
      </c>
      <c r="J99" s="91" t="e">
        <f t="array" ref="J99">INDEX('Coeff EC7'!$D$33:$Q$33,1,MATCH(D99&amp;E99,'Coeff EC7'!$D$31:$Q$31&amp;'Coeff EC7'!$D$32:$Q$32,0))</f>
        <v>#N/A</v>
      </c>
      <c r="K99" s="91" t="e">
        <f t="array" ref="K99">INDEX('Coeff EC7'!$D$34:$Q$34,1,MATCH(D99&amp;E99,'Coeff EC7'!$D$31:$Q$31&amp;'Coeff EC7'!$D$32:$Q$32,0))</f>
        <v>#N/A</v>
      </c>
      <c r="L99" s="91" t="e">
        <f t="array" ref="L99">INDEX('Coeff EC7'!$D$35:$Q$35,1,MATCH(D99&amp;E99,'Coeff EC7'!$D$31:$Q$31&amp;'Coeff EC7'!$D$32:$Q$32,0))</f>
        <v>#N/A</v>
      </c>
      <c r="M99" s="98" t="e">
        <f t="shared" si="131"/>
        <v>#N/A</v>
      </c>
      <c r="N99" s="99" t="e">
        <f t="array" ref="N99">INDEX('Coeff EC7'!$D$7:$Q$27,MATCH($B$3,'Coeff EC7'!$C$7:$C$27,0),MATCH(D99&amp;E99,'Coeff EC7'!$D$5:$Q$5&amp;'Coeff EC7'!$D$6:$Q$6,0))</f>
        <v>#N/A</v>
      </c>
      <c r="O99" s="99" t="e">
        <f t="array" ref="O99">INDEX('Coeff EC7'!$D$41:$Q$61,MATCH($B$3,'Coeff EC7'!$C$41:$C$61,0),MATCH(D99&amp;E99,'Coeff EC7'!$D$39:$Q$39&amp;'Coeff EC7'!$D$40:$Q$40,0))</f>
        <v>#N/A</v>
      </c>
      <c r="P99" s="30" t="e">
        <f t="shared" si="166"/>
        <v>#N/A</v>
      </c>
      <c r="Q99" s="100" t="e">
        <f t="shared" si="133"/>
        <v>#N/A</v>
      </c>
      <c r="R99" s="86" t="b">
        <f t="shared" si="134"/>
        <v>0</v>
      </c>
      <c r="S99" s="86">
        <f t="shared" si="132"/>
        <v>0.5</v>
      </c>
      <c r="T99" s="86">
        <f t="shared" si="135"/>
        <v>0.5</v>
      </c>
      <c r="U99" s="30" t="e">
        <f t="shared" ca="1" si="167"/>
        <v>#DIV/0!</v>
      </c>
      <c r="V99" s="85" t="str">
        <f>IF(B99&lt;=Hypothèses!$V$7,Hypothèses!$W$7,IF(B99&lt;=Hypothèses!$V$8,Hypothèses!$W$8,IF(B99&lt;=Hypothèses!$V$9,Hypothèses!$W$9,IF(B99&lt;=Hypothèses!$V$10,Hypothèses!$W$10,IF(B99&lt;=Hypothèses!$V$11,Hypothèses!$W$11,IF(B99&lt;=Hypothèses!$V$12,Hypothèses!$W$12,IF(B99&lt;=Hypothèses!$V$13,Hypothèses!$W$13,IF(B99&lt;=Hypothèses!$V$14,Hypothèses!$W$14,IF(B99&lt;=Hypothèses!$V$15,Hypothèses!$W$15,IF(B99&lt;=Hypothèses!$V$16,Hypothèses!$W$16,IF(B99&lt;=Hypothèses!$V$17,Hypothèses!$W$17,IF(B99&lt;=Hypothèses!$V$18,Hypothèses!$W$18,""))))))))))))</f>
        <v/>
      </c>
      <c r="W99" s="87" t="e">
        <f t="shared" ca="1" si="216"/>
        <v>#DIV/0!</v>
      </c>
      <c r="X99" s="88" t="str">
        <f>IF(B99&lt;=Hypothèses!$V$7,Hypothèses!$X$7,IF(B99&lt;=Hypothèses!$V$8,Hypothèses!$X$8,IF(B99&lt;=Hypothèses!$V$9,Hypothèses!$X$9,IF(B99&lt;=Hypothèses!$V$10,Hypothèses!$X$10,IF(B99&lt;=Hypothèses!$V$11,Hypothèses!$X$11,IF(B99&lt;=Hypothèses!$V$12,Hypothèses!$X$12,IF(B99&lt;=Hypothèses!$V$13,Hypothèses!$X$13,IF(B99&lt;=Hypothèses!$V$14,Hypothèses!$X$14,IF(B99&lt;=Hypothèses!$V$15,Hypothèses!$X$15,IF(B99&lt;=Hypothèses!$V$16,Hypothèses!$X$16,IF(B99&lt;=Hypothèses!$U$17,Hypothèses!$W$17,IF(B99&lt;=Hypothèses!$U$18,Hypothèses!$W$18,""))))))))))))</f>
        <v/>
      </c>
      <c r="Y99" s="95" t="e">
        <f t="shared" ca="1" si="136"/>
        <v>#DIV/0!</v>
      </c>
      <c r="Z99" s="101">
        <f t="shared" si="137"/>
        <v>0</v>
      </c>
      <c r="AA99" s="91">
        <f t="shared" si="138"/>
        <v>0</v>
      </c>
      <c r="AB99" s="30" t="e">
        <f t="shared" si="200"/>
        <v>#N/A</v>
      </c>
      <c r="AC99" s="30" t="e">
        <f t="shared" si="201"/>
        <v>#N/A</v>
      </c>
      <c r="AD99" s="31" t="e">
        <f>IF(OR(Hypothèses!$B$4=17,Hypothèses!$B$4=18,Hypothèses!$B$4=19,Hypothèses!$B$4=20),
IF($D99="Pressio.",
IF(OR($E99=3,$E99=1,$E99=4),AC99,AB99),
IF($D99="Pénétro.",
IF(OR($E99=3,$E99=1,$E99=4),AC99,AB99))),IF($D99="Pressio.",
IF($E99=3,AC99,AB99),
IF($D99="Pénétro.",
IF($E99=4,AC99,AB99))))</f>
        <v>#N/A</v>
      </c>
      <c r="AE99" s="31">
        <v>0</v>
      </c>
      <c r="AF99" s="102" t="e">
        <f>IF(NDC!$H$10="Oui",(VLOOKUP($B$3,'Coeff EC7'!$T$39:$X$59,2,0)*AD99+VLOOKUP($B$3,'Coeff EC7'!$T$65:$X$85,2,0)*Model0.1T!AE99)/1.5,PI()*AB$12*$Q99*($B99-$B98)*0.15/10+AF98)</f>
        <v>#N/A</v>
      </c>
      <c r="AG99" s="102" t="e">
        <f>(VLOOKUP($B$3,'Coeff EC7'!$T$39:$X$59,3,0)*AD99+VLOOKUP($B$3,'Coeff EC7'!$T$65:$X$85,3,0)*Model0.1T!AE99)/1.1</f>
        <v>#N/A</v>
      </c>
      <c r="AH99" s="102" t="e">
        <f t="shared" si="168"/>
        <v>#N/A</v>
      </c>
      <c r="AI99" s="102" t="e">
        <f t="shared" si="169"/>
        <v>#N/A</v>
      </c>
      <c r="AJ99" s="414" t="e">
        <f>IF(AND(AF99&gt;NDC!$C$63,AG99&gt;NDC!$C$65,AH99&gt;NDC!$D$73,AI99&gt;NDC!$D$74,$B99&gt;NDC!$H$22-0.1+MIN(3*$AJ$12,1.5)),0,1)</f>
        <v>#N/A</v>
      </c>
      <c r="AK99" s="86" t="b">
        <f t="shared" si="139"/>
        <v>0</v>
      </c>
      <c r="AL99" s="86">
        <f t="shared" si="170"/>
        <v>0.5</v>
      </c>
      <c r="AM99" s="86">
        <f t="shared" si="140"/>
        <v>0.5</v>
      </c>
      <c r="AN99" s="30" t="e">
        <f t="shared" ca="1" si="171"/>
        <v>#DIV/0!</v>
      </c>
      <c r="AO99" s="85" t="e">
        <f ca="1">IF(U99&lt;=Hypothèses!$V$7,Hypothèses!$W$7,IF(U99&lt;=Hypothèses!$V$8,Hypothèses!$W$8,IF(U99&lt;=Hypothèses!$V$9,Hypothèses!$W$9,IF(U99&lt;=Hypothèses!$V$10,Hypothèses!$W$10,IF(U99&lt;=Hypothèses!$V$11,Hypothèses!$W$11,IF(U99&lt;=Hypothèses!$V$12,Hypothèses!$W$12,IF(U99&lt;=Hypothèses!$V$13,Hypothèses!$W$13,IF(U99&lt;=Hypothèses!$V$14,Hypothèses!$W$14,IF(U99&lt;=Hypothèses!$V$15,Hypothèses!$W$15,IF(U99&lt;=Hypothèses!$V$16,Hypothèses!$W$16,IF(U99&lt;=Hypothèses!$V$17,Hypothèses!$W$17,IF(U99&lt;=Hypothèses!$V$18,Hypothèses!$W$18,""))))))))))))</f>
        <v>#DIV/0!</v>
      </c>
      <c r="AP99" s="87" t="e">
        <f t="shared" ca="1" si="217"/>
        <v>#DIV/0!</v>
      </c>
      <c r="AQ99" s="88" t="e">
        <f ca="1">IF(U99&lt;=Hypothèses!$V$7,Hypothèses!$X$7,IF(U99&lt;=Hypothèses!$V$8,Hypothèses!$X$8,IF(U99&lt;=Hypothèses!$V$9,Hypothèses!$X$9,IF(U99&lt;=Hypothèses!$V$10,Hypothèses!$X$10,IF(U99&lt;=Hypothèses!$V$11,Hypothèses!$X$11,IF(U99&lt;=Hypothèses!$V$12,Hypothèses!$X$12,IF(U99&lt;=Hypothèses!$V$13,Hypothèses!$X$13,IF(U99&lt;=Hypothèses!$V$14,Hypothèses!$X$14,IF(U99&lt;=Hypothèses!$V$15,Hypothèses!$X$15,IF(U99&lt;=Hypothèses!$V$16,Hypothèses!$X$16,IF(U99&lt;=Hypothèses!$U$17,Hypothèses!$W$17,IF(U99&lt;=Hypothèses!$U$18,Hypothèses!$W$18,""))))))))))))</f>
        <v>#DIV/0!</v>
      </c>
      <c r="AR99" s="95" t="e">
        <f t="shared" ca="1" si="172"/>
        <v>#DIV/0!</v>
      </c>
      <c r="AS99" s="101">
        <f t="shared" si="224"/>
        <v>0</v>
      </c>
      <c r="AT99" s="91">
        <f t="shared" si="141"/>
        <v>0</v>
      </c>
      <c r="AU99" s="30" t="e">
        <f t="shared" si="202"/>
        <v>#N/A</v>
      </c>
      <c r="AV99" s="30" t="e">
        <f t="shared" si="203"/>
        <v>#N/A</v>
      </c>
      <c r="AW99" s="31" t="e">
        <f>IF(OR(Hypothèses!$B$4=17,Hypothèses!$B$4=18,Hypothèses!$B$4=19,Hypothèses!$B$4=20),
IF($D99="Pressio.",
IF(OR($E99=3,$E99=1,$E99=4),AV99,AU99),
IF($D99="Pénétro.",
IF(OR($E99=3,$E99=1,$E99=4),AV99,AU99))),IF($D99="Pressio.",
IF($E99=3,AV99,AU99),
IF($D99="Pénétro.",
IF($E99=4,AV99,AU99))))</f>
        <v>#N/A</v>
      </c>
      <c r="AX99" s="31">
        <v>0</v>
      </c>
      <c r="AY99" s="102" t="e">
        <f>IF(NDC!$H$10="Oui",(VLOOKUP($B$3,'Coeff EC7'!$T$39:$X$59,2,0)*AW99+VLOOKUP($B$3,'Coeff EC7'!$T$65:$X$85,2,0)*Model0.1T!AX99)/1.5,PI()*AU$12*$Q99*($B99-$B98)*0.15/10+AY98)</f>
        <v>#N/A</v>
      </c>
      <c r="AZ99" s="102" t="e">
        <f>(VLOOKUP($B$3,'Coeff EC7'!$T$39:$X$59,3,0)*AW99+VLOOKUP($B$3,'Coeff EC7'!$T$65:$X$85,3,0)*Model0.1T!AX99)/1.1</f>
        <v>#N/A</v>
      </c>
      <c r="BA99" s="102" t="e">
        <f t="shared" si="173"/>
        <v>#N/A</v>
      </c>
      <c r="BB99" s="102" t="e">
        <f t="shared" si="174"/>
        <v>#N/A</v>
      </c>
      <c r="BC99" s="414" t="e">
        <f>IF(AND(AY99&gt;NDC!$C$63,AZ99&gt;NDC!$C$65,BA99&gt;NDC!$D$73,BB99&gt;NDC!$D$74,$B99&gt;NDC!$H$22-0.1+MIN(3*BC$12,1.5)),0,1)</f>
        <v>#N/A</v>
      </c>
      <c r="BD99" s="86" t="b">
        <f t="shared" si="142"/>
        <v>0</v>
      </c>
      <c r="BE99" s="86">
        <f t="shared" si="175"/>
        <v>0.5</v>
      </c>
      <c r="BF99" s="86">
        <f t="shared" si="143"/>
        <v>0.5</v>
      </c>
      <c r="BG99" s="30" t="e">
        <f t="shared" ca="1" si="176"/>
        <v>#DIV/0!</v>
      </c>
      <c r="BH99" s="85" t="e">
        <f ca="1">IF(AN99&lt;=Hypothèses!$V$7,Hypothèses!$W$7,IF(AN99&lt;=Hypothèses!$V$8,Hypothèses!$W$8,IF(AN99&lt;=Hypothèses!$V$9,Hypothèses!$W$9,IF(AN99&lt;=Hypothèses!$V$10,Hypothèses!$W$10,IF(AN99&lt;=Hypothèses!$V$11,Hypothèses!$W$11,IF(AN99&lt;=Hypothèses!$V$12,Hypothèses!$W$12,IF(AN99&lt;=Hypothèses!$V$13,Hypothèses!$W$13,IF(AN99&lt;=Hypothèses!$V$14,Hypothèses!$W$14,IF(AN99&lt;=Hypothèses!$V$15,Hypothèses!$W$15,IF(AN99&lt;=Hypothèses!$V$16,Hypothèses!$W$16,IF(AN99&lt;=Hypothèses!$V$17,Hypothèses!$W$17,IF(AN99&lt;=Hypothèses!$V$18,Hypothèses!$W$18,""))))))))))))</f>
        <v>#DIV/0!</v>
      </c>
      <c r="BI99" s="87" t="e">
        <f t="shared" ca="1" si="218"/>
        <v>#DIV/0!</v>
      </c>
      <c r="BJ99" s="88" t="e">
        <f ca="1">IF(AN99&lt;=Hypothèses!$V$7,Hypothèses!$X$7,IF(AN99&lt;=Hypothèses!$V$8,Hypothèses!$X$8,IF(AN99&lt;=Hypothèses!$V$9,Hypothèses!$X$9,IF(AN99&lt;=Hypothèses!$V$10,Hypothèses!$X$10,IF(AN99&lt;=Hypothèses!$V$11,Hypothèses!$X$11,IF(AN99&lt;=Hypothèses!$V$12,Hypothèses!$X$12,IF(AN99&lt;=Hypothèses!$V$13,Hypothèses!$X$13,IF(AN99&lt;=Hypothèses!$V$14,Hypothèses!$X$14,IF(AN99&lt;=Hypothèses!$V$15,Hypothèses!$X$15,IF(AN99&lt;=Hypothèses!$V$16,Hypothèses!$X$16,IF(AN99&lt;=Hypothèses!$U$17,Hypothèses!$W$17,IF(AN99&lt;=Hypothèses!$U$18,Hypothèses!$W$18,""))))))))))))</f>
        <v>#DIV/0!</v>
      </c>
      <c r="BK99" s="95" t="e">
        <f t="shared" ca="1" si="177"/>
        <v>#DIV/0!</v>
      </c>
      <c r="BL99" s="101">
        <f t="shared" si="225"/>
        <v>0</v>
      </c>
      <c r="BM99" s="91">
        <f t="shared" si="144"/>
        <v>0</v>
      </c>
      <c r="BN99" s="30" t="e">
        <f t="shared" si="204"/>
        <v>#N/A</v>
      </c>
      <c r="BO99" s="30" t="e">
        <f t="shared" si="205"/>
        <v>#N/A</v>
      </c>
      <c r="BP99" s="31" t="e">
        <f>IF(OR(Hypothèses!$B$4=17,Hypothèses!$B$4=18,Hypothèses!$B$4=19,Hypothèses!$B$4=20),
IF($D99="Pressio.",
IF(OR($E99=3,$E99=1,$E99=4),BO99,BN99),
IF($D99="Pénétro.",
IF(OR($E99=3,$E99=1,$E99=4),BO99,BN99))),IF($D99="Pressio.",
IF($E99=3,BO99,BN99),
IF($D99="Pénétro.",
IF($E99=4,BO99,BN99))))</f>
        <v>#N/A</v>
      </c>
      <c r="BQ99" s="31">
        <v>0</v>
      </c>
      <c r="BR99" s="102" t="e">
        <f>IF(NDC!$H$10="Oui",(VLOOKUP($B$3,'Coeff EC7'!$T$39:$X$59,2,0)*BP99+VLOOKUP($B$3,'Coeff EC7'!$T$65:$X$85,2,0)*Model0.1T!BQ99)/1.5,PI()*BN$12*$Q99*($B99-$B98)*0.15/10+BR98)</f>
        <v>#N/A</v>
      </c>
      <c r="BS99" s="102" t="e">
        <f>(VLOOKUP($B$3,'Coeff EC7'!$T$39:$X$59,3,0)*BP99+VLOOKUP($B$3,'Coeff EC7'!$T$65:$X$85,3,0)*Model0.1T!BQ99)/1.1</f>
        <v>#N/A</v>
      </c>
      <c r="BT99" s="102" t="e">
        <f t="shared" si="178"/>
        <v>#N/A</v>
      </c>
      <c r="BU99" s="102" t="e">
        <f t="shared" si="179"/>
        <v>#N/A</v>
      </c>
      <c r="BV99" s="414" t="e">
        <f>IF(AND(BR99&gt;NDC!$C$63,BS99&gt;NDC!$C$65,BT99&gt;NDC!$D$73,BU99&gt;NDC!$D$74,$B99&gt;NDC!$H$22-0.1+MIN(3*BV$12,1.5)),0,1)</f>
        <v>#N/A</v>
      </c>
      <c r="BW99" s="86" t="b">
        <f t="shared" si="145"/>
        <v>0</v>
      </c>
      <c r="BX99" s="86">
        <f t="shared" si="146"/>
        <v>0.5</v>
      </c>
      <c r="BY99" s="86">
        <f t="shared" si="147"/>
        <v>0.5</v>
      </c>
      <c r="BZ99" s="30" t="e">
        <f t="shared" ca="1" si="180"/>
        <v>#DIV/0!</v>
      </c>
      <c r="CA99" s="85" t="e">
        <f ca="1">IF(BG99&lt;=Hypothèses!$V$7,Hypothèses!$W$7,IF(BG99&lt;=Hypothèses!$V$8,Hypothèses!$W$8,IF(BG99&lt;=Hypothèses!$V$9,Hypothèses!$W$9,IF(BG99&lt;=Hypothèses!$V$10,Hypothèses!$W$10,IF(BG99&lt;=Hypothèses!$V$11,Hypothèses!$W$11,IF(BG99&lt;=Hypothèses!$V$12,Hypothèses!$W$12,IF(BG99&lt;=Hypothèses!$V$13,Hypothèses!$W$13,IF(BG99&lt;=Hypothèses!$V$14,Hypothèses!$W$14,IF(BG99&lt;=Hypothèses!$V$15,Hypothèses!$W$15,IF(BG99&lt;=Hypothèses!$V$16,Hypothèses!$W$16,IF(BG99&lt;=Hypothèses!$V$17,Hypothèses!$W$17,IF(BG99&lt;=Hypothèses!$V$18,Hypothèses!$W$18,""))))))))))))</f>
        <v>#DIV/0!</v>
      </c>
      <c r="CB99" s="87" t="e">
        <f t="shared" ca="1" si="219"/>
        <v>#DIV/0!</v>
      </c>
      <c r="CC99" s="88" t="e">
        <f ca="1">IF(BG99&lt;=Hypothèses!$V$7,Hypothèses!$X$7,IF(BG99&lt;=Hypothèses!$V$8,Hypothèses!$X$8,IF(BG99&lt;=Hypothèses!$V$9,Hypothèses!$X$9,IF(BG99&lt;=Hypothèses!$V$10,Hypothèses!$X$10,IF(BG99&lt;=Hypothèses!$V$11,Hypothèses!$X$11,IF(BG99&lt;=Hypothèses!$V$12,Hypothèses!$X$12,IF(BG99&lt;=Hypothèses!$V$13,Hypothèses!$X$13,IF(BG99&lt;=Hypothèses!$V$14,Hypothèses!$X$14,IF(BG99&lt;=Hypothèses!$V$15,Hypothèses!$X$15,IF(BG99&lt;=Hypothèses!$V$16,Hypothèses!$X$16,IF(BG99&lt;=Hypothèses!$U$17,Hypothèses!$W$17,IF(BG99&lt;=Hypothèses!$U$18,Hypothèses!$W$18,""))))))))))))</f>
        <v>#DIV/0!</v>
      </c>
      <c r="CD99" s="95" t="e">
        <f t="shared" ca="1" si="181"/>
        <v>#DIV/0!</v>
      </c>
      <c r="CE99" s="101">
        <f t="shared" si="226"/>
        <v>0</v>
      </c>
      <c r="CF99" s="91">
        <f t="shared" si="148"/>
        <v>0</v>
      </c>
      <c r="CG99" s="30" t="e">
        <f t="shared" si="206"/>
        <v>#N/A</v>
      </c>
      <c r="CH99" s="30" t="e">
        <f t="shared" si="207"/>
        <v>#N/A</v>
      </c>
      <c r="CI99" s="31" t="e">
        <f>IF(OR(Hypothèses!$B$4=17,Hypothèses!$B$4=18,Hypothèses!$B$4=19,Hypothèses!$B$4=20),
IF($D99="Pressio.",
IF(OR($E99=3,$E99=1,$E99=4),CH99,CG99),
IF($D99="Pénétro.",
IF(OR($E99=3,$E99=1,$E99=4),CH99,CG99))),IF($D99="Pressio.",
IF($E99=3,CH99,CG99),
IF($D99="Pénétro.",
IF($E99=4,CH99,CG99))))</f>
        <v>#N/A</v>
      </c>
      <c r="CJ99" s="31">
        <v>0</v>
      </c>
      <c r="CK99" s="102" t="e">
        <f>IF(NDC!$H$10="Oui",(VLOOKUP($B$3,'Coeff EC7'!$T$39:$X$59,2,0)*CI99+VLOOKUP($B$3,'Coeff EC7'!$T$65:$X$85,2,0)*Model0.1T!CJ99)/1.5,PI()*CG$12*$Q99*($B99-$B98)*0.15/10+CK98)</f>
        <v>#N/A</v>
      </c>
      <c r="CL99" s="102" t="e">
        <f>(VLOOKUP($B$3,'Coeff EC7'!$T$39:$X$59,3,0)*CI99+VLOOKUP($B$3,'Coeff EC7'!$T$65:$X$85,3,0)*Model0.1T!CJ99)/1.1</f>
        <v>#N/A</v>
      </c>
      <c r="CM99" s="102" t="e">
        <f t="shared" si="182"/>
        <v>#N/A</v>
      </c>
      <c r="CN99" s="102" t="e">
        <f t="shared" si="183"/>
        <v>#N/A</v>
      </c>
      <c r="CO99" s="414" t="e">
        <f>IF(AND(CK99&gt;NDC!$C$63,CL99&gt;NDC!$C$65,CM99&gt;NDC!$D$73,CN99&gt;NDC!$D$74,$B99&gt;NDC!$H$22-0.1+MIN(3*CO$12,1.5)),0,1)</f>
        <v>#N/A</v>
      </c>
      <c r="CP99" s="86" t="b">
        <f t="shared" si="149"/>
        <v>0</v>
      </c>
      <c r="CQ99" s="86">
        <f t="shared" si="150"/>
        <v>0.5</v>
      </c>
      <c r="CR99" s="86">
        <f t="shared" si="151"/>
        <v>0.5</v>
      </c>
      <c r="CS99" s="30" t="e">
        <f t="shared" ca="1" si="184"/>
        <v>#DIV/0!</v>
      </c>
      <c r="CT99" s="85" t="e">
        <f ca="1">IF(BZ99&lt;=Hypothèses!$V$7,Hypothèses!$W$7,IF(BZ99&lt;=Hypothèses!$V$8,Hypothèses!$W$8,IF(BZ99&lt;=Hypothèses!$V$9,Hypothèses!$W$9,IF(BZ99&lt;=Hypothèses!$V$10,Hypothèses!$W$10,IF(BZ99&lt;=Hypothèses!$V$11,Hypothèses!$W$11,IF(BZ99&lt;=Hypothèses!$V$12,Hypothèses!$W$12,IF(BZ99&lt;=Hypothèses!$V$13,Hypothèses!$W$13,IF(BZ99&lt;=Hypothèses!$V$14,Hypothèses!$W$14,IF(BZ99&lt;=Hypothèses!$V$15,Hypothèses!$W$15,IF(BZ99&lt;=Hypothèses!$V$16,Hypothèses!$W$16,IF(BZ99&lt;=Hypothèses!$V$17,Hypothèses!$W$17,IF(BZ99&lt;=Hypothèses!$V$18,Hypothèses!$W$18,""))))))))))))</f>
        <v>#DIV/0!</v>
      </c>
      <c r="CU99" s="87" t="e">
        <f t="shared" ca="1" si="220"/>
        <v>#DIV/0!</v>
      </c>
      <c r="CV99" s="88" t="e">
        <f ca="1">IF(BZ99&lt;=Hypothèses!$V$7,Hypothèses!$X$7,IF(BZ99&lt;=Hypothèses!$V$8,Hypothèses!$X$8,IF(BZ99&lt;=Hypothèses!$V$9,Hypothèses!$X$9,IF(BZ99&lt;=Hypothèses!$V$10,Hypothèses!$X$10,IF(BZ99&lt;=Hypothèses!$V$11,Hypothèses!$X$11,IF(BZ99&lt;=Hypothèses!$V$12,Hypothèses!$X$12,IF(BZ99&lt;=Hypothèses!$V$13,Hypothèses!$X$13,IF(BZ99&lt;=Hypothèses!$V$14,Hypothèses!$X$14,IF(BZ99&lt;=Hypothèses!$V$15,Hypothèses!$X$15,IF(BZ99&lt;=Hypothèses!$V$16,Hypothèses!$X$16,IF(BZ99&lt;=Hypothèses!$U$17,Hypothèses!$W$17,IF(BZ99&lt;=Hypothèses!$U$18,Hypothèses!$W$18,""))))))))))))</f>
        <v>#DIV/0!</v>
      </c>
      <c r="CW99" s="95" t="e">
        <f t="shared" ca="1" si="185"/>
        <v>#DIV/0!</v>
      </c>
      <c r="CX99" s="101">
        <f t="shared" si="227"/>
        <v>0</v>
      </c>
      <c r="CY99" s="91">
        <f t="shared" si="152"/>
        <v>0</v>
      </c>
      <c r="CZ99" s="30" t="e">
        <f t="shared" si="208"/>
        <v>#N/A</v>
      </c>
      <c r="DA99" s="30" t="e">
        <f t="shared" si="209"/>
        <v>#N/A</v>
      </c>
      <c r="DB99" s="31" t="e">
        <f>IF(OR(Hypothèses!$B$4=17,Hypothèses!$B$4=18,Hypothèses!$B$4=19,Hypothèses!$B$4=20),
IF($D99="Pressio.",
IF(OR($E99=3,$E99=1,$E99=4),DA99,CZ99),
IF($D99="Pénétro.",
IF(OR($E99=3,$E99=1,$E99=4),DA99,CZ99))),IF($D99="Pressio.",
IF($E99=3,DA99,CZ99),
IF($D99="Pénétro.",
IF($E99=4,DA99,CZ99))))</f>
        <v>#N/A</v>
      </c>
      <c r="DC99" s="31">
        <v>0</v>
      </c>
      <c r="DD99" s="102" t="e">
        <f>IF(NDC!$H$10="Oui",(VLOOKUP($B$3,'Coeff EC7'!$T$39:$X$59,2,0)*DB99+VLOOKUP($B$3,'Coeff EC7'!$T$65:$X$85,2,0)*Model0.1T!DC99)/1.5,PI()*CZ$12*$Q99*($B99-$B98)*0.15/10+DD98)</f>
        <v>#N/A</v>
      </c>
      <c r="DE99" s="102" t="e">
        <f>(VLOOKUP($B$3,'Coeff EC7'!$T$39:$X$59,3,0)*DB99+VLOOKUP($B$3,'Coeff EC7'!$T$65:$X$85,3,0)*Model0.1T!DC99)/1.1</f>
        <v>#N/A</v>
      </c>
      <c r="DF99" s="102" t="e">
        <f t="shared" si="186"/>
        <v>#N/A</v>
      </c>
      <c r="DG99" s="102" t="e">
        <f t="shared" si="187"/>
        <v>#N/A</v>
      </c>
      <c r="DH99" s="414" t="e">
        <f>IF(AND(DD99&gt;NDC!$C$63,DE99&gt;NDC!$C$65,DF99&gt;NDC!$D$73,DG99&gt;NDC!$D$74,$B99&gt;NDC!$H$22-0.1+MIN(3*DH$12,1.5)),0,1)</f>
        <v>#N/A</v>
      </c>
      <c r="DI99" s="86" t="b">
        <f t="shared" si="153"/>
        <v>0</v>
      </c>
      <c r="DJ99" s="86">
        <f t="shared" si="154"/>
        <v>0.5</v>
      </c>
      <c r="DK99" s="86">
        <f t="shared" si="155"/>
        <v>0.5</v>
      </c>
      <c r="DL99" s="30" t="e">
        <f t="shared" ca="1" si="188"/>
        <v>#DIV/0!</v>
      </c>
      <c r="DM99" s="85" t="e">
        <f ca="1">IF(CS99&lt;=Hypothèses!$V$7,Hypothèses!$W$7,IF(CS99&lt;=Hypothèses!$V$8,Hypothèses!$W$8,IF(CS99&lt;=Hypothèses!$V$9,Hypothèses!$W$9,IF(CS99&lt;=Hypothèses!$V$10,Hypothèses!$W$10,IF(CS99&lt;=Hypothèses!$V$11,Hypothèses!$W$11,IF(CS99&lt;=Hypothèses!$V$12,Hypothèses!$W$12,IF(CS99&lt;=Hypothèses!$V$13,Hypothèses!$W$13,IF(CS99&lt;=Hypothèses!$V$14,Hypothèses!$W$14,IF(CS99&lt;=Hypothèses!$V$15,Hypothèses!$W$15,IF(CS99&lt;=Hypothèses!$V$16,Hypothèses!$W$16,IF(CS99&lt;=Hypothèses!$V$17,Hypothèses!$W$17,IF(CS99&lt;=Hypothèses!$V$18,Hypothèses!$W$18,""))))))))))))</f>
        <v>#DIV/0!</v>
      </c>
      <c r="DN99" s="87" t="e">
        <f t="shared" ca="1" si="221"/>
        <v>#DIV/0!</v>
      </c>
      <c r="DO99" s="88" t="e">
        <f ca="1">IF(CS99&lt;=Hypothèses!$V$7,Hypothèses!$X$7,IF(CS99&lt;=Hypothèses!$V$8,Hypothèses!$X$8,IF(CS99&lt;=Hypothèses!$V$9,Hypothèses!$X$9,IF(CS99&lt;=Hypothèses!$V$10,Hypothèses!$X$10,IF(CS99&lt;=Hypothèses!$V$11,Hypothèses!$X$11,IF(CS99&lt;=Hypothèses!$V$12,Hypothèses!$X$12,IF(CS99&lt;=Hypothèses!$V$13,Hypothèses!$X$13,IF(CS99&lt;=Hypothèses!$V$14,Hypothèses!$X$14,IF(CS99&lt;=Hypothèses!$V$15,Hypothèses!$X$15,IF(CS99&lt;=Hypothèses!$V$16,Hypothèses!$X$16,IF(CS99&lt;=Hypothèses!$U$17,Hypothèses!$W$17,IF(CS99&lt;=Hypothèses!$U$18,Hypothèses!$W$18,""))))))))))))</f>
        <v>#DIV/0!</v>
      </c>
      <c r="DP99" s="95" t="e">
        <f t="shared" ca="1" si="189"/>
        <v>#DIV/0!</v>
      </c>
      <c r="DQ99" s="101">
        <f t="shared" si="228"/>
        <v>0</v>
      </c>
      <c r="DR99" s="91">
        <f t="shared" si="156"/>
        <v>0</v>
      </c>
      <c r="DS99" s="30" t="e">
        <f t="shared" si="210"/>
        <v>#N/A</v>
      </c>
      <c r="DT99" s="30" t="e">
        <f t="shared" si="211"/>
        <v>#N/A</v>
      </c>
      <c r="DU99" s="31" t="e">
        <f>IF(OR(Hypothèses!$B$4=17,Hypothèses!$B$4=18,Hypothèses!$B$4=19,Hypothèses!$B$4=20),
IF($D99="Pressio.",
IF(OR($E99=3,$E99=1,$E99=4),DT99,DS99),
IF($D99="Pénétro.",
IF(OR($E99=3,$E99=1,$E99=4),DT99,DS99))),IF($D99="Pressio.",
IF($E99=3,DT99,DS99),
IF($D99="Pénétro.",
IF($E99=4,DT99,DS99))))</f>
        <v>#N/A</v>
      </c>
      <c r="DV99" s="31">
        <v>0</v>
      </c>
      <c r="DW99" s="102" t="e">
        <f>IF(NDC!$H$10="Oui",(VLOOKUP($B$3,'Coeff EC7'!$T$39:$X$59,2,0)*DU99+VLOOKUP($B$3,'Coeff EC7'!$T$65:$X$85,2,0)*Model0.1T!DV99)/1.5,PI()*DS$12*$Q99*($B99-$B98)*0.15/10+DW98)</f>
        <v>#N/A</v>
      </c>
      <c r="DX99" s="102" t="e">
        <f>(VLOOKUP($B$3,'Coeff EC7'!$T$39:$X$59,3,0)*DU99+VLOOKUP($B$3,'Coeff EC7'!$T$65:$X$85,3,0)*Model0.1T!DV99)/1.1</f>
        <v>#N/A</v>
      </c>
      <c r="DY99" s="102" t="e">
        <f t="shared" si="190"/>
        <v>#N/A</v>
      </c>
      <c r="DZ99" s="102" t="e">
        <f t="shared" si="191"/>
        <v>#N/A</v>
      </c>
      <c r="EA99" s="414" t="e">
        <f>IF(AND(DW99&gt;NDC!$C$63,DX99&gt;NDC!$C$65,DY99&gt;NDC!$D$73,DZ99&gt;NDC!$D$74,$B99&gt;NDC!$H$22-0.1+MIN(3*EA$12,1.5)),0,1)</f>
        <v>#N/A</v>
      </c>
      <c r="EB99" s="86" t="b">
        <f t="shared" si="157"/>
        <v>0</v>
      </c>
      <c r="EC99" s="418">
        <f t="shared" si="158"/>
        <v>0.51</v>
      </c>
      <c r="ED99" s="86">
        <f t="shared" si="159"/>
        <v>0.51</v>
      </c>
      <c r="EE99" s="30" t="e">
        <f t="shared" ca="1" si="192"/>
        <v>#DIV/0!</v>
      </c>
      <c r="EF99" s="85" t="e">
        <f ca="1">IF(DL99&lt;=Hypothèses!$V$7,Hypothèses!$W$7,IF(DL99&lt;=Hypothèses!$V$8,Hypothèses!$W$8,IF(DL99&lt;=Hypothèses!$V$9,Hypothèses!$W$9,IF(DL99&lt;=Hypothèses!$V$10,Hypothèses!$W$10,IF(DL99&lt;=Hypothèses!$V$11,Hypothèses!$W$11,IF(DL99&lt;=Hypothèses!$V$12,Hypothèses!$W$12,IF(DL99&lt;=Hypothèses!$V$13,Hypothèses!$W$13,IF(DL99&lt;=Hypothèses!$V$14,Hypothèses!$W$14,IF(DL99&lt;=Hypothèses!$V$15,Hypothèses!$W$15,IF(DL99&lt;=Hypothèses!$V$16,Hypothèses!$W$16,IF(DL99&lt;=Hypothèses!$V$17,Hypothèses!$W$17,IF(DL99&lt;=Hypothèses!$V$18,Hypothèses!$W$18,""))))))))))))</f>
        <v>#DIV/0!</v>
      </c>
      <c r="EG99" s="87" t="e">
        <f t="shared" ca="1" si="222"/>
        <v>#DIV/0!</v>
      </c>
      <c r="EH99" s="88" t="e">
        <f ca="1">IF(DL99&lt;=Hypothèses!$V$7,Hypothèses!$X$7,IF(DL99&lt;=Hypothèses!$V$8,Hypothèses!$X$8,IF(DL99&lt;=Hypothèses!$V$9,Hypothèses!$X$9,IF(DL99&lt;=Hypothèses!$V$10,Hypothèses!$X$10,IF(DL99&lt;=Hypothèses!$V$11,Hypothèses!$X$11,IF(DL99&lt;=Hypothèses!$V$12,Hypothèses!$X$12,IF(DL99&lt;=Hypothèses!$V$13,Hypothèses!$X$13,IF(DL99&lt;=Hypothèses!$V$14,Hypothèses!$X$14,IF(DL99&lt;=Hypothèses!$V$15,Hypothèses!$X$15,IF(DL99&lt;=Hypothèses!$V$16,Hypothèses!$X$16,IF(DL99&lt;=Hypothèses!$U$17,Hypothèses!$W$17,IF(DL99&lt;=Hypothèses!$U$18,Hypothèses!$W$18,""))))))))))))</f>
        <v>#DIV/0!</v>
      </c>
      <c r="EI99" s="95" t="e">
        <f t="shared" ca="1" si="193"/>
        <v>#DIV/0!</v>
      </c>
      <c r="EJ99" s="101">
        <f t="shared" si="229"/>
        <v>0</v>
      </c>
      <c r="EK99" s="91">
        <f t="shared" si="160"/>
        <v>0</v>
      </c>
      <c r="EL99" s="30" t="e">
        <f t="shared" si="212"/>
        <v>#N/A</v>
      </c>
      <c r="EM99" s="30" t="e">
        <f t="shared" si="213"/>
        <v>#N/A</v>
      </c>
      <c r="EN99" s="31" t="e">
        <f>IF(OR(Hypothèses!$B$4=17,Hypothèses!$B$4=18,Hypothèses!$B$4=19,Hypothèses!$B$4=20),
IF($D99="Pressio.",
IF(OR($E99=3,$E99=1,$E99=4),EM99,EL99),
IF($D99="Pénétro.",
IF(OR($E99=3,$E99=1,$E99=4),EM99,EL99))),IF($D99="Pressio.",
IF($E99=3,EM99,EL99),
IF($D99="Pénétro.",
IF($E99=4,EM99,EL99))))</f>
        <v>#N/A</v>
      </c>
      <c r="EO99" s="31">
        <v>0</v>
      </c>
      <c r="EP99" s="102" t="e">
        <f>IF(NDC!$H$10="Oui",(VLOOKUP($B$3,'Coeff EC7'!$T$39:$X$59,2,0)*EN99+VLOOKUP($B$3,'Coeff EC7'!$T$65:$X$85,2,0)*Model0.1T!EO99)/1.5,PI()*EL$12*$Q99*($B99-$B98)*0.15/10+EP98)</f>
        <v>#N/A</v>
      </c>
      <c r="EQ99" s="102" t="e">
        <f>(VLOOKUP($B$3,'Coeff EC7'!$T$39:$X$59,3,0)*EN99+VLOOKUP($B$3,'Coeff EC7'!$T$65:$X$85,3,0)*Model0.1T!EO99)/1.1</f>
        <v>#N/A</v>
      </c>
      <c r="ER99" s="102" t="e">
        <f t="shared" si="194"/>
        <v>#N/A</v>
      </c>
      <c r="ES99" s="102" t="e">
        <f t="shared" si="195"/>
        <v>#N/A</v>
      </c>
      <c r="ET99" s="414" t="e">
        <f>IF(AND(EP99&gt;NDC!$C$63,EQ99&gt;NDC!$C$65,ER99&gt;NDC!$D$73,ES99&gt;NDC!$D$74,$B99&gt;NDC!$H$22-0.1+MIN(3*ET$12,1.5)),0,1)</f>
        <v>#N/A</v>
      </c>
      <c r="EU99" s="86" t="b">
        <f t="shared" si="161"/>
        <v>0</v>
      </c>
      <c r="EV99" s="86">
        <f t="shared" si="162"/>
        <v>0.61</v>
      </c>
      <c r="EW99" s="86">
        <f t="shared" si="163"/>
        <v>0.61</v>
      </c>
      <c r="EX99" s="30" t="e">
        <f t="shared" ca="1" si="196"/>
        <v>#DIV/0!</v>
      </c>
      <c r="EY99" s="85" t="e">
        <f ca="1">IF(EE99&lt;=Hypothèses!$V$7,Hypothèses!$W$7,IF(EE99&lt;=Hypothèses!$V$8,Hypothèses!$W$8,IF(EE99&lt;=Hypothèses!$V$9,Hypothèses!$W$9,IF(EE99&lt;=Hypothèses!$V$10,Hypothèses!$W$10,IF(EE99&lt;=Hypothèses!$V$11,Hypothèses!$W$11,IF(EE99&lt;=Hypothèses!$V$12,Hypothèses!$W$12,IF(EE99&lt;=Hypothèses!$V$13,Hypothèses!$W$13,IF(EE99&lt;=Hypothèses!$V$14,Hypothèses!$W$14,IF(EE99&lt;=Hypothèses!$V$15,Hypothèses!$W$15,IF(EE99&lt;=Hypothèses!$V$16,Hypothèses!$W$16,IF(EE99&lt;=Hypothèses!$V$17,Hypothèses!$W$17,IF(EE99&lt;=Hypothèses!$V$18,Hypothèses!$W$18,""))))))))))))</f>
        <v>#DIV/0!</v>
      </c>
      <c r="EZ99" s="87" t="e">
        <f t="shared" ca="1" si="223"/>
        <v>#DIV/0!</v>
      </c>
      <c r="FA99" s="88" t="e">
        <f ca="1">IF(EE99&lt;=Hypothèses!$V$7,Hypothèses!$X$7,IF(EE99&lt;=Hypothèses!$V$8,Hypothèses!$X$8,IF(EE99&lt;=Hypothèses!$V$9,Hypothèses!$X$9,IF(EE99&lt;=Hypothèses!$V$10,Hypothèses!$X$10,IF(EE99&lt;=Hypothèses!$V$11,Hypothèses!$X$11,IF(EE99&lt;=Hypothèses!$V$12,Hypothèses!$X$12,IF(EE99&lt;=Hypothèses!$V$13,Hypothèses!$X$13,IF(EE99&lt;=Hypothèses!$V$14,Hypothèses!$X$14,IF(EE99&lt;=Hypothèses!$V$15,Hypothèses!$X$15,IF(EE99&lt;=Hypothèses!$V$16,Hypothèses!$X$16,IF(EE99&lt;=Hypothèses!$U$17,Hypothèses!$W$17,IF(EE99&lt;=Hypothèses!$U$18,Hypothèses!$W$18,""))))))))))))</f>
        <v>#DIV/0!</v>
      </c>
      <c r="FB99" s="95" t="e">
        <f t="shared" ca="1" si="197"/>
        <v>#DIV/0!</v>
      </c>
      <c r="FC99" s="101">
        <f t="shared" si="230"/>
        <v>0</v>
      </c>
      <c r="FD99" s="91">
        <f t="shared" si="164"/>
        <v>0</v>
      </c>
      <c r="FE99" s="30" t="e">
        <f t="shared" si="214"/>
        <v>#N/A</v>
      </c>
      <c r="FF99" s="30" t="e">
        <f t="shared" si="215"/>
        <v>#N/A</v>
      </c>
      <c r="FG99" s="31" t="e">
        <f>IF(OR(Hypothèses!$B$4=17,Hypothèses!$B$4=18,Hypothèses!$B$4=19,Hypothèses!$B$4=20),
IF($D99="Pressio.",
IF(OR($E99=3,$E99=1,$E99=4),FF99,FE99),
IF($D99="Pénétro.",
IF(OR($E99=3,$E99=1,$E99=4),FF99,FE99))),IF($D99="Pressio.",
IF($E99=3,FF99,FE99),
IF($D99="Pénétro.",
IF($E99=4,FF99,FE99))))</f>
        <v>#N/A</v>
      </c>
      <c r="FH99" s="31">
        <v>0</v>
      </c>
      <c r="FI99" s="102" t="e">
        <f>IF(NDC!$H$10="Oui",(VLOOKUP($B$3,'Coeff EC7'!$T$39:$X$59,2,0)*FG99+VLOOKUP($B$3,'Coeff EC7'!$T$65:$X$85,2,0)*Model0.1T!FH99)/1.5,PI()*FE$12*$Q99*($B99-$B98)*0.15/10+FI98)</f>
        <v>#N/A</v>
      </c>
      <c r="FJ99" s="102" t="e">
        <f>(VLOOKUP($B$3,'Coeff EC7'!$T$39:$X$59,3,0)*FG99+VLOOKUP($B$3,'Coeff EC7'!$T$65:$X$85,3,0)*Model0.1T!FH99)/1.1</f>
        <v>#N/A</v>
      </c>
      <c r="FK99" s="102" t="e">
        <f t="shared" si="198"/>
        <v>#N/A</v>
      </c>
      <c r="FL99" s="102" t="e">
        <f t="shared" si="199"/>
        <v>#N/A</v>
      </c>
      <c r="FM99" s="414" t="e">
        <f>IF(AND(FI99&gt;NDC!$C$63,FJ99&gt;NDC!$C$65,FK99&gt;NDC!$D$73,FL99&gt;NDC!$D$74,$B99&gt;NDC!$H$22-0.1+MIN(3*FM$12,1.5)),0,1)</f>
        <v>#N/A</v>
      </c>
    </row>
    <row r="100" spans="1:169">
      <c r="A100" s="96">
        <f t="shared" si="165"/>
        <v>91.300000000000495</v>
      </c>
      <c r="B100" s="97">
        <v>8.6999999999999993</v>
      </c>
      <c r="C100" s="81">
        <f>IF(B100&lt;=Hypothèses!$C$7,Hypothèses!$A$7,IF(B100&lt;=Hypothèses!$C$8,Hypothèses!$A$8,IF(B100&lt;=Hypothèses!$C$9,Hypothèses!$A$9,IF(B100&lt;=Hypothèses!$C$10,Hypothèses!$A$10,IF(B100&lt;=Hypothèses!$C$11,Hypothèses!$A$11,IF(B100&lt;=Hypothèses!$C$12,Hypothèses!$A$12,IF(B100&lt;=Hypothèses!$C$13,Hypothèses!$A$13,IF(B100&lt;=Hypothèses!$C$14,Hypothèses!$A$14,IF(B100&lt;=Hypothèses!$C$15,Hypothèses!$A$15,IF(B100&lt;=Hypothèses!$C$16,Hypothèses!$A$16,IF(B100&lt;=Hypothèses!$C$17,Hypothèses!$A$17,IF(B100&lt;=Hypothèses!$C$18,Hypothèses!$A$18,C99))))))))))))</f>
        <v>11</v>
      </c>
      <c r="D100" s="82" t="str">
        <f>IF(B100&lt;=Hypothèses!$C$7,Hypothèses!$R$7,IF(B100&lt;=Hypothèses!$C$8,Hypothèses!$R$8,IF(B100&lt;=Hypothèses!$C$9,Hypothèses!$R$9,IF(B100&lt;=Hypothèses!$C$10,Hypothèses!$R$10,IF(B100&lt;=Hypothèses!$C$11,Hypothèses!$R$11,IF(B100&lt;=Hypothèses!$C$12,Hypothèses!$R$12,IF(B100&lt;=Hypothèses!$C$13,Hypothèses!$R$13,IF(B100&lt;=Hypothèses!$C$14,Hypothèses!$R$14,IF(B100&lt;=Hypothèses!$C$15,Hypothèses!$R$15,IF(B100&lt;=Hypothèses!$C$16,Hypothèses!$R$16,IF(B100&lt;=Hypothèses!$C$17,Hypothèses!$R$17,IF(B100&lt;=Hypothèses!$C$18,Hypothèses!$R$18,D99))))))))))))</f>
        <v>Pressio.</v>
      </c>
      <c r="E100" s="82" t="e">
        <f>IF(B100&lt;=Hypothèses!$C$7,Hypothèses!$G$7,IF(B100&lt;=Hypothèses!$C$8,Hypothèses!$G$8,IF(B100&lt;=Hypothèses!$C$9,Hypothèses!$G$9,IF(B100&lt;=Hypothèses!$C$10,Hypothèses!$G$10,IF(B100&lt;=Hypothèses!$C$11,Hypothèses!$G$11,IF(B100&lt;=Hypothèses!$C$12,Hypothèses!$G$12,IF(B100&lt;=Hypothèses!$C$13,Hypothèses!$G$13,IF(B100&lt;=Hypothèses!$C$14,Hypothèses!$G$14,IF(B100&lt;=Hypothèses!$C$15,Hypothèses!$G$15,IF(B100&lt;=Hypothèses!$C$16,Hypothèses!$G$16,IF(B100&lt;=Hypothèses!$C$17,Hypothèses!$G$17,IF(B100&lt;=Hypothèses!$C$18,Hypothèses!$G$18,E99))))))))))))</f>
        <v>#N/A</v>
      </c>
      <c r="F100" s="82" t="str">
        <f>IF(B100&lt;=Hypothèses!$C$7,Hypothèses!$F$7,IF(B100&lt;=Hypothèses!$C$8,Hypothèses!$F$8,IF(B100&lt;=Hypothèses!$C$9,Hypothèses!$F$9,IF(B100&lt;=Hypothèses!$C$10,Hypothèses!$F$10,IF(B100&lt;=Hypothèses!$C$11,Hypothèses!$F$11,IF(B100&lt;=Hypothèses!$C$12,Hypothèses!$F$12,IF(B100&lt;=Hypothèses!$C$13,Hypothèses!$F$13,IF(B100&lt;=Hypothèses!$C$14,Hypothèses!$F$14,IF(B100&lt;=Hypothèses!$C$15,Hypothèses!$F$15,IF(B100&lt;=Hypothèses!$C$16,Hypothèses!$F$16,IF(B100&lt;=Hypothèses!$C$17,Hypothèses!$F$17,IF(B100&lt;=Hypothèses!$C$18,Hypothèses!$F$18,F99))))))))))))</f>
        <v/>
      </c>
      <c r="G100" s="91">
        <f t="array" ref="G100">INDEX('Coeff EC7'!$U$7:$X$27,
MATCH(Model0.1T!$B$3,'Coeff EC7'!$T$7:$T$27,0),
MATCH(Model0.1T!$D100&amp;Model0.1T!$B$4,
'Coeff EC7'!$U$6:$X$6&amp;
'Coeff EC7'!$U$5:$X$5,0))</f>
        <v>1.4</v>
      </c>
      <c r="H100" s="91">
        <f t="array" ref="H100">INDEX('Coeff EC7'!$Y$7:$AB$27,
MATCH(Model0.1T!$B$3,'Coeff EC7'!$T$7:$T$27,0),
MATCH(Model0.1T!$D100&amp;Model0.1T!$B$4,
'Coeff EC7'!$Y$6:$AB$6&amp;
'Coeff EC7'!$Y$5:$AB$5,0))</f>
        <v>1.7</v>
      </c>
      <c r="I100" s="83">
        <v>0</v>
      </c>
      <c r="J100" s="91" t="e">
        <f t="array" ref="J100">INDEX('Coeff EC7'!$D$33:$Q$33,1,MATCH(D100&amp;E100,'Coeff EC7'!$D$31:$Q$31&amp;'Coeff EC7'!$D$32:$Q$32,0))</f>
        <v>#N/A</v>
      </c>
      <c r="K100" s="91" t="e">
        <f t="array" ref="K100">INDEX('Coeff EC7'!$D$34:$Q$34,1,MATCH(D100&amp;E100,'Coeff EC7'!$D$31:$Q$31&amp;'Coeff EC7'!$D$32:$Q$32,0))</f>
        <v>#N/A</v>
      </c>
      <c r="L100" s="91" t="e">
        <f t="array" ref="L100">INDEX('Coeff EC7'!$D$35:$Q$35,1,MATCH(D100&amp;E100,'Coeff EC7'!$D$31:$Q$31&amp;'Coeff EC7'!$D$32:$Q$32,0))</f>
        <v>#N/A</v>
      </c>
      <c r="M100" s="98" t="e">
        <f t="shared" si="131"/>
        <v>#N/A</v>
      </c>
      <c r="N100" s="99" t="e">
        <f t="array" ref="N100">INDEX('Coeff EC7'!$D$7:$Q$27,MATCH($B$3,'Coeff EC7'!$C$7:$C$27,0),MATCH(D100&amp;E100,'Coeff EC7'!$D$5:$Q$5&amp;'Coeff EC7'!$D$6:$Q$6,0))</f>
        <v>#N/A</v>
      </c>
      <c r="O100" s="99" t="e">
        <f t="array" ref="O100">INDEX('Coeff EC7'!$D$41:$Q$61,MATCH($B$3,'Coeff EC7'!$C$41:$C$61,0),MATCH(D100&amp;E100,'Coeff EC7'!$D$39:$Q$39&amp;'Coeff EC7'!$D$40:$Q$40,0))</f>
        <v>#N/A</v>
      </c>
      <c r="P100" s="30" t="e">
        <f t="shared" si="166"/>
        <v>#N/A</v>
      </c>
      <c r="Q100" s="100" t="e">
        <f t="shared" si="133"/>
        <v>#N/A</v>
      </c>
      <c r="R100" s="86" t="b">
        <f t="shared" si="134"/>
        <v>0</v>
      </c>
      <c r="S100" s="86">
        <f t="shared" si="132"/>
        <v>0.5</v>
      </c>
      <c r="T100" s="86">
        <f t="shared" si="135"/>
        <v>0.5</v>
      </c>
      <c r="U100" s="30" t="e">
        <f t="shared" ca="1" si="167"/>
        <v>#DIV/0!</v>
      </c>
      <c r="V100" s="85" t="str">
        <f>IF(B100&lt;=Hypothèses!$V$7,Hypothèses!$W$7,IF(B100&lt;=Hypothèses!$V$8,Hypothèses!$W$8,IF(B100&lt;=Hypothèses!$V$9,Hypothèses!$W$9,IF(B100&lt;=Hypothèses!$V$10,Hypothèses!$W$10,IF(B100&lt;=Hypothèses!$V$11,Hypothèses!$W$11,IF(B100&lt;=Hypothèses!$V$12,Hypothèses!$W$12,IF(B100&lt;=Hypothèses!$V$13,Hypothèses!$W$13,IF(B100&lt;=Hypothèses!$V$14,Hypothèses!$W$14,IF(B100&lt;=Hypothèses!$V$15,Hypothèses!$W$15,IF(B100&lt;=Hypothèses!$V$16,Hypothèses!$W$16,IF(B100&lt;=Hypothèses!$V$17,Hypothèses!$W$17,IF(B100&lt;=Hypothèses!$V$18,Hypothèses!$W$18,""))))))))))))</f>
        <v/>
      </c>
      <c r="W100" s="87" t="e">
        <f t="shared" ca="1" si="216"/>
        <v>#DIV/0!</v>
      </c>
      <c r="X100" s="88" t="str">
        <f>IF(B100&lt;=Hypothèses!$V$7,Hypothèses!$X$7,IF(B100&lt;=Hypothèses!$V$8,Hypothèses!$X$8,IF(B100&lt;=Hypothèses!$V$9,Hypothèses!$X$9,IF(B100&lt;=Hypothèses!$V$10,Hypothèses!$X$10,IF(B100&lt;=Hypothèses!$V$11,Hypothèses!$X$11,IF(B100&lt;=Hypothèses!$V$12,Hypothèses!$X$12,IF(B100&lt;=Hypothèses!$V$13,Hypothèses!$X$13,IF(B100&lt;=Hypothèses!$V$14,Hypothèses!$X$14,IF(B100&lt;=Hypothèses!$V$15,Hypothèses!$X$15,IF(B100&lt;=Hypothèses!$V$16,Hypothèses!$X$16,IF(B100&lt;=Hypothèses!$U$17,Hypothèses!$W$17,IF(B100&lt;=Hypothèses!$U$18,Hypothèses!$W$18,""))))))))))))</f>
        <v/>
      </c>
      <c r="Y100" s="95" t="e">
        <f t="shared" ca="1" si="136"/>
        <v>#DIV/0!</v>
      </c>
      <c r="Z100" s="101">
        <f t="shared" si="137"/>
        <v>0</v>
      </c>
      <c r="AA100" s="91">
        <f t="shared" si="138"/>
        <v>0</v>
      </c>
      <c r="AB100" s="30" t="e">
        <f t="shared" si="200"/>
        <v>#N/A</v>
      </c>
      <c r="AC100" s="30" t="e">
        <f t="shared" si="201"/>
        <v>#N/A</v>
      </c>
      <c r="AD100" s="31" t="e">
        <f>IF(OR(Hypothèses!$B$4=17,Hypothèses!$B$4=18,Hypothèses!$B$4=19,Hypothèses!$B$4=20),
IF($D100="Pressio.",
IF(OR($E100=3,$E100=1,$E100=4),AC100,AB100),
IF($D100="Pénétro.",
IF(OR($E100=3,$E100=1,$E100=4),AC100,AB100))),IF($D100="Pressio.",
IF($E100=3,AC100,AB100),
IF($D100="Pénétro.",
IF($E100=4,AC100,AB100))))</f>
        <v>#N/A</v>
      </c>
      <c r="AE100" s="31">
        <v>0</v>
      </c>
      <c r="AF100" s="102" t="e">
        <f>IF(NDC!$H$10="Oui",(VLOOKUP($B$3,'Coeff EC7'!$T$39:$X$59,2,0)*AD100+VLOOKUP($B$3,'Coeff EC7'!$T$65:$X$85,2,0)*Model0.1T!AE100)/1.5,PI()*AB$12*$Q100*($B100-$B99)*0.15/10+AF99)</f>
        <v>#N/A</v>
      </c>
      <c r="AG100" s="102" t="e">
        <f>(VLOOKUP($B$3,'Coeff EC7'!$T$39:$X$59,3,0)*AD100+VLOOKUP($B$3,'Coeff EC7'!$T$65:$X$85,3,0)*Model0.1T!AE100)/1.1</f>
        <v>#N/A</v>
      </c>
      <c r="AH100" s="102" t="e">
        <f t="shared" si="168"/>
        <v>#N/A</v>
      </c>
      <c r="AI100" s="102" t="e">
        <f t="shared" si="169"/>
        <v>#N/A</v>
      </c>
      <c r="AJ100" s="414" t="e">
        <f>IF(AND(AF100&gt;NDC!$C$63,AG100&gt;NDC!$C$65,AH100&gt;NDC!$D$73,AI100&gt;NDC!$D$74,$B100&gt;NDC!$H$22-0.1+MIN(3*$AJ$12,1.5)),0,1)</f>
        <v>#N/A</v>
      </c>
      <c r="AK100" s="86" t="b">
        <f t="shared" si="139"/>
        <v>0</v>
      </c>
      <c r="AL100" s="86">
        <f t="shared" si="170"/>
        <v>0.5</v>
      </c>
      <c r="AM100" s="86">
        <f t="shared" si="140"/>
        <v>0.5</v>
      </c>
      <c r="AN100" s="30" t="e">
        <f t="shared" ca="1" si="171"/>
        <v>#DIV/0!</v>
      </c>
      <c r="AO100" s="85" t="e">
        <f ca="1">IF(U100&lt;=Hypothèses!$V$7,Hypothèses!$W$7,IF(U100&lt;=Hypothèses!$V$8,Hypothèses!$W$8,IF(U100&lt;=Hypothèses!$V$9,Hypothèses!$W$9,IF(U100&lt;=Hypothèses!$V$10,Hypothèses!$W$10,IF(U100&lt;=Hypothèses!$V$11,Hypothèses!$W$11,IF(U100&lt;=Hypothèses!$V$12,Hypothèses!$W$12,IF(U100&lt;=Hypothèses!$V$13,Hypothèses!$W$13,IF(U100&lt;=Hypothèses!$V$14,Hypothèses!$W$14,IF(U100&lt;=Hypothèses!$V$15,Hypothèses!$W$15,IF(U100&lt;=Hypothèses!$V$16,Hypothèses!$W$16,IF(U100&lt;=Hypothèses!$V$17,Hypothèses!$W$17,IF(U100&lt;=Hypothèses!$V$18,Hypothèses!$W$18,""))))))))))))</f>
        <v>#DIV/0!</v>
      </c>
      <c r="AP100" s="87" t="e">
        <f t="shared" ca="1" si="217"/>
        <v>#DIV/0!</v>
      </c>
      <c r="AQ100" s="88" t="e">
        <f ca="1">IF(U100&lt;=Hypothèses!$V$7,Hypothèses!$X$7,IF(U100&lt;=Hypothèses!$V$8,Hypothèses!$X$8,IF(U100&lt;=Hypothèses!$V$9,Hypothèses!$X$9,IF(U100&lt;=Hypothèses!$V$10,Hypothèses!$X$10,IF(U100&lt;=Hypothèses!$V$11,Hypothèses!$X$11,IF(U100&lt;=Hypothèses!$V$12,Hypothèses!$X$12,IF(U100&lt;=Hypothèses!$V$13,Hypothèses!$X$13,IF(U100&lt;=Hypothèses!$V$14,Hypothèses!$X$14,IF(U100&lt;=Hypothèses!$V$15,Hypothèses!$X$15,IF(U100&lt;=Hypothèses!$V$16,Hypothèses!$X$16,IF(U100&lt;=Hypothèses!$U$17,Hypothèses!$W$17,IF(U100&lt;=Hypothèses!$U$18,Hypothèses!$W$18,""))))))))))))</f>
        <v>#DIV/0!</v>
      </c>
      <c r="AR100" s="95" t="e">
        <f t="shared" ca="1" si="172"/>
        <v>#DIV/0!</v>
      </c>
      <c r="AS100" s="101">
        <f t="shared" si="224"/>
        <v>0</v>
      </c>
      <c r="AT100" s="91">
        <f t="shared" si="141"/>
        <v>0</v>
      </c>
      <c r="AU100" s="30" t="e">
        <f t="shared" si="202"/>
        <v>#N/A</v>
      </c>
      <c r="AV100" s="30" t="e">
        <f t="shared" si="203"/>
        <v>#N/A</v>
      </c>
      <c r="AW100" s="31" t="e">
        <f>IF(OR(Hypothèses!$B$4=17,Hypothèses!$B$4=18,Hypothèses!$B$4=19,Hypothèses!$B$4=20),
IF($D100="Pressio.",
IF(OR($E100=3,$E100=1,$E100=4),AV100,AU100),
IF($D100="Pénétro.",
IF(OR($E100=3,$E100=1,$E100=4),AV100,AU100))),IF($D100="Pressio.",
IF($E100=3,AV100,AU100),
IF($D100="Pénétro.",
IF($E100=4,AV100,AU100))))</f>
        <v>#N/A</v>
      </c>
      <c r="AX100" s="31">
        <v>0</v>
      </c>
      <c r="AY100" s="102" t="e">
        <f>IF(NDC!$H$10="Oui",(VLOOKUP($B$3,'Coeff EC7'!$T$39:$X$59,2,0)*AW100+VLOOKUP($B$3,'Coeff EC7'!$T$65:$X$85,2,0)*Model0.1T!AX100)/1.5,PI()*AU$12*$Q100*($B100-$B99)*0.15/10+AY99)</f>
        <v>#N/A</v>
      </c>
      <c r="AZ100" s="102" t="e">
        <f>(VLOOKUP($B$3,'Coeff EC7'!$T$39:$X$59,3,0)*AW100+VLOOKUP($B$3,'Coeff EC7'!$T$65:$X$85,3,0)*Model0.1T!AX100)/1.1</f>
        <v>#N/A</v>
      </c>
      <c r="BA100" s="102" t="e">
        <f t="shared" si="173"/>
        <v>#N/A</v>
      </c>
      <c r="BB100" s="102" t="e">
        <f t="shared" si="174"/>
        <v>#N/A</v>
      </c>
      <c r="BC100" s="414" t="e">
        <f>IF(AND(AY100&gt;NDC!$C$63,AZ100&gt;NDC!$C$65,BA100&gt;NDC!$D$73,BB100&gt;NDC!$D$74,$B100&gt;NDC!$H$22-0.1+MIN(3*BC$12,1.5)),0,1)</f>
        <v>#N/A</v>
      </c>
      <c r="BD100" s="86" t="b">
        <f t="shared" si="142"/>
        <v>0</v>
      </c>
      <c r="BE100" s="86">
        <f t="shared" si="175"/>
        <v>0.5</v>
      </c>
      <c r="BF100" s="86">
        <f t="shared" si="143"/>
        <v>0.5</v>
      </c>
      <c r="BG100" s="30" t="e">
        <f t="shared" ca="1" si="176"/>
        <v>#DIV/0!</v>
      </c>
      <c r="BH100" s="85" t="e">
        <f ca="1">IF(AN100&lt;=Hypothèses!$V$7,Hypothèses!$W$7,IF(AN100&lt;=Hypothèses!$V$8,Hypothèses!$W$8,IF(AN100&lt;=Hypothèses!$V$9,Hypothèses!$W$9,IF(AN100&lt;=Hypothèses!$V$10,Hypothèses!$W$10,IF(AN100&lt;=Hypothèses!$V$11,Hypothèses!$W$11,IF(AN100&lt;=Hypothèses!$V$12,Hypothèses!$W$12,IF(AN100&lt;=Hypothèses!$V$13,Hypothèses!$W$13,IF(AN100&lt;=Hypothèses!$V$14,Hypothèses!$W$14,IF(AN100&lt;=Hypothèses!$V$15,Hypothèses!$W$15,IF(AN100&lt;=Hypothèses!$V$16,Hypothèses!$W$16,IF(AN100&lt;=Hypothèses!$V$17,Hypothèses!$W$17,IF(AN100&lt;=Hypothèses!$V$18,Hypothèses!$W$18,""))))))))))))</f>
        <v>#DIV/0!</v>
      </c>
      <c r="BI100" s="87" t="e">
        <f t="shared" ca="1" si="218"/>
        <v>#DIV/0!</v>
      </c>
      <c r="BJ100" s="88" t="e">
        <f ca="1">IF(AN100&lt;=Hypothèses!$V$7,Hypothèses!$X$7,IF(AN100&lt;=Hypothèses!$V$8,Hypothèses!$X$8,IF(AN100&lt;=Hypothèses!$V$9,Hypothèses!$X$9,IF(AN100&lt;=Hypothèses!$V$10,Hypothèses!$X$10,IF(AN100&lt;=Hypothèses!$V$11,Hypothèses!$X$11,IF(AN100&lt;=Hypothèses!$V$12,Hypothèses!$X$12,IF(AN100&lt;=Hypothèses!$V$13,Hypothèses!$X$13,IF(AN100&lt;=Hypothèses!$V$14,Hypothèses!$X$14,IF(AN100&lt;=Hypothèses!$V$15,Hypothèses!$X$15,IF(AN100&lt;=Hypothèses!$V$16,Hypothèses!$X$16,IF(AN100&lt;=Hypothèses!$U$17,Hypothèses!$W$17,IF(AN100&lt;=Hypothèses!$U$18,Hypothèses!$W$18,""))))))))))))</f>
        <v>#DIV/0!</v>
      </c>
      <c r="BK100" s="95" t="e">
        <f t="shared" ca="1" si="177"/>
        <v>#DIV/0!</v>
      </c>
      <c r="BL100" s="101">
        <f t="shared" si="225"/>
        <v>0</v>
      </c>
      <c r="BM100" s="91">
        <f t="shared" si="144"/>
        <v>0</v>
      </c>
      <c r="BN100" s="30" t="e">
        <f t="shared" si="204"/>
        <v>#N/A</v>
      </c>
      <c r="BO100" s="30" t="e">
        <f t="shared" si="205"/>
        <v>#N/A</v>
      </c>
      <c r="BP100" s="31" t="e">
        <f>IF(OR(Hypothèses!$B$4=17,Hypothèses!$B$4=18,Hypothèses!$B$4=19,Hypothèses!$B$4=20),
IF($D100="Pressio.",
IF(OR($E100=3,$E100=1,$E100=4),BO100,BN100),
IF($D100="Pénétro.",
IF(OR($E100=3,$E100=1,$E100=4),BO100,BN100))),IF($D100="Pressio.",
IF($E100=3,BO100,BN100),
IF($D100="Pénétro.",
IF($E100=4,BO100,BN100))))</f>
        <v>#N/A</v>
      </c>
      <c r="BQ100" s="31">
        <v>0</v>
      </c>
      <c r="BR100" s="102" t="e">
        <f>IF(NDC!$H$10="Oui",(VLOOKUP($B$3,'Coeff EC7'!$T$39:$X$59,2,0)*BP100+VLOOKUP($B$3,'Coeff EC7'!$T$65:$X$85,2,0)*Model0.1T!BQ100)/1.5,PI()*BN$12*$Q100*($B100-$B99)*0.15/10+BR99)</f>
        <v>#N/A</v>
      </c>
      <c r="BS100" s="102" t="e">
        <f>(VLOOKUP($B$3,'Coeff EC7'!$T$39:$X$59,3,0)*BP100+VLOOKUP($B$3,'Coeff EC7'!$T$65:$X$85,3,0)*Model0.1T!BQ100)/1.1</f>
        <v>#N/A</v>
      </c>
      <c r="BT100" s="102" t="e">
        <f t="shared" si="178"/>
        <v>#N/A</v>
      </c>
      <c r="BU100" s="102" t="e">
        <f t="shared" si="179"/>
        <v>#N/A</v>
      </c>
      <c r="BV100" s="414" t="e">
        <f>IF(AND(BR100&gt;NDC!$C$63,BS100&gt;NDC!$C$65,BT100&gt;NDC!$D$73,BU100&gt;NDC!$D$74,$B100&gt;NDC!$H$22-0.1+MIN(3*BV$12,1.5)),0,1)</f>
        <v>#N/A</v>
      </c>
      <c r="BW100" s="86" t="b">
        <f t="shared" si="145"/>
        <v>0</v>
      </c>
      <c r="BX100" s="86">
        <f t="shared" si="146"/>
        <v>0.5</v>
      </c>
      <c r="BY100" s="86">
        <f t="shared" si="147"/>
        <v>0.5</v>
      </c>
      <c r="BZ100" s="30" t="e">
        <f t="shared" ca="1" si="180"/>
        <v>#DIV/0!</v>
      </c>
      <c r="CA100" s="85" t="e">
        <f ca="1">IF(BG100&lt;=Hypothèses!$V$7,Hypothèses!$W$7,IF(BG100&lt;=Hypothèses!$V$8,Hypothèses!$W$8,IF(BG100&lt;=Hypothèses!$V$9,Hypothèses!$W$9,IF(BG100&lt;=Hypothèses!$V$10,Hypothèses!$W$10,IF(BG100&lt;=Hypothèses!$V$11,Hypothèses!$W$11,IF(BG100&lt;=Hypothèses!$V$12,Hypothèses!$W$12,IF(BG100&lt;=Hypothèses!$V$13,Hypothèses!$W$13,IF(BG100&lt;=Hypothèses!$V$14,Hypothèses!$W$14,IF(BG100&lt;=Hypothèses!$V$15,Hypothèses!$W$15,IF(BG100&lt;=Hypothèses!$V$16,Hypothèses!$W$16,IF(BG100&lt;=Hypothèses!$V$17,Hypothèses!$W$17,IF(BG100&lt;=Hypothèses!$V$18,Hypothèses!$W$18,""))))))))))))</f>
        <v>#DIV/0!</v>
      </c>
      <c r="CB100" s="87" t="e">
        <f t="shared" ca="1" si="219"/>
        <v>#DIV/0!</v>
      </c>
      <c r="CC100" s="88" t="e">
        <f ca="1">IF(BG100&lt;=Hypothèses!$V$7,Hypothèses!$X$7,IF(BG100&lt;=Hypothèses!$V$8,Hypothèses!$X$8,IF(BG100&lt;=Hypothèses!$V$9,Hypothèses!$X$9,IF(BG100&lt;=Hypothèses!$V$10,Hypothèses!$X$10,IF(BG100&lt;=Hypothèses!$V$11,Hypothèses!$X$11,IF(BG100&lt;=Hypothèses!$V$12,Hypothèses!$X$12,IF(BG100&lt;=Hypothèses!$V$13,Hypothèses!$X$13,IF(BG100&lt;=Hypothèses!$V$14,Hypothèses!$X$14,IF(BG100&lt;=Hypothèses!$V$15,Hypothèses!$X$15,IF(BG100&lt;=Hypothèses!$V$16,Hypothèses!$X$16,IF(BG100&lt;=Hypothèses!$U$17,Hypothèses!$W$17,IF(BG100&lt;=Hypothèses!$U$18,Hypothèses!$W$18,""))))))))))))</f>
        <v>#DIV/0!</v>
      </c>
      <c r="CD100" s="95" t="e">
        <f t="shared" ca="1" si="181"/>
        <v>#DIV/0!</v>
      </c>
      <c r="CE100" s="101">
        <f t="shared" si="226"/>
        <v>0</v>
      </c>
      <c r="CF100" s="91">
        <f t="shared" si="148"/>
        <v>0</v>
      </c>
      <c r="CG100" s="30" t="e">
        <f t="shared" si="206"/>
        <v>#N/A</v>
      </c>
      <c r="CH100" s="30" t="e">
        <f t="shared" si="207"/>
        <v>#N/A</v>
      </c>
      <c r="CI100" s="31" t="e">
        <f>IF(OR(Hypothèses!$B$4=17,Hypothèses!$B$4=18,Hypothèses!$B$4=19,Hypothèses!$B$4=20),
IF($D100="Pressio.",
IF(OR($E100=3,$E100=1,$E100=4),CH100,CG100),
IF($D100="Pénétro.",
IF(OR($E100=3,$E100=1,$E100=4),CH100,CG100))),IF($D100="Pressio.",
IF($E100=3,CH100,CG100),
IF($D100="Pénétro.",
IF($E100=4,CH100,CG100))))</f>
        <v>#N/A</v>
      </c>
      <c r="CJ100" s="31">
        <v>0</v>
      </c>
      <c r="CK100" s="102" t="e">
        <f>IF(NDC!$H$10="Oui",(VLOOKUP($B$3,'Coeff EC7'!$T$39:$X$59,2,0)*CI100+VLOOKUP($B$3,'Coeff EC7'!$T$65:$X$85,2,0)*Model0.1T!CJ100)/1.5,PI()*CG$12*$Q100*($B100-$B99)*0.15/10+CK99)</f>
        <v>#N/A</v>
      </c>
      <c r="CL100" s="102" t="e">
        <f>(VLOOKUP($B$3,'Coeff EC7'!$T$39:$X$59,3,0)*CI100+VLOOKUP($B$3,'Coeff EC7'!$T$65:$X$85,3,0)*Model0.1T!CJ100)/1.1</f>
        <v>#N/A</v>
      </c>
      <c r="CM100" s="102" t="e">
        <f t="shared" si="182"/>
        <v>#N/A</v>
      </c>
      <c r="CN100" s="102" t="e">
        <f t="shared" si="183"/>
        <v>#N/A</v>
      </c>
      <c r="CO100" s="414" t="e">
        <f>IF(AND(CK100&gt;NDC!$C$63,CL100&gt;NDC!$C$65,CM100&gt;NDC!$D$73,CN100&gt;NDC!$D$74,$B100&gt;NDC!$H$22-0.1+MIN(3*CO$12,1.5)),0,1)</f>
        <v>#N/A</v>
      </c>
      <c r="CP100" s="86" t="b">
        <f t="shared" si="149"/>
        <v>0</v>
      </c>
      <c r="CQ100" s="86">
        <f t="shared" si="150"/>
        <v>0.5</v>
      </c>
      <c r="CR100" s="86">
        <f t="shared" si="151"/>
        <v>0.5</v>
      </c>
      <c r="CS100" s="30" t="e">
        <f t="shared" ca="1" si="184"/>
        <v>#DIV/0!</v>
      </c>
      <c r="CT100" s="85" t="e">
        <f ca="1">IF(BZ100&lt;=Hypothèses!$V$7,Hypothèses!$W$7,IF(BZ100&lt;=Hypothèses!$V$8,Hypothèses!$W$8,IF(BZ100&lt;=Hypothèses!$V$9,Hypothèses!$W$9,IF(BZ100&lt;=Hypothèses!$V$10,Hypothèses!$W$10,IF(BZ100&lt;=Hypothèses!$V$11,Hypothèses!$W$11,IF(BZ100&lt;=Hypothèses!$V$12,Hypothèses!$W$12,IF(BZ100&lt;=Hypothèses!$V$13,Hypothèses!$W$13,IF(BZ100&lt;=Hypothèses!$V$14,Hypothèses!$W$14,IF(BZ100&lt;=Hypothèses!$V$15,Hypothèses!$W$15,IF(BZ100&lt;=Hypothèses!$V$16,Hypothèses!$W$16,IF(BZ100&lt;=Hypothèses!$V$17,Hypothèses!$W$17,IF(BZ100&lt;=Hypothèses!$V$18,Hypothèses!$W$18,""))))))))))))</f>
        <v>#DIV/0!</v>
      </c>
      <c r="CU100" s="87" t="e">
        <f t="shared" ca="1" si="220"/>
        <v>#DIV/0!</v>
      </c>
      <c r="CV100" s="88" t="e">
        <f ca="1">IF(BZ100&lt;=Hypothèses!$V$7,Hypothèses!$X$7,IF(BZ100&lt;=Hypothèses!$V$8,Hypothèses!$X$8,IF(BZ100&lt;=Hypothèses!$V$9,Hypothèses!$X$9,IF(BZ100&lt;=Hypothèses!$V$10,Hypothèses!$X$10,IF(BZ100&lt;=Hypothèses!$V$11,Hypothèses!$X$11,IF(BZ100&lt;=Hypothèses!$V$12,Hypothèses!$X$12,IF(BZ100&lt;=Hypothèses!$V$13,Hypothèses!$X$13,IF(BZ100&lt;=Hypothèses!$V$14,Hypothèses!$X$14,IF(BZ100&lt;=Hypothèses!$V$15,Hypothèses!$X$15,IF(BZ100&lt;=Hypothèses!$V$16,Hypothèses!$X$16,IF(BZ100&lt;=Hypothèses!$U$17,Hypothèses!$W$17,IF(BZ100&lt;=Hypothèses!$U$18,Hypothèses!$W$18,""))))))))))))</f>
        <v>#DIV/0!</v>
      </c>
      <c r="CW100" s="95" t="e">
        <f t="shared" ca="1" si="185"/>
        <v>#DIV/0!</v>
      </c>
      <c r="CX100" s="101">
        <f t="shared" si="227"/>
        <v>0</v>
      </c>
      <c r="CY100" s="91">
        <f t="shared" si="152"/>
        <v>0</v>
      </c>
      <c r="CZ100" s="30" t="e">
        <f t="shared" si="208"/>
        <v>#N/A</v>
      </c>
      <c r="DA100" s="30" t="e">
        <f t="shared" si="209"/>
        <v>#N/A</v>
      </c>
      <c r="DB100" s="31" t="e">
        <f>IF(OR(Hypothèses!$B$4=17,Hypothèses!$B$4=18,Hypothèses!$B$4=19,Hypothèses!$B$4=20),
IF($D100="Pressio.",
IF(OR($E100=3,$E100=1,$E100=4),DA100,CZ100),
IF($D100="Pénétro.",
IF(OR($E100=3,$E100=1,$E100=4),DA100,CZ100))),IF($D100="Pressio.",
IF($E100=3,DA100,CZ100),
IF($D100="Pénétro.",
IF($E100=4,DA100,CZ100))))</f>
        <v>#N/A</v>
      </c>
      <c r="DC100" s="31">
        <v>0</v>
      </c>
      <c r="DD100" s="102" t="e">
        <f>IF(NDC!$H$10="Oui",(VLOOKUP($B$3,'Coeff EC7'!$T$39:$X$59,2,0)*DB100+VLOOKUP($B$3,'Coeff EC7'!$T$65:$X$85,2,0)*Model0.1T!DC100)/1.5,PI()*CZ$12*$Q100*($B100-$B99)*0.15/10+DD99)</f>
        <v>#N/A</v>
      </c>
      <c r="DE100" s="102" t="e">
        <f>(VLOOKUP($B$3,'Coeff EC7'!$T$39:$X$59,3,0)*DB100+VLOOKUP($B$3,'Coeff EC7'!$T$65:$X$85,3,0)*Model0.1T!DC100)/1.1</f>
        <v>#N/A</v>
      </c>
      <c r="DF100" s="102" t="e">
        <f t="shared" si="186"/>
        <v>#N/A</v>
      </c>
      <c r="DG100" s="102" t="e">
        <f t="shared" si="187"/>
        <v>#N/A</v>
      </c>
      <c r="DH100" s="414" t="e">
        <f>IF(AND(DD100&gt;NDC!$C$63,DE100&gt;NDC!$C$65,DF100&gt;NDC!$D$73,DG100&gt;NDC!$D$74,$B100&gt;NDC!$H$22-0.1+MIN(3*DH$12,1.5)),0,1)</f>
        <v>#N/A</v>
      </c>
      <c r="DI100" s="86" t="b">
        <f t="shared" si="153"/>
        <v>0</v>
      </c>
      <c r="DJ100" s="86">
        <f t="shared" si="154"/>
        <v>0.5</v>
      </c>
      <c r="DK100" s="86">
        <f t="shared" si="155"/>
        <v>0.5</v>
      </c>
      <c r="DL100" s="30" t="e">
        <f t="shared" ca="1" si="188"/>
        <v>#DIV/0!</v>
      </c>
      <c r="DM100" s="85" t="e">
        <f ca="1">IF(CS100&lt;=Hypothèses!$V$7,Hypothèses!$W$7,IF(CS100&lt;=Hypothèses!$V$8,Hypothèses!$W$8,IF(CS100&lt;=Hypothèses!$V$9,Hypothèses!$W$9,IF(CS100&lt;=Hypothèses!$V$10,Hypothèses!$W$10,IF(CS100&lt;=Hypothèses!$V$11,Hypothèses!$W$11,IF(CS100&lt;=Hypothèses!$V$12,Hypothèses!$W$12,IF(CS100&lt;=Hypothèses!$V$13,Hypothèses!$W$13,IF(CS100&lt;=Hypothèses!$V$14,Hypothèses!$W$14,IF(CS100&lt;=Hypothèses!$V$15,Hypothèses!$W$15,IF(CS100&lt;=Hypothèses!$V$16,Hypothèses!$W$16,IF(CS100&lt;=Hypothèses!$V$17,Hypothèses!$W$17,IF(CS100&lt;=Hypothèses!$V$18,Hypothèses!$W$18,""))))))))))))</f>
        <v>#DIV/0!</v>
      </c>
      <c r="DN100" s="87" t="e">
        <f t="shared" ca="1" si="221"/>
        <v>#DIV/0!</v>
      </c>
      <c r="DO100" s="88" t="e">
        <f ca="1">IF(CS100&lt;=Hypothèses!$V$7,Hypothèses!$X$7,IF(CS100&lt;=Hypothèses!$V$8,Hypothèses!$X$8,IF(CS100&lt;=Hypothèses!$V$9,Hypothèses!$X$9,IF(CS100&lt;=Hypothèses!$V$10,Hypothèses!$X$10,IF(CS100&lt;=Hypothèses!$V$11,Hypothèses!$X$11,IF(CS100&lt;=Hypothèses!$V$12,Hypothèses!$X$12,IF(CS100&lt;=Hypothèses!$V$13,Hypothèses!$X$13,IF(CS100&lt;=Hypothèses!$V$14,Hypothèses!$X$14,IF(CS100&lt;=Hypothèses!$V$15,Hypothèses!$X$15,IF(CS100&lt;=Hypothèses!$V$16,Hypothèses!$X$16,IF(CS100&lt;=Hypothèses!$U$17,Hypothèses!$W$17,IF(CS100&lt;=Hypothèses!$U$18,Hypothèses!$W$18,""))))))))))))</f>
        <v>#DIV/0!</v>
      </c>
      <c r="DP100" s="95" t="e">
        <f t="shared" ca="1" si="189"/>
        <v>#DIV/0!</v>
      </c>
      <c r="DQ100" s="101">
        <f t="shared" si="228"/>
        <v>0</v>
      </c>
      <c r="DR100" s="91">
        <f t="shared" si="156"/>
        <v>0</v>
      </c>
      <c r="DS100" s="30" t="e">
        <f t="shared" si="210"/>
        <v>#N/A</v>
      </c>
      <c r="DT100" s="30" t="e">
        <f t="shared" si="211"/>
        <v>#N/A</v>
      </c>
      <c r="DU100" s="31" t="e">
        <f>IF(OR(Hypothèses!$B$4=17,Hypothèses!$B$4=18,Hypothèses!$B$4=19,Hypothèses!$B$4=20),
IF($D100="Pressio.",
IF(OR($E100=3,$E100=1,$E100=4),DT100,DS100),
IF($D100="Pénétro.",
IF(OR($E100=3,$E100=1,$E100=4),DT100,DS100))),IF($D100="Pressio.",
IF($E100=3,DT100,DS100),
IF($D100="Pénétro.",
IF($E100=4,DT100,DS100))))</f>
        <v>#N/A</v>
      </c>
      <c r="DV100" s="31">
        <v>0</v>
      </c>
      <c r="DW100" s="102" t="e">
        <f>IF(NDC!$H$10="Oui",(VLOOKUP($B$3,'Coeff EC7'!$T$39:$X$59,2,0)*DU100+VLOOKUP($B$3,'Coeff EC7'!$T$65:$X$85,2,0)*Model0.1T!DV100)/1.5,PI()*DS$12*$Q100*($B100-$B99)*0.15/10+DW99)</f>
        <v>#N/A</v>
      </c>
      <c r="DX100" s="102" t="e">
        <f>(VLOOKUP($B$3,'Coeff EC7'!$T$39:$X$59,3,0)*DU100+VLOOKUP($B$3,'Coeff EC7'!$T$65:$X$85,3,0)*Model0.1T!DV100)/1.1</f>
        <v>#N/A</v>
      </c>
      <c r="DY100" s="102" t="e">
        <f t="shared" si="190"/>
        <v>#N/A</v>
      </c>
      <c r="DZ100" s="102" t="e">
        <f t="shared" si="191"/>
        <v>#N/A</v>
      </c>
      <c r="EA100" s="414" t="e">
        <f>IF(AND(DW100&gt;NDC!$C$63,DX100&gt;NDC!$C$65,DY100&gt;NDC!$D$73,DZ100&gt;NDC!$D$74,$B100&gt;NDC!$H$22-0.1+MIN(3*EA$12,1.5)),0,1)</f>
        <v>#N/A</v>
      </c>
      <c r="EB100" s="86" t="b">
        <f t="shared" si="157"/>
        <v>0</v>
      </c>
      <c r="EC100" s="418">
        <f t="shared" si="158"/>
        <v>0.51</v>
      </c>
      <c r="ED100" s="86">
        <f t="shared" si="159"/>
        <v>0.51</v>
      </c>
      <c r="EE100" s="30" t="e">
        <f t="shared" ca="1" si="192"/>
        <v>#DIV/0!</v>
      </c>
      <c r="EF100" s="85" t="e">
        <f ca="1">IF(DL100&lt;=Hypothèses!$V$7,Hypothèses!$W$7,IF(DL100&lt;=Hypothèses!$V$8,Hypothèses!$W$8,IF(DL100&lt;=Hypothèses!$V$9,Hypothèses!$W$9,IF(DL100&lt;=Hypothèses!$V$10,Hypothèses!$W$10,IF(DL100&lt;=Hypothèses!$V$11,Hypothèses!$W$11,IF(DL100&lt;=Hypothèses!$V$12,Hypothèses!$W$12,IF(DL100&lt;=Hypothèses!$V$13,Hypothèses!$W$13,IF(DL100&lt;=Hypothèses!$V$14,Hypothèses!$W$14,IF(DL100&lt;=Hypothèses!$V$15,Hypothèses!$W$15,IF(DL100&lt;=Hypothèses!$V$16,Hypothèses!$W$16,IF(DL100&lt;=Hypothèses!$V$17,Hypothèses!$W$17,IF(DL100&lt;=Hypothèses!$V$18,Hypothèses!$W$18,""))))))))))))</f>
        <v>#DIV/0!</v>
      </c>
      <c r="EG100" s="87" t="e">
        <f t="shared" ca="1" si="222"/>
        <v>#DIV/0!</v>
      </c>
      <c r="EH100" s="88" t="e">
        <f ca="1">IF(DL100&lt;=Hypothèses!$V$7,Hypothèses!$X$7,IF(DL100&lt;=Hypothèses!$V$8,Hypothèses!$X$8,IF(DL100&lt;=Hypothèses!$V$9,Hypothèses!$X$9,IF(DL100&lt;=Hypothèses!$V$10,Hypothèses!$X$10,IF(DL100&lt;=Hypothèses!$V$11,Hypothèses!$X$11,IF(DL100&lt;=Hypothèses!$V$12,Hypothèses!$X$12,IF(DL100&lt;=Hypothèses!$V$13,Hypothèses!$X$13,IF(DL100&lt;=Hypothèses!$V$14,Hypothèses!$X$14,IF(DL100&lt;=Hypothèses!$V$15,Hypothèses!$X$15,IF(DL100&lt;=Hypothèses!$V$16,Hypothèses!$X$16,IF(DL100&lt;=Hypothèses!$U$17,Hypothèses!$W$17,IF(DL100&lt;=Hypothèses!$U$18,Hypothèses!$W$18,""))))))))))))</f>
        <v>#DIV/0!</v>
      </c>
      <c r="EI100" s="95" t="e">
        <f t="shared" ca="1" si="193"/>
        <v>#DIV/0!</v>
      </c>
      <c r="EJ100" s="101">
        <f t="shared" si="229"/>
        <v>0</v>
      </c>
      <c r="EK100" s="91">
        <f t="shared" si="160"/>
        <v>0</v>
      </c>
      <c r="EL100" s="30" t="e">
        <f t="shared" si="212"/>
        <v>#N/A</v>
      </c>
      <c r="EM100" s="30" t="e">
        <f t="shared" si="213"/>
        <v>#N/A</v>
      </c>
      <c r="EN100" s="31" t="e">
        <f>IF(OR(Hypothèses!$B$4=17,Hypothèses!$B$4=18,Hypothèses!$B$4=19,Hypothèses!$B$4=20),
IF($D100="Pressio.",
IF(OR($E100=3,$E100=1,$E100=4),EM100,EL100),
IF($D100="Pénétro.",
IF(OR($E100=3,$E100=1,$E100=4),EM100,EL100))),IF($D100="Pressio.",
IF($E100=3,EM100,EL100),
IF($D100="Pénétro.",
IF($E100=4,EM100,EL100))))</f>
        <v>#N/A</v>
      </c>
      <c r="EO100" s="31">
        <v>0</v>
      </c>
      <c r="EP100" s="102" t="e">
        <f>IF(NDC!$H$10="Oui",(VLOOKUP($B$3,'Coeff EC7'!$T$39:$X$59,2,0)*EN100+VLOOKUP($B$3,'Coeff EC7'!$T$65:$X$85,2,0)*Model0.1T!EO100)/1.5,PI()*EL$12*$Q100*($B100-$B99)*0.15/10+EP99)</f>
        <v>#N/A</v>
      </c>
      <c r="EQ100" s="102" t="e">
        <f>(VLOOKUP($B$3,'Coeff EC7'!$T$39:$X$59,3,0)*EN100+VLOOKUP($B$3,'Coeff EC7'!$T$65:$X$85,3,0)*Model0.1T!EO100)/1.1</f>
        <v>#N/A</v>
      </c>
      <c r="ER100" s="102" t="e">
        <f t="shared" si="194"/>
        <v>#N/A</v>
      </c>
      <c r="ES100" s="102" t="e">
        <f t="shared" si="195"/>
        <v>#N/A</v>
      </c>
      <c r="ET100" s="414" t="e">
        <f>IF(AND(EP100&gt;NDC!$C$63,EQ100&gt;NDC!$C$65,ER100&gt;NDC!$D$73,ES100&gt;NDC!$D$74,$B100&gt;NDC!$H$22-0.1+MIN(3*ET$12,1.5)),0,1)</f>
        <v>#N/A</v>
      </c>
      <c r="EU100" s="86" t="b">
        <f t="shared" si="161"/>
        <v>0</v>
      </c>
      <c r="EV100" s="86">
        <f t="shared" si="162"/>
        <v>0.61</v>
      </c>
      <c r="EW100" s="86">
        <f t="shared" si="163"/>
        <v>0.61</v>
      </c>
      <c r="EX100" s="30" t="e">
        <f t="shared" ca="1" si="196"/>
        <v>#DIV/0!</v>
      </c>
      <c r="EY100" s="85" t="e">
        <f ca="1">IF(EE100&lt;=Hypothèses!$V$7,Hypothèses!$W$7,IF(EE100&lt;=Hypothèses!$V$8,Hypothèses!$W$8,IF(EE100&lt;=Hypothèses!$V$9,Hypothèses!$W$9,IF(EE100&lt;=Hypothèses!$V$10,Hypothèses!$W$10,IF(EE100&lt;=Hypothèses!$V$11,Hypothèses!$W$11,IF(EE100&lt;=Hypothèses!$V$12,Hypothèses!$W$12,IF(EE100&lt;=Hypothèses!$V$13,Hypothèses!$W$13,IF(EE100&lt;=Hypothèses!$V$14,Hypothèses!$W$14,IF(EE100&lt;=Hypothèses!$V$15,Hypothèses!$W$15,IF(EE100&lt;=Hypothèses!$V$16,Hypothèses!$W$16,IF(EE100&lt;=Hypothèses!$V$17,Hypothèses!$W$17,IF(EE100&lt;=Hypothèses!$V$18,Hypothèses!$W$18,""))))))))))))</f>
        <v>#DIV/0!</v>
      </c>
      <c r="EZ100" s="87" t="e">
        <f t="shared" ca="1" si="223"/>
        <v>#DIV/0!</v>
      </c>
      <c r="FA100" s="88" t="e">
        <f ca="1">IF(EE100&lt;=Hypothèses!$V$7,Hypothèses!$X$7,IF(EE100&lt;=Hypothèses!$V$8,Hypothèses!$X$8,IF(EE100&lt;=Hypothèses!$V$9,Hypothèses!$X$9,IF(EE100&lt;=Hypothèses!$V$10,Hypothèses!$X$10,IF(EE100&lt;=Hypothèses!$V$11,Hypothèses!$X$11,IF(EE100&lt;=Hypothèses!$V$12,Hypothèses!$X$12,IF(EE100&lt;=Hypothèses!$V$13,Hypothèses!$X$13,IF(EE100&lt;=Hypothèses!$V$14,Hypothèses!$X$14,IF(EE100&lt;=Hypothèses!$V$15,Hypothèses!$X$15,IF(EE100&lt;=Hypothèses!$V$16,Hypothèses!$X$16,IF(EE100&lt;=Hypothèses!$U$17,Hypothèses!$W$17,IF(EE100&lt;=Hypothèses!$U$18,Hypothèses!$W$18,""))))))))))))</f>
        <v>#DIV/0!</v>
      </c>
      <c r="FB100" s="95" t="e">
        <f t="shared" ca="1" si="197"/>
        <v>#DIV/0!</v>
      </c>
      <c r="FC100" s="101">
        <f t="shared" si="230"/>
        <v>0</v>
      </c>
      <c r="FD100" s="91">
        <f t="shared" si="164"/>
        <v>0</v>
      </c>
      <c r="FE100" s="30" t="e">
        <f t="shared" si="214"/>
        <v>#N/A</v>
      </c>
      <c r="FF100" s="30" t="e">
        <f t="shared" si="215"/>
        <v>#N/A</v>
      </c>
      <c r="FG100" s="31" t="e">
        <f>IF(OR(Hypothèses!$B$4=17,Hypothèses!$B$4=18,Hypothèses!$B$4=19,Hypothèses!$B$4=20),
IF($D100="Pressio.",
IF(OR($E100=3,$E100=1,$E100=4),FF100,FE100),
IF($D100="Pénétro.",
IF(OR($E100=3,$E100=1,$E100=4),FF100,FE100))),IF($D100="Pressio.",
IF($E100=3,FF100,FE100),
IF($D100="Pénétro.",
IF($E100=4,FF100,FE100))))</f>
        <v>#N/A</v>
      </c>
      <c r="FH100" s="31">
        <v>0</v>
      </c>
      <c r="FI100" s="102" t="e">
        <f>IF(NDC!$H$10="Oui",(VLOOKUP($B$3,'Coeff EC7'!$T$39:$X$59,2,0)*FG100+VLOOKUP($B$3,'Coeff EC7'!$T$65:$X$85,2,0)*Model0.1T!FH100)/1.5,PI()*FE$12*$Q100*($B100-$B99)*0.15/10+FI99)</f>
        <v>#N/A</v>
      </c>
      <c r="FJ100" s="102" t="e">
        <f>(VLOOKUP($B$3,'Coeff EC7'!$T$39:$X$59,3,0)*FG100+VLOOKUP($B$3,'Coeff EC7'!$T$65:$X$85,3,0)*Model0.1T!FH100)/1.1</f>
        <v>#N/A</v>
      </c>
      <c r="FK100" s="102" t="e">
        <f t="shared" si="198"/>
        <v>#N/A</v>
      </c>
      <c r="FL100" s="102" t="e">
        <f t="shared" si="199"/>
        <v>#N/A</v>
      </c>
      <c r="FM100" s="414" t="e">
        <f>IF(AND(FI100&gt;NDC!$C$63,FJ100&gt;NDC!$C$65,FK100&gt;NDC!$D$73,FL100&gt;NDC!$D$74,$B100&gt;NDC!$H$22-0.1+MIN(3*FM$12,1.5)),0,1)</f>
        <v>#N/A</v>
      </c>
    </row>
    <row r="101" spans="1:169">
      <c r="A101" s="96">
        <f t="shared" si="165"/>
        <v>91.2000000000005</v>
      </c>
      <c r="B101" s="97">
        <v>8.8000000000000007</v>
      </c>
      <c r="C101" s="81">
        <f>IF(B101&lt;=Hypothèses!$C$7,Hypothèses!$A$7,IF(B101&lt;=Hypothèses!$C$8,Hypothèses!$A$8,IF(B101&lt;=Hypothèses!$C$9,Hypothèses!$A$9,IF(B101&lt;=Hypothèses!$C$10,Hypothèses!$A$10,IF(B101&lt;=Hypothèses!$C$11,Hypothèses!$A$11,IF(B101&lt;=Hypothèses!$C$12,Hypothèses!$A$12,IF(B101&lt;=Hypothèses!$C$13,Hypothèses!$A$13,IF(B101&lt;=Hypothèses!$C$14,Hypothèses!$A$14,IF(B101&lt;=Hypothèses!$C$15,Hypothèses!$A$15,IF(B101&lt;=Hypothèses!$C$16,Hypothèses!$A$16,IF(B101&lt;=Hypothèses!$C$17,Hypothèses!$A$17,IF(B101&lt;=Hypothèses!$C$18,Hypothèses!$A$18,C100))))))))))))</f>
        <v>11</v>
      </c>
      <c r="D101" s="82" t="str">
        <f>IF(B101&lt;=Hypothèses!$C$7,Hypothèses!$R$7,IF(B101&lt;=Hypothèses!$C$8,Hypothèses!$R$8,IF(B101&lt;=Hypothèses!$C$9,Hypothèses!$R$9,IF(B101&lt;=Hypothèses!$C$10,Hypothèses!$R$10,IF(B101&lt;=Hypothèses!$C$11,Hypothèses!$R$11,IF(B101&lt;=Hypothèses!$C$12,Hypothèses!$R$12,IF(B101&lt;=Hypothèses!$C$13,Hypothèses!$R$13,IF(B101&lt;=Hypothèses!$C$14,Hypothèses!$R$14,IF(B101&lt;=Hypothèses!$C$15,Hypothèses!$R$15,IF(B101&lt;=Hypothèses!$C$16,Hypothèses!$R$16,IF(B101&lt;=Hypothèses!$C$17,Hypothèses!$R$17,IF(B101&lt;=Hypothèses!$C$18,Hypothèses!$R$18,D100))))))))))))</f>
        <v>Pressio.</v>
      </c>
      <c r="E101" s="82" t="e">
        <f>IF(B101&lt;=Hypothèses!$C$7,Hypothèses!$G$7,IF(B101&lt;=Hypothèses!$C$8,Hypothèses!$G$8,IF(B101&lt;=Hypothèses!$C$9,Hypothèses!$G$9,IF(B101&lt;=Hypothèses!$C$10,Hypothèses!$G$10,IF(B101&lt;=Hypothèses!$C$11,Hypothèses!$G$11,IF(B101&lt;=Hypothèses!$C$12,Hypothèses!$G$12,IF(B101&lt;=Hypothèses!$C$13,Hypothèses!$G$13,IF(B101&lt;=Hypothèses!$C$14,Hypothèses!$G$14,IF(B101&lt;=Hypothèses!$C$15,Hypothèses!$G$15,IF(B101&lt;=Hypothèses!$C$16,Hypothèses!$G$16,IF(B101&lt;=Hypothèses!$C$17,Hypothèses!$G$17,IF(B101&lt;=Hypothèses!$C$18,Hypothèses!$G$18,E100))))))))))))</f>
        <v>#N/A</v>
      </c>
      <c r="F101" s="82" t="str">
        <f>IF(B101&lt;=Hypothèses!$C$7,Hypothèses!$F$7,IF(B101&lt;=Hypothèses!$C$8,Hypothèses!$F$8,IF(B101&lt;=Hypothèses!$C$9,Hypothèses!$F$9,IF(B101&lt;=Hypothèses!$C$10,Hypothèses!$F$10,IF(B101&lt;=Hypothèses!$C$11,Hypothèses!$F$11,IF(B101&lt;=Hypothèses!$C$12,Hypothèses!$F$12,IF(B101&lt;=Hypothèses!$C$13,Hypothèses!$F$13,IF(B101&lt;=Hypothèses!$C$14,Hypothèses!$F$14,IF(B101&lt;=Hypothèses!$C$15,Hypothèses!$F$15,IF(B101&lt;=Hypothèses!$C$16,Hypothèses!$F$16,IF(B101&lt;=Hypothèses!$C$17,Hypothèses!$F$17,IF(B101&lt;=Hypothèses!$C$18,Hypothèses!$F$18,F100))))))))))))</f>
        <v/>
      </c>
      <c r="G101" s="91">
        <f t="array" ref="G101">INDEX('Coeff EC7'!$U$7:$X$27,
MATCH(Model0.1T!$B$3,'Coeff EC7'!$T$7:$T$27,0),
MATCH(Model0.1T!$D101&amp;Model0.1T!$B$4,
'Coeff EC7'!$U$6:$X$6&amp;
'Coeff EC7'!$U$5:$X$5,0))</f>
        <v>1.4</v>
      </c>
      <c r="H101" s="91">
        <f t="array" ref="H101">INDEX('Coeff EC7'!$Y$7:$AB$27,
MATCH(Model0.1T!$B$3,'Coeff EC7'!$T$7:$T$27,0),
MATCH(Model0.1T!$D101&amp;Model0.1T!$B$4,
'Coeff EC7'!$Y$6:$AB$6&amp;
'Coeff EC7'!$Y$5:$AB$5,0))</f>
        <v>1.7</v>
      </c>
      <c r="I101" s="83">
        <v>0</v>
      </c>
      <c r="J101" s="91" t="e">
        <f t="array" ref="J101">INDEX('Coeff EC7'!$D$33:$Q$33,1,MATCH(D101&amp;E101,'Coeff EC7'!$D$31:$Q$31&amp;'Coeff EC7'!$D$32:$Q$32,0))</f>
        <v>#N/A</v>
      </c>
      <c r="K101" s="91" t="e">
        <f t="array" ref="K101">INDEX('Coeff EC7'!$D$34:$Q$34,1,MATCH(D101&amp;E101,'Coeff EC7'!$D$31:$Q$31&amp;'Coeff EC7'!$D$32:$Q$32,0))</f>
        <v>#N/A</v>
      </c>
      <c r="L101" s="91" t="e">
        <f t="array" ref="L101">INDEX('Coeff EC7'!$D$35:$Q$35,1,MATCH(D101&amp;E101,'Coeff EC7'!$D$31:$Q$31&amp;'Coeff EC7'!$D$32:$Q$32,0))</f>
        <v>#N/A</v>
      </c>
      <c r="M101" s="98" t="e">
        <f t="shared" si="131"/>
        <v>#N/A</v>
      </c>
      <c r="N101" s="99" t="e">
        <f t="array" ref="N101">INDEX('Coeff EC7'!$D$7:$Q$27,MATCH($B$3,'Coeff EC7'!$C$7:$C$27,0),MATCH(D101&amp;E101,'Coeff EC7'!$D$5:$Q$5&amp;'Coeff EC7'!$D$6:$Q$6,0))</f>
        <v>#N/A</v>
      </c>
      <c r="O101" s="99" t="e">
        <f t="array" ref="O101">INDEX('Coeff EC7'!$D$41:$Q$61,MATCH($B$3,'Coeff EC7'!$C$41:$C$61,0),MATCH(D101&amp;E101,'Coeff EC7'!$D$39:$Q$39&amp;'Coeff EC7'!$D$40:$Q$40,0))</f>
        <v>#N/A</v>
      </c>
      <c r="P101" s="30" t="e">
        <f t="shared" si="166"/>
        <v>#N/A</v>
      </c>
      <c r="Q101" s="100" t="e">
        <f t="shared" si="133"/>
        <v>#N/A</v>
      </c>
      <c r="R101" s="86" t="b">
        <f t="shared" si="134"/>
        <v>0</v>
      </c>
      <c r="S101" s="86">
        <f t="shared" si="132"/>
        <v>0.5</v>
      </c>
      <c r="T101" s="86">
        <f t="shared" si="135"/>
        <v>0.5</v>
      </c>
      <c r="U101" s="30" t="e">
        <f t="shared" ca="1" si="167"/>
        <v>#DIV/0!</v>
      </c>
      <c r="V101" s="85" t="str">
        <f>IF(B101&lt;=Hypothèses!$V$7,Hypothèses!$W$7,IF(B101&lt;=Hypothèses!$V$8,Hypothèses!$W$8,IF(B101&lt;=Hypothèses!$V$9,Hypothèses!$W$9,IF(B101&lt;=Hypothèses!$V$10,Hypothèses!$W$10,IF(B101&lt;=Hypothèses!$V$11,Hypothèses!$W$11,IF(B101&lt;=Hypothèses!$V$12,Hypothèses!$W$12,IF(B101&lt;=Hypothèses!$V$13,Hypothèses!$W$13,IF(B101&lt;=Hypothèses!$V$14,Hypothèses!$W$14,IF(B101&lt;=Hypothèses!$V$15,Hypothèses!$W$15,IF(B101&lt;=Hypothèses!$V$16,Hypothèses!$W$16,IF(B101&lt;=Hypothèses!$V$17,Hypothèses!$W$17,IF(B101&lt;=Hypothèses!$V$18,Hypothèses!$W$18,""))))))))))))</f>
        <v/>
      </c>
      <c r="W101" s="87" t="e">
        <f t="shared" ca="1" si="216"/>
        <v>#DIV/0!</v>
      </c>
      <c r="X101" s="88" t="str">
        <f>IF(B101&lt;=Hypothèses!$V$7,Hypothèses!$X$7,IF(B101&lt;=Hypothèses!$V$8,Hypothèses!$X$8,IF(B101&lt;=Hypothèses!$V$9,Hypothèses!$X$9,IF(B101&lt;=Hypothèses!$V$10,Hypothèses!$X$10,IF(B101&lt;=Hypothèses!$V$11,Hypothèses!$X$11,IF(B101&lt;=Hypothèses!$V$12,Hypothèses!$X$12,IF(B101&lt;=Hypothèses!$V$13,Hypothèses!$X$13,IF(B101&lt;=Hypothèses!$V$14,Hypothèses!$X$14,IF(B101&lt;=Hypothèses!$V$15,Hypothèses!$X$15,IF(B101&lt;=Hypothèses!$V$16,Hypothèses!$X$16,IF(B101&lt;=Hypothèses!$U$17,Hypothèses!$W$17,IF(B101&lt;=Hypothèses!$U$18,Hypothèses!$W$18,""))))))))))))</f>
        <v/>
      </c>
      <c r="Y101" s="95" t="e">
        <f t="shared" ca="1" si="136"/>
        <v>#DIV/0!</v>
      </c>
      <c r="Z101" s="101">
        <f t="shared" si="137"/>
        <v>0</v>
      </c>
      <c r="AA101" s="91">
        <f t="shared" si="138"/>
        <v>0</v>
      </c>
      <c r="AB101" s="30" t="e">
        <f t="shared" si="200"/>
        <v>#N/A</v>
      </c>
      <c r="AC101" s="30" t="e">
        <f t="shared" si="201"/>
        <v>#N/A</v>
      </c>
      <c r="AD101" s="31" t="e">
        <f>IF(OR(Hypothèses!$B$4=17,Hypothèses!$B$4=18,Hypothèses!$B$4=19,Hypothèses!$B$4=20),
IF($D101="Pressio.",
IF(OR($E101=3,$E101=1,$E101=4),AC101,AB101),
IF($D101="Pénétro.",
IF(OR($E101=3,$E101=1,$E101=4),AC101,AB101))),IF($D101="Pressio.",
IF($E101=3,AC101,AB101),
IF($D101="Pénétro.",
IF($E101=4,AC101,AB101))))</f>
        <v>#N/A</v>
      </c>
      <c r="AE101" s="31">
        <v>0</v>
      </c>
      <c r="AF101" s="102" t="e">
        <f>IF(NDC!$H$10="Oui",(VLOOKUP($B$3,'Coeff EC7'!$T$39:$X$59,2,0)*AD101+VLOOKUP($B$3,'Coeff EC7'!$T$65:$X$85,2,0)*Model0.1T!AE101)/1.5,PI()*AB$12*$Q101*($B101-$B100)*0.15/10+AF100)</f>
        <v>#N/A</v>
      </c>
      <c r="AG101" s="102" t="e">
        <f>(VLOOKUP($B$3,'Coeff EC7'!$T$39:$X$59,3,0)*AD101+VLOOKUP($B$3,'Coeff EC7'!$T$65:$X$85,3,0)*Model0.1T!AE101)/1.1</f>
        <v>#N/A</v>
      </c>
      <c r="AH101" s="102" t="e">
        <f t="shared" si="168"/>
        <v>#N/A</v>
      </c>
      <c r="AI101" s="102" t="e">
        <f t="shared" si="169"/>
        <v>#N/A</v>
      </c>
      <c r="AJ101" s="414" t="e">
        <f>IF(AND(AF101&gt;NDC!$C$63,AG101&gt;NDC!$C$65,AH101&gt;NDC!$D$73,AI101&gt;NDC!$D$74,$B101&gt;NDC!$H$22-0.1+MIN(3*$AJ$12,1.5)),0,1)</f>
        <v>#N/A</v>
      </c>
      <c r="AK101" s="86" t="b">
        <f t="shared" si="139"/>
        <v>0</v>
      </c>
      <c r="AL101" s="86">
        <f t="shared" si="170"/>
        <v>0.5</v>
      </c>
      <c r="AM101" s="86">
        <f t="shared" si="140"/>
        <v>0.5</v>
      </c>
      <c r="AN101" s="30" t="e">
        <f t="shared" ca="1" si="171"/>
        <v>#DIV/0!</v>
      </c>
      <c r="AO101" s="85" t="e">
        <f ca="1">IF(U101&lt;=Hypothèses!$V$7,Hypothèses!$W$7,IF(U101&lt;=Hypothèses!$V$8,Hypothèses!$W$8,IF(U101&lt;=Hypothèses!$V$9,Hypothèses!$W$9,IF(U101&lt;=Hypothèses!$V$10,Hypothèses!$W$10,IF(U101&lt;=Hypothèses!$V$11,Hypothèses!$W$11,IF(U101&lt;=Hypothèses!$V$12,Hypothèses!$W$12,IF(U101&lt;=Hypothèses!$V$13,Hypothèses!$W$13,IF(U101&lt;=Hypothèses!$V$14,Hypothèses!$W$14,IF(U101&lt;=Hypothèses!$V$15,Hypothèses!$W$15,IF(U101&lt;=Hypothèses!$V$16,Hypothèses!$W$16,IF(U101&lt;=Hypothèses!$V$17,Hypothèses!$W$17,IF(U101&lt;=Hypothèses!$V$18,Hypothèses!$W$18,""))))))))))))</f>
        <v>#DIV/0!</v>
      </c>
      <c r="AP101" s="87" t="e">
        <f t="shared" ca="1" si="217"/>
        <v>#DIV/0!</v>
      </c>
      <c r="AQ101" s="88" t="e">
        <f ca="1">IF(U101&lt;=Hypothèses!$V$7,Hypothèses!$X$7,IF(U101&lt;=Hypothèses!$V$8,Hypothèses!$X$8,IF(U101&lt;=Hypothèses!$V$9,Hypothèses!$X$9,IF(U101&lt;=Hypothèses!$V$10,Hypothèses!$X$10,IF(U101&lt;=Hypothèses!$V$11,Hypothèses!$X$11,IF(U101&lt;=Hypothèses!$V$12,Hypothèses!$X$12,IF(U101&lt;=Hypothèses!$V$13,Hypothèses!$X$13,IF(U101&lt;=Hypothèses!$V$14,Hypothèses!$X$14,IF(U101&lt;=Hypothèses!$V$15,Hypothèses!$X$15,IF(U101&lt;=Hypothèses!$V$16,Hypothèses!$X$16,IF(U101&lt;=Hypothèses!$U$17,Hypothèses!$W$17,IF(U101&lt;=Hypothèses!$U$18,Hypothèses!$W$18,""))))))))))))</f>
        <v>#DIV/0!</v>
      </c>
      <c r="AR101" s="95" t="e">
        <f t="shared" ca="1" si="172"/>
        <v>#DIV/0!</v>
      </c>
      <c r="AS101" s="101">
        <f t="shared" si="224"/>
        <v>0</v>
      </c>
      <c r="AT101" s="91">
        <f t="shared" si="141"/>
        <v>0</v>
      </c>
      <c r="AU101" s="30" t="e">
        <f t="shared" si="202"/>
        <v>#N/A</v>
      </c>
      <c r="AV101" s="30" t="e">
        <f t="shared" si="203"/>
        <v>#N/A</v>
      </c>
      <c r="AW101" s="31" t="e">
        <f>IF(OR(Hypothèses!$B$4=17,Hypothèses!$B$4=18,Hypothèses!$B$4=19,Hypothèses!$B$4=20),
IF($D101="Pressio.",
IF(OR($E101=3,$E101=1,$E101=4),AV101,AU101),
IF($D101="Pénétro.",
IF(OR($E101=3,$E101=1,$E101=4),AV101,AU101))),IF($D101="Pressio.",
IF($E101=3,AV101,AU101),
IF($D101="Pénétro.",
IF($E101=4,AV101,AU101))))</f>
        <v>#N/A</v>
      </c>
      <c r="AX101" s="31">
        <v>0</v>
      </c>
      <c r="AY101" s="102" t="e">
        <f>IF(NDC!$H$10="Oui",(VLOOKUP($B$3,'Coeff EC7'!$T$39:$X$59,2,0)*AW101+VLOOKUP($B$3,'Coeff EC7'!$T$65:$X$85,2,0)*Model0.1T!AX101)/1.5,PI()*AU$12*$Q101*($B101-$B100)*0.15/10+AY100)</f>
        <v>#N/A</v>
      </c>
      <c r="AZ101" s="102" t="e">
        <f>(VLOOKUP($B$3,'Coeff EC7'!$T$39:$X$59,3,0)*AW101+VLOOKUP($B$3,'Coeff EC7'!$T$65:$X$85,3,0)*Model0.1T!AX101)/1.1</f>
        <v>#N/A</v>
      </c>
      <c r="BA101" s="102" t="e">
        <f t="shared" si="173"/>
        <v>#N/A</v>
      </c>
      <c r="BB101" s="102" t="e">
        <f t="shared" si="174"/>
        <v>#N/A</v>
      </c>
      <c r="BC101" s="414" t="e">
        <f>IF(AND(AY101&gt;NDC!$C$63,AZ101&gt;NDC!$C$65,BA101&gt;NDC!$D$73,BB101&gt;NDC!$D$74,$B101&gt;NDC!$H$22-0.1+MIN(3*BC$12,1.5)),0,1)</f>
        <v>#N/A</v>
      </c>
      <c r="BD101" s="86" t="b">
        <f t="shared" si="142"/>
        <v>0</v>
      </c>
      <c r="BE101" s="86">
        <f t="shared" si="175"/>
        <v>0.5</v>
      </c>
      <c r="BF101" s="86">
        <f t="shared" si="143"/>
        <v>0.5</v>
      </c>
      <c r="BG101" s="30" t="e">
        <f t="shared" ca="1" si="176"/>
        <v>#DIV/0!</v>
      </c>
      <c r="BH101" s="85" t="e">
        <f ca="1">IF(AN101&lt;=Hypothèses!$V$7,Hypothèses!$W$7,IF(AN101&lt;=Hypothèses!$V$8,Hypothèses!$W$8,IF(AN101&lt;=Hypothèses!$V$9,Hypothèses!$W$9,IF(AN101&lt;=Hypothèses!$V$10,Hypothèses!$W$10,IF(AN101&lt;=Hypothèses!$V$11,Hypothèses!$W$11,IF(AN101&lt;=Hypothèses!$V$12,Hypothèses!$W$12,IF(AN101&lt;=Hypothèses!$V$13,Hypothèses!$W$13,IF(AN101&lt;=Hypothèses!$V$14,Hypothèses!$W$14,IF(AN101&lt;=Hypothèses!$V$15,Hypothèses!$W$15,IF(AN101&lt;=Hypothèses!$V$16,Hypothèses!$W$16,IF(AN101&lt;=Hypothèses!$V$17,Hypothèses!$W$17,IF(AN101&lt;=Hypothèses!$V$18,Hypothèses!$W$18,""))))))))))))</f>
        <v>#DIV/0!</v>
      </c>
      <c r="BI101" s="87" t="e">
        <f t="shared" ca="1" si="218"/>
        <v>#DIV/0!</v>
      </c>
      <c r="BJ101" s="88" t="e">
        <f ca="1">IF(AN101&lt;=Hypothèses!$V$7,Hypothèses!$X$7,IF(AN101&lt;=Hypothèses!$V$8,Hypothèses!$X$8,IF(AN101&lt;=Hypothèses!$V$9,Hypothèses!$X$9,IF(AN101&lt;=Hypothèses!$V$10,Hypothèses!$X$10,IF(AN101&lt;=Hypothèses!$V$11,Hypothèses!$X$11,IF(AN101&lt;=Hypothèses!$V$12,Hypothèses!$X$12,IF(AN101&lt;=Hypothèses!$V$13,Hypothèses!$X$13,IF(AN101&lt;=Hypothèses!$V$14,Hypothèses!$X$14,IF(AN101&lt;=Hypothèses!$V$15,Hypothèses!$X$15,IF(AN101&lt;=Hypothèses!$V$16,Hypothèses!$X$16,IF(AN101&lt;=Hypothèses!$U$17,Hypothèses!$W$17,IF(AN101&lt;=Hypothèses!$U$18,Hypothèses!$W$18,""))))))))))))</f>
        <v>#DIV/0!</v>
      </c>
      <c r="BK101" s="95" t="e">
        <f t="shared" ca="1" si="177"/>
        <v>#DIV/0!</v>
      </c>
      <c r="BL101" s="101">
        <f t="shared" si="225"/>
        <v>0</v>
      </c>
      <c r="BM101" s="91">
        <f t="shared" si="144"/>
        <v>0</v>
      </c>
      <c r="BN101" s="30" t="e">
        <f t="shared" si="204"/>
        <v>#N/A</v>
      </c>
      <c r="BO101" s="30" t="e">
        <f t="shared" si="205"/>
        <v>#N/A</v>
      </c>
      <c r="BP101" s="31" t="e">
        <f>IF(OR(Hypothèses!$B$4=17,Hypothèses!$B$4=18,Hypothèses!$B$4=19,Hypothèses!$B$4=20),
IF($D101="Pressio.",
IF(OR($E101=3,$E101=1,$E101=4),BO101,BN101),
IF($D101="Pénétro.",
IF(OR($E101=3,$E101=1,$E101=4),BO101,BN101))),IF($D101="Pressio.",
IF($E101=3,BO101,BN101),
IF($D101="Pénétro.",
IF($E101=4,BO101,BN101))))</f>
        <v>#N/A</v>
      </c>
      <c r="BQ101" s="31">
        <v>0</v>
      </c>
      <c r="BR101" s="102" t="e">
        <f>IF(NDC!$H$10="Oui",(VLOOKUP($B$3,'Coeff EC7'!$T$39:$X$59,2,0)*BP101+VLOOKUP($B$3,'Coeff EC7'!$T$65:$X$85,2,0)*Model0.1T!BQ101)/1.5,PI()*BN$12*$Q101*($B101-$B100)*0.15/10+BR100)</f>
        <v>#N/A</v>
      </c>
      <c r="BS101" s="102" t="e">
        <f>(VLOOKUP($B$3,'Coeff EC7'!$T$39:$X$59,3,0)*BP101+VLOOKUP($B$3,'Coeff EC7'!$T$65:$X$85,3,0)*Model0.1T!BQ101)/1.1</f>
        <v>#N/A</v>
      </c>
      <c r="BT101" s="102" t="e">
        <f t="shared" si="178"/>
        <v>#N/A</v>
      </c>
      <c r="BU101" s="102" t="e">
        <f t="shared" si="179"/>
        <v>#N/A</v>
      </c>
      <c r="BV101" s="414" t="e">
        <f>IF(AND(BR101&gt;NDC!$C$63,BS101&gt;NDC!$C$65,BT101&gt;NDC!$D$73,BU101&gt;NDC!$D$74,$B101&gt;NDC!$H$22-0.1+MIN(3*BV$12,1.5)),0,1)</f>
        <v>#N/A</v>
      </c>
      <c r="BW101" s="86" t="b">
        <f t="shared" si="145"/>
        <v>0</v>
      </c>
      <c r="BX101" s="86">
        <f t="shared" si="146"/>
        <v>0.5</v>
      </c>
      <c r="BY101" s="86">
        <f t="shared" si="147"/>
        <v>0.5</v>
      </c>
      <c r="BZ101" s="30" t="e">
        <f t="shared" ca="1" si="180"/>
        <v>#DIV/0!</v>
      </c>
      <c r="CA101" s="85" t="e">
        <f ca="1">IF(BG101&lt;=Hypothèses!$V$7,Hypothèses!$W$7,IF(BG101&lt;=Hypothèses!$V$8,Hypothèses!$W$8,IF(BG101&lt;=Hypothèses!$V$9,Hypothèses!$W$9,IF(BG101&lt;=Hypothèses!$V$10,Hypothèses!$W$10,IF(BG101&lt;=Hypothèses!$V$11,Hypothèses!$W$11,IF(BG101&lt;=Hypothèses!$V$12,Hypothèses!$W$12,IF(BG101&lt;=Hypothèses!$V$13,Hypothèses!$W$13,IF(BG101&lt;=Hypothèses!$V$14,Hypothèses!$W$14,IF(BG101&lt;=Hypothèses!$V$15,Hypothèses!$W$15,IF(BG101&lt;=Hypothèses!$V$16,Hypothèses!$W$16,IF(BG101&lt;=Hypothèses!$V$17,Hypothèses!$W$17,IF(BG101&lt;=Hypothèses!$V$18,Hypothèses!$W$18,""))))))))))))</f>
        <v>#DIV/0!</v>
      </c>
      <c r="CB101" s="87" t="e">
        <f t="shared" ca="1" si="219"/>
        <v>#DIV/0!</v>
      </c>
      <c r="CC101" s="88" t="e">
        <f ca="1">IF(BG101&lt;=Hypothèses!$V$7,Hypothèses!$X$7,IF(BG101&lt;=Hypothèses!$V$8,Hypothèses!$X$8,IF(BG101&lt;=Hypothèses!$V$9,Hypothèses!$X$9,IF(BG101&lt;=Hypothèses!$V$10,Hypothèses!$X$10,IF(BG101&lt;=Hypothèses!$V$11,Hypothèses!$X$11,IF(BG101&lt;=Hypothèses!$V$12,Hypothèses!$X$12,IF(BG101&lt;=Hypothèses!$V$13,Hypothèses!$X$13,IF(BG101&lt;=Hypothèses!$V$14,Hypothèses!$X$14,IF(BG101&lt;=Hypothèses!$V$15,Hypothèses!$X$15,IF(BG101&lt;=Hypothèses!$V$16,Hypothèses!$X$16,IF(BG101&lt;=Hypothèses!$U$17,Hypothèses!$W$17,IF(BG101&lt;=Hypothèses!$U$18,Hypothèses!$W$18,""))))))))))))</f>
        <v>#DIV/0!</v>
      </c>
      <c r="CD101" s="95" t="e">
        <f t="shared" ca="1" si="181"/>
        <v>#DIV/0!</v>
      </c>
      <c r="CE101" s="101">
        <f t="shared" si="226"/>
        <v>0</v>
      </c>
      <c r="CF101" s="91">
        <f t="shared" si="148"/>
        <v>0</v>
      </c>
      <c r="CG101" s="30" t="e">
        <f t="shared" si="206"/>
        <v>#N/A</v>
      </c>
      <c r="CH101" s="30" t="e">
        <f t="shared" si="207"/>
        <v>#N/A</v>
      </c>
      <c r="CI101" s="31" t="e">
        <f>IF(OR(Hypothèses!$B$4=17,Hypothèses!$B$4=18,Hypothèses!$B$4=19,Hypothèses!$B$4=20),
IF($D101="Pressio.",
IF(OR($E101=3,$E101=1,$E101=4),CH101,CG101),
IF($D101="Pénétro.",
IF(OR($E101=3,$E101=1,$E101=4),CH101,CG101))),IF($D101="Pressio.",
IF($E101=3,CH101,CG101),
IF($D101="Pénétro.",
IF($E101=4,CH101,CG101))))</f>
        <v>#N/A</v>
      </c>
      <c r="CJ101" s="31">
        <v>0</v>
      </c>
      <c r="CK101" s="102" t="e">
        <f>IF(NDC!$H$10="Oui",(VLOOKUP($B$3,'Coeff EC7'!$T$39:$X$59,2,0)*CI101+VLOOKUP($B$3,'Coeff EC7'!$T$65:$X$85,2,0)*Model0.1T!CJ101)/1.5,PI()*CG$12*$Q101*($B101-$B100)*0.15/10+CK100)</f>
        <v>#N/A</v>
      </c>
      <c r="CL101" s="102" t="e">
        <f>(VLOOKUP($B$3,'Coeff EC7'!$T$39:$X$59,3,0)*CI101+VLOOKUP($B$3,'Coeff EC7'!$T$65:$X$85,3,0)*Model0.1T!CJ101)/1.1</f>
        <v>#N/A</v>
      </c>
      <c r="CM101" s="102" t="e">
        <f t="shared" si="182"/>
        <v>#N/A</v>
      </c>
      <c r="CN101" s="102" t="e">
        <f t="shared" si="183"/>
        <v>#N/A</v>
      </c>
      <c r="CO101" s="414" t="e">
        <f>IF(AND(CK101&gt;NDC!$C$63,CL101&gt;NDC!$C$65,CM101&gt;NDC!$D$73,CN101&gt;NDC!$D$74,$B101&gt;NDC!$H$22-0.1+MIN(3*CO$12,1.5)),0,1)</f>
        <v>#N/A</v>
      </c>
      <c r="CP101" s="86" t="b">
        <f t="shared" si="149"/>
        <v>0</v>
      </c>
      <c r="CQ101" s="86">
        <f t="shared" si="150"/>
        <v>0.5</v>
      </c>
      <c r="CR101" s="86">
        <f t="shared" si="151"/>
        <v>0.5</v>
      </c>
      <c r="CS101" s="30" t="e">
        <f t="shared" ca="1" si="184"/>
        <v>#DIV/0!</v>
      </c>
      <c r="CT101" s="85" t="e">
        <f ca="1">IF(BZ101&lt;=Hypothèses!$V$7,Hypothèses!$W$7,IF(BZ101&lt;=Hypothèses!$V$8,Hypothèses!$W$8,IF(BZ101&lt;=Hypothèses!$V$9,Hypothèses!$W$9,IF(BZ101&lt;=Hypothèses!$V$10,Hypothèses!$W$10,IF(BZ101&lt;=Hypothèses!$V$11,Hypothèses!$W$11,IF(BZ101&lt;=Hypothèses!$V$12,Hypothèses!$W$12,IF(BZ101&lt;=Hypothèses!$V$13,Hypothèses!$W$13,IF(BZ101&lt;=Hypothèses!$V$14,Hypothèses!$W$14,IF(BZ101&lt;=Hypothèses!$V$15,Hypothèses!$W$15,IF(BZ101&lt;=Hypothèses!$V$16,Hypothèses!$W$16,IF(BZ101&lt;=Hypothèses!$V$17,Hypothèses!$W$17,IF(BZ101&lt;=Hypothèses!$V$18,Hypothèses!$W$18,""))))))))))))</f>
        <v>#DIV/0!</v>
      </c>
      <c r="CU101" s="87" t="e">
        <f t="shared" ca="1" si="220"/>
        <v>#DIV/0!</v>
      </c>
      <c r="CV101" s="88" t="e">
        <f ca="1">IF(BZ101&lt;=Hypothèses!$V$7,Hypothèses!$X$7,IF(BZ101&lt;=Hypothèses!$V$8,Hypothèses!$X$8,IF(BZ101&lt;=Hypothèses!$V$9,Hypothèses!$X$9,IF(BZ101&lt;=Hypothèses!$V$10,Hypothèses!$X$10,IF(BZ101&lt;=Hypothèses!$V$11,Hypothèses!$X$11,IF(BZ101&lt;=Hypothèses!$V$12,Hypothèses!$X$12,IF(BZ101&lt;=Hypothèses!$V$13,Hypothèses!$X$13,IF(BZ101&lt;=Hypothèses!$V$14,Hypothèses!$X$14,IF(BZ101&lt;=Hypothèses!$V$15,Hypothèses!$X$15,IF(BZ101&lt;=Hypothèses!$V$16,Hypothèses!$X$16,IF(BZ101&lt;=Hypothèses!$U$17,Hypothèses!$W$17,IF(BZ101&lt;=Hypothèses!$U$18,Hypothèses!$W$18,""))))))))))))</f>
        <v>#DIV/0!</v>
      </c>
      <c r="CW101" s="95" t="e">
        <f t="shared" ca="1" si="185"/>
        <v>#DIV/0!</v>
      </c>
      <c r="CX101" s="101">
        <f t="shared" si="227"/>
        <v>0</v>
      </c>
      <c r="CY101" s="91">
        <f t="shared" si="152"/>
        <v>0</v>
      </c>
      <c r="CZ101" s="30" t="e">
        <f t="shared" si="208"/>
        <v>#N/A</v>
      </c>
      <c r="DA101" s="30" t="e">
        <f t="shared" si="209"/>
        <v>#N/A</v>
      </c>
      <c r="DB101" s="31" t="e">
        <f>IF(OR(Hypothèses!$B$4=17,Hypothèses!$B$4=18,Hypothèses!$B$4=19,Hypothèses!$B$4=20),
IF($D101="Pressio.",
IF(OR($E101=3,$E101=1,$E101=4),DA101,CZ101),
IF($D101="Pénétro.",
IF(OR($E101=3,$E101=1,$E101=4),DA101,CZ101))),IF($D101="Pressio.",
IF($E101=3,DA101,CZ101),
IF($D101="Pénétro.",
IF($E101=4,DA101,CZ101))))</f>
        <v>#N/A</v>
      </c>
      <c r="DC101" s="31">
        <v>0</v>
      </c>
      <c r="DD101" s="102" t="e">
        <f>IF(NDC!$H$10="Oui",(VLOOKUP($B$3,'Coeff EC7'!$T$39:$X$59,2,0)*DB101+VLOOKUP($B$3,'Coeff EC7'!$T$65:$X$85,2,0)*Model0.1T!DC101)/1.5,PI()*CZ$12*$Q101*($B101-$B100)*0.15/10+DD100)</f>
        <v>#N/A</v>
      </c>
      <c r="DE101" s="102" t="e">
        <f>(VLOOKUP($B$3,'Coeff EC7'!$T$39:$X$59,3,0)*DB101+VLOOKUP($B$3,'Coeff EC7'!$T$65:$X$85,3,0)*Model0.1T!DC101)/1.1</f>
        <v>#N/A</v>
      </c>
      <c r="DF101" s="102" t="e">
        <f t="shared" si="186"/>
        <v>#N/A</v>
      </c>
      <c r="DG101" s="102" t="e">
        <f t="shared" si="187"/>
        <v>#N/A</v>
      </c>
      <c r="DH101" s="414" t="e">
        <f>IF(AND(DD101&gt;NDC!$C$63,DE101&gt;NDC!$C$65,DF101&gt;NDC!$D$73,DG101&gt;NDC!$D$74,$B101&gt;NDC!$H$22-0.1+MIN(3*DH$12,1.5)),0,1)</f>
        <v>#N/A</v>
      </c>
      <c r="DI101" s="86" t="b">
        <f t="shared" si="153"/>
        <v>0</v>
      </c>
      <c r="DJ101" s="86">
        <f t="shared" si="154"/>
        <v>0.5</v>
      </c>
      <c r="DK101" s="86">
        <f t="shared" si="155"/>
        <v>0.5</v>
      </c>
      <c r="DL101" s="30" t="e">
        <f t="shared" ca="1" si="188"/>
        <v>#DIV/0!</v>
      </c>
      <c r="DM101" s="85" t="e">
        <f ca="1">IF(CS101&lt;=Hypothèses!$V$7,Hypothèses!$W$7,IF(CS101&lt;=Hypothèses!$V$8,Hypothèses!$W$8,IF(CS101&lt;=Hypothèses!$V$9,Hypothèses!$W$9,IF(CS101&lt;=Hypothèses!$V$10,Hypothèses!$W$10,IF(CS101&lt;=Hypothèses!$V$11,Hypothèses!$W$11,IF(CS101&lt;=Hypothèses!$V$12,Hypothèses!$W$12,IF(CS101&lt;=Hypothèses!$V$13,Hypothèses!$W$13,IF(CS101&lt;=Hypothèses!$V$14,Hypothèses!$W$14,IF(CS101&lt;=Hypothèses!$V$15,Hypothèses!$W$15,IF(CS101&lt;=Hypothèses!$V$16,Hypothèses!$W$16,IF(CS101&lt;=Hypothèses!$V$17,Hypothèses!$W$17,IF(CS101&lt;=Hypothèses!$V$18,Hypothèses!$W$18,""))))))))))))</f>
        <v>#DIV/0!</v>
      </c>
      <c r="DN101" s="87" t="e">
        <f t="shared" ca="1" si="221"/>
        <v>#DIV/0!</v>
      </c>
      <c r="DO101" s="88" t="e">
        <f ca="1">IF(CS101&lt;=Hypothèses!$V$7,Hypothèses!$X$7,IF(CS101&lt;=Hypothèses!$V$8,Hypothèses!$X$8,IF(CS101&lt;=Hypothèses!$V$9,Hypothèses!$X$9,IF(CS101&lt;=Hypothèses!$V$10,Hypothèses!$X$10,IF(CS101&lt;=Hypothèses!$V$11,Hypothèses!$X$11,IF(CS101&lt;=Hypothèses!$V$12,Hypothèses!$X$12,IF(CS101&lt;=Hypothèses!$V$13,Hypothèses!$X$13,IF(CS101&lt;=Hypothèses!$V$14,Hypothèses!$X$14,IF(CS101&lt;=Hypothèses!$V$15,Hypothèses!$X$15,IF(CS101&lt;=Hypothèses!$V$16,Hypothèses!$X$16,IF(CS101&lt;=Hypothèses!$U$17,Hypothèses!$W$17,IF(CS101&lt;=Hypothèses!$U$18,Hypothèses!$W$18,""))))))))))))</f>
        <v>#DIV/0!</v>
      </c>
      <c r="DP101" s="95" t="e">
        <f t="shared" ca="1" si="189"/>
        <v>#DIV/0!</v>
      </c>
      <c r="DQ101" s="101">
        <f t="shared" si="228"/>
        <v>0</v>
      </c>
      <c r="DR101" s="91">
        <f t="shared" si="156"/>
        <v>0</v>
      </c>
      <c r="DS101" s="30" t="e">
        <f t="shared" si="210"/>
        <v>#N/A</v>
      </c>
      <c r="DT101" s="30" t="e">
        <f t="shared" si="211"/>
        <v>#N/A</v>
      </c>
      <c r="DU101" s="31" t="e">
        <f>IF(OR(Hypothèses!$B$4=17,Hypothèses!$B$4=18,Hypothèses!$B$4=19,Hypothèses!$B$4=20),
IF($D101="Pressio.",
IF(OR($E101=3,$E101=1,$E101=4),DT101,DS101),
IF($D101="Pénétro.",
IF(OR($E101=3,$E101=1,$E101=4),DT101,DS101))),IF($D101="Pressio.",
IF($E101=3,DT101,DS101),
IF($D101="Pénétro.",
IF($E101=4,DT101,DS101))))</f>
        <v>#N/A</v>
      </c>
      <c r="DV101" s="31">
        <v>0</v>
      </c>
      <c r="DW101" s="102" t="e">
        <f>IF(NDC!$H$10="Oui",(VLOOKUP($B$3,'Coeff EC7'!$T$39:$X$59,2,0)*DU101+VLOOKUP($B$3,'Coeff EC7'!$T$65:$X$85,2,0)*Model0.1T!DV101)/1.5,PI()*DS$12*$Q101*($B101-$B100)*0.15/10+DW100)</f>
        <v>#N/A</v>
      </c>
      <c r="DX101" s="102" t="e">
        <f>(VLOOKUP($B$3,'Coeff EC7'!$T$39:$X$59,3,0)*DU101+VLOOKUP($B$3,'Coeff EC7'!$T$65:$X$85,3,0)*Model0.1T!DV101)/1.1</f>
        <v>#N/A</v>
      </c>
      <c r="DY101" s="102" t="e">
        <f t="shared" si="190"/>
        <v>#N/A</v>
      </c>
      <c r="DZ101" s="102" t="e">
        <f t="shared" si="191"/>
        <v>#N/A</v>
      </c>
      <c r="EA101" s="414" t="e">
        <f>IF(AND(DW101&gt;NDC!$C$63,DX101&gt;NDC!$C$65,DY101&gt;NDC!$D$73,DZ101&gt;NDC!$D$74,$B101&gt;NDC!$H$22-0.1+MIN(3*EA$12,1.5)),0,1)</f>
        <v>#N/A</v>
      </c>
      <c r="EB101" s="86" t="b">
        <f t="shared" si="157"/>
        <v>0</v>
      </c>
      <c r="EC101" s="418">
        <f t="shared" si="158"/>
        <v>0.51</v>
      </c>
      <c r="ED101" s="86">
        <f t="shared" si="159"/>
        <v>0.51</v>
      </c>
      <c r="EE101" s="30" t="e">
        <f t="shared" ca="1" si="192"/>
        <v>#DIV/0!</v>
      </c>
      <c r="EF101" s="85" t="e">
        <f ca="1">IF(DL101&lt;=Hypothèses!$V$7,Hypothèses!$W$7,IF(DL101&lt;=Hypothèses!$V$8,Hypothèses!$W$8,IF(DL101&lt;=Hypothèses!$V$9,Hypothèses!$W$9,IF(DL101&lt;=Hypothèses!$V$10,Hypothèses!$W$10,IF(DL101&lt;=Hypothèses!$V$11,Hypothèses!$W$11,IF(DL101&lt;=Hypothèses!$V$12,Hypothèses!$W$12,IF(DL101&lt;=Hypothèses!$V$13,Hypothèses!$W$13,IF(DL101&lt;=Hypothèses!$V$14,Hypothèses!$W$14,IF(DL101&lt;=Hypothèses!$V$15,Hypothèses!$W$15,IF(DL101&lt;=Hypothèses!$V$16,Hypothèses!$W$16,IF(DL101&lt;=Hypothèses!$V$17,Hypothèses!$W$17,IF(DL101&lt;=Hypothèses!$V$18,Hypothèses!$W$18,""))))))))))))</f>
        <v>#DIV/0!</v>
      </c>
      <c r="EG101" s="87" t="e">
        <f t="shared" ca="1" si="222"/>
        <v>#DIV/0!</v>
      </c>
      <c r="EH101" s="88" t="e">
        <f ca="1">IF(DL101&lt;=Hypothèses!$V$7,Hypothèses!$X$7,IF(DL101&lt;=Hypothèses!$V$8,Hypothèses!$X$8,IF(DL101&lt;=Hypothèses!$V$9,Hypothèses!$X$9,IF(DL101&lt;=Hypothèses!$V$10,Hypothèses!$X$10,IF(DL101&lt;=Hypothèses!$V$11,Hypothèses!$X$11,IF(DL101&lt;=Hypothèses!$V$12,Hypothèses!$X$12,IF(DL101&lt;=Hypothèses!$V$13,Hypothèses!$X$13,IF(DL101&lt;=Hypothèses!$V$14,Hypothèses!$X$14,IF(DL101&lt;=Hypothèses!$V$15,Hypothèses!$X$15,IF(DL101&lt;=Hypothèses!$V$16,Hypothèses!$X$16,IF(DL101&lt;=Hypothèses!$U$17,Hypothèses!$W$17,IF(DL101&lt;=Hypothèses!$U$18,Hypothèses!$W$18,""))))))))))))</f>
        <v>#DIV/0!</v>
      </c>
      <c r="EI101" s="95" t="e">
        <f t="shared" ca="1" si="193"/>
        <v>#DIV/0!</v>
      </c>
      <c r="EJ101" s="101">
        <f t="shared" si="229"/>
        <v>0</v>
      </c>
      <c r="EK101" s="91">
        <f t="shared" si="160"/>
        <v>0</v>
      </c>
      <c r="EL101" s="30" t="e">
        <f t="shared" si="212"/>
        <v>#N/A</v>
      </c>
      <c r="EM101" s="30" t="e">
        <f t="shared" si="213"/>
        <v>#N/A</v>
      </c>
      <c r="EN101" s="31" t="e">
        <f>IF(OR(Hypothèses!$B$4=17,Hypothèses!$B$4=18,Hypothèses!$B$4=19,Hypothèses!$B$4=20),
IF($D101="Pressio.",
IF(OR($E101=3,$E101=1,$E101=4),EM101,EL101),
IF($D101="Pénétro.",
IF(OR($E101=3,$E101=1,$E101=4),EM101,EL101))),IF($D101="Pressio.",
IF($E101=3,EM101,EL101),
IF($D101="Pénétro.",
IF($E101=4,EM101,EL101))))</f>
        <v>#N/A</v>
      </c>
      <c r="EO101" s="31">
        <v>0</v>
      </c>
      <c r="EP101" s="102" t="e">
        <f>IF(NDC!$H$10="Oui",(VLOOKUP($B$3,'Coeff EC7'!$T$39:$X$59,2,0)*EN101+VLOOKUP($B$3,'Coeff EC7'!$T$65:$X$85,2,0)*Model0.1T!EO101)/1.5,PI()*EL$12*$Q101*($B101-$B100)*0.15/10+EP100)</f>
        <v>#N/A</v>
      </c>
      <c r="EQ101" s="102" t="e">
        <f>(VLOOKUP($B$3,'Coeff EC7'!$T$39:$X$59,3,0)*EN101+VLOOKUP($B$3,'Coeff EC7'!$T$65:$X$85,3,0)*Model0.1T!EO101)/1.1</f>
        <v>#N/A</v>
      </c>
      <c r="ER101" s="102" t="e">
        <f t="shared" si="194"/>
        <v>#N/A</v>
      </c>
      <c r="ES101" s="102" t="e">
        <f t="shared" si="195"/>
        <v>#N/A</v>
      </c>
      <c r="ET101" s="414" t="e">
        <f>IF(AND(EP101&gt;NDC!$C$63,EQ101&gt;NDC!$C$65,ER101&gt;NDC!$D$73,ES101&gt;NDC!$D$74,$B101&gt;NDC!$H$22-0.1+MIN(3*ET$12,1.5)),0,1)</f>
        <v>#N/A</v>
      </c>
      <c r="EU101" s="86" t="b">
        <f t="shared" si="161"/>
        <v>0</v>
      </c>
      <c r="EV101" s="86">
        <f t="shared" si="162"/>
        <v>0.61</v>
      </c>
      <c r="EW101" s="86">
        <f t="shared" si="163"/>
        <v>0.61</v>
      </c>
      <c r="EX101" s="30" t="e">
        <f t="shared" ca="1" si="196"/>
        <v>#DIV/0!</v>
      </c>
      <c r="EY101" s="85" t="e">
        <f ca="1">IF(EE101&lt;=Hypothèses!$V$7,Hypothèses!$W$7,IF(EE101&lt;=Hypothèses!$V$8,Hypothèses!$W$8,IF(EE101&lt;=Hypothèses!$V$9,Hypothèses!$W$9,IF(EE101&lt;=Hypothèses!$V$10,Hypothèses!$W$10,IF(EE101&lt;=Hypothèses!$V$11,Hypothèses!$W$11,IF(EE101&lt;=Hypothèses!$V$12,Hypothèses!$W$12,IF(EE101&lt;=Hypothèses!$V$13,Hypothèses!$W$13,IF(EE101&lt;=Hypothèses!$V$14,Hypothèses!$W$14,IF(EE101&lt;=Hypothèses!$V$15,Hypothèses!$W$15,IF(EE101&lt;=Hypothèses!$V$16,Hypothèses!$W$16,IF(EE101&lt;=Hypothèses!$V$17,Hypothèses!$W$17,IF(EE101&lt;=Hypothèses!$V$18,Hypothèses!$W$18,""))))))))))))</f>
        <v>#DIV/0!</v>
      </c>
      <c r="EZ101" s="87" t="e">
        <f t="shared" ca="1" si="223"/>
        <v>#DIV/0!</v>
      </c>
      <c r="FA101" s="88" t="e">
        <f ca="1">IF(EE101&lt;=Hypothèses!$V$7,Hypothèses!$X$7,IF(EE101&lt;=Hypothèses!$V$8,Hypothèses!$X$8,IF(EE101&lt;=Hypothèses!$V$9,Hypothèses!$X$9,IF(EE101&lt;=Hypothèses!$V$10,Hypothèses!$X$10,IF(EE101&lt;=Hypothèses!$V$11,Hypothèses!$X$11,IF(EE101&lt;=Hypothèses!$V$12,Hypothèses!$X$12,IF(EE101&lt;=Hypothèses!$V$13,Hypothèses!$X$13,IF(EE101&lt;=Hypothèses!$V$14,Hypothèses!$X$14,IF(EE101&lt;=Hypothèses!$V$15,Hypothèses!$X$15,IF(EE101&lt;=Hypothèses!$V$16,Hypothèses!$X$16,IF(EE101&lt;=Hypothèses!$U$17,Hypothèses!$W$17,IF(EE101&lt;=Hypothèses!$U$18,Hypothèses!$W$18,""))))))))))))</f>
        <v>#DIV/0!</v>
      </c>
      <c r="FB101" s="95" t="e">
        <f t="shared" ca="1" si="197"/>
        <v>#DIV/0!</v>
      </c>
      <c r="FC101" s="101">
        <f t="shared" si="230"/>
        <v>0</v>
      </c>
      <c r="FD101" s="91">
        <f t="shared" si="164"/>
        <v>0</v>
      </c>
      <c r="FE101" s="30" t="e">
        <f t="shared" si="214"/>
        <v>#N/A</v>
      </c>
      <c r="FF101" s="30" t="e">
        <f t="shared" si="215"/>
        <v>#N/A</v>
      </c>
      <c r="FG101" s="31" t="e">
        <f>IF(OR(Hypothèses!$B$4=17,Hypothèses!$B$4=18,Hypothèses!$B$4=19,Hypothèses!$B$4=20),
IF($D101="Pressio.",
IF(OR($E101=3,$E101=1,$E101=4),FF101,FE101),
IF($D101="Pénétro.",
IF(OR($E101=3,$E101=1,$E101=4),FF101,FE101))),IF($D101="Pressio.",
IF($E101=3,FF101,FE101),
IF($D101="Pénétro.",
IF($E101=4,FF101,FE101))))</f>
        <v>#N/A</v>
      </c>
      <c r="FH101" s="31">
        <v>0</v>
      </c>
      <c r="FI101" s="102" t="e">
        <f>IF(NDC!$H$10="Oui",(VLOOKUP($B$3,'Coeff EC7'!$T$39:$X$59,2,0)*FG101+VLOOKUP($B$3,'Coeff EC7'!$T$65:$X$85,2,0)*Model0.1T!FH101)/1.5,PI()*FE$12*$Q101*($B101-$B100)*0.15/10+FI100)</f>
        <v>#N/A</v>
      </c>
      <c r="FJ101" s="102" t="e">
        <f>(VLOOKUP($B$3,'Coeff EC7'!$T$39:$X$59,3,0)*FG101+VLOOKUP($B$3,'Coeff EC7'!$T$65:$X$85,3,0)*Model0.1T!FH101)/1.1</f>
        <v>#N/A</v>
      </c>
      <c r="FK101" s="102" t="e">
        <f t="shared" si="198"/>
        <v>#N/A</v>
      </c>
      <c r="FL101" s="102" t="e">
        <f t="shared" si="199"/>
        <v>#N/A</v>
      </c>
      <c r="FM101" s="414" t="e">
        <f>IF(AND(FI101&gt;NDC!$C$63,FJ101&gt;NDC!$C$65,FK101&gt;NDC!$D$73,FL101&gt;NDC!$D$74,$B101&gt;NDC!$H$22-0.1+MIN(3*FM$12,1.5)),0,1)</f>
        <v>#N/A</v>
      </c>
    </row>
    <row r="102" spans="1:169">
      <c r="A102" s="96">
        <f t="shared" si="165"/>
        <v>91.100000000000506</v>
      </c>
      <c r="B102" s="97">
        <v>8.9</v>
      </c>
      <c r="C102" s="81">
        <f>IF(B102&lt;=Hypothèses!$C$7,Hypothèses!$A$7,IF(B102&lt;=Hypothèses!$C$8,Hypothèses!$A$8,IF(B102&lt;=Hypothèses!$C$9,Hypothèses!$A$9,IF(B102&lt;=Hypothèses!$C$10,Hypothèses!$A$10,IF(B102&lt;=Hypothèses!$C$11,Hypothèses!$A$11,IF(B102&lt;=Hypothèses!$C$12,Hypothèses!$A$12,IF(B102&lt;=Hypothèses!$C$13,Hypothèses!$A$13,IF(B102&lt;=Hypothèses!$C$14,Hypothèses!$A$14,IF(B102&lt;=Hypothèses!$C$15,Hypothèses!$A$15,IF(B102&lt;=Hypothèses!$C$16,Hypothèses!$A$16,IF(B102&lt;=Hypothèses!$C$17,Hypothèses!$A$17,IF(B102&lt;=Hypothèses!$C$18,Hypothèses!$A$18,C101))))))))))))</f>
        <v>11</v>
      </c>
      <c r="D102" s="82" t="str">
        <f>IF(B102&lt;=Hypothèses!$C$7,Hypothèses!$R$7,IF(B102&lt;=Hypothèses!$C$8,Hypothèses!$R$8,IF(B102&lt;=Hypothèses!$C$9,Hypothèses!$R$9,IF(B102&lt;=Hypothèses!$C$10,Hypothèses!$R$10,IF(B102&lt;=Hypothèses!$C$11,Hypothèses!$R$11,IF(B102&lt;=Hypothèses!$C$12,Hypothèses!$R$12,IF(B102&lt;=Hypothèses!$C$13,Hypothèses!$R$13,IF(B102&lt;=Hypothèses!$C$14,Hypothèses!$R$14,IF(B102&lt;=Hypothèses!$C$15,Hypothèses!$R$15,IF(B102&lt;=Hypothèses!$C$16,Hypothèses!$R$16,IF(B102&lt;=Hypothèses!$C$17,Hypothèses!$R$17,IF(B102&lt;=Hypothèses!$C$18,Hypothèses!$R$18,D101))))))))))))</f>
        <v>Pressio.</v>
      </c>
      <c r="E102" s="82" t="e">
        <f>IF(B102&lt;=Hypothèses!$C$7,Hypothèses!$G$7,IF(B102&lt;=Hypothèses!$C$8,Hypothèses!$G$8,IF(B102&lt;=Hypothèses!$C$9,Hypothèses!$G$9,IF(B102&lt;=Hypothèses!$C$10,Hypothèses!$G$10,IF(B102&lt;=Hypothèses!$C$11,Hypothèses!$G$11,IF(B102&lt;=Hypothèses!$C$12,Hypothèses!$G$12,IF(B102&lt;=Hypothèses!$C$13,Hypothèses!$G$13,IF(B102&lt;=Hypothèses!$C$14,Hypothèses!$G$14,IF(B102&lt;=Hypothèses!$C$15,Hypothèses!$G$15,IF(B102&lt;=Hypothèses!$C$16,Hypothèses!$G$16,IF(B102&lt;=Hypothèses!$C$17,Hypothèses!$G$17,IF(B102&lt;=Hypothèses!$C$18,Hypothèses!$G$18,E101))))))))))))</f>
        <v>#N/A</v>
      </c>
      <c r="F102" s="82" t="str">
        <f>IF(B102&lt;=Hypothèses!$C$7,Hypothèses!$F$7,IF(B102&lt;=Hypothèses!$C$8,Hypothèses!$F$8,IF(B102&lt;=Hypothèses!$C$9,Hypothèses!$F$9,IF(B102&lt;=Hypothèses!$C$10,Hypothèses!$F$10,IF(B102&lt;=Hypothèses!$C$11,Hypothèses!$F$11,IF(B102&lt;=Hypothèses!$C$12,Hypothèses!$F$12,IF(B102&lt;=Hypothèses!$C$13,Hypothèses!$F$13,IF(B102&lt;=Hypothèses!$C$14,Hypothèses!$F$14,IF(B102&lt;=Hypothèses!$C$15,Hypothèses!$F$15,IF(B102&lt;=Hypothèses!$C$16,Hypothèses!$F$16,IF(B102&lt;=Hypothèses!$C$17,Hypothèses!$F$17,IF(B102&lt;=Hypothèses!$C$18,Hypothèses!$F$18,F101))))))))))))</f>
        <v/>
      </c>
      <c r="G102" s="91">
        <f t="array" ref="G102">INDEX('Coeff EC7'!$U$7:$X$27,
MATCH(Model0.1T!$B$3,'Coeff EC7'!$T$7:$T$27,0),
MATCH(Model0.1T!$D102&amp;Model0.1T!$B$4,
'Coeff EC7'!$U$6:$X$6&amp;
'Coeff EC7'!$U$5:$X$5,0))</f>
        <v>1.4</v>
      </c>
      <c r="H102" s="91">
        <f t="array" ref="H102">INDEX('Coeff EC7'!$Y$7:$AB$27,
MATCH(Model0.1T!$B$3,'Coeff EC7'!$T$7:$T$27,0),
MATCH(Model0.1T!$D102&amp;Model0.1T!$B$4,
'Coeff EC7'!$Y$6:$AB$6&amp;
'Coeff EC7'!$Y$5:$AB$5,0))</f>
        <v>1.7</v>
      </c>
      <c r="I102" s="83">
        <v>0</v>
      </c>
      <c r="J102" s="91" t="e">
        <f t="array" ref="J102">INDEX('Coeff EC7'!$D$33:$Q$33,1,MATCH(D102&amp;E102,'Coeff EC7'!$D$31:$Q$31&amp;'Coeff EC7'!$D$32:$Q$32,0))</f>
        <v>#N/A</v>
      </c>
      <c r="K102" s="91" t="e">
        <f t="array" ref="K102">INDEX('Coeff EC7'!$D$34:$Q$34,1,MATCH(D102&amp;E102,'Coeff EC7'!$D$31:$Q$31&amp;'Coeff EC7'!$D$32:$Q$32,0))</f>
        <v>#N/A</v>
      </c>
      <c r="L102" s="91" t="e">
        <f t="array" ref="L102">INDEX('Coeff EC7'!$D$35:$Q$35,1,MATCH(D102&amp;E102,'Coeff EC7'!$D$31:$Q$31&amp;'Coeff EC7'!$D$32:$Q$32,0))</f>
        <v>#N/A</v>
      </c>
      <c r="M102" s="98" t="e">
        <f t="shared" si="131"/>
        <v>#N/A</v>
      </c>
      <c r="N102" s="99" t="e">
        <f t="array" ref="N102">INDEX('Coeff EC7'!$D$7:$Q$27,MATCH($B$3,'Coeff EC7'!$C$7:$C$27,0),MATCH(D102&amp;E102,'Coeff EC7'!$D$5:$Q$5&amp;'Coeff EC7'!$D$6:$Q$6,0))</f>
        <v>#N/A</v>
      </c>
      <c r="O102" s="99" t="e">
        <f t="array" ref="O102">INDEX('Coeff EC7'!$D$41:$Q$61,MATCH($B$3,'Coeff EC7'!$C$41:$C$61,0),MATCH(D102&amp;E102,'Coeff EC7'!$D$39:$Q$39&amp;'Coeff EC7'!$D$40:$Q$40,0))</f>
        <v>#N/A</v>
      </c>
      <c r="P102" s="30" t="e">
        <f t="shared" si="166"/>
        <v>#N/A</v>
      </c>
      <c r="Q102" s="100" t="e">
        <f t="shared" si="133"/>
        <v>#N/A</v>
      </c>
      <c r="R102" s="86" t="b">
        <f t="shared" si="134"/>
        <v>0</v>
      </c>
      <c r="S102" s="86">
        <f t="shared" si="132"/>
        <v>0.5</v>
      </c>
      <c r="T102" s="86">
        <f t="shared" si="135"/>
        <v>0.5</v>
      </c>
      <c r="U102" s="30" t="e">
        <f t="shared" ca="1" si="167"/>
        <v>#DIV/0!</v>
      </c>
      <c r="V102" s="85" t="str">
        <f>IF(B102&lt;=Hypothèses!$V$7,Hypothèses!$W$7,IF(B102&lt;=Hypothèses!$V$8,Hypothèses!$W$8,IF(B102&lt;=Hypothèses!$V$9,Hypothèses!$W$9,IF(B102&lt;=Hypothèses!$V$10,Hypothèses!$W$10,IF(B102&lt;=Hypothèses!$V$11,Hypothèses!$W$11,IF(B102&lt;=Hypothèses!$V$12,Hypothèses!$W$12,IF(B102&lt;=Hypothèses!$V$13,Hypothèses!$W$13,IF(B102&lt;=Hypothèses!$V$14,Hypothèses!$W$14,IF(B102&lt;=Hypothèses!$V$15,Hypothèses!$W$15,IF(B102&lt;=Hypothèses!$V$16,Hypothèses!$W$16,IF(B102&lt;=Hypothèses!$V$17,Hypothèses!$W$17,IF(B102&lt;=Hypothèses!$V$18,Hypothèses!$W$18,""))))))))))))</f>
        <v/>
      </c>
      <c r="W102" s="87" t="e">
        <f t="shared" ca="1" si="216"/>
        <v>#DIV/0!</v>
      </c>
      <c r="X102" s="88" t="str">
        <f>IF(B102&lt;=Hypothèses!$V$7,Hypothèses!$X$7,IF(B102&lt;=Hypothèses!$V$8,Hypothèses!$X$8,IF(B102&lt;=Hypothèses!$V$9,Hypothèses!$X$9,IF(B102&lt;=Hypothèses!$V$10,Hypothèses!$X$10,IF(B102&lt;=Hypothèses!$V$11,Hypothèses!$X$11,IF(B102&lt;=Hypothèses!$V$12,Hypothèses!$X$12,IF(B102&lt;=Hypothèses!$V$13,Hypothèses!$X$13,IF(B102&lt;=Hypothèses!$V$14,Hypothèses!$X$14,IF(B102&lt;=Hypothèses!$V$15,Hypothèses!$X$15,IF(B102&lt;=Hypothèses!$V$16,Hypothèses!$X$16,IF(B102&lt;=Hypothèses!$U$17,Hypothèses!$W$17,IF(B102&lt;=Hypothèses!$U$18,Hypothèses!$W$18,""))))))))))))</f>
        <v/>
      </c>
      <c r="Y102" s="95" t="e">
        <f t="shared" ca="1" si="136"/>
        <v>#DIV/0!</v>
      </c>
      <c r="Z102" s="101">
        <f t="shared" si="137"/>
        <v>0</v>
      </c>
      <c r="AA102" s="91">
        <f t="shared" si="138"/>
        <v>0</v>
      </c>
      <c r="AB102" s="30" t="e">
        <f t="shared" si="200"/>
        <v>#N/A</v>
      </c>
      <c r="AC102" s="30" t="e">
        <f t="shared" si="201"/>
        <v>#N/A</v>
      </c>
      <c r="AD102" s="31" t="e">
        <f>IF(OR(Hypothèses!$B$4=17,Hypothèses!$B$4=18,Hypothèses!$B$4=19,Hypothèses!$B$4=20),
IF($D102="Pressio.",
IF(OR($E102=3,$E102=1,$E102=4),AC102,AB102),
IF($D102="Pénétro.",
IF(OR($E102=3,$E102=1,$E102=4),AC102,AB102))),IF($D102="Pressio.",
IF($E102=3,AC102,AB102),
IF($D102="Pénétro.",
IF($E102=4,AC102,AB102))))</f>
        <v>#N/A</v>
      </c>
      <c r="AE102" s="31">
        <v>0</v>
      </c>
      <c r="AF102" s="102" t="e">
        <f>IF(NDC!$H$10="Oui",(VLOOKUP($B$3,'Coeff EC7'!$T$39:$X$59,2,0)*AD102+VLOOKUP($B$3,'Coeff EC7'!$T$65:$X$85,2,0)*Model0.1T!AE102)/1.5,PI()*AB$12*$Q102*($B102-$B101)*0.15/10+AF101)</f>
        <v>#N/A</v>
      </c>
      <c r="AG102" s="102" t="e">
        <f>(VLOOKUP($B$3,'Coeff EC7'!$T$39:$X$59,3,0)*AD102+VLOOKUP($B$3,'Coeff EC7'!$T$65:$X$85,3,0)*Model0.1T!AE102)/1.1</f>
        <v>#N/A</v>
      </c>
      <c r="AH102" s="102" t="e">
        <f t="shared" si="168"/>
        <v>#N/A</v>
      </c>
      <c r="AI102" s="102" t="e">
        <f t="shared" si="169"/>
        <v>#N/A</v>
      </c>
      <c r="AJ102" s="414" t="e">
        <f>IF(AND(AF102&gt;NDC!$C$63,AG102&gt;NDC!$C$65,AH102&gt;NDC!$D$73,AI102&gt;NDC!$D$74,$B102&gt;NDC!$H$22-0.1+MIN(3*$AJ$12,1.5)),0,1)</f>
        <v>#N/A</v>
      </c>
      <c r="AK102" s="86" t="b">
        <f t="shared" si="139"/>
        <v>0</v>
      </c>
      <c r="AL102" s="86">
        <f t="shared" si="170"/>
        <v>0.5</v>
      </c>
      <c r="AM102" s="86">
        <f t="shared" si="140"/>
        <v>0.5</v>
      </c>
      <c r="AN102" s="30" t="e">
        <f t="shared" ca="1" si="171"/>
        <v>#DIV/0!</v>
      </c>
      <c r="AO102" s="85" t="e">
        <f ca="1">IF(U102&lt;=Hypothèses!$V$7,Hypothèses!$W$7,IF(U102&lt;=Hypothèses!$V$8,Hypothèses!$W$8,IF(U102&lt;=Hypothèses!$V$9,Hypothèses!$W$9,IF(U102&lt;=Hypothèses!$V$10,Hypothèses!$W$10,IF(U102&lt;=Hypothèses!$V$11,Hypothèses!$W$11,IF(U102&lt;=Hypothèses!$V$12,Hypothèses!$W$12,IF(U102&lt;=Hypothèses!$V$13,Hypothèses!$W$13,IF(U102&lt;=Hypothèses!$V$14,Hypothèses!$W$14,IF(U102&lt;=Hypothèses!$V$15,Hypothèses!$W$15,IF(U102&lt;=Hypothèses!$V$16,Hypothèses!$W$16,IF(U102&lt;=Hypothèses!$V$17,Hypothèses!$W$17,IF(U102&lt;=Hypothèses!$V$18,Hypothèses!$W$18,""))))))))))))</f>
        <v>#DIV/0!</v>
      </c>
      <c r="AP102" s="87" t="e">
        <f t="shared" ca="1" si="217"/>
        <v>#DIV/0!</v>
      </c>
      <c r="AQ102" s="88" t="e">
        <f ca="1">IF(U102&lt;=Hypothèses!$V$7,Hypothèses!$X$7,IF(U102&lt;=Hypothèses!$V$8,Hypothèses!$X$8,IF(U102&lt;=Hypothèses!$V$9,Hypothèses!$X$9,IF(U102&lt;=Hypothèses!$V$10,Hypothèses!$X$10,IF(U102&lt;=Hypothèses!$V$11,Hypothèses!$X$11,IF(U102&lt;=Hypothèses!$V$12,Hypothèses!$X$12,IF(U102&lt;=Hypothèses!$V$13,Hypothèses!$X$13,IF(U102&lt;=Hypothèses!$V$14,Hypothèses!$X$14,IF(U102&lt;=Hypothèses!$V$15,Hypothèses!$X$15,IF(U102&lt;=Hypothèses!$V$16,Hypothèses!$X$16,IF(U102&lt;=Hypothèses!$U$17,Hypothèses!$W$17,IF(U102&lt;=Hypothèses!$U$18,Hypothèses!$W$18,""))))))))))))</f>
        <v>#DIV/0!</v>
      </c>
      <c r="AR102" s="95" t="e">
        <f t="shared" ca="1" si="172"/>
        <v>#DIV/0!</v>
      </c>
      <c r="AS102" s="101">
        <f t="shared" si="224"/>
        <v>0</v>
      </c>
      <c r="AT102" s="91">
        <f t="shared" si="141"/>
        <v>0</v>
      </c>
      <c r="AU102" s="30" t="e">
        <f t="shared" si="202"/>
        <v>#N/A</v>
      </c>
      <c r="AV102" s="30" t="e">
        <f t="shared" si="203"/>
        <v>#N/A</v>
      </c>
      <c r="AW102" s="31" t="e">
        <f>IF(OR(Hypothèses!$B$4=17,Hypothèses!$B$4=18,Hypothèses!$B$4=19,Hypothèses!$B$4=20),
IF($D102="Pressio.",
IF(OR($E102=3,$E102=1,$E102=4),AV102,AU102),
IF($D102="Pénétro.",
IF(OR($E102=3,$E102=1,$E102=4),AV102,AU102))),IF($D102="Pressio.",
IF($E102=3,AV102,AU102),
IF($D102="Pénétro.",
IF($E102=4,AV102,AU102))))</f>
        <v>#N/A</v>
      </c>
      <c r="AX102" s="31">
        <v>0</v>
      </c>
      <c r="AY102" s="102" t="e">
        <f>IF(NDC!$H$10="Oui",(VLOOKUP($B$3,'Coeff EC7'!$T$39:$X$59,2,0)*AW102+VLOOKUP($B$3,'Coeff EC7'!$T$65:$X$85,2,0)*Model0.1T!AX102)/1.5,PI()*AU$12*$Q102*($B102-$B101)*0.15/10+AY101)</f>
        <v>#N/A</v>
      </c>
      <c r="AZ102" s="102" t="e">
        <f>(VLOOKUP($B$3,'Coeff EC7'!$T$39:$X$59,3,0)*AW102+VLOOKUP($B$3,'Coeff EC7'!$T$65:$X$85,3,0)*Model0.1T!AX102)/1.1</f>
        <v>#N/A</v>
      </c>
      <c r="BA102" s="102" t="e">
        <f t="shared" si="173"/>
        <v>#N/A</v>
      </c>
      <c r="BB102" s="102" t="e">
        <f t="shared" si="174"/>
        <v>#N/A</v>
      </c>
      <c r="BC102" s="414" t="e">
        <f>IF(AND(AY102&gt;NDC!$C$63,AZ102&gt;NDC!$C$65,BA102&gt;NDC!$D$73,BB102&gt;NDC!$D$74,$B102&gt;NDC!$H$22-0.1+MIN(3*BC$12,1.5)),0,1)</f>
        <v>#N/A</v>
      </c>
      <c r="BD102" s="86" t="b">
        <f t="shared" si="142"/>
        <v>0</v>
      </c>
      <c r="BE102" s="86">
        <f t="shared" si="175"/>
        <v>0.5</v>
      </c>
      <c r="BF102" s="86">
        <f t="shared" si="143"/>
        <v>0.5</v>
      </c>
      <c r="BG102" s="30" t="e">
        <f t="shared" ca="1" si="176"/>
        <v>#DIV/0!</v>
      </c>
      <c r="BH102" s="85" t="e">
        <f ca="1">IF(AN102&lt;=Hypothèses!$V$7,Hypothèses!$W$7,IF(AN102&lt;=Hypothèses!$V$8,Hypothèses!$W$8,IF(AN102&lt;=Hypothèses!$V$9,Hypothèses!$W$9,IF(AN102&lt;=Hypothèses!$V$10,Hypothèses!$W$10,IF(AN102&lt;=Hypothèses!$V$11,Hypothèses!$W$11,IF(AN102&lt;=Hypothèses!$V$12,Hypothèses!$W$12,IF(AN102&lt;=Hypothèses!$V$13,Hypothèses!$W$13,IF(AN102&lt;=Hypothèses!$V$14,Hypothèses!$W$14,IF(AN102&lt;=Hypothèses!$V$15,Hypothèses!$W$15,IF(AN102&lt;=Hypothèses!$V$16,Hypothèses!$W$16,IF(AN102&lt;=Hypothèses!$V$17,Hypothèses!$W$17,IF(AN102&lt;=Hypothèses!$V$18,Hypothèses!$W$18,""))))))))))))</f>
        <v>#DIV/0!</v>
      </c>
      <c r="BI102" s="87" t="e">
        <f t="shared" ca="1" si="218"/>
        <v>#DIV/0!</v>
      </c>
      <c r="BJ102" s="88" t="e">
        <f ca="1">IF(AN102&lt;=Hypothèses!$V$7,Hypothèses!$X$7,IF(AN102&lt;=Hypothèses!$V$8,Hypothèses!$X$8,IF(AN102&lt;=Hypothèses!$V$9,Hypothèses!$X$9,IF(AN102&lt;=Hypothèses!$V$10,Hypothèses!$X$10,IF(AN102&lt;=Hypothèses!$V$11,Hypothèses!$X$11,IF(AN102&lt;=Hypothèses!$V$12,Hypothèses!$X$12,IF(AN102&lt;=Hypothèses!$V$13,Hypothèses!$X$13,IF(AN102&lt;=Hypothèses!$V$14,Hypothèses!$X$14,IF(AN102&lt;=Hypothèses!$V$15,Hypothèses!$X$15,IF(AN102&lt;=Hypothèses!$V$16,Hypothèses!$X$16,IF(AN102&lt;=Hypothèses!$U$17,Hypothèses!$W$17,IF(AN102&lt;=Hypothèses!$U$18,Hypothèses!$W$18,""))))))))))))</f>
        <v>#DIV/0!</v>
      </c>
      <c r="BK102" s="95" t="e">
        <f t="shared" ca="1" si="177"/>
        <v>#DIV/0!</v>
      </c>
      <c r="BL102" s="101">
        <f t="shared" si="225"/>
        <v>0</v>
      </c>
      <c r="BM102" s="91">
        <f t="shared" si="144"/>
        <v>0</v>
      </c>
      <c r="BN102" s="30" t="e">
        <f t="shared" si="204"/>
        <v>#N/A</v>
      </c>
      <c r="BO102" s="30" t="e">
        <f t="shared" si="205"/>
        <v>#N/A</v>
      </c>
      <c r="BP102" s="31" t="e">
        <f>IF(OR(Hypothèses!$B$4=17,Hypothèses!$B$4=18,Hypothèses!$B$4=19,Hypothèses!$B$4=20),
IF($D102="Pressio.",
IF(OR($E102=3,$E102=1,$E102=4),BO102,BN102),
IF($D102="Pénétro.",
IF(OR($E102=3,$E102=1,$E102=4),BO102,BN102))),IF($D102="Pressio.",
IF($E102=3,BO102,BN102),
IF($D102="Pénétro.",
IF($E102=4,BO102,BN102))))</f>
        <v>#N/A</v>
      </c>
      <c r="BQ102" s="31">
        <v>0</v>
      </c>
      <c r="BR102" s="102" t="e">
        <f>IF(NDC!$H$10="Oui",(VLOOKUP($B$3,'Coeff EC7'!$T$39:$X$59,2,0)*BP102+VLOOKUP($B$3,'Coeff EC7'!$T$65:$X$85,2,0)*Model0.1T!BQ102)/1.5,PI()*BN$12*$Q102*($B102-$B101)*0.15/10+BR101)</f>
        <v>#N/A</v>
      </c>
      <c r="BS102" s="102" t="e">
        <f>(VLOOKUP($B$3,'Coeff EC7'!$T$39:$X$59,3,0)*BP102+VLOOKUP($B$3,'Coeff EC7'!$T$65:$X$85,3,0)*Model0.1T!BQ102)/1.1</f>
        <v>#N/A</v>
      </c>
      <c r="BT102" s="102" t="e">
        <f t="shared" si="178"/>
        <v>#N/A</v>
      </c>
      <c r="BU102" s="102" t="e">
        <f t="shared" si="179"/>
        <v>#N/A</v>
      </c>
      <c r="BV102" s="414" t="e">
        <f>IF(AND(BR102&gt;NDC!$C$63,BS102&gt;NDC!$C$65,BT102&gt;NDC!$D$73,BU102&gt;NDC!$D$74,$B102&gt;NDC!$H$22-0.1+MIN(3*BV$12,1.5)),0,1)</f>
        <v>#N/A</v>
      </c>
      <c r="BW102" s="86" t="b">
        <f t="shared" si="145"/>
        <v>0</v>
      </c>
      <c r="BX102" s="86">
        <f t="shared" si="146"/>
        <v>0.5</v>
      </c>
      <c r="BY102" s="86">
        <f t="shared" si="147"/>
        <v>0.5</v>
      </c>
      <c r="BZ102" s="30" t="e">
        <f t="shared" ca="1" si="180"/>
        <v>#DIV/0!</v>
      </c>
      <c r="CA102" s="85" t="e">
        <f ca="1">IF(BG102&lt;=Hypothèses!$V$7,Hypothèses!$W$7,IF(BG102&lt;=Hypothèses!$V$8,Hypothèses!$W$8,IF(BG102&lt;=Hypothèses!$V$9,Hypothèses!$W$9,IF(BG102&lt;=Hypothèses!$V$10,Hypothèses!$W$10,IF(BG102&lt;=Hypothèses!$V$11,Hypothèses!$W$11,IF(BG102&lt;=Hypothèses!$V$12,Hypothèses!$W$12,IF(BG102&lt;=Hypothèses!$V$13,Hypothèses!$W$13,IF(BG102&lt;=Hypothèses!$V$14,Hypothèses!$W$14,IF(BG102&lt;=Hypothèses!$V$15,Hypothèses!$W$15,IF(BG102&lt;=Hypothèses!$V$16,Hypothèses!$W$16,IF(BG102&lt;=Hypothèses!$V$17,Hypothèses!$W$17,IF(BG102&lt;=Hypothèses!$V$18,Hypothèses!$W$18,""))))))))))))</f>
        <v>#DIV/0!</v>
      </c>
      <c r="CB102" s="87" t="e">
        <f t="shared" ca="1" si="219"/>
        <v>#DIV/0!</v>
      </c>
      <c r="CC102" s="88" t="e">
        <f ca="1">IF(BG102&lt;=Hypothèses!$V$7,Hypothèses!$X$7,IF(BG102&lt;=Hypothèses!$V$8,Hypothèses!$X$8,IF(BG102&lt;=Hypothèses!$V$9,Hypothèses!$X$9,IF(BG102&lt;=Hypothèses!$V$10,Hypothèses!$X$10,IF(BG102&lt;=Hypothèses!$V$11,Hypothèses!$X$11,IF(BG102&lt;=Hypothèses!$V$12,Hypothèses!$X$12,IF(BG102&lt;=Hypothèses!$V$13,Hypothèses!$X$13,IF(BG102&lt;=Hypothèses!$V$14,Hypothèses!$X$14,IF(BG102&lt;=Hypothèses!$V$15,Hypothèses!$X$15,IF(BG102&lt;=Hypothèses!$V$16,Hypothèses!$X$16,IF(BG102&lt;=Hypothèses!$U$17,Hypothèses!$W$17,IF(BG102&lt;=Hypothèses!$U$18,Hypothèses!$W$18,""))))))))))))</f>
        <v>#DIV/0!</v>
      </c>
      <c r="CD102" s="95" t="e">
        <f t="shared" ca="1" si="181"/>
        <v>#DIV/0!</v>
      </c>
      <c r="CE102" s="101">
        <f t="shared" si="226"/>
        <v>0</v>
      </c>
      <c r="CF102" s="91">
        <f t="shared" si="148"/>
        <v>0</v>
      </c>
      <c r="CG102" s="30" t="e">
        <f t="shared" si="206"/>
        <v>#N/A</v>
      </c>
      <c r="CH102" s="30" t="e">
        <f t="shared" si="207"/>
        <v>#N/A</v>
      </c>
      <c r="CI102" s="31" t="e">
        <f>IF(OR(Hypothèses!$B$4=17,Hypothèses!$B$4=18,Hypothèses!$B$4=19,Hypothèses!$B$4=20),
IF($D102="Pressio.",
IF(OR($E102=3,$E102=1,$E102=4),CH102,CG102),
IF($D102="Pénétro.",
IF(OR($E102=3,$E102=1,$E102=4),CH102,CG102))),IF($D102="Pressio.",
IF($E102=3,CH102,CG102),
IF($D102="Pénétro.",
IF($E102=4,CH102,CG102))))</f>
        <v>#N/A</v>
      </c>
      <c r="CJ102" s="31">
        <v>0</v>
      </c>
      <c r="CK102" s="102" t="e">
        <f>IF(NDC!$H$10="Oui",(VLOOKUP($B$3,'Coeff EC7'!$T$39:$X$59,2,0)*CI102+VLOOKUP($B$3,'Coeff EC7'!$T$65:$X$85,2,0)*Model0.1T!CJ102)/1.5,PI()*CG$12*$Q102*($B102-$B101)*0.15/10+CK101)</f>
        <v>#N/A</v>
      </c>
      <c r="CL102" s="102" t="e">
        <f>(VLOOKUP($B$3,'Coeff EC7'!$T$39:$X$59,3,0)*CI102+VLOOKUP($B$3,'Coeff EC7'!$T$65:$X$85,3,0)*Model0.1T!CJ102)/1.1</f>
        <v>#N/A</v>
      </c>
      <c r="CM102" s="102" t="e">
        <f t="shared" si="182"/>
        <v>#N/A</v>
      </c>
      <c r="CN102" s="102" t="e">
        <f t="shared" si="183"/>
        <v>#N/A</v>
      </c>
      <c r="CO102" s="414" t="e">
        <f>IF(AND(CK102&gt;NDC!$C$63,CL102&gt;NDC!$C$65,CM102&gt;NDC!$D$73,CN102&gt;NDC!$D$74,$B102&gt;NDC!$H$22-0.1+MIN(3*CO$12,1.5)),0,1)</f>
        <v>#N/A</v>
      </c>
      <c r="CP102" s="86" t="b">
        <f t="shared" si="149"/>
        <v>0</v>
      </c>
      <c r="CQ102" s="86">
        <f t="shared" si="150"/>
        <v>0.5</v>
      </c>
      <c r="CR102" s="86">
        <f t="shared" si="151"/>
        <v>0.5</v>
      </c>
      <c r="CS102" s="30" t="e">
        <f t="shared" ca="1" si="184"/>
        <v>#DIV/0!</v>
      </c>
      <c r="CT102" s="85" t="e">
        <f ca="1">IF(BZ102&lt;=Hypothèses!$V$7,Hypothèses!$W$7,IF(BZ102&lt;=Hypothèses!$V$8,Hypothèses!$W$8,IF(BZ102&lt;=Hypothèses!$V$9,Hypothèses!$W$9,IF(BZ102&lt;=Hypothèses!$V$10,Hypothèses!$W$10,IF(BZ102&lt;=Hypothèses!$V$11,Hypothèses!$W$11,IF(BZ102&lt;=Hypothèses!$V$12,Hypothèses!$W$12,IF(BZ102&lt;=Hypothèses!$V$13,Hypothèses!$W$13,IF(BZ102&lt;=Hypothèses!$V$14,Hypothèses!$W$14,IF(BZ102&lt;=Hypothèses!$V$15,Hypothèses!$W$15,IF(BZ102&lt;=Hypothèses!$V$16,Hypothèses!$W$16,IF(BZ102&lt;=Hypothèses!$V$17,Hypothèses!$W$17,IF(BZ102&lt;=Hypothèses!$V$18,Hypothèses!$W$18,""))))))))))))</f>
        <v>#DIV/0!</v>
      </c>
      <c r="CU102" s="87" t="e">
        <f t="shared" ca="1" si="220"/>
        <v>#DIV/0!</v>
      </c>
      <c r="CV102" s="88" t="e">
        <f ca="1">IF(BZ102&lt;=Hypothèses!$V$7,Hypothèses!$X$7,IF(BZ102&lt;=Hypothèses!$V$8,Hypothèses!$X$8,IF(BZ102&lt;=Hypothèses!$V$9,Hypothèses!$X$9,IF(BZ102&lt;=Hypothèses!$V$10,Hypothèses!$X$10,IF(BZ102&lt;=Hypothèses!$V$11,Hypothèses!$X$11,IF(BZ102&lt;=Hypothèses!$V$12,Hypothèses!$X$12,IF(BZ102&lt;=Hypothèses!$V$13,Hypothèses!$X$13,IF(BZ102&lt;=Hypothèses!$V$14,Hypothèses!$X$14,IF(BZ102&lt;=Hypothèses!$V$15,Hypothèses!$X$15,IF(BZ102&lt;=Hypothèses!$V$16,Hypothèses!$X$16,IF(BZ102&lt;=Hypothèses!$U$17,Hypothèses!$W$17,IF(BZ102&lt;=Hypothèses!$U$18,Hypothèses!$W$18,""))))))))))))</f>
        <v>#DIV/0!</v>
      </c>
      <c r="CW102" s="95" t="e">
        <f t="shared" ca="1" si="185"/>
        <v>#DIV/0!</v>
      </c>
      <c r="CX102" s="101">
        <f t="shared" si="227"/>
        <v>0</v>
      </c>
      <c r="CY102" s="91">
        <f t="shared" si="152"/>
        <v>0</v>
      </c>
      <c r="CZ102" s="30" t="e">
        <f t="shared" si="208"/>
        <v>#N/A</v>
      </c>
      <c r="DA102" s="30" t="e">
        <f t="shared" si="209"/>
        <v>#N/A</v>
      </c>
      <c r="DB102" s="31" t="e">
        <f>IF(OR(Hypothèses!$B$4=17,Hypothèses!$B$4=18,Hypothèses!$B$4=19,Hypothèses!$B$4=20),
IF($D102="Pressio.",
IF(OR($E102=3,$E102=1,$E102=4),DA102,CZ102),
IF($D102="Pénétro.",
IF(OR($E102=3,$E102=1,$E102=4),DA102,CZ102))),IF($D102="Pressio.",
IF($E102=3,DA102,CZ102),
IF($D102="Pénétro.",
IF($E102=4,DA102,CZ102))))</f>
        <v>#N/A</v>
      </c>
      <c r="DC102" s="31">
        <v>0</v>
      </c>
      <c r="DD102" s="102" t="e">
        <f>IF(NDC!$H$10="Oui",(VLOOKUP($B$3,'Coeff EC7'!$T$39:$X$59,2,0)*DB102+VLOOKUP($B$3,'Coeff EC7'!$T$65:$X$85,2,0)*Model0.1T!DC102)/1.5,PI()*CZ$12*$Q102*($B102-$B101)*0.15/10+DD101)</f>
        <v>#N/A</v>
      </c>
      <c r="DE102" s="102" t="e">
        <f>(VLOOKUP($B$3,'Coeff EC7'!$T$39:$X$59,3,0)*DB102+VLOOKUP($B$3,'Coeff EC7'!$T$65:$X$85,3,0)*Model0.1T!DC102)/1.1</f>
        <v>#N/A</v>
      </c>
      <c r="DF102" s="102" t="e">
        <f t="shared" si="186"/>
        <v>#N/A</v>
      </c>
      <c r="DG102" s="102" t="e">
        <f t="shared" si="187"/>
        <v>#N/A</v>
      </c>
      <c r="DH102" s="414" t="e">
        <f>IF(AND(DD102&gt;NDC!$C$63,DE102&gt;NDC!$C$65,DF102&gt;NDC!$D$73,DG102&gt;NDC!$D$74,$B102&gt;NDC!$H$22-0.1+MIN(3*DH$12,1.5)),0,1)</f>
        <v>#N/A</v>
      </c>
      <c r="DI102" s="86" t="b">
        <f t="shared" si="153"/>
        <v>0</v>
      </c>
      <c r="DJ102" s="86">
        <f t="shared" si="154"/>
        <v>0.5</v>
      </c>
      <c r="DK102" s="86">
        <f t="shared" si="155"/>
        <v>0.5</v>
      </c>
      <c r="DL102" s="30" t="e">
        <f t="shared" ca="1" si="188"/>
        <v>#DIV/0!</v>
      </c>
      <c r="DM102" s="85" t="e">
        <f ca="1">IF(CS102&lt;=Hypothèses!$V$7,Hypothèses!$W$7,IF(CS102&lt;=Hypothèses!$V$8,Hypothèses!$W$8,IF(CS102&lt;=Hypothèses!$V$9,Hypothèses!$W$9,IF(CS102&lt;=Hypothèses!$V$10,Hypothèses!$W$10,IF(CS102&lt;=Hypothèses!$V$11,Hypothèses!$W$11,IF(CS102&lt;=Hypothèses!$V$12,Hypothèses!$W$12,IF(CS102&lt;=Hypothèses!$V$13,Hypothèses!$W$13,IF(CS102&lt;=Hypothèses!$V$14,Hypothèses!$W$14,IF(CS102&lt;=Hypothèses!$V$15,Hypothèses!$W$15,IF(CS102&lt;=Hypothèses!$V$16,Hypothèses!$W$16,IF(CS102&lt;=Hypothèses!$V$17,Hypothèses!$W$17,IF(CS102&lt;=Hypothèses!$V$18,Hypothèses!$W$18,""))))))))))))</f>
        <v>#DIV/0!</v>
      </c>
      <c r="DN102" s="87" t="e">
        <f t="shared" ca="1" si="221"/>
        <v>#DIV/0!</v>
      </c>
      <c r="DO102" s="88" t="e">
        <f ca="1">IF(CS102&lt;=Hypothèses!$V$7,Hypothèses!$X$7,IF(CS102&lt;=Hypothèses!$V$8,Hypothèses!$X$8,IF(CS102&lt;=Hypothèses!$V$9,Hypothèses!$X$9,IF(CS102&lt;=Hypothèses!$V$10,Hypothèses!$X$10,IF(CS102&lt;=Hypothèses!$V$11,Hypothèses!$X$11,IF(CS102&lt;=Hypothèses!$V$12,Hypothèses!$X$12,IF(CS102&lt;=Hypothèses!$V$13,Hypothèses!$X$13,IF(CS102&lt;=Hypothèses!$V$14,Hypothèses!$X$14,IF(CS102&lt;=Hypothèses!$V$15,Hypothèses!$X$15,IF(CS102&lt;=Hypothèses!$V$16,Hypothèses!$X$16,IF(CS102&lt;=Hypothèses!$U$17,Hypothèses!$W$17,IF(CS102&lt;=Hypothèses!$U$18,Hypothèses!$W$18,""))))))))))))</f>
        <v>#DIV/0!</v>
      </c>
      <c r="DP102" s="95" t="e">
        <f t="shared" ca="1" si="189"/>
        <v>#DIV/0!</v>
      </c>
      <c r="DQ102" s="101">
        <f t="shared" si="228"/>
        <v>0</v>
      </c>
      <c r="DR102" s="91">
        <f t="shared" si="156"/>
        <v>0</v>
      </c>
      <c r="DS102" s="30" t="e">
        <f t="shared" si="210"/>
        <v>#N/A</v>
      </c>
      <c r="DT102" s="30" t="e">
        <f t="shared" si="211"/>
        <v>#N/A</v>
      </c>
      <c r="DU102" s="31" t="e">
        <f>IF(OR(Hypothèses!$B$4=17,Hypothèses!$B$4=18,Hypothèses!$B$4=19,Hypothèses!$B$4=20),
IF($D102="Pressio.",
IF(OR($E102=3,$E102=1,$E102=4),DT102,DS102),
IF($D102="Pénétro.",
IF(OR($E102=3,$E102=1,$E102=4),DT102,DS102))),IF($D102="Pressio.",
IF($E102=3,DT102,DS102),
IF($D102="Pénétro.",
IF($E102=4,DT102,DS102))))</f>
        <v>#N/A</v>
      </c>
      <c r="DV102" s="31">
        <v>0</v>
      </c>
      <c r="DW102" s="102" t="e">
        <f>IF(NDC!$H$10="Oui",(VLOOKUP($B$3,'Coeff EC7'!$T$39:$X$59,2,0)*DU102+VLOOKUP($B$3,'Coeff EC7'!$T$65:$X$85,2,0)*Model0.1T!DV102)/1.5,PI()*DS$12*$Q102*($B102-$B101)*0.15/10+DW101)</f>
        <v>#N/A</v>
      </c>
      <c r="DX102" s="102" t="e">
        <f>(VLOOKUP($B$3,'Coeff EC7'!$T$39:$X$59,3,0)*DU102+VLOOKUP($B$3,'Coeff EC7'!$T$65:$X$85,3,0)*Model0.1T!DV102)/1.1</f>
        <v>#N/A</v>
      </c>
      <c r="DY102" s="102" t="e">
        <f t="shared" si="190"/>
        <v>#N/A</v>
      </c>
      <c r="DZ102" s="102" t="e">
        <f t="shared" si="191"/>
        <v>#N/A</v>
      </c>
      <c r="EA102" s="414" t="e">
        <f>IF(AND(DW102&gt;NDC!$C$63,DX102&gt;NDC!$C$65,DY102&gt;NDC!$D$73,DZ102&gt;NDC!$D$74,$B102&gt;NDC!$H$22-0.1+MIN(3*EA$12,1.5)),0,1)</f>
        <v>#N/A</v>
      </c>
      <c r="EB102" s="86" t="b">
        <f t="shared" si="157"/>
        <v>0</v>
      </c>
      <c r="EC102" s="418">
        <f t="shared" si="158"/>
        <v>0.51</v>
      </c>
      <c r="ED102" s="86">
        <f t="shared" si="159"/>
        <v>0.51</v>
      </c>
      <c r="EE102" s="30" t="e">
        <f t="shared" ca="1" si="192"/>
        <v>#DIV/0!</v>
      </c>
      <c r="EF102" s="85" t="e">
        <f ca="1">IF(DL102&lt;=Hypothèses!$V$7,Hypothèses!$W$7,IF(DL102&lt;=Hypothèses!$V$8,Hypothèses!$W$8,IF(DL102&lt;=Hypothèses!$V$9,Hypothèses!$W$9,IF(DL102&lt;=Hypothèses!$V$10,Hypothèses!$W$10,IF(DL102&lt;=Hypothèses!$V$11,Hypothèses!$W$11,IF(DL102&lt;=Hypothèses!$V$12,Hypothèses!$W$12,IF(DL102&lt;=Hypothèses!$V$13,Hypothèses!$W$13,IF(DL102&lt;=Hypothèses!$V$14,Hypothèses!$W$14,IF(DL102&lt;=Hypothèses!$V$15,Hypothèses!$W$15,IF(DL102&lt;=Hypothèses!$V$16,Hypothèses!$W$16,IF(DL102&lt;=Hypothèses!$V$17,Hypothèses!$W$17,IF(DL102&lt;=Hypothèses!$V$18,Hypothèses!$W$18,""))))))))))))</f>
        <v>#DIV/0!</v>
      </c>
      <c r="EG102" s="87" t="e">
        <f t="shared" ca="1" si="222"/>
        <v>#DIV/0!</v>
      </c>
      <c r="EH102" s="88" t="e">
        <f ca="1">IF(DL102&lt;=Hypothèses!$V$7,Hypothèses!$X$7,IF(DL102&lt;=Hypothèses!$V$8,Hypothèses!$X$8,IF(DL102&lt;=Hypothèses!$V$9,Hypothèses!$X$9,IF(DL102&lt;=Hypothèses!$V$10,Hypothèses!$X$10,IF(DL102&lt;=Hypothèses!$V$11,Hypothèses!$X$11,IF(DL102&lt;=Hypothèses!$V$12,Hypothèses!$X$12,IF(DL102&lt;=Hypothèses!$V$13,Hypothèses!$X$13,IF(DL102&lt;=Hypothèses!$V$14,Hypothèses!$X$14,IF(DL102&lt;=Hypothèses!$V$15,Hypothèses!$X$15,IF(DL102&lt;=Hypothèses!$V$16,Hypothèses!$X$16,IF(DL102&lt;=Hypothèses!$U$17,Hypothèses!$W$17,IF(DL102&lt;=Hypothèses!$U$18,Hypothèses!$W$18,""))))))))))))</f>
        <v>#DIV/0!</v>
      </c>
      <c r="EI102" s="95" t="e">
        <f t="shared" ca="1" si="193"/>
        <v>#DIV/0!</v>
      </c>
      <c r="EJ102" s="101">
        <f t="shared" si="229"/>
        <v>0</v>
      </c>
      <c r="EK102" s="91">
        <f t="shared" si="160"/>
        <v>0</v>
      </c>
      <c r="EL102" s="30" t="e">
        <f t="shared" si="212"/>
        <v>#N/A</v>
      </c>
      <c r="EM102" s="30" t="e">
        <f t="shared" si="213"/>
        <v>#N/A</v>
      </c>
      <c r="EN102" s="31" t="e">
        <f>IF(OR(Hypothèses!$B$4=17,Hypothèses!$B$4=18,Hypothèses!$B$4=19,Hypothèses!$B$4=20),
IF($D102="Pressio.",
IF(OR($E102=3,$E102=1,$E102=4),EM102,EL102),
IF($D102="Pénétro.",
IF(OR($E102=3,$E102=1,$E102=4),EM102,EL102))),IF($D102="Pressio.",
IF($E102=3,EM102,EL102),
IF($D102="Pénétro.",
IF($E102=4,EM102,EL102))))</f>
        <v>#N/A</v>
      </c>
      <c r="EO102" s="31">
        <v>0</v>
      </c>
      <c r="EP102" s="102" t="e">
        <f>IF(NDC!$H$10="Oui",(VLOOKUP($B$3,'Coeff EC7'!$T$39:$X$59,2,0)*EN102+VLOOKUP($B$3,'Coeff EC7'!$T$65:$X$85,2,0)*Model0.1T!EO102)/1.5,PI()*EL$12*$Q102*($B102-$B101)*0.15/10+EP101)</f>
        <v>#N/A</v>
      </c>
      <c r="EQ102" s="102" t="e">
        <f>(VLOOKUP($B$3,'Coeff EC7'!$T$39:$X$59,3,0)*EN102+VLOOKUP($B$3,'Coeff EC7'!$T$65:$X$85,3,0)*Model0.1T!EO102)/1.1</f>
        <v>#N/A</v>
      </c>
      <c r="ER102" s="102" t="e">
        <f t="shared" si="194"/>
        <v>#N/A</v>
      </c>
      <c r="ES102" s="102" t="e">
        <f t="shared" si="195"/>
        <v>#N/A</v>
      </c>
      <c r="ET102" s="414" t="e">
        <f>IF(AND(EP102&gt;NDC!$C$63,EQ102&gt;NDC!$C$65,ER102&gt;NDC!$D$73,ES102&gt;NDC!$D$74,$B102&gt;NDC!$H$22-0.1+MIN(3*ET$12,1.5)),0,1)</f>
        <v>#N/A</v>
      </c>
      <c r="EU102" s="86" t="b">
        <f t="shared" si="161"/>
        <v>0</v>
      </c>
      <c r="EV102" s="86">
        <f t="shared" si="162"/>
        <v>0.61</v>
      </c>
      <c r="EW102" s="86">
        <f t="shared" si="163"/>
        <v>0.61</v>
      </c>
      <c r="EX102" s="30" t="e">
        <f t="shared" ca="1" si="196"/>
        <v>#DIV/0!</v>
      </c>
      <c r="EY102" s="85" t="e">
        <f ca="1">IF(EE102&lt;=Hypothèses!$V$7,Hypothèses!$W$7,IF(EE102&lt;=Hypothèses!$V$8,Hypothèses!$W$8,IF(EE102&lt;=Hypothèses!$V$9,Hypothèses!$W$9,IF(EE102&lt;=Hypothèses!$V$10,Hypothèses!$W$10,IF(EE102&lt;=Hypothèses!$V$11,Hypothèses!$W$11,IF(EE102&lt;=Hypothèses!$V$12,Hypothèses!$W$12,IF(EE102&lt;=Hypothèses!$V$13,Hypothèses!$W$13,IF(EE102&lt;=Hypothèses!$V$14,Hypothèses!$W$14,IF(EE102&lt;=Hypothèses!$V$15,Hypothèses!$W$15,IF(EE102&lt;=Hypothèses!$V$16,Hypothèses!$W$16,IF(EE102&lt;=Hypothèses!$V$17,Hypothèses!$W$17,IF(EE102&lt;=Hypothèses!$V$18,Hypothèses!$W$18,""))))))))))))</f>
        <v>#DIV/0!</v>
      </c>
      <c r="EZ102" s="87" t="e">
        <f t="shared" ca="1" si="223"/>
        <v>#DIV/0!</v>
      </c>
      <c r="FA102" s="88" t="e">
        <f ca="1">IF(EE102&lt;=Hypothèses!$V$7,Hypothèses!$X$7,IF(EE102&lt;=Hypothèses!$V$8,Hypothèses!$X$8,IF(EE102&lt;=Hypothèses!$V$9,Hypothèses!$X$9,IF(EE102&lt;=Hypothèses!$V$10,Hypothèses!$X$10,IF(EE102&lt;=Hypothèses!$V$11,Hypothèses!$X$11,IF(EE102&lt;=Hypothèses!$V$12,Hypothèses!$X$12,IF(EE102&lt;=Hypothèses!$V$13,Hypothèses!$X$13,IF(EE102&lt;=Hypothèses!$V$14,Hypothèses!$X$14,IF(EE102&lt;=Hypothèses!$V$15,Hypothèses!$X$15,IF(EE102&lt;=Hypothèses!$V$16,Hypothèses!$X$16,IF(EE102&lt;=Hypothèses!$U$17,Hypothèses!$W$17,IF(EE102&lt;=Hypothèses!$U$18,Hypothèses!$W$18,""))))))))))))</f>
        <v>#DIV/0!</v>
      </c>
      <c r="FB102" s="95" t="e">
        <f t="shared" ca="1" si="197"/>
        <v>#DIV/0!</v>
      </c>
      <c r="FC102" s="101">
        <f t="shared" si="230"/>
        <v>0</v>
      </c>
      <c r="FD102" s="91">
        <f t="shared" si="164"/>
        <v>0</v>
      </c>
      <c r="FE102" s="30" t="e">
        <f t="shared" si="214"/>
        <v>#N/A</v>
      </c>
      <c r="FF102" s="30" t="e">
        <f t="shared" si="215"/>
        <v>#N/A</v>
      </c>
      <c r="FG102" s="31" t="e">
        <f>IF(OR(Hypothèses!$B$4=17,Hypothèses!$B$4=18,Hypothèses!$B$4=19,Hypothèses!$B$4=20),
IF($D102="Pressio.",
IF(OR($E102=3,$E102=1,$E102=4),FF102,FE102),
IF($D102="Pénétro.",
IF(OR($E102=3,$E102=1,$E102=4),FF102,FE102))),IF($D102="Pressio.",
IF($E102=3,FF102,FE102),
IF($D102="Pénétro.",
IF($E102=4,FF102,FE102))))</f>
        <v>#N/A</v>
      </c>
      <c r="FH102" s="31">
        <v>0</v>
      </c>
      <c r="FI102" s="102" t="e">
        <f>IF(NDC!$H$10="Oui",(VLOOKUP($B$3,'Coeff EC7'!$T$39:$X$59,2,0)*FG102+VLOOKUP($B$3,'Coeff EC7'!$T$65:$X$85,2,0)*Model0.1T!FH102)/1.5,PI()*FE$12*$Q102*($B102-$B101)*0.15/10+FI101)</f>
        <v>#N/A</v>
      </c>
      <c r="FJ102" s="102" t="e">
        <f>(VLOOKUP($B$3,'Coeff EC7'!$T$39:$X$59,3,0)*FG102+VLOOKUP($B$3,'Coeff EC7'!$T$65:$X$85,3,0)*Model0.1T!FH102)/1.1</f>
        <v>#N/A</v>
      </c>
      <c r="FK102" s="102" t="e">
        <f t="shared" si="198"/>
        <v>#N/A</v>
      </c>
      <c r="FL102" s="102" t="e">
        <f t="shared" si="199"/>
        <v>#N/A</v>
      </c>
      <c r="FM102" s="414" t="e">
        <f>IF(AND(FI102&gt;NDC!$C$63,FJ102&gt;NDC!$C$65,FK102&gt;NDC!$D$73,FL102&gt;NDC!$D$74,$B102&gt;NDC!$H$22-0.1+MIN(3*FM$12,1.5)),0,1)</f>
        <v>#N/A</v>
      </c>
    </row>
    <row r="103" spans="1:169">
      <c r="A103" s="96">
        <f t="shared" si="165"/>
        <v>91.000000000000512</v>
      </c>
      <c r="B103" s="97">
        <v>9</v>
      </c>
      <c r="C103" s="81">
        <f>IF(B103&lt;=Hypothèses!$C$7,Hypothèses!$A$7,IF(B103&lt;=Hypothèses!$C$8,Hypothèses!$A$8,IF(B103&lt;=Hypothèses!$C$9,Hypothèses!$A$9,IF(B103&lt;=Hypothèses!$C$10,Hypothèses!$A$10,IF(B103&lt;=Hypothèses!$C$11,Hypothèses!$A$11,IF(B103&lt;=Hypothèses!$C$12,Hypothèses!$A$12,IF(B103&lt;=Hypothèses!$C$13,Hypothèses!$A$13,IF(B103&lt;=Hypothèses!$C$14,Hypothèses!$A$14,IF(B103&lt;=Hypothèses!$C$15,Hypothèses!$A$15,IF(B103&lt;=Hypothèses!$C$16,Hypothèses!$A$16,IF(B103&lt;=Hypothèses!$C$17,Hypothèses!$A$17,IF(B103&lt;=Hypothèses!$C$18,Hypothèses!$A$18,C102))))))))))))</f>
        <v>11</v>
      </c>
      <c r="D103" s="82" t="str">
        <f>IF(B103&lt;=Hypothèses!$C$7,Hypothèses!$R$7,IF(B103&lt;=Hypothèses!$C$8,Hypothèses!$R$8,IF(B103&lt;=Hypothèses!$C$9,Hypothèses!$R$9,IF(B103&lt;=Hypothèses!$C$10,Hypothèses!$R$10,IF(B103&lt;=Hypothèses!$C$11,Hypothèses!$R$11,IF(B103&lt;=Hypothèses!$C$12,Hypothèses!$R$12,IF(B103&lt;=Hypothèses!$C$13,Hypothèses!$R$13,IF(B103&lt;=Hypothèses!$C$14,Hypothèses!$R$14,IF(B103&lt;=Hypothèses!$C$15,Hypothèses!$R$15,IF(B103&lt;=Hypothèses!$C$16,Hypothèses!$R$16,IF(B103&lt;=Hypothèses!$C$17,Hypothèses!$R$17,IF(B103&lt;=Hypothèses!$C$18,Hypothèses!$R$18,D102))))))))))))</f>
        <v>Pressio.</v>
      </c>
      <c r="E103" s="82" t="e">
        <f>IF(B103&lt;=Hypothèses!$C$7,Hypothèses!$G$7,IF(B103&lt;=Hypothèses!$C$8,Hypothèses!$G$8,IF(B103&lt;=Hypothèses!$C$9,Hypothèses!$G$9,IF(B103&lt;=Hypothèses!$C$10,Hypothèses!$G$10,IF(B103&lt;=Hypothèses!$C$11,Hypothèses!$G$11,IF(B103&lt;=Hypothèses!$C$12,Hypothèses!$G$12,IF(B103&lt;=Hypothèses!$C$13,Hypothèses!$G$13,IF(B103&lt;=Hypothèses!$C$14,Hypothèses!$G$14,IF(B103&lt;=Hypothèses!$C$15,Hypothèses!$G$15,IF(B103&lt;=Hypothèses!$C$16,Hypothèses!$G$16,IF(B103&lt;=Hypothèses!$C$17,Hypothèses!$G$17,IF(B103&lt;=Hypothèses!$C$18,Hypothèses!$G$18,E102))))))))))))</f>
        <v>#N/A</v>
      </c>
      <c r="F103" s="82" t="str">
        <f>IF(B103&lt;=Hypothèses!$C$7,Hypothèses!$F$7,IF(B103&lt;=Hypothèses!$C$8,Hypothèses!$F$8,IF(B103&lt;=Hypothèses!$C$9,Hypothèses!$F$9,IF(B103&lt;=Hypothèses!$C$10,Hypothèses!$F$10,IF(B103&lt;=Hypothèses!$C$11,Hypothèses!$F$11,IF(B103&lt;=Hypothèses!$C$12,Hypothèses!$F$12,IF(B103&lt;=Hypothèses!$C$13,Hypothèses!$F$13,IF(B103&lt;=Hypothèses!$C$14,Hypothèses!$F$14,IF(B103&lt;=Hypothèses!$C$15,Hypothèses!$F$15,IF(B103&lt;=Hypothèses!$C$16,Hypothèses!$F$16,IF(B103&lt;=Hypothèses!$C$17,Hypothèses!$F$17,IF(B103&lt;=Hypothèses!$C$18,Hypothèses!$F$18,F102))))))))))))</f>
        <v/>
      </c>
      <c r="G103" s="91">
        <f t="array" ref="G103">INDEX('Coeff EC7'!$U$7:$X$27,
MATCH(Model0.1T!$B$3,'Coeff EC7'!$T$7:$T$27,0),
MATCH(Model0.1T!$D103&amp;Model0.1T!$B$4,
'Coeff EC7'!$U$6:$X$6&amp;
'Coeff EC7'!$U$5:$X$5,0))</f>
        <v>1.4</v>
      </c>
      <c r="H103" s="91">
        <f t="array" ref="H103">INDEX('Coeff EC7'!$Y$7:$AB$27,
MATCH(Model0.1T!$B$3,'Coeff EC7'!$T$7:$T$27,0),
MATCH(Model0.1T!$D103&amp;Model0.1T!$B$4,
'Coeff EC7'!$Y$6:$AB$6&amp;
'Coeff EC7'!$Y$5:$AB$5,0))</f>
        <v>1.7</v>
      </c>
      <c r="I103" s="83">
        <v>0</v>
      </c>
      <c r="J103" s="91" t="e">
        <f t="array" ref="J103">INDEX('Coeff EC7'!$D$33:$Q$33,1,MATCH(D103&amp;E103,'Coeff EC7'!$D$31:$Q$31&amp;'Coeff EC7'!$D$32:$Q$32,0))</f>
        <v>#N/A</v>
      </c>
      <c r="K103" s="91" t="e">
        <f t="array" ref="K103">INDEX('Coeff EC7'!$D$34:$Q$34,1,MATCH(D103&amp;E103,'Coeff EC7'!$D$31:$Q$31&amp;'Coeff EC7'!$D$32:$Q$32,0))</f>
        <v>#N/A</v>
      </c>
      <c r="L103" s="91" t="e">
        <f t="array" ref="L103">INDEX('Coeff EC7'!$D$35:$Q$35,1,MATCH(D103&amp;E103,'Coeff EC7'!$D$31:$Q$31&amp;'Coeff EC7'!$D$32:$Q$32,0))</f>
        <v>#N/A</v>
      </c>
      <c r="M103" s="98" t="e">
        <f t="shared" si="131"/>
        <v>#N/A</v>
      </c>
      <c r="N103" s="99" t="e">
        <f t="array" ref="N103">INDEX('Coeff EC7'!$D$7:$Q$27,MATCH($B$3,'Coeff EC7'!$C$7:$C$27,0),MATCH(D103&amp;E103,'Coeff EC7'!$D$5:$Q$5&amp;'Coeff EC7'!$D$6:$Q$6,0))</f>
        <v>#N/A</v>
      </c>
      <c r="O103" s="99" t="e">
        <f t="array" ref="O103">INDEX('Coeff EC7'!$D$41:$Q$61,MATCH($B$3,'Coeff EC7'!$C$41:$C$61,0),MATCH(D103&amp;E103,'Coeff EC7'!$D$39:$Q$39&amp;'Coeff EC7'!$D$40:$Q$40,0))</f>
        <v>#N/A</v>
      </c>
      <c r="P103" s="30" t="e">
        <f t="shared" si="166"/>
        <v>#N/A</v>
      </c>
      <c r="Q103" s="100" t="e">
        <f t="shared" si="133"/>
        <v>#N/A</v>
      </c>
      <c r="R103" s="86" t="b">
        <f t="shared" si="134"/>
        <v>0</v>
      </c>
      <c r="S103" s="86">
        <f t="shared" si="132"/>
        <v>0.5</v>
      </c>
      <c r="T103" s="86">
        <f t="shared" si="135"/>
        <v>0.5</v>
      </c>
      <c r="U103" s="30" t="e">
        <f t="shared" ca="1" si="167"/>
        <v>#DIV/0!</v>
      </c>
      <c r="V103" s="85" t="str">
        <f>IF(B103&lt;=Hypothèses!$V$7,Hypothèses!$W$7,IF(B103&lt;=Hypothèses!$V$8,Hypothèses!$W$8,IF(B103&lt;=Hypothèses!$V$9,Hypothèses!$W$9,IF(B103&lt;=Hypothèses!$V$10,Hypothèses!$W$10,IF(B103&lt;=Hypothèses!$V$11,Hypothèses!$W$11,IF(B103&lt;=Hypothèses!$V$12,Hypothèses!$W$12,IF(B103&lt;=Hypothèses!$V$13,Hypothèses!$W$13,IF(B103&lt;=Hypothèses!$V$14,Hypothèses!$W$14,IF(B103&lt;=Hypothèses!$V$15,Hypothèses!$W$15,IF(B103&lt;=Hypothèses!$V$16,Hypothèses!$W$16,IF(B103&lt;=Hypothèses!$V$17,Hypothèses!$W$17,IF(B103&lt;=Hypothèses!$V$18,Hypothèses!$W$18,""))))))))))))</f>
        <v/>
      </c>
      <c r="W103" s="87" t="e">
        <f t="shared" ca="1" si="216"/>
        <v>#DIV/0!</v>
      </c>
      <c r="X103" s="88" t="str">
        <f>IF(B103&lt;=Hypothèses!$V$7,Hypothèses!$X$7,IF(B103&lt;=Hypothèses!$V$8,Hypothèses!$X$8,IF(B103&lt;=Hypothèses!$V$9,Hypothèses!$X$9,IF(B103&lt;=Hypothèses!$V$10,Hypothèses!$X$10,IF(B103&lt;=Hypothèses!$V$11,Hypothèses!$X$11,IF(B103&lt;=Hypothèses!$V$12,Hypothèses!$X$12,IF(B103&lt;=Hypothèses!$V$13,Hypothèses!$X$13,IF(B103&lt;=Hypothèses!$V$14,Hypothèses!$X$14,IF(B103&lt;=Hypothèses!$V$15,Hypothèses!$X$15,IF(B103&lt;=Hypothèses!$V$16,Hypothèses!$X$16,IF(B103&lt;=Hypothèses!$U$17,Hypothèses!$W$17,IF(B103&lt;=Hypothèses!$U$18,Hypothèses!$W$18,""))))))))))))</f>
        <v/>
      </c>
      <c r="Y103" s="95" t="e">
        <f t="shared" ca="1" si="136"/>
        <v>#DIV/0!</v>
      </c>
      <c r="Z103" s="101">
        <f t="shared" si="137"/>
        <v>0</v>
      </c>
      <c r="AA103" s="91">
        <f t="shared" si="138"/>
        <v>0</v>
      </c>
      <c r="AB103" s="30" t="e">
        <f t="shared" si="200"/>
        <v>#N/A</v>
      </c>
      <c r="AC103" s="30" t="e">
        <f t="shared" si="201"/>
        <v>#N/A</v>
      </c>
      <c r="AD103" s="31" t="e">
        <f>IF(OR(Hypothèses!$B$4=17,Hypothèses!$B$4=18,Hypothèses!$B$4=19,Hypothèses!$B$4=20),
IF($D103="Pressio.",
IF(OR($E103=3,$E103=1,$E103=4),AC103,AB103),
IF($D103="Pénétro.",
IF(OR($E103=3,$E103=1,$E103=4),AC103,AB103))),IF($D103="Pressio.",
IF($E103=3,AC103,AB103),
IF($D103="Pénétro.",
IF($E103=4,AC103,AB103))))</f>
        <v>#N/A</v>
      </c>
      <c r="AE103" s="31">
        <v>0</v>
      </c>
      <c r="AF103" s="102" t="e">
        <f>IF(NDC!$H$10="Oui",(VLOOKUP($B$3,'Coeff EC7'!$T$39:$X$59,2,0)*AD103+VLOOKUP($B$3,'Coeff EC7'!$T$65:$X$85,2,0)*Model0.1T!AE103)/1.5,PI()*AB$12*$Q103*($B103-$B102)*0.15/10+AF102)</f>
        <v>#N/A</v>
      </c>
      <c r="AG103" s="102" t="e">
        <f>(VLOOKUP($B$3,'Coeff EC7'!$T$39:$X$59,3,0)*AD103+VLOOKUP($B$3,'Coeff EC7'!$T$65:$X$85,3,0)*Model0.1T!AE103)/1.1</f>
        <v>#N/A</v>
      </c>
      <c r="AH103" s="102" t="e">
        <f t="shared" si="168"/>
        <v>#N/A</v>
      </c>
      <c r="AI103" s="102" t="e">
        <f t="shared" si="169"/>
        <v>#N/A</v>
      </c>
      <c r="AJ103" s="414" t="e">
        <f>IF(AND(AF103&gt;NDC!$C$63,AG103&gt;NDC!$C$65,AH103&gt;NDC!$D$73,AI103&gt;NDC!$D$74,$B103&gt;NDC!$H$22-0.1+MIN(3*$AJ$12,1.5)),0,1)</f>
        <v>#N/A</v>
      </c>
      <c r="AK103" s="86" t="b">
        <f t="shared" si="139"/>
        <v>0</v>
      </c>
      <c r="AL103" s="86">
        <f t="shared" si="170"/>
        <v>0.5</v>
      </c>
      <c r="AM103" s="86">
        <f t="shared" si="140"/>
        <v>0.5</v>
      </c>
      <c r="AN103" s="30" t="e">
        <f t="shared" ca="1" si="171"/>
        <v>#DIV/0!</v>
      </c>
      <c r="AO103" s="85" t="e">
        <f ca="1">IF(U103&lt;=Hypothèses!$V$7,Hypothèses!$W$7,IF(U103&lt;=Hypothèses!$V$8,Hypothèses!$W$8,IF(U103&lt;=Hypothèses!$V$9,Hypothèses!$W$9,IF(U103&lt;=Hypothèses!$V$10,Hypothèses!$W$10,IF(U103&lt;=Hypothèses!$V$11,Hypothèses!$W$11,IF(U103&lt;=Hypothèses!$V$12,Hypothèses!$W$12,IF(U103&lt;=Hypothèses!$V$13,Hypothèses!$W$13,IF(U103&lt;=Hypothèses!$V$14,Hypothèses!$W$14,IF(U103&lt;=Hypothèses!$V$15,Hypothèses!$W$15,IF(U103&lt;=Hypothèses!$V$16,Hypothèses!$W$16,IF(U103&lt;=Hypothèses!$V$17,Hypothèses!$W$17,IF(U103&lt;=Hypothèses!$V$18,Hypothèses!$W$18,""))))))))))))</f>
        <v>#DIV/0!</v>
      </c>
      <c r="AP103" s="87" t="e">
        <f t="shared" ca="1" si="217"/>
        <v>#DIV/0!</v>
      </c>
      <c r="AQ103" s="88" t="e">
        <f ca="1">IF(U103&lt;=Hypothèses!$V$7,Hypothèses!$X$7,IF(U103&lt;=Hypothèses!$V$8,Hypothèses!$X$8,IF(U103&lt;=Hypothèses!$V$9,Hypothèses!$X$9,IF(U103&lt;=Hypothèses!$V$10,Hypothèses!$X$10,IF(U103&lt;=Hypothèses!$V$11,Hypothèses!$X$11,IF(U103&lt;=Hypothèses!$V$12,Hypothèses!$X$12,IF(U103&lt;=Hypothèses!$V$13,Hypothèses!$X$13,IF(U103&lt;=Hypothèses!$V$14,Hypothèses!$X$14,IF(U103&lt;=Hypothèses!$V$15,Hypothèses!$X$15,IF(U103&lt;=Hypothèses!$V$16,Hypothèses!$X$16,IF(U103&lt;=Hypothèses!$U$17,Hypothèses!$W$17,IF(U103&lt;=Hypothèses!$U$18,Hypothèses!$W$18,""))))))))))))</f>
        <v>#DIV/0!</v>
      </c>
      <c r="AR103" s="95" t="e">
        <f t="shared" ca="1" si="172"/>
        <v>#DIV/0!</v>
      </c>
      <c r="AS103" s="101">
        <f t="shared" si="224"/>
        <v>0</v>
      </c>
      <c r="AT103" s="91">
        <f t="shared" si="141"/>
        <v>0</v>
      </c>
      <c r="AU103" s="30" t="e">
        <f t="shared" si="202"/>
        <v>#N/A</v>
      </c>
      <c r="AV103" s="30" t="e">
        <f t="shared" si="203"/>
        <v>#N/A</v>
      </c>
      <c r="AW103" s="31" t="e">
        <f>IF(OR(Hypothèses!$B$4=17,Hypothèses!$B$4=18,Hypothèses!$B$4=19,Hypothèses!$B$4=20),
IF($D103="Pressio.",
IF(OR($E103=3,$E103=1,$E103=4),AV103,AU103),
IF($D103="Pénétro.",
IF(OR($E103=3,$E103=1,$E103=4),AV103,AU103))),IF($D103="Pressio.",
IF($E103=3,AV103,AU103),
IF($D103="Pénétro.",
IF($E103=4,AV103,AU103))))</f>
        <v>#N/A</v>
      </c>
      <c r="AX103" s="31">
        <v>0</v>
      </c>
      <c r="AY103" s="102" t="e">
        <f>IF(NDC!$H$10="Oui",(VLOOKUP($B$3,'Coeff EC7'!$T$39:$X$59,2,0)*AW103+VLOOKUP($B$3,'Coeff EC7'!$T$65:$X$85,2,0)*Model0.1T!AX103)/1.5,PI()*AU$12*$Q103*($B103-$B102)*0.15/10+AY102)</f>
        <v>#N/A</v>
      </c>
      <c r="AZ103" s="102" t="e">
        <f>(VLOOKUP($B$3,'Coeff EC7'!$T$39:$X$59,3,0)*AW103+VLOOKUP($B$3,'Coeff EC7'!$T$65:$X$85,3,0)*Model0.1T!AX103)/1.1</f>
        <v>#N/A</v>
      </c>
      <c r="BA103" s="102" t="e">
        <f t="shared" si="173"/>
        <v>#N/A</v>
      </c>
      <c r="BB103" s="102" t="e">
        <f t="shared" si="174"/>
        <v>#N/A</v>
      </c>
      <c r="BC103" s="414" t="e">
        <f>IF(AND(AY103&gt;NDC!$C$63,AZ103&gt;NDC!$C$65,BA103&gt;NDC!$D$73,BB103&gt;NDC!$D$74,$B103&gt;NDC!$H$22-0.1+MIN(3*BC$12,1.5)),0,1)</f>
        <v>#N/A</v>
      </c>
      <c r="BD103" s="86" t="b">
        <f t="shared" si="142"/>
        <v>0</v>
      </c>
      <c r="BE103" s="86">
        <f t="shared" si="175"/>
        <v>0.5</v>
      </c>
      <c r="BF103" s="86">
        <f t="shared" si="143"/>
        <v>0.5</v>
      </c>
      <c r="BG103" s="30" t="e">
        <f t="shared" ca="1" si="176"/>
        <v>#DIV/0!</v>
      </c>
      <c r="BH103" s="85" t="e">
        <f ca="1">IF(AN103&lt;=Hypothèses!$V$7,Hypothèses!$W$7,IF(AN103&lt;=Hypothèses!$V$8,Hypothèses!$W$8,IF(AN103&lt;=Hypothèses!$V$9,Hypothèses!$W$9,IF(AN103&lt;=Hypothèses!$V$10,Hypothèses!$W$10,IF(AN103&lt;=Hypothèses!$V$11,Hypothèses!$W$11,IF(AN103&lt;=Hypothèses!$V$12,Hypothèses!$W$12,IF(AN103&lt;=Hypothèses!$V$13,Hypothèses!$W$13,IF(AN103&lt;=Hypothèses!$V$14,Hypothèses!$W$14,IF(AN103&lt;=Hypothèses!$V$15,Hypothèses!$W$15,IF(AN103&lt;=Hypothèses!$V$16,Hypothèses!$W$16,IF(AN103&lt;=Hypothèses!$V$17,Hypothèses!$W$17,IF(AN103&lt;=Hypothèses!$V$18,Hypothèses!$W$18,""))))))))))))</f>
        <v>#DIV/0!</v>
      </c>
      <c r="BI103" s="87" t="e">
        <f t="shared" ca="1" si="218"/>
        <v>#DIV/0!</v>
      </c>
      <c r="BJ103" s="88" t="e">
        <f ca="1">IF(AN103&lt;=Hypothèses!$V$7,Hypothèses!$X$7,IF(AN103&lt;=Hypothèses!$V$8,Hypothèses!$X$8,IF(AN103&lt;=Hypothèses!$V$9,Hypothèses!$X$9,IF(AN103&lt;=Hypothèses!$V$10,Hypothèses!$X$10,IF(AN103&lt;=Hypothèses!$V$11,Hypothèses!$X$11,IF(AN103&lt;=Hypothèses!$V$12,Hypothèses!$X$12,IF(AN103&lt;=Hypothèses!$V$13,Hypothèses!$X$13,IF(AN103&lt;=Hypothèses!$V$14,Hypothèses!$X$14,IF(AN103&lt;=Hypothèses!$V$15,Hypothèses!$X$15,IF(AN103&lt;=Hypothèses!$V$16,Hypothèses!$X$16,IF(AN103&lt;=Hypothèses!$U$17,Hypothèses!$W$17,IF(AN103&lt;=Hypothèses!$U$18,Hypothèses!$W$18,""))))))))))))</f>
        <v>#DIV/0!</v>
      </c>
      <c r="BK103" s="95" t="e">
        <f t="shared" ca="1" si="177"/>
        <v>#DIV/0!</v>
      </c>
      <c r="BL103" s="101">
        <f t="shared" si="225"/>
        <v>0</v>
      </c>
      <c r="BM103" s="91">
        <f t="shared" si="144"/>
        <v>0</v>
      </c>
      <c r="BN103" s="30" t="e">
        <f t="shared" si="204"/>
        <v>#N/A</v>
      </c>
      <c r="BO103" s="30" t="e">
        <f t="shared" si="205"/>
        <v>#N/A</v>
      </c>
      <c r="BP103" s="31" t="e">
        <f>IF(OR(Hypothèses!$B$4=17,Hypothèses!$B$4=18,Hypothèses!$B$4=19,Hypothèses!$B$4=20),
IF($D103="Pressio.",
IF(OR($E103=3,$E103=1,$E103=4),BO103,BN103),
IF($D103="Pénétro.",
IF(OR($E103=3,$E103=1,$E103=4),BO103,BN103))),IF($D103="Pressio.",
IF($E103=3,BO103,BN103),
IF($D103="Pénétro.",
IF($E103=4,BO103,BN103))))</f>
        <v>#N/A</v>
      </c>
      <c r="BQ103" s="31">
        <v>0</v>
      </c>
      <c r="BR103" s="102" t="e">
        <f>IF(NDC!$H$10="Oui",(VLOOKUP($B$3,'Coeff EC7'!$T$39:$X$59,2,0)*BP103+VLOOKUP($B$3,'Coeff EC7'!$T$65:$X$85,2,0)*Model0.1T!BQ103)/1.5,PI()*BN$12*$Q103*($B103-$B102)*0.15/10+BR102)</f>
        <v>#N/A</v>
      </c>
      <c r="BS103" s="102" t="e">
        <f>(VLOOKUP($B$3,'Coeff EC7'!$T$39:$X$59,3,0)*BP103+VLOOKUP($B$3,'Coeff EC7'!$T$65:$X$85,3,0)*Model0.1T!BQ103)/1.1</f>
        <v>#N/A</v>
      </c>
      <c r="BT103" s="102" t="e">
        <f t="shared" si="178"/>
        <v>#N/A</v>
      </c>
      <c r="BU103" s="102" t="e">
        <f t="shared" si="179"/>
        <v>#N/A</v>
      </c>
      <c r="BV103" s="414" t="e">
        <f>IF(AND(BR103&gt;NDC!$C$63,BS103&gt;NDC!$C$65,BT103&gt;NDC!$D$73,BU103&gt;NDC!$D$74,$B103&gt;NDC!$H$22-0.1+MIN(3*BV$12,1.5)),0,1)</f>
        <v>#N/A</v>
      </c>
      <c r="BW103" s="86" t="b">
        <f t="shared" si="145"/>
        <v>0</v>
      </c>
      <c r="BX103" s="86">
        <f t="shared" si="146"/>
        <v>0.5</v>
      </c>
      <c r="BY103" s="86">
        <f t="shared" si="147"/>
        <v>0.5</v>
      </c>
      <c r="BZ103" s="30" t="e">
        <f t="shared" ca="1" si="180"/>
        <v>#DIV/0!</v>
      </c>
      <c r="CA103" s="85" t="e">
        <f ca="1">IF(BG103&lt;=Hypothèses!$V$7,Hypothèses!$W$7,IF(BG103&lt;=Hypothèses!$V$8,Hypothèses!$W$8,IF(BG103&lt;=Hypothèses!$V$9,Hypothèses!$W$9,IF(BG103&lt;=Hypothèses!$V$10,Hypothèses!$W$10,IF(BG103&lt;=Hypothèses!$V$11,Hypothèses!$W$11,IF(BG103&lt;=Hypothèses!$V$12,Hypothèses!$W$12,IF(BG103&lt;=Hypothèses!$V$13,Hypothèses!$W$13,IF(BG103&lt;=Hypothèses!$V$14,Hypothèses!$W$14,IF(BG103&lt;=Hypothèses!$V$15,Hypothèses!$W$15,IF(BG103&lt;=Hypothèses!$V$16,Hypothèses!$W$16,IF(BG103&lt;=Hypothèses!$V$17,Hypothèses!$W$17,IF(BG103&lt;=Hypothèses!$V$18,Hypothèses!$W$18,""))))))))))))</f>
        <v>#DIV/0!</v>
      </c>
      <c r="CB103" s="87" t="e">
        <f t="shared" ca="1" si="219"/>
        <v>#DIV/0!</v>
      </c>
      <c r="CC103" s="88" t="e">
        <f ca="1">IF(BG103&lt;=Hypothèses!$V$7,Hypothèses!$X$7,IF(BG103&lt;=Hypothèses!$V$8,Hypothèses!$X$8,IF(BG103&lt;=Hypothèses!$V$9,Hypothèses!$X$9,IF(BG103&lt;=Hypothèses!$V$10,Hypothèses!$X$10,IF(BG103&lt;=Hypothèses!$V$11,Hypothèses!$X$11,IF(BG103&lt;=Hypothèses!$V$12,Hypothèses!$X$12,IF(BG103&lt;=Hypothèses!$V$13,Hypothèses!$X$13,IF(BG103&lt;=Hypothèses!$V$14,Hypothèses!$X$14,IF(BG103&lt;=Hypothèses!$V$15,Hypothèses!$X$15,IF(BG103&lt;=Hypothèses!$V$16,Hypothèses!$X$16,IF(BG103&lt;=Hypothèses!$U$17,Hypothèses!$W$17,IF(BG103&lt;=Hypothèses!$U$18,Hypothèses!$W$18,""))))))))))))</f>
        <v>#DIV/0!</v>
      </c>
      <c r="CD103" s="95" t="e">
        <f t="shared" ca="1" si="181"/>
        <v>#DIV/0!</v>
      </c>
      <c r="CE103" s="101">
        <f t="shared" si="226"/>
        <v>0</v>
      </c>
      <c r="CF103" s="91">
        <f t="shared" si="148"/>
        <v>0</v>
      </c>
      <c r="CG103" s="30" t="e">
        <f t="shared" si="206"/>
        <v>#N/A</v>
      </c>
      <c r="CH103" s="30" t="e">
        <f t="shared" si="207"/>
        <v>#N/A</v>
      </c>
      <c r="CI103" s="31" t="e">
        <f>IF(OR(Hypothèses!$B$4=17,Hypothèses!$B$4=18,Hypothèses!$B$4=19,Hypothèses!$B$4=20),
IF($D103="Pressio.",
IF(OR($E103=3,$E103=1,$E103=4),CH103,CG103),
IF($D103="Pénétro.",
IF(OR($E103=3,$E103=1,$E103=4),CH103,CG103))),IF($D103="Pressio.",
IF($E103=3,CH103,CG103),
IF($D103="Pénétro.",
IF($E103=4,CH103,CG103))))</f>
        <v>#N/A</v>
      </c>
      <c r="CJ103" s="31">
        <v>0</v>
      </c>
      <c r="CK103" s="102" t="e">
        <f>IF(NDC!$H$10="Oui",(VLOOKUP($B$3,'Coeff EC7'!$T$39:$X$59,2,0)*CI103+VLOOKUP($B$3,'Coeff EC7'!$T$65:$X$85,2,0)*Model0.1T!CJ103)/1.5,PI()*CG$12*$Q103*($B103-$B102)*0.15/10+CK102)</f>
        <v>#N/A</v>
      </c>
      <c r="CL103" s="102" t="e">
        <f>(VLOOKUP($B$3,'Coeff EC7'!$T$39:$X$59,3,0)*CI103+VLOOKUP($B$3,'Coeff EC7'!$T$65:$X$85,3,0)*Model0.1T!CJ103)/1.1</f>
        <v>#N/A</v>
      </c>
      <c r="CM103" s="102" t="e">
        <f t="shared" si="182"/>
        <v>#N/A</v>
      </c>
      <c r="CN103" s="102" t="e">
        <f t="shared" si="183"/>
        <v>#N/A</v>
      </c>
      <c r="CO103" s="414" t="e">
        <f>IF(AND(CK103&gt;NDC!$C$63,CL103&gt;NDC!$C$65,CM103&gt;NDC!$D$73,CN103&gt;NDC!$D$74,$B103&gt;NDC!$H$22-0.1+MIN(3*CO$12,1.5)),0,1)</f>
        <v>#N/A</v>
      </c>
      <c r="CP103" s="86" t="b">
        <f t="shared" si="149"/>
        <v>0</v>
      </c>
      <c r="CQ103" s="86">
        <f t="shared" si="150"/>
        <v>0.5</v>
      </c>
      <c r="CR103" s="86">
        <f t="shared" si="151"/>
        <v>0.5</v>
      </c>
      <c r="CS103" s="30" t="e">
        <f t="shared" ca="1" si="184"/>
        <v>#DIV/0!</v>
      </c>
      <c r="CT103" s="85" t="e">
        <f ca="1">IF(BZ103&lt;=Hypothèses!$V$7,Hypothèses!$W$7,IF(BZ103&lt;=Hypothèses!$V$8,Hypothèses!$W$8,IF(BZ103&lt;=Hypothèses!$V$9,Hypothèses!$W$9,IF(BZ103&lt;=Hypothèses!$V$10,Hypothèses!$W$10,IF(BZ103&lt;=Hypothèses!$V$11,Hypothèses!$W$11,IF(BZ103&lt;=Hypothèses!$V$12,Hypothèses!$W$12,IF(BZ103&lt;=Hypothèses!$V$13,Hypothèses!$W$13,IF(BZ103&lt;=Hypothèses!$V$14,Hypothèses!$W$14,IF(BZ103&lt;=Hypothèses!$V$15,Hypothèses!$W$15,IF(BZ103&lt;=Hypothèses!$V$16,Hypothèses!$W$16,IF(BZ103&lt;=Hypothèses!$V$17,Hypothèses!$W$17,IF(BZ103&lt;=Hypothèses!$V$18,Hypothèses!$W$18,""))))))))))))</f>
        <v>#DIV/0!</v>
      </c>
      <c r="CU103" s="87" t="e">
        <f t="shared" ca="1" si="220"/>
        <v>#DIV/0!</v>
      </c>
      <c r="CV103" s="88" t="e">
        <f ca="1">IF(BZ103&lt;=Hypothèses!$V$7,Hypothèses!$X$7,IF(BZ103&lt;=Hypothèses!$V$8,Hypothèses!$X$8,IF(BZ103&lt;=Hypothèses!$V$9,Hypothèses!$X$9,IF(BZ103&lt;=Hypothèses!$V$10,Hypothèses!$X$10,IF(BZ103&lt;=Hypothèses!$V$11,Hypothèses!$X$11,IF(BZ103&lt;=Hypothèses!$V$12,Hypothèses!$X$12,IF(BZ103&lt;=Hypothèses!$V$13,Hypothèses!$X$13,IF(BZ103&lt;=Hypothèses!$V$14,Hypothèses!$X$14,IF(BZ103&lt;=Hypothèses!$V$15,Hypothèses!$X$15,IF(BZ103&lt;=Hypothèses!$V$16,Hypothèses!$X$16,IF(BZ103&lt;=Hypothèses!$U$17,Hypothèses!$W$17,IF(BZ103&lt;=Hypothèses!$U$18,Hypothèses!$W$18,""))))))))))))</f>
        <v>#DIV/0!</v>
      </c>
      <c r="CW103" s="95" t="e">
        <f t="shared" ca="1" si="185"/>
        <v>#DIV/0!</v>
      </c>
      <c r="CX103" s="101">
        <f t="shared" si="227"/>
        <v>0</v>
      </c>
      <c r="CY103" s="91">
        <f t="shared" si="152"/>
        <v>0</v>
      </c>
      <c r="CZ103" s="30" t="e">
        <f t="shared" si="208"/>
        <v>#N/A</v>
      </c>
      <c r="DA103" s="30" t="e">
        <f t="shared" si="209"/>
        <v>#N/A</v>
      </c>
      <c r="DB103" s="31" t="e">
        <f>IF(OR(Hypothèses!$B$4=17,Hypothèses!$B$4=18,Hypothèses!$B$4=19,Hypothèses!$B$4=20),
IF($D103="Pressio.",
IF(OR($E103=3,$E103=1,$E103=4),DA103,CZ103),
IF($D103="Pénétro.",
IF(OR($E103=3,$E103=1,$E103=4),DA103,CZ103))),IF($D103="Pressio.",
IF($E103=3,DA103,CZ103),
IF($D103="Pénétro.",
IF($E103=4,DA103,CZ103))))</f>
        <v>#N/A</v>
      </c>
      <c r="DC103" s="31">
        <v>0</v>
      </c>
      <c r="DD103" s="102" t="e">
        <f>IF(NDC!$H$10="Oui",(VLOOKUP($B$3,'Coeff EC7'!$T$39:$X$59,2,0)*DB103+VLOOKUP($B$3,'Coeff EC7'!$T$65:$X$85,2,0)*Model0.1T!DC103)/1.5,PI()*CZ$12*$Q103*($B103-$B102)*0.15/10+DD102)</f>
        <v>#N/A</v>
      </c>
      <c r="DE103" s="102" t="e">
        <f>(VLOOKUP($B$3,'Coeff EC7'!$T$39:$X$59,3,0)*DB103+VLOOKUP($B$3,'Coeff EC7'!$T$65:$X$85,3,0)*Model0.1T!DC103)/1.1</f>
        <v>#N/A</v>
      </c>
      <c r="DF103" s="102" t="e">
        <f t="shared" si="186"/>
        <v>#N/A</v>
      </c>
      <c r="DG103" s="102" t="e">
        <f t="shared" si="187"/>
        <v>#N/A</v>
      </c>
      <c r="DH103" s="414" t="e">
        <f>IF(AND(DD103&gt;NDC!$C$63,DE103&gt;NDC!$C$65,DF103&gt;NDC!$D$73,DG103&gt;NDC!$D$74,$B103&gt;NDC!$H$22-0.1+MIN(3*DH$12,1.5)),0,1)</f>
        <v>#N/A</v>
      </c>
      <c r="DI103" s="86" t="b">
        <f t="shared" si="153"/>
        <v>0</v>
      </c>
      <c r="DJ103" s="86">
        <f t="shared" si="154"/>
        <v>0.5</v>
      </c>
      <c r="DK103" s="86">
        <f t="shared" si="155"/>
        <v>0.5</v>
      </c>
      <c r="DL103" s="30" t="e">
        <f t="shared" ca="1" si="188"/>
        <v>#DIV/0!</v>
      </c>
      <c r="DM103" s="85" t="e">
        <f ca="1">IF(CS103&lt;=Hypothèses!$V$7,Hypothèses!$W$7,IF(CS103&lt;=Hypothèses!$V$8,Hypothèses!$W$8,IF(CS103&lt;=Hypothèses!$V$9,Hypothèses!$W$9,IF(CS103&lt;=Hypothèses!$V$10,Hypothèses!$W$10,IF(CS103&lt;=Hypothèses!$V$11,Hypothèses!$W$11,IF(CS103&lt;=Hypothèses!$V$12,Hypothèses!$W$12,IF(CS103&lt;=Hypothèses!$V$13,Hypothèses!$W$13,IF(CS103&lt;=Hypothèses!$V$14,Hypothèses!$W$14,IF(CS103&lt;=Hypothèses!$V$15,Hypothèses!$W$15,IF(CS103&lt;=Hypothèses!$V$16,Hypothèses!$W$16,IF(CS103&lt;=Hypothèses!$V$17,Hypothèses!$W$17,IF(CS103&lt;=Hypothèses!$V$18,Hypothèses!$W$18,""))))))))))))</f>
        <v>#DIV/0!</v>
      </c>
      <c r="DN103" s="87" t="e">
        <f t="shared" ca="1" si="221"/>
        <v>#DIV/0!</v>
      </c>
      <c r="DO103" s="88" t="e">
        <f ca="1">IF(CS103&lt;=Hypothèses!$V$7,Hypothèses!$X$7,IF(CS103&lt;=Hypothèses!$V$8,Hypothèses!$X$8,IF(CS103&lt;=Hypothèses!$V$9,Hypothèses!$X$9,IF(CS103&lt;=Hypothèses!$V$10,Hypothèses!$X$10,IF(CS103&lt;=Hypothèses!$V$11,Hypothèses!$X$11,IF(CS103&lt;=Hypothèses!$V$12,Hypothèses!$X$12,IF(CS103&lt;=Hypothèses!$V$13,Hypothèses!$X$13,IF(CS103&lt;=Hypothèses!$V$14,Hypothèses!$X$14,IF(CS103&lt;=Hypothèses!$V$15,Hypothèses!$X$15,IF(CS103&lt;=Hypothèses!$V$16,Hypothèses!$X$16,IF(CS103&lt;=Hypothèses!$U$17,Hypothèses!$W$17,IF(CS103&lt;=Hypothèses!$U$18,Hypothèses!$W$18,""))))))))))))</f>
        <v>#DIV/0!</v>
      </c>
      <c r="DP103" s="95" t="e">
        <f t="shared" ca="1" si="189"/>
        <v>#DIV/0!</v>
      </c>
      <c r="DQ103" s="101">
        <f t="shared" si="228"/>
        <v>0</v>
      </c>
      <c r="DR103" s="91">
        <f t="shared" si="156"/>
        <v>0</v>
      </c>
      <c r="DS103" s="30" t="e">
        <f t="shared" si="210"/>
        <v>#N/A</v>
      </c>
      <c r="DT103" s="30" t="e">
        <f t="shared" si="211"/>
        <v>#N/A</v>
      </c>
      <c r="DU103" s="31" t="e">
        <f>IF(OR(Hypothèses!$B$4=17,Hypothèses!$B$4=18,Hypothèses!$B$4=19,Hypothèses!$B$4=20),
IF($D103="Pressio.",
IF(OR($E103=3,$E103=1,$E103=4),DT103,DS103),
IF($D103="Pénétro.",
IF(OR($E103=3,$E103=1,$E103=4),DT103,DS103))),IF($D103="Pressio.",
IF($E103=3,DT103,DS103),
IF($D103="Pénétro.",
IF($E103=4,DT103,DS103))))</f>
        <v>#N/A</v>
      </c>
      <c r="DV103" s="31">
        <v>0</v>
      </c>
      <c r="DW103" s="102" t="e">
        <f>IF(NDC!$H$10="Oui",(VLOOKUP($B$3,'Coeff EC7'!$T$39:$X$59,2,0)*DU103+VLOOKUP($B$3,'Coeff EC7'!$T$65:$X$85,2,0)*Model0.1T!DV103)/1.5,PI()*DS$12*$Q103*($B103-$B102)*0.15/10+DW102)</f>
        <v>#N/A</v>
      </c>
      <c r="DX103" s="102" t="e">
        <f>(VLOOKUP($B$3,'Coeff EC7'!$T$39:$X$59,3,0)*DU103+VLOOKUP($B$3,'Coeff EC7'!$T$65:$X$85,3,0)*Model0.1T!DV103)/1.1</f>
        <v>#N/A</v>
      </c>
      <c r="DY103" s="102" t="e">
        <f t="shared" si="190"/>
        <v>#N/A</v>
      </c>
      <c r="DZ103" s="102" t="e">
        <f t="shared" si="191"/>
        <v>#N/A</v>
      </c>
      <c r="EA103" s="414" t="e">
        <f>IF(AND(DW103&gt;NDC!$C$63,DX103&gt;NDC!$C$65,DY103&gt;NDC!$D$73,DZ103&gt;NDC!$D$74,$B103&gt;NDC!$H$22-0.1+MIN(3*EA$12,1.5)),0,1)</f>
        <v>#N/A</v>
      </c>
      <c r="EB103" s="86" t="b">
        <f t="shared" si="157"/>
        <v>0</v>
      </c>
      <c r="EC103" s="418">
        <f t="shared" si="158"/>
        <v>0.51</v>
      </c>
      <c r="ED103" s="86">
        <f t="shared" si="159"/>
        <v>0.51</v>
      </c>
      <c r="EE103" s="30" t="e">
        <f t="shared" ca="1" si="192"/>
        <v>#DIV/0!</v>
      </c>
      <c r="EF103" s="85" t="e">
        <f ca="1">IF(DL103&lt;=Hypothèses!$V$7,Hypothèses!$W$7,IF(DL103&lt;=Hypothèses!$V$8,Hypothèses!$W$8,IF(DL103&lt;=Hypothèses!$V$9,Hypothèses!$W$9,IF(DL103&lt;=Hypothèses!$V$10,Hypothèses!$W$10,IF(DL103&lt;=Hypothèses!$V$11,Hypothèses!$W$11,IF(DL103&lt;=Hypothèses!$V$12,Hypothèses!$W$12,IF(DL103&lt;=Hypothèses!$V$13,Hypothèses!$W$13,IF(DL103&lt;=Hypothèses!$V$14,Hypothèses!$W$14,IF(DL103&lt;=Hypothèses!$V$15,Hypothèses!$W$15,IF(DL103&lt;=Hypothèses!$V$16,Hypothèses!$W$16,IF(DL103&lt;=Hypothèses!$V$17,Hypothèses!$W$17,IF(DL103&lt;=Hypothèses!$V$18,Hypothèses!$W$18,""))))))))))))</f>
        <v>#DIV/0!</v>
      </c>
      <c r="EG103" s="87" t="e">
        <f t="shared" ca="1" si="222"/>
        <v>#DIV/0!</v>
      </c>
      <c r="EH103" s="88" t="e">
        <f ca="1">IF(DL103&lt;=Hypothèses!$V$7,Hypothèses!$X$7,IF(DL103&lt;=Hypothèses!$V$8,Hypothèses!$X$8,IF(DL103&lt;=Hypothèses!$V$9,Hypothèses!$X$9,IF(DL103&lt;=Hypothèses!$V$10,Hypothèses!$X$10,IF(DL103&lt;=Hypothèses!$V$11,Hypothèses!$X$11,IF(DL103&lt;=Hypothèses!$V$12,Hypothèses!$X$12,IF(DL103&lt;=Hypothèses!$V$13,Hypothèses!$X$13,IF(DL103&lt;=Hypothèses!$V$14,Hypothèses!$X$14,IF(DL103&lt;=Hypothèses!$V$15,Hypothèses!$X$15,IF(DL103&lt;=Hypothèses!$V$16,Hypothèses!$X$16,IF(DL103&lt;=Hypothèses!$U$17,Hypothèses!$W$17,IF(DL103&lt;=Hypothèses!$U$18,Hypothèses!$W$18,""))))))))))))</f>
        <v>#DIV/0!</v>
      </c>
      <c r="EI103" s="95" t="e">
        <f t="shared" ca="1" si="193"/>
        <v>#DIV/0!</v>
      </c>
      <c r="EJ103" s="101">
        <f t="shared" si="229"/>
        <v>0</v>
      </c>
      <c r="EK103" s="91">
        <f t="shared" si="160"/>
        <v>0</v>
      </c>
      <c r="EL103" s="30" t="e">
        <f t="shared" si="212"/>
        <v>#N/A</v>
      </c>
      <c r="EM103" s="30" t="e">
        <f t="shared" si="213"/>
        <v>#N/A</v>
      </c>
      <c r="EN103" s="31" t="e">
        <f>IF(OR(Hypothèses!$B$4=17,Hypothèses!$B$4=18,Hypothèses!$B$4=19,Hypothèses!$B$4=20),
IF($D103="Pressio.",
IF(OR($E103=3,$E103=1,$E103=4),EM103,EL103),
IF($D103="Pénétro.",
IF(OR($E103=3,$E103=1,$E103=4),EM103,EL103))),IF($D103="Pressio.",
IF($E103=3,EM103,EL103),
IF($D103="Pénétro.",
IF($E103=4,EM103,EL103))))</f>
        <v>#N/A</v>
      </c>
      <c r="EO103" s="31">
        <v>0</v>
      </c>
      <c r="EP103" s="102" t="e">
        <f>IF(NDC!$H$10="Oui",(VLOOKUP($B$3,'Coeff EC7'!$T$39:$X$59,2,0)*EN103+VLOOKUP($B$3,'Coeff EC7'!$T$65:$X$85,2,0)*Model0.1T!EO103)/1.5,PI()*EL$12*$Q103*($B103-$B102)*0.15/10+EP102)</f>
        <v>#N/A</v>
      </c>
      <c r="EQ103" s="102" t="e">
        <f>(VLOOKUP($B$3,'Coeff EC7'!$T$39:$X$59,3,0)*EN103+VLOOKUP($B$3,'Coeff EC7'!$T$65:$X$85,3,0)*Model0.1T!EO103)/1.1</f>
        <v>#N/A</v>
      </c>
      <c r="ER103" s="102" t="e">
        <f t="shared" si="194"/>
        <v>#N/A</v>
      </c>
      <c r="ES103" s="102" t="e">
        <f t="shared" si="195"/>
        <v>#N/A</v>
      </c>
      <c r="ET103" s="414" t="e">
        <f>IF(AND(EP103&gt;NDC!$C$63,EQ103&gt;NDC!$C$65,ER103&gt;NDC!$D$73,ES103&gt;NDC!$D$74,$B103&gt;NDC!$H$22-0.1+MIN(3*ET$12,1.5)),0,1)</f>
        <v>#N/A</v>
      </c>
      <c r="EU103" s="86" t="b">
        <f t="shared" si="161"/>
        <v>0</v>
      </c>
      <c r="EV103" s="86">
        <f t="shared" si="162"/>
        <v>0.61</v>
      </c>
      <c r="EW103" s="86">
        <f t="shared" si="163"/>
        <v>0.61</v>
      </c>
      <c r="EX103" s="30" t="e">
        <f t="shared" ca="1" si="196"/>
        <v>#DIV/0!</v>
      </c>
      <c r="EY103" s="85" t="e">
        <f ca="1">IF(EE103&lt;=Hypothèses!$V$7,Hypothèses!$W$7,IF(EE103&lt;=Hypothèses!$V$8,Hypothèses!$W$8,IF(EE103&lt;=Hypothèses!$V$9,Hypothèses!$W$9,IF(EE103&lt;=Hypothèses!$V$10,Hypothèses!$W$10,IF(EE103&lt;=Hypothèses!$V$11,Hypothèses!$W$11,IF(EE103&lt;=Hypothèses!$V$12,Hypothèses!$W$12,IF(EE103&lt;=Hypothèses!$V$13,Hypothèses!$W$13,IF(EE103&lt;=Hypothèses!$V$14,Hypothèses!$W$14,IF(EE103&lt;=Hypothèses!$V$15,Hypothèses!$W$15,IF(EE103&lt;=Hypothèses!$V$16,Hypothèses!$W$16,IF(EE103&lt;=Hypothèses!$V$17,Hypothèses!$W$17,IF(EE103&lt;=Hypothèses!$V$18,Hypothèses!$W$18,""))))))))))))</f>
        <v>#DIV/0!</v>
      </c>
      <c r="EZ103" s="87" t="e">
        <f t="shared" ca="1" si="223"/>
        <v>#DIV/0!</v>
      </c>
      <c r="FA103" s="88" t="e">
        <f ca="1">IF(EE103&lt;=Hypothèses!$V$7,Hypothèses!$X$7,IF(EE103&lt;=Hypothèses!$V$8,Hypothèses!$X$8,IF(EE103&lt;=Hypothèses!$V$9,Hypothèses!$X$9,IF(EE103&lt;=Hypothèses!$V$10,Hypothèses!$X$10,IF(EE103&lt;=Hypothèses!$V$11,Hypothèses!$X$11,IF(EE103&lt;=Hypothèses!$V$12,Hypothèses!$X$12,IF(EE103&lt;=Hypothèses!$V$13,Hypothèses!$X$13,IF(EE103&lt;=Hypothèses!$V$14,Hypothèses!$X$14,IF(EE103&lt;=Hypothèses!$V$15,Hypothèses!$X$15,IF(EE103&lt;=Hypothèses!$V$16,Hypothèses!$X$16,IF(EE103&lt;=Hypothèses!$U$17,Hypothèses!$W$17,IF(EE103&lt;=Hypothèses!$U$18,Hypothèses!$W$18,""))))))))))))</f>
        <v>#DIV/0!</v>
      </c>
      <c r="FB103" s="95" t="e">
        <f t="shared" ca="1" si="197"/>
        <v>#DIV/0!</v>
      </c>
      <c r="FC103" s="101">
        <f t="shared" si="230"/>
        <v>0</v>
      </c>
      <c r="FD103" s="91">
        <f t="shared" si="164"/>
        <v>0</v>
      </c>
      <c r="FE103" s="30" t="e">
        <f t="shared" si="214"/>
        <v>#N/A</v>
      </c>
      <c r="FF103" s="30" t="e">
        <f t="shared" si="215"/>
        <v>#N/A</v>
      </c>
      <c r="FG103" s="31" t="e">
        <f>IF(OR(Hypothèses!$B$4=17,Hypothèses!$B$4=18,Hypothèses!$B$4=19,Hypothèses!$B$4=20),
IF($D103="Pressio.",
IF(OR($E103=3,$E103=1,$E103=4),FF103,FE103),
IF($D103="Pénétro.",
IF(OR($E103=3,$E103=1,$E103=4),FF103,FE103))),IF($D103="Pressio.",
IF($E103=3,FF103,FE103),
IF($D103="Pénétro.",
IF($E103=4,FF103,FE103))))</f>
        <v>#N/A</v>
      </c>
      <c r="FH103" s="31">
        <v>0</v>
      </c>
      <c r="FI103" s="102" t="e">
        <f>IF(NDC!$H$10="Oui",(VLOOKUP($B$3,'Coeff EC7'!$T$39:$X$59,2,0)*FG103+VLOOKUP($B$3,'Coeff EC7'!$T$65:$X$85,2,0)*Model0.1T!FH103)/1.5,PI()*FE$12*$Q103*($B103-$B102)*0.15/10+FI102)</f>
        <v>#N/A</v>
      </c>
      <c r="FJ103" s="102" t="e">
        <f>(VLOOKUP($B$3,'Coeff EC7'!$T$39:$X$59,3,0)*FG103+VLOOKUP($B$3,'Coeff EC7'!$T$65:$X$85,3,0)*Model0.1T!FH103)/1.1</f>
        <v>#N/A</v>
      </c>
      <c r="FK103" s="102" t="e">
        <f t="shared" si="198"/>
        <v>#N/A</v>
      </c>
      <c r="FL103" s="102" t="e">
        <f t="shared" si="199"/>
        <v>#N/A</v>
      </c>
      <c r="FM103" s="414" t="e">
        <f>IF(AND(FI103&gt;NDC!$C$63,FJ103&gt;NDC!$C$65,FK103&gt;NDC!$D$73,FL103&gt;NDC!$D$74,$B103&gt;NDC!$H$22-0.1+MIN(3*FM$12,1.5)),0,1)</f>
        <v>#N/A</v>
      </c>
    </row>
    <row r="104" spans="1:169">
      <c r="A104" s="96">
        <f t="shared" si="165"/>
        <v>90.900000000000517</v>
      </c>
      <c r="B104" s="97">
        <v>9.1</v>
      </c>
      <c r="C104" s="81">
        <f>IF(B104&lt;=Hypothèses!$C$7,Hypothèses!$A$7,IF(B104&lt;=Hypothèses!$C$8,Hypothèses!$A$8,IF(B104&lt;=Hypothèses!$C$9,Hypothèses!$A$9,IF(B104&lt;=Hypothèses!$C$10,Hypothèses!$A$10,IF(B104&lt;=Hypothèses!$C$11,Hypothèses!$A$11,IF(B104&lt;=Hypothèses!$C$12,Hypothèses!$A$12,IF(B104&lt;=Hypothèses!$C$13,Hypothèses!$A$13,IF(B104&lt;=Hypothèses!$C$14,Hypothèses!$A$14,IF(B104&lt;=Hypothèses!$C$15,Hypothèses!$A$15,IF(B104&lt;=Hypothèses!$C$16,Hypothèses!$A$16,IF(B104&lt;=Hypothèses!$C$17,Hypothèses!$A$17,IF(B104&lt;=Hypothèses!$C$18,Hypothèses!$A$18,C103))))))))))))</f>
        <v>11</v>
      </c>
      <c r="D104" s="82" t="str">
        <f>IF(B104&lt;=Hypothèses!$C$7,Hypothèses!$R$7,IF(B104&lt;=Hypothèses!$C$8,Hypothèses!$R$8,IF(B104&lt;=Hypothèses!$C$9,Hypothèses!$R$9,IF(B104&lt;=Hypothèses!$C$10,Hypothèses!$R$10,IF(B104&lt;=Hypothèses!$C$11,Hypothèses!$R$11,IF(B104&lt;=Hypothèses!$C$12,Hypothèses!$R$12,IF(B104&lt;=Hypothèses!$C$13,Hypothèses!$R$13,IF(B104&lt;=Hypothèses!$C$14,Hypothèses!$R$14,IF(B104&lt;=Hypothèses!$C$15,Hypothèses!$R$15,IF(B104&lt;=Hypothèses!$C$16,Hypothèses!$R$16,IF(B104&lt;=Hypothèses!$C$17,Hypothèses!$R$17,IF(B104&lt;=Hypothèses!$C$18,Hypothèses!$R$18,D103))))))))))))</f>
        <v>Pressio.</v>
      </c>
      <c r="E104" s="82" t="e">
        <f>IF(B104&lt;=Hypothèses!$C$7,Hypothèses!$G$7,IF(B104&lt;=Hypothèses!$C$8,Hypothèses!$G$8,IF(B104&lt;=Hypothèses!$C$9,Hypothèses!$G$9,IF(B104&lt;=Hypothèses!$C$10,Hypothèses!$G$10,IF(B104&lt;=Hypothèses!$C$11,Hypothèses!$G$11,IF(B104&lt;=Hypothèses!$C$12,Hypothèses!$G$12,IF(B104&lt;=Hypothèses!$C$13,Hypothèses!$G$13,IF(B104&lt;=Hypothèses!$C$14,Hypothèses!$G$14,IF(B104&lt;=Hypothèses!$C$15,Hypothèses!$G$15,IF(B104&lt;=Hypothèses!$C$16,Hypothèses!$G$16,IF(B104&lt;=Hypothèses!$C$17,Hypothèses!$G$17,IF(B104&lt;=Hypothèses!$C$18,Hypothèses!$G$18,E103))))))))))))</f>
        <v>#N/A</v>
      </c>
      <c r="F104" s="82" t="str">
        <f>IF(B104&lt;=Hypothèses!$C$7,Hypothèses!$F$7,IF(B104&lt;=Hypothèses!$C$8,Hypothèses!$F$8,IF(B104&lt;=Hypothèses!$C$9,Hypothèses!$F$9,IF(B104&lt;=Hypothèses!$C$10,Hypothèses!$F$10,IF(B104&lt;=Hypothèses!$C$11,Hypothèses!$F$11,IF(B104&lt;=Hypothèses!$C$12,Hypothèses!$F$12,IF(B104&lt;=Hypothèses!$C$13,Hypothèses!$F$13,IF(B104&lt;=Hypothèses!$C$14,Hypothèses!$F$14,IF(B104&lt;=Hypothèses!$C$15,Hypothèses!$F$15,IF(B104&lt;=Hypothèses!$C$16,Hypothèses!$F$16,IF(B104&lt;=Hypothèses!$C$17,Hypothèses!$F$17,IF(B104&lt;=Hypothèses!$C$18,Hypothèses!$F$18,F103))))))))))))</f>
        <v/>
      </c>
      <c r="G104" s="91">
        <f t="array" ref="G104">INDEX('Coeff EC7'!$U$7:$X$27,
MATCH(Model0.1T!$B$3,'Coeff EC7'!$T$7:$T$27,0),
MATCH(Model0.1T!$D104&amp;Model0.1T!$B$4,
'Coeff EC7'!$U$6:$X$6&amp;
'Coeff EC7'!$U$5:$X$5,0))</f>
        <v>1.4</v>
      </c>
      <c r="H104" s="91">
        <f t="array" ref="H104">INDEX('Coeff EC7'!$Y$7:$AB$27,
MATCH(Model0.1T!$B$3,'Coeff EC7'!$T$7:$T$27,0),
MATCH(Model0.1T!$D104&amp;Model0.1T!$B$4,
'Coeff EC7'!$Y$6:$AB$6&amp;
'Coeff EC7'!$Y$5:$AB$5,0))</f>
        <v>1.7</v>
      </c>
      <c r="I104" s="83">
        <v>0</v>
      </c>
      <c r="J104" s="91" t="e">
        <f t="array" ref="J104">INDEX('Coeff EC7'!$D$33:$Q$33,1,MATCH(D104&amp;E104,'Coeff EC7'!$D$31:$Q$31&amp;'Coeff EC7'!$D$32:$Q$32,0))</f>
        <v>#N/A</v>
      </c>
      <c r="K104" s="91" t="e">
        <f t="array" ref="K104">INDEX('Coeff EC7'!$D$34:$Q$34,1,MATCH(D104&amp;E104,'Coeff EC7'!$D$31:$Q$31&amp;'Coeff EC7'!$D$32:$Q$32,0))</f>
        <v>#N/A</v>
      </c>
      <c r="L104" s="91" t="e">
        <f t="array" ref="L104">INDEX('Coeff EC7'!$D$35:$Q$35,1,MATCH(D104&amp;E104,'Coeff EC7'!$D$31:$Q$31&amp;'Coeff EC7'!$D$32:$Q$32,0))</f>
        <v>#N/A</v>
      </c>
      <c r="M104" s="98" t="e">
        <f t="shared" si="131"/>
        <v>#N/A</v>
      </c>
      <c r="N104" s="99" t="e">
        <f t="array" ref="N104">INDEX('Coeff EC7'!$D$7:$Q$27,MATCH($B$3,'Coeff EC7'!$C$7:$C$27,0),MATCH(D104&amp;E104,'Coeff EC7'!$D$5:$Q$5&amp;'Coeff EC7'!$D$6:$Q$6,0))</f>
        <v>#N/A</v>
      </c>
      <c r="O104" s="99" t="e">
        <f t="array" ref="O104">INDEX('Coeff EC7'!$D$41:$Q$61,MATCH($B$3,'Coeff EC7'!$C$41:$C$61,0),MATCH(D104&amp;E104,'Coeff EC7'!$D$39:$Q$39&amp;'Coeff EC7'!$D$40:$Q$40,0))</f>
        <v>#N/A</v>
      </c>
      <c r="P104" s="30" t="e">
        <f t="shared" si="166"/>
        <v>#N/A</v>
      </c>
      <c r="Q104" s="100" t="e">
        <f t="shared" si="133"/>
        <v>#N/A</v>
      </c>
      <c r="R104" s="86" t="b">
        <f t="shared" si="134"/>
        <v>0</v>
      </c>
      <c r="S104" s="86">
        <f t="shared" si="132"/>
        <v>0.5</v>
      </c>
      <c r="T104" s="86">
        <f t="shared" si="135"/>
        <v>0.5</v>
      </c>
      <c r="U104" s="30" t="e">
        <f t="shared" ca="1" si="167"/>
        <v>#DIV/0!</v>
      </c>
      <c r="V104" s="85" t="str">
        <f>IF(B104&lt;=Hypothèses!$V$7,Hypothèses!$W$7,IF(B104&lt;=Hypothèses!$V$8,Hypothèses!$W$8,IF(B104&lt;=Hypothèses!$V$9,Hypothèses!$W$9,IF(B104&lt;=Hypothèses!$V$10,Hypothèses!$W$10,IF(B104&lt;=Hypothèses!$V$11,Hypothèses!$W$11,IF(B104&lt;=Hypothèses!$V$12,Hypothèses!$W$12,IF(B104&lt;=Hypothèses!$V$13,Hypothèses!$W$13,IF(B104&lt;=Hypothèses!$V$14,Hypothèses!$W$14,IF(B104&lt;=Hypothèses!$V$15,Hypothèses!$W$15,IF(B104&lt;=Hypothèses!$V$16,Hypothèses!$W$16,IF(B104&lt;=Hypothèses!$V$17,Hypothèses!$W$17,IF(B104&lt;=Hypothèses!$V$18,Hypothèses!$W$18,""))))))))))))</f>
        <v/>
      </c>
      <c r="W104" s="87" t="e">
        <f t="shared" ca="1" si="216"/>
        <v>#DIV/0!</v>
      </c>
      <c r="X104" s="88" t="str">
        <f>IF(B104&lt;=Hypothèses!$V$7,Hypothèses!$X$7,IF(B104&lt;=Hypothèses!$V$8,Hypothèses!$X$8,IF(B104&lt;=Hypothèses!$V$9,Hypothèses!$X$9,IF(B104&lt;=Hypothèses!$V$10,Hypothèses!$X$10,IF(B104&lt;=Hypothèses!$V$11,Hypothèses!$X$11,IF(B104&lt;=Hypothèses!$V$12,Hypothèses!$X$12,IF(B104&lt;=Hypothèses!$V$13,Hypothèses!$X$13,IF(B104&lt;=Hypothèses!$V$14,Hypothèses!$X$14,IF(B104&lt;=Hypothèses!$V$15,Hypothèses!$X$15,IF(B104&lt;=Hypothèses!$V$16,Hypothèses!$X$16,IF(B104&lt;=Hypothèses!$U$17,Hypothèses!$W$17,IF(B104&lt;=Hypothèses!$U$18,Hypothèses!$W$18,""))))))))))))</f>
        <v/>
      </c>
      <c r="Y104" s="95" t="e">
        <f t="shared" ca="1" si="136"/>
        <v>#DIV/0!</v>
      </c>
      <c r="Z104" s="101">
        <f t="shared" si="137"/>
        <v>0</v>
      </c>
      <c r="AA104" s="91">
        <f t="shared" si="138"/>
        <v>0</v>
      </c>
      <c r="AB104" s="30" t="e">
        <f t="shared" si="200"/>
        <v>#N/A</v>
      </c>
      <c r="AC104" s="30" t="e">
        <f t="shared" si="201"/>
        <v>#N/A</v>
      </c>
      <c r="AD104" s="31" t="e">
        <f>IF(OR(Hypothèses!$B$4=17,Hypothèses!$B$4=18,Hypothèses!$B$4=19,Hypothèses!$B$4=20),
IF($D104="Pressio.",
IF(OR($E104=3,$E104=1,$E104=4),AC104,AB104),
IF($D104="Pénétro.",
IF(OR($E104=3,$E104=1,$E104=4),AC104,AB104))),IF($D104="Pressio.",
IF($E104=3,AC104,AB104),
IF($D104="Pénétro.",
IF($E104=4,AC104,AB104))))</f>
        <v>#N/A</v>
      </c>
      <c r="AE104" s="31">
        <v>0</v>
      </c>
      <c r="AF104" s="102" t="e">
        <f>IF(NDC!$H$10="Oui",(VLOOKUP($B$3,'Coeff EC7'!$T$39:$X$59,2,0)*AD104+VLOOKUP($B$3,'Coeff EC7'!$T$65:$X$85,2,0)*Model0.1T!AE104)/1.5,PI()*AB$12*$Q104*($B104-$B103)*0.15/10+AF103)</f>
        <v>#N/A</v>
      </c>
      <c r="AG104" s="102" t="e">
        <f>(VLOOKUP($B$3,'Coeff EC7'!$T$39:$X$59,3,0)*AD104+VLOOKUP($B$3,'Coeff EC7'!$T$65:$X$85,3,0)*Model0.1T!AE104)/1.1</f>
        <v>#N/A</v>
      </c>
      <c r="AH104" s="102" t="e">
        <f t="shared" si="168"/>
        <v>#N/A</v>
      </c>
      <c r="AI104" s="102" t="e">
        <f t="shared" si="169"/>
        <v>#N/A</v>
      </c>
      <c r="AJ104" s="414" t="e">
        <f>IF(AND(AF104&gt;NDC!$C$63,AG104&gt;NDC!$C$65,AH104&gt;NDC!$D$73,AI104&gt;NDC!$D$74,$B104&gt;NDC!$H$22-0.1+MIN(3*$AJ$12,1.5)),0,1)</f>
        <v>#N/A</v>
      </c>
      <c r="AK104" s="86" t="b">
        <f t="shared" si="139"/>
        <v>0</v>
      </c>
      <c r="AL104" s="86">
        <f t="shared" si="170"/>
        <v>0.5</v>
      </c>
      <c r="AM104" s="86">
        <f t="shared" si="140"/>
        <v>0.5</v>
      </c>
      <c r="AN104" s="30" t="e">
        <f t="shared" ca="1" si="171"/>
        <v>#DIV/0!</v>
      </c>
      <c r="AO104" s="85" t="e">
        <f ca="1">IF(U104&lt;=Hypothèses!$V$7,Hypothèses!$W$7,IF(U104&lt;=Hypothèses!$V$8,Hypothèses!$W$8,IF(U104&lt;=Hypothèses!$V$9,Hypothèses!$W$9,IF(U104&lt;=Hypothèses!$V$10,Hypothèses!$W$10,IF(U104&lt;=Hypothèses!$V$11,Hypothèses!$W$11,IF(U104&lt;=Hypothèses!$V$12,Hypothèses!$W$12,IF(U104&lt;=Hypothèses!$V$13,Hypothèses!$W$13,IF(U104&lt;=Hypothèses!$V$14,Hypothèses!$W$14,IF(U104&lt;=Hypothèses!$V$15,Hypothèses!$W$15,IF(U104&lt;=Hypothèses!$V$16,Hypothèses!$W$16,IF(U104&lt;=Hypothèses!$V$17,Hypothèses!$W$17,IF(U104&lt;=Hypothèses!$V$18,Hypothèses!$W$18,""))))))))))))</f>
        <v>#DIV/0!</v>
      </c>
      <c r="AP104" s="87" t="e">
        <f t="shared" ca="1" si="217"/>
        <v>#DIV/0!</v>
      </c>
      <c r="AQ104" s="88" t="e">
        <f ca="1">IF(U104&lt;=Hypothèses!$V$7,Hypothèses!$X$7,IF(U104&lt;=Hypothèses!$V$8,Hypothèses!$X$8,IF(U104&lt;=Hypothèses!$V$9,Hypothèses!$X$9,IF(U104&lt;=Hypothèses!$V$10,Hypothèses!$X$10,IF(U104&lt;=Hypothèses!$V$11,Hypothèses!$X$11,IF(U104&lt;=Hypothèses!$V$12,Hypothèses!$X$12,IF(U104&lt;=Hypothèses!$V$13,Hypothèses!$X$13,IF(U104&lt;=Hypothèses!$V$14,Hypothèses!$X$14,IF(U104&lt;=Hypothèses!$V$15,Hypothèses!$X$15,IF(U104&lt;=Hypothèses!$V$16,Hypothèses!$X$16,IF(U104&lt;=Hypothèses!$U$17,Hypothèses!$W$17,IF(U104&lt;=Hypothèses!$U$18,Hypothèses!$W$18,""))))))))))))</f>
        <v>#DIV/0!</v>
      </c>
      <c r="AR104" s="95" t="e">
        <f t="shared" ca="1" si="172"/>
        <v>#DIV/0!</v>
      </c>
      <c r="AS104" s="101">
        <f t="shared" si="224"/>
        <v>0</v>
      </c>
      <c r="AT104" s="91">
        <f t="shared" si="141"/>
        <v>0</v>
      </c>
      <c r="AU104" s="30" t="e">
        <f t="shared" si="202"/>
        <v>#N/A</v>
      </c>
      <c r="AV104" s="30" t="e">
        <f t="shared" si="203"/>
        <v>#N/A</v>
      </c>
      <c r="AW104" s="31" t="e">
        <f>IF(OR(Hypothèses!$B$4=17,Hypothèses!$B$4=18,Hypothèses!$B$4=19,Hypothèses!$B$4=20),
IF($D104="Pressio.",
IF(OR($E104=3,$E104=1,$E104=4),AV104,AU104),
IF($D104="Pénétro.",
IF(OR($E104=3,$E104=1,$E104=4),AV104,AU104))),IF($D104="Pressio.",
IF($E104=3,AV104,AU104),
IF($D104="Pénétro.",
IF($E104=4,AV104,AU104))))</f>
        <v>#N/A</v>
      </c>
      <c r="AX104" s="31">
        <v>0</v>
      </c>
      <c r="AY104" s="102" t="e">
        <f>IF(NDC!$H$10="Oui",(VLOOKUP($B$3,'Coeff EC7'!$T$39:$X$59,2,0)*AW104+VLOOKUP($B$3,'Coeff EC7'!$T$65:$X$85,2,0)*Model0.1T!AX104)/1.5,PI()*AU$12*$Q104*($B104-$B103)*0.15/10+AY103)</f>
        <v>#N/A</v>
      </c>
      <c r="AZ104" s="102" t="e">
        <f>(VLOOKUP($B$3,'Coeff EC7'!$T$39:$X$59,3,0)*AW104+VLOOKUP($B$3,'Coeff EC7'!$T$65:$X$85,3,0)*Model0.1T!AX104)/1.1</f>
        <v>#N/A</v>
      </c>
      <c r="BA104" s="102" t="e">
        <f t="shared" si="173"/>
        <v>#N/A</v>
      </c>
      <c r="BB104" s="102" t="e">
        <f t="shared" si="174"/>
        <v>#N/A</v>
      </c>
      <c r="BC104" s="414" t="e">
        <f>IF(AND(AY104&gt;NDC!$C$63,AZ104&gt;NDC!$C$65,BA104&gt;NDC!$D$73,BB104&gt;NDC!$D$74,$B104&gt;NDC!$H$22-0.1+MIN(3*BC$12,1.5)),0,1)</f>
        <v>#N/A</v>
      </c>
      <c r="BD104" s="86" t="b">
        <f t="shared" si="142"/>
        <v>0</v>
      </c>
      <c r="BE104" s="86">
        <f t="shared" si="175"/>
        <v>0.5</v>
      </c>
      <c r="BF104" s="86">
        <f t="shared" si="143"/>
        <v>0.5</v>
      </c>
      <c r="BG104" s="30" t="e">
        <f t="shared" ca="1" si="176"/>
        <v>#DIV/0!</v>
      </c>
      <c r="BH104" s="85" t="e">
        <f ca="1">IF(AN104&lt;=Hypothèses!$V$7,Hypothèses!$W$7,IF(AN104&lt;=Hypothèses!$V$8,Hypothèses!$W$8,IF(AN104&lt;=Hypothèses!$V$9,Hypothèses!$W$9,IF(AN104&lt;=Hypothèses!$V$10,Hypothèses!$W$10,IF(AN104&lt;=Hypothèses!$V$11,Hypothèses!$W$11,IF(AN104&lt;=Hypothèses!$V$12,Hypothèses!$W$12,IF(AN104&lt;=Hypothèses!$V$13,Hypothèses!$W$13,IF(AN104&lt;=Hypothèses!$V$14,Hypothèses!$W$14,IF(AN104&lt;=Hypothèses!$V$15,Hypothèses!$W$15,IF(AN104&lt;=Hypothèses!$V$16,Hypothèses!$W$16,IF(AN104&lt;=Hypothèses!$V$17,Hypothèses!$W$17,IF(AN104&lt;=Hypothèses!$V$18,Hypothèses!$W$18,""))))))))))))</f>
        <v>#DIV/0!</v>
      </c>
      <c r="BI104" s="87" t="e">
        <f t="shared" ca="1" si="218"/>
        <v>#DIV/0!</v>
      </c>
      <c r="BJ104" s="88" t="e">
        <f ca="1">IF(AN104&lt;=Hypothèses!$V$7,Hypothèses!$X$7,IF(AN104&lt;=Hypothèses!$V$8,Hypothèses!$X$8,IF(AN104&lt;=Hypothèses!$V$9,Hypothèses!$X$9,IF(AN104&lt;=Hypothèses!$V$10,Hypothèses!$X$10,IF(AN104&lt;=Hypothèses!$V$11,Hypothèses!$X$11,IF(AN104&lt;=Hypothèses!$V$12,Hypothèses!$X$12,IF(AN104&lt;=Hypothèses!$V$13,Hypothèses!$X$13,IF(AN104&lt;=Hypothèses!$V$14,Hypothèses!$X$14,IF(AN104&lt;=Hypothèses!$V$15,Hypothèses!$X$15,IF(AN104&lt;=Hypothèses!$V$16,Hypothèses!$X$16,IF(AN104&lt;=Hypothèses!$U$17,Hypothèses!$W$17,IF(AN104&lt;=Hypothèses!$U$18,Hypothèses!$W$18,""))))))))))))</f>
        <v>#DIV/0!</v>
      </c>
      <c r="BK104" s="95" t="e">
        <f t="shared" ca="1" si="177"/>
        <v>#DIV/0!</v>
      </c>
      <c r="BL104" s="101">
        <f t="shared" si="225"/>
        <v>0</v>
      </c>
      <c r="BM104" s="91">
        <f t="shared" si="144"/>
        <v>0</v>
      </c>
      <c r="BN104" s="30" t="e">
        <f t="shared" si="204"/>
        <v>#N/A</v>
      </c>
      <c r="BO104" s="30" t="e">
        <f t="shared" si="205"/>
        <v>#N/A</v>
      </c>
      <c r="BP104" s="31" t="e">
        <f>IF(OR(Hypothèses!$B$4=17,Hypothèses!$B$4=18,Hypothèses!$B$4=19,Hypothèses!$B$4=20),
IF($D104="Pressio.",
IF(OR($E104=3,$E104=1,$E104=4),BO104,BN104),
IF($D104="Pénétro.",
IF(OR($E104=3,$E104=1,$E104=4),BO104,BN104))),IF($D104="Pressio.",
IF($E104=3,BO104,BN104),
IF($D104="Pénétro.",
IF($E104=4,BO104,BN104))))</f>
        <v>#N/A</v>
      </c>
      <c r="BQ104" s="31">
        <v>0</v>
      </c>
      <c r="BR104" s="102" t="e">
        <f>IF(NDC!$H$10="Oui",(VLOOKUP($B$3,'Coeff EC7'!$T$39:$X$59,2,0)*BP104+VLOOKUP($B$3,'Coeff EC7'!$T$65:$X$85,2,0)*Model0.1T!BQ104)/1.5,PI()*BN$12*$Q104*($B104-$B103)*0.15/10+BR103)</f>
        <v>#N/A</v>
      </c>
      <c r="BS104" s="102" t="e">
        <f>(VLOOKUP($B$3,'Coeff EC7'!$T$39:$X$59,3,0)*BP104+VLOOKUP($B$3,'Coeff EC7'!$T$65:$X$85,3,0)*Model0.1T!BQ104)/1.1</f>
        <v>#N/A</v>
      </c>
      <c r="BT104" s="102" t="e">
        <f t="shared" si="178"/>
        <v>#N/A</v>
      </c>
      <c r="BU104" s="102" t="e">
        <f t="shared" si="179"/>
        <v>#N/A</v>
      </c>
      <c r="BV104" s="414" t="e">
        <f>IF(AND(BR104&gt;NDC!$C$63,BS104&gt;NDC!$C$65,BT104&gt;NDC!$D$73,BU104&gt;NDC!$D$74,$B104&gt;NDC!$H$22-0.1+MIN(3*BV$12,1.5)),0,1)</f>
        <v>#N/A</v>
      </c>
      <c r="BW104" s="86" t="b">
        <f t="shared" si="145"/>
        <v>0</v>
      </c>
      <c r="BX104" s="86">
        <f t="shared" si="146"/>
        <v>0.5</v>
      </c>
      <c r="BY104" s="86">
        <f t="shared" si="147"/>
        <v>0.5</v>
      </c>
      <c r="BZ104" s="30" t="e">
        <f t="shared" ca="1" si="180"/>
        <v>#DIV/0!</v>
      </c>
      <c r="CA104" s="85" t="e">
        <f ca="1">IF(BG104&lt;=Hypothèses!$V$7,Hypothèses!$W$7,IF(BG104&lt;=Hypothèses!$V$8,Hypothèses!$W$8,IF(BG104&lt;=Hypothèses!$V$9,Hypothèses!$W$9,IF(BG104&lt;=Hypothèses!$V$10,Hypothèses!$W$10,IF(BG104&lt;=Hypothèses!$V$11,Hypothèses!$W$11,IF(BG104&lt;=Hypothèses!$V$12,Hypothèses!$W$12,IF(BG104&lt;=Hypothèses!$V$13,Hypothèses!$W$13,IF(BG104&lt;=Hypothèses!$V$14,Hypothèses!$W$14,IF(BG104&lt;=Hypothèses!$V$15,Hypothèses!$W$15,IF(BG104&lt;=Hypothèses!$V$16,Hypothèses!$W$16,IF(BG104&lt;=Hypothèses!$V$17,Hypothèses!$W$17,IF(BG104&lt;=Hypothèses!$V$18,Hypothèses!$W$18,""))))))))))))</f>
        <v>#DIV/0!</v>
      </c>
      <c r="CB104" s="87" t="e">
        <f t="shared" ca="1" si="219"/>
        <v>#DIV/0!</v>
      </c>
      <c r="CC104" s="88" t="e">
        <f ca="1">IF(BG104&lt;=Hypothèses!$V$7,Hypothèses!$X$7,IF(BG104&lt;=Hypothèses!$V$8,Hypothèses!$X$8,IF(BG104&lt;=Hypothèses!$V$9,Hypothèses!$X$9,IF(BG104&lt;=Hypothèses!$V$10,Hypothèses!$X$10,IF(BG104&lt;=Hypothèses!$V$11,Hypothèses!$X$11,IF(BG104&lt;=Hypothèses!$V$12,Hypothèses!$X$12,IF(BG104&lt;=Hypothèses!$V$13,Hypothèses!$X$13,IF(BG104&lt;=Hypothèses!$V$14,Hypothèses!$X$14,IF(BG104&lt;=Hypothèses!$V$15,Hypothèses!$X$15,IF(BG104&lt;=Hypothèses!$V$16,Hypothèses!$X$16,IF(BG104&lt;=Hypothèses!$U$17,Hypothèses!$W$17,IF(BG104&lt;=Hypothèses!$U$18,Hypothèses!$W$18,""))))))))))))</f>
        <v>#DIV/0!</v>
      </c>
      <c r="CD104" s="95" t="e">
        <f t="shared" ca="1" si="181"/>
        <v>#DIV/0!</v>
      </c>
      <c r="CE104" s="101">
        <f t="shared" si="226"/>
        <v>0</v>
      </c>
      <c r="CF104" s="91">
        <f t="shared" si="148"/>
        <v>0</v>
      </c>
      <c r="CG104" s="30" t="e">
        <f t="shared" si="206"/>
        <v>#N/A</v>
      </c>
      <c r="CH104" s="30" t="e">
        <f t="shared" si="207"/>
        <v>#N/A</v>
      </c>
      <c r="CI104" s="31" t="e">
        <f>IF(OR(Hypothèses!$B$4=17,Hypothèses!$B$4=18,Hypothèses!$B$4=19,Hypothèses!$B$4=20),
IF($D104="Pressio.",
IF(OR($E104=3,$E104=1,$E104=4),CH104,CG104),
IF($D104="Pénétro.",
IF(OR($E104=3,$E104=1,$E104=4),CH104,CG104))),IF($D104="Pressio.",
IF($E104=3,CH104,CG104),
IF($D104="Pénétro.",
IF($E104=4,CH104,CG104))))</f>
        <v>#N/A</v>
      </c>
      <c r="CJ104" s="31">
        <v>0</v>
      </c>
      <c r="CK104" s="102" t="e">
        <f>IF(NDC!$H$10="Oui",(VLOOKUP($B$3,'Coeff EC7'!$T$39:$X$59,2,0)*CI104+VLOOKUP($B$3,'Coeff EC7'!$T$65:$X$85,2,0)*Model0.1T!CJ104)/1.5,PI()*CG$12*$Q104*($B104-$B103)*0.15/10+CK103)</f>
        <v>#N/A</v>
      </c>
      <c r="CL104" s="102" t="e">
        <f>(VLOOKUP($B$3,'Coeff EC7'!$T$39:$X$59,3,0)*CI104+VLOOKUP($B$3,'Coeff EC7'!$T$65:$X$85,3,0)*Model0.1T!CJ104)/1.1</f>
        <v>#N/A</v>
      </c>
      <c r="CM104" s="102" t="e">
        <f t="shared" si="182"/>
        <v>#N/A</v>
      </c>
      <c r="CN104" s="102" t="e">
        <f t="shared" si="183"/>
        <v>#N/A</v>
      </c>
      <c r="CO104" s="414" t="e">
        <f>IF(AND(CK104&gt;NDC!$C$63,CL104&gt;NDC!$C$65,CM104&gt;NDC!$D$73,CN104&gt;NDC!$D$74,$B104&gt;NDC!$H$22-0.1+MIN(3*CO$12,1.5)),0,1)</f>
        <v>#N/A</v>
      </c>
      <c r="CP104" s="86" t="b">
        <f t="shared" si="149"/>
        <v>0</v>
      </c>
      <c r="CQ104" s="86">
        <f t="shared" si="150"/>
        <v>0.5</v>
      </c>
      <c r="CR104" s="86">
        <f t="shared" si="151"/>
        <v>0.5</v>
      </c>
      <c r="CS104" s="30" t="e">
        <f t="shared" ca="1" si="184"/>
        <v>#DIV/0!</v>
      </c>
      <c r="CT104" s="85" t="e">
        <f ca="1">IF(BZ104&lt;=Hypothèses!$V$7,Hypothèses!$W$7,IF(BZ104&lt;=Hypothèses!$V$8,Hypothèses!$W$8,IF(BZ104&lt;=Hypothèses!$V$9,Hypothèses!$W$9,IF(BZ104&lt;=Hypothèses!$V$10,Hypothèses!$W$10,IF(BZ104&lt;=Hypothèses!$V$11,Hypothèses!$W$11,IF(BZ104&lt;=Hypothèses!$V$12,Hypothèses!$W$12,IF(BZ104&lt;=Hypothèses!$V$13,Hypothèses!$W$13,IF(BZ104&lt;=Hypothèses!$V$14,Hypothèses!$W$14,IF(BZ104&lt;=Hypothèses!$V$15,Hypothèses!$W$15,IF(BZ104&lt;=Hypothèses!$V$16,Hypothèses!$W$16,IF(BZ104&lt;=Hypothèses!$V$17,Hypothèses!$W$17,IF(BZ104&lt;=Hypothèses!$V$18,Hypothèses!$W$18,""))))))))))))</f>
        <v>#DIV/0!</v>
      </c>
      <c r="CU104" s="87" t="e">
        <f t="shared" ca="1" si="220"/>
        <v>#DIV/0!</v>
      </c>
      <c r="CV104" s="88" t="e">
        <f ca="1">IF(BZ104&lt;=Hypothèses!$V$7,Hypothèses!$X$7,IF(BZ104&lt;=Hypothèses!$V$8,Hypothèses!$X$8,IF(BZ104&lt;=Hypothèses!$V$9,Hypothèses!$X$9,IF(BZ104&lt;=Hypothèses!$V$10,Hypothèses!$X$10,IF(BZ104&lt;=Hypothèses!$V$11,Hypothèses!$X$11,IF(BZ104&lt;=Hypothèses!$V$12,Hypothèses!$X$12,IF(BZ104&lt;=Hypothèses!$V$13,Hypothèses!$X$13,IF(BZ104&lt;=Hypothèses!$V$14,Hypothèses!$X$14,IF(BZ104&lt;=Hypothèses!$V$15,Hypothèses!$X$15,IF(BZ104&lt;=Hypothèses!$V$16,Hypothèses!$X$16,IF(BZ104&lt;=Hypothèses!$U$17,Hypothèses!$W$17,IF(BZ104&lt;=Hypothèses!$U$18,Hypothèses!$W$18,""))))))))))))</f>
        <v>#DIV/0!</v>
      </c>
      <c r="CW104" s="95" t="e">
        <f t="shared" ca="1" si="185"/>
        <v>#DIV/0!</v>
      </c>
      <c r="CX104" s="101">
        <f t="shared" si="227"/>
        <v>0</v>
      </c>
      <c r="CY104" s="91">
        <f t="shared" si="152"/>
        <v>0</v>
      </c>
      <c r="CZ104" s="30" t="e">
        <f t="shared" si="208"/>
        <v>#N/A</v>
      </c>
      <c r="DA104" s="30" t="e">
        <f t="shared" si="209"/>
        <v>#N/A</v>
      </c>
      <c r="DB104" s="31" t="e">
        <f>IF(OR(Hypothèses!$B$4=17,Hypothèses!$B$4=18,Hypothèses!$B$4=19,Hypothèses!$B$4=20),
IF($D104="Pressio.",
IF(OR($E104=3,$E104=1,$E104=4),DA104,CZ104),
IF($D104="Pénétro.",
IF(OR($E104=3,$E104=1,$E104=4),DA104,CZ104))),IF($D104="Pressio.",
IF($E104=3,DA104,CZ104),
IF($D104="Pénétro.",
IF($E104=4,DA104,CZ104))))</f>
        <v>#N/A</v>
      </c>
      <c r="DC104" s="31">
        <v>0</v>
      </c>
      <c r="DD104" s="102" t="e">
        <f>IF(NDC!$H$10="Oui",(VLOOKUP($B$3,'Coeff EC7'!$T$39:$X$59,2,0)*DB104+VLOOKUP($B$3,'Coeff EC7'!$T$65:$X$85,2,0)*Model0.1T!DC104)/1.5,PI()*CZ$12*$Q104*($B104-$B103)*0.15/10+DD103)</f>
        <v>#N/A</v>
      </c>
      <c r="DE104" s="102" t="e">
        <f>(VLOOKUP($B$3,'Coeff EC7'!$T$39:$X$59,3,0)*DB104+VLOOKUP($B$3,'Coeff EC7'!$T$65:$X$85,3,0)*Model0.1T!DC104)/1.1</f>
        <v>#N/A</v>
      </c>
      <c r="DF104" s="102" t="e">
        <f t="shared" si="186"/>
        <v>#N/A</v>
      </c>
      <c r="DG104" s="102" t="e">
        <f t="shared" si="187"/>
        <v>#N/A</v>
      </c>
      <c r="DH104" s="414" t="e">
        <f>IF(AND(DD104&gt;NDC!$C$63,DE104&gt;NDC!$C$65,DF104&gt;NDC!$D$73,DG104&gt;NDC!$D$74,$B104&gt;NDC!$H$22-0.1+MIN(3*DH$12,1.5)),0,1)</f>
        <v>#N/A</v>
      </c>
      <c r="DI104" s="86" t="b">
        <f t="shared" si="153"/>
        <v>0</v>
      </c>
      <c r="DJ104" s="86">
        <f t="shared" si="154"/>
        <v>0.5</v>
      </c>
      <c r="DK104" s="86">
        <f t="shared" si="155"/>
        <v>0.5</v>
      </c>
      <c r="DL104" s="30" t="e">
        <f t="shared" ca="1" si="188"/>
        <v>#DIV/0!</v>
      </c>
      <c r="DM104" s="85" t="e">
        <f ca="1">IF(CS104&lt;=Hypothèses!$V$7,Hypothèses!$W$7,IF(CS104&lt;=Hypothèses!$V$8,Hypothèses!$W$8,IF(CS104&lt;=Hypothèses!$V$9,Hypothèses!$W$9,IF(CS104&lt;=Hypothèses!$V$10,Hypothèses!$W$10,IF(CS104&lt;=Hypothèses!$V$11,Hypothèses!$W$11,IF(CS104&lt;=Hypothèses!$V$12,Hypothèses!$W$12,IF(CS104&lt;=Hypothèses!$V$13,Hypothèses!$W$13,IF(CS104&lt;=Hypothèses!$V$14,Hypothèses!$W$14,IF(CS104&lt;=Hypothèses!$V$15,Hypothèses!$W$15,IF(CS104&lt;=Hypothèses!$V$16,Hypothèses!$W$16,IF(CS104&lt;=Hypothèses!$V$17,Hypothèses!$W$17,IF(CS104&lt;=Hypothèses!$V$18,Hypothèses!$W$18,""))))))))))))</f>
        <v>#DIV/0!</v>
      </c>
      <c r="DN104" s="87" t="e">
        <f t="shared" ca="1" si="221"/>
        <v>#DIV/0!</v>
      </c>
      <c r="DO104" s="88" t="e">
        <f ca="1">IF(CS104&lt;=Hypothèses!$V$7,Hypothèses!$X$7,IF(CS104&lt;=Hypothèses!$V$8,Hypothèses!$X$8,IF(CS104&lt;=Hypothèses!$V$9,Hypothèses!$X$9,IF(CS104&lt;=Hypothèses!$V$10,Hypothèses!$X$10,IF(CS104&lt;=Hypothèses!$V$11,Hypothèses!$X$11,IF(CS104&lt;=Hypothèses!$V$12,Hypothèses!$X$12,IF(CS104&lt;=Hypothèses!$V$13,Hypothèses!$X$13,IF(CS104&lt;=Hypothèses!$V$14,Hypothèses!$X$14,IF(CS104&lt;=Hypothèses!$V$15,Hypothèses!$X$15,IF(CS104&lt;=Hypothèses!$V$16,Hypothèses!$X$16,IF(CS104&lt;=Hypothèses!$U$17,Hypothèses!$W$17,IF(CS104&lt;=Hypothèses!$U$18,Hypothèses!$W$18,""))))))))))))</f>
        <v>#DIV/0!</v>
      </c>
      <c r="DP104" s="95" t="e">
        <f t="shared" ca="1" si="189"/>
        <v>#DIV/0!</v>
      </c>
      <c r="DQ104" s="101">
        <f t="shared" si="228"/>
        <v>0</v>
      </c>
      <c r="DR104" s="91">
        <f t="shared" si="156"/>
        <v>0</v>
      </c>
      <c r="DS104" s="30" t="e">
        <f t="shared" si="210"/>
        <v>#N/A</v>
      </c>
      <c r="DT104" s="30" t="e">
        <f t="shared" si="211"/>
        <v>#N/A</v>
      </c>
      <c r="DU104" s="31" t="e">
        <f>IF(OR(Hypothèses!$B$4=17,Hypothèses!$B$4=18,Hypothèses!$B$4=19,Hypothèses!$B$4=20),
IF($D104="Pressio.",
IF(OR($E104=3,$E104=1,$E104=4),DT104,DS104),
IF($D104="Pénétro.",
IF(OR($E104=3,$E104=1,$E104=4),DT104,DS104))),IF($D104="Pressio.",
IF($E104=3,DT104,DS104),
IF($D104="Pénétro.",
IF($E104=4,DT104,DS104))))</f>
        <v>#N/A</v>
      </c>
      <c r="DV104" s="31">
        <v>0</v>
      </c>
      <c r="DW104" s="102" t="e">
        <f>IF(NDC!$H$10="Oui",(VLOOKUP($B$3,'Coeff EC7'!$T$39:$X$59,2,0)*DU104+VLOOKUP($B$3,'Coeff EC7'!$T$65:$X$85,2,0)*Model0.1T!DV104)/1.5,PI()*DS$12*$Q104*($B104-$B103)*0.15/10+DW103)</f>
        <v>#N/A</v>
      </c>
      <c r="DX104" s="102" t="e">
        <f>(VLOOKUP($B$3,'Coeff EC7'!$T$39:$X$59,3,0)*DU104+VLOOKUP($B$3,'Coeff EC7'!$T$65:$X$85,3,0)*Model0.1T!DV104)/1.1</f>
        <v>#N/A</v>
      </c>
      <c r="DY104" s="102" t="e">
        <f t="shared" si="190"/>
        <v>#N/A</v>
      </c>
      <c r="DZ104" s="102" t="e">
        <f t="shared" si="191"/>
        <v>#N/A</v>
      </c>
      <c r="EA104" s="414" t="e">
        <f>IF(AND(DW104&gt;NDC!$C$63,DX104&gt;NDC!$C$65,DY104&gt;NDC!$D$73,DZ104&gt;NDC!$D$74,$B104&gt;NDC!$H$22-0.1+MIN(3*EA$12,1.5)),0,1)</f>
        <v>#N/A</v>
      </c>
      <c r="EB104" s="86" t="b">
        <f t="shared" si="157"/>
        <v>0</v>
      </c>
      <c r="EC104" s="418">
        <f t="shared" si="158"/>
        <v>0.51</v>
      </c>
      <c r="ED104" s="86">
        <f t="shared" si="159"/>
        <v>0.51</v>
      </c>
      <c r="EE104" s="30" t="e">
        <f t="shared" ca="1" si="192"/>
        <v>#DIV/0!</v>
      </c>
      <c r="EF104" s="85" t="e">
        <f ca="1">IF(DL104&lt;=Hypothèses!$V$7,Hypothèses!$W$7,IF(DL104&lt;=Hypothèses!$V$8,Hypothèses!$W$8,IF(DL104&lt;=Hypothèses!$V$9,Hypothèses!$W$9,IF(DL104&lt;=Hypothèses!$V$10,Hypothèses!$W$10,IF(DL104&lt;=Hypothèses!$V$11,Hypothèses!$W$11,IF(DL104&lt;=Hypothèses!$V$12,Hypothèses!$W$12,IF(DL104&lt;=Hypothèses!$V$13,Hypothèses!$W$13,IF(DL104&lt;=Hypothèses!$V$14,Hypothèses!$W$14,IF(DL104&lt;=Hypothèses!$V$15,Hypothèses!$W$15,IF(DL104&lt;=Hypothèses!$V$16,Hypothèses!$W$16,IF(DL104&lt;=Hypothèses!$V$17,Hypothèses!$W$17,IF(DL104&lt;=Hypothèses!$V$18,Hypothèses!$W$18,""))))))))))))</f>
        <v>#DIV/0!</v>
      </c>
      <c r="EG104" s="87" t="e">
        <f t="shared" ca="1" si="222"/>
        <v>#DIV/0!</v>
      </c>
      <c r="EH104" s="88" t="e">
        <f ca="1">IF(DL104&lt;=Hypothèses!$V$7,Hypothèses!$X$7,IF(DL104&lt;=Hypothèses!$V$8,Hypothèses!$X$8,IF(DL104&lt;=Hypothèses!$V$9,Hypothèses!$X$9,IF(DL104&lt;=Hypothèses!$V$10,Hypothèses!$X$10,IF(DL104&lt;=Hypothèses!$V$11,Hypothèses!$X$11,IF(DL104&lt;=Hypothèses!$V$12,Hypothèses!$X$12,IF(DL104&lt;=Hypothèses!$V$13,Hypothèses!$X$13,IF(DL104&lt;=Hypothèses!$V$14,Hypothèses!$X$14,IF(DL104&lt;=Hypothèses!$V$15,Hypothèses!$X$15,IF(DL104&lt;=Hypothèses!$V$16,Hypothèses!$X$16,IF(DL104&lt;=Hypothèses!$U$17,Hypothèses!$W$17,IF(DL104&lt;=Hypothèses!$U$18,Hypothèses!$W$18,""))))))))))))</f>
        <v>#DIV/0!</v>
      </c>
      <c r="EI104" s="95" t="e">
        <f t="shared" ca="1" si="193"/>
        <v>#DIV/0!</v>
      </c>
      <c r="EJ104" s="101">
        <f t="shared" si="229"/>
        <v>0</v>
      </c>
      <c r="EK104" s="91">
        <f t="shared" si="160"/>
        <v>0</v>
      </c>
      <c r="EL104" s="30" t="e">
        <f t="shared" si="212"/>
        <v>#N/A</v>
      </c>
      <c r="EM104" s="30" t="e">
        <f t="shared" si="213"/>
        <v>#N/A</v>
      </c>
      <c r="EN104" s="31" t="e">
        <f>IF(OR(Hypothèses!$B$4=17,Hypothèses!$B$4=18,Hypothèses!$B$4=19,Hypothèses!$B$4=20),
IF($D104="Pressio.",
IF(OR($E104=3,$E104=1,$E104=4),EM104,EL104),
IF($D104="Pénétro.",
IF(OR($E104=3,$E104=1,$E104=4),EM104,EL104))),IF($D104="Pressio.",
IF($E104=3,EM104,EL104),
IF($D104="Pénétro.",
IF($E104=4,EM104,EL104))))</f>
        <v>#N/A</v>
      </c>
      <c r="EO104" s="31">
        <v>0</v>
      </c>
      <c r="EP104" s="102" t="e">
        <f>IF(NDC!$H$10="Oui",(VLOOKUP($B$3,'Coeff EC7'!$T$39:$X$59,2,0)*EN104+VLOOKUP($B$3,'Coeff EC7'!$T$65:$X$85,2,0)*Model0.1T!EO104)/1.5,PI()*EL$12*$Q104*($B104-$B103)*0.15/10+EP103)</f>
        <v>#N/A</v>
      </c>
      <c r="EQ104" s="102" t="e">
        <f>(VLOOKUP($B$3,'Coeff EC7'!$T$39:$X$59,3,0)*EN104+VLOOKUP($B$3,'Coeff EC7'!$T$65:$X$85,3,0)*Model0.1T!EO104)/1.1</f>
        <v>#N/A</v>
      </c>
      <c r="ER104" s="102" t="e">
        <f t="shared" si="194"/>
        <v>#N/A</v>
      </c>
      <c r="ES104" s="102" t="e">
        <f t="shared" si="195"/>
        <v>#N/A</v>
      </c>
      <c r="ET104" s="414" t="e">
        <f>IF(AND(EP104&gt;NDC!$C$63,EQ104&gt;NDC!$C$65,ER104&gt;NDC!$D$73,ES104&gt;NDC!$D$74,$B104&gt;NDC!$H$22-0.1+MIN(3*ET$12,1.5)),0,1)</f>
        <v>#N/A</v>
      </c>
      <c r="EU104" s="86" t="b">
        <f t="shared" si="161"/>
        <v>0</v>
      </c>
      <c r="EV104" s="86">
        <f t="shared" si="162"/>
        <v>0.61</v>
      </c>
      <c r="EW104" s="86">
        <f t="shared" si="163"/>
        <v>0.61</v>
      </c>
      <c r="EX104" s="30" t="e">
        <f t="shared" ca="1" si="196"/>
        <v>#DIV/0!</v>
      </c>
      <c r="EY104" s="85" t="e">
        <f ca="1">IF(EE104&lt;=Hypothèses!$V$7,Hypothèses!$W$7,IF(EE104&lt;=Hypothèses!$V$8,Hypothèses!$W$8,IF(EE104&lt;=Hypothèses!$V$9,Hypothèses!$W$9,IF(EE104&lt;=Hypothèses!$V$10,Hypothèses!$W$10,IF(EE104&lt;=Hypothèses!$V$11,Hypothèses!$W$11,IF(EE104&lt;=Hypothèses!$V$12,Hypothèses!$W$12,IF(EE104&lt;=Hypothèses!$V$13,Hypothèses!$W$13,IF(EE104&lt;=Hypothèses!$V$14,Hypothèses!$W$14,IF(EE104&lt;=Hypothèses!$V$15,Hypothèses!$W$15,IF(EE104&lt;=Hypothèses!$V$16,Hypothèses!$W$16,IF(EE104&lt;=Hypothèses!$V$17,Hypothèses!$W$17,IF(EE104&lt;=Hypothèses!$V$18,Hypothèses!$W$18,""))))))))))))</f>
        <v>#DIV/0!</v>
      </c>
      <c r="EZ104" s="87" t="e">
        <f t="shared" ca="1" si="223"/>
        <v>#DIV/0!</v>
      </c>
      <c r="FA104" s="88" t="e">
        <f ca="1">IF(EE104&lt;=Hypothèses!$V$7,Hypothèses!$X$7,IF(EE104&lt;=Hypothèses!$V$8,Hypothèses!$X$8,IF(EE104&lt;=Hypothèses!$V$9,Hypothèses!$X$9,IF(EE104&lt;=Hypothèses!$V$10,Hypothèses!$X$10,IF(EE104&lt;=Hypothèses!$V$11,Hypothèses!$X$11,IF(EE104&lt;=Hypothèses!$V$12,Hypothèses!$X$12,IF(EE104&lt;=Hypothèses!$V$13,Hypothèses!$X$13,IF(EE104&lt;=Hypothèses!$V$14,Hypothèses!$X$14,IF(EE104&lt;=Hypothèses!$V$15,Hypothèses!$X$15,IF(EE104&lt;=Hypothèses!$V$16,Hypothèses!$X$16,IF(EE104&lt;=Hypothèses!$U$17,Hypothèses!$W$17,IF(EE104&lt;=Hypothèses!$U$18,Hypothèses!$W$18,""))))))))))))</f>
        <v>#DIV/0!</v>
      </c>
      <c r="FB104" s="95" t="e">
        <f t="shared" ca="1" si="197"/>
        <v>#DIV/0!</v>
      </c>
      <c r="FC104" s="101">
        <f t="shared" si="230"/>
        <v>0</v>
      </c>
      <c r="FD104" s="91">
        <f t="shared" si="164"/>
        <v>0</v>
      </c>
      <c r="FE104" s="30" t="e">
        <f t="shared" si="214"/>
        <v>#N/A</v>
      </c>
      <c r="FF104" s="30" t="e">
        <f t="shared" si="215"/>
        <v>#N/A</v>
      </c>
      <c r="FG104" s="31" t="e">
        <f>IF(OR(Hypothèses!$B$4=17,Hypothèses!$B$4=18,Hypothèses!$B$4=19,Hypothèses!$B$4=20),
IF($D104="Pressio.",
IF(OR($E104=3,$E104=1,$E104=4),FF104,FE104),
IF($D104="Pénétro.",
IF(OR($E104=3,$E104=1,$E104=4),FF104,FE104))),IF($D104="Pressio.",
IF($E104=3,FF104,FE104),
IF($D104="Pénétro.",
IF($E104=4,FF104,FE104))))</f>
        <v>#N/A</v>
      </c>
      <c r="FH104" s="31">
        <v>0</v>
      </c>
      <c r="FI104" s="102" t="e">
        <f>IF(NDC!$H$10="Oui",(VLOOKUP($B$3,'Coeff EC7'!$T$39:$X$59,2,0)*FG104+VLOOKUP($B$3,'Coeff EC7'!$T$65:$X$85,2,0)*Model0.1T!FH104)/1.5,PI()*FE$12*$Q104*($B104-$B103)*0.15/10+FI103)</f>
        <v>#N/A</v>
      </c>
      <c r="FJ104" s="102" t="e">
        <f>(VLOOKUP($B$3,'Coeff EC7'!$T$39:$X$59,3,0)*FG104+VLOOKUP($B$3,'Coeff EC7'!$T$65:$X$85,3,0)*Model0.1T!FH104)/1.1</f>
        <v>#N/A</v>
      </c>
      <c r="FK104" s="102" t="e">
        <f t="shared" si="198"/>
        <v>#N/A</v>
      </c>
      <c r="FL104" s="102" t="e">
        <f t="shared" si="199"/>
        <v>#N/A</v>
      </c>
      <c r="FM104" s="414" t="e">
        <f>IF(AND(FI104&gt;NDC!$C$63,FJ104&gt;NDC!$C$65,FK104&gt;NDC!$D$73,FL104&gt;NDC!$D$74,$B104&gt;NDC!$H$22-0.1+MIN(3*FM$12,1.5)),0,1)</f>
        <v>#N/A</v>
      </c>
    </row>
    <row r="105" spans="1:169">
      <c r="A105" s="96">
        <f t="shared" si="165"/>
        <v>90.800000000000523</v>
      </c>
      <c r="B105" s="97">
        <v>9.1999999999999993</v>
      </c>
      <c r="C105" s="81">
        <f>IF(B105&lt;=Hypothèses!$C$7,Hypothèses!$A$7,IF(B105&lt;=Hypothèses!$C$8,Hypothèses!$A$8,IF(B105&lt;=Hypothèses!$C$9,Hypothèses!$A$9,IF(B105&lt;=Hypothèses!$C$10,Hypothèses!$A$10,IF(B105&lt;=Hypothèses!$C$11,Hypothèses!$A$11,IF(B105&lt;=Hypothèses!$C$12,Hypothèses!$A$12,IF(B105&lt;=Hypothèses!$C$13,Hypothèses!$A$13,IF(B105&lt;=Hypothèses!$C$14,Hypothèses!$A$14,IF(B105&lt;=Hypothèses!$C$15,Hypothèses!$A$15,IF(B105&lt;=Hypothèses!$C$16,Hypothèses!$A$16,IF(B105&lt;=Hypothèses!$C$17,Hypothèses!$A$17,IF(B105&lt;=Hypothèses!$C$18,Hypothèses!$A$18,C104))))))))))))</f>
        <v>11</v>
      </c>
      <c r="D105" s="82" t="str">
        <f>IF(B105&lt;=Hypothèses!$C$7,Hypothèses!$R$7,IF(B105&lt;=Hypothèses!$C$8,Hypothèses!$R$8,IF(B105&lt;=Hypothèses!$C$9,Hypothèses!$R$9,IF(B105&lt;=Hypothèses!$C$10,Hypothèses!$R$10,IF(B105&lt;=Hypothèses!$C$11,Hypothèses!$R$11,IF(B105&lt;=Hypothèses!$C$12,Hypothèses!$R$12,IF(B105&lt;=Hypothèses!$C$13,Hypothèses!$R$13,IF(B105&lt;=Hypothèses!$C$14,Hypothèses!$R$14,IF(B105&lt;=Hypothèses!$C$15,Hypothèses!$R$15,IF(B105&lt;=Hypothèses!$C$16,Hypothèses!$R$16,IF(B105&lt;=Hypothèses!$C$17,Hypothèses!$R$17,IF(B105&lt;=Hypothèses!$C$18,Hypothèses!$R$18,D104))))))))))))</f>
        <v>Pressio.</v>
      </c>
      <c r="E105" s="82" t="e">
        <f>IF(B105&lt;=Hypothèses!$C$7,Hypothèses!$G$7,IF(B105&lt;=Hypothèses!$C$8,Hypothèses!$G$8,IF(B105&lt;=Hypothèses!$C$9,Hypothèses!$G$9,IF(B105&lt;=Hypothèses!$C$10,Hypothèses!$G$10,IF(B105&lt;=Hypothèses!$C$11,Hypothèses!$G$11,IF(B105&lt;=Hypothèses!$C$12,Hypothèses!$G$12,IF(B105&lt;=Hypothèses!$C$13,Hypothèses!$G$13,IF(B105&lt;=Hypothèses!$C$14,Hypothèses!$G$14,IF(B105&lt;=Hypothèses!$C$15,Hypothèses!$G$15,IF(B105&lt;=Hypothèses!$C$16,Hypothèses!$G$16,IF(B105&lt;=Hypothèses!$C$17,Hypothèses!$G$17,IF(B105&lt;=Hypothèses!$C$18,Hypothèses!$G$18,E104))))))))))))</f>
        <v>#N/A</v>
      </c>
      <c r="F105" s="82" t="str">
        <f>IF(B105&lt;=Hypothèses!$C$7,Hypothèses!$F$7,IF(B105&lt;=Hypothèses!$C$8,Hypothèses!$F$8,IF(B105&lt;=Hypothèses!$C$9,Hypothèses!$F$9,IF(B105&lt;=Hypothèses!$C$10,Hypothèses!$F$10,IF(B105&lt;=Hypothèses!$C$11,Hypothèses!$F$11,IF(B105&lt;=Hypothèses!$C$12,Hypothèses!$F$12,IF(B105&lt;=Hypothèses!$C$13,Hypothèses!$F$13,IF(B105&lt;=Hypothèses!$C$14,Hypothèses!$F$14,IF(B105&lt;=Hypothèses!$C$15,Hypothèses!$F$15,IF(B105&lt;=Hypothèses!$C$16,Hypothèses!$F$16,IF(B105&lt;=Hypothèses!$C$17,Hypothèses!$F$17,IF(B105&lt;=Hypothèses!$C$18,Hypothèses!$F$18,F104))))))))))))</f>
        <v/>
      </c>
      <c r="G105" s="91">
        <f t="array" ref="G105">INDEX('Coeff EC7'!$U$7:$X$27,
MATCH(Model0.1T!$B$3,'Coeff EC7'!$T$7:$T$27,0),
MATCH(Model0.1T!$D105&amp;Model0.1T!$B$4,
'Coeff EC7'!$U$6:$X$6&amp;
'Coeff EC7'!$U$5:$X$5,0))</f>
        <v>1.4</v>
      </c>
      <c r="H105" s="91">
        <f t="array" ref="H105">INDEX('Coeff EC7'!$Y$7:$AB$27,
MATCH(Model0.1T!$B$3,'Coeff EC7'!$T$7:$T$27,0),
MATCH(Model0.1T!$D105&amp;Model0.1T!$B$4,
'Coeff EC7'!$Y$6:$AB$6&amp;
'Coeff EC7'!$Y$5:$AB$5,0))</f>
        <v>1.7</v>
      </c>
      <c r="I105" s="83">
        <v>0</v>
      </c>
      <c r="J105" s="91" t="e">
        <f t="array" ref="J105">INDEX('Coeff EC7'!$D$33:$Q$33,1,MATCH(D105&amp;E105,'Coeff EC7'!$D$31:$Q$31&amp;'Coeff EC7'!$D$32:$Q$32,0))</f>
        <v>#N/A</v>
      </c>
      <c r="K105" s="91" t="e">
        <f t="array" ref="K105">INDEX('Coeff EC7'!$D$34:$Q$34,1,MATCH(D105&amp;E105,'Coeff EC7'!$D$31:$Q$31&amp;'Coeff EC7'!$D$32:$Q$32,0))</f>
        <v>#N/A</v>
      </c>
      <c r="L105" s="91" t="e">
        <f t="array" ref="L105">INDEX('Coeff EC7'!$D$35:$Q$35,1,MATCH(D105&amp;E105,'Coeff EC7'!$D$31:$Q$31&amp;'Coeff EC7'!$D$32:$Q$32,0))</f>
        <v>#N/A</v>
      </c>
      <c r="M105" s="98" t="e">
        <f t="shared" si="131"/>
        <v>#N/A</v>
      </c>
      <c r="N105" s="99" t="e">
        <f t="array" ref="N105">INDEX('Coeff EC7'!$D$7:$Q$27,MATCH($B$3,'Coeff EC7'!$C$7:$C$27,0),MATCH(D105&amp;E105,'Coeff EC7'!$D$5:$Q$5&amp;'Coeff EC7'!$D$6:$Q$6,0))</f>
        <v>#N/A</v>
      </c>
      <c r="O105" s="99" t="e">
        <f t="array" ref="O105">INDEX('Coeff EC7'!$D$41:$Q$61,MATCH($B$3,'Coeff EC7'!$C$41:$C$61,0),MATCH(D105&amp;E105,'Coeff EC7'!$D$39:$Q$39&amp;'Coeff EC7'!$D$40:$Q$40,0))</f>
        <v>#N/A</v>
      </c>
      <c r="P105" s="30" t="e">
        <f t="shared" si="166"/>
        <v>#N/A</v>
      </c>
      <c r="Q105" s="100" t="e">
        <f t="shared" si="133"/>
        <v>#N/A</v>
      </c>
      <c r="R105" s="86" t="b">
        <f t="shared" si="134"/>
        <v>0</v>
      </c>
      <c r="S105" s="86">
        <f t="shared" si="132"/>
        <v>0.5</v>
      </c>
      <c r="T105" s="86">
        <f t="shared" si="135"/>
        <v>0.5</v>
      </c>
      <c r="U105" s="30" t="e">
        <f t="shared" ca="1" si="167"/>
        <v>#DIV/0!</v>
      </c>
      <c r="V105" s="85" t="str">
        <f>IF(B105&lt;=Hypothèses!$V$7,Hypothèses!$W$7,IF(B105&lt;=Hypothèses!$V$8,Hypothèses!$W$8,IF(B105&lt;=Hypothèses!$V$9,Hypothèses!$W$9,IF(B105&lt;=Hypothèses!$V$10,Hypothèses!$W$10,IF(B105&lt;=Hypothèses!$V$11,Hypothèses!$W$11,IF(B105&lt;=Hypothèses!$V$12,Hypothèses!$W$12,IF(B105&lt;=Hypothèses!$V$13,Hypothèses!$W$13,IF(B105&lt;=Hypothèses!$V$14,Hypothèses!$W$14,IF(B105&lt;=Hypothèses!$V$15,Hypothèses!$W$15,IF(B105&lt;=Hypothèses!$V$16,Hypothèses!$W$16,IF(B105&lt;=Hypothèses!$V$17,Hypothèses!$W$17,IF(B105&lt;=Hypothèses!$V$18,Hypothèses!$W$18,""))))))))))))</f>
        <v/>
      </c>
      <c r="W105" s="87" t="e">
        <f t="shared" ca="1" si="216"/>
        <v>#DIV/0!</v>
      </c>
      <c r="X105" s="88" t="str">
        <f>IF(B105&lt;=Hypothèses!$V$7,Hypothèses!$X$7,IF(B105&lt;=Hypothèses!$V$8,Hypothèses!$X$8,IF(B105&lt;=Hypothèses!$V$9,Hypothèses!$X$9,IF(B105&lt;=Hypothèses!$V$10,Hypothèses!$X$10,IF(B105&lt;=Hypothèses!$V$11,Hypothèses!$X$11,IF(B105&lt;=Hypothèses!$V$12,Hypothèses!$X$12,IF(B105&lt;=Hypothèses!$V$13,Hypothèses!$X$13,IF(B105&lt;=Hypothèses!$V$14,Hypothèses!$X$14,IF(B105&lt;=Hypothèses!$V$15,Hypothèses!$X$15,IF(B105&lt;=Hypothèses!$V$16,Hypothèses!$X$16,IF(B105&lt;=Hypothèses!$U$17,Hypothèses!$W$17,IF(B105&lt;=Hypothèses!$U$18,Hypothèses!$W$18,""))))))))))))</f>
        <v/>
      </c>
      <c r="Y105" s="95" t="e">
        <f t="shared" ca="1" si="136"/>
        <v>#DIV/0!</v>
      </c>
      <c r="Z105" s="101">
        <f t="shared" si="137"/>
        <v>0</v>
      </c>
      <c r="AA105" s="91">
        <f t="shared" si="138"/>
        <v>0</v>
      </c>
      <c r="AB105" s="30" t="e">
        <f t="shared" si="200"/>
        <v>#N/A</v>
      </c>
      <c r="AC105" s="30" t="e">
        <f t="shared" si="201"/>
        <v>#N/A</v>
      </c>
      <c r="AD105" s="31" t="e">
        <f>IF(OR(Hypothèses!$B$4=17,Hypothèses!$B$4=18,Hypothèses!$B$4=19,Hypothèses!$B$4=20),
IF($D105="Pressio.",
IF(OR($E105=3,$E105=1,$E105=4),AC105,AB105),
IF($D105="Pénétro.",
IF(OR($E105=3,$E105=1,$E105=4),AC105,AB105))),IF($D105="Pressio.",
IF($E105=3,AC105,AB105),
IF($D105="Pénétro.",
IF($E105=4,AC105,AB105))))</f>
        <v>#N/A</v>
      </c>
      <c r="AE105" s="31">
        <v>0</v>
      </c>
      <c r="AF105" s="102" t="e">
        <f>IF(NDC!$H$10="Oui",(VLOOKUP($B$3,'Coeff EC7'!$T$39:$X$59,2,0)*AD105+VLOOKUP($B$3,'Coeff EC7'!$T$65:$X$85,2,0)*Model0.1T!AE105)/1.5,PI()*AB$12*$Q105*($B105-$B104)*0.15/10+AF104)</f>
        <v>#N/A</v>
      </c>
      <c r="AG105" s="102" t="e">
        <f>(VLOOKUP($B$3,'Coeff EC7'!$T$39:$X$59,3,0)*AD105+VLOOKUP($B$3,'Coeff EC7'!$T$65:$X$85,3,0)*Model0.1T!AE105)/1.1</f>
        <v>#N/A</v>
      </c>
      <c r="AH105" s="102" t="e">
        <f t="shared" si="168"/>
        <v>#N/A</v>
      </c>
      <c r="AI105" s="102" t="e">
        <f t="shared" si="169"/>
        <v>#N/A</v>
      </c>
      <c r="AJ105" s="414" t="e">
        <f>IF(AND(AF105&gt;NDC!$C$63,AG105&gt;NDC!$C$65,AH105&gt;NDC!$D$73,AI105&gt;NDC!$D$74,$B105&gt;NDC!$H$22-0.1+MIN(3*$AJ$12,1.5)),0,1)</f>
        <v>#N/A</v>
      </c>
      <c r="AK105" s="86" t="b">
        <f t="shared" si="139"/>
        <v>0</v>
      </c>
      <c r="AL105" s="86">
        <f t="shared" si="170"/>
        <v>0.5</v>
      </c>
      <c r="AM105" s="86">
        <f t="shared" si="140"/>
        <v>0.5</v>
      </c>
      <c r="AN105" s="30" t="e">
        <f t="shared" ca="1" si="171"/>
        <v>#DIV/0!</v>
      </c>
      <c r="AO105" s="85" t="e">
        <f ca="1">IF(U105&lt;=Hypothèses!$V$7,Hypothèses!$W$7,IF(U105&lt;=Hypothèses!$V$8,Hypothèses!$W$8,IF(U105&lt;=Hypothèses!$V$9,Hypothèses!$W$9,IF(U105&lt;=Hypothèses!$V$10,Hypothèses!$W$10,IF(U105&lt;=Hypothèses!$V$11,Hypothèses!$W$11,IF(U105&lt;=Hypothèses!$V$12,Hypothèses!$W$12,IF(U105&lt;=Hypothèses!$V$13,Hypothèses!$W$13,IF(U105&lt;=Hypothèses!$V$14,Hypothèses!$W$14,IF(U105&lt;=Hypothèses!$V$15,Hypothèses!$W$15,IF(U105&lt;=Hypothèses!$V$16,Hypothèses!$W$16,IF(U105&lt;=Hypothèses!$V$17,Hypothèses!$W$17,IF(U105&lt;=Hypothèses!$V$18,Hypothèses!$W$18,""))))))))))))</f>
        <v>#DIV/0!</v>
      </c>
      <c r="AP105" s="87" t="e">
        <f t="shared" ca="1" si="217"/>
        <v>#DIV/0!</v>
      </c>
      <c r="AQ105" s="88" t="e">
        <f ca="1">IF(U105&lt;=Hypothèses!$V$7,Hypothèses!$X$7,IF(U105&lt;=Hypothèses!$V$8,Hypothèses!$X$8,IF(U105&lt;=Hypothèses!$V$9,Hypothèses!$X$9,IF(U105&lt;=Hypothèses!$V$10,Hypothèses!$X$10,IF(U105&lt;=Hypothèses!$V$11,Hypothèses!$X$11,IF(U105&lt;=Hypothèses!$V$12,Hypothèses!$X$12,IF(U105&lt;=Hypothèses!$V$13,Hypothèses!$X$13,IF(U105&lt;=Hypothèses!$V$14,Hypothèses!$X$14,IF(U105&lt;=Hypothèses!$V$15,Hypothèses!$X$15,IF(U105&lt;=Hypothèses!$V$16,Hypothèses!$X$16,IF(U105&lt;=Hypothèses!$U$17,Hypothèses!$W$17,IF(U105&lt;=Hypothèses!$U$18,Hypothèses!$W$18,""))))))))))))</f>
        <v>#DIV/0!</v>
      </c>
      <c r="AR105" s="95" t="e">
        <f t="shared" ca="1" si="172"/>
        <v>#DIV/0!</v>
      </c>
      <c r="AS105" s="101">
        <f t="shared" si="224"/>
        <v>0</v>
      </c>
      <c r="AT105" s="91">
        <f t="shared" si="141"/>
        <v>0</v>
      </c>
      <c r="AU105" s="30" t="e">
        <f t="shared" si="202"/>
        <v>#N/A</v>
      </c>
      <c r="AV105" s="30" t="e">
        <f t="shared" si="203"/>
        <v>#N/A</v>
      </c>
      <c r="AW105" s="31" t="e">
        <f>IF(OR(Hypothèses!$B$4=17,Hypothèses!$B$4=18,Hypothèses!$B$4=19,Hypothèses!$B$4=20),
IF($D105="Pressio.",
IF(OR($E105=3,$E105=1,$E105=4),AV105,AU105),
IF($D105="Pénétro.",
IF(OR($E105=3,$E105=1,$E105=4),AV105,AU105))),IF($D105="Pressio.",
IF($E105=3,AV105,AU105),
IF($D105="Pénétro.",
IF($E105=4,AV105,AU105))))</f>
        <v>#N/A</v>
      </c>
      <c r="AX105" s="31">
        <v>0</v>
      </c>
      <c r="AY105" s="102" t="e">
        <f>IF(NDC!$H$10="Oui",(VLOOKUP($B$3,'Coeff EC7'!$T$39:$X$59,2,0)*AW105+VLOOKUP($B$3,'Coeff EC7'!$T$65:$X$85,2,0)*Model0.1T!AX105)/1.5,PI()*AU$12*$Q105*($B105-$B104)*0.15/10+AY104)</f>
        <v>#N/A</v>
      </c>
      <c r="AZ105" s="102" t="e">
        <f>(VLOOKUP($B$3,'Coeff EC7'!$T$39:$X$59,3,0)*AW105+VLOOKUP($B$3,'Coeff EC7'!$T$65:$X$85,3,0)*Model0.1T!AX105)/1.1</f>
        <v>#N/A</v>
      </c>
      <c r="BA105" s="102" t="e">
        <f t="shared" si="173"/>
        <v>#N/A</v>
      </c>
      <c r="BB105" s="102" t="e">
        <f t="shared" si="174"/>
        <v>#N/A</v>
      </c>
      <c r="BC105" s="414" t="e">
        <f>IF(AND(AY105&gt;NDC!$C$63,AZ105&gt;NDC!$C$65,BA105&gt;NDC!$D$73,BB105&gt;NDC!$D$74,$B105&gt;NDC!$H$22-0.1+MIN(3*BC$12,1.5)),0,1)</f>
        <v>#N/A</v>
      </c>
      <c r="BD105" s="86" t="b">
        <f t="shared" si="142"/>
        <v>0</v>
      </c>
      <c r="BE105" s="86">
        <f t="shared" si="175"/>
        <v>0.5</v>
      </c>
      <c r="BF105" s="86">
        <f t="shared" si="143"/>
        <v>0.5</v>
      </c>
      <c r="BG105" s="30" t="e">
        <f t="shared" ca="1" si="176"/>
        <v>#DIV/0!</v>
      </c>
      <c r="BH105" s="85" t="e">
        <f ca="1">IF(AN105&lt;=Hypothèses!$V$7,Hypothèses!$W$7,IF(AN105&lt;=Hypothèses!$V$8,Hypothèses!$W$8,IF(AN105&lt;=Hypothèses!$V$9,Hypothèses!$W$9,IF(AN105&lt;=Hypothèses!$V$10,Hypothèses!$W$10,IF(AN105&lt;=Hypothèses!$V$11,Hypothèses!$W$11,IF(AN105&lt;=Hypothèses!$V$12,Hypothèses!$W$12,IF(AN105&lt;=Hypothèses!$V$13,Hypothèses!$W$13,IF(AN105&lt;=Hypothèses!$V$14,Hypothèses!$W$14,IF(AN105&lt;=Hypothèses!$V$15,Hypothèses!$W$15,IF(AN105&lt;=Hypothèses!$V$16,Hypothèses!$W$16,IF(AN105&lt;=Hypothèses!$V$17,Hypothèses!$W$17,IF(AN105&lt;=Hypothèses!$V$18,Hypothèses!$W$18,""))))))))))))</f>
        <v>#DIV/0!</v>
      </c>
      <c r="BI105" s="87" t="e">
        <f t="shared" ca="1" si="218"/>
        <v>#DIV/0!</v>
      </c>
      <c r="BJ105" s="88" t="e">
        <f ca="1">IF(AN105&lt;=Hypothèses!$V$7,Hypothèses!$X$7,IF(AN105&lt;=Hypothèses!$V$8,Hypothèses!$X$8,IF(AN105&lt;=Hypothèses!$V$9,Hypothèses!$X$9,IF(AN105&lt;=Hypothèses!$V$10,Hypothèses!$X$10,IF(AN105&lt;=Hypothèses!$V$11,Hypothèses!$X$11,IF(AN105&lt;=Hypothèses!$V$12,Hypothèses!$X$12,IF(AN105&lt;=Hypothèses!$V$13,Hypothèses!$X$13,IF(AN105&lt;=Hypothèses!$V$14,Hypothèses!$X$14,IF(AN105&lt;=Hypothèses!$V$15,Hypothèses!$X$15,IF(AN105&lt;=Hypothèses!$V$16,Hypothèses!$X$16,IF(AN105&lt;=Hypothèses!$U$17,Hypothèses!$W$17,IF(AN105&lt;=Hypothèses!$U$18,Hypothèses!$W$18,""))))))))))))</f>
        <v>#DIV/0!</v>
      </c>
      <c r="BK105" s="95" t="e">
        <f t="shared" ca="1" si="177"/>
        <v>#DIV/0!</v>
      </c>
      <c r="BL105" s="101">
        <f t="shared" si="225"/>
        <v>0</v>
      </c>
      <c r="BM105" s="91">
        <f t="shared" si="144"/>
        <v>0</v>
      </c>
      <c r="BN105" s="30" t="e">
        <f t="shared" si="204"/>
        <v>#N/A</v>
      </c>
      <c r="BO105" s="30" t="e">
        <f t="shared" si="205"/>
        <v>#N/A</v>
      </c>
      <c r="BP105" s="31" t="e">
        <f>IF(OR(Hypothèses!$B$4=17,Hypothèses!$B$4=18,Hypothèses!$B$4=19,Hypothèses!$B$4=20),
IF($D105="Pressio.",
IF(OR($E105=3,$E105=1,$E105=4),BO105,BN105),
IF($D105="Pénétro.",
IF(OR($E105=3,$E105=1,$E105=4),BO105,BN105))),IF($D105="Pressio.",
IF($E105=3,BO105,BN105),
IF($D105="Pénétro.",
IF($E105=4,BO105,BN105))))</f>
        <v>#N/A</v>
      </c>
      <c r="BQ105" s="31">
        <v>0</v>
      </c>
      <c r="BR105" s="102" t="e">
        <f>IF(NDC!$H$10="Oui",(VLOOKUP($B$3,'Coeff EC7'!$T$39:$X$59,2,0)*BP105+VLOOKUP($B$3,'Coeff EC7'!$T$65:$X$85,2,0)*Model0.1T!BQ105)/1.5,PI()*BN$12*$Q105*($B105-$B104)*0.15/10+BR104)</f>
        <v>#N/A</v>
      </c>
      <c r="BS105" s="102" t="e">
        <f>(VLOOKUP($B$3,'Coeff EC7'!$T$39:$X$59,3,0)*BP105+VLOOKUP($B$3,'Coeff EC7'!$T$65:$X$85,3,0)*Model0.1T!BQ105)/1.1</f>
        <v>#N/A</v>
      </c>
      <c r="BT105" s="102" t="e">
        <f t="shared" si="178"/>
        <v>#N/A</v>
      </c>
      <c r="BU105" s="102" t="e">
        <f t="shared" si="179"/>
        <v>#N/A</v>
      </c>
      <c r="BV105" s="414" t="e">
        <f>IF(AND(BR105&gt;NDC!$C$63,BS105&gt;NDC!$C$65,BT105&gt;NDC!$D$73,BU105&gt;NDC!$D$74,$B105&gt;NDC!$H$22-0.1+MIN(3*BV$12,1.5)),0,1)</f>
        <v>#N/A</v>
      </c>
      <c r="BW105" s="86" t="b">
        <f t="shared" si="145"/>
        <v>0</v>
      </c>
      <c r="BX105" s="86">
        <f t="shared" si="146"/>
        <v>0.5</v>
      </c>
      <c r="BY105" s="86">
        <f t="shared" si="147"/>
        <v>0.5</v>
      </c>
      <c r="BZ105" s="30" t="e">
        <f t="shared" ca="1" si="180"/>
        <v>#DIV/0!</v>
      </c>
      <c r="CA105" s="85" t="e">
        <f ca="1">IF(BG105&lt;=Hypothèses!$V$7,Hypothèses!$W$7,IF(BG105&lt;=Hypothèses!$V$8,Hypothèses!$W$8,IF(BG105&lt;=Hypothèses!$V$9,Hypothèses!$W$9,IF(BG105&lt;=Hypothèses!$V$10,Hypothèses!$W$10,IF(BG105&lt;=Hypothèses!$V$11,Hypothèses!$W$11,IF(BG105&lt;=Hypothèses!$V$12,Hypothèses!$W$12,IF(BG105&lt;=Hypothèses!$V$13,Hypothèses!$W$13,IF(BG105&lt;=Hypothèses!$V$14,Hypothèses!$W$14,IF(BG105&lt;=Hypothèses!$V$15,Hypothèses!$W$15,IF(BG105&lt;=Hypothèses!$V$16,Hypothèses!$W$16,IF(BG105&lt;=Hypothèses!$V$17,Hypothèses!$W$17,IF(BG105&lt;=Hypothèses!$V$18,Hypothèses!$W$18,""))))))))))))</f>
        <v>#DIV/0!</v>
      </c>
      <c r="CB105" s="87" t="e">
        <f t="shared" ca="1" si="219"/>
        <v>#DIV/0!</v>
      </c>
      <c r="CC105" s="88" t="e">
        <f ca="1">IF(BG105&lt;=Hypothèses!$V$7,Hypothèses!$X$7,IF(BG105&lt;=Hypothèses!$V$8,Hypothèses!$X$8,IF(BG105&lt;=Hypothèses!$V$9,Hypothèses!$X$9,IF(BG105&lt;=Hypothèses!$V$10,Hypothèses!$X$10,IF(BG105&lt;=Hypothèses!$V$11,Hypothèses!$X$11,IF(BG105&lt;=Hypothèses!$V$12,Hypothèses!$X$12,IF(BG105&lt;=Hypothèses!$V$13,Hypothèses!$X$13,IF(BG105&lt;=Hypothèses!$V$14,Hypothèses!$X$14,IF(BG105&lt;=Hypothèses!$V$15,Hypothèses!$X$15,IF(BG105&lt;=Hypothèses!$V$16,Hypothèses!$X$16,IF(BG105&lt;=Hypothèses!$U$17,Hypothèses!$W$17,IF(BG105&lt;=Hypothèses!$U$18,Hypothèses!$W$18,""))))))))))))</f>
        <v>#DIV/0!</v>
      </c>
      <c r="CD105" s="95" t="e">
        <f t="shared" ca="1" si="181"/>
        <v>#DIV/0!</v>
      </c>
      <c r="CE105" s="101">
        <f t="shared" si="226"/>
        <v>0</v>
      </c>
      <c r="CF105" s="91">
        <f t="shared" si="148"/>
        <v>0</v>
      </c>
      <c r="CG105" s="30" t="e">
        <f t="shared" si="206"/>
        <v>#N/A</v>
      </c>
      <c r="CH105" s="30" t="e">
        <f t="shared" si="207"/>
        <v>#N/A</v>
      </c>
      <c r="CI105" s="31" t="e">
        <f>IF(OR(Hypothèses!$B$4=17,Hypothèses!$B$4=18,Hypothèses!$B$4=19,Hypothèses!$B$4=20),
IF($D105="Pressio.",
IF(OR($E105=3,$E105=1,$E105=4),CH105,CG105),
IF($D105="Pénétro.",
IF(OR($E105=3,$E105=1,$E105=4),CH105,CG105))),IF($D105="Pressio.",
IF($E105=3,CH105,CG105),
IF($D105="Pénétro.",
IF($E105=4,CH105,CG105))))</f>
        <v>#N/A</v>
      </c>
      <c r="CJ105" s="31">
        <v>0</v>
      </c>
      <c r="CK105" s="102" t="e">
        <f>IF(NDC!$H$10="Oui",(VLOOKUP($B$3,'Coeff EC7'!$T$39:$X$59,2,0)*CI105+VLOOKUP($B$3,'Coeff EC7'!$T$65:$X$85,2,0)*Model0.1T!CJ105)/1.5,PI()*CG$12*$Q105*($B105-$B104)*0.15/10+CK104)</f>
        <v>#N/A</v>
      </c>
      <c r="CL105" s="102" t="e">
        <f>(VLOOKUP($B$3,'Coeff EC7'!$T$39:$X$59,3,0)*CI105+VLOOKUP($B$3,'Coeff EC7'!$T$65:$X$85,3,0)*Model0.1T!CJ105)/1.1</f>
        <v>#N/A</v>
      </c>
      <c r="CM105" s="102" t="e">
        <f t="shared" si="182"/>
        <v>#N/A</v>
      </c>
      <c r="CN105" s="102" t="e">
        <f t="shared" si="183"/>
        <v>#N/A</v>
      </c>
      <c r="CO105" s="414" t="e">
        <f>IF(AND(CK105&gt;NDC!$C$63,CL105&gt;NDC!$C$65,CM105&gt;NDC!$D$73,CN105&gt;NDC!$D$74,$B105&gt;NDC!$H$22-0.1+MIN(3*CO$12,1.5)),0,1)</f>
        <v>#N/A</v>
      </c>
      <c r="CP105" s="86" t="b">
        <f t="shared" si="149"/>
        <v>0</v>
      </c>
      <c r="CQ105" s="86">
        <f t="shared" si="150"/>
        <v>0.5</v>
      </c>
      <c r="CR105" s="86">
        <f t="shared" si="151"/>
        <v>0.5</v>
      </c>
      <c r="CS105" s="30" t="e">
        <f t="shared" ca="1" si="184"/>
        <v>#DIV/0!</v>
      </c>
      <c r="CT105" s="85" t="e">
        <f ca="1">IF(BZ105&lt;=Hypothèses!$V$7,Hypothèses!$W$7,IF(BZ105&lt;=Hypothèses!$V$8,Hypothèses!$W$8,IF(BZ105&lt;=Hypothèses!$V$9,Hypothèses!$W$9,IF(BZ105&lt;=Hypothèses!$V$10,Hypothèses!$W$10,IF(BZ105&lt;=Hypothèses!$V$11,Hypothèses!$W$11,IF(BZ105&lt;=Hypothèses!$V$12,Hypothèses!$W$12,IF(BZ105&lt;=Hypothèses!$V$13,Hypothèses!$W$13,IF(BZ105&lt;=Hypothèses!$V$14,Hypothèses!$W$14,IF(BZ105&lt;=Hypothèses!$V$15,Hypothèses!$W$15,IF(BZ105&lt;=Hypothèses!$V$16,Hypothèses!$W$16,IF(BZ105&lt;=Hypothèses!$V$17,Hypothèses!$W$17,IF(BZ105&lt;=Hypothèses!$V$18,Hypothèses!$W$18,""))))))))))))</f>
        <v>#DIV/0!</v>
      </c>
      <c r="CU105" s="87" t="e">
        <f t="shared" ca="1" si="220"/>
        <v>#DIV/0!</v>
      </c>
      <c r="CV105" s="88" t="e">
        <f ca="1">IF(BZ105&lt;=Hypothèses!$V$7,Hypothèses!$X$7,IF(BZ105&lt;=Hypothèses!$V$8,Hypothèses!$X$8,IF(BZ105&lt;=Hypothèses!$V$9,Hypothèses!$X$9,IF(BZ105&lt;=Hypothèses!$V$10,Hypothèses!$X$10,IF(BZ105&lt;=Hypothèses!$V$11,Hypothèses!$X$11,IF(BZ105&lt;=Hypothèses!$V$12,Hypothèses!$X$12,IF(BZ105&lt;=Hypothèses!$V$13,Hypothèses!$X$13,IF(BZ105&lt;=Hypothèses!$V$14,Hypothèses!$X$14,IF(BZ105&lt;=Hypothèses!$V$15,Hypothèses!$X$15,IF(BZ105&lt;=Hypothèses!$V$16,Hypothèses!$X$16,IF(BZ105&lt;=Hypothèses!$U$17,Hypothèses!$W$17,IF(BZ105&lt;=Hypothèses!$U$18,Hypothèses!$W$18,""))))))))))))</f>
        <v>#DIV/0!</v>
      </c>
      <c r="CW105" s="95" t="e">
        <f t="shared" ca="1" si="185"/>
        <v>#DIV/0!</v>
      </c>
      <c r="CX105" s="101">
        <f t="shared" si="227"/>
        <v>0</v>
      </c>
      <c r="CY105" s="91">
        <f t="shared" si="152"/>
        <v>0</v>
      </c>
      <c r="CZ105" s="30" t="e">
        <f t="shared" si="208"/>
        <v>#N/A</v>
      </c>
      <c r="DA105" s="30" t="e">
        <f t="shared" si="209"/>
        <v>#N/A</v>
      </c>
      <c r="DB105" s="31" t="e">
        <f>IF(OR(Hypothèses!$B$4=17,Hypothèses!$B$4=18,Hypothèses!$B$4=19,Hypothèses!$B$4=20),
IF($D105="Pressio.",
IF(OR($E105=3,$E105=1,$E105=4),DA105,CZ105),
IF($D105="Pénétro.",
IF(OR($E105=3,$E105=1,$E105=4),DA105,CZ105))),IF($D105="Pressio.",
IF($E105=3,DA105,CZ105),
IF($D105="Pénétro.",
IF($E105=4,DA105,CZ105))))</f>
        <v>#N/A</v>
      </c>
      <c r="DC105" s="31">
        <v>0</v>
      </c>
      <c r="DD105" s="102" t="e">
        <f>IF(NDC!$H$10="Oui",(VLOOKUP($B$3,'Coeff EC7'!$T$39:$X$59,2,0)*DB105+VLOOKUP($B$3,'Coeff EC7'!$T$65:$X$85,2,0)*Model0.1T!DC105)/1.5,PI()*CZ$12*$Q105*($B105-$B104)*0.15/10+DD104)</f>
        <v>#N/A</v>
      </c>
      <c r="DE105" s="102" t="e">
        <f>(VLOOKUP($B$3,'Coeff EC7'!$T$39:$X$59,3,0)*DB105+VLOOKUP($B$3,'Coeff EC7'!$T$65:$X$85,3,0)*Model0.1T!DC105)/1.1</f>
        <v>#N/A</v>
      </c>
      <c r="DF105" s="102" t="e">
        <f t="shared" si="186"/>
        <v>#N/A</v>
      </c>
      <c r="DG105" s="102" t="e">
        <f t="shared" si="187"/>
        <v>#N/A</v>
      </c>
      <c r="DH105" s="414" t="e">
        <f>IF(AND(DD105&gt;NDC!$C$63,DE105&gt;NDC!$C$65,DF105&gt;NDC!$D$73,DG105&gt;NDC!$D$74,$B105&gt;NDC!$H$22-0.1+MIN(3*DH$12,1.5)),0,1)</f>
        <v>#N/A</v>
      </c>
      <c r="DI105" s="86" t="b">
        <f t="shared" si="153"/>
        <v>0</v>
      </c>
      <c r="DJ105" s="86">
        <f t="shared" si="154"/>
        <v>0.5</v>
      </c>
      <c r="DK105" s="86">
        <f t="shared" si="155"/>
        <v>0.5</v>
      </c>
      <c r="DL105" s="30" t="e">
        <f t="shared" ca="1" si="188"/>
        <v>#DIV/0!</v>
      </c>
      <c r="DM105" s="85" t="e">
        <f ca="1">IF(CS105&lt;=Hypothèses!$V$7,Hypothèses!$W$7,IF(CS105&lt;=Hypothèses!$V$8,Hypothèses!$W$8,IF(CS105&lt;=Hypothèses!$V$9,Hypothèses!$W$9,IF(CS105&lt;=Hypothèses!$V$10,Hypothèses!$W$10,IF(CS105&lt;=Hypothèses!$V$11,Hypothèses!$W$11,IF(CS105&lt;=Hypothèses!$V$12,Hypothèses!$W$12,IF(CS105&lt;=Hypothèses!$V$13,Hypothèses!$W$13,IF(CS105&lt;=Hypothèses!$V$14,Hypothèses!$W$14,IF(CS105&lt;=Hypothèses!$V$15,Hypothèses!$W$15,IF(CS105&lt;=Hypothèses!$V$16,Hypothèses!$W$16,IF(CS105&lt;=Hypothèses!$V$17,Hypothèses!$W$17,IF(CS105&lt;=Hypothèses!$V$18,Hypothèses!$W$18,""))))))))))))</f>
        <v>#DIV/0!</v>
      </c>
      <c r="DN105" s="87" t="e">
        <f t="shared" ca="1" si="221"/>
        <v>#DIV/0!</v>
      </c>
      <c r="DO105" s="88" t="e">
        <f ca="1">IF(CS105&lt;=Hypothèses!$V$7,Hypothèses!$X$7,IF(CS105&lt;=Hypothèses!$V$8,Hypothèses!$X$8,IF(CS105&lt;=Hypothèses!$V$9,Hypothèses!$X$9,IF(CS105&lt;=Hypothèses!$V$10,Hypothèses!$X$10,IF(CS105&lt;=Hypothèses!$V$11,Hypothèses!$X$11,IF(CS105&lt;=Hypothèses!$V$12,Hypothèses!$X$12,IF(CS105&lt;=Hypothèses!$V$13,Hypothèses!$X$13,IF(CS105&lt;=Hypothèses!$V$14,Hypothèses!$X$14,IF(CS105&lt;=Hypothèses!$V$15,Hypothèses!$X$15,IF(CS105&lt;=Hypothèses!$V$16,Hypothèses!$X$16,IF(CS105&lt;=Hypothèses!$U$17,Hypothèses!$W$17,IF(CS105&lt;=Hypothèses!$U$18,Hypothèses!$W$18,""))))))))))))</f>
        <v>#DIV/0!</v>
      </c>
      <c r="DP105" s="95" t="e">
        <f t="shared" ca="1" si="189"/>
        <v>#DIV/0!</v>
      </c>
      <c r="DQ105" s="101">
        <f t="shared" si="228"/>
        <v>0</v>
      </c>
      <c r="DR105" s="91">
        <f t="shared" si="156"/>
        <v>0</v>
      </c>
      <c r="DS105" s="30" t="e">
        <f t="shared" si="210"/>
        <v>#N/A</v>
      </c>
      <c r="DT105" s="30" t="e">
        <f t="shared" si="211"/>
        <v>#N/A</v>
      </c>
      <c r="DU105" s="31" t="e">
        <f>IF(OR(Hypothèses!$B$4=17,Hypothèses!$B$4=18,Hypothèses!$B$4=19,Hypothèses!$B$4=20),
IF($D105="Pressio.",
IF(OR($E105=3,$E105=1,$E105=4),DT105,DS105),
IF($D105="Pénétro.",
IF(OR($E105=3,$E105=1,$E105=4),DT105,DS105))),IF($D105="Pressio.",
IF($E105=3,DT105,DS105),
IF($D105="Pénétro.",
IF($E105=4,DT105,DS105))))</f>
        <v>#N/A</v>
      </c>
      <c r="DV105" s="31">
        <v>0</v>
      </c>
      <c r="DW105" s="102" t="e">
        <f>IF(NDC!$H$10="Oui",(VLOOKUP($B$3,'Coeff EC7'!$T$39:$X$59,2,0)*DU105+VLOOKUP($B$3,'Coeff EC7'!$T$65:$X$85,2,0)*Model0.1T!DV105)/1.5,PI()*DS$12*$Q105*($B105-$B104)*0.15/10+DW104)</f>
        <v>#N/A</v>
      </c>
      <c r="DX105" s="102" t="e">
        <f>(VLOOKUP($B$3,'Coeff EC7'!$T$39:$X$59,3,0)*DU105+VLOOKUP($B$3,'Coeff EC7'!$T$65:$X$85,3,0)*Model0.1T!DV105)/1.1</f>
        <v>#N/A</v>
      </c>
      <c r="DY105" s="102" t="e">
        <f t="shared" si="190"/>
        <v>#N/A</v>
      </c>
      <c r="DZ105" s="102" t="e">
        <f t="shared" si="191"/>
        <v>#N/A</v>
      </c>
      <c r="EA105" s="414" t="e">
        <f>IF(AND(DW105&gt;NDC!$C$63,DX105&gt;NDC!$C$65,DY105&gt;NDC!$D$73,DZ105&gt;NDC!$D$74,$B105&gt;NDC!$H$22-0.1+MIN(3*EA$12,1.5)),0,1)</f>
        <v>#N/A</v>
      </c>
      <c r="EB105" s="86" t="b">
        <f t="shared" si="157"/>
        <v>0</v>
      </c>
      <c r="EC105" s="418">
        <f t="shared" si="158"/>
        <v>0.51</v>
      </c>
      <c r="ED105" s="86">
        <f t="shared" si="159"/>
        <v>0.51</v>
      </c>
      <c r="EE105" s="30" t="e">
        <f t="shared" ca="1" si="192"/>
        <v>#DIV/0!</v>
      </c>
      <c r="EF105" s="85" t="e">
        <f ca="1">IF(DL105&lt;=Hypothèses!$V$7,Hypothèses!$W$7,IF(DL105&lt;=Hypothèses!$V$8,Hypothèses!$W$8,IF(DL105&lt;=Hypothèses!$V$9,Hypothèses!$W$9,IF(DL105&lt;=Hypothèses!$V$10,Hypothèses!$W$10,IF(DL105&lt;=Hypothèses!$V$11,Hypothèses!$W$11,IF(DL105&lt;=Hypothèses!$V$12,Hypothèses!$W$12,IF(DL105&lt;=Hypothèses!$V$13,Hypothèses!$W$13,IF(DL105&lt;=Hypothèses!$V$14,Hypothèses!$W$14,IF(DL105&lt;=Hypothèses!$V$15,Hypothèses!$W$15,IF(DL105&lt;=Hypothèses!$V$16,Hypothèses!$W$16,IF(DL105&lt;=Hypothèses!$V$17,Hypothèses!$W$17,IF(DL105&lt;=Hypothèses!$V$18,Hypothèses!$W$18,""))))))))))))</f>
        <v>#DIV/0!</v>
      </c>
      <c r="EG105" s="87" t="e">
        <f t="shared" ca="1" si="222"/>
        <v>#DIV/0!</v>
      </c>
      <c r="EH105" s="88" t="e">
        <f ca="1">IF(DL105&lt;=Hypothèses!$V$7,Hypothèses!$X$7,IF(DL105&lt;=Hypothèses!$V$8,Hypothèses!$X$8,IF(DL105&lt;=Hypothèses!$V$9,Hypothèses!$X$9,IF(DL105&lt;=Hypothèses!$V$10,Hypothèses!$X$10,IF(DL105&lt;=Hypothèses!$V$11,Hypothèses!$X$11,IF(DL105&lt;=Hypothèses!$V$12,Hypothèses!$X$12,IF(DL105&lt;=Hypothèses!$V$13,Hypothèses!$X$13,IF(DL105&lt;=Hypothèses!$V$14,Hypothèses!$X$14,IF(DL105&lt;=Hypothèses!$V$15,Hypothèses!$X$15,IF(DL105&lt;=Hypothèses!$V$16,Hypothèses!$X$16,IF(DL105&lt;=Hypothèses!$U$17,Hypothèses!$W$17,IF(DL105&lt;=Hypothèses!$U$18,Hypothèses!$W$18,""))))))))))))</f>
        <v>#DIV/0!</v>
      </c>
      <c r="EI105" s="95" t="e">
        <f t="shared" ca="1" si="193"/>
        <v>#DIV/0!</v>
      </c>
      <c r="EJ105" s="101">
        <f t="shared" si="229"/>
        <v>0</v>
      </c>
      <c r="EK105" s="91">
        <f t="shared" si="160"/>
        <v>0</v>
      </c>
      <c r="EL105" s="30" t="e">
        <f t="shared" si="212"/>
        <v>#N/A</v>
      </c>
      <c r="EM105" s="30" t="e">
        <f t="shared" si="213"/>
        <v>#N/A</v>
      </c>
      <c r="EN105" s="31" t="e">
        <f>IF(OR(Hypothèses!$B$4=17,Hypothèses!$B$4=18,Hypothèses!$B$4=19,Hypothèses!$B$4=20),
IF($D105="Pressio.",
IF(OR($E105=3,$E105=1,$E105=4),EM105,EL105),
IF($D105="Pénétro.",
IF(OR($E105=3,$E105=1,$E105=4),EM105,EL105))),IF($D105="Pressio.",
IF($E105=3,EM105,EL105),
IF($D105="Pénétro.",
IF($E105=4,EM105,EL105))))</f>
        <v>#N/A</v>
      </c>
      <c r="EO105" s="31">
        <v>0</v>
      </c>
      <c r="EP105" s="102" t="e">
        <f>IF(NDC!$H$10="Oui",(VLOOKUP($B$3,'Coeff EC7'!$T$39:$X$59,2,0)*EN105+VLOOKUP($B$3,'Coeff EC7'!$T$65:$X$85,2,0)*Model0.1T!EO105)/1.5,PI()*EL$12*$Q105*($B105-$B104)*0.15/10+EP104)</f>
        <v>#N/A</v>
      </c>
      <c r="EQ105" s="102" t="e">
        <f>(VLOOKUP($B$3,'Coeff EC7'!$T$39:$X$59,3,0)*EN105+VLOOKUP($B$3,'Coeff EC7'!$T$65:$X$85,3,0)*Model0.1T!EO105)/1.1</f>
        <v>#N/A</v>
      </c>
      <c r="ER105" s="102" t="e">
        <f t="shared" si="194"/>
        <v>#N/A</v>
      </c>
      <c r="ES105" s="102" t="e">
        <f t="shared" si="195"/>
        <v>#N/A</v>
      </c>
      <c r="ET105" s="414" t="e">
        <f>IF(AND(EP105&gt;NDC!$C$63,EQ105&gt;NDC!$C$65,ER105&gt;NDC!$D$73,ES105&gt;NDC!$D$74,$B105&gt;NDC!$H$22-0.1+MIN(3*ET$12,1.5)),0,1)</f>
        <v>#N/A</v>
      </c>
      <c r="EU105" s="86" t="b">
        <f t="shared" si="161"/>
        <v>0</v>
      </c>
      <c r="EV105" s="86">
        <f t="shared" si="162"/>
        <v>0.61</v>
      </c>
      <c r="EW105" s="86">
        <f t="shared" si="163"/>
        <v>0.61</v>
      </c>
      <c r="EX105" s="30" t="e">
        <f t="shared" ca="1" si="196"/>
        <v>#DIV/0!</v>
      </c>
      <c r="EY105" s="85" t="e">
        <f ca="1">IF(EE105&lt;=Hypothèses!$V$7,Hypothèses!$W$7,IF(EE105&lt;=Hypothèses!$V$8,Hypothèses!$W$8,IF(EE105&lt;=Hypothèses!$V$9,Hypothèses!$W$9,IF(EE105&lt;=Hypothèses!$V$10,Hypothèses!$W$10,IF(EE105&lt;=Hypothèses!$V$11,Hypothèses!$W$11,IF(EE105&lt;=Hypothèses!$V$12,Hypothèses!$W$12,IF(EE105&lt;=Hypothèses!$V$13,Hypothèses!$W$13,IF(EE105&lt;=Hypothèses!$V$14,Hypothèses!$W$14,IF(EE105&lt;=Hypothèses!$V$15,Hypothèses!$W$15,IF(EE105&lt;=Hypothèses!$V$16,Hypothèses!$W$16,IF(EE105&lt;=Hypothèses!$V$17,Hypothèses!$W$17,IF(EE105&lt;=Hypothèses!$V$18,Hypothèses!$W$18,""))))))))))))</f>
        <v>#DIV/0!</v>
      </c>
      <c r="EZ105" s="87" t="e">
        <f t="shared" ca="1" si="223"/>
        <v>#DIV/0!</v>
      </c>
      <c r="FA105" s="88" t="e">
        <f ca="1">IF(EE105&lt;=Hypothèses!$V$7,Hypothèses!$X$7,IF(EE105&lt;=Hypothèses!$V$8,Hypothèses!$X$8,IF(EE105&lt;=Hypothèses!$V$9,Hypothèses!$X$9,IF(EE105&lt;=Hypothèses!$V$10,Hypothèses!$X$10,IF(EE105&lt;=Hypothèses!$V$11,Hypothèses!$X$11,IF(EE105&lt;=Hypothèses!$V$12,Hypothèses!$X$12,IF(EE105&lt;=Hypothèses!$V$13,Hypothèses!$X$13,IF(EE105&lt;=Hypothèses!$V$14,Hypothèses!$X$14,IF(EE105&lt;=Hypothèses!$V$15,Hypothèses!$X$15,IF(EE105&lt;=Hypothèses!$V$16,Hypothèses!$X$16,IF(EE105&lt;=Hypothèses!$U$17,Hypothèses!$W$17,IF(EE105&lt;=Hypothèses!$U$18,Hypothèses!$W$18,""))))))))))))</f>
        <v>#DIV/0!</v>
      </c>
      <c r="FB105" s="95" t="e">
        <f t="shared" ca="1" si="197"/>
        <v>#DIV/0!</v>
      </c>
      <c r="FC105" s="101">
        <f t="shared" si="230"/>
        <v>0</v>
      </c>
      <c r="FD105" s="91">
        <f t="shared" si="164"/>
        <v>0</v>
      </c>
      <c r="FE105" s="30" t="e">
        <f t="shared" si="214"/>
        <v>#N/A</v>
      </c>
      <c r="FF105" s="30" t="e">
        <f t="shared" si="215"/>
        <v>#N/A</v>
      </c>
      <c r="FG105" s="31" t="e">
        <f>IF(OR(Hypothèses!$B$4=17,Hypothèses!$B$4=18,Hypothèses!$B$4=19,Hypothèses!$B$4=20),
IF($D105="Pressio.",
IF(OR($E105=3,$E105=1,$E105=4),FF105,FE105),
IF($D105="Pénétro.",
IF(OR($E105=3,$E105=1,$E105=4),FF105,FE105))),IF($D105="Pressio.",
IF($E105=3,FF105,FE105),
IF($D105="Pénétro.",
IF($E105=4,FF105,FE105))))</f>
        <v>#N/A</v>
      </c>
      <c r="FH105" s="31">
        <v>0</v>
      </c>
      <c r="FI105" s="102" t="e">
        <f>IF(NDC!$H$10="Oui",(VLOOKUP($B$3,'Coeff EC7'!$T$39:$X$59,2,0)*FG105+VLOOKUP($B$3,'Coeff EC7'!$T$65:$X$85,2,0)*Model0.1T!FH105)/1.5,PI()*FE$12*$Q105*($B105-$B104)*0.15/10+FI104)</f>
        <v>#N/A</v>
      </c>
      <c r="FJ105" s="102" t="e">
        <f>(VLOOKUP($B$3,'Coeff EC7'!$T$39:$X$59,3,0)*FG105+VLOOKUP($B$3,'Coeff EC7'!$T$65:$X$85,3,0)*Model0.1T!FH105)/1.1</f>
        <v>#N/A</v>
      </c>
      <c r="FK105" s="102" t="e">
        <f t="shared" si="198"/>
        <v>#N/A</v>
      </c>
      <c r="FL105" s="102" t="e">
        <f t="shared" si="199"/>
        <v>#N/A</v>
      </c>
      <c r="FM105" s="414" t="e">
        <f>IF(AND(FI105&gt;NDC!$C$63,FJ105&gt;NDC!$C$65,FK105&gt;NDC!$D$73,FL105&gt;NDC!$D$74,$B105&gt;NDC!$H$22-0.1+MIN(3*FM$12,1.5)),0,1)</f>
        <v>#N/A</v>
      </c>
    </row>
    <row r="106" spans="1:169">
      <c r="A106" s="96">
        <f t="shared" si="165"/>
        <v>90.700000000000529</v>
      </c>
      <c r="B106" s="97">
        <v>9.3000000000000007</v>
      </c>
      <c r="C106" s="81">
        <f>IF(B106&lt;=Hypothèses!$C$7,Hypothèses!$A$7,IF(B106&lt;=Hypothèses!$C$8,Hypothèses!$A$8,IF(B106&lt;=Hypothèses!$C$9,Hypothèses!$A$9,IF(B106&lt;=Hypothèses!$C$10,Hypothèses!$A$10,IF(B106&lt;=Hypothèses!$C$11,Hypothèses!$A$11,IF(B106&lt;=Hypothèses!$C$12,Hypothèses!$A$12,IF(B106&lt;=Hypothèses!$C$13,Hypothèses!$A$13,IF(B106&lt;=Hypothèses!$C$14,Hypothèses!$A$14,IF(B106&lt;=Hypothèses!$C$15,Hypothèses!$A$15,IF(B106&lt;=Hypothèses!$C$16,Hypothèses!$A$16,IF(B106&lt;=Hypothèses!$C$17,Hypothèses!$A$17,IF(B106&lt;=Hypothèses!$C$18,Hypothèses!$A$18,C105))))))))))))</f>
        <v>11</v>
      </c>
      <c r="D106" s="82" t="str">
        <f>IF(B106&lt;=Hypothèses!$C$7,Hypothèses!$R$7,IF(B106&lt;=Hypothèses!$C$8,Hypothèses!$R$8,IF(B106&lt;=Hypothèses!$C$9,Hypothèses!$R$9,IF(B106&lt;=Hypothèses!$C$10,Hypothèses!$R$10,IF(B106&lt;=Hypothèses!$C$11,Hypothèses!$R$11,IF(B106&lt;=Hypothèses!$C$12,Hypothèses!$R$12,IF(B106&lt;=Hypothèses!$C$13,Hypothèses!$R$13,IF(B106&lt;=Hypothèses!$C$14,Hypothèses!$R$14,IF(B106&lt;=Hypothèses!$C$15,Hypothèses!$R$15,IF(B106&lt;=Hypothèses!$C$16,Hypothèses!$R$16,IF(B106&lt;=Hypothèses!$C$17,Hypothèses!$R$17,IF(B106&lt;=Hypothèses!$C$18,Hypothèses!$R$18,D105))))))))))))</f>
        <v>Pressio.</v>
      </c>
      <c r="E106" s="82" t="e">
        <f>IF(B106&lt;=Hypothèses!$C$7,Hypothèses!$G$7,IF(B106&lt;=Hypothèses!$C$8,Hypothèses!$G$8,IF(B106&lt;=Hypothèses!$C$9,Hypothèses!$G$9,IF(B106&lt;=Hypothèses!$C$10,Hypothèses!$G$10,IF(B106&lt;=Hypothèses!$C$11,Hypothèses!$G$11,IF(B106&lt;=Hypothèses!$C$12,Hypothèses!$G$12,IF(B106&lt;=Hypothèses!$C$13,Hypothèses!$G$13,IF(B106&lt;=Hypothèses!$C$14,Hypothèses!$G$14,IF(B106&lt;=Hypothèses!$C$15,Hypothèses!$G$15,IF(B106&lt;=Hypothèses!$C$16,Hypothèses!$G$16,IF(B106&lt;=Hypothèses!$C$17,Hypothèses!$G$17,IF(B106&lt;=Hypothèses!$C$18,Hypothèses!$G$18,E105))))))))))))</f>
        <v>#N/A</v>
      </c>
      <c r="F106" s="82" t="str">
        <f>IF(B106&lt;=Hypothèses!$C$7,Hypothèses!$F$7,IF(B106&lt;=Hypothèses!$C$8,Hypothèses!$F$8,IF(B106&lt;=Hypothèses!$C$9,Hypothèses!$F$9,IF(B106&lt;=Hypothèses!$C$10,Hypothèses!$F$10,IF(B106&lt;=Hypothèses!$C$11,Hypothèses!$F$11,IF(B106&lt;=Hypothèses!$C$12,Hypothèses!$F$12,IF(B106&lt;=Hypothèses!$C$13,Hypothèses!$F$13,IF(B106&lt;=Hypothèses!$C$14,Hypothèses!$F$14,IF(B106&lt;=Hypothèses!$C$15,Hypothèses!$F$15,IF(B106&lt;=Hypothèses!$C$16,Hypothèses!$F$16,IF(B106&lt;=Hypothèses!$C$17,Hypothèses!$F$17,IF(B106&lt;=Hypothèses!$C$18,Hypothèses!$F$18,F105))))))))))))</f>
        <v/>
      </c>
      <c r="G106" s="91">
        <f t="array" ref="G106">INDEX('Coeff EC7'!$U$7:$X$27,
MATCH(Model0.1T!$B$3,'Coeff EC7'!$T$7:$T$27,0),
MATCH(Model0.1T!$D106&amp;Model0.1T!$B$4,
'Coeff EC7'!$U$6:$X$6&amp;
'Coeff EC7'!$U$5:$X$5,0))</f>
        <v>1.4</v>
      </c>
      <c r="H106" s="91">
        <f t="array" ref="H106">INDEX('Coeff EC7'!$Y$7:$AB$27,
MATCH(Model0.1T!$B$3,'Coeff EC7'!$T$7:$T$27,0),
MATCH(Model0.1T!$D106&amp;Model0.1T!$B$4,
'Coeff EC7'!$Y$6:$AB$6&amp;
'Coeff EC7'!$Y$5:$AB$5,0))</f>
        <v>1.7</v>
      </c>
      <c r="I106" s="83">
        <v>0</v>
      </c>
      <c r="J106" s="91" t="e">
        <f t="array" ref="J106">INDEX('Coeff EC7'!$D$33:$Q$33,1,MATCH(D106&amp;E106,'Coeff EC7'!$D$31:$Q$31&amp;'Coeff EC7'!$D$32:$Q$32,0))</f>
        <v>#N/A</v>
      </c>
      <c r="K106" s="91" t="e">
        <f t="array" ref="K106">INDEX('Coeff EC7'!$D$34:$Q$34,1,MATCH(D106&amp;E106,'Coeff EC7'!$D$31:$Q$31&amp;'Coeff EC7'!$D$32:$Q$32,0))</f>
        <v>#N/A</v>
      </c>
      <c r="L106" s="91" t="e">
        <f t="array" ref="L106">INDEX('Coeff EC7'!$D$35:$Q$35,1,MATCH(D106&amp;E106,'Coeff EC7'!$D$31:$Q$31&amp;'Coeff EC7'!$D$32:$Q$32,0))</f>
        <v>#N/A</v>
      </c>
      <c r="M106" s="98" t="e">
        <f t="shared" si="131"/>
        <v>#N/A</v>
      </c>
      <c r="N106" s="99" t="e">
        <f t="array" ref="N106">INDEX('Coeff EC7'!$D$7:$Q$27,MATCH($B$3,'Coeff EC7'!$C$7:$C$27,0),MATCH(D106&amp;E106,'Coeff EC7'!$D$5:$Q$5&amp;'Coeff EC7'!$D$6:$Q$6,0))</f>
        <v>#N/A</v>
      </c>
      <c r="O106" s="99" t="e">
        <f t="array" ref="O106">INDEX('Coeff EC7'!$D$41:$Q$61,MATCH($B$3,'Coeff EC7'!$C$41:$C$61,0),MATCH(D106&amp;E106,'Coeff EC7'!$D$39:$Q$39&amp;'Coeff EC7'!$D$40:$Q$40,0))</f>
        <v>#N/A</v>
      </c>
      <c r="P106" s="30" t="e">
        <f t="shared" si="166"/>
        <v>#N/A</v>
      </c>
      <c r="Q106" s="100" t="e">
        <f t="shared" si="133"/>
        <v>#N/A</v>
      </c>
      <c r="R106" s="86" t="b">
        <f t="shared" si="134"/>
        <v>0</v>
      </c>
      <c r="S106" s="86">
        <f t="shared" si="132"/>
        <v>0.5</v>
      </c>
      <c r="T106" s="86">
        <f t="shared" si="135"/>
        <v>0.5</v>
      </c>
      <c r="U106" s="30" t="e">
        <f t="shared" ca="1" si="167"/>
        <v>#DIV/0!</v>
      </c>
      <c r="V106" s="85" t="str">
        <f>IF(B106&lt;=Hypothèses!$V$7,Hypothèses!$W$7,IF(B106&lt;=Hypothèses!$V$8,Hypothèses!$W$8,IF(B106&lt;=Hypothèses!$V$9,Hypothèses!$W$9,IF(B106&lt;=Hypothèses!$V$10,Hypothèses!$W$10,IF(B106&lt;=Hypothèses!$V$11,Hypothèses!$W$11,IF(B106&lt;=Hypothèses!$V$12,Hypothèses!$W$12,IF(B106&lt;=Hypothèses!$V$13,Hypothèses!$W$13,IF(B106&lt;=Hypothèses!$V$14,Hypothèses!$W$14,IF(B106&lt;=Hypothèses!$V$15,Hypothèses!$W$15,IF(B106&lt;=Hypothèses!$V$16,Hypothèses!$W$16,IF(B106&lt;=Hypothèses!$V$17,Hypothèses!$W$17,IF(B106&lt;=Hypothèses!$V$18,Hypothèses!$W$18,""))))))))))))</f>
        <v/>
      </c>
      <c r="W106" s="87" t="e">
        <f t="shared" ca="1" si="216"/>
        <v>#DIV/0!</v>
      </c>
      <c r="X106" s="88" t="str">
        <f>IF(B106&lt;=Hypothèses!$V$7,Hypothèses!$X$7,IF(B106&lt;=Hypothèses!$V$8,Hypothèses!$X$8,IF(B106&lt;=Hypothèses!$V$9,Hypothèses!$X$9,IF(B106&lt;=Hypothèses!$V$10,Hypothèses!$X$10,IF(B106&lt;=Hypothèses!$V$11,Hypothèses!$X$11,IF(B106&lt;=Hypothèses!$V$12,Hypothèses!$X$12,IF(B106&lt;=Hypothèses!$V$13,Hypothèses!$X$13,IF(B106&lt;=Hypothèses!$V$14,Hypothèses!$X$14,IF(B106&lt;=Hypothèses!$V$15,Hypothèses!$X$15,IF(B106&lt;=Hypothèses!$V$16,Hypothèses!$X$16,IF(B106&lt;=Hypothèses!$U$17,Hypothèses!$W$17,IF(B106&lt;=Hypothèses!$U$18,Hypothèses!$W$18,""))))))))))))</f>
        <v/>
      </c>
      <c r="Y106" s="95" t="e">
        <f t="shared" ca="1" si="136"/>
        <v>#DIV/0!</v>
      </c>
      <c r="Z106" s="101">
        <f t="shared" si="137"/>
        <v>0</v>
      </c>
      <c r="AA106" s="91">
        <f t="shared" si="138"/>
        <v>0</v>
      </c>
      <c r="AB106" s="30" t="e">
        <f t="shared" si="200"/>
        <v>#N/A</v>
      </c>
      <c r="AC106" s="30" t="e">
        <f t="shared" si="201"/>
        <v>#N/A</v>
      </c>
      <c r="AD106" s="31" t="e">
        <f>IF(OR(Hypothèses!$B$4=17,Hypothèses!$B$4=18,Hypothèses!$B$4=19,Hypothèses!$B$4=20),
IF($D106="Pressio.",
IF(OR($E106=3,$E106=1,$E106=4),AC106,AB106),
IF($D106="Pénétro.",
IF(OR($E106=3,$E106=1,$E106=4),AC106,AB106))),IF($D106="Pressio.",
IF($E106=3,AC106,AB106),
IF($D106="Pénétro.",
IF($E106=4,AC106,AB106))))</f>
        <v>#N/A</v>
      </c>
      <c r="AE106" s="31">
        <v>0</v>
      </c>
      <c r="AF106" s="102" t="e">
        <f>IF(NDC!$H$10="Oui",(VLOOKUP($B$3,'Coeff EC7'!$T$39:$X$59,2,0)*AD106+VLOOKUP($B$3,'Coeff EC7'!$T$65:$X$85,2,0)*Model0.1T!AE106)/1.5,PI()*AB$12*$Q106*($B106-$B105)*0.15/10+AF105)</f>
        <v>#N/A</v>
      </c>
      <c r="AG106" s="102" t="e">
        <f>(VLOOKUP($B$3,'Coeff EC7'!$T$39:$X$59,3,0)*AD106+VLOOKUP($B$3,'Coeff EC7'!$T$65:$X$85,3,0)*Model0.1T!AE106)/1.1</f>
        <v>#N/A</v>
      </c>
      <c r="AH106" s="102" t="e">
        <f t="shared" si="168"/>
        <v>#N/A</v>
      </c>
      <c r="AI106" s="102" t="e">
        <f t="shared" si="169"/>
        <v>#N/A</v>
      </c>
      <c r="AJ106" s="414" t="e">
        <f>IF(AND(AF106&gt;NDC!$C$63,AG106&gt;NDC!$C$65,AH106&gt;NDC!$D$73,AI106&gt;NDC!$D$74,$B106&gt;NDC!$H$22-0.1+MIN(3*$AJ$12,1.5)),0,1)</f>
        <v>#N/A</v>
      </c>
      <c r="AK106" s="86" t="b">
        <f t="shared" si="139"/>
        <v>0</v>
      </c>
      <c r="AL106" s="86">
        <f t="shared" si="170"/>
        <v>0.5</v>
      </c>
      <c r="AM106" s="86">
        <f t="shared" si="140"/>
        <v>0.5</v>
      </c>
      <c r="AN106" s="30" t="e">
        <f t="shared" ca="1" si="171"/>
        <v>#DIV/0!</v>
      </c>
      <c r="AO106" s="85" t="e">
        <f ca="1">IF(U106&lt;=Hypothèses!$V$7,Hypothèses!$W$7,IF(U106&lt;=Hypothèses!$V$8,Hypothèses!$W$8,IF(U106&lt;=Hypothèses!$V$9,Hypothèses!$W$9,IF(U106&lt;=Hypothèses!$V$10,Hypothèses!$W$10,IF(U106&lt;=Hypothèses!$V$11,Hypothèses!$W$11,IF(U106&lt;=Hypothèses!$V$12,Hypothèses!$W$12,IF(U106&lt;=Hypothèses!$V$13,Hypothèses!$W$13,IF(U106&lt;=Hypothèses!$V$14,Hypothèses!$W$14,IF(U106&lt;=Hypothèses!$V$15,Hypothèses!$W$15,IF(U106&lt;=Hypothèses!$V$16,Hypothèses!$W$16,IF(U106&lt;=Hypothèses!$V$17,Hypothèses!$W$17,IF(U106&lt;=Hypothèses!$V$18,Hypothèses!$W$18,""))))))))))))</f>
        <v>#DIV/0!</v>
      </c>
      <c r="AP106" s="87" t="e">
        <f t="shared" ca="1" si="217"/>
        <v>#DIV/0!</v>
      </c>
      <c r="AQ106" s="88" t="e">
        <f ca="1">IF(U106&lt;=Hypothèses!$V$7,Hypothèses!$X$7,IF(U106&lt;=Hypothèses!$V$8,Hypothèses!$X$8,IF(U106&lt;=Hypothèses!$V$9,Hypothèses!$X$9,IF(U106&lt;=Hypothèses!$V$10,Hypothèses!$X$10,IF(U106&lt;=Hypothèses!$V$11,Hypothèses!$X$11,IF(U106&lt;=Hypothèses!$V$12,Hypothèses!$X$12,IF(U106&lt;=Hypothèses!$V$13,Hypothèses!$X$13,IF(U106&lt;=Hypothèses!$V$14,Hypothèses!$X$14,IF(U106&lt;=Hypothèses!$V$15,Hypothèses!$X$15,IF(U106&lt;=Hypothèses!$V$16,Hypothèses!$X$16,IF(U106&lt;=Hypothèses!$U$17,Hypothèses!$W$17,IF(U106&lt;=Hypothèses!$U$18,Hypothèses!$W$18,""))))))))))))</f>
        <v>#DIV/0!</v>
      </c>
      <c r="AR106" s="95" t="e">
        <f t="shared" ca="1" si="172"/>
        <v>#DIV/0!</v>
      </c>
      <c r="AS106" s="101">
        <f t="shared" si="224"/>
        <v>0</v>
      </c>
      <c r="AT106" s="91">
        <f t="shared" si="141"/>
        <v>0</v>
      </c>
      <c r="AU106" s="30" t="e">
        <f t="shared" si="202"/>
        <v>#N/A</v>
      </c>
      <c r="AV106" s="30" t="e">
        <f t="shared" si="203"/>
        <v>#N/A</v>
      </c>
      <c r="AW106" s="31" t="e">
        <f>IF(OR(Hypothèses!$B$4=17,Hypothèses!$B$4=18,Hypothèses!$B$4=19,Hypothèses!$B$4=20),
IF($D106="Pressio.",
IF(OR($E106=3,$E106=1,$E106=4),AV106,AU106),
IF($D106="Pénétro.",
IF(OR($E106=3,$E106=1,$E106=4),AV106,AU106))),IF($D106="Pressio.",
IF($E106=3,AV106,AU106),
IF($D106="Pénétro.",
IF($E106=4,AV106,AU106))))</f>
        <v>#N/A</v>
      </c>
      <c r="AX106" s="31">
        <v>0</v>
      </c>
      <c r="AY106" s="102" t="e">
        <f>IF(NDC!$H$10="Oui",(VLOOKUP($B$3,'Coeff EC7'!$T$39:$X$59,2,0)*AW106+VLOOKUP($B$3,'Coeff EC7'!$T$65:$X$85,2,0)*Model0.1T!AX106)/1.5,PI()*AU$12*$Q106*($B106-$B105)*0.15/10+AY105)</f>
        <v>#N/A</v>
      </c>
      <c r="AZ106" s="102" t="e">
        <f>(VLOOKUP($B$3,'Coeff EC7'!$T$39:$X$59,3,0)*AW106+VLOOKUP($B$3,'Coeff EC7'!$T$65:$X$85,3,0)*Model0.1T!AX106)/1.1</f>
        <v>#N/A</v>
      </c>
      <c r="BA106" s="102" t="e">
        <f t="shared" si="173"/>
        <v>#N/A</v>
      </c>
      <c r="BB106" s="102" t="e">
        <f t="shared" si="174"/>
        <v>#N/A</v>
      </c>
      <c r="BC106" s="414" t="e">
        <f>IF(AND(AY106&gt;NDC!$C$63,AZ106&gt;NDC!$C$65,BA106&gt;NDC!$D$73,BB106&gt;NDC!$D$74,$B106&gt;NDC!$H$22-0.1+MIN(3*BC$12,1.5)),0,1)</f>
        <v>#N/A</v>
      </c>
      <c r="BD106" s="86" t="b">
        <f t="shared" si="142"/>
        <v>0</v>
      </c>
      <c r="BE106" s="86">
        <f t="shared" si="175"/>
        <v>0.5</v>
      </c>
      <c r="BF106" s="86">
        <f t="shared" si="143"/>
        <v>0.5</v>
      </c>
      <c r="BG106" s="30" t="e">
        <f t="shared" ca="1" si="176"/>
        <v>#DIV/0!</v>
      </c>
      <c r="BH106" s="85" t="e">
        <f ca="1">IF(AN106&lt;=Hypothèses!$V$7,Hypothèses!$W$7,IF(AN106&lt;=Hypothèses!$V$8,Hypothèses!$W$8,IF(AN106&lt;=Hypothèses!$V$9,Hypothèses!$W$9,IF(AN106&lt;=Hypothèses!$V$10,Hypothèses!$W$10,IF(AN106&lt;=Hypothèses!$V$11,Hypothèses!$W$11,IF(AN106&lt;=Hypothèses!$V$12,Hypothèses!$W$12,IF(AN106&lt;=Hypothèses!$V$13,Hypothèses!$W$13,IF(AN106&lt;=Hypothèses!$V$14,Hypothèses!$W$14,IF(AN106&lt;=Hypothèses!$V$15,Hypothèses!$W$15,IF(AN106&lt;=Hypothèses!$V$16,Hypothèses!$W$16,IF(AN106&lt;=Hypothèses!$V$17,Hypothèses!$W$17,IF(AN106&lt;=Hypothèses!$V$18,Hypothèses!$W$18,""))))))))))))</f>
        <v>#DIV/0!</v>
      </c>
      <c r="BI106" s="87" t="e">
        <f t="shared" ca="1" si="218"/>
        <v>#DIV/0!</v>
      </c>
      <c r="BJ106" s="88" t="e">
        <f ca="1">IF(AN106&lt;=Hypothèses!$V$7,Hypothèses!$X$7,IF(AN106&lt;=Hypothèses!$V$8,Hypothèses!$X$8,IF(AN106&lt;=Hypothèses!$V$9,Hypothèses!$X$9,IF(AN106&lt;=Hypothèses!$V$10,Hypothèses!$X$10,IF(AN106&lt;=Hypothèses!$V$11,Hypothèses!$X$11,IF(AN106&lt;=Hypothèses!$V$12,Hypothèses!$X$12,IF(AN106&lt;=Hypothèses!$V$13,Hypothèses!$X$13,IF(AN106&lt;=Hypothèses!$V$14,Hypothèses!$X$14,IF(AN106&lt;=Hypothèses!$V$15,Hypothèses!$X$15,IF(AN106&lt;=Hypothèses!$V$16,Hypothèses!$X$16,IF(AN106&lt;=Hypothèses!$U$17,Hypothèses!$W$17,IF(AN106&lt;=Hypothèses!$U$18,Hypothèses!$W$18,""))))))))))))</f>
        <v>#DIV/0!</v>
      </c>
      <c r="BK106" s="95" t="e">
        <f t="shared" ca="1" si="177"/>
        <v>#DIV/0!</v>
      </c>
      <c r="BL106" s="101">
        <f t="shared" si="225"/>
        <v>0</v>
      </c>
      <c r="BM106" s="91">
        <f t="shared" si="144"/>
        <v>0</v>
      </c>
      <c r="BN106" s="30" t="e">
        <f t="shared" si="204"/>
        <v>#N/A</v>
      </c>
      <c r="BO106" s="30" t="e">
        <f t="shared" si="205"/>
        <v>#N/A</v>
      </c>
      <c r="BP106" s="31" t="e">
        <f>IF(OR(Hypothèses!$B$4=17,Hypothèses!$B$4=18,Hypothèses!$B$4=19,Hypothèses!$B$4=20),
IF($D106="Pressio.",
IF(OR($E106=3,$E106=1,$E106=4),BO106,BN106),
IF($D106="Pénétro.",
IF(OR($E106=3,$E106=1,$E106=4),BO106,BN106))),IF($D106="Pressio.",
IF($E106=3,BO106,BN106),
IF($D106="Pénétro.",
IF($E106=4,BO106,BN106))))</f>
        <v>#N/A</v>
      </c>
      <c r="BQ106" s="31">
        <v>0</v>
      </c>
      <c r="BR106" s="102" t="e">
        <f>IF(NDC!$H$10="Oui",(VLOOKUP($B$3,'Coeff EC7'!$T$39:$X$59,2,0)*BP106+VLOOKUP($B$3,'Coeff EC7'!$T$65:$X$85,2,0)*Model0.1T!BQ106)/1.5,PI()*BN$12*$Q106*($B106-$B105)*0.15/10+BR105)</f>
        <v>#N/A</v>
      </c>
      <c r="BS106" s="102" t="e">
        <f>(VLOOKUP($B$3,'Coeff EC7'!$T$39:$X$59,3,0)*BP106+VLOOKUP($B$3,'Coeff EC7'!$T$65:$X$85,3,0)*Model0.1T!BQ106)/1.1</f>
        <v>#N/A</v>
      </c>
      <c r="BT106" s="102" t="e">
        <f t="shared" si="178"/>
        <v>#N/A</v>
      </c>
      <c r="BU106" s="102" t="e">
        <f t="shared" si="179"/>
        <v>#N/A</v>
      </c>
      <c r="BV106" s="414" t="e">
        <f>IF(AND(BR106&gt;NDC!$C$63,BS106&gt;NDC!$C$65,BT106&gt;NDC!$D$73,BU106&gt;NDC!$D$74,$B106&gt;NDC!$H$22-0.1+MIN(3*BV$12,1.5)),0,1)</f>
        <v>#N/A</v>
      </c>
      <c r="BW106" s="86" t="b">
        <f t="shared" si="145"/>
        <v>0</v>
      </c>
      <c r="BX106" s="86">
        <f t="shared" si="146"/>
        <v>0.5</v>
      </c>
      <c r="BY106" s="86">
        <f t="shared" si="147"/>
        <v>0.5</v>
      </c>
      <c r="BZ106" s="30" t="e">
        <f t="shared" ca="1" si="180"/>
        <v>#DIV/0!</v>
      </c>
      <c r="CA106" s="85" t="e">
        <f ca="1">IF(BG106&lt;=Hypothèses!$V$7,Hypothèses!$W$7,IF(BG106&lt;=Hypothèses!$V$8,Hypothèses!$W$8,IF(BG106&lt;=Hypothèses!$V$9,Hypothèses!$W$9,IF(BG106&lt;=Hypothèses!$V$10,Hypothèses!$W$10,IF(BG106&lt;=Hypothèses!$V$11,Hypothèses!$W$11,IF(BG106&lt;=Hypothèses!$V$12,Hypothèses!$W$12,IF(BG106&lt;=Hypothèses!$V$13,Hypothèses!$W$13,IF(BG106&lt;=Hypothèses!$V$14,Hypothèses!$W$14,IF(BG106&lt;=Hypothèses!$V$15,Hypothèses!$W$15,IF(BG106&lt;=Hypothèses!$V$16,Hypothèses!$W$16,IF(BG106&lt;=Hypothèses!$V$17,Hypothèses!$W$17,IF(BG106&lt;=Hypothèses!$V$18,Hypothèses!$W$18,""))))))))))))</f>
        <v>#DIV/0!</v>
      </c>
      <c r="CB106" s="87" t="e">
        <f t="shared" ca="1" si="219"/>
        <v>#DIV/0!</v>
      </c>
      <c r="CC106" s="88" t="e">
        <f ca="1">IF(BG106&lt;=Hypothèses!$V$7,Hypothèses!$X$7,IF(BG106&lt;=Hypothèses!$V$8,Hypothèses!$X$8,IF(BG106&lt;=Hypothèses!$V$9,Hypothèses!$X$9,IF(BG106&lt;=Hypothèses!$V$10,Hypothèses!$X$10,IF(BG106&lt;=Hypothèses!$V$11,Hypothèses!$X$11,IF(BG106&lt;=Hypothèses!$V$12,Hypothèses!$X$12,IF(BG106&lt;=Hypothèses!$V$13,Hypothèses!$X$13,IF(BG106&lt;=Hypothèses!$V$14,Hypothèses!$X$14,IF(BG106&lt;=Hypothèses!$V$15,Hypothèses!$X$15,IF(BG106&lt;=Hypothèses!$V$16,Hypothèses!$X$16,IF(BG106&lt;=Hypothèses!$U$17,Hypothèses!$W$17,IF(BG106&lt;=Hypothèses!$U$18,Hypothèses!$W$18,""))))))))))))</f>
        <v>#DIV/0!</v>
      </c>
      <c r="CD106" s="95" t="e">
        <f t="shared" ca="1" si="181"/>
        <v>#DIV/0!</v>
      </c>
      <c r="CE106" s="101">
        <f t="shared" si="226"/>
        <v>0</v>
      </c>
      <c r="CF106" s="91">
        <f t="shared" si="148"/>
        <v>0</v>
      </c>
      <c r="CG106" s="30" t="e">
        <f t="shared" si="206"/>
        <v>#N/A</v>
      </c>
      <c r="CH106" s="30" t="e">
        <f t="shared" si="207"/>
        <v>#N/A</v>
      </c>
      <c r="CI106" s="31" t="e">
        <f>IF(OR(Hypothèses!$B$4=17,Hypothèses!$B$4=18,Hypothèses!$B$4=19,Hypothèses!$B$4=20),
IF($D106="Pressio.",
IF(OR($E106=3,$E106=1,$E106=4),CH106,CG106),
IF($D106="Pénétro.",
IF(OR($E106=3,$E106=1,$E106=4),CH106,CG106))),IF($D106="Pressio.",
IF($E106=3,CH106,CG106),
IF($D106="Pénétro.",
IF($E106=4,CH106,CG106))))</f>
        <v>#N/A</v>
      </c>
      <c r="CJ106" s="31">
        <v>0</v>
      </c>
      <c r="CK106" s="102" t="e">
        <f>IF(NDC!$H$10="Oui",(VLOOKUP($B$3,'Coeff EC7'!$T$39:$X$59,2,0)*CI106+VLOOKUP($B$3,'Coeff EC7'!$T$65:$X$85,2,0)*Model0.1T!CJ106)/1.5,PI()*CG$12*$Q106*($B106-$B105)*0.15/10+CK105)</f>
        <v>#N/A</v>
      </c>
      <c r="CL106" s="102" t="e">
        <f>(VLOOKUP($B$3,'Coeff EC7'!$T$39:$X$59,3,0)*CI106+VLOOKUP($B$3,'Coeff EC7'!$T$65:$X$85,3,0)*Model0.1T!CJ106)/1.1</f>
        <v>#N/A</v>
      </c>
      <c r="CM106" s="102" t="e">
        <f t="shared" si="182"/>
        <v>#N/A</v>
      </c>
      <c r="CN106" s="102" t="e">
        <f t="shared" si="183"/>
        <v>#N/A</v>
      </c>
      <c r="CO106" s="414" t="e">
        <f>IF(AND(CK106&gt;NDC!$C$63,CL106&gt;NDC!$C$65,CM106&gt;NDC!$D$73,CN106&gt;NDC!$D$74,$B106&gt;NDC!$H$22-0.1+MIN(3*CO$12,1.5)),0,1)</f>
        <v>#N/A</v>
      </c>
      <c r="CP106" s="86" t="b">
        <f t="shared" si="149"/>
        <v>0</v>
      </c>
      <c r="CQ106" s="86">
        <f t="shared" si="150"/>
        <v>0.5</v>
      </c>
      <c r="CR106" s="86">
        <f t="shared" si="151"/>
        <v>0.5</v>
      </c>
      <c r="CS106" s="30" t="e">
        <f t="shared" ca="1" si="184"/>
        <v>#DIV/0!</v>
      </c>
      <c r="CT106" s="85" t="e">
        <f ca="1">IF(BZ106&lt;=Hypothèses!$V$7,Hypothèses!$W$7,IF(BZ106&lt;=Hypothèses!$V$8,Hypothèses!$W$8,IF(BZ106&lt;=Hypothèses!$V$9,Hypothèses!$W$9,IF(BZ106&lt;=Hypothèses!$V$10,Hypothèses!$W$10,IF(BZ106&lt;=Hypothèses!$V$11,Hypothèses!$W$11,IF(BZ106&lt;=Hypothèses!$V$12,Hypothèses!$W$12,IF(BZ106&lt;=Hypothèses!$V$13,Hypothèses!$W$13,IF(BZ106&lt;=Hypothèses!$V$14,Hypothèses!$W$14,IF(BZ106&lt;=Hypothèses!$V$15,Hypothèses!$W$15,IF(BZ106&lt;=Hypothèses!$V$16,Hypothèses!$W$16,IF(BZ106&lt;=Hypothèses!$V$17,Hypothèses!$W$17,IF(BZ106&lt;=Hypothèses!$V$18,Hypothèses!$W$18,""))))))))))))</f>
        <v>#DIV/0!</v>
      </c>
      <c r="CU106" s="87" t="e">
        <f t="shared" ca="1" si="220"/>
        <v>#DIV/0!</v>
      </c>
      <c r="CV106" s="88" t="e">
        <f ca="1">IF(BZ106&lt;=Hypothèses!$V$7,Hypothèses!$X$7,IF(BZ106&lt;=Hypothèses!$V$8,Hypothèses!$X$8,IF(BZ106&lt;=Hypothèses!$V$9,Hypothèses!$X$9,IF(BZ106&lt;=Hypothèses!$V$10,Hypothèses!$X$10,IF(BZ106&lt;=Hypothèses!$V$11,Hypothèses!$X$11,IF(BZ106&lt;=Hypothèses!$V$12,Hypothèses!$X$12,IF(BZ106&lt;=Hypothèses!$V$13,Hypothèses!$X$13,IF(BZ106&lt;=Hypothèses!$V$14,Hypothèses!$X$14,IF(BZ106&lt;=Hypothèses!$V$15,Hypothèses!$X$15,IF(BZ106&lt;=Hypothèses!$V$16,Hypothèses!$X$16,IF(BZ106&lt;=Hypothèses!$U$17,Hypothèses!$W$17,IF(BZ106&lt;=Hypothèses!$U$18,Hypothèses!$W$18,""))))))))))))</f>
        <v>#DIV/0!</v>
      </c>
      <c r="CW106" s="95" t="e">
        <f t="shared" ca="1" si="185"/>
        <v>#DIV/0!</v>
      </c>
      <c r="CX106" s="101">
        <f t="shared" si="227"/>
        <v>0</v>
      </c>
      <c r="CY106" s="91">
        <f t="shared" si="152"/>
        <v>0</v>
      </c>
      <c r="CZ106" s="30" t="e">
        <f t="shared" si="208"/>
        <v>#N/A</v>
      </c>
      <c r="DA106" s="30" t="e">
        <f t="shared" si="209"/>
        <v>#N/A</v>
      </c>
      <c r="DB106" s="31" t="e">
        <f>IF(OR(Hypothèses!$B$4=17,Hypothèses!$B$4=18,Hypothèses!$B$4=19,Hypothèses!$B$4=20),
IF($D106="Pressio.",
IF(OR($E106=3,$E106=1,$E106=4),DA106,CZ106),
IF($D106="Pénétro.",
IF(OR($E106=3,$E106=1,$E106=4),DA106,CZ106))),IF($D106="Pressio.",
IF($E106=3,DA106,CZ106),
IF($D106="Pénétro.",
IF($E106=4,DA106,CZ106))))</f>
        <v>#N/A</v>
      </c>
      <c r="DC106" s="31">
        <v>0</v>
      </c>
      <c r="DD106" s="102" t="e">
        <f>IF(NDC!$H$10="Oui",(VLOOKUP($B$3,'Coeff EC7'!$T$39:$X$59,2,0)*DB106+VLOOKUP($B$3,'Coeff EC7'!$T$65:$X$85,2,0)*Model0.1T!DC106)/1.5,PI()*CZ$12*$Q106*($B106-$B105)*0.15/10+DD105)</f>
        <v>#N/A</v>
      </c>
      <c r="DE106" s="102" t="e">
        <f>(VLOOKUP($B$3,'Coeff EC7'!$T$39:$X$59,3,0)*DB106+VLOOKUP($B$3,'Coeff EC7'!$T$65:$X$85,3,0)*Model0.1T!DC106)/1.1</f>
        <v>#N/A</v>
      </c>
      <c r="DF106" s="102" t="e">
        <f t="shared" si="186"/>
        <v>#N/A</v>
      </c>
      <c r="DG106" s="102" t="e">
        <f t="shared" si="187"/>
        <v>#N/A</v>
      </c>
      <c r="DH106" s="414" t="e">
        <f>IF(AND(DD106&gt;NDC!$C$63,DE106&gt;NDC!$C$65,DF106&gt;NDC!$D$73,DG106&gt;NDC!$D$74,$B106&gt;NDC!$H$22-0.1+MIN(3*DH$12,1.5)),0,1)</f>
        <v>#N/A</v>
      </c>
      <c r="DI106" s="86" t="b">
        <f t="shared" si="153"/>
        <v>0</v>
      </c>
      <c r="DJ106" s="86">
        <f t="shared" si="154"/>
        <v>0.5</v>
      </c>
      <c r="DK106" s="86">
        <f t="shared" si="155"/>
        <v>0.5</v>
      </c>
      <c r="DL106" s="30" t="e">
        <f t="shared" ca="1" si="188"/>
        <v>#DIV/0!</v>
      </c>
      <c r="DM106" s="85" t="e">
        <f ca="1">IF(CS106&lt;=Hypothèses!$V$7,Hypothèses!$W$7,IF(CS106&lt;=Hypothèses!$V$8,Hypothèses!$W$8,IF(CS106&lt;=Hypothèses!$V$9,Hypothèses!$W$9,IF(CS106&lt;=Hypothèses!$V$10,Hypothèses!$W$10,IF(CS106&lt;=Hypothèses!$V$11,Hypothèses!$W$11,IF(CS106&lt;=Hypothèses!$V$12,Hypothèses!$W$12,IF(CS106&lt;=Hypothèses!$V$13,Hypothèses!$W$13,IF(CS106&lt;=Hypothèses!$V$14,Hypothèses!$W$14,IF(CS106&lt;=Hypothèses!$V$15,Hypothèses!$W$15,IF(CS106&lt;=Hypothèses!$V$16,Hypothèses!$W$16,IF(CS106&lt;=Hypothèses!$V$17,Hypothèses!$W$17,IF(CS106&lt;=Hypothèses!$V$18,Hypothèses!$W$18,""))))))))))))</f>
        <v>#DIV/0!</v>
      </c>
      <c r="DN106" s="87" t="e">
        <f t="shared" ca="1" si="221"/>
        <v>#DIV/0!</v>
      </c>
      <c r="DO106" s="88" t="e">
        <f ca="1">IF(CS106&lt;=Hypothèses!$V$7,Hypothèses!$X$7,IF(CS106&lt;=Hypothèses!$V$8,Hypothèses!$X$8,IF(CS106&lt;=Hypothèses!$V$9,Hypothèses!$X$9,IF(CS106&lt;=Hypothèses!$V$10,Hypothèses!$X$10,IF(CS106&lt;=Hypothèses!$V$11,Hypothèses!$X$11,IF(CS106&lt;=Hypothèses!$V$12,Hypothèses!$X$12,IF(CS106&lt;=Hypothèses!$V$13,Hypothèses!$X$13,IF(CS106&lt;=Hypothèses!$V$14,Hypothèses!$X$14,IF(CS106&lt;=Hypothèses!$V$15,Hypothèses!$X$15,IF(CS106&lt;=Hypothèses!$V$16,Hypothèses!$X$16,IF(CS106&lt;=Hypothèses!$U$17,Hypothèses!$W$17,IF(CS106&lt;=Hypothèses!$U$18,Hypothèses!$W$18,""))))))))))))</f>
        <v>#DIV/0!</v>
      </c>
      <c r="DP106" s="95" t="e">
        <f t="shared" ca="1" si="189"/>
        <v>#DIV/0!</v>
      </c>
      <c r="DQ106" s="101">
        <f t="shared" si="228"/>
        <v>0</v>
      </c>
      <c r="DR106" s="91">
        <f t="shared" si="156"/>
        <v>0</v>
      </c>
      <c r="DS106" s="30" t="e">
        <f t="shared" si="210"/>
        <v>#N/A</v>
      </c>
      <c r="DT106" s="30" t="e">
        <f t="shared" si="211"/>
        <v>#N/A</v>
      </c>
      <c r="DU106" s="31" t="e">
        <f>IF(OR(Hypothèses!$B$4=17,Hypothèses!$B$4=18,Hypothèses!$B$4=19,Hypothèses!$B$4=20),
IF($D106="Pressio.",
IF(OR($E106=3,$E106=1,$E106=4),DT106,DS106),
IF($D106="Pénétro.",
IF(OR($E106=3,$E106=1,$E106=4),DT106,DS106))),IF($D106="Pressio.",
IF($E106=3,DT106,DS106),
IF($D106="Pénétro.",
IF($E106=4,DT106,DS106))))</f>
        <v>#N/A</v>
      </c>
      <c r="DV106" s="31">
        <v>0</v>
      </c>
      <c r="DW106" s="102" t="e">
        <f>IF(NDC!$H$10="Oui",(VLOOKUP($B$3,'Coeff EC7'!$T$39:$X$59,2,0)*DU106+VLOOKUP($B$3,'Coeff EC7'!$T$65:$X$85,2,0)*Model0.1T!DV106)/1.5,PI()*DS$12*$Q106*($B106-$B105)*0.15/10+DW105)</f>
        <v>#N/A</v>
      </c>
      <c r="DX106" s="102" t="e">
        <f>(VLOOKUP($B$3,'Coeff EC7'!$T$39:$X$59,3,0)*DU106+VLOOKUP($B$3,'Coeff EC7'!$T$65:$X$85,3,0)*Model0.1T!DV106)/1.1</f>
        <v>#N/A</v>
      </c>
      <c r="DY106" s="102" t="e">
        <f t="shared" si="190"/>
        <v>#N/A</v>
      </c>
      <c r="DZ106" s="102" t="e">
        <f t="shared" si="191"/>
        <v>#N/A</v>
      </c>
      <c r="EA106" s="414" t="e">
        <f>IF(AND(DW106&gt;NDC!$C$63,DX106&gt;NDC!$C$65,DY106&gt;NDC!$D$73,DZ106&gt;NDC!$D$74,$B106&gt;NDC!$H$22-0.1+MIN(3*EA$12,1.5)),0,1)</f>
        <v>#N/A</v>
      </c>
      <c r="EB106" s="86" t="b">
        <f t="shared" si="157"/>
        <v>0</v>
      </c>
      <c r="EC106" s="418">
        <f t="shared" si="158"/>
        <v>0.51</v>
      </c>
      <c r="ED106" s="86">
        <f t="shared" si="159"/>
        <v>0.51</v>
      </c>
      <c r="EE106" s="30" t="e">
        <f t="shared" ca="1" si="192"/>
        <v>#DIV/0!</v>
      </c>
      <c r="EF106" s="85" t="e">
        <f ca="1">IF(DL106&lt;=Hypothèses!$V$7,Hypothèses!$W$7,IF(DL106&lt;=Hypothèses!$V$8,Hypothèses!$W$8,IF(DL106&lt;=Hypothèses!$V$9,Hypothèses!$W$9,IF(DL106&lt;=Hypothèses!$V$10,Hypothèses!$W$10,IF(DL106&lt;=Hypothèses!$V$11,Hypothèses!$W$11,IF(DL106&lt;=Hypothèses!$V$12,Hypothèses!$W$12,IF(DL106&lt;=Hypothèses!$V$13,Hypothèses!$W$13,IF(DL106&lt;=Hypothèses!$V$14,Hypothèses!$W$14,IF(DL106&lt;=Hypothèses!$V$15,Hypothèses!$W$15,IF(DL106&lt;=Hypothèses!$V$16,Hypothèses!$W$16,IF(DL106&lt;=Hypothèses!$V$17,Hypothèses!$W$17,IF(DL106&lt;=Hypothèses!$V$18,Hypothèses!$W$18,""))))))))))))</f>
        <v>#DIV/0!</v>
      </c>
      <c r="EG106" s="87" t="e">
        <f t="shared" ca="1" si="222"/>
        <v>#DIV/0!</v>
      </c>
      <c r="EH106" s="88" t="e">
        <f ca="1">IF(DL106&lt;=Hypothèses!$V$7,Hypothèses!$X$7,IF(DL106&lt;=Hypothèses!$V$8,Hypothèses!$X$8,IF(DL106&lt;=Hypothèses!$V$9,Hypothèses!$X$9,IF(DL106&lt;=Hypothèses!$V$10,Hypothèses!$X$10,IF(DL106&lt;=Hypothèses!$V$11,Hypothèses!$X$11,IF(DL106&lt;=Hypothèses!$V$12,Hypothèses!$X$12,IF(DL106&lt;=Hypothèses!$V$13,Hypothèses!$X$13,IF(DL106&lt;=Hypothèses!$V$14,Hypothèses!$X$14,IF(DL106&lt;=Hypothèses!$V$15,Hypothèses!$X$15,IF(DL106&lt;=Hypothèses!$V$16,Hypothèses!$X$16,IF(DL106&lt;=Hypothèses!$U$17,Hypothèses!$W$17,IF(DL106&lt;=Hypothèses!$U$18,Hypothèses!$W$18,""))))))))))))</f>
        <v>#DIV/0!</v>
      </c>
      <c r="EI106" s="95" t="e">
        <f t="shared" ca="1" si="193"/>
        <v>#DIV/0!</v>
      </c>
      <c r="EJ106" s="101">
        <f t="shared" si="229"/>
        <v>0</v>
      </c>
      <c r="EK106" s="91">
        <f t="shared" si="160"/>
        <v>0</v>
      </c>
      <c r="EL106" s="30" t="e">
        <f t="shared" si="212"/>
        <v>#N/A</v>
      </c>
      <c r="EM106" s="30" t="e">
        <f t="shared" si="213"/>
        <v>#N/A</v>
      </c>
      <c r="EN106" s="31" t="e">
        <f>IF(OR(Hypothèses!$B$4=17,Hypothèses!$B$4=18,Hypothèses!$B$4=19,Hypothèses!$B$4=20),
IF($D106="Pressio.",
IF(OR($E106=3,$E106=1,$E106=4),EM106,EL106),
IF($D106="Pénétro.",
IF(OR($E106=3,$E106=1,$E106=4),EM106,EL106))),IF($D106="Pressio.",
IF($E106=3,EM106,EL106),
IF($D106="Pénétro.",
IF($E106=4,EM106,EL106))))</f>
        <v>#N/A</v>
      </c>
      <c r="EO106" s="31">
        <v>0</v>
      </c>
      <c r="EP106" s="102" t="e">
        <f>IF(NDC!$H$10="Oui",(VLOOKUP($B$3,'Coeff EC7'!$T$39:$X$59,2,0)*EN106+VLOOKUP($B$3,'Coeff EC7'!$T$65:$X$85,2,0)*Model0.1T!EO106)/1.5,PI()*EL$12*$Q106*($B106-$B105)*0.15/10+EP105)</f>
        <v>#N/A</v>
      </c>
      <c r="EQ106" s="102" t="e">
        <f>(VLOOKUP($B$3,'Coeff EC7'!$T$39:$X$59,3,0)*EN106+VLOOKUP($B$3,'Coeff EC7'!$T$65:$X$85,3,0)*Model0.1T!EO106)/1.1</f>
        <v>#N/A</v>
      </c>
      <c r="ER106" s="102" t="e">
        <f t="shared" si="194"/>
        <v>#N/A</v>
      </c>
      <c r="ES106" s="102" t="e">
        <f t="shared" si="195"/>
        <v>#N/A</v>
      </c>
      <c r="ET106" s="414" t="e">
        <f>IF(AND(EP106&gt;NDC!$C$63,EQ106&gt;NDC!$C$65,ER106&gt;NDC!$D$73,ES106&gt;NDC!$D$74,$B106&gt;NDC!$H$22-0.1+MIN(3*ET$12,1.5)),0,1)</f>
        <v>#N/A</v>
      </c>
      <c r="EU106" s="86" t="b">
        <f t="shared" si="161"/>
        <v>0</v>
      </c>
      <c r="EV106" s="86">
        <f t="shared" si="162"/>
        <v>0.61</v>
      </c>
      <c r="EW106" s="86">
        <f t="shared" si="163"/>
        <v>0.61</v>
      </c>
      <c r="EX106" s="30" t="e">
        <f t="shared" ca="1" si="196"/>
        <v>#DIV/0!</v>
      </c>
      <c r="EY106" s="85" t="e">
        <f ca="1">IF(EE106&lt;=Hypothèses!$V$7,Hypothèses!$W$7,IF(EE106&lt;=Hypothèses!$V$8,Hypothèses!$W$8,IF(EE106&lt;=Hypothèses!$V$9,Hypothèses!$W$9,IF(EE106&lt;=Hypothèses!$V$10,Hypothèses!$W$10,IF(EE106&lt;=Hypothèses!$V$11,Hypothèses!$W$11,IF(EE106&lt;=Hypothèses!$V$12,Hypothèses!$W$12,IF(EE106&lt;=Hypothèses!$V$13,Hypothèses!$W$13,IF(EE106&lt;=Hypothèses!$V$14,Hypothèses!$W$14,IF(EE106&lt;=Hypothèses!$V$15,Hypothèses!$W$15,IF(EE106&lt;=Hypothèses!$V$16,Hypothèses!$W$16,IF(EE106&lt;=Hypothèses!$V$17,Hypothèses!$W$17,IF(EE106&lt;=Hypothèses!$V$18,Hypothèses!$W$18,""))))))))))))</f>
        <v>#DIV/0!</v>
      </c>
      <c r="EZ106" s="87" t="e">
        <f t="shared" ca="1" si="223"/>
        <v>#DIV/0!</v>
      </c>
      <c r="FA106" s="88" t="e">
        <f ca="1">IF(EE106&lt;=Hypothèses!$V$7,Hypothèses!$X$7,IF(EE106&lt;=Hypothèses!$V$8,Hypothèses!$X$8,IF(EE106&lt;=Hypothèses!$V$9,Hypothèses!$X$9,IF(EE106&lt;=Hypothèses!$V$10,Hypothèses!$X$10,IF(EE106&lt;=Hypothèses!$V$11,Hypothèses!$X$11,IF(EE106&lt;=Hypothèses!$V$12,Hypothèses!$X$12,IF(EE106&lt;=Hypothèses!$V$13,Hypothèses!$X$13,IF(EE106&lt;=Hypothèses!$V$14,Hypothèses!$X$14,IF(EE106&lt;=Hypothèses!$V$15,Hypothèses!$X$15,IF(EE106&lt;=Hypothèses!$V$16,Hypothèses!$X$16,IF(EE106&lt;=Hypothèses!$U$17,Hypothèses!$W$17,IF(EE106&lt;=Hypothèses!$U$18,Hypothèses!$W$18,""))))))))))))</f>
        <v>#DIV/0!</v>
      </c>
      <c r="FB106" s="95" t="e">
        <f t="shared" ca="1" si="197"/>
        <v>#DIV/0!</v>
      </c>
      <c r="FC106" s="101">
        <f t="shared" si="230"/>
        <v>0</v>
      </c>
      <c r="FD106" s="91">
        <f t="shared" si="164"/>
        <v>0</v>
      </c>
      <c r="FE106" s="30" t="e">
        <f t="shared" si="214"/>
        <v>#N/A</v>
      </c>
      <c r="FF106" s="30" t="e">
        <f t="shared" si="215"/>
        <v>#N/A</v>
      </c>
      <c r="FG106" s="31" t="e">
        <f>IF(OR(Hypothèses!$B$4=17,Hypothèses!$B$4=18,Hypothèses!$B$4=19,Hypothèses!$B$4=20),
IF($D106="Pressio.",
IF(OR($E106=3,$E106=1,$E106=4),FF106,FE106),
IF($D106="Pénétro.",
IF(OR($E106=3,$E106=1,$E106=4),FF106,FE106))),IF($D106="Pressio.",
IF($E106=3,FF106,FE106),
IF($D106="Pénétro.",
IF($E106=4,FF106,FE106))))</f>
        <v>#N/A</v>
      </c>
      <c r="FH106" s="31">
        <v>0</v>
      </c>
      <c r="FI106" s="102" t="e">
        <f>IF(NDC!$H$10="Oui",(VLOOKUP($B$3,'Coeff EC7'!$T$39:$X$59,2,0)*FG106+VLOOKUP($B$3,'Coeff EC7'!$T$65:$X$85,2,0)*Model0.1T!FH106)/1.5,PI()*FE$12*$Q106*($B106-$B105)*0.15/10+FI105)</f>
        <v>#N/A</v>
      </c>
      <c r="FJ106" s="102" t="e">
        <f>(VLOOKUP($B$3,'Coeff EC7'!$T$39:$X$59,3,0)*FG106+VLOOKUP($B$3,'Coeff EC7'!$T$65:$X$85,3,0)*Model0.1T!FH106)/1.1</f>
        <v>#N/A</v>
      </c>
      <c r="FK106" s="102" t="e">
        <f t="shared" si="198"/>
        <v>#N/A</v>
      </c>
      <c r="FL106" s="102" t="e">
        <f t="shared" si="199"/>
        <v>#N/A</v>
      </c>
      <c r="FM106" s="414" t="e">
        <f>IF(AND(FI106&gt;NDC!$C$63,FJ106&gt;NDC!$C$65,FK106&gt;NDC!$D$73,FL106&gt;NDC!$D$74,$B106&gt;NDC!$H$22-0.1+MIN(3*FM$12,1.5)),0,1)</f>
        <v>#N/A</v>
      </c>
    </row>
    <row r="107" spans="1:169">
      <c r="A107" s="96">
        <f t="shared" si="165"/>
        <v>90.600000000000534</v>
      </c>
      <c r="B107" s="97">
        <v>9.4</v>
      </c>
      <c r="C107" s="81">
        <f>IF(B107&lt;=Hypothèses!$C$7,Hypothèses!$A$7,IF(B107&lt;=Hypothèses!$C$8,Hypothèses!$A$8,IF(B107&lt;=Hypothèses!$C$9,Hypothèses!$A$9,IF(B107&lt;=Hypothèses!$C$10,Hypothèses!$A$10,IF(B107&lt;=Hypothèses!$C$11,Hypothèses!$A$11,IF(B107&lt;=Hypothèses!$C$12,Hypothèses!$A$12,IF(B107&lt;=Hypothèses!$C$13,Hypothèses!$A$13,IF(B107&lt;=Hypothèses!$C$14,Hypothèses!$A$14,IF(B107&lt;=Hypothèses!$C$15,Hypothèses!$A$15,IF(B107&lt;=Hypothèses!$C$16,Hypothèses!$A$16,IF(B107&lt;=Hypothèses!$C$17,Hypothèses!$A$17,IF(B107&lt;=Hypothèses!$C$18,Hypothèses!$A$18,C106))))))))))))</f>
        <v>11</v>
      </c>
      <c r="D107" s="82" t="str">
        <f>IF(B107&lt;=Hypothèses!$C$7,Hypothèses!$R$7,IF(B107&lt;=Hypothèses!$C$8,Hypothèses!$R$8,IF(B107&lt;=Hypothèses!$C$9,Hypothèses!$R$9,IF(B107&lt;=Hypothèses!$C$10,Hypothèses!$R$10,IF(B107&lt;=Hypothèses!$C$11,Hypothèses!$R$11,IF(B107&lt;=Hypothèses!$C$12,Hypothèses!$R$12,IF(B107&lt;=Hypothèses!$C$13,Hypothèses!$R$13,IF(B107&lt;=Hypothèses!$C$14,Hypothèses!$R$14,IF(B107&lt;=Hypothèses!$C$15,Hypothèses!$R$15,IF(B107&lt;=Hypothèses!$C$16,Hypothèses!$R$16,IF(B107&lt;=Hypothèses!$C$17,Hypothèses!$R$17,IF(B107&lt;=Hypothèses!$C$18,Hypothèses!$R$18,D106))))))))))))</f>
        <v>Pressio.</v>
      </c>
      <c r="E107" s="82" t="e">
        <f>IF(B107&lt;=Hypothèses!$C$7,Hypothèses!$G$7,IF(B107&lt;=Hypothèses!$C$8,Hypothèses!$G$8,IF(B107&lt;=Hypothèses!$C$9,Hypothèses!$G$9,IF(B107&lt;=Hypothèses!$C$10,Hypothèses!$G$10,IF(B107&lt;=Hypothèses!$C$11,Hypothèses!$G$11,IF(B107&lt;=Hypothèses!$C$12,Hypothèses!$G$12,IF(B107&lt;=Hypothèses!$C$13,Hypothèses!$G$13,IF(B107&lt;=Hypothèses!$C$14,Hypothèses!$G$14,IF(B107&lt;=Hypothèses!$C$15,Hypothèses!$G$15,IF(B107&lt;=Hypothèses!$C$16,Hypothèses!$G$16,IF(B107&lt;=Hypothèses!$C$17,Hypothèses!$G$17,IF(B107&lt;=Hypothèses!$C$18,Hypothèses!$G$18,E106))))))))))))</f>
        <v>#N/A</v>
      </c>
      <c r="F107" s="82" t="str">
        <f>IF(B107&lt;=Hypothèses!$C$7,Hypothèses!$F$7,IF(B107&lt;=Hypothèses!$C$8,Hypothèses!$F$8,IF(B107&lt;=Hypothèses!$C$9,Hypothèses!$F$9,IF(B107&lt;=Hypothèses!$C$10,Hypothèses!$F$10,IF(B107&lt;=Hypothèses!$C$11,Hypothèses!$F$11,IF(B107&lt;=Hypothèses!$C$12,Hypothèses!$F$12,IF(B107&lt;=Hypothèses!$C$13,Hypothèses!$F$13,IF(B107&lt;=Hypothèses!$C$14,Hypothèses!$F$14,IF(B107&lt;=Hypothèses!$C$15,Hypothèses!$F$15,IF(B107&lt;=Hypothèses!$C$16,Hypothèses!$F$16,IF(B107&lt;=Hypothèses!$C$17,Hypothèses!$F$17,IF(B107&lt;=Hypothèses!$C$18,Hypothèses!$F$18,F106))))))))))))</f>
        <v/>
      </c>
      <c r="G107" s="91">
        <f t="array" ref="G107">INDEX('Coeff EC7'!$U$7:$X$27,
MATCH(Model0.1T!$B$3,'Coeff EC7'!$T$7:$T$27,0),
MATCH(Model0.1T!$D107&amp;Model0.1T!$B$4,
'Coeff EC7'!$U$6:$X$6&amp;
'Coeff EC7'!$U$5:$X$5,0))</f>
        <v>1.4</v>
      </c>
      <c r="H107" s="91">
        <f t="array" ref="H107">INDEX('Coeff EC7'!$Y$7:$AB$27,
MATCH(Model0.1T!$B$3,'Coeff EC7'!$T$7:$T$27,0),
MATCH(Model0.1T!$D107&amp;Model0.1T!$B$4,
'Coeff EC7'!$Y$6:$AB$6&amp;
'Coeff EC7'!$Y$5:$AB$5,0))</f>
        <v>1.7</v>
      </c>
      <c r="I107" s="83">
        <v>0</v>
      </c>
      <c r="J107" s="91" t="e">
        <f t="array" ref="J107">INDEX('Coeff EC7'!$D$33:$Q$33,1,MATCH(D107&amp;E107,'Coeff EC7'!$D$31:$Q$31&amp;'Coeff EC7'!$D$32:$Q$32,0))</f>
        <v>#N/A</v>
      </c>
      <c r="K107" s="91" t="e">
        <f t="array" ref="K107">INDEX('Coeff EC7'!$D$34:$Q$34,1,MATCH(D107&amp;E107,'Coeff EC7'!$D$31:$Q$31&amp;'Coeff EC7'!$D$32:$Q$32,0))</f>
        <v>#N/A</v>
      </c>
      <c r="L107" s="91" t="e">
        <f t="array" ref="L107">INDEX('Coeff EC7'!$D$35:$Q$35,1,MATCH(D107&amp;E107,'Coeff EC7'!$D$31:$Q$31&amp;'Coeff EC7'!$D$32:$Q$32,0))</f>
        <v>#N/A</v>
      </c>
      <c r="M107" s="98" t="e">
        <f t="shared" si="131"/>
        <v>#N/A</v>
      </c>
      <c r="N107" s="99" t="e">
        <f t="array" ref="N107">INDEX('Coeff EC7'!$D$7:$Q$27,MATCH($B$3,'Coeff EC7'!$C$7:$C$27,0),MATCH(D107&amp;E107,'Coeff EC7'!$D$5:$Q$5&amp;'Coeff EC7'!$D$6:$Q$6,0))</f>
        <v>#N/A</v>
      </c>
      <c r="O107" s="99" t="e">
        <f t="array" ref="O107">INDEX('Coeff EC7'!$D$41:$Q$61,MATCH($B$3,'Coeff EC7'!$C$41:$C$61,0),MATCH(D107&amp;E107,'Coeff EC7'!$D$39:$Q$39&amp;'Coeff EC7'!$D$40:$Q$40,0))</f>
        <v>#N/A</v>
      </c>
      <c r="P107" s="30" t="e">
        <f t="shared" si="166"/>
        <v>#N/A</v>
      </c>
      <c r="Q107" s="100" t="e">
        <f t="shared" si="133"/>
        <v>#N/A</v>
      </c>
      <c r="R107" s="86" t="b">
        <f t="shared" si="134"/>
        <v>0</v>
      </c>
      <c r="S107" s="86">
        <f t="shared" si="132"/>
        <v>0.5</v>
      </c>
      <c r="T107" s="86">
        <f t="shared" si="135"/>
        <v>0.5</v>
      </c>
      <c r="U107" s="30" t="e">
        <f t="shared" ca="1" si="167"/>
        <v>#DIV/0!</v>
      </c>
      <c r="V107" s="85" t="str">
        <f>IF(B107&lt;=Hypothèses!$V$7,Hypothèses!$W$7,IF(B107&lt;=Hypothèses!$V$8,Hypothèses!$W$8,IF(B107&lt;=Hypothèses!$V$9,Hypothèses!$W$9,IF(B107&lt;=Hypothèses!$V$10,Hypothèses!$W$10,IF(B107&lt;=Hypothèses!$V$11,Hypothèses!$W$11,IF(B107&lt;=Hypothèses!$V$12,Hypothèses!$W$12,IF(B107&lt;=Hypothèses!$V$13,Hypothèses!$W$13,IF(B107&lt;=Hypothèses!$V$14,Hypothèses!$W$14,IF(B107&lt;=Hypothèses!$V$15,Hypothèses!$W$15,IF(B107&lt;=Hypothèses!$V$16,Hypothèses!$W$16,IF(B107&lt;=Hypothèses!$V$17,Hypothèses!$W$17,IF(B107&lt;=Hypothèses!$V$18,Hypothèses!$W$18,""))))))))))))</f>
        <v/>
      </c>
      <c r="W107" s="87" t="e">
        <f t="shared" ca="1" si="216"/>
        <v>#DIV/0!</v>
      </c>
      <c r="X107" s="88" t="str">
        <f>IF(B107&lt;=Hypothèses!$V$7,Hypothèses!$X$7,IF(B107&lt;=Hypothèses!$V$8,Hypothèses!$X$8,IF(B107&lt;=Hypothèses!$V$9,Hypothèses!$X$9,IF(B107&lt;=Hypothèses!$V$10,Hypothèses!$X$10,IF(B107&lt;=Hypothèses!$V$11,Hypothèses!$X$11,IF(B107&lt;=Hypothèses!$V$12,Hypothèses!$X$12,IF(B107&lt;=Hypothèses!$V$13,Hypothèses!$X$13,IF(B107&lt;=Hypothèses!$V$14,Hypothèses!$X$14,IF(B107&lt;=Hypothèses!$V$15,Hypothèses!$X$15,IF(B107&lt;=Hypothèses!$V$16,Hypothèses!$X$16,IF(B107&lt;=Hypothèses!$U$17,Hypothèses!$W$17,IF(B107&lt;=Hypothèses!$U$18,Hypothèses!$W$18,""))))))))))))</f>
        <v/>
      </c>
      <c r="Y107" s="95" t="e">
        <f t="shared" ca="1" si="136"/>
        <v>#DIV/0!</v>
      </c>
      <c r="Z107" s="101">
        <f t="shared" si="137"/>
        <v>0</v>
      </c>
      <c r="AA107" s="91">
        <f t="shared" si="138"/>
        <v>0</v>
      </c>
      <c r="AB107" s="30" t="e">
        <f t="shared" si="200"/>
        <v>#N/A</v>
      </c>
      <c r="AC107" s="30" t="e">
        <f t="shared" si="201"/>
        <v>#N/A</v>
      </c>
      <c r="AD107" s="31" t="e">
        <f>IF(OR(Hypothèses!$B$4=17,Hypothèses!$B$4=18,Hypothèses!$B$4=19,Hypothèses!$B$4=20),
IF($D107="Pressio.",
IF(OR($E107=3,$E107=1,$E107=4),AC107,AB107),
IF($D107="Pénétro.",
IF(OR($E107=3,$E107=1,$E107=4),AC107,AB107))),IF($D107="Pressio.",
IF($E107=3,AC107,AB107),
IF($D107="Pénétro.",
IF($E107=4,AC107,AB107))))</f>
        <v>#N/A</v>
      </c>
      <c r="AE107" s="31">
        <v>0</v>
      </c>
      <c r="AF107" s="102" t="e">
        <f>IF(NDC!$H$10="Oui",(VLOOKUP($B$3,'Coeff EC7'!$T$39:$X$59,2,0)*AD107+VLOOKUP($B$3,'Coeff EC7'!$T$65:$X$85,2,0)*Model0.1T!AE107)/1.5,PI()*AB$12*$Q107*($B107-$B106)*0.15/10+AF106)</f>
        <v>#N/A</v>
      </c>
      <c r="AG107" s="102" t="e">
        <f>(VLOOKUP($B$3,'Coeff EC7'!$T$39:$X$59,3,0)*AD107+VLOOKUP($B$3,'Coeff EC7'!$T$65:$X$85,3,0)*Model0.1T!AE107)/1.1</f>
        <v>#N/A</v>
      </c>
      <c r="AH107" s="102" t="e">
        <f t="shared" si="168"/>
        <v>#N/A</v>
      </c>
      <c r="AI107" s="102" t="e">
        <f t="shared" si="169"/>
        <v>#N/A</v>
      </c>
      <c r="AJ107" s="414" t="e">
        <f>IF(AND(AF107&gt;NDC!$C$63,AG107&gt;NDC!$C$65,AH107&gt;NDC!$D$73,AI107&gt;NDC!$D$74,$B107&gt;NDC!$H$22-0.1+MIN(3*$AJ$12,1.5)),0,1)</f>
        <v>#N/A</v>
      </c>
      <c r="AK107" s="86" t="b">
        <f t="shared" si="139"/>
        <v>0</v>
      </c>
      <c r="AL107" s="86">
        <f t="shared" si="170"/>
        <v>0.5</v>
      </c>
      <c r="AM107" s="86">
        <f t="shared" si="140"/>
        <v>0.5</v>
      </c>
      <c r="AN107" s="30" t="e">
        <f t="shared" ca="1" si="171"/>
        <v>#DIV/0!</v>
      </c>
      <c r="AO107" s="85" t="e">
        <f ca="1">IF(U107&lt;=Hypothèses!$V$7,Hypothèses!$W$7,IF(U107&lt;=Hypothèses!$V$8,Hypothèses!$W$8,IF(U107&lt;=Hypothèses!$V$9,Hypothèses!$W$9,IF(U107&lt;=Hypothèses!$V$10,Hypothèses!$W$10,IF(U107&lt;=Hypothèses!$V$11,Hypothèses!$W$11,IF(U107&lt;=Hypothèses!$V$12,Hypothèses!$W$12,IF(U107&lt;=Hypothèses!$V$13,Hypothèses!$W$13,IF(U107&lt;=Hypothèses!$V$14,Hypothèses!$W$14,IF(U107&lt;=Hypothèses!$V$15,Hypothèses!$W$15,IF(U107&lt;=Hypothèses!$V$16,Hypothèses!$W$16,IF(U107&lt;=Hypothèses!$V$17,Hypothèses!$W$17,IF(U107&lt;=Hypothèses!$V$18,Hypothèses!$W$18,""))))))))))))</f>
        <v>#DIV/0!</v>
      </c>
      <c r="AP107" s="87" t="e">
        <f t="shared" ca="1" si="217"/>
        <v>#DIV/0!</v>
      </c>
      <c r="AQ107" s="88" t="e">
        <f ca="1">IF(U107&lt;=Hypothèses!$V$7,Hypothèses!$X$7,IF(U107&lt;=Hypothèses!$V$8,Hypothèses!$X$8,IF(U107&lt;=Hypothèses!$V$9,Hypothèses!$X$9,IF(U107&lt;=Hypothèses!$V$10,Hypothèses!$X$10,IF(U107&lt;=Hypothèses!$V$11,Hypothèses!$X$11,IF(U107&lt;=Hypothèses!$V$12,Hypothèses!$X$12,IF(U107&lt;=Hypothèses!$V$13,Hypothèses!$X$13,IF(U107&lt;=Hypothèses!$V$14,Hypothèses!$X$14,IF(U107&lt;=Hypothèses!$V$15,Hypothèses!$X$15,IF(U107&lt;=Hypothèses!$V$16,Hypothèses!$X$16,IF(U107&lt;=Hypothèses!$U$17,Hypothèses!$W$17,IF(U107&lt;=Hypothèses!$U$18,Hypothèses!$W$18,""))))))))))))</f>
        <v>#DIV/0!</v>
      </c>
      <c r="AR107" s="95" t="e">
        <f t="shared" ca="1" si="172"/>
        <v>#DIV/0!</v>
      </c>
      <c r="AS107" s="101">
        <f t="shared" si="224"/>
        <v>0</v>
      </c>
      <c r="AT107" s="91">
        <f t="shared" si="141"/>
        <v>0</v>
      </c>
      <c r="AU107" s="30" t="e">
        <f t="shared" si="202"/>
        <v>#N/A</v>
      </c>
      <c r="AV107" s="30" t="e">
        <f t="shared" si="203"/>
        <v>#N/A</v>
      </c>
      <c r="AW107" s="31" t="e">
        <f>IF(OR(Hypothèses!$B$4=17,Hypothèses!$B$4=18,Hypothèses!$B$4=19,Hypothèses!$B$4=20),
IF($D107="Pressio.",
IF(OR($E107=3,$E107=1,$E107=4),AV107,AU107),
IF($D107="Pénétro.",
IF(OR($E107=3,$E107=1,$E107=4),AV107,AU107))),IF($D107="Pressio.",
IF($E107=3,AV107,AU107),
IF($D107="Pénétro.",
IF($E107=4,AV107,AU107))))</f>
        <v>#N/A</v>
      </c>
      <c r="AX107" s="31">
        <v>0</v>
      </c>
      <c r="AY107" s="102" t="e">
        <f>IF(NDC!$H$10="Oui",(VLOOKUP($B$3,'Coeff EC7'!$T$39:$X$59,2,0)*AW107+VLOOKUP($B$3,'Coeff EC7'!$T$65:$X$85,2,0)*Model0.1T!AX107)/1.5,PI()*AU$12*$Q107*($B107-$B106)*0.15/10+AY106)</f>
        <v>#N/A</v>
      </c>
      <c r="AZ107" s="102" t="e">
        <f>(VLOOKUP($B$3,'Coeff EC7'!$T$39:$X$59,3,0)*AW107+VLOOKUP($B$3,'Coeff EC7'!$T$65:$X$85,3,0)*Model0.1T!AX107)/1.1</f>
        <v>#N/A</v>
      </c>
      <c r="BA107" s="102" t="e">
        <f t="shared" si="173"/>
        <v>#N/A</v>
      </c>
      <c r="BB107" s="102" t="e">
        <f t="shared" si="174"/>
        <v>#N/A</v>
      </c>
      <c r="BC107" s="414" t="e">
        <f>IF(AND(AY107&gt;NDC!$C$63,AZ107&gt;NDC!$C$65,BA107&gt;NDC!$D$73,BB107&gt;NDC!$D$74,$B107&gt;NDC!$H$22-0.1+MIN(3*BC$12,1.5)),0,1)</f>
        <v>#N/A</v>
      </c>
      <c r="BD107" s="86" t="b">
        <f t="shared" si="142"/>
        <v>0</v>
      </c>
      <c r="BE107" s="86">
        <f t="shared" si="175"/>
        <v>0.5</v>
      </c>
      <c r="BF107" s="86">
        <f t="shared" si="143"/>
        <v>0.5</v>
      </c>
      <c r="BG107" s="30" t="e">
        <f t="shared" ca="1" si="176"/>
        <v>#DIV/0!</v>
      </c>
      <c r="BH107" s="85" t="e">
        <f ca="1">IF(AN107&lt;=Hypothèses!$V$7,Hypothèses!$W$7,IF(AN107&lt;=Hypothèses!$V$8,Hypothèses!$W$8,IF(AN107&lt;=Hypothèses!$V$9,Hypothèses!$W$9,IF(AN107&lt;=Hypothèses!$V$10,Hypothèses!$W$10,IF(AN107&lt;=Hypothèses!$V$11,Hypothèses!$W$11,IF(AN107&lt;=Hypothèses!$V$12,Hypothèses!$W$12,IF(AN107&lt;=Hypothèses!$V$13,Hypothèses!$W$13,IF(AN107&lt;=Hypothèses!$V$14,Hypothèses!$W$14,IF(AN107&lt;=Hypothèses!$V$15,Hypothèses!$W$15,IF(AN107&lt;=Hypothèses!$V$16,Hypothèses!$W$16,IF(AN107&lt;=Hypothèses!$V$17,Hypothèses!$W$17,IF(AN107&lt;=Hypothèses!$V$18,Hypothèses!$W$18,""))))))))))))</f>
        <v>#DIV/0!</v>
      </c>
      <c r="BI107" s="87" t="e">
        <f t="shared" ca="1" si="218"/>
        <v>#DIV/0!</v>
      </c>
      <c r="BJ107" s="88" t="e">
        <f ca="1">IF(AN107&lt;=Hypothèses!$V$7,Hypothèses!$X$7,IF(AN107&lt;=Hypothèses!$V$8,Hypothèses!$X$8,IF(AN107&lt;=Hypothèses!$V$9,Hypothèses!$X$9,IF(AN107&lt;=Hypothèses!$V$10,Hypothèses!$X$10,IF(AN107&lt;=Hypothèses!$V$11,Hypothèses!$X$11,IF(AN107&lt;=Hypothèses!$V$12,Hypothèses!$X$12,IF(AN107&lt;=Hypothèses!$V$13,Hypothèses!$X$13,IF(AN107&lt;=Hypothèses!$V$14,Hypothèses!$X$14,IF(AN107&lt;=Hypothèses!$V$15,Hypothèses!$X$15,IF(AN107&lt;=Hypothèses!$V$16,Hypothèses!$X$16,IF(AN107&lt;=Hypothèses!$U$17,Hypothèses!$W$17,IF(AN107&lt;=Hypothèses!$U$18,Hypothèses!$W$18,""))))))))))))</f>
        <v>#DIV/0!</v>
      </c>
      <c r="BK107" s="95" t="e">
        <f t="shared" ca="1" si="177"/>
        <v>#DIV/0!</v>
      </c>
      <c r="BL107" s="101">
        <f t="shared" si="225"/>
        <v>0</v>
      </c>
      <c r="BM107" s="91">
        <f t="shared" si="144"/>
        <v>0</v>
      </c>
      <c r="BN107" s="30" t="e">
        <f t="shared" si="204"/>
        <v>#N/A</v>
      </c>
      <c r="BO107" s="30" t="e">
        <f t="shared" si="205"/>
        <v>#N/A</v>
      </c>
      <c r="BP107" s="31" t="e">
        <f>IF(OR(Hypothèses!$B$4=17,Hypothèses!$B$4=18,Hypothèses!$B$4=19,Hypothèses!$B$4=20),
IF($D107="Pressio.",
IF(OR($E107=3,$E107=1,$E107=4),BO107,BN107),
IF($D107="Pénétro.",
IF(OR($E107=3,$E107=1,$E107=4),BO107,BN107))),IF($D107="Pressio.",
IF($E107=3,BO107,BN107),
IF($D107="Pénétro.",
IF($E107=4,BO107,BN107))))</f>
        <v>#N/A</v>
      </c>
      <c r="BQ107" s="31">
        <v>0</v>
      </c>
      <c r="BR107" s="102" t="e">
        <f>IF(NDC!$H$10="Oui",(VLOOKUP($B$3,'Coeff EC7'!$T$39:$X$59,2,0)*BP107+VLOOKUP($B$3,'Coeff EC7'!$T$65:$X$85,2,0)*Model0.1T!BQ107)/1.5,PI()*BN$12*$Q107*($B107-$B106)*0.15/10+BR106)</f>
        <v>#N/A</v>
      </c>
      <c r="BS107" s="102" t="e">
        <f>(VLOOKUP($B$3,'Coeff EC7'!$T$39:$X$59,3,0)*BP107+VLOOKUP($B$3,'Coeff EC7'!$T$65:$X$85,3,0)*Model0.1T!BQ107)/1.1</f>
        <v>#N/A</v>
      </c>
      <c r="BT107" s="102" t="e">
        <f t="shared" si="178"/>
        <v>#N/A</v>
      </c>
      <c r="BU107" s="102" t="e">
        <f t="shared" si="179"/>
        <v>#N/A</v>
      </c>
      <c r="BV107" s="414" t="e">
        <f>IF(AND(BR107&gt;NDC!$C$63,BS107&gt;NDC!$C$65,BT107&gt;NDC!$D$73,BU107&gt;NDC!$D$74,$B107&gt;NDC!$H$22-0.1+MIN(3*BV$12,1.5)),0,1)</f>
        <v>#N/A</v>
      </c>
      <c r="BW107" s="86" t="b">
        <f t="shared" si="145"/>
        <v>0</v>
      </c>
      <c r="BX107" s="86">
        <f t="shared" si="146"/>
        <v>0.5</v>
      </c>
      <c r="BY107" s="86">
        <f t="shared" si="147"/>
        <v>0.5</v>
      </c>
      <c r="BZ107" s="30" t="e">
        <f t="shared" ca="1" si="180"/>
        <v>#DIV/0!</v>
      </c>
      <c r="CA107" s="85" t="e">
        <f ca="1">IF(BG107&lt;=Hypothèses!$V$7,Hypothèses!$W$7,IF(BG107&lt;=Hypothèses!$V$8,Hypothèses!$W$8,IF(BG107&lt;=Hypothèses!$V$9,Hypothèses!$W$9,IF(BG107&lt;=Hypothèses!$V$10,Hypothèses!$W$10,IF(BG107&lt;=Hypothèses!$V$11,Hypothèses!$W$11,IF(BG107&lt;=Hypothèses!$V$12,Hypothèses!$W$12,IF(BG107&lt;=Hypothèses!$V$13,Hypothèses!$W$13,IF(BG107&lt;=Hypothèses!$V$14,Hypothèses!$W$14,IF(BG107&lt;=Hypothèses!$V$15,Hypothèses!$W$15,IF(BG107&lt;=Hypothèses!$V$16,Hypothèses!$W$16,IF(BG107&lt;=Hypothèses!$V$17,Hypothèses!$W$17,IF(BG107&lt;=Hypothèses!$V$18,Hypothèses!$W$18,""))))))))))))</f>
        <v>#DIV/0!</v>
      </c>
      <c r="CB107" s="87" t="e">
        <f t="shared" ca="1" si="219"/>
        <v>#DIV/0!</v>
      </c>
      <c r="CC107" s="88" t="e">
        <f ca="1">IF(BG107&lt;=Hypothèses!$V$7,Hypothèses!$X$7,IF(BG107&lt;=Hypothèses!$V$8,Hypothèses!$X$8,IF(BG107&lt;=Hypothèses!$V$9,Hypothèses!$X$9,IF(BG107&lt;=Hypothèses!$V$10,Hypothèses!$X$10,IF(BG107&lt;=Hypothèses!$V$11,Hypothèses!$X$11,IF(BG107&lt;=Hypothèses!$V$12,Hypothèses!$X$12,IF(BG107&lt;=Hypothèses!$V$13,Hypothèses!$X$13,IF(BG107&lt;=Hypothèses!$V$14,Hypothèses!$X$14,IF(BG107&lt;=Hypothèses!$V$15,Hypothèses!$X$15,IF(BG107&lt;=Hypothèses!$V$16,Hypothèses!$X$16,IF(BG107&lt;=Hypothèses!$U$17,Hypothèses!$W$17,IF(BG107&lt;=Hypothèses!$U$18,Hypothèses!$W$18,""))))))))))))</f>
        <v>#DIV/0!</v>
      </c>
      <c r="CD107" s="95" t="e">
        <f t="shared" ca="1" si="181"/>
        <v>#DIV/0!</v>
      </c>
      <c r="CE107" s="101">
        <f t="shared" si="226"/>
        <v>0</v>
      </c>
      <c r="CF107" s="91">
        <f t="shared" si="148"/>
        <v>0</v>
      </c>
      <c r="CG107" s="30" t="e">
        <f t="shared" si="206"/>
        <v>#N/A</v>
      </c>
      <c r="CH107" s="30" t="e">
        <f t="shared" si="207"/>
        <v>#N/A</v>
      </c>
      <c r="CI107" s="31" t="e">
        <f>IF(OR(Hypothèses!$B$4=17,Hypothèses!$B$4=18,Hypothèses!$B$4=19,Hypothèses!$B$4=20),
IF($D107="Pressio.",
IF(OR($E107=3,$E107=1,$E107=4),CH107,CG107),
IF($D107="Pénétro.",
IF(OR($E107=3,$E107=1,$E107=4),CH107,CG107))),IF($D107="Pressio.",
IF($E107=3,CH107,CG107),
IF($D107="Pénétro.",
IF($E107=4,CH107,CG107))))</f>
        <v>#N/A</v>
      </c>
      <c r="CJ107" s="31">
        <v>0</v>
      </c>
      <c r="CK107" s="102" t="e">
        <f>IF(NDC!$H$10="Oui",(VLOOKUP($B$3,'Coeff EC7'!$T$39:$X$59,2,0)*CI107+VLOOKUP($B$3,'Coeff EC7'!$T$65:$X$85,2,0)*Model0.1T!CJ107)/1.5,PI()*CG$12*$Q107*($B107-$B106)*0.15/10+CK106)</f>
        <v>#N/A</v>
      </c>
      <c r="CL107" s="102" t="e">
        <f>(VLOOKUP($B$3,'Coeff EC7'!$T$39:$X$59,3,0)*CI107+VLOOKUP($B$3,'Coeff EC7'!$T$65:$X$85,3,0)*Model0.1T!CJ107)/1.1</f>
        <v>#N/A</v>
      </c>
      <c r="CM107" s="102" t="e">
        <f t="shared" si="182"/>
        <v>#N/A</v>
      </c>
      <c r="CN107" s="102" t="e">
        <f t="shared" si="183"/>
        <v>#N/A</v>
      </c>
      <c r="CO107" s="414" t="e">
        <f>IF(AND(CK107&gt;NDC!$C$63,CL107&gt;NDC!$C$65,CM107&gt;NDC!$D$73,CN107&gt;NDC!$D$74,$B107&gt;NDC!$H$22-0.1+MIN(3*CO$12,1.5)),0,1)</f>
        <v>#N/A</v>
      </c>
      <c r="CP107" s="86" t="b">
        <f t="shared" si="149"/>
        <v>0</v>
      </c>
      <c r="CQ107" s="86">
        <f t="shared" si="150"/>
        <v>0.5</v>
      </c>
      <c r="CR107" s="86">
        <f t="shared" si="151"/>
        <v>0.5</v>
      </c>
      <c r="CS107" s="30" t="e">
        <f t="shared" ca="1" si="184"/>
        <v>#DIV/0!</v>
      </c>
      <c r="CT107" s="85" t="e">
        <f ca="1">IF(BZ107&lt;=Hypothèses!$V$7,Hypothèses!$W$7,IF(BZ107&lt;=Hypothèses!$V$8,Hypothèses!$W$8,IF(BZ107&lt;=Hypothèses!$V$9,Hypothèses!$W$9,IF(BZ107&lt;=Hypothèses!$V$10,Hypothèses!$W$10,IF(BZ107&lt;=Hypothèses!$V$11,Hypothèses!$W$11,IF(BZ107&lt;=Hypothèses!$V$12,Hypothèses!$W$12,IF(BZ107&lt;=Hypothèses!$V$13,Hypothèses!$W$13,IF(BZ107&lt;=Hypothèses!$V$14,Hypothèses!$W$14,IF(BZ107&lt;=Hypothèses!$V$15,Hypothèses!$W$15,IF(BZ107&lt;=Hypothèses!$V$16,Hypothèses!$W$16,IF(BZ107&lt;=Hypothèses!$V$17,Hypothèses!$W$17,IF(BZ107&lt;=Hypothèses!$V$18,Hypothèses!$W$18,""))))))))))))</f>
        <v>#DIV/0!</v>
      </c>
      <c r="CU107" s="87" t="e">
        <f t="shared" ca="1" si="220"/>
        <v>#DIV/0!</v>
      </c>
      <c r="CV107" s="88" t="e">
        <f ca="1">IF(BZ107&lt;=Hypothèses!$V$7,Hypothèses!$X$7,IF(BZ107&lt;=Hypothèses!$V$8,Hypothèses!$X$8,IF(BZ107&lt;=Hypothèses!$V$9,Hypothèses!$X$9,IF(BZ107&lt;=Hypothèses!$V$10,Hypothèses!$X$10,IF(BZ107&lt;=Hypothèses!$V$11,Hypothèses!$X$11,IF(BZ107&lt;=Hypothèses!$V$12,Hypothèses!$X$12,IF(BZ107&lt;=Hypothèses!$V$13,Hypothèses!$X$13,IF(BZ107&lt;=Hypothèses!$V$14,Hypothèses!$X$14,IF(BZ107&lt;=Hypothèses!$V$15,Hypothèses!$X$15,IF(BZ107&lt;=Hypothèses!$V$16,Hypothèses!$X$16,IF(BZ107&lt;=Hypothèses!$U$17,Hypothèses!$W$17,IF(BZ107&lt;=Hypothèses!$U$18,Hypothèses!$W$18,""))))))))))))</f>
        <v>#DIV/0!</v>
      </c>
      <c r="CW107" s="95" t="e">
        <f t="shared" ca="1" si="185"/>
        <v>#DIV/0!</v>
      </c>
      <c r="CX107" s="101">
        <f t="shared" si="227"/>
        <v>0</v>
      </c>
      <c r="CY107" s="91">
        <f t="shared" si="152"/>
        <v>0</v>
      </c>
      <c r="CZ107" s="30" t="e">
        <f t="shared" si="208"/>
        <v>#N/A</v>
      </c>
      <c r="DA107" s="30" t="e">
        <f t="shared" si="209"/>
        <v>#N/A</v>
      </c>
      <c r="DB107" s="31" t="e">
        <f>IF(OR(Hypothèses!$B$4=17,Hypothèses!$B$4=18,Hypothèses!$B$4=19,Hypothèses!$B$4=20),
IF($D107="Pressio.",
IF(OR($E107=3,$E107=1,$E107=4),DA107,CZ107),
IF($D107="Pénétro.",
IF(OR($E107=3,$E107=1,$E107=4),DA107,CZ107))),IF($D107="Pressio.",
IF($E107=3,DA107,CZ107),
IF($D107="Pénétro.",
IF($E107=4,DA107,CZ107))))</f>
        <v>#N/A</v>
      </c>
      <c r="DC107" s="31">
        <v>0</v>
      </c>
      <c r="DD107" s="102" t="e">
        <f>IF(NDC!$H$10="Oui",(VLOOKUP($B$3,'Coeff EC7'!$T$39:$X$59,2,0)*DB107+VLOOKUP($B$3,'Coeff EC7'!$T$65:$X$85,2,0)*Model0.1T!DC107)/1.5,PI()*CZ$12*$Q107*($B107-$B106)*0.15/10+DD106)</f>
        <v>#N/A</v>
      </c>
      <c r="DE107" s="102" t="e">
        <f>(VLOOKUP($B$3,'Coeff EC7'!$T$39:$X$59,3,0)*DB107+VLOOKUP($B$3,'Coeff EC7'!$T$65:$X$85,3,0)*Model0.1T!DC107)/1.1</f>
        <v>#N/A</v>
      </c>
      <c r="DF107" s="102" t="e">
        <f t="shared" si="186"/>
        <v>#N/A</v>
      </c>
      <c r="DG107" s="102" t="e">
        <f t="shared" si="187"/>
        <v>#N/A</v>
      </c>
      <c r="DH107" s="414" t="e">
        <f>IF(AND(DD107&gt;NDC!$C$63,DE107&gt;NDC!$C$65,DF107&gt;NDC!$D$73,DG107&gt;NDC!$D$74,$B107&gt;NDC!$H$22-0.1+MIN(3*DH$12,1.5)),0,1)</f>
        <v>#N/A</v>
      </c>
      <c r="DI107" s="86" t="b">
        <f t="shared" si="153"/>
        <v>0</v>
      </c>
      <c r="DJ107" s="86">
        <f t="shared" si="154"/>
        <v>0.5</v>
      </c>
      <c r="DK107" s="86">
        <f t="shared" si="155"/>
        <v>0.5</v>
      </c>
      <c r="DL107" s="30" t="e">
        <f t="shared" ca="1" si="188"/>
        <v>#DIV/0!</v>
      </c>
      <c r="DM107" s="85" t="e">
        <f ca="1">IF(CS107&lt;=Hypothèses!$V$7,Hypothèses!$W$7,IF(CS107&lt;=Hypothèses!$V$8,Hypothèses!$W$8,IF(CS107&lt;=Hypothèses!$V$9,Hypothèses!$W$9,IF(CS107&lt;=Hypothèses!$V$10,Hypothèses!$W$10,IF(CS107&lt;=Hypothèses!$V$11,Hypothèses!$W$11,IF(CS107&lt;=Hypothèses!$V$12,Hypothèses!$W$12,IF(CS107&lt;=Hypothèses!$V$13,Hypothèses!$W$13,IF(CS107&lt;=Hypothèses!$V$14,Hypothèses!$W$14,IF(CS107&lt;=Hypothèses!$V$15,Hypothèses!$W$15,IF(CS107&lt;=Hypothèses!$V$16,Hypothèses!$W$16,IF(CS107&lt;=Hypothèses!$V$17,Hypothèses!$W$17,IF(CS107&lt;=Hypothèses!$V$18,Hypothèses!$W$18,""))))))))))))</f>
        <v>#DIV/0!</v>
      </c>
      <c r="DN107" s="87" t="e">
        <f t="shared" ca="1" si="221"/>
        <v>#DIV/0!</v>
      </c>
      <c r="DO107" s="88" t="e">
        <f ca="1">IF(CS107&lt;=Hypothèses!$V$7,Hypothèses!$X$7,IF(CS107&lt;=Hypothèses!$V$8,Hypothèses!$X$8,IF(CS107&lt;=Hypothèses!$V$9,Hypothèses!$X$9,IF(CS107&lt;=Hypothèses!$V$10,Hypothèses!$X$10,IF(CS107&lt;=Hypothèses!$V$11,Hypothèses!$X$11,IF(CS107&lt;=Hypothèses!$V$12,Hypothèses!$X$12,IF(CS107&lt;=Hypothèses!$V$13,Hypothèses!$X$13,IF(CS107&lt;=Hypothèses!$V$14,Hypothèses!$X$14,IF(CS107&lt;=Hypothèses!$V$15,Hypothèses!$X$15,IF(CS107&lt;=Hypothèses!$V$16,Hypothèses!$X$16,IF(CS107&lt;=Hypothèses!$U$17,Hypothèses!$W$17,IF(CS107&lt;=Hypothèses!$U$18,Hypothèses!$W$18,""))))))))))))</f>
        <v>#DIV/0!</v>
      </c>
      <c r="DP107" s="95" t="e">
        <f t="shared" ca="1" si="189"/>
        <v>#DIV/0!</v>
      </c>
      <c r="DQ107" s="101">
        <f t="shared" si="228"/>
        <v>0</v>
      </c>
      <c r="DR107" s="91">
        <f t="shared" si="156"/>
        <v>0</v>
      </c>
      <c r="DS107" s="30" t="e">
        <f t="shared" si="210"/>
        <v>#N/A</v>
      </c>
      <c r="DT107" s="30" t="e">
        <f t="shared" si="211"/>
        <v>#N/A</v>
      </c>
      <c r="DU107" s="31" t="e">
        <f>IF(OR(Hypothèses!$B$4=17,Hypothèses!$B$4=18,Hypothèses!$B$4=19,Hypothèses!$B$4=20),
IF($D107="Pressio.",
IF(OR($E107=3,$E107=1,$E107=4),DT107,DS107),
IF($D107="Pénétro.",
IF(OR($E107=3,$E107=1,$E107=4),DT107,DS107))),IF($D107="Pressio.",
IF($E107=3,DT107,DS107),
IF($D107="Pénétro.",
IF($E107=4,DT107,DS107))))</f>
        <v>#N/A</v>
      </c>
      <c r="DV107" s="31">
        <v>0</v>
      </c>
      <c r="DW107" s="102" t="e">
        <f>IF(NDC!$H$10="Oui",(VLOOKUP($B$3,'Coeff EC7'!$T$39:$X$59,2,0)*DU107+VLOOKUP($B$3,'Coeff EC7'!$T$65:$X$85,2,0)*Model0.1T!DV107)/1.5,PI()*DS$12*$Q107*($B107-$B106)*0.15/10+DW106)</f>
        <v>#N/A</v>
      </c>
      <c r="DX107" s="102" t="e">
        <f>(VLOOKUP($B$3,'Coeff EC7'!$T$39:$X$59,3,0)*DU107+VLOOKUP($B$3,'Coeff EC7'!$T$65:$X$85,3,0)*Model0.1T!DV107)/1.1</f>
        <v>#N/A</v>
      </c>
      <c r="DY107" s="102" t="e">
        <f t="shared" si="190"/>
        <v>#N/A</v>
      </c>
      <c r="DZ107" s="102" t="e">
        <f t="shared" si="191"/>
        <v>#N/A</v>
      </c>
      <c r="EA107" s="414" t="e">
        <f>IF(AND(DW107&gt;NDC!$C$63,DX107&gt;NDC!$C$65,DY107&gt;NDC!$D$73,DZ107&gt;NDC!$D$74,$B107&gt;NDC!$H$22-0.1+MIN(3*EA$12,1.5)),0,1)</f>
        <v>#N/A</v>
      </c>
      <c r="EB107" s="86" t="b">
        <f t="shared" si="157"/>
        <v>0</v>
      </c>
      <c r="EC107" s="418">
        <f t="shared" si="158"/>
        <v>0.51</v>
      </c>
      <c r="ED107" s="86">
        <f t="shared" si="159"/>
        <v>0.51</v>
      </c>
      <c r="EE107" s="30" t="e">
        <f t="shared" ca="1" si="192"/>
        <v>#DIV/0!</v>
      </c>
      <c r="EF107" s="85" t="e">
        <f ca="1">IF(DL107&lt;=Hypothèses!$V$7,Hypothèses!$W$7,IF(DL107&lt;=Hypothèses!$V$8,Hypothèses!$W$8,IF(DL107&lt;=Hypothèses!$V$9,Hypothèses!$W$9,IF(DL107&lt;=Hypothèses!$V$10,Hypothèses!$W$10,IF(DL107&lt;=Hypothèses!$V$11,Hypothèses!$W$11,IF(DL107&lt;=Hypothèses!$V$12,Hypothèses!$W$12,IF(DL107&lt;=Hypothèses!$V$13,Hypothèses!$W$13,IF(DL107&lt;=Hypothèses!$V$14,Hypothèses!$W$14,IF(DL107&lt;=Hypothèses!$V$15,Hypothèses!$W$15,IF(DL107&lt;=Hypothèses!$V$16,Hypothèses!$W$16,IF(DL107&lt;=Hypothèses!$V$17,Hypothèses!$W$17,IF(DL107&lt;=Hypothèses!$V$18,Hypothèses!$W$18,""))))))))))))</f>
        <v>#DIV/0!</v>
      </c>
      <c r="EG107" s="87" t="e">
        <f t="shared" ca="1" si="222"/>
        <v>#DIV/0!</v>
      </c>
      <c r="EH107" s="88" t="e">
        <f ca="1">IF(DL107&lt;=Hypothèses!$V$7,Hypothèses!$X$7,IF(DL107&lt;=Hypothèses!$V$8,Hypothèses!$X$8,IF(DL107&lt;=Hypothèses!$V$9,Hypothèses!$X$9,IF(DL107&lt;=Hypothèses!$V$10,Hypothèses!$X$10,IF(DL107&lt;=Hypothèses!$V$11,Hypothèses!$X$11,IF(DL107&lt;=Hypothèses!$V$12,Hypothèses!$X$12,IF(DL107&lt;=Hypothèses!$V$13,Hypothèses!$X$13,IF(DL107&lt;=Hypothèses!$V$14,Hypothèses!$X$14,IF(DL107&lt;=Hypothèses!$V$15,Hypothèses!$X$15,IF(DL107&lt;=Hypothèses!$V$16,Hypothèses!$X$16,IF(DL107&lt;=Hypothèses!$U$17,Hypothèses!$W$17,IF(DL107&lt;=Hypothèses!$U$18,Hypothèses!$W$18,""))))))))))))</f>
        <v>#DIV/0!</v>
      </c>
      <c r="EI107" s="95" t="e">
        <f t="shared" ca="1" si="193"/>
        <v>#DIV/0!</v>
      </c>
      <c r="EJ107" s="101">
        <f t="shared" si="229"/>
        <v>0</v>
      </c>
      <c r="EK107" s="91">
        <f t="shared" si="160"/>
        <v>0</v>
      </c>
      <c r="EL107" s="30" t="e">
        <f t="shared" si="212"/>
        <v>#N/A</v>
      </c>
      <c r="EM107" s="30" t="e">
        <f t="shared" si="213"/>
        <v>#N/A</v>
      </c>
      <c r="EN107" s="31" t="e">
        <f>IF(OR(Hypothèses!$B$4=17,Hypothèses!$B$4=18,Hypothèses!$B$4=19,Hypothèses!$B$4=20),
IF($D107="Pressio.",
IF(OR($E107=3,$E107=1,$E107=4),EM107,EL107),
IF($D107="Pénétro.",
IF(OR($E107=3,$E107=1,$E107=4),EM107,EL107))),IF($D107="Pressio.",
IF($E107=3,EM107,EL107),
IF($D107="Pénétro.",
IF($E107=4,EM107,EL107))))</f>
        <v>#N/A</v>
      </c>
      <c r="EO107" s="31">
        <v>0</v>
      </c>
      <c r="EP107" s="102" t="e">
        <f>IF(NDC!$H$10="Oui",(VLOOKUP($B$3,'Coeff EC7'!$T$39:$X$59,2,0)*EN107+VLOOKUP($B$3,'Coeff EC7'!$T$65:$X$85,2,0)*Model0.1T!EO107)/1.5,PI()*EL$12*$Q107*($B107-$B106)*0.15/10+EP106)</f>
        <v>#N/A</v>
      </c>
      <c r="EQ107" s="102" t="e">
        <f>(VLOOKUP($B$3,'Coeff EC7'!$T$39:$X$59,3,0)*EN107+VLOOKUP($B$3,'Coeff EC7'!$T$65:$X$85,3,0)*Model0.1T!EO107)/1.1</f>
        <v>#N/A</v>
      </c>
      <c r="ER107" s="102" t="e">
        <f t="shared" si="194"/>
        <v>#N/A</v>
      </c>
      <c r="ES107" s="102" t="e">
        <f t="shared" si="195"/>
        <v>#N/A</v>
      </c>
      <c r="ET107" s="414" t="e">
        <f>IF(AND(EP107&gt;NDC!$C$63,EQ107&gt;NDC!$C$65,ER107&gt;NDC!$D$73,ES107&gt;NDC!$D$74,$B107&gt;NDC!$H$22-0.1+MIN(3*ET$12,1.5)),0,1)</f>
        <v>#N/A</v>
      </c>
      <c r="EU107" s="86" t="b">
        <f t="shared" si="161"/>
        <v>0</v>
      </c>
      <c r="EV107" s="86">
        <f t="shared" si="162"/>
        <v>0.61</v>
      </c>
      <c r="EW107" s="86">
        <f t="shared" si="163"/>
        <v>0.61</v>
      </c>
      <c r="EX107" s="30" t="e">
        <f t="shared" ca="1" si="196"/>
        <v>#DIV/0!</v>
      </c>
      <c r="EY107" s="85" t="e">
        <f ca="1">IF(EE107&lt;=Hypothèses!$V$7,Hypothèses!$W$7,IF(EE107&lt;=Hypothèses!$V$8,Hypothèses!$W$8,IF(EE107&lt;=Hypothèses!$V$9,Hypothèses!$W$9,IF(EE107&lt;=Hypothèses!$V$10,Hypothèses!$W$10,IF(EE107&lt;=Hypothèses!$V$11,Hypothèses!$W$11,IF(EE107&lt;=Hypothèses!$V$12,Hypothèses!$W$12,IF(EE107&lt;=Hypothèses!$V$13,Hypothèses!$W$13,IF(EE107&lt;=Hypothèses!$V$14,Hypothèses!$W$14,IF(EE107&lt;=Hypothèses!$V$15,Hypothèses!$W$15,IF(EE107&lt;=Hypothèses!$V$16,Hypothèses!$W$16,IF(EE107&lt;=Hypothèses!$V$17,Hypothèses!$W$17,IF(EE107&lt;=Hypothèses!$V$18,Hypothèses!$W$18,""))))))))))))</f>
        <v>#DIV/0!</v>
      </c>
      <c r="EZ107" s="87" t="e">
        <f t="shared" ca="1" si="223"/>
        <v>#DIV/0!</v>
      </c>
      <c r="FA107" s="88" t="e">
        <f ca="1">IF(EE107&lt;=Hypothèses!$V$7,Hypothèses!$X$7,IF(EE107&lt;=Hypothèses!$V$8,Hypothèses!$X$8,IF(EE107&lt;=Hypothèses!$V$9,Hypothèses!$X$9,IF(EE107&lt;=Hypothèses!$V$10,Hypothèses!$X$10,IF(EE107&lt;=Hypothèses!$V$11,Hypothèses!$X$11,IF(EE107&lt;=Hypothèses!$V$12,Hypothèses!$X$12,IF(EE107&lt;=Hypothèses!$V$13,Hypothèses!$X$13,IF(EE107&lt;=Hypothèses!$V$14,Hypothèses!$X$14,IF(EE107&lt;=Hypothèses!$V$15,Hypothèses!$X$15,IF(EE107&lt;=Hypothèses!$V$16,Hypothèses!$X$16,IF(EE107&lt;=Hypothèses!$U$17,Hypothèses!$W$17,IF(EE107&lt;=Hypothèses!$U$18,Hypothèses!$W$18,""))))))))))))</f>
        <v>#DIV/0!</v>
      </c>
      <c r="FB107" s="95" t="e">
        <f t="shared" ca="1" si="197"/>
        <v>#DIV/0!</v>
      </c>
      <c r="FC107" s="101">
        <f t="shared" si="230"/>
        <v>0</v>
      </c>
      <c r="FD107" s="91">
        <f t="shared" si="164"/>
        <v>0</v>
      </c>
      <c r="FE107" s="30" t="e">
        <f t="shared" si="214"/>
        <v>#N/A</v>
      </c>
      <c r="FF107" s="30" t="e">
        <f t="shared" si="215"/>
        <v>#N/A</v>
      </c>
      <c r="FG107" s="31" t="e">
        <f>IF(OR(Hypothèses!$B$4=17,Hypothèses!$B$4=18,Hypothèses!$B$4=19,Hypothèses!$B$4=20),
IF($D107="Pressio.",
IF(OR($E107=3,$E107=1,$E107=4),FF107,FE107),
IF($D107="Pénétro.",
IF(OR($E107=3,$E107=1,$E107=4),FF107,FE107))),IF($D107="Pressio.",
IF($E107=3,FF107,FE107),
IF($D107="Pénétro.",
IF($E107=4,FF107,FE107))))</f>
        <v>#N/A</v>
      </c>
      <c r="FH107" s="31">
        <v>0</v>
      </c>
      <c r="FI107" s="102" t="e">
        <f>IF(NDC!$H$10="Oui",(VLOOKUP($B$3,'Coeff EC7'!$T$39:$X$59,2,0)*FG107+VLOOKUP($B$3,'Coeff EC7'!$T$65:$X$85,2,0)*Model0.1T!FH107)/1.5,PI()*FE$12*$Q107*($B107-$B106)*0.15/10+FI106)</f>
        <v>#N/A</v>
      </c>
      <c r="FJ107" s="102" t="e">
        <f>(VLOOKUP($B$3,'Coeff EC7'!$T$39:$X$59,3,0)*FG107+VLOOKUP($B$3,'Coeff EC7'!$T$65:$X$85,3,0)*Model0.1T!FH107)/1.1</f>
        <v>#N/A</v>
      </c>
      <c r="FK107" s="102" t="e">
        <f t="shared" si="198"/>
        <v>#N/A</v>
      </c>
      <c r="FL107" s="102" t="e">
        <f t="shared" si="199"/>
        <v>#N/A</v>
      </c>
      <c r="FM107" s="414" t="e">
        <f>IF(AND(FI107&gt;NDC!$C$63,FJ107&gt;NDC!$C$65,FK107&gt;NDC!$D$73,FL107&gt;NDC!$D$74,$B107&gt;NDC!$H$22-0.1+MIN(3*FM$12,1.5)),0,1)</f>
        <v>#N/A</v>
      </c>
    </row>
    <row r="108" spans="1:169">
      <c r="A108" s="96">
        <f t="shared" si="165"/>
        <v>90.50000000000054</v>
      </c>
      <c r="B108" s="97">
        <v>9.5</v>
      </c>
      <c r="C108" s="81">
        <f>IF(B108&lt;=Hypothèses!$C$7,Hypothèses!$A$7,IF(B108&lt;=Hypothèses!$C$8,Hypothèses!$A$8,IF(B108&lt;=Hypothèses!$C$9,Hypothèses!$A$9,IF(B108&lt;=Hypothèses!$C$10,Hypothèses!$A$10,IF(B108&lt;=Hypothèses!$C$11,Hypothèses!$A$11,IF(B108&lt;=Hypothèses!$C$12,Hypothèses!$A$12,IF(B108&lt;=Hypothèses!$C$13,Hypothèses!$A$13,IF(B108&lt;=Hypothèses!$C$14,Hypothèses!$A$14,IF(B108&lt;=Hypothèses!$C$15,Hypothèses!$A$15,IF(B108&lt;=Hypothèses!$C$16,Hypothèses!$A$16,IF(B108&lt;=Hypothèses!$C$17,Hypothèses!$A$17,IF(B108&lt;=Hypothèses!$C$18,Hypothèses!$A$18,C107))))))))))))</f>
        <v>11</v>
      </c>
      <c r="D108" s="82" t="str">
        <f>IF(B108&lt;=Hypothèses!$C$7,Hypothèses!$R$7,IF(B108&lt;=Hypothèses!$C$8,Hypothèses!$R$8,IF(B108&lt;=Hypothèses!$C$9,Hypothèses!$R$9,IF(B108&lt;=Hypothèses!$C$10,Hypothèses!$R$10,IF(B108&lt;=Hypothèses!$C$11,Hypothèses!$R$11,IF(B108&lt;=Hypothèses!$C$12,Hypothèses!$R$12,IF(B108&lt;=Hypothèses!$C$13,Hypothèses!$R$13,IF(B108&lt;=Hypothèses!$C$14,Hypothèses!$R$14,IF(B108&lt;=Hypothèses!$C$15,Hypothèses!$R$15,IF(B108&lt;=Hypothèses!$C$16,Hypothèses!$R$16,IF(B108&lt;=Hypothèses!$C$17,Hypothèses!$R$17,IF(B108&lt;=Hypothèses!$C$18,Hypothèses!$R$18,D107))))))))))))</f>
        <v>Pressio.</v>
      </c>
      <c r="E108" s="82" t="e">
        <f>IF(B108&lt;=Hypothèses!$C$7,Hypothèses!$G$7,IF(B108&lt;=Hypothèses!$C$8,Hypothèses!$G$8,IF(B108&lt;=Hypothèses!$C$9,Hypothèses!$G$9,IF(B108&lt;=Hypothèses!$C$10,Hypothèses!$G$10,IF(B108&lt;=Hypothèses!$C$11,Hypothèses!$G$11,IF(B108&lt;=Hypothèses!$C$12,Hypothèses!$G$12,IF(B108&lt;=Hypothèses!$C$13,Hypothèses!$G$13,IF(B108&lt;=Hypothèses!$C$14,Hypothèses!$G$14,IF(B108&lt;=Hypothèses!$C$15,Hypothèses!$G$15,IF(B108&lt;=Hypothèses!$C$16,Hypothèses!$G$16,IF(B108&lt;=Hypothèses!$C$17,Hypothèses!$G$17,IF(B108&lt;=Hypothèses!$C$18,Hypothèses!$G$18,E107))))))))))))</f>
        <v>#N/A</v>
      </c>
      <c r="F108" s="82" t="str">
        <f>IF(B108&lt;=Hypothèses!$C$7,Hypothèses!$F$7,IF(B108&lt;=Hypothèses!$C$8,Hypothèses!$F$8,IF(B108&lt;=Hypothèses!$C$9,Hypothèses!$F$9,IF(B108&lt;=Hypothèses!$C$10,Hypothèses!$F$10,IF(B108&lt;=Hypothèses!$C$11,Hypothèses!$F$11,IF(B108&lt;=Hypothèses!$C$12,Hypothèses!$F$12,IF(B108&lt;=Hypothèses!$C$13,Hypothèses!$F$13,IF(B108&lt;=Hypothèses!$C$14,Hypothèses!$F$14,IF(B108&lt;=Hypothèses!$C$15,Hypothèses!$F$15,IF(B108&lt;=Hypothèses!$C$16,Hypothèses!$F$16,IF(B108&lt;=Hypothèses!$C$17,Hypothèses!$F$17,IF(B108&lt;=Hypothèses!$C$18,Hypothèses!$F$18,F107))))))))))))</f>
        <v/>
      </c>
      <c r="G108" s="91">
        <f t="array" ref="G108">INDEX('Coeff EC7'!$U$7:$X$27,
MATCH(Model0.1T!$B$3,'Coeff EC7'!$T$7:$T$27,0),
MATCH(Model0.1T!$D108&amp;Model0.1T!$B$4,
'Coeff EC7'!$U$6:$X$6&amp;
'Coeff EC7'!$U$5:$X$5,0))</f>
        <v>1.4</v>
      </c>
      <c r="H108" s="91">
        <f t="array" ref="H108">INDEX('Coeff EC7'!$Y$7:$AB$27,
MATCH(Model0.1T!$B$3,'Coeff EC7'!$T$7:$T$27,0),
MATCH(Model0.1T!$D108&amp;Model0.1T!$B$4,
'Coeff EC7'!$Y$6:$AB$6&amp;
'Coeff EC7'!$Y$5:$AB$5,0))</f>
        <v>1.7</v>
      </c>
      <c r="I108" s="83">
        <v>0</v>
      </c>
      <c r="J108" s="91" t="e">
        <f t="array" ref="J108">INDEX('Coeff EC7'!$D$33:$Q$33,1,MATCH(D108&amp;E108,'Coeff EC7'!$D$31:$Q$31&amp;'Coeff EC7'!$D$32:$Q$32,0))</f>
        <v>#N/A</v>
      </c>
      <c r="K108" s="91" t="e">
        <f t="array" ref="K108">INDEX('Coeff EC7'!$D$34:$Q$34,1,MATCH(D108&amp;E108,'Coeff EC7'!$D$31:$Q$31&amp;'Coeff EC7'!$D$32:$Q$32,0))</f>
        <v>#N/A</v>
      </c>
      <c r="L108" s="91" t="e">
        <f t="array" ref="L108">INDEX('Coeff EC7'!$D$35:$Q$35,1,MATCH(D108&amp;E108,'Coeff EC7'!$D$31:$Q$31&amp;'Coeff EC7'!$D$32:$Q$32,0))</f>
        <v>#N/A</v>
      </c>
      <c r="M108" s="98" t="e">
        <f t="shared" si="131"/>
        <v>#N/A</v>
      </c>
      <c r="N108" s="99" t="e">
        <f t="array" ref="N108">INDEX('Coeff EC7'!$D$7:$Q$27,MATCH($B$3,'Coeff EC7'!$C$7:$C$27,0),MATCH(D108&amp;E108,'Coeff EC7'!$D$5:$Q$5&amp;'Coeff EC7'!$D$6:$Q$6,0))</f>
        <v>#N/A</v>
      </c>
      <c r="O108" s="99" t="e">
        <f t="array" ref="O108">INDEX('Coeff EC7'!$D$41:$Q$61,MATCH($B$3,'Coeff EC7'!$C$41:$C$61,0),MATCH(D108&amp;E108,'Coeff EC7'!$D$39:$Q$39&amp;'Coeff EC7'!$D$40:$Q$40,0))</f>
        <v>#N/A</v>
      </c>
      <c r="P108" s="30" t="e">
        <f t="shared" si="166"/>
        <v>#N/A</v>
      </c>
      <c r="Q108" s="100" t="e">
        <f t="shared" si="133"/>
        <v>#N/A</v>
      </c>
      <c r="R108" s="86" t="b">
        <f t="shared" si="134"/>
        <v>0</v>
      </c>
      <c r="S108" s="86">
        <f t="shared" si="132"/>
        <v>0.5</v>
      </c>
      <c r="T108" s="86">
        <f t="shared" si="135"/>
        <v>0.5</v>
      </c>
      <c r="U108" s="30" t="e">
        <f t="shared" ca="1" si="167"/>
        <v>#DIV/0!</v>
      </c>
      <c r="V108" s="85" t="str">
        <f>IF(B108&lt;=Hypothèses!$V$7,Hypothèses!$W$7,IF(B108&lt;=Hypothèses!$V$8,Hypothèses!$W$8,IF(B108&lt;=Hypothèses!$V$9,Hypothèses!$W$9,IF(B108&lt;=Hypothèses!$V$10,Hypothèses!$W$10,IF(B108&lt;=Hypothèses!$V$11,Hypothèses!$W$11,IF(B108&lt;=Hypothèses!$V$12,Hypothèses!$W$12,IF(B108&lt;=Hypothèses!$V$13,Hypothèses!$W$13,IF(B108&lt;=Hypothèses!$V$14,Hypothèses!$W$14,IF(B108&lt;=Hypothèses!$V$15,Hypothèses!$W$15,IF(B108&lt;=Hypothèses!$V$16,Hypothèses!$W$16,IF(B108&lt;=Hypothèses!$V$17,Hypothèses!$W$17,IF(B108&lt;=Hypothèses!$V$18,Hypothèses!$W$18,""))))))))))))</f>
        <v/>
      </c>
      <c r="W108" s="87" t="e">
        <f t="shared" ca="1" si="216"/>
        <v>#DIV/0!</v>
      </c>
      <c r="X108" s="88" t="str">
        <f>IF(B108&lt;=Hypothèses!$V$7,Hypothèses!$X$7,IF(B108&lt;=Hypothèses!$V$8,Hypothèses!$X$8,IF(B108&lt;=Hypothèses!$V$9,Hypothèses!$X$9,IF(B108&lt;=Hypothèses!$V$10,Hypothèses!$X$10,IF(B108&lt;=Hypothèses!$V$11,Hypothèses!$X$11,IF(B108&lt;=Hypothèses!$V$12,Hypothèses!$X$12,IF(B108&lt;=Hypothèses!$V$13,Hypothèses!$X$13,IF(B108&lt;=Hypothèses!$V$14,Hypothèses!$X$14,IF(B108&lt;=Hypothèses!$V$15,Hypothèses!$X$15,IF(B108&lt;=Hypothèses!$V$16,Hypothèses!$X$16,IF(B108&lt;=Hypothèses!$U$17,Hypothèses!$W$17,IF(B108&lt;=Hypothèses!$U$18,Hypothèses!$W$18,""))))))))))))</f>
        <v/>
      </c>
      <c r="Y108" s="95" t="e">
        <f t="shared" ca="1" si="136"/>
        <v>#DIV/0!</v>
      </c>
      <c r="Z108" s="101">
        <f t="shared" si="137"/>
        <v>0</v>
      </c>
      <c r="AA108" s="91">
        <f t="shared" si="138"/>
        <v>0</v>
      </c>
      <c r="AB108" s="30" t="e">
        <f t="shared" si="200"/>
        <v>#N/A</v>
      </c>
      <c r="AC108" s="30" t="e">
        <f t="shared" si="201"/>
        <v>#N/A</v>
      </c>
      <c r="AD108" s="31" t="e">
        <f>IF(OR(Hypothèses!$B$4=17,Hypothèses!$B$4=18,Hypothèses!$B$4=19,Hypothèses!$B$4=20),
IF($D108="Pressio.",
IF(OR($E108=3,$E108=1,$E108=4),AC108,AB108),
IF($D108="Pénétro.",
IF(OR($E108=3,$E108=1,$E108=4),AC108,AB108))),IF($D108="Pressio.",
IF($E108=3,AC108,AB108),
IF($D108="Pénétro.",
IF($E108=4,AC108,AB108))))</f>
        <v>#N/A</v>
      </c>
      <c r="AE108" s="31">
        <v>0</v>
      </c>
      <c r="AF108" s="102" t="e">
        <f>IF(NDC!$H$10="Oui",(VLOOKUP($B$3,'Coeff EC7'!$T$39:$X$59,2,0)*AD108+VLOOKUP($B$3,'Coeff EC7'!$T$65:$X$85,2,0)*Model0.1T!AE108)/1.5,PI()*AB$12*$Q108*($B108-$B107)*0.15/10+AF107)</f>
        <v>#N/A</v>
      </c>
      <c r="AG108" s="102" t="e">
        <f>(VLOOKUP($B$3,'Coeff EC7'!$T$39:$X$59,3,0)*AD108+VLOOKUP($B$3,'Coeff EC7'!$T$65:$X$85,3,0)*Model0.1T!AE108)/1.1</f>
        <v>#N/A</v>
      </c>
      <c r="AH108" s="102" t="e">
        <f t="shared" si="168"/>
        <v>#N/A</v>
      </c>
      <c r="AI108" s="102" t="e">
        <f t="shared" si="169"/>
        <v>#N/A</v>
      </c>
      <c r="AJ108" s="414" t="e">
        <f>IF(AND(AF108&gt;NDC!$C$63,AG108&gt;NDC!$C$65,AH108&gt;NDC!$D$73,AI108&gt;NDC!$D$74,$B108&gt;NDC!$H$22-0.1+MIN(3*$AJ$12,1.5)),0,1)</f>
        <v>#N/A</v>
      </c>
      <c r="AK108" s="86" t="b">
        <f t="shared" si="139"/>
        <v>0</v>
      </c>
      <c r="AL108" s="86">
        <f t="shared" si="170"/>
        <v>0.5</v>
      </c>
      <c r="AM108" s="86">
        <f t="shared" si="140"/>
        <v>0.5</v>
      </c>
      <c r="AN108" s="30" t="e">
        <f t="shared" ca="1" si="171"/>
        <v>#DIV/0!</v>
      </c>
      <c r="AO108" s="85" t="e">
        <f ca="1">IF(U108&lt;=Hypothèses!$V$7,Hypothèses!$W$7,IF(U108&lt;=Hypothèses!$V$8,Hypothèses!$W$8,IF(U108&lt;=Hypothèses!$V$9,Hypothèses!$W$9,IF(U108&lt;=Hypothèses!$V$10,Hypothèses!$W$10,IF(U108&lt;=Hypothèses!$V$11,Hypothèses!$W$11,IF(U108&lt;=Hypothèses!$V$12,Hypothèses!$W$12,IF(U108&lt;=Hypothèses!$V$13,Hypothèses!$W$13,IF(U108&lt;=Hypothèses!$V$14,Hypothèses!$W$14,IF(U108&lt;=Hypothèses!$V$15,Hypothèses!$W$15,IF(U108&lt;=Hypothèses!$V$16,Hypothèses!$W$16,IF(U108&lt;=Hypothèses!$V$17,Hypothèses!$W$17,IF(U108&lt;=Hypothèses!$V$18,Hypothèses!$W$18,""))))))))))))</f>
        <v>#DIV/0!</v>
      </c>
      <c r="AP108" s="87" t="e">
        <f t="shared" ca="1" si="217"/>
        <v>#DIV/0!</v>
      </c>
      <c r="AQ108" s="88" t="e">
        <f ca="1">IF(U108&lt;=Hypothèses!$V$7,Hypothèses!$X$7,IF(U108&lt;=Hypothèses!$V$8,Hypothèses!$X$8,IF(U108&lt;=Hypothèses!$V$9,Hypothèses!$X$9,IF(U108&lt;=Hypothèses!$V$10,Hypothèses!$X$10,IF(U108&lt;=Hypothèses!$V$11,Hypothèses!$X$11,IF(U108&lt;=Hypothèses!$V$12,Hypothèses!$X$12,IF(U108&lt;=Hypothèses!$V$13,Hypothèses!$X$13,IF(U108&lt;=Hypothèses!$V$14,Hypothèses!$X$14,IF(U108&lt;=Hypothèses!$V$15,Hypothèses!$X$15,IF(U108&lt;=Hypothèses!$V$16,Hypothèses!$X$16,IF(U108&lt;=Hypothèses!$U$17,Hypothèses!$W$17,IF(U108&lt;=Hypothèses!$U$18,Hypothèses!$W$18,""))))))))))))</f>
        <v>#DIV/0!</v>
      </c>
      <c r="AR108" s="95" t="e">
        <f t="shared" ca="1" si="172"/>
        <v>#DIV/0!</v>
      </c>
      <c r="AS108" s="101">
        <f t="shared" si="224"/>
        <v>0</v>
      </c>
      <c r="AT108" s="91">
        <f t="shared" si="141"/>
        <v>0</v>
      </c>
      <c r="AU108" s="30" t="e">
        <f t="shared" si="202"/>
        <v>#N/A</v>
      </c>
      <c r="AV108" s="30" t="e">
        <f t="shared" si="203"/>
        <v>#N/A</v>
      </c>
      <c r="AW108" s="31" t="e">
        <f>IF(OR(Hypothèses!$B$4=17,Hypothèses!$B$4=18,Hypothèses!$B$4=19,Hypothèses!$B$4=20),
IF($D108="Pressio.",
IF(OR($E108=3,$E108=1,$E108=4),AV108,AU108),
IF($D108="Pénétro.",
IF(OR($E108=3,$E108=1,$E108=4),AV108,AU108))),IF($D108="Pressio.",
IF($E108=3,AV108,AU108),
IF($D108="Pénétro.",
IF($E108=4,AV108,AU108))))</f>
        <v>#N/A</v>
      </c>
      <c r="AX108" s="31">
        <v>0</v>
      </c>
      <c r="AY108" s="102" t="e">
        <f>IF(NDC!$H$10="Oui",(VLOOKUP($B$3,'Coeff EC7'!$T$39:$X$59,2,0)*AW108+VLOOKUP($B$3,'Coeff EC7'!$T$65:$X$85,2,0)*Model0.1T!AX108)/1.5,PI()*AU$12*$Q108*($B108-$B107)*0.15/10+AY107)</f>
        <v>#N/A</v>
      </c>
      <c r="AZ108" s="102" t="e">
        <f>(VLOOKUP($B$3,'Coeff EC7'!$T$39:$X$59,3,0)*AW108+VLOOKUP($B$3,'Coeff EC7'!$T$65:$X$85,3,0)*Model0.1T!AX108)/1.1</f>
        <v>#N/A</v>
      </c>
      <c r="BA108" s="102" t="e">
        <f t="shared" si="173"/>
        <v>#N/A</v>
      </c>
      <c r="BB108" s="102" t="e">
        <f t="shared" si="174"/>
        <v>#N/A</v>
      </c>
      <c r="BC108" s="414" t="e">
        <f>IF(AND(AY108&gt;NDC!$C$63,AZ108&gt;NDC!$C$65,BA108&gt;NDC!$D$73,BB108&gt;NDC!$D$74,$B108&gt;NDC!$H$22-0.1+MIN(3*BC$12,1.5)),0,1)</f>
        <v>#N/A</v>
      </c>
      <c r="BD108" s="86" t="b">
        <f t="shared" si="142"/>
        <v>0</v>
      </c>
      <c r="BE108" s="86">
        <f t="shared" si="175"/>
        <v>0.5</v>
      </c>
      <c r="BF108" s="86">
        <f t="shared" si="143"/>
        <v>0.5</v>
      </c>
      <c r="BG108" s="30" t="e">
        <f t="shared" ca="1" si="176"/>
        <v>#DIV/0!</v>
      </c>
      <c r="BH108" s="85" t="e">
        <f ca="1">IF(AN108&lt;=Hypothèses!$V$7,Hypothèses!$W$7,IF(AN108&lt;=Hypothèses!$V$8,Hypothèses!$W$8,IF(AN108&lt;=Hypothèses!$V$9,Hypothèses!$W$9,IF(AN108&lt;=Hypothèses!$V$10,Hypothèses!$W$10,IF(AN108&lt;=Hypothèses!$V$11,Hypothèses!$W$11,IF(AN108&lt;=Hypothèses!$V$12,Hypothèses!$W$12,IF(AN108&lt;=Hypothèses!$V$13,Hypothèses!$W$13,IF(AN108&lt;=Hypothèses!$V$14,Hypothèses!$W$14,IF(AN108&lt;=Hypothèses!$V$15,Hypothèses!$W$15,IF(AN108&lt;=Hypothèses!$V$16,Hypothèses!$W$16,IF(AN108&lt;=Hypothèses!$V$17,Hypothèses!$W$17,IF(AN108&lt;=Hypothèses!$V$18,Hypothèses!$W$18,""))))))))))))</f>
        <v>#DIV/0!</v>
      </c>
      <c r="BI108" s="87" t="e">
        <f t="shared" ca="1" si="218"/>
        <v>#DIV/0!</v>
      </c>
      <c r="BJ108" s="88" t="e">
        <f ca="1">IF(AN108&lt;=Hypothèses!$V$7,Hypothèses!$X$7,IF(AN108&lt;=Hypothèses!$V$8,Hypothèses!$X$8,IF(AN108&lt;=Hypothèses!$V$9,Hypothèses!$X$9,IF(AN108&lt;=Hypothèses!$V$10,Hypothèses!$X$10,IF(AN108&lt;=Hypothèses!$V$11,Hypothèses!$X$11,IF(AN108&lt;=Hypothèses!$V$12,Hypothèses!$X$12,IF(AN108&lt;=Hypothèses!$V$13,Hypothèses!$X$13,IF(AN108&lt;=Hypothèses!$V$14,Hypothèses!$X$14,IF(AN108&lt;=Hypothèses!$V$15,Hypothèses!$X$15,IF(AN108&lt;=Hypothèses!$V$16,Hypothèses!$X$16,IF(AN108&lt;=Hypothèses!$U$17,Hypothèses!$W$17,IF(AN108&lt;=Hypothèses!$U$18,Hypothèses!$W$18,""))))))))))))</f>
        <v>#DIV/0!</v>
      </c>
      <c r="BK108" s="95" t="e">
        <f t="shared" ca="1" si="177"/>
        <v>#DIV/0!</v>
      </c>
      <c r="BL108" s="101">
        <f t="shared" si="225"/>
        <v>0</v>
      </c>
      <c r="BM108" s="91">
        <f t="shared" si="144"/>
        <v>0</v>
      </c>
      <c r="BN108" s="30" t="e">
        <f t="shared" si="204"/>
        <v>#N/A</v>
      </c>
      <c r="BO108" s="30" t="e">
        <f t="shared" si="205"/>
        <v>#N/A</v>
      </c>
      <c r="BP108" s="31" t="e">
        <f>IF(OR(Hypothèses!$B$4=17,Hypothèses!$B$4=18,Hypothèses!$B$4=19,Hypothèses!$B$4=20),
IF($D108="Pressio.",
IF(OR($E108=3,$E108=1,$E108=4),BO108,BN108),
IF($D108="Pénétro.",
IF(OR($E108=3,$E108=1,$E108=4),BO108,BN108))),IF($D108="Pressio.",
IF($E108=3,BO108,BN108),
IF($D108="Pénétro.",
IF($E108=4,BO108,BN108))))</f>
        <v>#N/A</v>
      </c>
      <c r="BQ108" s="31">
        <v>0</v>
      </c>
      <c r="BR108" s="102" t="e">
        <f>IF(NDC!$H$10="Oui",(VLOOKUP($B$3,'Coeff EC7'!$T$39:$X$59,2,0)*BP108+VLOOKUP($B$3,'Coeff EC7'!$T$65:$X$85,2,0)*Model0.1T!BQ108)/1.5,PI()*BN$12*$Q108*($B108-$B107)*0.15/10+BR107)</f>
        <v>#N/A</v>
      </c>
      <c r="BS108" s="102" t="e">
        <f>(VLOOKUP($B$3,'Coeff EC7'!$T$39:$X$59,3,0)*BP108+VLOOKUP($B$3,'Coeff EC7'!$T$65:$X$85,3,0)*Model0.1T!BQ108)/1.1</f>
        <v>#N/A</v>
      </c>
      <c r="BT108" s="102" t="e">
        <f t="shared" si="178"/>
        <v>#N/A</v>
      </c>
      <c r="BU108" s="102" t="e">
        <f t="shared" si="179"/>
        <v>#N/A</v>
      </c>
      <c r="BV108" s="414" t="e">
        <f>IF(AND(BR108&gt;NDC!$C$63,BS108&gt;NDC!$C$65,BT108&gt;NDC!$D$73,BU108&gt;NDC!$D$74,$B108&gt;NDC!$H$22-0.1+MIN(3*BV$12,1.5)),0,1)</f>
        <v>#N/A</v>
      </c>
      <c r="BW108" s="86" t="b">
        <f t="shared" si="145"/>
        <v>0</v>
      </c>
      <c r="BX108" s="86">
        <f t="shared" si="146"/>
        <v>0.5</v>
      </c>
      <c r="BY108" s="86">
        <f t="shared" si="147"/>
        <v>0.5</v>
      </c>
      <c r="BZ108" s="30" t="e">
        <f t="shared" ca="1" si="180"/>
        <v>#DIV/0!</v>
      </c>
      <c r="CA108" s="85" t="e">
        <f ca="1">IF(BG108&lt;=Hypothèses!$V$7,Hypothèses!$W$7,IF(BG108&lt;=Hypothèses!$V$8,Hypothèses!$W$8,IF(BG108&lt;=Hypothèses!$V$9,Hypothèses!$W$9,IF(BG108&lt;=Hypothèses!$V$10,Hypothèses!$W$10,IF(BG108&lt;=Hypothèses!$V$11,Hypothèses!$W$11,IF(BG108&lt;=Hypothèses!$V$12,Hypothèses!$W$12,IF(BG108&lt;=Hypothèses!$V$13,Hypothèses!$W$13,IF(BG108&lt;=Hypothèses!$V$14,Hypothèses!$W$14,IF(BG108&lt;=Hypothèses!$V$15,Hypothèses!$W$15,IF(BG108&lt;=Hypothèses!$V$16,Hypothèses!$W$16,IF(BG108&lt;=Hypothèses!$V$17,Hypothèses!$W$17,IF(BG108&lt;=Hypothèses!$V$18,Hypothèses!$W$18,""))))))))))))</f>
        <v>#DIV/0!</v>
      </c>
      <c r="CB108" s="87" t="e">
        <f t="shared" ca="1" si="219"/>
        <v>#DIV/0!</v>
      </c>
      <c r="CC108" s="88" t="e">
        <f ca="1">IF(BG108&lt;=Hypothèses!$V$7,Hypothèses!$X$7,IF(BG108&lt;=Hypothèses!$V$8,Hypothèses!$X$8,IF(BG108&lt;=Hypothèses!$V$9,Hypothèses!$X$9,IF(BG108&lt;=Hypothèses!$V$10,Hypothèses!$X$10,IF(BG108&lt;=Hypothèses!$V$11,Hypothèses!$X$11,IF(BG108&lt;=Hypothèses!$V$12,Hypothèses!$X$12,IF(BG108&lt;=Hypothèses!$V$13,Hypothèses!$X$13,IF(BG108&lt;=Hypothèses!$V$14,Hypothèses!$X$14,IF(BG108&lt;=Hypothèses!$V$15,Hypothèses!$X$15,IF(BG108&lt;=Hypothèses!$V$16,Hypothèses!$X$16,IF(BG108&lt;=Hypothèses!$U$17,Hypothèses!$W$17,IF(BG108&lt;=Hypothèses!$U$18,Hypothèses!$W$18,""))))))))))))</f>
        <v>#DIV/0!</v>
      </c>
      <c r="CD108" s="95" t="e">
        <f t="shared" ca="1" si="181"/>
        <v>#DIV/0!</v>
      </c>
      <c r="CE108" s="101">
        <f t="shared" si="226"/>
        <v>0</v>
      </c>
      <c r="CF108" s="91">
        <f t="shared" si="148"/>
        <v>0</v>
      </c>
      <c r="CG108" s="30" t="e">
        <f t="shared" si="206"/>
        <v>#N/A</v>
      </c>
      <c r="CH108" s="30" t="e">
        <f t="shared" si="207"/>
        <v>#N/A</v>
      </c>
      <c r="CI108" s="31" t="e">
        <f>IF(OR(Hypothèses!$B$4=17,Hypothèses!$B$4=18,Hypothèses!$B$4=19,Hypothèses!$B$4=20),
IF($D108="Pressio.",
IF(OR($E108=3,$E108=1,$E108=4),CH108,CG108),
IF($D108="Pénétro.",
IF(OR($E108=3,$E108=1,$E108=4),CH108,CG108))),IF($D108="Pressio.",
IF($E108=3,CH108,CG108),
IF($D108="Pénétro.",
IF($E108=4,CH108,CG108))))</f>
        <v>#N/A</v>
      </c>
      <c r="CJ108" s="31">
        <v>0</v>
      </c>
      <c r="CK108" s="102" t="e">
        <f>IF(NDC!$H$10="Oui",(VLOOKUP($B$3,'Coeff EC7'!$T$39:$X$59,2,0)*CI108+VLOOKUP($B$3,'Coeff EC7'!$T$65:$X$85,2,0)*Model0.1T!CJ108)/1.5,PI()*CG$12*$Q108*($B108-$B107)*0.15/10+CK107)</f>
        <v>#N/A</v>
      </c>
      <c r="CL108" s="102" t="e">
        <f>(VLOOKUP($B$3,'Coeff EC7'!$T$39:$X$59,3,0)*CI108+VLOOKUP($B$3,'Coeff EC7'!$T$65:$X$85,3,0)*Model0.1T!CJ108)/1.1</f>
        <v>#N/A</v>
      </c>
      <c r="CM108" s="102" t="e">
        <f t="shared" si="182"/>
        <v>#N/A</v>
      </c>
      <c r="CN108" s="102" t="e">
        <f t="shared" si="183"/>
        <v>#N/A</v>
      </c>
      <c r="CO108" s="414" t="e">
        <f>IF(AND(CK108&gt;NDC!$C$63,CL108&gt;NDC!$C$65,CM108&gt;NDC!$D$73,CN108&gt;NDC!$D$74,$B108&gt;NDC!$H$22-0.1+MIN(3*CO$12,1.5)),0,1)</f>
        <v>#N/A</v>
      </c>
      <c r="CP108" s="86" t="b">
        <f t="shared" si="149"/>
        <v>0</v>
      </c>
      <c r="CQ108" s="86">
        <f t="shared" si="150"/>
        <v>0.5</v>
      </c>
      <c r="CR108" s="86">
        <f t="shared" si="151"/>
        <v>0.5</v>
      </c>
      <c r="CS108" s="30" t="e">
        <f t="shared" ca="1" si="184"/>
        <v>#DIV/0!</v>
      </c>
      <c r="CT108" s="85" t="e">
        <f ca="1">IF(BZ108&lt;=Hypothèses!$V$7,Hypothèses!$W$7,IF(BZ108&lt;=Hypothèses!$V$8,Hypothèses!$W$8,IF(BZ108&lt;=Hypothèses!$V$9,Hypothèses!$W$9,IF(BZ108&lt;=Hypothèses!$V$10,Hypothèses!$W$10,IF(BZ108&lt;=Hypothèses!$V$11,Hypothèses!$W$11,IF(BZ108&lt;=Hypothèses!$V$12,Hypothèses!$W$12,IF(BZ108&lt;=Hypothèses!$V$13,Hypothèses!$W$13,IF(BZ108&lt;=Hypothèses!$V$14,Hypothèses!$W$14,IF(BZ108&lt;=Hypothèses!$V$15,Hypothèses!$W$15,IF(BZ108&lt;=Hypothèses!$V$16,Hypothèses!$W$16,IF(BZ108&lt;=Hypothèses!$V$17,Hypothèses!$W$17,IF(BZ108&lt;=Hypothèses!$V$18,Hypothèses!$W$18,""))))))))))))</f>
        <v>#DIV/0!</v>
      </c>
      <c r="CU108" s="87" t="e">
        <f t="shared" ca="1" si="220"/>
        <v>#DIV/0!</v>
      </c>
      <c r="CV108" s="88" t="e">
        <f ca="1">IF(BZ108&lt;=Hypothèses!$V$7,Hypothèses!$X$7,IF(BZ108&lt;=Hypothèses!$V$8,Hypothèses!$X$8,IF(BZ108&lt;=Hypothèses!$V$9,Hypothèses!$X$9,IF(BZ108&lt;=Hypothèses!$V$10,Hypothèses!$X$10,IF(BZ108&lt;=Hypothèses!$V$11,Hypothèses!$X$11,IF(BZ108&lt;=Hypothèses!$V$12,Hypothèses!$X$12,IF(BZ108&lt;=Hypothèses!$V$13,Hypothèses!$X$13,IF(BZ108&lt;=Hypothèses!$V$14,Hypothèses!$X$14,IF(BZ108&lt;=Hypothèses!$V$15,Hypothèses!$X$15,IF(BZ108&lt;=Hypothèses!$V$16,Hypothèses!$X$16,IF(BZ108&lt;=Hypothèses!$U$17,Hypothèses!$W$17,IF(BZ108&lt;=Hypothèses!$U$18,Hypothèses!$W$18,""))))))))))))</f>
        <v>#DIV/0!</v>
      </c>
      <c r="CW108" s="95" t="e">
        <f t="shared" ca="1" si="185"/>
        <v>#DIV/0!</v>
      </c>
      <c r="CX108" s="101">
        <f t="shared" si="227"/>
        <v>0</v>
      </c>
      <c r="CY108" s="91">
        <f t="shared" si="152"/>
        <v>0</v>
      </c>
      <c r="CZ108" s="30" t="e">
        <f t="shared" si="208"/>
        <v>#N/A</v>
      </c>
      <c r="DA108" s="30" t="e">
        <f t="shared" si="209"/>
        <v>#N/A</v>
      </c>
      <c r="DB108" s="31" t="e">
        <f>IF(OR(Hypothèses!$B$4=17,Hypothèses!$B$4=18,Hypothèses!$B$4=19,Hypothèses!$B$4=20),
IF($D108="Pressio.",
IF(OR($E108=3,$E108=1,$E108=4),DA108,CZ108),
IF($D108="Pénétro.",
IF(OR($E108=3,$E108=1,$E108=4),DA108,CZ108))),IF($D108="Pressio.",
IF($E108=3,DA108,CZ108),
IF($D108="Pénétro.",
IF($E108=4,DA108,CZ108))))</f>
        <v>#N/A</v>
      </c>
      <c r="DC108" s="31">
        <v>0</v>
      </c>
      <c r="DD108" s="102" t="e">
        <f>IF(NDC!$H$10="Oui",(VLOOKUP($B$3,'Coeff EC7'!$T$39:$X$59,2,0)*DB108+VLOOKUP($B$3,'Coeff EC7'!$T$65:$X$85,2,0)*Model0.1T!DC108)/1.5,PI()*CZ$12*$Q108*($B108-$B107)*0.15/10+DD107)</f>
        <v>#N/A</v>
      </c>
      <c r="DE108" s="102" t="e">
        <f>(VLOOKUP($B$3,'Coeff EC7'!$T$39:$X$59,3,0)*DB108+VLOOKUP($B$3,'Coeff EC7'!$T$65:$X$85,3,0)*Model0.1T!DC108)/1.1</f>
        <v>#N/A</v>
      </c>
      <c r="DF108" s="102" t="e">
        <f t="shared" si="186"/>
        <v>#N/A</v>
      </c>
      <c r="DG108" s="102" t="e">
        <f t="shared" si="187"/>
        <v>#N/A</v>
      </c>
      <c r="DH108" s="414" t="e">
        <f>IF(AND(DD108&gt;NDC!$C$63,DE108&gt;NDC!$C$65,DF108&gt;NDC!$D$73,DG108&gt;NDC!$D$74,$B108&gt;NDC!$H$22-0.1+MIN(3*DH$12,1.5)),0,1)</f>
        <v>#N/A</v>
      </c>
      <c r="DI108" s="86" t="b">
        <f t="shared" si="153"/>
        <v>0</v>
      </c>
      <c r="DJ108" s="86">
        <f t="shared" si="154"/>
        <v>0.5</v>
      </c>
      <c r="DK108" s="86">
        <f t="shared" si="155"/>
        <v>0.5</v>
      </c>
      <c r="DL108" s="30" t="e">
        <f t="shared" ca="1" si="188"/>
        <v>#DIV/0!</v>
      </c>
      <c r="DM108" s="85" t="e">
        <f ca="1">IF(CS108&lt;=Hypothèses!$V$7,Hypothèses!$W$7,IF(CS108&lt;=Hypothèses!$V$8,Hypothèses!$W$8,IF(CS108&lt;=Hypothèses!$V$9,Hypothèses!$W$9,IF(CS108&lt;=Hypothèses!$V$10,Hypothèses!$W$10,IF(CS108&lt;=Hypothèses!$V$11,Hypothèses!$W$11,IF(CS108&lt;=Hypothèses!$V$12,Hypothèses!$W$12,IF(CS108&lt;=Hypothèses!$V$13,Hypothèses!$W$13,IF(CS108&lt;=Hypothèses!$V$14,Hypothèses!$W$14,IF(CS108&lt;=Hypothèses!$V$15,Hypothèses!$W$15,IF(CS108&lt;=Hypothèses!$V$16,Hypothèses!$W$16,IF(CS108&lt;=Hypothèses!$V$17,Hypothèses!$W$17,IF(CS108&lt;=Hypothèses!$V$18,Hypothèses!$W$18,""))))))))))))</f>
        <v>#DIV/0!</v>
      </c>
      <c r="DN108" s="87" t="e">
        <f t="shared" ca="1" si="221"/>
        <v>#DIV/0!</v>
      </c>
      <c r="DO108" s="88" t="e">
        <f ca="1">IF(CS108&lt;=Hypothèses!$V$7,Hypothèses!$X$7,IF(CS108&lt;=Hypothèses!$V$8,Hypothèses!$X$8,IF(CS108&lt;=Hypothèses!$V$9,Hypothèses!$X$9,IF(CS108&lt;=Hypothèses!$V$10,Hypothèses!$X$10,IF(CS108&lt;=Hypothèses!$V$11,Hypothèses!$X$11,IF(CS108&lt;=Hypothèses!$V$12,Hypothèses!$X$12,IF(CS108&lt;=Hypothèses!$V$13,Hypothèses!$X$13,IF(CS108&lt;=Hypothèses!$V$14,Hypothèses!$X$14,IF(CS108&lt;=Hypothèses!$V$15,Hypothèses!$X$15,IF(CS108&lt;=Hypothèses!$V$16,Hypothèses!$X$16,IF(CS108&lt;=Hypothèses!$U$17,Hypothèses!$W$17,IF(CS108&lt;=Hypothèses!$U$18,Hypothèses!$W$18,""))))))))))))</f>
        <v>#DIV/0!</v>
      </c>
      <c r="DP108" s="95" t="e">
        <f t="shared" ca="1" si="189"/>
        <v>#DIV/0!</v>
      </c>
      <c r="DQ108" s="101">
        <f t="shared" si="228"/>
        <v>0</v>
      </c>
      <c r="DR108" s="91">
        <f t="shared" si="156"/>
        <v>0</v>
      </c>
      <c r="DS108" s="30" t="e">
        <f t="shared" si="210"/>
        <v>#N/A</v>
      </c>
      <c r="DT108" s="30" t="e">
        <f t="shared" si="211"/>
        <v>#N/A</v>
      </c>
      <c r="DU108" s="31" t="e">
        <f>IF(OR(Hypothèses!$B$4=17,Hypothèses!$B$4=18,Hypothèses!$B$4=19,Hypothèses!$B$4=20),
IF($D108="Pressio.",
IF(OR($E108=3,$E108=1,$E108=4),DT108,DS108),
IF($D108="Pénétro.",
IF(OR($E108=3,$E108=1,$E108=4),DT108,DS108))),IF($D108="Pressio.",
IF($E108=3,DT108,DS108),
IF($D108="Pénétro.",
IF($E108=4,DT108,DS108))))</f>
        <v>#N/A</v>
      </c>
      <c r="DV108" s="31">
        <v>0</v>
      </c>
      <c r="DW108" s="102" t="e">
        <f>IF(NDC!$H$10="Oui",(VLOOKUP($B$3,'Coeff EC7'!$T$39:$X$59,2,0)*DU108+VLOOKUP($B$3,'Coeff EC7'!$T$65:$X$85,2,0)*Model0.1T!DV108)/1.5,PI()*DS$12*$Q108*($B108-$B107)*0.15/10+DW107)</f>
        <v>#N/A</v>
      </c>
      <c r="DX108" s="102" t="e">
        <f>(VLOOKUP($B$3,'Coeff EC7'!$T$39:$X$59,3,0)*DU108+VLOOKUP($B$3,'Coeff EC7'!$T$65:$X$85,3,0)*Model0.1T!DV108)/1.1</f>
        <v>#N/A</v>
      </c>
      <c r="DY108" s="102" t="e">
        <f t="shared" si="190"/>
        <v>#N/A</v>
      </c>
      <c r="DZ108" s="102" t="e">
        <f t="shared" si="191"/>
        <v>#N/A</v>
      </c>
      <c r="EA108" s="414" t="e">
        <f>IF(AND(DW108&gt;NDC!$C$63,DX108&gt;NDC!$C$65,DY108&gt;NDC!$D$73,DZ108&gt;NDC!$D$74,$B108&gt;NDC!$H$22-0.1+MIN(3*EA$12,1.5)),0,1)</f>
        <v>#N/A</v>
      </c>
      <c r="EB108" s="86" t="b">
        <f t="shared" si="157"/>
        <v>0</v>
      </c>
      <c r="EC108" s="418">
        <f t="shared" si="158"/>
        <v>0.51</v>
      </c>
      <c r="ED108" s="86">
        <f t="shared" si="159"/>
        <v>0.51</v>
      </c>
      <c r="EE108" s="30" t="e">
        <f t="shared" ca="1" si="192"/>
        <v>#DIV/0!</v>
      </c>
      <c r="EF108" s="85" t="e">
        <f ca="1">IF(DL108&lt;=Hypothèses!$V$7,Hypothèses!$W$7,IF(DL108&lt;=Hypothèses!$V$8,Hypothèses!$W$8,IF(DL108&lt;=Hypothèses!$V$9,Hypothèses!$W$9,IF(DL108&lt;=Hypothèses!$V$10,Hypothèses!$W$10,IF(DL108&lt;=Hypothèses!$V$11,Hypothèses!$W$11,IF(DL108&lt;=Hypothèses!$V$12,Hypothèses!$W$12,IF(DL108&lt;=Hypothèses!$V$13,Hypothèses!$W$13,IF(DL108&lt;=Hypothèses!$V$14,Hypothèses!$W$14,IF(DL108&lt;=Hypothèses!$V$15,Hypothèses!$W$15,IF(DL108&lt;=Hypothèses!$V$16,Hypothèses!$W$16,IF(DL108&lt;=Hypothèses!$V$17,Hypothèses!$W$17,IF(DL108&lt;=Hypothèses!$V$18,Hypothèses!$W$18,""))))))))))))</f>
        <v>#DIV/0!</v>
      </c>
      <c r="EG108" s="87" t="e">
        <f t="shared" ca="1" si="222"/>
        <v>#DIV/0!</v>
      </c>
      <c r="EH108" s="88" t="e">
        <f ca="1">IF(DL108&lt;=Hypothèses!$V$7,Hypothèses!$X$7,IF(DL108&lt;=Hypothèses!$V$8,Hypothèses!$X$8,IF(DL108&lt;=Hypothèses!$V$9,Hypothèses!$X$9,IF(DL108&lt;=Hypothèses!$V$10,Hypothèses!$X$10,IF(DL108&lt;=Hypothèses!$V$11,Hypothèses!$X$11,IF(DL108&lt;=Hypothèses!$V$12,Hypothèses!$X$12,IF(DL108&lt;=Hypothèses!$V$13,Hypothèses!$X$13,IF(DL108&lt;=Hypothèses!$V$14,Hypothèses!$X$14,IF(DL108&lt;=Hypothèses!$V$15,Hypothèses!$X$15,IF(DL108&lt;=Hypothèses!$V$16,Hypothèses!$X$16,IF(DL108&lt;=Hypothèses!$U$17,Hypothèses!$W$17,IF(DL108&lt;=Hypothèses!$U$18,Hypothèses!$W$18,""))))))))))))</f>
        <v>#DIV/0!</v>
      </c>
      <c r="EI108" s="95" t="e">
        <f t="shared" ca="1" si="193"/>
        <v>#DIV/0!</v>
      </c>
      <c r="EJ108" s="101">
        <f t="shared" si="229"/>
        <v>0</v>
      </c>
      <c r="EK108" s="91">
        <f t="shared" si="160"/>
        <v>0</v>
      </c>
      <c r="EL108" s="30" t="e">
        <f t="shared" si="212"/>
        <v>#N/A</v>
      </c>
      <c r="EM108" s="30" t="e">
        <f t="shared" si="213"/>
        <v>#N/A</v>
      </c>
      <c r="EN108" s="31" t="e">
        <f>IF(OR(Hypothèses!$B$4=17,Hypothèses!$B$4=18,Hypothèses!$B$4=19,Hypothèses!$B$4=20),
IF($D108="Pressio.",
IF(OR($E108=3,$E108=1,$E108=4),EM108,EL108),
IF($D108="Pénétro.",
IF(OR($E108=3,$E108=1,$E108=4),EM108,EL108))),IF($D108="Pressio.",
IF($E108=3,EM108,EL108),
IF($D108="Pénétro.",
IF($E108=4,EM108,EL108))))</f>
        <v>#N/A</v>
      </c>
      <c r="EO108" s="31">
        <v>0</v>
      </c>
      <c r="EP108" s="102" t="e">
        <f>IF(NDC!$H$10="Oui",(VLOOKUP($B$3,'Coeff EC7'!$T$39:$X$59,2,0)*EN108+VLOOKUP($B$3,'Coeff EC7'!$T$65:$X$85,2,0)*Model0.1T!EO108)/1.5,PI()*EL$12*$Q108*($B108-$B107)*0.15/10+EP107)</f>
        <v>#N/A</v>
      </c>
      <c r="EQ108" s="102" t="e">
        <f>(VLOOKUP($B$3,'Coeff EC7'!$T$39:$X$59,3,0)*EN108+VLOOKUP($B$3,'Coeff EC7'!$T$65:$X$85,3,0)*Model0.1T!EO108)/1.1</f>
        <v>#N/A</v>
      </c>
      <c r="ER108" s="102" t="e">
        <f t="shared" si="194"/>
        <v>#N/A</v>
      </c>
      <c r="ES108" s="102" t="e">
        <f t="shared" si="195"/>
        <v>#N/A</v>
      </c>
      <c r="ET108" s="414" t="e">
        <f>IF(AND(EP108&gt;NDC!$C$63,EQ108&gt;NDC!$C$65,ER108&gt;NDC!$D$73,ES108&gt;NDC!$D$74,$B108&gt;NDC!$H$22-0.1+MIN(3*ET$12,1.5)),0,1)</f>
        <v>#N/A</v>
      </c>
      <c r="EU108" s="86" t="b">
        <f t="shared" si="161"/>
        <v>0</v>
      </c>
      <c r="EV108" s="86">
        <f t="shared" si="162"/>
        <v>0.61</v>
      </c>
      <c r="EW108" s="86">
        <f t="shared" si="163"/>
        <v>0.61</v>
      </c>
      <c r="EX108" s="30" t="e">
        <f t="shared" ca="1" si="196"/>
        <v>#DIV/0!</v>
      </c>
      <c r="EY108" s="85" t="e">
        <f ca="1">IF(EE108&lt;=Hypothèses!$V$7,Hypothèses!$W$7,IF(EE108&lt;=Hypothèses!$V$8,Hypothèses!$W$8,IF(EE108&lt;=Hypothèses!$V$9,Hypothèses!$W$9,IF(EE108&lt;=Hypothèses!$V$10,Hypothèses!$W$10,IF(EE108&lt;=Hypothèses!$V$11,Hypothèses!$W$11,IF(EE108&lt;=Hypothèses!$V$12,Hypothèses!$W$12,IF(EE108&lt;=Hypothèses!$V$13,Hypothèses!$W$13,IF(EE108&lt;=Hypothèses!$V$14,Hypothèses!$W$14,IF(EE108&lt;=Hypothèses!$V$15,Hypothèses!$W$15,IF(EE108&lt;=Hypothèses!$V$16,Hypothèses!$W$16,IF(EE108&lt;=Hypothèses!$V$17,Hypothèses!$W$17,IF(EE108&lt;=Hypothèses!$V$18,Hypothèses!$W$18,""))))))))))))</f>
        <v>#DIV/0!</v>
      </c>
      <c r="EZ108" s="87" t="e">
        <f t="shared" ca="1" si="223"/>
        <v>#DIV/0!</v>
      </c>
      <c r="FA108" s="88" t="e">
        <f ca="1">IF(EE108&lt;=Hypothèses!$V$7,Hypothèses!$X$7,IF(EE108&lt;=Hypothèses!$V$8,Hypothèses!$X$8,IF(EE108&lt;=Hypothèses!$V$9,Hypothèses!$X$9,IF(EE108&lt;=Hypothèses!$V$10,Hypothèses!$X$10,IF(EE108&lt;=Hypothèses!$V$11,Hypothèses!$X$11,IF(EE108&lt;=Hypothèses!$V$12,Hypothèses!$X$12,IF(EE108&lt;=Hypothèses!$V$13,Hypothèses!$X$13,IF(EE108&lt;=Hypothèses!$V$14,Hypothèses!$X$14,IF(EE108&lt;=Hypothèses!$V$15,Hypothèses!$X$15,IF(EE108&lt;=Hypothèses!$V$16,Hypothèses!$X$16,IF(EE108&lt;=Hypothèses!$U$17,Hypothèses!$W$17,IF(EE108&lt;=Hypothèses!$U$18,Hypothèses!$W$18,""))))))))))))</f>
        <v>#DIV/0!</v>
      </c>
      <c r="FB108" s="95" t="e">
        <f t="shared" ca="1" si="197"/>
        <v>#DIV/0!</v>
      </c>
      <c r="FC108" s="101">
        <f t="shared" si="230"/>
        <v>0</v>
      </c>
      <c r="FD108" s="91">
        <f t="shared" si="164"/>
        <v>0</v>
      </c>
      <c r="FE108" s="30" t="e">
        <f t="shared" si="214"/>
        <v>#N/A</v>
      </c>
      <c r="FF108" s="30" t="e">
        <f t="shared" si="215"/>
        <v>#N/A</v>
      </c>
      <c r="FG108" s="31" t="e">
        <f>IF(OR(Hypothèses!$B$4=17,Hypothèses!$B$4=18,Hypothèses!$B$4=19,Hypothèses!$B$4=20),
IF($D108="Pressio.",
IF(OR($E108=3,$E108=1,$E108=4),FF108,FE108),
IF($D108="Pénétro.",
IF(OR($E108=3,$E108=1,$E108=4),FF108,FE108))),IF($D108="Pressio.",
IF($E108=3,FF108,FE108),
IF($D108="Pénétro.",
IF($E108=4,FF108,FE108))))</f>
        <v>#N/A</v>
      </c>
      <c r="FH108" s="31">
        <v>0</v>
      </c>
      <c r="FI108" s="102" t="e">
        <f>IF(NDC!$H$10="Oui",(VLOOKUP($B$3,'Coeff EC7'!$T$39:$X$59,2,0)*FG108+VLOOKUP($B$3,'Coeff EC7'!$T$65:$X$85,2,0)*Model0.1T!FH108)/1.5,PI()*FE$12*$Q108*($B108-$B107)*0.15/10+FI107)</f>
        <v>#N/A</v>
      </c>
      <c r="FJ108" s="102" t="e">
        <f>(VLOOKUP($B$3,'Coeff EC7'!$T$39:$X$59,3,0)*FG108+VLOOKUP($B$3,'Coeff EC7'!$T$65:$X$85,3,0)*Model0.1T!FH108)/1.1</f>
        <v>#N/A</v>
      </c>
      <c r="FK108" s="102" t="e">
        <f t="shared" si="198"/>
        <v>#N/A</v>
      </c>
      <c r="FL108" s="102" t="e">
        <f t="shared" si="199"/>
        <v>#N/A</v>
      </c>
      <c r="FM108" s="414" t="e">
        <f>IF(AND(FI108&gt;NDC!$C$63,FJ108&gt;NDC!$C$65,FK108&gt;NDC!$D$73,FL108&gt;NDC!$D$74,$B108&gt;NDC!$H$22-0.1+MIN(3*FM$12,1.5)),0,1)</f>
        <v>#N/A</v>
      </c>
    </row>
    <row r="109" spans="1:169">
      <c r="A109" s="96">
        <f t="shared" si="165"/>
        <v>90.400000000000546</v>
      </c>
      <c r="B109" s="97">
        <v>9.6</v>
      </c>
      <c r="C109" s="81">
        <f>IF(B109&lt;=Hypothèses!$C$7,Hypothèses!$A$7,IF(B109&lt;=Hypothèses!$C$8,Hypothèses!$A$8,IF(B109&lt;=Hypothèses!$C$9,Hypothèses!$A$9,IF(B109&lt;=Hypothèses!$C$10,Hypothèses!$A$10,IF(B109&lt;=Hypothèses!$C$11,Hypothèses!$A$11,IF(B109&lt;=Hypothèses!$C$12,Hypothèses!$A$12,IF(B109&lt;=Hypothèses!$C$13,Hypothèses!$A$13,IF(B109&lt;=Hypothèses!$C$14,Hypothèses!$A$14,IF(B109&lt;=Hypothèses!$C$15,Hypothèses!$A$15,IF(B109&lt;=Hypothèses!$C$16,Hypothèses!$A$16,IF(B109&lt;=Hypothèses!$C$17,Hypothèses!$A$17,IF(B109&lt;=Hypothèses!$C$18,Hypothèses!$A$18,C108))))))))))))</f>
        <v>11</v>
      </c>
      <c r="D109" s="82" t="str">
        <f>IF(B109&lt;=Hypothèses!$C$7,Hypothèses!$R$7,IF(B109&lt;=Hypothèses!$C$8,Hypothèses!$R$8,IF(B109&lt;=Hypothèses!$C$9,Hypothèses!$R$9,IF(B109&lt;=Hypothèses!$C$10,Hypothèses!$R$10,IF(B109&lt;=Hypothèses!$C$11,Hypothèses!$R$11,IF(B109&lt;=Hypothèses!$C$12,Hypothèses!$R$12,IF(B109&lt;=Hypothèses!$C$13,Hypothèses!$R$13,IF(B109&lt;=Hypothèses!$C$14,Hypothèses!$R$14,IF(B109&lt;=Hypothèses!$C$15,Hypothèses!$R$15,IF(B109&lt;=Hypothèses!$C$16,Hypothèses!$R$16,IF(B109&lt;=Hypothèses!$C$17,Hypothèses!$R$17,IF(B109&lt;=Hypothèses!$C$18,Hypothèses!$R$18,D108))))))))))))</f>
        <v>Pressio.</v>
      </c>
      <c r="E109" s="82" t="e">
        <f>IF(B109&lt;=Hypothèses!$C$7,Hypothèses!$G$7,IF(B109&lt;=Hypothèses!$C$8,Hypothèses!$G$8,IF(B109&lt;=Hypothèses!$C$9,Hypothèses!$G$9,IF(B109&lt;=Hypothèses!$C$10,Hypothèses!$G$10,IF(B109&lt;=Hypothèses!$C$11,Hypothèses!$G$11,IF(B109&lt;=Hypothèses!$C$12,Hypothèses!$G$12,IF(B109&lt;=Hypothèses!$C$13,Hypothèses!$G$13,IF(B109&lt;=Hypothèses!$C$14,Hypothèses!$G$14,IF(B109&lt;=Hypothèses!$C$15,Hypothèses!$G$15,IF(B109&lt;=Hypothèses!$C$16,Hypothèses!$G$16,IF(B109&lt;=Hypothèses!$C$17,Hypothèses!$G$17,IF(B109&lt;=Hypothèses!$C$18,Hypothèses!$G$18,E108))))))))))))</f>
        <v>#N/A</v>
      </c>
      <c r="F109" s="82" t="str">
        <f>IF(B109&lt;=Hypothèses!$C$7,Hypothèses!$F$7,IF(B109&lt;=Hypothèses!$C$8,Hypothèses!$F$8,IF(B109&lt;=Hypothèses!$C$9,Hypothèses!$F$9,IF(B109&lt;=Hypothèses!$C$10,Hypothèses!$F$10,IF(B109&lt;=Hypothèses!$C$11,Hypothèses!$F$11,IF(B109&lt;=Hypothèses!$C$12,Hypothèses!$F$12,IF(B109&lt;=Hypothèses!$C$13,Hypothèses!$F$13,IF(B109&lt;=Hypothèses!$C$14,Hypothèses!$F$14,IF(B109&lt;=Hypothèses!$C$15,Hypothèses!$F$15,IF(B109&lt;=Hypothèses!$C$16,Hypothèses!$F$16,IF(B109&lt;=Hypothèses!$C$17,Hypothèses!$F$17,IF(B109&lt;=Hypothèses!$C$18,Hypothèses!$F$18,F108))))))))))))</f>
        <v/>
      </c>
      <c r="G109" s="91">
        <f t="array" ref="G109">INDEX('Coeff EC7'!$U$7:$X$27,
MATCH(Model0.1T!$B$3,'Coeff EC7'!$T$7:$T$27,0),
MATCH(Model0.1T!$D109&amp;Model0.1T!$B$4,
'Coeff EC7'!$U$6:$X$6&amp;
'Coeff EC7'!$U$5:$X$5,0))</f>
        <v>1.4</v>
      </c>
      <c r="H109" s="91">
        <f t="array" ref="H109">INDEX('Coeff EC7'!$Y$7:$AB$27,
MATCH(Model0.1T!$B$3,'Coeff EC7'!$T$7:$T$27,0),
MATCH(Model0.1T!$D109&amp;Model0.1T!$B$4,
'Coeff EC7'!$Y$6:$AB$6&amp;
'Coeff EC7'!$Y$5:$AB$5,0))</f>
        <v>1.7</v>
      </c>
      <c r="I109" s="83">
        <v>0</v>
      </c>
      <c r="J109" s="91" t="e">
        <f t="array" ref="J109">INDEX('Coeff EC7'!$D$33:$Q$33,1,MATCH(D109&amp;E109,'Coeff EC7'!$D$31:$Q$31&amp;'Coeff EC7'!$D$32:$Q$32,0))</f>
        <v>#N/A</v>
      </c>
      <c r="K109" s="91" t="e">
        <f t="array" ref="K109">INDEX('Coeff EC7'!$D$34:$Q$34,1,MATCH(D109&amp;E109,'Coeff EC7'!$D$31:$Q$31&amp;'Coeff EC7'!$D$32:$Q$32,0))</f>
        <v>#N/A</v>
      </c>
      <c r="L109" s="91" t="e">
        <f t="array" ref="L109">INDEX('Coeff EC7'!$D$35:$Q$35,1,MATCH(D109&amp;E109,'Coeff EC7'!$D$31:$Q$31&amp;'Coeff EC7'!$D$32:$Q$32,0))</f>
        <v>#N/A</v>
      </c>
      <c r="M109" s="98" t="e">
        <f t="shared" si="131"/>
        <v>#N/A</v>
      </c>
      <c r="N109" s="99" t="e">
        <f t="array" ref="N109">INDEX('Coeff EC7'!$D$7:$Q$27,MATCH($B$3,'Coeff EC7'!$C$7:$C$27,0),MATCH(D109&amp;E109,'Coeff EC7'!$D$5:$Q$5&amp;'Coeff EC7'!$D$6:$Q$6,0))</f>
        <v>#N/A</v>
      </c>
      <c r="O109" s="99" t="e">
        <f t="array" ref="O109">INDEX('Coeff EC7'!$D$41:$Q$61,MATCH($B$3,'Coeff EC7'!$C$41:$C$61,0),MATCH(D109&amp;E109,'Coeff EC7'!$D$39:$Q$39&amp;'Coeff EC7'!$D$40:$Q$40,0))</f>
        <v>#N/A</v>
      </c>
      <c r="P109" s="30" t="e">
        <f t="shared" si="166"/>
        <v>#N/A</v>
      </c>
      <c r="Q109" s="100" t="e">
        <f t="shared" si="133"/>
        <v>#N/A</v>
      </c>
      <c r="R109" s="86" t="b">
        <f t="shared" si="134"/>
        <v>0</v>
      </c>
      <c r="S109" s="86">
        <f t="shared" si="132"/>
        <v>0.5</v>
      </c>
      <c r="T109" s="86">
        <f t="shared" si="135"/>
        <v>0.5</v>
      </c>
      <c r="U109" s="30" t="e">
        <f t="shared" ca="1" si="167"/>
        <v>#DIV/0!</v>
      </c>
      <c r="V109" s="85" t="str">
        <f>IF(B109&lt;=Hypothèses!$V$7,Hypothèses!$W$7,IF(B109&lt;=Hypothèses!$V$8,Hypothèses!$W$8,IF(B109&lt;=Hypothèses!$V$9,Hypothèses!$W$9,IF(B109&lt;=Hypothèses!$V$10,Hypothèses!$W$10,IF(B109&lt;=Hypothèses!$V$11,Hypothèses!$W$11,IF(B109&lt;=Hypothèses!$V$12,Hypothèses!$W$12,IF(B109&lt;=Hypothèses!$V$13,Hypothèses!$W$13,IF(B109&lt;=Hypothèses!$V$14,Hypothèses!$W$14,IF(B109&lt;=Hypothèses!$V$15,Hypothèses!$W$15,IF(B109&lt;=Hypothèses!$V$16,Hypothèses!$W$16,IF(B109&lt;=Hypothèses!$V$17,Hypothèses!$W$17,IF(B109&lt;=Hypothèses!$V$18,Hypothèses!$W$18,""))))))))))))</f>
        <v/>
      </c>
      <c r="W109" s="87" t="e">
        <f t="shared" ca="1" si="216"/>
        <v>#DIV/0!</v>
      </c>
      <c r="X109" s="88" t="str">
        <f>IF(B109&lt;=Hypothèses!$V$7,Hypothèses!$X$7,IF(B109&lt;=Hypothèses!$V$8,Hypothèses!$X$8,IF(B109&lt;=Hypothèses!$V$9,Hypothèses!$X$9,IF(B109&lt;=Hypothèses!$V$10,Hypothèses!$X$10,IF(B109&lt;=Hypothèses!$V$11,Hypothèses!$X$11,IF(B109&lt;=Hypothèses!$V$12,Hypothèses!$X$12,IF(B109&lt;=Hypothèses!$V$13,Hypothèses!$X$13,IF(B109&lt;=Hypothèses!$V$14,Hypothèses!$X$14,IF(B109&lt;=Hypothèses!$V$15,Hypothèses!$X$15,IF(B109&lt;=Hypothèses!$V$16,Hypothèses!$X$16,IF(B109&lt;=Hypothèses!$U$17,Hypothèses!$W$17,IF(B109&lt;=Hypothèses!$U$18,Hypothèses!$W$18,""))))))))))))</f>
        <v/>
      </c>
      <c r="Y109" s="95" t="e">
        <f t="shared" ca="1" si="136"/>
        <v>#DIV/0!</v>
      </c>
      <c r="Z109" s="101">
        <f t="shared" si="137"/>
        <v>0</v>
      </c>
      <c r="AA109" s="91">
        <f t="shared" si="138"/>
        <v>0</v>
      </c>
      <c r="AB109" s="30" t="e">
        <f t="shared" si="200"/>
        <v>#N/A</v>
      </c>
      <c r="AC109" s="30" t="e">
        <f t="shared" si="201"/>
        <v>#N/A</v>
      </c>
      <c r="AD109" s="31" t="e">
        <f>IF(OR(Hypothèses!$B$4=17,Hypothèses!$B$4=18,Hypothèses!$B$4=19,Hypothèses!$B$4=20),
IF($D109="Pressio.",
IF(OR($E109=3,$E109=1,$E109=4),AC109,AB109),
IF($D109="Pénétro.",
IF(OR($E109=3,$E109=1,$E109=4),AC109,AB109))),IF($D109="Pressio.",
IF($E109=3,AC109,AB109),
IF($D109="Pénétro.",
IF($E109=4,AC109,AB109))))</f>
        <v>#N/A</v>
      </c>
      <c r="AE109" s="31">
        <v>0</v>
      </c>
      <c r="AF109" s="102" t="e">
        <f>IF(NDC!$H$10="Oui",(VLOOKUP($B$3,'Coeff EC7'!$T$39:$X$59,2,0)*AD109+VLOOKUP($B$3,'Coeff EC7'!$T$65:$X$85,2,0)*Model0.1T!AE109)/1.5,PI()*AB$12*$Q109*($B109-$B108)*0.15/10+AF108)</f>
        <v>#N/A</v>
      </c>
      <c r="AG109" s="102" t="e">
        <f>(VLOOKUP($B$3,'Coeff EC7'!$T$39:$X$59,3,0)*AD109+VLOOKUP($B$3,'Coeff EC7'!$T$65:$X$85,3,0)*Model0.1T!AE109)/1.1</f>
        <v>#N/A</v>
      </c>
      <c r="AH109" s="102" t="e">
        <f t="shared" si="168"/>
        <v>#N/A</v>
      </c>
      <c r="AI109" s="102" t="e">
        <f t="shared" si="169"/>
        <v>#N/A</v>
      </c>
      <c r="AJ109" s="414" t="e">
        <f>IF(AND(AF109&gt;NDC!$C$63,AG109&gt;NDC!$C$65,AH109&gt;NDC!$D$73,AI109&gt;NDC!$D$74,$B109&gt;NDC!$H$22-0.1+MIN(3*$AJ$12,1.5)),0,1)</f>
        <v>#N/A</v>
      </c>
      <c r="AK109" s="86" t="b">
        <f t="shared" si="139"/>
        <v>0</v>
      </c>
      <c r="AL109" s="86">
        <f t="shared" si="170"/>
        <v>0.5</v>
      </c>
      <c r="AM109" s="86">
        <f t="shared" si="140"/>
        <v>0.5</v>
      </c>
      <c r="AN109" s="30" t="e">
        <f t="shared" ca="1" si="171"/>
        <v>#DIV/0!</v>
      </c>
      <c r="AO109" s="85" t="e">
        <f ca="1">IF(U109&lt;=Hypothèses!$V$7,Hypothèses!$W$7,IF(U109&lt;=Hypothèses!$V$8,Hypothèses!$W$8,IF(U109&lt;=Hypothèses!$V$9,Hypothèses!$W$9,IF(U109&lt;=Hypothèses!$V$10,Hypothèses!$W$10,IF(U109&lt;=Hypothèses!$V$11,Hypothèses!$W$11,IF(U109&lt;=Hypothèses!$V$12,Hypothèses!$W$12,IF(U109&lt;=Hypothèses!$V$13,Hypothèses!$W$13,IF(U109&lt;=Hypothèses!$V$14,Hypothèses!$W$14,IF(U109&lt;=Hypothèses!$V$15,Hypothèses!$W$15,IF(U109&lt;=Hypothèses!$V$16,Hypothèses!$W$16,IF(U109&lt;=Hypothèses!$V$17,Hypothèses!$W$17,IF(U109&lt;=Hypothèses!$V$18,Hypothèses!$W$18,""))))))))))))</f>
        <v>#DIV/0!</v>
      </c>
      <c r="AP109" s="87" t="e">
        <f t="shared" ca="1" si="217"/>
        <v>#DIV/0!</v>
      </c>
      <c r="AQ109" s="88" t="e">
        <f ca="1">IF(U109&lt;=Hypothèses!$V$7,Hypothèses!$X$7,IF(U109&lt;=Hypothèses!$V$8,Hypothèses!$X$8,IF(U109&lt;=Hypothèses!$V$9,Hypothèses!$X$9,IF(U109&lt;=Hypothèses!$V$10,Hypothèses!$X$10,IF(U109&lt;=Hypothèses!$V$11,Hypothèses!$X$11,IF(U109&lt;=Hypothèses!$V$12,Hypothèses!$X$12,IF(U109&lt;=Hypothèses!$V$13,Hypothèses!$X$13,IF(U109&lt;=Hypothèses!$V$14,Hypothèses!$X$14,IF(U109&lt;=Hypothèses!$V$15,Hypothèses!$X$15,IF(U109&lt;=Hypothèses!$V$16,Hypothèses!$X$16,IF(U109&lt;=Hypothèses!$U$17,Hypothèses!$W$17,IF(U109&lt;=Hypothèses!$U$18,Hypothèses!$W$18,""))))))))))))</f>
        <v>#DIV/0!</v>
      </c>
      <c r="AR109" s="95" t="e">
        <f t="shared" ca="1" si="172"/>
        <v>#DIV/0!</v>
      </c>
      <c r="AS109" s="101">
        <f t="shared" si="224"/>
        <v>0</v>
      </c>
      <c r="AT109" s="91">
        <f t="shared" si="141"/>
        <v>0</v>
      </c>
      <c r="AU109" s="30" t="e">
        <f t="shared" si="202"/>
        <v>#N/A</v>
      </c>
      <c r="AV109" s="30" t="e">
        <f t="shared" si="203"/>
        <v>#N/A</v>
      </c>
      <c r="AW109" s="31" t="e">
        <f>IF(OR(Hypothèses!$B$4=17,Hypothèses!$B$4=18,Hypothèses!$B$4=19,Hypothèses!$B$4=20),
IF($D109="Pressio.",
IF(OR($E109=3,$E109=1,$E109=4),AV109,AU109),
IF($D109="Pénétro.",
IF(OR($E109=3,$E109=1,$E109=4),AV109,AU109))),IF($D109="Pressio.",
IF($E109=3,AV109,AU109),
IF($D109="Pénétro.",
IF($E109=4,AV109,AU109))))</f>
        <v>#N/A</v>
      </c>
      <c r="AX109" s="31">
        <v>0</v>
      </c>
      <c r="AY109" s="102" t="e">
        <f>IF(NDC!$H$10="Oui",(VLOOKUP($B$3,'Coeff EC7'!$T$39:$X$59,2,0)*AW109+VLOOKUP($B$3,'Coeff EC7'!$T$65:$X$85,2,0)*Model0.1T!AX109)/1.5,PI()*AU$12*$Q109*($B109-$B108)*0.15/10+AY108)</f>
        <v>#N/A</v>
      </c>
      <c r="AZ109" s="102" t="e">
        <f>(VLOOKUP($B$3,'Coeff EC7'!$T$39:$X$59,3,0)*AW109+VLOOKUP($B$3,'Coeff EC7'!$T$65:$X$85,3,0)*Model0.1T!AX109)/1.1</f>
        <v>#N/A</v>
      </c>
      <c r="BA109" s="102" t="e">
        <f t="shared" si="173"/>
        <v>#N/A</v>
      </c>
      <c r="BB109" s="102" t="e">
        <f t="shared" si="174"/>
        <v>#N/A</v>
      </c>
      <c r="BC109" s="414" t="e">
        <f>IF(AND(AY109&gt;NDC!$C$63,AZ109&gt;NDC!$C$65,BA109&gt;NDC!$D$73,BB109&gt;NDC!$D$74,$B109&gt;NDC!$H$22-0.1+MIN(3*BC$12,1.5)),0,1)</f>
        <v>#N/A</v>
      </c>
      <c r="BD109" s="86" t="b">
        <f t="shared" si="142"/>
        <v>0</v>
      </c>
      <c r="BE109" s="86">
        <f t="shared" si="175"/>
        <v>0.5</v>
      </c>
      <c r="BF109" s="86">
        <f t="shared" si="143"/>
        <v>0.5</v>
      </c>
      <c r="BG109" s="30" t="e">
        <f t="shared" ca="1" si="176"/>
        <v>#DIV/0!</v>
      </c>
      <c r="BH109" s="85" t="e">
        <f ca="1">IF(AN109&lt;=Hypothèses!$V$7,Hypothèses!$W$7,IF(AN109&lt;=Hypothèses!$V$8,Hypothèses!$W$8,IF(AN109&lt;=Hypothèses!$V$9,Hypothèses!$W$9,IF(AN109&lt;=Hypothèses!$V$10,Hypothèses!$W$10,IF(AN109&lt;=Hypothèses!$V$11,Hypothèses!$W$11,IF(AN109&lt;=Hypothèses!$V$12,Hypothèses!$W$12,IF(AN109&lt;=Hypothèses!$V$13,Hypothèses!$W$13,IF(AN109&lt;=Hypothèses!$V$14,Hypothèses!$W$14,IF(AN109&lt;=Hypothèses!$V$15,Hypothèses!$W$15,IF(AN109&lt;=Hypothèses!$V$16,Hypothèses!$W$16,IF(AN109&lt;=Hypothèses!$V$17,Hypothèses!$W$17,IF(AN109&lt;=Hypothèses!$V$18,Hypothèses!$W$18,""))))))))))))</f>
        <v>#DIV/0!</v>
      </c>
      <c r="BI109" s="87" t="e">
        <f t="shared" ca="1" si="218"/>
        <v>#DIV/0!</v>
      </c>
      <c r="BJ109" s="88" t="e">
        <f ca="1">IF(AN109&lt;=Hypothèses!$V$7,Hypothèses!$X$7,IF(AN109&lt;=Hypothèses!$V$8,Hypothèses!$X$8,IF(AN109&lt;=Hypothèses!$V$9,Hypothèses!$X$9,IF(AN109&lt;=Hypothèses!$V$10,Hypothèses!$X$10,IF(AN109&lt;=Hypothèses!$V$11,Hypothèses!$X$11,IF(AN109&lt;=Hypothèses!$V$12,Hypothèses!$X$12,IF(AN109&lt;=Hypothèses!$V$13,Hypothèses!$X$13,IF(AN109&lt;=Hypothèses!$V$14,Hypothèses!$X$14,IF(AN109&lt;=Hypothèses!$V$15,Hypothèses!$X$15,IF(AN109&lt;=Hypothèses!$V$16,Hypothèses!$X$16,IF(AN109&lt;=Hypothèses!$U$17,Hypothèses!$W$17,IF(AN109&lt;=Hypothèses!$U$18,Hypothèses!$W$18,""))))))))))))</f>
        <v>#DIV/0!</v>
      </c>
      <c r="BK109" s="95" t="e">
        <f t="shared" ca="1" si="177"/>
        <v>#DIV/0!</v>
      </c>
      <c r="BL109" s="101">
        <f t="shared" si="225"/>
        <v>0</v>
      </c>
      <c r="BM109" s="91">
        <f t="shared" si="144"/>
        <v>0</v>
      </c>
      <c r="BN109" s="30" t="e">
        <f t="shared" si="204"/>
        <v>#N/A</v>
      </c>
      <c r="BO109" s="30" t="e">
        <f t="shared" si="205"/>
        <v>#N/A</v>
      </c>
      <c r="BP109" s="31" t="e">
        <f>IF(OR(Hypothèses!$B$4=17,Hypothèses!$B$4=18,Hypothèses!$B$4=19,Hypothèses!$B$4=20),
IF($D109="Pressio.",
IF(OR($E109=3,$E109=1,$E109=4),BO109,BN109),
IF($D109="Pénétro.",
IF(OR($E109=3,$E109=1,$E109=4),BO109,BN109))),IF($D109="Pressio.",
IF($E109=3,BO109,BN109),
IF($D109="Pénétro.",
IF($E109=4,BO109,BN109))))</f>
        <v>#N/A</v>
      </c>
      <c r="BQ109" s="31">
        <v>0</v>
      </c>
      <c r="BR109" s="102" t="e">
        <f>IF(NDC!$H$10="Oui",(VLOOKUP($B$3,'Coeff EC7'!$T$39:$X$59,2,0)*BP109+VLOOKUP($B$3,'Coeff EC7'!$T$65:$X$85,2,0)*Model0.1T!BQ109)/1.5,PI()*BN$12*$Q109*($B109-$B108)*0.15/10+BR108)</f>
        <v>#N/A</v>
      </c>
      <c r="BS109" s="102" t="e">
        <f>(VLOOKUP($B$3,'Coeff EC7'!$T$39:$X$59,3,0)*BP109+VLOOKUP($B$3,'Coeff EC7'!$T$65:$X$85,3,0)*Model0.1T!BQ109)/1.1</f>
        <v>#N/A</v>
      </c>
      <c r="BT109" s="102" t="e">
        <f t="shared" si="178"/>
        <v>#N/A</v>
      </c>
      <c r="BU109" s="102" t="e">
        <f t="shared" si="179"/>
        <v>#N/A</v>
      </c>
      <c r="BV109" s="414" t="e">
        <f>IF(AND(BR109&gt;NDC!$C$63,BS109&gt;NDC!$C$65,BT109&gt;NDC!$D$73,BU109&gt;NDC!$D$74,$B109&gt;NDC!$H$22-0.1+MIN(3*BV$12,1.5)),0,1)</f>
        <v>#N/A</v>
      </c>
      <c r="BW109" s="86" t="b">
        <f t="shared" si="145"/>
        <v>0</v>
      </c>
      <c r="BX109" s="86">
        <f t="shared" si="146"/>
        <v>0.5</v>
      </c>
      <c r="BY109" s="86">
        <f t="shared" si="147"/>
        <v>0.5</v>
      </c>
      <c r="BZ109" s="30" t="e">
        <f t="shared" ca="1" si="180"/>
        <v>#DIV/0!</v>
      </c>
      <c r="CA109" s="85" t="e">
        <f ca="1">IF(BG109&lt;=Hypothèses!$V$7,Hypothèses!$W$7,IF(BG109&lt;=Hypothèses!$V$8,Hypothèses!$W$8,IF(BG109&lt;=Hypothèses!$V$9,Hypothèses!$W$9,IF(BG109&lt;=Hypothèses!$V$10,Hypothèses!$W$10,IF(BG109&lt;=Hypothèses!$V$11,Hypothèses!$W$11,IF(BG109&lt;=Hypothèses!$V$12,Hypothèses!$W$12,IF(BG109&lt;=Hypothèses!$V$13,Hypothèses!$W$13,IF(BG109&lt;=Hypothèses!$V$14,Hypothèses!$W$14,IF(BG109&lt;=Hypothèses!$V$15,Hypothèses!$W$15,IF(BG109&lt;=Hypothèses!$V$16,Hypothèses!$W$16,IF(BG109&lt;=Hypothèses!$V$17,Hypothèses!$W$17,IF(BG109&lt;=Hypothèses!$V$18,Hypothèses!$W$18,""))))))))))))</f>
        <v>#DIV/0!</v>
      </c>
      <c r="CB109" s="87" t="e">
        <f t="shared" ca="1" si="219"/>
        <v>#DIV/0!</v>
      </c>
      <c r="CC109" s="88" t="e">
        <f ca="1">IF(BG109&lt;=Hypothèses!$V$7,Hypothèses!$X$7,IF(BG109&lt;=Hypothèses!$V$8,Hypothèses!$X$8,IF(BG109&lt;=Hypothèses!$V$9,Hypothèses!$X$9,IF(BG109&lt;=Hypothèses!$V$10,Hypothèses!$X$10,IF(BG109&lt;=Hypothèses!$V$11,Hypothèses!$X$11,IF(BG109&lt;=Hypothèses!$V$12,Hypothèses!$X$12,IF(BG109&lt;=Hypothèses!$V$13,Hypothèses!$X$13,IF(BG109&lt;=Hypothèses!$V$14,Hypothèses!$X$14,IF(BG109&lt;=Hypothèses!$V$15,Hypothèses!$X$15,IF(BG109&lt;=Hypothèses!$V$16,Hypothèses!$X$16,IF(BG109&lt;=Hypothèses!$U$17,Hypothèses!$W$17,IF(BG109&lt;=Hypothèses!$U$18,Hypothèses!$W$18,""))))))))))))</f>
        <v>#DIV/0!</v>
      </c>
      <c r="CD109" s="95" t="e">
        <f t="shared" ca="1" si="181"/>
        <v>#DIV/0!</v>
      </c>
      <c r="CE109" s="101">
        <f t="shared" si="226"/>
        <v>0</v>
      </c>
      <c r="CF109" s="91">
        <f t="shared" si="148"/>
        <v>0</v>
      </c>
      <c r="CG109" s="30" t="e">
        <f t="shared" si="206"/>
        <v>#N/A</v>
      </c>
      <c r="CH109" s="30" t="e">
        <f t="shared" si="207"/>
        <v>#N/A</v>
      </c>
      <c r="CI109" s="31" t="e">
        <f>IF(OR(Hypothèses!$B$4=17,Hypothèses!$B$4=18,Hypothèses!$B$4=19,Hypothèses!$B$4=20),
IF($D109="Pressio.",
IF(OR($E109=3,$E109=1,$E109=4),CH109,CG109),
IF($D109="Pénétro.",
IF(OR($E109=3,$E109=1,$E109=4),CH109,CG109))),IF($D109="Pressio.",
IF($E109=3,CH109,CG109),
IF($D109="Pénétro.",
IF($E109=4,CH109,CG109))))</f>
        <v>#N/A</v>
      </c>
      <c r="CJ109" s="31">
        <v>0</v>
      </c>
      <c r="CK109" s="102" t="e">
        <f>IF(NDC!$H$10="Oui",(VLOOKUP($B$3,'Coeff EC7'!$T$39:$X$59,2,0)*CI109+VLOOKUP($B$3,'Coeff EC7'!$T$65:$X$85,2,0)*Model0.1T!CJ109)/1.5,PI()*CG$12*$Q109*($B109-$B108)*0.15/10+CK108)</f>
        <v>#N/A</v>
      </c>
      <c r="CL109" s="102" t="e">
        <f>(VLOOKUP($B$3,'Coeff EC7'!$T$39:$X$59,3,0)*CI109+VLOOKUP($B$3,'Coeff EC7'!$T$65:$X$85,3,0)*Model0.1T!CJ109)/1.1</f>
        <v>#N/A</v>
      </c>
      <c r="CM109" s="102" t="e">
        <f t="shared" si="182"/>
        <v>#N/A</v>
      </c>
      <c r="CN109" s="102" t="e">
        <f t="shared" si="183"/>
        <v>#N/A</v>
      </c>
      <c r="CO109" s="414" t="e">
        <f>IF(AND(CK109&gt;NDC!$C$63,CL109&gt;NDC!$C$65,CM109&gt;NDC!$D$73,CN109&gt;NDC!$D$74,$B109&gt;NDC!$H$22-0.1+MIN(3*CO$12,1.5)),0,1)</f>
        <v>#N/A</v>
      </c>
      <c r="CP109" s="86" t="b">
        <f t="shared" si="149"/>
        <v>0</v>
      </c>
      <c r="CQ109" s="86">
        <f t="shared" si="150"/>
        <v>0.5</v>
      </c>
      <c r="CR109" s="86">
        <f t="shared" si="151"/>
        <v>0.5</v>
      </c>
      <c r="CS109" s="30" t="e">
        <f t="shared" ca="1" si="184"/>
        <v>#DIV/0!</v>
      </c>
      <c r="CT109" s="85" t="e">
        <f ca="1">IF(BZ109&lt;=Hypothèses!$V$7,Hypothèses!$W$7,IF(BZ109&lt;=Hypothèses!$V$8,Hypothèses!$W$8,IF(BZ109&lt;=Hypothèses!$V$9,Hypothèses!$W$9,IF(BZ109&lt;=Hypothèses!$V$10,Hypothèses!$W$10,IF(BZ109&lt;=Hypothèses!$V$11,Hypothèses!$W$11,IF(BZ109&lt;=Hypothèses!$V$12,Hypothèses!$W$12,IF(BZ109&lt;=Hypothèses!$V$13,Hypothèses!$W$13,IF(BZ109&lt;=Hypothèses!$V$14,Hypothèses!$W$14,IF(BZ109&lt;=Hypothèses!$V$15,Hypothèses!$W$15,IF(BZ109&lt;=Hypothèses!$V$16,Hypothèses!$W$16,IF(BZ109&lt;=Hypothèses!$V$17,Hypothèses!$W$17,IF(BZ109&lt;=Hypothèses!$V$18,Hypothèses!$W$18,""))))))))))))</f>
        <v>#DIV/0!</v>
      </c>
      <c r="CU109" s="87" t="e">
        <f t="shared" ca="1" si="220"/>
        <v>#DIV/0!</v>
      </c>
      <c r="CV109" s="88" t="e">
        <f ca="1">IF(BZ109&lt;=Hypothèses!$V$7,Hypothèses!$X$7,IF(BZ109&lt;=Hypothèses!$V$8,Hypothèses!$X$8,IF(BZ109&lt;=Hypothèses!$V$9,Hypothèses!$X$9,IF(BZ109&lt;=Hypothèses!$V$10,Hypothèses!$X$10,IF(BZ109&lt;=Hypothèses!$V$11,Hypothèses!$X$11,IF(BZ109&lt;=Hypothèses!$V$12,Hypothèses!$X$12,IF(BZ109&lt;=Hypothèses!$V$13,Hypothèses!$X$13,IF(BZ109&lt;=Hypothèses!$V$14,Hypothèses!$X$14,IF(BZ109&lt;=Hypothèses!$V$15,Hypothèses!$X$15,IF(BZ109&lt;=Hypothèses!$V$16,Hypothèses!$X$16,IF(BZ109&lt;=Hypothèses!$U$17,Hypothèses!$W$17,IF(BZ109&lt;=Hypothèses!$U$18,Hypothèses!$W$18,""))))))))))))</f>
        <v>#DIV/0!</v>
      </c>
      <c r="CW109" s="95" t="e">
        <f t="shared" ca="1" si="185"/>
        <v>#DIV/0!</v>
      </c>
      <c r="CX109" s="101">
        <f t="shared" si="227"/>
        <v>0</v>
      </c>
      <c r="CY109" s="91">
        <f t="shared" si="152"/>
        <v>0</v>
      </c>
      <c r="CZ109" s="30" t="e">
        <f t="shared" si="208"/>
        <v>#N/A</v>
      </c>
      <c r="DA109" s="30" t="e">
        <f t="shared" si="209"/>
        <v>#N/A</v>
      </c>
      <c r="DB109" s="31" t="e">
        <f>IF(OR(Hypothèses!$B$4=17,Hypothèses!$B$4=18,Hypothèses!$B$4=19,Hypothèses!$B$4=20),
IF($D109="Pressio.",
IF(OR($E109=3,$E109=1,$E109=4),DA109,CZ109),
IF($D109="Pénétro.",
IF(OR($E109=3,$E109=1,$E109=4),DA109,CZ109))),IF($D109="Pressio.",
IF($E109=3,DA109,CZ109),
IF($D109="Pénétro.",
IF($E109=4,DA109,CZ109))))</f>
        <v>#N/A</v>
      </c>
      <c r="DC109" s="31">
        <v>0</v>
      </c>
      <c r="DD109" s="102" t="e">
        <f>IF(NDC!$H$10="Oui",(VLOOKUP($B$3,'Coeff EC7'!$T$39:$X$59,2,0)*DB109+VLOOKUP($B$3,'Coeff EC7'!$T$65:$X$85,2,0)*Model0.1T!DC109)/1.5,PI()*CZ$12*$Q109*($B109-$B108)*0.15/10+DD108)</f>
        <v>#N/A</v>
      </c>
      <c r="DE109" s="102" t="e">
        <f>(VLOOKUP($B$3,'Coeff EC7'!$T$39:$X$59,3,0)*DB109+VLOOKUP($B$3,'Coeff EC7'!$T$65:$X$85,3,0)*Model0.1T!DC109)/1.1</f>
        <v>#N/A</v>
      </c>
      <c r="DF109" s="102" t="e">
        <f t="shared" si="186"/>
        <v>#N/A</v>
      </c>
      <c r="DG109" s="102" t="e">
        <f t="shared" si="187"/>
        <v>#N/A</v>
      </c>
      <c r="DH109" s="414" t="e">
        <f>IF(AND(DD109&gt;NDC!$C$63,DE109&gt;NDC!$C$65,DF109&gt;NDC!$D$73,DG109&gt;NDC!$D$74,$B109&gt;NDC!$H$22-0.1+MIN(3*DH$12,1.5)),0,1)</f>
        <v>#N/A</v>
      </c>
      <c r="DI109" s="86" t="b">
        <f t="shared" si="153"/>
        <v>0</v>
      </c>
      <c r="DJ109" s="86">
        <f t="shared" si="154"/>
        <v>0.5</v>
      </c>
      <c r="DK109" s="86">
        <f t="shared" si="155"/>
        <v>0.5</v>
      </c>
      <c r="DL109" s="30" t="e">
        <f t="shared" ca="1" si="188"/>
        <v>#DIV/0!</v>
      </c>
      <c r="DM109" s="85" t="e">
        <f ca="1">IF(CS109&lt;=Hypothèses!$V$7,Hypothèses!$W$7,IF(CS109&lt;=Hypothèses!$V$8,Hypothèses!$W$8,IF(CS109&lt;=Hypothèses!$V$9,Hypothèses!$W$9,IF(CS109&lt;=Hypothèses!$V$10,Hypothèses!$W$10,IF(CS109&lt;=Hypothèses!$V$11,Hypothèses!$W$11,IF(CS109&lt;=Hypothèses!$V$12,Hypothèses!$W$12,IF(CS109&lt;=Hypothèses!$V$13,Hypothèses!$W$13,IF(CS109&lt;=Hypothèses!$V$14,Hypothèses!$W$14,IF(CS109&lt;=Hypothèses!$V$15,Hypothèses!$W$15,IF(CS109&lt;=Hypothèses!$V$16,Hypothèses!$W$16,IF(CS109&lt;=Hypothèses!$V$17,Hypothèses!$W$17,IF(CS109&lt;=Hypothèses!$V$18,Hypothèses!$W$18,""))))))))))))</f>
        <v>#DIV/0!</v>
      </c>
      <c r="DN109" s="87" t="e">
        <f t="shared" ca="1" si="221"/>
        <v>#DIV/0!</v>
      </c>
      <c r="DO109" s="88" t="e">
        <f ca="1">IF(CS109&lt;=Hypothèses!$V$7,Hypothèses!$X$7,IF(CS109&lt;=Hypothèses!$V$8,Hypothèses!$X$8,IF(CS109&lt;=Hypothèses!$V$9,Hypothèses!$X$9,IF(CS109&lt;=Hypothèses!$V$10,Hypothèses!$X$10,IF(CS109&lt;=Hypothèses!$V$11,Hypothèses!$X$11,IF(CS109&lt;=Hypothèses!$V$12,Hypothèses!$X$12,IF(CS109&lt;=Hypothèses!$V$13,Hypothèses!$X$13,IF(CS109&lt;=Hypothèses!$V$14,Hypothèses!$X$14,IF(CS109&lt;=Hypothèses!$V$15,Hypothèses!$X$15,IF(CS109&lt;=Hypothèses!$V$16,Hypothèses!$X$16,IF(CS109&lt;=Hypothèses!$U$17,Hypothèses!$W$17,IF(CS109&lt;=Hypothèses!$U$18,Hypothèses!$W$18,""))))))))))))</f>
        <v>#DIV/0!</v>
      </c>
      <c r="DP109" s="95" t="e">
        <f t="shared" ca="1" si="189"/>
        <v>#DIV/0!</v>
      </c>
      <c r="DQ109" s="101">
        <f t="shared" si="228"/>
        <v>0</v>
      </c>
      <c r="DR109" s="91">
        <f t="shared" si="156"/>
        <v>0</v>
      </c>
      <c r="DS109" s="30" t="e">
        <f t="shared" si="210"/>
        <v>#N/A</v>
      </c>
      <c r="DT109" s="30" t="e">
        <f t="shared" si="211"/>
        <v>#N/A</v>
      </c>
      <c r="DU109" s="31" t="e">
        <f>IF(OR(Hypothèses!$B$4=17,Hypothèses!$B$4=18,Hypothèses!$B$4=19,Hypothèses!$B$4=20),
IF($D109="Pressio.",
IF(OR($E109=3,$E109=1,$E109=4),DT109,DS109),
IF($D109="Pénétro.",
IF(OR($E109=3,$E109=1,$E109=4),DT109,DS109))),IF($D109="Pressio.",
IF($E109=3,DT109,DS109),
IF($D109="Pénétro.",
IF($E109=4,DT109,DS109))))</f>
        <v>#N/A</v>
      </c>
      <c r="DV109" s="31">
        <v>0</v>
      </c>
      <c r="DW109" s="102" t="e">
        <f>IF(NDC!$H$10="Oui",(VLOOKUP($B$3,'Coeff EC7'!$T$39:$X$59,2,0)*DU109+VLOOKUP($B$3,'Coeff EC7'!$T$65:$X$85,2,0)*Model0.1T!DV109)/1.5,PI()*DS$12*$Q109*($B109-$B108)*0.15/10+DW108)</f>
        <v>#N/A</v>
      </c>
      <c r="DX109" s="102" t="e">
        <f>(VLOOKUP($B$3,'Coeff EC7'!$T$39:$X$59,3,0)*DU109+VLOOKUP($B$3,'Coeff EC7'!$T$65:$X$85,3,0)*Model0.1T!DV109)/1.1</f>
        <v>#N/A</v>
      </c>
      <c r="DY109" s="102" t="e">
        <f t="shared" si="190"/>
        <v>#N/A</v>
      </c>
      <c r="DZ109" s="102" t="e">
        <f t="shared" si="191"/>
        <v>#N/A</v>
      </c>
      <c r="EA109" s="414" t="e">
        <f>IF(AND(DW109&gt;NDC!$C$63,DX109&gt;NDC!$C$65,DY109&gt;NDC!$D$73,DZ109&gt;NDC!$D$74,$B109&gt;NDC!$H$22-0.1+MIN(3*EA$12,1.5)),0,1)</f>
        <v>#N/A</v>
      </c>
      <c r="EB109" s="86" t="b">
        <f t="shared" si="157"/>
        <v>0</v>
      </c>
      <c r="EC109" s="418">
        <f t="shared" si="158"/>
        <v>0.51</v>
      </c>
      <c r="ED109" s="86">
        <f t="shared" si="159"/>
        <v>0.51</v>
      </c>
      <c r="EE109" s="30" t="e">
        <f t="shared" ca="1" si="192"/>
        <v>#DIV/0!</v>
      </c>
      <c r="EF109" s="85" t="e">
        <f ca="1">IF(DL109&lt;=Hypothèses!$V$7,Hypothèses!$W$7,IF(DL109&lt;=Hypothèses!$V$8,Hypothèses!$W$8,IF(DL109&lt;=Hypothèses!$V$9,Hypothèses!$W$9,IF(DL109&lt;=Hypothèses!$V$10,Hypothèses!$W$10,IF(DL109&lt;=Hypothèses!$V$11,Hypothèses!$W$11,IF(DL109&lt;=Hypothèses!$V$12,Hypothèses!$W$12,IF(DL109&lt;=Hypothèses!$V$13,Hypothèses!$W$13,IF(DL109&lt;=Hypothèses!$V$14,Hypothèses!$W$14,IF(DL109&lt;=Hypothèses!$V$15,Hypothèses!$W$15,IF(DL109&lt;=Hypothèses!$V$16,Hypothèses!$W$16,IF(DL109&lt;=Hypothèses!$V$17,Hypothèses!$W$17,IF(DL109&lt;=Hypothèses!$V$18,Hypothèses!$W$18,""))))))))))))</f>
        <v>#DIV/0!</v>
      </c>
      <c r="EG109" s="87" t="e">
        <f t="shared" ca="1" si="222"/>
        <v>#DIV/0!</v>
      </c>
      <c r="EH109" s="88" t="e">
        <f ca="1">IF(DL109&lt;=Hypothèses!$V$7,Hypothèses!$X$7,IF(DL109&lt;=Hypothèses!$V$8,Hypothèses!$X$8,IF(DL109&lt;=Hypothèses!$V$9,Hypothèses!$X$9,IF(DL109&lt;=Hypothèses!$V$10,Hypothèses!$X$10,IF(DL109&lt;=Hypothèses!$V$11,Hypothèses!$X$11,IF(DL109&lt;=Hypothèses!$V$12,Hypothèses!$X$12,IF(DL109&lt;=Hypothèses!$V$13,Hypothèses!$X$13,IF(DL109&lt;=Hypothèses!$V$14,Hypothèses!$X$14,IF(DL109&lt;=Hypothèses!$V$15,Hypothèses!$X$15,IF(DL109&lt;=Hypothèses!$V$16,Hypothèses!$X$16,IF(DL109&lt;=Hypothèses!$U$17,Hypothèses!$W$17,IF(DL109&lt;=Hypothèses!$U$18,Hypothèses!$W$18,""))))))))))))</f>
        <v>#DIV/0!</v>
      </c>
      <c r="EI109" s="95" t="e">
        <f t="shared" ca="1" si="193"/>
        <v>#DIV/0!</v>
      </c>
      <c r="EJ109" s="101">
        <f t="shared" si="229"/>
        <v>0</v>
      </c>
      <c r="EK109" s="91">
        <f t="shared" si="160"/>
        <v>0</v>
      </c>
      <c r="EL109" s="30" t="e">
        <f t="shared" si="212"/>
        <v>#N/A</v>
      </c>
      <c r="EM109" s="30" t="e">
        <f t="shared" si="213"/>
        <v>#N/A</v>
      </c>
      <c r="EN109" s="31" t="e">
        <f>IF(OR(Hypothèses!$B$4=17,Hypothèses!$B$4=18,Hypothèses!$B$4=19,Hypothèses!$B$4=20),
IF($D109="Pressio.",
IF(OR($E109=3,$E109=1,$E109=4),EM109,EL109),
IF($D109="Pénétro.",
IF(OR($E109=3,$E109=1,$E109=4),EM109,EL109))),IF($D109="Pressio.",
IF($E109=3,EM109,EL109),
IF($D109="Pénétro.",
IF($E109=4,EM109,EL109))))</f>
        <v>#N/A</v>
      </c>
      <c r="EO109" s="31">
        <v>0</v>
      </c>
      <c r="EP109" s="102" t="e">
        <f>IF(NDC!$H$10="Oui",(VLOOKUP($B$3,'Coeff EC7'!$T$39:$X$59,2,0)*EN109+VLOOKUP($B$3,'Coeff EC7'!$T$65:$X$85,2,0)*Model0.1T!EO109)/1.5,PI()*EL$12*$Q109*($B109-$B108)*0.15/10+EP108)</f>
        <v>#N/A</v>
      </c>
      <c r="EQ109" s="102" t="e">
        <f>(VLOOKUP($B$3,'Coeff EC7'!$T$39:$X$59,3,0)*EN109+VLOOKUP($B$3,'Coeff EC7'!$T$65:$X$85,3,0)*Model0.1T!EO109)/1.1</f>
        <v>#N/A</v>
      </c>
      <c r="ER109" s="102" t="e">
        <f t="shared" si="194"/>
        <v>#N/A</v>
      </c>
      <c r="ES109" s="102" t="e">
        <f t="shared" si="195"/>
        <v>#N/A</v>
      </c>
      <c r="ET109" s="414" t="e">
        <f>IF(AND(EP109&gt;NDC!$C$63,EQ109&gt;NDC!$C$65,ER109&gt;NDC!$D$73,ES109&gt;NDC!$D$74,$B109&gt;NDC!$H$22-0.1+MIN(3*ET$12,1.5)),0,1)</f>
        <v>#N/A</v>
      </c>
      <c r="EU109" s="86" t="b">
        <f t="shared" si="161"/>
        <v>0</v>
      </c>
      <c r="EV109" s="86">
        <f t="shared" si="162"/>
        <v>0.61</v>
      </c>
      <c r="EW109" s="86">
        <f t="shared" si="163"/>
        <v>0.61</v>
      </c>
      <c r="EX109" s="30" t="e">
        <f t="shared" ca="1" si="196"/>
        <v>#DIV/0!</v>
      </c>
      <c r="EY109" s="85" t="e">
        <f ca="1">IF(EE109&lt;=Hypothèses!$V$7,Hypothèses!$W$7,IF(EE109&lt;=Hypothèses!$V$8,Hypothèses!$W$8,IF(EE109&lt;=Hypothèses!$V$9,Hypothèses!$W$9,IF(EE109&lt;=Hypothèses!$V$10,Hypothèses!$W$10,IF(EE109&lt;=Hypothèses!$V$11,Hypothèses!$W$11,IF(EE109&lt;=Hypothèses!$V$12,Hypothèses!$W$12,IF(EE109&lt;=Hypothèses!$V$13,Hypothèses!$W$13,IF(EE109&lt;=Hypothèses!$V$14,Hypothèses!$W$14,IF(EE109&lt;=Hypothèses!$V$15,Hypothèses!$W$15,IF(EE109&lt;=Hypothèses!$V$16,Hypothèses!$W$16,IF(EE109&lt;=Hypothèses!$V$17,Hypothèses!$W$17,IF(EE109&lt;=Hypothèses!$V$18,Hypothèses!$W$18,""))))))))))))</f>
        <v>#DIV/0!</v>
      </c>
      <c r="EZ109" s="87" t="e">
        <f t="shared" ca="1" si="223"/>
        <v>#DIV/0!</v>
      </c>
      <c r="FA109" s="88" t="e">
        <f ca="1">IF(EE109&lt;=Hypothèses!$V$7,Hypothèses!$X$7,IF(EE109&lt;=Hypothèses!$V$8,Hypothèses!$X$8,IF(EE109&lt;=Hypothèses!$V$9,Hypothèses!$X$9,IF(EE109&lt;=Hypothèses!$V$10,Hypothèses!$X$10,IF(EE109&lt;=Hypothèses!$V$11,Hypothèses!$X$11,IF(EE109&lt;=Hypothèses!$V$12,Hypothèses!$X$12,IF(EE109&lt;=Hypothèses!$V$13,Hypothèses!$X$13,IF(EE109&lt;=Hypothèses!$V$14,Hypothèses!$X$14,IF(EE109&lt;=Hypothèses!$V$15,Hypothèses!$X$15,IF(EE109&lt;=Hypothèses!$V$16,Hypothèses!$X$16,IF(EE109&lt;=Hypothèses!$U$17,Hypothèses!$W$17,IF(EE109&lt;=Hypothèses!$U$18,Hypothèses!$W$18,""))))))))))))</f>
        <v>#DIV/0!</v>
      </c>
      <c r="FB109" s="95" t="e">
        <f t="shared" ca="1" si="197"/>
        <v>#DIV/0!</v>
      </c>
      <c r="FC109" s="101">
        <f t="shared" si="230"/>
        <v>0</v>
      </c>
      <c r="FD109" s="91">
        <f t="shared" si="164"/>
        <v>0</v>
      </c>
      <c r="FE109" s="30" t="e">
        <f t="shared" si="214"/>
        <v>#N/A</v>
      </c>
      <c r="FF109" s="30" t="e">
        <f t="shared" si="215"/>
        <v>#N/A</v>
      </c>
      <c r="FG109" s="31" t="e">
        <f>IF(OR(Hypothèses!$B$4=17,Hypothèses!$B$4=18,Hypothèses!$B$4=19,Hypothèses!$B$4=20),
IF($D109="Pressio.",
IF(OR($E109=3,$E109=1,$E109=4),FF109,FE109),
IF($D109="Pénétro.",
IF(OR($E109=3,$E109=1,$E109=4),FF109,FE109))),IF($D109="Pressio.",
IF($E109=3,FF109,FE109),
IF($D109="Pénétro.",
IF($E109=4,FF109,FE109))))</f>
        <v>#N/A</v>
      </c>
      <c r="FH109" s="31">
        <v>0</v>
      </c>
      <c r="FI109" s="102" t="e">
        <f>IF(NDC!$H$10="Oui",(VLOOKUP($B$3,'Coeff EC7'!$T$39:$X$59,2,0)*FG109+VLOOKUP($B$3,'Coeff EC7'!$T$65:$X$85,2,0)*Model0.1T!FH109)/1.5,PI()*FE$12*$Q109*($B109-$B108)*0.15/10+FI108)</f>
        <v>#N/A</v>
      </c>
      <c r="FJ109" s="102" t="e">
        <f>(VLOOKUP($B$3,'Coeff EC7'!$T$39:$X$59,3,0)*FG109+VLOOKUP($B$3,'Coeff EC7'!$T$65:$X$85,3,0)*Model0.1T!FH109)/1.1</f>
        <v>#N/A</v>
      </c>
      <c r="FK109" s="102" t="e">
        <f t="shared" si="198"/>
        <v>#N/A</v>
      </c>
      <c r="FL109" s="102" t="e">
        <f t="shared" si="199"/>
        <v>#N/A</v>
      </c>
      <c r="FM109" s="414" t="e">
        <f>IF(AND(FI109&gt;NDC!$C$63,FJ109&gt;NDC!$C$65,FK109&gt;NDC!$D$73,FL109&gt;NDC!$D$74,$B109&gt;NDC!$H$22-0.1+MIN(3*FM$12,1.5)),0,1)</f>
        <v>#N/A</v>
      </c>
    </row>
    <row r="110" spans="1:169">
      <c r="A110" s="96">
        <f t="shared" si="165"/>
        <v>90.300000000000551</v>
      </c>
      <c r="B110" s="97">
        <v>9.6999999999999993</v>
      </c>
      <c r="C110" s="81">
        <f>IF(B110&lt;=Hypothèses!$C$7,Hypothèses!$A$7,IF(B110&lt;=Hypothèses!$C$8,Hypothèses!$A$8,IF(B110&lt;=Hypothèses!$C$9,Hypothèses!$A$9,IF(B110&lt;=Hypothèses!$C$10,Hypothèses!$A$10,IF(B110&lt;=Hypothèses!$C$11,Hypothèses!$A$11,IF(B110&lt;=Hypothèses!$C$12,Hypothèses!$A$12,IF(B110&lt;=Hypothèses!$C$13,Hypothèses!$A$13,IF(B110&lt;=Hypothèses!$C$14,Hypothèses!$A$14,IF(B110&lt;=Hypothèses!$C$15,Hypothèses!$A$15,IF(B110&lt;=Hypothèses!$C$16,Hypothèses!$A$16,IF(B110&lt;=Hypothèses!$C$17,Hypothèses!$A$17,IF(B110&lt;=Hypothèses!$C$18,Hypothèses!$A$18,C109))))))))))))</f>
        <v>11</v>
      </c>
      <c r="D110" s="82" t="str">
        <f>IF(B110&lt;=Hypothèses!$C$7,Hypothèses!$R$7,IF(B110&lt;=Hypothèses!$C$8,Hypothèses!$R$8,IF(B110&lt;=Hypothèses!$C$9,Hypothèses!$R$9,IF(B110&lt;=Hypothèses!$C$10,Hypothèses!$R$10,IF(B110&lt;=Hypothèses!$C$11,Hypothèses!$R$11,IF(B110&lt;=Hypothèses!$C$12,Hypothèses!$R$12,IF(B110&lt;=Hypothèses!$C$13,Hypothèses!$R$13,IF(B110&lt;=Hypothèses!$C$14,Hypothèses!$R$14,IF(B110&lt;=Hypothèses!$C$15,Hypothèses!$R$15,IF(B110&lt;=Hypothèses!$C$16,Hypothèses!$R$16,IF(B110&lt;=Hypothèses!$C$17,Hypothèses!$R$17,IF(B110&lt;=Hypothèses!$C$18,Hypothèses!$R$18,D109))))))))))))</f>
        <v>Pressio.</v>
      </c>
      <c r="E110" s="82" t="e">
        <f>IF(B110&lt;=Hypothèses!$C$7,Hypothèses!$G$7,IF(B110&lt;=Hypothèses!$C$8,Hypothèses!$G$8,IF(B110&lt;=Hypothèses!$C$9,Hypothèses!$G$9,IF(B110&lt;=Hypothèses!$C$10,Hypothèses!$G$10,IF(B110&lt;=Hypothèses!$C$11,Hypothèses!$G$11,IF(B110&lt;=Hypothèses!$C$12,Hypothèses!$G$12,IF(B110&lt;=Hypothèses!$C$13,Hypothèses!$G$13,IF(B110&lt;=Hypothèses!$C$14,Hypothèses!$G$14,IF(B110&lt;=Hypothèses!$C$15,Hypothèses!$G$15,IF(B110&lt;=Hypothèses!$C$16,Hypothèses!$G$16,IF(B110&lt;=Hypothèses!$C$17,Hypothèses!$G$17,IF(B110&lt;=Hypothèses!$C$18,Hypothèses!$G$18,E109))))))))))))</f>
        <v>#N/A</v>
      </c>
      <c r="F110" s="82" t="str">
        <f>IF(B110&lt;=Hypothèses!$C$7,Hypothèses!$F$7,IF(B110&lt;=Hypothèses!$C$8,Hypothèses!$F$8,IF(B110&lt;=Hypothèses!$C$9,Hypothèses!$F$9,IF(B110&lt;=Hypothèses!$C$10,Hypothèses!$F$10,IF(B110&lt;=Hypothèses!$C$11,Hypothèses!$F$11,IF(B110&lt;=Hypothèses!$C$12,Hypothèses!$F$12,IF(B110&lt;=Hypothèses!$C$13,Hypothèses!$F$13,IF(B110&lt;=Hypothèses!$C$14,Hypothèses!$F$14,IF(B110&lt;=Hypothèses!$C$15,Hypothèses!$F$15,IF(B110&lt;=Hypothèses!$C$16,Hypothèses!$F$16,IF(B110&lt;=Hypothèses!$C$17,Hypothèses!$F$17,IF(B110&lt;=Hypothèses!$C$18,Hypothèses!$F$18,F109))))))))))))</f>
        <v/>
      </c>
      <c r="G110" s="91">
        <f t="array" ref="G110">INDEX('Coeff EC7'!$U$7:$X$27,
MATCH(Model0.1T!$B$3,'Coeff EC7'!$T$7:$T$27,0),
MATCH(Model0.1T!$D110&amp;Model0.1T!$B$4,
'Coeff EC7'!$U$6:$X$6&amp;
'Coeff EC7'!$U$5:$X$5,0))</f>
        <v>1.4</v>
      </c>
      <c r="H110" s="91">
        <f t="array" ref="H110">INDEX('Coeff EC7'!$Y$7:$AB$27,
MATCH(Model0.1T!$B$3,'Coeff EC7'!$T$7:$T$27,0),
MATCH(Model0.1T!$D110&amp;Model0.1T!$B$4,
'Coeff EC7'!$Y$6:$AB$6&amp;
'Coeff EC7'!$Y$5:$AB$5,0))</f>
        <v>1.7</v>
      </c>
      <c r="I110" s="83">
        <v>0</v>
      </c>
      <c r="J110" s="91" t="e">
        <f t="array" ref="J110">INDEX('Coeff EC7'!$D$33:$Q$33,1,MATCH(D110&amp;E110,'Coeff EC7'!$D$31:$Q$31&amp;'Coeff EC7'!$D$32:$Q$32,0))</f>
        <v>#N/A</v>
      </c>
      <c r="K110" s="91" t="e">
        <f t="array" ref="K110">INDEX('Coeff EC7'!$D$34:$Q$34,1,MATCH(D110&amp;E110,'Coeff EC7'!$D$31:$Q$31&amp;'Coeff EC7'!$D$32:$Q$32,0))</f>
        <v>#N/A</v>
      </c>
      <c r="L110" s="91" t="e">
        <f t="array" ref="L110">INDEX('Coeff EC7'!$D$35:$Q$35,1,MATCH(D110&amp;E110,'Coeff EC7'!$D$31:$Q$31&amp;'Coeff EC7'!$D$32:$Q$32,0))</f>
        <v>#N/A</v>
      </c>
      <c r="M110" s="98" t="e">
        <f t="shared" si="131"/>
        <v>#N/A</v>
      </c>
      <c r="N110" s="99" t="e">
        <f t="array" ref="N110">INDEX('Coeff EC7'!$D$7:$Q$27,MATCH($B$3,'Coeff EC7'!$C$7:$C$27,0),MATCH(D110&amp;E110,'Coeff EC7'!$D$5:$Q$5&amp;'Coeff EC7'!$D$6:$Q$6,0))</f>
        <v>#N/A</v>
      </c>
      <c r="O110" s="99" t="e">
        <f t="array" ref="O110">INDEX('Coeff EC7'!$D$41:$Q$61,MATCH($B$3,'Coeff EC7'!$C$41:$C$61,0),MATCH(D110&amp;E110,'Coeff EC7'!$D$39:$Q$39&amp;'Coeff EC7'!$D$40:$Q$40,0))</f>
        <v>#N/A</v>
      </c>
      <c r="P110" s="30" t="e">
        <f t="shared" si="166"/>
        <v>#N/A</v>
      </c>
      <c r="Q110" s="100" t="e">
        <f t="shared" si="133"/>
        <v>#N/A</v>
      </c>
      <c r="R110" s="86" t="b">
        <f t="shared" si="134"/>
        <v>0</v>
      </c>
      <c r="S110" s="86">
        <f t="shared" si="132"/>
        <v>0.5</v>
      </c>
      <c r="T110" s="86">
        <f t="shared" si="135"/>
        <v>0.5</v>
      </c>
      <c r="U110" s="30" t="e">
        <f t="shared" ca="1" si="167"/>
        <v>#DIV/0!</v>
      </c>
      <c r="V110" s="85" t="str">
        <f>IF(B110&lt;=Hypothèses!$V$7,Hypothèses!$W$7,IF(B110&lt;=Hypothèses!$V$8,Hypothèses!$W$8,IF(B110&lt;=Hypothèses!$V$9,Hypothèses!$W$9,IF(B110&lt;=Hypothèses!$V$10,Hypothèses!$W$10,IF(B110&lt;=Hypothèses!$V$11,Hypothèses!$W$11,IF(B110&lt;=Hypothèses!$V$12,Hypothèses!$W$12,IF(B110&lt;=Hypothèses!$V$13,Hypothèses!$W$13,IF(B110&lt;=Hypothèses!$V$14,Hypothèses!$W$14,IF(B110&lt;=Hypothèses!$V$15,Hypothèses!$W$15,IF(B110&lt;=Hypothèses!$V$16,Hypothèses!$W$16,IF(B110&lt;=Hypothèses!$V$17,Hypothèses!$W$17,IF(B110&lt;=Hypothèses!$V$18,Hypothèses!$W$18,""))))))))))))</f>
        <v/>
      </c>
      <c r="W110" s="87" t="e">
        <f t="shared" ca="1" si="216"/>
        <v>#DIV/0!</v>
      </c>
      <c r="X110" s="88" t="str">
        <f>IF(B110&lt;=Hypothèses!$V$7,Hypothèses!$X$7,IF(B110&lt;=Hypothèses!$V$8,Hypothèses!$X$8,IF(B110&lt;=Hypothèses!$V$9,Hypothèses!$X$9,IF(B110&lt;=Hypothèses!$V$10,Hypothèses!$X$10,IF(B110&lt;=Hypothèses!$V$11,Hypothèses!$X$11,IF(B110&lt;=Hypothèses!$V$12,Hypothèses!$X$12,IF(B110&lt;=Hypothèses!$V$13,Hypothèses!$X$13,IF(B110&lt;=Hypothèses!$V$14,Hypothèses!$X$14,IF(B110&lt;=Hypothèses!$V$15,Hypothèses!$X$15,IF(B110&lt;=Hypothèses!$V$16,Hypothèses!$X$16,IF(B110&lt;=Hypothèses!$U$17,Hypothèses!$W$17,IF(B110&lt;=Hypothèses!$U$18,Hypothèses!$W$18,""))))))))))))</f>
        <v/>
      </c>
      <c r="Y110" s="95" t="e">
        <f t="shared" ca="1" si="136"/>
        <v>#DIV/0!</v>
      </c>
      <c r="Z110" s="101">
        <f t="shared" si="137"/>
        <v>0</v>
      </c>
      <c r="AA110" s="91">
        <f t="shared" si="138"/>
        <v>0</v>
      </c>
      <c r="AB110" s="30" t="e">
        <f t="shared" si="200"/>
        <v>#N/A</v>
      </c>
      <c r="AC110" s="30" t="e">
        <f t="shared" si="201"/>
        <v>#N/A</v>
      </c>
      <c r="AD110" s="31" t="e">
        <f>IF(OR(Hypothèses!$B$4=17,Hypothèses!$B$4=18,Hypothèses!$B$4=19,Hypothèses!$B$4=20),
IF($D110="Pressio.",
IF(OR($E110=3,$E110=1,$E110=4),AC110,AB110),
IF($D110="Pénétro.",
IF(OR($E110=3,$E110=1,$E110=4),AC110,AB110))),IF($D110="Pressio.",
IF($E110=3,AC110,AB110),
IF($D110="Pénétro.",
IF($E110=4,AC110,AB110))))</f>
        <v>#N/A</v>
      </c>
      <c r="AE110" s="31">
        <v>0</v>
      </c>
      <c r="AF110" s="102" t="e">
        <f>IF(NDC!$H$10="Oui",(VLOOKUP($B$3,'Coeff EC7'!$T$39:$X$59,2,0)*AD110+VLOOKUP($B$3,'Coeff EC7'!$T$65:$X$85,2,0)*Model0.1T!AE110)/1.5,PI()*AB$12*$Q110*($B110-$B109)*0.15/10+AF109)</f>
        <v>#N/A</v>
      </c>
      <c r="AG110" s="102" t="e">
        <f>(VLOOKUP($B$3,'Coeff EC7'!$T$39:$X$59,3,0)*AD110+VLOOKUP($B$3,'Coeff EC7'!$T$65:$X$85,3,0)*Model0.1T!AE110)/1.1</f>
        <v>#N/A</v>
      </c>
      <c r="AH110" s="102" t="e">
        <f t="shared" si="168"/>
        <v>#N/A</v>
      </c>
      <c r="AI110" s="102" t="e">
        <f t="shared" si="169"/>
        <v>#N/A</v>
      </c>
      <c r="AJ110" s="414" t="e">
        <f>IF(AND(AF110&gt;NDC!$C$63,AG110&gt;NDC!$C$65,AH110&gt;NDC!$D$73,AI110&gt;NDC!$D$74,$B110&gt;NDC!$H$22-0.1+MIN(3*$AJ$12,1.5)),0,1)</f>
        <v>#N/A</v>
      </c>
      <c r="AK110" s="86" t="b">
        <f t="shared" si="139"/>
        <v>0</v>
      </c>
      <c r="AL110" s="86">
        <f t="shared" si="170"/>
        <v>0.5</v>
      </c>
      <c r="AM110" s="86">
        <f t="shared" si="140"/>
        <v>0.5</v>
      </c>
      <c r="AN110" s="30" t="e">
        <f t="shared" ca="1" si="171"/>
        <v>#DIV/0!</v>
      </c>
      <c r="AO110" s="85" t="e">
        <f ca="1">IF(U110&lt;=Hypothèses!$V$7,Hypothèses!$W$7,IF(U110&lt;=Hypothèses!$V$8,Hypothèses!$W$8,IF(U110&lt;=Hypothèses!$V$9,Hypothèses!$W$9,IF(U110&lt;=Hypothèses!$V$10,Hypothèses!$W$10,IF(U110&lt;=Hypothèses!$V$11,Hypothèses!$W$11,IF(U110&lt;=Hypothèses!$V$12,Hypothèses!$W$12,IF(U110&lt;=Hypothèses!$V$13,Hypothèses!$W$13,IF(U110&lt;=Hypothèses!$V$14,Hypothèses!$W$14,IF(U110&lt;=Hypothèses!$V$15,Hypothèses!$W$15,IF(U110&lt;=Hypothèses!$V$16,Hypothèses!$W$16,IF(U110&lt;=Hypothèses!$V$17,Hypothèses!$W$17,IF(U110&lt;=Hypothèses!$V$18,Hypothèses!$W$18,""))))))))))))</f>
        <v>#DIV/0!</v>
      </c>
      <c r="AP110" s="87" t="e">
        <f t="shared" ca="1" si="217"/>
        <v>#DIV/0!</v>
      </c>
      <c r="AQ110" s="88" t="e">
        <f ca="1">IF(U110&lt;=Hypothèses!$V$7,Hypothèses!$X$7,IF(U110&lt;=Hypothèses!$V$8,Hypothèses!$X$8,IF(U110&lt;=Hypothèses!$V$9,Hypothèses!$X$9,IF(U110&lt;=Hypothèses!$V$10,Hypothèses!$X$10,IF(U110&lt;=Hypothèses!$V$11,Hypothèses!$X$11,IF(U110&lt;=Hypothèses!$V$12,Hypothèses!$X$12,IF(U110&lt;=Hypothèses!$V$13,Hypothèses!$X$13,IF(U110&lt;=Hypothèses!$V$14,Hypothèses!$X$14,IF(U110&lt;=Hypothèses!$V$15,Hypothèses!$X$15,IF(U110&lt;=Hypothèses!$V$16,Hypothèses!$X$16,IF(U110&lt;=Hypothèses!$U$17,Hypothèses!$W$17,IF(U110&lt;=Hypothèses!$U$18,Hypothèses!$W$18,""))))))))))))</f>
        <v>#DIV/0!</v>
      </c>
      <c r="AR110" s="95" t="e">
        <f t="shared" ca="1" si="172"/>
        <v>#DIV/0!</v>
      </c>
      <c r="AS110" s="101">
        <f t="shared" si="224"/>
        <v>0</v>
      </c>
      <c r="AT110" s="91">
        <f t="shared" si="141"/>
        <v>0</v>
      </c>
      <c r="AU110" s="30" t="e">
        <f t="shared" si="202"/>
        <v>#N/A</v>
      </c>
      <c r="AV110" s="30" t="e">
        <f t="shared" si="203"/>
        <v>#N/A</v>
      </c>
      <c r="AW110" s="31" t="e">
        <f>IF(OR(Hypothèses!$B$4=17,Hypothèses!$B$4=18,Hypothèses!$B$4=19,Hypothèses!$B$4=20),
IF($D110="Pressio.",
IF(OR($E110=3,$E110=1,$E110=4),AV110,AU110),
IF($D110="Pénétro.",
IF(OR($E110=3,$E110=1,$E110=4),AV110,AU110))),IF($D110="Pressio.",
IF($E110=3,AV110,AU110),
IF($D110="Pénétro.",
IF($E110=4,AV110,AU110))))</f>
        <v>#N/A</v>
      </c>
      <c r="AX110" s="31">
        <v>0</v>
      </c>
      <c r="AY110" s="102" t="e">
        <f>IF(NDC!$H$10="Oui",(VLOOKUP($B$3,'Coeff EC7'!$T$39:$X$59,2,0)*AW110+VLOOKUP($B$3,'Coeff EC7'!$T$65:$X$85,2,0)*Model0.1T!AX110)/1.5,PI()*AU$12*$Q110*($B110-$B109)*0.15/10+AY109)</f>
        <v>#N/A</v>
      </c>
      <c r="AZ110" s="102" t="e">
        <f>(VLOOKUP($B$3,'Coeff EC7'!$T$39:$X$59,3,0)*AW110+VLOOKUP($B$3,'Coeff EC7'!$T$65:$X$85,3,0)*Model0.1T!AX110)/1.1</f>
        <v>#N/A</v>
      </c>
      <c r="BA110" s="102" t="e">
        <f t="shared" si="173"/>
        <v>#N/A</v>
      </c>
      <c r="BB110" s="102" t="e">
        <f t="shared" si="174"/>
        <v>#N/A</v>
      </c>
      <c r="BC110" s="414" t="e">
        <f>IF(AND(AY110&gt;NDC!$C$63,AZ110&gt;NDC!$C$65,BA110&gt;NDC!$D$73,BB110&gt;NDC!$D$74,$B110&gt;NDC!$H$22-0.1+MIN(3*BC$12,1.5)),0,1)</f>
        <v>#N/A</v>
      </c>
      <c r="BD110" s="86" t="b">
        <f t="shared" si="142"/>
        <v>0</v>
      </c>
      <c r="BE110" s="86">
        <f t="shared" si="175"/>
        <v>0.5</v>
      </c>
      <c r="BF110" s="86">
        <f t="shared" si="143"/>
        <v>0.5</v>
      </c>
      <c r="BG110" s="30" t="e">
        <f t="shared" ca="1" si="176"/>
        <v>#DIV/0!</v>
      </c>
      <c r="BH110" s="85" t="e">
        <f ca="1">IF(AN110&lt;=Hypothèses!$V$7,Hypothèses!$W$7,IF(AN110&lt;=Hypothèses!$V$8,Hypothèses!$W$8,IF(AN110&lt;=Hypothèses!$V$9,Hypothèses!$W$9,IF(AN110&lt;=Hypothèses!$V$10,Hypothèses!$W$10,IF(AN110&lt;=Hypothèses!$V$11,Hypothèses!$W$11,IF(AN110&lt;=Hypothèses!$V$12,Hypothèses!$W$12,IF(AN110&lt;=Hypothèses!$V$13,Hypothèses!$W$13,IF(AN110&lt;=Hypothèses!$V$14,Hypothèses!$W$14,IF(AN110&lt;=Hypothèses!$V$15,Hypothèses!$W$15,IF(AN110&lt;=Hypothèses!$V$16,Hypothèses!$W$16,IF(AN110&lt;=Hypothèses!$V$17,Hypothèses!$W$17,IF(AN110&lt;=Hypothèses!$V$18,Hypothèses!$W$18,""))))))))))))</f>
        <v>#DIV/0!</v>
      </c>
      <c r="BI110" s="87" t="e">
        <f t="shared" ca="1" si="218"/>
        <v>#DIV/0!</v>
      </c>
      <c r="BJ110" s="88" t="e">
        <f ca="1">IF(AN110&lt;=Hypothèses!$V$7,Hypothèses!$X$7,IF(AN110&lt;=Hypothèses!$V$8,Hypothèses!$X$8,IF(AN110&lt;=Hypothèses!$V$9,Hypothèses!$X$9,IF(AN110&lt;=Hypothèses!$V$10,Hypothèses!$X$10,IF(AN110&lt;=Hypothèses!$V$11,Hypothèses!$X$11,IF(AN110&lt;=Hypothèses!$V$12,Hypothèses!$X$12,IF(AN110&lt;=Hypothèses!$V$13,Hypothèses!$X$13,IF(AN110&lt;=Hypothèses!$V$14,Hypothèses!$X$14,IF(AN110&lt;=Hypothèses!$V$15,Hypothèses!$X$15,IF(AN110&lt;=Hypothèses!$V$16,Hypothèses!$X$16,IF(AN110&lt;=Hypothèses!$U$17,Hypothèses!$W$17,IF(AN110&lt;=Hypothèses!$U$18,Hypothèses!$W$18,""))))))))))))</f>
        <v>#DIV/0!</v>
      </c>
      <c r="BK110" s="95" t="e">
        <f t="shared" ca="1" si="177"/>
        <v>#DIV/0!</v>
      </c>
      <c r="BL110" s="101">
        <f t="shared" si="225"/>
        <v>0</v>
      </c>
      <c r="BM110" s="91">
        <f t="shared" si="144"/>
        <v>0</v>
      </c>
      <c r="BN110" s="30" t="e">
        <f t="shared" si="204"/>
        <v>#N/A</v>
      </c>
      <c r="BO110" s="30" t="e">
        <f t="shared" si="205"/>
        <v>#N/A</v>
      </c>
      <c r="BP110" s="31" t="e">
        <f>IF(OR(Hypothèses!$B$4=17,Hypothèses!$B$4=18,Hypothèses!$B$4=19,Hypothèses!$B$4=20),
IF($D110="Pressio.",
IF(OR($E110=3,$E110=1,$E110=4),BO110,BN110),
IF($D110="Pénétro.",
IF(OR($E110=3,$E110=1,$E110=4),BO110,BN110))),IF($D110="Pressio.",
IF($E110=3,BO110,BN110),
IF($D110="Pénétro.",
IF($E110=4,BO110,BN110))))</f>
        <v>#N/A</v>
      </c>
      <c r="BQ110" s="31">
        <v>0</v>
      </c>
      <c r="BR110" s="102" t="e">
        <f>IF(NDC!$H$10="Oui",(VLOOKUP($B$3,'Coeff EC7'!$T$39:$X$59,2,0)*BP110+VLOOKUP($B$3,'Coeff EC7'!$T$65:$X$85,2,0)*Model0.1T!BQ110)/1.5,PI()*BN$12*$Q110*($B110-$B109)*0.15/10+BR109)</f>
        <v>#N/A</v>
      </c>
      <c r="BS110" s="102" t="e">
        <f>(VLOOKUP($B$3,'Coeff EC7'!$T$39:$X$59,3,0)*BP110+VLOOKUP($B$3,'Coeff EC7'!$T$65:$X$85,3,0)*Model0.1T!BQ110)/1.1</f>
        <v>#N/A</v>
      </c>
      <c r="BT110" s="102" t="e">
        <f t="shared" si="178"/>
        <v>#N/A</v>
      </c>
      <c r="BU110" s="102" t="e">
        <f t="shared" si="179"/>
        <v>#N/A</v>
      </c>
      <c r="BV110" s="414" t="e">
        <f>IF(AND(BR110&gt;NDC!$C$63,BS110&gt;NDC!$C$65,BT110&gt;NDC!$D$73,BU110&gt;NDC!$D$74,$B110&gt;NDC!$H$22-0.1+MIN(3*BV$12,1.5)),0,1)</f>
        <v>#N/A</v>
      </c>
      <c r="BW110" s="86" t="b">
        <f t="shared" si="145"/>
        <v>0</v>
      </c>
      <c r="BX110" s="86">
        <f t="shared" si="146"/>
        <v>0.5</v>
      </c>
      <c r="BY110" s="86">
        <f t="shared" si="147"/>
        <v>0.5</v>
      </c>
      <c r="BZ110" s="30" t="e">
        <f t="shared" ca="1" si="180"/>
        <v>#DIV/0!</v>
      </c>
      <c r="CA110" s="85" t="e">
        <f ca="1">IF(BG110&lt;=Hypothèses!$V$7,Hypothèses!$W$7,IF(BG110&lt;=Hypothèses!$V$8,Hypothèses!$W$8,IF(BG110&lt;=Hypothèses!$V$9,Hypothèses!$W$9,IF(BG110&lt;=Hypothèses!$V$10,Hypothèses!$W$10,IF(BG110&lt;=Hypothèses!$V$11,Hypothèses!$W$11,IF(BG110&lt;=Hypothèses!$V$12,Hypothèses!$W$12,IF(BG110&lt;=Hypothèses!$V$13,Hypothèses!$W$13,IF(BG110&lt;=Hypothèses!$V$14,Hypothèses!$W$14,IF(BG110&lt;=Hypothèses!$V$15,Hypothèses!$W$15,IF(BG110&lt;=Hypothèses!$V$16,Hypothèses!$W$16,IF(BG110&lt;=Hypothèses!$V$17,Hypothèses!$W$17,IF(BG110&lt;=Hypothèses!$V$18,Hypothèses!$W$18,""))))))))))))</f>
        <v>#DIV/0!</v>
      </c>
      <c r="CB110" s="87" t="e">
        <f t="shared" ca="1" si="219"/>
        <v>#DIV/0!</v>
      </c>
      <c r="CC110" s="88" t="e">
        <f ca="1">IF(BG110&lt;=Hypothèses!$V$7,Hypothèses!$X$7,IF(BG110&lt;=Hypothèses!$V$8,Hypothèses!$X$8,IF(BG110&lt;=Hypothèses!$V$9,Hypothèses!$X$9,IF(BG110&lt;=Hypothèses!$V$10,Hypothèses!$X$10,IF(BG110&lt;=Hypothèses!$V$11,Hypothèses!$X$11,IF(BG110&lt;=Hypothèses!$V$12,Hypothèses!$X$12,IF(BG110&lt;=Hypothèses!$V$13,Hypothèses!$X$13,IF(BG110&lt;=Hypothèses!$V$14,Hypothèses!$X$14,IF(BG110&lt;=Hypothèses!$V$15,Hypothèses!$X$15,IF(BG110&lt;=Hypothèses!$V$16,Hypothèses!$X$16,IF(BG110&lt;=Hypothèses!$U$17,Hypothèses!$W$17,IF(BG110&lt;=Hypothèses!$U$18,Hypothèses!$W$18,""))))))))))))</f>
        <v>#DIV/0!</v>
      </c>
      <c r="CD110" s="95" t="e">
        <f t="shared" ca="1" si="181"/>
        <v>#DIV/0!</v>
      </c>
      <c r="CE110" s="101">
        <f t="shared" si="226"/>
        <v>0</v>
      </c>
      <c r="CF110" s="91">
        <f t="shared" si="148"/>
        <v>0</v>
      </c>
      <c r="CG110" s="30" t="e">
        <f t="shared" si="206"/>
        <v>#N/A</v>
      </c>
      <c r="CH110" s="30" t="e">
        <f t="shared" si="207"/>
        <v>#N/A</v>
      </c>
      <c r="CI110" s="31" t="e">
        <f>IF(OR(Hypothèses!$B$4=17,Hypothèses!$B$4=18,Hypothèses!$B$4=19,Hypothèses!$B$4=20),
IF($D110="Pressio.",
IF(OR($E110=3,$E110=1,$E110=4),CH110,CG110),
IF($D110="Pénétro.",
IF(OR($E110=3,$E110=1,$E110=4),CH110,CG110))),IF($D110="Pressio.",
IF($E110=3,CH110,CG110),
IF($D110="Pénétro.",
IF($E110=4,CH110,CG110))))</f>
        <v>#N/A</v>
      </c>
      <c r="CJ110" s="31">
        <v>0</v>
      </c>
      <c r="CK110" s="102" t="e">
        <f>IF(NDC!$H$10="Oui",(VLOOKUP($B$3,'Coeff EC7'!$T$39:$X$59,2,0)*CI110+VLOOKUP($B$3,'Coeff EC7'!$T$65:$X$85,2,0)*Model0.1T!CJ110)/1.5,PI()*CG$12*$Q110*($B110-$B109)*0.15/10+CK109)</f>
        <v>#N/A</v>
      </c>
      <c r="CL110" s="102" t="e">
        <f>(VLOOKUP($B$3,'Coeff EC7'!$T$39:$X$59,3,0)*CI110+VLOOKUP($B$3,'Coeff EC7'!$T$65:$X$85,3,0)*Model0.1T!CJ110)/1.1</f>
        <v>#N/A</v>
      </c>
      <c r="CM110" s="102" t="e">
        <f t="shared" si="182"/>
        <v>#N/A</v>
      </c>
      <c r="CN110" s="102" t="e">
        <f t="shared" si="183"/>
        <v>#N/A</v>
      </c>
      <c r="CO110" s="414" t="e">
        <f>IF(AND(CK110&gt;NDC!$C$63,CL110&gt;NDC!$C$65,CM110&gt;NDC!$D$73,CN110&gt;NDC!$D$74,$B110&gt;NDC!$H$22-0.1+MIN(3*CO$12,1.5)),0,1)</f>
        <v>#N/A</v>
      </c>
      <c r="CP110" s="86" t="b">
        <f t="shared" si="149"/>
        <v>0</v>
      </c>
      <c r="CQ110" s="86">
        <f t="shared" si="150"/>
        <v>0.5</v>
      </c>
      <c r="CR110" s="86">
        <f t="shared" si="151"/>
        <v>0.5</v>
      </c>
      <c r="CS110" s="30" t="e">
        <f t="shared" ca="1" si="184"/>
        <v>#DIV/0!</v>
      </c>
      <c r="CT110" s="85" t="e">
        <f ca="1">IF(BZ110&lt;=Hypothèses!$V$7,Hypothèses!$W$7,IF(BZ110&lt;=Hypothèses!$V$8,Hypothèses!$W$8,IF(BZ110&lt;=Hypothèses!$V$9,Hypothèses!$W$9,IF(BZ110&lt;=Hypothèses!$V$10,Hypothèses!$W$10,IF(BZ110&lt;=Hypothèses!$V$11,Hypothèses!$W$11,IF(BZ110&lt;=Hypothèses!$V$12,Hypothèses!$W$12,IF(BZ110&lt;=Hypothèses!$V$13,Hypothèses!$W$13,IF(BZ110&lt;=Hypothèses!$V$14,Hypothèses!$W$14,IF(BZ110&lt;=Hypothèses!$V$15,Hypothèses!$W$15,IF(BZ110&lt;=Hypothèses!$V$16,Hypothèses!$W$16,IF(BZ110&lt;=Hypothèses!$V$17,Hypothèses!$W$17,IF(BZ110&lt;=Hypothèses!$V$18,Hypothèses!$W$18,""))))))))))))</f>
        <v>#DIV/0!</v>
      </c>
      <c r="CU110" s="87" t="e">
        <f t="shared" ca="1" si="220"/>
        <v>#DIV/0!</v>
      </c>
      <c r="CV110" s="88" t="e">
        <f ca="1">IF(BZ110&lt;=Hypothèses!$V$7,Hypothèses!$X$7,IF(BZ110&lt;=Hypothèses!$V$8,Hypothèses!$X$8,IF(BZ110&lt;=Hypothèses!$V$9,Hypothèses!$X$9,IF(BZ110&lt;=Hypothèses!$V$10,Hypothèses!$X$10,IF(BZ110&lt;=Hypothèses!$V$11,Hypothèses!$X$11,IF(BZ110&lt;=Hypothèses!$V$12,Hypothèses!$X$12,IF(BZ110&lt;=Hypothèses!$V$13,Hypothèses!$X$13,IF(BZ110&lt;=Hypothèses!$V$14,Hypothèses!$X$14,IF(BZ110&lt;=Hypothèses!$V$15,Hypothèses!$X$15,IF(BZ110&lt;=Hypothèses!$V$16,Hypothèses!$X$16,IF(BZ110&lt;=Hypothèses!$U$17,Hypothèses!$W$17,IF(BZ110&lt;=Hypothèses!$U$18,Hypothèses!$W$18,""))))))))))))</f>
        <v>#DIV/0!</v>
      </c>
      <c r="CW110" s="95" t="e">
        <f t="shared" ca="1" si="185"/>
        <v>#DIV/0!</v>
      </c>
      <c r="CX110" s="101">
        <f t="shared" si="227"/>
        <v>0</v>
      </c>
      <c r="CY110" s="91">
        <f t="shared" si="152"/>
        <v>0</v>
      </c>
      <c r="CZ110" s="30" t="e">
        <f t="shared" si="208"/>
        <v>#N/A</v>
      </c>
      <c r="DA110" s="30" t="e">
        <f t="shared" si="209"/>
        <v>#N/A</v>
      </c>
      <c r="DB110" s="31" t="e">
        <f>IF(OR(Hypothèses!$B$4=17,Hypothèses!$B$4=18,Hypothèses!$B$4=19,Hypothèses!$B$4=20),
IF($D110="Pressio.",
IF(OR($E110=3,$E110=1,$E110=4),DA110,CZ110),
IF($D110="Pénétro.",
IF(OR($E110=3,$E110=1,$E110=4),DA110,CZ110))),IF($D110="Pressio.",
IF($E110=3,DA110,CZ110),
IF($D110="Pénétro.",
IF($E110=4,DA110,CZ110))))</f>
        <v>#N/A</v>
      </c>
      <c r="DC110" s="31">
        <v>0</v>
      </c>
      <c r="DD110" s="102" t="e">
        <f>IF(NDC!$H$10="Oui",(VLOOKUP($B$3,'Coeff EC7'!$T$39:$X$59,2,0)*DB110+VLOOKUP($B$3,'Coeff EC7'!$T$65:$X$85,2,0)*Model0.1T!DC110)/1.5,PI()*CZ$12*$Q110*($B110-$B109)*0.15/10+DD109)</f>
        <v>#N/A</v>
      </c>
      <c r="DE110" s="102" t="e">
        <f>(VLOOKUP($B$3,'Coeff EC7'!$T$39:$X$59,3,0)*DB110+VLOOKUP($B$3,'Coeff EC7'!$T$65:$X$85,3,0)*Model0.1T!DC110)/1.1</f>
        <v>#N/A</v>
      </c>
      <c r="DF110" s="102" t="e">
        <f t="shared" si="186"/>
        <v>#N/A</v>
      </c>
      <c r="DG110" s="102" t="e">
        <f t="shared" si="187"/>
        <v>#N/A</v>
      </c>
      <c r="DH110" s="414" t="e">
        <f>IF(AND(DD110&gt;NDC!$C$63,DE110&gt;NDC!$C$65,DF110&gt;NDC!$D$73,DG110&gt;NDC!$D$74,$B110&gt;NDC!$H$22-0.1+MIN(3*DH$12,1.5)),0,1)</f>
        <v>#N/A</v>
      </c>
      <c r="DI110" s="86" t="b">
        <f t="shared" si="153"/>
        <v>0</v>
      </c>
      <c r="DJ110" s="86">
        <f t="shared" si="154"/>
        <v>0.5</v>
      </c>
      <c r="DK110" s="86">
        <f t="shared" si="155"/>
        <v>0.5</v>
      </c>
      <c r="DL110" s="30" t="e">
        <f t="shared" ca="1" si="188"/>
        <v>#DIV/0!</v>
      </c>
      <c r="DM110" s="85" t="e">
        <f ca="1">IF(CS110&lt;=Hypothèses!$V$7,Hypothèses!$W$7,IF(CS110&lt;=Hypothèses!$V$8,Hypothèses!$W$8,IF(CS110&lt;=Hypothèses!$V$9,Hypothèses!$W$9,IF(CS110&lt;=Hypothèses!$V$10,Hypothèses!$W$10,IF(CS110&lt;=Hypothèses!$V$11,Hypothèses!$W$11,IF(CS110&lt;=Hypothèses!$V$12,Hypothèses!$W$12,IF(CS110&lt;=Hypothèses!$V$13,Hypothèses!$W$13,IF(CS110&lt;=Hypothèses!$V$14,Hypothèses!$W$14,IF(CS110&lt;=Hypothèses!$V$15,Hypothèses!$W$15,IF(CS110&lt;=Hypothèses!$V$16,Hypothèses!$W$16,IF(CS110&lt;=Hypothèses!$V$17,Hypothèses!$W$17,IF(CS110&lt;=Hypothèses!$V$18,Hypothèses!$W$18,""))))))))))))</f>
        <v>#DIV/0!</v>
      </c>
      <c r="DN110" s="87" t="e">
        <f t="shared" ca="1" si="221"/>
        <v>#DIV/0!</v>
      </c>
      <c r="DO110" s="88" t="e">
        <f ca="1">IF(CS110&lt;=Hypothèses!$V$7,Hypothèses!$X$7,IF(CS110&lt;=Hypothèses!$V$8,Hypothèses!$X$8,IF(CS110&lt;=Hypothèses!$V$9,Hypothèses!$X$9,IF(CS110&lt;=Hypothèses!$V$10,Hypothèses!$X$10,IF(CS110&lt;=Hypothèses!$V$11,Hypothèses!$X$11,IF(CS110&lt;=Hypothèses!$V$12,Hypothèses!$X$12,IF(CS110&lt;=Hypothèses!$V$13,Hypothèses!$X$13,IF(CS110&lt;=Hypothèses!$V$14,Hypothèses!$X$14,IF(CS110&lt;=Hypothèses!$V$15,Hypothèses!$X$15,IF(CS110&lt;=Hypothèses!$V$16,Hypothèses!$X$16,IF(CS110&lt;=Hypothèses!$U$17,Hypothèses!$W$17,IF(CS110&lt;=Hypothèses!$U$18,Hypothèses!$W$18,""))))))))))))</f>
        <v>#DIV/0!</v>
      </c>
      <c r="DP110" s="95" t="e">
        <f t="shared" ca="1" si="189"/>
        <v>#DIV/0!</v>
      </c>
      <c r="DQ110" s="101">
        <f t="shared" si="228"/>
        <v>0</v>
      </c>
      <c r="DR110" s="91">
        <f t="shared" si="156"/>
        <v>0</v>
      </c>
      <c r="DS110" s="30" t="e">
        <f t="shared" si="210"/>
        <v>#N/A</v>
      </c>
      <c r="DT110" s="30" t="e">
        <f t="shared" si="211"/>
        <v>#N/A</v>
      </c>
      <c r="DU110" s="31" t="e">
        <f>IF(OR(Hypothèses!$B$4=17,Hypothèses!$B$4=18,Hypothèses!$B$4=19,Hypothèses!$B$4=20),
IF($D110="Pressio.",
IF(OR($E110=3,$E110=1,$E110=4),DT110,DS110),
IF($D110="Pénétro.",
IF(OR($E110=3,$E110=1,$E110=4),DT110,DS110))),IF($D110="Pressio.",
IF($E110=3,DT110,DS110),
IF($D110="Pénétro.",
IF($E110=4,DT110,DS110))))</f>
        <v>#N/A</v>
      </c>
      <c r="DV110" s="31">
        <v>0</v>
      </c>
      <c r="DW110" s="102" t="e">
        <f>IF(NDC!$H$10="Oui",(VLOOKUP($B$3,'Coeff EC7'!$T$39:$X$59,2,0)*DU110+VLOOKUP($B$3,'Coeff EC7'!$T$65:$X$85,2,0)*Model0.1T!DV110)/1.5,PI()*DS$12*$Q110*($B110-$B109)*0.15/10+DW109)</f>
        <v>#N/A</v>
      </c>
      <c r="DX110" s="102" t="e">
        <f>(VLOOKUP($B$3,'Coeff EC7'!$T$39:$X$59,3,0)*DU110+VLOOKUP($B$3,'Coeff EC7'!$T$65:$X$85,3,0)*Model0.1T!DV110)/1.1</f>
        <v>#N/A</v>
      </c>
      <c r="DY110" s="102" t="e">
        <f t="shared" si="190"/>
        <v>#N/A</v>
      </c>
      <c r="DZ110" s="102" t="e">
        <f t="shared" si="191"/>
        <v>#N/A</v>
      </c>
      <c r="EA110" s="414" t="e">
        <f>IF(AND(DW110&gt;NDC!$C$63,DX110&gt;NDC!$C$65,DY110&gt;NDC!$D$73,DZ110&gt;NDC!$D$74,$B110&gt;NDC!$H$22-0.1+MIN(3*EA$12,1.5)),0,1)</f>
        <v>#N/A</v>
      </c>
      <c r="EB110" s="86" t="b">
        <f t="shared" si="157"/>
        <v>0</v>
      </c>
      <c r="EC110" s="418">
        <f t="shared" si="158"/>
        <v>0.51</v>
      </c>
      <c r="ED110" s="86">
        <f t="shared" si="159"/>
        <v>0.51</v>
      </c>
      <c r="EE110" s="30" t="e">
        <f t="shared" ca="1" si="192"/>
        <v>#DIV/0!</v>
      </c>
      <c r="EF110" s="85" t="e">
        <f ca="1">IF(DL110&lt;=Hypothèses!$V$7,Hypothèses!$W$7,IF(DL110&lt;=Hypothèses!$V$8,Hypothèses!$W$8,IF(DL110&lt;=Hypothèses!$V$9,Hypothèses!$W$9,IF(DL110&lt;=Hypothèses!$V$10,Hypothèses!$W$10,IF(DL110&lt;=Hypothèses!$V$11,Hypothèses!$W$11,IF(DL110&lt;=Hypothèses!$V$12,Hypothèses!$W$12,IF(DL110&lt;=Hypothèses!$V$13,Hypothèses!$W$13,IF(DL110&lt;=Hypothèses!$V$14,Hypothèses!$W$14,IF(DL110&lt;=Hypothèses!$V$15,Hypothèses!$W$15,IF(DL110&lt;=Hypothèses!$V$16,Hypothèses!$W$16,IF(DL110&lt;=Hypothèses!$V$17,Hypothèses!$W$17,IF(DL110&lt;=Hypothèses!$V$18,Hypothèses!$W$18,""))))))))))))</f>
        <v>#DIV/0!</v>
      </c>
      <c r="EG110" s="87" t="e">
        <f t="shared" ca="1" si="222"/>
        <v>#DIV/0!</v>
      </c>
      <c r="EH110" s="88" t="e">
        <f ca="1">IF(DL110&lt;=Hypothèses!$V$7,Hypothèses!$X$7,IF(DL110&lt;=Hypothèses!$V$8,Hypothèses!$X$8,IF(DL110&lt;=Hypothèses!$V$9,Hypothèses!$X$9,IF(DL110&lt;=Hypothèses!$V$10,Hypothèses!$X$10,IF(DL110&lt;=Hypothèses!$V$11,Hypothèses!$X$11,IF(DL110&lt;=Hypothèses!$V$12,Hypothèses!$X$12,IF(DL110&lt;=Hypothèses!$V$13,Hypothèses!$X$13,IF(DL110&lt;=Hypothèses!$V$14,Hypothèses!$X$14,IF(DL110&lt;=Hypothèses!$V$15,Hypothèses!$X$15,IF(DL110&lt;=Hypothèses!$V$16,Hypothèses!$X$16,IF(DL110&lt;=Hypothèses!$U$17,Hypothèses!$W$17,IF(DL110&lt;=Hypothèses!$U$18,Hypothèses!$W$18,""))))))))))))</f>
        <v>#DIV/0!</v>
      </c>
      <c r="EI110" s="95" t="e">
        <f t="shared" ca="1" si="193"/>
        <v>#DIV/0!</v>
      </c>
      <c r="EJ110" s="101">
        <f t="shared" si="229"/>
        <v>0</v>
      </c>
      <c r="EK110" s="91">
        <f t="shared" si="160"/>
        <v>0</v>
      </c>
      <c r="EL110" s="30" t="e">
        <f t="shared" si="212"/>
        <v>#N/A</v>
      </c>
      <c r="EM110" s="30" t="e">
        <f t="shared" si="213"/>
        <v>#N/A</v>
      </c>
      <c r="EN110" s="31" t="e">
        <f>IF(OR(Hypothèses!$B$4=17,Hypothèses!$B$4=18,Hypothèses!$B$4=19,Hypothèses!$B$4=20),
IF($D110="Pressio.",
IF(OR($E110=3,$E110=1,$E110=4),EM110,EL110),
IF($D110="Pénétro.",
IF(OR($E110=3,$E110=1,$E110=4),EM110,EL110))),IF($D110="Pressio.",
IF($E110=3,EM110,EL110),
IF($D110="Pénétro.",
IF($E110=4,EM110,EL110))))</f>
        <v>#N/A</v>
      </c>
      <c r="EO110" s="31">
        <v>0</v>
      </c>
      <c r="EP110" s="102" t="e">
        <f>IF(NDC!$H$10="Oui",(VLOOKUP($B$3,'Coeff EC7'!$T$39:$X$59,2,0)*EN110+VLOOKUP($B$3,'Coeff EC7'!$T$65:$X$85,2,0)*Model0.1T!EO110)/1.5,PI()*EL$12*$Q110*($B110-$B109)*0.15/10+EP109)</f>
        <v>#N/A</v>
      </c>
      <c r="EQ110" s="102" t="e">
        <f>(VLOOKUP($B$3,'Coeff EC7'!$T$39:$X$59,3,0)*EN110+VLOOKUP($B$3,'Coeff EC7'!$T$65:$X$85,3,0)*Model0.1T!EO110)/1.1</f>
        <v>#N/A</v>
      </c>
      <c r="ER110" s="102" t="e">
        <f t="shared" si="194"/>
        <v>#N/A</v>
      </c>
      <c r="ES110" s="102" t="e">
        <f t="shared" si="195"/>
        <v>#N/A</v>
      </c>
      <c r="ET110" s="414" t="e">
        <f>IF(AND(EP110&gt;NDC!$C$63,EQ110&gt;NDC!$C$65,ER110&gt;NDC!$D$73,ES110&gt;NDC!$D$74,$B110&gt;NDC!$H$22-0.1+MIN(3*ET$12,1.5)),0,1)</f>
        <v>#N/A</v>
      </c>
      <c r="EU110" s="86" t="b">
        <f t="shared" si="161"/>
        <v>0</v>
      </c>
      <c r="EV110" s="86">
        <f t="shared" si="162"/>
        <v>0.61</v>
      </c>
      <c r="EW110" s="86">
        <f t="shared" si="163"/>
        <v>0.61</v>
      </c>
      <c r="EX110" s="30" t="e">
        <f t="shared" ca="1" si="196"/>
        <v>#DIV/0!</v>
      </c>
      <c r="EY110" s="85" t="e">
        <f ca="1">IF(EE110&lt;=Hypothèses!$V$7,Hypothèses!$W$7,IF(EE110&lt;=Hypothèses!$V$8,Hypothèses!$W$8,IF(EE110&lt;=Hypothèses!$V$9,Hypothèses!$W$9,IF(EE110&lt;=Hypothèses!$V$10,Hypothèses!$W$10,IF(EE110&lt;=Hypothèses!$V$11,Hypothèses!$W$11,IF(EE110&lt;=Hypothèses!$V$12,Hypothèses!$W$12,IF(EE110&lt;=Hypothèses!$V$13,Hypothèses!$W$13,IF(EE110&lt;=Hypothèses!$V$14,Hypothèses!$W$14,IF(EE110&lt;=Hypothèses!$V$15,Hypothèses!$W$15,IF(EE110&lt;=Hypothèses!$V$16,Hypothèses!$W$16,IF(EE110&lt;=Hypothèses!$V$17,Hypothèses!$W$17,IF(EE110&lt;=Hypothèses!$V$18,Hypothèses!$W$18,""))))))))))))</f>
        <v>#DIV/0!</v>
      </c>
      <c r="EZ110" s="87" t="e">
        <f t="shared" ca="1" si="223"/>
        <v>#DIV/0!</v>
      </c>
      <c r="FA110" s="88" t="e">
        <f ca="1">IF(EE110&lt;=Hypothèses!$V$7,Hypothèses!$X$7,IF(EE110&lt;=Hypothèses!$V$8,Hypothèses!$X$8,IF(EE110&lt;=Hypothèses!$V$9,Hypothèses!$X$9,IF(EE110&lt;=Hypothèses!$V$10,Hypothèses!$X$10,IF(EE110&lt;=Hypothèses!$V$11,Hypothèses!$X$11,IF(EE110&lt;=Hypothèses!$V$12,Hypothèses!$X$12,IF(EE110&lt;=Hypothèses!$V$13,Hypothèses!$X$13,IF(EE110&lt;=Hypothèses!$V$14,Hypothèses!$X$14,IF(EE110&lt;=Hypothèses!$V$15,Hypothèses!$X$15,IF(EE110&lt;=Hypothèses!$V$16,Hypothèses!$X$16,IF(EE110&lt;=Hypothèses!$U$17,Hypothèses!$W$17,IF(EE110&lt;=Hypothèses!$U$18,Hypothèses!$W$18,""))))))))))))</f>
        <v>#DIV/0!</v>
      </c>
      <c r="FB110" s="95" t="e">
        <f t="shared" ca="1" si="197"/>
        <v>#DIV/0!</v>
      </c>
      <c r="FC110" s="101">
        <f t="shared" si="230"/>
        <v>0</v>
      </c>
      <c r="FD110" s="91">
        <f t="shared" si="164"/>
        <v>0</v>
      </c>
      <c r="FE110" s="30" t="e">
        <f t="shared" si="214"/>
        <v>#N/A</v>
      </c>
      <c r="FF110" s="30" t="e">
        <f t="shared" si="215"/>
        <v>#N/A</v>
      </c>
      <c r="FG110" s="31" t="e">
        <f>IF(OR(Hypothèses!$B$4=17,Hypothèses!$B$4=18,Hypothèses!$B$4=19,Hypothèses!$B$4=20),
IF($D110="Pressio.",
IF(OR($E110=3,$E110=1,$E110=4),FF110,FE110),
IF($D110="Pénétro.",
IF(OR($E110=3,$E110=1,$E110=4),FF110,FE110))),IF($D110="Pressio.",
IF($E110=3,FF110,FE110),
IF($D110="Pénétro.",
IF($E110=4,FF110,FE110))))</f>
        <v>#N/A</v>
      </c>
      <c r="FH110" s="31">
        <v>0</v>
      </c>
      <c r="FI110" s="102" t="e">
        <f>IF(NDC!$H$10="Oui",(VLOOKUP($B$3,'Coeff EC7'!$T$39:$X$59,2,0)*FG110+VLOOKUP($B$3,'Coeff EC7'!$T$65:$X$85,2,0)*Model0.1T!FH110)/1.5,PI()*FE$12*$Q110*($B110-$B109)*0.15/10+FI109)</f>
        <v>#N/A</v>
      </c>
      <c r="FJ110" s="102" t="e">
        <f>(VLOOKUP($B$3,'Coeff EC7'!$T$39:$X$59,3,0)*FG110+VLOOKUP($B$3,'Coeff EC7'!$T$65:$X$85,3,0)*Model0.1T!FH110)/1.1</f>
        <v>#N/A</v>
      </c>
      <c r="FK110" s="102" t="e">
        <f t="shared" si="198"/>
        <v>#N/A</v>
      </c>
      <c r="FL110" s="102" t="e">
        <f t="shared" si="199"/>
        <v>#N/A</v>
      </c>
      <c r="FM110" s="414" t="e">
        <f>IF(AND(FI110&gt;NDC!$C$63,FJ110&gt;NDC!$C$65,FK110&gt;NDC!$D$73,FL110&gt;NDC!$D$74,$B110&gt;NDC!$H$22-0.1+MIN(3*FM$12,1.5)),0,1)</f>
        <v>#N/A</v>
      </c>
    </row>
    <row r="111" spans="1:169">
      <c r="A111" s="96">
        <f t="shared" si="165"/>
        <v>90.200000000000557</v>
      </c>
      <c r="B111" s="97">
        <v>9.8000000000000007</v>
      </c>
      <c r="C111" s="81">
        <f>IF(B111&lt;=Hypothèses!$C$7,Hypothèses!$A$7,IF(B111&lt;=Hypothèses!$C$8,Hypothèses!$A$8,IF(B111&lt;=Hypothèses!$C$9,Hypothèses!$A$9,IF(B111&lt;=Hypothèses!$C$10,Hypothèses!$A$10,IF(B111&lt;=Hypothèses!$C$11,Hypothèses!$A$11,IF(B111&lt;=Hypothèses!$C$12,Hypothèses!$A$12,IF(B111&lt;=Hypothèses!$C$13,Hypothèses!$A$13,IF(B111&lt;=Hypothèses!$C$14,Hypothèses!$A$14,IF(B111&lt;=Hypothèses!$C$15,Hypothèses!$A$15,IF(B111&lt;=Hypothèses!$C$16,Hypothèses!$A$16,IF(B111&lt;=Hypothèses!$C$17,Hypothèses!$A$17,IF(B111&lt;=Hypothèses!$C$18,Hypothèses!$A$18,C110))))))))))))</f>
        <v>11</v>
      </c>
      <c r="D111" s="82" t="str">
        <f>IF(B111&lt;=Hypothèses!$C$7,Hypothèses!$R$7,IF(B111&lt;=Hypothèses!$C$8,Hypothèses!$R$8,IF(B111&lt;=Hypothèses!$C$9,Hypothèses!$R$9,IF(B111&lt;=Hypothèses!$C$10,Hypothèses!$R$10,IF(B111&lt;=Hypothèses!$C$11,Hypothèses!$R$11,IF(B111&lt;=Hypothèses!$C$12,Hypothèses!$R$12,IF(B111&lt;=Hypothèses!$C$13,Hypothèses!$R$13,IF(B111&lt;=Hypothèses!$C$14,Hypothèses!$R$14,IF(B111&lt;=Hypothèses!$C$15,Hypothèses!$R$15,IF(B111&lt;=Hypothèses!$C$16,Hypothèses!$R$16,IF(B111&lt;=Hypothèses!$C$17,Hypothèses!$R$17,IF(B111&lt;=Hypothèses!$C$18,Hypothèses!$R$18,D110))))))))))))</f>
        <v>Pressio.</v>
      </c>
      <c r="E111" s="82" t="e">
        <f>IF(B111&lt;=Hypothèses!$C$7,Hypothèses!$G$7,IF(B111&lt;=Hypothèses!$C$8,Hypothèses!$G$8,IF(B111&lt;=Hypothèses!$C$9,Hypothèses!$G$9,IF(B111&lt;=Hypothèses!$C$10,Hypothèses!$G$10,IF(B111&lt;=Hypothèses!$C$11,Hypothèses!$G$11,IF(B111&lt;=Hypothèses!$C$12,Hypothèses!$G$12,IF(B111&lt;=Hypothèses!$C$13,Hypothèses!$G$13,IF(B111&lt;=Hypothèses!$C$14,Hypothèses!$G$14,IF(B111&lt;=Hypothèses!$C$15,Hypothèses!$G$15,IF(B111&lt;=Hypothèses!$C$16,Hypothèses!$G$16,IF(B111&lt;=Hypothèses!$C$17,Hypothèses!$G$17,IF(B111&lt;=Hypothèses!$C$18,Hypothèses!$G$18,E110))))))))))))</f>
        <v>#N/A</v>
      </c>
      <c r="F111" s="82" t="str">
        <f>IF(B111&lt;=Hypothèses!$C$7,Hypothèses!$F$7,IF(B111&lt;=Hypothèses!$C$8,Hypothèses!$F$8,IF(B111&lt;=Hypothèses!$C$9,Hypothèses!$F$9,IF(B111&lt;=Hypothèses!$C$10,Hypothèses!$F$10,IF(B111&lt;=Hypothèses!$C$11,Hypothèses!$F$11,IF(B111&lt;=Hypothèses!$C$12,Hypothèses!$F$12,IF(B111&lt;=Hypothèses!$C$13,Hypothèses!$F$13,IF(B111&lt;=Hypothèses!$C$14,Hypothèses!$F$14,IF(B111&lt;=Hypothèses!$C$15,Hypothèses!$F$15,IF(B111&lt;=Hypothèses!$C$16,Hypothèses!$F$16,IF(B111&lt;=Hypothèses!$C$17,Hypothèses!$F$17,IF(B111&lt;=Hypothèses!$C$18,Hypothèses!$F$18,F110))))))))))))</f>
        <v/>
      </c>
      <c r="G111" s="91">
        <f t="array" ref="G111">INDEX('Coeff EC7'!$U$7:$X$27,
MATCH(Model0.1T!$B$3,'Coeff EC7'!$T$7:$T$27,0),
MATCH(Model0.1T!$D111&amp;Model0.1T!$B$4,
'Coeff EC7'!$U$6:$X$6&amp;
'Coeff EC7'!$U$5:$X$5,0))</f>
        <v>1.4</v>
      </c>
      <c r="H111" s="91">
        <f t="array" ref="H111">INDEX('Coeff EC7'!$Y$7:$AB$27,
MATCH(Model0.1T!$B$3,'Coeff EC7'!$T$7:$T$27,0),
MATCH(Model0.1T!$D111&amp;Model0.1T!$B$4,
'Coeff EC7'!$Y$6:$AB$6&amp;
'Coeff EC7'!$Y$5:$AB$5,0))</f>
        <v>1.7</v>
      </c>
      <c r="I111" s="83">
        <v>0</v>
      </c>
      <c r="J111" s="91" t="e">
        <f t="array" ref="J111">INDEX('Coeff EC7'!$D$33:$Q$33,1,MATCH(D111&amp;E111,'Coeff EC7'!$D$31:$Q$31&amp;'Coeff EC7'!$D$32:$Q$32,0))</f>
        <v>#N/A</v>
      </c>
      <c r="K111" s="91" t="e">
        <f t="array" ref="K111">INDEX('Coeff EC7'!$D$34:$Q$34,1,MATCH(D111&amp;E111,'Coeff EC7'!$D$31:$Q$31&amp;'Coeff EC7'!$D$32:$Q$32,0))</f>
        <v>#N/A</v>
      </c>
      <c r="L111" s="91" t="e">
        <f t="array" ref="L111">INDEX('Coeff EC7'!$D$35:$Q$35,1,MATCH(D111&amp;E111,'Coeff EC7'!$D$31:$Q$31&amp;'Coeff EC7'!$D$32:$Q$32,0))</f>
        <v>#N/A</v>
      </c>
      <c r="M111" s="98" t="e">
        <f t="shared" si="131"/>
        <v>#N/A</v>
      </c>
      <c r="N111" s="99" t="e">
        <f t="array" ref="N111">INDEX('Coeff EC7'!$D$7:$Q$27,MATCH($B$3,'Coeff EC7'!$C$7:$C$27,0),MATCH(D111&amp;E111,'Coeff EC7'!$D$5:$Q$5&amp;'Coeff EC7'!$D$6:$Q$6,0))</f>
        <v>#N/A</v>
      </c>
      <c r="O111" s="99" t="e">
        <f t="array" ref="O111">INDEX('Coeff EC7'!$D$41:$Q$61,MATCH($B$3,'Coeff EC7'!$C$41:$C$61,0),MATCH(D111&amp;E111,'Coeff EC7'!$D$39:$Q$39&amp;'Coeff EC7'!$D$40:$Q$40,0))</f>
        <v>#N/A</v>
      </c>
      <c r="P111" s="30" t="e">
        <f t="shared" si="166"/>
        <v>#N/A</v>
      </c>
      <c r="Q111" s="100" t="e">
        <f t="shared" si="133"/>
        <v>#N/A</v>
      </c>
      <c r="R111" s="86" t="b">
        <f t="shared" si="134"/>
        <v>0</v>
      </c>
      <c r="S111" s="86">
        <f t="shared" si="132"/>
        <v>0.5</v>
      </c>
      <c r="T111" s="86">
        <f t="shared" si="135"/>
        <v>0.5</v>
      </c>
      <c r="U111" s="30" t="e">
        <f t="shared" ca="1" si="167"/>
        <v>#DIV/0!</v>
      </c>
      <c r="V111" s="85" t="str">
        <f>IF(B111&lt;=Hypothèses!$V$7,Hypothèses!$W$7,IF(B111&lt;=Hypothèses!$V$8,Hypothèses!$W$8,IF(B111&lt;=Hypothèses!$V$9,Hypothèses!$W$9,IF(B111&lt;=Hypothèses!$V$10,Hypothèses!$W$10,IF(B111&lt;=Hypothèses!$V$11,Hypothèses!$W$11,IF(B111&lt;=Hypothèses!$V$12,Hypothèses!$W$12,IF(B111&lt;=Hypothèses!$V$13,Hypothèses!$W$13,IF(B111&lt;=Hypothèses!$V$14,Hypothèses!$W$14,IF(B111&lt;=Hypothèses!$V$15,Hypothèses!$W$15,IF(B111&lt;=Hypothèses!$V$16,Hypothèses!$W$16,IF(B111&lt;=Hypothèses!$V$17,Hypothèses!$W$17,IF(B111&lt;=Hypothèses!$V$18,Hypothèses!$W$18,""))))))))))))</f>
        <v/>
      </c>
      <c r="W111" s="87" t="e">
        <f t="shared" ca="1" si="216"/>
        <v>#DIV/0!</v>
      </c>
      <c r="X111" s="88" t="str">
        <f>IF(B111&lt;=Hypothèses!$V$7,Hypothèses!$X$7,IF(B111&lt;=Hypothèses!$V$8,Hypothèses!$X$8,IF(B111&lt;=Hypothèses!$V$9,Hypothèses!$X$9,IF(B111&lt;=Hypothèses!$V$10,Hypothèses!$X$10,IF(B111&lt;=Hypothèses!$V$11,Hypothèses!$X$11,IF(B111&lt;=Hypothèses!$V$12,Hypothèses!$X$12,IF(B111&lt;=Hypothèses!$V$13,Hypothèses!$X$13,IF(B111&lt;=Hypothèses!$V$14,Hypothèses!$X$14,IF(B111&lt;=Hypothèses!$V$15,Hypothèses!$X$15,IF(B111&lt;=Hypothèses!$V$16,Hypothèses!$X$16,IF(B111&lt;=Hypothèses!$U$17,Hypothèses!$W$17,IF(B111&lt;=Hypothèses!$U$18,Hypothèses!$W$18,""))))))))))))</f>
        <v/>
      </c>
      <c r="Y111" s="95" t="e">
        <f t="shared" ca="1" si="136"/>
        <v>#DIV/0!</v>
      </c>
      <c r="Z111" s="101">
        <f t="shared" si="137"/>
        <v>0</v>
      </c>
      <c r="AA111" s="91">
        <f t="shared" si="138"/>
        <v>0</v>
      </c>
      <c r="AB111" s="30" t="e">
        <f t="shared" si="200"/>
        <v>#N/A</v>
      </c>
      <c r="AC111" s="30" t="e">
        <f t="shared" si="201"/>
        <v>#N/A</v>
      </c>
      <c r="AD111" s="31" t="e">
        <f>IF(OR(Hypothèses!$B$4=17,Hypothèses!$B$4=18,Hypothèses!$B$4=19,Hypothèses!$B$4=20),
IF($D111="Pressio.",
IF(OR($E111=3,$E111=1,$E111=4),AC111,AB111),
IF($D111="Pénétro.",
IF(OR($E111=3,$E111=1,$E111=4),AC111,AB111))),IF($D111="Pressio.",
IF($E111=3,AC111,AB111),
IF($D111="Pénétro.",
IF($E111=4,AC111,AB111))))</f>
        <v>#N/A</v>
      </c>
      <c r="AE111" s="31">
        <v>0</v>
      </c>
      <c r="AF111" s="102" t="e">
        <f>IF(NDC!$H$10="Oui",(VLOOKUP($B$3,'Coeff EC7'!$T$39:$X$59,2,0)*AD111+VLOOKUP($B$3,'Coeff EC7'!$T$65:$X$85,2,0)*Model0.1T!AE111)/1.5,PI()*AB$12*$Q111*($B111-$B110)*0.15/10+AF110)</f>
        <v>#N/A</v>
      </c>
      <c r="AG111" s="102" t="e">
        <f>(VLOOKUP($B$3,'Coeff EC7'!$T$39:$X$59,3,0)*AD111+VLOOKUP($B$3,'Coeff EC7'!$T$65:$X$85,3,0)*Model0.1T!AE111)/1.1</f>
        <v>#N/A</v>
      </c>
      <c r="AH111" s="102" t="e">
        <f t="shared" si="168"/>
        <v>#N/A</v>
      </c>
      <c r="AI111" s="102" t="e">
        <f t="shared" si="169"/>
        <v>#N/A</v>
      </c>
      <c r="AJ111" s="414" t="e">
        <f>IF(AND(AF111&gt;NDC!$C$63,AG111&gt;NDC!$C$65,AH111&gt;NDC!$D$73,AI111&gt;NDC!$D$74,$B111&gt;NDC!$H$22-0.1+MIN(3*$AJ$12,1.5)),0,1)</f>
        <v>#N/A</v>
      </c>
      <c r="AK111" s="86" t="b">
        <f t="shared" si="139"/>
        <v>0</v>
      </c>
      <c r="AL111" s="86">
        <f t="shared" si="170"/>
        <v>0.5</v>
      </c>
      <c r="AM111" s="86">
        <f t="shared" si="140"/>
        <v>0.5</v>
      </c>
      <c r="AN111" s="30" t="e">
        <f t="shared" ca="1" si="171"/>
        <v>#DIV/0!</v>
      </c>
      <c r="AO111" s="85" t="e">
        <f ca="1">IF(U111&lt;=Hypothèses!$V$7,Hypothèses!$W$7,IF(U111&lt;=Hypothèses!$V$8,Hypothèses!$W$8,IF(U111&lt;=Hypothèses!$V$9,Hypothèses!$W$9,IF(U111&lt;=Hypothèses!$V$10,Hypothèses!$W$10,IF(U111&lt;=Hypothèses!$V$11,Hypothèses!$W$11,IF(U111&lt;=Hypothèses!$V$12,Hypothèses!$W$12,IF(U111&lt;=Hypothèses!$V$13,Hypothèses!$W$13,IF(U111&lt;=Hypothèses!$V$14,Hypothèses!$W$14,IF(U111&lt;=Hypothèses!$V$15,Hypothèses!$W$15,IF(U111&lt;=Hypothèses!$V$16,Hypothèses!$W$16,IF(U111&lt;=Hypothèses!$V$17,Hypothèses!$W$17,IF(U111&lt;=Hypothèses!$V$18,Hypothèses!$W$18,""))))))))))))</f>
        <v>#DIV/0!</v>
      </c>
      <c r="AP111" s="87" t="e">
        <f t="shared" ca="1" si="217"/>
        <v>#DIV/0!</v>
      </c>
      <c r="AQ111" s="88" t="e">
        <f ca="1">IF(U111&lt;=Hypothèses!$V$7,Hypothèses!$X$7,IF(U111&lt;=Hypothèses!$V$8,Hypothèses!$X$8,IF(U111&lt;=Hypothèses!$V$9,Hypothèses!$X$9,IF(U111&lt;=Hypothèses!$V$10,Hypothèses!$X$10,IF(U111&lt;=Hypothèses!$V$11,Hypothèses!$X$11,IF(U111&lt;=Hypothèses!$V$12,Hypothèses!$X$12,IF(U111&lt;=Hypothèses!$V$13,Hypothèses!$X$13,IF(U111&lt;=Hypothèses!$V$14,Hypothèses!$X$14,IF(U111&lt;=Hypothèses!$V$15,Hypothèses!$X$15,IF(U111&lt;=Hypothèses!$V$16,Hypothèses!$X$16,IF(U111&lt;=Hypothèses!$U$17,Hypothèses!$W$17,IF(U111&lt;=Hypothèses!$U$18,Hypothèses!$W$18,""))))))))))))</f>
        <v>#DIV/0!</v>
      </c>
      <c r="AR111" s="95" t="e">
        <f t="shared" ca="1" si="172"/>
        <v>#DIV/0!</v>
      </c>
      <c r="AS111" s="101">
        <f t="shared" si="224"/>
        <v>0</v>
      </c>
      <c r="AT111" s="91">
        <f t="shared" si="141"/>
        <v>0</v>
      </c>
      <c r="AU111" s="30" t="e">
        <f t="shared" si="202"/>
        <v>#N/A</v>
      </c>
      <c r="AV111" s="30" t="e">
        <f t="shared" si="203"/>
        <v>#N/A</v>
      </c>
      <c r="AW111" s="31" t="e">
        <f>IF(OR(Hypothèses!$B$4=17,Hypothèses!$B$4=18,Hypothèses!$B$4=19,Hypothèses!$B$4=20),
IF($D111="Pressio.",
IF(OR($E111=3,$E111=1,$E111=4),AV111,AU111),
IF($D111="Pénétro.",
IF(OR($E111=3,$E111=1,$E111=4),AV111,AU111))),IF($D111="Pressio.",
IF($E111=3,AV111,AU111),
IF($D111="Pénétro.",
IF($E111=4,AV111,AU111))))</f>
        <v>#N/A</v>
      </c>
      <c r="AX111" s="31">
        <v>0</v>
      </c>
      <c r="AY111" s="102" t="e">
        <f>IF(NDC!$H$10="Oui",(VLOOKUP($B$3,'Coeff EC7'!$T$39:$X$59,2,0)*AW111+VLOOKUP($B$3,'Coeff EC7'!$T$65:$X$85,2,0)*Model0.1T!AX111)/1.5,PI()*AU$12*$Q111*($B111-$B110)*0.15/10+AY110)</f>
        <v>#N/A</v>
      </c>
      <c r="AZ111" s="102" t="e">
        <f>(VLOOKUP($B$3,'Coeff EC7'!$T$39:$X$59,3,0)*AW111+VLOOKUP($B$3,'Coeff EC7'!$T$65:$X$85,3,0)*Model0.1T!AX111)/1.1</f>
        <v>#N/A</v>
      </c>
      <c r="BA111" s="102" t="e">
        <f t="shared" si="173"/>
        <v>#N/A</v>
      </c>
      <c r="BB111" s="102" t="e">
        <f t="shared" si="174"/>
        <v>#N/A</v>
      </c>
      <c r="BC111" s="414" t="e">
        <f>IF(AND(AY111&gt;NDC!$C$63,AZ111&gt;NDC!$C$65,BA111&gt;NDC!$D$73,BB111&gt;NDC!$D$74,$B111&gt;NDC!$H$22-0.1+MIN(3*BC$12,1.5)),0,1)</f>
        <v>#N/A</v>
      </c>
      <c r="BD111" s="86" t="b">
        <f t="shared" si="142"/>
        <v>0</v>
      </c>
      <c r="BE111" s="86">
        <f t="shared" si="175"/>
        <v>0.5</v>
      </c>
      <c r="BF111" s="86">
        <f t="shared" si="143"/>
        <v>0.5</v>
      </c>
      <c r="BG111" s="30" t="e">
        <f t="shared" ca="1" si="176"/>
        <v>#DIV/0!</v>
      </c>
      <c r="BH111" s="85" t="e">
        <f ca="1">IF(AN111&lt;=Hypothèses!$V$7,Hypothèses!$W$7,IF(AN111&lt;=Hypothèses!$V$8,Hypothèses!$W$8,IF(AN111&lt;=Hypothèses!$V$9,Hypothèses!$W$9,IF(AN111&lt;=Hypothèses!$V$10,Hypothèses!$W$10,IF(AN111&lt;=Hypothèses!$V$11,Hypothèses!$W$11,IF(AN111&lt;=Hypothèses!$V$12,Hypothèses!$W$12,IF(AN111&lt;=Hypothèses!$V$13,Hypothèses!$W$13,IF(AN111&lt;=Hypothèses!$V$14,Hypothèses!$W$14,IF(AN111&lt;=Hypothèses!$V$15,Hypothèses!$W$15,IF(AN111&lt;=Hypothèses!$V$16,Hypothèses!$W$16,IF(AN111&lt;=Hypothèses!$V$17,Hypothèses!$W$17,IF(AN111&lt;=Hypothèses!$V$18,Hypothèses!$W$18,""))))))))))))</f>
        <v>#DIV/0!</v>
      </c>
      <c r="BI111" s="87" t="e">
        <f t="shared" ca="1" si="218"/>
        <v>#DIV/0!</v>
      </c>
      <c r="BJ111" s="88" t="e">
        <f ca="1">IF(AN111&lt;=Hypothèses!$V$7,Hypothèses!$X$7,IF(AN111&lt;=Hypothèses!$V$8,Hypothèses!$X$8,IF(AN111&lt;=Hypothèses!$V$9,Hypothèses!$X$9,IF(AN111&lt;=Hypothèses!$V$10,Hypothèses!$X$10,IF(AN111&lt;=Hypothèses!$V$11,Hypothèses!$X$11,IF(AN111&lt;=Hypothèses!$V$12,Hypothèses!$X$12,IF(AN111&lt;=Hypothèses!$V$13,Hypothèses!$X$13,IF(AN111&lt;=Hypothèses!$V$14,Hypothèses!$X$14,IF(AN111&lt;=Hypothèses!$V$15,Hypothèses!$X$15,IF(AN111&lt;=Hypothèses!$V$16,Hypothèses!$X$16,IF(AN111&lt;=Hypothèses!$U$17,Hypothèses!$W$17,IF(AN111&lt;=Hypothèses!$U$18,Hypothèses!$W$18,""))))))))))))</f>
        <v>#DIV/0!</v>
      </c>
      <c r="BK111" s="95" t="e">
        <f t="shared" ca="1" si="177"/>
        <v>#DIV/0!</v>
      </c>
      <c r="BL111" s="101">
        <f t="shared" si="225"/>
        <v>0</v>
      </c>
      <c r="BM111" s="91">
        <f t="shared" si="144"/>
        <v>0</v>
      </c>
      <c r="BN111" s="30" t="e">
        <f t="shared" si="204"/>
        <v>#N/A</v>
      </c>
      <c r="BO111" s="30" t="e">
        <f t="shared" si="205"/>
        <v>#N/A</v>
      </c>
      <c r="BP111" s="31" t="e">
        <f>IF(OR(Hypothèses!$B$4=17,Hypothèses!$B$4=18,Hypothèses!$B$4=19,Hypothèses!$B$4=20),
IF($D111="Pressio.",
IF(OR($E111=3,$E111=1,$E111=4),BO111,BN111),
IF($D111="Pénétro.",
IF(OR($E111=3,$E111=1,$E111=4),BO111,BN111))),IF($D111="Pressio.",
IF($E111=3,BO111,BN111),
IF($D111="Pénétro.",
IF($E111=4,BO111,BN111))))</f>
        <v>#N/A</v>
      </c>
      <c r="BQ111" s="31">
        <v>0</v>
      </c>
      <c r="BR111" s="102" t="e">
        <f>IF(NDC!$H$10="Oui",(VLOOKUP($B$3,'Coeff EC7'!$T$39:$X$59,2,0)*BP111+VLOOKUP($B$3,'Coeff EC7'!$T$65:$X$85,2,0)*Model0.1T!BQ111)/1.5,PI()*BN$12*$Q111*($B111-$B110)*0.15/10+BR110)</f>
        <v>#N/A</v>
      </c>
      <c r="BS111" s="102" t="e">
        <f>(VLOOKUP($B$3,'Coeff EC7'!$T$39:$X$59,3,0)*BP111+VLOOKUP($B$3,'Coeff EC7'!$T$65:$X$85,3,0)*Model0.1T!BQ111)/1.1</f>
        <v>#N/A</v>
      </c>
      <c r="BT111" s="102" t="e">
        <f t="shared" si="178"/>
        <v>#N/A</v>
      </c>
      <c r="BU111" s="102" t="e">
        <f t="shared" si="179"/>
        <v>#N/A</v>
      </c>
      <c r="BV111" s="414" t="e">
        <f>IF(AND(BR111&gt;NDC!$C$63,BS111&gt;NDC!$C$65,BT111&gt;NDC!$D$73,BU111&gt;NDC!$D$74,$B111&gt;NDC!$H$22-0.1+MIN(3*BV$12,1.5)),0,1)</f>
        <v>#N/A</v>
      </c>
      <c r="BW111" s="86" t="b">
        <f t="shared" si="145"/>
        <v>0</v>
      </c>
      <c r="BX111" s="86">
        <f t="shared" si="146"/>
        <v>0.5</v>
      </c>
      <c r="BY111" s="86">
        <f t="shared" si="147"/>
        <v>0.5</v>
      </c>
      <c r="BZ111" s="30" t="e">
        <f t="shared" ca="1" si="180"/>
        <v>#DIV/0!</v>
      </c>
      <c r="CA111" s="85" t="e">
        <f ca="1">IF(BG111&lt;=Hypothèses!$V$7,Hypothèses!$W$7,IF(BG111&lt;=Hypothèses!$V$8,Hypothèses!$W$8,IF(BG111&lt;=Hypothèses!$V$9,Hypothèses!$W$9,IF(BG111&lt;=Hypothèses!$V$10,Hypothèses!$W$10,IF(BG111&lt;=Hypothèses!$V$11,Hypothèses!$W$11,IF(BG111&lt;=Hypothèses!$V$12,Hypothèses!$W$12,IF(BG111&lt;=Hypothèses!$V$13,Hypothèses!$W$13,IF(BG111&lt;=Hypothèses!$V$14,Hypothèses!$W$14,IF(BG111&lt;=Hypothèses!$V$15,Hypothèses!$W$15,IF(BG111&lt;=Hypothèses!$V$16,Hypothèses!$W$16,IF(BG111&lt;=Hypothèses!$V$17,Hypothèses!$W$17,IF(BG111&lt;=Hypothèses!$V$18,Hypothèses!$W$18,""))))))))))))</f>
        <v>#DIV/0!</v>
      </c>
      <c r="CB111" s="87" t="e">
        <f t="shared" ca="1" si="219"/>
        <v>#DIV/0!</v>
      </c>
      <c r="CC111" s="88" t="e">
        <f ca="1">IF(BG111&lt;=Hypothèses!$V$7,Hypothèses!$X$7,IF(BG111&lt;=Hypothèses!$V$8,Hypothèses!$X$8,IF(BG111&lt;=Hypothèses!$V$9,Hypothèses!$X$9,IF(BG111&lt;=Hypothèses!$V$10,Hypothèses!$X$10,IF(BG111&lt;=Hypothèses!$V$11,Hypothèses!$X$11,IF(BG111&lt;=Hypothèses!$V$12,Hypothèses!$X$12,IF(BG111&lt;=Hypothèses!$V$13,Hypothèses!$X$13,IF(BG111&lt;=Hypothèses!$V$14,Hypothèses!$X$14,IF(BG111&lt;=Hypothèses!$V$15,Hypothèses!$X$15,IF(BG111&lt;=Hypothèses!$V$16,Hypothèses!$X$16,IF(BG111&lt;=Hypothèses!$U$17,Hypothèses!$W$17,IF(BG111&lt;=Hypothèses!$U$18,Hypothèses!$W$18,""))))))))))))</f>
        <v>#DIV/0!</v>
      </c>
      <c r="CD111" s="95" t="e">
        <f t="shared" ca="1" si="181"/>
        <v>#DIV/0!</v>
      </c>
      <c r="CE111" s="101">
        <f t="shared" si="226"/>
        <v>0</v>
      </c>
      <c r="CF111" s="91">
        <f t="shared" si="148"/>
        <v>0</v>
      </c>
      <c r="CG111" s="30" t="e">
        <f t="shared" si="206"/>
        <v>#N/A</v>
      </c>
      <c r="CH111" s="30" t="e">
        <f t="shared" si="207"/>
        <v>#N/A</v>
      </c>
      <c r="CI111" s="31" t="e">
        <f>IF(OR(Hypothèses!$B$4=17,Hypothèses!$B$4=18,Hypothèses!$B$4=19,Hypothèses!$B$4=20),
IF($D111="Pressio.",
IF(OR($E111=3,$E111=1,$E111=4),CH111,CG111),
IF($D111="Pénétro.",
IF(OR($E111=3,$E111=1,$E111=4),CH111,CG111))),IF($D111="Pressio.",
IF($E111=3,CH111,CG111),
IF($D111="Pénétro.",
IF($E111=4,CH111,CG111))))</f>
        <v>#N/A</v>
      </c>
      <c r="CJ111" s="31">
        <v>0</v>
      </c>
      <c r="CK111" s="102" t="e">
        <f>IF(NDC!$H$10="Oui",(VLOOKUP($B$3,'Coeff EC7'!$T$39:$X$59,2,0)*CI111+VLOOKUP($B$3,'Coeff EC7'!$T$65:$X$85,2,0)*Model0.1T!CJ111)/1.5,PI()*CG$12*$Q111*($B111-$B110)*0.15/10+CK110)</f>
        <v>#N/A</v>
      </c>
      <c r="CL111" s="102" t="e">
        <f>(VLOOKUP($B$3,'Coeff EC7'!$T$39:$X$59,3,0)*CI111+VLOOKUP($B$3,'Coeff EC7'!$T$65:$X$85,3,0)*Model0.1T!CJ111)/1.1</f>
        <v>#N/A</v>
      </c>
      <c r="CM111" s="102" t="e">
        <f t="shared" si="182"/>
        <v>#N/A</v>
      </c>
      <c r="CN111" s="102" t="e">
        <f t="shared" si="183"/>
        <v>#N/A</v>
      </c>
      <c r="CO111" s="414" t="e">
        <f>IF(AND(CK111&gt;NDC!$C$63,CL111&gt;NDC!$C$65,CM111&gt;NDC!$D$73,CN111&gt;NDC!$D$74,$B111&gt;NDC!$H$22-0.1+MIN(3*CO$12,1.5)),0,1)</f>
        <v>#N/A</v>
      </c>
      <c r="CP111" s="86" t="b">
        <f t="shared" si="149"/>
        <v>0</v>
      </c>
      <c r="CQ111" s="86">
        <f t="shared" si="150"/>
        <v>0.5</v>
      </c>
      <c r="CR111" s="86">
        <f t="shared" si="151"/>
        <v>0.5</v>
      </c>
      <c r="CS111" s="30" t="e">
        <f t="shared" ca="1" si="184"/>
        <v>#DIV/0!</v>
      </c>
      <c r="CT111" s="85" t="e">
        <f ca="1">IF(BZ111&lt;=Hypothèses!$V$7,Hypothèses!$W$7,IF(BZ111&lt;=Hypothèses!$V$8,Hypothèses!$W$8,IF(BZ111&lt;=Hypothèses!$V$9,Hypothèses!$W$9,IF(BZ111&lt;=Hypothèses!$V$10,Hypothèses!$W$10,IF(BZ111&lt;=Hypothèses!$V$11,Hypothèses!$W$11,IF(BZ111&lt;=Hypothèses!$V$12,Hypothèses!$W$12,IF(BZ111&lt;=Hypothèses!$V$13,Hypothèses!$W$13,IF(BZ111&lt;=Hypothèses!$V$14,Hypothèses!$W$14,IF(BZ111&lt;=Hypothèses!$V$15,Hypothèses!$W$15,IF(BZ111&lt;=Hypothèses!$V$16,Hypothèses!$W$16,IF(BZ111&lt;=Hypothèses!$V$17,Hypothèses!$W$17,IF(BZ111&lt;=Hypothèses!$V$18,Hypothèses!$W$18,""))))))))))))</f>
        <v>#DIV/0!</v>
      </c>
      <c r="CU111" s="87" t="e">
        <f t="shared" ca="1" si="220"/>
        <v>#DIV/0!</v>
      </c>
      <c r="CV111" s="88" t="e">
        <f ca="1">IF(BZ111&lt;=Hypothèses!$V$7,Hypothèses!$X$7,IF(BZ111&lt;=Hypothèses!$V$8,Hypothèses!$X$8,IF(BZ111&lt;=Hypothèses!$V$9,Hypothèses!$X$9,IF(BZ111&lt;=Hypothèses!$V$10,Hypothèses!$X$10,IF(BZ111&lt;=Hypothèses!$V$11,Hypothèses!$X$11,IF(BZ111&lt;=Hypothèses!$V$12,Hypothèses!$X$12,IF(BZ111&lt;=Hypothèses!$V$13,Hypothèses!$X$13,IF(BZ111&lt;=Hypothèses!$V$14,Hypothèses!$X$14,IF(BZ111&lt;=Hypothèses!$V$15,Hypothèses!$X$15,IF(BZ111&lt;=Hypothèses!$V$16,Hypothèses!$X$16,IF(BZ111&lt;=Hypothèses!$U$17,Hypothèses!$W$17,IF(BZ111&lt;=Hypothèses!$U$18,Hypothèses!$W$18,""))))))))))))</f>
        <v>#DIV/0!</v>
      </c>
      <c r="CW111" s="95" t="e">
        <f t="shared" ca="1" si="185"/>
        <v>#DIV/0!</v>
      </c>
      <c r="CX111" s="101">
        <f t="shared" si="227"/>
        <v>0</v>
      </c>
      <c r="CY111" s="91">
        <f t="shared" si="152"/>
        <v>0</v>
      </c>
      <c r="CZ111" s="30" t="e">
        <f t="shared" si="208"/>
        <v>#N/A</v>
      </c>
      <c r="DA111" s="30" t="e">
        <f t="shared" si="209"/>
        <v>#N/A</v>
      </c>
      <c r="DB111" s="31" t="e">
        <f>IF(OR(Hypothèses!$B$4=17,Hypothèses!$B$4=18,Hypothèses!$B$4=19,Hypothèses!$B$4=20),
IF($D111="Pressio.",
IF(OR($E111=3,$E111=1,$E111=4),DA111,CZ111),
IF($D111="Pénétro.",
IF(OR($E111=3,$E111=1,$E111=4),DA111,CZ111))),IF($D111="Pressio.",
IF($E111=3,DA111,CZ111),
IF($D111="Pénétro.",
IF($E111=4,DA111,CZ111))))</f>
        <v>#N/A</v>
      </c>
      <c r="DC111" s="31">
        <v>0</v>
      </c>
      <c r="DD111" s="102" t="e">
        <f>IF(NDC!$H$10="Oui",(VLOOKUP($B$3,'Coeff EC7'!$T$39:$X$59,2,0)*DB111+VLOOKUP($B$3,'Coeff EC7'!$T$65:$X$85,2,0)*Model0.1T!DC111)/1.5,PI()*CZ$12*$Q111*($B111-$B110)*0.15/10+DD110)</f>
        <v>#N/A</v>
      </c>
      <c r="DE111" s="102" t="e">
        <f>(VLOOKUP($B$3,'Coeff EC7'!$T$39:$X$59,3,0)*DB111+VLOOKUP($B$3,'Coeff EC7'!$T$65:$X$85,3,0)*Model0.1T!DC111)/1.1</f>
        <v>#N/A</v>
      </c>
      <c r="DF111" s="102" t="e">
        <f t="shared" si="186"/>
        <v>#N/A</v>
      </c>
      <c r="DG111" s="102" t="e">
        <f t="shared" si="187"/>
        <v>#N/A</v>
      </c>
      <c r="DH111" s="414" t="e">
        <f>IF(AND(DD111&gt;NDC!$C$63,DE111&gt;NDC!$C$65,DF111&gt;NDC!$D$73,DG111&gt;NDC!$D$74,$B111&gt;NDC!$H$22-0.1+MIN(3*DH$12,1.5)),0,1)</f>
        <v>#N/A</v>
      </c>
      <c r="DI111" s="86" t="b">
        <f t="shared" si="153"/>
        <v>0</v>
      </c>
      <c r="DJ111" s="86">
        <f t="shared" si="154"/>
        <v>0.5</v>
      </c>
      <c r="DK111" s="86">
        <f t="shared" si="155"/>
        <v>0.5</v>
      </c>
      <c r="DL111" s="30" t="e">
        <f t="shared" ca="1" si="188"/>
        <v>#DIV/0!</v>
      </c>
      <c r="DM111" s="85" t="e">
        <f ca="1">IF(CS111&lt;=Hypothèses!$V$7,Hypothèses!$W$7,IF(CS111&lt;=Hypothèses!$V$8,Hypothèses!$W$8,IF(CS111&lt;=Hypothèses!$V$9,Hypothèses!$W$9,IF(CS111&lt;=Hypothèses!$V$10,Hypothèses!$W$10,IF(CS111&lt;=Hypothèses!$V$11,Hypothèses!$W$11,IF(CS111&lt;=Hypothèses!$V$12,Hypothèses!$W$12,IF(CS111&lt;=Hypothèses!$V$13,Hypothèses!$W$13,IF(CS111&lt;=Hypothèses!$V$14,Hypothèses!$W$14,IF(CS111&lt;=Hypothèses!$V$15,Hypothèses!$W$15,IF(CS111&lt;=Hypothèses!$V$16,Hypothèses!$W$16,IF(CS111&lt;=Hypothèses!$V$17,Hypothèses!$W$17,IF(CS111&lt;=Hypothèses!$V$18,Hypothèses!$W$18,""))))))))))))</f>
        <v>#DIV/0!</v>
      </c>
      <c r="DN111" s="87" t="e">
        <f t="shared" ca="1" si="221"/>
        <v>#DIV/0!</v>
      </c>
      <c r="DO111" s="88" t="e">
        <f ca="1">IF(CS111&lt;=Hypothèses!$V$7,Hypothèses!$X$7,IF(CS111&lt;=Hypothèses!$V$8,Hypothèses!$X$8,IF(CS111&lt;=Hypothèses!$V$9,Hypothèses!$X$9,IF(CS111&lt;=Hypothèses!$V$10,Hypothèses!$X$10,IF(CS111&lt;=Hypothèses!$V$11,Hypothèses!$X$11,IF(CS111&lt;=Hypothèses!$V$12,Hypothèses!$X$12,IF(CS111&lt;=Hypothèses!$V$13,Hypothèses!$X$13,IF(CS111&lt;=Hypothèses!$V$14,Hypothèses!$X$14,IF(CS111&lt;=Hypothèses!$V$15,Hypothèses!$X$15,IF(CS111&lt;=Hypothèses!$V$16,Hypothèses!$X$16,IF(CS111&lt;=Hypothèses!$U$17,Hypothèses!$W$17,IF(CS111&lt;=Hypothèses!$U$18,Hypothèses!$W$18,""))))))))))))</f>
        <v>#DIV/0!</v>
      </c>
      <c r="DP111" s="95" t="e">
        <f t="shared" ca="1" si="189"/>
        <v>#DIV/0!</v>
      </c>
      <c r="DQ111" s="101">
        <f t="shared" si="228"/>
        <v>0</v>
      </c>
      <c r="DR111" s="91">
        <f t="shared" si="156"/>
        <v>0</v>
      </c>
      <c r="DS111" s="30" t="e">
        <f t="shared" si="210"/>
        <v>#N/A</v>
      </c>
      <c r="DT111" s="30" t="e">
        <f t="shared" si="211"/>
        <v>#N/A</v>
      </c>
      <c r="DU111" s="31" t="e">
        <f>IF(OR(Hypothèses!$B$4=17,Hypothèses!$B$4=18,Hypothèses!$B$4=19,Hypothèses!$B$4=20),
IF($D111="Pressio.",
IF(OR($E111=3,$E111=1,$E111=4),DT111,DS111),
IF($D111="Pénétro.",
IF(OR($E111=3,$E111=1,$E111=4),DT111,DS111))),IF($D111="Pressio.",
IF($E111=3,DT111,DS111),
IF($D111="Pénétro.",
IF($E111=4,DT111,DS111))))</f>
        <v>#N/A</v>
      </c>
      <c r="DV111" s="31">
        <v>0</v>
      </c>
      <c r="DW111" s="102" t="e">
        <f>IF(NDC!$H$10="Oui",(VLOOKUP($B$3,'Coeff EC7'!$T$39:$X$59,2,0)*DU111+VLOOKUP($B$3,'Coeff EC7'!$T$65:$X$85,2,0)*Model0.1T!DV111)/1.5,PI()*DS$12*$Q111*($B111-$B110)*0.15/10+DW110)</f>
        <v>#N/A</v>
      </c>
      <c r="DX111" s="102" t="e">
        <f>(VLOOKUP($B$3,'Coeff EC7'!$T$39:$X$59,3,0)*DU111+VLOOKUP($B$3,'Coeff EC7'!$T$65:$X$85,3,0)*Model0.1T!DV111)/1.1</f>
        <v>#N/A</v>
      </c>
      <c r="DY111" s="102" t="e">
        <f t="shared" si="190"/>
        <v>#N/A</v>
      </c>
      <c r="DZ111" s="102" t="e">
        <f t="shared" si="191"/>
        <v>#N/A</v>
      </c>
      <c r="EA111" s="414" t="e">
        <f>IF(AND(DW111&gt;NDC!$C$63,DX111&gt;NDC!$C$65,DY111&gt;NDC!$D$73,DZ111&gt;NDC!$D$74,$B111&gt;NDC!$H$22-0.1+MIN(3*EA$12,1.5)),0,1)</f>
        <v>#N/A</v>
      </c>
      <c r="EB111" s="86" t="b">
        <f t="shared" si="157"/>
        <v>0</v>
      </c>
      <c r="EC111" s="418">
        <f t="shared" si="158"/>
        <v>0.51</v>
      </c>
      <c r="ED111" s="86">
        <f t="shared" si="159"/>
        <v>0.51</v>
      </c>
      <c r="EE111" s="30" t="e">
        <f t="shared" ca="1" si="192"/>
        <v>#DIV/0!</v>
      </c>
      <c r="EF111" s="85" t="e">
        <f ca="1">IF(DL111&lt;=Hypothèses!$V$7,Hypothèses!$W$7,IF(DL111&lt;=Hypothèses!$V$8,Hypothèses!$W$8,IF(DL111&lt;=Hypothèses!$V$9,Hypothèses!$W$9,IF(DL111&lt;=Hypothèses!$V$10,Hypothèses!$W$10,IF(DL111&lt;=Hypothèses!$V$11,Hypothèses!$W$11,IF(DL111&lt;=Hypothèses!$V$12,Hypothèses!$W$12,IF(DL111&lt;=Hypothèses!$V$13,Hypothèses!$W$13,IF(DL111&lt;=Hypothèses!$V$14,Hypothèses!$W$14,IF(DL111&lt;=Hypothèses!$V$15,Hypothèses!$W$15,IF(DL111&lt;=Hypothèses!$V$16,Hypothèses!$W$16,IF(DL111&lt;=Hypothèses!$V$17,Hypothèses!$W$17,IF(DL111&lt;=Hypothèses!$V$18,Hypothèses!$W$18,""))))))))))))</f>
        <v>#DIV/0!</v>
      </c>
      <c r="EG111" s="87" t="e">
        <f t="shared" ca="1" si="222"/>
        <v>#DIV/0!</v>
      </c>
      <c r="EH111" s="88" t="e">
        <f ca="1">IF(DL111&lt;=Hypothèses!$V$7,Hypothèses!$X$7,IF(DL111&lt;=Hypothèses!$V$8,Hypothèses!$X$8,IF(DL111&lt;=Hypothèses!$V$9,Hypothèses!$X$9,IF(DL111&lt;=Hypothèses!$V$10,Hypothèses!$X$10,IF(DL111&lt;=Hypothèses!$V$11,Hypothèses!$X$11,IF(DL111&lt;=Hypothèses!$V$12,Hypothèses!$X$12,IF(DL111&lt;=Hypothèses!$V$13,Hypothèses!$X$13,IF(DL111&lt;=Hypothèses!$V$14,Hypothèses!$X$14,IF(DL111&lt;=Hypothèses!$V$15,Hypothèses!$X$15,IF(DL111&lt;=Hypothèses!$V$16,Hypothèses!$X$16,IF(DL111&lt;=Hypothèses!$U$17,Hypothèses!$W$17,IF(DL111&lt;=Hypothèses!$U$18,Hypothèses!$W$18,""))))))))))))</f>
        <v>#DIV/0!</v>
      </c>
      <c r="EI111" s="95" t="e">
        <f t="shared" ca="1" si="193"/>
        <v>#DIV/0!</v>
      </c>
      <c r="EJ111" s="101">
        <f t="shared" si="229"/>
        <v>0</v>
      </c>
      <c r="EK111" s="91">
        <f t="shared" si="160"/>
        <v>0</v>
      </c>
      <c r="EL111" s="30" t="e">
        <f t="shared" si="212"/>
        <v>#N/A</v>
      </c>
      <c r="EM111" s="30" t="e">
        <f t="shared" si="213"/>
        <v>#N/A</v>
      </c>
      <c r="EN111" s="31" t="e">
        <f>IF(OR(Hypothèses!$B$4=17,Hypothèses!$B$4=18,Hypothèses!$B$4=19,Hypothèses!$B$4=20),
IF($D111="Pressio.",
IF(OR($E111=3,$E111=1,$E111=4),EM111,EL111),
IF($D111="Pénétro.",
IF(OR($E111=3,$E111=1,$E111=4),EM111,EL111))),IF($D111="Pressio.",
IF($E111=3,EM111,EL111),
IF($D111="Pénétro.",
IF($E111=4,EM111,EL111))))</f>
        <v>#N/A</v>
      </c>
      <c r="EO111" s="31">
        <v>0</v>
      </c>
      <c r="EP111" s="102" t="e">
        <f>IF(NDC!$H$10="Oui",(VLOOKUP($B$3,'Coeff EC7'!$T$39:$X$59,2,0)*EN111+VLOOKUP($B$3,'Coeff EC7'!$T$65:$X$85,2,0)*Model0.1T!EO111)/1.5,PI()*EL$12*$Q111*($B111-$B110)*0.15/10+EP110)</f>
        <v>#N/A</v>
      </c>
      <c r="EQ111" s="102" t="e">
        <f>(VLOOKUP($B$3,'Coeff EC7'!$T$39:$X$59,3,0)*EN111+VLOOKUP($B$3,'Coeff EC7'!$T$65:$X$85,3,0)*Model0.1T!EO111)/1.1</f>
        <v>#N/A</v>
      </c>
      <c r="ER111" s="102" t="e">
        <f t="shared" si="194"/>
        <v>#N/A</v>
      </c>
      <c r="ES111" s="102" t="e">
        <f t="shared" si="195"/>
        <v>#N/A</v>
      </c>
      <c r="ET111" s="414" t="e">
        <f>IF(AND(EP111&gt;NDC!$C$63,EQ111&gt;NDC!$C$65,ER111&gt;NDC!$D$73,ES111&gt;NDC!$D$74,$B111&gt;NDC!$H$22-0.1+MIN(3*ET$12,1.5)),0,1)</f>
        <v>#N/A</v>
      </c>
      <c r="EU111" s="86" t="b">
        <f t="shared" si="161"/>
        <v>0</v>
      </c>
      <c r="EV111" s="86">
        <f t="shared" si="162"/>
        <v>0.61</v>
      </c>
      <c r="EW111" s="86">
        <f t="shared" si="163"/>
        <v>0.61</v>
      </c>
      <c r="EX111" s="30" t="e">
        <f t="shared" ca="1" si="196"/>
        <v>#DIV/0!</v>
      </c>
      <c r="EY111" s="85" t="e">
        <f ca="1">IF(EE111&lt;=Hypothèses!$V$7,Hypothèses!$W$7,IF(EE111&lt;=Hypothèses!$V$8,Hypothèses!$W$8,IF(EE111&lt;=Hypothèses!$V$9,Hypothèses!$W$9,IF(EE111&lt;=Hypothèses!$V$10,Hypothèses!$W$10,IF(EE111&lt;=Hypothèses!$V$11,Hypothèses!$W$11,IF(EE111&lt;=Hypothèses!$V$12,Hypothèses!$W$12,IF(EE111&lt;=Hypothèses!$V$13,Hypothèses!$W$13,IF(EE111&lt;=Hypothèses!$V$14,Hypothèses!$W$14,IF(EE111&lt;=Hypothèses!$V$15,Hypothèses!$W$15,IF(EE111&lt;=Hypothèses!$V$16,Hypothèses!$W$16,IF(EE111&lt;=Hypothèses!$V$17,Hypothèses!$W$17,IF(EE111&lt;=Hypothèses!$V$18,Hypothèses!$W$18,""))))))))))))</f>
        <v>#DIV/0!</v>
      </c>
      <c r="EZ111" s="87" t="e">
        <f t="shared" ca="1" si="223"/>
        <v>#DIV/0!</v>
      </c>
      <c r="FA111" s="88" t="e">
        <f ca="1">IF(EE111&lt;=Hypothèses!$V$7,Hypothèses!$X$7,IF(EE111&lt;=Hypothèses!$V$8,Hypothèses!$X$8,IF(EE111&lt;=Hypothèses!$V$9,Hypothèses!$X$9,IF(EE111&lt;=Hypothèses!$V$10,Hypothèses!$X$10,IF(EE111&lt;=Hypothèses!$V$11,Hypothèses!$X$11,IF(EE111&lt;=Hypothèses!$V$12,Hypothèses!$X$12,IF(EE111&lt;=Hypothèses!$V$13,Hypothèses!$X$13,IF(EE111&lt;=Hypothèses!$V$14,Hypothèses!$X$14,IF(EE111&lt;=Hypothèses!$V$15,Hypothèses!$X$15,IF(EE111&lt;=Hypothèses!$V$16,Hypothèses!$X$16,IF(EE111&lt;=Hypothèses!$U$17,Hypothèses!$W$17,IF(EE111&lt;=Hypothèses!$U$18,Hypothèses!$W$18,""))))))))))))</f>
        <v>#DIV/0!</v>
      </c>
      <c r="FB111" s="95" t="e">
        <f t="shared" ca="1" si="197"/>
        <v>#DIV/0!</v>
      </c>
      <c r="FC111" s="101">
        <f t="shared" si="230"/>
        <v>0</v>
      </c>
      <c r="FD111" s="91">
        <f t="shared" si="164"/>
        <v>0</v>
      </c>
      <c r="FE111" s="30" t="e">
        <f t="shared" si="214"/>
        <v>#N/A</v>
      </c>
      <c r="FF111" s="30" t="e">
        <f t="shared" si="215"/>
        <v>#N/A</v>
      </c>
      <c r="FG111" s="31" t="e">
        <f>IF(OR(Hypothèses!$B$4=17,Hypothèses!$B$4=18,Hypothèses!$B$4=19,Hypothèses!$B$4=20),
IF($D111="Pressio.",
IF(OR($E111=3,$E111=1,$E111=4),FF111,FE111),
IF($D111="Pénétro.",
IF(OR($E111=3,$E111=1,$E111=4),FF111,FE111))),IF($D111="Pressio.",
IF($E111=3,FF111,FE111),
IF($D111="Pénétro.",
IF($E111=4,FF111,FE111))))</f>
        <v>#N/A</v>
      </c>
      <c r="FH111" s="31">
        <v>0</v>
      </c>
      <c r="FI111" s="102" t="e">
        <f>IF(NDC!$H$10="Oui",(VLOOKUP($B$3,'Coeff EC7'!$T$39:$X$59,2,0)*FG111+VLOOKUP($B$3,'Coeff EC7'!$T$65:$X$85,2,0)*Model0.1T!FH111)/1.5,PI()*FE$12*$Q111*($B111-$B110)*0.15/10+FI110)</f>
        <v>#N/A</v>
      </c>
      <c r="FJ111" s="102" t="e">
        <f>(VLOOKUP($B$3,'Coeff EC7'!$T$39:$X$59,3,0)*FG111+VLOOKUP($B$3,'Coeff EC7'!$T$65:$X$85,3,0)*Model0.1T!FH111)/1.1</f>
        <v>#N/A</v>
      </c>
      <c r="FK111" s="102" t="e">
        <f t="shared" si="198"/>
        <v>#N/A</v>
      </c>
      <c r="FL111" s="102" t="e">
        <f t="shared" si="199"/>
        <v>#N/A</v>
      </c>
      <c r="FM111" s="414" t="e">
        <f>IF(AND(FI111&gt;NDC!$C$63,FJ111&gt;NDC!$C$65,FK111&gt;NDC!$D$73,FL111&gt;NDC!$D$74,$B111&gt;NDC!$H$22-0.1+MIN(3*FM$12,1.5)),0,1)</f>
        <v>#N/A</v>
      </c>
    </row>
    <row r="112" spans="1:169">
      <c r="A112" s="96">
        <f t="shared" si="165"/>
        <v>90.100000000000563</v>
      </c>
      <c r="B112" s="97">
        <v>9.9</v>
      </c>
      <c r="C112" s="81">
        <f>IF(B112&lt;=Hypothèses!$C$7,Hypothèses!$A$7,IF(B112&lt;=Hypothèses!$C$8,Hypothèses!$A$8,IF(B112&lt;=Hypothèses!$C$9,Hypothèses!$A$9,IF(B112&lt;=Hypothèses!$C$10,Hypothèses!$A$10,IF(B112&lt;=Hypothèses!$C$11,Hypothèses!$A$11,IF(B112&lt;=Hypothèses!$C$12,Hypothèses!$A$12,IF(B112&lt;=Hypothèses!$C$13,Hypothèses!$A$13,IF(B112&lt;=Hypothèses!$C$14,Hypothèses!$A$14,IF(B112&lt;=Hypothèses!$C$15,Hypothèses!$A$15,IF(B112&lt;=Hypothèses!$C$16,Hypothèses!$A$16,IF(B112&lt;=Hypothèses!$C$17,Hypothèses!$A$17,IF(B112&lt;=Hypothèses!$C$18,Hypothèses!$A$18,C111))))))))))))</f>
        <v>11</v>
      </c>
      <c r="D112" s="82" t="str">
        <f>IF(B112&lt;=Hypothèses!$C$7,Hypothèses!$R$7,IF(B112&lt;=Hypothèses!$C$8,Hypothèses!$R$8,IF(B112&lt;=Hypothèses!$C$9,Hypothèses!$R$9,IF(B112&lt;=Hypothèses!$C$10,Hypothèses!$R$10,IF(B112&lt;=Hypothèses!$C$11,Hypothèses!$R$11,IF(B112&lt;=Hypothèses!$C$12,Hypothèses!$R$12,IF(B112&lt;=Hypothèses!$C$13,Hypothèses!$R$13,IF(B112&lt;=Hypothèses!$C$14,Hypothèses!$R$14,IF(B112&lt;=Hypothèses!$C$15,Hypothèses!$R$15,IF(B112&lt;=Hypothèses!$C$16,Hypothèses!$R$16,IF(B112&lt;=Hypothèses!$C$17,Hypothèses!$R$17,IF(B112&lt;=Hypothèses!$C$18,Hypothèses!$R$18,D111))))))))))))</f>
        <v>Pressio.</v>
      </c>
      <c r="E112" s="82" t="e">
        <f>IF(B112&lt;=Hypothèses!$C$7,Hypothèses!$G$7,IF(B112&lt;=Hypothèses!$C$8,Hypothèses!$G$8,IF(B112&lt;=Hypothèses!$C$9,Hypothèses!$G$9,IF(B112&lt;=Hypothèses!$C$10,Hypothèses!$G$10,IF(B112&lt;=Hypothèses!$C$11,Hypothèses!$G$11,IF(B112&lt;=Hypothèses!$C$12,Hypothèses!$G$12,IF(B112&lt;=Hypothèses!$C$13,Hypothèses!$G$13,IF(B112&lt;=Hypothèses!$C$14,Hypothèses!$G$14,IF(B112&lt;=Hypothèses!$C$15,Hypothèses!$G$15,IF(B112&lt;=Hypothèses!$C$16,Hypothèses!$G$16,IF(B112&lt;=Hypothèses!$C$17,Hypothèses!$G$17,IF(B112&lt;=Hypothèses!$C$18,Hypothèses!$G$18,E111))))))))))))</f>
        <v>#N/A</v>
      </c>
      <c r="F112" s="82" t="str">
        <f>IF(B112&lt;=Hypothèses!$C$7,Hypothèses!$F$7,IF(B112&lt;=Hypothèses!$C$8,Hypothèses!$F$8,IF(B112&lt;=Hypothèses!$C$9,Hypothèses!$F$9,IF(B112&lt;=Hypothèses!$C$10,Hypothèses!$F$10,IF(B112&lt;=Hypothèses!$C$11,Hypothèses!$F$11,IF(B112&lt;=Hypothèses!$C$12,Hypothèses!$F$12,IF(B112&lt;=Hypothèses!$C$13,Hypothèses!$F$13,IF(B112&lt;=Hypothèses!$C$14,Hypothèses!$F$14,IF(B112&lt;=Hypothèses!$C$15,Hypothèses!$F$15,IF(B112&lt;=Hypothèses!$C$16,Hypothèses!$F$16,IF(B112&lt;=Hypothèses!$C$17,Hypothèses!$F$17,IF(B112&lt;=Hypothèses!$C$18,Hypothèses!$F$18,F111))))))))))))</f>
        <v/>
      </c>
      <c r="G112" s="91">
        <f t="array" ref="G112">INDEX('Coeff EC7'!$U$7:$X$27,
MATCH(Model0.1T!$B$3,'Coeff EC7'!$T$7:$T$27,0),
MATCH(Model0.1T!$D112&amp;Model0.1T!$B$4,
'Coeff EC7'!$U$6:$X$6&amp;
'Coeff EC7'!$U$5:$X$5,0))</f>
        <v>1.4</v>
      </c>
      <c r="H112" s="91">
        <f t="array" ref="H112">INDEX('Coeff EC7'!$Y$7:$AB$27,
MATCH(Model0.1T!$B$3,'Coeff EC7'!$T$7:$T$27,0),
MATCH(Model0.1T!$D112&amp;Model0.1T!$B$4,
'Coeff EC7'!$Y$6:$AB$6&amp;
'Coeff EC7'!$Y$5:$AB$5,0))</f>
        <v>1.7</v>
      </c>
      <c r="I112" s="83">
        <v>0</v>
      </c>
      <c r="J112" s="91" t="e">
        <f t="array" ref="J112">INDEX('Coeff EC7'!$D$33:$Q$33,1,MATCH(D112&amp;E112,'Coeff EC7'!$D$31:$Q$31&amp;'Coeff EC7'!$D$32:$Q$32,0))</f>
        <v>#N/A</v>
      </c>
      <c r="K112" s="91" t="e">
        <f t="array" ref="K112">INDEX('Coeff EC7'!$D$34:$Q$34,1,MATCH(D112&amp;E112,'Coeff EC7'!$D$31:$Q$31&amp;'Coeff EC7'!$D$32:$Q$32,0))</f>
        <v>#N/A</v>
      </c>
      <c r="L112" s="91" t="e">
        <f t="array" ref="L112">INDEX('Coeff EC7'!$D$35:$Q$35,1,MATCH(D112&amp;E112,'Coeff EC7'!$D$31:$Q$31&amp;'Coeff EC7'!$D$32:$Q$32,0))</f>
        <v>#N/A</v>
      </c>
      <c r="M112" s="98" t="e">
        <f t="shared" si="131"/>
        <v>#N/A</v>
      </c>
      <c r="N112" s="99" t="e">
        <f t="array" ref="N112">INDEX('Coeff EC7'!$D$7:$Q$27,MATCH($B$3,'Coeff EC7'!$C$7:$C$27,0),MATCH(D112&amp;E112,'Coeff EC7'!$D$5:$Q$5&amp;'Coeff EC7'!$D$6:$Q$6,0))</f>
        <v>#N/A</v>
      </c>
      <c r="O112" s="99" t="e">
        <f t="array" ref="O112">INDEX('Coeff EC7'!$D$41:$Q$61,MATCH($B$3,'Coeff EC7'!$C$41:$C$61,0),MATCH(D112&amp;E112,'Coeff EC7'!$D$39:$Q$39&amp;'Coeff EC7'!$D$40:$Q$40,0))</f>
        <v>#N/A</v>
      </c>
      <c r="P112" s="30" t="e">
        <f t="shared" si="166"/>
        <v>#N/A</v>
      </c>
      <c r="Q112" s="100" t="e">
        <f t="shared" si="133"/>
        <v>#N/A</v>
      </c>
      <c r="R112" s="86" t="b">
        <f t="shared" si="134"/>
        <v>0</v>
      </c>
      <c r="S112" s="86">
        <f t="shared" si="132"/>
        <v>0.5</v>
      </c>
      <c r="T112" s="86">
        <f t="shared" si="135"/>
        <v>0.5</v>
      </c>
      <c r="U112" s="30" t="e">
        <f t="shared" ca="1" si="167"/>
        <v>#DIV/0!</v>
      </c>
      <c r="V112" s="85" t="str">
        <f>IF(B112&lt;=Hypothèses!$V$7,Hypothèses!$W$7,IF(B112&lt;=Hypothèses!$V$8,Hypothèses!$W$8,IF(B112&lt;=Hypothèses!$V$9,Hypothèses!$W$9,IF(B112&lt;=Hypothèses!$V$10,Hypothèses!$W$10,IF(B112&lt;=Hypothèses!$V$11,Hypothèses!$W$11,IF(B112&lt;=Hypothèses!$V$12,Hypothèses!$W$12,IF(B112&lt;=Hypothèses!$V$13,Hypothèses!$W$13,IF(B112&lt;=Hypothèses!$V$14,Hypothèses!$W$14,IF(B112&lt;=Hypothèses!$V$15,Hypothèses!$W$15,IF(B112&lt;=Hypothèses!$V$16,Hypothèses!$W$16,IF(B112&lt;=Hypothèses!$V$17,Hypothèses!$W$17,IF(B112&lt;=Hypothèses!$V$18,Hypothèses!$W$18,""))))))))))))</f>
        <v/>
      </c>
      <c r="W112" s="87" t="e">
        <f t="shared" ca="1" si="216"/>
        <v>#DIV/0!</v>
      </c>
      <c r="X112" s="88" t="str">
        <f>IF(B112&lt;=Hypothèses!$V$7,Hypothèses!$X$7,IF(B112&lt;=Hypothèses!$V$8,Hypothèses!$X$8,IF(B112&lt;=Hypothèses!$V$9,Hypothèses!$X$9,IF(B112&lt;=Hypothèses!$V$10,Hypothèses!$X$10,IF(B112&lt;=Hypothèses!$V$11,Hypothèses!$X$11,IF(B112&lt;=Hypothèses!$V$12,Hypothèses!$X$12,IF(B112&lt;=Hypothèses!$V$13,Hypothèses!$X$13,IF(B112&lt;=Hypothèses!$V$14,Hypothèses!$X$14,IF(B112&lt;=Hypothèses!$V$15,Hypothèses!$X$15,IF(B112&lt;=Hypothèses!$V$16,Hypothèses!$X$16,IF(B112&lt;=Hypothèses!$U$17,Hypothèses!$W$17,IF(B112&lt;=Hypothèses!$U$18,Hypothèses!$W$18,""))))))))))))</f>
        <v/>
      </c>
      <c r="Y112" s="95" t="e">
        <f t="shared" ca="1" si="136"/>
        <v>#DIV/0!</v>
      </c>
      <c r="Z112" s="101">
        <f t="shared" si="137"/>
        <v>0</v>
      </c>
      <c r="AA112" s="91">
        <f t="shared" si="138"/>
        <v>0</v>
      </c>
      <c r="AB112" s="30" t="e">
        <f t="shared" si="200"/>
        <v>#N/A</v>
      </c>
      <c r="AC112" s="30" t="e">
        <f t="shared" si="201"/>
        <v>#N/A</v>
      </c>
      <c r="AD112" s="31" t="e">
        <f>IF(OR(Hypothèses!$B$4=17,Hypothèses!$B$4=18,Hypothèses!$B$4=19,Hypothèses!$B$4=20),
IF($D112="Pressio.",
IF(OR($E112=3,$E112=1,$E112=4),AC112,AB112),
IF($D112="Pénétro.",
IF(OR($E112=3,$E112=1,$E112=4),AC112,AB112))),IF($D112="Pressio.",
IF($E112=3,AC112,AB112),
IF($D112="Pénétro.",
IF($E112=4,AC112,AB112))))</f>
        <v>#N/A</v>
      </c>
      <c r="AE112" s="31">
        <v>0</v>
      </c>
      <c r="AF112" s="102" t="e">
        <f>IF(NDC!$H$10="Oui",(VLOOKUP($B$3,'Coeff EC7'!$T$39:$X$59,2,0)*AD112+VLOOKUP($B$3,'Coeff EC7'!$T$65:$X$85,2,0)*Model0.1T!AE112)/1.5,PI()*AB$12*$Q112*($B112-$B111)*0.15/10+AF111)</f>
        <v>#N/A</v>
      </c>
      <c r="AG112" s="102" t="e">
        <f>(VLOOKUP($B$3,'Coeff EC7'!$T$39:$X$59,3,0)*AD112+VLOOKUP($B$3,'Coeff EC7'!$T$65:$X$85,3,0)*Model0.1T!AE112)/1.1</f>
        <v>#N/A</v>
      </c>
      <c r="AH112" s="102" t="e">
        <f t="shared" si="168"/>
        <v>#N/A</v>
      </c>
      <c r="AI112" s="102" t="e">
        <f t="shared" si="169"/>
        <v>#N/A</v>
      </c>
      <c r="AJ112" s="414" t="e">
        <f>IF(AND(AF112&gt;NDC!$C$63,AG112&gt;NDC!$C$65,AH112&gt;NDC!$D$73,AI112&gt;NDC!$D$74,$B112&gt;NDC!$H$22-0.1+MIN(3*$AJ$12,1.5)),0,1)</f>
        <v>#N/A</v>
      </c>
      <c r="AK112" s="86" t="b">
        <f t="shared" si="139"/>
        <v>0</v>
      </c>
      <c r="AL112" s="86">
        <f t="shared" si="170"/>
        <v>0.5</v>
      </c>
      <c r="AM112" s="86">
        <f t="shared" si="140"/>
        <v>0.5</v>
      </c>
      <c r="AN112" s="30" t="e">
        <f t="shared" ca="1" si="171"/>
        <v>#DIV/0!</v>
      </c>
      <c r="AO112" s="85" t="e">
        <f ca="1">IF(U112&lt;=Hypothèses!$V$7,Hypothèses!$W$7,IF(U112&lt;=Hypothèses!$V$8,Hypothèses!$W$8,IF(U112&lt;=Hypothèses!$V$9,Hypothèses!$W$9,IF(U112&lt;=Hypothèses!$V$10,Hypothèses!$W$10,IF(U112&lt;=Hypothèses!$V$11,Hypothèses!$W$11,IF(U112&lt;=Hypothèses!$V$12,Hypothèses!$W$12,IF(U112&lt;=Hypothèses!$V$13,Hypothèses!$W$13,IF(U112&lt;=Hypothèses!$V$14,Hypothèses!$W$14,IF(U112&lt;=Hypothèses!$V$15,Hypothèses!$W$15,IF(U112&lt;=Hypothèses!$V$16,Hypothèses!$W$16,IF(U112&lt;=Hypothèses!$V$17,Hypothèses!$W$17,IF(U112&lt;=Hypothèses!$V$18,Hypothèses!$W$18,""))))))))))))</f>
        <v>#DIV/0!</v>
      </c>
      <c r="AP112" s="87" t="e">
        <f t="shared" ca="1" si="217"/>
        <v>#DIV/0!</v>
      </c>
      <c r="AQ112" s="88" t="e">
        <f ca="1">IF(U112&lt;=Hypothèses!$V$7,Hypothèses!$X$7,IF(U112&lt;=Hypothèses!$V$8,Hypothèses!$X$8,IF(U112&lt;=Hypothèses!$V$9,Hypothèses!$X$9,IF(U112&lt;=Hypothèses!$V$10,Hypothèses!$X$10,IF(U112&lt;=Hypothèses!$V$11,Hypothèses!$X$11,IF(U112&lt;=Hypothèses!$V$12,Hypothèses!$X$12,IF(U112&lt;=Hypothèses!$V$13,Hypothèses!$X$13,IF(U112&lt;=Hypothèses!$V$14,Hypothèses!$X$14,IF(U112&lt;=Hypothèses!$V$15,Hypothèses!$X$15,IF(U112&lt;=Hypothèses!$V$16,Hypothèses!$X$16,IF(U112&lt;=Hypothèses!$U$17,Hypothèses!$W$17,IF(U112&lt;=Hypothèses!$U$18,Hypothèses!$W$18,""))))))))))))</f>
        <v>#DIV/0!</v>
      </c>
      <c r="AR112" s="95" t="e">
        <f t="shared" ca="1" si="172"/>
        <v>#DIV/0!</v>
      </c>
      <c r="AS112" s="101">
        <f t="shared" si="224"/>
        <v>0</v>
      </c>
      <c r="AT112" s="91">
        <f t="shared" si="141"/>
        <v>0</v>
      </c>
      <c r="AU112" s="30" t="e">
        <f t="shared" si="202"/>
        <v>#N/A</v>
      </c>
      <c r="AV112" s="30" t="e">
        <f t="shared" si="203"/>
        <v>#N/A</v>
      </c>
      <c r="AW112" s="31" t="e">
        <f>IF(OR(Hypothèses!$B$4=17,Hypothèses!$B$4=18,Hypothèses!$B$4=19,Hypothèses!$B$4=20),
IF($D112="Pressio.",
IF(OR($E112=3,$E112=1,$E112=4),AV112,AU112),
IF($D112="Pénétro.",
IF(OR($E112=3,$E112=1,$E112=4),AV112,AU112))),IF($D112="Pressio.",
IF($E112=3,AV112,AU112),
IF($D112="Pénétro.",
IF($E112=4,AV112,AU112))))</f>
        <v>#N/A</v>
      </c>
      <c r="AX112" s="31">
        <v>0</v>
      </c>
      <c r="AY112" s="102" t="e">
        <f>IF(NDC!$H$10="Oui",(VLOOKUP($B$3,'Coeff EC7'!$T$39:$X$59,2,0)*AW112+VLOOKUP($B$3,'Coeff EC7'!$T$65:$X$85,2,0)*Model0.1T!AX112)/1.5,PI()*AU$12*$Q112*($B112-$B111)*0.15/10+AY111)</f>
        <v>#N/A</v>
      </c>
      <c r="AZ112" s="102" t="e">
        <f>(VLOOKUP($B$3,'Coeff EC7'!$T$39:$X$59,3,0)*AW112+VLOOKUP($B$3,'Coeff EC7'!$T$65:$X$85,3,0)*Model0.1T!AX112)/1.1</f>
        <v>#N/A</v>
      </c>
      <c r="BA112" s="102" t="e">
        <f t="shared" si="173"/>
        <v>#N/A</v>
      </c>
      <c r="BB112" s="102" t="e">
        <f t="shared" si="174"/>
        <v>#N/A</v>
      </c>
      <c r="BC112" s="414" t="e">
        <f>IF(AND(AY112&gt;NDC!$C$63,AZ112&gt;NDC!$C$65,BA112&gt;NDC!$D$73,BB112&gt;NDC!$D$74,$B112&gt;NDC!$H$22-0.1+MIN(3*BC$12,1.5)),0,1)</f>
        <v>#N/A</v>
      </c>
      <c r="BD112" s="86" t="b">
        <f t="shared" si="142"/>
        <v>0</v>
      </c>
      <c r="BE112" s="86">
        <f t="shared" si="175"/>
        <v>0.5</v>
      </c>
      <c r="BF112" s="86">
        <f t="shared" si="143"/>
        <v>0.5</v>
      </c>
      <c r="BG112" s="30" t="e">
        <f t="shared" ca="1" si="176"/>
        <v>#DIV/0!</v>
      </c>
      <c r="BH112" s="85" t="e">
        <f ca="1">IF(AN112&lt;=Hypothèses!$V$7,Hypothèses!$W$7,IF(AN112&lt;=Hypothèses!$V$8,Hypothèses!$W$8,IF(AN112&lt;=Hypothèses!$V$9,Hypothèses!$W$9,IF(AN112&lt;=Hypothèses!$V$10,Hypothèses!$W$10,IF(AN112&lt;=Hypothèses!$V$11,Hypothèses!$W$11,IF(AN112&lt;=Hypothèses!$V$12,Hypothèses!$W$12,IF(AN112&lt;=Hypothèses!$V$13,Hypothèses!$W$13,IF(AN112&lt;=Hypothèses!$V$14,Hypothèses!$W$14,IF(AN112&lt;=Hypothèses!$V$15,Hypothèses!$W$15,IF(AN112&lt;=Hypothèses!$V$16,Hypothèses!$W$16,IF(AN112&lt;=Hypothèses!$V$17,Hypothèses!$W$17,IF(AN112&lt;=Hypothèses!$V$18,Hypothèses!$W$18,""))))))))))))</f>
        <v>#DIV/0!</v>
      </c>
      <c r="BI112" s="87" t="e">
        <f t="shared" ca="1" si="218"/>
        <v>#DIV/0!</v>
      </c>
      <c r="BJ112" s="88" t="e">
        <f ca="1">IF(AN112&lt;=Hypothèses!$V$7,Hypothèses!$X$7,IF(AN112&lt;=Hypothèses!$V$8,Hypothèses!$X$8,IF(AN112&lt;=Hypothèses!$V$9,Hypothèses!$X$9,IF(AN112&lt;=Hypothèses!$V$10,Hypothèses!$X$10,IF(AN112&lt;=Hypothèses!$V$11,Hypothèses!$X$11,IF(AN112&lt;=Hypothèses!$V$12,Hypothèses!$X$12,IF(AN112&lt;=Hypothèses!$V$13,Hypothèses!$X$13,IF(AN112&lt;=Hypothèses!$V$14,Hypothèses!$X$14,IF(AN112&lt;=Hypothèses!$V$15,Hypothèses!$X$15,IF(AN112&lt;=Hypothèses!$V$16,Hypothèses!$X$16,IF(AN112&lt;=Hypothèses!$U$17,Hypothèses!$W$17,IF(AN112&lt;=Hypothèses!$U$18,Hypothèses!$W$18,""))))))))))))</f>
        <v>#DIV/0!</v>
      </c>
      <c r="BK112" s="95" t="e">
        <f t="shared" ca="1" si="177"/>
        <v>#DIV/0!</v>
      </c>
      <c r="BL112" s="101">
        <f t="shared" si="225"/>
        <v>0</v>
      </c>
      <c r="BM112" s="91">
        <f t="shared" si="144"/>
        <v>0</v>
      </c>
      <c r="BN112" s="30" t="e">
        <f t="shared" si="204"/>
        <v>#N/A</v>
      </c>
      <c r="BO112" s="30" t="e">
        <f t="shared" si="205"/>
        <v>#N/A</v>
      </c>
      <c r="BP112" s="31" t="e">
        <f>IF(OR(Hypothèses!$B$4=17,Hypothèses!$B$4=18,Hypothèses!$B$4=19,Hypothèses!$B$4=20),
IF($D112="Pressio.",
IF(OR($E112=3,$E112=1,$E112=4),BO112,BN112),
IF($D112="Pénétro.",
IF(OR($E112=3,$E112=1,$E112=4),BO112,BN112))),IF($D112="Pressio.",
IF($E112=3,BO112,BN112),
IF($D112="Pénétro.",
IF($E112=4,BO112,BN112))))</f>
        <v>#N/A</v>
      </c>
      <c r="BQ112" s="31">
        <v>0</v>
      </c>
      <c r="BR112" s="102" t="e">
        <f>IF(NDC!$H$10="Oui",(VLOOKUP($B$3,'Coeff EC7'!$T$39:$X$59,2,0)*BP112+VLOOKUP($B$3,'Coeff EC7'!$T$65:$X$85,2,0)*Model0.1T!BQ112)/1.5,PI()*BN$12*$Q112*($B112-$B111)*0.15/10+BR111)</f>
        <v>#N/A</v>
      </c>
      <c r="BS112" s="102" t="e">
        <f>(VLOOKUP($B$3,'Coeff EC7'!$T$39:$X$59,3,0)*BP112+VLOOKUP($B$3,'Coeff EC7'!$T$65:$X$85,3,0)*Model0.1T!BQ112)/1.1</f>
        <v>#N/A</v>
      </c>
      <c r="BT112" s="102" t="e">
        <f t="shared" si="178"/>
        <v>#N/A</v>
      </c>
      <c r="BU112" s="102" t="e">
        <f t="shared" si="179"/>
        <v>#N/A</v>
      </c>
      <c r="BV112" s="414" t="e">
        <f>IF(AND(BR112&gt;NDC!$C$63,BS112&gt;NDC!$C$65,BT112&gt;NDC!$D$73,BU112&gt;NDC!$D$74,$B112&gt;NDC!$H$22-0.1+MIN(3*BV$12,1.5)),0,1)</f>
        <v>#N/A</v>
      </c>
      <c r="BW112" s="86" t="b">
        <f t="shared" si="145"/>
        <v>0</v>
      </c>
      <c r="BX112" s="86">
        <f t="shared" si="146"/>
        <v>0.5</v>
      </c>
      <c r="BY112" s="86">
        <f t="shared" si="147"/>
        <v>0.5</v>
      </c>
      <c r="BZ112" s="30" t="e">
        <f t="shared" ca="1" si="180"/>
        <v>#DIV/0!</v>
      </c>
      <c r="CA112" s="85" t="e">
        <f ca="1">IF(BG112&lt;=Hypothèses!$V$7,Hypothèses!$W$7,IF(BG112&lt;=Hypothèses!$V$8,Hypothèses!$W$8,IF(BG112&lt;=Hypothèses!$V$9,Hypothèses!$W$9,IF(BG112&lt;=Hypothèses!$V$10,Hypothèses!$W$10,IF(BG112&lt;=Hypothèses!$V$11,Hypothèses!$W$11,IF(BG112&lt;=Hypothèses!$V$12,Hypothèses!$W$12,IF(BG112&lt;=Hypothèses!$V$13,Hypothèses!$W$13,IF(BG112&lt;=Hypothèses!$V$14,Hypothèses!$W$14,IF(BG112&lt;=Hypothèses!$V$15,Hypothèses!$W$15,IF(BG112&lt;=Hypothèses!$V$16,Hypothèses!$W$16,IF(BG112&lt;=Hypothèses!$V$17,Hypothèses!$W$17,IF(BG112&lt;=Hypothèses!$V$18,Hypothèses!$W$18,""))))))))))))</f>
        <v>#DIV/0!</v>
      </c>
      <c r="CB112" s="87" t="e">
        <f t="shared" ca="1" si="219"/>
        <v>#DIV/0!</v>
      </c>
      <c r="CC112" s="88" t="e">
        <f ca="1">IF(BG112&lt;=Hypothèses!$V$7,Hypothèses!$X$7,IF(BG112&lt;=Hypothèses!$V$8,Hypothèses!$X$8,IF(BG112&lt;=Hypothèses!$V$9,Hypothèses!$X$9,IF(BG112&lt;=Hypothèses!$V$10,Hypothèses!$X$10,IF(BG112&lt;=Hypothèses!$V$11,Hypothèses!$X$11,IF(BG112&lt;=Hypothèses!$V$12,Hypothèses!$X$12,IF(BG112&lt;=Hypothèses!$V$13,Hypothèses!$X$13,IF(BG112&lt;=Hypothèses!$V$14,Hypothèses!$X$14,IF(BG112&lt;=Hypothèses!$V$15,Hypothèses!$X$15,IF(BG112&lt;=Hypothèses!$V$16,Hypothèses!$X$16,IF(BG112&lt;=Hypothèses!$U$17,Hypothèses!$W$17,IF(BG112&lt;=Hypothèses!$U$18,Hypothèses!$W$18,""))))))))))))</f>
        <v>#DIV/0!</v>
      </c>
      <c r="CD112" s="95" t="e">
        <f t="shared" ca="1" si="181"/>
        <v>#DIV/0!</v>
      </c>
      <c r="CE112" s="101">
        <f t="shared" si="226"/>
        <v>0</v>
      </c>
      <c r="CF112" s="91">
        <f t="shared" si="148"/>
        <v>0</v>
      </c>
      <c r="CG112" s="30" t="e">
        <f t="shared" si="206"/>
        <v>#N/A</v>
      </c>
      <c r="CH112" s="30" t="e">
        <f t="shared" si="207"/>
        <v>#N/A</v>
      </c>
      <c r="CI112" s="31" t="e">
        <f>IF(OR(Hypothèses!$B$4=17,Hypothèses!$B$4=18,Hypothèses!$B$4=19,Hypothèses!$B$4=20),
IF($D112="Pressio.",
IF(OR($E112=3,$E112=1,$E112=4),CH112,CG112),
IF($D112="Pénétro.",
IF(OR($E112=3,$E112=1,$E112=4),CH112,CG112))),IF($D112="Pressio.",
IF($E112=3,CH112,CG112),
IF($D112="Pénétro.",
IF($E112=4,CH112,CG112))))</f>
        <v>#N/A</v>
      </c>
      <c r="CJ112" s="31">
        <v>0</v>
      </c>
      <c r="CK112" s="102" t="e">
        <f>IF(NDC!$H$10="Oui",(VLOOKUP($B$3,'Coeff EC7'!$T$39:$X$59,2,0)*CI112+VLOOKUP($B$3,'Coeff EC7'!$T$65:$X$85,2,0)*Model0.1T!CJ112)/1.5,PI()*CG$12*$Q112*($B112-$B111)*0.15/10+CK111)</f>
        <v>#N/A</v>
      </c>
      <c r="CL112" s="102" t="e">
        <f>(VLOOKUP($B$3,'Coeff EC7'!$T$39:$X$59,3,0)*CI112+VLOOKUP($B$3,'Coeff EC7'!$T$65:$X$85,3,0)*Model0.1T!CJ112)/1.1</f>
        <v>#N/A</v>
      </c>
      <c r="CM112" s="102" t="e">
        <f t="shared" si="182"/>
        <v>#N/A</v>
      </c>
      <c r="CN112" s="102" t="e">
        <f t="shared" si="183"/>
        <v>#N/A</v>
      </c>
      <c r="CO112" s="414" t="e">
        <f>IF(AND(CK112&gt;NDC!$C$63,CL112&gt;NDC!$C$65,CM112&gt;NDC!$D$73,CN112&gt;NDC!$D$74,$B112&gt;NDC!$H$22-0.1+MIN(3*CO$12,1.5)),0,1)</f>
        <v>#N/A</v>
      </c>
      <c r="CP112" s="86" t="b">
        <f t="shared" si="149"/>
        <v>0</v>
      </c>
      <c r="CQ112" s="86">
        <f t="shared" si="150"/>
        <v>0.5</v>
      </c>
      <c r="CR112" s="86">
        <f t="shared" si="151"/>
        <v>0.5</v>
      </c>
      <c r="CS112" s="30" t="e">
        <f t="shared" ca="1" si="184"/>
        <v>#DIV/0!</v>
      </c>
      <c r="CT112" s="85" t="e">
        <f ca="1">IF(BZ112&lt;=Hypothèses!$V$7,Hypothèses!$W$7,IF(BZ112&lt;=Hypothèses!$V$8,Hypothèses!$W$8,IF(BZ112&lt;=Hypothèses!$V$9,Hypothèses!$W$9,IF(BZ112&lt;=Hypothèses!$V$10,Hypothèses!$W$10,IF(BZ112&lt;=Hypothèses!$V$11,Hypothèses!$W$11,IF(BZ112&lt;=Hypothèses!$V$12,Hypothèses!$W$12,IF(BZ112&lt;=Hypothèses!$V$13,Hypothèses!$W$13,IF(BZ112&lt;=Hypothèses!$V$14,Hypothèses!$W$14,IF(BZ112&lt;=Hypothèses!$V$15,Hypothèses!$W$15,IF(BZ112&lt;=Hypothèses!$V$16,Hypothèses!$W$16,IF(BZ112&lt;=Hypothèses!$V$17,Hypothèses!$W$17,IF(BZ112&lt;=Hypothèses!$V$18,Hypothèses!$W$18,""))))))))))))</f>
        <v>#DIV/0!</v>
      </c>
      <c r="CU112" s="87" t="e">
        <f t="shared" ca="1" si="220"/>
        <v>#DIV/0!</v>
      </c>
      <c r="CV112" s="88" t="e">
        <f ca="1">IF(BZ112&lt;=Hypothèses!$V$7,Hypothèses!$X$7,IF(BZ112&lt;=Hypothèses!$V$8,Hypothèses!$X$8,IF(BZ112&lt;=Hypothèses!$V$9,Hypothèses!$X$9,IF(BZ112&lt;=Hypothèses!$V$10,Hypothèses!$X$10,IF(BZ112&lt;=Hypothèses!$V$11,Hypothèses!$X$11,IF(BZ112&lt;=Hypothèses!$V$12,Hypothèses!$X$12,IF(BZ112&lt;=Hypothèses!$V$13,Hypothèses!$X$13,IF(BZ112&lt;=Hypothèses!$V$14,Hypothèses!$X$14,IF(BZ112&lt;=Hypothèses!$V$15,Hypothèses!$X$15,IF(BZ112&lt;=Hypothèses!$V$16,Hypothèses!$X$16,IF(BZ112&lt;=Hypothèses!$U$17,Hypothèses!$W$17,IF(BZ112&lt;=Hypothèses!$U$18,Hypothèses!$W$18,""))))))))))))</f>
        <v>#DIV/0!</v>
      </c>
      <c r="CW112" s="95" t="e">
        <f t="shared" ca="1" si="185"/>
        <v>#DIV/0!</v>
      </c>
      <c r="CX112" s="101">
        <f t="shared" si="227"/>
        <v>0</v>
      </c>
      <c r="CY112" s="91">
        <f t="shared" si="152"/>
        <v>0</v>
      </c>
      <c r="CZ112" s="30" t="e">
        <f t="shared" si="208"/>
        <v>#N/A</v>
      </c>
      <c r="DA112" s="30" t="e">
        <f t="shared" si="209"/>
        <v>#N/A</v>
      </c>
      <c r="DB112" s="31" t="e">
        <f>IF(OR(Hypothèses!$B$4=17,Hypothèses!$B$4=18,Hypothèses!$B$4=19,Hypothèses!$B$4=20),
IF($D112="Pressio.",
IF(OR($E112=3,$E112=1,$E112=4),DA112,CZ112),
IF($D112="Pénétro.",
IF(OR($E112=3,$E112=1,$E112=4),DA112,CZ112))),IF($D112="Pressio.",
IF($E112=3,DA112,CZ112),
IF($D112="Pénétro.",
IF($E112=4,DA112,CZ112))))</f>
        <v>#N/A</v>
      </c>
      <c r="DC112" s="31">
        <v>0</v>
      </c>
      <c r="DD112" s="102" t="e">
        <f>IF(NDC!$H$10="Oui",(VLOOKUP($B$3,'Coeff EC7'!$T$39:$X$59,2,0)*DB112+VLOOKUP($B$3,'Coeff EC7'!$T$65:$X$85,2,0)*Model0.1T!DC112)/1.5,PI()*CZ$12*$Q112*($B112-$B111)*0.15/10+DD111)</f>
        <v>#N/A</v>
      </c>
      <c r="DE112" s="102" t="e">
        <f>(VLOOKUP($B$3,'Coeff EC7'!$T$39:$X$59,3,0)*DB112+VLOOKUP($B$3,'Coeff EC7'!$T$65:$X$85,3,0)*Model0.1T!DC112)/1.1</f>
        <v>#N/A</v>
      </c>
      <c r="DF112" s="102" t="e">
        <f t="shared" si="186"/>
        <v>#N/A</v>
      </c>
      <c r="DG112" s="102" t="e">
        <f t="shared" si="187"/>
        <v>#N/A</v>
      </c>
      <c r="DH112" s="414" t="e">
        <f>IF(AND(DD112&gt;NDC!$C$63,DE112&gt;NDC!$C$65,DF112&gt;NDC!$D$73,DG112&gt;NDC!$D$74,$B112&gt;NDC!$H$22-0.1+MIN(3*DH$12,1.5)),0,1)</f>
        <v>#N/A</v>
      </c>
      <c r="DI112" s="86" t="b">
        <f t="shared" si="153"/>
        <v>0</v>
      </c>
      <c r="DJ112" s="86">
        <f t="shared" si="154"/>
        <v>0.5</v>
      </c>
      <c r="DK112" s="86">
        <f t="shared" si="155"/>
        <v>0.5</v>
      </c>
      <c r="DL112" s="30" t="e">
        <f t="shared" ca="1" si="188"/>
        <v>#DIV/0!</v>
      </c>
      <c r="DM112" s="85" t="e">
        <f ca="1">IF(CS112&lt;=Hypothèses!$V$7,Hypothèses!$W$7,IF(CS112&lt;=Hypothèses!$V$8,Hypothèses!$W$8,IF(CS112&lt;=Hypothèses!$V$9,Hypothèses!$W$9,IF(CS112&lt;=Hypothèses!$V$10,Hypothèses!$W$10,IF(CS112&lt;=Hypothèses!$V$11,Hypothèses!$W$11,IF(CS112&lt;=Hypothèses!$V$12,Hypothèses!$W$12,IF(CS112&lt;=Hypothèses!$V$13,Hypothèses!$W$13,IF(CS112&lt;=Hypothèses!$V$14,Hypothèses!$W$14,IF(CS112&lt;=Hypothèses!$V$15,Hypothèses!$W$15,IF(CS112&lt;=Hypothèses!$V$16,Hypothèses!$W$16,IF(CS112&lt;=Hypothèses!$V$17,Hypothèses!$W$17,IF(CS112&lt;=Hypothèses!$V$18,Hypothèses!$W$18,""))))))))))))</f>
        <v>#DIV/0!</v>
      </c>
      <c r="DN112" s="87" t="e">
        <f t="shared" ca="1" si="221"/>
        <v>#DIV/0!</v>
      </c>
      <c r="DO112" s="88" t="e">
        <f ca="1">IF(CS112&lt;=Hypothèses!$V$7,Hypothèses!$X$7,IF(CS112&lt;=Hypothèses!$V$8,Hypothèses!$X$8,IF(CS112&lt;=Hypothèses!$V$9,Hypothèses!$X$9,IF(CS112&lt;=Hypothèses!$V$10,Hypothèses!$X$10,IF(CS112&lt;=Hypothèses!$V$11,Hypothèses!$X$11,IF(CS112&lt;=Hypothèses!$V$12,Hypothèses!$X$12,IF(CS112&lt;=Hypothèses!$V$13,Hypothèses!$X$13,IF(CS112&lt;=Hypothèses!$V$14,Hypothèses!$X$14,IF(CS112&lt;=Hypothèses!$V$15,Hypothèses!$X$15,IF(CS112&lt;=Hypothèses!$V$16,Hypothèses!$X$16,IF(CS112&lt;=Hypothèses!$U$17,Hypothèses!$W$17,IF(CS112&lt;=Hypothèses!$U$18,Hypothèses!$W$18,""))))))))))))</f>
        <v>#DIV/0!</v>
      </c>
      <c r="DP112" s="95" t="e">
        <f t="shared" ca="1" si="189"/>
        <v>#DIV/0!</v>
      </c>
      <c r="DQ112" s="101">
        <f t="shared" si="228"/>
        <v>0</v>
      </c>
      <c r="DR112" s="91">
        <f t="shared" si="156"/>
        <v>0</v>
      </c>
      <c r="DS112" s="30" t="e">
        <f t="shared" si="210"/>
        <v>#N/A</v>
      </c>
      <c r="DT112" s="30" t="e">
        <f t="shared" si="211"/>
        <v>#N/A</v>
      </c>
      <c r="DU112" s="31" t="e">
        <f>IF(OR(Hypothèses!$B$4=17,Hypothèses!$B$4=18,Hypothèses!$B$4=19,Hypothèses!$B$4=20),
IF($D112="Pressio.",
IF(OR($E112=3,$E112=1,$E112=4),DT112,DS112),
IF($D112="Pénétro.",
IF(OR($E112=3,$E112=1,$E112=4),DT112,DS112))),IF($D112="Pressio.",
IF($E112=3,DT112,DS112),
IF($D112="Pénétro.",
IF($E112=4,DT112,DS112))))</f>
        <v>#N/A</v>
      </c>
      <c r="DV112" s="31">
        <v>0</v>
      </c>
      <c r="DW112" s="102" t="e">
        <f>IF(NDC!$H$10="Oui",(VLOOKUP($B$3,'Coeff EC7'!$T$39:$X$59,2,0)*DU112+VLOOKUP($B$3,'Coeff EC7'!$T$65:$X$85,2,0)*Model0.1T!DV112)/1.5,PI()*DS$12*$Q112*($B112-$B111)*0.15/10+DW111)</f>
        <v>#N/A</v>
      </c>
      <c r="DX112" s="102" t="e">
        <f>(VLOOKUP($B$3,'Coeff EC7'!$T$39:$X$59,3,0)*DU112+VLOOKUP($B$3,'Coeff EC7'!$T$65:$X$85,3,0)*Model0.1T!DV112)/1.1</f>
        <v>#N/A</v>
      </c>
      <c r="DY112" s="102" t="e">
        <f t="shared" si="190"/>
        <v>#N/A</v>
      </c>
      <c r="DZ112" s="102" t="e">
        <f t="shared" si="191"/>
        <v>#N/A</v>
      </c>
      <c r="EA112" s="414" t="e">
        <f>IF(AND(DW112&gt;NDC!$C$63,DX112&gt;NDC!$C$65,DY112&gt;NDC!$D$73,DZ112&gt;NDC!$D$74,$B112&gt;NDC!$H$22-0.1+MIN(3*EA$12,1.5)),0,1)</f>
        <v>#N/A</v>
      </c>
      <c r="EB112" s="86" t="b">
        <f t="shared" si="157"/>
        <v>0</v>
      </c>
      <c r="EC112" s="418">
        <f t="shared" si="158"/>
        <v>0.51</v>
      </c>
      <c r="ED112" s="86">
        <f t="shared" si="159"/>
        <v>0.51</v>
      </c>
      <c r="EE112" s="30" t="e">
        <f t="shared" ca="1" si="192"/>
        <v>#DIV/0!</v>
      </c>
      <c r="EF112" s="85" t="e">
        <f ca="1">IF(DL112&lt;=Hypothèses!$V$7,Hypothèses!$W$7,IF(DL112&lt;=Hypothèses!$V$8,Hypothèses!$W$8,IF(DL112&lt;=Hypothèses!$V$9,Hypothèses!$W$9,IF(DL112&lt;=Hypothèses!$V$10,Hypothèses!$W$10,IF(DL112&lt;=Hypothèses!$V$11,Hypothèses!$W$11,IF(DL112&lt;=Hypothèses!$V$12,Hypothèses!$W$12,IF(DL112&lt;=Hypothèses!$V$13,Hypothèses!$W$13,IF(DL112&lt;=Hypothèses!$V$14,Hypothèses!$W$14,IF(DL112&lt;=Hypothèses!$V$15,Hypothèses!$W$15,IF(DL112&lt;=Hypothèses!$V$16,Hypothèses!$W$16,IF(DL112&lt;=Hypothèses!$V$17,Hypothèses!$W$17,IF(DL112&lt;=Hypothèses!$V$18,Hypothèses!$W$18,""))))))))))))</f>
        <v>#DIV/0!</v>
      </c>
      <c r="EG112" s="87" t="e">
        <f t="shared" ca="1" si="222"/>
        <v>#DIV/0!</v>
      </c>
      <c r="EH112" s="88" t="e">
        <f ca="1">IF(DL112&lt;=Hypothèses!$V$7,Hypothèses!$X$7,IF(DL112&lt;=Hypothèses!$V$8,Hypothèses!$X$8,IF(DL112&lt;=Hypothèses!$V$9,Hypothèses!$X$9,IF(DL112&lt;=Hypothèses!$V$10,Hypothèses!$X$10,IF(DL112&lt;=Hypothèses!$V$11,Hypothèses!$X$11,IF(DL112&lt;=Hypothèses!$V$12,Hypothèses!$X$12,IF(DL112&lt;=Hypothèses!$V$13,Hypothèses!$X$13,IF(DL112&lt;=Hypothèses!$V$14,Hypothèses!$X$14,IF(DL112&lt;=Hypothèses!$V$15,Hypothèses!$X$15,IF(DL112&lt;=Hypothèses!$V$16,Hypothèses!$X$16,IF(DL112&lt;=Hypothèses!$U$17,Hypothèses!$W$17,IF(DL112&lt;=Hypothèses!$U$18,Hypothèses!$W$18,""))))))))))))</f>
        <v>#DIV/0!</v>
      </c>
      <c r="EI112" s="95" t="e">
        <f t="shared" ca="1" si="193"/>
        <v>#DIV/0!</v>
      </c>
      <c r="EJ112" s="101">
        <f t="shared" si="229"/>
        <v>0</v>
      </c>
      <c r="EK112" s="91">
        <f t="shared" si="160"/>
        <v>0</v>
      </c>
      <c r="EL112" s="30" t="e">
        <f t="shared" si="212"/>
        <v>#N/A</v>
      </c>
      <c r="EM112" s="30" t="e">
        <f t="shared" si="213"/>
        <v>#N/A</v>
      </c>
      <c r="EN112" s="31" t="e">
        <f>IF(OR(Hypothèses!$B$4=17,Hypothèses!$B$4=18,Hypothèses!$B$4=19,Hypothèses!$B$4=20),
IF($D112="Pressio.",
IF(OR($E112=3,$E112=1,$E112=4),EM112,EL112),
IF($D112="Pénétro.",
IF(OR($E112=3,$E112=1,$E112=4),EM112,EL112))),IF($D112="Pressio.",
IF($E112=3,EM112,EL112),
IF($D112="Pénétro.",
IF($E112=4,EM112,EL112))))</f>
        <v>#N/A</v>
      </c>
      <c r="EO112" s="31">
        <v>0</v>
      </c>
      <c r="EP112" s="102" t="e">
        <f>IF(NDC!$H$10="Oui",(VLOOKUP($B$3,'Coeff EC7'!$T$39:$X$59,2,0)*EN112+VLOOKUP($B$3,'Coeff EC7'!$T$65:$X$85,2,0)*Model0.1T!EO112)/1.5,PI()*EL$12*$Q112*($B112-$B111)*0.15/10+EP111)</f>
        <v>#N/A</v>
      </c>
      <c r="EQ112" s="102" t="e">
        <f>(VLOOKUP($B$3,'Coeff EC7'!$T$39:$X$59,3,0)*EN112+VLOOKUP($B$3,'Coeff EC7'!$T$65:$X$85,3,0)*Model0.1T!EO112)/1.1</f>
        <v>#N/A</v>
      </c>
      <c r="ER112" s="102" t="e">
        <f t="shared" si="194"/>
        <v>#N/A</v>
      </c>
      <c r="ES112" s="102" t="e">
        <f t="shared" si="195"/>
        <v>#N/A</v>
      </c>
      <c r="ET112" s="414" t="e">
        <f>IF(AND(EP112&gt;NDC!$C$63,EQ112&gt;NDC!$C$65,ER112&gt;NDC!$D$73,ES112&gt;NDC!$D$74,$B112&gt;NDC!$H$22-0.1+MIN(3*ET$12,1.5)),0,1)</f>
        <v>#N/A</v>
      </c>
      <c r="EU112" s="86" t="b">
        <f t="shared" si="161"/>
        <v>0</v>
      </c>
      <c r="EV112" s="86">
        <f t="shared" si="162"/>
        <v>0.61</v>
      </c>
      <c r="EW112" s="86">
        <f t="shared" si="163"/>
        <v>0.61</v>
      </c>
      <c r="EX112" s="30" t="e">
        <f t="shared" ca="1" si="196"/>
        <v>#DIV/0!</v>
      </c>
      <c r="EY112" s="85" t="e">
        <f ca="1">IF(EE112&lt;=Hypothèses!$V$7,Hypothèses!$W$7,IF(EE112&lt;=Hypothèses!$V$8,Hypothèses!$W$8,IF(EE112&lt;=Hypothèses!$V$9,Hypothèses!$W$9,IF(EE112&lt;=Hypothèses!$V$10,Hypothèses!$W$10,IF(EE112&lt;=Hypothèses!$V$11,Hypothèses!$W$11,IF(EE112&lt;=Hypothèses!$V$12,Hypothèses!$W$12,IF(EE112&lt;=Hypothèses!$V$13,Hypothèses!$W$13,IF(EE112&lt;=Hypothèses!$V$14,Hypothèses!$W$14,IF(EE112&lt;=Hypothèses!$V$15,Hypothèses!$W$15,IF(EE112&lt;=Hypothèses!$V$16,Hypothèses!$W$16,IF(EE112&lt;=Hypothèses!$V$17,Hypothèses!$W$17,IF(EE112&lt;=Hypothèses!$V$18,Hypothèses!$W$18,""))))))))))))</f>
        <v>#DIV/0!</v>
      </c>
      <c r="EZ112" s="87" t="e">
        <f t="shared" ca="1" si="223"/>
        <v>#DIV/0!</v>
      </c>
      <c r="FA112" s="88" t="e">
        <f ca="1">IF(EE112&lt;=Hypothèses!$V$7,Hypothèses!$X$7,IF(EE112&lt;=Hypothèses!$V$8,Hypothèses!$X$8,IF(EE112&lt;=Hypothèses!$V$9,Hypothèses!$X$9,IF(EE112&lt;=Hypothèses!$V$10,Hypothèses!$X$10,IF(EE112&lt;=Hypothèses!$V$11,Hypothèses!$X$11,IF(EE112&lt;=Hypothèses!$V$12,Hypothèses!$X$12,IF(EE112&lt;=Hypothèses!$V$13,Hypothèses!$X$13,IF(EE112&lt;=Hypothèses!$V$14,Hypothèses!$X$14,IF(EE112&lt;=Hypothèses!$V$15,Hypothèses!$X$15,IF(EE112&lt;=Hypothèses!$V$16,Hypothèses!$X$16,IF(EE112&lt;=Hypothèses!$U$17,Hypothèses!$W$17,IF(EE112&lt;=Hypothèses!$U$18,Hypothèses!$W$18,""))))))))))))</f>
        <v>#DIV/0!</v>
      </c>
      <c r="FB112" s="95" t="e">
        <f t="shared" ca="1" si="197"/>
        <v>#DIV/0!</v>
      </c>
      <c r="FC112" s="101">
        <f t="shared" si="230"/>
        <v>0</v>
      </c>
      <c r="FD112" s="91">
        <f t="shared" si="164"/>
        <v>0</v>
      </c>
      <c r="FE112" s="30" t="e">
        <f t="shared" si="214"/>
        <v>#N/A</v>
      </c>
      <c r="FF112" s="30" t="e">
        <f t="shared" si="215"/>
        <v>#N/A</v>
      </c>
      <c r="FG112" s="31" t="e">
        <f>IF(OR(Hypothèses!$B$4=17,Hypothèses!$B$4=18,Hypothèses!$B$4=19,Hypothèses!$B$4=20),
IF($D112="Pressio.",
IF(OR($E112=3,$E112=1,$E112=4),FF112,FE112),
IF($D112="Pénétro.",
IF(OR($E112=3,$E112=1,$E112=4),FF112,FE112))),IF($D112="Pressio.",
IF($E112=3,FF112,FE112),
IF($D112="Pénétro.",
IF($E112=4,FF112,FE112))))</f>
        <v>#N/A</v>
      </c>
      <c r="FH112" s="31">
        <v>0</v>
      </c>
      <c r="FI112" s="102" t="e">
        <f>IF(NDC!$H$10="Oui",(VLOOKUP($B$3,'Coeff EC7'!$T$39:$X$59,2,0)*FG112+VLOOKUP($B$3,'Coeff EC7'!$T$65:$X$85,2,0)*Model0.1T!FH112)/1.5,PI()*FE$12*$Q112*($B112-$B111)*0.15/10+FI111)</f>
        <v>#N/A</v>
      </c>
      <c r="FJ112" s="102" t="e">
        <f>(VLOOKUP($B$3,'Coeff EC7'!$T$39:$X$59,3,0)*FG112+VLOOKUP($B$3,'Coeff EC7'!$T$65:$X$85,3,0)*Model0.1T!FH112)/1.1</f>
        <v>#N/A</v>
      </c>
      <c r="FK112" s="102" t="e">
        <f t="shared" si="198"/>
        <v>#N/A</v>
      </c>
      <c r="FL112" s="102" t="e">
        <f t="shared" si="199"/>
        <v>#N/A</v>
      </c>
      <c r="FM112" s="414" t="e">
        <f>IF(AND(FI112&gt;NDC!$C$63,FJ112&gt;NDC!$C$65,FK112&gt;NDC!$D$73,FL112&gt;NDC!$D$74,$B112&gt;NDC!$H$22-0.1+MIN(3*FM$12,1.5)),0,1)</f>
        <v>#N/A</v>
      </c>
    </row>
    <row r="113" spans="1:169">
      <c r="A113" s="96">
        <f t="shared" si="165"/>
        <v>90.000000000000568</v>
      </c>
      <c r="B113" s="97">
        <v>10</v>
      </c>
      <c r="C113" s="81">
        <f>IF(B113&lt;=Hypothèses!$C$7,Hypothèses!$A$7,IF(B113&lt;=Hypothèses!$C$8,Hypothèses!$A$8,IF(B113&lt;=Hypothèses!$C$9,Hypothèses!$A$9,IF(B113&lt;=Hypothèses!$C$10,Hypothèses!$A$10,IF(B113&lt;=Hypothèses!$C$11,Hypothèses!$A$11,IF(B113&lt;=Hypothèses!$C$12,Hypothèses!$A$12,IF(B113&lt;=Hypothèses!$C$13,Hypothèses!$A$13,IF(B113&lt;=Hypothèses!$C$14,Hypothèses!$A$14,IF(B113&lt;=Hypothèses!$C$15,Hypothèses!$A$15,IF(B113&lt;=Hypothèses!$C$16,Hypothèses!$A$16,IF(B113&lt;=Hypothèses!$C$17,Hypothèses!$A$17,IF(B113&lt;=Hypothèses!$C$18,Hypothèses!$A$18,C112))))))))))))</f>
        <v>11</v>
      </c>
      <c r="D113" s="82" t="str">
        <f>IF(B113&lt;=Hypothèses!$C$7,Hypothèses!$R$7,IF(B113&lt;=Hypothèses!$C$8,Hypothèses!$R$8,IF(B113&lt;=Hypothèses!$C$9,Hypothèses!$R$9,IF(B113&lt;=Hypothèses!$C$10,Hypothèses!$R$10,IF(B113&lt;=Hypothèses!$C$11,Hypothèses!$R$11,IF(B113&lt;=Hypothèses!$C$12,Hypothèses!$R$12,IF(B113&lt;=Hypothèses!$C$13,Hypothèses!$R$13,IF(B113&lt;=Hypothèses!$C$14,Hypothèses!$R$14,IF(B113&lt;=Hypothèses!$C$15,Hypothèses!$R$15,IF(B113&lt;=Hypothèses!$C$16,Hypothèses!$R$16,IF(B113&lt;=Hypothèses!$C$17,Hypothèses!$R$17,IF(B113&lt;=Hypothèses!$C$18,Hypothèses!$R$18,D112))))))))))))</f>
        <v>Pressio.</v>
      </c>
      <c r="E113" s="82" t="e">
        <f>IF(B113&lt;=Hypothèses!$C$7,Hypothèses!$G$7,IF(B113&lt;=Hypothèses!$C$8,Hypothèses!$G$8,IF(B113&lt;=Hypothèses!$C$9,Hypothèses!$G$9,IF(B113&lt;=Hypothèses!$C$10,Hypothèses!$G$10,IF(B113&lt;=Hypothèses!$C$11,Hypothèses!$G$11,IF(B113&lt;=Hypothèses!$C$12,Hypothèses!$G$12,IF(B113&lt;=Hypothèses!$C$13,Hypothèses!$G$13,IF(B113&lt;=Hypothèses!$C$14,Hypothèses!$G$14,IF(B113&lt;=Hypothèses!$C$15,Hypothèses!$G$15,IF(B113&lt;=Hypothèses!$C$16,Hypothèses!$G$16,IF(B113&lt;=Hypothèses!$C$17,Hypothèses!$G$17,IF(B113&lt;=Hypothèses!$C$18,Hypothèses!$G$18,E112))))))))))))</f>
        <v>#N/A</v>
      </c>
      <c r="F113" s="82" t="str">
        <f>IF(B113&lt;=Hypothèses!$C$7,Hypothèses!$F$7,IF(B113&lt;=Hypothèses!$C$8,Hypothèses!$F$8,IF(B113&lt;=Hypothèses!$C$9,Hypothèses!$F$9,IF(B113&lt;=Hypothèses!$C$10,Hypothèses!$F$10,IF(B113&lt;=Hypothèses!$C$11,Hypothèses!$F$11,IF(B113&lt;=Hypothèses!$C$12,Hypothèses!$F$12,IF(B113&lt;=Hypothèses!$C$13,Hypothèses!$F$13,IF(B113&lt;=Hypothèses!$C$14,Hypothèses!$F$14,IF(B113&lt;=Hypothèses!$C$15,Hypothèses!$F$15,IF(B113&lt;=Hypothèses!$C$16,Hypothèses!$F$16,IF(B113&lt;=Hypothèses!$C$17,Hypothèses!$F$17,IF(B113&lt;=Hypothèses!$C$18,Hypothèses!$F$18,F112))))))))))))</f>
        <v/>
      </c>
      <c r="G113" s="91">
        <f t="array" ref="G113">INDEX('Coeff EC7'!$U$7:$X$27,
MATCH(Model0.1T!$B$3,'Coeff EC7'!$T$7:$T$27,0),
MATCH(Model0.1T!$D113&amp;Model0.1T!$B$4,
'Coeff EC7'!$U$6:$X$6&amp;
'Coeff EC7'!$U$5:$X$5,0))</f>
        <v>1.4</v>
      </c>
      <c r="H113" s="91">
        <f t="array" ref="H113">INDEX('Coeff EC7'!$Y$7:$AB$27,
MATCH(Model0.1T!$B$3,'Coeff EC7'!$T$7:$T$27,0),
MATCH(Model0.1T!$D113&amp;Model0.1T!$B$4,
'Coeff EC7'!$Y$6:$AB$6&amp;
'Coeff EC7'!$Y$5:$AB$5,0))</f>
        <v>1.7</v>
      </c>
      <c r="I113" s="83">
        <v>0</v>
      </c>
      <c r="J113" s="91" t="e">
        <f t="array" ref="J113">INDEX('Coeff EC7'!$D$33:$Q$33,1,MATCH(D113&amp;E113,'Coeff EC7'!$D$31:$Q$31&amp;'Coeff EC7'!$D$32:$Q$32,0))</f>
        <v>#N/A</v>
      </c>
      <c r="K113" s="91" t="e">
        <f t="array" ref="K113">INDEX('Coeff EC7'!$D$34:$Q$34,1,MATCH(D113&amp;E113,'Coeff EC7'!$D$31:$Q$31&amp;'Coeff EC7'!$D$32:$Q$32,0))</f>
        <v>#N/A</v>
      </c>
      <c r="L113" s="91" t="e">
        <f t="array" ref="L113">INDEX('Coeff EC7'!$D$35:$Q$35,1,MATCH(D113&amp;E113,'Coeff EC7'!$D$31:$Q$31&amp;'Coeff EC7'!$D$32:$Q$32,0))</f>
        <v>#N/A</v>
      </c>
      <c r="M113" s="98" t="e">
        <f t="shared" si="131"/>
        <v>#N/A</v>
      </c>
      <c r="N113" s="99" t="e">
        <f t="array" ref="N113">INDEX('Coeff EC7'!$D$7:$Q$27,MATCH($B$3,'Coeff EC7'!$C$7:$C$27,0),MATCH(D113&amp;E113,'Coeff EC7'!$D$5:$Q$5&amp;'Coeff EC7'!$D$6:$Q$6,0))</f>
        <v>#N/A</v>
      </c>
      <c r="O113" s="99" t="e">
        <f t="array" ref="O113">INDEX('Coeff EC7'!$D$41:$Q$61,MATCH($B$3,'Coeff EC7'!$C$41:$C$61,0),MATCH(D113&amp;E113,'Coeff EC7'!$D$39:$Q$39&amp;'Coeff EC7'!$D$40:$Q$40,0))</f>
        <v>#N/A</v>
      </c>
      <c r="P113" s="30" t="e">
        <f t="shared" si="166"/>
        <v>#N/A</v>
      </c>
      <c r="Q113" s="100" t="e">
        <f t="shared" si="133"/>
        <v>#N/A</v>
      </c>
      <c r="R113" s="86" t="b">
        <f t="shared" si="134"/>
        <v>0</v>
      </c>
      <c r="S113" s="86">
        <f t="shared" si="132"/>
        <v>0.5</v>
      </c>
      <c r="T113" s="86">
        <f t="shared" si="135"/>
        <v>0.5</v>
      </c>
      <c r="U113" s="30" t="e">
        <f t="shared" ca="1" si="167"/>
        <v>#DIV/0!</v>
      </c>
      <c r="V113" s="85" t="str">
        <f>IF(B113&lt;=Hypothèses!$V$7,Hypothèses!$W$7,IF(B113&lt;=Hypothèses!$V$8,Hypothèses!$W$8,IF(B113&lt;=Hypothèses!$V$9,Hypothèses!$W$9,IF(B113&lt;=Hypothèses!$V$10,Hypothèses!$W$10,IF(B113&lt;=Hypothèses!$V$11,Hypothèses!$W$11,IF(B113&lt;=Hypothèses!$V$12,Hypothèses!$W$12,IF(B113&lt;=Hypothèses!$V$13,Hypothèses!$W$13,IF(B113&lt;=Hypothèses!$V$14,Hypothèses!$W$14,IF(B113&lt;=Hypothèses!$V$15,Hypothèses!$W$15,IF(B113&lt;=Hypothèses!$V$16,Hypothèses!$W$16,IF(B113&lt;=Hypothèses!$V$17,Hypothèses!$W$17,IF(B113&lt;=Hypothèses!$V$18,Hypothèses!$W$18,""))))))))))))</f>
        <v/>
      </c>
      <c r="W113" s="87" t="e">
        <f t="shared" ca="1" si="216"/>
        <v>#DIV/0!</v>
      </c>
      <c r="X113" s="88" t="str">
        <f>IF(B113&lt;=Hypothèses!$V$7,Hypothèses!$X$7,IF(B113&lt;=Hypothèses!$V$8,Hypothèses!$X$8,IF(B113&lt;=Hypothèses!$V$9,Hypothèses!$X$9,IF(B113&lt;=Hypothèses!$V$10,Hypothèses!$X$10,IF(B113&lt;=Hypothèses!$V$11,Hypothèses!$X$11,IF(B113&lt;=Hypothèses!$V$12,Hypothèses!$X$12,IF(B113&lt;=Hypothèses!$V$13,Hypothèses!$X$13,IF(B113&lt;=Hypothèses!$V$14,Hypothèses!$X$14,IF(B113&lt;=Hypothèses!$V$15,Hypothèses!$X$15,IF(B113&lt;=Hypothèses!$V$16,Hypothèses!$X$16,IF(B113&lt;=Hypothèses!$U$17,Hypothèses!$W$17,IF(B113&lt;=Hypothèses!$U$18,Hypothèses!$W$18,""))))))))))))</f>
        <v/>
      </c>
      <c r="Y113" s="95" t="e">
        <f t="shared" ca="1" si="136"/>
        <v>#DIV/0!</v>
      </c>
      <c r="Z113" s="101">
        <f t="shared" si="137"/>
        <v>0</v>
      </c>
      <c r="AA113" s="91">
        <f t="shared" si="138"/>
        <v>0</v>
      </c>
      <c r="AB113" s="30" t="e">
        <f t="shared" si="200"/>
        <v>#N/A</v>
      </c>
      <c r="AC113" s="30" t="e">
        <f t="shared" si="201"/>
        <v>#N/A</v>
      </c>
      <c r="AD113" s="31" t="e">
        <f>IF(OR(Hypothèses!$B$4=17,Hypothèses!$B$4=18,Hypothèses!$B$4=19,Hypothèses!$B$4=20),
IF($D113="Pressio.",
IF(OR($E113=3,$E113=1,$E113=4),AC113,AB113),
IF($D113="Pénétro.",
IF(OR($E113=3,$E113=1,$E113=4),AC113,AB113))),IF($D113="Pressio.",
IF($E113=3,AC113,AB113),
IF($D113="Pénétro.",
IF($E113=4,AC113,AB113))))</f>
        <v>#N/A</v>
      </c>
      <c r="AE113" s="31">
        <v>0</v>
      </c>
      <c r="AF113" s="102" t="e">
        <f>IF(NDC!$H$10="Oui",(VLOOKUP($B$3,'Coeff EC7'!$T$39:$X$59,2,0)*AD113+VLOOKUP($B$3,'Coeff EC7'!$T$65:$X$85,2,0)*Model0.1T!AE113)/1.5,PI()*AB$12*$Q113*($B113-$B112)*0.15/10+AF112)</f>
        <v>#N/A</v>
      </c>
      <c r="AG113" s="102" t="e">
        <f>(VLOOKUP($B$3,'Coeff EC7'!$T$39:$X$59,3,0)*AD113+VLOOKUP($B$3,'Coeff EC7'!$T$65:$X$85,3,0)*Model0.1T!AE113)/1.1</f>
        <v>#N/A</v>
      </c>
      <c r="AH113" s="102" t="e">
        <f t="shared" si="168"/>
        <v>#N/A</v>
      </c>
      <c r="AI113" s="102" t="e">
        <f t="shared" si="169"/>
        <v>#N/A</v>
      </c>
      <c r="AJ113" s="414" t="e">
        <f>IF(AND(AF113&gt;NDC!$C$63,AG113&gt;NDC!$C$65,AH113&gt;NDC!$D$73,AI113&gt;NDC!$D$74,$B113&gt;NDC!$H$22-0.1+MIN(3*$AJ$12,1.5)),0,1)</f>
        <v>#N/A</v>
      </c>
      <c r="AK113" s="86" t="b">
        <f t="shared" si="139"/>
        <v>0</v>
      </c>
      <c r="AL113" s="86">
        <f t="shared" si="170"/>
        <v>0.5</v>
      </c>
      <c r="AM113" s="86">
        <f t="shared" si="140"/>
        <v>0.5</v>
      </c>
      <c r="AN113" s="30" t="e">
        <f t="shared" ca="1" si="171"/>
        <v>#DIV/0!</v>
      </c>
      <c r="AO113" s="85" t="e">
        <f ca="1">IF(U113&lt;=Hypothèses!$V$7,Hypothèses!$W$7,IF(U113&lt;=Hypothèses!$V$8,Hypothèses!$W$8,IF(U113&lt;=Hypothèses!$V$9,Hypothèses!$W$9,IF(U113&lt;=Hypothèses!$V$10,Hypothèses!$W$10,IF(U113&lt;=Hypothèses!$V$11,Hypothèses!$W$11,IF(U113&lt;=Hypothèses!$V$12,Hypothèses!$W$12,IF(U113&lt;=Hypothèses!$V$13,Hypothèses!$W$13,IF(U113&lt;=Hypothèses!$V$14,Hypothèses!$W$14,IF(U113&lt;=Hypothèses!$V$15,Hypothèses!$W$15,IF(U113&lt;=Hypothèses!$V$16,Hypothèses!$W$16,IF(U113&lt;=Hypothèses!$V$17,Hypothèses!$W$17,IF(U113&lt;=Hypothèses!$V$18,Hypothèses!$W$18,""))))))))))))</f>
        <v>#DIV/0!</v>
      </c>
      <c r="AP113" s="87" t="e">
        <f t="shared" ca="1" si="217"/>
        <v>#DIV/0!</v>
      </c>
      <c r="AQ113" s="88" t="e">
        <f ca="1">IF(U113&lt;=Hypothèses!$V$7,Hypothèses!$X$7,IF(U113&lt;=Hypothèses!$V$8,Hypothèses!$X$8,IF(U113&lt;=Hypothèses!$V$9,Hypothèses!$X$9,IF(U113&lt;=Hypothèses!$V$10,Hypothèses!$X$10,IF(U113&lt;=Hypothèses!$V$11,Hypothèses!$X$11,IF(U113&lt;=Hypothèses!$V$12,Hypothèses!$X$12,IF(U113&lt;=Hypothèses!$V$13,Hypothèses!$X$13,IF(U113&lt;=Hypothèses!$V$14,Hypothèses!$X$14,IF(U113&lt;=Hypothèses!$V$15,Hypothèses!$X$15,IF(U113&lt;=Hypothèses!$V$16,Hypothèses!$X$16,IF(U113&lt;=Hypothèses!$U$17,Hypothèses!$W$17,IF(U113&lt;=Hypothèses!$U$18,Hypothèses!$W$18,""))))))))))))</f>
        <v>#DIV/0!</v>
      </c>
      <c r="AR113" s="95" t="e">
        <f t="shared" ca="1" si="172"/>
        <v>#DIV/0!</v>
      </c>
      <c r="AS113" s="101">
        <f t="shared" si="224"/>
        <v>0</v>
      </c>
      <c r="AT113" s="91">
        <f t="shared" si="141"/>
        <v>0</v>
      </c>
      <c r="AU113" s="30" t="e">
        <f t="shared" si="202"/>
        <v>#N/A</v>
      </c>
      <c r="AV113" s="30" t="e">
        <f t="shared" si="203"/>
        <v>#N/A</v>
      </c>
      <c r="AW113" s="31" t="e">
        <f>IF(OR(Hypothèses!$B$4=17,Hypothèses!$B$4=18,Hypothèses!$B$4=19,Hypothèses!$B$4=20),
IF($D113="Pressio.",
IF(OR($E113=3,$E113=1,$E113=4),AV113,AU113),
IF($D113="Pénétro.",
IF(OR($E113=3,$E113=1,$E113=4),AV113,AU113))),IF($D113="Pressio.",
IF($E113=3,AV113,AU113),
IF($D113="Pénétro.",
IF($E113=4,AV113,AU113))))</f>
        <v>#N/A</v>
      </c>
      <c r="AX113" s="31">
        <v>0</v>
      </c>
      <c r="AY113" s="102" t="e">
        <f>IF(NDC!$H$10="Oui",(VLOOKUP($B$3,'Coeff EC7'!$T$39:$X$59,2,0)*AW113+VLOOKUP($B$3,'Coeff EC7'!$T$65:$X$85,2,0)*Model0.1T!AX113)/1.5,PI()*AU$12*$Q113*($B113-$B112)*0.15/10+AY112)</f>
        <v>#N/A</v>
      </c>
      <c r="AZ113" s="102" t="e">
        <f>(VLOOKUP($B$3,'Coeff EC7'!$T$39:$X$59,3,0)*AW113+VLOOKUP($B$3,'Coeff EC7'!$T$65:$X$85,3,0)*Model0.1T!AX113)/1.1</f>
        <v>#N/A</v>
      </c>
      <c r="BA113" s="102" t="e">
        <f t="shared" si="173"/>
        <v>#N/A</v>
      </c>
      <c r="BB113" s="102" t="e">
        <f t="shared" si="174"/>
        <v>#N/A</v>
      </c>
      <c r="BC113" s="414" t="e">
        <f>IF(AND(AY113&gt;NDC!$C$63,AZ113&gt;NDC!$C$65,BA113&gt;NDC!$D$73,BB113&gt;NDC!$D$74,$B113&gt;NDC!$H$22-0.1+MIN(3*BC$12,1.5)),0,1)</f>
        <v>#N/A</v>
      </c>
      <c r="BD113" s="86" t="b">
        <f t="shared" si="142"/>
        <v>0</v>
      </c>
      <c r="BE113" s="86">
        <f t="shared" si="175"/>
        <v>0.5</v>
      </c>
      <c r="BF113" s="86">
        <f t="shared" si="143"/>
        <v>0.5</v>
      </c>
      <c r="BG113" s="30" t="e">
        <f t="shared" ca="1" si="176"/>
        <v>#DIV/0!</v>
      </c>
      <c r="BH113" s="85" t="e">
        <f ca="1">IF(AN113&lt;=Hypothèses!$V$7,Hypothèses!$W$7,IF(AN113&lt;=Hypothèses!$V$8,Hypothèses!$W$8,IF(AN113&lt;=Hypothèses!$V$9,Hypothèses!$W$9,IF(AN113&lt;=Hypothèses!$V$10,Hypothèses!$W$10,IF(AN113&lt;=Hypothèses!$V$11,Hypothèses!$W$11,IF(AN113&lt;=Hypothèses!$V$12,Hypothèses!$W$12,IF(AN113&lt;=Hypothèses!$V$13,Hypothèses!$W$13,IF(AN113&lt;=Hypothèses!$V$14,Hypothèses!$W$14,IF(AN113&lt;=Hypothèses!$V$15,Hypothèses!$W$15,IF(AN113&lt;=Hypothèses!$V$16,Hypothèses!$W$16,IF(AN113&lt;=Hypothèses!$V$17,Hypothèses!$W$17,IF(AN113&lt;=Hypothèses!$V$18,Hypothèses!$W$18,""))))))))))))</f>
        <v>#DIV/0!</v>
      </c>
      <c r="BI113" s="87" t="e">
        <f t="shared" ca="1" si="218"/>
        <v>#DIV/0!</v>
      </c>
      <c r="BJ113" s="88" t="e">
        <f ca="1">IF(AN113&lt;=Hypothèses!$V$7,Hypothèses!$X$7,IF(AN113&lt;=Hypothèses!$V$8,Hypothèses!$X$8,IF(AN113&lt;=Hypothèses!$V$9,Hypothèses!$X$9,IF(AN113&lt;=Hypothèses!$V$10,Hypothèses!$X$10,IF(AN113&lt;=Hypothèses!$V$11,Hypothèses!$X$11,IF(AN113&lt;=Hypothèses!$V$12,Hypothèses!$X$12,IF(AN113&lt;=Hypothèses!$V$13,Hypothèses!$X$13,IF(AN113&lt;=Hypothèses!$V$14,Hypothèses!$X$14,IF(AN113&lt;=Hypothèses!$V$15,Hypothèses!$X$15,IF(AN113&lt;=Hypothèses!$V$16,Hypothèses!$X$16,IF(AN113&lt;=Hypothèses!$U$17,Hypothèses!$W$17,IF(AN113&lt;=Hypothèses!$U$18,Hypothèses!$W$18,""))))))))))))</f>
        <v>#DIV/0!</v>
      </c>
      <c r="BK113" s="95" t="e">
        <f t="shared" ca="1" si="177"/>
        <v>#DIV/0!</v>
      </c>
      <c r="BL113" s="101">
        <f t="shared" si="225"/>
        <v>0</v>
      </c>
      <c r="BM113" s="91">
        <f t="shared" si="144"/>
        <v>0</v>
      </c>
      <c r="BN113" s="30" t="e">
        <f t="shared" si="204"/>
        <v>#N/A</v>
      </c>
      <c r="BO113" s="30" t="e">
        <f t="shared" si="205"/>
        <v>#N/A</v>
      </c>
      <c r="BP113" s="31" t="e">
        <f>IF(OR(Hypothèses!$B$4=17,Hypothèses!$B$4=18,Hypothèses!$B$4=19,Hypothèses!$B$4=20),
IF($D113="Pressio.",
IF(OR($E113=3,$E113=1,$E113=4),BO113,BN113),
IF($D113="Pénétro.",
IF(OR($E113=3,$E113=1,$E113=4),BO113,BN113))),IF($D113="Pressio.",
IF($E113=3,BO113,BN113),
IF($D113="Pénétro.",
IF($E113=4,BO113,BN113))))</f>
        <v>#N/A</v>
      </c>
      <c r="BQ113" s="31">
        <v>0</v>
      </c>
      <c r="BR113" s="102" t="e">
        <f>IF(NDC!$H$10="Oui",(VLOOKUP($B$3,'Coeff EC7'!$T$39:$X$59,2,0)*BP113+VLOOKUP($B$3,'Coeff EC7'!$T$65:$X$85,2,0)*Model0.1T!BQ113)/1.5,PI()*BN$12*$Q113*($B113-$B112)*0.15/10+BR112)</f>
        <v>#N/A</v>
      </c>
      <c r="BS113" s="102" t="e">
        <f>(VLOOKUP($B$3,'Coeff EC7'!$T$39:$X$59,3,0)*BP113+VLOOKUP($B$3,'Coeff EC7'!$T$65:$X$85,3,0)*Model0.1T!BQ113)/1.1</f>
        <v>#N/A</v>
      </c>
      <c r="BT113" s="102" t="e">
        <f t="shared" si="178"/>
        <v>#N/A</v>
      </c>
      <c r="BU113" s="102" t="e">
        <f t="shared" si="179"/>
        <v>#N/A</v>
      </c>
      <c r="BV113" s="414" t="e">
        <f>IF(AND(BR113&gt;NDC!$C$63,BS113&gt;NDC!$C$65,BT113&gt;NDC!$D$73,BU113&gt;NDC!$D$74,$B113&gt;NDC!$H$22-0.1+MIN(3*BV$12,1.5)),0,1)</f>
        <v>#N/A</v>
      </c>
      <c r="BW113" s="86" t="b">
        <f t="shared" si="145"/>
        <v>0</v>
      </c>
      <c r="BX113" s="86">
        <f t="shared" si="146"/>
        <v>0.5</v>
      </c>
      <c r="BY113" s="86">
        <f t="shared" si="147"/>
        <v>0.5</v>
      </c>
      <c r="BZ113" s="30" t="e">
        <f t="shared" ca="1" si="180"/>
        <v>#DIV/0!</v>
      </c>
      <c r="CA113" s="85" t="e">
        <f ca="1">IF(BG113&lt;=Hypothèses!$V$7,Hypothèses!$W$7,IF(BG113&lt;=Hypothèses!$V$8,Hypothèses!$W$8,IF(BG113&lt;=Hypothèses!$V$9,Hypothèses!$W$9,IF(BG113&lt;=Hypothèses!$V$10,Hypothèses!$W$10,IF(BG113&lt;=Hypothèses!$V$11,Hypothèses!$W$11,IF(BG113&lt;=Hypothèses!$V$12,Hypothèses!$W$12,IF(BG113&lt;=Hypothèses!$V$13,Hypothèses!$W$13,IF(BG113&lt;=Hypothèses!$V$14,Hypothèses!$W$14,IF(BG113&lt;=Hypothèses!$V$15,Hypothèses!$W$15,IF(BG113&lt;=Hypothèses!$V$16,Hypothèses!$W$16,IF(BG113&lt;=Hypothèses!$V$17,Hypothèses!$W$17,IF(BG113&lt;=Hypothèses!$V$18,Hypothèses!$W$18,""))))))))))))</f>
        <v>#DIV/0!</v>
      </c>
      <c r="CB113" s="87" t="e">
        <f t="shared" ca="1" si="219"/>
        <v>#DIV/0!</v>
      </c>
      <c r="CC113" s="88" t="e">
        <f ca="1">IF(BG113&lt;=Hypothèses!$V$7,Hypothèses!$X$7,IF(BG113&lt;=Hypothèses!$V$8,Hypothèses!$X$8,IF(BG113&lt;=Hypothèses!$V$9,Hypothèses!$X$9,IF(BG113&lt;=Hypothèses!$V$10,Hypothèses!$X$10,IF(BG113&lt;=Hypothèses!$V$11,Hypothèses!$X$11,IF(BG113&lt;=Hypothèses!$V$12,Hypothèses!$X$12,IF(BG113&lt;=Hypothèses!$V$13,Hypothèses!$X$13,IF(BG113&lt;=Hypothèses!$V$14,Hypothèses!$X$14,IF(BG113&lt;=Hypothèses!$V$15,Hypothèses!$X$15,IF(BG113&lt;=Hypothèses!$V$16,Hypothèses!$X$16,IF(BG113&lt;=Hypothèses!$U$17,Hypothèses!$W$17,IF(BG113&lt;=Hypothèses!$U$18,Hypothèses!$W$18,""))))))))))))</f>
        <v>#DIV/0!</v>
      </c>
      <c r="CD113" s="95" t="e">
        <f t="shared" ca="1" si="181"/>
        <v>#DIV/0!</v>
      </c>
      <c r="CE113" s="101">
        <f t="shared" si="226"/>
        <v>0</v>
      </c>
      <c r="CF113" s="91">
        <f t="shared" si="148"/>
        <v>0</v>
      </c>
      <c r="CG113" s="30" t="e">
        <f t="shared" si="206"/>
        <v>#N/A</v>
      </c>
      <c r="CH113" s="30" t="e">
        <f t="shared" si="207"/>
        <v>#N/A</v>
      </c>
      <c r="CI113" s="31" t="e">
        <f>IF(OR(Hypothèses!$B$4=17,Hypothèses!$B$4=18,Hypothèses!$B$4=19,Hypothèses!$B$4=20),
IF($D113="Pressio.",
IF(OR($E113=3,$E113=1,$E113=4),CH113,CG113),
IF($D113="Pénétro.",
IF(OR($E113=3,$E113=1,$E113=4),CH113,CG113))),IF($D113="Pressio.",
IF($E113=3,CH113,CG113),
IF($D113="Pénétro.",
IF($E113=4,CH113,CG113))))</f>
        <v>#N/A</v>
      </c>
      <c r="CJ113" s="31">
        <v>0</v>
      </c>
      <c r="CK113" s="102" t="e">
        <f>IF(NDC!$H$10="Oui",(VLOOKUP($B$3,'Coeff EC7'!$T$39:$X$59,2,0)*CI113+VLOOKUP($B$3,'Coeff EC7'!$T$65:$X$85,2,0)*Model0.1T!CJ113)/1.5,PI()*CG$12*$Q113*($B113-$B112)*0.15/10+CK112)</f>
        <v>#N/A</v>
      </c>
      <c r="CL113" s="102" t="e">
        <f>(VLOOKUP($B$3,'Coeff EC7'!$T$39:$X$59,3,0)*CI113+VLOOKUP($B$3,'Coeff EC7'!$T$65:$X$85,3,0)*Model0.1T!CJ113)/1.1</f>
        <v>#N/A</v>
      </c>
      <c r="CM113" s="102" t="e">
        <f t="shared" si="182"/>
        <v>#N/A</v>
      </c>
      <c r="CN113" s="102" t="e">
        <f t="shared" si="183"/>
        <v>#N/A</v>
      </c>
      <c r="CO113" s="414" t="e">
        <f>IF(AND(CK113&gt;NDC!$C$63,CL113&gt;NDC!$C$65,CM113&gt;NDC!$D$73,CN113&gt;NDC!$D$74,$B113&gt;NDC!$H$22-0.1+MIN(3*CO$12,1.5)),0,1)</f>
        <v>#N/A</v>
      </c>
      <c r="CP113" s="86" t="b">
        <f t="shared" si="149"/>
        <v>0</v>
      </c>
      <c r="CQ113" s="86">
        <f t="shared" si="150"/>
        <v>0.5</v>
      </c>
      <c r="CR113" s="86">
        <f t="shared" si="151"/>
        <v>0.5</v>
      </c>
      <c r="CS113" s="30" t="e">
        <f t="shared" ca="1" si="184"/>
        <v>#DIV/0!</v>
      </c>
      <c r="CT113" s="85" t="e">
        <f ca="1">IF(BZ113&lt;=Hypothèses!$V$7,Hypothèses!$W$7,IF(BZ113&lt;=Hypothèses!$V$8,Hypothèses!$W$8,IF(BZ113&lt;=Hypothèses!$V$9,Hypothèses!$W$9,IF(BZ113&lt;=Hypothèses!$V$10,Hypothèses!$W$10,IF(BZ113&lt;=Hypothèses!$V$11,Hypothèses!$W$11,IF(BZ113&lt;=Hypothèses!$V$12,Hypothèses!$W$12,IF(BZ113&lt;=Hypothèses!$V$13,Hypothèses!$W$13,IF(BZ113&lt;=Hypothèses!$V$14,Hypothèses!$W$14,IF(BZ113&lt;=Hypothèses!$V$15,Hypothèses!$W$15,IF(BZ113&lt;=Hypothèses!$V$16,Hypothèses!$W$16,IF(BZ113&lt;=Hypothèses!$V$17,Hypothèses!$W$17,IF(BZ113&lt;=Hypothèses!$V$18,Hypothèses!$W$18,""))))))))))))</f>
        <v>#DIV/0!</v>
      </c>
      <c r="CU113" s="87" t="e">
        <f t="shared" ca="1" si="220"/>
        <v>#DIV/0!</v>
      </c>
      <c r="CV113" s="88" t="e">
        <f ca="1">IF(BZ113&lt;=Hypothèses!$V$7,Hypothèses!$X$7,IF(BZ113&lt;=Hypothèses!$V$8,Hypothèses!$X$8,IF(BZ113&lt;=Hypothèses!$V$9,Hypothèses!$X$9,IF(BZ113&lt;=Hypothèses!$V$10,Hypothèses!$X$10,IF(BZ113&lt;=Hypothèses!$V$11,Hypothèses!$X$11,IF(BZ113&lt;=Hypothèses!$V$12,Hypothèses!$X$12,IF(BZ113&lt;=Hypothèses!$V$13,Hypothèses!$X$13,IF(BZ113&lt;=Hypothèses!$V$14,Hypothèses!$X$14,IF(BZ113&lt;=Hypothèses!$V$15,Hypothèses!$X$15,IF(BZ113&lt;=Hypothèses!$V$16,Hypothèses!$X$16,IF(BZ113&lt;=Hypothèses!$U$17,Hypothèses!$W$17,IF(BZ113&lt;=Hypothèses!$U$18,Hypothèses!$W$18,""))))))))))))</f>
        <v>#DIV/0!</v>
      </c>
      <c r="CW113" s="95" t="e">
        <f t="shared" ca="1" si="185"/>
        <v>#DIV/0!</v>
      </c>
      <c r="CX113" s="101">
        <f t="shared" si="227"/>
        <v>0</v>
      </c>
      <c r="CY113" s="91">
        <f t="shared" si="152"/>
        <v>0</v>
      </c>
      <c r="CZ113" s="30" t="e">
        <f t="shared" si="208"/>
        <v>#N/A</v>
      </c>
      <c r="DA113" s="30" t="e">
        <f t="shared" si="209"/>
        <v>#N/A</v>
      </c>
      <c r="DB113" s="31" t="e">
        <f>IF(OR(Hypothèses!$B$4=17,Hypothèses!$B$4=18,Hypothèses!$B$4=19,Hypothèses!$B$4=20),
IF($D113="Pressio.",
IF(OR($E113=3,$E113=1,$E113=4),DA113,CZ113),
IF($D113="Pénétro.",
IF(OR($E113=3,$E113=1,$E113=4),DA113,CZ113))),IF($D113="Pressio.",
IF($E113=3,DA113,CZ113),
IF($D113="Pénétro.",
IF($E113=4,DA113,CZ113))))</f>
        <v>#N/A</v>
      </c>
      <c r="DC113" s="31">
        <v>0</v>
      </c>
      <c r="DD113" s="102" t="e">
        <f>IF(NDC!$H$10="Oui",(VLOOKUP($B$3,'Coeff EC7'!$T$39:$X$59,2,0)*DB113+VLOOKUP($B$3,'Coeff EC7'!$T$65:$X$85,2,0)*Model0.1T!DC113)/1.5,PI()*CZ$12*$Q113*($B113-$B112)*0.15/10+DD112)</f>
        <v>#N/A</v>
      </c>
      <c r="DE113" s="102" t="e">
        <f>(VLOOKUP($B$3,'Coeff EC7'!$T$39:$X$59,3,0)*DB113+VLOOKUP($B$3,'Coeff EC7'!$T$65:$X$85,3,0)*Model0.1T!DC113)/1.1</f>
        <v>#N/A</v>
      </c>
      <c r="DF113" s="102" t="e">
        <f t="shared" si="186"/>
        <v>#N/A</v>
      </c>
      <c r="DG113" s="102" t="e">
        <f t="shared" si="187"/>
        <v>#N/A</v>
      </c>
      <c r="DH113" s="414" t="e">
        <f>IF(AND(DD113&gt;NDC!$C$63,DE113&gt;NDC!$C$65,DF113&gt;NDC!$D$73,DG113&gt;NDC!$D$74,$B113&gt;NDC!$H$22-0.1+MIN(3*DH$12,1.5)),0,1)</f>
        <v>#N/A</v>
      </c>
      <c r="DI113" s="86" t="b">
        <f t="shared" si="153"/>
        <v>0</v>
      </c>
      <c r="DJ113" s="86">
        <f t="shared" si="154"/>
        <v>0.5</v>
      </c>
      <c r="DK113" s="86">
        <f t="shared" si="155"/>
        <v>0.5</v>
      </c>
      <c r="DL113" s="30" t="e">
        <f t="shared" ca="1" si="188"/>
        <v>#DIV/0!</v>
      </c>
      <c r="DM113" s="85" t="e">
        <f ca="1">IF(CS113&lt;=Hypothèses!$V$7,Hypothèses!$W$7,IF(CS113&lt;=Hypothèses!$V$8,Hypothèses!$W$8,IF(CS113&lt;=Hypothèses!$V$9,Hypothèses!$W$9,IF(CS113&lt;=Hypothèses!$V$10,Hypothèses!$W$10,IF(CS113&lt;=Hypothèses!$V$11,Hypothèses!$W$11,IF(CS113&lt;=Hypothèses!$V$12,Hypothèses!$W$12,IF(CS113&lt;=Hypothèses!$V$13,Hypothèses!$W$13,IF(CS113&lt;=Hypothèses!$V$14,Hypothèses!$W$14,IF(CS113&lt;=Hypothèses!$V$15,Hypothèses!$W$15,IF(CS113&lt;=Hypothèses!$V$16,Hypothèses!$W$16,IF(CS113&lt;=Hypothèses!$V$17,Hypothèses!$W$17,IF(CS113&lt;=Hypothèses!$V$18,Hypothèses!$W$18,""))))))))))))</f>
        <v>#DIV/0!</v>
      </c>
      <c r="DN113" s="87" t="e">
        <f t="shared" ca="1" si="221"/>
        <v>#DIV/0!</v>
      </c>
      <c r="DO113" s="88" t="e">
        <f ca="1">IF(CS113&lt;=Hypothèses!$V$7,Hypothèses!$X$7,IF(CS113&lt;=Hypothèses!$V$8,Hypothèses!$X$8,IF(CS113&lt;=Hypothèses!$V$9,Hypothèses!$X$9,IF(CS113&lt;=Hypothèses!$V$10,Hypothèses!$X$10,IF(CS113&lt;=Hypothèses!$V$11,Hypothèses!$X$11,IF(CS113&lt;=Hypothèses!$V$12,Hypothèses!$X$12,IF(CS113&lt;=Hypothèses!$V$13,Hypothèses!$X$13,IF(CS113&lt;=Hypothèses!$V$14,Hypothèses!$X$14,IF(CS113&lt;=Hypothèses!$V$15,Hypothèses!$X$15,IF(CS113&lt;=Hypothèses!$V$16,Hypothèses!$X$16,IF(CS113&lt;=Hypothèses!$U$17,Hypothèses!$W$17,IF(CS113&lt;=Hypothèses!$U$18,Hypothèses!$W$18,""))))))))))))</f>
        <v>#DIV/0!</v>
      </c>
      <c r="DP113" s="95" t="e">
        <f t="shared" ca="1" si="189"/>
        <v>#DIV/0!</v>
      </c>
      <c r="DQ113" s="101">
        <f t="shared" si="228"/>
        <v>0</v>
      </c>
      <c r="DR113" s="91">
        <f t="shared" si="156"/>
        <v>0</v>
      </c>
      <c r="DS113" s="30" t="e">
        <f t="shared" si="210"/>
        <v>#N/A</v>
      </c>
      <c r="DT113" s="30" t="e">
        <f t="shared" si="211"/>
        <v>#N/A</v>
      </c>
      <c r="DU113" s="31" t="e">
        <f>IF(OR(Hypothèses!$B$4=17,Hypothèses!$B$4=18,Hypothèses!$B$4=19,Hypothèses!$B$4=20),
IF($D113="Pressio.",
IF(OR($E113=3,$E113=1,$E113=4),DT113,DS113),
IF($D113="Pénétro.",
IF(OR($E113=3,$E113=1,$E113=4),DT113,DS113))),IF($D113="Pressio.",
IF($E113=3,DT113,DS113),
IF($D113="Pénétro.",
IF($E113=4,DT113,DS113))))</f>
        <v>#N/A</v>
      </c>
      <c r="DV113" s="31">
        <v>0</v>
      </c>
      <c r="DW113" s="102" t="e">
        <f>IF(NDC!$H$10="Oui",(VLOOKUP($B$3,'Coeff EC7'!$T$39:$X$59,2,0)*DU113+VLOOKUP($B$3,'Coeff EC7'!$T$65:$X$85,2,0)*Model0.1T!DV113)/1.5,PI()*DS$12*$Q113*($B113-$B112)*0.15/10+DW112)</f>
        <v>#N/A</v>
      </c>
      <c r="DX113" s="102" t="e">
        <f>(VLOOKUP($B$3,'Coeff EC7'!$T$39:$X$59,3,0)*DU113+VLOOKUP($B$3,'Coeff EC7'!$T$65:$X$85,3,0)*Model0.1T!DV113)/1.1</f>
        <v>#N/A</v>
      </c>
      <c r="DY113" s="102" t="e">
        <f t="shared" si="190"/>
        <v>#N/A</v>
      </c>
      <c r="DZ113" s="102" t="e">
        <f t="shared" si="191"/>
        <v>#N/A</v>
      </c>
      <c r="EA113" s="414" t="e">
        <f>IF(AND(DW113&gt;NDC!$C$63,DX113&gt;NDC!$C$65,DY113&gt;NDC!$D$73,DZ113&gt;NDC!$D$74,$B113&gt;NDC!$H$22-0.1+MIN(3*EA$12,1.5)),0,1)</f>
        <v>#N/A</v>
      </c>
      <c r="EB113" s="86" t="b">
        <f t="shared" si="157"/>
        <v>0</v>
      </c>
      <c r="EC113" s="418">
        <f t="shared" si="158"/>
        <v>0.51</v>
      </c>
      <c r="ED113" s="86">
        <f t="shared" si="159"/>
        <v>0.51</v>
      </c>
      <c r="EE113" s="30" t="e">
        <f t="shared" ca="1" si="192"/>
        <v>#DIV/0!</v>
      </c>
      <c r="EF113" s="85" t="e">
        <f ca="1">IF(DL113&lt;=Hypothèses!$V$7,Hypothèses!$W$7,IF(DL113&lt;=Hypothèses!$V$8,Hypothèses!$W$8,IF(DL113&lt;=Hypothèses!$V$9,Hypothèses!$W$9,IF(DL113&lt;=Hypothèses!$V$10,Hypothèses!$W$10,IF(DL113&lt;=Hypothèses!$V$11,Hypothèses!$W$11,IF(DL113&lt;=Hypothèses!$V$12,Hypothèses!$W$12,IF(DL113&lt;=Hypothèses!$V$13,Hypothèses!$W$13,IF(DL113&lt;=Hypothèses!$V$14,Hypothèses!$W$14,IF(DL113&lt;=Hypothèses!$V$15,Hypothèses!$W$15,IF(DL113&lt;=Hypothèses!$V$16,Hypothèses!$W$16,IF(DL113&lt;=Hypothèses!$V$17,Hypothèses!$W$17,IF(DL113&lt;=Hypothèses!$V$18,Hypothèses!$W$18,""))))))))))))</f>
        <v>#DIV/0!</v>
      </c>
      <c r="EG113" s="87" t="e">
        <f t="shared" ca="1" si="222"/>
        <v>#DIV/0!</v>
      </c>
      <c r="EH113" s="88" t="e">
        <f ca="1">IF(DL113&lt;=Hypothèses!$V$7,Hypothèses!$X$7,IF(DL113&lt;=Hypothèses!$V$8,Hypothèses!$X$8,IF(DL113&lt;=Hypothèses!$V$9,Hypothèses!$X$9,IF(DL113&lt;=Hypothèses!$V$10,Hypothèses!$X$10,IF(DL113&lt;=Hypothèses!$V$11,Hypothèses!$X$11,IF(DL113&lt;=Hypothèses!$V$12,Hypothèses!$X$12,IF(DL113&lt;=Hypothèses!$V$13,Hypothèses!$X$13,IF(DL113&lt;=Hypothèses!$V$14,Hypothèses!$X$14,IF(DL113&lt;=Hypothèses!$V$15,Hypothèses!$X$15,IF(DL113&lt;=Hypothèses!$V$16,Hypothèses!$X$16,IF(DL113&lt;=Hypothèses!$U$17,Hypothèses!$W$17,IF(DL113&lt;=Hypothèses!$U$18,Hypothèses!$W$18,""))))))))))))</f>
        <v>#DIV/0!</v>
      </c>
      <c r="EI113" s="95" t="e">
        <f t="shared" ca="1" si="193"/>
        <v>#DIV/0!</v>
      </c>
      <c r="EJ113" s="101">
        <f t="shared" si="229"/>
        <v>0</v>
      </c>
      <c r="EK113" s="91">
        <f t="shared" si="160"/>
        <v>0</v>
      </c>
      <c r="EL113" s="30" t="e">
        <f t="shared" si="212"/>
        <v>#N/A</v>
      </c>
      <c r="EM113" s="30" t="e">
        <f t="shared" si="213"/>
        <v>#N/A</v>
      </c>
      <c r="EN113" s="31" t="e">
        <f>IF(OR(Hypothèses!$B$4=17,Hypothèses!$B$4=18,Hypothèses!$B$4=19,Hypothèses!$B$4=20),
IF($D113="Pressio.",
IF(OR($E113=3,$E113=1,$E113=4),EM113,EL113),
IF($D113="Pénétro.",
IF(OR($E113=3,$E113=1,$E113=4),EM113,EL113))),IF($D113="Pressio.",
IF($E113=3,EM113,EL113),
IF($D113="Pénétro.",
IF($E113=4,EM113,EL113))))</f>
        <v>#N/A</v>
      </c>
      <c r="EO113" s="31">
        <v>0</v>
      </c>
      <c r="EP113" s="102" t="e">
        <f>IF(NDC!$H$10="Oui",(VLOOKUP($B$3,'Coeff EC7'!$T$39:$X$59,2,0)*EN113+VLOOKUP($B$3,'Coeff EC7'!$T$65:$X$85,2,0)*Model0.1T!EO113)/1.5,PI()*EL$12*$Q113*($B113-$B112)*0.15/10+EP112)</f>
        <v>#N/A</v>
      </c>
      <c r="EQ113" s="102" t="e">
        <f>(VLOOKUP($B$3,'Coeff EC7'!$T$39:$X$59,3,0)*EN113+VLOOKUP($B$3,'Coeff EC7'!$T$65:$X$85,3,0)*Model0.1T!EO113)/1.1</f>
        <v>#N/A</v>
      </c>
      <c r="ER113" s="102" t="e">
        <f t="shared" si="194"/>
        <v>#N/A</v>
      </c>
      <c r="ES113" s="102" t="e">
        <f t="shared" si="195"/>
        <v>#N/A</v>
      </c>
      <c r="ET113" s="414" t="e">
        <f>IF(AND(EP113&gt;NDC!$C$63,EQ113&gt;NDC!$C$65,ER113&gt;NDC!$D$73,ES113&gt;NDC!$D$74,$B113&gt;NDC!$H$22-0.1+MIN(3*ET$12,1.5)),0,1)</f>
        <v>#N/A</v>
      </c>
      <c r="EU113" s="86" t="b">
        <f t="shared" si="161"/>
        <v>0</v>
      </c>
      <c r="EV113" s="86">
        <f t="shared" si="162"/>
        <v>0.61</v>
      </c>
      <c r="EW113" s="86">
        <f t="shared" si="163"/>
        <v>0.61</v>
      </c>
      <c r="EX113" s="30" t="e">
        <f t="shared" ca="1" si="196"/>
        <v>#DIV/0!</v>
      </c>
      <c r="EY113" s="85" t="e">
        <f ca="1">IF(EE113&lt;=Hypothèses!$V$7,Hypothèses!$W$7,IF(EE113&lt;=Hypothèses!$V$8,Hypothèses!$W$8,IF(EE113&lt;=Hypothèses!$V$9,Hypothèses!$W$9,IF(EE113&lt;=Hypothèses!$V$10,Hypothèses!$W$10,IF(EE113&lt;=Hypothèses!$V$11,Hypothèses!$W$11,IF(EE113&lt;=Hypothèses!$V$12,Hypothèses!$W$12,IF(EE113&lt;=Hypothèses!$V$13,Hypothèses!$W$13,IF(EE113&lt;=Hypothèses!$V$14,Hypothèses!$W$14,IF(EE113&lt;=Hypothèses!$V$15,Hypothèses!$W$15,IF(EE113&lt;=Hypothèses!$V$16,Hypothèses!$W$16,IF(EE113&lt;=Hypothèses!$V$17,Hypothèses!$W$17,IF(EE113&lt;=Hypothèses!$V$18,Hypothèses!$W$18,""))))))))))))</f>
        <v>#DIV/0!</v>
      </c>
      <c r="EZ113" s="87" t="e">
        <f t="shared" ca="1" si="223"/>
        <v>#DIV/0!</v>
      </c>
      <c r="FA113" s="88" t="e">
        <f ca="1">IF(EE113&lt;=Hypothèses!$V$7,Hypothèses!$X$7,IF(EE113&lt;=Hypothèses!$V$8,Hypothèses!$X$8,IF(EE113&lt;=Hypothèses!$V$9,Hypothèses!$X$9,IF(EE113&lt;=Hypothèses!$V$10,Hypothèses!$X$10,IF(EE113&lt;=Hypothèses!$V$11,Hypothèses!$X$11,IF(EE113&lt;=Hypothèses!$V$12,Hypothèses!$X$12,IF(EE113&lt;=Hypothèses!$V$13,Hypothèses!$X$13,IF(EE113&lt;=Hypothèses!$V$14,Hypothèses!$X$14,IF(EE113&lt;=Hypothèses!$V$15,Hypothèses!$X$15,IF(EE113&lt;=Hypothèses!$V$16,Hypothèses!$X$16,IF(EE113&lt;=Hypothèses!$U$17,Hypothèses!$W$17,IF(EE113&lt;=Hypothèses!$U$18,Hypothèses!$W$18,""))))))))))))</f>
        <v>#DIV/0!</v>
      </c>
      <c r="FB113" s="95" t="e">
        <f t="shared" ca="1" si="197"/>
        <v>#DIV/0!</v>
      </c>
      <c r="FC113" s="101">
        <f t="shared" si="230"/>
        <v>0</v>
      </c>
      <c r="FD113" s="91">
        <f t="shared" si="164"/>
        <v>0</v>
      </c>
      <c r="FE113" s="30" t="e">
        <f t="shared" si="214"/>
        <v>#N/A</v>
      </c>
      <c r="FF113" s="30" t="e">
        <f t="shared" si="215"/>
        <v>#N/A</v>
      </c>
      <c r="FG113" s="31" t="e">
        <f>IF(OR(Hypothèses!$B$4=17,Hypothèses!$B$4=18,Hypothèses!$B$4=19,Hypothèses!$B$4=20),
IF($D113="Pressio.",
IF(OR($E113=3,$E113=1,$E113=4),FF113,FE113),
IF($D113="Pénétro.",
IF(OR($E113=3,$E113=1,$E113=4),FF113,FE113))),IF($D113="Pressio.",
IF($E113=3,FF113,FE113),
IF($D113="Pénétro.",
IF($E113=4,FF113,FE113))))</f>
        <v>#N/A</v>
      </c>
      <c r="FH113" s="31">
        <v>0</v>
      </c>
      <c r="FI113" s="102" t="e">
        <f>IF(NDC!$H$10="Oui",(VLOOKUP($B$3,'Coeff EC7'!$T$39:$X$59,2,0)*FG113+VLOOKUP($B$3,'Coeff EC7'!$T$65:$X$85,2,0)*Model0.1T!FH113)/1.5,PI()*FE$12*$Q113*($B113-$B112)*0.15/10+FI112)</f>
        <v>#N/A</v>
      </c>
      <c r="FJ113" s="102" t="e">
        <f>(VLOOKUP($B$3,'Coeff EC7'!$T$39:$X$59,3,0)*FG113+VLOOKUP($B$3,'Coeff EC7'!$T$65:$X$85,3,0)*Model0.1T!FH113)/1.1</f>
        <v>#N/A</v>
      </c>
      <c r="FK113" s="102" t="e">
        <f t="shared" si="198"/>
        <v>#N/A</v>
      </c>
      <c r="FL113" s="102" t="e">
        <f t="shared" si="199"/>
        <v>#N/A</v>
      </c>
      <c r="FM113" s="414" t="e">
        <f>IF(AND(FI113&gt;NDC!$C$63,FJ113&gt;NDC!$C$65,FK113&gt;NDC!$D$73,FL113&gt;NDC!$D$74,$B113&gt;NDC!$H$22-0.1+MIN(3*FM$12,1.5)),0,1)</f>
        <v>#N/A</v>
      </c>
    </row>
    <row r="114" spans="1:169">
      <c r="A114" s="96">
        <f t="shared" si="165"/>
        <v>89.900000000000574</v>
      </c>
      <c r="B114" s="97">
        <v>10.1</v>
      </c>
      <c r="C114" s="81">
        <f>IF(B114&lt;=Hypothèses!$C$7,Hypothèses!$A$7,IF(B114&lt;=Hypothèses!$C$8,Hypothèses!$A$8,IF(B114&lt;=Hypothèses!$C$9,Hypothèses!$A$9,IF(B114&lt;=Hypothèses!$C$10,Hypothèses!$A$10,IF(B114&lt;=Hypothèses!$C$11,Hypothèses!$A$11,IF(B114&lt;=Hypothèses!$C$12,Hypothèses!$A$12,IF(B114&lt;=Hypothèses!$C$13,Hypothèses!$A$13,IF(B114&lt;=Hypothèses!$C$14,Hypothèses!$A$14,IF(B114&lt;=Hypothèses!$C$15,Hypothèses!$A$15,IF(B114&lt;=Hypothèses!$C$16,Hypothèses!$A$16,IF(B114&lt;=Hypothèses!$C$17,Hypothèses!$A$17,IF(B114&lt;=Hypothèses!$C$18,Hypothèses!$A$18,C113))))))))))))</f>
        <v>11</v>
      </c>
      <c r="D114" s="82" t="str">
        <f>IF(B114&lt;=Hypothèses!$C$7,Hypothèses!$R$7,IF(B114&lt;=Hypothèses!$C$8,Hypothèses!$R$8,IF(B114&lt;=Hypothèses!$C$9,Hypothèses!$R$9,IF(B114&lt;=Hypothèses!$C$10,Hypothèses!$R$10,IF(B114&lt;=Hypothèses!$C$11,Hypothèses!$R$11,IF(B114&lt;=Hypothèses!$C$12,Hypothèses!$R$12,IF(B114&lt;=Hypothèses!$C$13,Hypothèses!$R$13,IF(B114&lt;=Hypothèses!$C$14,Hypothèses!$R$14,IF(B114&lt;=Hypothèses!$C$15,Hypothèses!$R$15,IF(B114&lt;=Hypothèses!$C$16,Hypothèses!$R$16,IF(B114&lt;=Hypothèses!$C$17,Hypothèses!$R$17,IF(B114&lt;=Hypothèses!$C$18,Hypothèses!$R$18,D113))))))))))))</f>
        <v>Pressio.</v>
      </c>
      <c r="E114" s="82" t="e">
        <f>IF(B114&lt;=Hypothèses!$C$7,Hypothèses!$G$7,IF(B114&lt;=Hypothèses!$C$8,Hypothèses!$G$8,IF(B114&lt;=Hypothèses!$C$9,Hypothèses!$G$9,IF(B114&lt;=Hypothèses!$C$10,Hypothèses!$G$10,IF(B114&lt;=Hypothèses!$C$11,Hypothèses!$G$11,IF(B114&lt;=Hypothèses!$C$12,Hypothèses!$G$12,IF(B114&lt;=Hypothèses!$C$13,Hypothèses!$G$13,IF(B114&lt;=Hypothèses!$C$14,Hypothèses!$G$14,IF(B114&lt;=Hypothèses!$C$15,Hypothèses!$G$15,IF(B114&lt;=Hypothèses!$C$16,Hypothèses!$G$16,IF(B114&lt;=Hypothèses!$C$17,Hypothèses!$G$17,IF(B114&lt;=Hypothèses!$C$18,Hypothèses!$G$18,E113))))))))))))</f>
        <v>#N/A</v>
      </c>
      <c r="F114" s="82" t="str">
        <f>IF(B114&lt;=Hypothèses!$C$7,Hypothèses!$F$7,IF(B114&lt;=Hypothèses!$C$8,Hypothèses!$F$8,IF(B114&lt;=Hypothèses!$C$9,Hypothèses!$F$9,IF(B114&lt;=Hypothèses!$C$10,Hypothèses!$F$10,IF(B114&lt;=Hypothèses!$C$11,Hypothèses!$F$11,IF(B114&lt;=Hypothèses!$C$12,Hypothèses!$F$12,IF(B114&lt;=Hypothèses!$C$13,Hypothèses!$F$13,IF(B114&lt;=Hypothèses!$C$14,Hypothèses!$F$14,IF(B114&lt;=Hypothèses!$C$15,Hypothèses!$F$15,IF(B114&lt;=Hypothèses!$C$16,Hypothèses!$F$16,IF(B114&lt;=Hypothèses!$C$17,Hypothèses!$F$17,IF(B114&lt;=Hypothèses!$C$18,Hypothèses!$F$18,F113))))))))))))</f>
        <v/>
      </c>
      <c r="G114" s="91">
        <f t="array" ref="G114">INDEX('Coeff EC7'!$U$7:$X$27,
MATCH(Model0.1T!$B$3,'Coeff EC7'!$T$7:$T$27,0),
MATCH(Model0.1T!$D114&amp;Model0.1T!$B$4,
'Coeff EC7'!$U$6:$X$6&amp;
'Coeff EC7'!$U$5:$X$5,0))</f>
        <v>1.4</v>
      </c>
      <c r="H114" s="91">
        <f t="array" ref="H114">INDEX('Coeff EC7'!$Y$7:$AB$27,
MATCH(Model0.1T!$B$3,'Coeff EC7'!$T$7:$T$27,0),
MATCH(Model0.1T!$D114&amp;Model0.1T!$B$4,
'Coeff EC7'!$Y$6:$AB$6&amp;
'Coeff EC7'!$Y$5:$AB$5,0))</f>
        <v>1.7</v>
      </c>
      <c r="I114" s="83">
        <v>0</v>
      </c>
      <c r="J114" s="91" t="e">
        <f t="array" ref="J114">INDEX('Coeff EC7'!$D$33:$Q$33,1,MATCH(D114&amp;E114,'Coeff EC7'!$D$31:$Q$31&amp;'Coeff EC7'!$D$32:$Q$32,0))</f>
        <v>#N/A</v>
      </c>
      <c r="K114" s="91" t="e">
        <f t="array" ref="K114">INDEX('Coeff EC7'!$D$34:$Q$34,1,MATCH(D114&amp;E114,'Coeff EC7'!$D$31:$Q$31&amp;'Coeff EC7'!$D$32:$Q$32,0))</f>
        <v>#N/A</v>
      </c>
      <c r="L114" s="91" t="e">
        <f t="array" ref="L114">INDEX('Coeff EC7'!$D$35:$Q$35,1,MATCH(D114&amp;E114,'Coeff EC7'!$D$31:$Q$31&amp;'Coeff EC7'!$D$32:$Q$32,0))</f>
        <v>#N/A</v>
      </c>
      <c r="M114" s="98" t="e">
        <f t="shared" si="131"/>
        <v>#N/A</v>
      </c>
      <c r="N114" s="99" t="e">
        <f t="array" ref="N114">INDEX('Coeff EC7'!$D$7:$Q$27,MATCH($B$3,'Coeff EC7'!$C$7:$C$27,0),MATCH(D114&amp;E114,'Coeff EC7'!$D$5:$Q$5&amp;'Coeff EC7'!$D$6:$Q$6,0))</f>
        <v>#N/A</v>
      </c>
      <c r="O114" s="99" t="e">
        <f t="array" ref="O114">INDEX('Coeff EC7'!$D$41:$Q$61,MATCH($B$3,'Coeff EC7'!$C$41:$C$61,0),MATCH(D114&amp;E114,'Coeff EC7'!$D$39:$Q$39&amp;'Coeff EC7'!$D$40:$Q$40,0))</f>
        <v>#N/A</v>
      </c>
      <c r="P114" s="30" t="e">
        <f t="shared" si="166"/>
        <v>#N/A</v>
      </c>
      <c r="Q114" s="100" t="e">
        <f t="shared" si="133"/>
        <v>#N/A</v>
      </c>
      <c r="R114" s="86" t="b">
        <f t="shared" si="134"/>
        <v>0</v>
      </c>
      <c r="S114" s="86">
        <f t="shared" si="132"/>
        <v>0.5</v>
      </c>
      <c r="T114" s="86">
        <f t="shared" si="135"/>
        <v>0.5</v>
      </c>
      <c r="U114" s="30" t="e">
        <f t="shared" ca="1" si="167"/>
        <v>#DIV/0!</v>
      </c>
      <c r="V114" s="85" t="str">
        <f>IF(B114&lt;=Hypothèses!$V$7,Hypothèses!$W$7,IF(B114&lt;=Hypothèses!$V$8,Hypothèses!$W$8,IF(B114&lt;=Hypothèses!$V$9,Hypothèses!$W$9,IF(B114&lt;=Hypothèses!$V$10,Hypothèses!$W$10,IF(B114&lt;=Hypothèses!$V$11,Hypothèses!$W$11,IF(B114&lt;=Hypothèses!$V$12,Hypothèses!$W$12,IF(B114&lt;=Hypothèses!$V$13,Hypothèses!$W$13,IF(B114&lt;=Hypothèses!$V$14,Hypothèses!$W$14,IF(B114&lt;=Hypothèses!$V$15,Hypothèses!$W$15,IF(B114&lt;=Hypothèses!$V$16,Hypothèses!$W$16,IF(B114&lt;=Hypothèses!$V$17,Hypothèses!$W$17,IF(B114&lt;=Hypothèses!$V$18,Hypothèses!$W$18,""))))))))))))</f>
        <v/>
      </c>
      <c r="W114" s="87" t="e">
        <f t="shared" ca="1" si="216"/>
        <v>#DIV/0!</v>
      </c>
      <c r="X114" s="88" t="str">
        <f>IF(B114&lt;=Hypothèses!$V$7,Hypothèses!$X$7,IF(B114&lt;=Hypothèses!$V$8,Hypothèses!$X$8,IF(B114&lt;=Hypothèses!$V$9,Hypothèses!$X$9,IF(B114&lt;=Hypothèses!$V$10,Hypothèses!$X$10,IF(B114&lt;=Hypothèses!$V$11,Hypothèses!$X$11,IF(B114&lt;=Hypothèses!$V$12,Hypothèses!$X$12,IF(B114&lt;=Hypothèses!$V$13,Hypothèses!$X$13,IF(B114&lt;=Hypothèses!$V$14,Hypothèses!$X$14,IF(B114&lt;=Hypothèses!$V$15,Hypothèses!$X$15,IF(B114&lt;=Hypothèses!$V$16,Hypothèses!$X$16,IF(B114&lt;=Hypothèses!$U$17,Hypothèses!$W$17,IF(B114&lt;=Hypothèses!$U$18,Hypothèses!$W$18,""))))))))))))</f>
        <v/>
      </c>
      <c r="Y114" s="95" t="e">
        <f t="shared" ca="1" si="136"/>
        <v>#DIV/0!</v>
      </c>
      <c r="Z114" s="101">
        <f t="shared" si="137"/>
        <v>0</v>
      </c>
      <c r="AA114" s="91">
        <f t="shared" si="138"/>
        <v>0</v>
      </c>
      <c r="AB114" s="30" t="e">
        <f t="shared" si="200"/>
        <v>#N/A</v>
      </c>
      <c r="AC114" s="30" t="e">
        <f t="shared" si="201"/>
        <v>#N/A</v>
      </c>
      <c r="AD114" s="31" t="e">
        <f>IF(OR(Hypothèses!$B$4=17,Hypothèses!$B$4=18,Hypothèses!$B$4=19,Hypothèses!$B$4=20),
IF($D114="Pressio.",
IF(OR($E114=3,$E114=1,$E114=4),AC114,AB114),
IF($D114="Pénétro.",
IF(OR($E114=3,$E114=1,$E114=4),AC114,AB114))),IF($D114="Pressio.",
IF($E114=3,AC114,AB114),
IF($D114="Pénétro.",
IF($E114=4,AC114,AB114))))</f>
        <v>#N/A</v>
      </c>
      <c r="AE114" s="31">
        <v>0</v>
      </c>
      <c r="AF114" s="102" t="e">
        <f>IF(NDC!$H$10="Oui",(VLOOKUP($B$3,'Coeff EC7'!$T$39:$X$59,2,0)*AD114+VLOOKUP($B$3,'Coeff EC7'!$T$65:$X$85,2,0)*Model0.1T!AE114)/1.5,PI()*AB$12*$Q114*($B114-$B113)*0.15/10+AF113)</f>
        <v>#N/A</v>
      </c>
      <c r="AG114" s="102" t="e">
        <f>(VLOOKUP($B$3,'Coeff EC7'!$T$39:$X$59,3,0)*AD114+VLOOKUP($B$3,'Coeff EC7'!$T$65:$X$85,3,0)*Model0.1T!AE114)/1.1</f>
        <v>#N/A</v>
      </c>
      <c r="AH114" s="102" t="e">
        <f t="shared" si="168"/>
        <v>#N/A</v>
      </c>
      <c r="AI114" s="102" t="e">
        <f t="shared" si="169"/>
        <v>#N/A</v>
      </c>
      <c r="AJ114" s="414" t="e">
        <f>IF(AND(AF114&gt;NDC!$C$63,AG114&gt;NDC!$C$65,AH114&gt;NDC!$D$73,AI114&gt;NDC!$D$74,$B114&gt;NDC!$H$22-0.1+MIN(3*$AJ$12,1.5)),0,1)</f>
        <v>#N/A</v>
      </c>
      <c r="AK114" s="86" t="b">
        <f t="shared" si="139"/>
        <v>0</v>
      </c>
      <c r="AL114" s="86">
        <f t="shared" si="170"/>
        <v>0.5</v>
      </c>
      <c r="AM114" s="86">
        <f t="shared" si="140"/>
        <v>0.5</v>
      </c>
      <c r="AN114" s="30" t="e">
        <f t="shared" ca="1" si="171"/>
        <v>#DIV/0!</v>
      </c>
      <c r="AO114" s="85" t="e">
        <f ca="1">IF(U114&lt;=Hypothèses!$V$7,Hypothèses!$W$7,IF(U114&lt;=Hypothèses!$V$8,Hypothèses!$W$8,IF(U114&lt;=Hypothèses!$V$9,Hypothèses!$W$9,IF(U114&lt;=Hypothèses!$V$10,Hypothèses!$W$10,IF(U114&lt;=Hypothèses!$V$11,Hypothèses!$W$11,IF(U114&lt;=Hypothèses!$V$12,Hypothèses!$W$12,IF(U114&lt;=Hypothèses!$V$13,Hypothèses!$W$13,IF(U114&lt;=Hypothèses!$V$14,Hypothèses!$W$14,IF(U114&lt;=Hypothèses!$V$15,Hypothèses!$W$15,IF(U114&lt;=Hypothèses!$V$16,Hypothèses!$W$16,IF(U114&lt;=Hypothèses!$V$17,Hypothèses!$W$17,IF(U114&lt;=Hypothèses!$V$18,Hypothèses!$W$18,""))))))))))))</f>
        <v>#DIV/0!</v>
      </c>
      <c r="AP114" s="87" t="e">
        <f t="shared" ca="1" si="217"/>
        <v>#DIV/0!</v>
      </c>
      <c r="AQ114" s="88" t="e">
        <f ca="1">IF(U114&lt;=Hypothèses!$V$7,Hypothèses!$X$7,IF(U114&lt;=Hypothèses!$V$8,Hypothèses!$X$8,IF(U114&lt;=Hypothèses!$V$9,Hypothèses!$X$9,IF(U114&lt;=Hypothèses!$V$10,Hypothèses!$X$10,IF(U114&lt;=Hypothèses!$V$11,Hypothèses!$X$11,IF(U114&lt;=Hypothèses!$V$12,Hypothèses!$X$12,IF(U114&lt;=Hypothèses!$V$13,Hypothèses!$X$13,IF(U114&lt;=Hypothèses!$V$14,Hypothèses!$X$14,IF(U114&lt;=Hypothèses!$V$15,Hypothèses!$X$15,IF(U114&lt;=Hypothèses!$V$16,Hypothèses!$X$16,IF(U114&lt;=Hypothèses!$U$17,Hypothèses!$W$17,IF(U114&lt;=Hypothèses!$U$18,Hypothèses!$W$18,""))))))))))))</f>
        <v>#DIV/0!</v>
      </c>
      <c r="AR114" s="95" t="e">
        <f t="shared" ca="1" si="172"/>
        <v>#DIV/0!</v>
      </c>
      <c r="AS114" s="101">
        <f t="shared" si="224"/>
        <v>0</v>
      </c>
      <c r="AT114" s="91">
        <f t="shared" si="141"/>
        <v>0</v>
      </c>
      <c r="AU114" s="30" t="e">
        <f t="shared" si="202"/>
        <v>#N/A</v>
      </c>
      <c r="AV114" s="30" t="e">
        <f t="shared" si="203"/>
        <v>#N/A</v>
      </c>
      <c r="AW114" s="31" t="e">
        <f>IF(OR(Hypothèses!$B$4=17,Hypothèses!$B$4=18,Hypothèses!$B$4=19,Hypothèses!$B$4=20),
IF($D114="Pressio.",
IF(OR($E114=3,$E114=1,$E114=4),AV114,AU114),
IF($D114="Pénétro.",
IF(OR($E114=3,$E114=1,$E114=4),AV114,AU114))),IF($D114="Pressio.",
IF($E114=3,AV114,AU114),
IF($D114="Pénétro.",
IF($E114=4,AV114,AU114))))</f>
        <v>#N/A</v>
      </c>
      <c r="AX114" s="31">
        <v>0</v>
      </c>
      <c r="AY114" s="102" t="e">
        <f>IF(NDC!$H$10="Oui",(VLOOKUP($B$3,'Coeff EC7'!$T$39:$X$59,2,0)*AW114+VLOOKUP($B$3,'Coeff EC7'!$T$65:$X$85,2,0)*Model0.1T!AX114)/1.5,PI()*AU$12*$Q114*($B114-$B113)*0.15/10+AY113)</f>
        <v>#N/A</v>
      </c>
      <c r="AZ114" s="102" t="e">
        <f>(VLOOKUP($B$3,'Coeff EC7'!$T$39:$X$59,3,0)*AW114+VLOOKUP($B$3,'Coeff EC7'!$T$65:$X$85,3,0)*Model0.1T!AX114)/1.1</f>
        <v>#N/A</v>
      </c>
      <c r="BA114" s="102" t="e">
        <f t="shared" si="173"/>
        <v>#N/A</v>
      </c>
      <c r="BB114" s="102" t="e">
        <f t="shared" si="174"/>
        <v>#N/A</v>
      </c>
      <c r="BC114" s="414" t="e">
        <f>IF(AND(AY114&gt;NDC!$C$63,AZ114&gt;NDC!$C$65,BA114&gt;NDC!$D$73,BB114&gt;NDC!$D$74,$B114&gt;NDC!$H$22-0.1+MIN(3*BC$12,1.5)),0,1)</f>
        <v>#N/A</v>
      </c>
      <c r="BD114" s="86" t="b">
        <f t="shared" si="142"/>
        <v>0</v>
      </c>
      <c r="BE114" s="86">
        <f t="shared" si="175"/>
        <v>0.5</v>
      </c>
      <c r="BF114" s="86">
        <f t="shared" si="143"/>
        <v>0.5</v>
      </c>
      <c r="BG114" s="30" t="e">
        <f t="shared" ca="1" si="176"/>
        <v>#DIV/0!</v>
      </c>
      <c r="BH114" s="85" t="e">
        <f ca="1">IF(AN114&lt;=Hypothèses!$V$7,Hypothèses!$W$7,IF(AN114&lt;=Hypothèses!$V$8,Hypothèses!$W$8,IF(AN114&lt;=Hypothèses!$V$9,Hypothèses!$W$9,IF(AN114&lt;=Hypothèses!$V$10,Hypothèses!$W$10,IF(AN114&lt;=Hypothèses!$V$11,Hypothèses!$W$11,IF(AN114&lt;=Hypothèses!$V$12,Hypothèses!$W$12,IF(AN114&lt;=Hypothèses!$V$13,Hypothèses!$W$13,IF(AN114&lt;=Hypothèses!$V$14,Hypothèses!$W$14,IF(AN114&lt;=Hypothèses!$V$15,Hypothèses!$W$15,IF(AN114&lt;=Hypothèses!$V$16,Hypothèses!$W$16,IF(AN114&lt;=Hypothèses!$V$17,Hypothèses!$W$17,IF(AN114&lt;=Hypothèses!$V$18,Hypothèses!$W$18,""))))))))))))</f>
        <v>#DIV/0!</v>
      </c>
      <c r="BI114" s="87" t="e">
        <f t="shared" ca="1" si="218"/>
        <v>#DIV/0!</v>
      </c>
      <c r="BJ114" s="88" t="e">
        <f ca="1">IF(AN114&lt;=Hypothèses!$V$7,Hypothèses!$X$7,IF(AN114&lt;=Hypothèses!$V$8,Hypothèses!$X$8,IF(AN114&lt;=Hypothèses!$V$9,Hypothèses!$X$9,IF(AN114&lt;=Hypothèses!$V$10,Hypothèses!$X$10,IF(AN114&lt;=Hypothèses!$V$11,Hypothèses!$X$11,IF(AN114&lt;=Hypothèses!$V$12,Hypothèses!$X$12,IF(AN114&lt;=Hypothèses!$V$13,Hypothèses!$X$13,IF(AN114&lt;=Hypothèses!$V$14,Hypothèses!$X$14,IF(AN114&lt;=Hypothèses!$V$15,Hypothèses!$X$15,IF(AN114&lt;=Hypothèses!$V$16,Hypothèses!$X$16,IF(AN114&lt;=Hypothèses!$U$17,Hypothèses!$W$17,IF(AN114&lt;=Hypothèses!$U$18,Hypothèses!$W$18,""))))))))))))</f>
        <v>#DIV/0!</v>
      </c>
      <c r="BK114" s="95" t="e">
        <f t="shared" ca="1" si="177"/>
        <v>#DIV/0!</v>
      </c>
      <c r="BL114" s="101">
        <f t="shared" si="225"/>
        <v>0</v>
      </c>
      <c r="BM114" s="91">
        <f t="shared" si="144"/>
        <v>0</v>
      </c>
      <c r="BN114" s="30" t="e">
        <f t="shared" si="204"/>
        <v>#N/A</v>
      </c>
      <c r="BO114" s="30" t="e">
        <f t="shared" si="205"/>
        <v>#N/A</v>
      </c>
      <c r="BP114" s="31" t="e">
        <f>IF(OR(Hypothèses!$B$4=17,Hypothèses!$B$4=18,Hypothèses!$B$4=19,Hypothèses!$B$4=20),
IF($D114="Pressio.",
IF(OR($E114=3,$E114=1,$E114=4),BO114,BN114),
IF($D114="Pénétro.",
IF(OR($E114=3,$E114=1,$E114=4),BO114,BN114))),IF($D114="Pressio.",
IF($E114=3,BO114,BN114),
IF($D114="Pénétro.",
IF($E114=4,BO114,BN114))))</f>
        <v>#N/A</v>
      </c>
      <c r="BQ114" s="31">
        <v>0</v>
      </c>
      <c r="BR114" s="102" t="e">
        <f>IF(NDC!$H$10="Oui",(VLOOKUP($B$3,'Coeff EC7'!$T$39:$X$59,2,0)*BP114+VLOOKUP($B$3,'Coeff EC7'!$T$65:$X$85,2,0)*Model0.1T!BQ114)/1.5,PI()*BN$12*$Q114*($B114-$B113)*0.15/10+BR113)</f>
        <v>#N/A</v>
      </c>
      <c r="BS114" s="102" t="e">
        <f>(VLOOKUP($B$3,'Coeff EC7'!$T$39:$X$59,3,0)*BP114+VLOOKUP($B$3,'Coeff EC7'!$T$65:$X$85,3,0)*Model0.1T!BQ114)/1.1</f>
        <v>#N/A</v>
      </c>
      <c r="BT114" s="102" t="e">
        <f t="shared" si="178"/>
        <v>#N/A</v>
      </c>
      <c r="BU114" s="102" t="e">
        <f t="shared" si="179"/>
        <v>#N/A</v>
      </c>
      <c r="BV114" s="414" t="e">
        <f>IF(AND(BR114&gt;NDC!$C$63,BS114&gt;NDC!$C$65,BT114&gt;NDC!$D$73,BU114&gt;NDC!$D$74,$B114&gt;NDC!$H$22-0.1+MIN(3*BV$12,1.5)),0,1)</f>
        <v>#N/A</v>
      </c>
      <c r="BW114" s="86" t="b">
        <f t="shared" si="145"/>
        <v>0</v>
      </c>
      <c r="BX114" s="86">
        <f t="shared" si="146"/>
        <v>0.5</v>
      </c>
      <c r="BY114" s="86">
        <f t="shared" si="147"/>
        <v>0.5</v>
      </c>
      <c r="BZ114" s="30" t="e">
        <f t="shared" ca="1" si="180"/>
        <v>#DIV/0!</v>
      </c>
      <c r="CA114" s="85" t="e">
        <f ca="1">IF(BG114&lt;=Hypothèses!$V$7,Hypothèses!$W$7,IF(BG114&lt;=Hypothèses!$V$8,Hypothèses!$W$8,IF(BG114&lt;=Hypothèses!$V$9,Hypothèses!$W$9,IF(BG114&lt;=Hypothèses!$V$10,Hypothèses!$W$10,IF(BG114&lt;=Hypothèses!$V$11,Hypothèses!$W$11,IF(BG114&lt;=Hypothèses!$V$12,Hypothèses!$W$12,IF(BG114&lt;=Hypothèses!$V$13,Hypothèses!$W$13,IF(BG114&lt;=Hypothèses!$V$14,Hypothèses!$W$14,IF(BG114&lt;=Hypothèses!$V$15,Hypothèses!$W$15,IF(BG114&lt;=Hypothèses!$V$16,Hypothèses!$W$16,IF(BG114&lt;=Hypothèses!$V$17,Hypothèses!$W$17,IF(BG114&lt;=Hypothèses!$V$18,Hypothèses!$W$18,""))))))))))))</f>
        <v>#DIV/0!</v>
      </c>
      <c r="CB114" s="87" t="e">
        <f t="shared" ca="1" si="219"/>
        <v>#DIV/0!</v>
      </c>
      <c r="CC114" s="88" t="e">
        <f ca="1">IF(BG114&lt;=Hypothèses!$V$7,Hypothèses!$X$7,IF(BG114&lt;=Hypothèses!$V$8,Hypothèses!$X$8,IF(BG114&lt;=Hypothèses!$V$9,Hypothèses!$X$9,IF(BG114&lt;=Hypothèses!$V$10,Hypothèses!$X$10,IF(BG114&lt;=Hypothèses!$V$11,Hypothèses!$X$11,IF(BG114&lt;=Hypothèses!$V$12,Hypothèses!$X$12,IF(BG114&lt;=Hypothèses!$V$13,Hypothèses!$X$13,IF(BG114&lt;=Hypothèses!$V$14,Hypothèses!$X$14,IF(BG114&lt;=Hypothèses!$V$15,Hypothèses!$X$15,IF(BG114&lt;=Hypothèses!$V$16,Hypothèses!$X$16,IF(BG114&lt;=Hypothèses!$U$17,Hypothèses!$W$17,IF(BG114&lt;=Hypothèses!$U$18,Hypothèses!$W$18,""))))))))))))</f>
        <v>#DIV/0!</v>
      </c>
      <c r="CD114" s="95" t="e">
        <f t="shared" ca="1" si="181"/>
        <v>#DIV/0!</v>
      </c>
      <c r="CE114" s="101">
        <f t="shared" si="226"/>
        <v>0</v>
      </c>
      <c r="CF114" s="91">
        <f t="shared" si="148"/>
        <v>0</v>
      </c>
      <c r="CG114" s="30" t="e">
        <f t="shared" si="206"/>
        <v>#N/A</v>
      </c>
      <c r="CH114" s="30" t="e">
        <f t="shared" si="207"/>
        <v>#N/A</v>
      </c>
      <c r="CI114" s="31" t="e">
        <f>IF(OR(Hypothèses!$B$4=17,Hypothèses!$B$4=18,Hypothèses!$B$4=19,Hypothèses!$B$4=20),
IF($D114="Pressio.",
IF(OR($E114=3,$E114=1,$E114=4),CH114,CG114),
IF($D114="Pénétro.",
IF(OR($E114=3,$E114=1,$E114=4),CH114,CG114))),IF($D114="Pressio.",
IF($E114=3,CH114,CG114),
IF($D114="Pénétro.",
IF($E114=4,CH114,CG114))))</f>
        <v>#N/A</v>
      </c>
      <c r="CJ114" s="31">
        <v>0</v>
      </c>
      <c r="CK114" s="102" t="e">
        <f>IF(NDC!$H$10="Oui",(VLOOKUP($B$3,'Coeff EC7'!$T$39:$X$59,2,0)*CI114+VLOOKUP($B$3,'Coeff EC7'!$T$65:$X$85,2,0)*Model0.1T!CJ114)/1.5,PI()*CG$12*$Q114*($B114-$B113)*0.15/10+CK113)</f>
        <v>#N/A</v>
      </c>
      <c r="CL114" s="102" t="e">
        <f>(VLOOKUP($B$3,'Coeff EC7'!$T$39:$X$59,3,0)*CI114+VLOOKUP($B$3,'Coeff EC7'!$T$65:$X$85,3,0)*Model0.1T!CJ114)/1.1</f>
        <v>#N/A</v>
      </c>
      <c r="CM114" s="102" t="e">
        <f t="shared" si="182"/>
        <v>#N/A</v>
      </c>
      <c r="CN114" s="102" t="e">
        <f t="shared" si="183"/>
        <v>#N/A</v>
      </c>
      <c r="CO114" s="414" t="e">
        <f>IF(AND(CK114&gt;NDC!$C$63,CL114&gt;NDC!$C$65,CM114&gt;NDC!$D$73,CN114&gt;NDC!$D$74,$B114&gt;NDC!$H$22-0.1+MIN(3*CO$12,1.5)),0,1)</f>
        <v>#N/A</v>
      </c>
      <c r="CP114" s="86" t="b">
        <f t="shared" si="149"/>
        <v>0</v>
      </c>
      <c r="CQ114" s="86">
        <f t="shared" si="150"/>
        <v>0.5</v>
      </c>
      <c r="CR114" s="86">
        <f t="shared" si="151"/>
        <v>0.5</v>
      </c>
      <c r="CS114" s="30" t="e">
        <f t="shared" ca="1" si="184"/>
        <v>#DIV/0!</v>
      </c>
      <c r="CT114" s="85" t="e">
        <f ca="1">IF(BZ114&lt;=Hypothèses!$V$7,Hypothèses!$W$7,IF(BZ114&lt;=Hypothèses!$V$8,Hypothèses!$W$8,IF(BZ114&lt;=Hypothèses!$V$9,Hypothèses!$W$9,IF(BZ114&lt;=Hypothèses!$V$10,Hypothèses!$W$10,IF(BZ114&lt;=Hypothèses!$V$11,Hypothèses!$W$11,IF(BZ114&lt;=Hypothèses!$V$12,Hypothèses!$W$12,IF(BZ114&lt;=Hypothèses!$V$13,Hypothèses!$W$13,IF(BZ114&lt;=Hypothèses!$V$14,Hypothèses!$W$14,IF(BZ114&lt;=Hypothèses!$V$15,Hypothèses!$W$15,IF(BZ114&lt;=Hypothèses!$V$16,Hypothèses!$W$16,IF(BZ114&lt;=Hypothèses!$V$17,Hypothèses!$W$17,IF(BZ114&lt;=Hypothèses!$V$18,Hypothèses!$W$18,""))))))))))))</f>
        <v>#DIV/0!</v>
      </c>
      <c r="CU114" s="87" t="e">
        <f t="shared" ca="1" si="220"/>
        <v>#DIV/0!</v>
      </c>
      <c r="CV114" s="88" t="e">
        <f ca="1">IF(BZ114&lt;=Hypothèses!$V$7,Hypothèses!$X$7,IF(BZ114&lt;=Hypothèses!$V$8,Hypothèses!$X$8,IF(BZ114&lt;=Hypothèses!$V$9,Hypothèses!$X$9,IF(BZ114&lt;=Hypothèses!$V$10,Hypothèses!$X$10,IF(BZ114&lt;=Hypothèses!$V$11,Hypothèses!$X$11,IF(BZ114&lt;=Hypothèses!$V$12,Hypothèses!$X$12,IF(BZ114&lt;=Hypothèses!$V$13,Hypothèses!$X$13,IF(BZ114&lt;=Hypothèses!$V$14,Hypothèses!$X$14,IF(BZ114&lt;=Hypothèses!$V$15,Hypothèses!$X$15,IF(BZ114&lt;=Hypothèses!$V$16,Hypothèses!$X$16,IF(BZ114&lt;=Hypothèses!$U$17,Hypothèses!$W$17,IF(BZ114&lt;=Hypothèses!$U$18,Hypothèses!$W$18,""))))))))))))</f>
        <v>#DIV/0!</v>
      </c>
      <c r="CW114" s="95" t="e">
        <f t="shared" ca="1" si="185"/>
        <v>#DIV/0!</v>
      </c>
      <c r="CX114" s="101">
        <f t="shared" si="227"/>
        <v>0</v>
      </c>
      <c r="CY114" s="91">
        <f t="shared" si="152"/>
        <v>0</v>
      </c>
      <c r="CZ114" s="30" t="e">
        <f t="shared" si="208"/>
        <v>#N/A</v>
      </c>
      <c r="DA114" s="30" t="e">
        <f t="shared" si="209"/>
        <v>#N/A</v>
      </c>
      <c r="DB114" s="31" t="e">
        <f>IF(OR(Hypothèses!$B$4=17,Hypothèses!$B$4=18,Hypothèses!$B$4=19,Hypothèses!$B$4=20),
IF($D114="Pressio.",
IF(OR($E114=3,$E114=1,$E114=4),DA114,CZ114),
IF($D114="Pénétro.",
IF(OR($E114=3,$E114=1,$E114=4),DA114,CZ114))),IF($D114="Pressio.",
IF($E114=3,DA114,CZ114),
IF($D114="Pénétro.",
IF($E114=4,DA114,CZ114))))</f>
        <v>#N/A</v>
      </c>
      <c r="DC114" s="31">
        <v>0</v>
      </c>
      <c r="DD114" s="102" t="e">
        <f>IF(NDC!$H$10="Oui",(VLOOKUP($B$3,'Coeff EC7'!$T$39:$X$59,2,0)*DB114+VLOOKUP($B$3,'Coeff EC7'!$T$65:$X$85,2,0)*Model0.1T!DC114)/1.5,PI()*CZ$12*$Q114*($B114-$B113)*0.15/10+DD113)</f>
        <v>#N/A</v>
      </c>
      <c r="DE114" s="102" t="e">
        <f>(VLOOKUP($B$3,'Coeff EC7'!$T$39:$X$59,3,0)*DB114+VLOOKUP($B$3,'Coeff EC7'!$T$65:$X$85,3,0)*Model0.1T!DC114)/1.1</f>
        <v>#N/A</v>
      </c>
      <c r="DF114" s="102" t="e">
        <f t="shared" si="186"/>
        <v>#N/A</v>
      </c>
      <c r="DG114" s="102" t="e">
        <f t="shared" si="187"/>
        <v>#N/A</v>
      </c>
      <c r="DH114" s="414" t="e">
        <f>IF(AND(DD114&gt;NDC!$C$63,DE114&gt;NDC!$C$65,DF114&gt;NDC!$D$73,DG114&gt;NDC!$D$74,$B114&gt;NDC!$H$22-0.1+MIN(3*DH$12,1.5)),0,1)</f>
        <v>#N/A</v>
      </c>
      <c r="DI114" s="86" t="b">
        <f t="shared" si="153"/>
        <v>0</v>
      </c>
      <c r="DJ114" s="86">
        <f t="shared" si="154"/>
        <v>0.5</v>
      </c>
      <c r="DK114" s="86">
        <f t="shared" si="155"/>
        <v>0.5</v>
      </c>
      <c r="DL114" s="30" t="e">
        <f t="shared" ca="1" si="188"/>
        <v>#DIV/0!</v>
      </c>
      <c r="DM114" s="85" t="e">
        <f ca="1">IF(CS114&lt;=Hypothèses!$V$7,Hypothèses!$W$7,IF(CS114&lt;=Hypothèses!$V$8,Hypothèses!$W$8,IF(CS114&lt;=Hypothèses!$V$9,Hypothèses!$W$9,IF(CS114&lt;=Hypothèses!$V$10,Hypothèses!$W$10,IF(CS114&lt;=Hypothèses!$V$11,Hypothèses!$W$11,IF(CS114&lt;=Hypothèses!$V$12,Hypothèses!$W$12,IF(CS114&lt;=Hypothèses!$V$13,Hypothèses!$W$13,IF(CS114&lt;=Hypothèses!$V$14,Hypothèses!$W$14,IF(CS114&lt;=Hypothèses!$V$15,Hypothèses!$W$15,IF(CS114&lt;=Hypothèses!$V$16,Hypothèses!$W$16,IF(CS114&lt;=Hypothèses!$V$17,Hypothèses!$W$17,IF(CS114&lt;=Hypothèses!$V$18,Hypothèses!$W$18,""))))))))))))</f>
        <v>#DIV/0!</v>
      </c>
      <c r="DN114" s="87" t="e">
        <f t="shared" ca="1" si="221"/>
        <v>#DIV/0!</v>
      </c>
      <c r="DO114" s="88" t="e">
        <f ca="1">IF(CS114&lt;=Hypothèses!$V$7,Hypothèses!$X$7,IF(CS114&lt;=Hypothèses!$V$8,Hypothèses!$X$8,IF(CS114&lt;=Hypothèses!$V$9,Hypothèses!$X$9,IF(CS114&lt;=Hypothèses!$V$10,Hypothèses!$X$10,IF(CS114&lt;=Hypothèses!$V$11,Hypothèses!$X$11,IF(CS114&lt;=Hypothèses!$V$12,Hypothèses!$X$12,IF(CS114&lt;=Hypothèses!$V$13,Hypothèses!$X$13,IF(CS114&lt;=Hypothèses!$V$14,Hypothèses!$X$14,IF(CS114&lt;=Hypothèses!$V$15,Hypothèses!$X$15,IF(CS114&lt;=Hypothèses!$V$16,Hypothèses!$X$16,IF(CS114&lt;=Hypothèses!$U$17,Hypothèses!$W$17,IF(CS114&lt;=Hypothèses!$U$18,Hypothèses!$W$18,""))))))))))))</f>
        <v>#DIV/0!</v>
      </c>
      <c r="DP114" s="95" t="e">
        <f t="shared" ca="1" si="189"/>
        <v>#DIV/0!</v>
      </c>
      <c r="DQ114" s="101">
        <f t="shared" si="228"/>
        <v>0</v>
      </c>
      <c r="DR114" s="91">
        <f t="shared" si="156"/>
        <v>0</v>
      </c>
      <c r="DS114" s="30" t="e">
        <f t="shared" si="210"/>
        <v>#N/A</v>
      </c>
      <c r="DT114" s="30" t="e">
        <f t="shared" si="211"/>
        <v>#N/A</v>
      </c>
      <c r="DU114" s="31" t="e">
        <f>IF(OR(Hypothèses!$B$4=17,Hypothèses!$B$4=18,Hypothèses!$B$4=19,Hypothèses!$B$4=20),
IF($D114="Pressio.",
IF(OR($E114=3,$E114=1,$E114=4),DT114,DS114),
IF($D114="Pénétro.",
IF(OR($E114=3,$E114=1,$E114=4),DT114,DS114))),IF($D114="Pressio.",
IF($E114=3,DT114,DS114),
IF($D114="Pénétro.",
IF($E114=4,DT114,DS114))))</f>
        <v>#N/A</v>
      </c>
      <c r="DV114" s="31">
        <v>0</v>
      </c>
      <c r="DW114" s="102" t="e">
        <f>IF(NDC!$H$10="Oui",(VLOOKUP($B$3,'Coeff EC7'!$T$39:$X$59,2,0)*DU114+VLOOKUP($B$3,'Coeff EC7'!$T$65:$X$85,2,0)*Model0.1T!DV114)/1.5,PI()*DS$12*$Q114*($B114-$B113)*0.15/10+DW113)</f>
        <v>#N/A</v>
      </c>
      <c r="DX114" s="102" t="e">
        <f>(VLOOKUP($B$3,'Coeff EC7'!$T$39:$X$59,3,0)*DU114+VLOOKUP($B$3,'Coeff EC7'!$T$65:$X$85,3,0)*Model0.1T!DV114)/1.1</f>
        <v>#N/A</v>
      </c>
      <c r="DY114" s="102" t="e">
        <f t="shared" si="190"/>
        <v>#N/A</v>
      </c>
      <c r="DZ114" s="102" t="e">
        <f t="shared" si="191"/>
        <v>#N/A</v>
      </c>
      <c r="EA114" s="414" t="e">
        <f>IF(AND(DW114&gt;NDC!$C$63,DX114&gt;NDC!$C$65,DY114&gt;NDC!$D$73,DZ114&gt;NDC!$D$74,$B114&gt;NDC!$H$22-0.1+MIN(3*EA$12,1.5)),0,1)</f>
        <v>#N/A</v>
      </c>
      <c r="EB114" s="86" t="b">
        <f t="shared" si="157"/>
        <v>0</v>
      </c>
      <c r="EC114" s="418">
        <f t="shared" si="158"/>
        <v>0.51</v>
      </c>
      <c r="ED114" s="86">
        <f t="shared" si="159"/>
        <v>0.51</v>
      </c>
      <c r="EE114" s="30" t="e">
        <f t="shared" ca="1" si="192"/>
        <v>#DIV/0!</v>
      </c>
      <c r="EF114" s="85" t="e">
        <f ca="1">IF(DL114&lt;=Hypothèses!$V$7,Hypothèses!$W$7,IF(DL114&lt;=Hypothèses!$V$8,Hypothèses!$W$8,IF(DL114&lt;=Hypothèses!$V$9,Hypothèses!$W$9,IF(DL114&lt;=Hypothèses!$V$10,Hypothèses!$W$10,IF(DL114&lt;=Hypothèses!$V$11,Hypothèses!$W$11,IF(DL114&lt;=Hypothèses!$V$12,Hypothèses!$W$12,IF(DL114&lt;=Hypothèses!$V$13,Hypothèses!$W$13,IF(DL114&lt;=Hypothèses!$V$14,Hypothèses!$W$14,IF(DL114&lt;=Hypothèses!$V$15,Hypothèses!$W$15,IF(DL114&lt;=Hypothèses!$V$16,Hypothèses!$W$16,IF(DL114&lt;=Hypothèses!$V$17,Hypothèses!$W$17,IF(DL114&lt;=Hypothèses!$V$18,Hypothèses!$W$18,""))))))))))))</f>
        <v>#DIV/0!</v>
      </c>
      <c r="EG114" s="87" t="e">
        <f t="shared" ca="1" si="222"/>
        <v>#DIV/0!</v>
      </c>
      <c r="EH114" s="88" t="e">
        <f ca="1">IF(DL114&lt;=Hypothèses!$V$7,Hypothèses!$X$7,IF(DL114&lt;=Hypothèses!$V$8,Hypothèses!$X$8,IF(DL114&lt;=Hypothèses!$V$9,Hypothèses!$X$9,IF(DL114&lt;=Hypothèses!$V$10,Hypothèses!$X$10,IF(DL114&lt;=Hypothèses!$V$11,Hypothèses!$X$11,IF(DL114&lt;=Hypothèses!$V$12,Hypothèses!$X$12,IF(DL114&lt;=Hypothèses!$V$13,Hypothèses!$X$13,IF(DL114&lt;=Hypothèses!$V$14,Hypothèses!$X$14,IF(DL114&lt;=Hypothèses!$V$15,Hypothèses!$X$15,IF(DL114&lt;=Hypothèses!$V$16,Hypothèses!$X$16,IF(DL114&lt;=Hypothèses!$U$17,Hypothèses!$W$17,IF(DL114&lt;=Hypothèses!$U$18,Hypothèses!$W$18,""))))))))))))</f>
        <v>#DIV/0!</v>
      </c>
      <c r="EI114" s="95" t="e">
        <f t="shared" ca="1" si="193"/>
        <v>#DIV/0!</v>
      </c>
      <c r="EJ114" s="101">
        <f t="shared" si="229"/>
        <v>0</v>
      </c>
      <c r="EK114" s="91">
        <f t="shared" si="160"/>
        <v>0</v>
      </c>
      <c r="EL114" s="30" t="e">
        <f t="shared" si="212"/>
        <v>#N/A</v>
      </c>
      <c r="EM114" s="30" t="e">
        <f t="shared" si="213"/>
        <v>#N/A</v>
      </c>
      <c r="EN114" s="31" t="e">
        <f>IF(OR(Hypothèses!$B$4=17,Hypothèses!$B$4=18,Hypothèses!$B$4=19,Hypothèses!$B$4=20),
IF($D114="Pressio.",
IF(OR($E114=3,$E114=1,$E114=4),EM114,EL114),
IF($D114="Pénétro.",
IF(OR($E114=3,$E114=1,$E114=4),EM114,EL114))),IF($D114="Pressio.",
IF($E114=3,EM114,EL114),
IF($D114="Pénétro.",
IF($E114=4,EM114,EL114))))</f>
        <v>#N/A</v>
      </c>
      <c r="EO114" s="31">
        <v>0</v>
      </c>
      <c r="EP114" s="102" t="e">
        <f>IF(NDC!$H$10="Oui",(VLOOKUP($B$3,'Coeff EC7'!$T$39:$X$59,2,0)*EN114+VLOOKUP($B$3,'Coeff EC7'!$T$65:$X$85,2,0)*Model0.1T!EO114)/1.5,PI()*EL$12*$Q114*($B114-$B113)*0.15/10+EP113)</f>
        <v>#N/A</v>
      </c>
      <c r="EQ114" s="102" t="e">
        <f>(VLOOKUP($B$3,'Coeff EC7'!$T$39:$X$59,3,0)*EN114+VLOOKUP($B$3,'Coeff EC7'!$T$65:$X$85,3,0)*Model0.1T!EO114)/1.1</f>
        <v>#N/A</v>
      </c>
      <c r="ER114" s="102" t="e">
        <f t="shared" si="194"/>
        <v>#N/A</v>
      </c>
      <c r="ES114" s="102" t="e">
        <f t="shared" si="195"/>
        <v>#N/A</v>
      </c>
      <c r="ET114" s="414" t="e">
        <f>IF(AND(EP114&gt;NDC!$C$63,EQ114&gt;NDC!$C$65,ER114&gt;NDC!$D$73,ES114&gt;NDC!$D$74,$B114&gt;NDC!$H$22-0.1+MIN(3*ET$12,1.5)),0,1)</f>
        <v>#N/A</v>
      </c>
      <c r="EU114" s="86" t="b">
        <f t="shared" si="161"/>
        <v>0</v>
      </c>
      <c r="EV114" s="86">
        <f t="shared" si="162"/>
        <v>0.61</v>
      </c>
      <c r="EW114" s="86">
        <f t="shared" si="163"/>
        <v>0.61</v>
      </c>
      <c r="EX114" s="30" t="e">
        <f t="shared" ca="1" si="196"/>
        <v>#DIV/0!</v>
      </c>
      <c r="EY114" s="85" t="e">
        <f ca="1">IF(EE114&lt;=Hypothèses!$V$7,Hypothèses!$W$7,IF(EE114&lt;=Hypothèses!$V$8,Hypothèses!$W$8,IF(EE114&lt;=Hypothèses!$V$9,Hypothèses!$W$9,IF(EE114&lt;=Hypothèses!$V$10,Hypothèses!$W$10,IF(EE114&lt;=Hypothèses!$V$11,Hypothèses!$W$11,IF(EE114&lt;=Hypothèses!$V$12,Hypothèses!$W$12,IF(EE114&lt;=Hypothèses!$V$13,Hypothèses!$W$13,IF(EE114&lt;=Hypothèses!$V$14,Hypothèses!$W$14,IF(EE114&lt;=Hypothèses!$V$15,Hypothèses!$W$15,IF(EE114&lt;=Hypothèses!$V$16,Hypothèses!$W$16,IF(EE114&lt;=Hypothèses!$V$17,Hypothèses!$W$17,IF(EE114&lt;=Hypothèses!$V$18,Hypothèses!$W$18,""))))))))))))</f>
        <v>#DIV/0!</v>
      </c>
      <c r="EZ114" s="87" t="e">
        <f t="shared" ca="1" si="223"/>
        <v>#DIV/0!</v>
      </c>
      <c r="FA114" s="88" t="e">
        <f ca="1">IF(EE114&lt;=Hypothèses!$V$7,Hypothèses!$X$7,IF(EE114&lt;=Hypothèses!$V$8,Hypothèses!$X$8,IF(EE114&lt;=Hypothèses!$V$9,Hypothèses!$X$9,IF(EE114&lt;=Hypothèses!$V$10,Hypothèses!$X$10,IF(EE114&lt;=Hypothèses!$V$11,Hypothèses!$X$11,IF(EE114&lt;=Hypothèses!$V$12,Hypothèses!$X$12,IF(EE114&lt;=Hypothèses!$V$13,Hypothèses!$X$13,IF(EE114&lt;=Hypothèses!$V$14,Hypothèses!$X$14,IF(EE114&lt;=Hypothèses!$V$15,Hypothèses!$X$15,IF(EE114&lt;=Hypothèses!$V$16,Hypothèses!$X$16,IF(EE114&lt;=Hypothèses!$U$17,Hypothèses!$W$17,IF(EE114&lt;=Hypothèses!$U$18,Hypothèses!$W$18,""))))))))))))</f>
        <v>#DIV/0!</v>
      </c>
      <c r="FB114" s="95" t="e">
        <f t="shared" ca="1" si="197"/>
        <v>#DIV/0!</v>
      </c>
      <c r="FC114" s="101">
        <f t="shared" si="230"/>
        <v>0</v>
      </c>
      <c r="FD114" s="91">
        <f t="shared" si="164"/>
        <v>0</v>
      </c>
      <c r="FE114" s="30" t="e">
        <f t="shared" si="214"/>
        <v>#N/A</v>
      </c>
      <c r="FF114" s="30" t="e">
        <f t="shared" si="215"/>
        <v>#N/A</v>
      </c>
      <c r="FG114" s="31" t="e">
        <f>IF(OR(Hypothèses!$B$4=17,Hypothèses!$B$4=18,Hypothèses!$B$4=19,Hypothèses!$B$4=20),
IF($D114="Pressio.",
IF(OR($E114=3,$E114=1,$E114=4),FF114,FE114),
IF($D114="Pénétro.",
IF(OR($E114=3,$E114=1,$E114=4),FF114,FE114))),IF($D114="Pressio.",
IF($E114=3,FF114,FE114),
IF($D114="Pénétro.",
IF($E114=4,FF114,FE114))))</f>
        <v>#N/A</v>
      </c>
      <c r="FH114" s="31">
        <v>0</v>
      </c>
      <c r="FI114" s="102" t="e">
        <f>IF(NDC!$H$10="Oui",(VLOOKUP($B$3,'Coeff EC7'!$T$39:$X$59,2,0)*FG114+VLOOKUP($B$3,'Coeff EC7'!$T$65:$X$85,2,0)*Model0.1T!FH114)/1.5,PI()*FE$12*$Q114*($B114-$B113)*0.15/10+FI113)</f>
        <v>#N/A</v>
      </c>
      <c r="FJ114" s="102" t="e">
        <f>(VLOOKUP($B$3,'Coeff EC7'!$T$39:$X$59,3,0)*FG114+VLOOKUP($B$3,'Coeff EC7'!$T$65:$X$85,3,0)*Model0.1T!FH114)/1.1</f>
        <v>#N/A</v>
      </c>
      <c r="FK114" s="102" t="e">
        <f t="shared" si="198"/>
        <v>#N/A</v>
      </c>
      <c r="FL114" s="102" t="e">
        <f t="shared" si="199"/>
        <v>#N/A</v>
      </c>
      <c r="FM114" s="414" t="e">
        <f>IF(AND(FI114&gt;NDC!$C$63,FJ114&gt;NDC!$C$65,FK114&gt;NDC!$D$73,FL114&gt;NDC!$D$74,$B114&gt;NDC!$H$22-0.1+MIN(3*FM$12,1.5)),0,1)</f>
        <v>#N/A</v>
      </c>
    </row>
    <row r="115" spans="1:169">
      <c r="A115" s="96">
        <f t="shared" si="165"/>
        <v>89.80000000000058</v>
      </c>
      <c r="B115" s="97">
        <v>10.199999999999999</v>
      </c>
      <c r="C115" s="81">
        <f>IF(B115&lt;=Hypothèses!$C$7,Hypothèses!$A$7,IF(B115&lt;=Hypothèses!$C$8,Hypothèses!$A$8,IF(B115&lt;=Hypothèses!$C$9,Hypothèses!$A$9,IF(B115&lt;=Hypothèses!$C$10,Hypothèses!$A$10,IF(B115&lt;=Hypothèses!$C$11,Hypothèses!$A$11,IF(B115&lt;=Hypothèses!$C$12,Hypothèses!$A$12,IF(B115&lt;=Hypothèses!$C$13,Hypothèses!$A$13,IF(B115&lt;=Hypothèses!$C$14,Hypothèses!$A$14,IF(B115&lt;=Hypothèses!$C$15,Hypothèses!$A$15,IF(B115&lt;=Hypothèses!$C$16,Hypothèses!$A$16,IF(B115&lt;=Hypothèses!$C$17,Hypothèses!$A$17,IF(B115&lt;=Hypothèses!$C$18,Hypothèses!$A$18,C114))))))))))))</f>
        <v>11</v>
      </c>
      <c r="D115" s="82" t="str">
        <f>IF(B115&lt;=Hypothèses!$C$7,Hypothèses!$R$7,IF(B115&lt;=Hypothèses!$C$8,Hypothèses!$R$8,IF(B115&lt;=Hypothèses!$C$9,Hypothèses!$R$9,IF(B115&lt;=Hypothèses!$C$10,Hypothèses!$R$10,IF(B115&lt;=Hypothèses!$C$11,Hypothèses!$R$11,IF(B115&lt;=Hypothèses!$C$12,Hypothèses!$R$12,IF(B115&lt;=Hypothèses!$C$13,Hypothèses!$R$13,IF(B115&lt;=Hypothèses!$C$14,Hypothèses!$R$14,IF(B115&lt;=Hypothèses!$C$15,Hypothèses!$R$15,IF(B115&lt;=Hypothèses!$C$16,Hypothèses!$R$16,IF(B115&lt;=Hypothèses!$C$17,Hypothèses!$R$17,IF(B115&lt;=Hypothèses!$C$18,Hypothèses!$R$18,D114))))))))))))</f>
        <v>Pressio.</v>
      </c>
      <c r="E115" s="82" t="e">
        <f>IF(B115&lt;=Hypothèses!$C$7,Hypothèses!$G$7,IF(B115&lt;=Hypothèses!$C$8,Hypothèses!$G$8,IF(B115&lt;=Hypothèses!$C$9,Hypothèses!$G$9,IF(B115&lt;=Hypothèses!$C$10,Hypothèses!$G$10,IF(B115&lt;=Hypothèses!$C$11,Hypothèses!$G$11,IF(B115&lt;=Hypothèses!$C$12,Hypothèses!$G$12,IF(B115&lt;=Hypothèses!$C$13,Hypothèses!$G$13,IF(B115&lt;=Hypothèses!$C$14,Hypothèses!$G$14,IF(B115&lt;=Hypothèses!$C$15,Hypothèses!$G$15,IF(B115&lt;=Hypothèses!$C$16,Hypothèses!$G$16,IF(B115&lt;=Hypothèses!$C$17,Hypothèses!$G$17,IF(B115&lt;=Hypothèses!$C$18,Hypothèses!$G$18,E114))))))))))))</f>
        <v>#N/A</v>
      </c>
      <c r="F115" s="82" t="str">
        <f>IF(B115&lt;=Hypothèses!$C$7,Hypothèses!$F$7,IF(B115&lt;=Hypothèses!$C$8,Hypothèses!$F$8,IF(B115&lt;=Hypothèses!$C$9,Hypothèses!$F$9,IF(B115&lt;=Hypothèses!$C$10,Hypothèses!$F$10,IF(B115&lt;=Hypothèses!$C$11,Hypothèses!$F$11,IF(B115&lt;=Hypothèses!$C$12,Hypothèses!$F$12,IF(B115&lt;=Hypothèses!$C$13,Hypothèses!$F$13,IF(B115&lt;=Hypothèses!$C$14,Hypothèses!$F$14,IF(B115&lt;=Hypothèses!$C$15,Hypothèses!$F$15,IF(B115&lt;=Hypothèses!$C$16,Hypothèses!$F$16,IF(B115&lt;=Hypothèses!$C$17,Hypothèses!$F$17,IF(B115&lt;=Hypothèses!$C$18,Hypothèses!$F$18,F114))))))))))))</f>
        <v/>
      </c>
      <c r="G115" s="91">
        <f t="array" ref="G115">INDEX('Coeff EC7'!$U$7:$X$27,
MATCH(Model0.1T!$B$3,'Coeff EC7'!$T$7:$T$27,0),
MATCH(Model0.1T!$D115&amp;Model0.1T!$B$4,
'Coeff EC7'!$U$6:$X$6&amp;
'Coeff EC7'!$U$5:$X$5,0))</f>
        <v>1.4</v>
      </c>
      <c r="H115" s="91">
        <f t="array" ref="H115">INDEX('Coeff EC7'!$Y$7:$AB$27,
MATCH(Model0.1T!$B$3,'Coeff EC7'!$T$7:$T$27,0),
MATCH(Model0.1T!$D115&amp;Model0.1T!$B$4,
'Coeff EC7'!$Y$6:$AB$6&amp;
'Coeff EC7'!$Y$5:$AB$5,0))</f>
        <v>1.7</v>
      </c>
      <c r="I115" s="83">
        <v>0</v>
      </c>
      <c r="J115" s="91" t="e">
        <f t="array" ref="J115">INDEX('Coeff EC7'!$D$33:$Q$33,1,MATCH(D115&amp;E115,'Coeff EC7'!$D$31:$Q$31&amp;'Coeff EC7'!$D$32:$Q$32,0))</f>
        <v>#N/A</v>
      </c>
      <c r="K115" s="91" t="e">
        <f t="array" ref="K115">INDEX('Coeff EC7'!$D$34:$Q$34,1,MATCH(D115&amp;E115,'Coeff EC7'!$D$31:$Q$31&amp;'Coeff EC7'!$D$32:$Q$32,0))</f>
        <v>#N/A</v>
      </c>
      <c r="L115" s="91" t="e">
        <f t="array" ref="L115">INDEX('Coeff EC7'!$D$35:$Q$35,1,MATCH(D115&amp;E115,'Coeff EC7'!$D$31:$Q$31&amp;'Coeff EC7'!$D$32:$Q$32,0))</f>
        <v>#N/A</v>
      </c>
      <c r="M115" s="98" t="e">
        <f t="shared" si="131"/>
        <v>#N/A</v>
      </c>
      <c r="N115" s="99" t="e">
        <f t="array" ref="N115">INDEX('Coeff EC7'!$D$7:$Q$27,MATCH($B$3,'Coeff EC7'!$C$7:$C$27,0),MATCH(D115&amp;E115,'Coeff EC7'!$D$5:$Q$5&amp;'Coeff EC7'!$D$6:$Q$6,0))</f>
        <v>#N/A</v>
      </c>
      <c r="O115" s="99" t="e">
        <f t="array" ref="O115">INDEX('Coeff EC7'!$D$41:$Q$61,MATCH($B$3,'Coeff EC7'!$C$41:$C$61,0),MATCH(D115&amp;E115,'Coeff EC7'!$D$39:$Q$39&amp;'Coeff EC7'!$D$40:$Q$40,0))</f>
        <v>#N/A</v>
      </c>
      <c r="P115" s="30" t="e">
        <f t="shared" si="166"/>
        <v>#N/A</v>
      </c>
      <c r="Q115" s="100" t="e">
        <f t="shared" si="133"/>
        <v>#N/A</v>
      </c>
      <c r="R115" s="86" t="b">
        <f t="shared" si="134"/>
        <v>0</v>
      </c>
      <c r="S115" s="86">
        <f t="shared" si="132"/>
        <v>0.5</v>
      </c>
      <c r="T115" s="86">
        <f t="shared" si="135"/>
        <v>0.5</v>
      </c>
      <c r="U115" s="30" t="e">
        <f t="shared" ca="1" si="167"/>
        <v>#DIV/0!</v>
      </c>
      <c r="V115" s="85" t="str">
        <f>IF(B115&lt;=Hypothèses!$V$7,Hypothèses!$W$7,IF(B115&lt;=Hypothèses!$V$8,Hypothèses!$W$8,IF(B115&lt;=Hypothèses!$V$9,Hypothèses!$W$9,IF(B115&lt;=Hypothèses!$V$10,Hypothèses!$W$10,IF(B115&lt;=Hypothèses!$V$11,Hypothèses!$W$11,IF(B115&lt;=Hypothèses!$V$12,Hypothèses!$W$12,IF(B115&lt;=Hypothèses!$V$13,Hypothèses!$W$13,IF(B115&lt;=Hypothèses!$V$14,Hypothèses!$W$14,IF(B115&lt;=Hypothèses!$V$15,Hypothèses!$W$15,IF(B115&lt;=Hypothèses!$V$16,Hypothèses!$W$16,IF(B115&lt;=Hypothèses!$V$17,Hypothèses!$W$17,IF(B115&lt;=Hypothèses!$V$18,Hypothèses!$W$18,""))))))))))))</f>
        <v/>
      </c>
      <c r="W115" s="87" t="e">
        <f t="shared" ca="1" si="216"/>
        <v>#DIV/0!</v>
      </c>
      <c r="X115" s="88" t="str">
        <f>IF(B115&lt;=Hypothèses!$V$7,Hypothèses!$X$7,IF(B115&lt;=Hypothèses!$V$8,Hypothèses!$X$8,IF(B115&lt;=Hypothèses!$V$9,Hypothèses!$X$9,IF(B115&lt;=Hypothèses!$V$10,Hypothèses!$X$10,IF(B115&lt;=Hypothèses!$V$11,Hypothèses!$X$11,IF(B115&lt;=Hypothèses!$V$12,Hypothèses!$X$12,IF(B115&lt;=Hypothèses!$V$13,Hypothèses!$X$13,IF(B115&lt;=Hypothèses!$V$14,Hypothèses!$X$14,IF(B115&lt;=Hypothèses!$V$15,Hypothèses!$X$15,IF(B115&lt;=Hypothèses!$V$16,Hypothèses!$X$16,IF(B115&lt;=Hypothèses!$U$17,Hypothèses!$W$17,IF(B115&lt;=Hypothèses!$U$18,Hypothèses!$W$18,""))))))))))))</f>
        <v/>
      </c>
      <c r="Y115" s="95" t="e">
        <f t="shared" ca="1" si="136"/>
        <v>#DIV/0!</v>
      </c>
      <c r="Z115" s="101">
        <f t="shared" si="137"/>
        <v>0</v>
      </c>
      <c r="AA115" s="91">
        <f t="shared" si="138"/>
        <v>0</v>
      </c>
      <c r="AB115" s="30" t="e">
        <f t="shared" si="200"/>
        <v>#N/A</v>
      </c>
      <c r="AC115" s="30" t="e">
        <f t="shared" si="201"/>
        <v>#N/A</v>
      </c>
      <c r="AD115" s="31" t="e">
        <f>IF(OR(Hypothèses!$B$4=17,Hypothèses!$B$4=18,Hypothèses!$B$4=19,Hypothèses!$B$4=20),
IF($D115="Pressio.",
IF(OR($E115=3,$E115=1,$E115=4),AC115,AB115),
IF($D115="Pénétro.",
IF(OR($E115=3,$E115=1,$E115=4),AC115,AB115))),IF($D115="Pressio.",
IF($E115=3,AC115,AB115),
IF($D115="Pénétro.",
IF($E115=4,AC115,AB115))))</f>
        <v>#N/A</v>
      </c>
      <c r="AE115" s="31">
        <v>0</v>
      </c>
      <c r="AF115" s="102" t="e">
        <f>IF(NDC!$H$10="Oui",(VLOOKUP($B$3,'Coeff EC7'!$T$39:$X$59,2,0)*AD115+VLOOKUP($B$3,'Coeff EC7'!$T$65:$X$85,2,0)*Model0.1T!AE115)/1.5,PI()*AB$12*$Q115*($B115-$B114)*0.15/10+AF114)</f>
        <v>#N/A</v>
      </c>
      <c r="AG115" s="102" t="e">
        <f>(VLOOKUP($B$3,'Coeff EC7'!$T$39:$X$59,3,0)*AD115+VLOOKUP($B$3,'Coeff EC7'!$T$65:$X$85,3,0)*Model0.1T!AE115)/1.1</f>
        <v>#N/A</v>
      </c>
      <c r="AH115" s="102" t="e">
        <f t="shared" si="168"/>
        <v>#N/A</v>
      </c>
      <c r="AI115" s="102" t="e">
        <f t="shared" si="169"/>
        <v>#N/A</v>
      </c>
      <c r="AJ115" s="414" t="e">
        <f>IF(AND(AF115&gt;NDC!$C$63,AG115&gt;NDC!$C$65,AH115&gt;NDC!$D$73,AI115&gt;NDC!$D$74,$B115&gt;NDC!$H$22-0.1+MIN(3*$AJ$12,1.5)),0,1)</f>
        <v>#N/A</v>
      </c>
      <c r="AK115" s="86" t="b">
        <f t="shared" si="139"/>
        <v>0</v>
      </c>
      <c r="AL115" s="86">
        <f t="shared" si="170"/>
        <v>0.5</v>
      </c>
      <c r="AM115" s="86">
        <f t="shared" si="140"/>
        <v>0.5</v>
      </c>
      <c r="AN115" s="30" t="e">
        <f t="shared" ca="1" si="171"/>
        <v>#DIV/0!</v>
      </c>
      <c r="AO115" s="85" t="e">
        <f ca="1">IF(U115&lt;=Hypothèses!$V$7,Hypothèses!$W$7,IF(U115&lt;=Hypothèses!$V$8,Hypothèses!$W$8,IF(U115&lt;=Hypothèses!$V$9,Hypothèses!$W$9,IF(U115&lt;=Hypothèses!$V$10,Hypothèses!$W$10,IF(U115&lt;=Hypothèses!$V$11,Hypothèses!$W$11,IF(U115&lt;=Hypothèses!$V$12,Hypothèses!$W$12,IF(U115&lt;=Hypothèses!$V$13,Hypothèses!$W$13,IF(U115&lt;=Hypothèses!$V$14,Hypothèses!$W$14,IF(U115&lt;=Hypothèses!$V$15,Hypothèses!$W$15,IF(U115&lt;=Hypothèses!$V$16,Hypothèses!$W$16,IF(U115&lt;=Hypothèses!$V$17,Hypothèses!$W$17,IF(U115&lt;=Hypothèses!$V$18,Hypothèses!$W$18,""))))))))))))</f>
        <v>#DIV/0!</v>
      </c>
      <c r="AP115" s="87" t="e">
        <f t="shared" ca="1" si="217"/>
        <v>#DIV/0!</v>
      </c>
      <c r="AQ115" s="88" t="e">
        <f ca="1">IF(U115&lt;=Hypothèses!$V$7,Hypothèses!$X$7,IF(U115&lt;=Hypothèses!$V$8,Hypothèses!$X$8,IF(U115&lt;=Hypothèses!$V$9,Hypothèses!$X$9,IF(U115&lt;=Hypothèses!$V$10,Hypothèses!$X$10,IF(U115&lt;=Hypothèses!$V$11,Hypothèses!$X$11,IF(U115&lt;=Hypothèses!$V$12,Hypothèses!$X$12,IF(U115&lt;=Hypothèses!$V$13,Hypothèses!$X$13,IF(U115&lt;=Hypothèses!$V$14,Hypothèses!$X$14,IF(U115&lt;=Hypothèses!$V$15,Hypothèses!$X$15,IF(U115&lt;=Hypothèses!$V$16,Hypothèses!$X$16,IF(U115&lt;=Hypothèses!$U$17,Hypothèses!$W$17,IF(U115&lt;=Hypothèses!$U$18,Hypothèses!$W$18,""))))))))))))</f>
        <v>#DIV/0!</v>
      </c>
      <c r="AR115" s="95" t="e">
        <f t="shared" ca="1" si="172"/>
        <v>#DIV/0!</v>
      </c>
      <c r="AS115" s="101">
        <f t="shared" si="224"/>
        <v>0</v>
      </c>
      <c r="AT115" s="91">
        <f t="shared" si="141"/>
        <v>0</v>
      </c>
      <c r="AU115" s="30" t="e">
        <f t="shared" si="202"/>
        <v>#N/A</v>
      </c>
      <c r="AV115" s="30" t="e">
        <f t="shared" si="203"/>
        <v>#N/A</v>
      </c>
      <c r="AW115" s="31" t="e">
        <f>IF(OR(Hypothèses!$B$4=17,Hypothèses!$B$4=18,Hypothèses!$B$4=19,Hypothèses!$B$4=20),
IF($D115="Pressio.",
IF(OR($E115=3,$E115=1,$E115=4),AV115,AU115),
IF($D115="Pénétro.",
IF(OR($E115=3,$E115=1,$E115=4),AV115,AU115))),IF($D115="Pressio.",
IF($E115=3,AV115,AU115),
IF($D115="Pénétro.",
IF($E115=4,AV115,AU115))))</f>
        <v>#N/A</v>
      </c>
      <c r="AX115" s="31">
        <v>0</v>
      </c>
      <c r="AY115" s="102" t="e">
        <f>IF(NDC!$H$10="Oui",(VLOOKUP($B$3,'Coeff EC7'!$T$39:$X$59,2,0)*AW115+VLOOKUP($B$3,'Coeff EC7'!$T$65:$X$85,2,0)*Model0.1T!AX115)/1.5,PI()*AU$12*$Q115*($B115-$B114)*0.15/10+AY114)</f>
        <v>#N/A</v>
      </c>
      <c r="AZ115" s="102" t="e">
        <f>(VLOOKUP($B$3,'Coeff EC7'!$T$39:$X$59,3,0)*AW115+VLOOKUP($B$3,'Coeff EC7'!$T$65:$X$85,3,0)*Model0.1T!AX115)/1.1</f>
        <v>#N/A</v>
      </c>
      <c r="BA115" s="102" t="e">
        <f t="shared" si="173"/>
        <v>#N/A</v>
      </c>
      <c r="BB115" s="102" t="e">
        <f t="shared" si="174"/>
        <v>#N/A</v>
      </c>
      <c r="BC115" s="414" t="e">
        <f>IF(AND(AY115&gt;NDC!$C$63,AZ115&gt;NDC!$C$65,BA115&gt;NDC!$D$73,BB115&gt;NDC!$D$74,$B115&gt;NDC!$H$22-0.1+MIN(3*BC$12,1.5)),0,1)</f>
        <v>#N/A</v>
      </c>
      <c r="BD115" s="86" t="b">
        <f t="shared" si="142"/>
        <v>0</v>
      </c>
      <c r="BE115" s="86">
        <f t="shared" si="175"/>
        <v>0.5</v>
      </c>
      <c r="BF115" s="86">
        <f t="shared" si="143"/>
        <v>0.5</v>
      </c>
      <c r="BG115" s="30" t="e">
        <f t="shared" ca="1" si="176"/>
        <v>#DIV/0!</v>
      </c>
      <c r="BH115" s="85" t="e">
        <f ca="1">IF(AN115&lt;=Hypothèses!$V$7,Hypothèses!$W$7,IF(AN115&lt;=Hypothèses!$V$8,Hypothèses!$W$8,IF(AN115&lt;=Hypothèses!$V$9,Hypothèses!$W$9,IF(AN115&lt;=Hypothèses!$V$10,Hypothèses!$W$10,IF(AN115&lt;=Hypothèses!$V$11,Hypothèses!$W$11,IF(AN115&lt;=Hypothèses!$V$12,Hypothèses!$W$12,IF(AN115&lt;=Hypothèses!$V$13,Hypothèses!$W$13,IF(AN115&lt;=Hypothèses!$V$14,Hypothèses!$W$14,IF(AN115&lt;=Hypothèses!$V$15,Hypothèses!$W$15,IF(AN115&lt;=Hypothèses!$V$16,Hypothèses!$W$16,IF(AN115&lt;=Hypothèses!$V$17,Hypothèses!$W$17,IF(AN115&lt;=Hypothèses!$V$18,Hypothèses!$W$18,""))))))))))))</f>
        <v>#DIV/0!</v>
      </c>
      <c r="BI115" s="87" t="e">
        <f t="shared" ca="1" si="218"/>
        <v>#DIV/0!</v>
      </c>
      <c r="BJ115" s="88" t="e">
        <f ca="1">IF(AN115&lt;=Hypothèses!$V$7,Hypothèses!$X$7,IF(AN115&lt;=Hypothèses!$V$8,Hypothèses!$X$8,IF(AN115&lt;=Hypothèses!$V$9,Hypothèses!$X$9,IF(AN115&lt;=Hypothèses!$V$10,Hypothèses!$X$10,IF(AN115&lt;=Hypothèses!$V$11,Hypothèses!$X$11,IF(AN115&lt;=Hypothèses!$V$12,Hypothèses!$X$12,IF(AN115&lt;=Hypothèses!$V$13,Hypothèses!$X$13,IF(AN115&lt;=Hypothèses!$V$14,Hypothèses!$X$14,IF(AN115&lt;=Hypothèses!$V$15,Hypothèses!$X$15,IF(AN115&lt;=Hypothèses!$V$16,Hypothèses!$X$16,IF(AN115&lt;=Hypothèses!$U$17,Hypothèses!$W$17,IF(AN115&lt;=Hypothèses!$U$18,Hypothèses!$W$18,""))))))))))))</f>
        <v>#DIV/0!</v>
      </c>
      <c r="BK115" s="95" t="e">
        <f t="shared" ca="1" si="177"/>
        <v>#DIV/0!</v>
      </c>
      <c r="BL115" s="101">
        <f t="shared" si="225"/>
        <v>0</v>
      </c>
      <c r="BM115" s="91">
        <f t="shared" si="144"/>
        <v>0</v>
      </c>
      <c r="BN115" s="30" t="e">
        <f t="shared" si="204"/>
        <v>#N/A</v>
      </c>
      <c r="BO115" s="30" t="e">
        <f t="shared" si="205"/>
        <v>#N/A</v>
      </c>
      <c r="BP115" s="31" t="e">
        <f>IF(OR(Hypothèses!$B$4=17,Hypothèses!$B$4=18,Hypothèses!$B$4=19,Hypothèses!$B$4=20),
IF($D115="Pressio.",
IF(OR($E115=3,$E115=1,$E115=4),BO115,BN115),
IF($D115="Pénétro.",
IF(OR($E115=3,$E115=1,$E115=4),BO115,BN115))),IF($D115="Pressio.",
IF($E115=3,BO115,BN115),
IF($D115="Pénétro.",
IF($E115=4,BO115,BN115))))</f>
        <v>#N/A</v>
      </c>
      <c r="BQ115" s="31">
        <v>0</v>
      </c>
      <c r="BR115" s="102" t="e">
        <f>IF(NDC!$H$10="Oui",(VLOOKUP($B$3,'Coeff EC7'!$T$39:$X$59,2,0)*BP115+VLOOKUP($B$3,'Coeff EC7'!$T$65:$X$85,2,0)*Model0.1T!BQ115)/1.5,PI()*BN$12*$Q115*($B115-$B114)*0.15/10+BR114)</f>
        <v>#N/A</v>
      </c>
      <c r="BS115" s="102" t="e">
        <f>(VLOOKUP($B$3,'Coeff EC7'!$T$39:$X$59,3,0)*BP115+VLOOKUP($B$3,'Coeff EC7'!$T$65:$X$85,3,0)*Model0.1T!BQ115)/1.1</f>
        <v>#N/A</v>
      </c>
      <c r="BT115" s="102" t="e">
        <f t="shared" si="178"/>
        <v>#N/A</v>
      </c>
      <c r="BU115" s="102" t="e">
        <f t="shared" si="179"/>
        <v>#N/A</v>
      </c>
      <c r="BV115" s="414" t="e">
        <f>IF(AND(BR115&gt;NDC!$C$63,BS115&gt;NDC!$C$65,BT115&gt;NDC!$D$73,BU115&gt;NDC!$D$74,$B115&gt;NDC!$H$22-0.1+MIN(3*BV$12,1.5)),0,1)</f>
        <v>#N/A</v>
      </c>
      <c r="BW115" s="86" t="b">
        <f t="shared" si="145"/>
        <v>0</v>
      </c>
      <c r="BX115" s="86">
        <f t="shared" si="146"/>
        <v>0.5</v>
      </c>
      <c r="BY115" s="86">
        <f t="shared" si="147"/>
        <v>0.5</v>
      </c>
      <c r="BZ115" s="30" t="e">
        <f t="shared" ca="1" si="180"/>
        <v>#DIV/0!</v>
      </c>
      <c r="CA115" s="85" t="e">
        <f ca="1">IF(BG115&lt;=Hypothèses!$V$7,Hypothèses!$W$7,IF(BG115&lt;=Hypothèses!$V$8,Hypothèses!$W$8,IF(BG115&lt;=Hypothèses!$V$9,Hypothèses!$W$9,IF(BG115&lt;=Hypothèses!$V$10,Hypothèses!$W$10,IF(BG115&lt;=Hypothèses!$V$11,Hypothèses!$W$11,IF(BG115&lt;=Hypothèses!$V$12,Hypothèses!$W$12,IF(BG115&lt;=Hypothèses!$V$13,Hypothèses!$W$13,IF(BG115&lt;=Hypothèses!$V$14,Hypothèses!$W$14,IF(BG115&lt;=Hypothèses!$V$15,Hypothèses!$W$15,IF(BG115&lt;=Hypothèses!$V$16,Hypothèses!$W$16,IF(BG115&lt;=Hypothèses!$V$17,Hypothèses!$W$17,IF(BG115&lt;=Hypothèses!$V$18,Hypothèses!$W$18,""))))))))))))</f>
        <v>#DIV/0!</v>
      </c>
      <c r="CB115" s="87" t="e">
        <f t="shared" ca="1" si="219"/>
        <v>#DIV/0!</v>
      </c>
      <c r="CC115" s="88" t="e">
        <f ca="1">IF(BG115&lt;=Hypothèses!$V$7,Hypothèses!$X$7,IF(BG115&lt;=Hypothèses!$V$8,Hypothèses!$X$8,IF(BG115&lt;=Hypothèses!$V$9,Hypothèses!$X$9,IF(BG115&lt;=Hypothèses!$V$10,Hypothèses!$X$10,IF(BG115&lt;=Hypothèses!$V$11,Hypothèses!$X$11,IF(BG115&lt;=Hypothèses!$V$12,Hypothèses!$X$12,IF(BG115&lt;=Hypothèses!$V$13,Hypothèses!$X$13,IF(BG115&lt;=Hypothèses!$V$14,Hypothèses!$X$14,IF(BG115&lt;=Hypothèses!$V$15,Hypothèses!$X$15,IF(BG115&lt;=Hypothèses!$V$16,Hypothèses!$X$16,IF(BG115&lt;=Hypothèses!$U$17,Hypothèses!$W$17,IF(BG115&lt;=Hypothèses!$U$18,Hypothèses!$W$18,""))))))))))))</f>
        <v>#DIV/0!</v>
      </c>
      <c r="CD115" s="95" t="e">
        <f t="shared" ca="1" si="181"/>
        <v>#DIV/0!</v>
      </c>
      <c r="CE115" s="101">
        <f t="shared" si="226"/>
        <v>0</v>
      </c>
      <c r="CF115" s="91">
        <f t="shared" si="148"/>
        <v>0</v>
      </c>
      <c r="CG115" s="30" t="e">
        <f t="shared" si="206"/>
        <v>#N/A</v>
      </c>
      <c r="CH115" s="30" t="e">
        <f t="shared" si="207"/>
        <v>#N/A</v>
      </c>
      <c r="CI115" s="31" t="e">
        <f>IF(OR(Hypothèses!$B$4=17,Hypothèses!$B$4=18,Hypothèses!$B$4=19,Hypothèses!$B$4=20),
IF($D115="Pressio.",
IF(OR($E115=3,$E115=1,$E115=4),CH115,CG115),
IF($D115="Pénétro.",
IF(OR($E115=3,$E115=1,$E115=4),CH115,CG115))),IF($D115="Pressio.",
IF($E115=3,CH115,CG115),
IF($D115="Pénétro.",
IF($E115=4,CH115,CG115))))</f>
        <v>#N/A</v>
      </c>
      <c r="CJ115" s="31">
        <v>0</v>
      </c>
      <c r="CK115" s="102" t="e">
        <f>IF(NDC!$H$10="Oui",(VLOOKUP($B$3,'Coeff EC7'!$T$39:$X$59,2,0)*CI115+VLOOKUP($B$3,'Coeff EC7'!$T$65:$X$85,2,0)*Model0.1T!CJ115)/1.5,PI()*CG$12*$Q115*($B115-$B114)*0.15/10+CK114)</f>
        <v>#N/A</v>
      </c>
      <c r="CL115" s="102" t="e">
        <f>(VLOOKUP($B$3,'Coeff EC7'!$T$39:$X$59,3,0)*CI115+VLOOKUP($B$3,'Coeff EC7'!$T$65:$X$85,3,0)*Model0.1T!CJ115)/1.1</f>
        <v>#N/A</v>
      </c>
      <c r="CM115" s="102" t="e">
        <f t="shared" si="182"/>
        <v>#N/A</v>
      </c>
      <c r="CN115" s="102" t="e">
        <f t="shared" si="183"/>
        <v>#N/A</v>
      </c>
      <c r="CO115" s="414" t="e">
        <f>IF(AND(CK115&gt;NDC!$C$63,CL115&gt;NDC!$C$65,CM115&gt;NDC!$D$73,CN115&gt;NDC!$D$74,$B115&gt;NDC!$H$22-0.1+MIN(3*CO$12,1.5)),0,1)</f>
        <v>#N/A</v>
      </c>
      <c r="CP115" s="86" t="b">
        <f t="shared" si="149"/>
        <v>0</v>
      </c>
      <c r="CQ115" s="86">
        <f t="shared" si="150"/>
        <v>0.5</v>
      </c>
      <c r="CR115" s="86">
        <f t="shared" si="151"/>
        <v>0.5</v>
      </c>
      <c r="CS115" s="30" t="e">
        <f t="shared" ca="1" si="184"/>
        <v>#DIV/0!</v>
      </c>
      <c r="CT115" s="85" t="e">
        <f ca="1">IF(BZ115&lt;=Hypothèses!$V$7,Hypothèses!$W$7,IF(BZ115&lt;=Hypothèses!$V$8,Hypothèses!$W$8,IF(BZ115&lt;=Hypothèses!$V$9,Hypothèses!$W$9,IF(BZ115&lt;=Hypothèses!$V$10,Hypothèses!$W$10,IF(BZ115&lt;=Hypothèses!$V$11,Hypothèses!$W$11,IF(BZ115&lt;=Hypothèses!$V$12,Hypothèses!$W$12,IF(BZ115&lt;=Hypothèses!$V$13,Hypothèses!$W$13,IF(BZ115&lt;=Hypothèses!$V$14,Hypothèses!$W$14,IF(BZ115&lt;=Hypothèses!$V$15,Hypothèses!$W$15,IF(BZ115&lt;=Hypothèses!$V$16,Hypothèses!$W$16,IF(BZ115&lt;=Hypothèses!$V$17,Hypothèses!$W$17,IF(BZ115&lt;=Hypothèses!$V$18,Hypothèses!$W$18,""))))))))))))</f>
        <v>#DIV/0!</v>
      </c>
      <c r="CU115" s="87" t="e">
        <f t="shared" ca="1" si="220"/>
        <v>#DIV/0!</v>
      </c>
      <c r="CV115" s="88" t="e">
        <f ca="1">IF(BZ115&lt;=Hypothèses!$V$7,Hypothèses!$X$7,IF(BZ115&lt;=Hypothèses!$V$8,Hypothèses!$X$8,IF(BZ115&lt;=Hypothèses!$V$9,Hypothèses!$X$9,IF(BZ115&lt;=Hypothèses!$V$10,Hypothèses!$X$10,IF(BZ115&lt;=Hypothèses!$V$11,Hypothèses!$X$11,IF(BZ115&lt;=Hypothèses!$V$12,Hypothèses!$X$12,IF(BZ115&lt;=Hypothèses!$V$13,Hypothèses!$X$13,IF(BZ115&lt;=Hypothèses!$V$14,Hypothèses!$X$14,IF(BZ115&lt;=Hypothèses!$V$15,Hypothèses!$X$15,IF(BZ115&lt;=Hypothèses!$V$16,Hypothèses!$X$16,IF(BZ115&lt;=Hypothèses!$U$17,Hypothèses!$W$17,IF(BZ115&lt;=Hypothèses!$U$18,Hypothèses!$W$18,""))))))))))))</f>
        <v>#DIV/0!</v>
      </c>
      <c r="CW115" s="95" t="e">
        <f t="shared" ca="1" si="185"/>
        <v>#DIV/0!</v>
      </c>
      <c r="CX115" s="101">
        <f t="shared" si="227"/>
        <v>0</v>
      </c>
      <c r="CY115" s="91">
        <f t="shared" si="152"/>
        <v>0</v>
      </c>
      <c r="CZ115" s="30" t="e">
        <f t="shared" si="208"/>
        <v>#N/A</v>
      </c>
      <c r="DA115" s="30" t="e">
        <f t="shared" si="209"/>
        <v>#N/A</v>
      </c>
      <c r="DB115" s="31" t="e">
        <f>IF(OR(Hypothèses!$B$4=17,Hypothèses!$B$4=18,Hypothèses!$B$4=19,Hypothèses!$B$4=20),
IF($D115="Pressio.",
IF(OR($E115=3,$E115=1,$E115=4),DA115,CZ115),
IF($D115="Pénétro.",
IF(OR($E115=3,$E115=1,$E115=4),DA115,CZ115))),IF($D115="Pressio.",
IF($E115=3,DA115,CZ115),
IF($D115="Pénétro.",
IF($E115=4,DA115,CZ115))))</f>
        <v>#N/A</v>
      </c>
      <c r="DC115" s="31">
        <v>0</v>
      </c>
      <c r="DD115" s="102" t="e">
        <f>IF(NDC!$H$10="Oui",(VLOOKUP($B$3,'Coeff EC7'!$T$39:$X$59,2,0)*DB115+VLOOKUP($B$3,'Coeff EC7'!$T$65:$X$85,2,0)*Model0.1T!DC115)/1.5,PI()*CZ$12*$Q115*($B115-$B114)*0.15/10+DD114)</f>
        <v>#N/A</v>
      </c>
      <c r="DE115" s="102" t="e">
        <f>(VLOOKUP($B$3,'Coeff EC7'!$T$39:$X$59,3,0)*DB115+VLOOKUP($B$3,'Coeff EC7'!$T$65:$X$85,3,0)*Model0.1T!DC115)/1.1</f>
        <v>#N/A</v>
      </c>
      <c r="DF115" s="102" t="e">
        <f t="shared" si="186"/>
        <v>#N/A</v>
      </c>
      <c r="DG115" s="102" t="e">
        <f t="shared" si="187"/>
        <v>#N/A</v>
      </c>
      <c r="DH115" s="414" t="e">
        <f>IF(AND(DD115&gt;NDC!$C$63,DE115&gt;NDC!$C$65,DF115&gt;NDC!$D$73,DG115&gt;NDC!$D$74,$B115&gt;NDC!$H$22-0.1+MIN(3*DH$12,1.5)),0,1)</f>
        <v>#N/A</v>
      </c>
      <c r="DI115" s="86" t="b">
        <f t="shared" si="153"/>
        <v>0</v>
      </c>
      <c r="DJ115" s="86">
        <f t="shared" si="154"/>
        <v>0.5</v>
      </c>
      <c r="DK115" s="86">
        <f t="shared" si="155"/>
        <v>0.5</v>
      </c>
      <c r="DL115" s="30" t="e">
        <f t="shared" ca="1" si="188"/>
        <v>#DIV/0!</v>
      </c>
      <c r="DM115" s="85" t="e">
        <f ca="1">IF(CS115&lt;=Hypothèses!$V$7,Hypothèses!$W$7,IF(CS115&lt;=Hypothèses!$V$8,Hypothèses!$W$8,IF(CS115&lt;=Hypothèses!$V$9,Hypothèses!$W$9,IF(CS115&lt;=Hypothèses!$V$10,Hypothèses!$W$10,IF(CS115&lt;=Hypothèses!$V$11,Hypothèses!$W$11,IF(CS115&lt;=Hypothèses!$V$12,Hypothèses!$W$12,IF(CS115&lt;=Hypothèses!$V$13,Hypothèses!$W$13,IF(CS115&lt;=Hypothèses!$V$14,Hypothèses!$W$14,IF(CS115&lt;=Hypothèses!$V$15,Hypothèses!$W$15,IF(CS115&lt;=Hypothèses!$V$16,Hypothèses!$W$16,IF(CS115&lt;=Hypothèses!$V$17,Hypothèses!$W$17,IF(CS115&lt;=Hypothèses!$V$18,Hypothèses!$W$18,""))))))))))))</f>
        <v>#DIV/0!</v>
      </c>
      <c r="DN115" s="87" t="e">
        <f t="shared" ca="1" si="221"/>
        <v>#DIV/0!</v>
      </c>
      <c r="DO115" s="88" t="e">
        <f ca="1">IF(CS115&lt;=Hypothèses!$V$7,Hypothèses!$X$7,IF(CS115&lt;=Hypothèses!$V$8,Hypothèses!$X$8,IF(CS115&lt;=Hypothèses!$V$9,Hypothèses!$X$9,IF(CS115&lt;=Hypothèses!$V$10,Hypothèses!$X$10,IF(CS115&lt;=Hypothèses!$V$11,Hypothèses!$X$11,IF(CS115&lt;=Hypothèses!$V$12,Hypothèses!$X$12,IF(CS115&lt;=Hypothèses!$V$13,Hypothèses!$X$13,IF(CS115&lt;=Hypothèses!$V$14,Hypothèses!$X$14,IF(CS115&lt;=Hypothèses!$V$15,Hypothèses!$X$15,IF(CS115&lt;=Hypothèses!$V$16,Hypothèses!$X$16,IF(CS115&lt;=Hypothèses!$U$17,Hypothèses!$W$17,IF(CS115&lt;=Hypothèses!$U$18,Hypothèses!$W$18,""))))))))))))</f>
        <v>#DIV/0!</v>
      </c>
      <c r="DP115" s="95" t="e">
        <f t="shared" ca="1" si="189"/>
        <v>#DIV/0!</v>
      </c>
      <c r="DQ115" s="101">
        <f t="shared" si="228"/>
        <v>0</v>
      </c>
      <c r="DR115" s="91">
        <f t="shared" si="156"/>
        <v>0</v>
      </c>
      <c r="DS115" s="30" t="e">
        <f t="shared" si="210"/>
        <v>#N/A</v>
      </c>
      <c r="DT115" s="30" t="e">
        <f t="shared" si="211"/>
        <v>#N/A</v>
      </c>
      <c r="DU115" s="31" t="e">
        <f>IF(OR(Hypothèses!$B$4=17,Hypothèses!$B$4=18,Hypothèses!$B$4=19,Hypothèses!$B$4=20),
IF($D115="Pressio.",
IF(OR($E115=3,$E115=1,$E115=4),DT115,DS115),
IF($D115="Pénétro.",
IF(OR($E115=3,$E115=1,$E115=4),DT115,DS115))),IF($D115="Pressio.",
IF($E115=3,DT115,DS115),
IF($D115="Pénétro.",
IF($E115=4,DT115,DS115))))</f>
        <v>#N/A</v>
      </c>
      <c r="DV115" s="31">
        <v>0</v>
      </c>
      <c r="DW115" s="102" t="e">
        <f>IF(NDC!$H$10="Oui",(VLOOKUP($B$3,'Coeff EC7'!$T$39:$X$59,2,0)*DU115+VLOOKUP($B$3,'Coeff EC7'!$T$65:$X$85,2,0)*Model0.1T!DV115)/1.5,PI()*DS$12*$Q115*($B115-$B114)*0.15/10+DW114)</f>
        <v>#N/A</v>
      </c>
      <c r="DX115" s="102" t="e">
        <f>(VLOOKUP($B$3,'Coeff EC7'!$T$39:$X$59,3,0)*DU115+VLOOKUP($B$3,'Coeff EC7'!$T$65:$X$85,3,0)*Model0.1T!DV115)/1.1</f>
        <v>#N/A</v>
      </c>
      <c r="DY115" s="102" t="e">
        <f t="shared" si="190"/>
        <v>#N/A</v>
      </c>
      <c r="DZ115" s="102" t="e">
        <f t="shared" si="191"/>
        <v>#N/A</v>
      </c>
      <c r="EA115" s="414" t="e">
        <f>IF(AND(DW115&gt;NDC!$C$63,DX115&gt;NDC!$C$65,DY115&gt;NDC!$D$73,DZ115&gt;NDC!$D$74,$B115&gt;NDC!$H$22-0.1+MIN(3*EA$12,1.5)),0,1)</f>
        <v>#N/A</v>
      </c>
      <c r="EB115" s="86" t="b">
        <f t="shared" si="157"/>
        <v>0</v>
      </c>
      <c r="EC115" s="418">
        <f t="shared" si="158"/>
        <v>0.51</v>
      </c>
      <c r="ED115" s="86">
        <f t="shared" si="159"/>
        <v>0.51</v>
      </c>
      <c r="EE115" s="30" t="e">
        <f t="shared" ca="1" si="192"/>
        <v>#DIV/0!</v>
      </c>
      <c r="EF115" s="85" t="e">
        <f ca="1">IF(DL115&lt;=Hypothèses!$V$7,Hypothèses!$W$7,IF(DL115&lt;=Hypothèses!$V$8,Hypothèses!$W$8,IF(DL115&lt;=Hypothèses!$V$9,Hypothèses!$W$9,IF(DL115&lt;=Hypothèses!$V$10,Hypothèses!$W$10,IF(DL115&lt;=Hypothèses!$V$11,Hypothèses!$W$11,IF(DL115&lt;=Hypothèses!$V$12,Hypothèses!$W$12,IF(DL115&lt;=Hypothèses!$V$13,Hypothèses!$W$13,IF(DL115&lt;=Hypothèses!$V$14,Hypothèses!$W$14,IF(DL115&lt;=Hypothèses!$V$15,Hypothèses!$W$15,IF(DL115&lt;=Hypothèses!$V$16,Hypothèses!$W$16,IF(DL115&lt;=Hypothèses!$V$17,Hypothèses!$W$17,IF(DL115&lt;=Hypothèses!$V$18,Hypothèses!$W$18,""))))))))))))</f>
        <v>#DIV/0!</v>
      </c>
      <c r="EG115" s="87" t="e">
        <f t="shared" ca="1" si="222"/>
        <v>#DIV/0!</v>
      </c>
      <c r="EH115" s="88" t="e">
        <f ca="1">IF(DL115&lt;=Hypothèses!$V$7,Hypothèses!$X$7,IF(DL115&lt;=Hypothèses!$V$8,Hypothèses!$X$8,IF(DL115&lt;=Hypothèses!$V$9,Hypothèses!$X$9,IF(DL115&lt;=Hypothèses!$V$10,Hypothèses!$X$10,IF(DL115&lt;=Hypothèses!$V$11,Hypothèses!$X$11,IF(DL115&lt;=Hypothèses!$V$12,Hypothèses!$X$12,IF(DL115&lt;=Hypothèses!$V$13,Hypothèses!$X$13,IF(DL115&lt;=Hypothèses!$V$14,Hypothèses!$X$14,IF(DL115&lt;=Hypothèses!$V$15,Hypothèses!$X$15,IF(DL115&lt;=Hypothèses!$V$16,Hypothèses!$X$16,IF(DL115&lt;=Hypothèses!$U$17,Hypothèses!$W$17,IF(DL115&lt;=Hypothèses!$U$18,Hypothèses!$W$18,""))))))))))))</f>
        <v>#DIV/0!</v>
      </c>
      <c r="EI115" s="95" t="e">
        <f t="shared" ca="1" si="193"/>
        <v>#DIV/0!</v>
      </c>
      <c r="EJ115" s="101">
        <f t="shared" si="229"/>
        <v>0</v>
      </c>
      <c r="EK115" s="91">
        <f t="shared" si="160"/>
        <v>0</v>
      </c>
      <c r="EL115" s="30" t="e">
        <f t="shared" si="212"/>
        <v>#N/A</v>
      </c>
      <c r="EM115" s="30" t="e">
        <f t="shared" si="213"/>
        <v>#N/A</v>
      </c>
      <c r="EN115" s="31" t="e">
        <f>IF(OR(Hypothèses!$B$4=17,Hypothèses!$B$4=18,Hypothèses!$B$4=19,Hypothèses!$B$4=20),
IF($D115="Pressio.",
IF(OR($E115=3,$E115=1,$E115=4),EM115,EL115),
IF($D115="Pénétro.",
IF(OR($E115=3,$E115=1,$E115=4),EM115,EL115))),IF($D115="Pressio.",
IF($E115=3,EM115,EL115),
IF($D115="Pénétro.",
IF($E115=4,EM115,EL115))))</f>
        <v>#N/A</v>
      </c>
      <c r="EO115" s="31">
        <v>0</v>
      </c>
      <c r="EP115" s="102" t="e">
        <f>IF(NDC!$H$10="Oui",(VLOOKUP($B$3,'Coeff EC7'!$T$39:$X$59,2,0)*EN115+VLOOKUP($B$3,'Coeff EC7'!$T$65:$X$85,2,0)*Model0.1T!EO115)/1.5,PI()*EL$12*$Q115*($B115-$B114)*0.15/10+EP114)</f>
        <v>#N/A</v>
      </c>
      <c r="EQ115" s="102" t="e">
        <f>(VLOOKUP($B$3,'Coeff EC7'!$T$39:$X$59,3,0)*EN115+VLOOKUP($B$3,'Coeff EC7'!$T$65:$X$85,3,0)*Model0.1T!EO115)/1.1</f>
        <v>#N/A</v>
      </c>
      <c r="ER115" s="102" t="e">
        <f t="shared" si="194"/>
        <v>#N/A</v>
      </c>
      <c r="ES115" s="102" t="e">
        <f t="shared" si="195"/>
        <v>#N/A</v>
      </c>
      <c r="ET115" s="414" t="e">
        <f>IF(AND(EP115&gt;NDC!$C$63,EQ115&gt;NDC!$C$65,ER115&gt;NDC!$D$73,ES115&gt;NDC!$D$74,$B115&gt;NDC!$H$22-0.1+MIN(3*ET$12,1.5)),0,1)</f>
        <v>#N/A</v>
      </c>
      <c r="EU115" s="86" t="b">
        <f t="shared" si="161"/>
        <v>0</v>
      </c>
      <c r="EV115" s="86">
        <f t="shared" si="162"/>
        <v>0.61</v>
      </c>
      <c r="EW115" s="86">
        <f t="shared" si="163"/>
        <v>0.61</v>
      </c>
      <c r="EX115" s="30" t="e">
        <f t="shared" ca="1" si="196"/>
        <v>#DIV/0!</v>
      </c>
      <c r="EY115" s="85" t="e">
        <f ca="1">IF(EE115&lt;=Hypothèses!$V$7,Hypothèses!$W$7,IF(EE115&lt;=Hypothèses!$V$8,Hypothèses!$W$8,IF(EE115&lt;=Hypothèses!$V$9,Hypothèses!$W$9,IF(EE115&lt;=Hypothèses!$V$10,Hypothèses!$W$10,IF(EE115&lt;=Hypothèses!$V$11,Hypothèses!$W$11,IF(EE115&lt;=Hypothèses!$V$12,Hypothèses!$W$12,IF(EE115&lt;=Hypothèses!$V$13,Hypothèses!$W$13,IF(EE115&lt;=Hypothèses!$V$14,Hypothèses!$W$14,IF(EE115&lt;=Hypothèses!$V$15,Hypothèses!$W$15,IF(EE115&lt;=Hypothèses!$V$16,Hypothèses!$W$16,IF(EE115&lt;=Hypothèses!$V$17,Hypothèses!$W$17,IF(EE115&lt;=Hypothèses!$V$18,Hypothèses!$W$18,""))))))))))))</f>
        <v>#DIV/0!</v>
      </c>
      <c r="EZ115" s="87" t="e">
        <f t="shared" ca="1" si="223"/>
        <v>#DIV/0!</v>
      </c>
      <c r="FA115" s="88" t="e">
        <f ca="1">IF(EE115&lt;=Hypothèses!$V$7,Hypothèses!$X$7,IF(EE115&lt;=Hypothèses!$V$8,Hypothèses!$X$8,IF(EE115&lt;=Hypothèses!$V$9,Hypothèses!$X$9,IF(EE115&lt;=Hypothèses!$V$10,Hypothèses!$X$10,IF(EE115&lt;=Hypothèses!$V$11,Hypothèses!$X$11,IF(EE115&lt;=Hypothèses!$V$12,Hypothèses!$X$12,IF(EE115&lt;=Hypothèses!$V$13,Hypothèses!$X$13,IF(EE115&lt;=Hypothèses!$V$14,Hypothèses!$X$14,IF(EE115&lt;=Hypothèses!$V$15,Hypothèses!$X$15,IF(EE115&lt;=Hypothèses!$V$16,Hypothèses!$X$16,IF(EE115&lt;=Hypothèses!$U$17,Hypothèses!$W$17,IF(EE115&lt;=Hypothèses!$U$18,Hypothèses!$W$18,""))))))))))))</f>
        <v>#DIV/0!</v>
      </c>
      <c r="FB115" s="95" t="e">
        <f t="shared" ca="1" si="197"/>
        <v>#DIV/0!</v>
      </c>
      <c r="FC115" s="101">
        <f t="shared" si="230"/>
        <v>0</v>
      </c>
      <c r="FD115" s="91">
        <f t="shared" si="164"/>
        <v>0</v>
      </c>
      <c r="FE115" s="30" t="e">
        <f t="shared" si="214"/>
        <v>#N/A</v>
      </c>
      <c r="FF115" s="30" t="e">
        <f t="shared" si="215"/>
        <v>#N/A</v>
      </c>
      <c r="FG115" s="31" t="e">
        <f>IF(OR(Hypothèses!$B$4=17,Hypothèses!$B$4=18,Hypothèses!$B$4=19,Hypothèses!$B$4=20),
IF($D115="Pressio.",
IF(OR($E115=3,$E115=1,$E115=4),FF115,FE115),
IF($D115="Pénétro.",
IF(OR($E115=3,$E115=1,$E115=4),FF115,FE115))),IF($D115="Pressio.",
IF($E115=3,FF115,FE115),
IF($D115="Pénétro.",
IF($E115=4,FF115,FE115))))</f>
        <v>#N/A</v>
      </c>
      <c r="FH115" s="31">
        <v>0</v>
      </c>
      <c r="FI115" s="102" t="e">
        <f>IF(NDC!$H$10="Oui",(VLOOKUP($B$3,'Coeff EC7'!$T$39:$X$59,2,0)*FG115+VLOOKUP($B$3,'Coeff EC7'!$T$65:$X$85,2,0)*Model0.1T!FH115)/1.5,PI()*FE$12*$Q115*($B115-$B114)*0.15/10+FI114)</f>
        <v>#N/A</v>
      </c>
      <c r="FJ115" s="102" t="e">
        <f>(VLOOKUP($B$3,'Coeff EC7'!$T$39:$X$59,3,0)*FG115+VLOOKUP($B$3,'Coeff EC7'!$T$65:$X$85,3,0)*Model0.1T!FH115)/1.1</f>
        <v>#N/A</v>
      </c>
      <c r="FK115" s="102" t="e">
        <f t="shared" si="198"/>
        <v>#N/A</v>
      </c>
      <c r="FL115" s="102" t="e">
        <f t="shared" si="199"/>
        <v>#N/A</v>
      </c>
      <c r="FM115" s="414" t="e">
        <f>IF(AND(FI115&gt;NDC!$C$63,FJ115&gt;NDC!$C$65,FK115&gt;NDC!$D$73,FL115&gt;NDC!$D$74,$B115&gt;NDC!$H$22-0.1+MIN(3*FM$12,1.5)),0,1)</f>
        <v>#N/A</v>
      </c>
    </row>
    <row r="116" spans="1:169">
      <c r="A116" s="96">
        <f t="shared" si="165"/>
        <v>89.700000000000585</v>
      </c>
      <c r="B116" s="97">
        <v>10.3</v>
      </c>
      <c r="C116" s="81">
        <f>IF(B116&lt;=Hypothèses!$C$7,Hypothèses!$A$7,IF(B116&lt;=Hypothèses!$C$8,Hypothèses!$A$8,IF(B116&lt;=Hypothèses!$C$9,Hypothèses!$A$9,IF(B116&lt;=Hypothèses!$C$10,Hypothèses!$A$10,IF(B116&lt;=Hypothèses!$C$11,Hypothèses!$A$11,IF(B116&lt;=Hypothèses!$C$12,Hypothèses!$A$12,IF(B116&lt;=Hypothèses!$C$13,Hypothèses!$A$13,IF(B116&lt;=Hypothèses!$C$14,Hypothèses!$A$14,IF(B116&lt;=Hypothèses!$C$15,Hypothèses!$A$15,IF(B116&lt;=Hypothèses!$C$16,Hypothèses!$A$16,IF(B116&lt;=Hypothèses!$C$17,Hypothèses!$A$17,IF(B116&lt;=Hypothèses!$C$18,Hypothèses!$A$18,C115))))))))))))</f>
        <v>11</v>
      </c>
      <c r="D116" s="82" t="str">
        <f>IF(B116&lt;=Hypothèses!$C$7,Hypothèses!$R$7,IF(B116&lt;=Hypothèses!$C$8,Hypothèses!$R$8,IF(B116&lt;=Hypothèses!$C$9,Hypothèses!$R$9,IF(B116&lt;=Hypothèses!$C$10,Hypothèses!$R$10,IF(B116&lt;=Hypothèses!$C$11,Hypothèses!$R$11,IF(B116&lt;=Hypothèses!$C$12,Hypothèses!$R$12,IF(B116&lt;=Hypothèses!$C$13,Hypothèses!$R$13,IF(B116&lt;=Hypothèses!$C$14,Hypothèses!$R$14,IF(B116&lt;=Hypothèses!$C$15,Hypothèses!$R$15,IF(B116&lt;=Hypothèses!$C$16,Hypothèses!$R$16,IF(B116&lt;=Hypothèses!$C$17,Hypothèses!$R$17,IF(B116&lt;=Hypothèses!$C$18,Hypothèses!$R$18,D115))))))))))))</f>
        <v>Pressio.</v>
      </c>
      <c r="E116" s="82" t="e">
        <f>IF(B116&lt;=Hypothèses!$C$7,Hypothèses!$G$7,IF(B116&lt;=Hypothèses!$C$8,Hypothèses!$G$8,IF(B116&lt;=Hypothèses!$C$9,Hypothèses!$G$9,IF(B116&lt;=Hypothèses!$C$10,Hypothèses!$G$10,IF(B116&lt;=Hypothèses!$C$11,Hypothèses!$G$11,IF(B116&lt;=Hypothèses!$C$12,Hypothèses!$G$12,IF(B116&lt;=Hypothèses!$C$13,Hypothèses!$G$13,IF(B116&lt;=Hypothèses!$C$14,Hypothèses!$G$14,IF(B116&lt;=Hypothèses!$C$15,Hypothèses!$G$15,IF(B116&lt;=Hypothèses!$C$16,Hypothèses!$G$16,IF(B116&lt;=Hypothèses!$C$17,Hypothèses!$G$17,IF(B116&lt;=Hypothèses!$C$18,Hypothèses!$G$18,E115))))))))))))</f>
        <v>#N/A</v>
      </c>
      <c r="F116" s="82" t="str">
        <f>IF(B116&lt;=Hypothèses!$C$7,Hypothèses!$F$7,IF(B116&lt;=Hypothèses!$C$8,Hypothèses!$F$8,IF(B116&lt;=Hypothèses!$C$9,Hypothèses!$F$9,IF(B116&lt;=Hypothèses!$C$10,Hypothèses!$F$10,IF(B116&lt;=Hypothèses!$C$11,Hypothèses!$F$11,IF(B116&lt;=Hypothèses!$C$12,Hypothèses!$F$12,IF(B116&lt;=Hypothèses!$C$13,Hypothèses!$F$13,IF(B116&lt;=Hypothèses!$C$14,Hypothèses!$F$14,IF(B116&lt;=Hypothèses!$C$15,Hypothèses!$F$15,IF(B116&lt;=Hypothèses!$C$16,Hypothèses!$F$16,IF(B116&lt;=Hypothèses!$C$17,Hypothèses!$F$17,IF(B116&lt;=Hypothèses!$C$18,Hypothèses!$F$18,F115))))))))))))</f>
        <v/>
      </c>
      <c r="G116" s="91">
        <f t="array" ref="G116">INDEX('Coeff EC7'!$U$7:$X$27,
MATCH(Model0.1T!$B$3,'Coeff EC7'!$T$7:$T$27,0),
MATCH(Model0.1T!$D116&amp;Model0.1T!$B$4,
'Coeff EC7'!$U$6:$X$6&amp;
'Coeff EC7'!$U$5:$X$5,0))</f>
        <v>1.4</v>
      </c>
      <c r="H116" s="91">
        <f t="array" ref="H116">INDEX('Coeff EC7'!$Y$7:$AB$27,
MATCH(Model0.1T!$B$3,'Coeff EC7'!$T$7:$T$27,0),
MATCH(Model0.1T!$D116&amp;Model0.1T!$B$4,
'Coeff EC7'!$Y$6:$AB$6&amp;
'Coeff EC7'!$Y$5:$AB$5,0))</f>
        <v>1.7</v>
      </c>
      <c r="I116" s="83">
        <v>0</v>
      </c>
      <c r="J116" s="91" t="e">
        <f t="array" ref="J116">INDEX('Coeff EC7'!$D$33:$Q$33,1,MATCH(D116&amp;E116,'Coeff EC7'!$D$31:$Q$31&amp;'Coeff EC7'!$D$32:$Q$32,0))</f>
        <v>#N/A</v>
      </c>
      <c r="K116" s="91" t="e">
        <f t="array" ref="K116">INDEX('Coeff EC7'!$D$34:$Q$34,1,MATCH(D116&amp;E116,'Coeff EC7'!$D$31:$Q$31&amp;'Coeff EC7'!$D$32:$Q$32,0))</f>
        <v>#N/A</v>
      </c>
      <c r="L116" s="91" t="e">
        <f t="array" ref="L116">INDEX('Coeff EC7'!$D$35:$Q$35,1,MATCH(D116&amp;E116,'Coeff EC7'!$D$31:$Q$31&amp;'Coeff EC7'!$D$32:$Q$32,0))</f>
        <v>#N/A</v>
      </c>
      <c r="M116" s="98" t="e">
        <f t="shared" si="131"/>
        <v>#N/A</v>
      </c>
      <c r="N116" s="99" t="e">
        <f t="array" ref="N116">INDEX('Coeff EC7'!$D$7:$Q$27,MATCH($B$3,'Coeff EC7'!$C$7:$C$27,0),MATCH(D116&amp;E116,'Coeff EC7'!$D$5:$Q$5&amp;'Coeff EC7'!$D$6:$Q$6,0))</f>
        <v>#N/A</v>
      </c>
      <c r="O116" s="99" t="e">
        <f t="array" ref="O116">INDEX('Coeff EC7'!$D$41:$Q$61,MATCH($B$3,'Coeff EC7'!$C$41:$C$61,0),MATCH(D116&amp;E116,'Coeff EC7'!$D$39:$Q$39&amp;'Coeff EC7'!$D$40:$Q$40,0))</f>
        <v>#N/A</v>
      </c>
      <c r="P116" s="30" t="e">
        <f t="shared" si="166"/>
        <v>#N/A</v>
      </c>
      <c r="Q116" s="100" t="e">
        <f t="shared" si="133"/>
        <v>#N/A</v>
      </c>
      <c r="R116" s="86" t="b">
        <f t="shared" si="134"/>
        <v>0</v>
      </c>
      <c r="S116" s="86">
        <f t="shared" si="132"/>
        <v>0.5</v>
      </c>
      <c r="T116" s="86">
        <f t="shared" si="135"/>
        <v>0.5</v>
      </c>
      <c r="U116" s="30" t="e">
        <f t="shared" ca="1" si="167"/>
        <v>#DIV/0!</v>
      </c>
      <c r="V116" s="85" t="str">
        <f>IF(B116&lt;=Hypothèses!$V$7,Hypothèses!$W$7,IF(B116&lt;=Hypothèses!$V$8,Hypothèses!$W$8,IF(B116&lt;=Hypothèses!$V$9,Hypothèses!$W$9,IF(B116&lt;=Hypothèses!$V$10,Hypothèses!$W$10,IF(B116&lt;=Hypothèses!$V$11,Hypothèses!$W$11,IF(B116&lt;=Hypothèses!$V$12,Hypothèses!$W$12,IF(B116&lt;=Hypothèses!$V$13,Hypothèses!$W$13,IF(B116&lt;=Hypothèses!$V$14,Hypothèses!$W$14,IF(B116&lt;=Hypothèses!$V$15,Hypothèses!$W$15,IF(B116&lt;=Hypothèses!$V$16,Hypothèses!$W$16,IF(B116&lt;=Hypothèses!$V$17,Hypothèses!$W$17,IF(B116&lt;=Hypothèses!$V$18,Hypothèses!$W$18,""))))))))))))</f>
        <v/>
      </c>
      <c r="W116" s="87" t="e">
        <f t="shared" ca="1" si="216"/>
        <v>#DIV/0!</v>
      </c>
      <c r="X116" s="88" t="str">
        <f>IF(B116&lt;=Hypothèses!$V$7,Hypothèses!$X$7,IF(B116&lt;=Hypothèses!$V$8,Hypothèses!$X$8,IF(B116&lt;=Hypothèses!$V$9,Hypothèses!$X$9,IF(B116&lt;=Hypothèses!$V$10,Hypothèses!$X$10,IF(B116&lt;=Hypothèses!$V$11,Hypothèses!$X$11,IF(B116&lt;=Hypothèses!$V$12,Hypothèses!$X$12,IF(B116&lt;=Hypothèses!$V$13,Hypothèses!$X$13,IF(B116&lt;=Hypothèses!$V$14,Hypothèses!$X$14,IF(B116&lt;=Hypothèses!$V$15,Hypothèses!$X$15,IF(B116&lt;=Hypothèses!$V$16,Hypothèses!$X$16,IF(B116&lt;=Hypothèses!$U$17,Hypothèses!$W$17,IF(B116&lt;=Hypothèses!$U$18,Hypothèses!$W$18,""))))))))))))</f>
        <v/>
      </c>
      <c r="Y116" s="95" t="e">
        <f t="shared" ca="1" si="136"/>
        <v>#DIV/0!</v>
      </c>
      <c r="Z116" s="101">
        <f t="shared" si="137"/>
        <v>0</v>
      </c>
      <c r="AA116" s="91">
        <f t="shared" si="138"/>
        <v>0</v>
      </c>
      <c r="AB116" s="30" t="e">
        <f t="shared" si="200"/>
        <v>#N/A</v>
      </c>
      <c r="AC116" s="30" t="e">
        <f t="shared" si="201"/>
        <v>#N/A</v>
      </c>
      <c r="AD116" s="31" t="e">
        <f>IF(OR(Hypothèses!$B$4=17,Hypothèses!$B$4=18,Hypothèses!$B$4=19,Hypothèses!$B$4=20),
IF($D116="Pressio.",
IF(OR($E116=3,$E116=1,$E116=4),AC116,AB116),
IF($D116="Pénétro.",
IF(OR($E116=3,$E116=1,$E116=4),AC116,AB116))),IF($D116="Pressio.",
IF($E116=3,AC116,AB116),
IF($D116="Pénétro.",
IF($E116=4,AC116,AB116))))</f>
        <v>#N/A</v>
      </c>
      <c r="AE116" s="31">
        <v>0</v>
      </c>
      <c r="AF116" s="102" t="e">
        <f>IF(NDC!$H$10="Oui",(VLOOKUP($B$3,'Coeff EC7'!$T$39:$X$59,2,0)*AD116+VLOOKUP($B$3,'Coeff EC7'!$T$65:$X$85,2,0)*Model0.1T!AE116)/1.5,PI()*AB$12*$Q116*($B116-$B115)*0.15/10+AF115)</f>
        <v>#N/A</v>
      </c>
      <c r="AG116" s="102" t="e">
        <f>(VLOOKUP($B$3,'Coeff EC7'!$T$39:$X$59,3,0)*AD116+VLOOKUP($B$3,'Coeff EC7'!$T$65:$X$85,3,0)*Model0.1T!AE116)/1.1</f>
        <v>#N/A</v>
      </c>
      <c r="AH116" s="102" t="e">
        <f t="shared" si="168"/>
        <v>#N/A</v>
      </c>
      <c r="AI116" s="102" t="e">
        <f t="shared" si="169"/>
        <v>#N/A</v>
      </c>
      <c r="AJ116" s="414" t="e">
        <f>IF(AND(AF116&gt;NDC!$C$63,AG116&gt;NDC!$C$65,AH116&gt;NDC!$D$73,AI116&gt;NDC!$D$74,$B116&gt;NDC!$H$22-0.1+MIN(3*$AJ$12,1.5)),0,1)</f>
        <v>#N/A</v>
      </c>
      <c r="AK116" s="86" t="b">
        <f t="shared" si="139"/>
        <v>0</v>
      </c>
      <c r="AL116" s="86">
        <f t="shared" si="170"/>
        <v>0.5</v>
      </c>
      <c r="AM116" s="86">
        <f t="shared" si="140"/>
        <v>0.5</v>
      </c>
      <c r="AN116" s="30" t="e">
        <f t="shared" ca="1" si="171"/>
        <v>#DIV/0!</v>
      </c>
      <c r="AO116" s="85" t="e">
        <f ca="1">IF(U116&lt;=Hypothèses!$V$7,Hypothèses!$W$7,IF(U116&lt;=Hypothèses!$V$8,Hypothèses!$W$8,IF(U116&lt;=Hypothèses!$V$9,Hypothèses!$W$9,IF(U116&lt;=Hypothèses!$V$10,Hypothèses!$W$10,IF(U116&lt;=Hypothèses!$V$11,Hypothèses!$W$11,IF(U116&lt;=Hypothèses!$V$12,Hypothèses!$W$12,IF(U116&lt;=Hypothèses!$V$13,Hypothèses!$W$13,IF(U116&lt;=Hypothèses!$V$14,Hypothèses!$W$14,IF(U116&lt;=Hypothèses!$V$15,Hypothèses!$W$15,IF(U116&lt;=Hypothèses!$V$16,Hypothèses!$W$16,IF(U116&lt;=Hypothèses!$V$17,Hypothèses!$W$17,IF(U116&lt;=Hypothèses!$V$18,Hypothèses!$W$18,""))))))))))))</f>
        <v>#DIV/0!</v>
      </c>
      <c r="AP116" s="87" t="e">
        <f t="shared" ca="1" si="217"/>
        <v>#DIV/0!</v>
      </c>
      <c r="AQ116" s="88" t="e">
        <f ca="1">IF(U116&lt;=Hypothèses!$V$7,Hypothèses!$X$7,IF(U116&lt;=Hypothèses!$V$8,Hypothèses!$X$8,IF(U116&lt;=Hypothèses!$V$9,Hypothèses!$X$9,IF(U116&lt;=Hypothèses!$V$10,Hypothèses!$X$10,IF(U116&lt;=Hypothèses!$V$11,Hypothèses!$X$11,IF(U116&lt;=Hypothèses!$V$12,Hypothèses!$X$12,IF(U116&lt;=Hypothèses!$V$13,Hypothèses!$X$13,IF(U116&lt;=Hypothèses!$V$14,Hypothèses!$X$14,IF(U116&lt;=Hypothèses!$V$15,Hypothèses!$X$15,IF(U116&lt;=Hypothèses!$V$16,Hypothèses!$X$16,IF(U116&lt;=Hypothèses!$U$17,Hypothèses!$W$17,IF(U116&lt;=Hypothèses!$U$18,Hypothèses!$W$18,""))))))))))))</f>
        <v>#DIV/0!</v>
      </c>
      <c r="AR116" s="95" t="e">
        <f t="shared" ca="1" si="172"/>
        <v>#DIV/0!</v>
      </c>
      <c r="AS116" s="101">
        <f t="shared" si="224"/>
        <v>0</v>
      </c>
      <c r="AT116" s="91">
        <f t="shared" si="141"/>
        <v>0</v>
      </c>
      <c r="AU116" s="30" t="e">
        <f t="shared" si="202"/>
        <v>#N/A</v>
      </c>
      <c r="AV116" s="30" t="e">
        <f t="shared" si="203"/>
        <v>#N/A</v>
      </c>
      <c r="AW116" s="31" t="e">
        <f>IF(OR(Hypothèses!$B$4=17,Hypothèses!$B$4=18,Hypothèses!$B$4=19,Hypothèses!$B$4=20),
IF($D116="Pressio.",
IF(OR($E116=3,$E116=1,$E116=4),AV116,AU116),
IF($D116="Pénétro.",
IF(OR($E116=3,$E116=1,$E116=4),AV116,AU116))),IF($D116="Pressio.",
IF($E116=3,AV116,AU116),
IF($D116="Pénétro.",
IF($E116=4,AV116,AU116))))</f>
        <v>#N/A</v>
      </c>
      <c r="AX116" s="31">
        <v>0</v>
      </c>
      <c r="AY116" s="102" t="e">
        <f>IF(NDC!$H$10="Oui",(VLOOKUP($B$3,'Coeff EC7'!$T$39:$X$59,2,0)*AW116+VLOOKUP($B$3,'Coeff EC7'!$T$65:$X$85,2,0)*Model0.1T!AX116)/1.5,PI()*AU$12*$Q116*($B116-$B115)*0.15/10+AY115)</f>
        <v>#N/A</v>
      </c>
      <c r="AZ116" s="102" t="e">
        <f>(VLOOKUP($B$3,'Coeff EC7'!$T$39:$X$59,3,0)*AW116+VLOOKUP($B$3,'Coeff EC7'!$T$65:$X$85,3,0)*Model0.1T!AX116)/1.1</f>
        <v>#N/A</v>
      </c>
      <c r="BA116" s="102" t="e">
        <f t="shared" si="173"/>
        <v>#N/A</v>
      </c>
      <c r="BB116" s="102" t="e">
        <f t="shared" si="174"/>
        <v>#N/A</v>
      </c>
      <c r="BC116" s="414" t="e">
        <f>IF(AND(AY116&gt;NDC!$C$63,AZ116&gt;NDC!$C$65,BA116&gt;NDC!$D$73,BB116&gt;NDC!$D$74,$B116&gt;NDC!$H$22-0.1+MIN(3*BC$12,1.5)),0,1)</f>
        <v>#N/A</v>
      </c>
      <c r="BD116" s="86" t="b">
        <f t="shared" si="142"/>
        <v>0</v>
      </c>
      <c r="BE116" s="86">
        <f t="shared" si="175"/>
        <v>0.5</v>
      </c>
      <c r="BF116" s="86">
        <f t="shared" si="143"/>
        <v>0.5</v>
      </c>
      <c r="BG116" s="30" t="e">
        <f t="shared" ca="1" si="176"/>
        <v>#DIV/0!</v>
      </c>
      <c r="BH116" s="85" t="e">
        <f ca="1">IF(AN116&lt;=Hypothèses!$V$7,Hypothèses!$W$7,IF(AN116&lt;=Hypothèses!$V$8,Hypothèses!$W$8,IF(AN116&lt;=Hypothèses!$V$9,Hypothèses!$W$9,IF(AN116&lt;=Hypothèses!$V$10,Hypothèses!$W$10,IF(AN116&lt;=Hypothèses!$V$11,Hypothèses!$W$11,IF(AN116&lt;=Hypothèses!$V$12,Hypothèses!$W$12,IF(AN116&lt;=Hypothèses!$V$13,Hypothèses!$W$13,IF(AN116&lt;=Hypothèses!$V$14,Hypothèses!$W$14,IF(AN116&lt;=Hypothèses!$V$15,Hypothèses!$W$15,IF(AN116&lt;=Hypothèses!$V$16,Hypothèses!$W$16,IF(AN116&lt;=Hypothèses!$V$17,Hypothèses!$W$17,IF(AN116&lt;=Hypothèses!$V$18,Hypothèses!$W$18,""))))))))))))</f>
        <v>#DIV/0!</v>
      </c>
      <c r="BI116" s="87" t="e">
        <f t="shared" ca="1" si="218"/>
        <v>#DIV/0!</v>
      </c>
      <c r="BJ116" s="88" t="e">
        <f ca="1">IF(AN116&lt;=Hypothèses!$V$7,Hypothèses!$X$7,IF(AN116&lt;=Hypothèses!$V$8,Hypothèses!$X$8,IF(AN116&lt;=Hypothèses!$V$9,Hypothèses!$X$9,IF(AN116&lt;=Hypothèses!$V$10,Hypothèses!$X$10,IF(AN116&lt;=Hypothèses!$V$11,Hypothèses!$X$11,IF(AN116&lt;=Hypothèses!$V$12,Hypothèses!$X$12,IF(AN116&lt;=Hypothèses!$V$13,Hypothèses!$X$13,IF(AN116&lt;=Hypothèses!$V$14,Hypothèses!$X$14,IF(AN116&lt;=Hypothèses!$V$15,Hypothèses!$X$15,IF(AN116&lt;=Hypothèses!$V$16,Hypothèses!$X$16,IF(AN116&lt;=Hypothèses!$U$17,Hypothèses!$W$17,IF(AN116&lt;=Hypothèses!$U$18,Hypothèses!$W$18,""))))))))))))</f>
        <v>#DIV/0!</v>
      </c>
      <c r="BK116" s="95" t="e">
        <f t="shared" ca="1" si="177"/>
        <v>#DIV/0!</v>
      </c>
      <c r="BL116" s="101">
        <f t="shared" si="225"/>
        <v>0</v>
      </c>
      <c r="BM116" s="91">
        <f t="shared" si="144"/>
        <v>0</v>
      </c>
      <c r="BN116" s="30" t="e">
        <f t="shared" si="204"/>
        <v>#N/A</v>
      </c>
      <c r="BO116" s="30" t="e">
        <f t="shared" si="205"/>
        <v>#N/A</v>
      </c>
      <c r="BP116" s="31" t="e">
        <f>IF(OR(Hypothèses!$B$4=17,Hypothèses!$B$4=18,Hypothèses!$B$4=19,Hypothèses!$B$4=20),
IF($D116="Pressio.",
IF(OR($E116=3,$E116=1,$E116=4),BO116,BN116),
IF($D116="Pénétro.",
IF(OR($E116=3,$E116=1,$E116=4),BO116,BN116))),IF($D116="Pressio.",
IF($E116=3,BO116,BN116),
IF($D116="Pénétro.",
IF($E116=4,BO116,BN116))))</f>
        <v>#N/A</v>
      </c>
      <c r="BQ116" s="31">
        <v>0</v>
      </c>
      <c r="BR116" s="102" t="e">
        <f>IF(NDC!$H$10="Oui",(VLOOKUP($B$3,'Coeff EC7'!$T$39:$X$59,2,0)*BP116+VLOOKUP($B$3,'Coeff EC7'!$T$65:$X$85,2,0)*Model0.1T!BQ116)/1.5,PI()*BN$12*$Q116*($B116-$B115)*0.15/10+BR115)</f>
        <v>#N/A</v>
      </c>
      <c r="BS116" s="102" t="e">
        <f>(VLOOKUP($B$3,'Coeff EC7'!$T$39:$X$59,3,0)*BP116+VLOOKUP($B$3,'Coeff EC7'!$T$65:$X$85,3,0)*Model0.1T!BQ116)/1.1</f>
        <v>#N/A</v>
      </c>
      <c r="BT116" s="102" t="e">
        <f t="shared" si="178"/>
        <v>#N/A</v>
      </c>
      <c r="BU116" s="102" t="e">
        <f t="shared" si="179"/>
        <v>#N/A</v>
      </c>
      <c r="BV116" s="414" t="e">
        <f>IF(AND(BR116&gt;NDC!$C$63,BS116&gt;NDC!$C$65,BT116&gt;NDC!$D$73,BU116&gt;NDC!$D$74,$B116&gt;NDC!$H$22-0.1+MIN(3*BV$12,1.5)),0,1)</f>
        <v>#N/A</v>
      </c>
      <c r="BW116" s="86" t="b">
        <f t="shared" si="145"/>
        <v>0</v>
      </c>
      <c r="BX116" s="86">
        <f t="shared" si="146"/>
        <v>0.5</v>
      </c>
      <c r="BY116" s="86">
        <f t="shared" si="147"/>
        <v>0.5</v>
      </c>
      <c r="BZ116" s="30" t="e">
        <f t="shared" ca="1" si="180"/>
        <v>#DIV/0!</v>
      </c>
      <c r="CA116" s="85" t="e">
        <f ca="1">IF(BG116&lt;=Hypothèses!$V$7,Hypothèses!$W$7,IF(BG116&lt;=Hypothèses!$V$8,Hypothèses!$W$8,IF(BG116&lt;=Hypothèses!$V$9,Hypothèses!$W$9,IF(BG116&lt;=Hypothèses!$V$10,Hypothèses!$W$10,IF(BG116&lt;=Hypothèses!$V$11,Hypothèses!$W$11,IF(BG116&lt;=Hypothèses!$V$12,Hypothèses!$W$12,IF(BG116&lt;=Hypothèses!$V$13,Hypothèses!$W$13,IF(BG116&lt;=Hypothèses!$V$14,Hypothèses!$W$14,IF(BG116&lt;=Hypothèses!$V$15,Hypothèses!$W$15,IF(BG116&lt;=Hypothèses!$V$16,Hypothèses!$W$16,IF(BG116&lt;=Hypothèses!$V$17,Hypothèses!$W$17,IF(BG116&lt;=Hypothèses!$V$18,Hypothèses!$W$18,""))))))))))))</f>
        <v>#DIV/0!</v>
      </c>
      <c r="CB116" s="87" t="e">
        <f t="shared" ca="1" si="219"/>
        <v>#DIV/0!</v>
      </c>
      <c r="CC116" s="88" t="e">
        <f ca="1">IF(BG116&lt;=Hypothèses!$V$7,Hypothèses!$X$7,IF(BG116&lt;=Hypothèses!$V$8,Hypothèses!$X$8,IF(BG116&lt;=Hypothèses!$V$9,Hypothèses!$X$9,IF(BG116&lt;=Hypothèses!$V$10,Hypothèses!$X$10,IF(BG116&lt;=Hypothèses!$V$11,Hypothèses!$X$11,IF(BG116&lt;=Hypothèses!$V$12,Hypothèses!$X$12,IF(BG116&lt;=Hypothèses!$V$13,Hypothèses!$X$13,IF(BG116&lt;=Hypothèses!$V$14,Hypothèses!$X$14,IF(BG116&lt;=Hypothèses!$V$15,Hypothèses!$X$15,IF(BG116&lt;=Hypothèses!$V$16,Hypothèses!$X$16,IF(BG116&lt;=Hypothèses!$U$17,Hypothèses!$W$17,IF(BG116&lt;=Hypothèses!$U$18,Hypothèses!$W$18,""))))))))))))</f>
        <v>#DIV/0!</v>
      </c>
      <c r="CD116" s="95" t="e">
        <f t="shared" ca="1" si="181"/>
        <v>#DIV/0!</v>
      </c>
      <c r="CE116" s="101">
        <f t="shared" si="226"/>
        <v>0</v>
      </c>
      <c r="CF116" s="91">
        <f t="shared" si="148"/>
        <v>0</v>
      </c>
      <c r="CG116" s="30" t="e">
        <f t="shared" si="206"/>
        <v>#N/A</v>
      </c>
      <c r="CH116" s="30" t="e">
        <f t="shared" si="207"/>
        <v>#N/A</v>
      </c>
      <c r="CI116" s="31" t="e">
        <f>IF(OR(Hypothèses!$B$4=17,Hypothèses!$B$4=18,Hypothèses!$B$4=19,Hypothèses!$B$4=20),
IF($D116="Pressio.",
IF(OR($E116=3,$E116=1,$E116=4),CH116,CG116),
IF($D116="Pénétro.",
IF(OR($E116=3,$E116=1,$E116=4),CH116,CG116))),IF($D116="Pressio.",
IF($E116=3,CH116,CG116),
IF($D116="Pénétro.",
IF($E116=4,CH116,CG116))))</f>
        <v>#N/A</v>
      </c>
      <c r="CJ116" s="31">
        <v>0</v>
      </c>
      <c r="CK116" s="102" t="e">
        <f>IF(NDC!$H$10="Oui",(VLOOKUP($B$3,'Coeff EC7'!$T$39:$X$59,2,0)*CI116+VLOOKUP($B$3,'Coeff EC7'!$T$65:$X$85,2,0)*Model0.1T!CJ116)/1.5,PI()*CG$12*$Q116*($B116-$B115)*0.15/10+CK115)</f>
        <v>#N/A</v>
      </c>
      <c r="CL116" s="102" t="e">
        <f>(VLOOKUP($B$3,'Coeff EC7'!$T$39:$X$59,3,0)*CI116+VLOOKUP($B$3,'Coeff EC7'!$T$65:$X$85,3,0)*Model0.1T!CJ116)/1.1</f>
        <v>#N/A</v>
      </c>
      <c r="CM116" s="102" t="e">
        <f t="shared" si="182"/>
        <v>#N/A</v>
      </c>
      <c r="CN116" s="102" t="e">
        <f t="shared" si="183"/>
        <v>#N/A</v>
      </c>
      <c r="CO116" s="414" t="e">
        <f>IF(AND(CK116&gt;NDC!$C$63,CL116&gt;NDC!$C$65,CM116&gt;NDC!$D$73,CN116&gt;NDC!$D$74,$B116&gt;NDC!$H$22-0.1+MIN(3*CO$12,1.5)),0,1)</f>
        <v>#N/A</v>
      </c>
      <c r="CP116" s="86" t="b">
        <f t="shared" si="149"/>
        <v>0</v>
      </c>
      <c r="CQ116" s="86">
        <f t="shared" si="150"/>
        <v>0.5</v>
      </c>
      <c r="CR116" s="86">
        <f t="shared" si="151"/>
        <v>0.5</v>
      </c>
      <c r="CS116" s="30" t="e">
        <f t="shared" ca="1" si="184"/>
        <v>#DIV/0!</v>
      </c>
      <c r="CT116" s="85" t="e">
        <f ca="1">IF(BZ116&lt;=Hypothèses!$V$7,Hypothèses!$W$7,IF(BZ116&lt;=Hypothèses!$V$8,Hypothèses!$W$8,IF(BZ116&lt;=Hypothèses!$V$9,Hypothèses!$W$9,IF(BZ116&lt;=Hypothèses!$V$10,Hypothèses!$W$10,IF(BZ116&lt;=Hypothèses!$V$11,Hypothèses!$W$11,IF(BZ116&lt;=Hypothèses!$V$12,Hypothèses!$W$12,IF(BZ116&lt;=Hypothèses!$V$13,Hypothèses!$W$13,IF(BZ116&lt;=Hypothèses!$V$14,Hypothèses!$W$14,IF(BZ116&lt;=Hypothèses!$V$15,Hypothèses!$W$15,IF(BZ116&lt;=Hypothèses!$V$16,Hypothèses!$W$16,IF(BZ116&lt;=Hypothèses!$V$17,Hypothèses!$W$17,IF(BZ116&lt;=Hypothèses!$V$18,Hypothèses!$W$18,""))))))))))))</f>
        <v>#DIV/0!</v>
      </c>
      <c r="CU116" s="87" t="e">
        <f t="shared" ca="1" si="220"/>
        <v>#DIV/0!</v>
      </c>
      <c r="CV116" s="88" t="e">
        <f ca="1">IF(BZ116&lt;=Hypothèses!$V$7,Hypothèses!$X$7,IF(BZ116&lt;=Hypothèses!$V$8,Hypothèses!$X$8,IF(BZ116&lt;=Hypothèses!$V$9,Hypothèses!$X$9,IF(BZ116&lt;=Hypothèses!$V$10,Hypothèses!$X$10,IF(BZ116&lt;=Hypothèses!$V$11,Hypothèses!$X$11,IF(BZ116&lt;=Hypothèses!$V$12,Hypothèses!$X$12,IF(BZ116&lt;=Hypothèses!$V$13,Hypothèses!$X$13,IF(BZ116&lt;=Hypothèses!$V$14,Hypothèses!$X$14,IF(BZ116&lt;=Hypothèses!$V$15,Hypothèses!$X$15,IF(BZ116&lt;=Hypothèses!$V$16,Hypothèses!$X$16,IF(BZ116&lt;=Hypothèses!$U$17,Hypothèses!$W$17,IF(BZ116&lt;=Hypothèses!$U$18,Hypothèses!$W$18,""))))))))))))</f>
        <v>#DIV/0!</v>
      </c>
      <c r="CW116" s="95" t="e">
        <f t="shared" ca="1" si="185"/>
        <v>#DIV/0!</v>
      </c>
      <c r="CX116" s="101">
        <f t="shared" si="227"/>
        <v>0</v>
      </c>
      <c r="CY116" s="91">
        <f t="shared" si="152"/>
        <v>0</v>
      </c>
      <c r="CZ116" s="30" t="e">
        <f t="shared" si="208"/>
        <v>#N/A</v>
      </c>
      <c r="DA116" s="30" t="e">
        <f t="shared" si="209"/>
        <v>#N/A</v>
      </c>
      <c r="DB116" s="31" t="e">
        <f>IF(OR(Hypothèses!$B$4=17,Hypothèses!$B$4=18,Hypothèses!$B$4=19,Hypothèses!$B$4=20),
IF($D116="Pressio.",
IF(OR($E116=3,$E116=1,$E116=4),DA116,CZ116),
IF($D116="Pénétro.",
IF(OR($E116=3,$E116=1,$E116=4),DA116,CZ116))),IF($D116="Pressio.",
IF($E116=3,DA116,CZ116),
IF($D116="Pénétro.",
IF($E116=4,DA116,CZ116))))</f>
        <v>#N/A</v>
      </c>
      <c r="DC116" s="31">
        <v>0</v>
      </c>
      <c r="DD116" s="102" t="e">
        <f>IF(NDC!$H$10="Oui",(VLOOKUP($B$3,'Coeff EC7'!$T$39:$X$59,2,0)*DB116+VLOOKUP($B$3,'Coeff EC7'!$T$65:$X$85,2,0)*Model0.1T!DC116)/1.5,PI()*CZ$12*$Q116*($B116-$B115)*0.15/10+DD115)</f>
        <v>#N/A</v>
      </c>
      <c r="DE116" s="102" t="e">
        <f>(VLOOKUP($B$3,'Coeff EC7'!$T$39:$X$59,3,0)*DB116+VLOOKUP($B$3,'Coeff EC7'!$T$65:$X$85,3,0)*Model0.1T!DC116)/1.1</f>
        <v>#N/A</v>
      </c>
      <c r="DF116" s="102" t="e">
        <f t="shared" si="186"/>
        <v>#N/A</v>
      </c>
      <c r="DG116" s="102" t="e">
        <f t="shared" si="187"/>
        <v>#N/A</v>
      </c>
      <c r="DH116" s="414" t="e">
        <f>IF(AND(DD116&gt;NDC!$C$63,DE116&gt;NDC!$C$65,DF116&gt;NDC!$D$73,DG116&gt;NDC!$D$74,$B116&gt;NDC!$H$22-0.1+MIN(3*DH$12,1.5)),0,1)</f>
        <v>#N/A</v>
      </c>
      <c r="DI116" s="86" t="b">
        <f t="shared" si="153"/>
        <v>0</v>
      </c>
      <c r="DJ116" s="86">
        <f t="shared" si="154"/>
        <v>0.5</v>
      </c>
      <c r="DK116" s="86">
        <f t="shared" si="155"/>
        <v>0.5</v>
      </c>
      <c r="DL116" s="30" t="e">
        <f t="shared" ca="1" si="188"/>
        <v>#DIV/0!</v>
      </c>
      <c r="DM116" s="85" t="e">
        <f ca="1">IF(CS116&lt;=Hypothèses!$V$7,Hypothèses!$W$7,IF(CS116&lt;=Hypothèses!$V$8,Hypothèses!$W$8,IF(CS116&lt;=Hypothèses!$V$9,Hypothèses!$W$9,IF(CS116&lt;=Hypothèses!$V$10,Hypothèses!$W$10,IF(CS116&lt;=Hypothèses!$V$11,Hypothèses!$W$11,IF(CS116&lt;=Hypothèses!$V$12,Hypothèses!$W$12,IF(CS116&lt;=Hypothèses!$V$13,Hypothèses!$W$13,IF(CS116&lt;=Hypothèses!$V$14,Hypothèses!$W$14,IF(CS116&lt;=Hypothèses!$V$15,Hypothèses!$W$15,IF(CS116&lt;=Hypothèses!$V$16,Hypothèses!$W$16,IF(CS116&lt;=Hypothèses!$V$17,Hypothèses!$W$17,IF(CS116&lt;=Hypothèses!$V$18,Hypothèses!$W$18,""))))))))))))</f>
        <v>#DIV/0!</v>
      </c>
      <c r="DN116" s="87" t="e">
        <f t="shared" ca="1" si="221"/>
        <v>#DIV/0!</v>
      </c>
      <c r="DO116" s="88" t="e">
        <f ca="1">IF(CS116&lt;=Hypothèses!$V$7,Hypothèses!$X$7,IF(CS116&lt;=Hypothèses!$V$8,Hypothèses!$X$8,IF(CS116&lt;=Hypothèses!$V$9,Hypothèses!$X$9,IF(CS116&lt;=Hypothèses!$V$10,Hypothèses!$X$10,IF(CS116&lt;=Hypothèses!$V$11,Hypothèses!$X$11,IF(CS116&lt;=Hypothèses!$V$12,Hypothèses!$X$12,IF(CS116&lt;=Hypothèses!$V$13,Hypothèses!$X$13,IF(CS116&lt;=Hypothèses!$V$14,Hypothèses!$X$14,IF(CS116&lt;=Hypothèses!$V$15,Hypothèses!$X$15,IF(CS116&lt;=Hypothèses!$V$16,Hypothèses!$X$16,IF(CS116&lt;=Hypothèses!$U$17,Hypothèses!$W$17,IF(CS116&lt;=Hypothèses!$U$18,Hypothèses!$W$18,""))))))))))))</f>
        <v>#DIV/0!</v>
      </c>
      <c r="DP116" s="95" t="e">
        <f t="shared" ca="1" si="189"/>
        <v>#DIV/0!</v>
      </c>
      <c r="DQ116" s="101">
        <f t="shared" si="228"/>
        <v>0</v>
      </c>
      <c r="DR116" s="91">
        <f t="shared" si="156"/>
        <v>0</v>
      </c>
      <c r="DS116" s="30" t="e">
        <f t="shared" si="210"/>
        <v>#N/A</v>
      </c>
      <c r="DT116" s="30" t="e">
        <f t="shared" si="211"/>
        <v>#N/A</v>
      </c>
      <c r="DU116" s="31" t="e">
        <f>IF(OR(Hypothèses!$B$4=17,Hypothèses!$B$4=18,Hypothèses!$B$4=19,Hypothèses!$B$4=20),
IF($D116="Pressio.",
IF(OR($E116=3,$E116=1,$E116=4),DT116,DS116),
IF($D116="Pénétro.",
IF(OR($E116=3,$E116=1,$E116=4),DT116,DS116))),IF($D116="Pressio.",
IF($E116=3,DT116,DS116),
IF($D116="Pénétro.",
IF($E116=4,DT116,DS116))))</f>
        <v>#N/A</v>
      </c>
      <c r="DV116" s="31">
        <v>0</v>
      </c>
      <c r="DW116" s="102" t="e">
        <f>IF(NDC!$H$10="Oui",(VLOOKUP($B$3,'Coeff EC7'!$T$39:$X$59,2,0)*DU116+VLOOKUP($B$3,'Coeff EC7'!$T$65:$X$85,2,0)*Model0.1T!DV116)/1.5,PI()*DS$12*$Q116*($B116-$B115)*0.15/10+DW115)</f>
        <v>#N/A</v>
      </c>
      <c r="DX116" s="102" t="e">
        <f>(VLOOKUP($B$3,'Coeff EC7'!$T$39:$X$59,3,0)*DU116+VLOOKUP($B$3,'Coeff EC7'!$T$65:$X$85,3,0)*Model0.1T!DV116)/1.1</f>
        <v>#N/A</v>
      </c>
      <c r="DY116" s="102" t="e">
        <f t="shared" si="190"/>
        <v>#N/A</v>
      </c>
      <c r="DZ116" s="102" t="e">
        <f t="shared" si="191"/>
        <v>#N/A</v>
      </c>
      <c r="EA116" s="414" t="e">
        <f>IF(AND(DW116&gt;NDC!$C$63,DX116&gt;NDC!$C$65,DY116&gt;NDC!$D$73,DZ116&gt;NDC!$D$74,$B116&gt;NDC!$H$22-0.1+MIN(3*EA$12,1.5)),0,1)</f>
        <v>#N/A</v>
      </c>
      <c r="EB116" s="86" t="b">
        <f t="shared" si="157"/>
        <v>0</v>
      </c>
      <c r="EC116" s="418">
        <f t="shared" si="158"/>
        <v>0.51</v>
      </c>
      <c r="ED116" s="86">
        <f t="shared" si="159"/>
        <v>0.51</v>
      </c>
      <c r="EE116" s="30" t="e">
        <f t="shared" ca="1" si="192"/>
        <v>#DIV/0!</v>
      </c>
      <c r="EF116" s="85" t="e">
        <f ca="1">IF(DL116&lt;=Hypothèses!$V$7,Hypothèses!$W$7,IF(DL116&lt;=Hypothèses!$V$8,Hypothèses!$W$8,IF(DL116&lt;=Hypothèses!$V$9,Hypothèses!$W$9,IF(DL116&lt;=Hypothèses!$V$10,Hypothèses!$W$10,IF(DL116&lt;=Hypothèses!$V$11,Hypothèses!$W$11,IF(DL116&lt;=Hypothèses!$V$12,Hypothèses!$W$12,IF(DL116&lt;=Hypothèses!$V$13,Hypothèses!$W$13,IF(DL116&lt;=Hypothèses!$V$14,Hypothèses!$W$14,IF(DL116&lt;=Hypothèses!$V$15,Hypothèses!$W$15,IF(DL116&lt;=Hypothèses!$V$16,Hypothèses!$W$16,IF(DL116&lt;=Hypothèses!$V$17,Hypothèses!$W$17,IF(DL116&lt;=Hypothèses!$V$18,Hypothèses!$W$18,""))))))))))))</f>
        <v>#DIV/0!</v>
      </c>
      <c r="EG116" s="87" t="e">
        <f t="shared" ca="1" si="222"/>
        <v>#DIV/0!</v>
      </c>
      <c r="EH116" s="88" t="e">
        <f ca="1">IF(DL116&lt;=Hypothèses!$V$7,Hypothèses!$X$7,IF(DL116&lt;=Hypothèses!$V$8,Hypothèses!$X$8,IF(DL116&lt;=Hypothèses!$V$9,Hypothèses!$X$9,IF(DL116&lt;=Hypothèses!$V$10,Hypothèses!$X$10,IF(DL116&lt;=Hypothèses!$V$11,Hypothèses!$X$11,IF(DL116&lt;=Hypothèses!$V$12,Hypothèses!$X$12,IF(DL116&lt;=Hypothèses!$V$13,Hypothèses!$X$13,IF(DL116&lt;=Hypothèses!$V$14,Hypothèses!$X$14,IF(DL116&lt;=Hypothèses!$V$15,Hypothèses!$X$15,IF(DL116&lt;=Hypothèses!$V$16,Hypothèses!$X$16,IF(DL116&lt;=Hypothèses!$U$17,Hypothèses!$W$17,IF(DL116&lt;=Hypothèses!$U$18,Hypothèses!$W$18,""))))))))))))</f>
        <v>#DIV/0!</v>
      </c>
      <c r="EI116" s="95" t="e">
        <f t="shared" ca="1" si="193"/>
        <v>#DIV/0!</v>
      </c>
      <c r="EJ116" s="101">
        <f t="shared" si="229"/>
        <v>0</v>
      </c>
      <c r="EK116" s="91">
        <f t="shared" si="160"/>
        <v>0</v>
      </c>
      <c r="EL116" s="30" t="e">
        <f t="shared" si="212"/>
        <v>#N/A</v>
      </c>
      <c r="EM116" s="30" t="e">
        <f t="shared" si="213"/>
        <v>#N/A</v>
      </c>
      <c r="EN116" s="31" t="e">
        <f>IF(OR(Hypothèses!$B$4=17,Hypothèses!$B$4=18,Hypothèses!$B$4=19,Hypothèses!$B$4=20),
IF($D116="Pressio.",
IF(OR($E116=3,$E116=1,$E116=4),EM116,EL116),
IF($D116="Pénétro.",
IF(OR($E116=3,$E116=1,$E116=4),EM116,EL116))),IF($D116="Pressio.",
IF($E116=3,EM116,EL116),
IF($D116="Pénétro.",
IF($E116=4,EM116,EL116))))</f>
        <v>#N/A</v>
      </c>
      <c r="EO116" s="31">
        <v>0</v>
      </c>
      <c r="EP116" s="102" t="e">
        <f>IF(NDC!$H$10="Oui",(VLOOKUP($B$3,'Coeff EC7'!$T$39:$X$59,2,0)*EN116+VLOOKUP($B$3,'Coeff EC7'!$T$65:$X$85,2,0)*Model0.1T!EO116)/1.5,PI()*EL$12*$Q116*($B116-$B115)*0.15/10+EP115)</f>
        <v>#N/A</v>
      </c>
      <c r="EQ116" s="102" t="e">
        <f>(VLOOKUP($B$3,'Coeff EC7'!$T$39:$X$59,3,0)*EN116+VLOOKUP($B$3,'Coeff EC7'!$T$65:$X$85,3,0)*Model0.1T!EO116)/1.1</f>
        <v>#N/A</v>
      </c>
      <c r="ER116" s="102" t="e">
        <f t="shared" si="194"/>
        <v>#N/A</v>
      </c>
      <c r="ES116" s="102" t="e">
        <f t="shared" si="195"/>
        <v>#N/A</v>
      </c>
      <c r="ET116" s="414" t="e">
        <f>IF(AND(EP116&gt;NDC!$C$63,EQ116&gt;NDC!$C$65,ER116&gt;NDC!$D$73,ES116&gt;NDC!$D$74,$B116&gt;NDC!$H$22-0.1+MIN(3*ET$12,1.5)),0,1)</f>
        <v>#N/A</v>
      </c>
      <c r="EU116" s="86" t="b">
        <f t="shared" si="161"/>
        <v>0</v>
      </c>
      <c r="EV116" s="86">
        <f t="shared" si="162"/>
        <v>0.61</v>
      </c>
      <c r="EW116" s="86">
        <f t="shared" si="163"/>
        <v>0.61</v>
      </c>
      <c r="EX116" s="30" t="e">
        <f t="shared" ca="1" si="196"/>
        <v>#DIV/0!</v>
      </c>
      <c r="EY116" s="85" t="e">
        <f ca="1">IF(EE116&lt;=Hypothèses!$V$7,Hypothèses!$W$7,IF(EE116&lt;=Hypothèses!$V$8,Hypothèses!$W$8,IF(EE116&lt;=Hypothèses!$V$9,Hypothèses!$W$9,IF(EE116&lt;=Hypothèses!$V$10,Hypothèses!$W$10,IF(EE116&lt;=Hypothèses!$V$11,Hypothèses!$W$11,IF(EE116&lt;=Hypothèses!$V$12,Hypothèses!$W$12,IF(EE116&lt;=Hypothèses!$V$13,Hypothèses!$W$13,IF(EE116&lt;=Hypothèses!$V$14,Hypothèses!$W$14,IF(EE116&lt;=Hypothèses!$V$15,Hypothèses!$W$15,IF(EE116&lt;=Hypothèses!$V$16,Hypothèses!$W$16,IF(EE116&lt;=Hypothèses!$V$17,Hypothèses!$W$17,IF(EE116&lt;=Hypothèses!$V$18,Hypothèses!$W$18,""))))))))))))</f>
        <v>#DIV/0!</v>
      </c>
      <c r="EZ116" s="87" t="e">
        <f t="shared" ca="1" si="223"/>
        <v>#DIV/0!</v>
      </c>
      <c r="FA116" s="88" t="e">
        <f ca="1">IF(EE116&lt;=Hypothèses!$V$7,Hypothèses!$X$7,IF(EE116&lt;=Hypothèses!$V$8,Hypothèses!$X$8,IF(EE116&lt;=Hypothèses!$V$9,Hypothèses!$X$9,IF(EE116&lt;=Hypothèses!$V$10,Hypothèses!$X$10,IF(EE116&lt;=Hypothèses!$V$11,Hypothèses!$X$11,IF(EE116&lt;=Hypothèses!$V$12,Hypothèses!$X$12,IF(EE116&lt;=Hypothèses!$V$13,Hypothèses!$X$13,IF(EE116&lt;=Hypothèses!$V$14,Hypothèses!$X$14,IF(EE116&lt;=Hypothèses!$V$15,Hypothèses!$X$15,IF(EE116&lt;=Hypothèses!$V$16,Hypothèses!$X$16,IF(EE116&lt;=Hypothèses!$U$17,Hypothèses!$W$17,IF(EE116&lt;=Hypothèses!$U$18,Hypothèses!$W$18,""))))))))))))</f>
        <v>#DIV/0!</v>
      </c>
      <c r="FB116" s="95" t="e">
        <f t="shared" ca="1" si="197"/>
        <v>#DIV/0!</v>
      </c>
      <c r="FC116" s="101">
        <f t="shared" si="230"/>
        <v>0</v>
      </c>
      <c r="FD116" s="91">
        <f t="shared" si="164"/>
        <v>0</v>
      </c>
      <c r="FE116" s="30" t="e">
        <f t="shared" si="214"/>
        <v>#N/A</v>
      </c>
      <c r="FF116" s="30" t="e">
        <f t="shared" si="215"/>
        <v>#N/A</v>
      </c>
      <c r="FG116" s="31" t="e">
        <f>IF(OR(Hypothèses!$B$4=17,Hypothèses!$B$4=18,Hypothèses!$B$4=19,Hypothèses!$B$4=20),
IF($D116="Pressio.",
IF(OR($E116=3,$E116=1,$E116=4),FF116,FE116),
IF($D116="Pénétro.",
IF(OR($E116=3,$E116=1,$E116=4),FF116,FE116))),IF($D116="Pressio.",
IF($E116=3,FF116,FE116),
IF($D116="Pénétro.",
IF($E116=4,FF116,FE116))))</f>
        <v>#N/A</v>
      </c>
      <c r="FH116" s="31">
        <v>0</v>
      </c>
      <c r="FI116" s="102" t="e">
        <f>IF(NDC!$H$10="Oui",(VLOOKUP($B$3,'Coeff EC7'!$T$39:$X$59,2,0)*FG116+VLOOKUP($B$3,'Coeff EC7'!$T$65:$X$85,2,0)*Model0.1T!FH116)/1.5,PI()*FE$12*$Q116*($B116-$B115)*0.15/10+FI115)</f>
        <v>#N/A</v>
      </c>
      <c r="FJ116" s="102" t="e">
        <f>(VLOOKUP($B$3,'Coeff EC7'!$T$39:$X$59,3,0)*FG116+VLOOKUP($B$3,'Coeff EC7'!$T$65:$X$85,3,0)*Model0.1T!FH116)/1.1</f>
        <v>#N/A</v>
      </c>
      <c r="FK116" s="102" t="e">
        <f t="shared" si="198"/>
        <v>#N/A</v>
      </c>
      <c r="FL116" s="102" t="e">
        <f t="shared" si="199"/>
        <v>#N/A</v>
      </c>
      <c r="FM116" s="414" t="e">
        <f>IF(AND(FI116&gt;NDC!$C$63,FJ116&gt;NDC!$C$65,FK116&gt;NDC!$D$73,FL116&gt;NDC!$D$74,$B116&gt;NDC!$H$22-0.1+MIN(3*FM$12,1.5)),0,1)</f>
        <v>#N/A</v>
      </c>
    </row>
    <row r="117" spans="1:169">
      <c r="A117" s="96">
        <f t="shared" si="165"/>
        <v>89.600000000000591</v>
      </c>
      <c r="B117" s="97">
        <v>10.4</v>
      </c>
      <c r="C117" s="81">
        <f>IF(B117&lt;=Hypothèses!$C$7,Hypothèses!$A$7,IF(B117&lt;=Hypothèses!$C$8,Hypothèses!$A$8,IF(B117&lt;=Hypothèses!$C$9,Hypothèses!$A$9,IF(B117&lt;=Hypothèses!$C$10,Hypothèses!$A$10,IF(B117&lt;=Hypothèses!$C$11,Hypothèses!$A$11,IF(B117&lt;=Hypothèses!$C$12,Hypothèses!$A$12,IF(B117&lt;=Hypothèses!$C$13,Hypothèses!$A$13,IF(B117&lt;=Hypothèses!$C$14,Hypothèses!$A$14,IF(B117&lt;=Hypothèses!$C$15,Hypothèses!$A$15,IF(B117&lt;=Hypothèses!$C$16,Hypothèses!$A$16,IF(B117&lt;=Hypothèses!$C$17,Hypothèses!$A$17,IF(B117&lt;=Hypothèses!$C$18,Hypothèses!$A$18,C116))))))))))))</f>
        <v>11</v>
      </c>
      <c r="D117" s="82" t="str">
        <f>IF(B117&lt;=Hypothèses!$C$7,Hypothèses!$R$7,IF(B117&lt;=Hypothèses!$C$8,Hypothèses!$R$8,IF(B117&lt;=Hypothèses!$C$9,Hypothèses!$R$9,IF(B117&lt;=Hypothèses!$C$10,Hypothèses!$R$10,IF(B117&lt;=Hypothèses!$C$11,Hypothèses!$R$11,IF(B117&lt;=Hypothèses!$C$12,Hypothèses!$R$12,IF(B117&lt;=Hypothèses!$C$13,Hypothèses!$R$13,IF(B117&lt;=Hypothèses!$C$14,Hypothèses!$R$14,IF(B117&lt;=Hypothèses!$C$15,Hypothèses!$R$15,IF(B117&lt;=Hypothèses!$C$16,Hypothèses!$R$16,IF(B117&lt;=Hypothèses!$C$17,Hypothèses!$R$17,IF(B117&lt;=Hypothèses!$C$18,Hypothèses!$R$18,D116))))))))))))</f>
        <v>Pressio.</v>
      </c>
      <c r="E117" s="82" t="e">
        <f>IF(B117&lt;=Hypothèses!$C$7,Hypothèses!$G$7,IF(B117&lt;=Hypothèses!$C$8,Hypothèses!$G$8,IF(B117&lt;=Hypothèses!$C$9,Hypothèses!$G$9,IF(B117&lt;=Hypothèses!$C$10,Hypothèses!$G$10,IF(B117&lt;=Hypothèses!$C$11,Hypothèses!$G$11,IF(B117&lt;=Hypothèses!$C$12,Hypothèses!$G$12,IF(B117&lt;=Hypothèses!$C$13,Hypothèses!$G$13,IF(B117&lt;=Hypothèses!$C$14,Hypothèses!$G$14,IF(B117&lt;=Hypothèses!$C$15,Hypothèses!$G$15,IF(B117&lt;=Hypothèses!$C$16,Hypothèses!$G$16,IF(B117&lt;=Hypothèses!$C$17,Hypothèses!$G$17,IF(B117&lt;=Hypothèses!$C$18,Hypothèses!$G$18,E116))))))))))))</f>
        <v>#N/A</v>
      </c>
      <c r="F117" s="82" t="str">
        <f>IF(B117&lt;=Hypothèses!$C$7,Hypothèses!$F$7,IF(B117&lt;=Hypothèses!$C$8,Hypothèses!$F$8,IF(B117&lt;=Hypothèses!$C$9,Hypothèses!$F$9,IF(B117&lt;=Hypothèses!$C$10,Hypothèses!$F$10,IF(B117&lt;=Hypothèses!$C$11,Hypothèses!$F$11,IF(B117&lt;=Hypothèses!$C$12,Hypothèses!$F$12,IF(B117&lt;=Hypothèses!$C$13,Hypothèses!$F$13,IF(B117&lt;=Hypothèses!$C$14,Hypothèses!$F$14,IF(B117&lt;=Hypothèses!$C$15,Hypothèses!$F$15,IF(B117&lt;=Hypothèses!$C$16,Hypothèses!$F$16,IF(B117&lt;=Hypothèses!$C$17,Hypothèses!$F$17,IF(B117&lt;=Hypothèses!$C$18,Hypothèses!$F$18,F116))))))))))))</f>
        <v/>
      </c>
      <c r="G117" s="91">
        <f t="array" ref="G117">INDEX('Coeff EC7'!$U$7:$X$27,
MATCH(Model0.1T!$B$3,'Coeff EC7'!$T$7:$T$27,0),
MATCH(Model0.1T!$D117&amp;Model0.1T!$B$4,
'Coeff EC7'!$U$6:$X$6&amp;
'Coeff EC7'!$U$5:$X$5,0))</f>
        <v>1.4</v>
      </c>
      <c r="H117" s="91">
        <f t="array" ref="H117">INDEX('Coeff EC7'!$Y$7:$AB$27,
MATCH(Model0.1T!$B$3,'Coeff EC7'!$T$7:$T$27,0),
MATCH(Model0.1T!$D117&amp;Model0.1T!$B$4,
'Coeff EC7'!$Y$6:$AB$6&amp;
'Coeff EC7'!$Y$5:$AB$5,0))</f>
        <v>1.7</v>
      </c>
      <c r="I117" s="83">
        <v>0</v>
      </c>
      <c r="J117" s="91" t="e">
        <f t="array" ref="J117">INDEX('Coeff EC7'!$D$33:$Q$33,1,MATCH(D117&amp;E117,'Coeff EC7'!$D$31:$Q$31&amp;'Coeff EC7'!$D$32:$Q$32,0))</f>
        <v>#N/A</v>
      </c>
      <c r="K117" s="91" t="e">
        <f t="array" ref="K117">INDEX('Coeff EC7'!$D$34:$Q$34,1,MATCH(D117&amp;E117,'Coeff EC7'!$D$31:$Q$31&amp;'Coeff EC7'!$D$32:$Q$32,0))</f>
        <v>#N/A</v>
      </c>
      <c r="L117" s="91" t="e">
        <f t="array" ref="L117">INDEX('Coeff EC7'!$D$35:$Q$35,1,MATCH(D117&amp;E117,'Coeff EC7'!$D$31:$Q$31&amp;'Coeff EC7'!$D$32:$Q$32,0))</f>
        <v>#N/A</v>
      </c>
      <c r="M117" s="98" t="e">
        <f t="shared" si="131"/>
        <v>#N/A</v>
      </c>
      <c r="N117" s="99" t="e">
        <f t="array" ref="N117">INDEX('Coeff EC7'!$D$7:$Q$27,MATCH($B$3,'Coeff EC7'!$C$7:$C$27,0),MATCH(D117&amp;E117,'Coeff EC7'!$D$5:$Q$5&amp;'Coeff EC7'!$D$6:$Q$6,0))</f>
        <v>#N/A</v>
      </c>
      <c r="O117" s="99" t="e">
        <f t="array" ref="O117">INDEX('Coeff EC7'!$D$41:$Q$61,MATCH($B$3,'Coeff EC7'!$C$41:$C$61,0),MATCH(D117&amp;E117,'Coeff EC7'!$D$39:$Q$39&amp;'Coeff EC7'!$D$40:$Q$40,0))</f>
        <v>#N/A</v>
      </c>
      <c r="P117" s="30" t="e">
        <f t="shared" si="166"/>
        <v>#N/A</v>
      </c>
      <c r="Q117" s="100" t="e">
        <f t="shared" si="133"/>
        <v>#N/A</v>
      </c>
      <c r="R117" s="86" t="b">
        <f t="shared" si="134"/>
        <v>0</v>
      </c>
      <c r="S117" s="86">
        <f t="shared" si="132"/>
        <v>0.5</v>
      </c>
      <c r="T117" s="86">
        <f t="shared" si="135"/>
        <v>0.5</v>
      </c>
      <c r="U117" s="30" t="e">
        <f t="shared" ca="1" si="167"/>
        <v>#DIV/0!</v>
      </c>
      <c r="V117" s="85" t="str">
        <f>IF(B117&lt;=Hypothèses!$V$7,Hypothèses!$W$7,IF(B117&lt;=Hypothèses!$V$8,Hypothèses!$W$8,IF(B117&lt;=Hypothèses!$V$9,Hypothèses!$W$9,IF(B117&lt;=Hypothèses!$V$10,Hypothèses!$W$10,IF(B117&lt;=Hypothèses!$V$11,Hypothèses!$W$11,IF(B117&lt;=Hypothèses!$V$12,Hypothèses!$W$12,IF(B117&lt;=Hypothèses!$V$13,Hypothèses!$W$13,IF(B117&lt;=Hypothèses!$V$14,Hypothèses!$W$14,IF(B117&lt;=Hypothèses!$V$15,Hypothèses!$W$15,IF(B117&lt;=Hypothèses!$V$16,Hypothèses!$W$16,IF(B117&lt;=Hypothèses!$V$17,Hypothèses!$W$17,IF(B117&lt;=Hypothèses!$V$18,Hypothèses!$W$18,""))))))))))))</f>
        <v/>
      </c>
      <c r="W117" s="87" t="e">
        <f t="shared" ca="1" si="216"/>
        <v>#DIV/0!</v>
      </c>
      <c r="X117" s="88" t="str">
        <f>IF(B117&lt;=Hypothèses!$V$7,Hypothèses!$X$7,IF(B117&lt;=Hypothèses!$V$8,Hypothèses!$X$8,IF(B117&lt;=Hypothèses!$V$9,Hypothèses!$X$9,IF(B117&lt;=Hypothèses!$V$10,Hypothèses!$X$10,IF(B117&lt;=Hypothèses!$V$11,Hypothèses!$X$11,IF(B117&lt;=Hypothèses!$V$12,Hypothèses!$X$12,IF(B117&lt;=Hypothèses!$V$13,Hypothèses!$X$13,IF(B117&lt;=Hypothèses!$V$14,Hypothèses!$X$14,IF(B117&lt;=Hypothèses!$V$15,Hypothèses!$X$15,IF(B117&lt;=Hypothèses!$V$16,Hypothèses!$X$16,IF(B117&lt;=Hypothèses!$U$17,Hypothèses!$W$17,IF(B117&lt;=Hypothèses!$U$18,Hypothèses!$W$18,""))))))))))))</f>
        <v/>
      </c>
      <c r="Y117" s="95" t="e">
        <f t="shared" ca="1" si="136"/>
        <v>#DIV/0!</v>
      </c>
      <c r="Z117" s="101">
        <f t="shared" si="137"/>
        <v>0</v>
      </c>
      <c r="AA117" s="91">
        <f t="shared" si="138"/>
        <v>0</v>
      </c>
      <c r="AB117" s="30" t="e">
        <f t="shared" si="200"/>
        <v>#N/A</v>
      </c>
      <c r="AC117" s="30" t="e">
        <f t="shared" si="201"/>
        <v>#N/A</v>
      </c>
      <c r="AD117" s="31" t="e">
        <f>IF(OR(Hypothèses!$B$4=17,Hypothèses!$B$4=18,Hypothèses!$B$4=19,Hypothèses!$B$4=20),
IF($D117="Pressio.",
IF(OR($E117=3,$E117=1,$E117=4),AC117,AB117),
IF($D117="Pénétro.",
IF(OR($E117=3,$E117=1,$E117=4),AC117,AB117))),IF($D117="Pressio.",
IF($E117=3,AC117,AB117),
IF($D117="Pénétro.",
IF($E117=4,AC117,AB117))))</f>
        <v>#N/A</v>
      </c>
      <c r="AE117" s="31">
        <v>0</v>
      </c>
      <c r="AF117" s="102" t="e">
        <f>IF(NDC!$H$10="Oui",(VLOOKUP($B$3,'Coeff EC7'!$T$39:$X$59,2,0)*AD117+VLOOKUP($B$3,'Coeff EC7'!$T$65:$X$85,2,0)*Model0.1T!AE117)/1.5,PI()*AB$12*$Q117*($B117-$B116)*0.15/10+AF116)</f>
        <v>#N/A</v>
      </c>
      <c r="AG117" s="102" t="e">
        <f>(VLOOKUP($B$3,'Coeff EC7'!$T$39:$X$59,3,0)*AD117+VLOOKUP($B$3,'Coeff EC7'!$T$65:$X$85,3,0)*Model0.1T!AE117)/1.1</f>
        <v>#N/A</v>
      </c>
      <c r="AH117" s="102" t="e">
        <f t="shared" si="168"/>
        <v>#N/A</v>
      </c>
      <c r="AI117" s="102" t="e">
        <f t="shared" si="169"/>
        <v>#N/A</v>
      </c>
      <c r="AJ117" s="414" t="e">
        <f>IF(AND(AF117&gt;NDC!$C$63,AG117&gt;NDC!$C$65,AH117&gt;NDC!$D$73,AI117&gt;NDC!$D$74,$B117&gt;NDC!$H$22-0.1+MIN(3*$AJ$12,1.5)),0,1)</f>
        <v>#N/A</v>
      </c>
      <c r="AK117" s="86" t="b">
        <f t="shared" si="139"/>
        <v>0</v>
      </c>
      <c r="AL117" s="86">
        <f t="shared" si="170"/>
        <v>0.5</v>
      </c>
      <c r="AM117" s="86">
        <f t="shared" si="140"/>
        <v>0.5</v>
      </c>
      <c r="AN117" s="30" t="e">
        <f t="shared" ca="1" si="171"/>
        <v>#DIV/0!</v>
      </c>
      <c r="AO117" s="85" t="e">
        <f ca="1">IF(U117&lt;=Hypothèses!$V$7,Hypothèses!$W$7,IF(U117&lt;=Hypothèses!$V$8,Hypothèses!$W$8,IF(U117&lt;=Hypothèses!$V$9,Hypothèses!$W$9,IF(U117&lt;=Hypothèses!$V$10,Hypothèses!$W$10,IF(U117&lt;=Hypothèses!$V$11,Hypothèses!$W$11,IF(U117&lt;=Hypothèses!$V$12,Hypothèses!$W$12,IF(U117&lt;=Hypothèses!$V$13,Hypothèses!$W$13,IF(U117&lt;=Hypothèses!$V$14,Hypothèses!$W$14,IF(U117&lt;=Hypothèses!$V$15,Hypothèses!$W$15,IF(U117&lt;=Hypothèses!$V$16,Hypothèses!$W$16,IF(U117&lt;=Hypothèses!$V$17,Hypothèses!$W$17,IF(U117&lt;=Hypothèses!$V$18,Hypothèses!$W$18,""))))))))))))</f>
        <v>#DIV/0!</v>
      </c>
      <c r="AP117" s="87" t="e">
        <f t="shared" ca="1" si="217"/>
        <v>#DIV/0!</v>
      </c>
      <c r="AQ117" s="88" t="e">
        <f ca="1">IF(U117&lt;=Hypothèses!$V$7,Hypothèses!$X$7,IF(U117&lt;=Hypothèses!$V$8,Hypothèses!$X$8,IF(U117&lt;=Hypothèses!$V$9,Hypothèses!$X$9,IF(U117&lt;=Hypothèses!$V$10,Hypothèses!$X$10,IF(U117&lt;=Hypothèses!$V$11,Hypothèses!$X$11,IF(U117&lt;=Hypothèses!$V$12,Hypothèses!$X$12,IF(U117&lt;=Hypothèses!$V$13,Hypothèses!$X$13,IF(U117&lt;=Hypothèses!$V$14,Hypothèses!$X$14,IF(U117&lt;=Hypothèses!$V$15,Hypothèses!$X$15,IF(U117&lt;=Hypothèses!$V$16,Hypothèses!$X$16,IF(U117&lt;=Hypothèses!$U$17,Hypothèses!$W$17,IF(U117&lt;=Hypothèses!$U$18,Hypothèses!$W$18,""))))))))))))</f>
        <v>#DIV/0!</v>
      </c>
      <c r="AR117" s="95" t="e">
        <f t="shared" ca="1" si="172"/>
        <v>#DIV/0!</v>
      </c>
      <c r="AS117" s="101">
        <f t="shared" si="224"/>
        <v>0</v>
      </c>
      <c r="AT117" s="91">
        <f t="shared" si="141"/>
        <v>0</v>
      </c>
      <c r="AU117" s="30" t="e">
        <f t="shared" si="202"/>
        <v>#N/A</v>
      </c>
      <c r="AV117" s="30" t="e">
        <f t="shared" si="203"/>
        <v>#N/A</v>
      </c>
      <c r="AW117" s="31" t="e">
        <f>IF(OR(Hypothèses!$B$4=17,Hypothèses!$B$4=18,Hypothèses!$B$4=19,Hypothèses!$B$4=20),
IF($D117="Pressio.",
IF(OR($E117=3,$E117=1,$E117=4),AV117,AU117),
IF($D117="Pénétro.",
IF(OR($E117=3,$E117=1,$E117=4),AV117,AU117))),IF($D117="Pressio.",
IF($E117=3,AV117,AU117),
IF($D117="Pénétro.",
IF($E117=4,AV117,AU117))))</f>
        <v>#N/A</v>
      </c>
      <c r="AX117" s="31">
        <v>0</v>
      </c>
      <c r="AY117" s="102" t="e">
        <f>IF(NDC!$H$10="Oui",(VLOOKUP($B$3,'Coeff EC7'!$T$39:$X$59,2,0)*AW117+VLOOKUP($B$3,'Coeff EC7'!$T$65:$X$85,2,0)*Model0.1T!AX117)/1.5,PI()*AU$12*$Q117*($B117-$B116)*0.15/10+AY116)</f>
        <v>#N/A</v>
      </c>
      <c r="AZ117" s="102" t="e">
        <f>(VLOOKUP($B$3,'Coeff EC7'!$T$39:$X$59,3,0)*AW117+VLOOKUP($B$3,'Coeff EC7'!$T$65:$X$85,3,0)*Model0.1T!AX117)/1.1</f>
        <v>#N/A</v>
      </c>
      <c r="BA117" s="102" t="e">
        <f t="shared" si="173"/>
        <v>#N/A</v>
      </c>
      <c r="BB117" s="102" t="e">
        <f t="shared" si="174"/>
        <v>#N/A</v>
      </c>
      <c r="BC117" s="414" t="e">
        <f>IF(AND(AY117&gt;NDC!$C$63,AZ117&gt;NDC!$C$65,BA117&gt;NDC!$D$73,BB117&gt;NDC!$D$74,$B117&gt;NDC!$H$22-0.1+MIN(3*BC$12,1.5)),0,1)</f>
        <v>#N/A</v>
      </c>
      <c r="BD117" s="86" t="b">
        <f t="shared" si="142"/>
        <v>0</v>
      </c>
      <c r="BE117" s="86">
        <f t="shared" si="175"/>
        <v>0.5</v>
      </c>
      <c r="BF117" s="86">
        <f t="shared" si="143"/>
        <v>0.5</v>
      </c>
      <c r="BG117" s="30" t="e">
        <f t="shared" ca="1" si="176"/>
        <v>#DIV/0!</v>
      </c>
      <c r="BH117" s="85" t="e">
        <f ca="1">IF(AN117&lt;=Hypothèses!$V$7,Hypothèses!$W$7,IF(AN117&lt;=Hypothèses!$V$8,Hypothèses!$W$8,IF(AN117&lt;=Hypothèses!$V$9,Hypothèses!$W$9,IF(AN117&lt;=Hypothèses!$V$10,Hypothèses!$W$10,IF(AN117&lt;=Hypothèses!$V$11,Hypothèses!$W$11,IF(AN117&lt;=Hypothèses!$V$12,Hypothèses!$W$12,IF(AN117&lt;=Hypothèses!$V$13,Hypothèses!$W$13,IF(AN117&lt;=Hypothèses!$V$14,Hypothèses!$W$14,IF(AN117&lt;=Hypothèses!$V$15,Hypothèses!$W$15,IF(AN117&lt;=Hypothèses!$V$16,Hypothèses!$W$16,IF(AN117&lt;=Hypothèses!$V$17,Hypothèses!$W$17,IF(AN117&lt;=Hypothèses!$V$18,Hypothèses!$W$18,""))))))))))))</f>
        <v>#DIV/0!</v>
      </c>
      <c r="BI117" s="87" t="e">
        <f t="shared" ca="1" si="218"/>
        <v>#DIV/0!</v>
      </c>
      <c r="BJ117" s="88" t="e">
        <f ca="1">IF(AN117&lt;=Hypothèses!$V$7,Hypothèses!$X$7,IF(AN117&lt;=Hypothèses!$V$8,Hypothèses!$X$8,IF(AN117&lt;=Hypothèses!$V$9,Hypothèses!$X$9,IF(AN117&lt;=Hypothèses!$V$10,Hypothèses!$X$10,IF(AN117&lt;=Hypothèses!$V$11,Hypothèses!$X$11,IF(AN117&lt;=Hypothèses!$V$12,Hypothèses!$X$12,IF(AN117&lt;=Hypothèses!$V$13,Hypothèses!$X$13,IF(AN117&lt;=Hypothèses!$V$14,Hypothèses!$X$14,IF(AN117&lt;=Hypothèses!$V$15,Hypothèses!$X$15,IF(AN117&lt;=Hypothèses!$V$16,Hypothèses!$X$16,IF(AN117&lt;=Hypothèses!$U$17,Hypothèses!$W$17,IF(AN117&lt;=Hypothèses!$U$18,Hypothèses!$W$18,""))))))))))))</f>
        <v>#DIV/0!</v>
      </c>
      <c r="BK117" s="95" t="e">
        <f t="shared" ca="1" si="177"/>
        <v>#DIV/0!</v>
      </c>
      <c r="BL117" s="101">
        <f t="shared" si="225"/>
        <v>0</v>
      </c>
      <c r="BM117" s="91">
        <f t="shared" si="144"/>
        <v>0</v>
      </c>
      <c r="BN117" s="30" t="e">
        <f t="shared" si="204"/>
        <v>#N/A</v>
      </c>
      <c r="BO117" s="30" t="e">
        <f t="shared" si="205"/>
        <v>#N/A</v>
      </c>
      <c r="BP117" s="31" t="e">
        <f>IF(OR(Hypothèses!$B$4=17,Hypothèses!$B$4=18,Hypothèses!$B$4=19,Hypothèses!$B$4=20),
IF($D117="Pressio.",
IF(OR($E117=3,$E117=1,$E117=4),BO117,BN117),
IF($D117="Pénétro.",
IF(OR($E117=3,$E117=1,$E117=4),BO117,BN117))),IF($D117="Pressio.",
IF($E117=3,BO117,BN117),
IF($D117="Pénétro.",
IF($E117=4,BO117,BN117))))</f>
        <v>#N/A</v>
      </c>
      <c r="BQ117" s="31">
        <v>0</v>
      </c>
      <c r="BR117" s="102" t="e">
        <f>IF(NDC!$H$10="Oui",(VLOOKUP($B$3,'Coeff EC7'!$T$39:$X$59,2,0)*BP117+VLOOKUP($B$3,'Coeff EC7'!$T$65:$X$85,2,0)*Model0.1T!BQ117)/1.5,PI()*BN$12*$Q117*($B117-$B116)*0.15/10+BR116)</f>
        <v>#N/A</v>
      </c>
      <c r="BS117" s="102" t="e">
        <f>(VLOOKUP($B$3,'Coeff EC7'!$T$39:$X$59,3,0)*BP117+VLOOKUP($B$3,'Coeff EC7'!$T$65:$X$85,3,0)*Model0.1T!BQ117)/1.1</f>
        <v>#N/A</v>
      </c>
      <c r="BT117" s="102" t="e">
        <f t="shared" si="178"/>
        <v>#N/A</v>
      </c>
      <c r="BU117" s="102" t="e">
        <f t="shared" si="179"/>
        <v>#N/A</v>
      </c>
      <c r="BV117" s="414" t="e">
        <f>IF(AND(BR117&gt;NDC!$C$63,BS117&gt;NDC!$C$65,BT117&gt;NDC!$D$73,BU117&gt;NDC!$D$74,$B117&gt;NDC!$H$22-0.1+MIN(3*BV$12,1.5)),0,1)</f>
        <v>#N/A</v>
      </c>
      <c r="BW117" s="86" t="b">
        <f t="shared" si="145"/>
        <v>0</v>
      </c>
      <c r="BX117" s="86">
        <f t="shared" si="146"/>
        <v>0.5</v>
      </c>
      <c r="BY117" s="86">
        <f t="shared" si="147"/>
        <v>0.5</v>
      </c>
      <c r="BZ117" s="30" t="e">
        <f t="shared" ca="1" si="180"/>
        <v>#DIV/0!</v>
      </c>
      <c r="CA117" s="85" t="e">
        <f ca="1">IF(BG117&lt;=Hypothèses!$V$7,Hypothèses!$W$7,IF(BG117&lt;=Hypothèses!$V$8,Hypothèses!$W$8,IF(BG117&lt;=Hypothèses!$V$9,Hypothèses!$W$9,IF(BG117&lt;=Hypothèses!$V$10,Hypothèses!$W$10,IF(BG117&lt;=Hypothèses!$V$11,Hypothèses!$W$11,IF(BG117&lt;=Hypothèses!$V$12,Hypothèses!$W$12,IF(BG117&lt;=Hypothèses!$V$13,Hypothèses!$W$13,IF(BG117&lt;=Hypothèses!$V$14,Hypothèses!$W$14,IF(BG117&lt;=Hypothèses!$V$15,Hypothèses!$W$15,IF(BG117&lt;=Hypothèses!$V$16,Hypothèses!$W$16,IF(BG117&lt;=Hypothèses!$V$17,Hypothèses!$W$17,IF(BG117&lt;=Hypothèses!$V$18,Hypothèses!$W$18,""))))))))))))</f>
        <v>#DIV/0!</v>
      </c>
      <c r="CB117" s="87" t="e">
        <f t="shared" ca="1" si="219"/>
        <v>#DIV/0!</v>
      </c>
      <c r="CC117" s="88" t="e">
        <f ca="1">IF(BG117&lt;=Hypothèses!$V$7,Hypothèses!$X$7,IF(BG117&lt;=Hypothèses!$V$8,Hypothèses!$X$8,IF(BG117&lt;=Hypothèses!$V$9,Hypothèses!$X$9,IF(BG117&lt;=Hypothèses!$V$10,Hypothèses!$X$10,IF(BG117&lt;=Hypothèses!$V$11,Hypothèses!$X$11,IF(BG117&lt;=Hypothèses!$V$12,Hypothèses!$X$12,IF(BG117&lt;=Hypothèses!$V$13,Hypothèses!$X$13,IF(BG117&lt;=Hypothèses!$V$14,Hypothèses!$X$14,IF(BG117&lt;=Hypothèses!$V$15,Hypothèses!$X$15,IF(BG117&lt;=Hypothèses!$V$16,Hypothèses!$X$16,IF(BG117&lt;=Hypothèses!$U$17,Hypothèses!$W$17,IF(BG117&lt;=Hypothèses!$U$18,Hypothèses!$W$18,""))))))))))))</f>
        <v>#DIV/0!</v>
      </c>
      <c r="CD117" s="95" t="e">
        <f t="shared" ca="1" si="181"/>
        <v>#DIV/0!</v>
      </c>
      <c r="CE117" s="101">
        <f t="shared" si="226"/>
        <v>0</v>
      </c>
      <c r="CF117" s="91">
        <f t="shared" si="148"/>
        <v>0</v>
      </c>
      <c r="CG117" s="30" t="e">
        <f t="shared" si="206"/>
        <v>#N/A</v>
      </c>
      <c r="CH117" s="30" t="e">
        <f t="shared" si="207"/>
        <v>#N/A</v>
      </c>
      <c r="CI117" s="31" t="e">
        <f>IF(OR(Hypothèses!$B$4=17,Hypothèses!$B$4=18,Hypothèses!$B$4=19,Hypothèses!$B$4=20),
IF($D117="Pressio.",
IF(OR($E117=3,$E117=1,$E117=4),CH117,CG117),
IF($D117="Pénétro.",
IF(OR($E117=3,$E117=1,$E117=4),CH117,CG117))),IF($D117="Pressio.",
IF($E117=3,CH117,CG117),
IF($D117="Pénétro.",
IF($E117=4,CH117,CG117))))</f>
        <v>#N/A</v>
      </c>
      <c r="CJ117" s="31">
        <v>0</v>
      </c>
      <c r="CK117" s="102" t="e">
        <f>IF(NDC!$H$10="Oui",(VLOOKUP($B$3,'Coeff EC7'!$T$39:$X$59,2,0)*CI117+VLOOKUP($B$3,'Coeff EC7'!$T$65:$X$85,2,0)*Model0.1T!CJ117)/1.5,PI()*CG$12*$Q117*($B117-$B116)*0.15/10+CK116)</f>
        <v>#N/A</v>
      </c>
      <c r="CL117" s="102" t="e">
        <f>(VLOOKUP($B$3,'Coeff EC7'!$T$39:$X$59,3,0)*CI117+VLOOKUP($B$3,'Coeff EC7'!$T$65:$X$85,3,0)*Model0.1T!CJ117)/1.1</f>
        <v>#N/A</v>
      </c>
      <c r="CM117" s="102" t="e">
        <f t="shared" si="182"/>
        <v>#N/A</v>
      </c>
      <c r="CN117" s="102" t="e">
        <f t="shared" si="183"/>
        <v>#N/A</v>
      </c>
      <c r="CO117" s="414" t="e">
        <f>IF(AND(CK117&gt;NDC!$C$63,CL117&gt;NDC!$C$65,CM117&gt;NDC!$D$73,CN117&gt;NDC!$D$74,$B117&gt;NDC!$H$22-0.1+MIN(3*CO$12,1.5)),0,1)</f>
        <v>#N/A</v>
      </c>
      <c r="CP117" s="86" t="b">
        <f t="shared" si="149"/>
        <v>0</v>
      </c>
      <c r="CQ117" s="86">
        <f t="shared" si="150"/>
        <v>0.5</v>
      </c>
      <c r="CR117" s="86">
        <f t="shared" si="151"/>
        <v>0.5</v>
      </c>
      <c r="CS117" s="30" t="e">
        <f t="shared" ca="1" si="184"/>
        <v>#DIV/0!</v>
      </c>
      <c r="CT117" s="85" t="e">
        <f ca="1">IF(BZ117&lt;=Hypothèses!$V$7,Hypothèses!$W$7,IF(BZ117&lt;=Hypothèses!$V$8,Hypothèses!$W$8,IF(BZ117&lt;=Hypothèses!$V$9,Hypothèses!$W$9,IF(BZ117&lt;=Hypothèses!$V$10,Hypothèses!$W$10,IF(BZ117&lt;=Hypothèses!$V$11,Hypothèses!$W$11,IF(BZ117&lt;=Hypothèses!$V$12,Hypothèses!$W$12,IF(BZ117&lt;=Hypothèses!$V$13,Hypothèses!$W$13,IF(BZ117&lt;=Hypothèses!$V$14,Hypothèses!$W$14,IF(BZ117&lt;=Hypothèses!$V$15,Hypothèses!$W$15,IF(BZ117&lt;=Hypothèses!$V$16,Hypothèses!$W$16,IF(BZ117&lt;=Hypothèses!$V$17,Hypothèses!$W$17,IF(BZ117&lt;=Hypothèses!$V$18,Hypothèses!$W$18,""))))))))))))</f>
        <v>#DIV/0!</v>
      </c>
      <c r="CU117" s="87" t="e">
        <f t="shared" ca="1" si="220"/>
        <v>#DIV/0!</v>
      </c>
      <c r="CV117" s="88" t="e">
        <f ca="1">IF(BZ117&lt;=Hypothèses!$V$7,Hypothèses!$X$7,IF(BZ117&lt;=Hypothèses!$V$8,Hypothèses!$X$8,IF(BZ117&lt;=Hypothèses!$V$9,Hypothèses!$X$9,IF(BZ117&lt;=Hypothèses!$V$10,Hypothèses!$X$10,IF(BZ117&lt;=Hypothèses!$V$11,Hypothèses!$X$11,IF(BZ117&lt;=Hypothèses!$V$12,Hypothèses!$X$12,IF(BZ117&lt;=Hypothèses!$V$13,Hypothèses!$X$13,IF(BZ117&lt;=Hypothèses!$V$14,Hypothèses!$X$14,IF(BZ117&lt;=Hypothèses!$V$15,Hypothèses!$X$15,IF(BZ117&lt;=Hypothèses!$V$16,Hypothèses!$X$16,IF(BZ117&lt;=Hypothèses!$U$17,Hypothèses!$W$17,IF(BZ117&lt;=Hypothèses!$U$18,Hypothèses!$W$18,""))))))))))))</f>
        <v>#DIV/0!</v>
      </c>
      <c r="CW117" s="95" t="e">
        <f t="shared" ca="1" si="185"/>
        <v>#DIV/0!</v>
      </c>
      <c r="CX117" s="101">
        <f t="shared" si="227"/>
        <v>0</v>
      </c>
      <c r="CY117" s="91">
        <f t="shared" si="152"/>
        <v>0</v>
      </c>
      <c r="CZ117" s="30" t="e">
        <f t="shared" si="208"/>
        <v>#N/A</v>
      </c>
      <c r="DA117" s="30" t="e">
        <f t="shared" si="209"/>
        <v>#N/A</v>
      </c>
      <c r="DB117" s="31" t="e">
        <f>IF(OR(Hypothèses!$B$4=17,Hypothèses!$B$4=18,Hypothèses!$B$4=19,Hypothèses!$B$4=20),
IF($D117="Pressio.",
IF(OR($E117=3,$E117=1,$E117=4),DA117,CZ117),
IF($D117="Pénétro.",
IF(OR($E117=3,$E117=1,$E117=4),DA117,CZ117))),IF($D117="Pressio.",
IF($E117=3,DA117,CZ117),
IF($D117="Pénétro.",
IF($E117=4,DA117,CZ117))))</f>
        <v>#N/A</v>
      </c>
      <c r="DC117" s="31">
        <v>0</v>
      </c>
      <c r="DD117" s="102" t="e">
        <f>IF(NDC!$H$10="Oui",(VLOOKUP($B$3,'Coeff EC7'!$T$39:$X$59,2,0)*DB117+VLOOKUP($B$3,'Coeff EC7'!$T$65:$X$85,2,0)*Model0.1T!DC117)/1.5,PI()*CZ$12*$Q117*($B117-$B116)*0.15/10+DD116)</f>
        <v>#N/A</v>
      </c>
      <c r="DE117" s="102" t="e">
        <f>(VLOOKUP($B$3,'Coeff EC7'!$T$39:$X$59,3,0)*DB117+VLOOKUP($B$3,'Coeff EC7'!$T$65:$X$85,3,0)*Model0.1T!DC117)/1.1</f>
        <v>#N/A</v>
      </c>
      <c r="DF117" s="102" t="e">
        <f t="shared" si="186"/>
        <v>#N/A</v>
      </c>
      <c r="DG117" s="102" t="e">
        <f t="shared" si="187"/>
        <v>#N/A</v>
      </c>
      <c r="DH117" s="414" t="e">
        <f>IF(AND(DD117&gt;NDC!$C$63,DE117&gt;NDC!$C$65,DF117&gt;NDC!$D$73,DG117&gt;NDC!$D$74,$B117&gt;NDC!$H$22-0.1+MIN(3*DH$12,1.5)),0,1)</f>
        <v>#N/A</v>
      </c>
      <c r="DI117" s="86" t="b">
        <f t="shared" si="153"/>
        <v>0</v>
      </c>
      <c r="DJ117" s="86">
        <f t="shared" si="154"/>
        <v>0.5</v>
      </c>
      <c r="DK117" s="86">
        <f t="shared" si="155"/>
        <v>0.5</v>
      </c>
      <c r="DL117" s="30" t="e">
        <f t="shared" ca="1" si="188"/>
        <v>#DIV/0!</v>
      </c>
      <c r="DM117" s="85" t="e">
        <f ca="1">IF(CS117&lt;=Hypothèses!$V$7,Hypothèses!$W$7,IF(CS117&lt;=Hypothèses!$V$8,Hypothèses!$W$8,IF(CS117&lt;=Hypothèses!$V$9,Hypothèses!$W$9,IF(CS117&lt;=Hypothèses!$V$10,Hypothèses!$W$10,IF(CS117&lt;=Hypothèses!$V$11,Hypothèses!$W$11,IF(CS117&lt;=Hypothèses!$V$12,Hypothèses!$W$12,IF(CS117&lt;=Hypothèses!$V$13,Hypothèses!$W$13,IF(CS117&lt;=Hypothèses!$V$14,Hypothèses!$W$14,IF(CS117&lt;=Hypothèses!$V$15,Hypothèses!$W$15,IF(CS117&lt;=Hypothèses!$V$16,Hypothèses!$W$16,IF(CS117&lt;=Hypothèses!$V$17,Hypothèses!$W$17,IF(CS117&lt;=Hypothèses!$V$18,Hypothèses!$W$18,""))))))))))))</f>
        <v>#DIV/0!</v>
      </c>
      <c r="DN117" s="87" t="e">
        <f t="shared" ca="1" si="221"/>
        <v>#DIV/0!</v>
      </c>
      <c r="DO117" s="88" t="e">
        <f ca="1">IF(CS117&lt;=Hypothèses!$V$7,Hypothèses!$X$7,IF(CS117&lt;=Hypothèses!$V$8,Hypothèses!$X$8,IF(CS117&lt;=Hypothèses!$V$9,Hypothèses!$X$9,IF(CS117&lt;=Hypothèses!$V$10,Hypothèses!$X$10,IF(CS117&lt;=Hypothèses!$V$11,Hypothèses!$X$11,IF(CS117&lt;=Hypothèses!$V$12,Hypothèses!$X$12,IF(CS117&lt;=Hypothèses!$V$13,Hypothèses!$X$13,IF(CS117&lt;=Hypothèses!$V$14,Hypothèses!$X$14,IF(CS117&lt;=Hypothèses!$V$15,Hypothèses!$X$15,IF(CS117&lt;=Hypothèses!$V$16,Hypothèses!$X$16,IF(CS117&lt;=Hypothèses!$U$17,Hypothèses!$W$17,IF(CS117&lt;=Hypothèses!$U$18,Hypothèses!$W$18,""))))))))))))</f>
        <v>#DIV/0!</v>
      </c>
      <c r="DP117" s="95" t="e">
        <f t="shared" ca="1" si="189"/>
        <v>#DIV/0!</v>
      </c>
      <c r="DQ117" s="101">
        <f t="shared" si="228"/>
        <v>0</v>
      </c>
      <c r="DR117" s="91">
        <f t="shared" si="156"/>
        <v>0</v>
      </c>
      <c r="DS117" s="30" t="e">
        <f t="shared" si="210"/>
        <v>#N/A</v>
      </c>
      <c r="DT117" s="30" t="e">
        <f t="shared" si="211"/>
        <v>#N/A</v>
      </c>
      <c r="DU117" s="31" t="e">
        <f>IF(OR(Hypothèses!$B$4=17,Hypothèses!$B$4=18,Hypothèses!$B$4=19,Hypothèses!$B$4=20),
IF($D117="Pressio.",
IF(OR($E117=3,$E117=1,$E117=4),DT117,DS117),
IF($D117="Pénétro.",
IF(OR($E117=3,$E117=1,$E117=4),DT117,DS117))),IF($D117="Pressio.",
IF($E117=3,DT117,DS117),
IF($D117="Pénétro.",
IF($E117=4,DT117,DS117))))</f>
        <v>#N/A</v>
      </c>
      <c r="DV117" s="31">
        <v>0</v>
      </c>
      <c r="DW117" s="102" t="e">
        <f>IF(NDC!$H$10="Oui",(VLOOKUP($B$3,'Coeff EC7'!$T$39:$X$59,2,0)*DU117+VLOOKUP($B$3,'Coeff EC7'!$T$65:$X$85,2,0)*Model0.1T!DV117)/1.5,PI()*DS$12*$Q117*($B117-$B116)*0.15/10+DW116)</f>
        <v>#N/A</v>
      </c>
      <c r="DX117" s="102" t="e">
        <f>(VLOOKUP($B$3,'Coeff EC7'!$T$39:$X$59,3,0)*DU117+VLOOKUP($B$3,'Coeff EC7'!$T$65:$X$85,3,0)*Model0.1T!DV117)/1.1</f>
        <v>#N/A</v>
      </c>
      <c r="DY117" s="102" t="e">
        <f t="shared" si="190"/>
        <v>#N/A</v>
      </c>
      <c r="DZ117" s="102" t="e">
        <f t="shared" si="191"/>
        <v>#N/A</v>
      </c>
      <c r="EA117" s="414" t="e">
        <f>IF(AND(DW117&gt;NDC!$C$63,DX117&gt;NDC!$C$65,DY117&gt;NDC!$D$73,DZ117&gt;NDC!$D$74,$B117&gt;NDC!$H$22-0.1+MIN(3*EA$12,1.5)),0,1)</f>
        <v>#N/A</v>
      </c>
      <c r="EB117" s="86" t="b">
        <f t="shared" si="157"/>
        <v>0</v>
      </c>
      <c r="EC117" s="418">
        <f t="shared" si="158"/>
        <v>0.51</v>
      </c>
      <c r="ED117" s="86">
        <f t="shared" si="159"/>
        <v>0.51</v>
      </c>
      <c r="EE117" s="30" t="e">
        <f t="shared" ca="1" si="192"/>
        <v>#DIV/0!</v>
      </c>
      <c r="EF117" s="85" t="e">
        <f ca="1">IF(DL117&lt;=Hypothèses!$V$7,Hypothèses!$W$7,IF(DL117&lt;=Hypothèses!$V$8,Hypothèses!$W$8,IF(DL117&lt;=Hypothèses!$V$9,Hypothèses!$W$9,IF(DL117&lt;=Hypothèses!$V$10,Hypothèses!$W$10,IF(DL117&lt;=Hypothèses!$V$11,Hypothèses!$W$11,IF(DL117&lt;=Hypothèses!$V$12,Hypothèses!$W$12,IF(DL117&lt;=Hypothèses!$V$13,Hypothèses!$W$13,IF(DL117&lt;=Hypothèses!$V$14,Hypothèses!$W$14,IF(DL117&lt;=Hypothèses!$V$15,Hypothèses!$W$15,IF(DL117&lt;=Hypothèses!$V$16,Hypothèses!$W$16,IF(DL117&lt;=Hypothèses!$V$17,Hypothèses!$W$17,IF(DL117&lt;=Hypothèses!$V$18,Hypothèses!$W$18,""))))))))))))</f>
        <v>#DIV/0!</v>
      </c>
      <c r="EG117" s="87" t="e">
        <f t="shared" ca="1" si="222"/>
        <v>#DIV/0!</v>
      </c>
      <c r="EH117" s="88" t="e">
        <f ca="1">IF(DL117&lt;=Hypothèses!$V$7,Hypothèses!$X$7,IF(DL117&lt;=Hypothèses!$V$8,Hypothèses!$X$8,IF(DL117&lt;=Hypothèses!$V$9,Hypothèses!$X$9,IF(DL117&lt;=Hypothèses!$V$10,Hypothèses!$X$10,IF(DL117&lt;=Hypothèses!$V$11,Hypothèses!$X$11,IF(DL117&lt;=Hypothèses!$V$12,Hypothèses!$X$12,IF(DL117&lt;=Hypothèses!$V$13,Hypothèses!$X$13,IF(DL117&lt;=Hypothèses!$V$14,Hypothèses!$X$14,IF(DL117&lt;=Hypothèses!$V$15,Hypothèses!$X$15,IF(DL117&lt;=Hypothèses!$V$16,Hypothèses!$X$16,IF(DL117&lt;=Hypothèses!$U$17,Hypothèses!$W$17,IF(DL117&lt;=Hypothèses!$U$18,Hypothèses!$W$18,""))))))))))))</f>
        <v>#DIV/0!</v>
      </c>
      <c r="EI117" s="95" t="e">
        <f t="shared" ca="1" si="193"/>
        <v>#DIV/0!</v>
      </c>
      <c r="EJ117" s="101">
        <f t="shared" si="229"/>
        <v>0</v>
      </c>
      <c r="EK117" s="91">
        <f t="shared" si="160"/>
        <v>0</v>
      </c>
      <c r="EL117" s="30" t="e">
        <f t="shared" si="212"/>
        <v>#N/A</v>
      </c>
      <c r="EM117" s="30" t="e">
        <f t="shared" si="213"/>
        <v>#N/A</v>
      </c>
      <c r="EN117" s="31" t="e">
        <f>IF(OR(Hypothèses!$B$4=17,Hypothèses!$B$4=18,Hypothèses!$B$4=19,Hypothèses!$B$4=20),
IF($D117="Pressio.",
IF(OR($E117=3,$E117=1,$E117=4),EM117,EL117),
IF($D117="Pénétro.",
IF(OR($E117=3,$E117=1,$E117=4),EM117,EL117))),IF($D117="Pressio.",
IF($E117=3,EM117,EL117),
IF($D117="Pénétro.",
IF($E117=4,EM117,EL117))))</f>
        <v>#N/A</v>
      </c>
      <c r="EO117" s="31">
        <v>0</v>
      </c>
      <c r="EP117" s="102" t="e">
        <f>IF(NDC!$H$10="Oui",(VLOOKUP($B$3,'Coeff EC7'!$T$39:$X$59,2,0)*EN117+VLOOKUP($B$3,'Coeff EC7'!$T$65:$X$85,2,0)*Model0.1T!EO117)/1.5,PI()*EL$12*$Q117*($B117-$B116)*0.15/10+EP116)</f>
        <v>#N/A</v>
      </c>
      <c r="EQ117" s="102" t="e">
        <f>(VLOOKUP($B$3,'Coeff EC7'!$T$39:$X$59,3,0)*EN117+VLOOKUP($B$3,'Coeff EC7'!$T$65:$X$85,3,0)*Model0.1T!EO117)/1.1</f>
        <v>#N/A</v>
      </c>
      <c r="ER117" s="102" t="e">
        <f t="shared" si="194"/>
        <v>#N/A</v>
      </c>
      <c r="ES117" s="102" t="e">
        <f t="shared" si="195"/>
        <v>#N/A</v>
      </c>
      <c r="ET117" s="414" t="e">
        <f>IF(AND(EP117&gt;NDC!$C$63,EQ117&gt;NDC!$C$65,ER117&gt;NDC!$D$73,ES117&gt;NDC!$D$74,$B117&gt;NDC!$H$22-0.1+MIN(3*ET$12,1.5)),0,1)</f>
        <v>#N/A</v>
      </c>
      <c r="EU117" s="86" t="b">
        <f t="shared" si="161"/>
        <v>0</v>
      </c>
      <c r="EV117" s="86">
        <f t="shared" si="162"/>
        <v>0.61</v>
      </c>
      <c r="EW117" s="86">
        <f t="shared" si="163"/>
        <v>0.61</v>
      </c>
      <c r="EX117" s="30" t="e">
        <f t="shared" ca="1" si="196"/>
        <v>#DIV/0!</v>
      </c>
      <c r="EY117" s="85" t="e">
        <f ca="1">IF(EE117&lt;=Hypothèses!$V$7,Hypothèses!$W$7,IF(EE117&lt;=Hypothèses!$V$8,Hypothèses!$W$8,IF(EE117&lt;=Hypothèses!$V$9,Hypothèses!$W$9,IF(EE117&lt;=Hypothèses!$V$10,Hypothèses!$W$10,IF(EE117&lt;=Hypothèses!$V$11,Hypothèses!$W$11,IF(EE117&lt;=Hypothèses!$V$12,Hypothèses!$W$12,IF(EE117&lt;=Hypothèses!$V$13,Hypothèses!$W$13,IF(EE117&lt;=Hypothèses!$V$14,Hypothèses!$W$14,IF(EE117&lt;=Hypothèses!$V$15,Hypothèses!$W$15,IF(EE117&lt;=Hypothèses!$V$16,Hypothèses!$W$16,IF(EE117&lt;=Hypothèses!$V$17,Hypothèses!$W$17,IF(EE117&lt;=Hypothèses!$V$18,Hypothèses!$W$18,""))))))))))))</f>
        <v>#DIV/0!</v>
      </c>
      <c r="EZ117" s="87" t="e">
        <f t="shared" ca="1" si="223"/>
        <v>#DIV/0!</v>
      </c>
      <c r="FA117" s="88" t="e">
        <f ca="1">IF(EE117&lt;=Hypothèses!$V$7,Hypothèses!$X$7,IF(EE117&lt;=Hypothèses!$V$8,Hypothèses!$X$8,IF(EE117&lt;=Hypothèses!$V$9,Hypothèses!$X$9,IF(EE117&lt;=Hypothèses!$V$10,Hypothèses!$X$10,IF(EE117&lt;=Hypothèses!$V$11,Hypothèses!$X$11,IF(EE117&lt;=Hypothèses!$V$12,Hypothèses!$X$12,IF(EE117&lt;=Hypothèses!$V$13,Hypothèses!$X$13,IF(EE117&lt;=Hypothèses!$V$14,Hypothèses!$X$14,IF(EE117&lt;=Hypothèses!$V$15,Hypothèses!$X$15,IF(EE117&lt;=Hypothèses!$V$16,Hypothèses!$X$16,IF(EE117&lt;=Hypothèses!$U$17,Hypothèses!$W$17,IF(EE117&lt;=Hypothèses!$U$18,Hypothèses!$W$18,""))))))))))))</f>
        <v>#DIV/0!</v>
      </c>
      <c r="FB117" s="95" t="e">
        <f t="shared" ca="1" si="197"/>
        <v>#DIV/0!</v>
      </c>
      <c r="FC117" s="101">
        <f t="shared" si="230"/>
        <v>0</v>
      </c>
      <c r="FD117" s="91">
        <f t="shared" si="164"/>
        <v>0</v>
      </c>
      <c r="FE117" s="30" t="e">
        <f t="shared" si="214"/>
        <v>#N/A</v>
      </c>
      <c r="FF117" s="30" t="e">
        <f t="shared" si="215"/>
        <v>#N/A</v>
      </c>
      <c r="FG117" s="31" t="e">
        <f>IF(OR(Hypothèses!$B$4=17,Hypothèses!$B$4=18,Hypothèses!$B$4=19,Hypothèses!$B$4=20),
IF($D117="Pressio.",
IF(OR($E117=3,$E117=1,$E117=4),FF117,FE117),
IF($D117="Pénétro.",
IF(OR($E117=3,$E117=1,$E117=4),FF117,FE117))),IF($D117="Pressio.",
IF($E117=3,FF117,FE117),
IF($D117="Pénétro.",
IF($E117=4,FF117,FE117))))</f>
        <v>#N/A</v>
      </c>
      <c r="FH117" s="31">
        <v>0</v>
      </c>
      <c r="FI117" s="102" t="e">
        <f>IF(NDC!$H$10="Oui",(VLOOKUP($B$3,'Coeff EC7'!$T$39:$X$59,2,0)*FG117+VLOOKUP($B$3,'Coeff EC7'!$T$65:$X$85,2,0)*Model0.1T!FH117)/1.5,PI()*FE$12*$Q117*($B117-$B116)*0.15/10+FI116)</f>
        <v>#N/A</v>
      </c>
      <c r="FJ117" s="102" t="e">
        <f>(VLOOKUP($B$3,'Coeff EC7'!$T$39:$X$59,3,0)*FG117+VLOOKUP($B$3,'Coeff EC7'!$T$65:$X$85,3,0)*Model0.1T!FH117)/1.1</f>
        <v>#N/A</v>
      </c>
      <c r="FK117" s="102" t="e">
        <f t="shared" si="198"/>
        <v>#N/A</v>
      </c>
      <c r="FL117" s="102" t="e">
        <f t="shared" si="199"/>
        <v>#N/A</v>
      </c>
      <c r="FM117" s="414" t="e">
        <f>IF(AND(FI117&gt;NDC!$C$63,FJ117&gt;NDC!$C$65,FK117&gt;NDC!$D$73,FL117&gt;NDC!$D$74,$B117&gt;NDC!$H$22-0.1+MIN(3*FM$12,1.5)),0,1)</f>
        <v>#N/A</v>
      </c>
    </row>
    <row r="118" spans="1:169">
      <c r="A118" s="96">
        <f t="shared" si="165"/>
        <v>89.500000000000597</v>
      </c>
      <c r="B118" s="97">
        <v>10.5</v>
      </c>
      <c r="C118" s="81">
        <f>IF(B118&lt;=Hypothèses!$C$7,Hypothèses!$A$7,IF(B118&lt;=Hypothèses!$C$8,Hypothèses!$A$8,IF(B118&lt;=Hypothèses!$C$9,Hypothèses!$A$9,IF(B118&lt;=Hypothèses!$C$10,Hypothèses!$A$10,IF(B118&lt;=Hypothèses!$C$11,Hypothèses!$A$11,IF(B118&lt;=Hypothèses!$C$12,Hypothèses!$A$12,IF(B118&lt;=Hypothèses!$C$13,Hypothèses!$A$13,IF(B118&lt;=Hypothèses!$C$14,Hypothèses!$A$14,IF(B118&lt;=Hypothèses!$C$15,Hypothèses!$A$15,IF(B118&lt;=Hypothèses!$C$16,Hypothèses!$A$16,IF(B118&lt;=Hypothèses!$C$17,Hypothèses!$A$17,IF(B118&lt;=Hypothèses!$C$18,Hypothèses!$A$18,C117))))))))))))</f>
        <v>11</v>
      </c>
      <c r="D118" s="82" t="str">
        <f>IF(B118&lt;=Hypothèses!$C$7,Hypothèses!$R$7,IF(B118&lt;=Hypothèses!$C$8,Hypothèses!$R$8,IF(B118&lt;=Hypothèses!$C$9,Hypothèses!$R$9,IF(B118&lt;=Hypothèses!$C$10,Hypothèses!$R$10,IF(B118&lt;=Hypothèses!$C$11,Hypothèses!$R$11,IF(B118&lt;=Hypothèses!$C$12,Hypothèses!$R$12,IF(B118&lt;=Hypothèses!$C$13,Hypothèses!$R$13,IF(B118&lt;=Hypothèses!$C$14,Hypothèses!$R$14,IF(B118&lt;=Hypothèses!$C$15,Hypothèses!$R$15,IF(B118&lt;=Hypothèses!$C$16,Hypothèses!$R$16,IF(B118&lt;=Hypothèses!$C$17,Hypothèses!$R$17,IF(B118&lt;=Hypothèses!$C$18,Hypothèses!$R$18,D117))))))))))))</f>
        <v>Pressio.</v>
      </c>
      <c r="E118" s="82" t="e">
        <f>IF(B118&lt;=Hypothèses!$C$7,Hypothèses!$G$7,IF(B118&lt;=Hypothèses!$C$8,Hypothèses!$G$8,IF(B118&lt;=Hypothèses!$C$9,Hypothèses!$G$9,IF(B118&lt;=Hypothèses!$C$10,Hypothèses!$G$10,IF(B118&lt;=Hypothèses!$C$11,Hypothèses!$G$11,IF(B118&lt;=Hypothèses!$C$12,Hypothèses!$G$12,IF(B118&lt;=Hypothèses!$C$13,Hypothèses!$G$13,IF(B118&lt;=Hypothèses!$C$14,Hypothèses!$G$14,IF(B118&lt;=Hypothèses!$C$15,Hypothèses!$G$15,IF(B118&lt;=Hypothèses!$C$16,Hypothèses!$G$16,IF(B118&lt;=Hypothèses!$C$17,Hypothèses!$G$17,IF(B118&lt;=Hypothèses!$C$18,Hypothèses!$G$18,E117))))))))))))</f>
        <v>#N/A</v>
      </c>
      <c r="F118" s="82" t="str">
        <f>IF(B118&lt;=Hypothèses!$C$7,Hypothèses!$F$7,IF(B118&lt;=Hypothèses!$C$8,Hypothèses!$F$8,IF(B118&lt;=Hypothèses!$C$9,Hypothèses!$F$9,IF(B118&lt;=Hypothèses!$C$10,Hypothèses!$F$10,IF(B118&lt;=Hypothèses!$C$11,Hypothèses!$F$11,IF(B118&lt;=Hypothèses!$C$12,Hypothèses!$F$12,IF(B118&lt;=Hypothèses!$C$13,Hypothèses!$F$13,IF(B118&lt;=Hypothèses!$C$14,Hypothèses!$F$14,IF(B118&lt;=Hypothèses!$C$15,Hypothèses!$F$15,IF(B118&lt;=Hypothèses!$C$16,Hypothèses!$F$16,IF(B118&lt;=Hypothèses!$C$17,Hypothèses!$F$17,IF(B118&lt;=Hypothèses!$C$18,Hypothèses!$F$18,F117))))))))))))</f>
        <v/>
      </c>
      <c r="G118" s="91">
        <f t="array" ref="G118">INDEX('Coeff EC7'!$U$7:$X$27,
MATCH(Model0.1T!$B$3,'Coeff EC7'!$T$7:$T$27,0),
MATCH(Model0.1T!$D118&amp;Model0.1T!$B$4,
'Coeff EC7'!$U$6:$X$6&amp;
'Coeff EC7'!$U$5:$X$5,0))</f>
        <v>1.4</v>
      </c>
      <c r="H118" s="91">
        <f t="array" ref="H118">INDEX('Coeff EC7'!$Y$7:$AB$27,
MATCH(Model0.1T!$B$3,'Coeff EC7'!$T$7:$T$27,0),
MATCH(Model0.1T!$D118&amp;Model0.1T!$B$4,
'Coeff EC7'!$Y$6:$AB$6&amp;
'Coeff EC7'!$Y$5:$AB$5,0))</f>
        <v>1.7</v>
      </c>
      <c r="I118" s="83">
        <v>0</v>
      </c>
      <c r="J118" s="91" t="e">
        <f t="array" ref="J118">INDEX('Coeff EC7'!$D$33:$Q$33,1,MATCH(D118&amp;E118,'Coeff EC7'!$D$31:$Q$31&amp;'Coeff EC7'!$D$32:$Q$32,0))</f>
        <v>#N/A</v>
      </c>
      <c r="K118" s="91" t="e">
        <f t="array" ref="K118">INDEX('Coeff EC7'!$D$34:$Q$34,1,MATCH(D118&amp;E118,'Coeff EC7'!$D$31:$Q$31&amp;'Coeff EC7'!$D$32:$Q$32,0))</f>
        <v>#N/A</v>
      </c>
      <c r="L118" s="91" t="e">
        <f t="array" ref="L118">INDEX('Coeff EC7'!$D$35:$Q$35,1,MATCH(D118&amp;E118,'Coeff EC7'!$D$31:$Q$31&amp;'Coeff EC7'!$D$32:$Q$32,0))</f>
        <v>#N/A</v>
      </c>
      <c r="M118" s="98" t="e">
        <f t="shared" si="131"/>
        <v>#N/A</v>
      </c>
      <c r="N118" s="99" t="e">
        <f t="array" ref="N118">INDEX('Coeff EC7'!$D$7:$Q$27,MATCH($B$3,'Coeff EC7'!$C$7:$C$27,0),MATCH(D118&amp;E118,'Coeff EC7'!$D$5:$Q$5&amp;'Coeff EC7'!$D$6:$Q$6,0))</f>
        <v>#N/A</v>
      </c>
      <c r="O118" s="99" t="e">
        <f t="array" ref="O118">INDEX('Coeff EC7'!$D$41:$Q$61,MATCH($B$3,'Coeff EC7'!$C$41:$C$61,0),MATCH(D118&amp;E118,'Coeff EC7'!$D$39:$Q$39&amp;'Coeff EC7'!$D$40:$Q$40,0))</f>
        <v>#N/A</v>
      </c>
      <c r="P118" s="30" t="e">
        <f t="shared" si="166"/>
        <v>#N/A</v>
      </c>
      <c r="Q118" s="100" t="e">
        <f t="shared" si="133"/>
        <v>#N/A</v>
      </c>
      <c r="R118" s="86" t="b">
        <f t="shared" si="134"/>
        <v>0</v>
      </c>
      <c r="S118" s="86">
        <f t="shared" si="132"/>
        <v>0.5</v>
      </c>
      <c r="T118" s="86">
        <f t="shared" si="135"/>
        <v>0.5</v>
      </c>
      <c r="U118" s="30" t="e">
        <f t="shared" ca="1" si="167"/>
        <v>#DIV/0!</v>
      </c>
      <c r="V118" s="85" t="str">
        <f>IF(B118&lt;=Hypothèses!$V$7,Hypothèses!$W$7,IF(B118&lt;=Hypothèses!$V$8,Hypothèses!$W$8,IF(B118&lt;=Hypothèses!$V$9,Hypothèses!$W$9,IF(B118&lt;=Hypothèses!$V$10,Hypothèses!$W$10,IF(B118&lt;=Hypothèses!$V$11,Hypothèses!$W$11,IF(B118&lt;=Hypothèses!$V$12,Hypothèses!$W$12,IF(B118&lt;=Hypothèses!$V$13,Hypothèses!$W$13,IF(B118&lt;=Hypothèses!$V$14,Hypothèses!$W$14,IF(B118&lt;=Hypothèses!$V$15,Hypothèses!$W$15,IF(B118&lt;=Hypothèses!$V$16,Hypothèses!$W$16,IF(B118&lt;=Hypothèses!$V$17,Hypothèses!$W$17,IF(B118&lt;=Hypothèses!$V$18,Hypothèses!$W$18,""))))))))))))</f>
        <v/>
      </c>
      <c r="W118" s="87" t="e">
        <f t="shared" ca="1" si="216"/>
        <v>#DIV/0!</v>
      </c>
      <c r="X118" s="88" t="str">
        <f>IF(B118&lt;=Hypothèses!$V$7,Hypothèses!$X$7,IF(B118&lt;=Hypothèses!$V$8,Hypothèses!$X$8,IF(B118&lt;=Hypothèses!$V$9,Hypothèses!$X$9,IF(B118&lt;=Hypothèses!$V$10,Hypothèses!$X$10,IF(B118&lt;=Hypothèses!$V$11,Hypothèses!$X$11,IF(B118&lt;=Hypothèses!$V$12,Hypothèses!$X$12,IF(B118&lt;=Hypothèses!$V$13,Hypothèses!$X$13,IF(B118&lt;=Hypothèses!$V$14,Hypothèses!$X$14,IF(B118&lt;=Hypothèses!$V$15,Hypothèses!$X$15,IF(B118&lt;=Hypothèses!$V$16,Hypothèses!$X$16,IF(B118&lt;=Hypothèses!$U$17,Hypothèses!$W$17,IF(B118&lt;=Hypothèses!$U$18,Hypothèses!$W$18,""))))))))))))</f>
        <v/>
      </c>
      <c r="Y118" s="95" t="e">
        <f t="shared" ca="1" si="136"/>
        <v>#DIV/0!</v>
      </c>
      <c r="Z118" s="101">
        <f t="shared" si="137"/>
        <v>0</v>
      </c>
      <c r="AA118" s="91">
        <f t="shared" si="138"/>
        <v>0</v>
      </c>
      <c r="AB118" s="30" t="e">
        <f t="shared" si="200"/>
        <v>#N/A</v>
      </c>
      <c r="AC118" s="30" t="e">
        <f t="shared" si="201"/>
        <v>#N/A</v>
      </c>
      <c r="AD118" s="31" t="e">
        <f>IF(OR(Hypothèses!$B$4=17,Hypothèses!$B$4=18,Hypothèses!$B$4=19,Hypothèses!$B$4=20),
IF($D118="Pressio.",
IF(OR($E118=3,$E118=1,$E118=4),AC118,AB118),
IF($D118="Pénétro.",
IF(OR($E118=3,$E118=1,$E118=4),AC118,AB118))),IF($D118="Pressio.",
IF($E118=3,AC118,AB118),
IF($D118="Pénétro.",
IF($E118=4,AC118,AB118))))</f>
        <v>#N/A</v>
      </c>
      <c r="AE118" s="31">
        <v>0</v>
      </c>
      <c r="AF118" s="102" t="e">
        <f>IF(NDC!$H$10="Oui",(VLOOKUP($B$3,'Coeff EC7'!$T$39:$X$59,2,0)*AD118+VLOOKUP($B$3,'Coeff EC7'!$T$65:$X$85,2,0)*Model0.1T!AE118)/1.5,PI()*AB$12*$Q118*($B118-$B117)*0.15/10+AF117)</f>
        <v>#N/A</v>
      </c>
      <c r="AG118" s="102" t="e">
        <f>(VLOOKUP($B$3,'Coeff EC7'!$T$39:$X$59,3,0)*AD118+VLOOKUP($B$3,'Coeff EC7'!$T$65:$X$85,3,0)*Model0.1T!AE118)/1.1</f>
        <v>#N/A</v>
      </c>
      <c r="AH118" s="102" t="e">
        <f t="shared" si="168"/>
        <v>#N/A</v>
      </c>
      <c r="AI118" s="102" t="e">
        <f t="shared" si="169"/>
        <v>#N/A</v>
      </c>
      <c r="AJ118" s="414" t="e">
        <f>IF(AND(AF118&gt;NDC!$C$63,AG118&gt;NDC!$C$65,AH118&gt;NDC!$D$73,AI118&gt;NDC!$D$74,$B118&gt;NDC!$H$22-0.1+MIN(3*$AJ$12,1.5)),0,1)</f>
        <v>#N/A</v>
      </c>
      <c r="AK118" s="86" t="b">
        <f t="shared" si="139"/>
        <v>0</v>
      </c>
      <c r="AL118" s="86">
        <f t="shared" si="170"/>
        <v>0.5</v>
      </c>
      <c r="AM118" s="86">
        <f t="shared" si="140"/>
        <v>0.5</v>
      </c>
      <c r="AN118" s="30" t="e">
        <f t="shared" ca="1" si="171"/>
        <v>#DIV/0!</v>
      </c>
      <c r="AO118" s="85" t="e">
        <f ca="1">IF(U118&lt;=Hypothèses!$V$7,Hypothèses!$W$7,IF(U118&lt;=Hypothèses!$V$8,Hypothèses!$W$8,IF(U118&lt;=Hypothèses!$V$9,Hypothèses!$W$9,IF(U118&lt;=Hypothèses!$V$10,Hypothèses!$W$10,IF(U118&lt;=Hypothèses!$V$11,Hypothèses!$W$11,IF(U118&lt;=Hypothèses!$V$12,Hypothèses!$W$12,IF(U118&lt;=Hypothèses!$V$13,Hypothèses!$W$13,IF(U118&lt;=Hypothèses!$V$14,Hypothèses!$W$14,IF(U118&lt;=Hypothèses!$V$15,Hypothèses!$W$15,IF(U118&lt;=Hypothèses!$V$16,Hypothèses!$W$16,IF(U118&lt;=Hypothèses!$V$17,Hypothèses!$W$17,IF(U118&lt;=Hypothèses!$V$18,Hypothèses!$W$18,""))))))))))))</f>
        <v>#DIV/0!</v>
      </c>
      <c r="AP118" s="87" t="e">
        <f t="shared" ca="1" si="217"/>
        <v>#DIV/0!</v>
      </c>
      <c r="AQ118" s="88" t="e">
        <f ca="1">IF(U118&lt;=Hypothèses!$V$7,Hypothèses!$X$7,IF(U118&lt;=Hypothèses!$V$8,Hypothèses!$X$8,IF(U118&lt;=Hypothèses!$V$9,Hypothèses!$X$9,IF(U118&lt;=Hypothèses!$V$10,Hypothèses!$X$10,IF(U118&lt;=Hypothèses!$V$11,Hypothèses!$X$11,IF(U118&lt;=Hypothèses!$V$12,Hypothèses!$X$12,IF(U118&lt;=Hypothèses!$V$13,Hypothèses!$X$13,IF(U118&lt;=Hypothèses!$V$14,Hypothèses!$X$14,IF(U118&lt;=Hypothèses!$V$15,Hypothèses!$X$15,IF(U118&lt;=Hypothèses!$V$16,Hypothèses!$X$16,IF(U118&lt;=Hypothèses!$U$17,Hypothèses!$W$17,IF(U118&lt;=Hypothèses!$U$18,Hypothèses!$W$18,""))))))))))))</f>
        <v>#DIV/0!</v>
      </c>
      <c r="AR118" s="95" t="e">
        <f t="shared" ca="1" si="172"/>
        <v>#DIV/0!</v>
      </c>
      <c r="AS118" s="101">
        <f t="shared" si="224"/>
        <v>0</v>
      </c>
      <c r="AT118" s="91">
        <f t="shared" si="141"/>
        <v>0</v>
      </c>
      <c r="AU118" s="30" t="e">
        <f t="shared" si="202"/>
        <v>#N/A</v>
      </c>
      <c r="AV118" s="30" t="e">
        <f t="shared" si="203"/>
        <v>#N/A</v>
      </c>
      <c r="AW118" s="31" t="e">
        <f>IF(OR(Hypothèses!$B$4=17,Hypothèses!$B$4=18,Hypothèses!$B$4=19,Hypothèses!$B$4=20),
IF($D118="Pressio.",
IF(OR($E118=3,$E118=1,$E118=4),AV118,AU118),
IF($D118="Pénétro.",
IF(OR($E118=3,$E118=1,$E118=4),AV118,AU118))),IF($D118="Pressio.",
IF($E118=3,AV118,AU118),
IF($D118="Pénétro.",
IF($E118=4,AV118,AU118))))</f>
        <v>#N/A</v>
      </c>
      <c r="AX118" s="31">
        <v>0</v>
      </c>
      <c r="AY118" s="102" t="e">
        <f>IF(NDC!$H$10="Oui",(VLOOKUP($B$3,'Coeff EC7'!$T$39:$X$59,2,0)*AW118+VLOOKUP($B$3,'Coeff EC7'!$T$65:$X$85,2,0)*Model0.1T!AX118)/1.5,PI()*AU$12*$Q118*($B118-$B117)*0.15/10+AY117)</f>
        <v>#N/A</v>
      </c>
      <c r="AZ118" s="102" t="e">
        <f>(VLOOKUP($B$3,'Coeff EC7'!$T$39:$X$59,3,0)*AW118+VLOOKUP($B$3,'Coeff EC7'!$T$65:$X$85,3,0)*Model0.1T!AX118)/1.1</f>
        <v>#N/A</v>
      </c>
      <c r="BA118" s="102" t="e">
        <f t="shared" si="173"/>
        <v>#N/A</v>
      </c>
      <c r="BB118" s="102" t="e">
        <f t="shared" si="174"/>
        <v>#N/A</v>
      </c>
      <c r="BC118" s="414" t="e">
        <f>IF(AND(AY118&gt;NDC!$C$63,AZ118&gt;NDC!$C$65,BA118&gt;NDC!$D$73,BB118&gt;NDC!$D$74,$B118&gt;NDC!$H$22-0.1+MIN(3*BC$12,1.5)),0,1)</f>
        <v>#N/A</v>
      </c>
      <c r="BD118" s="86" t="b">
        <f t="shared" si="142"/>
        <v>0</v>
      </c>
      <c r="BE118" s="86">
        <f t="shared" si="175"/>
        <v>0.5</v>
      </c>
      <c r="BF118" s="86">
        <f t="shared" si="143"/>
        <v>0.5</v>
      </c>
      <c r="BG118" s="30" t="e">
        <f t="shared" ca="1" si="176"/>
        <v>#DIV/0!</v>
      </c>
      <c r="BH118" s="85" t="e">
        <f ca="1">IF(AN118&lt;=Hypothèses!$V$7,Hypothèses!$W$7,IF(AN118&lt;=Hypothèses!$V$8,Hypothèses!$W$8,IF(AN118&lt;=Hypothèses!$V$9,Hypothèses!$W$9,IF(AN118&lt;=Hypothèses!$V$10,Hypothèses!$W$10,IF(AN118&lt;=Hypothèses!$V$11,Hypothèses!$W$11,IF(AN118&lt;=Hypothèses!$V$12,Hypothèses!$W$12,IF(AN118&lt;=Hypothèses!$V$13,Hypothèses!$W$13,IF(AN118&lt;=Hypothèses!$V$14,Hypothèses!$W$14,IF(AN118&lt;=Hypothèses!$V$15,Hypothèses!$W$15,IF(AN118&lt;=Hypothèses!$V$16,Hypothèses!$W$16,IF(AN118&lt;=Hypothèses!$V$17,Hypothèses!$W$17,IF(AN118&lt;=Hypothèses!$V$18,Hypothèses!$W$18,""))))))))))))</f>
        <v>#DIV/0!</v>
      </c>
      <c r="BI118" s="87" t="e">
        <f t="shared" ca="1" si="218"/>
        <v>#DIV/0!</v>
      </c>
      <c r="BJ118" s="88" t="e">
        <f ca="1">IF(AN118&lt;=Hypothèses!$V$7,Hypothèses!$X$7,IF(AN118&lt;=Hypothèses!$V$8,Hypothèses!$X$8,IF(AN118&lt;=Hypothèses!$V$9,Hypothèses!$X$9,IF(AN118&lt;=Hypothèses!$V$10,Hypothèses!$X$10,IF(AN118&lt;=Hypothèses!$V$11,Hypothèses!$X$11,IF(AN118&lt;=Hypothèses!$V$12,Hypothèses!$X$12,IF(AN118&lt;=Hypothèses!$V$13,Hypothèses!$X$13,IF(AN118&lt;=Hypothèses!$V$14,Hypothèses!$X$14,IF(AN118&lt;=Hypothèses!$V$15,Hypothèses!$X$15,IF(AN118&lt;=Hypothèses!$V$16,Hypothèses!$X$16,IF(AN118&lt;=Hypothèses!$U$17,Hypothèses!$W$17,IF(AN118&lt;=Hypothèses!$U$18,Hypothèses!$W$18,""))))))))))))</f>
        <v>#DIV/0!</v>
      </c>
      <c r="BK118" s="95" t="e">
        <f t="shared" ca="1" si="177"/>
        <v>#DIV/0!</v>
      </c>
      <c r="BL118" s="101">
        <f t="shared" si="225"/>
        <v>0</v>
      </c>
      <c r="BM118" s="91">
        <f t="shared" si="144"/>
        <v>0</v>
      </c>
      <c r="BN118" s="30" t="e">
        <f t="shared" si="204"/>
        <v>#N/A</v>
      </c>
      <c r="BO118" s="30" t="e">
        <f t="shared" si="205"/>
        <v>#N/A</v>
      </c>
      <c r="BP118" s="31" t="e">
        <f>IF(OR(Hypothèses!$B$4=17,Hypothèses!$B$4=18,Hypothèses!$B$4=19,Hypothèses!$B$4=20),
IF($D118="Pressio.",
IF(OR($E118=3,$E118=1,$E118=4),BO118,BN118),
IF($D118="Pénétro.",
IF(OR($E118=3,$E118=1,$E118=4),BO118,BN118))),IF($D118="Pressio.",
IF($E118=3,BO118,BN118),
IF($D118="Pénétro.",
IF($E118=4,BO118,BN118))))</f>
        <v>#N/A</v>
      </c>
      <c r="BQ118" s="31">
        <v>0</v>
      </c>
      <c r="BR118" s="102" t="e">
        <f>IF(NDC!$H$10="Oui",(VLOOKUP($B$3,'Coeff EC7'!$T$39:$X$59,2,0)*BP118+VLOOKUP($B$3,'Coeff EC7'!$T$65:$X$85,2,0)*Model0.1T!BQ118)/1.5,PI()*BN$12*$Q118*($B118-$B117)*0.15/10+BR117)</f>
        <v>#N/A</v>
      </c>
      <c r="BS118" s="102" t="e">
        <f>(VLOOKUP($B$3,'Coeff EC7'!$T$39:$X$59,3,0)*BP118+VLOOKUP($B$3,'Coeff EC7'!$T$65:$X$85,3,0)*Model0.1T!BQ118)/1.1</f>
        <v>#N/A</v>
      </c>
      <c r="BT118" s="102" t="e">
        <f t="shared" si="178"/>
        <v>#N/A</v>
      </c>
      <c r="BU118" s="102" t="e">
        <f t="shared" si="179"/>
        <v>#N/A</v>
      </c>
      <c r="BV118" s="414" t="e">
        <f>IF(AND(BR118&gt;NDC!$C$63,BS118&gt;NDC!$C$65,BT118&gt;NDC!$D$73,BU118&gt;NDC!$D$74,$B118&gt;NDC!$H$22-0.1+MIN(3*BV$12,1.5)),0,1)</f>
        <v>#N/A</v>
      </c>
      <c r="BW118" s="86" t="b">
        <f t="shared" si="145"/>
        <v>0</v>
      </c>
      <c r="BX118" s="86">
        <f t="shared" si="146"/>
        <v>0.5</v>
      </c>
      <c r="BY118" s="86">
        <f t="shared" si="147"/>
        <v>0.5</v>
      </c>
      <c r="BZ118" s="30" t="e">
        <f t="shared" ca="1" si="180"/>
        <v>#DIV/0!</v>
      </c>
      <c r="CA118" s="85" t="e">
        <f ca="1">IF(BG118&lt;=Hypothèses!$V$7,Hypothèses!$W$7,IF(BG118&lt;=Hypothèses!$V$8,Hypothèses!$W$8,IF(BG118&lt;=Hypothèses!$V$9,Hypothèses!$W$9,IF(BG118&lt;=Hypothèses!$V$10,Hypothèses!$W$10,IF(BG118&lt;=Hypothèses!$V$11,Hypothèses!$W$11,IF(BG118&lt;=Hypothèses!$V$12,Hypothèses!$W$12,IF(BG118&lt;=Hypothèses!$V$13,Hypothèses!$W$13,IF(BG118&lt;=Hypothèses!$V$14,Hypothèses!$W$14,IF(BG118&lt;=Hypothèses!$V$15,Hypothèses!$W$15,IF(BG118&lt;=Hypothèses!$V$16,Hypothèses!$W$16,IF(BG118&lt;=Hypothèses!$V$17,Hypothèses!$W$17,IF(BG118&lt;=Hypothèses!$V$18,Hypothèses!$W$18,""))))))))))))</f>
        <v>#DIV/0!</v>
      </c>
      <c r="CB118" s="87" t="e">
        <f t="shared" ca="1" si="219"/>
        <v>#DIV/0!</v>
      </c>
      <c r="CC118" s="88" t="e">
        <f ca="1">IF(BG118&lt;=Hypothèses!$V$7,Hypothèses!$X$7,IF(BG118&lt;=Hypothèses!$V$8,Hypothèses!$X$8,IF(BG118&lt;=Hypothèses!$V$9,Hypothèses!$X$9,IF(BG118&lt;=Hypothèses!$V$10,Hypothèses!$X$10,IF(BG118&lt;=Hypothèses!$V$11,Hypothèses!$X$11,IF(BG118&lt;=Hypothèses!$V$12,Hypothèses!$X$12,IF(BG118&lt;=Hypothèses!$V$13,Hypothèses!$X$13,IF(BG118&lt;=Hypothèses!$V$14,Hypothèses!$X$14,IF(BG118&lt;=Hypothèses!$V$15,Hypothèses!$X$15,IF(BG118&lt;=Hypothèses!$V$16,Hypothèses!$X$16,IF(BG118&lt;=Hypothèses!$U$17,Hypothèses!$W$17,IF(BG118&lt;=Hypothèses!$U$18,Hypothèses!$W$18,""))))))))))))</f>
        <v>#DIV/0!</v>
      </c>
      <c r="CD118" s="95" t="e">
        <f t="shared" ca="1" si="181"/>
        <v>#DIV/0!</v>
      </c>
      <c r="CE118" s="101">
        <f t="shared" si="226"/>
        <v>0</v>
      </c>
      <c r="CF118" s="91">
        <f t="shared" si="148"/>
        <v>0</v>
      </c>
      <c r="CG118" s="30" t="e">
        <f t="shared" si="206"/>
        <v>#N/A</v>
      </c>
      <c r="CH118" s="30" t="e">
        <f t="shared" si="207"/>
        <v>#N/A</v>
      </c>
      <c r="CI118" s="31" t="e">
        <f>IF(OR(Hypothèses!$B$4=17,Hypothèses!$B$4=18,Hypothèses!$B$4=19,Hypothèses!$B$4=20),
IF($D118="Pressio.",
IF(OR($E118=3,$E118=1,$E118=4),CH118,CG118),
IF($D118="Pénétro.",
IF(OR($E118=3,$E118=1,$E118=4),CH118,CG118))),IF($D118="Pressio.",
IF($E118=3,CH118,CG118),
IF($D118="Pénétro.",
IF($E118=4,CH118,CG118))))</f>
        <v>#N/A</v>
      </c>
      <c r="CJ118" s="31">
        <v>0</v>
      </c>
      <c r="CK118" s="102" t="e">
        <f>IF(NDC!$H$10="Oui",(VLOOKUP($B$3,'Coeff EC7'!$T$39:$X$59,2,0)*CI118+VLOOKUP($B$3,'Coeff EC7'!$T$65:$X$85,2,0)*Model0.1T!CJ118)/1.5,PI()*CG$12*$Q118*($B118-$B117)*0.15/10+CK117)</f>
        <v>#N/A</v>
      </c>
      <c r="CL118" s="102" t="e">
        <f>(VLOOKUP($B$3,'Coeff EC7'!$T$39:$X$59,3,0)*CI118+VLOOKUP($B$3,'Coeff EC7'!$T$65:$X$85,3,0)*Model0.1T!CJ118)/1.1</f>
        <v>#N/A</v>
      </c>
      <c r="CM118" s="102" t="e">
        <f t="shared" si="182"/>
        <v>#N/A</v>
      </c>
      <c r="CN118" s="102" t="e">
        <f t="shared" si="183"/>
        <v>#N/A</v>
      </c>
      <c r="CO118" s="414" t="e">
        <f>IF(AND(CK118&gt;NDC!$C$63,CL118&gt;NDC!$C$65,CM118&gt;NDC!$D$73,CN118&gt;NDC!$D$74,$B118&gt;NDC!$H$22-0.1+MIN(3*CO$12,1.5)),0,1)</f>
        <v>#N/A</v>
      </c>
      <c r="CP118" s="86" t="b">
        <f t="shared" si="149"/>
        <v>0</v>
      </c>
      <c r="CQ118" s="86">
        <f t="shared" si="150"/>
        <v>0.5</v>
      </c>
      <c r="CR118" s="86">
        <f t="shared" si="151"/>
        <v>0.5</v>
      </c>
      <c r="CS118" s="30" t="e">
        <f t="shared" ca="1" si="184"/>
        <v>#DIV/0!</v>
      </c>
      <c r="CT118" s="85" t="e">
        <f ca="1">IF(BZ118&lt;=Hypothèses!$V$7,Hypothèses!$W$7,IF(BZ118&lt;=Hypothèses!$V$8,Hypothèses!$W$8,IF(BZ118&lt;=Hypothèses!$V$9,Hypothèses!$W$9,IF(BZ118&lt;=Hypothèses!$V$10,Hypothèses!$W$10,IF(BZ118&lt;=Hypothèses!$V$11,Hypothèses!$W$11,IF(BZ118&lt;=Hypothèses!$V$12,Hypothèses!$W$12,IF(BZ118&lt;=Hypothèses!$V$13,Hypothèses!$W$13,IF(BZ118&lt;=Hypothèses!$V$14,Hypothèses!$W$14,IF(BZ118&lt;=Hypothèses!$V$15,Hypothèses!$W$15,IF(BZ118&lt;=Hypothèses!$V$16,Hypothèses!$W$16,IF(BZ118&lt;=Hypothèses!$V$17,Hypothèses!$W$17,IF(BZ118&lt;=Hypothèses!$V$18,Hypothèses!$W$18,""))))))))))))</f>
        <v>#DIV/0!</v>
      </c>
      <c r="CU118" s="87" t="e">
        <f t="shared" ca="1" si="220"/>
        <v>#DIV/0!</v>
      </c>
      <c r="CV118" s="88" t="e">
        <f ca="1">IF(BZ118&lt;=Hypothèses!$V$7,Hypothèses!$X$7,IF(BZ118&lt;=Hypothèses!$V$8,Hypothèses!$X$8,IF(BZ118&lt;=Hypothèses!$V$9,Hypothèses!$X$9,IF(BZ118&lt;=Hypothèses!$V$10,Hypothèses!$X$10,IF(BZ118&lt;=Hypothèses!$V$11,Hypothèses!$X$11,IF(BZ118&lt;=Hypothèses!$V$12,Hypothèses!$X$12,IF(BZ118&lt;=Hypothèses!$V$13,Hypothèses!$X$13,IF(BZ118&lt;=Hypothèses!$V$14,Hypothèses!$X$14,IF(BZ118&lt;=Hypothèses!$V$15,Hypothèses!$X$15,IF(BZ118&lt;=Hypothèses!$V$16,Hypothèses!$X$16,IF(BZ118&lt;=Hypothèses!$U$17,Hypothèses!$W$17,IF(BZ118&lt;=Hypothèses!$U$18,Hypothèses!$W$18,""))))))))))))</f>
        <v>#DIV/0!</v>
      </c>
      <c r="CW118" s="95" t="e">
        <f t="shared" ca="1" si="185"/>
        <v>#DIV/0!</v>
      </c>
      <c r="CX118" s="101">
        <f t="shared" si="227"/>
        <v>0</v>
      </c>
      <c r="CY118" s="91">
        <f t="shared" si="152"/>
        <v>0</v>
      </c>
      <c r="CZ118" s="30" t="e">
        <f t="shared" si="208"/>
        <v>#N/A</v>
      </c>
      <c r="DA118" s="30" t="e">
        <f t="shared" si="209"/>
        <v>#N/A</v>
      </c>
      <c r="DB118" s="31" t="e">
        <f>IF(OR(Hypothèses!$B$4=17,Hypothèses!$B$4=18,Hypothèses!$B$4=19,Hypothèses!$B$4=20),
IF($D118="Pressio.",
IF(OR($E118=3,$E118=1,$E118=4),DA118,CZ118),
IF($D118="Pénétro.",
IF(OR($E118=3,$E118=1,$E118=4),DA118,CZ118))),IF($D118="Pressio.",
IF($E118=3,DA118,CZ118),
IF($D118="Pénétro.",
IF($E118=4,DA118,CZ118))))</f>
        <v>#N/A</v>
      </c>
      <c r="DC118" s="31">
        <v>0</v>
      </c>
      <c r="DD118" s="102" t="e">
        <f>IF(NDC!$H$10="Oui",(VLOOKUP($B$3,'Coeff EC7'!$T$39:$X$59,2,0)*DB118+VLOOKUP($B$3,'Coeff EC7'!$T$65:$X$85,2,0)*Model0.1T!DC118)/1.5,PI()*CZ$12*$Q118*($B118-$B117)*0.15/10+DD117)</f>
        <v>#N/A</v>
      </c>
      <c r="DE118" s="102" t="e">
        <f>(VLOOKUP($B$3,'Coeff EC7'!$T$39:$X$59,3,0)*DB118+VLOOKUP($B$3,'Coeff EC7'!$T$65:$X$85,3,0)*Model0.1T!DC118)/1.1</f>
        <v>#N/A</v>
      </c>
      <c r="DF118" s="102" t="e">
        <f t="shared" si="186"/>
        <v>#N/A</v>
      </c>
      <c r="DG118" s="102" t="e">
        <f t="shared" si="187"/>
        <v>#N/A</v>
      </c>
      <c r="DH118" s="414" t="e">
        <f>IF(AND(DD118&gt;NDC!$C$63,DE118&gt;NDC!$C$65,DF118&gt;NDC!$D$73,DG118&gt;NDC!$D$74,$B118&gt;NDC!$H$22-0.1+MIN(3*DH$12,1.5)),0,1)</f>
        <v>#N/A</v>
      </c>
      <c r="DI118" s="86" t="b">
        <f t="shared" si="153"/>
        <v>0</v>
      </c>
      <c r="DJ118" s="86">
        <f t="shared" si="154"/>
        <v>0.5</v>
      </c>
      <c r="DK118" s="86">
        <f t="shared" si="155"/>
        <v>0.5</v>
      </c>
      <c r="DL118" s="30" t="e">
        <f t="shared" ca="1" si="188"/>
        <v>#DIV/0!</v>
      </c>
      <c r="DM118" s="85" t="e">
        <f ca="1">IF(CS118&lt;=Hypothèses!$V$7,Hypothèses!$W$7,IF(CS118&lt;=Hypothèses!$V$8,Hypothèses!$W$8,IF(CS118&lt;=Hypothèses!$V$9,Hypothèses!$W$9,IF(CS118&lt;=Hypothèses!$V$10,Hypothèses!$W$10,IF(CS118&lt;=Hypothèses!$V$11,Hypothèses!$W$11,IF(CS118&lt;=Hypothèses!$V$12,Hypothèses!$W$12,IF(CS118&lt;=Hypothèses!$V$13,Hypothèses!$W$13,IF(CS118&lt;=Hypothèses!$V$14,Hypothèses!$W$14,IF(CS118&lt;=Hypothèses!$V$15,Hypothèses!$W$15,IF(CS118&lt;=Hypothèses!$V$16,Hypothèses!$W$16,IF(CS118&lt;=Hypothèses!$V$17,Hypothèses!$W$17,IF(CS118&lt;=Hypothèses!$V$18,Hypothèses!$W$18,""))))))))))))</f>
        <v>#DIV/0!</v>
      </c>
      <c r="DN118" s="87" t="e">
        <f t="shared" ca="1" si="221"/>
        <v>#DIV/0!</v>
      </c>
      <c r="DO118" s="88" t="e">
        <f ca="1">IF(CS118&lt;=Hypothèses!$V$7,Hypothèses!$X$7,IF(CS118&lt;=Hypothèses!$V$8,Hypothèses!$X$8,IF(CS118&lt;=Hypothèses!$V$9,Hypothèses!$X$9,IF(CS118&lt;=Hypothèses!$V$10,Hypothèses!$X$10,IF(CS118&lt;=Hypothèses!$V$11,Hypothèses!$X$11,IF(CS118&lt;=Hypothèses!$V$12,Hypothèses!$X$12,IF(CS118&lt;=Hypothèses!$V$13,Hypothèses!$X$13,IF(CS118&lt;=Hypothèses!$V$14,Hypothèses!$X$14,IF(CS118&lt;=Hypothèses!$V$15,Hypothèses!$X$15,IF(CS118&lt;=Hypothèses!$V$16,Hypothèses!$X$16,IF(CS118&lt;=Hypothèses!$U$17,Hypothèses!$W$17,IF(CS118&lt;=Hypothèses!$U$18,Hypothèses!$W$18,""))))))))))))</f>
        <v>#DIV/0!</v>
      </c>
      <c r="DP118" s="95" t="e">
        <f t="shared" ca="1" si="189"/>
        <v>#DIV/0!</v>
      </c>
      <c r="DQ118" s="101">
        <f t="shared" si="228"/>
        <v>0</v>
      </c>
      <c r="DR118" s="91">
        <f t="shared" si="156"/>
        <v>0</v>
      </c>
      <c r="DS118" s="30" t="e">
        <f t="shared" si="210"/>
        <v>#N/A</v>
      </c>
      <c r="DT118" s="30" t="e">
        <f t="shared" si="211"/>
        <v>#N/A</v>
      </c>
      <c r="DU118" s="31" t="e">
        <f>IF(OR(Hypothèses!$B$4=17,Hypothèses!$B$4=18,Hypothèses!$B$4=19,Hypothèses!$B$4=20),
IF($D118="Pressio.",
IF(OR($E118=3,$E118=1,$E118=4),DT118,DS118),
IF($D118="Pénétro.",
IF(OR($E118=3,$E118=1,$E118=4),DT118,DS118))),IF($D118="Pressio.",
IF($E118=3,DT118,DS118),
IF($D118="Pénétro.",
IF($E118=4,DT118,DS118))))</f>
        <v>#N/A</v>
      </c>
      <c r="DV118" s="31">
        <v>0</v>
      </c>
      <c r="DW118" s="102" t="e">
        <f>IF(NDC!$H$10="Oui",(VLOOKUP($B$3,'Coeff EC7'!$T$39:$X$59,2,0)*DU118+VLOOKUP($B$3,'Coeff EC7'!$T$65:$X$85,2,0)*Model0.1T!DV118)/1.5,PI()*DS$12*$Q118*($B118-$B117)*0.15/10+DW117)</f>
        <v>#N/A</v>
      </c>
      <c r="DX118" s="102" t="e">
        <f>(VLOOKUP($B$3,'Coeff EC7'!$T$39:$X$59,3,0)*DU118+VLOOKUP($B$3,'Coeff EC7'!$T$65:$X$85,3,0)*Model0.1T!DV118)/1.1</f>
        <v>#N/A</v>
      </c>
      <c r="DY118" s="102" t="e">
        <f t="shared" si="190"/>
        <v>#N/A</v>
      </c>
      <c r="DZ118" s="102" t="e">
        <f t="shared" si="191"/>
        <v>#N/A</v>
      </c>
      <c r="EA118" s="414" t="e">
        <f>IF(AND(DW118&gt;NDC!$C$63,DX118&gt;NDC!$C$65,DY118&gt;NDC!$D$73,DZ118&gt;NDC!$D$74,$B118&gt;NDC!$H$22-0.1+MIN(3*EA$12,1.5)),0,1)</f>
        <v>#N/A</v>
      </c>
      <c r="EB118" s="86" t="b">
        <f t="shared" si="157"/>
        <v>0</v>
      </c>
      <c r="EC118" s="418">
        <f t="shared" si="158"/>
        <v>0.51</v>
      </c>
      <c r="ED118" s="86">
        <f t="shared" si="159"/>
        <v>0.51</v>
      </c>
      <c r="EE118" s="30" t="e">
        <f t="shared" ca="1" si="192"/>
        <v>#DIV/0!</v>
      </c>
      <c r="EF118" s="85" t="e">
        <f ca="1">IF(DL118&lt;=Hypothèses!$V$7,Hypothèses!$W$7,IF(DL118&lt;=Hypothèses!$V$8,Hypothèses!$W$8,IF(DL118&lt;=Hypothèses!$V$9,Hypothèses!$W$9,IF(DL118&lt;=Hypothèses!$V$10,Hypothèses!$W$10,IF(DL118&lt;=Hypothèses!$V$11,Hypothèses!$W$11,IF(DL118&lt;=Hypothèses!$V$12,Hypothèses!$W$12,IF(DL118&lt;=Hypothèses!$V$13,Hypothèses!$W$13,IF(DL118&lt;=Hypothèses!$V$14,Hypothèses!$W$14,IF(DL118&lt;=Hypothèses!$V$15,Hypothèses!$W$15,IF(DL118&lt;=Hypothèses!$V$16,Hypothèses!$W$16,IF(DL118&lt;=Hypothèses!$V$17,Hypothèses!$W$17,IF(DL118&lt;=Hypothèses!$V$18,Hypothèses!$W$18,""))))))))))))</f>
        <v>#DIV/0!</v>
      </c>
      <c r="EG118" s="87" t="e">
        <f t="shared" ca="1" si="222"/>
        <v>#DIV/0!</v>
      </c>
      <c r="EH118" s="88" t="e">
        <f ca="1">IF(DL118&lt;=Hypothèses!$V$7,Hypothèses!$X$7,IF(DL118&lt;=Hypothèses!$V$8,Hypothèses!$X$8,IF(DL118&lt;=Hypothèses!$V$9,Hypothèses!$X$9,IF(DL118&lt;=Hypothèses!$V$10,Hypothèses!$X$10,IF(DL118&lt;=Hypothèses!$V$11,Hypothèses!$X$11,IF(DL118&lt;=Hypothèses!$V$12,Hypothèses!$X$12,IF(DL118&lt;=Hypothèses!$V$13,Hypothèses!$X$13,IF(DL118&lt;=Hypothèses!$V$14,Hypothèses!$X$14,IF(DL118&lt;=Hypothèses!$V$15,Hypothèses!$X$15,IF(DL118&lt;=Hypothèses!$V$16,Hypothèses!$X$16,IF(DL118&lt;=Hypothèses!$U$17,Hypothèses!$W$17,IF(DL118&lt;=Hypothèses!$U$18,Hypothèses!$W$18,""))))))))))))</f>
        <v>#DIV/0!</v>
      </c>
      <c r="EI118" s="95" t="e">
        <f t="shared" ca="1" si="193"/>
        <v>#DIV/0!</v>
      </c>
      <c r="EJ118" s="101">
        <f t="shared" si="229"/>
        <v>0</v>
      </c>
      <c r="EK118" s="91">
        <f t="shared" si="160"/>
        <v>0</v>
      </c>
      <c r="EL118" s="30" t="e">
        <f t="shared" si="212"/>
        <v>#N/A</v>
      </c>
      <c r="EM118" s="30" t="e">
        <f t="shared" si="213"/>
        <v>#N/A</v>
      </c>
      <c r="EN118" s="31" t="e">
        <f>IF(OR(Hypothèses!$B$4=17,Hypothèses!$B$4=18,Hypothèses!$B$4=19,Hypothèses!$B$4=20),
IF($D118="Pressio.",
IF(OR($E118=3,$E118=1,$E118=4),EM118,EL118),
IF($D118="Pénétro.",
IF(OR($E118=3,$E118=1,$E118=4),EM118,EL118))),IF($D118="Pressio.",
IF($E118=3,EM118,EL118),
IF($D118="Pénétro.",
IF($E118=4,EM118,EL118))))</f>
        <v>#N/A</v>
      </c>
      <c r="EO118" s="31">
        <v>0</v>
      </c>
      <c r="EP118" s="102" t="e">
        <f>IF(NDC!$H$10="Oui",(VLOOKUP($B$3,'Coeff EC7'!$T$39:$X$59,2,0)*EN118+VLOOKUP($B$3,'Coeff EC7'!$T$65:$X$85,2,0)*Model0.1T!EO118)/1.5,PI()*EL$12*$Q118*($B118-$B117)*0.15/10+EP117)</f>
        <v>#N/A</v>
      </c>
      <c r="EQ118" s="102" t="e">
        <f>(VLOOKUP($B$3,'Coeff EC7'!$T$39:$X$59,3,0)*EN118+VLOOKUP($B$3,'Coeff EC7'!$T$65:$X$85,3,0)*Model0.1T!EO118)/1.1</f>
        <v>#N/A</v>
      </c>
      <c r="ER118" s="102" t="e">
        <f t="shared" si="194"/>
        <v>#N/A</v>
      </c>
      <c r="ES118" s="102" t="e">
        <f t="shared" si="195"/>
        <v>#N/A</v>
      </c>
      <c r="ET118" s="414" t="e">
        <f>IF(AND(EP118&gt;NDC!$C$63,EQ118&gt;NDC!$C$65,ER118&gt;NDC!$D$73,ES118&gt;NDC!$D$74,$B118&gt;NDC!$H$22-0.1+MIN(3*ET$12,1.5)),0,1)</f>
        <v>#N/A</v>
      </c>
      <c r="EU118" s="86" t="b">
        <f t="shared" si="161"/>
        <v>0</v>
      </c>
      <c r="EV118" s="86">
        <f t="shared" si="162"/>
        <v>0.61</v>
      </c>
      <c r="EW118" s="86">
        <f t="shared" si="163"/>
        <v>0.61</v>
      </c>
      <c r="EX118" s="30" t="e">
        <f t="shared" ca="1" si="196"/>
        <v>#DIV/0!</v>
      </c>
      <c r="EY118" s="85" t="e">
        <f ca="1">IF(EE118&lt;=Hypothèses!$V$7,Hypothèses!$W$7,IF(EE118&lt;=Hypothèses!$V$8,Hypothèses!$W$8,IF(EE118&lt;=Hypothèses!$V$9,Hypothèses!$W$9,IF(EE118&lt;=Hypothèses!$V$10,Hypothèses!$W$10,IF(EE118&lt;=Hypothèses!$V$11,Hypothèses!$W$11,IF(EE118&lt;=Hypothèses!$V$12,Hypothèses!$W$12,IF(EE118&lt;=Hypothèses!$V$13,Hypothèses!$W$13,IF(EE118&lt;=Hypothèses!$V$14,Hypothèses!$W$14,IF(EE118&lt;=Hypothèses!$V$15,Hypothèses!$W$15,IF(EE118&lt;=Hypothèses!$V$16,Hypothèses!$W$16,IF(EE118&lt;=Hypothèses!$V$17,Hypothèses!$W$17,IF(EE118&lt;=Hypothèses!$V$18,Hypothèses!$W$18,""))))))))))))</f>
        <v>#DIV/0!</v>
      </c>
      <c r="EZ118" s="87" t="e">
        <f t="shared" ca="1" si="223"/>
        <v>#DIV/0!</v>
      </c>
      <c r="FA118" s="88" t="e">
        <f ca="1">IF(EE118&lt;=Hypothèses!$V$7,Hypothèses!$X$7,IF(EE118&lt;=Hypothèses!$V$8,Hypothèses!$X$8,IF(EE118&lt;=Hypothèses!$V$9,Hypothèses!$X$9,IF(EE118&lt;=Hypothèses!$V$10,Hypothèses!$X$10,IF(EE118&lt;=Hypothèses!$V$11,Hypothèses!$X$11,IF(EE118&lt;=Hypothèses!$V$12,Hypothèses!$X$12,IF(EE118&lt;=Hypothèses!$V$13,Hypothèses!$X$13,IF(EE118&lt;=Hypothèses!$V$14,Hypothèses!$X$14,IF(EE118&lt;=Hypothèses!$V$15,Hypothèses!$X$15,IF(EE118&lt;=Hypothèses!$V$16,Hypothèses!$X$16,IF(EE118&lt;=Hypothèses!$U$17,Hypothèses!$W$17,IF(EE118&lt;=Hypothèses!$U$18,Hypothèses!$W$18,""))))))))))))</f>
        <v>#DIV/0!</v>
      </c>
      <c r="FB118" s="95" t="e">
        <f t="shared" ca="1" si="197"/>
        <v>#DIV/0!</v>
      </c>
      <c r="FC118" s="101">
        <f t="shared" si="230"/>
        <v>0</v>
      </c>
      <c r="FD118" s="91">
        <f t="shared" si="164"/>
        <v>0</v>
      </c>
      <c r="FE118" s="30" t="e">
        <f t="shared" si="214"/>
        <v>#N/A</v>
      </c>
      <c r="FF118" s="30" t="e">
        <f t="shared" si="215"/>
        <v>#N/A</v>
      </c>
      <c r="FG118" s="31" t="e">
        <f>IF(OR(Hypothèses!$B$4=17,Hypothèses!$B$4=18,Hypothèses!$B$4=19,Hypothèses!$B$4=20),
IF($D118="Pressio.",
IF(OR($E118=3,$E118=1,$E118=4),FF118,FE118),
IF($D118="Pénétro.",
IF(OR($E118=3,$E118=1,$E118=4),FF118,FE118))),IF($D118="Pressio.",
IF($E118=3,FF118,FE118),
IF($D118="Pénétro.",
IF($E118=4,FF118,FE118))))</f>
        <v>#N/A</v>
      </c>
      <c r="FH118" s="31">
        <v>0</v>
      </c>
      <c r="FI118" s="102" t="e">
        <f>IF(NDC!$H$10="Oui",(VLOOKUP($B$3,'Coeff EC7'!$T$39:$X$59,2,0)*FG118+VLOOKUP($B$3,'Coeff EC7'!$T$65:$X$85,2,0)*Model0.1T!FH118)/1.5,PI()*FE$12*$Q118*($B118-$B117)*0.15/10+FI117)</f>
        <v>#N/A</v>
      </c>
      <c r="FJ118" s="102" t="e">
        <f>(VLOOKUP($B$3,'Coeff EC7'!$T$39:$X$59,3,0)*FG118+VLOOKUP($B$3,'Coeff EC7'!$T$65:$X$85,3,0)*Model0.1T!FH118)/1.1</f>
        <v>#N/A</v>
      </c>
      <c r="FK118" s="102" t="e">
        <f t="shared" si="198"/>
        <v>#N/A</v>
      </c>
      <c r="FL118" s="102" t="e">
        <f t="shared" si="199"/>
        <v>#N/A</v>
      </c>
      <c r="FM118" s="414" t="e">
        <f>IF(AND(FI118&gt;NDC!$C$63,FJ118&gt;NDC!$C$65,FK118&gt;NDC!$D$73,FL118&gt;NDC!$D$74,$B118&gt;NDC!$H$22-0.1+MIN(3*FM$12,1.5)),0,1)</f>
        <v>#N/A</v>
      </c>
    </row>
    <row r="119" spans="1:169">
      <c r="A119" s="96">
        <f t="shared" si="165"/>
        <v>89.400000000000603</v>
      </c>
      <c r="B119" s="97">
        <v>10.6</v>
      </c>
      <c r="C119" s="81">
        <f>IF(B119&lt;=Hypothèses!$C$7,Hypothèses!$A$7,IF(B119&lt;=Hypothèses!$C$8,Hypothèses!$A$8,IF(B119&lt;=Hypothèses!$C$9,Hypothèses!$A$9,IF(B119&lt;=Hypothèses!$C$10,Hypothèses!$A$10,IF(B119&lt;=Hypothèses!$C$11,Hypothèses!$A$11,IF(B119&lt;=Hypothèses!$C$12,Hypothèses!$A$12,IF(B119&lt;=Hypothèses!$C$13,Hypothèses!$A$13,IF(B119&lt;=Hypothèses!$C$14,Hypothèses!$A$14,IF(B119&lt;=Hypothèses!$C$15,Hypothèses!$A$15,IF(B119&lt;=Hypothèses!$C$16,Hypothèses!$A$16,IF(B119&lt;=Hypothèses!$C$17,Hypothèses!$A$17,IF(B119&lt;=Hypothèses!$C$18,Hypothèses!$A$18,C118))))))))))))</f>
        <v>11</v>
      </c>
      <c r="D119" s="82" t="str">
        <f>IF(B119&lt;=Hypothèses!$C$7,Hypothèses!$R$7,IF(B119&lt;=Hypothèses!$C$8,Hypothèses!$R$8,IF(B119&lt;=Hypothèses!$C$9,Hypothèses!$R$9,IF(B119&lt;=Hypothèses!$C$10,Hypothèses!$R$10,IF(B119&lt;=Hypothèses!$C$11,Hypothèses!$R$11,IF(B119&lt;=Hypothèses!$C$12,Hypothèses!$R$12,IF(B119&lt;=Hypothèses!$C$13,Hypothèses!$R$13,IF(B119&lt;=Hypothèses!$C$14,Hypothèses!$R$14,IF(B119&lt;=Hypothèses!$C$15,Hypothèses!$R$15,IF(B119&lt;=Hypothèses!$C$16,Hypothèses!$R$16,IF(B119&lt;=Hypothèses!$C$17,Hypothèses!$R$17,IF(B119&lt;=Hypothèses!$C$18,Hypothèses!$R$18,D118))))))))))))</f>
        <v>Pressio.</v>
      </c>
      <c r="E119" s="82" t="e">
        <f>IF(B119&lt;=Hypothèses!$C$7,Hypothèses!$G$7,IF(B119&lt;=Hypothèses!$C$8,Hypothèses!$G$8,IF(B119&lt;=Hypothèses!$C$9,Hypothèses!$G$9,IF(B119&lt;=Hypothèses!$C$10,Hypothèses!$G$10,IF(B119&lt;=Hypothèses!$C$11,Hypothèses!$G$11,IF(B119&lt;=Hypothèses!$C$12,Hypothèses!$G$12,IF(B119&lt;=Hypothèses!$C$13,Hypothèses!$G$13,IF(B119&lt;=Hypothèses!$C$14,Hypothèses!$G$14,IF(B119&lt;=Hypothèses!$C$15,Hypothèses!$G$15,IF(B119&lt;=Hypothèses!$C$16,Hypothèses!$G$16,IF(B119&lt;=Hypothèses!$C$17,Hypothèses!$G$17,IF(B119&lt;=Hypothèses!$C$18,Hypothèses!$G$18,E118))))))))))))</f>
        <v>#N/A</v>
      </c>
      <c r="F119" s="82" t="str">
        <f>IF(B119&lt;=Hypothèses!$C$7,Hypothèses!$F$7,IF(B119&lt;=Hypothèses!$C$8,Hypothèses!$F$8,IF(B119&lt;=Hypothèses!$C$9,Hypothèses!$F$9,IF(B119&lt;=Hypothèses!$C$10,Hypothèses!$F$10,IF(B119&lt;=Hypothèses!$C$11,Hypothèses!$F$11,IF(B119&lt;=Hypothèses!$C$12,Hypothèses!$F$12,IF(B119&lt;=Hypothèses!$C$13,Hypothèses!$F$13,IF(B119&lt;=Hypothèses!$C$14,Hypothèses!$F$14,IF(B119&lt;=Hypothèses!$C$15,Hypothèses!$F$15,IF(B119&lt;=Hypothèses!$C$16,Hypothèses!$F$16,IF(B119&lt;=Hypothèses!$C$17,Hypothèses!$F$17,IF(B119&lt;=Hypothèses!$C$18,Hypothèses!$F$18,F118))))))))))))</f>
        <v/>
      </c>
      <c r="G119" s="91">
        <f t="array" ref="G119">INDEX('Coeff EC7'!$U$7:$X$27,
MATCH(Model0.1T!$B$3,'Coeff EC7'!$T$7:$T$27,0),
MATCH(Model0.1T!$D119&amp;Model0.1T!$B$4,
'Coeff EC7'!$U$6:$X$6&amp;
'Coeff EC7'!$U$5:$X$5,0))</f>
        <v>1.4</v>
      </c>
      <c r="H119" s="91">
        <f t="array" ref="H119">INDEX('Coeff EC7'!$Y$7:$AB$27,
MATCH(Model0.1T!$B$3,'Coeff EC7'!$T$7:$T$27,0),
MATCH(Model0.1T!$D119&amp;Model0.1T!$B$4,
'Coeff EC7'!$Y$6:$AB$6&amp;
'Coeff EC7'!$Y$5:$AB$5,0))</f>
        <v>1.7</v>
      </c>
      <c r="I119" s="83">
        <v>0</v>
      </c>
      <c r="J119" s="91" t="e">
        <f t="array" ref="J119">INDEX('Coeff EC7'!$D$33:$Q$33,1,MATCH(D119&amp;E119,'Coeff EC7'!$D$31:$Q$31&amp;'Coeff EC7'!$D$32:$Q$32,0))</f>
        <v>#N/A</v>
      </c>
      <c r="K119" s="91" t="e">
        <f t="array" ref="K119">INDEX('Coeff EC7'!$D$34:$Q$34,1,MATCH(D119&amp;E119,'Coeff EC7'!$D$31:$Q$31&amp;'Coeff EC7'!$D$32:$Q$32,0))</f>
        <v>#N/A</v>
      </c>
      <c r="L119" s="91" t="e">
        <f t="array" ref="L119">INDEX('Coeff EC7'!$D$35:$Q$35,1,MATCH(D119&amp;E119,'Coeff EC7'!$D$31:$Q$31&amp;'Coeff EC7'!$D$32:$Q$32,0))</f>
        <v>#N/A</v>
      </c>
      <c r="M119" s="98" t="e">
        <f t="shared" si="131"/>
        <v>#N/A</v>
      </c>
      <c r="N119" s="99" t="e">
        <f t="array" ref="N119">INDEX('Coeff EC7'!$D$7:$Q$27,MATCH($B$3,'Coeff EC7'!$C$7:$C$27,0),MATCH(D119&amp;E119,'Coeff EC7'!$D$5:$Q$5&amp;'Coeff EC7'!$D$6:$Q$6,0))</f>
        <v>#N/A</v>
      </c>
      <c r="O119" s="99" t="e">
        <f t="array" ref="O119">INDEX('Coeff EC7'!$D$41:$Q$61,MATCH($B$3,'Coeff EC7'!$C$41:$C$61,0),MATCH(D119&amp;E119,'Coeff EC7'!$D$39:$Q$39&amp;'Coeff EC7'!$D$40:$Q$40,0))</f>
        <v>#N/A</v>
      </c>
      <c r="P119" s="30" t="e">
        <f t="shared" si="166"/>
        <v>#N/A</v>
      </c>
      <c r="Q119" s="100" t="e">
        <f t="shared" si="133"/>
        <v>#N/A</v>
      </c>
      <c r="R119" s="86" t="b">
        <f t="shared" si="134"/>
        <v>0</v>
      </c>
      <c r="S119" s="86">
        <f t="shared" si="132"/>
        <v>0.5</v>
      </c>
      <c r="T119" s="86">
        <f t="shared" si="135"/>
        <v>0.5</v>
      </c>
      <c r="U119" s="30" t="e">
        <f t="shared" ca="1" si="167"/>
        <v>#DIV/0!</v>
      </c>
      <c r="V119" s="85" t="str">
        <f>IF(B119&lt;=Hypothèses!$V$7,Hypothèses!$W$7,IF(B119&lt;=Hypothèses!$V$8,Hypothèses!$W$8,IF(B119&lt;=Hypothèses!$V$9,Hypothèses!$W$9,IF(B119&lt;=Hypothèses!$V$10,Hypothèses!$W$10,IF(B119&lt;=Hypothèses!$V$11,Hypothèses!$W$11,IF(B119&lt;=Hypothèses!$V$12,Hypothèses!$W$12,IF(B119&lt;=Hypothèses!$V$13,Hypothèses!$W$13,IF(B119&lt;=Hypothèses!$V$14,Hypothèses!$W$14,IF(B119&lt;=Hypothèses!$V$15,Hypothèses!$W$15,IF(B119&lt;=Hypothèses!$V$16,Hypothèses!$W$16,IF(B119&lt;=Hypothèses!$V$17,Hypothèses!$W$17,IF(B119&lt;=Hypothèses!$V$18,Hypothèses!$W$18,""))))))))))))</f>
        <v/>
      </c>
      <c r="W119" s="87" t="e">
        <f t="shared" ca="1" si="216"/>
        <v>#DIV/0!</v>
      </c>
      <c r="X119" s="88" t="str">
        <f>IF(B119&lt;=Hypothèses!$V$7,Hypothèses!$X$7,IF(B119&lt;=Hypothèses!$V$8,Hypothèses!$X$8,IF(B119&lt;=Hypothèses!$V$9,Hypothèses!$X$9,IF(B119&lt;=Hypothèses!$V$10,Hypothèses!$X$10,IF(B119&lt;=Hypothèses!$V$11,Hypothèses!$X$11,IF(B119&lt;=Hypothèses!$V$12,Hypothèses!$X$12,IF(B119&lt;=Hypothèses!$V$13,Hypothèses!$X$13,IF(B119&lt;=Hypothèses!$V$14,Hypothèses!$X$14,IF(B119&lt;=Hypothèses!$V$15,Hypothèses!$X$15,IF(B119&lt;=Hypothèses!$V$16,Hypothèses!$X$16,IF(B119&lt;=Hypothèses!$U$17,Hypothèses!$W$17,IF(B119&lt;=Hypothèses!$U$18,Hypothèses!$W$18,""))))))))))))</f>
        <v/>
      </c>
      <c r="Y119" s="95" t="e">
        <f t="shared" ca="1" si="136"/>
        <v>#DIV/0!</v>
      </c>
      <c r="Z119" s="101">
        <f t="shared" si="137"/>
        <v>0</v>
      </c>
      <c r="AA119" s="91">
        <f t="shared" si="138"/>
        <v>0</v>
      </c>
      <c r="AB119" s="30" t="e">
        <f t="shared" si="200"/>
        <v>#N/A</v>
      </c>
      <c r="AC119" s="30" t="e">
        <f t="shared" si="201"/>
        <v>#N/A</v>
      </c>
      <c r="AD119" s="31" t="e">
        <f>IF(OR(Hypothèses!$B$4=17,Hypothèses!$B$4=18,Hypothèses!$B$4=19,Hypothèses!$B$4=20),
IF($D119="Pressio.",
IF(OR($E119=3,$E119=1,$E119=4),AC119,AB119),
IF($D119="Pénétro.",
IF(OR($E119=3,$E119=1,$E119=4),AC119,AB119))),IF($D119="Pressio.",
IF($E119=3,AC119,AB119),
IF($D119="Pénétro.",
IF($E119=4,AC119,AB119))))</f>
        <v>#N/A</v>
      </c>
      <c r="AE119" s="31">
        <v>0</v>
      </c>
      <c r="AF119" s="102" t="e">
        <f>IF(NDC!$H$10="Oui",(VLOOKUP($B$3,'Coeff EC7'!$T$39:$X$59,2,0)*AD119+VLOOKUP($B$3,'Coeff EC7'!$T$65:$X$85,2,0)*Model0.1T!AE119)/1.5,PI()*AB$12*$Q119*($B119-$B118)*0.15/10+AF118)</f>
        <v>#N/A</v>
      </c>
      <c r="AG119" s="102" t="e">
        <f>(VLOOKUP($B$3,'Coeff EC7'!$T$39:$X$59,3,0)*AD119+VLOOKUP($B$3,'Coeff EC7'!$T$65:$X$85,3,0)*Model0.1T!AE119)/1.1</f>
        <v>#N/A</v>
      </c>
      <c r="AH119" s="102" t="e">
        <f t="shared" si="168"/>
        <v>#N/A</v>
      </c>
      <c r="AI119" s="102" t="e">
        <f t="shared" si="169"/>
        <v>#N/A</v>
      </c>
      <c r="AJ119" s="414" t="e">
        <f>IF(AND(AF119&gt;NDC!$C$63,AG119&gt;NDC!$C$65,AH119&gt;NDC!$D$73,AI119&gt;NDC!$D$74,$B119&gt;NDC!$H$22-0.1+MIN(3*$AJ$12,1.5)),0,1)</f>
        <v>#N/A</v>
      </c>
      <c r="AK119" s="86" t="b">
        <f t="shared" si="139"/>
        <v>0</v>
      </c>
      <c r="AL119" s="86">
        <f t="shared" si="170"/>
        <v>0.5</v>
      </c>
      <c r="AM119" s="86">
        <f t="shared" si="140"/>
        <v>0.5</v>
      </c>
      <c r="AN119" s="30" t="e">
        <f t="shared" ca="1" si="171"/>
        <v>#DIV/0!</v>
      </c>
      <c r="AO119" s="85" t="e">
        <f ca="1">IF(U119&lt;=Hypothèses!$V$7,Hypothèses!$W$7,IF(U119&lt;=Hypothèses!$V$8,Hypothèses!$W$8,IF(U119&lt;=Hypothèses!$V$9,Hypothèses!$W$9,IF(U119&lt;=Hypothèses!$V$10,Hypothèses!$W$10,IF(U119&lt;=Hypothèses!$V$11,Hypothèses!$W$11,IF(U119&lt;=Hypothèses!$V$12,Hypothèses!$W$12,IF(U119&lt;=Hypothèses!$V$13,Hypothèses!$W$13,IF(U119&lt;=Hypothèses!$V$14,Hypothèses!$W$14,IF(U119&lt;=Hypothèses!$V$15,Hypothèses!$W$15,IF(U119&lt;=Hypothèses!$V$16,Hypothèses!$W$16,IF(U119&lt;=Hypothèses!$V$17,Hypothèses!$W$17,IF(U119&lt;=Hypothèses!$V$18,Hypothèses!$W$18,""))))))))))))</f>
        <v>#DIV/0!</v>
      </c>
      <c r="AP119" s="87" t="e">
        <f t="shared" ca="1" si="217"/>
        <v>#DIV/0!</v>
      </c>
      <c r="AQ119" s="88" t="e">
        <f ca="1">IF(U119&lt;=Hypothèses!$V$7,Hypothèses!$X$7,IF(U119&lt;=Hypothèses!$V$8,Hypothèses!$X$8,IF(U119&lt;=Hypothèses!$V$9,Hypothèses!$X$9,IF(U119&lt;=Hypothèses!$V$10,Hypothèses!$X$10,IF(U119&lt;=Hypothèses!$V$11,Hypothèses!$X$11,IF(U119&lt;=Hypothèses!$V$12,Hypothèses!$X$12,IF(U119&lt;=Hypothèses!$V$13,Hypothèses!$X$13,IF(U119&lt;=Hypothèses!$V$14,Hypothèses!$X$14,IF(U119&lt;=Hypothèses!$V$15,Hypothèses!$X$15,IF(U119&lt;=Hypothèses!$V$16,Hypothèses!$X$16,IF(U119&lt;=Hypothèses!$U$17,Hypothèses!$W$17,IF(U119&lt;=Hypothèses!$U$18,Hypothèses!$W$18,""))))))))))))</f>
        <v>#DIV/0!</v>
      </c>
      <c r="AR119" s="95" t="e">
        <f t="shared" ca="1" si="172"/>
        <v>#DIV/0!</v>
      </c>
      <c r="AS119" s="101">
        <f t="shared" si="224"/>
        <v>0</v>
      </c>
      <c r="AT119" s="91">
        <f t="shared" si="141"/>
        <v>0</v>
      </c>
      <c r="AU119" s="30" t="e">
        <f t="shared" si="202"/>
        <v>#N/A</v>
      </c>
      <c r="AV119" s="30" t="e">
        <f t="shared" si="203"/>
        <v>#N/A</v>
      </c>
      <c r="AW119" s="31" t="e">
        <f>IF(OR(Hypothèses!$B$4=17,Hypothèses!$B$4=18,Hypothèses!$B$4=19,Hypothèses!$B$4=20),
IF($D119="Pressio.",
IF(OR($E119=3,$E119=1,$E119=4),AV119,AU119),
IF($D119="Pénétro.",
IF(OR($E119=3,$E119=1,$E119=4),AV119,AU119))),IF($D119="Pressio.",
IF($E119=3,AV119,AU119),
IF($D119="Pénétro.",
IF($E119=4,AV119,AU119))))</f>
        <v>#N/A</v>
      </c>
      <c r="AX119" s="31">
        <v>0</v>
      </c>
      <c r="AY119" s="102" t="e">
        <f>IF(NDC!$H$10="Oui",(VLOOKUP($B$3,'Coeff EC7'!$T$39:$X$59,2,0)*AW119+VLOOKUP($B$3,'Coeff EC7'!$T$65:$X$85,2,0)*Model0.1T!AX119)/1.5,PI()*AU$12*$Q119*($B119-$B118)*0.15/10+AY118)</f>
        <v>#N/A</v>
      </c>
      <c r="AZ119" s="102" t="e">
        <f>(VLOOKUP($B$3,'Coeff EC7'!$T$39:$X$59,3,0)*AW119+VLOOKUP($B$3,'Coeff EC7'!$T$65:$X$85,3,0)*Model0.1T!AX119)/1.1</f>
        <v>#N/A</v>
      </c>
      <c r="BA119" s="102" t="e">
        <f t="shared" si="173"/>
        <v>#N/A</v>
      </c>
      <c r="BB119" s="102" t="e">
        <f t="shared" si="174"/>
        <v>#N/A</v>
      </c>
      <c r="BC119" s="414" t="e">
        <f>IF(AND(AY119&gt;NDC!$C$63,AZ119&gt;NDC!$C$65,BA119&gt;NDC!$D$73,BB119&gt;NDC!$D$74,$B119&gt;NDC!$H$22-0.1+MIN(3*BC$12,1.5)),0,1)</f>
        <v>#N/A</v>
      </c>
      <c r="BD119" s="86" t="b">
        <f t="shared" si="142"/>
        <v>0</v>
      </c>
      <c r="BE119" s="86">
        <f t="shared" si="175"/>
        <v>0.5</v>
      </c>
      <c r="BF119" s="86">
        <f t="shared" si="143"/>
        <v>0.5</v>
      </c>
      <c r="BG119" s="30" t="e">
        <f t="shared" ca="1" si="176"/>
        <v>#DIV/0!</v>
      </c>
      <c r="BH119" s="85" t="e">
        <f ca="1">IF(AN119&lt;=Hypothèses!$V$7,Hypothèses!$W$7,IF(AN119&lt;=Hypothèses!$V$8,Hypothèses!$W$8,IF(AN119&lt;=Hypothèses!$V$9,Hypothèses!$W$9,IF(AN119&lt;=Hypothèses!$V$10,Hypothèses!$W$10,IF(AN119&lt;=Hypothèses!$V$11,Hypothèses!$W$11,IF(AN119&lt;=Hypothèses!$V$12,Hypothèses!$W$12,IF(AN119&lt;=Hypothèses!$V$13,Hypothèses!$W$13,IF(AN119&lt;=Hypothèses!$V$14,Hypothèses!$W$14,IF(AN119&lt;=Hypothèses!$V$15,Hypothèses!$W$15,IF(AN119&lt;=Hypothèses!$V$16,Hypothèses!$W$16,IF(AN119&lt;=Hypothèses!$V$17,Hypothèses!$W$17,IF(AN119&lt;=Hypothèses!$V$18,Hypothèses!$W$18,""))))))))))))</f>
        <v>#DIV/0!</v>
      </c>
      <c r="BI119" s="87" t="e">
        <f t="shared" ca="1" si="218"/>
        <v>#DIV/0!</v>
      </c>
      <c r="BJ119" s="88" t="e">
        <f ca="1">IF(AN119&lt;=Hypothèses!$V$7,Hypothèses!$X$7,IF(AN119&lt;=Hypothèses!$V$8,Hypothèses!$X$8,IF(AN119&lt;=Hypothèses!$V$9,Hypothèses!$X$9,IF(AN119&lt;=Hypothèses!$V$10,Hypothèses!$X$10,IF(AN119&lt;=Hypothèses!$V$11,Hypothèses!$X$11,IF(AN119&lt;=Hypothèses!$V$12,Hypothèses!$X$12,IF(AN119&lt;=Hypothèses!$V$13,Hypothèses!$X$13,IF(AN119&lt;=Hypothèses!$V$14,Hypothèses!$X$14,IF(AN119&lt;=Hypothèses!$V$15,Hypothèses!$X$15,IF(AN119&lt;=Hypothèses!$V$16,Hypothèses!$X$16,IF(AN119&lt;=Hypothèses!$U$17,Hypothèses!$W$17,IF(AN119&lt;=Hypothèses!$U$18,Hypothèses!$W$18,""))))))))))))</f>
        <v>#DIV/0!</v>
      </c>
      <c r="BK119" s="95" t="e">
        <f t="shared" ca="1" si="177"/>
        <v>#DIV/0!</v>
      </c>
      <c r="BL119" s="101">
        <f t="shared" si="225"/>
        <v>0</v>
      </c>
      <c r="BM119" s="91">
        <f t="shared" si="144"/>
        <v>0</v>
      </c>
      <c r="BN119" s="30" t="e">
        <f t="shared" si="204"/>
        <v>#N/A</v>
      </c>
      <c r="BO119" s="30" t="e">
        <f t="shared" si="205"/>
        <v>#N/A</v>
      </c>
      <c r="BP119" s="31" t="e">
        <f>IF(OR(Hypothèses!$B$4=17,Hypothèses!$B$4=18,Hypothèses!$B$4=19,Hypothèses!$B$4=20),
IF($D119="Pressio.",
IF(OR($E119=3,$E119=1,$E119=4),BO119,BN119),
IF($D119="Pénétro.",
IF(OR($E119=3,$E119=1,$E119=4),BO119,BN119))),IF($D119="Pressio.",
IF($E119=3,BO119,BN119),
IF($D119="Pénétro.",
IF($E119=4,BO119,BN119))))</f>
        <v>#N/A</v>
      </c>
      <c r="BQ119" s="31">
        <v>0</v>
      </c>
      <c r="BR119" s="102" t="e">
        <f>IF(NDC!$H$10="Oui",(VLOOKUP($B$3,'Coeff EC7'!$T$39:$X$59,2,0)*BP119+VLOOKUP($B$3,'Coeff EC7'!$T$65:$X$85,2,0)*Model0.1T!BQ119)/1.5,PI()*BN$12*$Q119*($B119-$B118)*0.15/10+BR118)</f>
        <v>#N/A</v>
      </c>
      <c r="BS119" s="102" t="e">
        <f>(VLOOKUP($B$3,'Coeff EC7'!$T$39:$X$59,3,0)*BP119+VLOOKUP($B$3,'Coeff EC7'!$T$65:$X$85,3,0)*Model0.1T!BQ119)/1.1</f>
        <v>#N/A</v>
      </c>
      <c r="BT119" s="102" t="e">
        <f t="shared" si="178"/>
        <v>#N/A</v>
      </c>
      <c r="BU119" s="102" t="e">
        <f t="shared" si="179"/>
        <v>#N/A</v>
      </c>
      <c r="BV119" s="414" t="e">
        <f>IF(AND(BR119&gt;NDC!$C$63,BS119&gt;NDC!$C$65,BT119&gt;NDC!$D$73,BU119&gt;NDC!$D$74,$B119&gt;NDC!$H$22-0.1+MIN(3*BV$12,1.5)),0,1)</f>
        <v>#N/A</v>
      </c>
      <c r="BW119" s="86" t="b">
        <f t="shared" si="145"/>
        <v>0</v>
      </c>
      <c r="BX119" s="86">
        <f t="shared" si="146"/>
        <v>0.5</v>
      </c>
      <c r="BY119" s="86">
        <f t="shared" si="147"/>
        <v>0.5</v>
      </c>
      <c r="BZ119" s="30" t="e">
        <f t="shared" ca="1" si="180"/>
        <v>#DIV/0!</v>
      </c>
      <c r="CA119" s="85" t="e">
        <f ca="1">IF(BG119&lt;=Hypothèses!$V$7,Hypothèses!$W$7,IF(BG119&lt;=Hypothèses!$V$8,Hypothèses!$W$8,IF(BG119&lt;=Hypothèses!$V$9,Hypothèses!$W$9,IF(BG119&lt;=Hypothèses!$V$10,Hypothèses!$W$10,IF(BG119&lt;=Hypothèses!$V$11,Hypothèses!$W$11,IF(BG119&lt;=Hypothèses!$V$12,Hypothèses!$W$12,IF(BG119&lt;=Hypothèses!$V$13,Hypothèses!$W$13,IF(BG119&lt;=Hypothèses!$V$14,Hypothèses!$W$14,IF(BG119&lt;=Hypothèses!$V$15,Hypothèses!$W$15,IF(BG119&lt;=Hypothèses!$V$16,Hypothèses!$W$16,IF(BG119&lt;=Hypothèses!$V$17,Hypothèses!$W$17,IF(BG119&lt;=Hypothèses!$V$18,Hypothèses!$W$18,""))))))))))))</f>
        <v>#DIV/0!</v>
      </c>
      <c r="CB119" s="87" t="e">
        <f t="shared" ca="1" si="219"/>
        <v>#DIV/0!</v>
      </c>
      <c r="CC119" s="88" t="e">
        <f ca="1">IF(BG119&lt;=Hypothèses!$V$7,Hypothèses!$X$7,IF(BG119&lt;=Hypothèses!$V$8,Hypothèses!$X$8,IF(BG119&lt;=Hypothèses!$V$9,Hypothèses!$X$9,IF(BG119&lt;=Hypothèses!$V$10,Hypothèses!$X$10,IF(BG119&lt;=Hypothèses!$V$11,Hypothèses!$X$11,IF(BG119&lt;=Hypothèses!$V$12,Hypothèses!$X$12,IF(BG119&lt;=Hypothèses!$V$13,Hypothèses!$X$13,IF(BG119&lt;=Hypothèses!$V$14,Hypothèses!$X$14,IF(BG119&lt;=Hypothèses!$V$15,Hypothèses!$X$15,IF(BG119&lt;=Hypothèses!$V$16,Hypothèses!$X$16,IF(BG119&lt;=Hypothèses!$U$17,Hypothèses!$W$17,IF(BG119&lt;=Hypothèses!$U$18,Hypothèses!$W$18,""))))))))))))</f>
        <v>#DIV/0!</v>
      </c>
      <c r="CD119" s="95" t="e">
        <f t="shared" ca="1" si="181"/>
        <v>#DIV/0!</v>
      </c>
      <c r="CE119" s="101">
        <f t="shared" si="226"/>
        <v>0</v>
      </c>
      <c r="CF119" s="91">
        <f t="shared" si="148"/>
        <v>0</v>
      </c>
      <c r="CG119" s="30" t="e">
        <f t="shared" si="206"/>
        <v>#N/A</v>
      </c>
      <c r="CH119" s="30" t="e">
        <f t="shared" si="207"/>
        <v>#N/A</v>
      </c>
      <c r="CI119" s="31" t="e">
        <f>IF(OR(Hypothèses!$B$4=17,Hypothèses!$B$4=18,Hypothèses!$B$4=19,Hypothèses!$B$4=20),
IF($D119="Pressio.",
IF(OR($E119=3,$E119=1,$E119=4),CH119,CG119),
IF($D119="Pénétro.",
IF(OR($E119=3,$E119=1,$E119=4),CH119,CG119))),IF($D119="Pressio.",
IF($E119=3,CH119,CG119),
IF($D119="Pénétro.",
IF($E119=4,CH119,CG119))))</f>
        <v>#N/A</v>
      </c>
      <c r="CJ119" s="31">
        <v>0</v>
      </c>
      <c r="CK119" s="102" t="e">
        <f>IF(NDC!$H$10="Oui",(VLOOKUP($B$3,'Coeff EC7'!$T$39:$X$59,2,0)*CI119+VLOOKUP($B$3,'Coeff EC7'!$T$65:$X$85,2,0)*Model0.1T!CJ119)/1.5,PI()*CG$12*$Q119*($B119-$B118)*0.15/10+CK118)</f>
        <v>#N/A</v>
      </c>
      <c r="CL119" s="102" t="e">
        <f>(VLOOKUP($B$3,'Coeff EC7'!$T$39:$X$59,3,0)*CI119+VLOOKUP($B$3,'Coeff EC7'!$T$65:$X$85,3,0)*Model0.1T!CJ119)/1.1</f>
        <v>#N/A</v>
      </c>
      <c r="CM119" s="102" t="e">
        <f t="shared" si="182"/>
        <v>#N/A</v>
      </c>
      <c r="CN119" s="102" t="e">
        <f t="shared" si="183"/>
        <v>#N/A</v>
      </c>
      <c r="CO119" s="414" t="e">
        <f>IF(AND(CK119&gt;NDC!$C$63,CL119&gt;NDC!$C$65,CM119&gt;NDC!$D$73,CN119&gt;NDC!$D$74,$B119&gt;NDC!$H$22-0.1+MIN(3*CO$12,1.5)),0,1)</f>
        <v>#N/A</v>
      </c>
      <c r="CP119" s="86" t="b">
        <f t="shared" si="149"/>
        <v>0</v>
      </c>
      <c r="CQ119" s="86">
        <f t="shared" si="150"/>
        <v>0.5</v>
      </c>
      <c r="CR119" s="86">
        <f t="shared" si="151"/>
        <v>0.5</v>
      </c>
      <c r="CS119" s="30" t="e">
        <f t="shared" ca="1" si="184"/>
        <v>#DIV/0!</v>
      </c>
      <c r="CT119" s="85" t="e">
        <f ca="1">IF(BZ119&lt;=Hypothèses!$V$7,Hypothèses!$W$7,IF(BZ119&lt;=Hypothèses!$V$8,Hypothèses!$W$8,IF(BZ119&lt;=Hypothèses!$V$9,Hypothèses!$W$9,IF(BZ119&lt;=Hypothèses!$V$10,Hypothèses!$W$10,IF(BZ119&lt;=Hypothèses!$V$11,Hypothèses!$W$11,IF(BZ119&lt;=Hypothèses!$V$12,Hypothèses!$W$12,IF(BZ119&lt;=Hypothèses!$V$13,Hypothèses!$W$13,IF(BZ119&lt;=Hypothèses!$V$14,Hypothèses!$W$14,IF(BZ119&lt;=Hypothèses!$V$15,Hypothèses!$W$15,IF(BZ119&lt;=Hypothèses!$V$16,Hypothèses!$W$16,IF(BZ119&lt;=Hypothèses!$V$17,Hypothèses!$W$17,IF(BZ119&lt;=Hypothèses!$V$18,Hypothèses!$W$18,""))))))))))))</f>
        <v>#DIV/0!</v>
      </c>
      <c r="CU119" s="87" t="e">
        <f t="shared" ca="1" si="220"/>
        <v>#DIV/0!</v>
      </c>
      <c r="CV119" s="88" t="e">
        <f ca="1">IF(BZ119&lt;=Hypothèses!$V$7,Hypothèses!$X$7,IF(BZ119&lt;=Hypothèses!$V$8,Hypothèses!$X$8,IF(BZ119&lt;=Hypothèses!$V$9,Hypothèses!$X$9,IF(BZ119&lt;=Hypothèses!$V$10,Hypothèses!$X$10,IF(BZ119&lt;=Hypothèses!$V$11,Hypothèses!$X$11,IF(BZ119&lt;=Hypothèses!$V$12,Hypothèses!$X$12,IF(BZ119&lt;=Hypothèses!$V$13,Hypothèses!$X$13,IF(BZ119&lt;=Hypothèses!$V$14,Hypothèses!$X$14,IF(BZ119&lt;=Hypothèses!$V$15,Hypothèses!$X$15,IF(BZ119&lt;=Hypothèses!$V$16,Hypothèses!$X$16,IF(BZ119&lt;=Hypothèses!$U$17,Hypothèses!$W$17,IF(BZ119&lt;=Hypothèses!$U$18,Hypothèses!$W$18,""))))))))))))</f>
        <v>#DIV/0!</v>
      </c>
      <c r="CW119" s="95" t="e">
        <f t="shared" ca="1" si="185"/>
        <v>#DIV/0!</v>
      </c>
      <c r="CX119" s="101">
        <f t="shared" si="227"/>
        <v>0</v>
      </c>
      <c r="CY119" s="91">
        <f t="shared" si="152"/>
        <v>0</v>
      </c>
      <c r="CZ119" s="30" t="e">
        <f t="shared" si="208"/>
        <v>#N/A</v>
      </c>
      <c r="DA119" s="30" t="e">
        <f t="shared" si="209"/>
        <v>#N/A</v>
      </c>
      <c r="DB119" s="31" t="e">
        <f>IF(OR(Hypothèses!$B$4=17,Hypothèses!$B$4=18,Hypothèses!$B$4=19,Hypothèses!$B$4=20),
IF($D119="Pressio.",
IF(OR($E119=3,$E119=1,$E119=4),DA119,CZ119),
IF($D119="Pénétro.",
IF(OR($E119=3,$E119=1,$E119=4),DA119,CZ119))),IF($D119="Pressio.",
IF($E119=3,DA119,CZ119),
IF($D119="Pénétro.",
IF($E119=4,DA119,CZ119))))</f>
        <v>#N/A</v>
      </c>
      <c r="DC119" s="31">
        <v>0</v>
      </c>
      <c r="DD119" s="102" t="e">
        <f>IF(NDC!$H$10="Oui",(VLOOKUP($B$3,'Coeff EC7'!$T$39:$X$59,2,0)*DB119+VLOOKUP($B$3,'Coeff EC7'!$T$65:$X$85,2,0)*Model0.1T!DC119)/1.5,PI()*CZ$12*$Q119*($B119-$B118)*0.15/10+DD118)</f>
        <v>#N/A</v>
      </c>
      <c r="DE119" s="102" t="e">
        <f>(VLOOKUP($B$3,'Coeff EC7'!$T$39:$X$59,3,0)*DB119+VLOOKUP($B$3,'Coeff EC7'!$T$65:$X$85,3,0)*Model0.1T!DC119)/1.1</f>
        <v>#N/A</v>
      </c>
      <c r="DF119" s="102" t="e">
        <f t="shared" si="186"/>
        <v>#N/A</v>
      </c>
      <c r="DG119" s="102" t="e">
        <f t="shared" si="187"/>
        <v>#N/A</v>
      </c>
      <c r="DH119" s="414" t="e">
        <f>IF(AND(DD119&gt;NDC!$C$63,DE119&gt;NDC!$C$65,DF119&gt;NDC!$D$73,DG119&gt;NDC!$D$74,$B119&gt;NDC!$H$22-0.1+MIN(3*DH$12,1.5)),0,1)</f>
        <v>#N/A</v>
      </c>
      <c r="DI119" s="86" t="b">
        <f t="shared" si="153"/>
        <v>0</v>
      </c>
      <c r="DJ119" s="86">
        <f t="shared" si="154"/>
        <v>0.5</v>
      </c>
      <c r="DK119" s="86">
        <f t="shared" si="155"/>
        <v>0.5</v>
      </c>
      <c r="DL119" s="30" t="e">
        <f t="shared" ca="1" si="188"/>
        <v>#DIV/0!</v>
      </c>
      <c r="DM119" s="85" t="e">
        <f ca="1">IF(CS119&lt;=Hypothèses!$V$7,Hypothèses!$W$7,IF(CS119&lt;=Hypothèses!$V$8,Hypothèses!$W$8,IF(CS119&lt;=Hypothèses!$V$9,Hypothèses!$W$9,IF(CS119&lt;=Hypothèses!$V$10,Hypothèses!$W$10,IF(CS119&lt;=Hypothèses!$V$11,Hypothèses!$W$11,IF(CS119&lt;=Hypothèses!$V$12,Hypothèses!$W$12,IF(CS119&lt;=Hypothèses!$V$13,Hypothèses!$W$13,IF(CS119&lt;=Hypothèses!$V$14,Hypothèses!$W$14,IF(CS119&lt;=Hypothèses!$V$15,Hypothèses!$W$15,IF(CS119&lt;=Hypothèses!$V$16,Hypothèses!$W$16,IF(CS119&lt;=Hypothèses!$V$17,Hypothèses!$W$17,IF(CS119&lt;=Hypothèses!$V$18,Hypothèses!$W$18,""))))))))))))</f>
        <v>#DIV/0!</v>
      </c>
      <c r="DN119" s="87" t="e">
        <f t="shared" ca="1" si="221"/>
        <v>#DIV/0!</v>
      </c>
      <c r="DO119" s="88" t="e">
        <f ca="1">IF(CS119&lt;=Hypothèses!$V$7,Hypothèses!$X$7,IF(CS119&lt;=Hypothèses!$V$8,Hypothèses!$X$8,IF(CS119&lt;=Hypothèses!$V$9,Hypothèses!$X$9,IF(CS119&lt;=Hypothèses!$V$10,Hypothèses!$X$10,IF(CS119&lt;=Hypothèses!$V$11,Hypothèses!$X$11,IF(CS119&lt;=Hypothèses!$V$12,Hypothèses!$X$12,IF(CS119&lt;=Hypothèses!$V$13,Hypothèses!$X$13,IF(CS119&lt;=Hypothèses!$V$14,Hypothèses!$X$14,IF(CS119&lt;=Hypothèses!$V$15,Hypothèses!$X$15,IF(CS119&lt;=Hypothèses!$V$16,Hypothèses!$X$16,IF(CS119&lt;=Hypothèses!$U$17,Hypothèses!$W$17,IF(CS119&lt;=Hypothèses!$U$18,Hypothèses!$W$18,""))))))))))))</f>
        <v>#DIV/0!</v>
      </c>
      <c r="DP119" s="95" t="e">
        <f t="shared" ca="1" si="189"/>
        <v>#DIV/0!</v>
      </c>
      <c r="DQ119" s="101">
        <f t="shared" si="228"/>
        <v>0</v>
      </c>
      <c r="DR119" s="91">
        <f t="shared" si="156"/>
        <v>0</v>
      </c>
      <c r="DS119" s="30" t="e">
        <f t="shared" si="210"/>
        <v>#N/A</v>
      </c>
      <c r="DT119" s="30" t="e">
        <f t="shared" si="211"/>
        <v>#N/A</v>
      </c>
      <c r="DU119" s="31" t="e">
        <f>IF(OR(Hypothèses!$B$4=17,Hypothèses!$B$4=18,Hypothèses!$B$4=19,Hypothèses!$B$4=20),
IF($D119="Pressio.",
IF(OR($E119=3,$E119=1,$E119=4),DT119,DS119),
IF($D119="Pénétro.",
IF(OR($E119=3,$E119=1,$E119=4),DT119,DS119))),IF($D119="Pressio.",
IF($E119=3,DT119,DS119),
IF($D119="Pénétro.",
IF($E119=4,DT119,DS119))))</f>
        <v>#N/A</v>
      </c>
      <c r="DV119" s="31">
        <v>0</v>
      </c>
      <c r="DW119" s="102" t="e">
        <f>IF(NDC!$H$10="Oui",(VLOOKUP($B$3,'Coeff EC7'!$T$39:$X$59,2,0)*DU119+VLOOKUP($B$3,'Coeff EC7'!$T$65:$X$85,2,0)*Model0.1T!DV119)/1.5,PI()*DS$12*$Q119*($B119-$B118)*0.15/10+DW118)</f>
        <v>#N/A</v>
      </c>
      <c r="DX119" s="102" t="e">
        <f>(VLOOKUP($B$3,'Coeff EC7'!$T$39:$X$59,3,0)*DU119+VLOOKUP($B$3,'Coeff EC7'!$T$65:$X$85,3,0)*Model0.1T!DV119)/1.1</f>
        <v>#N/A</v>
      </c>
      <c r="DY119" s="102" t="e">
        <f t="shared" si="190"/>
        <v>#N/A</v>
      </c>
      <c r="DZ119" s="102" t="e">
        <f t="shared" si="191"/>
        <v>#N/A</v>
      </c>
      <c r="EA119" s="414" t="e">
        <f>IF(AND(DW119&gt;NDC!$C$63,DX119&gt;NDC!$C$65,DY119&gt;NDC!$D$73,DZ119&gt;NDC!$D$74,$B119&gt;NDC!$H$22-0.1+MIN(3*EA$12,1.5)),0,1)</f>
        <v>#N/A</v>
      </c>
      <c r="EB119" s="86" t="b">
        <f t="shared" si="157"/>
        <v>0</v>
      </c>
      <c r="EC119" s="418">
        <f t="shared" si="158"/>
        <v>0.51</v>
      </c>
      <c r="ED119" s="86">
        <f t="shared" si="159"/>
        <v>0.51</v>
      </c>
      <c r="EE119" s="30" t="e">
        <f t="shared" ca="1" si="192"/>
        <v>#DIV/0!</v>
      </c>
      <c r="EF119" s="85" t="e">
        <f ca="1">IF(DL119&lt;=Hypothèses!$V$7,Hypothèses!$W$7,IF(DL119&lt;=Hypothèses!$V$8,Hypothèses!$W$8,IF(DL119&lt;=Hypothèses!$V$9,Hypothèses!$W$9,IF(DL119&lt;=Hypothèses!$V$10,Hypothèses!$W$10,IF(DL119&lt;=Hypothèses!$V$11,Hypothèses!$W$11,IF(DL119&lt;=Hypothèses!$V$12,Hypothèses!$W$12,IF(DL119&lt;=Hypothèses!$V$13,Hypothèses!$W$13,IF(DL119&lt;=Hypothèses!$V$14,Hypothèses!$W$14,IF(DL119&lt;=Hypothèses!$V$15,Hypothèses!$W$15,IF(DL119&lt;=Hypothèses!$V$16,Hypothèses!$W$16,IF(DL119&lt;=Hypothèses!$V$17,Hypothèses!$W$17,IF(DL119&lt;=Hypothèses!$V$18,Hypothèses!$W$18,""))))))))))))</f>
        <v>#DIV/0!</v>
      </c>
      <c r="EG119" s="87" t="e">
        <f t="shared" ca="1" si="222"/>
        <v>#DIV/0!</v>
      </c>
      <c r="EH119" s="88" t="e">
        <f ca="1">IF(DL119&lt;=Hypothèses!$V$7,Hypothèses!$X$7,IF(DL119&lt;=Hypothèses!$V$8,Hypothèses!$X$8,IF(DL119&lt;=Hypothèses!$V$9,Hypothèses!$X$9,IF(DL119&lt;=Hypothèses!$V$10,Hypothèses!$X$10,IF(DL119&lt;=Hypothèses!$V$11,Hypothèses!$X$11,IF(DL119&lt;=Hypothèses!$V$12,Hypothèses!$X$12,IF(DL119&lt;=Hypothèses!$V$13,Hypothèses!$X$13,IF(DL119&lt;=Hypothèses!$V$14,Hypothèses!$X$14,IF(DL119&lt;=Hypothèses!$V$15,Hypothèses!$X$15,IF(DL119&lt;=Hypothèses!$V$16,Hypothèses!$X$16,IF(DL119&lt;=Hypothèses!$U$17,Hypothèses!$W$17,IF(DL119&lt;=Hypothèses!$U$18,Hypothèses!$W$18,""))))))))))))</f>
        <v>#DIV/0!</v>
      </c>
      <c r="EI119" s="95" t="e">
        <f t="shared" ca="1" si="193"/>
        <v>#DIV/0!</v>
      </c>
      <c r="EJ119" s="101">
        <f t="shared" si="229"/>
        <v>0</v>
      </c>
      <c r="EK119" s="91">
        <f t="shared" si="160"/>
        <v>0</v>
      </c>
      <c r="EL119" s="30" t="e">
        <f t="shared" si="212"/>
        <v>#N/A</v>
      </c>
      <c r="EM119" s="30" t="e">
        <f t="shared" si="213"/>
        <v>#N/A</v>
      </c>
      <c r="EN119" s="31" t="e">
        <f>IF(OR(Hypothèses!$B$4=17,Hypothèses!$B$4=18,Hypothèses!$B$4=19,Hypothèses!$B$4=20),
IF($D119="Pressio.",
IF(OR($E119=3,$E119=1,$E119=4),EM119,EL119),
IF($D119="Pénétro.",
IF(OR($E119=3,$E119=1,$E119=4),EM119,EL119))),IF($D119="Pressio.",
IF($E119=3,EM119,EL119),
IF($D119="Pénétro.",
IF($E119=4,EM119,EL119))))</f>
        <v>#N/A</v>
      </c>
      <c r="EO119" s="31">
        <v>0</v>
      </c>
      <c r="EP119" s="102" t="e">
        <f>IF(NDC!$H$10="Oui",(VLOOKUP($B$3,'Coeff EC7'!$T$39:$X$59,2,0)*EN119+VLOOKUP($B$3,'Coeff EC7'!$T$65:$X$85,2,0)*Model0.1T!EO119)/1.5,PI()*EL$12*$Q119*($B119-$B118)*0.15/10+EP118)</f>
        <v>#N/A</v>
      </c>
      <c r="EQ119" s="102" t="e">
        <f>(VLOOKUP($B$3,'Coeff EC7'!$T$39:$X$59,3,0)*EN119+VLOOKUP($B$3,'Coeff EC7'!$T$65:$X$85,3,0)*Model0.1T!EO119)/1.1</f>
        <v>#N/A</v>
      </c>
      <c r="ER119" s="102" t="e">
        <f t="shared" si="194"/>
        <v>#N/A</v>
      </c>
      <c r="ES119" s="102" t="e">
        <f t="shared" si="195"/>
        <v>#N/A</v>
      </c>
      <c r="ET119" s="414" t="e">
        <f>IF(AND(EP119&gt;NDC!$C$63,EQ119&gt;NDC!$C$65,ER119&gt;NDC!$D$73,ES119&gt;NDC!$D$74,$B119&gt;NDC!$H$22-0.1+MIN(3*ET$12,1.5)),0,1)</f>
        <v>#N/A</v>
      </c>
      <c r="EU119" s="86" t="b">
        <f t="shared" si="161"/>
        <v>0</v>
      </c>
      <c r="EV119" s="86">
        <f t="shared" si="162"/>
        <v>0.61</v>
      </c>
      <c r="EW119" s="86">
        <f t="shared" si="163"/>
        <v>0.61</v>
      </c>
      <c r="EX119" s="30" t="e">
        <f t="shared" ca="1" si="196"/>
        <v>#DIV/0!</v>
      </c>
      <c r="EY119" s="85" t="e">
        <f ca="1">IF(EE119&lt;=Hypothèses!$V$7,Hypothèses!$W$7,IF(EE119&lt;=Hypothèses!$V$8,Hypothèses!$W$8,IF(EE119&lt;=Hypothèses!$V$9,Hypothèses!$W$9,IF(EE119&lt;=Hypothèses!$V$10,Hypothèses!$W$10,IF(EE119&lt;=Hypothèses!$V$11,Hypothèses!$W$11,IF(EE119&lt;=Hypothèses!$V$12,Hypothèses!$W$12,IF(EE119&lt;=Hypothèses!$V$13,Hypothèses!$W$13,IF(EE119&lt;=Hypothèses!$V$14,Hypothèses!$W$14,IF(EE119&lt;=Hypothèses!$V$15,Hypothèses!$W$15,IF(EE119&lt;=Hypothèses!$V$16,Hypothèses!$W$16,IF(EE119&lt;=Hypothèses!$V$17,Hypothèses!$W$17,IF(EE119&lt;=Hypothèses!$V$18,Hypothèses!$W$18,""))))))))))))</f>
        <v>#DIV/0!</v>
      </c>
      <c r="EZ119" s="87" t="e">
        <f t="shared" ca="1" si="223"/>
        <v>#DIV/0!</v>
      </c>
      <c r="FA119" s="88" t="e">
        <f ca="1">IF(EE119&lt;=Hypothèses!$V$7,Hypothèses!$X$7,IF(EE119&lt;=Hypothèses!$V$8,Hypothèses!$X$8,IF(EE119&lt;=Hypothèses!$V$9,Hypothèses!$X$9,IF(EE119&lt;=Hypothèses!$V$10,Hypothèses!$X$10,IF(EE119&lt;=Hypothèses!$V$11,Hypothèses!$X$11,IF(EE119&lt;=Hypothèses!$V$12,Hypothèses!$X$12,IF(EE119&lt;=Hypothèses!$V$13,Hypothèses!$X$13,IF(EE119&lt;=Hypothèses!$V$14,Hypothèses!$X$14,IF(EE119&lt;=Hypothèses!$V$15,Hypothèses!$X$15,IF(EE119&lt;=Hypothèses!$V$16,Hypothèses!$X$16,IF(EE119&lt;=Hypothèses!$U$17,Hypothèses!$W$17,IF(EE119&lt;=Hypothèses!$U$18,Hypothèses!$W$18,""))))))))))))</f>
        <v>#DIV/0!</v>
      </c>
      <c r="FB119" s="95" t="e">
        <f t="shared" ca="1" si="197"/>
        <v>#DIV/0!</v>
      </c>
      <c r="FC119" s="101">
        <f t="shared" si="230"/>
        <v>0</v>
      </c>
      <c r="FD119" s="91">
        <f t="shared" si="164"/>
        <v>0</v>
      </c>
      <c r="FE119" s="30" t="e">
        <f t="shared" si="214"/>
        <v>#N/A</v>
      </c>
      <c r="FF119" s="30" t="e">
        <f t="shared" si="215"/>
        <v>#N/A</v>
      </c>
      <c r="FG119" s="31" t="e">
        <f>IF(OR(Hypothèses!$B$4=17,Hypothèses!$B$4=18,Hypothèses!$B$4=19,Hypothèses!$B$4=20),
IF($D119="Pressio.",
IF(OR($E119=3,$E119=1,$E119=4),FF119,FE119),
IF($D119="Pénétro.",
IF(OR($E119=3,$E119=1,$E119=4),FF119,FE119))),IF($D119="Pressio.",
IF($E119=3,FF119,FE119),
IF($D119="Pénétro.",
IF($E119=4,FF119,FE119))))</f>
        <v>#N/A</v>
      </c>
      <c r="FH119" s="31">
        <v>0</v>
      </c>
      <c r="FI119" s="102" t="e">
        <f>IF(NDC!$H$10="Oui",(VLOOKUP($B$3,'Coeff EC7'!$T$39:$X$59,2,0)*FG119+VLOOKUP($B$3,'Coeff EC7'!$T$65:$X$85,2,0)*Model0.1T!FH119)/1.5,PI()*FE$12*$Q119*($B119-$B118)*0.15/10+FI118)</f>
        <v>#N/A</v>
      </c>
      <c r="FJ119" s="102" t="e">
        <f>(VLOOKUP($B$3,'Coeff EC7'!$T$39:$X$59,3,0)*FG119+VLOOKUP($B$3,'Coeff EC7'!$T$65:$X$85,3,0)*Model0.1T!FH119)/1.1</f>
        <v>#N/A</v>
      </c>
      <c r="FK119" s="102" t="e">
        <f t="shared" si="198"/>
        <v>#N/A</v>
      </c>
      <c r="FL119" s="102" t="e">
        <f t="shared" si="199"/>
        <v>#N/A</v>
      </c>
      <c r="FM119" s="414" t="e">
        <f>IF(AND(FI119&gt;NDC!$C$63,FJ119&gt;NDC!$C$65,FK119&gt;NDC!$D$73,FL119&gt;NDC!$D$74,$B119&gt;NDC!$H$22-0.1+MIN(3*FM$12,1.5)),0,1)</f>
        <v>#N/A</v>
      </c>
    </row>
    <row r="120" spans="1:169">
      <c r="A120" s="96">
        <f t="shared" si="165"/>
        <v>89.300000000000608</v>
      </c>
      <c r="B120" s="97">
        <v>10.7</v>
      </c>
      <c r="C120" s="81">
        <f>IF(B120&lt;=Hypothèses!$C$7,Hypothèses!$A$7,IF(B120&lt;=Hypothèses!$C$8,Hypothèses!$A$8,IF(B120&lt;=Hypothèses!$C$9,Hypothèses!$A$9,IF(B120&lt;=Hypothèses!$C$10,Hypothèses!$A$10,IF(B120&lt;=Hypothèses!$C$11,Hypothèses!$A$11,IF(B120&lt;=Hypothèses!$C$12,Hypothèses!$A$12,IF(B120&lt;=Hypothèses!$C$13,Hypothèses!$A$13,IF(B120&lt;=Hypothèses!$C$14,Hypothèses!$A$14,IF(B120&lt;=Hypothèses!$C$15,Hypothèses!$A$15,IF(B120&lt;=Hypothèses!$C$16,Hypothèses!$A$16,IF(B120&lt;=Hypothèses!$C$17,Hypothèses!$A$17,IF(B120&lt;=Hypothèses!$C$18,Hypothèses!$A$18,C119))))))))))))</f>
        <v>11</v>
      </c>
      <c r="D120" s="82" t="str">
        <f>IF(B120&lt;=Hypothèses!$C$7,Hypothèses!$R$7,IF(B120&lt;=Hypothèses!$C$8,Hypothèses!$R$8,IF(B120&lt;=Hypothèses!$C$9,Hypothèses!$R$9,IF(B120&lt;=Hypothèses!$C$10,Hypothèses!$R$10,IF(B120&lt;=Hypothèses!$C$11,Hypothèses!$R$11,IF(B120&lt;=Hypothèses!$C$12,Hypothèses!$R$12,IF(B120&lt;=Hypothèses!$C$13,Hypothèses!$R$13,IF(B120&lt;=Hypothèses!$C$14,Hypothèses!$R$14,IF(B120&lt;=Hypothèses!$C$15,Hypothèses!$R$15,IF(B120&lt;=Hypothèses!$C$16,Hypothèses!$R$16,IF(B120&lt;=Hypothèses!$C$17,Hypothèses!$R$17,IF(B120&lt;=Hypothèses!$C$18,Hypothèses!$R$18,D119))))))))))))</f>
        <v>Pressio.</v>
      </c>
      <c r="E120" s="82" t="e">
        <f>IF(B120&lt;=Hypothèses!$C$7,Hypothèses!$G$7,IF(B120&lt;=Hypothèses!$C$8,Hypothèses!$G$8,IF(B120&lt;=Hypothèses!$C$9,Hypothèses!$G$9,IF(B120&lt;=Hypothèses!$C$10,Hypothèses!$G$10,IF(B120&lt;=Hypothèses!$C$11,Hypothèses!$G$11,IF(B120&lt;=Hypothèses!$C$12,Hypothèses!$G$12,IF(B120&lt;=Hypothèses!$C$13,Hypothèses!$G$13,IF(B120&lt;=Hypothèses!$C$14,Hypothèses!$G$14,IF(B120&lt;=Hypothèses!$C$15,Hypothèses!$G$15,IF(B120&lt;=Hypothèses!$C$16,Hypothèses!$G$16,IF(B120&lt;=Hypothèses!$C$17,Hypothèses!$G$17,IF(B120&lt;=Hypothèses!$C$18,Hypothèses!$G$18,E119))))))))))))</f>
        <v>#N/A</v>
      </c>
      <c r="F120" s="82" t="str">
        <f>IF(B120&lt;=Hypothèses!$C$7,Hypothèses!$F$7,IF(B120&lt;=Hypothèses!$C$8,Hypothèses!$F$8,IF(B120&lt;=Hypothèses!$C$9,Hypothèses!$F$9,IF(B120&lt;=Hypothèses!$C$10,Hypothèses!$F$10,IF(B120&lt;=Hypothèses!$C$11,Hypothèses!$F$11,IF(B120&lt;=Hypothèses!$C$12,Hypothèses!$F$12,IF(B120&lt;=Hypothèses!$C$13,Hypothèses!$F$13,IF(B120&lt;=Hypothèses!$C$14,Hypothèses!$F$14,IF(B120&lt;=Hypothèses!$C$15,Hypothèses!$F$15,IF(B120&lt;=Hypothèses!$C$16,Hypothèses!$F$16,IF(B120&lt;=Hypothèses!$C$17,Hypothèses!$F$17,IF(B120&lt;=Hypothèses!$C$18,Hypothèses!$F$18,F119))))))))))))</f>
        <v/>
      </c>
      <c r="G120" s="91">
        <f t="array" ref="G120">INDEX('Coeff EC7'!$U$7:$X$27,
MATCH(Model0.1T!$B$3,'Coeff EC7'!$T$7:$T$27,0),
MATCH(Model0.1T!$D120&amp;Model0.1T!$B$4,
'Coeff EC7'!$U$6:$X$6&amp;
'Coeff EC7'!$U$5:$X$5,0))</f>
        <v>1.4</v>
      </c>
      <c r="H120" s="91">
        <f t="array" ref="H120">INDEX('Coeff EC7'!$Y$7:$AB$27,
MATCH(Model0.1T!$B$3,'Coeff EC7'!$T$7:$T$27,0),
MATCH(Model0.1T!$D120&amp;Model0.1T!$B$4,
'Coeff EC7'!$Y$6:$AB$6&amp;
'Coeff EC7'!$Y$5:$AB$5,0))</f>
        <v>1.7</v>
      </c>
      <c r="I120" s="83">
        <v>0</v>
      </c>
      <c r="J120" s="91" t="e">
        <f t="array" ref="J120">INDEX('Coeff EC7'!$D$33:$Q$33,1,MATCH(D120&amp;E120,'Coeff EC7'!$D$31:$Q$31&amp;'Coeff EC7'!$D$32:$Q$32,0))</f>
        <v>#N/A</v>
      </c>
      <c r="K120" s="91" t="e">
        <f t="array" ref="K120">INDEX('Coeff EC7'!$D$34:$Q$34,1,MATCH(D120&amp;E120,'Coeff EC7'!$D$31:$Q$31&amp;'Coeff EC7'!$D$32:$Q$32,0))</f>
        <v>#N/A</v>
      </c>
      <c r="L120" s="91" t="e">
        <f t="array" ref="L120">INDEX('Coeff EC7'!$D$35:$Q$35,1,MATCH(D120&amp;E120,'Coeff EC7'!$D$31:$Q$31&amp;'Coeff EC7'!$D$32:$Q$32,0))</f>
        <v>#N/A</v>
      </c>
      <c r="M120" s="98" t="e">
        <f t="shared" si="131"/>
        <v>#N/A</v>
      </c>
      <c r="N120" s="99" t="e">
        <f t="array" ref="N120">INDEX('Coeff EC7'!$D$7:$Q$27,MATCH($B$3,'Coeff EC7'!$C$7:$C$27,0),MATCH(D120&amp;E120,'Coeff EC7'!$D$5:$Q$5&amp;'Coeff EC7'!$D$6:$Q$6,0))</f>
        <v>#N/A</v>
      </c>
      <c r="O120" s="99" t="e">
        <f t="array" ref="O120">INDEX('Coeff EC7'!$D$41:$Q$61,MATCH($B$3,'Coeff EC7'!$C$41:$C$61,0),MATCH(D120&amp;E120,'Coeff EC7'!$D$39:$Q$39&amp;'Coeff EC7'!$D$40:$Q$40,0))</f>
        <v>#N/A</v>
      </c>
      <c r="P120" s="30" t="e">
        <f t="shared" si="166"/>
        <v>#N/A</v>
      </c>
      <c r="Q120" s="100" t="e">
        <f t="shared" si="133"/>
        <v>#N/A</v>
      </c>
      <c r="R120" s="86" t="b">
        <f t="shared" si="134"/>
        <v>0</v>
      </c>
      <c r="S120" s="86">
        <f t="shared" si="132"/>
        <v>0.5</v>
      </c>
      <c r="T120" s="86">
        <f t="shared" si="135"/>
        <v>0.5</v>
      </c>
      <c r="U120" s="30" t="e">
        <f t="shared" ca="1" si="167"/>
        <v>#DIV/0!</v>
      </c>
      <c r="V120" s="85" t="str">
        <f>IF(B120&lt;=Hypothèses!$V$7,Hypothèses!$W$7,IF(B120&lt;=Hypothèses!$V$8,Hypothèses!$W$8,IF(B120&lt;=Hypothèses!$V$9,Hypothèses!$W$9,IF(B120&lt;=Hypothèses!$V$10,Hypothèses!$W$10,IF(B120&lt;=Hypothèses!$V$11,Hypothèses!$W$11,IF(B120&lt;=Hypothèses!$V$12,Hypothèses!$W$12,IF(B120&lt;=Hypothèses!$V$13,Hypothèses!$W$13,IF(B120&lt;=Hypothèses!$V$14,Hypothèses!$W$14,IF(B120&lt;=Hypothèses!$V$15,Hypothèses!$W$15,IF(B120&lt;=Hypothèses!$V$16,Hypothèses!$W$16,IF(B120&lt;=Hypothèses!$V$17,Hypothèses!$W$17,IF(B120&lt;=Hypothèses!$V$18,Hypothèses!$W$18,""))))))))))))</f>
        <v/>
      </c>
      <c r="W120" s="87" t="e">
        <f t="shared" ca="1" si="216"/>
        <v>#DIV/0!</v>
      </c>
      <c r="X120" s="88" t="str">
        <f>IF(B120&lt;=Hypothèses!$V$7,Hypothèses!$X$7,IF(B120&lt;=Hypothèses!$V$8,Hypothèses!$X$8,IF(B120&lt;=Hypothèses!$V$9,Hypothèses!$X$9,IF(B120&lt;=Hypothèses!$V$10,Hypothèses!$X$10,IF(B120&lt;=Hypothèses!$V$11,Hypothèses!$X$11,IF(B120&lt;=Hypothèses!$V$12,Hypothèses!$X$12,IF(B120&lt;=Hypothèses!$V$13,Hypothèses!$X$13,IF(B120&lt;=Hypothèses!$V$14,Hypothèses!$X$14,IF(B120&lt;=Hypothèses!$V$15,Hypothèses!$X$15,IF(B120&lt;=Hypothèses!$V$16,Hypothèses!$X$16,IF(B120&lt;=Hypothèses!$U$17,Hypothèses!$W$17,IF(B120&lt;=Hypothèses!$U$18,Hypothèses!$W$18,""))))))))))))</f>
        <v/>
      </c>
      <c r="Y120" s="95" t="e">
        <f t="shared" ca="1" si="136"/>
        <v>#DIV/0!</v>
      </c>
      <c r="Z120" s="101">
        <f t="shared" si="137"/>
        <v>0</v>
      </c>
      <c r="AA120" s="91">
        <f t="shared" si="138"/>
        <v>0</v>
      </c>
      <c r="AB120" s="30" t="e">
        <f t="shared" si="200"/>
        <v>#N/A</v>
      </c>
      <c r="AC120" s="30" t="e">
        <f t="shared" si="201"/>
        <v>#N/A</v>
      </c>
      <c r="AD120" s="31" t="e">
        <f>IF(OR(Hypothèses!$B$4=17,Hypothèses!$B$4=18,Hypothèses!$B$4=19,Hypothèses!$B$4=20),
IF($D120="Pressio.",
IF(OR($E120=3,$E120=1,$E120=4),AC120,AB120),
IF($D120="Pénétro.",
IF(OR($E120=3,$E120=1,$E120=4),AC120,AB120))),IF($D120="Pressio.",
IF($E120=3,AC120,AB120),
IF($D120="Pénétro.",
IF($E120=4,AC120,AB120))))</f>
        <v>#N/A</v>
      </c>
      <c r="AE120" s="31">
        <v>0</v>
      </c>
      <c r="AF120" s="102" t="e">
        <f>IF(NDC!$H$10="Oui",(VLOOKUP($B$3,'Coeff EC7'!$T$39:$X$59,2,0)*AD120+VLOOKUP($B$3,'Coeff EC7'!$T$65:$X$85,2,0)*Model0.1T!AE120)/1.5,PI()*AB$12*$Q120*($B120-$B119)*0.15/10+AF119)</f>
        <v>#N/A</v>
      </c>
      <c r="AG120" s="102" t="e">
        <f>(VLOOKUP($B$3,'Coeff EC7'!$T$39:$X$59,3,0)*AD120+VLOOKUP($B$3,'Coeff EC7'!$T$65:$X$85,3,0)*Model0.1T!AE120)/1.1</f>
        <v>#N/A</v>
      </c>
      <c r="AH120" s="102" t="e">
        <f t="shared" si="168"/>
        <v>#N/A</v>
      </c>
      <c r="AI120" s="102" t="e">
        <f t="shared" si="169"/>
        <v>#N/A</v>
      </c>
      <c r="AJ120" s="414" t="e">
        <f>IF(AND(AF120&gt;NDC!$C$63,AG120&gt;NDC!$C$65,AH120&gt;NDC!$D$73,AI120&gt;NDC!$D$74,$B120&gt;NDC!$H$22-0.1+MIN(3*$AJ$12,1.5)),0,1)</f>
        <v>#N/A</v>
      </c>
      <c r="AK120" s="86" t="b">
        <f t="shared" si="139"/>
        <v>0</v>
      </c>
      <c r="AL120" s="86">
        <f t="shared" si="170"/>
        <v>0.5</v>
      </c>
      <c r="AM120" s="86">
        <f t="shared" si="140"/>
        <v>0.5</v>
      </c>
      <c r="AN120" s="30" t="e">
        <f t="shared" ca="1" si="171"/>
        <v>#DIV/0!</v>
      </c>
      <c r="AO120" s="85" t="e">
        <f ca="1">IF(U120&lt;=Hypothèses!$V$7,Hypothèses!$W$7,IF(U120&lt;=Hypothèses!$V$8,Hypothèses!$W$8,IF(U120&lt;=Hypothèses!$V$9,Hypothèses!$W$9,IF(U120&lt;=Hypothèses!$V$10,Hypothèses!$W$10,IF(U120&lt;=Hypothèses!$V$11,Hypothèses!$W$11,IF(U120&lt;=Hypothèses!$V$12,Hypothèses!$W$12,IF(U120&lt;=Hypothèses!$V$13,Hypothèses!$W$13,IF(U120&lt;=Hypothèses!$V$14,Hypothèses!$W$14,IF(U120&lt;=Hypothèses!$V$15,Hypothèses!$W$15,IF(U120&lt;=Hypothèses!$V$16,Hypothèses!$W$16,IF(U120&lt;=Hypothèses!$V$17,Hypothèses!$W$17,IF(U120&lt;=Hypothèses!$V$18,Hypothèses!$W$18,""))))))))))))</f>
        <v>#DIV/0!</v>
      </c>
      <c r="AP120" s="87" t="e">
        <f t="shared" ca="1" si="217"/>
        <v>#DIV/0!</v>
      </c>
      <c r="AQ120" s="88" t="e">
        <f ca="1">IF(U120&lt;=Hypothèses!$V$7,Hypothèses!$X$7,IF(U120&lt;=Hypothèses!$V$8,Hypothèses!$X$8,IF(U120&lt;=Hypothèses!$V$9,Hypothèses!$X$9,IF(U120&lt;=Hypothèses!$V$10,Hypothèses!$X$10,IF(U120&lt;=Hypothèses!$V$11,Hypothèses!$X$11,IF(U120&lt;=Hypothèses!$V$12,Hypothèses!$X$12,IF(U120&lt;=Hypothèses!$V$13,Hypothèses!$X$13,IF(U120&lt;=Hypothèses!$V$14,Hypothèses!$X$14,IF(U120&lt;=Hypothèses!$V$15,Hypothèses!$X$15,IF(U120&lt;=Hypothèses!$V$16,Hypothèses!$X$16,IF(U120&lt;=Hypothèses!$U$17,Hypothèses!$W$17,IF(U120&lt;=Hypothèses!$U$18,Hypothèses!$W$18,""))))))))))))</f>
        <v>#DIV/0!</v>
      </c>
      <c r="AR120" s="95" t="e">
        <f t="shared" ca="1" si="172"/>
        <v>#DIV/0!</v>
      </c>
      <c r="AS120" s="101">
        <f t="shared" si="224"/>
        <v>0</v>
      </c>
      <c r="AT120" s="91">
        <f t="shared" si="141"/>
        <v>0</v>
      </c>
      <c r="AU120" s="30" t="e">
        <f t="shared" si="202"/>
        <v>#N/A</v>
      </c>
      <c r="AV120" s="30" t="e">
        <f t="shared" si="203"/>
        <v>#N/A</v>
      </c>
      <c r="AW120" s="31" t="e">
        <f>IF(OR(Hypothèses!$B$4=17,Hypothèses!$B$4=18,Hypothèses!$B$4=19,Hypothèses!$B$4=20),
IF($D120="Pressio.",
IF(OR($E120=3,$E120=1,$E120=4),AV120,AU120),
IF($D120="Pénétro.",
IF(OR($E120=3,$E120=1,$E120=4),AV120,AU120))),IF($D120="Pressio.",
IF($E120=3,AV120,AU120),
IF($D120="Pénétro.",
IF($E120=4,AV120,AU120))))</f>
        <v>#N/A</v>
      </c>
      <c r="AX120" s="31">
        <v>0</v>
      </c>
      <c r="AY120" s="102" t="e">
        <f>IF(NDC!$H$10="Oui",(VLOOKUP($B$3,'Coeff EC7'!$T$39:$X$59,2,0)*AW120+VLOOKUP($B$3,'Coeff EC7'!$T$65:$X$85,2,0)*Model0.1T!AX120)/1.5,PI()*AU$12*$Q120*($B120-$B119)*0.15/10+AY119)</f>
        <v>#N/A</v>
      </c>
      <c r="AZ120" s="102" t="e">
        <f>(VLOOKUP($B$3,'Coeff EC7'!$T$39:$X$59,3,0)*AW120+VLOOKUP($B$3,'Coeff EC7'!$T$65:$X$85,3,0)*Model0.1T!AX120)/1.1</f>
        <v>#N/A</v>
      </c>
      <c r="BA120" s="102" t="e">
        <f t="shared" si="173"/>
        <v>#N/A</v>
      </c>
      <c r="BB120" s="102" t="e">
        <f t="shared" si="174"/>
        <v>#N/A</v>
      </c>
      <c r="BC120" s="414" t="e">
        <f>IF(AND(AY120&gt;NDC!$C$63,AZ120&gt;NDC!$C$65,BA120&gt;NDC!$D$73,BB120&gt;NDC!$D$74,$B120&gt;NDC!$H$22-0.1+MIN(3*BC$12,1.5)),0,1)</f>
        <v>#N/A</v>
      </c>
      <c r="BD120" s="86" t="b">
        <f t="shared" si="142"/>
        <v>0</v>
      </c>
      <c r="BE120" s="86">
        <f t="shared" si="175"/>
        <v>0.5</v>
      </c>
      <c r="BF120" s="86">
        <f t="shared" si="143"/>
        <v>0.5</v>
      </c>
      <c r="BG120" s="30" t="e">
        <f t="shared" ca="1" si="176"/>
        <v>#DIV/0!</v>
      </c>
      <c r="BH120" s="85" t="e">
        <f ca="1">IF(AN120&lt;=Hypothèses!$V$7,Hypothèses!$W$7,IF(AN120&lt;=Hypothèses!$V$8,Hypothèses!$W$8,IF(AN120&lt;=Hypothèses!$V$9,Hypothèses!$W$9,IF(AN120&lt;=Hypothèses!$V$10,Hypothèses!$W$10,IF(AN120&lt;=Hypothèses!$V$11,Hypothèses!$W$11,IF(AN120&lt;=Hypothèses!$V$12,Hypothèses!$W$12,IF(AN120&lt;=Hypothèses!$V$13,Hypothèses!$W$13,IF(AN120&lt;=Hypothèses!$V$14,Hypothèses!$W$14,IF(AN120&lt;=Hypothèses!$V$15,Hypothèses!$W$15,IF(AN120&lt;=Hypothèses!$V$16,Hypothèses!$W$16,IF(AN120&lt;=Hypothèses!$V$17,Hypothèses!$W$17,IF(AN120&lt;=Hypothèses!$V$18,Hypothèses!$W$18,""))))))))))))</f>
        <v>#DIV/0!</v>
      </c>
      <c r="BI120" s="87" t="e">
        <f t="shared" ca="1" si="218"/>
        <v>#DIV/0!</v>
      </c>
      <c r="BJ120" s="88" t="e">
        <f ca="1">IF(AN120&lt;=Hypothèses!$V$7,Hypothèses!$X$7,IF(AN120&lt;=Hypothèses!$V$8,Hypothèses!$X$8,IF(AN120&lt;=Hypothèses!$V$9,Hypothèses!$X$9,IF(AN120&lt;=Hypothèses!$V$10,Hypothèses!$X$10,IF(AN120&lt;=Hypothèses!$V$11,Hypothèses!$X$11,IF(AN120&lt;=Hypothèses!$V$12,Hypothèses!$X$12,IF(AN120&lt;=Hypothèses!$V$13,Hypothèses!$X$13,IF(AN120&lt;=Hypothèses!$V$14,Hypothèses!$X$14,IF(AN120&lt;=Hypothèses!$V$15,Hypothèses!$X$15,IF(AN120&lt;=Hypothèses!$V$16,Hypothèses!$X$16,IF(AN120&lt;=Hypothèses!$U$17,Hypothèses!$W$17,IF(AN120&lt;=Hypothèses!$U$18,Hypothèses!$W$18,""))))))))))))</f>
        <v>#DIV/0!</v>
      </c>
      <c r="BK120" s="95" t="e">
        <f t="shared" ca="1" si="177"/>
        <v>#DIV/0!</v>
      </c>
      <c r="BL120" s="101">
        <f t="shared" si="225"/>
        <v>0</v>
      </c>
      <c r="BM120" s="91">
        <f t="shared" si="144"/>
        <v>0</v>
      </c>
      <c r="BN120" s="30" t="e">
        <f t="shared" si="204"/>
        <v>#N/A</v>
      </c>
      <c r="BO120" s="30" t="e">
        <f t="shared" si="205"/>
        <v>#N/A</v>
      </c>
      <c r="BP120" s="31" t="e">
        <f>IF(OR(Hypothèses!$B$4=17,Hypothèses!$B$4=18,Hypothèses!$B$4=19,Hypothèses!$B$4=20),
IF($D120="Pressio.",
IF(OR($E120=3,$E120=1,$E120=4),BO120,BN120),
IF($D120="Pénétro.",
IF(OR($E120=3,$E120=1,$E120=4),BO120,BN120))),IF($D120="Pressio.",
IF($E120=3,BO120,BN120),
IF($D120="Pénétro.",
IF($E120=4,BO120,BN120))))</f>
        <v>#N/A</v>
      </c>
      <c r="BQ120" s="31">
        <v>0</v>
      </c>
      <c r="BR120" s="102" t="e">
        <f>IF(NDC!$H$10="Oui",(VLOOKUP($B$3,'Coeff EC7'!$T$39:$X$59,2,0)*BP120+VLOOKUP($B$3,'Coeff EC7'!$T$65:$X$85,2,0)*Model0.1T!BQ120)/1.5,PI()*BN$12*$Q120*($B120-$B119)*0.15/10+BR119)</f>
        <v>#N/A</v>
      </c>
      <c r="BS120" s="102" t="e">
        <f>(VLOOKUP($B$3,'Coeff EC7'!$T$39:$X$59,3,0)*BP120+VLOOKUP($B$3,'Coeff EC7'!$T$65:$X$85,3,0)*Model0.1T!BQ120)/1.1</f>
        <v>#N/A</v>
      </c>
      <c r="BT120" s="102" t="e">
        <f t="shared" si="178"/>
        <v>#N/A</v>
      </c>
      <c r="BU120" s="102" t="e">
        <f t="shared" si="179"/>
        <v>#N/A</v>
      </c>
      <c r="BV120" s="414" t="e">
        <f>IF(AND(BR120&gt;NDC!$C$63,BS120&gt;NDC!$C$65,BT120&gt;NDC!$D$73,BU120&gt;NDC!$D$74,$B120&gt;NDC!$H$22-0.1+MIN(3*BV$12,1.5)),0,1)</f>
        <v>#N/A</v>
      </c>
      <c r="BW120" s="86" t="b">
        <f t="shared" si="145"/>
        <v>0</v>
      </c>
      <c r="BX120" s="86">
        <f t="shared" si="146"/>
        <v>0.5</v>
      </c>
      <c r="BY120" s="86">
        <f t="shared" si="147"/>
        <v>0.5</v>
      </c>
      <c r="BZ120" s="30" t="e">
        <f t="shared" ca="1" si="180"/>
        <v>#DIV/0!</v>
      </c>
      <c r="CA120" s="85" t="e">
        <f ca="1">IF(BG120&lt;=Hypothèses!$V$7,Hypothèses!$W$7,IF(BG120&lt;=Hypothèses!$V$8,Hypothèses!$W$8,IF(BG120&lt;=Hypothèses!$V$9,Hypothèses!$W$9,IF(BG120&lt;=Hypothèses!$V$10,Hypothèses!$W$10,IF(BG120&lt;=Hypothèses!$V$11,Hypothèses!$W$11,IF(BG120&lt;=Hypothèses!$V$12,Hypothèses!$W$12,IF(BG120&lt;=Hypothèses!$V$13,Hypothèses!$W$13,IF(BG120&lt;=Hypothèses!$V$14,Hypothèses!$W$14,IF(BG120&lt;=Hypothèses!$V$15,Hypothèses!$W$15,IF(BG120&lt;=Hypothèses!$V$16,Hypothèses!$W$16,IF(BG120&lt;=Hypothèses!$V$17,Hypothèses!$W$17,IF(BG120&lt;=Hypothèses!$V$18,Hypothèses!$W$18,""))))))))))))</f>
        <v>#DIV/0!</v>
      </c>
      <c r="CB120" s="87" t="e">
        <f t="shared" ca="1" si="219"/>
        <v>#DIV/0!</v>
      </c>
      <c r="CC120" s="88" t="e">
        <f ca="1">IF(BG120&lt;=Hypothèses!$V$7,Hypothèses!$X$7,IF(BG120&lt;=Hypothèses!$V$8,Hypothèses!$X$8,IF(BG120&lt;=Hypothèses!$V$9,Hypothèses!$X$9,IF(BG120&lt;=Hypothèses!$V$10,Hypothèses!$X$10,IF(BG120&lt;=Hypothèses!$V$11,Hypothèses!$X$11,IF(BG120&lt;=Hypothèses!$V$12,Hypothèses!$X$12,IF(BG120&lt;=Hypothèses!$V$13,Hypothèses!$X$13,IF(BG120&lt;=Hypothèses!$V$14,Hypothèses!$X$14,IF(BG120&lt;=Hypothèses!$V$15,Hypothèses!$X$15,IF(BG120&lt;=Hypothèses!$V$16,Hypothèses!$X$16,IF(BG120&lt;=Hypothèses!$U$17,Hypothèses!$W$17,IF(BG120&lt;=Hypothèses!$U$18,Hypothèses!$W$18,""))))))))))))</f>
        <v>#DIV/0!</v>
      </c>
      <c r="CD120" s="95" t="e">
        <f t="shared" ca="1" si="181"/>
        <v>#DIV/0!</v>
      </c>
      <c r="CE120" s="101">
        <f t="shared" si="226"/>
        <v>0</v>
      </c>
      <c r="CF120" s="91">
        <f t="shared" si="148"/>
        <v>0</v>
      </c>
      <c r="CG120" s="30" t="e">
        <f t="shared" si="206"/>
        <v>#N/A</v>
      </c>
      <c r="CH120" s="30" t="e">
        <f t="shared" si="207"/>
        <v>#N/A</v>
      </c>
      <c r="CI120" s="31" t="e">
        <f>IF(OR(Hypothèses!$B$4=17,Hypothèses!$B$4=18,Hypothèses!$B$4=19,Hypothèses!$B$4=20),
IF($D120="Pressio.",
IF(OR($E120=3,$E120=1,$E120=4),CH120,CG120),
IF($D120="Pénétro.",
IF(OR($E120=3,$E120=1,$E120=4),CH120,CG120))),IF($D120="Pressio.",
IF($E120=3,CH120,CG120),
IF($D120="Pénétro.",
IF($E120=4,CH120,CG120))))</f>
        <v>#N/A</v>
      </c>
      <c r="CJ120" s="31">
        <v>0</v>
      </c>
      <c r="CK120" s="102" t="e">
        <f>IF(NDC!$H$10="Oui",(VLOOKUP($B$3,'Coeff EC7'!$T$39:$X$59,2,0)*CI120+VLOOKUP($B$3,'Coeff EC7'!$T$65:$X$85,2,0)*Model0.1T!CJ120)/1.5,PI()*CG$12*$Q120*($B120-$B119)*0.15/10+CK119)</f>
        <v>#N/A</v>
      </c>
      <c r="CL120" s="102" t="e">
        <f>(VLOOKUP($B$3,'Coeff EC7'!$T$39:$X$59,3,0)*CI120+VLOOKUP($B$3,'Coeff EC7'!$T$65:$X$85,3,0)*Model0.1T!CJ120)/1.1</f>
        <v>#N/A</v>
      </c>
      <c r="CM120" s="102" t="e">
        <f t="shared" si="182"/>
        <v>#N/A</v>
      </c>
      <c r="CN120" s="102" t="e">
        <f t="shared" si="183"/>
        <v>#N/A</v>
      </c>
      <c r="CO120" s="414" t="e">
        <f>IF(AND(CK120&gt;NDC!$C$63,CL120&gt;NDC!$C$65,CM120&gt;NDC!$D$73,CN120&gt;NDC!$D$74,$B120&gt;NDC!$H$22-0.1+MIN(3*CO$12,1.5)),0,1)</f>
        <v>#N/A</v>
      </c>
      <c r="CP120" s="86" t="b">
        <f t="shared" si="149"/>
        <v>0</v>
      </c>
      <c r="CQ120" s="86">
        <f t="shared" si="150"/>
        <v>0.5</v>
      </c>
      <c r="CR120" s="86">
        <f t="shared" si="151"/>
        <v>0.5</v>
      </c>
      <c r="CS120" s="30" t="e">
        <f t="shared" ca="1" si="184"/>
        <v>#DIV/0!</v>
      </c>
      <c r="CT120" s="85" t="e">
        <f ca="1">IF(BZ120&lt;=Hypothèses!$V$7,Hypothèses!$W$7,IF(BZ120&lt;=Hypothèses!$V$8,Hypothèses!$W$8,IF(BZ120&lt;=Hypothèses!$V$9,Hypothèses!$W$9,IF(BZ120&lt;=Hypothèses!$V$10,Hypothèses!$W$10,IF(BZ120&lt;=Hypothèses!$V$11,Hypothèses!$W$11,IF(BZ120&lt;=Hypothèses!$V$12,Hypothèses!$W$12,IF(BZ120&lt;=Hypothèses!$V$13,Hypothèses!$W$13,IF(BZ120&lt;=Hypothèses!$V$14,Hypothèses!$W$14,IF(BZ120&lt;=Hypothèses!$V$15,Hypothèses!$W$15,IF(BZ120&lt;=Hypothèses!$V$16,Hypothèses!$W$16,IF(BZ120&lt;=Hypothèses!$V$17,Hypothèses!$W$17,IF(BZ120&lt;=Hypothèses!$V$18,Hypothèses!$W$18,""))))))))))))</f>
        <v>#DIV/0!</v>
      </c>
      <c r="CU120" s="87" t="e">
        <f t="shared" ca="1" si="220"/>
        <v>#DIV/0!</v>
      </c>
      <c r="CV120" s="88" t="e">
        <f ca="1">IF(BZ120&lt;=Hypothèses!$V$7,Hypothèses!$X$7,IF(BZ120&lt;=Hypothèses!$V$8,Hypothèses!$X$8,IF(BZ120&lt;=Hypothèses!$V$9,Hypothèses!$X$9,IF(BZ120&lt;=Hypothèses!$V$10,Hypothèses!$X$10,IF(BZ120&lt;=Hypothèses!$V$11,Hypothèses!$X$11,IF(BZ120&lt;=Hypothèses!$V$12,Hypothèses!$X$12,IF(BZ120&lt;=Hypothèses!$V$13,Hypothèses!$X$13,IF(BZ120&lt;=Hypothèses!$V$14,Hypothèses!$X$14,IF(BZ120&lt;=Hypothèses!$V$15,Hypothèses!$X$15,IF(BZ120&lt;=Hypothèses!$V$16,Hypothèses!$X$16,IF(BZ120&lt;=Hypothèses!$U$17,Hypothèses!$W$17,IF(BZ120&lt;=Hypothèses!$U$18,Hypothèses!$W$18,""))))))))))))</f>
        <v>#DIV/0!</v>
      </c>
      <c r="CW120" s="95" t="e">
        <f t="shared" ca="1" si="185"/>
        <v>#DIV/0!</v>
      </c>
      <c r="CX120" s="101">
        <f t="shared" si="227"/>
        <v>0</v>
      </c>
      <c r="CY120" s="91">
        <f t="shared" si="152"/>
        <v>0</v>
      </c>
      <c r="CZ120" s="30" t="e">
        <f t="shared" si="208"/>
        <v>#N/A</v>
      </c>
      <c r="DA120" s="30" t="e">
        <f t="shared" si="209"/>
        <v>#N/A</v>
      </c>
      <c r="DB120" s="31" t="e">
        <f>IF(OR(Hypothèses!$B$4=17,Hypothèses!$B$4=18,Hypothèses!$B$4=19,Hypothèses!$B$4=20),
IF($D120="Pressio.",
IF(OR($E120=3,$E120=1,$E120=4),DA120,CZ120),
IF($D120="Pénétro.",
IF(OR($E120=3,$E120=1,$E120=4),DA120,CZ120))),IF($D120="Pressio.",
IF($E120=3,DA120,CZ120),
IF($D120="Pénétro.",
IF($E120=4,DA120,CZ120))))</f>
        <v>#N/A</v>
      </c>
      <c r="DC120" s="31">
        <v>0</v>
      </c>
      <c r="DD120" s="102" t="e">
        <f>IF(NDC!$H$10="Oui",(VLOOKUP($B$3,'Coeff EC7'!$T$39:$X$59,2,0)*DB120+VLOOKUP($B$3,'Coeff EC7'!$T$65:$X$85,2,0)*Model0.1T!DC120)/1.5,PI()*CZ$12*$Q120*($B120-$B119)*0.15/10+DD119)</f>
        <v>#N/A</v>
      </c>
      <c r="DE120" s="102" t="e">
        <f>(VLOOKUP($B$3,'Coeff EC7'!$T$39:$X$59,3,0)*DB120+VLOOKUP($B$3,'Coeff EC7'!$T$65:$X$85,3,0)*Model0.1T!DC120)/1.1</f>
        <v>#N/A</v>
      </c>
      <c r="DF120" s="102" t="e">
        <f t="shared" si="186"/>
        <v>#N/A</v>
      </c>
      <c r="DG120" s="102" t="e">
        <f t="shared" si="187"/>
        <v>#N/A</v>
      </c>
      <c r="DH120" s="414" t="e">
        <f>IF(AND(DD120&gt;NDC!$C$63,DE120&gt;NDC!$C$65,DF120&gt;NDC!$D$73,DG120&gt;NDC!$D$74,$B120&gt;NDC!$H$22-0.1+MIN(3*DH$12,1.5)),0,1)</f>
        <v>#N/A</v>
      </c>
      <c r="DI120" s="86" t="b">
        <f t="shared" si="153"/>
        <v>0</v>
      </c>
      <c r="DJ120" s="86">
        <f t="shared" si="154"/>
        <v>0.5</v>
      </c>
      <c r="DK120" s="86">
        <f t="shared" si="155"/>
        <v>0.5</v>
      </c>
      <c r="DL120" s="30" t="e">
        <f t="shared" ca="1" si="188"/>
        <v>#DIV/0!</v>
      </c>
      <c r="DM120" s="85" t="e">
        <f ca="1">IF(CS120&lt;=Hypothèses!$V$7,Hypothèses!$W$7,IF(CS120&lt;=Hypothèses!$V$8,Hypothèses!$W$8,IF(CS120&lt;=Hypothèses!$V$9,Hypothèses!$W$9,IF(CS120&lt;=Hypothèses!$V$10,Hypothèses!$W$10,IF(CS120&lt;=Hypothèses!$V$11,Hypothèses!$W$11,IF(CS120&lt;=Hypothèses!$V$12,Hypothèses!$W$12,IF(CS120&lt;=Hypothèses!$V$13,Hypothèses!$W$13,IF(CS120&lt;=Hypothèses!$V$14,Hypothèses!$W$14,IF(CS120&lt;=Hypothèses!$V$15,Hypothèses!$W$15,IF(CS120&lt;=Hypothèses!$V$16,Hypothèses!$W$16,IF(CS120&lt;=Hypothèses!$V$17,Hypothèses!$W$17,IF(CS120&lt;=Hypothèses!$V$18,Hypothèses!$W$18,""))))))))))))</f>
        <v>#DIV/0!</v>
      </c>
      <c r="DN120" s="87" t="e">
        <f t="shared" ca="1" si="221"/>
        <v>#DIV/0!</v>
      </c>
      <c r="DO120" s="88" t="e">
        <f ca="1">IF(CS120&lt;=Hypothèses!$V$7,Hypothèses!$X$7,IF(CS120&lt;=Hypothèses!$V$8,Hypothèses!$X$8,IF(CS120&lt;=Hypothèses!$V$9,Hypothèses!$X$9,IF(CS120&lt;=Hypothèses!$V$10,Hypothèses!$X$10,IF(CS120&lt;=Hypothèses!$V$11,Hypothèses!$X$11,IF(CS120&lt;=Hypothèses!$V$12,Hypothèses!$X$12,IF(CS120&lt;=Hypothèses!$V$13,Hypothèses!$X$13,IF(CS120&lt;=Hypothèses!$V$14,Hypothèses!$X$14,IF(CS120&lt;=Hypothèses!$V$15,Hypothèses!$X$15,IF(CS120&lt;=Hypothèses!$V$16,Hypothèses!$X$16,IF(CS120&lt;=Hypothèses!$U$17,Hypothèses!$W$17,IF(CS120&lt;=Hypothèses!$U$18,Hypothèses!$W$18,""))))))))))))</f>
        <v>#DIV/0!</v>
      </c>
      <c r="DP120" s="95" t="e">
        <f t="shared" ca="1" si="189"/>
        <v>#DIV/0!</v>
      </c>
      <c r="DQ120" s="101">
        <f t="shared" si="228"/>
        <v>0</v>
      </c>
      <c r="DR120" s="91">
        <f t="shared" si="156"/>
        <v>0</v>
      </c>
      <c r="DS120" s="30" t="e">
        <f t="shared" si="210"/>
        <v>#N/A</v>
      </c>
      <c r="DT120" s="30" t="e">
        <f t="shared" si="211"/>
        <v>#N/A</v>
      </c>
      <c r="DU120" s="31" t="e">
        <f>IF(OR(Hypothèses!$B$4=17,Hypothèses!$B$4=18,Hypothèses!$B$4=19,Hypothèses!$B$4=20),
IF($D120="Pressio.",
IF(OR($E120=3,$E120=1,$E120=4),DT120,DS120),
IF($D120="Pénétro.",
IF(OR($E120=3,$E120=1,$E120=4),DT120,DS120))),IF($D120="Pressio.",
IF($E120=3,DT120,DS120),
IF($D120="Pénétro.",
IF($E120=4,DT120,DS120))))</f>
        <v>#N/A</v>
      </c>
      <c r="DV120" s="31">
        <v>0</v>
      </c>
      <c r="DW120" s="102" t="e">
        <f>IF(NDC!$H$10="Oui",(VLOOKUP($B$3,'Coeff EC7'!$T$39:$X$59,2,0)*DU120+VLOOKUP($B$3,'Coeff EC7'!$T$65:$X$85,2,0)*Model0.1T!DV120)/1.5,PI()*DS$12*$Q120*($B120-$B119)*0.15/10+DW119)</f>
        <v>#N/A</v>
      </c>
      <c r="DX120" s="102" t="e">
        <f>(VLOOKUP($B$3,'Coeff EC7'!$T$39:$X$59,3,0)*DU120+VLOOKUP($B$3,'Coeff EC7'!$T$65:$X$85,3,0)*Model0.1T!DV120)/1.1</f>
        <v>#N/A</v>
      </c>
      <c r="DY120" s="102" t="e">
        <f t="shared" si="190"/>
        <v>#N/A</v>
      </c>
      <c r="DZ120" s="102" t="e">
        <f t="shared" si="191"/>
        <v>#N/A</v>
      </c>
      <c r="EA120" s="414" t="e">
        <f>IF(AND(DW120&gt;NDC!$C$63,DX120&gt;NDC!$C$65,DY120&gt;NDC!$D$73,DZ120&gt;NDC!$D$74,$B120&gt;NDC!$H$22-0.1+MIN(3*EA$12,1.5)),0,1)</f>
        <v>#N/A</v>
      </c>
      <c r="EB120" s="86" t="b">
        <f t="shared" si="157"/>
        <v>0</v>
      </c>
      <c r="EC120" s="418">
        <f t="shared" si="158"/>
        <v>0.51</v>
      </c>
      <c r="ED120" s="86">
        <f t="shared" si="159"/>
        <v>0.51</v>
      </c>
      <c r="EE120" s="30" t="e">
        <f t="shared" ca="1" si="192"/>
        <v>#DIV/0!</v>
      </c>
      <c r="EF120" s="85" t="e">
        <f ca="1">IF(DL120&lt;=Hypothèses!$V$7,Hypothèses!$W$7,IF(DL120&lt;=Hypothèses!$V$8,Hypothèses!$W$8,IF(DL120&lt;=Hypothèses!$V$9,Hypothèses!$W$9,IF(DL120&lt;=Hypothèses!$V$10,Hypothèses!$W$10,IF(DL120&lt;=Hypothèses!$V$11,Hypothèses!$W$11,IF(DL120&lt;=Hypothèses!$V$12,Hypothèses!$W$12,IF(DL120&lt;=Hypothèses!$V$13,Hypothèses!$W$13,IF(DL120&lt;=Hypothèses!$V$14,Hypothèses!$W$14,IF(DL120&lt;=Hypothèses!$V$15,Hypothèses!$W$15,IF(DL120&lt;=Hypothèses!$V$16,Hypothèses!$W$16,IF(DL120&lt;=Hypothèses!$V$17,Hypothèses!$W$17,IF(DL120&lt;=Hypothèses!$V$18,Hypothèses!$W$18,""))))))))))))</f>
        <v>#DIV/0!</v>
      </c>
      <c r="EG120" s="87" t="e">
        <f t="shared" ca="1" si="222"/>
        <v>#DIV/0!</v>
      </c>
      <c r="EH120" s="88" t="e">
        <f ca="1">IF(DL120&lt;=Hypothèses!$V$7,Hypothèses!$X$7,IF(DL120&lt;=Hypothèses!$V$8,Hypothèses!$X$8,IF(DL120&lt;=Hypothèses!$V$9,Hypothèses!$X$9,IF(DL120&lt;=Hypothèses!$V$10,Hypothèses!$X$10,IF(DL120&lt;=Hypothèses!$V$11,Hypothèses!$X$11,IF(DL120&lt;=Hypothèses!$V$12,Hypothèses!$X$12,IF(DL120&lt;=Hypothèses!$V$13,Hypothèses!$X$13,IF(DL120&lt;=Hypothèses!$V$14,Hypothèses!$X$14,IF(DL120&lt;=Hypothèses!$V$15,Hypothèses!$X$15,IF(DL120&lt;=Hypothèses!$V$16,Hypothèses!$X$16,IF(DL120&lt;=Hypothèses!$U$17,Hypothèses!$W$17,IF(DL120&lt;=Hypothèses!$U$18,Hypothèses!$W$18,""))))))))))))</f>
        <v>#DIV/0!</v>
      </c>
      <c r="EI120" s="95" t="e">
        <f t="shared" ca="1" si="193"/>
        <v>#DIV/0!</v>
      </c>
      <c r="EJ120" s="101">
        <f t="shared" si="229"/>
        <v>0</v>
      </c>
      <c r="EK120" s="91">
        <f t="shared" si="160"/>
        <v>0</v>
      </c>
      <c r="EL120" s="30" t="e">
        <f t="shared" si="212"/>
        <v>#N/A</v>
      </c>
      <c r="EM120" s="30" t="e">
        <f t="shared" si="213"/>
        <v>#N/A</v>
      </c>
      <c r="EN120" s="31" t="e">
        <f>IF(OR(Hypothèses!$B$4=17,Hypothèses!$B$4=18,Hypothèses!$B$4=19,Hypothèses!$B$4=20),
IF($D120="Pressio.",
IF(OR($E120=3,$E120=1,$E120=4),EM120,EL120),
IF($D120="Pénétro.",
IF(OR($E120=3,$E120=1,$E120=4),EM120,EL120))),IF($D120="Pressio.",
IF($E120=3,EM120,EL120),
IF($D120="Pénétro.",
IF($E120=4,EM120,EL120))))</f>
        <v>#N/A</v>
      </c>
      <c r="EO120" s="31">
        <v>0</v>
      </c>
      <c r="EP120" s="102" t="e">
        <f>IF(NDC!$H$10="Oui",(VLOOKUP($B$3,'Coeff EC7'!$T$39:$X$59,2,0)*EN120+VLOOKUP($B$3,'Coeff EC7'!$T$65:$X$85,2,0)*Model0.1T!EO120)/1.5,PI()*EL$12*$Q120*($B120-$B119)*0.15/10+EP119)</f>
        <v>#N/A</v>
      </c>
      <c r="EQ120" s="102" t="e">
        <f>(VLOOKUP($B$3,'Coeff EC7'!$T$39:$X$59,3,0)*EN120+VLOOKUP($B$3,'Coeff EC7'!$T$65:$X$85,3,0)*Model0.1T!EO120)/1.1</f>
        <v>#N/A</v>
      </c>
      <c r="ER120" s="102" t="e">
        <f t="shared" si="194"/>
        <v>#N/A</v>
      </c>
      <c r="ES120" s="102" t="e">
        <f t="shared" si="195"/>
        <v>#N/A</v>
      </c>
      <c r="ET120" s="414" t="e">
        <f>IF(AND(EP120&gt;NDC!$C$63,EQ120&gt;NDC!$C$65,ER120&gt;NDC!$D$73,ES120&gt;NDC!$D$74,$B120&gt;NDC!$H$22-0.1+MIN(3*ET$12,1.5)),0,1)</f>
        <v>#N/A</v>
      </c>
      <c r="EU120" s="86" t="b">
        <f t="shared" si="161"/>
        <v>0</v>
      </c>
      <c r="EV120" s="86">
        <f t="shared" si="162"/>
        <v>0.61</v>
      </c>
      <c r="EW120" s="86">
        <f t="shared" si="163"/>
        <v>0.61</v>
      </c>
      <c r="EX120" s="30" t="e">
        <f t="shared" ca="1" si="196"/>
        <v>#DIV/0!</v>
      </c>
      <c r="EY120" s="85" t="e">
        <f ca="1">IF(EE120&lt;=Hypothèses!$V$7,Hypothèses!$W$7,IF(EE120&lt;=Hypothèses!$V$8,Hypothèses!$W$8,IF(EE120&lt;=Hypothèses!$V$9,Hypothèses!$W$9,IF(EE120&lt;=Hypothèses!$V$10,Hypothèses!$W$10,IF(EE120&lt;=Hypothèses!$V$11,Hypothèses!$W$11,IF(EE120&lt;=Hypothèses!$V$12,Hypothèses!$W$12,IF(EE120&lt;=Hypothèses!$V$13,Hypothèses!$W$13,IF(EE120&lt;=Hypothèses!$V$14,Hypothèses!$W$14,IF(EE120&lt;=Hypothèses!$V$15,Hypothèses!$W$15,IF(EE120&lt;=Hypothèses!$V$16,Hypothèses!$W$16,IF(EE120&lt;=Hypothèses!$V$17,Hypothèses!$W$17,IF(EE120&lt;=Hypothèses!$V$18,Hypothèses!$W$18,""))))))))))))</f>
        <v>#DIV/0!</v>
      </c>
      <c r="EZ120" s="87" t="e">
        <f t="shared" ca="1" si="223"/>
        <v>#DIV/0!</v>
      </c>
      <c r="FA120" s="88" t="e">
        <f ca="1">IF(EE120&lt;=Hypothèses!$V$7,Hypothèses!$X$7,IF(EE120&lt;=Hypothèses!$V$8,Hypothèses!$X$8,IF(EE120&lt;=Hypothèses!$V$9,Hypothèses!$X$9,IF(EE120&lt;=Hypothèses!$V$10,Hypothèses!$X$10,IF(EE120&lt;=Hypothèses!$V$11,Hypothèses!$X$11,IF(EE120&lt;=Hypothèses!$V$12,Hypothèses!$X$12,IF(EE120&lt;=Hypothèses!$V$13,Hypothèses!$X$13,IF(EE120&lt;=Hypothèses!$V$14,Hypothèses!$X$14,IF(EE120&lt;=Hypothèses!$V$15,Hypothèses!$X$15,IF(EE120&lt;=Hypothèses!$V$16,Hypothèses!$X$16,IF(EE120&lt;=Hypothèses!$U$17,Hypothèses!$W$17,IF(EE120&lt;=Hypothèses!$U$18,Hypothèses!$W$18,""))))))))))))</f>
        <v>#DIV/0!</v>
      </c>
      <c r="FB120" s="95" t="e">
        <f t="shared" ca="1" si="197"/>
        <v>#DIV/0!</v>
      </c>
      <c r="FC120" s="101">
        <f t="shared" si="230"/>
        <v>0</v>
      </c>
      <c r="FD120" s="91">
        <f t="shared" si="164"/>
        <v>0</v>
      </c>
      <c r="FE120" s="30" t="e">
        <f t="shared" si="214"/>
        <v>#N/A</v>
      </c>
      <c r="FF120" s="30" t="e">
        <f t="shared" si="215"/>
        <v>#N/A</v>
      </c>
      <c r="FG120" s="31" t="e">
        <f>IF(OR(Hypothèses!$B$4=17,Hypothèses!$B$4=18,Hypothèses!$B$4=19,Hypothèses!$B$4=20),
IF($D120="Pressio.",
IF(OR($E120=3,$E120=1,$E120=4),FF120,FE120),
IF($D120="Pénétro.",
IF(OR($E120=3,$E120=1,$E120=4),FF120,FE120))),IF($D120="Pressio.",
IF($E120=3,FF120,FE120),
IF($D120="Pénétro.",
IF($E120=4,FF120,FE120))))</f>
        <v>#N/A</v>
      </c>
      <c r="FH120" s="31">
        <v>0</v>
      </c>
      <c r="FI120" s="102" t="e">
        <f>IF(NDC!$H$10="Oui",(VLOOKUP($B$3,'Coeff EC7'!$T$39:$X$59,2,0)*FG120+VLOOKUP($B$3,'Coeff EC7'!$T$65:$X$85,2,0)*Model0.1T!FH120)/1.5,PI()*FE$12*$Q120*($B120-$B119)*0.15/10+FI119)</f>
        <v>#N/A</v>
      </c>
      <c r="FJ120" s="102" t="e">
        <f>(VLOOKUP($B$3,'Coeff EC7'!$T$39:$X$59,3,0)*FG120+VLOOKUP($B$3,'Coeff EC7'!$T$65:$X$85,3,0)*Model0.1T!FH120)/1.1</f>
        <v>#N/A</v>
      </c>
      <c r="FK120" s="102" t="e">
        <f t="shared" si="198"/>
        <v>#N/A</v>
      </c>
      <c r="FL120" s="102" t="e">
        <f t="shared" si="199"/>
        <v>#N/A</v>
      </c>
      <c r="FM120" s="414" t="e">
        <f>IF(AND(FI120&gt;NDC!$C$63,FJ120&gt;NDC!$C$65,FK120&gt;NDC!$D$73,FL120&gt;NDC!$D$74,$B120&gt;NDC!$H$22-0.1+MIN(3*FM$12,1.5)),0,1)</f>
        <v>#N/A</v>
      </c>
    </row>
    <row r="121" spans="1:169">
      <c r="A121" s="96">
        <f t="shared" si="165"/>
        <v>89.200000000000614</v>
      </c>
      <c r="B121" s="97">
        <v>10.8</v>
      </c>
      <c r="C121" s="81">
        <f>IF(B121&lt;=Hypothèses!$C$7,Hypothèses!$A$7,IF(B121&lt;=Hypothèses!$C$8,Hypothèses!$A$8,IF(B121&lt;=Hypothèses!$C$9,Hypothèses!$A$9,IF(B121&lt;=Hypothèses!$C$10,Hypothèses!$A$10,IF(B121&lt;=Hypothèses!$C$11,Hypothèses!$A$11,IF(B121&lt;=Hypothèses!$C$12,Hypothèses!$A$12,IF(B121&lt;=Hypothèses!$C$13,Hypothèses!$A$13,IF(B121&lt;=Hypothèses!$C$14,Hypothèses!$A$14,IF(B121&lt;=Hypothèses!$C$15,Hypothèses!$A$15,IF(B121&lt;=Hypothèses!$C$16,Hypothèses!$A$16,IF(B121&lt;=Hypothèses!$C$17,Hypothèses!$A$17,IF(B121&lt;=Hypothèses!$C$18,Hypothèses!$A$18,C120))))))))))))</f>
        <v>11</v>
      </c>
      <c r="D121" s="82" t="str">
        <f>IF(B121&lt;=Hypothèses!$C$7,Hypothèses!$R$7,IF(B121&lt;=Hypothèses!$C$8,Hypothèses!$R$8,IF(B121&lt;=Hypothèses!$C$9,Hypothèses!$R$9,IF(B121&lt;=Hypothèses!$C$10,Hypothèses!$R$10,IF(B121&lt;=Hypothèses!$C$11,Hypothèses!$R$11,IF(B121&lt;=Hypothèses!$C$12,Hypothèses!$R$12,IF(B121&lt;=Hypothèses!$C$13,Hypothèses!$R$13,IF(B121&lt;=Hypothèses!$C$14,Hypothèses!$R$14,IF(B121&lt;=Hypothèses!$C$15,Hypothèses!$R$15,IF(B121&lt;=Hypothèses!$C$16,Hypothèses!$R$16,IF(B121&lt;=Hypothèses!$C$17,Hypothèses!$R$17,IF(B121&lt;=Hypothèses!$C$18,Hypothèses!$R$18,D120))))))))))))</f>
        <v>Pressio.</v>
      </c>
      <c r="E121" s="82" t="e">
        <f>IF(B121&lt;=Hypothèses!$C$7,Hypothèses!$G$7,IF(B121&lt;=Hypothèses!$C$8,Hypothèses!$G$8,IF(B121&lt;=Hypothèses!$C$9,Hypothèses!$G$9,IF(B121&lt;=Hypothèses!$C$10,Hypothèses!$G$10,IF(B121&lt;=Hypothèses!$C$11,Hypothèses!$G$11,IF(B121&lt;=Hypothèses!$C$12,Hypothèses!$G$12,IF(B121&lt;=Hypothèses!$C$13,Hypothèses!$G$13,IF(B121&lt;=Hypothèses!$C$14,Hypothèses!$G$14,IF(B121&lt;=Hypothèses!$C$15,Hypothèses!$G$15,IF(B121&lt;=Hypothèses!$C$16,Hypothèses!$G$16,IF(B121&lt;=Hypothèses!$C$17,Hypothèses!$G$17,IF(B121&lt;=Hypothèses!$C$18,Hypothèses!$G$18,E120))))))))))))</f>
        <v>#N/A</v>
      </c>
      <c r="F121" s="82" t="str">
        <f>IF(B121&lt;=Hypothèses!$C$7,Hypothèses!$F$7,IF(B121&lt;=Hypothèses!$C$8,Hypothèses!$F$8,IF(B121&lt;=Hypothèses!$C$9,Hypothèses!$F$9,IF(B121&lt;=Hypothèses!$C$10,Hypothèses!$F$10,IF(B121&lt;=Hypothèses!$C$11,Hypothèses!$F$11,IF(B121&lt;=Hypothèses!$C$12,Hypothèses!$F$12,IF(B121&lt;=Hypothèses!$C$13,Hypothèses!$F$13,IF(B121&lt;=Hypothèses!$C$14,Hypothèses!$F$14,IF(B121&lt;=Hypothèses!$C$15,Hypothèses!$F$15,IF(B121&lt;=Hypothèses!$C$16,Hypothèses!$F$16,IF(B121&lt;=Hypothèses!$C$17,Hypothèses!$F$17,IF(B121&lt;=Hypothèses!$C$18,Hypothèses!$F$18,F120))))))))))))</f>
        <v/>
      </c>
      <c r="G121" s="91">
        <f t="array" ref="G121">INDEX('Coeff EC7'!$U$7:$X$27,
MATCH(Model0.1T!$B$3,'Coeff EC7'!$T$7:$T$27,0),
MATCH(Model0.1T!$D121&amp;Model0.1T!$B$4,
'Coeff EC7'!$U$6:$X$6&amp;
'Coeff EC7'!$U$5:$X$5,0))</f>
        <v>1.4</v>
      </c>
      <c r="H121" s="91">
        <f t="array" ref="H121">INDEX('Coeff EC7'!$Y$7:$AB$27,
MATCH(Model0.1T!$B$3,'Coeff EC7'!$T$7:$T$27,0),
MATCH(Model0.1T!$D121&amp;Model0.1T!$B$4,
'Coeff EC7'!$Y$6:$AB$6&amp;
'Coeff EC7'!$Y$5:$AB$5,0))</f>
        <v>1.7</v>
      </c>
      <c r="I121" s="83">
        <v>0</v>
      </c>
      <c r="J121" s="91" t="e">
        <f t="array" ref="J121">INDEX('Coeff EC7'!$D$33:$Q$33,1,MATCH(D121&amp;E121,'Coeff EC7'!$D$31:$Q$31&amp;'Coeff EC7'!$D$32:$Q$32,0))</f>
        <v>#N/A</v>
      </c>
      <c r="K121" s="91" t="e">
        <f t="array" ref="K121">INDEX('Coeff EC7'!$D$34:$Q$34,1,MATCH(D121&amp;E121,'Coeff EC7'!$D$31:$Q$31&amp;'Coeff EC7'!$D$32:$Q$32,0))</f>
        <v>#N/A</v>
      </c>
      <c r="L121" s="91" t="e">
        <f t="array" ref="L121">INDEX('Coeff EC7'!$D$35:$Q$35,1,MATCH(D121&amp;E121,'Coeff EC7'!$D$31:$Q$31&amp;'Coeff EC7'!$D$32:$Q$32,0))</f>
        <v>#N/A</v>
      </c>
      <c r="M121" s="98" t="e">
        <f t="shared" si="131"/>
        <v>#N/A</v>
      </c>
      <c r="N121" s="99" t="e">
        <f t="array" ref="N121">INDEX('Coeff EC7'!$D$7:$Q$27,MATCH($B$3,'Coeff EC7'!$C$7:$C$27,0),MATCH(D121&amp;E121,'Coeff EC7'!$D$5:$Q$5&amp;'Coeff EC7'!$D$6:$Q$6,0))</f>
        <v>#N/A</v>
      </c>
      <c r="O121" s="99" t="e">
        <f t="array" ref="O121">INDEX('Coeff EC7'!$D$41:$Q$61,MATCH($B$3,'Coeff EC7'!$C$41:$C$61,0),MATCH(D121&amp;E121,'Coeff EC7'!$D$39:$Q$39&amp;'Coeff EC7'!$D$40:$Q$40,0))</f>
        <v>#N/A</v>
      </c>
      <c r="P121" s="30" t="e">
        <f t="shared" si="166"/>
        <v>#N/A</v>
      </c>
      <c r="Q121" s="100" t="e">
        <f t="shared" si="133"/>
        <v>#N/A</v>
      </c>
      <c r="R121" s="86" t="b">
        <f t="shared" si="134"/>
        <v>0</v>
      </c>
      <c r="S121" s="86">
        <f t="shared" si="132"/>
        <v>0.5</v>
      </c>
      <c r="T121" s="86">
        <f t="shared" si="135"/>
        <v>0.5</v>
      </c>
      <c r="U121" s="30" t="e">
        <f t="shared" ca="1" si="167"/>
        <v>#DIV/0!</v>
      </c>
      <c r="V121" s="85" t="str">
        <f>IF(B121&lt;=Hypothèses!$V$7,Hypothèses!$W$7,IF(B121&lt;=Hypothèses!$V$8,Hypothèses!$W$8,IF(B121&lt;=Hypothèses!$V$9,Hypothèses!$W$9,IF(B121&lt;=Hypothèses!$V$10,Hypothèses!$W$10,IF(B121&lt;=Hypothèses!$V$11,Hypothèses!$W$11,IF(B121&lt;=Hypothèses!$V$12,Hypothèses!$W$12,IF(B121&lt;=Hypothèses!$V$13,Hypothèses!$W$13,IF(B121&lt;=Hypothèses!$V$14,Hypothèses!$W$14,IF(B121&lt;=Hypothèses!$V$15,Hypothèses!$W$15,IF(B121&lt;=Hypothèses!$V$16,Hypothèses!$W$16,IF(B121&lt;=Hypothèses!$V$17,Hypothèses!$W$17,IF(B121&lt;=Hypothèses!$V$18,Hypothèses!$W$18,""))))))))))))</f>
        <v/>
      </c>
      <c r="W121" s="87" t="e">
        <f t="shared" ca="1" si="216"/>
        <v>#DIV/0!</v>
      </c>
      <c r="X121" s="88" t="str">
        <f>IF(B121&lt;=Hypothèses!$V$7,Hypothèses!$X$7,IF(B121&lt;=Hypothèses!$V$8,Hypothèses!$X$8,IF(B121&lt;=Hypothèses!$V$9,Hypothèses!$X$9,IF(B121&lt;=Hypothèses!$V$10,Hypothèses!$X$10,IF(B121&lt;=Hypothèses!$V$11,Hypothèses!$X$11,IF(B121&lt;=Hypothèses!$V$12,Hypothèses!$X$12,IF(B121&lt;=Hypothèses!$V$13,Hypothèses!$X$13,IF(B121&lt;=Hypothèses!$V$14,Hypothèses!$X$14,IF(B121&lt;=Hypothèses!$V$15,Hypothèses!$X$15,IF(B121&lt;=Hypothèses!$V$16,Hypothèses!$X$16,IF(B121&lt;=Hypothèses!$U$17,Hypothèses!$W$17,IF(B121&lt;=Hypothèses!$U$18,Hypothèses!$W$18,""))))))))))))</f>
        <v/>
      </c>
      <c r="Y121" s="95" t="e">
        <f t="shared" ca="1" si="136"/>
        <v>#DIV/0!</v>
      </c>
      <c r="Z121" s="101">
        <f t="shared" si="137"/>
        <v>0</v>
      </c>
      <c r="AA121" s="91">
        <f t="shared" si="138"/>
        <v>0</v>
      </c>
      <c r="AB121" s="30" t="e">
        <f t="shared" si="200"/>
        <v>#N/A</v>
      </c>
      <c r="AC121" s="30" t="e">
        <f t="shared" si="201"/>
        <v>#N/A</v>
      </c>
      <c r="AD121" s="31" t="e">
        <f>IF(OR(Hypothèses!$B$4=17,Hypothèses!$B$4=18,Hypothèses!$B$4=19,Hypothèses!$B$4=20),
IF($D121="Pressio.",
IF(OR($E121=3,$E121=1,$E121=4),AC121,AB121),
IF($D121="Pénétro.",
IF(OR($E121=3,$E121=1,$E121=4),AC121,AB121))),IF($D121="Pressio.",
IF($E121=3,AC121,AB121),
IF($D121="Pénétro.",
IF($E121=4,AC121,AB121))))</f>
        <v>#N/A</v>
      </c>
      <c r="AE121" s="31">
        <v>0</v>
      </c>
      <c r="AF121" s="102" t="e">
        <f>IF(NDC!$H$10="Oui",(VLOOKUP($B$3,'Coeff EC7'!$T$39:$X$59,2,0)*AD121+VLOOKUP($B$3,'Coeff EC7'!$T$65:$X$85,2,0)*Model0.1T!AE121)/1.5,PI()*AB$12*$Q121*($B121-$B120)*0.15/10+AF120)</f>
        <v>#N/A</v>
      </c>
      <c r="AG121" s="102" t="e">
        <f>(VLOOKUP($B$3,'Coeff EC7'!$T$39:$X$59,3,0)*AD121+VLOOKUP($B$3,'Coeff EC7'!$T$65:$X$85,3,0)*Model0.1T!AE121)/1.1</f>
        <v>#N/A</v>
      </c>
      <c r="AH121" s="102" t="e">
        <f t="shared" si="168"/>
        <v>#N/A</v>
      </c>
      <c r="AI121" s="102" t="e">
        <f t="shared" si="169"/>
        <v>#N/A</v>
      </c>
      <c r="AJ121" s="414" t="e">
        <f>IF(AND(AF121&gt;NDC!$C$63,AG121&gt;NDC!$C$65,AH121&gt;NDC!$D$73,AI121&gt;NDC!$D$74,$B121&gt;NDC!$H$22-0.1+MIN(3*$AJ$12,1.5)),0,1)</f>
        <v>#N/A</v>
      </c>
      <c r="AK121" s="86" t="b">
        <f t="shared" si="139"/>
        <v>0</v>
      </c>
      <c r="AL121" s="86">
        <f t="shared" si="170"/>
        <v>0.5</v>
      </c>
      <c r="AM121" s="86">
        <f t="shared" si="140"/>
        <v>0.5</v>
      </c>
      <c r="AN121" s="30" t="e">
        <f t="shared" ca="1" si="171"/>
        <v>#DIV/0!</v>
      </c>
      <c r="AO121" s="85" t="e">
        <f ca="1">IF(U121&lt;=Hypothèses!$V$7,Hypothèses!$W$7,IF(U121&lt;=Hypothèses!$V$8,Hypothèses!$W$8,IF(U121&lt;=Hypothèses!$V$9,Hypothèses!$W$9,IF(U121&lt;=Hypothèses!$V$10,Hypothèses!$W$10,IF(U121&lt;=Hypothèses!$V$11,Hypothèses!$W$11,IF(U121&lt;=Hypothèses!$V$12,Hypothèses!$W$12,IF(U121&lt;=Hypothèses!$V$13,Hypothèses!$W$13,IF(U121&lt;=Hypothèses!$V$14,Hypothèses!$W$14,IF(U121&lt;=Hypothèses!$V$15,Hypothèses!$W$15,IF(U121&lt;=Hypothèses!$V$16,Hypothèses!$W$16,IF(U121&lt;=Hypothèses!$V$17,Hypothèses!$W$17,IF(U121&lt;=Hypothèses!$V$18,Hypothèses!$W$18,""))))))))))))</f>
        <v>#DIV/0!</v>
      </c>
      <c r="AP121" s="87" t="e">
        <f t="shared" ca="1" si="217"/>
        <v>#DIV/0!</v>
      </c>
      <c r="AQ121" s="88" t="e">
        <f ca="1">IF(U121&lt;=Hypothèses!$V$7,Hypothèses!$X$7,IF(U121&lt;=Hypothèses!$V$8,Hypothèses!$X$8,IF(U121&lt;=Hypothèses!$V$9,Hypothèses!$X$9,IF(U121&lt;=Hypothèses!$V$10,Hypothèses!$X$10,IF(U121&lt;=Hypothèses!$V$11,Hypothèses!$X$11,IF(U121&lt;=Hypothèses!$V$12,Hypothèses!$X$12,IF(U121&lt;=Hypothèses!$V$13,Hypothèses!$X$13,IF(U121&lt;=Hypothèses!$V$14,Hypothèses!$X$14,IF(U121&lt;=Hypothèses!$V$15,Hypothèses!$X$15,IF(U121&lt;=Hypothèses!$V$16,Hypothèses!$X$16,IF(U121&lt;=Hypothèses!$U$17,Hypothèses!$W$17,IF(U121&lt;=Hypothèses!$U$18,Hypothèses!$W$18,""))))))))))))</f>
        <v>#DIV/0!</v>
      </c>
      <c r="AR121" s="95" t="e">
        <f t="shared" ca="1" si="172"/>
        <v>#DIV/0!</v>
      </c>
      <c r="AS121" s="101">
        <f t="shared" si="224"/>
        <v>0</v>
      </c>
      <c r="AT121" s="91">
        <f t="shared" si="141"/>
        <v>0</v>
      </c>
      <c r="AU121" s="30" t="e">
        <f t="shared" si="202"/>
        <v>#N/A</v>
      </c>
      <c r="AV121" s="30" t="e">
        <f t="shared" si="203"/>
        <v>#N/A</v>
      </c>
      <c r="AW121" s="31" t="e">
        <f>IF(OR(Hypothèses!$B$4=17,Hypothèses!$B$4=18,Hypothèses!$B$4=19,Hypothèses!$B$4=20),
IF($D121="Pressio.",
IF(OR($E121=3,$E121=1,$E121=4),AV121,AU121),
IF($D121="Pénétro.",
IF(OR($E121=3,$E121=1,$E121=4),AV121,AU121))),IF($D121="Pressio.",
IF($E121=3,AV121,AU121),
IF($D121="Pénétro.",
IF($E121=4,AV121,AU121))))</f>
        <v>#N/A</v>
      </c>
      <c r="AX121" s="31">
        <v>0</v>
      </c>
      <c r="AY121" s="102" t="e">
        <f>IF(NDC!$H$10="Oui",(VLOOKUP($B$3,'Coeff EC7'!$T$39:$X$59,2,0)*AW121+VLOOKUP($B$3,'Coeff EC7'!$T$65:$X$85,2,0)*Model0.1T!AX121)/1.5,PI()*AU$12*$Q121*($B121-$B120)*0.15/10+AY120)</f>
        <v>#N/A</v>
      </c>
      <c r="AZ121" s="102" t="e">
        <f>(VLOOKUP($B$3,'Coeff EC7'!$T$39:$X$59,3,0)*AW121+VLOOKUP($B$3,'Coeff EC7'!$T$65:$X$85,3,0)*Model0.1T!AX121)/1.1</f>
        <v>#N/A</v>
      </c>
      <c r="BA121" s="102" t="e">
        <f t="shared" si="173"/>
        <v>#N/A</v>
      </c>
      <c r="BB121" s="102" t="e">
        <f t="shared" si="174"/>
        <v>#N/A</v>
      </c>
      <c r="BC121" s="414" t="e">
        <f>IF(AND(AY121&gt;NDC!$C$63,AZ121&gt;NDC!$C$65,BA121&gt;NDC!$D$73,BB121&gt;NDC!$D$74,$B121&gt;NDC!$H$22-0.1+MIN(3*BC$12,1.5)),0,1)</f>
        <v>#N/A</v>
      </c>
      <c r="BD121" s="86" t="b">
        <f t="shared" si="142"/>
        <v>0</v>
      </c>
      <c r="BE121" s="86">
        <f t="shared" si="175"/>
        <v>0.5</v>
      </c>
      <c r="BF121" s="86">
        <f t="shared" si="143"/>
        <v>0.5</v>
      </c>
      <c r="BG121" s="30" t="e">
        <f t="shared" ca="1" si="176"/>
        <v>#DIV/0!</v>
      </c>
      <c r="BH121" s="85" t="e">
        <f ca="1">IF(AN121&lt;=Hypothèses!$V$7,Hypothèses!$W$7,IF(AN121&lt;=Hypothèses!$V$8,Hypothèses!$W$8,IF(AN121&lt;=Hypothèses!$V$9,Hypothèses!$W$9,IF(AN121&lt;=Hypothèses!$V$10,Hypothèses!$W$10,IF(AN121&lt;=Hypothèses!$V$11,Hypothèses!$W$11,IF(AN121&lt;=Hypothèses!$V$12,Hypothèses!$W$12,IF(AN121&lt;=Hypothèses!$V$13,Hypothèses!$W$13,IF(AN121&lt;=Hypothèses!$V$14,Hypothèses!$W$14,IF(AN121&lt;=Hypothèses!$V$15,Hypothèses!$W$15,IF(AN121&lt;=Hypothèses!$V$16,Hypothèses!$W$16,IF(AN121&lt;=Hypothèses!$V$17,Hypothèses!$W$17,IF(AN121&lt;=Hypothèses!$V$18,Hypothèses!$W$18,""))))))))))))</f>
        <v>#DIV/0!</v>
      </c>
      <c r="BI121" s="87" t="e">
        <f t="shared" ca="1" si="218"/>
        <v>#DIV/0!</v>
      </c>
      <c r="BJ121" s="88" t="e">
        <f ca="1">IF(AN121&lt;=Hypothèses!$V$7,Hypothèses!$X$7,IF(AN121&lt;=Hypothèses!$V$8,Hypothèses!$X$8,IF(AN121&lt;=Hypothèses!$V$9,Hypothèses!$X$9,IF(AN121&lt;=Hypothèses!$V$10,Hypothèses!$X$10,IF(AN121&lt;=Hypothèses!$V$11,Hypothèses!$X$11,IF(AN121&lt;=Hypothèses!$V$12,Hypothèses!$X$12,IF(AN121&lt;=Hypothèses!$V$13,Hypothèses!$X$13,IF(AN121&lt;=Hypothèses!$V$14,Hypothèses!$X$14,IF(AN121&lt;=Hypothèses!$V$15,Hypothèses!$X$15,IF(AN121&lt;=Hypothèses!$V$16,Hypothèses!$X$16,IF(AN121&lt;=Hypothèses!$U$17,Hypothèses!$W$17,IF(AN121&lt;=Hypothèses!$U$18,Hypothèses!$W$18,""))))))))))))</f>
        <v>#DIV/0!</v>
      </c>
      <c r="BK121" s="95" t="e">
        <f t="shared" ca="1" si="177"/>
        <v>#DIV/0!</v>
      </c>
      <c r="BL121" s="101">
        <f t="shared" si="225"/>
        <v>0</v>
      </c>
      <c r="BM121" s="91">
        <f t="shared" si="144"/>
        <v>0</v>
      </c>
      <c r="BN121" s="30" t="e">
        <f t="shared" si="204"/>
        <v>#N/A</v>
      </c>
      <c r="BO121" s="30" t="e">
        <f t="shared" si="205"/>
        <v>#N/A</v>
      </c>
      <c r="BP121" s="31" t="e">
        <f>IF(OR(Hypothèses!$B$4=17,Hypothèses!$B$4=18,Hypothèses!$B$4=19,Hypothèses!$B$4=20),
IF($D121="Pressio.",
IF(OR($E121=3,$E121=1,$E121=4),BO121,BN121),
IF($D121="Pénétro.",
IF(OR($E121=3,$E121=1,$E121=4),BO121,BN121))),IF($D121="Pressio.",
IF($E121=3,BO121,BN121),
IF($D121="Pénétro.",
IF($E121=4,BO121,BN121))))</f>
        <v>#N/A</v>
      </c>
      <c r="BQ121" s="31">
        <v>0</v>
      </c>
      <c r="BR121" s="102" t="e">
        <f>IF(NDC!$H$10="Oui",(VLOOKUP($B$3,'Coeff EC7'!$T$39:$X$59,2,0)*BP121+VLOOKUP($B$3,'Coeff EC7'!$T$65:$X$85,2,0)*Model0.1T!BQ121)/1.5,PI()*BN$12*$Q121*($B121-$B120)*0.15/10+BR120)</f>
        <v>#N/A</v>
      </c>
      <c r="BS121" s="102" t="e">
        <f>(VLOOKUP($B$3,'Coeff EC7'!$T$39:$X$59,3,0)*BP121+VLOOKUP($B$3,'Coeff EC7'!$T$65:$X$85,3,0)*Model0.1T!BQ121)/1.1</f>
        <v>#N/A</v>
      </c>
      <c r="BT121" s="102" t="e">
        <f t="shared" si="178"/>
        <v>#N/A</v>
      </c>
      <c r="BU121" s="102" t="e">
        <f t="shared" si="179"/>
        <v>#N/A</v>
      </c>
      <c r="BV121" s="414" t="e">
        <f>IF(AND(BR121&gt;NDC!$C$63,BS121&gt;NDC!$C$65,BT121&gt;NDC!$D$73,BU121&gt;NDC!$D$74,$B121&gt;NDC!$H$22-0.1+MIN(3*BV$12,1.5)),0,1)</f>
        <v>#N/A</v>
      </c>
      <c r="BW121" s="86" t="b">
        <f t="shared" si="145"/>
        <v>0</v>
      </c>
      <c r="BX121" s="86">
        <f t="shared" si="146"/>
        <v>0.5</v>
      </c>
      <c r="BY121" s="86">
        <f t="shared" si="147"/>
        <v>0.5</v>
      </c>
      <c r="BZ121" s="30" t="e">
        <f t="shared" ca="1" si="180"/>
        <v>#DIV/0!</v>
      </c>
      <c r="CA121" s="85" t="e">
        <f ca="1">IF(BG121&lt;=Hypothèses!$V$7,Hypothèses!$W$7,IF(BG121&lt;=Hypothèses!$V$8,Hypothèses!$W$8,IF(BG121&lt;=Hypothèses!$V$9,Hypothèses!$W$9,IF(BG121&lt;=Hypothèses!$V$10,Hypothèses!$W$10,IF(BG121&lt;=Hypothèses!$V$11,Hypothèses!$W$11,IF(BG121&lt;=Hypothèses!$V$12,Hypothèses!$W$12,IF(BG121&lt;=Hypothèses!$V$13,Hypothèses!$W$13,IF(BG121&lt;=Hypothèses!$V$14,Hypothèses!$W$14,IF(BG121&lt;=Hypothèses!$V$15,Hypothèses!$W$15,IF(BG121&lt;=Hypothèses!$V$16,Hypothèses!$W$16,IF(BG121&lt;=Hypothèses!$V$17,Hypothèses!$W$17,IF(BG121&lt;=Hypothèses!$V$18,Hypothèses!$W$18,""))))))))))))</f>
        <v>#DIV/0!</v>
      </c>
      <c r="CB121" s="87" t="e">
        <f t="shared" ca="1" si="219"/>
        <v>#DIV/0!</v>
      </c>
      <c r="CC121" s="88" t="e">
        <f ca="1">IF(BG121&lt;=Hypothèses!$V$7,Hypothèses!$X$7,IF(BG121&lt;=Hypothèses!$V$8,Hypothèses!$X$8,IF(BG121&lt;=Hypothèses!$V$9,Hypothèses!$X$9,IF(BG121&lt;=Hypothèses!$V$10,Hypothèses!$X$10,IF(BG121&lt;=Hypothèses!$V$11,Hypothèses!$X$11,IF(BG121&lt;=Hypothèses!$V$12,Hypothèses!$X$12,IF(BG121&lt;=Hypothèses!$V$13,Hypothèses!$X$13,IF(BG121&lt;=Hypothèses!$V$14,Hypothèses!$X$14,IF(BG121&lt;=Hypothèses!$V$15,Hypothèses!$X$15,IF(BG121&lt;=Hypothèses!$V$16,Hypothèses!$X$16,IF(BG121&lt;=Hypothèses!$U$17,Hypothèses!$W$17,IF(BG121&lt;=Hypothèses!$U$18,Hypothèses!$W$18,""))))))))))))</f>
        <v>#DIV/0!</v>
      </c>
      <c r="CD121" s="95" t="e">
        <f t="shared" ca="1" si="181"/>
        <v>#DIV/0!</v>
      </c>
      <c r="CE121" s="101">
        <f t="shared" si="226"/>
        <v>0</v>
      </c>
      <c r="CF121" s="91">
        <f t="shared" si="148"/>
        <v>0</v>
      </c>
      <c r="CG121" s="30" t="e">
        <f t="shared" si="206"/>
        <v>#N/A</v>
      </c>
      <c r="CH121" s="30" t="e">
        <f t="shared" si="207"/>
        <v>#N/A</v>
      </c>
      <c r="CI121" s="31" t="e">
        <f>IF(OR(Hypothèses!$B$4=17,Hypothèses!$B$4=18,Hypothèses!$B$4=19,Hypothèses!$B$4=20),
IF($D121="Pressio.",
IF(OR($E121=3,$E121=1,$E121=4),CH121,CG121),
IF($D121="Pénétro.",
IF(OR($E121=3,$E121=1,$E121=4),CH121,CG121))),IF($D121="Pressio.",
IF($E121=3,CH121,CG121),
IF($D121="Pénétro.",
IF($E121=4,CH121,CG121))))</f>
        <v>#N/A</v>
      </c>
      <c r="CJ121" s="31">
        <v>0</v>
      </c>
      <c r="CK121" s="102" t="e">
        <f>IF(NDC!$H$10="Oui",(VLOOKUP($B$3,'Coeff EC7'!$T$39:$X$59,2,0)*CI121+VLOOKUP($B$3,'Coeff EC7'!$T$65:$X$85,2,0)*Model0.1T!CJ121)/1.5,PI()*CG$12*$Q121*($B121-$B120)*0.15/10+CK120)</f>
        <v>#N/A</v>
      </c>
      <c r="CL121" s="102" t="e">
        <f>(VLOOKUP($B$3,'Coeff EC7'!$T$39:$X$59,3,0)*CI121+VLOOKUP($B$3,'Coeff EC7'!$T$65:$X$85,3,0)*Model0.1T!CJ121)/1.1</f>
        <v>#N/A</v>
      </c>
      <c r="CM121" s="102" t="e">
        <f t="shared" si="182"/>
        <v>#N/A</v>
      </c>
      <c r="CN121" s="102" t="e">
        <f t="shared" si="183"/>
        <v>#N/A</v>
      </c>
      <c r="CO121" s="414" t="e">
        <f>IF(AND(CK121&gt;NDC!$C$63,CL121&gt;NDC!$C$65,CM121&gt;NDC!$D$73,CN121&gt;NDC!$D$74,$B121&gt;NDC!$H$22-0.1+MIN(3*CO$12,1.5)),0,1)</f>
        <v>#N/A</v>
      </c>
      <c r="CP121" s="86" t="b">
        <f t="shared" si="149"/>
        <v>0</v>
      </c>
      <c r="CQ121" s="86">
        <f t="shared" si="150"/>
        <v>0.5</v>
      </c>
      <c r="CR121" s="86">
        <f t="shared" si="151"/>
        <v>0.5</v>
      </c>
      <c r="CS121" s="30" t="e">
        <f t="shared" ca="1" si="184"/>
        <v>#DIV/0!</v>
      </c>
      <c r="CT121" s="85" t="e">
        <f ca="1">IF(BZ121&lt;=Hypothèses!$V$7,Hypothèses!$W$7,IF(BZ121&lt;=Hypothèses!$V$8,Hypothèses!$W$8,IF(BZ121&lt;=Hypothèses!$V$9,Hypothèses!$W$9,IF(BZ121&lt;=Hypothèses!$V$10,Hypothèses!$W$10,IF(BZ121&lt;=Hypothèses!$V$11,Hypothèses!$W$11,IF(BZ121&lt;=Hypothèses!$V$12,Hypothèses!$W$12,IF(BZ121&lt;=Hypothèses!$V$13,Hypothèses!$W$13,IF(BZ121&lt;=Hypothèses!$V$14,Hypothèses!$W$14,IF(BZ121&lt;=Hypothèses!$V$15,Hypothèses!$W$15,IF(BZ121&lt;=Hypothèses!$V$16,Hypothèses!$W$16,IF(BZ121&lt;=Hypothèses!$V$17,Hypothèses!$W$17,IF(BZ121&lt;=Hypothèses!$V$18,Hypothèses!$W$18,""))))))))))))</f>
        <v>#DIV/0!</v>
      </c>
      <c r="CU121" s="87" t="e">
        <f t="shared" ca="1" si="220"/>
        <v>#DIV/0!</v>
      </c>
      <c r="CV121" s="88" t="e">
        <f ca="1">IF(BZ121&lt;=Hypothèses!$V$7,Hypothèses!$X$7,IF(BZ121&lt;=Hypothèses!$V$8,Hypothèses!$X$8,IF(BZ121&lt;=Hypothèses!$V$9,Hypothèses!$X$9,IF(BZ121&lt;=Hypothèses!$V$10,Hypothèses!$X$10,IF(BZ121&lt;=Hypothèses!$V$11,Hypothèses!$X$11,IF(BZ121&lt;=Hypothèses!$V$12,Hypothèses!$X$12,IF(BZ121&lt;=Hypothèses!$V$13,Hypothèses!$X$13,IF(BZ121&lt;=Hypothèses!$V$14,Hypothèses!$X$14,IF(BZ121&lt;=Hypothèses!$V$15,Hypothèses!$X$15,IF(BZ121&lt;=Hypothèses!$V$16,Hypothèses!$X$16,IF(BZ121&lt;=Hypothèses!$U$17,Hypothèses!$W$17,IF(BZ121&lt;=Hypothèses!$U$18,Hypothèses!$W$18,""))))))))))))</f>
        <v>#DIV/0!</v>
      </c>
      <c r="CW121" s="95" t="e">
        <f t="shared" ca="1" si="185"/>
        <v>#DIV/0!</v>
      </c>
      <c r="CX121" s="101">
        <f t="shared" si="227"/>
        <v>0</v>
      </c>
      <c r="CY121" s="91">
        <f t="shared" si="152"/>
        <v>0</v>
      </c>
      <c r="CZ121" s="30" t="e">
        <f t="shared" si="208"/>
        <v>#N/A</v>
      </c>
      <c r="DA121" s="30" t="e">
        <f t="shared" si="209"/>
        <v>#N/A</v>
      </c>
      <c r="DB121" s="31" t="e">
        <f>IF(OR(Hypothèses!$B$4=17,Hypothèses!$B$4=18,Hypothèses!$B$4=19,Hypothèses!$B$4=20),
IF($D121="Pressio.",
IF(OR($E121=3,$E121=1,$E121=4),DA121,CZ121),
IF($D121="Pénétro.",
IF(OR($E121=3,$E121=1,$E121=4),DA121,CZ121))),IF($D121="Pressio.",
IF($E121=3,DA121,CZ121),
IF($D121="Pénétro.",
IF($E121=4,DA121,CZ121))))</f>
        <v>#N/A</v>
      </c>
      <c r="DC121" s="31">
        <v>0</v>
      </c>
      <c r="DD121" s="102" t="e">
        <f>IF(NDC!$H$10="Oui",(VLOOKUP($B$3,'Coeff EC7'!$T$39:$X$59,2,0)*DB121+VLOOKUP($B$3,'Coeff EC7'!$T$65:$X$85,2,0)*Model0.1T!DC121)/1.5,PI()*CZ$12*$Q121*($B121-$B120)*0.15/10+DD120)</f>
        <v>#N/A</v>
      </c>
      <c r="DE121" s="102" t="e">
        <f>(VLOOKUP($B$3,'Coeff EC7'!$T$39:$X$59,3,0)*DB121+VLOOKUP($B$3,'Coeff EC7'!$T$65:$X$85,3,0)*Model0.1T!DC121)/1.1</f>
        <v>#N/A</v>
      </c>
      <c r="DF121" s="102" t="e">
        <f t="shared" si="186"/>
        <v>#N/A</v>
      </c>
      <c r="DG121" s="102" t="e">
        <f t="shared" si="187"/>
        <v>#N/A</v>
      </c>
      <c r="DH121" s="414" t="e">
        <f>IF(AND(DD121&gt;NDC!$C$63,DE121&gt;NDC!$C$65,DF121&gt;NDC!$D$73,DG121&gt;NDC!$D$74,$B121&gt;NDC!$H$22-0.1+MIN(3*DH$12,1.5)),0,1)</f>
        <v>#N/A</v>
      </c>
      <c r="DI121" s="86" t="b">
        <f t="shared" si="153"/>
        <v>0</v>
      </c>
      <c r="DJ121" s="86">
        <f t="shared" si="154"/>
        <v>0.5</v>
      </c>
      <c r="DK121" s="86">
        <f t="shared" si="155"/>
        <v>0.5</v>
      </c>
      <c r="DL121" s="30" t="e">
        <f t="shared" ca="1" si="188"/>
        <v>#DIV/0!</v>
      </c>
      <c r="DM121" s="85" t="e">
        <f ca="1">IF(CS121&lt;=Hypothèses!$V$7,Hypothèses!$W$7,IF(CS121&lt;=Hypothèses!$V$8,Hypothèses!$W$8,IF(CS121&lt;=Hypothèses!$V$9,Hypothèses!$W$9,IF(CS121&lt;=Hypothèses!$V$10,Hypothèses!$W$10,IF(CS121&lt;=Hypothèses!$V$11,Hypothèses!$W$11,IF(CS121&lt;=Hypothèses!$V$12,Hypothèses!$W$12,IF(CS121&lt;=Hypothèses!$V$13,Hypothèses!$W$13,IF(CS121&lt;=Hypothèses!$V$14,Hypothèses!$W$14,IF(CS121&lt;=Hypothèses!$V$15,Hypothèses!$W$15,IF(CS121&lt;=Hypothèses!$V$16,Hypothèses!$W$16,IF(CS121&lt;=Hypothèses!$V$17,Hypothèses!$W$17,IF(CS121&lt;=Hypothèses!$V$18,Hypothèses!$W$18,""))))))))))))</f>
        <v>#DIV/0!</v>
      </c>
      <c r="DN121" s="87" t="e">
        <f t="shared" ca="1" si="221"/>
        <v>#DIV/0!</v>
      </c>
      <c r="DO121" s="88" t="e">
        <f ca="1">IF(CS121&lt;=Hypothèses!$V$7,Hypothèses!$X$7,IF(CS121&lt;=Hypothèses!$V$8,Hypothèses!$X$8,IF(CS121&lt;=Hypothèses!$V$9,Hypothèses!$X$9,IF(CS121&lt;=Hypothèses!$V$10,Hypothèses!$X$10,IF(CS121&lt;=Hypothèses!$V$11,Hypothèses!$X$11,IF(CS121&lt;=Hypothèses!$V$12,Hypothèses!$X$12,IF(CS121&lt;=Hypothèses!$V$13,Hypothèses!$X$13,IF(CS121&lt;=Hypothèses!$V$14,Hypothèses!$X$14,IF(CS121&lt;=Hypothèses!$V$15,Hypothèses!$X$15,IF(CS121&lt;=Hypothèses!$V$16,Hypothèses!$X$16,IF(CS121&lt;=Hypothèses!$U$17,Hypothèses!$W$17,IF(CS121&lt;=Hypothèses!$U$18,Hypothèses!$W$18,""))))))))))))</f>
        <v>#DIV/0!</v>
      </c>
      <c r="DP121" s="95" t="e">
        <f t="shared" ca="1" si="189"/>
        <v>#DIV/0!</v>
      </c>
      <c r="DQ121" s="101">
        <f t="shared" si="228"/>
        <v>0</v>
      </c>
      <c r="DR121" s="91">
        <f t="shared" si="156"/>
        <v>0</v>
      </c>
      <c r="DS121" s="30" t="e">
        <f t="shared" si="210"/>
        <v>#N/A</v>
      </c>
      <c r="DT121" s="30" t="e">
        <f t="shared" si="211"/>
        <v>#N/A</v>
      </c>
      <c r="DU121" s="31" t="e">
        <f>IF(OR(Hypothèses!$B$4=17,Hypothèses!$B$4=18,Hypothèses!$B$4=19,Hypothèses!$B$4=20),
IF($D121="Pressio.",
IF(OR($E121=3,$E121=1,$E121=4),DT121,DS121),
IF($D121="Pénétro.",
IF(OR($E121=3,$E121=1,$E121=4),DT121,DS121))),IF($D121="Pressio.",
IF($E121=3,DT121,DS121),
IF($D121="Pénétro.",
IF($E121=4,DT121,DS121))))</f>
        <v>#N/A</v>
      </c>
      <c r="DV121" s="31">
        <v>0</v>
      </c>
      <c r="DW121" s="102" t="e">
        <f>IF(NDC!$H$10="Oui",(VLOOKUP($B$3,'Coeff EC7'!$T$39:$X$59,2,0)*DU121+VLOOKUP($B$3,'Coeff EC7'!$T$65:$X$85,2,0)*Model0.1T!DV121)/1.5,PI()*DS$12*$Q121*($B121-$B120)*0.15/10+DW120)</f>
        <v>#N/A</v>
      </c>
      <c r="DX121" s="102" t="e">
        <f>(VLOOKUP($B$3,'Coeff EC7'!$T$39:$X$59,3,0)*DU121+VLOOKUP($B$3,'Coeff EC7'!$T$65:$X$85,3,0)*Model0.1T!DV121)/1.1</f>
        <v>#N/A</v>
      </c>
      <c r="DY121" s="102" t="e">
        <f t="shared" si="190"/>
        <v>#N/A</v>
      </c>
      <c r="DZ121" s="102" t="e">
        <f t="shared" si="191"/>
        <v>#N/A</v>
      </c>
      <c r="EA121" s="414" t="e">
        <f>IF(AND(DW121&gt;NDC!$C$63,DX121&gt;NDC!$C$65,DY121&gt;NDC!$D$73,DZ121&gt;NDC!$D$74,$B121&gt;NDC!$H$22-0.1+MIN(3*EA$12,1.5)),0,1)</f>
        <v>#N/A</v>
      </c>
      <c r="EB121" s="86" t="b">
        <f t="shared" si="157"/>
        <v>0</v>
      </c>
      <c r="EC121" s="418">
        <f t="shared" si="158"/>
        <v>0.51</v>
      </c>
      <c r="ED121" s="86">
        <f t="shared" si="159"/>
        <v>0.51</v>
      </c>
      <c r="EE121" s="30" t="e">
        <f t="shared" ca="1" si="192"/>
        <v>#DIV/0!</v>
      </c>
      <c r="EF121" s="85" t="e">
        <f ca="1">IF(DL121&lt;=Hypothèses!$V$7,Hypothèses!$W$7,IF(DL121&lt;=Hypothèses!$V$8,Hypothèses!$W$8,IF(DL121&lt;=Hypothèses!$V$9,Hypothèses!$W$9,IF(DL121&lt;=Hypothèses!$V$10,Hypothèses!$W$10,IF(DL121&lt;=Hypothèses!$V$11,Hypothèses!$W$11,IF(DL121&lt;=Hypothèses!$V$12,Hypothèses!$W$12,IF(DL121&lt;=Hypothèses!$V$13,Hypothèses!$W$13,IF(DL121&lt;=Hypothèses!$V$14,Hypothèses!$W$14,IF(DL121&lt;=Hypothèses!$V$15,Hypothèses!$W$15,IF(DL121&lt;=Hypothèses!$V$16,Hypothèses!$W$16,IF(DL121&lt;=Hypothèses!$V$17,Hypothèses!$W$17,IF(DL121&lt;=Hypothèses!$V$18,Hypothèses!$W$18,""))))))))))))</f>
        <v>#DIV/0!</v>
      </c>
      <c r="EG121" s="87" t="e">
        <f t="shared" ca="1" si="222"/>
        <v>#DIV/0!</v>
      </c>
      <c r="EH121" s="88" t="e">
        <f ca="1">IF(DL121&lt;=Hypothèses!$V$7,Hypothèses!$X$7,IF(DL121&lt;=Hypothèses!$V$8,Hypothèses!$X$8,IF(DL121&lt;=Hypothèses!$V$9,Hypothèses!$X$9,IF(DL121&lt;=Hypothèses!$V$10,Hypothèses!$X$10,IF(DL121&lt;=Hypothèses!$V$11,Hypothèses!$X$11,IF(DL121&lt;=Hypothèses!$V$12,Hypothèses!$X$12,IF(DL121&lt;=Hypothèses!$V$13,Hypothèses!$X$13,IF(DL121&lt;=Hypothèses!$V$14,Hypothèses!$X$14,IF(DL121&lt;=Hypothèses!$V$15,Hypothèses!$X$15,IF(DL121&lt;=Hypothèses!$V$16,Hypothèses!$X$16,IF(DL121&lt;=Hypothèses!$U$17,Hypothèses!$W$17,IF(DL121&lt;=Hypothèses!$U$18,Hypothèses!$W$18,""))))))))))))</f>
        <v>#DIV/0!</v>
      </c>
      <c r="EI121" s="95" t="e">
        <f t="shared" ca="1" si="193"/>
        <v>#DIV/0!</v>
      </c>
      <c r="EJ121" s="101">
        <f t="shared" si="229"/>
        <v>0</v>
      </c>
      <c r="EK121" s="91">
        <f t="shared" si="160"/>
        <v>0</v>
      </c>
      <c r="EL121" s="30" t="e">
        <f t="shared" si="212"/>
        <v>#N/A</v>
      </c>
      <c r="EM121" s="30" t="e">
        <f t="shared" si="213"/>
        <v>#N/A</v>
      </c>
      <c r="EN121" s="31" t="e">
        <f>IF(OR(Hypothèses!$B$4=17,Hypothèses!$B$4=18,Hypothèses!$B$4=19,Hypothèses!$B$4=20),
IF($D121="Pressio.",
IF(OR($E121=3,$E121=1,$E121=4),EM121,EL121),
IF($D121="Pénétro.",
IF(OR($E121=3,$E121=1,$E121=4),EM121,EL121))),IF($D121="Pressio.",
IF($E121=3,EM121,EL121),
IF($D121="Pénétro.",
IF($E121=4,EM121,EL121))))</f>
        <v>#N/A</v>
      </c>
      <c r="EO121" s="31">
        <v>0</v>
      </c>
      <c r="EP121" s="102" t="e">
        <f>IF(NDC!$H$10="Oui",(VLOOKUP($B$3,'Coeff EC7'!$T$39:$X$59,2,0)*EN121+VLOOKUP($B$3,'Coeff EC7'!$T$65:$X$85,2,0)*Model0.1T!EO121)/1.5,PI()*EL$12*$Q121*($B121-$B120)*0.15/10+EP120)</f>
        <v>#N/A</v>
      </c>
      <c r="EQ121" s="102" t="e">
        <f>(VLOOKUP($B$3,'Coeff EC7'!$T$39:$X$59,3,0)*EN121+VLOOKUP($B$3,'Coeff EC7'!$T$65:$X$85,3,0)*Model0.1T!EO121)/1.1</f>
        <v>#N/A</v>
      </c>
      <c r="ER121" s="102" t="e">
        <f t="shared" si="194"/>
        <v>#N/A</v>
      </c>
      <c r="ES121" s="102" t="e">
        <f t="shared" si="195"/>
        <v>#N/A</v>
      </c>
      <c r="ET121" s="414" t="e">
        <f>IF(AND(EP121&gt;NDC!$C$63,EQ121&gt;NDC!$C$65,ER121&gt;NDC!$D$73,ES121&gt;NDC!$D$74,$B121&gt;NDC!$H$22-0.1+MIN(3*ET$12,1.5)),0,1)</f>
        <v>#N/A</v>
      </c>
      <c r="EU121" s="86" t="b">
        <f t="shared" si="161"/>
        <v>0</v>
      </c>
      <c r="EV121" s="86">
        <f t="shared" si="162"/>
        <v>0.61</v>
      </c>
      <c r="EW121" s="86">
        <f t="shared" si="163"/>
        <v>0.61</v>
      </c>
      <c r="EX121" s="30" t="e">
        <f t="shared" ca="1" si="196"/>
        <v>#DIV/0!</v>
      </c>
      <c r="EY121" s="85" t="e">
        <f ca="1">IF(EE121&lt;=Hypothèses!$V$7,Hypothèses!$W$7,IF(EE121&lt;=Hypothèses!$V$8,Hypothèses!$W$8,IF(EE121&lt;=Hypothèses!$V$9,Hypothèses!$W$9,IF(EE121&lt;=Hypothèses!$V$10,Hypothèses!$W$10,IF(EE121&lt;=Hypothèses!$V$11,Hypothèses!$W$11,IF(EE121&lt;=Hypothèses!$V$12,Hypothèses!$W$12,IF(EE121&lt;=Hypothèses!$V$13,Hypothèses!$W$13,IF(EE121&lt;=Hypothèses!$V$14,Hypothèses!$W$14,IF(EE121&lt;=Hypothèses!$V$15,Hypothèses!$W$15,IF(EE121&lt;=Hypothèses!$V$16,Hypothèses!$W$16,IF(EE121&lt;=Hypothèses!$V$17,Hypothèses!$W$17,IF(EE121&lt;=Hypothèses!$V$18,Hypothèses!$W$18,""))))))))))))</f>
        <v>#DIV/0!</v>
      </c>
      <c r="EZ121" s="87" t="e">
        <f t="shared" ca="1" si="223"/>
        <v>#DIV/0!</v>
      </c>
      <c r="FA121" s="88" t="e">
        <f ca="1">IF(EE121&lt;=Hypothèses!$V$7,Hypothèses!$X$7,IF(EE121&lt;=Hypothèses!$V$8,Hypothèses!$X$8,IF(EE121&lt;=Hypothèses!$V$9,Hypothèses!$X$9,IF(EE121&lt;=Hypothèses!$V$10,Hypothèses!$X$10,IF(EE121&lt;=Hypothèses!$V$11,Hypothèses!$X$11,IF(EE121&lt;=Hypothèses!$V$12,Hypothèses!$X$12,IF(EE121&lt;=Hypothèses!$V$13,Hypothèses!$X$13,IF(EE121&lt;=Hypothèses!$V$14,Hypothèses!$X$14,IF(EE121&lt;=Hypothèses!$V$15,Hypothèses!$X$15,IF(EE121&lt;=Hypothèses!$V$16,Hypothèses!$X$16,IF(EE121&lt;=Hypothèses!$U$17,Hypothèses!$W$17,IF(EE121&lt;=Hypothèses!$U$18,Hypothèses!$W$18,""))))))))))))</f>
        <v>#DIV/0!</v>
      </c>
      <c r="FB121" s="95" t="e">
        <f t="shared" ca="1" si="197"/>
        <v>#DIV/0!</v>
      </c>
      <c r="FC121" s="101">
        <f t="shared" si="230"/>
        <v>0</v>
      </c>
      <c r="FD121" s="91">
        <f t="shared" si="164"/>
        <v>0</v>
      </c>
      <c r="FE121" s="30" t="e">
        <f t="shared" si="214"/>
        <v>#N/A</v>
      </c>
      <c r="FF121" s="30" t="e">
        <f t="shared" si="215"/>
        <v>#N/A</v>
      </c>
      <c r="FG121" s="31" t="e">
        <f>IF(OR(Hypothèses!$B$4=17,Hypothèses!$B$4=18,Hypothèses!$B$4=19,Hypothèses!$B$4=20),
IF($D121="Pressio.",
IF(OR($E121=3,$E121=1,$E121=4),FF121,FE121),
IF($D121="Pénétro.",
IF(OR($E121=3,$E121=1,$E121=4),FF121,FE121))),IF($D121="Pressio.",
IF($E121=3,FF121,FE121),
IF($D121="Pénétro.",
IF($E121=4,FF121,FE121))))</f>
        <v>#N/A</v>
      </c>
      <c r="FH121" s="31">
        <v>0</v>
      </c>
      <c r="FI121" s="102" t="e">
        <f>IF(NDC!$H$10="Oui",(VLOOKUP($B$3,'Coeff EC7'!$T$39:$X$59,2,0)*FG121+VLOOKUP($B$3,'Coeff EC7'!$T$65:$X$85,2,0)*Model0.1T!FH121)/1.5,PI()*FE$12*$Q121*($B121-$B120)*0.15/10+FI120)</f>
        <v>#N/A</v>
      </c>
      <c r="FJ121" s="102" t="e">
        <f>(VLOOKUP($B$3,'Coeff EC7'!$T$39:$X$59,3,0)*FG121+VLOOKUP($B$3,'Coeff EC7'!$T$65:$X$85,3,0)*Model0.1T!FH121)/1.1</f>
        <v>#N/A</v>
      </c>
      <c r="FK121" s="102" t="e">
        <f t="shared" si="198"/>
        <v>#N/A</v>
      </c>
      <c r="FL121" s="102" t="e">
        <f t="shared" si="199"/>
        <v>#N/A</v>
      </c>
      <c r="FM121" s="414" t="e">
        <f>IF(AND(FI121&gt;NDC!$C$63,FJ121&gt;NDC!$C$65,FK121&gt;NDC!$D$73,FL121&gt;NDC!$D$74,$B121&gt;NDC!$H$22-0.1+MIN(3*FM$12,1.5)),0,1)</f>
        <v>#N/A</v>
      </c>
    </row>
    <row r="122" spans="1:169">
      <c r="A122" s="96">
        <f t="shared" si="165"/>
        <v>89.10000000000062</v>
      </c>
      <c r="B122" s="97">
        <v>10.9</v>
      </c>
      <c r="C122" s="81">
        <f>IF(B122&lt;=Hypothèses!$C$7,Hypothèses!$A$7,IF(B122&lt;=Hypothèses!$C$8,Hypothèses!$A$8,IF(B122&lt;=Hypothèses!$C$9,Hypothèses!$A$9,IF(B122&lt;=Hypothèses!$C$10,Hypothèses!$A$10,IF(B122&lt;=Hypothèses!$C$11,Hypothèses!$A$11,IF(B122&lt;=Hypothèses!$C$12,Hypothèses!$A$12,IF(B122&lt;=Hypothèses!$C$13,Hypothèses!$A$13,IF(B122&lt;=Hypothèses!$C$14,Hypothèses!$A$14,IF(B122&lt;=Hypothèses!$C$15,Hypothèses!$A$15,IF(B122&lt;=Hypothèses!$C$16,Hypothèses!$A$16,IF(B122&lt;=Hypothèses!$C$17,Hypothèses!$A$17,IF(B122&lt;=Hypothèses!$C$18,Hypothèses!$A$18,C121))))))))))))</f>
        <v>11</v>
      </c>
      <c r="D122" s="82" t="str">
        <f>IF(B122&lt;=Hypothèses!$C$7,Hypothèses!$R$7,IF(B122&lt;=Hypothèses!$C$8,Hypothèses!$R$8,IF(B122&lt;=Hypothèses!$C$9,Hypothèses!$R$9,IF(B122&lt;=Hypothèses!$C$10,Hypothèses!$R$10,IF(B122&lt;=Hypothèses!$C$11,Hypothèses!$R$11,IF(B122&lt;=Hypothèses!$C$12,Hypothèses!$R$12,IF(B122&lt;=Hypothèses!$C$13,Hypothèses!$R$13,IF(B122&lt;=Hypothèses!$C$14,Hypothèses!$R$14,IF(B122&lt;=Hypothèses!$C$15,Hypothèses!$R$15,IF(B122&lt;=Hypothèses!$C$16,Hypothèses!$R$16,IF(B122&lt;=Hypothèses!$C$17,Hypothèses!$R$17,IF(B122&lt;=Hypothèses!$C$18,Hypothèses!$R$18,D121))))))))))))</f>
        <v>Pressio.</v>
      </c>
      <c r="E122" s="82" t="e">
        <f>IF(B122&lt;=Hypothèses!$C$7,Hypothèses!$G$7,IF(B122&lt;=Hypothèses!$C$8,Hypothèses!$G$8,IF(B122&lt;=Hypothèses!$C$9,Hypothèses!$G$9,IF(B122&lt;=Hypothèses!$C$10,Hypothèses!$G$10,IF(B122&lt;=Hypothèses!$C$11,Hypothèses!$G$11,IF(B122&lt;=Hypothèses!$C$12,Hypothèses!$G$12,IF(B122&lt;=Hypothèses!$C$13,Hypothèses!$G$13,IF(B122&lt;=Hypothèses!$C$14,Hypothèses!$G$14,IF(B122&lt;=Hypothèses!$C$15,Hypothèses!$G$15,IF(B122&lt;=Hypothèses!$C$16,Hypothèses!$G$16,IF(B122&lt;=Hypothèses!$C$17,Hypothèses!$G$17,IF(B122&lt;=Hypothèses!$C$18,Hypothèses!$G$18,E121))))))))))))</f>
        <v>#N/A</v>
      </c>
      <c r="F122" s="82" t="str">
        <f>IF(B122&lt;=Hypothèses!$C$7,Hypothèses!$F$7,IF(B122&lt;=Hypothèses!$C$8,Hypothèses!$F$8,IF(B122&lt;=Hypothèses!$C$9,Hypothèses!$F$9,IF(B122&lt;=Hypothèses!$C$10,Hypothèses!$F$10,IF(B122&lt;=Hypothèses!$C$11,Hypothèses!$F$11,IF(B122&lt;=Hypothèses!$C$12,Hypothèses!$F$12,IF(B122&lt;=Hypothèses!$C$13,Hypothèses!$F$13,IF(B122&lt;=Hypothèses!$C$14,Hypothèses!$F$14,IF(B122&lt;=Hypothèses!$C$15,Hypothèses!$F$15,IF(B122&lt;=Hypothèses!$C$16,Hypothèses!$F$16,IF(B122&lt;=Hypothèses!$C$17,Hypothèses!$F$17,IF(B122&lt;=Hypothèses!$C$18,Hypothèses!$F$18,F121))))))))))))</f>
        <v/>
      </c>
      <c r="G122" s="91">
        <f t="array" ref="G122">INDEX('Coeff EC7'!$U$7:$X$27,
MATCH(Model0.1T!$B$3,'Coeff EC7'!$T$7:$T$27,0),
MATCH(Model0.1T!$D122&amp;Model0.1T!$B$4,
'Coeff EC7'!$U$6:$X$6&amp;
'Coeff EC7'!$U$5:$X$5,0))</f>
        <v>1.4</v>
      </c>
      <c r="H122" s="91">
        <f t="array" ref="H122">INDEX('Coeff EC7'!$Y$7:$AB$27,
MATCH(Model0.1T!$B$3,'Coeff EC7'!$T$7:$T$27,0),
MATCH(Model0.1T!$D122&amp;Model0.1T!$B$4,
'Coeff EC7'!$Y$6:$AB$6&amp;
'Coeff EC7'!$Y$5:$AB$5,0))</f>
        <v>1.7</v>
      </c>
      <c r="I122" s="83">
        <v>0</v>
      </c>
      <c r="J122" s="91" t="e">
        <f t="array" ref="J122">INDEX('Coeff EC7'!$D$33:$Q$33,1,MATCH(D122&amp;E122,'Coeff EC7'!$D$31:$Q$31&amp;'Coeff EC7'!$D$32:$Q$32,0))</f>
        <v>#N/A</v>
      </c>
      <c r="K122" s="91" t="e">
        <f t="array" ref="K122">INDEX('Coeff EC7'!$D$34:$Q$34,1,MATCH(D122&amp;E122,'Coeff EC7'!$D$31:$Q$31&amp;'Coeff EC7'!$D$32:$Q$32,0))</f>
        <v>#N/A</v>
      </c>
      <c r="L122" s="91" t="e">
        <f t="array" ref="L122">INDEX('Coeff EC7'!$D$35:$Q$35,1,MATCH(D122&amp;E122,'Coeff EC7'!$D$31:$Q$31&amp;'Coeff EC7'!$D$32:$Q$32,0))</f>
        <v>#N/A</v>
      </c>
      <c r="M122" s="98" t="e">
        <f t="shared" si="131"/>
        <v>#N/A</v>
      </c>
      <c r="N122" s="99" t="e">
        <f t="array" ref="N122">INDEX('Coeff EC7'!$D$7:$Q$27,MATCH($B$3,'Coeff EC7'!$C$7:$C$27,0),MATCH(D122&amp;E122,'Coeff EC7'!$D$5:$Q$5&amp;'Coeff EC7'!$D$6:$Q$6,0))</f>
        <v>#N/A</v>
      </c>
      <c r="O122" s="99" t="e">
        <f t="array" ref="O122">INDEX('Coeff EC7'!$D$41:$Q$61,MATCH($B$3,'Coeff EC7'!$C$41:$C$61,0),MATCH(D122&amp;E122,'Coeff EC7'!$D$39:$Q$39&amp;'Coeff EC7'!$D$40:$Q$40,0))</f>
        <v>#N/A</v>
      </c>
      <c r="P122" s="30" t="e">
        <f t="shared" si="166"/>
        <v>#N/A</v>
      </c>
      <c r="Q122" s="100" t="e">
        <f t="shared" si="133"/>
        <v>#N/A</v>
      </c>
      <c r="R122" s="86" t="b">
        <f t="shared" si="134"/>
        <v>0</v>
      </c>
      <c r="S122" s="86">
        <f t="shared" si="132"/>
        <v>0.5</v>
      </c>
      <c r="T122" s="86">
        <f t="shared" si="135"/>
        <v>0.5</v>
      </c>
      <c r="U122" s="30" t="e">
        <f t="shared" ca="1" si="167"/>
        <v>#DIV/0!</v>
      </c>
      <c r="V122" s="85" t="str">
        <f>IF(B122&lt;=Hypothèses!$V$7,Hypothèses!$W$7,IF(B122&lt;=Hypothèses!$V$8,Hypothèses!$W$8,IF(B122&lt;=Hypothèses!$V$9,Hypothèses!$W$9,IF(B122&lt;=Hypothèses!$V$10,Hypothèses!$W$10,IF(B122&lt;=Hypothèses!$V$11,Hypothèses!$W$11,IF(B122&lt;=Hypothèses!$V$12,Hypothèses!$W$12,IF(B122&lt;=Hypothèses!$V$13,Hypothèses!$W$13,IF(B122&lt;=Hypothèses!$V$14,Hypothèses!$W$14,IF(B122&lt;=Hypothèses!$V$15,Hypothèses!$W$15,IF(B122&lt;=Hypothèses!$V$16,Hypothèses!$W$16,IF(B122&lt;=Hypothèses!$V$17,Hypothèses!$W$17,IF(B122&lt;=Hypothèses!$V$18,Hypothèses!$W$18,""))))))))))))</f>
        <v/>
      </c>
      <c r="W122" s="87" t="e">
        <f t="shared" ca="1" si="216"/>
        <v>#DIV/0!</v>
      </c>
      <c r="X122" s="88" t="str">
        <f>IF(B122&lt;=Hypothèses!$V$7,Hypothèses!$X$7,IF(B122&lt;=Hypothèses!$V$8,Hypothèses!$X$8,IF(B122&lt;=Hypothèses!$V$9,Hypothèses!$X$9,IF(B122&lt;=Hypothèses!$V$10,Hypothèses!$X$10,IF(B122&lt;=Hypothèses!$V$11,Hypothèses!$X$11,IF(B122&lt;=Hypothèses!$V$12,Hypothèses!$X$12,IF(B122&lt;=Hypothèses!$V$13,Hypothèses!$X$13,IF(B122&lt;=Hypothèses!$V$14,Hypothèses!$X$14,IF(B122&lt;=Hypothèses!$V$15,Hypothèses!$X$15,IF(B122&lt;=Hypothèses!$V$16,Hypothèses!$X$16,IF(B122&lt;=Hypothèses!$U$17,Hypothèses!$W$17,IF(B122&lt;=Hypothèses!$U$18,Hypothèses!$W$18,""))))))))))))</f>
        <v/>
      </c>
      <c r="Y122" s="95" t="e">
        <f t="shared" ca="1" si="136"/>
        <v>#DIV/0!</v>
      </c>
      <c r="Z122" s="101">
        <f t="shared" si="137"/>
        <v>0</v>
      </c>
      <c r="AA122" s="91">
        <f t="shared" si="138"/>
        <v>0</v>
      </c>
      <c r="AB122" s="30" t="e">
        <f t="shared" si="200"/>
        <v>#N/A</v>
      </c>
      <c r="AC122" s="30" t="e">
        <f t="shared" si="201"/>
        <v>#N/A</v>
      </c>
      <c r="AD122" s="31" t="e">
        <f>IF(OR(Hypothèses!$B$4=17,Hypothèses!$B$4=18,Hypothèses!$B$4=19,Hypothèses!$B$4=20),
IF($D122="Pressio.",
IF(OR($E122=3,$E122=1,$E122=4),AC122,AB122),
IF($D122="Pénétro.",
IF(OR($E122=3,$E122=1,$E122=4),AC122,AB122))),IF($D122="Pressio.",
IF($E122=3,AC122,AB122),
IF($D122="Pénétro.",
IF($E122=4,AC122,AB122))))</f>
        <v>#N/A</v>
      </c>
      <c r="AE122" s="31">
        <v>0</v>
      </c>
      <c r="AF122" s="102" t="e">
        <f>IF(NDC!$H$10="Oui",(VLOOKUP($B$3,'Coeff EC7'!$T$39:$X$59,2,0)*AD122+VLOOKUP($B$3,'Coeff EC7'!$T$65:$X$85,2,0)*Model0.1T!AE122)/1.5,PI()*AB$12*$Q122*($B122-$B121)*0.15/10+AF121)</f>
        <v>#N/A</v>
      </c>
      <c r="AG122" s="102" t="e">
        <f>(VLOOKUP($B$3,'Coeff EC7'!$T$39:$X$59,3,0)*AD122+VLOOKUP($B$3,'Coeff EC7'!$T$65:$X$85,3,0)*Model0.1T!AE122)/1.1</f>
        <v>#N/A</v>
      </c>
      <c r="AH122" s="102" t="e">
        <f t="shared" si="168"/>
        <v>#N/A</v>
      </c>
      <c r="AI122" s="102" t="e">
        <f t="shared" si="169"/>
        <v>#N/A</v>
      </c>
      <c r="AJ122" s="414" t="e">
        <f>IF(AND(AF122&gt;NDC!$C$63,AG122&gt;NDC!$C$65,AH122&gt;NDC!$D$73,AI122&gt;NDC!$D$74,$B122&gt;NDC!$H$22-0.1+MIN(3*$AJ$12,1.5)),0,1)</f>
        <v>#N/A</v>
      </c>
      <c r="AK122" s="86" t="b">
        <f t="shared" si="139"/>
        <v>0</v>
      </c>
      <c r="AL122" s="86">
        <f t="shared" si="170"/>
        <v>0.5</v>
      </c>
      <c r="AM122" s="86">
        <f t="shared" si="140"/>
        <v>0.5</v>
      </c>
      <c r="AN122" s="30" t="e">
        <f t="shared" ca="1" si="171"/>
        <v>#DIV/0!</v>
      </c>
      <c r="AO122" s="85" t="e">
        <f ca="1">IF(U122&lt;=Hypothèses!$V$7,Hypothèses!$W$7,IF(U122&lt;=Hypothèses!$V$8,Hypothèses!$W$8,IF(U122&lt;=Hypothèses!$V$9,Hypothèses!$W$9,IF(U122&lt;=Hypothèses!$V$10,Hypothèses!$W$10,IF(U122&lt;=Hypothèses!$V$11,Hypothèses!$W$11,IF(U122&lt;=Hypothèses!$V$12,Hypothèses!$W$12,IF(U122&lt;=Hypothèses!$V$13,Hypothèses!$W$13,IF(U122&lt;=Hypothèses!$V$14,Hypothèses!$W$14,IF(U122&lt;=Hypothèses!$V$15,Hypothèses!$W$15,IF(U122&lt;=Hypothèses!$V$16,Hypothèses!$W$16,IF(U122&lt;=Hypothèses!$V$17,Hypothèses!$W$17,IF(U122&lt;=Hypothèses!$V$18,Hypothèses!$W$18,""))))))))))))</f>
        <v>#DIV/0!</v>
      </c>
      <c r="AP122" s="87" t="e">
        <f t="shared" ca="1" si="217"/>
        <v>#DIV/0!</v>
      </c>
      <c r="AQ122" s="88" t="e">
        <f ca="1">IF(U122&lt;=Hypothèses!$V$7,Hypothèses!$X$7,IF(U122&lt;=Hypothèses!$V$8,Hypothèses!$X$8,IF(U122&lt;=Hypothèses!$V$9,Hypothèses!$X$9,IF(U122&lt;=Hypothèses!$V$10,Hypothèses!$X$10,IF(U122&lt;=Hypothèses!$V$11,Hypothèses!$X$11,IF(U122&lt;=Hypothèses!$V$12,Hypothèses!$X$12,IF(U122&lt;=Hypothèses!$V$13,Hypothèses!$X$13,IF(U122&lt;=Hypothèses!$V$14,Hypothèses!$X$14,IF(U122&lt;=Hypothèses!$V$15,Hypothèses!$X$15,IF(U122&lt;=Hypothèses!$V$16,Hypothèses!$X$16,IF(U122&lt;=Hypothèses!$U$17,Hypothèses!$W$17,IF(U122&lt;=Hypothèses!$U$18,Hypothèses!$W$18,""))))))))))))</f>
        <v>#DIV/0!</v>
      </c>
      <c r="AR122" s="95" t="e">
        <f t="shared" ca="1" si="172"/>
        <v>#DIV/0!</v>
      </c>
      <c r="AS122" s="101">
        <f t="shared" si="224"/>
        <v>0</v>
      </c>
      <c r="AT122" s="91">
        <f t="shared" si="141"/>
        <v>0</v>
      </c>
      <c r="AU122" s="30" t="e">
        <f t="shared" si="202"/>
        <v>#N/A</v>
      </c>
      <c r="AV122" s="30" t="e">
        <f t="shared" si="203"/>
        <v>#N/A</v>
      </c>
      <c r="AW122" s="31" t="e">
        <f>IF(OR(Hypothèses!$B$4=17,Hypothèses!$B$4=18,Hypothèses!$B$4=19,Hypothèses!$B$4=20),
IF($D122="Pressio.",
IF(OR($E122=3,$E122=1,$E122=4),AV122,AU122),
IF($D122="Pénétro.",
IF(OR($E122=3,$E122=1,$E122=4),AV122,AU122))),IF($D122="Pressio.",
IF($E122=3,AV122,AU122),
IF($D122="Pénétro.",
IF($E122=4,AV122,AU122))))</f>
        <v>#N/A</v>
      </c>
      <c r="AX122" s="31">
        <v>0</v>
      </c>
      <c r="AY122" s="102" t="e">
        <f>IF(NDC!$H$10="Oui",(VLOOKUP($B$3,'Coeff EC7'!$T$39:$X$59,2,0)*AW122+VLOOKUP($B$3,'Coeff EC7'!$T$65:$X$85,2,0)*Model0.1T!AX122)/1.5,PI()*AU$12*$Q122*($B122-$B121)*0.15/10+AY121)</f>
        <v>#N/A</v>
      </c>
      <c r="AZ122" s="102" t="e">
        <f>(VLOOKUP($B$3,'Coeff EC7'!$T$39:$X$59,3,0)*AW122+VLOOKUP($B$3,'Coeff EC7'!$T$65:$X$85,3,0)*Model0.1T!AX122)/1.1</f>
        <v>#N/A</v>
      </c>
      <c r="BA122" s="102" t="e">
        <f t="shared" si="173"/>
        <v>#N/A</v>
      </c>
      <c r="BB122" s="102" t="e">
        <f t="shared" si="174"/>
        <v>#N/A</v>
      </c>
      <c r="BC122" s="414" t="e">
        <f>IF(AND(AY122&gt;NDC!$C$63,AZ122&gt;NDC!$C$65,BA122&gt;NDC!$D$73,BB122&gt;NDC!$D$74,$B122&gt;NDC!$H$22-0.1+MIN(3*BC$12,1.5)),0,1)</f>
        <v>#N/A</v>
      </c>
      <c r="BD122" s="86" t="b">
        <f t="shared" si="142"/>
        <v>0</v>
      </c>
      <c r="BE122" s="86">
        <f t="shared" si="175"/>
        <v>0.5</v>
      </c>
      <c r="BF122" s="86">
        <f t="shared" si="143"/>
        <v>0.5</v>
      </c>
      <c r="BG122" s="30" t="e">
        <f t="shared" ca="1" si="176"/>
        <v>#DIV/0!</v>
      </c>
      <c r="BH122" s="85" t="e">
        <f ca="1">IF(AN122&lt;=Hypothèses!$V$7,Hypothèses!$W$7,IF(AN122&lt;=Hypothèses!$V$8,Hypothèses!$W$8,IF(AN122&lt;=Hypothèses!$V$9,Hypothèses!$W$9,IF(AN122&lt;=Hypothèses!$V$10,Hypothèses!$W$10,IF(AN122&lt;=Hypothèses!$V$11,Hypothèses!$W$11,IF(AN122&lt;=Hypothèses!$V$12,Hypothèses!$W$12,IF(AN122&lt;=Hypothèses!$V$13,Hypothèses!$W$13,IF(AN122&lt;=Hypothèses!$V$14,Hypothèses!$W$14,IF(AN122&lt;=Hypothèses!$V$15,Hypothèses!$W$15,IF(AN122&lt;=Hypothèses!$V$16,Hypothèses!$W$16,IF(AN122&lt;=Hypothèses!$V$17,Hypothèses!$W$17,IF(AN122&lt;=Hypothèses!$V$18,Hypothèses!$W$18,""))))))))))))</f>
        <v>#DIV/0!</v>
      </c>
      <c r="BI122" s="87" t="e">
        <f t="shared" ca="1" si="218"/>
        <v>#DIV/0!</v>
      </c>
      <c r="BJ122" s="88" t="e">
        <f ca="1">IF(AN122&lt;=Hypothèses!$V$7,Hypothèses!$X$7,IF(AN122&lt;=Hypothèses!$V$8,Hypothèses!$X$8,IF(AN122&lt;=Hypothèses!$V$9,Hypothèses!$X$9,IF(AN122&lt;=Hypothèses!$V$10,Hypothèses!$X$10,IF(AN122&lt;=Hypothèses!$V$11,Hypothèses!$X$11,IF(AN122&lt;=Hypothèses!$V$12,Hypothèses!$X$12,IF(AN122&lt;=Hypothèses!$V$13,Hypothèses!$X$13,IF(AN122&lt;=Hypothèses!$V$14,Hypothèses!$X$14,IF(AN122&lt;=Hypothèses!$V$15,Hypothèses!$X$15,IF(AN122&lt;=Hypothèses!$V$16,Hypothèses!$X$16,IF(AN122&lt;=Hypothèses!$U$17,Hypothèses!$W$17,IF(AN122&lt;=Hypothèses!$U$18,Hypothèses!$W$18,""))))))))))))</f>
        <v>#DIV/0!</v>
      </c>
      <c r="BK122" s="95" t="e">
        <f t="shared" ca="1" si="177"/>
        <v>#DIV/0!</v>
      </c>
      <c r="BL122" s="101">
        <f t="shared" si="225"/>
        <v>0</v>
      </c>
      <c r="BM122" s="91">
        <f t="shared" si="144"/>
        <v>0</v>
      </c>
      <c r="BN122" s="30" t="e">
        <f t="shared" si="204"/>
        <v>#N/A</v>
      </c>
      <c r="BO122" s="30" t="e">
        <f t="shared" si="205"/>
        <v>#N/A</v>
      </c>
      <c r="BP122" s="31" t="e">
        <f>IF(OR(Hypothèses!$B$4=17,Hypothèses!$B$4=18,Hypothèses!$B$4=19,Hypothèses!$B$4=20),
IF($D122="Pressio.",
IF(OR($E122=3,$E122=1,$E122=4),BO122,BN122),
IF($D122="Pénétro.",
IF(OR($E122=3,$E122=1,$E122=4),BO122,BN122))),IF($D122="Pressio.",
IF($E122=3,BO122,BN122),
IF($D122="Pénétro.",
IF($E122=4,BO122,BN122))))</f>
        <v>#N/A</v>
      </c>
      <c r="BQ122" s="31">
        <v>0</v>
      </c>
      <c r="BR122" s="102" t="e">
        <f>IF(NDC!$H$10="Oui",(VLOOKUP($B$3,'Coeff EC7'!$T$39:$X$59,2,0)*BP122+VLOOKUP($B$3,'Coeff EC7'!$T$65:$X$85,2,0)*Model0.1T!BQ122)/1.5,PI()*BN$12*$Q122*($B122-$B121)*0.15/10+BR121)</f>
        <v>#N/A</v>
      </c>
      <c r="BS122" s="102" t="e">
        <f>(VLOOKUP($B$3,'Coeff EC7'!$T$39:$X$59,3,0)*BP122+VLOOKUP($B$3,'Coeff EC7'!$T$65:$X$85,3,0)*Model0.1T!BQ122)/1.1</f>
        <v>#N/A</v>
      </c>
      <c r="BT122" s="102" t="e">
        <f t="shared" si="178"/>
        <v>#N/A</v>
      </c>
      <c r="BU122" s="102" t="e">
        <f t="shared" si="179"/>
        <v>#N/A</v>
      </c>
      <c r="BV122" s="414" t="e">
        <f>IF(AND(BR122&gt;NDC!$C$63,BS122&gt;NDC!$C$65,BT122&gt;NDC!$D$73,BU122&gt;NDC!$D$74,$B122&gt;NDC!$H$22-0.1+MIN(3*BV$12,1.5)),0,1)</f>
        <v>#N/A</v>
      </c>
      <c r="BW122" s="86" t="b">
        <f t="shared" si="145"/>
        <v>0</v>
      </c>
      <c r="BX122" s="86">
        <f t="shared" si="146"/>
        <v>0.5</v>
      </c>
      <c r="BY122" s="86">
        <f t="shared" si="147"/>
        <v>0.5</v>
      </c>
      <c r="BZ122" s="30" t="e">
        <f t="shared" ca="1" si="180"/>
        <v>#DIV/0!</v>
      </c>
      <c r="CA122" s="85" t="e">
        <f ca="1">IF(BG122&lt;=Hypothèses!$V$7,Hypothèses!$W$7,IF(BG122&lt;=Hypothèses!$V$8,Hypothèses!$W$8,IF(BG122&lt;=Hypothèses!$V$9,Hypothèses!$W$9,IF(BG122&lt;=Hypothèses!$V$10,Hypothèses!$W$10,IF(BG122&lt;=Hypothèses!$V$11,Hypothèses!$W$11,IF(BG122&lt;=Hypothèses!$V$12,Hypothèses!$W$12,IF(BG122&lt;=Hypothèses!$V$13,Hypothèses!$W$13,IF(BG122&lt;=Hypothèses!$V$14,Hypothèses!$W$14,IF(BG122&lt;=Hypothèses!$V$15,Hypothèses!$W$15,IF(BG122&lt;=Hypothèses!$V$16,Hypothèses!$W$16,IF(BG122&lt;=Hypothèses!$V$17,Hypothèses!$W$17,IF(BG122&lt;=Hypothèses!$V$18,Hypothèses!$W$18,""))))))))))))</f>
        <v>#DIV/0!</v>
      </c>
      <c r="CB122" s="87" t="e">
        <f t="shared" ca="1" si="219"/>
        <v>#DIV/0!</v>
      </c>
      <c r="CC122" s="88" t="e">
        <f ca="1">IF(BG122&lt;=Hypothèses!$V$7,Hypothèses!$X$7,IF(BG122&lt;=Hypothèses!$V$8,Hypothèses!$X$8,IF(BG122&lt;=Hypothèses!$V$9,Hypothèses!$X$9,IF(BG122&lt;=Hypothèses!$V$10,Hypothèses!$X$10,IF(BG122&lt;=Hypothèses!$V$11,Hypothèses!$X$11,IF(BG122&lt;=Hypothèses!$V$12,Hypothèses!$X$12,IF(BG122&lt;=Hypothèses!$V$13,Hypothèses!$X$13,IF(BG122&lt;=Hypothèses!$V$14,Hypothèses!$X$14,IF(BG122&lt;=Hypothèses!$V$15,Hypothèses!$X$15,IF(BG122&lt;=Hypothèses!$V$16,Hypothèses!$X$16,IF(BG122&lt;=Hypothèses!$U$17,Hypothèses!$W$17,IF(BG122&lt;=Hypothèses!$U$18,Hypothèses!$W$18,""))))))))))))</f>
        <v>#DIV/0!</v>
      </c>
      <c r="CD122" s="95" t="e">
        <f t="shared" ca="1" si="181"/>
        <v>#DIV/0!</v>
      </c>
      <c r="CE122" s="101">
        <f t="shared" si="226"/>
        <v>0</v>
      </c>
      <c r="CF122" s="91">
        <f t="shared" si="148"/>
        <v>0</v>
      </c>
      <c r="CG122" s="30" t="e">
        <f t="shared" si="206"/>
        <v>#N/A</v>
      </c>
      <c r="CH122" s="30" t="e">
        <f t="shared" si="207"/>
        <v>#N/A</v>
      </c>
      <c r="CI122" s="31" t="e">
        <f>IF(OR(Hypothèses!$B$4=17,Hypothèses!$B$4=18,Hypothèses!$B$4=19,Hypothèses!$B$4=20),
IF($D122="Pressio.",
IF(OR($E122=3,$E122=1,$E122=4),CH122,CG122),
IF($D122="Pénétro.",
IF(OR($E122=3,$E122=1,$E122=4),CH122,CG122))),IF($D122="Pressio.",
IF($E122=3,CH122,CG122),
IF($D122="Pénétro.",
IF($E122=4,CH122,CG122))))</f>
        <v>#N/A</v>
      </c>
      <c r="CJ122" s="31">
        <v>0</v>
      </c>
      <c r="CK122" s="102" t="e">
        <f>IF(NDC!$H$10="Oui",(VLOOKUP($B$3,'Coeff EC7'!$T$39:$X$59,2,0)*CI122+VLOOKUP($B$3,'Coeff EC7'!$T$65:$X$85,2,0)*Model0.1T!CJ122)/1.5,PI()*CG$12*$Q122*($B122-$B121)*0.15/10+CK121)</f>
        <v>#N/A</v>
      </c>
      <c r="CL122" s="102" t="e">
        <f>(VLOOKUP($B$3,'Coeff EC7'!$T$39:$X$59,3,0)*CI122+VLOOKUP($B$3,'Coeff EC7'!$T$65:$X$85,3,0)*Model0.1T!CJ122)/1.1</f>
        <v>#N/A</v>
      </c>
      <c r="CM122" s="102" t="e">
        <f t="shared" si="182"/>
        <v>#N/A</v>
      </c>
      <c r="CN122" s="102" t="e">
        <f t="shared" si="183"/>
        <v>#N/A</v>
      </c>
      <c r="CO122" s="414" t="e">
        <f>IF(AND(CK122&gt;NDC!$C$63,CL122&gt;NDC!$C$65,CM122&gt;NDC!$D$73,CN122&gt;NDC!$D$74,$B122&gt;NDC!$H$22-0.1+MIN(3*CO$12,1.5)),0,1)</f>
        <v>#N/A</v>
      </c>
      <c r="CP122" s="86" t="b">
        <f t="shared" si="149"/>
        <v>0</v>
      </c>
      <c r="CQ122" s="86">
        <f t="shared" si="150"/>
        <v>0.5</v>
      </c>
      <c r="CR122" s="86">
        <f t="shared" si="151"/>
        <v>0.5</v>
      </c>
      <c r="CS122" s="30" t="e">
        <f t="shared" ca="1" si="184"/>
        <v>#DIV/0!</v>
      </c>
      <c r="CT122" s="85" t="e">
        <f ca="1">IF(BZ122&lt;=Hypothèses!$V$7,Hypothèses!$W$7,IF(BZ122&lt;=Hypothèses!$V$8,Hypothèses!$W$8,IF(BZ122&lt;=Hypothèses!$V$9,Hypothèses!$W$9,IF(BZ122&lt;=Hypothèses!$V$10,Hypothèses!$W$10,IF(BZ122&lt;=Hypothèses!$V$11,Hypothèses!$W$11,IF(BZ122&lt;=Hypothèses!$V$12,Hypothèses!$W$12,IF(BZ122&lt;=Hypothèses!$V$13,Hypothèses!$W$13,IF(BZ122&lt;=Hypothèses!$V$14,Hypothèses!$W$14,IF(BZ122&lt;=Hypothèses!$V$15,Hypothèses!$W$15,IF(BZ122&lt;=Hypothèses!$V$16,Hypothèses!$W$16,IF(BZ122&lt;=Hypothèses!$V$17,Hypothèses!$W$17,IF(BZ122&lt;=Hypothèses!$V$18,Hypothèses!$W$18,""))))))))))))</f>
        <v>#DIV/0!</v>
      </c>
      <c r="CU122" s="87" t="e">
        <f t="shared" ca="1" si="220"/>
        <v>#DIV/0!</v>
      </c>
      <c r="CV122" s="88" t="e">
        <f ca="1">IF(BZ122&lt;=Hypothèses!$V$7,Hypothèses!$X$7,IF(BZ122&lt;=Hypothèses!$V$8,Hypothèses!$X$8,IF(BZ122&lt;=Hypothèses!$V$9,Hypothèses!$X$9,IF(BZ122&lt;=Hypothèses!$V$10,Hypothèses!$X$10,IF(BZ122&lt;=Hypothèses!$V$11,Hypothèses!$X$11,IF(BZ122&lt;=Hypothèses!$V$12,Hypothèses!$X$12,IF(BZ122&lt;=Hypothèses!$V$13,Hypothèses!$X$13,IF(BZ122&lt;=Hypothèses!$V$14,Hypothèses!$X$14,IF(BZ122&lt;=Hypothèses!$V$15,Hypothèses!$X$15,IF(BZ122&lt;=Hypothèses!$V$16,Hypothèses!$X$16,IF(BZ122&lt;=Hypothèses!$U$17,Hypothèses!$W$17,IF(BZ122&lt;=Hypothèses!$U$18,Hypothèses!$W$18,""))))))))))))</f>
        <v>#DIV/0!</v>
      </c>
      <c r="CW122" s="95" t="e">
        <f t="shared" ca="1" si="185"/>
        <v>#DIV/0!</v>
      </c>
      <c r="CX122" s="101">
        <f t="shared" si="227"/>
        <v>0</v>
      </c>
      <c r="CY122" s="91">
        <f t="shared" si="152"/>
        <v>0</v>
      </c>
      <c r="CZ122" s="30" t="e">
        <f t="shared" si="208"/>
        <v>#N/A</v>
      </c>
      <c r="DA122" s="30" t="e">
        <f t="shared" si="209"/>
        <v>#N/A</v>
      </c>
      <c r="DB122" s="31" t="e">
        <f>IF(OR(Hypothèses!$B$4=17,Hypothèses!$B$4=18,Hypothèses!$B$4=19,Hypothèses!$B$4=20),
IF($D122="Pressio.",
IF(OR($E122=3,$E122=1,$E122=4),DA122,CZ122),
IF($D122="Pénétro.",
IF(OR($E122=3,$E122=1,$E122=4),DA122,CZ122))),IF($D122="Pressio.",
IF($E122=3,DA122,CZ122),
IF($D122="Pénétro.",
IF($E122=4,DA122,CZ122))))</f>
        <v>#N/A</v>
      </c>
      <c r="DC122" s="31">
        <v>0</v>
      </c>
      <c r="DD122" s="102" t="e">
        <f>IF(NDC!$H$10="Oui",(VLOOKUP($B$3,'Coeff EC7'!$T$39:$X$59,2,0)*DB122+VLOOKUP($B$3,'Coeff EC7'!$T$65:$X$85,2,0)*Model0.1T!DC122)/1.5,PI()*CZ$12*$Q122*($B122-$B121)*0.15/10+DD121)</f>
        <v>#N/A</v>
      </c>
      <c r="DE122" s="102" t="e">
        <f>(VLOOKUP($B$3,'Coeff EC7'!$T$39:$X$59,3,0)*DB122+VLOOKUP($B$3,'Coeff EC7'!$T$65:$X$85,3,0)*Model0.1T!DC122)/1.1</f>
        <v>#N/A</v>
      </c>
      <c r="DF122" s="102" t="e">
        <f t="shared" si="186"/>
        <v>#N/A</v>
      </c>
      <c r="DG122" s="102" t="e">
        <f t="shared" si="187"/>
        <v>#N/A</v>
      </c>
      <c r="DH122" s="414" t="e">
        <f>IF(AND(DD122&gt;NDC!$C$63,DE122&gt;NDC!$C$65,DF122&gt;NDC!$D$73,DG122&gt;NDC!$D$74,$B122&gt;NDC!$H$22-0.1+MIN(3*DH$12,1.5)),0,1)</f>
        <v>#N/A</v>
      </c>
      <c r="DI122" s="86" t="b">
        <f t="shared" si="153"/>
        <v>0</v>
      </c>
      <c r="DJ122" s="86">
        <f t="shared" si="154"/>
        <v>0.5</v>
      </c>
      <c r="DK122" s="86">
        <f t="shared" si="155"/>
        <v>0.5</v>
      </c>
      <c r="DL122" s="30" t="e">
        <f t="shared" ca="1" si="188"/>
        <v>#DIV/0!</v>
      </c>
      <c r="DM122" s="85" t="e">
        <f ca="1">IF(CS122&lt;=Hypothèses!$V$7,Hypothèses!$W$7,IF(CS122&lt;=Hypothèses!$V$8,Hypothèses!$W$8,IF(CS122&lt;=Hypothèses!$V$9,Hypothèses!$W$9,IF(CS122&lt;=Hypothèses!$V$10,Hypothèses!$W$10,IF(CS122&lt;=Hypothèses!$V$11,Hypothèses!$W$11,IF(CS122&lt;=Hypothèses!$V$12,Hypothèses!$W$12,IF(CS122&lt;=Hypothèses!$V$13,Hypothèses!$W$13,IF(CS122&lt;=Hypothèses!$V$14,Hypothèses!$W$14,IF(CS122&lt;=Hypothèses!$V$15,Hypothèses!$W$15,IF(CS122&lt;=Hypothèses!$V$16,Hypothèses!$W$16,IF(CS122&lt;=Hypothèses!$V$17,Hypothèses!$W$17,IF(CS122&lt;=Hypothèses!$V$18,Hypothèses!$W$18,""))))))))))))</f>
        <v>#DIV/0!</v>
      </c>
      <c r="DN122" s="87" t="e">
        <f t="shared" ca="1" si="221"/>
        <v>#DIV/0!</v>
      </c>
      <c r="DO122" s="88" t="e">
        <f ca="1">IF(CS122&lt;=Hypothèses!$V$7,Hypothèses!$X$7,IF(CS122&lt;=Hypothèses!$V$8,Hypothèses!$X$8,IF(CS122&lt;=Hypothèses!$V$9,Hypothèses!$X$9,IF(CS122&lt;=Hypothèses!$V$10,Hypothèses!$X$10,IF(CS122&lt;=Hypothèses!$V$11,Hypothèses!$X$11,IF(CS122&lt;=Hypothèses!$V$12,Hypothèses!$X$12,IF(CS122&lt;=Hypothèses!$V$13,Hypothèses!$X$13,IF(CS122&lt;=Hypothèses!$V$14,Hypothèses!$X$14,IF(CS122&lt;=Hypothèses!$V$15,Hypothèses!$X$15,IF(CS122&lt;=Hypothèses!$V$16,Hypothèses!$X$16,IF(CS122&lt;=Hypothèses!$U$17,Hypothèses!$W$17,IF(CS122&lt;=Hypothèses!$U$18,Hypothèses!$W$18,""))))))))))))</f>
        <v>#DIV/0!</v>
      </c>
      <c r="DP122" s="95" t="e">
        <f t="shared" ca="1" si="189"/>
        <v>#DIV/0!</v>
      </c>
      <c r="DQ122" s="101">
        <f t="shared" si="228"/>
        <v>0</v>
      </c>
      <c r="DR122" s="91">
        <f t="shared" si="156"/>
        <v>0</v>
      </c>
      <c r="DS122" s="30" t="e">
        <f t="shared" si="210"/>
        <v>#N/A</v>
      </c>
      <c r="DT122" s="30" t="e">
        <f t="shared" si="211"/>
        <v>#N/A</v>
      </c>
      <c r="DU122" s="31" t="e">
        <f>IF(OR(Hypothèses!$B$4=17,Hypothèses!$B$4=18,Hypothèses!$B$4=19,Hypothèses!$B$4=20),
IF($D122="Pressio.",
IF(OR($E122=3,$E122=1,$E122=4),DT122,DS122),
IF($D122="Pénétro.",
IF(OR($E122=3,$E122=1,$E122=4),DT122,DS122))),IF($D122="Pressio.",
IF($E122=3,DT122,DS122),
IF($D122="Pénétro.",
IF($E122=4,DT122,DS122))))</f>
        <v>#N/A</v>
      </c>
      <c r="DV122" s="31">
        <v>0</v>
      </c>
      <c r="DW122" s="102" t="e">
        <f>IF(NDC!$H$10="Oui",(VLOOKUP($B$3,'Coeff EC7'!$T$39:$X$59,2,0)*DU122+VLOOKUP($B$3,'Coeff EC7'!$T$65:$X$85,2,0)*Model0.1T!DV122)/1.5,PI()*DS$12*$Q122*($B122-$B121)*0.15/10+DW121)</f>
        <v>#N/A</v>
      </c>
      <c r="DX122" s="102" t="e">
        <f>(VLOOKUP($B$3,'Coeff EC7'!$T$39:$X$59,3,0)*DU122+VLOOKUP($B$3,'Coeff EC7'!$T$65:$X$85,3,0)*Model0.1T!DV122)/1.1</f>
        <v>#N/A</v>
      </c>
      <c r="DY122" s="102" t="e">
        <f t="shared" si="190"/>
        <v>#N/A</v>
      </c>
      <c r="DZ122" s="102" t="e">
        <f t="shared" si="191"/>
        <v>#N/A</v>
      </c>
      <c r="EA122" s="414" t="e">
        <f>IF(AND(DW122&gt;NDC!$C$63,DX122&gt;NDC!$C$65,DY122&gt;NDC!$D$73,DZ122&gt;NDC!$D$74,$B122&gt;NDC!$H$22-0.1+MIN(3*EA$12,1.5)),0,1)</f>
        <v>#N/A</v>
      </c>
      <c r="EB122" s="86" t="b">
        <f t="shared" si="157"/>
        <v>0</v>
      </c>
      <c r="EC122" s="418">
        <f t="shared" si="158"/>
        <v>0.51</v>
      </c>
      <c r="ED122" s="86">
        <f t="shared" si="159"/>
        <v>0.51</v>
      </c>
      <c r="EE122" s="30" t="e">
        <f t="shared" ca="1" si="192"/>
        <v>#DIV/0!</v>
      </c>
      <c r="EF122" s="85" t="e">
        <f ca="1">IF(DL122&lt;=Hypothèses!$V$7,Hypothèses!$W$7,IF(DL122&lt;=Hypothèses!$V$8,Hypothèses!$W$8,IF(DL122&lt;=Hypothèses!$V$9,Hypothèses!$W$9,IF(DL122&lt;=Hypothèses!$V$10,Hypothèses!$W$10,IF(DL122&lt;=Hypothèses!$V$11,Hypothèses!$W$11,IF(DL122&lt;=Hypothèses!$V$12,Hypothèses!$W$12,IF(DL122&lt;=Hypothèses!$V$13,Hypothèses!$W$13,IF(DL122&lt;=Hypothèses!$V$14,Hypothèses!$W$14,IF(DL122&lt;=Hypothèses!$V$15,Hypothèses!$W$15,IF(DL122&lt;=Hypothèses!$V$16,Hypothèses!$W$16,IF(DL122&lt;=Hypothèses!$V$17,Hypothèses!$W$17,IF(DL122&lt;=Hypothèses!$V$18,Hypothèses!$W$18,""))))))))))))</f>
        <v>#DIV/0!</v>
      </c>
      <c r="EG122" s="87" t="e">
        <f t="shared" ca="1" si="222"/>
        <v>#DIV/0!</v>
      </c>
      <c r="EH122" s="88" t="e">
        <f ca="1">IF(DL122&lt;=Hypothèses!$V$7,Hypothèses!$X$7,IF(DL122&lt;=Hypothèses!$V$8,Hypothèses!$X$8,IF(DL122&lt;=Hypothèses!$V$9,Hypothèses!$X$9,IF(DL122&lt;=Hypothèses!$V$10,Hypothèses!$X$10,IF(DL122&lt;=Hypothèses!$V$11,Hypothèses!$X$11,IF(DL122&lt;=Hypothèses!$V$12,Hypothèses!$X$12,IF(DL122&lt;=Hypothèses!$V$13,Hypothèses!$X$13,IF(DL122&lt;=Hypothèses!$V$14,Hypothèses!$X$14,IF(DL122&lt;=Hypothèses!$V$15,Hypothèses!$X$15,IF(DL122&lt;=Hypothèses!$V$16,Hypothèses!$X$16,IF(DL122&lt;=Hypothèses!$U$17,Hypothèses!$W$17,IF(DL122&lt;=Hypothèses!$U$18,Hypothèses!$W$18,""))))))))))))</f>
        <v>#DIV/0!</v>
      </c>
      <c r="EI122" s="95" t="e">
        <f t="shared" ca="1" si="193"/>
        <v>#DIV/0!</v>
      </c>
      <c r="EJ122" s="101">
        <f t="shared" si="229"/>
        <v>0</v>
      </c>
      <c r="EK122" s="91">
        <f t="shared" si="160"/>
        <v>0</v>
      </c>
      <c r="EL122" s="30" t="e">
        <f t="shared" si="212"/>
        <v>#N/A</v>
      </c>
      <c r="EM122" s="30" t="e">
        <f t="shared" si="213"/>
        <v>#N/A</v>
      </c>
      <c r="EN122" s="31" t="e">
        <f>IF(OR(Hypothèses!$B$4=17,Hypothèses!$B$4=18,Hypothèses!$B$4=19,Hypothèses!$B$4=20),
IF($D122="Pressio.",
IF(OR($E122=3,$E122=1,$E122=4),EM122,EL122),
IF($D122="Pénétro.",
IF(OR($E122=3,$E122=1,$E122=4),EM122,EL122))),IF($D122="Pressio.",
IF($E122=3,EM122,EL122),
IF($D122="Pénétro.",
IF($E122=4,EM122,EL122))))</f>
        <v>#N/A</v>
      </c>
      <c r="EO122" s="31">
        <v>0</v>
      </c>
      <c r="EP122" s="102" t="e">
        <f>IF(NDC!$H$10="Oui",(VLOOKUP($B$3,'Coeff EC7'!$T$39:$X$59,2,0)*EN122+VLOOKUP($B$3,'Coeff EC7'!$T$65:$X$85,2,0)*Model0.1T!EO122)/1.5,PI()*EL$12*$Q122*($B122-$B121)*0.15/10+EP121)</f>
        <v>#N/A</v>
      </c>
      <c r="EQ122" s="102" t="e">
        <f>(VLOOKUP($B$3,'Coeff EC7'!$T$39:$X$59,3,0)*EN122+VLOOKUP($B$3,'Coeff EC7'!$T$65:$X$85,3,0)*Model0.1T!EO122)/1.1</f>
        <v>#N/A</v>
      </c>
      <c r="ER122" s="102" t="e">
        <f t="shared" si="194"/>
        <v>#N/A</v>
      </c>
      <c r="ES122" s="102" t="e">
        <f t="shared" si="195"/>
        <v>#N/A</v>
      </c>
      <c r="ET122" s="414" t="e">
        <f>IF(AND(EP122&gt;NDC!$C$63,EQ122&gt;NDC!$C$65,ER122&gt;NDC!$D$73,ES122&gt;NDC!$D$74,$B122&gt;NDC!$H$22-0.1+MIN(3*ET$12,1.5)),0,1)</f>
        <v>#N/A</v>
      </c>
      <c r="EU122" s="86" t="b">
        <f t="shared" si="161"/>
        <v>0</v>
      </c>
      <c r="EV122" s="86">
        <f t="shared" si="162"/>
        <v>0.61</v>
      </c>
      <c r="EW122" s="86">
        <f t="shared" si="163"/>
        <v>0.61</v>
      </c>
      <c r="EX122" s="30" t="e">
        <f t="shared" ca="1" si="196"/>
        <v>#DIV/0!</v>
      </c>
      <c r="EY122" s="85" t="e">
        <f ca="1">IF(EE122&lt;=Hypothèses!$V$7,Hypothèses!$W$7,IF(EE122&lt;=Hypothèses!$V$8,Hypothèses!$W$8,IF(EE122&lt;=Hypothèses!$V$9,Hypothèses!$W$9,IF(EE122&lt;=Hypothèses!$V$10,Hypothèses!$W$10,IF(EE122&lt;=Hypothèses!$V$11,Hypothèses!$W$11,IF(EE122&lt;=Hypothèses!$V$12,Hypothèses!$W$12,IF(EE122&lt;=Hypothèses!$V$13,Hypothèses!$W$13,IF(EE122&lt;=Hypothèses!$V$14,Hypothèses!$W$14,IF(EE122&lt;=Hypothèses!$V$15,Hypothèses!$W$15,IF(EE122&lt;=Hypothèses!$V$16,Hypothèses!$W$16,IF(EE122&lt;=Hypothèses!$V$17,Hypothèses!$W$17,IF(EE122&lt;=Hypothèses!$V$18,Hypothèses!$W$18,""))))))))))))</f>
        <v>#DIV/0!</v>
      </c>
      <c r="EZ122" s="87" t="e">
        <f t="shared" ca="1" si="223"/>
        <v>#DIV/0!</v>
      </c>
      <c r="FA122" s="88" t="e">
        <f ca="1">IF(EE122&lt;=Hypothèses!$V$7,Hypothèses!$X$7,IF(EE122&lt;=Hypothèses!$V$8,Hypothèses!$X$8,IF(EE122&lt;=Hypothèses!$V$9,Hypothèses!$X$9,IF(EE122&lt;=Hypothèses!$V$10,Hypothèses!$X$10,IF(EE122&lt;=Hypothèses!$V$11,Hypothèses!$X$11,IF(EE122&lt;=Hypothèses!$V$12,Hypothèses!$X$12,IF(EE122&lt;=Hypothèses!$V$13,Hypothèses!$X$13,IF(EE122&lt;=Hypothèses!$V$14,Hypothèses!$X$14,IF(EE122&lt;=Hypothèses!$V$15,Hypothèses!$X$15,IF(EE122&lt;=Hypothèses!$V$16,Hypothèses!$X$16,IF(EE122&lt;=Hypothèses!$U$17,Hypothèses!$W$17,IF(EE122&lt;=Hypothèses!$U$18,Hypothèses!$W$18,""))))))))))))</f>
        <v>#DIV/0!</v>
      </c>
      <c r="FB122" s="95" t="e">
        <f t="shared" ca="1" si="197"/>
        <v>#DIV/0!</v>
      </c>
      <c r="FC122" s="101">
        <f t="shared" si="230"/>
        <v>0</v>
      </c>
      <c r="FD122" s="91">
        <f t="shared" si="164"/>
        <v>0</v>
      </c>
      <c r="FE122" s="30" t="e">
        <f t="shared" si="214"/>
        <v>#N/A</v>
      </c>
      <c r="FF122" s="30" t="e">
        <f t="shared" si="215"/>
        <v>#N/A</v>
      </c>
      <c r="FG122" s="31" t="e">
        <f>IF(OR(Hypothèses!$B$4=17,Hypothèses!$B$4=18,Hypothèses!$B$4=19,Hypothèses!$B$4=20),
IF($D122="Pressio.",
IF(OR($E122=3,$E122=1,$E122=4),FF122,FE122),
IF($D122="Pénétro.",
IF(OR($E122=3,$E122=1,$E122=4),FF122,FE122))),IF($D122="Pressio.",
IF($E122=3,FF122,FE122),
IF($D122="Pénétro.",
IF($E122=4,FF122,FE122))))</f>
        <v>#N/A</v>
      </c>
      <c r="FH122" s="31">
        <v>0</v>
      </c>
      <c r="FI122" s="102" t="e">
        <f>IF(NDC!$H$10="Oui",(VLOOKUP($B$3,'Coeff EC7'!$T$39:$X$59,2,0)*FG122+VLOOKUP($B$3,'Coeff EC7'!$T$65:$X$85,2,0)*Model0.1T!FH122)/1.5,PI()*FE$12*$Q122*($B122-$B121)*0.15/10+FI121)</f>
        <v>#N/A</v>
      </c>
      <c r="FJ122" s="102" t="e">
        <f>(VLOOKUP($B$3,'Coeff EC7'!$T$39:$X$59,3,0)*FG122+VLOOKUP($B$3,'Coeff EC7'!$T$65:$X$85,3,0)*Model0.1T!FH122)/1.1</f>
        <v>#N/A</v>
      </c>
      <c r="FK122" s="102" t="e">
        <f t="shared" si="198"/>
        <v>#N/A</v>
      </c>
      <c r="FL122" s="102" t="e">
        <f t="shared" si="199"/>
        <v>#N/A</v>
      </c>
      <c r="FM122" s="414" t="e">
        <f>IF(AND(FI122&gt;NDC!$C$63,FJ122&gt;NDC!$C$65,FK122&gt;NDC!$D$73,FL122&gt;NDC!$D$74,$B122&gt;NDC!$H$22-0.1+MIN(3*FM$12,1.5)),0,1)</f>
        <v>#N/A</v>
      </c>
    </row>
    <row r="123" spans="1:169">
      <c r="A123" s="96">
        <f t="shared" si="165"/>
        <v>89.000000000000625</v>
      </c>
      <c r="B123" s="97">
        <v>11</v>
      </c>
      <c r="C123" s="81">
        <f>IF(B123&lt;=Hypothèses!$C$7,Hypothèses!$A$7,IF(B123&lt;=Hypothèses!$C$8,Hypothèses!$A$8,IF(B123&lt;=Hypothèses!$C$9,Hypothèses!$A$9,IF(B123&lt;=Hypothèses!$C$10,Hypothèses!$A$10,IF(B123&lt;=Hypothèses!$C$11,Hypothèses!$A$11,IF(B123&lt;=Hypothèses!$C$12,Hypothèses!$A$12,IF(B123&lt;=Hypothèses!$C$13,Hypothèses!$A$13,IF(B123&lt;=Hypothèses!$C$14,Hypothèses!$A$14,IF(B123&lt;=Hypothèses!$C$15,Hypothèses!$A$15,IF(B123&lt;=Hypothèses!$C$16,Hypothèses!$A$16,IF(B123&lt;=Hypothèses!$C$17,Hypothèses!$A$17,IF(B123&lt;=Hypothèses!$C$18,Hypothèses!$A$18,C122))))))))))))</f>
        <v>11</v>
      </c>
      <c r="D123" s="82" t="str">
        <f>IF(B123&lt;=Hypothèses!$C$7,Hypothèses!$R$7,IF(B123&lt;=Hypothèses!$C$8,Hypothèses!$R$8,IF(B123&lt;=Hypothèses!$C$9,Hypothèses!$R$9,IF(B123&lt;=Hypothèses!$C$10,Hypothèses!$R$10,IF(B123&lt;=Hypothèses!$C$11,Hypothèses!$R$11,IF(B123&lt;=Hypothèses!$C$12,Hypothèses!$R$12,IF(B123&lt;=Hypothèses!$C$13,Hypothèses!$R$13,IF(B123&lt;=Hypothèses!$C$14,Hypothèses!$R$14,IF(B123&lt;=Hypothèses!$C$15,Hypothèses!$R$15,IF(B123&lt;=Hypothèses!$C$16,Hypothèses!$R$16,IF(B123&lt;=Hypothèses!$C$17,Hypothèses!$R$17,IF(B123&lt;=Hypothèses!$C$18,Hypothèses!$R$18,D122))))))))))))</f>
        <v>Pressio.</v>
      </c>
      <c r="E123" s="82" t="e">
        <f>IF(B123&lt;=Hypothèses!$C$7,Hypothèses!$G$7,IF(B123&lt;=Hypothèses!$C$8,Hypothèses!$G$8,IF(B123&lt;=Hypothèses!$C$9,Hypothèses!$G$9,IF(B123&lt;=Hypothèses!$C$10,Hypothèses!$G$10,IF(B123&lt;=Hypothèses!$C$11,Hypothèses!$G$11,IF(B123&lt;=Hypothèses!$C$12,Hypothèses!$G$12,IF(B123&lt;=Hypothèses!$C$13,Hypothèses!$G$13,IF(B123&lt;=Hypothèses!$C$14,Hypothèses!$G$14,IF(B123&lt;=Hypothèses!$C$15,Hypothèses!$G$15,IF(B123&lt;=Hypothèses!$C$16,Hypothèses!$G$16,IF(B123&lt;=Hypothèses!$C$17,Hypothèses!$G$17,IF(B123&lt;=Hypothèses!$C$18,Hypothèses!$G$18,E122))))))))))))</f>
        <v>#N/A</v>
      </c>
      <c r="F123" s="82" t="str">
        <f>IF(B123&lt;=Hypothèses!$C$7,Hypothèses!$F$7,IF(B123&lt;=Hypothèses!$C$8,Hypothèses!$F$8,IF(B123&lt;=Hypothèses!$C$9,Hypothèses!$F$9,IF(B123&lt;=Hypothèses!$C$10,Hypothèses!$F$10,IF(B123&lt;=Hypothèses!$C$11,Hypothèses!$F$11,IF(B123&lt;=Hypothèses!$C$12,Hypothèses!$F$12,IF(B123&lt;=Hypothèses!$C$13,Hypothèses!$F$13,IF(B123&lt;=Hypothèses!$C$14,Hypothèses!$F$14,IF(B123&lt;=Hypothèses!$C$15,Hypothèses!$F$15,IF(B123&lt;=Hypothèses!$C$16,Hypothèses!$F$16,IF(B123&lt;=Hypothèses!$C$17,Hypothèses!$F$17,IF(B123&lt;=Hypothèses!$C$18,Hypothèses!$F$18,F122))))))))))))</f>
        <v/>
      </c>
      <c r="G123" s="91">
        <f t="array" ref="G123">INDEX('Coeff EC7'!$U$7:$X$27,
MATCH(Model0.1T!$B$3,'Coeff EC7'!$T$7:$T$27,0),
MATCH(Model0.1T!$D123&amp;Model0.1T!$B$4,
'Coeff EC7'!$U$6:$X$6&amp;
'Coeff EC7'!$U$5:$X$5,0))</f>
        <v>1.4</v>
      </c>
      <c r="H123" s="91">
        <f t="array" ref="H123">INDEX('Coeff EC7'!$Y$7:$AB$27,
MATCH(Model0.1T!$B$3,'Coeff EC7'!$T$7:$T$27,0),
MATCH(Model0.1T!$D123&amp;Model0.1T!$B$4,
'Coeff EC7'!$Y$6:$AB$6&amp;
'Coeff EC7'!$Y$5:$AB$5,0))</f>
        <v>1.7</v>
      </c>
      <c r="I123" s="83">
        <v>0</v>
      </c>
      <c r="J123" s="91" t="e">
        <f t="array" ref="J123">INDEX('Coeff EC7'!$D$33:$Q$33,1,MATCH(D123&amp;E123,'Coeff EC7'!$D$31:$Q$31&amp;'Coeff EC7'!$D$32:$Q$32,0))</f>
        <v>#N/A</v>
      </c>
      <c r="K123" s="91" t="e">
        <f t="array" ref="K123">INDEX('Coeff EC7'!$D$34:$Q$34,1,MATCH(D123&amp;E123,'Coeff EC7'!$D$31:$Q$31&amp;'Coeff EC7'!$D$32:$Q$32,0))</f>
        <v>#N/A</v>
      </c>
      <c r="L123" s="91" t="e">
        <f t="array" ref="L123">INDEX('Coeff EC7'!$D$35:$Q$35,1,MATCH(D123&amp;E123,'Coeff EC7'!$D$31:$Q$31&amp;'Coeff EC7'!$D$32:$Q$32,0))</f>
        <v>#N/A</v>
      </c>
      <c r="M123" s="98" t="e">
        <f t="shared" si="131"/>
        <v>#N/A</v>
      </c>
      <c r="N123" s="99" t="e">
        <f t="array" ref="N123">INDEX('Coeff EC7'!$D$7:$Q$27,MATCH($B$3,'Coeff EC7'!$C$7:$C$27,0),MATCH(D123&amp;E123,'Coeff EC7'!$D$5:$Q$5&amp;'Coeff EC7'!$D$6:$Q$6,0))</f>
        <v>#N/A</v>
      </c>
      <c r="O123" s="99" t="e">
        <f t="array" ref="O123">INDEX('Coeff EC7'!$D$41:$Q$61,MATCH($B$3,'Coeff EC7'!$C$41:$C$61,0),MATCH(D123&amp;E123,'Coeff EC7'!$D$39:$Q$39&amp;'Coeff EC7'!$D$40:$Q$40,0))</f>
        <v>#N/A</v>
      </c>
      <c r="P123" s="30" t="e">
        <f t="shared" si="166"/>
        <v>#N/A</v>
      </c>
      <c r="Q123" s="100" t="e">
        <f t="shared" si="133"/>
        <v>#N/A</v>
      </c>
      <c r="R123" s="86" t="b">
        <f t="shared" si="134"/>
        <v>0</v>
      </c>
      <c r="S123" s="86">
        <f t="shared" si="132"/>
        <v>0.5</v>
      </c>
      <c r="T123" s="86">
        <f t="shared" si="135"/>
        <v>0.5</v>
      </c>
      <c r="U123" s="30" t="e">
        <f t="shared" ca="1" si="167"/>
        <v>#DIV/0!</v>
      </c>
      <c r="V123" s="85" t="str">
        <f>IF(B123&lt;=Hypothèses!$V$7,Hypothèses!$W$7,IF(B123&lt;=Hypothèses!$V$8,Hypothèses!$W$8,IF(B123&lt;=Hypothèses!$V$9,Hypothèses!$W$9,IF(B123&lt;=Hypothèses!$V$10,Hypothèses!$W$10,IF(B123&lt;=Hypothèses!$V$11,Hypothèses!$W$11,IF(B123&lt;=Hypothèses!$V$12,Hypothèses!$W$12,IF(B123&lt;=Hypothèses!$V$13,Hypothèses!$W$13,IF(B123&lt;=Hypothèses!$V$14,Hypothèses!$W$14,IF(B123&lt;=Hypothèses!$V$15,Hypothèses!$W$15,IF(B123&lt;=Hypothèses!$V$16,Hypothèses!$W$16,IF(B123&lt;=Hypothèses!$V$17,Hypothèses!$W$17,IF(B123&lt;=Hypothèses!$V$18,Hypothèses!$W$18,""))))))))))))</f>
        <v/>
      </c>
      <c r="W123" s="87" t="e">
        <f t="shared" ca="1" si="216"/>
        <v>#DIV/0!</v>
      </c>
      <c r="X123" s="88" t="str">
        <f>IF(B123&lt;=Hypothèses!$V$7,Hypothèses!$X$7,IF(B123&lt;=Hypothèses!$V$8,Hypothèses!$X$8,IF(B123&lt;=Hypothèses!$V$9,Hypothèses!$X$9,IF(B123&lt;=Hypothèses!$V$10,Hypothèses!$X$10,IF(B123&lt;=Hypothèses!$V$11,Hypothèses!$X$11,IF(B123&lt;=Hypothèses!$V$12,Hypothèses!$X$12,IF(B123&lt;=Hypothèses!$V$13,Hypothèses!$X$13,IF(B123&lt;=Hypothèses!$V$14,Hypothèses!$X$14,IF(B123&lt;=Hypothèses!$V$15,Hypothèses!$X$15,IF(B123&lt;=Hypothèses!$V$16,Hypothèses!$X$16,IF(B123&lt;=Hypothèses!$U$17,Hypothèses!$W$17,IF(B123&lt;=Hypothèses!$U$18,Hypothèses!$W$18,""))))))))))))</f>
        <v/>
      </c>
      <c r="Y123" s="95" t="e">
        <f t="shared" ca="1" si="136"/>
        <v>#DIV/0!</v>
      </c>
      <c r="Z123" s="101">
        <f t="shared" si="137"/>
        <v>0</v>
      </c>
      <c r="AA123" s="91">
        <f t="shared" si="138"/>
        <v>0</v>
      </c>
      <c r="AB123" s="30" t="e">
        <f t="shared" si="200"/>
        <v>#N/A</v>
      </c>
      <c r="AC123" s="30" t="e">
        <f t="shared" si="201"/>
        <v>#N/A</v>
      </c>
      <c r="AD123" s="31" t="e">
        <f>IF(OR(Hypothèses!$B$4=17,Hypothèses!$B$4=18,Hypothèses!$B$4=19,Hypothèses!$B$4=20),
IF($D123="Pressio.",
IF(OR($E123=3,$E123=1,$E123=4),AC123,AB123),
IF($D123="Pénétro.",
IF(OR($E123=3,$E123=1,$E123=4),AC123,AB123))),IF($D123="Pressio.",
IF($E123=3,AC123,AB123),
IF($D123="Pénétro.",
IF($E123=4,AC123,AB123))))</f>
        <v>#N/A</v>
      </c>
      <c r="AE123" s="31">
        <v>0</v>
      </c>
      <c r="AF123" s="102" t="e">
        <f>IF(NDC!$H$10="Oui",(VLOOKUP($B$3,'Coeff EC7'!$T$39:$X$59,2,0)*AD123+VLOOKUP($B$3,'Coeff EC7'!$T$65:$X$85,2,0)*Model0.1T!AE123)/1.5,PI()*AB$12*$Q123*($B123-$B122)*0.15/10+AF122)</f>
        <v>#N/A</v>
      </c>
      <c r="AG123" s="102" t="e">
        <f>(VLOOKUP($B$3,'Coeff EC7'!$T$39:$X$59,3,0)*AD123+VLOOKUP($B$3,'Coeff EC7'!$T$65:$X$85,3,0)*Model0.1T!AE123)/1.1</f>
        <v>#N/A</v>
      </c>
      <c r="AH123" s="102" t="e">
        <f t="shared" si="168"/>
        <v>#N/A</v>
      </c>
      <c r="AI123" s="102" t="e">
        <f t="shared" si="169"/>
        <v>#N/A</v>
      </c>
      <c r="AJ123" s="414" t="e">
        <f>IF(AND(AF123&gt;NDC!$C$63,AG123&gt;NDC!$C$65,AH123&gt;NDC!$D$73,AI123&gt;NDC!$D$74,$B123&gt;NDC!$H$22-0.1+MIN(3*$AJ$12,1.5)),0,1)</f>
        <v>#N/A</v>
      </c>
      <c r="AK123" s="86" t="b">
        <f t="shared" si="139"/>
        <v>0</v>
      </c>
      <c r="AL123" s="86">
        <f t="shared" si="170"/>
        <v>0.5</v>
      </c>
      <c r="AM123" s="86">
        <f t="shared" si="140"/>
        <v>0.5</v>
      </c>
      <c r="AN123" s="30" t="e">
        <f t="shared" ca="1" si="171"/>
        <v>#DIV/0!</v>
      </c>
      <c r="AO123" s="85" t="e">
        <f ca="1">IF(U123&lt;=Hypothèses!$V$7,Hypothèses!$W$7,IF(U123&lt;=Hypothèses!$V$8,Hypothèses!$W$8,IF(U123&lt;=Hypothèses!$V$9,Hypothèses!$W$9,IF(U123&lt;=Hypothèses!$V$10,Hypothèses!$W$10,IF(U123&lt;=Hypothèses!$V$11,Hypothèses!$W$11,IF(U123&lt;=Hypothèses!$V$12,Hypothèses!$W$12,IF(U123&lt;=Hypothèses!$V$13,Hypothèses!$W$13,IF(U123&lt;=Hypothèses!$V$14,Hypothèses!$W$14,IF(U123&lt;=Hypothèses!$V$15,Hypothèses!$W$15,IF(U123&lt;=Hypothèses!$V$16,Hypothèses!$W$16,IF(U123&lt;=Hypothèses!$V$17,Hypothèses!$W$17,IF(U123&lt;=Hypothèses!$V$18,Hypothèses!$W$18,""))))))))))))</f>
        <v>#DIV/0!</v>
      </c>
      <c r="AP123" s="87" t="e">
        <f t="shared" ca="1" si="217"/>
        <v>#DIV/0!</v>
      </c>
      <c r="AQ123" s="88" t="e">
        <f ca="1">IF(U123&lt;=Hypothèses!$V$7,Hypothèses!$X$7,IF(U123&lt;=Hypothèses!$V$8,Hypothèses!$X$8,IF(U123&lt;=Hypothèses!$V$9,Hypothèses!$X$9,IF(U123&lt;=Hypothèses!$V$10,Hypothèses!$X$10,IF(U123&lt;=Hypothèses!$V$11,Hypothèses!$X$11,IF(U123&lt;=Hypothèses!$V$12,Hypothèses!$X$12,IF(U123&lt;=Hypothèses!$V$13,Hypothèses!$X$13,IF(U123&lt;=Hypothèses!$V$14,Hypothèses!$X$14,IF(U123&lt;=Hypothèses!$V$15,Hypothèses!$X$15,IF(U123&lt;=Hypothèses!$V$16,Hypothèses!$X$16,IF(U123&lt;=Hypothèses!$U$17,Hypothèses!$W$17,IF(U123&lt;=Hypothèses!$U$18,Hypothèses!$W$18,""))))))))))))</f>
        <v>#DIV/0!</v>
      </c>
      <c r="AR123" s="95" t="e">
        <f t="shared" ca="1" si="172"/>
        <v>#DIV/0!</v>
      </c>
      <c r="AS123" s="101">
        <f t="shared" si="224"/>
        <v>0</v>
      </c>
      <c r="AT123" s="91">
        <f t="shared" si="141"/>
        <v>0</v>
      </c>
      <c r="AU123" s="30" t="e">
        <f t="shared" si="202"/>
        <v>#N/A</v>
      </c>
      <c r="AV123" s="30" t="e">
        <f t="shared" si="203"/>
        <v>#N/A</v>
      </c>
      <c r="AW123" s="31" t="e">
        <f>IF(OR(Hypothèses!$B$4=17,Hypothèses!$B$4=18,Hypothèses!$B$4=19,Hypothèses!$B$4=20),
IF($D123="Pressio.",
IF(OR($E123=3,$E123=1,$E123=4),AV123,AU123),
IF($D123="Pénétro.",
IF(OR($E123=3,$E123=1,$E123=4),AV123,AU123))),IF($D123="Pressio.",
IF($E123=3,AV123,AU123),
IF($D123="Pénétro.",
IF($E123=4,AV123,AU123))))</f>
        <v>#N/A</v>
      </c>
      <c r="AX123" s="31">
        <v>0</v>
      </c>
      <c r="AY123" s="102" t="e">
        <f>IF(NDC!$H$10="Oui",(VLOOKUP($B$3,'Coeff EC7'!$T$39:$X$59,2,0)*AW123+VLOOKUP($B$3,'Coeff EC7'!$T$65:$X$85,2,0)*Model0.1T!AX123)/1.5,PI()*AU$12*$Q123*($B123-$B122)*0.15/10+AY122)</f>
        <v>#N/A</v>
      </c>
      <c r="AZ123" s="102" t="e">
        <f>(VLOOKUP($B$3,'Coeff EC7'!$T$39:$X$59,3,0)*AW123+VLOOKUP($B$3,'Coeff EC7'!$T$65:$X$85,3,0)*Model0.1T!AX123)/1.1</f>
        <v>#N/A</v>
      </c>
      <c r="BA123" s="102" t="e">
        <f t="shared" si="173"/>
        <v>#N/A</v>
      </c>
      <c r="BB123" s="102" t="e">
        <f t="shared" si="174"/>
        <v>#N/A</v>
      </c>
      <c r="BC123" s="414" t="e">
        <f>IF(AND(AY123&gt;NDC!$C$63,AZ123&gt;NDC!$C$65,BA123&gt;NDC!$D$73,BB123&gt;NDC!$D$74,$B123&gt;NDC!$H$22-0.1+MIN(3*BC$12,1.5)),0,1)</f>
        <v>#N/A</v>
      </c>
      <c r="BD123" s="86" t="b">
        <f t="shared" si="142"/>
        <v>0</v>
      </c>
      <c r="BE123" s="86">
        <f t="shared" si="175"/>
        <v>0.5</v>
      </c>
      <c r="BF123" s="86">
        <f t="shared" si="143"/>
        <v>0.5</v>
      </c>
      <c r="BG123" s="30" t="e">
        <f t="shared" ca="1" si="176"/>
        <v>#DIV/0!</v>
      </c>
      <c r="BH123" s="85" t="e">
        <f ca="1">IF(AN123&lt;=Hypothèses!$V$7,Hypothèses!$W$7,IF(AN123&lt;=Hypothèses!$V$8,Hypothèses!$W$8,IF(AN123&lt;=Hypothèses!$V$9,Hypothèses!$W$9,IF(AN123&lt;=Hypothèses!$V$10,Hypothèses!$W$10,IF(AN123&lt;=Hypothèses!$V$11,Hypothèses!$W$11,IF(AN123&lt;=Hypothèses!$V$12,Hypothèses!$W$12,IF(AN123&lt;=Hypothèses!$V$13,Hypothèses!$W$13,IF(AN123&lt;=Hypothèses!$V$14,Hypothèses!$W$14,IF(AN123&lt;=Hypothèses!$V$15,Hypothèses!$W$15,IF(AN123&lt;=Hypothèses!$V$16,Hypothèses!$W$16,IF(AN123&lt;=Hypothèses!$V$17,Hypothèses!$W$17,IF(AN123&lt;=Hypothèses!$V$18,Hypothèses!$W$18,""))))))))))))</f>
        <v>#DIV/0!</v>
      </c>
      <c r="BI123" s="87" t="e">
        <f t="shared" ca="1" si="218"/>
        <v>#DIV/0!</v>
      </c>
      <c r="BJ123" s="88" t="e">
        <f ca="1">IF(AN123&lt;=Hypothèses!$V$7,Hypothèses!$X$7,IF(AN123&lt;=Hypothèses!$V$8,Hypothèses!$X$8,IF(AN123&lt;=Hypothèses!$V$9,Hypothèses!$X$9,IF(AN123&lt;=Hypothèses!$V$10,Hypothèses!$X$10,IF(AN123&lt;=Hypothèses!$V$11,Hypothèses!$X$11,IF(AN123&lt;=Hypothèses!$V$12,Hypothèses!$X$12,IF(AN123&lt;=Hypothèses!$V$13,Hypothèses!$X$13,IF(AN123&lt;=Hypothèses!$V$14,Hypothèses!$X$14,IF(AN123&lt;=Hypothèses!$V$15,Hypothèses!$X$15,IF(AN123&lt;=Hypothèses!$V$16,Hypothèses!$X$16,IF(AN123&lt;=Hypothèses!$U$17,Hypothèses!$W$17,IF(AN123&lt;=Hypothèses!$U$18,Hypothèses!$W$18,""))))))))))))</f>
        <v>#DIV/0!</v>
      </c>
      <c r="BK123" s="95" t="e">
        <f t="shared" ca="1" si="177"/>
        <v>#DIV/0!</v>
      </c>
      <c r="BL123" s="101">
        <f t="shared" si="225"/>
        <v>0</v>
      </c>
      <c r="BM123" s="91">
        <f t="shared" si="144"/>
        <v>0</v>
      </c>
      <c r="BN123" s="30" t="e">
        <f t="shared" si="204"/>
        <v>#N/A</v>
      </c>
      <c r="BO123" s="30" t="e">
        <f t="shared" si="205"/>
        <v>#N/A</v>
      </c>
      <c r="BP123" s="31" t="e">
        <f>IF(OR(Hypothèses!$B$4=17,Hypothèses!$B$4=18,Hypothèses!$B$4=19,Hypothèses!$B$4=20),
IF($D123="Pressio.",
IF(OR($E123=3,$E123=1,$E123=4),BO123,BN123),
IF($D123="Pénétro.",
IF(OR($E123=3,$E123=1,$E123=4),BO123,BN123))),IF($D123="Pressio.",
IF($E123=3,BO123,BN123),
IF($D123="Pénétro.",
IF($E123=4,BO123,BN123))))</f>
        <v>#N/A</v>
      </c>
      <c r="BQ123" s="31">
        <v>0</v>
      </c>
      <c r="BR123" s="102" t="e">
        <f>IF(NDC!$H$10="Oui",(VLOOKUP($B$3,'Coeff EC7'!$T$39:$X$59,2,0)*BP123+VLOOKUP($B$3,'Coeff EC7'!$T$65:$X$85,2,0)*Model0.1T!BQ123)/1.5,PI()*BN$12*$Q123*($B123-$B122)*0.15/10+BR122)</f>
        <v>#N/A</v>
      </c>
      <c r="BS123" s="102" t="e">
        <f>(VLOOKUP($B$3,'Coeff EC7'!$T$39:$X$59,3,0)*BP123+VLOOKUP($B$3,'Coeff EC7'!$T$65:$X$85,3,0)*Model0.1T!BQ123)/1.1</f>
        <v>#N/A</v>
      </c>
      <c r="BT123" s="102" t="e">
        <f t="shared" si="178"/>
        <v>#N/A</v>
      </c>
      <c r="BU123" s="102" t="e">
        <f t="shared" si="179"/>
        <v>#N/A</v>
      </c>
      <c r="BV123" s="414" t="e">
        <f>IF(AND(BR123&gt;NDC!$C$63,BS123&gt;NDC!$C$65,BT123&gt;NDC!$D$73,BU123&gt;NDC!$D$74,$B123&gt;NDC!$H$22-0.1+MIN(3*BV$12,1.5)),0,1)</f>
        <v>#N/A</v>
      </c>
      <c r="BW123" s="86" t="b">
        <f t="shared" si="145"/>
        <v>0</v>
      </c>
      <c r="BX123" s="86">
        <f t="shared" si="146"/>
        <v>0.5</v>
      </c>
      <c r="BY123" s="86">
        <f t="shared" si="147"/>
        <v>0.5</v>
      </c>
      <c r="BZ123" s="30" t="e">
        <f t="shared" ca="1" si="180"/>
        <v>#DIV/0!</v>
      </c>
      <c r="CA123" s="85" t="e">
        <f ca="1">IF(BG123&lt;=Hypothèses!$V$7,Hypothèses!$W$7,IF(BG123&lt;=Hypothèses!$V$8,Hypothèses!$W$8,IF(BG123&lt;=Hypothèses!$V$9,Hypothèses!$W$9,IF(BG123&lt;=Hypothèses!$V$10,Hypothèses!$W$10,IF(BG123&lt;=Hypothèses!$V$11,Hypothèses!$W$11,IF(BG123&lt;=Hypothèses!$V$12,Hypothèses!$W$12,IF(BG123&lt;=Hypothèses!$V$13,Hypothèses!$W$13,IF(BG123&lt;=Hypothèses!$V$14,Hypothèses!$W$14,IF(BG123&lt;=Hypothèses!$V$15,Hypothèses!$W$15,IF(BG123&lt;=Hypothèses!$V$16,Hypothèses!$W$16,IF(BG123&lt;=Hypothèses!$V$17,Hypothèses!$W$17,IF(BG123&lt;=Hypothèses!$V$18,Hypothèses!$W$18,""))))))))))))</f>
        <v>#DIV/0!</v>
      </c>
      <c r="CB123" s="87" t="e">
        <f t="shared" ca="1" si="219"/>
        <v>#DIV/0!</v>
      </c>
      <c r="CC123" s="88" t="e">
        <f ca="1">IF(BG123&lt;=Hypothèses!$V$7,Hypothèses!$X$7,IF(BG123&lt;=Hypothèses!$V$8,Hypothèses!$X$8,IF(BG123&lt;=Hypothèses!$V$9,Hypothèses!$X$9,IF(BG123&lt;=Hypothèses!$V$10,Hypothèses!$X$10,IF(BG123&lt;=Hypothèses!$V$11,Hypothèses!$X$11,IF(BG123&lt;=Hypothèses!$V$12,Hypothèses!$X$12,IF(BG123&lt;=Hypothèses!$V$13,Hypothèses!$X$13,IF(BG123&lt;=Hypothèses!$V$14,Hypothèses!$X$14,IF(BG123&lt;=Hypothèses!$V$15,Hypothèses!$X$15,IF(BG123&lt;=Hypothèses!$V$16,Hypothèses!$X$16,IF(BG123&lt;=Hypothèses!$U$17,Hypothèses!$W$17,IF(BG123&lt;=Hypothèses!$U$18,Hypothèses!$W$18,""))))))))))))</f>
        <v>#DIV/0!</v>
      </c>
      <c r="CD123" s="95" t="e">
        <f t="shared" ca="1" si="181"/>
        <v>#DIV/0!</v>
      </c>
      <c r="CE123" s="101">
        <f t="shared" si="226"/>
        <v>0</v>
      </c>
      <c r="CF123" s="91">
        <f t="shared" si="148"/>
        <v>0</v>
      </c>
      <c r="CG123" s="30" t="e">
        <f t="shared" si="206"/>
        <v>#N/A</v>
      </c>
      <c r="CH123" s="30" t="e">
        <f t="shared" si="207"/>
        <v>#N/A</v>
      </c>
      <c r="CI123" s="31" t="e">
        <f>IF(OR(Hypothèses!$B$4=17,Hypothèses!$B$4=18,Hypothèses!$B$4=19,Hypothèses!$B$4=20),
IF($D123="Pressio.",
IF(OR($E123=3,$E123=1,$E123=4),CH123,CG123),
IF($D123="Pénétro.",
IF(OR($E123=3,$E123=1,$E123=4),CH123,CG123))),IF($D123="Pressio.",
IF($E123=3,CH123,CG123),
IF($D123="Pénétro.",
IF($E123=4,CH123,CG123))))</f>
        <v>#N/A</v>
      </c>
      <c r="CJ123" s="31">
        <v>0</v>
      </c>
      <c r="CK123" s="102" t="e">
        <f>IF(NDC!$H$10="Oui",(VLOOKUP($B$3,'Coeff EC7'!$T$39:$X$59,2,0)*CI123+VLOOKUP($B$3,'Coeff EC7'!$T$65:$X$85,2,0)*Model0.1T!CJ123)/1.5,PI()*CG$12*$Q123*($B123-$B122)*0.15/10+CK122)</f>
        <v>#N/A</v>
      </c>
      <c r="CL123" s="102" t="e">
        <f>(VLOOKUP($B$3,'Coeff EC7'!$T$39:$X$59,3,0)*CI123+VLOOKUP($B$3,'Coeff EC7'!$T$65:$X$85,3,0)*Model0.1T!CJ123)/1.1</f>
        <v>#N/A</v>
      </c>
      <c r="CM123" s="102" t="e">
        <f t="shared" si="182"/>
        <v>#N/A</v>
      </c>
      <c r="CN123" s="102" t="e">
        <f t="shared" si="183"/>
        <v>#N/A</v>
      </c>
      <c r="CO123" s="414" t="e">
        <f>IF(AND(CK123&gt;NDC!$C$63,CL123&gt;NDC!$C$65,CM123&gt;NDC!$D$73,CN123&gt;NDC!$D$74,$B123&gt;NDC!$H$22-0.1+MIN(3*CO$12,1.5)),0,1)</f>
        <v>#N/A</v>
      </c>
      <c r="CP123" s="86" t="b">
        <f t="shared" si="149"/>
        <v>0</v>
      </c>
      <c r="CQ123" s="86">
        <f t="shared" si="150"/>
        <v>0.5</v>
      </c>
      <c r="CR123" s="86">
        <f t="shared" si="151"/>
        <v>0.5</v>
      </c>
      <c r="CS123" s="30" t="e">
        <f t="shared" ca="1" si="184"/>
        <v>#DIV/0!</v>
      </c>
      <c r="CT123" s="85" t="e">
        <f ca="1">IF(BZ123&lt;=Hypothèses!$V$7,Hypothèses!$W$7,IF(BZ123&lt;=Hypothèses!$V$8,Hypothèses!$W$8,IF(BZ123&lt;=Hypothèses!$V$9,Hypothèses!$W$9,IF(BZ123&lt;=Hypothèses!$V$10,Hypothèses!$W$10,IF(BZ123&lt;=Hypothèses!$V$11,Hypothèses!$W$11,IF(BZ123&lt;=Hypothèses!$V$12,Hypothèses!$W$12,IF(BZ123&lt;=Hypothèses!$V$13,Hypothèses!$W$13,IF(BZ123&lt;=Hypothèses!$V$14,Hypothèses!$W$14,IF(BZ123&lt;=Hypothèses!$V$15,Hypothèses!$W$15,IF(BZ123&lt;=Hypothèses!$V$16,Hypothèses!$W$16,IF(BZ123&lt;=Hypothèses!$V$17,Hypothèses!$W$17,IF(BZ123&lt;=Hypothèses!$V$18,Hypothèses!$W$18,""))))))))))))</f>
        <v>#DIV/0!</v>
      </c>
      <c r="CU123" s="87" t="e">
        <f t="shared" ca="1" si="220"/>
        <v>#DIV/0!</v>
      </c>
      <c r="CV123" s="88" t="e">
        <f ca="1">IF(BZ123&lt;=Hypothèses!$V$7,Hypothèses!$X$7,IF(BZ123&lt;=Hypothèses!$V$8,Hypothèses!$X$8,IF(BZ123&lt;=Hypothèses!$V$9,Hypothèses!$X$9,IF(BZ123&lt;=Hypothèses!$V$10,Hypothèses!$X$10,IF(BZ123&lt;=Hypothèses!$V$11,Hypothèses!$X$11,IF(BZ123&lt;=Hypothèses!$V$12,Hypothèses!$X$12,IF(BZ123&lt;=Hypothèses!$V$13,Hypothèses!$X$13,IF(BZ123&lt;=Hypothèses!$V$14,Hypothèses!$X$14,IF(BZ123&lt;=Hypothèses!$V$15,Hypothèses!$X$15,IF(BZ123&lt;=Hypothèses!$V$16,Hypothèses!$X$16,IF(BZ123&lt;=Hypothèses!$U$17,Hypothèses!$W$17,IF(BZ123&lt;=Hypothèses!$U$18,Hypothèses!$W$18,""))))))))))))</f>
        <v>#DIV/0!</v>
      </c>
      <c r="CW123" s="95" t="e">
        <f t="shared" ca="1" si="185"/>
        <v>#DIV/0!</v>
      </c>
      <c r="CX123" s="101">
        <f t="shared" si="227"/>
        <v>0</v>
      </c>
      <c r="CY123" s="91">
        <f t="shared" si="152"/>
        <v>0</v>
      </c>
      <c r="CZ123" s="30" t="e">
        <f t="shared" si="208"/>
        <v>#N/A</v>
      </c>
      <c r="DA123" s="30" t="e">
        <f t="shared" si="209"/>
        <v>#N/A</v>
      </c>
      <c r="DB123" s="31" t="e">
        <f>IF(OR(Hypothèses!$B$4=17,Hypothèses!$B$4=18,Hypothèses!$B$4=19,Hypothèses!$B$4=20),
IF($D123="Pressio.",
IF(OR($E123=3,$E123=1,$E123=4),DA123,CZ123),
IF($D123="Pénétro.",
IF(OR($E123=3,$E123=1,$E123=4),DA123,CZ123))),IF($D123="Pressio.",
IF($E123=3,DA123,CZ123),
IF($D123="Pénétro.",
IF($E123=4,DA123,CZ123))))</f>
        <v>#N/A</v>
      </c>
      <c r="DC123" s="31">
        <v>0</v>
      </c>
      <c r="DD123" s="102" t="e">
        <f>IF(NDC!$H$10="Oui",(VLOOKUP($B$3,'Coeff EC7'!$T$39:$X$59,2,0)*DB123+VLOOKUP($B$3,'Coeff EC7'!$T$65:$X$85,2,0)*Model0.1T!DC123)/1.5,PI()*CZ$12*$Q123*($B123-$B122)*0.15/10+DD122)</f>
        <v>#N/A</v>
      </c>
      <c r="DE123" s="102" t="e">
        <f>(VLOOKUP($B$3,'Coeff EC7'!$T$39:$X$59,3,0)*DB123+VLOOKUP($B$3,'Coeff EC7'!$T$65:$X$85,3,0)*Model0.1T!DC123)/1.1</f>
        <v>#N/A</v>
      </c>
      <c r="DF123" s="102" t="e">
        <f t="shared" si="186"/>
        <v>#N/A</v>
      </c>
      <c r="DG123" s="102" t="e">
        <f t="shared" si="187"/>
        <v>#N/A</v>
      </c>
      <c r="DH123" s="414" t="e">
        <f>IF(AND(DD123&gt;NDC!$C$63,DE123&gt;NDC!$C$65,DF123&gt;NDC!$D$73,DG123&gt;NDC!$D$74,$B123&gt;NDC!$H$22-0.1+MIN(3*DH$12,1.5)),0,1)</f>
        <v>#N/A</v>
      </c>
      <c r="DI123" s="86" t="b">
        <f t="shared" si="153"/>
        <v>0</v>
      </c>
      <c r="DJ123" s="86">
        <f t="shared" si="154"/>
        <v>0.5</v>
      </c>
      <c r="DK123" s="86">
        <f t="shared" si="155"/>
        <v>0.5</v>
      </c>
      <c r="DL123" s="30" t="e">
        <f t="shared" ca="1" si="188"/>
        <v>#DIV/0!</v>
      </c>
      <c r="DM123" s="85" t="e">
        <f ca="1">IF(CS123&lt;=Hypothèses!$V$7,Hypothèses!$W$7,IF(CS123&lt;=Hypothèses!$V$8,Hypothèses!$W$8,IF(CS123&lt;=Hypothèses!$V$9,Hypothèses!$W$9,IF(CS123&lt;=Hypothèses!$V$10,Hypothèses!$W$10,IF(CS123&lt;=Hypothèses!$V$11,Hypothèses!$W$11,IF(CS123&lt;=Hypothèses!$V$12,Hypothèses!$W$12,IF(CS123&lt;=Hypothèses!$V$13,Hypothèses!$W$13,IF(CS123&lt;=Hypothèses!$V$14,Hypothèses!$W$14,IF(CS123&lt;=Hypothèses!$V$15,Hypothèses!$W$15,IF(CS123&lt;=Hypothèses!$V$16,Hypothèses!$W$16,IF(CS123&lt;=Hypothèses!$V$17,Hypothèses!$W$17,IF(CS123&lt;=Hypothèses!$V$18,Hypothèses!$W$18,""))))))))))))</f>
        <v>#DIV/0!</v>
      </c>
      <c r="DN123" s="87" t="e">
        <f t="shared" ca="1" si="221"/>
        <v>#DIV/0!</v>
      </c>
      <c r="DO123" s="88" t="e">
        <f ca="1">IF(CS123&lt;=Hypothèses!$V$7,Hypothèses!$X$7,IF(CS123&lt;=Hypothèses!$V$8,Hypothèses!$X$8,IF(CS123&lt;=Hypothèses!$V$9,Hypothèses!$X$9,IF(CS123&lt;=Hypothèses!$V$10,Hypothèses!$X$10,IF(CS123&lt;=Hypothèses!$V$11,Hypothèses!$X$11,IF(CS123&lt;=Hypothèses!$V$12,Hypothèses!$X$12,IF(CS123&lt;=Hypothèses!$V$13,Hypothèses!$X$13,IF(CS123&lt;=Hypothèses!$V$14,Hypothèses!$X$14,IF(CS123&lt;=Hypothèses!$V$15,Hypothèses!$X$15,IF(CS123&lt;=Hypothèses!$V$16,Hypothèses!$X$16,IF(CS123&lt;=Hypothèses!$U$17,Hypothèses!$W$17,IF(CS123&lt;=Hypothèses!$U$18,Hypothèses!$W$18,""))))))))))))</f>
        <v>#DIV/0!</v>
      </c>
      <c r="DP123" s="95" t="e">
        <f t="shared" ca="1" si="189"/>
        <v>#DIV/0!</v>
      </c>
      <c r="DQ123" s="101">
        <f t="shared" si="228"/>
        <v>0</v>
      </c>
      <c r="DR123" s="91">
        <f t="shared" si="156"/>
        <v>0</v>
      </c>
      <c r="DS123" s="30" t="e">
        <f t="shared" si="210"/>
        <v>#N/A</v>
      </c>
      <c r="DT123" s="30" t="e">
        <f t="shared" si="211"/>
        <v>#N/A</v>
      </c>
      <c r="DU123" s="31" t="e">
        <f>IF(OR(Hypothèses!$B$4=17,Hypothèses!$B$4=18,Hypothèses!$B$4=19,Hypothèses!$B$4=20),
IF($D123="Pressio.",
IF(OR($E123=3,$E123=1,$E123=4),DT123,DS123),
IF($D123="Pénétro.",
IF(OR($E123=3,$E123=1,$E123=4),DT123,DS123))),IF($D123="Pressio.",
IF($E123=3,DT123,DS123),
IF($D123="Pénétro.",
IF($E123=4,DT123,DS123))))</f>
        <v>#N/A</v>
      </c>
      <c r="DV123" s="31">
        <v>0</v>
      </c>
      <c r="DW123" s="102" t="e">
        <f>IF(NDC!$H$10="Oui",(VLOOKUP($B$3,'Coeff EC7'!$T$39:$X$59,2,0)*DU123+VLOOKUP($B$3,'Coeff EC7'!$T$65:$X$85,2,0)*Model0.1T!DV123)/1.5,PI()*DS$12*$Q123*($B123-$B122)*0.15/10+DW122)</f>
        <v>#N/A</v>
      </c>
      <c r="DX123" s="102" t="e">
        <f>(VLOOKUP($B$3,'Coeff EC7'!$T$39:$X$59,3,0)*DU123+VLOOKUP($B$3,'Coeff EC7'!$T$65:$X$85,3,0)*Model0.1T!DV123)/1.1</f>
        <v>#N/A</v>
      </c>
      <c r="DY123" s="102" t="e">
        <f t="shared" si="190"/>
        <v>#N/A</v>
      </c>
      <c r="DZ123" s="102" t="e">
        <f t="shared" si="191"/>
        <v>#N/A</v>
      </c>
      <c r="EA123" s="414" t="e">
        <f>IF(AND(DW123&gt;NDC!$C$63,DX123&gt;NDC!$C$65,DY123&gt;NDC!$D$73,DZ123&gt;NDC!$D$74,$B123&gt;NDC!$H$22-0.1+MIN(3*EA$12,1.5)),0,1)</f>
        <v>#N/A</v>
      </c>
      <c r="EB123" s="86" t="b">
        <f t="shared" si="157"/>
        <v>0</v>
      </c>
      <c r="EC123" s="418">
        <f t="shared" si="158"/>
        <v>0.51</v>
      </c>
      <c r="ED123" s="86">
        <f t="shared" si="159"/>
        <v>0.51</v>
      </c>
      <c r="EE123" s="30" t="e">
        <f t="shared" ca="1" si="192"/>
        <v>#DIV/0!</v>
      </c>
      <c r="EF123" s="85" t="e">
        <f ca="1">IF(DL123&lt;=Hypothèses!$V$7,Hypothèses!$W$7,IF(DL123&lt;=Hypothèses!$V$8,Hypothèses!$W$8,IF(DL123&lt;=Hypothèses!$V$9,Hypothèses!$W$9,IF(DL123&lt;=Hypothèses!$V$10,Hypothèses!$W$10,IF(DL123&lt;=Hypothèses!$V$11,Hypothèses!$W$11,IF(DL123&lt;=Hypothèses!$V$12,Hypothèses!$W$12,IF(DL123&lt;=Hypothèses!$V$13,Hypothèses!$W$13,IF(DL123&lt;=Hypothèses!$V$14,Hypothèses!$W$14,IF(DL123&lt;=Hypothèses!$V$15,Hypothèses!$W$15,IF(DL123&lt;=Hypothèses!$V$16,Hypothèses!$W$16,IF(DL123&lt;=Hypothèses!$V$17,Hypothèses!$W$17,IF(DL123&lt;=Hypothèses!$V$18,Hypothèses!$W$18,""))))))))))))</f>
        <v>#DIV/0!</v>
      </c>
      <c r="EG123" s="87" t="e">
        <f t="shared" ca="1" si="222"/>
        <v>#DIV/0!</v>
      </c>
      <c r="EH123" s="88" t="e">
        <f ca="1">IF(DL123&lt;=Hypothèses!$V$7,Hypothèses!$X$7,IF(DL123&lt;=Hypothèses!$V$8,Hypothèses!$X$8,IF(DL123&lt;=Hypothèses!$V$9,Hypothèses!$X$9,IF(DL123&lt;=Hypothèses!$V$10,Hypothèses!$X$10,IF(DL123&lt;=Hypothèses!$V$11,Hypothèses!$X$11,IF(DL123&lt;=Hypothèses!$V$12,Hypothèses!$X$12,IF(DL123&lt;=Hypothèses!$V$13,Hypothèses!$X$13,IF(DL123&lt;=Hypothèses!$V$14,Hypothèses!$X$14,IF(DL123&lt;=Hypothèses!$V$15,Hypothèses!$X$15,IF(DL123&lt;=Hypothèses!$V$16,Hypothèses!$X$16,IF(DL123&lt;=Hypothèses!$U$17,Hypothèses!$W$17,IF(DL123&lt;=Hypothèses!$U$18,Hypothèses!$W$18,""))))))))))))</f>
        <v>#DIV/0!</v>
      </c>
      <c r="EI123" s="95" t="e">
        <f t="shared" ca="1" si="193"/>
        <v>#DIV/0!</v>
      </c>
      <c r="EJ123" s="101">
        <f t="shared" si="229"/>
        <v>0</v>
      </c>
      <c r="EK123" s="91">
        <f t="shared" si="160"/>
        <v>0</v>
      </c>
      <c r="EL123" s="30" t="e">
        <f t="shared" si="212"/>
        <v>#N/A</v>
      </c>
      <c r="EM123" s="30" t="e">
        <f t="shared" si="213"/>
        <v>#N/A</v>
      </c>
      <c r="EN123" s="31" t="e">
        <f>IF(OR(Hypothèses!$B$4=17,Hypothèses!$B$4=18,Hypothèses!$B$4=19,Hypothèses!$B$4=20),
IF($D123="Pressio.",
IF(OR($E123=3,$E123=1,$E123=4),EM123,EL123),
IF($D123="Pénétro.",
IF(OR($E123=3,$E123=1,$E123=4),EM123,EL123))),IF($D123="Pressio.",
IF($E123=3,EM123,EL123),
IF($D123="Pénétro.",
IF($E123=4,EM123,EL123))))</f>
        <v>#N/A</v>
      </c>
      <c r="EO123" s="31">
        <v>0</v>
      </c>
      <c r="EP123" s="102" t="e">
        <f>IF(NDC!$H$10="Oui",(VLOOKUP($B$3,'Coeff EC7'!$T$39:$X$59,2,0)*EN123+VLOOKUP($B$3,'Coeff EC7'!$T$65:$X$85,2,0)*Model0.1T!EO123)/1.5,PI()*EL$12*$Q123*($B123-$B122)*0.15/10+EP122)</f>
        <v>#N/A</v>
      </c>
      <c r="EQ123" s="102" t="e">
        <f>(VLOOKUP($B$3,'Coeff EC7'!$T$39:$X$59,3,0)*EN123+VLOOKUP($B$3,'Coeff EC7'!$T$65:$X$85,3,0)*Model0.1T!EO123)/1.1</f>
        <v>#N/A</v>
      </c>
      <c r="ER123" s="102" t="e">
        <f t="shared" si="194"/>
        <v>#N/A</v>
      </c>
      <c r="ES123" s="102" t="e">
        <f t="shared" si="195"/>
        <v>#N/A</v>
      </c>
      <c r="ET123" s="414" t="e">
        <f>IF(AND(EP123&gt;NDC!$C$63,EQ123&gt;NDC!$C$65,ER123&gt;NDC!$D$73,ES123&gt;NDC!$D$74,$B123&gt;NDC!$H$22-0.1+MIN(3*ET$12,1.5)),0,1)</f>
        <v>#N/A</v>
      </c>
      <c r="EU123" s="86" t="b">
        <f t="shared" si="161"/>
        <v>0</v>
      </c>
      <c r="EV123" s="86">
        <f t="shared" si="162"/>
        <v>0.61</v>
      </c>
      <c r="EW123" s="86">
        <f t="shared" si="163"/>
        <v>0.61</v>
      </c>
      <c r="EX123" s="30" t="e">
        <f t="shared" ca="1" si="196"/>
        <v>#DIV/0!</v>
      </c>
      <c r="EY123" s="85" t="e">
        <f ca="1">IF(EE123&lt;=Hypothèses!$V$7,Hypothèses!$W$7,IF(EE123&lt;=Hypothèses!$V$8,Hypothèses!$W$8,IF(EE123&lt;=Hypothèses!$V$9,Hypothèses!$W$9,IF(EE123&lt;=Hypothèses!$V$10,Hypothèses!$W$10,IF(EE123&lt;=Hypothèses!$V$11,Hypothèses!$W$11,IF(EE123&lt;=Hypothèses!$V$12,Hypothèses!$W$12,IF(EE123&lt;=Hypothèses!$V$13,Hypothèses!$W$13,IF(EE123&lt;=Hypothèses!$V$14,Hypothèses!$W$14,IF(EE123&lt;=Hypothèses!$V$15,Hypothèses!$W$15,IF(EE123&lt;=Hypothèses!$V$16,Hypothèses!$W$16,IF(EE123&lt;=Hypothèses!$V$17,Hypothèses!$W$17,IF(EE123&lt;=Hypothèses!$V$18,Hypothèses!$W$18,""))))))))))))</f>
        <v>#DIV/0!</v>
      </c>
      <c r="EZ123" s="87" t="e">
        <f t="shared" ca="1" si="223"/>
        <v>#DIV/0!</v>
      </c>
      <c r="FA123" s="88" t="e">
        <f ca="1">IF(EE123&lt;=Hypothèses!$V$7,Hypothèses!$X$7,IF(EE123&lt;=Hypothèses!$V$8,Hypothèses!$X$8,IF(EE123&lt;=Hypothèses!$V$9,Hypothèses!$X$9,IF(EE123&lt;=Hypothèses!$V$10,Hypothèses!$X$10,IF(EE123&lt;=Hypothèses!$V$11,Hypothèses!$X$11,IF(EE123&lt;=Hypothèses!$V$12,Hypothèses!$X$12,IF(EE123&lt;=Hypothèses!$V$13,Hypothèses!$X$13,IF(EE123&lt;=Hypothèses!$V$14,Hypothèses!$X$14,IF(EE123&lt;=Hypothèses!$V$15,Hypothèses!$X$15,IF(EE123&lt;=Hypothèses!$V$16,Hypothèses!$X$16,IF(EE123&lt;=Hypothèses!$U$17,Hypothèses!$W$17,IF(EE123&lt;=Hypothèses!$U$18,Hypothèses!$W$18,""))))))))))))</f>
        <v>#DIV/0!</v>
      </c>
      <c r="FB123" s="95" t="e">
        <f t="shared" ca="1" si="197"/>
        <v>#DIV/0!</v>
      </c>
      <c r="FC123" s="101">
        <f t="shared" si="230"/>
        <v>0</v>
      </c>
      <c r="FD123" s="91">
        <f t="shared" si="164"/>
        <v>0</v>
      </c>
      <c r="FE123" s="30" t="e">
        <f t="shared" si="214"/>
        <v>#N/A</v>
      </c>
      <c r="FF123" s="30" t="e">
        <f t="shared" si="215"/>
        <v>#N/A</v>
      </c>
      <c r="FG123" s="31" t="e">
        <f>IF(OR(Hypothèses!$B$4=17,Hypothèses!$B$4=18,Hypothèses!$B$4=19,Hypothèses!$B$4=20),
IF($D123="Pressio.",
IF(OR($E123=3,$E123=1,$E123=4),FF123,FE123),
IF($D123="Pénétro.",
IF(OR($E123=3,$E123=1,$E123=4),FF123,FE123))),IF($D123="Pressio.",
IF($E123=3,FF123,FE123),
IF($D123="Pénétro.",
IF($E123=4,FF123,FE123))))</f>
        <v>#N/A</v>
      </c>
      <c r="FH123" s="31">
        <v>0</v>
      </c>
      <c r="FI123" s="102" t="e">
        <f>IF(NDC!$H$10="Oui",(VLOOKUP($B$3,'Coeff EC7'!$T$39:$X$59,2,0)*FG123+VLOOKUP($B$3,'Coeff EC7'!$T$65:$X$85,2,0)*Model0.1T!FH123)/1.5,PI()*FE$12*$Q123*($B123-$B122)*0.15/10+FI122)</f>
        <v>#N/A</v>
      </c>
      <c r="FJ123" s="102" t="e">
        <f>(VLOOKUP($B$3,'Coeff EC7'!$T$39:$X$59,3,0)*FG123+VLOOKUP($B$3,'Coeff EC7'!$T$65:$X$85,3,0)*Model0.1T!FH123)/1.1</f>
        <v>#N/A</v>
      </c>
      <c r="FK123" s="102" t="e">
        <f t="shared" si="198"/>
        <v>#N/A</v>
      </c>
      <c r="FL123" s="102" t="e">
        <f t="shared" si="199"/>
        <v>#N/A</v>
      </c>
      <c r="FM123" s="414" t="e">
        <f>IF(AND(FI123&gt;NDC!$C$63,FJ123&gt;NDC!$C$65,FK123&gt;NDC!$D$73,FL123&gt;NDC!$D$74,$B123&gt;NDC!$H$22-0.1+MIN(3*FM$12,1.5)),0,1)</f>
        <v>#N/A</v>
      </c>
    </row>
    <row r="124" spans="1:169">
      <c r="A124" s="96">
        <f t="shared" si="165"/>
        <v>88.900000000000631</v>
      </c>
      <c r="B124" s="97">
        <v>11.1</v>
      </c>
      <c r="C124" s="81">
        <f>IF(B124&lt;=Hypothèses!$C$7,Hypothèses!$A$7,IF(B124&lt;=Hypothèses!$C$8,Hypothèses!$A$8,IF(B124&lt;=Hypothèses!$C$9,Hypothèses!$A$9,IF(B124&lt;=Hypothèses!$C$10,Hypothèses!$A$10,IF(B124&lt;=Hypothèses!$C$11,Hypothèses!$A$11,IF(B124&lt;=Hypothèses!$C$12,Hypothèses!$A$12,IF(B124&lt;=Hypothèses!$C$13,Hypothèses!$A$13,IF(B124&lt;=Hypothèses!$C$14,Hypothèses!$A$14,IF(B124&lt;=Hypothèses!$C$15,Hypothèses!$A$15,IF(B124&lt;=Hypothèses!$C$16,Hypothèses!$A$16,IF(B124&lt;=Hypothèses!$C$17,Hypothèses!$A$17,IF(B124&lt;=Hypothèses!$C$18,Hypothèses!$A$18,C123))))))))))))</f>
        <v>11</v>
      </c>
      <c r="D124" s="82" t="str">
        <f>IF(B124&lt;=Hypothèses!$C$7,Hypothèses!$R$7,IF(B124&lt;=Hypothèses!$C$8,Hypothèses!$R$8,IF(B124&lt;=Hypothèses!$C$9,Hypothèses!$R$9,IF(B124&lt;=Hypothèses!$C$10,Hypothèses!$R$10,IF(B124&lt;=Hypothèses!$C$11,Hypothèses!$R$11,IF(B124&lt;=Hypothèses!$C$12,Hypothèses!$R$12,IF(B124&lt;=Hypothèses!$C$13,Hypothèses!$R$13,IF(B124&lt;=Hypothèses!$C$14,Hypothèses!$R$14,IF(B124&lt;=Hypothèses!$C$15,Hypothèses!$R$15,IF(B124&lt;=Hypothèses!$C$16,Hypothèses!$R$16,IF(B124&lt;=Hypothèses!$C$17,Hypothèses!$R$17,IF(B124&lt;=Hypothèses!$C$18,Hypothèses!$R$18,D123))))))))))))</f>
        <v>Pressio.</v>
      </c>
      <c r="E124" s="82" t="e">
        <f>IF(B124&lt;=Hypothèses!$C$7,Hypothèses!$G$7,IF(B124&lt;=Hypothèses!$C$8,Hypothèses!$G$8,IF(B124&lt;=Hypothèses!$C$9,Hypothèses!$G$9,IF(B124&lt;=Hypothèses!$C$10,Hypothèses!$G$10,IF(B124&lt;=Hypothèses!$C$11,Hypothèses!$G$11,IF(B124&lt;=Hypothèses!$C$12,Hypothèses!$G$12,IF(B124&lt;=Hypothèses!$C$13,Hypothèses!$G$13,IF(B124&lt;=Hypothèses!$C$14,Hypothèses!$G$14,IF(B124&lt;=Hypothèses!$C$15,Hypothèses!$G$15,IF(B124&lt;=Hypothèses!$C$16,Hypothèses!$G$16,IF(B124&lt;=Hypothèses!$C$17,Hypothèses!$G$17,IF(B124&lt;=Hypothèses!$C$18,Hypothèses!$G$18,E123))))))))))))</f>
        <v>#N/A</v>
      </c>
      <c r="F124" s="82" t="str">
        <f>IF(B124&lt;=Hypothèses!$C$7,Hypothèses!$F$7,IF(B124&lt;=Hypothèses!$C$8,Hypothèses!$F$8,IF(B124&lt;=Hypothèses!$C$9,Hypothèses!$F$9,IF(B124&lt;=Hypothèses!$C$10,Hypothèses!$F$10,IF(B124&lt;=Hypothèses!$C$11,Hypothèses!$F$11,IF(B124&lt;=Hypothèses!$C$12,Hypothèses!$F$12,IF(B124&lt;=Hypothèses!$C$13,Hypothèses!$F$13,IF(B124&lt;=Hypothèses!$C$14,Hypothèses!$F$14,IF(B124&lt;=Hypothèses!$C$15,Hypothèses!$F$15,IF(B124&lt;=Hypothèses!$C$16,Hypothèses!$F$16,IF(B124&lt;=Hypothèses!$C$17,Hypothèses!$F$17,IF(B124&lt;=Hypothèses!$C$18,Hypothèses!$F$18,F123))))))))))))</f>
        <v/>
      </c>
      <c r="G124" s="91">
        <f t="array" ref="G124">INDEX('Coeff EC7'!$U$7:$X$27,
MATCH(Model0.1T!$B$3,'Coeff EC7'!$T$7:$T$27,0),
MATCH(Model0.1T!$D124&amp;Model0.1T!$B$4,
'Coeff EC7'!$U$6:$X$6&amp;
'Coeff EC7'!$U$5:$X$5,0))</f>
        <v>1.4</v>
      </c>
      <c r="H124" s="91">
        <f t="array" ref="H124">INDEX('Coeff EC7'!$Y$7:$AB$27,
MATCH(Model0.1T!$B$3,'Coeff EC7'!$T$7:$T$27,0),
MATCH(Model0.1T!$D124&amp;Model0.1T!$B$4,
'Coeff EC7'!$Y$6:$AB$6&amp;
'Coeff EC7'!$Y$5:$AB$5,0))</f>
        <v>1.7</v>
      </c>
      <c r="I124" s="83">
        <v>0</v>
      </c>
      <c r="J124" s="91" t="e">
        <f t="array" ref="J124">INDEX('Coeff EC7'!$D$33:$Q$33,1,MATCH(D124&amp;E124,'Coeff EC7'!$D$31:$Q$31&amp;'Coeff EC7'!$D$32:$Q$32,0))</f>
        <v>#N/A</v>
      </c>
      <c r="K124" s="91" t="e">
        <f t="array" ref="K124">INDEX('Coeff EC7'!$D$34:$Q$34,1,MATCH(D124&amp;E124,'Coeff EC7'!$D$31:$Q$31&amp;'Coeff EC7'!$D$32:$Q$32,0))</f>
        <v>#N/A</v>
      </c>
      <c r="L124" s="91" t="e">
        <f t="array" ref="L124">INDEX('Coeff EC7'!$D$35:$Q$35,1,MATCH(D124&amp;E124,'Coeff EC7'!$D$31:$Q$31&amp;'Coeff EC7'!$D$32:$Q$32,0))</f>
        <v>#N/A</v>
      </c>
      <c r="M124" s="98" t="e">
        <f t="shared" si="131"/>
        <v>#N/A</v>
      </c>
      <c r="N124" s="99" t="e">
        <f t="array" ref="N124">INDEX('Coeff EC7'!$D$7:$Q$27,MATCH($B$3,'Coeff EC7'!$C$7:$C$27,0),MATCH(D124&amp;E124,'Coeff EC7'!$D$5:$Q$5&amp;'Coeff EC7'!$D$6:$Q$6,0))</f>
        <v>#N/A</v>
      </c>
      <c r="O124" s="99" t="e">
        <f t="array" ref="O124">INDEX('Coeff EC7'!$D$41:$Q$61,MATCH($B$3,'Coeff EC7'!$C$41:$C$61,0),MATCH(D124&amp;E124,'Coeff EC7'!$D$39:$Q$39&amp;'Coeff EC7'!$D$40:$Q$40,0))</f>
        <v>#N/A</v>
      </c>
      <c r="P124" s="30" t="e">
        <f t="shared" si="166"/>
        <v>#N/A</v>
      </c>
      <c r="Q124" s="100" t="e">
        <f t="shared" si="133"/>
        <v>#N/A</v>
      </c>
      <c r="R124" s="86" t="b">
        <f t="shared" si="134"/>
        <v>0</v>
      </c>
      <c r="S124" s="86">
        <f t="shared" si="132"/>
        <v>0.5</v>
      </c>
      <c r="T124" s="86">
        <f t="shared" si="135"/>
        <v>0.5</v>
      </c>
      <c r="U124" s="30" t="e">
        <f t="shared" ca="1" si="167"/>
        <v>#DIV/0!</v>
      </c>
      <c r="V124" s="85" t="str">
        <f>IF(B124&lt;=Hypothèses!$V$7,Hypothèses!$W$7,IF(B124&lt;=Hypothèses!$V$8,Hypothèses!$W$8,IF(B124&lt;=Hypothèses!$V$9,Hypothèses!$W$9,IF(B124&lt;=Hypothèses!$V$10,Hypothèses!$W$10,IF(B124&lt;=Hypothèses!$V$11,Hypothèses!$W$11,IF(B124&lt;=Hypothèses!$V$12,Hypothèses!$W$12,IF(B124&lt;=Hypothèses!$V$13,Hypothèses!$W$13,IF(B124&lt;=Hypothèses!$V$14,Hypothèses!$W$14,IF(B124&lt;=Hypothèses!$V$15,Hypothèses!$W$15,IF(B124&lt;=Hypothèses!$V$16,Hypothèses!$W$16,IF(B124&lt;=Hypothèses!$V$17,Hypothèses!$W$17,IF(B124&lt;=Hypothèses!$V$18,Hypothèses!$W$18,""))))))))))))</f>
        <v/>
      </c>
      <c r="W124" s="87" t="e">
        <f t="shared" ca="1" si="216"/>
        <v>#DIV/0!</v>
      </c>
      <c r="X124" s="88" t="str">
        <f>IF(B124&lt;=Hypothèses!$V$7,Hypothèses!$X$7,IF(B124&lt;=Hypothèses!$V$8,Hypothèses!$X$8,IF(B124&lt;=Hypothèses!$V$9,Hypothèses!$X$9,IF(B124&lt;=Hypothèses!$V$10,Hypothèses!$X$10,IF(B124&lt;=Hypothèses!$V$11,Hypothèses!$X$11,IF(B124&lt;=Hypothèses!$V$12,Hypothèses!$X$12,IF(B124&lt;=Hypothèses!$V$13,Hypothèses!$X$13,IF(B124&lt;=Hypothèses!$V$14,Hypothèses!$X$14,IF(B124&lt;=Hypothèses!$V$15,Hypothèses!$X$15,IF(B124&lt;=Hypothèses!$V$16,Hypothèses!$X$16,IF(B124&lt;=Hypothèses!$U$17,Hypothèses!$W$17,IF(B124&lt;=Hypothèses!$U$18,Hypothèses!$W$18,""))))))))))))</f>
        <v/>
      </c>
      <c r="Y124" s="95" t="e">
        <f t="shared" ca="1" si="136"/>
        <v>#DIV/0!</v>
      </c>
      <c r="Z124" s="101">
        <f t="shared" si="137"/>
        <v>0</v>
      </c>
      <c r="AA124" s="91">
        <f t="shared" si="138"/>
        <v>0</v>
      </c>
      <c r="AB124" s="30" t="e">
        <f t="shared" si="200"/>
        <v>#N/A</v>
      </c>
      <c r="AC124" s="30" t="e">
        <f t="shared" si="201"/>
        <v>#N/A</v>
      </c>
      <c r="AD124" s="31" t="e">
        <f>IF(OR(Hypothèses!$B$4=17,Hypothèses!$B$4=18,Hypothèses!$B$4=19,Hypothèses!$B$4=20),
IF($D124="Pressio.",
IF(OR($E124=3,$E124=1,$E124=4),AC124,AB124),
IF($D124="Pénétro.",
IF(OR($E124=3,$E124=1,$E124=4),AC124,AB124))),IF($D124="Pressio.",
IF($E124=3,AC124,AB124),
IF($D124="Pénétro.",
IF($E124=4,AC124,AB124))))</f>
        <v>#N/A</v>
      </c>
      <c r="AE124" s="31">
        <v>0</v>
      </c>
      <c r="AF124" s="102" t="e">
        <f>IF(NDC!$H$10="Oui",(VLOOKUP($B$3,'Coeff EC7'!$T$39:$X$59,2,0)*AD124+VLOOKUP($B$3,'Coeff EC7'!$T$65:$X$85,2,0)*Model0.1T!AE124)/1.5,PI()*AB$12*$Q124*($B124-$B123)*0.15/10+AF123)</f>
        <v>#N/A</v>
      </c>
      <c r="AG124" s="102" t="e">
        <f>(VLOOKUP($B$3,'Coeff EC7'!$T$39:$X$59,3,0)*AD124+VLOOKUP($B$3,'Coeff EC7'!$T$65:$X$85,3,0)*Model0.1T!AE124)/1.1</f>
        <v>#N/A</v>
      </c>
      <c r="AH124" s="102" t="e">
        <f t="shared" si="168"/>
        <v>#N/A</v>
      </c>
      <c r="AI124" s="102" t="e">
        <f t="shared" si="169"/>
        <v>#N/A</v>
      </c>
      <c r="AJ124" s="414" t="e">
        <f>IF(AND(AF124&gt;NDC!$C$63,AG124&gt;NDC!$C$65,AH124&gt;NDC!$D$73,AI124&gt;NDC!$D$74,$B124&gt;NDC!$H$22-0.1+MIN(3*$AJ$12,1.5)),0,1)</f>
        <v>#N/A</v>
      </c>
      <c r="AK124" s="86" t="b">
        <f t="shared" si="139"/>
        <v>0</v>
      </c>
      <c r="AL124" s="86">
        <f t="shared" si="170"/>
        <v>0.5</v>
      </c>
      <c r="AM124" s="86">
        <f t="shared" si="140"/>
        <v>0.5</v>
      </c>
      <c r="AN124" s="30" t="e">
        <f t="shared" ca="1" si="171"/>
        <v>#DIV/0!</v>
      </c>
      <c r="AO124" s="85" t="e">
        <f ca="1">IF(U124&lt;=Hypothèses!$V$7,Hypothèses!$W$7,IF(U124&lt;=Hypothèses!$V$8,Hypothèses!$W$8,IF(U124&lt;=Hypothèses!$V$9,Hypothèses!$W$9,IF(U124&lt;=Hypothèses!$V$10,Hypothèses!$W$10,IF(U124&lt;=Hypothèses!$V$11,Hypothèses!$W$11,IF(U124&lt;=Hypothèses!$V$12,Hypothèses!$W$12,IF(U124&lt;=Hypothèses!$V$13,Hypothèses!$W$13,IF(U124&lt;=Hypothèses!$V$14,Hypothèses!$W$14,IF(U124&lt;=Hypothèses!$V$15,Hypothèses!$W$15,IF(U124&lt;=Hypothèses!$V$16,Hypothèses!$W$16,IF(U124&lt;=Hypothèses!$V$17,Hypothèses!$W$17,IF(U124&lt;=Hypothèses!$V$18,Hypothèses!$W$18,""))))))))))))</f>
        <v>#DIV/0!</v>
      </c>
      <c r="AP124" s="87" t="e">
        <f t="shared" ca="1" si="217"/>
        <v>#DIV/0!</v>
      </c>
      <c r="AQ124" s="88" t="e">
        <f ca="1">IF(U124&lt;=Hypothèses!$V$7,Hypothèses!$X$7,IF(U124&lt;=Hypothèses!$V$8,Hypothèses!$X$8,IF(U124&lt;=Hypothèses!$V$9,Hypothèses!$X$9,IF(U124&lt;=Hypothèses!$V$10,Hypothèses!$X$10,IF(U124&lt;=Hypothèses!$V$11,Hypothèses!$X$11,IF(U124&lt;=Hypothèses!$V$12,Hypothèses!$X$12,IF(U124&lt;=Hypothèses!$V$13,Hypothèses!$X$13,IF(U124&lt;=Hypothèses!$V$14,Hypothèses!$X$14,IF(U124&lt;=Hypothèses!$V$15,Hypothèses!$X$15,IF(U124&lt;=Hypothèses!$V$16,Hypothèses!$X$16,IF(U124&lt;=Hypothèses!$U$17,Hypothèses!$W$17,IF(U124&lt;=Hypothèses!$U$18,Hypothèses!$W$18,""))))))))))))</f>
        <v>#DIV/0!</v>
      </c>
      <c r="AR124" s="95" t="e">
        <f t="shared" ca="1" si="172"/>
        <v>#DIV/0!</v>
      </c>
      <c r="AS124" s="101">
        <f t="shared" si="224"/>
        <v>0</v>
      </c>
      <c r="AT124" s="91">
        <f t="shared" si="141"/>
        <v>0</v>
      </c>
      <c r="AU124" s="30" t="e">
        <f t="shared" si="202"/>
        <v>#N/A</v>
      </c>
      <c r="AV124" s="30" t="e">
        <f t="shared" si="203"/>
        <v>#N/A</v>
      </c>
      <c r="AW124" s="31" t="e">
        <f>IF(OR(Hypothèses!$B$4=17,Hypothèses!$B$4=18,Hypothèses!$B$4=19,Hypothèses!$B$4=20),
IF($D124="Pressio.",
IF(OR($E124=3,$E124=1,$E124=4),AV124,AU124),
IF($D124="Pénétro.",
IF(OR($E124=3,$E124=1,$E124=4),AV124,AU124))),IF($D124="Pressio.",
IF($E124=3,AV124,AU124),
IF($D124="Pénétro.",
IF($E124=4,AV124,AU124))))</f>
        <v>#N/A</v>
      </c>
      <c r="AX124" s="31">
        <v>0</v>
      </c>
      <c r="AY124" s="102" t="e">
        <f>IF(NDC!$H$10="Oui",(VLOOKUP($B$3,'Coeff EC7'!$T$39:$X$59,2,0)*AW124+VLOOKUP($B$3,'Coeff EC7'!$T$65:$X$85,2,0)*Model0.1T!AX124)/1.5,PI()*AU$12*$Q124*($B124-$B123)*0.15/10+AY123)</f>
        <v>#N/A</v>
      </c>
      <c r="AZ124" s="102" t="e">
        <f>(VLOOKUP($B$3,'Coeff EC7'!$T$39:$X$59,3,0)*AW124+VLOOKUP($B$3,'Coeff EC7'!$T$65:$X$85,3,0)*Model0.1T!AX124)/1.1</f>
        <v>#N/A</v>
      </c>
      <c r="BA124" s="102" t="e">
        <f t="shared" si="173"/>
        <v>#N/A</v>
      </c>
      <c r="BB124" s="102" t="e">
        <f t="shared" si="174"/>
        <v>#N/A</v>
      </c>
      <c r="BC124" s="414" t="e">
        <f>IF(AND(AY124&gt;NDC!$C$63,AZ124&gt;NDC!$C$65,BA124&gt;NDC!$D$73,BB124&gt;NDC!$D$74,$B124&gt;NDC!$H$22-0.1+MIN(3*BC$12,1.5)),0,1)</f>
        <v>#N/A</v>
      </c>
      <c r="BD124" s="86" t="b">
        <f t="shared" si="142"/>
        <v>0</v>
      </c>
      <c r="BE124" s="86">
        <f t="shared" si="175"/>
        <v>0.5</v>
      </c>
      <c r="BF124" s="86">
        <f t="shared" si="143"/>
        <v>0.5</v>
      </c>
      <c r="BG124" s="30" t="e">
        <f t="shared" ca="1" si="176"/>
        <v>#DIV/0!</v>
      </c>
      <c r="BH124" s="85" t="e">
        <f ca="1">IF(AN124&lt;=Hypothèses!$V$7,Hypothèses!$W$7,IF(AN124&lt;=Hypothèses!$V$8,Hypothèses!$W$8,IF(AN124&lt;=Hypothèses!$V$9,Hypothèses!$W$9,IF(AN124&lt;=Hypothèses!$V$10,Hypothèses!$W$10,IF(AN124&lt;=Hypothèses!$V$11,Hypothèses!$W$11,IF(AN124&lt;=Hypothèses!$V$12,Hypothèses!$W$12,IF(AN124&lt;=Hypothèses!$V$13,Hypothèses!$W$13,IF(AN124&lt;=Hypothèses!$V$14,Hypothèses!$W$14,IF(AN124&lt;=Hypothèses!$V$15,Hypothèses!$W$15,IF(AN124&lt;=Hypothèses!$V$16,Hypothèses!$W$16,IF(AN124&lt;=Hypothèses!$V$17,Hypothèses!$W$17,IF(AN124&lt;=Hypothèses!$V$18,Hypothèses!$W$18,""))))))))))))</f>
        <v>#DIV/0!</v>
      </c>
      <c r="BI124" s="87" t="e">
        <f t="shared" ca="1" si="218"/>
        <v>#DIV/0!</v>
      </c>
      <c r="BJ124" s="88" t="e">
        <f ca="1">IF(AN124&lt;=Hypothèses!$V$7,Hypothèses!$X$7,IF(AN124&lt;=Hypothèses!$V$8,Hypothèses!$X$8,IF(AN124&lt;=Hypothèses!$V$9,Hypothèses!$X$9,IF(AN124&lt;=Hypothèses!$V$10,Hypothèses!$X$10,IF(AN124&lt;=Hypothèses!$V$11,Hypothèses!$X$11,IF(AN124&lt;=Hypothèses!$V$12,Hypothèses!$X$12,IF(AN124&lt;=Hypothèses!$V$13,Hypothèses!$X$13,IF(AN124&lt;=Hypothèses!$V$14,Hypothèses!$X$14,IF(AN124&lt;=Hypothèses!$V$15,Hypothèses!$X$15,IF(AN124&lt;=Hypothèses!$V$16,Hypothèses!$X$16,IF(AN124&lt;=Hypothèses!$U$17,Hypothèses!$W$17,IF(AN124&lt;=Hypothèses!$U$18,Hypothèses!$W$18,""))))))))))))</f>
        <v>#DIV/0!</v>
      </c>
      <c r="BK124" s="95" t="e">
        <f t="shared" ca="1" si="177"/>
        <v>#DIV/0!</v>
      </c>
      <c r="BL124" s="101">
        <f t="shared" si="225"/>
        <v>0</v>
      </c>
      <c r="BM124" s="91">
        <f t="shared" si="144"/>
        <v>0</v>
      </c>
      <c r="BN124" s="30" t="e">
        <f t="shared" si="204"/>
        <v>#N/A</v>
      </c>
      <c r="BO124" s="30" t="e">
        <f t="shared" si="205"/>
        <v>#N/A</v>
      </c>
      <c r="BP124" s="31" t="e">
        <f>IF(OR(Hypothèses!$B$4=17,Hypothèses!$B$4=18,Hypothèses!$B$4=19,Hypothèses!$B$4=20),
IF($D124="Pressio.",
IF(OR($E124=3,$E124=1,$E124=4),BO124,BN124),
IF($D124="Pénétro.",
IF(OR($E124=3,$E124=1,$E124=4),BO124,BN124))),IF($D124="Pressio.",
IF($E124=3,BO124,BN124),
IF($D124="Pénétro.",
IF($E124=4,BO124,BN124))))</f>
        <v>#N/A</v>
      </c>
      <c r="BQ124" s="31">
        <v>0</v>
      </c>
      <c r="BR124" s="102" t="e">
        <f>IF(NDC!$H$10="Oui",(VLOOKUP($B$3,'Coeff EC7'!$T$39:$X$59,2,0)*BP124+VLOOKUP($B$3,'Coeff EC7'!$T$65:$X$85,2,0)*Model0.1T!BQ124)/1.5,PI()*BN$12*$Q124*($B124-$B123)*0.15/10+BR123)</f>
        <v>#N/A</v>
      </c>
      <c r="BS124" s="102" t="e">
        <f>(VLOOKUP($B$3,'Coeff EC7'!$T$39:$X$59,3,0)*BP124+VLOOKUP($B$3,'Coeff EC7'!$T$65:$X$85,3,0)*Model0.1T!BQ124)/1.1</f>
        <v>#N/A</v>
      </c>
      <c r="BT124" s="102" t="e">
        <f t="shared" si="178"/>
        <v>#N/A</v>
      </c>
      <c r="BU124" s="102" t="e">
        <f t="shared" si="179"/>
        <v>#N/A</v>
      </c>
      <c r="BV124" s="414" t="e">
        <f>IF(AND(BR124&gt;NDC!$C$63,BS124&gt;NDC!$C$65,BT124&gt;NDC!$D$73,BU124&gt;NDC!$D$74,$B124&gt;NDC!$H$22-0.1+MIN(3*BV$12,1.5)),0,1)</f>
        <v>#N/A</v>
      </c>
      <c r="BW124" s="86" t="b">
        <f t="shared" si="145"/>
        <v>0</v>
      </c>
      <c r="BX124" s="86">
        <f t="shared" si="146"/>
        <v>0.5</v>
      </c>
      <c r="BY124" s="86">
        <f t="shared" si="147"/>
        <v>0.5</v>
      </c>
      <c r="BZ124" s="30" t="e">
        <f t="shared" ca="1" si="180"/>
        <v>#DIV/0!</v>
      </c>
      <c r="CA124" s="85" t="e">
        <f ca="1">IF(BG124&lt;=Hypothèses!$V$7,Hypothèses!$W$7,IF(BG124&lt;=Hypothèses!$V$8,Hypothèses!$W$8,IF(BG124&lt;=Hypothèses!$V$9,Hypothèses!$W$9,IF(BG124&lt;=Hypothèses!$V$10,Hypothèses!$W$10,IF(BG124&lt;=Hypothèses!$V$11,Hypothèses!$W$11,IF(BG124&lt;=Hypothèses!$V$12,Hypothèses!$W$12,IF(BG124&lt;=Hypothèses!$V$13,Hypothèses!$W$13,IF(BG124&lt;=Hypothèses!$V$14,Hypothèses!$W$14,IF(BG124&lt;=Hypothèses!$V$15,Hypothèses!$W$15,IF(BG124&lt;=Hypothèses!$V$16,Hypothèses!$W$16,IF(BG124&lt;=Hypothèses!$V$17,Hypothèses!$W$17,IF(BG124&lt;=Hypothèses!$V$18,Hypothèses!$W$18,""))))))))))))</f>
        <v>#DIV/0!</v>
      </c>
      <c r="CB124" s="87" t="e">
        <f t="shared" ca="1" si="219"/>
        <v>#DIV/0!</v>
      </c>
      <c r="CC124" s="88" t="e">
        <f ca="1">IF(BG124&lt;=Hypothèses!$V$7,Hypothèses!$X$7,IF(BG124&lt;=Hypothèses!$V$8,Hypothèses!$X$8,IF(BG124&lt;=Hypothèses!$V$9,Hypothèses!$X$9,IF(BG124&lt;=Hypothèses!$V$10,Hypothèses!$X$10,IF(BG124&lt;=Hypothèses!$V$11,Hypothèses!$X$11,IF(BG124&lt;=Hypothèses!$V$12,Hypothèses!$X$12,IF(BG124&lt;=Hypothèses!$V$13,Hypothèses!$X$13,IF(BG124&lt;=Hypothèses!$V$14,Hypothèses!$X$14,IF(BG124&lt;=Hypothèses!$V$15,Hypothèses!$X$15,IF(BG124&lt;=Hypothèses!$V$16,Hypothèses!$X$16,IF(BG124&lt;=Hypothèses!$U$17,Hypothèses!$W$17,IF(BG124&lt;=Hypothèses!$U$18,Hypothèses!$W$18,""))))))))))))</f>
        <v>#DIV/0!</v>
      </c>
      <c r="CD124" s="95" t="e">
        <f t="shared" ca="1" si="181"/>
        <v>#DIV/0!</v>
      </c>
      <c r="CE124" s="101">
        <f t="shared" si="226"/>
        <v>0</v>
      </c>
      <c r="CF124" s="91">
        <f t="shared" si="148"/>
        <v>0</v>
      </c>
      <c r="CG124" s="30" t="e">
        <f t="shared" si="206"/>
        <v>#N/A</v>
      </c>
      <c r="CH124" s="30" t="e">
        <f t="shared" si="207"/>
        <v>#N/A</v>
      </c>
      <c r="CI124" s="31" t="e">
        <f>IF(OR(Hypothèses!$B$4=17,Hypothèses!$B$4=18,Hypothèses!$B$4=19,Hypothèses!$B$4=20),
IF($D124="Pressio.",
IF(OR($E124=3,$E124=1,$E124=4),CH124,CG124),
IF($D124="Pénétro.",
IF(OR($E124=3,$E124=1,$E124=4),CH124,CG124))),IF($D124="Pressio.",
IF($E124=3,CH124,CG124),
IF($D124="Pénétro.",
IF($E124=4,CH124,CG124))))</f>
        <v>#N/A</v>
      </c>
      <c r="CJ124" s="31">
        <v>0</v>
      </c>
      <c r="CK124" s="102" t="e">
        <f>IF(NDC!$H$10="Oui",(VLOOKUP($B$3,'Coeff EC7'!$T$39:$X$59,2,0)*CI124+VLOOKUP($B$3,'Coeff EC7'!$T$65:$X$85,2,0)*Model0.1T!CJ124)/1.5,PI()*CG$12*$Q124*($B124-$B123)*0.15/10+CK123)</f>
        <v>#N/A</v>
      </c>
      <c r="CL124" s="102" t="e">
        <f>(VLOOKUP($B$3,'Coeff EC7'!$T$39:$X$59,3,0)*CI124+VLOOKUP($B$3,'Coeff EC7'!$T$65:$X$85,3,0)*Model0.1T!CJ124)/1.1</f>
        <v>#N/A</v>
      </c>
      <c r="CM124" s="102" t="e">
        <f t="shared" si="182"/>
        <v>#N/A</v>
      </c>
      <c r="CN124" s="102" t="e">
        <f t="shared" si="183"/>
        <v>#N/A</v>
      </c>
      <c r="CO124" s="414" t="e">
        <f>IF(AND(CK124&gt;NDC!$C$63,CL124&gt;NDC!$C$65,CM124&gt;NDC!$D$73,CN124&gt;NDC!$D$74,$B124&gt;NDC!$H$22-0.1+MIN(3*CO$12,1.5)),0,1)</f>
        <v>#N/A</v>
      </c>
      <c r="CP124" s="86" t="b">
        <f t="shared" si="149"/>
        <v>0</v>
      </c>
      <c r="CQ124" s="86">
        <f t="shared" si="150"/>
        <v>0.5</v>
      </c>
      <c r="CR124" s="86">
        <f t="shared" si="151"/>
        <v>0.5</v>
      </c>
      <c r="CS124" s="30" t="e">
        <f t="shared" ca="1" si="184"/>
        <v>#DIV/0!</v>
      </c>
      <c r="CT124" s="85" t="e">
        <f ca="1">IF(BZ124&lt;=Hypothèses!$V$7,Hypothèses!$W$7,IF(BZ124&lt;=Hypothèses!$V$8,Hypothèses!$W$8,IF(BZ124&lt;=Hypothèses!$V$9,Hypothèses!$W$9,IF(BZ124&lt;=Hypothèses!$V$10,Hypothèses!$W$10,IF(BZ124&lt;=Hypothèses!$V$11,Hypothèses!$W$11,IF(BZ124&lt;=Hypothèses!$V$12,Hypothèses!$W$12,IF(BZ124&lt;=Hypothèses!$V$13,Hypothèses!$W$13,IF(BZ124&lt;=Hypothèses!$V$14,Hypothèses!$W$14,IF(BZ124&lt;=Hypothèses!$V$15,Hypothèses!$W$15,IF(BZ124&lt;=Hypothèses!$V$16,Hypothèses!$W$16,IF(BZ124&lt;=Hypothèses!$V$17,Hypothèses!$W$17,IF(BZ124&lt;=Hypothèses!$V$18,Hypothèses!$W$18,""))))))))))))</f>
        <v>#DIV/0!</v>
      </c>
      <c r="CU124" s="87" t="e">
        <f t="shared" ca="1" si="220"/>
        <v>#DIV/0!</v>
      </c>
      <c r="CV124" s="88" t="e">
        <f ca="1">IF(BZ124&lt;=Hypothèses!$V$7,Hypothèses!$X$7,IF(BZ124&lt;=Hypothèses!$V$8,Hypothèses!$X$8,IF(BZ124&lt;=Hypothèses!$V$9,Hypothèses!$X$9,IF(BZ124&lt;=Hypothèses!$V$10,Hypothèses!$X$10,IF(BZ124&lt;=Hypothèses!$V$11,Hypothèses!$X$11,IF(BZ124&lt;=Hypothèses!$V$12,Hypothèses!$X$12,IF(BZ124&lt;=Hypothèses!$V$13,Hypothèses!$X$13,IF(BZ124&lt;=Hypothèses!$V$14,Hypothèses!$X$14,IF(BZ124&lt;=Hypothèses!$V$15,Hypothèses!$X$15,IF(BZ124&lt;=Hypothèses!$V$16,Hypothèses!$X$16,IF(BZ124&lt;=Hypothèses!$U$17,Hypothèses!$W$17,IF(BZ124&lt;=Hypothèses!$U$18,Hypothèses!$W$18,""))))))))))))</f>
        <v>#DIV/0!</v>
      </c>
      <c r="CW124" s="95" t="e">
        <f t="shared" ca="1" si="185"/>
        <v>#DIV/0!</v>
      </c>
      <c r="CX124" s="101">
        <f t="shared" si="227"/>
        <v>0</v>
      </c>
      <c r="CY124" s="91">
        <f t="shared" si="152"/>
        <v>0</v>
      </c>
      <c r="CZ124" s="30" t="e">
        <f t="shared" si="208"/>
        <v>#N/A</v>
      </c>
      <c r="DA124" s="30" t="e">
        <f t="shared" si="209"/>
        <v>#N/A</v>
      </c>
      <c r="DB124" s="31" t="e">
        <f>IF(OR(Hypothèses!$B$4=17,Hypothèses!$B$4=18,Hypothèses!$B$4=19,Hypothèses!$B$4=20),
IF($D124="Pressio.",
IF(OR($E124=3,$E124=1,$E124=4),DA124,CZ124),
IF($D124="Pénétro.",
IF(OR($E124=3,$E124=1,$E124=4),DA124,CZ124))),IF($D124="Pressio.",
IF($E124=3,DA124,CZ124),
IF($D124="Pénétro.",
IF($E124=4,DA124,CZ124))))</f>
        <v>#N/A</v>
      </c>
      <c r="DC124" s="31">
        <v>0</v>
      </c>
      <c r="DD124" s="102" t="e">
        <f>IF(NDC!$H$10="Oui",(VLOOKUP($B$3,'Coeff EC7'!$T$39:$X$59,2,0)*DB124+VLOOKUP($B$3,'Coeff EC7'!$T$65:$X$85,2,0)*Model0.1T!DC124)/1.5,PI()*CZ$12*$Q124*($B124-$B123)*0.15/10+DD123)</f>
        <v>#N/A</v>
      </c>
      <c r="DE124" s="102" t="e">
        <f>(VLOOKUP($B$3,'Coeff EC7'!$T$39:$X$59,3,0)*DB124+VLOOKUP($B$3,'Coeff EC7'!$T$65:$X$85,3,0)*Model0.1T!DC124)/1.1</f>
        <v>#N/A</v>
      </c>
      <c r="DF124" s="102" t="e">
        <f t="shared" si="186"/>
        <v>#N/A</v>
      </c>
      <c r="DG124" s="102" t="e">
        <f t="shared" si="187"/>
        <v>#N/A</v>
      </c>
      <c r="DH124" s="414" t="e">
        <f>IF(AND(DD124&gt;NDC!$C$63,DE124&gt;NDC!$C$65,DF124&gt;NDC!$D$73,DG124&gt;NDC!$D$74,$B124&gt;NDC!$H$22-0.1+MIN(3*DH$12,1.5)),0,1)</f>
        <v>#N/A</v>
      </c>
      <c r="DI124" s="86" t="b">
        <f t="shared" si="153"/>
        <v>0</v>
      </c>
      <c r="DJ124" s="86">
        <f t="shared" si="154"/>
        <v>0.5</v>
      </c>
      <c r="DK124" s="86">
        <f t="shared" si="155"/>
        <v>0.5</v>
      </c>
      <c r="DL124" s="30" t="e">
        <f t="shared" ca="1" si="188"/>
        <v>#DIV/0!</v>
      </c>
      <c r="DM124" s="85" t="e">
        <f ca="1">IF(CS124&lt;=Hypothèses!$V$7,Hypothèses!$W$7,IF(CS124&lt;=Hypothèses!$V$8,Hypothèses!$W$8,IF(CS124&lt;=Hypothèses!$V$9,Hypothèses!$W$9,IF(CS124&lt;=Hypothèses!$V$10,Hypothèses!$W$10,IF(CS124&lt;=Hypothèses!$V$11,Hypothèses!$W$11,IF(CS124&lt;=Hypothèses!$V$12,Hypothèses!$W$12,IF(CS124&lt;=Hypothèses!$V$13,Hypothèses!$W$13,IF(CS124&lt;=Hypothèses!$V$14,Hypothèses!$W$14,IF(CS124&lt;=Hypothèses!$V$15,Hypothèses!$W$15,IF(CS124&lt;=Hypothèses!$V$16,Hypothèses!$W$16,IF(CS124&lt;=Hypothèses!$V$17,Hypothèses!$W$17,IF(CS124&lt;=Hypothèses!$V$18,Hypothèses!$W$18,""))))))))))))</f>
        <v>#DIV/0!</v>
      </c>
      <c r="DN124" s="87" t="e">
        <f t="shared" ca="1" si="221"/>
        <v>#DIV/0!</v>
      </c>
      <c r="DO124" s="88" t="e">
        <f ca="1">IF(CS124&lt;=Hypothèses!$V$7,Hypothèses!$X$7,IF(CS124&lt;=Hypothèses!$V$8,Hypothèses!$X$8,IF(CS124&lt;=Hypothèses!$V$9,Hypothèses!$X$9,IF(CS124&lt;=Hypothèses!$V$10,Hypothèses!$X$10,IF(CS124&lt;=Hypothèses!$V$11,Hypothèses!$X$11,IF(CS124&lt;=Hypothèses!$V$12,Hypothèses!$X$12,IF(CS124&lt;=Hypothèses!$V$13,Hypothèses!$X$13,IF(CS124&lt;=Hypothèses!$V$14,Hypothèses!$X$14,IF(CS124&lt;=Hypothèses!$V$15,Hypothèses!$X$15,IF(CS124&lt;=Hypothèses!$V$16,Hypothèses!$X$16,IF(CS124&lt;=Hypothèses!$U$17,Hypothèses!$W$17,IF(CS124&lt;=Hypothèses!$U$18,Hypothèses!$W$18,""))))))))))))</f>
        <v>#DIV/0!</v>
      </c>
      <c r="DP124" s="95" t="e">
        <f t="shared" ca="1" si="189"/>
        <v>#DIV/0!</v>
      </c>
      <c r="DQ124" s="101">
        <f t="shared" si="228"/>
        <v>0</v>
      </c>
      <c r="DR124" s="91">
        <f t="shared" si="156"/>
        <v>0</v>
      </c>
      <c r="DS124" s="30" t="e">
        <f t="shared" si="210"/>
        <v>#N/A</v>
      </c>
      <c r="DT124" s="30" t="e">
        <f t="shared" si="211"/>
        <v>#N/A</v>
      </c>
      <c r="DU124" s="31" t="e">
        <f>IF(OR(Hypothèses!$B$4=17,Hypothèses!$B$4=18,Hypothèses!$B$4=19,Hypothèses!$B$4=20),
IF($D124="Pressio.",
IF(OR($E124=3,$E124=1,$E124=4),DT124,DS124),
IF($D124="Pénétro.",
IF(OR($E124=3,$E124=1,$E124=4),DT124,DS124))),IF($D124="Pressio.",
IF($E124=3,DT124,DS124),
IF($D124="Pénétro.",
IF($E124=4,DT124,DS124))))</f>
        <v>#N/A</v>
      </c>
      <c r="DV124" s="31">
        <v>0</v>
      </c>
      <c r="DW124" s="102" t="e">
        <f>IF(NDC!$H$10="Oui",(VLOOKUP($B$3,'Coeff EC7'!$T$39:$X$59,2,0)*DU124+VLOOKUP($B$3,'Coeff EC7'!$T$65:$X$85,2,0)*Model0.1T!DV124)/1.5,PI()*DS$12*$Q124*($B124-$B123)*0.15/10+DW123)</f>
        <v>#N/A</v>
      </c>
      <c r="DX124" s="102" t="e">
        <f>(VLOOKUP($B$3,'Coeff EC7'!$T$39:$X$59,3,0)*DU124+VLOOKUP($B$3,'Coeff EC7'!$T$65:$X$85,3,0)*Model0.1T!DV124)/1.1</f>
        <v>#N/A</v>
      </c>
      <c r="DY124" s="102" t="e">
        <f t="shared" si="190"/>
        <v>#N/A</v>
      </c>
      <c r="DZ124" s="102" t="e">
        <f t="shared" si="191"/>
        <v>#N/A</v>
      </c>
      <c r="EA124" s="414" t="e">
        <f>IF(AND(DW124&gt;NDC!$C$63,DX124&gt;NDC!$C$65,DY124&gt;NDC!$D$73,DZ124&gt;NDC!$D$74,$B124&gt;NDC!$H$22-0.1+MIN(3*EA$12,1.5)),0,1)</f>
        <v>#N/A</v>
      </c>
      <c r="EB124" s="86" t="b">
        <f t="shared" si="157"/>
        <v>0</v>
      </c>
      <c r="EC124" s="418">
        <f t="shared" si="158"/>
        <v>0.51</v>
      </c>
      <c r="ED124" s="86">
        <f t="shared" si="159"/>
        <v>0.51</v>
      </c>
      <c r="EE124" s="30" t="e">
        <f t="shared" ca="1" si="192"/>
        <v>#DIV/0!</v>
      </c>
      <c r="EF124" s="85" t="e">
        <f ca="1">IF(DL124&lt;=Hypothèses!$V$7,Hypothèses!$W$7,IF(DL124&lt;=Hypothèses!$V$8,Hypothèses!$W$8,IF(DL124&lt;=Hypothèses!$V$9,Hypothèses!$W$9,IF(DL124&lt;=Hypothèses!$V$10,Hypothèses!$W$10,IF(DL124&lt;=Hypothèses!$V$11,Hypothèses!$W$11,IF(DL124&lt;=Hypothèses!$V$12,Hypothèses!$W$12,IF(DL124&lt;=Hypothèses!$V$13,Hypothèses!$W$13,IF(DL124&lt;=Hypothèses!$V$14,Hypothèses!$W$14,IF(DL124&lt;=Hypothèses!$V$15,Hypothèses!$W$15,IF(DL124&lt;=Hypothèses!$V$16,Hypothèses!$W$16,IF(DL124&lt;=Hypothèses!$V$17,Hypothèses!$W$17,IF(DL124&lt;=Hypothèses!$V$18,Hypothèses!$W$18,""))))))))))))</f>
        <v>#DIV/0!</v>
      </c>
      <c r="EG124" s="87" t="e">
        <f t="shared" ca="1" si="222"/>
        <v>#DIV/0!</v>
      </c>
      <c r="EH124" s="88" t="e">
        <f ca="1">IF(DL124&lt;=Hypothèses!$V$7,Hypothèses!$X$7,IF(DL124&lt;=Hypothèses!$V$8,Hypothèses!$X$8,IF(DL124&lt;=Hypothèses!$V$9,Hypothèses!$X$9,IF(DL124&lt;=Hypothèses!$V$10,Hypothèses!$X$10,IF(DL124&lt;=Hypothèses!$V$11,Hypothèses!$X$11,IF(DL124&lt;=Hypothèses!$V$12,Hypothèses!$X$12,IF(DL124&lt;=Hypothèses!$V$13,Hypothèses!$X$13,IF(DL124&lt;=Hypothèses!$V$14,Hypothèses!$X$14,IF(DL124&lt;=Hypothèses!$V$15,Hypothèses!$X$15,IF(DL124&lt;=Hypothèses!$V$16,Hypothèses!$X$16,IF(DL124&lt;=Hypothèses!$U$17,Hypothèses!$W$17,IF(DL124&lt;=Hypothèses!$U$18,Hypothèses!$W$18,""))))))))))))</f>
        <v>#DIV/0!</v>
      </c>
      <c r="EI124" s="95" t="e">
        <f t="shared" ca="1" si="193"/>
        <v>#DIV/0!</v>
      </c>
      <c r="EJ124" s="101">
        <f t="shared" si="229"/>
        <v>0</v>
      </c>
      <c r="EK124" s="91">
        <f t="shared" si="160"/>
        <v>0</v>
      </c>
      <c r="EL124" s="30" t="e">
        <f t="shared" si="212"/>
        <v>#N/A</v>
      </c>
      <c r="EM124" s="30" t="e">
        <f t="shared" si="213"/>
        <v>#N/A</v>
      </c>
      <c r="EN124" s="31" t="e">
        <f>IF(OR(Hypothèses!$B$4=17,Hypothèses!$B$4=18,Hypothèses!$B$4=19,Hypothèses!$B$4=20),
IF($D124="Pressio.",
IF(OR($E124=3,$E124=1,$E124=4),EM124,EL124),
IF($D124="Pénétro.",
IF(OR($E124=3,$E124=1,$E124=4),EM124,EL124))),IF($D124="Pressio.",
IF($E124=3,EM124,EL124),
IF($D124="Pénétro.",
IF($E124=4,EM124,EL124))))</f>
        <v>#N/A</v>
      </c>
      <c r="EO124" s="31">
        <v>0</v>
      </c>
      <c r="EP124" s="102" t="e">
        <f>IF(NDC!$H$10="Oui",(VLOOKUP($B$3,'Coeff EC7'!$T$39:$X$59,2,0)*EN124+VLOOKUP($B$3,'Coeff EC7'!$T$65:$X$85,2,0)*Model0.1T!EO124)/1.5,PI()*EL$12*$Q124*($B124-$B123)*0.15/10+EP123)</f>
        <v>#N/A</v>
      </c>
      <c r="EQ124" s="102" t="e">
        <f>(VLOOKUP($B$3,'Coeff EC7'!$T$39:$X$59,3,0)*EN124+VLOOKUP($B$3,'Coeff EC7'!$T$65:$X$85,3,0)*Model0.1T!EO124)/1.1</f>
        <v>#N/A</v>
      </c>
      <c r="ER124" s="102" t="e">
        <f t="shared" si="194"/>
        <v>#N/A</v>
      </c>
      <c r="ES124" s="102" t="e">
        <f t="shared" si="195"/>
        <v>#N/A</v>
      </c>
      <c r="ET124" s="414" t="e">
        <f>IF(AND(EP124&gt;NDC!$C$63,EQ124&gt;NDC!$C$65,ER124&gt;NDC!$D$73,ES124&gt;NDC!$D$74,$B124&gt;NDC!$H$22-0.1+MIN(3*ET$12,1.5)),0,1)</f>
        <v>#N/A</v>
      </c>
      <c r="EU124" s="86" t="b">
        <f t="shared" si="161"/>
        <v>0</v>
      </c>
      <c r="EV124" s="86">
        <f t="shared" si="162"/>
        <v>0.61</v>
      </c>
      <c r="EW124" s="86">
        <f t="shared" si="163"/>
        <v>0.61</v>
      </c>
      <c r="EX124" s="30" t="e">
        <f t="shared" ca="1" si="196"/>
        <v>#DIV/0!</v>
      </c>
      <c r="EY124" s="85" t="e">
        <f ca="1">IF(EE124&lt;=Hypothèses!$V$7,Hypothèses!$W$7,IF(EE124&lt;=Hypothèses!$V$8,Hypothèses!$W$8,IF(EE124&lt;=Hypothèses!$V$9,Hypothèses!$W$9,IF(EE124&lt;=Hypothèses!$V$10,Hypothèses!$W$10,IF(EE124&lt;=Hypothèses!$V$11,Hypothèses!$W$11,IF(EE124&lt;=Hypothèses!$V$12,Hypothèses!$W$12,IF(EE124&lt;=Hypothèses!$V$13,Hypothèses!$W$13,IF(EE124&lt;=Hypothèses!$V$14,Hypothèses!$W$14,IF(EE124&lt;=Hypothèses!$V$15,Hypothèses!$W$15,IF(EE124&lt;=Hypothèses!$V$16,Hypothèses!$W$16,IF(EE124&lt;=Hypothèses!$V$17,Hypothèses!$W$17,IF(EE124&lt;=Hypothèses!$V$18,Hypothèses!$W$18,""))))))))))))</f>
        <v>#DIV/0!</v>
      </c>
      <c r="EZ124" s="87" t="e">
        <f t="shared" ca="1" si="223"/>
        <v>#DIV/0!</v>
      </c>
      <c r="FA124" s="88" t="e">
        <f ca="1">IF(EE124&lt;=Hypothèses!$V$7,Hypothèses!$X$7,IF(EE124&lt;=Hypothèses!$V$8,Hypothèses!$X$8,IF(EE124&lt;=Hypothèses!$V$9,Hypothèses!$X$9,IF(EE124&lt;=Hypothèses!$V$10,Hypothèses!$X$10,IF(EE124&lt;=Hypothèses!$V$11,Hypothèses!$X$11,IF(EE124&lt;=Hypothèses!$V$12,Hypothèses!$X$12,IF(EE124&lt;=Hypothèses!$V$13,Hypothèses!$X$13,IF(EE124&lt;=Hypothèses!$V$14,Hypothèses!$X$14,IF(EE124&lt;=Hypothèses!$V$15,Hypothèses!$X$15,IF(EE124&lt;=Hypothèses!$V$16,Hypothèses!$X$16,IF(EE124&lt;=Hypothèses!$U$17,Hypothèses!$W$17,IF(EE124&lt;=Hypothèses!$U$18,Hypothèses!$W$18,""))))))))))))</f>
        <v>#DIV/0!</v>
      </c>
      <c r="FB124" s="95" t="e">
        <f t="shared" ca="1" si="197"/>
        <v>#DIV/0!</v>
      </c>
      <c r="FC124" s="101">
        <f t="shared" si="230"/>
        <v>0</v>
      </c>
      <c r="FD124" s="91">
        <f t="shared" si="164"/>
        <v>0</v>
      </c>
      <c r="FE124" s="30" t="e">
        <f t="shared" si="214"/>
        <v>#N/A</v>
      </c>
      <c r="FF124" s="30" t="e">
        <f t="shared" si="215"/>
        <v>#N/A</v>
      </c>
      <c r="FG124" s="31" t="e">
        <f>IF(OR(Hypothèses!$B$4=17,Hypothèses!$B$4=18,Hypothèses!$B$4=19,Hypothèses!$B$4=20),
IF($D124="Pressio.",
IF(OR($E124=3,$E124=1,$E124=4),FF124,FE124),
IF($D124="Pénétro.",
IF(OR($E124=3,$E124=1,$E124=4),FF124,FE124))),IF($D124="Pressio.",
IF($E124=3,FF124,FE124),
IF($D124="Pénétro.",
IF($E124=4,FF124,FE124))))</f>
        <v>#N/A</v>
      </c>
      <c r="FH124" s="31">
        <v>0</v>
      </c>
      <c r="FI124" s="102" t="e">
        <f>IF(NDC!$H$10="Oui",(VLOOKUP($B$3,'Coeff EC7'!$T$39:$X$59,2,0)*FG124+VLOOKUP($B$3,'Coeff EC7'!$T$65:$X$85,2,0)*Model0.1T!FH124)/1.5,PI()*FE$12*$Q124*($B124-$B123)*0.15/10+FI123)</f>
        <v>#N/A</v>
      </c>
      <c r="FJ124" s="102" t="e">
        <f>(VLOOKUP($B$3,'Coeff EC7'!$T$39:$X$59,3,0)*FG124+VLOOKUP($B$3,'Coeff EC7'!$T$65:$X$85,3,0)*Model0.1T!FH124)/1.1</f>
        <v>#N/A</v>
      </c>
      <c r="FK124" s="102" t="e">
        <f t="shared" si="198"/>
        <v>#N/A</v>
      </c>
      <c r="FL124" s="102" t="e">
        <f t="shared" si="199"/>
        <v>#N/A</v>
      </c>
      <c r="FM124" s="414" t="e">
        <f>IF(AND(FI124&gt;NDC!$C$63,FJ124&gt;NDC!$C$65,FK124&gt;NDC!$D$73,FL124&gt;NDC!$D$74,$B124&gt;NDC!$H$22-0.1+MIN(3*FM$12,1.5)),0,1)</f>
        <v>#N/A</v>
      </c>
    </row>
    <row r="125" spans="1:169">
      <c r="A125" s="96">
        <f t="shared" si="165"/>
        <v>88.800000000000637</v>
      </c>
      <c r="B125" s="97">
        <v>11.2</v>
      </c>
      <c r="C125" s="81">
        <f>IF(B125&lt;=Hypothèses!$C$7,Hypothèses!$A$7,IF(B125&lt;=Hypothèses!$C$8,Hypothèses!$A$8,IF(B125&lt;=Hypothèses!$C$9,Hypothèses!$A$9,IF(B125&lt;=Hypothèses!$C$10,Hypothèses!$A$10,IF(B125&lt;=Hypothèses!$C$11,Hypothèses!$A$11,IF(B125&lt;=Hypothèses!$C$12,Hypothèses!$A$12,IF(B125&lt;=Hypothèses!$C$13,Hypothèses!$A$13,IF(B125&lt;=Hypothèses!$C$14,Hypothèses!$A$14,IF(B125&lt;=Hypothèses!$C$15,Hypothèses!$A$15,IF(B125&lt;=Hypothèses!$C$16,Hypothèses!$A$16,IF(B125&lt;=Hypothèses!$C$17,Hypothèses!$A$17,IF(B125&lt;=Hypothèses!$C$18,Hypothèses!$A$18,C124))))))))))))</f>
        <v>11</v>
      </c>
      <c r="D125" s="82" t="str">
        <f>IF(B125&lt;=Hypothèses!$C$7,Hypothèses!$R$7,IF(B125&lt;=Hypothèses!$C$8,Hypothèses!$R$8,IF(B125&lt;=Hypothèses!$C$9,Hypothèses!$R$9,IF(B125&lt;=Hypothèses!$C$10,Hypothèses!$R$10,IF(B125&lt;=Hypothèses!$C$11,Hypothèses!$R$11,IF(B125&lt;=Hypothèses!$C$12,Hypothèses!$R$12,IF(B125&lt;=Hypothèses!$C$13,Hypothèses!$R$13,IF(B125&lt;=Hypothèses!$C$14,Hypothèses!$R$14,IF(B125&lt;=Hypothèses!$C$15,Hypothèses!$R$15,IF(B125&lt;=Hypothèses!$C$16,Hypothèses!$R$16,IF(B125&lt;=Hypothèses!$C$17,Hypothèses!$R$17,IF(B125&lt;=Hypothèses!$C$18,Hypothèses!$R$18,D124))))))))))))</f>
        <v>Pressio.</v>
      </c>
      <c r="E125" s="82" t="e">
        <f>IF(B125&lt;=Hypothèses!$C$7,Hypothèses!$G$7,IF(B125&lt;=Hypothèses!$C$8,Hypothèses!$G$8,IF(B125&lt;=Hypothèses!$C$9,Hypothèses!$G$9,IF(B125&lt;=Hypothèses!$C$10,Hypothèses!$G$10,IF(B125&lt;=Hypothèses!$C$11,Hypothèses!$G$11,IF(B125&lt;=Hypothèses!$C$12,Hypothèses!$G$12,IF(B125&lt;=Hypothèses!$C$13,Hypothèses!$G$13,IF(B125&lt;=Hypothèses!$C$14,Hypothèses!$G$14,IF(B125&lt;=Hypothèses!$C$15,Hypothèses!$G$15,IF(B125&lt;=Hypothèses!$C$16,Hypothèses!$G$16,IF(B125&lt;=Hypothèses!$C$17,Hypothèses!$G$17,IF(B125&lt;=Hypothèses!$C$18,Hypothèses!$G$18,E124))))))))))))</f>
        <v>#N/A</v>
      </c>
      <c r="F125" s="82" t="str">
        <f>IF(B125&lt;=Hypothèses!$C$7,Hypothèses!$F$7,IF(B125&lt;=Hypothèses!$C$8,Hypothèses!$F$8,IF(B125&lt;=Hypothèses!$C$9,Hypothèses!$F$9,IF(B125&lt;=Hypothèses!$C$10,Hypothèses!$F$10,IF(B125&lt;=Hypothèses!$C$11,Hypothèses!$F$11,IF(B125&lt;=Hypothèses!$C$12,Hypothèses!$F$12,IF(B125&lt;=Hypothèses!$C$13,Hypothèses!$F$13,IF(B125&lt;=Hypothèses!$C$14,Hypothèses!$F$14,IF(B125&lt;=Hypothèses!$C$15,Hypothèses!$F$15,IF(B125&lt;=Hypothèses!$C$16,Hypothèses!$F$16,IF(B125&lt;=Hypothèses!$C$17,Hypothèses!$F$17,IF(B125&lt;=Hypothèses!$C$18,Hypothèses!$F$18,F124))))))))))))</f>
        <v/>
      </c>
      <c r="G125" s="91">
        <f t="array" ref="G125">INDEX('Coeff EC7'!$U$7:$X$27,
MATCH(Model0.1T!$B$3,'Coeff EC7'!$T$7:$T$27,0),
MATCH(Model0.1T!$D125&amp;Model0.1T!$B$4,
'Coeff EC7'!$U$6:$X$6&amp;
'Coeff EC7'!$U$5:$X$5,0))</f>
        <v>1.4</v>
      </c>
      <c r="H125" s="91">
        <f t="array" ref="H125">INDEX('Coeff EC7'!$Y$7:$AB$27,
MATCH(Model0.1T!$B$3,'Coeff EC7'!$T$7:$T$27,0),
MATCH(Model0.1T!$D125&amp;Model0.1T!$B$4,
'Coeff EC7'!$Y$6:$AB$6&amp;
'Coeff EC7'!$Y$5:$AB$5,0))</f>
        <v>1.7</v>
      </c>
      <c r="I125" s="83">
        <v>0</v>
      </c>
      <c r="J125" s="91" t="e">
        <f t="array" ref="J125">INDEX('Coeff EC7'!$D$33:$Q$33,1,MATCH(D125&amp;E125,'Coeff EC7'!$D$31:$Q$31&amp;'Coeff EC7'!$D$32:$Q$32,0))</f>
        <v>#N/A</v>
      </c>
      <c r="K125" s="91" t="e">
        <f t="array" ref="K125">INDEX('Coeff EC7'!$D$34:$Q$34,1,MATCH(D125&amp;E125,'Coeff EC7'!$D$31:$Q$31&amp;'Coeff EC7'!$D$32:$Q$32,0))</f>
        <v>#N/A</v>
      </c>
      <c r="L125" s="91" t="e">
        <f t="array" ref="L125">INDEX('Coeff EC7'!$D$35:$Q$35,1,MATCH(D125&amp;E125,'Coeff EC7'!$D$31:$Q$31&amp;'Coeff EC7'!$D$32:$Q$32,0))</f>
        <v>#N/A</v>
      </c>
      <c r="M125" s="98" t="e">
        <f t="shared" si="131"/>
        <v>#N/A</v>
      </c>
      <c r="N125" s="99" t="e">
        <f t="array" ref="N125">INDEX('Coeff EC7'!$D$7:$Q$27,MATCH($B$3,'Coeff EC7'!$C$7:$C$27,0),MATCH(D125&amp;E125,'Coeff EC7'!$D$5:$Q$5&amp;'Coeff EC7'!$D$6:$Q$6,0))</f>
        <v>#N/A</v>
      </c>
      <c r="O125" s="99" t="e">
        <f t="array" ref="O125">INDEX('Coeff EC7'!$D$41:$Q$61,MATCH($B$3,'Coeff EC7'!$C$41:$C$61,0),MATCH(D125&amp;E125,'Coeff EC7'!$D$39:$Q$39&amp;'Coeff EC7'!$D$40:$Q$40,0))</f>
        <v>#N/A</v>
      </c>
      <c r="P125" s="30" t="e">
        <f t="shared" si="166"/>
        <v>#N/A</v>
      </c>
      <c r="Q125" s="100" t="e">
        <f t="shared" si="133"/>
        <v>#N/A</v>
      </c>
      <c r="R125" s="86" t="b">
        <f t="shared" si="134"/>
        <v>0</v>
      </c>
      <c r="S125" s="86">
        <f t="shared" si="132"/>
        <v>0.5</v>
      </c>
      <c r="T125" s="86">
        <f t="shared" si="135"/>
        <v>0.5</v>
      </c>
      <c r="U125" s="30" t="e">
        <f t="shared" ca="1" si="167"/>
        <v>#DIV/0!</v>
      </c>
      <c r="V125" s="85" t="str">
        <f>IF(B125&lt;=Hypothèses!$V$7,Hypothèses!$W$7,IF(B125&lt;=Hypothèses!$V$8,Hypothèses!$W$8,IF(B125&lt;=Hypothèses!$V$9,Hypothèses!$W$9,IF(B125&lt;=Hypothèses!$V$10,Hypothèses!$W$10,IF(B125&lt;=Hypothèses!$V$11,Hypothèses!$W$11,IF(B125&lt;=Hypothèses!$V$12,Hypothèses!$W$12,IF(B125&lt;=Hypothèses!$V$13,Hypothèses!$W$13,IF(B125&lt;=Hypothèses!$V$14,Hypothèses!$W$14,IF(B125&lt;=Hypothèses!$V$15,Hypothèses!$W$15,IF(B125&lt;=Hypothèses!$V$16,Hypothèses!$W$16,IF(B125&lt;=Hypothèses!$V$17,Hypothèses!$W$17,IF(B125&lt;=Hypothèses!$V$18,Hypothèses!$W$18,""))))))))))))</f>
        <v/>
      </c>
      <c r="W125" s="87" t="e">
        <f t="shared" ca="1" si="216"/>
        <v>#DIV/0!</v>
      </c>
      <c r="X125" s="88" t="str">
        <f>IF(B125&lt;=Hypothèses!$V$7,Hypothèses!$X$7,IF(B125&lt;=Hypothèses!$V$8,Hypothèses!$X$8,IF(B125&lt;=Hypothèses!$V$9,Hypothèses!$X$9,IF(B125&lt;=Hypothèses!$V$10,Hypothèses!$X$10,IF(B125&lt;=Hypothèses!$V$11,Hypothèses!$X$11,IF(B125&lt;=Hypothèses!$V$12,Hypothèses!$X$12,IF(B125&lt;=Hypothèses!$V$13,Hypothèses!$X$13,IF(B125&lt;=Hypothèses!$V$14,Hypothèses!$X$14,IF(B125&lt;=Hypothèses!$V$15,Hypothèses!$X$15,IF(B125&lt;=Hypothèses!$V$16,Hypothèses!$X$16,IF(B125&lt;=Hypothèses!$U$17,Hypothèses!$W$17,IF(B125&lt;=Hypothèses!$U$18,Hypothèses!$W$18,""))))))))))))</f>
        <v/>
      </c>
      <c r="Y125" s="95" t="e">
        <f t="shared" ca="1" si="136"/>
        <v>#DIV/0!</v>
      </c>
      <c r="Z125" s="101">
        <f t="shared" si="137"/>
        <v>0</v>
      </c>
      <c r="AA125" s="91">
        <f t="shared" si="138"/>
        <v>0</v>
      </c>
      <c r="AB125" s="30" t="e">
        <f t="shared" si="200"/>
        <v>#N/A</v>
      </c>
      <c r="AC125" s="30" t="e">
        <f t="shared" si="201"/>
        <v>#N/A</v>
      </c>
      <c r="AD125" s="31" t="e">
        <f>IF(OR(Hypothèses!$B$4=17,Hypothèses!$B$4=18,Hypothèses!$B$4=19,Hypothèses!$B$4=20),
IF($D125="Pressio.",
IF(OR($E125=3,$E125=1,$E125=4),AC125,AB125),
IF($D125="Pénétro.",
IF(OR($E125=3,$E125=1,$E125=4),AC125,AB125))),IF($D125="Pressio.",
IF($E125=3,AC125,AB125),
IF($D125="Pénétro.",
IF($E125=4,AC125,AB125))))</f>
        <v>#N/A</v>
      </c>
      <c r="AE125" s="31">
        <v>0</v>
      </c>
      <c r="AF125" s="102" t="e">
        <f>IF(NDC!$H$10="Oui",(VLOOKUP($B$3,'Coeff EC7'!$T$39:$X$59,2,0)*AD125+VLOOKUP($B$3,'Coeff EC7'!$T$65:$X$85,2,0)*Model0.1T!AE125)/1.5,PI()*AB$12*$Q125*($B125-$B124)*0.15/10+AF124)</f>
        <v>#N/A</v>
      </c>
      <c r="AG125" s="102" t="e">
        <f>(VLOOKUP($B$3,'Coeff EC7'!$T$39:$X$59,3,0)*AD125+VLOOKUP($B$3,'Coeff EC7'!$T$65:$X$85,3,0)*Model0.1T!AE125)/1.1</f>
        <v>#N/A</v>
      </c>
      <c r="AH125" s="102" t="e">
        <f t="shared" si="168"/>
        <v>#N/A</v>
      </c>
      <c r="AI125" s="102" t="e">
        <f t="shared" si="169"/>
        <v>#N/A</v>
      </c>
      <c r="AJ125" s="414" t="e">
        <f>IF(AND(AF125&gt;NDC!$C$63,AG125&gt;NDC!$C$65,AH125&gt;NDC!$D$73,AI125&gt;NDC!$D$74,$B125&gt;NDC!$H$22-0.1+MIN(3*$AJ$12,1.5)),0,1)</f>
        <v>#N/A</v>
      </c>
      <c r="AK125" s="86" t="b">
        <f t="shared" si="139"/>
        <v>0</v>
      </c>
      <c r="AL125" s="86">
        <f t="shared" si="170"/>
        <v>0.5</v>
      </c>
      <c r="AM125" s="86">
        <f t="shared" si="140"/>
        <v>0.5</v>
      </c>
      <c r="AN125" s="30" t="e">
        <f t="shared" ca="1" si="171"/>
        <v>#DIV/0!</v>
      </c>
      <c r="AO125" s="85" t="e">
        <f ca="1">IF(U125&lt;=Hypothèses!$V$7,Hypothèses!$W$7,IF(U125&lt;=Hypothèses!$V$8,Hypothèses!$W$8,IF(U125&lt;=Hypothèses!$V$9,Hypothèses!$W$9,IF(U125&lt;=Hypothèses!$V$10,Hypothèses!$W$10,IF(U125&lt;=Hypothèses!$V$11,Hypothèses!$W$11,IF(U125&lt;=Hypothèses!$V$12,Hypothèses!$W$12,IF(U125&lt;=Hypothèses!$V$13,Hypothèses!$W$13,IF(U125&lt;=Hypothèses!$V$14,Hypothèses!$W$14,IF(U125&lt;=Hypothèses!$V$15,Hypothèses!$W$15,IF(U125&lt;=Hypothèses!$V$16,Hypothèses!$W$16,IF(U125&lt;=Hypothèses!$V$17,Hypothèses!$W$17,IF(U125&lt;=Hypothèses!$V$18,Hypothèses!$W$18,""))))))))))))</f>
        <v>#DIV/0!</v>
      </c>
      <c r="AP125" s="87" t="e">
        <f t="shared" ca="1" si="217"/>
        <v>#DIV/0!</v>
      </c>
      <c r="AQ125" s="88" t="e">
        <f ca="1">IF(U125&lt;=Hypothèses!$V$7,Hypothèses!$X$7,IF(U125&lt;=Hypothèses!$V$8,Hypothèses!$X$8,IF(U125&lt;=Hypothèses!$V$9,Hypothèses!$X$9,IF(U125&lt;=Hypothèses!$V$10,Hypothèses!$X$10,IF(U125&lt;=Hypothèses!$V$11,Hypothèses!$X$11,IF(U125&lt;=Hypothèses!$V$12,Hypothèses!$X$12,IF(U125&lt;=Hypothèses!$V$13,Hypothèses!$X$13,IF(U125&lt;=Hypothèses!$V$14,Hypothèses!$X$14,IF(U125&lt;=Hypothèses!$V$15,Hypothèses!$X$15,IF(U125&lt;=Hypothèses!$V$16,Hypothèses!$X$16,IF(U125&lt;=Hypothèses!$U$17,Hypothèses!$W$17,IF(U125&lt;=Hypothèses!$U$18,Hypothèses!$W$18,""))))))))))))</f>
        <v>#DIV/0!</v>
      </c>
      <c r="AR125" s="95" t="e">
        <f t="shared" ca="1" si="172"/>
        <v>#DIV/0!</v>
      </c>
      <c r="AS125" s="101">
        <f t="shared" si="224"/>
        <v>0</v>
      </c>
      <c r="AT125" s="91">
        <f t="shared" si="141"/>
        <v>0</v>
      </c>
      <c r="AU125" s="30" t="e">
        <f t="shared" si="202"/>
        <v>#N/A</v>
      </c>
      <c r="AV125" s="30" t="e">
        <f t="shared" si="203"/>
        <v>#N/A</v>
      </c>
      <c r="AW125" s="31" t="e">
        <f>IF(OR(Hypothèses!$B$4=17,Hypothèses!$B$4=18,Hypothèses!$B$4=19,Hypothèses!$B$4=20),
IF($D125="Pressio.",
IF(OR($E125=3,$E125=1,$E125=4),AV125,AU125),
IF($D125="Pénétro.",
IF(OR($E125=3,$E125=1,$E125=4),AV125,AU125))),IF($D125="Pressio.",
IF($E125=3,AV125,AU125),
IF($D125="Pénétro.",
IF($E125=4,AV125,AU125))))</f>
        <v>#N/A</v>
      </c>
      <c r="AX125" s="31">
        <v>0</v>
      </c>
      <c r="AY125" s="102" t="e">
        <f>IF(NDC!$H$10="Oui",(VLOOKUP($B$3,'Coeff EC7'!$T$39:$X$59,2,0)*AW125+VLOOKUP($B$3,'Coeff EC7'!$T$65:$X$85,2,0)*Model0.1T!AX125)/1.5,PI()*AU$12*$Q125*($B125-$B124)*0.15/10+AY124)</f>
        <v>#N/A</v>
      </c>
      <c r="AZ125" s="102" t="e">
        <f>(VLOOKUP($B$3,'Coeff EC7'!$T$39:$X$59,3,0)*AW125+VLOOKUP($B$3,'Coeff EC7'!$T$65:$X$85,3,0)*Model0.1T!AX125)/1.1</f>
        <v>#N/A</v>
      </c>
      <c r="BA125" s="102" t="e">
        <f t="shared" si="173"/>
        <v>#N/A</v>
      </c>
      <c r="BB125" s="102" t="e">
        <f t="shared" si="174"/>
        <v>#N/A</v>
      </c>
      <c r="BC125" s="414" t="e">
        <f>IF(AND(AY125&gt;NDC!$C$63,AZ125&gt;NDC!$C$65,BA125&gt;NDC!$D$73,BB125&gt;NDC!$D$74,$B125&gt;NDC!$H$22-0.1+MIN(3*BC$12,1.5)),0,1)</f>
        <v>#N/A</v>
      </c>
      <c r="BD125" s="86" t="b">
        <f t="shared" si="142"/>
        <v>0</v>
      </c>
      <c r="BE125" s="86">
        <f t="shared" si="175"/>
        <v>0.5</v>
      </c>
      <c r="BF125" s="86">
        <f t="shared" si="143"/>
        <v>0.5</v>
      </c>
      <c r="BG125" s="30" t="e">
        <f t="shared" ca="1" si="176"/>
        <v>#DIV/0!</v>
      </c>
      <c r="BH125" s="85" t="e">
        <f ca="1">IF(AN125&lt;=Hypothèses!$V$7,Hypothèses!$W$7,IF(AN125&lt;=Hypothèses!$V$8,Hypothèses!$W$8,IF(AN125&lt;=Hypothèses!$V$9,Hypothèses!$W$9,IF(AN125&lt;=Hypothèses!$V$10,Hypothèses!$W$10,IF(AN125&lt;=Hypothèses!$V$11,Hypothèses!$W$11,IF(AN125&lt;=Hypothèses!$V$12,Hypothèses!$W$12,IF(AN125&lt;=Hypothèses!$V$13,Hypothèses!$W$13,IF(AN125&lt;=Hypothèses!$V$14,Hypothèses!$W$14,IF(AN125&lt;=Hypothèses!$V$15,Hypothèses!$W$15,IF(AN125&lt;=Hypothèses!$V$16,Hypothèses!$W$16,IF(AN125&lt;=Hypothèses!$V$17,Hypothèses!$W$17,IF(AN125&lt;=Hypothèses!$V$18,Hypothèses!$W$18,""))))))))))))</f>
        <v>#DIV/0!</v>
      </c>
      <c r="BI125" s="87" t="e">
        <f t="shared" ca="1" si="218"/>
        <v>#DIV/0!</v>
      </c>
      <c r="BJ125" s="88" t="e">
        <f ca="1">IF(AN125&lt;=Hypothèses!$V$7,Hypothèses!$X$7,IF(AN125&lt;=Hypothèses!$V$8,Hypothèses!$X$8,IF(AN125&lt;=Hypothèses!$V$9,Hypothèses!$X$9,IF(AN125&lt;=Hypothèses!$V$10,Hypothèses!$X$10,IF(AN125&lt;=Hypothèses!$V$11,Hypothèses!$X$11,IF(AN125&lt;=Hypothèses!$V$12,Hypothèses!$X$12,IF(AN125&lt;=Hypothèses!$V$13,Hypothèses!$X$13,IF(AN125&lt;=Hypothèses!$V$14,Hypothèses!$X$14,IF(AN125&lt;=Hypothèses!$V$15,Hypothèses!$X$15,IF(AN125&lt;=Hypothèses!$V$16,Hypothèses!$X$16,IF(AN125&lt;=Hypothèses!$U$17,Hypothèses!$W$17,IF(AN125&lt;=Hypothèses!$U$18,Hypothèses!$W$18,""))))))))))))</f>
        <v>#DIV/0!</v>
      </c>
      <c r="BK125" s="95" t="e">
        <f t="shared" ca="1" si="177"/>
        <v>#DIV/0!</v>
      </c>
      <c r="BL125" s="101">
        <f t="shared" si="225"/>
        <v>0</v>
      </c>
      <c r="BM125" s="91">
        <f t="shared" si="144"/>
        <v>0</v>
      </c>
      <c r="BN125" s="30" t="e">
        <f t="shared" si="204"/>
        <v>#N/A</v>
      </c>
      <c r="BO125" s="30" t="e">
        <f t="shared" si="205"/>
        <v>#N/A</v>
      </c>
      <c r="BP125" s="31" t="e">
        <f>IF(OR(Hypothèses!$B$4=17,Hypothèses!$B$4=18,Hypothèses!$B$4=19,Hypothèses!$B$4=20),
IF($D125="Pressio.",
IF(OR($E125=3,$E125=1,$E125=4),BO125,BN125),
IF($D125="Pénétro.",
IF(OR($E125=3,$E125=1,$E125=4),BO125,BN125))),IF($D125="Pressio.",
IF($E125=3,BO125,BN125),
IF($D125="Pénétro.",
IF($E125=4,BO125,BN125))))</f>
        <v>#N/A</v>
      </c>
      <c r="BQ125" s="31">
        <v>0</v>
      </c>
      <c r="BR125" s="102" t="e">
        <f>IF(NDC!$H$10="Oui",(VLOOKUP($B$3,'Coeff EC7'!$T$39:$X$59,2,0)*BP125+VLOOKUP($B$3,'Coeff EC7'!$T$65:$X$85,2,0)*Model0.1T!BQ125)/1.5,PI()*BN$12*$Q125*($B125-$B124)*0.15/10+BR124)</f>
        <v>#N/A</v>
      </c>
      <c r="BS125" s="102" t="e">
        <f>(VLOOKUP($B$3,'Coeff EC7'!$T$39:$X$59,3,0)*BP125+VLOOKUP($B$3,'Coeff EC7'!$T$65:$X$85,3,0)*Model0.1T!BQ125)/1.1</f>
        <v>#N/A</v>
      </c>
      <c r="BT125" s="102" t="e">
        <f t="shared" si="178"/>
        <v>#N/A</v>
      </c>
      <c r="BU125" s="102" t="e">
        <f t="shared" si="179"/>
        <v>#N/A</v>
      </c>
      <c r="BV125" s="414" t="e">
        <f>IF(AND(BR125&gt;NDC!$C$63,BS125&gt;NDC!$C$65,BT125&gt;NDC!$D$73,BU125&gt;NDC!$D$74,$B125&gt;NDC!$H$22-0.1+MIN(3*BV$12,1.5)),0,1)</f>
        <v>#N/A</v>
      </c>
      <c r="BW125" s="86" t="b">
        <f t="shared" si="145"/>
        <v>0</v>
      </c>
      <c r="BX125" s="86">
        <f t="shared" si="146"/>
        <v>0.5</v>
      </c>
      <c r="BY125" s="86">
        <f t="shared" si="147"/>
        <v>0.5</v>
      </c>
      <c r="BZ125" s="30" t="e">
        <f t="shared" ca="1" si="180"/>
        <v>#DIV/0!</v>
      </c>
      <c r="CA125" s="85" t="e">
        <f ca="1">IF(BG125&lt;=Hypothèses!$V$7,Hypothèses!$W$7,IF(BG125&lt;=Hypothèses!$V$8,Hypothèses!$W$8,IF(BG125&lt;=Hypothèses!$V$9,Hypothèses!$W$9,IF(BG125&lt;=Hypothèses!$V$10,Hypothèses!$W$10,IF(BG125&lt;=Hypothèses!$V$11,Hypothèses!$W$11,IF(BG125&lt;=Hypothèses!$V$12,Hypothèses!$W$12,IF(BG125&lt;=Hypothèses!$V$13,Hypothèses!$W$13,IF(BG125&lt;=Hypothèses!$V$14,Hypothèses!$W$14,IF(BG125&lt;=Hypothèses!$V$15,Hypothèses!$W$15,IF(BG125&lt;=Hypothèses!$V$16,Hypothèses!$W$16,IF(BG125&lt;=Hypothèses!$V$17,Hypothèses!$W$17,IF(BG125&lt;=Hypothèses!$V$18,Hypothèses!$W$18,""))))))))))))</f>
        <v>#DIV/0!</v>
      </c>
      <c r="CB125" s="87" t="e">
        <f t="shared" ca="1" si="219"/>
        <v>#DIV/0!</v>
      </c>
      <c r="CC125" s="88" t="e">
        <f ca="1">IF(BG125&lt;=Hypothèses!$V$7,Hypothèses!$X$7,IF(BG125&lt;=Hypothèses!$V$8,Hypothèses!$X$8,IF(BG125&lt;=Hypothèses!$V$9,Hypothèses!$X$9,IF(BG125&lt;=Hypothèses!$V$10,Hypothèses!$X$10,IF(BG125&lt;=Hypothèses!$V$11,Hypothèses!$X$11,IF(BG125&lt;=Hypothèses!$V$12,Hypothèses!$X$12,IF(BG125&lt;=Hypothèses!$V$13,Hypothèses!$X$13,IF(BG125&lt;=Hypothèses!$V$14,Hypothèses!$X$14,IF(BG125&lt;=Hypothèses!$V$15,Hypothèses!$X$15,IF(BG125&lt;=Hypothèses!$V$16,Hypothèses!$X$16,IF(BG125&lt;=Hypothèses!$U$17,Hypothèses!$W$17,IF(BG125&lt;=Hypothèses!$U$18,Hypothèses!$W$18,""))))))))))))</f>
        <v>#DIV/0!</v>
      </c>
      <c r="CD125" s="95" t="e">
        <f t="shared" ca="1" si="181"/>
        <v>#DIV/0!</v>
      </c>
      <c r="CE125" s="101">
        <f t="shared" si="226"/>
        <v>0</v>
      </c>
      <c r="CF125" s="91">
        <f t="shared" si="148"/>
        <v>0</v>
      </c>
      <c r="CG125" s="30" t="e">
        <f t="shared" si="206"/>
        <v>#N/A</v>
      </c>
      <c r="CH125" s="30" t="e">
        <f t="shared" si="207"/>
        <v>#N/A</v>
      </c>
      <c r="CI125" s="31" t="e">
        <f>IF(OR(Hypothèses!$B$4=17,Hypothèses!$B$4=18,Hypothèses!$B$4=19,Hypothèses!$B$4=20),
IF($D125="Pressio.",
IF(OR($E125=3,$E125=1,$E125=4),CH125,CG125),
IF($D125="Pénétro.",
IF(OR($E125=3,$E125=1,$E125=4),CH125,CG125))),IF($D125="Pressio.",
IF($E125=3,CH125,CG125),
IF($D125="Pénétro.",
IF($E125=4,CH125,CG125))))</f>
        <v>#N/A</v>
      </c>
      <c r="CJ125" s="31">
        <v>0</v>
      </c>
      <c r="CK125" s="102" t="e">
        <f>IF(NDC!$H$10="Oui",(VLOOKUP($B$3,'Coeff EC7'!$T$39:$X$59,2,0)*CI125+VLOOKUP($B$3,'Coeff EC7'!$T$65:$X$85,2,0)*Model0.1T!CJ125)/1.5,PI()*CG$12*$Q125*($B125-$B124)*0.15/10+CK124)</f>
        <v>#N/A</v>
      </c>
      <c r="CL125" s="102" t="e">
        <f>(VLOOKUP($B$3,'Coeff EC7'!$T$39:$X$59,3,0)*CI125+VLOOKUP($B$3,'Coeff EC7'!$T$65:$X$85,3,0)*Model0.1T!CJ125)/1.1</f>
        <v>#N/A</v>
      </c>
      <c r="CM125" s="102" t="e">
        <f t="shared" si="182"/>
        <v>#N/A</v>
      </c>
      <c r="CN125" s="102" t="e">
        <f t="shared" si="183"/>
        <v>#N/A</v>
      </c>
      <c r="CO125" s="414" t="e">
        <f>IF(AND(CK125&gt;NDC!$C$63,CL125&gt;NDC!$C$65,CM125&gt;NDC!$D$73,CN125&gt;NDC!$D$74,$B125&gt;NDC!$H$22-0.1+MIN(3*CO$12,1.5)),0,1)</f>
        <v>#N/A</v>
      </c>
      <c r="CP125" s="86" t="b">
        <f t="shared" si="149"/>
        <v>0</v>
      </c>
      <c r="CQ125" s="86">
        <f t="shared" si="150"/>
        <v>0.5</v>
      </c>
      <c r="CR125" s="86">
        <f t="shared" si="151"/>
        <v>0.5</v>
      </c>
      <c r="CS125" s="30" t="e">
        <f t="shared" ca="1" si="184"/>
        <v>#DIV/0!</v>
      </c>
      <c r="CT125" s="85" t="e">
        <f ca="1">IF(BZ125&lt;=Hypothèses!$V$7,Hypothèses!$W$7,IF(BZ125&lt;=Hypothèses!$V$8,Hypothèses!$W$8,IF(BZ125&lt;=Hypothèses!$V$9,Hypothèses!$W$9,IF(BZ125&lt;=Hypothèses!$V$10,Hypothèses!$W$10,IF(BZ125&lt;=Hypothèses!$V$11,Hypothèses!$W$11,IF(BZ125&lt;=Hypothèses!$V$12,Hypothèses!$W$12,IF(BZ125&lt;=Hypothèses!$V$13,Hypothèses!$W$13,IF(BZ125&lt;=Hypothèses!$V$14,Hypothèses!$W$14,IF(BZ125&lt;=Hypothèses!$V$15,Hypothèses!$W$15,IF(BZ125&lt;=Hypothèses!$V$16,Hypothèses!$W$16,IF(BZ125&lt;=Hypothèses!$V$17,Hypothèses!$W$17,IF(BZ125&lt;=Hypothèses!$V$18,Hypothèses!$W$18,""))))))))))))</f>
        <v>#DIV/0!</v>
      </c>
      <c r="CU125" s="87" t="e">
        <f t="shared" ca="1" si="220"/>
        <v>#DIV/0!</v>
      </c>
      <c r="CV125" s="88" t="e">
        <f ca="1">IF(BZ125&lt;=Hypothèses!$V$7,Hypothèses!$X$7,IF(BZ125&lt;=Hypothèses!$V$8,Hypothèses!$X$8,IF(BZ125&lt;=Hypothèses!$V$9,Hypothèses!$X$9,IF(BZ125&lt;=Hypothèses!$V$10,Hypothèses!$X$10,IF(BZ125&lt;=Hypothèses!$V$11,Hypothèses!$X$11,IF(BZ125&lt;=Hypothèses!$V$12,Hypothèses!$X$12,IF(BZ125&lt;=Hypothèses!$V$13,Hypothèses!$X$13,IF(BZ125&lt;=Hypothèses!$V$14,Hypothèses!$X$14,IF(BZ125&lt;=Hypothèses!$V$15,Hypothèses!$X$15,IF(BZ125&lt;=Hypothèses!$V$16,Hypothèses!$X$16,IF(BZ125&lt;=Hypothèses!$U$17,Hypothèses!$W$17,IF(BZ125&lt;=Hypothèses!$U$18,Hypothèses!$W$18,""))))))))))))</f>
        <v>#DIV/0!</v>
      </c>
      <c r="CW125" s="95" t="e">
        <f t="shared" ca="1" si="185"/>
        <v>#DIV/0!</v>
      </c>
      <c r="CX125" s="101">
        <f t="shared" si="227"/>
        <v>0</v>
      </c>
      <c r="CY125" s="91">
        <f t="shared" si="152"/>
        <v>0</v>
      </c>
      <c r="CZ125" s="30" t="e">
        <f t="shared" si="208"/>
        <v>#N/A</v>
      </c>
      <c r="DA125" s="30" t="e">
        <f t="shared" si="209"/>
        <v>#N/A</v>
      </c>
      <c r="DB125" s="31" t="e">
        <f>IF(OR(Hypothèses!$B$4=17,Hypothèses!$B$4=18,Hypothèses!$B$4=19,Hypothèses!$B$4=20),
IF($D125="Pressio.",
IF(OR($E125=3,$E125=1,$E125=4),DA125,CZ125),
IF($D125="Pénétro.",
IF(OR($E125=3,$E125=1,$E125=4),DA125,CZ125))),IF($D125="Pressio.",
IF($E125=3,DA125,CZ125),
IF($D125="Pénétro.",
IF($E125=4,DA125,CZ125))))</f>
        <v>#N/A</v>
      </c>
      <c r="DC125" s="31">
        <v>0</v>
      </c>
      <c r="DD125" s="102" t="e">
        <f>IF(NDC!$H$10="Oui",(VLOOKUP($B$3,'Coeff EC7'!$T$39:$X$59,2,0)*DB125+VLOOKUP($B$3,'Coeff EC7'!$T$65:$X$85,2,0)*Model0.1T!DC125)/1.5,PI()*CZ$12*$Q125*($B125-$B124)*0.15/10+DD124)</f>
        <v>#N/A</v>
      </c>
      <c r="DE125" s="102" t="e">
        <f>(VLOOKUP($B$3,'Coeff EC7'!$T$39:$X$59,3,0)*DB125+VLOOKUP($B$3,'Coeff EC7'!$T$65:$X$85,3,0)*Model0.1T!DC125)/1.1</f>
        <v>#N/A</v>
      </c>
      <c r="DF125" s="102" t="e">
        <f t="shared" si="186"/>
        <v>#N/A</v>
      </c>
      <c r="DG125" s="102" t="e">
        <f t="shared" si="187"/>
        <v>#N/A</v>
      </c>
      <c r="DH125" s="414" t="e">
        <f>IF(AND(DD125&gt;NDC!$C$63,DE125&gt;NDC!$C$65,DF125&gt;NDC!$D$73,DG125&gt;NDC!$D$74,$B125&gt;NDC!$H$22-0.1+MIN(3*DH$12,1.5)),0,1)</f>
        <v>#N/A</v>
      </c>
      <c r="DI125" s="86" t="b">
        <f t="shared" si="153"/>
        <v>0</v>
      </c>
      <c r="DJ125" s="86">
        <f t="shared" si="154"/>
        <v>0.5</v>
      </c>
      <c r="DK125" s="86">
        <f t="shared" si="155"/>
        <v>0.5</v>
      </c>
      <c r="DL125" s="30" t="e">
        <f t="shared" ca="1" si="188"/>
        <v>#DIV/0!</v>
      </c>
      <c r="DM125" s="85" t="e">
        <f ca="1">IF(CS125&lt;=Hypothèses!$V$7,Hypothèses!$W$7,IF(CS125&lt;=Hypothèses!$V$8,Hypothèses!$W$8,IF(CS125&lt;=Hypothèses!$V$9,Hypothèses!$W$9,IF(CS125&lt;=Hypothèses!$V$10,Hypothèses!$W$10,IF(CS125&lt;=Hypothèses!$V$11,Hypothèses!$W$11,IF(CS125&lt;=Hypothèses!$V$12,Hypothèses!$W$12,IF(CS125&lt;=Hypothèses!$V$13,Hypothèses!$W$13,IF(CS125&lt;=Hypothèses!$V$14,Hypothèses!$W$14,IF(CS125&lt;=Hypothèses!$V$15,Hypothèses!$W$15,IF(CS125&lt;=Hypothèses!$V$16,Hypothèses!$W$16,IF(CS125&lt;=Hypothèses!$V$17,Hypothèses!$W$17,IF(CS125&lt;=Hypothèses!$V$18,Hypothèses!$W$18,""))))))))))))</f>
        <v>#DIV/0!</v>
      </c>
      <c r="DN125" s="87" t="e">
        <f t="shared" ca="1" si="221"/>
        <v>#DIV/0!</v>
      </c>
      <c r="DO125" s="88" t="e">
        <f ca="1">IF(CS125&lt;=Hypothèses!$V$7,Hypothèses!$X$7,IF(CS125&lt;=Hypothèses!$V$8,Hypothèses!$X$8,IF(CS125&lt;=Hypothèses!$V$9,Hypothèses!$X$9,IF(CS125&lt;=Hypothèses!$V$10,Hypothèses!$X$10,IF(CS125&lt;=Hypothèses!$V$11,Hypothèses!$X$11,IF(CS125&lt;=Hypothèses!$V$12,Hypothèses!$X$12,IF(CS125&lt;=Hypothèses!$V$13,Hypothèses!$X$13,IF(CS125&lt;=Hypothèses!$V$14,Hypothèses!$X$14,IF(CS125&lt;=Hypothèses!$V$15,Hypothèses!$X$15,IF(CS125&lt;=Hypothèses!$V$16,Hypothèses!$X$16,IF(CS125&lt;=Hypothèses!$U$17,Hypothèses!$W$17,IF(CS125&lt;=Hypothèses!$U$18,Hypothèses!$W$18,""))))))))))))</f>
        <v>#DIV/0!</v>
      </c>
      <c r="DP125" s="95" t="e">
        <f t="shared" ca="1" si="189"/>
        <v>#DIV/0!</v>
      </c>
      <c r="DQ125" s="101">
        <f t="shared" si="228"/>
        <v>0</v>
      </c>
      <c r="DR125" s="91">
        <f t="shared" si="156"/>
        <v>0</v>
      </c>
      <c r="DS125" s="30" t="e">
        <f t="shared" si="210"/>
        <v>#N/A</v>
      </c>
      <c r="DT125" s="30" t="e">
        <f t="shared" si="211"/>
        <v>#N/A</v>
      </c>
      <c r="DU125" s="31" t="e">
        <f>IF(OR(Hypothèses!$B$4=17,Hypothèses!$B$4=18,Hypothèses!$B$4=19,Hypothèses!$B$4=20),
IF($D125="Pressio.",
IF(OR($E125=3,$E125=1,$E125=4),DT125,DS125),
IF($D125="Pénétro.",
IF(OR($E125=3,$E125=1,$E125=4),DT125,DS125))),IF($D125="Pressio.",
IF($E125=3,DT125,DS125),
IF($D125="Pénétro.",
IF($E125=4,DT125,DS125))))</f>
        <v>#N/A</v>
      </c>
      <c r="DV125" s="31">
        <v>0</v>
      </c>
      <c r="DW125" s="102" t="e">
        <f>IF(NDC!$H$10="Oui",(VLOOKUP($B$3,'Coeff EC7'!$T$39:$X$59,2,0)*DU125+VLOOKUP($B$3,'Coeff EC7'!$T$65:$X$85,2,0)*Model0.1T!DV125)/1.5,PI()*DS$12*$Q125*($B125-$B124)*0.15/10+DW124)</f>
        <v>#N/A</v>
      </c>
      <c r="DX125" s="102" t="e">
        <f>(VLOOKUP($B$3,'Coeff EC7'!$T$39:$X$59,3,0)*DU125+VLOOKUP($B$3,'Coeff EC7'!$T$65:$X$85,3,0)*Model0.1T!DV125)/1.1</f>
        <v>#N/A</v>
      </c>
      <c r="DY125" s="102" t="e">
        <f t="shared" si="190"/>
        <v>#N/A</v>
      </c>
      <c r="DZ125" s="102" t="e">
        <f t="shared" si="191"/>
        <v>#N/A</v>
      </c>
      <c r="EA125" s="414" t="e">
        <f>IF(AND(DW125&gt;NDC!$C$63,DX125&gt;NDC!$C$65,DY125&gt;NDC!$D$73,DZ125&gt;NDC!$D$74,$B125&gt;NDC!$H$22-0.1+MIN(3*EA$12,1.5)),0,1)</f>
        <v>#N/A</v>
      </c>
      <c r="EB125" s="86" t="b">
        <f t="shared" si="157"/>
        <v>0</v>
      </c>
      <c r="EC125" s="418">
        <f t="shared" si="158"/>
        <v>0.51</v>
      </c>
      <c r="ED125" s="86">
        <f t="shared" si="159"/>
        <v>0.51</v>
      </c>
      <c r="EE125" s="30" t="e">
        <f t="shared" ca="1" si="192"/>
        <v>#DIV/0!</v>
      </c>
      <c r="EF125" s="85" t="e">
        <f ca="1">IF(DL125&lt;=Hypothèses!$V$7,Hypothèses!$W$7,IF(DL125&lt;=Hypothèses!$V$8,Hypothèses!$W$8,IF(DL125&lt;=Hypothèses!$V$9,Hypothèses!$W$9,IF(DL125&lt;=Hypothèses!$V$10,Hypothèses!$W$10,IF(DL125&lt;=Hypothèses!$V$11,Hypothèses!$W$11,IF(DL125&lt;=Hypothèses!$V$12,Hypothèses!$W$12,IF(DL125&lt;=Hypothèses!$V$13,Hypothèses!$W$13,IF(DL125&lt;=Hypothèses!$V$14,Hypothèses!$W$14,IF(DL125&lt;=Hypothèses!$V$15,Hypothèses!$W$15,IF(DL125&lt;=Hypothèses!$V$16,Hypothèses!$W$16,IF(DL125&lt;=Hypothèses!$V$17,Hypothèses!$W$17,IF(DL125&lt;=Hypothèses!$V$18,Hypothèses!$W$18,""))))))))))))</f>
        <v>#DIV/0!</v>
      </c>
      <c r="EG125" s="87" t="e">
        <f t="shared" ca="1" si="222"/>
        <v>#DIV/0!</v>
      </c>
      <c r="EH125" s="88" t="e">
        <f ca="1">IF(DL125&lt;=Hypothèses!$V$7,Hypothèses!$X$7,IF(DL125&lt;=Hypothèses!$V$8,Hypothèses!$X$8,IF(DL125&lt;=Hypothèses!$V$9,Hypothèses!$X$9,IF(DL125&lt;=Hypothèses!$V$10,Hypothèses!$X$10,IF(DL125&lt;=Hypothèses!$V$11,Hypothèses!$X$11,IF(DL125&lt;=Hypothèses!$V$12,Hypothèses!$X$12,IF(DL125&lt;=Hypothèses!$V$13,Hypothèses!$X$13,IF(DL125&lt;=Hypothèses!$V$14,Hypothèses!$X$14,IF(DL125&lt;=Hypothèses!$V$15,Hypothèses!$X$15,IF(DL125&lt;=Hypothèses!$V$16,Hypothèses!$X$16,IF(DL125&lt;=Hypothèses!$U$17,Hypothèses!$W$17,IF(DL125&lt;=Hypothèses!$U$18,Hypothèses!$W$18,""))))))))))))</f>
        <v>#DIV/0!</v>
      </c>
      <c r="EI125" s="95" t="e">
        <f t="shared" ca="1" si="193"/>
        <v>#DIV/0!</v>
      </c>
      <c r="EJ125" s="101">
        <f t="shared" si="229"/>
        <v>0</v>
      </c>
      <c r="EK125" s="91">
        <f t="shared" si="160"/>
        <v>0</v>
      </c>
      <c r="EL125" s="30" t="e">
        <f t="shared" si="212"/>
        <v>#N/A</v>
      </c>
      <c r="EM125" s="30" t="e">
        <f t="shared" si="213"/>
        <v>#N/A</v>
      </c>
      <c r="EN125" s="31" t="e">
        <f>IF(OR(Hypothèses!$B$4=17,Hypothèses!$B$4=18,Hypothèses!$B$4=19,Hypothèses!$B$4=20),
IF($D125="Pressio.",
IF(OR($E125=3,$E125=1,$E125=4),EM125,EL125),
IF($D125="Pénétro.",
IF(OR($E125=3,$E125=1,$E125=4),EM125,EL125))),IF($D125="Pressio.",
IF($E125=3,EM125,EL125),
IF($D125="Pénétro.",
IF($E125=4,EM125,EL125))))</f>
        <v>#N/A</v>
      </c>
      <c r="EO125" s="31">
        <v>0</v>
      </c>
      <c r="EP125" s="102" t="e">
        <f>IF(NDC!$H$10="Oui",(VLOOKUP($B$3,'Coeff EC7'!$T$39:$X$59,2,0)*EN125+VLOOKUP($B$3,'Coeff EC7'!$T$65:$X$85,2,0)*Model0.1T!EO125)/1.5,PI()*EL$12*$Q125*($B125-$B124)*0.15/10+EP124)</f>
        <v>#N/A</v>
      </c>
      <c r="EQ125" s="102" t="e">
        <f>(VLOOKUP($B$3,'Coeff EC7'!$T$39:$X$59,3,0)*EN125+VLOOKUP($B$3,'Coeff EC7'!$T$65:$X$85,3,0)*Model0.1T!EO125)/1.1</f>
        <v>#N/A</v>
      </c>
      <c r="ER125" s="102" t="e">
        <f t="shared" si="194"/>
        <v>#N/A</v>
      </c>
      <c r="ES125" s="102" t="e">
        <f t="shared" si="195"/>
        <v>#N/A</v>
      </c>
      <c r="ET125" s="414" t="e">
        <f>IF(AND(EP125&gt;NDC!$C$63,EQ125&gt;NDC!$C$65,ER125&gt;NDC!$D$73,ES125&gt;NDC!$D$74,$B125&gt;NDC!$H$22-0.1+MIN(3*ET$12,1.5)),0,1)</f>
        <v>#N/A</v>
      </c>
      <c r="EU125" s="86" t="b">
        <f t="shared" si="161"/>
        <v>0</v>
      </c>
      <c r="EV125" s="86">
        <f t="shared" si="162"/>
        <v>0.61</v>
      </c>
      <c r="EW125" s="86">
        <f t="shared" si="163"/>
        <v>0.61</v>
      </c>
      <c r="EX125" s="30" t="e">
        <f t="shared" ca="1" si="196"/>
        <v>#DIV/0!</v>
      </c>
      <c r="EY125" s="85" t="e">
        <f ca="1">IF(EE125&lt;=Hypothèses!$V$7,Hypothèses!$W$7,IF(EE125&lt;=Hypothèses!$V$8,Hypothèses!$W$8,IF(EE125&lt;=Hypothèses!$V$9,Hypothèses!$W$9,IF(EE125&lt;=Hypothèses!$V$10,Hypothèses!$W$10,IF(EE125&lt;=Hypothèses!$V$11,Hypothèses!$W$11,IF(EE125&lt;=Hypothèses!$V$12,Hypothèses!$W$12,IF(EE125&lt;=Hypothèses!$V$13,Hypothèses!$W$13,IF(EE125&lt;=Hypothèses!$V$14,Hypothèses!$W$14,IF(EE125&lt;=Hypothèses!$V$15,Hypothèses!$W$15,IF(EE125&lt;=Hypothèses!$V$16,Hypothèses!$W$16,IF(EE125&lt;=Hypothèses!$V$17,Hypothèses!$W$17,IF(EE125&lt;=Hypothèses!$V$18,Hypothèses!$W$18,""))))))))))))</f>
        <v>#DIV/0!</v>
      </c>
      <c r="EZ125" s="87" t="e">
        <f t="shared" ca="1" si="223"/>
        <v>#DIV/0!</v>
      </c>
      <c r="FA125" s="88" t="e">
        <f ca="1">IF(EE125&lt;=Hypothèses!$V$7,Hypothèses!$X$7,IF(EE125&lt;=Hypothèses!$V$8,Hypothèses!$X$8,IF(EE125&lt;=Hypothèses!$V$9,Hypothèses!$X$9,IF(EE125&lt;=Hypothèses!$V$10,Hypothèses!$X$10,IF(EE125&lt;=Hypothèses!$V$11,Hypothèses!$X$11,IF(EE125&lt;=Hypothèses!$V$12,Hypothèses!$X$12,IF(EE125&lt;=Hypothèses!$V$13,Hypothèses!$X$13,IF(EE125&lt;=Hypothèses!$V$14,Hypothèses!$X$14,IF(EE125&lt;=Hypothèses!$V$15,Hypothèses!$X$15,IF(EE125&lt;=Hypothèses!$V$16,Hypothèses!$X$16,IF(EE125&lt;=Hypothèses!$U$17,Hypothèses!$W$17,IF(EE125&lt;=Hypothèses!$U$18,Hypothèses!$W$18,""))))))))))))</f>
        <v>#DIV/0!</v>
      </c>
      <c r="FB125" s="95" t="e">
        <f t="shared" ca="1" si="197"/>
        <v>#DIV/0!</v>
      </c>
      <c r="FC125" s="101">
        <f t="shared" si="230"/>
        <v>0</v>
      </c>
      <c r="FD125" s="91">
        <f t="shared" si="164"/>
        <v>0</v>
      </c>
      <c r="FE125" s="30" t="e">
        <f t="shared" si="214"/>
        <v>#N/A</v>
      </c>
      <c r="FF125" s="30" t="e">
        <f t="shared" si="215"/>
        <v>#N/A</v>
      </c>
      <c r="FG125" s="31" t="e">
        <f>IF(OR(Hypothèses!$B$4=17,Hypothèses!$B$4=18,Hypothèses!$B$4=19,Hypothèses!$B$4=20),
IF($D125="Pressio.",
IF(OR($E125=3,$E125=1,$E125=4),FF125,FE125),
IF($D125="Pénétro.",
IF(OR($E125=3,$E125=1,$E125=4),FF125,FE125))),IF($D125="Pressio.",
IF($E125=3,FF125,FE125),
IF($D125="Pénétro.",
IF($E125=4,FF125,FE125))))</f>
        <v>#N/A</v>
      </c>
      <c r="FH125" s="31">
        <v>0</v>
      </c>
      <c r="FI125" s="102" t="e">
        <f>IF(NDC!$H$10="Oui",(VLOOKUP($B$3,'Coeff EC7'!$T$39:$X$59,2,0)*FG125+VLOOKUP($B$3,'Coeff EC7'!$T$65:$X$85,2,0)*Model0.1T!FH125)/1.5,PI()*FE$12*$Q125*($B125-$B124)*0.15/10+FI124)</f>
        <v>#N/A</v>
      </c>
      <c r="FJ125" s="102" t="e">
        <f>(VLOOKUP($B$3,'Coeff EC7'!$T$39:$X$59,3,0)*FG125+VLOOKUP($B$3,'Coeff EC7'!$T$65:$X$85,3,0)*Model0.1T!FH125)/1.1</f>
        <v>#N/A</v>
      </c>
      <c r="FK125" s="102" t="e">
        <f t="shared" si="198"/>
        <v>#N/A</v>
      </c>
      <c r="FL125" s="102" t="e">
        <f t="shared" si="199"/>
        <v>#N/A</v>
      </c>
      <c r="FM125" s="414" t="e">
        <f>IF(AND(FI125&gt;NDC!$C$63,FJ125&gt;NDC!$C$65,FK125&gt;NDC!$D$73,FL125&gt;NDC!$D$74,$B125&gt;NDC!$H$22-0.1+MIN(3*FM$12,1.5)),0,1)</f>
        <v>#N/A</v>
      </c>
    </row>
    <row r="126" spans="1:169">
      <c r="A126" s="96">
        <f t="shared" si="165"/>
        <v>88.700000000000642</v>
      </c>
      <c r="B126" s="97">
        <v>11.3</v>
      </c>
      <c r="C126" s="81">
        <f>IF(B126&lt;=Hypothèses!$C$7,Hypothèses!$A$7,IF(B126&lt;=Hypothèses!$C$8,Hypothèses!$A$8,IF(B126&lt;=Hypothèses!$C$9,Hypothèses!$A$9,IF(B126&lt;=Hypothèses!$C$10,Hypothèses!$A$10,IF(B126&lt;=Hypothèses!$C$11,Hypothèses!$A$11,IF(B126&lt;=Hypothèses!$C$12,Hypothèses!$A$12,IF(B126&lt;=Hypothèses!$C$13,Hypothèses!$A$13,IF(B126&lt;=Hypothèses!$C$14,Hypothèses!$A$14,IF(B126&lt;=Hypothèses!$C$15,Hypothèses!$A$15,IF(B126&lt;=Hypothèses!$C$16,Hypothèses!$A$16,IF(B126&lt;=Hypothèses!$C$17,Hypothèses!$A$17,IF(B126&lt;=Hypothèses!$C$18,Hypothèses!$A$18,C125))))))))))))</f>
        <v>11</v>
      </c>
      <c r="D126" s="82" t="str">
        <f>IF(B126&lt;=Hypothèses!$C$7,Hypothèses!$R$7,IF(B126&lt;=Hypothèses!$C$8,Hypothèses!$R$8,IF(B126&lt;=Hypothèses!$C$9,Hypothèses!$R$9,IF(B126&lt;=Hypothèses!$C$10,Hypothèses!$R$10,IF(B126&lt;=Hypothèses!$C$11,Hypothèses!$R$11,IF(B126&lt;=Hypothèses!$C$12,Hypothèses!$R$12,IF(B126&lt;=Hypothèses!$C$13,Hypothèses!$R$13,IF(B126&lt;=Hypothèses!$C$14,Hypothèses!$R$14,IF(B126&lt;=Hypothèses!$C$15,Hypothèses!$R$15,IF(B126&lt;=Hypothèses!$C$16,Hypothèses!$R$16,IF(B126&lt;=Hypothèses!$C$17,Hypothèses!$R$17,IF(B126&lt;=Hypothèses!$C$18,Hypothèses!$R$18,D125))))))))))))</f>
        <v>Pressio.</v>
      </c>
      <c r="E126" s="82" t="e">
        <f>IF(B126&lt;=Hypothèses!$C$7,Hypothèses!$G$7,IF(B126&lt;=Hypothèses!$C$8,Hypothèses!$G$8,IF(B126&lt;=Hypothèses!$C$9,Hypothèses!$G$9,IF(B126&lt;=Hypothèses!$C$10,Hypothèses!$G$10,IF(B126&lt;=Hypothèses!$C$11,Hypothèses!$G$11,IF(B126&lt;=Hypothèses!$C$12,Hypothèses!$G$12,IF(B126&lt;=Hypothèses!$C$13,Hypothèses!$G$13,IF(B126&lt;=Hypothèses!$C$14,Hypothèses!$G$14,IF(B126&lt;=Hypothèses!$C$15,Hypothèses!$G$15,IF(B126&lt;=Hypothèses!$C$16,Hypothèses!$G$16,IF(B126&lt;=Hypothèses!$C$17,Hypothèses!$G$17,IF(B126&lt;=Hypothèses!$C$18,Hypothèses!$G$18,E125))))))))))))</f>
        <v>#N/A</v>
      </c>
      <c r="F126" s="82" t="str">
        <f>IF(B126&lt;=Hypothèses!$C$7,Hypothèses!$F$7,IF(B126&lt;=Hypothèses!$C$8,Hypothèses!$F$8,IF(B126&lt;=Hypothèses!$C$9,Hypothèses!$F$9,IF(B126&lt;=Hypothèses!$C$10,Hypothèses!$F$10,IF(B126&lt;=Hypothèses!$C$11,Hypothèses!$F$11,IF(B126&lt;=Hypothèses!$C$12,Hypothèses!$F$12,IF(B126&lt;=Hypothèses!$C$13,Hypothèses!$F$13,IF(B126&lt;=Hypothèses!$C$14,Hypothèses!$F$14,IF(B126&lt;=Hypothèses!$C$15,Hypothèses!$F$15,IF(B126&lt;=Hypothèses!$C$16,Hypothèses!$F$16,IF(B126&lt;=Hypothèses!$C$17,Hypothèses!$F$17,IF(B126&lt;=Hypothèses!$C$18,Hypothèses!$F$18,F125))))))))))))</f>
        <v/>
      </c>
      <c r="G126" s="91">
        <f t="array" ref="G126">INDEX('Coeff EC7'!$U$7:$X$27,
MATCH(Model0.1T!$B$3,'Coeff EC7'!$T$7:$T$27,0),
MATCH(Model0.1T!$D126&amp;Model0.1T!$B$4,
'Coeff EC7'!$U$6:$X$6&amp;
'Coeff EC7'!$U$5:$X$5,0))</f>
        <v>1.4</v>
      </c>
      <c r="H126" s="91">
        <f t="array" ref="H126">INDEX('Coeff EC7'!$Y$7:$AB$27,
MATCH(Model0.1T!$B$3,'Coeff EC7'!$T$7:$T$27,0),
MATCH(Model0.1T!$D126&amp;Model0.1T!$B$4,
'Coeff EC7'!$Y$6:$AB$6&amp;
'Coeff EC7'!$Y$5:$AB$5,0))</f>
        <v>1.7</v>
      </c>
      <c r="I126" s="83">
        <v>0</v>
      </c>
      <c r="J126" s="91" t="e">
        <f t="array" ref="J126">INDEX('Coeff EC7'!$D$33:$Q$33,1,MATCH(D126&amp;E126,'Coeff EC7'!$D$31:$Q$31&amp;'Coeff EC7'!$D$32:$Q$32,0))</f>
        <v>#N/A</v>
      </c>
      <c r="K126" s="91" t="e">
        <f t="array" ref="K126">INDEX('Coeff EC7'!$D$34:$Q$34,1,MATCH(D126&amp;E126,'Coeff EC7'!$D$31:$Q$31&amp;'Coeff EC7'!$D$32:$Q$32,0))</f>
        <v>#N/A</v>
      </c>
      <c r="L126" s="91" t="e">
        <f t="array" ref="L126">INDEX('Coeff EC7'!$D$35:$Q$35,1,MATCH(D126&amp;E126,'Coeff EC7'!$D$31:$Q$31&amp;'Coeff EC7'!$D$32:$Q$32,0))</f>
        <v>#N/A</v>
      </c>
      <c r="M126" s="98" t="e">
        <f t="shared" si="131"/>
        <v>#N/A</v>
      </c>
      <c r="N126" s="99" t="e">
        <f t="array" ref="N126">INDEX('Coeff EC7'!$D$7:$Q$27,MATCH($B$3,'Coeff EC7'!$C$7:$C$27,0),MATCH(D126&amp;E126,'Coeff EC7'!$D$5:$Q$5&amp;'Coeff EC7'!$D$6:$Q$6,0))</f>
        <v>#N/A</v>
      </c>
      <c r="O126" s="99" t="e">
        <f t="array" ref="O126">INDEX('Coeff EC7'!$D$41:$Q$61,MATCH($B$3,'Coeff EC7'!$C$41:$C$61,0),MATCH(D126&amp;E126,'Coeff EC7'!$D$39:$Q$39&amp;'Coeff EC7'!$D$40:$Q$40,0))</f>
        <v>#N/A</v>
      </c>
      <c r="P126" s="30" t="e">
        <f t="shared" si="166"/>
        <v>#N/A</v>
      </c>
      <c r="Q126" s="100" t="e">
        <f t="shared" si="133"/>
        <v>#N/A</v>
      </c>
      <c r="R126" s="86" t="b">
        <f t="shared" si="134"/>
        <v>0</v>
      </c>
      <c r="S126" s="86">
        <f t="shared" si="132"/>
        <v>0.5</v>
      </c>
      <c r="T126" s="86">
        <f t="shared" si="135"/>
        <v>0.5</v>
      </c>
      <c r="U126" s="30" t="e">
        <f t="shared" ca="1" si="167"/>
        <v>#DIV/0!</v>
      </c>
      <c r="V126" s="85" t="str">
        <f>IF(B126&lt;=Hypothèses!$V$7,Hypothèses!$W$7,IF(B126&lt;=Hypothèses!$V$8,Hypothèses!$W$8,IF(B126&lt;=Hypothèses!$V$9,Hypothèses!$W$9,IF(B126&lt;=Hypothèses!$V$10,Hypothèses!$W$10,IF(B126&lt;=Hypothèses!$V$11,Hypothèses!$W$11,IF(B126&lt;=Hypothèses!$V$12,Hypothèses!$W$12,IF(B126&lt;=Hypothèses!$V$13,Hypothèses!$W$13,IF(B126&lt;=Hypothèses!$V$14,Hypothèses!$W$14,IF(B126&lt;=Hypothèses!$V$15,Hypothèses!$W$15,IF(B126&lt;=Hypothèses!$V$16,Hypothèses!$W$16,IF(B126&lt;=Hypothèses!$V$17,Hypothèses!$W$17,IF(B126&lt;=Hypothèses!$V$18,Hypothèses!$W$18,""))))))))))))</f>
        <v/>
      </c>
      <c r="W126" s="87" t="e">
        <f t="shared" ca="1" si="216"/>
        <v>#DIV/0!</v>
      </c>
      <c r="X126" s="88" t="str">
        <f>IF(B126&lt;=Hypothèses!$V$7,Hypothèses!$X$7,IF(B126&lt;=Hypothèses!$V$8,Hypothèses!$X$8,IF(B126&lt;=Hypothèses!$V$9,Hypothèses!$X$9,IF(B126&lt;=Hypothèses!$V$10,Hypothèses!$X$10,IF(B126&lt;=Hypothèses!$V$11,Hypothèses!$X$11,IF(B126&lt;=Hypothèses!$V$12,Hypothèses!$X$12,IF(B126&lt;=Hypothèses!$V$13,Hypothèses!$X$13,IF(B126&lt;=Hypothèses!$V$14,Hypothèses!$X$14,IF(B126&lt;=Hypothèses!$V$15,Hypothèses!$X$15,IF(B126&lt;=Hypothèses!$V$16,Hypothèses!$X$16,IF(B126&lt;=Hypothèses!$U$17,Hypothèses!$W$17,IF(B126&lt;=Hypothèses!$U$18,Hypothèses!$W$18,""))))))))))))</f>
        <v/>
      </c>
      <c r="Y126" s="95" t="e">
        <f t="shared" ca="1" si="136"/>
        <v>#DIV/0!</v>
      </c>
      <c r="Z126" s="101">
        <f t="shared" si="137"/>
        <v>0</v>
      </c>
      <c r="AA126" s="91">
        <f t="shared" si="138"/>
        <v>0</v>
      </c>
      <c r="AB126" s="30" t="e">
        <f t="shared" si="200"/>
        <v>#N/A</v>
      </c>
      <c r="AC126" s="30" t="e">
        <f t="shared" si="201"/>
        <v>#N/A</v>
      </c>
      <c r="AD126" s="31" t="e">
        <f>IF(OR(Hypothèses!$B$4=17,Hypothèses!$B$4=18,Hypothèses!$B$4=19,Hypothèses!$B$4=20),
IF($D126="Pressio.",
IF(OR($E126=3,$E126=1,$E126=4),AC126,AB126),
IF($D126="Pénétro.",
IF(OR($E126=3,$E126=1,$E126=4),AC126,AB126))),IF($D126="Pressio.",
IF($E126=3,AC126,AB126),
IF($D126="Pénétro.",
IF($E126=4,AC126,AB126))))</f>
        <v>#N/A</v>
      </c>
      <c r="AE126" s="31">
        <v>0</v>
      </c>
      <c r="AF126" s="102" t="e">
        <f>IF(NDC!$H$10="Oui",(VLOOKUP($B$3,'Coeff EC7'!$T$39:$X$59,2,0)*AD126+VLOOKUP($B$3,'Coeff EC7'!$T$65:$X$85,2,0)*Model0.1T!AE126)/1.5,PI()*AB$12*$Q126*($B126-$B125)*0.15/10+AF125)</f>
        <v>#N/A</v>
      </c>
      <c r="AG126" s="102" t="e">
        <f>(VLOOKUP($B$3,'Coeff EC7'!$T$39:$X$59,3,0)*AD126+VLOOKUP($B$3,'Coeff EC7'!$T$65:$X$85,3,0)*Model0.1T!AE126)/1.1</f>
        <v>#N/A</v>
      </c>
      <c r="AH126" s="102" t="e">
        <f t="shared" si="168"/>
        <v>#N/A</v>
      </c>
      <c r="AI126" s="102" t="e">
        <f t="shared" si="169"/>
        <v>#N/A</v>
      </c>
      <c r="AJ126" s="414" t="e">
        <f>IF(AND(AF126&gt;NDC!$C$63,AG126&gt;NDC!$C$65,AH126&gt;NDC!$D$73,AI126&gt;NDC!$D$74,$B126&gt;NDC!$H$22-0.1+MIN(3*$AJ$12,1.5)),0,1)</f>
        <v>#N/A</v>
      </c>
      <c r="AK126" s="86" t="b">
        <f t="shared" si="139"/>
        <v>0</v>
      </c>
      <c r="AL126" s="86">
        <f t="shared" si="170"/>
        <v>0.5</v>
      </c>
      <c r="AM126" s="86">
        <f t="shared" si="140"/>
        <v>0.5</v>
      </c>
      <c r="AN126" s="30" t="e">
        <f t="shared" ca="1" si="171"/>
        <v>#DIV/0!</v>
      </c>
      <c r="AO126" s="85" t="e">
        <f ca="1">IF(U126&lt;=Hypothèses!$V$7,Hypothèses!$W$7,IF(U126&lt;=Hypothèses!$V$8,Hypothèses!$W$8,IF(U126&lt;=Hypothèses!$V$9,Hypothèses!$W$9,IF(U126&lt;=Hypothèses!$V$10,Hypothèses!$W$10,IF(U126&lt;=Hypothèses!$V$11,Hypothèses!$W$11,IF(U126&lt;=Hypothèses!$V$12,Hypothèses!$W$12,IF(U126&lt;=Hypothèses!$V$13,Hypothèses!$W$13,IF(U126&lt;=Hypothèses!$V$14,Hypothèses!$W$14,IF(U126&lt;=Hypothèses!$V$15,Hypothèses!$W$15,IF(U126&lt;=Hypothèses!$V$16,Hypothèses!$W$16,IF(U126&lt;=Hypothèses!$V$17,Hypothèses!$W$17,IF(U126&lt;=Hypothèses!$V$18,Hypothèses!$W$18,""))))))))))))</f>
        <v>#DIV/0!</v>
      </c>
      <c r="AP126" s="87" t="e">
        <f t="shared" ca="1" si="217"/>
        <v>#DIV/0!</v>
      </c>
      <c r="AQ126" s="88" t="e">
        <f ca="1">IF(U126&lt;=Hypothèses!$V$7,Hypothèses!$X$7,IF(U126&lt;=Hypothèses!$V$8,Hypothèses!$X$8,IF(U126&lt;=Hypothèses!$V$9,Hypothèses!$X$9,IF(U126&lt;=Hypothèses!$V$10,Hypothèses!$X$10,IF(U126&lt;=Hypothèses!$V$11,Hypothèses!$X$11,IF(U126&lt;=Hypothèses!$V$12,Hypothèses!$X$12,IF(U126&lt;=Hypothèses!$V$13,Hypothèses!$X$13,IF(U126&lt;=Hypothèses!$V$14,Hypothèses!$X$14,IF(U126&lt;=Hypothèses!$V$15,Hypothèses!$X$15,IF(U126&lt;=Hypothèses!$V$16,Hypothèses!$X$16,IF(U126&lt;=Hypothèses!$U$17,Hypothèses!$W$17,IF(U126&lt;=Hypothèses!$U$18,Hypothèses!$W$18,""))))))))))))</f>
        <v>#DIV/0!</v>
      </c>
      <c r="AR126" s="95" t="e">
        <f t="shared" ca="1" si="172"/>
        <v>#DIV/0!</v>
      </c>
      <c r="AS126" s="101">
        <f t="shared" si="224"/>
        <v>0</v>
      </c>
      <c r="AT126" s="91">
        <f t="shared" si="141"/>
        <v>0</v>
      </c>
      <c r="AU126" s="30" t="e">
        <f t="shared" si="202"/>
        <v>#N/A</v>
      </c>
      <c r="AV126" s="30" t="e">
        <f t="shared" si="203"/>
        <v>#N/A</v>
      </c>
      <c r="AW126" s="31" t="e">
        <f>IF(OR(Hypothèses!$B$4=17,Hypothèses!$B$4=18,Hypothèses!$B$4=19,Hypothèses!$B$4=20),
IF($D126="Pressio.",
IF(OR($E126=3,$E126=1,$E126=4),AV126,AU126),
IF($D126="Pénétro.",
IF(OR($E126=3,$E126=1,$E126=4),AV126,AU126))),IF($D126="Pressio.",
IF($E126=3,AV126,AU126),
IF($D126="Pénétro.",
IF($E126=4,AV126,AU126))))</f>
        <v>#N/A</v>
      </c>
      <c r="AX126" s="31">
        <v>0</v>
      </c>
      <c r="AY126" s="102" t="e">
        <f>IF(NDC!$H$10="Oui",(VLOOKUP($B$3,'Coeff EC7'!$T$39:$X$59,2,0)*AW126+VLOOKUP($B$3,'Coeff EC7'!$T$65:$X$85,2,0)*Model0.1T!AX126)/1.5,PI()*AU$12*$Q126*($B126-$B125)*0.15/10+AY125)</f>
        <v>#N/A</v>
      </c>
      <c r="AZ126" s="102" t="e">
        <f>(VLOOKUP($B$3,'Coeff EC7'!$T$39:$X$59,3,0)*AW126+VLOOKUP($B$3,'Coeff EC7'!$T$65:$X$85,3,0)*Model0.1T!AX126)/1.1</f>
        <v>#N/A</v>
      </c>
      <c r="BA126" s="102" t="e">
        <f t="shared" si="173"/>
        <v>#N/A</v>
      </c>
      <c r="BB126" s="102" t="e">
        <f t="shared" si="174"/>
        <v>#N/A</v>
      </c>
      <c r="BC126" s="414" t="e">
        <f>IF(AND(AY126&gt;NDC!$C$63,AZ126&gt;NDC!$C$65,BA126&gt;NDC!$D$73,BB126&gt;NDC!$D$74,$B126&gt;NDC!$H$22-0.1+MIN(3*BC$12,1.5)),0,1)</f>
        <v>#N/A</v>
      </c>
      <c r="BD126" s="86" t="b">
        <f t="shared" si="142"/>
        <v>0</v>
      </c>
      <c r="BE126" s="86">
        <f t="shared" si="175"/>
        <v>0.5</v>
      </c>
      <c r="BF126" s="86">
        <f t="shared" si="143"/>
        <v>0.5</v>
      </c>
      <c r="BG126" s="30" t="e">
        <f t="shared" ca="1" si="176"/>
        <v>#DIV/0!</v>
      </c>
      <c r="BH126" s="85" t="e">
        <f ca="1">IF(AN126&lt;=Hypothèses!$V$7,Hypothèses!$W$7,IF(AN126&lt;=Hypothèses!$V$8,Hypothèses!$W$8,IF(AN126&lt;=Hypothèses!$V$9,Hypothèses!$W$9,IF(AN126&lt;=Hypothèses!$V$10,Hypothèses!$W$10,IF(AN126&lt;=Hypothèses!$V$11,Hypothèses!$W$11,IF(AN126&lt;=Hypothèses!$V$12,Hypothèses!$W$12,IF(AN126&lt;=Hypothèses!$V$13,Hypothèses!$W$13,IF(AN126&lt;=Hypothèses!$V$14,Hypothèses!$W$14,IF(AN126&lt;=Hypothèses!$V$15,Hypothèses!$W$15,IF(AN126&lt;=Hypothèses!$V$16,Hypothèses!$W$16,IF(AN126&lt;=Hypothèses!$V$17,Hypothèses!$W$17,IF(AN126&lt;=Hypothèses!$V$18,Hypothèses!$W$18,""))))))))))))</f>
        <v>#DIV/0!</v>
      </c>
      <c r="BI126" s="87" t="e">
        <f t="shared" ca="1" si="218"/>
        <v>#DIV/0!</v>
      </c>
      <c r="BJ126" s="88" t="e">
        <f ca="1">IF(AN126&lt;=Hypothèses!$V$7,Hypothèses!$X$7,IF(AN126&lt;=Hypothèses!$V$8,Hypothèses!$X$8,IF(AN126&lt;=Hypothèses!$V$9,Hypothèses!$X$9,IF(AN126&lt;=Hypothèses!$V$10,Hypothèses!$X$10,IF(AN126&lt;=Hypothèses!$V$11,Hypothèses!$X$11,IF(AN126&lt;=Hypothèses!$V$12,Hypothèses!$X$12,IF(AN126&lt;=Hypothèses!$V$13,Hypothèses!$X$13,IF(AN126&lt;=Hypothèses!$V$14,Hypothèses!$X$14,IF(AN126&lt;=Hypothèses!$V$15,Hypothèses!$X$15,IF(AN126&lt;=Hypothèses!$V$16,Hypothèses!$X$16,IF(AN126&lt;=Hypothèses!$U$17,Hypothèses!$W$17,IF(AN126&lt;=Hypothèses!$U$18,Hypothèses!$W$18,""))))))))))))</f>
        <v>#DIV/0!</v>
      </c>
      <c r="BK126" s="95" t="e">
        <f t="shared" ca="1" si="177"/>
        <v>#DIV/0!</v>
      </c>
      <c r="BL126" s="101">
        <f t="shared" si="225"/>
        <v>0</v>
      </c>
      <c r="BM126" s="91">
        <f t="shared" si="144"/>
        <v>0</v>
      </c>
      <c r="BN126" s="30" t="e">
        <f t="shared" si="204"/>
        <v>#N/A</v>
      </c>
      <c r="BO126" s="30" t="e">
        <f t="shared" si="205"/>
        <v>#N/A</v>
      </c>
      <c r="BP126" s="31" t="e">
        <f>IF(OR(Hypothèses!$B$4=17,Hypothèses!$B$4=18,Hypothèses!$B$4=19,Hypothèses!$B$4=20),
IF($D126="Pressio.",
IF(OR($E126=3,$E126=1,$E126=4),BO126,BN126),
IF($D126="Pénétro.",
IF(OR($E126=3,$E126=1,$E126=4),BO126,BN126))),IF($D126="Pressio.",
IF($E126=3,BO126,BN126),
IF($D126="Pénétro.",
IF($E126=4,BO126,BN126))))</f>
        <v>#N/A</v>
      </c>
      <c r="BQ126" s="31">
        <v>0</v>
      </c>
      <c r="BR126" s="102" t="e">
        <f>IF(NDC!$H$10="Oui",(VLOOKUP($B$3,'Coeff EC7'!$T$39:$X$59,2,0)*BP126+VLOOKUP($B$3,'Coeff EC7'!$T$65:$X$85,2,0)*Model0.1T!BQ126)/1.5,PI()*BN$12*$Q126*($B126-$B125)*0.15/10+BR125)</f>
        <v>#N/A</v>
      </c>
      <c r="BS126" s="102" t="e">
        <f>(VLOOKUP($B$3,'Coeff EC7'!$T$39:$X$59,3,0)*BP126+VLOOKUP($B$3,'Coeff EC7'!$T$65:$X$85,3,0)*Model0.1T!BQ126)/1.1</f>
        <v>#N/A</v>
      </c>
      <c r="BT126" s="102" t="e">
        <f t="shared" si="178"/>
        <v>#N/A</v>
      </c>
      <c r="BU126" s="102" t="e">
        <f t="shared" si="179"/>
        <v>#N/A</v>
      </c>
      <c r="BV126" s="414" t="e">
        <f>IF(AND(BR126&gt;NDC!$C$63,BS126&gt;NDC!$C$65,BT126&gt;NDC!$D$73,BU126&gt;NDC!$D$74,$B126&gt;NDC!$H$22-0.1+MIN(3*BV$12,1.5)),0,1)</f>
        <v>#N/A</v>
      </c>
      <c r="BW126" s="86" t="b">
        <f t="shared" si="145"/>
        <v>0</v>
      </c>
      <c r="BX126" s="86">
        <f t="shared" si="146"/>
        <v>0.5</v>
      </c>
      <c r="BY126" s="86">
        <f t="shared" si="147"/>
        <v>0.5</v>
      </c>
      <c r="BZ126" s="30" t="e">
        <f t="shared" ca="1" si="180"/>
        <v>#DIV/0!</v>
      </c>
      <c r="CA126" s="85" t="e">
        <f ca="1">IF(BG126&lt;=Hypothèses!$V$7,Hypothèses!$W$7,IF(BG126&lt;=Hypothèses!$V$8,Hypothèses!$W$8,IF(BG126&lt;=Hypothèses!$V$9,Hypothèses!$W$9,IF(BG126&lt;=Hypothèses!$V$10,Hypothèses!$W$10,IF(BG126&lt;=Hypothèses!$V$11,Hypothèses!$W$11,IF(BG126&lt;=Hypothèses!$V$12,Hypothèses!$W$12,IF(BG126&lt;=Hypothèses!$V$13,Hypothèses!$W$13,IF(BG126&lt;=Hypothèses!$V$14,Hypothèses!$W$14,IF(BG126&lt;=Hypothèses!$V$15,Hypothèses!$W$15,IF(BG126&lt;=Hypothèses!$V$16,Hypothèses!$W$16,IF(BG126&lt;=Hypothèses!$V$17,Hypothèses!$W$17,IF(BG126&lt;=Hypothèses!$V$18,Hypothèses!$W$18,""))))))))))))</f>
        <v>#DIV/0!</v>
      </c>
      <c r="CB126" s="87" t="e">
        <f t="shared" ca="1" si="219"/>
        <v>#DIV/0!</v>
      </c>
      <c r="CC126" s="88" t="e">
        <f ca="1">IF(BG126&lt;=Hypothèses!$V$7,Hypothèses!$X$7,IF(BG126&lt;=Hypothèses!$V$8,Hypothèses!$X$8,IF(BG126&lt;=Hypothèses!$V$9,Hypothèses!$X$9,IF(BG126&lt;=Hypothèses!$V$10,Hypothèses!$X$10,IF(BG126&lt;=Hypothèses!$V$11,Hypothèses!$X$11,IF(BG126&lt;=Hypothèses!$V$12,Hypothèses!$X$12,IF(BG126&lt;=Hypothèses!$V$13,Hypothèses!$X$13,IF(BG126&lt;=Hypothèses!$V$14,Hypothèses!$X$14,IF(BG126&lt;=Hypothèses!$V$15,Hypothèses!$X$15,IF(BG126&lt;=Hypothèses!$V$16,Hypothèses!$X$16,IF(BG126&lt;=Hypothèses!$U$17,Hypothèses!$W$17,IF(BG126&lt;=Hypothèses!$U$18,Hypothèses!$W$18,""))))))))))))</f>
        <v>#DIV/0!</v>
      </c>
      <c r="CD126" s="95" t="e">
        <f t="shared" ca="1" si="181"/>
        <v>#DIV/0!</v>
      </c>
      <c r="CE126" s="101">
        <f t="shared" si="226"/>
        <v>0</v>
      </c>
      <c r="CF126" s="91">
        <f t="shared" si="148"/>
        <v>0</v>
      </c>
      <c r="CG126" s="30" t="e">
        <f t="shared" si="206"/>
        <v>#N/A</v>
      </c>
      <c r="CH126" s="30" t="e">
        <f t="shared" si="207"/>
        <v>#N/A</v>
      </c>
      <c r="CI126" s="31" t="e">
        <f>IF(OR(Hypothèses!$B$4=17,Hypothèses!$B$4=18,Hypothèses!$B$4=19,Hypothèses!$B$4=20),
IF($D126="Pressio.",
IF(OR($E126=3,$E126=1,$E126=4),CH126,CG126),
IF($D126="Pénétro.",
IF(OR($E126=3,$E126=1,$E126=4),CH126,CG126))),IF($D126="Pressio.",
IF($E126=3,CH126,CG126),
IF($D126="Pénétro.",
IF($E126=4,CH126,CG126))))</f>
        <v>#N/A</v>
      </c>
      <c r="CJ126" s="31">
        <v>0</v>
      </c>
      <c r="CK126" s="102" t="e">
        <f>IF(NDC!$H$10="Oui",(VLOOKUP($B$3,'Coeff EC7'!$T$39:$X$59,2,0)*CI126+VLOOKUP($B$3,'Coeff EC7'!$T$65:$X$85,2,0)*Model0.1T!CJ126)/1.5,PI()*CG$12*$Q126*($B126-$B125)*0.15/10+CK125)</f>
        <v>#N/A</v>
      </c>
      <c r="CL126" s="102" t="e">
        <f>(VLOOKUP($B$3,'Coeff EC7'!$T$39:$X$59,3,0)*CI126+VLOOKUP($B$3,'Coeff EC7'!$T$65:$X$85,3,0)*Model0.1T!CJ126)/1.1</f>
        <v>#N/A</v>
      </c>
      <c r="CM126" s="102" t="e">
        <f t="shared" si="182"/>
        <v>#N/A</v>
      </c>
      <c r="CN126" s="102" t="e">
        <f t="shared" si="183"/>
        <v>#N/A</v>
      </c>
      <c r="CO126" s="414" t="e">
        <f>IF(AND(CK126&gt;NDC!$C$63,CL126&gt;NDC!$C$65,CM126&gt;NDC!$D$73,CN126&gt;NDC!$D$74,$B126&gt;NDC!$H$22-0.1+MIN(3*CO$12,1.5)),0,1)</f>
        <v>#N/A</v>
      </c>
      <c r="CP126" s="86" t="b">
        <f t="shared" si="149"/>
        <v>0</v>
      </c>
      <c r="CQ126" s="86">
        <f t="shared" si="150"/>
        <v>0.5</v>
      </c>
      <c r="CR126" s="86">
        <f t="shared" si="151"/>
        <v>0.5</v>
      </c>
      <c r="CS126" s="30" t="e">
        <f t="shared" ca="1" si="184"/>
        <v>#DIV/0!</v>
      </c>
      <c r="CT126" s="85" t="e">
        <f ca="1">IF(BZ126&lt;=Hypothèses!$V$7,Hypothèses!$W$7,IF(BZ126&lt;=Hypothèses!$V$8,Hypothèses!$W$8,IF(BZ126&lt;=Hypothèses!$V$9,Hypothèses!$W$9,IF(BZ126&lt;=Hypothèses!$V$10,Hypothèses!$W$10,IF(BZ126&lt;=Hypothèses!$V$11,Hypothèses!$W$11,IF(BZ126&lt;=Hypothèses!$V$12,Hypothèses!$W$12,IF(BZ126&lt;=Hypothèses!$V$13,Hypothèses!$W$13,IF(BZ126&lt;=Hypothèses!$V$14,Hypothèses!$W$14,IF(BZ126&lt;=Hypothèses!$V$15,Hypothèses!$W$15,IF(BZ126&lt;=Hypothèses!$V$16,Hypothèses!$W$16,IF(BZ126&lt;=Hypothèses!$V$17,Hypothèses!$W$17,IF(BZ126&lt;=Hypothèses!$V$18,Hypothèses!$W$18,""))))))))))))</f>
        <v>#DIV/0!</v>
      </c>
      <c r="CU126" s="87" t="e">
        <f t="shared" ca="1" si="220"/>
        <v>#DIV/0!</v>
      </c>
      <c r="CV126" s="88" t="e">
        <f ca="1">IF(BZ126&lt;=Hypothèses!$V$7,Hypothèses!$X$7,IF(BZ126&lt;=Hypothèses!$V$8,Hypothèses!$X$8,IF(BZ126&lt;=Hypothèses!$V$9,Hypothèses!$X$9,IF(BZ126&lt;=Hypothèses!$V$10,Hypothèses!$X$10,IF(BZ126&lt;=Hypothèses!$V$11,Hypothèses!$X$11,IF(BZ126&lt;=Hypothèses!$V$12,Hypothèses!$X$12,IF(BZ126&lt;=Hypothèses!$V$13,Hypothèses!$X$13,IF(BZ126&lt;=Hypothèses!$V$14,Hypothèses!$X$14,IF(BZ126&lt;=Hypothèses!$V$15,Hypothèses!$X$15,IF(BZ126&lt;=Hypothèses!$V$16,Hypothèses!$X$16,IF(BZ126&lt;=Hypothèses!$U$17,Hypothèses!$W$17,IF(BZ126&lt;=Hypothèses!$U$18,Hypothèses!$W$18,""))))))))))))</f>
        <v>#DIV/0!</v>
      </c>
      <c r="CW126" s="95" t="e">
        <f t="shared" ca="1" si="185"/>
        <v>#DIV/0!</v>
      </c>
      <c r="CX126" s="101">
        <f t="shared" si="227"/>
        <v>0</v>
      </c>
      <c r="CY126" s="91">
        <f t="shared" si="152"/>
        <v>0</v>
      </c>
      <c r="CZ126" s="30" t="e">
        <f t="shared" si="208"/>
        <v>#N/A</v>
      </c>
      <c r="DA126" s="30" t="e">
        <f t="shared" si="209"/>
        <v>#N/A</v>
      </c>
      <c r="DB126" s="31" t="e">
        <f>IF(OR(Hypothèses!$B$4=17,Hypothèses!$B$4=18,Hypothèses!$B$4=19,Hypothèses!$B$4=20),
IF($D126="Pressio.",
IF(OR($E126=3,$E126=1,$E126=4),DA126,CZ126),
IF($D126="Pénétro.",
IF(OR($E126=3,$E126=1,$E126=4),DA126,CZ126))),IF($D126="Pressio.",
IF($E126=3,DA126,CZ126),
IF($D126="Pénétro.",
IF($E126=4,DA126,CZ126))))</f>
        <v>#N/A</v>
      </c>
      <c r="DC126" s="31">
        <v>0</v>
      </c>
      <c r="DD126" s="102" t="e">
        <f>IF(NDC!$H$10="Oui",(VLOOKUP($B$3,'Coeff EC7'!$T$39:$X$59,2,0)*DB126+VLOOKUP($B$3,'Coeff EC7'!$T$65:$X$85,2,0)*Model0.1T!DC126)/1.5,PI()*CZ$12*$Q126*($B126-$B125)*0.15/10+DD125)</f>
        <v>#N/A</v>
      </c>
      <c r="DE126" s="102" t="e">
        <f>(VLOOKUP($B$3,'Coeff EC7'!$T$39:$X$59,3,0)*DB126+VLOOKUP($B$3,'Coeff EC7'!$T$65:$X$85,3,0)*Model0.1T!DC126)/1.1</f>
        <v>#N/A</v>
      </c>
      <c r="DF126" s="102" t="e">
        <f t="shared" si="186"/>
        <v>#N/A</v>
      </c>
      <c r="DG126" s="102" t="e">
        <f t="shared" si="187"/>
        <v>#N/A</v>
      </c>
      <c r="DH126" s="414" t="e">
        <f>IF(AND(DD126&gt;NDC!$C$63,DE126&gt;NDC!$C$65,DF126&gt;NDC!$D$73,DG126&gt;NDC!$D$74,$B126&gt;NDC!$H$22-0.1+MIN(3*DH$12,1.5)),0,1)</f>
        <v>#N/A</v>
      </c>
      <c r="DI126" s="86" t="b">
        <f t="shared" si="153"/>
        <v>0</v>
      </c>
      <c r="DJ126" s="86">
        <f t="shared" si="154"/>
        <v>0.5</v>
      </c>
      <c r="DK126" s="86">
        <f t="shared" si="155"/>
        <v>0.5</v>
      </c>
      <c r="DL126" s="30" t="e">
        <f t="shared" ca="1" si="188"/>
        <v>#DIV/0!</v>
      </c>
      <c r="DM126" s="85" t="e">
        <f ca="1">IF(CS126&lt;=Hypothèses!$V$7,Hypothèses!$W$7,IF(CS126&lt;=Hypothèses!$V$8,Hypothèses!$W$8,IF(CS126&lt;=Hypothèses!$V$9,Hypothèses!$W$9,IF(CS126&lt;=Hypothèses!$V$10,Hypothèses!$W$10,IF(CS126&lt;=Hypothèses!$V$11,Hypothèses!$W$11,IF(CS126&lt;=Hypothèses!$V$12,Hypothèses!$W$12,IF(CS126&lt;=Hypothèses!$V$13,Hypothèses!$W$13,IF(CS126&lt;=Hypothèses!$V$14,Hypothèses!$W$14,IF(CS126&lt;=Hypothèses!$V$15,Hypothèses!$W$15,IF(CS126&lt;=Hypothèses!$V$16,Hypothèses!$W$16,IF(CS126&lt;=Hypothèses!$V$17,Hypothèses!$W$17,IF(CS126&lt;=Hypothèses!$V$18,Hypothèses!$W$18,""))))))))))))</f>
        <v>#DIV/0!</v>
      </c>
      <c r="DN126" s="87" t="e">
        <f t="shared" ca="1" si="221"/>
        <v>#DIV/0!</v>
      </c>
      <c r="DO126" s="88" t="e">
        <f ca="1">IF(CS126&lt;=Hypothèses!$V$7,Hypothèses!$X$7,IF(CS126&lt;=Hypothèses!$V$8,Hypothèses!$X$8,IF(CS126&lt;=Hypothèses!$V$9,Hypothèses!$X$9,IF(CS126&lt;=Hypothèses!$V$10,Hypothèses!$X$10,IF(CS126&lt;=Hypothèses!$V$11,Hypothèses!$X$11,IF(CS126&lt;=Hypothèses!$V$12,Hypothèses!$X$12,IF(CS126&lt;=Hypothèses!$V$13,Hypothèses!$X$13,IF(CS126&lt;=Hypothèses!$V$14,Hypothèses!$X$14,IF(CS126&lt;=Hypothèses!$V$15,Hypothèses!$X$15,IF(CS126&lt;=Hypothèses!$V$16,Hypothèses!$X$16,IF(CS126&lt;=Hypothèses!$U$17,Hypothèses!$W$17,IF(CS126&lt;=Hypothèses!$U$18,Hypothèses!$W$18,""))))))))))))</f>
        <v>#DIV/0!</v>
      </c>
      <c r="DP126" s="95" t="e">
        <f t="shared" ca="1" si="189"/>
        <v>#DIV/0!</v>
      </c>
      <c r="DQ126" s="101">
        <f t="shared" si="228"/>
        <v>0</v>
      </c>
      <c r="DR126" s="91">
        <f t="shared" si="156"/>
        <v>0</v>
      </c>
      <c r="DS126" s="30" t="e">
        <f t="shared" si="210"/>
        <v>#N/A</v>
      </c>
      <c r="DT126" s="30" t="e">
        <f t="shared" si="211"/>
        <v>#N/A</v>
      </c>
      <c r="DU126" s="31" t="e">
        <f>IF(OR(Hypothèses!$B$4=17,Hypothèses!$B$4=18,Hypothèses!$B$4=19,Hypothèses!$B$4=20),
IF($D126="Pressio.",
IF(OR($E126=3,$E126=1,$E126=4),DT126,DS126),
IF($D126="Pénétro.",
IF(OR($E126=3,$E126=1,$E126=4),DT126,DS126))),IF($D126="Pressio.",
IF($E126=3,DT126,DS126),
IF($D126="Pénétro.",
IF($E126=4,DT126,DS126))))</f>
        <v>#N/A</v>
      </c>
      <c r="DV126" s="31">
        <v>0</v>
      </c>
      <c r="DW126" s="102" t="e">
        <f>IF(NDC!$H$10="Oui",(VLOOKUP($B$3,'Coeff EC7'!$T$39:$X$59,2,0)*DU126+VLOOKUP($B$3,'Coeff EC7'!$T$65:$X$85,2,0)*Model0.1T!DV126)/1.5,PI()*DS$12*$Q126*($B126-$B125)*0.15/10+DW125)</f>
        <v>#N/A</v>
      </c>
      <c r="DX126" s="102" t="e">
        <f>(VLOOKUP($B$3,'Coeff EC7'!$T$39:$X$59,3,0)*DU126+VLOOKUP($B$3,'Coeff EC7'!$T$65:$X$85,3,0)*Model0.1T!DV126)/1.1</f>
        <v>#N/A</v>
      </c>
      <c r="DY126" s="102" t="e">
        <f t="shared" si="190"/>
        <v>#N/A</v>
      </c>
      <c r="DZ126" s="102" t="e">
        <f t="shared" si="191"/>
        <v>#N/A</v>
      </c>
      <c r="EA126" s="414" t="e">
        <f>IF(AND(DW126&gt;NDC!$C$63,DX126&gt;NDC!$C$65,DY126&gt;NDC!$D$73,DZ126&gt;NDC!$D$74,$B126&gt;NDC!$H$22-0.1+MIN(3*EA$12,1.5)),0,1)</f>
        <v>#N/A</v>
      </c>
      <c r="EB126" s="86" t="b">
        <f t="shared" si="157"/>
        <v>0</v>
      </c>
      <c r="EC126" s="418">
        <f t="shared" si="158"/>
        <v>0.51</v>
      </c>
      <c r="ED126" s="86">
        <f t="shared" si="159"/>
        <v>0.51</v>
      </c>
      <c r="EE126" s="30" t="e">
        <f t="shared" ca="1" si="192"/>
        <v>#DIV/0!</v>
      </c>
      <c r="EF126" s="85" t="e">
        <f ca="1">IF(DL126&lt;=Hypothèses!$V$7,Hypothèses!$W$7,IF(DL126&lt;=Hypothèses!$V$8,Hypothèses!$W$8,IF(DL126&lt;=Hypothèses!$V$9,Hypothèses!$W$9,IF(DL126&lt;=Hypothèses!$V$10,Hypothèses!$W$10,IF(DL126&lt;=Hypothèses!$V$11,Hypothèses!$W$11,IF(DL126&lt;=Hypothèses!$V$12,Hypothèses!$W$12,IF(DL126&lt;=Hypothèses!$V$13,Hypothèses!$W$13,IF(DL126&lt;=Hypothèses!$V$14,Hypothèses!$W$14,IF(DL126&lt;=Hypothèses!$V$15,Hypothèses!$W$15,IF(DL126&lt;=Hypothèses!$V$16,Hypothèses!$W$16,IF(DL126&lt;=Hypothèses!$V$17,Hypothèses!$W$17,IF(DL126&lt;=Hypothèses!$V$18,Hypothèses!$W$18,""))))))))))))</f>
        <v>#DIV/0!</v>
      </c>
      <c r="EG126" s="87" t="e">
        <f t="shared" ca="1" si="222"/>
        <v>#DIV/0!</v>
      </c>
      <c r="EH126" s="88" t="e">
        <f ca="1">IF(DL126&lt;=Hypothèses!$V$7,Hypothèses!$X$7,IF(DL126&lt;=Hypothèses!$V$8,Hypothèses!$X$8,IF(DL126&lt;=Hypothèses!$V$9,Hypothèses!$X$9,IF(DL126&lt;=Hypothèses!$V$10,Hypothèses!$X$10,IF(DL126&lt;=Hypothèses!$V$11,Hypothèses!$X$11,IF(DL126&lt;=Hypothèses!$V$12,Hypothèses!$X$12,IF(DL126&lt;=Hypothèses!$V$13,Hypothèses!$X$13,IF(DL126&lt;=Hypothèses!$V$14,Hypothèses!$X$14,IF(DL126&lt;=Hypothèses!$V$15,Hypothèses!$X$15,IF(DL126&lt;=Hypothèses!$V$16,Hypothèses!$X$16,IF(DL126&lt;=Hypothèses!$U$17,Hypothèses!$W$17,IF(DL126&lt;=Hypothèses!$U$18,Hypothèses!$W$18,""))))))))))))</f>
        <v>#DIV/0!</v>
      </c>
      <c r="EI126" s="95" t="e">
        <f t="shared" ca="1" si="193"/>
        <v>#DIV/0!</v>
      </c>
      <c r="EJ126" s="101">
        <f t="shared" si="229"/>
        <v>0</v>
      </c>
      <c r="EK126" s="91">
        <f t="shared" si="160"/>
        <v>0</v>
      </c>
      <c r="EL126" s="30" t="e">
        <f t="shared" si="212"/>
        <v>#N/A</v>
      </c>
      <c r="EM126" s="30" t="e">
        <f t="shared" si="213"/>
        <v>#N/A</v>
      </c>
      <c r="EN126" s="31" t="e">
        <f>IF(OR(Hypothèses!$B$4=17,Hypothèses!$B$4=18,Hypothèses!$B$4=19,Hypothèses!$B$4=20),
IF($D126="Pressio.",
IF(OR($E126=3,$E126=1,$E126=4),EM126,EL126),
IF($D126="Pénétro.",
IF(OR($E126=3,$E126=1,$E126=4),EM126,EL126))),IF($D126="Pressio.",
IF($E126=3,EM126,EL126),
IF($D126="Pénétro.",
IF($E126=4,EM126,EL126))))</f>
        <v>#N/A</v>
      </c>
      <c r="EO126" s="31">
        <v>0</v>
      </c>
      <c r="EP126" s="102" t="e">
        <f>IF(NDC!$H$10="Oui",(VLOOKUP($B$3,'Coeff EC7'!$T$39:$X$59,2,0)*EN126+VLOOKUP($B$3,'Coeff EC7'!$T$65:$X$85,2,0)*Model0.1T!EO126)/1.5,PI()*EL$12*$Q126*($B126-$B125)*0.15/10+EP125)</f>
        <v>#N/A</v>
      </c>
      <c r="EQ126" s="102" t="e">
        <f>(VLOOKUP($B$3,'Coeff EC7'!$T$39:$X$59,3,0)*EN126+VLOOKUP($B$3,'Coeff EC7'!$T$65:$X$85,3,0)*Model0.1T!EO126)/1.1</f>
        <v>#N/A</v>
      </c>
      <c r="ER126" s="102" t="e">
        <f t="shared" si="194"/>
        <v>#N/A</v>
      </c>
      <c r="ES126" s="102" t="e">
        <f t="shared" si="195"/>
        <v>#N/A</v>
      </c>
      <c r="ET126" s="414" t="e">
        <f>IF(AND(EP126&gt;NDC!$C$63,EQ126&gt;NDC!$C$65,ER126&gt;NDC!$D$73,ES126&gt;NDC!$D$74,$B126&gt;NDC!$H$22-0.1+MIN(3*ET$12,1.5)),0,1)</f>
        <v>#N/A</v>
      </c>
      <c r="EU126" s="86" t="b">
        <f t="shared" si="161"/>
        <v>0</v>
      </c>
      <c r="EV126" s="86">
        <f t="shared" si="162"/>
        <v>0.61</v>
      </c>
      <c r="EW126" s="86">
        <f t="shared" si="163"/>
        <v>0.61</v>
      </c>
      <c r="EX126" s="30" t="e">
        <f t="shared" ca="1" si="196"/>
        <v>#DIV/0!</v>
      </c>
      <c r="EY126" s="85" t="e">
        <f ca="1">IF(EE126&lt;=Hypothèses!$V$7,Hypothèses!$W$7,IF(EE126&lt;=Hypothèses!$V$8,Hypothèses!$W$8,IF(EE126&lt;=Hypothèses!$V$9,Hypothèses!$W$9,IF(EE126&lt;=Hypothèses!$V$10,Hypothèses!$W$10,IF(EE126&lt;=Hypothèses!$V$11,Hypothèses!$W$11,IF(EE126&lt;=Hypothèses!$V$12,Hypothèses!$W$12,IF(EE126&lt;=Hypothèses!$V$13,Hypothèses!$W$13,IF(EE126&lt;=Hypothèses!$V$14,Hypothèses!$W$14,IF(EE126&lt;=Hypothèses!$V$15,Hypothèses!$W$15,IF(EE126&lt;=Hypothèses!$V$16,Hypothèses!$W$16,IF(EE126&lt;=Hypothèses!$V$17,Hypothèses!$W$17,IF(EE126&lt;=Hypothèses!$V$18,Hypothèses!$W$18,""))))))))))))</f>
        <v>#DIV/0!</v>
      </c>
      <c r="EZ126" s="87" t="e">
        <f t="shared" ca="1" si="223"/>
        <v>#DIV/0!</v>
      </c>
      <c r="FA126" s="88" t="e">
        <f ca="1">IF(EE126&lt;=Hypothèses!$V$7,Hypothèses!$X$7,IF(EE126&lt;=Hypothèses!$V$8,Hypothèses!$X$8,IF(EE126&lt;=Hypothèses!$V$9,Hypothèses!$X$9,IF(EE126&lt;=Hypothèses!$V$10,Hypothèses!$X$10,IF(EE126&lt;=Hypothèses!$V$11,Hypothèses!$X$11,IF(EE126&lt;=Hypothèses!$V$12,Hypothèses!$X$12,IF(EE126&lt;=Hypothèses!$V$13,Hypothèses!$X$13,IF(EE126&lt;=Hypothèses!$V$14,Hypothèses!$X$14,IF(EE126&lt;=Hypothèses!$V$15,Hypothèses!$X$15,IF(EE126&lt;=Hypothèses!$V$16,Hypothèses!$X$16,IF(EE126&lt;=Hypothèses!$U$17,Hypothèses!$W$17,IF(EE126&lt;=Hypothèses!$U$18,Hypothèses!$W$18,""))))))))))))</f>
        <v>#DIV/0!</v>
      </c>
      <c r="FB126" s="95" t="e">
        <f t="shared" ca="1" si="197"/>
        <v>#DIV/0!</v>
      </c>
      <c r="FC126" s="101">
        <f t="shared" si="230"/>
        <v>0</v>
      </c>
      <c r="FD126" s="91">
        <f t="shared" si="164"/>
        <v>0</v>
      </c>
      <c r="FE126" s="30" t="e">
        <f t="shared" si="214"/>
        <v>#N/A</v>
      </c>
      <c r="FF126" s="30" t="e">
        <f t="shared" si="215"/>
        <v>#N/A</v>
      </c>
      <c r="FG126" s="31" t="e">
        <f>IF(OR(Hypothèses!$B$4=17,Hypothèses!$B$4=18,Hypothèses!$B$4=19,Hypothèses!$B$4=20),
IF($D126="Pressio.",
IF(OR($E126=3,$E126=1,$E126=4),FF126,FE126),
IF($D126="Pénétro.",
IF(OR($E126=3,$E126=1,$E126=4),FF126,FE126))),IF($D126="Pressio.",
IF($E126=3,FF126,FE126),
IF($D126="Pénétro.",
IF($E126=4,FF126,FE126))))</f>
        <v>#N/A</v>
      </c>
      <c r="FH126" s="31">
        <v>0</v>
      </c>
      <c r="FI126" s="102" t="e">
        <f>IF(NDC!$H$10="Oui",(VLOOKUP($B$3,'Coeff EC7'!$T$39:$X$59,2,0)*FG126+VLOOKUP($B$3,'Coeff EC7'!$T$65:$X$85,2,0)*Model0.1T!FH126)/1.5,PI()*FE$12*$Q126*($B126-$B125)*0.15/10+FI125)</f>
        <v>#N/A</v>
      </c>
      <c r="FJ126" s="102" t="e">
        <f>(VLOOKUP($B$3,'Coeff EC7'!$T$39:$X$59,3,0)*FG126+VLOOKUP($B$3,'Coeff EC7'!$T$65:$X$85,3,0)*Model0.1T!FH126)/1.1</f>
        <v>#N/A</v>
      </c>
      <c r="FK126" s="102" t="e">
        <f t="shared" si="198"/>
        <v>#N/A</v>
      </c>
      <c r="FL126" s="102" t="e">
        <f t="shared" si="199"/>
        <v>#N/A</v>
      </c>
      <c r="FM126" s="414" t="e">
        <f>IF(AND(FI126&gt;NDC!$C$63,FJ126&gt;NDC!$C$65,FK126&gt;NDC!$D$73,FL126&gt;NDC!$D$74,$B126&gt;NDC!$H$22-0.1+MIN(3*FM$12,1.5)),0,1)</f>
        <v>#N/A</v>
      </c>
    </row>
    <row r="127" spans="1:169">
      <c r="A127" s="96">
        <f t="shared" si="165"/>
        <v>88.600000000000648</v>
      </c>
      <c r="B127" s="97">
        <v>11.4</v>
      </c>
      <c r="C127" s="81">
        <f>IF(B127&lt;=Hypothèses!$C$7,Hypothèses!$A$7,IF(B127&lt;=Hypothèses!$C$8,Hypothèses!$A$8,IF(B127&lt;=Hypothèses!$C$9,Hypothèses!$A$9,IF(B127&lt;=Hypothèses!$C$10,Hypothèses!$A$10,IF(B127&lt;=Hypothèses!$C$11,Hypothèses!$A$11,IF(B127&lt;=Hypothèses!$C$12,Hypothèses!$A$12,IF(B127&lt;=Hypothèses!$C$13,Hypothèses!$A$13,IF(B127&lt;=Hypothèses!$C$14,Hypothèses!$A$14,IF(B127&lt;=Hypothèses!$C$15,Hypothèses!$A$15,IF(B127&lt;=Hypothèses!$C$16,Hypothèses!$A$16,IF(B127&lt;=Hypothèses!$C$17,Hypothèses!$A$17,IF(B127&lt;=Hypothèses!$C$18,Hypothèses!$A$18,C126))))))))))))</f>
        <v>11</v>
      </c>
      <c r="D127" s="82" t="str">
        <f>IF(B127&lt;=Hypothèses!$C$7,Hypothèses!$R$7,IF(B127&lt;=Hypothèses!$C$8,Hypothèses!$R$8,IF(B127&lt;=Hypothèses!$C$9,Hypothèses!$R$9,IF(B127&lt;=Hypothèses!$C$10,Hypothèses!$R$10,IF(B127&lt;=Hypothèses!$C$11,Hypothèses!$R$11,IF(B127&lt;=Hypothèses!$C$12,Hypothèses!$R$12,IF(B127&lt;=Hypothèses!$C$13,Hypothèses!$R$13,IF(B127&lt;=Hypothèses!$C$14,Hypothèses!$R$14,IF(B127&lt;=Hypothèses!$C$15,Hypothèses!$R$15,IF(B127&lt;=Hypothèses!$C$16,Hypothèses!$R$16,IF(B127&lt;=Hypothèses!$C$17,Hypothèses!$R$17,IF(B127&lt;=Hypothèses!$C$18,Hypothèses!$R$18,D126))))))))))))</f>
        <v>Pressio.</v>
      </c>
      <c r="E127" s="82" t="e">
        <f>IF(B127&lt;=Hypothèses!$C$7,Hypothèses!$G$7,IF(B127&lt;=Hypothèses!$C$8,Hypothèses!$G$8,IF(B127&lt;=Hypothèses!$C$9,Hypothèses!$G$9,IF(B127&lt;=Hypothèses!$C$10,Hypothèses!$G$10,IF(B127&lt;=Hypothèses!$C$11,Hypothèses!$G$11,IF(B127&lt;=Hypothèses!$C$12,Hypothèses!$G$12,IF(B127&lt;=Hypothèses!$C$13,Hypothèses!$G$13,IF(B127&lt;=Hypothèses!$C$14,Hypothèses!$G$14,IF(B127&lt;=Hypothèses!$C$15,Hypothèses!$G$15,IF(B127&lt;=Hypothèses!$C$16,Hypothèses!$G$16,IF(B127&lt;=Hypothèses!$C$17,Hypothèses!$G$17,IF(B127&lt;=Hypothèses!$C$18,Hypothèses!$G$18,E126))))))))))))</f>
        <v>#N/A</v>
      </c>
      <c r="F127" s="82" t="str">
        <f>IF(B127&lt;=Hypothèses!$C$7,Hypothèses!$F$7,IF(B127&lt;=Hypothèses!$C$8,Hypothèses!$F$8,IF(B127&lt;=Hypothèses!$C$9,Hypothèses!$F$9,IF(B127&lt;=Hypothèses!$C$10,Hypothèses!$F$10,IF(B127&lt;=Hypothèses!$C$11,Hypothèses!$F$11,IF(B127&lt;=Hypothèses!$C$12,Hypothèses!$F$12,IF(B127&lt;=Hypothèses!$C$13,Hypothèses!$F$13,IF(B127&lt;=Hypothèses!$C$14,Hypothèses!$F$14,IF(B127&lt;=Hypothèses!$C$15,Hypothèses!$F$15,IF(B127&lt;=Hypothèses!$C$16,Hypothèses!$F$16,IF(B127&lt;=Hypothèses!$C$17,Hypothèses!$F$17,IF(B127&lt;=Hypothèses!$C$18,Hypothèses!$F$18,F126))))))))))))</f>
        <v/>
      </c>
      <c r="G127" s="91">
        <f t="array" ref="G127">INDEX('Coeff EC7'!$U$7:$X$27,
MATCH(Model0.1T!$B$3,'Coeff EC7'!$T$7:$T$27,0),
MATCH(Model0.1T!$D127&amp;Model0.1T!$B$4,
'Coeff EC7'!$U$6:$X$6&amp;
'Coeff EC7'!$U$5:$X$5,0))</f>
        <v>1.4</v>
      </c>
      <c r="H127" s="91">
        <f t="array" ref="H127">INDEX('Coeff EC7'!$Y$7:$AB$27,
MATCH(Model0.1T!$B$3,'Coeff EC7'!$T$7:$T$27,0),
MATCH(Model0.1T!$D127&amp;Model0.1T!$B$4,
'Coeff EC7'!$Y$6:$AB$6&amp;
'Coeff EC7'!$Y$5:$AB$5,0))</f>
        <v>1.7</v>
      </c>
      <c r="I127" s="83">
        <v>0</v>
      </c>
      <c r="J127" s="91" t="e">
        <f t="array" ref="J127">INDEX('Coeff EC7'!$D$33:$Q$33,1,MATCH(D127&amp;E127,'Coeff EC7'!$D$31:$Q$31&amp;'Coeff EC7'!$D$32:$Q$32,0))</f>
        <v>#N/A</v>
      </c>
      <c r="K127" s="91" t="e">
        <f t="array" ref="K127">INDEX('Coeff EC7'!$D$34:$Q$34,1,MATCH(D127&amp;E127,'Coeff EC7'!$D$31:$Q$31&amp;'Coeff EC7'!$D$32:$Q$32,0))</f>
        <v>#N/A</v>
      </c>
      <c r="L127" s="91" t="e">
        <f t="array" ref="L127">INDEX('Coeff EC7'!$D$35:$Q$35,1,MATCH(D127&amp;E127,'Coeff EC7'!$D$31:$Q$31&amp;'Coeff EC7'!$D$32:$Q$32,0))</f>
        <v>#N/A</v>
      </c>
      <c r="M127" s="98" t="e">
        <f t="shared" si="131"/>
        <v>#N/A</v>
      </c>
      <c r="N127" s="99" t="e">
        <f t="array" ref="N127">INDEX('Coeff EC7'!$D$7:$Q$27,MATCH($B$3,'Coeff EC7'!$C$7:$C$27,0),MATCH(D127&amp;E127,'Coeff EC7'!$D$5:$Q$5&amp;'Coeff EC7'!$D$6:$Q$6,0))</f>
        <v>#N/A</v>
      </c>
      <c r="O127" s="99" t="e">
        <f t="array" ref="O127">INDEX('Coeff EC7'!$D$41:$Q$61,MATCH($B$3,'Coeff EC7'!$C$41:$C$61,0),MATCH(D127&amp;E127,'Coeff EC7'!$D$39:$Q$39&amp;'Coeff EC7'!$D$40:$Q$40,0))</f>
        <v>#N/A</v>
      </c>
      <c r="P127" s="30" t="e">
        <f t="shared" si="166"/>
        <v>#N/A</v>
      </c>
      <c r="Q127" s="100" t="e">
        <f t="shared" si="133"/>
        <v>#N/A</v>
      </c>
      <c r="R127" s="86" t="b">
        <f t="shared" si="134"/>
        <v>0</v>
      </c>
      <c r="S127" s="86">
        <f t="shared" si="132"/>
        <v>0.5</v>
      </c>
      <c r="T127" s="86">
        <f t="shared" si="135"/>
        <v>0.5</v>
      </c>
      <c r="U127" s="30" t="e">
        <f t="shared" ca="1" si="167"/>
        <v>#DIV/0!</v>
      </c>
      <c r="V127" s="85" t="str">
        <f>IF(B127&lt;=Hypothèses!$V$7,Hypothèses!$W$7,IF(B127&lt;=Hypothèses!$V$8,Hypothèses!$W$8,IF(B127&lt;=Hypothèses!$V$9,Hypothèses!$W$9,IF(B127&lt;=Hypothèses!$V$10,Hypothèses!$W$10,IF(B127&lt;=Hypothèses!$V$11,Hypothèses!$W$11,IF(B127&lt;=Hypothèses!$V$12,Hypothèses!$W$12,IF(B127&lt;=Hypothèses!$V$13,Hypothèses!$W$13,IF(B127&lt;=Hypothèses!$V$14,Hypothèses!$W$14,IF(B127&lt;=Hypothèses!$V$15,Hypothèses!$W$15,IF(B127&lt;=Hypothèses!$V$16,Hypothèses!$W$16,IF(B127&lt;=Hypothèses!$V$17,Hypothèses!$W$17,IF(B127&lt;=Hypothèses!$V$18,Hypothèses!$W$18,""))))))))))))</f>
        <v/>
      </c>
      <c r="W127" s="87" t="e">
        <f t="shared" ca="1" si="216"/>
        <v>#DIV/0!</v>
      </c>
      <c r="X127" s="88" t="str">
        <f>IF(B127&lt;=Hypothèses!$V$7,Hypothèses!$X$7,IF(B127&lt;=Hypothèses!$V$8,Hypothèses!$X$8,IF(B127&lt;=Hypothèses!$V$9,Hypothèses!$X$9,IF(B127&lt;=Hypothèses!$V$10,Hypothèses!$X$10,IF(B127&lt;=Hypothèses!$V$11,Hypothèses!$X$11,IF(B127&lt;=Hypothèses!$V$12,Hypothèses!$X$12,IF(B127&lt;=Hypothèses!$V$13,Hypothèses!$X$13,IF(B127&lt;=Hypothèses!$V$14,Hypothèses!$X$14,IF(B127&lt;=Hypothèses!$V$15,Hypothèses!$X$15,IF(B127&lt;=Hypothèses!$V$16,Hypothèses!$X$16,IF(B127&lt;=Hypothèses!$U$17,Hypothèses!$W$17,IF(B127&lt;=Hypothèses!$U$18,Hypothèses!$W$18,""))))))))))))</f>
        <v/>
      </c>
      <c r="Y127" s="95" t="e">
        <f t="shared" ca="1" si="136"/>
        <v>#DIV/0!</v>
      </c>
      <c r="Z127" s="101">
        <f t="shared" si="137"/>
        <v>0</v>
      </c>
      <c r="AA127" s="91">
        <f t="shared" si="138"/>
        <v>0</v>
      </c>
      <c r="AB127" s="30" t="e">
        <f t="shared" si="200"/>
        <v>#N/A</v>
      </c>
      <c r="AC127" s="30" t="e">
        <f t="shared" si="201"/>
        <v>#N/A</v>
      </c>
      <c r="AD127" s="31" t="e">
        <f>IF(OR(Hypothèses!$B$4=17,Hypothèses!$B$4=18,Hypothèses!$B$4=19,Hypothèses!$B$4=20),
IF($D127="Pressio.",
IF(OR($E127=3,$E127=1,$E127=4),AC127,AB127),
IF($D127="Pénétro.",
IF(OR($E127=3,$E127=1,$E127=4),AC127,AB127))),IF($D127="Pressio.",
IF($E127=3,AC127,AB127),
IF($D127="Pénétro.",
IF($E127=4,AC127,AB127))))</f>
        <v>#N/A</v>
      </c>
      <c r="AE127" s="31">
        <v>0</v>
      </c>
      <c r="AF127" s="102" t="e">
        <f>IF(NDC!$H$10="Oui",(VLOOKUP($B$3,'Coeff EC7'!$T$39:$X$59,2,0)*AD127+VLOOKUP($B$3,'Coeff EC7'!$T$65:$X$85,2,0)*Model0.1T!AE127)/1.5,PI()*AB$12*$Q127*($B127-$B126)*0.15/10+AF126)</f>
        <v>#N/A</v>
      </c>
      <c r="AG127" s="102" t="e">
        <f>(VLOOKUP($B$3,'Coeff EC7'!$T$39:$X$59,3,0)*AD127+VLOOKUP($B$3,'Coeff EC7'!$T$65:$X$85,3,0)*Model0.1T!AE127)/1.1</f>
        <v>#N/A</v>
      </c>
      <c r="AH127" s="102" t="e">
        <f t="shared" si="168"/>
        <v>#N/A</v>
      </c>
      <c r="AI127" s="102" t="e">
        <f t="shared" si="169"/>
        <v>#N/A</v>
      </c>
      <c r="AJ127" s="414" t="e">
        <f>IF(AND(AF127&gt;NDC!$C$63,AG127&gt;NDC!$C$65,AH127&gt;NDC!$D$73,AI127&gt;NDC!$D$74,$B127&gt;NDC!$H$22-0.1+MIN(3*$AJ$12,1.5)),0,1)</f>
        <v>#N/A</v>
      </c>
      <c r="AK127" s="86" t="b">
        <f t="shared" si="139"/>
        <v>0</v>
      </c>
      <c r="AL127" s="86">
        <f t="shared" si="170"/>
        <v>0.5</v>
      </c>
      <c r="AM127" s="86">
        <f t="shared" si="140"/>
        <v>0.5</v>
      </c>
      <c r="AN127" s="30" t="e">
        <f t="shared" ca="1" si="171"/>
        <v>#DIV/0!</v>
      </c>
      <c r="AO127" s="85" t="e">
        <f ca="1">IF(U127&lt;=Hypothèses!$V$7,Hypothèses!$W$7,IF(U127&lt;=Hypothèses!$V$8,Hypothèses!$W$8,IF(U127&lt;=Hypothèses!$V$9,Hypothèses!$W$9,IF(U127&lt;=Hypothèses!$V$10,Hypothèses!$W$10,IF(U127&lt;=Hypothèses!$V$11,Hypothèses!$W$11,IF(U127&lt;=Hypothèses!$V$12,Hypothèses!$W$12,IF(U127&lt;=Hypothèses!$V$13,Hypothèses!$W$13,IF(U127&lt;=Hypothèses!$V$14,Hypothèses!$W$14,IF(U127&lt;=Hypothèses!$V$15,Hypothèses!$W$15,IF(U127&lt;=Hypothèses!$V$16,Hypothèses!$W$16,IF(U127&lt;=Hypothèses!$V$17,Hypothèses!$W$17,IF(U127&lt;=Hypothèses!$V$18,Hypothèses!$W$18,""))))))))))))</f>
        <v>#DIV/0!</v>
      </c>
      <c r="AP127" s="87" t="e">
        <f t="shared" ca="1" si="217"/>
        <v>#DIV/0!</v>
      </c>
      <c r="AQ127" s="88" t="e">
        <f ca="1">IF(U127&lt;=Hypothèses!$V$7,Hypothèses!$X$7,IF(U127&lt;=Hypothèses!$V$8,Hypothèses!$X$8,IF(U127&lt;=Hypothèses!$V$9,Hypothèses!$X$9,IF(U127&lt;=Hypothèses!$V$10,Hypothèses!$X$10,IF(U127&lt;=Hypothèses!$V$11,Hypothèses!$X$11,IF(U127&lt;=Hypothèses!$V$12,Hypothèses!$X$12,IF(U127&lt;=Hypothèses!$V$13,Hypothèses!$X$13,IF(U127&lt;=Hypothèses!$V$14,Hypothèses!$X$14,IF(U127&lt;=Hypothèses!$V$15,Hypothèses!$X$15,IF(U127&lt;=Hypothèses!$V$16,Hypothèses!$X$16,IF(U127&lt;=Hypothèses!$U$17,Hypothèses!$W$17,IF(U127&lt;=Hypothèses!$U$18,Hypothèses!$W$18,""))))))))))))</f>
        <v>#DIV/0!</v>
      </c>
      <c r="AR127" s="95" t="e">
        <f t="shared" ca="1" si="172"/>
        <v>#DIV/0!</v>
      </c>
      <c r="AS127" s="101">
        <f t="shared" si="224"/>
        <v>0</v>
      </c>
      <c r="AT127" s="91">
        <f t="shared" si="141"/>
        <v>0</v>
      </c>
      <c r="AU127" s="30" t="e">
        <f t="shared" si="202"/>
        <v>#N/A</v>
      </c>
      <c r="AV127" s="30" t="e">
        <f t="shared" si="203"/>
        <v>#N/A</v>
      </c>
      <c r="AW127" s="31" t="e">
        <f>IF(OR(Hypothèses!$B$4=17,Hypothèses!$B$4=18,Hypothèses!$B$4=19,Hypothèses!$B$4=20),
IF($D127="Pressio.",
IF(OR($E127=3,$E127=1,$E127=4),AV127,AU127),
IF($D127="Pénétro.",
IF(OR($E127=3,$E127=1,$E127=4),AV127,AU127))),IF($D127="Pressio.",
IF($E127=3,AV127,AU127),
IF($D127="Pénétro.",
IF($E127=4,AV127,AU127))))</f>
        <v>#N/A</v>
      </c>
      <c r="AX127" s="31">
        <v>0</v>
      </c>
      <c r="AY127" s="102" t="e">
        <f>IF(NDC!$H$10="Oui",(VLOOKUP($B$3,'Coeff EC7'!$T$39:$X$59,2,0)*AW127+VLOOKUP($B$3,'Coeff EC7'!$T$65:$X$85,2,0)*Model0.1T!AX127)/1.5,PI()*AU$12*$Q127*($B127-$B126)*0.15/10+AY126)</f>
        <v>#N/A</v>
      </c>
      <c r="AZ127" s="102" t="e">
        <f>(VLOOKUP($B$3,'Coeff EC7'!$T$39:$X$59,3,0)*AW127+VLOOKUP($B$3,'Coeff EC7'!$T$65:$X$85,3,0)*Model0.1T!AX127)/1.1</f>
        <v>#N/A</v>
      </c>
      <c r="BA127" s="102" t="e">
        <f t="shared" si="173"/>
        <v>#N/A</v>
      </c>
      <c r="BB127" s="102" t="e">
        <f t="shared" si="174"/>
        <v>#N/A</v>
      </c>
      <c r="BC127" s="414" t="e">
        <f>IF(AND(AY127&gt;NDC!$C$63,AZ127&gt;NDC!$C$65,BA127&gt;NDC!$D$73,BB127&gt;NDC!$D$74,$B127&gt;NDC!$H$22-0.1+MIN(3*BC$12,1.5)),0,1)</f>
        <v>#N/A</v>
      </c>
      <c r="BD127" s="86" t="b">
        <f t="shared" si="142"/>
        <v>0</v>
      </c>
      <c r="BE127" s="86">
        <f t="shared" si="175"/>
        <v>0.5</v>
      </c>
      <c r="BF127" s="86">
        <f t="shared" si="143"/>
        <v>0.5</v>
      </c>
      <c r="BG127" s="30" t="e">
        <f t="shared" ca="1" si="176"/>
        <v>#DIV/0!</v>
      </c>
      <c r="BH127" s="85" t="e">
        <f ca="1">IF(AN127&lt;=Hypothèses!$V$7,Hypothèses!$W$7,IF(AN127&lt;=Hypothèses!$V$8,Hypothèses!$W$8,IF(AN127&lt;=Hypothèses!$V$9,Hypothèses!$W$9,IF(AN127&lt;=Hypothèses!$V$10,Hypothèses!$W$10,IF(AN127&lt;=Hypothèses!$V$11,Hypothèses!$W$11,IF(AN127&lt;=Hypothèses!$V$12,Hypothèses!$W$12,IF(AN127&lt;=Hypothèses!$V$13,Hypothèses!$W$13,IF(AN127&lt;=Hypothèses!$V$14,Hypothèses!$W$14,IF(AN127&lt;=Hypothèses!$V$15,Hypothèses!$W$15,IF(AN127&lt;=Hypothèses!$V$16,Hypothèses!$W$16,IF(AN127&lt;=Hypothèses!$V$17,Hypothèses!$W$17,IF(AN127&lt;=Hypothèses!$V$18,Hypothèses!$W$18,""))))))))))))</f>
        <v>#DIV/0!</v>
      </c>
      <c r="BI127" s="87" t="e">
        <f t="shared" ca="1" si="218"/>
        <v>#DIV/0!</v>
      </c>
      <c r="BJ127" s="88" t="e">
        <f ca="1">IF(AN127&lt;=Hypothèses!$V$7,Hypothèses!$X$7,IF(AN127&lt;=Hypothèses!$V$8,Hypothèses!$X$8,IF(AN127&lt;=Hypothèses!$V$9,Hypothèses!$X$9,IF(AN127&lt;=Hypothèses!$V$10,Hypothèses!$X$10,IF(AN127&lt;=Hypothèses!$V$11,Hypothèses!$X$11,IF(AN127&lt;=Hypothèses!$V$12,Hypothèses!$X$12,IF(AN127&lt;=Hypothèses!$V$13,Hypothèses!$X$13,IF(AN127&lt;=Hypothèses!$V$14,Hypothèses!$X$14,IF(AN127&lt;=Hypothèses!$V$15,Hypothèses!$X$15,IF(AN127&lt;=Hypothèses!$V$16,Hypothèses!$X$16,IF(AN127&lt;=Hypothèses!$U$17,Hypothèses!$W$17,IF(AN127&lt;=Hypothèses!$U$18,Hypothèses!$W$18,""))))))))))))</f>
        <v>#DIV/0!</v>
      </c>
      <c r="BK127" s="95" t="e">
        <f t="shared" ca="1" si="177"/>
        <v>#DIV/0!</v>
      </c>
      <c r="BL127" s="101">
        <f t="shared" si="225"/>
        <v>0</v>
      </c>
      <c r="BM127" s="91">
        <f t="shared" si="144"/>
        <v>0</v>
      </c>
      <c r="BN127" s="30" t="e">
        <f t="shared" si="204"/>
        <v>#N/A</v>
      </c>
      <c r="BO127" s="30" t="e">
        <f t="shared" si="205"/>
        <v>#N/A</v>
      </c>
      <c r="BP127" s="31" t="e">
        <f>IF(OR(Hypothèses!$B$4=17,Hypothèses!$B$4=18,Hypothèses!$B$4=19,Hypothèses!$B$4=20),
IF($D127="Pressio.",
IF(OR($E127=3,$E127=1,$E127=4),BO127,BN127),
IF($D127="Pénétro.",
IF(OR($E127=3,$E127=1,$E127=4),BO127,BN127))),IF($D127="Pressio.",
IF($E127=3,BO127,BN127),
IF($D127="Pénétro.",
IF($E127=4,BO127,BN127))))</f>
        <v>#N/A</v>
      </c>
      <c r="BQ127" s="31">
        <v>0</v>
      </c>
      <c r="BR127" s="102" t="e">
        <f>IF(NDC!$H$10="Oui",(VLOOKUP($B$3,'Coeff EC7'!$T$39:$X$59,2,0)*BP127+VLOOKUP($B$3,'Coeff EC7'!$T$65:$X$85,2,0)*Model0.1T!BQ127)/1.5,PI()*BN$12*$Q127*($B127-$B126)*0.15/10+BR126)</f>
        <v>#N/A</v>
      </c>
      <c r="BS127" s="102" t="e">
        <f>(VLOOKUP($B$3,'Coeff EC7'!$T$39:$X$59,3,0)*BP127+VLOOKUP($B$3,'Coeff EC7'!$T$65:$X$85,3,0)*Model0.1T!BQ127)/1.1</f>
        <v>#N/A</v>
      </c>
      <c r="BT127" s="102" t="e">
        <f t="shared" si="178"/>
        <v>#N/A</v>
      </c>
      <c r="BU127" s="102" t="e">
        <f t="shared" si="179"/>
        <v>#N/A</v>
      </c>
      <c r="BV127" s="414" t="e">
        <f>IF(AND(BR127&gt;NDC!$C$63,BS127&gt;NDC!$C$65,BT127&gt;NDC!$D$73,BU127&gt;NDC!$D$74,$B127&gt;NDC!$H$22-0.1+MIN(3*BV$12,1.5)),0,1)</f>
        <v>#N/A</v>
      </c>
      <c r="BW127" s="86" t="b">
        <f t="shared" si="145"/>
        <v>0</v>
      </c>
      <c r="BX127" s="86">
        <f t="shared" si="146"/>
        <v>0.5</v>
      </c>
      <c r="BY127" s="86">
        <f t="shared" si="147"/>
        <v>0.5</v>
      </c>
      <c r="BZ127" s="30" t="e">
        <f t="shared" ca="1" si="180"/>
        <v>#DIV/0!</v>
      </c>
      <c r="CA127" s="85" t="e">
        <f ca="1">IF(BG127&lt;=Hypothèses!$V$7,Hypothèses!$W$7,IF(BG127&lt;=Hypothèses!$V$8,Hypothèses!$W$8,IF(BG127&lt;=Hypothèses!$V$9,Hypothèses!$W$9,IF(BG127&lt;=Hypothèses!$V$10,Hypothèses!$W$10,IF(BG127&lt;=Hypothèses!$V$11,Hypothèses!$W$11,IF(BG127&lt;=Hypothèses!$V$12,Hypothèses!$W$12,IF(BG127&lt;=Hypothèses!$V$13,Hypothèses!$W$13,IF(BG127&lt;=Hypothèses!$V$14,Hypothèses!$W$14,IF(BG127&lt;=Hypothèses!$V$15,Hypothèses!$W$15,IF(BG127&lt;=Hypothèses!$V$16,Hypothèses!$W$16,IF(BG127&lt;=Hypothèses!$V$17,Hypothèses!$W$17,IF(BG127&lt;=Hypothèses!$V$18,Hypothèses!$W$18,""))))))))))))</f>
        <v>#DIV/0!</v>
      </c>
      <c r="CB127" s="87" t="e">
        <f t="shared" ca="1" si="219"/>
        <v>#DIV/0!</v>
      </c>
      <c r="CC127" s="88" t="e">
        <f ca="1">IF(BG127&lt;=Hypothèses!$V$7,Hypothèses!$X$7,IF(BG127&lt;=Hypothèses!$V$8,Hypothèses!$X$8,IF(BG127&lt;=Hypothèses!$V$9,Hypothèses!$X$9,IF(BG127&lt;=Hypothèses!$V$10,Hypothèses!$X$10,IF(BG127&lt;=Hypothèses!$V$11,Hypothèses!$X$11,IF(BG127&lt;=Hypothèses!$V$12,Hypothèses!$X$12,IF(BG127&lt;=Hypothèses!$V$13,Hypothèses!$X$13,IF(BG127&lt;=Hypothèses!$V$14,Hypothèses!$X$14,IF(BG127&lt;=Hypothèses!$V$15,Hypothèses!$X$15,IF(BG127&lt;=Hypothèses!$V$16,Hypothèses!$X$16,IF(BG127&lt;=Hypothèses!$U$17,Hypothèses!$W$17,IF(BG127&lt;=Hypothèses!$U$18,Hypothèses!$W$18,""))))))))))))</f>
        <v>#DIV/0!</v>
      </c>
      <c r="CD127" s="95" t="e">
        <f t="shared" ca="1" si="181"/>
        <v>#DIV/0!</v>
      </c>
      <c r="CE127" s="101">
        <f t="shared" si="226"/>
        <v>0</v>
      </c>
      <c r="CF127" s="91">
        <f t="shared" si="148"/>
        <v>0</v>
      </c>
      <c r="CG127" s="30" t="e">
        <f t="shared" si="206"/>
        <v>#N/A</v>
      </c>
      <c r="CH127" s="30" t="e">
        <f t="shared" si="207"/>
        <v>#N/A</v>
      </c>
      <c r="CI127" s="31" t="e">
        <f>IF(OR(Hypothèses!$B$4=17,Hypothèses!$B$4=18,Hypothèses!$B$4=19,Hypothèses!$B$4=20),
IF($D127="Pressio.",
IF(OR($E127=3,$E127=1,$E127=4),CH127,CG127),
IF($D127="Pénétro.",
IF(OR($E127=3,$E127=1,$E127=4),CH127,CG127))),IF($D127="Pressio.",
IF($E127=3,CH127,CG127),
IF($D127="Pénétro.",
IF($E127=4,CH127,CG127))))</f>
        <v>#N/A</v>
      </c>
      <c r="CJ127" s="31">
        <v>0</v>
      </c>
      <c r="CK127" s="102" t="e">
        <f>IF(NDC!$H$10="Oui",(VLOOKUP($B$3,'Coeff EC7'!$T$39:$X$59,2,0)*CI127+VLOOKUP($B$3,'Coeff EC7'!$T$65:$X$85,2,0)*Model0.1T!CJ127)/1.5,PI()*CG$12*$Q127*($B127-$B126)*0.15/10+CK126)</f>
        <v>#N/A</v>
      </c>
      <c r="CL127" s="102" t="e">
        <f>(VLOOKUP($B$3,'Coeff EC7'!$T$39:$X$59,3,0)*CI127+VLOOKUP($B$3,'Coeff EC7'!$T$65:$X$85,3,0)*Model0.1T!CJ127)/1.1</f>
        <v>#N/A</v>
      </c>
      <c r="CM127" s="102" t="e">
        <f t="shared" si="182"/>
        <v>#N/A</v>
      </c>
      <c r="CN127" s="102" t="e">
        <f t="shared" si="183"/>
        <v>#N/A</v>
      </c>
      <c r="CO127" s="414" t="e">
        <f>IF(AND(CK127&gt;NDC!$C$63,CL127&gt;NDC!$C$65,CM127&gt;NDC!$D$73,CN127&gt;NDC!$D$74,$B127&gt;NDC!$H$22-0.1+MIN(3*CO$12,1.5)),0,1)</f>
        <v>#N/A</v>
      </c>
      <c r="CP127" s="86" t="b">
        <f t="shared" si="149"/>
        <v>0</v>
      </c>
      <c r="CQ127" s="86">
        <f t="shared" si="150"/>
        <v>0.5</v>
      </c>
      <c r="CR127" s="86">
        <f t="shared" si="151"/>
        <v>0.5</v>
      </c>
      <c r="CS127" s="30" t="e">
        <f t="shared" ca="1" si="184"/>
        <v>#DIV/0!</v>
      </c>
      <c r="CT127" s="85" t="e">
        <f ca="1">IF(BZ127&lt;=Hypothèses!$V$7,Hypothèses!$W$7,IF(BZ127&lt;=Hypothèses!$V$8,Hypothèses!$W$8,IF(BZ127&lt;=Hypothèses!$V$9,Hypothèses!$W$9,IF(BZ127&lt;=Hypothèses!$V$10,Hypothèses!$W$10,IF(BZ127&lt;=Hypothèses!$V$11,Hypothèses!$W$11,IF(BZ127&lt;=Hypothèses!$V$12,Hypothèses!$W$12,IF(BZ127&lt;=Hypothèses!$V$13,Hypothèses!$W$13,IF(BZ127&lt;=Hypothèses!$V$14,Hypothèses!$W$14,IF(BZ127&lt;=Hypothèses!$V$15,Hypothèses!$W$15,IF(BZ127&lt;=Hypothèses!$V$16,Hypothèses!$W$16,IF(BZ127&lt;=Hypothèses!$V$17,Hypothèses!$W$17,IF(BZ127&lt;=Hypothèses!$V$18,Hypothèses!$W$18,""))))))))))))</f>
        <v>#DIV/0!</v>
      </c>
      <c r="CU127" s="87" t="e">
        <f t="shared" ca="1" si="220"/>
        <v>#DIV/0!</v>
      </c>
      <c r="CV127" s="88" t="e">
        <f ca="1">IF(BZ127&lt;=Hypothèses!$V$7,Hypothèses!$X$7,IF(BZ127&lt;=Hypothèses!$V$8,Hypothèses!$X$8,IF(BZ127&lt;=Hypothèses!$V$9,Hypothèses!$X$9,IF(BZ127&lt;=Hypothèses!$V$10,Hypothèses!$X$10,IF(BZ127&lt;=Hypothèses!$V$11,Hypothèses!$X$11,IF(BZ127&lt;=Hypothèses!$V$12,Hypothèses!$X$12,IF(BZ127&lt;=Hypothèses!$V$13,Hypothèses!$X$13,IF(BZ127&lt;=Hypothèses!$V$14,Hypothèses!$X$14,IF(BZ127&lt;=Hypothèses!$V$15,Hypothèses!$X$15,IF(BZ127&lt;=Hypothèses!$V$16,Hypothèses!$X$16,IF(BZ127&lt;=Hypothèses!$U$17,Hypothèses!$W$17,IF(BZ127&lt;=Hypothèses!$U$18,Hypothèses!$W$18,""))))))))))))</f>
        <v>#DIV/0!</v>
      </c>
      <c r="CW127" s="95" t="e">
        <f t="shared" ca="1" si="185"/>
        <v>#DIV/0!</v>
      </c>
      <c r="CX127" s="101">
        <f t="shared" si="227"/>
        <v>0</v>
      </c>
      <c r="CY127" s="91">
        <f t="shared" si="152"/>
        <v>0</v>
      </c>
      <c r="CZ127" s="30" t="e">
        <f t="shared" si="208"/>
        <v>#N/A</v>
      </c>
      <c r="DA127" s="30" t="e">
        <f t="shared" si="209"/>
        <v>#N/A</v>
      </c>
      <c r="DB127" s="31" t="e">
        <f>IF(OR(Hypothèses!$B$4=17,Hypothèses!$B$4=18,Hypothèses!$B$4=19,Hypothèses!$B$4=20),
IF($D127="Pressio.",
IF(OR($E127=3,$E127=1,$E127=4),DA127,CZ127),
IF($D127="Pénétro.",
IF(OR($E127=3,$E127=1,$E127=4),DA127,CZ127))),IF($D127="Pressio.",
IF($E127=3,DA127,CZ127),
IF($D127="Pénétro.",
IF($E127=4,DA127,CZ127))))</f>
        <v>#N/A</v>
      </c>
      <c r="DC127" s="31">
        <v>0</v>
      </c>
      <c r="DD127" s="102" t="e">
        <f>IF(NDC!$H$10="Oui",(VLOOKUP($B$3,'Coeff EC7'!$T$39:$X$59,2,0)*DB127+VLOOKUP($B$3,'Coeff EC7'!$T$65:$X$85,2,0)*Model0.1T!DC127)/1.5,PI()*CZ$12*$Q127*($B127-$B126)*0.15/10+DD126)</f>
        <v>#N/A</v>
      </c>
      <c r="DE127" s="102" t="e">
        <f>(VLOOKUP($B$3,'Coeff EC7'!$T$39:$X$59,3,0)*DB127+VLOOKUP($B$3,'Coeff EC7'!$T$65:$X$85,3,0)*Model0.1T!DC127)/1.1</f>
        <v>#N/A</v>
      </c>
      <c r="DF127" s="102" t="e">
        <f t="shared" si="186"/>
        <v>#N/A</v>
      </c>
      <c r="DG127" s="102" t="e">
        <f t="shared" si="187"/>
        <v>#N/A</v>
      </c>
      <c r="DH127" s="414" t="e">
        <f>IF(AND(DD127&gt;NDC!$C$63,DE127&gt;NDC!$C$65,DF127&gt;NDC!$D$73,DG127&gt;NDC!$D$74,$B127&gt;NDC!$H$22-0.1+MIN(3*DH$12,1.5)),0,1)</f>
        <v>#N/A</v>
      </c>
      <c r="DI127" s="86" t="b">
        <f t="shared" si="153"/>
        <v>0</v>
      </c>
      <c r="DJ127" s="86">
        <f t="shared" si="154"/>
        <v>0.5</v>
      </c>
      <c r="DK127" s="86">
        <f t="shared" si="155"/>
        <v>0.5</v>
      </c>
      <c r="DL127" s="30" t="e">
        <f t="shared" ca="1" si="188"/>
        <v>#DIV/0!</v>
      </c>
      <c r="DM127" s="85" t="e">
        <f ca="1">IF(CS127&lt;=Hypothèses!$V$7,Hypothèses!$W$7,IF(CS127&lt;=Hypothèses!$V$8,Hypothèses!$W$8,IF(CS127&lt;=Hypothèses!$V$9,Hypothèses!$W$9,IF(CS127&lt;=Hypothèses!$V$10,Hypothèses!$W$10,IF(CS127&lt;=Hypothèses!$V$11,Hypothèses!$W$11,IF(CS127&lt;=Hypothèses!$V$12,Hypothèses!$W$12,IF(CS127&lt;=Hypothèses!$V$13,Hypothèses!$W$13,IF(CS127&lt;=Hypothèses!$V$14,Hypothèses!$W$14,IF(CS127&lt;=Hypothèses!$V$15,Hypothèses!$W$15,IF(CS127&lt;=Hypothèses!$V$16,Hypothèses!$W$16,IF(CS127&lt;=Hypothèses!$V$17,Hypothèses!$W$17,IF(CS127&lt;=Hypothèses!$V$18,Hypothèses!$W$18,""))))))))))))</f>
        <v>#DIV/0!</v>
      </c>
      <c r="DN127" s="87" t="e">
        <f t="shared" ca="1" si="221"/>
        <v>#DIV/0!</v>
      </c>
      <c r="DO127" s="88" t="e">
        <f ca="1">IF(CS127&lt;=Hypothèses!$V$7,Hypothèses!$X$7,IF(CS127&lt;=Hypothèses!$V$8,Hypothèses!$X$8,IF(CS127&lt;=Hypothèses!$V$9,Hypothèses!$X$9,IF(CS127&lt;=Hypothèses!$V$10,Hypothèses!$X$10,IF(CS127&lt;=Hypothèses!$V$11,Hypothèses!$X$11,IF(CS127&lt;=Hypothèses!$V$12,Hypothèses!$X$12,IF(CS127&lt;=Hypothèses!$V$13,Hypothèses!$X$13,IF(CS127&lt;=Hypothèses!$V$14,Hypothèses!$X$14,IF(CS127&lt;=Hypothèses!$V$15,Hypothèses!$X$15,IF(CS127&lt;=Hypothèses!$V$16,Hypothèses!$X$16,IF(CS127&lt;=Hypothèses!$U$17,Hypothèses!$W$17,IF(CS127&lt;=Hypothèses!$U$18,Hypothèses!$W$18,""))))))))))))</f>
        <v>#DIV/0!</v>
      </c>
      <c r="DP127" s="95" t="e">
        <f t="shared" ca="1" si="189"/>
        <v>#DIV/0!</v>
      </c>
      <c r="DQ127" s="101">
        <f t="shared" si="228"/>
        <v>0</v>
      </c>
      <c r="DR127" s="91">
        <f t="shared" si="156"/>
        <v>0</v>
      </c>
      <c r="DS127" s="30" t="e">
        <f t="shared" si="210"/>
        <v>#N/A</v>
      </c>
      <c r="DT127" s="30" t="e">
        <f t="shared" si="211"/>
        <v>#N/A</v>
      </c>
      <c r="DU127" s="31" t="e">
        <f>IF(OR(Hypothèses!$B$4=17,Hypothèses!$B$4=18,Hypothèses!$B$4=19,Hypothèses!$B$4=20),
IF($D127="Pressio.",
IF(OR($E127=3,$E127=1,$E127=4),DT127,DS127),
IF($D127="Pénétro.",
IF(OR($E127=3,$E127=1,$E127=4),DT127,DS127))),IF($D127="Pressio.",
IF($E127=3,DT127,DS127),
IF($D127="Pénétro.",
IF($E127=4,DT127,DS127))))</f>
        <v>#N/A</v>
      </c>
      <c r="DV127" s="31">
        <v>0</v>
      </c>
      <c r="DW127" s="102" t="e">
        <f>IF(NDC!$H$10="Oui",(VLOOKUP($B$3,'Coeff EC7'!$T$39:$X$59,2,0)*DU127+VLOOKUP($B$3,'Coeff EC7'!$T$65:$X$85,2,0)*Model0.1T!DV127)/1.5,PI()*DS$12*$Q127*($B127-$B126)*0.15/10+DW126)</f>
        <v>#N/A</v>
      </c>
      <c r="DX127" s="102" t="e">
        <f>(VLOOKUP($B$3,'Coeff EC7'!$T$39:$X$59,3,0)*DU127+VLOOKUP($B$3,'Coeff EC7'!$T$65:$X$85,3,0)*Model0.1T!DV127)/1.1</f>
        <v>#N/A</v>
      </c>
      <c r="DY127" s="102" t="e">
        <f t="shared" si="190"/>
        <v>#N/A</v>
      </c>
      <c r="DZ127" s="102" t="e">
        <f t="shared" si="191"/>
        <v>#N/A</v>
      </c>
      <c r="EA127" s="414" t="e">
        <f>IF(AND(DW127&gt;NDC!$C$63,DX127&gt;NDC!$C$65,DY127&gt;NDC!$D$73,DZ127&gt;NDC!$D$74,$B127&gt;NDC!$H$22-0.1+MIN(3*EA$12,1.5)),0,1)</f>
        <v>#N/A</v>
      </c>
      <c r="EB127" s="86" t="b">
        <f t="shared" si="157"/>
        <v>0</v>
      </c>
      <c r="EC127" s="418">
        <f t="shared" si="158"/>
        <v>0.51</v>
      </c>
      <c r="ED127" s="86">
        <f t="shared" si="159"/>
        <v>0.51</v>
      </c>
      <c r="EE127" s="30" t="e">
        <f t="shared" ca="1" si="192"/>
        <v>#DIV/0!</v>
      </c>
      <c r="EF127" s="85" t="e">
        <f ca="1">IF(DL127&lt;=Hypothèses!$V$7,Hypothèses!$W$7,IF(DL127&lt;=Hypothèses!$V$8,Hypothèses!$W$8,IF(DL127&lt;=Hypothèses!$V$9,Hypothèses!$W$9,IF(DL127&lt;=Hypothèses!$V$10,Hypothèses!$W$10,IF(DL127&lt;=Hypothèses!$V$11,Hypothèses!$W$11,IF(DL127&lt;=Hypothèses!$V$12,Hypothèses!$W$12,IF(DL127&lt;=Hypothèses!$V$13,Hypothèses!$W$13,IF(DL127&lt;=Hypothèses!$V$14,Hypothèses!$W$14,IF(DL127&lt;=Hypothèses!$V$15,Hypothèses!$W$15,IF(DL127&lt;=Hypothèses!$V$16,Hypothèses!$W$16,IF(DL127&lt;=Hypothèses!$V$17,Hypothèses!$W$17,IF(DL127&lt;=Hypothèses!$V$18,Hypothèses!$W$18,""))))))))))))</f>
        <v>#DIV/0!</v>
      </c>
      <c r="EG127" s="87" t="e">
        <f t="shared" ca="1" si="222"/>
        <v>#DIV/0!</v>
      </c>
      <c r="EH127" s="88" t="e">
        <f ca="1">IF(DL127&lt;=Hypothèses!$V$7,Hypothèses!$X$7,IF(DL127&lt;=Hypothèses!$V$8,Hypothèses!$X$8,IF(DL127&lt;=Hypothèses!$V$9,Hypothèses!$X$9,IF(DL127&lt;=Hypothèses!$V$10,Hypothèses!$X$10,IF(DL127&lt;=Hypothèses!$V$11,Hypothèses!$X$11,IF(DL127&lt;=Hypothèses!$V$12,Hypothèses!$X$12,IF(DL127&lt;=Hypothèses!$V$13,Hypothèses!$X$13,IF(DL127&lt;=Hypothèses!$V$14,Hypothèses!$X$14,IF(DL127&lt;=Hypothèses!$V$15,Hypothèses!$X$15,IF(DL127&lt;=Hypothèses!$V$16,Hypothèses!$X$16,IF(DL127&lt;=Hypothèses!$U$17,Hypothèses!$W$17,IF(DL127&lt;=Hypothèses!$U$18,Hypothèses!$W$18,""))))))))))))</f>
        <v>#DIV/0!</v>
      </c>
      <c r="EI127" s="95" t="e">
        <f t="shared" ca="1" si="193"/>
        <v>#DIV/0!</v>
      </c>
      <c r="EJ127" s="101">
        <f t="shared" si="229"/>
        <v>0</v>
      </c>
      <c r="EK127" s="91">
        <f t="shared" si="160"/>
        <v>0</v>
      </c>
      <c r="EL127" s="30" t="e">
        <f t="shared" si="212"/>
        <v>#N/A</v>
      </c>
      <c r="EM127" s="30" t="e">
        <f t="shared" si="213"/>
        <v>#N/A</v>
      </c>
      <c r="EN127" s="31" t="e">
        <f>IF(OR(Hypothèses!$B$4=17,Hypothèses!$B$4=18,Hypothèses!$B$4=19,Hypothèses!$B$4=20),
IF($D127="Pressio.",
IF(OR($E127=3,$E127=1,$E127=4),EM127,EL127),
IF($D127="Pénétro.",
IF(OR($E127=3,$E127=1,$E127=4),EM127,EL127))),IF($D127="Pressio.",
IF($E127=3,EM127,EL127),
IF($D127="Pénétro.",
IF($E127=4,EM127,EL127))))</f>
        <v>#N/A</v>
      </c>
      <c r="EO127" s="31">
        <v>0</v>
      </c>
      <c r="EP127" s="102" t="e">
        <f>IF(NDC!$H$10="Oui",(VLOOKUP($B$3,'Coeff EC7'!$T$39:$X$59,2,0)*EN127+VLOOKUP($B$3,'Coeff EC7'!$T$65:$X$85,2,0)*Model0.1T!EO127)/1.5,PI()*EL$12*$Q127*($B127-$B126)*0.15/10+EP126)</f>
        <v>#N/A</v>
      </c>
      <c r="EQ127" s="102" t="e">
        <f>(VLOOKUP($B$3,'Coeff EC7'!$T$39:$X$59,3,0)*EN127+VLOOKUP($B$3,'Coeff EC7'!$T$65:$X$85,3,0)*Model0.1T!EO127)/1.1</f>
        <v>#N/A</v>
      </c>
      <c r="ER127" s="102" t="e">
        <f t="shared" si="194"/>
        <v>#N/A</v>
      </c>
      <c r="ES127" s="102" t="e">
        <f t="shared" si="195"/>
        <v>#N/A</v>
      </c>
      <c r="ET127" s="414" t="e">
        <f>IF(AND(EP127&gt;NDC!$C$63,EQ127&gt;NDC!$C$65,ER127&gt;NDC!$D$73,ES127&gt;NDC!$D$74,$B127&gt;NDC!$H$22-0.1+MIN(3*ET$12,1.5)),0,1)</f>
        <v>#N/A</v>
      </c>
      <c r="EU127" s="86" t="b">
        <f t="shared" si="161"/>
        <v>0</v>
      </c>
      <c r="EV127" s="86">
        <f t="shared" si="162"/>
        <v>0.61</v>
      </c>
      <c r="EW127" s="86">
        <f t="shared" si="163"/>
        <v>0.61</v>
      </c>
      <c r="EX127" s="30" t="e">
        <f t="shared" ca="1" si="196"/>
        <v>#DIV/0!</v>
      </c>
      <c r="EY127" s="85" t="e">
        <f ca="1">IF(EE127&lt;=Hypothèses!$V$7,Hypothèses!$W$7,IF(EE127&lt;=Hypothèses!$V$8,Hypothèses!$W$8,IF(EE127&lt;=Hypothèses!$V$9,Hypothèses!$W$9,IF(EE127&lt;=Hypothèses!$V$10,Hypothèses!$W$10,IF(EE127&lt;=Hypothèses!$V$11,Hypothèses!$W$11,IF(EE127&lt;=Hypothèses!$V$12,Hypothèses!$W$12,IF(EE127&lt;=Hypothèses!$V$13,Hypothèses!$W$13,IF(EE127&lt;=Hypothèses!$V$14,Hypothèses!$W$14,IF(EE127&lt;=Hypothèses!$V$15,Hypothèses!$W$15,IF(EE127&lt;=Hypothèses!$V$16,Hypothèses!$W$16,IF(EE127&lt;=Hypothèses!$V$17,Hypothèses!$W$17,IF(EE127&lt;=Hypothèses!$V$18,Hypothèses!$W$18,""))))))))))))</f>
        <v>#DIV/0!</v>
      </c>
      <c r="EZ127" s="87" t="e">
        <f t="shared" ca="1" si="223"/>
        <v>#DIV/0!</v>
      </c>
      <c r="FA127" s="88" t="e">
        <f ca="1">IF(EE127&lt;=Hypothèses!$V$7,Hypothèses!$X$7,IF(EE127&lt;=Hypothèses!$V$8,Hypothèses!$X$8,IF(EE127&lt;=Hypothèses!$V$9,Hypothèses!$X$9,IF(EE127&lt;=Hypothèses!$V$10,Hypothèses!$X$10,IF(EE127&lt;=Hypothèses!$V$11,Hypothèses!$X$11,IF(EE127&lt;=Hypothèses!$V$12,Hypothèses!$X$12,IF(EE127&lt;=Hypothèses!$V$13,Hypothèses!$X$13,IF(EE127&lt;=Hypothèses!$V$14,Hypothèses!$X$14,IF(EE127&lt;=Hypothèses!$V$15,Hypothèses!$X$15,IF(EE127&lt;=Hypothèses!$V$16,Hypothèses!$X$16,IF(EE127&lt;=Hypothèses!$U$17,Hypothèses!$W$17,IF(EE127&lt;=Hypothèses!$U$18,Hypothèses!$W$18,""))))))))))))</f>
        <v>#DIV/0!</v>
      </c>
      <c r="FB127" s="95" t="e">
        <f t="shared" ca="1" si="197"/>
        <v>#DIV/0!</v>
      </c>
      <c r="FC127" s="101">
        <f t="shared" si="230"/>
        <v>0</v>
      </c>
      <c r="FD127" s="91">
        <f t="shared" si="164"/>
        <v>0</v>
      </c>
      <c r="FE127" s="30" t="e">
        <f t="shared" si="214"/>
        <v>#N/A</v>
      </c>
      <c r="FF127" s="30" t="e">
        <f t="shared" si="215"/>
        <v>#N/A</v>
      </c>
      <c r="FG127" s="31" t="e">
        <f>IF(OR(Hypothèses!$B$4=17,Hypothèses!$B$4=18,Hypothèses!$B$4=19,Hypothèses!$B$4=20),
IF($D127="Pressio.",
IF(OR($E127=3,$E127=1,$E127=4),FF127,FE127),
IF($D127="Pénétro.",
IF(OR($E127=3,$E127=1,$E127=4),FF127,FE127))),IF($D127="Pressio.",
IF($E127=3,FF127,FE127),
IF($D127="Pénétro.",
IF($E127=4,FF127,FE127))))</f>
        <v>#N/A</v>
      </c>
      <c r="FH127" s="31">
        <v>0</v>
      </c>
      <c r="FI127" s="102" t="e">
        <f>IF(NDC!$H$10="Oui",(VLOOKUP($B$3,'Coeff EC7'!$T$39:$X$59,2,0)*FG127+VLOOKUP($B$3,'Coeff EC7'!$T$65:$X$85,2,0)*Model0.1T!FH127)/1.5,PI()*FE$12*$Q127*($B127-$B126)*0.15/10+FI126)</f>
        <v>#N/A</v>
      </c>
      <c r="FJ127" s="102" t="e">
        <f>(VLOOKUP($B$3,'Coeff EC7'!$T$39:$X$59,3,0)*FG127+VLOOKUP($B$3,'Coeff EC7'!$T$65:$X$85,3,0)*Model0.1T!FH127)/1.1</f>
        <v>#N/A</v>
      </c>
      <c r="FK127" s="102" t="e">
        <f t="shared" si="198"/>
        <v>#N/A</v>
      </c>
      <c r="FL127" s="102" t="e">
        <f t="shared" si="199"/>
        <v>#N/A</v>
      </c>
      <c r="FM127" s="414" t="e">
        <f>IF(AND(FI127&gt;NDC!$C$63,FJ127&gt;NDC!$C$65,FK127&gt;NDC!$D$73,FL127&gt;NDC!$D$74,$B127&gt;NDC!$H$22-0.1+MIN(3*FM$12,1.5)),0,1)</f>
        <v>#N/A</v>
      </c>
    </row>
    <row r="128" spans="1:169">
      <c r="A128" s="96">
        <f t="shared" si="165"/>
        <v>88.500000000000654</v>
      </c>
      <c r="B128" s="97">
        <v>11.5</v>
      </c>
      <c r="C128" s="81">
        <f>IF(B128&lt;=Hypothèses!$C$7,Hypothèses!$A$7,IF(B128&lt;=Hypothèses!$C$8,Hypothèses!$A$8,IF(B128&lt;=Hypothèses!$C$9,Hypothèses!$A$9,IF(B128&lt;=Hypothèses!$C$10,Hypothèses!$A$10,IF(B128&lt;=Hypothèses!$C$11,Hypothèses!$A$11,IF(B128&lt;=Hypothèses!$C$12,Hypothèses!$A$12,IF(B128&lt;=Hypothèses!$C$13,Hypothèses!$A$13,IF(B128&lt;=Hypothèses!$C$14,Hypothèses!$A$14,IF(B128&lt;=Hypothèses!$C$15,Hypothèses!$A$15,IF(B128&lt;=Hypothèses!$C$16,Hypothèses!$A$16,IF(B128&lt;=Hypothèses!$C$17,Hypothèses!$A$17,IF(B128&lt;=Hypothèses!$C$18,Hypothèses!$A$18,C127))))))))))))</f>
        <v>11</v>
      </c>
      <c r="D128" s="82" t="str">
        <f>IF(B128&lt;=Hypothèses!$C$7,Hypothèses!$R$7,IF(B128&lt;=Hypothèses!$C$8,Hypothèses!$R$8,IF(B128&lt;=Hypothèses!$C$9,Hypothèses!$R$9,IF(B128&lt;=Hypothèses!$C$10,Hypothèses!$R$10,IF(B128&lt;=Hypothèses!$C$11,Hypothèses!$R$11,IF(B128&lt;=Hypothèses!$C$12,Hypothèses!$R$12,IF(B128&lt;=Hypothèses!$C$13,Hypothèses!$R$13,IF(B128&lt;=Hypothèses!$C$14,Hypothèses!$R$14,IF(B128&lt;=Hypothèses!$C$15,Hypothèses!$R$15,IF(B128&lt;=Hypothèses!$C$16,Hypothèses!$R$16,IF(B128&lt;=Hypothèses!$C$17,Hypothèses!$R$17,IF(B128&lt;=Hypothèses!$C$18,Hypothèses!$R$18,D127))))))))))))</f>
        <v>Pressio.</v>
      </c>
      <c r="E128" s="82" t="e">
        <f>IF(B128&lt;=Hypothèses!$C$7,Hypothèses!$G$7,IF(B128&lt;=Hypothèses!$C$8,Hypothèses!$G$8,IF(B128&lt;=Hypothèses!$C$9,Hypothèses!$G$9,IF(B128&lt;=Hypothèses!$C$10,Hypothèses!$G$10,IF(B128&lt;=Hypothèses!$C$11,Hypothèses!$G$11,IF(B128&lt;=Hypothèses!$C$12,Hypothèses!$G$12,IF(B128&lt;=Hypothèses!$C$13,Hypothèses!$G$13,IF(B128&lt;=Hypothèses!$C$14,Hypothèses!$G$14,IF(B128&lt;=Hypothèses!$C$15,Hypothèses!$G$15,IF(B128&lt;=Hypothèses!$C$16,Hypothèses!$G$16,IF(B128&lt;=Hypothèses!$C$17,Hypothèses!$G$17,IF(B128&lt;=Hypothèses!$C$18,Hypothèses!$G$18,E127))))))))))))</f>
        <v>#N/A</v>
      </c>
      <c r="F128" s="82" t="str">
        <f>IF(B128&lt;=Hypothèses!$C$7,Hypothèses!$F$7,IF(B128&lt;=Hypothèses!$C$8,Hypothèses!$F$8,IF(B128&lt;=Hypothèses!$C$9,Hypothèses!$F$9,IF(B128&lt;=Hypothèses!$C$10,Hypothèses!$F$10,IF(B128&lt;=Hypothèses!$C$11,Hypothèses!$F$11,IF(B128&lt;=Hypothèses!$C$12,Hypothèses!$F$12,IF(B128&lt;=Hypothèses!$C$13,Hypothèses!$F$13,IF(B128&lt;=Hypothèses!$C$14,Hypothèses!$F$14,IF(B128&lt;=Hypothèses!$C$15,Hypothèses!$F$15,IF(B128&lt;=Hypothèses!$C$16,Hypothèses!$F$16,IF(B128&lt;=Hypothèses!$C$17,Hypothèses!$F$17,IF(B128&lt;=Hypothèses!$C$18,Hypothèses!$F$18,F127))))))))))))</f>
        <v/>
      </c>
      <c r="G128" s="91">
        <f t="array" ref="G128">INDEX('Coeff EC7'!$U$7:$X$27,
MATCH(Model0.1T!$B$3,'Coeff EC7'!$T$7:$T$27,0),
MATCH(Model0.1T!$D128&amp;Model0.1T!$B$4,
'Coeff EC7'!$U$6:$X$6&amp;
'Coeff EC7'!$U$5:$X$5,0))</f>
        <v>1.4</v>
      </c>
      <c r="H128" s="91">
        <f t="array" ref="H128">INDEX('Coeff EC7'!$Y$7:$AB$27,
MATCH(Model0.1T!$B$3,'Coeff EC7'!$T$7:$T$27,0),
MATCH(Model0.1T!$D128&amp;Model0.1T!$B$4,
'Coeff EC7'!$Y$6:$AB$6&amp;
'Coeff EC7'!$Y$5:$AB$5,0))</f>
        <v>1.7</v>
      </c>
      <c r="I128" s="83">
        <v>0</v>
      </c>
      <c r="J128" s="91" t="e">
        <f t="array" ref="J128">INDEX('Coeff EC7'!$D$33:$Q$33,1,MATCH(D128&amp;E128,'Coeff EC7'!$D$31:$Q$31&amp;'Coeff EC7'!$D$32:$Q$32,0))</f>
        <v>#N/A</v>
      </c>
      <c r="K128" s="91" t="e">
        <f t="array" ref="K128">INDEX('Coeff EC7'!$D$34:$Q$34,1,MATCH(D128&amp;E128,'Coeff EC7'!$D$31:$Q$31&amp;'Coeff EC7'!$D$32:$Q$32,0))</f>
        <v>#N/A</v>
      </c>
      <c r="L128" s="91" t="e">
        <f t="array" ref="L128">INDEX('Coeff EC7'!$D$35:$Q$35,1,MATCH(D128&amp;E128,'Coeff EC7'!$D$31:$Q$31&amp;'Coeff EC7'!$D$32:$Q$32,0))</f>
        <v>#N/A</v>
      </c>
      <c r="M128" s="98" t="e">
        <f t="shared" si="131"/>
        <v>#N/A</v>
      </c>
      <c r="N128" s="99" t="e">
        <f t="array" ref="N128">INDEX('Coeff EC7'!$D$7:$Q$27,MATCH($B$3,'Coeff EC7'!$C$7:$C$27,0),MATCH(D128&amp;E128,'Coeff EC7'!$D$5:$Q$5&amp;'Coeff EC7'!$D$6:$Q$6,0))</f>
        <v>#N/A</v>
      </c>
      <c r="O128" s="99" t="e">
        <f t="array" ref="O128">INDEX('Coeff EC7'!$D$41:$Q$61,MATCH($B$3,'Coeff EC7'!$C$41:$C$61,0),MATCH(D128&amp;E128,'Coeff EC7'!$D$39:$Q$39&amp;'Coeff EC7'!$D$40:$Q$40,0))</f>
        <v>#N/A</v>
      </c>
      <c r="P128" s="30" t="e">
        <f t="shared" si="166"/>
        <v>#N/A</v>
      </c>
      <c r="Q128" s="100" t="e">
        <f t="shared" si="133"/>
        <v>#N/A</v>
      </c>
      <c r="R128" s="86" t="b">
        <f t="shared" si="134"/>
        <v>0</v>
      </c>
      <c r="S128" s="86">
        <f t="shared" si="132"/>
        <v>0.5</v>
      </c>
      <c r="T128" s="86">
        <f t="shared" si="135"/>
        <v>0.5</v>
      </c>
      <c r="U128" s="30" t="e">
        <f t="shared" ca="1" si="167"/>
        <v>#DIV/0!</v>
      </c>
      <c r="V128" s="85" t="str">
        <f>IF(B128&lt;=Hypothèses!$V$7,Hypothèses!$W$7,IF(B128&lt;=Hypothèses!$V$8,Hypothèses!$W$8,IF(B128&lt;=Hypothèses!$V$9,Hypothèses!$W$9,IF(B128&lt;=Hypothèses!$V$10,Hypothèses!$W$10,IF(B128&lt;=Hypothèses!$V$11,Hypothèses!$W$11,IF(B128&lt;=Hypothèses!$V$12,Hypothèses!$W$12,IF(B128&lt;=Hypothèses!$V$13,Hypothèses!$W$13,IF(B128&lt;=Hypothèses!$V$14,Hypothèses!$W$14,IF(B128&lt;=Hypothèses!$V$15,Hypothèses!$W$15,IF(B128&lt;=Hypothèses!$V$16,Hypothèses!$W$16,IF(B128&lt;=Hypothèses!$V$17,Hypothèses!$W$17,IF(B128&lt;=Hypothèses!$V$18,Hypothèses!$W$18,""))))))))))))</f>
        <v/>
      </c>
      <c r="W128" s="87" t="e">
        <f t="shared" ca="1" si="216"/>
        <v>#DIV/0!</v>
      </c>
      <c r="X128" s="88" t="str">
        <f>IF(B128&lt;=Hypothèses!$V$7,Hypothèses!$X$7,IF(B128&lt;=Hypothèses!$V$8,Hypothèses!$X$8,IF(B128&lt;=Hypothèses!$V$9,Hypothèses!$X$9,IF(B128&lt;=Hypothèses!$V$10,Hypothèses!$X$10,IF(B128&lt;=Hypothèses!$V$11,Hypothèses!$X$11,IF(B128&lt;=Hypothèses!$V$12,Hypothèses!$X$12,IF(B128&lt;=Hypothèses!$V$13,Hypothèses!$X$13,IF(B128&lt;=Hypothèses!$V$14,Hypothèses!$X$14,IF(B128&lt;=Hypothèses!$V$15,Hypothèses!$X$15,IF(B128&lt;=Hypothèses!$V$16,Hypothèses!$X$16,IF(B128&lt;=Hypothèses!$U$17,Hypothèses!$W$17,IF(B128&lt;=Hypothèses!$U$18,Hypothèses!$W$18,""))))))))))))</f>
        <v/>
      </c>
      <c r="Y128" s="95" t="e">
        <f t="shared" ca="1" si="136"/>
        <v>#DIV/0!</v>
      </c>
      <c r="Z128" s="101">
        <f t="shared" si="137"/>
        <v>0</v>
      </c>
      <c r="AA128" s="91">
        <f t="shared" si="138"/>
        <v>0</v>
      </c>
      <c r="AB128" s="30" t="e">
        <f t="shared" si="200"/>
        <v>#N/A</v>
      </c>
      <c r="AC128" s="30" t="e">
        <f t="shared" si="201"/>
        <v>#N/A</v>
      </c>
      <c r="AD128" s="31" t="e">
        <f>IF(OR(Hypothèses!$B$4=17,Hypothèses!$B$4=18,Hypothèses!$B$4=19,Hypothèses!$B$4=20),
IF($D128="Pressio.",
IF(OR($E128=3,$E128=1,$E128=4),AC128,AB128),
IF($D128="Pénétro.",
IF(OR($E128=3,$E128=1,$E128=4),AC128,AB128))),IF($D128="Pressio.",
IF($E128=3,AC128,AB128),
IF($D128="Pénétro.",
IF($E128=4,AC128,AB128))))</f>
        <v>#N/A</v>
      </c>
      <c r="AE128" s="31">
        <v>0</v>
      </c>
      <c r="AF128" s="102" t="e">
        <f>IF(NDC!$H$10="Oui",(VLOOKUP($B$3,'Coeff EC7'!$T$39:$X$59,2,0)*AD128+VLOOKUP($B$3,'Coeff EC7'!$T$65:$X$85,2,0)*Model0.1T!AE128)/1.5,PI()*AB$12*$Q128*($B128-$B127)*0.15/10+AF127)</f>
        <v>#N/A</v>
      </c>
      <c r="AG128" s="102" t="e">
        <f>(VLOOKUP($B$3,'Coeff EC7'!$T$39:$X$59,3,0)*AD128+VLOOKUP($B$3,'Coeff EC7'!$T$65:$X$85,3,0)*Model0.1T!AE128)/1.1</f>
        <v>#N/A</v>
      </c>
      <c r="AH128" s="102" t="e">
        <f t="shared" si="168"/>
        <v>#N/A</v>
      </c>
      <c r="AI128" s="102" t="e">
        <f t="shared" si="169"/>
        <v>#N/A</v>
      </c>
      <c r="AJ128" s="414" t="e">
        <f>IF(AND(AF128&gt;NDC!$C$63,AG128&gt;NDC!$C$65,AH128&gt;NDC!$D$73,AI128&gt;NDC!$D$74,$B128&gt;NDC!$H$22-0.1+MIN(3*$AJ$12,1.5)),0,1)</f>
        <v>#N/A</v>
      </c>
      <c r="AK128" s="86" t="b">
        <f t="shared" si="139"/>
        <v>0</v>
      </c>
      <c r="AL128" s="86">
        <f t="shared" si="170"/>
        <v>0.5</v>
      </c>
      <c r="AM128" s="86">
        <f t="shared" si="140"/>
        <v>0.5</v>
      </c>
      <c r="AN128" s="30" t="e">
        <f t="shared" ca="1" si="171"/>
        <v>#DIV/0!</v>
      </c>
      <c r="AO128" s="85" t="e">
        <f ca="1">IF(U128&lt;=Hypothèses!$V$7,Hypothèses!$W$7,IF(U128&lt;=Hypothèses!$V$8,Hypothèses!$W$8,IF(U128&lt;=Hypothèses!$V$9,Hypothèses!$W$9,IF(U128&lt;=Hypothèses!$V$10,Hypothèses!$W$10,IF(U128&lt;=Hypothèses!$V$11,Hypothèses!$W$11,IF(U128&lt;=Hypothèses!$V$12,Hypothèses!$W$12,IF(U128&lt;=Hypothèses!$V$13,Hypothèses!$W$13,IF(U128&lt;=Hypothèses!$V$14,Hypothèses!$W$14,IF(U128&lt;=Hypothèses!$V$15,Hypothèses!$W$15,IF(U128&lt;=Hypothèses!$V$16,Hypothèses!$W$16,IF(U128&lt;=Hypothèses!$V$17,Hypothèses!$W$17,IF(U128&lt;=Hypothèses!$V$18,Hypothèses!$W$18,""))))))))))))</f>
        <v>#DIV/0!</v>
      </c>
      <c r="AP128" s="87" t="e">
        <f t="shared" ca="1" si="217"/>
        <v>#DIV/0!</v>
      </c>
      <c r="AQ128" s="88" t="e">
        <f ca="1">IF(U128&lt;=Hypothèses!$V$7,Hypothèses!$X$7,IF(U128&lt;=Hypothèses!$V$8,Hypothèses!$X$8,IF(U128&lt;=Hypothèses!$V$9,Hypothèses!$X$9,IF(U128&lt;=Hypothèses!$V$10,Hypothèses!$X$10,IF(U128&lt;=Hypothèses!$V$11,Hypothèses!$X$11,IF(U128&lt;=Hypothèses!$V$12,Hypothèses!$X$12,IF(U128&lt;=Hypothèses!$V$13,Hypothèses!$X$13,IF(U128&lt;=Hypothèses!$V$14,Hypothèses!$X$14,IF(U128&lt;=Hypothèses!$V$15,Hypothèses!$X$15,IF(U128&lt;=Hypothèses!$V$16,Hypothèses!$X$16,IF(U128&lt;=Hypothèses!$U$17,Hypothèses!$W$17,IF(U128&lt;=Hypothèses!$U$18,Hypothèses!$W$18,""))))))))))))</f>
        <v>#DIV/0!</v>
      </c>
      <c r="AR128" s="95" t="e">
        <f t="shared" ca="1" si="172"/>
        <v>#DIV/0!</v>
      </c>
      <c r="AS128" s="101">
        <f t="shared" si="224"/>
        <v>0</v>
      </c>
      <c r="AT128" s="91">
        <f t="shared" si="141"/>
        <v>0</v>
      </c>
      <c r="AU128" s="30" t="e">
        <f t="shared" si="202"/>
        <v>#N/A</v>
      </c>
      <c r="AV128" s="30" t="e">
        <f t="shared" si="203"/>
        <v>#N/A</v>
      </c>
      <c r="AW128" s="31" t="e">
        <f>IF(OR(Hypothèses!$B$4=17,Hypothèses!$B$4=18,Hypothèses!$B$4=19,Hypothèses!$B$4=20),
IF($D128="Pressio.",
IF(OR($E128=3,$E128=1,$E128=4),AV128,AU128),
IF($D128="Pénétro.",
IF(OR($E128=3,$E128=1,$E128=4),AV128,AU128))),IF($D128="Pressio.",
IF($E128=3,AV128,AU128),
IF($D128="Pénétro.",
IF($E128=4,AV128,AU128))))</f>
        <v>#N/A</v>
      </c>
      <c r="AX128" s="31">
        <v>0</v>
      </c>
      <c r="AY128" s="102" t="e">
        <f>IF(NDC!$H$10="Oui",(VLOOKUP($B$3,'Coeff EC7'!$T$39:$X$59,2,0)*AW128+VLOOKUP($B$3,'Coeff EC7'!$T$65:$X$85,2,0)*Model0.1T!AX128)/1.5,PI()*AU$12*$Q128*($B128-$B127)*0.15/10+AY127)</f>
        <v>#N/A</v>
      </c>
      <c r="AZ128" s="102" t="e">
        <f>(VLOOKUP($B$3,'Coeff EC7'!$T$39:$X$59,3,0)*AW128+VLOOKUP($B$3,'Coeff EC7'!$T$65:$X$85,3,0)*Model0.1T!AX128)/1.1</f>
        <v>#N/A</v>
      </c>
      <c r="BA128" s="102" t="e">
        <f t="shared" si="173"/>
        <v>#N/A</v>
      </c>
      <c r="BB128" s="102" t="e">
        <f t="shared" si="174"/>
        <v>#N/A</v>
      </c>
      <c r="BC128" s="414" t="e">
        <f>IF(AND(AY128&gt;NDC!$C$63,AZ128&gt;NDC!$C$65,BA128&gt;NDC!$D$73,BB128&gt;NDC!$D$74,$B128&gt;NDC!$H$22-0.1+MIN(3*BC$12,1.5)),0,1)</f>
        <v>#N/A</v>
      </c>
      <c r="BD128" s="86" t="b">
        <f t="shared" si="142"/>
        <v>0</v>
      </c>
      <c r="BE128" s="86">
        <f t="shared" si="175"/>
        <v>0.5</v>
      </c>
      <c r="BF128" s="86">
        <f t="shared" si="143"/>
        <v>0.5</v>
      </c>
      <c r="BG128" s="30" t="e">
        <f t="shared" ca="1" si="176"/>
        <v>#DIV/0!</v>
      </c>
      <c r="BH128" s="85" t="e">
        <f ca="1">IF(AN128&lt;=Hypothèses!$V$7,Hypothèses!$W$7,IF(AN128&lt;=Hypothèses!$V$8,Hypothèses!$W$8,IF(AN128&lt;=Hypothèses!$V$9,Hypothèses!$W$9,IF(AN128&lt;=Hypothèses!$V$10,Hypothèses!$W$10,IF(AN128&lt;=Hypothèses!$V$11,Hypothèses!$W$11,IF(AN128&lt;=Hypothèses!$V$12,Hypothèses!$W$12,IF(AN128&lt;=Hypothèses!$V$13,Hypothèses!$W$13,IF(AN128&lt;=Hypothèses!$V$14,Hypothèses!$W$14,IF(AN128&lt;=Hypothèses!$V$15,Hypothèses!$W$15,IF(AN128&lt;=Hypothèses!$V$16,Hypothèses!$W$16,IF(AN128&lt;=Hypothèses!$V$17,Hypothèses!$W$17,IF(AN128&lt;=Hypothèses!$V$18,Hypothèses!$W$18,""))))))))))))</f>
        <v>#DIV/0!</v>
      </c>
      <c r="BI128" s="87" t="e">
        <f t="shared" ca="1" si="218"/>
        <v>#DIV/0!</v>
      </c>
      <c r="BJ128" s="88" t="e">
        <f ca="1">IF(AN128&lt;=Hypothèses!$V$7,Hypothèses!$X$7,IF(AN128&lt;=Hypothèses!$V$8,Hypothèses!$X$8,IF(AN128&lt;=Hypothèses!$V$9,Hypothèses!$X$9,IF(AN128&lt;=Hypothèses!$V$10,Hypothèses!$X$10,IF(AN128&lt;=Hypothèses!$V$11,Hypothèses!$X$11,IF(AN128&lt;=Hypothèses!$V$12,Hypothèses!$X$12,IF(AN128&lt;=Hypothèses!$V$13,Hypothèses!$X$13,IF(AN128&lt;=Hypothèses!$V$14,Hypothèses!$X$14,IF(AN128&lt;=Hypothèses!$V$15,Hypothèses!$X$15,IF(AN128&lt;=Hypothèses!$V$16,Hypothèses!$X$16,IF(AN128&lt;=Hypothèses!$U$17,Hypothèses!$W$17,IF(AN128&lt;=Hypothèses!$U$18,Hypothèses!$W$18,""))))))))))))</f>
        <v>#DIV/0!</v>
      </c>
      <c r="BK128" s="95" t="e">
        <f t="shared" ca="1" si="177"/>
        <v>#DIV/0!</v>
      </c>
      <c r="BL128" s="101">
        <f t="shared" si="225"/>
        <v>0</v>
      </c>
      <c r="BM128" s="91">
        <f t="shared" si="144"/>
        <v>0</v>
      </c>
      <c r="BN128" s="30" t="e">
        <f t="shared" si="204"/>
        <v>#N/A</v>
      </c>
      <c r="BO128" s="30" t="e">
        <f t="shared" si="205"/>
        <v>#N/A</v>
      </c>
      <c r="BP128" s="31" t="e">
        <f>IF(OR(Hypothèses!$B$4=17,Hypothèses!$B$4=18,Hypothèses!$B$4=19,Hypothèses!$B$4=20),
IF($D128="Pressio.",
IF(OR($E128=3,$E128=1,$E128=4),BO128,BN128),
IF($D128="Pénétro.",
IF(OR($E128=3,$E128=1,$E128=4),BO128,BN128))),IF($D128="Pressio.",
IF($E128=3,BO128,BN128),
IF($D128="Pénétro.",
IF($E128=4,BO128,BN128))))</f>
        <v>#N/A</v>
      </c>
      <c r="BQ128" s="31">
        <v>0</v>
      </c>
      <c r="BR128" s="102" t="e">
        <f>IF(NDC!$H$10="Oui",(VLOOKUP($B$3,'Coeff EC7'!$T$39:$X$59,2,0)*BP128+VLOOKUP($B$3,'Coeff EC7'!$T$65:$X$85,2,0)*Model0.1T!BQ128)/1.5,PI()*BN$12*$Q128*($B128-$B127)*0.15/10+BR127)</f>
        <v>#N/A</v>
      </c>
      <c r="BS128" s="102" t="e">
        <f>(VLOOKUP($B$3,'Coeff EC7'!$T$39:$X$59,3,0)*BP128+VLOOKUP($B$3,'Coeff EC7'!$T$65:$X$85,3,0)*Model0.1T!BQ128)/1.1</f>
        <v>#N/A</v>
      </c>
      <c r="BT128" s="102" t="e">
        <f t="shared" si="178"/>
        <v>#N/A</v>
      </c>
      <c r="BU128" s="102" t="e">
        <f t="shared" si="179"/>
        <v>#N/A</v>
      </c>
      <c r="BV128" s="414" t="e">
        <f>IF(AND(BR128&gt;NDC!$C$63,BS128&gt;NDC!$C$65,BT128&gt;NDC!$D$73,BU128&gt;NDC!$D$74,$B128&gt;NDC!$H$22-0.1+MIN(3*BV$12,1.5)),0,1)</f>
        <v>#N/A</v>
      </c>
      <c r="BW128" s="86" t="b">
        <f t="shared" si="145"/>
        <v>0</v>
      </c>
      <c r="BX128" s="86">
        <f t="shared" si="146"/>
        <v>0.5</v>
      </c>
      <c r="BY128" s="86">
        <f t="shared" si="147"/>
        <v>0.5</v>
      </c>
      <c r="BZ128" s="30" t="e">
        <f t="shared" ca="1" si="180"/>
        <v>#DIV/0!</v>
      </c>
      <c r="CA128" s="85" t="e">
        <f ca="1">IF(BG128&lt;=Hypothèses!$V$7,Hypothèses!$W$7,IF(BG128&lt;=Hypothèses!$V$8,Hypothèses!$W$8,IF(BG128&lt;=Hypothèses!$V$9,Hypothèses!$W$9,IF(BG128&lt;=Hypothèses!$V$10,Hypothèses!$W$10,IF(BG128&lt;=Hypothèses!$V$11,Hypothèses!$W$11,IF(BG128&lt;=Hypothèses!$V$12,Hypothèses!$W$12,IF(BG128&lt;=Hypothèses!$V$13,Hypothèses!$W$13,IF(BG128&lt;=Hypothèses!$V$14,Hypothèses!$W$14,IF(BG128&lt;=Hypothèses!$V$15,Hypothèses!$W$15,IF(BG128&lt;=Hypothèses!$V$16,Hypothèses!$W$16,IF(BG128&lt;=Hypothèses!$V$17,Hypothèses!$W$17,IF(BG128&lt;=Hypothèses!$V$18,Hypothèses!$W$18,""))))))))))))</f>
        <v>#DIV/0!</v>
      </c>
      <c r="CB128" s="87" t="e">
        <f t="shared" ca="1" si="219"/>
        <v>#DIV/0!</v>
      </c>
      <c r="CC128" s="88" t="e">
        <f ca="1">IF(BG128&lt;=Hypothèses!$V$7,Hypothèses!$X$7,IF(BG128&lt;=Hypothèses!$V$8,Hypothèses!$X$8,IF(BG128&lt;=Hypothèses!$V$9,Hypothèses!$X$9,IF(BG128&lt;=Hypothèses!$V$10,Hypothèses!$X$10,IF(BG128&lt;=Hypothèses!$V$11,Hypothèses!$X$11,IF(BG128&lt;=Hypothèses!$V$12,Hypothèses!$X$12,IF(BG128&lt;=Hypothèses!$V$13,Hypothèses!$X$13,IF(BG128&lt;=Hypothèses!$V$14,Hypothèses!$X$14,IF(BG128&lt;=Hypothèses!$V$15,Hypothèses!$X$15,IF(BG128&lt;=Hypothèses!$V$16,Hypothèses!$X$16,IF(BG128&lt;=Hypothèses!$U$17,Hypothèses!$W$17,IF(BG128&lt;=Hypothèses!$U$18,Hypothèses!$W$18,""))))))))))))</f>
        <v>#DIV/0!</v>
      </c>
      <c r="CD128" s="95" t="e">
        <f t="shared" ca="1" si="181"/>
        <v>#DIV/0!</v>
      </c>
      <c r="CE128" s="101">
        <f t="shared" si="226"/>
        <v>0</v>
      </c>
      <c r="CF128" s="91">
        <f t="shared" si="148"/>
        <v>0</v>
      </c>
      <c r="CG128" s="30" t="e">
        <f t="shared" si="206"/>
        <v>#N/A</v>
      </c>
      <c r="CH128" s="30" t="e">
        <f t="shared" si="207"/>
        <v>#N/A</v>
      </c>
      <c r="CI128" s="31" t="e">
        <f>IF(OR(Hypothèses!$B$4=17,Hypothèses!$B$4=18,Hypothèses!$B$4=19,Hypothèses!$B$4=20),
IF($D128="Pressio.",
IF(OR($E128=3,$E128=1,$E128=4),CH128,CG128),
IF($D128="Pénétro.",
IF(OR($E128=3,$E128=1,$E128=4),CH128,CG128))),IF($D128="Pressio.",
IF($E128=3,CH128,CG128),
IF($D128="Pénétro.",
IF($E128=4,CH128,CG128))))</f>
        <v>#N/A</v>
      </c>
      <c r="CJ128" s="31">
        <v>0</v>
      </c>
      <c r="CK128" s="102" t="e">
        <f>IF(NDC!$H$10="Oui",(VLOOKUP($B$3,'Coeff EC7'!$T$39:$X$59,2,0)*CI128+VLOOKUP($B$3,'Coeff EC7'!$T$65:$X$85,2,0)*Model0.1T!CJ128)/1.5,PI()*CG$12*$Q128*($B128-$B127)*0.15/10+CK127)</f>
        <v>#N/A</v>
      </c>
      <c r="CL128" s="102" t="e">
        <f>(VLOOKUP($B$3,'Coeff EC7'!$T$39:$X$59,3,0)*CI128+VLOOKUP($B$3,'Coeff EC7'!$T$65:$X$85,3,0)*Model0.1T!CJ128)/1.1</f>
        <v>#N/A</v>
      </c>
      <c r="CM128" s="102" t="e">
        <f t="shared" si="182"/>
        <v>#N/A</v>
      </c>
      <c r="CN128" s="102" t="e">
        <f t="shared" si="183"/>
        <v>#N/A</v>
      </c>
      <c r="CO128" s="414" t="e">
        <f>IF(AND(CK128&gt;NDC!$C$63,CL128&gt;NDC!$C$65,CM128&gt;NDC!$D$73,CN128&gt;NDC!$D$74,$B128&gt;NDC!$H$22-0.1+MIN(3*CO$12,1.5)),0,1)</f>
        <v>#N/A</v>
      </c>
      <c r="CP128" s="86" t="b">
        <f t="shared" si="149"/>
        <v>0</v>
      </c>
      <c r="CQ128" s="86">
        <f t="shared" si="150"/>
        <v>0.5</v>
      </c>
      <c r="CR128" s="86">
        <f t="shared" si="151"/>
        <v>0.5</v>
      </c>
      <c r="CS128" s="30" t="e">
        <f t="shared" ca="1" si="184"/>
        <v>#DIV/0!</v>
      </c>
      <c r="CT128" s="85" t="e">
        <f ca="1">IF(BZ128&lt;=Hypothèses!$V$7,Hypothèses!$W$7,IF(BZ128&lt;=Hypothèses!$V$8,Hypothèses!$W$8,IF(BZ128&lt;=Hypothèses!$V$9,Hypothèses!$W$9,IF(BZ128&lt;=Hypothèses!$V$10,Hypothèses!$W$10,IF(BZ128&lt;=Hypothèses!$V$11,Hypothèses!$W$11,IF(BZ128&lt;=Hypothèses!$V$12,Hypothèses!$W$12,IF(BZ128&lt;=Hypothèses!$V$13,Hypothèses!$W$13,IF(BZ128&lt;=Hypothèses!$V$14,Hypothèses!$W$14,IF(BZ128&lt;=Hypothèses!$V$15,Hypothèses!$W$15,IF(BZ128&lt;=Hypothèses!$V$16,Hypothèses!$W$16,IF(BZ128&lt;=Hypothèses!$V$17,Hypothèses!$W$17,IF(BZ128&lt;=Hypothèses!$V$18,Hypothèses!$W$18,""))))))))))))</f>
        <v>#DIV/0!</v>
      </c>
      <c r="CU128" s="87" t="e">
        <f t="shared" ca="1" si="220"/>
        <v>#DIV/0!</v>
      </c>
      <c r="CV128" s="88" t="e">
        <f ca="1">IF(BZ128&lt;=Hypothèses!$V$7,Hypothèses!$X$7,IF(BZ128&lt;=Hypothèses!$V$8,Hypothèses!$X$8,IF(BZ128&lt;=Hypothèses!$V$9,Hypothèses!$X$9,IF(BZ128&lt;=Hypothèses!$V$10,Hypothèses!$X$10,IF(BZ128&lt;=Hypothèses!$V$11,Hypothèses!$X$11,IF(BZ128&lt;=Hypothèses!$V$12,Hypothèses!$X$12,IF(BZ128&lt;=Hypothèses!$V$13,Hypothèses!$X$13,IF(BZ128&lt;=Hypothèses!$V$14,Hypothèses!$X$14,IF(BZ128&lt;=Hypothèses!$V$15,Hypothèses!$X$15,IF(BZ128&lt;=Hypothèses!$V$16,Hypothèses!$X$16,IF(BZ128&lt;=Hypothèses!$U$17,Hypothèses!$W$17,IF(BZ128&lt;=Hypothèses!$U$18,Hypothèses!$W$18,""))))))))))))</f>
        <v>#DIV/0!</v>
      </c>
      <c r="CW128" s="95" t="e">
        <f t="shared" ca="1" si="185"/>
        <v>#DIV/0!</v>
      </c>
      <c r="CX128" s="101">
        <f t="shared" si="227"/>
        <v>0</v>
      </c>
      <c r="CY128" s="91">
        <f t="shared" si="152"/>
        <v>0</v>
      </c>
      <c r="CZ128" s="30" t="e">
        <f t="shared" si="208"/>
        <v>#N/A</v>
      </c>
      <c r="DA128" s="30" t="e">
        <f t="shared" si="209"/>
        <v>#N/A</v>
      </c>
      <c r="DB128" s="31" t="e">
        <f>IF(OR(Hypothèses!$B$4=17,Hypothèses!$B$4=18,Hypothèses!$B$4=19,Hypothèses!$B$4=20),
IF($D128="Pressio.",
IF(OR($E128=3,$E128=1,$E128=4),DA128,CZ128),
IF($D128="Pénétro.",
IF(OR($E128=3,$E128=1,$E128=4),DA128,CZ128))),IF($D128="Pressio.",
IF($E128=3,DA128,CZ128),
IF($D128="Pénétro.",
IF($E128=4,DA128,CZ128))))</f>
        <v>#N/A</v>
      </c>
      <c r="DC128" s="31">
        <v>0</v>
      </c>
      <c r="DD128" s="102" t="e">
        <f>IF(NDC!$H$10="Oui",(VLOOKUP($B$3,'Coeff EC7'!$T$39:$X$59,2,0)*DB128+VLOOKUP($B$3,'Coeff EC7'!$T$65:$X$85,2,0)*Model0.1T!DC128)/1.5,PI()*CZ$12*$Q128*($B128-$B127)*0.15/10+DD127)</f>
        <v>#N/A</v>
      </c>
      <c r="DE128" s="102" t="e">
        <f>(VLOOKUP($B$3,'Coeff EC7'!$T$39:$X$59,3,0)*DB128+VLOOKUP($B$3,'Coeff EC7'!$T$65:$X$85,3,0)*Model0.1T!DC128)/1.1</f>
        <v>#N/A</v>
      </c>
      <c r="DF128" s="102" t="e">
        <f t="shared" si="186"/>
        <v>#N/A</v>
      </c>
      <c r="DG128" s="102" t="e">
        <f t="shared" si="187"/>
        <v>#N/A</v>
      </c>
      <c r="DH128" s="414" t="e">
        <f>IF(AND(DD128&gt;NDC!$C$63,DE128&gt;NDC!$C$65,DF128&gt;NDC!$D$73,DG128&gt;NDC!$D$74,$B128&gt;NDC!$H$22-0.1+MIN(3*DH$12,1.5)),0,1)</f>
        <v>#N/A</v>
      </c>
      <c r="DI128" s="86" t="b">
        <f t="shared" si="153"/>
        <v>0</v>
      </c>
      <c r="DJ128" s="86">
        <f t="shared" si="154"/>
        <v>0.5</v>
      </c>
      <c r="DK128" s="86">
        <f t="shared" si="155"/>
        <v>0.5</v>
      </c>
      <c r="DL128" s="30" t="e">
        <f t="shared" ca="1" si="188"/>
        <v>#DIV/0!</v>
      </c>
      <c r="DM128" s="85" t="e">
        <f ca="1">IF(CS128&lt;=Hypothèses!$V$7,Hypothèses!$W$7,IF(CS128&lt;=Hypothèses!$V$8,Hypothèses!$W$8,IF(CS128&lt;=Hypothèses!$V$9,Hypothèses!$W$9,IF(CS128&lt;=Hypothèses!$V$10,Hypothèses!$W$10,IF(CS128&lt;=Hypothèses!$V$11,Hypothèses!$W$11,IF(CS128&lt;=Hypothèses!$V$12,Hypothèses!$W$12,IF(CS128&lt;=Hypothèses!$V$13,Hypothèses!$W$13,IF(CS128&lt;=Hypothèses!$V$14,Hypothèses!$W$14,IF(CS128&lt;=Hypothèses!$V$15,Hypothèses!$W$15,IF(CS128&lt;=Hypothèses!$V$16,Hypothèses!$W$16,IF(CS128&lt;=Hypothèses!$V$17,Hypothèses!$W$17,IF(CS128&lt;=Hypothèses!$V$18,Hypothèses!$W$18,""))))))))))))</f>
        <v>#DIV/0!</v>
      </c>
      <c r="DN128" s="87" t="e">
        <f t="shared" ca="1" si="221"/>
        <v>#DIV/0!</v>
      </c>
      <c r="DO128" s="88" t="e">
        <f ca="1">IF(CS128&lt;=Hypothèses!$V$7,Hypothèses!$X$7,IF(CS128&lt;=Hypothèses!$V$8,Hypothèses!$X$8,IF(CS128&lt;=Hypothèses!$V$9,Hypothèses!$X$9,IF(CS128&lt;=Hypothèses!$V$10,Hypothèses!$X$10,IF(CS128&lt;=Hypothèses!$V$11,Hypothèses!$X$11,IF(CS128&lt;=Hypothèses!$V$12,Hypothèses!$X$12,IF(CS128&lt;=Hypothèses!$V$13,Hypothèses!$X$13,IF(CS128&lt;=Hypothèses!$V$14,Hypothèses!$X$14,IF(CS128&lt;=Hypothèses!$V$15,Hypothèses!$X$15,IF(CS128&lt;=Hypothèses!$V$16,Hypothèses!$X$16,IF(CS128&lt;=Hypothèses!$U$17,Hypothèses!$W$17,IF(CS128&lt;=Hypothèses!$U$18,Hypothèses!$W$18,""))))))))))))</f>
        <v>#DIV/0!</v>
      </c>
      <c r="DP128" s="95" t="e">
        <f t="shared" ca="1" si="189"/>
        <v>#DIV/0!</v>
      </c>
      <c r="DQ128" s="101">
        <f t="shared" si="228"/>
        <v>0</v>
      </c>
      <c r="DR128" s="91">
        <f t="shared" si="156"/>
        <v>0</v>
      </c>
      <c r="DS128" s="30" t="e">
        <f t="shared" si="210"/>
        <v>#N/A</v>
      </c>
      <c r="DT128" s="30" t="e">
        <f t="shared" si="211"/>
        <v>#N/A</v>
      </c>
      <c r="DU128" s="31" t="e">
        <f>IF(OR(Hypothèses!$B$4=17,Hypothèses!$B$4=18,Hypothèses!$B$4=19,Hypothèses!$B$4=20),
IF($D128="Pressio.",
IF(OR($E128=3,$E128=1,$E128=4),DT128,DS128),
IF($D128="Pénétro.",
IF(OR($E128=3,$E128=1,$E128=4),DT128,DS128))),IF($D128="Pressio.",
IF($E128=3,DT128,DS128),
IF($D128="Pénétro.",
IF($E128=4,DT128,DS128))))</f>
        <v>#N/A</v>
      </c>
      <c r="DV128" s="31">
        <v>0</v>
      </c>
      <c r="DW128" s="102" t="e">
        <f>IF(NDC!$H$10="Oui",(VLOOKUP($B$3,'Coeff EC7'!$T$39:$X$59,2,0)*DU128+VLOOKUP($B$3,'Coeff EC7'!$T$65:$X$85,2,0)*Model0.1T!DV128)/1.5,PI()*DS$12*$Q128*($B128-$B127)*0.15/10+DW127)</f>
        <v>#N/A</v>
      </c>
      <c r="DX128" s="102" t="e">
        <f>(VLOOKUP($B$3,'Coeff EC7'!$T$39:$X$59,3,0)*DU128+VLOOKUP($B$3,'Coeff EC7'!$T$65:$X$85,3,0)*Model0.1T!DV128)/1.1</f>
        <v>#N/A</v>
      </c>
      <c r="DY128" s="102" t="e">
        <f t="shared" si="190"/>
        <v>#N/A</v>
      </c>
      <c r="DZ128" s="102" t="e">
        <f t="shared" si="191"/>
        <v>#N/A</v>
      </c>
      <c r="EA128" s="414" t="e">
        <f>IF(AND(DW128&gt;NDC!$C$63,DX128&gt;NDC!$C$65,DY128&gt;NDC!$D$73,DZ128&gt;NDC!$D$74,$B128&gt;NDC!$H$22-0.1+MIN(3*EA$12,1.5)),0,1)</f>
        <v>#N/A</v>
      </c>
      <c r="EB128" s="86" t="b">
        <f t="shared" si="157"/>
        <v>0</v>
      </c>
      <c r="EC128" s="418">
        <f t="shared" si="158"/>
        <v>0.51</v>
      </c>
      <c r="ED128" s="86">
        <f t="shared" si="159"/>
        <v>0.51</v>
      </c>
      <c r="EE128" s="30" t="e">
        <f t="shared" ca="1" si="192"/>
        <v>#DIV/0!</v>
      </c>
      <c r="EF128" s="85" t="e">
        <f ca="1">IF(DL128&lt;=Hypothèses!$V$7,Hypothèses!$W$7,IF(DL128&lt;=Hypothèses!$V$8,Hypothèses!$W$8,IF(DL128&lt;=Hypothèses!$V$9,Hypothèses!$W$9,IF(DL128&lt;=Hypothèses!$V$10,Hypothèses!$W$10,IF(DL128&lt;=Hypothèses!$V$11,Hypothèses!$W$11,IF(DL128&lt;=Hypothèses!$V$12,Hypothèses!$W$12,IF(DL128&lt;=Hypothèses!$V$13,Hypothèses!$W$13,IF(DL128&lt;=Hypothèses!$V$14,Hypothèses!$W$14,IF(DL128&lt;=Hypothèses!$V$15,Hypothèses!$W$15,IF(DL128&lt;=Hypothèses!$V$16,Hypothèses!$W$16,IF(DL128&lt;=Hypothèses!$V$17,Hypothèses!$W$17,IF(DL128&lt;=Hypothèses!$V$18,Hypothèses!$W$18,""))))))))))))</f>
        <v>#DIV/0!</v>
      </c>
      <c r="EG128" s="87" t="e">
        <f t="shared" ca="1" si="222"/>
        <v>#DIV/0!</v>
      </c>
      <c r="EH128" s="88" t="e">
        <f ca="1">IF(DL128&lt;=Hypothèses!$V$7,Hypothèses!$X$7,IF(DL128&lt;=Hypothèses!$V$8,Hypothèses!$X$8,IF(DL128&lt;=Hypothèses!$V$9,Hypothèses!$X$9,IF(DL128&lt;=Hypothèses!$V$10,Hypothèses!$X$10,IF(DL128&lt;=Hypothèses!$V$11,Hypothèses!$X$11,IF(DL128&lt;=Hypothèses!$V$12,Hypothèses!$X$12,IF(DL128&lt;=Hypothèses!$V$13,Hypothèses!$X$13,IF(DL128&lt;=Hypothèses!$V$14,Hypothèses!$X$14,IF(DL128&lt;=Hypothèses!$V$15,Hypothèses!$X$15,IF(DL128&lt;=Hypothèses!$V$16,Hypothèses!$X$16,IF(DL128&lt;=Hypothèses!$U$17,Hypothèses!$W$17,IF(DL128&lt;=Hypothèses!$U$18,Hypothèses!$W$18,""))))))))))))</f>
        <v>#DIV/0!</v>
      </c>
      <c r="EI128" s="95" t="e">
        <f t="shared" ca="1" si="193"/>
        <v>#DIV/0!</v>
      </c>
      <c r="EJ128" s="101">
        <f t="shared" si="229"/>
        <v>0</v>
      </c>
      <c r="EK128" s="91">
        <f t="shared" si="160"/>
        <v>0</v>
      </c>
      <c r="EL128" s="30" t="e">
        <f t="shared" si="212"/>
        <v>#N/A</v>
      </c>
      <c r="EM128" s="30" t="e">
        <f t="shared" si="213"/>
        <v>#N/A</v>
      </c>
      <c r="EN128" s="31" t="e">
        <f>IF(OR(Hypothèses!$B$4=17,Hypothèses!$B$4=18,Hypothèses!$B$4=19,Hypothèses!$B$4=20),
IF($D128="Pressio.",
IF(OR($E128=3,$E128=1,$E128=4),EM128,EL128),
IF($D128="Pénétro.",
IF(OR($E128=3,$E128=1,$E128=4),EM128,EL128))),IF($D128="Pressio.",
IF($E128=3,EM128,EL128),
IF($D128="Pénétro.",
IF($E128=4,EM128,EL128))))</f>
        <v>#N/A</v>
      </c>
      <c r="EO128" s="31">
        <v>0</v>
      </c>
      <c r="EP128" s="102" t="e">
        <f>IF(NDC!$H$10="Oui",(VLOOKUP($B$3,'Coeff EC7'!$T$39:$X$59,2,0)*EN128+VLOOKUP($B$3,'Coeff EC7'!$T$65:$X$85,2,0)*Model0.1T!EO128)/1.5,PI()*EL$12*$Q128*($B128-$B127)*0.15/10+EP127)</f>
        <v>#N/A</v>
      </c>
      <c r="EQ128" s="102" t="e">
        <f>(VLOOKUP($B$3,'Coeff EC7'!$T$39:$X$59,3,0)*EN128+VLOOKUP($B$3,'Coeff EC7'!$T$65:$X$85,3,0)*Model0.1T!EO128)/1.1</f>
        <v>#N/A</v>
      </c>
      <c r="ER128" s="102" t="e">
        <f t="shared" si="194"/>
        <v>#N/A</v>
      </c>
      <c r="ES128" s="102" t="e">
        <f t="shared" si="195"/>
        <v>#N/A</v>
      </c>
      <c r="ET128" s="414" t="e">
        <f>IF(AND(EP128&gt;NDC!$C$63,EQ128&gt;NDC!$C$65,ER128&gt;NDC!$D$73,ES128&gt;NDC!$D$74,$B128&gt;NDC!$H$22-0.1+MIN(3*ET$12,1.5)),0,1)</f>
        <v>#N/A</v>
      </c>
      <c r="EU128" s="86" t="b">
        <f t="shared" si="161"/>
        <v>0</v>
      </c>
      <c r="EV128" s="86">
        <f t="shared" si="162"/>
        <v>0.61</v>
      </c>
      <c r="EW128" s="86">
        <f t="shared" si="163"/>
        <v>0.61</v>
      </c>
      <c r="EX128" s="30" t="e">
        <f t="shared" ca="1" si="196"/>
        <v>#DIV/0!</v>
      </c>
      <c r="EY128" s="85" t="e">
        <f ca="1">IF(EE128&lt;=Hypothèses!$V$7,Hypothèses!$W$7,IF(EE128&lt;=Hypothèses!$V$8,Hypothèses!$W$8,IF(EE128&lt;=Hypothèses!$V$9,Hypothèses!$W$9,IF(EE128&lt;=Hypothèses!$V$10,Hypothèses!$W$10,IF(EE128&lt;=Hypothèses!$V$11,Hypothèses!$W$11,IF(EE128&lt;=Hypothèses!$V$12,Hypothèses!$W$12,IF(EE128&lt;=Hypothèses!$V$13,Hypothèses!$W$13,IF(EE128&lt;=Hypothèses!$V$14,Hypothèses!$W$14,IF(EE128&lt;=Hypothèses!$V$15,Hypothèses!$W$15,IF(EE128&lt;=Hypothèses!$V$16,Hypothèses!$W$16,IF(EE128&lt;=Hypothèses!$V$17,Hypothèses!$W$17,IF(EE128&lt;=Hypothèses!$V$18,Hypothèses!$W$18,""))))))))))))</f>
        <v>#DIV/0!</v>
      </c>
      <c r="EZ128" s="87" t="e">
        <f t="shared" ca="1" si="223"/>
        <v>#DIV/0!</v>
      </c>
      <c r="FA128" s="88" t="e">
        <f ca="1">IF(EE128&lt;=Hypothèses!$V$7,Hypothèses!$X$7,IF(EE128&lt;=Hypothèses!$V$8,Hypothèses!$X$8,IF(EE128&lt;=Hypothèses!$V$9,Hypothèses!$X$9,IF(EE128&lt;=Hypothèses!$V$10,Hypothèses!$X$10,IF(EE128&lt;=Hypothèses!$V$11,Hypothèses!$X$11,IF(EE128&lt;=Hypothèses!$V$12,Hypothèses!$X$12,IF(EE128&lt;=Hypothèses!$V$13,Hypothèses!$X$13,IF(EE128&lt;=Hypothèses!$V$14,Hypothèses!$X$14,IF(EE128&lt;=Hypothèses!$V$15,Hypothèses!$X$15,IF(EE128&lt;=Hypothèses!$V$16,Hypothèses!$X$16,IF(EE128&lt;=Hypothèses!$U$17,Hypothèses!$W$17,IF(EE128&lt;=Hypothèses!$U$18,Hypothèses!$W$18,""))))))))))))</f>
        <v>#DIV/0!</v>
      </c>
      <c r="FB128" s="95" t="e">
        <f t="shared" ca="1" si="197"/>
        <v>#DIV/0!</v>
      </c>
      <c r="FC128" s="101">
        <f t="shared" si="230"/>
        <v>0</v>
      </c>
      <c r="FD128" s="91">
        <f t="shared" si="164"/>
        <v>0</v>
      </c>
      <c r="FE128" s="30" t="e">
        <f t="shared" si="214"/>
        <v>#N/A</v>
      </c>
      <c r="FF128" s="30" t="e">
        <f t="shared" si="215"/>
        <v>#N/A</v>
      </c>
      <c r="FG128" s="31" t="e">
        <f>IF(OR(Hypothèses!$B$4=17,Hypothèses!$B$4=18,Hypothèses!$B$4=19,Hypothèses!$B$4=20),
IF($D128="Pressio.",
IF(OR($E128=3,$E128=1,$E128=4),FF128,FE128),
IF($D128="Pénétro.",
IF(OR($E128=3,$E128=1,$E128=4),FF128,FE128))),IF($D128="Pressio.",
IF($E128=3,FF128,FE128),
IF($D128="Pénétro.",
IF($E128=4,FF128,FE128))))</f>
        <v>#N/A</v>
      </c>
      <c r="FH128" s="31">
        <v>0</v>
      </c>
      <c r="FI128" s="102" t="e">
        <f>IF(NDC!$H$10="Oui",(VLOOKUP($B$3,'Coeff EC7'!$T$39:$X$59,2,0)*FG128+VLOOKUP($B$3,'Coeff EC7'!$T$65:$X$85,2,0)*Model0.1T!FH128)/1.5,PI()*FE$12*$Q128*($B128-$B127)*0.15/10+FI127)</f>
        <v>#N/A</v>
      </c>
      <c r="FJ128" s="102" t="e">
        <f>(VLOOKUP($B$3,'Coeff EC7'!$T$39:$X$59,3,0)*FG128+VLOOKUP($B$3,'Coeff EC7'!$T$65:$X$85,3,0)*Model0.1T!FH128)/1.1</f>
        <v>#N/A</v>
      </c>
      <c r="FK128" s="102" t="e">
        <f t="shared" si="198"/>
        <v>#N/A</v>
      </c>
      <c r="FL128" s="102" t="e">
        <f t="shared" si="199"/>
        <v>#N/A</v>
      </c>
      <c r="FM128" s="414" t="e">
        <f>IF(AND(FI128&gt;NDC!$C$63,FJ128&gt;NDC!$C$65,FK128&gt;NDC!$D$73,FL128&gt;NDC!$D$74,$B128&gt;NDC!$H$22-0.1+MIN(3*FM$12,1.5)),0,1)</f>
        <v>#N/A</v>
      </c>
    </row>
    <row r="129" spans="1:169">
      <c r="A129" s="96">
        <f t="shared" si="165"/>
        <v>88.400000000000659</v>
      </c>
      <c r="B129" s="97">
        <v>11.6</v>
      </c>
      <c r="C129" s="81">
        <f>IF(B129&lt;=Hypothèses!$C$7,Hypothèses!$A$7,IF(B129&lt;=Hypothèses!$C$8,Hypothèses!$A$8,IF(B129&lt;=Hypothèses!$C$9,Hypothèses!$A$9,IF(B129&lt;=Hypothèses!$C$10,Hypothèses!$A$10,IF(B129&lt;=Hypothèses!$C$11,Hypothèses!$A$11,IF(B129&lt;=Hypothèses!$C$12,Hypothèses!$A$12,IF(B129&lt;=Hypothèses!$C$13,Hypothèses!$A$13,IF(B129&lt;=Hypothèses!$C$14,Hypothèses!$A$14,IF(B129&lt;=Hypothèses!$C$15,Hypothèses!$A$15,IF(B129&lt;=Hypothèses!$C$16,Hypothèses!$A$16,IF(B129&lt;=Hypothèses!$C$17,Hypothèses!$A$17,IF(B129&lt;=Hypothèses!$C$18,Hypothèses!$A$18,C128))))))))))))</f>
        <v>11</v>
      </c>
      <c r="D129" s="82" t="str">
        <f>IF(B129&lt;=Hypothèses!$C$7,Hypothèses!$R$7,IF(B129&lt;=Hypothèses!$C$8,Hypothèses!$R$8,IF(B129&lt;=Hypothèses!$C$9,Hypothèses!$R$9,IF(B129&lt;=Hypothèses!$C$10,Hypothèses!$R$10,IF(B129&lt;=Hypothèses!$C$11,Hypothèses!$R$11,IF(B129&lt;=Hypothèses!$C$12,Hypothèses!$R$12,IF(B129&lt;=Hypothèses!$C$13,Hypothèses!$R$13,IF(B129&lt;=Hypothèses!$C$14,Hypothèses!$R$14,IF(B129&lt;=Hypothèses!$C$15,Hypothèses!$R$15,IF(B129&lt;=Hypothèses!$C$16,Hypothèses!$R$16,IF(B129&lt;=Hypothèses!$C$17,Hypothèses!$R$17,IF(B129&lt;=Hypothèses!$C$18,Hypothèses!$R$18,D128))))))))))))</f>
        <v>Pressio.</v>
      </c>
      <c r="E129" s="82" t="e">
        <f>IF(B129&lt;=Hypothèses!$C$7,Hypothèses!$G$7,IF(B129&lt;=Hypothèses!$C$8,Hypothèses!$G$8,IF(B129&lt;=Hypothèses!$C$9,Hypothèses!$G$9,IF(B129&lt;=Hypothèses!$C$10,Hypothèses!$G$10,IF(B129&lt;=Hypothèses!$C$11,Hypothèses!$G$11,IF(B129&lt;=Hypothèses!$C$12,Hypothèses!$G$12,IF(B129&lt;=Hypothèses!$C$13,Hypothèses!$G$13,IF(B129&lt;=Hypothèses!$C$14,Hypothèses!$G$14,IF(B129&lt;=Hypothèses!$C$15,Hypothèses!$G$15,IF(B129&lt;=Hypothèses!$C$16,Hypothèses!$G$16,IF(B129&lt;=Hypothèses!$C$17,Hypothèses!$G$17,IF(B129&lt;=Hypothèses!$C$18,Hypothèses!$G$18,E128))))))))))))</f>
        <v>#N/A</v>
      </c>
      <c r="F129" s="82" t="str">
        <f>IF(B129&lt;=Hypothèses!$C$7,Hypothèses!$F$7,IF(B129&lt;=Hypothèses!$C$8,Hypothèses!$F$8,IF(B129&lt;=Hypothèses!$C$9,Hypothèses!$F$9,IF(B129&lt;=Hypothèses!$C$10,Hypothèses!$F$10,IF(B129&lt;=Hypothèses!$C$11,Hypothèses!$F$11,IF(B129&lt;=Hypothèses!$C$12,Hypothèses!$F$12,IF(B129&lt;=Hypothèses!$C$13,Hypothèses!$F$13,IF(B129&lt;=Hypothèses!$C$14,Hypothèses!$F$14,IF(B129&lt;=Hypothèses!$C$15,Hypothèses!$F$15,IF(B129&lt;=Hypothèses!$C$16,Hypothèses!$F$16,IF(B129&lt;=Hypothèses!$C$17,Hypothèses!$F$17,IF(B129&lt;=Hypothèses!$C$18,Hypothèses!$F$18,F128))))))))))))</f>
        <v/>
      </c>
      <c r="G129" s="91">
        <f t="array" ref="G129">INDEX('Coeff EC7'!$U$7:$X$27,
MATCH(Model0.1T!$B$3,'Coeff EC7'!$T$7:$T$27,0),
MATCH(Model0.1T!$D129&amp;Model0.1T!$B$4,
'Coeff EC7'!$U$6:$X$6&amp;
'Coeff EC7'!$U$5:$X$5,0))</f>
        <v>1.4</v>
      </c>
      <c r="H129" s="91">
        <f t="array" ref="H129">INDEX('Coeff EC7'!$Y$7:$AB$27,
MATCH(Model0.1T!$B$3,'Coeff EC7'!$T$7:$T$27,0),
MATCH(Model0.1T!$D129&amp;Model0.1T!$B$4,
'Coeff EC7'!$Y$6:$AB$6&amp;
'Coeff EC7'!$Y$5:$AB$5,0))</f>
        <v>1.7</v>
      </c>
      <c r="I129" s="83">
        <v>0</v>
      </c>
      <c r="J129" s="91" t="e">
        <f t="array" ref="J129">INDEX('Coeff EC7'!$D$33:$Q$33,1,MATCH(D129&amp;E129,'Coeff EC7'!$D$31:$Q$31&amp;'Coeff EC7'!$D$32:$Q$32,0))</f>
        <v>#N/A</v>
      </c>
      <c r="K129" s="91" t="e">
        <f t="array" ref="K129">INDEX('Coeff EC7'!$D$34:$Q$34,1,MATCH(D129&amp;E129,'Coeff EC7'!$D$31:$Q$31&amp;'Coeff EC7'!$D$32:$Q$32,0))</f>
        <v>#N/A</v>
      </c>
      <c r="L129" s="91" t="e">
        <f t="array" ref="L129">INDEX('Coeff EC7'!$D$35:$Q$35,1,MATCH(D129&amp;E129,'Coeff EC7'!$D$31:$Q$31&amp;'Coeff EC7'!$D$32:$Q$32,0))</f>
        <v>#N/A</v>
      </c>
      <c r="M129" s="98" t="e">
        <f t="shared" si="131"/>
        <v>#N/A</v>
      </c>
      <c r="N129" s="99" t="e">
        <f t="array" ref="N129">INDEX('Coeff EC7'!$D$7:$Q$27,MATCH($B$3,'Coeff EC7'!$C$7:$C$27,0),MATCH(D129&amp;E129,'Coeff EC7'!$D$5:$Q$5&amp;'Coeff EC7'!$D$6:$Q$6,0))</f>
        <v>#N/A</v>
      </c>
      <c r="O129" s="99" t="e">
        <f t="array" ref="O129">INDEX('Coeff EC7'!$D$41:$Q$61,MATCH($B$3,'Coeff EC7'!$C$41:$C$61,0),MATCH(D129&amp;E129,'Coeff EC7'!$D$39:$Q$39&amp;'Coeff EC7'!$D$40:$Q$40,0))</f>
        <v>#N/A</v>
      </c>
      <c r="P129" s="30" t="e">
        <f t="shared" si="166"/>
        <v>#N/A</v>
      </c>
      <c r="Q129" s="100" t="e">
        <f t="shared" si="133"/>
        <v>#N/A</v>
      </c>
      <c r="R129" s="86" t="b">
        <f t="shared" si="134"/>
        <v>0</v>
      </c>
      <c r="S129" s="86">
        <f t="shared" si="132"/>
        <v>0.5</v>
      </c>
      <c r="T129" s="86">
        <f t="shared" si="135"/>
        <v>0.5</v>
      </c>
      <c r="U129" s="30" t="e">
        <f t="shared" ca="1" si="167"/>
        <v>#DIV/0!</v>
      </c>
      <c r="V129" s="85" t="str">
        <f>IF(B129&lt;=Hypothèses!$V$7,Hypothèses!$W$7,IF(B129&lt;=Hypothèses!$V$8,Hypothèses!$W$8,IF(B129&lt;=Hypothèses!$V$9,Hypothèses!$W$9,IF(B129&lt;=Hypothèses!$V$10,Hypothèses!$W$10,IF(B129&lt;=Hypothèses!$V$11,Hypothèses!$W$11,IF(B129&lt;=Hypothèses!$V$12,Hypothèses!$W$12,IF(B129&lt;=Hypothèses!$V$13,Hypothèses!$W$13,IF(B129&lt;=Hypothèses!$V$14,Hypothèses!$W$14,IF(B129&lt;=Hypothèses!$V$15,Hypothèses!$W$15,IF(B129&lt;=Hypothèses!$V$16,Hypothèses!$W$16,IF(B129&lt;=Hypothèses!$V$17,Hypothèses!$W$17,IF(B129&lt;=Hypothèses!$V$18,Hypothèses!$W$18,""))))))))))))</f>
        <v/>
      </c>
      <c r="W129" s="87" t="e">
        <f t="shared" ca="1" si="216"/>
        <v>#DIV/0!</v>
      </c>
      <c r="X129" s="88" t="str">
        <f>IF(B129&lt;=Hypothèses!$V$7,Hypothèses!$X$7,IF(B129&lt;=Hypothèses!$V$8,Hypothèses!$X$8,IF(B129&lt;=Hypothèses!$V$9,Hypothèses!$X$9,IF(B129&lt;=Hypothèses!$V$10,Hypothèses!$X$10,IF(B129&lt;=Hypothèses!$V$11,Hypothèses!$X$11,IF(B129&lt;=Hypothèses!$V$12,Hypothèses!$X$12,IF(B129&lt;=Hypothèses!$V$13,Hypothèses!$X$13,IF(B129&lt;=Hypothèses!$V$14,Hypothèses!$X$14,IF(B129&lt;=Hypothèses!$V$15,Hypothèses!$X$15,IF(B129&lt;=Hypothèses!$V$16,Hypothèses!$X$16,IF(B129&lt;=Hypothèses!$U$17,Hypothèses!$W$17,IF(B129&lt;=Hypothèses!$U$18,Hypothèses!$W$18,""))))))))))))</f>
        <v/>
      </c>
      <c r="Y129" s="95" t="e">
        <f t="shared" ca="1" si="136"/>
        <v>#DIV/0!</v>
      </c>
      <c r="Z129" s="101">
        <f t="shared" si="137"/>
        <v>0</v>
      </c>
      <c r="AA129" s="91">
        <f t="shared" si="138"/>
        <v>0</v>
      </c>
      <c r="AB129" s="30" t="e">
        <f t="shared" si="200"/>
        <v>#N/A</v>
      </c>
      <c r="AC129" s="30" t="e">
        <f t="shared" si="201"/>
        <v>#N/A</v>
      </c>
      <c r="AD129" s="31" t="e">
        <f>IF(OR(Hypothèses!$B$4=17,Hypothèses!$B$4=18,Hypothèses!$B$4=19,Hypothèses!$B$4=20),
IF($D129="Pressio.",
IF(OR($E129=3,$E129=1,$E129=4),AC129,AB129),
IF($D129="Pénétro.",
IF(OR($E129=3,$E129=1,$E129=4),AC129,AB129))),IF($D129="Pressio.",
IF($E129=3,AC129,AB129),
IF($D129="Pénétro.",
IF($E129=4,AC129,AB129))))</f>
        <v>#N/A</v>
      </c>
      <c r="AE129" s="31">
        <v>0</v>
      </c>
      <c r="AF129" s="102" t="e">
        <f>IF(NDC!$H$10="Oui",(VLOOKUP($B$3,'Coeff EC7'!$T$39:$X$59,2,0)*AD129+VLOOKUP($B$3,'Coeff EC7'!$T$65:$X$85,2,0)*Model0.1T!AE129)/1.5,PI()*AB$12*$Q129*($B129-$B128)*0.15/10+AF128)</f>
        <v>#N/A</v>
      </c>
      <c r="AG129" s="102" t="e">
        <f>(VLOOKUP($B$3,'Coeff EC7'!$T$39:$X$59,3,0)*AD129+VLOOKUP($B$3,'Coeff EC7'!$T$65:$X$85,3,0)*Model0.1T!AE129)/1.1</f>
        <v>#N/A</v>
      </c>
      <c r="AH129" s="102" t="e">
        <f t="shared" si="168"/>
        <v>#N/A</v>
      </c>
      <c r="AI129" s="102" t="e">
        <f t="shared" si="169"/>
        <v>#N/A</v>
      </c>
      <c r="AJ129" s="414" t="e">
        <f>IF(AND(AF129&gt;NDC!$C$63,AG129&gt;NDC!$C$65,AH129&gt;NDC!$D$73,AI129&gt;NDC!$D$74,$B129&gt;NDC!$H$22-0.1+MIN(3*$AJ$12,1.5)),0,1)</f>
        <v>#N/A</v>
      </c>
      <c r="AK129" s="86" t="b">
        <f t="shared" si="139"/>
        <v>0</v>
      </c>
      <c r="AL129" s="86">
        <f t="shared" si="170"/>
        <v>0.5</v>
      </c>
      <c r="AM129" s="86">
        <f t="shared" si="140"/>
        <v>0.5</v>
      </c>
      <c r="AN129" s="30" t="e">
        <f t="shared" ca="1" si="171"/>
        <v>#DIV/0!</v>
      </c>
      <c r="AO129" s="85" t="e">
        <f ca="1">IF(U129&lt;=Hypothèses!$V$7,Hypothèses!$W$7,IF(U129&lt;=Hypothèses!$V$8,Hypothèses!$W$8,IF(U129&lt;=Hypothèses!$V$9,Hypothèses!$W$9,IF(U129&lt;=Hypothèses!$V$10,Hypothèses!$W$10,IF(U129&lt;=Hypothèses!$V$11,Hypothèses!$W$11,IF(U129&lt;=Hypothèses!$V$12,Hypothèses!$W$12,IF(U129&lt;=Hypothèses!$V$13,Hypothèses!$W$13,IF(U129&lt;=Hypothèses!$V$14,Hypothèses!$W$14,IF(U129&lt;=Hypothèses!$V$15,Hypothèses!$W$15,IF(U129&lt;=Hypothèses!$V$16,Hypothèses!$W$16,IF(U129&lt;=Hypothèses!$V$17,Hypothèses!$W$17,IF(U129&lt;=Hypothèses!$V$18,Hypothèses!$W$18,""))))))))))))</f>
        <v>#DIV/0!</v>
      </c>
      <c r="AP129" s="87" t="e">
        <f t="shared" ca="1" si="217"/>
        <v>#DIV/0!</v>
      </c>
      <c r="AQ129" s="88" t="e">
        <f ca="1">IF(U129&lt;=Hypothèses!$V$7,Hypothèses!$X$7,IF(U129&lt;=Hypothèses!$V$8,Hypothèses!$X$8,IF(U129&lt;=Hypothèses!$V$9,Hypothèses!$X$9,IF(U129&lt;=Hypothèses!$V$10,Hypothèses!$X$10,IF(U129&lt;=Hypothèses!$V$11,Hypothèses!$X$11,IF(U129&lt;=Hypothèses!$V$12,Hypothèses!$X$12,IF(U129&lt;=Hypothèses!$V$13,Hypothèses!$X$13,IF(U129&lt;=Hypothèses!$V$14,Hypothèses!$X$14,IF(U129&lt;=Hypothèses!$V$15,Hypothèses!$X$15,IF(U129&lt;=Hypothèses!$V$16,Hypothèses!$X$16,IF(U129&lt;=Hypothèses!$U$17,Hypothèses!$W$17,IF(U129&lt;=Hypothèses!$U$18,Hypothèses!$W$18,""))))))))))))</f>
        <v>#DIV/0!</v>
      </c>
      <c r="AR129" s="95" t="e">
        <f t="shared" ca="1" si="172"/>
        <v>#DIV/0!</v>
      </c>
      <c r="AS129" s="101">
        <f t="shared" si="224"/>
        <v>0</v>
      </c>
      <c r="AT129" s="91">
        <f t="shared" si="141"/>
        <v>0</v>
      </c>
      <c r="AU129" s="30" t="e">
        <f t="shared" si="202"/>
        <v>#N/A</v>
      </c>
      <c r="AV129" s="30" t="e">
        <f t="shared" si="203"/>
        <v>#N/A</v>
      </c>
      <c r="AW129" s="31" t="e">
        <f>IF(OR(Hypothèses!$B$4=17,Hypothèses!$B$4=18,Hypothèses!$B$4=19,Hypothèses!$B$4=20),
IF($D129="Pressio.",
IF(OR($E129=3,$E129=1,$E129=4),AV129,AU129),
IF($D129="Pénétro.",
IF(OR($E129=3,$E129=1,$E129=4),AV129,AU129))),IF($D129="Pressio.",
IF($E129=3,AV129,AU129),
IF($D129="Pénétro.",
IF($E129=4,AV129,AU129))))</f>
        <v>#N/A</v>
      </c>
      <c r="AX129" s="31">
        <v>0</v>
      </c>
      <c r="AY129" s="102" t="e">
        <f>IF(NDC!$H$10="Oui",(VLOOKUP($B$3,'Coeff EC7'!$T$39:$X$59,2,0)*AW129+VLOOKUP($B$3,'Coeff EC7'!$T$65:$X$85,2,0)*Model0.1T!AX129)/1.5,PI()*AU$12*$Q129*($B129-$B128)*0.15/10+AY128)</f>
        <v>#N/A</v>
      </c>
      <c r="AZ129" s="102" t="e">
        <f>(VLOOKUP($B$3,'Coeff EC7'!$T$39:$X$59,3,0)*AW129+VLOOKUP($B$3,'Coeff EC7'!$T$65:$X$85,3,0)*Model0.1T!AX129)/1.1</f>
        <v>#N/A</v>
      </c>
      <c r="BA129" s="102" t="e">
        <f t="shared" si="173"/>
        <v>#N/A</v>
      </c>
      <c r="BB129" s="102" t="e">
        <f t="shared" si="174"/>
        <v>#N/A</v>
      </c>
      <c r="BC129" s="414" t="e">
        <f>IF(AND(AY129&gt;NDC!$C$63,AZ129&gt;NDC!$C$65,BA129&gt;NDC!$D$73,BB129&gt;NDC!$D$74,$B129&gt;NDC!$H$22-0.1+MIN(3*BC$12,1.5)),0,1)</f>
        <v>#N/A</v>
      </c>
      <c r="BD129" s="86" t="b">
        <f t="shared" si="142"/>
        <v>0</v>
      </c>
      <c r="BE129" s="86">
        <f t="shared" si="175"/>
        <v>0.5</v>
      </c>
      <c r="BF129" s="86">
        <f t="shared" si="143"/>
        <v>0.5</v>
      </c>
      <c r="BG129" s="30" t="e">
        <f t="shared" ca="1" si="176"/>
        <v>#DIV/0!</v>
      </c>
      <c r="BH129" s="85" t="e">
        <f ca="1">IF(AN129&lt;=Hypothèses!$V$7,Hypothèses!$W$7,IF(AN129&lt;=Hypothèses!$V$8,Hypothèses!$W$8,IF(AN129&lt;=Hypothèses!$V$9,Hypothèses!$W$9,IF(AN129&lt;=Hypothèses!$V$10,Hypothèses!$W$10,IF(AN129&lt;=Hypothèses!$V$11,Hypothèses!$W$11,IF(AN129&lt;=Hypothèses!$V$12,Hypothèses!$W$12,IF(AN129&lt;=Hypothèses!$V$13,Hypothèses!$W$13,IF(AN129&lt;=Hypothèses!$V$14,Hypothèses!$W$14,IF(AN129&lt;=Hypothèses!$V$15,Hypothèses!$W$15,IF(AN129&lt;=Hypothèses!$V$16,Hypothèses!$W$16,IF(AN129&lt;=Hypothèses!$V$17,Hypothèses!$W$17,IF(AN129&lt;=Hypothèses!$V$18,Hypothèses!$W$18,""))))))))))))</f>
        <v>#DIV/0!</v>
      </c>
      <c r="BI129" s="87" t="e">
        <f t="shared" ca="1" si="218"/>
        <v>#DIV/0!</v>
      </c>
      <c r="BJ129" s="88" t="e">
        <f ca="1">IF(AN129&lt;=Hypothèses!$V$7,Hypothèses!$X$7,IF(AN129&lt;=Hypothèses!$V$8,Hypothèses!$X$8,IF(AN129&lt;=Hypothèses!$V$9,Hypothèses!$X$9,IF(AN129&lt;=Hypothèses!$V$10,Hypothèses!$X$10,IF(AN129&lt;=Hypothèses!$V$11,Hypothèses!$X$11,IF(AN129&lt;=Hypothèses!$V$12,Hypothèses!$X$12,IF(AN129&lt;=Hypothèses!$V$13,Hypothèses!$X$13,IF(AN129&lt;=Hypothèses!$V$14,Hypothèses!$X$14,IF(AN129&lt;=Hypothèses!$V$15,Hypothèses!$X$15,IF(AN129&lt;=Hypothèses!$V$16,Hypothèses!$X$16,IF(AN129&lt;=Hypothèses!$U$17,Hypothèses!$W$17,IF(AN129&lt;=Hypothèses!$U$18,Hypothèses!$W$18,""))))))))))))</f>
        <v>#DIV/0!</v>
      </c>
      <c r="BK129" s="95" t="e">
        <f t="shared" ca="1" si="177"/>
        <v>#DIV/0!</v>
      </c>
      <c r="BL129" s="101">
        <f t="shared" si="225"/>
        <v>0</v>
      </c>
      <c r="BM129" s="91">
        <f t="shared" si="144"/>
        <v>0</v>
      </c>
      <c r="BN129" s="30" t="e">
        <f t="shared" si="204"/>
        <v>#N/A</v>
      </c>
      <c r="BO129" s="30" t="e">
        <f t="shared" si="205"/>
        <v>#N/A</v>
      </c>
      <c r="BP129" s="31" t="e">
        <f>IF(OR(Hypothèses!$B$4=17,Hypothèses!$B$4=18,Hypothèses!$B$4=19,Hypothèses!$B$4=20),
IF($D129="Pressio.",
IF(OR($E129=3,$E129=1,$E129=4),BO129,BN129),
IF($D129="Pénétro.",
IF(OR($E129=3,$E129=1,$E129=4),BO129,BN129))),IF($D129="Pressio.",
IF($E129=3,BO129,BN129),
IF($D129="Pénétro.",
IF($E129=4,BO129,BN129))))</f>
        <v>#N/A</v>
      </c>
      <c r="BQ129" s="31">
        <v>0</v>
      </c>
      <c r="BR129" s="102" t="e">
        <f>IF(NDC!$H$10="Oui",(VLOOKUP($B$3,'Coeff EC7'!$T$39:$X$59,2,0)*BP129+VLOOKUP($B$3,'Coeff EC7'!$T$65:$X$85,2,0)*Model0.1T!BQ129)/1.5,PI()*BN$12*$Q129*($B129-$B128)*0.15/10+BR128)</f>
        <v>#N/A</v>
      </c>
      <c r="BS129" s="102" t="e">
        <f>(VLOOKUP($B$3,'Coeff EC7'!$T$39:$X$59,3,0)*BP129+VLOOKUP($B$3,'Coeff EC7'!$T$65:$X$85,3,0)*Model0.1T!BQ129)/1.1</f>
        <v>#N/A</v>
      </c>
      <c r="BT129" s="102" t="e">
        <f t="shared" si="178"/>
        <v>#N/A</v>
      </c>
      <c r="BU129" s="102" t="e">
        <f t="shared" si="179"/>
        <v>#N/A</v>
      </c>
      <c r="BV129" s="414" t="e">
        <f>IF(AND(BR129&gt;NDC!$C$63,BS129&gt;NDC!$C$65,BT129&gt;NDC!$D$73,BU129&gt;NDC!$D$74,$B129&gt;NDC!$H$22-0.1+MIN(3*BV$12,1.5)),0,1)</f>
        <v>#N/A</v>
      </c>
      <c r="BW129" s="86" t="b">
        <f t="shared" si="145"/>
        <v>0</v>
      </c>
      <c r="BX129" s="86">
        <f t="shared" si="146"/>
        <v>0.5</v>
      </c>
      <c r="BY129" s="86">
        <f t="shared" si="147"/>
        <v>0.5</v>
      </c>
      <c r="BZ129" s="30" t="e">
        <f t="shared" ca="1" si="180"/>
        <v>#DIV/0!</v>
      </c>
      <c r="CA129" s="85" t="e">
        <f ca="1">IF(BG129&lt;=Hypothèses!$V$7,Hypothèses!$W$7,IF(BG129&lt;=Hypothèses!$V$8,Hypothèses!$W$8,IF(BG129&lt;=Hypothèses!$V$9,Hypothèses!$W$9,IF(BG129&lt;=Hypothèses!$V$10,Hypothèses!$W$10,IF(BG129&lt;=Hypothèses!$V$11,Hypothèses!$W$11,IF(BG129&lt;=Hypothèses!$V$12,Hypothèses!$W$12,IF(BG129&lt;=Hypothèses!$V$13,Hypothèses!$W$13,IF(BG129&lt;=Hypothèses!$V$14,Hypothèses!$W$14,IF(BG129&lt;=Hypothèses!$V$15,Hypothèses!$W$15,IF(BG129&lt;=Hypothèses!$V$16,Hypothèses!$W$16,IF(BG129&lt;=Hypothèses!$V$17,Hypothèses!$W$17,IF(BG129&lt;=Hypothèses!$V$18,Hypothèses!$W$18,""))))))))))))</f>
        <v>#DIV/0!</v>
      </c>
      <c r="CB129" s="87" t="e">
        <f t="shared" ca="1" si="219"/>
        <v>#DIV/0!</v>
      </c>
      <c r="CC129" s="88" t="e">
        <f ca="1">IF(BG129&lt;=Hypothèses!$V$7,Hypothèses!$X$7,IF(BG129&lt;=Hypothèses!$V$8,Hypothèses!$X$8,IF(BG129&lt;=Hypothèses!$V$9,Hypothèses!$X$9,IF(BG129&lt;=Hypothèses!$V$10,Hypothèses!$X$10,IF(BG129&lt;=Hypothèses!$V$11,Hypothèses!$X$11,IF(BG129&lt;=Hypothèses!$V$12,Hypothèses!$X$12,IF(BG129&lt;=Hypothèses!$V$13,Hypothèses!$X$13,IF(BG129&lt;=Hypothèses!$V$14,Hypothèses!$X$14,IF(BG129&lt;=Hypothèses!$V$15,Hypothèses!$X$15,IF(BG129&lt;=Hypothèses!$V$16,Hypothèses!$X$16,IF(BG129&lt;=Hypothèses!$U$17,Hypothèses!$W$17,IF(BG129&lt;=Hypothèses!$U$18,Hypothèses!$W$18,""))))))))))))</f>
        <v>#DIV/0!</v>
      </c>
      <c r="CD129" s="95" t="e">
        <f t="shared" ca="1" si="181"/>
        <v>#DIV/0!</v>
      </c>
      <c r="CE129" s="101">
        <f t="shared" si="226"/>
        <v>0</v>
      </c>
      <c r="CF129" s="91">
        <f t="shared" si="148"/>
        <v>0</v>
      </c>
      <c r="CG129" s="30" t="e">
        <f t="shared" si="206"/>
        <v>#N/A</v>
      </c>
      <c r="CH129" s="30" t="e">
        <f t="shared" si="207"/>
        <v>#N/A</v>
      </c>
      <c r="CI129" s="31" t="e">
        <f>IF(OR(Hypothèses!$B$4=17,Hypothèses!$B$4=18,Hypothèses!$B$4=19,Hypothèses!$B$4=20),
IF($D129="Pressio.",
IF(OR($E129=3,$E129=1,$E129=4),CH129,CG129),
IF($D129="Pénétro.",
IF(OR($E129=3,$E129=1,$E129=4),CH129,CG129))),IF($D129="Pressio.",
IF($E129=3,CH129,CG129),
IF($D129="Pénétro.",
IF($E129=4,CH129,CG129))))</f>
        <v>#N/A</v>
      </c>
      <c r="CJ129" s="31">
        <v>0</v>
      </c>
      <c r="CK129" s="102" t="e">
        <f>IF(NDC!$H$10="Oui",(VLOOKUP($B$3,'Coeff EC7'!$T$39:$X$59,2,0)*CI129+VLOOKUP($B$3,'Coeff EC7'!$T$65:$X$85,2,0)*Model0.1T!CJ129)/1.5,PI()*CG$12*$Q129*($B129-$B128)*0.15/10+CK128)</f>
        <v>#N/A</v>
      </c>
      <c r="CL129" s="102" t="e">
        <f>(VLOOKUP($B$3,'Coeff EC7'!$T$39:$X$59,3,0)*CI129+VLOOKUP($B$3,'Coeff EC7'!$T$65:$X$85,3,0)*Model0.1T!CJ129)/1.1</f>
        <v>#N/A</v>
      </c>
      <c r="CM129" s="102" t="e">
        <f t="shared" si="182"/>
        <v>#N/A</v>
      </c>
      <c r="CN129" s="102" t="e">
        <f t="shared" si="183"/>
        <v>#N/A</v>
      </c>
      <c r="CO129" s="414" t="e">
        <f>IF(AND(CK129&gt;NDC!$C$63,CL129&gt;NDC!$C$65,CM129&gt;NDC!$D$73,CN129&gt;NDC!$D$74,$B129&gt;NDC!$H$22-0.1+MIN(3*CO$12,1.5)),0,1)</f>
        <v>#N/A</v>
      </c>
      <c r="CP129" s="86" t="b">
        <f t="shared" si="149"/>
        <v>0</v>
      </c>
      <c r="CQ129" s="86">
        <f t="shared" si="150"/>
        <v>0.5</v>
      </c>
      <c r="CR129" s="86">
        <f t="shared" si="151"/>
        <v>0.5</v>
      </c>
      <c r="CS129" s="30" t="e">
        <f t="shared" ca="1" si="184"/>
        <v>#DIV/0!</v>
      </c>
      <c r="CT129" s="85" t="e">
        <f ca="1">IF(BZ129&lt;=Hypothèses!$V$7,Hypothèses!$W$7,IF(BZ129&lt;=Hypothèses!$V$8,Hypothèses!$W$8,IF(BZ129&lt;=Hypothèses!$V$9,Hypothèses!$W$9,IF(BZ129&lt;=Hypothèses!$V$10,Hypothèses!$W$10,IF(BZ129&lt;=Hypothèses!$V$11,Hypothèses!$W$11,IF(BZ129&lt;=Hypothèses!$V$12,Hypothèses!$W$12,IF(BZ129&lt;=Hypothèses!$V$13,Hypothèses!$W$13,IF(BZ129&lt;=Hypothèses!$V$14,Hypothèses!$W$14,IF(BZ129&lt;=Hypothèses!$V$15,Hypothèses!$W$15,IF(BZ129&lt;=Hypothèses!$V$16,Hypothèses!$W$16,IF(BZ129&lt;=Hypothèses!$V$17,Hypothèses!$W$17,IF(BZ129&lt;=Hypothèses!$V$18,Hypothèses!$W$18,""))))))))))))</f>
        <v>#DIV/0!</v>
      </c>
      <c r="CU129" s="87" t="e">
        <f t="shared" ca="1" si="220"/>
        <v>#DIV/0!</v>
      </c>
      <c r="CV129" s="88" t="e">
        <f ca="1">IF(BZ129&lt;=Hypothèses!$V$7,Hypothèses!$X$7,IF(BZ129&lt;=Hypothèses!$V$8,Hypothèses!$X$8,IF(BZ129&lt;=Hypothèses!$V$9,Hypothèses!$X$9,IF(BZ129&lt;=Hypothèses!$V$10,Hypothèses!$X$10,IF(BZ129&lt;=Hypothèses!$V$11,Hypothèses!$X$11,IF(BZ129&lt;=Hypothèses!$V$12,Hypothèses!$X$12,IF(BZ129&lt;=Hypothèses!$V$13,Hypothèses!$X$13,IF(BZ129&lt;=Hypothèses!$V$14,Hypothèses!$X$14,IF(BZ129&lt;=Hypothèses!$V$15,Hypothèses!$X$15,IF(BZ129&lt;=Hypothèses!$V$16,Hypothèses!$X$16,IF(BZ129&lt;=Hypothèses!$U$17,Hypothèses!$W$17,IF(BZ129&lt;=Hypothèses!$U$18,Hypothèses!$W$18,""))))))))))))</f>
        <v>#DIV/0!</v>
      </c>
      <c r="CW129" s="95" t="e">
        <f t="shared" ca="1" si="185"/>
        <v>#DIV/0!</v>
      </c>
      <c r="CX129" s="101">
        <f t="shared" si="227"/>
        <v>0</v>
      </c>
      <c r="CY129" s="91">
        <f t="shared" si="152"/>
        <v>0</v>
      </c>
      <c r="CZ129" s="30" t="e">
        <f t="shared" si="208"/>
        <v>#N/A</v>
      </c>
      <c r="DA129" s="30" t="e">
        <f t="shared" si="209"/>
        <v>#N/A</v>
      </c>
      <c r="DB129" s="31" t="e">
        <f>IF(OR(Hypothèses!$B$4=17,Hypothèses!$B$4=18,Hypothèses!$B$4=19,Hypothèses!$B$4=20),
IF($D129="Pressio.",
IF(OR($E129=3,$E129=1,$E129=4),DA129,CZ129),
IF($D129="Pénétro.",
IF(OR($E129=3,$E129=1,$E129=4),DA129,CZ129))),IF($D129="Pressio.",
IF($E129=3,DA129,CZ129),
IF($D129="Pénétro.",
IF($E129=4,DA129,CZ129))))</f>
        <v>#N/A</v>
      </c>
      <c r="DC129" s="31">
        <v>0</v>
      </c>
      <c r="DD129" s="102" t="e">
        <f>IF(NDC!$H$10="Oui",(VLOOKUP($B$3,'Coeff EC7'!$T$39:$X$59,2,0)*DB129+VLOOKUP($B$3,'Coeff EC7'!$T$65:$X$85,2,0)*Model0.1T!DC129)/1.5,PI()*CZ$12*$Q129*($B129-$B128)*0.15/10+DD128)</f>
        <v>#N/A</v>
      </c>
      <c r="DE129" s="102" t="e">
        <f>(VLOOKUP($B$3,'Coeff EC7'!$T$39:$X$59,3,0)*DB129+VLOOKUP($B$3,'Coeff EC7'!$T$65:$X$85,3,0)*Model0.1T!DC129)/1.1</f>
        <v>#N/A</v>
      </c>
      <c r="DF129" s="102" t="e">
        <f t="shared" si="186"/>
        <v>#N/A</v>
      </c>
      <c r="DG129" s="102" t="e">
        <f t="shared" si="187"/>
        <v>#N/A</v>
      </c>
      <c r="DH129" s="414" t="e">
        <f>IF(AND(DD129&gt;NDC!$C$63,DE129&gt;NDC!$C$65,DF129&gt;NDC!$D$73,DG129&gt;NDC!$D$74,$B129&gt;NDC!$H$22-0.1+MIN(3*DH$12,1.5)),0,1)</f>
        <v>#N/A</v>
      </c>
      <c r="DI129" s="86" t="b">
        <f t="shared" si="153"/>
        <v>0</v>
      </c>
      <c r="DJ129" s="86">
        <f t="shared" si="154"/>
        <v>0.5</v>
      </c>
      <c r="DK129" s="86">
        <f t="shared" si="155"/>
        <v>0.5</v>
      </c>
      <c r="DL129" s="30" t="e">
        <f t="shared" ca="1" si="188"/>
        <v>#DIV/0!</v>
      </c>
      <c r="DM129" s="85" t="e">
        <f ca="1">IF(CS129&lt;=Hypothèses!$V$7,Hypothèses!$W$7,IF(CS129&lt;=Hypothèses!$V$8,Hypothèses!$W$8,IF(CS129&lt;=Hypothèses!$V$9,Hypothèses!$W$9,IF(CS129&lt;=Hypothèses!$V$10,Hypothèses!$W$10,IF(CS129&lt;=Hypothèses!$V$11,Hypothèses!$W$11,IF(CS129&lt;=Hypothèses!$V$12,Hypothèses!$W$12,IF(CS129&lt;=Hypothèses!$V$13,Hypothèses!$W$13,IF(CS129&lt;=Hypothèses!$V$14,Hypothèses!$W$14,IF(CS129&lt;=Hypothèses!$V$15,Hypothèses!$W$15,IF(CS129&lt;=Hypothèses!$V$16,Hypothèses!$W$16,IF(CS129&lt;=Hypothèses!$V$17,Hypothèses!$W$17,IF(CS129&lt;=Hypothèses!$V$18,Hypothèses!$W$18,""))))))))))))</f>
        <v>#DIV/0!</v>
      </c>
      <c r="DN129" s="87" t="e">
        <f t="shared" ca="1" si="221"/>
        <v>#DIV/0!</v>
      </c>
      <c r="DO129" s="88" t="e">
        <f ca="1">IF(CS129&lt;=Hypothèses!$V$7,Hypothèses!$X$7,IF(CS129&lt;=Hypothèses!$V$8,Hypothèses!$X$8,IF(CS129&lt;=Hypothèses!$V$9,Hypothèses!$X$9,IF(CS129&lt;=Hypothèses!$V$10,Hypothèses!$X$10,IF(CS129&lt;=Hypothèses!$V$11,Hypothèses!$X$11,IF(CS129&lt;=Hypothèses!$V$12,Hypothèses!$X$12,IF(CS129&lt;=Hypothèses!$V$13,Hypothèses!$X$13,IF(CS129&lt;=Hypothèses!$V$14,Hypothèses!$X$14,IF(CS129&lt;=Hypothèses!$V$15,Hypothèses!$X$15,IF(CS129&lt;=Hypothèses!$V$16,Hypothèses!$X$16,IF(CS129&lt;=Hypothèses!$U$17,Hypothèses!$W$17,IF(CS129&lt;=Hypothèses!$U$18,Hypothèses!$W$18,""))))))))))))</f>
        <v>#DIV/0!</v>
      </c>
      <c r="DP129" s="95" t="e">
        <f t="shared" ca="1" si="189"/>
        <v>#DIV/0!</v>
      </c>
      <c r="DQ129" s="101">
        <f t="shared" si="228"/>
        <v>0</v>
      </c>
      <c r="DR129" s="91">
        <f t="shared" si="156"/>
        <v>0</v>
      </c>
      <c r="DS129" s="30" t="e">
        <f t="shared" si="210"/>
        <v>#N/A</v>
      </c>
      <c r="DT129" s="30" t="e">
        <f t="shared" si="211"/>
        <v>#N/A</v>
      </c>
      <c r="DU129" s="31" t="e">
        <f>IF(OR(Hypothèses!$B$4=17,Hypothèses!$B$4=18,Hypothèses!$B$4=19,Hypothèses!$B$4=20),
IF($D129="Pressio.",
IF(OR($E129=3,$E129=1,$E129=4),DT129,DS129),
IF($D129="Pénétro.",
IF(OR($E129=3,$E129=1,$E129=4),DT129,DS129))),IF($D129="Pressio.",
IF($E129=3,DT129,DS129),
IF($D129="Pénétro.",
IF($E129=4,DT129,DS129))))</f>
        <v>#N/A</v>
      </c>
      <c r="DV129" s="31">
        <v>0</v>
      </c>
      <c r="DW129" s="102" t="e">
        <f>IF(NDC!$H$10="Oui",(VLOOKUP($B$3,'Coeff EC7'!$T$39:$X$59,2,0)*DU129+VLOOKUP($B$3,'Coeff EC7'!$T$65:$X$85,2,0)*Model0.1T!DV129)/1.5,PI()*DS$12*$Q129*($B129-$B128)*0.15/10+DW128)</f>
        <v>#N/A</v>
      </c>
      <c r="DX129" s="102" t="e">
        <f>(VLOOKUP($B$3,'Coeff EC7'!$T$39:$X$59,3,0)*DU129+VLOOKUP($B$3,'Coeff EC7'!$T$65:$X$85,3,0)*Model0.1T!DV129)/1.1</f>
        <v>#N/A</v>
      </c>
      <c r="DY129" s="102" t="e">
        <f t="shared" si="190"/>
        <v>#N/A</v>
      </c>
      <c r="DZ129" s="102" t="e">
        <f t="shared" si="191"/>
        <v>#N/A</v>
      </c>
      <c r="EA129" s="414" t="e">
        <f>IF(AND(DW129&gt;NDC!$C$63,DX129&gt;NDC!$C$65,DY129&gt;NDC!$D$73,DZ129&gt;NDC!$D$74,$B129&gt;NDC!$H$22-0.1+MIN(3*EA$12,1.5)),0,1)</f>
        <v>#N/A</v>
      </c>
      <c r="EB129" s="86" t="b">
        <f t="shared" si="157"/>
        <v>0</v>
      </c>
      <c r="EC129" s="418">
        <f t="shared" si="158"/>
        <v>0.51</v>
      </c>
      <c r="ED129" s="86">
        <f t="shared" si="159"/>
        <v>0.51</v>
      </c>
      <c r="EE129" s="30" t="e">
        <f t="shared" ca="1" si="192"/>
        <v>#DIV/0!</v>
      </c>
      <c r="EF129" s="85" t="e">
        <f ca="1">IF(DL129&lt;=Hypothèses!$V$7,Hypothèses!$W$7,IF(DL129&lt;=Hypothèses!$V$8,Hypothèses!$W$8,IF(DL129&lt;=Hypothèses!$V$9,Hypothèses!$W$9,IF(DL129&lt;=Hypothèses!$V$10,Hypothèses!$W$10,IF(DL129&lt;=Hypothèses!$V$11,Hypothèses!$W$11,IF(DL129&lt;=Hypothèses!$V$12,Hypothèses!$W$12,IF(DL129&lt;=Hypothèses!$V$13,Hypothèses!$W$13,IF(DL129&lt;=Hypothèses!$V$14,Hypothèses!$W$14,IF(DL129&lt;=Hypothèses!$V$15,Hypothèses!$W$15,IF(DL129&lt;=Hypothèses!$V$16,Hypothèses!$W$16,IF(DL129&lt;=Hypothèses!$V$17,Hypothèses!$W$17,IF(DL129&lt;=Hypothèses!$V$18,Hypothèses!$W$18,""))))))))))))</f>
        <v>#DIV/0!</v>
      </c>
      <c r="EG129" s="87" t="e">
        <f t="shared" ca="1" si="222"/>
        <v>#DIV/0!</v>
      </c>
      <c r="EH129" s="88" t="e">
        <f ca="1">IF(DL129&lt;=Hypothèses!$V$7,Hypothèses!$X$7,IF(DL129&lt;=Hypothèses!$V$8,Hypothèses!$X$8,IF(DL129&lt;=Hypothèses!$V$9,Hypothèses!$X$9,IF(DL129&lt;=Hypothèses!$V$10,Hypothèses!$X$10,IF(DL129&lt;=Hypothèses!$V$11,Hypothèses!$X$11,IF(DL129&lt;=Hypothèses!$V$12,Hypothèses!$X$12,IF(DL129&lt;=Hypothèses!$V$13,Hypothèses!$X$13,IF(DL129&lt;=Hypothèses!$V$14,Hypothèses!$X$14,IF(DL129&lt;=Hypothèses!$V$15,Hypothèses!$X$15,IF(DL129&lt;=Hypothèses!$V$16,Hypothèses!$X$16,IF(DL129&lt;=Hypothèses!$U$17,Hypothèses!$W$17,IF(DL129&lt;=Hypothèses!$U$18,Hypothèses!$W$18,""))))))))))))</f>
        <v>#DIV/0!</v>
      </c>
      <c r="EI129" s="95" t="e">
        <f t="shared" ca="1" si="193"/>
        <v>#DIV/0!</v>
      </c>
      <c r="EJ129" s="101">
        <f t="shared" si="229"/>
        <v>0</v>
      </c>
      <c r="EK129" s="91">
        <f t="shared" si="160"/>
        <v>0</v>
      </c>
      <c r="EL129" s="30" t="e">
        <f t="shared" si="212"/>
        <v>#N/A</v>
      </c>
      <c r="EM129" s="30" t="e">
        <f t="shared" si="213"/>
        <v>#N/A</v>
      </c>
      <c r="EN129" s="31" t="e">
        <f>IF(OR(Hypothèses!$B$4=17,Hypothèses!$B$4=18,Hypothèses!$B$4=19,Hypothèses!$B$4=20),
IF($D129="Pressio.",
IF(OR($E129=3,$E129=1,$E129=4),EM129,EL129),
IF($D129="Pénétro.",
IF(OR($E129=3,$E129=1,$E129=4),EM129,EL129))),IF($D129="Pressio.",
IF($E129=3,EM129,EL129),
IF($D129="Pénétro.",
IF($E129=4,EM129,EL129))))</f>
        <v>#N/A</v>
      </c>
      <c r="EO129" s="31">
        <v>0</v>
      </c>
      <c r="EP129" s="102" t="e">
        <f>IF(NDC!$H$10="Oui",(VLOOKUP($B$3,'Coeff EC7'!$T$39:$X$59,2,0)*EN129+VLOOKUP($B$3,'Coeff EC7'!$T$65:$X$85,2,0)*Model0.1T!EO129)/1.5,PI()*EL$12*$Q129*($B129-$B128)*0.15/10+EP128)</f>
        <v>#N/A</v>
      </c>
      <c r="EQ129" s="102" t="e">
        <f>(VLOOKUP($B$3,'Coeff EC7'!$T$39:$X$59,3,0)*EN129+VLOOKUP($B$3,'Coeff EC7'!$T$65:$X$85,3,0)*Model0.1T!EO129)/1.1</f>
        <v>#N/A</v>
      </c>
      <c r="ER129" s="102" t="e">
        <f t="shared" si="194"/>
        <v>#N/A</v>
      </c>
      <c r="ES129" s="102" t="e">
        <f t="shared" si="195"/>
        <v>#N/A</v>
      </c>
      <c r="ET129" s="414" t="e">
        <f>IF(AND(EP129&gt;NDC!$C$63,EQ129&gt;NDC!$C$65,ER129&gt;NDC!$D$73,ES129&gt;NDC!$D$74,$B129&gt;NDC!$H$22-0.1+MIN(3*ET$12,1.5)),0,1)</f>
        <v>#N/A</v>
      </c>
      <c r="EU129" s="86" t="b">
        <f t="shared" si="161"/>
        <v>0</v>
      </c>
      <c r="EV129" s="86">
        <f t="shared" si="162"/>
        <v>0.61</v>
      </c>
      <c r="EW129" s="86">
        <f t="shared" si="163"/>
        <v>0.61</v>
      </c>
      <c r="EX129" s="30" t="e">
        <f t="shared" ca="1" si="196"/>
        <v>#DIV/0!</v>
      </c>
      <c r="EY129" s="85" t="e">
        <f ca="1">IF(EE129&lt;=Hypothèses!$V$7,Hypothèses!$W$7,IF(EE129&lt;=Hypothèses!$V$8,Hypothèses!$W$8,IF(EE129&lt;=Hypothèses!$V$9,Hypothèses!$W$9,IF(EE129&lt;=Hypothèses!$V$10,Hypothèses!$W$10,IF(EE129&lt;=Hypothèses!$V$11,Hypothèses!$W$11,IF(EE129&lt;=Hypothèses!$V$12,Hypothèses!$W$12,IF(EE129&lt;=Hypothèses!$V$13,Hypothèses!$W$13,IF(EE129&lt;=Hypothèses!$V$14,Hypothèses!$W$14,IF(EE129&lt;=Hypothèses!$V$15,Hypothèses!$W$15,IF(EE129&lt;=Hypothèses!$V$16,Hypothèses!$W$16,IF(EE129&lt;=Hypothèses!$V$17,Hypothèses!$W$17,IF(EE129&lt;=Hypothèses!$V$18,Hypothèses!$W$18,""))))))))))))</f>
        <v>#DIV/0!</v>
      </c>
      <c r="EZ129" s="87" t="e">
        <f t="shared" ca="1" si="223"/>
        <v>#DIV/0!</v>
      </c>
      <c r="FA129" s="88" t="e">
        <f ca="1">IF(EE129&lt;=Hypothèses!$V$7,Hypothèses!$X$7,IF(EE129&lt;=Hypothèses!$V$8,Hypothèses!$X$8,IF(EE129&lt;=Hypothèses!$V$9,Hypothèses!$X$9,IF(EE129&lt;=Hypothèses!$V$10,Hypothèses!$X$10,IF(EE129&lt;=Hypothèses!$V$11,Hypothèses!$X$11,IF(EE129&lt;=Hypothèses!$V$12,Hypothèses!$X$12,IF(EE129&lt;=Hypothèses!$V$13,Hypothèses!$X$13,IF(EE129&lt;=Hypothèses!$V$14,Hypothèses!$X$14,IF(EE129&lt;=Hypothèses!$V$15,Hypothèses!$X$15,IF(EE129&lt;=Hypothèses!$V$16,Hypothèses!$X$16,IF(EE129&lt;=Hypothèses!$U$17,Hypothèses!$W$17,IF(EE129&lt;=Hypothèses!$U$18,Hypothèses!$W$18,""))))))))))))</f>
        <v>#DIV/0!</v>
      </c>
      <c r="FB129" s="95" t="e">
        <f t="shared" ca="1" si="197"/>
        <v>#DIV/0!</v>
      </c>
      <c r="FC129" s="101">
        <f t="shared" si="230"/>
        <v>0</v>
      </c>
      <c r="FD129" s="91">
        <f t="shared" si="164"/>
        <v>0</v>
      </c>
      <c r="FE129" s="30" t="e">
        <f t="shared" si="214"/>
        <v>#N/A</v>
      </c>
      <c r="FF129" s="30" t="e">
        <f t="shared" si="215"/>
        <v>#N/A</v>
      </c>
      <c r="FG129" s="31" t="e">
        <f>IF(OR(Hypothèses!$B$4=17,Hypothèses!$B$4=18,Hypothèses!$B$4=19,Hypothèses!$B$4=20),
IF($D129="Pressio.",
IF(OR($E129=3,$E129=1,$E129=4),FF129,FE129),
IF($D129="Pénétro.",
IF(OR($E129=3,$E129=1,$E129=4),FF129,FE129))),IF($D129="Pressio.",
IF($E129=3,FF129,FE129),
IF($D129="Pénétro.",
IF($E129=4,FF129,FE129))))</f>
        <v>#N/A</v>
      </c>
      <c r="FH129" s="31">
        <v>0</v>
      </c>
      <c r="FI129" s="102" t="e">
        <f>IF(NDC!$H$10="Oui",(VLOOKUP($B$3,'Coeff EC7'!$T$39:$X$59,2,0)*FG129+VLOOKUP($B$3,'Coeff EC7'!$T$65:$X$85,2,0)*Model0.1T!FH129)/1.5,PI()*FE$12*$Q129*($B129-$B128)*0.15/10+FI128)</f>
        <v>#N/A</v>
      </c>
      <c r="FJ129" s="102" t="e">
        <f>(VLOOKUP($B$3,'Coeff EC7'!$T$39:$X$59,3,0)*FG129+VLOOKUP($B$3,'Coeff EC7'!$T$65:$X$85,3,0)*Model0.1T!FH129)/1.1</f>
        <v>#N/A</v>
      </c>
      <c r="FK129" s="102" t="e">
        <f t="shared" si="198"/>
        <v>#N/A</v>
      </c>
      <c r="FL129" s="102" t="e">
        <f t="shared" si="199"/>
        <v>#N/A</v>
      </c>
      <c r="FM129" s="414" t="e">
        <f>IF(AND(FI129&gt;NDC!$C$63,FJ129&gt;NDC!$C$65,FK129&gt;NDC!$D$73,FL129&gt;NDC!$D$74,$B129&gt;NDC!$H$22-0.1+MIN(3*FM$12,1.5)),0,1)</f>
        <v>#N/A</v>
      </c>
    </row>
    <row r="130" spans="1:169">
      <c r="A130" s="96">
        <f t="shared" si="165"/>
        <v>88.300000000000665</v>
      </c>
      <c r="B130" s="97">
        <v>11.7</v>
      </c>
      <c r="C130" s="81">
        <f>IF(B130&lt;=Hypothèses!$C$7,Hypothèses!$A$7,IF(B130&lt;=Hypothèses!$C$8,Hypothèses!$A$8,IF(B130&lt;=Hypothèses!$C$9,Hypothèses!$A$9,IF(B130&lt;=Hypothèses!$C$10,Hypothèses!$A$10,IF(B130&lt;=Hypothèses!$C$11,Hypothèses!$A$11,IF(B130&lt;=Hypothèses!$C$12,Hypothèses!$A$12,IF(B130&lt;=Hypothèses!$C$13,Hypothèses!$A$13,IF(B130&lt;=Hypothèses!$C$14,Hypothèses!$A$14,IF(B130&lt;=Hypothèses!$C$15,Hypothèses!$A$15,IF(B130&lt;=Hypothèses!$C$16,Hypothèses!$A$16,IF(B130&lt;=Hypothèses!$C$17,Hypothèses!$A$17,IF(B130&lt;=Hypothèses!$C$18,Hypothèses!$A$18,C129))))))))))))</f>
        <v>11</v>
      </c>
      <c r="D130" s="82" t="str">
        <f>IF(B130&lt;=Hypothèses!$C$7,Hypothèses!$R$7,IF(B130&lt;=Hypothèses!$C$8,Hypothèses!$R$8,IF(B130&lt;=Hypothèses!$C$9,Hypothèses!$R$9,IF(B130&lt;=Hypothèses!$C$10,Hypothèses!$R$10,IF(B130&lt;=Hypothèses!$C$11,Hypothèses!$R$11,IF(B130&lt;=Hypothèses!$C$12,Hypothèses!$R$12,IF(B130&lt;=Hypothèses!$C$13,Hypothèses!$R$13,IF(B130&lt;=Hypothèses!$C$14,Hypothèses!$R$14,IF(B130&lt;=Hypothèses!$C$15,Hypothèses!$R$15,IF(B130&lt;=Hypothèses!$C$16,Hypothèses!$R$16,IF(B130&lt;=Hypothèses!$C$17,Hypothèses!$R$17,IF(B130&lt;=Hypothèses!$C$18,Hypothèses!$R$18,D129))))))))))))</f>
        <v>Pressio.</v>
      </c>
      <c r="E130" s="82" t="e">
        <f>IF(B130&lt;=Hypothèses!$C$7,Hypothèses!$G$7,IF(B130&lt;=Hypothèses!$C$8,Hypothèses!$G$8,IF(B130&lt;=Hypothèses!$C$9,Hypothèses!$G$9,IF(B130&lt;=Hypothèses!$C$10,Hypothèses!$G$10,IF(B130&lt;=Hypothèses!$C$11,Hypothèses!$G$11,IF(B130&lt;=Hypothèses!$C$12,Hypothèses!$G$12,IF(B130&lt;=Hypothèses!$C$13,Hypothèses!$G$13,IF(B130&lt;=Hypothèses!$C$14,Hypothèses!$G$14,IF(B130&lt;=Hypothèses!$C$15,Hypothèses!$G$15,IF(B130&lt;=Hypothèses!$C$16,Hypothèses!$G$16,IF(B130&lt;=Hypothèses!$C$17,Hypothèses!$G$17,IF(B130&lt;=Hypothèses!$C$18,Hypothèses!$G$18,E129))))))))))))</f>
        <v>#N/A</v>
      </c>
      <c r="F130" s="82" t="str">
        <f>IF(B130&lt;=Hypothèses!$C$7,Hypothèses!$F$7,IF(B130&lt;=Hypothèses!$C$8,Hypothèses!$F$8,IF(B130&lt;=Hypothèses!$C$9,Hypothèses!$F$9,IF(B130&lt;=Hypothèses!$C$10,Hypothèses!$F$10,IF(B130&lt;=Hypothèses!$C$11,Hypothèses!$F$11,IF(B130&lt;=Hypothèses!$C$12,Hypothèses!$F$12,IF(B130&lt;=Hypothèses!$C$13,Hypothèses!$F$13,IF(B130&lt;=Hypothèses!$C$14,Hypothèses!$F$14,IF(B130&lt;=Hypothèses!$C$15,Hypothèses!$F$15,IF(B130&lt;=Hypothèses!$C$16,Hypothèses!$F$16,IF(B130&lt;=Hypothèses!$C$17,Hypothèses!$F$17,IF(B130&lt;=Hypothèses!$C$18,Hypothèses!$F$18,F129))))))))))))</f>
        <v/>
      </c>
      <c r="G130" s="91">
        <f t="array" ref="G130">INDEX('Coeff EC7'!$U$7:$X$27,
MATCH(Model0.1T!$B$3,'Coeff EC7'!$T$7:$T$27,0),
MATCH(Model0.1T!$D130&amp;Model0.1T!$B$4,
'Coeff EC7'!$U$6:$X$6&amp;
'Coeff EC7'!$U$5:$X$5,0))</f>
        <v>1.4</v>
      </c>
      <c r="H130" s="91">
        <f t="array" ref="H130">INDEX('Coeff EC7'!$Y$7:$AB$27,
MATCH(Model0.1T!$B$3,'Coeff EC7'!$T$7:$T$27,0),
MATCH(Model0.1T!$D130&amp;Model0.1T!$B$4,
'Coeff EC7'!$Y$6:$AB$6&amp;
'Coeff EC7'!$Y$5:$AB$5,0))</f>
        <v>1.7</v>
      </c>
      <c r="I130" s="83">
        <v>0</v>
      </c>
      <c r="J130" s="91" t="e">
        <f t="array" ref="J130">INDEX('Coeff EC7'!$D$33:$Q$33,1,MATCH(D130&amp;E130,'Coeff EC7'!$D$31:$Q$31&amp;'Coeff EC7'!$D$32:$Q$32,0))</f>
        <v>#N/A</v>
      </c>
      <c r="K130" s="91" t="e">
        <f t="array" ref="K130">INDEX('Coeff EC7'!$D$34:$Q$34,1,MATCH(D130&amp;E130,'Coeff EC7'!$D$31:$Q$31&amp;'Coeff EC7'!$D$32:$Q$32,0))</f>
        <v>#N/A</v>
      </c>
      <c r="L130" s="91" t="e">
        <f t="array" ref="L130">INDEX('Coeff EC7'!$D$35:$Q$35,1,MATCH(D130&amp;E130,'Coeff EC7'!$D$31:$Q$31&amp;'Coeff EC7'!$D$32:$Q$32,0))</f>
        <v>#N/A</v>
      </c>
      <c r="M130" s="98" t="e">
        <f t="shared" si="131"/>
        <v>#N/A</v>
      </c>
      <c r="N130" s="99" t="e">
        <f t="array" ref="N130">INDEX('Coeff EC7'!$D$7:$Q$27,MATCH($B$3,'Coeff EC7'!$C$7:$C$27,0),MATCH(D130&amp;E130,'Coeff EC7'!$D$5:$Q$5&amp;'Coeff EC7'!$D$6:$Q$6,0))</f>
        <v>#N/A</v>
      </c>
      <c r="O130" s="99" t="e">
        <f t="array" ref="O130">INDEX('Coeff EC7'!$D$41:$Q$61,MATCH($B$3,'Coeff EC7'!$C$41:$C$61,0),MATCH(D130&amp;E130,'Coeff EC7'!$D$39:$Q$39&amp;'Coeff EC7'!$D$40:$Q$40,0))</f>
        <v>#N/A</v>
      </c>
      <c r="P130" s="30" t="e">
        <f t="shared" si="166"/>
        <v>#N/A</v>
      </c>
      <c r="Q130" s="100" t="e">
        <f t="shared" si="133"/>
        <v>#N/A</v>
      </c>
      <c r="R130" s="86" t="b">
        <f t="shared" si="134"/>
        <v>0</v>
      </c>
      <c r="S130" s="86">
        <f t="shared" si="132"/>
        <v>0.5</v>
      </c>
      <c r="T130" s="86">
        <f t="shared" si="135"/>
        <v>0.5</v>
      </c>
      <c r="U130" s="30" t="e">
        <f t="shared" ca="1" si="167"/>
        <v>#DIV/0!</v>
      </c>
      <c r="V130" s="85" t="str">
        <f>IF(B130&lt;=Hypothèses!$V$7,Hypothèses!$W$7,IF(B130&lt;=Hypothèses!$V$8,Hypothèses!$W$8,IF(B130&lt;=Hypothèses!$V$9,Hypothèses!$W$9,IF(B130&lt;=Hypothèses!$V$10,Hypothèses!$W$10,IF(B130&lt;=Hypothèses!$V$11,Hypothèses!$W$11,IF(B130&lt;=Hypothèses!$V$12,Hypothèses!$W$12,IF(B130&lt;=Hypothèses!$V$13,Hypothèses!$W$13,IF(B130&lt;=Hypothèses!$V$14,Hypothèses!$W$14,IF(B130&lt;=Hypothèses!$V$15,Hypothèses!$W$15,IF(B130&lt;=Hypothèses!$V$16,Hypothèses!$W$16,IF(B130&lt;=Hypothèses!$V$17,Hypothèses!$W$17,IF(B130&lt;=Hypothèses!$V$18,Hypothèses!$W$18,""))))))))))))</f>
        <v/>
      </c>
      <c r="W130" s="87" t="e">
        <f t="shared" ca="1" si="216"/>
        <v>#DIV/0!</v>
      </c>
      <c r="X130" s="88" t="str">
        <f>IF(B130&lt;=Hypothèses!$V$7,Hypothèses!$X$7,IF(B130&lt;=Hypothèses!$V$8,Hypothèses!$X$8,IF(B130&lt;=Hypothèses!$V$9,Hypothèses!$X$9,IF(B130&lt;=Hypothèses!$V$10,Hypothèses!$X$10,IF(B130&lt;=Hypothèses!$V$11,Hypothèses!$X$11,IF(B130&lt;=Hypothèses!$V$12,Hypothèses!$X$12,IF(B130&lt;=Hypothèses!$V$13,Hypothèses!$X$13,IF(B130&lt;=Hypothèses!$V$14,Hypothèses!$X$14,IF(B130&lt;=Hypothèses!$V$15,Hypothèses!$X$15,IF(B130&lt;=Hypothèses!$V$16,Hypothèses!$X$16,IF(B130&lt;=Hypothèses!$U$17,Hypothèses!$W$17,IF(B130&lt;=Hypothèses!$U$18,Hypothèses!$W$18,""))))))))))))</f>
        <v/>
      </c>
      <c r="Y130" s="95" t="e">
        <f t="shared" ca="1" si="136"/>
        <v>#DIV/0!</v>
      </c>
      <c r="Z130" s="101">
        <f t="shared" si="137"/>
        <v>0</v>
      </c>
      <c r="AA130" s="91">
        <f t="shared" si="138"/>
        <v>0</v>
      </c>
      <c r="AB130" s="30" t="e">
        <f t="shared" si="200"/>
        <v>#N/A</v>
      </c>
      <c r="AC130" s="30" t="e">
        <f t="shared" si="201"/>
        <v>#N/A</v>
      </c>
      <c r="AD130" s="31" t="e">
        <f>IF(OR(Hypothèses!$B$4=17,Hypothèses!$B$4=18,Hypothèses!$B$4=19,Hypothèses!$B$4=20),
IF($D130="Pressio.",
IF(OR($E130=3,$E130=1,$E130=4),AC130,AB130),
IF($D130="Pénétro.",
IF(OR($E130=3,$E130=1,$E130=4),AC130,AB130))),IF($D130="Pressio.",
IF($E130=3,AC130,AB130),
IF($D130="Pénétro.",
IF($E130=4,AC130,AB130))))</f>
        <v>#N/A</v>
      </c>
      <c r="AE130" s="31">
        <v>0</v>
      </c>
      <c r="AF130" s="102" t="e">
        <f>IF(NDC!$H$10="Oui",(VLOOKUP($B$3,'Coeff EC7'!$T$39:$X$59,2,0)*AD130+VLOOKUP($B$3,'Coeff EC7'!$T$65:$X$85,2,0)*Model0.1T!AE130)/1.5,PI()*AB$12*$Q130*($B130-$B129)*0.15/10+AF129)</f>
        <v>#N/A</v>
      </c>
      <c r="AG130" s="102" t="e">
        <f>(VLOOKUP($B$3,'Coeff EC7'!$T$39:$X$59,3,0)*AD130+VLOOKUP($B$3,'Coeff EC7'!$T$65:$X$85,3,0)*Model0.1T!AE130)/1.1</f>
        <v>#N/A</v>
      </c>
      <c r="AH130" s="102" t="e">
        <f t="shared" si="168"/>
        <v>#N/A</v>
      </c>
      <c r="AI130" s="102" t="e">
        <f t="shared" si="169"/>
        <v>#N/A</v>
      </c>
      <c r="AJ130" s="414" t="e">
        <f>IF(AND(AF130&gt;NDC!$C$63,AG130&gt;NDC!$C$65,AH130&gt;NDC!$D$73,AI130&gt;NDC!$D$74,$B130&gt;NDC!$H$22-0.1+MIN(3*$AJ$12,1.5)),0,1)</f>
        <v>#N/A</v>
      </c>
      <c r="AK130" s="86" t="b">
        <f t="shared" si="139"/>
        <v>0</v>
      </c>
      <c r="AL130" s="86">
        <f t="shared" si="170"/>
        <v>0.5</v>
      </c>
      <c r="AM130" s="86">
        <f t="shared" si="140"/>
        <v>0.5</v>
      </c>
      <c r="AN130" s="30" t="e">
        <f t="shared" ca="1" si="171"/>
        <v>#DIV/0!</v>
      </c>
      <c r="AO130" s="85" t="e">
        <f ca="1">IF(U130&lt;=Hypothèses!$V$7,Hypothèses!$W$7,IF(U130&lt;=Hypothèses!$V$8,Hypothèses!$W$8,IF(U130&lt;=Hypothèses!$V$9,Hypothèses!$W$9,IF(U130&lt;=Hypothèses!$V$10,Hypothèses!$W$10,IF(U130&lt;=Hypothèses!$V$11,Hypothèses!$W$11,IF(U130&lt;=Hypothèses!$V$12,Hypothèses!$W$12,IF(U130&lt;=Hypothèses!$V$13,Hypothèses!$W$13,IF(U130&lt;=Hypothèses!$V$14,Hypothèses!$W$14,IF(U130&lt;=Hypothèses!$V$15,Hypothèses!$W$15,IF(U130&lt;=Hypothèses!$V$16,Hypothèses!$W$16,IF(U130&lt;=Hypothèses!$V$17,Hypothèses!$W$17,IF(U130&lt;=Hypothèses!$V$18,Hypothèses!$W$18,""))))))))))))</f>
        <v>#DIV/0!</v>
      </c>
      <c r="AP130" s="87" t="e">
        <f t="shared" ca="1" si="217"/>
        <v>#DIV/0!</v>
      </c>
      <c r="AQ130" s="88" t="e">
        <f ca="1">IF(U130&lt;=Hypothèses!$V$7,Hypothèses!$X$7,IF(U130&lt;=Hypothèses!$V$8,Hypothèses!$X$8,IF(U130&lt;=Hypothèses!$V$9,Hypothèses!$X$9,IF(U130&lt;=Hypothèses!$V$10,Hypothèses!$X$10,IF(U130&lt;=Hypothèses!$V$11,Hypothèses!$X$11,IF(U130&lt;=Hypothèses!$V$12,Hypothèses!$X$12,IF(U130&lt;=Hypothèses!$V$13,Hypothèses!$X$13,IF(U130&lt;=Hypothèses!$V$14,Hypothèses!$X$14,IF(U130&lt;=Hypothèses!$V$15,Hypothèses!$X$15,IF(U130&lt;=Hypothèses!$V$16,Hypothèses!$X$16,IF(U130&lt;=Hypothèses!$U$17,Hypothèses!$W$17,IF(U130&lt;=Hypothèses!$U$18,Hypothèses!$W$18,""))))))))))))</f>
        <v>#DIV/0!</v>
      </c>
      <c r="AR130" s="95" t="e">
        <f t="shared" ca="1" si="172"/>
        <v>#DIV/0!</v>
      </c>
      <c r="AS130" s="101">
        <f t="shared" si="224"/>
        <v>0</v>
      </c>
      <c r="AT130" s="91">
        <f t="shared" si="141"/>
        <v>0</v>
      </c>
      <c r="AU130" s="30" t="e">
        <f t="shared" si="202"/>
        <v>#N/A</v>
      </c>
      <c r="AV130" s="30" t="e">
        <f t="shared" si="203"/>
        <v>#N/A</v>
      </c>
      <c r="AW130" s="31" t="e">
        <f>IF(OR(Hypothèses!$B$4=17,Hypothèses!$B$4=18,Hypothèses!$B$4=19,Hypothèses!$B$4=20),
IF($D130="Pressio.",
IF(OR($E130=3,$E130=1,$E130=4),AV130,AU130),
IF($D130="Pénétro.",
IF(OR($E130=3,$E130=1,$E130=4),AV130,AU130))),IF($D130="Pressio.",
IF($E130=3,AV130,AU130),
IF($D130="Pénétro.",
IF($E130=4,AV130,AU130))))</f>
        <v>#N/A</v>
      </c>
      <c r="AX130" s="31">
        <v>0</v>
      </c>
      <c r="AY130" s="102" t="e">
        <f>IF(NDC!$H$10="Oui",(VLOOKUP($B$3,'Coeff EC7'!$T$39:$X$59,2,0)*AW130+VLOOKUP($B$3,'Coeff EC7'!$T$65:$X$85,2,0)*Model0.1T!AX130)/1.5,PI()*AU$12*$Q130*($B130-$B129)*0.15/10+AY129)</f>
        <v>#N/A</v>
      </c>
      <c r="AZ130" s="102" t="e">
        <f>(VLOOKUP($B$3,'Coeff EC7'!$T$39:$X$59,3,0)*AW130+VLOOKUP($B$3,'Coeff EC7'!$T$65:$X$85,3,0)*Model0.1T!AX130)/1.1</f>
        <v>#N/A</v>
      </c>
      <c r="BA130" s="102" t="e">
        <f t="shared" si="173"/>
        <v>#N/A</v>
      </c>
      <c r="BB130" s="102" t="e">
        <f t="shared" si="174"/>
        <v>#N/A</v>
      </c>
      <c r="BC130" s="414" t="e">
        <f>IF(AND(AY130&gt;NDC!$C$63,AZ130&gt;NDC!$C$65,BA130&gt;NDC!$D$73,BB130&gt;NDC!$D$74,$B130&gt;NDC!$H$22-0.1+MIN(3*BC$12,1.5)),0,1)</f>
        <v>#N/A</v>
      </c>
      <c r="BD130" s="86" t="b">
        <f t="shared" si="142"/>
        <v>0</v>
      </c>
      <c r="BE130" s="86">
        <f t="shared" si="175"/>
        <v>0.5</v>
      </c>
      <c r="BF130" s="86">
        <f t="shared" si="143"/>
        <v>0.5</v>
      </c>
      <c r="BG130" s="30" t="e">
        <f t="shared" ca="1" si="176"/>
        <v>#DIV/0!</v>
      </c>
      <c r="BH130" s="85" t="e">
        <f ca="1">IF(AN130&lt;=Hypothèses!$V$7,Hypothèses!$W$7,IF(AN130&lt;=Hypothèses!$V$8,Hypothèses!$W$8,IF(AN130&lt;=Hypothèses!$V$9,Hypothèses!$W$9,IF(AN130&lt;=Hypothèses!$V$10,Hypothèses!$W$10,IF(AN130&lt;=Hypothèses!$V$11,Hypothèses!$W$11,IF(AN130&lt;=Hypothèses!$V$12,Hypothèses!$W$12,IF(AN130&lt;=Hypothèses!$V$13,Hypothèses!$W$13,IF(AN130&lt;=Hypothèses!$V$14,Hypothèses!$W$14,IF(AN130&lt;=Hypothèses!$V$15,Hypothèses!$W$15,IF(AN130&lt;=Hypothèses!$V$16,Hypothèses!$W$16,IF(AN130&lt;=Hypothèses!$V$17,Hypothèses!$W$17,IF(AN130&lt;=Hypothèses!$V$18,Hypothèses!$W$18,""))))))))))))</f>
        <v>#DIV/0!</v>
      </c>
      <c r="BI130" s="87" t="e">
        <f t="shared" ca="1" si="218"/>
        <v>#DIV/0!</v>
      </c>
      <c r="BJ130" s="88" t="e">
        <f ca="1">IF(AN130&lt;=Hypothèses!$V$7,Hypothèses!$X$7,IF(AN130&lt;=Hypothèses!$V$8,Hypothèses!$X$8,IF(AN130&lt;=Hypothèses!$V$9,Hypothèses!$X$9,IF(AN130&lt;=Hypothèses!$V$10,Hypothèses!$X$10,IF(AN130&lt;=Hypothèses!$V$11,Hypothèses!$X$11,IF(AN130&lt;=Hypothèses!$V$12,Hypothèses!$X$12,IF(AN130&lt;=Hypothèses!$V$13,Hypothèses!$X$13,IF(AN130&lt;=Hypothèses!$V$14,Hypothèses!$X$14,IF(AN130&lt;=Hypothèses!$V$15,Hypothèses!$X$15,IF(AN130&lt;=Hypothèses!$V$16,Hypothèses!$X$16,IF(AN130&lt;=Hypothèses!$U$17,Hypothèses!$W$17,IF(AN130&lt;=Hypothèses!$U$18,Hypothèses!$W$18,""))))))))))))</f>
        <v>#DIV/0!</v>
      </c>
      <c r="BK130" s="95" t="e">
        <f t="shared" ca="1" si="177"/>
        <v>#DIV/0!</v>
      </c>
      <c r="BL130" s="101">
        <f t="shared" si="225"/>
        <v>0</v>
      </c>
      <c r="BM130" s="91">
        <f t="shared" si="144"/>
        <v>0</v>
      </c>
      <c r="BN130" s="30" t="e">
        <f t="shared" si="204"/>
        <v>#N/A</v>
      </c>
      <c r="BO130" s="30" t="e">
        <f t="shared" si="205"/>
        <v>#N/A</v>
      </c>
      <c r="BP130" s="31" t="e">
        <f>IF(OR(Hypothèses!$B$4=17,Hypothèses!$B$4=18,Hypothèses!$B$4=19,Hypothèses!$B$4=20),
IF($D130="Pressio.",
IF(OR($E130=3,$E130=1,$E130=4),BO130,BN130),
IF($D130="Pénétro.",
IF(OR($E130=3,$E130=1,$E130=4),BO130,BN130))),IF($D130="Pressio.",
IF($E130=3,BO130,BN130),
IF($D130="Pénétro.",
IF($E130=4,BO130,BN130))))</f>
        <v>#N/A</v>
      </c>
      <c r="BQ130" s="31">
        <v>0</v>
      </c>
      <c r="BR130" s="102" t="e">
        <f>IF(NDC!$H$10="Oui",(VLOOKUP($B$3,'Coeff EC7'!$T$39:$X$59,2,0)*BP130+VLOOKUP($B$3,'Coeff EC7'!$T$65:$X$85,2,0)*Model0.1T!BQ130)/1.5,PI()*BN$12*$Q130*($B130-$B129)*0.15/10+BR129)</f>
        <v>#N/A</v>
      </c>
      <c r="BS130" s="102" t="e">
        <f>(VLOOKUP($B$3,'Coeff EC7'!$T$39:$X$59,3,0)*BP130+VLOOKUP($B$3,'Coeff EC7'!$T$65:$X$85,3,0)*Model0.1T!BQ130)/1.1</f>
        <v>#N/A</v>
      </c>
      <c r="BT130" s="102" t="e">
        <f t="shared" si="178"/>
        <v>#N/A</v>
      </c>
      <c r="BU130" s="102" t="e">
        <f t="shared" si="179"/>
        <v>#N/A</v>
      </c>
      <c r="BV130" s="414" t="e">
        <f>IF(AND(BR130&gt;NDC!$C$63,BS130&gt;NDC!$C$65,BT130&gt;NDC!$D$73,BU130&gt;NDC!$D$74,$B130&gt;NDC!$H$22-0.1+MIN(3*BV$12,1.5)),0,1)</f>
        <v>#N/A</v>
      </c>
      <c r="BW130" s="86" t="b">
        <f t="shared" si="145"/>
        <v>0</v>
      </c>
      <c r="BX130" s="86">
        <f t="shared" si="146"/>
        <v>0.5</v>
      </c>
      <c r="BY130" s="86">
        <f t="shared" si="147"/>
        <v>0.5</v>
      </c>
      <c r="BZ130" s="30" t="e">
        <f t="shared" ca="1" si="180"/>
        <v>#DIV/0!</v>
      </c>
      <c r="CA130" s="85" t="e">
        <f ca="1">IF(BG130&lt;=Hypothèses!$V$7,Hypothèses!$W$7,IF(BG130&lt;=Hypothèses!$V$8,Hypothèses!$W$8,IF(BG130&lt;=Hypothèses!$V$9,Hypothèses!$W$9,IF(BG130&lt;=Hypothèses!$V$10,Hypothèses!$W$10,IF(BG130&lt;=Hypothèses!$V$11,Hypothèses!$W$11,IF(BG130&lt;=Hypothèses!$V$12,Hypothèses!$W$12,IF(BG130&lt;=Hypothèses!$V$13,Hypothèses!$W$13,IF(BG130&lt;=Hypothèses!$V$14,Hypothèses!$W$14,IF(BG130&lt;=Hypothèses!$V$15,Hypothèses!$W$15,IF(BG130&lt;=Hypothèses!$V$16,Hypothèses!$W$16,IF(BG130&lt;=Hypothèses!$V$17,Hypothèses!$W$17,IF(BG130&lt;=Hypothèses!$V$18,Hypothèses!$W$18,""))))))))))))</f>
        <v>#DIV/0!</v>
      </c>
      <c r="CB130" s="87" t="e">
        <f t="shared" ca="1" si="219"/>
        <v>#DIV/0!</v>
      </c>
      <c r="CC130" s="88" t="e">
        <f ca="1">IF(BG130&lt;=Hypothèses!$V$7,Hypothèses!$X$7,IF(BG130&lt;=Hypothèses!$V$8,Hypothèses!$X$8,IF(BG130&lt;=Hypothèses!$V$9,Hypothèses!$X$9,IF(BG130&lt;=Hypothèses!$V$10,Hypothèses!$X$10,IF(BG130&lt;=Hypothèses!$V$11,Hypothèses!$X$11,IF(BG130&lt;=Hypothèses!$V$12,Hypothèses!$X$12,IF(BG130&lt;=Hypothèses!$V$13,Hypothèses!$X$13,IF(BG130&lt;=Hypothèses!$V$14,Hypothèses!$X$14,IF(BG130&lt;=Hypothèses!$V$15,Hypothèses!$X$15,IF(BG130&lt;=Hypothèses!$V$16,Hypothèses!$X$16,IF(BG130&lt;=Hypothèses!$U$17,Hypothèses!$W$17,IF(BG130&lt;=Hypothèses!$U$18,Hypothèses!$W$18,""))))))))))))</f>
        <v>#DIV/0!</v>
      </c>
      <c r="CD130" s="95" t="e">
        <f t="shared" ca="1" si="181"/>
        <v>#DIV/0!</v>
      </c>
      <c r="CE130" s="101">
        <f t="shared" si="226"/>
        <v>0</v>
      </c>
      <c r="CF130" s="91">
        <f t="shared" si="148"/>
        <v>0</v>
      </c>
      <c r="CG130" s="30" t="e">
        <f t="shared" si="206"/>
        <v>#N/A</v>
      </c>
      <c r="CH130" s="30" t="e">
        <f t="shared" si="207"/>
        <v>#N/A</v>
      </c>
      <c r="CI130" s="31" t="e">
        <f>IF(OR(Hypothèses!$B$4=17,Hypothèses!$B$4=18,Hypothèses!$B$4=19,Hypothèses!$B$4=20),
IF($D130="Pressio.",
IF(OR($E130=3,$E130=1,$E130=4),CH130,CG130),
IF($D130="Pénétro.",
IF(OR($E130=3,$E130=1,$E130=4),CH130,CG130))),IF($D130="Pressio.",
IF($E130=3,CH130,CG130),
IF($D130="Pénétro.",
IF($E130=4,CH130,CG130))))</f>
        <v>#N/A</v>
      </c>
      <c r="CJ130" s="31">
        <v>0</v>
      </c>
      <c r="CK130" s="102" t="e">
        <f>IF(NDC!$H$10="Oui",(VLOOKUP($B$3,'Coeff EC7'!$T$39:$X$59,2,0)*CI130+VLOOKUP($B$3,'Coeff EC7'!$T$65:$X$85,2,0)*Model0.1T!CJ130)/1.5,PI()*CG$12*$Q130*($B130-$B129)*0.15/10+CK129)</f>
        <v>#N/A</v>
      </c>
      <c r="CL130" s="102" t="e">
        <f>(VLOOKUP($B$3,'Coeff EC7'!$T$39:$X$59,3,0)*CI130+VLOOKUP($B$3,'Coeff EC7'!$T$65:$X$85,3,0)*Model0.1T!CJ130)/1.1</f>
        <v>#N/A</v>
      </c>
      <c r="CM130" s="102" t="e">
        <f t="shared" si="182"/>
        <v>#N/A</v>
      </c>
      <c r="CN130" s="102" t="e">
        <f t="shared" si="183"/>
        <v>#N/A</v>
      </c>
      <c r="CO130" s="414" t="e">
        <f>IF(AND(CK130&gt;NDC!$C$63,CL130&gt;NDC!$C$65,CM130&gt;NDC!$D$73,CN130&gt;NDC!$D$74,$B130&gt;NDC!$H$22-0.1+MIN(3*CO$12,1.5)),0,1)</f>
        <v>#N/A</v>
      </c>
      <c r="CP130" s="86" t="b">
        <f t="shared" si="149"/>
        <v>0</v>
      </c>
      <c r="CQ130" s="86">
        <f t="shared" si="150"/>
        <v>0.5</v>
      </c>
      <c r="CR130" s="86">
        <f t="shared" si="151"/>
        <v>0.5</v>
      </c>
      <c r="CS130" s="30" t="e">
        <f t="shared" ca="1" si="184"/>
        <v>#DIV/0!</v>
      </c>
      <c r="CT130" s="85" t="e">
        <f ca="1">IF(BZ130&lt;=Hypothèses!$V$7,Hypothèses!$W$7,IF(BZ130&lt;=Hypothèses!$V$8,Hypothèses!$W$8,IF(BZ130&lt;=Hypothèses!$V$9,Hypothèses!$W$9,IF(BZ130&lt;=Hypothèses!$V$10,Hypothèses!$W$10,IF(BZ130&lt;=Hypothèses!$V$11,Hypothèses!$W$11,IF(BZ130&lt;=Hypothèses!$V$12,Hypothèses!$W$12,IF(BZ130&lt;=Hypothèses!$V$13,Hypothèses!$W$13,IF(BZ130&lt;=Hypothèses!$V$14,Hypothèses!$W$14,IF(BZ130&lt;=Hypothèses!$V$15,Hypothèses!$W$15,IF(BZ130&lt;=Hypothèses!$V$16,Hypothèses!$W$16,IF(BZ130&lt;=Hypothèses!$V$17,Hypothèses!$W$17,IF(BZ130&lt;=Hypothèses!$V$18,Hypothèses!$W$18,""))))))))))))</f>
        <v>#DIV/0!</v>
      </c>
      <c r="CU130" s="87" t="e">
        <f t="shared" ca="1" si="220"/>
        <v>#DIV/0!</v>
      </c>
      <c r="CV130" s="88" t="e">
        <f ca="1">IF(BZ130&lt;=Hypothèses!$V$7,Hypothèses!$X$7,IF(BZ130&lt;=Hypothèses!$V$8,Hypothèses!$X$8,IF(BZ130&lt;=Hypothèses!$V$9,Hypothèses!$X$9,IF(BZ130&lt;=Hypothèses!$V$10,Hypothèses!$X$10,IF(BZ130&lt;=Hypothèses!$V$11,Hypothèses!$X$11,IF(BZ130&lt;=Hypothèses!$V$12,Hypothèses!$X$12,IF(BZ130&lt;=Hypothèses!$V$13,Hypothèses!$X$13,IF(BZ130&lt;=Hypothèses!$V$14,Hypothèses!$X$14,IF(BZ130&lt;=Hypothèses!$V$15,Hypothèses!$X$15,IF(BZ130&lt;=Hypothèses!$V$16,Hypothèses!$X$16,IF(BZ130&lt;=Hypothèses!$U$17,Hypothèses!$W$17,IF(BZ130&lt;=Hypothèses!$U$18,Hypothèses!$W$18,""))))))))))))</f>
        <v>#DIV/0!</v>
      </c>
      <c r="CW130" s="95" t="e">
        <f t="shared" ca="1" si="185"/>
        <v>#DIV/0!</v>
      </c>
      <c r="CX130" s="101">
        <f t="shared" si="227"/>
        <v>0</v>
      </c>
      <c r="CY130" s="91">
        <f t="shared" si="152"/>
        <v>0</v>
      </c>
      <c r="CZ130" s="30" t="e">
        <f t="shared" si="208"/>
        <v>#N/A</v>
      </c>
      <c r="DA130" s="30" t="e">
        <f t="shared" si="209"/>
        <v>#N/A</v>
      </c>
      <c r="DB130" s="31" t="e">
        <f>IF(OR(Hypothèses!$B$4=17,Hypothèses!$B$4=18,Hypothèses!$B$4=19,Hypothèses!$B$4=20),
IF($D130="Pressio.",
IF(OR($E130=3,$E130=1,$E130=4),DA130,CZ130),
IF($D130="Pénétro.",
IF(OR($E130=3,$E130=1,$E130=4),DA130,CZ130))),IF($D130="Pressio.",
IF($E130=3,DA130,CZ130),
IF($D130="Pénétro.",
IF($E130=4,DA130,CZ130))))</f>
        <v>#N/A</v>
      </c>
      <c r="DC130" s="31">
        <v>0</v>
      </c>
      <c r="DD130" s="102" t="e">
        <f>IF(NDC!$H$10="Oui",(VLOOKUP($B$3,'Coeff EC7'!$T$39:$X$59,2,0)*DB130+VLOOKUP($B$3,'Coeff EC7'!$T$65:$X$85,2,0)*Model0.1T!DC130)/1.5,PI()*CZ$12*$Q130*($B130-$B129)*0.15/10+DD129)</f>
        <v>#N/A</v>
      </c>
      <c r="DE130" s="102" t="e">
        <f>(VLOOKUP($B$3,'Coeff EC7'!$T$39:$X$59,3,0)*DB130+VLOOKUP($B$3,'Coeff EC7'!$T$65:$X$85,3,0)*Model0.1T!DC130)/1.1</f>
        <v>#N/A</v>
      </c>
      <c r="DF130" s="102" t="e">
        <f t="shared" si="186"/>
        <v>#N/A</v>
      </c>
      <c r="DG130" s="102" t="e">
        <f t="shared" si="187"/>
        <v>#N/A</v>
      </c>
      <c r="DH130" s="414" t="e">
        <f>IF(AND(DD130&gt;NDC!$C$63,DE130&gt;NDC!$C$65,DF130&gt;NDC!$D$73,DG130&gt;NDC!$D$74,$B130&gt;NDC!$H$22-0.1+MIN(3*DH$12,1.5)),0,1)</f>
        <v>#N/A</v>
      </c>
      <c r="DI130" s="86" t="b">
        <f t="shared" si="153"/>
        <v>0</v>
      </c>
      <c r="DJ130" s="86">
        <f t="shared" si="154"/>
        <v>0.5</v>
      </c>
      <c r="DK130" s="86">
        <f t="shared" si="155"/>
        <v>0.5</v>
      </c>
      <c r="DL130" s="30" t="e">
        <f t="shared" ca="1" si="188"/>
        <v>#DIV/0!</v>
      </c>
      <c r="DM130" s="85" t="e">
        <f ca="1">IF(CS130&lt;=Hypothèses!$V$7,Hypothèses!$W$7,IF(CS130&lt;=Hypothèses!$V$8,Hypothèses!$W$8,IF(CS130&lt;=Hypothèses!$V$9,Hypothèses!$W$9,IF(CS130&lt;=Hypothèses!$V$10,Hypothèses!$W$10,IF(CS130&lt;=Hypothèses!$V$11,Hypothèses!$W$11,IF(CS130&lt;=Hypothèses!$V$12,Hypothèses!$W$12,IF(CS130&lt;=Hypothèses!$V$13,Hypothèses!$W$13,IF(CS130&lt;=Hypothèses!$V$14,Hypothèses!$W$14,IF(CS130&lt;=Hypothèses!$V$15,Hypothèses!$W$15,IF(CS130&lt;=Hypothèses!$V$16,Hypothèses!$W$16,IF(CS130&lt;=Hypothèses!$V$17,Hypothèses!$W$17,IF(CS130&lt;=Hypothèses!$V$18,Hypothèses!$W$18,""))))))))))))</f>
        <v>#DIV/0!</v>
      </c>
      <c r="DN130" s="87" t="e">
        <f t="shared" ca="1" si="221"/>
        <v>#DIV/0!</v>
      </c>
      <c r="DO130" s="88" t="e">
        <f ca="1">IF(CS130&lt;=Hypothèses!$V$7,Hypothèses!$X$7,IF(CS130&lt;=Hypothèses!$V$8,Hypothèses!$X$8,IF(CS130&lt;=Hypothèses!$V$9,Hypothèses!$X$9,IF(CS130&lt;=Hypothèses!$V$10,Hypothèses!$X$10,IF(CS130&lt;=Hypothèses!$V$11,Hypothèses!$X$11,IF(CS130&lt;=Hypothèses!$V$12,Hypothèses!$X$12,IF(CS130&lt;=Hypothèses!$V$13,Hypothèses!$X$13,IF(CS130&lt;=Hypothèses!$V$14,Hypothèses!$X$14,IF(CS130&lt;=Hypothèses!$V$15,Hypothèses!$X$15,IF(CS130&lt;=Hypothèses!$V$16,Hypothèses!$X$16,IF(CS130&lt;=Hypothèses!$U$17,Hypothèses!$W$17,IF(CS130&lt;=Hypothèses!$U$18,Hypothèses!$W$18,""))))))))))))</f>
        <v>#DIV/0!</v>
      </c>
      <c r="DP130" s="95" t="e">
        <f t="shared" ca="1" si="189"/>
        <v>#DIV/0!</v>
      </c>
      <c r="DQ130" s="101">
        <f t="shared" si="228"/>
        <v>0</v>
      </c>
      <c r="DR130" s="91">
        <f t="shared" si="156"/>
        <v>0</v>
      </c>
      <c r="DS130" s="30" t="e">
        <f t="shared" si="210"/>
        <v>#N/A</v>
      </c>
      <c r="DT130" s="30" t="e">
        <f t="shared" si="211"/>
        <v>#N/A</v>
      </c>
      <c r="DU130" s="31" t="e">
        <f>IF(OR(Hypothèses!$B$4=17,Hypothèses!$B$4=18,Hypothèses!$B$4=19,Hypothèses!$B$4=20),
IF($D130="Pressio.",
IF(OR($E130=3,$E130=1,$E130=4),DT130,DS130),
IF($D130="Pénétro.",
IF(OR($E130=3,$E130=1,$E130=4),DT130,DS130))),IF($D130="Pressio.",
IF($E130=3,DT130,DS130),
IF($D130="Pénétro.",
IF($E130=4,DT130,DS130))))</f>
        <v>#N/A</v>
      </c>
      <c r="DV130" s="31">
        <v>0</v>
      </c>
      <c r="DW130" s="102" t="e">
        <f>IF(NDC!$H$10="Oui",(VLOOKUP($B$3,'Coeff EC7'!$T$39:$X$59,2,0)*DU130+VLOOKUP($B$3,'Coeff EC7'!$T$65:$X$85,2,0)*Model0.1T!DV130)/1.5,PI()*DS$12*$Q130*($B130-$B129)*0.15/10+DW129)</f>
        <v>#N/A</v>
      </c>
      <c r="DX130" s="102" t="e">
        <f>(VLOOKUP($B$3,'Coeff EC7'!$T$39:$X$59,3,0)*DU130+VLOOKUP($B$3,'Coeff EC7'!$T$65:$X$85,3,0)*Model0.1T!DV130)/1.1</f>
        <v>#N/A</v>
      </c>
      <c r="DY130" s="102" t="e">
        <f t="shared" si="190"/>
        <v>#N/A</v>
      </c>
      <c r="DZ130" s="102" t="e">
        <f t="shared" si="191"/>
        <v>#N/A</v>
      </c>
      <c r="EA130" s="414" t="e">
        <f>IF(AND(DW130&gt;NDC!$C$63,DX130&gt;NDC!$C$65,DY130&gt;NDC!$D$73,DZ130&gt;NDC!$D$74,$B130&gt;NDC!$H$22-0.1+MIN(3*EA$12,1.5)),0,1)</f>
        <v>#N/A</v>
      </c>
      <c r="EB130" s="86" t="b">
        <f t="shared" si="157"/>
        <v>0</v>
      </c>
      <c r="EC130" s="418">
        <f t="shared" si="158"/>
        <v>0.51</v>
      </c>
      <c r="ED130" s="86">
        <f t="shared" si="159"/>
        <v>0.51</v>
      </c>
      <c r="EE130" s="30" t="e">
        <f t="shared" ca="1" si="192"/>
        <v>#DIV/0!</v>
      </c>
      <c r="EF130" s="85" t="e">
        <f ca="1">IF(DL130&lt;=Hypothèses!$V$7,Hypothèses!$W$7,IF(DL130&lt;=Hypothèses!$V$8,Hypothèses!$W$8,IF(DL130&lt;=Hypothèses!$V$9,Hypothèses!$W$9,IF(DL130&lt;=Hypothèses!$V$10,Hypothèses!$W$10,IF(DL130&lt;=Hypothèses!$V$11,Hypothèses!$W$11,IF(DL130&lt;=Hypothèses!$V$12,Hypothèses!$W$12,IF(DL130&lt;=Hypothèses!$V$13,Hypothèses!$W$13,IF(DL130&lt;=Hypothèses!$V$14,Hypothèses!$W$14,IF(DL130&lt;=Hypothèses!$V$15,Hypothèses!$W$15,IF(DL130&lt;=Hypothèses!$V$16,Hypothèses!$W$16,IF(DL130&lt;=Hypothèses!$V$17,Hypothèses!$W$17,IF(DL130&lt;=Hypothèses!$V$18,Hypothèses!$W$18,""))))))))))))</f>
        <v>#DIV/0!</v>
      </c>
      <c r="EG130" s="87" t="e">
        <f t="shared" ca="1" si="222"/>
        <v>#DIV/0!</v>
      </c>
      <c r="EH130" s="88" t="e">
        <f ca="1">IF(DL130&lt;=Hypothèses!$V$7,Hypothèses!$X$7,IF(DL130&lt;=Hypothèses!$V$8,Hypothèses!$X$8,IF(DL130&lt;=Hypothèses!$V$9,Hypothèses!$X$9,IF(DL130&lt;=Hypothèses!$V$10,Hypothèses!$X$10,IF(DL130&lt;=Hypothèses!$V$11,Hypothèses!$X$11,IF(DL130&lt;=Hypothèses!$V$12,Hypothèses!$X$12,IF(DL130&lt;=Hypothèses!$V$13,Hypothèses!$X$13,IF(DL130&lt;=Hypothèses!$V$14,Hypothèses!$X$14,IF(DL130&lt;=Hypothèses!$V$15,Hypothèses!$X$15,IF(DL130&lt;=Hypothèses!$V$16,Hypothèses!$X$16,IF(DL130&lt;=Hypothèses!$U$17,Hypothèses!$W$17,IF(DL130&lt;=Hypothèses!$U$18,Hypothèses!$W$18,""))))))))))))</f>
        <v>#DIV/0!</v>
      </c>
      <c r="EI130" s="95" t="e">
        <f t="shared" ca="1" si="193"/>
        <v>#DIV/0!</v>
      </c>
      <c r="EJ130" s="101">
        <f t="shared" si="229"/>
        <v>0</v>
      </c>
      <c r="EK130" s="91">
        <f t="shared" si="160"/>
        <v>0</v>
      </c>
      <c r="EL130" s="30" t="e">
        <f t="shared" si="212"/>
        <v>#N/A</v>
      </c>
      <c r="EM130" s="30" t="e">
        <f t="shared" si="213"/>
        <v>#N/A</v>
      </c>
      <c r="EN130" s="31" t="e">
        <f>IF(OR(Hypothèses!$B$4=17,Hypothèses!$B$4=18,Hypothèses!$B$4=19,Hypothèses!$B$4=20),
IF($D130="Pressio.",
IF(OR($E130=3,$E130=1,$E130=4),EM130,EL130),
IF($D130="Pénétro.",
IF(OR($E130=3,$E130=1,$E130=4),EM130,EL130))),IF($D130="Pressio.",
IF($E130=3,EM130,EL130),
IF($D130="Pénétro.",
IF($E130=4,EM130,EL130))))</f>
        <v>#N/A</v>
      </c>
      <c r="EO130" s="31">
        <v>0</v>
      </c>
      <c r="EP130" s="102" t="e">
        <f>IF(NDC!$H$10="Oui",(VLOOKUP($B$3,'Coeff EC7'!$T$39:$X$59,2,0)*EN130+VLOOKUP($B$3,'Coeff EC7'!$T$65:$X$85,2,0)*Model0.1T!EO130)/1.5,PI()*EL$12*$Q130*($B130-$B129)*0.15/10+EP129)</f>
        <v>#N/A</v>
      </c>
      <c r="EQ130" s="102" t="e">
        <f>(VLOOKUP($B$3,'Coeff EC7'!$T$39:$X$59,3,0)*EN130+VLOOKUP($B$3,'Coeff EC7'!$T$65:$X$85,3,0)*Model0.1T!EO130)/1.1</f>
        <v>#N/A</v>
      </c>
      <c r="ER130" s="102" t="e">
        <f t="shared" si="194"/>
        <v>#N/A</v>
      </c>
      <c r="ES130" s="102" t="e">
        <f t="shared" si="195"/>
        <v>#N/A</v>
      </c>
      <c r="ET130" s="414" t="e">
        <f>IF(AND(EP130&gt;NDC!$C$63,EQ130&gt;NDC!$C$65,ER130&gt;NDC!$D$73,ES130&gt;NDC!$D$74,$B130&gt;NDC!$H$22-0.1+MIN(3*ET$12,1.5)),0,1)</f>
        <v>#N/A</v>
      </c>
      <c r="EU130" s="86" t="b">
        <f t="shared" si="161"/>
        <v>0</v>
      </c>
      <c r="EV130" s="86">
        <f t="shared" si="162"/>
        <v>0.61</v>
      </c>
      <c r="EW130" s="86">
        <f t="shared" si="163"/>
        <v>0.61</v>
      </c>
      <c r="EX130" s="30" t="e">
        <f t="shared" ca="1" si="196"/>
        <v>#DIV/0!</v>
      </c>
      <c r="EY130" s="85" t="e">
        <f ca="1">IF(EE130&lt;=Hypothèses!$V$7,Hypothèses!$W$7,IF(EE130&lt;=Hypothèses!$V$8,Hypothèses!$W$8,IF(EE130&lt;=Hypothèses!$V$9,Hypothèses!$W$9,IF(EE130&lt;=Hypothèses!$V$10,Hypothèses!$W$10,IF(EE130&lt;=Hypothèses!$V$11,Hypothèses!$W$11,IF(EE130&lt;=Hypothèses!$V$12,Hypothèses!$W$12,IF(EE130&lt;=Hypothèses!$V$13,Hypothèses!$W$13,IF(EE130&lt;=Hypothèses!$V$14,Hypothèses!$W$14,IF(EE130&lt;=Hypothèses!$V$15,Hypothèses!$W$15,IF(EE130&lt;=Hypothèses!$V$16,Hypothèses!$W$16,IF(EE130&lt;=Hypothèses!$V$17,Hypothèses!$W$17,IF(EE130&lt;=Hypothèses!$V$18,Hypothèses!$W$18,""))))))))))))</f>
        <v>#DIV/0!</v>
      </c>
      <c r="EZ130" s="87" t="e">
        <f t="shared" ca="1" si="223"/>
        <v>#DIV/0!</v>
      </c>
      <c r="FA130" s="88" t="e">
        <f ca="1">IF(EE130&lt;=Hypothèses!$V$7,Hypothèses!$X$7,IF(EE130&lt;=Hypothèses!$V$8,Hypothèses!$X$8,IF(EE130&lt;=Hypothèses!$V$9,Hypothèses!$X$9,IF(EE130&lt;=Hypothèses!$V$10,Hypothèses!$X$10,IF(EE130&lt;=Hypothèses!$V$11,Hypothèses!$X$11,IF(EE130&lt;=Hypothèses!$V$12,Hypothèses!$X$12,IF(EE130&lt;=Hypothèses!$V$13,Hypothèses!$X$13,IF(EE130&lt;=Hypothèses!$V$14,Hypothèses!$X$14,IF(EE130&lt;=Hypothèses!$V$15,Hypothèses!$X$15,IF(EE130&lt;=Hypothèses!$V$16,Hypothèses!$X$16,IF(EE130&lt;=Hypothèses!$U$17,Hypothèses!$W$17,IF(EE130&lt;=Hypothèses!$U$18,Hypothèses!$W$18,""))))))))))))</f>
        <v>#DIV/0!</v>
      </c>
      <c r="FB130" s="95" t="e">
        <f t="shared" ca="1" si="197"/>
        <v>#DIV/0!</v>
      </c>
      <c r="FC130" s="101">
        <f t="shared" si="230"/>
        <v>0</v>
      </c>
      <c r="FD130" s="91">
        <f t="shared" si="164"/>
        <v>0</v>
      </c>
      <c r="FE130" s="30" t="e">
        <f t="shared" si="214"/>
        <v>#N/A</v>
      </c>
      <c r="FF130" s="30" t="e">
        <f t="shared" si="215"/>
        <v>#N/A</v>
      </c>
      <c r="FG130" s="31" t="e">
        <f>IF(OR(Hypothèses!$B$4=17,Hypothèses!$B$4=18,Hypothèses!$B$4=19,Hypothèses!$B$4=20),
IF($D130="Pressio.",
IF(OR($E130=3,$E130=1,$E130=4),FF130,FE130),
IF($D130="Pénétro.",
IF(OR($E130=3,$E130=1,$E130=4),FF130,FE130))),IF($D130="Pressio.",
IF($E130=3,FF130,FE130),
IF($D130="Pénétro.",
IF($E130=4,FF130,FE130))))</f>
        <v>#N/A</v>
      </c>
      <c r="FH130" s="31">
        <v>0</v>
      </c>
      <c r="FI130" s="102" t="e">
        <f>IF(NDC!$H$10="Oui",(VLOOKUP($B$3,'Coeff EC7'!$T$39:$X$59,2,0)*FG130+VLOOKUP($B$3,'Coeff EC7'!$T$65:$X$85,2,0)*Model0.1T!FH130)/1.5,PI()*FE$12*$Q130*($B130-$B129)*0.15/10+FI129)</f>
        <v>#N/A</v>
      </c>
      <c r="FJ130" s="102" t="e">
        <f>(VLOOKUP($B$3,'Coeff EC7'!$T$39:$X$59,3,0)*FG130+VLOOKUP($B$3,'Coeff EC7'!$T$65:$X$85,3,0)*Model0.1T!FH130)/1.1</f>
        <v>#N/A</v>
      </c>
      <c r="FK130" s="102" t="e">
        <f t="shared" si="198"/>
        <v>#N/A</v>
      </c>
      <c r="FL130" s="102" t="e">
        <f t="shared" si="199"/>
        <v>#N/A</v>
      </c>
      <c r="FM130" s="414" t="e">
        <f>IF(AND(FI130&gt;NDC!$C$63,FJ130&gt;NDC!$C$65,FK130&gt;NDC!$D$73,FL130&gt;NDC!$D$74,$B130&gt;NDC!$H$22-0.1+MIN(3*FM$12,1.5)),0,1)</f>
        <v>#N/A</v>
      </c>
    </row>
    <row r="131" spans="1:169">
      <c r="A131" s="96">
        <f t="shared" si="165"/>
        <v>88.200000000000671</v>
      </c>
      <c r="B131" s="97">
        <v>11.8</v>
      </c>
      <c r="C131" s="81">
        <f>IF(B131&lt;=Hypothèses!$C$7,Hypothèses!$A$7,IF(B131&lt;=Hypothèses!$C$8,Hypothèses!$A$8,IF(B131&lt;=Hypothèses!$C$9,Hypothèses!$A$9,IF(B131&lt;=Hypothèses!$C$10,Hypothèses!$A$10,IF(B131&lt;=Hypothèses!$C$11,Hypothèses!$A$11,IF(B131&lt;=Hypothèses!$C$12,Hypothèses!$A$12,IF(B131&lt;=Hypothèses!$C$13,Hypothèses!$A$13,IF(B131&lt;=Hypothèses!$C$14,Hypothèses!$A$14,IF(B131&lt;=Hypothèses!$C$15,Hypothèses!$A$15,IF(B131&lt;=Hypothèses!$C$16,Hypothèses!$A$16,IF(B131&lt;=Hypothèses!$C$17,Hypothèses!$A$17,IF(B131&lt;=Hypothèses!$C$18,Hypothèses!$A$18,C130))))))))))))</f>
        <v>11</v>
      </c>
      <c r="D131" s="82" t="str">
        <f>IF(B131&lt;=Hypothèses!$C$7,Hypothèses!$R$7,IF(B131&lt;=Hypothèses!$C$8,Hypothèses!$R$8,IF(B131&lt;=Hypothèses!$C$9,Hypothèses!$R$9,IF(B131&lt;=Hypothèses!$C$10,Hypothèses!$R$10,IF(B131&lt;=Hypothèses!$C$11,Hypothèses!$R$11,IF(B131&lt;=Hypothèses!$C$12,Hypothèses!$R$12,IF(B131&lt;=Hypothèses!$C$13,Hypothèses!$R$13,IF(B131&lt;=Hypothèses!$C$14,Hypothèses!$R$14,IF(B131&lt;=Hypothèses!$C$15,Hypothèses!$R$15,IF(B131&lt;=Hypothèses!$C$16,Hypothèses!$R$16,IF(B131&lt;=Hypothèses!$C$17,Hypothèses!$R$17,IF(B131&lt;=Hypothèses!$C$18,Hypothèses!$R$18,D130))))))))))))</f>
        <v>Pressio.</v>
      </c>
      <c r="E131" s="82" t="e">
        <f>IF(B131&lt;=Hypothèses!$C$7,Hypothèses!$G$7,IF(B131&lt;=Hypothèses!$C$8,Hypothèses!$G$8,IF(B131&lt;=Hypothèses!$C$9,Hypothèses!$G$9,IF(B131&lt;=Hypothèses!$C$10,Hypothèses!$G$10,IF(B131&lt;=Hypothèses!$C$11,Hypothèses!$G$11,IF(B131&lt;=Hypothèses!$C$12,Hypothèses!$G$12,IF(B131&lt;=Hypothèses!$C$13,Hypothèses!$G$13,IF(B131&lt;=Hypothèses!$C$14,Hypothèses!$G$14,IF(B131&lt;=Hypothèses!$C$15,Hypothèses!$G$15,IF(B131&lt;=Hypothèses!$C$16,Hypothèses!$G$16,IF(B131&lt;=Hypothèses!$C$17,Hypothèses!$G$17,IF(B131&lt;=Hypothèses!$C$18,Hypothèses!$G$18,E130))))))))))))</f>
        <v>#N/A</v>
      </c>
      <c r="F131" s="82" t="str">
        <f>IF(B131&lt;=Hypothèses!$C$7,Hypothèses!$F$7,IF(B131&lt;=Hypothèses!$C$8,Hypothèses!$F$8,IF(B131&lt;=Hypothèses!$C$9,Hypothèses!$F$9,IF(B131&lt;=Hypothèses!$C$10,Hypothèses!$F$10,IF(B131&lt;=Hypothèses!$C$11,Hypothèses!$F$11,IF(B131&lt;=Hypothèses!$C$12,Hypothèses!$F$12,IF(B131&lt;=Hypothèses!$C$13,Hypothèses!$F$13,IF(B131&lt;=Hypothèses!$C$14,Hypothèses!$F$14,IF(B131&lt;=Hypothèses!$C$15,Hypothèses!$F$15,IF(B131&lt;=Hypothèses!$C$16,Hypothèses!$F$16,IF(B131&lt;=Hypothèses!$C$17,Hypothèses!$F$17,IF(B131&lt;=Hypothèses!$C$18,Hypothèses!$F$18,F130))))))))))))</f>
        <v/>
      </c>
      <c r="G131" s="91">
        <f t="array" ref="G131">INDEX('Coeff EC7'!$U$7:$X$27,
MATCH(Model0.1T!$B$3,'Coeff EC7'!$T$7:$T$27,0),
MATCH(Model0.1T!$D131&amp;Model0.1T!$B$4,
'Coeff EC7'!$U$6:$X$6&amp;
'Coeff EC7'!$U$5:$X$5,0))</f>
        <v>1.4</v>
      </c>
      <c r="H131" s="91">
        <f t="array" ref="H131">INDEX('Coeff EC7'!$Y$7:$AB$27,
MATCH(Model0.1T!$B$3,'Coeff EC7'!$T$7:$T$27,0),
MATCH(Model0.1T!$D131&amp;Model0.1T!$B$4,
'Coeff EC7'!$Y$6:$AB$6&amp;
'Coeff EC7'!$Y$5:$AB$5,0))</f>
        <v>1.7</v>
      </c>
      <c r="I131" s="83">
        <v>0</v>
      </c>
      <c r="J131" s="91" t="e">
        <f t="array" ref="J131">INDEX('Coeff EC7'!$D$33:$Q$33,1,MATCH(D131&amp;E131,'Coeff EC7'!$D$31:$Q$31&amp;'Coeff EC7'!$D$32:$Q$32,0))</f>
        <v>#N/A</v>
      </c>
      <c r="K131" s="91" t="e">
        <f t="array" ref="K131">INDEX('Coeff EC7'!$D$34:$Q$34,1,MATCH(D131&amp;E131,'Coeff EC7'!$D$31:$Q$31&amp;'Coeff EC7'!$D$32:$Q$32,0))</f>
        <v>#N/A</v>
      </c>
      <c r="L131" s="91" t="e">
        <f t="array" ref="L131">INDEX('Coeff EC7'!$D$35:$Q$35,1,MATCH(D131&amp;E131,'Coeff EC7'!$D$31:$Q$31&amp;'Coeff EC7'!$D$32:$Q$32,0))</f>
        <v>#N/A</v>
      </c>
      <c r="M131" s="98" t="e">
        <f t="shared" si="131"/>
        <v>#N/A</v>
      </c>
      <c r="N131" s="99" t="e">
        <f t="array" ref="N131">INDEX('Coeff EC7'!$D$7:$Q$27,MATCH($B$3,'Coeff EC7'!$C$7:$C$27,0),MATCH(D131&amp;E131,'Coeff EC7'!$D$5:$Q$5&amp;'Coeff EC7'!$D$6:$Q$6,0))</f>
        <v>#N/A</v>
      </c>
      <c r="O131" s="99" t="e">
        <f t="array" ref="O131">INDEX('Coeff EC7'!$D$41:$Q$61,MATCH($B$3,'Coeff EC7'!$C$41:$C$61,0),MATCH(D131&amp;E131,'Coeff EC7'!$D$39:$Q$39&amp;'Coeff EC7'!$D$40:$Q$40,0))</f>
        <v>#N/A</v>
      </c>
      <c r="P131" s="30" t="e">
        <f t="shared" si="166"/>
        <v>#N/A</v>
      </c>
      <c r="Q131" s="100" t="e">
        <f t="shared" si="133"/>
        <v>#N/A</v>
      </c>
      <c r="R131" s="86" t="b">
        <f t="shared" si="134"/>
        <v>0</v>
      </c>
      <c r="S131" s="86">
        <f t="shared" si="132"/>
        <v>0.5</v>
      </c>
      <c r="T131" s="86">
        <f t="shared" si="135"/>
        <v>0.5</v>
      </c>
      <c r="U131" s="30" t="e">
        <f t="shared" ca="1" si="167"/>
        <v>#DIV/0!</v>
      </c>
      <c r="V131" s="85" t="str">
        <f>IF(B131&lt;=Hypothèses!$V$7,Hypothèses!$W$7,IF(B131&lt;=Hypothèses!$V$8,Hypothèses!$W$8,IF(B131&lt;=Hypothèses!$V$9,Hypothèses!$W$9,IF(B131&lt;=Hypothèses!$V$10,Hypothèses!$W$10,IF(B131&lt;=Hypothèses!$V$11,Hypothèses!$W$11,IF(B131&lt;=Hypothèses!$V$12,Hypothèses!$W$12,IF(B131&lt;=Hypothèses!$V$13,Hypothèses!$W$13,IF(B131&lt;=Hypothèses!$V$14,Hypothèses!$W$14,IF(B131&lt;=Hypothèses!$V$15,Hypothèses!$W$15,IF(B131&lt;=Hypothèses!$V$16,Hypothèses!$W$16,IF(B131&lt;=Hypothèses!$V$17,Hypothèses!$W$17,IF(B131&lt;=Hypothèses!$V$18,Hypothèses!$W$18,""))))))))))))</f>
        <v/>
      </c>
      <c r="W131" s="87" t="e">
        <f t="shared" ca="1" si="216"/>
        <v>#DIV/0!</v>
      </c>
      <c r="X131" s="88" t="str">
        <f>IF(B131&lt;=Hypothèses!$V$7,Hypothèses!$X$7,IF(B131&lt;=Hypothèses!$V$8,Hypothèses!$X$8,IF(B131&lt;=Hypothèses!$V$9,Hypothèses!$X$9,IF(B131&lt;=Hypothèses!$V$10,Hypothèses!$X$10,IF(B131&lt;=Hypothèses!$V$11,Hypothèses!$X$11,IF(B131&lt;=Hypothèses!$V$12,Hypothèses!$X$12,IF(B131&lt;=Hypothèses!$V$13,Hypothèses!$X$13,IF(B131&lt;=Hypothèses!$V$14,Hypothèses!$X$14,IF(B131&lt;=Hypothèses!$V$15,Hypothèses!$X$15,IF(B131&lt;=Hypothèses!$V$16,Hypothèses!$X$16,IF(B131&lt;=Hypothèses!$U$17,Hypothèses!$W$17,IF(B131&lt;=Hypothèses!$U$18,Hypothèses!$W$18,""))))))))))))</f>
        <v/>
      </c>
      <c r="Y131" s="95" t="e">
        <f t="shared" ca="1" si="136"/>
        <v>#DIV/0!</v>
      </c>
      <c r="Z131" s="101">
        <f t="shared" si="137"/>
        <v>0</v>
      </c>
      <c r="AA131" s="91">
        <f t="shared" si="138"/>
        <v>0</v>
      </c>
      <c r="AB131" s="30" t="e">
        <f t="shared" si="200"/>
        <v>#N/A</v>
      </c>
      <c r="AC131" s="30" t="e">
        <f t="shared" si="201"/>
        <v>#N/A</v>
      </c>
      <c r="AD131" s="31" t="e">
        <f>IF(OR(Hypothèses!$B$4=17,Hypothèses!$B$4=18,Hypothèses!$B$4=19,Hypothèses!$B$4=20),
IF($D131="Pressio.",
IF(OR($E131=3,$E131=1,$E131=4),AC131,AB131),
IF($D131="Pénétro.",
IF(OR($E131=3,$E131=1,$E131=4),AC131,AB131))),IF($D131="Pressio.",
IF($E131=3,AC131,AB131),
IF($D131="Pénétro.",
IF($E131=4,AC131,AB131))))</f>
        <v>#N/A</v>
      </c>
      <c r="AE131" s="31">
        <v>0</v>
      </c>
      <c r="AF131" s="102" t="e">
        <f>IF(NDC!$H$10="Oui",(VLOOKUP($B$3,'Coeff EC7'!$T$39:$X$59,2,0)*AD131+VLOOKUP($B$3,'Coeff EC7'!$T$65:$X$85,2,0)*Model0.1T!AE131)/1.5,PI()*AB$12*$Q131*($B131-$B130)*0.15/10+AF130)</f>
        <v>#N/A</v>
      </c>
      <c r="AG131" s="102" t="e">
        <f>(VLOOKUP($B$3,'Coeff EC7'!$T$39:$X$59,3,0)*AD131+VLOOKUP($B$3,'Coeff EC7'!$T$65:$X$85,3,0)*Model0.1T!AE131)/1.1</f>
        <v>#N/A</v>
      </c>
      <c r="AH131" s="102" t="e">
        <f t="shared" si="168"/>
        <v>#N/A</v>
      </c>
      <c r="AI131" s="102" t="e">
        <f t="shared" si="169"/>
        <v>#N/A</v>
      </c>
      <c r="AJ131" s="414" t="e">
        <f>IF(AND(AF131&gt;NDC!$C$63,AG131&gt;NDC!$C$65,AH131&gt;NDC!$D$73,AI131&gt;NDC!$D$74,$B131&gt;NDC!$H$22-0.1+MIN(3*$AJ$12,1.5)),0,1)</f>
        <v>#N/A</v>
      </c>
      <c r="AK131" s="86" t="b">
        <f t="shared" si="139"/>
        <v>0</v>
      </c>
      <c r="AL131" s="86">
        <f t="shared" si="170"/>
        <v>0.5</v>
      </c>
      <c r="AM131" s="86">
        <f t="shared" si="140"/>
        <v>0.5</v>
      </c>
      <c r="AN131" s="30" t="e">
        <f t="shared" ca="1" si="171"/>
        <v>#DIV/0!</v>
      </c>
      <c r="AO131" s="85" t="e">
        <f ca="1">IF(U131&lt;=Hypothèses!$V$7,Hypothèses!$W$7,IF(U131&lt;=Hypothèses!$V$8,Hypothèses!$W$8,IF(U131&lt;=Hypothèses!$V$9,Hypothèses!$W$9,IF(U131&lt;=Hypothèses!$V$10,Hypothèses!$W$10,IF(U131&lt;=Hypothèses!$V$11,Hypothèses!$W$11,IF(U131&lt;=Hypothèses!$V$12,Hypothèses!$W$12,IF(U131&lt;=Hypothèses!$V$13,Hypothèses!$W$13,IF(U131&lt;=Hypothèses!$V$14,Hypothèses!$W$14,IF(U131&lt;=Hypothèses!$V$15,Hypothèses!$W$15,IF(U131&lt;=Hypothèses!$V$16,Hypothèses!$W$16,IF(U131&lt;=Hypothèses!$V$17,Hypothèses!$W$17,IF(U131&lt;=Hypothèses!$V$18,Hypothèses!$W$18,""))))))))))))</f>
        <v>#DIV/0!</v>
      </c>
      <c r="AP131" s="87" t="e">
        <f t="shared" ca="1" si="217"/>
        <v>#DIV/0!</v>
      </c>
      <c r="AQ131" s="88" t="e">
        <f ca="1">IF(U131&lt;=Hypothèses!$V$7,Hypothèses!$X$7,IF(U131&lt;=Hypothèses!$V$8,Hypothèses!$X$8,IF(U131&lt;=Hypothèses!$V$9,Hypothèses!$X$9,IF(U131&lt;=Hypothèses!$V$10,Hypothèses!$X$10,IF(U131&lt;=Hypothèses!$V$11,Hypothèses!$X$11,IF(U131&lt;=Hypothèses!$V$12,Hypothèses!$X$12,IF(U131&lt;=Hypothèses!$V$13,Hypothèses!$X$13,IF(U131&lt;=Hypothèses!$V$14,Hypothèses!$X$14,IF(U131&lt;=Hypothèses!$V$15,Hypothèses!$X$15,IF(U131&lt;=Hypothèses!$V$16,Hypothèses!$X$16,IF(U131&lt;=Hypothèses!$U$17,Hypothèses!$W$17,IF(U131&lt;=Hypothèses!$U$18,Hypothèses!$W$18,""))))))))))))</f>
        <v>#DIV/0!</v>
      </c>
      <c r="AR131" s="95" t="e">
        <f t="shared" ca="1" si="172"/>
        <v>#DIV/0!</v>
      </c>
      <c r="AS131" s="101">
        <f t="shared" si="224"/>
        <v>0</v>
      </c>
      <c r="AT131" s="91">
        <f t="shared" si="141"/>
        <v>0</v>
      </c>
      <c r="AU131" s="30" t="e">
        <f t="shared" si="202"/>
        <v>#N/A</v>
      </c>
      <c r="AV131" s="30" t="e">
        <f t="shared" si="203"/>
        <v>#N/A</v>
      </c>
      <c r="AW131" s="31" t="e">
        <f>IF(OR(Hypothèses!$B$4=17,Hypothèses!$B$4=18,Hypothèses!$B$4=19,Hypothèses!$B$4=20),
IF($D131="Pressio.",
IF(OR($E131=3,$E131=1,$E131=4),AV131,AU131),
IF($D131="Pénétro.",
IF(OR($E131=3,$E131=1,$E131=4),AV131,AU131))),IF($D131="Pressio.",
IF($E131=3,AV131,AU131),
IF($D131="Pénétro.",
IF($E131=4,AV131,AU131))))</f>
        <v>#N/A</v>
      </c>
      <c r="AX131" s="31">
        <v>0</v>
      </c>
      <c r="AY131" s="102" t="e">
        <f>IF(NDC!$H$10="Oui",(VLOOKUP($B$3,'Coeff EC7'!$T$39:$X$59,2,0)*AW131+VLOOKUP($B$3,'Coeff EC7'!$T$65:$X$85,2,0)*Model0.1T!AX131)/1.5,PI()*AU$12*$Q131*($B131-$B130)*0.15/10+AY130)</f>
        <v>#N/A</v>
      </c>
      <c r="AZ131" s="102" t="e">
        <f>(VLOOKUP($B$3,'Coeff EC7'!$T$39:$X$59,3,0)*AW131+VLOOKUP($B$3,'Coeff EC7'!$T$65:$X$85,3,0)*Model0.1T!AX131)/1.1</f>
        <v>#N/A</v>
      </c>
      <c r="BA131" s="102" t="e">
        <f t="shared" si="173"/>
        <v>#N/A</v>
      </c>
      <c r="BB131" s="102" t="e">
        <f t="shared" si="174"/>
        <v>#N/A</v>
      </c>
      <c r="BC131" s="414" t="e">
        <f>IF(AND(AY131&gt;NDC!$C$63,AZ131&gt;NDC!$C$65,BA131&gt;NDC!$D$73,BB131&gt;NDC!$D$74,$B131&gt;NDC!$H$22-0.1+MIN(3*BC$12,1.5)),0,1)</f>
        <v>#N/A</v>
      </c>
      <c r="BD131" s="86" t="b">
        <f t="shared" si="142"/>
        <v>0</v>
      </c>
      <c r="BE131" s="86">
        <f t="shared" si="175"/>
        <v>0.5</v>
      </c>
      <c r="BF131" s="86">
        <f t="shared" si="143"/>
        <v>0.5</v>
      </c>
      <c r="BG131" s="30" t="e">
        <f t="shared" ca="1" si="176"/>
        <v>#DIV/0!</v>
      </c>
      <c r="BH131" s="85" t="e">
        <f ca="1">IF(AN131&lt;=Hypothèses!$V$7,Hypothèses!$W$7,IF(AN131&lt;=Hypothèses!$V$8,Hypothèses!$W$8,IF(AN131&lt;=Hypothèses!$V$9,Hypothèses!$W$9,IF(AN131&lt;=Hypothèses!$V$10,Hypothèses!$W$10,IF(AN131&lt;=Hypothèses!$V$11,Hypothèses!$W$11,IF(AN131&lt;=Hypothèses!$V$12,Hypothèses!$W$12,IF(AN131&lt;=Hypothèses!$V$13,Hypothèses!$W$13,IF(AN131&lt;=Hypothèses!$V$14,Hypothèses!$W$14,IF(AN131&lt;=Hypothèses!$V$15,Hypothèses!$W$15,IF(AN131&lt;=Hypothèses!$V$16,Hypothèses!$W$16,IF(AN131&lt;=Hypothèses!$V$17,Hypothèses!$W$17,IF(AN131&lt;=Hypothèses!$V$18,Hypothèses!$W$18,""))))))))))))</f>
        <v>#DIV/0!</v>
      </c>
      <c r="BI131" s="87" t="e">
        <f t="shared" ca="1" si="218"/>
        <v>#DIV/0!</v>
      </c>
      <c r="BJ131" s="88" t="e">
        <f ca="1">IF(AN131&lt;=Hypothèses!$V$7,Hypothèses!$X$7,IF(AN131&lt;=Hypothèses!$V$8,Hypothèses!$X$8,IF(AN131&lt;=Hypothèses!$V$9,Hypothèses!$X$9,IF(AN131&lt;=Hypothèses!$V$10,Hypothèses!$X$10,IF(AN131&lt;=Hypothèses!$V$11,Hypothèses!$X$11,IF(AN131&lt;=Hypothèses!$V$12,Hypothèses!$X$12,IF(AN131&lt;=Hypothèses!$V$13,Hypothèses!$X$13,IF(AN131&lt;=Hypothèses!$V$14,Hypothèses!$X$14,IF(AN131&lt;=Hypothèses!$V$15,Hypothèses!$X$15,IF(AN131&lt;=Hypothèses!$V$16,Hypothèses!$X$16,IF(AN131&lt;=Hypothèses!$U$17,Hypothèses!$W$17,IF(AN131&lt;=Hypothèses!$U$18,Hypothèses!$W$18,""))))))))))))</f>
        <v>#DIV/0!</v>
      </c>
      <c r="BK131" s="95" t="e">
        <f t="shared" ca="1" si="177"/>
        <v>#DIV/0!</v>
      </c>
      <c r="BL131" s="101">
        <f t="shared" si="225"/>
        <v>0</v>
      </c>
      <c r="BM131" s="91">
        <f t="shared" si="144"/>
        <v>0</v>
      </c>
      <c r="BN131" s="30" t="e">
        <f t="shared" si="204"/>
        <v>#N/A</v>
      </c>
      <c r="BO131" s="30" t="e">
        <f t="shared" si="205"/>
        <v>#N/A</v>
      </c>
      <c r="BP131" s="31" t="e">
        <f>IF(OR(Hypothèses!$B$4=17,Hypothèses!$B$4=18,Hypothèses!$B$4=19,Hypothèses!$B$4=20),
IF($D131="Pressio.",
IF(OR($E131=3,$E131=1,$E131=4),BO131,BN131),
IF($D131="Pénétro.",
IF(OR($E131=3,$E131=1,$E131=4),BO131,BN131))),IF($D131="Pressio.",
IF($E131=3,BO131,BN131),
IF($D131="Pénétro.",
IF($E131=4,BO131,BN131))))</f>
        <v>#N/A</v>
      </c>
      <c r="BQ131" s="31">
        <v>0</v>
      </c>
      <c r="BR131" s="102" t="e">
        <f>IF(NDC!$H$10="Oui",(VLOOKUP($B$3,'Coeff EC7'!$T$39:$X$59,2,0)*BP131+VLOOKUP($B$3,'Coeff EC7'!$T$65:$X$85,2,0)*Model0.1T!BQ131)/1.5,PI()*BN$12*$Q131*($B131-$B130)*0.15/10+BR130)</f>
        <v>#N/A</v>
      </c>
      <c r="BS131" s="102" t="e">
        <f>(VLOOKUP($B$3,'Coeff EC7'!$T$39:$X$59,3,0)*BP131+VLOOKUP($B$3,'Coeff EC7'!$T$65:$X$85,3,0)*Model0.1T!BQ131)/1.1</f>
        <v>#N/A</v>
      </c>
      <c r="BT131" s="102" t="e">
        <f t="shared" si="178"/>
        <v>#N/A</v>
      </c>
      <c r="BU131" s="102" t="e">
        <f t="shared" si="179"/>
        <v>#N/A</v>
      </c>
      <c r="BV131" s="414" t="e">
        <f>IF(AND(BR131&gt;NDC!$C$63,BS131&gt;NDC!$C$65,BT131&gt;NDC!$D$73,BU131&gt;NDC!$D$74,$B131&gt;NDC!$H$22-0.1+MIN(3*BV$12,1.5)),0,1)</f>
        <v>#N/A</v>
      </c>
      <c r="BW131" s="86" t="b">
        <f t="shared" si="145"/>
        <v>0</v>
      </c>
      <c r="BX131" s="86">
        <f t="shared" si="146"/>
        <v>0.5</v>
      </c>
      <c r="BY131" s="86">
        <f t="shared" si="147"/>
        <v>0.5</v>
      </c>
      <c r="BZ131" s="30" t="e">
        <f t="shared" ca="1" si="180"/>
        <v>#DIV/0!</v>
      </c>
      <c r="CA131" s="85" t="e">
        <f ca="1">IF(BG131&lt;=Hypothèses!$V$7,Hypothèses!$W$7,IF(BG131&lt;=Hypothèses!$V$8,Hypothèses!$W$8,IF(BG131&lt;=Hypothèses!$V$9,Hypothèses!$W$9,IF(BG131&lt;=Hypothèses!$V$10,Hypothèses!$W$10,IF(BG131&lt;=Hypothèses!$V$11,Hypothèses!$W$11,IF(BG131&lt;=Hypothèses!$V$12,Hypothèses!$W$12,IF(BG131&lt;=Hypothèses!$V$13,Hypothèses!$W$13,IF(BG131&lt;=Hypothèses!$V$14,Hypothèses!$W$14,IF(BG131&lt;=Hypothèses!$V$15,Hypothèses!$W$15,IF(BG131&lt;=Hypothèses!$V$16,Hypothèses!$W$16,IF(BG131&lt;=Hypothèses!$V$17,Hypothèses!$W$17,IF(BG131&lt;=Hypothèses!$V$18,Hypothèses!$W$18,""))))))))))))</f>
        <v>#DIV/0!</v>
      </c>
      <c r="CB131" s="87" t="e">
        <f t="shared" ca="1" si="219"/>
        <v>#DIV/0!</v>
      </c>
      <c r="CC131" s="88" t="e">
        <f ca="1">IF(BG131&lt;=Hypothèses!$V$7,Hypothèses!$X$7,IF(BG131&lt;=Hypothèses!$V$8,Hypothèses!$X$8,IF(BG131&lt;=Hypothèses!$V$9,Hypothèses!$X$9,IF(BG131&lt;=Hypothèses!$V$10,Hypothèses!$X$10,IF(BG131&lt;=Hypothèses!$V$11,Hypothèses!$X$11,IF(BG131&lt;=Hypothèses!$V$12,Hypothèses!$X$12,IF(BG131&lt;=Hypothèses!$V$13,Hypothèses!$X$13,IF(BG131&lt;=Hypothèses!$V$14,Hypothèses!$X$14,IF(BG131&lt;=Hypothèses!$V$15,Hypothèses!$X$15,IF(BG131&lt;=Hypothèses!$V$16,Hypothèses!$X$16,IF(BG131&lt;=Hypothèses!$U$17,Hypothèses!$W$17,IF(BG131&lt;=Hypothèses!$U$18,Hypothèses!$W$18,""))))))))))))</f>
        <v>#DIV/0!</v>
      </c>
      <c r="CD131" s="95" t="e">
        <f t="shared" ca="1" si="181"/>
        <v>#DIV/0!</v>
      </c>
      <c r="CE131" s="101">
        <f t="shared" si="226"/>
        <v>0</v>
      </c>
      <c r="CF131" s="91">
        <f t="shared" si="148"/>
        <v>0</v>
      </c>
      <c r="CG131" s="30" t="e">
        <f t="shared" si="206"/>
        <v>#N/A</v>
      </c>
      <c r="CH131" s="30" t="e">
        <f t="shared" si="207"/>
        <v>#N/A</v>
      </c>
      <c r="CI131" s="31" t="e">
        <f>IF(OR(Hypothèses!$B$4=17,Hypothèses!$B$4=18,Hypothèses!$B$4=19,Hypothèses!$B$4=20),
IF($D131="Pressio.",
IF(OR($E131=3,$E131=1,$E131=4),CH131,CG131),
IF($D131="Pénétro.",
IF(OR($E131=3,$E131=1,$E131=4),CH131,CG131))),IF($D131="Pressio.",
IF($E131=3,CH131,CG131),
IF($D131="Pénétro.",
IF($E131=4,CH131,CG131))))</f>
        <v>#N/A</v>
      </c>
      <c r="CJ131" s="31">
        <v>0</v>
      </c>
      <c r="CK131" s="102" t="e">
        <f>IF(NDC!$H$10="Oui",(VLOOKUP($B$3,'Coeff EC7'!$T$39:$X$59,2,0)*CI131+VLOOKUP($B$3,'Coeff EC7'!$T$65:$X$85,2,0)*Model0.1T!CJ131)/1.5,PI()*CG$12*$Q131*($B131-$B130)*0.15/10+CK130)</f>
        <v>#N/A</v>
      </c>
      <c r="CL131" s="102" t="e">
        <f>(VLOOKUP($B$3,'Coeff EC7'!$T$39:$X$59,3,0)*CI131+VLOOKUP($B$3,'Coeff EC7'!$T$65:$X$85,3,0)*Model0.1T!CJ131)/1.1</f>
        <v>#N/A</v>
      </c>
      <c r="CM131" s="102" t="e">
        <f t="shared" si="182"/>
        <v>#N/A</v>
      </c>
      <c r="CN131" s="102" t="e">
        <f t="shared" si="183"/>
        <v>#N/A</v>
      </c>
      <c r="CO131" s="414" t="e">
        <f>IF(AND(CK131&gt;NDC!$C$63,CL131&gt;NDC!$C$65,CM131&gt;NDC!$D$73,CN131&gt;NDC!$D$74,$B131&gt;NDC!$H$22-0.1+MIN(3*CO$12,1.5)),0,1)</f>
        <v>#N/A</v>
      </c>
      <c r="CP131" s="86" t="b">
        <f t="shared" si="149"/>
        <v>0</v>
      </c>
      <c r="CQ131" s="86">
        <f t="shared" si="150"/>
        <v>0.5</v>
      </c>
      <c r="CR131" s="86">
        <f t="shared" si="151"/>
        <v>0.5</v>
      </c>
      <c r="CS131" s="30" t="e">
        <f t="shared" ca="1" si="184"/>
        <v>#DIV/0!</v>
      </c>
      <c r="CT131" s="85" t="e">
        <f ca="1">IF(BZ131&lt;=Hypothèses!$V$7,Hypothèses!$W$7,IF(BZ131&lt;=Hypothèses!$V$8,Hypothèses!$W$8,IF(BZ131&lt;=Hypothèses!$V$9,Hypothèses!$W$9,IF(BZ131&lt;=Hypothèses!$V$10,Hypothèses!$W$10,IF(BZ131&lt;=Hypothèses!$V$11,Hypothèses!$W$11,IF(BZ131&lt;=Hypothèses!$V$12,Hypothèses!$W$12,IF(BZ131&lt;=Hypothèses!$V$13,Hypothèses!$W$13,IF(BZ131&lt;=Hypothèses!$V$14,Hypothèses!$W$14,IF(BZ131&lt;=Hypothèses!$V$15,Hypothèses!$W$15,IF(BZ131&lt;=Hypothèses!$V$16,Hypothèses!$W$16,IF(BZ131&lt;=Hypothèses!$V$17,Hypothèses!$W$17,IF(BZ131&lt;=Hypothèses!$V$18,Hypothèses!$W$18,""))))))))))))</f>
        <v>#DIV/0!</v>
      </c>
      <c r="CU131" s="87" t="e">
        <f t="shared" ca="1" si="220"/>
        <v>#DIV/0!</v>
      </c>
      <c r="CV131" s="88" t="e">
        <f ca="1">IF(BZ131&lt;=Hypothèses!$V$7,Hypothèses!$X$7,IF(BZ131&lt;=Hypothèses!$V$8,Hypothèses!$X$8,IF(BZ131&lt;=Hypothèses!$V$9,Hypothèses!$X$9,IF(BZ131&lt;=Hypothèses!$V$10,Hypothèses!$X$10,IF(BZ131&lt;=Hypothèses!$V$11,Hypothèses!$X$11,IF(BZ131&lt;=Hypothèses!$V$12,Hypothèses!$X$12,IF(BZ131&lt;=Hypothèses!$V$13,Hypothèses!$X$13,IF(BZ131&lt;=Hypothèses!$V$14,Hypothèses!$X$14,IF(BZ131&lt;=Hypothèses!$V$15,Hypothèses!$X$15,IF(BZ131&lt;=Hypothèses!$V$16,Hypothèses!$X$16,IF(BZ131&lt;=Hypothèses!$U$17,Hypothèses!$W$17,IF(BZ131&lt;=Hypothèses!$U$18,Hypothèses!$W$18,""))))))))))))</f>
        <v>#DIV/0!</v>
      </c>
      <c r="CW131" s="95" t="e">
        <f t="shared" ca="1" si="185"/>
        <v>#DIV/0!</v>
      </c>
      <c r="CX131" s="101">
        <f t="shared" si="227"/>
        <v>0</v>
      </c>
      <c r="CY131" s="91">
        <f t="shared" si="152"/>
        <v>0</v>
      </c>
      <c r="CZ131" s="30" t="e">
        <f t="shared" si="208"/>
        <v>#N/A</v>
      </c>
      <c r="DA131" s="30" t="e">
        <f t="shared" si="209"/>
        <v>#N/A</v>
      </c>
      <c r="DB131" s="31" t="e">
        <f>IF(OR(Hypothèses!$B$4=17,Hypothèses!$B$4=18,Hypothèses!$B$4=19,Hypothèses!$B$4=20),
IF($D131="Pressio.",
IF(OR($E131=3,$E131=1,$E131=4),DA131,CZ131),
IF($D131="Pénétro.",
IF(OR($E131=3,$E131=1,$E131=4),DA131,CZ131))),IF($D131="Pressio.",
IF($E131=3,DA131,CZ131),
IF($D131="Pénétro.",
IF($E131=4,DA131,CZ131))))</f>
        <v>#N/A</v>
      </c>
      <c r="DC131" s="31">
        <v>0</v>
      </c>
      <c r="DD131" s="102" t="e">
        <f>IF(NDC!$H$10="Oui",(VLOOKUP($B$3,'Coeff EC7'!$T$39:$X$59,2,0)*DB131+VLOOKUP($B$3,'Coeff EC7'!$T$65:$X$85,2,0)*Model0.1T!DC131)/1.5,PI()*CZ$12*$Q131*($B131-$B130)*0.15/10+DD130)</f>
        <v>#N/A</v>
      </c>
      <c r="DE131" s="102" t="e">
        <f>(VLOOKUP($B$3,'Coeff EC7'!$T$39:$X$59,3,0)*DB131+VLOOKUP($B$3,'Coeff EC7'!$T$65:$X$85,3,0)*Model0.1T!DC131)/1.1</f>
        <v>#N/A</v>
      </c>
      <c r="DF131" s="102" t="e">
        <f t="shared" si="186"/>
        <v>#N/A</v>
      </c>
      <c r="DG131" s="102" t="e">
        <f t="shared" si="187"/>
        <v>#N/A</v>
      </c>
      <c r="DH131" s="414" t="e">
        <f>IF(AND(DD131&gt;NDC!$C$63,DE131&gt;NDC!$C$65,DF131&gt;NDC!$D$73,DG131&gt;NDC!$D$74,$B131&gt;NDC!$H$22-0.1+MIN(3*DH$12,1.5)),0,1)</f>
        <v>#N/A</v>
      </c>
      <c r="DI131" s="86" t="b">
        <f t="shared" si="153"/>
        <v>0</v>
      </c>
      <c r="DJ131" s="86">
        <f t="shared" si="154"/>
        <v>0.5</v>
      </c>
      <c r="DK131" s="86">
        <f t="shared" si="155"/>
        <v>0.5</v>
      </c>
      <c r="DL131" s="30" t="e">
        <f t="shared" ca="1" si="188"/>
        <v>#DIV/0!</v>
      </c>
      <c r="DM131" s="85" t="e">
        <f ca="1">IF(CS131&lt;=Hypothèses!$V$7,Hypothèses!$W$7,IF(CS131&lt;=Hypothèses!$V$8,Hypothèses!$W$8,IF(CS131&lt;=Hypothèses!$V$9,Hypothèses!$W$9,IF(CS131&lt;=Hypothèses!$V$10,Hypothèses!$W$10,IF(CS131&lt;=Hypothèses!$V$11,Hypothèses!$W$11,IF(CS131&lt;=Hypothèses!$V$12,Hypothèses!$W$12,IF(CS131&lt;=Hypothèses!$V$13,Hypothèses!$W$13,IF(CS131&lt;=Hypothèses!$V$14,Hypothèses!$W$14,IF(CS131&lt;=Hypothèses!$V$15,Hypothèses!$W$15,IF(CS131&lt;=Hypothèses!$V$16,Hypothèses!$W$16,IF(CS131&lt;=Hypothèses!$V$17,Hypothèses!$W$17,IF(CS131&lt;=Hypothèses!$V$18,Hypothèses!$W$18,""))))))))))))</f>
        <v>#DIV/0!</v>
      </c>
      <c r="DN131" s="87" t="e">
        <f t="shared" ca="1" si="221"/>
        <v>#DIV/0!</v>
      </c>
      <c r="DO131" s="88" t="e">
        <f ca="1">IF(CS131&lt;=Hypothèses!$V$7,Hypothèses!$X$7,IF(CS131&lt;=Hypothèses!$V$8,Hypothèses!$X$8,IF(CS131&lt;=Hypothèses!$V$9,Hypothèses!$X$9,IF(CS131&lt;=Hypothèses!$V$10,Hypothèses!$X$10,IF(CS131&lt;=Hypothèses!$V$11,Hypothèses!$X$11,IF(CS131&lt;=Hypothèses!$V$12,Hypothèses!$X$12,IF(CS131&lt;=Hypothèses!$V$13,Hypothèses!$X$13,IF(CS131&lt;=Hypothèses!$V$14,Hypothèses!$X$14,IF(CS131&lt;=Hypothèses!$V$15,Hypothèses!$X$15,IF(CS131&lt;=Hypothèses!$V$16,Hypothèses!$X$16,IF(CS131&lt;=Hypothèses!$U$17,Hypothèses!$W$17,IF(CS131&lt;=Hypothèses!$U$18,Hypothèses!$W$18,""))))))))))))</f>
        <v>#DIV/0!</v>
      </c>
      <c r="DP131" s="95" t="e">
        <f t="shared" ca="1" si="189"/>
        <v>#DIV/0!</v>
      </c>
      <c r="DQ131" s="101">
        <f t="shared" si="228"/>
        <v>0</v>
      </c>
      <c r="DR131" s="91">
        <f t="shared" si="156"/>
        <v>0</v>
      </c>
      <c r="DS131" s="30" t="e">
        <f t="shared" si="210"/>
        <v>#N/A</v>
      </c>
      <c r="DT131" s="30" t="e">
        <f t="shared" si="211"/>
        <v>#N/A</v>
      </c>
      <c r="DU131" s="31" t="e">
        <f>IF(OR(Hypothèses!$B$4=17,Hypothèses!$B$4=18,Hypothèses!$B$4=19,Hypothèses!$B$4=20),
IF($D131="Pressio.",
IF(OR($E131=3,$E131=1,$E131=4),DT131,DS131),
IF($D131="Pénétro.",
IF(OR($E131=3,$E131=1,$E131=4),DT131,DS131))),IF($D131="Pressio.",
IF($E131=3,DT131,DS131),
IF($D131="Pénétro.",
IF($E131=4,DT131,DS131))))</f>
        <v>#N/A</v>
      </c>
      <c r="DV131" s="31">
        <v>0</v>
      </c>
      <c r="DW131" s="102" t="e">
        <f>IF(NDC!$H$10="Oui",(VLOOKUP($B$3,'Coeff EC7'!$T$39:$X$59,2,0)*DU131+VLOOKUP($B$3,'Coeff EC7'!$T$65:$X$85,2,0)*Model0.1T!DV131)/1.5,PI()*DS$12*$Q131*($B131-$B130)*0.15/10+DW130)</f>
        <v>#N/A</v>
      </c>
      <c r="DX131" s="102" t="e">
        <f>(VLOOKUP($B$3,'Coeff EC7'!$T$39:$X$59,3,0)*DU131+VLOOKUP($B$3,'Coeff EC7'!$T$65:$X$85,3,0)*Model0.1T!DV131)/1.1</f>
        <v>#N/A</v>
      </c>
      <c r="DY131" s="102" t="e">
        <f t="shared" si="190"/>
        <v>#N/A</v>
      </c>
      <c r="DZ131" s="102" t="e">
        <f t="shared" si="191"/>
        <v>#N/A</v>
      </c>
      <c r="EA131" s="414" t="e">
        <f>IF(AND(DW131&gt;NDC!$C$63,DX131&gt;NDC!$C$65,DY131&gt;NDC!$D$73,DZ131&gt;NDC!$D$74,$B131&gt;NDC!$H$22-0.1+MIN(3*EA$12,1.5)),0,1)</f>
        <v>#N/A</v>
      </c>
      <c r="EB131" s="86" t="b">
        <f t="shared" si="157"/>
        <v>0</v>
      </c>
      <c r="EC131" s="418">
        <f t="shared" si="158"/>
        <v>0.51</v>
      </c>
      <c r="ED131" s="86">
        <f t="shared" si="159"/>
        <v>0.51</v>
      </c>
      <c r="EE131" s="30" t="e">
        <f t="shared" ca="1" si="192"/>
        <v>#DIV/0!</v>
      </c>
      <c r="EF131" s="85" t="e">
        <f ca="1">IF(DL131&lt;=Hypothèses!$V$7,Hypothèses!$W$7,IF(DL131&lt;=Hypothèses!$V$8,Hypothèses!$W$8,IF(DL131&lt;=Hypothèses!$V$9,Hypothèses!$W$9,IF(DL131&lt;=Hypothèses!$V$10,Hypothèses!$W$10,IF(DL131&lt;=Hypothèses!$V$11,Hypothèses!$W$11,IF(DL131&lt;=Hypothèses!$V$12,Hypothèses!$W$12,IF(DL131&lt;=Hypothèses!$V$13,Hypothèses!$W$13,IF(DL131&lt;=Hypothèses!$V$14,Hypothèses!$W$14,IF(DL131&lt;=Hypothèses!$V$15,Hypothèses!$W$15,IF(DL131&lt;=Hypothèses!$V$16,Hypothèses!$W$16,IF(DL131&lt;=Hypothèses!$V$17,Hypothèses!$W$17,IF(DL131&lt;=Hypothèses!$V$18,Hypothèses!$W$18,""))))))))))))</f>
        <v>#DIV/0!</v>
      </c>
      <c r="EG131" s="87" t="e">
        <f t="shared" ca="1" si="222"/>
        <v>#DIV/0!</v>
      </c>
      <c r="EH131" s="88" t="e">
        <f ca="1">IF(DL131&lt;=Hypothèses!$V$7,Hypothèses!$X$7,IF(DL131&lt;=Hypothèses!$V$8,Hypothèses!$X$8,IF(DL131&lt;=Hypothèses!$V$9,Hypothèses!$X$9,IF(DL131&lt;=Hypothèses!$V$10,Hypothèses!$X$10,IF(DL131&lt;=Hypothèses!$V$11,Hypothèses!$X$11,IF(DL131&lt;=Hypothèses!$V$12,Hypothèses!$X$12,IF(DL131&lt;=Hypothèses!$V$13,Hypothèses!$X$13,IF(DL131&lt;=Hypothèses!$V$14,Hypothèses!$X$14,IF(DL131&lt;=Hypothèses!$V$15,Hypothèses!$X$15,IF(DL131&lt;=Hypothèses!$V$16,Hypothèses!$X$16,IF(DL131&lt;=Hypothèses!$U$17,Hypothèses!$W$17,IF(DL131&lt;=Hypothèses!$U$18,Hypothèses!$W$18,""))))))))))))</f>
        <v>#DIV/0!</v>
      </c>
      <c r="EI131" s="95" t="e">
        <f t="shared" ca="1" si="193"/>
        <v>#DIV/0!</v>
      </c>
      <c r="EJ131" s="101">
        <f t="shared" si="229"/>
        <v>0</v>
      </c>
      <c r="EK131" s="91">
        <f t="shared" si="160"/>
        <v>0</v>
      </c>
      <c r="EL131" s="30" t="e">
        <f t="shared" si="212"/>
        <v>#N/A</v>
      </c>
      <c r="EM131" s="30" t="e">
        <f t="shared" si="213"/>
        <v>#N/A</v>
      </c>
      <c r="EN131" s="31" t="e">
        <f>IF(OR(Hypothèses!$B$4=17,Hypothèses!$B$4=18,Hypothèses!$B$4=19,Hypothèses!$B$4=20),
IF($D131="Pressio.",
IF(OR($E131=3,$E131=1,$E131=4),EM131,EL131),
IF($D131="Pénétro.",
IF(OR($E131=3,$E131=1,$E131=4),EM131,EL131))),IF($D131="Pressio.",
IF($E131=3,EM131,EL131),
IF($D131="Pénétro.",
IF($E131=4,EM131,EL131))))</f>
        <v>#N/A</v>
      </c>
      <c r="EO131" s="31">
        <v>0</v>
      </c>
      <c r="EP131" s="102" t="e">
        <f>IF(NDC!$H$10="Oui",(VLOOKUP($B$3,'Coeff EC7'!$T$39:$X$59,2,0)*EN131+VLOOKUP($B$3,'Coeff EC7'!$T$65:$X$85,2,0)*Model0.1T!EO131)/1.5,PI()*EL$12*$Q131*($B131-$B130)*0.15/10+EP130)</f>
        <v>#N/A</v>
      </c>
      <c r="EQ131" s="102" t="e">
        <f>(VLOOKUP($B$3,'Coeff EC7'!$T$39:$X$59,3,0)*EN131+VLOOKUP($B$3,'Coeff EC7'!$T$65:$X$85,3,0)*Model0.1T!EO131)/1.1</f>
        <v>#N/A</v>
      </c>
      <c r="ER131" s="102" t="e">
        <f t="shared" si="194"/>
        <v>#N/A</v>
      </c>
      <c r="ES131" s="102" t="e">
        <f t="shared" si="195"/>
        <v>#N/A</v>
      </c>
      <c r="ET131" s="414" t="e">
        <f>IF(AND(EP131&gt;NDC!$C$63,EQ131&gt;NDC!$C$65,ER131&gt;NDC!$D$73,ES131&gt;NDC!$D$74,$B131&gt;NDC!$H$22-0.1+MIN(3*ET$12,1.5)),0,1)</f>
        <v>#N/A</v>
      </c>
      <c r="EU131" s="86" t="b">
        <f t="shared" si="161"/>
        <v>0</v>
      </c>
      <c r="EV131" s="86">
        <f t="shared" si="162"/>
        <v>0.61</v>
      </c>
      <c r="EW131" s="86">
        <f t="shared" si="163"/>
        <v>0.61</v>
      </c>
      <c r="EX131" s="30" t="e">
        <f t="shared" ca="1" si="196"/>
        <v>#DIV/0!</v>
      </c>
      <c r="EY131" s="85" t="e">
        <f ca="1">IF(EE131&lt;=Hypothèses!$V$7,Hypothèses!$W$7,IF(EE131&lt;=Hypothèses!$V$8,Hypothèses!$W$8,IF(EE131&lt;=Hypothèses!$V$9,Hypothèses!$W$9,IF(EE131&lt;=Hypothèses!$V$10,Hypothèses!$W$10,IF(EE131&lt;=Hypothèses!$V$11,Hypothèses!$W$11,IF(EE131&lt;=Hypothèses!$V$12,Hypothèses!$W$12,IF(EE131&lt;=Hypothèses!$V$13,Hypothèses!$W$13,IF(EE131&lt;=Hypothèses!$V$14,Hypothèses!$W$14,IF(EE131&lt;=Hypothèses!$V$15,Hypothèses!$W$15,IF(EE131&lt;=Hypothèses!$V$16,Hypothèses!$W$16,IF(EE131&lt;=Hypothèses!$V$17,Hypothèses!$W$17,IF(EE131&lt;=Hypothèses!$V$18,Hypothèses!$W$18,""))))))))))))</f>
        <v>#DIV/0!</v>
      </c>
      <c r="EZ131" s="87" t="e">
        <f t="shared" ca="1" si="223"/>
        <v>#DIV/0!</v>
      </c>
      <c r="FA131" s="88" t="e">
        <f ca="1">IF(EE131&lt;=Hypothèses!$V$7,Hypothèses!$X$7,IF(EE131&lt;=Hypothèses!$V$8,Hypothèses!$X$8,IF(EE131&lt;=Hypothèses!$V$9,Hypothèses!$X$9,IF(EE131&lt;=Hypothèses!$V$10,Hypothèses!$X$10,IF(EE131&lt;=Hypothèses!$V$11,Hypothèses!$X$11,IF(EE131&lt;=Hypothèses!$V$12,Hypothèses!$X$12,IF(EE131&lt;=Hypothèses!$V$13,Hypothèses!$X$13,IF(EE131&lt;=Hypothèses!$V$14,Hypothèses!$X$14,IF(EE131&lt;=Hypothèses!$V$15,Hypothèses!$X$15,IF(EE131&lt;=Hypothèses!$V$16,Hypothèses!$X$16,IF(EE131&lt;=Hypothèses!$U$17,Hypothèses!$W$17,IF(EE131&lt;=Hypothèses!$U$18,Hypothèses!$W$18,""))))))))))))</f>
        <v>#DIV/0!</v>
      </c>
      <c r="FB131" s="95" t="e">
        <f t="shared" ca="1" si="197"/>
        <v>#DIV/0!</v>
      </c>
      <c r="FC131" s="101">
        <f t="shared" si="230"/>
        <v>0</v>
      </c>
      <c r="FD131" s="91">
        <f t="shared" si="164"/>
        <v>0</v>
      </c>
      <c r="FE131" s="30" t="e">
        <f t="shared" si="214"/>
        <v>#N/A</v>
      </c>
      <c r="FF131" s="30" t="e">
        <f t="shared" si="215"/>
        <v>#N/A</v>
      </c>
      <c r="FG131" s="31" t="e">
        <f>IF(OR(Hypothèses!$B$4=17,Hypothèses!$B$4=18,Hypothèses!$B$4=19,Hypothèses!$B$4=20),
IF($D131="Pressio.",
IF(OR($E131=3,$E131=1,$E131=4),FF131,FE131),
IF($D131="Pénétro.",
IF(OR($E131=3,$E131=1,$E131=4),FF131,FE131))),IF($D131="Pressio.",
IF($E131=3,FF131,FE131),
IF($D131="Pénétro.",
IF($E131=4,FF131,FE131))))</f>
        <v>#N/A</v>
      </c>
      <c r="FH131" s="31">
        <v>0</v>
      </c>
      <c r="FI131" s="102" t="e">
        <f>IF(NDC!$H$10="Oui",(VLOOKUP($B$3,'Coeff EC7'!$T$39:$X$59,2,0)*FG131+VLOOKUP($B$3,'Coeff EC7'!$T$65:$X$85,2,0)*Model0.1T!FH131)/1.5,PI()*FE$12*$Q131*($B131-$B130)*0.15/10+FI130)</f>
        <v>#N/A</v>
      </c>
      <c r="FJ131" s="102" t="e">
        <f>(VLOOKUP($B$3,'Coeff EC7'!$T$39:$X$59,3,0)*FG131+VLOOKUP($B$3,'Coeff EC7'!$T$65:$X$85,3,0)*Model0.1T!FH131)/1.1</f>
        <v>#N/A</v>
      </c>
      <c r="FK131" s="102" t="e">
        <f t="shared" si="198"/>
        <v>#N/A</v>
      </c>
      <c r="FL131" s="102" t="e">
        <f t="shared" si="199"/>
        <v>#N/A</v>
      </c>
      <c r="FM131" s="414" t="e">
        <f>IF(AND(FI131&gt;NDC!$C$63,FJ131&gt;NDC!$C$65,FK131&gt;NDC!$D$73,FL131&gt;NDC!$D$74,$B131&gt;NDC!$H$22-0.1+MIN(3*FM$12,1.5)),0,1)</f>
        <v>#N/A</v>
      </c>
    </row>
    <row r="132" spans="1:169">
      <c r="A132" s="96">
        <f t="shared" si="165"/>
        <v>88.100000000000676</v>
      </c>
      <c r="B132" s="97">
        <v>11.9</v>
      </c>
      <c r="C132" s="81">
        <f>IF(B132&lt;=Hypothèses!$C$7,Hypothèses!$A$7,IF(B132&lt;=Hypothèses!$C$8,Hypothèses!$A$8,IF(B132&lt;=Hypothèses!$C$9,Hypothèses!$A$9,IF(B132&lt;=Hypothèses!$C$10,Hypothèses!$A$10,IF(B132&lt;=Hypothèses!$C$11,Hypothèses!$A$11,IF(B132&lt;=Hypothèses!$C$12,Hypothèses!$A$12,IF(B132&lt;=Hypothèses!$C$13,Hypothèses!$A$13,IF(B132&lt;=Hypothèses!$C$14,Hypothèses!$A$14,IF(B132&lt;=Hypothèses!$C$15,Hypothèses!$A$15,IF(B132&lt;=Hypothèses!$C$16,Hypothèses!$A$16,IF(B132&lt;=Hypothèses!$C$17,Hypothèses!$A$17,IF(B132&lt;=Hypothèses!$C$18,Hypothèses!$A$18,C131))))))))))))</f>
        <v>11</v>
      </c>
      <c r="D132" s="82" t="str">
        <f>IF(B132&lt;=Hypothèses!$C$7,Hypothèses!$R$7,IF(B132&lt;=Hypothèses!$C$8,Hypothèses!$R$8,IF(B132&lt;=Hypothèses!$C$9,Hypothèses!$R$9,IF(B132&lt;=Hypothèses!$C$10,Hypothèses!$R$10,IF(B132&lt;=Hypothèses!$C$11,Hypothèses!$R$11,IF(B132&lt;=Hypothèses!$C$12,Hypothèses!$R$12,IF(B132&lt;=Hypothèses!$C$13,Hypothèses!$R$13,IF(B132&lt;=Hypothèses!$C$14,Hypothèses!$R$14,IF(B132&lt;=Hypothèses!$C$15,Hypothèses!$R$15,IF(B132&lt;=Hypothèses!$C$16,Hypothèses!$R$16,IF(B132&lt;=Hypothèses!$C$17,Hypothèses!$R$17,IF(B132&lt;=Hypothèses!$C$18,Hypothèses!$R$18,D131))))))))))))</f>
        <v>Pressio.</v>
      </c>
      <c r="E132" s="82" t="e">
        <f>IF(B132&lt;=Hypothèses!$C$7,Hypothèses!$G$7,IF(B132&lt;=Hypothèses!$C$8,Hypothèses!$G$8,IF(B132&lt;=Hypothèses!$C$9,Hypothèses!$G$9,IF(B132&lt;=Hypothèses!$C$10,Hypothèses!$G$10,IF(B132&lt;=Hypothèses!$C$11,Hypothèses!$G$11,IF(B132&lt;=Hypothèses!$C$12,Hypothèses!$G$12,IF(B132&lt;=Hypothèses!$C$13,Hypothèses!$G$13,IF(B132&lt;=Hypothèses!$C$14,Hypothèses!$G$14,IF(B132&lt;=Hypothèses!$C$15,Hypothèses!$G$15,IF(B132&lt;=Hypothèses!$C$16,Hypothèses!$G$16,IF(B132&lt;=Hypothèses!$C$17,Hypothèses!$G$17,IF(B132&lt;=Hypothèses!$C$18,Hypothèses!$G$18,E131))))))))))))</f>
        <v>#N/A</v>
      </c>
      <c r="F132" s="82" t="str">
        <f>IF(B132&lt;=Hypothèses!$C$7,Hypothèses!$F$7,IF(B132&lt;=Hypothèses!$C$8,Hypothèses!$F$8,IF(B132&lt;=Hypothèses!$C$9,Hypothèses!$F$9,IF(B132&lt;=Hypothèses!$C$10,Hypothèses!$F$10,IF(B132&lt;=Hypothèses!$C$11,Hypothèses!$F$11,IF(B132&lt;=Hypothèses!$C$12,Hypothèses!$F$12,IF(B132&lt;=Hypothèses!$C$13,Hypothèses!$F$13,IF(B132&lt;=Hypothèses!$C$14,Hypothèses!$F$14,IF(B132&lt;=Hypothèses!$C$15,Hypothèses!$F$15,IF(B132&lt;=Hypothèses!$C$16,Hypothèses!$F$16,IF(B132&lt;=Hypothèses!$C$17,Hypothèses!$F$17,IF(B132&lt;=Hypothèses!$C$18,Hypothèses!$F$18,F131))))))))))))</f>
        <v/>
      </c>
      <c r="G132" s="91">
        <f t="array" ref="G132">INDEX('Coeff EC7'!$U$7:$X$27,
MATCH(Model0.1T!$B$3,'Coeff EC7'!$T$7:$T$27,0),
MATCH(Model0.1T!$D132&amp;Model0.1T!$B$4,
'Coeff EC7'!$U$6:$X$6&amp;
'Coeff EC7'!$U$5:$X$5,0))</f>
        <v>1.4</v>
      </c>
      <c r="H132" s="91">
        <f t="array" ref="H132">INDEX('Coeff EC7'!$Y$7:$AB$27,
MATCH(Model0.1T!$B$3,'Coeff EC7'!$T$7:$T$27,0),
MATCH(Model0.1T!$D132&amp;Model0.1T!$B$4,
'Coeff EC7'!$Y$6:$AB$6&amp;
'Coeff EC7'!$Y$5:$AB$5,0))</f>
        <v>1.7</v>
      </c>
      <c r="I132" s="83">
        <v>0</v>
      </c>
      <c r="J132" s="91" t="e">
        <f t="array" ref="J132">INDEX('Coeff EC7'!$D$33:$Q$33,1,MATCH(D132&amp;E132,'Coeff EC7'!$D$31:$Q$31&amp;'Coeff EC7'!$D$32:$Q$32,0))</f>
        <v>#N/A</v>
      </c>
      <c r="K132" s="91" t="e">
        <f t="array" ref="K132">INDEX('Coeff EC7'!$D$34:$Q$34,1,MATCH(D132&amp;E132,'Coeff EC7'!$D$31:$Q$31&amp;'Coeff EC7'!$D$32:$Q$32,0))</f>
        <v>#N/A</v>
      </c>
      <c r="L132" s="91" t="e">
        <f t="array" ref="L132">INDEX('Coeff EC7'!$D$35:$Q$35,1,MATCH(D132&amp;E132,'Coeff EC7'!$D$31:$Q$31&amp;'Coeff EC7'!$D$32:$Q$32,0))</f>
        <v>#N/A</v>
      </c>
      <c r="M132" s="98" t="e">
        <f t="shared" si="131"/>
        <v>#N/A</v>
      </c>
      <c r="N132" s="99" t="e">
        <f t="array" ref="N132">INDEX('Coeff EC7'!$D$7:$Q$27,MATCH($B$3,'Coeff EC7'!$C$7:$C$27,0),MATCH(D132&amp;E132,'Coeff EC7'!$D$5:$Q$5&amp;'Coeff EC7'!$D$6:$Q$6,0))</f>
        <v>#N/A</v>
      </c>
      <c r="O132" s="99" t="e">
        <f t="array" ref="O132">INDEX('Coeff EC7'!$D$41:$Q$61,MATCH($B$3,'Coeff EC7'!$C$41:$C$61,0),MATCH(D132&amp;E132,'Coeff EC7'!$D$39:$Q$39&amp;'Coeff EC7'!$D$40:$Q$40,0))</f>
        <v>#N/A</v>
      </c>
      <c r="P132" s="30" t="e">
        <f t="shared" si="166"/>
        <v>#N/A</v>
      </c>
      <c r="Q132" s="100" t="e">
        <f t="shared" si="133"/>
        <v>#N/A</v>
      </c>
      <c r="R132" s="86" t="b">
        <f t="shared" si="134"/>
        <v>0</v>
      </c>
      <c r="S132" s="86">
        <f t="shared" si="132"/>
        <v>0.5</v>
      </c>
      <c r="T132" s="86">
        <f t="shared" si="135"/>
        <v>0.5</v>
      </c>
      <c r="U132" s="30" t="e">
        <f t="shared" ca="1" si="167"/>
        <v>#DIV/0!</v>
      </c>
      <c r="V132" s="85" t="str">
        <f>IF(B132&lt;=Hypothèses!$V$7,Hypothèses!$W$7,IF(B132&lt;=Hypothèses!$V$8,Hypothèses!$W$8,IF(B132&lt;=Hypothèses!$V$9,Hypothèses!$W$9,IF(B132&lt;=Hypothèses!$V$10,Hypothèses!$W$10,IF(B132&lt;=Hypothèses!$V$11,Hypothèses!$W$11,IF(B132&lt;=Hypothèses!$V$12,Hypothèses!$W$12,IF(B132&lt;=Hypothèses!$V$13,Hypothèses!$W$13,IF(B132&lt;=Hypothèses!$V$14,Hypothèses!$W$14,IF(B132&lt;=Hypothèses!$V$15,Hypothèses!$W$15,IF(B132&lt;=Hypothèses!$V$16,Hypothèses!$W$16,IF(B132&lt;=Hypothèses!$V$17,Hypothèses!$W$17,IF(B132&lt;=Hypothèses!$V$18,Hypothèses!$W$18,""))))))))))))</f>
        <v/>
      </c>
      <c r="W132" s="87" t="e">
        <f t="shared" ca="1" si="216"/>
        <v>#DIV/0!</v>
      </c>
      <c r="X132" s="88" t="str">
        <f>IF(B132&lt;=Hypothèses!$V$7,Hypothèses!$X$7,IF(B132&lt;=Hypothèses!$V$8,Hypothèses!$X$8,IF(B132&lt;=Hypothèses!$V$9,Hypothèses!$X$9,IF(B132&lt;=Hypothèses!$V$10,Hypothèses!$X$10,IF(B132&lt;=Hypothèses!$V$11,Hypothèses!$X$11,IF(B132&lt;=Hypothèses!$V$12,Hypothèses!$X$12,IF(B132&lt;=Hypothèses!$V$13,Hypothèses!$X$13,IF(B132&lt;=Hypothèses!$V$14,Hypothèses!$X$14,IF(B132&lt;=Hypothèses!$V$15,Hypothèses!$X$15,IF(B132&lt;=Hypothèses!$V$16,Hypothèses!$X$16,IF(B132&lt;=Hypothèses!$U$17,Hypothèses!$W$17,IF(B132&lt;=Hypothèses!$U$18,Hypothèses!$W$18,""))))))))))))</f>
        <v/>
      </c>
      <c r="Y132" s="95" t="e">
        <f t="shared" ca="1" si="136"/>
        <v>#DIV/0!</v>
      </c>
      <c r="Z132" s="101">
        <f t="shared" si="137"/>
        <v>0</v>
      </c>
      <c r="AA132" s="91">
        <f t="shared" si="138"/>
        <v>0</v>
      </c>
      <c r="AB132" s="30" t="e">
        <f t="shared" si="200"/>
        <v>#N/A</v>
      </c>
      <c r="AC132" s="30" t="e">
        <f t="shared" si="201"/>
        <v>#N/A</v>
      </c>
      <c r="AD132" s="31" t="e">
        <f>IF(OR(Hypothèses!$B$4=17,Hypothèses!$B$4=18,Hypothèses!$B$4=19,Hypothèses!$B$4=20),
IF($D132="Pressio.",
IF(OR($E132=3,$E132=1,$E132=4),AC132,AB132),
IF($D132="Pénétro.",
IF(OR($E132=3,$E132=1,$E132=4),AC132,AB132))),IF($D132="Pressio.",
IF($E132=3,AC132,AB132),
IF($D132="Pénétro.",
IF($E132=4,AC132,AB132))))</f>
        <v>#N/A</v>
      </c>
      <c r="AE132" s="31">
        <v>0</v>
      </c>
      <c r="AF132" s="102" t="e">
        <f>IF(NDC!$H$10="Oui",(VLOOKUP($B$3,'Coeff EC7'!$T$39:$X$59,2,0)*AD132+VLOOKUP($B$3,'Coeff EC7'!$T$65:$X$85,2,0)*Model0.1T!AE132)/1.5,PI()*AB$12*$Q132*($B132-$B131)*0.15/10+AF131)</f>
        <v>#N/A</v>
      </c>
      <c r="AG132" s="102" t="e">
        <f>(VLOOKUP($B$3,'Coeff EC7'!$T$39:$X$59,3,0)*AD132+VLOOKUP($B$3,'Coeff EC7'!$T$65:$X$85,3,0)*Model0.1T!AE132)/1.1</f>
        <v>#N/A</v>
      </c>
      <c r="AH132" s="102" t="e">
        <f t="shared" si="168"/>
        <v>#N/A</v>
      </c>
      <c r="AI132" s="102" t="e">
        <f t="shared" si="169"/>
        <v>#N/A</v>
      </c>
      <c r="AJ132" s="414" t="e">
        <f>IF(AND(AF132&gt;NDC!$C$63,AG132&gt;NDC!$C$65,AH132&gt;NDC!$D$73,AI132&gt;NDC!$D$74,$B132&gt;NDC!$H$22-0.1+MIN(3*$AJ$12,1.5)),0,1)</f>
        <v>#N/A</v>
      </c>
      <c r="AK132" s="86" t="b">
        <f t="shared" si="139"/>
        <v>0</v>
      </c>
      <c r="AL132" s="86">
        <f t="shared" si="170"/>
        <v>0.5</v>
      </c>
      <c r="AM132" s="86">
        <f t="shared" si="140"/>
        <v>0.5</v>
      </c>
      <c r="AN132" s="30" t="e">
        <f t="shared" ca="1" si="171"/>
        <v>#DIV/0!</v>
      </c>
      <c r="AO132" s="85" t="e">
        <f ca="1">IF(U132&lt;=Hypothèses!$V$7,Hypothèses!$W$7,IF(U132&lt;=Hypothèses!$V$8,Hypothèses!$W$8,IF(U132&lt;=Hypothèses!$V$9,Hypothèses!$W$9,IF(U132&lt;=Hypothèses!$V$10,Hypothèses!$W$10,IF(U132&lt;=Hypothèses!$V$11,Hypothèses!$W$11,IF(U132&lt;=Hypothèses!$V$12,Hypothèses!$W$12,IF(U132&lt;=Hypothèses!$V$13,Hypothèses!$W$13,IF(U132&lt;=Hypothèses!$V$14,Hypothèses!$W$14,IF(U132&lt;=Hypothèses!$V$15,Hypothèses!$W$15,IF(U132&lt;=Hypothèses!$V$16,Hypothèses!$W$16,IF(U132&lt;=Hypothèses!$V$17,Hypothèses!$W$17,IF(U132&lt;=Hypothèses!$V$18,Hypothèses!$W$18,""))))))))))))</f>
        <v>#DIV/0!</v>
      </c>
      <c r="AP132" s="87" t="e">
        <f t="shared" ca="1" si="217"/>
        <v>#DIV/0!</v>
      </c>
      <c r="AQ132" s="88" t="e">
        <f ca="1">IF(U132&lt;=Hypothèses!$V$7,Hypothèses!$X$7,IF(U132&lt;=Hypothèses!$V$8,Hypothèses!$X$8,IF(U132&lt;=Hypothèses!$V$9,Hypothèses!$X$9,IF(U132&lt;=Hypothèses!$V$10,Hypothèses!$X$10,IF(U132&lt;=Hypothèses!$V$11,Hypothèses!$X$11,IF(U132&lt;=Hypothèses!$V$12,Hypothèses!$X$12,IF(U132&lt;=Hypothèses!$V$13,Hypothèses!$X$13,IF(U132&lt;=Hypothèses!$V$14,Hypothèses!$X$14,IF(U132&lt;=Hypothèses!$V$15,Hypothèses!$X$15,IF(U132&lt;=Hypothèses!$V$16,Hypothèses!$X$16,IF(U132&lt;=Hypothèses!$U$17,Hypothèses!$W$17,IF(U132&lt;=Hypothèses!$U$18,Hypothèses!$W$18,""))))))))))))</f>
        <v>#DIV/0!</v>
      </c>
      <c r="AR132" s="95" t="e">
        <f t="shared" ca="1" si="172"/>
        <v>#DIV/0!</v>
      </c>
      <c r="AS132" s="101">
        <f t="shared" si="224"/>
        <v>0</v>
      </c>
      <c r="AT132" s="91">
        <f t="shared" si="141"/>
        <v>0</v>
      </c>
      <c r="AU132" s="30" t="e">
        <f t="shared" si="202"/>
        <v>#N/A</v>
      </c>
      <c r="AV132" s="30" t="e">
        <f t="shared" si="203"/>
        <v>#N/A</v>
      </c>
      <c r="AW132" s="31" t="e">
        <f>IF(OR(Hypothèses!$B$4=17,Hypothèses!$B$4=18,Hypothèses!$B$4=19,Hypothèses!$B$4=20),
IF($D132="Pressio.",
IF(OR($E132=3,$E132=1,$E132=4),AV132,AU132),
IF($D132="Pénétro.",
IF(OR($E132=3,$E132=1,$E132=4),AV132,AU132))),IF($D132="Pressio.",
IF($E132=3,AV132,AU132),
IF($D132="Pénétro.",
IF($E132=4,AV132,AU132))))</f>
        <v>#N/A</v>
      </c>
      <c r="AX132" s="31">
        <v>0</v>
      </c>
      <c r="AY132" s="102" t="e">
        <f>IF(NDC!$H$10="Oui",(VLOOKUP($B$3,'Coeff EC7'!$T$39:$X$59,2,0)*AW132+VLOOKUP($B$3,'Coeff EC7'!$T$65:$X$85,2,0)*Model0.1T!AX132)/1.5,PI()*AU$12*$Q132*($B132-$B131)*0.15/10+AY131)</f>
        <v>#N/A</v>
      </c>
      <c r="AZ132" s="102" t="e">
        <f>(VLOOKUP($B$3,'Coeff EC7'!$T$39:$X$59,3,0)*AW132+VLOOKUP($B$3,'Coeff EC7'!$T$65:$X$85,3,0)*Model0.1T!AX132)/1.1</f>
        <v>#N/A</v>
      </c>
      <c r="BA132" s="102" t="e">
        <f t="shared" si="173"/>
        <v>#N/A</v>
      </c>
      <c r="BB132" s="102" t="e">
        <f t="shared" si="174"/>
        <v>#N/A</v>
      </c>
      <c r="BC132" s="414" t="e">
        <f>IF(AND(AY132&gt;NDC!$C$63,AZ132&gt;NDC!$C$65,BA132&gt;NDC!$D$73,BB132&gt;NDC!$D$74,$B132&gt;NDC!$H$22-0.1+MIN(3*BC$12,1.5)),0,1)</f>
        <v>#N/A</v>
      </c>
      <c r="BD132" s="86" t="b">
        <f t="shared" si="142"/>
        <v>0</v>
      </c>
      <c r="BE132" s="86">
        <f t="shared" si="175"/>
        <v>0.5</v>
      </c>
      <c r="BF132" s="86">
        <f t="shared" si="143"/>
        <v>0.5</v>
      </c>
      <c r="BG132" s="30" t="e">
        <f t="shared" ca="1" si="176"/>
        <v>#DIV/0!</v>
      </c>
      <c r="BH132" s="85" t="e">
        <f ca="1">IF(AN132&lt;=Hypothèses!$V$7,Hypothèses!$W$7,IF(AN132&lt;=Hypothèses!$V$8,Hypothèses!$W$8,IF(AN132&lt;=Hypothèses!$V$9,Hypothèses!$W$9,IF(AN132&lt;=Hypothèses!$V$10,Hypothèses!$W$10,IF(AN132&lt;=Hypothèses!$V$11,Hypothèses!$W$11,IF(AN132&lt;=Hypothèses!$V$12,Hypothèses!$W$12,IF(AN132&lt;=Hypothèses!$V$13,Hypothèses!$W$13,IF(AN132&lt;=Hypothèses!$V$14,Hypothèses!$W$14,IF(AN132&lt;=Hypothèses!$V$15,Hypothèses!$W$15,IF(AN132&lt;=Hypothèses!$V$16,Hypothèses!$W$16,IF(AN132&lt;=Hypothèses!$V$17,Hypothèses!$W$17,IF(AN132&lt;=Hypothèses!$V$18,Hypothèses!$W$18,""))))))))))))</f>
        <v>#DIV/0!</v>
      </c>
      <c r="BI132" s="87" t="e">
        <f t="shared" ca="1" si="218"/>
        <v>#DIV/0!</v>
      </c>
      <c r="BJ132" s="88" t="e">
        <f ca="1">IF(AN132&lt;=Hypothèses!$V$7,Hypothèses!$X$7,IF(AN132&lt;=Hypothèses!$V$8,Hypothèses!$X$8,IF(AN132&lt;=Hypothèses!$V$9,Hypothèses!$X$9,IF(AN132&lt;=Hypothèses!$V$10,Hypothèses!$X$10,IF(AN132&lt;=Hypothèses!$V$11,Hypothèses!$X$11,IF(AN132&lt;=Hypothèses!$V$12,Hypothèses!$X$12,IF(AN132&lt;=Hypothèses!$V$13,Hypothèses!$X$13,IF(AN132&lt;=Hypothèses!$V$14,Hypothèses!$X$14,IF(AN132&lt;=Hypothèses!$V$15,Hypothèses!$X$15,IF(AN132&lt;=Hypothèses!$V$16,Hypothèses!$X$16,IF(AN132&lt;=Hypothèses!$U$17,Hypothèses!$W$17,IF(AN132&lt;=Hypothèses!$U$18,Hypothèses!$W$18,""))))))))))))</f>
        <v>#DIV/0!</v>
      </c>
      <c r="BK132" s="95" t="e">
        <f t="shared" ca="1" si="177"/>
        <v>#DIV/0!</v>
      </c>
      <c r="BL132" s="101">
        <f t="shared" si="225"/>
        <v>0</v>
      </c>
      <c r="BM132" s="91">
        <f t="shared" si="144"/>
        <v>0</v>
      </c>
      <c r="BN132" s="30" t="e">
        <f t="shared" si="204"/>
        <v>#N/A</v>
      </c>
      <c r="BO132" s="30" t="e">
        <f t="shared" si="205"/>
        <v>#N/A</v>
      </c>
      <c r="BP132" s="31" t="e">
        <f>IF(OR(Hypothèses!$B$4=17,Hypothèses!$B$4=18,Hypothèses!$B$4=19,Hypothèses!$B$4=20),
IF($D132="Pressio.",
IF(OR($E132=3,$E132=1,$E132=4),BO132,BN132),
IF($D132="Pénétro.",
IF(OR($E132=3,$E132=1,$E132=4),BO132,BN132))),IF($D132="Pressio.",
IF($E132=3,BO132,BN132),
IF($D132="Pénétro.",
IF($E132=4,BO132,BN132))))</f>
        <v>#N/A</v>
      </c>
      <c r="BQ132" s="31">
        <v>0</v>
      </c>
      <c r="BR132" s="102" t="e">
        <f>IF(NDC!$H$10="Oui",(VLOOKUP($B$3,'Coeff EC7'!$T$39:$X$59,2,0)*BP132+VLOOKUP($B$3,'Coeff EC7'!$T$65:$X$85,2,0)*Model0.1T!BQ132)/1.5,PI()*BN$12*$Q132*($B132-$B131)*0.15/10+BR131)</f>
        <v>#N/A</v>
      </c>
      <c r="BS132" s="102" t="e">
        <f>(VLOOKUP($B$3,'Coeff EC7'!$T$39:$X$59,3,0)*BP132+VLOOKUP($B$3,'Coeff EC7'!$T$65:$X$85,3,0)*Model0.1T!BQ132)/1.1</f>
        <v>#N/A</v>
      </c>
      <c r="BT132" s="102" t="e">
        <f t="shared" si="178"/>
        <v>#N/A</v>
      </c>
      <c r="BU132" s="102" t="e">
        <f t="shared" si="179"/>
        <v>#N/A</v>
      </c>
      <c r="BV132" s="414" t="e">
        <f>IF(AND(BR132&gt;NDC!$C$63,BS132&gt;NDC!$C$65,BT132&gt;NDC!$D$73,BU132&gt;NDC!$D$74,$B132&gt;NDC!$H$22-0.1+MIN(3*BV$12,1.5)),0,1)</f>
        <v>#N/A</v>
      </c>
      <c r="BW132" s="86" t="b">
        <f t="shared" si="145"/>
        <v>0</v>
      </c>
      <c r="BX132" s="86">
        <f t="shared" si="146"/>
        <v>0.5</v>
      </c>
      <c r="BY132" s="86">
        <f t="shared" si="147"/>
        <v>0.5</v>
      </c>
      <c r="BZ132" s="30" t="e">
        <f t="shared" ca="1" si="180"/>
        <v>#DIV/0!</v>
      </c>
      <c r="CA132" s="85" t="e">
        <f ca="1">IF(BG132&lt;=Hypothèses!$V$7,Hypothèses!$W$7,IF(BG132&lt;=Hypothèses!$V$8,Hypothèses!$W$8,IF(BG132&lt;=Hypothèses!$V$9,Hypothèses!$W$9,IF(BG132&lt;=Hypothèses!$V$10,Hypothèses!$W$10,IF(BG132&lt;=Hypothèses!$V$11,Hypothèses!$W$11,IF(BG132&lt;=Hypothèses!$V$12,Hypothèses!$W$12,IF(BG132&lt;=Hypothèses!$V$13,Hypothèses!$W$13,IF(BG132&lt;=Hypothèses!$V$14,Hypothèses!$W$14,IF(BG132&lt;=Hypothèses!$V$15,Hypothèses!$W$15,IF(BG132&lt;=Hypothèses!$V$16,Hypothèses!$W$16,IF(BG132&lt;=Hypothèses!$V$17,Hypothèses!$W$17,IF(BG132&lt;=Hypothèses!$V$18,Hypothèses!$W$18,""))))))))))))</f>
        <v>#DIV/0!</v>
      </c>
      <c r="CB132" s="87" t="e">
        <f t="shared" ca="1" si="219"/>
        <v>#DIV/0!</v>
      </c>
      <c r="CC132" s="88" t="e">
        <f ca="1">IF(BG132&lt;=Hypothèses!$V$7,Hypothèses!$X$7,IF(BG132&lt;=Hypothèses!$V$8,Hypothèses!$X$8,IF(BG132&lt;=Hypothèses!$V$9,Hypothèses!$X$9,IF(BG132&lt;=Hypothèses!$V$10,Hypothèses!$X$10,IF(BG132&lt;=Hypothèses!$V$11,Hypothèses!$X$11,IF(BG132&lt;=Hypothèses!$V$12,Hypothèses!$X$12,IF(BG132&lt;=Hypothèses!$V$13,Hypothèses!$X$13,IF(BG132&lt;=Hypothèses!$V$14,Hypothèses!$X$14,IF(BG132&lt;=Hypothèses!$V$15,Hypothèses!$X$15,IF(BG132&lt;=Hypothèses!$V$16,Hypothèses!$X$16,IF(BG132&lt;=Hypothèses!$U$17,Hypothèses!$W$17,IF(BG132&lt;=Hypothèses!$U$18,Hypothèses!$W$18,""))))))))))))</f>
        <v>#DIV/0!</v>
      </c>
      <c r="CD132" s="95" t="e">
        <f t="shared" ca="1" si="181"/>
        <v>#DIV/0!</v>
      </c>
      <c r="CE132" s="101">
        <f t="shared" si="226"/>
        <v>0</v>
      </c>
      <c r="CF132" s="91">
        <f t="shared" si="148"/>
        <v>0</v>
      </c>
      <c r="CG132" s="30" t="e">
        <f t="shared" si="206"/>
        <v>#N/A</v>
      </c>
      <c r="CH132" s="30" t="e">
        <f t="shared" si="207"/>
        <v>#N/A</v>
      </c>
      <c r="CI132" s="31" t="e">
        <f>IF(OR(Hypothèses!$B$4=17,Hypothèses!$B$4=18,Hypothèses!$B$4=19,Hypothèses!$B$4=20),
IF($D132="Pressio.",
IF(OR($E132=3,$E132=1,$E132=4),CH132,CG132),
IF($D132="Pénétro.",
IF(OR($E132=3,$E132=1,$E132=4),CH132,CG132))),IF($D132="Pressio.",
IF($E132=3,CH132,CG132),
IF($D132="Pénétro.",
IF($E132=4,CH132,CG132))))</f>
        <v>#N/A</v>
      </c>
      <c r="CJ132" s="31">
        <v>0</v>
      </c>
      <c r="CK132" s="102" t="e">
        <f>IF(NDC!$H$10="Oui",(VLOOKUP($B$3,'Coeff EC7'!$T$39:$X$59,2,0)*CI132+VLOOKUP($B$3,'Coeff EC7'!$T$65:$X$85,2,0)*Model0.1T!CJ132)/1.5,PI()*CG$12*$Q132*($B132-$B131)*0.15/10+CK131)</f>
        <v>#N/A</v>
      </c>
      <c r="CL132" s="102" t="e">
        <f>(VLOOKUP($B$3,'Coeff EC7'!$T$39:$X$59,3,0)*CI132+VLOOKUP($B$3,'Coeff EC7'!$T$65:$X$85,3,0)*Model0.1T!CJ132)/1.1</f>
        <v>#N/A</v>
      </c>
      <c r="CM132" s="102" t="e">
        <f t="shared" si="182"/>
        <v>#N/A</v>
      </c>
      <c r="CN132" s="102" t="e">
        <f t="shared" si="183"/>
        <v>#N/A</v>
      </c>
      <c r="CO132" s="414" t="e">
        <f>IF(AND(CK132&gt;NDC!$C$63,CL132&gt;NDC!$C$65,CM132&gt;NDC!$D$73,CN132&gt;NDC!$D$74,$B132&gt;NDC!$H$22-0.1+MIN(3*CO$12,1.5)),0,1)</f>
        <v>#N/A</v>
      </c>
      <c r="CP132" s="86" t="b">
        <f t="shared" si="149"/>
        <v>0</v>
      </c>
      <c r="CQ132" s="86">
        <f t="shared" si="150"/>
        <v>0.5</v>
      </c>
      <c r="CR132" s="86">
        <f t="shared" si="151"/>
        <v>0.5</v>
      </c>
      <c r="CS132" s="30" t="e">
        <f t="shared" ca="1" si="184"/>
        <v>#DIV/0!</v>
      </c>
      <c r="CT132" s="85" t="e">
        <f ca="1">IF(BZ132&lt;=Hypothèses!$V$7,Hypothèses!$W$7,IF(BZ132&lt;=Hypothèses!$V$8,Hypothèses!$W$8,IF(BZ132&lt;=Hypothèses!$V$9,Hypothèses!$W$9,IF(BZ132&lt;=Hypothèses!$V$10,Hypothèses!$W$10,IF(BZ132&lt;=Hypothèses!$V$11,Hypothèses!$W$11,IF(BZ132&lt;=Hypothèses!$V$12,Hypothèses!$W$12,IF(BZ132&lt;=Hypothèses!$V$13,Hypothèses!$W$13,IF(BZ132&lt;=Hypothèses!$V$14,Hypothèses!$W$14,IF(BZ132&lt;=Hypothèses!$V$15,Hypothèses!$W$15,IF(BZ132&lt;=Hypothèses!$V$16,Hypothèses!$W$16,IF(BZ132&lt;=Hypothèses!$V$17,Hypothèses!$W$17,IF(BZ132&lt;=Hypothèses!$V$18,Hypothèses!$W$18,""))))))))))))</f>
        <v>#DIV/0!</v>
      </c>
      <c r="CU132" s="87" t="e">
        <f t="shared" ca="1" si="220"/>
        <v>#DIV/0!</v>
      </c>
      <c r="CV132" s="88" t="e">
        <f ca="1">IF(BZ132&lt;=Hypothèses!$V$7,Hypothèses!$X$7,IF(BZ132&lt;=Hypothèses!$V$8,Hypothèses!$X$8,IF(BZ132&lt;=Hypothèses!$V$9,Hypothèses!$X$9,IF(BZ132&lt;=Hypothèses!$V$10,Hypothèses!$X$10,IF(BZ132&lt;=Hypothèses!$V$11,Hypothèses!$X$11,IF(BZ132&lt;=Hypothèses!$V$12,Hypothèses!$X$12,IF(BZ132&lt;=Hypothèses!$V$13,Hypothèses!$X$13,IF(BZ132&lt;=Hypothèses!$V$14,Hypothèses!$X$14,IF(BZ132&lt;=Hypothèses!$V$15,Hypothèses!$X$15,IF(BZ132&lt;=Hypothèses!$V$16,Hypothèses!$X$16,IF(BZ132&lt;=Hypothèses!$U$17,Hypothèses!$W$17,IF(BZ132&lt;=Hypothèses!$U$18,Hypothèses!$W$18,""))))))))))))</f>
        <v>#DIV/0!</v>
      </c>
      <c r="CW132" s="95" t="e">
        <f t="shared" ca="1" si="185"/>
        <v>#DIV/0!</v>
      </c>
      <c r="CX132" s="101">
        <f t="shared" si="227"/>
        <v>0</v>
      </c>
      <c r="CY132" s="91">
        <f t="shared" si="152"/>
        <v>0</v>
      </c>
      <c r="CZ132" s="30" t="e">
        <f t="shared" si="208"/>
        <v>#N/A</v>
      </c>
      <c r="DA132" s="30" t="e">
        <f t="shared" si="209"/>
        <v>#N/A</v>
      </c>
      <c r="DB132" s="31" t="e">
        <f>IF(OR(Hypothèses!$B$4=17,Hypothèses!$B$4=18,Hypothèses!$B$4=19,Hypothèses!$B$4=20),
IF($D132="Pressio.",
IF(OR($E132=3,$E132=1,$E132=4),DA132,CZ132),
IF($D132="Pénétro.",
IF(OR($E132=3,$E132=1,$E132=4),DA132,CZ132))),IF($D132="Pressio.",
IF($E132=3,DA132,CZ132),
IF($D132="Pénétro.",
IF($E132=4,DA132,CZ132))))</f>
        <v>#N/A</v>
      </c>
      <c r="DC132" s="31">
        <v>0</v>
      </c>
      <c r="DD132" s="102" t="e">
        <f>IF(NDC!$H$10="Oui",(VLOOKUP($B$3,'Coeff EC7'!$T$39:$X$59,2,0)*DB132+VLOOKUP($B$3,'Coeff EC7'!$T$65:$X$85,2,0)*Model0.1T!DC132)/1.5,PI()*CZ$12*$Q132*($B132-$B131)*0.15/10+DD131)</f>
        <v>#N/A</v>
      </c>
      <c r="DE132" s="102" t="e">
        <f>(VLOOKUP($B$3,'Coeff EC7'!$T$39:$X$59,3,0)*DB132+VLOOKUP($B$3,'Coeff EC7'!$T$65:$X$85,3,0)*Model0.1T!DC132)/1.1</f>
        <v>#N/A</v>
      </c>
      <c r="DF132" s="102" t="e">
        <f t="shared" si="186"/>
        <v>#N/A</v>
      </c>
      <c r="DG132" s="102" t="e">
        <f t="shared" si="187"/>
        <v>#N/A</v>
      </c>
      <c r="DH132" s="414" t="e">
        <f>IF(AND(DD132&gt;NDC!$C$63,DE132&gt;NDC!$C$65,DF132&gt;NDC!$D$73,DG132&gt;NDC!$D$74,$B132&gt;NDC!$H$22-0.1+MIN(3*DH$12,1.5)),0,1)</f>
        <v>#N/A</v>
      </c>
      <c r="DI132" s="86" t="b">
        <f t="shared" si="153"/>
        <v>0</v>
      </c>
      <c r="DJ132" s="86">
        <f t="shared" si="154"/>
        <v>0.5</v>
      </c>
      <c r="DK132" s="86">
        <f t="shared" si="155"/>
        <v>0.5</v>
      </c>
      <c r="DL132" s="30" t="e">
        <f t="shared" ca="1" si="188"/>
        <v>#DIV/0!</v>
      </c>
      <c r="DM132" s="85" t="e">
        <f ca="1">IF(CS132&lt;=Hypothèses!$V$7,Hypothèses!$W$7,IF(CS132&lt;=Hypothèses!$V$8,Hypothèses!$W$8,IF(CS132&lt;=Hypothèses!$V$9,Hypothèses!$W$9,IF(CS132&lt;=Hypothèses!$V$10,Hypothèses!$W$10,IF(CS132&lt;=Hypothèses!$V$11,Hypothèses!$W$11,IF(CS132&lt;=Hypothèses!$V$12,Hypothèses!$W$12,IF(CS132&lt;=Hypothèses!$V$13,Hypothèses!$W$13,IF(CS132&lt;=Hypothèses!$V$14,Hypothèses!$W$14,IF(CS132&lt;=Hypothèses!$V$15,Hypothèses!$W$15,IF(CS132&lt;=Hypothèses!$V$16,Hypothèses!$W$16,IF(CS132&lt;=Hypothèses!$V$17,Hypothèses!$W$17,IF(CS132&lt;=Hypothèses!$V$18,Hypothèses!$W$18,""))))))))))))</f>
        <v>#DIV/0!</v>
      </c>
      <c r="DN132" s="87" t="e">
        <f t="shared" ca="1" si="221"/>
        <v>#DIV/0!</v>
      </c>
      <c r="DO132" s="88" t="e">
        <f ca="1">IF(CS132&lt;=Hypothèses!$V$7,Hypothèses!$X$7,IF(CS132&lt;=Hypothèses!$V$8,Hypothèses!$X$8,IF(CS132&lt;=Hypothèses!$V$9,Hypothèses!$X$9,IF(CS132&lt;=Hypothèses!$V$10,Hypothèses!$X$10,IF(CS132&lt;=Hypothèses!$V$11,Hypothèses!$X$11,IF(CS132&lt;=Hypothèses!$V$12,Hypothèses!$X$12,IF(CS132&lt;=Hypothèses!$V$13,Hypothèses!$X$13,IF(CS132&lt;=Hypothèses!$V$14,Hypothèses!$X$14,IF(CS132&lt;=Hypothèses!$V$15,Hypothèses!$X$15,IF(CS132&lt;=Hypothèses!$V$16,Hypothèses!$X$16,IF(CS132&lt;=Hypothèses!$U$17,Hypothèses!$W$17,IF(CS132&lt;=Hypothèses!$U$18,Hypothèses!$W$18,""))))))))))))</f>
        <v>#DIV/0!</v>
      </c>
      <c r="DP132" s="95" t="e">
        <f t="shared" ca="1" si="189"/>
        <v>#DIV/0!</v>
      </c>
      <c r="DQ132" s="101">
        <f t="shared" si="228"/>
        <v>0</v>
      </c>
      <c r="DR132" s="91">
        <f t="shared" si="156"/>
        <v>0</v>
      </c>
      <c r="DS132" s="30" t="e">
        <f t="shared" si="210"/>
        <v>#N/A</v>
      </c>
      <c r="DT132" s="30" t="e">
        <f t="shared" si="211"/>
        <v>#N/A</v>
      </c>
      <c r="DU132" s="31" t="e">
        <f>IF(OR(Hypothèses!$B$4=17,Hypothèses!$B$4=18,Hypothèses!$B$4=19,Hypothèses!$B$4=20),
IF($D132="Pressio.",
IF(OR($E132=3,$E132=1,$E132=4),DT132,DS132),
IF($D132="Pénétro.",
IF(OR($E132=3,$E132=1,$E132=4),DT132,DS132))),IF($D132="Pressio.",
IF($E132=3,DT132,DS132),
IF($D132="Pénétro.",
IF($E132=4,DT132,DS132))))</f>
        <v>#N/A</v>
      </c>
      <c r="DV132" s="31">
        <v>0</v>
      </c>
      <c r="DW132" s="102" t="e">
        <f>IF(NDC!$H$10="Oui",(VLOOKUP($B$3,'Coeff EC7'!$T$39:$X$59,2,0)*DU132+VLOOKUP($B$3,'Coeff EC7'!$T$65:$X$85,2,0)*Model0.1T!DV132)/1.5,PI()*DS$12*$Q132*($B132-$B131)*0.15/10+DW131)</f>
        <v>#N/A</v>
      </c>
      <c r="DX132" s="102" t="e">
        <f>(VLOOKUP($B$3,'Coeff EC7'!$T$39:$X$59,3,0)*DU132+VLOOKUP($B$3,'Coeff EC7'!$T$65:$X$85,3,0)*Model0.1T!DV132)/1.1</f>
        <v>#N/A</v>
      </c>
      <c r="DY132" s="102" t="e">
        <f t="shared" si="190"/>
        <v>#N/A</v>
      </c>
      <c r="DZ132" s="102" t="e">
        <f t="shared" si="191"/>
        <v>#N/A</v>
      </c>
      <c r="EA132" s="414" t="e">
        <f>IF(AND(DW132&gt;NDC!$C$63,DX132&gt;NDC!$C$65,DY132&gt;NDC!$D$73,DZ132&gt;NDC!$D$74,$B132&gt;NDC!$H$22-0.1+MIN(3*EA$12,1.5)),0,1)</f>
        <v>#N/A</v>
      </c>
      <c r="EB132" s="86" t="b">
        <f t="shared" si="157"/>
        <v>0</v>
      </c>
      <c r="EC132" s="418">
        <f t="shared" si="158"/>
        <v>0.51</v>
      </c>
      <c r="ED132" s="86">
        <f t="shared" si="159"/>
        <v>0.51</v>
      </c>
      <c r="EE132" s="30" t="e">
        <f t="shared" ca="1" si="192"/>
        <v>#DIV/0!</v>
      </c>
      <c r="EF132" s="85" t="e">
        <f ca="1">IF(DL132&lt;=Hypothèses!$V$7,Hypothèses!$W$7,IF(DL132&lt;=Hypothèses!$V$8,Hypothèses!$W$8,IF(DL132&lt;=Hypothèses!$V$9,Hypothèses!$W$9,IF(DL132&lt;=Hypothèses!$V$10,Hypothèses!$W$10,IF(DL132&lt;=Hypothèses!$V$11,Hypothèses!$W$11,IF(DL132&lt;=Hypothèses!$V$12,Hypothèses!$W$12,IF(DL132&lt;=Hypothèses!$V$13,Hypothèses!$W$13,IF(DL132&lt;=Hypothèses!$V$14,Hypothèses!$W$14,IF(DL132&lt;=Hypothèses!$V$15,Hypothèses!$W$15,IF(DL132&lt;=Hypothèses!$V$16,Hypothèses!$W$16,IF(DL132&lt;=Hypothèses!$V$17,Hypothèses!$W$17,IF(DL132&lt;=Hypothèses!$V$18,Hypothèses!$W$18,""))))))))))))</f>
        <v>#DIV/0!</v>
      </c>
      <c r="EG132" s="87" t="e">
        <f t="shared" ca="1" si="222"/>
        <v>#DIV/0!</v>
      </c>
      <c r="EH132" s="88" t="e">
        <f ca="1">IF(DL132&lt;=Hypothèses!$V$7,Hypothèses!$X$7,IF(DL132&lt;=Hypothèses!$V$8,Hypothèses!$X$8,IF(DL132&lt;=Hypothèses!$V$9,Hypothèses!$X$9,IF(DL132&lt;=Hypothèses!$V$10,Hypothèses!$X$10,IF(DL132&lt;=Hypothèses!$V$11,Hypothèses!$X$11,IF(DL132&lt;=Hypothèses!$V$12,Hypothèses!$X$12,IF(DL132&lt;=Hypothèses!$V$13,Hypothèses!$X$13,IF(DL132&lt;=Hypothèses!$V$14,Hypothèses!$X$14,IF(DL132&lt;=Hypothèses!$V$15,Hypothèses!$X$15,IF(DL132&lt;=Hypothèses!$V$16,Hypothèses!$X$16,IF(DL132&lt;=Hypothèses!$U$17,Hypothèses!$W$17,IF(DL132&lt;=Hypothèses!$U$18,Hypothèses!$W$18,""))))))))))))</f>
        <v>#DIV/0!</v>
      </c>
      <c r="EI132" s="95" t="e">
        <f t="shared" ca="1" si="193"/>
        <v>#DIV/0!</v>
      </c>
      <c r="EJ132" s="101">
        <f t="shared" si="229"/>
        <v>0</v>
      </c>
      <c r="EK132" s="91">
        <f t="shared" si="160"/>
        <v>0</v>
      </c>
      <c r="EL132" s="30" t="e">
        <f t="shared" si="212"/>
        <v>#N/A</v>
      </c>
      <c r="EM132" s="30" t="e">
        <f t="shared" si="213"/>
        <v>#N/A</v>
      </c>
      <c r="EN132" s="31" t="e">
        <f>IF(OR(Hypothèses!$B$4=17,Hypothèses!$B$4=18,Hypothèses!$B$4=19,Hypothèses!$B$4=20),
IF($D132="Pressio.",
IF(OR($E132=3,$E132=1,$E132=4),EM132,EL132),
IF($D132="Pénétro.",
IF(OR($E132=3,$E132=1,$E132=4),EM132,EL132))),IF($D132="Pressio.",
IF($E132=3,EM132,EL132),
IF($D132="Pénétro.",
IF($E132=4,EM132,EL132))))</f>
        <v>#N/A</v>
      </c>
      <c r="EO132" s="31">
        <v>0</v>
      </c>
      <c r="EP132" s="102" t="e">
        <f>IF(NDC!$H$10="Oui",(VLOOKUP($B$3,'Coeff EC7'!$T$39:$X$59,2,0)*EN132+VLOOKUP($B$3,'Coeff EC7'!$T$65:$X$85,2,0)*Model0.1T!EO132)/1.5,PI()*EL$12*$Q132*($B132-$B131)*0.15/10+EP131)</f>
        <v>#N/A</v>
      </c>
      <c r="EQ132" s="102" t="e">
        <f>(VLOOKUP($B$3,'Coeff EC7'!$T$39:$X$59,3,0)*EN132+VLOOKUP($B$3,'Coeff EC7'!$T$65:$X$85,3,0)*Model0.1T!EO132)/1.1</f>
        <v>#N/A</v>
      </c>
      <c r="ER132" s="102" t="e">
        <f t="shared" si="194"/>
        <v>#N/A</v>
      </c>
      <c r="ES132" s="102" t="e">
        <f t="shared" si="195"/>
        <v>#N/A</v>
      </c>
      <c r="ET132" s="414" t="e">
        <f>IF(AND(EP132&gt;NDC!$C$63,EQ132&gt;NDC!$C$65,ER132&gt;NDC!$D$73,ES132&gt;NDC!$D$74,$B132&gt;NDC!$H$22-0.1+MIN(3*ET$12,1.5)),0,1)</f>
        <v>#N/A</v>
      </c>
      <c r="EU132" s="86" t="b">
        <f t="shared" si="161"/>
        <v>0</v>
      </c>
      <c r="EV132" s="86">
        <f t="shared" si="162"/>
        <v>0.61</v>
      </c>
      <c r="EW132" s="86">
        <f t="shared" si="163"/>
        <v>0.61</v>
      </c>
      <c r="EX132" s="30" t="e">
        <f t="shared" ca="1" si="196"/>
        <v>#DIV/0!</v>
      </c>
      <c r="EY132" s="85" t="e">
        <f ca="1">IF(EE132&lt;=Hypothèses!$V$7,Hypothèses!$W$7,IF(EE132&lt;=Hypothèses!$V$8,Hypothèses!$W$8,IF(EE132&lt;=Hypothèses!$V$9,Hypothèses!$W$9,IF(EE132&lt;=Hypothèses!$V$10,Hypothèses!$W$10,IF(EE132&lt;=Hypothèses!$V$11,Hypothèses!$W$11,IF(EE132&lt;=Hypothèses!$V$12,Hypothèses!$W$12,IF(EE132&lt;=Hypothèses!$V$13,Hypothèses!$W$13,IF(EE132&lt;=Hypothèses!$V$14,Hypothèses!$W$14,IF(EE132&lt;=Hypothèses!$V$15,Hypothèses!$W$15,IF(EE132&lt;=Hypothèses!$V$16,Hypothèses!$W$16,IF(EE132&lt;=Hypothèses!$V$17,Hypothèses!$W$17,IF(EE132&lt;=Hypothèses!$V$18,Hypothèses!$W$18,""))))))))))))</f>
        <v>#DIV/0!</v>
      </c>
      <c r="EZ132" s="87" t="e">
        <f t="shared" ca="1" si="223"/>
        <v>#DIV/0!</v>
      </c>
      <c r="FA132" s="88" t="e">
        <f ca="1">IF(EE132&lt;=Hypothèses!$V$7,Hypothèses!$X$7,IF(EE132&lt;=Hypothèses!$V$8,Hypothèses!$X$8,IF(EE132&lt;=Hypothèses!$V$9,Hypothèses!$X$9,IF(EE132&lt;=Hypothèses!$V$10,Hypothèses!$X$10,IF(EE132&lt;=Hypothèses!$V$11,Hypothèses!$X$11,IF(EE132&lt;=Hypothèses!$V$12,Hypothèses!$X$12,IF(EE132&lt;=Hypothèses!$V$13,Hypothèses!$X$13,IF(EE132&lt;=Hypothèses!$V$14,Hypothèses!$X$14,IF(EE132&lt;=Hypothèses!$V$15,Hypothèses!$X$15,IF(EE132&lt;=Hypothèses!$V$16,Hypothèses!$X$16,IF(EE132&lt;=Hypothèses!$U$17,Hypothèses!$W$17,IF(EE132&lt;=Hypothèses!$U$18,Hypothèses!$W$18,""))))))))))))</f>
        <v>#DIV/0!</v>
      </c>
      <c r="FB132" s="95" t="e">
        <f t="shared" ca="1" si="197"/>
        <v>#DIV/0!</v>
      </c>
      <c r="FC132" s="101">
        <f t="shared" si="230"/>
        <v>0</v>
      </c>
      <c r="FD132" s="91">
        <f t="shared" si="164"/>
        <v>0</v>
      </c>
      <c r="FE132" s="30" t="e">
        <f t="shared" si="214"/>
        <v>#N/A</v>
      </c>
      <c r="FF132" s="30" t="e">
        <f t="shared" si="215"/>
        <v>#N/A</v>
      </c>
      <c r="FG132" s="31" t="e">
        <f>IF(OR(Hypothèses!$B$4=17,Hypothèses!$B$4=18,Hypothèses!$B$4=19,Hypothèses!$B$4=20),
IF($D132="Pressio.",
IF(OR($E132=3,$E132=1,$E132=4),FF132,FE132),
IF($D132="Pénétro.",
IF(OR($E132=3,$E132=1,$E132=4),FF132,FE132))),IF($D132="Pressio.",
IF($E132=3,FF132,FE132),
IF($D132="Pénétro.",
IF($E132=4,FF132,FE132))))</f>
        <v>#N/A</v>
      </c>
      <c r="FH132" s="31">
        <v>0</v>
      </c>
      <c r="FI132" s="102" t="e">
        <f>IF(NDC!$H$10="Oui",(VLOOKUP($B$3,'Coeff EC7'!$T$39:$X$59,2,0)*FG132+VLOOKUP($B$3,'Coeff EC7'!$T$65:$X$85,2,0)*Model0.1T!FH132)/1.5,PI()*FE$12*$Q132*($B132-$B131)*0.15/10+FI131)</f>
        <v>#N/A</v>
      </c>
      <c r="FJ132" s="102" t="e">
        <f>(VLOOKUP($B$3,'Coeff EC7'!$T$39:$X$59,3,0)*FG132+VLOOKUP($B$3,'Coeff EC7'!$T$65:$X$85,3,0)*Model0.1T!FH132)/1.1</f>
        <v>#N/A</v>
      </c>
      <c r="FK132" s="102" t="e">
        <f t="shared" si="198"/>
        <v>#N/A</v>
      </c>
      <c r="FL132" s="102" t="e">
        <f t="shared" si="199"/>
        <v>#N/A</v>
      </c>
      <c r="FM132" s="414" t="e">
        <f>IF(AND(FI132&gt;NDC!$C$63,FJ132&gt;NDC!$C$65,FK132&gt;NDC!$D$73,FL132&gt;NDC!$D$74,$B132&gt;NDC!$H$22-0.1+MIN(3*FM$12,1.5)),0,1)</f>
        <v>#N/A</v>
      </c>
    </row>
    <row r="133" spans="1:169">
      <c r="A133" s="96">
        <f t="shared" si="165"/>
        <v>88.000000000000682</v>
      </c>
      <c r="B133" s="97">
        <v>12</v>
      </c>
      <c r="C133" s="81">
        <f>IF(B133&lt;=Hypothèses!$C$7,Hypothèses!$A$7,IF(B133&lt;=Hypothèses!$C$8,Hypothèses!$A$8,IF(B133&lt;=Hypothèses!$C$9,Hypothèses!$A$9,IF(B133&lt;=Hypothèses!$C$10,Hypothèses!$A$10,IF(B133&lt;=Hypothèses!$C$11,Hypothèses!$A$11,IF(B133&lt;=Hypothèses!$C$12,Hypothèses!$A$12,IF(B133&lt;=Hypothèses!$C$13,Hypothèses!$A$13,IF(B133&lt;=Hypothèses!$C$14,Hypothèses!$A$14,IF(B133&lt;=Hypothèses!$C$15,Hypothèses!$A$15,IF(B133&lt;=Hypothèses!$C$16,Hypothèses!$A$16,IF(B133&lt;=Hypothèses!$C$17,Hypothèses!$A$17,IF(B133&lt;=Hypothèses!$C$18,Hypothèses!$A$18,C132))))))))))))</f>
        <v>11</v>
      </c>
      <c r="D133" s="82" t="str">
        <f>IF(B133&lt;=Hypothèses!$C$7,Hypothèses!$R$7,IF(B133&lt;=Hypothèses!$C$8,Hypothèses!$R$8,IF(B133&lt;=Hypothèses!$C$9,Hypothèses!$R$9,IF(B133&lt;=Hypothèses!$C$10,Hypothèses!$R$10,IF(B133&lt;=Hypothèses!$C$11,Hypothèses!$R$11,IF(B133&lt;=Hypothèses!$C$12,Hypothèses!$R$12,IF(B133&lt;=Hypothèses!$C$13,Hypothèses!$R$13,IF(B133&lt;=Hypothèses!$C$14,Hypothèses!$R$14,IF(B133&lt;=Hypothèses!$C$15,Hypothèses!$R$15,IF(B133&lt;=Hypothèses!$C$16,Hypothèses!$R$16,IF(B133&lt;=Hypothèses!$C$17,Hypothèses!$R$17,IF(B133&lt;=Hypothèses!$C$18,Hypothèses!$R$18,D132))))))))))))</f>
        <v>Pressio.</v>
      </c>
      <c r="E133" s="82" t="e">
        <f>IF(B133&lt;=Hypothèses!$C$7,Hypothèses!$G$7,IF(B133&lt;=Hypothèses!$C$8,Hypothèses!$G$8,IF(B133&lt;=Hypothèses!$C$9,Hypothèses!$G$9,IF(B133&lt;=Hypothèses!$C$10,Hypothèses!$G$10,IF(B133&lt;=Hypothèses!$C$11,Hypothèses!$G$11,IF(B133&lt;=Hypothèses!$C$12,Hypothèses!$G$12,IF(B133&lt;=Hypothèses!$C$13,Hypothèses!$G$13,IF(B133&lt;=Hypothèses!$C$14,Hypothèses!$G$14,IF(B133&lt;=Hypothèses!$C$15,Hypothèses!$G$15,IF(B133&lt;=Hypothèses!$C$16,Hypothèses!$G$16,IF(B133&lt;=Hypothèses!$C$17,Hypothèses!$G$17,IF(B133&lt;=Hypothèses!$C$18,Hypothèses!$G$18,E132))))))))))))</f>
        <v>#N/A</v>
      </c>
      <c r="F133" s="82" t="str">
        <f>IF(B133&lt;=Hypothèses!$C$7,Hypothèses!$F$7,IF(B133&lt;=Hypothèses!$C$8,Hypothèses!$F$8,IF(B133&lt;=Hypothèses!$C$9,Hypothèses!$F$9,IF(B133&lt;=Hypothèses!$C$10,Hypothèses!$F$10,IF(B133&lt;=Hypothèses!$C$11,Hypothèses!$F$11,IF(B133&lt;=Hypothèses!$C$12,Hypothèses!$F$12,IF(B133&lt;=Hypothèses!$C$13,Hypothèses!$F$13,IF(B133&lt;=Hypothèses!$C$14,Hypothèses!$F$14,IF(B133&lt;=Hypothèses!$C$15,Hypothèses!$F$15,IF(B133&lt;=Hypothèses!$C$16,Hypothèses!$F$16,IF(B133&lt;=Hypothèses!$C$17,Hypothèses!$F$17,IF(B133&lt;=Hypothèses!$C$18,Hypothèses!$F$18,F132))))))))))))</f>
        <v/>
      </c>
      <c r="G133" s="91">
        <f t="array" ref="G133">INDEX('Coeff EC7'!$U$7:$X$27,
MATCH(Model0.1T!$B$3,'Coeff EC7'!$T$7:$T$27,0),
MATCH(Model0.1T!$D133&amp;Model0.1T!$B$4,
'Coeff EC7'!$U$6:$X$6&amp;
'Coeff EC7'!$U$5:$X$5,0))</f>
        <v>1.4</v>
      </c>
      <c r="H133" s="91">
        <f t="array" ref="H133">INDEX('Coeff EC7'!$Y$7:$AB$27,
MATCH(Model0.1T!$B$3,'Coeff EC7'!$T$7:$T$27,0),
MATCH(Model0.1T!$D133&amp;Model0.1T!$B$4,
'Coeff EC7'!$Y$6:$AB$6&amp;
'Coeff EC7'!$Y$5:$AB$5,0))</f>
        <v>1.7</v>
      </c>
      <c r="I133" s="83">
        <v>0</v>
      </c>
      <c r="J133" s="91" t="e">
        <f t="array" ref="J133">INDEX('Coeff EC7'!$D$33:$Q$33,1,MATCH(D133&amp;E133,'Coeff EC7'!$D$31:$Q$31&amp;'Coeff EC7'!$D$32:$Q$32,0))</f>
        <v>#N/A</v>
      </c>
      <c r="K133" s="91" t="e">
        <f t="array" ref="K133">INDEX('Coeff EC7'!$D$34:$Q$34,1,MATCH(D133&amp;E133,'Coeff EC7'!$D$31:$Q$31&amp;'Coeff EC7'!$D$32:$Q$32,0))</f>
        <v>#N/A</v>
      </c>
      <c r="L133" s="91" t="e">
        <f t="array" ref="L133">INDEX('Coeff EC7'!$D$35:$Q$35,1,MATCH(D133&amp;E133,'Coeff EC7'!$D$31:$Q$31&amp;'Coeff EC7'!$D$32:$Q$32,0))</f>
        <v>#N/A</v>
      </c>
      <c r="M133" s="98" t="e">
        <f t="shared" si="131"/>
        <v>#N/A</v>
      </c>
      <c r="N133" s="99" t="e">
        <f t="array" ref="N133">INDEX('Coeff EC7'!$D$7:$Q$27,MATCH($B$3,'Coeff EC7'!$C$7:$C$27,0),MATCH(D133&amp;E133,'Coeff EC7'!$D$5:$Q$5&amp;'Coeff EC7'!$D$6:$Q$6,0))</f>
        <v>#N/A</v>
      </c>
      <c r="O133" s="99" t="e">
        <f t="array" ref="O133">INDEX('Coeff EC7'!$D$41:$Q$61,MATCH($B$3,'Coeff EC7'!$C$41:$C$61,0),MATCH(D133&amp;E133,'Coeff EC7'!$D$39:$Q$39&amp;'Coeff EC7'!$D$40:$Q$40,0))</f>
        <v>#N/A</v>
      </c>
      <c r="P133" s="30" t="e">
        <f t="shared" si="166"/>
        <v>#N/A</v>
      </c>
      <c r="Q133" s="100" t="e">
        <f t="shared" si="133"/>
        <v>#N/A</v>
      </c>
      <c r="R133" s="86" t="b">
        <f t="shared" si="134"/>
        <v>0</v>
      </c>
      <c r="S133" s="86">
        <f t="shared" si="132"/>
        <v>0.5</v>
      </c>
      <c r="T133" s="86">
        <f t="shared" si="135"/>
        <v>0.5</v>
      </c>
      <c r="U133" s="30" t="e">
        <f t="shared" ca="1" si="167"/>
        <v>#DIV/0!</v>
      </c>
      <c r="V133" s="85" t="str">
        <f>IF(B133&lt;=Hypothèses!$V$7,Hypothèses!$W$7,IF(B133&lt;=Hypothèses!$V$8,Hypothèses!$W$8,IF(B133&lt;=Hypothèses!$V$9,Hypothèses!$W$9,IF(B133&lt;=Hypothèses!$V$10,Hypothèses!$W$10,IF(B133&lt;=Hypothèses!$V$11,Hypothèses!$W$11,IF(B133&lt;=Hypothèses!$V$12,Hypothèses!$W$12,IF(B133&lt;=Hypothèses!$V$13,Hypothèses!$W$13,IF(B133&lt;=Hypothèses!$V$14,Hypothèses!$W$14,IF(B133&lt;=Hypothèses!$V$15,Hypothèses!$W$15,IF(B133&lt;=Hypothèses!$V$16,Hypothèses!$W$16,IF(B133&lt;=Hypothèses!$V$17,Hypothèses!$W$17,IF(B133&lt;=Hypothèses!$V$18,Hypothèses!$W$18,""))))))))))))</f>
        <v/>
      </c>
      <c r="W133" s="87" t="e">
        <f t="shared" ca="1" si="216"/>
        <v>#DIV/0!</v>
      </c>
      <c r="X133" s="88" t="str">
        <f>IF(B133&lt;=Hypothèses!$V$7,Hypothèses!$X$7,IF(B133&lt;=Hypothèses!$V$8,Hypothèses!$X$8,IF(B133&lt;=Hypothèses!$V$9,Hypothèses!$X$9,IF(B133&lt;=Hypothèses!$V$10,Hypothèses!$X$10,IF(B133&lt;=Hypothèses!$V$11,Hypothèses!$X$11,IF(B133&lt;=Hypothèses!$V$12,Hypothèses!$X$12,IF(B133&lt;=Hypothèses!$V$13,Hypothèses!$X$13,IF(B133&lt;=Hypothèses!$V$14,Hypothèses!$X$14,IF(B133&lt;=Hypothèses!$V$15,Hypothèses!$X$15,IF(B133&lt;=Hypothèses!$V$16,Hypothèses!$X$16,IF(B133&lt;=Hypothèses!$U$17,Hypothèses!$W$17,IF(B133&lt;=Hypothèses!$U$18,Hypothèses!$W$18,""))))))))))))</f>
        <v/>
      </c>
      <c r="Y133" s="95" t="e">
        <f t="shared" ca="1" si="136"/>
        <v>#DIV/0!</v>
      </c>
      <c r="Z133" s="101">
        <f t="shared" si="137"/>
        <v>0</v>
      </c>
      <c r="AA133" s="91">
        <f t="shared" si="138"/>
        <v>0</v>
      </c>
      <c r="AB133" s="30" t="e">
        <f t="shared" si="200"/>
        <v>#N/A</v>
      </c>
      <c r="AC133" s="30" t="e">
        <f t="shared" si="201"/>
        <v>#N/A</v>
      </c>
      <c r="AD133" s="31" t="e">
        <f>IF(OR(Hypothèses!$B$4=17,Hypothèses!$B$4=18,Hypothèses!$B$4=19,Hypothèses!$B$4=20),
IF($D133="Pressio.",
IF(OR($E133=3,$E133=1,$E133=4),AC133,AB133),
IF($D133="Pénétro.",
IF(OR($E133=3,$E133=1,$E133=4),AC133,AB133))),IF($D133="Pressio.",
IF($E133=3,AC133,AB133),
IF($D133="Pénétro.",
IF($E133=4,AC133,AB133))))</f>
        <v>#N/A</v>
      </c>
      <c r="AE133" s="31">
        <v>0</v>
      </c>
      <c r="AF133" s="102" t="e">
        <f>IF(NDC!$H$10="Oui",(VLOOKUP($B$3,'Coeff EC7'!$T$39:$X$59,2,0)*AD133+VLOOKUP($B$3,'Coeff EC7'!$T$65:$X$85,2,0)*Model0.1T!AE133)/1.5,PI()*AB$12*$Q133*($B133-$B132)*0.15/10+AF132)</f>
        <v>#N/A</v>
      </c>
      <c r="AG133" s="102" t="e">
        <f>(VLOOKUP($B$3,'Coeff EC7'!$T$39:$X$59,3,0)*AD133+VLOOKUP($B$3,'Coeff EC7'!$T$65:$X$85,3,0)*Model0.1T!AE133)/1.1</f>
        <v>#N/A</v>
      </c>
      <c r="AH133" s="102" t="e">
        <f t="shared" si="168"/>
        <v>#N/A</v>
      </c>
      <c r="AI133" s="102" t="e">
        <f t="shared" si="169"/>
        <v>#N/A</v>
      </c>
      <c r="AJ133" s="414" t="e">
        <f>IF(AND(AF133&gt;NDC!$C$63,AG133&gt;NDC!$C$65,AH133&gt;NDC!$D$73,AI133&gt;NDC!$D$74,$B133&gt;NDC!$H$22-0.1+MIN(3*$AJ$12,1.5)),0,1)</f>
        <v>#N/A</v>
      </c>
      <c r="AK133" s="86" t="b">
        <f t="shared" si="139"/>
        <v>0</v>
      </c>
      <c r="AL133" s="86">
        <f t="shared" si="170"/>
        <v>0.5</v>
      </c>
      <c r="AM133" s="86">
        <f t="shared" si="140"/>
        <v>0.5</v>
      </c>
      <c r="AN133" s="30" t="e">
        <f t="shared" ca="1" si="171"/>
        <v>#DIV/0!</v>
      </c>
      <c r="AO133" s="85" t="e">
        <f ca="1">IF(U133&lt;=Hypothèses!$V$7,Hypothèses!$W$7,IF(U133&lt;=Hypothèses!$V$8,Hypothèses!$W$8,IF(U133&lt;=Hypothèses!$V$9,Hypothèses!$W$9,IF(U133&lt;=Hypothèses!$V$10,Hypothèses!$W$10,IF(U133&lt;=Hypothèses!$V$11,Hypothèses!$W$11,IF(U133&lt;=Hypothèses!$V$12,Hypothèses!$W$12,IF(U133&lt;=Hypothèses!$V$13,Hypothèses!$W$13,IF(U133&lt;=Hypothèses!$V$14,Hypothèses!$W$14,IF(U133&lt;=Hypothèses!$V$15,Hypothèses!$W$15,IF(U133&lt;=Hypothèses!$V$16,Hypothèses!$W$16,IF(U133&lt;=Hypothèses!$V$17,Hypothèses!$W$17,IF(U133&lt;=Hypothèses!$V$18,Hypothèses!$W$18,""))))))))))))</f>
        <v>#DIV/0!</v>
      </c>
      <c r="AP133" s="87" t="e">
        <f t="shared" ca="1" si="217"/>
        <v>#DIV/0!</v>
      </c>
      <c r="AQ133" s="88" t="e">
        <f ca="1">IF(U133&lt;=Hypothèses!$V$7,Hypothèses!$X$7,IF(U133&lt;=Hypothèses!$V$8,Hypothèses!$X$8,IF(U133&lt;=Hypothèses!$V$9,Hypothèses!$X$9,IF(U133&lt;=Hypothèses!$V$10,Hypothèses!$X$10,IF(U133&lt;=Hypothèses!$V$11,Hypothèses!$X$11,IF(U133&lt;=Hypothèses!$V$12,Hypothèses!$X$12,IF(U133&lt;=Hypothèses!$V$13,Hypothèses!$X$13,IF(U133&lt;=Hypothèses!$V$14,Hypothèses!$X$14,IF(U133&lt;=Hypothèses!$V$15,Hypothèses!$X$15,IF(U133&lt;=Hypothèses!$V$16,Hypothèses!$X$16,IF(U133&lt;=Hypothèses!$U$17,Hypothèses!$W$17,IF(U133&lt;=Hypothèses!$U$18,Hypothèses!$W$18,""))))))))))))</f>
        <v>#DIV/0!</v>
      </c>
      <c r="AR133" s="95" t="e">
        <f t="shared" ca="1" si="172"/>
        <v>#DIV/0!</v>
      </c>
      <c r="AS133" s="101">
        <f t="shared" si="224"/>
        <v>0</v>
      </c>
      <c r="AT133" s="91">
        <f t="shared" si="141"/>
        <v>0</v>
      </c>
      <c r="AU133" s="30" t="e">
        <f t="shared" si="202"/>
        <v>#N/A</v>
      </c>
      <c r="AV133" s="30" t="e">
        <f t="shared" si="203"/>
        <v>#N/A</v>
      </c>
      <c r="AW133" s="31" t="e">
        <f>IF(OR(Hypothèses!$B$4=17,Hypothèses!$B$4=18,Hypothèses!$B$4=19,Hypothèses!$B$4=20),
IF($D133="Pressio.",
IF(OR($E133=3,$E133=1,$E133=4),AV133,AU133),
IF($D133="Pénétro.",
IF(OR($E133=3,$E133=1,$E133=4),AV133,AU133))),IF($D133="Pressio.",
IF($E133=3,AV133,AU133),
IF($D133="Pénétro.",
IF($E133=4,AV133,AU133))))</f>
        <v>#N/A</v>
      </c>
      <c r="AX133" s="31">
        <v>0</v>
      </c>
      <c r="AY133" s="102" t="e">
        <f>IF(NDC!$H$10="Oui",(VLOOKUP($B$3,'Coeff EC7'!$T$39:$X$59,2,0)*AW133+VLOOKUP($B$3,'Coeff EC7'!$T$65:$X$85,2,0)*Model0.1T!AX133)/1.5,PI()*AU$12*$Q133*($B133-$B132)*0.15/10+AY132)</f>
        <v>#N/A</v>
      </c>
      <c r="AZ133" s="102" t="e">
        <f>(VLOOKUP($B$3,'Coeff EC7'!$T$39:$X$59,3,0)*AW133+VLOOKUP($B$3,'Coeff EC7'!$T$65:$X$85,3,0)*Model0.1T!AX133)/1.1</f>
        <v>#N/A</v>
      </c>
      <c r="BA133" s="102" t="e">
        <f t="shared" si="173"/>
        <v>#N/A</v>
      </c>
      <c r="BB133" s="102" t="e">
        <f t="shared" si="174"/>
        <v>#N/A</v>
      </c>
      <c r="BC133" s="414" t="e">
        <f>IF(AND(AY133&gt;NDC!$C$63,AZ133&gt;NDC!$C$65,BA133&gt;NDC!$D$73,BB133&gt;NDC!$D$74,$B133&gt;NDC!$H$22-0.1+MIN(3*BC$12,1.5)),0,1)</f>
        <v>#N/A</v>
      </c>
      <c r="BD133" s="86" t="b">
        <f t="shared" si="142"/>
        <v>0</v>
      </c>
      <c r="BE133" s="86">
        <f t="shared" si="175"/>
        <v>0.5</v>
      </c>
      <c r="BF133" s="86">
        <f t="shared" si="143"/>
        <v>0.5</v>
      </c>
      <c r="BG133" s="30" t="e">
        <f t="shared" ca="1" si="176"/>
        <v>#DIV/0!</v>
      </c>
      <c r="BH133" s="85" t="e">
        <f ca="1">IF(AN133&lt;=Hypothèses!$V$7,Hypothèses!$W$7,IF(AN133&lt;=Hypothèses!$V$8,Hypothèses!$W$8,IF(AN133&lt;=Hypothèses!$V$9,Hypothèses!$W$9,IF(AN133&lt;=Hypothèses!$V$10,Hypothèses!$W$10,IF(AN133&lt;=Hypothèses!$V$11,Hypothèses!$W$11,IF(AN133&lt;=Hypothèses!$V$12,Hypothèses!$W$12,IF(AN133&lt;=Hypothèses!$V$13,Hypothèses!$W$13,IF(AN133&lt;=Hypothèses!$V$14,Hypothèses!$W$14,IF(AN133&lt;=Hypothèses!$V$15,Hypothèses!$W$15,IF(AN133&lt;=Hypothèses!$V$16,Hypothèses!$W$16,IF(AN133&lt;=Hypothèses!$V$17,Hypothèses!$W$17,IF(AN133&lt;=Hypothèses!$V$18,Hypothèses!$W$18,""))))))))))))</f>
        <v>#DIV/0!</v>
      </c>
      <c r="BI133" s="87" t="e">
        <f t="shared" ca="1" si="218"/>
        <v>#DIV/0!</v>
      </c>
      <c r="BJ133" s="88" t="e">
        <f ca="1">IF(AN133&lt;=Hypothèses!$V$7,Hypothèses!$X$7,IF(AN133&lt;=Hypothèses!$V$8,Hypothèses!$X$8,IF(AN133&lt;=Hypothèses!$V$9,Hypothèses!$X$9,IF(AN133&lt;=Hypothèses!$V$10,Hypothèses!$X$10,IF(AN133&lt;=Hypothèses!$V$11,Hypothèses!$X$11,IF(AN133&lt;=Hypothèses!$V$12,Hypothèses!$X$12,IF(AN133&lt;=Hypothèses!$V$13,Hypothèses!$X$13,IF(AN133&lt;=Hypothèses!$V$14,Hypothèses!$X$14,IF(AN133&lt;=Hypothèses!$V$15,Hypothèses!$X$15,IF(AN133&lt;=Hypothèses!$V$16,Hypothèses!$X$16,IF(AN133&lt;=Hypothèses!$U$17,Hypothèses!$W$17,IF(AN133&lt;=Hypothèses!$U$18,Hypothèses!$W$18,""))))))))))))</f>
        <v>#DIV/0!</v>
      </c>
      <c r="BK133" s="95" t="e">
        <f t="shared" ca="1" si="177"/>
        <v>#DIV/0!</v>
      </c>
      <c r="BL133" s="101">
        <f t="shared" si="225"/>
        <v>0</v>
      </c>
      <c r="BM133" s="91">
        <f t="shared" si="144"/>
        <v>0</v>
      </c>
      <c r="BN133" s="30" t="e">
        <f t="shared" si="204"/>
        <v>#N/A</v>
      </c>
      <c r="BO133" s="30" t="e">
        <f t="shared" si="205"/>
        <v>#N/A</v>
      </c>
      <c r="BP133" s="31" t="e">
        <f>IF(OR(Hypothèses!$B$4=17,Hypothèses!$B$4=18,Hypothèses!$B$4=19,Hypothèses!$B$4=20),
IF($D133="Pressio.",
IF(OR($E133=3,$E133=1,$E133=4),BO133,BN133),
IF($D133="Pénétro.",
IF(OR($E133=3,$E133=1,$E133=4),BO133,BN133))),IF($D133="Pressio.",
IF($E133=3,BO133,BN133),
IF($D133="Pénétro.",
IF($E133=4,BO133,BN133))))</f>
        <v>#N/A</v>
      </c>
      <c r="BQ133" s="31">
        <v>0</v>
      </c>
      <c r="BR133" s="102" t="e">
        <f>IF(NDC!$H$10="Oui",(VLOOKUP($B$3,'Coeff EC7'!$T$39:$X$59,2,0)*BP133+VLOOKUP($B$3,'Coeff EC7'!$T$65:$X$85,2,0)*Model0.1T!BQ133)/1.5,PI()*BN$12*$Q133*($B133-$B132)*0.15/10+BR132)</f>
        <v>#N/A</v>
      </c>
      <c r="BS133" s="102" t="e">
        <f>(VLOOKUP($B$3,'Coeff EC7'!$T$39:$X$59,3,0)*BP133+VLOOKUP($B$3,'Coeff EC7'!$T$65:$X$85,3,0)*Model0.1T!BQ133)/1.1</f>
        <v>#N/A</v>
      </c>
      <c r="BT133" s="102" t="e">
        <f t="shared" si="178"/>
        <v>#N/A</v>
      </c>
      <c r="BU133" s="102" t="e">
        <f t="shared" si="179"/>
        <v>#N/A</v>
      </c>
      <c r="BV133" s="414" t="e">
        <f>IF(AND(BR133&gt;NDC!$C$63,BS133&gt;NDC!$C$65,BT133&gt;NDC!$D$73,BU133&gt;NDC!$D$74,$B133&gt;NDC!$H$22-0.1+MIN(3*BV$12,1.5)),0,1)</f>
        <v>#N/A</v>
      </c>
      <c r="BW133" s="86" t="b">
        <f t="shared" si="145"/>
        <v>0</v>
      </c>
      <c r="BX133" s="86">
        <f t="shared" si="146"/>
        <v>0.5</v>
      </c>
      <c r="BY133" s="86">
        <f t="shared" si="147"/>
        <v>0.5</v>
      </c>
      <c r="BZ133" s="30" t="e">
        <f t="shared" ca="1" si="180"/>
        <v>#DIV/0!</v>
      </c>
      <c r="CA133" s="85" t="e">
        <f ca="1">IF(BG133&lt;=Hypothèses!$V$7,Hypothèses!$W$7,IF(BG133&lt;=Hypothèses!$V$8,Hypothèses!$W$8,IF(BG133&lt;=Hypothèses!$V$9,Hypothèses!$W$9,IF(BG133&lt;=Hypothèses!$V$10,Hypothèses!$W$10,IF(BG133&lt;=Hypothèses!$V$11,Hypothèses!$W$11,IF(BG133&lt;=Hypothèses!$V$12,Hypothèses!$W$12,IF(BG133&lt;=Hypothèses!$V$13,Hypothèses!$W$13,IF(BG133&lt;=Hypothèses!$V$14,Hypothèses!$W$14,IF(BG133&lt;=Hypothèses!$V$15,Hypothèses!$W$15,IF(BG133&lt;=Hypothèses!$V$16,Hypothèses!$W$16,IF(BG133&lt;=Hypothèses!$V$17,Hypothèses!$W$17,IF(BG133&lt;=Hypothèses!$V$18,Hypothèses!$W$18,""))))))))))))</f>
        <v>#DIV/0!</v>
      </c>
      <c r="CB133" s="87" t="e">
        <f t="shared" ca="1" si="219"/>
        <v>#DIV/0!</v>
      </c>
      <c r="CC133" s="88" t="e">
        <f ca="1">IF(BG133&lt;=Hypothèses!$V$7,Hypothèses!$X$7,IF(BG133&lt;=Hypothèses!$V$8,Hypothèses!$X$8,IF(BG133&lt;=Hypothèses!$V$9,Hypothèses!$X$9,IF(BG133&lt;=Hypothèses!$V$10,Hypothèses!$X$10,IF(BG133&lt;=Hypothèses!$V$11,Hypothèses!$X$11,IF(BG133&lt;=Hypothèses!$V$12,Hypothèses!$X$12,IF(BG133&lt;=Hypothèses!$V$13,Hypothèses!$X$13,IF(BG133&lt;=Hypothèses!$V$14,Hypothèses!$X$14,IF(BG133&lt;=Hypothèses!$V$15,Hypothèses!$X$15,IF(BG133&lt;=Hypothèses!$V$16,Hypothèses!$X$16,IF(BG133&lt;=Hypothèses!$U$17,Hypothèses!$W$17,IF(BG133&lt;=Hypothèses!$U$18,Hypothèses!$W$18,""))))))))))))</f>
        <v>#DIV/0!</v>
      </c>
      <c r="CD133" s="95" t="e">
        <f t="shared" ca="1" si="181"/>
        <v>#DIV/0!</v>
      </c>
      <c r="CE133" s="101">
        <f t="shared" si="226"/>
        <v>0</v>
      </c>
      <c r="CF133" s="91">
        <f t="shared" si="148"/>
        <v>0</v>
      </c>
      <c r="CG133" s="30" t="e">
        <f t="shared" si="206"/>
        <v>#N/A</v>
      </c>
      <c r="CH133" s="30" t="e">
        <f t="shared" si="207"/>
        <v>#N/A</v>
      </c>
      <c r="CI133" s="31" t="e">
        <f>IF(OR(Hypothèses!$B$4=17,Hypothèses!$B$4=18,Hypothèses!$B$4=19,Hypothèses!$B$4=20),
IF($D133="Pressio.",
IF(OR($E133=3,$E133=1,$E133=4),CH133,CG133),
IF($D133="Pénétro.",
IF(OR($E133=3,$E133=1,$E133=4),CH133,CG133))),IF($D133="Pressio.",
IF($E133=3,CH133,CG133),
IF($D133="Pénétro.",
IF($E133=4,CH133,CG133))))</f>
        <v>#N/A</v>
      </c>
      <c r="CJ133" s="31">
        <v>0</v>
      </c>
      <c r="CK133" s="102" t="e">
        <f>IF(NDC!$H$10="Oui",(VLOOKUP($B$3,'Coeff EC7'!$T$39:$X$59,2,0)*CI133+VLOOKUP($B$3,'Coeff EC7'!$T$65:$X$85,2,0)*Model0.1T!CJ133)/1.5,PI()*CG$12*$Q133*($B133-$B132)*0.15/10+CK132)</f>
        <v>#N/A</v>
      </c>
      <c r="CL133" s="102" t="e">
        <f>(VLOOKUP($B$3,'Coeff EC7'!$T$39:$X$59,3,0)*CI133+VLOOKUP($B$3,'Coeff EC7'!$T$65:$X$85,3,0)*Model0.1T!CJ133)/1.1</f>
        <v>#N/A</v>
      </c>
      <c r="CM133" s="102" t="e">
        <f t="shared" si="182"/>
        <v>#N/A</v>
      </c>
      <c r="CN133" s="102" t="e">
        <f t="shared" si="183"/>
        <v>#N/A</v>
      </c>
      <c r="CO133" s="414" t="e">
        <f>IF(AND(CK133&gt;NDC!$C$63,CL133&gt;NDC!$C$65,CM133&gt;NDC!$D$73,CN133&gt;NDC!$D$74,$B133&gt;NDC!$H$22-0.1+MIN(3*CO$12,1.5)),0,1)</f>
        <v>#N/A</v>
      </c>
      <c r="CP133" s="86" t="b">
        <f t="shared" si="149"/>
        <v>0</v>
      </c>
      <c r="CQ133" s="86">
        <f t="shared" si="150"/>
        <v>0.5</v>
      </c>
      <c r="CR133" s="86">
        <f t="shared" si="151"/>
        <v>0.5</v>
      </c>
      <c r="CS133" s="30" t="e">
        <f t="shared" ca="1" si="184"/>
        <v>#DIV/0!</v>
      </c>
      <c r="CT133" s="85" t="e">
        <f ca="1">IF(BZ133&lt;=Hypothèses!$V$7,Hypothèses!$W$7,IF(BZ133&lt;=Hypothèses!$V$8,Hypothèses!$W$8,IF(BZ133&lt;=Hypothèses!$V$9,Hypothèses!$W$9,IF(BZ133&lt;=Hypothèses!$V$10,Hypothèses!$W$10,IF(BZ133&lt;=Hypothèses!$V$11,Hypothèses!$W$11,IF(BZ133&lt;=Hypothèses!$V$12,Hypothèses!$W$12,IF(BZ133&lt;=Hypothèses!$V$13,Hypothèses!$W$13,IF(BZ133&lt;=Hypothèses!$V$14,Hypothèses!$W$14,IF(BZ133&lt;=Hypothèses!$V$15,Hypothèses!$W$15,IF(BZ133&lt;=Hypothèses!$V$16,Hypothèses!$W$16,IF(BZ133&lt;=Hypothèses!$V$17,Hypothèses!$W$17,IF(BZ133&lt;=Hypothèses!$V$18,Hypothèses!$W$18,""))))))))))))</f>
        <v>#DIV/0!</v>
      </c>
      <c r="CU133" s="87" t="e">
        <f t="shared" ca="1" si="220"/>
        <v>#DIV/0!</v>
      </c>
      <c r="CV133" s="88" t="e">
        <f ca="1">IF(BZ133&lt;=Hypothèses!$V$7,Hypothèses!$X$7,IF(BZ133&lt;=Hypothèses!$V$8,Hypothèses!$X$8,IF(BZ133&lt;=Hypothèses!$V$9,Hypothèses!$X$9,IF(BZ133&lt;=Hypothèses!$V$10,Hypothèses!$X$10,IF(BZ133&lt;=Hypothèses!$V$11,Hypothèses!$X$11,IF(BZ133&lt;=Hypothèses!$V$12,Hypothèses!$X$12,IF(BZ133&lt;=Hypothèses!$V$13,Hypothèses!$X$13,IF(BZ133&lt;=Hypothèses!$V$14,Hypothèses!$X$14,IF(BZ133&lt;=Hypothèses!$V$15,Hypothèses!$X$15,IF(BZ133&lt;=Hypothèses!$V$16,Hypothèses!$X$16,IF(BZ133&lt;=Hypothèses!$U$17,Hypothèses!$W$17,IF(BZ133&lt;=Hypothèses!$U$18,Hypothèses!$W$18,""))))))))))))</f>
        <v>#DIV/0!</v>
      </c>
      <c r="CW133" s="95" t="e">
        <f t="shared" ca="1" si="185"/>
        <v>#DIV/0!</v>
      </c>
      <c r="CX133" s="101">
        <f t="shared" si="227"/>
        <v>0</v>
      </c>
      <c r="CY133" s="91">
        <f t="shared" si="152"/>
        <v>0</v>
      </c>
      <c r="CZ133" s="30" t="e">
        <f t="shared" si="208"/>
        <v>#N/A</v>
      </c>
      <c r="DA133" s="30" t="e">
        <f t="shared" si="209"/>
        <v>#N/A</v>
      </c>
      <c r="DB133" s="31" t="e">
        <f>IF(OR(Hypothèses!$B$4=17,Hypothèses!$B$4=18,Hypothèses!$B$4=19,Hypothèses!$B$4=20),
IF($D133="Pressio.",
IF(OR($E133=3,$E133=1,$E133=4),DA133,CZ133),
IF($D133="Pénétro.",
IF(OR($E133=3,$E133=1,$E133=4),DA133,CZ133))),IF($D133="Pressio.",
IF($E133=3,DA133,CZ133),
IF($D133="Pénétro.",
IF($E133=4,DA133,CZ133))))</f>
        <v>#N/A</v>
      </c>
      <c r="DC133" s="31">
        <v>0</v>
      </c>
      <c r="DD133" s="102" t="e">
        <f>IF(NDC!$H$10="Oui",(VLOOKUP($B$3,'Coeff EC7'!$T$39:$X$59,2,0)*DB133+VLOOKUP($B$3,'Coeff EC7'!$T$65:$X$85,2,0)*Model0.1T!DC133)/1.5,PI()*CZ$12*$Q133*($B133-$B132)*0.15/10+DD132)</f>
        <v>#N/A</v>
      </c>
      <c r="DE133" s="102" t="e">
        <f>(VLOOKUP($B$3,'Coeff EC7'!$T$39:$X$59,3,0)*DB133+VLOOKUP($B$3,'Coeff EC7'!$T$65:$X$85,3,0)*Model0.1T!DC133)/1.1</f>
        <v>#N/A</v>
      </c>
      <c r="DF133" s="102" t="e">
        <f t="shared" si="186"/>
        <v>#N/A</v>
      </c>
      <c r="DG133" s="102" t="e">
        <f t="shared" si="187"/>
        <v>#N/A</v>
      </c>
      <c r="DH133" s="414" t="e">
        <f>IF(AND(DD133&gt;NDC!$C$63,DE133&gt;NDC!$C$65,DF133&gt;NDC!$D$73,DG133&gt;NDC!$D$74,$B133&gt;NDC!$H$22-0.1+MIN(3*DH$12,1.5)),0,1)</f>
        <v>#N/A</v>
      </c>
      <c r="DI133" s="86" t="b">
        <f t="shared" si="153"/>
        <v>0</v>
      </c>
      <c r="DJ133" s="86">
        <f t="shared" si="154"/>
        <v>0.5</v>
      </c>
      <c r="DK133" s="86">
        <f t="shared" si="155"/>
        <v>0.5</v>
      </c>
      <c r="DL133" s="30" t="e">
        <f t="shared" ca="1" si="188"/>
        <v>#DIV/0!</v>
      </c>
      <c r="DM133" s="85" t="e">
        <f ca="1">IF(CS133&lt;=Hypothèses!$V$7,Hypothèses!$W$7,IF(CS133&lt;=Hypothèses!$V$8,Hypothèses!$W$8,IF(CS133&lt;=Hypothèses!$V$9,Hypothèses!$W$9,IF(CS133&lt;=Hypothèses!$V$10,Hypothèses!$W$10,IF(CS133&lt;=Hypothèses!$V$11,Hypothèses!$W$11,IF(CS133&lt;=Hypothèses!$V$12,Hypothèses!$W$12,IF(CS133&lt;=Hypothèses!$V$13,Hypothèses!$W$13,IF(CS133&lt;=Hypothèses!$V$14,Hypothèses!$W$14,IF(CS133&lt;=Hypothèses!$V$15,Hypothèses!$W$15,IF(CS133&lt;=Hypothèses!$V$16,Hypothèses!$W$16,IF(CS133&lt;=Hypothèses!$V$17,Hypothèses!$W$17,IF(CS133&lt;=Hypothèses!$V$18,Hypothèses!$W$18,""))))))))))))</f>
        <v>#DIV/0!</v>
      </c>
      <c r="DN133" s="87" t="e">
        <f t="shared" ca="1" si="221"/>
        <v>#DIV/0!</v>
      </c>
      <c r="DO133" s="88" t="e">
        <f ca="1">IF(CS133&lt;=Hypothèses!$V$7,Hypothèses!$X$7,IF(CS133&lt;=Hypothèses!$V$8,Hypothèses!$X$8,IF(CS133&lt;=Hypothèses!$V$9,Hypothèses!$X$9,IF(CS133&lt;=Hypothèses!$V$10,Hypothèses!$X$10,IF(CS133&lt;=Hypothèses!$V$11,Hypothèses!$X$11,IF(CS133&lt;=Hypothèses!$V$12,Hypothèses!$X$12,IF(CS133&lt;=Hypothèses!$V$13,Hypothèses!$X$13,IF(CS133&lt;=Hypothèses!$V$14,Hypothèses!$X$14,IF(CS133&lt;=Hypothèses!$V$15,Hypothèses!$X$15,IF(CS133&lt;=Hypothèses!$V$16,Hypothèses!$X$16,IF(CS133&lt;=Hypothèses!$U$17,Hypothèses!$W$17,IF(CS133&lt;=Hypothèses!$U$18,Hypothèses!$W$18,""))))))))))))</f>
        <v>#DIV/0!</v>
      </c>
      <c r="DP133" s="95" t="e">
        <f t="shared" ca="1" si="189"/>
        <v>#DIV/0!</v>
      </c>
      <c r="DQ133" s="101">
        <f t="shared" si="228"/>
        <v>0</v>
      </c>
      <c r="DR133" s="91">
        <f t="shared" si="156"/>
        <v>0</v>
      </c>
      <c r="DS133" s="30" t="e">
        <f t="shared" si="210"/>
        <v>#N/A</v>
      </c>
      <c r="DT133" s="30" t="e">
        <f t="shared" si="211"/>
        <v>#N/A</v>
      </c>
      <c r="DU133" s="31" t="e">
        <f>IF(OR(Hypothèses!$B$4=17,Hypothèses!$B$4=18,Hypothèses!$B$4=19,Hypothèses!$B$4=20),
IF($D133="Pressio.",
IF(OR($E133=3,$E133=1,$E133=4),DT133,DS133),
IF($D133="Pénétro.",
IF(OR($E133=3,$E133=1,$E133=4),DT133,DS133))),IF($D133="Pressio.",
IF($E133=3,DT133,DS133),
IF($D133="Pénétro.",
IF($E133=4,DT133,DS133))))</f>
        <v>#N/A</v>
      </c>
      <c r="DV133" s="31">
        <v>0</v>
      </c>
      <c r="DW133" s="102" t="e">
        <f>IF(NDC!$H$10="Oui",(VLOOKUP($B$3,'Coeff EC7'!$T$39:$X$59,2,0)*DU133+VLOOKUP($B$3,'Coeff EC7'!$T$65:$X$85,2,0)*Model0.1T!DV133)/1.5,PI()*DS$12*$Q133*($B133-$B132)*0.15/10+DW132)</f>
        <v>#N/A</v>
      </c>
      <c r="DX133" s="102" t="e">
        <f>(VLOOKUP($B$3,'Coeff EC7'!$T$39:$X$59,3,0)*DU133+VLOOKUP($B$3,'Coeff EC7'!$T$65:$X$85,3,0)*Model0.1T!DV133)/1.1</f>
        <v>#N/A</v>
      </c>
      <c r="DY133" s="102" t="e">
        <f t="shared" si="190"/>
        <v>#N/A</v>
      </c>
      <c r="DZ133" s="102" t="e">
        <f t="shared" si="191"/>
        <v>#N/A</v>
      </c>
      <c r="EA133" s="414" t="e">
        <f>IF(AND(DW133&gt;NDC!$C$63,DX133&gt;NDC!$C$65,DY133&gt;NDC!$D$73,DZ133&gt;NDC!$D$74,$B133&gt;NDC!$H$22-0.1+MIN(3*EA$12,1.5)),0,1)</f>
        <v>#N/A</v>
      </c>
      <c r="EB133" s="86" t="b">
        <f t="shared" si="157"/>
        <v>0</v>
      </c>
      <c r="EC133" s="418">
        <f t="shared" si="158"/>
        <v>0.51</v>
      </c>
      <c r="ED133" s="86">
        <f t="shared" si="159"/>
        <v>0.51</v>
      </c>
      <c r="EE133" s="30" t="e">
        <f t="shared" ca="1" si="192"/>
        <v>#DIV/0!</v>
      </c>
      <c r="EF133" s="85" t="e">
        <f ca="1">IF(DL133&lt;=Hypothèses!$V$7,Hypothèses!$W$7,IF(DL133&lt;=Hypothèses!$V$8,Hypothèses!$W$8,IF(DL133&lt;=Hypothèses!$V$9,Hypothèses!$W$9,IF(DL133&lt;=Hypothèses!$V$10,Hypothèses!$W$10,IF(DL133&lt;=Hypothèses!$V$11,Hypothèses!$W$11,IF(DL133&lt;=Hypothèses!$V$12,Hypothèses!$W$12,IF(DL133&lt;=Hypothèses!$V$13,Hypothèses!$W$13,IF(DL133&lt;=Hypothèses!$V$14,Hypothèses!$W$14,IF(DL133&lt;=Hypothèses!$V$15,Hypothèses!$W$15,IF(DL133&lt;=Hypothèses!$V$16,Hypothèses!$W$16,IF(DL133&lt;=Hypothèses!$V$17,Hypothèses!$W$17,IF(DL133&lt;=Hypothèses!$V$18,Hypothèses!$W$18,""))))))))))))</f>
        <v>#DIV/0!</v>
      </c>
      <c r="EG133" s="87" t="e">
        <f t="shared" ca="1" si="222"/>
        <v>#DIV/0!</v>
      </c>
      <c r="EH133" s="88" t="e">
        <f ca="1">IF(DL133&lt;=Hypothèses!$V$7,Hypothèses!$X$7,IF(DL133&lt;=Hypothèses!$V$8,Hypothèses!$X$8,IF(DL133&lt;=Hypothèses!$V$9,Hypothèses!$X$9,IF(DL133&lt;=Hypothèses!$V$10,Hypothèses!$X$10,IF(DL133&lt;=Hypothèses!$V$11,Hypothèses!$X$11,IF(DL133&lt;=Hypothèses!$V$12,Hypothèses!$X$12,IF(DL133&lt;=Hypothèses!$V$13,Hypothèses!$X$13,IF(DL133&lt;=Hypothèses!$V$14,Hypothèses!$X$14,IF(DL133&lt;=Hypothèses!$V$15,Hypothèses!$X$15,IF(DL133&lt;=Hypothèses!$V$16,Hypothèses!$X$16,IF(DL133&lt;=Hypothèses!$U$17,Hypothèses!$W$17,IF(DL133&lt;=Hypothèses!$U$18,Hypothèses!$W$18,""))))))))))))</f>
        <v>#DIV/0!</v>
      </c>
      <c r="EI133" s="95" t="e">
        <f t="shared" ca="1" si="193"/>
        <v>#DIV/0!</v>
      </c>
      <c r="EJ133" s="101">
        <f t="shared" si="229"/>
        <v>0</v>
      </c>
      <c r="EK133" s="91">
        <f t="shared" si="160"/>
        <v>0</v>
      </c>
      <c r="EL133" s="30" t="e">
        <f t="shared" si="212"/>
        <v>#N/A</v>
      </c>
      <c r="EM133" s="30" t="e">
        <f t="shared" si="213"/>
        <v>#N/A</v>
      </c>
      <c r="EN133" s="31" t="e">
        <f>IF(OR(Hypothèses!$B$4=17,Hypothèses!$B$4=18,Hypothèses!$B$4=19,Hypothèses!$B$4=20),
IF($D133="Pressio.",
IF(OR($E133=3,$E133=1,$E133=4),EM133,EL133),
IF($D133="Pénétro.",
IF(OR($E133=3,$E133=1,$E133=4),EM133,EL133))),IF($D133="Pressio.",
IF($E133=3,EM133,EL133),
IF($D133="Pénétro.",
IF($E133=4,EM133,EL133))))</f>
        <v>#N/A</v>
      </c>
      <c r="EO133" s="31">
        <v>0</v>
      </c>
      <c r="EP133" s="102" t="e">
        <f>IF(NDC!$H$10="Oui",(VLOOKUP($B$3,'Coeff EC7'!$T$39:$X$59,2,0)*EN133+VLOOKUP($B$3,'Coeff EC7'!$T$65:$X$85,2,0)*Model0.1T!EO133)/1.5,PI()*EL$12*$Q133*($B133-$B132)*0.15/10+EP132)</f>
        <v>#N/A</v>
      </c>
      <c r="EQ133" s="102" t="e">
        <f>(VLOOKUP($B$3,'Coeff EC7'!$T$39:$X$59,3,0)*EN133+VLOOKUP($B$3,'Coeff EC7'!$T$65:$X$85,3,0)*Model0.1T!EO133)/1.1</f>
        <v>#N/A</v>
      </c>
      <c r="ER133" s="102" t="e">
        <f t="shared" si="194"/>
        <v>#N/A</v>
      </c>
      <c r="ES133" s="102" t="e">
        <f t="shared" si="195"/>
        <v>#N/A</v>
      </c>
      <c r="ET133" s="414" t="e">
        <f>IF(AND(EP133&gt;NDC!$C$63,EQ133&gt;NDC!$C$65,ER133&gt;NDC!$D$73,ES133&gt;NDC!$D$74,$B133&gt;NDC!$H$22-0.1+MIN(3*ET$12,1.5)),0,1)</f>
        <v>#N/A</v>
      </c>
      <c r="EU133" s="86" t="b">
        <f t="shared" si="161"/>
        <v>0</v>
      </c>
      <c r="EV133" s="86">
        <f t="shared" si="162"/>
        <v>0.61</v>
      </c>
      <c r="EW133" s="86">
        <f t="shared" si="163"/>
        <v>0.61</v>
      </c>
      <c r="EX133" s="30" t="e">
        <f t="shared" ca="1" si="196"/>
        <v>#DIV/0!</v>
      </c>
      <c r="EY133" s="85" t="e">
        <f ca="1">IF(EE133&lt;=Hypothèses!$V$7,Hypothèses!$W$7,IF(EE133&lt;=Hypothèses!$V$8,Hypothèses!$W$8,IF(EE133&lt;=Hypothèses!$V$9,Hypothèses!$W$9,IF(EE133&lt;=Hypothèses!$V$10,Hypothèses!$W$10,IF(EE133&lt;=Hypothèses!$V$11,Hypothèses!$W$11,IF(EE133&lt;=Hypothèses!$V$12,Hypothèses!$W$12,IF(EE133&lt;=Hypothèses!$V$13,Hypothèses!$W$13,IF(EE133&lt;=Hypothèses!$V$14,Hypothèses!$W$14,IF(EE133&lt;=Hypothèses!$V$15,Hypothèses!$W$15,IF(EE133&lt;=Hypothèses!$V$16,Hypothèses!$W$16,IF(EE133&lt;=Hypothèses!$V$17,Hypothèses!$W$17,IF(EE133&lt;=Hypothèses!$V$18,Hypothèses!$W$18,""))))))))))))</f>
        <v>#DIV/0!</v>
      </c>
      <c r="EZ133" s="87" t="e">
        <f t="shared" ca="1" si="223"/>
        <v>#DIV/0!</v>
      </c>
      <c r="FA133" s="88" t="e">
        <f ca="1">IF(EE133&lt;=Hypothèses!$V$7,Hypothèses!$X$7,IF(EE133&lt;=Hypothèses!$V$8,Hypothèses!$X$8,IF(EE133&lt;=Hypothèses!$V$9,Hypothèses!$X$9,IF(EE133&lt;=Hypothèses!$V$10,Hypothèses!$X$10,IF(EE133&lt;=Hypothèses!$V$11,Hypothèses!$X$11,IF(EE133&lt;=Hypothèses!$V$12,Hypothèses!$X$12,IF(EE133&lt;=Hypothèses!$V$13,Hypothèses!$X$13,IF(EE133&lt;=Hypothèses!$V$14,Hypothèses!$X$14,IF(EE133&lt;=Hypothèses!$V$15,Hypothèses!$X$15,IF(EE133&lt;=Hypothèses!$V$16,Hypothèses!$X$16,IF(EE133&lt;=Hypothèses!$U$17,Hypothèses!$W$17,IF(EE133&lt;=Hypothèses!$U$18,Hypothèses!$W$18,""))))))))))))</f>
        <v>#DIV/0!</v>
      </c>
      <c r="FB133" s="95" t="e">
        <f t="shared" ca="1" si="197"/>
        <v>#DIV/0!</v>
      </c>
      <c r="FC133" s="101">
        <f t="shared" si="230"/>
        <v>0</v>
      </c>
      <c r="FD133" s="91">
        <f t="shared" si="164"/>
        <v>0</v>
      </c>
      <c r="FE133" s="30" t="e">
        <f t="shared" si="214"/>
        <v>#N/A</v>
      </c>
      <c r="FF133" s="30" t="e">
        <f t="shared" si="215"/>
        <v>#N/A</v>
      </c>
      <c r="FG133" s="31" t="e">
        <f>IF(OR(Hypothèses!$B$4=17,Hypothèses!$B$4=18,Hypothèses!$B$4=19,Hypothèses!$B$4=20),
IF($D133="Pressio.",
IF(OR($E133=3,$E133=1,$E133=4),FF133,FE133),
IF($D133="Pénétro.",
IF(OR($E133=3,$E133=1,$E133=4),FF133,FE133))),IF($D133="Pressio.",
IF($E133=3,FF133,FE133),
IF($D133="Pénétro.",
IF($E133=4,FF133,FE133))))</f>
        <v>#N/A</v>
      </c>
      <c r="FH133" s="31">
        <v>0</v>
      </c>
      <c r="FI133" s="102" t="e">
        <f>IF(NDC!$H$10="Oui",(VLOOKUP($B$3,'Coeff EC7'!$T$39:$X$59,2,0)*FG133+VLOOKUP($B$3,'Coeff EC7'!$T$65:$X$85,2,0)*Model0.1T!FH133)/1.5,PI()*FE$12*$Q133*($B133-$B132)*0.15/10+FI132)</f>
        <v>#N/A</v>
      </c>
      <c r="FJ133" s="102" t="e">
        <f>(VLOOKUP($B$3,'Coeff EC7'!$T$39:$X$59,3,0)*FG133+VLOOKUP($B$3,'Coeff EC7'!$T$65:$X$85,3,0)*Model0.1T!FH133)/1.1</f>
        <v>#N/A</v>
      </c>
      <c r="FK133" s="102" t="e">
        <f t="shared" si="198"/>
        <v>#N/A</v>
      </c>
      <c r="FL133" s="102" t="e">
        <f t="shared" si="199"/>
        <v>#N/A</v>
      </c>
      <c r="FM133" s="414" t="e">
        <f>IF(AND(FI133&gt;NDC!$C$63,FJ133&gt;NDC!$C$65,FK133&gt;NDC!$D$73,FL133&gt;NDC!$D$74,$B133&gt;NDC!$H$22-0.1+MIN(3*FM$12,1.5)),0,1)</f>
        <v>#N/A</v>
      </c>
    </row>
    <row r="134" spans="1:169">
      <c r="A134" s="96">
        <f t="shared" si="165"/>
        <v>87.900000000000688</v>
      </c>
      <c r="B134" s="97">
        <v>12.1</v>
      </c>
      <c r="C134" s="81">
        <f>IF(B134&lt;=Hypothèses!$C$7,Hypothèses!$A$7,IF(B134&lt;=Hypothèses!$C$8,Hypothèses!$A$8,IF(B134&lt;=Hypothèses!$C$9,Hypothèses!$A$9,IF(B134&lt;=Hypothèses!$C$10,Hypothèses!$A$10,IF(B134&lt;=Hypothèses!$C$11,Hypothèses!$A$11,IF(B134&lt;=Hypothèses!$C$12,Hypothèses!$A$12,IF(B134&lt;=Hypothèses!$C$13,Hypothèses!$A$13,IF(B134&lt;=Hypothèses!$C$14,Hypothèses!$A$14,IF(B134&lt;=Hypothèses!$C$15,Hypothèses!$A$15,IF(B134&lt;=Hypothèses!$C$16,Hypothèses!$A$16,IF(B134&lt;=Hypothèses!$C$17,Hypothèses!$A$17,IF(B134&lt;=Hypothèses!$C$18,Hypothèses!$A$18,C133))))))))))))</f>
        <v>11</v>
      </c>
      <c r="D134" s="82" t="str">
        <f>IF(B134&lt;=Hypothèses!$C$7,Hypothèses!$R$7,IF(B134&lt;=Hypothèses!$C$8,Hypothèses!$R$8,IF(B134&lt;=Hypothèses!$C$9,Hypothèses!$R$9,IF(B134&lt;=Hypothèses!$C$10,Hypothèses!$R$10,IF(B134&lt;=Hypothèses!$C$11,Hypothèses!$R$11,IF(B134&lt;=Hypothèses!$C$12,Hypothèses!$R$12,IF(B134&lt;=Hypothèses!$C$13,Hypothèses!$R$13,IF(B134&lt;=Hypothèses!$C$14,Hypothèses!$R$14,IF(B134&lt;=Hypothèses!$C$15,Hypothèses!$R$15,IF(B134&lt;=Hypothèses!$C$16,Hypothèses!$R$16,IF(B134&lt;=Hypothèses!$C$17,Hypothèses!$R$17,IF(B134&lt;=Hypothèses!$C$18,Hypothèses!$R$18,D133))))))))))))</f>
        <v>Pressio.</v>
      </c>
      <c r="E134" s="82" t="e">
        <f>IF(B134&lt;=Hypothèses!$C$7,Hypothèses!$G$7,IF(B134&lt;=Hypothèses!$C$8,Hypothèses!$G$8,IF(B134&lt;=Hypothèses!$C$9,Hypothèses!$G$9,IF(B134&lt;=Hypothèses!$C$10,Hypothèses!$G$10,IF(B134&lt;=Hypothèses!$C$11,Hypothèses!$G$11,IF(B134&lt;=Hypothèses!$C$12,Hypothèses!$G$12,IF(B134&lt;=Hypothèses!$C$13,Hypothèses!$G$13,IF(B134&lt;=Hypothèses!$C$14,Hypothèses!$G$14,IF(B134&lt;=Hypothèses!$C$15,Hypothèses!$G$15,IF(B134&lt;=Hypothèses!$C$16,Hypothèses!$G$16,IF(B134&lt;=Hypothèses!$C$17,Hypothèses!$G$17,IF(B134&lt;=Hypothèses!$C$18,Hypothèses!$G$18,E133))))))))))))</f>
        <v>#N/A</v>
      </c>
      <c r="F134" s="82" t="str">
        <f>IF(B134&lt;=Hypothèses!$C$7,Hypothèses!$F$7,IF(B134&lt;=Hypothèses!$C$8,Hypothèses!$F$8,IF(B134&lt;=Hypothèses!$C$9,Hypothèses!$F$9,IF(B134&lt;=Hypothèses!$C$10,Hypothèses!$F$10,IF(B134&lt;=Hypothèses!$C$11,Hypothèses!$F$11,IF(B134&lt;=Hypothèses!$C$12,Hypothèses!$F$12,IF(B134&lt;=Hypothèses!$C$13,Hypothèses!$F$13,IF(B134&lt;=Hypothèses!$C$14,Hypothèses!$F$14,IF(B134&lt;=Hypothèses!$C$15,Hypothèses!$F$15,IF(B134&lt;=Hypothèses!$C$16,Hypothèses!$F$16,IF(B134&lt;=Hypothèses!$C$17,Hypothèses!$F$17,IF(B134&lt;=Hypothèses!$C$18,Hypothèses!$F$18,F133))))))))))))</f>
        <v/>
      </c>
      <c r="G134" s="91">
        <f t="array" ref="G134">INDEX('Coeff EC7'!$U$7:$X$27,
MATCH(Model0.1T!$B$3,'Coeff EC7'!$T$7:$T$27,0),
MATCH(Model0.1T!$D134&amp;Model0.1T!$B$4,
'Coeff EC7'!$U$6:$X$6&amp;
'Coeff EC7'!$U$5:$X$5,0))</f>
        <v>1.4</v>
      </c>
      <c r="H134" s="91">
        <f t="array" ref="H134">INDEX('Coeff EC7'!$Y$7:$AB$27,
MATCH(Model0.1T!$B$3,'Coeff EC7'!$T$7:$T$27,0),
MATCH(Model0.1T!$D134&amp;Model0.1T!$B$4,
'Coeff EC7'!$Y$6:$AB$6&amp;
'Coeff EC7'!$Y$5:$AB$5,0))</f>
        <v>1.7</v>
      </c>
      <c r="I134" s="83">
        <v>0</v>
      </c>
      <c r="J134" s="91" t="e">
        <f t="array" ref="J134">INDEX('Coeff EC7'!$D$33:$Q$33,1,MATCH(D134&amp;E134,'Coeff EC7'!$D$31:$Q$31&amp;'Coeff EC7'!$D$32:$Q$32,0))</f>
        <v>#N/A</v>
      </c>
      <c r="K134" s="91" t="e">
        <f t="array" ref="K134">INDEX('Coeff EC7'!$D$34:$Q$34,1,MATCH(D134&amp;E134,'Coeff EC7'!$D$31:$Q$31&amp;'Coeff EC7'!$D$32:$Q$32,0))</f>
        <v>#N/A</v>
      </c>
      <c r="L134" s="91" t="e">
        <f t="array" ref="L134">INDEX('Coeff EC7'!$D$35:$Q$35,1,MATCH(D134&amp;E134,'Coeff EC7'!$D$31:$Q$31&amp;'Coeff EC7'!$D$32:$Q$32,0))</f>
        <v>#N/A</v>
      </c>
      <c r="M134" s="98" t="e">
        <f t="shared" si="131"/>
        <v>#N/A</v>
      </c>
      <c r="N134" s="99" t="e">
        <f t="array" ref="N134">INDEX('Coeff EC7'!$D$7:$Q$27,MATCH($B$3,'Coeff EC7'!$C$7:$C$27,0),MATCH(D134&amp;E134,'Coeff EC7'!$D$5:$Q$5&amp;'Coeff EC7'!$D$6:$Q$6,0))</f>
        <v>#N/A</v>
      </c>
      <c r="O134" s="99" t="e">
        <f t="array" ref="O134">INDEX('Coeff EC7'!$D$41:$Q$61,MATCH($B$3,'Coeff EC7'!$C$41:$C$61,0),MATCH(D134&amp;E134,'Coeff EC7'!$D$39:$Q$39&amp;'Coeff EC7'!$D$40:$Q$40,0))</f>
        <v>#N/A</v>
      </c>
      <c r="P134" s="30" t="e">
        <f t="shared" si="166"/>
        <v>#N/A</v>
      </c>
      <c r="Q134" s="100" t="e">
        <f t="shared" si="133"/>
        <v>#N/A</v>
      </c>
      <c r="R134" s="86" t="b">
        <f t="shared" si="134"/>
        <v>0</v>
      </c>
      <c r="S134" s="86">
        <f t="shared" si="132"/>
        <v>0.5</v>
      </c>
      <c r="T134" s="86">
        <f t="shared" si="135"/>
        <v>0.5</v>
      </c>
      <c r="U134" s="30" t="e">
        <f t="shared" ca="1" si="167"/>
        <v>#DIV/0!</v>
      </c>
      <c r="V134" s="85" t="str">
        <f>IF(B134&lt;=Hypothèses!$V$7,Hypothèses!$W$7,IF(B134&lt;=Hypothèses!$V$8,Hypothèses!$W$8,IF(B134&lt;=Hypothèses!$V$9,Hypothèses!$W$9,IF(B134&lt;=Hypothèses!$V$10,Hypothèses!$W$10,IF(B134&lt;=Hypothèses!$V$11,Hypothèses!$W$11,IF(B134&lt;=Hypothèses!$V$12,Hypothèses!$W$12,IF(B134&lt;=Hypothèses!$V$13,Hypothèses!$W$13,IF(B134&lt;=Hypothèses!$V$14,Hypothèses!$W$14,IF(B134&lt;=Hypothèses!$V$15,Hypothèses!$W$15,IF(B134&lt;=Hypothèses!$V$16,Hypothèses!$W$16,IF(B134&lt;=Hypothèses!$V$17,Hypothèses!$W$17,IF(B134&lt;=Hypothèses!$V$18,Hypothèses!$W$18,""))))))))))))</f>
        <v/>
      </c>
      <c r="W134" s="87" t="e">
        <f t="shared" ca="1" si="216"/>
        <v>#DIV/0!</v>
      </c>
      <c r="X134" s="88" t="str">
        <f>IF(B134&lt;=Hypothèses!$V$7,Hypothèses!$X$7,IF(B134&lt;=Hypothèses!$V$8,Hypothèses!$X$8,IF(B134&lt;=Hypothèses!$V$9,Hypothèses!$X$9,IF(B134&lt;=Hypothèses!$V$10,Hypothèses!$X$10,IF(B134&lt;=Hypothèses!$V$11,Hypothèses!$X$11,IF(B134&lt;=Hypothèses!$V$12,Hypothèses!$X$12,IF(B134&lt;=Hypothèses!$V$13,Hypothèses!$X$13,IF(B134&lt;=Hypothèses!$V$14,Hypothèses!$X$14,IF(B134&lt;=Hypothèses!$V$15,Hypothèses!$X$15,IF(B134&lt;=Hypothèses!$V$16,Hypothèses!$X$16,IF(B134&lt;=Hypothèses!$U$17,Hypothèses!$W$17,IF(B134&lt;=Hypothèses!$U$18,Hypothèses!$W$18,""))))))))))))</f>
        <v/>
      </c>
      <c r="Y134" s="95" t="e">
        <f t="shared" ca="1" si="136"/>
        <v>#DIV/0!</v>
      </c>
      <c r="Z134" s="101">
        <f t="shared" si="137"/>
        <v>0</v>
      </c>
      <c r="AA134" s="91">
        <f t="shared" si="138"/>
        <v>0</v>
      </c>
      <c r="AB134" s="30" t="e">
        <f t="shared" si="200"/>
        <v>#N/A</v>
      </c>
      <c r="AC134" s="30" t="e">
        <f t="shared" si="201"/>
        <v>#N/A</v>
      </c>
      <c r="AD134" s="31" t="e">
        <f>IF(OR(Hypothèses!$B$4=17,Hypothèses!$B$4=18,Hypothèses!$B$4=19,Hypothèses!$B$4=20),
IF($D134="Pressio.",
IF(OR($E134=3,$E134=1,$E134=4),AC134,AB134),
IF($D134="Pénétro.",
IF(OR($E134=3,$E134=1,$E134=4),AC134,AB134))),IF($D134="Pressio.",
IF($E134=3,AC134,AB134),
IF($D134="Pénétro.",
IF($E134=4,AC134,AB134))))</f>
        <v>#N/A</v>
      </c>
      <c r="AE134" s="31">
        <v>0</v>
      </c>
      <c r="AF134" s="102" t="e">
        <f>IF(NDC!$H$10="Oui",(VLOOKUP($B$3,'Coeff EC7'!$T$39:$X$59,2,0)*AD134+VLOOKUP($B$3,'Coeff EC7'!$T$65:$X$85,2,0)*Model0.1T!AE134)/1.5,PI()*AB$12*$Q134*($B134-$B133)*0.15/10+AF133)</f>
        <v>#N/A</v>
      </c>
      <c r="AG134" s="102" t="e">
        <f>(VLOOKUP($B$3,'Coeff EC7'!$T$39:$X$59,3,0)*AD134+VLOOKUP($B$3,'Coeff EC7'!$T$65:$X$85,3,0)*Model0.1T!AE134)/1.1</f>
        <v>#N/A</v>
      </c>
      <c r="AH134" s="102" t="e">
        <f t="shared" si="168"/>
        <v>#N/A</v>
      </c>
      <c r="AI134" s="102" t="e">
        <f t="shared" si="169"/>
        <v>#N/A</v>
      </c>
      <c r="AJ134" s="414" t="e">
        <f>IF(AND(AF134&gt;NDC!$C$63,AG134&gt;NDC!$C$65,AH134&gt;NDC!$D$73,AI134&gt;NDC!$D$74,$B134&gt;NDC!$H$22-0.1+MIN(3*$AJ$12,1.5)),0,1)</f>
        <v>#N/A</v>
      </c>
      <c r="AK134" s="86" t="b">
        <f t="shared" si="139"/>
        <v>0</v>
      </c>
      <c r="AL134" s="86">
        <f t="shared" si="170"/>
        <v>0.5</v>
      </c>
      <c r="AM134" s="86">
        <f t="shared" si="140"/>
        <v>0.5</v>
      </c>
      <c r="AN134" s="30" t="e">
        <f t="shared" ca="1" si="171"/>
        <v>#DIV/0!</v>
      </c>
      <c r="AO134" s="85" t="e">
        <f ca="1">IF(U134&lt;=Hypothèses!$V$7,Hypothèses!$W$7,IF(U134&lt;=Hypothèses!$V$8,Hypothèses!$W$8,IF(U134&lt;=Hypothèses!$V$9,Hypothèses!$W$9,IF(U134&lt;=Hypothèses!$V$10,Hypothèses!$W$10,IF(U134&lt;=Hypothèses!$V$11,Hypothèses!$W$11,IF(U134&lt;=Hypothèses!$V$12,Hypothèses!$W$12,IF(U134&lt;=Hypothèses!$V$13,Hypothèses!$W$13,IF(U134&lt;=Hypothèses!$V$14,Hypothèses!$W$14,IF(U134&lt;=Hypothèses!$V$15,Hypothèses!$W$15,IF(U134&lt;=Hypothèses!$V$16,Hypothèses!$W$16,IF(U134&lt;=Hypothèses!$V$17,Hypothèses!$W$17,IF(U134&lt;=Hypothèses!$V$18,Hypothèses!$W$18,""))))))))))))</f>
        <v>#DIV/0!</v>
      </c>
      <c r="AP134" s="87" t="e">
        <f t="shared" ca="1" si="217"/>
        <v>#DIV/0!</v>
      </c>
      <c r="AQ134" s="88" t="e">
        <f ca="1">IF(U134&lt;=Hypothèses!$V$7,Hypothèses!$X$7,IF(U134&lt;=Hypothèses!$V$8,Hypothèses!$X$8,IF(U134&lt;=Hypothèses!$V$9,Hypothèses!$X$9,IF(U134&lt;=Hypothèses!$V$10,Hypothèses!$X$10,IF(U134&lt;=Hypothèses!$V$11,Hypothèses!$X$11,IF(U134&lt;=Hypothèses!$V$12,Hypothèses!$X$12,IF(U134&lt;=Hypothèses!$V$13,Hypothèses!$X$13,IF(U134&lt;=Hypothèses!$V$14,Hypothèses!$X$14,IF(U134&lt;=Hypothèses!$V$15,Hypothèses!$X$15,IF(U134&lt;=Hypothèses!$V$16,Hypothèses!$X$16,IF(U134&lt;=Hypothèses!$U$17,Hypothèses!$W$17,IF(U134&lt;=Hypothèses!$U$18,Hypothèses!$W$18,""))))))))))))</f>
        <v>#DIV/0!</v>
      </c>
      <c r="AR134" s="95" t="e">
        <f t="shared" ca="1" si="172"/>
        <v>#DIV/0!</v>
      </c>
      <c r="AS134" s="101">
        <f t="shared" si="224"/>
        <v>0</v>
      </c>
      <c r="AT134" s="91">
        <f t="shared" si="141"/>
        <v>0</v>
      </c>
      <c r="AU134" s="30" t="e">
        <f t="shared" si="202"/>
        <v>#N/A</v>
      </c>
      <c r="AV134" s="30" t="e">
        <f t="shared" si="203"/>
        <v>#N/A</v>
      </c>
      <c r="AW134" s="31" t="e">
        <f>IF(OR(Hypothèses!$B$4=17,Hypothèses!$B$4=18,Hypothèses!$B$4=19,Hypothèses!$B$4=20),
IF($D134="Pressio.",
IF(OR($E134=3,$E134=1,$E134=4),AV134,AU134),
IF($D134="Pénétro.",
IF(OR($E134=3,$E134=1,$E134=4),AV134,AU134))),IF($D134="Pressio.",
IF($E134=3,AV134,AU134),
IF($D134="Pénétro.",
IF($E134=4,AV134,AU134))))</f>
        <v>#N/A</v>
      </c>
      <c r="AX134" s="31">
        <v>0</v>
      </c>
      <c r="AY134" s="102" t="e">
        <f>IF(NDC!$H$10="Oui",(VLOOKUP($B$3,'Coeff EC7'!$T$39:$X$59,2,0)*AW134+VLOOKUP($B$3,'Coeff EC7'!$T$65:$X$85,2,0)*Model0.1T!AX134)/1.5,PI()*AU$12*$Q134*($B134-$B133)*0.15/10+AY133)</f>
        <v>#N/A</v>
      </c>
      <c r="AZ134" s="102" t="e">
        <f>(VLOOKUP($B$3,'Coeff EC7'!$T$39:$X$59,3,0)*AW134+VLOOKUP($B$3,'Coeff EC7'!$T$65:$X$85,3,0)*Model0.1T!AX134)/1.1</f>
        <v>#N/A</v>
      </c>
      <c r="BA134" s="102" t="e">
        <f t="shared" si="173"/>
        <v>#N/A</v>
      </c>
      <c r="BB134" s="102" t="e">
        <f t="shared" si="174"/>
        <v>#N/A</v>
      </c>
      <c r="BC134" s="414" t="e">
        <f>IF(AND(AY134&gt;NDC!$C$63,AZ134&gt;NDC!$C$65,BA134&gt;NDC!$D$73,BB134&gt;NDC!$D$74,$B134&gt;NDC!$H$22-0.1+MIN(3*BC$12,1.5)),0,1)</f>
        <v>#N/A</v>
      </c>
      <c r="BD134" s="86" t="b">
        <f t="shared" si="142"/>
        <v>0</v>
      </c>
      <c r="BE134" s="86">
        <f t="shared" si="175"/>
        <v>0.5</v>
      </c>
      <c r="BF134" s="86">
        <f t="shared" si="143"/>
        <v>0.5</v>
      </c>
      <c r="BG134" s="30" t="e">
        <f t="shared" ca="1" si="176"/>
        <v>#DIV/0!</v>
      </c>
      <c r="BH134" s="85" t="e">
        <f ca="1">IF(AN134&lt;=Hypothèses!$V$7,Hypothèses!$W$7,IF(AN134&lt;=Hypothèses!$V$8,Hypothèses!$W$8,IF(AN134&lt;=Hypothèses!$V$9,Hypothèses!$W$9,IF(AN134&lt;=Hypothèses!$V$10,Hypothèses!$W$10,IF(AN134&lt;=Hypothèses!$V$11,Hypothèses!$W$11,IF(AN134&lt;=Hypothèses!$V$12,Hypothèses!$W$12,IF(AN134&lt;=Hypothèses!$V$13,Hypothèses!$W$13,IF(AN134&lt;=Hypothèses!$V$14,Hypothèses!$W$14,IF(AN134&lt;=Hypothèses!$V$15,Hypothèses!$W$15,IF(AN134&lt;=Hypothèses!$V$16,Hypothèses!$W$16,IF(AN134&lt;=Hypothèses!$V$17,Hypothèses!$W$17,IF(AN134&lt;=Hypothèses!$V$18,Hypothèses!$W$18,""))))))))))))</f>
        <v>#DIV/0!</v>
      </c>
      <c r="BI134" s="87" t="e">
        <f t="shared" ca="1" si="218"/>
        <v>#DIV/0!</v>
      </c>
      <c r="BJ134" s="88" t="e">
        <f ca="1">IF(AN134&lt;=Hypothèses!$V$7,Hypothèses!$X$7,IF(AN134&lt;=Hypothèses!$V$8,Hypothèses!$X$8,IF(AN134&lt;=Hypothèses!$V$9,Hypothèses!$X$9,IF(AN134&lt;=Hypothèses!$V$10,Hypothèses!$X$10,IF(AN134&lt;=Hypothèses!$V$11,Hypothèses!$X$11,IF(AN134&lt;=Hypothèses!$V$12,Hypothèses!$X$12,IF(AN134&lt;=Hypothèses!$V$13,Hypothèses!$X$13,IF(AN134&lt;=Hypothèses!$V$14,Hypothèses!$X$14,IF(AN134&lt;=Hypothèses!$V$15,Hypothèses!$X$15,IF(AN134&lt;=Hypothèses!$V$16,Hypothèses!$X$16,IF(AN134&lt;=Hypothèses!$U$17,Hypothèses!$W$17,IF(AN134&lt;=Hypothèses!$U$18,Hypothèses!$W$18,""))))))))))))</f>
        <v>#DIV/0!</v>
      </c>
      <c r="BK134" s="95" t="e">
        <f t="shared" ca="1" si="177"/>
        <v>#DIV/0!</v>
      </c>
      <c r="BL134" s="101">
        <f t="shared" si="225"/>
        <v>0</v>
      </c>
      <c r="BM134" s="91">
        <f t="shared" si="144"/>
        <v>0</v>
      </c>
      <c r="BN134" s="30" t="e">
        <f t="shared" si="204"/>
        <v>#N/A</v>
      </c>
      <c r="BO134" s="30" t="e">
        <f t="shared" si="205"/>
        <v>#N/A</v>
      </c>
      <c r="BP134" s="31" t="e">
        <f>IF(OR(Hypothèses!$B$4=17,Hypothèses!$B$4=18,Hypothèses!$B$4=19,Hypothèses!$B$4=20),
IF($D134="Pressio.",
IF(OR($E134=3,$E134=1,$E134=4),BO134,BN134),
IF($D134="Pénétro.",
IF(OR($E134=3,$E134=1,$E134=4),BO134,BN134))),IF($D134="Pressio.",
IF($E134=3,BO134,BN134),
IF($D134="Pénétro.",
IF($E134=4,BO134,BN134))))</f>
        <v>#N/A</v>
      </c>
      <c r="BQ134" s="31">
        <v>0</v>
      </c>
      <c r="BR134" s="102" t="e">
        <f>IF(NDC!$H$10="Oui",(VLOOKUP($B$3,'Coeff EC7'!$T$39:$X$59,2,0)*BP134+VLOOKUP($B$3,'Coeff EC7'!$T$65:$X$85,2,0)*Model0.1T!BQ134)/1.5,PI()*BN$12*$Q134*($B134-$B133)*0.15/10+BR133)</f>
        <v>#N/A</v>
      </c>
      <c r="BS134" s="102" t="e">
        <f>(VLOOKUP($B$3,'Coeff EC7'!$T$39:$X$59,3,0)*BP134+VLOOKUP($B$3,'Coeff EC7'!$T$65:$X$85,3,0)*Model0.1T!BQ134)/1.1</f>
        <v>#N/A</v>
      </c>
      <c r="BT134" s="102" t="e">
        <f t="shared" si="178"/>
        <v>#N/A</v>
      </c>
      <c r="BU134" s="102" t="e">
        <f t="shared" si="179"/>
        <v>#N/A</v>
      </c>
      <c r="BV134" s="414" t="e">
        <f>IF(AND(BR134&gt;NDC!$C$63,BS134&gt;NDC!$C$65,BT134&gt;NDC!$D$73,BU134&gt;NDC!$D$74,$B134&gt;NDC!$H$22-0.1+MIN(3*BV$12,1.5)),0,1)</f>
        <v>#N/A</v>
      </c>
      <c r="BW134" s="86" t="b">
        <f t="shared" si="145"/>
        <v>0</v>
      </c>
      <c r="BX134" s="86">
        <f t="shared" si="146"/>
        <v>0.5</v>
      </c>
      <c r="BY134" s="86">
        <f t="shared" si="147"/>
        <v>0.5</v>
      </c>
      <c r="BZ134" s="30" t="e">
        <f t="shared" ca="1" si="180"/>
        <v>#DIV/0!</v>
      </c>
      <c r="CA134" s="85" t="e">
        <f ca="1">IF(BG134&lt;=Hypothèses!$V$7,Hypothèses!$W$7,IF(BG134&lt;=Hypothèses!$V$8,Hypothèses!$W$8,IF(BG134&lt;=Hypothèses!$V$9,Hypothèses!$W$9,IF(BG134&lt;=Hypothèses!$V$10,Hypothèses!$W$10,IF(BG134&lt;=Hypothèses!$V$11,Hypothèses!$W$11,IF(BG134&lt;=Hypothèses!$V$12,Hypothèses!$W$12,IF(BG134&lt;=Hypothèses!$V$13,Hypothèses!$W$13,IF(BG134&lt;=Hypothèses!$V$14,Hypothèses!$W$14,IF(BG134&lt;=Hypothèses!$V$15,Hypothèses!$W$15,IF(BG134&lt;=Hypothèses!$V$16,Hypothèses!$W$16,IF(BG134&lt;=Hypothèses!$V$17,Hypothèses!$W$17,IF(BG134&lt;=Hypothèses!$V$18,Hypothèses!$W$18,""))))))))))))</f>
        <v>#DIV/0!</v>
      </c>
      <c r="CB134" s="87" t="e">
        <f t="shared" ca="1" si="219"/>
        <v>#DIV/0!</v>
      </c>
      <c r="CC134" s="88" t="e">
        <f ca="1">IF(BG134&lt;=Hypothèses!$V$7,Hypothèses!$X$7,IF(BG134&lt;=Hypothèses!$V$8,Hypothèses!$X$8,IF(BG134&lt;=Hypothèses!$V$9,Hypothèses!$X$9,IF(BG134&lt;=Hypothèses!$V$10,Hypothèses!$X$10,IF(BG134&lt;=Hypothèses!$V$11,Hypothèses!$X$11,IF(BG134&lt;=Hypothèses!$V$12,Hypothèses!$X$12,IF(BG134&lt;=Hypothèses!$V$13,Hypothèses!$X$13,IF(BG134&lt;=Hypothèses!$V$14,Hypothèses!$X$14,IF(BG134&lt;=Hypothèses!$V$15,Hypothèses!$X$15,IF(BG134&lt;=Hypothèses!$V$16,Hypothèses!$X$16,IF(BG134&lt;=Hypothèses!$U$17,Hypothèses!$W$17,IF(BG134&lt;=Hypothèses!$U$18,Hypothèses!$W$18,""))))))))))))</f>
        <v>#DIV/0!</v>
      </c>
      <c r="CD134" s="95" t="e">
        <f t="shared" ca="1" si="181"/>
        <v>#DIV/0!</v>
      </c>
      <c r="CE134" s="101">
        <f t="shared" si="226"/>
        <v>0</v>
      </c>
      <c r="CF134" s="91">
        <f t="shared" si="148"/>
        <v>0</v>
      </c>
      <c r="CG134" s="30" t="e">
        <f t="shared" si="206"/>
        <v>#N/A</v>
      </c>
      <c r="CH134" s="30" t="e">
        <f t="shared" si="207"/>
        <v>#N/A</v>
      </c>
      <c r="CI134" s="31" t="e">
        <f>IF(OR(Hypothèses!$B$4=17,Hypothèses!$B$4=18,Hypothèses!$B$4=19,Hypothèses!$B$4=20),
IF($D134="Pressio.",
IF(OR($E134=3,$E134=1,$E134=4),CH134,CG134),
IF($D134="Pénétro.",
IF(OR($E134=3,$E134=1,$E134=4),CH134,CG134))),IF($D134="Pressio.",
IF($E134=3,CH134,CG134),
IF($D134="Pénétro.",
IF($E134=4,CH134,CG134))))</f>
        <v>#N/A</v>
      </c>
      <c r="CJ134" s="31">
        <v>0</v>
      </c>
      <c r="CK134" s="102" t="e">
        <f>IF(NDC!$H$10="Oui",(VLOOKUP($B$3,'Coeff EC7'!$T$39:$X$59,2,0)*CI134+VLOOKUP($B$3,'Coeff EC7'!$T$65:$X$85,2,0)*Model0.1T!CJ134)/1.5,PI()*CG$12*$Q134*($B134-$B133)*0.15/10+CK133)</f>
        <v>#N/A</v>
      </c>
      <c r="CL134" s="102" t="e">
        <f>(VLOOKUP($B$3,'Coeff EC7'!$T$39:$X$59,3,0)*CI134+VLOOKUP($B$3,'Coeff EC7'!$T$65:$X$85,3,0)*Model0.1T!CJ134)/1.1</f>
        <v>#N/A</v>
      </c>
      <c r="CM134" s="102" t="e">
        <f t="shared" si="182"/>
        <v>#N/A</v>
      </c>
      <c r="CN134" s="102" t="e">
        <f t="shared" si="183"/>
        <v>#N/A</v>
      </c>
      <c r="CO134" s="414" t="e">
        <f>IF(AND(CK134&gt;NDC!$C$63,CL134&gt;NDC!$C$65,CM134&gt;NDC!$D$73,CN134&gt;NDC!$D$74,$B134&gt;NDC!$H$22-0.1+MIN(3*CO$12,1.5)),0,1)</f>
        <v>#N/A</v>
      </c>
      <c r="CP134" s="86" t="b">
        <f t="shared" si="149"/>
        <v>0</v>
      </c>
      <c r="CQ134" s="86">
        <f t="shared" si="150"/>
        <v>0.5</v>
      </c>
      <c r="CR134" s="86">
        <f t="shared" si="151"/>
        <v>0.5</v>
      </c>
      <c r="CS134" s="30" t="e">
        <f t="shared" ca="1" si="184"/>
        <v>#DIV/0!</v>
      </c>
      <c r="CT134" s="85" t="e">
        <f ca="1">IF(BZ134&lt;=Hypothèses!$V$7,Hypothèses!$W$7,IF(BZ134&lt;=Hypothèses!$V$8,Hypothèses!$W$8,IF(BZ134&lt;=Hypothèses!$V$9,Hypothèses!$W$9,IF(BZ134&lt;=Hypothèses!$V$10,Hypothèses!$W$10,IF(BZ134&lt;=Hypothèses!$V$11,Hypothèses!$W$11,IF(BZ134&lt;=Hypothèses!$V$12,Hypothèses!$W$12,IF(BZ134&lt;=Hypothèses!$V$13,Hypothèses!$W$13,IF(BZ134&lt;=Hypothèses!$V$14,Hypothèses!$W$14,IF(BZ134&lt;=Hypothèses!$V$15,Hypothèses!$W$15,IF(BZ134&lt;=Hypothèses!$V$16,Hypothèses!$W$16,IF(BZ134&lt;=Hypothèses!$V$17,Hypothèses!$W$17,IF(BZ134&lt;=Hypothèses!$V$18,Hypothèses!$W$18,""))))))))))))</f>
        <v>#DIV/0!</v>
      </c>
      <c r="CU134" s="87" t="e">
        <f t="shared" ca="1" si="220"/>
        <v>#DIV/0!</v>
      </c>
      <c r="CV134" s="88" t="e">
        <f ca="1">IF(BZ134&lt;=Hypothèses!$V$7,Hypothèses!$X$7,IF(BZ134&lt;=Hypothèses!$V$8,Hypothèses!$X$8,IF(BZ134&lt;=Hypothèses!$V$9,Hypothèses!$X$9,IF(BZ134&lt;=Hypothèses!$V$10,Hypothèses!$X$10,IF(BZ134&lt;=Hypothèses!$V$11,Hypothèses!$X$11,IF(BZ134&lt;=Hypothèses!$V$12,Hypothèses!$X$12,IF(BZ134&lt;=Hypothèses!$V$13,Hypothèses!$X$13,IF(BZ134&lt;=Hypothèses!$V$14,Hypothèses!$X$14,IF(BZ134&lt;=Hypothèses!$V$15,Hypothèses!$X$15,IF(BZ134&lt;=Hypothèses!$V$16,Hypothèses!$X$16,IF(BZ134&lt;=Hypothèses!$U$17,Hypothèses!$W$17,IF(BZ134&lt;=Hypothèses!$U$18,Hypothèses!$W$18,""))))))))))))</f>
        <v>#DIV/0!</v>
      </c>
      <c r="CW134" s="95" t="e">
        <f t="shared" ca="1" si="185"/>
        <v>#DIV/0!</v>
      </c>
      <c r="CX134" s="101">
        <f t="shared" si="227"/>
        <v>0</v>
      </c>
      <c r="CY134" s="91">
        <f t="shared" si="152"/>
        <v>0</v>
      </c>
      <c r="CZ134" s="30" t="e">
        <f t="shared" si="208"/>
        <v>#N/A</v>
      </c>
      <c r="DA134" s="30" t="e">
        <f t="shared" si="209"/>
        <v>#N/A</v>
      </c>
      <c r="DB134" s="31" t="e">
        <f>IF(OR(Hypothèses!$B$4=17,Hypothèses!$B$4=18,Hypothèses!$B$4=19,Hypothèses!$B$4=20),
IF($D134="Pressio.",
IF(OR($E134=3,$E134=1,$E134=4),DA134,CZ134),
IF($D134="Pénétro.",
IF(OR($E134=3,$E134=1,$E134=4),DA134,CZ134))),IF($D134="Pressio.",
IF($E134=3,DA134,CZ134),
IF($D134="Pénétro.",
IF($E134=4,DA134,CZ134))))</f>
        <v>#N/A</v>
      </c>
      <c r="DC134" s="31">
        <v>0</v>
      </c>
      <c r="DD134" s="102" t="e">
        <f>IF(NDC!$H$10="Oui",(VLOOKUP($B$3,'Coeff EC7'!$T$39:$X$59,2,0)*DB134+VLOOKUP($B$3,'Coeff EC7'!$T$65:$X$85,2,0)*Model0.1T!DC134)/1.5,PI()*CZ$12*$Q134*($B134-$B133)*0.15/10+DD133)</f>
        <v>#N/A</v>
      </c>
      <c r="DE134" s="102" t="e">
        <f>(VLOOKUP($B$3,'Coeff EC7'!$T$39:$X$59,3,0)*DB134+VLOOKUP($B$3,'Coeff EC7'!$T$65:$X$85,3,0)*Model0.1T!DC134)/1.1</f>
        <v>#N/A</v>
      </c>
      <c r="DF134" s="102" t="e">
        <f t="shared" si="186"/>
        <v>#N/A</v>
      </c>
      <c r="DG134" s="102" t="e">
        <f t="shared" si="187"/>
        <v>#N/A</v>
      </c>
      <c r="DH134" s="414" t="e">
        <f>IF(AND(DD134&gt;NDC!$C$63,DE134&gt;NDC!$C$65,DF134&gt;NDC!$D$73,DG134&gt;NDC!$D$74,$B134&gt;NDC!$H$22-0.1+MIN(3*DH$12,1.5)),0,1)</f>
        <v>#N/A</v>
      </c>
      <c r="DI134" s="86" t="b">
        <f t="shared" si="153"/>
        <v>0</v>
      </c>
      <c r="DJ134" s="86">
        <f t="shared" si="154"/>
        <v>0.5</v>
      </c>
      <c r="DK134" s="86">
        <f t="shared" si="155"/>
        <v>0.5</v>
      </c>
      <c r="DL134" s="30" t="e">
        <f t="shared" ca="1" si="188"/>
        <v>#DIV/0!</v>
      </c>
      <c r="DM134" s="85" t="e">
        <f ca="1">IF(CS134&lt;=Hypothèses!$V$7,Hypothèses!$W$7,IF(CS134&lt;=Hypothèses!$V$8,Hypothèses!$W$8,IF(CS134&lt;=Hypothèses!$V$9,Hypothèses!$W$9,IF(CS134&lt;=Hypothèses!$V$10,Hypothèses!$W$10,IF(CS134&lt;=Hypothèses!$V$11,Hypothèses!$W$11,IF(CS134&lt;=Hypothèses!$V$12,Hypothèses!$W$12,IF(CS134&lt;=Hypothèses!$V$13,Hypothèses!$W$13,IF(CS134&lt;=Hypothèses!$V$14,Hypothèses!$W$14,IF(CS134&lt;=Hypothèses!$V$15,Hypothèses!$W$15,IF(CS134&lt;=Hypothèses!$V$16,Hypothèses!$W$16,IF(CS134&lt;=Hypothèses!$V$17,Hypothèses!$W$17,IF(CS134&lt;=Hypothèses!$V$18,Hypothèses!$W$18,""))))))))))))</f>
        <v>#DIV/0!</v>
      </c>
      <c r="DN134" s="87" t="e">
        <f t="shared" ca="1" si="221"/>
        <v>#DIV/0!</v>
      </c>
      <c r="DO134" s="88" t="e">
        <f ca="1">IF(CS134&lt;=Hypothèses!$V$7,Hypothèses!$X$7,IF(CS134&lt;=Hypothèses!$V$8,Hypothèses!$X$8,IF(CS134&lt;=Hypothèses!$V$9,Hypothèses!$X$9,IF(CS134&lt;=Hypothèses!$V$10,Hypothèses!$X$10,IF(CS134&lt;=Hypothèses!$V$11,Hypothèses!$X$11,IF(CS134&lt;=Hypothèses!$V$12,Hypothèses!$X$12,IF(CS134&lt;=Hypothèses!$V$13,Hypothèses!$X$13,IF(CS134&lt;=Hypothèses!$V$14,Hypothèses!$X$14,IF(CS134&lt;=Hypothèses!$V$15,Hypothèses!$X$15,IF(CS134&lt;=Hypothèses!$V$16,Hypothèses!$X$16,IF(CS134&lt;=Hypothèses!$U$17,Hypothèses!$W$17,IF(CS134&lt;=Hypothèses!$U$18,Hypothèses!$W$18,""))))))))))))</f>
        <v>#DIV/0!</v>
      </c>
      <c r="DP134" s="95" t="e">
        <f t="shared" ca="1" si="189"/>
        <v>#DIV/0!</v>
      </c>
      <c r="DQ134" s="101">
        <f t="shared" si="228"/>
        <v>0</v>
      </c>
      <c r="DR134" s="91">
        <f t="shared" si="156"/>
        <v>0</v>
      </c>
      <c r="DS134" s="30" t="e">
        <f t="shared" si="210"/>
        <v>#N/A</v>
      </c>
      <c r="DT134" s="30" t="e">
        <f t="shared" si="211"/>
        <v>#N/A</v>
      </c>
      <c r="DU134" s="31" t="e">
        <f>IF(OR(Hypothèses!$B$4=17,Hypothèses!$B$4=18,Hypothèses!$B$4=19,Hypothèses!$B$4=20),
IF($D134="Pressio.",
IF(OR($E134=3,$E134=1,$E134=4),DT134,DS134),
IF($D134="Pénétro.",
IF(OR($E134=3,$E134=1,$E134=4),DT134,DS134))),IF($D134="Pressio.",
IF($E134=3,DT134,DS134),
IF($D134="Pénétro.",
IF($E134=4,DT134,DS134))))</f>
        <v>#N/A</v>
      </c>
      <c r="DV134" s="31">
        <v>0</v>
      </c>
      <c r="DW134" s="102" t="e">
        <f>IF(NDC!$H$10="Oui",(VLOOKUP($B$3,'Coeff EC7'!$T$39:$X$59,2,0)*DU134+VLOOKUP($B$3,'Coeff EC7'!$T$65:$X$85,2,0)*Model0.1T!DV134)/1.5,PI()*DS$12*$Q134*($B134-$B133)*0.15/10+DW133)</f>
        <v>#N/A</v>
      </c>
      <c r="DX134" s="102" t="e">
        <f>(VLOOKUP($B$3,'Coeff EC7'!$T$39:$X$59,3,0)*DU134+VLOOKUP($B$3,'Coeff EC7'!$T$65:$X$85,3,0)*Model0.1T!DV134)/1.1</f>
        <v>#N/A</v>
      </c>
      <c r="DY134" s="102" t="e">
        <f t="shared" si="190"/>
        <v>#N/A</v>
      </c>
      <c r="DZ134" s="102" t="e">
        <f t="shared" si="191"/>
        <v>#N/A</v>
      </c>
      <c r="EA134" s="414" t="e">
        <f>IF(AND(DW134&gt;NDC!$C$63,DX134&gt;NDC!$C$65,DY134&gt;NDC!$D$73,DZ134&gt;NDC!$D$74,$B134&gt;NDC!$H$22-0.1+MIN(3*EA$12,1.5)),0,1)</f>
        <v>#N/A</v>
      </c>
      <c r="EB134" s="86" t="b">
        <f t="shared" si="157"/>
        <v>0</v>
      </c>
      <c r="EC134" s="418">
        <f t="shared" si="158"/>
        <v>0.51</v>
      </c>
      <c r="ED134" s="86">
        <f t="shared" si="159"/>
        <v>0.51</v>
      </c>
      <c r="EE134" s="30" t="e">
        <f t="shared" ca="1" si="192"/>
        <v>#DIV/0!</v>
      </c>
      <c r="EF134" s="85" t="e">
        <f ca="1">IF(DL134&lt;=Hypothèses!$V$7,Hypothèses!$W$7,IF(DL134&lt;=Hypothèses!$V$8,Hypothèses!$W$8,IF(DL134&lt;=Hypothèses!$V$9,Hypothèses!$W$9,IF(DL134&lt;=Hypothèses!$V$10,Hypothèses!$W$10,IF(DL134&lt;=Hypothèses!$V$11,Hypothèses!$W$11,IF(DL134&lt;=Hypothèses!$V$12,Hypothèses!$W$12,IF(DL134&lt;=Hypothèses!$V$13,Hypothèses!$W$13,IF(DL134&lt;=Hypothèses!$V$14,Hypothèses!$W$14,IF(DL134&lt;=Hypothèses!$V$15,Hypothèses!$W$15,IF(DL134&lt;=Hypothèses!$V$16,Hypothèses!$W$16,IF(DL134&lt;=Hypothèses!$V$17,Hypothèses!$W$17,IF(DL134&lt;=Hypothèses!$V$18,Hypothèses!$W$18,""))))))))))))</f>
        <v>#DIV/0!</v>
      </c>
      <c r="EG134" s="87" t="e">
        <f t="shared" ca="1" si="222"/>
        <v>#DIV/0!</v>
      </c>
      <c r="EH134" s="88" t="e">
        <f ca="1">IF(DL134&lt;=Hypothèses!$V$7,Hypothèses!$X$7,IF(DL134&lt;=Hypothèses!$V$8,Hypothèses!$X$8,IF(DL134&lt;=Hypothèses!$V$9,Hypothèses!$X$9,IF(DL134&lt;=Hypothèses!$V$10,Hypothèses!$X$10,IF(DL134&lt;=Hypothèses!$V$11,Hypothèses!$X$11,IF(DL134&lt;=Hypothèses!$V$12,Hypothèses!$X$12,IF(DL134&lt;=Hypothèses!$V$13,Hypothèses!$X$13,IF(DL134&lt;=Hypothèses!$V$14,Hypothèses!$X$14,IF(DL134&lt;=Hypothèses!$V$15,Hypothèses!$X$15,IF(DL134&lt;=Hypothèses!$V$16,Hypothèses!$X$16,IF(DL134&lt;=Hypothèses!$U$17,Hypothèses!$W$17,IF(DL134&lt;=Hypothèses!$U$18,Hypothèses!$W$18,""))))))))))))</f>
        <v>#DIV/0!</v>
      </c>
      <c r="EI134" s="95" t="e">
        <f t="shared" ca="1" si="193"/>
        <v>#DIV/0!</v>
      </c>
      <c r="EJ134" s="101">
        <f t="shared" si="229"/>
        <v>0</v>
      </c>
      <c r="EK134" s="91">
        <f t="shared" si="160"/>
        <v>0</v>
      </c>
      <c r="EL134" s="30" t="e">
        <f t="shared" si="212"/>
        <v>#N/A</v>
      </c>
      <c r="EM134" s="30" t="e">
        <f t="shared" si="213"/>
        <v>#N/A</v>
      </c>
      <c r="EN134" s="31" t="e">
        <f>IF(OR(Hypothèses!$B$4=17,Hypothèses!$B$4=18,Hypothèses!$B$4=19,Hypothèses!$B$4=20),
IF($D134="Pressio.",
IF(OR($E134=3,$E134=1,$E134=4),EM134,EL134),
IF($D134="Pénétro.",
IF(OR($E134=3,$E134=1,$E134=4),EM134,EL134))),IF($D134="Pressio.",
IF($E134=3,EM134,EL134),
IF($D134="Pénétro.",
IF($E134=4,EM134,EL134))))</f>
        <v>#N/A</v>
      </c>
      <c r="EO134" s="31">
        <v>0</v>
      </c>
      <c r="EP134" s="102" t="e">
        <f>IF(NDC!$H$10="Oui",(VLOOKUP($B$3,'Coeff EC7'!$T$39:$X$59,2,0)*EN134+VLOOKUP($B$3,'Coeff EC7'!$T$65:$X$85,2,0)*Model0.1T!EO134)/1.5,PI()*EL$12*$Q134*($B134-$B133)*0.15/10+EP133)</f>
        <v>#N/A</v>
      </c>
      <c r="EQ134" s="102" t="e">
        <f>(VLOOKUP($B$3,'Coeff EC7'!$T$39:$X$59,3,0)*EN134+VLOOKUP($B$3,'Coeff EC7'!$T$65:$X$85,3,0)*Model0.1T!EO134)/1.1</f>
        <v>#N/A</v>
      </c>
      <c r="ER134" s="102" t="e">
        <f t="shared" si="194"/>
        <v>#N/A</v>
      </c>
      <c r="ES134" s="102" t="e">
        <f t="shared" si="195"/>
        <v>#N/A</v>
      </c>
      <c r="ET134" s="414" t="e">
        <f>IF(AND(EP134&gt;NDC!$C$63,EQ134&gt;NDC!$C$65,ER134&gt;NDC!$D$73,ES134&gt;NDC!$D$74,$B134&gt;NDC!$H$22-0.1+MIN(3*ET$12,1.5)),0,1)</f>
        <v>#N/A</v>
      </c>
      <c r="EU134" s="86" t="b">
        <f t="shared" si="161"/>
        <v>0</v>
      </c>
      <c r="EV134" s="86">
        <f t="shared" si="162"/>
        <v>0.61</v>
      </c>
      <c r="EW134" s="86">
        <f t="shared" si="163"/>
        <v>0.61</v>
      </c>
      <c r="EX134" s="30" t="e">
        <f t="shared" ca="1" si="196"/>
        <v>#DIV/0!</v>
      </c>
      <c r="EY134" s="85" t="e">
        <f ca="1">IF(EE134&lt;=Hypothèses!$V$7,Hypothèses!$W$7,IF(EE134&lt;=Hypothèses!$V$8,Hypothèses!$W$8,IF(EE134&lt;=Hypothèses!$V$9,Hypothèses!$W$9,IF(EE134&lt;=Hypothèses!$V$10,Hypothèses!$W$10,IF(EE134&lt;=Hypothèses!$V$11,Hypothèses!$W$11,IF(EE134&lt;=Hypothèses!$V$12,Hypothèses!$W$12,IF(EE134&lt;=Hypothèses!$V$13,Hypothèses!$W$13,IF(EE134&lt;=Hypothèses!$V$14,Hypothèses!$W$14,IF(EE134&lt;=Hypothèses!$V$15,Hypothèses!$W$15,IF(EE134&lt;=Hypothèses!$V$16,Hypothèses!$W$16,IF(EE134&lt;=Hypothèses!$V$17,Hypothèses!$W$17,IF(EE134&lt;=Hypothèses!$V$18,Hypothèses!$W$18,""))))))))))))</f>
        <v>#DIV/0!</v>
      </c>
      <c r="EZ134" s="87" t="e">
        <f t="shared" ca="1" si="223"/>
        <v>#DIV/0!</v>
      </c>
      <c r="FA134" s="88" t="e">
        <f ca="1">IF(EE134&lt;=Hypothèses!$V$7,Hypothèses!$X$7,IF(EE134&lt;=Hypothèses!$V$8,Hypothèses!$X$8,IF(EE134&lt;=Hypothèses!$V$9,Hypothèses!$X$9,IF(EE134&lt;=Hypothèses!$V$10,Hypothèses!$X$10,IF(EE134&lt;=Hypothèses!$V$11,Hypothèses!$X$11,IF(EE134&lt;=Hypothèses!$V$12,Hypothèses!$X$12,IF(EE134&lt;=Hypothèses!$V$13,Hypothèses!$X$13,IF(EE134&lt;=Hypothèses!$V$14,Hypothèses!$X$14,IF(EE134&lt;=Hypothèses!$V$15,Hypothèses!$X$15,IF(EE134&lt;=Hypothèses!$V$16,Hypothèses!$X$16,IF(EE134&lt;=Hypothèses!$U$17,Hypothèses!$W$17,IF(EE134&lt;=Hypothèses!$U$18,Hypothèses!$W$18,""))))))))))))</f>
        <v>#DIV/0!</v>
      </c>
      <c r="FB134" s="95" t="e">
        <f t="shared" ca="1" si="197"/>
        <v>#DIV/0!</v>
      </c>
      <c r="FC134" s="101">
        <f t="shared" si="230"/>
        <v>0</v>
      </c>
      <c r="FD134" s="91">
        <f t="shared" si="164"/>
        <v>0</v>
      </c>
      <c r="FE134" s="30" t="e">
        <f t="shared" si="214"/>
        <v>#N/A</v>
      </c>
      <c r="FF134" s="30" t="e">
        <f t="shared" si="215"/>
        <v>#N/A</v>
      </c>
      <c r="FG134" s="31" t="e">
        <f>IF(OR(Hypothèses!$B$4=17,Hypothèses!$B$4=18,Hypothèses!$B$4=19,Hypothèses!$B$4=20),
IF($D134="Pressio.",
IF(OR($E134=3,$E134=1,$E134=4),FF134,FE134),
IF($D134="Pénétro.",
IF(OR($E134=3,$E134=1,$E134=4),FF134,FE134))),IF($D134="Pressio.",
IF($E134=3,FF134,FE134),
IF($D134="Pénétro.",
IF($E134=4,FF134,FE134))))</f>
        <v>#N/A</v>
      </c>
      <c r="FH134" s="31">
        <v>0</v>
      </c>
      <c r="FI134" s="102" t="e">
        <f>IF(NDC!$H$10="Oui",(VLOOKUP($B$3,'Coeff EC7'!$T$39:$X$59,2,0)*FG134+VLOOKUP($B$3,'Coeff EC7'!$T$65:$X$85,2,0)*Model0.1T!FH134)/1.5,PI()*FE$12*$Q134*($B134-$B133)*0.15/10+FI133)</f>
        <v>#N/A</v>
      </c>
      <c r="FJ134" s="102" t="e">
        <f>(VLOOKUP($B$3,'Coeff EC7'!$T$39:$X$59,3,0)*FG134+VLOOKUP($B$3,'Coeff EC7'!$T$65:$X$85,3,0)*Model0.1T!FH134)/1.1</f>
        <v>#N/A</v>
      </c>
      <c r="FK134" s="102" t="e">
        <f t="shared" si="198"/>
        <v>#N/A</v>
      </c>
      <c r="FL134" s="102" t="e">
        <f t="shared" si="199"/>
        <v>#N/A</v>
      </c>
      <c r="FM134" s="414" t="e">
        <f>IF(AND(FI134&gt;NDC!$C$63,FJ134&gt;NDC!$C$65,FK134&gt;NDC!$D$73,FL134&gt;NDC!$D$74,$B134&gt;NDC!$H$22-0.1+MIN(3*FM$12,1.5)),0,1)</f>
        <v>#N/A</v>
      </c>
    </row>
    <row r="135" spans="1:169">
      <c r="A135" s="96">
        <f t="shared" si="165"/>
        <v>87.800000000000693</v>
      </c>
      <c r="B135" s="97">
        <v>12.2</v>
      </c>
      <c r="C135" s="81">
        <f>IF(B135&lt;=Hypothèses!$C$7,Hypothèses!$A$7,IF(B135&lt;=Hypothèses!$C$8,Hypothèses!$A$8,IF(B135&lt;=Hypothèses!$C$9,Hypothèses!$A$9,IF(B135&lt;=Hypothèses!$C$10,Hypothèses!$A$10,IF(B135&lt;=Hypothèses!$C$11,Hypothèses!$A$11,IF(B135&lt;=Hypothèses!$C$12,Hypothèses!$A$12,IF(B135&lt;=Hypothèses!$C$13,Hypothèses!$A$13,IF(B135&lt;=Hypothèses!$C$14,Hypothèses!$A$14,IF(B135&lt;=Hypothèses!$C$15,Hypothèses!$A$15,IF(B135&lt;=Hypothèses!$C$16,Hypothèses!$A$16,IF(B135&lt;=Hypothèses!$C$17,Hypothèses!$A$17,IF(B135&lt;=Hypothèses!$C$18,Hypothèses!$A$18,C134))))))))))))</f>
        <v>11</v>
      </c>
      <c r="D135" s="82" t="str">
        <f>IF(B135&lt;=Hypothèses!$C$7,Hypothèses!$R$7,IF(B135&lt;=Hypothèses!$C$8,Hypothèses!$R$8,IF(B135&lt;=Hypothèses!$C$9,Hypothèses!$R$9,IF(B135&lt;=Hypothèses!$C$10,Hypothèses!$R$10,IF(B135&lt;=Hypothèses!$C$11,Hypothèses!$R$11,IF(B135&lt;=Hypothèses!$C$12,Hypothèses!$R$12,IF(B135&lt;=Hypothèses!$C$13,Hypothèses!$R$13,IF(B135&lt;=Hypothèses!$C$14,Hypothèses!$R$14,IF(B135&lt;=Hypothèses!$C$15,Hypothèses!$R$15,IF(B135&lt;=Hypothèses!$C$16,Hypothèses!$R$16,IF(B135&lt;=Hypothèses!$C$17,Hypothèses!$R$17,IF(B135&lt;=Hypothèses!$C$18,Hypothèses!$R$18,D134))))))))))))</f>
        <v>Pressio.</v>
      </c>
      <c r="E135" s="82" t="e">
        <f>IF(B135&lt;=Hypothèses!$C$7,Hypothèses!$G$7,IF(B135&lt;=Hypothèses!$C$8,Hypothèses!$G$8,IF(B135&lt;=Hypothèses!$C$9,Hypothèses!$G$9,IF(B135&lt;=Hypothèses!$C$10,Hypothèses!$G$10,IF(B135&lt;=Hypothèses!$C$11,Hypothèses!$G$11,IF(B135&lt;=Hypothèses!$C$12,Hypothèses!$G$12,IF(B135&lt;=Hypothèses!$C$13,Hypothèses!$G$13,IF(B135&lt;=Hypothèses!$C$14,Hypothèses!$G$14,IF(B135&lt;=Hypothèses!$C$15,Hypothèses!$G$15,IF(B135&lt;=Hypothèses!$C$16,Hypothèses!$G$16,IF(B135&lt;=Hypothèses!$C$17,Hypothèses!$G$17,IF(B135&lt;=Hypothèses!$C$18,Hypothèses!$G$18,E134))))))))))))</f>
        <v>#N/A</v>
      </c>
      <c r="F135" s="82" t="str">
        <f>IF(B135&lt;=Hypothèses!$C$7,Hypothèses!$F$7,IF(B135&lt;=Hypothèses!$C$8,Hypothèses!$F$8,IF(B135&lt;=Hypothèses!$C$9,Hypothèses!$F$9,IF(B135&lt;=Hypothèses!$C$10,Hypothèses!$F$10,IF(B135&lt;=Hypothèses!$C$11,Hypothèses!$F$11,IF(B135&lt;=Hypothèses!$C$12,Hypothèses!$F$12,IF(B135&lt;=Hypothèses!$C$13,Hypothèses!$F$13,IF(B135&lt;=Hypothèses!$C$14,Hypothèses!$F$14,IF(B135&lt;=Hypothèses!$C$15,Hypothèses!$F$15,IF(B135&lt;=Hypothèses!$C$16,Hypothèses!$F$16,IF(B135&lt;=Hypothèses!$C$17,Hypothèses!$F$17,IF(B135&lt;=Hypothèses!$C$18,Hypothèses!$F$18,F134))))))))))))</f>
        <v/>
      </c>
      <c r="G135" s="91">
        <f t="array" ref="G135">INDEX('Coeff EC7'!$U$7:$X$27,
MATCH(Model0.1T!$B$3,'Coeff EC7'!$T$7:$T$27,0),
MATCH(Model0.1T!$D135&amp;Model0.1T!$B$4,
'Coeff EC7'!$U$6:$X$6&amp;
'Coeff EC7'!$U$5:$X$5,0))</f>
        <v>1.4</v>
      </c>
      <c r="H135" s="91">
        <f t="array" ref="H135">INDEX('Coeff EC7'!$Y$7:$AB$27,
MATCH(Model0.1T!$B$3,'Coeff EC7'!$T$7:$T$27,0),
MATCH(Model0.1T!$D135&amp;Model0.1T!$B$4,
'Coeff EC7'!$Y$6:$AB$6&amp;
'Coeff EC7'!$Y$5:$AB$5,0))</f>
        <v>1.7</v>
      </c>
      <c r="I135" s="83">
        <v>0</v>
      </c>
      <c r="J135" s="91" t="e">
        <f t="array" ref="J135">INDEX('Coeff EC7'!$D$33:$Q$33,1,MATCH(D135&amp;E135,'Coeff EC7'!$D$31:$Q$31&amp;'Coeff EC7'!$D$32:$Q$32,0))</f>
        <v>#N/A</v>
      </c>
      <c r="K135" s="91" t="e">
        <f t="array" ref="K135">INDEX('Coeff EC7'!$D$34:$Q$34,1,MATCH(D135&amp;E135,'Coeff EC7'!$D$31:$Q$31&amp;'Coeff EC7'!$D$32:$Q$32,0))</f>
        <v>#N/A</v>
      </c>
      <c r="L135" s="91" t="e">
        <f t="array" ref="L135">INDEX('Coeff EC7'!$D$35:$Q$35,1,MATCH(D135&amp;E135,'Coeff EC7'!$D$31:$Q$31&amp;'Coeff EC7'!$D$32:$Q$32,0))</f>
        <v>#N/A</v>
      </c>
      <c r="M135" s="98" t="e">
        <f t="shared" si="131"/>
        <v>#N/A</v>
      </c>
      <c r="N135" s="99" t="e">
        <f t="array" ref="N135">INDEX('Coeff EC7'!$D$7:$Q$27,MATCH($B$3,'Coeff EC7'!$C$7:$C$27,0),MATCH(D135&amp;E135,'Coeff EC7'!$D$5:$Q$5&amp;'Coeff EC7'!$D$6:$Q$6,0))</f>
        <v>#N/A</v>
      </c>
      <c r="O135" s="99" t="e">
        <f t="array" ref="O135">INDEX('Coeff EC7'!$D$41:$Q$61,MATCH($B$3,'Coeff EC7'!$C$41:$C$61,0),MATCH(D135&amp;E135,'Coeff EC7'!$D$39:$Q$39&amp;'Coeff EC7'!$D$40:$Q$40,0))</f>
        <v>#N/A</v>
      </c>
      <c r="P135" s="30" t="e">
        <f t="shared" si="166"/>
        <v>#N/A</v>
      </c>
      <c r="Q135" s="100" t="e">
        <f t="shared" si="133"/>
        <v>#N/A</v>
      </c>
      <c r="R135" s="86" t="b">
        <f t="shared" si="134"/>
        <v>0</v>
      </c>
      <c r="S135" s="86">
        <f t="shared" si="132"/>
        <v>0.5</v>
      </c>
      <c r="T135" s="86">
        <f t="shared" si="135"/>
        <v>0.5</v>
      </c>
      <c r="U135" s="30" t="e">
        <f t="shared" ca="1" si="167"/>
        <v>#DIV/0!</v>
      </c>
      <c r="V135" s="85" t="str">
        <f>IF(B135&lt;=Hypothèses!$V$7,Hypothèses!$W$7,IF(B135&lt;=Hypothèses!$V$8,Hypothèses!$W$8,IF(B135&lt;=Hypothèses!$V$9,Hypothèses!$W$9,IF(B135&lt;=Hypothèses!$V$10,Hypothèses!$W$10,IF(B135&lt;=Hypothèses!$V$11,Hypothèses!$W$11,IF(B135&lt;=Hypothèses!$V$12,Hypothèses!$W$12,IF(B135&lt;=Hypothèses!$V$13,Hypothèses!$W$13,IF(B135&lt;=Hypothèses!$V$14,Hypothèses!$W$14,IF(B135&lt;=Hypothèses!$V$15,Hypothèses!$W$15,IF(B135&lt;=Hypothèses!$V$16,Hypothèses!$W$16,IF(B135&lt;=Hypothèses!$V$17,Hypothèses!$W$17,IF(B135&lt;=Hypothèses!$V$18,Hypothèses!$W$18,""))))))))))))</f>
        <v/>
      </c>
      <c r="W135" s="87" t="e">
        <f t="shared" ca="1" si="216"/>
        <v>#DIV/0!</v>
      </c>
      <c r="X135" s="88" t="str">
        <f>IF(B135&lt;=Hypothèses!$V$7,Hypothèses!$X$7,IF(B135&lt;=Hypothèses!$V$8,Hypothèses!$X$8,IF(B135&lt;=Hypothèses!$V$9,Hypothèses!$X$9,IF(B135&lt;=Hypothèses!$V$10,Hypothèses!$X$10,IF(B135&lt;=Hypothèses!$V$11,Hypothèses!$X$11,IF(B135&lt;=Hypothèses!$V$12,Hypothèses!$X$12,IF(B135&lt;=Hypothèses!$V$13,Hypothèses!$X$13,IF(B135&lt;=Hypothèses!$V$14,Hypothèses!$X$14,IF(B135&lt;=Hypothèses!$V$15,Hypothèses!$X$15,IF(B135&lt;=Hypothèses!$V$16,Hypothèses!$X$16,IF(B135&lt;=Hypothèses!$U$17,Hypothèses!$W$17,IF(B135&lt;=Hypothèses!$U$18,Hypothèses!$W$18,""))))))))))))</f>
        <v/>
      </c>
      <c r="Y135" s="95" t="e">
        <f t="shared" ca="1" si="136"/>
        <v>#DIV/0!</v>
      </c>
      <c r="Z135" s="101">
        <f t="shared" si="137"/>
        <v>0</v>
      </c>
      <c r="AA135" s="91">
        <f t="shared" si="138"/>
        <v>0</v>
      </c>
      <c r="AB135" s="30" t="e">
        <f t="shared" si="200"/>
        <v>#N/A</v>
      </c>
      <c r="AC135" s="30" t="e">
        <f t="shared" si="201"/>
        <v>#N/A</v>
      </c>
      <c r="AD135" s="31" t="e">
        <f>IF(OR(Hypothèses!$B$4=17,Hypothèses!$B$4=18,Hypothèses!$B$4=19,Hypothèses!$B$4=20),
IF($D135="Pressio.",
IF(OR($E135=3,$E135=1,$E135=4),AC135,AB135),
IF($D135="Pénétro.",
IF(OR($E135=3,$E135=1,$E135=4),AC135,AB135))),IF($D135="Pressio.",
IF($E135=3,AC135,AB135),
IF($D135="Pénétro.",
IF($E135=4,AC135,AB135))))</f>
        <v>#N/A</v>
      </c>
      <c r="AE135" s="31">
        <v>0</v>
      </c>
      <c r="AF135" s="102" t="e">
        <f>IF(NDC!$H$10="Oui",(VLOOKUP($B$3,'Coeff EC7'!$T$39:$X$59,2,0)*AD135+VLOOKUP($B$3,'Coeff EC7'!$T$65:$X$85,2,0)*Model0.1T!AE135)/1.5,PI()*AB$12*$Q135*($B135-$B134)*0.15/10+AF134)</f>
        <v>#N/A</v>
      </c>
      <c r="AG135" s="102" t="e">
        <f>(VLOOKUP($B$3,'Coeff EC7'!$T$39:$X$59,3,0)*AD135+VLOOKUP($B$3,'Coeff EC7'!$T$65:$X$85,3,0)*Model0.1T!AE135)/1.1</f>
        <v>#N/A</v>
      </c>
      <c r="AH135" s="102" t="e">
        <f t="shared" si="168"/>
        <v>#N/A</v>
      </c>
      <c r="AI135" s="102" t="e">
        <f t="shared" si="169"/>
        <v>#N/A</v>
      </c>
      <c r="AJ135" s="414" t="e">
        <f>IF(AND(AF135&gt;NDC!$C$63,AG135&gt;NDC!$C$65,AH135&gt;NDC!$D$73,AI135&gt;NDC!$D$74,$B135&gt;NDC!$H$22-0.1+MIN(3*$AJ$12,1.5)),0,1)</f>
        <v>#N/A</v>
      </c>
      <c r="AK135" s="86" t="b">
        <f t="shared" si="139"/>
        <v>0</v>
      </c>
      <c r="AL135" s="86">
        <f t="shared" si="170"/>
        <v>0.5</v>
      </c>
      <c r="AM135" s="86">
        <f t="shared" si="140"/>
        <v>0.5</v>
      </c>
      <c r="AN135" s="30" t="e">
        <f t="shared" ca="1" si="171"/>
        <v>#DIV/0!</v>
      </c>
      <c r="AO135" s="85" t="e">
        <f ca="1">IF(U135&lt;=Hypothèses!$V$7,Hypothèses!$W$7,IF(U135&lt;=Hypothèses!$V$8,Hypothèses!$W$8,IF(U135&lt;=Hypothèses!$V$9,Hypothèses!$W$9,IF(U135&lt;=Hypothèses!$V$10,Hypothèses!$W$10,IF(U135&lt;=Hypothèses!$V$11,Hypothèses!$W$11,IF(U135&lt;=Hypothèses!$V$12,Hypothèses!$W$12,IF(U135&lt;=Hypothèses!$V$13,Hypothèses!$W$13,IF(U135&lt;=Hypothèses!$V$14,Hypothèses!$W$14,IF(U135&lt;=Hypothèses!$V$15,Hypothèses!$W$15,IF(U135&lt;=Hypothèses!$V$16,Hypothèses!$W$16,IF(U135&lt;=Hypothèses!$V$17,Hypothèses!$W$17,IF(U135&lt;=Hypothèses!$V$18,Hypothèses!$W$18,""))))))))))))</f>
        <v>#DIV/0!</v>
      </c>
      <c r="AP135" s="87" t="e">
        <f t="shared" ca="1" si="217"/>
        <v>#DIV/0!</v>
      </c>
      <c r="AQ135" s="88" t="e">
        <f ca="1">IF(U135&lt;=Hypothèses!$V$7,Hypothèses!$X$7,IF(U135&lt;=Hypothèses!$V$8,Hypothèses!$X$8,IF(U135&lt;=Hypothèses!$V$9,Hypothèses!$X$9,IF(U135&lt;=Hypothèses!$V$10,Hypothèses!$X$10,IF(U135&lt;=Hypothèses!$V$11,Hypothèses!$X$11,IF(U135&lt;=Hypothèses!$V$12,Hypothèses!$X$12,IF(U135&lt;=Hypothèses!$V$13,Hypothèses!$X$13,IF(U135&lt;=Hypothèses!$V$14,Hypothèses!$X$14,IF(U135&lt;=Hypothèses!$V$15,Hypothèses!$X$15,IF(U135&lt;=Hypothèses!$V$16,Hypothèses!$X$16,IF(U135&lt;=Hypothèses!$U$17,Hypothèses!$W$17,IF(U135&lt;=Hypothèses!$U$18,Hypothèses!$W$18,""))))))))))))</f>
        <v>#DIV/0!</v>
      </c>
      <c r="AR135" s="95" t="e">
        <f t="shared" ca="1" si="172"/>
        <v>#DIV/0!</v>
      </c>
      <c r="AS135" s="101">
        <f t="shared" si="224"/>
        <v>0</v>
      </c>
      <c r="AT135" s="91">
        <f t="shared" si="141"/>
        <v>0</v>
      </c>
      <c r="AU135" s="30" t="e">
        <f t="shared" si="202"/>
        <v>#N/A</v>
      </c>
      <c r="AV135" s="30" t="e">
        <f t="shared" si="203"/>
        <v>#N/A</v>
      </c>
      <c r="AW135" s="31" t="e">
        <f>IF(OR(Hypothèses!$B$4=17,Hypothèses!$B$4=18,Hypothèses!$B$4=19,Hypothèses!$B$4=20),
IF($D135="Pressio.",
IF(OR($E135=3,$E135=1,$E135=4),AV135,AU135),
IF($D135="Pénétro.",
IF(OR($E135=3,$E135=1,$E135=4),AV135,AU135))),IF($D135="Pressio.",
IF($E135=3,AV135,AU135),
IF($D135="Pénétro.",
IF($E135=4,AV135,AU135))))</f>
        <v>#N/A</v>
      </c>
      <c r="AX135" s="31">
        <v>0</v>
      </c>
      <c r="AY135" s="102" t="e">
        <f>IF(NDC!$H$10="Oui",(VLOOKUP($B$3,'Coeff EC7'!$T$39:$X$59,2,0)*AW135+VLOOKUP($B$3,'Coeff EC7'!$T$65:$X$85,2,0)*Model0.1T!AX135)/1.5,PI()*AU$12*$Q135*($B135-$B134)*0.15/10+AY134)</f>
        <v>#N/A</v>
      </c>
      <c r="AZ135" s="102" t="e">
        <f>(VLOOKUP($B$3,'Coeff EC7'!$T$39:$X$59,3,0)*AW135+VLOOKUP($B$3,'Coeff EC7'!$T$65:$X$85,3,0)*Model0.1T!AX135)/1.1</f>
        <v>#N/A</v>
      </c>
      <c r="BA135" s="102" t="e">
        <f t="shared" si="173"/>
        <v>#N/A</v>
      </c>
      <c r="BB135" s="102" t="e">
        <f t="shared" si="174"/>
        <v>#N/A</v>
      </c>
      <c r="BC135" s="414" t="e">
        <f>IF(AND(AY135&gt;NDC!$C$63,AZ135&gt;NDC!$C$65,BA135&gt;NDC!$D$73,BB135&gt;NDC!$D$74,$B135&gt;NDC!$H$22-0.1+MIN(3*BC$12,1.5)),0,1)</f>
        <v>#N/A</v>
      </c>
      <c r="BD135" s="86" t="b">
        <f t="shared" si="142"/>
        <v>0</v>
      </c>
      <c r="BE135" s="86">
        <f t="shared" si="175"/>
        <v>0.5</v>
      </c>
      <c r="BF135" s="86">
        <f t="shared" si="143"/>
        <v>0.5</v>
      </c>
      <c r="BG135" s="30" t="e">
        <f t="shared" ca="1" si="176"/>
        <v>#DIV/0!</v>
      </c>
      <c r="BH135" s="85" t="e">
        <f ca="1">IF(AN135&lt;=Hypothèses!$V$7,Hypothèses!$W$7,IF(AN135&lt;=Hypothèses!$V$8,Hypothèses!$W$8,IF(AN135&lt;=Hypothèses!$V$9,Hypothèses!$W$9,IF(AN135&lt;=Hypothèses!$V$10,Hypothèses!$W$10,IF(AN135&lt;=Hypothèses!$V$11,Hypothèses!$W$11,IF(AN135&lt;=Hypothèses!$V$12,Hypothèses!$W$12,IF(AN135&lt;=Hypothèses!$V$13,Hypothèses!$W$13,IF(AN135&lt;=Hypothèses!$V$14,Hypothèses!$W$14,IF(AN135&lt;=Hypothèses!$V$15,Hypothèses!$W$15,IF(AN135&lt;=Hypothèses!$V$16,Hypothèses!$W$16,IF(AN135&lt;=Hypothèses!$V$17,Hypothèses!$W$17,IF(AN135&lt;=Hypothèses!$V$18,Hypothèses!$W$18,""))))))))))))</f>
        <v>#DIV/0!</v>
      </c>
      <c r="BI135" s="87" t="e">
        <f t="shared" ca="1" si="218"/>
        <v>#DIV/0!</v>
      </c>
      <c r="BJ135" s="88" t="e">
        <f ca="1">IF(AN135&lt;=Hypothèses!$V$7,Hypothèses!$X$7,IF(AN135&lt;=Hypothèses!$V$8,Hypothèses!$X$8,IF(AN135&lt;=Hypothèses!$V$9,Hypothèses!$X$9,IF(AN135&lt;=Hypothèses!$V$10,Hypothèses!$X$10,IF(AN135&lt;=Hypothèses!$V$11,Hypothèses!$X$11,IF(AN135&lt;=Hypothèses!$V$12,Hypothèses!$X$12,IF(AN135&lt;=Hypothèses!$V$13,Hypothèses!$X$13,IF(AN135&lt;=Hypothèses!$V$14,Hypothèses!$X$14,IF(AN135&lt;=Hypothèses!$V$15,Hypothèses!$X$15,IF(AN135&lt;=Hypothèses!$V$16,Hypothèses!$X$16,IF(AN135&lt;=Hypothèses!$U$17,Hypothèses!$W$17,IF(AN135&lt;=Hypothèses!$U$18,Hypothèses!$W$18,""))))))))))))</f>
        <v>#DIV/0!</v>
      </c>
      <c r="BK135" s="95" t="e">
        <f t="shared" ca="1" si="177"/>
        <v>#DIV/0!</v>
      </c>
      <c r="BL135" s="101">
        <f t="shared" si="225"/>
        <v>0</v>
      </c>
      <c r="BM135" s="91">
        <f t="shared" si="144"/>
        <v>0</v>
      </c>
      <c r="BN135" s="30" t="e">
        <f t="shared" si="204"/>
        <v>#N/A</v>
      </c>
      <c r="BO135" s="30" t="e">
        <f t="shared" si="205"/>
        <v>#N/A</v>
      </c>
      <c r="BP135" s="31" t="e">
        <f>IF(OR(Hypothèses!$B$4=17,Hypothèses!$B$4=18,Hypothèses!$B$4=19,Hypothèses!$B$4=20),
IF($D135="Pressio.",
IF(OR($E135=3,$E135=1,$E135=4),BO135,BN135),
IF($D135="Pénétro.",
IF(OR($E135=3,$E135=1,$E135=4),BO135,BN135))),IF($D135="Pressio.",
IF($E135=3,BO135,BN135),
IF($D135="Pénétro.",
IF($E135=4,BO135,BN135))))</f>
        <v>#N/A</v>
      </c>
      <c r="BQ135" s="31">
        <v>0</v>
      </c>
      <c r="BR135" s="102" t="e">
        <f>IF(NDC!$H$10="Oui",(VLOOKUP($B$3,'Coeff EC7'!$T$39:$X$59,2,0)*BP135+VLOOKUP($B$3,'Coeff EC7'!$T$65:$X$85,2,0)*Model0.1T!BQ135)/1.5,PI()*BN$12*$Q135*($B135-$B134)*0.15/10+BR134)</f>
        <v>#N/A</v>
      </c>
      <c r="BS135" s="102" t="e">
        <f>(VLOOKUP($B$3,'Coeff EC7'!$T$39:$X$59,3,0)*BP135+VLOOKUP($B$3,'Coeff EC7'!$T$65:$X$85,3,0)*Model0.1T!BQ135)/1.1</f>
        <v>#N/A</v>
      </c>
      <c r="BT135" s="102" t="e">
        <f t="shared" si="178"/>
        <v>#N/A</v>
      </c>
      <c r="BU135" s="102" t="e">
        <f t="shared" si="179"/>
        <v>#N/A</v>
      </c>
      <c r="BV135" s="414" t="e">
        <f>IF(AND(BR135&gt;NDC!$C$63,BS135&gt;NDC!$C$65,BT135&gt;NDC!$D$73,BU135&gt;NDC!$D$74,$B135&gt;NDC!$H$22-0.1+MIN(3*BV$12,1.5)),0,1)</f>
        <v>#N/A</v>
      </c>
      <c r="BW135" s="86" t="b">
        <f t="shared" si="145"/>
        <v>0</v>
      </c>
      <c r="BX135" s="86">
        <f t="shared" si="146"/>
        <v>0.5</v>
      </c>
      <c r="BY135" s="86">
        <f t="shared" si="147"/>
        <v>0.5</v>
      </c>
      <c r="BZ135" s="30" t="e">
        <f t="shared" ca="1" si="180"/>
        <v>#DIV/0!</v>
      </c>
      <c r="CA135" s="85" t="e">
        <f ca="1">IF(BG135&lt;=Hypothèses!$V$7,Hypothèses!$W$7,IF(BG135&lt;=Hypothèses!$V$8,Hypothèses!$W$8,IF(BG135&lt;=Hypothèses!$V$9,Hypothèses!$W$9,IF(BG135&lt;=Hypothèses!$V$10,Hypothèses!$W$10,IF(BG135&lt;=Hypothèses!$V$11,Hypothèses!$W$11,IF(BG135&lt;=Hypothèses!$V$12,Hypothèses!$W$12,IF(BG135&lt;=Hypothèses!$V$13,Hypothèses!$W$13,IF(BG135&lt;=Hypothèses!$V$14,Hypothèses!$W$14,IF(BG135&lt;=Hypothèses!$V$15,Hypothèses!$W$15,IF(BG135&lt;=Hypothèses!$V$16,Hypothèses!$W$16,IF(BG135&lt;=Hypothèses!$V$17,Hypothèses!$W$17,IF(BG135&lt;=Hypothèses!$V$18,Hypothèses!$W$18,""))))))))))))</f>
        <v>#DIV/0!</v>
      </c>
      <c r="CB135" s="87" t="e">
        <f t="shared" ca="1" si="219"/>
        <v>#DIV/0!</v>
      </c>
      <c r="CC135" s="88" t="e">
        <f ca="1">IF(BG135&lt;=Hypothèses!$V$7,Hypothèses!$X$7,IF(BG135&lt;=Hypothèses!$V$8,Hypothèses!$X$8,IF(BG135&lt;=Hypothèses!$V$9,Hypothèses!$X$9,IF(BG135&lt;=Hypothèses!$V$10,Hypothèses!$X$10,IF(BG135&lt;=Hypothèses!$V$11,Hypothèses!$X$11,IF(BG135&lt;=Hypothèses!$V$12,Hypothèses!$X$12,IF(BG135&lt;=Hypothèses!$V$13,Hypothèses!$X$13,IF(BG135&lt;=Hypothèses!$V$14,Hypothèses!$X$14,IF(BG135&lt;=Hypothèses!$V$15,Hypothèses!$X$15,IF(BG135&lt;=Hypothèses!$V$16,Hypothèses!$X$16,IF(BG135&lt;=Hypothèses!$U$17,Hypothèses!$W$17,IF(BG135&lt;=Hypothèses!$U$18,Hypothèses!$W$18,""))))))))))))</f>
        <v>#DIV/0!</v>
      </c>
      <c r="CD135" s="95" t="e">
        <f t="shared" ca="1" si="181"/>
        <v>#DIV/0!</v>
      </c>
      <c r="CE135" s="101">
        <f t="shared" si="226"/>
        <v>0</v>
      </c>
      <c r="CF135" s="91">
        <f t="shared" si="148"/>
        <v>0</v>
      </c>
      <c r="CG135" s="30" t="e">
        <f t="shared" si="206"/>
        <v>#N/A</v>
      </c>
      <c r="CH135" s="30" t="e">
        <f t="shared" si="207"/>
        <v>#N/A</v>
      </c>
      <c r="CI135" s="31" t="e">
        <f>IF(OR(Hypothèses!$B$4=17,Hypothèses!$B$4=18,Hypothèses!$B$4=19,Hypothèses!$B$4=20),
IF($D135="Pressio.",
IF(OR($E135=3,$E135=1,$E135=4),CH135,CG135),
IF($D135="Pénétro.",
IF(OR($E135=3,$E135=1,$E135=4),CH135,CG135))),IF($D135="Pressio.",
IF($E135=3,CH135,CG135),
IF($D135="Pénétro.",
IF($E135=4,CH135,CG135))))</f>
        <v>#N/A</v>
      </c>
      <c r="CJ135" s="31">
        <v>0</v>
      </c>
      <c r="CK135" s="102" t="e">
        <f>IF(NDC!$H$10="Oui",(VLOOKUP($B$3,'Coeff EC7'!$T$39:$X$59,2,0)*CI135+VLOOKUP($B$3,'Coeff EC7'!$T$65:$X$85,2,0)*Model0.1T!CJ135)/1.5,PI()*CG$12*$Q135*($B135-$B134)*0.15/10+CK134)</f>
        <v>#N/A</v>
      </c>
      <c r="CL135" s="102" t="e">
        <f>(VLOOKUP($B$3,'Coeff EC7'!$T$39:$X$59,3,0)*CI135+VLOOKUP($B$3,'Coeff EC7'!$T$65:$X$85,3,0)*Model0.1T!CJ135)/1.1</f>
        <v>#N/A</v>
      </c>
      <c r="CM135" s="102" t="e">
        <f t="shared" si="182"/>
        <v>#N/A</v>
      </c>
      <c r="CN135" s="102" t="e">
        <f t="shared" si="183"/>
        <v>#N/A</v>
      </c>
      <c r="CO135" s="414" t="e">
        <f>IF(AND(CK135&gt;NDC!$C$63,CL135&gt;NDC!$C$65,CM135&gt;NDC!$D$73,CN135&gt;NDC!$D$74,$B135&gt;NDC!$H$22-0.1+MIN(3*CO$12,1.5)),0,1)</f>
        <v>#N/A</v>
      </c>
      <c r="CP135" s="86" t="b">
        <f t="shared" si="149"/>
        <v>0</v>
      </c>
      <c r="CQ135" s="86">
        <f t="shared" si="150"/>
        <v>0.5</v>
      </c>
      <c r="CR135" s="86">
        <f t="shared" si="151"/>
        <v>0.5</v>
      </c>
      <c r="CS135" s="30" t="e">
        <f t="shared" ca="1" si="184"/>
        <v>#DIV/0!</v>
      </c>
      <c r="CT135" s="85" t="e">
        <f ca="1">IF(BZ135&lt;=Hypothèses!$V$7,Hypothèses!$W$7,IF(BZ135&lt;=Hypothèses!$V$8,Hypothèses!$W$8,IF(BZ135&lt;=Hypothèses!$V$9,Hypothèses!$W$9,IF(BZ135&lt;=Hypothèses!$V$10,Hypothèses!$W$10,IF(BZ135&lt;=Hypothèses!$V$11,Hypothèses!$W$11,IF(BZ135&lt;=Hypothèses!$V$12,Hypothèses!$W$12,IF(BZ135&lt;=Hypothèses!$V$13,Hypothèses!$W$13,IF(BZ135&lt;=Hypothèses!$V$14,Hypothèses!$W$14,IF(BZ135&lt;=Hypothèses!$V$15,Hypothèses!$W$15,IF(BZ135&lt;=Hypothèses!$V$16,Hypothèses!$W$16,IF(BZ135&lt;=Hypothèses!$V$17,Hypothèses!$W$17,IF(BZ135&lt;=Hypothèses!$V$18,Hypothèses!$W$18,""))))))))))))</f>
        <v>#DIV/0!</v>
      </c>
      <c r="CU135" s="87" t="e">
        <f t="shared" ca="1" si="220"/>
        <v>#DIV/0!</v>
      </c>
      <c r="CV135" s="88" t="e">
        <f ca="1">IF(BZ135&lt;=Hypothèses!$V$7,Hypothèses!$X$7,IF(BZ135&lt;=Hypothèses!$V$8,Hypothèses!$X$8,IF(BZ135&lt;=Hypothèses!$V$9,Hypothèses!$X$9,IF(BZ135&lt;=Hypothèses!$V$10,Hypothèses!$X$10,IF(BZ135&lt;=Hypothèses!$V$11,Hypothèses!$X$11,IF(BZ135&lt;=Hypothèses!$V$12,Hypothèses!$X$12,IF(BZ135&lt;=Hypothèses!$V$13,Hypothèses!$X$13,IF(BZ135&lt;=Hypothèses!$V$14,Hypothèses!$X$14,IF(BZ135&lt;=Hypothèses!$V$15,Hypothèses!$X$15,IF(BZ135&lt;=Hypothèses!$V$16,Hypothèses!$X$16,IF(BZ135&lt;=Hypothèses!$U$17,Hypothèses!$W$17,IF(BZ135&lt;=Hypothèses!$U$18,Hypothèses!$W$18,""))))))))))))</f>
        <v>#DIV/0!</v>
      </c>
      <c r="CW135" s="95" t="e">
        <f t="shared" ca="1" si="185"/>
        <v>#DIV/0!</v>
      </c>
      <c r="CX135" s="101">
        <f t="shared" si="227"/>
        <v>0</v>
      </c>
      <c r="CY135" s="91">
        <f t="shared" si="152"/>
        <v>0</v>
      </c>
      <c r="CZ135" s="30" t="e">
        <f t="shared" si="208"/>
        <v>#N/A</v>
      </c>
      <c r="DA135" s="30" t="e">
        <f t="shared" si="209"/>
        <v>#N/A</v>
      </c>
      <c r="DB135" s="31" t="e">
        <f>IF(OR(Hypothèses!$B$4=17,Hypothèses!$B$4=18,Hypothèses!$B$4=19,Hypothèses!$B$4=20),
IF($D135="Pressio.",
IF(OR($E135=3,$E135=1,$E135=4),DA135,CZ135),
IF($D135="Pénétro.",
IF(OR($E135=3,$E135=1,$E135=4),DA135,CZ135))),IF($D135="Pressio.",
IF($E135=3,DA135,CZ135),
IF($D135="Pénétro.",
IF($E135=4,DA135,CZ135))))</f>
        <v>#N/A</v>
      </c>
      <c r="DC135" s="31">
        <v>0</v>
      </c>
      <c r="DD135" s="102" t="e">
        <f>IF(NDC!$H$10="Oui",(VLOOKUP($B$3,'Coeff EC7'!$T$39:$X$59,2,0)*DB135+VLOOKUP($B$3,'Coeff EC7'!$T$65:$X$85,2,0)*Model0.1T!DC135)/1.5,PI()*CZ$12*$Q135*($B135-$B134)*0.15/10+DD134)</f>
        <v>#N/A</v>
      </c>
      <c r="DE135" s="102" t="e">
        <f>(VLOOKUP($B$3,'Coeff EC7'!$T$39:$X$59,3,0)*DB135+VLOOKUP($B$3,'Coeff EC7'!$T$65:$X$85,3,0)*Model0.1T!DC135)/1.1</f>
        <v>#N/A</v>
      </c>
      <c r="DF135" s="102" t="e">
        <f t="shared" si="186"/>
        <v>#N/A</v>
      </c>
      <c r="DG135" s="102" t="e">
        <f t="shared" si="187"/>
        <v>#N/A</v>
      </c>
      <c r="DH135" s="414" t="e">
        <f>IF(AND(DD135&gt;NDC!$C$63,DE135&gt;NDC!$C$65,DF135&gt;NDC!$D$73,DG135&gt;NDC!$D$74,$B135&gt;NDC!$H$22-0.1+MIN(3*DH$12,1.5)),0,1)</f>
        <v>#N/A</v>
      </c>
      <c r="DI135" s="86" t="b">
        <f t="shared" si="153"/>
        <v>0</v>
      </c>
      <c r="DJ135" s="86">
        <f t="shared" si="154"/>
        <v>0.5</v>
      </c>
      <c r="DK135" s="86">
        <f t="shared" si="155"/>
        <v>0.5</v>
      </c>
      <c r="DL135" s="30" t="e">
        <f t="shared" ca="1" si="188"/>
        <v>#DIV/0!</v>
      </c>
      <c r="DM135" s="85" t="e">
        <f ca="1">IF(CS135&lt;=Hypothèses!$V$7,Hypothèses!$W$7,IF(CS135&lt;=Hypothèses!$V$8,Hypothèses!$W$8,IF(CS135&lt;=Hypothèses!$V$9,Hypothèses!$W$9,IF(CS135&lt;=Hypothèses!$V$10,Hypothèses!$W$10,IF(CS135&lt;=Hypothèses!$V$11,Hypothèses!$W$11,IF(CS135&lt;=Hypothèses!$V$12,Hypothèses!$W$12,IF(CS135&lt;=Hypothèses!$V$13,Hypothèses!$W$13,IF(CS135&lt;=Hypothèses!$V$14,Hypothèses!$W$14,IF(CS135&lt;=Hypothèses!$V$15,Hypothèses!$W$15,IF(CS135&lt;=Hypothèses!$V$16,Hypothèses!$W$16,IF(CS135&lt;=Hypothèses!$V$17,Hypothèses!$W$17,IF(CS135&lt;=Hypothèses!$V$18,Hypothèses!$W$18,""))))))))))))</f>
        <v>#DIV/0!</v>
      </c>
      <c r="DN135" s="87" t="e">
        <f t="shared" ca="1" si="221"/>
        <v>#DIV/0!</v>
      </c>
      <c r="DO135" s="88" t="e">
        <f ca="1">IF(CS135&lt;=Hypothèses!$V$7,Hypothèses!$X$7,IF(CS135&lt;=Hypothèses!$V$8,Hypothèses!$X$8,IF(CS135&lt;=Hypothèses!$V$9,Hypothèses!$X$9,IF(CS135&lt;=Hypothèses!$V$10,Hypothèses!$X$10,IF(CS135&lt;=Hypothèses!$V$11,Hypothèses!$X$11,IF(CS135&lt;=Hypothèses!$V$12,Hypothèses!$X$12,IF(CS135&lt;=Hypothèses!$V$13,Hypothèses!$X$13,IF(CS135&lt;=Hypothèses!$V$14,Hypothèses!$X$14,IF(CS135&lt;=Hypothèses!$V$15,Hypothèses!$X$15,IF(CS135&lt;=Hypothèses!$V$16,Hypothèses!$X$16,IF(CS135&lt;=Hypothèses!$U$17,Hypothèses!$W$17,IF(CS135&lt;=Hypothèses!$U$18,Hypothèses!$W$18,""))))))))))))</f>
        <v>#DIV/0!</v>
      </c>
      <c r="DP135" s="95" t="e">
        <f t="shared" ca="1" si="189"/>
        <v>#DIV/0!</v>
      </c>
      <c r="DQ135" s="101">
        <f t="shared" si="228"/>
        <v>0</v>
      </c>
      <c r="DR135" s="91">
        <f t="shared" si="156"/>
        <v>0</v>
      </c>
      <c r="DS135" s="30" t="e">
        <f t="shared" si="210"/>
        <v>#N/A</v>
      </c>
      <c r="DT135" s="30" t="e">
        <f t="shared" si="211"/>
        <v>#N/A</v>
      </c>
      <c r="DU135" s="31" t="e">
        <f>IF(OR(Hypothèses!$B$4=17,Hypothèses!$B$4=18,Hypothèses!$B$4=19,Hypothèses!$B$4=20),
IF($D135="Pressio.",
IF(OR($E135=3,$E135=1,$E135=4),DT135,DS135),
IF($D135="Pénétro.",
IF(OR($E135=3,$E135=1,$E135=4),DT135,DS135))),IF($D135="Pressio.",
IF($E135=3,DT135,DS135),
IF($D135="Pénétro.",
IF($E135=4,DT135,DS135))))</f>
        <v>#N/A</v>
      </c>
      <c r="DV135" s="31">
        <v>0</v>
      </c>
      <c r="DW135" s="102" t="e">
        <f>IF(NDC!$H$10="Oui",(VLOOKUP($B$3,'Coeff EC7'!$T$39:$X$59,2,0)*DU135+VLOOKUP($B$3,'Coeff EC7'!$T$65:$X$85,2,0)*Model0.1T!DV135)/1.5,PI()*DS$12*$Q135*($B135-$B134)*0.15/10+DW134)</f>
        <v>#N/A</v>
      </c>
      <c r="DX135" s="102" t="e">
        <f>(VLOOKUP($B$3,'Coeff EC7'!$T$39:$X$59,3,0)*DU135+VLOOKUP($B$3,'Coeff EC7'!$T$65:$X$85,3,0)*Model0.1T!DV135)/1.1</f>
        <v>#N/A</v>
      </c>
      <c r="DY135" s="102" t="e">
        <f t="shared" si="190"/>
        <v>#N/A</v>
      </c>
      <c r="DZ135" s="102" t="e">
        <f t="shared" si="191"/>
        <v>#N/A</v>
      </c>
      <c r="EA135" s="414" t="e">
        <f>IF(AND(DW135&gt;NDC!$C$63,DX135&gt;NDC!$C$65,DY135&gt;NDC!$D$73,DZ135&gt;NDC!$D$74,$B135&gt;NDC!$H$22-0.1+MIN(3*EA$12,1.5)),0,1)</f>
        <v>#N/A</v>
      </c>
      <c r="EB135" s="86" t="b">
        <f t="shared" si="157"/>
        <v>0</v>
      </c>
      <c r="EC135" s="418">
        <f t="shared" si="158"/>
        <v>0.51</v>
      </c>
      <c r="ED135" s="86">
        <f t="shared" si="159"/>
        <v>0.51</v>
      </c>
      <c r="EE135" s="30" t="e">
        <f t="shared" ca="1" si="192"/>
        <v>#DIV/0!</v>
      </c>
      <c r="EF135" s="85" t="e">
        <f ca="1">IF(DL135&lt;=Hypothèses!$V$7,Hypothèses!$W$7,IF(DL135&lt;=Hypothèses!$V$8,Hypothèses!$W$8,IF(DL135&lt;=Hypothèses!$V$9,Hypothèses!$W$9,IF(DL135&lt;=Hypothèses!$V$10,Hypothèses!$W$10,IF(DL135&lt;=Hypothèses!$V$11,Hypothèses!$W$11,IF(DL135&lt;=Hypothèses!$V$12,Hypothèses!$W$12,IF(DL135&lt;=Hypothèses!$V$13,Hypothèses!$W$13,IF(DL135&lt;=Hypothèses!$V$14,Hypothèses!$W$14,IF(DL135&lt;=Hypothèses!$V$15,Hypothèses!$W$15,IF(DL135&lt;=Hypothèses!$V$16,Hypothèses!$W$16,IF(DL135&lt;=Hypothèses!$V$17,Hypothèses!$W$17,IF(DL135&lt;=Hypothèses!$V$18,Hypothèses!$W$18,""))))))))))))</f>
        <v>#DIV/0!</v>
      </c>
      <c r="EG135" s="87" t="e">
        <f t="shared" ca="1" si="222"/>
        <v>#DIV/0!</v>
      </c>
      <c r="EH135" s="88" t="e">
        <f ca="1">IF(DL135&lt;=Hypothèses!$V$7,Hypothèses!$X$7,IF(DL135&lt;=Hypothèses!$V$8,Hypothèses!$X$8,IF(DL135&lt;=Hypothèses!$V$9,Hypothèses!$X$9,IF(DL135&lt;=Hypothèses!$V$10,Hypothèses!$X$10,IF(DL135&lt;=Hypothèses!$V$11,Hypothèses!$X$11,IF(DL135&lt;=Hypothèses!$V$12,Hypothèses!$X$12,IF(DL135&lt;=Hypothèses!$V$13,Hypothèses!$X$13,IF(DL135&lt;=Hypothèses!$V$14,Hypothèses!$X$14,IF(DL135&lt;=Hypothèses!$V$15,Hypothèses!$X$15,IF(DL135&lt;=Hypothèses!$V$16,Hypothèses!$X$16,IF(DL135&lt;=Hypothèses!$U$17,Hypothèses!$W$17,IF(DL135&lt;=Hypothèses!$U$18,Hypothèses!$W$18,""))))))))))))</f>
        <v>#DIV/0!</v>
      </c>
      <c r="EI135" s="95" t="e">
        <f t="shared" ca="1" si="193"/>
        <v>#DIV/0!</v>
      </c>
      <c r="EJ135" s="101">
        <f t="shared" si="229"/>
        <v>0</v>
      </c>
      <c r="EK135" s="91">
        <f t="shared" si="160"/>
        <v>0</v>
      </c>
      <c r="EL135" s="30" t="e">
        <f t="shared" si="212"/>
        <v>#N/A</v>
      </c>
      <c r="EM135" s="30" t="e">
        <f t="shared" si="213"/>
        <v>#N/A</v>
      </c>
      <c r="EN135" s="31" t="e">
        <f>IF(OR(Hypothèses!$B$4=17,Hypothèses!$B$4=18,Hypothèses!$B$4=19,Hypothèses!$B$4=20),
IF($D135="Pressio.",
IF(OR($E135=3,$E135=1,$E135=4),EM135,EL135),
IF($D135="Pénétro.",
IF(OR($E135=3,$E135=1,$E135=4),EM135,EL135))),IF($D135="Pressio.",
IF($E135=3,EM135,EL135),
IF($D135="Pénétro.",
IF($E135=4,EM135,EL135))))</f>
        <v>#N/A</v>
      </c>
      <c r="EO135" s="31">
        <v>0</v>
      </c>
      <c r="EP135" s="102" t="e">
        <f>IF(NDC!$H$10="Oui",(VLOOKUP($B$3,'Coeff EC7'!$T$39:$X$59,2,0)*EN135+VLOOKUP($B$3,'Coeff EC7'!$T$65:$X$85,2,0)*Model0.1T!EO135)/1.5,PI()*EL$12*$Q135*($B135-$B134)*0.15/10+EP134)</f>
        <v>#N/A</v>
      </c>
      <c r="EQ135" s="102" t="e">
        <f>(VLOOKUP($B$3,'Coeff EC7'!$T$39:$X$59,3,0)*EN135+VLOOKUP($B$3,'Coeff EC7'!$T$65:$X$85,3,0)*Model0.1T!EO135)/1.1</f>
        <v>#N/A</v>
      </c>
      <c r="ER135" s="102" t="e">
        <f t="shared" si="194"/>
        <v>#N/A</v>
      </c>
      <c r="ES135" s="102" t="e">
        <f t="shared" si="195"/>
        <v>#N/A</v>
      </c>
      <c r="ET135" s="414" t="e">
        <f>IF(AND(EP135&gt;NDC!$C$63,EQ135&gt;NDC!$C$65,ER135&gt;NDC!$D$73,ES135&gt;NDC!$D$74,$B135&gt;NDC!$H$22-0.1+MIN(3*ET$12,1.5)),0,1)</f>
        <v>#N/A</v>
      </c>
      <c r="EU135" s="86" t="b">
        <f t="shared" si="161"/>
        <v>0</v>
      </c>
      <c r="EV135" s="86">
        <f t="shared" si="162"/>
        <v>0.61</v>
      </c>
      <c r="EW135" s="86">
        <f t="shared" si="163"/>
        <v>0.61</v>
      </c>
      <c r="EX135" s="30" t="e">
        <f t="shared" ca="1" si="196"/>
        <v>#DIV/0!</v>
      </c>
      <c r="EY135" s="85" t="e">
        <f ca="1">IF(EE135&lt;=Hypothèses!$V$7,Hypothèses!$W$7,IF(EE135&lt;=Hypothèses!$V$8,Hypothèses!$W$8,IF(EE135&lt;=Hypothèses!$V$9,Hypothèses!$W$9,IF(EE135&lt;=Hypothèses!$V$10,Hypothèses!$W$10,IF(EE135&lt;=Hypothèses!$V$11,Hypothèses!$W$11,IF(EE135&lt;=Hypothèses!$V$12,Hypothèses!$W$12,IF(EE135&lt;=Hypothèses!$V$13,Hypothèses!$W$13,IF(EE135&lt;=Hypothèses!$V$14,Hypothèses!$W$14,IF(EE135&lt;=Hypothèses!$V$15,Hypothèses!$W$15,IF(EE135&lt;=Hypothèses!$V$16,Hypothèses!$W$16,IF(EE135&lt;=Hypothèses!$V$17,Hypothèses!$W$17,IF(EE135&lt;=Hypothèses!$V$18,Hypothèses!$W$18,""))))))))))))</f>
        <v>#DIV/0!</v>
      </c>
      <c r="EZ135" s="87" t="e">
        <f t="shared" ca="1" si="223"/>
        <v>#DIV/0!</v>
      </c>
      <c r="FA135" s="88" t="e">
        <f ca="1">IF(EE135&lt;=Hypothèses!$V$7,Hypothèses!$X$7,IF(EE135&lt;=Hypothèses!$V$8,Hypothèses!$X$8,IF(EE135&lt;=Hypothèses!$V$9,Hypothèses!$X$9,IF(EE135&lt;=Hypothèses!$V$10,Hypothèses!$X$10,IF(EE135&lt;=Hypothèses!$V$11,Hypothèses!$X$11,IF(EE135&lt;=Hypothèses!$V$12,Hypothèses!$X$12,IF(EE135&lt;=Hypothèses!$V$13,Hypothèses!$X$13,IF(EE135&lt;=Hypothèses!$V$14,Hypothèses!$X$14,IF(EE135&lt;=Hypothèses!$V$15,Hypothèses!$X$15,IF(EE135&lt;=Hypothèses!$V$16,Hypothèses!$X$16,IF(EE135&lt;=Hypothèses!$U$17,Hypothèses!$W$17,IF(EE135&lt;=Hypothèses!$U$18,Hypothèses!$W$18,""))))))))))))</f>
        <v>#DIV/0!</v>
      </c>
      <c r="FB135" s="95" t="e">
        <f t="shared" ca="1" si="197"/>
        <v>#DIV/0!</v>
      </c>
      <c r="FC135" s="101">
        <f t="shared" si="230"/>
        <v>0</v>
      </c>
      <c r="FD135" s="91">
        <f t="shared" si="164"/>
        <v>0</v>
      </c>
      <c r="FE135" s="30" t="e">
        <f t="shared" si="214"/>
        <v>#N/A</v>
      </c>
      <c r="FF135" s="30" t="e">
        <f t="shared" si="215"/>
        <v>#N/A</v>
      </c>
      <c r="FG135" s="31" t="e">
        <f>IF(OR(Hypothèses!$B$4=17,Hypothèses!$B$4=18,Hypothèses!$B$4=19,Hypothèses!$B$4=20),
IF($D135="Pressio.",
IF(OR($E135=3,$E135=1,$E135=4),FF135,FE135),
IF($D135="Pénétro.",
IF(OR($E135=3,$E135=1,$E135=4),FF135,FE135))),IF($D135="Pressio.",
IF($E135=3,FF135,FE135),
IF($D135="Pénétro.",
IF($E135=4,FF135,FE135))))</f>
        <v>#N/A</v>
      </c>
      <c r="FH135" s="31">
        <v>0</v>
      </c>
      <c r="FI135" s="102" t="e">
        <f>IF(NDC!$H$10="Oui",(VLOOKUP($B$3,'Coeff EC7'!$T$39:$X$59,2,0)*FG135+VLOOKUP($B$3,'Coeff EC7'!$T$65:$X$85,2,0)*Model0.1T!FH135)/1.5,PI()*FE$12*$Q135*($B135-$B134)*0.15/10+FI134)</f>
        <v>#N/A</v>
      </c>
      <c r="FJ135" s="102" t="e">
        <f>(VLOOKUP($B$3,'Coeff EC7'!$T$39:$X$59,3,0)*FG135+VLOOKUP($B$3,'Coeff EC7'!$T$65:$X$85,3,0)*Model0.1T!FH135)/1.1</f>
        <v>#N/A</v>
      </c>
      <c r="FK135" s="102" t="e">
        <f t="shared" si="198"/>
        <v>#N/A</v>
      </c>
      <c r="FL135" s="102" t="e">
        <f t="shared" si="199"/>
        <v>#N/A</v>
      </c>
      <c r="FM135" s="414" t="e">
        <f>IF(AND(FI135&gt;NDC!$C$63,FJ135&gt;NDC!$C$65,FK135&gt;NDC!$D$73,FL135&gt;NDC!$D$74,$B135&gt;NDC!$H$22-0.1+MIN(3*FM$12,1.5)),0,1)</f>
        <v>#N/A</v>
      </c>
    </row>
    <row r="136" spans="1:169">
      <c r="A136" s="96">
        <f t="shared" si="165"/>
        <v>87.700000000000699</v>
      </c>
      <c r="B136" s="97">
        <v>12.3</v>
      </c>
      <c r="C136" s="81">
        <f>IF(B136&lt;=Hypothèses!$C$7,Hypothèses!$A$7,IF(B136&lt;=Hypothèses!$C$8,Hypothèses!$A$8,IF(B136&lt;=Hypothèses!$C$9,Hypothèses!$A$9,IF(B136&lt;=Hypothèses!$C$10,Hypothèses!$A$10,IF(B136&lt;=Hypothèses!$C$11,Hypothèses!$A$11,IF(B136&lt;=Hypothèses!$C$12,Hypothèses!$A$12,IF(B136&lt;=Hypothèses!$C$13,Hypothèses!$A$13,IF(B136&lt;=Hypothèses!$C$14,Hypothèses!$A$14,IF(B136&lt;=Hypothèses!$C$15,Hypothèses!$A$15,IF(B136&lt;=Hypothèses!$C$16,Hypothèses!$A$16,IF(B136&lt;=Hypothèses!$C$17,Hypothèses!$A$17,IF(B136&lt;=Hypothèses!$C$18,Hypothèses!$A$18,C135))))))))))))</f>
        <v>11</v>
      </c>
      <c r="D136" s="82" t="str">
        <f>IF(B136&lt;=Hypothèses!$C$7,Hypothèses!$R$7,IF(B136&lt;=Hypothèses!$C$8,Hypothèses!$R$8,IF(B136&lt;=Hypothèses!$C$9,Hypothèses!$R$9,IF(B136&lt;=Hypothèses!$C$10,Hypothèses!$R$10,IF(B136&lt;=Hypothèses!$C$11,Hypothèses!$R$11,IF(B136&lt;=Hypothèses!$C$12,Hypothèses!$R$12,IF(B136&lt;=Hypothèses!$C$13,Hypothèses!$R$13,IF(B136&lt;=Hypothèses!$C$14,Hypothèses!$R$14,IF(B136&lt;=Hypothèses!$C$15,Hypothèses!$R$15,IF(B136&lt;=Hypothèses!$C$16,Hypothèses!$R$16,IF(B136&lt;=Hypothèses!$C$17,Hypothèses!$R$17,IF(B136&lt;=Hypothèses!$C$18,Hypothèses!$R$18,D135))))))))))))</f>
        <v>Pressio.</v>
      </c>
      <c r="E136" s="82" t="e">
        <f>IF(B136&lt;=Hypothèses!$C$7,Hypothèses!$G$7,IF(B136&lt;=Hypothèses!$C$8,Hypothèses!$G$8,IF(B136&lt;=Hypothèses!$C$9,Hypothèses!$G$9,IF(B136&lt;=Hypothèses!$C$10,Hypothèses!$G$10,IF(B136&lt;=Hypothèses!$C$11,Hypothèses!$G$11,IF(B136&lt;=Hypothèses!$C$12,Hypothèses!$G$12,IF(B136&lt;=Hypothèses!$C$13,Hypothèses!$G$13,IF(B136&lt;=Hypothèses!$C$14,Hypothèses!$G$14,IF(B136&lt;=Hypothèses!$C$15,Hypothèses!$G$15,IF(B136&lt;=Hypothèses!$C$16,Hypothèses!$G$16,IF(B136&lt;=Hypothèses!$C$17,Hypothèses!$G$17,IF(B136&lt;=Hypothèses!$C$18,Hypothèses!$G$18,E135))))))))))))</f>
        <v>#N/A</v>
      </c>
      <c r="F136" s="82" t="str">
        <f>IF(B136&lt;=Hypothèses!$C$7,Hypothèses!$F$7,IF(B136&lt;=Hypothèses!$C$8,Hypothèses!$F$8,IF(B136&lt;=Hypothèses!$C$9,Hypothèses!$F$9,IF(B136&lt;=Hypothèses!$C$10,Hypothèses!$F$10,IF(B136&lt;=Hypothèses!$C$11,Hypothèses!$F$11,IF(B136&lt;=Hypothèses!$C$12,Hypothèses!$F$12,IF(B136&lt;=Hypothèses!$C$13,Hypothèses!$F$13,IF(B136&lt;=Hypothèses!$C$14,Hypothèses!$F$14,IF(B136&lt;=Hypothèses!$C$15,Hypothèses!$F$15,IF(B136&lt;=Hypothèses!$C$16,Hypothèses!$F$16,IF(B136&lt;=Hypothèses!$C$17,Hypothèses!$F$17,IF(B136&lt;=Hypothèses!$C$18,Hypothèses!$F$18,F135))))))))))))</f>
        <v/>
      </c>
      <c r="G136" s="91">
        <f t="array" ref="G136">INDEX('Coeff EC7'!$U$7:$X$27,
MATCH(Model0.1T!$B$3,'Coeff EC7'!$T$7:$T$27,0),
MATCH(Model0.1T!$D136&amp;Model0.1T!$B$4,
'Coeff EC7'!$U$6:$X$6&amp;
'Coeff EC7'!$U$5:$X$5,0))</f>
        <v>1.4</v>
      </c>
      <c r="H136" s="91">
        <f t="array" ref="H136">INDEX('Coeff EC7'!$Y$7:$AB$27,
MATCH(Model0.1T!$B$3,'Coeff EC7'!$T$7:$T$27,0),
MATCH(Model0.1T!$D136&amp;Model0.1T!$B$4,
'Coeff EC7'!$Y$6:$AB$6&amp;
'Coeff EC7'!$Y$5:$AB$5,0))</f>
        <v>1.7</v>
      </c>
      <c r="I136" s="83">
        <v>0</v>
      </c>
      <c r="J136" s="91" t="e">
        <f t="array" ref="J136">INDEX('Coeff EC7'!$D$33:$Q$33,1,MATCH(D136&amp;E136,'Coeff EC7'!$D$31:$Q$31&amp;'Coeff EC7'!$D$32:$Q$32,0))</f>
        <v>#N/A</v>
      </c>
      <c r="K136" s="91" t="e">
        <f t="array" ref="K136">INDEX('Coeff EC7'!$D$34:$Q$34,1,MATCH(D136&amp;E136,'Coeff EC7'!$D$31:$Q$31&amp;'Coeff EC7'!$D$32:$Q$32,0))</f>
        <v>#N/A</v>
      </c>
      <c r="L136" s="91" t="e">
        <f t="array" ref="L136">INDEX('Coeff EC7'!$D$35:$Q$35,1,MATCH(D136&amp;E136,'Coeff EC7'!$D$31:$Q$31&amp;'Coeff EC7'!$D$32:$Q$32,0))</f>
        <v>#N/A</v>
      </c>
      <c r="M136" s="98" t="e">
        <f t="shared" si="131"/>
        <v>#N/A</v>
      </c>
      <c r="N136" s="99" t="e">
        <f t="array" ref="N136">INDEX('Coeff EC7'!$D$7:$Q$27,MATCH($B$3,'Coeff EC7'!$C$7:$C$27,0),MATCH(D136&amp;E136,'Coeff EC7'!$D$5:$Q$5&amp;'Coeff EC7'!$D$6:$Q$6,0))</f>
        <v>#N/A</v>
      </c>
      <c r="O136" s="99" t="e">
        <f t="array" ref="O136">INDEX('Coeff EC7'!$D$41:$Q$61,MATCH($B$3,'Coeff EC7'!$C$41:$C$61,0),MATCH(D136&amp;E136,'Coeff EC7'!$D$39:$Q$39&amp;'Coeff EC7'!$D$40:$Q$40,0))</f>
        <v>#N/A</v>
      </c>
      <c r="P136" s="30" t="e">
        <f t="shared" si="166"/>
        <v>#N/A</v>
      </c>
      <c r="Q136" s="100" t="e">
        <f t="shared" si="133"/>
        <v>#N/A</v>
      </c>
      <c r="R136" s="86" t="b">
        <f t="shared" si="134"/>
        <v>0</v>
      </c>
      <c r="S136" s="86">
        <f t="shared" si="132"/>
        <v>0.5</v>
      </c>
      <c r="T136" s="86">
        <f t="shared" si="135"/>
        <v>0.5</v>
      </c>
      <c r="U136" s="30" t="e">
        <f t="shared" ca="1" si="167"/>
        <v>#DIV/0!</v>
      </c>
      <c r="V136" s="85" t="str">
        <f>IF(B136&lt;=Hypothèses!$V$7,Hypothèses!$W$7,IF(B136&lt;=Hypothèses!$V$8,Hypothèses!$W$8,IF(B136&lt;=Hypothèses!$V$9,Hypothèses!$W$9,IF(B136&lt;=Hypothèses!$V$10,Hypothèses!$W$10,IF(B136&lt;=Hypothèses!$V$11,Hypothèses!$W$11,IF(B136&lt;=Hypothèses!$V$12,Hypothèses!$W$12,IF(B136&lt;=Hypothèses!$V$13,Hypothèses!$W$13,IF(B136&lt;=Hypothèses!$V$14,Hypothèses!$W$14,IF(B136&lt;=Hypothèses!$V$15,Hypothèses!$W$15,IF(B136&lt;=Hypothèses!$V$16,Hypothèses!$W$16,IF(B136&lt;=Hypothèses!$V$17,Hypothèses!$W$17,IF(B136&lt;=Hypothèses!$V$18,Hypothèses!$W$18,""))))))))))))</f>
        <v/>
      </c>
      <c r="W136" s="87" t="e">
        <f t="shared" ca="1" si="216"/>
        <v>#DIV/0!</v>
      </c>
      <c r="X136" s="88" t="str">
        <f>IF(B136&lt;=Hypothèses!$V$7,Hypothèses!$X$7,IF(B136&lt;=Hypothèses!$V$8,Hypothèses!$X$8,IF(B136&lt;=Hypothèses!$V$9,Hypothèses!$X$9,IF(B136&lt;=Hypothèses!$V$10,Hypothèses!$X$10,IF(B136&lt;=Hypothèses!$V$11,Hypothèses!$X$11,IF(B136&lt;=Hypothèses!$V$12,Hypothèses!$X$12,IF(B136&lt;=Hypothèses!$V$13,Hypothèses!$X$13,IF(B136&lt;=Hypothèses!$V$14,Hypothèses!$X$14,IF(B136&lt;=Hypothèses!$V$15,Hypothèses!$X$15,IF(B136&lt;=Hypothèses!$V$16,Hypothèses!$X$16,IF(B136&lt;=Hypothèses!$U$17,Hypothèses!$W$17,IF(B136&lt;=Hypothèses!$U$18,Hypothèses!$W$18,""))))))))))))</f>
        <v/>
      </c>
      <c r="Y136" s="95" t="e">
        <f t="shared" ca="1" si="136"/>
        <v>#DIV/0!</v>
      </c>
      <c r="Z136" s="101">
        <f t="shared" si="137"/>
        <v>0</v>
      </c>
      <c r="AA136" s="91">
        <f t="shared" si="138"/>
        <v>0</v>
      </c>
      <c r="AB136" s="30" t="e">
        <f t="shared" si="200"/>
        <v>#N/A</v>
      </c>
      <c r="AC136" s="30" t="e">
        <f t="shared" si="201"/>
        <v>#N/A</v>
      </c>
      <c r="AD136" s="31" t="e">
        <f>IF(OR(Hypothèses!$B$4=17,Hypothèses!$B$4=18,Hypothèses!$B$4=19,Hypothèses!$B$4=20),
IF($D136="Pressio.",
IF(OR($E136=3,$E136=1,$E136=4),AC136,AB136),
IF($D136="Pénétro.",
IF(OR($E136=3,$E136=1,$E136=4),AC136,AB136))),IF($D136="Pressio.",
IF($E136=3,AC136,AB136),
IF($D136="Pénétro.",
IF($E136=4,AC136,AB136))))</f>
        <v>#N/A</v>
      </c>
      <c r="AE136" s="31">
        <v>0</v>
      </c>
      <c r="AF136" s="102" t="e">
        <f>IF(NDC!$H$10="Oui",(VLOOKUP($B$3,'Coeff EC7'!$T$39:$X$59,2,0)*AD136+VLOOKUP($B$3,'Coeff EC7'!$T$65:$X$85,2,0)*Model0.1T!AE136)/1.5,PI()*AB$12*$Q136*($B136-$B135)*0.15/10+AF135)</f>
        <v>#N/A</v>
      </c>
      <c r="AG136" s="102" t="e">
        <f>(VLOOKUP($B$3,'Coeff EC7'!$T$39:$X$59,3,0)*AD136+VLOOKUP($B$3,'Coeff EC7'!$T$65:$X$85,3,0)*Model0.1T!AE136)/1.1</f>
        <v>#N/A</v>
      </c>
      <c r="AH136" s="102" t="e">
        <f t="shared" si="168"/>
        <v>#N/A</v>
      </c>
      <c r="AI136" s="102" t="e">
        <f t="shared" si="169"/>
        <v>#N/A</v>
      </c>
      <c r="AJ136" s="414" t="e">
        <f>IF(AND(AF136&gt;NDC!$C$63,AG136&gt;NDC!$C$65,AH136&gt;NDC!$D$73,AI136&gt;NDC!$D$74,$B136&gt;NDC!$H$22-0.1+MIN(3*$AJ$12,1.5)),0,1)</f>
        <v>#N/A</v>
      </c>
      <c r="AK136" s="86" t="b">
        <f t="shared" si="139"/>
        <v>0</v>
      </c>
      <c r="AL136" s="86">
        <f t="shared" si="170"/>
        <v>0.5</v>
      </c>
      <c r="AM136" s="86">
        <f t="shared" si="140"/>
        <v>0.5</v>
      </c>
      <c r="AN136" s="30" t="e">
        <f t="shared" ca="1" si="171"/>
        <v>#DIV/0!</v>
      </c>
      <c r="AO136" s="85" t="e">
        <f ca="1">IF(U136&lt;=Hypothèses!$V$7,Hypothèses!$W$7,IF(U136&lt;=Hypothèses!$V$8,Hypothèses!$W$8,IF(U136&lt;=Hypothèses!$V$9,Hypothèses!$W$9,IF(U136&lt;=Hypothèses!$V$10,Hypothèses!$W$10,IF(U136&lt;=Hypothèses!$V$11,Hypothèses!$W$11,IF(U136&lt;=Hypothèses!$V$12,Hypothèses!$W$12,IF(U136&lt;=Hypothèses!$V$13,Hypothèses!$W$13,IF(U136&lt;=Hypothèses!$V$14,Hypothèses!$W$14,IF(U136&lt;=Hypothèses!$V$15,Hypothèses!$W$15,IF(U136&lt;=Hypothèses!$V$16,Hypothèses!$W$16,IF(U136&lt;=Hypothèses!$V$17,Hypothèses!$W$17,IF(U136&lt;=Hypothèses!$V$18,Hypothèses!$W$18,""))))))))))))</f>
        <v>#DIV/0!</v>
      </c>
      <c r="AP136" s="87" t="e">
        <f t="shared" ca="1" si="217"/>
        <v>#DIV/0!</v>
      </c>
      <c r="AQ136" s="88" t="e">
        <f ca="1">IF(U136&lt;=Hypothèses!$V$7,Hypothèses!$X$7,IF(U136&lt;=Hypothèses!$V$8,Hypothèses!$X$8,IF(U136&lt;=Hypothèses!$V$9,Hypothèses!$X$9,IF(U136&lt;=Hypothèses!$V$10,Hypothèses!$X$10,IF(U136&lt;=Hypothèses!$V$11,Hypothèses!$X$11,IF(U136&lt;=Hypothèses!$V$12,Hypothèses!$X$12,IF(U136&lt;=Hypothèses!$V$13,Hypothèses!$X$13,IF(U136&lt;=Hypothèses!$V$14,Hypothèses!$X$14,IF(U136&lt;=Hypothèses!$V$15,Hypothèses!$X$15,IF(U136&lt;=Hypothèses!$V$16,Hypothèses!$X$16,IF(U136&lt;=Hypothèses!$U$17,Hypothèses!$W$17,IF(U136&lt;=Hypothèses!$U$18,Hypothèses!$W$18,""))))))))))))</f>
        <v>#DIV/0!</v>
      </c>
      <c r="AR136" s="95" t="e">
        <f t="shared" ca="1" si="172"/>
        <v>#DIV/0!</v>
      </c>
      <c r="AS136" s="101">
        <f t="shared" si="224"/>
        <v>0</v>
      </c>
      <c r="AT136" s="91">
        <f t="shared" si="141"/>
        <v>0</v>
      </c>
      <c r="AU136" s="30" t="e">
        <f t="shared" si="202"/>
        <v>#N/A</v>
      </c>
      <c r="AV136" s="30" t="e">
        <f t="shared" si="203"/>
        <v>#N/A</v>
      </c>
      <c r="AW136" s="31" t="e">
        <f>IF(OR(Hypothèses!$B$4=17,Hypothèses!$B$4=18,Hypothèses!$B$4=19,Hypothèses!$B$4=20),
IF($D136="Pressio.",
IF(OR($E136=3,$E136=1,$E136=4),AV136,AU136),
IF($D136="Pénétro.",
IF(OR($E136=3,$E136=1,$E136=4),AV136,AU136))),IF($D136="Pressio.",
IF($E136=3,AV136,AU136),
IF($D136="Pénétro.",
IF($E136=4,AV136,AU136))))</f>
        <v>#N/A</v>
      </c>
      <c r="AX136" s="31">
        <v>0</v>
      </c>
      <c r="AY136" s="102" t="e">
        <f>IF(NDC!$H$10="Oui",(VLOOKUP($B$3,'Coeff EC7'!$T$39:$X$59,2,0)*AW136+VLOOKUP($B$3,'Coeff EC7'!$T$65:$X$85,2,0)*Model0.1T!AX136)/1.5,PI()*AU$12*$Q136*($B136-$B135)*0.15/10+AY135)</f>
        <v>#N/A</v>
      </c>
      <c r="AZ136" s="102" t="e">
        <f>(VLOOKUP($B$3,'Coeff EC7'!$T$39:$X$59,3,0)*AW136+VLOOKUP($B$3,'Coeff EC7'!$T$65:$X$85,3,0)*Model0.1T!AX136)/1.1</f>
        <v>#N/A</v>
      </c>
      <c r="BA136" s="102" t="e">
        <f t="shared" si="173"/>
        <v>#N/A</v>
      </c>
      <c r="BB136" s="102" t="e">
        <f t="shared" si="174"/>
        <v>#N/A</v>
      </c>
      <c r="BC136" s="414" t="e">
        <f>IF(AND(AY136&gt;NDC!$C$63,AZ136&gt;NDC!$C$65,BA136&gt;NDC!$D$73,BB136&gt;NDC!$D$74,$B136&gt;NDC!$H$22-0.1+MIN(3*BC$12,1.5)),0,1)</f>
        <v>#N/A</v>
      </c>
      <c r="BD136" s="86" t="b">
        <f t="shared" si="142"/>
        <v>0</v>
      </c>
      <c r="BE136" s="86">
        <f t="shared" si="175"/>
        <v>0.5</v>
      </c>
      <c r="BF136" s="86">
        <f t="shared" si="143"/>
        <v>0.5</v>
      </c>
      <c r="BG136" s="30" t="e">
        <f t="shared" ca="1" si="176"/>
        <v>#DIV/0!</v>
      </c>
      <c r="BH136" s="85" t="e">
        <f ca="1">IF(AN136&lt;=Hypothèses!$V$7,Hypothèses!$W$7,IF(AN136&lt;=Hypothèses!$V$8,Hypothèses!$W$8,IF(AN136&lt;=Hypothèses!$V$9,Hypothèses!$W$9,IF(AN136&lt;=Hypothèses!$V$10,Hypothèses!$W$10,IF(AN136&lt;=Hypothèses!$V$11,Hypothèses!$W$11,IF(AN136&lt;=Hypothèses!$V$12,Hypothèses!$W$12,IF(AN136&lt;=Hypothèses!$V$13,Hypothèses!$W$13,IF(AN136&lt;=Hypothèses!$V$14,Hypothèses!$W$14,IF(AN136&lt;=Hypothèses!$V$15,Hypothèses!$W$15,IF(AN136&lt;=Hypothèses!$V$16,Hypothèses!$W$16,IF(AN136&lt;=Hypothèses!$V$17,Hypothèses!$W$17,IF(AN136&lt;=Hypothèses!$V$18,Hypothèses!$W$18,""))))))))))))</f>
        <v>#DIV/0!</v>
      </c>
      <c r="BI136" s="87" t="e">
        <f t="shared" ca="1" si="218"/>
        <v>#DIV/0!</v>
      </c>
      <c r="BJ136" s="88" t="e">
        <f ca="1">IF(AN136&lt;=Hypothèses!$V$7,Hypothèses!$X$7,IF(AN136&lt;=Hypothèses!$V$8,Hypothèses!$X$8,IF(AN136&lt;=Hypothèses!$V$9,Hypothèses!$X$9,IF(AN136&lt;=Hypothèses!$V$10,Hypothèses!$X$10,IF(AN136&lt;=Hypothèses!$V$11,Hypothèses!$X$11,IF(AN136&lt;=Hypothèses!$V$12,Hypothèses!$X$12,IF(AN136&lt;=Hypothèses!$V$13,Hypothèses!$X$13,IF(AN136&lt;=Hypothèses!$V$14,Hypothèses!$X$14,IF(AN136&lt;=Hypothèses!$V$15,Hypothèses!$X$15,IF(AN136&lt;=Hypothèses!$V$16,Hypothèses!$X$16,IF(AN136&lt;=Hypothèses!$U$17,Hypothèses!$W$17,IF(AN136&lt;=Hypothèses!$U$18,Hypothèses!$W$18,""))))))))))))</f>
        <v>#DIV/0!</v>
      </c>
      <c r="BK136" s="95" t="e">
        <f t="shared" ca="1" si="177"/>
        <v>#DIV/0!</v>
      </c>
      <c r="BL136" s="101">
        <f t="shared" si="225"/>
        <v>0</v>
      </c>
      <c r="BM136" s="91">
        <f t="shared" si="144"/>
        <v>0</v>
      </c>
      <c r="BN136" s="30" t="e">
        <f t="shared" si="204"/>
        <v>#N/A</v>
      </c>
      <c r="BO136" s="30" t="e">
        <f t="shared" si="205"/>
        <v>#N/A</v>
      </c>
      <c r="BP136" s="31" t="e">
        <f>IF(OR(Hypothèses!$B$4=17,Hypothèses!$B$4=18,Hypothèses!$B$4=19,Hypothèses!$B$4=20),
IF($D136="Pressio.",
IF(OR($E136=3,$E136=1,$E136=4),BO136,BN136),
IF($D136="Pénétro.",
IF(OR($E136=3,$E136=1,$E136=4),BO136,BN136))),IF($D136="Pressio.",
IF($E136=3,BO136,BN136),
IF($D136="Pénétro.",
IF($E136=4,BO136,BN136))))</f>
        <v>#N/A</v>
      </c>
      <c r="BQ136" s="31">
        <v>0</v>
      </c>
      <c r="BR136" s="102" t="e">
        <f>IF(NDC!$H$10="Oui",(VLOOKUP($B$3,'Coeff EC7'!$T$39:$X$59,2,0)*BP136+VLOOKUP($B$3,'Coeff EC7'!$T$65:$X$85,2,0)*Model0.1T!BQ136)/1.5,PI()*BN$12*$Q136*($B136-$B135)*0.15/10+BR135)</f>
        <v>#N/A</v>
      </c>
      <c r="BS136" s="102" t="e">
        <f>(VLOOKUP($B$3,'Coeff EC7'!$T$39:$X$59,3,0)*BP136+VLOOKUP($B$3,'Coeff EC7'!$T$65:$X$85,3,0)*Model0.1T!BQ136)/1.1</f>
        <v>#N/A</v>
      </c>
      <c r="BT136" s="102" t="e">
        <f t="shared" si="178"/>
        <v>#N/A</v>
      </c>
      <c r="BU136" s="102" t="e">
        <f t="shared" si="179"/>
        <v>#N/A</v>
      </c>
      <c r="BV136" s="414" t="e">
        <f>IF(AND(BR136&gt;NDC!$C$63,BS136&gt;NDC!$C$65,BT136&gt;NDC!$D$73,BU136&gt;NDC!$D$74,$B136&gt;NDC!$H$22-0.1+MIN(3*BV$12,1.5)),0,1)</f>
        <v>#N/A</v>
      </c>
      <c r="BW136" s="86" t="b">
        <f t="shared" si="145"/>
        <v>0</v>
      </c>
      <c r="BX136" s="86">
        <f t="shared" si="146"/>
        <v>0.5</v>
      </c>
      <c r="BY136" s="86">
        <f t="shared" si="147"/>
        <v>0.5</v>
      </c>
      <c r="BZ136" s="30" t="e">
        <f t="shared" ca="1" si="180"/>
        <v>#DIV/0!</v>
      </c>
      <c r="CA136" s="85" t="e">
        <f ca="1">IF(BG136&lt;=Hypothèses!$V$7,Hypothèses!$W$7,IF(BG136&lt;=Hypothèses!$V$8,Hypothèses!$W$8,IF(BG136&lt;=Hypothèses!$V$9,Hypothèses!$W$9,IF(BG136&lt;=Hypothèses!$V$10,Hypothèses!$W$10,IF(BG136&lt;=Hypothèses!$V$11,Hypothèses!$W$11,IF(BG136&lt;=Hypothèses!$V$12,Hypothèses!$W$12,IF(BG136&lt;=Hypothèses!$V$13,Hypothèses!$W$13,IF(BG136&lt;=Hypothèses!$V$14,Hypothèses!$W$14,IF(BG136&lt;=Hypothèses!$V$15,Hypothèses!$W$15,IF(BG136&lt;=Hypothèses!$V$16,Hypothèses!$W$16,IF(BG136&lt;=Hypothèses!$V$17,Hypothèses!$W$17,IF(BG136&lt;=Hypothèses!$V$18,Hypothèses!$W$18,""))))))))))))</f>
        <v>#DIV/0!</v>
      </c>
      <c r="CB136" s="87" t="e">
        <f t="shared" ca="1" si="219"/>
        <v>#DIV/0!</v>
      </c>
      <c r="CC136" s="88" t="e">
        <f ca="1">IF(BG136&lt;=Hypothèses!$V$7,Hypothèses!$X$7,IF(BG136&lt;=Hypothèses!$V$8,Hypothèses!$X$8,IF(BG136&lt;=Hypothèses!$V$9,Hypothèses!$X$9,IF(BG136&lt;=Hypothèses!$V$10,Hypothèses!$X$10,IF(BG136&lt;=Hypothèses!$V$11,Hypothèses!$X$11,IF(BG136&lt;=Hypothèses!$V$12,Hypothèses!$X$12,IF(BG136&lt;=Hypothèses!$V$13,Hypothèses!$X$13,IF(BG136&lt;=Hypothèses!$V$14,Hypothèses!$X$14,IF(BG136&lt;=Hypothèses!$V$15,Hypothèses!$X$15,IF(BG136&lt;=Hypothèses!$V$16,Hypothèses!$X$16,IF(BG136&lt;=Hypothèses!$U$17,Hypothèses!$W$17,IF(BG136&lt;=Hypothèses!$U$18,Hypothèses!$W$18,""))))))))))))</f>
        <v>#DIV/0!</v>
      </c>
      <c r="CD136" s="95" t="e">
        <f t="shared" ca="1" si="181"/>
        <v>#DIV/0!</v>
      </c>
      <c r="CE136" s="101">
        <f t="shared" si="226"/>
        <v>0</v>
      </c>
      <c r="CF136" s="91">
        <f t="shared" si="148"/>
        <v>0</v>
      </c>
      <c r="CG136" s="30" t="e">
        <f t="shared" si="206"/>
        <v>#N/A</v>
      </c>
      <c r="CH136" s="30" t="e">
        <f t="shared" si="207"/>
        <v>#N/A</v>
      </c>
      <c r="CI136" s="31" t="e">
        <f>IF(OR(Hypothèses!$B$4=17,Hypothèses!$B$4=18,Hypothèses!$B$4=19,Hypothèses!$B$4=20),
IF($D136="Pressio.",
IF(OR($E136=3,$E136=1,$E136=4),CH136,CG136),
IF($D136="Pénétro.",
IF(OR($E136=3,$E136=1,$E136=4),CH136,CG136))),IF($D136="Pressio.",
IF($E136=3,CH136,CG136),
IF($D136="Pénétro.",
IF($E136=4,CH136,CG136))))</f>
        <v>#N/A</v>
      </c>
      <c r="CJ136" s="31">
        <v>0</v>
      </c>
      <c r="CK136" s="102" t="e">
        <f>IF(NDC!$H$10="Oui",(VLOOKUP($B$3,'Coeff EC7'!$T$39:$X$59,2,0)*CI136+VLOOKUP($B$3,'Coeff EC7'!$T$65:$X$85,2,0)*Model0.1T!CJ136)/1.5,PI()*CG$12*$Q136*($B136-$B135)*0.15/10+CK135)</f>
        <v>#N/A</v>
      </c>
      <c r="CL136" s="102" t="e">
        <f>(VLOOKUP($B$3,'Coeff EC7'!$T$39:$X$59,3,0)*CI136+VLOOKUP($B$3,'Coeff EC7'!$T$65:$X$85,3,0)*Model0.1T!CJ136)/1.1</f>
        <v>#N/A</v>
      </c>
      <c r="CM136" s="102" t="e">
        <f t="shared" si="182"/>
        <v>#N/A</v>
      </c>
      <c r="CN136" s="102" t="e">
        <f t="shared" si="183"/>
        <v>#N/A</v>
      </c>
      <c r="CO136" s="414" t="e">
        <f>IF(AND(CK136&gt;NDC!$C$63,CL136&gt;NDC!$C$65,CM136&gt;NDC!$D$73,CN136&gt;NDC!$D$74,$B136&gt;NDC!$H$22-0.1+MIN(3*CO$12,1.5)),0,1)</f>
        <v>#N/A</v>
      </c>
      <c r="CP136" s="86" t="b">
        <f t="shared" si="149"/>
        <v>0</v>
      </c>
      <c r="CQ136" s="86">
        <f t="shared" si="150"/>
        <v>0.5</v>
      </c>
      <c r="CR136" s="86">
        <f t="shared" si="151"/>
        <v>0.5</v>
      </c>
      <c r="CS136" s="30" t="e">
        <f t="shared" ca="1" si="184"/>
        <v>#DIV/0!</v>
      </c>
      <c r="CT136" s="85" t="e">
        <f ca="1">IF(BZ136&lt;=Hypothèses!$V$7,Hypothèses!$W$7,IF(BZ136&lt;=Hypothèses!$V$8,Hypothèses!$W$8,IF(BZ136&lt;=Hypothèses!$V$9,Hypothèses!$W$9,IF(BZ136&lt;=Hypothèses!$V$10,Hypothèses!$W$10,IF(BZ136&lt;=Hypothèses!$V$11,Hypothèses!$W$11,IF(BZ136&lt;=Hypothèses!$V$12,Hypothèses!$W$12,IF(BZ136&lt;=Hypothèses!$V$13,Hypothèses!$W$13,IF(BZ136&lt;=Hypothèses!$V$14,Hypothèses!$W$14,IF(BZ136&lt;=Hypothèses!$V$15,Hypothèses!$W$15,IF(BZ136&lt;=Hypothèses!$V$16,Hypothèses!$W$16,IF(BZ136&lt;=Hypothèses!$V$17,Hypothèses!$W$17,IF(BZ136&lt;=Hypothèses!$V$18,Hypothèses!$W$18,""))))))))))))</f>
        <v>#DIV/0!</v>
      </c>
      <c r="CU136" s="87" t="e">
        <f t="shared" ca="1" si="220"/>
        <v>#DIV/0!</v>
      </c>
      <c r="CV136" s="88" t="e">
        <f ca="1">IF(BZ136&lt;=Hypothèses!$V$7,Hypothèses!$X$7,IF(BZ136&lt;=Hypothèses!$V$8,Hypothèses!$X$8,IF(BZ136&lt;=Hypothèses!$V$9,Hypothèses!$X$9,IF(BZ136&lt;=Hypothèses!$V$10,Hypothèses!$X$10,IF(BZ136&lt;=Hypothèses!$V$11,Hypothèses!$X$11,IF(BZ136&lt;=Hypothèses!$V$12,Hypothèses!$X$12,IF(BZ136&lt;=Hypothèses!$V$13,Hypothèses!$X$13,IF(BZ136&lt;=Hypothèses!$V$14,Hypothèses!$X$14,IF(BZ136&lt;=Hypothèses!$V$15,Hypothèses!$X$15,IF(BZ136&lt;=Hypothèses!$V$16,Hypothèses!$X$16,IF(BZ136&lt;=Hypothèses!$U$17,Hypothèses!$W$17,IF(BZ136&lt;=Hypothèses!$U$18,Hypothèses!$W$18,""))))))))))))</f>
        <v>#DIV/0!</v>
      </c>
      <c r="CW136" s="95" t="e">
        <f t="shared" ca="1" si="185"/>
        <v>#DIV/0!</v>
      </c>
      <c r="CX136" s="101">
        <f t="shared" si="227"/>
        <v>0</v>
      </c>
      <c r="CY136" s="91">
        <f t="shared" si="152"/>
        <v>0</v>
      </c>
      <c r="CZ136" s="30" t="e">
        <f t="shared" si="208"/>
        <v>#N/A</v>
      </c>
      <c r="DA136" s="30" t="e">
        <f t="shared" si="209"/>
        <v>#N/A</v>
      </c>
      <c r="DB136" s="31" t="e">
        <f>IF(OR(Hypothèses!$B$4=17,Hypothèses!$B$4=18,Hypothèses!$B$4=19,Hypothèses!$B$4=20),
IF($D136="Pressio.",
IF(OR($E136=3,$E136=1,$E136=4),DA136,CZ136),
IF($D136="Pénétro.",
IF(OR($E136=3,$E136=1,$E136=4),DA136,CZ136))),IF($D136="Pressio.",
IF($E136=3,DA136,CZ136),
IF($D136="Pénétro.",
IF($E136=4,DA136,CZ136))))</f>
        <v>#N/A</v>
      </c>
      <c r="DC136" s="31">
        <v>0</v>
      </c>
      <c r="DD136" s="102" t="e">
        <f>IF(NDC!$H$10="Oui",(VLOOKUP($B$3,'Coeff EC7'!$T$39:$X$59,2,0)*DB136+VLOOKUP($B$3,'Coeff EC7'!$T$65:$X$85,2,0)*Model0.1T!DC136)/1.5,PI()*CZ$12*$Q136*($B136-$B135)*0.15/10+DD135)</f>
        <v>#N/A</v>
      </c>
      <c r="DE136" s="102" t="e">
        <f>(VLOOKUP($B$3,'Coeff EC7'!$T$39:$X$59,3,0)*DB136+VLOOKUP($B$3,'Coeff EC7'!$T$65:$X$85,3,0)*Model0.1T!DC136)/1.1</f>
        <v>#N/A</v>
      </c>
      <c r="DF136" s="102" t="e">
        <f t="shared" si="186"/>
        <v>#N/A</v>
      </c>
      <c r="DG136" s="102" t="e">
        <f t="shared" si="187"/>
        <v>#N/A</v>
      </c>
      <c r="DH136" s="414" t="e">
        <f>IF(AND(DD136&gt;NDC!$C$63,DE136&gt;NDC!$C$65,DF136&gt;NDC!$D$73,DG136&gt;NDC!$D$74,$B136&gt;NDC!$H$22-0.1+MIN(3*DH$12,1.5)),0,1)</f>
        <v>#N/A</v>
      </c>
      <c r="DI136" s="86" t="b">
        <f t="shared" si="153"/>
        <v>0</v>
      </c>
      <c r="DJ136" s="86">
        <f t="shared" si="154"/>
        <v>0.5</v>
      </c>
      <c r="DK136" s="86">
        <f t="shared" si="155"/>
        <v>0.5</v>
      </c>
      <c r="DL136" s="30" t="e">
        <f t="shared" ca="1" si="188"/>
        <v>#DIV/0!</v>
      </c>
      <c r="DM136" s="85" t="e">
        <f ca="1">IF(CS136&lt;=Hypothèses!$V$7,Hypothèses!$W$7,IF(CS136&lt;=Hypothèses!$V$8,Hypothèses!$W$8,IF(CS136&lt;=Hypothèses!$V$9,Hypothèses!$W$9,IF(CS136&lt;=Hypothèses!$V$10,Hypothèses!$W$10,IF(CS136&lt;=Hypothèses!$V$11,Hypothèses!$W$11,IF(CS136&lt;=Hypothèses!$V$12,Hypothèses!$W$12,IF(CS136&lt;=Hypothèses!$V$13,Hypothèses!$W$13,IF(CS136&lt;=Hypothèses!$V$14,Hypothèses!$W$14,IF(CS136&lt;=Hypothèses!$V$15,Hypothèses!$W$15,IF(CS136&lt;=Hypothèses!$V$16,Hypothèses!$W$16,IF(CS136&lt;=Hypothèses!$V$17,Hypothèses!$W$17,IF(CS136&lt;=Hypothèses!$V$18,Hypothèses!$W$18,""))))))))))))</f>
        <v>#DIV/0!</v>
      </c>
      <c r="DN136" s="87" t="e">
        <f t="shared" ca="1" si="221"/>
        <v>#DIV/0!</v>
      </c>
      <c r="DO136" s="88" t="e">
        <f ca="1">IF(CS136&lt;=Hypothèses!$V$7,Hypothèses!$X$7,IF(CS136&lt;=Hypothèses!$V$8,Hypothèses!$X$8,IF(CS136&lt;=Hypothèses!$V$9,Hypothèses!$X$9,IF(CS136&lt;=Hypothèses!$V$10,Hypothèses!$X$10,IF(CS136&lt;=Hypothèses!$V$11,Hypothèses!$X$11,IF(CS136&lt;=Hypothèses!$V$12,Hypothèses!$X$12,IF(CS136&lt;=Hypothèses!$V$13,Hypothèses!$X$13,IF(CS136&lt;=Hypothèses!$V$14,Hypothèses!$X$14,IF(CS136&lt;=Hypothèses!$V$15,Hypothèses!$X$15,IF(CS136&lt;=Hypothèses!$V$16,Hypothèses!$X$16,IF(CS136&lt;=Hypothèses!$U$17,Hypothèses!$W$17,IF(CS136&lt;=Hypothèses!$U$18,Hypothèses!$W$18,""))))))))))))</f>
        <v>#DIV/0!</v>
      </c>
      <c r="DP136" s="95" t="e">
        <f t="shared" ca="1" si="189"/>
        <v>#DIV/0!</v>
      </c>
      <c r="DQ136" s="101">
        <f t="shared" si="228"/>
        <v>0</v>
      </c>
      <c r="DR136" s="91">
        <f t="shared" si="156"/>
        <v>0</v>
      </c>
      <c r="DS136" s="30" t="e">
        <f t="shared" si="210"/>
        <v>#N/A</v>
      </c>
      <c r="DT136" s="30" t="e">
        <f t="shared" si="211"/>
        <v>#N/A</v>
      </c>
      <c r="DU136" s="31" t="e">
        <f>IF(OR(Hypothèses!$B$4=17,Hypothèses!$B$4=18,Hypothèses!$B$4=19,Hypothèses!$B$4=20),
IF($D136="Pressio.",
IF(OR($E136=3,$E136=1,$E136=4),DT136,DS136),
IF($D136="Pénétro.",
IF(OR($E136=3,$E136=1,$E136=4),DT136,DS136))),IF($D136="Pressio.",
IF($E136=3,DT136,DS136),
IF($D136="Pénétro.",
IF($E136=4,DT136,DS136))))</f>
        <v>#N/A</v>
      </c>
      <c r="DV136" s="31">
        <v>0</v>
      </c>
      <c r="DW136" s="102" t="e">
        <f>IF(NDC!$H$10="Oui",(VLOOKUP($B$3,'Coeff EC7'!$T$39:$X$59,2,0)*DU136+VLOOKUP($B$3,'Coeff EC7'!$T$65:$X$85,2,0)*Model0.1T!DV136)/1.5,PI()*DS$12*$Q136*($B136-$B135)*0.15/10+DW135)</f>
        <v>#N/A</v>
      </c>
      <c r="DX136" s="102" t="e">
        <f>(VLOOKUP($B$3,'Coeff EC7'!$T$39:$X$59,3,0)*DU136+VLOOKUP($B$3,'Coeff EC7'!$T$65:$X$85,3,0)*Model0.1T!DV136)/1.1</f>
        <v>#N/A</v>
      </c>
      <c r="DY136" s="102" t="e">
        <f t="shared" si="190"/>
        <v>#N/A</v>
      </c>
      <c r="DZ136" s="102" t="e">
        <f t="shared" si="191"/>
        <v>#N/A</v>
      </c>
      <c r="EA136" s="414" t="e">
        <f>IF(AND(DW136&gt;NDC!$C$63,DX136&gt;NDC!$C$65,DY136&gt;NDC!$D$73,DZ136&gt;NDC!$D$74,$B136&gt;NDC!$H$22-0.1+MIN(3*EA$12,1.5)),0,1)</f>
        <v>#N/A</v>
      </c>
      <c r="EB136" s="86" t="b">
        <f t="shared" si="157"/>
        <v>0</v>
      </c>
      <c r="EC136" s="418">
        <f t="shared" si="158"/>
        <v>0.51</v>
      </c>
      <c r="ED136" s="86">
        <f t="shared" si="159"/>
        <v>0.51</v>
      </c>
      <c r="EE136" s="30" t="e">
        <f t="shared" ca="1" si="192"/>
        <v>#DIV/0!</v>
      </c>
      <c r="EF136" s="85" t="e">
        <f ca="1">IF(DL136&lt;=Hypothèses!$V$7,Hypothèses!$W$7,IF(DL136&lt;=Hypothèses!$V$8,Hypothèses!$W$8,IF(DL136&lt;=Hypothèses!$V$9,Hypothèses!$W$9,IF(DL136&lt;=Hypothèses!$V$10,Hypothèses!$W$10,IF(DL136&lt;=Hypothèses!$V$11,Hypothèses!$W$11,IF(DL136&lt;=Hypothèses!$V$12,Hypothèses!$W$12,IF(DL136&lt;=Hypothèses!$V$13,Hypothèses!$W$13,IF(DL136&lt;=Hypothèses!$V$14,Hypothèses!$W$14,IF(DL136&lt;=Hypothèses!$V$15,Hypothèses!$W$15,IF(DL136&lt;=Hypothèses!$V$16,Hypothèses!$W$16,IF(DL136&lt;=Hypothèses!$V$17,Hypothèses!$W$17,IF(DL136&lt;=Hypothèses!$V$18,Hypothèses!$W$18,""))))))))))))</f>
        <v>#DIV/0!</v>
      </c>
      <c r="EG136" s="87" t="e">
        <f t="shared" ca="1" si="222"/>
        <v>#DIV/0!</v>
      </c>
      <c r="EH136" s="88" t="e">
        <f ca="1">IF(DL136&lt;=Hypothèses!$V$7,Hypothèses!$X$7,IF(DL136&lt;=Hypothèses!$V$8,Hypothèses!$X$8,IF(DL136&lt;=Hypothèses!$V$9,Hypothèses!$X$9,IF(DL136&lt;=Hypothèses!$V$10,Hypothèses!$X$10,IF(DL136&lt;=Hypothèses!$V$11,Hypothèses!$X$11,IF(DL136&lt;=Hypothèses!$V$12,Hypothèses!$X$12,IF(DL136&lt;=Hypothèses!$V$13,Hypothèses!$X$13,IF(DL136&lt;=Hypothèses!$V$14,Hypothèses!$X$14,IF(DL136&lt;=Hypothèses!$V$15,Hypothèses!$X$15,IF(DL136&lt;=Hypothèses!$V$16,Hypothèses!$X$16,IF(DL136&lt;=Hypothèses!$U$17,Hypothèses!$W$17,IF(DL136&lt;=Hypothèses!$U$18,Hypothèses!$W$18,""))))))))))))</f>
        <v>#DIV/0!</v>
      </c>
      <c r="EI136" s="95" t="e">
        <f t="shared" ca="1" si="193"/>
        <v>#DIV/0!</v>
      </c>
      <c r="EJ136" s="101">
        <f t="shared" si="229"/>
        <v>0</v>
      </c>
      <c r="EK136" s="91">
        <f t="shared" si="160"/>
        <v>0</v>
      </c>
      <c r="EL136" s="30" t="e">
        <f t="shared" si="212"/>
        <v>#N/A</v>
      </c>
      <c r="EM136" s="30" t="e">
        <f t="shared" si="213"/>
        <v>#N/A</v>
      </c>
      <c r="EN136" s="31" t="e">
        <f>IF(OR(Hypothèses!$B$4=17,Hypothèses!$B$4=18,Hypothèses!$B$4=19,Hypothèses!$B$4=20),
IF($D136="Pressio.",
IF(OR($E136=3,$E136=1,$E136=4),EM136,EL136),
IF($D136="Pénétro.",
IF(OR($E136=3,$E136=1,$E136=4),EM136,EL136))),IF($D136="Pressio.",
IF($E136=3,EM136,EL136),
IF($D136="Pénétro.",
IF($E136=4,EM136,EL136))))</f>
        <v>#N/A</v>
      </c>
      <c r="EO136" s="31">
        <v>0</v>
      </c>
      <c r="EP136" s="102" t="e">
        <f>IF(NDC!$H$10="Oui",(VLOOKUP($B$3,'Coeff EC7'!$T$39:$X$59,2,0)*EN136+VLOOKUP($B$3,'Coeff EC7'!$T$65:$X$85,2,0)*Model0.1T!EO136)/1.5,PI()*EL$12*$Q136*($B136-$B135)*0.15/10+EP135)</f>
        <v>#N/A</v>
      </c>
      <c r="EQ136" s="102" t="e">
        <f>(VLOOKUP($B$3,'Coeff EC7'!$T$39:$X$59,3,0)*EN136+VLOOKUP($B$3,'Coeff EC7'!$T$65:$X$85,3,0)*Model0.1T!EO136)/1.1</f>
        <v>#N/A</v>
      </c>
      <c r="ER136" s="102" t="e">
        <f t="shared" si="194"/>
        <v>#N/A</v>
      </c>
      <c r="ES136" s="102" t="e">
        <f t="shared" si="195"/>
        <v>#N/A</v>
      </c>
      <c r="ET136" s="414" t="e">
        <f>IF(AND(EP136&gt;NDC!$C$63,EQ136&gt;NDC!$C$65,ER136&gt;NDC!$D$73,ES136&gt;NDC!$D$74,$B136&gt;NDC!$H$22-0.1+MIN(3*ET$12,1.5)),0,1)</f>
        <v>#N/A</v>
      </c>
      <c r="EU136" s="86" t="b">
        <f t="shared" si="161"/>
        <v>0</v>
      </c>
      <c r="EV136" s="86">
        <f t="shared" si="162"/>
        <v>0.61</v>
      </c>
      <c r="EW136" s="86">
        <f t="shared" si="163"/>
        <v>0.61</v>
      </c>
      <c r="EX136" s="30" t="e">
        <f t="shared" ca="1" si="196"/>
        <v>#DIV/0!</v>
      </c>
      <c r="EY136" s="85" t="e">
        <f ca="1">IF(EE136&lt;=Hypothèses!$V$7,Hypothèses!$W$7,IF(EE136&lt;=Hypothèses!$V$8,Hypothèses!$W$8,IF(EE136&lt;=Hypothèses!$V$9,Hypothèses!$W$9,IF(EE136&lt;=Hypothèses!$V$10,Hypothèses!$W$10,IF(EE136&lt;=Hypothèses!$V$11,Hypothèses!$W$11,IF(EE136&lt;=Hypothèses!$V$12,Hypothèses!$W$12,IF(EE136&lt;=Hypothèses!$V$13,Hypothèses!$W$13,IF(EE136&lt;=Hypothèses!$V$14,Hypothèses!$W$14,IF(EE136&lt;=Hypothèses!$V$15,Hypothèses!$W$15,IF(EE136&lt;=Hypothèses!$V$16,Hypothèses!$W$16,IF(EE136&lt;=Hypothèses!$V$17,Hypothèses!$W$17,IF(EE136&lt;=Hypothèses!$V$18,Hypothèses!$W$18,""))))))))))))</f>
        <v>#DIV/0!</v>
      </c>
      <c r="EZ136" s="87" t="e">
        <f t="shared" ca="1" si="223"/>
        <v>#DIV/0!</v>
      </c>
      <c r="FA136" s="88" t="e">
        <f ca="1">IF(EE136&lt;=Hypothèses!$V$7,Hypothèses!$X$7,IF(EE136&lt;=Hypothèses!$V$8,Hypothèses!$X$8,IF(EE136&lt;=Hypothèses!$V$9,Hypothèses!$X$9,IF(EE136&lt;=Hypothèses!$V$10,Hypothèses!$X$10,IF(EE136&lt;=Hypothèses!$V$11,Hypothèses!$X$11,IF(EE136&lt;=Hypothèses!$V$12,Hypothèses!$X$12,IF(EE136&lt;=Hypothèses!$V$13,Hypothèses!$X$13,IF(EE136&lt;=Hypothèses!$V$14,Hypothèses!$X$14,IF(EE136&lt;=Hypothèses!$V$15,Hypothèses!$X$15,IF(EE136&lt;=Hypothèses!$V$16,Hypothèses!$X$16,IF(EE136&lt;=Hypothèses!$U$17,Hypothèses!$W$17,IF(EE136&lt;=Hypothèses!$U$18,Hypothèses!$W$18,""))))))))))))</f>
        <v>#DIV/0!</v>
      </c>
      <c r="FB136" s="95" t="e">
        <f t="shared" ca="1" si="197"/>
        <v>#DIV/0!</v>
      </c>
      <c r="FC136" s="101">
        <f t="shared" si="230"/>
        <v>0</v>
      </c>
      <c r="FD136" s="91">
        <f t="shared" si="164"/>
        <v>0</v>
      </c>
      <c r="FE136" s="30" t="e">
        <f t="shared" si="214"/>
        <v>#N/A</v>
      </c>
      <c r="FF136" s="30" t="e">
        <f t="shared" si="215"/>
        <v>#N/A</v>
      </c>
      <c r="FG136" s="31" t="e">
        <f>IF(OR(Hypothèses!$B$4=17,Hypothèses!$B$4=18,Hypothèses!$B$4=19,Hypothèses!$B$4=20),
IF($D136="Pressio.",
IF(OR($E136=3,$E136=1,$E136=4),FF136,FE136),
IF($D136="Pénétro.",
IF(OR($E136=3,$E136=1,$E136=4),FF136,FE136))),IF($D136="Pressio.",
IF($E136=3,FF136,FE136),
IF($D136="Pénétro.",
IF($E136=4,FF136,FE136))))</f>
        <v>#N/A</v>
      </c>
      <c r="FH136" s="31">
        <v>0</v>
      </c>
      <c r="FI136" s="102" t="e">
        <f>IF(NDC!$H$10="Oui",(VLOOKUP($B$3,'Coeff EC7'!$T$39:$X$59,2,0)*FG136+VLOOKUP($B$3,'Coeff EC7'!$T$65:$X$85,2,0)*Model0.1T!FH136)/1.5,PI()*FE$12*$Q136*($B136-$B135)*0.15/10+FI135)</f>
        <v>#N/A</v>
      </c>
      <c r="FJ136" s="102" t="e">
        <f>(VLOOKUP($B$3,'Coeff EC7'!$T$39:$X$59,3,0)*FG136+VLOOKUP($B$3,'Coeff EC7'!$T$65:$X$85,3,0)*Model0.1T!FH136)/1.1</f>
        <v>#N/A</v>
      </c>
      <c r="FK136" s="102" t="e">
        <f t="shared" si="198"/>
        <v>#N/A</v>
      </c>
      <c r="FL136" s="102" t="e">
        <f t="shared" si="199"/>
        <v>#N/A</v>
      </c>
      <c r="FM136" s="414" t="e">
        <f>IF(AND(FI136&gt;NDC!$C$63,FJ136&gt;NDC!$C$65,FK136&gt;NDC!$D$73,FL136&gt;NDC!$D$74,$B136&gt;NDC!$H$22-0.1+MIN(3*FM$12,1.5)),0,1)</f>
        <v>#N/A</v>
      </c>
    </row>
    <row r="137" spans="1:169">
      <c r="A137" s="96">
        <f t="shared" si="165"/>
        <v>87.600000000000705</v>
      </c>
      <c r="B137" s="97">
        <v>12.4</v>
      </c>
      <c r="C137" s="81">
        <f>IF(B137&lt;=Hypothèses!$C$7,Hypothèses!$A$7,IF(B137&lt;=Hypothèses!$C$8,Hypothèses!$A$8,IF(B137&lt;=Hypothèses!$C$9,Hypothèses!$A$9,IF(B137&lt;=Hypothèses!$C$10,Hypothèses!$A$10,IF(B137&lt;=Hypothèses!$C$11,Hypothèses!$A$11,IF(B137&lt;=Hypothèses!$C$12,Hypothèses!$A$12,IF(B137&lt;=Hypothèses!$C$13,Hypothèses!$A$13,IF(B137&lt;=Hypothèses!$C$14,Hypothèses!$A$14,IF(B137&lt;=Hypothèses!$C$15,Hypothèses!$A$15,IF(B137&lt;=Hypothèses!$C$16,Hypothèses!$A$16,IF(B137&lt;=Hypothèses!$C$17,Hypothèses!$A$17,IF(B137&lt;=Hypothèses!$C$18,Hypothèses!$A$18,C136))))))))))))</f>
        <v>11</v>
      </c>
      <c r="D137" s="82" t="str">
        <f>IF(B137&lt;=Hypothèses!$C$7,Hypothèses!$R$7,IF(B137&lt;=Hypothèses!$C$8,Hypothèses!$R$8,IF(B137&lt;=Hypothèses!$C$9,Hypothèses!$R$9,IF(B137&lt;=Hypothèses!$C$10,Hypothèses!$R$10,IF(B137&lt;=Hypothèses!$C$11,Hypothèses!$R$11,IF(B137&lt;=Hypothèses!$C$12,Hypothèses!$R$12,IF(B137&lt;=Hypothèses!$C$13,Hypothèses!$R$13,IF(B137&lt;=Hypothèses!$C$14,Hypothèses!$R$14,IF(B137&lt;=Hypothèses!$C$15,Hypothèses!$R$15,IF(B137&lt;=Hypothèses!$C$16,Hypothèses!$R$16,IF(B137&lt;=Hypothèses!$C$17,Hypothèses!$R$17,IF(B137&lt;=Hypothèses!$C$18,Hypothèses!$R$18,D136))))))))))))</f>
        <v>Pressio.</v>
      </c>
      <c r="E137" s="82" t="e">
        <f>IF(B137&lt;=Hypothèses!$C$7,Hypothèses!$G$7,IF(B137&lt;=Hypothèses!$C$8,Hypothèses!$G$8,IF(B137&lt;=Hypothèses!$C$9,Hypothèses!$G$9,IF(B137&lt;=Hypothèses!$C$10,Hypothèses!$G$10,IF(B137&lt;=Hypothèses!$C$11,Hypothèses!$G$11,IF(B137&lt;=Hypothèses!$C$12,Hypothèses!$G$12,IF(B137&lt;=Hypothèses!$C$13,Hypothèses!$G$13,IF(B137&lt;=Hypothèses!$C$14,Hypothèses!$G$14,IF(B137&lt;=Hypothèses!$C$15,Hypothèses!$G$15,IF(B137&lt;=Hypothèses!$C$16,Hypothèses!$G$16,IF(B137&lt;=Hypothèses!$C$17,Hypothèses!$G$17,IF(B137&lt;=Hypothèses!$C$18,Hypothèses!$G$18,E136))))))))))))</f>
        <v>#N/A</v>
      </c>
      <c r="F137" s="82" t="str">
        <f>IF(B137&lt;=Hypothèses!$C$7,Hypothèses!$F$7,IF(B137&lt;=Hypothèses!$C$8,Hypothèses!$F$8,IF(B137&lt;=Hypothèses!$C$9,Hypothèses!$F$9,IF(B137&lt;=Hypothèses!$C$10,Hypothèses!$F$10,IF(B137&lt;=Hypothèses!$C$11,Hypothèses!$F$11,IF(B137&lt;=Hypothèses!$C$12,Hypothèses!$F$12,IF(B137&lt;=Hypothèses!$C$13,Hypothèses!$F$13,IF(B137&lt;=Hypothèses!$C$14,Hypothèses!$F$14,IF(B137&lt;=Hypothèses!$C$15,Hypothèses!$F$15,IF(B137&lt;=Hypothèses!$C$16,Hypothèses!$F$16,IF(B137&lt;=Hypothèses!$C$17,Hypothèses!$F$17,IF(B137&lt;=Hypothèses!$C$18,Hypothèses!$F$18,F136))))))))))))</f>
        <v/>
      </c>
      <c r="G137" s="91">
        <f t="array" ref="G137">INDEX('Coeff EC7'!$U$7:$X$27,
MATCH(Model0.1T!$B$3,'Coeff EC7'!$T$7:$T$27,0),
MATCH(Model0.1T!$D137&amp;Model0.1T!$B$4,
'Coeff EC7'!$U$6:$X$6&amp;
'Coeff EC7'!$U$5:$X$5,0))</f>
        <v>1.4</v>
      </c>
      <c r="H137" s="91">
        <f t="array" ref="H137">INDEX('Coeff EC7'!$Y$7:$AB$27,
MATCH(Model0.1T!$B$3,'Coeff EC7'!$T$7:$T$27,0),
MATCH(Model0.1T!$D137&amp;Model0.1T!$B$4,
'Coeff EC7'!$Y$6:$AB$6&amp;
'Coeff EC7'!$Y$5:$AB$5,0))</f>
        <v>1.7</v>
      </c>
      <c r="I137" s="83">
        <v>0</v>
      </c>
      <c r="J137" s="91" t="e">
        <f t="array" ref="J137">INDEX('Coeff EC7'!$D$33:$Q$33,1,MATCH(D137&amp;E137,'Coeff EC7'!$D$31:$Q$31&amp;'Coeff EC7'!$D$32:$Q$32,0))</f>
        <v>#N/A</v>
      </c>
      <c r="K137" s="91" t="e">
        <f t="array" ref="K137">INDEX('Coeff EC7'!$D$34:$Q$34,1,MATCH(D137&amp;E137,'Coeff EC7'!$D$31:$Q$31&amp;'Coeff EC7'!$D$32:$Q$32,0))</f>
        <v>#N/A</v>
      </c>
      <c r="L137" s="91" t="e">
        <f t="array" ref="L137">INDEX('Coeff EC7'!$D$35:$Q$35,1,MATCH(D137&amp;E137,'Coeff EC7'!$D$31:$Q$31&amp;'Coeff EC7'!$D$32:$Q$32,0))</f>
        <v>#N/A</v>
      </c>
      <c r="M137" s="98" t="e">
        <f t="shared" si="131"/>
        <v>#N/A</v>
      </c>
      <c r="N137" s="99" t="e">
        <f t="array" ref="N137">INDEX('Coeff EC7'!$D$7:$Q$27,MATCH($B$3,'Coeff EC7'!$C$7:$C$27,0),MATCH(D137&amp;E137,'Coeff EC7'!$D$5:$Q$5&amp;'Coeff EC7'!$D$6:$Q$6,0))</f>
        <v>#N/A</v>
      </c>
      <c r="O137" s="99" t="e">
        <f t="array" ref="O137">INDEX('Coeff EC7'!$D$41:$Q$61,MATCH($B$3,'Coeff EC7'!$C$41:$C$61,0),MATCH(D137&amp;E137,'Coeff EC7'!$D$39:$Q$39&amp;'Coeff EC7'!$D$40:$Q$40,0))</f>
        <v>#N/A</v>
      </c>
      <c r="P137" s="30" t="e">
        <f t="shared" si="166"/>
        <v>#N/A</v>
      </c>
      <c r="Q137" s="100" t="e">
        <f t="shared" si="133"/>
        <v>#N/A</v>
      </c>
      <c r="R137" s="86" t="b">
        <f t="shared" si="134"/>
        <v>0</v>
      </c>
      <c r="S137" s="86">
        <f t="shared" si="132"/>
        <v>0.5</v>
      </c>
      <c r="T137" s="86">
        <f t="shared" si="135"/>
        <v>0.5</v>
      </c>
      <c r="U137" s="30" t="e">
        <f t="shared" ca="1" si="167"/>
        <v>#DIV/0!</v>
      </c>
      <c r="V137" s="85" t="str">
        <f>IF(B137&lt;=Hypothèses!$V$7,Hypothèses!$W$7,IF(B137&lt;=Hypothèses!$V$8,Hypothèses!$W$8,IF(B137&lt;=Hypothèses!$V$9,Hypothèses!$W$9,IF(B137&lt;=Hypothèses!$V$10,Hypothèses!$W$10,IF(B137&lt;=Hypothèses!$V$11,Hypothèses!$W$11,IF(B137&lt;=Hypothèses!$V$12,Hypothèses!$W$12,IF(B137&lt;=Hypothèses!$V$13,Hypothèses!$W$13,IF(B137&lt;=Hypothèses!$V$14,Hypothèses!$W$14,IF(B137&lt;=Hypothèses!$V$15,Hypothèses!$W$15,IF(B137&lt;=Hypothèses!$V$16,Hypothèses!$W$16,IF(B137&lt;=Hypothèses!$V$17,Hypothèses!$W$17,IF(B137&lt;=Hypothèses!$V$18,Hypothèses!$W$18,""))))))))))))</f>
        <v/>
      </c>
      <c r="W137" s="87" t="e">
        <f t="shared" ca="1" si="216"/>
        <v>#DIV/0!</v>
      </c>
      <c r="X137" s="88" t="str">
        <f>IF(B137&lt;=Hypothèses!$V$7,Hypothèses!$X$7,IF(B137&lt;=Hypothèses!$V$8,Hypothèses!$X$8,IF(B137&lt;=Hypothèses!$V$9,Hypothèses!$X$9,IF(B137&lt;=Hypothèses!$V$10,Hypothèses!$X$10,IF(B137&lt;=Hypothèses!$V$11,Hypothèses!$X$11,IF(B137&lt;=Hypothèses!$V$12,Hypothèses!$X$12,IF(B137&lt;=Hypothèses!$V$13,Hypothèses!$X$13,IF(B137&lt;=Hypothèses!$V$14,Hypothèses!$X$14,IF(B137&lt;=Hypothèses!$V$15,Hypothèses!$X$15,IF(B137&lt;=Hypothèses!$V$16,Hypothèses!$X$16,IF(B137&lt;=Hypothèses!$U$17,Hypothèses!$W$17,IF(B137&lt;=Hypothèses!$U$18,Hypothèses!$W$18,""))))))))))))</f>
        <v/>
      </c>
      <c r="Y137" s="95" t="e">
        <f t="shared" ca="1" si="136"/>
        <v>#DIV/0!</v>
      </c>
      <c r="Z137" s="101">
        <f t="shared" si="137"/>
        <v>0</v>
      </c>
      <c r="AA137" s="91">
        <f t="shared" si="138"/>
        <v>0</v>
      </c>
      <c r="AB137" s="30" t="e">
        <f t="shared" si="200"/>
        <v>#N/A</v>
      </c>
      <c r="AC137" s="30" t="e">
        <f t="shared" si="201"/>
        <v>#N/A</v>
      </c>
      <c r="AD137" s="31" t="e">
        <f>IF(OR(Hypothèses!$B$4=17,Hypothèses!$B$4=18,Hypothèses!$B$4=19,Hypothèses!$B$4=20),
IF($D137="Pressio.",
IF(OR($E137=3,$E137=1,$E137=4),AC137,AB137),
IF($D137="Pénétro.",
IF(OR($E137=3,$E137=1,$E137=4),AC137,AB137))),IF($D137="Pressio.",
IF($E137=3,AC137,AB137),
IF($D137="Pénétro.",
IF($E137=4,AC137,AB137))))</f>
        <v>#N/A</v>
      </c>
      <c r="AE137" s="31">
        <v>0</v>
      </c>
      <c r="AF137" s="102" t="e">
        <f>IF(NDC!$H$10="Oui",(VLOOKUP($B$3,'Coeff EC7'!$T$39:$X$59,2,0)*AD137+VLOOKUP($B$3,'Coeff EC7'!$T$65:$X$85,2,0)*Model0.1T!AE137)/1.5,PI()*AB$12*$Q137*($B137-$B136)*0.15/10+AF136)</f>
        <v>#N/A</v>
      </c>
      <c r="AG137" s="102" t="e">
        <f>(VLOOKUP($B$3,'Coeff EC7'!$T$39:$X$59,3,0)*AD137+VLOOKUP($B$3,'Coeff EC7'!$T$65:$X$85,3,0)*Model0.1T!AE137)/1.1</f>
        <v>#N/A</v>
      </c>
      <c r="AH137" s="102" t="e">
        <f t="shared" si="168"/>
        <v>#N/A</v>
      </c>
      <c r="AI137" s="102" t="e">
        <f t="shared" si="169"/>
        <v>#N/A</v>
      </c>
      <c r="AJ137" s="414" t="e">
        <f>IF(AND(AF137&gt;NDC!$C$63,AG137&gt;NDC!$C$65,AH137&gt;NDC!$D$73,AI137&gt;NDC!$D$74,$B137&gt;NDC!$H$22-0.1+MIN(3*$AJ$12,1.5)),0,1)</f>
        <v>#N/A</v>
      </c>
      <c r="AK137" s="86" t="b">
        <f t="shared" si="139"/>
        <v>0</v>
      </c>
      <c r="AL137" s="86">
        <f t="shared" si="170"/>
        <v>0.5</v>
      </c>
      <c r="AM137" s="86">
        <f t="shared" si="140"/>
        <v>0.5</v>
      </c>
      <c r="AN137" s="30" t="e">
        <f t="shared" ca="1" si="171"/>
        <v>#DIV/0!</v>
      </c>
      <c r="AO137" s="85" t="e">
        <f ca="1">IF(U137&lt;=Hypothèses!$V$7,Hypothèses!$W$7,IF(U137&lt;=Hypothèses!$V$8,Hypothèses!$W$8,IF(U137&lt;=Hypothèses!$V$9,Hypothèses!$W$9,IF(U137&lt;=Hypothèses!$V$10,Hypothèses!$W$10,IF(U137&lt;=Hypothèses!$V$11,Hypothèses!$W$11,IF(U137&lt;=Hypothèses!$V$12,Hypothèses!$W$12,IF(U137&lt;=Hypothèses!$V$13,Hypothèses!$W$13,IF(U137&lt;=Hypothèses!$V$14,Hypothèses!$W$14,IF(U137&lt;=Hypothèses!$V$15,Hypothèses!$W$15,IF(U137&lt;=Hypothèses!$V$16,Hypothèses!$W$16,IF(U137&lt;=Hypothèses!$V$17,Hypothèses!$W$17,IF(U137&lt;=Hypothèses!$V$18,Hypothèses!$W$18,""))))))))))))</f>
        <v>#DIV/0!</v>
      </c>
      <c r="AP137" s="87" t="e">
        <f t="shared" ca="1" si="217"/>
        <v>#DIV/0!</v>
      </c>
      <c r="AQ137" s="88" t="e">
        <f ca="1">IF(U137&lt;=Hypothèses!$V$7,Hypothèses!$X$7,IF(U137&lt;=Hypothèses!$V$8,Hypothèses!$X$8,IF(U137&lt;=Hypothèses!$V$9,Hypothèses!$X$9,IF(U137&lt;=Hypothèses!$V$10,Hypothèses!$X$10,IF(U137&lt;=Hypothèses!$V$11,Hypothèses!$X$11,IF(U137&lt;=Hypothèses!$V$12,Hypothèses!$X$12,IF(U137&lt;=Hypothèses!$V$13,Hypothèses!$X$13,IF(U137&lt;=Hypothèses!$V$14,Hypothèses!$X$14,IF(U137&lt;=Hypothèses!$V$15,Hypothèses!$X$15,IF(U137&lt;=Hypothèses!$V$16,Hypothèses!$X$16,IF(U137&lt;=Hypothèses!$U$17,Hypothèses!$W$17,IF(U137&lt;=Hypothèses!$U$18,Hypothèses!$W$18,""))))))))))))</f>
        <v>#DIV/0!</v>
      </c>
      <c r="AR137" s="95" t="e">
        <f t="shared" ca="1" si="172"/>
        <v>#DIV/0!</v>
      </c>
      <c r="AS137" s="101">
        <f t="shared" si="224"/>
        <v>0</v>
      </c>
      <c r="AT137" s="91">
        <f t="shared" si="141"/>
        <v>0</v>
      </c>
      <c r="AU137" s="30" t="e">
        <f t="shared" si="202"/>
        <v>#N/A</v>
      </c>
      <c r="AV137" s="30" t="e">
        <f t="shared" si="203"/>
        <v>#N/A</v>
      </c>
      <c r="AW137" s="31" t="e">
        <f>IF(OR(Hypothèses!$B$4=17,Hypothèses!$B$4=18,Hypothèses!$B$4=19,Hypothèses!$B$4=20),
IF($D137="Pressio.",
IF(OR($E137=3,$E137=1,$E137=4),AV137,AU137),
IF($D137="Pénétro.",
IF(OR($E137=3,$E137=1,$E137=4),AV137,AU137))),IF($D137="Pressio.",
IF($E137=3,AV137,AU137),
IF($D137="Pénétro.",
IF($E137=4,AV137,AU137))))</f>
        <v>#N/A</v>
      </c>
      <c r="AX137" s="31">
        <v>0</v>
      </c>
      <c r="AY137" s="102" t="e">
        <f>IF(NDC!$H$10="Oui",(VLOOKUP($B$3,'Coeff EC7'!$T$39:$X$59,2,0)*AW137+VLOOKUP($B$3,'Coeff EC7'!$T$65:$X$85,2,0)*Model0.1T!AX137)/1.5,PI()*AU$12*$Q137*($B137-$B136)*0.15/10+AY136)</f>
        <v>#N/A</v>
      </c>
      <c r="AZ137" s="102" t="e">
        <f>(VLOOKUP($B$3,'Coeff EC7'!$T$39:$X$59,3,0)*AW137+VLOOKUP($B$3,'Coeff EC7'!$T$65:$X$85,3,0)*Model0.1T!AX137)/1.1</f>
        <v>#N/A</v>
      </c>
      <c r="BA137" s="102" t="e">
        <f t="shared" si="173"/>
        <v>#N/A</v>
      </c>
      <c r="BB137" s="102" t="e">
        <f t="shared" si="174"/>
        <v>#N/A</v>
      </c>
      <c r="BC137" s="414" t="e">
        <f>IF(AND(AY137&gt;NDC!$C$63,AZ137&gt;NDC!$C$65,BA137&gt;NDC!$D$73,BB137&gt;NDC!$D$74,$B137&gt;NDC!$H$22-0.1+MIN(3*BC$12,1.5)),0,1)</f>
        <v>#N/A</v>
      </c>
      <c r="BD137" s="86" t="b">
        <f t="shared" si="142"/>
        <v>0</v>
      </c>
      <c r="BE137" s="86">
        <f t="shared" si="175"/>
        <v>0.5</v>
      </c>
      <c r="BF137" s="86">
        <f t="shared" si="143"/>
        <v>0.5</v>
      </c>
      <c r="BG137" s="30" t="e">
        <f t="shared" ca="1" si="176"/>
        <v>#DIV/0!</v>
      </c>
      <c r="BH137" s="85" t="e">
        <f ca="1">IF(AN137&lt;=Hypothèses!$V$7,Hypothèses!$W$7,IF(AN137&lt;=Hypothèses!$V$8,Hypothèses!$W$8,IF(AN137&lt;=Hypothèses!$V$9,Hypothèses!$W$9,IF(AN137&lt;=Hypothèses!$V$10,Hypothèses!$W$10,IF(AN137&lt;=Hypothèses!$V$11,Hypothèses!$W$11,IF(AN137&lt;=Hypothèses!$V$12,Hypothèses!$W$12,IF(AN137&lt;=Hypothèses!$V$13,Hypothèses!$W$13,IF(AN137&lt;=Hypothèses!$V$14,Hypothèses!$W$14,IF(AN137&lt;=Hypothèses!$V$15,Hypothèses!$W$15,IF(AN137&lt;=Hypothèses!$V$16,Hypothèses!$W$16,IF(AN137&lt;=Hypothèses!$V$17,Hypothèses!$W$17,IF(AN137&lt;=Hypothèses!$V$18,Hypothèses!$W$18,""))))))))))))</f>
        <v>#DIV/0!</v>
      </c>
      <c r="BI137" s="87" t="e">
        <f t="shared" ca="1" si="218"/>
        <v>#DIV/0!</v>
      </c>
      <c r="BJ137" s="88" t="e">
        <f ca="1">IF(AN137&lt;=Hypothèses!$V$7,Hypothèses!$X$7,IF(AN137&lt;=Hypothèses!$V$8,Hypothèses!$X$8,IF(AN137&lt;=Hypothèses!$V$9,Hypothèses!$X$9,IF(AN137&lt;=Hypothèses!$V$10,Hypothèses!$X$10,IF(AN137&lt;=Hypothèses!$V$11,Hypothèses!$X$11,IF(AN137&lt;=Hypothèses!$V$12,Hypothèses!$X$12,IF(AN137&lt;=Hypothèses!$V$13,Hypothèses!$X$13,IF(AN137&lt;=Hypothèses!$V$14,Hypothèses!$X$14,IF(AN137&lt;=Hypothèses!$V$15,Hypothèses!$X$15,IF(AN137&lt;=Hypothèses!$V$16,Hypothèses!$X$16,IF(AN137&lt;=Hypothèses!$U$17,Hypothèses!$W$17,IF(AN137&lt;=Hypothèses!$U$18,Hypothèses!$W$18,""))))))))))))</f>
        <v>#DIV/0!</v>
      </c>
      <c r="BK137" s="95" t="e">
        <f t="shared" ca="1" si="177"/>
        <v>#DIV/0!</v>
      </c>
      <c r="BL137" s="101">
        <f t="shared" si="225"/>
        <v>0</v>
      </c>
      <c r="BM137" s="91">
        <f t="shared" si="144"/>
        <v>0</v>
      </c>
      <c r="BN137" s="30" t="e">
        <f t="shared" si="204"/>
        <v>#N/A</v>
      </c>
      <c r="BO137" s="30" t="e">
        <f t="shared" si="205"/>
        <v>#N/A</v>
      </c>
      <c r="BP137" s="31" t="e">
        <f>IF(OR(Hypothèses!$B$4=17,Hypothèses!$B$4=18,Hypothèses!$B$4=19,Hypothèses!$B$4=20),
IF($D137="Pressio.",
IF(OR($E137=3,$E137=1,$E137=4),BO137,BN137),
IF($D137="Pénétro.",
IF(OR($E137=3,$E137=1,$E137=4),BO137,BN137))),IF($D137="Pressio.",
IF($E137=3,BO137,BN137),
IF($D137="Pénétro.",
IF($E137=4,BO137,BN137))))</f>
        <v>#N/A</v>
      </c>
      <c r="BQ137" s="31">
        <v>0</v>
      </c>
      <c r="BR137" s="102" t="e">
        <f>IF(NDC!$H$10="Oui",(VLOOKUP($B$3,'Coeff EC7'!$T$39:$X$59,2,0)*BP137+VLOOKUP($B$3,'Coeff EC7'!$T$65:$X$85,2,0)*Model0.1T!BQ137)/1.5,PI()*BN$12*$Q137*($B137-$B136)*0.15/10+BR136)</f>
        <v>#N/A</v>
      </c>
      <c r="BS137" s="102" t="e">
        <f>(VLOOKUP($B$3,'Coeff EC7'!$T$39:$X$59,3,0)*BP137+VLOOKUP($B$3,'Coeff EC7'!$T$65:$X$85,3,0)*Model0.1T!BQ137)/1.1</f>
        <v>#N/A</v>
      </c>
      <c r="BT137" s="102" t="e">
        <f t="shared" si="178"/>
        <v>#N/A</v>
      </c>
      <c r="BU137" s="102" t="e">
        <f t="shared" si="179"/>
        <v>#N/A</v>
      </c>
      <c r="BV137" s="414" t="e">
        <f>IF(AND(BR137&gt;NDC!$C$63,BS137&gt;NDC!$C$65,BT137&gt;NDC!$D$73,BU137&gt;NDC!$D$74,$B137&gt;NDC!$H$22-0.1+MIN(3*BV$12,1.5)),0,1)</f>
        <v>#N/A</v>
      </c>
      <c r="BW137" s="86" t="b">
        <f t="shared" si="145"/>
        <v>0</v>
      </c>
      <c r="BX137" s="86">
        <f t="shared" si="146"/>
        <v>0.5</v>
      </c>
      <c r="BY137" s="86">
        <f t="shared" si="147"/>
        <v>0.5</v>
      </c>
      <c r="BZ137" s="30" t="e">
        <f t="shared" ca="1" si="180"/>
        <v>#DIV/0!</v>
      </c>
      <c r="CA137" s="85" t="e">
        <f ca="1">IF(BG137&lt;=Hypothèses!$V$7,Hypothèses!$W$7,IF(BG137&lt;=Hypothèses!$V$8,Hypothèses!$W$8,IF(BG137&lt;=Hypothèses!$V$9,Hypothèses!$W$9,IF(BG137&lt;=Hypothèses!$V$10,Hypothèses!$W$10,IF(BG137&lt;=Hypothèses!$V$11,Hypothèses!$W$11,IF(BG137&lt;=Hypothèses!$V$12,Hypothèses!$W$12,IF(BG137&lt;=Hypothèses!$V$13,Hypothèses!$W$13,IF(BG137&lt;=Hypothèses!$V$14,Hypothèses!$W$14,IF(BG137&lt;=Hypothèses!$V$15,Hypothèses!$W$15,IF(BG137&lt;=Hypothèses!$V$16,Hypothèses!$W$16,IF(BG137&lt;=Hypothèses!$V$17,Hypothèses!$W$17,IF(BG137&lt;=Hypothèses!$V$18,Hypothèses!$W$18,""))))))))))))</f>
        <v>#DIV/0!</v>
      </c>
      <c r="CB137" s="87" t="e">
        <f t="shared" ca="1" si="219"/>
        <v>#DIV/0!</v>
      </c>
      <c r="CC137" s="88" t="e">
        <f ca="1">IF(BG137&lt;=Hypothèses!$V$7,Hypothèses!$X$7,IF(BG137&lt;=Hypothèses!$V$8,Hypothèses!$X$8,IF(BG137&lt;=Hypothèses!$V$9,Hypothèses!$X$9,IF(BG137&lt;=Hypothèses!$V$10,Hypothèses!$X$10,IF(BG137&lt;=Hypothèses!$V$11,Hypothèses!$X$11,IF(BG137&lt;=Hypothèses!$V$12,Hypothèses!$X$12,IF(BG137&lt;=Hypothèses!$V$13,Hypothèses!$X$13,IF(BG137&lt;=Hypothèses!$V$14,Hypothèses!$X$14,IF(BG137&lt;=Hypothèses!$V$15,Hypothèses!$X$15,IF(BG137&lt;=Hypothèses!$V$16,Hypothèses!$X$16,IF(BG137&lt;=Hypothèses!$U$17,Hypothèses!$W$17,IF(BG137&lt;=Hypothèses!$U$18,Hypothèses!$W$18,""))))))))))))</f>
        <v>#DIV/0!</v>
      </c>
      <c r="CD137" s="95" t="e">
        <f t="shared" ca="1" si="181"/>
        <v>#DIV/0!</v>
      </c>
      <c r="CE137" s="101">
        <f t="shared" si="226"/>
        <v>0</v>
      </c>
      <c r="CF137" s="91">
        <f t="shared" si="148"/>
        <v>0</v>
      </c>
      <c r="CG137" s="30" t="e">
        <f t="shared" si="206"/>
        <v>#N/A</v>
      </c>
      <c r="CH137" s="30" t="e">
        <f t="shared" si="207"/>
        <v>#N/A</v>
      </c>
      <c r="CI137" s="31" t="e">
        <f>IF(OR(Hypothèses!$B$4=17,Hypothèses!$B$4=18,Hypothèses!$B$4=19,Hypothèses!$B$4=20),
IF($D137="Pressio.",
IF(OR($E137=3,$E137=1,$E137=4),CH137,CG137),
IF($D137="Pénétro.",
IF(OR($E137=3,$E137=1,$E137=4),CH137,CG137))),IF($D137="Pressio.",
IF($E137=3,CH137,CG137),
IF($D137="Pénétro.",
IF($E137=4,CH137,CG137))))</f>
        <v>#N/A</v>
      </c>
      <c r="CJ137" s="31">
        <v>0</v>
      </c>
      <c r="CK137" s="102" t="e">
        <f>IF(NDC!$H$10="Oui",(VLOOKUP($B$3,'Coeff EC7'!$T$39:$X$59,2,0)*CI137+VLOOKUP($B$3,'Coeff EC7'!$T$65:$X$85,2,0)*Model0.1T!CJ137)/1.5,PI()*CG$12*$Q137*($B137-$B136)*0.15/10+CK136)</f>
        <v>#N/A</v>
      </c>
      <c r="CL137" s="102" t="e">
        <f>(VLOOKUP($B$3,'Coeff EC7'!$T$39:$X$59,3,0)*CI137+VLOOKUP($B$3,'Coeff EC7'!$T$65:$X$85,3,0)*Model0.1T!CJ137)/1.1</f>
        <v>#N/A</v>
      </c>
      <c r="CM137" s="102" t="e">
        <f t="shared" si="182"/>
        <v>#N/A</v>
      </c>
      <c r="CN137" s="102" t="e">
        <f t="shared" si="183"/>
        <v>#N/A</v>
      </c>
      <c r="CO137" s="414" t="e">
        <f>IF(AND(CK137&gt;NDC!$C$63,CL137&gt;NDC!$C$65,CM137&gt;NDC!$D$73,CN137&gt;NDC!$D$74,$B137&gt;NDC!$H$22-0.1+MIN(3*CO$12,1.5)),0,1)</f>
        <v>#N/A</v>
      </c>
      <c r="CP137" s="86" t="b">
        <f t="shared" si="149"/>
        <v>0</v>
      </c>
      <c r="CQ137" s="86">
        <f t="shared" si="150"/>
        <v>0.5</v>
      </c>
      <c r="CR137" s="86">
        <f t="shared" si="151"/>
        <v>0.5</v>
      </c>
      <c r="CS137" s="30" t="e">
        <f t="shared" ca="1" si="184"/>
        <v>#DIV/0!</v>
      </c>
      <c r="CT137" s="85" t="e">
        <f ca="1">IF(BZ137&lt;=Hypothèses!$V$7,Hypothèses!$W$7,IF(BZ137&lt;=Hypothèses!$V$8,Hypothèses!$W$8,IF(BZ137&lt;=Hypothèses!$V$9,Hypothèses!$W$9,IF(BZ137&lt;=Hypothèses!$V$10,Hypothèses!$W$10,IF(BZ137&lt;=Hypothèses!$V$11,Hypothèses!$W$11,IF(BZ137&lt;=Hypothèses!$V$12,Hypothèses!$W$12,IF(BZ137&lt;=Hypothèses!$V$13,Hypothèses!$W$13,IF(BZ137&lt;=Hypothèses!$V$14,Hypothèses!$W$14,IF(BZ137&lt;=Hypothèses!$V$15,Hypothèses!$W$15,IF(BZ137&lt;=Hypothèses!$V$16,Hypothèses!$W$16,IF(BZ137&lt;=Hypothèses!$V$17,Hypothèses!$W$17,IF(BZ137&lt;=Hypothèses!$V$18,Hypothèses!$W$18,""))))))))))))</f>
        <v>#DIV/0!</v>
      </c>
      <c r="CU137" s="87" t="e">
        <f t="shared" ca="1" si="220"/>
        <v>#DIV/0!</v>
      </c>
      <c r="CV137" s="88" t="e">
        <f ca="1">IF(BZ137&lt;=Hypothèses!$V$7,Hypothèses!$X$7,IF(BZ137&lt;=Hypothèses!$V$8,Hypothèses!$X$8,IF(BZ137&lt;=Hypothèses!$V$9,Hypothèses!$X$9,IF(BZ137&lt;=Hypothèses!$V$10,Hypothèses!$X$10,IF(BZ137&lt;=Hypothèses!$V$11,Hypothèses!$X$11,IF(BZ137&lt;=Hypothèses!$V$12,Hypothèses!$X$12,IF(BZ137&lt;=Hypothèses!$V$13,Hypothèses!$X$13,IF(BZ137&lt;=Hypothèses!$V$14,Hypothèses!$X$14,IF(BZ137&lt;=Hypothèses!$V$15,Hypothèses!$X$15,IF(BZ137&lt;=Hypothèses!$V$16,Hypothèses!$X$16,IF(BZ137&lt;=Hypothèses!$U$17,Hypothèses!$W$17,IF(BZ137&lt;=Hypothèses!$U$18,Hypothèses!$W$18,""))))))))))))</f>
        <v>#DIV/0!</v>
      </c>
      <c r="CW137" s="95" t="e">
        <f t="shared" ca="1" si="185"/>
        <v>#DIV/0!</v>
      </c>
      <c r="CX137" s="101">
        <f t="shared" si="227"/>
        <v>0</v>
      </c>
      <c r="CY137" s="91">
        <f t="shared" si="152"/>
        <v>0</v>
      </c>
      <c r="CZ137" s="30" t="e">
        <f t="shared" si="208"/>
        <v>#N/A</v>
      </c>
      <c r="DA137" s="30" t="e">
        <f t="shared" si="209"/>
        <v>#N/A</v>
      </c>
      <c r="DB137" s="31" t="e">
        <f>IF(OR(Hypothèses!$B$4=17,Hypothèses!$B$4=18,Hypothèses!$B$4=19,Hypothèses!$B$4=20),
IF($D137="Pressio.",
IF(OR($E137=3,$E137=1,$E137=4),DA137,CZ137),
IF($D137="Pénétro.",
IF(OR($E137=3,$E137=1,$E137=4),DA137,CZ137))),IF($D137="Pressio.",
IF($E137=3,DA137,CZ137),
IF($D137="Pénétro.",
IF($E137=4,DA137,CZ137))))</f>
        <v>#N/A</v>
      </c>
      <c r="DC137" s="31">
        <v>0</v>
      </c>
      <c r="DD137" s="102" t="e">
        <f>IF(NDC!$H$10="Oui",(VLOOKUP($B$3,'Coeff EC7'!$T$39:$X$59,2,0)*DB137+VLOOKUP($B$3,'Coeff EC7'!$T$65:$X$85,2,0)*Model0.1T!DC137)/1.5,PI()*CZ$12*$Q137*($B137-$B136)*0.15/10+DD136)</f>
        <v>#N/A</v>
      </c>
      <c r="DE137" s="102" t="e">
        <f>(VLOOKUP($B$3,'Coeff EC7'!$T$39:$X$59,3,0)*DB137+VLOOKUP($B$3,'Coeff EC7'!$T$65:$X$85,3,0)*Model0.1T!DC137)/1.1</f>
        <v>#N/A</v>
      </c>
      <c r="DF137" s="102" t="e">
        <f t="shared" si="186"/>
        <v>#N/A</v>
      </c>
      <c r="DG137" s="102" t="e">
        <f t="shared" si="187"/>
        <v>#N/A</v>
      </c>
      <c r="DH137" s="414" t="e">
        <f>IF(AND(DD137&gt;NDC!$C$63,DE137&gt;NDC!$C$65,DF137&gt;NDC!$D$73,DG137&gt;NDC!$D$74,$B137&gt;NDC!$H$22-0.1+MIN(3*DH$12,1.5)),0,1)</f>
        <v>#N/A</v>
      </c>
      <c r="DI137" s="86" t="b">
        <f t="shared" si="153"/>
        <v>0</v>
      </c>
      <c r="DJ137" s="86">
        <f t="shared" si="154"/>
        <v>0.5</v>
      </c>
      <c r="DK137" s="86">
        <f t="shared" si="155"/>
        <v>0.5</v>
      </c>
      <c r="DL137" s="30" t="e">
        <f t="shared" ca="1" si="188"/>
        <v>#DIV/0!</v>
      </c>
      <c r="DM137" s="85" t="e">
        <f ca="1">IF(CS137&lt;=Hypothèses!$V$7,Hypothèses!$W$7,IF(CS137&lt;=Hypothèses!$V$8,Hypothèses!$W$8,IF(CS137&lt;=Hypothèses!$V$9,Hypothèses!$W$9,IF(CS137&lt;=Hypothèses!$V$10,Hypothèses!$W$10,IF(CS137&lt;=Hypothèses!$V$11,Hypothèses!$W$11,IF(CS137&lt;=Hypothèses!$V$12,Hypothèses!$W$12,IF(CS137&lt;=Hypothèses!$V$13,Hypothèses!$W$13,IF(CS137&lt;=Hypothèses!$V$14,Hypothèses!$W$14,IF(CS137&lt;=Hypothèses!$V$15,Hypothèses!$W$15,IF(CS137&lt;=Hypothèses!$V$16,Hypothèses!$W$16,IF(CS137&lt;=Hypothèses!$V$17,Hypothèses!$W$17,IF(CS137&lt;=Hypothèses!$V$18,Hypothèses!$W$18,""))))))))))))</f>
        <v>#DIV/0!</v>
      </c>
      <c r="DN137" s="87" t="e">
        <f t="shared" ca="1" si="221"/>
        <v>#DIV/0!</v>
      </c>
      <c r="DO137" s="88" t="e">
        <f ca="1">IF(CS137&lt;=Hypothèses!$V$7,Hypothèses!$X$7,IF(CS137&lt;=Hypothèses!$V$8,Hypothèses!$X$8,IF(CS137&lt;=Hypothèses!$V$9,Hypothèses!$X$9,IF(CS137&lt;=Hypothèses!$V$10,Hypothèses!$X$10,IF(CS137&lt;=Hypothèses!$V$11,Hypothèses!$X$11,IF(CS137&lt;=Hypothèses!$V$12,Hypothèses!$X$12,IF(CS137&lt;=Hypothèses!$V$13,Hypothèses!$X$13,IF(CS137&lt;=Hypothèses!$V$14,Hypothèses!$X$14,IF(CS137&lt;=Hypothèses!$V$15,Hypothèses!$X$15,IF(CS137&lt;=Hypothèses!$V$16,Hypothèses!$X$16,IF(CS137&lt;=Hypothèses!$U$17,Hypothèses!$W$17,IF(CS137&lt;=Hypothèses!$U$18,Hypothèses!$W$18,""))))))))))))</f>
        <v>#DIV/0!</v>
      </c>
      <c r="DP137" s="95" t="e">
        <f t="shared" ca="1" si="189"/>
        <v>#DIV/0!</v>
      </c>
      <c r="DQ137" s="101">
        <f t="shared" si="228"/>
        <v>0</v>
      </c>
      <c r="DR137" s="91">
        <f t="shared" si="156"/>
        <v>0</v>
      </c>
      <c r="DS137" s="30" t="e">
        <f t="shared" si="210"/>
        <v>#N/A</v>
      </c>
      <c r="DT137" s="30" t="e">
        <f t="shared" si="211"/>
        <v>#N/A</v>
      </c>
      <c r="DU137" s="31" t="e">
        <f>IF(OR(Hypothèses!$B$4=17,Hypothèses!$B$4=18,Hypothèses!$B$4=19,Hypothèses!$B$4=20),
IF($D137="Pressio.",
IF(OR($E137=3,$E137=1,$E137=4),DT137,DS137),
IF($D137="Pénétro.",
IF(OR($E137=3,$E137=1,$E137=4),DT137,DS137))),IF($D137="Pressio.",
IF($E137=3,DT137,DS137),
IF($D137="Pénétro.",
IF($E137=4,DT137,DS137))))</f>
        <v>#N/A</v>
      </c>
      <c r="DV137" s="31">
        <v>0</v>
      </c>
      <c r="DW137" s="102" t="e">
        <f>IF(NDC!$H$10="Oui",(VLOOKUP($B$3,'Coeff EC7'!$T$39:$X$59,2,0)*DU137+VLOOKUP($B$3,'Coeff EC7'!$T$65:$X$85,2,0)*Model0.1T!DV137)/1.5,PI()*DS$12*$Q137*($B137-$B136)*0.15/10+DW136)</f>
        <v>#N/A</v>
      </c>
      <c r="DX137" s="102" t="e">
        <f>(VLOOKUP($B$3,'Coeff EC7'!$T$39:$X$59,3,0)*DU137+VLOOKUP($B$3,'Coeff EC7'!$T$65:$X$85,3,0)*Model0.1T!DV137)/1.1</f>
        <v>#N/A</v>
      </c>
      <c r="DY137" s="102" t="e">
        <f t="shared" si="190"/>
        <v>#N/A</v>
      </c>
      <c r="DZ137" s="102" t="e">
        <f t="shared" si="191"/>
        <v>#N/A</v>
      </c>
      <c r="EA137" s="414" t="e">
        <f>IF(AND(DW137&gt;NDC!$C$63,DX137&gt;NDC!$C$65,DY137&gt;NDC!$D$73,DZ137&gt;NDC!$D$74,$B137&gt;NDC!$H$22-0.1+MIN(3*EA$12,1.5)),0,1)</f>
        <v>#N/A</v>
      </c>
      <c r="EB137" s="86" t="b">
        <f t="shared" si="157"/>
        <v>0</v>
      </c>
      <c r="EC137" s="418">
        <f t="shared" si="158"/>
        <v>0.51</v>
      </c>
      <c r="ED137" s="86">
        <f t="shared" si="159"/>
        <v>0.51</v>
      </c>
      <c r="EE137" s="30" t="e">
        <f t="shared" ca="1" si="192"/>
        <v>#DIV/0!</v>
      </c>
      <c r="EF137" s="85" t="e">
        <f ca="1">IF(DL137&lt;=Hypothèses!$V$7,Hypothèses!$W$7,IF(DL137&lt;=Hypothèses!$V$8,Hypothèses!$W$8,IF(DL137&lt;=Hypothèses!$V$9,Hypothèses!$W$9,IF(DL137&lt;=Hypothèses!$V$10,Hypothèses!$W$10,IF(DL137&lt;=Hypothèses!$V$11,Hypothèses!$W$11,IF(DL137&lt;=Hypothèses!$V$12,Hypothèses!$W$12,IF(DL137&lt;=Hypothèses!$V$13,Hypothèses!$W$13,IF(DL137&lt;=Hypothèses!$V$14,Hypothèses!$W$14,IF(DL137&lt;=Hypothèses!$V$15,Hypothèses!$W$15,IF(DL137&lt;=Hypothèses!$V$16,Hypothèses!$W$16,IF(DL137&lt;=Hypothèses!$V$17,Hypothèses!$W$17,IF(DL137&lt;=Hypothèses!$V$18,Hypothèses!$W$18,""))))))))))))</f>
        <v>#DIV/0!</v>
      </c>
      <c r="EG137" s="87" t="e">
        <f t="shared" ca="1" si="222"/>
        <v>#DIV/0!</v>
      </c>
      <c r="EH137" s="88" t="e">
        <f ca="1">IF(DL137&lt;=Hypothèses!$V$7,Hypothèses!$X$7,IF(DL137&lt;=Hypothèses!$V$8,Hypothèses!$X$8,IF(DL137&lt;=Hypothèses!$V$9,Hypothèses!$X$9,IF(DL137&lt;=Hypothèses!$V$10,Hypothèses!$X$10,IF(DL137&lt;=Hypothèses!$V$11,Hypothèses!$X$11,IF(DL137&lt;=Hypothèses!$V$12,Hypothèses!$X$12,IF(DL137&lt;=Hypothèses!$V$13,Hypothèses!$X$13,IF(DL137&lt;=Hypothèses!$V$14,Hypothèses!$X$14,IF(DL137&lt;=Hypothèses!$V$15,Hypothèses!$X$15,IF(DL137&lt;=Hypothèses!$V$16,Hypothèses!$X$16,IF(DL137&lt;=Hypothèses!$U$17,Hypothèses!$W$17,IF(DL137&lt;=Hypothèses!$U$18,Hypothèses!$W$18,""))))))))))))</f>
        <v>#DIV/0!</v>
      </c>
      <c r="EI137" s="95" t="e">
        <f t="shared" ca="1" si="193"/>
        <v>#DIV/0!</v>
      </c>
      <c r="EJ137" s="101">
        <f t="shared" si="229"/>
        <v>0</v>
      </c>
      <c r="EK137" s="91">
        <f t="shared" si="160"/>
        <v>0</v>
      </c>
      <c r="EL137" s="30" t="e">
        <f t="shared" si="212"/>
        <v>#N/A</v>
      </c>
      <c r="EM137" s="30" t="e">
        <f t="shared" si="213"/>
        <v>#N/A</v>
      </c>
      <c r="EN137" s="31" t="e">
        <f>IF(OR(Hypothèses!$B$4=17,Hypothèses!$B$4=18,Hypothèses!$B$4=19,Hypothèses!$B$4=20),
IF($D137="Pressio.",
IF(OR($E137=3,$E137=1,$E137=4),EM137,EL137),
IF($D137="Pénétro.",
IF(OR($E137=3,$E137=1,$E137=4),EM137,EL137))),IF($D137="Pressio.",
IF($E137=3,EM137,EL137),
IF($D137="Pénétro.",
IF($E137=4,EM137,EL137))))</f>
        <v>#N/A</v>
      </c>
      <c r="EO137" s="31">
        <v>0</v>
      </c>
      <c r="EP137" s="102" t="e">
        <f>IF(NDC!$H$10="Oui",(VLOOKUP($B$3,'Coeff EC7'!$T$39:$X$59,2,0)*EN137+VLOOKUP($B$3,'Coeff EC7'!$T$65:$X$85,2,0)*Model0.1T!EO137)/1.5,PI()*EL$12*$Q137*($B137-$B136)*0.15/10+EP136)</f>
        <v>#N/A</v>
      </c>
      <c r="EQ137" s="102" t="e">
        <f>(VLOOKUP($B$3,'Coeff EC7'!$T$39:$X$59,3,0)*EN137+VLOOKUP($B$3,'Coeff EC7'!$T$65:$X$85,3,0)*Model0.1T!EO137)/1.1</f>
        <v>#N/A</v>
      </c>
      <c r="ER137" s="102" t="e">
        <f t="shared" si="194"/>
        <v>#N/A</v>
      </c>
      <c r="ES137" s="102" t="e">
        <f t="shared" si="195"/>
        <v>#N/A</v>
      </c>
      <c r="ET137" s="414" t="e">
        <f>IF(AND(EP137&gt;NDC!$C$63,EQ137&gt;NDC!$C$65,ER137&gt;NDC!$D$73,ES137&gt;NDC!$D$74,$B137&gt;NDC!$H$22-0.1+MIN(3*ET$12,1.5)),0,1)</f>
        <v>#N/A</v>
      </c>
      <c r="EU137" s="86" t="b">
        <f t="shared" si="161"/>
        <v>0</v>
      </c>
      <c r="EV137" s="86">
        <f t="shared" si="162"/>
        <v>0.61</v>
      </c>
      <c r="EW137" s="86">
        <f t="shared" si="163"/>
        <v>0.61</v>
      </c>
      <c r="EX137" s="30" t="e">
        <f t="shared" ca="1" si="196"/>
        <v>#DIV/0!</v>
      </c>
      <c r="EY137" s="85" t="e">
        <f ca="1">IF(EE137&lt;=Hypothèses!$V$7,Hypothèses!$W$7,IF(EE137&lt;=Hypothèses!$V$8,Hypothèses!$W$8,IF(EE137&lt;=Hypothèses!$V$9,Hypothèses!$W$9,IF(EE137&lt;=Hypothèses!$V$10,Hypothèses!$W$10,IF(EE137&lt;=Hypothèses!$V$11,Hypothèses!$W$11,IF(EE137&lt;=Hypothèses!$V$12,Hypothèses!$W$12,IF(EE137&lt;=Hypothèses!$V$13,Hypothèses!$W$13,IF(EE137&lt;=Hypothèses!$V$14,Hypothèses!$W$14,IF(EE137&lt;=Hypothèses!$V$15,Hypothèses!$W$15,IF(EE137&lt;=Hypothèses!$V$16,Hypothèses!$W$16,IF(EE137&lt;=Hypothèses!$V$17,Hypothèses!$W$17,IF(EE137&lt;=Hypothèses!$V$18,Hypothèses!$W$18,""))))))))))))</f>
        <v>#DIV/0!</v>
      </c>
      <c r="EZ137" s="87" t="e">
        <f t="shared" ca="1" si="223"/>
        <v>#DIV/0!</v>
      </c>
      <c r="FA137" s="88" t="e">
        <f ca="1">IF(EE137&lt;=Hypothèses!$V$7,Hypothèses!$X$7,IF(EE137&lt;=Hypothèses!$V$8,Hypothèses!$X$8,IF(EE137&lt;=Hypothèses!$V$9,Hypothèses!$X$9,IF(EE137&lt;=Hypothèses!$V$10,Hypothèses!$X$10,IF(EE137&lt;=Hypothèses!$V$11,Hypothèses!$X$11,IF(EE137&lt;=Hypothèses!$V$12,Hypothèses!$X$12,IF(EE137&lt;=Hypothèses!$V$13,Hypothèses!$X$13,IF(EE137&lt;=Hypothèses!$V$14,Hypothèses!$X$14,IF(EE137&lt;=Hypothèses!$V$15,Hypothèses!$X$15,IF(EE137&lt;=Hypothèses!$V$16,Hypothèses!$X$16,IF(EE137&lt;=Hypothèses!$U$17,Hypothèses!$W$17,IF(EE137&lt;=Hypothèses!$U$18,Hypothèses!$W$18,""))))))))))))</f>
        <v>#DIV/0!</v>
      </c>
      <c r="FB137" s="95" t="e">
        <f t="shared" ca="1" si="197"/>
        <v>#DIV/0!</v>
      </c>
      <c r="FC137" s="101">
        <f t="shared" si="230"/>
        <v>0</v>
      </c>
      <c r="FD137" s="91">
        <f t="shared" si="164"/>
        <v>0</v>
      </c>
      <c r="FE137" s="30" t="e">
        <f t="shared" si="214"/>
        <v>#N/A</v>
      </c>
      <c r="FF137" s="30" t="e">
        <f t="shared" si="215"/>
        <v>#N/A</v>
      </c>
      <c r="FG137" s="31" t="e">
        <f>IF(OR(Hypothèses!$B$4=17,Hypothèses!$B$4=18,Hypothèses!$B$4=19,Hypothèses!$B$4=20),
IF($D137="Pressio.",
IF(OR($E137=3,$E137=1,$E137=4),FF137,FE137),
IF($D137="Pénétro.",
IF(OR($E137=3,$E137=1,$E137=4),FF137,FE137))),IF($D137="Pressio.",
IF($E137=3,FF137,FE137),
IF($D137="Pénétro.",
IF($E137=4,FF137,FE137))))</f>
        <v>#N/A</v>
      </c>
      <c r="FH137" s="31">
        <v>0</v>
      </c>
      <c r="FI137" s="102" t="e">
        <f>IF(NDC!$H$10="Oui",(VLOOKUP($B$3,'Coeff EC7'!$T$39:$X$59,2,0)*FG137+VLOOKUP($B$3,'Coeff EC7'!$T$65:$X$85,2,0)*Model0.1T!FH137)/1.5,PI()*FE$12*$Q137*($B137-$B136)*0.15/10+FI136)</f>
        <v>#N/A</v>
      </c>
      <c r="FJ137" s="102" t="e">
        <f>(VLOOKUP($B$3,'Coeff EC7'!$T$39:$X$59,3,0)*FG137+VLOOKUP($B$3,'Coeff EC7'!$T$65:$X$85,3,0)*Model0.1T!FH137)/1.1</f>
        <v>#N/A</v>
      </c>
      <c r="FK137" s="102" t="e">
        <f t="shared" si="198"/>
        <v>#N/A</v>
      </c>
      <c r="FL137" s="102" t="e">
        <f t="shared" si="199"/>
        <v>#N/A</v>
      </c>
      <c r="FM137" s="414" t="e">
        <f>IF(AND(FI137&gt;NDC!$C$63,FJ137&gt;NDC!$C$65,FK137&gt;NDC!$D$73,FL137&gt;NDC!$D$74,$B137&gt;NDC!$H$22-0.1+MIN(3*FM$12,1.5)),0,1)</f>
        <v>#N/A</v>
      </c>
    </row>
    <row r="138" spans="1:169">
      <c r="A138" s="96">
        <f t="shared" si="165"/>
        <v>87.500000000000711</v>
      </c>
      <c r="B138" s="97">
        <v>12.5</v>
      </c>
      <c r="C138" s="81">
        <f>IF(B138&lt;=Hypothèses!$C$7,Hypothèses!$A$7,IF(B138&lt;=Hypothèses!$C$8,Hypothèses!$A$8,IF(B138&lt;=Hypothèses!$C$9,Hypothèses!$A$9,IF(B138&lt;=Hypothèses!$C$10,Hypothèses!$A$10,IF(B138&lt;=Hypothèses!$C$11,Hypothèses!$A$11,IF(B138&lt;=Hypothèses!$C$12,Hypothèses!$A$12,IF(B138&lt;=Hypothèses!$C$13,Hypothèses!$A$13,IF(B138&lt;=Hypothèses!$C$14,Hypothèses!$A$14,IF(B138&lt;=Hypothèses!$C$15,Hypothèses!$A$15,IF(B138&lt;=Hypothèses!$C$16,Hypothèses!$A$16,IF(B138&lt;=Hypothèses!$C$17,Hypothèses!$A$17,IF(B138&lt;=Hypothèses!$C$18,Hypothèses!$A$18,C137))))))))))))</f>
        <v>11</v>
      </c>
      <c r="D138" s="82" t="str">
        <f>IF(B138&lt;=Hypothèses!$C$7,Hypothèses!$R$7,IF(B138&lt;=Hypothèses!$C$8,Hypothèses!$R$8,IF(B138&lt;=Hypothèses!$C$9,Hypothèses!$R$9,IF(B138&lt;=Hypothèses!$C$10,Hypothèses!$R$10,IF(B138&lt;=Hypothèses!$C$11,Hypothèses!$R$11,IF(B138&lt;=Hypothèses!$C$12,Hypothèses!$R$12,IF(B138&lt;=Hypothèses!$C$13,Hypothèses!$R$13,IF(B138&lt;=Hypothèses!$C$14,Hypothèses!$R$14,IF(B138&lt;=Hypothèses!$C$15,Hypothèses!$R$15,IF(B138&lt;=Hypothèses!$C$16,Hypothèses!$R$16,IF(B138&lt;=Hypothèses!$C$17,Hypothèses!$R$17,IF(B138&lt;=Hypothèses!$C$18,Hypothèses!$R$18,D137))))))))))))</f>
        <v>Pressio.</v>
      </c>
      <c r="E138" s="82" t="e">
        <f>IF(B138&lt;=Hypothèses!$C$7,Hypothèses!$G$7,IF(B138&lt;=Hypothèses!$C$8,Hypothèses!$G$8,IF(B138&lt;=Hypothèses!$C$9,Hypothèses!$G$9,IF(B138&lt;=Hypothèses!$C$10,Hypothèses!$G$10,IF(B138&lt;=Hypothèses!$C$11,Hypothèses!$G$11,IF(B138&lt;=Hypothèses!$C$12,Hypothèses!$G$12,IF(B138&lt;=Hypothèses!$C$13,Hypothèses!$G$13,IF(B138&lt;=Hypothèses!$C$14,Hypothèses!$G$14,IF(B138&lt;=Hypothèses!$C$15,Hypothèses!$G$15,IF(B138&lt;=Hypothèses!$C$16,Hypothèses!$G$16,IF(B138&lt;=Hypothèses!$C$17,Hypothèses!$G$17,IF(B138&lt;=Hypothèses!$C$18,Hypothèses!$G$18,E137))))))))))))</f>
        <v>#N/A</v>
      </c>
      <c r="F138" s="82" t="str">
        <f>IF(B138&lt;=Hypothèses!$C$7,Hypothèses!$F$7,IF(B138&lt;=Hypothèses!$C$8,Hypothèses!$F$8,IF(B138&lt;=Hypothèses!$C$9,Hypothèses!$F$9,IF(B138&lt;=Hypothèses!$C$10,Hypothèses!$F$10,IF(B138&lt;=Hypothèses!$C$11,Hypothèses!$F$11,IF(B138&lt;=Hypothèses!$C$12,Hypothèses!$F$12,IF(B138&lt;=Hypothèses!$C$13,Hypothèses!$F$13,IF(B138&lt;=Hypothèses!$C$14,Hypothèses!$F$14,IF(B138&lt;=Hypothèses!$C$15,Hypothèses!$F$15,IF(B138&lt;=Hypothèses!$C$16,Hypothèses!$F$16,IF(B138&lt;=Hypothèses!$C$17,Hypothèses!$F$17,IF(B138&lt;=Hypothèses!$C$18,Hypothèses!$F$18,F137))))))))))))</f>
        <v/>
      </c>
      <c r="G138" s="91">
        <f t="array" ref="G138">INDEX('Coeff EC7'!$U$7:$X$27,
MATCH(Model0.1T!$B$3,'Coeff EC7'!$T$7:$T$27,0),
MATCH(Model0.1T!$D138&amp;Model0.1T!$B$4,
'Coeff EC7'!$U$6:$X$6&amp;
'Coeff EC7'!$U$5:$X$5,0))</f>
        <v>1.4</v>
      </c>
      <c r="H138" s="91">
        <f t="array" ref="H138">INDEX('Coeff EC7'!$Y$7:$AB$27,
MATCH(Model0.1T!$B$3,'Coeff EC7'!$T$7:$T$27,0),
MATCH(Model0.1T!$D138&amp;Model0.1T!$B$4,
'Coeff EC7'!$Y$6:$AB$6&amp;
'Coeff EC7'!$Y$5:$AB$5,0))</f>
        <v>1.7</v>
      </c>
      <c r="I138" s="83">
        <v>0</v>
      </c>
      <c r="J138" s="91" t="e">
        <f t="array" ref="J138">INDEX('Coeff EC7'!$D$33:$Q$33,1,MATCH(D138&amp;E138,'Coeff EC7'!$D$31:$Q$31&amp;'Coeff EC7'!$D$32:$Q$32,0))</f>
        <v>#N/A</v>
      </c>
      <c r="K138" s="91" t="e">
        <f t="array" ref="K138">INDEX('Coeff EC7'!$D$34:$Q$34,1,MATCH(D138&amp;E138,'Coeff EC7'!$D$31:$Q$31&amp;'Coeff EC7'!$D$32:$Q$32,0))</f>
        <v>#N/A</v>
      </c>
      <c r="L138" s="91" t="e">
        <f t="array" ref="L138">INDEX('Coeff EC7'!$D$35:$Q$35,1,MATCH(D138&amp;E138,'Coeff EC7'!$D$31:$Q$31&amp;'Coeff EC7'!$D$32:$Q$32,0))</f>
        <v>#N/A</v>
      </c>
      <c r="M138" s="98" t="e">
        <f t="shared" si="131"/>
        <v>#N/A</v>
      </c>
      <c r="N138" s="99" t="e">
        <f t="array" ref="N138">INDEX('Coeff EC7'!$D$7:$Q$27,MATCH($B$3,'Coeff EC7'!$C$7:$C$27,0),MATCH(D138&amp;E138,'Coeff EC7'!$D$5:$Q$5&amp;'Coeff EC7'!$D$6:$Q$6,0))</f>
        <v>#N/A</v>
      </c>
      <c r="O138" s="99" t="e">
        <f t="array" ref="O138">INDEX('Coeff EC7'!$D$41:$Q$61,MATCH($B$3,'Coeff EC7'!$C$41:$C$61,0),MATCH(D138&amp;E138,'Coeff EC7'!$D$39:$Q$39&amp;'Coeff EC7'!$D$40:$Q$40,0))</f>
        <v>#N/A</v>
      </c>
      <c r="P138" s="30" t="e">
        <f t="shared" si="166"/>
        <v>#N/A</v>
      </c>
      <c r="Q138" s="100" t="e">
        <f t="shared" si="133"/>
        <v>#N/A</v>
      </c>
      <c r="R138" s="86" t="b">
        <f t="shared" si="134"/>
        <v>0</v>
      </c>
      <c r="S138" s="86">
        <f t="shared" si="132"/>
        <v>0.5</v>
      </c>
      <c r="T138" s="86">
        <f t="shared" si="135"/>
        <v>0.5</v>
      </c>
      <c r="U138" s="30" t="e">
        <f t="shared" ca="1" si="167"/>
        <v>#DIV/0!</v>
      </c>
      <c r="V138" s="85" t="str">
        <f>IF(B138&lt;=Hypothèses!$V$7,Hypothèses!$W$7,IF(B138&lt;=Hypothèses!$V$8,Hypothèses!$W$8,IF(B138&lt;=Hypothèses!$V$9,Hypothèses!$W$9,IF(B138&lt;=Hypothèses!$V$10,Hypothèses!$W$10,IF(B138&lt;=Hypothèses!$V$11,Hypothèses!$W$11,IF(B138&lt;=Hypothèses!$V$12,Hypothèses!$W$12,IF(B138&lt;=Hypothèses!$V$13,Hypothèses!$W$13,IF(B138&lt;=Hypothèses!$V$14,Hypothèses!$W$14,IF(B138&lt;=Hypothèses!$V$15,Hypothèses!$W$15,IF(B138&lt;=Hypothèses!$V$16,Hypothèses!$W$16,IF(B138&lt;=Hypothèses!$V$17,Hypothèses!$W$17,IF(B138&lt;=Hypothèses!$V$18,Hypothèses!$W$18,""))))))))))))</f>
        <v/>
      </c>
      <c r="W138" s="87" t="e">
        <f t="shared" ca="1" si="216"/>
        <v>#DIV/0!</v>
      </c>
      <c r="X138" s="88" t="str">
        <f>IF(B138&lt;=Hypothèses!$V$7,Hypothèses!$X$7,IF(B138&lt;=Hypothèses!$V$8,Hypothèses!$X$8,IF(B138&lt;=Hypothèses!$V$9,Hypothèses!$X$9,IF(B138&lt;=Hypothèses!$V$10,Hypothèses!$X$10,IF(B138&lt;=Hypothèses!$V$11,Hypothèses!$X$11,IF(B138&lt;=Hypothèses!$V$12,Hypothèses!$X$12,IF(B138&lt;=Hypothèses!$V$13,Hypothèses!$X$13,IF(B138&lt;=Hypothèses!$V$14,Hypothèses!$X$14,IF(B138&lt;=Hypothèses!$V$15,Hypothèses!$X$15,IF(B138&lt;=Hypothèses!$V$16,Hypothèses!$X$16,IF(B138&lt;=Hypothèses!$U$17,Hypothèses!$W$17,IF(B138&lt;=Hypothèses!$U$18,Hypothèses!$W$18,""))))))))))))</f>
        <v/>
      </c>
      <c r="Y138" s="95" t="e">
        <f t="shared" ca="1" si="136"/>
        <v>#DIV/0!</v>
      </c>
      <c r="Z138" s="101">
        <f t="shared" si="137"/>
        <v>0</v>
      </c>
      <c r="AA138" s="91">
        <f t="shared" si="138"/>
        <v>0</v>
      </c>
      <c r="AB138" s="30" t="e">
        <f t="shared" si="200"/>
        <v>#N/A</v>
      </c>
      <c r="AC138" s="30" t="e">
        <f t="shared" si="201"/>
        <v>#N/A</v>
      </c>
      <c r="AD138" s="31" t="e">
        <f>IF(OR(Hypothèses!$B$4=17,Hypothèses!$B$4=18,Hypothèses!$B$4=19,Hypothèses!$B$4=20),
IF($D138="Pressio.",
IF(OR($E138=3,$E138=1,$E138=4),AC138,AB138),
IF($D138="Pénétro.",
IF(OR($E138=3,$E138=1,$E138=4),AC138,AB138))),IF($D138="Pressio.",
IF($E138=3,AC138,AB138),
IF($D138="Pénétro.",
IF($E138=4,AC138,AB138))))</f>
        <v>#N/A</v>
      </c>
      <c r="AE138" s="31">
        <v>0</v>
      </c>
      <c r="AF138" s="102" t="e">
        <f>IF(NDC!$H$10="Oui",(VLOOKUP($B$3,'Coeff EC7'!$T$39:$X$59,2,0)*AD138+VLOOKUP($B$3,'Coeff EC7'!$T$65:$X$85,2,0)*Model0.1T!AE138)/1.5,PI()*AB$12*$Q138*($B138-$B137)*0.15/10+AF137)</f>
        <v>#N/A</v>
      </c>
      <c r="AG138" s="102" t="e">
        <f>(VLOOKUP($B$3,'Coeff EC7'!$T$39:$X$59,3,0)*AD138+VLOOKUP($B$3,'Coeff EC7'!$T$65:$X$85,3,0)*Model0.1T!AE138)/1.1</f>
        <v>#N/A</v>
      </c>
      <c r="AH138" s="102" t="e">
        <f t="shared" si="168"/>
        <v>#N/A</v>
      </c>
      <c r="AI138" s="102" t="e">
        <f t="shared" si="169"/>
        <v>#N/A</v>
      </c>
      <c r="AJ138" s="414" t="e">
        <f>IF(AND(AF138&gt;NDC!$C$63,AG138&gt;NDC!$C$65,AH138&gt;NDC!$D$73,AI138&gt;NDC!$D$74,$B138&gt;NDC!$H$22-0.1+MIN(3*$AJ$12,1.5)),0,1)</f>
        <v>#N/A</v>
      </c>
      <c r="AK138" s="86" t="b">
        <f t="shared" si="139"/>
        <v>0</v>
      </c>
      <c r="AL138" s="86">
        <f t="shared" si="170"/>
        <v>0.5</v>
      </c>
      <c r="AM138" s="86">
        <f t="shared" si="140"/>
        <v>0.5</v>
      </c>
      <c r="AN138" s="30" t="e">
        <f t="shared" ca="1" si="171"/>
        <v>#DIV/0!</v>
      </c>
      <c r="AO138" s="85" t="e">
        <f ca="1">IF(U138&lt;=Hypothèses!$V$7,Hypothèses!$W$7,IF(U138&lt;=Hypothèses!$V$8,Hypothèses!$W$8,IF(U138&lt;=Hypothèses!$V$9,Hypothèses!$W$9,IF(U138&lt;=Hypothèses!$V$10,Hypothèses!$W$10,IF(U138&lt;=Hypothèses!$V$11,Hypothèses!$W$11,IF(U138&lt;=Hypothèses!$V$12,Hypothèses!$W$12,IF(U138&lt;=Hypothèses!$V$13,Hypothèses!$W$13,IF(U138&lt;=Hypothèses!$V$14,Hypothèses!$W$14,IF(U138&lt;=Hypothèses!$V$15,Hypothèses!$W$15,IF(U138&lt;=Hypothèses!$V$16,Hypothèses!$W$16,IF(U138&lt;=Hypothèses!$V$17,Hypothèses!$W$17,IF(U138&lt;=Hypothèses!$V$18,Hypothèses!$W$18,""))))))))))))</f>
        <v>#DIV/0!</v>
      </c>
      <c r="AP138" s="87" t="e">
        <f t="shared" ca="1" si="217"/>
        <v>#DIV/0!</v>
      </c>
      <c r="AQ138" s="88" t="e">
        <f ca="1">IF(U138&lt;=Hypothèses!$V$7,Hypothèses!$X$7,IF(U138&lt;=Hypothèses!$V$8,Hypothèses!$X$8,IF(U138&lt;=Hypothèses!$V$9,Hypothèses!$X$9,IF(U138&lt;=Hypothèses!$V$10,Hypothèses!$X$10,IF(U138&lt;=Hypothèses!$V$11,Hypothèses!$X$11,IF(U138&lt;=Hypothèses!$V$12,Hypothèses!$X$12,IF(U138&lt;=Hypothèses!$V$13,Hypothèses!$X$13,IF(U138&lt;=Hypothèses!$V$14,Hypothèses!$X$14,IF(U138&lt;=Hypothèses!$V$15,Hypothèses!$X$15,IF(U138&lt;=Hypothèses!$V$16,Hypothèses!$X$16,IF(U138&lt;=Hypothèses!$U$17,Hypothèses!$W$17,IF(U138&lt;=Hypothèses!$U$18,Hypothèses!$W$18,""))))))))))))</f>
        <v>#DIV/0!</v>
      </c>
      <c r="AR138" s="95" t="e">
        <f t="shared" ca="1" si="172"/>
        <v>#DIV/0!</v>
      </c>
      <c r="AS138" s="101">
        <f t="shared" si="224"/>
        <v>0</v>
      </c>
      <c r="AT138" s="91">
        <f t="shared" si="141"/>
        <v>0</v>
      </c>
      <c r="AU138" s="30" t="e">
        <f t="shared" si="202"/>
        <v>#N/A</v>
      </c>
      <c r="AV138" s="30" t="e">
        <f t="shared" si="203"/>
        <v>#N/A</v>
      </c>
      <c r="AW138" s="31" t="e">
        <f>IF(OR(Hypothèses!$B$4=17,Hypothèses!$B$4=18,Hypothèses!$B$4=19,Hypothèses!$B$4=20),
IF($D138="Pressio.",
IF(OR($E138=3,$E138=1,$E138=4),AV138,AU138),
IF($D138="Pénétro.",
IF(OR($E138=3,$E138=1,$E138=4),AV138,AU138))),IF($D138="Pressio.",
IF($E138=3,AV138,AU138),
IF($D138="Pénétro.",
IF($E138=4,AV138,AU138))))</f>
        <v>#N/A</v>
      </c>
      <c r="AX138" s="31">
        <v>0</v>
      </c>
      <c r="AY138" s="102" t="e">
        <f>IF(NDC!$H$10="Oui",(VLOOKUP($B$3,'Coeff EC7'!$T$39:$X$59,2,0)*AW138+VLOOKUP($B$3,'Coeff EC7'!$T$65:$X$85,2,0)*Model0.1T!AX138)/1.5,PI()*AU$12*$Q138*($B138-$B137)*0.15/10+AY137)</f>
        <v>#N/A</v>
      </c>
      <c r="AZ138" s="102" t="e">
        <f>(VLOOKUP($B$3,'Coeff EC7'!$T$39:$X$59,3,0)*AW138+VLOOKUP($B$3,'Coeff EC7'!$T$65:$X$85,3,0)*Model0.1T!AX138)/1.1</f>
        <v>#N/A</v>
      </c>
      <c r="BA138" s="102" t="e">
        <f t="shared" si="173"/>
        <v>#N/A</v>
      </c>
      <c r="BB138" s="102" t="e">
        <f t="shared" si="174"/>
        <v>#N/A</v>
      </c>
      <c r="BC138" s="414" t="e">
        <f>IF(AND(AY138&gt;NDC!$C$63,AZ138&gt;NDC!$C$65,BA138&gt;NDC!$D$73,BB138&gt;NDC!$D$74,$B138&gt;NDC!$H$22-0.1+MIN(3*BC$12,1.5)),0,1)</f>
        <v>#N/A</v>
      </c>
      <c r="BD138" s="86" t="b">
        <f t="shared" si="142"/>
        <v>0</v>
      </c>
      <c r="BE138" s="86">
        <f t="shared" si="175"/>
        <v>0.5</v>
      </c>
      <c r="BF138" s="86">
        <f t="shared" si="143"/>
        <v>0.5</v>
      </c>
      <c r="BG138" s="30" t="e">
        <f t="shared" ca="1" si="176"/>
        <v>#DIV/0!</v>
      </c>
      <c r="BH138" s="85" t="e">
        <f ca="1">IF(AN138&lt;=Hypothèses!$V$7,Hypothèses!$W$7,IF(AN138&lt;=Hypothèses!$V$8,Hypothèses!$W$8,IF(AN138&lt;=Hypothèses!$V$9,Hypothèses!$W$9,IF(AN138&lt;=Hypothèses!$V$10,Hypothèses!$W$10,IF(AN138&lt;=Hypothèses!$V$11,Hypothèses!$W$11,IF(AN138&lt;=Hypothèses!$V$12,Hypothèses!$W$12,IF(AN138&lt;=Hypothèses!$V$13,Hypothèses!$W$13,IF(AN138&lt;=Hypothèses!$V$14,Hypothèses!$W$14,IF(AN138&lt;=Hypothèses!$V$15,Hypothèses!$W$15,IF(AN138&lt;=Hypothèses!$V$16,Hypothèses!$W$16,IF(AN138&lt;=Hypothèses!$V$17,Hypothèses!$W$17,IF(AN138&lt;=Hypothèses!$V$18,Hypothèses!$W$18,""))))))))))))</f>
        <v>#DIV/0!</v>
      </c>
      <c r="BI138" s="87" t="e">
        <f t="shared" ca="1" si="218"/>
        <v>#DIV/0!</v>
      </c>
      <c r="BJ138" s="88" t="e">
        <f ca="1">IF(AN138&lt;=Hypothèses!$V$7,Hypothèses!$X$7,IF(AN138&lt;=Hypothèses!$V$8,Hypothèses!$X$8,IF(AN138&lt;=Hypothèses!$V$9,Hypothèses!$X$9,IF(AN138&lt;=Hypothèses!$V$10,Hypothèses!$X$10,IF(AN138&lt;=Hypothèses!$V$11,Hypothèses!$X$11,IF(AN138&lt;=Hypothèses!$V$12,Hypothèses!$X$12,IF(AN138&lt;=Hypothèses!$V$13,Hypothèses!$X$13,IF(AN138&lt;=Hypothèses!$V$14,Hypothèses!$X$14,IF(AN138&lt;=Hypothèses!$V$15,Hypothèses!$X$15,IF(AN138&lt;=Hypothèses!$V$16,Hypothèses!$X$16,IF(AN138&lt;=Hypothèses!$U$17,Hypothèses!$W$17,IF(AN138&lt;=Hypothèses!$U$18,Hypothèses!$W$18,""))))))))))))</f>
        <v>#DIV/0!</v>
      </c>
      <c r="BK138" s="95" t="e">
        <f t="shared" ca="1" si="177"/>
        <v>#DIV/0!</v>
      </c>
      <c r="BL138" s="101">
        <f t="shared" si="225"/>
        <v>0</v>
      </c>
      <c r="BM138" s="91">
        <f t="shared" si="144"/>
        <v>0</v>
      </c>
      <c r="BN138" s="30" t="e">
        <f t="shared" si="204"/>
        <v>#N/A</v>
      </c>
      <c r="BO138" s="30" t="e">
        <f t="shared" si="205"/>
        <v>#N/A</v>
      </c>
      <c r="BP138" s="31" t="e">
        <f>IF(OR(Hypothèses!$B$4=17,Hypothèses!$B$4=18,Hypothèses!$B$4=19,Hypothèses!$B$4=20),
IF($D138="Pressio.",
IF(OR($E138=3,$E138=1,$E138=4),BO138,BN138),
IF($D138="Pénétro.",
IF(OR($E138=3,$E138=1,$E138=4),BO138,BN138))),IF($D138="Pressio.",
IF($E138=3,BO138,BN138),
IF($D138="Pénétro.",
IF($E138=4,BO138,BN138))))</f>
        <v>#N/A</v>
      </c>
      <c r="BQ138" s="31">
        <v>0</v>
      </c>
      <c r="BR138" s="102" t="e">
        <f>IF(NDC!$H$10="Oui",(VLOOKUP($B$3,'Coeff EC7'!$T$39:$X$59,2,0)*BP138+VLOOKUP($B$3,'Coeff EC7'!$T$65:$X$85,2,0)*Model0.1T!BQ138)/1.5,PI()*BN$12*$Q138*($B138-$B137)*0.15/10+BR137)</f>
        <v>#N/A</v>
      </c>
      <c r="BS138" s="102" t="e">
        <f>(VLOOKUP($B$3,'Coeff EC7'!$T$39:$X$59,3,0)*BP138+VLOOKUP($B$3,'Coeff EC7'!$T$65:$X$85,3,0)*Model0.1T!BQ138)/1.1</f>
        <v>#N/A</v>
      </c>
      <c r="BT138" s="102" t="e">
        <f t="shared" si="178"/>
        <v>#N/A</v>
      </c>
      <c r="BU138" s="102" t="e">
        <f t="shared" si="179"/>
        <v>#N/A</v>
      </c>
      <c r="BV138" s="414" t="e">
        <f>IF(AND(BR138&gt;NDC!$C$63,BS138&gt;NDC!$C$65,BT138&gt;NDC!$D$73,BU138&gt;NDC!$D$74,$B138&gt;NDC!$H$22-0.1+MIN(3*BV$12,1.5)),0,1)</f>
        <v>#N/A</v>
      </c>
      <c r="BW138" s="86" t="b">
        <f t="shared" si="145"/>
        <v>0</v>
      </c>
      <c r="BX138" s="86">
        <f t="shared" si="146"/>
        <v>0.5</v>
      </c>
      <c r="BY138" s="86">
        <f t="shared" si="147"/>
        <v>0.5</v>
      </c>
      <c r="BZ138" s="30" t="e">
        <f t="shared" ca="1" si="180"/>
        <v>#DIV/0!</v>
      </c>
      <c r="CA138" s="85" t="e">
        <f ca="1">IF(BG138&lt;=Hypothèses!$V$7,Hypothèses!$W$7,IF(BG138&lt;=Hypothèses!$V$8,Hypothèses!$W$8,IF(BG138&lt;=Hypothèses!$V$9,Hypothèses!$W$9,IF(BG138&lt;=Hypothèses!$V$10,Hypothèses!$W$10,IF(BG138&lt;=Hypothèses!$V$11,Hypothèses!$W$11,IF(BG138&lt;=Hypothèses!$V$12,Hypothèses!$W$12,IF(BG138&lt;=Hypothèses!$V$13,Hypothèses!$W$13,IF(BG138&lt;=Hypothèses!$V$14,Hypothèses!$W$14,IF(BG138&lt;=Hypothèses!$V$15,Hypothèses!$W$15,IF(BG138&lt;=Hypothèses!$V$16,Hypothèses!$W$16,IF(BG138&lt;=Hypothèses!$V$17,Hypothèses!$W$17,IF(BG138&lt;=Hypothèses!$V$18,Hypothèses!$W$18,""))))))))))))</f>
        <v>#DIV/0!</v>
      </c>
      <c r="CB138" s="87" t="e">
        <f t="shared" ca="1" si="219"/>
        <v>#DIV/0!</v>
      </c>
      <c r="CC138" s="88" t="e">
        <f ca="1">IF(BG138&lt;=Hypothèses!$V$7,Hypothèses!$X$7,IF(BG138&lt;=Hypothèses!$V$8,Hypothèses!$X$8,IF(BG138&lt;=Hypothèses!$V$9,Hypothèses!$X$9,IF(BG138&lt;=Hypothèses!$V$10,Hypothèses!$X$10,IF(BG138&lt;=Hypothèses!$V$11,Hypothèses!$X$11,IF(BG138&lt;=Hypothèses!$V$12,Hypothèses!$X$12,IF(BG138&lt;=Hypothèses!$V$13,Hypothèses!$X$13,IF(BG138&lt;=Hypothèses!$V$14,Hypothèses!$X$14,IF(BG138&lt;=Hypothèses!$V$15,Hypothèses!$X$15,IF(BG138&lt;=Hypothèses!$V$16,Hypothèses!$X$16,IF(BG138&lt;=Hypothèses!$U$17,Hypothèses!$W$17,IF(BG138&lt;=Hypothèses!$U$18,Hypothèses!$W$18,""))))))))))))</f>
        <v>#DIV/0!</v>
      </c>
      <c r="CD138" s="95" t="e">
        <f t="shared" ca="1" si="181"/>
        <v>#DIV/0!</v>
      </c>
      <c r="CE138" s="101">
        <f t="shared" si="226"/>
        <v>0</v>
      </c>
      <c r="CF138" s="91">
        <f t="shared" si="148"/>
        <v>0</v>
      </c>
      <c r="CG138" s="30" t="e">
        <f t="shared" si="206"/>
        <v>#N/A</v>
      </c>
      <c r="CH138" s="30" t="e">
        <f t="shared" si="207"/>
        <v>#N/A</v>
      </c>
      <c r="CI138" s="31" t="e">
        <f>IF(OR(Hypothèses!$B$4=17,Hypothèses!$B$4=18,Hypothèses!$B$4=19,Hypothèses!$B$4=20),
IF($D138="Pressio.",
IF(OR($E138=3,$E138=1,$E138=4),CH138,CG138),
IF($D138="Pénétro.",
IF(OR($E138=3,$E138=1,$E138=4),CH138,CG138))),IF($D138="Pressio.",
IF($E138=3,CH138,CG138),
IF($D138="Pénétro.",
IF($E138=4,CH138,CG138))))</f>
        <v>#N/A</v>
      </c>
      <c r="CJ138" s="31">
        <v>0</v>
      </c>
      <c r="CK138" s="102" t="e">
        <f>IF(NDC!$H$10="Oui",(VLOOKUP($B$3,'Coeff EC7'!$T$39:$X$59,2,0)*CI138+VLOOKUP($B$3,'Coeff EC7'!$T$65:$X$85,2,0)*Model0.1T!CJ138)/1.5,PI()*CG$12*$Q138*($B138-$B137)*0.15/10+CK137)</f>
        <v>#N/A</v>
      </c>
      <c r="CL138" s="102" t="e">
        <f>(VLOOKUP($B$3,'Coeff EC7'!$T$39:$X$59,3,0)*CI138+VLOOKUP($B$3,'Coeff EC7'!$T$65:$X$85,3,0)*Model0.1T!CJ138)/1.1</f>
        <v>#N/A</v>
      </c>
      <c r="CM138" s="102" t="e">
        <f t="shared" si="182"/>
        <v>#N/A</v>
      </c>
      <c r="CN138" s="102" t="e">
        <f t="shared" si="183"/>
        <v>#N/A</v>
      </c>
      <c r="CO138" s="414" t="e">
        <f>IF(AND(CK138&gt;NDC!$C$63,CL138&gt;NDC!$C$65,CM138&gt;NDC!$D$73,CN138&gt;NDC!$D$74,$B138&gt;NDC!$H$22-0.1+MIN(3*CO$12,1.5)),0,1)</f>
        <v>#N/A</v>
      </c>
      <c r="CP138" s="86" t="b">
        <f t="shared" si="149"/>
        <v>0</v>
      </c>
      <c r="CQ138" s="86">
        <f t="shared" si="150"/>
        <v>0.5</v>
      </c>
      <c r="CR138" s="86">
        <f t="shared" si="151"/>
        <v>0.5</v>
      </c>
      <c r="CS138" s="30" t="e">
        <f t="shared" ca="1" si="184"/>
        <v>#DIV/0!</v>
      </c>
      <c r="CT138" s="85" t="e">
        <f ca="1">IF(BZ138&lt;=Hypothèses!$V$7,Hypothèses!$W$7,IF(BZ138&lt;=Hypothèses!$V$8,Hypothèses!$W$8,IF(BZ138&lt;=Hypothèses!$V$9,Hypothèses!$W$9,IF(BZ138&lt;=Hypothèses!$V$10,Hypothèses!$W$10,IF(BZ138&lt;=Hypothèses!$V$11,Hypothèses!$W$11,IF(BZ138&lt;=Hypothèses!$V$12,Hypothèses!$W$12,IF(BZ138&lt;=Hypothèses!$V$13,Hypothèses!$W$13,IF(BZ138&lt;=Hypothèses!$V$14,Hypothèses!$W$14,IF(BZ138&lt;=Hypothèses!$V$15,Hypothèses!$W$15,IF(BZ138&lt;=Hypothèses!$V$16,Hypothèses!$W$16,IF(BZ138&lt;=Hypothèses!$V$17,Hypothèses!$W$17,IF(BZ138&lt;=Hypothèses!$V$18,Hypothèses!$W$18,""))))))))))))</f>
        <v>#DIV/0!</v>
      </c>
      <c r="CU138" s="87" t="e">
        <f t="shared" ca="1" si="220"/>
        <v>#DIV/0!</v>
      </c>
      <c r="CV138" s="88" t="e">
        <f ca="1">IF(BZ138&lt;=Hypothèses!$V$7,Hypothèses!$X$7,IF(BZ138&lt;=Hypothèses!$V$8,Hypothèses!$X$8,IF(BZ138&lt;=Hypothèses!$V$9,Hypothèses!$X$9,IF(BZ138&lt;=Hypothèses!$V$10,Hypothèses!$X$10,IF(BZ138&lt;=Hypothèses!$V$11,Hypothèses!$X$11,IF(BZ138&lt;=Hypothèses!$V$12,Hypothèses!$X$12,IF(BZ138&lt;=Hypothèses!$V$13,Hypothèses!$X$13,IF(BZ138&lt;=Hypothèses!$V$14,Hypothèses!$X$14,IF(BZ138&lt;=Hypothèses!$V$15,Hypothèses!$X$15,IF(BZ138&lt;=Hypothèses!$V$16,Hypothèses!$X$16,IF(BZ138&lt;=Hypothèses!$U$17,Hypothèses!$W$17,IF(BZ138&lt;=Hypothèses!$U$18,Hypothèses!$W$18,""))))))))))))</f>
        <v>#DIV/0!</v>
      </c>
      <c r="CW138" s="95" t="e">
        <f t="shared" ca="1" si="185"/>
        <v>#DIV/0!</v>
      </c>
      <c r="CX138" s="101">
        <f t="shared" si="227"/>
        <v>0</v>
      </c>
      <c r="CY138" s="91">
        <f t="shared" si="152"/>
        <v>0</v>
      </c>
      <c r="CZ138" s="30" t="e">
        <f t="shared" si="208"/>
        <v>#N/A</v>
      </c>
      <c r="DA138" s="30" t="e">
        <f t="shared" si="209"/>
        <v>#N/A</v>
      </c>
      <c r="DB138" s="31" t="e">
        <f>IF(OR(Hypothèses!$B$4=17,Hypothèses!$B$4=18,Hypothèses!$B$4=19,Hypothèses!$B$4=20),
IF($D138="Pressio.",
IF(OR($E138=3,$E138=1,$E138=4),DA138,CZ138),
IF($D138="Pénétro.",
IF(OR($E138=3,$E138=1,$E138=4),DA138,CZ138))),IF($D138="Pressio.",
IF($E138=3,DA138,CZ138),
IF($D138="Pénétro.",
IF($E138=4,DA138,CZ138))))</f>
        <v>#N/A</v>
      </c>
      <c r="DC138" s="31">
        <v>0</v>
      </c>
      <c r="DD138" s="102" t="e">
        <f>IF(NDC!$H$10="Oui",(VLOOKUP($B$3,'Coeff EC7'!$T$39:$X$59,2,0)*DB138+VLOOKUP($B$3,'Coeff EC7'!$T$65:$X$85,2,0)*Model0.1T!DC138)/1.5,PI()*CZ$12*$Q138*($B138-$B137)*0.15/10+DD137)</f>
        <v>#N/A</v>
      </c>
      <c r="DE138" s="102" t="e">
        <f>(VLOOKUP($B$3,'Coeff EC7'!$T$39:$X$59,3,0)*DB138+VLOOKUP($B$3,'Coeff EC7'!$T$65:$X$85,3,0)*Model0.1T!DC138)/1.1</f>
        <v>#N/A</v>
      </c>
      <c r="DF138" s="102" t="e">
        <f t="shared" si="186"/>
        <v>#N/A</v>
      </c>
      <c r="DG138" s="102" t="e">
        <f t="shared" si="187"/>
        <v>#N/A</v>
      </c>
      <c r="DH138" s="414" t="e">
        <f>IF(AND(DD138&gt;NDC!$C$63,DE138&gt;NDC!$C$65,DF138&gt;NDC!$D$73,DG138&gt;NDC!$D$74,$B138&gt;NDC!$H$22-0.1+MIN(3*DH$12,1.5)),0,1)</f>
        <v>#N/A</v>
      </c>
      <c r="DI138" s="86" t="b">
        <f t="shared" si="153"/>
        <v>0</v>
      </c>
      <c r="DJ138" s="86">
        <f t="shared" si="154"/>
        <v>0.5</v>
      </c>
      <c r="DK138" s="86">
        <f t="shared" si="155"/>
        <v>0.5</v>
      </c>
      <c r="DL138" s="30" t="e">
        <f t="shared" ca="1" si="188"/>
        <v>#DIV/0!</v>
      </c>
      <c r="DM138" s="85" t="e">
        <f ca="1">IF(CS138&lt;=Hypothèses!$V$7,Hypothèses!$W$7,IF(CS138&lt;=Hypothèses!$V$8,Hypothèses!$W$8,IF(CS138&lt;=Hypothèses!$V$9,Hypothèses!$W$9,IF(CS138&lt;=Hypothèses!$V$10,Hypothèses!$W$10,IF(CS138&lt;=Hypothèses!$V$11,Hypothèses!$W$11,IF(CS138&lt;=Hypothèses!$V$12,Hypothèses!$W$12,IF(CS138&lt;=Hypothèses!$V$13,Hypothèses!$W$13,IF(CS138&lt;=Hypothèses!$V$14,Hypothèses!$W$14,IF(CS138&lt;=Hypothèses!$V$15,Hypothèses!$W$15,IF(CS138&lt;=Hypothèses!$V$16,Hypothèses!$W$16,IF(CS138&lt;=Hypothèses!$V$17,Hypothèses!$W$17,IF(CS138&lt;=Hypothèses!$V$18,Hypothèses!$W$18,""))))))))))))</f>
        <v>#DIV/0!</v>
      </c>
      <c r="DN138" s="87" t="e">
        <f t="shared" ca="1" si="221"/>
        <v>#DIV/0!</v>
      </c>
      <c r="DO138" s="88" t="e">
        <f ca="1">IF(CS138&lt;=Hypothèses!$V$7,Hypothèses!$X$7,IF(CS138&lt;=Hypothèses!$V$8,Hypothèses!$X$8,IF(CS138&lt;=Hypothèses!$V$9,Hypothèses!$X$9,IF(CS138&lt;=Hypothèses!$V$10,Hypothèses!$X$10,IF(CS138&lt;=Hypothèses!$V$11,Hypothèses!$X$11,IF(CS138&lt;=Hypothèses!$V$12,Hypothèses!$X$12,IF(CS138&lt;=Hypothèses!$V$13,Hypothèses!$X$13,IF(CS138&lt;=Hypothèses!$V$14,Hypothèses!$X$14,IF(CS138&lt;=Hypothèses!$V$15,Hypothèses!$X$15,IF(CS138&lt;=Hypothèses!$V$16,Hypothèses!$X$16,IF(CS138&lt;=Hypothèses!$U$17,Hypothèses!$W$17,IF(CS138&lt;=Hypothèses!$U$18,Hypothèses!$W$18,""))))))))))))</f>
        <v>#DIV/0!</v>
      </c>
      <c r="DP138" s="95" t="e">
        <f t="shared" ca="1" si="189"/>
        <v>#DIV/0!</v>
      </c>
      <c r="DQ138" s="101">
        <f t="shared" si="228"/>
        <v>0</v>
      </c>
      <c r="DR138" s="91">
        <f t="shared" si="156"/>
        <v>0</v>
      </c>
      <c r="DS138" s="30" t="e">
        <f t="shared" si="210"/>
        <v>#N/A</v>
      </c>
      <c r="DT138" s="30" t="e">
        <f t="shared" si="211"/>
        <v>#N/A</v>
      </c>
      <c r="DU138" s="31" t="e">
        <f>IF(OR(Hypothèses!$B$4=17,Hypothèses!$B$4=18,Hypothèses!$B$4=19,Hypothèses!$B$4=20),
IF($D138="Pressio.",
IF(OR($E138=3,$E138=1,$E138=4),DT138,DS138),
IF($D138="Pénétro.",
IF(OR($E138=3,$E138=1,$E138=4),DT138,DS138))),IF($D138="Pressio.",
IF($E138=3,DT138,DS138),
IF($D138="Pénétro.",
IF($E138=4,DT138,DS138))))</f>
        <v>#N/A</v>
      </c>
      <c r="DV138" s="31">
        <v>0</v>
      </c>
      <c r="DW138" s="102" t="e">
        <f>IF(NDC!$H$10="Oui",(VLOOKUP($B$3,'Coeff EC7'!$T$39:$X$59,2,0)*DU138+VLOOKUP($B$3,'Coeff EC7'!$T$65:$X$85,2,0)*Model0.1T!DV138)/1.5,PI()*DS$12*$Q138*($B138-$B137)*0.15/10+DW137)</f>
        <v>#N/A</v>
      </c>
      <c r="DX138" s="102" t="e">
        <f>(VLOOKUP($B$3,'Coeff EC7'!$T$39:$X$59,3,0)*DU138+VLOOKUP($B$3,'Coeff EC7'!$T$65:$X$85,3,0)*Model0.1T!DV138)/1.1</f>
        <v>#N/A</v>
      </c>
      <c r="DY138" s="102" t="e">
        <f t="shared" si="190"/>
        <v>#N/A</v>
      </c>
      <c r="DZ138" s="102" t="e">
        <f t="shared" si="191"/>
        <v>#N/A</v>
      </c>
      <c r="EA138" s="414" t="e">
        <f>IF(AND(DW138&gt;NDC!$C$63,DX138&gt;NDC!$C$65,DY138&gt;NDC!$D$73,DZ138&gt;NDC!$D$74,$B138&gt;NDC!$H$22-0.1+MIN(3*EA$12,1.5)),0,1)</f>
        <v>#N/A</v>
      </c>
      <c r="EB138" s="86" t="b">
        <f t="shared" si="157"/>
        <v>0</v>
      </c>
      <c r="EC138" s="418">
        <f t="shared" si="158"/>
        <v>0.51</v>
      </c>
      <c r="ED138" s="86">
        <f t="shared" si="159"/>
        <v>0.51</v>
      </c>
      <c r="EE138" s="30" t="e">
        <f t="shared" ca="1" si="192"/>
        <v>#DIV/0!</v>
      </c>
      <c r="EF138" s="85" t="e">
        <f ca="1">IF(DL138&lt;=Hypothèses!$V$7,Hypothèses!$W$7,IF(DL138&lt;=Hypothèses!$V$8,Hypothèses!$W$8,IF(DL138&lt;=Hypothèses!$V$9,Hypothèses!$W$9,IF(DL138&lt;=Hypothèses!$V$10,Hypothèses!$W$10,IF(DL138&lt;=Hypothèses!$V$11,Hypothèses!$W$11,IF(DL138&lt;=Hypothèses!$V$12,Hypothèses!$W$12,IF(DL138&lt;=Hypothèses!$V$13,Hypothèses!$W$13,IF(DL138&lt;=Hypothèses!$V$14,Hypothèses!$W$14,IF(DL138&lt;=Hypothèses!$V$15,Hypothèses!$W$15,IF(DL138&lt;=Hypothèses!$V$16,Hypothèses!$W$16,IF(DL138&lt;=Hypothèses!$V$17,Hypothèses!$W$17,IF(DL138&lt;=Hypothèses!$V$18,Hypothèses!$W$18,""))))))))))))</f>
        <v>#DIV/0!</v>
      </c>
      <c r="EG138" s="87" t="e">
        <f t="shared" ca="1" si="222"/>
        <v>#DIV/0!</v>
      </c>
      <c r="EH138" s="88" t="e">
        <f ca="1">IF(DL138&lt;=Hypothèses!$V$7,Hypothèses!$X$7,IF(DL138&lt;=Hypothèses!$V$8,Hypothèses!$X$8,IF(DL138&lt;=Hypothèses!$V$9,Hypothèses!$X$9,IF(DL138&lt;=Hypothèses!$V$10,Hypothèses!$X$10,IF(DL138&lt;=Hypothèses!$V$11,Hypothèses!$X$11,IF(DL138&lt;=Hypothèses!$V$12,Hypothèses!$X$12,IF(DL138&lt;=Hypothèses!$V$13,Hypothèses!$X$13,IF(DL138&lt;=Hypothèses!$V$14,Hypothèses!$X$14,IF(DL138&lt;=Hypothèses!$V$15,Hypothèses!$X$15,IF(DL138&lt;=Hypothèses!$V$16,Hypothèses!$X$16,IF(DL138&lt;=Hypothèses!$U$17,Hypothèses!$W$17,IF(DL138&lt;=Hypothèses!$U$18,Hypothèses!$W$18,""))))))))))))</f>
        <v>#DIV/0!</v>
      </c>
      <c r="EI138" s="95" t="e">
        <f t="shared" ca="1" si="193"/>
        <v>#DIV/0!</v>
      </c>
      <c r="EJ138" s="101">
        <f t="shared" si="229"/>
        <v>0</v>
      </c>
      <c r="EK138" s="91">
        <f t="shared" si="160"/>
        <v>0</v>
      </c>
      <c r="EL138" s="30" t="e">
        <f t="shared" si="212"/>
        <v>#N/A</v>
      </c>
      <c r="EM138" s="30" t="e">
        <f t="shared" si="213"/>
        <v>#N/A</v>
      </c>
      <c r="EN138" s="31" t="e">
        <f>IF(OR(Hypothèses!$B$4=17,Hypothèses!$B$4=18,Hypothèses!$B$4=19,Hypothèses!$B$4=20),
IF($D138="Pressio.",
IF(OR($E138=3,$E138=1,$E138=4),EM138,EL138),
IF($D138="Pénétro.",
IF(OR($E138=3,$E138=1,$E138=4),EM138,EL138))),IF($D138="Pressio.",
IF($E138=3,EM138,EL138),
IF($D138="Pénétro.",
IF($E138=4,EM138,EL138))))</f>
        <v>#N/A</v>
      </c>
      <c r="EO138" s="31">
        <v>0</v>
      </c>
      <c r="EP138" s="102" t="e">
        <f>IF(NDC!$H$10="Oui",(VLOOKUP($B$3,'Coeff EC7'!$T$39:$X$59,2,0)*EN138+VLOOKUP($B$3,'Coeff EC7'!$T$65:$X$85,2,0)*Model0.1T!EO138)/1.5,PI()*EL$12*$Q138*($B138-$B137)*0.15/10+EP137)</f>
        <v>#N/A</v>
      </c>
      <c r="EQ138" s="102" t="e">
        <f>(VLOOKUP($B$3,'Coeff EC7'!$T$39:$X$59,3,0)*EN138+VLOOKUP($B$3,'Coeff EC7'!$T$65:$X$85,3,0)*Model0.1T!EO138)/1.1</f>
        <v>#N/A</v>
      </c>
      <c r="ER138" s="102" t="e">
        <f t="shared" si="194"/>
        <v>#N/A</v>
      </c>
      <c r="ES138" s="102" t="e">
        <f t="shared" si="195"/>
        <v>#N/A</v>
      </c>
      <c r="ET138" s="414" t="e">
        <f>IF(AND(EP138&gt;NDC!$C$63,EQ138&gt;NDC!$C$65,ER138&gt;NDC!$D$73,ES138&gt;NDC!$D$74,$B138&gt;NDC!$H$22-0.1+MIN(3*ET$12,1.5)),0,1)</f>
        <v>#N/A</v>
      </c>
      <c r="EU138" s="86" t="b">
        <f t="shared" si="161"/>
        <v>0</v>
      </c>
      <c r="EV138" s="86">
        <f t="shared" si="162"/>
        <v>0.61</v>
      </c>
      <c r="EW138" s="86">
        <f t="shared" si="163"/>
        <v>0.61</v>
      </c>
      <c r="EX138" s="30" t="e">
        <f t="shared" ca="1" si="196"/>
        <v>#DIV/0!</v>
      </c>
      <c r="EY138" s="85" t="e">
        <f ca="1">IF(EE138&lt;=Hypothèses!$V$7,Hypothèses!$W$7,IF(EE138&lt;=Hypothèses!$V$8,Hypothèses!$W$8,IF(EE138&lt;=Hypothèses!$V$9,Hypothèses!$W$9,IF(EE138&lt;=Hypothèses!$V$10,Hypothèses!$W$10,IF(EE138&lt;=Hypothèses!$V$11,Hypothèses!$W$11,IF(EE138&lt;=Hypothèses!$V$12,Hypothèses!$W$12,IF(EE138&lt;=Hypothèses!$V$13,Hypothèses!$W$13,IF(EE138&lt;=Hypothèses!$V$14,Hypothèses!$W$14,IF(EE138&lt;=Hypothèses!$V$15,Hypothèses!$W$15,IF(EE138&lt;=Hypothèses!$V$16,Hypothèses!$W$16,IF(EE138&lt;=Hypothèses!$V$17,Hypothèses!$W$17,IF(EE138&lt;=Hypothèses!$V$18,Hypothèses!$W$18,""))))))))))))</f>
        <v>#DIV/0!</v>
      </c>
      <c r="EZ138" s="87" t="e">
        <f t="shared" ca="1" si="223"/>
        <v>#DIV/0!</v>
      </c>
      <c r="FA138" s="88" t="e">
        <f ca="1">IF(EE138&lt;=Hypothèses!$V$7,Hypothèses!$X$7,IF(EE138&lt;=Hypothèses!$V$8,Hypothèses!$X$8,IF(EE138&lt;=Hypothèses!$V$9,Hypothèses!$X$9,IF(EE138&lt;=Hypothèses!$V$10,Hypothèses!$X$10,IF(EE138&lt;=Hypothèses!$V$11,Hypothèses!$X$11,IF(EE138&lt;=Hypothèses!$V$12,Hypothèses!$X$12,IF(EE138&lt;=Hypothèses!$V$13,Hypothèses!$X$13,IF(EE138&lt;=Hypothèses!$V$14,Hypothèses!$X$14,IF(EE138&lt;=Hypothèses!$V$15,Hypothèses!$X$15,IF(EE138&lt;=Hypothèses!$V$16,Hypothèses!$X$16,IF(EE138&lt;=Hypothèses!$U$17,Hypothèses!$W$17,IF(EE138&lt;=Hypothèses!$U$18,Hypothèses!$W$18,""))))))))))))</f>
        <v>#DIV/0!</v>
      </c>
      <c r="FB138" s="95" t="e">
        <f t="shared" ca="1" si="197"/>
        <v>#DIV/0!</v>
      </c>
      <c r="FC138" s="101">
        <f t="shared" si="230"/>
        <v>0</v>
      </c>
      <c r="FD138" s="91">
        <f t="shared" si="164"/>
        <v>0</v>
      </c>
      <c r="FE138" s="30" t="e">
        <f t="shared" si="214"/>
        <v>#N/A</v>
      </c>
      <c r="FF138" s="30" t="e">
        <f t="shared" si="215"/>
        <v>#N/A</v>
      </c>
      <c r="FG138" s="31" t="e">
        <f>IF(OR(Hypothèses!$B$4=17,Hypothèses!$B$4=18,Hypothèses!$B$4=19,Hypothèses!$B$4=20),
IF($D138="Pressio.",
IF(OR($E138=3,$E138=1,$E138=4),FF138,FE138),
IF($D138="Pénétro.",
IF(OR($E138=3,$E138=1,$E138=4),FF138,FE138))),IF($D138="Pressio.",
IF($E138=3,FF138,FE138),
IF($D138="Pénétro.",
IF($E138=4,FF138,FE138))))</f>
        <v>#N/A</v>
      </c>
      <c r="FH138" s="31">
        <v>0</v>
      </c>
      <c r="FI138" s="102" t="e">
        <f>IF(NDC!$H$10="Oui",(VLOOKUP($B$3,'Coeff EC7'!$T$39:$X$59,2,0)*FG138+VLOOKUP($B$3,'Coeff EC7'!$T$65:$X$85,2,0)*Model0.1T!FH138)/1.5,PI()*FE$12*$Q138*($B138-$B137)*0.15/10+FI137)</f>
        <v>#N/A</v>
      </c>
      <c r="FJ138" s="102" t="e">
        <f>(VLOOKUP($B$3,'Coeff EC7'!$T$39:$X$59,3,0)*FG138+VLOOKUP($B$3,'Coeff EC7'!$T$65:$X$85,3,0)*Model0.1T!FH138)/1.1</f>
        <v>#N/A</v>
      </c>
      <c r="FK138" s="102" t="e">
        <f t="shared" si="198"/>
        <v>#N/A</v>
      </c>
      <c r="FL138" s="102" t="e">
        <f t="shared" si="199"/>
        <v>#N/A</v>
      </c>
      <c r="FM138" s="414" t="e">
        <f>IF(AND(FI138&gt;NDC!$C$63,FJ138&gt;NDC!$C$65,FK138&gt;NDC!$D$73,FL138&gt;NDC!$D$74,$B138&gt;NDC!$H$22-0.1+MIN(3*FM$12,1.5)),0,1)</f>
        <v>#N/A</v>
      </c>
    </row>
    <row r="139" spans="1:169">
      <c r="A139" s="96">
        <f t="shared" si="165"/>
        <v>87.400000000000716</v>
      </c>
      <c r="B139" s="97">
        <v>12.6</v>
      </c>
      <c r="C139" s="81">
        <f>IF(B139&lt;=Hypothèses!$C$7,Hypothèses!$A$7,IF(B139&lt;=Hypothèses!$C$8,Hypothèses!$A$8,IF(B139&lt;=Hypothèses!$C$9,Hypothèses!$A$9,IF(B139&lt;=Hypothèses!$C$10,Hypothèses!$A$10,IF(B139&lt;=Hypothèses!$C$11,Hypothèses!$A$11,IF(B139&lt;=Hypothèses!$C$12,Hypothèses!$A$12,IF(B139&lt;=Hypothèses!$C$13,Hypothèses!$A$13,IF(B139&lt;=Hypothèses!$C$14,Hypothèses!$A$14,IF(B139&lt;=Hypothèses!$C$15,Hypothèses!$A$15,IF(B139&lt;=Hypothèses!$C$16,Hypothèses!$A$16,IF(B139&lt;=Hypothèses!$C$17,Hypothèses!$A$17,IF(B139&lt;=Hypothèses!$C$18,Hypothèses!$A$18,C138))))))))))))</f>
        <v>11</v>
      </c>
      <c r="D139" s="82" t="str">
        <f>IF(B139&lt;=Hypothèses!$C$7,Hypothèses!$R$7,IF(B139&lt;=Hypothèses!$C$8,Hypothèses!$R$8,IF(B139&lt;=Hypothèses!$C$9,Hypothèses!$R$9,IF(B139&lt;=Hypothèses!$C$10,Hypothèses!$R$10,IF(B139&lt;=Hypothèses!$C$11,Hypothèses!$R$11,IF(B139&lt;=Hypothèses!$C$12,Hypothèses!$R$12,IF(B139&lt;=Hypothèses!$C$13,Hypothèses!$R$13,IF(B139&lt;=Hypothèses!$C$14,Hypothèses!$R$14,IF(B139&lt;=Hypothèses!$C$15,Hypothèses!$R$15,IF(B139&lt;=Hypothèses!$C$16,Hypothèses!$R$16,IF(B139&lt;=Hypothèses!$C$17,Hypothèses!$R$17,IF(B139&lt;=Hypothèses!$C$18,Hypothèses!$R$18,D138))))))))))))</f>
        <v>Pressio.</v>
      </c>
      <c r="E139" s="82" t="e">
        <f>IF(B139&lt;=Hypothèses!$C$7,Hypothèses!$G$7,IF(B139&lt;=Hypothèses!$C$8,Hypothèses!$G$8,IF(B139&lt;=Hypothèses!$C$9,Hypothèses!$G$9,IF(B139&lt;=Hypothèses!$C$10,Hypothèses!$G$10,IF(B139&lt;=Hypothèses!$C$11,Hypothèses!$G$11,IF(B139&lt;=Hypothèses!$C$12,Hypothèses!$G$12,IF(B139&lt;=Hypothèses!$C$13,Hypothèses!$G$13,IF(B139&lt;=Hypothèses!$C$14,Hypothèses!$G$14,IF(B139&lt;=Hypothèses!$C$15,Hypothèses!$G$15,IF(B139&lt;=Hypothèses!$C$16,Hypothèses!$G$16,IF(B139&lt;=Hypothèses!$C$17,Hypothèses!$G$17,IF(B139&lt;=Hypothèses!$C$18,Hypothèses!$G$18,E138))))))))))))</f>
        <v>#N/A</v>
      </c>
      <c r="F139" s="82" t="str">
        <f>IF(B139&lt;=Hypothèses!$C$7,Hypothèses!$F$7,IF(B139&lt;=Hypothèses!$C$8,Hypothèses!$F$8,IF(B139&lt;=Hypothèses!$C$9,Hypothèses!$F$9,IF(B139&lt;=Hypothèses!$C$10,Hypothèses!$F$10,IF(B139&lt;=Hypothèses!$C$11,Hypothèses!$F$11,IF(B139&lt;=Hypothèses!$C$12,Hypothèses!$F$12,IF(B139&lt;=Hypothèses!$C$13,Hypothèses!$F$13,IF(B139&lt;=Hypothèses!$C$14,Hypothèses!$F$14,IF(B139&lt;=Hypothèses!$C$15,Hypothèses!$F$15,IF(B139&lt;=Hypothèses!$C$16,Hypothèses!$F$16,IF(B139&lt;=Hypothèses!$C$17,Hypothèses!$F$17,IF(B139&lt;=Hypothèses!$C$18,Hypothèses!$F$18,F138))))))))))))</f>
        <v/>
      </c>
      <c r="G139" s="91">
        <f t="array" ref="G139">INDEX('Coeff EC7'!$U$7:$X$27,
MATCH(Model0.1T!$B$3,'Coeff EC7'!$T$7:$T$27,0),
MATCH(Model0.1T!$D139&amp;Model0.1T!$B$4,
'Coeff EC7'!$U$6:$X$6&amp;
'Coeff EC7'!$U$5:$X$5,0))</f>
        <v>1.4</v>
      </c>
      <c r="H139" s="91">
        <f t="array" ref="H139">INDEX('Coeff EC7'!$Y$7:$AB$27,
MATCH(Model0.1T!$B$3,'Coeff EC7'!$T$7:$T$27,0),
MATCH(Model0.1T!$D139&amp;Model0.1T!$B$4,
'Coeff EC7'!$Y$6:$AB$6&amp;
'Coeff EC7'!$Y$5:$AB$5,0))</f>
        <v>1.7</v>
      </c>
      <c r="I139" s="83">
        <v>0</v>
      </c>
      <c r="J139" s="91" t="e">
        <f t="array" ref="J139">INDEX('Coeff EC7'!$D$33:$Q$33,1,MATCH(D139&amp;E139,'Coeff EC7'!$D$31:$Q$31&amp;'Coeff EC7'!$D$32:$Q$32,0))</f>
        <v>#N/A</v>
      </c>
      <c r="K139" s="91" t="e">
        <f t="array" ref="K139">INDEX('Coeff EC7'!$D$34:$Q$34,1,MATCH(D139&amp;E139,'Coeff EC7'!$D$31:$Q$31&amp;'Coeff EC7'!$D$32:$Q$32,0))</f>
        <v>#N/A</v>
      </c>
      <c r="L139" s="91" t="e">
        <f t="array" ref="L139">INDEX('Coeff EC7'!$D$35:$Q$35,1,MATCH(D139&amp;E139,'Coeff EC7'!$D$31:$Q$31&amp;'Coeff EC7'!$D$32:$Q$32,0))</f>
        <v>#N/A</v>
      </c>
      <c r="M139" s="98" t="e">
        <f t="shared" si="131"/>
        <v>#N/A</v>
      </c>
      <c r="N139" s="99" t="e">
        <f t="array" ref="N139">INDEX('Coeff EC7'!$D$7:$Q$27,MATCH($B$3,'Coeff EC7'!$C$7:$C$27,0),MATCH(D139&amp;E139,'Coeff EC7'!$D$5:$Q$5&amp;'Coeff EC7'!$D$6:$Q$6,0))</f>
        <v>#N/A</v>
      </c>
      <c r="O139" s="99" t="e">
        <f t="array" ref="O139">INDEX('Coeff EC7'!$D$41:$Q$61,MATCH($B$3,'Coeff EC7'!$C$41:$C$61,0),MATCH(D139&amp;E139,'Coeff EC7'!$D$39:$Q$39&amp;'Coeff EC7'!$D$40:$Q$40,0))</f>
        <v>#N/A</v>
      </c>
      <c r="P139" s="30" t="e">
        <f t="shared" si="166"/>
        <v>#N/A</v>
      </c>
      <c r="Q139" s="100" t="e">
        <f t="shared" si="133"/>
        <v>#N/A</v>
      </c>
      <c r="R139" s="86" t="b">
        <f t="shared" si="134"/>
        <v>0</v>
      </c>
      <c r="S139" s="86">
        <f t="shared" si="132"/>
        <v>0.5</v>
      </c>
      <c r="T139" s="86">
        <f t="shared" si="135"/>
        <v>0.5</v>
      </c>
      <c r="U139" s="30" t="e">
        <f t="shared" ca="1" si="167"/>
        <v>#DIV/0!</v>
      </c>
      <c r="V139" s="85" t="str">
        <f>IF(B139&lt;=Hypothèses!$V$7,Hypothèses!$W$7,IF(B139&lt;=Hypothèses!$V$8,Hypothèses!$W$8,IF(B139&lt;=Hypothèses!$V$9,Hypothèses!$W$9,IF(B139&lt;=Hypothèses!$V$10,Hypothèses!$W$10,IF(B139&lt;=Hypothèses!$V$11,Hypothèses!$W$11,IF(B139&lt;=Hypothèses!$V$12,Hypothèses!$W$12,IF(B139&lt;=Hypothèses!$V$13,Hypothèses!$W$13,IF(B139&lt;=Hypothèses!$V$14,Hypothèses!$W$14,IF(B139&lt;=Hypothèses!$V$15,Hypothèses!$W$15,IF(B139&lt;=Hypothèses!$V$16,Hypothèses!$W$16,IF(B139&lt;=Hypothèses!$V$17,Hypothèses!$W$17,IF(B139&lt;=Hypothèses!$V$18,Hypothèses!$W$18,""))))))))))))</f>
        <v/>
      </c>
      <c r="W139" s="87" t="e">
        <f t="shared" ca="1" si="216"/>
        <v>#DIV/0!</v>
      </c>
      <c r="X139" s="88" t="str">
        <f>IF(B139&lt;=Hypothèses!$V$7,Hypothèses!$X$7,IF(B139&lt;=Hypothèses!$V$8,Hypothèses!$X$8,IF(B139&lt;=Hypothèses!$V$9,Hypothèses!$X$9,IF(B139&lt;=Hypothèses!$V$10,Hypothèses!$X$10,IF(B139&lt;=Hypothèses!$V$11,Hypothèses!$X$11,IF(B139&lt;=Hypothèses!$V$12,Hypothèses!$X$12,IF(B139&lt;=Hypothèses!$V$13,Hypothèses!$X$13,IF(B139&lt;=Hypothèses!$V$14,Hypothèses!$X$14,IF(B139&lt;=Hypothèses!$V$15,Hypothèses!$X$15,IF(B139&lt;=Hypothèses!$V$16,Hypothèses!$X$16,IF(B139&lt;=Hypothèses!$U$17,Hypothèses!$W$17,IF(B139&lt;=Hypothèses!$U$18,Hypothèses!$W$18,""))))))))))))</f>
        <v/>
      </c>
      <c r="Y139" s="95" t="e">
        <f t="shared" ca="1" si="136"/>
        <v>#DIV/0!</v>
      </c>
      <c r="Z139" s="101">
        <f t="shared" si="137"/>
        <v>0</v>
      </c>
      <c r="AA139" s="91">
        <f t="shared" si="138"/>
        <v>0</v>
      </c>
      <c r="AB139" s="30" t="e">
        <f t="shared" si="200"/>
        <v>#N/A</v>
      </c>
      <c r="AC139" s="30" t="e">
        <f t="shared" si="201"/>
        <v>#N/A</v>
      </c>
      <c r="AD139" s="31" t="e">
        <f>IF(OR(Hypothèses!$B$4=17,Hypothèses!$B$4=18,Hypothèses!$B$4=19,Hypothèses!$B$4=20),
IF($D139="Pressio.",
IF(OR($E139=3,$E139=1,$E139=4),AC139,AB139),
IF($D139="Pénétro.",
IF(OR($E139=3,$E139=1,$E139=4),AC139,AB139))),IF($D139="Pressio.",
IF($E139=3,AC139,AB139),
IF($D139="Pénétro.",
IF($E139=4,AC139,AB139))))</f>
        <v>#N/A</v>
      </c>
      <c r="AE139" s="31">
        <v>0</v>
      </c>
      <c r="AF139" s="102" t="e">
        <f>IF(NDC!$H$10="Oui",(VLOOKUP($B$3,'Coeff EC7'!$T$39:$X$59,2,0)*AD139+VLOOKUP($B$3,'Coeff EC7'!$T$65:$X$85,2,0)*Model0.1T!AE139)/1.5,PI()*AB$12*$Q139*($B139-$B138)*0.15/10+AF138)</f>
        <v>#N/A</v>
      </c>
      <c r="AG139" s="102" t="e">
        <f>(VLOOKUP($B$3,'Coeff EC7'!$T$39:$X$59,3,0)*AD139+VLOOKUP($B$3,'Coeff EC7'!$T$65:$X$85,3,0)*Model0.1T!AE139)/1.1</f>
        <v>#N/A</v>
      </c>
      <c r="AH139" s="102" t="e">
        <f t="shared" si="168"/>
        <v>#N/A</v>
      </c>
      <c r="AI139" s="102" t="e">
        <f t="shared" si="169"/>
        <v>#N/A</v>
      </c>
      <c r="AJ139" s="414" t="e">
        <f>IF(AND(AF139&gt;NDC!$C$63,AG139&gt;NDC!$C$65,AH139&gt;NDC!$D$73,AI139&gt;NDC!$D$74,$B139&gt;NDC!$H$22-0.1+MIN(3*$AJ$12,1.5)),0,1)</f>
        <v>#N/A</v>
      </c>
      <c r="AK139" s="86" t="b">
        <f t="shared" si="139"/>
        <v>0</v>
      </c>
      <c r="AL139" s="86">
        <f t="shared" si="170"/>
        <v>0.5</v>
      </c>
      <c r="AM139" s="86">
        <f t="shared" si="140"/>
        <v>0.5</v>
      </c>
      <c r="AN139" s="30" t="e">
        <f t="shared" ca="1" si="171"/>
        <v>#DIV/0!</v>
      </c>
      <c r="AO139" s="85" t="e">
        <f ca="1">IF(U139&lt;=Hypothèses!$V$7,Hypothèses!$W$7,IF(U139&lt;=Hypothèses!$V$8,Hypothèses!$W$8,IF(U139&lt;=Hypothèses!$V$9,Hypothèses!$W$9,IF(U139&lt;=Hypothèses!$V$10,Hypothèses!$W$10,IF(U139&lt;=Hypothèses!$V$11,Hypothèses!$W$11,IF(U139&lt;=Hypothèses!$V$12,Hypothèses!$W$12,IF(U139&lt;=Hypothèses!$V$13,Hypothèses!$W$13,IF(U139&lt;=Hypothèses!$V$14,Hypothèses!$W$14,IF(U139&lt;=Hypothèses!$V$15,Hypothèses!$W$15,IF(U139&lt;=Hypothèses!$V$16,Hypothèses!$W$16,IF(U139&lt;=Hypothèses!$V$17,Hypothèses!$W$17,IF(U139&lt;=Hypothèses!$V$18,Hypothèses!$W$18,""))))))))))))</f>
        <v>#DIV/0!</v>
      </c>
      <c r="AP139" s="87" t="e">
        <f t="shared" ca="1" si="217"/>
        <v>#DIV/0!</v>
      </c>
      <c r="AQ139" s="88" t="e">
        <f ca="1">IF(U139&lt;=Hypothèses!$V$7,Hypothèses!$X$7,IF(U139&lt;=Hypothèses!$V$8,Hypothèses!$X$8,IF(U139&lt;=Hypothèses!$V$9,Hypothèses!$X$9,IF(U139&lt;=Hypothèses!$V$10,Hypothèses!$X$10,IF(U139&lt;=Hypothèses!$V$11,Hypothèses!$X$11,IF(U139&lt;=Hypothèses!$V$12,Hypothèses!$X$12,IF(U139&lt;=Hypothèses!$V$13,Hypothèses!$X$13,IF(U139&lt;=Hypothèses!$V$14,Hypothèses!$X$14,IF(U139&lt;=Hypothèses!$V$15,Hypothèses!$X$15,IF(U139&lt;=Hypothèses!$V$16,Hypothèses!$X$16,IF(U139&lt;=Hypothèses!$U$17,Hypothèses!$W$17,IF(U139&lt;=Hypothèses!$U$18,Hypothèses!$W$18,""))))))))))))</f>
        <v>#DIV/0!</v>
      </c>
      <c r="AR139" s="95" t="e">
        <f t="shared" ca="1" si="172"/>
        <v>#DIV/0!</v>
      </c>
      <c r="AS139" s="101">
        <f t="shared" si="224"/>
        <v>0</v>
      </c>
      <c r="AT139" s="91">
        <f t="shared" si="141"/>
        <v>0</v>
      </c>
      <c r="AU139" s="30" t="e">
        <f t="shared" si="202"/>
        <v>#N/A</v>
      </c>
      <c r="AV139" s="30" t="e">
        <f t="shared" si="203"/>
        <v>#N/A</v>
      </c>
      <c r="AW139" s="31" t="e">
        <f>IF(OR(Hypothèses!$B$4=17,Hypothèses!$B$4=18,Hypothèses!$B$4=19,Hypothèses!$B$4=20),
IF($D139="Pressio.",
IF(OR($E139=3,$E139=1,$E139=4),AV139,AU139),
IF($D139="Pénétro.",
IF(OR($E139=3,$E139=1,$E139=4),AV139,AU139))),IF($D139="Pressio.",
IF($E139=3,AV139,AU139),
IF($D139="Pénétro.",
IF($E139=4,AV139,AU139))))</f>
        <v>#N/A</v>
      </c>
      <c r="AX139" s="31">
        <v>0</v>
      </c>
      <c r="AY139" s="102" t="e">
        <f>IF(NDC!$H$10="Oui",(VLOOKUP($B$3,'Coeff EC7'!$T$39:$X$59,2,0)*AW139+VLOOKUP($B$3,'Coeff EC7'!$T$65:$X$85,2,0)*Model0.1T!AX139)/1.5,PI()*AU$12*$Q139*($B139-$B138)*0.15/10+AY138)</f>
        <v>#N/A</v>
      </c>
      <c r="AZ139" s="102" t="e">
        <f>(VLOOKUP($B$3,'Coeff EC7'!$T$39:$X$59,3,0)*AW139+VLOOKUP($B$3,'Coeff EC7'!$T$65:$X$85,3,0)*Model0.1T!AX139)/1.1</f>
        <v>#N/A</v>
      </c>
      <c r="BA139" s="102" t="e">
        <f t="shared" si="173"/>
        <v>#N/A</v>
      </c>
      <c r="BB139" s="102" t="e">
        <f t="shared" si="174"/>
        <v>#N/A</v>
      </c>
      <c r="BC139" s="414" t="e">
        <f>IF(AND(AY139&gt;NDC!$C$63,AZ139&gt;NDC!$C$65,BA139&gt;NDC!$D$73,BB139&gt;NDC!$D$74,$B139&gt;NDC!$H$22-0.1+MIN(3*BC$12,1.5)),0,1)</f>
        <v>#N/A</v>
      </c>
      <c r="BD139" s="86" t="b">
        <f t="shared" si="142"/>
        <v>0</v>
      </c>
      <c r="BE139" s="86">
        <f t="shared" si="175"/>
        <v>0.5</v>
      </c>
      <c r="BF139" s="86">
        <f t="shared" si="143"/>
        <v>0.5</v>
      </c>
      <c r="BG139" s="30" t="e">
        <f t="shared" ca="1" si="176"/>
        <v>#DIV/0!</v>
      </c>
      <c r="BH139" s="85" t="e">
        <f ca="1">IF(AN139&lt;=Hypothèses!$V$7,Hypothèses!$W$7,IF(AN139&lt;=Hypothèses!$V$8,Hypothèses!$W$8,IF(AN139&lt;=Hypothèses!$V$9,Hypothèses!$W$9,IF(AN139&lt;=Hypothèses!$V$10,Hypothèses!$W$10,IF(AN139&lt;=Hypothèses!$V$11,Hypothèses!$W$11,IF(AN139&lt;=Hypothèses!$V$12,Hypothèses!$W$12,IF(AN139&lt;=Hypothèses!$V$13,Hypothèses!$W$13,IF(AN139&lt;=Hypothèses!$V$14,Hypothèses!$W$14,IF(AN139&lt;=Hypothèses!$V$15,Hypothèses!$W$15,IF(AN139&lt;=Hypothèses!$V$16,Hypothèses!$W$16,IF(AN139&lt;=Hypothèses!$V$17,Hypothèses!$W$17,IF(AN139&lt;=Hypothèses!$V$18,Hypothèses!$W$18,""))))))))))))</f>
        <v>#DIV/0!</v>
      </c>
      <c r="BI139" s="87" t="e">
        <f t="shared" ca="1" si="218"/>
        <v>#DIV/0!</v>
      </c>
      <c r="BJ139" s="88" t="e">
        <f ca="1">IF(AN139&lt;=Hypothèses!$V$7,Hypothèses!$X$7,IF(AN139&lt;=Hypothèses!$V$8,Hypothèses!$X$8,IF(AN139&lt;=Hypothèses!$V$9,Hypothèses!$X$9,IF(AN139&lt;=Hypothèses!$V$10,Hypothèses!$X$10,IF(AN139&lt;=Hypothèses!$V$11,Hypothèses!$X$11,IF(AN139&lt;=Hypothèses!$V$12,Hypothèses!$X$12,IF(AN139&lt;=Hypothèses!$V$13,Hypothèses!$X$13,IF(AN139&lt;=Hypothèses!$V$14,Hypothèses!$X$14,IF(AN139&lt;=Hypothèses!$V$15,Hypothèses!$X$15,IF(AN139&lt;=Hypothèses!$V$16,Hypothèses!$X$16,IF(AN139&lt;=Hypothèses!$U$17,Hypothèses!$W$17,IF(AN139&lt;=Hypothèses!$U$18,Hypothèses!$W$18,""))))))))))))</f>
        <v>#DIV/0!</v>
      </c>
      <c r="BK139" s="95" t="e">
        <f t="shared" ca="1" si="177"/>
        <v>#DIV/0!</v>
      </c>
      <c r="BL139" s="101">
        <f t="shared" si="225"/>
        <v>0</v>
      </c>
      <c r="BM139" s="91">
        <f t="shared" si="144"/>
        <v>0</v>
      </c>
      <c r="BN139" s="30" t="e">
        <f t="shared" si="204"/>
        <v>#N/A</v>
      </c>
      <c r="BO139" s="30" t="e">
        <f t="shared" si="205"/>
        <v>#N/A</v>
      </c>
      <c r="BP139" s="31" t="e">
        <f>IF(OR(Hypothèses!$B$4=17,Hypothèses!$B$4=18,Hypothèses!$B$4=19,Hypothèses!$B$4=20),
IF($D139="Pressio.",
IF(OR($E139=3,$E139=1,$E139=4),BO139,BN139),
IF($D139="Pénétro.",
IF(OR($E139=3,$E139=1,$E139=4),BO139,BN139))),IF($D139="Pressio.",
IF($E139=3,BO139,BN139),
IF($D139="Pénétro.",
IF($E139=4,BO139,BN139))))</f>
        <v>#N/A</v>
      </c>
      <c r="BQ139" s="31">
        <v>0</v>
      </c>
      <c r="BR139" s="102" t="e">
        <f>IF(NDC!$H$10="Oui",(VLOOKUP($B$3,'Coeff EC7'!$T$39:$X$59,2,0)*BP139+VLOOKUP($B$3,'Coeff EC7'!$T$65:$X$85,2,0)*Model0.1T!BQ139)/1.5,PI()*BN$12*$Q139*($B139-$B138)*0.15/10+BR138)</f>
        <v>#N/A</v>
      </c>
      <c r="BS139" s="102" t="e">
        <f>(VLOOKUP($B$3,'Coeff EC7'!$T$39:$X$59,3,0)*BP139+VLOOKUP($B$3,'Coeff EC7'!$T$65:$X$85,3,0)*Model0.1T!BQ139)/1.1</f>
        <v>#N/A</v>
      </c>
      <c r="BT139" s="102" t="e">
        <f t="shared" si="178"/>
        <v>#N/A</v>
      </c>
      <c r="BU139" s="102" t="e">
        <f t="shared" si="179"/>
        <v>#N/A</v>
      </c>
      <c r="BV139" s="414" t="e">
        <f>IF(AND(BR139&gt;NDC!$C$63,BS139&gt;NDC!$C$65,BT139&gt;NDC!$D$73,BU139&gt;NDC!$D$74,$B139&gt;NDC!$H$22-0.1+MIN(3*BV$12,1.5)),0,1)</f>
        <v>#N/A</v>
      </c>
      <c r="BW139" s="86" t="b">
        <f t="shared" si="145"/>
        <v>0</v>
      </c>
      <c r="BX139" s="86">
        <f t="shared" si="146"/>
        <v>0.5</v>
      </c>
      <c r="BY139" s="86">
        <f t="shared" si="147"/>
        <v>0.5</v>
      </c>
      <c r="BZ139" s="30" t="e">
        <f t="shared" ca="1" si="180"/>
        <v>#DIV/0!</v>
      </c>
      <c r="CA139" s="85" t="e">
        <f ca="1">IF(BG139&lt;=Hypothèses!$V$7,Hypothèses!$W$7,IF(BG139&lt;=Hypothèses!$V$8,Hypothèses!$W$8,IF(BG139&lt;=Hypothèses!$V$9,Hypothèses!$W$9,IF(BG139&lt;=Hypothèses!$V$10,Hypothèses!$W$10,IF(BG139&lt;=Hypothèses!$V$11,Hypothèses!$W$11,IF(BG139&lt;=Hypothèses!$V$12,Hypothèses!$W$12,IF(BG139&lt;=Hypothèses!$V$13,Hypothèses!$W$13,IF(BG139&lt;=Hypothèses!$V$14,Hypothèses!$W$14,IF(BG139&lt;=Hypothèses!$V$15,Hypothèses!$W$15,IF(BG139&lt;=Hypothèses!$V$16,Hypothèses!$W$16,IF(BG139&lt;=Hypothèses!$V$17,Hypothèses!$W$17,IF(BG139&lt;=Hypothèses!$V$18,Hypothèses!$W$18,""))))))))))))</f>
        <v>#DIV/0!</v>
      </c>
      <c r="CB139" s="87" t="e">
        <f t="shared" ca="1" si="219"/>
        <v>#DIV/0!</v>
      </c>
      <c r="CC139" s="88" t="e">
        <f ca="1">IF(BG139&lt;=Hypothèses!$V$7,Hypothèses!$X$7,IF(BG139&lt;=Hypothèses!$V$8,Hypothèses!$X$8,IF(BG139&lt;=Hypothèses!$V$9,Hypothèses!$X$9,IF(BG139&lt;=Hypothèses!$V$10,Hypothèses!$X$10,IF(BG139&lt;=Hypothèses!$V$11,Hypothèses!$X$11,IF(BG139&lt;=Hypothèses!$V$12,Hypothèses!$X$12,IF(BG139&lt;=Hypothèses!$V$13,Hypothèses!$X$13,IF(BG139&lt;=Hypothèses!$V$14,Hypothèses!$X$14,IF(BG139&lt;=Hypothèses!$V$15,Hypothèses!$X$15,IF(BG139&lt;=Hypothèses!$V$16,Hypothèses!$X$16,IF(BG139&lt;=Hypothèses!$U$17,Hypothèses!$W$17,IF(BG139&lt;=Hypothèses!$U$18,Hypothèses!$W$18,""))))))))))))</f>
        <v>#DIV/0!</v>
      </c>
      <c r="CD139" s="95" t="e">
        <f t="shared" ca="1" si="181"/>
        <v>#DIV/0!</v>
      </c>
      <c r="CE139" s="101">
        <f t="shared" si="226"/>
        <v>0</v>
      </c>
      <c r="CF139" s="91">
        <f t="shared" si="148"/>
        <v>0</v>
      </c>
      <c r="CG139" s="30" t="e">
        <f t="shared" si="206"/>
        <v>#N/A</v>
      </c>
      <c r="CH139" s="30" t="e">
        <f t="shared" si="207"/>
        <v>#N/A</v>
      </c>
      <c r="CI139" s="31" t="e">
        <f>IF(OR(Hypothèses!$B$4=17,Hypothèses!$B$4=18,Hypothèses!$B$4=19,Hypothèses!$B$4=20),
IF($D139="Pressio.",
IF(OR($E139=3,$E139=1,$E139=4),CH139,CG139),
IF($D139="Pénétro.",
IF(OR($E139=3,$E139=1,$E139=4),CH139,CG139))),IF($D139="Pressio.",
IF($E139=3,CH139,CG139),
IF($D139="Pénétro.",
IF($E139=4,CH139,CG139))))</f>
        <v>#N/A</v>
      </c>
      <c r="CJ139" s="31">
        <v>0</v>
      </c>
      <c r="CK139" s="102" t="e">
        <f>IF(NDC!$H$10="Oui",(VLOOKUP($B$3,'Coeff EC7'!$T$39:$X$59,2,0)*CI139+VLOOKUP($B$3,'Coeff EC7'!$T$65:$X$85,2,0)*Model0.1T!CJ139)/1.5,PI()*CG$12*$Q139*($B139-$B138)*0.15/10+CK138)</f>
        <v>#N/A</v>
      </c>
      <c r="CL139" s="102" t="e">
        <f>(VLOOKUP($B$3,'Coeff EC7'!$T$39:$X$59,3,0)*CI139+VLOOKUP($B$3,'Coeff EC7'!$T$65:$X$85,3,0)*Model0.1T!CJ139)/1.1</f>
        <v>#N/A</v>
      </c>
      <c r="CM139" s="102" t="e">
        <f t="shared" si="182"/>
        <v>#N/A</v>
      </c>
      <c r="CN139" s="102" t="e">
        <f t="shared" si="183"/>
        <v>#N/A</v>
      </c>
      <c r="CO139" s="414" t="e">
        <f>IF(AND(CK139&gt;NDC!$C$63,CL139&gt;NDC!$C$65,CM139&gt;NDC!$D$73,CN139&gt;NDC!$D$74,$B139&gt;NDC!$H$22-0.1+MIN(3*CO$12,1.5)),0,1)</f>
        <v>#N/A</v>
      </c>
      <c r="CP139" s="86" t="b">
        <f t="shared" si="149"/>
        <v>0</v>
      </c>
      <c r="CQ139" s="86">
        <f t="shared" si="150"/>
        <v>0.5</v>
      </c>
      <c r="CR139" s="86">
        <f t="shared" si="151"/>
        <v>0.5</v>
      </c>
      <c r="CS139" s="30" t="e">
        <f t="shared" ca="1" si="184"/>
        <v>#DIV/0!</v>
      </c>
      <c r="CT139" s="85" t="e">
        <f ca="1">IF(BZ139&lt;=Hypothèses!$V$7,Hypothèses!$W$7,IF(BZ139&lt;=Hypothèses!$V$8,Hypothèses!$W$8,IF(BZ139&lt;=Hypothèses!$V$9,Hypothèses!$W$9,IF(BZ139&lt;=Hypothèses!$V$10,Hypothèses!$W$10,IF(BZ139&lt;=Hypothèses!$V$11,Hypothèses!$W$11,IF(BZ139&lt;=Hypothèses!$V$12,Hypothèses!$W$12,IF(BZ139&lt;=Hypothèses!$V$13,Hypothèses!$W$13,IF(BZ139&lt;=Hypothèses!$V$14,Hypothèses!$W$14,IF(BZ139&lt;=Hypothèses!$V$15,Hypothèses!$W$15,IF(BZ139&lt;=Hypothèses!$V$16,Hypothèses!$W$16,IF(BZ139&lt;=Hypothèses!$V$17,Hypothèses!$W$17,IF(BZ139&lt;=Hypothèses!$V$18,Hypothèses!$W$18,""))))))))))))</f>
        <v>#DIV/0!</v>
      </c>
      <c r="CU139" s="87" t="e">
        <f t="shared" ca="1" si="220"/>
        <v>#DIV/0!</v>
      </c>
      <c r="CV139" s="88" t="e">
        <f ca="1">IF(BZ139&lt;=Hypothèses!$V$7,Hypothèses!$X$7,IF(BZ139&lt;=Hypothèses!$V$8,Hypothèses!$X$8,IF(BZ139&lt;=Hypothèses!$V$9,Hypothèses!$X$9,IF(BZ139&lt;=Hypothèses!$V$10,Hypothèses!$X$10,IF(BZ139&lt;=Hypothèses!$V$11,Hypothèses!$X$11,IF(BZ139&lt;=Hypothèses!$V$12,Hypothèses!$X$12,IF(BZ139&lt;=Hypothèses!$V$13,Hypothèses!$X$13,IF(BZ139&lt;=Hypothèses!$V$14,Hypothèses!$X$14,IF(BZ139&lt;=Hypothèses!$V$15,Hypothèses!$X$15,IF(BZ139&lt;=Hypothèses!$V$16,Hypothèses!$X$16,IF(BZ139&lt;=Hypothèses!$U$17,Hypothèses!$W$17,IF(BZ139&lt;=Hypothèses!$U$18,Hypothèses!$W$18,""))))))))))))</f>
        <v>#DIV/0!</v>
      </c>
      <c r="CW139" s="95" t="e">
        <f t="shared" ca="1" si="185"/>
        <v>#DIV/0!</v>
      </c>
      <c r="CX139" s="101">
        <f t="shared" si="227"/>
        <v>0</v>
      </c>
      <c r="CY139" s="91">
        <f t="shared" si="152"/>
        <v>0</v>
      </c>
      <c r="CZ139" s="30" t="e">
        <f t="shared" si="208"/>
        <v>#N/A</v>
      </c>
      <c r="DA139" s="30" t="e">
        <f t="shared" si="209"/>
        <v>#N/A</v>
      </c>
      <c r="DB139" s="31" t="e">
        <f>IF(OR(Hypothèses!$B$4=17,Hypothèses!$B$4=18,Hypothèses!$B$4=19,Hypothèses!$B$4=20),
IF($D139="Pressio.",
IF(OR($E139=3,$E139=1,$E139=4),DA139,CZ139),
IF($D139="Pénétro.",
IF(OR($E139=3,$E139=1,$E139=4),DA139,CZ139))),IF($D139="Pressio.",
IF($E139=3,DA139,CZ139),
IF($D139="Pénétro.",
IF($E139=4,DA139,CZ139))))</f>
        <v>#N/A</v>
      </c>
      <c r="DC139" s="31">
        <v>0</v>
      </c>
      <c r="DD139" s="102" t="e">
        <f>IF(NDC!$H$10="Oui",(VLOOKUP($B$3,'Coeff EC7'!$T$39:$X$59,2,0)*DB139+VLOOKUP($B$3,'Coeff EC7'!$T$65:$X$85,2,0)*Model0.1T!DC139)/1.5,PI()*CZ$12*$Q139*($B139-$B138)*0.15/10+DD138)</f>
        <v>#N/A</v>
      </c>
      <c r="DE139" s="102" t="e">
        <f>(VLOOKUP($B$3,'Coeff EC7'!$T$39:$X$59,3,0)*DB139+VLOOKUP($B$3,'Coeff EC7'!$T$65:$X$85,3,0)*Model0.1T!DC139)/1.1</f>
        <v>#N/A</v>
      </c>
      <c r="DF139" s="102" t="e">
        <f t="shared" si="186"/>
        <v>#N/A</v>
      </c>
      <c r="DG139" s="102" t="e">
        <f t="shared" si="187"/>
        <v>#N/A</v>
      </c>
      <c r="DH139" s="414" t="e">
        <f>IF(AND(DD139&gt;NDC!$C$63,DE139&gt;NDC!$C$65,DF139&gt;NDC!$D$73,DG139&gt;NDC!$D$74,$B139&gt;NDC!$H$22-0.1+MIN(3*DH$12,1.5)),0,1)</f>
        <v>#N/A</v>
      </c>
      <c r="DI139" s="86" t="b">
        <f t="shared" si="153"/>
        <v>0</v>
      </c>
      <c r="DJ139" s="86">
        <f t="shared" si="154"/>
        <v>0.5</v>
      </c>
      <c r="DK139" s="86">
        <f t="shared" si="155"/>
        <v>0.5</v>
      </c>
      <c r="DL139" s="30" t="e">
        <f t="shared" ca="1" si="188"/>
        <v>#DIV/0!</v>
      </c>
      <c r="DM139" s="85" t="e">
        <f ca="1">IF(CS139&lt;=Hypothèses!$V$7,Hypothèses!$W$7,IF(CS139&lt;=Hypothèses!$V$8,Hypothèses!$W$8,IF(CS139&lt;=Hypothèses!$V$9,Hypothèses!$W$9,IF(CS139&lt;=Hypothèses!$V$10,Hypothèses!$W$10,IF(CS139&lt;=Hypothèses!$V$11,Hypothèses!$W$11,IF(CS139&lt;=Hypothèses!$V$12,Hypothèses!$W$12,IF(CS139&lt;=Hypothèses!$V$13,Hypothèses!$W$13,IF(CS139&lt;=Hypothèses!$V$14,Hypothèses!$W$14,IF(CS139&lt;=Hypothèses!$V$15,Hypothèses!$W$15,IF(CS139&lt;=Hypothèses!$V$16,Hypothèses!$W$16,IF(CS139&lt;=Hypothèses!$V$17,Hypothèses!$W$17,IF(CS139&lt;=Hypothèses!$V$18,Hypothèses!$W$18,""))))))))))))</f>
        <v>#DIV/0!</v>
      </c>
      <c r="DN139" s="87" t="e">
        <f t="shared" ca="1" si="221"/>
        <v>#DIV/0!</v>
      </c>
      <c r="DO139" s="88" t="e">
        <f ca="1">IF(CS139&lt;=Hypothèses!$V$7,Hypothèses!$X$7,IF(CS139&lt;=Hypothèses!$V$8,Hypothèses!$X$8,IF(CS139&lt;=Hypothèses!$V$9,Hypothèses!$X$9,IF(CS139&lt;=Hypothèses!$V$10,Hypothèses!$X$10,IF(CS139&lt;=Hypothèses!$V$11,Hypothèses!$X$11,IF(CS139&lt;=Hypothèses!$V$12,Hypothèses!$X$12,IF(CS139&lt;=Hypothèses!$V$13,Hypothèses!$X$13,IF(CS139&lt;=Hypothèses!$V$14,Hypothèses!$X$14,IF(CS139&lt;=Hypothèses!$V$15,Hypothèses!$X$15,IF(CS139&lt;=Hypothèses!$V$16,Hypothèses!$X$16,IF(CS139&lt;=Hypothèses!$U$17,Hypothèses!$W$17,IF(CS139&lt;=Hypothèses!$U$18,Hypothèses!$W$18,""))))))))))))</f>
        <v>#DIV/0!</v>
      </c>
      <c r="DP139" s="95" t="e">
        <f t="shared" ca="1" si="189"/>
        <v>#DIV/0!</v>
      </c>
      <c r="DQ139" s="101">
        <f t="shared" si="228"/>
        <v>0</v>
      </c>
      <c r="DR139" s="91">
        <f t="shared" si="156"/>
        <v>0</v>
      </c>
      <c r="DS139" s="30" t="e">
        <f t="shared" si="210"/>
        <v>#N/A</v>
      </c>
      <c r="DT139" s="30" t="e">
        <f t="shared" si="211"/>
        <v>#N/A</v>
      </c>
      <c r="DU139" s="31" t="e">
        <f>IF(OR(Hypothèses!$B$4=17,Hypothèses!$B$4=18,Hypothèses!$B$4=19,Hypothèses!$B$4=20),
IF($D139="Pressio.",
IF(OR($E139=3,$E139=1,$E139=4),DT139,DS139),
IF($D139="Pénétro.",
IF(OR($E139=3,$E139=1,$E139=4),DT139,DS139))),IF($D139="Pressio.",
IF($E139=3,DT139,DS139),
IF($D139="Pénétro.",
IF($E139=4,DT139,DS139))))</f>
        <v>#N/A</v>
      </c>
      <c r="DV139" s="31">
        <v>0</v>
      </c>
      <c r="DW139" s="102" t="e">
        <f>IF(NDC!$H$10="Oui",(VLOOKUP($B$3,'Coeff EC7'!$T$39:$X$59,2,0)*DU139+VLOOKUP($B$3,'Coeff EC7'!$T$65:$X$85,2,0)*Model0.1T!DV139)/1.5,PI()*DS$12*$Q139*($B139-$B138)*0.15/10+DW138)</f>
        <v>#N/A</v>
      </c>
      <c r="DX139" s="102" t="e">
        <f>(VLOOKUP($B$3,'Coeff EC7'!$T$39:$X$59,3,0)*DU139+VLOOKUP($B$3,'Coeff EC7'!$T$65:$X$85,3,0)*Model0.1T!DV139)/1.1</f>
        <v>#N/A</v>
      </c>
      <c r="DY139" s="102" t="e">
        <f t="shared" si="190"/>
        <v>#N/A</v>
      </c>
      <c r="DZ139" s="102" t="e">
        <f t="shared" si="191"/>
        <v>#N/A</v>
      </c>
      <c r="EA139" s="414" t="e">
        <f>IF(AND(DW139&gt;NDC!$C$63,DX139&gt;NDC!$C$65,DY139&gt;NDC!$D$73,DZ139&gt;NDC!$D$74,$B139&gt;NDC!$H$22-0.1+MIN(3*EA$12,1.5)),0,1)</f>
        <v>#N/A</v>
      </c>
      <c r="EB139" s="86" t="b">
        <f t="shared" si="157"/>
        <v>0</v>
      </c>
      <c r="EC139" s="418">
        <f t="shared" si="158"/>
        <v>0.51</v>
      </c>
      <c r="ED139" s="86">
        <f t="shared" si="159"/>
        <v>0.51</v>
      </c>
      <c r="EE139" s="30" t="e">
        <f t="shared" ca="1" si="192"/>
        <v>#DIV/0!</v>
      </c>
      <c r="EF139" s="85" t="e">
        <f ca="1">IF(DL139&lt;=Hypothèses!$V$7,Hypothèses!$W$7,IF(DL139&lt;=Hypothèses!$V$8,Hypothèses!$W$8,IF(DL139&lt;=Hypothèses!$V$9,Hypothèses!$W$9,IF(DL139&lt;=Hypothèses!$V$10,Hypothèses!$W$10,IF(DL139&lt;=Hypothèses!$V$11,Hypothèses!$W$11,IF(DL139&lt;=Hypothèses!$V$12,Hypothèses!$W$12,IF(DL139&lt;=Hypothèses!$V$13,Hypothèses!$W$13,IF(DL139&lt;=Hypothèses!$V$14,Hypothèses!$W$14,IF(DL139&lt;=Hypothèses!$V$15,Hypothèses!$W$15,IF(DL139&lt;=Hypothèses!$V$16,Hypothèses!$W$16,IF(DL139&lt;=Hypothèses!$V$17,Hypothèses!$W$17,IF(DL139&lt;=Hypothèses!$V$18,Hypothèses!$W$18,""))))))))))))</f>
        <v>#DIV/0!</v>
      </c>
      <c r="EG139" s="87" t="e">
        <f t="shared" ca="1" si="222"/>
        <v>#DIV/0!</v>
      </c>
      <c r="EH139" s="88" t="e">
        <f ca="1">IF(DL139&lt;=Hypothèses!$V$7,Hypothèses!$X$7,IF(DL139&lt;=Hypothèses!$V$8,Hypothèses!$X$8,IF(DL139&lt;=Hypothèses!$V$9,Hypothèses!$X$9,IF(DL139&lt;=Hypothèses!$V$10,Hypothèses!$X$10,IF(DL139&lt;=Hypothèses!$V$11,Hypothèses!$X$11,IF(DL139&lt;=Hypothèses!$V$12,Hypothèses!$X$12,IF(DL139&lt;=Hypothèses!$V$13,Hypothèses!$X$13,IF(DL139&lt;=Hypothèses!$V$14,Hypothèses!$X$14,IF(DL139&lt;=Hypothèses!$V$15,Hypothèses!$X$15,IF(DL139&lt;=Hypothèses!$V$16,Hypothèses!$X$16,IF(DL139&lt;=Hypothèses!$U$17,Hypothèses!$W$17,IF(DL139&lt;=Hypothèses!$U$18,Hypothèses!$W$18,""))))))))))))</f>
        <v>#DIV/0!</v>
      </c>
      <c r="EI139" s="95" t="e">
        <f t="shared" ca="1" si="193"/>
        <v>#DIV/0!</v>
      </c>
      <c r="EJ139" s="101">
        <f t="shared" si="229"/>
        <v>0</v>
      </c>
      <c r="EK139" s="91">
        <f t="shared" si="160"/>
        <v>0</v>
      </c>
      <c r="EL139" s="30" t="e">
        <f t="shared" si="212"/>
        <v>#N/A</v>
      </c>
      <c r="EM139" s="30" t="e">
        <f t="shared" si="213"/>
        <v>#N/A</v>
      </c>
      <c r="EN139" s="31" t="e">
        <f>IF(OR(Hypothèses!$B$4=17,Hypothèses!$B$4=18,Hypothèses!$B$4=19,Hypothèses!$B$4=20),
IF($D139="Pressio.",
IF(OR($E139=3,$E139=1,$E139=4),EM139,EL139),
IF($D139="Pénétro.",
IF(OR($E139=3,$E139=1,$E139=4),EM139,EL139))),IF($D139="Pressio.",
IF($E139=3,EM139,EL139),
IF($D139="Pénétro.",
IF($E139=4,EM139,EL139))))</f>
        <v>#N/A</v>
      </c>
      <c r="EO139" s="31">
        <v>0</v>
      </c>
      <c r="EP139" s="102" t="e">
        <f>IF(NDC!$H$10="Oui",(VLOOKUP($B$3,'Coeff EC7'!$T$39:$X$59,2,0)*EN139+VLOOKUP($B$3,'Coeff EC7'!$T$65:$X$85,2,0)*Model0.1T!EO139)/1.5,PI()*EL$12*$Q139*($B139-$B138)*0.15/10+EP138)</f>
        <v>#N/A</v>
      </c>
      <c r="EQ139" s="102" t="e">
        <f>(VLOOKUP($B$3,'Coeff EC7'!$T$39:$X$59,3,0)*EN139+VLOOKUP($B$3,'Coeff EC7'!$T$65:$X$85,3,0)*Model0.1T!EO139)/1.1</f>
        <v>#N/A</v>
      </c>
      <c r="ER139" s="102" t="e">
        <f t="shared" si="194"/>
        <v>#N/A</v>
      </c>
      <c r="ES139" s="102" t="e">
        <f t="shared" si="195"/>
        <v>#N/A</v>
      </c>
      <c r="ET139" s="414" t="e">
        <f>IF(AND(EP139&gt;NDC!$C$63,EQ139&gt;NDC!$C$65,ER139&gt;NDC!$D$73,ES139&gt;NDC!$D$74,$B139&gt;NDC!$H$22-0.1+MIN(3*ET$12,1.5)),0,1)</f>
        <v>#N/A</v>
      </c>
      <c r="EU139" s="86" t="b">
        <f t="shared" si="161"/>
        <v>0</v>
      </c>
      <c r="EV139" s="86">
        <f t="shared" si="162"/>
        <v>0.61</v>
      </c>
      <c r="EW139" s="86">
        <f t="shared" si="163"/>
        <v>0.61</v>
      </c>
      <c r="EX139" s="30" t="e">
        <f t="shared" ca="1" si="196"/>
        <v>#DIV/0!</v>
      </c>
      <c r="EY139" s="85" t="e">
        <f ca="1">IF(EE139&lt;=Hypothèses!$V$7,Hypothèses!$W$7,IF(EE139&lt;=Hypothèses!$V$8,Hypothèses!$W$8,IF(EE139&lt;=Hypothèses!$V$9,Hypothèses!$W$9,IF(EE139&lt;=Hypothèses!$V$10,Hypothèses!$W$10,IF(EE139&lt;=Hypothèses!$V$11,Hypothèses!$W$11,IF(EE139&lt;=Hypothèses!$V$12,Hypothèses!$W$12,IF(EE139&lt;=Hypothèses!$V$13,Hypothèses!$W$13,IF(EE139&lt;=Hypothèses!$V$14,Hypothèses!$W$14,IF(EE139&lt;=Hypothèses!$V$15,Hypothèses!$W$15,IF(EE139&lt;=Hypothèses!$V$16,Hypothèses!$W$16,IF(EE139&lt;=Hypothèses!$V$17,Hypothèses!$W$17,IF(EE139&lt;=Hypothèses!$V$18,Hypothèses!$W$18,""))))))))))))</f>
        <v>#DIV/0!</v>
      </c>
      <c r="EZ139" s="87" t="e">
        <f t="shared" ca="1" si="223"/>
        <v>#DIV/0!</v>
      </c>
      <c r="FA139" s="88" t="e">
        <f ca="1">IF(EE139&lt;=Hypothèses!$V$7,Hypothèses!$X$7,IF(EE139&lt;=Hypothèses!$V$8,Hypothèses!$X$8,IF(EE139&lt;=Hypothèses!$V$9,Hypothèses!$X$9,IF(EE139&lt;=Hypothèses!$V$10,Hypothèses!$X$10,IF(EE139&lt;=Hypothèses!$V$11,Hypothèses!$X$11,IF(EE139&lt;=Hypothèses!$V$12,Hypothèses!$X$12,IF(EE139&lt;=Hypothèses!$V$13,Hypothèses!$X$13,IF(EE139&lt;=Hypothèses!$V$14,Hypothèses!$X$14,IF(EE139&lt;=Hypothèses!$V$15,Hypothèses!$X$15,IF(EE139&lt;=Hypothèses!$V$16,Hypothèses!$X$16,IF(EE139&lt;=Hypothèses!$U$17,Hypothèses!$W$17,IF(EE139&lt;=Hypothèses!$U$18,Hypothèses!$W$18,""))))))))))))</f>
        <v>#DIV/0!</v>
      </c>
      <c r="FB139" s="95" t="e">
        <f t="shared" ca="1" si="197"/>
        <v>#DIV/0!</v>
      </c>
      <c r="FC139" s="101">
        <f t="shared" si="230"/>
        <v>0</v>
      </c>
      <c r="FD139" s="91">
        <f t="shared" si="164"/>
        <v>0</v>
      </c>
      <c r="FE139" s="30" t="e">
        <f t="shared" si="214"/>
        <v>#N/A</v>
      </c>
      <c r="FF139" s="30" t="e">
        <f t="shared" si="215"/>
        <v>#N/A</v>
      </c>
      <c r="FG139" s="31" t="e">
        <f>IF(OR(Hypothèses!$B$4=17,Hypothèses!$B$4=18,Hypothèses!$B$4=19,Hypothèses!$B$4=20),
IF($D139="Pressio.",
IF(OR($E139=3,$E139=1,$E139=4),FF139,FE139),
IF($D139="Pénétro.",
IF(OR($E139=3,$E139=1,$E139=4),FF139,FE139))),IF($D139="Pressio.",
IF($E139=3,FF139,FE139),
IF($D139="Pénétro.",
IF($E139=4,FF139,FE139))))</f>
        <v>#N/A</v>
      </c>
      <c r="FH139" s="31">
        <v>0</v>
      </c>
      <c r="FI139" s="102" t="e">
        <f>IF(NDC!$H$10="Oui",(VLOOKUP($B$3,'Coeff EC7'!$T$39:$X$59,2,0)*FG139+VLOOKUP($B$3,'Coeff EC7'!$T$65:$X$85,2,0)*Model0.1T!FH139)/1.5,PI()*FE$12*$Q139*($B139-$B138)*0.15/10+FI138)</f>
        <v>#N/A</v>
      </c>
      <c r="FJ139" s="102" t="e">
        <f>(VLOOKUP($B$3,'Coeff EC7'!$T$39:$X$59,3,0)*FG139+VLOOKUP($B$3,'Coeff EC7'!$T$65:$X$85,3,0)*Model0.1T!FH139)/1.1</f>
        <v>#N/A</v>
      </c>
      <c r="FK139" s="102" t="e">
        <f t="shared" si="198"/>
        <v>#N/A</v>
      </c>
      <c r="FL139" s="102" t="e">
        <f t="shared" si="199"/>
        <v>#N/A</v>
      </c>
      <c r="FM139" s="414" t="e">
        <f>IF(AND(FI139&gt;NDC!$C$63,FJ139&gt;NDC!$C$65,FK139&gt;NDC!$D$73,FL139&gt;NDC!$D$74,$B139&gt;NDC!$H$22-0.1+MIN(3*FM$12,1.5)),0,1)</f>
        <v>#N/A</v>
      </c>
    </row>
    <row r="140" spans="1:169">
      <c r="A140" s="96">
        <f t="shared" si="165"/>
        <v>87.300000000000722</v>
      </c>
      <c r="B140" s="97">
        <v>12.7</v>
      </c>
      <c r="C140" s="81">
        <f>IF(B140&lt;=Hypothèses!$C$7,Hypothèses!$A$7,IF(B140&lt;=Hypothèses!$C$8,Hypothèses!$A$8,IF(B140&lt;=Hypothèses!$C$9,Hypothèses!$A$9,IF(B140&lt;=Hypothèses!$C$10,Hypothèses!$A$10,IF(B140&lt;=Hypothèses!$C$11,Hypothèses!$A$11,IF(B140&lt;=Hypothèses!$C$12,Hypothèses!$A$12,IF(B140&lt;=Hypothèses!$C$13,Hypothèses!$A$13,IF(B140&lt;=Hypothèses!$C$14,Hypothèses!$A$14,IF(B140&lt;=Hypothèses!$C$15,Hypothèses!$A$15,IF(B140&lt;=Hypothèses!$C$16,Hypothèses!$A$16,IF(B140&lt;=Hypothèses!$C$17,Hypothèses!$A$17,IF(B140&lt;=Hypothèses!$C$18,Hypothèses!$A$18,C139))))))))))))</f>
        <v>11</v>
      </c>
      <c r="D140" s="82" t="str">
        <f>IF(B140&lt;=Hypothèses!$C$7,Hypothèses!$R$7,IF(B140&lt;=Hypothèses!$C$8,Hypothèses!$R$8,IF(B140&lt;=Hypothèses!$C$9,Hypothèses!$R$9,IF(B140&lt;=Hypothèses!$C$10,Hypothèses!$R$10,IF(B140&lt;=Hypothèses!$C$11,Hypothèses!$R$11,IF(B140&lt;=Hypothèses!$C$12,Hypothèses!$R$12,IF(B140&lt;=Hypothèses!$C$13,Hypothèses!$R$13,IF(B140&lt;=Hypothèses!$C$14,Hypothèses!$R$14,IF(B140&lt;=Hypothèses!$C$15,Hypothèses!$R$15,IF(B140&lt;=Hypothèses!$C$16,Hypothèses!$R$16,IF(B140&lt;=Hypothèses!$C$17,Hypothèses!$R$17,IF(B140&lt;=Hypothèses!$C$18,Hypothèses!$R$18,D139))))))))))))</f>
        <v>Pressio.</v>
      </c>
      <c r="E140" s="82" t="e">
        <f>IF(B140&lt;=Hypothèses!$C$7,Hypothèses!$G$7,IF(B140&lt;=Hypothèses!$C$8,Hypothèses!$G$8,IF(B140&lt;=Hypothèses!$C$9,Hypothèses!$G$9,IF(B140&lt;=Hypothèses!$C$10,Hypothèses!$G$10,IF(B140&lt;=Hypothèses!$C$11,Hypothèses!$G$11,IF(B140&lt;=Hypothèses!$C$12,Hypothèses!$G$12,IF(B140&lt;=Hypothèses!$C$13,Hypothèses!$G$13,IF(B140&lt;=Hypothèses!$C$14,Hypothèses!$G$14,IF(B140&lt;=Hypothèses!$C$15,Hypothèses!$G$15,IF(B140&lt;=Hypothèses!$C$16,Hypothèses!$G$16,IF(B140&lt;=Hypothèses!$C$17,Hypothèses!$G$17,IF(B140&lt;=Hypothèses!$C$18,Hypothèses!$G$18,E139))))))))))))</f>
        <v>#N/A</v>
      </c>
      <c r="F140" s="82" t="str">
        <f>IF(B140&lt;=Hypothèses!$C$7,Hypothèses!$F$7,IF(B140&lt;=Hypothèses!$C$8,Hypothèses!$F$8,IF(B140&lt;=Hypothèses!$C$9,Hypothèses!$F$9,IF(B140&lt;=Hypothèses!$C$10,Hypothèses!$F$10,IF(B140&lt;=Hypothèses!$C$11,Hypothèses!$F$11,IF(B140&lt;=Hypothèses!$C$12,Hypothèses!$F$12,IF(B140&lt;=Hypothèses!$C$13,Hypothèses!$F$13,IF(B140&lt;=Hypothèses!$C$14,Hypothèses!$F$14,IF(B140&lt;=Hypothèses!$C$15,Hypothèses!$F$15,IF(B140&lt;=Hypothèses!$C$16,Hypothèses!$F$16,IF(B140&lt;=Hypothèses!$C$17,Hypothèses!$F$17,IF(B140&lt;=Hypothèses!$C$18,Hypothèses!$F$18,F139))))))))))))</f>
        <v/>
      </c>
      <c r="G140" s="91">
        <f t="array" ref="G140">INDEX('Coeff EC7'!$U$7:$X$27,
MATCH(Model0.1T!$B$3,'Coeff EC7'!$T$7:$T$27,0),
MATCH(Model0.1T!$D140&amp;Model0.1T!$B$4,
'Coeff EC7'!$U$6:$X$6&amp;
'Coeff EC7'!$U$5:$X$5,0))</f>
        <v>1.4</v>
      </c>
      <c r="H140" s="91">
        <f t="array" ref="H140">INDEX('Coeff EC7'!$Y$7:$AB$27,
MATCH(Model0.1T!$B$3,'Coeff EC7'!$T$7:$T$27,0),
MATCH(Model0.1T!$D140&amp;Model0.1T!$B$4,
'Coeff EC7'!$Y$6:$AB$6&amp;
'Coeff EC7'!$Y$5:$AB$5,0))</f>
        <v>1.7</v>
      </c>
      <c r="I140" s="83">
        <v>0</v>
      </c>
      <c r="J140" s="91" t="e">
        <f t="array" ref="J140">INDEX('Coeff EC7'!$D$33:$Q$33,1,MATCH(D140&amp;E140,'Coeff EC7'!$D$31:$Q$31&amp;'Coeff EC7'!$D$32:$Q$32,0))</f>
        <v>#N/A</v>
      </c>
      <c r="K140" s="91" t="e">
        <f t="array" ref="K140">INDEX('Coeff EC7'!$D$34:$Q$34,1,MATCH(D140&amp;E140,'Coeff EC7'!$D$31:$Q$31&amp;'Coeff EC7'!$D$32:$Q$32,0))</f>
        <v>#N/A</v>
      </c>
      <c r="L140" s="91" t="e">
        <f t="array" ref="L140">INDEX('Coeff EC7'!$D$35:$Q$35,1,MATCH(D140&amp;E140,'Coeff EC7'!$D$31:$Q$31&amp;'Coeff EC7'!$D$32:$Q$32,0))</f>
        <v>#N/A</v>
      </c>
      <c r="M140" s="98" t="e">
        <f t="shared" si="131"/>
        <v>#N/A</v>
      </c>
      <c r="N140" s="99" t="e">
        <f t="array" ref="N140">INDEX('Coeff EC7'!$D$7:$Q$27,MATCH($B$3,'Coeff EC7'!$C$7:$C$27,0),MATCH(D140&amp;E140,'Coeff EC7'!$D$5:$Q$5&amp;'Coeff EC7'!$D$6:$Q$6,0))</f>
        <v>#N/A</v>
      </c>
      <c r="O140" s="99" t="e">
        <f t="array" ref="O140">INDEX('Coeff EC7'!$D$41:$Q$61,MATCH($B$3,'Coeff EC7'!$C$41:$C$61,0),MATCH(D140&amp;E140,'Coeff EC7'!$D$39:$Q$39&amp;'Coeff EC7'!$D$40:$Q$40,0))</f>
        <v>#N/A</v>
      </c>
      <c r="P140" s="30" t="e">
        <f t="shared" si="166"/>
        <v>#N/A</v>
      </c>
      <c r="Q140" s="100" t="e">
        <f t="shared" si="133"/>
        <v>#N/A</v>
      </c>
      <c r="R140" s="86" t="b">
        <f t="shared" si="134"/>
        <v>0</v>
      </c>
      <c r="S140" s="86">
        <f t="shared" si="132"/>
        <v>0.5</v>
      </c>
      <c r="T140" s="86">
        <f t="shared" si="135"/>
        <v>0.5</v>
      </c>
      <c r="U140" s="30" t="e">
        <f t="shared" ca="1" si="167"/>
        <v>#DIV/0!</v>
      </c>
      <c r="V140" s="85" t="str">
        <f>IF(B140&lt;=Hypothèses!$V$7,Hypothèses!$W$7,IF(B140&lt;=Hypothèses!$V$8,Hypothèses!$W$8,IF(B140&lt;=Hypothèses!$V$9,Hypothèses!$W$9,IF(B140&lt;=Hypothèses!$V$10,Hypothèses!$W$10,IF(B140&lt;=Hypothèses!$V$11,Hypothèses!$W$11,IF(B140&lt;=Hypothèses!$V$12,Hypothèses!$W$12,IF(B140&lt;=Hypothèses!$V$13,Hypothèses!$W$13,IF(B140&lt;=Hypothèses!$V$14,Hypothèses!$W$14,IF(B140&lt;=Hypothèses!$V$15,Hypothèses!$W$15,IF(B140&lt;=Hypothèses!$V$16,Hypothèses!$W$16,IF(B140&lt;=Hypothèses!$V$17,Hypothèses!$W$17,IF(B140&lt;=Hypothèses!$V$18,Hypothèses!$W$18,""))))))))))))</f>
        <v/>
      </c>
      <c r="W140" s="87" t="e">
        <f t="shared" ca="1" si="216"/>
        <v>#DIV/0!</v>
      </c>
      <c r="X140" s="88" t="str">
        <f>IF(B140&lt;=Hypothèses!$V$7,Hypothèses!$X$7,IF(B140&lt;=Hypothèses!$V$8,Hypothèses!$X$8,IF(B140&lt;=Hypothèses!$V$9,Hypothèses!$X$9,IF(B140&lt;=Hypothèses!$V$10,Hypothèses!$X$10,IF(B140&lt;=Hypothèses!$V$11,Hypothèses!$X$11,IF(B140&lt;=Hypothèses!$V$12,Hypothèses!$X$12,IF(B140&lt;=Hypothèses!$V$13,Hypothèses!$X$13,IF(B140&lt;=Hypothèses!$V$14,Hypothèses!$X$14,IF(B140&lt;=Hypothèses!$V$15,Hypothèses!$X$15,IF(B140&lt;=Hypothèses!$V$16,Hypothèses!$X$16,IF(B140&lt;=Hypothèses!$U$17,Hypothèses!$W$17,IF(B140&lt;=Hypothèses!$U$18,Hypothèses!$W$18,""))))))))))))</f>
        <v/>
      </c>
      <c r="Y140" s="95" t="e">
        <f t="shared" ca="1" si="136"/>
        <v>#DIV/0!</v>
      </c>
      <c r="Z140" s="101">
        <f t="shared" si="137"/>
        <v>0</v>
      </c>
      <c r="AA140" s="91">
        <f t="shared" si="138"/>
        <v>0</v>
      </c>
      <c r="AB140" s="30" t="e">
        <f t="shared" si="200"/>
        <v>#N/A</v>
      </c>
      <c r="AC140" s="30" t="e">
        <f t="shared" si="201"/>
        <v>#N/A</v>
      </c>
      <c r="AD140" s="31" t="e">
        <f>IF(OR(Hypothèses!$B$4=17,Hypothèses!$B$4=18,Hypothèses!$B$4=19,Hypothèses!$B$4=20),
IF($D140="Pressio.",
IF(OR($E140=3,$E140=1,$E140=4),AC140,AB140),
IF($D140="Pénétro.",
IF(OR($E140=3,$E140=1,$E140=4),AC140,AB140))),IF($D140="Pressio.",
IF($E140=3,AC140,AB140),
IF($D140="Pénétro.",
IF($E140=4,AC140,AB140))))</f>
        <v>#N/A</v>
      </c>
      <c r="AE140" s="31">
        <v>0</v>
      </c>
      <c r="AF140" s="102" t="e">
        <f>IF(NDC!$H$10="Oui",(VLOOKUP($B$3,'Coeff EC7'!$T$39:$X$59,2,0)*AD140+VLOOKUP($B$3,'Coeff EC7'!$T$65:$X$85,2,0)*Model0.1T!AE140)/1.5,PI()*AB$12*$Q140*($B140-$B139)*0.15/10+AF139)</f>
        <v>#N/A</v>
      </c>
      <c r="AG140" s="102" t="e">
        <f>(VLOOKUP($B$3,'Coeff EC7'!$T$39:$X$59,3,0)*AD140+VLOOKUP($B$3,'Coeff EC7'!$T$65:$X$85,3,0)*Model0.1T!AE140)/1.1</f>
        <v>#N/A</v>
      </c>
      <c r="AH140" s="102" t="e">
        <f t="shared" si="168"/>
        <v>#N/A</v>
      </c>
      <c r="AI140" s="102" t="e">
        <f t="shared" si="169"/>
        <v>#N/A</v>
      </c>
      <c r="AJ140" s="414" t="e">
        <f>IF(AND(AF140&gt;NDC!$C$63,AG140&gt;NDC!$C$65,AH140&gt;NDC!$D$73,AI140&gt;NDC!$D$74,$B140&gt;NDC!$H$22-0.1+MIN(3*$AJ$12,1.5)),0,1)</f>
        <v>#N/A</v>
      </c>
      <c r="AK140" s="86" t="b">
        <f t="shared" si="139"/>
        <v>0</v>
      </c>
      <c r="AL140" s="86">
        <f t="shared" si="170"/>
        <v>0.5</v>
      </c>
      <c r="AM140" s="86">
        <f t="shared" si="140"/>
        <v>0.5</v>
      </c>
      <c r="AN140" s="30" t="e">
        <f t="shared" ca="1" si="171"/>
        <v>#DIV/0!</v>
      </c>
      <c r="AO140" s="85" t="e">
        <f ca="1">IF(U140&lt;=Hypothèses!$V$7,Hypothèses!$W$7,IF(U140&lt;=Hypothèses!$V$8,Hypothèses!$W$8,IF(U140&lt;=Hypothèses!$V$9,Hypothèses!$W$9,IF(U140&lt;=Hypothèses!$V$10,Hypothèses!$W$10,IF(U140&lt;=Hypothèses!$V$11,Hypothèses!$W$11,IF(U140&lt;=Hypothèses!$V$12,Hypothèses!$W$12,IF(U140&lt;=Hypothèses!$V$13,Hypothèses!$W$13,IF(U140&lt;=Hypothèses!$V$14,Hypothèses!$W$14,IF(U140&lt;=Hypothèses!$V$15,Hypothèses!$W$15,IF(U140&lt;=Hypothèses!$V$16,Hypothèses!$W$16,IF(U140&lt;=Hypothèses!$V$17,Hypothèses!$W$17,IF(U140&lt;=Hypothèses!$V$18,Hypothèses!$W$18,""))))))))))))</f>
        <v>#DIV/0!</v>
      </c>
      <c r="AP140" s="87" t="e">
        <f t="shared" ca="1" si="217"/>
        <v>#DIV/0!</v>
      </c>
      <c r="AQ140" s="88" t="e">
        <f ca="1">IF(U140&lt;=Hypothèses!$V$7,Hypothèses!$X$7,IF(U140&lt;=Hypothèses!$V$8,Hypothèses!$X$8,IF(U140&lt;=Hypothèses!$V$9,Hypothèses!$X$9,IF(U140&lt;=Hypothèses!$V$10,Hypothèses!$X$10,IF(U140&lt;=Hypothèses!$V$11,Hypothèses!$X$11,IF(U140&lt;=Hypothèses!$V$12,Hypothèses!$X$12,IF(U140&lt;=Hypothèses!$V$13,Hypothèses!$X$13,IF(U140&lt;=Hypothèses!$V$14,Hypothèses!$X$14,IF(U140&lt;=Hypothèses!$V$15,Hypothèses!$X$15,IF(U140&lt;=Hypothèses!$V$16,Hypothèses!$X$16,IF(U140&lt;=Hypothèses!$U$17,Hypothèses!$W$17,IF(U140&lt;=Hypothèses!$U$18,Hypothèses!$W$18,""))))))))))))</f>
        <v>#DIV/0!</v>
      </c>
      <c r="AR140" s="95" t="e">
        <f t="shared" ca="1" si="172"/>
        <v>#DIV/0!</v>
      </c>
      <c r="AS140" s="101">
        <f t="shared" si="224"/>
        <v>0</v>
      </c>
      <c r="AT140" s="91">
        <f t="shared" si="141"/>
        <v>0</v>
      </c>
      <c r="AU140" s="30" t="e">
        <f t="shared" si="202"/>
        <v>#N/A</v>
      </c>
      <c r="AV140" s="30" t="e">
        <f t="shared" si="203"/>
        <v>#N/A</v>
      </c>
      <c r="AW140" s="31" t="e">
        <f>IF(OR(Hypothèses!$B$4=17,Hypothèses!$B$4=18,Hypothèses!$B$4=19,Hypothèses!$B$4=20),
IF($D140="Pressio.",
IF(OR($E140=3,$E140=1,$E140=4),AV140,AU140),
IF($D140="Pénétro.",
IF(OR($E140=3,$E140=1,$E140=4),AV140,AU140))),IF($D140="Pressio.",
IF($E140=3,AV140,AU140),
IF($D140="Pénétro.",
IF($E140=4,AV140,AU140))))</f>
        <v>#N/A</v>
      </c>
      <c r="AX140" s="31">
        <v>0</v>
      </c>
      <c r="AY140" s="102" t="e">
        <f>IF(NDC!$H$10="Oui",(VLOOKUP($B$3,'Coeff EC7'!$T$39:$X$59,2,0)*AW140+VLOOKUP($B$3,'Coeff EC7'!$T$65:$X$85,2,0)*Model0.1T!AX140)/1.5,PI()*AU$12*$Q140*($B140-$B139)*0.15/10+AY139)</f>
        <v>#N/A</v>
      </c>
      <c r="AZ140" s="102" t="e">
        <f>(VLOOKUP($B$3,'Coeff EC7'!$T$39:$X$59,3,0)*AW140+VLOOKUP($B$3,'Coeff EC7'!$T$65:$X$85,3,0)*Model0.1T!AX140)/1.1</f>
        <v>#N/A</v>
      </c>
      <c r="BA140" s="102" t="e">
        <f t="shared" si="173"/>
        <v>#N/A</v>
      </c>
      <c r="BB140" s="102" t="e">
        <f t="shared" si="174"/>
        <v>#N/A</v>
      </c>
      <c r="BC140" s="414" t="e">
        <f>IF(AND(AY140&gt;NDC!$C$63,AZ140&gt;NDC!$C$65,BA140&gt;NDC!$D$73,BB140&gt;NDC!$D$74,$B140&gt;NDC!$H$22-0.1+MIN(3*BC$12,1.5)),0,1)</f>
        <v>#N/A</v>
      </c>
      <c r="BD140" s="86" t="b">
        <f t="shared" si="142"/>
        <v>0</v>
      </c>
      <c r="BE140" s="86">
        <f t="shared" si="175"/>
        <v>0.5</v>
      </c>
      <c r="BF140" s="86">
        <f t="shared" si="143"/>
        <v>0.5</v>
      </c>
      <c r="BG140" s="30" t="e">
        <f t="shared" ca="1" si="176"/>
        <v>#DIV/0!</v>
      </c>
      <c r="BH140" s="85" t="e">
        <f ca="1">IF(AN140&lt;=Hypothèses!$V$7,Hypothèses!$W$7,IF(AN140&lt;=Hypothèses!$V$8,Hypothèses!$W$8,IF(AN140&lt;=Hypothèses!$V$9,Hypothèses!$W$9,IF(AN140&lt;=Hypothèses!$V$10,Hypothèses!$W$10,IF(AN140&lt;=Hypothèses!$V$11,Hypothèses!$W$11,IF(AN140&lt;=Hypothèses!$V$12,Hypothèses!$W$12,IF(AN140&lt;=Hypothèses!$V$13,Hypothèses!$W$13,IF(AN140&lt;=Hypothèses!$V$14,Hypothèses!$W$14,IF(AN140&lt;=Hypothèses!$V$15,Hypothèses!$W$15,IF(AN140&lt;=Hypothèses!$V$16,Hypothèses!$W$16,IF(AN140&lt;=Hypothèses!$V$17,Hypothèses!$W$17,IF(AN140&lt;=Hypothèses!$V$18,Hypothèses!$W$18,""))))))))))))</f>
        <v>#DIV/0!</v>
      </c>
      <c r="BI140" s="87" t="e">
        <f t="shared" ca="1" si="218"/>
        <v>#DIV/0!</v>
      </c>
      <c r="BJ140" s="88" t="e">
        <f ca="1">IF(AN140&lt;=Hypothèses!$V$7,Hypothèses!$X$7,IF(AN140&lt;=Hypothèses!$V$8,Hypothèses!$X$8,IF(AN140&lt;=Hypothèses!$V$9,Hypothèses!$X$9,IF(AN140&lt;=Hypothèses!$V$10,Hypothèses!$X$10,IF(AN140&lt;=Hypothèses!$V$11,Hypothèses!$X$11,IF(AN140&lt;=Hypothèses!$V$12,Hypothèses!$X$12,IF(AN140&lt;=Hypothèses!$V$13,Hypothèses!$X$13,IF(AN140&lt;=Hypothèses!$V$14,Hypothèses!$X$14,IF(AN140&lt;=Hypothèses!$V$15,Hypothèses!$X$15,IF(AN140&lt;=Hypothèses!$V$16,Hypothèses!$X$16,IF(AN140&lt;=Hypothèses!$U$17,Hypothèses!$W$17,IF(AN140&lt;=Hypothèses!$U$18,Hypothèses!$W$18,""))))))))))))</f>
        <v>#DIV/0!</v>
      </c>
      <c r="BK140" s="95" t="e">
        <f t="shared" ca="1" si="177"/>
        <v>#DIV/0!</v>
      </c>
      <c r="BL140" s="101">
        <f t="shared" si="225"/>
        <v>0</v>
      </c>
      <c r="BM140" s="91">
        <f t="shared" si="144"/>
        <v>0</v>
      </c>
      <c r="BN140" s="30" t="e">
        <f t="shared" si="204"/>
        <v>#N/A</v>
      </c>
      <c r="BO140" s="30" t="e">
        <f t="shared" si="205"/>
        <v>#N/A</v>
      </c>
      <c r="BP140" s="31" t="e">
        <f>IF(OR(Hypothèses!$B$4=17,Hypothèses!$B$4=18,Hypothèses!$B$4=19,Hypothèses!$B$4=20),
IF($D140="Pressio.",
IF(OR($E140=3,$E140=1,$E140=4),BO140,BN140),
IF($D140="Pénétro.",
IF(OR($E140=3,$E140=1,$E140=4),BO140,BN140))),IF($D140="Pressio.",
IF($E140=3,BO140,BN140),
IF($D140="Pénétro.",
IF($E140=4,BO140,BN140))))</f>
        <v>#N/A</v>
      </c>
      <c r="BQ140" s="31">
        <v>0</v>
      </c>
      <c r="BR140" s="102" t="e">
        <f>IF(NDC!$H$10="Oui",(VLOOKUP($B$3,'Coeff EC7'!$T$39:$X$59,2,0)*BP140+VLOOKUP($B$3,'Coeff EC7'!$T$65:$X$85,2,0)*Model0.1T!BQ140)/1.5,PI()*BN$12*$Q140*($B140-$B139)*0.15/10+BR139)</f>
        <v>#N/A</v>
      </c>
      <c r="BS140" s="102" t="e">
        <f>(VLOOKUP($B$3,'Coeff EC7'!$T$39:$X$59,3,0)*BP140+VLOOKUP($B$3,'Coeff EC7'!$T$65:$X$85,3,0)*Model0.1T!BQ140)/1.1</f>
        <v>#N/A</v>
      </c>
      <c r="BT140" s="102" t="e">
        <f t="shared" si="178"/>
        <v>#N/A</v>
      </c>
      <c r="BU140" s="102" t="e">
        <f t="shared" si="179"/>
        <v>#N/A</v>
      </c>
      <c r="BV140" s="414" t="e">
        <f>IF(AND(BR140&gt;NDC!$C$63,BS140&gt;NDC!$C$65,BT140&gt;NDC!$D$73,BU140&gt;NDC!$D$74,$B140&gt;NDC!$H$22-0.1+MIN(3*BV$12,1.5)),0,1)</f>
        <v>#N/A</v>
      </c>
      <c r="BW140" s="86" t="b">
        <f t="shared" si="145"/>
        <v>0</v>
      </c>
      <c r="BX140" s="86">
        <f t="shared" si="146"/>
        <v>0.5</v>
      </c>
      <c r="BY140" s="86">
        <f t="shared" si="147"/>
        <v>0.5</v>
      </c>
      <c r="BZ140" s="30" t="e">
        <f t="shared" ca="1" si="180"/>
        <v>#DIV/0!</v>
      </c>
      <c r="CA140" s="85" t="e">
        <f ca="1">IF(BG140&lt;=Hypothèses!$V$7,Hypothèses!$W$7,IF(BG140&lt;=Hypothèses!$V$8,Hypothèses!$W$8,IF(BG140&lt;=Hypothèses!$V$9,Hypothèses!$W$9,IF(BG140&lt;=Hypothèses!$V$10,Hypothèses!$W$10,IF(BG140&lt;=Hypothèses!$V$11,Hypothèses!$W$11,IF(BG140&lt;=Hypothèses!$V$12,Hypothèses!$W$12,IF(BG140&lt;=Hypothèses!$V$13,Hypothèses!$W$13,IF(BG140&lt;=Hypothèses!$V$14,Hypothèses!$W$14,IF(BG140&lt;=Hypothèses!$V$15,Hypothèses!$W$15,IF(BG140&lt;=Hypothèses!$V$16,Hypothèses!$W$16,IF(BG140&lt;=Hypothèses!$V$17,Hypothèses!$W$17,IF(BG140&lt;=Hypothèses!$V$18,Hypothèses!$W$18,""))))))))))))</f>
        <v>#DIV/0!</v>
      </c>
      <c r="CB140" s="87" t="e">
        <f t="shared" ca="1" si="219"/>
        <v>#DIV/0!</v>
      </c>
      <c r="CC140" s="88" t="e">
        <f ca="1">IF(BG140&lt;=Hypothèses!$V$7,Hypothèses!$X$7,IF(BG140&lt;=Hypothèses!$V$8,Hypothèses!$X$8,IF(BG140&lt;=Hypothèses!$V$9,Hypothèses!$X$9,IF(BG140&lt;=Hypothèses!$V$10,Hypothèses!$X$10,IF(BG140&lt;=Hypothèses!$V$11,Hypothèses!$X$11,IF(BG140&lt;=Hypothèses!$V$12,Hypothèses!$X$12,IF(BG140&lt;=Hypothèses!$V$13,Hypothèses!$X$13,IF(BG140&lt;=Hypothèses!$V$14,Hypothèses!$X$14,IF(BG140&lt;=Hypothèses!$V$15,Hypothèses!$X$15,IF(BG140&lt;=Hypothèses!$V$16,Hypothèses!$X$16,IF(BG140&lt;=Hypothèses!$U$17,Hypothèses!$W$17,IF(BG140&lt;=Hypothèses!$U$18,Hypothèses!$W$18,""))))))))))))</f>
        <v>#DIV/0!</v>
      </c>
      <c r="CD140" s="95" t="e">
        <f t="shared" ca="1" si="181"/>
        <v>#DIV/0!</v>
      </c>
      <c r="CE140" s="101">
        <f t="shared" si="226"/>
        <v>0</v>
      </c>
      <c r="CF140" s="91">
        <f t="shared" si="148"/>
        <v>0</v>
      </c>
      <c r="CG140" s="30" t="e">
        <f t="shared" si="206"/>
        <v>#N/A</v>
      </c>
      <c r="CH140" s="30" t="e">
        <f t="shared" si="207"/>
        <v>#N/A</v>
      </c>
      <c r="CI140" s="31" t="e">
        <f>IF(OR(Hypothèses!$B$4=17,Hypothèses!$B$4=18,Hypothèses!$B$4=19,Hypothèses!$B$4=20),
IF($D140="Pressio.",
IF(OR($E140=3,$E140=1,$E140=4),CH140,CG140),
IF($D140="Pénétro.",
IF(OR($E140=3,$E140=1,$E140=4),CH140,CG140))),IF($D140="Pressio.",
IF($E140=3,CH140,CG140),
IF($D140="Pénétro.",
IF($E140=4,CH140,CG140))))</f>
        <v>#N/A</v>
      </c>
      <c r="CJ140" s="31">
        <v>0</v>
      </c>
      <c r="CK140" s="102" t="e">
        <f>IF(NDC!$H$10="Oui",(VLOOKUP($B$3,'Coeff EC7'!$T$39:$X$59,2,0)*CI140+VLOOKUP($B$3,'Coeff EC7'!$T$65:$X$85,2,0)*Model0.1T!CJ140)/1.5,PI()*CG$12*$Q140*($B140-$B139)*0.15/10+CK139)</f>
        <v>#N/A</v>
      </c>
      <c r="CL140" s="102" t="e">
        <f>(VLOOKUP($B$3,'Coeff EC7'!$T$39:$X$59,3,0)*CI140+VLOOKUP($B$3,'Coeff EC7'!$T$65:$X$85,3,0)*Model0.1T!CJ140)/1.1</f>
        <v>#N/A</v>
      </c>
      <c r="CM140" s="102" t="e">
        <f t="shared" si="182"/>
        <v>#N/A</v>
      </c>
      <c r="CN140" s="102" t="e">
        <f t="shared" si="183"/>
        <v>#N/A</v>
      </c>
      <c r="CO140" s="414" t="e">
        <f>IF(AND(CK140&gt;NDC!$C$63,CL140&gt;NDC!$C$65,CM140&gt;NDC!$D$73,CN140&gt;NDC!$D$74,$B140&gt;NDC!$H$22-0.1+MIN(3*CO$12,1.5)),0,1)</f>
        <v>#N/A</v>
      </c>
      <c r="CP140" s="86" t="b">
        <f t="shared" si="149"/>
        <v>0</v>
      </c>
      <c r="CQ140" s="86">
        <f t="shared" si="150"/>
        <v>0.5</v>
      </c>
      <c r="CR140" s="86">
        <f t="shared" si="151"/>
        <v>0.5</v>
      </c>
      <c r="CS140" s="30" t="e">
        <f t="shared" ca="1" si="184"/>
        <v>#DIV/0!</v>
      </c>
      <c r="CT140" s="85" t="e">
        <f ca="1">IF(BZ140&lt;=Hypothèses!$V$7,Hypothèses!$W$7,IF(BZ140&lt;=Hypothèses!$V$8,Hypothèses!$W$8,IF(BZ140&lt;=Hypothèses!$V$9,Hypothèses!$W$9,IF(BZ140&lt;=Hypothèses!$V$10,Hypothèses!$W$10,IF(BZ140&lt;=Hypothèses!$V$11,Hypothèses!$W$11,IF(BZ140&lt;=Hypothèses!$V$12,Hypothèses!$W$12,IF(BZ140&lt;=Hypothèses!$V$13,Hypothèses!$W$13,IF(BZ140&lt;=Hypothèses!$V$14,Hypothèses!$W$14,IF(BZ140&lt;=Hypothèses!$V$15,Hypothèses!$W$15,IF(BZ140&lt;=Hypothèses!$V$16,Hypothèses!$W$16,IF(BZ140&lt;=Hypothèses!$V$17,Hypothèses!$W$17,IF(BZ140&lt;=Hypothèses!$V$18,Hypothèses!$W$18,""))))))))))))</f>
        <v>#DIV/0!</v>
      </c>
      <c r="CU140" s="87" t="e">
        <f t="shared" ca="1" si="220"/>
        <v>#DIV/0!</v>
      </c>
      <c r="CV140" s="88" t="e">
        <f ca="1">IF(BZ140&lt;=Hypothèses!$V$7,Hypothèses!$X$7,IF(BZ140&lt;=Hypothèses!$V$8,Hypothèses!$X$8,IF(BZ140&lt;=Hypothèses!$V$9,Hypothèses!$X$9,IF(BZ140&lt;=Hypothèses!$V$10,Hypothèses!$X$10,IF(BZ140&lt;=Hypothèses!$V$11,Hypothèses!$X$11,IF(BZ140&lt;=Hypothèses!$V$12,Hypothèses!$X$12,IF(BZ140&lt;=Hypothèses!$V$13,Hypothèses!$X$13,IF(BZ140&lt;=Hypothèses!$V$14,Hypothèses!$X$14,IF(BZ140&lt;=Hypothèses!$V$15,Hypothèses!$X$15,IF(BZ140&lt;=Hypothèses!$V$16,Hypothèses!$X$16,IF(BZ140&lt;=Hypothèses!$U$17,Hypothèses!$W$17,IF(BZ140&lt;=Hypothèses!$U$18,Hypothèses!$W$18,""))))))))))))</f>
        <v>#DIV/0!</v>
      </c>
      <c r="CW140" s="95" t="e">
        <f t="shared" ca="1" si="185"/>
        <v>#DIV/0!</v>
      </c>
      <c r="CX140" s="101">
        <f t="shared" si="227"/>
        <v>0</v>
      </c>
      <c r="CY140" s="91">
        <f t="shared" si="152"/>
        <v>0</v>
      </c>
      <c r="CZ140" s="30" t="e">
        <f t="shared" si="208"/>
        <v>#N/A</v>
      </c>
      <c r="DA140" s="30" t="e">
        <f t="shared" si="209"/>
        <v>#N/A</v>
      </c>
      <c r="DB140" s="31" t="e">
        <f>IF(OR(Hypothèses!$B$4=17,Hypothèses!$B$4=18,Hypothèses!$B$4=19,Hypothèses!$B$4=20),
IF($D140="Pressio.",
IF(OR($E140=3,$E140=1,$E140=4),DA140,CZ140),
IF($D140="Pénétro.",
IF(OR($E140=3,$E140=1,$E140=4),DA140,CZ140))),IF($D140="Pressio.",
IF($E140=3,DA140,CZ140),
IF($D140="Pénétro.",
IF($E140=4,DA140,CZ140))))</f>
        <v>#N/A</v>
      </c>
      <c r="DC140" s="31">
        <v>0</v>
      </c>
      <c r="DD140" s="102" t="e">
        <f>IF(NDC!$H$10="Oui",(VLOOKUP($B$3,'Coeff EC7'!$T$39:$X$59,2,0)*DB140+VLOOKUP($B$3,'Coeff EC7'!$T$65:$X$85,2,0)*Model0.1T!DC140)/1.5,PI()*CZ$12*$Q140*($B140-$B139)*0.15/10+DD139)</f>
        <v>#N/A</v>
      </c>
      <c r="DE140" s="102" t="e">
        <f>(VLOOKUP($B$3,'Coeff EC7'!$T$39:$X$59,3,0)*DB140+VLOOKUP($B$3,'Coeff EC7'!$T$65:$X$85,3,0)*Model0.1T!DC140)/1.1</f>
        <v>#N/A</v>
      </c>
      <c r="DF140" s="102" t="e">
        <f t="shared" si="186"/>
        <v>#N/A</v>
      </c>
      <c r="DG140" s="102" t="e">
        <f t="shared" si="187"/>
        <v>#N/A</v>
      </c>
      <c r="DH140" s="414" t="e">
        <f>IF(AND(DD140&gt;NDC!$C$63,DE140&gt;NDC!$C$65,DF140&gt;NDC!$D$73,DG140&gt;NDC!$D$74,$B140&gt;NDC!$H$22-0.1+MIN(3*DH$12,1.5)),0,1)</f>
        <v>#N/A</v>
      </c>
      <c r="DI140" s="86" t="b">
        <f t="shared" si="153"/>
        <v>0</v>
      </c>
      <c r="DJ140" s="86">
        <f t="shared" si="154"/>
        <v>0.5</v>
      </c>
      <c r="DK140" s="86">
        <f t="shared" si="155"/>
        <v>0.5</v>
      </c>
      <c r="DL140" s="30" t="e">
        <f t="shared" ca="1" si="188"/>
        <v>#DIV/0!</v>
      </c>
      <c r="DM140" s="85" t="e">
        <f ca="1">IF(CS140&lt;=Hypothèses!$V$7,Hypothèses!$W$7,IF(CS140&lt;=Hypothèses!$V$8,Hypothèses!$W$8,IF(CS140&lt;=Hypothèses!$V$9,Hypothèses!$W$9,IF(CS140&lt;=Hypothèses!$V$10,Hypothèses!$W$10,IF(CS140&lt;=Hypothèses!$V$11,Hypothèses!$W$11,IF(CS140&lt;=Hypothèses!$V$12,Hypothèses!$W$12,IF(CS140&lt;=Hypothèses!$V$13,Hypothèses!$W$13,IF(CS140&lt;=Hypothèses!$V$14,Hypothèses!$W$14,IF(CS140&lt;=Hypothèses!$V$15,Hypothèses!$W$15,IF(CS140&lt;=Hypothèses!$V$16,Hypothèses!$W$16,IF(CS140&lt;=Hypothèses!$V$17,Hypothèses!$W$17,IF(CS140&lt;=Hypothèses!$V$18,Hypothèses!$W$18,""))))))))))))</f>
        <v>#DIV/0!</v>
      </c>
      <c r="DN140" s="87" t="e">
        <f t="shared" ca="1" si="221"/>
        <v>#DIV/0!</v>
      </c>
      <c r="DO140" s="88" t="e">
        <f ca="1">IF(CS140&lt;=Hypothèses!$V$7,Hypothèses!$X$7,IF(CS140&lt;=Hypothèses!$V$8,Hypothèses!$X$8,IF(CS140&lt;=Hypothèses!$V$9,Hypothèses!$X$9,IF(CS140&lt;=Hypothèses!$V$10,Hypothèses!$X$10,IF(CS140&lt;=Hypothèses!$V$11,Hypothèses!$X$11,IF(CS140&lt;=Hypothèses!$V$12,Hypothèses!$X$12,IF(CS140&lt;=Hypothèses!$V$13,Hypothèses!$X$13,IF(CS140&lt;=Hypothèses!$V$14,Hypothèses!$X$14,IF(CS140&lt;=Hypothèses!$V$15,Hypothèses!$X$15,IF(CS140&lt;=Hypothèses!$V$16,Hypothèses!$X$16,IF(CS140&lt;=Hypothèses!$U$17,Hypothèses!$W$17,IF(CS140&lt;=Hypothèses!$U$18,Hypothèses!$W$18,""))))))))))))</f>
        <v>#DIV/0!</v>
      </c>
      <c r="DP140" s="95" t="e">
        <f t="shared" ca="1" si="189"/>
        <v>#DIV/0!</v>
      </c>
      <c r="DQ140" s="101">
        <f t="shared" si="228"/>
        <v>0</v>
      </c>
      <c r="DR140" s="91">
        <f t="shared" si="156"/>
        <v>0</v>
      </c>
      <c r="DS140" s="30" t="e">
        <f t="shared" si="210"/>
        <v>#N/A</v>
      </c>
      <c r="DT140" s="30" t="e">
        <f t="shared" si="211"/>
        <v>#N/A</v>
      </c>
      <c r="DU140" s="31" t="e">
        <f>IF(OR(Hypothèses!$B$4=17,Hypothèses!$B$4=18,Hypothèses!$B$4=19,Hypothèses!$B$4=20),
IF($D140="Pressio.",
IF(OR($E140=3,$E140=1,$E140=4),DT140,DS140),
IF($D140="Pénétro.",
IF(OR($E140=3,$E140=1,$E140=4),DT140,DS140))),IF($D140="Pressio.",
IF($E140=3,DT140,DS140),
IF($D140="Pénétro.",
IF($E140=4,DT140,DS140))))</f>
        <v>#N/A</v>
      </c>
      <c r="DV140" s="31">
        <v>0</v>
      </c>
      <c r="DW140" s="102" t="e">
        <f>IF(NDC!$H$10="Oui",(VLOOKUP($B$3,'Coeff EC7'!$T$39:$X$59,2,0)*DU140+VLOOKUP($B$3,'Coeff EC7'!$T$65:$X$85,2,0)*Model0.1T!DV140)/1.5,PI()*DS$12*$Q140*($B140-$B139)*0.15/10+DW139)</f>
        <v>#N/A</v>
      </c>
      <c r="DX140" s="102" t="e">
        <f>(VLOOKUP($B$3,'Coeff EC7'!$T$39:$X$59,3,0)*DU140+VLOOKUP($B$3,'Coeff EC7'!$T$65:$X$85,3,0)*Model0.1T!DV140)/1.1</f>
        <v>#N/A</v>
      </c>
      <c r="DY140" s="102" t="e">
        <f t="shared" si="190"/>
        <v>#N/A</v>
      </c>
      <c r="DZ140" s="102" t="e">
        <f t="shared" si="191"/>
        <v>#N/A</v>
      </c>
      <c r="EA140" s="414" t="e">
        <f>IF(AND(DW140&gt;NDC!$C$63,DX140&gt;NDC!$C$65,DY140&gt;NDC!$D$73,DZ140&gt;NDC!$D$74,$B140&gt;NDC!$H$22-0.1+MIN(3*EA$12,1.5)),0,1)</f>
        <v>#N/A</v>
      </c>
      <c r="EB140" s="86" t="b">
        <f t="shared" si="157"/>
        <v>0</v>
      </c>
      <c r="EC140" s="418">
        <f t="shared" si="158"/>
        <v>0.51</v>
      </c>
      <c r="ED140" s="86">
        <f t="shared" si="159"/>
        <v>0.51</v>
      </c>
      <c r="EE140" s="30" t="e">
        <f t="shared" ca="1" si="192"/>
        <v>#DIV/0!</v>
      </c>
      <c r="EF140" s="85" t="e">
        <f ca="1">IF(DL140&lt;=Hypothèses!$V$7,Hypothèses!$W$7,IF(DL140&lt;=Hypothèses!$V$8,Hypothèses!$W$8,IF(DL140&lt;=Hypothèses!$V$9,Hypothèses!$W$9,IF(DL140&lt;=Hypothèses!$V$10,Hypothèses!$W$10,IF(DL140&lt;=Hypothèses!$V$11,Hypothèses!$W$11,IF(DL140&lt;=Hypothèses!$V$12,Hypothèses!$W$12,IF(DL140&lt;=Hypothèses!$V$13,Hypothèses!$W$13,IF(DL140&lt;=Hypothèses!$V$14,Hypothèses!$W$14,IF(DL140&lt;=Hypothèses!$V$15,Hypothèses!$W$15,IF(DL140&lt;=Hypothèses!$V$16,Hypothèses!$W$16,IF(DL140&lt;=Hypothèses!$V$17,Hypothèses!$W$17,IF(DL140&lt;=Hypothèses!$V$18,Hypothèses!$W$18,""))))))))))))</f>
        <v>#DIV/0!</v>
      </c>
      <c r="EG140" s="87" t="e">
        <f t="shared" ca="1" si="222"/>
        <v>#DIV/0!</v>
      </c>
      <c r="EH140" s="88" t="e">
        <f ca="1">IF(DL140&lt;=Hypothèses!$V$7,Hypothèses!$X$7,IF(DL140&lt;=Hypothèses!$V$8,Hypothèses!$X$8,IF(DL140&lt;=Hypothèses!$V$9,Hypothèses!$X$9,IF(DL140&lt;=Hypothèses!$V$10,Hypothèses!$X$10,IF(DL140&lt;=Hypothèses!$V$11,Hypothèses!$X$11,IF(DL140&lt;=Hypothèses!$V$12,Hypothèses!$X$12,IF(DL140&lt;=Hypothèses!$V$13,Hypothèses!$X$13,IF(DL140&lt;=Hypothèses!$V$14,Hypothèses!$X$14,IF(DL140&lt;=Hypothèses!$V$15,Hypothèses!$X$15,IF(DL140&lt;=Hypothèses!$V$16,Hypothèses!$X$16,IF(DL140&lt;=Hypothèses!$U$17,Hypothèses!$W$17,IF(DL140&lt;=Hypothèses!$U$18,Hypothèses!$W$18,""))))))))))))</f>
        <v>#DIV/0!</v>
      </c>
      <c r="EI140" s="95" t="e">
        <f t="shared" ca="1" si="193"/>
        <v>#DIV/0!</v>
      </c>
      <c r="EJ140" s="101">
        <f t="shared" si="229"/>
        <v>0</v>
      </c>
      <c r="EK140" s="91">
        <f t="shared" si="160"/>
        <v>0</v>
      </c>
      <c r="EL140" s="30" t="e">
        <f t="shared" si="212"/>
        <v>#N/A</v>
      </c>
      <c r="EM140" s="30" t="e">
        <f t="shared" si="213"/>
        <v>#N/A</v>
      </c>
      <c r="EN140" s="31" t="e">
        <f>IF(OR(Hypothèses!$B$4=17,Hypothèses!$B$4=18,Hypothèses!$B$4=19,Hypothèses!$B$4=20),
IF($D140="Pressio.",
IF(OR($E140=3,$E140=1,$E140=4),EM140,EL140),
IF($D140="Pénétro.",
IF(OR($E140=3,$E140=1,$E140=4),EM140,EL140))),IF($D140="Pressio.",
IF($E140=3,EM140,EL140),
IF($D140="Pénétro.",
IF($E140=4,EM140,EL140))))</f>
        <v>#N/A</v>
      </c>
      <c r="EO140" s="31">
        <v>0</v>
      </c>
      <c r="EP140" s="102" t="e">
        <f>IF(NDC!$H$10="Oui",(VLOOKUP($B$3,'Coeff EC7'!$T$39:$X$59,2,0)*EN140+VLOOKUP($B$3,'Coeff EC7'!$T$65:$X$85,2,0)*Model0.1T!EO140)/1.5,PI()*EL$12*$Q140*($B140-$B139)*0.15/10+EP139)</f>
        <v>#N/A</v>
      </c>
      <c r="EQ140" s="102" t="e">
        <f>(VLOOKUP($B$3,'Coeff EC7'!$T$39:$X$59,3,0)*EN140+VLOOKUP($B$3,'Coeff EC7'!$T$65:$X$85,3,0)*Model0.1T!EO140)/1.1</f>
        <v>#N/A</v>
      </c>
      <c r="ER140" s="102" t="e">
        <f t="shared" si="194"/>
        <v>#N/A</v>
      </c>
      <c r="ES140" s="102" t="e">
        <f t="shared" si="195"/>
        <v>#N/A</v>
      </c>
      <c r="ET140" s="414" t="e">
        <f>IF(AND(EP140&gt;NDC!$C$63,EQ140&gt;NDC!$C$65,ER140&gt;NDC!$D$73,ES140&gt;NDC!$D$74,$B140&gt;NDC!$H$22-0.1+MIN(3*ET$12,1.5)),0,1)</f>
        <v>#N/A</v>
      </c>
      <c r="EU140" s="86" t="b">
        <f t="shared" si="161"/>
        <v>0</v>
      </c>
      <c r="EV140" s="86">
        <f t="shared" si="162"/>
        <v>0.61</v>
      </c>
      <c r="EW140" s="86">
        <f t="shared" si="163"/>
        <v>0.61</v>
      </c>
      <c r="EX140" s="30" t="e">
        <f t="shared" ca="1" si="196"/>
        <v>#DIV/0!</v>
      </c>
      <c r="EY140" s="85" t="e">
        <f ca="1">IF(EE140&lt;=Hypothèses!$V$7,Hypothèses!$W$7,IF(EE140&lt;=Hypothèses!$V$8,Hypothèses!$W$8,IF(EE140&lt;=Hypothèses!$V$9,Hypothèses!$W$9,IF(EE140&lt;=Hypothèses!$V$10,Hypothèses!$W$10,IF(EE140&lt;=Hypothèses!$V$11,Hypothèses!$W$11,IF(EE140&lt;=Hypothèses!$V$12,Hypothèses!$W$12,IF(EE140&lt;=Hypothèses!$V$13,Hypothèses!$W$13,IF(EE140&lt;=Hypothèses!$V$14,Hypothèses!$W$14,IF(EE140&lt;=Hypothèses!$V$15,Hypothèses!$W$15,IF(EE140&lt;=Hypothèses!$V$16,Hypothèses!$W$16,IF(EE140&lt;=Hypothèses!$V$17,Hypothèses!$W$17,IF(EE140&lt;=Hypothèses!$V$18,Hypothèses!$W$18,""))))))))))))</f>
        <v>#DIV/0!</v>
      </c>
      <c r="EZ140" s="87" t="e">
        <f t="shared" ca="1" si="223"/>
        <v>#DIV/0!</v>
      </c>
      <c r="FA140" s="88" t="e">
        <f ca="1">IF(EE140&lt;=Hypothèses!$V$7,Hypothèses!$X$7,IF(EE140&lt;=Hypothèses!$V$8,Hypothèses!$X$8,IF(EE140&lt;=Hypothèses!$V$9,Hypothèses!$X$9,IF(EE140&lt;=Hypothèses!$V$10,Hypothèses!$X$10,IF(EE140&lt;=Hypothèses!$V$11,Hypothèses!$X$11,IF(EE140&lt;=Hypothèses!$V$12,Hypothèses!$X$12,IF(EE140&lt;=Hypothèses!$V$13,Hypothèses!$X$13,IF(EE140&lt;=Hypothèses!$V$14,Hypothèses!$X$14,IF(EE140&lt;=Hypothèses!$V$15,Hypothèses!$X$15,IF(EE140&lt;=Hypothèses!$V$16,Hypothèses!$X$16,IF(EE140&lt;=Hypothèses!$U$17,Hypothèses!$W$17,IF(EE140&lt;=Hypothèses!$U$18,Hypothèses!$W$18,""))))))))))))</f>
        <v>#DIV/0!</v>
      </c>
      <c r="FB140" s="95" t="e">
        <f t="shared" ca="1" si="197"/>
        <v>#DIV/0!</v>
      </c>
      <c r="FC140" s="101">
        <f t="shared" si="230"/>
        <v>0</v>
      </c>
      <c r="FD140" s="91">
        <f t="shared" si="164"/>
        <v>0</v>
      </c>
      <c r="FE140" s="30" t="e">
        <f t="shared" si="214"/>
        <v>#N/A</v>
      </c>
      <c r="FF140" s="30" t="e">
        <f t="shared" si="215"/>
        <v>#N/A</v>
      </c>
      <c r="FG140" s="31" t="e">
        <f>IF(OR(Hypothèses!$B$4=17,Hypothèses!$B$4=18,Hypothèses!$B$4=19,Hypothèses!$B$4=20),
IF($D140="Pressio.",
IF(OR($E140=3,$E140=1,$E140=4),FF140,FE140),
IF($D140="Pénétro.",
IF(OR($E140=3,$E140=1,$E140=4),FF140,FE140))),IF($D140="Pressio.",
IF($E140=3,FF140,FE140),
IF($D140="Pénétro.",
IF($E140=4,FF140,FE140))))</f>
        <v>#N/A</v>
      </c>
      <c r="FH140" s="31">
        <v>0</v>
      </c>
      <c r="FI140" s="102" t="e">
        <f>IF(NDC!$H$10="Oui",(VLOOKUP($B$3,'Coeff EC7'!$T$39:$X$59,2,0)*FG140+VLOOKUP($B$3,'Coeff EC7'!$T$65:$X$85,2,0)*Model0.1T!FH140)/1.5,PI()*FE$12*$Q140*($B140-$B139)*0.15/10+FI139)</f>
        <v>#N/A</v>
      </c>
      <c r="FJ140" s="102" t="e">
        <f>(VLOOKUP($B$3,'Coeff EC7'!$T$39:$X$59,3,0)*FG140+VLOOKUP($B$3,'Coeff EC7'!$T$65:$X$85,3,0)*Model0.1T!FH140)/1.1</f>
        <v>#N/A</v>
      </c>
      <c r="FK140" s="102" t="e">
        <f t="shared" si="198"/>
        <v>#N/A</v>
      </c>
      <c r="FL140" s="102" t="e">
        <f t="shared" si="199"/>
        <v>#N/A</v>
      </c>
      <c r="FM140" s="414" t="e">
        <f>IF(AND(FI140&gt;NDC!$C$63,FJ140&gt;NDC!$C$65,FK140&gt;NDC!$D$73,FL140&gt;NDC!$D$74,$B140&gt;NDC!$H$22-0.1+MIN(3*FM$12,1.5)),0,1)</f>
        <v>#N/A</v>
      </c>
    </row>
    <row r="141" spans="1:169">
      <c r="A141" s="96">
        <f t="shared" si="165"/>
        <v>87.200000000000728</v>
      </c>
      <c r="B141" s="97">
        <v>12.8</v>
      </c>
      <c r="C141" s="81">
        <f>IF(B141&lt;=Hypothèses!$C$7,Hypothèses!$A$7,IF(B141&lt;=Hypothèses!$C$8,Hypothèses!$A$8,IF(B141&lt;=Hypothèses!$C$9,Hypothèses!$A$9,IF(B141&lt;=Hypothèses!$C$10,Hypothèses!$A$10,IF(B141&lt;=Hypothèses!$C$11,Hypothèses!$A$11,IF(B141&lt;=Hypothèses!$C$12,Hypothèses!$A$12,IF(B141&lt;=Hypothèses!$C$13,Hypothèses!$A$13,IF(B141&lt;=Hypothèses!$C$14,Hypothèses!$A$14,IF(B141&lt;=Hypothèses!$C$15,Hypothèses!$A$15,IF(B141&lt;=Hypothèses!$C$16,Hypothèses!$A$16,IF(B141&lt;=Hypothèses!$C$17,Hypothèses!$A$17,IF(B141&lt;=Hypothèses!$C$18,Hypothèses!$A$18,C140))))))))))))</f>
        <v>11</v>
      </c>
      <c r="D141" s="82" t="str">
        <f>IF(B141&lt;=Hypothèses!$C$7,Hypothèses!$R$7,IF(B141&lt;=Hypothèses!$C$8,Hypothèses!$R$8,IF(B141&lt;=Hypothèses!$C$9,Hypothèses!$R$9,IF(B141&lt;=Hypothèses!$C$10,Hypothèses!$R$10,IF(B141&lt;=Hypothèses!$C$11,Hypothèses!$R$11,IF(B141&lt;=Hypothèses!$C$12,Hypothèses!$R$12,IF(B141&lt;=Hypothèses!$C$13,Hypothèses!$R$13,IF(B141&lt;=Hypothèses!$C$14,Hypothèses!$R$14,IF(B141&lt;=Hypothèses!$C$15,Hypothèses!$R$15,IF(B141&lt;=Hypothèses!$C$16,Hypothèses!$R$16,IF(B141&lt;=Hypothèses!$C$17,Hypothèses!$R$17,IF(B141&lt;=Hypothèses!$C$18,Hypothèses!$R$18,D140))))))))))))</f>
        <v>Pressio.</v>
      </c>
      <c r="E141" s="82" t="e">
        <f>IF(B141&lt;=Hypothèses!$C$7,Hypothèses!$G$7,IF(B141&lt;=Hypothèses!$C$8,Hypothèses!$G$8,IF(B141&lt;=Hypothèses!$C$9,Hypothèses!$G$9,IF(B141&lt;=Hypothèses!$C$10,Hypothèses!$G$10,IF(B141&lt;=Hypothèses!$C$11,Hypothèses!$G$11,IF(B141&lt;=Hypothèses!$C$12,Hypothèses!$G$12,IF(B141&lt;=Hypothèses!$C$13,Hypothèses!$G$13,IF(B141&lt;=Hypothèses!$C$14,Hypothèses!$G$14,IF(B141&lt;=Hypothèses!$C$15,Hypothèses!$G$15,IF(B141&lt;=Hypothèses!$C$16,Hypothèses!$G$16,IF(B141&lt;=Hypothèses!$C$17,Hypothèses!$G$17,IF(B141&lt;=Hypothèses!$C$18,Hypothèses!$G$18,E140))))))))))))</f>
        <v>#N/A</v>
      </c>
      <c r="F141" s="82" t="str">
        <f>IF(B141&lt;=Hypothèses!$C$7,Hypothèses!$F$7,IF(B141&lt;=Hypothèses!$C$8,Hypothèses!$F$8,IF(B141&lt;=Hypothèses!$C$9,Hypothèses!$F$9,IF(B141&lt;=Hypothèses!$C$10,Hypothèses!$F$10,IF(B141&lt;=Hypothèses!$C$11,Hypothèses!$F$11,IF(B141&lt;=Hypothèses!$C$12,Hypothèses!$F$12,IF(B141&lt;=Hypothèses!$C$13,Hypothèses!$F$13,IF(B141&lt;=Hypothèses!$C$14,Hypothèses!$F$14,IF(B141&lt;=Hypothèses!$C$15,Hypothèses!$F$15,IF(B141&lt;=Hypothèses!$C$16,Hypothèses!$F$16,IF(B141&lt;=Hypothèses!$C$17,Hypothèses!$F$17,IF(B141&lt;=Hypothèses!$C$18,Hypothèses!$F$18,F140))))))))))))</f>
        <v/>
      </c>
      <c r="G141" s="91">
        <f t="array" ref="G141">INDEX('Coeff EC7'!$U$7:$X$27,
MATCH(Model0.1T!$B$3,'Coeff EC7'!$T$7:$T$27,0),
MATCH(Model0.1T!$D141&amp;Model0.1T!$B$4,
'Coeff EC7'!$U$6:$X$6&amp;
'Coeff EC7'!$U$5:$X$5,0))</f>
        <v>1.4</v>
      </c>
      <c r="H141" s="91">
        <f t="array" ref="H141">INDEX('Coeff EC7'!$Y$7:$AB$27,
MATCH(Model0.1T!$B$3,'Coeff EC7'!$T$7:$T$27,0),
MATCH(Model0.1T!$D141&amp;Model0.1T!$B$4,
'Coeff EC7'!$Y$6:$AB$6&amp;
'Coeff EC7'!$Y$5:$AB$5,0))</f>
        <v>1.7</v>
      </c>
      <c r="I141" s="83">
        <v>0</v>
      </c>
      <c r="J141" s="91" t="e">
        <f t="array" ref="J141">INDEX('Coeff EC7'!$D$33:$Q$33,1,MATCH(D141&amp;E141,'Coeff EC7'!$D$31:$Q$31&amp;'Coeff EC7'!$D$32:$Q$32,0))</f>
        <v>#N/A</v>
      </c>
      <c r="K141" s="91" t="e">
        <f t="array" ref="K141">INDEX('Coeff EC7'!$D$34:$Q$34,1,MATCH(D141&amp;E141,'Coeff EC7'!$D$31:$Q$31&amp;'Coeff EC7'!$D$32:$Q$32,0))</f>
        <v>#N/A</v>
      </c>
      <c r="L141" s="91" t="e">
        <f t="array" ref="L141">INDEX('Coeff EC7'!$D$35:$Q$35,1,MATCH(D141&amp;E141,'Coeff EC7'!$D$31:$Q$31&amp;'Coeff EC7'!$D$32:$Q$32,0))</f>
        <v>#N/A</v>
      </c>
      <c r="M141" s="98" t="e">
        <f t="shared" ref="M141:M204" si="231">((J141*F141+K141)*(1-(EXP(-L141*F141))))</f>
        <v>#N/A</v>
      </c>
      <c r="N141" s="99" t="e">
        <f t="array" ref="N141">INDEX('Coeff EC7'!$D$7:$Q$27,MATCH($B$3,'Coeff EC7'!$C$7:$C$27,0),MATCH(D141&amp;E141,'Coeff EC7'!$D$5:$Q$5&amp;'Coeff EC7'!$D$6:$Q$6,0))</f>
        <v>#N/A</v>
      </c>
      <c r="O141" s="99" t="e">
        <f t="array" ref="O141">INDEX('Coeff EC7'!$D$41:$Q$61,MATCH($B$3,'Coeff EC7'!$C$41:$C$61,0),MATCH(D141&amp;E141,'Coeff EC7'!$D$39:$Q$39&amp;'Coeff EC7'!$D$40:$Q$40,0))</f>
        <v>#N/A</v>
      </c>
      <c r="P141" s="30" t="e">
        <f t="shared" si="166"/>
        <v>#N/A</v>
      </c>
      <c r="Q141" s="100" t="e">
        <f t="shared" si="133"/>
        <v>#N/A</v>
      </c>
      <c r="R141" s="86" t="b">
        <f t="shared" si="134"/>
        <v>0</v>
      </c>
      <c r="S141" s="86">
        <f t="shared" ref="S141:S204" si="232">MAX($AF$12/2,0.5)</f>
        <v>0.5</v>
      </c>
      <c r="T141" s="86">
        <f t="shared" si="135"/>
        <v>0.5</v>
      </c>
      <c r="U141" s="30" t="e">
        <f t="shared" ca="1" si="167"/>
        <v>#DIV/0!</v>
      </c>
      <c r="V141" s="85" t="str">
        <f>IF(B141&lt;=Hypothèses!$V$7,Hypothèses!$W$7,IF(B141&lt;=Hypothèses!$V$8,Hypothèses!$W$8,IF(B141&lt;=Hypothèses!$V$9,Hypothèses!$W$9,IF(B141&lt;=Hypothèses!$V$10,Hypothèses!$W$10,IF(B141&lt;=Hypothèses!$V$11,Hypothèses!$W$11,IF(B141&lt;=Hypothèses!$V$12,Hypothèses!$W$12,IF(B141&lt;=Hypothèses!$V$13,Hypothèses!$W$13,IF(B141&lt;=Hypothèses!$V$14,Hypothèses!$W$14,IF(B141&lt;=Hypothèses!$V$15,Hypothèses!$W$15,IF(B141&lt;=Hypothèses!$V$16,Hypothèses!$W$16,IF(B141&lt;=Hypothèses!$V$17,Hypothèses!$W$17,IF(B141&lt;=Hypothèses!$V$18,Hypothèses!$W$18,""))))))))))))</f>
        <v/>
      </c>
      <c r="W141" s="87" t="e">
        <f t="shared" ca="1" si="216"/>
        <v>#DIV/0!</v>
      </c>
      <c r="X141" s="88" t="str">
        <f>IF(B141&lt;=Hypothèses!$V$7,Hypothèses!$X$7,IF(B141&lt;=Hypothèses!$V$8,Hypothèses!$X$8,IF(B141&lt;=Hypothèses!$V$9,Hypothèses!$X$9,IF(B141&lt;=Hypothèses!$V$10,Hypothèses!$X$10,IF(B141&lt;=Hypothèses!$V$11,Hypothèses!$X$11,IF(B141&lt;=Hypothèses!$V$12,Hypothèses!$X$12,IF(B141&lt;=Hypothèses!$V$13,Hypothèses!$X$13,IF(B141&lt;=Hypothèses!$V$14,Hypothèses!$X$14,IF(B141&lt;=Hypothèses!$V$15,Hypothèses!$X$15,IF(B141&lt;=Hypothèses!$V$16,Hypothèses!$X$16,IF(B141&lt;=Hypothèses!$U$17,Hypothèses!$W$17,IF(B141&lt;=Hypothèses!$U$18,Hypothèses!$W$18,""))))))))))))</f>
        <v/>
      </c>
      <c r="Y141" s="95" t="e">
        <f t="shared" ca="1" si="136"/>
        <v>#DIV/0!</v>
      </c>
      <c r="Z141" s="101">
        <f t="shared" si="137"/>
        <v>0</v>
      </c>
      <c r="AA141" s="91">
        <f t="shared" si="138"/>
        <v>0</v>
      </c>
      <c r="AB141" s="30" t="e">
        <f t="shared" si="200"/>
        <v>#N/A</v>
      </c>
      <c r="AC141" s="30" t="e">
        <f t="shared" si="201"/>
        <v>#N/A</v>
      </c>
      <c r="AD141" s="31" t="e">
        <f>IF(OR(Hypothèses!$B$4=17,Hypothèses!$B$4=18,Hypothèses!$B$4=19,Hypothèses!$B$4=20),
IF($D141="Pressio.",
IF(OR($E141=3,$E141=1,$E141=4),AC141,AB141),
IF($D141="Pénétro.",
IF(OR($E141=3,$E141=1,$E141=4),AC141,AB141))),IF($D141="Pressio.",
IF($E141=3,AC141,AB141),
IF($D141="Pénétro.",
IF($E141=4,AC141,AB141))))</f>
        <v>#N/A</v>
      </c>
      <c r="AE141" s="31">
        <v>0</v>
      </c>
      <c r="AF141" s="102" t="e">
        <f>IF(NDC!$H$10="Oui",(VLOOKUP($B$3,'Coeff EC7'!$T$39:$X$59,2,0)*AD141+VLOOKUP($B$3,'Coeff EC7'!$T$65:$X$85,2,0)*Model0.1T!AE141)/1.5,PI()*AB$12*$Q141*($B141-$B140)*0.15/10+AF140)</f>
        <v>#N/A</v>
      </c>
      <c r="AG141" s="102" t="e">
        <f>(VLOOKUP($B$3,'Coeff EC7'!$T$39:$X$59,3,0)*AD141+VLOOKUP($B$3,'Coeff EC7'!$T$65:$X$85,3,0)*Model0.1T!AE141)/1.1</f>
        <v>#N/A</v>
      </c>
      <c r="AH141" s="102" t="e">
        <f t="shared" si="168"/>
        <v>#N/A</v>
      </c>
      <c r="AI141" s="102" t="e">
        <f t="shared" si="169"/>
        <v>#N/A</v>
      </c>
      <c r="AJ141" s="414" t="e">
        <f>IF(AND(AF141&gt;NDC!$C$63,AG141&gt;NDC!$C$65,AH141&gt;NDC!$D$73,AI141&gt;NDC!$D$74,$B141&gt;NDC!$H$22-0.1+MIN(3*$AJ$12,1.5)),0,1)</f>
        <v>#N/A</v>
      </c>
      <c r="AK141" s="86" t="b">
        <f t="shared" si="139"/>
        <v>0</v>
      </c>
      <c r="AL141" s="86">
        <f t="shared" si="170"/>
        <v>0.5</v>
      </c>
      <c r="AM141" s="86">
        <f t="shared" si="140"/>
        <v>0.5</v>
      </c>
      <c r="AN141" s="30" t="e">
        <f t="shared" ca="1" si="171"/>
        <v>#DIV/0!</v>
      </c>
      <c r="AO141" s="85" t="e">
        <f ca="1">IF(U141&lt;=Hypothèses!$V$7,Hypothèses!$W$7,IF(U141&lt;=Hypothèses!$V$8,Hypothèses!$W$8,IF(U141&lt;=Hypothèses!$V$9,Hypothèses!$W$9,IF(U141&lt;=Hypothèses!$V$10,Hypothèses!$W$10,IF(U141&lt;=Hypothèses!$V$11,Hypothèses!$W$11,IF(U141&lt;=Hypothèses!$V$12,Hypothèses!$W$12,IF(U141&lt;=Hypothèses!$V$13,Hypothèses!$W$13,IF(U141&lt;=Hypothèses!$V$14,Hypothèses!$W$14,IF(U141&lt;=Hypothèses!$V$15,Hypothèses!$W$15,IF(U141&lt;=Hypothèses!$V$16,Hypothèses!$W$16,IF(U141&lt;=Hypothèses!$V$17,Hypothèses!$W$17,IF(U141&lt;=Hypothèses!$V$18,Hypothèses!$W$18,""))))))))))))</f>
        <v>#DIV/0!</v>
      </c>
      <c r="AP141" s="87" t="e">
        <f t="shared" ca="1" si="217"/>
        <v>#DIV/0!</v>
      </c>
      <c r="AQ141" s="88" t="e">
        <f ca="1">IF(U141&lt;=Hypothèses!$V$7,Hypothèses!$X$7,IF(U141&lt;=Hypothèses!$V$8,Hypothèses!$X$8,IF(U141&lt;=Hypothèses!$V$9,Hypothèses!$X$9,IF(U141&lt;=Hypothèses!$V$10,Hypothèses!$X$10,IF(U141&lt;=Hypothèses!$V$11,Hypothèses!$X$11,IF(U141&lt;=Hypothèses!$V$12,Hypothèses!$X$12,IF(U141&lt;=Hypothèses!$V$13,Hypothèses!$X$13,IF(U141&lt;=Hypothèses!$V$14,Hypothèses!$X$14,IF(U141&lt;=Hypothèses!$V$15,Hypothèses!$X$15,IF(U141&lt;=Hypothèses!$V$16,Hypothèses!$X$16,IF(U141&lt;=Hypothèses!$U$17,Hypothèses!$W$17,IF(U141&lt;=Hypothèses!$U$18,Hypothèses!$W$18,""))))))))))))</f>
        <v>#DIV/0!</v>
      </c>
      <c r="AR141" s="95" t="e">
        <f t="shared" ca="1" si="172"/>
        <v>#DIV/0!</v>
      </c>
      <c r="AS141" s="101">
        <f t="shared" si="224"/>
        <v>0</v>
      </c>
      <c r="AT141" s="91">
        <f t="shared" si="141"/>
        <v>0</v>
      </c>
      <c r="AU141" s="30" t="e">
        <f t="shared" si="202"/>
        <v>#N/A</v>
      </c>
      <c r="AV141" s="30" t="e">
        <f t="shared" si="203"/>
        <v>#N/A</v>
      </c>
      <c r="AW141" s="31" t="e">
        <f>IF(OR(Hypothèses!$B$4=17,Hypothèses!$B$4=18,Hypothèses!$B$4=19,Hypothèses!$B$4=20),
IF($D141="Pressio.",
IF(OR($E141=3,$E141=1,$E141=4),AV141,AU141),
IF($D141="Pénétro.",
IF(OR($E141=3,$E141=1,$E141=4),AV141,AU141))),IF($D141="Pressio.",
IF($E141=3,AV141,AU141),
IF($D141="Pénétro.",
IF($E141=4,AV141,AU141))))</f>
        <v>#N/A</v>
      </c>
      <c r="AX141" s="31">
        <v>0</v>
      </c>
      <c r="AY141" s="102" t="e">
        <f>IF(NDC!$H$10="Oui",(VLOOKUP($B$3,'Coeff EC7'!$T$39:$X$59,2,0)*AW141+VLOOKUP($B$3,'Coeff EC7'!$T$65:$X$85,2,0)*Model0.1T!AX141)/1.5,PI()*AU$12*$Q141*($B141-$B140)*0.15/10+AY140)</f>
        <v>#N/A</v>
      </c>
      <c r="AZ141" s="102" t="e">
        <f>(VLOOKUP($B$3,'Coeff EC7'!$T$39:$X$59,3,0)*AW141+VLOOKUP($B$3,'Coeff EC7'!$T$65:$X$85,3,0)*Model0.1T!AX141)/1.1</f>
        <v>#N/A</v>
      </c>
      <c r="BA141" s="102" t="e">
        <f t="shared" si="173"/>
        <v>#N/A</v>
      </c>
      <c r="BB141" s="102" t="e">
        <f t="shared" si="174"/>
        <v>#N/A</v>
      </c>
      <c r="BC141" s="414" t="e">
        <f>IF(AND(AY141&gt;NDC!$C$63,AZ141&gt;NDC!$C$65,BA141&gt;NDC!$D$73,BB141&gt;NDC!$D$74,$B141&gt;NDC!$H$22-0.1+MIN(3*BC$12,1.5)),0,1)</f>
        <v>#N/A</v>
      </c>
      <c r="BD141" s="86" t="b">
        <f t="shared" si="142"/>
        <v>0</v>
      </c>
      <c r="BE141" s="86">
        <f t="shared" si="175"/>
        <v>0.5</v>
      </c>
      <c r="BF141" s="86">
        <f t="shared" si="143"/>
        <v>0.5</v>
      </c>
      <c r="BG141" s="30" t="e">
        <f t="shared" ca="1" si="176"/>
        <v>#DIV/0!</v>
      </c>
      <c r="BH141" s="85" t="e">
        <f ca="1">IF(AN141&lt;=Hypothèses!$V$7,Hypothèses!$W$7,IF(AN141&lt;=Hypothèses!$V$8,Hypothèses!$W$8,IF(AN141&lt;=Hypothèses!$V$9,Hypothèses!$W$9,IF(AN141&lt;=Hypothèses!$V$10,Hypothèses!$W$10,IF(AN141&lt;=Hypothèses!$V$11,Hypothèses!$W$11,IF(AN141&lt;=Hypothèses!$V$12,Hypothèses!$W$12,IF(AN141&lt;=Hypothèses!$V$13,Hypothèses!$W$13,IF(AN141&lt;=Hypothèses!$V$14,Hypothèses!$W$14,IF(AN141&lt;=Hypothèses!$V$15,Hypothèses!$W$15,IF(AN141&lt;=Hypothèses!$V$16,Hypothèses!$W$16,IF(AN141&lt;=Hypothèses!$V$17,Hypothèses!$W$17,IF(AN141&lt;=Hypothèses!$V$18,Hypothèses!$W$18,""))))))))))))</f>
        <v>#DIV/0!</v>
      </c>
      <c r="BI141" s="87" t="e">
        <f t="shared" ca="1" si="218"/>
        <v>#DIV/0!</v>
      </c>
      <c r="BJ141" s="88" t="e">
        <f ca="1">IF(AN141&lt;=Hypothèses!$V$7,Hypothèses!$X$7,IF(AN141&lt;=Hypothèses!$V$8,Hypothèses!$X$8,IF(AN141&lt;=Hypothèses!$V$9,Hypothèses!$X$9,IF(AN141&lt;=Hypothèses!$V$10,Hypothèses!$X$10,IF(AN141&lt;=Hypothèses!$V$11,Hypothèses!$X$11,IF(AN141&lt;=Hypothèses!$V$12,Hypothèses!$X$12,IF(AN141&lt;=Hypothèses!$V$13,Hypothèses!$X$13,IF(AN141&lt;=Hypothèses!$V$14,Hypothèses!$X$14,IF(AN141&lt;=Hypothèses!$V$15,Hypothèses!$X$15,IF(AN141&lt;=Hypothèses!$V$16,Hypothèses!$X$16,IF(AN141&lt;=Hypothèses!$U$17,Hypothèses!$W$17,IF(AN141&lt;=Hypothèses!$U$18,Hypothèses!$W$18,""))))))))))))</f>
        <v>#DIV/0!</v>
      </c>
      <c r="BK141" s="95" t="e">
        <f t="shared" ca="1" si="177"/>
        <v>#DIV/0!</v>
      </c>
      <c r="BL141" s="101">
        <f t="shared" si="225"/>
        <v>0</v>
      </c>
      <c r="BM141" s="91">
        <f t="shared" si="144"/>
        <v>0</v>
      </c>
      <c r="BN141" s="30" t="e">
        <f t="shared" si="204"/>
        <v>#N/A</v>
      </c>
      <c r="BO141" s="30" t="e">
        <f t="shared" si="205"/>
        <v>#N/A</v>
      </c>
      <c r="BP141" s="31" t="e">
        <f>IF(OR(Hypothèses!$B$4=17,Hypothèses!$B$4=18,Hypothèses!$B$4=19,Hypothèses!$B$4=20),
IF($D141="Pressio.",
IF(OR($E141=3,$E141=1,$E141=4),BO141,BN141),
IF($D141="Pénétro.",
IF(OR($E141=3,$E141=1,$E141=4),BO141,BN141))),IF($D141="Pressio.",
IF($E141=3,BO141,BN141),
IF($D141="Pénétro.",
IF($E141=4,BO141,BN141))))</f>
        <v>#N/A</v>
      </c>
      <c r="BQ141" s="31">
        <v>0</v>
      </c>
      <c r="BR141" s="102" t="e">
        <f>IF(NDC!$H$10="Oui",(VLOOKUP($B$3,'Coeff EC7'!$T$39:$X$59,2,0)*BP141+VLOOKUP($B$3,'Coeff EC7'!$T$65:$X$85,2,0)*Model0.1T!BQ141)/1.5,PI()*BN$12*$Q141*($B141-$B140)*0.15/10+BR140)</f>
        <v>#N/A</v>
      </c>
      <c r="BS141" s="102" t="e">
        <f>(VLOOKUP($B$3,'Coeff EC7'!$T$39:$X$59,3,0)*BP141+VLOOKUP($B$3,'Coeff EC7'!$T$65:$X$85,3,0)*Model0.1T!BQ141)/1.1</f>
        <v>#N/A</v>
      </c>
      <c r="BT141" s="102" t="e">
        <f t="shared" si="178"/>
        <v>#N/A</v>
      </c>
      <c r="BU141" s="102" t="e">
        <f t="shared" si="179"/>
        <v>#N/A</v>
      </c>
      <c r="BV141" s="414" t="e">
        <f>IF(AND(BR141&gt;NDC!$C$63,BS141&gt;NDC!$C$65,BT141&gt;NDC!$D$73,BU141&gt;NDC!$D$74,$B141&gt;NDC!$H$22-0.1+MIN(3*BV$12,1.5)),0,1)</f>
        <v>#N/A</v>
      </c>
      <c r="BW141" s="86" t="b">
        <f t="shared" si="145"/>
        <v>0</v>
      </c>
      <c r="BX141" s="86">
        <f t="shared" si="146"/>
        <v>0.5</v>
      </c>
      <c r="BY141" s="86">
        <f t="shared" si="147"/>
        <v>0.5</v>
      </c>
      <c r="BZ141" s="30" t="e">
        <f t="shared" ca="1" si="180"/>
        <v>#DIV/0!</v>
      </c>
      <c r="CA141" s="85" t="e">
        <f ca="1">IF(BG141&lt;=Hypothèses!$V$7,Hypothèses!$W$7,IF(BG141&lt;=Hypothèses!$V$8,Hypothèses!$W$8,IF(BG141&lt;=Hypothèses!$V$9,Hypothèses!$W$9,IF(BG141&lt;=Hypothèses!$V$10,Hypothèses!$W$10,IF(BG141&lt;=Hypothèses!$V$11,Hypothèses!$W$11,IF(BG141&lt;=Hypothèses!$V$12,Hypothèses!$W$12,IF(BG141&lt;=Hypothèses!$V$13,Hypothèses!$W$13,IF(BG141&lt;=Hypothèses!$V$14,Hypothèses!$W$14,IF(BG141&lt;=Hypothèses!$V$15,Hypothèses!$W$15,IF(BG141&lt;=Hypothèses!$V$16,Hypothèses!$W$16,IF(BG141&lt;=Hypothèses!$V$17,Hypothèses!$W$17,IF(BG141&lt;=Hypothèses!$V$18,Hypothèses!$W$18,""))))))))))))</f>
        <v>#DIV/0!</v>
      </c>
      <c r="CB141" s="87" t="e">
        <f t="shared" ca="1" si="219"/>
        <v>#DIV/0!</v>
      </c>
      <c r="CC141" s="88" t="e">
        <f ca="1">IF(BG141&lt;=Hypothèses!$V$7,Hypothèses!$X$7,IF(BG141&lt;=Hypothèses!$V$8,Hypothèses!$X$8,IF(BG141&lt;=Hypothèses!$V$9,Hypothèses!$X$9,IF(BG141&lt;=Hypothèses!$V$10,Hypothèses!$X$10,IF(BG141&lt;=Hypothèses!$V$11,Hypothèses!$X$11,IF(BG141&lt;=Hypothèses!$V$12,Hypothèses!$X$12,IF(BG141&lt;=Hypothèses!$V$13,Hypothèses!$X$13,IF(BG141&lt;=Hypothèses!$V$14,Hypothèses!$X$14,IF(BG141&lt;=Hypothèses!$V$15,Hypothèses!$X$15,IF(BG141&lt;=Hypothèses!$V$16,Hypothèses!$X$16,IF(BG141&lt;=Hypothèses!$U$17,Hypothèses!$W$17,IF(BG141&lt;=Hypothèses!$U$18,Hypothèses!$W$18,""))))))))))))</f>
        <v>#DIV/0!</v>
      </c>
      <c r="CD141" s="95" t="e">
        <f t="shared" ca="1" si="181"/>
        <v>#DIV/0!</v>
      </c>
      <c r="CE141" s="101">
        <f t="shared" si="226"/>
        <v>0</v>
      </c>
      <c r="CF141" s="91">
        <f t="shared" si="148"/>
        <v>0</v>
      </c>
      <c r="CG141" s="30" t="e">
        <f t="shared" si="206"/>
        <v>#N/A</v>
      </c>
      <c r="CH141" s="30" t="e">
        <f t="shared" si="207"/>
        <v>#N/A</v>
      </c>
      <c r="CI141" s="31" t="e">
        <f>IF(OR(Hypothèses!$B$4=17,Hypothèses!$B$4=18,Hypothèses!$B$4=19,Hypothèses!$B$4=20),
IF($D141="Pressio.",
IF(OR($E141=3,$E141=1,$E141=4),CH141,CG141),
IF($D141="Pénétro.",
IF(OR($E141=3,$E141=1,$E141=4),CH141,CG141))),IF($D141="Pressio.",
IF($E141=3,CH141,CG141),
IF($D141="Pénétro.",
IF($E141=4,CH141,CG141))))</f>
        <v>#N/A</v>
      </c>
      <c r="CJ141" s="31">
        <v>0</v>
      </c>
      <c r="CK141" s="102" t="e">
        <f>IF(NDC!$H$10="Oui",(VLOOKUP($B$3,'Coeff EC7'!$T$39:$X$59,2,0)*CI141+VLOOKUP($B$3,'Coeff EC7'!$T$65:$X$85,2,0)*Model0.1T!CJ141)/1.5,PI()*CG$12*$Q141*($B141-$B140)*0.15/10+CK140)</f>
        <v>#N/A</v>
      </c>
      <c r="CL141" s="102" t="e">
        <f>(VLOOKUP($B$3,'Coeff EC7'!$T$39:$X$59,3,0)*CI141+VLOOKUP($B$3,'Coeff EC7'!$T$65:$X$85,3,0)*Model0.1T!CJ141)/1.1</f>
        <v>#N/A</v>
      </c>
      <c r="CM141" s="102" t="e">
        <f t="shared" si="182"/>
        <v>#N/A</v>
      </c>
      <c r="CN141" s="102" t="e">
        <f t="shared" si="183"/>
        <v>#N/A</v>
      </c>
      <c r="CO141" s="414" t="e">
        <f>IF(AND(CK141&gt;NDC!$C$63,CL141&gt;NDC!$C$65,CM141&gt;NDC!$D$73,CN141&gt;NDC!$D$74,$B141&gt;NDC!$H$22-0.1+MIN(3*CO$12,1.5)),0,1)</f>
        <v>#N/A</v>
      </c>
      <c r="CP141" s="86" t="b">
        <f t="shared" si="149"/>
        <v>0</v>
      </c>
      <c r="CQ141" s="86">
        <f t="shared" si="150"/>
        <v>0.5</v>
      </c>
      <c r="CR141" s="86">
        <f t="shared" si="151"/>
        <v>0.5</v>
      </c>
      <c r="CS141" s="30" t="e">
        <f t="shared" ca="1" si="184"/>
        <v>#DIV/0!</v>
      </c>
      <c r="CT141" s="85" t="e">
        <f ca="1">IF(BZ141&lt;=Hypothèses!$V$7,Hypothèses!$W$7,IF(BZ141&lt;=Hypothèses!$V$8,Hypothèses!$W$8,IF(BZ141&lt;=Hypothèses!$V$9,Hypothèses!$W$9,IF(BZ141&lt;=Hypothèses!$V$10,Hypothèses!$W$10,IF(BZ141&lt;=Hypothèses!$V$11,Hypothèses!$W$11,IF(BZ141&lt;=Hypothèses!$V$12,Hypothèses!$W$12,IF(BZ141&lt;=Hypothèses!$V$13,Hypothèses!$W$13,IF(BZ141&lt;=Hypothèses!$V$14,Hypothèses!$W$14,IF(BZ141&lt;=Hypothèses!$V$15,Hypothèses!$W$15,IF(BZ141&lt;=Hypothèses!$V$16,Hypothèses!$W$16,IF(BZ141&lt;=Hypothèses!$V$17,Hypothèses!$W$17,IF(BZ141&lt;=Hypothèses!$V$18,Hypothèses!$W$18,""))))))))))))</f>
        <v>#DIV/0!</v>
      </c>
      <c r="CU141" s="87" t="e">
        <f t="shared" ca="1" si="220"/>
        <v>#DIV/0!</v>
      </c>
      <c r="CV141" s="88" t="e">
        <f ca="1">IF(BZ141&lt;=Hypothèses!$V$7,Hypothèses!$X$7,IF(BZ141&lt;=Hypothèses!$V$8,Hypothèses!$X$8,IF(BZ141&lt;=Hypothèses!$V$9,Hypothèses!$X$9,IF(BZ141&lt;=Hypothèses!$V$10,Hypothèses!$X$10,IF(BZ141&lt;=Hypothèses!$V$11,Hypothèses!$X$11,IF(BZ141&lt;=Hypothèses!$V$12,Hypothèses!$X$12,IF(BZ141&lt;=Hypothèses!$V$13,Hypothèses!$X$13,IF(BZ141&lt;=Hypothèses!$V$14,Hypothèses!$X$14,IF(BZ141&lt;=Hypothèses!$V$15,Hypothèses!$X$15,IF(BZ141&lt;=Hypothèses!$V$16,Hypothèses!$X$16,IF(BZ141&lt;=Hypothèses!$U$17,Hypothèses!$W$17,IF(BZ141&lt;=Hypothèses!$U$18,Hypothèses!$W$18,""))))))))))))</f>
        <v>#DIV/0!</v>
      </c>
      <c r="CW141" s="95" t="e">
        <f t="shared" ca="1" si="185"/>
        <v>#DIV/0!</v>
      </c>
      <c r="CX141" s="101">
        <f t="shared" si="227"/>
        <v>0</v>
      </c>
      <c r="CY141" s="91">
        <f t="shared" si="152"/>
        <v>0</v>
      </c>
      <c r="CZ141" s="30" t="e">
        <f t="shared" si="208"/>
        <v>#N/A</v>
      </c>
      <c r="DA141" s="30" t="e">
        <f t="shared" si="209"/>
        <v>#N/A</v>
      </c>
      <c r="DB141" s="31" t="e">
        <f>IF(OR(Hypothèses!$B$4=17,Hypothèses!$B$4=18,Hypothèses!$B$4=19,Hypothèses!$B$4=20),
IF($D141="Pressio.",
IF(OR($E141=3,$E141=1,$E141=4),DA141,CZ141),
IF($D141="Pénétro.",
IF(OR($E141=3,$E141=1,$E141=4),DA141,CZ141))),IF($D141="Pressio.",
IF($E141=3,DA141,CZ141),
IF($D141="Pénétro.",
IF($E141=4,DA141,CZ141))))</f>
        <v>#N/A</v>
      </c>
      <c r="DC141" s="31">
        <v>0</v>
      </c>
      <c r="DD141" s="102" t="e">
        <f>IF(NDC!$H$10="Oui",(VLOOKUP($B$3,'Coeff EC7'!$T$39:$X$59,2,0)*DB141+VLOOKUP($B$3,'Coeff EC7'!$T$65:$X$85,2,0)*Model0.1T!DC141)/1.5,PI()*CZ$12*$Q141*($B141-$B140)*0.15/10+DD140)</f>
        <v>#N/A</v>
      </c>
      <c r="DE141" s="102" t="e">
        <f>(VLOOKUP($B$3,'Coeff EC7'!$T$39:$X$59,3,0)*DB141+VLOOKUP($B$3,'Coeff EC7'!$T$65:$X$85,3,0)*Model0.1T!DC141)/1.1</f>
        <v>#N/A</v>
      </c>
      <c r="DF141" s="102" t="e">
        <f t="shared" si="186"/>
        <v>#N/A</v>
      </c>
      <c r="DG141" s="102" t="e">
        <f t="shared" si="187"/>
        <v>#N/A</v>
      </c>
      <c r="DH141" s="414" t="e">
        <f>IF(AND(DD141&gt;NDC!$C$63,DE141&gt;NDC!$C$65,DF141&gt;NDC!$D$73,DG141&gt;NDC!$D$74,$B141&gt;NDC!$H$22-0.1+MIN(3*DH$12,1.5)),0,1)</f>
        <v>#N/A</v>
      </c>
      <c r="DI141" s="86" t="b">
        <f t="shared" si="153"/>
        <v>0</v>
      </c>
      <c r="DJ141" s="86">
        <f t="shared" si="154"/>
        <v>0.5</v>
      </c>
      <c r="DK141" s="86">
        <f t="shared" si="155"/>
        <v>0.5</v>
      </c>
      <c r="DL141" s="30" t="e">
        <f t="shared" ca="1" si="188"/>
        <v>#DIV/0!</v>
      </c>
      <c r="DM141" s="85" t="e">
        <f ca="1">IF(CS141&lt;=Hypothèses!$V$7,Hypothèses!$W$7,IF(CS141&lt;=Hypothèses!$V$8,Hypothèses!$W$8,IF(CS141&lt;=Hypothèses!$V$9,Hypothèses!$W$9,IF(CS141&lt;=Hypothèses!$V$10,Hypothèses!$W$10,IF(CS141&lt;=Hypothèses!$V$11,Hypothèses!$W$11,IF(CS141&lt;=Hypothèses!$V$12,Hypothèses!$W$12,IF(CS141&lt;=Hypothèses!$V$13,Hypothèses!$W$13,IF(CS141&lt;=Hypothèses!$V$14,Hypothèses!$W$14,IF(CS141&lt;=Hypothèses!$V$15,Hypothèses!$W$15,IF(CS141&lt;=Hypothèses!$V$16,Hypothèses!$W$16,IF(CS141&lt;=Hypothèses!$V$17,Hypothèses!$W$17,IF(CS141&lt;=Hypothèses!$V$18,Hypothèses!$W$18,""))))))))))))</f>
        <v>#DIV/0!</v>
      </c>
      <c r="DN141" s="87" t="e">
        <f t="shared" ca="1" si="221"/>
        <v>#DIV/0!</v>
      </c>
      <c r="DO141" s="88" t="e">
        <f ca="1">IF(CS141&lt;=Hypothèses!$V$7,Hypothèses!$X$7,IF(CS141&lt;=Hypothèses!$V$8,Hypothèses!$X$8,IF(CS141&lt;=Hypothèses!$V$9,Hypothèses!$X$9,IF(CS141&lt;=Hypothèses!$V$10,Hypothèses!$X$10,IF(CS141&lt;=Hypothèses!$V$11,Hypothèses!$X$11,IF(CS141&lt;=Hypothèses!$V$12,Hypothèses!$X$12,IF(CS141&lt;=Hypothèses!$V$13,Hypothèses!$X$13,IF(CS141&lt;=Hypothèses!$V$14,Hypothèses!$X$14,IF(CS141&lt;=Hypothèses!$V$15,Hypothèses!$X$15,IF(CS141&lt;=Hypothèses!$V$16,Hypothèses!$X$16,IF(CS141&lt;=Hypothèses!$U$17,Hypothèses!$W$17,IF(CS141&lt;=Hypothèses!$U$18,Hypothèses!$W$18,""))))))))))))</f>
        <v>#DIV/0!</v>
      </c>
      <c r="DP141" s="95" t="e">
        <f t="shared" ca="1" si="189"/>
        <v>#DIV/0!</v>
      </c>
      <c r="DQ141" s="101">
        <f t="shared" si="228"/>
        <v>0</v>
      </c>
      <c r="DR141" s="91">
        <f t="shared" si="156"/>
        <v>0</v>
      </c>
      <c r="DS141" s="30" t="e">
        <f t="shared" si="210"/>
        <v>#N/A</v>
      </c>
      <c r="DT141" s="30" t="e">
        <f t="shared" si="211"/>
        <v>#N/A</v>
      </c>
      <c r="DU141" s="31" t="e">
        <f>IF(OR(Hypothèses!$B$4=17,Hypothèses!$B$4=18,Hypothèses!$B$4=19,Hypothèses!$B$4=20),
IF($D141="Pressio.",
IF(OR($E141=3,$E141=1,$E141=4),DT141,DS141),
IF($D141="Pénétro.",
IF(OR($E141=3,$E141=1,$E141=4),DT141,DS141))),IF($D141="Pressio.",
IF($E141=3,DT141,DS141),
IF($D141="Pénétro.",
IF($E141=4,DT141,DS141))))</f>
        <v>#N/A</v>
      </c>
      <c r="DV141" s="31">
        <v>0</v>
      </c>
      <c r="DW141" s="102" t="e">
        <f>IF(NDC!$H$10="Oui",(VLOOKUP($B$3,'Coeff EC7'!$T$39:$X$59,2,0)*DU141+VLOOKUP($B$3,'Coeff EC7'!$T$65:$X$85,2,0)*Model0.1T!DV141)/1.5,PI()*DS$12*$Q141*($B141-$B140)*0.15/10+DW140)</f>
        <v>#N/A</v>
      </c>
      <c r="DX141" s="102" t="e">
        <f>(VLOOKUP($B$3,'Coeff EC7'!$T$39:$X$59,3,0)*DU141+VLOOKUP($B$3,'Coeff EC7'!$T$65:$X$85,3,0)*Model0.1T!DV141)/1.1</f>
        <v>#N/A</v>
      </c>
      <c r="DY141" s="102" t="e">
        <f t="shared" si="190"/>
        <v>#N/A</v>
      </c>
      <c r="DZ141" s="102" t="e">
        <f t="shared" si="191"/>
        <v>#N/A</v>
      </c>
      <c r="EA141" s="414" t="e">
        <f>IF(AND(DW141&gt;NDC!$C$63,DX141&gt;NDC!$C$65,DY141&gt;NDC!$D$73,DZ141&gt;NDC!$D$74,$B141&gt;NDC!$H$22-0.1+MIN(3*EA$12,1.5)),0,1)</f>
        <v>#N/A</v>
      </c>
      <c r="EB141" s="86" t="b">
        <f t="shared" si="157"/>
        <v>0</v>
      </c>
      <c r="EC141" s="418">
        <f t="shared" si="158"/>
        <v>0.51</v>
      </c>
      <c r="ED141" s="86">
        <f t="shared" si="159"/>
        <v>0.51</v>
      </c>
      <c r="EE141" s="30" t="e">
        <f t="shared" ca="1" si="192"/>
        <v>#DIV/0!</v>
      </c>
      <c r="EF141" s="85" t="e">
        <f ca="1">IF(DL141&lt;=Hypothèses!$V$7,Hypothèses!$W$7,IF(DL141&lt;=Hypothèses!$V$8,Hypothèses!$W$8,IF(DL141&lt;=Hypothèses!$V$9,Hypothèses!$W$9,IF(DL141&lt;=Hypothèses!$V$10,Hypothèses!$W$10,IF(DL141&lt;=Hypothèses!$V$11,Hypothèses!$W$11,IF(DL141&lt;=Hypothèses!$V$12,Hypothèses!$W$12,IF(DL141&lt;=Hypothèses!$V$13,Hypothèses!$W$13,IF(DL141&lt;=Hypothèses!$V$14,Hypothèses!$W$14,IF(DL141&lt;=Hypothèses!$V$15,Hypothèses!$W$15,IF(DL141&lt;=Hypothèses!$V$16,Hypothèses!$W$16,IF(DL141&lt;=Hypothèses!$V$17,Hypothèses!$W$17,IF(DL141&lt;=Hypothèses!$V$18,Hypothèses!$W$18,""))))))))))))</f>
        <v>#DIV/0!</v>
      </c>
      <c r="EG141" s="87" t="e">
        <f t="shared" ca="1" si="222"/>
        <v>#DIV/0!</v>
      </c>
      <c r="EH141" s="88" t="e">
        <f ca="1">IF(DL141&lt;=Hypothèses!$V$7,Hypothèses!$X$7,IF(DL141&lt;=Hypothèses!$V$8,Hypothèses!$X$8,IF(DL141&lt;=Hypothèses!$V$9,Hypothèses!$X$9,IF(DL141&lt;=Hypothèses!$V$10,Hypothèses!$X$10,IF(DL141&lt;=Hypothèses!$V$11,Hypothèses!$X$11,IF(DL141&lt;=Hypothèses!$V$12,Hypothèses!$X$12,IF(DL141&lt;=Hypothèses!$V$13,Hypothèses!$X$13,IF(DL141&lt;=Hypothèses!$V$14,Hypothèses!$X$14,IF(DL141&lt;=Hypothèses!$V$15,Hypothèses!$X$15,IF(DL141&lt;=Hypothèses!$V$16,Hypothèses!$X$16,IF(DL141&lt;=Hypothèses!$U$17,Hypothèses!$W$17,IF(DL141&lt;=Hypothèses!$U$18,Hypothèses!$W$18,""))))))))))))</f>
        <v>#DIV/0!</v>
      </c>
      <c r="EI141" s="95" t="e">
        <f t="shared" ca="1" si="193"/>
        <v>#DIV/0!</v>
      </c>
      <c r="EJ141" s="101">
        <f t="shared" si="229"/>
        <v>0</v>
      </c>
      <c r="EK141" s="91">
        <f t="shared" si="160"/>
        <v>0</v>
      </c>
      <c r="EL141" s="30" t="e">
        <f t="shared" si="212"/>
        <v>#N/A</v>
      </c>
      <c r="EM141" s="30" t="e">
        <f t="shared" si="213"/>
        <v>#N/A</v>
      </c>
      <c r="EN141" s="31" t="e">
        <f>IF(OR(Hypothèses!$B$4=17,Hypothèses!$B$4=18,Hypothèses!$B$4=19,Hypothèses!$B$4=20),
IF($D141="Pressio.",
IF(OR($E141=3,$E141=1,$E141=4),EM141,EL141),
IF($D141="Pénétro.",
IF(OR($E141=3,$E141=1,$E141=4),EM141,EL141))),IF($D141="Pressio.",
IF($E141=3,EM141,EL141),
IF($D141="Pénétro.",
IF($E141=4,EM141,EL141))))</f>
        <v>#N/A</v>
      </c>
      <c r="EO141" s="31">
        <v>0</v>
      </c>
      <c r="EP141" s="102" t="e">
        <f>IF(NDC!$H$10="Oui",(VLOOKUP($B$3,'Coeff EC7'!$T$39:$X$59,2,0)*EN141+VLOOKUP($B$3,'Coeff EC7'!$T$65:$X$85,2,0)*Model0.1T!EO141)/1.5,PI()*EL$12*$Q141*($B141-$B140)*0.15/10+EP140)</f>
        <v>#N/A</v>
      </c>
      <c r="EQ141" s="102" t="e">
        <f>(VLOOKUP($B$3,'Coeff EC7'!$T$39:$X$59,3,0)*EN141+VLOOKUP($B$3,'Coeff EC7'!$T$65:$X$85,3,0)*Model0.1T!EO141)/1.1</f>
        <v>#N/A</v>
      </c>
      <c r="ER141" s="102" t="e">
        <f t="shared" si="194"/>
        <v>#N/A</v>
      </c>
      <c r="ES141" s="102" t="e">
        <f t="shared" si="195"/>
        <v>#N/A</v>
      </c>
      <c r="ET141" s="414" t="e">
        <f>IF(AND(EP141&gt;NDC!$C$63,EQ141&gt;NDC!$C$65,ER141&gt;NDC!$D$73,ES141&gt;NDC!$D$74,$B141&gt;NDC!$H$22-0.1+MIN(3*ET$12,1.5)),0,1)</f>
        <v>#N/A</v>
      </c>
      <c r="EU141" s="86" t="b">
        <f t="shared" si="161"/>
        <v>0</v>
      </c>
      <c r="EV141" s="86">
        <f t="shared" si="162"/>
        <v>0.61</v>
      </c>
      <c r="EW141" s="86">
        <f t="shared" si="163"/>
        <v>0.61</v>
      </c>
      <c r="EX141" s="30" t="e">
        <f t="shared" ca="1" si="196"/>
        <v>#DIV/0!</v>
      </c>
      <c r="EY141" s="85" t="e">
        <f ca="1">IF(EE141&lt;=Hypothèses!$V$7,Hypothèses!$W$7,IF(EE141&lt;=Hypothèses!$V$8,Hypothèses!$W$8,IF(EE141&lt;=Hypothèses!$V$9,Hypothèses!$W$9,IF(EE141&lt;=Hypothèses!$V$10,Hypothèses!$W$10,IF(EE141&lt;=Hypothèses!$V$11,Hypothèses!$W$11,IF(EE141&lt;=Hypothèses!$V$12,Hypothèses!$W$12,IF(EE141&lt;=Hypothèses!$V$13,Hypothèses!$W$13,IF(EE141&lt;=Hypothèses!$V$14,Hypothèses!$W$14,IF(EE141&lt;=Hypothèses!$V$15,Hypothèses!$W$15,IF(EE141&lt;=Hypothèses!$V$16,Hypothèses!$W$16,IF(EE141&lt;=Hypothèses!$V$17,Hypothèses!$W$17,IF(EE141&lt;=Hypothèses!$V$18,Hypothèses!$W$18,""))))))))))))</f>
        <v>#DIV/0!</v>
      </c>
      <c r="EZ141" s="87" t="e">
        <f t="shared" ca="1" si="223"/>
        <v>#DIV/0!</v>
      </c>
      <c r="FA141" s="88" t="e">
        <f ca="1">IF(EE141&lt;=Hypothèses!$V$7,Hypothèses!$X$7,IF(EE141&lt;=Hypothèses!$V$8,Hypothèses!$X$8,IF(EE141&lt;=Hypothèses!$V$9,Hypothèses!$X$9,IF(EE141&lt;=Hypothèses!$V$10,Hypothèses!$X$10,IF(EE141&lt;=Hypothèses!$V$11,Hypothèses!$X$11,IF(EE141&lt;=Hypothèses!$V$12,Hypothèses!$X$12,IF(EE141&lt;=Hypothèses!$V$13,Hypothèses!$X$13,IF(EE141&lt;=Hypothèses!$V$14,Hypothèses!$X$14,IF(EE141&lt;=Hypothèses!$V$15,Hypothèses!$X$15,IF(EE141&lt;=Hypothèses!$V$16,Hypothèses!$X$16,IF(EE141&lt;=Hypothèses!$U$17,Hypothèses!$W$17,IF(EE141&lt;=Hypothèses!$U$18,Hypothèses!$W$18,""))))))))))))</f>
        <v>#DIV/0!</v>
      </c>
      <c r="FB141" s="95" t="e">
        <f t="shared" ca="1" si="197"/>
        <v>#DIV/0!</v>
      </c>
      <c r="FC141" s="101">
        <f t="shared" si="230"/>
        <v>0</v>
      </c>
      <c r="FD141" s="91">
        <f t="shared" si="164"/>
        <v>0</v>
      </c>
      <c r="FE141" s="30" t="e">
        <f t="shared" si="214"/>
        <v>#N/A</v>
      </c>
      <c r="FF141" s="30" t="e">
        <f t="shared" si="215"/>
        <v>#N/A</v>
      </c>
      <c r="FG141" s="31" t="e">
        <f>IF(OR(Hypothèses!$B$4=17,Hypothèses!$B$4=18,Hypothèses!$B$4=19,Hypothèses!$B$4=20),
IF($D141="Pressio.",
IF(OR($E141=3,$E141=1,$E141=4),FF141,FE141),
IF($D141="Pénétro.",
IF(OR($E141=3,$E141=1,$E141=4),FF141,FE141))),IF($D141="Pressio.",
IF($E141=3,FF141,FE141),
IF($D141="Pénétro.",
IF($E141=4,FF141,FE141))))</f>
        <v>#N/A</v>
      </c>
      <c r="FH141" s="31">
        <v>0</v>
      </c>
      <c r="FI141" s="102" t="e">
        <f>IF(NDC!$H$10="Oui",(VLOOKUP($B$3,'Coeff EC7'!$T$39:$X$59,2,0)*FG141+VLOOKUP($B$3,'Coeff EC7'!$T$65:$X$85,2,0)*Model0.1T!FH141)/1.5,PI()*FE$12*$Q141*($B141-$B140)*0.15/10+FI140)</f>
        <v>#N/A</v>
      </c>
      <c r="FJ141" s="102" t="e">
        <f>(VLOOKUP($B$3,'Coeff EC7'!$T$39:$X$59,3,0)*FG141+VLOOKUP($B$3,'Coeff EC7'!$T$65:$X$85,3,0)*Model0.1T!FH141)/1.1</f>
        <v>#N/A</v>
      </c>
      <c r="FK141" s="102" t="e">
        <f t="shared" si="198"/>
        <v>#N/A</v>
      </c>
      <c r="FL141" s="102" t="e">
        <f t="shared" si="199"/>
        <v>#N/A</v>
      </c>
      <c r="FM141" s="414" t="e">
        <f>IF(AND(FI141&gt;NDC!$C$63,FJ141&gt;NDC!$C$65,FK141&gt;NDC!$D$73,FL141&gt;NDC!$D$74,$B141&gt;NDC!$H$22-0.1+MIN(3*FM$12,1.5)),0,1)</f>
        <v>#N/A</v>
      </c>
    </row>
    <row r="142" spans="1:169">
      <c r="A142" s="96">
        <f t="shared" si="165"/>
        <v>87.100000000000733</v>
      </c>
      <c r="B142" s="97">
        <v>12.9</v>
      </c>
      <c r="C142" s="81">
        <f>IF(B142&lt;=Hypothèses!$C$7,Hypothèses!$A$7,IF(B142&lt;=Hypothèses!$C$8,Hypothèses!$A$8,IF(B142&lt;=Hypothèses!$C$9,Hypothèses!$A$9,IF(B142&lt;=Hypothèses!$C$10,Hypothèses!$A$10,IF(B142&lt;=Hypothèses!$C$11,Hypothèses!$A$11,IF(B142&lt;=Hypothèses!$C$12,Hypothèses!$A$12,IF(B142&lt;=Hypothèses!$C$13,Hypothèses!$A$13,IF(B142&lt;=Hypothèses!$C$14,Hypothèses!$A$14,IF(B142&lt;=Hypothèses!$C$15,Hypothèses!$A$15,IF(B142&lt;=Hypothèses!$C$16,Hypothèses!$A$16,IF(B142&lt;=Hypothèses!$C$17,Hypothèses!$A$17,IF(B142&lt;=Hypothèses!$C$18,Hypothèses!$A$18,C141))))))))))))</f>
        <v>11</v>
      </c>
      <c r="D142" s="82" t="str">
        <f>IF(B142&lt;=Hypothèses!$C$7,Hypothèses!$R$7,IF(B142&lt;=Hypothèses!$C$8,Hypothèses!$R$8,IF(B142&lt;=Hypothèses!$C$9,Hypothèses!$R$9,IF(B142&lt;=Hypothèses!$C$10,Hypothèses!$R$10,IF(B142&lt;=Hypothèses!$C$11,Hypothèses!$R$11,IF(B142&lt;=Hypothèses!$C$12,Hypothèses!$R$12,IF(B142&lt;=Hypothèses!$C$13,Hypothèses!$R$13,IF(B142&lt;=Hypothèses!$C$14,Hypothèses!$R$14,IF(B142&lt;=Hypothèses!$C$15,Hypothèses!$R$15,IF(B142&lt;=Hypothèses!$C$16,Hypothèses!$R$16,IF(B142&lt;=Hypothèses!$C$17,Hypothèses!$R$17,IF(B142&lt;=Hypothèses!$C$18,Hypothèses!$R$18,D141))))))))))))</f>
        <v>Pressio.</v>
      </c>
      <c r="E142" s="82" t="e">
        <f>IF(B142&lt;=Hypothèses!$C$7,Hypothèses!$G$7,IF(B142&lt;=Hypothèses!$C$8,Hypothèses!$G$8,IF(B142&lt;=Hypothèses!$C$9,Hypothèses!$G$9,IF(B142&lt;=Hypothèses!$C$10,Hypothèses!$G$10,IF(B142&lt;=Hypothèses!$C$11,Hypothèses!$G$11,IF(B142&lt;=Hypothèses!$C$12,Hypothèses!$G$12,IF(B142&lt;=Hypothèses!$C$13,Hypothèses!$G$13,IF(B142&lt;=Hypothèses!$C$14,Hypothèses!$G$14,IF(B142&lt;=Hypothèses!$C$15,Hypothèses!$G$15,IF(B142&lt;=Hypothèses!$C$16,Hypothèses!$G$16,IF(B142&lt;=Hypothèses!$C$17,Hypothèses!$G$17,IF(B142&lt;=Hypothèses!$C$18,Hypothèses!$G$18,E141))))))))))))</f>
        <v>#N/A</v>
      </c>
      <c r="F142" s="82" t="str">
        <f>IF(B142&lt;=Hypothèses!$C$7,Hypothèses!$F$7,IF(B142&lt;=Hypothèses!$C$8,Hypothèses!$F$8,IF(B142&lt;=Hypothèses!$C$9,Hypothèses!$F$9,IF(B142&lt;=Hypothèses!$C$10,Hypothèses!$F$10,IF(B142&lt;=Hypothèses!$C$11,Hypothèses!$F$11,IF(B142&lt;=Hypothèses!$C$12,Hypothèses!$F$12,IF(B142&lt;=Hypothèses!$C$13,Hypothèses!$F$13,IF(B142&lt;=Hypothèses!$C$14,Hypothèses!$F$14,IF(B142&lt;=Hypothèses!$C$15,Hypothèses!$F$15,IF(B142&lt;=Hypothèses!$C$16,Hypothèses!$F$16,IF(B142&lt;=Hypothèses!$C$17,Hypothèses!$F$17,IF(B142&lt;=Hypothèses!$C$18,Hypothèses!$F$18,F141))))))))))))</f>
        <v/>
      </c>
      <c r="G142" s="91">
        <f t="array" ref="G142">INDEX('Coeff EC7'!$U$7:$X$27,
MATCH(Model0.1T!$B$3,'Coeff EC7'!$T$7:$T$27,0),
MATCH(Model0.1T!$D142&amp;Model0.1T!$B$4,
'Coeff EC7'!$U$6:$X$6&amp;
'Coeff EC7'!$U$5:$X$5,0))</f>
        <v>1.4</v>
      </c>
      <c r="H142" s="91">
        <f t="array" ref="H142">INDEX('Coeff EC7'!$Y$7:$AB$27,
MATCH(Model0.1T!$B$3,'Coeff EC7'!$T$7:$T$27,0),
MATCH(Model0.1T!$D142&amp;Model0.1T!$B$4,
'Coeff EC7'!$Y$6:$AB$6&amp;
'Coeff EC7'!$Y$5:$AB$5,0))</f>
        <v>1.7</v>
      </c>
      <c r="I142" s="83">
        <v>0</v>
      </c>
      <c r="J142" s="91" t="e">
        <f t="array" ref="J142">INDEX('Coeff EC7'!$D$33:$Q$33,1,MATCH(D142&amp;E142,'Coeff EC7'!$D$31:$Q$31&amp;'Coeff EC7'!$D$32:$Q$32,0))</f>
        <v>#N/A</v>
      </c>
      <c r="K142" s="91" t="e">
        <f t="array" ref="K142">INDEX('Coeff EC7'!$D$34:$Q$34,1,MATCH(D142&amp;E142,'Coeff EC7'!$D$31:$Q$31&amp;'Coeff EC7'!$D$32:$Q$32,0))</f>
        <v>#N/A</v>
      </c>
      <c r="L142" s="91" t="e">
        <f t="array" ref="L142">INDEX('Coeff EC7'!$D$35:$Q$35,1,MATCH(D142&amp;E142,'Coeff EC7'!$D$31:$Q$31&amp;'Coeff EC7'!$D$32:$Q$32,0))</f>
        <v>#N/A</v>
      </c>
      <c r="M142" s="98" t="e">
        <f t="shared" si="231"/>
        <v>#N/A</v>
      </c>
      <c r="N142" s="99" t="e">
        <f t="array" ref="N142">INDEX('Coeff EC7'!$D$7:$Q$27,MATCH($B$3,'Coeff EC7'!$C$7:$C$27,0),MATCH(D142&amp;E142,'Coeff EC7'!$D$5:$Q$5&amp;'Coeff EC7'!$D$6:$Q$6,0))</f>
        <v>#N/A</v>
      </c>
      <c r="O142" s="99" t="e">
        <f t="array" ref="O142">INDEX('Coeff EC7'!$D$41:$Q$61,MATCH($B$3,'Coeff EC7'!$C$41:$C$61,0),MATCH(D142&amp;E142,'Coeff EC7'!$D$39:$Q$39&amp;'Coeff EC7'!$D$40:$Q$40,0))</f>
        <v>#N/A</v>
      </c>
      <c r="P142" s="30" t="e">
        <f t="shared" si="166"/>
        <v>#N/A</v>
      </c>
      <c r="Q142" s="100" t="e">
        <f t="shared" ref="Q142:Q205" si="233">MIN(O142,P142)*$B$10</f>
        <v>#N/A</v>
      </c>
      <c r="R142" s="86" t="b">
        <f t="shared" ref="R142:R205" si="234">IF($B142&lt;=$P$4, $B142, IF($B142&lt;=$P$5, $B142-$P$4, IF($B142&lt;=$P$6, $B142-$P$5, IF($B142&lt;=$P$7,$B142-$P$6, IF($B142&lt;=$P$8, $B142-$P$7, IF($B142&lt;=$P$9, $B142-$P$8, IF($B142&lt;=$P$10,$B142-$P$9)))))))</f>
        <v>0</v>
      </c>
      <c r="S142" s="86">
        <f t="shared" si="232"/>
        <v>0.5</v>
      </c>
      <c r="T142" s="86">
        <f t="shared" ref="T142:T205" si="235">MIN(S142,R142)</f>
        <v>0.5</v>
      </c>
      <c r="U142" s="30" t="e">
        <f t="shared" ca="1" si="167"/>
        <v>#DIV/0!</v>
      </c>
      <c r="V142" s="85" t="str">
        <f>IF(B142&lt;=Hypothèses!$V$7,Hypothèses!$W$7,IF(B142&lt;=Hypothèses!$V$8,Hypothèses!$W$8,IF(B142&lt;=Hypothèses!$V$9,Hypothèses!$W$9,IF(B142&lt;=Hypothèses!$V$10,Hypothèses!$W$10,IF(B142&lt;=Hypothèses!$V$11,Hypothèses!$W$11,IF(B142&lt;=Hypothèses!$V$12,Hypothèses!$W$12,IF(B142&lt;=Hypothèses!$V$13,Hypothèses!$W$13,IF(B142&lt;=Hypothèses!$V$14,Hypothèses!$W$14,IF(B142&lt;=Hypothèses!$V$15,Hypothèses!$W$15,IF(B142&lt;=Hypothèses!$V$16,Hypothèses!$W$16,IF(B142&lt;=Hypothèses!$V$17,Hypothèses!$W$17,IF(B142&lt;=Hypothèses!$V$18,Hypothèses!$W$18,""))))))))))))</f>
        <v/>
      </c>
      <c r="W142" s="87" t="e">
        <f t="shared" ca="1" si="216"/>
        <v>#DIV/0!</v>
      </c>
      <c r="X142" s="88" t="str">
        <f>IF(B142&lt;=Hypothèses!$V$7,Hypothèses!$X$7,IF(B142&lt;=Hypothèses!$V$8,Hypothèses!$X$8,IF(B142&lt;=Hypothèses!$V$9,Hypothèses!$X$9,IF(B142&lt;=Hypothèses!$V$10,Hypothèses!$X$10,IF(B142&lt;=Hypothèses!$V$11,Hypothèses!$X$11,IF(B142&lt;=Hypothèses!$V$12,Hypothèses!$X$12,IF(B142&lt;=Hypothèses!$V$13,Hypothèses!$X$13,IF(B142&lt;=Hypothèses!$V$14,Hypothèses!$X$14,IF(B142&lt;=Hypothèses!$V$15,Hypothèses!$X$15,IF(B142&lt;=Hypothèses!$V$16,Hypothèses!$X$16,IF(B142&lt;=Hypothèses!$U$17,Hypothèses!$W$17,IF(B142&lt;=Hypothèses!$U$18,Hypothèses!$W$18,""))))))))))))</f>
        <v/>
      </c>
      <c r="Y142" s="95" t="e">
        <f t="shared" ref="Y142:Y205" ca="1" si="236">IF($B142&lt;10*$AI$12,0.1/W142*SUM(OFFSET(F142,-10*$B142+1,0,10*$B142,1)),0.1/W142*SUM(OFFSET(F142,-100*$AI$12+1,0,100*$AI$12,1)))</f>
        <v>#DIV/0!</v>
      </c>
      <c r="Z142" s="101">
        <f t="shared" ref="Z142:Z205" si="237">IF($I142=0,0,
IF(Y142&gt;5*AD$12,$I142,
IF($D142="Pressio.",1+($I142-1)*(Y142/AD$12)/5,
IF($D142="Pénétro.",IF($E142=1,0.3+($I142-0.3)*(Y142/AD$12)/5,
IF($E142=2,0.2+($I142-0.2)*(Y142/AD$12)/5,
IF($E142=3,0.1+($I142-0.1)*(Y142/AD$12)/5,
0.15+($I142-0.15)*(Y142/AD$12)/5)))))))</f>
        <v>0</v>
      </c>
      <c r="AA142" s="91">
        <f t="shared" ref="AA142:AA205" si="238">IF($X142&lt;&gt;"",$X142,Z142)</f>
        <v>0</v>
      </c>
      <c r="AB142" s="30" t="e">
        <f t="shared" si="200"/>
        <v>#N/A</v>
      </c>
      <c r="AC142" s="30" t="e">
        <f t="shared" si="201"/>
        <v>#N/A</v>
      </c>
      <c r="AD142" s="31" t="e">
        <f>IF(OR(Hypothèses!$B$4=17,Hypothèses!$B$4=18,Hypothèses!$B$4=19,Hypothèses!$B$4=20),
IF($D142="Pressio.",
IF(OR($E142=3,$E142=1,$E142=4),AC142,AB142),
IF($D142="Pénétro.",
IF(OR($E142=3,$E142=1,$E142=4),AC142,AB142))),IF($D142="Pressio.",
IF($E142=3,AC142,AB142),
IF($D142="Pénétro.",
IF($E142=4,AC142,AB142))))</f>
        <v>#N/A</v>
      </c>
      <c r="AE142" s="31">
        <v>0</v>
      </c>
      <c r="AF142" s="102" t="e">
        <f>IF(NDC!$H$10="Oui",(VLOOKUP($B$3,'Coeff EC7'!$T$39:$X$59,2,0)*AD142+VLOOKUP($B$3,'Coeff EC7'!$T$65:$X$85,2,0)*Model0.1T!AE142)/1.5,PI()*AB$12*$Q142*($B142-$B141)*0.15/10+AF141)</f>
        <v>#N/A</v>
      </c>
      <c r="AG142" s="102" t="e">
        <f>(VLOOKUP($B$3,'Coeff EC7'!$T$39:$X$59,3,0)*AD142+VLOOKUP($B$3,'Coeff EC7'!$T$65:$X$85,3,0)*Model0.1T!AE142)/1.1</f>
        <v>#N/A</v>
      </c>
      <c r="AH142" s="102" t="e">
        <f t="shared" si="168"/>
        <v>#N/A</v>
      </c>
      <c r="AI142" s="102" t="e">
        <f t="shared" si="169"/>
        <v>#N/A</v>
      </c>
      <c r="AJ142" s="414" t="e">
        <f>IF(AND(AF142&gt;NDC!$C$63,AG142&gt;NDC!$C$65,AH142&gt;NDC!$D$73,AI142&gt;NDC!$D$74,$B142&gt;NDC!$H$22-0.1+MIN(3*$AJ$12,1.5)),0,1)</f>
        <v>#N/A</v>
      </c>
      <c r="AK142" s="86" t="b">
        <f t="shared" ref="AK142:AK205" si="239">IF($B142&lt;=$P$4, $B142, IF($B142&lt;=$P$5, $B142-$P$4, IF($B142&lt;=$P$6, $B142-$P$5, IF($B142&lt;=$P$7,$B142-$P$6, IF($B142&lt;=$P$8, $B142-$P$7, IF($B142&lt;=$P$9, $B142-$P$8, IF($B142&lt;=$P$10,$B142-$P$9)))))))</f>
        <v>0</v>
      </c>
      <c r="AL142" s="86">
        <f t="shared" si="170"/>
        <v>0.5</v>
      </c>
      <c r="AM142" s="86">
        <f t="shared" ref="AM142:AM205" si="240">MIN(AL142,AK142)</f>
        <v>0.5</v>
      </c>
      <c r="AN142" s="30" t="e">
        <f t="shared" ca="1" si="171"/>
        <v>#DIV/0!</v>
      </c>
      <c r="AO142" s="85" t="e">
        <f ca="1">IF(U142&lt;=Hypothèses!$V$7,Hypothèses!$W$7,IF(U142&lt;=Hypothèses!$V$8,Hypothèses!$W$8,IF(U142&lt;=Hypothèses!$V$9,Hypothèses!$W$9,IF(U142&lt;=Hypothèses!$V$10,Hypothèses!$W$10,IF(U142&lt;=Hypothèses!$V$11,Hypothèses!$W$11,IF(U142&lt;=Hypothèses!$V$12,Hypothèses!$W$12,IF(U142&lt;=Hypothèses!$V$13,Hypothèses!$W$13,IF(U142&lt;=Hypothèses!$V$14,Hypothèses!$W$14,IF(U142&lt;=Hypothèses!$V$15,Hypothèses!$W$15,IF(U142&lt;=Hypothèses!$V$16,Hypothèses!$W$16,IF(U142&lt;=Hypothèses!$V$17,Hypothèses!$W$17,IF(U142&lt;=Hypothèses!$V$18,Hypothèses!$W$18,""))))))))))))</f>
        <v>#DIV/0!</v>
      </c>
      <c r="AP142" s="87" t="e">
        <f t="shared" ca="1" si="217"/>
        <v>#DIV/0!</v>
      </c>
      <c r="AQ142" s="88" t="e">
        <f ca="1">IF(U142&lt;=Hypothèses!$V$7,Hypothèses!$X$7,IF(U142&lt;=Hypothèses!$V$8,Hypothèses!$X$8,IF(U142&lt;=Hypothèses!$V$9,Hypothèses!$X$9,IF(U142&lt;=Hypothèses!$V$10,Hypothèses!$X$10,IF(U142&lt;=Hypothèses!$V$11,Hypothèses!$X$11,IF(U142&lt;=Hypothèses!$V$12,Hypothèses!$X$12,IF(U142&lt;=Hypothèses!$V$13,Hypothèses!$X$13,IF(U142&lt;=Hypothèses!$V$14,Hypothèses!$X$14,IF(U142&lt;=Hypothèses!$V$15,Hypothèses!$X$15,IF(U142&lt;=Hypothèses!$V$16,Hypothèses!$X$16,IF(U142&lt;=Hypothèses!$U$17,Hypothèses!$W$17,IF(U142&lt;=Hypothèses!$U$18,Hypothèses!$W$18,""))))))))))))</f>
        <v>#DIV/0!</v>
      </c>
      <c r="AR142" s="95" t="e">
        <f t="shared" ca="1" si="172"/>
        <v>#DIV/0!</v>
      </c>
      <c r="AS142" s="101">
        <f t="shared" si="224"/>
        <v>0</v>
      </c>
      <c r="AT142" s="91">
        <f t="shared" ref="AT142:AT205" si="241">IF($X142&lt;&gt;"",$X142,AS142)</f>
        <v>0</v>
      </c>
      <c r="AU142" s="30" t="e">
        <f t="shared" si="202"/>
        <v>#N/A</v>
      </c>
      <c r="AV142" s="30" t="e">
        <f t="shared" si="203"/>
        <v>#N/A</v>
      </c>
      <c r="AW142" s="31" t="e">
        <f>IF(OR(Hypothèses!$B$4=17,Hypothèses!$B$4=18,Hypothèses!$B$4=19,Hypothèses!$B$4=20),
IF($D142="Pressio.",
IF(OR($E142=3,$E142=1,$E142=4),AV142,AU142),
IF($D142="Pénétro.",
IF(OR($E142=3,$E142=1,$E142=4),AV142,AU142))),IF($D142="Pressio.",
IF($E142=3,AV142,AU142),
IF($D142="Pénétro.",
IF($E142=4,AV142,AU142))))</f>
        <v>#N/A</v>
      </c>
      <c r="AX142" s="31">
        <v>0</v>
      </c>
      <c r="AY142" s="102" t="e">
        <f>IF(NDC!$H$10="Oui",(VLOOKUP($B$3,'Coeff EC7'!$T$39:$X$59,2,0)*AW142+VLOOKUP($B$3,'Coeff EC7'!$T$65:$X$85,2,0)*Model0.1T!AX142)/1.5,PI()*AU$12*$Q142*($B142-$B141)*0.15/10+AY141)</f>
        <v>#N/A</v>
      </c>
      <c r="AZ142" s="102" t="e">
        <f>(VLOOKUP($B$3,'Coeff EC7'!$T$39:$X$59,3,0)*AW142+VLOOKUP($B$3,'Coeff EC7'!$T$65:$X$85,3,0)*Model0.1T!AX142)/1.1</f>
        <v>#N/A</v>
      </c>
      <c r="BA142" s="102" t="e">
        <f t="shared" si="173"/>
        <v>#N/A</v>
      </c>
      <c r="BB142" s="102" t="e">
        <f t="shared" si="174"/>
        <v>#N/A</v>
      </c>
      <c r="BC142" s="414" t="e">
        <f>IF(AND(AY142&gt;NDC!$C$63,AZ142&gt;NDC!$C$65,BA142&gt;NDC!$D$73,BB142&gt;NDC!$D$74,$B142&gt;NDC!$H$22-0.1+MIN(3*BC$12,1.5)),0,1)</f>
        <v>#N/A</v>
      </c>
      <c r="BD142" s="86" t="b">
        <f t="shared" ref="BD142:BD205" si="242">IF($B142&lt;=$P$4, $B142, IF($B142&lt;=$P$5, $B142-$P$4, IF($B142&lt;=$P$6, $B142-$P$5, IF($B142&lt;=$P$7,$B142-$P$6, IF($B142&lt;=$P$8, $B142-$P$7, IF($B142&lt;=$P$9, $B142-$P$8, IF($B142&lt;=$P$10,$B142-$P$9)))))))</f>
        <v>0</v>
      </c>
      <c r="BE142" s="86">
        <f t="shared" si="175"/>
        <v>0.5</v>
      </c>
      <c r="BF142" s="86">
        <f t="shared" ref="BF142:BF205" si="243">MIN(BE142,BD142)</f>
        <v>0.5</v>
      </c>
      <c r="BG142" s="30" t="e">
        <f t="shared" ca="1" si="176"/>
        <v>#DIV/0!</v>
      </c>
      <c r="BH142" s="85" t="e">
        <f ca="1">IF(AN142&lt;=Hypothèses!$V$7,Hypothèses!$W$7,IF(AN142&lt;=Hypothèses!$V$8,Hypothèses!$W$8,IF(AN142&lt;=Hypothèses!$V$9,Hypothèses!$W$9,IF(AN142&lt;=Hypothèses!$V$10,Hypothèses!$W$10,IF(AN142&lt;=Hypothèses!$V$11,Hypothèses!$W$11,IF(AN142&lt;=Hypothèses!$V$12,Hypothèses!$W$12,IF(AN142&lt;=Hypothèses!$V$13,Hypothèses!$W$13,IF(AN142&lt;=Hypothèses!$V$14,Hypothèses!$W$14,IF(AN142&lt;=Hypothèses!$V$15,Hypothèses!$W$15,IF(AN142&lt;=Hypothèses!$V$16,Hypothèses!$W$16,IF(AN142&lt;=Hypothèses!$V$17,Hypothèses!$W$17,IF(AN142&lt;=Hypothèses!$V$18,Hypothèses!$W$18,""))))))))))))</f>
        <v>#DIV/0!</v>
      </c>
      <c r="BI142" s="87" t="e">
        <f t="shared" ca="1" si="218"/>
        <v>#DIV/0!</v>
      </c>
      <c r="BJ142" s="88" t="e">
        <f ca="1">IF(AN142&lt;=Hypothèses!$V$7,Hypothèses!$X$7,IF(AN142&lt;=Hypothèses!$V$8,Hypothèses!$X$8,IF(AN142&lt;=Hypothèses!$V$9,Hypothèses!$X$9,IF(AN142&lt;=Hypothèses!$V$10,Hypothèses!$X$10,IF(AN142&lt;=Hypothèses!$V$11,Hypothèses!$X$11,IF(AN142&lt;=Hypothèses!$V$12,Hypothèses!$X$12,IF(AN142&lt;=Hypothèses!$V$13,Hypothèses!$X$13,IF(AN142&lt;=Hypothèses!$V$14,Hypothèses!$X$14,IF(AN142&lt;=Hypothèses!$V$15,Hypothèses!$X$15,IF(AN142&lt;=Hypothèses!$V$16,Hypothèses!$X$16,IF(AN142&lt;=Hypothèses!$U$17,Hypothèses!$W$17,IF(AN142&lt;=Hypothèses!$U$18,Hypothèses!$W$18,""))))))))))))</f>
        <v>#DIV/0!</v>
      </c>
      <c r="BK142" s="95" t="e">
        <f t="shared" ca="1" si="177"/>
        <v>#DIV/0!</v>
      </c>
      <c r="BL142" s="101">
        <f t="shared" si="225"/>
        <v>0</v>
      </c>
      <c r="BM142" s="91">
        <f t="shared" ref="BM142:BM205" si="244">IF($X142&lt;&gt;"",$X142,BL142)</f>
        <v>0</v>
      </c>
      <c r="BN142" s="30" t="e">
        <f t="shared" si="204"/>
        <v>#N/A</v>
      </c>
      <c r="BO142" s="30" t="e">
        <f t="shared" si="205"/>
        <v>#N/A</v>
      </c>
      <c r="BP142" s="31" t="e">
        <f>IF(OR(Hypothèses!$B$4=17,Hypothèses!$B$4=18,Hypothèses!$B$4=19,Hypothèses!$B$4=20),
IF($D142="Pressio.",
IF(OR($E142=3,$E142=1,$E142=4),BO142,BN142),
IF($D142="Pénétro.",
IF(OR($E142=3,$E142=1,$E142=4),BO142,BN142))),IF($D142="Pressio.",
IF($E142=3,BO142,BN142),
IF($D142="Pénétro.",
IF($E142=4,BO142,BN142))))</f>
        <v>#N/A</v>
      </c>
      <c r="BQ142" s="31">
        <v>0</v>
      </c>
      <c r="BR142" s="102" t="e">
        <f>IF(NDC!$H$10="Oui",(VLOOKUP($B$3,'Coeff EC7'!$T$39:$X$59,2,0)*BP142+VLOOKUP($B$3,'Coeff EC7'!$T$65:$X$85,2,0)*Model0.1T!BQ142)/1.5,PI()*BN$12*$Q142*($B142-$B141)*0.15/10+BR141)</f>
        <v>#N/A</v>
      </c>
      <c r="BS142" s="102" t="e">
        <f>(VLOOKUP($B$3,'Coeff EC7'!$T$39:$X$59,3,0)*BP142+VLOOKUP($B$3,'Coeff EC7'!$T$65:$X$85,3,0)*Model0.1T!BQ142)/1.1</f>
        <v>#N/A</v>
      </c>
      <c r="BT142" s="102" t="e">
        <f t="shared" si="178"/>
        <v>#N/A</v>
      </c>
      <c r="BU142" s="102" t="e">
        <f t="shared" si="179"/>
        <v>#N/A</v>
      </c>
      <c r="BV142" s="414" t="e">
        <f>IF(AND(BR142&gt;NDC!$C$63,BS142&gt;NDC!$C$65,BT142&gt;NDC!$D$73,BU142&gt;NDC!$D$74,$B142&gt;NDC!$H$22-0.1+MIN(3*BV$12,1.5)),0,1)</f>
        <v>#N/A</v>
      </c>
      <c r="BW142" s="86" t="b">
        <f t="shared" ref="BW142:BW205" si="245">IF($B142&lt;=$P$4, $B142, IF($B142&lt;=$P$5, $B142-$P$4, IF($B142&lt;=$P$6, $B142-$P$5, IF($B142&lt;=$P$7,$B142-$P$6, IF($B142&lt;=$P$8, $B142-$P$7, IF($B142&lt;=$P$9, $B142-$P$8, IF($B142&lt;=$P$10,$B142-$P$9)))))))</f>
        <v>0</v>
      </c>
      <c r="BX142" s="86">
        <f t="shared" ref="BX142:BX205" si="246">MAX($CK$12/2,0.5)</f>
        <v>0.5</v>
      </c>
      <c r="BY142" s="86">
        <f t="shared" ref="BY142:BY205" si="247">MIN(BX142,BW142)</f>
        <v>0.5</v>
      </c>
      <c r="BZ142" s="30" t="e">
        <f t="shared" ca="1" si="180"/>
        <v>#DIV/0!</v>
      </c>
      <c r="CA142" s="85" t="e">
        <f ca="1">IF(BG142&lt;=Hypothèses!$V$7,Hypothèses!$W$7,IF(BG142&lt;=Hypothèses!$V$8,Hypothèses!$W$8,IF(BG142&lt;=Hypothèses!$V$9,Hypothèses!$W$9,IF(BG142&lt;=Hypothèses!$V$10,Hypothèses!$W$10,IF(BG142&lt;=Hypothèses!$V$11,Hypothèses!$W$11,IF(BG142&lt;=Hypothèses!$V$12,Hypothèses!$W$12,IF(BG142&lt;=Hypothèses!$V$13,Hypothèses!$W$13,IF(BG142&lt;=Hypothèses!$V$14,Hypothèses!$W$14,IF(BG142&lt;=Hypothèses!$V$15,Hypothèses!$W$15,IF(BG142&lt;=Hypothèses!$V$16,Hypothèses!$W$16,IF(BG142&lt;=Hypothèses!$V$17,Hypothèses!$W$17,IF(BG142&lt;=Hypothèses!$V$18,Hypothèses!$W$18,""))))))))))))</f>
        <v>#DIV/0!</v>
      </c>
      <c r="CB142" s="87" t="e">
        <f t="shared" ca="1" si="219"/>
        <v>#DIV/0!</v>
      </c>
      <c r="CC142" s="88" t="e">
        <f ca="1">IF(BG142&lt;=Hypothèses!$V$7,Hypothèses!$X$7,IF(BG142&lt;=Hypothèses!$V$8,Hypothèses!$X$8,IF(BG142&lt;=Hypothèses!$V$9,Hypothèses!$X$9,IF(BG142&lt;=Hypothèses!$V$10,Hypothèses!$X$10,IF(BG142&lt;=Hypothèses!$V$11,Hypothèses!$X$11,IF(BG142&lt;=Hypothèses!$V$12,Hypothèses!$X$12,IF(BG142&lt;=Hypothèses!$V$13,Hypothèses!$X$13,IF(BG142&lt;=Hypothèses!$V$14,Hypothèses!$X$14,IF(BG142&lt;=Hypothèses!$V$15,Hypothèses!$X$15,IF(BG142&lt;=Hypothèses!$V$16,Hypothèses!$X$16,IF(BG142&lt;=Hypothèses!$U$17,Hypothèses!$W$17,IF(BG142&lt;=Hypothèses!$U$18,Hypothèses!$W$18,""))))))))))))</f>
        <v>#DIV/0!</v>
      </c>
      <c r="CD142" s="95" t="e">
        <f t="shared" ca="1" si="181"/>
        <v>#DIV/0!</v>
      </c>
      <c r="CE142" s="101">
        <f t="shared" si="226"/>
        <v>0</v>
      </c>
      <c r="CF142" s="91">
        <f t="shared" ref="CF142:CF205" si="248">IF($X142&lt;&gt;"",$X142,CE142)</f>
        <v>0</v>
      </c>
      <c r="CG142" s="30" t="e">
        <f t="shared" si="206"/>
        <v>#N/A</v>
      </c>
      <c r="CH142" s="30" t="e">
        <f t="shared" si="207"/>
        <v>#N/A</v>
      </c>
      <c r="CI142" s="31" t="e">
        <f>IF(OR(Hypothèses!$B$4=17,Hypothèses!$B$4=18,Hypothèses!$B$4=19,Hypothèses!$B$4=20),
IF($D142="Pressio.",
IF(OR($E142=3,$E142=1,$E142=4),CH142,CG142),
IF($D142="Pénétro.",
IF(OR($E142=3,$E142=1,$E142=4),CH142,CG142))),IF($D142="Pressio.",
IF($E142=3,CH142,CG142),
IF($D142="Pénétro.",
IF($E142=4,CH142,CG142))))</f>
        <v>#N/A</v>
      </c>
      <c r="CJ142" s="31">
        <v>0</v>
      </c>
      <c r="CK142" s="102" t="e">
        <f>IF(NDC!$H$10="Oui",(VLOOKUP($B$3,'Coeff EC7'!$T$39:$X$59,2,0)*CI142+VLOOKUP($B$3,'Coeff EC7'!$T$65:$X$85,2,0)*Model0.1T!CJ142)/1.5,PI()*CG$12*$Q142*($B142-$B141)*0.15/10+CK141)</f>
        <v>#N/A</v>
      </c>
      <c r="CL142" s="102" t="e">
        <f>(VLOOKUP($B$3,'Coeff EC7'!$T$39:$X$59,3,0)*CI142+VLOOKUP($B$3,'Coeff EC7'!$T$65:$X$85,3,0)*Model0.1T!CJ142)/1.1</f>
        <v>#N/A</v>
      </c>
      <c r="CM142" s="102" t="e">
        <f t="shared" si="182"/>
        <v>#N/A</v>
      </c>
      <c r="CN142" s="102" t="e">
        <f t="shared" si="183"/>
        <v>#N/A</v>
      </c>
      <c r="CO142" s="414" t="e">
        <f>IF(AND(CK142&gt;NDC!$C$63,CL142&gt;NDC!$C$65,CM142&gt;NDC!$D$73,CN142&gt;NDC!$D$74,$B142&gt;NDC!$H$22-0.1+MIN(3*CO$12,1.5)),0,1)</f>
        <v>#N/A</v>
      </c>
      <c r="CP142" s="86" t="b">
        <f t="shared" ref="CP142:CP205" si="249">IF($B142&lt;=$P$4, $B142, IF($B142&lt;=$P$5, $B142-$P$4, IF($B142&lt;=$P$6, $B142-$P$5, IF($B142&lt;=$P$7,$B142-$P$6, IF($B142&lt;=$P$8, $B142-$P$7, IF($B142&lt;=$P$9, $B142-$P$8, IF($B142&lt;=$P$10,$B142-$P$9)))))))</f>
        <v>0</v>
      </c>
      <c r="CQ142" s="86">
        <f t="shared" ref="CQ142:CQ205" si="250">MAX($DD$12/2,0.5)</f>
        <v>0.5</v>
      </c>
      <c r="CR142" s="86">
        <f t="shared" ref="CR142:CR205" si="251">MIN(CQ142,CP142)</f>
        <v>0.5</v>
      </c>
      <c r="CS142" s="30" t="e">
        <f t="shared" ca="1" si="184"/>
        <v>#DIV/0!</v>
      </c>
      <c r="CT142" s="85" t="e">
        <f ca="1">IF(BZ142&lt;=Hypothèses!$V$7,Hypothèses!$W$7,IF(BZ142&lt;=Hypothèses!$V$8,Hypothèses!$W$8,IF(BZ142&lt;=Hypothèses!$V$9,Hypothèses!$W$9,IF(BZ142&lt;=Hypothèses!$V$10,Hypothèses!$W$10,IF(BZ142&lt;=Hypothèses!$V$11,Hypothèses!$W$11,IF(BZ142&lt;=Hypothèses!$V$12,Hypothèses!$W$12,IF(BZ142&lt;=Hypothèses!$V$13,Hypothèses!$W$13,IF(BZ142&lt;=Hypothèses!$V$14,Hypothèses!$W$14,IF(BZ142&lt;=Hypothèses!$V$15,Hypothèses!$W$15,IF(BZ142&lt;=Hypothèses!$V$16,Hypothèses!$W$16,IF(BZ142&lt;=Hypothèses!$V$17,Hypothèses!$W$17,IF(BZ142&lt;=Hypothèses!$V$18,Hypothèses!$W$18,""))))))))))))</f>
        <v>#DIV/0!</v>
      </c>
      <c r="CU142" s="87" t="e">
        <f t="shared" ca="1" si="220"/>
        <v>#DIV/0!</v>
      </c>
      <c r="CV142" s="88" t="e">
        <f ca="1">IF(BZ142&lt;=Hypothèses!$V$7,Hypothèses!$X$7,IF(BZ142&lt;=Hypothèses!$V$8,Hypothèses!$X$8,IF(BZ142&lt;=Hypothèses!$V$9,Hypothèses!$X$9,IF(BZ142&lt;=Hypothèses!$V$10,Hypothèses!$X$10,IF(BZ142&lt;=Hypothèses!$V$11,Hypothèses!$X$11,IF(BZ142&lt;=Hypothèses!$V$12,Hypothèses!$X$12,IF(BZ142&lt;=Hypothèses!$V$13,Hypothèses!$X$13,IF(BZ142&lt;=Hypothèses!$V$14,Hypothèses!$X$14,IF(BZ142&lt;=Hypothèses!$V$15,Hypothèses!$X$15,IF(BZ142&lt;=Hypothèses!$V$16,Hypothèses!$X$16,IF(BZ142&lt;=Hypothèses!$U$17,Hypothèses!$W$17,IF(BZ142&lt;=Hypothèses!$U$18,Hypothèses!$W$18,""))))))))))))</f>
        <v>#DIV/0!</v>
      </c>
      <c r="CW142" s="95" t="e">
        <f t="shared" ca="1" si="185"/>
        <v>#DIV/0!</v>
      </c>
      <c r="CX142" s="101">
        <f t="shared" si="227"/>
        <v>0</v>
      </c>
      <c r="CY142" s="91">
        <f t="shared" ref="CY142:CY205" si="252">IF($X142&lt;&gt;"",$X142,CX142)</f>
        <v>0</v>
      </c>
      <c r="CZ142" s="30" t="e">
        <f t="shared" si="208"/>
        <v>#N/A</v>
      </c>
      <c r="DA142" s="30" t="e">
        <f t="shared" si="209"/>
        <v>#N/A</v>
      </c>
      <c r="DB142" s="31" t="e">
        <f>IF(OR(Hypothèses!$B$4=17,Hypothèses!$B$4=18,Hypothèses!$B$4=19,Hypothèses!$B$4=20),
IF($D142="Pressio.",
IF(OR($E142=3,$E142=1,$E142=4),DA142,CZ142),
IF($D142="Pénétro.",
IF(OR($E142=3,$E142=1,$E142=4),DA142,CZ142))),IF($D142="Pressio.",
IF($E142=3,DA142,CZ142),
IF($D142="Pénétro.",
IF($E142=4,DA142,CZ142))))</f>
        <v>#N/A</v>
      </c>
      <c r="DC142" s="31">
        <v>0</v>
      </c>
      <c r="DD142" s="102" t="e">
        <f>IF(NDC!$H$10="Oui",(VLOOKUP($B$3,'Coeff EC7'!$T$39:$X$59,2,0)*DB142+VLOOKUP($B$3,'Coeff EC7'!$T$65:$X$85,2,0)*Model0.1T!DC142)/1.5,PI()*CZ$12*$Q142*($B142-$B141)*0.15/10+DD141)</f>
        <v>#N/A</v>
      </c>
      <c r="DE142" s="102" t="e">
        <f>(VLOOKUP($B$3,'Coeff EC7'!$T$39:$X$59,3,0)*DB142+VLOOKUP($B$3,'Coeff EC7'!$T$65:$X$85,3,0)*Model0.1T!DC142)/1.1</f>
        <v>#N/A</v>
      </c>
      <c r="DF142" s="102" t="e">
        <f t="shared" si="186"/>
        <v>#N/A</v>
      </c>
      <c r="DG142" s="102" t="e">
        <f t="shared" si="187"/>
        <v>#N/A</v>
      </c>
      <c r="DH142" s="414" t="e">
        <f>IF(AND(DD142&gt;NDC!$C$63,DE142&gt;NDC!$C$65,DF142&gt;NDC!$D$73,DG142&gt;NDC!$D$74,$B142&gt;NDC!$H$22-0.1+MIN(3*DH$12,1.5)),0,1)</f>
        <v>#N/A</v>
      </c>
      <c r="DI142" s="86" t="b">
        <f t="shared" ref="DI142:DI205" si="253">IF($B142&lt;=$P$4, $B142, IF($B142&lt;=$P$5, $B142-$P$4, IF($B142&lt;=$P$6, $B142-$P$5, IF($B142&lt;=$P$7,$B142-$P$6, IF($B142&lt;=$P$8, $B142-$P$7, IF($B142&lt;=$P$9, $B142-$P$8, IF($B142&lt;=$P$10,$B142-$P$9)))))))</f>
        <v>0</v>
      </c>
      <c r="DJ142" s="86">
        <f t="shared" ref="DJ142:DJ205" si="254">MAX($DW$12/2,0.5)</f>
        <v>0.5</v>
      </c>
      <c r="DK142" s="86">
        <f t="shared" ref="DK142:DK205" si="255">MIN(DJ142,DI142)</f>
        <v>0.5</v>
      </c>
      <c r="DL142" s="30" t="e">
        <f t="shared" ca="1" si="188"/>
        <v>#DIV/0!</v>
      </c>
      <c r="DM142" s="85" t="e">
        <f ca="1">IF(CS142&lt;=Hypothèses!$V$7,Hypothèses!$W$7,IF(CS142&lt;=Hypothèses!$V$8,Hypothèses!$W$8,IF(CS142&lt;=Hypothèses!$V$9,Hypothèses!$W$9,IF(CS142&lt;=Hypothèses!$V$10,Hypothèses!$W$10,IF(CS142&lt;=Hypothèses!$V$11,Hypothèses!$W$11,IF(CS142&lt;=Hypothèses!$V$12,Hypothèses!$W$12,IF(CS142&lt;=Hypothèses!$V$13,Hypothèses!$W$13,IF(CS142&lt;=Hypothèses!$V$14,Hypothèses!$W$14,IF(CS142&lt;=Hypothèses!$V$15,Hypothèses!$W$15,IF(CS142&lt;=Hypothèses!$V$16,Hypothèses!$W$16,IF(CS142&lt;=Hypothèses!$V$17,Hypothèses!$W$17,IF(CS142&lt;=Hypothèses!$V$18,Hypothèses!$W$18,""))))))))))))</f>
        <v>#DIV/0!</v>
      </c>
      <c r="DN142" s="87" t="e">
        <f t="shared" ca="1" si="221"/>
        <v>#DIV/0!</v>
      </c>
      <c r="DO142" s="88" t="e">
        <f ca="1">IF(CS142&lt;=Hypothèses!$V$7,Hypothèses!$X$7,IF(CS142&lt;=Hypothèses!$V$8,Hypothèses!$X$8,IF(CS142&lt;=Hypothèses!$V$9,Hypothèses!$X$9,IF(CS142&lt;=Hypothèses!$V$10,Hypothèses!$X$10,IF(CS142&lt;=Hypothèses!$V$11,Hypothèses!$X$11,IF(CS142&lt;=Hypothèses!$V$12,Hypothèses!$X$12,IF(CS142&lt;=Hypothèses!$V$13,Hypothèses!$X$13,IF(CS142&lt;=Hypothèses!$V$14,Hypothèses!$X$14,IF(CS142&lt;=Hypothèses!$V$15,Hypothèses!$X$15,IF(CS142&lt;=Hypothèses!$V$16,Hypothèses!$X$16,IF(CS142&lt;=Hypothèses!$U$17,Hypothèses!$W$17,IF(CS142&lt;=Hypothèses!$U$18,Hypothèses!$W$18,""))))))))))))</f>
        <v>#DIV/0!</v>
      </c>
      <c r="DP142" s="95" t="e">
        <f t="shared" ca="1" si="189"/>
        <v>#DIV/0!</v>
      </c>
      <c r="DQ142" s="101">
        <f t="shared" si="228"/>
        <v>0</v>
      </c>
      <c r="DR142" s="91">
        <f t="shared" ref="DR142:DR205" si="256">IF($X142&lt;&gt;"",$X142,DQ142)</f>
        <v>0</v>
      </c>
      <c r="DS142" s="30" t="e">
        <f t="shared" si="210"/>
        <v>#N/A</v>
      </c>
      <c r="DT142" s="30" t="e">
        <f t="shared" si="211"/>
        <v>#N/A</v>
      </c>
      <c r="DU142" s="31" t="e">
        <f>IF(OR(Hypothèses!$B$4=17,Hypothèses!$B$4=18,Hypothèses!$B$4=19,Hypothèses!$B$4=20),
IF($D142="Pressio.",
IF(OR($E142=3,$E142=1,$E142=4),DT142,DS142),
IF($D142="Pénétro.",
IF(OR($E142=3,$E142=1,$E142=4),DT142,DS142))),IF($D142="Pressio.",
IF($E142=3,DT142,DS142),
IF($D142="Pénétro.",
IF($E142=4,DT142,DS142))))</f>
        <v>#N/A</v>
      </c>
      <c r="DV142" s="31">
        <v>0</v>
      </c>
      <c r="DW142" s="102" t="e">
        <f>IF(NDC!$H$10="Oui",(VLOOKUP($B$3,'Coeff EC7'!$T$39:$X$59,2,0)*DU142+VLOOKUP($B$3,'Coeff EC7'!$T$65:$X$85,2,0)*Model0.1T!DV142)/1.5,PI()*DS$12*$Q142*($B142-$B141)*0.15/10+DW141)</f>
        <v>#N/A</v>
      </c>
      <c r="DX142" s="102" t="e">
        <f>(VLOOKUP($B$3,'Coeff EC7'!$T$39:$X$59,3,0)*DU142+VLOOKUP($B$3,'Coeff EC7'!$T$65:$X$85,3,0)*Model0.1T!DV142)/1.1</f>
        <v>#N/A</v>
      </c>
      <c r="DY142" s="102" t="e">
        <f t="shared" si="190"/>
        <v>#N/A</v>
      </c>
      <c r="DZ142" s="102" t="e">
        <f t="shared" si="191"/>
        <v>#N/A</v>
      </c>
      <c r="EA142" s="414" t="e">
        <f>IF(AND(DW142&gt;NDC!$C$63,DX142&gt;NDC!$C$65,DY142&gt;NDC!$D$73,DZ142&gt;NDC!$D$74,$B142&gt;NDC!$H$22-0.1+MIN(3*EA$12,1.5)),0,1)</f>
        <v>#N/A</v>
      </c>
      <c r="EB142" s="86" t="b">
        <f t="shared" ref="EB142:EB205" si="257">IF($B142&lt;=$P$4, $B142, IF($B142&lt;=$P$5, $B142-$P$4, IF($B142&lt;=$P$6, $B142-$P$5, IF($B142&lt;=$P$7,$B142-$P$6, IF($B142&lt;=$P$8, $B142-$P$7, IF($B142&lt;=$P$9, $B142-$P$8, IF($B142&lt;=$P$10,$B142-$P$9)))))))</f>
        <v>0</v>
      </c>
      <c r="EC142" s="418">
        <f t="shared" ref="EC142:EC205" si="258">MAX($EP$12/2,0.5)</f>
        <v>0.51</v>
      </c>
      <c r="ED142" s="86">
        <f t="shared" ref="ED142:ED205" si="259">MIN(EC142,EB142)</f>
        <v>0.51</v>
      </c>
      <c r="EE142" s="30" t="e">
        <f t="shared" ca="1" si="192"/>
        <v>#DIV/0!</v>
      </c>
      <c r="EF142" s="85" t="e">
        <f ca="1">IF(DL142&lt;=Hypothèses!$V$7,Hypothèses!$W$7,IF(DL142&lt;=Hypothèses!$V$8,Hypothèses!$W$8,IF(DL142&lt;=Hypothèses!$V$9,Hypothèses!$W$9,IF(DL142&lt;=Hypothèses!$V$10,Hypothèses!$W$10,IF(DL142&lt;=Hypothèses!$V$11,Hypothèses!$W$11,IF(DL142&lt;=Hypothèses!$V$12,Hypothèses!$W$12,IF(DL142&lt;=Hypothèses!$V$13,Hypothèses!$W$13,IF(DL142&lt;=Hypothèses!$V$14,Hypothèses!$W$14,IF(DL142&lt;=Hypothèses!$V$15,Hypothèses!$W$15,IF(DL142&lt;=Hypothèses!$V$16,Hypothèses!$W$16,IF(DL142&lt;=Hypothèses!$V$17,Hypothèses!$W$17,IF(DL142&lt;=Hypothèses!$V$18,Hypothèses!$W$18,""))))))))))))</f>
        <v>#DIV/0!</v>
      </c>
      <c r="EG142" s="87" t="e">
        <f t="shared" ca="1" si="222"/>
        <v>#DIV/0!</v>
      </c>
      <c r="EH142" s="88" t="e">
        <f ca="1">IF(DL142&lt;=Hypothèses!$V$7,Hypothèses!$X$7,IF(DL142&lt;=Hypothèses!$V$8,Hypothèses!$X$8,IF(DL142&lt;=Hypothèses!$V$9,Hypothèses!$X$9,IF(DL142&lt;=Hypothèses!$V$10,Hypothèses!$X$10,IF(DL142&lt;=Hypothèses!$V$11,Hypothèses!$X$11,IF(DL142&lt;=Hypothèses!$V$12,Hypothèses!$X$12,IF(DL142&lt;=Hypothèses!$V$13,Hypothèses!$X$13,IF(DL142&lt;=Hypothèses!$V$14,Hypothèses!$X$14,IF(DL142&lt;=Hypothèses!$V$15,Hypothèses!$X$15,IF(DL142&lt;=Hypothèses!$V$16,Hypothèses!$X$16,IF(DL142&lt;=Hypothèses!$U$17,Hypothèses!$W$17,IF(DL142&lt;=Hypothèses!$U$18,Hypothèses!$W$18,""))))))))))))</f>
        <v>#DIV/0!</v>
      </c>
      <c r="EI142" s="95" t="e">
        <f t="shared" ca="1" si="193"/>
        <v>#DIV/0!</v>
      </c>
      <c r="EJ142" s="101">
        <f t="shared" si="229"/>
        <v>0</v>
      </c>
      <c r="EK142" s="91">
        <f t="shared" ref="EK142:EK205" si="260">IF($X142&lt;&gt;"",$X142,EJ142)</f>
        <v>0</v>
      </c>
      <c r="EL142" s="30" t="e">
        <f t="shared" si="212"/>
        <v>#N/A</v>
      </c>
      <c r="EM142" s="30" t="e">
        <f t="shared" si="213"/>
        <v>#N/A</v>
      </c>
      <c r="EN142" s="31" t="e">
        <f>IF(OR(Hypothèses!$B$4=17,Hypothèses!$B$4=18,Hypothèses!$B$4=19,Hypothèses!$B$4=20),
IF($D142="Pressio.",
IF(OR($E142=3,$E142=1,$E142=4),EM142,EL142),
IF($D142="Pénétro.",
IF(OR($E142=3,$E142=1,$E142=4),EM142,EL142))),IF($D142="Pressio.",
IF($E142=3,EM142,EL142),
IF($D142="Pénétro.",
IF($E142=4,EM142,EL142))))</f>
        <v>#N/A</v>
      </c>
      <c r="EO142" s="31">
        <v>0</v>
      </c>
      <c r="EP142" s="102" t="e">
        <f>IF(NDC!$H$10="Oui",(VLOOKUP($B$3,'Coeff EC7'!$T$39:$X$59,2,0)*EN142+VLOOKUP($B$3,'Coeff EC7'!$T$65:$X$85,2,0)*Model0.1T!EO142)/1.5,PI()*EL$12*$Q142*($B142-$B141)*0.15/10+EP141)</f>
        <v>#N/A</v>
      </c>
      <c r="EQ142" s="102" t="e">
        <f>(VLOOKUP($B$3,'Coeff EC7'!$T$39:$X$59,3,0)*EN142+VLOOKUP($B$3,'Coeff EC7'!$T$65:$X$85,3,0)*Model0.1T!EO142)/1.1</f>
        <v>#N/A</v>
      </c>
      <c r="ER142" s="102" t="e">
        <f t="shared" si="194"/>
        <v>#N/A</v>
      </c>
      <c r="ES142" s="102" t="e">
        <f t="shared" si="195"/>
        <v>#N/A</v>
      </c>
      <c r="ET142" s="414" t="e">
        <f>IF(AND(EP142&gt;NDC!$C$63,EQ142&gt;NDC!$C$65,ER142&gt;NDC!$D$73,ES142&gt;NDC!$D$74,$B142&gt;NDC!$H$22-0.1+MIN(3*ET$12,1.5)),0,1)</f>
        <v>#N/A</v>
      </c>
      <c r="EU142" s="86" t="b">
        <f t="shared" ref="EU142:EU205" si="261">IF($B142&lt;=$P$4, $B142, IF($B142&lt;=$P$5, $B142-$P$4, IF($B142&lt;=$P$6, $B142-$P$5, IF($B142&lt;=$P$7,$B142-$P$6, IF($B142&lt;=$P$8, $B142-$P$7, IF($B142&lt;=$P$9, $B142-$P$8, IF($B142&lt;=$P$10,$B142-$P$9)))))))</f>
        <v>0</v>
      </c>
      <c r="EV142" s="86">
        <f t="shared" ref="EV142:EV205" si="262">MAX($FI$12/2,0.5)</f>
        <v>0.61</v>
      </c>
      <c r="EW142" s="86">
        <f t="shared" ref="EW142:EW205" si="263">MIN(EV142,EU142)</f>
        <v>0.61</v>
      </c>
      <c r="EX142" s="30" t="e">
        <f t="shared" ca="1" si="196"/>
        <v>#DIV/0!</v>
      </c>
      <c r="EY142" s="85" t="e">
        <f ca="1">IF(EE142&lt;=Hypothèses!$V$7,Hypothèses!$W$7,IF(EE142&lt;=Hypothèses!$V$8,Hypothèses!$W$8,IF(EE142&lt;=Hypothèses!$V$9,Hypothèses!$W$9,IF(EE142&lt;=Hypothèses!$V$10,Hypothèses!$W$10,IF(EE142&lt;=Hypothèses!$V$11,Hypothèses!$W$11,IF(EE142&lt;=Hypothèses!$V$12,Hypothèses!$W$12,IF(EE142&lt;=Hypothèses!$V$13,Hypothèses!$W$13,IF(EE142&lt;=Hypothèses!$V$14,Hypothèses!$W$14,IF(EE142&lt;=Hypothèses!$V$15,Hypothèses!$W$15,IF(EE142&lt;=Hypothèses!$V$16,Hypothèses!$W$16,IF(EE142&lt;=Hypothèses!$V$17,Hypothèses!$W$17,IF(EE142&lt;=Hypothèses!$V$18,Hypothèses!$W$18,""))))))))))))</f>
        <v>#DIV/0!</v>
      </c>
      <c r="EZ142" s="87" t="e">
        <f t="shared" ca="1" si="223"/>
        <v>#DIV/0!</v>
      </c>
      <c r="FA142" s="88" t="e">
        <f ca="1">IF(EE142&lt;=Hypothèses!$V$7,Hypothèses!$X$7,IF(EE142&lt;=Hypothèses!$V$8,Hypothèses!$X$8,IF(EE142&lt;=Hypothèses!$V$9,Hypothèses!$X$9,IF(EE142&lt;=Hypothèses!$V$10,Hypothèses!$X$10,IF(EE142&lt;=Hypothèses!$V$11,Hypothèses!$X$11,IF(EE142&lt;=Hypothèses!$V$12,Hypothèses!$X$12,IF(EE142&lt;=Hypothèses!$V$13,Hypothèses!$X$13,IF(EE142&lt;=Hypothèses!$V$14,Hypothèses!$X$14,IF(EE142&lt;=Hypothèses!$V$15,Hypothèses!$X$15,IF(EE142&lt;=Hypothèses!$V$16,Hypothèses!$X$16,IF(EE142&lt;=Hypothèses!$U$17,Hypothèses!$W$17,IF(EE142&lt;=Hypothèses!$U$18,Hypothèses!$W$18,""))))))))))))</f>
        <v>#DIV/0!</v>
      </c>
      <c r="FB142" s="95" t="e">
        <f t="shared" ca="1" si="197"/>
        <v>#DIV/0!</v>
      </c>
      <c r="FC142" s="101">
        <f t="shared" si="230"/>
        <v>0</v>
      </c>
      <c r="FD142" s="91">
        <f t="shared" ref="FD142:FD205" si="264">IF($X142&lt;&gt;"",$X142,FC142)</f>
        <v>0</v>
      </c>
      <c r="FE142" s="30" t="e">
        <f t="shared" si="214"/>
        <v>#N/A</v>
      </c>
      <c r="FF142" s="30" t="e">
        <f t="shared" si="215"/>
        <v>#N/A</v>
      </c>
      <c r="FG142" s="31" t="e">
        <f>IF(OR(Hypothèses!$B$4=17,Hypothèses!$B$4=18,Hypothèses!$B$4=19,Hypothèses!$B$4=20),
IF($D142="Pressio.",
IF(OR($E142=3,$E142=1,$E142=4),FF142,FE142),
IF($D142="Pénétro.",
IF(OR($E142=3,$E142=1,$E142=4),FF142,FE142))),IF($D142="Pressio.",
IF($E142=3,FF142,FE142),
IF($D142="Pénétro.",
IF($E142=4,FF142,FE142))))</f>
        <v>#N/A</v>
      </c>
      <c r="FH142" s="31">
        <v>0</v>
      </c>
      <c r="FI142" s="102" t="e">
        <f>IF(NDC!$H$10="Oui",(VLOOKUP($B$3,'Coeff EC7'!$T$39:$X$59,2,0)*FG142+VLOOKUP($B$3,'Coeff EC7'!$T$65:$X$85,2,0)*Model0.1T!FH142)/1.5,PI()*FE$12*$Q142*($B142-$B141)*0.15/10+FI141)</f>
        <v>#N/A</v>
      </c>
      <c r="FJ142" s="102" t="e">
        <f>(VLOOKUP($B$3,'Coeff EC7'!$T$39:$X$59,3,0)*FG142+VLOOKUP($B$3,'Coeff EC7'!$T$65:$X$85,3,0)*Model0.1T!FH142)/1.1</f>
        <v>#N/A</v>
      </c>
      <c r="FK142" s="102" t="e">
        <f t="shared" si="198"/>
        <v>#N/A</v>
      </c>
      <c r="FL142" s="102" t="e">
        <f t="shared" si="199"/>
        <v>#N/A</v>
      </c>
      <c r="FM142" s="414" t="e">
        <f>IF(AND(FI142&gt;NDC!$C$63,FJ142&gt;NDC!$C$65,FK142&gt;NDC!$D$73,FL142&gt;NDC!$D$74,$B142&gt;NDC!$H$22-0.1+MIN(3*FM$12,1.5)),0,1)</f>
        <v>#N/A</v>
      </c>
    </row>
    <row r="143" spans="1:169">
      <c r="A143" s="96">
        <f t="shared" ref="A143:A206" si="265">A142-0.1</f>
        <v>87.000000000000739</v>
      </c>
      <c r="B143" s="97">
        <v>13</v>
      </c>
      <c r="C143" s="81">
        <f>IF(B143&lt;=Hypothèses!$C$7,Hypothèses!$A$7,IF(B143&lt;=Hypothèses!$C$8,Hypothèses!$A$8,IF(B143&lt;=Hypothèses!$C$9,Hypothèses!$A$9,IF(B143&lt;=Hypothèses!$C$10,Hypothèses!$A$10,IF(B143&lt;=Hypothèses!$C$11,Hypothèses!$A$11,IF(B143&lt;=Hypothèses!$C$12,Hypothèses!$A$12,IF(B143&lt;=Hypothèses!$C$13,Hypothèses!$A$13,IF(B143&lt;=Hypothèses!$C$14,Hypothèses!$A$14,IF(B143&lt;=Hypothèses!$C$15,Hypothèses!$A$15,IF(B143&lt;=Hypothèses!$C$16,Hypothèses!$A$16,IF(B143&lt;=Hypothèses!$C$17,Hypothèses!$A$17,IF(B143&lt;=Hypothèses!$C$18,Hypothèses!$A$18,C142))))))))))))</f>
        <v>11</v>
      </c>
      <c r="D143" s="82" t="str">
        <f>IF(B143&lt;=Hypothèses!$C$7,Hypothèses!$R$7,IF(B143&lt;=Hypothèses!$C$8,Hypothèses!$R$8,IF(B143&lt;=Hypothèses!$C$9,Hypothèses!$R$9,IF(B143&lt;=Hypothèses!$C$10,Hypothèses!$R$10,IF(B143&lt;=Hypothèses!$C$11,Hypothèses!$R$11,IF(B143&lt;=Hypothèses!$C$12,Hypothèses!$R$12,IF(B143&lt;=Hypothèses!$C$13,Hypothèses!$R$13,IF(B143&lt;=Hypothèses!$C$14,Hypothèses!$R$14,IF(B143&lt;=Hypothèses!$C$15,Hypothèses!$R$15,IF(B143&lt;=Hypothèses!$C$16,Hypothèses!$R$16,IF(B143&lt;=Hypothèses!$C$17,Hypothèses!$R$17,IF(B143&lt;=Hypothèses!$C$18,Hypothèses!$R$18,D142))))))))))))</f>
        <v>Pressio.</v>
      </c>
      <c r="E143" s="82" t="e">
        <f>IF(B143&lt;=Hypothèses!$C$7,Hypothèses!$G$7,IF(B143&lt;=Hypothèses!$C$8,Hypothèses!$G$8,IF(B143&lt;=Hypothèses!$C$9,Hypothèses!$G$9,IF(B143&lt;=Hypothèses!$C$10,Hypothèses!$G$10,IF(B143&lt;=Hypothèses!$C$11,Hypothèses!$G$11,IF(B143&lt;=Hypothèses!$C$12,Hypothèses!$G$12,IF(B143&lt;=Hypothèses!$C$13,Hypothèses!$G$13,IF(B143&lt;=Hypothèses!$C$14,Hypothèses!$G$14,IF(B143&lt;=Hypothèses!$C$15,Hypothèses!$G$15,IF(B143&lt;=Hypothèses!$C$16,Hypothèses!$G$16,IF(B143&lt;=Hypothèses!$C$17,Hypothèses!$G$17,IF(B143&lt;=Hypothèses!$C$18,Hypothèses!$G$18,E142))))))))))))</f>
        <v>#N/A</v>
      </c>
      <c r="F143" s="82" t="str">
        <f>IF(B143&lt;=Hypothèses!$C$7,Hypothèses!$F$7,IF(B143&lt;=Hypothèses!$C$8,Hypothèses!$F$8,IF(B143&lt;=Hypothèses!$C$9,Hypothèses!$F$9,IF(B143&lt;=Hypothèses!$C$10,Hypothèses!$F$10,IF(B143&lt;=Hypothèses!$C$11,Hypothèses!$F$11,IF(B143&lt;=Hypothèses!$C$12,Hypothèses!$F$12,IF(B143&lt;=Hypothèses!$C$13,Hypothèses!$F$13,IF(B143&lt;=Hypothèses!$C$14,Hypothèses!$F$14,IF(B143&lt;=Hypothèses!$C$15,Hypothèses!$F$15,IF(B143&lt;=Hypothèses!$C$16,Hypothèses!$F$16,IF(B143&lt;=Hypothèses!$C$17,Hypothèses!$F$17,IF(B143&lt;=Hypothèses!$C$18,Hypothèses!$F$18,F142))))))))))))</f>
        <v/>
      </c>
      <c r="G143" s="91">
        <f t="array" ref="G143">INDEX('Coeff EC7'!$U$7:$X$27,
MATCH(Model0.1T!$B$3,'Coeff EC7'!$T$7:$T$27,0),
MATCH(Model0.1T!$D143&amp;Model0.1T!$B$4,
'Coeff EC7'!$U$6:$X$6&amp;
'Coeff EC7'!$U$5:$X$5,0))</f>
        <v>1.4</v>
      </c>
      <c r="H143" s="91">
        <f t="array" ref="H143">INDEX('Coeff EC7'!$Y$7:$AB$27,
MATCH(Model0.1T!$B$3,'Coeff EC7'!$T$7:$T$27,0),
MATCH(Model0.1T!$D143&amp;Model0.1T!$B$4,
'Coeff EC7'!$Y$6:$AB$6&amp;
'Coeff EC7'!$Y$5:$AB$5,0))</f>
        <v>1.7</v>
      </c>
      <c r="I143" s="83">
        <v>0</v>
      </c>
      <c r="J143" s="91" t="e">
        <f t="array" ref="J143">INDEX('Coeff EC7'!$D$33:$Q$33,1,MATCH(D143&amp;E143,'Coeff EC7'!$D$31:$Q$31&amp;'Coeff EC7'!$D$32:$Q$32,0))</f>
        <v>#N/A</v>
      </c>
      <c r="K143" s="91" t="e">
        <f t="array" ref="K143">INDEX('Coeff EC7'!$D$34:$Q$34,1,MATCH(D143&amp;E143,'Coeff EC7'!$D$31:$Q$31&amp;'Coeff EC7'!$D$32:$Q$32,0))</f>
        <v>#N/A</v>
      </c>
      <c r="L143" s="91" t="e">
        <f t="array" ref="L143">INDEX('Coeff EC7'!$D$35:$Q$35,1,MATCH(D143&amp;E143,'Coeff EC7'!$D$31:$Q$31&amp;'Coeff EC7'!$D$32:$Q$32,0))</f>
        <v>#N/A</v>
      </c>
      <c r="M143" s="98" t="e">
        <f t="shared" si="231"/>
        <v>#N/A</v>
      </c>
      <c r="N143" s="99" t="e">
        <f t="array" ref="N143">INDEX('Coeff EC7'!$D$7:$Q$27,MATCH($B$3,'Coeff EC7'!$C$7:$C$27,0),MATCH(D143&amp;E143,'Coeff EC7'!$D$5:$Q$5&amp;'Coeff EC7'!$D$6:$Q$6,0))</f>
        <v>#N/A</v>
      </c>
      <c r="O143" s="99" t="e">
        <f t="array" ref="O143">INDEX('Coeff EC7'!$D$41:$Q$61,MATCH($B$3,'Coeff EC7'!$C$41:$C$61,0),MATCH(D143&amp;E143,'Coeff EC7'!$D$39:$Q$39&amp;'Coeff EC7'!$D$40:$Q$40,0))</f>
        <v>#N/A</v>
      </c>
      <c r="P143" s="30" t="e">
        <f t="shared" ref="P143:P206" si="266">N143*M143*1000</f>
        <v>#N/A</v>
      </c>
      <c r="Q143" s="100" t="e">
        <f t="shared" si="233"/>
        <v>#N/A</v>
      </c>
      <c r="R143" s="86" t="b">
        <f t="shared" si="234"/>
        <v>0</v>
      </c>
      <c r="S143" s="86">
        <f t="shared" si="232"/>
        <v>0.5</v>
      </c>
      <c r="T143" s="86">
        <f t="shared" si="235"/>
        <v>0.5</v>
      </c>
      <c r="U143" s="30" t="e">
        <f t="shared" ref="U143:U206" ca="1" si="267">AVERAGE(OFFSET($F143, -10*T143, 0,10*T143, 1), OFFSET($F143, 1, 0, 30*S143, 1))</f>
        <v>#DIV/0!</v>
      </c>
      <c r="V143" s="85" t="str">
        <f>IF(B143&lt;=Hypothèses!$V$7,Hypothèses!$W$7,IF(B143&lt;=Hypothèses!$V$8,Hypothèses!$W$8,IF(B143&lt;=Hypothèses!$V$9,Hypothèses!$W$9,IF(B143&lt;=Hypothèses!$V$10,Hypothèses!$W$10,IF(B143&lt;=Hypothèses!$V$11,Hypothèses!$W$11,IF(B143&lt;=Hypothèses!$V$12,Hypothèses!$W$12,IF(B143&lt;=Hypothèses!$V$13,Hypothèses!$W$13,IF(B143&lt;=Hypothèses!$V$14,Hypothèses!$W$14,IF(B143&lt;=Hypothèses!$V$15,Hypothèses!$W$15,IF(B143&lt;=Hypothèses!$V$16,Hypothèses!$W$16,IF(B143&lt;=Hypothèses!$V$17,Hypothèses!$W$17,IF(B143&lt;=Hypothèses!$V$18,Hypothèses!$W$18,""))))))))))))</f>
        <v/>
      </c>
      <c r="W143" s="87" t="e">
        <f t="shared" ca="1" si="216"/>
        <v>#DIV/0!</v>
      </c>
      <c r="X143" s="88" t="str">
        <f>IF(B143&lt;=Hypothèses!$V$7,Hypothèses!$X$7,IF(B143&lt;=Hypothèses!$V$8,Hypothèses!$X$8,IF(B143&lt;=Hypothèses!$V$9,Hypothèses!$X$9,IF(B143&lt;=Hypothèses!$V$10,Hypothèses!$X$10,IF(B143&lt;=Hypothèses!$V$11,Hypothèses!$X$11,IF(B143&lt;=Hypothèses!$V$12,Hypothèses!$X$12,IF(B143&lt;=Hypothèses!$V$13,Hypothèses!$X$13,IF(B143&lt;=Hypothèses!$V$14,Hypothèses!$X$14,IF(B143&lt;=Hypothèses!$V$15,Hypothèses!$X$15,IF(B143&lt;=Hypothèses!$V$16,Hypothèses!$X$16,IF(B143&lt;=Hypothèses!$U$17,Hypothèses!$W$17,IF(B143&lt;=Hypothèses!$U$18,Hypothèses!$W$18,""))))))))))))</f>
        <v/>
      </c>
      <c r="Y143" s="95" t="e">
        <f t="shared" ca="1" si="236"/>
        <v>#DIV/0!</v>
      </c>
      <c r="Z143" s="101">
        <f t="shared" si="237"/>
        <v>0</v>
      </c>
      <c r="AA143" s="91">
        <f t="shared" si="238"/>
        <v>0</v>
      </c>
      <c r="AB143" s="30" t="e">
        <f t="shared" si="200"/>
        <v>#N/A</v>
      </c>
      <c r="AC143" s="30" t="e">
        <f t="shared" si="201"/>
        <v>#N/A</v>
      </c>
      <c r="AD143" s="31" t="e">
        <f>IF(OR(Hypothèses!$B$4=17,Hypothèses!$B$4=18,Hypothèses!$B$4=19,Hypothèses!$B$4=20),
IF($D143="Pressio.",
IF(OR($E143=3,$E143=1,$E143=4),AC143,AB143),
IF($D143="Pénétro.",
IF(OR($E143=3,$E143=1,$E143=4),AC143,AB143))),IF($D143="Pressio.",
IF($E143=3,AC143,AB143),
IF($D143="Pénétro.",
IF($E143=4,AC143,AB143))))</f>
        <v>#N/A</v>
      </c>
      <c r="AE143" s="31">
        <v>0</v>
      </c>
      <c r="AF143" s="102" t="e">
        <f>IF(NDC!$H$10="Oui",(VLOOKUP($B$3,'Coeff EC7'!$T$39:$X$59,2,0)*AD143+VLOOKUP($B$3,'Coeff EC7'!$T$65:$X$85,2,0)*Model0.1T!AE143)/1.5,PI()*AB$12*$Q143*($B143-$B142)*0.15/10+AF142)</f>
        <v>#N/A</v>
      </c>
      <c r="AG143" s="102" t="e">
        <f>(VLOOKUP($B$3,'Coeff EC7'!$T$39:$X$59,3,0)*AD143+VLOOKUP($B$3,'Coeff EC7'!$T$65:$X$85,3,0)*Model0.1T!AE143)/1.1</f>
        <v>#N/A</v>
      </c>
      <c r="AH143" s="102" t="e">
        <f t="shared" ref="AH143:AH206" si="268">AD143/1.15+AE143/1.15</f>
        <v>#N/A</v>
      </c>
      <c r="AI143" s="102" t="e">
        <f t="shared" ref="AI143:AI206" si="269">(AD143+AE143)/1.05</f>
        <v>#N/A</v>
      </c>
      <c r="AJ143" s="414" t="e">
        <f>IF(AND(AF143&gt;NDC!$C$63,AG143&gt;NDC!$C$65,AH143&gt;NDC!$D$73,AI143&gt;NDC!$D$74,$B143&gt;NDC!$H$22-0.1+MIN(3*$AJ$12,1.5)),0,1)</f>
        <v>#N/A</v>
      </c>
      <c r="AK143" s="86" t="b">
        <f t="shared" si="239"/>
        <v>0</v>
      </c>
      <c r="AL143" s="86">
        <f t="shared" ref="AL143:AL206" si="270">MAX($AY$12/2,0.5)</f>
        <v>0.5</v>
      </c>
      <c r="AM143" s="86">
        <f t="shared" si="240"/>
        <v>0.5</v>
      </c>
      <c r="AN143" s="30" t="e">
        <f t="shared" ref="AN143:AN206" ca="1" si="271">AVERAGE(OFFSET($F143, -10*AM143, 0,10*AM143, 1), OFFSET($F143, 1, 0, 30*AL143, 1))</f>
        <v>#DIV/0!</v>
      </c>
      <c r="AO143" s="85" t="e">
        <f ca="1">IF(U143&lt;=Hypothèses!$V$7,Hypothèses!$W$7,IF(U143&lt;=Hypothèses!$V$8,Hypothèses!$W$8,IF(U143&lt;=Hypothèses!$V$9,Hypothèses!$W$9,IF(U143&lt;=Hypothèses!$V$10,Hypothèses!$W$10,IF(U143&lt;=Hypothèses!$V$11,Hypothèses!$W$11,IF(U143&lt;=Hypothèses!$V$12,Hypothèses!$W$12,IF(U143&lt;=Hypothèses!$V$13,Hypothèses!$W$13,IF(U143&lt;=Hypothèses!$V$14,Hypothèses!$W$14,IF(U143&lt;=Hypothèses!$V$15,Hypothèses!$W$15,IF(U143&lt;=Hypothèses!$V$16,Hypothèses!$W$16,IF(U143&lt;=Hypothèses!$V$17,Hypothèses!$W$17,IF(U143&lt;=Hypothèses!$V$18,Hypothèses!$W$18,""))))))))))))</f>
        <v>#DIV/0!</v>
      </c>
      <c r="AP143" s="87" t="e">
        <f t="shared" ca="1" si="217"/>
        <v>#DIV/0!</v>
      </c>
      <c r="AQ143" s="88" t="e">
        <f ca="1">IF(U143&lt;=Hypothèses!$V$7,Hypothèses!$X$7,IF(U143&lt;=Hypothèses!$V$8,Hypothèses!$X$8,IF(U143&lt;=Hypothèses!$V$9,Hypothèses!$X$9,IF(U143&lt;=Hypothèses!$V$10,Hypothèses!$X$10,IF(U143&lt;=Hypothèses!$V$11,Hypothèses!$X$11,IF(U143&lt;=Hypothèses!$V$12,Hypothèses!$X$12,IF(U143&lt;=Hypothèses!$V$13,Hypothèses!$X$13,IF(U143&lt;=Hypothèses!$V$14,Hypothèses!$X$14,IF(U143&lt;=Hypothèses!$V$15,Hypothèses!$X$15,IF(U143&lt;=Hypothèses!$V$16,Hypothèses!$X$16,IF(U143&lt;=Hypothèses!$U$17,Hypothèses!$W$17,IF(U143&lt;=Hypothèses!$U$18,Hypothèses!$W$18,""))))))))))))</f>
        <v>#DIV/0!</v>
      </c>
      <c r="AR143" s="95" t="e">
        <f t="shared" ref="AR143:AR206" ca="1" si="272">IF($B143&lt;10*$BB$12,0.1/AP143*SUM(OFFSET(F143,-10*$B143+1,0,10*$B143,1)),0.1/AP143*SUM(OFFSET(F143,-100*$BB$12+1,0,100*$BB$12,1)))</f>
        <v>#DIV/0!</v>
      </c>
      <c r="AS143" s="101">
        <f t="shared" si="224"/>
        <v>0</v>
      </c>
      <c r="AT143" s="91">
        <f t="shared" si="241"/>
        <v>0</v>
      </c>
      <c r="AU143" s="30" t="e">
        <f t="shared" si="202"/>
        <v>#N/A</v>
      </c>
      <c r="AV143" s="30" t="e">
        <f t="shared" si="203"/>
        <v>#N/A</v>
      </c>
      <c r="AW143" s="31" t="e">
        <f>IF(OR(Hypothèses!$B$4=17,Hypothèses!$B$4=18,Hypothèses!$B$4=19,Hypothèses!$B$4=20),
IF($D143="Pressio.",
IF(OR($E143=3,$E143=1,$E143=4),AV143,AU143),
IF($D143="Pénétro.",
IF(OR($E143=3,$E143=1,$E143=4),AV143,AU143))),IF($D143="Pressio.",
IF($E143=3,AV143,AU143),
IF($D143="Pénétro.",
IF($E143=4,AV143,AU143))))</f>
        <v>#N/A</v>
      </c>
      <c r="AX143" s="31">
        <v>0</v>
      </c>
      <c r="AY143" s="102" t="e">
        <f>IF(NDC!$H$10="Oui",(VLOOKUP($B$3,'Coeff EC7'!$T$39:$X$59,2,0)*AW143+VLOOKUP($B$3,'Coeff EC7'!$T$65:$X$85,2,0)*Model0.1T!AX143)/1.5,PI()*AU$12*$Q143*($B143-$B142)*0.15/10+AY142)</f>
        <v>#N/A</v>
      </c>
      <c r="AZ143" s="102" t="e">
        <f>(VLOOKUP($B$3,'Coeff EC7'!$T$39:$X$59,3,0)*AW143+VLOOKUP($B$3,'Coeff EC7'!$T$65:$X$85,3,0)*Model0.1T!AX143)/1.1</f>
        <v>#N/A</v>
      </c>
      <c r="BA143" s="102" t="e">
        <f t="shared" ref="BA143:BA206" si="273">AW143/1.15+AX143/1.15</f>
        <v>#N/A</v>
      </c>
      <c r="BB143" s="102" t="e">
        <f t="shared" ref="BB143:BB206" si="274">(AW143+AX143)/1.05</f>
        <v>#N/A</v>
      </c>
      <c r="BC143" s="414" t="e">
        <f>IF(AND(AY143&gt;NDC!$C$63,AZ143&gt;NDC!$C$65,BA143&gt;NDC!$D$73,BB143&gt;NDC!$D$74,$B143&gt;NDC!$H$22-0.1+MIN(3*BC$12,1.5)),0,1)</f>
        <v>#N/A</v>
      </c>
      <c r="BD143" s="86" t="b">
        <f t="shared" si="242"/>
        <v>0</v>
      </c>
      <c r="BE143" s="86">
        <f t="shared" ref="BE143:BE206" si="275">MAX($BR$12/2,0.5)</f>
        <v>0.5</v>
      </c>
      <c r="BF143" s="86">
        <f t="shared" si="243"/>
        <v>0.5</v>
      </c>
      <c r="BG143" s="30" t="e">
        <f t="shared" ref="BG143:BG206" ca="1" si="276">AVERAGE(OFFSET($F143, -10*BF143, 0,10*BF143, 1), OFFSET($F143, 1, 0, 30*BE143, 1))</f>
        <v>#DIV/0!</v>
      </c>
      <c r="BH143" s="85" t="e">
        <f ca="1">IF(AN143&lt;=Hypothèses!$V$7,Hypothèses!$W$7,IF(AN143&lt;=Hypothèses!$V$8,Hypothèses!$W$8,IF(AN143&lt;=Hypothèses!$V$9,Hypothèses!$W$9,IF(AN143&lt;=Hypothèses!$V$10,Hypothèses!$W$10,IF(AN143&lt;=Hypothèses!$V$11,Hypothèses!$W$11,IF(AN143&lt;=Hypothèses!$V$12,Hypothèses!$W$12,IF(AN143&lt;=Hypothèses!$V$13,Hypothèses!$W$13,IF(AN143&lt;=Hypothèses!$V$14,Hypothèses!$W$14,IF(AN143&lt;=Hypothèses!$V$15,Hypothèses!$W$15,IF(AN143&lt;=Hypothèses!$V$16,Hypothèses!$W$16,IF(AN143&lt;=Hypothèses!$V$17,Hypothèses!$W$17,IF(AN143&lt;=Hypothèses!$V$18,Hypothèses!$W$18,""))))))))))))</f>
        <v>#DIV/0!</v>
      </c>
      <c r="BI143" s="87" t="e">
        <f t="shared" ca="1" si="218"/>
        <v>#DIV/0!</v>
      </c>
      <c r="BJ143" s="88" t="e">
        <f ca="1">IF(AN143&lt;=Hypothèses!$V$7,Hypothèses!$X$7,IF(AN143&lt;=Hypothèses!$V$8,Hypothèses!$X$8,IF(AN143&lt;=Hypothèses!$V$9,Hypothèses!$X$9,IF(AN143&lt;=Hypothèses!$V$10,Hypothèses!$X$10,IF(AN143&lt;=Hypothèses!$V$11,Hypothèses!$X$11,IF(AN143&lt;=Hypothèses!$V$12,Hypothèses!$X$12,IF(AN143&lt;=Hypothèses!$V$13,Hypothèses!$X$13,IF(AN143&lt;=Hypothèses!$V$14,Hypothèses!$X$14,IF(AN143&lt;=Hypothèses!$V$15,Hypothèses!$X$15,IF(AN143&lt;=Hypothèses!$V$16,Hypothèses!$X$16,IF(AN143&lt;=Hypothèses!$U$17,Hypothèses!$W$17,IF(AN143&lt;=Hypothèses!$U$18,Hypothèses!$W$18,""))))))))))))</f>
        <v>#DIV/0!</v>
      </c>
      <c r="BK143" s="95" t="e">
        <f t="shared" ref="BK143:BK206" ca="1" si="277">IF($B143&lt;10*$BU$12,0.1/BI143*SUM(OFFSET(F143,-10*$B143+1,0,10*$B143,1)),0.1/BI143*SUM(OFFSET(F143,-100*$BU$12+1,0,100*$BU$12,1)))</f>
        <v>#DIV/0!</v>
      </c>
      <c r="BL143" s="101">
        <f t="shared" si="225"/>
        <v>0</v>
      </c>
      <c r="BM143" s="91">
        <f t="shared" si="244"/>
        <v>0</v>
      </c>
      <c r="BN143" s="30" t="e">
        <f t="shared" si="204"/>
        <v>#N/A</v>
      </c>
      <c r="BO143" s="30" t="e">
        <f t="shared" si="205"/>
        <v>#N/A</v>
      </c>
      <c r="BP143" s="31" t="e">
        <f>IF(OR(Hypothèses!$B$4=17,Hypothèses!$B$4=18,Hypothèses!$B$4=19,Hypothèses!$B$4=20),
IF($D143="Pressio.",
IF(OR($E143=3,$E143=1,$E143=4),BO143,BN143),
IF($D143="Pénétro.",
IF(OR($E143=3,$E143=1,$E143=4),BO143,BN143))),IF($D143="Pressio.",
IF($E143=3,BO143,BN143),
IF($D143="Pénétro.",
IF($E143=4,BO143,BN143))))</f>
        <v>#N/A</v>
      </c>
      <c r="BQ143" s="31">
        <v>0</v>
      </c>
      <c r="BR143" s="102" t="e">
        <f>IF(NDC!$H$10="Oui",(VLOOKUP($B$3,'Coeff EC7'!$T$39:$X$59,2,0)*BP143+VLOOKUP($B$3,'Coeff EC7'!$T$65:$X$85,2,0)*Model0.1T!BQ143)/1.5,PI()*BN$12*$Q143*($B143-$B142)*0.15/10+BR142)</f>
        <v>#N/A</v>
      </c>
      <c r="BS143" s="102" t="e">
        <f>(VLOOKUP($B$3,'Coeff EC7'!$T$39:$X$59,3,0)*BP143+VLOOKUP($B$3,'Coeff EC7'!$T$65:$X$85,3,0)*Model0.1T!BQ143)/1.1</f>
        <v>#N/A</v>
      </c>
      <c r="BT143" s="102" t="e">
        <f t="shared" ref="BT143:BT206" si="278">BP143/1.15+BQ143/1.15</f>
        <v>#N/A</v>
      </c>
      <c r="BU143" s="102" t="e">
        <f t="shared" ref="BU143:BU206" si="279">(BP143+BQ143)/1.05</f>
        <v>#N/A</v>
      </c>
      <c r="BV143" s="414" t="e">
        <f>IF(AND(BR143&gt;NDC!$C$63,BS143&gt;NDC!$C$65,BT143&gt;NDC!$D$73,BU143&gt;NDC!$D$74,$B143&gt;NDC!$H$22-0.1+MIN(3*BV$12,1.5)),0,1)</f>
        <v>#N/A</v>
      </c>
      <c r="BW143" s="86" t="b">
        <f t="shared" si="245"/>
        <v>0</v>
      </c>
      <c r="BX143" s="86">
        <f t="shared" si="246"/>
        <v>0.5</v>
      </c>
      <c r="BY143" s="86">
        <f t="shared" si="247"/>
        <v>0.5</v>
      </c>
      <c r="BZ143" s="30" t="e">
        <f t="shared" ref="BZ143:BZ206" ca="1" si="280">AVERAGE(OFFSET($F143, -10*BY143, 0,10*BY143, 1), OFFSET($F143, 1, 0, 30*BX143, 1))</f>
        <v>#DIV/0!</v>
      </c>
      <c r="CA143" s="85" t="e">
        <f ca="1">IF(BG143&lt;=Hypothèses!$V$7,Hypothèses!$W$7,IF(BG143&lt;=Hypothèses!$V$8,Hypothèses!$W$8,IF(BG143&lt;=Hypothèses!$V$9,Hypothèses!$W$9,IF(BG143&lt;=Hypothèses!$V$10,Hypothèses!$W$10,IF(BG143&lt;=Hypothèses!$V$11,Hypothèses!$W$11,IF(BG143&lt;=Hypothèses!$V$12,Hypothèses!$W$12,IF(BG143&lt;=Hypothèses!$V$13,Hypothèses!$W$13,IF(BG143&lt;=Hypothèses!$V$14,Hypothèses!$W$14,IF(BG143&lt;=Hypothèses!$V$15,Hypothèses!$W$15,IF(BG143&lt;=Hypothèses!$V$16,Hypothèses!$W$16,IF(BG143&lt;=Hypothèses!$V$17,Hypothèses!$W$17,IF(BG143&lt;=Hypothèses!$V$18,Hypothèses!$W$18,""))))))))))))</f>
        <v>#DIV/0!</v>
      </c>
      <c r="CB143" s="87" t="e">
        <f t="shared" ca="1" si="219"/>
        <v>#DIV/0!</v>
      </c>
      <c r="CC143" s="88" t="e">
        <f ca="1">IF(BG143&lt;=Hypothèses!$V$7,Hypothèses!$X$7,IF(BG143&lt;=Hypothèses!$V$8,Hypothèses!$X$8,IF(BG143&lt;=Hypothèses!$V$9,Hypothèses!$X$9,IF(BG143&lt;=Hypothèses!$V$10,Hypothèses!$X$10,IF(BG143&lt;=Hypothèses!$V$11,Hypothèses!$X$11,IF(BG143&lt;=Hypothèses!$V$12,Hypothèses!$X$12,IF(BG143&lt;=Hypothèses!$V$13,Hypothèses!$X$13,IF(BG143&lt;=Hypothèses!$V$14,Hypothèses!$X$14,IF(BG143&lt;=Hypothèses!$V$15,Hypothèses!$X$15,IF(BG143&lt;=Hypothèses!$V$16,Hypothèses!$X$16,IF(BG143&lt;=Hypothèses!$U$17,Hypothèses!$W$17,IF(BG143&lt;=Hypothèses!$U$18,Hypothèses!$W$18,""))))))))))))</f>
        <v>#DIV/0!</v>
      </c>
      <c r="CD143" s="95" t="e">
        <f t="shared" ref="CD143:CD206" ca="1" si="281">IF($B143&lt;10*$CN$12,0.1/CB143*SUM(OFFSET(F143,-10*$B143+1,0,10*$B143,1)),0.1/CB143*SUM(OFFSET(F143,-100*$CN$12+1,0,100*$CN$12,1)))</f>
        <v>#DIV/0!</v>
      </c>
      <c r="CE143" s="101">
        <f t="shared" si="226"/>
        <v>0</v>
      </c>
      <c r="CF143" s="91">
        <f t="shared" si="248"/>
        <v>0</v>
      </c>
      <c r="CG143" s="30" t="e">
        <f t="shared" si="206"/>
        <v>#N/A</v>
      </c>
      <c r="CH143" s="30" t="e">
        <f t="shared" si="207"/>
        <v>#N/A</v>
      </c>
      <c r="CI143" s="31" t="e">
        <f>IF(OR(Hypothèses!$B$4=17,Hypothèses!$B$4=18,Hypothèses!$B$4=19,Hypothèses!$B$4=20),
IF($D143="Pressio.",
IF(OR($E143=3,$E143=1,$E143=4),CH143,CG143),
IF($D143="Pénétro.",
IF(OR($E143=3,$E143=1,$E143=4),CH143,CG143))),IF($D143="Pressio.",
IF($E143=3,CH143,CG143),
IF($D143="Pénétro.",
IF($E143=4,CH143,CG143))))</f>
        <v>#N/A</v>
      </c>
      <c r="CJ143" s="31">
        <v>0</v>
      </c>
      <c r="CK143" s="102" t="e">
        <f>IF(NDC!$H$10="Oui",(VLOOKUP($B$3,'Coeff EC7'!$T$39:$X$59,2,0)*CI143+VLOOKUP($B$3,'Coeff EC7'!$T$65:$X$85,2,0)*Model0.1T!CJ143)/1.5,PI()*CG$12*$Q143*($B143-$B142)*0.15/10+CK142)</f>
        <v>#N/A</v>
      </c>
      <c r="CL143" s="102" t="e">
        <f>(VLOOKUP($B$3,'Coeff EC7'!$T$39:$X$59,3,0)*CI143+VLOOKUP($B$3,'Coeff EC7'!$T$65:$X$85,3,0)*Model0.1T!CJ143)/1.1</f>
        <v>#N/A</v>
      </c>
      <c r="CM143" s="102" t="e">
        <f t="shared" ref="CM143:CM206" si="282">CI143/1.15+CJ143/1.15</f>
        <v>#N/A</v>
      </c>
      <c r="CN143" s="102" t="e">
        <f t="shared" ref="CN143:CN206" si="283">(CI143+CJ143)/1.05</f>
        <v>#N/A</v>
      </c>
      <c r="CO143" s="414" t="e">
        <f>IF(AND(CK143&gt;NDC!$C$63,CL143&gt;NDC!$C$65,CM143&gt;NDC!$D$73,CN143&gt;NDC!$D$74,$B143&gt;NDC!$H$22-0.1+MIN(3*CO$12,1.5)),0,1)</f>
        <v>#N/A</v>
      </c>
      <c r="CP143" s="86" t="b">
        <f t="shared" si="249"/>
        <v>0</v>
      </c>
      <c r="CQ143" s="86">
        <f t="shared" si="250"/>
        <v>0.5</v>
      </c>
      <c r="CR143" s="86">
        <f t="shared" si="251"/>
        <v>0.5</v>
      </c>
      <c r="CS143" s="30" t="e">
        <f t="shared" ref="CS143:CS206" ca="1" si="284">AVERAGE(OFFSET($F143, -10*CR143, 0,10*CR143, 1), OFFSET($F143, 1, 0, 30*CQ143, 1))</f>
        <v>#DIV/0!</v>
      </c>
      <c r="CT143" s="85" t="e">
        <f ca="1">IF(BZ143&lt;=Hypothèses!$V$7,Hypothèses!$W$7,IF(BZ143&lt;=Hypothèses!$V$8,Hypothèses!$W$8,IF(BZ143&lt;=Hypothèses!$V$9,Hypothèses!$W$9,IF(BZ143&lt;=Hypothèses!$V$10,Hypothèses!$W$10,IF(BZ143&lt;=Hypothèses!$V$11,Hypothèses!$W$11,IF(BZ143&lt;=Hypothèses!$V$12,Hypothèses!$W$12,IF(BZ143&lt;=Hypothèses!$V$13,Hypothèses!$W$13,IF(BZ143&lt;=Hypothèses!$V$14,Hypothèses!$W$14,IF(BZ143&lt;=Hypothèses!$V$15,Hypothèses!$W$15,IF(BZ143&lt;=Hypothèses!$V$16,Hypothèses!$W$16,IF(BZ143&lt;=Hypothèses!$V$17,Hypothèses!$W$17,IF(BZ143&lt;=Hypothèses!$V$18,Hypothèses!$W$18,""))))))))))))</f>
        <v>#DIV/0!</v>
      </c>
      <c r="CU143" s="87" t="e">
        <f t="shared" ca="1" si="220"/>
        <v>#DIV/0!</v>
      </c>
      <c r="CV143" s="88" t="e">
        <f ca="1">IF(BZ143&lt;=Hypothèses!$V$7,Hypothèses!$X$7,IF(BZ143&lt;=Hypothèses!$V$8,Hypothèses!$X$8,IF(BZ143&lt;=Hypothèses!$V$9,Hypothèses!$X$9,IF(BZ143&lt;=Hypothèses!$V$10,Hypothèses!$X$10,IF(BZ143&lt;=Hypothèses!$V$11,Hypothèses!$X$11,IF(BZ143&lt;=Hypothèses!$V$12,Hypothèses!$X$12,IF(BZ143&lt;=Hypothèses!$V$13,Hypothèses!$X$13,IF(BZ143&lt;=Hypothèses!$V$14,Hypothèses!$X$14,IF(BZ143&lt;=Hypothèses!$V$15,Hypothèses!$X$15,IF(BZ143&lt;=Hypothèses!$V$16,Hypothèses!$X$16,IF(BZ143&lt;=Hypothèses!$U$17,Hypothèses!$W$17,IF(BZ143&lt;=Hypothèses!$U$18,Hypothèses!$W$18,""))))))))))))</f>
        <v>#DIV/0!</v>
      </c>
      <c r="CW143" s="95" t="e">
        <f t="shared" ref="CW143:CW206" ca="1" si="285">IF($B143&lt;10*$DG$12,0.1/CU143*SUM(OFFSET(F143,-10*$B143+1,0,10*$B143,1)),0.1/CU143*SUM(OFFSET(F143,-100*$DG$12+1,0,100*$DG$12,1)))</f>
        <v>#DIV/0!</v>
      </c>
      <c r="CX143" s="101">
        <f t="shared" si="227"/>
        <v>0</v>
      </c>
      <c r="CY143" s="91">
        <f t="shared" si="252"/>
        <v>0</v>
      </c>
      <c r="CZ143" s="30" t="e">
        <f t="shared" si="208"/>
        <v>#N/A</v>
      </c>
      <c r="DA143" s="30" t="e">
        <f t="shared" si="209"/>
        <v>#N/A</v>
      </c>
      <c r="DB143" s="31" t="e">
        <f>IF(OR(Hypothèses!$B$4=17,Hypothèses!$B$4=18,Hypothèses!$B$4=19,Hypothèses!$B$4=20),
IF($D143="Pressio.",
IF(OR($E143=3,$E143=1,$E143=4),DA143,CZ143),
IF($D143="Pénétro.",
IF(OR($E143=3,$E143=1,$E143=4),DA143,CZ143))),IF($D143="Pressio.",
IF($E143=3,DA143,CZ143),
IF($D143="Pénétro.",
IF($E143=4,DA143,CZ143))))</f>
        <v>#N/A</v>
      </c>
      <c r="DC143" s="31">
        <v>0</v>
      </c>
      <c r="DD143" s="102" t="e">
        <f>IF(NDC!$H$10="Oui",(VLOOKUP($B$3,'Coeff EC7'!$T$39:$X$59,2,0)*DB143+VLOOKUP($B$3,'Coeff EC7'!$T$65:$X$85,2,0)*Model0.1T!DC143)/1.5,PI()*CZ$12*$Q143*($B143-$B142)*0.15/10+DD142)</f>
        <v>#N/A</v>
      </c>
      <c r="DE143" s="102" t="e">
        <f>(VLOOKUP($B$3,'Coeff EC7'!$T$39:$X$59,3,0)*DB143+VLOOKUP($B$3,'Coeff EC7'!$T$65:$X$85,3,0)*Model0.1T!DC143)/1.1</f>
        <v>#N/A</v>
      </c>
      <c r="DF143" s="102" t="e">
        <f t="shared" ref="DF143:DF206" si="286">DB143/1.15+DC143/1.15</f>
        <v>#N/A</v>
      </c>
      <c r="DG143" s="102" t="e">
        <f t="shared" ref="DG143:DG206" si="287">(DB143+DC143)/1.05</f>
        <v>#N/A</v>
      </c>
      <c r="DH143" s="414" t="e">
        <f>IF(AND(DD143&gt;NDC!$C$63,DE143&gt;NDC!$C$65,DF143&gt;NDC!$D$73,DG143&gt;NDC!$D$74,$B143&gt;NDC!$H$22-0.1+MIN(3*DH$12,1.5)),0,1)</f>
        <v>#N/A</v>
      </c>
      <c r="DI143" s="86" t="b">
        <f t="shared" si="253"/>
        <v>0</v>
      </c>
      <c r="DJ143" s="86">
        <f t="shared" si="254"/>
        <v>0.5</v>
      </c>
      <c r="DK143" s="86">
        <f t="shared" si="255"/>
        <v>0.5</v>
      </c>
      <c r="DL143" s="30" t="e">
        <f t="shared" ref="DL143:DL206" ca="1" si="288">AVERAGE(OFFSET($F143, -10*DK143, 0,10*DK143, 1), OFFSET($F143, 1, 0, 30*DJ143, 1))</f>
        <v>#DIV/0!</v>
      </c>
      <c r="DM143" s="85" t="e">
        <f ca="1">IF(CS143&lt;=Hypothèses!$V$7,Hypothèses!$W$7,IF(CS143&lt;=Hypothèses!$V$8,Hypothèses!$W$8,IF(CS143&lt;=Hypothèses!$V$9,Hypothèses!$W$9,IF(CS143&lt;=Hypothèses!$V$10,Hypothèses!$W$10,IF(CS143&lt;=Hypothèses!$V$11,Hypothèses!$W$11,IF(CS143&lt;=Hypothèses!$V$12,Hypothèses!$W$12,IF(CS143&lt;=Hypothèses!$V$13,Hypothèses!$W$13,IF(CS143&lt;=Hypothèses!$V$14,Hypothèses!$W$14,IF(CS143&lt;=Hypothèses!$V$15,Hypothèses!$W$15,IF(CS143&lt;=Hypothèses!$V$16,Hypothèses!$W$16,IF(CS143&lt;=Hypothèses!$V$17,Hypothèses!$W$17,IF(CS143&lt;=Hypothèses!$V$18,Hypothèses!$W$18,""))))))))))))</f>
        <v>#DIV/0!</v>
      </c>
      <c r="DN143" s="87" t="e">
        <f t="shared" ca="1" si="221"/>
        <v>#DIV/0!</v>
      </c>
      <c r="DO143" s="88" t="e">
        <f ca="1">IF(CS143&lt;=Hypothèses!$V$7,Hypothèses!$X$7,IF(CS143&lt;=Hypothèses!$V$8,Hypothèses!$X$8,IF(CS143&lt;=Hypothèses!$V$9,Hypothèses!$X$9,IF(CS143&lt;=Hypothèses!$V$10,Hypothèses!$X$10,IF(CS143&lt;=Hypothèses!$V$11,Hypothèses!$X$11,IF(CS143&lt;=Hypothèses!$V$12,Hypothèses!$X$12,IF(CS143&lt;=Hypothèses!$V$13,Hypothèses!$X$13,IF(CS143&lt;=Hypothèses!$V$14,Hypothèses!$X$14,IF(CS143&lt;=Hypothèses!$V$15,Hypothèses!$X$15,IF(CS143&lt;=Hypothèses!$V$16,Hypothèses!$X$16,IF(CS143&lt;=Hypothèses!$U$17,Hypothèses!$W$17,IF(CS143&lt;=Hypothèses!$U$18,Hypothèses!$W$18,""))))))))))))</f>
        <v>#DIV/0!</v>
      </c>
      <c r="DP143" s="95" t="e">
        <f t="shared" ref="DP143:DP206" ca="1" si="289">IF($B143&lt;10*$DZ$12,0.1/DN143*SUM(OFFSET(F143,-10*$B143+1,0,10*$B143,1)),0.1/DN143*SUM(OFFSET(F143,-100*$DZ$12+1,0,100*$DZ$12,1)))</f>
        <v>#DIV/0!</v>
      </c>
      <c r="DQ143" s="101">
        <f t="shared" si="228"/>
        <v>0</v>
      </c>
      <c r="DR143" s="91">
        <f t="shared" si="256"/>
        <v>0</v>
      </c>
      <c r="DS143" s="30" t="e">
        <f t="shared" si="210"/>
        <v>#N/A</v>
      </c>
      <c r="DT143" s="30" t="e">
        <f t="shared" si="211"/>
        <v>#N/A</v>
      </c>
      <c r="DU143" s="31" t="e">
        <f>IF(OR(Hypothèses!$B$4=17,Hypothèses!$B$4=18,Hypothèses!$B$4=19,Hypothèses!$B$4=20),
IF($D143="Pressio.",
IF(OR($E143=3,$E143=1,$E143=4),DT143,DS143),
IF($D143="Pénétro.",
IF(OR($E143=3,$E143=1,$E143=4),DT143,DS143))),IF($D143="Pressio.",
IF($E143=3,DT143,DS143),
IF($D143="Pénétro.",
IF($E143=4,DT143,DS143))))</f>
        <v>#N/A</v>
      </c>
      <c r="DV143" s="31">
        <v>0</v>
      </c>
      <c r="DW143" s="102" t="e">
        <f>IF(NDC!$H$10="Oui",(VLOOKUP($B$3,'Coeff EC7'!$T$39:$X$59,2,0)*DU143+VLOOKUP($B$3,'Coeff EC7'!$T$65:$X$85,2,0)*Model0.1T!DV143)/1.5,PI()*DS$12*$Q143*($B143-$B142)*0.15/10+DW142)</f>
        <v>#N/A</v>
      </c>
      <c r="DX143" s="102" t="e">
        <f>(VLOOKUP($B$3,'Coeff EC7'!$T$39:$X$59,3,0)*DU143+VLOOKUP($B$3,'Coeff EC7'!$T$65:$X$85,3,0)*Model0.1T!DV143)/1.1</f>
        <v>#N/A</v>
      </c>
      <c r="DY143" s="102" t="e">
        <f t="shared" ref="DY143:DY206" si="290">DU143/1.15+DV143/1.15</f>
        <v>#N/A</v>
      </c>
      <c r="DZ143" s="102" t="e">
        <f t="shared" ref="DZ143:DZ206" si="291">(DU143+DV143)/1.05</f>
        <v>#N/A</v>
      </c>
      <c r="EA143" s="414" t="e">
        <f>IF(AND(DW143&gt;NDC!$C$63,DX143&gt;NDC!$C$65,DY143&gt;NDC!$D$73,DZ143&gt;NDC!$D$74,$B143&gt;NDC!$H$22-0.1+MIN(3*EA$12,1.5)),0,1)</f>
        <v>#N/A</v>
      </c>
      <c r="EB143" s="86" t="b">
        <f t="shared" si="257"/>
        <v>0</v>
      </c>
      <c r="EC143" s="418">
        <f t="shared" si="258"/>
        <v>0.51</v>
      </c>
      <c r="ED143" s="86">
        <f t="shared" si="259"/>
        <v>0.51</v>
      </c>
      <c r="EE143" s="30" t="e">
        <f t="shared" ref="EE143:EE206" ca="1" si="292">AVERAGE(OFFSET($F143, -10*ED143, 0,10*ED143, 1), OFFSET($F143, 1, 0, 30*EC143, 1))</f>
        <v>#DIV/0!</v>
      </c>
      <c r="EF143" s="85" t="e">
        <f ca="1">IF(DL143&lt;=Hypothèses!$V$7,Hypothèses!$W$7,IF(DL143&lt;=Hypothèses!$V$8,Hypothèses!$W$8,IF(DL143&lt;=Hypothèses!$V$9,Hypothèses!$W$9,IF(DL143&lt;=Hypothèses!$V$10,Hypothèses!$W$10,IF(DL143&lt;=Hypothèses!$V$11,Hypothèses!$W$11,IF(DL143&lt;=Hypothèses!$V$12,Hypothèses!$W$12,IF(DL143&lt;=Hypothèses!$V$13,Hypothèses!$W$13,IF(DL143&lt;=Hypothèses!$V$14,Hypothèses!$W$14,IF(DL143&lt;=Hypothèses!$V$15,Hypothèses!$W$15,IF(DL143&lt;=Hypothèses!$V$16,Hypothèses!$W$16,IF(DL143&lt;=Hypothèses!$V$17,Hypothèses!$W$17,IF(DL143&lt;=Hypothèses!$V$18,Hypothèses!$W$18,""))))))))))))</f>
        <v>#DIV/0!</v>
      </c>
      <c r="EG143" s="87" t="e">
        <f t="shared" ca="1" si="222"/>
        <v>#DIV/0!</v>
      </c>
      <c r="EH143" s="88" t="e">
        <f ca="1">IF(DL143&lt;=Hypothèses!$V$7,Hypothèses!$X$7,IF(DL143&lt;=Hypothèses!$V$8,Hypothèses!$X$8,IF(DL143&lt;=Hypothèses!$V$9,Hypothèses!$X$9,IF(DL143&lt;=Hypothèses!$V$10,Hypothèses!$X$10,IF(DL143&lt;=Hypothèses!$V$11,Hypothèses!$X$11,IF(DL143&lt;=Hypothèses!$V$12,Hypothèses!$X$12,IF(DL143&lt;=Hypothèses!$V$13,Hypothèses!$X$13,IF(DL143&lt;=Hypothèses!$V$14,Hypothèses!$X$14,IF(DL143&lt;=Hypothèses!$V$15,Hypothèses!$X$15,IF(DL143&lt;=Hypothèses!$V$16,Hypothèses!$X$16,IF(DL143&lt;=Hypothèses!$U$17,Hypothèses!$W$17,IF(DL143&lt;=Hypothèses!$U$18,Hypothèses!$W$18,""))))))))))))</f>
        <v>#DIV/0!</v>
      </c>
      <c r="EI143" s="95" t="e">
        <f t="shared" ref="EI143:EI206" ca="1" si="293">IF($B143&lt;10*$ES$12,0.1/EG143*SUM(OFFSET(F143,-10*$B143+1,0,10*$B143,1)),0.1/EG143*SUM(OFFSET(F143,-100*$ES$12+1,0,100*$ES$12,1)))</f>
        <v>#DIV/0!</v>
      </c>
      <c r="EJ143" s="101">
        <f t="shared" si="229"/>
        <v>0</v>
      </c>
      <c r="EK143" s="91">
        <f t="shared" si="260"/>
        <v>0</v>
      </c>
      <c r="EL143" s="30" t="e">
        <f t="shared" si="212"/>
        <v>#N/A</v>
      </c>
      <c r="EM143" s="30" t="e">
        <f t="shared" si="213"/>
        <v>#N/A</v>
      </c>
      <c r="EN143" s="31" t="e">
        <f>IF(OR(Hypothèses!$B$4=17,Hypothèses!$B$4=18,Hypothèses!$B$4=19,Hypothèses!$B$4=20),
IF($D143="Pressio.",
IF(OR($E143=3,$E143=1,$E143=4),EM143,EL143),
IF($D143="Pénétro.",
IF(OR($E143=3,$E143=1,$E143=4),EM143,EL143))),IF($D143="Pressio.",
IF($E143=3,EM143,EL143),
IF($D143="Pénétro.",
IF($E143=4,EM143,EL143))))</f>
        <v>#N/A</v>
      </c>
      <c r="EO143" s="31">
        <v>0</v>
      </c>
      <c r="EP143" s="102" t="e">
        <f>IF(NDC!$H$10="Oui",(VLOOKUP($B$3,'Coeff EC7'!$T$39:$X$59,2,0)*EN143+VLOOKUP($B$3,'Coeff EC7'!$T$65:$X$85,2,0)*Model0.1T!EO143)/1.5,PI()*EL$12*$Q143*($B143-$B142)*0.15/10+EP142)</f>
        <v>#N/A</v>
      </c>
      <c r="EQ143" s="102" t="e">
        <f>(VLOOKUP($B$3,'Coeff EC7'!$T$39:$X$59,3,0)*EN143+VLOOKUP($B$3,'Coeff EC7'!$T$65:$X$85,3,0)*Model0.1T!EO143)/1.1</f>
        <v>#N/A</v>
      </c>
      <c r="ER143" s="102" t="e">
        <f t="shared" ref="ER143:ER206" si="294">EN143/1.15+EO143/1.15</f>
        <v>#N/A</v>
      </c>
      <c r="ES143" s="102" t="e">
        <f t="shared" ref="ES143:ES206" si="295">(EN143+EO143)/1.05</f>
        <v>#N/A</v>
      </c>
      <c r="ET143" s="414" t="e">
        <f>IF(AND(EP143&gt;NDC!$C$63,EQ143&gt;NDC!$C$65,ER143&gt;NDC!$D$73,ES143&gt;NDC!$D$74,$B143&gt;NDC!$H$22-0.1+MIN(3*ET$12,1.5)),0,1)</f>
        <v>#N/A</v>
      </c>
      <c r="EU143" s="86" t="b">
        <f t="shared" si="261"/>
        <v>0</v>
      </c>
      <c r="EV143" s="86">
        <f t="shared" si="262"/>
        <v>0.61</v>
      </c>
      <c r="EW143" s="86">
        <f t="shared" si="263"/>
        <v>0.61</v>
      </c>
      <c r="EX143" s="30" t="e">
        <f t="shared" ref="EX143:EX206" ca="1" si="296">AVERAGE(OFFSET($F143, -10*EW143, 0,10*EW143, 1), OFFSET($F143, 1, 0, 30*EV143, 1))</f>
        <v>#DIV/0!</v>
      </c>
      <c r="EY143" s="85" t="e">
        <f ca="1">IF(EE143&lt;=Hypothèses!$V$7,Hypothèses!$W$7,IF(EE143&lt;=Hypothèses!$V$8,Hypothèses!$W$8,IF(EE143&lt;=Hypothèses!$V$9,Hypothèses!$W$9,IF(EE143&lt;=Hypothèses!$V$10,Hypothèses!$W$10,IF(EE143&lt;=Hypothèses!$V$11,Hypothèses!$W$11,IF(EE143&lt;=Hypothèses!$V$12,Hypothèses!$W$12,IF(EE143&lt;=Hypothèses!$V$13,Hypothèses!$W$13,IF(EE143&lt;=Hypothèses!$V$14,Hypothèses!$W$14,IF(EE143&lt;=Hypothèses!$V$15,Hypothèses!$W$15,IF(EE143&lt;=Hypothèses!$V$16,Hypothèses!$W$16,IF(EE143&lt;=Hypothèses!$V$17,Hypothèses!$W$17,IF(EE143&lt;=Hypothèses!$V$18,Hypothèses!$W$18,""))))))))))))</f>
        <v>#DIV/0!</v>
      </c>
      <c r="EZ143" s="87" t="e">
        <f t="shared" ca="1" si="223"/>
        <v>#DIV/0!</v>
      </c>
      <c r="FA143" s="88" t="e">
        <f ca="1">IF(EE143&lt;=Hypothèses!$V$7,Hypothèses!$X$7,IF(EE143&lt;=Hypothèses!$V$8,Hypothèses!$X$8,IF(EE143&lt;=Hypothèses!$V$9,Hypothèses!$X$9,IF(EE143&lt;=Hypothèses!$V$10,Hypothèses!$X$10,IF(EE143&lt;=Hypothèses!$V$11,Hypothèses!$X$11,IF(EE143&lt;=Hypothèses!$V$12,Hypothèses!$X$12,IF(EE143&lt;=Hypothèses!$V$13,Hypothèses!$X$13,IF(EE143&lt;=Hypothèses!$V$14,Hypothèses!$X$14,IF(EE143&lt;=Hypothèses!$V$15,Hypothèses!$X$15,IF(EE143&lt;=Hypothèses!$V$16,Hypothèses!$X$16,IF(EE143&lt;=Hypothèses!$U$17,Hypothèses!$W$17,IF(EE143&lt;=Hypothèses!$U$18,Hypothèses!$W$18,""))))))))))))</f>
        <v>#DIV/0!</v>
      </c>
      <c r="FB143" s="95" t="e">
        <f t="shared" ref="FB143:FB206" ca="1" si="297">IF($B143&lt;10*$FL$12,0.1/EZ143*SUM(OFFSET(F143,-10*$B143+1,0,10*$B143,1)),0.1/EZ143*SUM(OFFSET(F143,-100*$FL$12+1,0,100*$FL$12,1)))</f>
        <v>#DIV/0!</v>
      </c>
      <c r="FC143" s="101">
        <f t="shared" si="230"/>
        <v>0</v>
      </c>
      <c r="FD143" s="91">
        <f t="shared" si="264"/>
        <v>0</v>
      </c>
      <c r="FE143" s="30" t="e">
        <f t="shared" si="214"/>
        <v>#N/A</v>
      </c>
      <c r="FF143" s="30" t="e">
        <f t="shared" si="215"/>
        <v>#N/A</v>
      </c>
      <c r="FG143" s="31" t="e">
        <f>IF(OR(Hypothèses!$B$4=17,Hypothèses!$B$4=18,Hypothèses!$B$4=19,Hypothèses!$B$4=20),
IF($D143="Pressio.",
IF(OR($E143=3,$E143=1,$E143=4),FF143,FE143),
IF($D143="Pénétro.",
IF(OR($E143=3,$E143=1,$E143=4),FF143,FE143))),IF($D143="Pressio.",
IF($E143=3,FF143,FE143),
IF($D143="Pénétro.",
IF($E143=4,FF143,FE143))))</f>
        <v>#N/A</v>
      </c>
      <c r="FH143" s="31">
        <v>0</v>
      </c>
      <c r="FI143" s="102" t="e">
        <f>IF(NDC!$H$10="Oui",(VLOOKUP($B$3,'Coeff EC7'!$T$39:$X$59,2,0)*FG143+VLOOKUP($B$3,'Coeff EC7'!$T$65:$X$85,2,0)*Model0.1T!FH143)/1.5,PI()*FE$12*$Q143*($B143-$B142)*0.15/10+FI142)</f>
        <v>#N/A</v>
      </c>
      <c r="FJ143" s="102" t="e">
        <f>(VLOOKUP($B$3,'Coeff EC7'!$T$39:$X$59,3,0)*FG143+VLOOKUP($B$3,'Coeff EC7'!$T$65:$X$85,3,0)*Model0.1T!FH143)/1.1</f>
        <v>#N/A</v>
      </c>
      <c r="FK143" s="102" t="e">
        <f t="shared" ref="FK143:FK206" si="298">FG143/1.15+FH143/1.15</f>
        <v>#N/A</v>
      </c>
      <c r="FL143" s="102" t="e">
        <f t="shared" ref="FL143:FL206" si="299">(FG143+FH143)/1.05</f>
        <v>#N/A</v>
      </c>
      <c r="FM143" s="414" t="e">
        <f>IF(AND(FI143&gt;NDC!$C$63,FJ143&gt;NDC!$C$65,FK143&gt;NDC!$D$73,FL143&gt;NDC!$D$74,$B143&gt;NDC!$H$22-0.1+MIN(3*FM$12,1.5)),0,1)</f>
        <v>#N/A</v>
      </c>
    </row>
    <row r="144" spans="1:169">
      <c r="A144" s="96">
        <f t="shared" si="265"/>
        <v>86.900000000000745</v>
      </c>
      <c r="B144" s="97">
        <v>13.1</v>
      </c>
      <c r="C144" s="81">
        <f>IF(B144&lt;=Hypothèses!$C$7,Hypothèses!$A$7,IF(B144&lt;=Hypothèses!$C$8,Hypothèses!$A$8,IF(B144&lt;=Hypothèses!$C$9,Hypothèses!$A$9,IF(B144&lt;=Hypothèses!$C$10,Hypothèses!$A$10,IF(B144&lt;=Hypothèses!$C$11,Hypothèses!$A$11,IF(B144&lt;=Hypothèses!$C$12,Hypothèses!$A$12,IF(B144&lt;=Hypothèses!$C$13,Hypothèses!$A$13,IF(B144&lt;=Hypothèses!$C$14,Hypothèses!$A$14,IF(B144&lt;=Hypothèses!$C$15,Hypothèses!$A$15,IF(B144&lt;=Hypothèses!$C$16,Hypothèses!$A$16,IF(B144&lt;=Hypothèses!$C$17,Hypothèses!$A$17,IF(B144&lt;=Hypothèses!$C$18,Hypothèses!$A$18,C143))))))))))))</f>
        <v>11</v>
      </c>
      <c r="D144" s="82" t="str">
        <f>IF(B144&lt;=Hypothèses!$C$7,Hypothèses!$R$7,IF(B144&lt;=Hypothèses!$C$8,Hypothèses!$R$8,IF(B144&lt;=Hypothèses!$C$9,Hypothèses!$R$9,IF(B144&lt;=Hypothèses!$C$10,Hypothèses!$R$10,IF(B144&lt;=Hypothèses!$C$11,Hypothèses!$R$11,IF(B144&lt;=Hypothèses!$C$12,Hypothèses!$R$12,IF(B144&lt;=Hypothèses!$C$13,Hypothèses!$R$13,IF(B144&lt;=Hypothèses!$C$14,Hypothèses!$R$14,IF(B144&lt;=Hypothèses!$C$15,Hypothèses!$R$15,IF(B144&lt;=Hypothèses!$C$16,Hypothèses!$R$16,IF(B144&lt;=Hypothèses!$C$17,Hypothèses!$R$17,IF(B144&lt;=Hypothèses!$C$18,Hypothèses!$R$18,D143))))))))))))</f>
        <v>Pressio.</v>
      </c>
      <c r="E144" s="82" t="e">
        <f>IF(B144&lt;=Hypothèses!$C$7,Hypothèses!$G$7,IF(B144&lt;=Hypothèses!$C$8,Hypothèses!$G$8,IF(B144&lt;=Hypothèses!$C$9,Hypothèses!$G$9,IF(B144&lt;=Hypothèses!$C$10,Hypothèses!$G$10,IF(B144&lt;=Hypothèses!$C$11,Hypothèses!$G$11,IF(B144&lt;=Hypothèses!$C$12,Hypothèses!$G$12,IF(B144&lt;=Hypothèses!$C$13,Hypothèses!$G$13,IF(B144&lt;=Hypothèses!$C$14,Hypothèses!$G$14,IF(B144&lt;=Hypothèses!$C$15,Hypothèses!$G$15,IF(B144&lt;=Hypothèses!$C$16,Hypothèses!$G$16,IF(B144&lt;=Hypothèses!$C$17,Hypothèses!$G$17,IF(B144&lt;=Hypothèses!$C$18,Hypothèses!$G$18,E143))))))))))))</f>
        <v>#N/A</v>
      </c>
      <c r="F144" s="82" t="str">
        <f>IF(B144&lt;=Hypothèses!$C$7,Hypothèses!$F$7,IF(B144&lt;=Hypothèses!$C$8,Hypothèses!$F$8,IF(B144&lt;=Hypothèses!$C$9,Hypothèses!$F$9,IF(B144&lt;=Hypothèses!$C$10,Hypothèses!$F$10,IF(B144&lt;=Hypothèses!$C$11,Hypothèses!$F$11,IF(B144&lt;=Hypothèses!$C$12,Hypothèses!$F$12,IF(B144&lt;=Hypothèses!$C$13,Hypothèses!$F$13,IF(B144&lt;=Hypothèses!$C$14,Hypothèses!$F$14,IF(B144&lt;=Hypothèses!$C$15,Hypothèses!$F$15,IF(B144&lt;=Hypothèses!$C$16,Hypothèses!$F$16,IF(B144&lt;=Hypothèses!$C$17,Hypothèses!$F$17,IF(B144&lt;=Hypothèses!$C$18,Hypothèses!$F$18,F143))))))))))))</f>
        <v/>
      </c>
      <c r="G144" s="91">
        <f t="array" ref="G144">INDEX('Coeff EC7'!$U$7:$X$27,
MATCH(Model0.1T!$B$3,'Coeff EC7'!$T$7:$T$27,0),
MATCH(Model0.1T!$D144&amp;Model0.1T!$B$4,
'Coeff EC7'!$U$6:$X$6&amp;
'Coeff EC7'!$U$5:$X$5,0))</f>
        <v>1.4</v>
      </c>
      <c r="H144" s="91">
        <f t="array" ref="H144">INDEX('Coeff EC7'!$Y$7:$AB$27,
MATCH(Model0.1T!$B$3,'Coeff EC7'!$T$7:$T$27,0),
MATCH(Model0.1T!$D144&amp;Model0.1T!$B$4,
'Coeff EC7'!$Y$6:$AB$6&amp;
'Coeff EC7'!$Y$5:$AB$5,0))</f>
        <v>1.7</v>
      </c>
      <c r="I144" s="83">
        <v>0</v>
      </c>
      <c r="J144" s="91" t="e">
        <f t="array" ref="J144">INDEX('Coeff EC7'!$D$33:$Q$33,1,MATCH(D144&amp;E144,'Coeff EC7'!$D$31:$Q$31&amp;'Coeff EC7'!$D$32:$Q$32,0))</f>
        <v>#N/A</v>
      </c>
      <c r="K144" s="91" t="e">
        <f t="array" ref="K144">INDEX('Coeff EC7'!$D$34:$Q$34,1,MATCH(D144&amp;E144,'Coeff EC7'!$D$31:$Q$31&amp;'Coeff EC7'!$D$32:$Q$32,0))</f>
        <v>#N/A</v>
      </c>
      <c r="L144" s="91" t="e">
        <f t="array" ref="L144">INDEX('Coeff EC7'!$D$35:$Q$35,1,MATCH(D144&amp;E144,'Coeff EC7'!$D$31:$Q$31&amp;'Coeff EC7'!$D$32:$Q$32,0))</f>
        <v>#N/A</v>
      </c>
      <c r="M144" s="98" t="e">
        <f t="shared" si="231"/>
        <v>#N/A</v>
      </c>
      <c r="N144" s="99" t="e">
        <f t="array" ref="N144">INDEX('Coeff EC7'!$D$7:$Q$27,MATCH($B$3,'Coeff EC7'!$C$7:$C$27,0),MATCH(D144&amp;E144,'Coeff EC7'!$D$5:$Q$5&amp;'Coeff EC7'!$D$6:$Q$6,0))</f>
        <v>#N/A</v>
      </c>
      <c r="O144" s="99" t="e">
        <f t="array" ref="O144">INDEX('Coeff EC7'!$D$41:$Q$61,MATCH($B$3,'Coeff EC7'!$C$41:$C$61,0),MATCH(D144&amp;E144,'Coeff EC7'!$D$39:$Q$39&amp;'Coeff EC7'!$D$40:$Q$40,0))</f>
        <v>#N/A</v>
      </c>
      <c r="P144" s="30" t="e">
        <f t="shared" si="266"/>
        <v>#N/A</v>
      </c>
      <c r="Q144" s="100" t="e">
        <f t="shared" si="233"/>
        <v>#N/A</v>
      </c>
      <c r="R144" s="86" t="b">
        <f t="shared" si="234"/>
        <v>0</v>
      </c>
      <c r="S144" s="86">
        <f t="shared" si="232"/>
        <v>0.5</v>
      </c>
      <c r="T144" s="86">
        <f t="shared" si="235"/>
        <v>0.5</v>
      </c>
      <c r="U144" s="30" t="e">
        <f t="shared" ca="1" si="267"/>
        <v>#DIV/0!</v>
      </c>
      <c r="V144" s="85" t="str">
        <f>IF(B144&lt;=Hypothèses!$V$7,Hypothèses!$W$7,IF(B144&lt;=Hypothèses!$V$8,Hypothèses!$W$8,IF(B144&lt;=Hypothèses!$V$9,Hypothèses!$W$9,IF(B144&lt;=Hypothèses!$V$10,Hypothèses!$W$10,IF(B144&lt;=Hypothèses!$V$11,Hypothèses!$W$11,IF(B144&lt;=Hypothèses!$V$12,Hypothèses!$W$12,IF(B144&lt;=Hypothèses!$V$13,Hypothèses!$W$13,IF(B144&lt;=Hypothèses!$V$14,Hypothèses!$W$14,IF(B144&lt;=Hypothèses!$V$15,Hypothèses!$W$15,IF(B144&lt;=Hypothèses!$V$16,Hypothèses!$W$16,IF(B144&lt;=Hypothèses!$V$17,Hypothèses!$W$17,IF(B144&lt;=Hypothèses!$V$18,Hypothèses!$W$18,""))))))))))))</f>
        <v/>
      </c>
      <c r="W144" s="87" t="e">
        <f t="shared" ca="1" si="216"/>
        <v>#DIV/0!</v>
      </c>
      <c r="X144" s="88" t="str">
        <f>IF(B144&lt;=Hypothèses!$V$7,Hypothèses!$X$7,IF(B144&lt;=Hypothèses!$V$8,Hypothèses!$X$8,IF(B144&lt;=Hypothèses!$V$9,Hypothèses!$X$9,IF(B144&lt;=Hypothèses!$V$10,Hypothèses!$X$10,IF(B144&lt;=Hypothèses!$V$11,Hypothèses!$X$11,IF(B144&lt;=Hypothèses!$V$12,Hypothèses!$X$12,IF(B144&lt;=Hypothèses!$V$13,Hypothèses!$X$13,IF(B144&lt;=Hypothèses!$V$14,Hypothèses!$X$14,IF(B144&lt;=Hypothèses!$V$15,Hypothèses!$X$15,IF(B144&lt;=Hypothèses!$V$16,Hypothèses!$X$16,IF(B144&lt;=Hypothèses!$U$17,Hypothèses!$W$17,IF(B144&lt;=Hypothèses!$U$18,Hypothèses!$W$18,""))))))))))))</f>
        <v/>
      </c>
      <c r="Y144" s="95" t="e">
        <f t="shared" ca="1" si="236"/>
        <v>#DIV/0!</v>
      </c>
      <c r="Z144" s="101">
        <f t="shared" si="237"/>
        <v>0</v>
      </c>
      <c r="AA144" s="91">
        <f t="shared" si="238"/>
        <v>0</v>
      </c>
      <c r="AB144" s="30" t="e">
        <f t="shared" ref="AB144:AB207" si="300">PI()*AB$12*$Q144*($B144-$B143)/($G144*$B$5)/10+AD143</f>
        <v>#N/A</v>
      </c>
      <c r="AC144" s="30" t="e">
        <f t="shared" ref="AC144:AC207" si="301">(PI()*AC$12*$Q144*($B144-$B143))/($H144*$B$5)/10+AD143</f>
        <v>#N/A</v>
      </c>
      <c r="AD144" s="31" t="e">
        <f>IF(OR(Hypothèses!$B$4=17,Hypothèses!$B$4=18,Hypothèses!$B$4=19,Hypothèses!$B$4=20),
IF($D144="Pressio.",
IF(OR($E144=3,$E144=1,$E144=4),AC144,AB144),
IF($D144="Pénétro.",
IF(OR($E144=3,$E144=1,$E144=4),AC144,AB144))),IF($D144="Pressio.",
IF($E144=3,AC144,AB144),
IF($D144="Pénétro.",
IF($E144=4,AC144,AB144))))</f>
        <v>#N/A</v>
      </c>
      <c r="AE144" s="31">
        <v>0</v>
      </c>
      <c r="AF144" s="102" t="e">
        <f>IF(NDC!$H$10="Oui",(VLOOKUP($B$3,'Coeff EC7'!$T$39:$X$59,2,0)*AD144+VLOOKUP($B$3,'Coeff EC7'!$T$65:$X$85,2,0)*Model0.1T!AE144)/1.5,PI()*AB$12*$Q144*($B144-$B143)*0.15/10+AF143)</f>
        <v>#N/A</v>
      </c>
      <c r="AG144" s="102" t="e">
        <f>(VLOOKUP($B$3,'Coeff EC7'!$T$39:$X$59,3,0)*AD144+VLOOKUP($B$3,'Coeff EC7'!$T$65:$X$85,3,0)*Model0.1T!AE144)/1.1</f>
        <v>#N/A</v>
      </c>
      <c r="AH144" s="102" t="e">
        <f t="shared" si="268"/>
        <v>#N/A</v>
      </c>
      <c r="AI144" s="102" t="e">
        <f t="shared" si="269"/>
        <v>#N/A</v>
      </c>
      <c r="AJ144" s="414" t="e">
        <f>IF(AND(AF144&gt;NDC!$C$63,AG144&gt;NDC!$C$65,AH144&gt;NDC!$D$73,AI144&gt;NDC!$D$74,$B144&gt;NDC!$H$22-0.1+MIN(3*$AJ$12,1.5)),0,1)</f>
        <v>#N/A</v>
      </c>
      <c r="AK144" s="86" t="b">
        <f t="shared" si="239"/>
        <v>0</v>
      </c>
      <c r="AL144" s="86">
        <f t="shared" si="270"/>
        <v>0.5</v>
      </c>
      <c r="AM144" s="86">
        <f t="shared" si="240"/>
        <v>0.5</v>
      </c>
      <c r="AN144" s="30" t="e">
        <f t="shared" ca="1" si="271"/>
        <v>#DIV/0!</v>
      </c>
      <c r="AO144" s="85" t="e">
        <f ca="1">IF(U144&lt;=Hypothèses!$V$7,Hypothèses!$W$7,IF(U144&lt;=Hypothèses!$V$8,Hypothèses!$W$8,IF(U144&lt;=Hypothèses!$V$9,Hypothèses!$W$9,IF(U144&lt;=Hypothèses!$V$10,Hypothèses!$W$10,IF(U144&lt;=Hypothèses!$V$11,Hypothèses!$W$11,IF(U144&lt;=Hypothèses!$V$12,Hypothèses!$W$12,IF(U144&lt;=Hypothèses!$V$13,Hypothèses!$W$13,IF(U144&lt;=Hypothèses!$V$14,Hypothèses!$W$14,IF(U144&lt;=Hypothèses!$V$15,Hypothèses!$W$15,IF(U144&lt;=Hypothèses!$V$16,Hypothèses!$W$16,IF(U144&lt;=Hypothèses!$V$17,Hypothèses!$W$17,IF(U144&lt;=Hypothèses!$V$18,Hypothèses!$W$18,""))))))))))))</f>
        <v>#DIV/0!</v>
      </c>
      <c r="AP144" s="87" t="e">
        <f t="shared" ca="1" si="217"/>
        <v>#DIV/0!</v>
      </c>
      <c r="AQ144" s="88" t="e">
        <f ca="1">IF(U144&lt;=Hypothèses!$V$7,Hypothèses!$X$7,IF(U144&lt;=Hypothèses!$V$8,Hypothèses!$X$8,IF(U144&lt;=Hypothèses!$V$9,Hypothèses!$X$9,IF(U144&lt;=Hypothèses!$V$10,Hypothèses!$X$10,IF(U144&lt;=Hypothèses!$V$11,Hypothèses!$X$11,IF(U144&lt;=Hypothèses!$V$12,Hypothèses!$X$12,IF(U144&lt;=Hypothèses!$V$13,Hypothèses!$X$13,IF(U144&lt;=Hypothèses!$V$14,Hypothèses!$X$14,IF(U144&lt;=Hypothèses!$V$15,Hypothèses!$X$15,IF(U144&lt;=Hypothèses!$V$16,Hypothèses!$X$16,IF(U144&lt;=Hypothèses!$U$17,Hypothèses!$W$17,IF(U144&lt;=Hypothèses!$U$18,Hypothèses!$W$18,""))))))))))))</f>
        <v>#DIV/0!</v>
      </c>
      <c r="AR144" s="95" t="e">
        <f t="shared" ca="1" si="272"/>
        <v>#DIV/0!</v>
      </c>
      <c r="AS144" s="101">
        <f t="shared" si="224"/>
        <v>0</v>
      </c>
      <c r="AT144" s="91">
        <f t="shared" si="241"/>
        <v>0</v>
      </c>
      <c r="AU144" s="30" t="e">
        <f t="shared" ref="AU144:AU207" si="302">PI()*AU$12*$Q144*($B144-$B143)/($G144*$B$5)/10+AW143</f>
        <v>#N/A</v>
      </c>
      <c r="AV144" s="30" t="e">
        <f t="shared" ref="AV144:AV207" si="303">(PI()*AV$12*$Q144*($B144-$B143))/($H144*$B$5)/10+AW143</f>
        <v>#N/A</v>
      </c>
      <c r="AW144" s="31" t="e">
        <f>IF(OR(Hypothèses!$B$4=17,Hypothèses!$B$4=18,Hypothèses!$B$4=19,Hypothèses!$B$4=20),
IF($D144="Pressio.",
IF(OR($E144=3,$E144=1,$E144=4),AV144,AU144),
IF($D144="Pénétro.",
IF(OR($E144=3,$E144=1,$E144=4),AV144,AU144))),IF($D144="Pressio.",
IF($E144=3,AV144,AU144),
IF($D144="Pénétro.",
IF($E144=4,AV144,AU144))))</f>
        <v>#N/A</v>
      </c>
      <c r="AX144" s="31">
        <v>0</v>
      </c>
      <c r="AY144" s="102" t="e">
        <f>IF(NDC!$H$10="Oui",(VLOOKUP($B$3,'Coeff EC7'!$T$39:$X$59,2,0)*AW144+VLOOKUP($B$3,'Coeff EC7'!$T$65:$X$85,2,0)*Model0.1T!AX144)/1.5,PI()*AU$12*$Q144*($B144-$B143)*0.15/10+AY143)</f>
        <v>#N/A</v>
      </c>
      <c r="AZ144" s="102" t="e">
        <f>(VLOOKUP($B$3,'Coeff EC7'!$T$39:$X$59,3,0)*AW144+VLOOKUP($B$3,'Coeff EC7'!$T$65:$X$85,3,0)*Model0.1T!AX144)/1.1</f>
        <v>#N/A</v>
      </c>
      <c r="BA144" s="102" t="e">
        <f t="shared" si="273"/>
        <v>#N/A</v>
      </c>
      <c r="BB144" s="102" t="e">
        <f t="shared" si="274"/>
        <v>#N/A</v>
      </c>
      <c r="BC144" s="414" t="e">
        <f>IF(AND(AY144&gt;NDC!$C$63,AZ144&gt;NDC!$C$65,BA144&gt;NDC!$D$73,BB144&gt;NDC!$D$74,$B144&gt;NDC!$H$22-0.1+MIN(3*BC$12,1.5)),0,1)</f>
        <v>#N/A</v>
      </c>
      <c r="BD144" s="86" t="b">
        <f t="shared" si="242"/>
        <v>0</v>
      </c>
      <c r="BE144" s="86">
        <f t="shared" si="275"/>
        <v>0.5</v>
      </c>
      <c r="BF144" s="86">
        <f t="shared" si="243"/>
        <v>0.5</v>
      </c>
      <c r="BG144" s="30" t="e">
        <f t="shared" ca="1" si="276"/>
        <v>#DIV/0!</v>
      </c>
      <c r="BH144" s="85" t="e">
        <f ca="1">IF(AN144&lt;=Hypothèses!$V$7,Hypothèses!$W$7,IF(AN144&lt;=Hypothèses!$V$8,Hypothèses!$W$8,IF(AN144&lt;=Hypothèses!$V$9,Hypothèses!$W$9,IF(AN144&lt;=Hypothèses!$V$10,Hypothèses!$W$10,IF(AN144&lt;=Hypothèses!$V$11,Hypothèses!$W$11,IF(AN144&lt;=Hypothèses!$V$12,Hypothèses!$W$12,IF(AN144&lt;=Hypothèses!$V$13,Hypothèses!$W$13,IF(AN144&lt;=Hypothèses!$V$14,Hypothèses!$W$14,IF(AN144&lt;=Hypothèses!$V$15,Hypothèses!$W$15,IF(AN144&lt;=Hypothèses!$V$16,Hypothèses!$W$16,IF(AN144&lt;=Hypothèses!$V$17,Hypothèses!$W$17,IF(AN144&lt;=Hypothèses!$V$18,Hypothèses!$W$18,""))))))))))))</f>
        <v>#DIV/0!</v>
      </c>
      <c r="BI144" s="87" t="e">
        <f t="shared" ca="1" si="218"/>
        <v>#DIV/0!</v>
      </c>
      <c r="BJ144" s="88" t="e">
        <f ca="1">IF(AN144&lt;=Hypothèses!$V$7,Hypothèses!$X$7,IF(AN144&lt;=Hypothèses!$V$8,Hypothèses!$X$8,IF(AN144&lt;=Hypothèses!$V$9,Hypothèses!$X$9,IF(AN144&lt;=Hypothèses!$V$10,Hypothèses!$X$10,IF(AN144&lt;=Hypothèses!$V$11,Hypothèses!$X$11,IF(AN144&lt;=Hypothèses!$V$12,Hypothèses!$X$12,IF(AN144&lt;=Hypothèses!$V$13,Hypothèses!$X$13,IF(AN144&lt;=Hypothèses!$V$14,Hypothèses!$X$14,IF(AN144&lt;=Hypothèses!$V$15,Hypothèses!$X$15,IF(AN144&lt;=Hypothèses!$V$16,Hypothèses!$X$16,IF(AN144&lt;=Hypothèses!$U$17,Hypothèses!$W$17,IF(AN144&lt;=Hypothèses!$U$18,Hypothèses!$W$18,""))))))))))))</f>
        <v>#DIV/0!</v>
      </c>
      <c r="BK144" s="95" t="e">
        <f t="shared" ca="1" si="277"/>
        <v>#DIV/0!</v>
      </c>
      <c r="BL144" s="101">
        <f t="shared" si="225"/>
        <v>0</v>
      </c>
      <c r="BM144" s="91">
        <f t="shared" si="244"/>
        <v>0</v>
      </c>
      <c r="BN144" s="30" t="e">
        <f t="shared" ref="BN144:BN207" si="304">PI()*BN$12*$Q144*($B144-$B143)/($G144*$B$5)/10+BP143</f>
        <v>#N/A</v>
      </c>
      <c r="BO144" s="30" t="e">
        <f t="shared" ref="BO144:BO207" si="305">(PI()*BO$12*$Q144*($B144-$B143))/($H144*$B$5)/10+BP143</f>
        <v>#N/A</v>
      </c>
      <c r="BP144" s="31" t="e">
        <f>IF(OR(Hypothèses!$B$4=17,Hypothèses!$B$4=18,Hypothèses!$B$4=19,Hypothèses!$B$4=20),
IF($D144="Pressio.",
IF(OR($E144=3,$E144=1,$E144=4),BO144,BN144),
IF($D144="Pénétro.",
IF(OR($E144=3,$E144=1,$E144=4),BO144,BN144))),IF($D144="Pressio.",
IF($E144=3,BO144,BN144),
IF($D144="Pénétro.",
IF($E144=4,BO144,BN144))))</f>
        <v>#N/A</v>
      </c>
      <c r="BQ144" s="31">
        <v>0</v>
      </c>
      <c r="BR144" s="102" t="e">
        <f>IF(NDC!$H$10="Oui",(VLOOKUP($B$3,'Coeff EC7'!$T$39:$X$59,2,0)*BP144+VLOOKUP($B$3,'Coeff EC7'!$T$65:$X$85,2,0)*Model0.1T!BQ144)/1.5,PI()*BN$12*$Q144*($B144-$B143)*0.15/10+BR143)</f>
        <v>#N/A</v>
      </c>
      <c r="BS144" s="102" t="e">
        <f>(VLOOKUP($B$3,'Coeff EC7'!$T$39:$X$59,3,0)*BP144+VLOOKUP($B$3,'Coeff EC7'!$T$65:$X$85,3,0)*Model0.1T!BQ144)/1.1</f>
        <v>#N/A</v>
      </c>
      <c r="BT144" s="102" t="e">
        <f t="shared" si="278"/>
        <v>#N/A</v>
      </c>
      <c r="BU144" s="102" t="e">
        <f t="shared" si="279"/>
        <v>#N/A</v>
      </c>
      <c r="BV144" s="414" t="e">
        <f>IF(AND(BR144&gt;NDC!$C$63,BS144&gt;NDC!$C$65,BT144&gt;NDC!$D$73,BU144&gt;NDC!$D$74,$B144&gt;NDC!$H$22-0.1+MIN(3*BV$12,1.5)),0,1)</f>
        <v>#N/A</v>
      </c>
      <c r="BW144" s="86" t="b">
        <f t="shared" si="245"/>
        <v>0</v>
      </c>
      <c r="BX144" s="86">
        <f t="shared" si="246"/>
        <v>0.5</v>
      </c>
      <c r="BY144" s="86">
        <f t="shared" si="247"/>
        <v>0.5</v>
      </c>
      <c r="BZ144" s="30" t="e">
        <f t="shared" ca="1" si="280"/>
        <v>#DIV/0!</v>
      </c>
      <c r="CA144" s="85" t="e">
        <f ca="1">IF(BG144&lt;=Hypothèses!$V$7,Hypothèses!$W$7,IF(BG144&lt;=Hypothèses!$V$8,Hypothèses!$W$8,IF(BG144&lt;=Hypothèses!$V$9,Hypothèses!$W$9,IF(BG144&lt;=Hypothèses!$V$10,Hypothèses!$W$10,IF(BG144&lt;=Hypothèses!$V$11,Hypothèses!$W$11,IF(BG144&lt;=Hypothèses!$V$12,Hypothèses!$W$12,IF(BG144&lt;=Hypothèses!$V$13,Hypothèses!$W$13,IF(BG144&lt;=Hypothèses!$V$14,Hypothèses!$W$14,IF(BG144&lt;=Hypothèses!$V$15,Hypothèses!$W$15,IF(BG144&lt;=Hypothèses!$V$16,Hypothèses!$W$16,IF(BG144&lt;=Hypothèses!$V$17,Hypothèses!$W$17,IF(BG144&lt;=Hypothèses!$V$18,Hypothèses!$W$18,""))))))))))))</f>
        <v>#DIV/0!</v>
      </c>
      <c r="CB144" s="87" t="e">
        <f t="shared" ca="1" si="219"/>
        <v>#DIV/0!</v>
      </c>
      <c r="CC144" s="88" t="e">
        <f ca="1">IF(BG144&lt;=Hypothèses!$V$7,Hypothèses!$X$7,IF(BG144&lt;=Hypothèses!$V$8,Hypothèses!$X$8,IF(BG144&lt;=Hypothèses!$V$9,Hypothèses!$X$9,IF(BG144&lt;=Hypothèses!$V$10,Hypothèses!$X$10,IF(BG144&lt;=Hypothèses!$V$11,Hypothèses!$X$11,IF(BG144&lt;=Hypothèses!$V$12,Hypothèses!$X$12,IF(BG144&lt;=Hypothèses!$V$13,Hypothèses!$X$13,IF(BG144&lt;=Hypothèses!$V$14,Hypothèses!$X$14,IF(BG144&lt;=Hypothèses!$V$15,Hypothèses!$X$15,IF(BG144&lt;=Hypothèses!$V$16,Hypothèses!$X$16,IF(BG144&lt;=Hypothèses!$U$17,Hypothèses!$W$17,IF(BG144&lt;=Hypothèses!$U$18,Hypothèses!$W$18,""))))))))))))</f>
        <v>#DIV/0!</v>
      </c>
      <c r="CD144" s="95" t="e">
        <f t="shared" ca="1" si="281"/>
        <v>#DIV/0!</v>
      </c>
      <c r="CE144" s="101">
        <f t="shared" si="226"/>
        <v>0</v>
      </c>
      <c r="CF144" s="91">
        <f t="shared" si="248"/>
        <v>0</v>
      </c>
      <c r="CG144" s="30" t="e">
        <f t="shared" ref="CG144:CG207" si="306">PI()*CG$12*$Q144*($B144-$B143)/($G144*$B$5)/10+CI143</f>
        <v>#N/A</v>
      </c>
      <c r="CH144" s="30" t="e">
        <f t="shared" ref="CH144:CH207" si="307">(PI()*CH$12*$Q144*($B144-$B143))/($H144*$B$5)/10+CI143</f>
        <v>#N/A</v>
      </c>
      <c r="CI144" s="31" t="e">
        <f>IF(OR(Hypothèses!$B$4=17,Hypothèses!$B$4=18,Hypothèses!$B$4=19,Hypothèses!$B$4=20),
IF($D144="Pressio.",
IF(OR($E144=3,$E144=1,$E144=4),CH144,CG144),
IF($D144="Pénétro.",
IF(OR($E144=3,$E144=1,$E144=4),CH144,CG144))),IF($D144="Pressio.",
IF($E144=3,CH144,CG144),
IF($D144="Pénétro.",
IF($E144=4,CH144,CG144))))</f>
        <v>#N/A</v>
      </c>
      <c r="CJ144" s="31">
        <v>0</v>
      </c>
      <c r="CK144" s="102" t="e">
        <f>IF(NDC!$H$10="Oui",(VLOOKUP($B$3,'Coeff EC7'!$T$39:$X$59,2,0)*CI144+VLOOKUP($B$3,'Coeff EC7'!$T$65:$X$85,2,0)*Model0.1T!CJ144)/1.5,PI()*CG$12*$Q144*($B144-$B143)*0.15/10+CK143)</f>
        <v>#N/A</v>
      </c>
      <c r="CL144" s="102" t="e">
        <f>(VLOOKUP($B$3,'Coeff EC7'!$T$39:$X$59,3,0)*CI144+VLOOKUP($B$3,'Coeff EC7'!$T$65:$X$85,3,0)*Model0.1T!CJ144)/1.1</f>
        <v>#N/A</v>
      </c>
      <c r="CM144" s="102" t="e">
        <f t="shared" si="282"/>
        <v>#N/A</v>
      </c>
      <c r="CN144" s="102" t="e">
        <f t="shared" si="283"/>
        <v>#N/A</v>
      </c>
      <c r="CO144" s="414" t="e">
        <f>IF(AND(CK144&gt;NDC!$C$63,CL144&gt;NDC!$C$65,CM144&gt;NDC!$D$73,CN144&gt;NDC!$D$74,$B144&gt;NDC!$H$22-0.1+MIN(3*CO$12,1.5)),0,1)</f>
        <v>#N/A</v>
      </c>
      <c r="CP144" s="86" t="b">
        <f t="shared" si="249"/>
        <v>0</v>
      </c>
      <c r="CQ144" s="86">
        <f t="shared" si="250"/>
        <v>0.5</v>
      </c>
      <c r="CR144" s="86">
        <f t="shared" si="251"/>
        <v>0.5</v>
      </c>
      <c r="CS144" s="30" t="e">
        <f t="shared" ca="1" si="284"/>
        <v>#DIV/0!</v>
      </c>
      <c r="CT144" s="85" t="e">
        <f ca="1">IF(BZ144&lt;=Hypothèses!$V$7,Hypothèses!$W$7,IF(BZ144&lt;=Hypothèses!$V$8,Hypothèses!$W$8,IF(BZ144&lt;=Hypothèses!$V$9,Hypothèses!$W$9,IF(BZ144&lt;=Hypothèses!$V$10,Hypothèses!$W$10,IF(BZ144&lt;=Hypothèses!$V$11,Hypothèses!$W$11,IF(BZ144&lt;=Hypothèses!$V$12,Hypothèses!$W$12,IF(BZ144&lt;=Hypothèses!$V$13,Hypothèses!$W$13,IF(BZ144&lt;=Hypothèses!$V$14,Hypothèses!$W$14,IF(BZ144&lt;=Hypothèses!$V$15,Hypothèses!$W$15,IF(BZ144&lt;=Hypothèses!$V$16,Hypothèses!$W$16,IF(BZ144&lt;=Hypothèses!$V$17,Hypothèses!$W$17,IF(BZ144&lt;=Hypothèses!$V$18,Hypothèses!$W$18,""))))))))))))</f>
        <v>#DIV/0!</v>
      </c>
      <c r="CU144" s="87" t="e">
        <f t="shared" ca="1" si="220"/>
        <v>#DIV/0!</v>
      </c>
      <c r="CV144" s="88" t="e">
        <f ca="1">IF(BZ144&lt;=Hypothèses!$V$7,Hypothèses!$X$7,IF(BZ144&lt;=Hypothèses!$V$8,Hypothèses!$X$8,IF(BZ144&lt;=Hypothèses!$V$9,Hypothèses!$X$9,IF(BZ144&lt;=Hypothèses!$V$10,Hypothèses!$X$10,IF(BZ144&lt;=Hypothèses!$V$11,Hypothèses!$X$11,IF(BZ144&lt;=Hypothèses!$V$12,Hypothèses!$X$12,IF(BZ144&lt;=Hypothèses!$V$13,Hypothèses!$X$13,IF(BZ144&lt;=Hypothèses!$V$14,Hypothèses!$X$14,IF(BZ144&lt;=Hypothèses!$V$15,Hypothèses!$X$15,IF(BZ144&lt;=Hypothèses!$V$16,Hypothèses!$X$16,IF(BZ144&lt;=Hypothèses!$U$17,Hypothèses!$W$17,IF(BZ144&lt;=Hypothèses!$U$18,Hypothèses!$W$18,""))))))))))))</f>
        <v>#DIV/0!</v>
      </c>
      <c r="CW144" s="95" t="e">
        <f t="shared" ca="1" si="285"/>
        <v>#DIV/0!</v>
      </c>
      <c r="CX144" s="101">
        <f t="shared" si="227"/>
        <v>0</v>
      </c>
      <c r="CY144" s="91">
        <f t="shared" si="252"/>
        <v>0</v>
      </c>
      <c r="CZ144" s="30" t="e">
        <f t="shared" ref="CZ144:CZ207" si="308">PI()*CZ$12*$Q144*($B144-$B143)/($G144*$B$5)/10+DB143</f>
        <v>#N/A</v>
      </c>
      <c r="DA144" s="30" t="e">
        <f t="shared" ref="DA144:DA207" si="309">(PI()*DA$12*$Q144*($B144-$B143))/($H144*$B$5)/10+DB143</f>
        <v>#N/A</v>
      </c>
      <c r="DB144" s="31" t="e">
        <f>IF(OR(Hypothèses!$B$4=17,Hypothèses!$B$4=18,Hypothèses!$B$4=19,Hypothèses!$B$4=20),
IF($D144="Pressio.",
IF(OR($E144=3,$E144=1,$E144=4),DA144,CZ144),
IF($D144="Pénétro.",
IF(OR($E144=3,$E144=1,$E144=4),DA144,CZ144))),IF($D144="Pressio.",
IF($E144=3,DA144,CZ144),
IF($D144="Pénétro.",
IF($E144=4,DA144,CZ144))))</f>
        <v>#N/A</v>
      </c>
      <c r="DC144" s="31">
        <v>0</v>
      </c>
      <c r="DD144" s="102" t="e">
        <f>IF(NDC!$H$10="Oui",(VLOOKUP($B$3,'Coeff EC7'!$T$39:$X$59,2,0)*DB144+VLOOKUP($B$3,'Coeff EC7'!$T$65:$X$85,2,0)*Model0.1T!DC144)/1.5,PI()*CZ$12*$Q144*($B144-$B143)*0.15/10+DD143)</f>
        <v>#N/A</v>
      </c>
      <c r="DE144" s="102" t="e">
        <f>(VLOOKUP($B$3,'Coeff EC7'!$T$39:$X$59,3,0)*DB144+VLOOKUP($B$3,'Coeff EC7'!$T$65:$X$85,3,0)*Model0.1T!DC144)/1.1</f>
        <v>#N/A</v>
      </c>
      <c r="DF144" s="102" t="e">
        <f t="shared" si="286"/>
        <v>#N/A</v>
      </c>
      <c r="DG144" s="102" t="e">
        <f t="shared" si="287"/>
        <v>#N/A</v>
      </c>
      <c r="DH144" s="414" t="e">
        <f>IF(AND(DD144&gt;NDC!$C$63,DE144&gt;NDC!$C$65,DF144&gt;NDC!$D$73,DG144&gt;NDC!$D$74,$B144&gt;NDC!$H$22-0.1+MIN(3*DH$12,1.5)),0,1)</f>
        <v>#N/A</v>
      </c>
      <c r="DI144" s="86" t="b">
        <f t="shared" si="253"/>
        <v>0</v>
      </c>
      <c r="DJ144" s="86">
        <f t="shared" si="254"/>
        <v>0.5</v>
      </c>
      <c r="DK144" s="86">
        <f t="shared" si="255"/>
        <v>0.5</v>
      </c>
      <c r="DL144" s="30" t="e">
        <f t="shared" ca="1" si="288"/>
        <v>#DIV/0!</v>
      </c>
      <c r="DM144" s="85" t="e">
        <f ca="1">IF(CS144&lt;=Hypothèses!$V$7,Hypothèses!$W$7,IF(CS144&lt;=Hypothèses!$V$8,Hypothèses!$W$8,IF(CS144&lt;=Hypothèses!$V$9,Hypothèses!$W$9,IF(CS144&lt;=Hypothèses!$V$10,Hypothèses!$W$10,IF(CS144&lt;=Hypothèses!$V$11,Hypothèses!$W$11,IF(CS144&lt;=Hypothèses!$V$12,Hypothèses!$W$12,IF(CS144&lt;=Hypothèses!$V$13,Hypothèses!$W$13,IF(CS144&lt;=Hypothèses!$V$14,Hypothèses!$W$14,IF(CS144&lt;=Hypothèses!$V$15,Hypothèses!$W$15,IF(CS144&lt;=Hypothèses!$V$16,Hypothèses!$W$16,IF(CS144&lt;=Hypothèses!$V$17,Hypothèses!$W$17,IF(CS144&lt;=Hypothèses!$V$18,Hypothèses!$W$18,""))))))))))))</f>
        <v>#DIV/0!</v>
      </c>
      <c r="DN144" s="87" t="e">
        <f t="shared" ca="1" si="221"/>
        <v>#DIV/0!</v>
      </c>
      <c r="DO144" s="88" t="e">
        <f ca="1">IF(CS144&lt;=Hypothèses!$V$7,Hypothèses!$X$7,IF(CS144&lt;=Hypothèses!$V$8,Hypothèses!$X$8,IF(CS144&lt;=Hypothèses!$V$9,Hypothèses!$X$9,IF(CS144&lt;=Hypothèses!$V$10,Hypothèses!$X$10,IF(CS144&lt;=Hypothèses!$V$11,Hypothèses!$X$11,IF(CS144&lt;=Hypothèses!$V$12,Hypothèses!$X$12,IF(CS144&lt;=Hypothèses!$V$13,Hypothèses!$X$13,IF(CS144&lt;=Hypothèses!$V$14,Hypothèses!$X$14,IF(CS144&lt;=Hypothèses!$V$15,Hypothèses!$X$15,IF(CS144&lt;=Hypothèses!$V$16,Hypothèses!$X$16,IF(CS144&lt;=Hypothèses!$U$17,Hypothèses!$W$17,IF(CS144&lt;=Hypothèses!$U$18,Hypothèses!$W$18,""))))))))))))</f>
        <v>#DIV/0!</v>
      </c>
      <c r="DP144" s="95" t="e">
        <f t="shared" ca="1" si="289"/>
        <v>#DIV/0!</v>
      </c>
      <c r="DQ144" s="101">
        <f t="shared" si="228"/>
        <v>0</v>
      </c>
      <c r="DR144" s="91">
        <f t="shared" si="256"/>
        <v>0</v>
      </c>
      <c r="DS144" s="30" t="e">
        <f t="shared" ref="DS144:DS207" si="310">PI()*DS$12*$Q144*($B144-$B143)/($G144*$B$5)/10+DU143</f>
        <v>#N/A</v>
      </c>
      <c r="DT144" s="30" t="e">
        <f t="shared" ref="DT144:DT207" si="311">(PI()*DT$12*$Q144*($B144-$B143))/($H144*$B$5)/10+DU143</f>
        <v>#N/A</v>
      </c>
      <c r="DU144" s="31" t="e">
        <f>IF(OR(Hypothèses!$B$4=17,Hypothèses!$B$4=18,Hypothèses!$B$4=19,Hypothèses!$B$4=20),
IF($D144="Pressio.",
IF(OR($E144=3,$E144=1,$E144=4),DT144,DS144),
IF($D144="Pénétro.",
IF(OR($E144=3,$E144=1,$E144=4),DT144,DS144))),IF($D144="Pressio.",
IF($E144=3,DT144,DS144),
IF($D144="Pénétro.",
IF($E144=4,DT144,DS144))))</f>
        <v>#N/A</v>
      </c>
      <c r="DV144" s="31">
        <v>0</v>
      </c>
      <c r="DW144" s="102" t="e">
        <f>IF(NDC!$H$10="Oui",(VLOOKUP($B$3,'Coeff EC7'!$T$39:$X$59,2,0)*DU144+VLOOKUP($B$3,'Coeff EC7'!$T$65:$X$85,2,0)*Model0.1T!DV144)/1.5,PI()*DS$12*$Q144*($B144-$B143)*0.15/10+DW143)</f>
        <v>#N/A</v>
      </c>
      <c r="DX144" s="102" t="e">
        <f>(VLOOKUP($B$3,'Coeff EC7'!$T$39:$X$59,3,0)*DU144+VLOOKUP($B$3,'Coeff EC7'!$T$65:$X$85,3,0)*Model0.1T!DV144)/1.1</f>
        <v>#N/A</v>
      </c>
      <c r="DY144" s="102" t="e">
        <f t="shared" si="290"/>
        <v>#N/A</v>
      </c>
      <c r="DZ144" s="102" t="e">
        <f t="shared" si="291"/>
        <v>#N/A</v>
      </c>
      <c r="EA144" s="414" t="e">
        <f>IF(AND(DW144&gt;NDC!$C$63,DX144&gt;NDC!$C$65,DY144&gt;NDC!$D$73,DZ144&gt;NDC!$D$74,$B144&gt;NDC!$H$22-0.1+MIN(3*EA$12,1.5)),0,1)</f>
        <v>#N/A</v>
      </c>
      <c r="EB144" s="86" t="b">
        <f t="shared" si="257"/>
        <v>0</v>
      </c>
      <c r="EC144" s="418">
        <f t="shared" si="258"/>
        <v>0.51</v>
      </c>
      <c r="ED144" s="86">
        <f t="shared" si="259"/>
        <v>0.51</v>
      </c>
      <c r="EE144" s="30" t="e">
        <f t="shared" ca="1" si="292"/>
        <v>#DIV/0!</v>
      </c>
      <c r="EF144" s="85" t="e">
        <f ca="1">IF(DL144&lt;=Hypothèses!$V$7,Hypothèses!$W$7,IF(DL144&lt;=Hypothèses!$V$8,Hypothèses!$W$8,IF(DL144&lt;=Hypothèses!$V$9,Hypothèses!$W$9,IF(DL144&lt;=Hypothèses!$V$10,Hypothèses!$W$10,IF(DL144&lt;=Hypothèses!$V$11,Hypothèses!$W$11,IF(DL144&lt;=Hypothèses!$V$12,Hypothèses!$W$12,IF(DL144&lt;=Hypothèses!$V$13,Hypothèses!$W$13,IF(DL144&lt;=Hypothèses!$V$14,Hypothèses!$W$14,IF(DL144&lt;=Hypothèses!$V$15,Hypothèses!$W$15,IF(DL144&lt;=Hypothèses!$V$16,Hypothèses!$W$16,IF(DL144&lt;=Hypothèses!$V$17,Hypothèses!$W$17,IF(DL144&lt;=Hypothèses!$V$18,Hypothèses!$W$18,""))))))))))))</f>
        <v>#DIV/0!</v>
      </c>
      <c r="EG144" s="87" t="e">
        <f t="shared" ca="1" si="222"/>
        <v>#DIV/0!</v>
      </c>
      <c r="EH144" s="88" t="e">
        <f ca="1">IF(DL144&lt;=Hypothèses!$V$7,Hypothèses!$X$7,IF(DL144&lt;=Hypothèses!$V$8,Hypothèses!$X$8,IF(DL144&lt;=Hypothèses!$V$9,Hypothèses!$X$9,IF(DL144&lt;=Hypothèses!$V$10,Hypothèses!$X$10,IF(DL144&lt;=Hypothèses!$V$11,Hypothèses!$X$11,IF(DL144&lt;=Hypothèses!$V$12,Hypothèses!$X$12,IF(DL144&lt;=Hypothèses!$V$13,Hypothèses!$X$13,IF(DL144&lt;=Hypothèses!$V$14,Hypothèses!$X$14,IF(DL144&lt;=Hypothèses!$V$15,Hypothèses!$X$15,IF(DL144&lt;=Hypothèses!$V$16,Hypothèses!$X$16,IF(DL144&lt;=Hypothèses!$U$17,Hypothèses!$W$17,IF(DL144&lt;=Hypothèses!$U$18,Hypothèses!$W$18,""))))))))))))</f>
        <v>#DIV/0!</v>
      </c>
      <c r="EI144" s="95" t="e">
        <f t="shared" ca="1" si="293"/>
        <v>#DIV/0!</v>
      </c>
      <c r="EJ144" s="101">
        <f t="shared" si="229"/>
        <v>0</v>
      </c>
      <c r="EK144" s="91">
        <f t="shared" si="260"/>
        <v>0</v>
      </c>
      <c r="EL144" s="30" t="e">
        <f t="shared" ref="EL144:EL207" si="312">PI()*EL$12*$Q144*($B144-$B143)/($G144*$B$5)/10+EN143</f>
        <v>#N/A</v>
      </c>
      <c r="EM144" s="30" t="e">
        <f t="shared" ref="EM144:EM207" si="313">(PI()*EM$12*$Q144*($B144-$B143))/($H144*$B$5)/10+EN143</f>
        <v>#N/A</v>
      </c>
      <c r="EN144" s="31" t="e">
        <f>IF(OR(Hypothèses!$B$4=17,Hypothèses!$B$4=18,Hypothèses!$B$4=19,Hypothèses!$B$4=20),
IF($D144="Pressio.",
IF(OR($E144=3,$E144=1,$E144=4),EM144,EL144),
IF($D144="Pénétro.",
IF(OR($E144=3,$E144=1,$E144=4),EM144,EL144))),IF($D144="Pressio.",
IF($E144=3,EM144,EL144),
IF($D144="Pénétro.",
IF($E144=4,EM144,EL144))))</f>
        <v>#N/A</v>
      </c>
      <c r="EO144" s="31">
        <v>0</v>
      </c>
      <c r="EP144" s="102" t="e">
        <f>IF(NDC!$H$10="Oui",(VLOOKUP($B$3,'Coeff EC7'!$T$39:$X$59,2,0)*EN144+VLOOKUP($B$3,'Coeff EC7'!$T$65:$X$85,2,0)*Model0.1T!EO144)/1.5,PI()*EL$12*$Q144*($B144-$B143)*0.15/10+EP143)</f>
        <v>#N/A</v>
      </c>
      <c r="EQ144" s="102" t="e">
        <f>(VLOOKUP($B$3,'Coeff EC7'!$T$39:$X$59,3,0)*EN144+VLOOKUP($B$3,'Coeff EC7'!$T$65:$X$85,3,0)*Model0.1T!EO144)/1.1</f>
        <v>#N/A</v>
      </c>
      <c r="ER144" s="102" t="e">
        <f t="shared" si="294"/>
        <v>#N/A</v>
      </c>
      <c r="ES144" s="102" t="e">
        <f t="shared" si="295"/>
        <v>#N/A</v>
      </c>
      <c r="ET144" s="414" t="e">
        <f>IF(AND(EP144&gt;NDC!$C$63,EQ144&gt;NDC!$C$65,ER144&gt;NDC!$D$73,ES144&gt;NDC!$D$74,$B144&gt;NDC!$H$22-0.1+MIN(3*ET$12,1.5)),0,1)</f>
        <v>#N/A</v>
      </c>
      <c r="EU144" s="86" t="b">
        <f t="shared" si="261"/>
        <v>0</v>
      </c>
      <c r="EV144" s="86">
        <f t="shared" si="262"/>
        <v>0.61</v>
      </c>
      <c r="EW144" s="86">
        <f t="shared" si="263"/>
        <v>0.61</v>
      </c>
      <c r="EX144" s="30" t="e">
        <f t="shared" ca="1" si="296"/>
        <v>#DIV/0!</v>
      </c>
      <c r="EY144" s="85" t="e">
        <f ca="1">IF(EE144&lt;=Hypothèses!$V$7,Hypothèses!$W$7,IF(EE144&lt;=Hypothèses!$V$8,Hypothèses!$W$8,IF(EE144&lt;=Hypothèses!$V$9,Hypothèses!$W$9,IF(EE144&lt;=Hypothèses!$V$10,Hypothèses!$W$10,IF(EE144&lt;=Hypothèses!$V$11,Hypothèses!$W$11,IF(EE144&lt;=Hypothèses!$V$12,Hypothèses!$W$12,IF(EE144&lt;=Hypothèses!$V$13,Hypothèses!$W$13,IF(EE144&lt;=Hypothèses!$V$14,Hypothèses!$W$14,IF(EE144&lt;=Hypothèses!$V$15,Hypothèses!$W$15,IF(EE144&lt;=Hypothèses!$V$16,Hypothèses!$W$16,IF(EE144&lt;=Hypothèses!$V$17,Hypothèses!$W$17,IF(EE144&lt;=Hypothèses!$V$18,Hypothèses!$W$18,""))))))))))))</f>
        <v>#DIV/0!</v>
      </c>
      <c r="EZ144" s="87" t="e">
        <f t="shared" ca="1" si="223"/>
        <v>#DIV/0!</v>
      </c>
      <c r="FA144" s="88" t="e">
        <f ca="1">IF(EE144&lt;=Hypothèses!$V$7,Hypothèses!$X$7,IF(EE144&lt;=Hypothèses!$V$8,Hypothèses!$X$8,IF(EE144&lt;=Hypothèses!$V$9,Hypothèses!$X$9,IF(EE144&lt;=Hypothèses!$V$10,Hypothèses!$X$10,IF(EE144&lt;=Hypothèses!$V$11,Hypothèses!$X$11,IF(EE144&lt;=Hypothèses!$V$12,Hypothèses!$X$12,IF(EE144&lt;=Hypothèses!$V$13,Hypothèses!$X$13,IF(EE144&lt;=Hypothèses!$V$14,Hypothèses!$X$14,IF(EE144&lt;=Hypothèses!$V$15,Hypothèses!$X$15,IF(EE144&lt;=Hypothèses!$V$16,Hypothèses!$X$16,IF(EE144&lt;=Hypothèses!$U$17,Hypothèses!$W$17,IF(EE144&lt;=Hypothèses!$U$18,Hypothèses!$W$18,""))))))))))))</f>
        <v>#DIV/0!</v>
      </c>
      <c r="FB144" s="95" t="e">
        <f t="shared" ca="1" si="297"/>
        <v>#DIV/0!</v>
      </c>
      <c r="FC144" s="101">
        <f t="shared" si="230"/>
        <v>0</v>
      </c>
      <c r="FD144" s="91">
        <f t="shared" si="264"/>
        <v>0</v>
      </c>
      <c r="FE144" s="30" t="e">
        <f t="shared" ref="FE144:FE207" si="314">PI()*FE$12*$Q144*($B144-$B143)/($G144*$B$5)/10+FG143</f>
        <v>#N/A</v>
      </c>
      <c r="FF144" s="30" t="e">
        <f t="shared" ref="FF144:FF207" si="315">(PI()*FF$12*$Q144*($B144-$B143))/($H144*$B$5)/10+FG143</f>
        <v>#N/A</v>
      </c>
      <c r="FG144" s="31" t="e">
        <f>IF(OR(Hypothèses!$B$4=17,Hypothèses!$B$4=18,Hypothèses!$B$4=19,Hypothèses!$B$4=20),
IF($D144="Pressio.",
IF(OR($E144=3,$E144=1,$E144=4),FF144,FE144),
IF($D144="Pénétro.",
IF(OR($E144=3,$E144=1,$E144=4),FF144,FE144))),IF($D144="Pressio.",
IF($E144=3,FF144,FE144),
IF($D144="Pénétro.",
IF($E144=4,FF144,FE144))))</f>
        <v>#N/A</v>
      </c>
      <c r="FH144" s="31">
        <v>0</v>
      </c>
      <c r="FI144" s="102" t="e">
        <f>IF(NDC!$H$10="Oui",(VLOOKUP($B$3,'Coeff EC7'!$T$39:$X$59,2,0)*FG144+VLOOKUP($B$3,'Coeff EC7'!$T$65:$X$85,2,0)*Model0.1T!FH144)/1.5,PI()*FE$12*$Q144*($B144-$B143)*0.15/10+FI143)</f>
        <v>#N/A</v>
      </c>
      <c r="FJ144" s="102" t="e">
        <f>(VLOOKUP($B$3,'Coeff EC7'!$T$39:$X$59,3,0)*FG144+VLOOKUP($B$3,'Coeff EC7'!$T$65:$X$85,3,0)*Model0.1T!FH144)/1.1</f>
        <v>#N/A</v>
      </c>
      <c r="FK144" s="102" t="e">
        <f t="shared" si="298"/>
        <v>#N/A</v>
      </c>
      <c r="FL144" s="102" t="e">
        <f t="shared" si="299"/>
        <v>#N/A</v>
      </c>
      <c r="FM144" s="414" t="e">
        <f>IF(AND(FI144&gt;NDC!$C$63,FJ144&gt;NDC!$C$65,FK144&gt;NDC!$D$73,FL144&gt;NDC!$D$74,$B144&gt;NDC!$H$22-0.1+MIN(3*FM$12,1.5)),0,1)</f>
        <v>#N/A</v>
      </c>
    </row>
    <row r="145" spans="1:169">
      <c r="A145" s="96">
        <f t="shared" si="265"/>
        <v>86.80000000000075</v>
      </c>
      <c r="B145" s="97">
        <v>13.2</v>
      </c>
      <c r="C145" s="81">
        <f>IF(B145&lt;=Hypothèses!$C$7,Hypothèses!$A$7,IF(B145&lt;=Hypothèses!$C$8,Hypothèses!$A$8,IF(B145&lt;=Hypothèses!$C$9,Hypothèses!$A$9,IF(B145&lt;=Hypothèses!$C$10,Hypothèses!$A$10,IF(B145&lt;=Hypothèses!$C$11,Hypothèses!$A$11,IF(B145&lt;=Hypothèses!$C$12,Hypothèses!$A$12,IF(B145&lt;=Hypothèses!$C$13,Hypothèses!$A$13,IF(B145&lt;=Hypothèses!$C$14,Hypothèses!$A$14,IF(B145&lt;=Hypothèses!$C$15,Hypothèses!$A$15,IF(B145&lt;=Hypothèses!$C$16,Hypothèses!$A$16,IF(B145&lt;=Hypothèses!$C$17,Hypothèses!$A$17,IF(B145&lt;=Hypothèses!$C$18,Hypothèses!$A$18,C144))))))))))))</f>
        <v>11</v>
      </c>
      <c r="D145" s="82" t="str">
        <f>IF(B145&lt;=Hypothèses!$C$7,Hypothèses!$R$7,IF(B145&lt;=Hypothèses!$C$8,Hypothèses!$R$8,IF(B145&lt;=Hypothèses!$C$9,Hypothèses!$R$9,IF(B145&lt;=Hypothèses!$C$10,Hypothèses!$R$10,IF(B145&lt;=Hypothèses!$C$11,Hypothèses!$R$11,IF(B145&lt;=Hypothèses!$C$12,Hypothèses!$R$12,IF(B145&lt;=Hypothèses!$C$13,Hypothèses!$R$13,IF(B145&lt;=Hypothèses!$C$14,Hypothèses!$R$14,IF(B145&lt;=Hypothèses!$C$15,Hypothèses!$R$15,IF(B145&lt;=Hypothèses!$C$16,Hypothèses!$R$16,IF(B145&lt;=Hypothèses!$C$17,Hypothèses!$R$17,IF(B145&lt;=Hypothèses!$C$18,Hypothèses!$R$18,D144))))))))))))</f>
        <v>Pressio.</v>
      </c>
      <c r="E145" s="82" t="e">
        <f>IF(B145&lt;=Hypothèses!$C$7,Hypothèses!$G$7,IF(B145&lt;=Hypothèses!$C$8,Hypothèses!$G$8,IF(B145&lt;=Hypothèses!$C$9,Hypothèses!$G$9,IF(B145&lt;=Hypothèses!$C$10,Hypothèses!$G$10,IF(B145&lt;=Hypothèses!$C$11,Hypothèses!$G$11,IF(B145&lt;=Hypothèses!$C$12,Hypothèses!$G$12,IF(B145&lt;=Hypothèses!$C$13,Hypothèses!$G$13,IF(B145&lt;=Hypothèses!$C$14,Hypothèses!$G$14,IF(B145&lt;=Hypothèses!$C$15,Hypothèses!$G$15,IF(B145&lt;=Hypothèses!$C$16,Hypothèses!$G$16,IF(B145&lt;=Hypothèses!$C$17,Hypothèses!$G$17,IF(B145&lt;=Hypothèses!$C$18,Hypothèses!$G$18,E144))))))))))))</f>
        <v>#N/A</v>
      </c>
      <c r="F145" s="82" t="str">
        <f>IF(B145&lt;=Hypothèses!$C$7,Hypothèses!$F$7,IF(B145&lt;=Hypothèses!$C$8,Hypothèses!$F$8,IF(B145&lt;=Hypothèses!$C$9,Hypothèses!$F$9,IF(B145&lt;=Hypothèses!$C$10,Hypothèses!$F$10,IF(B145&lt;=Hypothèses!$C$11,Hypothèses!$F$11,IF(B145&lt;=Hypothèses!$C$12,Hypothèses!$F$12,IF(B145&lt;=Hypothèses!$C$13,Hypothèses!$F$13,IF(B145&lt;=Hypothèses!$C$14,Hypothèses!$F$14,IF(B145&lt;=Hypothèses!$C$15,Hypothèses!$F$15,IF(B145&lt;=Hypothèses!$C$16,Hypothèses!$F$16,IF(B145&lt;=Hypothèses!$C$17,Hypothèses!$F$17,IF(B145&lt;=Hypothèses!$C$18,Hypothèses!$F$18,F144))))))))))))</f>
        <v/>
      </c>
      <c r="G145" s="91">
        <f t="array" ref="G145">INDEX('Coeff EC7'!$U$7:$X$27,
MATCH(Model0.1T!$B$3,'Coeff EC7'!$T$7:$T$27,0),
MATCH(Model0.1T!$D145&amp;Model0.1T!$B$4,
'Coeff EC7'!$U$6:$X$6&amp;
'Coeff EC7'!$U$5:$X$5,0))</f>
        <v>1.4</v>
      </c>
      <c r="H145" s="91">
        <f t="array" ref="H145">INDEX('Coeff EC7'!$Y$7:$AB$27,
MATCH(Model0.1T!$B$3,'Coeff EC7'!$T$7:$T$27,0),
MATCH(Model0.1T!$D145&amp;Model0.1T!$B$4,
'Coeff EC7'!$Y$6:$AB$6&amp;
'Coeff EC7'!$Y$5:$AB$5,0))</f>
        <v>1.7</v>
      </c>
      <c r="I145" s="83">
        <v>0</v>
      </c>
      <c r="J145" s="91" t="e">
        <f t="array" ref="J145">INDEX('Coeff EC7'!$D$33:$Q$33,1,MATCH(D145&amp;E145,'Coeff EC7'!$D$31:$Q$31&amp;'Coeff EC7'!$D$32:$Q$32,0))</f>
        <v>#N/A</v>
      </c>
      <c r="K145" s="91" t="e">
        <f t="array" ref="K145">INDEX('Coeff EC7'!$D$34:$Q$34,1,MATCH(D145&amp;E145,'Coeff EC7'!$D$31:$Q$31&amp;'Coeff EC7'!$D$32:$Q$32,0))</f>
        <v>#N/A</v>
      </c>
      <c r="L145" s="91" t="e">
        <f t="array" ref="L145">INDEX('Coeff EC7'!$D$35:$Q$35,1,MATCH(D145&amp;E145,'Coeff EC7'!$D$31:$Q$31&amp;'Coeff EC7'!$D$32:$Q$32,0))</f>
        <v>#N/A</v>
      </c>
      <c r="M145" s="98" t="e">
        <f t="shared" si="231"/>
        <v>#N/A</v>
      </c>
      <c r="N145" s="99" t="e">
        <f t="array" ref="N145">INDEX('Coeff EC7'!$D$7:$Q$27,MATCH($B$3,'Coeff EC7'!$C$7:$C$27,0),MATCH(D145&amp;E145,'Coeff EC7'!$D$5:$Q$5&amp;'Coeff EC7'!$D$6:$Q$6,0))</f>
        <v>#N/A</v>
      </c>
      <c r="O145" s="99" t="e">
        <f t="array" ref="O145">INDEX('Coeff EC7'!$D$41:$Q$61,MATCH($B$3,'Coeff EC7'!$C$41:$C$61,0),MATCH(D145&amp;E145,'Coeff EC7'!$D$39:$Q$39&amp;'Coeff EC7'!$D$40:$Q$40,0))</f>
        <v>#N/A</v>
      </c>
      <c r="P145" s="30" t="e">
        <f t="shared" si="266"/>
        <v>#N/A</v>
      </c>
      <c r="Q145" s="100" t="e">
        <f t="shared" si="233"/>
        <v>#N/A</v>
      </c>
      <c r="R145" s="86" t="b">
        <f t="shared" si="234"/>
        <v>0</v>
      </c>
      <c r="S145" s="86">
        <f t="shared" si="232"/>
        <v>0.5</v>
      </c>
      <c r="T145" s="86">
        <f t="shared" si="235"/>
        <v>0.5</v>
      </c>
      <c r="U145" s="30" t="e">
        <f t="shared" ca="1" si="267"/>
        <v>#DIV/0!</v>
      </c>
      <c r="V145" s="85" t="str">
        <f>IF(B145&lt;=Hypothèses!$V$7,Hypothèses!$W$7,IF(B145&lt;=Hypothèses!$V$8,Hypothèses!$W$8,IF(B145&lt;=Hypothèses!$V$9,Hypothèses!$W$9,IF(B145&lt;=Hypothèses!$V$10,Hypothèses!$W$10,IF(B145&lt;=Hypothèses!$V$11,Hypothèses!$W$11,IF(B145&lt;=Hypothèses!$V$12,Hypothèses!$W$12,IF(B145&lt;=Hypothèses!$V$13,Hypothèses!$W$13,IF(B145&lt;=Hypothèses!$V$14,Hypothèses!$W$14,IF(B145&lt;=Hypothèses!$V$15,Hypothèses!$W$15,IF(B145&lt;=Hypothèses!$V$16,Hypothèses!$W$16,IF(B145&lt;=Hypothèses!$V$17,Hypothèses!$W$17,IF(B145&lt;=Hypothèses!$V$18,Hypothèses!$W$18,""))))))))))))</f>
        <v/>
      </c>
      <c r="W145" s="87" t="e">
        <f t="shared" ref="W145:W208" ca="1" si="316">IF(V145&lt;&gt;"",V145,U145)</f>
        <v>#DIV/0!</v>
      </c>
      <c r="X145" s="88" t="str">
        <f>IF(B145&lt;=Hypothèses!$V$7,Hypothèses!$X$7,IF(B145&lt;=Hypothèses!$V$8,Hypothèses!$X$8,IF(B145&lt;=Hypothèses!$V$9,Hypothèses!$X$9,IF(B145&lt;=Hypothèses!$V$10,Hypothèses!$X$10,IF(B145&lt;=Hypothèses!$V$11,Hypothèses!$X$11,IF(B145&lt;=Hypothèses!$V$12,Hypothèses!$X$12,IF(B145&lt;=Hypothèses!$V$13,Hypothèses!$X$13,IF(B145&lt;=Hypothèses!$V$14,Hypothèses!$X$14,IF(B145&lt;=Hypothèses!$V$15,Hypothèses!$X$15,IF(B145&lt;=Hypothèses!$V$16,Hypothèses!$X$16,IF(B145&lt;=Hypothèses!$U$17,Hypothèses!$W$17,IF(B145&lt;=Hypothèses!$U$18,Hypothèses!$W$18,""))))))))))))</f>
        <v/>
      </c>
      <c r="Y145" s="95" t="e">
        <f t="shared" ca="1" si="236"/>
        <v>#DIV/0!</v>
      </c>
      <c r="Z145" s="101">
        <f t="shared" si="237"/>
        <v>0</v>
      </c>
      <c r="AA145" s="91">
        <f t="shared" si="238"/>
        <v>0</v>
      </c>
      <c r="AB145" s="30" t="e">
        <f t="shared" si="300"/>
        <v>#N/A</v>
      </c>
      <c r="AC145" s="30" t="e">
        <f t="shared" si="301"/>
        <v>#N/A</v>
      </c>
      <c r="AD145" s="31" t="e">
        <f>IF(OR(Hypothèses!$B$4=17,Hypothèses!$B$4=18,Hypothèses!$B$4=19,Hypothèses!$B$4=20),
IF($D145="Pressio.",
IF(OR($E145=3,$E145=1,$E145=4),AC145,AB145),
IF($D145="Pénétro.",
IF(OR($E145=3,$E145=1,$E145=4),AC145,AB145))),IF($D145="Pressio.",
IF($E145=3,AC145,AB145),
IF($D145="Pénétro.",
IF($E145=4,AC145,AB145))))</f>
        <v>#N/A</v>
      </c>
      <c r="AE145" s="31">
        <v>0</v>
      </c>
      <c r="AF145" s="102" t="e">
        <f>IF(NDC!$H$10="Oui",(VLOOKUP($B$3,'Coeff EC7'!$T$39:$X$59,2,0)*AD145+VLOOKUP($B$3,'Coeff EC7'!$T$65:$X$85,2,0)*Model0.1T!AE145)/1.5,PI()*AB$12*$Q145*($B145-$B144)*0.15/10+AF144)</f>
        <v>#N/A</v>
      </c>
      <c r="AG145" s="102" t="e">
        <f>(VLOOKUP($B$3,'Coeff EC7'!$T$39:$X$59,3,0)*AD145+VLOOKUP($B$3,'Coeff EC7'!$T$65:$X$85,3,0)*Model0.1T!AE145)/1.1</f>
        <v>#N/A</v>
      </c>
      <c r="AH145" s="102" t="e">
        <f t="shared" si="268"/>
        <v>#N/A</v>
      </c>
      <c r="AI145" s="102" t="e">
        <f t="shared" si="269"/>
        <v>#N/A</v>
      </c>
      <c r="AJ145" s="414" t="e">
        <f>IF(AND(AF145&gt;NDC!$C$63,AG145&gt;NDC!$C$65,AH145&gt;NDC!$D$73,AI145&gt;NDC!$D$74,$B145&gt;NDC!$H$22-0.1+MIN(3*$AJ$12,1.5)),0,1)</f>
        <v>#N/A</v>
      </c>
      <c r="AK145" s="86" t="b">
        <f t="shared" si="239"/>
        <v>0</v>
      </c>
      <c r="AL145" s="86">
        <f t="shared" si="270"/>
        <v>0.5</v>
      </c>
      <c r="AM145" s="86">
        <f t="shared" si="240"/>
        <v>0.5</v>
      </c>
      <c r="AN145" s="30" t="e">
        <f t="shared" ca="1" si="271"/>
        <v>#DIV/0!</v>
      </c>
      <c r="AO145" s="85" t="e">
        <f ca="1">IF(U145&lt;=Hypothèses!$V$7,Hypothèses!$W$7,IF(U145&lt;=Hypothèses!$V$8,Hypothèses!$W$8,IF(U145&lt;=Hypothèses!$V$9,Hypothèses!$W$9,IF(U145&lt;=Hypothèses!$V$10,Hypothèses!$W$10,IF(U145&lt;=Hypothèses!$V$11,Hypothèses!$W$11,IF(U145&lt;=Hypothèses!$V$12,Hypothèses!$W$12,IF(U145&lt;=Hypothèses!$V$13,Hypothèses!$W$13,IF(U145&lt;=Hypothèses!$V$14,Hypothèses!$W$14,IF(U145&lt;=Hypothèses!$V$15,Hypothèses!$W$15,IF(U145&lt;=Hypothèses!$V$16,Hypothèses!$W$16,IF(U145&lt;=Hypothèses!$V$17,Hypothèses!$W$17,IF(U145&lt;=Hypothèses!$V$18,Hypothèses!$W$18,""))))))))))))</f>
        <v>#DIV/0!</v>
      </c>
      <c r="AP145" s="87" t="e">
        <f t="shared" ref="AP145:AP208" ca="1" si="317">IF(AO145&lt;&gt;"",AO145,AN145)</f>
        <v>#DIV/0!</v>
      </c>
      <c r="AQ145" s="88" t="e">
        <f ca="1">IF(U145&lt;=Hypothèses!$V$7,Hypothèses!$X$7,IF(U145&lt;=Hypothèses!$V$8,Hypothèses!$X$8,IF(U145&lt;=Hypothèses!$V$9,Hypothèses!$X$9,IF(U145&lt;=Hypothèses!$V$10,Hypothèses!$X$10,IF(U145&lt;=Hypothèses!$V$11,Hypothèses!$X$11,IF(U145&lt;=Hypothèses!$V$12,Hypothèses!$X$12,IF(U145&lt;=Hypothèses!$V$13,Hypothèses!$X$13,IF(U145&lt;=Hypothèses!$V$14,Hypothèses!$X$14,IF(U145&lt;=Hypothèses!$V$15,Hypothèses!$X$15,IF(U145&lt;=Hypothèses!$V$16,Hypothèses!$X$16,IF(U145&lt;=Hypothèses!$U$17,Hypothèses!$W$17,IF(U145&lt;=Hypothèses!$U$18,Hypothèses!$W$18,""))))))))))))</f>
        <v>#DIV/0!</v>
      </c>
      <c r="AR145" s="95" t="e">
        <f t="shared" ca="1" si="272"/>
        <v>#DIV/0!</v>
      </c>
      <c r="AS145" s="101">
        <f t="shared" si="224"/>
        <v>0</v>
      </c>
      <c r="AT145" s="91">
        <f t="shared" si="241"/>
        <v>0</v>
      </c>
      <c r="AU145" s="30" t="e">
        <f t="shared" si="302"/>
        <v>#N/A</v>
      </c>
      <c r="AV145" s="30" t="e">
        <f t="shared" si="303"/>
        <v>#N/A</v>
      </c>
      <c r="AW145" s="31" t="e">
        <f>IF(OR(Hypothèses!$B$4=17,Hypothèses!$B$4=18,Hypothèses!$B$4=19,Hypothèses!$B$4=20),
IF($D145="Pressio.",
IF(OR($E145=3,$E145=1,$E145=4),AV145,AU145),
IF($D145="Pénétro.",
IF(OR($E145=3,$E145=1,$E145=4),AV145,AU145))),IF($D145="Pressio.",
IF($E145=3,AV145,AU145),
IF($D145="Pénétro.",
IF($E145=4,AV145,AU145))))</f>
        <v>#N/A</v>
      </c>
      <c r="AX145" s="31">
        <v>0</v>
      </c>
      <c r="AY145" s="102" t="e">
        <f>IF(NDC!$H$10="Oui",(VLOOKUP($B$3,'Coeff EC7'!$T$39:$X$59,2,0)*AW145+VLOOKUP($B$3,'Coeff EC7'!$T$65:$X$85,2,0)*Model0.1T!AX145)/1.5,PI()*AU$12*$Q145*($B145-$B144)*0.15/10+AY144)</f>
        <v>#N/A</v>
      </c>
      <c r="AZ145" s="102" t="e">
        <f>(VLOOKUP($B$3,'Coeff EC7'!$T$39:$X$59,3,0)*AW145+VLOOKUP($B$3,'Coeff EC7'!$T$65:$X$85,3,0)*Model0.1T!AX145)/1.1</f>
        <v>#N/A</v>
      </c>
      <c r="BA145" s="102" t="e">
        <f t="shared" si="273"/>
        <v>#N/A</v>
      </c>
      <c r="BB145" s="102" t="e">
        <f t="shared" si="274"/>
        <v>#N/A</v>
      </c>
      <c r="BC145" s="414" t="e">
        <f>IF(AND(AY145&gt;NDC!$C$63,AZ145&gt;NDC!$C$65,BA145&gt;NDC!$D$73,BB145&gt;NDC!$D$74,$B145&gt;NDC!$H$22-0.1+MIN(3*BC$12,1.5)),0,1)</f>
        <v>#N/A</v>
      </c>
      <c r="BD145" s="86" t="b">
        <f t="shared" si="242"/>
        <v>0</v>
      </c>
      <c r="BE145" s="86">
        <f t="shared" si="275"/>
        <v>0.5</v>
      </c>
      <c r="BF145" s="86">
        <f t="shared" si="243"/>
        <v>0.5</v>
      </c>
      <c r="BG145" s="30" t="e">
        <f t="shared" ca="1" si="276"/>
        <v>#DIV/0!</v>
      </c>
      <c r="BH145" s="85" t="e">
        <f ca="1">IF(AN145&lt;=Hypothèses!$V$7,Hypothèses!$W$7,IF(AN145&lt;=Hypothèses!$V$8,Hypothèses!$W$8,IF(AN145&lt;=Hypothèses!$V$9,Hypothèses!$W$9,IF(AN145&lt;=Hypothèses!$V$10,Hypothèses!$W$10,IF(AN145&lt;=Hypothèses!$V$11,Hypothèses!$W$11,IF(AN145&lt;=Hypothèses!$V$12,Hypothèses!$W$12,IF(AN145&lt;=Hypothèses!$V$13,Hypothèses!$W$13,IF(AN145&lt;=Hypothèses!$V$14,Hypothèses!$W$14,IF(AN145&lt;=Hypothèses!$V$15,Hypothèses!$W$15,IF(AN145&lt;=Hypothèses!$V$16,Hypothèses!$W$16,IF(AN145&lt;=Hypothèses!$V$17,Hypothèses!$W$17,IF(AN145&lt;=Hypothèses!$V$18,Hypothèses!$W$18,""))))))))))))</f>
        <v>#DIV/0!</v>
      </c>
      <c r="BI145" s="87" t="e">
        <f t="shared" ref="BI145:BI208" ca="1" si="318">IF(BH145&lt;&gt;"",BH145,BG145)</f>
        <v>#DIV/0!</v>
      </c>
      <c r="BJ145" s="88" t="e">
        <f ca="1">IF(AN145&lt;=Hypothèses!$V$7,Hypothèses!$X$7,IF(AN145&lt;=Hypothèses!$V$8,Hypothèses!$X$8,IF(AN145&lt;=Hypothèses!$V$9,Hypothèses!$X$9,IF(AN145&lt;=Hypothèses!$V$10,Hypothèses!$X$10,IF(AN145&lt;=Hypothèses!$V$11,Hypothèses!$X$11,IF(AN145&lt;=Hypothèses!$V$12,Hypothèses!$X$12,IF(AN145&lt;=Hypothèses!$V$13,Hypothèses!$X$13,IF(AN145&lt;=Hypothèses!$V$14,Hypothèses!$X$14,IF(AN145&lt;=Hypothèses!$V$15,Hypothèses!$X$15,IF(AN145&lt;=Hypothèses!$V$16,Hypothèses!$X$16,IF(AN145&lt;=Hypothèses!$U$17,Hypothèses!$W$17,IF(AN145&lt;=Hypothèses!$U$18,Hypothèses!$W$18,""))))))))))))</f>
        <v>#DIV/0!</v>
      </c>
      <c r="BK145" s="95" t="e">
        <f t="shared" ca="1" si="277"/>
        <v>#DIV/0!</v>
      </c>
      <c r="BL145" s="101">
        <f t="shared" si="225"/>
        <v>0</v>
      </c>
      <c r="BM145" s="91">
        <f t="shared" si="244"/>
        <v>0</v>
      </c>
      <c r="BN145" s="30" t="e">
        <f t="shared" si="304"/>
        <v>#N/A</v>
      </c>
      <c r="BO145" s="30" t="e">
        <f t="shared" si="305"/>
        <v>#N/A</v>
      </c>
      <c r="BP145" s="31" t="e">
        <f>IF(OR(Hypothèses!$B$4=17,Hypothèses!$B$4=18,Hypothèses!$B$4=19,Hypothèses!$B$4=20),
IF($D145="Pressio.",
IF(OR($E145=3,$E145=1,$E145=4),BO145,BN145),
IF($D145="Pénétro.",
IF(OR($E145=3,$E145=1,$E145=4),BO145,BN145))),IF($D145="Pressio.",
IF($E145=3,BO145,BN145),
IF($D145="Pénétro.",
IF($E145=4,BO145,BN145))))</f>
        <v>#N/A</v>
      </c>
      <c r="BQ145" s="31">
        <v>0</v>
      </c>
      <c r="BR145" s="102" t="e">
        <f>IF(NDC!$H$10="Oui",(VLOOKUP($B$3,'Coeff EC7'!$T$39:$X$59,2,0)*BP145+VLOOKUP($B$3,'Coeff EC7'!$T$65:$X$85,2,0)*Model0.1T!BQ145)/1.5,PI()*BN$12*$Q145*($B145-$B144)*0.15/10+BR144)</f>
        <v>#N/A</v>
      </c>
      <c r="BS145" s="102" t="e">
        <f>(VLOOKUP($B$3,'Coeff EC7'!$T$39:$X$59,3,0)*BP145+VLOOKUP($B$3,'Coeff EC7'!$T$65:$X$85,3,0)*Model0.1T!BQ145)/1.1</f>
        <v>#N/A</v>
      </c>
      <c r="BT145" s="102" t="e">
        <f t="shared" si="278"/>
        <v>#N/A</v>
      </c>
      <c r="BU145" s="102" t="e">
        <f t="shared" si="279"/>
        <v>#N/A</v>
      </c>
      <c r="BV145" s="414" t="e">
        <f>IF(AND(BR145&gt;NDC!$C$63,BS145&gt;NDC!$C$65,BT145&gt;NDC!$D$73,BU145&gt;NDC!$D$74,$B145&gt;NDC!$H$22-0.1+MIN(3*BV$12,1.5)),0,1)</f>
        <v>#N/A</v>
      </c>
      <c r="BW145" s="86" t="b">
        <f t="shared" si="245"/>
        <v>0</v>
      </c>
      <c r="BX145" s="86">
        <f t="shared" si="246"/>
        <v>0.5</v>
      </c>
      <c r="BY145" s="86">
        <f t="shared" si="247"/>
        <v>0.5</v>
      </c>
      <c r="BZ145" s="30" t="e">
        <f t="shared" ca="1" si="280"/>
        <v>#DIV/0!</v>
      </c>
      <c r="CA145" s="85" t="e">
        <f ca="1">IF(BG145&lt;=Hypothèses!$V$7,Hypothèses!$W$7,IF(BG145&lt;=Hypothèses!$V$8,Hypothèses!$W$8,IF(BG145&lt;=Hypothèses!$V$9,Hypothèses!$W$9,IF(BG145&lt;=Hypothèses!$V$10,Hypothèses!$W$10,IF(BG145&lt;=Hypothèses!$V$11,Hypothèses!$W$11,IF(BG145&lt;=Hypothèses!$V$12,Hypothèses!$W$12,IF(BG145&lt;=Hypothèses!$V$13,Hypothèses!$W$13,IF(BG145&lt;=Hypothèses!$V$14,Hypothèses!$W$14,IF(BG145&lt;=Hypothèses!$V$15,Hypothèses!$W$15,IF(BG145&lt;=Hypothèses!$V$16,Hypothèses!$W$16,IF(BG145&lt;=Hypothèses!$V$17,Hypothèses!$W$17,IF(BG145&lt;=Hypothèses!$V$18,Hypothèses!$W$18,""))))))))))))</f>
        <v>#DIV/0!</v>
      </c>
      <c r="CB145" s="87" t="e">
        <f t="shared" ref="CB145:CB208" ca="1" si="319">IF(CA145&lt;&gt;"",CA145,BZ145)</f>
        <v>#DIV/0!</v>
      </c>
      <c r="CC145" s="88" t="e">
        <f ca="1">IF(BG145&lt;=Hypothèses!$V$7,Hypothèses!$X$7,IF(BG145&lt;=Hypothèses!$V$8,Hypothèses!$X$8,IF(BG145&lt;=Hypothèses!$V$9,Hypothèses!$X$9,IF(BG145&lt;=Hypothèses!$V$10,Hypothèses!$X$10,IF(BG145&lt;=Hypothèses!$V$11,Hypothèses!$X$11,IF(BG145&lt;=Hypothèses!$V$12,Hypothèses!$X$12,IF(BG145&lt;=Hypothèses!$V$13,Hypothèses!$X$13,IF(BG145&lt;=Hypothèses!$V$14,Hypothèses!$X$14,IF(BG145&lt;=Hypothèses!$V$15,Hypothèses!$X$15,IF(BG145&lt;=Hypothèses!$V$16,Hypothèses!$X$16,IF(BG145&lt;=Hypothèses!$U$17,Hypothèses!$W$17,IF(BG145&lt;=Hypothèses!$U$18,Hypothèses!$W$18,""))))))))))))</f>
        <v>#DIV/0!</v>
      </c>
      <c r="CD145" s="95" t="e">
        <f t="shared" ca="1" si="281"/>
        <v>#DIV/0!</v>
      </c>
      <c r="CE145" s="101">
        <f t="shared" si="226"/>
        <v>0</v>
      </c>
      <c r="CF145" s="91">
        <f t="shared" si="248"/>
        <v>0</v>
      </c>
      <c r="CG145" s="30" t="e">
        <f t="shared" si="306"/>
        <v>#N/A</v>
      </c>
      <c r="CH145" s="30" t="e">
        <f t="shared" si="307"/>
        <v>#N/A</v>
      </c>
      <c r="CI145" s="31" t="e">
        <f>IF(OR(Hypothèses!$B$4=17,Hypothèses!$B$4=18,Hypothèses!$B$4=19,Hypothèses!$B$4=20),
IF($D145="Pressio.",
IF(OR($E145=3,$E145=1,$E145=4),CH145,CG145),
IF($D145="Pénétro.",
IF(OR($E145=3,$E145=1,$E145=4),CH145,CG145))),IF($D145="Pressio.",
IF($E145=3,CH145,CG145),
IF($D145="Pénétro.",
IF($E145=4,CH145,CG145))))</f>
        <v>#N/A</v>
      </c>
      <c r="CJ145" s="31">
        <v>0</v>
      </c>
      <c r="CK145" s="102" t="e">
        <f>IF(NDC!$H$10="Oui",(VLOOKUP($B$3,'Coeff EC7'!$T$39:$X$59,2,0)*CI145+VLOOKUP($B$3,'Coeff EC7'!$T$65:$X$85,2,0)*Model0.1T!CJ145)/1.5,PI()*CG$12*$Q145*($B145-$B144)*0.15/10+CK144)</f>
        <v>#N/A</v>
      </c>
      <c r="CL145" s="102" t="e">
        <f>(VLOOKUP($B$3,'Coeff EC7'!$T$39:$X$59,3,0)*CI145+VLOOKUP($B$3,'Coeff EC7'!$T$65:$X$85,3,0)*Model0.1T!CJ145)/1.1</f>
        <v>#N/A</v>
      </c>
      <c r="CM145" s="102" t="e">
        <f t="shared" si="282"/>
        <v>#N/A</v>
      </c>
      <c r="CN145" s="102" t="e">
        <f t="shared" si="283"/>
        <v>#N/A</v>
      </c>
      <c r="CO145" s="414" t="e">
        <f>IF(AND(CK145&gt;NDC!$C$63,CL145&gt;NDC!$C$65,CM145&gt;NDC!$D$73,CN145&gt;NDC!$D$74,$B145&gt;NDC!$H$22-0.1+MIN(3*CO$12,1.5)),0,1)</f>
        <v>#N/A</v>
      </c>
      <c r="CP145" s="86" t="b">
        <f t="shared" si="249"/>
        <v>0</v>
      </c>
      <c r="CQ145" s="86">
        <f t="shared" si="250"/>
        <v>0.5</v>
      </c>
      <c r="CR145" s="86">
        <f t="shared" si="251"/>
        <v>0.5</v>
      </c>
      <c r="CS145" s="30" t="e">
        <f t="shared" ca="1" si="284"/>
        <v>#DIV/0!</v>
      </c>
      <c r="CT145" s="85" t="e">
        <f ca="1">IF(BZ145&lt;=Hypothèses!$V$7,Hypothèses!$W$7,IF(BZ145&lt;=Hypothèses!$V$8,Hypothèses!$W$8,IF(BZ145&lt;=Hypothèses!$V$9,Hypothèses!$W$9,IF(BZ145&lt;=Hypothèses!$V$10,Hypothèses!$W$10,IF(BZ145&lt;=Hypothèses!$V$11,Hypothèses!$W$11,IF(BZ145&lt;=Hypothèses!$V$12,Hypothèses!$W$12,IF(BZ145&lt;=Hypothèses!$V$13,Hypothèses!$W$13,IF(BZ145&lt;=Hypothèses!$V$14,Hypothèses!$W$14,IF(BZ145&lt;=Hypothèses!$V$15,Hypothèses!$W$15,IF(BZ145&lt;=Hypothèses!$V$16,Hypothèses!$W$16,IF(BZ145&lt;=Hypothèses!$V$17,Hypothèses!$W$17,IF(BZ145&lt;=Hypothèses!$V$18,Hypothèses!$W$18,""))))))))))))</f>
        <v>#DIV/0!</v>
      </c>
      <c r="CU145" s="87" t="e">
        <f t="shared" ref="CU145:CU208" ca="1" si="320">IF(CT145&lt;&gt;"",CT145,CS145)</f>
        <v>#DIV/0!</v>
      </c>
      <c r="CV145" s="88" t="e">
        <f ca="1">IF(BZ145&lt;=Hypothèses!$V$7,Hypothèses!$X$7,IF(BZ145&lt;=Hypothèses!$V$8,Hypothèses!$X$8,IF(BZ145&lt;=Hypothèses!$V$9,Hypothèses!$X$9,IF(BZ145&lt;=Hypothèses!$V$10,Hypothèses!$X$10,IF(BZ145&lt;=Hypothèses!$V$11,Hypothèses!$X$11,IF(BZ145&lt;=Hypothèses!$V$12,Hypothèses!$X$12,IF(BZ145&lt;=Hypothèses!$V$13,Hypothèses!$X$13,IF(BZ145&lt;=Hypothèses!$V$14,Hypothèses!$X$14,IF(BZ145&lt;=Hypothèses!$V$15,Hypothèses!$X$15,IF(BZ145&lt;=Hypothèses!$V$16,Hypothèses!$X$16,IF(BZ145&lt;=Hypothèses!$U$17,Hypothèses!$W$17,IF(BZ145&lt;=Hypothèses!$U$18,Hypothèses!$W$18,""))))))))))))</f>
        <v>#DIV/0!</v>
      </c>
      <c r="CW145" s="95" t="e">
        <f t="shared" ca="1" si="285"/>
        <v>#DIV/0!</v>
      </c>
      <c r="CX145" s="101">
        <f t="shared" si="227"/>
        <v>0</v>
      </c>
      <c r="CY145" s="91">
        <f t="shared" si="252"/>
        <v>0</v>
      </c>
      <c r="CZ145" s="30" t="e">
        <f t="shared" si="308"/>
        <v>#N/A</v>
      </c>
      <c r="DA145" s="30" t="e">
        <f t="shared" si="309"/>
        <v>#N/A</v>
      </c>
      <c r="DB145" s="31" t="e">
        <f>IF(OR(Hypothèses!$B$4=17,Hypothèses!$B$4=18,Hypothèses!$B$4=19,Hypothèses!$B$4=20),
IF($D145="Pressio.",
IF(OR($E145=3,$E145=1,$E145=4),DA145,CZ145),
IF($D145="Pénétro.",
IF(OR($E145=3,$E145=1,$E145=4),DA145,CZ145))),IF($D145="Pressio.",
IF($E145=3,DA145,CZ145),
IF($D145="Pénétro.",
IF($E145=4,DA145,CZ145))))</f>
        <v>#N/A</v>
      </c>
      <c r="DC145" s="31">
        <v>0</v>
      </c>
      <c r="DD145" s="102" t="e">
        <f>IF(NDC!$H$10="Oui",(VLOOKUP($B$3,'Coeff EC7'!$T$39:$X$59,2,0)*DB145+VLOOKUP($B$3,'Coeff EC7'!$T$65:$X$85,2,0)*Model0.1T!DC145)/1.5,PI()*CZ$12*$Q145*($B145-$B144)*0.15/10+DD144)</f>
        <v>#N/A</v>
      </c>
      <c r="DE145" s="102" t="e">
        <f>(VLOOKUP($B$3,'Coeff EC7'!$T$39:$X$59,3,0)*DB145+VLOOKUP($B$3,'Coeff EC7'!$T$65:$X$85,3,0)*Model0.1T!DC145)/1.1</f>
        <v>#N/A</v>
      </c>
      <c r="DF145" s="102" t="e">
        <f t="shared" si="286"/>
        <v>#N/A</v>
      </c>
      <c r="DG145" s="102" t="e">
        <f t="shared" si="287"/>
        <v>#N/A</v>
      </c>
      <c r="DH145" s="414" t="e">
        <f>IF(AND(DD145&gt;NDC!$C$63,DE145&gt;NDC!$C$65,DF145&gt;NDC!$D$73,DG145&gt;NDC!$D$74,$B145&gt;NDC!$H$22-0.1+MIN(3*DH$12,1.5)),0,1)</f>
        <v>#N/A</v>
      </c>
      <c r="DI145" s="86" t="b">
        <f t="shared" si="253"/>
        <v>0</v>
      </c>
      <c r="DJ145" s="86">
        <f t="shared" si="254"/>
        <v>0.5</v>
      </c>
      <c r="DK145" s="86">
        <f t="shared" si="255"/>
        <v>0.5</v>
      </c>
      <c r="DL145" s="30" t="e">
        <f t="shared" ca="1" si="288"/>
        <v>#DIV/0!</v>
      </c>
      <c r="DM145" s="85" t="e">
        <f ca="1">IF(CS145&lt;=Hypothèses!$V$7,Hypothèses!$W$7,IF(CS145&lt;=Hypothèses!$V$8,Hypothèses!$W$8,IF(CS145&lt;=Hypothèses!$V$9,Hypothèses!$W$9,IF(CS145&lt;=Hypothèses!$V$10,Hypothèses!$W$10,IF(CS145&lt;=Hypothèses!$V$11,Hypothèses!$W$11,IF(CS145&lt;=Hypothèses!$V$12,Hypothèses!$W$12,IF(CS145&lt;=Hypothèses!$V$13,Hypothèses!$W$13,IF(CS145&lt;=Hypothèses!$V$14,Hypothèses!$W$14,IF(CS145&lt;=Hypothèses!$V$15,Hypothèses!$W$15,IF(CS145&lt;=Hypothèses!$V$16,Hypothèses!$W$16,IF(CS145&lt;=Hypothèses!$V$17,Hypothèses!$W$17,IF(CS145&lt;=Hypothèses!$V$18,Hypothèses!$W$18,""))))))))))))</f>
        <v>#DIV/0!</v>
      </c>
      <c r="DN145" s="87" t="e">
        <f t="shared" ref="DN145:DN208" ca="1" si="321">IF(DM145&lt;&gt;"",DM145,DL145)</f>
        <v>#DIV/0!</v>
      </c>
      <c r="DO145" s="88" t="e">
        <f ca="1">IF(CS145&lt;=Hypothèses!$V$7,Hypothèses!$X$7,IF(CS145&lt;=Hypothèses!$V$8,Hypothèses!$X$8,IF(CS145&lt;=Hypothèses!$V$9,Hypothèses!$X$9,IF(CS145&lt;=Hypothèses!$V$10,Hypothèses!$X$10,IF(CS145&lt;=Hypothèses!$V$11,Hypothèses!$X$11,IF(CS145&lt;=Hypothèses!$V$12,Hypothèses!$X$12,IF(CS145&lt;=Hypothèses!$V$13,Hypothèses!$X$13,IF(CS145&lt;=Hypothèses!$V$14,Hypothèses!$X$14,IF(CS145&lt;=Hypothèses!$V$15,Hypothèses!$X$15,IF(CS145&lt;=Hypothèses!$V$16,Hypothèses!$X$16,IF(CS145&lt;=Hypothèses!$U$17,Hypothèses!$W$17,IF(CS145&lt;=Hypothèses!$U$18,Hypothèses!$W$18,""))))))))))))</f>
        <v>#DIV/0!</v>
      </c>
      <c r="DP145" s="95" t="e">
        <f t="shared" ca="1" si="289"/>
        <v>#DIV/0!</v>
      </c>
      <c r="DQ145" s="101">
        <f t="shared" si="228"/>
        <v>0</v>
      </c>
      <c r="DR145" s="91">
        <f t="shared" si="256"/>
        <v>0</v>
      </c>
      <c r="DS145" s="30" t="e">
        <f t="shared" si="310"/>
        <v>#N/A</v>
      </c>
      <c r="DT145" s="30" t="e">
        <f t="shared" si="311"/>
        <v>#N/A</v>
      </c>
      <c r="DU145" s="31" t="e">
        <f>IF(OR(Hypothèses!$B$4=17,Hypothèses!$B$4=18,Hypothèses!$B$4=19,Hypothèses!$B$4=20),
IF($D145="Pressio.",
IF(OR($E145=3,$E145=1,$E145=4),DT145,DS145),
IF($D145="Pénétro.",
IF(OR($E145=3,$E145=1,$E145=4),DT145,DS145))),IF($D145="Pressio.",
IF($E145=3,DT145,DS145),
IF($D145="Pénétro.",
IF($E145=4,DT145,DS145))))</f>
        <v>#N/A</v>
      </c>
      <c r="DV145" s="31">
        <v>0</v>
      </c>
      <c r="DW145" s="102" t="e">
        <f>IF(NDC!$H$10="Oui",(VLOOKUP($B$3,'Coeff EC7'!$T$39:$X$59,2,0)*DU145+VLOOKUP($B$3,'Coeff EC7'!$T$65:$X$85,2,0)*Model0.1T!DV145)/1.5,PI()*DS$12*$Q145*($B145-$B144)*0.15/10+DW144)</f>
        <v>#N/A</v>
      </c>
      <c r="DX145" s="102" t="e">
        <f>(VLOOKUP($B$3,'Coeff EC7'!$T$39:$X$59,3,0)*DU145+VLOOKUP($B$3,'Coeff EC7'!$T$65:$X$85,3,0)*Model0.1T!DV145)/1.1</f>
        <v>#N/A</v>
      </c>
      <c r="DY145" s="102" t="e">
        <f t="shared" si="290"/>
        <v>#N/A</v>
      </c>
      <c r="DZ145" s="102" t="e">
        <f t="shared" si="291"/>
        <v>#N/A</v>
      </c>
      <c r="EA145" s="414" t="e">
        <f>IF(AND(DW145&gt;NDC!$C$63,DX145&gt;NDC!$C$65,DY145&gt;NDC!$D$73,DZ145&gt;NDC!$D$74,$B145&gt;NDC!$H$22-0.1+MIN(3*EA$12,1.5)),0,1)</f>
        <v>#N/A</v>
      </c>
      <c r="EB145" s="86" t="b">
        <f t="shared" si="257"/>
        <v>0</v>
      </c>
      <c r="EC145" s="418">
        <f t="shared" si="258"/>
        <v>0.51</v>
      </c>
      <c r="ED145" s="86">
        <f t="shared" si="259"/>
        <v>0.51</v>
      </c>
      <c r="EE145" s="30" t="e">
        <f t="shared" ca="1" si="292"/>
        <v>#DIV/0!</v>
      </c>
      <c r="EF145" s="85" t="e">
        <f ca="1">IF(DL145&lt;=Hypothèses!$V$7,Hypothèses!$W$7,IF(DL145&lt;=Hypothèses!$V$8,Hypothèses!$W$8,IF(DL145&lt;=Hypothèses!$V$9,Hypothèses!$W$9,IF(DL145&lt;=Hypothèses!$V$10,Hypothèses!$W$10,IF(DL145&lt;=Hypothèses!$V$11,Hypothèses!$W$11,IF(DL145&lt;=Hypothèses!$V$12,Hypothèses!$W$12,IF(DL145&lt;=Hypothèses!$V$13,Hypothèses!$W$13,IF(DL145&lt;=Hypothèses!$V$14,Hypothèses!$W$14,IF(DL145&lt;=Hypothèses!$V$15,Hypothèses!$W$15,IF(DL145&lt;=Hypothèses!$V$16,Hypothèses!$W$16,IF(DL145&lt;=Hypothèses!$V$17,Hypothèses!$W$17,IF(DL145&lt;=Hypothèses!$V$18,Hypothèses!$W$18,""))))))))))))</f>
        <v>#DIV/0!</v>
      </c>
      <c r="EG145" s="87" t="e">
        <f t="shared" ref="EG145:EG208" ca="1" si="322">IF(EF145&lt;&gt;"",EF145,EE145)</f>
        <v>#DIV/0!</v>
      </c>
      <c r="EH145" s="88" t="e">
        <f ca="1">IF(DL145&lt;=Hypothèses!$V$7,Hypothèses!$X$7,IF(DL145&lt;=Hypothèses!$V$8,Hypothèses!$X$8,IF(DL145&lt;=Hypothèses!$V$9,Hypothèses!$X$9,IF(DL145&lt;=Hypothèses!$V$10,Hypothèses!$X$10,IF(DL145&lt;=Hypothèses!$V$11,Hypothèses!$X$11,IF(DL145&lt;=Hypothèses!$V$12,Hypothèses!$X$12,IF(DL145&lt;=Hypothèses!$V$13,Hypothèses!$X$13,IF(DL145&lt;=Hypothèses!$V$14,Hypothèses!$X$14,IF(DL145&lt;=Hypothèses!$V$15,Hypothèses!$X$15,IF(DL145&lt;=Hypothèses!$V$16,Hypothèses!$X$16,IF(DL145&lt;=Hypothèses!$U$17,Hypothèses!$W$17,IF(DL145&lt;=Hypothèses!$U$18,Hypothèses!$W$18,""))))))))))))</f>
        <v>#DIV/0!</v>
      </c>
      <c r="EI145" s="95" t="e">
        <f t="shared" ca="1" si="293"/>
        <v>#DIV/0!</v>
      </c>
      <c r="EJ145" s="101">
        <f t="shared" si="229"/>
        <v>0</v>
      </c>
      <c r="EK145" s="91">
        <f t="shared" si="260"/>
        <v>0</v>
      </c>
      <c r="EL145" s="30" t="e">
        <f t="shared" si="312"/>
        <v>#N/A</v>
      </c>
      <c r="EM145" s="30" t="e">
        <f t="shared" si="313"/>
        <v>#N/A</v>
      </c>
      <c r="EN145" s="31" t="e">
        <f>IF(OR(Hypothèses!$B$4=17,Hypothèses!$B$4=18,Hypothèses!$B$4=19,Hypothèses!$B$4=20),
IF($D145="Pressio.",
IF(OR($E145=3,$E145=1,$E145=4),EM145,EL145),
IF($D145="Pénétro.",
IF(OR($E145=3,$E145=1,$E145=4),EM145,EL145))),IF($D145="Pressio.",
IF($E145=3,EM145,EL145),
IF($D145="Pénétro.",
IF($E145=4,EM145,EL145))))</f>
        <v>#N/A</v>
      </c>
      <c r="EO145" s="31">
        <v>0</v>
      </c>
      <c r="EP145" s="102" t="e">
        <f>IF(NDC!$H$10="Oui",(VLOOKUP($B$3,'Coeff EC7'!$T$39:$X$59,2,0)*EN145+VLOOKUP($B$3,'Coeff EC7'!$T$65:$X$85,2,0)*Model0.1T!EO145)/1.5,PI()*EL$12*$Q145*($B145-$B144)*0.15/10+EP144)</f>
        <v>#N/A</v>
      </c>
      <c r="EQ145" s="102" t="e">
        <f>(VLOOKUP($B$3,'Coeff EC7'!$T$39:$X$59,3,0)*EN145+VLOOKUP($B$3,'Coeff EC7'!$T$65:$X$85,3,0)*Model0.1T!EO145)/1.1</f>
        <v>#N/A</v>
      </c>
      <c r="ER145" s="102" t="e">
        <f t="shared" si="294"/>
        <v>#N/A</v>
      </c>
      <c r="ES145" s="102" t="e">
        <f t="shared" si="295"/>
        <v>#N/A</v>
      </c>
      <c r="ET145" s="414" t="e">
        <f>IF(AND(EP145&gt;NDC!$C$63,EQ145&gt;NDC!$C$65,ER145&gt;NDC!$D$73,ES145&gt;NDC!$D$74,$B145&gt;NDC!$H$22-0.1+MIN(3*ET$12,1.5)),0,1)</f>
        <v>#N/A</v>
      </c>
      <c r="EU145" s="86" t="b">
        <f t="shared" si="261"/>
        <v>0</v>
      </c>
      <c r="EV145" s="86">
        <f t="shared" si="262"/>
        <v>0.61</v>
      </c>
      <c r="EW145" s="86">
        <f t="shared" si="263"/>
        <v>0.61</v>
      </c>
      <c r="EX145" s="30" t="e">
        <f t="shared" ca="1" si="296"/>
        <v>#DIV/0!</v>
      </c>
      <c r="EY145" s="85" t="e">
        <f ca="1">IF(EE145&lt;=Hypothèses!$V$7,Hypothèses!$W$7,IF(EE145&lt;=Hypothèses!$V$8,Hypothèses!$W$8,IF(EE145&lt;=Hypothèses!$V$9,Hypothèses!$W$9,IF(EE145&lt;=Hypothèses!$V$10,Hypothèses!$W$10,IF(EE145&lt;=Hypothèses!$V$11,Hypothèses!$W$11,IF(EE145&lt;=Hypothèses!$V$12,Hypothèses!$W$12,IF(EE145&lt;=Hypothèses!$V$13,Hypothèses!$W$13,IF(EE145&lt;=Hypothèses!$V$14,Hypothèses!$W$14,IF(EE145&lt;=Hypothèses!$V$15,Hypothèses!$W$15,IF(EE145&lt;=Hypothèses!$V$16,Hypothèses!$W$16,IF(EE145&lt;=Hypothèses!$V$17,Hypothèses!$W$17,IF(EE145&lt;=Hypothèses!$V$18,Hypothèses!$W$18,""))))))))))))</f>
        <v>#DIV/0!</v>
      </c>
      <c r="EZ145" s="87" t="e">
        <f t="shared" ref="EZ145:EZ208" ca="1" si="323">IF(EY145&lt;&gt;"",EY145,EX145)</f>
        <v>#DIV/0!</v>
      </c>
      <c r="FA145" s="88" t="e">
        <f ca="1">IF(EE145&lt;=Hypothèses!$V$7,Hypothèses!$X$7,IF(EE145&lt;=Hypothèses!$V$8,Hypothèses!$X$8,IF(EE145&lt;=Hypothèses!$V$9,Hypothèses!$X$9,IF(EE145&lt;=Hypothèses!$V$10,Hypothèses!$X$10,IF(EE145&lt;=Hypothèses!$V$11,Hypothèses!$X$11,IF(EE145&lt;=Hypothèses!$V$12,Hypothèses!$X$12,IF(EE145&lt;=Hypothèses!$V$13,Hypothèses!$X$13,IF(EE145&lt;=Hypothèses!$V$14,Hypothèses!$X$14,IF(EE145&lt;=Hypothèses!$V$15,Hypothèses!$X$15,IF(EE145&lt;=Hypothèses!$V$16,Hypothèses!$X$16,IF(EE145&lt;=Hypothèses!$U$17,Hypothèses!$W$17,IF(EE145&lt;=Hypothèses!$U$18,Hypothèses!$W$18,""))))))))))))</f>
        <v>#DIV/0!</v>
      </c>
      <c r="FB145" s="95" t="e">
        <f t="shared" ca="1" si="297"/>
        <v>#DIV/0!</v>
      </c>
      <c r="FC145" s="101">
        <f t="shared" si="230"/>
        <v>0</v>
      </c>
      <c r="FD145" s="91">
        <f t="shared" si="264"/>
        <v>0</v>
      </c>
      <c r="FE145" s="30" t="e">
        <f t="shared" si="314"/>
        <v>#N/A</v>
      </c>
      <c r="FF145" s="30" t="e">
        <f t="shared" si="315"/>
        <v>#N/A</v>
      </c>
      <c r="FG145" s="31" t="e">
        <f>IF(OR(Hypothèses!$B$4=17,Hypothèses!$B$4=18,Hypothèses!$B$4=19,Hypothèses!$B$4=20),
IF($D145="Pressio.",
IF(OR($E145=3,$E145=1,$E145=4),FF145,FE145),
IF($D145="Pénétro.",
IF(OR($E145=3,$E145=1,$E145=4),FF145,FE145))),IF($D145="Pressio.",
IF($E145=3,FF145,FE145),
IF($D145="Pénétro.",
IF($E145=4,FF145,FE145))))</f>
        <v>#N/A</v>
      </c>
      <c r="FH145" s="31">
        <v>0</v>
      </c>
      <c r="FI145" s="102" t="e">
        <f>IF(NDC!$H$10="Oui",(VLOOKUP($B$3,'Coeff EC7'!$T$39:$X$59,2,0)*FG145+VLOOKUP($B$3,'Coeff EC7'!$T$65:$X$85,2,0)*Model0.1T!FH145)/1.5,PI()*FE$12*$Q145*($B145-$B144)*0.15/10+FI144)</f>
        <v>#N/A</v>
      </c>
      <c r="FJ145" s="102" t="e">
        <f>(VLOOKUP($B$3,'Coeff EC7'!$T$39:$X$59,3,0)*FG145+VLOOKUP($B$3,'Coeff EC7'!$T$65:$X$85,3,0)*Model0.1T!FH145)/1.1</f>
        <v>#N/A</v>
      </c>
      <c r="FK145" s="102" t="e">
        <f t="shared" si="298"/>
        <v>#N/A</v>
      </c>
      <c r="FL145" s="102" t="e">
        <f t="shared" si="299"/>
        <v>#N/A</v>
      </c>
      <c r="FM145" s="414" t="e">
        <f>IF(AND(FI145&gt;NDC!$C$63,FJ145&gt;NDC!$C$65,FK145&gt;NDC!$D$73,FL145&gt;NDC!$D$74,$B145&gt;NDC!$H$22-0.1+MIN(3*FM$12,1.5)),0,1)</f>
        <v>#N/A</v>
      </c>
    </row>
    <row r="146" spans="1:169">
      <c r="A146" s="96">
        <f t="shared" si="265"/>
        <v>86.700000000000756</v>
      </c>
      <c r="B146" s="97">
        <v>13.3</v>
      </c>
      <c r="C146" s="81">
        <f>IF(B146&lt;=Hypothèses!$C$7,Hypothèses!$A$7,IF(B146&lt;=Hypothèses!$C$8,Hypothèses!$A$8,IF(B146&lt;=Hypothèses!$C$9,Hypothèses!$A$9,IF(B146&lt;=Hypothèses!$C$10,Hypothèses!$A$10,IF(B146&lt;=Hypothèses!$C$11,Hypothèses!$A$11,IF(B146&lt;=Hypothèses!$C$12,Hypothèses!$A$12,IF(B146&lt;=Hypothèses!$C$13,Hypothèses!$A$13,IF(B146&lt;=Hypothèses!$C$14,Hypothèses!$A$14,IF(B146&lt;=Hypothèses!$C$15,Hypothèses!$A$15,IF(B146&lt;=Hypothèses!$C$16,Hypothèses!$A$16,IF(B146&lt;=Hypothèses!$C$17,Hypothèses!$A$17,IF(B146&lt;=Hypothèses!$C$18,Hypothèses!$A$18,C145))))))))))))</f>
        <v>11</v>
      </c>
      <c r="D146" s="82" t="str">
        <f>IF(B146&lt;=Hypothèses!$C$7,Hypothèses!$R$7,IF(B146&lt;=Hypothèses!$C$8,Hypothèses!$R$8,IF(B146&lt;=Hypothèses!$C$9,Hypothèses!$R$9,IF(B146&lt;=Hypothèses!$C$10,Hypothèses!$R$10,IF(B146&lt;=Hypothèses!$C$11,Hypothèses!$R$11,IF(B146&lt;=Hypothèses!$C$12,Hypothèses!$R$12,IF(B146&lt;=Hypothèses!$C$13,Hypothèses!$R$13,IF(B146&lt;=Hypothèses!$C$14,Hypothèses!$R$14,IF(B146&lt;=Hypothèses!$C$15,Hypothèses!$R$15,IF(B146&lt;=Hypothèses!$C$16,Hypothèses!$R$16,IF(B146&lt;=Hypothèses!$C$17,Hypothèses!$R$17,IF(B146&lt;=Hypothèses!$C$18,Hypothèses!$R$18,D145))))))))))))</f>
        <v>Pressio.</v>
      </c>
      <c r="E146" s="82" t="e">
        <f>IF(B146&lt;=Hypothèses!$C$7,Hypothèses!$G$7,IF(B146&lt;=Hypothèses!$C$8,Hypothèses!$G$8,IF(B146&lt;=Hypothèses!$C$9,Hypothèses!$G$9,IF(B146&lt;=Hypothèses!$C$10,Hypothèses!$G$10,IF(B146&lt;=Hypothèses!$C$11,Hypothèses!$G$11,IF(B146&lt;=Hypothèses!$C$12,Hypothèses!$G$12,IF(B146&lt;=Hypothèses!$C$13,Hypothèses!$G$13,IF(B146&lt;=Hypothèses!$C$14,Hypothèses!$G$14,IF(B146&lt;=Hypothèses!$C$15,Hypothèses!$G$15,IF(B146&lt;=Hypothèses!$C$16,Hypothèses!$G$16,IF(B146&lt;=Hypothèses!$C$17,Hypothèses!$G$17,IF(B146&lt;=Hypothèses!$C$18,Hypothèses!$G$18,E145))))))))))))</f>
        <v>#N/A</v>
      </c>
      <c r="F146" s="82" t="str">
        <f>IF(B146&lt;=Hypothèses!$C$7,Hypothèses!$F$7,IF(B146&lt;=Hypothèses!$C$8,Hypothèses!$F$8,IF(B146&lt;=Hypothèses!$C$9,Hypothèses!$F$9,IF(B146&lt;=Hypothèses!$C$10,Hypothèses!$F$10,IF(B146&lt;=Hypothèses!$C$11,Hypothèses!$F$11,IF(B146&lt;=Hypothèses!$C$12,Hypothèses!$F$12,IF(B146&lt;=Hypothèses!$C$13,Hypothèses!$F$13,IF(B146&lt;=Hypothèses!$C$14,Hypothèses!$F$14,IF(B146&lt;=Hypothèses!$C$15,Hypothèses!$F$15,IF(B146&lt;=Hypothèses!$C$16,Hypothèses!$F$16,IF(B146&lt;=Hypothèses!$C$17,Hypothèses!$F$17,IF(B146&lt;=Hypothèses!$C$18,Hypothèses!$F$18,F145))))))))))))</f>
        <v/>
      </c>
      <c r="G146" s="91">
        <f t="array" ref="G146">INDEX('Coeff EC7'!$U$7:$X$27,
MATCH(Model0.1T!$B$3,'Coeff EC7'!$T$7:$T$27,0),
MATCH(Model0.1T!$D146&amp;Model0.1T!$B$4,
'Coeff EC7'!$U$6:$X$6&amp;
'Coeff EC7'!$U$5:$X$5,0))</f>
        <v>1.4</v>
      </c>
      <c r="H146" s="91">
        <f t="array" ref="H146">INDEX('Coeff EC7'!$Y$7:$AB$27,
MATCH(Model0.1T!$B$3,'Coeff EC7'!$T$7:$T$27,0),
MATCH(Model0.1T!$D146&amp;Model0.1T!$B$4,
'Coeff EC7'!$Y$6:$AB$6&amp;
'Coeff EC7'!$Y$5:$AB$5,0))</f>
        <v>1.7</v>
      </c>
      <c r="I146" s="83">
        <v>0</v>
      </c>
      <c r="J146" s="91" t="e">
        <f t="array" ref="J146">INDEX('Coeff EC7'!$D$33:$Q$33,1,MATCH(D146&amp;E146,'Coeff EC7'!$D$31:$Q$31&amp;'Coeff EC7'!$D$32:$Q$32,0))</f>
        <v>#N/A</v>
      </c>
      <c r="K146" s="91" t="e">
        <f t="array" ref="K146">INDEX('Coeff EC7'!$D$34:$Q$34,1,MATCH(D146&amp;E146,'Coeff EC7'!$D$31:$Q$31&amp;'Coeff EC7'!$D$32:$Q$32,0))</f>
        <v>#N/A</v>
      </c>
      <c r="L146" s="91" t="e">
        <f t="array" ref="L146">INDEX('Coeff EC7'!$D$35:$Q$35,1,MATCH(D146&amp;E146,'Coeff EC7'!$D$31:$Q$31&amp;'Coeff EC7'!$D$32:$Q$32,0))</f>
        <v>#N/A</v>
      </c>
      <c r="M146" s="98" t="e">
        <f t="shared" si="231"/>
        <v>#N/A</v>
      </c>
      <c r="N146" s="99" t="e">
        <f t="array" ref="N146">INDEX('Coeff EC7'!$D$7:$Q$27,MATCH($B$3,'Coeff EC7'!$C$7:$C$27,0),MATCH(D146&amp;E146,'Coeff EC7'!$D$5:$Q$5&amp;'Coeff EC7'!$D$6:$Q$6,0))</f>
        <v>#N/A</v>
      </c>
      <c r="O146" s="99" t="e">
        <f t="array" ref="O146">INDEX('Coeff EC7'!$D$41:$Q$61,MATCH($B$3,'Coeff EC7'!$C$41:$C$61,0),MATCH(D146&amp;E146,'Coeff EC7'!$D$39:$Q$39&amp;'Coeff EC7'!$D$40:$Q$40,0))</f>
        <v>#N/A</v>
      </c>
      <c r="P146" s="30" t="e">
        <f t="shared" si="266"/>
        <v>#N/A</v>
      </c>
      <c r="Q146" s="100" t="e">
        <f t="shared" si="233"/>
        <v>#N/A</v>
      </c>
      <c r="R146" s="86" t="b">
        <f t="shared" si="234"/>
        <v>0</v>
      </c>
      <c r="S146" s="86">
        <f t="shared" si="232"/>
        <v>0.5</v>
      </c>
      <c r="T146" s="86">
        <f t="shared" si="235"/>
        <v>0.5</v>
      </c>
      <c r="U146" s="30" t="e">
        <f t="shared" ca="1" si="267"/>
        <v>#DIV/0!</v>
      </c>
      <c r="V146" s="85" t="str">
        <f>IF(B146&lt;=Hypothèses!$V$7,Hypothèses!$W$7,IF(B146&lt;=Hypothèses!$V$8,Hypothèses!$W$8,IF(B146&lt;=Hypothèses!$V$9,Hypothèses!$W$9,IF(B146&lt;=Hypothèses!$V$10,Hypothèses!$W$10,IF(B146&lt;=Hypothèses!$V$11,Hypothèses!$W$11,IF(B146&lt;=Hypothèses!$V$12,Hypothèses!$W$12,IF(B146&lt;=Hypothèses!$V$13,Hypothèses!$W$13,IF(B146&lt;=Hypothèses!$V$14,Hypothèses!$W$14,IF(B146&lt;=Hypothèses!$V$15,Hypothèses!$W$15,IF(B146&lt;=Hypothèses!$V$16,Hypothèses!$W$16,IF(B146&lt;=Hypothèses!$V$17,Hypothèses!$W$17,IF(B146&lt;=Hypothèses!$V$18,Hypothèses!$W$18,""))))))))))))</f>
        <v/>
      </c>
      <c r="W146" s="87" t="e">
        <f t="shared" ca="1" si="316"/>
        <v>#DIV/0!</v>
      </c>
      <c r="X146" s="88" t="str">
        <f>IF(B146&lt;=Hypothèses!$V$7,Hypothèses!$X$7,IF(B146&lt;=Hypothèses!$V$8,Hypothèses!$X$8,IF(B146&lt;=Hypothèses!$V$9,Hypothèses!$X$9,IF(B146&lt;=Hypothèses!$V$10,Hypothèses!$X$10,IF(B146&lt;=Hypothèses!$V$11,Hypothèses!$X$11,IF(B146&lt;=Hypothèses!$V$12,Hypothèses!$X$12,IF(B146&lt;=Hypothèses!$V$13,Hypothèses!$X$13,IF(B146&lt;=Hypothèses!$V$14,Hypothèses!$X$14,IF(B146&lt;=Hypothèses!$V$15,Hypothèses!$X$15,IF(B146&lt;=Hypothèses!$V$16,Hypothèses!$X$16,IF(B146&lt;=Hypothèses!$U$17,Hypothèses!$W$17,IF(B146&lt;=Hypothèses!$U$18,Hypothèses!$W$18,""))))))))))))</f>
        <v/>
      </c>
      <c r="Y146" s="95" t="e">
        <f t="shared" ca="1" si="236"/>
        <v>#DIV/0!</v>
      </c>
      <c r="Z146" s="101">
        <f t="shared" si="237"/>
        <v>0</v>
      </c>
      <c r="AA146" s="91">
        <f t="shared" si="238"/>
        <v>0</v>
      </c>
      <c r="AB146" s="30" t="e">
        <f t="shared" si="300"/>
        <v>#N/A</v>
      </c>
      <c r="AC146" s="30" t="e">
        <f t="shared" si="301"/>
        <v>#N/A</v>
      </c>
      <c r="AD146" s="31" t="e">
        <f>IF(OR(Hypothèses!$B$4=17,Hypothèses!$B$4=18,Hypothèses!$B$4=19,Hypothèses!$B$4=20),
IF($D146="Pressio.",
IF(OR($E146=3,$E146=1,$E146=4),AC146,AB146),
IF($D146="Pénétro.",
IF(OR($E146=3,$E146=1,$E146=4),AC146,AB146))),IF($D146="Pressio.",
IF($E146=3,AC146,AB146),
IF($D146="Pénétro.",
IF($E146=4,AC146,AB146))))</f>
        <v>#N/A</v>
      </c>
      <c r="AE146" s="31">
        <v>0</v>
      </c>
      <c r="AF146" s="102" t="e">
        <f>IF(NDC!$H$10="Oui",(VLOOKUP($B$3,'Coeff EC7'!$T$39:$X$59,2,0)*AD146+VLOOKUP($B$3,'Coeff EC7'!$T$65:$X$85,2,0)*Model0.1T!AE146)/1.5,PI()*AB$12*$Q146*($B146-$B145)*0.15/10+AF145)</f>
        <v>#N/A</v>
      </c>
      <c r="AG146" s="102" t="e">
        <f>(VLOOKUP($B$3,'Coeff EC7'!$T$39:$X$59,3,0)*AD146+VLOOKUP($B$3,'Coeff EC7'!$T$65:$X$85,3,0)*Model0.1T!AE146)/1.1</f>
        <v>#N/A</v>
      </c>
      <c r="AH146" s="102" t="e">
        <f t="shared" si="268"/>
        <v>#N/A</v>
      </c>
      <c r="AI146" s="102" t="e">
        <f t="shared" si="269"/>
        <v>#N/A</v>
      </c>
      <c r="AJ146" s="414" t="e">
        <f>IF(AND(AF146&gt;NDC!$C$63,AG146&gt;NDC!$C$65,AH146&gt;NDC!$D$73,AI146&gt;NDC!$D$74,$B146&gt;NDC!$H$22-0.1+MIN(3*$AJ$12,1.5)),0,1)</f>
        <v>#N/A</v>
      </c>
      <c r="AK146" s="86" t="b">
        <f t="shared" si="239"/>
        <v>0</v>
      </c>
      <c r="AL146" s="86">
        <f t="shared" si="270"/>
        <v>0.5</v>
      </c>
      <c r="AM146" s="86">
        <f t="shared" si="240"/>
        <v>0.5</v>
      </c>
      <c r="AN146" s="30" t="e">
        <f t="shared" ca="1" si="271"/>
        <v>#DIV/0!</v>
      </c>
      <c r="AO146" s="85" t="e">
        <f ca="1">IF(U146&lt;=Hypothèses!$V$7,Hypothèses!$W$7,IF(U146&lt;=Hypothèses!$V$8,Hypothèses!$W$8,IF(U146&lt;=Hypothèses!$V$9,Hypothèses!$W$9,IF(U146&lt;=Hypothèses!$V$10,Hypothèses!$W$10,IF(U146&lt;=Hypothèses!$V$11,Hypothèses!$W$11,IF(U146&lt;=Hypothèses!$V$12,Hypothèses!$W$12,IF(U146&lt;=Hypothèses!$V$13,Hypothèses!$W$13,IF(U146&lt;=Hypothèses!$V$14,Hypothèses!$W$14,IF(U146&lt;=Hypothèses!$V$15,Hypothèses!$W$15,IF(U146&lt;=Hypothèses!$V$16,Hypothèses!$W$16,IF(U146&lt;=Hypothèses!$V$17,Hypothèses!$W$17,IF(U146&lt;=Hypothèses!$V$18,Hypothèses!$W$18,""))))))))))))</f>
        <v>#DIV/0!</v>
      </c>
      <c r="AP146" s="87" t="e">
        <f t="shared" ca="1" si="317"/>
        <v>#DIV/0!</v>
      </c>
      <c r="AQ146" s="88" t="e">
        <f ca="1">IF(U146&lt;=Hypothèses!$V$7,Hypothèses!$X$7,IF(U146&lt;=Hypothèses!$V$8,Hypothèses!$X$8,IF(U146&lt;=Hypothèses!$V$9,Hypothèses!$X$9,IF(U146&lt;=Hypothèses!$V$10,Hypothèses!$X$10,IF(U146&lt;=Hypothèses!$V$11,Hypothèses!$X$11,IF(U146&lt;=Hypothèses!$V$12,Hypothèses!$X$12,IF(U146&lt;=Hypothèses!$V$13,Hypothèses!$X$13,IF(U146&lt;=Hypothèses!$V$14,Hypothèses!$X$14,IF(U146&lt;=Hypothèses!$V$15,Hypothèses!$X$15,IF(U146&lt;=Hypothèses!$V$16,Hypothèses!$X$16,IF(U146&lt;=Hypothèses!$U$17,Hypothèses!$W$17,IF(U146&lt;=Hypothèses!$U$18,Hypothèses!$W$18,""))))))))))))</f>
        <v>#DIV/0!</v>
      </c>
      <c r="AR146" s="95" t="e">
        <f t="shared" ca="1" si="272"/>
        <v>#DIV/0!</v>
      </c>
      <c r="AS146" s="101">
        <f t="shared" ref="AS146:AS209" si="324">IF($I146=0,0,
IF(AR146&gt;5*AW$12,$I146,
IF($D146="Pressio.",1+($I146-1)*(AR146/AW$12)/5,
IF($D146="Pénétro.",IF($E146=1,0.3+($I146-0.3)*(AR146/AW$12)/5,
IF($E146=2,0.2+($I146-0.2)*(AR146/AW$12)/5,
IF($E146=3,0.1+($I146-0.1)*(AR146/AW$12)/5,
0.15+($I146-0.15)*(AR146/AW$12)/5)))))))</f>
        <v>0</v>
      </c>
      <c r="AT146" s="91">
        <f t="shared" si="241"/>
        <v>0</v>
      </c>
      <c r="AU146" s="30" t="e">
        <f t="shared" si="302"/>
        <v>#N/A</v>
      </c>
      <c r="AV146" s="30" t="e">
        <f t="shared" si="303"/>
        <v>#N/A</v>
      </c>
      <c r="AW146" s="31" t="e">
        <f>IF(OR(Hypothèses!$B$4=17,Hypothèses!$B$4=18,Hypothèses!$B$4=19,Hypothèses!$B$4=20),
IF($D146="Pressio.",
IF(OR($E146=3,$E146=1,$E146=4),AV146,AU146),
IF($D146="Pénétro.",
IF(OR($E146=3,$E146=1,$E146=4),AV146,AU146))),IF($D146="Pressio.",
IF($E146=3,AV146,AU146),
IF($D146="Pénétro.",
IF($E146=4,AV146,AU146))))</f>
        <v>#N/A</v>
      </c>
      <c r="AX146" s="31">
        <v>0</v>
      </c>
      <c r="AY146" s="102" t="e">
        <f>IF(NDC!$H$10="Oui",(VLOOKUP($B$3,'Coeff EC7'!$T$39:$X$59,2,0)*AW146+VLOOKUP($B$3,'Coeff EC7'!$T$65:$X$85,2,0)*Model0.1T!AX146)/1.5,PI()*AU$12*$Q146*($B146-$B145)*0.15/10+AY145)</f>
        <v>#N/A</v>
      </c>
      <c r="AZ146" s="102" t="e">
        <f>(VLOOKUP($B$3,'Coeff EC7'!$T$39:$X$59,3,0)*AW146+VLOOKUP($B$3,'Coeff EC7'!$T$65:$X$85,3,0)*Model0.1T!AX146)/1.1</f>
        <v>#N/A</v>
      </c>
      <c r="BA146" s="102" t="e">
        <f t="shared" si="273"/>
        <v>#N/A</v>
      </c>
      <c r="BB146" s="102" t="e">
        <f t="shared" si="274"/>
        <v>#N/A</v>
      </c>
      <c r="BC146" s="414" t="e">
        <f>IF(AND(AY146&gt;NDC!$C$63,AZ146&gt;NDC!$C$65,BA146&gt;NDC!$D$73,BB146&gt;NDC!$D$74,$B146&gt;NDC!$H$22-0.1+MIN(3*BC$12,1.5)),0,1)</f>
        <v>#N/A</v>
      </c>
      <c r="BD146" s="86" t="b">
        <f t="shared" si="242"/>
        <v>0</v>
      </c>
      <c r="BE146" s="86">
        <f t="shared" si="275"/>
        <v>0.5</v>
      </c>
      <c r="BF146" s="86">
        <f t="shared" si="243"/>
        <v>0.5</v>
      </c>
      <c r="BG146" s="30" t="e">
        <f t="shared" ca="1" si="276"/>
        <v>#DIV/0!</v>
      </c>
      <c r="BH146" s="85" t="e">
        <f ca="1">IF(AN146&lt;=Hypothèses!$V$7,Hypothèses!$W$7,IF(AN146&lt;=Hypothèses!$V$8,Hypothèses!$W$8,IF(AN146&lt;=Hypothèses!$V$9,Hypothèses!$W$9,IF(AN146&lt;=Hypothèses!$V$10,Hypothèses!$W$10,IF(AN146&lt;=Hypothèses!$V$11,Hypothèses!$W$11,IF(AN146&lt;=Hypothèses!$V$12,Hypothèses!$W$12,IF(AN146&lt;=Hypothèses!$V$13,Hypothèses!$W$13,IF(AN146&lt;=Hypothèses!$V$14,Hypothèses!$W$14,IF(AN146&lt;=Hypothèses!$V$15,Hypothèses!$W$15,IF(AN146&lt;=Hypothèses!$V$16,Hypothèses!$W$16,IF(AN146&lt;=Hypothèses!$V$17,Hypothèses!$W$17,IF(AN146&lt;=Hypothèses!$V$18,Hypothèses!$W$18,""))))))))))))</f>
        <v>#DIV/0!</v>
      </c>
      <c r="BI146" s="87" t="e">
        <f t="shared" ca="1" si="318"/>
        <v>#DIV/0!</v>
      </c>
      <c r="BJ146" s="88" t="e">
        <f ca="1">IF(AN146&lt;=Hypothèses!$V$7,Hypothèses!$X$7,IF(AN146&lt;=Hypothèses!$V$8,Hypothèses!$X$8,IF(AN146&lt;=Hypothèses!$V$9,Hypothèses!$X$9,IF(AN146&lt;=Hypothèses!$V$10,Hypothèses!$X$10,IF(AN146&lt;=Hypothèses!$V$11,Hypothèses!$X$11,IF(AN146&lt;=Hypothèses!$V$12,Hypothèses!$X$12,IF(AN146&lt;=Hypothèses!$V$13,Hypothèses!$X$13,IF(AN146&lt;=Hypothèses!$V$14,Hypothèses!$X$14,IF(AN146&lt;=Hypothèses!$V$15,Hypothèses!$X$15,IF(AN146&lt;=Hypothèses!$V$16,Hypothèses!$X$16,IF(AN146&lt;=Hypothèses!$U$17,Hypothèses!$W$17,IF(AN146&lt;=Hypothèses!$U$18,Hypothèses!$W$18,""))))))))))))</f>
        <v>#DIV/0!</v>
      </c>
      <c r="BK146" s="95" t="e">
        <f t="shared" ca="1" si="277"/>
        <v>#DIV/0!</v>
      </c>
      <c r="BL146" s="101">
        <f t="shared" ref="BL146:BL209" si="325">IF($I146=0,0,
IF(BK146&gt;5*BP$12,$I146,
IF($D146="Pressio.",1+($I146-1)*(BK146/BP$12)/5,
IF($D146="Pénétro.",IF($E146=1,0.3+($I146-0.3)*(BK146/BP$12)/5,
IF($E146=2,0.2+($I146-0.2)*(BK146/BP$12)/5,
IF($E146=3,0.1+($I146-0.1)*(BK146/BP$12)/5,
0.15+($I146-0.15)*(BK146/BP$12)/5)))))))</f>
        <v>0</v>
      </c>
      <c r="BM146" s="91">
        <f t="shared" si="244"/>
        <v>0</v>
      </c>
      <c r="BN146" s="30" t="e">
        <f t="shared" si="304"/>
        <v>#N/A</v>
      </c>
      <c r="BO146" s="30" t="e">
        <f t="shared" si="305"/>
        <v>#N/A</v>
      </c>
      <c r="BP146" s="31" t="e">
        <f>IF(OR(Hypothèses!$B$4=17,Hypothèses!$B$4=18,Hypothèses!$B$4=19,Hypothèses!$B$4=20),
IF($D146="Pressio.",
IF(OR($E146=3,$E146=1,$E146=4),BO146,BN146),
IF($D146="Pénétro.",
IF(OR($E146=3,$E146=1,$E146=4),BO146,BN146))),IF($D146="Pressio.",
IF($E146=3,BO146,BN146),
IF($D146="Pénétro.",
IF($E146=4,BO146,BN146))))</f>
        <v>#N/A</v>
      </c>
      <c r="BQ146" s="31">
        <v>0</v>
      </c>
      <c r="BR146" s="102" t="e">
        <f>IF(NDC!$H$10="Oui",(VLOOKUP($B$3,'Coeff EC7'!$T$39:$X$59,2,0)*BP146+VLOOKUP($B$3,'Coeff EC7'!$T$65:$X$85,2,0)*Model0.1T!BQ146)/1.5,PI()*BN$12*$Q146*($B146-$B145)*0.15/10+BR145)</f>
        <v>#N/A</v>
      </c>
      <c r="BS146" s="102" t="e">
        <f>(VLOOKUP($B$3,'Coeff EC7'!$T$39:$X$59,3,0)*BP146+VLOOKUP($B$3,'Coeff EC7'!$T$65:$X$85,3,0)*Model0.1T!BQ146)/1.1</f>
        <v>#N/A</v>
      </c>
      <c r="BT146" s="102" t="e">
        <f t="shared" si="278"/>
        <v>#N/A</v>
      </c>
      <c r="BU146" s="102" t="e">
        <f t="shared" si="279"/>
        <v>#N/A</v>
      </c>
      <c r="BV146" s="414" t="e">
        <f>IF(AND(BR146&gt;NDC!$C$63,BS146&gt;NDC!$C$65,BT146&gt;NDC!$D$73,BU146&gt;NDC!$D$74,$B146&gt;NDC!$H$22-0.1+MIN(3*BV$12,1.5)),0,1)</f>
        <v>#N/A</v>
      </c>
      <c r="BW146" s="86" t="b">
        <f t="shared" si="245"/>
        <v>0</v>
      </c>
      <c r="BX146" s="86">
        <f t="shared" si="246"/>
        <v>0.5</v>
      </c>
      <c r="BY146" s="86">
        <f t="shared" si="247"/>
        <v>0.5</v>
      </c>
      <c r="BZ146" s="30" t="e">
        <f t="shared" ca="1" si="280"/>
        <v>#DIV/0!</v>
      </c>
      <c r="CA146" s="85" t="e">
        <f ca="1">IF(BG146&lt;=Hypothèses!$V$7,Hypothèses!$W$7,IF(BG146&lt;=Hypothèses!$V$8,Hypothèses!$W$8,IF(BG146&lt;=Hypothèses!$V$9,Hypothèses!$W$9,IF(BG146&lt;=Hypothèses!$V$10,Hypothèses!$W$10,IF(BG146&lt;=Hypothèses!$V$11,Hypothèses!$W$11,IF(BG146&lt;=Hypothèses!$V$12,Hypothèses!$W$12,IF(BG146&lt;=Hypothèses!$V$13,Hypothèses!$W$13,IF(BG146&lt;=Hypothèses!$V$14,Hypothèses!$W$14,IF(BG146&lt;=Hypothèses!$V$15,Hypothèses!$W$15,IF(BG146&lt;=Hypothèses!$V$16,Hypothèses!$W$16,IF(BG146&lt;=Hypothèses!$V$17,Hypothèses!$W$17,IF(BG146&lt;=Hypothèses!$V$18,Hypothèses!$W$18,""))))))))))))</f>
        <v>#DIV/0!</v>
      </c>
      <c r="CB146" s="87" t="e">
        <f t="shared" ca="1" si="319"/>
        <v>#DIV/0!</v>
      </c>
      <c r="CC146" s="88" t="e">
        <f ca="1">IF(BG146&lt;=Hypothèses!$V$7,Hypothèses!$X$7,IF(BG146&lt;=Hypothèses!$V$8,Hypothèses!$X$8,IF(BG146&lt;=Hypothèses!$V$9,Hypothèses!$X$9,IF(BG146&lt;=Hypothèses!$V$10,Hypothèses!$X$10,IF(BG146&lt;=Hypothèses!$V$11,Hypothèses!$X$11,IF(BG146&lt;=Hypothèses!$V$12,Hypothèses!$X$12,IF(BG146&lt;=Hypothèses!$V$13,Hypothèses!$X$13,IF(BG146&lt;=Hypothèses!$V$14,Hypothèses!$X$14,IF(BG146&lt;=Hypothèses!$V$15,Hypothèses!$X$15,IF(BG146&lt;=Hypothèses!$V$16,Hypothèses!$X$16,IF(BG146&lt;=Hypothèses!$U$17,Hypothèses!$W$17,IF(BG146&lt;=Hypothèses!$U$18,Hypothèses!$W$18,""))))))))))))</f>
        <v>#DIV/0!</v>
      </c>
      <c r="CD146" s="95" t="e">
        <f t="shared" ca="1" si="281"/>
        <v>#DIV/0!</v>
      </c>
      <c r="CE146" s="101">
        <f t="shared" ref="CE146:CE209" si="326">IF($I146=0,0,
IF(CD146&gt;5*CI$12,$I146,
IF($D146="Pressio.",1+($I146-1)*(CD146/CI$12)/5,
IF($D146="Pénétro.",IF($E146=1,0.3+($I146-0.3)*(CD146/CI$12)/5,
IF($E146=2,0.2+($I146-0.2)*(CD146/CI$12)/5,
IF($E146=3,0.1+($I146-0.1)*(CD146/CI$12)/5,
0.15+($I146-0.15)*(CD146/CI$12)/5)))))))</f>
        <v>0</v>
      </c>
      <c r="CF146" s="91">
        <f t="shared" si="248"/>
        <v>0</v>
      </c>
      <c r="CG146" s="30" t="e">
        <f t="shared" si="306"/>
        <v>#N/A</v>
      </c>
      <c r="CH146" s="30" t="e">
        <f t="shared" si="307"/>
        <v>#N/A</v>
      </c>
      <c r="CI146" s="31" t="e">
        <f>IF(OR(Hypothèses!$B$4=17,Hypothèses!$B$4=18,Hypothèses!$B$4=19,Hypothèses!$B$4=20),
IF($D146="Pressio.",
IF(OR($E146=3,$E146=1,$E146=4),CH146,CG146),
IF($D146="Pénétro.",
IF(OR($E146=3,$E146=1,$E146=4),CH146,CG146))),IF($D146="Pressio.",
IF($E146=3,CH146,CG146),
IF($D146="Pénétro.",
IF($E146=4,CH146,CG146))))</f>
        <v>#N/A</v>
      </c>
      <c r="CJ146" s="31">
        <v>0</v>
      </c>
      <c r="CK146" s="102" t="e">
        <f>IF(NDC!$H$10="Oui",(VLOOKUP($B$3,'Coeff EC7'!$T$39:$X$59,2,0)*CI146+VLOOKUP($B$3,'Coeff EC7'!$T$65:$X$85,2,0)*Model0.1T!CJ146)/1.5,PI()*CG$12*$Q146*($B146-$B145)*0.15/10+CK145)</f>
        <v>#N/A</v>
      </c>
      <c r="CL146" s="102" t="e">
        <f>(VLOOKUP($B$3,'Coeff EC7'!$T$39:$X$59,3,0)*CI146+VLOOKUP($B$3,'Coeff EC7'!$T$65:$X$85,3,0)*Model0.1T!CJ146)/1.1</f>
        <v>#N/A</v>
      </c>
      <c r="CM146" s="102" t="e">
        <f t="shared" si="282"/>
        <v>#N/A</v>
      </c>
      <c r="CN146" s="102" t="e">
        <f t="shared" si="283"/>
        <v>#N/A</v>
      </c>
      <c r="CO146" s="414" t="e">
        <f>IF(AND(CK146&gt;NDC!$C$63,CL146&gt;NDC!$C$65,CM146&gt;NDC!$D$73,CN146&gt;NDC!$D$74,$B146&gt;NDC!$H$22-0.1+MIN(3*CO$12,1.5)),0,1)</f>
        <v>#N/A</v>
      </c>
      <c r="CP146" s="86" t="b">
        <f t="shared" si="249"/>
        <v>0</v>
      </c>
      <c r="CQ146" s="86">
        <f t="shared" si="250"/>
        <v>0.5</v>
      </c>
      <c r="CR146" s="86">
        <f t="shared" si="251"/>
        <v>0.5</v>
      </c>
      <c r="CS146" s="30" t="e">
        <f t="shared" ca="1" si="284"/>
        <v>#DIV/0!</v>
      </c>
      <c r="CT146" s="85" t="e">
        <f ca="1">IF(BZ146&lt;=Hypothèses!$V$7,Hypothèses!$W$7,IF(BZ146&lt;=Hypothèses!$V$8,Hypothèses!$W$8,IF(BZ146&lt;=Hypothèses!$V$9,Hypothèses!$W$9,IF(BZ146&lt;=Hypothèses!$V$10,Hypothèses!$W$10,IF(BZ146&lt;=Hypothèses!$V$11,Hypothèses!$W$11,IF(BZ146&lt;=Hypothèses!$V$12,Hypothèses!$W$12,IF(BZ146&lt;=Hypothèses!$V$13,Hypothèses!$W$13,IF(BZ146&lt;=Hypothèses!$V$14,Hypothèses!$W$14,IF(BZ146&lt;=Hypothèses!$V$15,Hypothèses!$W$15,IF(BZ146&lt;=Hypothèses!$V$16,Hypothèses!$W$16,IF(BZ146&lt;=Hypothèses!$V$17,Hypothèses!$W$17,IF(BZ146&lt;=Hypothèses!$V$18,Hypothèses!$W$18,""))))))))))))</f>
        <v>#DIV/0!</v>
      </c>
      <c r="CU146" s="87" t="e">
        <f t="shared" ca="1" si="320"/>
        <v>#DIV/0!</v>
      </c>
      <c r="CV146" s="88" t="e">
        <f ca="1">IF(BZ146&lt;=Hypothèses!$V$7,Hypothèses!$X$7,IF(BZ146&lt;=Hypothèses!$V$8,Hypothèses!$X$8,IF(BZ146&lt;=Hypothèses!$V$9,Hypothèses!$X$9,IF(BZ146&lt;=Hypothèses!$V$10,Hypothèses!$X$10,IF(BZ146&lt;=Hypothèses!$V$11,Hypothèses!$X$11,IF(BZ146&lt;=Hypothèses!$V$12,Hypothèses!$X$12,IF(BZ146&lt;=Hypothèses!$V$13,Hypothèses!$X$13,IF(BZ146&lt;=Hypothèses!$V$14,Hypothèses!$X$14,IF(BZ146&lt;=Hypothèses!$V$15,Hypothèses!$X$15,IF(BZ146&lt;=Hypothèses!$V$16,Hypothèses!$X$16,IF(BZ146&lt;=Hypothèses!$U$17,Hypothèses!$W$17,IF(BZ146&lt;=Hypothèses!$U$18,Hypothèses!$W$18,""))))))))))))</f>
        <v>#DIV/0!</v>
      </c>
      <c r="CW146" s="95" t="e">
        <f t="shared" ca="1" si="285"/>
        <v>#DIV/0!</v>
      </c>
      <c r="CX146" s="101">
        <f t="shared" ref="CX146:CX209" si="327">IF($I146=0,0,
IF(CW146&gt;5*DB$12,$I146,
IF($D146="Pressio.",1+($I146-1)*(CW146/DB$12)/5,
IF($D146="Pénétro.",IF($E146=1,0.3+($I146-0.3)*(CW146/DB$12)/5,
IF($E146=2,0.2+($I146-0.2)*(CW146/DB$12)/5,
IF($E146=3,0.1+($I146-0.1)*(CW146/DB$12)/5,
0.15+($I146-0.15)*(CW146/DB$12)/5)))))))</f>
        <v>0</v>
      </c>
      <c r="CY146" s="91">
        <f t="shared" si="252"/>
        <v>0</v>
      </c>
      <c r="CZ146" s="30" t="e">
        <f t="shared" si="308"/>
        <v>#N/A</v>
      </c>
      <c r="DA146" s="30" t="e">
        <f t="shared" si="309"/>
        <v>#N/A</v>
      </c>
      <c r="DB146" s="31" t="e">
        <f>IF(OR(Hypothèses!$B$4=17,Hypothèses!$B$4=18,Hypothèses!$B$4=19,Hypothèses!$B$4=20),
IF($D146="Pressio.",
IF(OR($E146=3,$E146=1,$E146=4),DA146,CZ146),
IF($D146="Pénétro.",
IF(OR($E146=3,$E146=1,$E146=4),DA146,CZ146))),IF($D146="Pressio.",
IF($E146=3,DA146,CZ146),
IF($D146="Pénétro.",
IF($E146=4,DA146,CZ146))))</f>
        <v>#N/A</v>
      </c>
      <c r="DC146" s="31">
        <v>0</v>
      </c>
      <c r="DD146" s="102" t="e">
        <f>IF(NDC!$H$10="Oui",(VLOOKUP($B$3,'Coeff EC7'!$T$39:$X$59,2,0)*DB146+VLOOKUP($B$3,'Coeff EC7'!$T$65:$X$85,2,0)*Model0.1T!DC146)/1.5,PI()*CZ$12*$Q146*($B146-$B145)*0.15/10+DD145)</f>
        <v>#N/A</v>
      </c>
      <c r="DE146" s="102" t="e">
        <f>(VLOOKUP($B$3,'Coeff EC7'!$T$39:$X$59,3,0)*DB146+VLOOKUP($B$3,'Coeff EC7'!$T$65:$X$85,3,0)*Model0.1T!DC146)/1.1</f>
        <v>#N/A</v>
      </c>
      <c r="DF146" s="102" t="e">
        <f t="shared" si="286"/>
        <v>#N/A</v>
      </c>
      <c r="DG146" s="102" t="e">
        <f t="shared" si="287"/>
        <v>#N/A</v>
      </c>
      <c r="DH146" s="414" t="e">
        <f>IF(AND(DD146&gt;NDC!$C$63,DE146&gt;NDC!$C$65,DF146&gt;NDC!$D$73,DG146&gt;NDC!$D$74,$B146&gt;NDC!$H$22-0.1+MIN(3*DH$12,1.5)),0,1)</f>
        <v>#N/A</v>
      </c>
      <c r="DI146" s="86" t="b">
        <f t="shared" si="253"/>
        <v>0</v>
      </c>
      <c r="DJ146" s="86">
        <f t="shared" si="254"/>
        <v>0.5</v>
      </c>
      <c r="DK146" s="86">
        <f t="shared" si="255"/>
        <v>0.5</v>
      </c>
      <c r="DL146" s="30" t="e">
        <f t="shared" ca="1" si="288"/>
        <v>#DIV/0!</v>
      </c>
      <c r="DM146" s="85" t="e">
        <f ca="1">IF(CS146&lt;=Hypothèses!$V$7,Hypothèses!$W$7,IF(CS146&lt;=Hypothèses!$V$8,Hypothèses!$W$8,IF(CS146&lt;=Hypothèses!$V$9,Hypothèses!$W$9,IF(CS146&lt;=Hypothèses!$V$10,Hypothèses!$W$10,IF(CS146&lt;=Hypothèses!$V$11,Hypothèses!$W$11,IF(CS146&lt;=Hypothèses!$V$12,Hypothèses!$W$12,IF(CS146&lt;=Hypothèses!$V$13,Hypothèses!$W$13,IF(CS146&lt;=Hypothèses!$V$14,Hypothèses!$W$14,IF(CS146&lt;=Hypothèses!$V$15,Hypothèses!$W$15,IF(CS146&lt;=Hypothèses!$V$16,Hypothèses!$W$16,IF(CS146&lt;=Hypothèses!$V$17,Hypothèses!$W$17,IF(CS146&lt;=Hypothèses!$V$18,Hypothèses!$W$18,""))))))))))))</f>
        <v>#DIV/0!</v>
      </c>
      <c r="DN146" s="87" t="e">
        <f t="shared" ca="1" si="321"/>
        <v>#DIV/0!</v>
      </c>
      <c r="DO146" s="88" t="e">
        <f ca="1">IF(CS146&lt;=Hypothèses!$V$7,Hypothèses!$X$7,IF(CS146&lt;=Hypothèses!$V$8,Hypothèses!$X$8,IF(CS146&lt;=Hypothèses!$V$9,Hypothèses!$X$9,IF(CS146&lt;=Hypothèses!$V$10,Hypothèses!$X$10,IF(CS146&lt;=Hypothèses!$V$11,Hypothèses!$X$11,IF(CS146&lt;=Hypothèses!$V$12,Hypothèses!$X$12,IF(CS146&lt;=Hypothèses!$V$13,Hypothèses!$X$13,IF(CS146&lt;=Hypothèses!$V$14,Hypothèses!$X$14,IF(CS146&lt;=Hypothèses!$V$15,Hypothèses!$X$15,IF(CS146&lt;=Hypothèses!$V$16,Hypothèses!$X$16,IF(CS146&lt;=Hypothèses!$U$17,Hypothèses!$W$17,IF(CS146&lt;=Hypothèses!$U$18,Hypothèses!$W$18,""))))))))))))</f>
        <v>#DIV/0!</v>
      </c>
      <c r="DP146" s="95" t="e">
        <f t="shared" ca="1" si="289"/>
        <v>#DIV/0!</v>
      </c>
      <c r="DQ146" s="101">
        <f t="shared" ref="DQ146:DQ209" si="328">IF($I146=0,0,
IF(DP146&gt;5*DU$12,$I146,
IF($D146="Pressio.",1+($I146-1)*(DP146/DU$12)/5,
IF($D146="Pénétro.",IF($E146=1,0.3+($I146-0.3)*(DP146/DU$12)/5,
IF($E146=2,0.2+($I146-0.2)*(DP146/DU$12)/5,
IF($E146=3,0.1+($I146-0.1)*(DP146/DU$12)/5,
0.15+($I146-0.15)*(DP146/DU$12)/5)))))))</f>
        <v>0</v>
      </c>
      <c r="DR146" s="91">
        <f t="shared" si="256"/>
        <v>0</v>
      </c>
      <c r="DS146" s="30" t="e">
        <f t="shared" si="310"/>
        <v>#N/A</v>
      </c>
      <c r="DT146" s="30" t="e">
        <f t="shared" si="311"/>
        <v>#N/A</v>
      </c>
      <c r="DU146" s="31" t="e">
        <f>IF(OR(Hypothèses!$B$4=17,Hypothèses!$B$4=18,Hypothèses!$B$4=19,Hypothèses!$B$4=20),
IF($D146="Pressio.",
IF(OR($E146=3,$E146=1,$E146=4),DT146,DS146),
IF($D146="Pénétro.",
IF(OR($E146=3,$E146=1,$E146=4),DT146,DS146))),IF($D146="Pressio.",
IF($E146=3,DT146,DS146),
IF($D146="Pénétro.",
IF($E146=4,DT146,DS146))))</f>
        <v>#N/A</v>
      </c>
      <c r="DV146" s="31">
        <v>0</v>
      </c>
      <c r="DW146" s="102" t="e">
        <f>IF(NDC!$H$10="Oui",(VLOOKUP($B$3,'Coeff EC7'!$T$39:$X$59,2,0)*DU146+VLOOKUP($B$3,'Coeff EC7'!$T$65:$X$85,2,0)*Model0.1T!DV146)/1.5,PI()*DS$12*$Q146*($B146-$B145)*0.15/10+DW145)</f>
        <v>#N/A</v>
      </c>
      <c r="DX146" s="102" t="e">
        <f>(VLOOKUP($B$3,'Coeff EC7'!$T$39:$X$59,3,0)*DU146+VLOOKUP($B$3,'Coeff EC7'!$T$65:$X$85,3,0)*Model0.1T!DV146)/1.1</f>
        <v>#N/A</v>
      </c>
      <c r="DY146" s="102" t="e">
        <f t="shared" si="290"/>
        <v>#N/A</v>
      </c>
      <c r="DZ146" s="102" t="e">
        <f t="shared" si="291"/>
        <v>#N/A</v>
      </c>
      <c r="EA146" s="414" t="e">
        <f>IF(AND(DW146&gt;NDC!$C$63,DX146&gt;NDC!$C$65,DY146&gt;NDC!$D$73,DZ146&gt;NDC!$D$74,$B146&gt;NDC!$H$22-0.1+MIN(3*EA$12,1.5)),0,1)</f>
        <v>#N/A</v>
      </c>
      <c r="EB146" s="86" t="b">
        <f t="shared" si="257"/>
        <v>0</v>
      </c>
      <c r="EC146" s="418">
        <f t="shared" si="258"/>
        <v>0.51</v>
      </c>
      <c r="ED146" s="86">
        <f t="shared" si="259"/>
        <v>0.51</v>
      </c>
      <c r="EE146" s="30" t="e">
        <f t="shared" ca="1" si="292"/>
        <v>#DIV/0!</v>
      </c>
      <c r="EF146" s="85" t="e">
        <f ca="1">IF(DL146&lt;=Hypothèses!$V$7,Hypothèses!$W$7,IF(DL146&lt;=Hypothèses!$V$8,Hypothèses!$W$8,IF(DL146&lt;=Hypothèses!$V$9,Hypothèses!$W$9,IF(DL146&lt;=Hypothèses!$V$10,Hypothèses!$W$10,IF(DL146&lt;=Hypothèses!$V$11,Hypothèses!$W$11,IF(DL146&lt;=Hypothèses!$V$12,Hypothèses!$W$12,IF(DL146&lt;=Hypothèses!$V$13,Hypothèses!$W$13,IF(DL146&lt;=Hypothèses!$V$14,Hypothèses!$W$14,IF(DL146&lt;=Hypothèses!$V$15,Hypothèses!$W$15,IF(DL146&lt;=Hypothèses!$V$16,Hypothèses!$W$16,IF(DL146&lt;=Hypothèses!$V$17,Hypothèses!$W$17,IF(DL146&lt;=Hypothèses!$V$18,Hypothèses!$W$18,""))))))))))))</f>
        <v>#DIV/0!</v>
      </c>
      <c r="EG146" s="87" t="e">
        <f t="shared" ca="1" si="322"/>
        <v>#DIV/0!</v>
      </c>
      <c r="EH146" s="88" t="e">
        <f ca="1">IF(DL146&lt;=Hypothèses!$V$7,Hypothèses!$X$7,IF(DL146&lt;=Hypothèses!$V$8,Hypothèses!$X$8,IF(DL146&lt;=Hypothèses!$V$9,Hypothèses!$X$9,IF(DL146&lt;=Hypothèses!$V$10,Hypothèses!$X$10,IF(DL146&lt;=Hypothèses!$V$11,Hypothèses!$X$11,IF(DL146&lt;=Hypothèses!$V$12,Hypothèses!$X$12,IF(DL146&lt;=Hypothèses!$V$13,Hypothèses!$X$13,IF(DL146&lt;=Hypothèses!$V$14,Hypothèses!$X$14,IF(DL146&lt;=Hypothèses!$V$15,Hypothèses!$X$15,IF(DL146&lt;=Hypothèses!$V$16,Hypothèses!$X$16,IF(DL146&lt;=Hypothèses!$U$17,Hypothèses!$W$17,IF(DL146&lt;=Hypothèses!$U$18,Hypothèses!$W$18,""))))))))))))</f>
        <v>#DIV/0!</v>
      </c>
      <c r="EI146" s="95" t="e">
        <f t="shared" ca="1" si="293"/>
        <v>#DIV/0!</v>
      </c>
      <c r="EJ146" s="101">
        <f t="shared" ref="EJ146:EJ209" si="329">IF($I146=0,0,
IF(EI146&gt;5*EN$12,$I146,
IF($D146="Pressio.",1+($I146-1)*(EI146/EN$12)/5,
IF($D146="Pénétro.",IF($E146=1,0.3+($I146-0.3)*(EI146/EN$12)/5,
IF($E146=2,0.2+($I146-0.2)*(EI146/EN$12)/5,
IF($E146=3,0.1+($I146-0.1)*(EI146/EN$12)/5,
0.15+($I146-0.15)*(EI146/EN$12)/5)))))))</f>
        <v>0</v>
      </c>
      <c r="EK146" s="91">
        <f t="shared" si="260"/>
        <v>0</v>
      </c>
      <c r="EL146" s="30" t="e">
        <f t="shared" si="312"/>
        <v>#N/A</v>
      </c>
      <c r="EM146" s="30" t="e">
        <f t="shared" si="313"/>
        <v>#N/A</v>
      </c>
      <c r="EN146" s="31" t="e">
        <f>IF(OR(Hypothèses!$B$4=17,Hypothèses!$B$4=18,Hypothèses!$B$4=19,Hypothèses!$B$4=20),
IF($D146="Pressio.",
IF(OR($E146=3,$E146=1,$E146=4),EM146,EL146),
IF($D146="Pénétro.",
IF(OR($E146=3,$E146=1,$E146=4),EM146,EL146))),IF($D146="Pressio.",
IF($E146=3,EM146,EL146),
IF($D146="Pénétro.",
IF($E146=4,EM146,EL146))))</f>
        <v>#N/A</v>
      </c>
      <c r="EO146" s="31">
        <v>0</v>
      </c>
      <c r="EP146" s="102" t="e">
        <f>IF(NDC!$H$10="Oui",(VLOOKUP($B$3,'Coeff EC7'!$T$39:$X$59,2,0)*EN146+VLOOKUP($B$3,'Coeff EC7'!$T$65:$X$85,2,0)*Model0.1T!EO146)/1.5,PI()*EL$12*$Q146*($B146-$B145)*0.15/10+EP145)</f>
        <v>#N/A</v>
      </c>
      <c r="EQ146" s="102" t="e">
        <f>(VLOOKUP($B$3,'Coeff EC7'!$T$39:$X$59,3,0)*EN146+VLOOKUP($B$3,'Coeff EC7'!$T$65:$X$85,3,0)*Model0.1T!EO146)/1.1</f>
        <v>#N/A</v>
      </c>
      <c r="ER146" s="102" t="e">
        <f t="shared" si="294"/>
        <v>#N/A</v>
      </c>
      <c r="ES146" s="102" t="e">
        <f t="shared" si="295"/>
        <v>#N/A</v>
      </c>
      <c r="ET146" s="414" t="e">
        <f>IF(AND(EP146&gt;NDC!$C$63,EQ146&gt;NDC!$C$65,ER146&gt;NDC!$D$73,ES146&gt;NDC!$D$74,$B146&gt;NDC!$H$22-0.1+MIN(3*ET$12,1.5)),0,1)</f>
        <v>#N/A</v>
      </c>
      <c r="EU146" s="86" t="b">
        <f t="shared" si="261"/>
        <v>0</v>
      </c>
      <c r="EV146" s="86">
        <f t="shared" si="262"/>
        <v>0.61</v>
      </c>
      <c r="EW146" s="86">
        <f t="shared" si="263"/>
        <v>0.61</v>
      </c>
      <c r="EX146" s="30" t="e">
        <f t="shared" ca="1" si="296"/>
        <v>#DIV/0!</v>
      </c>
      <c r="EY146" s="85" t="e">
        <f ca="1">IF(EE146&lt;=Hypothèses!$V$7,Hypothèses!$W$7,IF(EE146&lt;=Hypothèses!$V$8,Hypothèses!$W$8,IF(EE146&lt;=Hypothèses!$V$9,Hypothèses!$W$9,IF(EE146&lt;=Hypothèses!$V$10,Hypothèses!$W$10,IF(EE146&lt;=Hypothèses!$V$11,Hypothèses!$W$11,IF(EE146&lt;=Hypothèses!$V$12,Hypothèses!$W$12,IF(EE146&lt;=Hypothèses!$V$13,Hypothèses!$W$13,IF(EE146&lt;=Hypothèses!$V$14,Hypothèses!$W$14,IF(EE146&lt;=Hypothèses!$V$15,Hypothèses!$W$15,IF(EE146&lt;=Hypothèses!$V$16,Hypothèses!$W$16,IF(EE146&lt;=Hypothèses!$V$17,Hypothèses!$W$17,IF(EE146&lt;=Hypothèses!$V$18,Hypothèses!$W$18,""))))))))))))</f>
        <v>#DIV/0!</v>
      </c>
      <c r="EZ146" s="87" t="e">
        <f t="shared" ca="1" si="323"/>
        <v>#DIV/0!</v>
      </c>
      <c r="FA146" s="88" t="e">
        <f ca="1">IF(EE146&lt;=Hypothèses!$V$7,Hypothèses!$X$7,IF(EE146&lt;=Hypothèses!$V$8,Hypothèses!$X$8,IF(EE146&lt;=Hypothèses!$V$9,Hypothèses!$X$9,IF(EE146&lt;=Hypothèses!$V$10,Hypothèses!$X$10,IF(EE146&lt;=Hypothèses!$V$11,Hypothèses!$X$11,IF(EE146&lt;=Hypothèses!$V$12,Hypothèses!$X$12,IF(EE146&lt;=Hypothèses!$V$13,Hypothèses!$X$13,IF(EE146&lt;=Hypothèses!$V$14,Hypothèses!$X$14,IF(EE146&lt;=Hypothèses!$V$15,Hypothèses!$X$15,IF(EE146&lt;=Hypothèses!$V$16,Hypothèses!$X$16,IF(EE146&lt;=Hypothèses!$U$17,Hypothèses!$W$17,IF(EE146&lt;=Hypothèses!$U$18,Hypothèses!$W$18,""))))))))))))</f>
        <v>#DIV/0!</v>
      </c>
      <c r="FB146" s="95" t="e">
        <f t="shared" ca="1" si="297"/>
        <v>#DIV/0!</v>
      </c>
      <c r="FC146" s="101">
        <f t="shared" ref="FC146:FC209" si="330">IF($I146=0,0,
IF(FB146&gt;5*FG$12,$I146,
IF($D146="Pressio.",1+($I146-1)*(FB146/FG$12)/5,
IF($D146="Pénétro.",IF($E146=1,0.3+($I146-0.3)*(FB146/FG$12)/5,
IF($E146=2,0.2+($I146-0.2)*(FB146/FG$12)/5,
IF($E146=3,0.1+($I146-0.1)*(FB146/FG$12)/5,
0.15+($I146-0.15)*(FB146/FG$12)/5)))))))</f>
        <v>0</v>
      </c>
      <c r="FD146" s="91">
        <f t="shared" si="264"/>
        <v>0</v>
      </c>
      <c r="FE146" s="30" t="e">
        <f t="shared" si="314"/>
        <v>#N/A</v>
      </c>
      <c r="FF146" s="30" t="e">
        <f t="shared" si="315"/>
        <v>#N/A</v>
      </c>
      <c r="FG146" s="31" t="e">
        <f>IF(OR(Hypothèses!$B$4=17,Hypothèses!$B$4=18,Hypothèses!$B$4=19,Hypothèses!$B$4=20),
IF($D146="Pressio.",
IF(OR($E146=3,$E146=1,$E146=4),FF146,FE146),
IF($D146="Pénétro.",
IF(OR($E146=3,$E146=1,$E146=4),FF146,FE146))),IF($D146="Pressio.",
IF($E146=3,FF146,FE146),
IF($D146="Pénétro.",
IF($E146=4,FF146,FE146))))</f>
        <v>#N/A</v>
      </c>
      <c r="FH146" s="31">
        <v>0</v>
      </c>
      <c r="FI146" s="102" t="e">
        <f>IF(NDC!$H$10="Oui",(VLOOKUP($B$3,'Coeff EC7'!$T$39:$X$59,2,0)*FG146+VLOOKUP($B$3,'Coeff EC7'!$T$65:$X$85,2,0)*Model0.1T!FH146)/1.5,PI()*FE$12*$Q146*($B146-$B145)*0.15/10+FI145)</f>
        <v>#N/A</v>
      </c>
      <c r="FJ146" s="102" t="e">
        <f>(VLOOKUP($B$3,'Coeff EC7'!$T$39:$X$59,3,0)*FG146+VLOOKUP($B$3,'Coeff EC7'!$T$65:$X$85,3,0)*Model0.1T!FH146)/1.1</f>
        <v>#N/A</v>
      </c>
      <c r="FK146" s="102" t="e">
        <f t="shared" si="298"/>
        <v>#N/A</v>
      </c>
      <c r="FL146" s="102" t="e">
        <f t="shared" si="299"/>
        <v>#N/A</v>
      </c>
      <c r="FM146" s="414" t="e">
        <f>IF(AND(FI146&gt;NDC!$C$63,FJ146&gt;NDC!$C$65,FK146&gt;NDC!$D$73,FL146&gt;NDC!$D$74,$B146&gt;NDC!$H$22-0.1+MIN(3*FM$12,1.5)),0,1)</f>
        <v>#N/A</v>
      </c>
    </row>
    <row r="147" spans="1:169">
      <c r="A147" s="96">
        <f t="shared" si="265"/>
        <v>86.600000000000762</v>
      </c>
      <c r="B147" s="97">
        <v>13.4</v>
      </c>
      <c r="C147" s="81">
        <f>IF(B147&lt;=Hypothèses!$C$7,Hypothèses!$A$7,IF(B147&lt;=Hypothèses!$C$8,Hypothèses!$A$8,IF(B147&lt;=Hypothèses!$C$9,Hypothèses!$A$9,IF(B147&lt;=Hypothèses!$C$10,Hypothèses!$A$10,IF(B147&lt;=Hypothèses!$C$11,Hypothèses!$A$11,IF(B147&lt;=Hypothèses!$C$12,Hypothèses!$A$12,IF(B147&lt;=Hypothèses!$C$13,Hypothèses!$A$13,IF(B147&lt;=Hypothèses!$C$14,Hypothèses!$A$14,IF(B147&lt;=Hypothèses!$C$15,Hypothèses!$A$15,IF(B147&lt;=Hypothèses!$C$16,Hypothèses!$A$16,IF(B147&lt;=Hypothèses!$C$17,Hypothèses!$A$17,IF(B147&lt;=Hypothèses!$C$18,Hypothèses!$A$18,C146))))))))))))</f>
        <v>11</v>
      </c>
      <c r="D147" s="82" t="str">
        <f>IF(B147&lt;=Hypothèses!$C$7,Hypothèses!$R$7,IF(B147&lt;=Hypothèses!$C$8,Hypothèses!$R$8,IF(B147&lt;=Hypothèses!$C$9,Hypothèses!$R$9,IF(B147&lt;=Hypothèses!$C$10,Hypothèses!$R$10,IF(B147&lt;=Hypothèses!$C$11,Hypothèses!$R$11,IF(B147&lt;=Hypothèses!$C$12,Hypothèses!$R$12,IF(B147&lt;=Hypothèses!$C$13,Hypothèses!$R$13,IF(B147&lt;=Hypothèses!$C$14,Hypothèses!$R$14,IF(B147&lt;=Hypothèses!$C$15,Hypothèses!$R$15,IF(B147&lt;=Hypothèses!$C$16,Hypothèses!$R$16,IF(B147&lt;=Hypothèses!$C$17,Hypothèses!$R$17,IF(B147&lt;=Hypothèses!$C$18,Hypothèses!$R$18,D146))))))))))))</f>
        <v>Pressio.</v>
      </c>
      <c r="E147" s="82" t="e">
        <f>IF(B147&lt;=Hypothèses!$C$7,Hypothèses!$G$7,IF(B147&lt;=Hypothèses!$C$8,Hypothèses!$G$8,IF(B147&lt;=Hypothèses!$C$9,Hypothèses!$G$9,IF(B147&lt;=Hypothèses!$C$10,Hypothèses!$G$10,IF(B147&lt;=Hypothèses!$C$11,Hypothèses!$G$11,IF(B147&lt;=Hypothèses!$C$12,Hypothèses!$G$12,IF(B147&lt;=Hypothèses!$C$13,Hypothèses!$G$13,IF(B147&lt;=Hypothèses!$C$14,Hypothèses!$G$14,IF(B147&lt;=Hypothèses!$C$15,Hypothèses!$G$15,IF(B147&lt;=Hypothèses!$C$16,Hypothèses!$G$16,IF(B147&lt;=Hypothèses!$C$17,Hypothèses!$G$17,IF(B147&lt;=Hypothèses!$C$18,Hypothèses!$G$18,E146))))))))))))</f>
        <v>#N/A</v>
      </c>
      <c r="F147" s="82" t="str">
        <f>IF(B147&lt;=Hypothèses!$C$7,Hypothèses!$F$7,IF(B147&lt;=Hypothèses!$C$8,Hypothèses!$F$8,IF(B147&lt;=Hypothèses!$C$9,Hypothèses!$F$9,IF(B147&lt;=Hypothèses!$C$10,Hypothèses!$F$10,IF(B147&lt;=Hypothèses!$C$11,Hypothèses!$F$11,IF(B147&lt;=Hypothèses!$C$12,Hypothèses!$F$12,IF(B147&lt;=Hypothèses!$C$13,Hypothèses!$F$13,IF(B147&lt;=Hypothèses!$C$14,Hypothèses!$F$14,IF(B147&lt;=Hypothèses!$C$15,Hypothèses!$F$15,IF(B147&lt;=Hypothèses!$C$16,Hypothèses!$F$16,IF(B147&lt;=Hypothèses!$C$17,Hypothèses!$F$17,IF(B147&lt;=Hypothèses!$C$18,Hypothèses!$F$18,F146))))))))))))</f>
        <v/>
      </c>
      <c r="G147" s="91">
        <f t="array" ref="G147">INDEX('Coeff EC7'!$U$7:$X$27,
MATCH(Model0.1T!$B$3,'Coeff EC7'!$T$7:$T$27,0),
MATCH(Model0.1T!$D147&amp;Model0.1T!$B$4,
'Coeff EC7'!$U$6:$X$6&amp;
'Coeff EC7'!$U$5:$X$5,0))</f>
        <v>1.4</v>
      </c>
      <c r="H147" s="91">
        <f t="array" ref="H147">INDEX('Coeff EC7'!$Y$7:$AB$27,
MATCH(Model0.1T!$B$3,'Coeff EC7'!$T$7:$T$27,0),
MATCH(Model0.1T!$D147&amp;Model0.1T!$B$4,
'Coeff EC7'!$Y$6:$AB$6&amp;
'Coeff EC7'!$Y$5:$AB$5,0))</f>
        <v>1.7</v>
      </c>
      <c r="I147" s="83">
        <v>0</v>
      </c>
      <c r="J147" s="91" t="e">
        <f t="array" ref="J147">INDEX('Coeff EC7'!$D$33:$Q$33,1,MATCH(D147&amp;E147,'Coeff EC7'!$D$31:$Q$31&amp;'Coeff EC7'!$D$32:$Q$32,0))</f>
        <v>#N/A</v>
      </c>
      <c r="K147" s="91" t="e">
        <f t="array" ref="K147">INDEX('Coeff EC7'!$D$34:$Q$34,1,MATCH(D147&amp;E147,'Coeff EC7'!$D$31:$Q$31&amp;'Coeff EC7'!$D$32:$Q$32,0))</f>
        <v>#N/A</v>
      </c>
      <c r="L147" s="91" t="e">
        <f t="array" ref="L147">INDEX('Coeff EC7'!$D$35:$Q$35,1,MATCH(D147&amp;E147,'Coeff EC7'!$D$31:$Q$31&amp;'Coeff EC7'!$D$32:$Q$32,0))</f>
        <v>#N/A</v>
      </c>
      <c r="M147" s="98" t="e">
        <f t="shared" si="231"/>
        <v>#N/A</v>
      </c>
      <c r="N147" s="99" t="e">
        <f t="array" ref="N147">INDEX('Coeff EC7'!$D$7:$Q$27,MATCH($B$3,'Coeff EC7'!$C$7:$C$27,0),MATCH(D147&amp;E147,'Coeff EC7'!$D$5:$Q$5&amp;'Coeff EC7'!$D$6:$Q$6,0))</f>
        <v>#N/A</v>
      </c>
      <c r="O147" s="99" t="e">
        <f t="array" ref="O147">INDEX('Coeff EC7'!$D$41:$Q$61,MATCH($B$3,'Coeff EC7'!$C$41:$C$61,0),MATCH(D147&amp;E147,'Coeff EC7'!$D$39:$Q$39&amp;'Coeff EC7'!$D$40:$Q$40,0))</f>
        <v>#N/A</v>
      </c>
      <c r="P147" s="30" t="e">
        <f t="shared" si="266"/>
        <v>#N/A</v>
      </c>
      <c r="Q147" s="100" t="e">
        <f t="shared" si="233"/>
        <v>#N/A</v>
      </c>
      <c r="R147" s="86" t="b">
        <f t="shared" si="234"/>
        <v>0</v>
      </c>
      <c r="S147" s="86">
        <f t="shared" si="232"/>
        <v>0.5</v>
      </c>
      <c r="T147" s="86">
        <f t="shared" si="235"/>
        <v>0.5</v>
      </c>
      <c r="U147" s="30" t="e">
        <f t="shared" ca="1" si="267"/>
        <v>#DIV/0!</v>
      </c>
      <c r="V147" s="85" t="str">
        <f>IF(B147&lt;=Hypothèses!$V$7,Hypothèses!$W$7,IF(B147&lt;=Hypothèses!$V$8,Hypothèses!$W$8,IF(B147&lt;=Hypothèses!$V$9,Hypothèses!$W$9,IF(B147&lt;=Hypothèses!$V$10,Hypothèses!$W$10,IF(B147&lt;=Hypothèses!$V$11,Hypothèses!$W$11,IF(B147&lt;=Hypothèses!$V$12,Hypothèses!$W$12,IF(B147&lt;=Hypothèses!$V$13,Hypothèses!$W$13,IF(B147&lt;=Hypothèses!$V$14,Hypothèses!$W$14,IF(B147&lt;=Hypothèses!$V$15,Hypothèses!$W$15,IF(B147&lt;=Hypothèses!$V$16,Hypothèses!$W$16,IF(B147&lt;=Hypothèses!$V$17,Hypothèses!$W$17,IF(B147&lt;=Hypothèses!$V$18,Hypothèses!$W$18,""))))))))))))</f>
        <v/>
      </c>
      <c r="W147" s="87" t="e">
        <f t="shared" ca="1" si="316"/>
        <v>#DIV/0!</v>
      </c>
      <c r="X147" s="88" t="str">
        <f>IF(B147&lt;=Hypothèses!$V$7,Hypothèses!$X$7,IF(B147&lt;=Hypothèses!$V$8,Hypothèses!$X$8,IF(B147&lt;=Hypothèses!$V$9,Hypothèses!$X$9,IF(B147&lt;=Hypothèses!$V$10,Hypothèses!$X$10,IF(B147&lt;=Hypothèses!$V$11,Hypothèses!$X$11,IF(B147&lt;=Hypothèses!$V$12,Hypothèses!$X$12,IF(B147&lt;=Hypothèses!$V$13,Hypothèses!$X$13,IF(B147&lt;=Hypothèses!$V$14,Hypothèses!$X$14,IF(B147&lt;=Hypothèses!$V$15,Hypothèses!$X$15,IF(B147&lt;=Hypothèses!$V$16,Hypothèses!$X$16,IF(B147&lt;=Hypothèses!$U$17,Hypothèses!$W$17,IF(B147&lt;=Hypothèses!$U$18,Hypothèses!$W$18,""))))))))))))</f>
        <v/>
      </c>
      <c r="Y147" s="95" t="e">
        <f t="shared" ca="1" si="236"/>
        <v>#DIV/0!</v>
      </c>
      <c r="Z147" s="101">
        <f t="shared" si="237"/>
        <v>0</v>
      </c>
      <c r="AA147" s="91">
        <f t="shared" si="238"/>
        <v>0</v>
      </c>
      <c r="AB147" s="30" t="e">
        <f t="shared" si="300"/>
        <v>#N/A</v>
      </c>
      <c r="AC147" s="30" t="e">
        <f t="shared" si="301"/>
        <v>#N/A</v>
      </c>
      <c r="AD147" s="31" t="e">
        <f>IF(OR(Hypothèses!$B$4=17,Hypothèses!$B$4=18,Hypothèses!$B$4=19,Hypothèses!$B$4=20),
IF($D147="Pressio.",
IF(OR($E147=3,$E147=1,$E147=4),AC147,AB147),
IF($D147="Pénétro.",
IF(OR($E147=3,$E147=1,$E147=4),AC147,AB147))),IF($D147="Pressio.",
IF($E147=3,AC147,AB147),
IF($D147="Pénétro.",
IF($E147=4,AC147,AB147))))</f>
        <v>#N/A</v>
      </c>
      <c r="AE147" s="31">
        <v>0</v>
      </c>
      <c r="AF147" s="102" t="e">
        <f>IF(NDC!$H$10="Oui",(VLOOKUP($B$3,'Coeff EC7'!$T$39:$X$59,2,0)*AD147+VLOOKUP($B$3,'Coeff EC7'!$T$65:$X$85,2,0)*Model0.1T!AE147)/1.5,PI()*AB$12*$Q147*($B147-$B146)*0.15/10+AF146)</f>
        <v>#N/A</v>
      </c>
      <c r="AG147" s="102" t="e">
        <f>(VLOOKUP($B$3,'Coeff EC7'!$T$39:$X$59,3,0)*AD147+VLOOKUP($B$3,'Coeff EC7'!$T$65:$X$85,3,0)*Model0.1T!AE147)/1.1</f>
        <v>#N/A</v>
      </c>
      <c r="AH147" s="102" t="e">
        <f t="shared" si="268"/>
        <v>#N/A</v>
      </c>
      <c r="AI147" s="102" t="e">
        <f t="shared" si="269"/>
        <v>#N/A</v>
      </c>
      <c r="AJ147" s="414" t="e">
        <f>IF(AND(AF147&gt;NDC!$C$63,AG147&gt;NDC!$C$65,AH147&gt;NDC!$D$73,AI147&gt;NDC!$D$74,$B147&gt;NDC!$H$22-0.1+MIN(3*$AJ$12,1.5)),0,1)</f>
        <v>#N/A</v>
      </c>
      <c r="AK147" s="86" t="b">
        <f t="shared" si="239"/>
        <v>0</v>
      </c>
      <c r="AL147" s="86">
        <f t="shared" si="270"/>
        <v>0.5</v>
      </c>
      <c r="AM147" s="86">
        <f t="shared" si="240"/>
        <v>0.5</v>
      </c>
      <c r="AN147" s="30" t="e">
        <f t="shared" ca="1" si="271"/>
        <v>#DIV/0!</v>
      </c>
      <c r="AO147" s="85" t="e">
        <f ca="1">IF(U147&lt;=Hypothèses!$V$7,Hypothèses!$W$7,IF(U147&lt;=Hypothèses!$V$8,Hypothèses!$W$8,IF(U147&lt;=Hypothèses!$V$9,Hypothèses!$W$9,IF(U147&lt;=Hypothèses!$V$10,Hypothèses!$W$10,IF(U147&lt;=Hypothèses!$V$11,Hypothèses!$W$11,IF(U147&lt;=Hypothèses!$V$12,Hypothèses!$W$12,IF(U147&lt;=Hypothèses!$V$13,Hypothèses!$W$13,IF(U147&lt;=Hypothèses!$V$14,Hypothèses!$W$14,IF(U147&lt;=Hypothèses!$V$15,Hypothèses!$W$15,IF(U147&lt;=Hypothèses!$V$16,Hypothèses!$W$16,IF(U147&lt;=Hypothèses!$V$17,Hypothèses!$W$17,IF(U147&lt;=Hypothèses!$V$18,Hypothèses!$W$18,""))))))))))))</f>
        <v>#DIV/0!</v>
      </c>
      <c r="AP147" s="87" t="e">
        <f t="shared" ca="1" si="317"/>
        <v>#DIV/0!</v>
      </c>
      <c r="AQ147" s="88" t="e">
        <f ca="1">IF(U147&lt;=Hypothèses!$V$7,Hypothèses!$X$7,IF(U147&lt;=Hypothèses!$V$8,Hypothèses!$X$8,IF(U147&lt;=Hypothèses!$V$9,Hypothèses!$X$9,IF(U147&lt;=Hypothèses!$V$10,Hypothèses!$X$10,IF(U147&lt;=Hypothèses!$V$11,Hypothèses!$X$11,IF(U147&lt;=Hypothèses!$V$12,Hypothèses!$X$12,IF(U147&lt;=Hypothèses!$V$13,Hypothèses!$X$13,IF(U147&lt;=Hypothèses!$V$14,Hypothèses!$X$14,IF(U147&lt;=Hypothèses!$V$15,Hypothèses!$X$15,IF(U147&lt;=Hypothèses!$V$16,Hypothèses!$X$16,IF(U147&lt;=Hypothèses!$U$17,Hypothèses!$W$17,IF(U147&lt;=Hypothèses!$U$18,Hypothèses!$W$18,""))))))))))))</f>
        <v>#DIV/0!</v>
      </c>
      <c r="AR147" s="95" t="e">
        <f t="shared" ca="1" si="272"/>
        <v>#DIV/0!</v>
      </c>
      <c r="AS147" s="101">
        <f t="shared" si="324"/>
        <v>0</v>
      </c>
      <c r="AT147" s="91">
        <f t="shared" si="241"/>
        <v>0</v>
      </c>
      <c r="AU147" s="30" t="e">
        <f t="shared" si="302"/>
        <v>#N/A</v>
      </c>
      <c r="AV147" s="30" t="e">
        <f t="shared" si="303"/>
        <v>#N/A</v>
      </c>
      <c r="AW147" s="31" t="e">
        <f>IF(OR(Hypothèses!$B$4=17,Hypothèses!$B$4=18,Hypothèses!$B$4=19,Hypothèses!$B$4=20),
IF($D147="Pressio.",
IF(OR($E147=3,$E147=1,$E147=4),AV147,AU147),
IF($D147="Pénétro.",
IF(OR($E147=3,$E147=1,$E147=4),AV147,AU147))),IF($D147="Pressio.",
IF($E147=3,AV147,AU147),
IF($D147="Pénétro.",
IF($E147=4,AV147,AU147))))</f>
        <v>#N/A</v>
      </c>
      <c r="AX147" s="31">
        <v>0</v>
      </c>
      <c r="AY147" s="102" t="e">
        <f>IF(NDC!$H$10="Oui",(VLOOKUP($B$3,'Coeff EC7'!$T$39:$X$59,2,0)*AW147+VLOOKUP($B$3,'Coeff EC7'!$T$65:$X$85,2,0)*Model0.1T!AX147)/1.5,PI()*AU$12*$Q147*($B147-$B146)*0.15/10+AY146)</f>
        <v>#N/A</v>
      </c>
      <c r="AZ147" s="102" t="e">
        <f>(VLOOKUP($B$3,'Coeff EC7'!$T$39:$X$59,3,0)*AW147+VLOOKUP($B$3,'Coeff EC7'!$T$65:$X$85,3,0)*Model0.1T!AX147)/1.1</f>
        <v>#N/A</v>
      </c>
      <c r="BA147" s="102" t="e">
        <f t="shared" si="273"/>
        <v>#N/A</v>
      </c>
      <c r="BB147" s="102" t="e">
        <f t="shared" si="274"/>
        <v>#N/A</v>
      </c>
      <c r="BC147" s="414" t="e">
        <f>IF(AND(AY147&gt;NDC!$C$63,AZ147&gt;NDC!$C$65,BA147&gt;NDC!$D$73,BB147&gt;NDC!$D$74,$B147&gt;NDC!$H$22-0.1+MIN(3*BC$12,1.5)),0,1)</f>
        <v>#N/A</v>
      </c>
      <c r="BD147" s="86" t="b">
        <f t="shared" si="242"/>
        <v>0</v>
      </c>
      <c r="BE147" s="86">
        <f t="shared" si="275"/>
        <v>0.5</v>
      </c>
      <c r="BF147" s="86">
        <f t="shared" si="243"/>
        <v>0.5</v>
      </c>
      <c r="BG147" s="30" t="e">
        <f t="shared" ca="1" si="276"/>
        <v>#DIV/0!</v>
      </c>
      <c r="BH147" s="85" t="e">
        <f ca="1">IF(AN147&lt;=Hypothèses!$V$7,Hypothèses!$W$7,IF(AN147&lt;=Hypothèses!$V$8,Hypothèses!$W$8,IF(AN147&lt;=Hypothèses!$V$9,Hypothèses!$W$9,IF(AN147&lt;=Hypothèses!$V$10,Hypothèses!$W$10,IF(AN147&lt;=Hypothèses!$V$11,Hypothèses!$W$11,IF(AN147&lt;=Hypothèses!$V$12,Hypothèses!$W$12,IF(AN147&lt;=Hypothèses!$V$13,Hypothèses!$W$13,IF(AN147&lt;=Hypothèses!$V$14,Hypothèses!$W$14,IF(AN147&lt;=Hypothèses!$V$15,Hypothèses!$W$15,IF(AN147&lt;=Hypothèses!$V$16,Hypothèses!$W$16,IF(AN147&lt;=Hypothèses!$V$17,Hypothèses!$W$17,IF(AN147&lt;=Hypothèses!$V$18,Hypothèses!$W$18,""))))))))))))</f>
        <v>#DIV/0!</v>
      </c>
      <c r="BI147" s="87" t="e">
        <f t="shared" ca="1" si="318"/>
        <v>#DIV/0!</v>
      </c>
      <c r="BJ147" s="88" t="e">
        <f ca="1">IF(AN147&lt;=Hypothèses!$V$7,Hypothèses!$X$7,IF(AN147&lt;=Hypothèses!$V$8,Hypothèses!$X$8,IF(AN147&lt;=Hypothèses!$V$9,Hypothèses!$X$9,IF(AN147&lt;=Hypothèses!$V$10,Hypothèses!$X$10,IF(AN147&lt;=Hypothèses!$V$11,Hypothèses!$X$11,IF(AN147&lt;=Hypothèses!$V$12,Hypothèses!$X$12,IF(AN147&lt;=Hypothèses!$V$13,Hypothèses!$X$13,IF(AN147&lt;=Hypothèses!$V$14,Hypothèses!$X$14,IF(AN147&lt;=Hypothèses!$V$15,Hypothèses!$X$15,IF(AN147&lt;=Hypothèses!$V$16,Hypothèses!$X$16,IF(AN147&lt;=Hypothèses!$U$17,Hypothèses!$W$17,IF(AN147&lt;=Hypothèses!$U$18,Hypothèses!$W$18,""))))))))))))</f>
        <v>#DIV/0!</v>
      </c>
      <c r="BK147" s="95" t="e">
        <f t="shared" ca="1" si="277"/>
        <v>#DIV/0!</v>
      </c>
      <c r="BL147" s="101">
        <f t="shared" si="325"/>
        <v>0</v>
      </c>
      <c r="BM147" s="91">
        <f t="shared" si="244"/>
        <v>0</v>
      </c>
      <c r="BN147" s="30" t="e">
        <f t="shared" si="304"/>
        <v>#N/A</v>
      </c>
      <c r="BO147" s="30" t="e">
        <f t="shared" si="305"/>
        <v>#N/A</v>
      </c>
      <c r="BP147" s="31" t="e">
        <f>IF(OR(Hypothèses!$B$4=17,Hypothèses!$B$4=18,Hypothèses!$B$4=19,Hypothèses!$B$4=20),
IF($D147="Pressio.",
IF(OR($E147=3,$E147=1,$E147=4),BO147,BN147),
IF($D147="Pénétro.",
IF(OR($E147=3,$E147=1,$E147=4),BO147,BN147))),IF($D147="Pressio.",
IF($E147=3,BO147,BN147),
IF($D147="Pénétro.",
IF($E147=4,BO147,BN147))))</f>
        <v>#N/A</v>
      </c>
      <c r="BQ147" s="31">
        <v>0</v>
      </c>
      <c r="BR147" s="102" t="e">
        <f>IF(NDC!$H$10="Oui",(VLOOKUP($B$3,'Coeff EC7'!$T$39:$X$59,2,0)*BP147+VLOOKUP($B$3,'Coeff EC7'!$T$65:$X$85,2,0)*Model0.1T!BQ147)/1.5,PI()*BN$12*$Q147*($B147-$B146)*0.15/10+BR146)</f>
        <v>#N/A</v>
      </c>
      <c r="BS147" s="102" t="e">
        <f>(VLOOKUP($B$3,'Coeff EC7'!$T$39:$X$59,3,0)*BP147+VLOOKUP($B$3,'Coeff EC7'!$T$65:$X$85,3,0)*Model0.1T!BQ147)/1.1</f>
        <v>#N/A</v>
      </c>
      <c r="BT147" s="102" t="e">
        <f t="shared" si="278"/>
        <v>#N/A</v>
      </c>
      <c r="BU147" s="102" t="e">
        <f t="shared" si="279"/>
        <v>#N/A</v>
      </c>
      <c r="BV147" s="414" t="e">
        <f>IF(AND(BR147&gt;NDC!$C$63,BS147&gt;NDC!$C$65,BT147&gt;NDC!$D$73,BU147&gt;NDC!$D$74,$B147&gt;NDC!$H$22-0.1+MIN(3*BV$12,1.5)),0,1)</f>
        <v>#N/A</v>
      </c>
      <c r="BW147" s="86" t="b">
        <f t="shared" si="245"/>
        <v>0</v>
      </c>
      <c r="BX147" s="86">
        <f t="shared" si="246"/>
        <v>0.5</v>
      </c>
      <c r="BY147" s="86">
        <f t="shared" si="247"/>
        <v>0.5</v>
      </c>
      <c r="BZ147" s="30" t="e">
        <f t="shared" ca="1" si="280"/>
        <v>#DIV/0!</v>
      </c>
      <c r="CA147" s="85" t="e">
        <f ca="1">IF(BG147&lt;=Hypothèses!$V$7,Hypothèses!$W$7,IF(BG147&lt;=Hypothèses!$V$8,Hypothèses!$W$8,IF(BG147&lt;=Hypothèses!$V$9,Hypothèses!$W$9,IF(BG147&lt;=Hypothèses!$V$10,Hypothèses!$W$10,IF(BG147&lt;=Hypothèses!$V$11,Hypothèses!$W$11,IF(BG147&lt;=Hypothèses!$V$12,Hypothèses!$W$12,IF(BG147&lt;=Hypothèses!$V$13,Hypothèses!$W$13,IF(BG147&lt;=Hypothèses!$V$14,Hypothèses!$W$14,IF(BG147&lt;=Hypothèses!$V$15,Hypothèses!$W$15,IF(BG147&lt;=Hypothèses!$V$16,Hypothèses!$W$16,IF(BG147&lt;=Hypothèses!$V$17,Hypothèses!$W$17,IF(BG147&lt;=Hypothèses!$V$18,Hypothèses!$W$18,""))))))))))))</f>
        <v>#DIV/0!</v>
      </c>
      <c r="CB147" s="87" t="e">
        <f t="shared" ca="1" si="319"/>
        <v>#DIV/0!</v>
      </c>
      <c r="CC147" s="88" t="e">
        <f ca="1">IF(BG147&lt;=Hypothèses!$V$7,Hypothèses!$X$7,IF(BG147&lt;=Hypothèses!$V$8,Hypothèses!$X$8,IF(BG147&lt;=Hypothèses!$V$9,Hypothèses!$X$9,IF(BG147&lt;=Hypothèses!$V$10,Hypothèses!$X$10,IF(BG147&lt;=Hypothèses!$V$11,Hypothèses!$X$11,IF(BG147&lt;=Hypothèses!$V$12,Hypothèses!$X$12,IF(BG147&lt;=Hypothèses!$V$13,Hypothèses!$X$13,IF(BG147&lt;=Hypothèses!$V$14,Hypothèses!$X$14,IF(BG147&lt;=Hypothèses!$V$15,Hypothèses!$X$15,IF(BG147&lt;=Hypothèses!$V$16,Hypothèses!$X$16,IF(BG147&lt;=Hypothèses!$U$17,Hypothèses!$W$17,IF(BG147&lt;=Hypothèses!$U$18,Hypothèses!$W$18,""))))))))))))</f>
        <v>#DIV/0!</v>
      </c>
      <c r="CD147" s="95" t="e">
        <f t="shared" ca="1" si="281"/>
        <v>#DIV/0!</v>
      </c>
      <c r="CE147" s="101">
        <f t="shared" si="326"/>
        <v>0</v>
      </c>
      <c r="CF147" s="91">
        <f t="shared" si="248"/>
        <v>0</v>
      </c>
      <c r="CG147" s="30" t="e">
        <f t="shared" si="306"/>
        <v>#N/A</v>
      </c>
      <c r="CH147" s="30" t="e">
        <f t="shared" si="307"/>
        <v>#N/A</v>
      </c>
      <c r="CI147" s="31" t="e">
        <f>IF(OR(Hypothèses!$B$4=17,Hypothèses!$B$4=18,Hypothèses!$B$4=19,Hypothèses!$B$4=20),
IF($D147="Pressio.",
IF(OR($E147=3,$E147=1,$E147=4),CH147,CG147),
IF($D147="Pénétro.",
IF(OR($E147=3,$E147=1,$E147=4),CH147,CG147))),IF($D147="Pressio.",
IF($E147=3,CH147,CG147),
IF($D147="Pénétro.",
IF($E147=4,CH147,CG147))))</f>
        <v>#N/A</v>
      </c>
      <c r="CJ147" s="31">
        <v>0</v>
      </c>
      <c r="CK147" s="102" t="e">
        <f>IF(NDC!$H$10="Oui",(VLOOKUP($B$3,'Coeff EC7'!$T$39:$X$59,2,0)*CI147+VLOOKUP($B$3,'Coeff EC7'!$T$65:$X$85,2,0)*Model0.1T!CJ147)/1.5,PI()*CG$12*$Q147*($B147-$B146)*0.15/10+CK146)</f>
        <v>#N/A</v>
      </c>
      <c r="CL147" s="102" t="e">
        <f>(VLOOKUP($B$3,'Coeff EC7'!$T$39:$X$59,3,0)*CI147+VLOOKUP($B$3,'Coeff EC7'!$T$65:$X$85,3,0)*Model0.1T!CJ147)/1.1</f>
        <v>#N/A</v>
      </c>
      <c r="CM147" s="102" t="e">
        <f t="shared" si="282"/>
        <v>#N/A</v>
      </c>
      <c r="CN147" s="102" t="e">
        <f t="shared" si="283"/>
        <v>#N/A</v>
      </c>
      <c r="CO147" s="414" t="e">
        <f>IF(AND(CK147&gt;NDC!$C$63,CL147&gt;NDC!$C$65,CM147&gt;NDC!$D$73,CN147&gt;NDC!$D$74,$B147&gt;NDC!$H$22-0.1+MIN(3*CO$12,1.5)),0,1)</f>
        <v>#N/A</v>
      </c>
      <c r="CP147" s="86" t="b">
        <f t="shared" si="249"/>
        <v>0</v>
      </c>
      <c r="CQ147" s="86">
        <f t="shared" si="250"/>
        <v>0.5</v>
      </c>
      <c r="CR147" s="86">
        <f t="shared" si="251"/>
        <v>0.5</v>
      </c>
      <c r="CS147" s="30" t="e">
        <f t="shared" ca="1" si="284"/>
        <v>#DIV/0!</v>
      </c>
      <c r="CT147" s="85" t="e">
        <f ca="1">IF(BZ147&lt;=Hypothèses!$V$7,Hypothèses!$W$7,IF(BZ147&lt;=Hypothèses!$V$8,Hypothèses!$W$8,IF(BZ147&lt;=Hypothèses!$V$9,Hypothèses!$W$9,IF(BZ147&lt;=Hypothèses!$V$10,Hypothèses!$W$10,IF(BZ147&lt;=Hypothèses!$V$11,Hypothèses!$W$11,IF(BZ147&lt;=Hypothèses!$V$12,Hypothèses!$W$12,IF(BZ147&lt;=Hypothèses!$V$13,Hypothèses!$W$13,IF(BZ147&lt;=Hypothèses!$V$14,Hypothèses!$W$14,IF(BZ147&lt;=Hypothèses!$V$15,Hypothèses!$W$15,IF(BZ147&lt;=Hypothèses!$V$16,Hypothèses!$W$16,IF(BZ147&lt;=Hypothèses!$V$17,Hypothèses!$W$17,IF(BZ147&lt;=Hypothèses!$V$18,Hypothèses!$W$18,""))))))))))))</f>
        <v>#DIV/0!</v>
      </c>
      <c r="CU147" s="87" t="e">
        <f t="shared" ca="1" si="320"/>
        <v>#DIV/0!</v>
      </c>
      <c r="CV147" s="88" t="e">
        <f ca="1">IF(BZ147&lt;=Hypothèses!$V$7,Hypothèses!$X$7,IF(BZ147&lt;=Hypothèses!$V$8,Hypothèses!$X$8,IF(BZ147&lt;=Hypothèses!$V$9,Hypothèses!$X$9,IF(BZ147&lt;=Hypothèses!$V$10,Hypothèses!$X$10,IF(BZ147&lt;=Hypothèses!$V$11,Hypothèses!$X$11,IF(BZ147&lt;=Hypothèses!$V$12,Hypothèses!$X$12,IF(BZ147&lt;=Hypothèses!$V$13,Hypothèses!$X$13,IF(BZ147&lt;=Hypothèses!$V$14,Hypothèses!$X$14,IF(BZ147&lt;=Hypothèses!$V$15,Hypothèses!$X$15,IF(BZ147&lt;=Hypothèses!$V$16,Hypothèses!$X$16,IF(BZ147&lt;=Hypothèses!$U$17,Hypothèses!$W$17,IF(BZ147&lt;=Hypothèses!$U$18,Hypothèses!$W$18,""))))))))))))</f>
        <v>#DIV/0!</v>
      </c>
      <c r="CW147" s="95" t="e">
        <f t="shared" ca="1" si="285"/>
        <v>#DIV/0!</v>
      </c>
      <c r="CX147" s="101">
        <f t="shared" si="327"/>
        <v>0</v>
      </c>
      <c r="CY147" s="91">
        <f t="shared" si="252"/>
        <v>0</v>
      </c>
      <c r="CZ147" s="30" t="e">
        <f t="shared" si="308"/>
        <v>#N/A</v>
      </c>
      <c r="DA147" s="30" t="e">
        <f t="shared" si="309"/>
        <v>#N/A</v>
      </c>
      <c r="DB147" s="31" t="e">
        <f>IF(OR(Hypothèses!$B$4=17,Hypothèses!$B$4=18,Hypothèses!$B$4=19,Hypothèses!$B$4=20),
IF($D147="Pressio.",
IF(OR($E147=3,$E147=1,$E147=4),DA147,CZ147),
IF($D147="Pénétro.",
IF(OR($E147=3,$E147=1,$E147=4),DA147,CZ147))),IF($D147="Pressio.",
IF($E147=3,DA147,CZ147),
IF($D147="Pénétro.",
IF($E147=4,DA147,CZ147))))</f>
        <v>#N/A</v>
      </c>
      <c r="DC147" s="31">
        <v>0</v>
      </c>
      <c r="DD147" s="102" t="e">
        <f>IF(NDC!$H$10="Oui",(VLOOKUP($B$3,'Coeff EC7'!$T$39:$X$59,2,0)*DB147+VLOOKUP($B$3,'Coeff EC7'!$T$65:$X$85,2,0)*Model0.1T!DC147)/1.5,PI()*CZ$12*$Q147*($B147-$B146)*0.15/10+DD146)</f>
        <v>#N/A</v>
      </c>
      <c r="DE147" s="102" t="e">
        <f>(VLOOKUP($B$3,'Coeff EC7'!$T$39:$X$59,3,0)*DB147+VLOOKUP($B$3,'Coeff EC7'!$T$65:$X$85,3,0)*Model0.1T!DC147)/1.1</f>
        <v>#N/A</v>
      </c>
      <c r="DF147" s="102" t="e">
        <f t="shared" si="286"/>
        <v>#N/A</v>
      </c>
      <c r="DG147" s="102" t="e">
        <f t="shared" si="287"/>
        <v>#N/A</v>
      </c>
      <c r="DH147" s="414" t="e">
        <f>IF(AND(DD147&gt;NDC!$C$63,DE147&gt;NDC!$C$65,DF147&gt;NDC!$D$73,DG147&gt;NDC!$D$74,$B147&gt;NDC!$H$22-0.1+MIN(3*DH$12,1.5)),0,1)</f>
        <v>#N/A</v>
      </c>
      <c r="DI147" s="86" t="b">
        <f t="shared" si="253"/>
        <v>0</v>
      </c>
      <c r="DJ147" s="86">
        <f t="shared" si="254"/>
        <v>0.5</v>
      </c>
      <c r="DK147" s="86">
        <f t="shared" si="255"/>
        <v>0.5</v>
      </c>
      <c r="DL147" s="30" t="e">
        <f t="shared" ca="1" si="288"/>
        <v>#DIV/0!</v>
      </c>
      <c r="DM147" s="85" t="e">
        <f ca="1">IF(CS147&lt;=Hypothèses!$V$7,Hypothèses!$W$7,IF(CS147&lt;=Hypothèses!$V$8,Hypothèses!$W$8,IF(CS147&lt;=Hypothèses!$V$9,Hypothèses!$W$9,IF(CS147&lt;=Hypothèses!$V$10,Hypothèses!$W$10,IF(CS147&lt;=Hypothèses!$V$11,Hypothèses!$W$11,IF(CS147&lt;=Hypothèses!$V$12,Hypothèses!$W$12,IF(CS147&lt;=Hypothèses!$V$13,Hypothèses!$W$13,IF(CS147&lt;=Hypothèses!$V$14,Hypothèses!$W$14,IF(CS147&lt;=Hypothèses!$V$15,Hypothèses!$W$15,IF(CS147&lt;=Hypothèses!$V$16,Hypothèses!$W$16,IF(CS147&lt;=Hypothèses!$V$17,Hypothèses!$W$17,IF(CS147&lt;=Hypothèses!$V$18,Hypothèses!$W$18,""))))))))))))</f>
        <v>#DIV/0!</v>
      </c>
      <c r="DN147" s="87" t="e">
        <f t="shared" ca="1" si="321"/>
        <v>#DIV/0!</v>
      </c>
      <c r="DO147" s="88" t="e">
        <f ca="1">IF(CS147&lt;=Hypothèses!$V$7,Hypothèses!$X$7,IF(CS147&lt;=Hypothèses!$V$8,Hypothèses!$X$8,IF(CS147&lt;=Hypothèses!$V$9,Hypothèses!$X$9,IF(CS147&lt;=Hypothèses!$V$10,Hypothèses!$X$10,IF(CS147&lt;=Hypothèses!$V$11,Hypothèses!$X$11,IF(CS147&lt;=Hypothèses!$V$12,Hypothèses!$X$12,IF(CS147&lt;=Hypothèses!$V$13,Hypothèses!$X$13,IF(CS147&lt;=Hypothèses!$V$14,Hypothèses!$X$14,IF(CS147&lt;=Hypothèses!$V$15,Hypothèses!$X$15,IF(CS147&lt;=Hypothèses!$V$16,Hypothèses!$X$16,IF(CS147&lt;=Hypothèses!$U$17,Hypothèses!$W$17,IF(CS147&lt;=Hypothèses!$U$18,Hypothèses!$W$18,""))))))))))))</f>
        <v>#DIV/0!</v>
      </c>
      <c r="DP147" s="95" t="e">
        <f t="shared" ca="1" si="289"/>
        <v>#DIV/0!</v>
      </c>
      <c r="DQ147" s="101">
        <f t="shared" si="328"/>
        <v>0</v>
      </c>
      <c r="DR147" s="91">
        <f t="shared" si="256"/>
        <v>0</v>
      </c>
      <c r="DS147" s="30" t="e">
        <f t="shared" si="310"/>
        <v>#N/A</v>
      </c>
      <c r="DT147" s="30" t="e">
        <f t="shared" si="311"/>
        <v>#N/A</v>
      </c>
      <c r="DU147" s="31" t="e">
        <f>IF(OR(Hypothèses!$B$4=17,Hypothèses!$B$4=18,Hypothèses!$B$4=19,Hypothèses!$B$4=20),
IF($D147="Pressio.",
IF(OR($E147=3,$E147=1,$E147=4),DT147,DS147),
IF($D147="Pénétro.",
IF(OR($E147=3,$E147=1,$E147=4),DT147,DS147))),IF($D147="Pressio.",
IF($E147=3,DT147,DS147),
IF($D147="Pénétro.",
IF($E147=4,DT147,DS147))))</f>
        <v>#N/A</v>
      </c>
      <c r="DV147" s="31">
        <v>0</v>
      </c>
      <c r="DW147" s="102" t="e">
        <f>IF(NDC!$H$10="Oui",(VLOOKUP($B$3,'Coeff EC7'!$T$39:$X$59,2,0)*DU147+VLOOKUP($B$3,'Coeff EC7'!$T$65:$X$85,2,0)*Model0.1T!DV147)/1.5,PI()*DS$12*$Q147*($B147-$B146)*0.15/10+DW146)</f>
        <v>#N/A</v>
      </c>
      <c r="DX147" s="102" t="e">
        <f>(VLOOKUP($B$3,'Coeff EC7'!$T$39:$X$59,3,0)*DU147+VLOOKUP($B$3,'Coeff EC7'!$T$65:$X$85,3,0)*Model0.1T!DV147)/1.1</f>
        <v>#N/A</v>
      </c>
      <c r="DY147" s="102" t="e">
        <f t="shared" si="290"/>
        <v>#N/A</v>
      </c>
      <c r="DZ147" s="102" t="e">
        <f t="shared" si="291"/>
        <v>#N/A</v>
      </c>
      <c r="EA147" s="414" t="e">
        <f>IF(AND(DW147&gt;NDC!$C$63,DX147&gt;NDC!$C$65,DY147&gt;NDC!$D$73,DZ147&gt;NDC!$D$74,$B147&gt;NDC!$H$22-0.1+MIN(3*EA$12,1.5)),0,1)</f>
        <v>#N/A</v>
      </c>
      <c r="EB147" s="86" t="b">
        <f t="shared" si="257"/>
        <v>0</v>
      </c>
      <c r="EC147" s="418">
        <f t="shared" si="258"/>
        <v>0.51</v>
      </c>
      <c r="ED147" s="86">
        <f t="shared" si="259"/>
        <v>0.51</v>
      </c>
      <c r="EE147" s="30" t="e">
        <f t="shared" ca="1" si="292"/>
        <v>#DIV/0!</v>
      </c>
      <c r="EF147" s="85" t="e">
        <f ca="1">IF(DL147&lt;=Hypothèses!$V$7,Hypothèses!$W$7,IF(DL147&lt;=Hypothèses!$V$8,Hypothèses!$W$8,IF(DL147&lt;=Hypothèses!$V$9,Hypothèses!$W$9,IF(DL147&lt;=Hypothèses!$V$10,Hypothèses!$W$10,IF(DL147&lt;=Hypothèses!$V$11,Hypothèses!$W$11,IF(DL147&lt;=Hypothèses!$V$12,Hypothèses!$W$12,IF(DL147&lt;=Hypothèses!$V$13,Hypothèses!$W$13,IF(DL147&lt;=Hypothèses!$V$14,Hypothèses!$W$14,IF(DL147&lt;=Hypothèses!$V$15,Hypothèses!$W$15,IF(DL147&lt;=Hypothèses!$V$16,Hypothèses!$W$16,IF(DL147&lt;=Hypothèses!$V$17,Hypothèses!$W$17,IF(DL147&lt;=Hypothèses!$V$18,Hypothèses!$W$18,""))))))))))))</f>
        <v>#DIV/0!</v>
      </c>
      <c r="EG147" s="87" t="e">
        <f t="shared" ca="1" si="322"/>
        <v>#DIV/0!</v>
      </c>
      <c r="EH147" s="88" t="e">
        <f ca="1">IF(DL147&lt;=Hypothèses!$V$7,Hypothèses!$X$7,IF(DL147&lt;=Hypothèses!$V$8,Hypothèses!$X$8,IF(DL147&lt;=Hypothèses!$V$9,Hypothèses!$X$9,IF(DL147&lt;=Hypothèses!$V$10,Hypothèses!$X$10,IF(DL147&lt;=Hypothèses!$V$11,Hypothèses!$X$11,IF(DL147&lt;=Hypothèses!$V$12,Hypothèses!$X$12,IF(DL147&lt;=Hypothèses!$V$13,Hypothèses!$X$13,IF(DL147&lt;=Hypothèses!$V$14,Hypothèses!$X$14,IF(DL147&lt;=Hypothèses!$V$15,Hypothèses!$X$15,IF(DL147&lt;=Hypothèses!$V$16,Hypothèses!$X$16,IF(DL147&lt;=Hypothèses!$U$17,Hypothèses!$W$17,IF(DL147&lt;=Hypothèses!$U$18,Hypothèses!$W$18,""))))))))))))</f>
        <v>#DIV/0!</v>
      </c>
      <c r="EI147" s="95" t="e">
        <f t="shared" ca="1" si="293"/>
        <v>#DIV/0!</v>
      </c>
      <c r="EJ147" s="101">
        <f t="shared" si="329"/>
        <v>0</v>
      </c>
      <c r="EK147" s="91">
        <f t="shared" si="260"/>
        <v>0</v>
      </c>
      <c r="EL147" s="30" t="e">
        <f t="shared" si="312"/>
        <v>#N/A</v>
      </c>
      <c r="EM147" s="30" t="e">
        <f t="shared" si="313"/>
        <v>#N/A</v>
      </c>
      <c r="EN147" s="31" t="e">
        <f>IF(OR(Hypothèses!$B$4=17,Hypothèses!$B$4=18,Hypothèses!$B$4=19,Hypothèses!$B$4=20),
IF($D147="Pressio.",
IF(OR($E147=3,$E147=1,$E147=4),EM147,EL147),
IF($D147="Pénétro.",
IF(OR($E147=3,$E147=1,$E147=4),EM147,EL147))),IF($D147="Pressio.",
IF($E147=3,EM147,EL147),
IF($D147="Pénétro.",
IF($E147=4,EM147,EL147))))</f>
        <v>#N/A</v>
      </c>
      <c r="EO147" s="31">
        <v>0</v>
      </c>
      <c r="EP147" s="102" t="e">
        <f>IF(NDC!$H$10="Oui",(VLOOKUP($B$3,'Coeff EC7'!$T$39:$X$59,2,0)*EN147+VLOOKUP($B$3,'Coeff EC7'!$T$65:$X$85,2,0)*Model0.1T!EO147)/1.5,PI()*EL$12*$Q147*($B147-$B146)*0.15/10+EP146)</f>
        <v>#N/A</v>
      </c>
      <c r="EQ147" s="102" t="e">
        <f>(VLOOKUP($B$3,'Coeff EC7'!$T$39:$X$59,3,0)*EN147+VLOOKUP($B$3,'Coeff EC7'!$T$65:$X$85,3,0)*Model0.1T!EO147)/1.1</f>
        <v>#N/A</v>
      </c>
      <c r="ER147" s="102" t="e">
        <f t="shared" si="294"/>
        <v>#N/A</v>
      </c>
      <c r="ES147" s="102" t="e">
        <f t="shared" si="295"/>
        <v>#N/A</v>
      </c>
      <c r="ET147" s="414" t="e">
        <f>IF(AND(EP147&gt;NDC!$C$63,EQ147&gt;NDC!$C$65,ER147&gt;NDC!$D$73,ES147&gt;NDC!$D$74,$B147&gt;NDC!$H$22-0.1+MIN(3*ET$12,1.5)),0,1)</f>
        <v>#N/A</v>
      </c>
      <c r="EU147" s="86" t="b">
        <f t="shared" si="261"/>
        <v>0</v>
      </c>
      <c r="EV147" s="86">
        <f t="shared" si="262"/>
        <v>0.61</v>
      </c>
      <c r="EW147" s="86">
        <f t="shared" si="263"/>
        <v>0.61</v>
      </c>
      <c r="EX147" s="30" t="e">
        <f t="shared" ca="1" si="296"/>
        <v>#DIV/0!</v>
      </c>
      <c r="EY147" s="85" t="e">
        <f ca="1">IF(EE147&lt;=Hypothèses!$V$7,Hypothèses!$W$7,IF(EE147&lt;=Hypothèses!$V$8,Hypothèses!$W$8,IF(EE147&lt;=Hypothèses!$V$9,Hypothèses!$W$9,IF(EE147&lt;=Hypothèses!$V$10,Hypothèses!$W$10,IF(EE147&lt;=Hypothèses!$V$11,Hypothèses!$W$11,IF(EE147&lt;=Hypothèses!$V$12,Hypothèses!$W$12,IF(EE147&lt;=Hypothèses!$V$13,Hypothèses!$W$13,IF(EE147&lt;=Hypothèses!$V$14,Hypothèses!$W$14,IF(EE147&lt;=Hypothèses!$V$15,Hypothèses!$W$15,IF(EE147&lt;=Hypothèses!$V$16,Hypothèses!$W$16,IF(EE147&lt;=Hypothèses!$V$17,Hypothèses!$W$17,IF(EE147&lt;=Hypothèses!$V$18,Hypothèses!$W$18,""))))))))))))</f>
        <v>#DIV/0!</v>
      </c>
      <c r="EZ147" s="87" t="e">
        <f t="shared" ca="1" si="323"/>
        <v>#DIV/0!</v>
      </c>
      <c r="FA147" s="88" t="e">
        <f ca="1">IF(EE147&lt;=Hypothèses!$V$7,Hypothèses!$X$7,IF(EE147&lt;=Hypothèses!$V$8,Hypothèses!$X$8,IF(EE147&lt;=Hypothèses!$V$9,Hypothèses!$X$9,IF(EE147&lt;=Hypothèses!$V$10,Hypothèses!$X$10,IF(EE147&lt;=Hypothèses!$V$11,Hypothèses!$X$11,IF(EE147&lt;=Hypothèses!$V$12,Hypothèses!$X$12,IF(EE147&lt;=Hypothèses!$V$13,Hypothèses!$X$13,IF(EE147&lt;=Hypothèses!$V$14,Hypothèses!$X$14,IF(EE147&lt;=Hypothèses!$V$15,Hypothèses!$X$15,IF(EE147&lt;=Hypothèses!$V$16,Hypothèses!$X$16,IF(EE147&lt;=Hypothèses!$U$17,Hypothèses!$W$17,IF(EE147&lt;=Hypothèses!$U$18,Hypothèses!$W$18,""))))))))))))</f>
        <v>#DIV/0!</v>
      </c>
      <c r="FB147" s="95" t="e">
        <f t="shared" ca="1" si="297"/>
        <v>#DIV/0!</v>
      </c>
      <c r="FC147" s="101">
        <f t="shared" si="330"/>
        <v>0</v>
      </c>
      <c r="FD147" s="91">
        <f t="shared" si="264"/>
        <v>0</v>
      </c>
      <c r="FE147" s="30" t="e">
        <f t="shared" si="314"/>
        <v>#N/A</v>
      </c>
      <c r="FF147" s="30" t="e">
        <f t="shared" si="315"/>
        <v>#N/A</v>
      </c>
      <c r="FG147" s="31" t="e">
        <f>IF(OR(Hypothèses!$B$4=17,Hypothèses!$B$4=18,Hypothèses!$B$4=19,Hypothèses!$B$4=20),
IF($D147="Pressio.",
IF(OR($E147=3,$E147=1,$E147=4),FF147,FE147),
IF($D147="Pénétro.",
IF(OR($E147=3,$E147=1,$E147=4),FF147,FE147))),IF($D147="Pressio.",
IF($E147=3,FF147,FE147),
IF($D147="Pénétro.",
IF($E147=4,FF147,FE147))))</f>
        <v>#N/A</v>
      </c>
      <c r="FH147" s="31">
        <v>0</v>
      </c>
      <c r="FI147" s="102" t="e">
        <f>IF(NDC!$H$10="Oui",(VLOOKUP($B$3,'Coeff EC7'!$T$39:$X$59,2,0)*FG147+VLOOKUP($B$3,'Coeff EC7'!$T$65:$X$85,2,0)*Model0.1T!FH147)/1.5,PI()*FE$12*$Q147*($B147-$B146)*0.15/10+FI146)</f>
        <v>#N/A</v>
      </c>
      <c r="FJ147" s="102" t="e">
        <f>(VLOOKUP($B$3,'Coeff EC7'!$T$39:$X$59,3,0)*FG147+VLOOKUP($B$3,'Coeff EC7'!$T$65:$X$85,3,0)*Model0.1T!FH147)/1.1</f>
        <v>#N/A</v>
      </c>
      <c r="FK147" s="102" t="e">
        <f t="shared" si="298"/>
        <v>#N/A</v>
      </c>
      <c r="FL147" s="102" t="e">
        <f t="shared" si="299"/>
        <v>#N/A</v>
      </c>
      <c r="FM147" s="414" t="e">
        <f>IF(AND(FI147&gt;NDC!$C$63,FJ147&gt;NDC!$C$65,FK147&gt;NDC!$D$73,FL147&gt;NDC!$D$74,$B147&gt;NDC!$H$22-0.1+MIN(3*FM$12,1.5)),0,1)</f>
        <v>#N/A</v>
      </c>
    </row>
    <row r="148" spans="1:169">
      <c r="A148" s="96">
        <f t="shared" si="265"/>
        <v>86.500000000000767</v>
      </c>
      <c r="B148" s="97">
        <v>13.5</v>
      </c>
      <c r="C148" s="81">
        <f>IF(B148&lt;=Hypothèses!$C$7,Hypothèses!$A$7,IF(B148&lt;=Hypothèses!$C$8,Hypothèses!$A$8,IF(B148&lt;=Hypothèses!$C$9,Hypothèses!$A$9,IF(B148&lt;=Hypothèses!$C$10,Hypothèses!$A$10,IF(B148&lt;=Hypothèses!$C$11,Hypothèses!$A$11,IF(B148&lt;=Hypothèses!$C$12,Hypothèses!$A$12,IF(B148&lt;=Hypothèses!$C$13,Hypothèses!$A$13,IF(B148&lt;=Hypothèses!$C$14,Hypothèses!$A$14,IF(B148&lt;=Hypothèses!$C$15,Hypothèses!$A$15,IF(B148&lt;=Hypothèses!$C$16,Hypothèses!$A$16,IF(B148&lt;=Hypothèses!$C$17,Hypothèses!$A$17,IF(B148&lt;=Hypothèses!$C$18,Hypothèses!$A$18,C147))))))))))))</f>
        <v>11</v>
      </c>
      <c r="D148" s="82" t="str">
        <f>IF(B148&lt;=Hypothèses!$C$7,Hypothèses!$R$7,IF(B148&lt;=Hypothèses!$C$8,Hypothèses!$R$8,IF(B148&lt;=Hypothèses!$C$9,Hypothèses!$R$9,IF(B148&lt;=Hypothèses!$C$10,Hypothèses!$R$10,IF(B148&lt;=Hypothèses!$C$11,Hypothèses!$R$11,IF(B148&lt;=Hypothèses!$C$12,Hypothèses!$R$12,IF(B148&lt;=Hypothèses!$C$13,Hypothèses!$R$13,IF(B148&lt;=Hypothèses!$C$14,Hypothèses!$R$14,IF(B148&lt;=Hypothèses!$C$15,Hypothèses!$R$15,IF(B148&lt;=Hypothèses!$C$16,Hypothèses!$R$16,IF(B148&lt;=Hypothèses!$C$17,Hypothèses!$R$17,IF(B148&lt;=Hypothèses!$C$18,Hypothèses!$R$18,D147))))))))))))</f>
        <v>Pressio.</v>
      </c>
      <c r="E148" s="82" t="e">
        <f>IF(B148&lt;=Hypothèses!$C$7,Hypothèses!$G$7,IF(B148&lt;=Hypothèses!$C$8,Hypothèses!$G$8,IF(B148&lt;=Hypothèses!$C$9,Hypothèses!$G$9,IF(B148&lt;=Hypothèses!$C$10,Hypothèses!$G$10,IF(B148&lt;=Hypothèses!$C$11,Hypothèses!$G$11,IF(B148&lt;=Hypothèses!$C$12,Hypothèses!$G$12,IF(B148&lt;=Hypothèses!$C$13,Hypothèses!$G$13,IF(B148&lt;=Hypothèses!$C$14,Hypothèses!$G$14,IF(B148&lt;=Hypothèses!$C$15,Hypothèses!$G$15,IF(B148&lt;=Hypothèses!$C$16,Hypothèses!$G$16,IF(B148&lt;=Hypothèses!$C$17,Hypothèses!$G$17,IF(B148&lt;=Hypothèses!$C$18,Hypothèses!$G$18,E147))))))))))))</f>
        <v>#N/A</v>
      </c>
      <c r="F148" s="82" t="str">
        <f>IF(B148&lt;=Hypothèses!$C$7,Hypothèses!$F$7,IF(B148&lt;=Hypothèses!$C$8,Hypothèses!$F$8,IF(B148&lt;=Hypothèses!$C$9,Hypothèses!$F$9,IF(B148&lt;=Hypothèses!$C$10,Hypothèses!$F$10,IF(B148&lt;=Hypothèses!$C$11,Hypothèses!$F$11,IF(B148&lt;=Hypothèses!$C$12,Hypothèses!$F$12,IF(B148&lt;=Hypothèses!$C$13,Hypothèses!$F$13,IF(B148&lt;=Hypothèses!$C$14,Hypothèses!$F$14,IF(B148&lt;=Hypothèses!$C$15,Hypothèses!$F$15,IF(B148&lt;=Hypothèses!$C$16,Hypothèses!$F$16,IF(B148&lt;=Hypothèses!$C$17,Hypothèses!$F$17,IF(B148&lt;=Hypothèses!$C$18,Hypothèses!$F$18,F147))))))))))))</f>
        <v/>
      </c>
      <c r="G148" s="91">
        <f t="array" ref="G148">INDEX('Coeff EC7'!$U$7:$X$27,
MATCH(Model0.1T!$B$3,'Coeff EC7'!$T$7:$T$27,0),
MATCH(Model0.1T!$D148&amp;Model0.1T!$B$4,
'Coeff EC7'!$U$6:$X$6&amp;
'Coeff EC7'!$U$5:$X$5,0))</f>
        <v>1.4</v>
      </c>
      <c r="H148" s="91">
        <f t="array" ref="H148">INDEX('Coeff EC7'!$Y$7:$AB$27,
MATCH(Model0.1T!$B$3,'Coeff EC7'!$T$7:$T$27,0),
MATCH(Model0.1T!$D148&amp;Model0.1T!$B$4,
'Coeff EC7'!$Y$6:$AB$6&amp;
'Coeff EC7'!$Y$5:$AB$5,0))</f>
        <v>1.7</v>
      </c>
      <c r="I148" s="83">
        <v>0</v>
      </c>
      <c r="J148" s="91" t="e">
        <f t="array" ref="J148">INDEX('Coeff EC7'!$D$33:$Q$33,1,MATCH(D148&amp;E148,'Coeff EC7'!$D$31:$Q$31&amp;'Coeff EC7'!$D$32:$Q$32,0))</f>
        <v>#N/A</v>
      </c>
      <c r="K148" s="91" t="e">
        <f t="array" ref="K148">INDEX('Coeff EC7'!$D$34:$Q$34,1,MATCH(D148&amp;E148,'Coeff EC7'!$D$31:$Q$31&amp;'Coeff EC7'!$D$32:$Q$32,0))</f>
        <v>#N/A</v>
      </c>
      <c r="L148" s="91" t="e">
        <f t="array" ref="L148">INDEX('Coeff EC7'!$D$35:$Q$35,1,MATCH(D148&amp;E148,'Coeff EC7'!$D$31:$Q$31&amp;'Coeff EC7'!$D$32:$Q$32,0))</f>
        <v>#N/A</v>
      </c>
      <c r="M148" s="98" t="e">
        <f t="shared" si="231"/>
        <v>#N/A</v>
      </c>
      <c r="N148" s="99" t="e">
        <f t="array" ref="N148">INDEX('Coeff EC7'!$D$7:$Q$27,MATCH($B$3,'Coeff EC7'!$C$7:$C$27,0),MATCH(D148&amp;E148,'Coeff EC7'!$D$5:$Q$5&amp;'Coeff EC7'!$D$6:$Q$6,0))</f>
        <v>#N/A</v>
      </c>
      <c r="O148" s="99" t="e">
        <f t="array" ref="O148">INDEX('Coeff EC7'!$D$41:$Q$61,MATCH($B$3,'Coeff EC7'!$C$41:$C$61,0),MATCH(D148&amp;E148,'Coeff EC7'!$D$39:$Q$39&amp;'Coeff EC7'!$D$40:$Q$40,0))</f>
        <v>#N/A</v>
      </c>
      <c r="P148" s="30" t="e">
        <f t="shared" si="266"/>
        <v>#N/A</v>
      </c>
      <c r="Q148" s="100" t="e">
        <f t="shared" si="233"/>
        <v>#N/A</v>
      </c>
      <c r="R148" s="86" t="b">
        <f t="shared" si="234"/>
        <v>0</v>
      </c>
      <c r="S148" s="86">
        <f t="shared" si="232"/>
        <v>0.5</v>
      </c>
      <c r="T148" s="86">
        <f t="shared" si="235"/>
        <v>0.5</v>
      </c>
      <c r="U148" s="30" t="e">
        <f t="shared" ca="1" si="267"/>
        <v>#DIV/0!</v>
      </c>
      <c r="V148" s="85" t="str">
        <f>IF(B148&lt;=Hypothèses!$V$7,Hypothèses!$W$7,IF(B148&lt;=Hypothèses!$V$8,Hypothèses!$W$8,IF(B148&lt;=Hypothèses!$V$9,Hypothèses!$W$9,IF(B148&lt;=Hypothèses!$V$10,Hypothèses!$W$10,IF(B148&lt;=Hypothèses!$V$11,Hypothèses!$W$11,IF(B148&lt;=Hypothèses!$V$12,Hypothèses!$W$12,IF(B148&lt;=Hypothèses!$V$13,Hypothèses!$W$13,IF(B148&lt;=Hypothèses!$V$14,Hypothèses!$W$14,IF(B148&lt;=Hypothèses!$V$15,Hypothèses!$W$15,IF(B148&lt;=Hypothèses!$V$16,Hypothèses!$W$16,IF(B148&lt;=Hypothèses!$V$17,Hypothèses!$W$17,IF(B148&lt;=Hypothèses!$V$18,Hypothèses!$W$18,""))))))))))))</f>
        <v/>
      </c>
      <c r="W148" s="87" t="e">
        <f t="shared" ca="1" si="316"/>
        <v>#DIV/0!</v>
      </c>
      <c r="X148" s="88" t="str">
        <f>IF(B148&lt;=Hypothèses!$V$7,Hypothèses!$X$7,IF(B148&lt;=Hypothèses!$V$8,Hypothèses!$X$8,IF(B148&lt;=Hypothèses!$V$9,Hypothèses!$X$9,IF(B148&lt;=Hypothèses!$V$10,Hypothèses!$X$10,IF(B148&lt;=Hypothèses!$V$11,Hypothèses!$X$11,IF(B148&lt;=Hypothèses!$V$12,Hypothèses!$X$12,IF(B148&lt;=Hypothèses!$V$13,Hypothèses!$X$13,IF(B148&lt;=Hypothèses!$V$14,Hypothèses!$X$14,IF(B148&lt;=Hypothèses!$V$15,Hypothèses!$X$15,IF(B148&lt;=Hypothèses!$V$16,Hypothèses!$X$16,IF(B148&lt;=Hypothèses!$U$17,Hypothèses!$W$17,IF(B148&lt;=Hypothèses!$U$18,Hypothèses!$W$18,""))))))))))))</f>
        <v/>
      </c>
      <c r="Y148" s="95" t="e">
        <f t="shared" ca="1" si="236"/>
        <v>#DIV/0!</v>
      </c>
      <c r="Z148" s="101">
        <f t="shared" si="237"/>
        <v>0</v>
      </c>
      <c r="AA148" s="91">
        <f t="shared" si="238"/>
        <v>0</v>
      </c>
      <c r="AB148" s="30" t="e">
        <f t="shared" si="300"/>
        <v>#N/A</v>
      </c>
      <c r="AC148" s="30" t="e">
        <f t="shared" si="301"/>
        <v>#N/A</v>
      </c>
      <c r="AD148" s="31" t="e">
        <f>IF(OR(Hypothèses!$B$4=17,Hypothèses!$B$4=18,Hypothèses!$B$4=19,Hypothèses!$B$4=20),
IF($D148="Pressio.",
IF(OR($E148=3,$E148=1,$E148=4),AC148,AB148),
IF($D148="Pénétro.",
IF(OR($E148=3,$E148=1,$E148=4),AC148,AB148))),IF($D148="Pressio.",
IF($E148=3,AC148,AB148),
IF($D148="Pénétro.",
IF($E148=4,AC148,AB148))))</f>
        <v>#N/A</v>
      </c>
      <c r="AE148" s="31">
        <v>0</v>
      </c>
      <c r="AF148" s="102" t="e">
        <f>IF(NDC!$H$10="Oui",(VLOOKUP($B$3,'Coeff EC7'!$T$39:$X$59,2,0)*AD148+VLOOKUP($B$3,'Coeff EC7'!$T$65:$X$85,2,0)*Model0.1T!AE148)/1.5,PI()*AB$12*$Q148*($B148-$B147)*0.15/10+AF147)</f>
        <v>#N/A</v>
      </c>
      <c r="AG148" s="102" t="e">
        <f>(VLOOKUP($B$3,'Coeff EC7'!$T$39:$X$59,3,0)*AD148+VLOOKUP($B$3,'Coeff EC7'!$T$65:$X$85,3,0)*Model0.1T!AE148)/1.1</f>
        <v>#N/A</v>
      </c>
      <c r="AH148" s="102" t="e">
        <f t="shared" si="268"/>
        <v>#N/A</v>
      </c>
      <c r="AI148" s="102" t="e">
        <f t="shared" si="269"/>
        <v>#N/A</v>
      </c>
      <c r="AJ148" s="414" t="e">
        <f>IF(AND(AF148&gt;NDC!$C$63,AG148&gt;NDC!$C$65,AH148&gt;NDC!$D$73,AI148&gt;NDC!$D$74,$B148&gt;NDC!$H$22-0.1+MIN(3*$AJ$12,1.5)),0,1)</f>
        <v>#N/A</v>
      </c>
      <c r="AK148" s="86" t="b">
        <f t="shared" si="239"/>
        <v>0</v>
      </c>
      <c r="AL148" s="86">
        <f t="shared" si="270"/>
        <v>0.5</v>
      </c>
      <c r="AM148" s="86">
        <f t="shared" si="240"/>
        <v>0.5</v>
      </c>
      <c r="AN148" s="30" t="e">
        <f t="shared" ca="1" si="271"/>
        <v>#DIV/0!</v>
      </c>
      <c r="AO148" s="85" t="e">
        <f ca="1">IF(U148&lt;=Hypothèses!$V$7,Hypothèses!$W$7,IF(U148&lt;=Hypothèses!$V$8,Hypothèses!$W$8,IF(U148&lt;=Hypothèses!$V$9,Hypothèses!$W$9,IF(U148&lt;=Hypothèses!$V$10,Hypothèses!$W$10,IF(U148&lt;=Hypothèses!$V$11,Hypothèses!$W$11,IF(U148&lt;=Hypothèses!$V$12,Hypothèses!$W$12,IF(U148&lt;=Hypothèses!$V$13,Hypothèses!$W$13,IF(U148&lt;=Hypothèses!$V$14,Hypothèses!$W$14,IF(U148&lt;=Hypothèses!$V$15,Hypothèses!$W$15,IF(U148&lt;=Hypothèses!$V$16,Hypothèses!$W$16,IF(U148&lt;=Hypothèses!$V$17,Hypothèses!$W$17,IF(U148&lt;=Hypothèses!$V$18,Hypothèses!$W$18,""))))))))))))</f>
        <v>#DIV/0!</v>
      </c>
      <c r="AP148" s="87" t="e">
        <f t="shared" ca="1" si="317"/>
        <v>#DIV/0!</v>
      </c>
      <c r="AQ148" s="88" t="e">
        <f ca="1">IF(U148&lt;=Hypothèses!$V$7,Hypothèses!$X$7,IF(U148&lt;=Hypothèses!$V$8,Hypothèses!$X$8,IF(U148&lt;=Hypothèses!$V$9,Hypothèses!$X$9,IF(U148&lt;=Hypothèses!$V$10,Hypothèses!$X$10,IF(U148&lt;=Hypothèses!$V$11,Hypothèses!$X$11,IF(U148&lt;=Hypothèses!$V$12,Hypothèses!$X$12,IF(U148&lt;=Hypothèses!$V$13,Hypothèses!$X$13,IF(U148&lt;=Hypothèses!$V$14,Hypothèses!$X$14,IF(U148&lt;=Hypothèses!$V$15,Hypothèses!$X$15,IF(U148&lt;=Hypothèses!$V$16,Hypothèses!$X$16,IF(U148&lt;=Hypothèses!$U$17,Hypothèses!$W$17,IF(U148&lt;=Hypothèses!$U$18,Hypothèses!$W$18,""))))))))))))</f>
        <v>#DIV/0!</v>
      </c>
      <c r="AR148" s="95" t="e">
        <f t="shared" ca="1" si="272"/>
        <v>#DIV/0!</v>
      </c>
      <c r="AS148" s="101">
        <f t="shared" si="324"/>
        <v>0</v>
      </c>
      <c r="AT148" s="91">
        <f t="shared" si="241"/>
        <v>0</v>
      </c>
      <c r="AU148" s="30" t="e">
        <f t="shared" si="302"/>
        <v>#N/A</v>
      </c>
      <c r="AV148" s="30" t="e">
        <f t="shared" si="303"/>
        <v>#N/A</v>
      </c>
      <c r="AW148" s="31" t="e">
        <f>IF(OR(Hypothèses!$B$4=17,Hypothèses!$B$4=18,Hypothèses!$B$4=19,Hypothèses!$B$4=20),
IF($D148="Pressio.",
IF(OR($E148=3,$E148=1,$E148=4),AV148,AU148),
IF($D148="Pénétro.",
IF(OR($E148=3,$E148=1,$E148=4),AV148,AU148))),IF($D148="Pressio.",
IF($E148=3,AV148,AU148),
IF($D148="Pénétro.",
IF($E148=4,AV148,AU148))))</f>
        <v>#N/A</v>
      </c>
      <c r="AX148" s="31">
        <v>0</v>
      </c>
      <c r="AY148" s="102" t="e">
        <f>IF(NDC!$H$10="Oui",(VLOOKUP($B$3,'Coeff EC7'!$T$39:$X$59,2,0)*AW148+VLOOKUP($B$3,'Coeff EC7'!$T$65:$X$85,2,0)*Model0.1T!AX148)/1.5,PI()*AU$12*$Q148*($B148-$B147)*0.15/10+AY147)</f>
        <v>#N/A</v>
      </c>
      <c r="AZ148" s="102" t="e">
        <f>(VLOOKUP($B$3,'Coeff EC7'!$T$39:$X$59,3,0)*AW148+VLOOKUP($B$3,'Coeff EC7'!$T$65:$X$85,3,0)*Model0.1T!AX148)/1.1</f>
        <v>#N/A</v>
      </c>
      <c r="BA148" s="102" t="e">
        <f t="shared" si="273"/>
        <v>#N/A</v>
      </c>
      <c r="BB148" s="102" t="e">
        <f t="shared" si="274"/>
        <v>#N/A</v>
      </c>
      <c r="BC148" s="414" t="e">
        <f>IF(AND(AY148&gt;NDC!$C$63,AZ148&gt;NDC!$C$65,BA148&gt;NDC!$D$73,BB148&gt;NDC!$D$74,$B148&gt;NDC!$H$22-0.1+MIN(3*BC$12,1.5)),0,1)</f>
        <v>#N/A</v>
      </c>
      <c r="BD148" s="86" t="b">
        <f t="shared" si="242"/>
        <v>0</v>
      </c>
      <c r="BE148" s="86">
        <f t="shared" si="275"/>
        <v>0.5</v>
      </c>
      <c r="BF148" s="86">
        <f t="shared" si="243"/>
        <v>0.5</v>
      </c>
      <c r="BG148" s="30" t="e">
        <f t="shared" ca="1" si="276"/>
        <v>#DIV/0!</v>
      </c>
      <c r="BH148" s="85" t="e">
        <f ca="1">IF(AN148&lt;=Hypothèses!$V$7,Hypothèses!$W$7,IF(AN148&lt;=Hypothèses!$V$8,Hypothèses!$W$8,IF(AN148&lt;=Hypothèses!$V$9,Hypothèses!$W$9,IF(AN148&lt;=Hypothèses!$V$10,Hypothèses!$W$10,IF(AN148&lt;=Hypothèses!$V$11,Hypothèses!$W$11,IF(AN148&lt;=Hypothèses!$V$12,Hypothèses!$W$12,IF(AN148&lt;=Hypothèses!$V$13,Hypothèses!$W$13,IF(AN148&lt;=Hypothèses!$V$14,Hypothèses!$W$14,IF(AN148&lt;=Hypothèses!$V$15,Hypothèses!$W$15,IF(AN148&lt;=Hypothèses!$V$16,Hypothèses!$W$16,IF(AN148&lt;=Hypothèses!$V$17,Hypothèses!$W$17,IF(AN148&lt;=Hypothèses!$V$18,Hypothèses!$W$18,""))))))))))))</f>
        <v>#DIV/0!</v>
      </c>
      <c r="BI148" s="87" t="e">
        <f t="shared" ca="1" si="318"/>
        <v>#DIV/0!</v>
      </c>
      <c r="BJ148" s="88" t="e">
        <f ca="1">IF(AN148&lt;=Hypothèses!$V$7,Hypothèses!$X$7,IF(AN148&lt;=Hypothèses!$V$8,Hypothèses!$X$8,IF(AN148&lt;=Hypothèses!$V$9,Hypothèses!$X$9,IF(AN148&lt;=Hypothèses!$V$10,Hypothèses!$X$10,IF(AN148&lt;=Hypothèses!$V$11,Hypothèses!$X$11,IF(AN148&lt;=Hypothèses!$V$12,Hypothèses!$X$12,IF(AN148&lt;=Hypothèses!$V$13,Hypothèses!$X$13,IF(AN148&lt;=Hypothèses!$V$14,Hypothèses!$X$14,IF(AN148&lt;=Hypothèses!$V$15,Hypothèses!$X$15,IF(AN148&lt;=Hypothèses!$V$16,Hypothèses!$X$16,IF(AN148&lt;=Hypothèses!$U$17,Hypothèses!$W$17,IF(AN148&lt;=Hypothèses!$U$18,Hypothèses!$W$18,""))))))))))))</f>
        <v>#DIV/0!</v>
      </c>
      <c r="BK148" s="95" t="e">
        <f t="shared" ca="1" si="277"/>
        <v>#DIV/0!</v>
      </c>
      <c r="BL148" s="101">
        <f t="shared" si="325"/>
        <v>0</v>
      </c>
      <c r="BM148" s="91">
        <f t="shared" si="244"/>
        <v>0</v>
      </c>
      <c r="BN148" s="30" t="e">
        <f t="shared" si="304"/>
        <v>#N/A</v>
      </c>
      <c r="BO148" s="30" t="e">
        <f t="shared" si="305"/>
        <v>#N/A</v>
      </c>
      <c r="BP148" s="31" t="e">
        <f>IF(OR(Hypothèses!$B$4=17,Hypothèses!$B$4=18,Hypothèses!$B$4=19,Hypothèses!$B$4=20),
IF($D148="Pressio.",
IF(OR($E148=3,$E148=1,$E148=4),BO148,BN148),
IF($D148="Pénétro.",
IF(OR($E148=3,$E148=1,$E148=4),BO148,BN148))),IF($D148="Pressio.",
IF($E148=3,BO148,BN148),
IF($D148="Pénétro.",
IF($E148=4,BO148,BN148))))</f>
        <v>#N/A</v>
      </c>
      <c r="BQ148" s="31">
        <v>0</v>
      </c>
      <c r="BR148" s="102" t="e">
        <f>IF(NDC!$H$10="Oui",(VLOOKUP($B$3,'Coeff EC7'!$T$39:$X$59,2,0)*BP148+VLOOKUP($B$3,'Coeff EC7'!$T$65:$X$85,2,0)*Model0.1T!BQ148)/1.5,PI()*BN$12*$Q148*($B148-$B147)*0.15/10+BR147)</f>
        <v>#N/A</v>
      </c>
      <c r="BS148" s="102" t="e">
        <f>(VLOOKUP($B$3,'Coeff EC7'!$T$39:$X$59,3,0)*BP148+VLOOKUP($B$3,'Coeff EC7'!$T$65:$X$85,3,0)*Model0.1T!BQ148)/1.1</f>
        <v>#N/A</v>
      </c>
      <c r="BT148" s="102" t="e">
        <f t="shared" si="278"/>
        <v>#N/A</v>
      </c>
      <c r="BU148" s="102" t="e">
        <f t="shared" si="279"/>
        <v>#N/A</v>
      </c>
      <c r="BV148" s="414" t="e">
        <f>IF(AND(BR148&gt;NDC!$C$63,BS148&gt;NDC!$C$65,BT148&gt;NDC!$D$73,BU148&gt;NDC!$D$74,$B148&gt;NDC!$H$22-0.1+MIN(3*BV$12,1.5)),0,1)</f>
        <v>#N/A</v>
      </c>
      <c r="BW148" s="86" t="b">
        <f t="shared" si="245"/>
        <v>0</v>
      </c>
      <c r="BX148" s="86">
        <f t="shared" si="246"/>
        <v>0.5</v>
      </c>
      <c r="BY148" s="86">
        <f t="shared" si="247"/>
        <v>0.5</v>
      </c>
      <c r="BZ148" s="30" t="e">
        <f t="shared" ca="1" si="280"/>
        <v>#DIV/0!</v>
      </c>
      <c r="CA148" s="85" t="e">
        <f ca="1">IF(BG148&lt;=Hypothèses!$V$7,Hypothèses!$W$7,IF(BG148&lt;=Hypothèses!$V$8,Hypothèses!$W$8,IF(BG148&lt;=Hypothèses!$V$9,Hypothèses!$W$9,IF(BG148&lt;=Hypothèses!$V$10,Hypothèses!$W$10,IF(BG148&lt;=Hypothèses!$V$11,Hypothèses!$W$11,IF(BG148&lt;=Hypothèses!$V$12,Hypothèses!$W$12,IF(BG148&lt;=Hypothèses!$V$13,Hypothèses!$W$13,IF(BG148&lt;=Hypothèses!$V$14,Hypothèses!$W$14,IF(BG148&lt;=Hypothèses!$V$15,Hypothèses!$W$15,IF(BG148&lt;=Hypothèses!$V$16,Hypothèses!$W$16,IF(BG148&lt;=Hypothèses!$V$17,Hypothèses!$W$17,IF(BG148&lt;=Hypothèses!$V$18,Hypothèses!$W$18,""))))))))))))</f>
        <v>#DIV/0!</v>
      </c>
      <c r="CB148" s="87" t="e">
        <f t="shared" ca="1" si="319"/>
        <v>#DIV/0!</v>
      </c>
      <c r="CC148" s="88" t="e">
        <f ca="1">IF(BG148&lt;=Hypothèses!$V$7,Hypothèses!$X$7,IF(BG148&lt;=Hypothèses!$V$8,Hypothèses!$X$8,IF(BG148&lt;=Hypothèses!$V$9,Hypothèses!$X$9,IF(BG148&lt;=Hypothèses!$V$10,Hypothèses!$X$10,IF(BG148&lt;=Hypothèses!$V$11,Hypothèses!$X$11,IF(BG148&lt;=Hypothèses!$V$12,Hypothèses!$X$12,IF(BG148&lt;=Hypothèses!$V$13,Hypothèses!$X$13,IF(BG148&lt;=Hypothèses!$V$14,Hypothèses!$X$14,IF(BG148&lt;=Hypothèses!$V$15,Hypothèses!$X$15,IF(BG148&lt;=Hypothèses!$V$16,Hypothèses!$X$16,IF(BG148&lt;=Hypothèses!$U$17,Hypothèses!$W$17,IF(BG148&lt;=Hypothèses!$U$18,Hypothèses!$W$18,""))))))))))))</f>
        <v>#DIV/0!</v>
      </c>
      <c r="CD148" s="95" t="e">
        <f t="shared" ca="1" si="281"/>
        <v>#DIV/0!</v>
      </c>
      <c r="CE148" s="101">
        <f t="shared" si="326"/>
        <v>0</v>
      </c>
      <c r="CF148" s="91">
        <f t="shared" si="248"/>
        <v>0</v>
      </c>
      <c r="CG148" s="30" t="e">
        <f t="shared" si="306"/>
        <v>#N/A</v>
      </c>
      <c r="CH148" s="30" t="e">
        <f t="shared" si="307"/>
        <v>#N/A</v>
      </c>
      <c r="CI148" s="31" t="e">
        <f>IF(OR(Hypothèses!$B$4=17,Hypothèses!$B$4=18,Hypothèses!$B$4=19,Hypothèses!$B$4=20),
IF($D148="Pressio.",
IF(OR($E148=3,$E148=1,$E148=4),CH148,CG148),
IF($D148="Pénétro.",
IF(OR($E148=3,$E148=1,$E148=4),CH148,CG148))),IF($D148="Pressio.",
IF($E148=3,CH148,CG148),
IF($D148="Pénétro.",
IF($E148=4,CH148,CG148))))</f>
        <v>#N/A</v>
      </c>
      <c r="CJ148" s="31">
        <v>0</v>
      </c>
      <c r="CK148" s="102" t="e">
        <f>IF(NDC!$H$10="Oui",(VLOOKUP($B$3,'Coeff EC7'!$T$39:$X$59,2,0)*CI148+VLOOKUP($B$3,'Coeff EC7'!$T$65:$X$85,2,0)*Model0.1T!CJ148)/1.5,PI()*CG$12*$Q148*($B148-$B147)*0.15/10+CK147)</f>
        <v>#N/A</v>
      </c>
      <c r="CL148" s="102" t="e">
        <f>(VLOOKUP($B$3,'Coeff EC7'!$T$39:$X$59,3,0)*CI148+VLOOKUP($B$3,'Coeff EC7'!$T$65:$X$85,3,0)*Model0.1T!CJ148)/1.1</f>
        <v>#N/A</v>
      </c>
      <c r="CM148" s="102" t="e">
        <f t="shared" si="282"/>
        <v>#N/A</v>
      </c>
      <c r="CN148" s="102" t="e">
        <f t="shared" si="283"/>
        <v>#N/A</v>
      </c>
      <c r="CO148" s="414" t="e">
        <f>IF(AND(CK148&gt;NDC!$C$63,CL148&gt;NDC!$C$65,CM148&gt;NDC!$D$73,CN148&gt;NDC!$D$74,$B148&gt;NDC!$H$22-0.1+MIN(3*CO$12,1.5)),0,1)</f>
        <v>#N/A</v>
      </c>
      <c r="CP148" s="86" t="b">
        <f t="shared" si="249"/>
        <v>0</v>
      </c>
      <c r="CQ148" s="86">
        <f t="shared" si="250"/>
        <v>0.5</v>
      </c>
      <c r="CR148" s="86">
        <f t="shared" si="251"/>
        <v>0.5</v>
      </c>
      <c r="CS148" s="30" t="e">
        <f t="shared" ca="1" si="284"/>
        <v>#DIV/0!</v>
      </c>
      <c r="CT148" s="85" t="e">
        <f ca="1">IF(BZ148&lt;=Hypothèses!$V$7,Hypothèses!$W$7,IF(BZ148&lt;=Hypothèses!$V$8,Hypothèses!$W$8,IF(BZ148&lt;=Hypothèses!$V$9,Hypothèses!$W$9,IF(BZ148&lt;=Hypothèses!$V$10,Hypothèses!$W$10,IF(BZ148&lt;=Hypothèses!$V$11,Hypothèses!$W$11,IF(BZ148&lt;=Hypothèses!$V$12,Hypothèses!$W$12,IF(BZ148&lt;=Hypothèses!$V$13,Hypothèses!$W$13,IF(BZ148&lt;=Hypothèses!$V$14,Hypothèses!$W$14,IF(BZ148&lt;=Hypothèses!$V$15,Hypothèses!$W$15,IF(BZ148&lt;=Hypothèses!$V$16,Hypothèses!$W$16,IF(BZ148&lt;=Hypothèses!$V$17,Hypothèses!$W$17,IF(BZ148&lt;=Hypothèses!$V$18,Hypothèses!$W$18,""))))))))))))</f>
        <v>#DIV/0!</v>
      </c>
      <c r="CU148" s="87" t="e">
        <f t="shared" ca="1" si="320"/>
        <v>#DIV/0!</v>
      </c>
      <c r="CV148" s="88" t="e">
        <f ca="1">IF(BZ148&lt;=Hypothèses!$V$7,Hypothèses!$X$7,IF(BZ148&lt;=Hypothèses!$V$8,Hypothèses!$X$8,IF(BZ148&lt;=Hypothèses!$V$9,Hypothèses!$X$9,IF(BZ148&lt;=Hypothèses!$V$10,Hypothèses!$X$10,IF(BZ148&lt;=Hypothèses!$V$11,Hypothèses!$X$11,IF(BZ148&lt;=Hypothèses!$V$12,Hypothèses!$X$12,IF(BZ148&lt;=Hypothèses!$V$13,Hypothèses!$X$13,IF(BZ148&lt;=Hypothèses!$V$14,Hypothèses!$X$14,IF(BZ148&lt;=Hypothèses!$V$15,Hypothèses!$X$15,IF(BZ148&lt;=Hypothèses!$V$16,Hypothèses!$X$16,IF(BZ148&lt;=Hypothèses!$U$17,Hypothèses!$W$17,IF(BZ148&lt;=Hypothèses!$U$18,Hypothèses!$W$18,""))))))))))))</f>
        <v>#DIV/0!</v>
      </c>
      <c r="CW148" s="95" t="e">
        <f t="shared" ca="1" si="285"/>
        <v>#DIV/0!</v>
      </c>
      <c r="CX148" s="101">
        <f t="shared" si="327"/>
        <v>0</v>
      </c>
      <c r="CY148" s="91">
        <f t="shared" si="252"/>
        <v>0</v>
      </c>
      <c r="CZ148" s="30" t="e">
        <f t="shared" si="308"/>
        <v>#N/A</v>
      </c>
      <c r="DA148" s="30" t="e">
        <f t="shared" si="309"/>
        <v>#N/A</v>
      </c>
      <c r="DB148" s="31" t="e">
        <f>IF(OR(Hypothèses!$B$4=17,Hypothèses!$B$4=18,Hypothèses!$B$4=19,Hypothèses!$B$4=20),
IF($D148="Pressio.",
IF(OR($E148=3,$E148=1,$E148=4),DA148,CZ148),
IF($D148="Pénétro.",
IF(OR($E148=3,$E148=1,$E148=4),DA148,CZ148))),IF($D148="Pressio.",
IF($E148=3,DA148,CZ148),
IF($D148="Pénétro.",
IF($E148=4,DA148,CZ148))))</f>
        <v>#N/A</v>
      </c>
      <c r="DC148" s="31">
        <v>0</v>
      </c>
      <c r="DD148" s="102" t="e">
        <f>IF(NDC!$H$10="Oui",(VLOOKUP($B$3,'Coeff EC7'!$T$39:$X$59,2,0)*DB148+VLOOKUP($B$3,'Coeff EC7'!$T$65:$X$85,2,0)*Model0.1T!DC148)/1.5,PI()*CZ$12*$Q148*($B148-$B147)*0.15/10+DD147)</f>
        <v>#N/A</v>
      </c>
      <c r="DE148" s="102" t="e">
        <f>(VLOOKUP($B$3,'Coeff EC7'!$T$39:$X$59,3,0)*DB148+VLOOKUP($B$3,'Coeff EC7'!$T$65:$X$85,3,0)*Model0.1T!DC148)/1.1</f>
        <v>#N/A</v>
      </c>
      <c r="DF148" s="102" t="e">
        <f t="shared" si="286"/>
        <v>#N/A</v>
      </c>
      <c r="DG148" s="102" t="e">
        <f t="shared" si="287"/>
        <v>#N/A</v>
      </c>
      <c r="DH148" s="414" t="e">
        <f>IF(AND(DD148&gt;NDC!$C$63,DE148&gt;NDC!$C$65,DF148&gt;NDC!$D$73,DG148&gt;NDC!$D$74,$B148&gt;NDC!$H$22-0.1+MIN(3*DH$12,1.5)),0,1)</f>
        <v>#N/A</v>
      </c>
      <c r="DI148" s="86" t="b">
        <f t="shared" si="253"/>
        <v>0</v>
      </c>
      <c r="DJ148" s="86">
        <f t="shared" si="254"/>
        <v>0.5</v>
      </c>
      <c r="DK148" s="86">
        <f t="shared" si="255"/>
        <v>0.5</v>
      </c>
      <c r="DL148" s="30" t="e">
        <f t="shared" ca="1" si="288"/>
        <v>#DIV/0!</v>
      </c>
      <c r="DM148" s="85" t="e">
        <f ca="1">IF(CS148&lt;=Hypothèses!$V$7,Hypothèses!$W$7,IF(CS148&lt;=Hypothèses!$V$8,Hypothèses!$W$8,IF(CS148&lt;=Hypothèses!$V$9,Hypothèses!$W$9,IF(CS148&lt;=Hypothèses!$V$10,Hypothèses!$W$10,IF(CS148&lt;=Hypothèses!$V$11,Hypothèses!$W$11,IF(CS148&lt;=Hypothèses!$V$12,Hypothèses!$W$12,IF(CS148&lt;=Hypothèses!$V$13,Hypothèses!$W$13,IF(CS148&lt;=Hypothèses!$V$14,Hypothèses!$W$14,IF(CS148&lt;=Hypothèses!$V$15,Hypothèses!$W$15,IF(CS148&lt;=Hypothèses!$V$16,Hypothèses!$W$16,IF(CS148&lt;=Hypothèses!$V$17,Hypothèses!$W$17,IF(CS148&lt;=Hypothèses!$V$18,Hypothèses!$W$18,""))))))))))))</f>
        <v>#DIV/0!</v>
      </c>
      <c r="DN148" s="87" t="e">
        <f t="shared" ca="1" si="321"/>
        <v>#DIV/0!</v>
      </c>
      <c r="DO148" s="88" t="e">
        <f ca="1">IF(CS148&lt;=Hypothèses!$V$7,Hypothèses!$X$7,IF(CS148&lt;=Hypothèses!$V$8,Hypothèses!$X$8,IF(CS148&lt;=Hypothèses!$V$9,Hypothèses!$X$9,IF(CS148&lt;=Hypothèses!$V$10,Hypothèses!$X$10,IF(CS148&lt;=Hypothèses!$V$11,Hypothèses!$X$11,IF(CS148&lt;=Hypothèses!$V$12,Hypothèses!$X$12,IF(CS148&lt;=Hypothèses!$V$13,Hypothèses!$X$13,IF(CS148&lt;=Hypothèses!$V$14,Hypothèses!$X$14,IF(CS148&lt;=Hypothèses!$V$15,Hypothèses!$X$15,IF(CS148&lt;=Hypothèses!$V$16,Hypothèses!$X$16,IF(CS148&lt;=Hypothèses!$U$17,Hypothèses!$W$17,IF(CS148&lt;=Hypothèses!$U$18,Hypothèses!$W$18,""))))))))))))</f>
        <v>#DIV/0!</v>
      </c>
      <c r="DP148" s="95" t="e">
        <f t="shared" ca="1" si="289"/>
        <v>#DIV/0!</v>
      </c>
      <c r="DQ148" s="101">
        <f t="shared" si="328"/>
        <v>0</v>
      </c>
      <c r="DR148" s="91">
        <f t="shared" si="256"/>
        <v>0</v>
      </c>
      <c r="DS148" s="30" t="e">
        <f t="shared" si="310"/>
        <v>#N/A</v>
      </c>
      <c r="DT148" s="30" t="e">
        <f t="shared" si="311"/>
        <v>#N/A</v>
      </c>
      <c r="DU148" s="31" t="e">
        <f>IF(OR(Hypothèses!$B$4=17,Hypothèses!$B$4=18,Hypothèses!$B$4=19,Hypothèses!$B$4=20),
IF($D148="Pressio.",
IF(OR($E148=3,$E148=1,$E148=4),DT148,DS148),
IF($D148="Pénétro.",
IF(OR($E148=3,$E148=1,$E148=4),DT148,DS148))),IF($D148="Pressio.",
IF($E148=3,DT148,DS148),
IF($D148="Pénétro.",
IF($E148=4,DT148,DS148))))</f>
        <v>#N/A</v>
      </c>
      <c r="DV148" s="31">
        <v>0</v>
      </c>
      <c r="DW148" s="102" t="e">
        <f>IF(NDC!$H$10="Oui",(VLOOKUP($B$3,'Coeff EC7'!$T$39:$X$59,2,0)*DU148+VLOOKUP($B$3,'Coeff EC7'!$T$65:$X$85,2,0)*Model0.1T!DV148)/1.5,PI()*DS$12*$Q148*($B148-$B147)*0.15/10+DW147)</f>
        <v>#N/A</v>
      </c>
      <c r="DX148" s="102" t="e">
        <f>(VLOOKUP($B$3,'Coeff EC7'!$T$39:$X$59,3,0)*DU148+VLOOKUP($B$3,'Coeff EC7'!$T$65:$X$85,3,0)*Model0.1T!DV148)/1.1</f>
        <v>#N/A</v>
      </c>
      <c r="DY148" s="102" t="e">
        <f t="shared" si="290"/>
        <v>#N/A</v>
      </c>
      <c r="DZ148" s="102" t="e">
        <f t="shared" si="291"/>
        <v>#N/A</v>
      </c>
      <c r="EA148" s="414" t="e">
        <f>IF(AND(DW148&gt;NDC!$C$63,DX148&gt;NDC!$C$65,DY148&gt;NDC!$D$73,DZ148&gt;NDC!$D$74,$B148&gt;NDC!$H$22-0.1+MIN(3*EA$12,1.5)),0,1)</f>
        <v>#N/A</v>
      </c>
      <c r="EB148" s="86" t="b">
        <f t="shared" si="257"/>
        <v>0</v>
      </c>
      <c r="EC148" s="418">
        <f t="shared" si="258"/>
        <v>0.51</v>
      </c>
      <c r="ED148" s="86">
        <f t="shared" si="259"/>
        <v>0.51</v>
      </c>
      <c r="EE148" s="30" t="e">
        <f t="shared" ca="1" si="292"/>
        <v>#DIV/0!</v>
      </c>
      <c r="EF148" s="85" t="e">
        <f ca="1">IF(DL148&lt;=Hypothèses!$V$7,Hypothèses!$W$7,IF(DL148&lt;=Hypothèses!$V$8,Hypothèses!$W$8,IF(DL148&lt;=Hypothèses!$V$9,Hypothèses!$W$9,IF(DL148&lt;=Hypothèses!$V$10,Hypothèses!$W$10,IF(DL148&lt;=Hypothèses!$V$11,Hypothèses!$W$11,IF(DL148&lt;=Hypothèses!$V$12,Hypothèses!$W$12,IF(DL148&lt;=Hypothèses!$V$13,Hypothèses!$W$13,IF(DL148&lt;=Hypothèses!$V$14,Hypothèses!$W$14,IF(DL148&lt;=Hypothèses!$V$15,Hypothèses!$W$15,IF(DL148&lt;=Hypothèses!$V$16,Hypothèses!$W$16,IF(DL148&lt;=Hypothèses!$V$17,Hypothèses!$W$17,IF(DL148&lt;=Hypothèses!$V$18,Hypothèses!$W$18,""))))))))))))</f>
        <v>#DIV/0!</v>
      </c>
      <c r="EG148" s="87" t="e">
        <f t="shared" ca="1" si="322"/>
        <v>#DIV/0!</v>
      </c>
      <c r="EH148" s="88" t="e">
        <f ca="1">IF(DL148&lt;=Hypothèses!$V$7,Hypothèses!$X$7,IF(DL148&lt;=Hypothèses!$V$8,Hypothèses!$X$8,IF(DL148&lt;=Hypothèses!$V$9,Hypothèses!$X$9,IF(DL148&lt;=Hypothèses!$V$10,Hypothèses!$X$10,IF(DL148&lt;=Hypothèses!$V$11,Hypothèses!$X$11,IF(DL148&lt;=Hypothèses!$V$12,Hypothèses!$X$12,IF(DL148&lt;=Hypothèses!$V$13,Hypothèses!$X$13,IF(DL148&lt;=Hypothèses!$V$14,Hypothèses!$X$14,IF(DL148&lt;=Hypothèses!$V$15,Hypothèses!$X$15,IF(DL148&lt;=Hypothèses!$V$16,Hypothèses!$X$16,IF(DL148&lt;=Hypothèses!$U$17,Hypothèses!$W$17,IF(DL148&lt;=Hypothèses!$U$18,Hypothèses!$W$18,""))))))))))))</f>
        <v>#DIV/0!</v>
      </c>
      <c r="EI148" s="95" t="e">
        <f t="shared" ca="1" si="293"/>
        <v>#DIV/0!</v>
      </c>
      <c r="EJ148" s="101">
        <f t="shared" si="329"/>
        <v>0</v>
      </c>
      <c r="EK148" s="91">
        <f t="shared" si="260"/>
        <v>0</v>
      </c>
      <c r="EL148" s="30" t="e">
        <f t="shared" si="312"/>
        <v>#N/A</v>
      </c>
      <c r="EM148" s="30" t="e">
        <f t="shared" si="313"/>
        <v>#N/A</v>
      </c>
      <c r="EN148" s="31" t="e">
        <f>IF(OR(Hypothèses!$B$4=17,Hypothèses!$B$4=18,Hypothèses!$B$4=19,Hypothèses!$B$4=20),
IF($D148="Pressio.",
IF(OR($E148=3,$E148=1,$E148=4),EM148,EL148),
IF($D148="Pénétro.",
IF(OR($E148=3,$E148=1,$E148=4),EM148,EL148))),IF($D148="Pressio.",
IF($E148=3,EM148,EL148),
IF($D148="Pénétro.",
IF($E148=4,EM148,EL148))))</f>
        <v>#N/A</v>
      </c>
      <c r="EO148" s="31">
        <v>0</v>
      </c>
      <c r="EP148" s="102" t="e">
        <f>IF(NDC!$H$10="Oui",(VLOOKUP($B$3,'Coeff EC7'!$T$39:$X$59,2,0)*EN148+VLOOKUP($B$3,'Coeff EC7'!$T$65:$X$85,2,0)*Model0.1T!EO148)/1.5,PI()*EL$12*$Q148*($B148-$B147)*0.15/10+EP147)</f>
        <v>#N/A</v>
      </c>
      <c r="EQ148" s="102" t="e">
        <f>(VLOOKUP($B$3,'Coeff EC7'!$T$39:$X$59,3,0)*EN148+VLOOKUP($B$3,'Coeff EC7'!$T$65:$X$85,3,0)*Model0.1T!EO148)/1.1</f>
        <v>#N/A</v>
      </c>
      <c r="ER148" s="102" t="e">
        <f t="shared" si="294"/>
        <v>#N/A</v>
      </c>
      <c r="ES148" s="102" t="e">
        <f t="shared" si="295"/>
        <v>#N/A</v>
      </c>
      <c r="ET148" s="414" t="e">
        <f>IF(AND(EP148&gt;NDC!$C$63,EQ148&gt;NDC!$C$65,ER148&gt;NDC!$D$73,ES148&gt;NDC!$D$74,$B148&gt;NDC!$H$22-0.1+MIN(3*ET$12,1.5)),0,1)</f>
        <v>#N/A</v>
      </c>
      <c r="EU148" s="86" t="b">
        <f t="shared" si="261"/>
        <v>0</v>
      </c>
      <c r="EV148" s="86">
        <f t="shared" si="262"/>
        <v>0.61</v>
      </c>
      <c r="EW148" s="86">
        <f t="shared" si="263"/>
        <v>0.61</v>
      </c>
      <c r="EX148" s="30" t="e">
        <f t="shared" ca="1" si="296"/>
        <v>#DIV/0!</v>
      </c>
      <c r="EY148" s="85" t="e">
        <f ca="1">IF(EE148&lt;=Hypothèses!$V$7,Hypothèses!$W$7,IF(EE148&lt;=Hypothèses!$V$8,Hypothèses!$W$8,IF(EE148&lt;=Hypothèses!$V$9,Hypothèses!$W$9,IF(EE148&lt;=Hypothèses!$V$10,Hypothèses!$W$10,IF(EE148&lt;=Hypothèses!$V$11,Hypothèses!$W$11,IF(EE148&lt;=Hypothèses!$V$12,Hypothèses!$W$12,IF(EE148&lt;=Hypothèses!$V$13,Hypothèses!$W$13,IF(EE148&lt;=Hypothèses!$V$14,Hypothèses!$W$14,IF(EE148&lt;=Hypothèses!$V$15,Hypothèses!$W$15,IF(EE148&lt;=Hypothèses!$V$16,Hypothèses!$W$16,IF(EE148&lt;=Hypothèses!$V$17,Hypothèses!$W$17,IF(EE148&lt;=Hypothèses!$V$18,Hypothèses!$W$18,""))))))))))))</f>
        <v>#DIV/0!</v>
      </c>
      <c r="EZ148" s="87" t="e">
        <f t="shared" ca="1" si="323"/>
        <v>#DIV/0!</v>
      </c>
      <c r="FA148" s="88" t="e">
        <f ca="1">IF(EE148&lt;=Hypothèses!$V$7,Hypothèses!$X$7,IF(EE148&lt;=Hypothèses!$V$8,Hypothèses!$X$8,IF(EE148&lt;=Hypothèses!$V$9,Hypothèses!$X$9,IF(EE148&lt;=Hypothèses!$V$10,Hypothèses!$X$10,IF(EE148&lt;=Hypothèses!$V$11,Hypothèses!$X$11,IF(EE148&lt;=Hypothèses!$V$12,Hypothèses!$X$12,IF(EE148&lt;=Hypothèses!$V$13,Hypothèses!$X$13,IF(EE148&lt;=Hypothèses!$V$14,Hypothèses!$X$14,IF(EE148&lt;=Hypothèses!$V$15,Hypothèses!$X$15,IF(EE148&lt;=Hypothèses!$V$16,Hypothèses!$X$16,IF(EE148&lt;=Hypothèses!$U$17,Hypothèses!$W$17,IF(EE148&lt;=Hypothèses!$U$18,Hypothèses!$W$18,""))))))))))))</f>
        <v>#DIV/0!</v>
      </c>
      <c r="FB148" s="95" t="e">
        <f t="shared" ca="1" si="297"/>
        <v>#DIV/0!</v>
      </c>
      <c r="FC148" s="101">
        <f t="shared" si="330"/>
        <v>0</v>
      </c>
      <c r="FD148" s="91">
        <f t="shared" si="264"/>
        <v>0</v>
      </c>
      <c r="FE148" s="30" t="e">
        <f t="shared" si="314"/>
        <v>#N/A</v>
      </c>
      <c r="FF148" s="30" t="e">
        <f t="shared" si="315"/>
        <v>#N/A</v>
      </c>
      <c r="FG148" s="31" t="e">
        <f>IF(OR(Hypothèses!$B$4=17,Hypothèses!$B$4=18,Hypothèses!$B$4=19,Hypothèses!$B$4=20),
IF($D148="Pressio.",
IF(OR($E148=3,$E148=1,$E148=4),FF148,FE148),
IF($D148="Pénétro.",
IF(OR($E148=3,$E148=1,$E148=4),FF148,FE148))),IF($D148="Pressio.",
IF($E148=3,FF148,FE148),
IF($D148="Pénétro.",
IF($E148=4,FF148,FE148))))</f>
        <v>#N/A</v>
      </c>
      <c r="FH148" s="31">
        <v>0</v>
      </c>
      <c r="FI148" s="102" t="e">
        <f>IF(NDC!$H$10="Oui",(VLOOKUP($B$3,'Coeff EC7'!$T$39:$X$59,2,0)*FG148+VLOOKUP($B$3,'Coeff EC7'!$T$65:$X$85,2,0)*Model0.1T!FH148)/1.5,PI()*FE$12*$Q148*($B148-$B147)*0.15/10+FI147)</f>
        <v>#N/A</v>
      </c>
      <c r="FJ148" s="102" t="e">
        <f>(VLOOKUP($B$3,'Coeff EC7'!$T$39:$X$59,3,0)*FG148+VLOOKUP($B$3,'Coeff EC7'!$T$65:$X$85,3,0)*Model0.1T!FH148)/1.1</f>
        <v>#N/A</v>
      </c>
      <c r="FK148" s="102" t="e">
        <f t="shared" si="298"/>
        <v>#N/A</v>
      </c>
      <c r="FL148" s="102" t="e">
        <f t="shared" si="299"/>
        <v>#N/A</v>
      </c>
      <c r="FM148" s="414" t="e">
        <f>IF(AND(FI148&gt;NDC!$C$63,FJ148&gt;NDC!$C$65,FK148&gt;NDC!$D$73,FL148&gt;NDC!$D$74,$B148&gt;NDC!$H$22-0.1+MIN(3*FM$12,1.5)),0,1)</f>
        <v>#N/A</v>
      </c>
    </row>
    <row r="149" spans="1:169">
      <c r="A149" s="96">
        <f t="shared" si="265"/>
        <v>86.400000000000773</v>
      </c>
      <c r="B149" s="97">
        <v>13.6</v>
      </c>
      <c r="C149" s="81">
        <f>IF(B149&lt;=Hypothèses!$C$7,Hypothèses!$A$7,IF(B149&lt;=Hypothèses!$C$8,Hypothèses!$A$8,IF(B149&lt;=Hypothèses!$C$9,Hypothèses!$A$9,IF(B149&lt;=Hypothèses!$C$10,Hypothèses!$A$10,IF(B149&lt;=Hypothèses!$C$11,Hypothèses!$A$11,IF(B149&lt;=Hypothèses!$C$12,Hypothèses!$A$12,IF(B149&lt;=Hypothèses!$C$13,Hypothèses!$A$13,IF(B149&lt;=Hypothèses!$C$14,Hypothèses!$A$14,IF(B149&lt;=Hypothèses!$C$15,Hypothèses!$A$15,IF(B149&lt;=Hypothèses!$C$16,Hypothèses!$A$16,IF(B149&lt;=Hypothèses!$C$17,Hypothèses!$A$17,IF(B149&lt;=Hypothèses!$C$18,Hypothèses!$A$18,C148))))))))))))</f>
        <v>11</v>
      </c>
      <c r="D149" s="82" t="str">
        <f>IF(B149&lt;=Hypothèses!$C$7,Hypothèses!$R$7,IF(B149&lt;=Hypothèses!$C$8,Hypothèses!$R$8,IF(B149&lt;=Hypothèses!$C$9,Hypothèses!$R$9,IF(B149&lt;=Hypothèses!$C$10,Hypothèses!$R$10,IF(B149&lt;=Hypothèses!$C$11,Hypothèses!$R$11,IF(B149&lt;=Hypothèses!$C$12,Hypothèses!$R$12,IF(B149&lt;=Hypothèses!$C$13,Hypothèses!$R$13,IF(B149&lt;=Hypothèses!$C$14,Hypothèses!$R$14,IF(B149&lt;=Hypothèses!$C$15,Hypothèses!$R$15,IF(B149&lt;=Hypothèses!$C$16,Hypothèses!$R$16,IF(B149&lt;=Hypothèses!$C$17,Hypothèses!$R$17,IF(B149&lt;=Hypothèses!$C$18,Hypothèses!$R$18,D148))))))))))))</f>
        <v>Pressio.</v>
      </c>
      <c r="E149" s="82" t="e">
        <f>IF(B149&lt;=Hypothèses!$C$7,Hypothèses!$G$7,IF(B149&lt;=Hypothèses!$C$8,Hypothèses!$G$8,IF(B149&lt;=Hypothèses!$C$9,Hypothèses!$G$9,IF(B149&lt;=Hypothèses!$C$10,Hypothèses!$G$10,IF(B149&lt;=Hypothèses!$C$11,Hypothèses!$G$11,IF(B149&lt;=Hypothèses!$C$12,Hypothèses!$G$12,IF(B149&lt;=Hypothèses!$C$13,Hypothèses!$G$13,IF(B149&lt;=Hypothèses!$C$14,Hypothèses!$G$14,IF(B149&lt;=Hypothèses!$C$15,Hypothèses!$G$15,IF(B149&lt;=Hypothèses!$C$16,Hypothèses!$G$16,IF(B149&lt;=Hypothèses!$C$17,Hypothèses!$G$17,IF(B149&lt;=Hypothèses!$C$18,Hypothèses!$G$18,E148))))))))))))</f>
        <v>#N/A</v>
      </c>
      <c r="F149" s="82" t="str">
        <f>IF(B149&lt;=Hypothèses!$C$7,Hypothèses!$F$7,IF(B149&lt;=Hypothèses!$C$8,Hypothèses!$F$8,IF(B149&lt;=Hypothèses!$C$9,Hypothèses!$F$9,IF(B149&lt;=Hypothèses!$C$10,Hypothèses!$F$10,IF(B149&lt;=Hypothèses!$C$11,Hypothèses!$F$11,IF(B149&lt;=Hypothèses!$C$12,Hypothèses!$F$12,IF(B149&lt;=Hypothèses!$C$13,Hypothèses!$F$13,IF(B149&lt;=Hypothèses!$C$14,Hypothèses!$F$14,IF(B149&lt;=Hypothèses!$C$15,Hypothèses!$F$15,IF(B149&lt;=Hypothèses!$C$16,Hypothèses!$F$16,IF(B149&lt;=Hypothèses!$C$17,Hypothèses!$F$17,IF(B149&lt;=Hypothèses!$C$18,Hypothèses!$F$18,F148))))))))))))</f>
        <v/>
      </c>
      <c r="G149" s="91">
        <f t="array" ref="G149">INDEX('Coeff EC7'!$U$7:$X$27,
MATCH(Model0.1T!$B$3,'Coeff EC7'!$T$7:$T$27,0),
MATCH(Model0.1T!$D149&amp;Model0.1T!$B$4,
'Coeff EC7'!$U$6:$X$6&amp;
'Coeff EC7'!$U$5:$X$5,0))</f>
        <v>1.4</v>
      </c>
      <c r="H149" s="91">
        <f t="array" ref="H149">INDEX('Coeff EC7'!$Y$7:$AB$27,
MATCH(Model0.1T!$B$3,'Coeff EC7'!$T$7:$T$27,0),
MATCH(Model0.1T!$D149&amp;Model0.1T!$B$4,
'Coeff EC7'!$Y$6:$AB$6&amp;
'Coeff EC7'!$Y$5:$AB$5,0))</f>
        <v>1.7</v>
      </c>
      <c r="I149" s="83">
        <v>0</v>
      </c>
      <c r="J149" s="91" t="e">
        <f t="array" ref="J149">INDEX('Coeff EC7'!$D$33:$Q$33,1,MATCH(D149&amp;E149,'Coeff EC7'!$D$31:$Q$31&amp;'Coeff EC7'!$D$32:$Q$32,0))</f>
        <v>#N/A</v>
      </c>
      <c r="K149" s="91" t="e">
        <f t="array" ref="K149">INDEX('Coeff EC7'!$D$34:$Q$34,1,MATCH(D149&amp;E149,'Coeff EC7'!$D$31:$Q$31&amp;'Coeff EC7'!$D$32:$Q$32,0))</f>
        <v>#N/A</v>
      </c>
      <c r="L149" s="91" t="e">
        <f t="array" ref="L149">INDEX('Coeff EC7'!$D$35:$Q$35,1,MATCH(D149&amp;E149,'Coeff EC7'!$D$31:$Q$31&amp;'Coeff EC7'!$D$32:$Q$32,0))</f>
        <v>#N/A</v>
      </c>
      <c r="M149" s="98" t="e">
        <f t="shared" si="231"/>
        <v>#N/A</v>
      </c>
      <c r="N149" s="99" t="e">
        <f t="array" ref="N149">INDEX('Coeff EC7'!$D$7:$Q$27,MATCH($B$3,'Coeff EC7'!$C$7:$C$27,0),MATCH(D149&amp;E149,'Coeff EC7'!$D$5:$Q$5&amp;'Coeff EC7'!$D$6:$Q$6,0))</f>
        <v>#N/A</v>
      </c>
      <c r="O149" s="99" t="e">
        <f t="array" ref="O149">INDEX('Coeff EC7'!$D$41:$Q$61,MATCH($B$3,'Coeff EC7'!$C$41:$C$61,0),MATCH(D149&amp;E149,'Coeff EC7'!$D$39:$Q$39&amp;'Coeff EC7'!$D$40:$Q$40,0))</f>
        <v>#N/A</v>
      </c>
      <c r="P149" s="30" t="e">
        <f t="shared" si="266"/>
        <v>#N/A</v>
      </c>
      <c r="Q149" s="100" t="e">
        <f t="shared" si="233"/>
        <v>#N/A</v>
      </c>
      <c r="R149" s="86" t="b">
        <f t="shared" si="234"/>
        <v>0</v>
      </c>
      <c r="S149" s="86">
        <f t="shared" si="232"/>
        <v>0.5</v>
      </c>
      <c r="T149" s="86">
        <f t="shared" si="235"/>
        <v>0.5</v>
      </c>
      <c r="U149" s="30" t="e">
        <f t="shared" ca="1" si="267"/>
        <v>#DIV/0!</v>
      </c>
      <c r="V149" s="85" t="str">
        <f>IF(B149&lt;=Hypothèses!$V$7,Hypothèses!$W$7,IF(B149&lt;=Hypothèses!$V$8,Hypothèses!$W$8,IF(B149&lt;=Hypothèses!$V$9,Hypothèses!$W$9,IF(B149&lt;=Hypothèses!$V$10,Hypothèses!$W$10,IF(B149&lt;=Hypothèses!$V$11,Hypothèses!$W$11,IF(B149&lt;=Hypothèses!$V$12,Hypothèses!$W$12,IF(B149&lt;=Hypothèses!$V$13,Hypothèses!$W$13,IF(B149&lt;=Hypothèses!$V$14,Hypothèses!$W$14,IF(B149&lt;=Hypothèses!$V$15,Hypothèses!$W$15,IF(B149&lt;=Hypothèses!$V$16,Hypothèses!$W$16,IF(B149&lt;=Hypothèses!$V$17,Hypothèses!$W$17,IF(B149&lt;=Hypothèses!$V$18,Hypothèses!$W$18,""))))))))))))</f>
        <v/>
      </c>
      <c r="W149" s="87" t="e">
        <f t="shared" ca="1" si="316"/>
        <v>#DIV/0!</v>
      </c>
      <c r="X149" s="88" t="str">
        <f>IF(B149&lt;=Hypothèses!$V$7,Hypothèses!$X$7,IF(B149&lt;=Hypothèses!$V$8,Hypothèses!$X$8,IF(B149&lt;=Hypothèses!$V$9,Hypothèses!$X$9,IF(B149&lt;=Hypothèses!$V$10,Hypothèses!$X$10,IF(B149&lt;=Hypothèses!$V$11,Hypothèses!$X$11,IF(B149&lt;=Hypothèses!$V$12,Hypothèses!$X$12,IF(B149&lt;=Hypothèses!$V$13,Hypothèses!$X$13,IF(B149&lt;=Hypothèses!$V$14,Hypothèses!$X$14,IF(B149&lt;=Hypothèses!$V$15,Hypothèses!$X$15,IF(B149&lt;=Hypothèses!$V$16,Hypothèses!$X$16,IF(B149&lt;=Hypothèses!$U$17,Hypothèses!$W$17,IF(B149&lt;=Hypothèses!$U$18,Hypothèses!$W$18,""))))))))))))</f>
        <v/>
      </c>
      <c r="Y149" s="95" t="e">
        <f t="shared" ca="1" si="236"/>
        <v>#DIV/0!</v>
      </c>
      <c r="Z149" s="101">
        <f t="shared" si="237"/>
        <v>0</v>
      </c>
      <c r="AA149" s="91">
        <f t="shared" si="238"/>
        <v>0</v>
      </c>
      <c r="AB149" s="30" t="e">
        <f t="shared" si="300"/>
        <v>#N/A</v>
      </c>
      <c r="AC149" s="30" t="e">
        <f t="shared" si="301"/>
        <v>#N/A</v>
      </c>
      <c r="AD149" s="31" t="e">
        <f>IF(OR(Hypothèses!$B$4=17,Hypothèses!$B$4=18,Hypothèses!$B$4=19,Hypothèses!$B$4=20),
IF($D149="Pressio.",
IF(OR($E149=3,$E149=1,$E149=4),AC149,AB149),
IF($D149="Pénétro.",
IF(OR($E149=3,$E149=1,$E149=4),AC149,AB149))),IF($D149="Pressio.",
IF($E149=3,AC149,AB149),
IF($D149="Pénétro.",
IF($E149=4,AC149,AB149))))</f>
        <v>#N/A</v>
      </c>
      <c r="AE149" s="31">
        <v>0</v>
      </c>
      <c r="AF149" s="102" t="e">
        <f>IF(NDC!$H$10="Oui",(VLOOKUP($B$3,'Coeff EC7'!$T$39:$X$59,2,0)*AD149+VLOOKUP($B$3,'Coeff EC7'!$T$65:$X$85,2,0)*Model0.1T!AE149)/1.5,PI()*AB$12*$Q149*($B149-$B148)*0.15/10+AF148)</f>
        <v>#N/A</v>
      </c>
      <c r="AG149" s="102" t="e">
        <f>(VLOOKUP($B$3,'Coeff EC7'!$T$39:$X$59,3,0)*AD149+VLOOKUP($B$3,'Coeff EC7'!$T$65:$X$85,3,0)*Model0.1T!AE149)/1.1</f>
        <v>#N/A</v>
      </c>
      <c r="AH149" s="102" t="e">
        <f t="shared" si="268"/>
        <v>#N/A</v>
      </c>
      <c r="AI149" s="102" t="e">
        <f t="shared" si="269"/>
        <v>#N/A</v>
      </c>
      <c r="AJ149" s="414" t="e">
        <f>IF(AND(AF149&gt;NDC!$C$63,AG149&gt;NDC!$C$65,AH149&gt;NDC!$D$73,AI149&gt;NDC!$D$74,$B149&gt;NDC!$H$22-0.1+MIN(3*$AJ$12,1.5)),0,1)</f>
        <v>#N/A</v>
      </c>
      <c r="AK149" s="86" t="b">
        <f t="shared" si="239"/>
        <v>0</v>
      </c>
      <c r="AL149" s="86">
        <f t="shared" si="270"/>
        <v>0.5</v>
      </c>
      <c r="AM149" s="86">
        <f t="shared" si="240"/>
        <v>0.5</v>
      </c>
      <c r="AN149" s="30" t="e">
        <f t="shared" ca="1" si="271"/>
        <v>#DIV/0!</v>
      </c>
      <c r="AO149" s="85" t="e">
        <f ca="1">IF(U149&lt;=Hypothèses!$V$7,Hypothèses!$W$7,IF(U149&lt;=Hypothèses!$V$8,Hypothèses!$W$8,IF(U149&lt;=Hypothèses!$V$9,Hypothèses!$W$9,IF(U149&lt;=Hypothèses!$V$10,Hypothèses!$W$10,IF(U149&lt;=Hypothèses!$V$11,Hypothèses!$W$11,IF(U149&lt;=Hypothèses!$V$12,Hypothèses!$W$12,IF(U149&lt;=Hypothèses!$V$13,Hypothèses!$W$13,IF(U149&lt;=Hypothèses!$V$14,Hypothèses!$W$14,IF(U149&lt;=Hypothèses!$V$15,Hypothèses!$W$15,IF(U149&lt;=Hypothèses!$V$16,Hypothèses!$W$16,IF(U149&lt;=Hypothèses!$V$17,Hypothèses!$W$17,IF(U149&lt;=Hypothèses!$V$18,Hypothèses!$W$18,""))))))))))))</f>
        <v>#DIV/0!</v>
      </c>
      <c r="AP149" s="87" t="e">
        <f t="shared" ca="1" si="317"/>
        <v>#DIV/0!</v>
      </c>
      <c r="AQ149" s="88" t="e">
        <f ca="1">IF(U149&lt;=Hypothèses!$V$7,Hypothèses!$X$7,IF(U149&lt;=Hypothèses!$V$8,Hypothèses!$X$8,IF(U149&lt;=Hypothèses!$V$9,Hypothèses!$X$9,IF(U149&lt;=Hypothèses!$V$10,Hypothèses!$X$10,IF(U149&lt;=Hypothèses!$V$11,Hypothèses!$X$11,IF(U149&lt;=Hypothèses!$V$12,Hypothèses!$X$12,IF(U149&lt;=Hypothèses!$V$13,Hypothèses!$X$13,IF(U149&lt;=Hypothèses!$V$14,Hypothèses!$X$14,IF(U149&lt;=Hypothèses!$V$15,Hypothèses!$X$15,IF(U149&lt;=Hypothèses!$V$16,Hypothèses!$X$16,IF(U149&lt;=Hypothèses!$U$17,Hypothèses!$W$17,IF(U149&lt;=Hypothèses!$U$18,Hypothèses!$W$18,""))))))))))))</f>
        <v>#DIV/0!</v>
      </c>
      <c r="AR149" s="95" t="e">
        <f t="shared" ca="1" si="272"/>
        <v>#DIV/0!</v>
      </c>
      <c r="AS149" s="101">
        <f t="shared" si="324"/>
        <v>0</v>
      </c>
      <c r="AT149" s="91">
        <f t="shared" si="241"/>
        <v>0</v>
      </c>
      <c r="AU149" s="30" t="e">
        <f t="shared" si="302"/>
        <v>#N/A</v>
      </c>
      <c r="AV149" s="30" t="e">
        <f t="shared" si="303"/>
        <v>#N/A</v>
      </c>
      <c r="AW149" s="31" t="e">
        <f>IF(OR(Hypothèses!$B$4=17,Hypothèses!$B$4=18,Hypothèses!$B$4=19,Hypothèses!$B$4=20),
IF($D149="Pressio.",
IF(OR($E149=3,$E149=1,$E149=4),AV149,AU149),
IF($D149="Pénétro.",
IF(OR($E149=3,$E149=1,$E149=4),AV149,AU149))),IF($D149="Pressio.",
IF($E149=3,AV149,AU149),
IF($D149="Pénétro.",
IF($E149=4,AV149,AU149))))</f>
        <v>#N/A</v>
      </c>
      <c r="AX149" s="31">
        <v>0</v>
      </c>
      <c r="AY149" s="102" t="e">
        <f>IF(NDC!$H$10="Oui",(VLOOKUP($B$3,'Coeff EC7'!$T$39:$X$59,2,0)*AW149+VLOOKUP($B$3,'Coeff EC7'!$T$65:$X$85,2,0)*Model0.1T!AX149)/1.5,PI()*AU$12*$Q149*($B149-$B148)*0.15/10+AY148)</f>
        <v>#N/A</v>
      </c>
      <c r="AZ149" s="102" t="e">
        <f>(VLOOKUP($B$3,'Coeff EC7'!$T$39:$X$59,3,0)*AW149+VLOOKUP($B$3,'Coeff EC7'!$T$65:$X$85,3,0)*Model0.1T!AX149)/1.1</f>
        <v>#N/A</v>
      </c>
      <c r="BA149" s="102" t="e">
        <f t="shared" si="273"/>
        <v>#N/A</v>
      </c>
      <c r="BB149" s="102" t="e">
        <f t="shared" si="274"/>
        <v>#N/A</v>
      </c>
      <c r="BC149" s="414" t="e">
        <f>IF(AND(AY149&gt;NDC!$C$63,AZ149&gt;NDC!$C$65,BA149&gt;NDC!$D$73,BB149&gt;NDC!$D$74,$B149&gt;NDC!$H$22-0.1+MIN(3*BC$12,1.5)),0,1)</f>
        <v>#N/A</v>
      </c>
      <c r="BD149" s="86" t="b">
        <f t="shared" si="242"/>
        <v>0</v>
      </c>
      <c r="BE149" s="86">
        <f t="shared" si="275"/>
        <v>0.5</v>
      </c>
      <c r="BF149" s="86">
        <f t="shared" si="243"/>
        <v>0.5</v>
      </c>
      <c r="BG149" s="30" t="e">
        <f t="shared" ca="1" si="276"/>
        <v>#DIV/0!</v>
      </c>
      <c r="BH149" s="85" t="e">
        <f ca="1">IF(AN149&lt;=Hypothèses!$V$7,Hypothèses!$W$7,IF(AN149&lt;=Hypothèses!$V$8,Hypothèses!$W$8,IF(AN149&lt;=Hypothèses!$V$9,Hypothèses!$W$9,IF(AN149&lt;=Hypothèses!$V$10,Hypothèses!$W$10,IF(AN149&lt;=Hypothèses!$V$11,Hypothèses!$W$11,IF(AN149&lt;=Hypothèses!$V$12,Hypothèses!$W$12,IF(AN149&lt;=Hypothèses!$V$13,Hypothèses!$W$13,IF(AN149&lt;=Hypothèses!$V$14,Hypothèses!$W$14,IF(AN149&lt;=Hypothèses!$V$15,Hypothèses!$W$15,IF(AN149&lt;=Hypothèses!$V$16,Hypothèses!$W$16,IF(AN149&lt;=Hypothèses!$V$17,Hypothèses!$W$17,IF(AN149&lt;=Hypothèses!$V$18,Hypothèses!$W$18,""))))))))))))</f>
        <v>#DIV/0!</v>
      </c>
      <c r="BI149" s="87" t="e">
        <f t="shared" ca="1" si="318"/>
        <v>#DIV/0!</v>
      </c>
      <c r="BJ149" s="88" t="e">
        <f ca="1">IF(AN149&lt;=Hypothèses!$V$7,Hypothèses!$X$7,IF(AN149&lt;=Hypothèses!$V$8,Hypothèses!$X$8,IF(AN149&lt;=Hypothèses!$V$9,Hypothèses!$X$9,IF(AN149&lt;=Hypothèses!$V$10,Hypothèses!$X$10,IF(AN149&lt;=Hypothèses!$V$11,Hypothèses!$X$11,IF(AN149&lt;=Hypothèses!$V$12,Hypothèses!$X$12,IF(AN149&lt;=Hypothèses!$V$13,Hypothèses!$X$13,IF(AN149&lt;=Hypothèses!$V$14,Hypothèses!$X$14,IF(AN149&lt;=Hypothèses!$V$15,Hypothèses!$X$15,IF(AN149&lt;=Hypothèses!$V$16,Hypothèses!$X$16,IF(AN149&lt;=Hypothèses!$U$17,Hypothèses!$W$17,IF(AN149&lt;=Hypothèses!$U$18,Hypothèses!$W$18,""))))))))))))</f>
        <v>#DIV/0!</v>
      </c>
      <c r="BK149" s="95" t="e">
        <f t="shared" ca="1" si="277"/>
        <v>#DIV/0!</v>
      </c>
      <c r="BL149" s="101">
        <f t="shared" si="325"/>
        <v>0</v>
      </c>
      <c r="BM149" s="91">
        <f t="shared" si="244"/>
        <v>0</v>
      </c>
      <c r="BN149" s="30" t="e">
        <f t="shared" si="304"/>
        <v>#N/A</v>
      </c>
      <c r="BO149" s="30" t="e">
        <f t="shared" si="305"/>
        <v>#N/A</v>
      </c>
      <c r="BP149" s="31" t="e">
        <f>IF(OR(Hypothèses!$B$4=17,Hypothèses!$B$4=18,Hypothèses!$B$4=19,Hypothèses!$B$4=20),
IF($D149="Pressio.",
IF(OR($E149=3,$E149=1,$E149=4),BO149,BN149),
IF($D149="Pénétro.",
IF(OR($E149=3,$E149=1,$E149=4),BO149,BN149))),IF($D149="Pressio.",
IF($E149=3,BO149,BN149),
IF($D149="Pénétro.",
IF($E149=4,BO149,BN149))))</f>
        <v>#N/A</v>
      </c>
      <c r="BQ149" s="31">
        <v>0</v>
      </c>
      <c r="BR149" s="102" t="e">
        <f>IF(NDC!$H$10="Oui",(VLOOKUP($B$3,'Coeff EC7'!$T$39:$X$59,2,0)*BP149+VLOOKUP($B$3,'Coeff EC7'!$T$65:$X$85,2,0)*Model0.1T!BQ149)/1.5,PI()*BN$12*$Q149*($B149-$B148)*0.15/10+BR148)</f>
        <v>#N/A</v>
      </c>
      <c r="BS149" s="102" t="e">
        <f>(VLOOKUP($B$3,'Coeff EC7'!$T$39:$X$59,3,0)*BP149+VLOOKUP($B$3,'Coeff EC7'!$T$65:$X$85,3,0)*Model0.1T!BQ149)/1.1</f>
        <v>#N/A</v>
      </c>
      <c r="BT149" s="102" t="e">
        <f t="shared" si="278"/>
        <v>#N/A</v>
      </c>
      <c r="BU149" s="102" t="e">
        <f t="shared" si="279"/>
        <v>#N/A</v>
      </c>
      <c r="BV149" s="414" t="e">
        <f>IF(AND(BR149&gt;NDC!$C$63,BS149&gt;NDC!$C$65,BT149&gt;NDC!$D$73,BU149&gt;NDC!$D$74,$B149&gt;NDC!$H$22-0.1+MIN(3*BV$12,1.5)),0,1)</f>
        <v>#N/A</v>
      </c>
      <c r="BW149" s="86" t="b">
        <f t="shared" si="245"/>
        <v>0</v>
      </c>
      <c r="BX149" s="86">
        <f t="shared" si="246"/>
        <v>0.5</v>
      </c>
      <c r="BY149" s="86">
        <f t="shared" si="247"/>
        <v>0.5</v>
      </c>
      <c r="BZ149" s="30" t="e">
        <f t="shared" ca="1" si="280"/>
        <v>#DIV/0!</v>
      </c>
      <c r="CA149" s="85" t="e">
        <f ca="1">IF(BG149&lt;=Hypothèses!$V$7,Hypothèses!$W$7,IF(BG149&lt;=Hypothèses!$V$8,Hypothèses!$W$8,IF(BG149&lt;=Hypothèses!$V$9,Hypothèses!$W$9,IF(BG149&lt;=Hypothèses!$V$10,Hypothèses!$W$10,IF(BG149&lt;=Hypothèses!$V$11,Hypothèses!$W$11,IF(BG149&lt;=Hypothèses!$V$12,Hypothèses!$W$12,IF(BG149&lt;=Hypothèses!$V$13,Hypothèses!$W$13,IF(BG149&lt;=Hypothèses!$V$14,Hypothèses!$W$14,IF(BG149&lt;=Hypothèses!$V$15,Hypothèses!$W$15,IF(BG149&lt;=Hypothèses!$V$16,Hypothèses!$W$16,IF(BG149&lt;=Hypothèses!$V$17,Hypothèses!$W$17,IF(BG149&lt;=Hypothèses!$V$18,Hypothèses!$W$18,""))))))))))))</f>
        <v>#DIV/0!</v>
      </c>
      <c r="CB149" s="87" t="e">
        <f t="shared" ca="1" si="319"/>
        <v>#DIV/0!</v>
      </c>
      <c r="CC149" s="88" t="e">
        <f ca="1">IF(BG149&lt;=Hypothèses!$V$7,Hypothèses!$X$7,IF(BG149&lt;=Hypothèses!$V$8,Hypothèses!$X$8,IF(BG149&lt;=Hypothèses!$V$9,Hypothèses!$X$9,IF(BG149&lt;=Hypothèses!$V$10,Hypothèses!$X$10,IF(BG149&lt;=Hypothèses!$V$11,Hypothèses!$X$11,IF(BG149&lt;=Hypothèses!$V$12,Hypothèses!$X$12,IF(BG149&lt;=Hypothèses!$V$13,Hypothèses!$X$13,IF(BG149&lt;=Hypothèses!$V$14,Hypothèses!$X$14,IF(BG149&lt;=Hypothèses!$V$15,Hypothèses!$X$15,IF(BG149&lt;=Hypothèses!$V$16,Hypothèses!$X$16,IF(BG149&lt;=Hypothèses!$U$17,Hypothèses!$W$17,IF(BG149&lt;=Hypothèses!$U$18,Hypothèses!$W$18,""))))))))))))</f>
        <v>#DIV/0!</v>
      </c>
      <c r="CD149" s="95" t="e">
        <f t="shared" ca="1" si="281"/>
        <v>#DIV/0!</v>
      </c>
      <c r="CE149" s="101">
        <f t="shared" si="326"/>
        <v>0</v>
      </c>
      <c r="CF149" s="91">
        <f t="shared" si="248"/>
        <v>0</v>
      </c>
      <c r="CG149" s="30" t="e">
        <f t="shared" si="306"/>
        <v>#N/A</v>
      </c>
      <c r="CH149" s="30" t="e">
        <f t="shared" si="307"/>
        <v>#N/A</v>
      </c>
      <c r="CI149" s="31" t="e">
        <f>IF(OR(Hypothèses!$B$4=17,Hypothèses!$B$4=18,Hypothèses!$B$4=19,Hypothèses!$B$4=20),
IF($D149="Pressio.",
IF(OR($E149=3,$E149=1,$E149=4),CH149,CG149),
IF($D149="Pénétro.",
IF(OR($E149=3,$E149=1,$E149=4),CH149,CG149))),IF($D149="Pressio.",
IF($E149=3,CH149,CG149),
IF($D149="Pénétro.",
IF($E149=4,CH149,CG149))))</f>
        <v>#N/A</v>
      </c>
      <c r="CJ149" s="31">
        <v>0</v>
      </c>
      <c r="CK149" s="102" t="e">
        <f>IF(NDC!$H$10="Oui",(VLOOKUP($B$3,'Coeff EC7'!$T$39:$X$59,2,0)*CI149+VLOOKUP($B$3,'Coeff EC7'!$T$65:$X$85,2,0)*Model0.1T!CJ149)/1.5,PI()*CG$12*$Q149*($B149-$B148)*0.15/10+CK148)</f>
        <v>#N/A</v>
      </c>
      <c r="CL149" s="102" t="e">
        <f>(VLOOKUP($B$3,'Coeff EC7'!$T$39:$X$59,3,0)*CI149+VLOOKUP($B$3,'Coeff EC7'!$T$65:$X$85,3,0)*Model0.1T!CJ149)/1.1</f>
        <v>#N/A</v>
      </c>
      <c r="CM149" s="102" t="e">
        <f t="shared" si="282"/>
        <v>#N/A</v>
      </c>
      <c r="CN149" s="102" t="e">
        <f t="shared" si="283"/>
        <v>#N/A</v>
      </c>
      <c r="CO149" s="414" t="e">
        <f>IF(AND(CK149&gt;NDC!$C$63,CL149&gt;NDC!$C$65,CM149&gt;NDC!$D$73,CN149&gt;NDC!$D$74,$B149&gt;NDC!$H$22-0.1+MIN(3*CO$12,1.5)),0,1)</f>
        <v>#N/A</v>
      </c>
      <c r="CP149" s="86" t="b">
        <f t="shared" si="249"/>
        <v>0</v>
      </c>
      <c r="CQ149" s="86">
        <f t="shared" si="250"/>
        <v>0.5</v>
      </c>
      <c r="CR149" s="86">
        <f t="shared" si="251"/>
        <v>0.5</v>
      </c>
      <c r="CS149" s="30" t="e">
        <f t="shared" ca="1" si="284"/>
        <v>#DIV/0!</v>
      </c>
      <c r="CT149" s="85" t="e">
        <f ca="1">IF(BZ149&lt;=Hypothèses!$V$7,Hypothèses!$W$7,IF(BZ149&lt;=Hypothèses!$V$8,Hypothèses!$W$8,IF(BZ149&lt;=Hypothèses!$V$9,Hypothèses!$W$9,IF(BZ149&lt;=Hypothèses!$V$10,Hypothèses!$W$10,IF(BZ149&lt;=Hypothèses!$V$11,Hypothèses!$W$11,IF(BZ149&lt;=Hypothèses!$V$12,Hypothèses!$W$12,IF(BZ149&lt;=Hypothèses!$V$13,Hypothèses!$W$13,IF(BZ149&lt;=Hypothèses!$V$14,Hypothèses!$W$14,IF(BZ149&lt;=Hypothèses!$V$15,Hypothèses!$W$15,IF(BZ149&lt;=Hypothèses!$V$16,Hypothèses!$W$16,IF(BZ149&lt;=Hypothèses!$V$17,Hypothèses!$W$17,IF(BZ149&lt;=Hypothèses!$V$18,Hypothèses!$W$18,""))))))))))))</f>
        <v>#DIV/0!</v>
      </c>
      <c r="CU149" s="87" t="e">
        <f t="shared" ca="1" si="320"/>
        <v>#DIV/0!</v>
      </c>
      <c r="CV149" s="88" t="e">
        <f ca="1">IF(BZ149&lt;=Hypothèses!$V$7,Hypothèses!$X$7,IF(BZ149&lt;=Hypothèses!$V$8,Hypothèses!$X$8,IF(BZ149&lt;=Hypothèses!$V$9,Hypothèses!$X$9,IF(BZ149&lt;=Hypothèses!$V$10,Hypothèses!$X$10,IF(BZ149&lt;=Hypothèses!$V$11,Hypothèses!$X$11,IF(BZ149&lt;=Hypothèses!$V$12,Hypothèses!$X$12,IF(BZ149&lt;=Hypothèses!$V$13,Hypothèses!$X$13,IF(BZ149&lt;=Hypothèses!$V$14,Hypothèses!$X$14,IF(BZ149&lt;=Hypothèses!$V$15,Hypothèses!$X$15,IF(BZ149&lt;=Hypothèses!$V$16,Hypothèses!$X$16,IF(BZ149&lt;=Hypothèses!$U$17,Hypothèses!$W$17,IF(BZ149&lt;=Hypothèses!$U$18,Hypothèses!$W$18,""))))))))))))</f>
        <v>#DIV/0!</v>
      </c>
      <c r="CW149" s="95" t="e">
        <f t="shared" ca="1" si="285"/>
        <v>#DIV/0!</v>
      </c>
      <c r="CX149" s="101">
        <f t="shared" si="327"/>
        <v>0</v>
      </c>
      <c r="CY149" s="91">
        <f t="shared" si="252"/>
        <v>0</v>
      </c>
      <c r="CZ149" s="30" t="e">
        <f t="shared" si="308"/>
        <v>#N/A</v>
      </c>
      <c r="DA149" s="30" t="e">
        <f t="shared" si="309"/>
        <v>#N/A</v>
      </c>
      <c r="DB149" s="31" t="e">
        <f>IF(OR(Hypothèses!$B$4=17,Hypothèses!$B$4=18,Hypothèses!$B$4=19,Hypothèses!$B$4=20),
IF($D149="Pressio.",
IF(OR($E149=3,$E149=1,$E149=4),DA149,CZ149),
IF($D149="Pénétro.",
IF(OR($E149=3,$E149=1,$E149=4),DA149,CZ149))),IF($D149="Pressio.",
IF($E149=3,DA149,CZ149),
IF($D149="Pénétro.",
IF($E149=4,DA149,CZ149))))</f>
        <v>#N/A</v>
      </c>
      <c r="DC149" s="31">
        <v>0</v>
      </c>
      <c r="DD149" s="102" t="e">
        <f>IF(NDC!$H$10="Oui",(VLOOKUP($B$3,'Coeff EC7'!$T$39:$X$59,2,0)*DB149+VLOOKUP($B$3,'Coeff EC7'!$T$65:$X$85,2,0)*Model0.1T!DC149)/1.5,PI()*CZ$12*$Q149*($B149-$B148)*0.15/10+DD148)</f>
        <v>#N/A</v>
      </c>
      <c r="DE149" s="102" t="e">
        <f>(VLOOKUP($B$3,'Coeff EC7'!$T$39:$X$59,3,0)*DB149+VLOOKUP($B$3,'Coeff EC7'!$T$65:$X$85,3,0)*Model0.1T!DC149)/1.1</f>
        <v>#N/A</v>
      </c>
      <c r="DF149" s="102" t="e">
        <f t="shared" si="286"/>
        <v>#N/A</v>
      </c>
      <c r="DG149" s="102" t="e">
        <f t="shared" si="287"/>
        <v>#N/A</v>
      </c>
      <c r="DH149" s="414" t="e">
        <f>IF(AND(DD149&gt;NDC!$C$63,DE149&gt;NDC!$C$65,DF149&gt;NDC!$D$73,DG149&gt;NDC!$D$74,$B149&gt;NDC!$H$22-0.1+MIN(3*DH$12,1.5)),0,1)</f>
        <v>#N/A</v>
      </c>
      <c r="DI149" s="86" t="b">
        <f t="shared" si="253"/>
        <v>0</v>
      </c>
      <c r="DJ149" s="86">
        <f t="shared" si="254"/>
        <v>0.5</v>
      </c>
      <c r="DK149" s="86">
        <f t="shared" si="255"/>
        <v>0.5</v>
      </c>
      <c r="DL149" s="30" t="e">
        <f t="shared" ca="1" si="288"/>
        <v>#DIV/0!</v>
      </c>
      <c r="DM149" s="85" t="e">
        <f ca="1">IF(CS149&lt;=Hypothèses!$V$7,Hypothèses!$W$7,IF(CS149&lt;=Hypothèses!$V$8,Hypothèses!$W$8,IF(CS149&lt;=Hypothèses!$V$9,Hypothèses!$W$9,IF(CS149&lt;=Hypothèses!$V$10,Hypothèses!$W$10,IF(CS149&lt;=Hypothèses!$V$11,Hypothèses!$W$11,IF(CS149&lt;=Hypothèses!$V$12,Hypothèses!$W$12,IF(CS149&lt;=Hypothèses!$V$13,Hypothèses!$W$13,IF(CS149&lt;=Hypothèses!$V$14,Hypothèses!$W$14,IF(CS149&lt;=Hypothèses!$V$15,Hypothèses!$W$15,IF(CS149&lt;=Hypothèses!$V$16,Hypothèses!$W$16,IF(CS149&lt;=Hypothèses!$V$17,Hypothèses!$W$17,IF(CS149&lt;=Hypothèses!$V$18,Hypothèses!$W$18,""))))))))))))</f>
        <v>#DIV/0!</v>
      </c>
      <c r="DN149" s="87" t="e">
        <f t="shared" ca="1" si="321"/>
        <v>#DIV/0!</v>
      </c>
      <c r="DO149" s="88" t="e">
        <f ca="1">IF(CS149&lt;=Hypothèses!$V$7,Hypothèses!$X$7,IF(CS149&lt;=Hypothèses!$V$8,Hypothèses!$X$8,IF(CS149&lt;=Hypothèses!$V$9,Hypothèses!$X$9,IF(CS149&lt;=Hypothèses!$V$10,Hypothèses!$X$10,IF(CS149&lt;=Hypothèses!$V$11,Hypothèses!$X$11,IF(CS149&lt;=Hypothèses!$V$12,Hypothèses!$X$12,IF(CS149&lt;=Hypothèses!$V$13,Hypothèses!$X$13,IF(CS149&lt;=Hypothèses!$V$14,Hypothèses!$X$14,IF(CS149&lt;=Hypothèses!$V$15,Hypothèses!$X$15,IF(CS149&lt;=Hypothèses!$V$16,Hypothèses!$X$16,IF(CS149&lt;=Hypothèses!$U$17,Hypothèses!$W$17,IF(CS149&lt;=Hypothèses!$U$18,Hypothèses!$W$18,""))))))))))))</f>
        <v>#DIV/0!</v>
      </c>
      <c r="DP149" s="95" t="e">
        <f t="shared" ca="1" si="289"/>
        <v>#DIV/0!</v>
      </c>
      <c r="DQ149" s="101">
        <f t="shared" si="328"/>
        <v>0</v>
      </c>
      <c r="DR149" s="91">
        <f t="shared" si="256"/>
        <v>0</v>
      </c>
      <c r="DS149" s="30" t="e">
        <f t="shared" si="310"/>
        <v>#N/A</v>
      </c>
      <c r="DT149" s="30" t="e">
        <f t="shared" si="311"/>
        <v>#N/A</v>
      </c>
      <c r="DU149" s="31" t="e">
        <f>IF(OR(Hypothèses!$B$4=17,Hypothèses!$B$4=18,Hypothèses!$B$4=19,Hypothèses!$B$4=20),
IF($D149="Pressio.",
IF(OR($E149=3,$E149=1,$E149=4),DT149,DS149),
IF($D149="Pénétro.",
IF(OR($E149=3,$E149=1,$E149=4),DT149,DS149))),IF($D149="Pressio.",
IF($E149=3,DT149,DS149),
IF($D149="Pénétro.",
IF($E149=4,DT149,DS149))))</f>
        <v>#N/A</v>
      </c>
      <c r="DV149" s="31">
        <v>0</v>
      </c>
      <c r="DW149" s="102" t="e">
        <f>IF(NDC!$H$10="Oui",(VLOOKUP($B$3,'Coeff EC7'!$T$39:$X$59,2,0)*DU149+VLOOKUP($B$3,'Coeff EC7'!$T$65:$X$85,2,0)*Model0.1T!DV149)/1.5,PI()*DS$12*$Q149*($B149-$B148)*0.15/10+DW148)</f>
        <v>#N/A</v>
      </c>
      <c r="DX149" s="102" t="e">
        <f>(VLOOKUP($B$3,'Coeff EC7'!$T$39:$X$59,3,0)*DU149+VLOOKUP($B$3,'Coeff EC7'!$T$65:$X$85,3,0)*Model0.1T!DV149)/1.1</f>
        <v>#N/A</v>
      </c>
      <c r="DY149" s="102" t="e">
        <f t="shared" si="290"/>
        <v>#N/A</v>
      </c>
      <c r="DZ149" s="102" t="e">
        <f t="shared" si="291"/>
        <v>#N/A</v>
      </c>
      <c r="EA149" s="414" t="e">
        <f>IF(AND(DW149&gt;NDC!$C$63,DX149&gt;NDC!$C$65,DY149&gt;NDC!$D$73,DZ149&gt;NDC!$D$74,$B149&gt;NDC!$H$22-0.1+MIN(3*EA$12,1.5)),0,1)</f>
        <v>#N/A</v>
      </c>
      <c r="EB149" s="86" t="b">
        <f t="shared" si="257"/>
        <v>0</v>
      </c>
      <c r="EC149" s="418">
        <f t="shared" si="258"/>
        <v>0.51</v>
      </c>
      <c r="ED149" s="86">
        <f t="shared" si="259"/>
        <v>0.51</v>
      </c>
      <c r="EE149" s="30" t="e">
        <f t="shared" ca="1" si="292"/>
        <v>#DIV/0!</v>
      </c>
      <c r="EF149" s="85" t="e">
        <f ca="1">IF(DL149&lt;=Hypothèses!$V$7,Hypothèses!$W$7,IF(DL149&lt;=Hypothèses!$V$8,Hypothèses!$W$8,IF(DL149&lt;=Hypothèses!$V$9,Hypothèses!$W$9,IF(DL149&lt;=Hypothèses!$V$10,Hypothèses!$W$10,IF(DL149&lt;=Hypothèses!$V$11,Hypothèses!$W$11,IF(DL149&lt;=Hypothèses!$V$12,Hypothèses!$W$12,IF(DL149&lt;=Hypothèses!$V$13,Hypothèses!$W$13,IF(DL149&lt;=Hypothèses!$V$14,Hypothèses!$W$14,IF(DL149&lt;=Hypothèses!$V$15,Hypothèses!$W$15,IF(DL149&lt;=Hypothèses!$V$16,Hypothèses!$W$16,IF(DL149&lt;=Hypothèses!$V$17,Hypothèses!$W$17,IF(DL149&lt;=Hypothèses!$V$18,Hypothèses!$W$18,""))))))))))))</f>
        <v>#DIV/0!</v>
      </c>
      <c r="EG149" s="87" t="e">
        <f t="shared" ca="1" si="322"/>
        <v>#DIV/0!</v>
      </c>
      <c r="EH149" s="88" t="e">
        <f ca="1">IF(DL149&lt;=Hypothèses!$V$7,Hypothèses!$X$7,IF(DL149&lt;=Hypothèses!$V$8,Hypothèses!$X$8,IF(DL149&lt;=Hypothèses!$V$9,Hypothèses!$X$9,IF(DL149&lt;=Hypothèses!$V$10,Hypothèses!$X$10,IF(DL149&lt;=Hypothèses!$V$11,Hypothèses!$X$11,IF(DL149&lt;=Hypothèses!$V$12,Hypothèses!$X$12,IF(DL149&lt;=Hypothèses!$V$13,Hypothèses!$X$13,IF(DL149&lt;=Hypothèses!$V$14,Hypothèses!$X$14,IF(DL149&lt;=Hypothèses!$V$15,Hypothèses!$X$15,IF(DL149&lt;=Hypothèses!$V$16,Hypothèses!$X$16,IF(DL149&lt;=Hypothèses!$U$17,Hypothèses!$W$17,IF(DL149&lt;=Hypothèses!$U$18,Hypothèses!$W$18,""))))))))))))</f>
        <v>#DIV/0!</v>
      </c>
      <c r="EI149" s="95" t="e">
        <f t="shared" ca="1" si="293"/>
        <v>#DIV/0!</v>
      </c>
      <c r="EJ149" s="101">
        <f t="shared" si="329"/>
        <v>0</v>
      </c>
      <c r="EK149" s="91">
        <f t="shared" si="260"/>
        <v>0</v>
      </c>
      <c r="EL149" s="30" t="e">
        <f t="shared" si="312"/>
        <v>#N/A</v>
      </c>
      <c r="EM149" s="30" t="e">
        <f t="shared" si="313"/>
        <v>#N/A</v>
      </c>
      <c r="EN149" s="31" t="e">
        <f>IF(OR(Hypothèses!$B$4=17,Hypothèses!$B$4=18,Hypothèses!$B$4=19,Hypothèses!$B$4=20),
IF($D149="Pressio.",
IF(OR($E149=3,$E149=1,$E149=4),EM149,EL149),
IF($D149="Pénétro.",
IF(OR($E149=3,$E149=1,$E149=4),EM149,EL149))),IF($D149="Pressio.",
IF($E149=3,EM149,EL149),
IF($D149="Pénétro.",
IF($E149=4,EM149,EL149))))</f>
        <v>#N/A</v>
      </c>
      <c r="EO149" s="31">
        <v>0</v>
      </c>
      <c r="EP149" s="102" t="e">
        <f>IF(NDC!$H$10="Oui",(VLOOKUP($B$3,'Coeff EC7'!$T$39:$X$59,2,0)*EN149+VLOOKUP($B$3,'Coeff EC7'!$T$65:$X$85,2,0)*Model0.1T!EO149)/1.5,PI()*EL$12*$Q149*($B149-$B148)*0.15/10+EP148)</f>
        <v>#N/A</v>
      </c>
      <c r="EQ149" s="102" t="e">
        <f>(VLOOKUP($B$3,'Coeff EC7'!$T$39:$X$59,3,0)*EN149+VLOOKUP($B$3,'Coeff EC7'!$T$65:$X$85,3,0)*Model0.1T!EO149)/1.1</f>
        <v>#N/A</v>
      </c>
      <c r="ER149" s="102" t="e">
        <f t="shared" si="294"/>
        <v>#N/A</v>
      </c>
      <c r="ES149" s="102" t="e">
        <f t="shared" si="295"/>
        <v>#N/A</v>
      </c>
      <c r="ET149" s="414" t="e">
        <f>IF(AND(EP149&gt;NDC!$C$63,EQ149&gt;NDC!$C$65,ER149&gt;NDC!$D$73,ES149&gt;NDC!$D$74,$B149&gt;NDC!$H$22-0.1+MIN(3*ET$12,1.5)),0,1)</f>
        <v>#N/A</v>
      </c>
      <c r="EU149" s="86" t="b">
        <f t="shared" si="261"/>
        <v>0</v>
      </c>
      <c r="EV149" s="86">
        <f t="shared" si="262"/>
        <v>0.61</v>
      </c>
      <c r="EW149" s="86">
        <f t="shared" si="263"/>
        <v>0.61</v>
      </c>
      <c r="EX149" s="30" t="e">
        <f t="shared" ca="1" si="296"/>
        <v>#DIV/0!</v>
      </c>
      <c r="EY149" s="85" t="e">
        <f ca="1">IF(EE149&lt;=Hypothèses!$V$7,Hypothèses!$W$7,IF(EE149&lt;=Hypothèses!$V$8,Hypothèses!$W$8,IF(EE149&lt;=Hypothèses!$V$9,Hypothèses!$W$9,IF(EE149&lt;=Hypothèses!$V$10,Hypothèses!$W$10,IF(EE149&lt;=Hypothèses!$V$11,Hypothèses!$W$11,IF(EE149&lt;=Hypothèses!$V$12,Hypothèses!$W$12,IF(EE149&lt;=Hypothèses!$V$13,Hypothèses!$W$13,IF(EE149&lt;=Hypothèses!$V$14,Hypothèses!$W$14,IF(EE149&lt;=Hypothèses!$V$15,Hypothèses!$W$15,IF(EE149&lt;=Hypothèses!$V$16,Hypothèses!$W$16,IF(EE149&lt;=Hypothèses!$V$17,Hypothèses!$W$17,IF(EE149&lt;=Hypothèses!$V$18,Hypothèses!$W$18,""))))))))))))</f>
        <v>#DIV/0!</v>
      </c>
      <c r="EZ149" s="87" t="e">
        <f t="shared" ca="1" si="323"/>
        <v>#DIV/0!</v>
      </c>
      <c r="FA149" s="88" t="e">
        <f ca="1">IF(EE149&lt;=Hypothèses!$V$7,Hypothèses!$X$7,IF(EE149&lt;=Hypothèses!$V$8,Hypothèses!$X$8,IF(EE149&lt;=Hypothèses!$V$9,Hypothèses!$X$9,IF(EE149&lt;=Hypothèses!$V$10,Hypothèses!$X$10,IF(EE149&lt;=Hypothèses!$V$11,Hypothèses!$X$11,IF(EE149&lt;=Hypothèses!$V$12,Hypothèses!$X$12,IF(EE149&lt;=Hypothèses!$V$13,Hypothèses!$X$13,IF(EE149&lt;=Hypothèses!$V$14,Hypothèses!$X$14,IF(EE149&lt;=Hypothèses!$V$15,Hypothèses!$X$15,IF(EE149&lt;=Hypothèses!$V$16,Hypothèses!$X$16,IF(EE149&lt;=Hypothèses!$U$17,Hypothèses!$W$17,IF(EE149&lt;=Hypothèses!$U$18,Hypothèses!$W$18,""))))))))))))</f>
        <v>#DIV/0!</v>
      </c>
      <c r="FB149" s="95" t="e">
        <f t="shared" ca="1" si="297"/>
        <v>#DIV/0!</v>
      </c>
      <c r="FC149" s="101">
        <f t="shared" si="330"/>
        <v>0</v>
      </c>
      <c r="FD149" s="91">
        <f t="shared" si="264"/>
        <v>0</v>
      </c>
      <c r="FE149" s="30" t="e">
        <f t="shared" si="314"/>
        <v>#N/A</v>
      </c>
      <c r="FF149" s="30" t="e">
        <f t="shared" si="315"/>
        <v>#N/A</v>
      </c>
      <c r="FG149" s="31" t="e">
        <f>IF(OR(Hypothèses!$B$4=17,Hypothèses!$B$4=18,Hypothèses!$B$4=19,Hypothèses!$B$4=20),
IF($D149="Pressio.",
IF(OR($E149=3,$E149=1,$E149=4),FF149,FE149),
IF($D149="Pénétro.",
IF(OR($E149=3,$E149=1,$E149=4),FF149,FE149))),IF($D149="Pressio.",
IF($E149=3,FF149,FE149),
IF($D149="Pénétro.",
IF($E149=4,FF149,FE149))))</f>
        <v>#N/A</v>
      </c>
      <c r="FH149" s="31">
        <v>0</v>
      </c>
      <c r="FI149" s="102" t="e">
        <f>IF(NDC!$H$10="Oui",(VLOOKUP($B$3,'Coeff EC7'!$T$39:$X$59,2,0)*FG149+VLOOKUP($B$3,'Coeff EC7'!$T$65:$X$85,2,0)*Model0.1T!FH149)/1.5,PI()*FE$12*$Q149*($B149-$B148)*0.15/10+FI148)</f>
        <v>#N/A</v>
      </c>
      <c r="FJ149" s="102" t="e">
        <f>(VLOOKUP($B$3,'Coeff EC7'!$T$39:$X$59,3,0)*FG149+VLOOKUP($B$3,'Coeff EC7'!$T$65:$X$85,3,0)*Model0.1T!FH149)/1.1</f>
        <v>#N/A</v>
      </c>
      <c r="FK149" s="102" t="e">
        <f t="shared" si="298"/>
        <v>#N/A</v>
      </c>
      <c r="FL149" s="102" t="e">
        <f t="shared" si="299"/>
        <v>#N/A</v>
      </c>
      <c r="FM149" s="414" t="e">
        <f>IF(AND(FI149&gt;NDC!$C$63,FJ149&gt;NDC!$C$65,FK149&gt;NDC!$D$73,FL149&gt;NDC!$D$74,$B149&gt;NDC!$H$22-0.1+MIN(3*FM$12,1.5)),0,1)</f>
        <v>#N/A</v>
      </c>
    </row>
    <row r="150" spans="1:169">
      <c r="A150" s="96">
        <f t="shared" si="265"/>
        <v>86.300000000000779</v>
      </c>
      <c r="B150" s="97">
        <v>13.7</v>
      </c>
      <c r="C150" s="81">
        <f>IF(B150&lt;=Hypothèses!$C$7,Hypothèses!$A$7,IF(B150&lt;=Hypothèses!$C$8,Hypothèses!$A$8,IF(B150&lt;=Hypothèses!$C$9,Hypothèses!$A$9,IF(B150&lt;=Hypothèses!$C$10,Hypothèses!$A$10,IF(B150&lt;=Hypothèses!$C$11,Hypothèses!$A$11,IF(B150&lt;=Hypothèses!$C$12,Hypothèses!$A$12,IF(B150&lt;=Hypothèses!$C$13,Hypothèses!$A$13,IF(B150&lt;=Hypothèses!$C$14,Hypothèses!$A$14,IF(B150&lt;=Hypothèses!$C$15,Hypothèses!$A$15,IF(B150&lt;=Hypothèses!$C$16,Hypothèses!$A$16,IF(B150&lt;=Hypothèses!$C$17,Hypothèses!$A$17,IF(B150&lt;=Hypothèses!$C$18,Hypothèses!$A$18,C149))))))))))))</f>
        <v>11</v>
      </c>
      <c r="D150" s="82" t="str">
        <f>IF(B150&lt;=Hypothèses!$C$7,Hypothèses!$R$7,IF(B150&lt;=Hypothèses!$C$8,Hypothèses!$R$8,IF(B150&lt;=Hypothèses!$C$9,Hypothèses!$R$9,IF(B150&lt;=Hypothèses!$C$10,Hypothèses!$R$10,IF(B150&lt;=Hypothèses!$C$11,Hypothèses!$R$11,IF(B150&lt;=Hypothèses!$C$12,Hypothèses!$R$12,IF(B150&lt;=Hypothèses!$C$13,Hypothèses!$R$13,IF(B150&lt;=Hypothèses!$C$14,Hypothèses!$R$14,IF(B150&lt;=Hypothèses!$C$15,Hypothèses!$R$15,IF(B150&lt;=Hypothèses!$C$16,Hypothèses!$R$16,IF(B150&lt;=Hypothèses!$C$17,Hypothèses!$R$17,IF(B150&lt;=Hypothèses!$C$18,Hypothèses!$R$18,D149))))))))))))</f>
        <v>Pressio.</v>
      </c>
      <c r="E150" s="82" t="e">
        <f>IF(B150&lt;=Hypothèses!$C$7,Hypothèses!$G$7,IF(B150&lt;=Hypothèses!$C$8,Hypothèses!$G$8,IF(B150&lt;=Hypothèses!$C$9,Hypothèses!$G$9,IF(B150&lt;=Hypothèses!$C$10,Hypothèses!$G$10,IF(B150&lt;=Hypothèses!$C$11,Hypothèses!$G$11,IF(B150&lt;=Hypothèses!$C$12,Hypothèses!$G$12,IF(B150&lt;=Hypothèses!$C$13,Hypothèses!$G$13,IF(B150&lt;=Hypothèses!$C$14,Hypothèses!$G$14,IF(B150&lt;=Hypothèses!$C$15,Hypothèses!$G$15,IF(B150&lt;=Hypothèses!$C$16,Hypothèses!$G$16,IF(B150&lt;=Hypothèses!$C$17,Hypothèses!$G$17,IF(B150&lt;=Hypothèses!$C$18,Hypothèses!$G$18,E149))))))))))))</f>
        <v>#N/A</v>
      </c>
      <c r="F150" s="82" t="str">
        <f>IF(B150&lt;=Hypothèses!$C$7,Hypothèses!$F$7,IF(B150&lt;=Hypothèses!$C$8,Hypothèses!$F$8,IF(B150&lt;=Hypothèses!$C$9,Hypothèses!$F$9,IF(B150&lt;=Hypothèses!$C$10,Hypothèses!$F$10,IF(B150&lt;=Hypothèses!$C$11,Hypothèses!$F$11,IF(B150&lt;=Hypothèses!$C$12,Hypothèses!$F$12,IF(B150&lt;=Hypothèses!$C$13,Hypothèses!$F$13,IF(B150&lt;=Hypothèses!$C$14,Hypothèses!$F$14,IF(B150&lt;=Hypothèses!$C$15,Hypothèses!$F$15,IF(B150&lt;=Hypothèses!$C$16,Hypothèses!$F$16,IF(B150&lt;=Hypothèses!$C$17,Hypothèses!$F$17,IF(B150&lt;=Hypothèses!$C$18,Hypothèses!$F$18,F149))))))))))))</f>
        <v/>
      </c>
      <c r="G150" s="91">
        <f t="array" ref="G150">INDEX('Coeff EC7'!$U$7:$X$27,
MATCH(Model0.1T!$B$3,'Coeff EC7'!$T$7:$T$27,0),
MATCH(Model0.1T!$D150&amp;Model0.1T!$B$4,
'Coeff EC7'!$U$6:$X$6&amp;
'Coeff EC7'!$U$5:$X$5,0))</f>
        <v>1.4</v>
      </c>
      <c r="H150" s="91">
        <f t="array" ref="H150">INDEX('Coeff EC7'!$Y$7:$AB$27,
MATCH(Model0.1T!$B$3,'Coeff EC7'!$T$7:$T$27,0),
MATCH(Model0.1T!$D150&amp;Model0.1T!$B$4,
'Coeff EC7'!$Y$6:$AB$6&amp;
'Coeff EC7'!$Y$5:$AB$5,0))</f>
        <v>1.7</v>
      </c>
      <c r="I150" s="83">
        <v>0</v>
      </c>
      <c r="J150" s="91" t="e">
        <f t="array" ref="J150">INDEX('Coeff EC7'!$D$33:$Q$33,1,MATCH(D150&amp;E150,'Coeff EC7'!$D$31:$Q$31&amp;'Coeff EC7'!$D$32:$Q$32,0))</f>
        <v>#N/A</v>
      </c>
      <c r="K150" s="91" t="e">
        <f t="array" ref="K150">INDEX('Coeff EC7'!$D$34:$Q$34,1,MATCH(D150&amp;E150,'Coeff EC7'!$D$31:$Q$31&amp;'Coeff EC7'!$D$32:$Q$32,0))</f>
        <v>#N/A</v>
      </c>
      <c r="L150" s="91" t="e">
        <f t="array" ref="L150">INDEX('Coeff EC7'!$D$35:$Q$35,1,MATCH(D150&amp;E150,'Coeff EC7'!$D$31:$Q$31&amp;'Coeff EC7'!$D$32:$Q$32,0))</f>
        <v>#N/A</v>
      </c>
      <c r="M150" s="98" t="e">
        <f t="shared" si="231"/>
        <v>#N/A</v>
      </c>
      <c r="N150" s="99" t="e">
        <f t="array" ref="N150">INDEX('Coeff EC7'!$D$7:$Q$27,MATCH($B$3,'Coeff EC7'!$C$7:$C$27,0),MATCH(D150&amp;E150,'Coeff EC7'!$D$5:$Q$5&amp;'Coeff EC7'!$D$6:$Q$6,0))</f>
        <v>#N/A</v>
      </c>
      <c r="O150" s="99" t="e">
        <f t="array" ref="O150">INDEX('Coeff EC7'!$D$41:$Q$61,MATCH($B$3,'Coeff EC7'!$C$41:$C$61,0),MATCH(D150&amp;E150,'Coeff EC7'!$D$39:$Q$39&amp;'Coeff EC7'!$D$40:$Q$40,0))</f>
        <v>#N/A</v>
      </c>
      <c r="P150" s="30" t="e">
        <f t="shared" si="266"/>
        <v>#N/A</v>
      </c>
      <c r="Q150" s="100" t="e">
        <f t="shared" si="233"/>
        <v>#N/A</v>
      </c>
      <c r="R150" s="86" t="b">
        <f t="shared" si="234"/>
        <v>0</v>
      </c>
      <c r="S150" s="86">
        <f t="shared" si="232"/>
        <v>0.5</v>
      </c>
      <c r="T150" s="86">
        <f t="shared" si="235"/>
        <v>0.5</v>
      </c>
      <c r="U150" s="30" t="e">
        <f t="shared" ca="1" si="267"/>
        <v>#DIV/0!</v>
      </c>
      <c r="V150" s="85" t="str">
        <f>IF(B150&lt;=Hypothèses!$V$7,Hypothèses!$W$7,IF(B150&lt;=Hypothèses!$V$8,Hypothèses!$W$8,IF(B150&lt;=Hypothèses!$V$9,Hypothèses!$W$9,IF(B150&lt;=Hypothèses!$V$10,Hypothèses!$W$10,IF(B150&lt;=Hypothèses!$V$11,Hypothèses!$W$11,IF(B150&lt;=Hypothèses!$V$12,Hypothèses!$W$12,IF(B150&lt;=Hypothèses!$V$13,Hypothèses!$W$13,IF(B150&lt;=Hypothèses!$V$14,Hypothèses!$W$14,IF(B150&lt;=Hypothèses!$V$15,Hypothèses!$W$15,IF(B150&lt;=Hypothèses!$V$16,Hypothèses!$W$16,IF(B150&lt;=Hypothèses!$V$17,Hypothèses!$W$17,IF(B150&lt;=Hypothèses!$V$18,Hypothèses!$W$18,""))))))))))))</f>
        <v/>
      </c>
      <c r="W150" s="87" t="e">
        <f t="shared" ca="1" si="316"/>
        <v>#DIV/0!</v>
      </c>
      <c r="X150" s="88" t="str">
        <f>IF(B150&lt;=Hypothèses!$V$7,Hypothèses!$X$7,IF(B150&lt;=Hypothèses!$V$8,Hypothèses!$X$8,IF(B150&lt;=Hypothèses!$V$9,Hypothèses!$X$9,IF(B150&lt;=Hypothèses!$V$10,Hypothèses!$X$10,IF(B150&lt;=Hypothèses!$V$11,Hypothèses!$X$11,IF(B150&lt;=Hypothèses!$V$12,Hypothèses!$X$12,IF(B150&lt;=Hypothèses!$V$13,Hypothèses!$X$13,IF(B150&lt;=Hypothèses!$V$14,Hypothèses!$X$14,IF(B150&lt;=Hypothèses!$V$15,Hypothèses!$X$15,IF(B150&lt;=Hypothèses!$V$16,Hypothèses!$X$16,IF(B150&lt;=Hypothèses!$U$17,Hypothèses!$W$17,IF(B150&lt;=Hypothèses!$U$18,Hypothèses!$W$18,""))))))))))))</f>
        <v/>
      </c>
      <c r="Y150" s="95" t="e">
        <f t="shared" ca="1" si="236"/>
        <v>#DIV/0!</v>
      </c>
      <c r="Z150" s="101">
        <f t="shared" si="237"/>
        <v>0</v>
      </c>
      <c r="AA150" s="91">
        <f t="shared" si="238"/>
        <v>0</v>
      </c>
      <c r="AB150" s="30" t="e">
        <f t="shared" si="300"/>
        <v>#N/A</v>
      </c>
      <c r="AC150" s="30" t="e">
        <f t="shared" si="301"/>
        <v>#N/A</v>
      </c>
      <c r="AD150" s="31" t="e">
        <f>IF(OR(Hypothèses!$B$4=17,Hypothèses!$B$4=18,Hypothèses!$B$4=19,Hypothèses!$B$4=20),
IF($D150="Pressio.",
IF(OR($E150=3,$E150=1,$E150=4),AC150,AB150),
IF($D150="Pénétro.",
IF(OR($E150=3,$E150=1,$E150=4),AC150,AB150))),IF($D150="Pressio.",
IF($E150=3,AC150,AB150),
IF($D150="Pénétro.",
IF($E150=4,AC150,AB150))))</f>
        <v>#N/A</v>
      </c>
      <c r="AE150" s="31">
        <v>0</v>
      </c>
      <c r="AF150" s="102" t="e">
        <f>IF(NDC!$H$10="Oui",(VLOOKUP($B$3,'Coeff EC7'!$T$39:$X$59,2,0)*AD150+VLOOKUP($B$3,'Coeff EC7'!$T$65:$X$85,2,0)*Model0.1T!AE150)/1.5,PI()*AB$12*$Q150*($B150-$B149)*0.15/10+AF149)</f>
        <v>#N/A</v>
      </c>
      <c r="AG150" s="102" t="e">
        <f>(VLOOKUP($B$3,'Coeff EC7'!$T$39:$X$59,3,0)*AD150+VLOOKUP($B$3,'Coeff EC7'!$T$65:$X$85,3,0)*Model0.1T!AE150)/1.1</f>
        <v>#N/A</v>
      </c>
      <c r="AH150" s="102" t="e">
        <f t="shared" si="268"/>
        <v>#N/A</v>
      </c>
      <c r="AI150" s="102" t="e">
        <f t="shared" si="269"/>
        <v>#N/A</v>
      </c>
      <c r="AJ150" s="414" t="e">
        <f>IF(AND(AF150&gt;NDC!$C$63,AG150&gt;NDC!$C$65,AH150&gt;NDC!$D$73,AI150&gt;NDC!$D$74,$B150&gt;NDC!$H$22-0.1+MIN(3*$AJ$12,1.5)),0,1)</f>
        <v>#N/A</v>
      </c>
      <c r="AK150" s="86" t="b">
        <f t="shared" si="239"/>
        <v>0</v>
      </c>
      <c r="AL150" s="86">
        <f t="shared" si="270"/>
        <v>0.5</v>
      </c>
      <c r="AM150" s="86">
        <f t="shared" si="240"/>
        <v>0.5</v>
      </c>
      <c r="AN150" s="30" t="e">
        <f t="shared" ca="1" si="271"/>
        <v>#DIV/0!</v>
      </c>
      <c r="AO150" s="85" t="e">
        <f ca="1">IF(U150&lt;=Hypothèses!$V$7,Hypothèses!$W$7,IF(U150&lt;=Hypothèses!$V$8,Hypothèses!$W$8,IF(U150&lt;=Hypothèses!$V$9,Hypothèses!$W$9,IF(U150&lt;=Hypothèses!$V$10,Hypothèses!$W$10,IF(U150&lt;=Hypothèses!$V$11,Hypothèses!$W$11,IF(U150&lt;=Hypothèses!$V$12,Hypothèses!$W$12,IF(U150&lt;=Hypothèses!$V$13,Hypothèses!$W$13,IF(U150&lt;=Hypothèses!$V$14,Hypothèses!$W$14,IF(U150&lt;=Hypothèses!$V$15,Hypothèses!$W$15,IF(U150&lt;=Hypothèses!$V$16,Hypothèses!$W$16,IF(U150&lt;=Hypothèses!$V$17,Hypothèses!$W$17,IF(U150&lt;=Hypothèses!$V$18,Hypothèses!$W$18,""))))))))))))</f>
        <v>#DIV/0!</v>
      </c>
      <c r="AP150" s="87" t="e">
        <f t="shared" ca="1" si="317"/>
        <v>#DIV/0!</v>
      </c>
      <c r="AQ150" s="88" t="e">
        <f ca="1">IF(U150&lt;=Hypothèses!$V$7,Hypothèses!$X$7,IF(U150&lt;=Hypothèses!$V$8,Hypothèses!$X$8,IF(U150&lt;=Hypothèses!$V$9,Hypothèses!$X$9,IF(U150&lt;=Hypothèses!$V$10,Hypothèses!$X$10,IF(U150&lt;=Hypothèses!$V$11,Hypothèses!$X$11,IF(U150&lt;=Hypothèses!$V$12,Hypothèses!$X$12,IF(U150&lt;=Hypothèses!$V$13,Hypothèses!$X$13,IF(U150&lt;=Hypothèses!$V$14,Hypothèses!$X$14,IF(U150&lt;=Hypothèses!$V$15,Hypothèses!$X$15,IF(U150&lt;=Hypothèses!$V$16,Hypothèses!$X$16,IF(U150&lt;=Hypothèses!$U$17,Hypothèses!$W$17,IF(U150&lt;=Hypothèses!$U$18,Hypothèses!$W$18,""))))))))))))</f>
        <v>#DIV/0!</v>
      </c>
      <c r="AR150" s="95" t="e">
        <f t="shared" ca="1" si="272"/>
        <v>#DIV/0!</v>
      </c>
      <c r="AS150" s="101">
        <f t="shared" si="324"/>
        <v>0</v>
      </c>
      <c r="AT150" s="91">
        <f t="shared" si="241"/>
        <v>0</v>
      </c>
      <c r="AU150" s="30" t="e">
        <f t="shared" si="302"/>
        <v>#N/A</v>
      </c>
      <c r="AV150" s="30" t="e">
        <f t="shared" si="303"/>
        <v>#N/A</v>
      </c>
      <c r="AW150" s="31" t="e">
        <f>IF(OR(Hypothèses!$B$4=17,Hypothèses!$B$4=18,Hypothèses!$B$4=19,Hypothèses!$B$4=20),
IF($D150="Pressio.",
IF(OR($E150=3,$E150=1,$E150=4),AV150,AU150),
IF($D150="Pénétro.",
IF(OR($E150=3,$E150=1,$E150=4),AV150,AU150))),IF($D150="Pressio.",
IF($E150=3,AV150,AU150),
IF($D150="Pénétro.",
IF($E150=4,AV150,AU150))))</f>
        <v>#N/A</v>
      </c>
      <c r="AX150" s="31">
        <v>0</v>
      </c>
      <c r="AY150" s="102" t="e">
        <f>IF(NDC!$H$10="Oui",(VLOOKUP($B$3,'Coeff EC7'!$T$39:$X$59,2,0)*AW150+VLOOKUP($B$3,'Coeff EC7'!$T$65:$X$85,2,0)*Model0.1T!AX150)/1.5,PI()*AU$12*$Q150*($B150-$B149)*0.15/10+AY149)</f>
        <v>#N/A</v>
      </c>
      <c r="AZ150" s="102" t="e">
        <f>(VLOOKUP($B$3,'Coeff EC7'!$T$39:$X$59,3,0)*AW150+VLOOKUP($B$3,'Coeff EC7'!$T$65:$X$85,3,0)*Model0.1T!AX150)/1.1</f>
        <v>#N/A</v>
      </c>
      <c r="BA150" s="102" t="e">
        <f t="shared" si="273"/>
        <v>#N/A</v>
      </c>
      <c r="BB150" s="102" t="e">
        <f t="shared" si="274"/>
        <v>#N/A</v>
      </c>
      <c r="BC150" s="414" t="e">
        <f>IF(AND(AY150&gt;NDC!$C$63,AZ150&gt;NDC!$C$65,BA150&gt;NDC!$D$73,BB150&gt;NDC!$D$74,$B150&gt;NDC!$H$22-0.1+MIN(3*BC$12,1.5)),0,1)</f>
        <v>#N/A</v>
      </c>
      <c r="BD150" s="86" t="b">
        <f t="shared" si="242"/>
        <v>0</v>
      </c>
      <c r="BE150" s="86">
        <f t="shared" si="275"/>
        <v>0.5</v>
      </c>
      <c r="BF150" s="86">
        <f t="shared" si="243"/>
        <v>0.5</v>
      </c>
      <c r="BG150" s="30" t="e">
        <f t="shared" ca="1" si="276"/>
        <v>#DIV/0!</v>
      </c>
      <c r="BH150" s="85" t="e">
        <f ca="1">IF(AN150&lt;=Hypothèses!$V$7,Hypothèses!$W$7,IF(AN150&lt;=Hypothèses!$V$8,Hypothèses!$W$8,IF(AN150&lt;=Hypothèses!$V$9,Hypothèses!$W$9,IF(AN150&lt;=Hypothèses!$V$10,Hypothèses!$W$10,IF(AN150&lt;=Hypothèses!$V$11,Hypothèses!$W$11,IF(AN150&lt;=Hypothèses!$V$12,Hypothèses!$W$12,IF(AN150&lt;=Hypothèses!$V$13,Hypothèses!$W$13,IF(AN150&lt;=Hypothèses!$V$14,Hypothèses!$W$14,IF(AN150&lt;=Hypothèses!$V$15,Hypothèses!$W$15,IF(AN150&lt;=Hypothèses!$V$16,Hypothèses!$W$16,IF(AN150&lt;=Hypothèses!$V$17,Hypothèses!$W$17,IF(AN150&lt;=Hypothèses!$V$18,Hypothèses!$W$18,""))))))))))))</f>
        <v>#DIV/0!</v>
      </c>
      <c r="BI150" s="87" t="e">
        <f t="shared" ca="1" si="318"/>
        <v>#DIV/0!</v>
      </c>
      <c r="BJ150" s="88" t="e">
        <f ca="1">IF(AN150&lt;=Hypothèses!$V$7,Hypothèses!$X$7,IF(AN150&lt;=Hypothèses!$V$8,Hypothèses!$X$8,IF(AN150&lt;=Hypothèses!$V$9,Hypothèses!$X$9,IF(AN150&lt;=Hypothèses!$V$10,Hypothèses!$X$10,IF(AN150&lt;=Hypothèses!$V$11,Hypothèses!$X$11,IF(AN150&lt;=Hypothèses!$V$12,Hypothèses!$X$12,IF(AN150&lt;=Hypothèses!$V$13,Hypothèses!$X$13,IF(AN150&lt;=Hypothèses!$V$14,Hypothèses!$X$14,IF(AN150&lt;=Hypothèses!$V$15,Hypothèses!$X$15,IF(AN150&lt;=Hypothèses!$V$16,Hypothèses!$X$16,IF(AN150&lt;=Hypothèses!$U$17,Hypothèses!$W$17,IF(AN150&lt;=Hypothèses!$U$18,Hypothèses!$W$18,""))))))))))))</f>
        <v>#DIV/0!</v>
      </c>
      <c r="BK150" s="95" t="e">
        <f t="shared" ca="1" si="277"/>
        <v>#DIV/0!</v>
      </c>
      <c r="BL150" s="101">
        <f t="shared" si="325"/>
        <v>0</v>
      </c>
      <c r="BM150" s="91">
        <f t="shared" si="244"/>
        <v>0</v>
      </c>
      <c r="BN150" s="30" t="e">
        <f t="shared" si="304"/>
        <v>#N/A</v>
      </c>
      <c r="BO150" s="30" t="e">
        <f t="shared" si="305"/>
        <v>#N/A</v>
      </c>
      <c r="BP150" s="31" t="e">
        <f>IF(OR(Hypothèses!$B$4=17,Hypothèses!$B$4=18,Hypothèses!$B$4=19,Hypothèses!$B$4=20),
IF($D150="Pressio.",
IF(OR($E150=3,$E150=1,$E150=4),BO150,BN150),
IF($D150="Pénétro.",
IF(OR($E150=3,$E150=1,$E150=4),BO150,BN150))),IF($D150="Pressio.",
IF($E150=3,BO150,BN150),
IF($D150="Pénétro.",
IF($E150=4,BO150,BN150))))</f>
        <v>#N/A</v>
      </c>
      <c r="BQ150" s="31">
        <v>0</v>
      </c>
      <c r="BR150" s="102" t="e">
        <f>IF(NDC!$H$10="Oui",(VLOOKUP($B$3,'Coeff EC7'!$T$39:$X$59,2,0)*BP150+VLOOKUP($B$3,'Coeff EC7'!$T$65:$X$85,2,0)*Model0.1T!BQ150)/1.5,PI()*BN$12*$Q150*($B150-$B149)*0.15/10+BR149)</f>
        <v>#N/A</v>
      </c>
      <c r="BS150" s="102" t="e">
        <f>(VLOOKUP($B$3,'Coeff EC7'!$T$39:$X$59,3,0)*BP150+VLOOKUP($B$3,'Coeff EC7'!$T$65:$X$85,3,0)*Model0.1T!BQ150)/1.1</f>
        <v>#N/A</v>
      </c>
      <c r="BT150" s="102" t="e">
        <f t="shared" si="278"/>
        <v>#N/A</v>
      </c>
      <c r="BU150" s="102" t="e">
        <f t="shared" si="279"/>
        <v>#N/A</v>
      </c>
      <c r="BV150" s="414" t="e">
        <f>IF(AND(BR150&gt;NDC!$C$63,BS150&gt;NDC!$C$65,BT150&gt;NDC!$D$73,BU150&gt;NDC!$D$74,$B150&gt;NDC!$H$22-0.1+MIN(3*BV$12,1.5)),0,1)</f>
        <v>#N/A</v>
      </c>
      <c r="BW150" s="86" t="b">
        <f t="shared" si="245"/>
        <v>0</v>
      </c>
      <c r="BX150" s="86">
        <f t="shared" si="246"/>
        <v>0.5</v>
      </c>
      <c r="BY150" s="86">
        <f t="shared" si="247"/>
        <v>0.5</v>
      </c>
      <c r="BZ150" s="30" t="e">
        <f t="shared" ca="1" si="280"/>
        <v>#DIV/0!</v>
      </c>
      <c r="CA150" s="85" t="e">
        <f ca="1">IF(BG150&lt;=Hypothèses!$V$7,Hypothèses!$W$7,IF(BG150&lt;=Hypothèses!$V$8,Hypothèses!$W$8,IF(BG150&lt;=Hypothèses!$V$9,Hypothèses!$W$9,IF(BG150&lt;=Hypothèses!$V$10,Hypothèses!$W$10,IF(BG150&lt;=Hypothèses!$V$11,Hypothèses!$W$11,IF(BG150&lt;=Hypothèses!$V$12,Hypothèses!$W$12,IF(BG150&lt;=Hypothèses!$V$13,Hypothèses!$W$13,IF(BG150&lt;=Hypothèses!$V$14,Hypothèses!$W$14,IF(BG150&lt;=Hypothèses!$V$15,Hypothèses!$W$15,IF(BG150&lt;=Hypothèses!$V$16,Hypothèses!$W$16,IF(BG150&lt;=Hypothèses!$V$17,Hypothèses!$W$17,IF(BG150&lt;=Hypothèses!$V$18,Hypothèses!$W$18,""))))))))))))</f>
        <v>#DIV/0!</v>
      </c>
      <c r="CB150" s="87" t="e">
        <f t="shared" ca="1" si="319"/>
        <v>#DIV/0!</v>
      </c>
      <c r="CC150" s="88" t="e">
        <f ca="1">IF(BG150&lt;=Hypothèses!$V$7,Hypothèses!$X$7,IF(BG150&lt;=Hypothèses!$V$8,Hypothèses!$X$8,IF(BG150&lt;=Hypothèses!$V$9,Hypothèses!$X$9,IF(BG150&lt;=Hypothèses!$V$10,Hypothèses!$X$10,IF(BG150&lt;=Hypothèses!$V$11,Hypothèses!$X$11,IF(BG150&lt;=Hypothèses!$V$12,Hypothèses!$X$12,IF(BG150&lt;=Hypothèses!$V$13,Hypothèses!$X$13,IF(BG150&lt;=Hypothèses!$V$14,Hypothèses!$X$14,IF(BG150&lt;=Hypothèses!$V$15,Hypothèses!$X$15,IF(BG150&lt;=Hypothèses!$V$16,Hypothèses!$X$16,IF(BG150&lt;=Hypothèses!$U$17,Hypothèses!$W$17,IF(BG150&lt;=Hypothèses!$U$18,Hypothèses!$W$18,""))))))))))))</f>
        <v>#DIV/0!</v>
      </c>
      <c r="CD150" s="95" t="e">
        <f t="shared" ca="1" si="281"/>
        <v>#DIV/0!</v>
      </c>
      <c r="CE150" s="101">
        <f t="shared" si="326"/>
        <v>0</v>
      </c>
      <c r="CF150" s="91">
        <f t="shared" si="248"/>
        <v>0</v>
      </c>
      <c r="CG150" s="30" t="e">
        <f t="shared" si="306"/>
        <v>#N/A</v>
      </c>
      <c r="CH150" s="30" t="e">
        <f t="shared" si="307"/>
        <v>#N/A</v>
      </c>
      <c r="CI150" s="31" t="e">
        <f>IF(OR(Hypothèses!$B$4=17,Hypothèses!$B$4=18,Hypothèses!$B$4=19,Hypothèses!$B$4=20),
IF($D150="Pressio.",
IF(OR($E150=3,$E150=1,$E150=4),CH150,CG150),
IF($D150="Pénétro.",
IF(OR($E150=3,$E150=1,$E150=4),CH150,CG150))),IF($D150="Pressio.",
IF($E150=3,CH150,CG150),
IF($D150="Pénétro.",
IF($E150=4,CH150,CG150))))</f>
        <v>#N/A</v>
      </c>
      <c r="CJ150" s="31">
        <v>0</v>
      </c>
      <c r="CK150" s="102" t="e">
        <f>IF(NDC!$H$10="Oui",(VLOOKUP($B$3,'Coeff EC7'!$T$39:$X$59,2,0)*CI150+VLOOKUP($B$3,'Coeff EC7'!$T$65:$X$85,2,0)*Model0.1T!CJ150)/1.5,PI()*CG$12*$Q150*($B150-$B149)*0.15/10+CK149)</f>
        <v>#N/A</v>
      </c>
      <c r="CL150" s="102" t="e">
        <f>(VLOOKUP($B$3,'Coeff EC7'!$T$39:$X$59,3,0)*CI150+VLOOKUP($B$3,'Coeff EC7'!$T$65:$X$85,3,0)*Model0.1T!CJ150)/1.1</f>
        <v>#N/A</v>
      </c>
      <c r="CM150" s="102" t="e">
        <f t="shared" si="282"/>
        <v>#N/A</v>
      </c>
      <c r="CN150" s="102" t="e">
        <f t="shared" si="283"/>
        <v>#N/A</v>
      </c>
      <c r="CO150" s="414" t="e">
        <f>IF(AND(CK150&gt;NDC!$C$63,CL150&gt;NDC!$C$65,CM150&gt;NDC!$D$73,CN150&gt;NDC!$D$74,$B150&gt;NDC!$H$22-0.1+MIN(3*CO$12,1.5)),0,1)</f>
        <v>#N/A</v>
      </c>
      <c r="CP150" s="86" t="b">
        <f t="shared" si="249"/>
        <v>0</v>
      </c>
      <c r="CQ150" s="86">
        <f t="shared" si="250"/>
        <v>0.5</v>
      </c>
      <c r="CR150" s="86">
        <f t="shared" si="251"/>
        <v>0.5</v>
      </c>
      <c r="CS150" s="30" t="e">
        <f t="shared" ca="1" si="284"/>
        <v>#DIV/0!</v>
      </c>
      <c r="CT150" s="85" t="e">
        <f ca="1">IF(BZ150&lt;=Hypothèses!$V$7,Hypothèses!$W$7,IF(BZ150&lt;=Hypothèses!$V$8,Hypothèses!$W$8,IF(BZ150&lt;=Hypothèses!$V$9,Hypothèses!$W$9,IF(BZ150&lt;=Hypothèses!$V$10,Hypothèses!$W$10,IF(BZ150&lt;=Hypothèses!$V$11,Hypothèses!$W$11,IF(BZ150&lt;=Hypothèses!$V$12,Hypothèses!$W$12,IF(BZ150&lt;=Hypothèses!$V$13,Hypothèses!$W$13,IF(BZ150&lt;=Hypothèses!$V$14,Hypothèses!$W$14,IF(BZ150&lt;=Hypothèses!$V$15,Hypothèses!$W$15,IF(BZ150&lt;=Hypothèses!$V$16,Hypothèses!$W$16,IF(BZ150&lt;=Hypothèses!$V$17,Hypothèses!$W$17,IF(BZ150&lt;=Hypothèses!$V$18,Hypothèses!$W$18,""))))))))))))</f>
        <v>#DIV/0!</v>
      </c>
      <c r="CU150" s="87" t="e">
        <f t="shared" ca="1" si="320"/>
        <v>#DIV/0!</v>
      </c>
      <c r="CV150" s="88" t="e">
        <f ca="1">IF(BZ150&lt;=Hypothèses!$V$7,Hypothèses!$X$7,IF(BZ150&lt;=Hypothèses!$V$8,Hypothèses!$X$8,IF(BZ150&lt;=Hypothèses!$V$9,Hypothèses!$X$9,IF(BZ150&lt;=Hypothèses!$V$10,Hypothèses!$X$10,IF(BZ150&lt;=Hypothèses!$V$11,Hypothèses!$X$11,IF(BZ150&lt;=Hypothèses!$V$12,Hypothèses!$X$12,IF(BZ150&lt;=Hypothèses!$V$13,Hypothèses!$X$13,IF(BZ150&lt;=Hypothèses!$V$14,Hypothèses!$X$14,IF(BZ150&lt;=Hypothèses!$V$15,Hypothèses!$X$15,IF(BZ150&lt;=Hypothèses!$V$16,Hypothèses!$X$16,IF(BZ150&lt;=Hypothèses!$U$17,Hypothèses!$W$17,IF(BZ150&lt;=Hypothèses!$U$18,Hypothèses!$W$18,""))))))))))))</f>
        <v>#DIV/0!</v>
      </c>
      <c r="CW150" s="95" t="e">
        <f t="shared" ca="1" si="285"/>
        <v>#DIV/0!</v>
      </c>
      <c r="CX150" s="101">
        <f t="shared" si="327"/>
        <v>0</v>
      </c>
      <c r="CY150" s="91">
        <f t="shared" si="252"/>
        <v>0</v>
      </c>
      <c r="CZ150" s="30" t="e">
        <f t="shared" si="308"/>
        <v>#N/A</v>
      </c>
      <c r="DA150" s="30" t="e">
        <f t="shared" si="309"/>
        <v>#N/A</v>
      </c>
      <c r="DB150" s="31" t="e">
        <f>IF(OR(Hypothèses!$B$4=17,Hypothèses!$B$4=18,Hypothèses!$B$4=19,Hypothèses!$B$4=20),
IF($D150="Pressio.",
IF(OR($E150=3,$E150=1,$E150=4),DA150,CZ150),
IF($D150="Pénétro.",
IF(OR($E150=3,$E150=1,$E150=4),DA150,CZ150))),IF($D150="Pressio.",
IF($E150=3,DA150,CZ150),
IF($D150="Pénétro.",
IF($E150=4,DA150,CZ150))))</f>
        <v>#N/A</v>
      </c>
      <c r="DC150" s="31">
        <v>0</v>
      </c>
      <c r="DD150" s="102" t="e">
        <f>IF(NDC!$H$10="Oui",(VLOOKUP($B$3,'Coeff EC7'!$T$39:$X$59,2,0)*DB150+VLOOKUP($B$3,'Coeff EC7'!$T$65:$X$85,2,0)*Model0.1T!DC150)/1.5,PI()*CZ$12*$Q150*($B150-$B149)*0.15/10+DD149)</f>
        <v>#N/A</v>
      </c>
      <c r="DE150" s="102" t="e">
        <f>(VLOOKUP($B$3,'Coeff EC7'!$T$39:$X$59,3,0)*DB150+VLOOKUP($B$3,'Coeff EC7'!$T$65:$X$85,3,0)*Model0.1T!DC150)/1.1</f>
        <v>#N/A</v>
      </c>
      <c r="DF150" s="102" t="e">
        <f t="shared" si="286"/>
        <v>#N/A</v>
      </c>
      <c r="DG150" s="102" t="e">
        <f t="shared" si="287"/>
        <v>#N/A</v>
      </c>
      <c r="DH150" s="414" t="e">
        <f>IF(AND(DD150&gt;NDC!$C$63,DE150&gt;NDC!$C$65,DF150&gt;NDC!$D$73,DG150&gt;NDC!$D$74,$B150&gt;NDC!$H$22-0.1+MIN(3*DH$12,1.5)),0,1)</f>
        <v>#N/A</v>
      </c>
      <c r="DI150" s="86" t="b">
        <f t="shared" si="253"/>
        <v>0</v>
      </c>
      <c r="DJ150" s="86">
        <f t="shared" si="254"/>
        <v>0.5</v>
      </c>
      <c r="DK150" s="86">
        <f t="shared" si="255"/>
        <v>0.5</v>
      </c>
      <c r="DL150" s="30" t="e">
        <f t="shared" ca="1" si="288"/>
        <v>#DIV/0!</v>
      </c>
      <c r="DM150" s="85" t="e">
        <f ca="1">IF(CS150&lt;=Hypothèses!$V$7,Hypothèses!$W$7,IF(CS150&lt;=Hypothèses!$V$8,Hypothèses!$W$8,IF(CS150&lt;=Hypothèses!$V$9,Hypothèses!$W$9,IF(CS150&lt;=Hypothèses!$V$10,Hypothèses!$W$10,IF(CS150&lt;=Hypothèses!$V$11,Hypothèses!$W$11,IF(CS150&lt;=Hypothèses!$V$12,Hypothèses!$W$12,IF(CS150&lt;=Hypothèses!$V$13,Hypothèses!$W$13,IF(CS150&lt;=Hypothèses!$V$14,Hypothèses!$W$14,IF(CS150&lt;=Hypothèses!$V$15,Hypothèses!$W$15,IF(CS150&lt;=Hypothèses!$V$16,Hypothèses!$W$16,IF(CS150&lt;=Hypothèses!$V$17,Hypothèses!$W$17,IF(CS150&lt;=Hypothèses!$V$18,Hypothèses!$W$18,""))))))))))))</f>
        <v>#DIV/0!</v>
      </c>
      <c r="DN150" s="87" t="e">
        <f t="shared" ca="1" si="321"/>
        <v>#DIV/0!</v>
      </c>
      <c r="DO150" s="88" t="e">
        <f ca="1">IF(CS150&lt;=Hypothèses!$V$7,Hypothèses!$X$7,IF(CS150&lt;=Hypothèses!$V$8,Hypothèses!$X$8,IF(CS150&lt;=Hypothèses!$V$9,Hypothèses!$X$9,IF(CS150&lt;=Hypothèses!$V$10,Hypothèses!$X$10,IF(CS150&lt;=Hypothèses!$V$11,Hypothèses!$X$11,IF(CS150&lt;=Hypothèses!$V$12,Hypothèses!$X$12,IF(CS150&lt;=Hypothèses!$V$13,Hypothèses!$X$13,IF(CS150&lt;=Hypothèses!$V$14,Hypothèses!$X$14,IF(CS150&lt;=Hypothèses!$V$15,Hypothèses!$X$15,IF(CS150&lt;=Hypothèses!$V$16,Hypothèses!$X$16,IF(CS150&lt;=Hypothèses!$U$17,Hypothèses!$W$17,IF(CS150&lt;=Hypothèses!$U$18,Hypothèses!$W$18,""))))))))))))</f>
        <v>#DIV/0!</v>
      </c>
      <c r="DP150" s="95" t="e">
        <f t="shared" ca="1" si="289"/>
        <v>#DIV/0!</v>
      </c>
      <c r="DQ150" s="101">
        <f t="shared" si="328"/>
        <v>0</v>
      </c>
      <c r="DR150" s="91">
        <f t="shared" si="256"/>
        <v>0</v>
      </c>
      <c r="DS150" s="30" t="e">
        <f t="shared" si="310"/>
        <v>#N/A</v>
      </c>
      <c r="DT150" s="30" t="e">
        <f t="shared" si="311"/>
        <v>#N/A</v>
      </c>
      <c r="DU150" s="31" t="e">
        <f>IF(OR(Hypothèses!$B$4=17,Hypothèses!$B$4=18,Hypothèses!$B$4=19,Hypothèses!$B$4=20),
IF($D150="Pressio.",
IF(OR($E150=3,$E150=1,$E150=4),DT150,DS150),
IF($D150="Pénétro.",
IF(OR($E150=3,$E150=1,$E150=4),DT150,DS150))),IF($D150="Pressio.",
IF($E150=3,DT150,DS150),
IF($D150="Pénétro.",
IF($E150=4,DT150,DS150))))</f>
        <v>#N/A</v>
      </c>
      <c r="DV150" s="31">
        <v>0</v>
      </c>
      <c r="DW150" s="102" t="e">
        <f>IF(NDC!$H$10="Oui",(VLOOKUP($B$3,'Coeff EC7'!$T$39:$X$59,2,0)*DU150+VLOOKUP($B$3,'Coeff EC7'!$T$65:$X$85,2,0)*Model0.1T!DV150)/1.5,PI()*DS$12*$Q150*($B150-$B149)*0.15/10+DW149)</f>
        <v>#N/A</v>
      </c>
      <c r="DX150" s="102" t="e">
        <f>(VLOOKUP($B$3,'Coeff EC7'!$T$39:$X$59,3,0)*DU150+VLOOKUP($B$3,'Coeff EC7'!$T$65:$X$85,3,0)*Model0.1T!DV150)/1.1</f>
        <v>#N/A</v>
      </c>
      <c r="DY150" s="102" t="e">
        <f t="shared" si="290"/>
        <v>#N/A</v>
      </c>
      <c r="DZ150" s="102" t="e">
        <f t="shared" si="291"/>
        <v>#N/A</v>
      </c>
      <c r="EA150" s="414" t="e">
        <f>IF(AND(DW150&gt;NDC!$C$63,DX150&gt;NDC!$C$65,DY150&gt;NDC!$D$73,DZ150&gt;NDC!$D$74,$B150&gt;NDC!$H$22-0.1+MIN(3*EA$12,1.5)),0,1)</f>
        <v>#N/A</v>
      </c>
      <c r="EB150" s="86" t="b">
        <f t="shared" si="257"/>
        <v>0</v>
      </c>
      <c r="EC150" s="418">
        <f t="shared" si="258"/>
        <v>0.51</v>
      </c>
      <c r="ED150" s="86">
        <f t="shared" si="259"/>
        <v>0.51</v>
      </c>
      <c r="EE150" s="30" t="e">
        <f t="shared" ca="1" si="292"/>
        <v>#DIV/0!</v>
      </c>
      <c r="EF150" s="85" t="e">
        <f ca="1">IF(DL150&lt;=Hypothèses!$V$7,Hypothèses!$W$7,IF(DL150&lt;=Hypothèses!$V$8,Hypothèses!$W$8,IF(DL150&lt;=Hypothèses!$V$9,Hypothèses!$W$9,IF(DL150&lt;=Hypothèses!$V$10,Hypothèses!$W$10,IF(DL150&lt;=Hypothèses!$V$11,Hypothèses!$W$11,IF(DL150&lt;=Hypothèses!$V$12,Hypothèses!$W$12,IF(DL150&lt;=Hypothèses!$V$13,Hypothèses!$W$13,IF(DL150&lt;=Hypothèses!$V$14,Hypothèses!$W$14,IF(DL150&lt;=Hypothèses!$V$15,Hypothèses!$W$15,IF(DL150&lt;=Hypothèses!$V$16,Hypothèses!$W$16,IF(DL150&lt;=Hypothèses!$V$17,Hypothèses!$W$17,IF(DL150&lt;=Hypothèses!$V$18,Hypothèses!$W$18,""))))))))))))</f>
        <v>#DIV/0!</v>
      </c>
      <c r="EG150" s="87" t="e">
        <f t="shared" ca="1" si="322"/>
        <v>#DIV/0!</v>
      </c>
      <c r="EH150" s="88" t="e">
        <f ca="1">IF(DL150&lt;=Hypothèses!$V$7,Hypothèses!$X$7,IF(DL150&lt;=Hypothèses!$V$8,Hypothèses!$X$8,IF(DL150&lt;=Hypothèses!$V$9,Hypothèses!$X$9,IF(DL150&lt;=Hypothèses!$V$10,Hypothèses!$X$10,IF(DL150&lt;=Hypothèses!$V$11,Hypothèses!$X$11,IF(DL150&lt;=Hypothèses!$V$12,Hypothèses!$X$12,IF(DL150&lt;=Hypothèses!$V$13,Hypothèses!$X$13,IF(DL150&lt;=Hypothèses!$V$14,Hypothèses!$X$14,IF(DL150&lt;=Hypothèses!$V$15,Hypothèses!$X$15,IF(DL150&lt;=Hypothèses!$V$16,Hypothèses!$X$16,IF(DL150&lt;=Hypothèses!$U$17,Hypothèses!$W$17,IF(DL150&lt;=Hypothèses!$U$18,Hypothèses!$W$18,""))))))))))))</f>
        <v>#DIV/0!</v>
      </c>
      <c r="EI150" s="95" t="e">
        <f t="shared" ca="1" si="293"/>
        <v>#DIV/0!</v>
      </c>
      <c r="EJ150" s="101">
        <f t="shared" si="329"/>
        <v>0</v>
      </c>
      <c r="EK150" s="91">
        <f t="shared" si="260"/>
        <v>0</v>
      </c>
      <c r="EL150" s="30" t="e">
        <f t="shared" si="312"/>
        <v>#N/A</v>
      </c>
      <c r="EM150" s="30" t="e">
        <f t="shared" si="313"/>
        <v>#N/A</v>
      </c>
      <c r="EN150" s="31" t="e">
        <f>IF(OR(Hypothèses!$B$4=17,Hypothèses!$B$4=18,Hypothèses!$B$4=19,Hypothèses!$B$4=20),
IF($D150="Pressio.",
IF(OR($E150=3,$E150=1,$E150=4),EM150,EL150),
IF($D150="Pénétro.",
IF(OR($E150=3,$E150=1,$E150=4),EM150,EL150))),IF($D150="Pressio.",
IF($E150=3,EM150,EL150),
IF($D150="Pénétro.",
IF($E150=4,EM150,EL150))))</f>
        <v>#N/A</v>
      </c>
      <c r="EO150" s="31">
        <v>0</v>
      </c>
      <c r="EP150" s="102" t="e">
        <f>IF(NDC!$H$10="Oui",(VLOOKUP($B$3,'Coeff EC7'!$T$39:$X$59,2,0)*EN150+VLOOKUP($B$3,'Coeff EC7'!$T$65:$X$85,2,0)*Model0.1T!EO150)/1.5,PI()*EL$12*$Q150*($B150-$B149)*0.15/10+EP149)</f>
        <v>#N/A</v>
      </c>
      <c r="EQ150" s="102" t="e">
        <f>(VLOOKUP($B$3,'Coeff EC7'!$T$39:$X$59,3,0)*EN150+VLOOKUP($B$3,'Coeff EC7'!$T$65:$X$85,3,0)*Model0.1T!EO150)/1.1</f>
        <v>#N/A</v>
      </c>
      <c r="ER150" s="102" t="e">
        <f t="shared" si="294"/>
        <v>#N/A</v>
      </c>
      <c r="ES150" s="102" t="e">
        <f t="shared" si="295"/>
        <v>#N/A</v>
      </c>
      <c r="ET150" s="414" t="e">
        <f>IF(AND(EP150&gt;NDC!$C$63,EQ150&gt;NDC!$C$65,ER150&gt;NDC!$D$73,ES150&gt;NDC!$D$74,$B150&gt;NDC!$H$22-0.1+MIN(3*ET$12,1.5)),0,1)</f>
        <v>#N/A</v>
      </c>
      <c r="EU150" s="86" t="b">
        <f t="shared" si="261"/>
        <v>0</v>
      </c>
      <c r="EV150" s="86">
        <f t="shared" si="262"/>
        <v>0.61</v>
      </c>
      <c r="EW150" s="86">
        <f t="shared" si="263"/>
        <v>0.61</v>
      </c>
      <c r="EX150" s="30" t="e">
        <f t="shared" ca="1" si="296"/>
        <v>#DIV/0!</v>
      </c>
      <c r="EY150" s="85" t="e">
        <f ca="1">IF(EE150&lt;=Hypothèses!$V$7,Hypothèses!$W$7,IF(EE150&lt;=Hypothèses!$V$8,Hypothèses!$W$8,IF(EE150&lt;=Hypothèses!$V$9,Hypothèses!$W$9,IF(EE150&lt;=Hypothèses!$V$10,Hypothèses!$W$10,IF(EE150&lt;=Hypothèses!$V$11,Hypothèses!$W$11,IF(EE150&lt;=Hypothèses!$V$12,Hypothèses!$W$12,IF(EE150&lt;=Hypothèses!$V$13,Hypothèses!$W$13,IF(EE150&lt;=Hypothèses!$V$14,Hypothèses!$W$14,IF(EE150&lt;=Hypothèses!$V$15,Hypothèses!$W$15,IF(EE150&lt;=Hypothèses!$V$16,Hypothèses!$W$16,IF(EE150&lt;=Hypothèses!$V$17,Hypothèses!$W$17,IF(EE150&lt;=Hypothèses!$V$18,Hypothèses!$W$18,""))))))))))))</f>
        <v>#DIV/0!</v>
      </c>
      <c r="EZ150" s="87" t="e">
        <f t="shared" ca="1" si="323"/>
        <v>#DIV/0!</v>
      </c>
      <c r="FA150" s="88" t="e">
        <f ca="1">IF(EE150&lt;=Hypothèses!$V$7,Hypothèses!$X$7,IF(EE150&lt;=Hypothèses!$V$8,Hypothèses!$X$8,IF(EE150&lt;=Hypothèses!$V$9,Hypothèses!$X$9,IF(EE150&lt;=Hypothèses!$V$10,Hypothèses!$X$10,IF(EE150&lt;=Hypothèses!$V$11,Hypothèses!$X$11,IF(EE150&lt;=Hypothèses!$V$12,Hypothèses!$X$12,IF(EE150&lt;=Hypothèses!$V$13,Hypothèses!$X$13,IF(EE150&lt;=Hypothèses!$V$14,Hypothèses!$X$14,IF(EE150&lt;=Hypothèses!$V$15,Hypothèses!$X$15,IF(EE150&lt;=Hypothèses!$V$16,Hypothèses!$X$16,IF(EE150&lt;=Hypothèses!$U$17,Hypothèses!$W$17,IF(EE150&lt;=Hypothèses!$U$18,Hypothèses!$W$18,""))))))))))))</f>
        <v>#DIV/0!</v>
      </c>
      <c r="FB150" s="95" t="e">
        <f t="shared" ca="1" si="297"/>
        <v>#DIV/0!</v>
      </c>
      <c r="FC150" s="101">
        <f t="shared" si="330"/>
        <v>0</v>
      </c>
      <c r="FD150" s="91">
        <f t="shared" si="264"/>
        <v>0</v>
      </c>
      <c r="FE150" s="30" t="e">
        <f t="shared" si="314"/>
        <v>#N/A</v>
      </c>
      <c r="FF150" s="30" t="e">
        <f t="shared" si="315"/>
        <v>#N/A</v>
      </c>
      <c r="FG150" s="31" t="e">
        <f>IF(OR(Hypothèses!$B$4=17,Hypothèses!$B$4=18,Hypothèses!$B$4=19,Hypothèses!$B$4=20),
IF($D150="Pressio.",
IF(OR($E150=3,$E150=1,$E150=4),FF150,FE150),
IF($D150="Pénétro.",
IF(OR($E150=3,$E150=1,$E150=4),FF150,FE150))),IF($D150="Pressio.",
IF($E150=3,FF150,FE150),
IF($D150="Pénétro.",
IF($E150=4,FF150,FE150))))</f>
        <v>#N/A</v>
      </c>
      <c r="FH150" s="31">
        <v>0</v>
      </c>
      <c r="FI150" s="102" t="e">
        <f>IF(NDC!$H$10="Oui",(VLOOKUP($B$3,'Coeff EC7'!$T$39:$X$59,2,0)*FG150+VLOOKUP($B$3,'Coeff EC7'!$T$65:$X$85,2,0)*Model0.1T!FH150)/1.5,PI()*FE$12*$Q150*($B150-$B149)*0.15/10+FI149)</f>
        <v>#N/A</v>
      </c>
      <c r="FJ150" s="102" t="e">
        <f>(VLOOKUP($B$3,'Coeff EC7'!$T$39:$X$59,3,0)*FG150+VLOOKUP($B$3,'Coeff EC7'!$T$65:$X$85,3,0)*Model0.1T!FH150)/1.1</f>
        <v>#N/A</v>
      </c>
      <c r="FK150" s="102" t="e">
        <f t="shared" si="298"/>
        <v>#N/A</v>
      </c>
      <c r="FL150" s="102" t="e">
        <f t="shared" si="299"/>
        <v>#N/A</v>
      </c>
      <c r="FM150" s="414" t="e">
        <f>IF(AND(FI150&gt;NDC!$C$63,FJ150&gt;NDC!$C$65,FK150&gt;NDC!$D$73,FL150&gt;NDC!$D$74,$B150&gt;NDC!$H$22-0.1+MIN(3*FM$12,1.5)),0,1)</f>
        <v>#N/A</v>
      </c>
    </row>
    <row r="151" spans="1:169">
      <c r="A151" s="96">
        <f t="shared" si="265"/>
        <v>86.200000000000784</v>
      </c>
      <c r="B151" s="97">
        <v>13.8</v>
      </c>
      <c r="C151" s="81">
        <f>IF(B151&lt;=Hypothèses!$C$7,Hypothèses!$A$7,IF(B151&lt;=Hypothèses!$C$8,Hypothèses!$A$8,IF(B151&lt;=Hypothèses!$C$9,Hypothèses!$A$9,IF(B151&lt;=Hypothèses!$C$10,Hypothèses!$A$10,IF(B151&lt;=Hypothèses!$C$11,Hypothèses!$A$11,IF(B151&lt;=Hypothèses!$C$12,Hypothèses!$A$12,IF(B151&lt;=Hypothèses!$C$13,Hypothèses!$A$13,IF(B151&lt;=Hypothèses!$C$14,Hypothèses!$A$14,IF(B151&lt;=Hypothèses!$C$15,Hypothèses!$A$15,IF(B151&lt;=Hypothèses!$C$16,Hypothèses!$A$16,IF(B151&lt;=Hypothèses!$C$17,Hypothèses!$A$17,IF(B151&lt;=Hypothèses!$C$18,Hypothèses!$A$18,C150))))))))))))</f>
        <v>11</v>
      </c>
      <c r="D151" s="82" t="str">
        <f>IF(B151&lt;=Hypothèses!$C$7,Hypothèses!$R$7,IF(B151&lt;=Hypothèses!$C$8,Hypothèses!$R$8,IF(B151&lt;=Hypothèses!$C$9,Hypothèses!$R$9,IF(B151&lt;=Hypothèses!$C$10,Hypothèses!$R$10,IF(B151&lt;=Hypothèses!$C$11,Hypothèses!$R$11,IF(B151&lt;=Hypothèses!$C$12,Hypothèses!$R$12,IF(B151&lt;=Hypothèses!$C$13,Hypothèses!$R$13,IF(B151&lt;=Hypothèses!$C$14,Hypothèses!$R$14,IF(B151&lt;=Hypothèses!$C$15,Hypothèses!$R$15,IF(B151&lt;=Hypothèses!$C$16,Hypothèses!$R$16,IF(B151&lt;=Hypothèses!$C$17,Hypothèses!$R$17,IF(B151&lt;=Hypothèses!$C$18,Hypothèses!$R$18,D150))))))))))))</f>
        <v>Pressio.</v>
      </c>
      <c r="E151" s="82" t="e">
        <f>IF(B151&lt;=Hypothèses!$C$7,Hypothèses!$G$7,IF(B151&lt;=Hypothèses!$C$8,Hypothèses!$G$8,IF(B151&lt;=Hypothèses!$C$9,Hypothèses!$G$9,IF(B151&lt;=Hypothèses!$C$10,Hypothèses!$G$10,IF(B151&lt;=Hypothèses!$C$11,Hypothèses!$G$11,IF(B151&lt;=Hypothèses!$C$12,Hypothèses!$G$12,IF(B151&lt;=Hypothèses!$C$13,Hypothèses!$G$13,IF(B151&lt;=Hypothèses!$C$14,Hypothèses!$G$14,IF(B151&lt;=Hypothèses!$C$15,Hypothèses!$G$15,IF(B151&lt;=Hypothèses!$C$16,Hypothèses!$G$16,IF(B151&lt;=Hypothèses!$C$17,Hypothèses!$G$17,IF(B151&lt;=Hypothèses!$C$18,Hypothèses!$G$18,E150))))))))))))</f>
        <v>#N/A</v>
      </c>
      <c r="F151" s="82" t="str">
        <f>IF(B151&lt;=Hypothèses!$C$7,Hypothèses!$F$7,IF(B151&lt;=Hypothèses!$C$8,Hypothèses!$F$8,IF(B151&lt;=Hypothèses!$C$9,Hypothèses!$F$9,IF(B151&lt;=Hypothèses!$C$10,Hypothèses!$F$10,IF(B151&lt;=Hypothèses!$C$11,Hypothèses!$F$11,IF(B151&lt;=Hypothèses!$C$12,Hypothèses!$F$12,IF(B151&lt;=Hypothèses!$C$13,Hypothèses!$F$13,IF(B151&lt;=Hypothèses!$C$14,Hypothèses!$F$14,IF(B151&lt;=Hypothèses!$C$15,Hypothèses!$F$15,IF(B151&lt;=Hypothèses!$C$16,Hypothèses!$F$16,IF(B151&lt;=Hypothèses!$C$17,Hypothèses!$F$17,IF(B151&lt;=Hypothèses!$C$18,Hypothèses!$F$18,F150))))))))))))</f>
        <v/>
      </c>
      <c r="G151" s="91">
        <f t="array" ref="G151">INDEX('Coeff EC7'!$U$7:$X$27,
MATCH(Model0.1T!$B$3,'Coeff EC7'!$T$7:$T$27,0),
MATCH(Model0.1T!$D151&amp;Model0.1T!$B$4,
'Coeff EC7'!$U$6:$X$6&amp;
'Coeff EC7'!$U$5:$X$5,0))</f>
        <v>1.4</v>
      </c>
      <c r="H151" s="91">
        <f t="array" ref="H151">INDEX('Coeff EC7'!$Y$7:$AB$27,
MATCH(Model0.1T!$B$3,'Coeff EC7'!$T$7:$T$27,0),
MATCH(Model0.1T!$D151&amp;Model0.1T!$B$4,
'Coeff EC7'!$Y$6:$AB$6&amp;
'Coeff EC7'!$Y$5:$AB$5,0))</f>
        <v>1.7</v>
      </c>
      <c r="I151" s="83">
        <v>0</v>
      </c>
      <c r="J151" s="91" t="e">
        <f t="array" ref="J151">INDEX('Coeff EC7'!$D$33:$Q$33,1,MATCH(D151&amp;E151,'Coeff EC7'!$D$31:$Q$31&amp;'Coeff EC7'!$D$32:$Q$32,0))</f>
        <v>#N/A</v>
      </c>
      <c r="K151" s="91" t="e">
        <f t="array" ref="K151">INDEX('Coeff EC7'!$D$34:$Q$34,1,MATCH(D151&amp;E151,'Coeff EC7'!$D$31:$Q$31&amp;'Coeff EC7'!$D$32:$Q$32,0))</f>
        <v>#N/A</v>
      </c>
      <c r="L151" s="91" t="e">
        <f t="array" ref="L151">INDEX('Coeff EC7'!$D$35:$Q$35,1,MATCH(D151&amp;E151,'Coeff EC7'!$D$31:$Q$31&amp;'Coeff EC7'!$D$32:$Q$32,0))</f>
        <v>#N/A</v>
      </c>
      <c r="M151" s="98" t="e">
        <f t="shared" si="231"/>
        <v>#N/A</v>
      </c>
      <c r="N151" s="99" t="e">
        <f t="array" ref="N151">INDEX('Coeff EC7'!$D$7:$Q$27,MATCH($B$3,'Coeff EC7'!$C$7:$C$27,0),MATCH(D151&amp;E151,'Coeff EC7'!$D$5:$Q$5&amp;'Coeff EC7'!$D$6:$Q$6,0))</f>
        <v>#N/A</v>
      </c>
      <c r="O151" s="99" t="e">
        <f t="array" ref="O151">INDEX('Coeff EC7'!$D$41:$Q$61,MATCH($B$3,'Coeff EC7'!$C$41:$C$61,0),MATCH(D151&amp;E151,'Coeff EC7'!$D$39:$Q$39&amp;'Coeff EC7'!$D$40:$Q$40,0))</f>
        <v>#N/A</v>
      </c>
      <c r="P151" s="30" t="e">
        <f t="shared" si="266"/>
        <v>#N/A</v>
      </c>
      <c r="Q151" s="100" t="e">
        <f t="shared" si="233"/>
        <v>#N/A</v>
      </c>
      <c r="R151" s="86" t="b">
        <f t="shared" si="234"/>
        <v>0</v>
      </c>
      <c r="S151" s="86">
        <f t="shared" si="232"/>
        <v>0.5</v>
      </c>
      <c r="T151" s="86">
        <f t="shared" si="235"/>
        <v>0.5</v>
      </c>
      <c r="U151" s="30" t="e">
        <f t="shared" ca="1" si="267"/>
        <v>#DIV/0!</v>
      </c>
      <c r="V151" s="85" t="str">
        <f>IF(B151&lt;=Hypothèses!$V$7,Hypothèses!$W$7,IF(B151&lt;=Hypothèses!$V$8,Hypothèses!$W$8,IF(B151&lt;=Hypothèses!$V$9,Hypothèses!$W$9,IF(B151&lt;=Hypothèses!$V$10,Hypothèses!$W$10,IF(B151&lt;=Hypothèses!$V$11,Hypothèses!$W$11,IF(B151&lt;=Hypothèses!$V$12,Hypothèses!$W$12,IF(B151&lt;=Hypothèses!$V$13,Hypothèses!$W$13,IF(B151&lt;=Hypothèses!$V$14,Hypothèses!$W$14,IF(B151&lt;=Hypothèses!$V$15,Hypothèses!$W$15,IF(B151&lt;=Hypothèses!$V$16,Hypothèses!$W$16,IF(B151&lt;=Hypothèses!$V$17,Hypothèses!$W$17,IF(B151&lt;=Hypothèses!$V$18,Hypothèses!$W$18,""))))))))))))</f>
        <v/>
      </c>
      <c r="W151" s="87" t="e">
        <f t="shared" ca="1" si="316"/>
        <v>#DIV/0!</v>
      </c>
      <c r="X151" s="88" t="str">
        <f>IF(B151&lt;=Hypothèses!$V$7,Hypothèses!$X$7,IF(B151&lt;=Hypothèses!$V$8,Hypothèses!$X$8,IF(B151&lt;=Hypothèses!$V$9,Hypothèses!$X$9,IF(B151&lt;=Hypothèses!$V$10,Hypothèses!$X$10,IF(B151&lt;=Hypothèses!$V$11,Hypothèses!$X$11,IF(B151&lt;=Hypothèses!$V$12,Hypothèses!$X$12,IF(B151&lt;=Hypothèses!$V$13,Hypothèses!$X$13,IF(B151&lt;=Hypothèses!$V$14,Hypothèses!$X$14,IF(B151&lt;=Hypothèses!$V$15,Hypothèses!$X$15,IF(B151&lt;=Hypothèses!$V$16,Hypothèses!$X$16,IF(B151&lt;=Hypothèses!$U$17,Hypothèses!$W$17,IF(B151&lt;=Hypothèses!$U$18,Hypothèses!$W$18,""))))))))))))</f>
        <v/>
      </c>
      <c r="Y151" s="95" t="e">
        <f t="shared" ca="1" si="236"/>
        <v>#DIV/0!</v>
      </c>
      <c r="Z151" s="101">
        <f t="shared" si="237"/>
        <v>0</v>
      </c>
      <c r="AA151" s="91">
        <f t="shared" si="238"/>
        <v>0</v>
      </c>
      <c r="AB151" s="30" t="e">
        <f t="shared" si="300"/>
        <v>#N/A</v>
      </c>
      <c r="AC151" s="30" t="e">
        <f t="shared" si="301"/>
        <v>#N/A</v>
      </c>
      <c r="AD151" s="31" t="e">
        <f>IF(OR(Hypothèses!$B$4=17,Hypothèses!$B$4=18,Hypothèses!$B$4=19,Hypothèses!$B$4=20),
IF($D151="Pressio.",
IF(OR($E151=3,$E151=1,$E151=4),AC151,AB151),
IF($D151="Pénétro.",
IF(OR($E151=3,$E151=1,$E151=4),AC151,AB151))),IF($D151="Pressio.",
IF($E151=3,AC151,AB151),
IF($D151="Pénétro.",
IF($E151=4,AC151,AB151))))</f>
        <v>#N/A</v>
      </c>
      <c r="AE151" s="31">
        <v>0</v>
      </c>
      <c r="AF151" s="102" t="e">
        <f>IF(NDC!$H$10="Oui",(VLOOKUP($B$3,'Coeff EC7'!$T$39:$X$59,2,0)*AD151+VLOOKUP($B$3,'Coeff EC7'!$T$65:$X$85,2,0)*Model0.1T!AE151)/1.5,PI()*AB$12*$Q151*($B151-$B150)*0.15/10+AF150)</f>
        <v>#N/A</v>
      </c>
      <c r="AG151" s="102" t="e">
        <f>(VLOOKUP($B$3,'Coeff EC7'!$T$39:$X$59,3,0)*AD151+VLOOKUP($B$3,'Coeff EC7'!$T$65:$X$85,3,0)*Model0.1T!AE151)/1.1</f>
        <v>#N/A</v>
      </c>
      <c r="AH151" s="102" t="e">
        <f t="shared" si="268"/>
        <v>#N/A</v>
      </c>
      <c r="AI151" s="102" t="e">
        <f t="shared" si="269"/>
        <v>#N/A</v>
      </c>
      <c r="AJ151" s="414" t="e">
        <f>IF(AND(AF151&gt;NDC!$C$63,AG151&gt;NDC!$C$65,AH151&gt;NDC!$D$73,AI151&gt;NDC!$D$74,$B151&gt;NDC!$H$22-0.1+MIN(3*$AJ$12,1.5)),0,1)</f>
        <v>#N/A</v>
      </c>
      <c r="AK151" s="86" t="b">
        <f t="shared" si="239"/>
        <v>0</v>
      </c>
      <c r="AL151" s="86">
        <f t="shared" si="270"/>
        <v>0.5</v>
      </c>
      <c r="AM151" s="86">
        <f t="shared" si="240"/>
        <v>0.5</v>
      </c>
      <c r="AN151" s="30" t="e">
        <f t="shared" ca="1" si="271"/>
        <v>#DIV/0!</v>
      </c>
      <c r="AO151" s="85" t="e">
        <f ca="1">IF(U151&lt;=Hypothèses!$V$7,Hypothèses!$W$7,IF(U151&lt;=Hypothèses!$V$8,Hypothèses!$W$8,IF(U151&lt;=Hypothèses!$V$9,Hypothèses!$W$9,IF(U151&lt;=Hypothèses!$V$10,Hypothèses!$W$10,IF(U151&lt;=Hypothèses!$V$11,Hypothèses!$W$11,IF(U151&lt;=Hypothèses!$V$12,Hypothèses!$W$12,IF(U151&lt;=Hypothèses!$V$13,Hypothèses!$W$13,IF(U151&lt;=Hypothèses!$V$14,Hypothèses!$W$14,IF(U151&lt;=Hypothèses!$V$15,Hypothèses!$W$15,IF(U151&lt;=Hypothèses!$V$16,Hypothèses!$W$16,IF(U151&lt;=Hypothèses!$V$17,Hypothèses!$W$17,IF(U151&lt;=Hypothèses!$V$18,Hypothèses!$W$18,""))))))))))))</f>
        <v>#DIV/0!</v>
      </c>
      <c r="AP151" s="87" t="e">
        <f t="shared" ca="1" si="317"/>
        <v>#DIV/0!</v>
      </c>
      <c r="AQ151" s="88" t="e">
        <f ca="1">IF(U151&lt;=Hypothèses!$V$7,Hypothèses!$X$7,IF(U151&lt;=Hypothèses!$V$8,Hypothèses!$X$8,IF(U151&lt;=Hypothèses!$V$9,Hypothèses!$X$9,IF(U151&lt;=Hypothèses!$V$10,Hypothèses!$X$10,IF(U151&lt;=Hypothèses!$V$11,Hypothèses!$X$11,IF(U151&lt;=Hypothèses!$V$12,Hypothèses!$X$12,IF(U151&lt;=Hypothèses!$V$13,Hypothèses!$X$13,IF(U151&lt;=Hypothèses!$V$14,Hypothèses!$X$14,IF(U151&lt;=Hypothèses!$V$15,Hypothèses!$X$15,IF(U151&lt;=Hypothèses!$V$16,Hypothèses!$X$16,IF(U151&lt;=Hypothèses!$U$17,Hypothèses!$W$17,IF(U151&lt;=Hypothèses!$U$18,Hypothèses!$W$18,""))))))))))))</f>
        <v>#DIV/0!</v>
      </c>
      <c r="AR151" s="95" t="e">
        <f t="shared" ca="1" si="272"/>
        <v>#DIV/0!</v>
      </c>
      <c r="AS151" s="101">
        <f t="shared" si="324"/>
        <v>0</v>
      </c>
      <c r="AT151" s="91">
        <f t="shared" si="241"/>
        <v>0</v>
      </c>
      <c r="AU151" s="30" t="e">
        <f t="shared" si="302"/>
        <v>#N/A</v>
      </c>
      <c r="AV151" s="30" t="e">
        <f t="shared" si="303"/>
        <v>#N/A</v>
      </c>
      <c r="AW151" s="31" t="e">
        <f>IF(OR(Hypothèses!$B$4=17,Hypothèses!$B$4=18,Hypothèses!$B$4=19,Hypothèses!$B$4=20),
IF($D151="Pressio.",
IF(OR($E151=3,$E151=1,$E151=4),AV151,AU151),
IF($D151="Pénétro.",
IF(OR($E151=3,$E151=1,$E151=4),AV151,AU151))),IF($D151="Pressio.",
IF($E151=3,AV151,AU151),
IF($D151="Pénétro.",
IF($E151=4,AV151,AU151))))</f>
        <v>#N/A</v>
      </c>
      <c r="AX151" s="31">
        <v>0</v>
      </c>
      <c r="AY151" s="102" t="e">
        <f>IF(NDC!$H$10="Oui",(VLOOKUP($B$3,'Coeff EC7'!$T$39:$X$59,2,0)*AW151+VLOOKUP($B$3,'Coeff EC7'!$T$65:$X$85,2,0)*Model0.1T!AX151)/1.5,PI()*AU$12*$Q151*($B151-$B150)*0.15/10+AY150)</f>
        <v>#N/A</v>
      </c>
      <c r="AZ151" s="102" t="e">
        <f>(VLOOKUP($B$3,'Coeff EC7'!$T$39:$X$59,3,0)*AW151+VLOOKUP($B$3,'Coeff EC7'!$T$65:$X$85,3,0)*Model0.1T!AX151)/1.1</f>
        <v>#N/A</v>
      </c>
      <c r="BA151" s="102" t="e">
        <f t="shared" si="273"/>
        <v>#N/A</v>
      </c>
      <c r="BB151" s="102" t="e">
        <f t="shared" si="274"/>
        <v>#N/A</v>
      </c>
      <c r="BC151" s="414" t="e">
        <f>IF(AND(AY151&gt;NDC!$C$63,AZ151&gt;NDC!$C$65,BA151&gt;NDC!$D$73,BB151&gt;NDC!$D$74,$B151&gt;NDC!$H$22-0.1+MIN(3*BC$12,1.5)),0,1)</f>
        <v>#N/A</v>
      </c>
      <c r="BD151" s="86" t="b">
        <f t="shared" si="242"/>
        <v>0</v>
      </c>
      <c r="BE151" s="86">
        <f t="shared" si="275"/>
        <v>0.5</v>
      </c>
      <c r="BF151" s="86">
        <f t="shared" si="243"/>
        <v>0.5</v>
      </c>
      <c r="BG151" s="30" t="e">
        <f t="shared" ca="1" si="276"/>
        <v>#DIV/0!</v>
      </c>
      <c r="BH151" s="85" t="e">
        <f ca="1">IF(AN151&lt;=Hypothèses!$V$7,Hypothèses!$W$7,IF(AN151&lt;=Hypothèses!$V$8,Hypothèses!$W$8,IF(AN151&lt;=Hypothèses!$V$9,Hypothèses!$W$9,IF(AN151&lt;=Hypothèses!$V$10,Hypothèses!$W$10,IF(AN151&lt;=Hypothèses!$V$11,Hypothèses!$W$11,IF(AN151&lt;=Hypothèses!$V$12,Hypothèses!$W$12,IF(AN151&lt;=Hypothèses!$V$13,Hypothèses!$W$13,IF(AN151&lt;=Hypothèses!$V$14,Hypothèses!$W$14,IF(AN151&lt;=Hypothèses!$V$15,Hypothèses!$W$15,IF(AN151&lt;=Hypothèses!$V$16,Hypothèses!$W$16,IF(AN151&lt;=Hypothèses!$V$17,Hypothèses!$W$17,IF(AN151&lt;=Hypothèses!$V$18,Hypothèses!$W$18,""))))))))))))</f>
        <v>#DIV/0!</v>
      </c>
      <c r="BI151" s="87" t="e">
        <f t="shared" ca="1" si="318"/>
        <v>#DIV/0!</v>
      </c>
      <c r="BJ151" s="88" t="e">
        <f ca="1">IF(AN151&lt;=Hypothèses!$V$7,Hypothèses!$X$7,IF(AN151&lt;=Hypothèses!$V$8,Hypothèses!$X$8,IF(AN151&lt;=Hypothèses!$V$9,Hypothèses!$X$9,IF(AN151&lt;=Hypothèses!$V$10,Hypothèses!$X$10,IF(AN151&lt;=Hypothèses!$V$11,Hypothèses!$X$11,IF(AN151&lt;=Hypothèses!$V$12,Hypothèses!$X$12,IF(AN151&lt;=Hypothèses!$V$13,Hypothèses!$X$13,IF(AN151&lt;=Hypothèses!$V$14,Hypothèses!$X$14,IF(AN151&lt;=Hypothèses!$V$15,Hypothèses!$X$15,IF(AN151&lt;=Hypothèses!$V$16,Hypothèses!$X$16,IF(AN151&lt;=Hypothèses!$U$17,Hypothèses!$W$17,IF(AN151&lt;=Hypothèses!$U$18,Hypothèses!$W$18,""))))))))))))</f>
        <v>#DIV/0!</v>
      </c>
      <c r="BK151" s="95" t="e">
        <f t="shared" ca="1" si="277"/>
        <v>#DIV/0!</v>
      </c>
      <c r="BL151" s="101">
        <f t="shared" si="325"/>
        <v>0</v>
      </c>
      <c r="BM151" s="91">
        <f t="shared" si="244"/>
        <v>0</v>
      </c>
      <c r="BN151" s="30" t="e">
        <f t="shared" si="304"/>
        <v>#N/A</v>
      </c>
      <c r="BO151" s="30" t="e">
        <f t="shared" si="305"/>
        <v>#N/A</v>
      </c>
      <c r="BP151" s="31" t="e">
        <f>IF(OR(Hypothèses!$B$4=17,Hypothèses!$B$4=18,Hypothèses!$B$4=19,Hypothèses!$B$4=20),
IF($D151="Pressio.",
IF(OR($E151=3,$E151=1,$E151=4),BO151,BN151),
IF($D151="Pénétro.",
IF(OR($E151=3,$E151=1,$E151=4),BO151,BN151))),IF($D151="Pressio.",
IF($E151=3,BO151,BN151),
IF($D151="Pénétro.",
IF($E151=4,BO151,BN151))))</f>
        <v>#N/A</v>
      </c>
      <c r="BQ151" s="31">
        <v>0</v>
      </c>
      <c r="BR151" s="102" t="e">
        <f>IF(NDC!$H$10="Oui",(VLOOKUP($B$3,'Coeff EC7'!$T$39:$X$59,2,0)*BP151+VLOOKUP($B$3,'Coeff EC7'!$T$65:$X$85,2,0)*Model0.1T!BQ151)/1.5,PI()*BN$12*$Q151*($B151-$B150)*0.15/10+BR150)</f>
        <v>#N/A</v>
      </c>
      <c r="BS151" s="102" t="e">
        <f>(VLOOKUP($B$3,'Coeff EC7'!$T$39:$X$59,3,0)*BP151+VLOOKUP($B$3,'Coeff EC7'!$T$65:$X$85,3,0)*Model0.1T!BQ151)/1.1</f>
        <v>#N/A</v>
      </c>
      <c r="BT151" s="102" t="e">
        <f t="shared" si="278"/>
        <v>#N/A</v>
      </c>
      <c r="BU151" s="102" t="e">
        <f t="shared" si="279"/>
        <v>#N/A</v>
      </c>
      <c r="BV151" s="414" t="e">
        <f>IF(AND(BR151&gt;NDC!$C$63,BS151&gt;NDC!$C$65,BT151&gt;NDC!$D$73,BU151&gt;NDC!$D$74,$B151&gt;NDC!$H$22-0.1+MIN(3*BV$12,1.5)),0,1)</f>
        <v>#N/A</v>
      </c>
      <c r="BW151" s="86" t="b">
        <f t="shared" si="245"/>
        <v>0</v>
      </c>
      <c r="BX151" s="86">
        <f t="shared" si="246"/>
        <v>0.5</v>
      </c>
      <c r="BY151" s="86">
        <f t="shared" si="247"/>
        <v>0.5</v>
      </c>
      <c r="BZ151" s="30" t="e">
        <f t="shared" ca="1" si="280"/>
        <v>#DIV/0!</v>
      </c>
      <c r="CA151" s="85" t="e">
        <f ca="1">IF(BG151&lt;=Hypothèses!$V$7,Hypothèses!$W$7,IF(BG151&lt;=Hypothèses!$V$8,Hypothèses!$W$8,IF(BG151&lt;=Hypothèses!$V$9,Hypothèses!$W$9,IF(BG151&lt;=Hypothèses!$V$10,Hypothèses!$W$10,IF(BG151&lt;=Hypothèses!$V$11,Hypothèses!$W$11,IF(BG151&lt;=Hypothèses!$V$12,Hypothèses!$W$12,IF(BG151&lt;=Hypothèses!$V$13,Hypothèses!$W$13,IF(BG151&lt;=Hypothèses!$V$14,Hypothèses!$W$14,IF(BG151&lt;=Hypothèses!$V$15,Hypothèses!$W$15,IF(BG151&lt;=Hypothèses!$V$16,Hypothèses!$W$16,IF(BG151&lt;=Hypothèses!$V$17,Hypothèses!$W$17,IF(BG151&lt;=Hypothèses!$V$18,Hypothèses!$W$18,""))))))))))))</f>
        <v>#DIV/0!</v>
      </c>
      <c r="CB151" s="87" t="e">
        <f t="shared" ca="1" si="319"/>
        <v>#DIV/0!</v>
      </c>
      <c r="CC151" s="88" t="e">
        <f ca="1">IF(BG151&lt;=Hypothèses!$V$7,Hypothèses!$X$7,IF(BG151&lt;=Hypothèses!$V$8,Hypothèses!$X$8,IF(BG151&lt;=Hypothèses!$V$9,Hypothèses!$X$9,IF(BG151&lt;=Hypothèses!$V$10,Hypothèses!$X$10,IF(BG151&lt;=Hypothèses!$V$11,Hypothèses!$X$11,IF(BG151&lt;=Hypothèses!$V$12,Hypothèses!$X$12,IF(BG151&lt;=Hypothèses!$V$13,Hypothèses!$X$13,IF(BG151&lt;=Hypothèses!$V$14,Hypothèses!$X$14,IF(BG151&lt;=Hypothèses!$V$15,Hypothèses!$X$15,IF(BG151&lt;=Hypothèses!$V$16,Hypothèses!$X$16,IF(BG151&lt;=Hypothèses!$U$17,Hypothèses!$W$17,IF(BG151&lt;=Hypothèses!$U$18,Hypothèses!$W$18,""))))))))))))</f>
        <v>#DIV/0!</v>
      </c>
      <c r="CD151" s="95" t="e">
        <f t="shared" ca="1" si="281"/>
        <v>#DIV/0!</v>
      </c>
      <c r="CE151" s="101">
        <f t="shared" si="326"/>
        <v>0</v>
      </c>
      <c r="CF151" s="91">
        <f t="shared" si="248"/>
        <v>0</v>
      </c>
      <c r="CG151" s="30" t="e">
        <f t="shared" si="306"/>
        <v>#N/A</v>
      </c>
      <c r="CH151" s="30" t="e">
        <f t="shared" si="307"/>
        <v>#N/A</v>
      </c>
      <c r="CI151" s="31" t="e">
        <f>IF(OR(Hypothèses!$B$4=17,Hypothèses!$B$4=18,Hypothèses!$B$4=19,Hypothèses!$B$4=20),
IF($D151="Pressio.",
IF(OR($E151=3,$E151=1,$E151=4),CH151,CG151),
IF($D151="Pénétro.",
IF(OR($E151=3,$E151=1,$E151=4),CH151,CG151))),IF($D151="Pressio.",
IF($E151=3,CH151,CG151),
IF($D151="Pénétro.",
IF($E151=4,CH151,CG151))))</f>
        <v>#N/A</v>
      </c>
      <c r="CJ151" s="31">
        <v>0</v>
      </c>
      <c r="CK151" s="102" t="e">
        <f>IF(NDC!$H$10="Oui",(VLOOKUP($B$3,'Coeff EC7'!$T$39:$X$59,2,0)*CI151+VLOOKUP($B$3,'Coeff EC7'!$T$65:$X$85,2,0)*Model0.1T!CJ151)/1.5,PI()*CG$12*$Q151*($B151-$B150)*0.15/10+CK150)</f>
        <v>#N/A</v>
      </c>
      <c r="CL151" s="102" t="e">
        <f>(VLOOKUP($B$3,'Coeff EC7'!$T$39:$X$59,3,0)*CI151+VLOOKUP($B$3,'Coeff EC7'!$T$65:$X$85,3,0)*Model0.1T!CJ151)/1.1</f>
        <v>#N/A</v>
      </c>
      <c r="CM151" s="102" t="e">
        <f t="shared" si="282"/>
        <v>#N/A</v>
      </c>
      <c r="CN151" s="102" t="e">
        <f t="shared" si="283"/>
        <v>#N/A</v>
      </c>
      <c r="CO151" s="414" t="e">
        <f>IF(AND(CK151&gt;NDC!$C$63,CL151&gt;NDC!$C$65,CM151&gt;NDC!$D$73,CN151&gt;NDC!$D$74,$B151&gt;NDC!$H$22-0.1+MIN(3*CO$12,1.5)),0,1)</f>
        <v>#N/A</v>
      </c>
      <c r="CP151" s="86" t="b">
        <f t="shared" si="249"/>
        <v>0</v>
      </c>
      <c r="CQ151" s="86">
        <f t="shared" si="250"/>
        <v>0.5</v>
      </c>
      <c r="CR151" s="86">
        <f t="shared" si="251"/>
        <v>0.5</v>
      </c>
      <c r="CS151" s="30" t="e">
        <f t="shared" ca="1" si="284"/>
        <v>#DIV/0!</v>
      </c>
      <c r="CT151" s="85" t="e">
        <f ca="1">IF(BZ151&lt;=Hypothèses!$V$7,Hypothèses!$W$7,IF(BZ151&lt;=Hypothèses!$V$8,Hypothèses!$W$8,IF(BZ151&lt;=Hypothèses!$V$9,Hypothèses!$W$9,IF(BZ151&lt;=Hypothèses!$V$10,Hypothèses!$W$10,IF(BZ151&lt;=Hypothèses!$V$11,Hypothèses!$W$11,IF(BZ151&lt;=Hypothèses!$V$12,Hypothèses!$W$12,IF(BZ151&lt;=Hypothèses!$V$13,Hypothèses!$W$13,IF(BZ151&lt;=Hypothèses!$V$14,Hypothèses!$W$14,IF(BZ151&lt;=Hypothèses!$V$15,Hypothèses!$W$15,IF(BZ151&lt;=Hypothèses!$V$16,Hypothèses!$W$16,IF(BZ151&lt;=Hypothèses!$V$17,Hypothèses!$W$17,IF(BZ151&lt;=Hypothèses!$V$18,Hypothèses!$W$18,""))))))))))))</f>
        <v>#DIV/0!</v>
      </c>
      <c r="CU151" s="87" t="e">
        <f t="shared" ca="1" si="320"/>
        <v>#DIV/0!</v>
      </c>
      <c r="CV151" s="88" t="e">
        <f ca="1">IF(BZ151&lt;=Hypothèses!$V$7,Hypothèses!$X$7,IF(BZ151&lt;=Hypothèses!$V$8,Hypothèses!$X$8,IF(BZ151&lt;=Hypothèses!$V$9,Hypothèses!$X$9,IF(BZ151&lt;=Hypothèses!$V$10,Hypothèses!$X$10,IF(BZ151&lt;=Hypothèses!$V$11,Hypothèses!$X$11,IF(BZ151&lt;=Hypothèses!$V$12,Hypothèses!$X$12,IF(BZ151&lt;=Hypothèses!$V$13,Hypothèses!$X$13,IF(BZ151&lt;=Hypothèses!$V$14,Hypothèses!$X$14,IF(BZ151&lt;=Hypothèses!$V$15,Hypothèses!$X$15,IF(BZ151&lt;=Hypothèses!$V$16,Hypothèses!$X$16,IF(BZ151&lt;=Hypothèses!$U$17,Hypothèses!$W$17,IF(BZ151&lt;=Hypothèses!$U$18,Hypothèses!$W$18,""))))))))))))</f>
        <v>#DIV/0!</v>
      </c>
      <c r="CW151" s="95" t="e">
        <f t="shared" ca="1" si="285"/>
        <v>#DIV/0!</v>
      </c>
      <c r="CX151" s="101">
        <f t="shared" si="327"/>
        <v>0</v>
      </c>
      <c r="CY151" s="91">
        <f t="shared" si="252"/>
        <v>0</v>
      </c>
      <c r="CZ151" s="30" t="e">
        <f t="shared" si="308"/>
        <v>#N/A</v>
      </c>
      <c r="DA151" s="30" t="e">
        <f t="shared" si="309"/>
        <v>#N/A</v>
      </c>
      <c r="DB151" s="31" t="e">
        <f>IF(OR(Hypothèses!$B$4=17,Hypothèses!$B$4=18,Hypothèses!$B$4=19,Hypothèses!$B$4=20),
IF($D151="Pressio.",
IF(OR($E151=3,$E151=1,$E151=4),DA151,CZ151),
IF($D151="Pénétro.",
IF(OR($E151=3,$E151=1,$E151=4),DA151,CZ151))),IF($D151="Pressio.",
IF($E151=3,DA151,CZ151),
IF($D151="Pénétro.",
IF($E151=4,DA151,CZ151))))</f>
        <v>#N/A</v>
      </c>
      <c r="DC151" s="31">
        <v>0</v>
      </c>
      <c r="DD151" s="102" t="e">
        <f>IF(NDC!$H$10="Oui",(VLOOKUP($B$3,'Coeff EC7'!$T$39:$X$59,2,0)*DB151+VLOOKUP($B$3,'Coeff EC7'!$T$65:$X$85,2,0)*Model0.1T!DC151)/1.5,PI()*CZ$12*$Q151*($B151-$B150)*0.15/10+DD150)</f>
        <v>#N/A</v>
      </c>
      <c r="DE151" s="102" t="e">
        <f>(VLOOKUP($B$3,'Coeff EC7'!$T$39:$X$59,3,0)*DB151+VLOOKUP($B$3,'Coeff EC7'!$T$65:$X$85,3,0)*Model0.1T!DC151)/1.1</f>
        <v>#N/A</v>
      </c>
      <c r="DF151" s="102" t="e">
        <f t="shared" si="286"/>
        <v>#N/A</v>
      </c>
      <c r="DG151" s="102" t="e">
        <f t="shared" si="287"/>
        <v>#N/A</v>
      </c>
      <c r="DH151" s="414" t="e">
        <f>IF(AND(DD151&gt;NDC!$C$63,DE151&gt;NDC!$C$65,DF151&gt;NDC!$D$73,DG151&gt;NDC!$D$74,$B151&gt;NDC!$H$22-0.1+MIN(3*DH$12,1.5)),0,1)</f>
        <v>#N/A</v>
      </c>
      <c r="DI151" s="86" t="b">
        <f t="shared" si="253"/>
        <v>0</v>
      </c>
      <c r="DJ151" s="86">
        <f t="shared" si="254"/>
        <v>0.5</v>
      </c>
      <c r="DK151" s="86">
        <f t="shared" si="255"/>
        <v>0.5</v>
      </c>
      <c r="DL151" s="30" t="e">
        <f t="shared" ca="1" si="288"/>
        <v>#DIV/0!</v>
      </c>
      <c r="DM151" s="85" t="e">
        <f ca="1">IF(CS151&lt;=Hypothèses!$V$7,Hypothèses!$W$7,IF(CS151&lt;=Hypothèses!$V$8,Hypothèses!$W$8,IF(CS151&lt;=Hypothèses!$V$9,Hypothèses!$W$9,IF(CS151&lt;=Hypothèses!$V$10,Hypothèses!$W$10,IF(CS151&lt;=Hypothèses!$V$11,Hypothèses!$W$11,IF(CS151&lt;=Hypothèses!$V$12,Hypothèses!$W$12,IF(CS151&lt;=Hypothèses!$V$13,Hypothèses!$W$13,IF(CS151&lt;=Hypothèses!$V$14,Hypothèses!$W$14,IF(CS151&lt;=Hypothèses!$V$15,Hypothèses!$W$15,IF(CS151&lt;=Hypothèses!$V$16,Hypothèses!$W$16,IF(CS151&lt;=Hypothèses!$V$17,Hypothèses!$W$17,IF(CS151&lt;=Hypothèses!$V$18,Hypothèses!$W$18,""))))))))))))</f>
        <v>#DIV/0!</v>
      </c>
      <c r="DN151" s="87" t="e">
        <f t="shared" ca="1" si="321"/>
        <v>#DIV/0!</v>
      </c>
      <c r="DO151" s="88" t="e">
        <f ca="1">IF(CS151&lt;=Hypothèses!$V$7,Hypothèses!$X$7,IF(CS151&lt;=Hypothèses!$V$8,Hypothèses!$X$8,IF(CS151&lt;=Hypothèses!$V$9,Hypothèses!$X$9,IF(CS151&lt;=Hypothèses!$V$10,Hypothèses!$X$10,IF(CS151&lt;=Hypothèses!$V$11,Hypothèses!$X$11,IF(CS151&lt;=Hypothèses!$V$12,Hypothèses!$X$12,IF(CS151&lt;=Hypothèses!$V$13,Hypothèses!$X$13,IF(CS151&lt;=Hypothèses!$V$14,Hypothèses!$X$14,IF(CS151&lt;=Hypothèses!$V$15,Hypothèses!$X$15,IF(CS151&lt;=Hypothèses!$V$16,Hypothèses!$X$16,IF(CS151&lt;=Hypothèses!$U$17,Hypothèses!$W$17,IF(CS151&lt;=Hypothèses!$U$18,Hypothèses!$W$18,""))))))))))))</f>
        <v>#DIV/0!</v>
      </c>
      <c r="DP151" s="95" t="e">
        <f t="shared" ca="1" si="289"/>
        <v>#DIV/0!</v>
      </c>
      <c r="DQ151" s="101">
        <f t="shared" si="328"/>
        <v>0</v>
      </c>
      <c r="DR151" s="91">
        <f t="shared" si="256"/>
        <v>0</v>
      </c>
      <c r="DS151" s="30" t="e">
        <f t="shared" si="310"/>
        <v>#N/A</v>
      </c>
      <c r="DT151" s="30" t="e">
        <f t="shared" si="311"/>
        <v>#N/A</v>
      </c>
      <c r="DU151" s="31" t="e">
        <f>IF(OR(Hypothèses!$B$4=17,Hypothèses!$B$4=18,Hypothèses!$B$4=19,Hypothèses!$B$4=20),
IF($D151="Pressio.",
IF(OR($E151=3,$E151=1,$E151=4),DT151,DS151),
IF($D151="Pénétro.",
IF(OR($E151=3,$E151=1,$E151=4),DT151,DS151))),IF($D151="Pressio.",
IF($E151=3,DT151,DS151),
IF($D151="Pénétro.",
IF($E151=4,DT151,DS151))))</f>
        <v>#N/A</v>
      </c>
      <c r="DV151" s="31">
        <v>0</v>
      </c>
      <c r="DW151" s="102" t="e">
        <f>IF(NDC!$H$10="Oui",(VLOOKUP($B$3,'Coeff EC7'!$T$39:$X$59,2,0)*DU151+VLOOKUP($B$3,'Coeff EC7'!$T$65:$X$85,2,0)*Model0.1T!DV151)/1.5,PI()*DS$12*$Q151*($B151-$B150)*0.15/10+DW150)</f>
        <v>#N/A</v>
      </c>
      <c r="DX151" s="102" t="e">
        <f>(VLOOKUP($B$3,'Coeff EC7'!$T$39:$X$59,3,0)*DU151+VLOOKUP($B$3,'Coeff EC7'!$T$65:$X$85,3,0)*Model0.1T!DV151)/1.1</f>
        <v>#N/A</v>
      </c>
      <c r="DY151" s="102" t="e">
        <f t="shared" si="290"/>
        <v>#N/A</v>
      </c>
      <c r="DZ151" s="102" t="e">
        <f t="shared" si="291"/>
        <v>#N/A</v>
      </c>
      <c r="EA151" s="414" t="e">
        <f>IF(AND(DW151&gt;NDC!$C$63,DX151&gt;NDC!$C$65,DY151&gt;NDC!$D$73,DZ151&gt;NDC!$D$74,$B151&gt;NDC!$H$22-0.1+MIN(3*EA$12,1.5)),0,1)</f>
        <v>#N/A</v>
      </c>
      <c r="EB151" s="86" t="b">
        <f t="shared" si="257"/>
        <v>0</v>
      </c>
      <c r="EC151" s="418">
        <f t="shared" si="258"/>
        <v>0.51</v>
      </c>
      <c r="ED151" s="86">
        <f t="shared" si="259"/>
        <v>0.51</v>
      </c>
      <c r="EE151" s="30" t="e">
        <f t="shared" ca="1" si="292"/>
        <v>#DIV/0!</v>
      </c>
      <c r="EF151" s="85" t="e">
        <f ca="1">IF(DL151&lt;=Hypothèses!$V$7,Hypothèses!$W$7,IF(DL151&lt;=Hypothèses!$V$8,Hypothèses!$W$8,IF(DL151&lt;=Hypothèses!$V$9,Hypothèses!$W$9,IF(DL151&lt;=Hypothèses!$V$10,Hypothèses!$W$10,IF(DL151&lt;=Hypothèses!$V$11,Hypothèses!$W$11,IF(DL151&lt;=Hypothèses!$V$12,Hypothèses!$W$12,IF(DL151&lt;=Hypothèses!$V$13,Hypothèses!$W$13,IF(DL151&lt;=Hypothèses!$V$14,Hypothèses!$W$14,IF(DL151&lt;=Hypothèses!$V$15,Hypothèses!$W$15,IF(DL151&lt;=Hypothèses!$V$16,Hypothèses!$W$16,IF(DL151&lt;=Hypothèses!$V$17,Hypothèses!$W$17,IF(DL151&lt;=Hypothèses!$V$18,Hypothèses!$W$18,""))))))))))))</f>
        <v>#DIV/0!</v>
      </c>
      <c r="EG151" s="87" t="e">
        <f t="shared" ca="1" si="322"/>
        <v>#DIV/0!</v>
      </c>
      <c r="EH151" s="88" t="e">
        <f ca="1">IF(DL151&lt;=Hypothèses!$V$7,Hypothèses!$X$7,IF(DL151&lt;=Hypothèses!$V$8,Hypothèses!$X$8,IF(DL151&lt;=Hypothèses!$V$9,Hypothèses!$X$9,IF(DL151&lt;=Hypothèses!$V$10,Hypothèses!$X$10,IF(DL151&lt;=Hypothèses!$V$11,Hypothèses!$X$11,IF(DL151&lt;=Hypothèses!$V$12,Hypothèses!$X$12,IF(DL151&lt;=Hypothèses!$V$13,Hypothèses!$X$13,IF(DL151&lt;=Hypothèses!$V$14,Hypothèses!$X$14,IF(DL151&lt;=Hypothèses!$V$15,Hypothèses!$X$15,IF(DL151&lt;=Hypothèses!$V$16,Hypothèses!$X$16,IF(DL151&lt;=Hypothèses!$U$17,Hypothèses!$W$17,IF(DL151&lt;=Hypothèses!$U$18,Hypothèses!$W$18,""))))))))))))</f>
        <v>#DIV/0!</v>
      </c>
      <c r="EI151" s="95" t="e">
        <f t="shared" ca="1" si="293"/>
        <v>#DIV/0!</v>
      </c>
      <c r="EJ151" s="101">
        <f t="shared" si="329"/>
        <v>0</v>
      </c>
      <c r="EK151" s="91">
        <f t="shared" si="260"/>
        <v>0</v>
      </c>
      <c r="EL151" s="30" t="e">
        <f t="shared" si="312"/>
        <v>#N/A</v>
      </c>
      <c r="EM151" s="30" t="e">
        <f t="shared" si="313"/>
        <v>#N/A</v>
      </c>
      <c r="EN151" s="31" t="e">
        <f>IF(OR(Hypothèses!$B$4=17,Hypothèses!$B$4=18,Hypothèses!$B$4=19,Hypothèses!$B$4=20),
IF($D151="Pressio.",
IF(OR($E151=3,$E151=1,$E151=4),EM151,EL151),
IF($D151="Pénétro.",
IF(OR($E151=3,$E151=1,$E151=4),EM151,EL151))),IF($D151="Pressio.",
IF($E151=3,EM151,EL151),
IF($D151="Pénétro.",
IF($E151=4,EM151,EL151))))</f>
        <v>#N/A</v>
      </c>
      <c r="EO151" s="31">
        <v>0</v>
      </c>
      <c r="EP151" s="102" t="e">
        <f>IF(NDC!$H$10="Oui",(VLOOKUP($B$3,'Coeff EC7'!$T$39:$X$59,2,0)*EN151+VLOOKUP($B$3,'Coeff EC7'!$T$65:$X$85,2,0)*Model0.1T!EO151)/1.5,PI()*EL$12*$Q151*($B151-$B150)*0.15/10+EP150)</f>
        <v>#N/A</v>
      </c>
      <c r="EQ151" s="102" t="e">
        <f>(VLOOKUP($B$3,'Coeff EC7'!$T$39:$X$59,3,0)*EN151+VLOOKUP($B$3,'Coeff EC7'!$T$65:$X$85,3,0)*Model0.1T!EO151)/1.1</f>
        <v>#N/A</v>
      </c>
      <c r="ER151" s="102" t="e">
        <f t="shared" si="294"/>
        <v>#N/A</v>
      </c>
      <c r="ES151" s="102" t="e">
        <f t="shared" si="295"/>
        <v>#N/A</v>
      </c>
      <c r="ET151" s="414" t="e">
        <f>IF(AND(EP151&gt;NDC!$C$63,EQ151&gt;NDC!$C$65,ER151&gt;NDC!$D$73,ES151&gt;NDC!$D$74,$B151&gt;NDC!$H$22-0.1+MIN(3*ET$12,1.5)),0,1)</f>
        <v>#N/A</v>
      </c>
      <c r="EU151" s="86" t="b">
        <f t="shared" si="261"/>
        <v>0</v>
      </c>
      <c r="EV151" s="86">
        <f t="shared" si="262"/>
        <v>0.61</v>
      </c>
      <c r="EW151" s="86">
        <f t="shared" si="263"/>
        <v>0.61</v>
      </c>
      <c r="EX151" s="30" t="e">
        <f t="shared" ca="1" si="296"/>
        <v>#DIV/0!</v>
      </c>
      <c r="EY151" s="85" t="e">
        <f ca="1">IF(EE151&lt;=Hypothèses!$V$7,Hypothèses!$W$7,IF(EE151&lt;=Hypothèses!$V$8,Hypothèses!$W$8,IF(EE151&lt;=Hypothèses!$V$9,Hypothèses!$W$9,IF(EE151&lt;=Hypothèses!$V$10,Hypothèses!$W$10,IF(EE151&lt;=Hypothèses!$V$11,Hypothèses!$W$11,IF(EE151&lt;=Hypothèses!$V$12,Hypothèses!$W$12,IF(EE151&lt;=Hypothèses!$V$13,Hypothèses!$W$13,IF(EE151&lt;=Hypothèses!$V$14,Hypothèses!$W$14,IF(EE151&lt;=Hypothèses!$V$15,Hypothèses!$W$15,IF(EE151&lt;=Hypothèses!$V$16,Hypothèses!$W$16,IF(EE151&lt;=Hypothèses!$V$17,Hypothèses!$W$17,IF(EE151&lt;=Hypothèses!$V$18,Hypothèses!$W$18,""))))))))))))</f>
        <v>#DIV/0!</v>
      </c>
      <c r="EZ151" s="87" t="e">
        <f t="shared" ca="1" si="323"/>
        <v>#DIV/0!</v>
      </c>
      <c r="FA151" s="88" t="e">
        <f ca="1">IF(EE151&lt;=Hypothèses!$V$7,Hypothèses!$X$7,IF(EE151&lt;=Hypothèses!$V$8,Hypothèses!$X$8,IF(EE151&lt;=Hypothèses!$V$9,Hypothèses!$X$9,IF(EE151&lt;=Hypothèses!$V$10,Hypothèses!$X$10,IF(EE151&lt;=Hypothèses!$V$11,Hypothèses!$X$11,IF(EE151&lt;=Hypothèses!$V$12,Hypothèses!$X$12,IF(EE151&lt;=Hypothèses!$V$13,Hypothèses!$X$13,IF(EE151&lt;=Hypothèses!$V$14,Hypothèses!$X$14,IF(EE151&lt;=Hypothèses!$V$15,Hypothèses!$X$15,IF(EE151&lt;=Hypothèses!$V$16,Hypothèses!$X$16,IF(EE151&lt;=Hypothèses!$U$17,Hypothèses!$W$17,IF(EE151&lt;=Hypothèses!$U$18,Hypothèses!$W$18,""))))))))))))</f>
        <v>#DIV/0!</v>
      </c>
      <c r="FB151" s="95" t="e">
        <f t="shared" ca="1" si="297"/>
        <v>#DIV/0!</v>
      </c>
      <c r="FC151" s="101">
        <f t="shared" si="330"/>
        <v>0</v>
      </c>
      <c r="FD151" s="91">
        <f t="shared" si="264"/>
        <v>0</v>
      </c>
      <c r="FE151" s="30" t="e">
        <f t="shared" si="314"/>
        <v>#N/A</v>
      </c>
      <c r="FF151" s="30" t="e">
        <f t="shared" si="315"/>
        <v>#N/A</v>
      </c>
      <c r="FG151" s="31" t="e">
        <f>IF(OR(Hypothèses!$B$4=17,Hypothèses!$B$4=18,Hypothèses!$B$4=19,Hypothèses!$B$4=20),
IF($D151="Pressio.",
IF(OR($E151=3,$E151=1,$E151=4),FF151,FE151),
IF($D151="Pénétro.",
IF(OR($E151=3,$E151=1,$E151=4),FF151,FE151))),IF($D151="Pressio.",
IF($E151=3,FF151,FE151),
IF($D151="Pénétro.",
IF($E151=4,FF151,FE151))))</f>
        <v>#N/A</v>
      </c>
      <c r="FH151" s="31">
        <v>0</v>
      </c>
      <c r="FI151" s="102" t="e">
        <f>IF(NDC!$H$10="Oui",(VLOOKUP($B$3,'Coeff EC7'!$T$39:$X$59,2,0)*FG151+VLOOKUP($B$3,'Coeff EC7'!$T$65:$X$85,2,0)*Model0.1T!FH151)/1.5,PI()*FE$12*$Q151*($B151-$B150)*0.15/10+FI150)</f>
        <v>#N/A</v>
      </c>
      <c r="FJ151" s="102" t="e">
        <f>(VLOOKUP($B$3,'Coeff EC7'!$T$39:$X$59,3,0)*FG151+VLOOKUP($B$3,'Coeff EC7'!$T$65:$X$85,3,0)*Model0.1T!FH151)/1.1</f>
        <v>#N/A</v>
      </c>
      <c r="FK151" s="102" t="e">
        <f t="shared" si="298"/>
        <v>#N/A</v>
      </c>
      <c r="FL151" s="102" t="e">
        <f t="shared" si="299"/>
        <v>#N/A</v>
      </c>
      <c r="FM151" s="414" t="e">
        <f>IF(AND(FI151&gt;NDC!$C$63,FJ151&gt;NDC!$C$65,FK151&gt;NDC!$D$73,FL151&gt;NDC!$D$74,$B151&gt;NDC!$H$22-0.1+MIN(3*FM$12,1.5)),0,1)</f>
        <v>#N/A</v>
      </c>
    </row>
    <row r="152" spans="1:169">
      <c r="A152" s="96">
        <f t="shared" si="265"/>
        <v>86.10000000000079</v>
      </c>
      <c r="B152" s="97">
        <v>13.9</v>
      </c>
      <c r="C152" s="81">
        <f>IF(B152&lt;=Hypothèses!$C$7,Hypothèses!$A$7,IF(B152&lt;=Hypothèses!$C$8,Hypothèses!$A$8,IF(B152&lt;=Hypothèses!$C$9,Hypothèses!$A$9,IF(B152&lt;=Hypothèses!$C$10,Hypothèses!$A$10,IF(B152&lt;=Hypothèses!$C$11,Hypothèses!$A$11,IF(B152&lt;=Hypothèses!$C$12,Hypothèses!$A$12,IF(B152&lt;=Hypothèses!$C$13,Hypothèses!$A$13,IF(B152&lt;=Hypothèses!$C$14,Hypothèses!$A$14,IF(B152&lt;=Hypothèses!$C$15,Hypothèses!$A$15,IF(B152&lt;=Hypothèses!$C$16,Hypothèses!$A$16,IF(B152&lt;=Hypothèses!$C$17,Hypothèses!$A$17,IF(B152&lt;=Hypothèses!$C$18,Hypothèses!$A$18,C151))))))))))))</f>
        <v>11</v>
      </c>
      <c r="D152" s="82" t="str">
        <f>IF(B152&lt;=Hypothèses!$C$7,Hypothèses!$R$7,IF(B152&lt;=Hypothèses!$C$8,Hypothèses!$R$8,IF(B152&lt;=Hypothèses!$C$9,Hypothèses!$R$9,IF(B152&lt;=Hypothèses!$C$10,Hypothèses!$R$10,IF(B152&lt;=Hypothèses!$C$11,Hypothèses!$R$11,IF(B152&lt;=Hypothèses!$C$12,Hypothèses!$R$12,IF(B152&lt;=Hypothèses!$C$13,Hypothèses!$R$13,IF(B152&lt;=Hypothèses!$C$14,Hypothèses!$R$14,IF(B152&lt;=Hypothèses!$C$15,Hypothèses!$R$15,IF(B152&lt;=Hypothèses!$C$16,Hypothèses!$R$16,IF(B152&lt;=Hypothèses!$C$17,Hypothèses!$R$17,IF(B152&lt;=Hypothèses!$C$18,Hypothèses!$R$18,D151))))))))))))</f>
        <v>Pressio.</v>
      </c>
      <c r="E152" s="82" t="e">
        <f>IF(B152&lt;=Hypothèses!$C$7,Hypothèses!$G$7,IF(B152&lt;=Hypothèses!$C$8,Hypothèses!$G$8,IF(B152&lt;=Hypothèses!$C$9,Hypothèses!$G$9,IF(B152&lt;=Hypothèses!$C$10,Hypothèses!$G$10,IF(B152&lt;=Hypothèses!$C$11,Hypothèses!$G$11,IF(B152&lt;=Hypothèses!$C$12,Hypothèses!$G$12,IF(B152&lt;=Hypothèses!$C$13,Hypothèses!$G$13,IF(B152&lt;=Hypothèses!$C$14,Hypothèses!$G$14,IF(B152&lt;=Hypothèses!$C$15,Hypothèses!$G$15,IF(B152&lt;=Hypothèses!$C$16,Hypothèses!$G$16,IF(B152&lt;=Hypothèses!$C$17,Hypothèses!$G$17,IF(B152&lt;=Hypothèses!$C$18,Hypothèses!$G$18,E151))))))))))))</f>
        <v>#N/A</v>
      </c>
      <c r="F152" s="82" t="str">
        <f>IF(B152&lt;=Hypothèses!$C$7,Hypothèses!$F$7,IF(B152&lt;=Hypothèses!$C$8,Hypothèses!$F$8,IF(B152&lt;=Hypothèses!$C$9,Hypothèses!$F$9,IF(B152&lt;=Hypothèses!$C$10,Hypothèses!$F$10,IF(B152&lt;=Hypothèses!$C$11,Hypothèses!$F$11,IF(B152&lt;=Hypothèses!$C$12,Hypothèses!$F$12,IF(B152&lt;=Hypothèses!$C$13,Hypothèses!$F$13,IF(B152&lt;=Hypothèses!$C$14,Hypothèses!$F$14,IF(B152&lt;=Hypothèses!$C$15,Hypothèses!$F$15,IF(B152&lt;=Hypothèses!$C$16,Hypothèses!$F$16,IF(B152&lt;=Hypothèses!$C$17,Hypothèses!$F$17,IF(B152&lt;=Hypothèses!$C$18,Hypothèses!$F$18,F151))))))))))))</f>
        <v/>
      </c>
      <c r="G152" s="91">
        <f t="array" ref="G152">INDEX('Coeff EC7'!$U$7:$X$27,
MATCH(Model0.1T!$B$3,'Coeff EC7'!$T$7:$T$27,0),
MATCH(Model0.1T!$D152&amp;Model0.1T!$B$4,
'Coeff EC7'!$U$6:$X$6&amp;
'Coeff EC7'!$U$5:$X$5,0))</f>
        <v>1.4</v>
      </c>
      <c r="H152" s="91">
        <f t="array" ref="H152">INDEX('Coeff EC7'!$Y$7:$AB$27,
MATCH(Model0.1T!$B$3,'Coeff EC7'!$T$7:$T$27,0),
MATCH(Model0.1T!$D152&amp;Model0.1T!$B$4,
'Coeff EC7'!$Y$6:$AB$6&amp;
'Coeff EC7'!$Y$5:$AB$5,0))</f>
        <v>1.7</v>
      </c>
      <c r="I152" s="83">
        <v>0</v>
      </c>
      <c r="J152" s="91" t="e">
        <f t="array" ref="J152">INDEX('Coeff EC7'!$D$33:$Q$33,1,MATCH(D152&amp;E152,'Coeff EC7'!$D$31:$Q$31&amp;'Coeff EC7'!$D$32:$Q$32,0))</f>
        <v>#N/A</v>
      </c>
      <c r="K152" s="91" t="e">
        <f t="array" ref="K152">INDEX('Coeff EC7'!$D$34:$Q$34,1,MATCH(D152&amp;E152,'Coeff EC7'!$D$31:$Q$31&amp;'Coeff EC7'!$D$32:$Q$32,0))</f>
        <v>#N/A</v>
      </c>
      <c r="L152" s="91" t="e">
        <f t="array" ref="L152">INDEX('Coeff EC7'!$D$35:$Q$35,1,MATCH(D152&amp;E152,'Coeff EC7'!$D$31:$Q$31&amp;'Coeff EC7'!$D$32:$Q$32,0))</f>
        <v>#N/A</v>
      </c>
      <c r="M152" s="98" t="e">
        <f t="shared" si="231"/>
        <v>#N/A</v>
      </c>
      <c r="N152" s="99" t="e">
        <f t="array" ref="N152">INDEX('Coeff EC7'!$D$7:$Q$27,MATCH($B$3,'Coeff EC7'!$C$7:$C$27,0),MATCH(D152&amp;E152,'Coeff EC7'!$D$5:$Q$5&amp;'Coeff EC7'!$D$6:$Q$6,0))</f>
        <v>#N/A</v>
      </c>
      <c r="O152" s="99" t="e">
        <f t="array" ref="O152">INDEX('Coeff EC7'!$D$41:$Q$61,MATCH($B$3,'Coeff EC7'!$C$41:$C$61,0),MATCH(D152&amp;E152,'Coeff EC7'!$D$39:$Q$39&amp;'Coeff EC7'!$D$40:$Q$40,0))</f>
        <v>#N/A</v>
      </c>
      <c r="P152" s="30" t="e">
        <f t="shared" si="266"/>
        <v>#N/A</v>
      </c>
      <c r="Q152" s="100" t="e">
        <f t="shared" si="233"/>
        <v>#N/A</v>
      </c>
      <c r="R152" s="86" t="b">
        <f t="shared" si="234"/>
        <v>0</v>
      </c>
      <c r="S152" s="86">
        <f t="shared" si="232"/>
        <v>0.5</v>
      </c>
      <c r="T152" s="86">
        <f t="shared" si="235"/>
        <v>0.5</v>
      </c>
      <c r="U152" s="30" t="e">
        <f t="shared" ca="1" si="267"/>
        <v>#DIV/0!</v>
      </c>
      <c r="V152" s="85" t="str">
        <f>IF(B152&lt;=Hypothèses!$V$7,Hypothèses!$W$7,IF(B152&lt;=Hypothèses!$V$8,Hypothèses!$W$8,IF(B152&lt;=Hypothèses!$V$9,Hypothèses!$W$9,IF(B152&lt;=Hypothèses!$V$10,Hypothèses!$W$10,IF(B152&lt;=Hypothèses!$V$11,Hypothèses!$W$11,IF(B152&lt;=Hypothèses!$V$12,Hypothèses!$W$12,IF(B152&lt;=Hypothèses!$V$13,Hypothèses!$W$13,IF(B152&lt;=Hypothèses!$V$14,Hypothèses!$W$14,IF(B152&lt;=Hypothèses!$V$15,Hypothèses!$W$15,IF(B152&lt;=Hypothèses!$V$16,Hypothèses!$W$16,IF(B152&lt;=Hypothèses!$V$17,Hypothèses!$W$17,IF(B152&lt;=Hypothèses!$V$18,Hypothèses!$W$18,""))))))))))))</f>
        <v/>
      </c>
      <c r="W152" s="87" t="e">
        <f t="shared" ca="1" si="316"/>
        <v>#DIV/0!</v>
      </c>
      <c r="X152" s="88" t="str">
        <f>IF(B152&lt;=Hypothèses!$V$7,Hypothèses!$X$7,IF(B152&lt;=Hypothèses!$V$8,Hypothèses!$X$8,IF(B152&lt;=Hypothèses!$V$9,Hypothèses!$X$9,IF(B152&lt;=Hypothèses!$V$10,Hypothèses!$X$10,IF(B152&lt;=Hypothèses!$V$11,Hypothèses!$X$11,IF(B152&lt;=Hypothèses!$V$12,Hypothèses!$X$12,IF(B152&lt;=Hypothèses!$V$13,Hypothèses!$X$13,IF(B152&lt;=Hypothèses!$V$14,Hypothèses!$X$14,IF(B152&lt;=Hypothèses!$V$15,Hypothèses!$X$15,IF(B152&lt;=Hypothèses!$V$16,Hypothèses!$X$16,IF(B152&lt;=Hypothèses!$U$17,Hypothèses!$W$17,IF(B152&lt;=Hypothèses!$U$18,Hypothèses!$W$18,""))))))))))))</f>
        <v/>
      </c>
      <c r="Y152" s="95" t="e">
        <f t="shared" ca="1" si="236"/>
        <v>#DIV/0!</v>
      </c>
      <c r="Z152" s="101">
        <f t="shared" si="237"/>
        <v>0</v>
      </c>
      <c r="AA152" s="91">
        <f t="shared" si="238"/>
        <v>0</v>
      </c>
      <c r="AB152" s="30" t="e">
        <f t="shared" si="300"/>
        <v>#N/A</v>
      </c>
      <c r="AC152" s="30" t="e">
        <f t="shared" si="301"/>
        <v>#N/A</v>
      </c>
      <c r="AD152" s="31" t="e">
        <f>IF(OR(Hypothèses!$B$4=17,Hypothèses!$B$4=18,Hypothèses!$B$4=19,Hypothèses!$B$4=20),
IF($D152="Pressio.",
IF(OR($E152=3,$E152=1,$E152=4),AC152,AB152),
IF($D152="Pénétro.",
IF(OR($E152=3,$E152=1,$E152=4),AC152,AB152))),IF($D152="Pressio.",
IF($E152=3,AC152,AB152),
IF($D152="Pénétro.",
IF($E152=4,AC152,AB152))))</f>
        <v>#N/A</v>
      </c>
      <c r="AE152" s="31">
        <v>0</v>
      </c>
      <c r="AF152" s="102" t="e">
        <f>IF(NDC!$H$10="Oui",(VLOOKUP($B$3,'Coeff EC7'!$T$39:$X$59,2,0)*AD152+VLOOKUP($B$3,'Coeff EC7'!$T$65:$X$85,2,0)*Model0.1T!AE152)/1.5,PI()*AB$12*$Q152*($B152-$B151)*0.15/10+AF151)</f>
        <v>#N/A</v>
      </c>
      <c r="AG152" s="102" t="e">
        <f>(VLOOKUP($B$3,'Coeff EC7'!$T$39:$X$59,3,0)*AD152+VLOOKUP($B$3,'Coeff EC7'!$T$65:$X$85,3,0)*Model0.1T!AE152)/1.1</f>
        <v>#N/A</v>
      </c>
      <c r="AH152" s="102" t="e">
        <f t="shared" si="268"/>
        <v>#N/A</v>
      </c>
      <c r="AI152" s="102" t="e">
        <f t="shared" si="269"/>
        <v>#N/A</v>
      </c>
      <c r="AJ152" s="414" t="e">
        <f>IF(AND(AF152&gt;NDC!$C$63,AG152&gt;NDC!$C$65,AH152&gt;NDC!$D$73,AI152&gt;NDC!$D$74,$B152&gt;NDC!$H$22-0.1+MIN(3*$AJ$12,1.5)),0,1)</f>
        <v>#N/A</v>
      </c>
      <c r="AK152" s="86" t="b">
        <f t="shared" si="239"/>
        <v>0</v>
      </c>
      <c r="AL152" s="86">
        <f t="shared" si="270"/>
        <v>0.5</v>
      </c>
      <c r="AM152" s="86">
        <f t="shared" si="240"/>
        <v>0.5</v>
      </c>
      <c r="AN152" s="30" t="e">
        <f t="shared" ca="1" si="271"/>
        <v>#DIV/0!</v>
      </c>
      <c r="AO152" s="85" t="e">
        <f ca="1">IF(U152&lt;=Hypothèses!$V$7,Hypothèses!$W$7,IF(U152&lt;=Hypothèses!$V$8,Hypothèses!$W$8,IF(U152&lt;=Hypothèses!$V$9,Hypothèses!$W$9,IF(U152&lt;=Hypothèses!$V$10,Hypothèses!$W$10,IF(U152&lt;=Hypothèses!$V$11,Hypothèses!$W$11,IF(U152&lt;=Hypothèses!$V$12,Hypothèses!$W$12,IF(U152&lt;=Hypothèses!$V$13,Hypothèses!$W$13,IF(U152&lt;=Hypothèses!$V$14,Hypothèses!$W$14,IF(U152&lt;=Hypothèses!$V$15,Hypothèses!$W$15,IF(U152&lt;=Hypothèses!$V$16,Hypothèses!$W$16,IF(U152&lt;=Hypothèses!$V$17,Hypothèses!$W$17,IF(U152&lt;=Hypothèses!$V$18,Hypothèses!$W$18,""))))))))))))</f>
        <v>#DIV/0!</v>
      </c>
      <c r="AP152" s="87" t="e">
        <f t="shared" ca="1" si="317"/>
        <v>#DIV/0!</v>
      </c>
      <c r="AQ152" s="88" t="e">
        <f ca="1">IF(U152&lt;=Hypothèses!$V$7,Hypothèses!$X$7,IF(U152&lt;=Hypothèses!$V$8,Hypothèses!$X$8,IF(U152&lt;=Hypothèses!$V$9,Hypothèses!$X$9,IF(U152&lt;=Hypothèses!$V$10,Hypothèses!$X$10,IF(U152&lt;=Hypothèses!$V$11,Hypothèses!$X$11,IF(U152&lt;=Hypothèses!$V$12,Hypothèses!$X$12,IF(U152&lt;=Hypothèses!$V$13,Hypothèses!$X$13,IF(U152&lt;=Hypothèses!$V$14,Hypothèses!$X$14,IF(U152&lt;=Hypothèses!$V$15,Hypothèses!$X$15,IF(U152&lt;=Hypothèses!$V$16,Hypothèses!$X$16,IF(U152&lt;=Hypothèses!$U$17,Hypothèses!$W$17,IF(U152&lt;=Hypothèses!$U$18,Hypothèses!$W$18,""))))))))))))</f>
        <v>#DIV/0!</v>
      </c>
      <c r="AR152" s="95" t="e">
        <f t="shared" ca="1" si="272"/>
        <v>#DIV/0!</v>
      </c>
      <c r="AS152" s="101">
        <f t="shared" si="324"/>
        <v>0</v>
      </c>
      <c r="AT152" s="91">
        <f t="shared" si="241"/>
        <v>0</v>
      </c>
      <c r="AU152" s="30" t="e">
        <f t="shared" si="302"/>
        <v>#N/A</v>
      </c>
      <c r="AV152" s="30" t="e">
        <f t="shared" si="303"/>
        <v>#N/A</v>
      </c>
      <c r="AW152" s="31" t="e">
        <f>IF(OR(Hypothèses!$B$4=17,Hypothèses!$B$4=18,Hypothèses!$B$4=19,Hypothèses!$B$4=20),
IF($D152="Pressio.",
IF(OR($E152=3,$E152=1,$E152=4),AV152,AU152),
IF($D152="Pénétro.",
IF(OR($E152=3,$E152=1,$E152=4),AV152,AU152))),IF($D152="Pressio.",
IF($E152=3,AV152,AU152),
IF($D152="Pénétro.",
IF($E152=4,AV152,AU152))))</f>
        <v>#N/A</v>
      </c>
      <c r="AX152" s="31">
        <v>0</v>
      </c>
      <c r="AY152" s="102" t="e">
        <f>IF(NDC!$H$10="Oui",(VLOOKUP($B$3,'Coeff EC7'!$T$39:$X$59,2,0)*AW152+VLOOKUP($B$3,'Coeff EC7'!$T$65:$X$85,2,0)*Model0.1T!AX152)/1.5,PI()*AU$12*$Q152*($B152-$B151)*0.15/10+AY151)</f>
        <v>#N/A</v>
      </c>
      <c r="AZ152" s="102" t="e">
        <f>(VLOOKUP($B$3,'Coeff EC7'!$T$39:$X$59,3,0)*AW152+VLOOKUP($B$3,'Coeff EC7'!$T$65:$X$85,3,0)*Model0.1T!AX152)/1.1</f>
        <v>#N/A</v>
      </c>
      <c r="BA152" s="102" t="e">
        <f t="shared" si="273"/>
        <v>#N/A</v>
      </c>
      <c r="BB152" s="102" t="e">
        <f t="shared" si="274"/>
        <v>#N/A</v>
      </c>
      <c r="BC152" s="414" t="e">
        <f>IF(AND(AY152&gt;NDC!$C$63,AZ152&gt;NDC!$C$65,BA152&gt;NDC!$D$73,BB152&gt;NDC!$D$74,$B152&gt;NDC!$H$22-0.1+MIN(3*BC$12,1.5)),0,1)</f>
        <v>#N/A</v>
      </c>
      <c r="BD152" s="86" t="b">
        <f t="shared" si="242"/>
        <v>0</v>
      </c>
      <c r="BE152" s="86">
        <f t="shared" si="275"/>
        <v>0.5</v>
      </c>
      <c r="BF152" s="86">
        <f t="shared" si="243"/>
        <v>0.5</v>
      </c>
      <c r="BG152" s="30" t="e">
        <f t="shared" ca="1" si="276"/>
        <v>#DIV/0!</v>
      </c>
      <c r="BH152" s="85" t="e">
        <f ca="1">IF(AN152&lt;=Hypothèses!$V$7,Hypothèses!$W$7,IF(AN152&lt;=Hypothèses!$V$8,Hypothèses!$W$8,IF(AN152&lt;=Hypothèses!$V$9,Hypothèses!$W$9,IF(AN152&lt;=Hypothèses!$V$10,Hypothèses!$W$10,IF(AN152&lt;=Hypothèses!$V$11,Hypothèses!$W$11,IF(AN152&lt;=Hypothèses!$V$12,Hypothèses!$W$12,IF(AN152&lt;=Hypothèses!$V$13,Hypothèses!$W$13,IF(AN152&lt;=Hypothèses!$V$14,Hypothèses!$W$14,IF(AN152&lt;=Hypothèses!$V$15,Hypothèses!$W$15,IF(AN152&lt;=Hypothèses!$V$16,Hypothèses!$W$16,IF(AN152&lt;=Hypothèses!$V$17,Hypothèses!$W$17,IF(AN152&lt;=Hypothèses!$V$18,Hypothèses!$W$18,""))))))))))))</f>
        <v>#DIV/0!</v>
      </c>
      <c r="BI152" s="87" t="e">
        <f t="shared" ca="1" si="318"/>
        <v>#DIV/0!</v>
      </c>
      <c r="BJ152" s="88" t="e">
        <f ca="1">IF(AN152&lt;=Hypothèses!$V$7,Hypothèses!$X$7,IF(AN152&lt;=Hypothèses!$V$8,Hypothèses!$X$8,IF(AN152&lt;=Hypothèses!$V$9,Hypothèses!$X$9,IF(AN152&lt;=Hypothèses!$V$10,Hypothèses!$X$10,IF(AN152&lt;=Hypothèses!$V$11,Hypothèses!$X$11,IF(AN152&lt;=Hypothèses!$V$12,Hypothèses!$X$12,IF(AN152&lt;=Hypothèses!$V$13,Hypothèses!$X$13,IF(AN152&lt;=Hypothèses!$V$14,Hypothèses!$X$14,IF(AN152&lt;=Hypothèses!$V$15,Hypothèses!$X$15,IF(AN152&lt;=Hypothèses!$V$16,Hypothèses!$X$16,IF(AN152&lt;=Hypothèses!$U$17,Hypothèses!$W$17,IF(AN152&lt;=Hypothèses!$U$18,Hypothèses!$W$18,""))))))))))))</f>
        <v>#DIV/0!</v>
      </c>
      <c r="BK152" s="95" t="e">
        <f t="shared" ca="1" si="277"/>
        <v>#DIV/0!</v>
      </c>
      <c r="BL152" s="101">
        <f t="shared" si="325"/>
        <v>0</v>
      </c>
      <c r="BM152" s="91">
        <f t="shared" si="244"/>
        <v>0</v>
      </c>
      <c r="BN152" s="30" t="e">
        <f t="shared" si="304"/>
        <v>#N/A</v>
      </c>
      <c r="BO152" s="30" t="e">
        <f t="shared" si="305"/>
        <v>#N/A</v>
      </c>
      <c r="BP152" s="31" t="e">
        <f>IF(OR(Hypothèses!$B$4=17,Hypothèses!$B$4=18,Hypothèses!$B$4=19,Hypothèses!$B$4=20),
IF($D152="Pressio.",
IF(OR($E152=3,$E152=1,$E152=4),BO152,BN152),
IF($D152="Pénétro.",
IF(OR($E152=3,$E152=1,$E152=4),BO152,BN152))),IF($D152="Pressio.",
IF($E152=3,BO152,BN152),
IF($D152="Pénétro.",
IF($E152=4,BO152,BN152))))</f>
        <v>#N/A</v>
      </c>
      <c r="BQ152" s="31">
        <v>0</v>
      </c>
      <c r="BR152" s="102" t="e">
        <f>IF(NDC!$H$10="Oui",(VLOOKUP($B$3,'Coeff EC7'!$T$39:$X$59,2,0)*BP152+VLOOKUP($B$3,'Coeff EC7'!$T$65:$X$85,2,0)*Model0.1T!BQ152)/1.5,PI()*BN$12*$Q152*($B152-$B151)*0.15/10+BR151)</f>
        <v>#N/A</v>
      </c>
      <c r="BS152" s="102" t="e">
        <f>(VLOOKUP($B$3,'Coeff EC7'!$T$39:$X$59,3,0)*BP152+VLOOKUP($B$3,'Coeff EC7'!$T$65:$X$85,3,0)*Model0.1T!BQ152)/1.1</f>
        <v>#N/A</v>
      </c>
      <c r="BT152" s="102" t="e">
        <f t="shared" si="278"/>
        <v>#N/A</v>
      </c>
      <c r="BU152" s="102" t="e">
        <f t="shared" si="279"/>
        <v>#N/A</v>
      </c>
      <c r="BV152" s="414" t="e">
        <f>IF(AND(BR152&gt;NDC!$C$63,BS152&gt;NDC!$C$65,BT152&gt;NDC!$D$73,BU152&gt;NDC!$D$74,$B152&gt;NDC!$H$22-0.1+MIN(3*BV$12,1.5)),0,1)</f>
        <v>#N/A</v>
      </c>
      <c r="BW152" s="86" t="b">
        <f t="shared" si="245"/>
        <v>0</v>
      </c>
      <c r="BX152" s="86">
        <f t="shared" si="246"/>
        <v>0.5</v>
      </c>
      <c r="BY152" s="86">
        <f t="shared" si="247"/>
        <v>0.5</v>
      </c>
      <c r="BZ152" s="30" t="e">
        <f t="shared" ca="1" si="280"/>
        <v>#DIV/0!</v>
      </c>
      <c r="CA152" s="85" t="e">
        <f ca="1">IF(BG152&lt;=Hypothèses!$V$7,Hypothèses!$W$7,IF(BG152&lt;=Hypothèses!$V$8,Hypothèses!$W$8,IF(BG152&lt;=Hypothèses!$V$9,Hypothèses!$W$9,IF(BG152&lt;=Hypothèses!$V$10,Hypothèses!$W$10,IF(BG152&lt;=Hypothèses!$V$11,Hypothèses!$W$11,IF(BG152&lt;=Hypothèses!$V$12,Hypothèses!$W$12,IF(BG152&lt;=Hypothèses!$V$13,Hypothèses!$W$13,IF(BG152&lt;=Hypothèses!$V$14,Hypothèses!$W$14,IF(BG152&lt;=Hypothèses!$V$15,Hypothèses!$W$15,IF(BG152&lt;=Hypothèses!$V$16,Hypothèses!$W$16,IF(BG152&lt;=Hypothèses!$V$17,Hypothèses!$W$17,IF(BG152&lt;=Hypothèses!$V$18,Hypothèses!$W$18,""))))))))))))</f>
        <v>#DIV/0!</v>
      </c>
      <c r="CB152" s="87" t="e">
        <f t="shared" ca="1" si="319"/>
        <v>#DIV/0!</v>
      </c>
      <c r="CC152" s="88" t="e">
        <f ca="1">IF(BG152&lt;=Hypothèses!$V$7,Hypothèses!$X$7,IF(BG152&lt;=Hypothèses!$V$8,Hypothèses!$X$8,IF(BG152&lt;=Hypothèses!$V$9,Hypothèses!$X$9,IF(BG152&lt;=Hypothèses!$V$10,Hypothèses!$X$10,IF(BG152&lt;=Hypothèses!$V$11,Hypothèses!$X$11,IF(BG152&lt;=Hypothèses!$V$12,Hypothèses!$X$12,IF(BG152&lt;=Hypothèses!$V$13,Hypothèses!$X$13,IF(BG152&lt;=Hypothèses!$V$14,Hypothèses!$X$14,IF(BG152&lt;=Hypothèses!$V$15,Hypothèses!$X$15,IF(BG152&lt;=Hypothèses!$V$16,Hypothèses!$X$16,IF(BG152&lt;=Hypothèses!$U$17,Hypothèses!$W$17,IF(BG152&lt;=Hypothèses!$U$18,Hypothèses!$W$18,""))))))))))))</f>
        <v>#DIV/0!</v>
      </c>
      <c r="CD152" s="95" t="e">
        <f t="shared" ca="1" si="281"/>
        <v>#DIV/0!</v>
      </c>
      <c r="CE152" s="101">
        <f t="shared" si="326"/>
        <v>0</v>
      </c>
      <c r="CF152" s="91">
        <f t="shared" si="248"/>
        <v>0</v>
      </c>
      <c r="CG152" s="30" t="e">
        <f t="shared" si="306"/>
        <v>#N/A</v>
      </c>
      <c r="CH152" s="30" t="e">
        <f t="shared" si="307"/>
        <v>#N/A</v>
      </c>
      <c r="CI152" s="31" t="e">
        <f>IF(OR(Hypothèses!$B$4=17,Hypothèses!$B$4=18,Hypothèses!$B$4=19,Hypothèses!$B$4=20),
IF($D152="Pressio.",
IF(OR($E152=3,$E152=1,$E152=4),CH152,CG152),
IF($D152="Pénétro.",
IF(OR($E152=3,$E152=1,$E152=4),CH152,CG152))),IF($D152="Pressio.",
IF($E152=3,CH152,CG152),
IF($D152="Pénétro.",
IF($E152=4,CH152,CG152))))</f>
        <v>#N/A</v>
      </c>
      <c r="CJ152" s="31">
        <v>0</v>
      </c>
      <c r="CK152" s="102" t="e">
        <f>IF(NDC!$H$10="Oui",(VLOOKUP($B$3,'Coeff EC7'!$T$39:$X$59,2,0)*CI152+VLOOKUP($B$3,'Coeff EC7'!$T$65:$X$85,2,0)*Model0.1T!CJ152)/1.5,PI()*CG$12*$Q152*($B152-$B151)*0.15/10+CK151)</f>
        <v>#N/A</v>
      </c>
      <c r="CL152" s="102" t="e">
        <f>(VLOOKUP($B$3,'Coeff EC7'!$T$39:$X$59,3,0)*CI152+VLOOKUP($B$3,'Coeff EC7'!$T$65:$X$85,3,0)*Model0.1T!CJ152)/1.1</f>
        <v>#N/A</v>
      </c>
      <c r="CM152" s="102" t="e">
        <f t="shared" si="282"/>
        <v>#N/A</v>
      </c>
      <c r="CN152" s="102" t="e">
        <f t="shared" si="283"/>
        <v>#N/A</v>
      </c>
      <c r="CO152" s="414" t="e">
        <f>IF(AND(CK152&gt;NDC!$C$63,CL152&gt;NDC!$C$65,CM152&gt;NDC!$D$73,CN152&gt;NDC!$D$74,$B152&gt;NDC!$H$22-0.1+MIN(3*CO$12,1.5)),0,1)</f>
        <v>#N/A</v>
      </c>
      <c r="CP152" s="86" t="b">
        <f t="shared" si="249"/>
        <v>0</v>
      </c>
      <c r="CQ152" s="86">
        <f t="shared" si="250"/>
        <v>0.5</v>
      </c>
      <c r="CR152" s="86">
        <f t="shared" si="251"/>
        <v>0.5</v>
      </c>
      <c r="CS152" s="30" t="e">
        <f t="shared" ca="1" si="284"/>
        <v>#DIV/0!</v>
      </c>
      <c r="CT152" s="85" t="e">
        <f ca="1">IF(BZ152&lt;=Hypothèses!$V$7,Hypothèses!$W$7,IF(BZ152&lt;=Hypothèses!$V$8,Hypothèses!$W$8,IF(BZ152&lt;=Hypothèses!$V$9,Hypothèses!$W$9,IF(BZ152&lt;=Hypothèses!$V$10,Hypothèses!$W$10,IF(BZ152&lt;=Hypothèses!$V$11,Hypothèses!$W$11,IF(BZ152&lt;=Hypothèses!$V$12,Hypothèses!$W$12,IF(BZ152&lt;=Hypothèses!$V$13,Hypothèses!$W$13,IF(BZ152&lt;=Hypothèses!$V$14,Hypothèses!$W$14,IF(BZ152&lt;=Hypothèses!$V$15,Hypothèses!$W$15,IF(BZ152&lt;=Hypothèses!$V$16,Hypothèses!$W$16,IF(BZ152&lt;=Hypothèses!$V$17,Hypothèses!$W$17,IF(BZ152&lt;=Hypothèses!$V$18,Hypothèses!$W$18,""))))))))))))</f>
        <v>#DIV/0!</v>
      </c>
      <c r="CU152" s="87" t="e">
        <f t="shared" ca="1" si="320"/>
        <v>#DIV/0!</v>
      </c>
      <c r="CV152" s="88" t="e">
        <f ca="1">IF(BZ152&lt;=Hypothèses!$V$7,Hypothèses!$X$7,IF(BZ152&lt;=Hypothèses!$V$8,Hypothèses!$X$8,IF(BZ152&lt;=Hypothèses!$V$9,Hypothèses!$X$9,IF(BZ152&lt;=Hypothèses!$V$10,Hypothèses!$X$10,IF(BZ152&lt;=Hypothèses!$V$11,Hypothèses!$X$11,IF(BZ152&lt;=Hypothèses!$V$12,Hypothèses!$X$12,IF(BZ152&lt;=Hypothèses!$V$13,Hypothèses!$X$13,IF(BZ152&lt;=Hypothèses!$V$14,Hypothèses!$X$14,IF(BZ152&lt;=Hypothèses!$V$15,Hypothèses!$X$15,IF(BZ152&lt;=Hypothèses!$V$16,Hypothèses!$X$16,IF(BZ152&lt;=Hypothèses!$U$17,Hypothèses!$W$17,IF(BZ152&lt;=Hypothèses!$U$18,Hypothèses!$W$18,""))))))))))))</f>
        <v>#DIV/0!</v>
      </c>
      <c r="CW152" s="95" t="e">
        <f t="shared" ca="1" si="285"/>
        <v>#DIV/0!</v>
      </c>
      <c r="CX152" s="101">
        <f t="shared" si="327"/>
        <v>0</v>
      </c>
      <c r="CY152" s="91">
        <f t="shared" si="252"/>
        <v>0</v>
      </c>
      <c r="CZ152" s="30" t="e">
        <f t="shared" si="308"/>
        <v>#N/A</v>
      </c>
      <c r="DA152" s="30" t="e">
        <f t="shared" si="309"/>
        <v>#N/A</v>
      </c>
      <c r="DB152" s="31" t="e">
        <f>IF(OR(Hypothèses!$B$4=17,Hypothèses!$B$4=18,Hypothèses!$B$4=19,Hypothèses!$B$4=20),
IF($D152="Pressio.",
IF(OR($E152=3,$E152=1,$E152=4),DA152,CZ152),
IF($D152="Pénétro.",
IF(OR($E152=3,$E152=1,$E152=4),DA152,CZ152))),IF($D152="Pressio.",
IF($E152=3,DA152,CZ152),
IF($D152="Pénétro.",
IF($E152=4,DA152,CZ152))))</f>
        <v>#N/A</v>
      </c>
      <c r="DC152" s="31">
        <v>0</v>
      </c>
      <c r="DD152" s="102" t="e">
        <f>IF(NDC!$H$10="Oui",(VLOOKUP($B$3,'Coeff EC7'!$T$39:$X$59,2,0)*DB152+VLOOKUP($B$3,'Coeff EC7'!$T$65:$X$85,2,0)*Model0.1T!DC152)/1.5,PI()*CZ$12*$Q152*($B152-$B151)*0.15/10+DD151)</f>
        <v>#N/A</v>
      </c>
      <c r="DE152" s="102" t="e">
        <f>(VLOOKUP($B$3,'Coeff EC7'!$T$39:$X$59,3,0)*DB152+VLOOKUP($B$3,'Coeff EC7'!$T$65:$X$85,3,0)*Model0.1T!DC152)/1.1</f>
        <v>#N/A</v>
      </c>
      <c r="DF152" s="102" t="e">
        <f t="shared" si="286"/>
        <v>#N/A</v>
      </c>
      <c r="DG152" s="102" t="e">
        <f t="shared" si="287"/>
        <v>#N/A</v>
      </c>
      <c r="DH152" s="414" t="e">
        <f>IF(AND(DD152&gt;NDC!$C$63,DE152&gt;NDC!$C$65,DF152&gt;NDC!$D$73,DG152&gt;NDC!$D$74,$B152&gt;NDC!$H$22-0.1+MIN(3*DH$12,1.5)),0,1)</f>
        <v>#N/A</v>
      </c>
      <c r="DI152" s="86" t="b">
        <f t="shared" si="253"/>
        <v>0</v>
      </c>
      <c r="DJ152" s="86">
        <f t="shared" si="254"/>
        <v>0.5</v>
      </c>
      <c r="DK152" s="86">
        <f t="shared" si="255"/>
        <v>0.5</v>
      </c>
      <c r="DL152" s="30" t="e">
        <f t="shared" ca="1" si="288"/>
        <v>#DIV/0!</v>
      </c>
      <c r="DM152" s="85" t="e">
        <f ca="1">IF(CS152&lt;=Hypothèses!$V$7,Hypothèses!$W$7,IF(CS152&lt;=Hypothèses!$V$8,Hypothèses!$W$8,IF(CS152&lt;=Hypothèses!$V$9,Hypothèses!$W$9,IF(CS152&lt;=Hypothèses!$V$10,Hypothèses!$W$10,IF(CS152&lt;=Hypothèses!$V$11,Hypothèses!$W$11,IF(CS152&lt;=Hypothèses!$V$12,Hypothèses!$W$12,IF(CS152&lt;=Hypothèses!$V$13,Hypothèses!$W$13,IF(CS152&lt;=Hypothèses!$V$14,Hypothèses!$W$14,IF(CS152&lt;=Hypothèses!$V$15,Hypothèses!$W$15,IF(CS152&lt;=Hypothèses!$V$16,Hypothèses!$W$16,IF(CS152&lt;=Hypothèses!$V$17,Hypothèses!$W$17,IF(CS152&lt;=Hypothèses!$V$18,Hypothèses!$W$18,""))))))))))))</f>
        <v>#DIV/0!</v>
      </c>
      <c r="DN152" s="87" t="e">
        <f t="shared" ca="1" si="321"/>
        <v>#DIV/0!</v>
      </c>
      <c r="DO152" s="88" t="e">
        <f ca="1">IF(CS152&lt;=Hypothèses!$V$7,Hypothèses!$X$7,IF(CS152&lt;=Hypothèses!$V$8,Hypothèses!$X$8,IF(CS152&lt;=Hypothèses!$V$9,Hypothèses!$X$9,IF(CS152&lt;=Hypothèses!$V$10,Hypothèses!$X$10,IF(CS152&lt;=Hypothèses!$V$11,Hypothèses!$X$11,IF(CS152&lt;=Hypothèses!$V$12,Hypothèses!$X$12,IF(CS152&lt;=Hypothèses!$V$13,Hypothèses!$X$13,IF(CS152&lt;=Hypothèses!$V$14,Hypothèses!$X$14,IF(CS152&lt;=Hypothèses!$V$15,Hypothèses!$X$15,IF(CS152&lt;=Hypothèses!$V$16,Hypothèses!$X$16,IF(CS152&lt;=Hypothèses!$U$17,Hypothèses!$W$17,IF(CS152&lt;=Hypothèses!$U$18,Hypothèses!$W$18,""))))))))))))</f>
        <v>#DIV/0!</v>
      </c>
      <c r="DP152" s="95" t="e">
        <f t="shared" ca="1" si="289"/>
        <v>#DIV/0!</v>
      </c>
      <c r="DQ152" s="101">
        <f t="shared" si="328"/>
        <v>0</v>
      </c>
      <c r="DR152" s="91">
        <f t="shared" si="256"/>
        <v>0</v>
      </c>
      <c r="DS152" s="30" t="e">
        <f t="shared" si="310"/>
        <v>#N/A</v>
      </c>
      <c r="DT152" s="30" t="e">
        <f t="shared" si="311"/>
        <v>#N/A</v>
      </c>
      <c r="DU152" s="31" t="e">
        <f>IF(OR(Hypothèses!$B$4=17,Hypothèses!$B$4=18,Hypothèses!$B$4=19,Hypothèses!$B$4=20),
IF($D152="Pressio.",
IF(OR($E152=3,$E152=1,$E152=4),DT152,DS152),
IF($D152="Pénétro.",
IF(OR($E152=3,$E152=1,$E152=4),DT152,DS152))),IF($D152="Pressio.",
IF($E152=3,DT152,DS152),
IF($D152="Pénétro.",
IF($E152=4,DT152,DS152))))</f>
        <v>#N/A</v>
      </c>
      <c r="DV152" s="31">
        <v>0</v>
      </c>
      <c r="DW152" s="102" t="e">
        <f>IF(NDC!$H$10="Oui",(VLOOKUP($B$3,'Coeff EC7'!$T$39:$X$59,2,0)*DU152+VLOOKUP($B$3,'Coeff EC7'!$T$65:$X$85,2,0)*Model0.1T!DV152)/1.5,PI()*DS$12*$Q152*($B152-$B151)*0.15/10+DW151)</f>
        <v>#N/A</v>
      </c>
      <c r="DX152" s="102" t="e">
        <f>(VLOOKUP($B$3,'Coeff EC7'!$T$39:$X$59,3,0)*DU152+VLOOKUP($B$3,'Coeff EC7'!$T$65:$X$85,3,0)*Model0.1T!DV152)/1.1</f>
        <v>#N/A</v>
      </c>
      <c r="DY152" s="102" t="e">
        <f t="shared" si="290"/>
        <v>#N/A</v>
      </c>
      <c r="DZ152" s="102" t="e">
        <f t="shared" si="291"/>
        <v>#N/A</v>
      </c>
      <c r="EA152" s="414" t="e">
        <f>IF(AND(DW152&gt;NDC!$C$63,DX152&gt;NDC!$C$65,DY152&gt;NDC!$D$73,DZ152&gt;NDC!$D$74,$B152&gt;NDC!$H$22-0.1+MIN(3*EA$12,1.5)),0,1)</f>
        <v>#N/A</v>
      </c>
      <c r="EB152" s="86" t="b">
        <f t="shared" si="257"/>
        <v>0</v>
      </c>
      <c r="EC152" s="418">
        <f t="shared" si="258"/>
        <v>0.51</v>
      </c>
      <c r="ED152" s="86">
        <f t="shared" si="259"/>
        <v>0.51</v>
      </c>
      <c r="EE152" s="30" t="e">
        <f t="shared" ca="1" si="292"/>
        <v>#DIV/0!</v>
      </c>
      <c r="EF152" s="85" t="e">
        <f ca="1">IF(DL152&lt;=Hypothèses!$V$7,Hypothèses!$W$7,IF(DL152&lt;=Hypothèses!$V$8,Hypothèses!$W$8,IF(DL152&lt;=Hypothèses!$V$9,Hypothèses!$W$9,IF(DL152&lt;=Hypothèses!$V$10,Hypothèses!$W$10,IF(DL152&lt;=Hypothèses!$V$11,Hypothèses!$W$11,IF(DL152&lt;=Hypothèses!$V$12,Hypothèses!$W$12,IF(DL152&lt;=Hypothèses!$V$13,Hypothèses!$W$13,IF(DL152&lt;=Hypothèses!$V$14,Hypothèses!$W$14,IF(DL152&lt;=Hypothèses!$V$15,Hypothèses!$W$15,IF(DL152&lt;=Hypothèses!$V$16,Hypothèses!$W$16,IF(DL152&lt;=Hypothèses!$V$17,Hypothèses!$W$17,IF(DL152&lt;=Hypothèses!$V$18,Hypothèses!$W$18,""))))))))))))</f>
        <v>#DIV/0!</v>
      </c>
      <c r="EG152" s="87" t="e">
        <f t="shared" ca="1" si="322"/>
        <v>#DIV/0!</v>
      </c>
      <c r="EH152" s="88" t="e">
        <f ca="1">IF(DL152&lt;=Hypothèses!$V$7,Hypothèses!$X$7,IF(DL152&lt;=Hypothèses!$V$8,Hypothèses!$X$8,IF(DL152&lt;=Hypothèses!$V$9,Hypothèses!$X$9,IF(DL152&lt;=Hypothèses!$V$10,Hypothèses!$X$10,IF(DL152&lt;=Hypothèses!$V$11,Hypothèses!$X$11,IF(DL152&lt;=Hypothèses!$V$12,Hypothèses!$X$12,IF(DL152&lt;=Hypothèses!$V$13,Hypothèses!$X$13,IF(DL152&lt;=Hypothèses!$V$14,Hypothèses!$X$14,IF(DL152&lt;=Hypothèses!$V$15,Hypothèses!$X$15,IF(DL152&lt;=Hypothèses!$V$16,Hypothèses!$X$16,IF(DL152&lt;=Hypothèses!$U$17,Hypothèses!$W$17,IF(DL152&lt;=Hypothèses!$U$18,Hypothèses!$W$18,""))))))))))))</f>
        <v>#DIV/0!</v>
      </c>
      <c r="EI152" s="95" t="e">
        <f t="shared" ca="1" si="293"/>
        <v>#DIV/0!</v>
      </c>
      <c r="EJ152" s="101">
        <f t="shared" si="329"/>
        <v>0</v>
      </c>
      <c r="EK152" s="91">
        <f t="shared" si="260"/>
        <v>0</v>
      </c>
      <c r="EL152" s="30" t="e">
        <f t="shared" si="312"/>
        <v>#N/A</v>
      </c>
      <c r="EM152" s="30" t="e">
        <f t="shared" si="313"/>
        <v>#N/A</v>
      </c>
      <c r="EN152" s="31" t="e">
        <f>IF(OR(Hypothèses!$B$4=17,Hypothèses!$B$4=18,Hypothèses!$B$4=19,Hypothèses!$B$4=20),
IF($D152="Pressio.",
IF(OR($E152=3,$E152=1,$E152=4),EM152,EL152),
IF($D152="Pénétro.",
IF(OR($E152=3,$E152=1,$E152=4),EM152,EL152))),IF($D152="Pressio.",
IF($E152=3,EM152,EL152),
IF($D152="Pénétro.",
IF($E152=4,EM152,EL152))))</f>
        <v>#N/A</v>
      </c>
      <c r="EO152" s="31">
        <v>0</v>
      </c>
      <c r="EP152" s="102" t="e">
        <f>IF(NDC!$H$10="Oui",(VLOOKUP($B$3,'Coeff EC7'!$T$39:$X$59,2,0)*EN152+VLOOKUP($B$3,'Coeff EC7'!$T$65:$X$85,2,0)*Model0.1T!EO152)/1.5,PI()*EL$12*$Q152*($B152-$B151)*0.15/10+EP151)</f>
        <v>#N/A</v>
      </c>
      <c r="EQ152" s="102" t="e">
        <f>(VLOOKUP($B$3,'Coeff EC7'!$T$39:$X$59,3,0)*EN152+VLOOKUP($B$3,'Coeff EC7'!$T$65:$X$85,3,0)*Model0.1T!EO152)/1.1</f>
        <v>#N/A</v>
      </c>
      <c r="ER152" s="102" t="e">
        <f t="shared" si="294"/>
        <v>#N/A</v>
      </c>
      <c r="ES152" s="102" t="e">
        <f t="shared" si="295"/>
        <v>#N/A</v>
      </c>
      <c r="ET152" s="414" t="e">
        <f>IF(AND(EP152&gt;NDC!$C$63,EQ152&gt;NDC!$C$65,ER152&gt;NDC!$D$73,ES152&gt;NDC!$D$74,$B152&gt;NDC!$H$22-0.1+MIN(3*ET$12,1.5)),0,1)</f>
        <v>#N/A</v>
      </c>
      <c r="EU152" s="86" t="b">
        <f t="shared" si="261"/>
        <v>0</v>
      </c>
      <c r="EV152" s="86">
        <f t="shared" si="262"/>
        <v>0.61</v>
      </c>
      <c r="EW152" s="86">
        <f t="shared" si="263"/>
        <v>0.61</v>
      </c>
      <c r="EX152" s="30" t="e">
        <f t="shared" ca="1" si="296"/>
        <v>#DIV/0!</v>
      </c>
      <c r="EY152" s="85" t="e">
        <f ca="1">IF(EE152&lt;=Hypothèses!$V$7,Hypothèses!$W$7,IF(EE152&lt;=Hypothèses!$V$8,Hypothèses!$W$8,IF(EE152&lt;=Hypothèses!$V$9,Hypothèses!$W$9,IF(EE152&lt;=Hypothèses!$V$10,Hypothèses!$W$10,IF(EE152&lt;=Hypothèses!$V$11,Hypothèses!$W$11,IF(EE152&lt;=Hypothèses!$V$12,Hypothèses!$W$12,IF(EE152&lt;=Hypothèses!$V$13,Hypothèses!$W$13,IF(EE152&lt;=Hypothèses!$V$14,Hypothèses!$W$14,IF(EE152&lt;=Hypothèses!$V$15,Hypothèses!$W$15,IF(EE152&lt;=Hypothèses!$V$16,Hypothèses!$W$16,IF(EE152&lt;=Hypothèses!$V$17,Hypothèses!$W$17,IF(EE152&lt;=Hypothèses!$V$18,Hypothèses!$W$18,""))))))))))))</f>
        <v>#DIV/0!</v>
      </c>
      <c r="EZ152" s="87" t="e">
        <f t="shared" ca="1" si="323"/>
        <v>#DIV/0!</v>
      </c>
      <c r="FA152" s="88" t="e">
        <f ca="1">IF(EE152&lt;=Hypothèses!$V$7,Hypothèses!$X$7,IF(EE152&lt;=Hypothèses!$V$8,Hypothèses!$X$8,IF(EE152&lt;=Hypothèses!$V$9,Hypothèses!$X$9,IF(EE152&lt;=Hypothèses!$V$10,Hypothèses!$X$10,IF(EE152&lt;=Hypothèses!$V$11,Hypothèses!$X$11,IF(EE152&lt;=Hypothèses!$V$12,Hypothèses!$X$12,IF(EE152&lt;=Hypothèses!$V$13,Hypothèses!$X$13,IF(EE152&lt;=Hypothèses!$V$14,Hypothèses!$X$14,IF(EE152&lt;=Hypothèses!$V$15,Hypothèses!$X$15,IF(EE152&lt;=Hypothèses!$V$16,Hypothèses!$X$16,IF(EE152&lt;=Hypothèses!$U$17,Hypothèses!$W$17,IF(EE152&lt;=Hypothèses!$U$18,Hypothèses!$W$18,""))))))))))))</f>
        <v>#DIV/0!</v>
      </c>
      <c r="FB152" s="95" t="e">
        <f t="shared" ca="1" si="297"/>
        <v>#DIV/0!</v>
      </c>
      <c r="FC152" s="101">
        <f t="shared" si="330"/>
        <v>0</v>
      </c>
      <c r="FD152" s="91">
        <f t="shared" si="264"/>
        <v>0</v>
      </c>
      <c r="FE152" s="30" t="e">
        <f t="shared" si="314"/>
        <v>#N/A</v>
      </c>
      <c r="FF152" s="30" t="e">
        <f t="shared" si="315"/>
        <v>#N/A</v>
      </c>
      <c r="FG152" s="31" t="e">
        <f>IF(OR(Hypothèses!$B$4=17,Hypothèses!$B$4=18,Hypothèses!$B$4=19,Hypothèses!$B$4=20),
IF($D152="Pressio.",
IF(OR($E152=3,$E152=1,$E152=4),FF152,FE152),
IF($D152="Pénétro.",
IF(OR($E152=3,$E152=1,$E152=4),FF152,FE152))),IF($D152="Pressio.",
IF($E152=3,FF152,FE152),
IF($D152="Pénétro.",
IF($E152=4,FF152,FE152))))</f>
        <v>#N/A</v>
      </c>
      <c r="FH152" s="31">
        <v>0</v>
      </c>
      <c r="FI152" s="102" t="e">
        <f>IF(NDC!$H$10="Oui",(VLOOKUP($B$3,'Coeff EC7'!$T$39:$X$59,2,0)*FG152+VLOOKUP($B$3,'Coeff EC7'!$T$65:$X$85,2,0)*Model0.1T!FH152)/1.5,PI()*FE$12*$Q152*($B152-$B151)*0.15/10+FI151)</f>
        <v>#N/A</v>
      </c>
      <c r="FJ152" s="102" t="e">
        <f>(VLOOKUP($B$3,'Coeff EC7'!$T$39:$X$59,3,0)*FG152+VLOOKUP($B$3,'Coeff EC7'!$T$65:$X$85,3,0)*Model0.1T!FH152)/1.1</f>
        <v>#N/A</v>
      </c>
      <c r="FK152" s="102" t="e">
        <f t="shared" si="298"/>
        <v>#N/A</v>
      </c>
      <c r="FL152" s="102" t="e">
        <f t="shared" si="299"/>
        <v>#N/A</v>
      </c>
      <c r="FM152" s="414" t="e">
        <f>IF(AND(FI152&gt;NDC!$C$63,FJ152&gt;NDC!$C$65,FK152&gt;NDC!$D$73,FL152&gt;NDC!$D$74,$B152&gt;NDC!$H$22-0.1+MIN(3*FM$12,1.5)),0,1)</f>
        <v>#N/A</v>
      </c>
    </row>
    <row r="153" spans="1:169">
      <c r="A153" s="96">
        <f t="shared" si="265"/>
        <v>86.000000000000796</v>
      </c>
      <c r="B153" s="97">
        <v>14</v>
      </c>
      <c r="C153" s="81">
        <f>IF(B153&lt;=Hypothèses!$C$7,Hypothèses!$A$7,IF(B153&lt;=Hypothèses!$C$8,Hypothèses!$A$8,IF(B153&lt;=Hypothèses!$C$9,Hypothèses!$A$9,IF(B153&lt;=Hypothèses!$C$10,Hypothèses!$A$10,IF(B153&lt;=Hypothèses!$C$11,Hypothèses!$A$11,IF(B153&lt;=Hypothèses!$C$12,Hypothèses!$A$12,IF(B153&lt;=Hypothèses!$C$13,Hypothèses!$A$13,IF(B153&lt;=Hypothèses!$C$14,Hypothèses!$A$14,IF(B153&lt;=Hypothèses!$C$15,Hypothèses!$A$15,IF(B153&lt;=Hypothèses!$C$16,Hypothèses!$A$16,IF(B153&lt;=Hypothèses!$C$17,Hypothèses!$A$17,IF(B153&lt;=Hypothèses!$C$18,Hypothèses!$A$18,C152))))))))))))</f>
        <v>11</v>
      </c>
      <c r="D153" s="82" t="str">
        <f>IF(B153&lt;=Hypothèses!$C$7,Hypothèses!$R$7,IF(B153&lt;=Hypothèses!$C$8,Hypothèses!$R$8,IF(B153&lt;=Hypothèses!$C$9,Hypothèses!$R$9,IF(B153&lt;=Hypothèses!$C$10,Hypothèses!$R$10,IF(B153&lt;=Hypothèses!$C$11,Hypothèses!$R$11,IF(B153&lt;=Hypothèses!$C$12,Hypothèses!$R$12,IF(B153&lt;=Hypothèses!$C$13,Hypothèses!$R$13,IF(B153&lt;=Hypothèses!$C$14,Hypothèses!$R$14,IF(B153&lt;=Hypothèses!$C$15,Hypothèses!$R$15,IF(B153&lt;=Hypothèses!$C$16,Hypothèses!$R$16,IF(B153&lt;=Hypothèses!$C$17,Hypothèses!$R$17,IF(B153&lt;=Hypothèses!$C$18,Hypothèses!$R$18,D152))))))))))))</f>
        <v>Pressio.</v>
      </c>
      <c r="E153" s="82" t="e">
        <f>IF(B153&lt;=Hypothèses!$C$7,Hypothèses!$G$7,IF(B153&lt;=Hypothèses!$C$8,Hypothèses!$G$8,IF(B153&lt;=Hypothèses!$C$9,Hypothèses!$G$9,IF(B153&lt;=Hypothèses!$C$10,Hypothèses!$G$10,IF(B153&lt;=Hypothèses!$C$11,Hypothèses!$G$11,IF(B153&lt;=Hypothèses!$C$12,Hypothèses!$G$12,IF(B153&lt;=Hypothèses!$C$13,Hypothèses!$G$13,IF(B153&lt;=Hypothèses!$C$14,Hypothèses!$G$14,IF(B153&lt;=Hypothèses!$C$15,Hypothèses!$G$15,IF(B153&lt;=Hypothèses!$C$16,Hypothèses!$G$16,IF(B153&lt;=Hypothèses!$C$17,Hypothèses!$G$17,IF(B153&lt;=Hypothèses!$C$18,Hypothèses!$G$18,E152))))))))))))</f>
        <v>#N/A</v>
      </c>
      <c r="F153" s="82" t="str">
        <f>IF(B153&lt;=Hypothèses!$C$7,Hypothèses!$F$7,IF(B153&lt;=Hypothèses!$C$8,Hypothèses!$F$8,IF(B153&lt;=Hypothèses!$C$9,Hypothèses!$F$9,IF(B153&lt;=Hypothèses!$C$10,Hypothèses!$F$10,IF(B153&lt;=Hypothèses!$C$11,Hypothèses!$F$11,IF(B153&lt;=Hypothèses!$C$12,Hypothèses!$F$12,IF(B153&lt;=Hypothèses!$C$13,Hypothèses!$F$13,IF(B153&lt;=Hypothèses!$C$14,Hypothèses!$F$14,IF(B153&lt;=Hypothèses!$C$15,Hypothèses!$F$15,IF(B153&lt;=Hypothèses!$C$16,Hypothèses!$F$16,IF(B153&lt;=Hypothèses!$C$17,Hypothèses!$F$17,IF(B153&lt;=Hypothèses!$C$18,Hypothèses!$F$18,F152))))))))))))</f>
        <v/>
      </c>
      <c r="G153" s="91">
        <f t="array" ref="G153">INDEX('Coeff EC7'!$U$7:$X$27,
MATCH(Model0.1T!$B$3,'Coeff EC7'!$T$7:$T$27,0),
MATCH(Model0.1T!$D153&amp;Model0.1T!$B$4,
'Coeff EC7'!$U$6:$X$6&amp;
'Coeff EC7'!$U$5:$X$5,0))</f>
        <v>1.4</v>
      </c>
      <c r="H153" s="91">
        <f t="array" ref="H153">INDEX('Coeff EC7'!$Y$7:$AB$27,
MATCH(Model0.1T!$B$3,'Coeff EC7'!$T$7:$T$27,0),
MATCH(Model0.1T!$D153&amp;Model0.1T!$B$4,
'Coeff EC7'!$Y$6:$AB$6&amp;
'Coeff EC7'!$Y$5:$AB$5,0))</f>
        <v>1.7</v>
      </c>
      <c r="I153" s="83">
        <v>0</v>
      </c>
      <c r="J153" s="91" t="e">
        <f t="array" ref="J153">INDEX('Coeff EC7'!$D$33:$Q$33,1,MATCH(D153&amp;E153,'Coeff EC7'!$D$31:$Q$31&amp;'Coeff EC7'!$D$32:$Q$32,0))</f>
        <v>#N/A</v>
      </c>
      <c r="K153" s="91" t="e">
        <f t="array" ref="K153">INDEX('Coeff EC7'!$D$34:$Q$34,1,MATCH(D153&amp;E153,'Coeff EC7'!$D$31:$Q$31&amp;'Coeff EC7'!$D$32:$Q$32,0))</f>
        <v>#N/A</v>
      </c>
      <c r="L153" s="91" t="e">
        <f t="array" ref="L153">INDEX('Coeff EC7'!$D$35:$Q$35,1,MATCH(D153&amp;E153,'Coeff EC7'!$D$31:$Q$31&amp;'Coeff EC7'!$D$32:$Q$32,0))</f>
        <v>#N/A</v>
      </c>
      <c r="M153" s="98" t="e">
        <f t="shared" si="231"/>
        <v>#N/A</v>
      </c>
      <c r="N153" s="99" t="e">
        <f t="array" ref="N153">INDEX('Coeff EC7'!$D$7:$Q$27,MATCH($B$3,'Coeff EC7'!$C$7:$C$27,0),MATCH(D153&amp;E153,'Coeff EC7'!$D$5:$Q$5&amp;'Coeff EC7'!$D$6:$Q$6,0))</f>
        <v>#N/A</v>
      </c>
      <c r="O153" s="99" t="e">
        <f t="array" ref="O153">INDEX('Coeff EC7'!$D$41:$Q$61,MATCH($B$3,'Coeff EC7'!$C$41:$C$61,0),MATCH(D153&amp;E153,'Coeff EC7'!$D$39:$Q$39&amp;'Coeff EC7'!$D$40:$Q$40,0))</f>
        <v>#N/A</v>
      </c>
      <c r="P153" s="30" t="e">
        <f t="shared" si="266"/>
        <v>#N/A</v>
      </c>
      <c r="Q153" s="100" t="e">
        <f t="shared" si="233"/>
        <v>#N/A</v>
      </c>
      <c r="R153" s="86" t="b">
        <f t="shared" si="234"/>
        <v>0</v>
      </c>
      <c r="S153" s="86">
        <f t="shared" si="232"/>
        <v>0.5</v>
      </c>
      <c r="T153" s="86">
        <f t="shared" si="235"/>
        <v>0.5</v>
      </c>
      <c r="U153" s="30" t="e">
        <f t="shared" ca="1" si="267"/>
        <v>#DIV/0!</v>
      </c>
      <c r="V153" s="85" t="str">
        <f>IF(B153&lt;=Hypothèses!$V$7,Hypothèses!$W$7,IF(B153&lt;=Hypothèses!$V$8,Hypothèses!$W$8,IF(B153&lt;=Hypothèses!$V$9,Hypothèses!$W$9,IF(B153&lt;=Hypothèses!$V$10,Hypothèses!$W$10,IF(B153&lt;=Hypothèses!$V$11,Hypothèses!$W$11,IF(B153&lt;=Hypothèses!$V$12,Hypothèses!$W$12,IF(B153&lt;=Hypothèses!$V$13,Hypothèses!$W$13,IF(B153&lt;=Hypothèses!$V$14,Hypothèses!$W$14,IF(B153&lt;=Hypothèses!$V$15,Hypothèses!$W$15,IF(B153&lt;=Hypothèses!$V$16,Hypothèses!$W$16,IF(B153&lt;=Hypothèses!$V$17,Hypothèses!$W$17,IF(B153&lt;=Hypothèses!$V$18,Hypothèses!$W$18,""))))))))))))</f>
        <v/>
      </c>
      <c r="W153" s="87" t="e">
        <f t="shared" ca="1" si="316"/>
        <v>#DIV/0!</v>
      </c>
      <c r="X153" s="88" t="str">
        <f>IF(B153&lt;=Hypothèses!$V$7,Hypothèses!$X$7,IF(B153&lt;=Hypothèses!$V$8,Hypothèses!$X$8,IF(B153&lt;=Hypothèses!$V$9,Hypothèses!$X$9,IF(B153&lt;=Hypothèses!$V$10,Hypothèses!$X$10,IF(B153&lt;=Hypothèses!$V$11,Hypothèses!$X$11,IF(B153&lt;=Hypothèses!$V$12,Hypothèses!$X$12,IF(B153&lt;=Hypothèses!$V$13,Hypothèses!$X$13,IF(B153&lt;=Hypothèses!$V$14,Hypothèses!$X$14,IF(B153&lt;=Hypothèses!$V$15,Hypothèses!$X$15,IF(B153&lt;=Hypothèses!$V$16,Hypothèses!$X$16,IF(B153&lt;=Hypothèses!$U$17,Hypothèses!$W$17,IF(B153&lt;=Hypothèses!$U$18,Hypothèses!$W$18,""))))))))))))</f>
        <v/>
      </c>
      <c r="Y153" s="95" t="e">
        <f t="shared" ca="1" si="236"/>
        <v>#DIV/0!</v>
      </c>
      <c r="Z153" s="101">
        <f t="shared" si="237"/>
        <v>0</v>
      </c>
      <c r="AA153" s="91">
        <f t="shared" si="238"/>
        <v>0</v>
      </c>
      <c r="AB153" s="30" t="e">
        <f t="shared" si="300"/>
        <v>#N/A</v>
      </c>
      <c r="AC153" s="30" t="e">
        <f t="shared" si="301"/>
        <v>#N/A</v>
      </c>
      <c r="AD153" s="31" t="e">
        <f>IF(OR(Hypothèses!$B$4=17,Hypothèses!$B$4=18,Hypothèses!$B$4=19,Hypothèses!$B$4=20),
IF($D153="Pressio.",
IF(OR($E153=3,$E153=1,$E153=4),AC153,AB153),
IF($D153="Pénétro.",
IF(OR($E153=3,$E153=1,$E153=4),AC153,AB153))),IF($D153="Pressio.",
IF($E153=3,AC153,AB153),
IF($D153="Pénétro.",
IF($E153=4,AC153,AB153))))</f>
        <v>#N/A</v>
      </c>
      <c r="AE153" s="31">
        <v>0</v>
      </c>
      <c r="AF153" s="102" t="e">
        <f>IF(NDC!$H$10="Oui",(VLOOKUP($B$3,'Coeff EC7'!$T$39:$X$59,2,0)*AD153+VLOOKUP($B$3,'Coeff EC7'!$T$65:$X$85,2,0)*Model0.1T!AE153)/1.5,PI()*AB$12*$Q153*($B153-$B152)*0.15/10+AF152)</f>
        <v>#N/A</v>
      </c>
      <c r="AG153" s="102" t="e">
        <f>(VLOOKUP($B$3,'Coeff EC7'!$T$39:$X$59,3,0)*AD153+VLOOKUP($B$3,'Coeff EC7'!$T$65:$X$85,3,0)*Model0.1T!AE153)/1.1</f>
        <v>#N/A</v>
      </c>
      <c r="AH153" s="102" t="e">
        <f t="shared" si="268"/>
        <v>#N/A</v>
      </c>
      <c r="AI153" s="102" t="e">
        <f t="shared" si="269"/>
        <v>#N/A</v>
      </c>
      <c r="AJ153" s="414" t="e">
        <f>IF(AND(AF153&gt;NDC!$C$63,AG153&gt;NDC!$C$65,AH153&gt;NDC!$D$73,AI153&gt;NDC!$D$74,$B153&gt;NDC!$H$22-0.1+MIN(3*$AJ$12,1.5)),0,1)</f>
        <v>#N/A</v>
      </c>
      <c r="AK153" s="86" t="b">
        <f t="shared" si="239"/>
        <v>0</v>
      </c>
      <c r="AL153" s="86">
        <f t="shared" si="270"/>
        <v>0.5</v>
      </c>
      <c r="AM153" s="86">
        <f t="shared" si="240"/>
        <v>0.5</v>
      </c>
      <c r="AN153" s="30" t="e">
        <f t="shared" ca="1" si="271"/>
        <v>#DIV/0!</v>
      </c>
      <c r="AO153" s="85" t="e">
        <f ca="1">IF(U153&lt;=Hypothèses!$V$7,Hypothèses!$W$7,IF(U153&lt;=Hypothèses!$V$8,Hypothèses!$W$8,IF(U153&lt;=Hypothèses!$V$9,Hypothèses!$W$9,IF(U153&lt;=Hypothèses!$V$10,Hypothèses!$W$10,IF(U153&lt;=Hypothèses!$V$11,Hypothèses!$W$11,IF(U153&lt;=Hypothèses!$V$12,Hypothèses!$W$12,IF(U153&lt;=Hypothèses!$V$13,Hypothèses!$W$13,IF(U153&lt;=Hypothèses!$V$14,Hypothèses!$W$14,IF(U153&lt;=Hypothèses!$V$15,Hypothèses!$W$15,IF(U153&lt;=Hypothèses!$V$16,Hypothèses!$W$16,IF(U153&lt;=Hypothèses!$V$17,Hypothèses!$W$17,IF(U153&lt;=Hypothèses!$V$18,Hypothèses!$W$18,""))))))))))))</f>
        <v>#DIV/0!</v>
      </c>
      <c r="AP153" s="87" t="e">
        <f t="shared" ca="1" si="317"/>
        <v>#DIV/0!</v>
      </c>
      <c r="AQ153" s="88" t="e">
        <f ca="1">IF(U153&lt;=Hypothèses!$V$7,Hypothèses!$X$7,IF(U153&lt;=Hypothèses!$V$8,Hypothèses!$X$8,IF(U153&lt;=Hypothèses!$V$9,Hypothèses!$X$9,IF(U153&lt;=Hypothèses!$V$10,Hypothèses!$X$10,IF(U153&lt;=Hypothèses!$V$11,Hypothèses!$X$11,IF(U153&lt;=Hypothèses!$V$12,Hypothèses!$X$12,IF(U153&lt;=Hypothèses!$V$13,Hypothèses!$X$13,IF(U153&lt;=Hypothèses!$V$14,Hypothèses!$X$14,IF(U153&lt;=Hypothèses!$V$15,Hypothèses!$X$15,IF(U153&lt;=Hypothèses!$V$16,Hypothèses!$X$16,IF(U153&lt;=Hypothèses!$U$17,Hypothèses!$W$17,IF(U153&lt;=Hypothèses!$U$18,Hypothèses!$W$18,""))))))))))))</f>
        <v>#DIV/0!</v>
      </c>
      <c r="AR153" s="95" t="e">
        <f t="shared" ca="1" si="272"/>
        <v>#DIV/0!</v>
      </c>
      <c r="AS153" s="101">
        <f t="shared" si="324"/>
        <v>0</v>
      </c>
      <c r="AT153" s="91">
        <f t="shared" si="241"/>
        <v>0</v>
      </c>
      <c r="AU153" s="30" t="e">
        <f t="shared" si="302"/>
        <v>#N/A</v>
      </c>
      <c r="AV153" s="30" t="e">
        <f t="shared" si="303"/>
        <v>#N/A</v>
      </c>
      <c r="AW153" s="31" t="e">
        <f>IF(OR(Hypothèses!$B$4=17,Hypothèses!$B$4=18,Hypothèses!$B$4=19,Hypothèses!$B$4=20),
IF($D153="Pressio.",
IF(OR($E153=3,$E153=1,$E153=4),AV153,AU153),
IF($D153="Pénétro.",
IF(OR($E153=3,$E153=1,$E153=4),AV153,AU153))),IF($D153="Pressio.",
IF($E153=3,AV153,AU153),
IF($D153="Pénétro.",
IF($E153=4,AV153,AU153))))</f>
        <v>#N/A</v>
      </c>
      <c r="AX153" s="31">
        <v>0</v>
      </c>
      <c r="AY153" s="102" t="e">
        <f>IF(NDC!$H$10="Oui",(VLOOKUP($B$3,'Coeff EC7'!$T$39:$X$59,2,0)*AW153+VLOOKUP($B$3,'Coeff EC7'!$T$65:$X$85,2,0)*Model0.1T!AX153)/1.5,PI()*AU$12*$Q153*($B153-$B152)*0.15/10+AY152)</f>
        <v>#N/A</v>
      </c>
      <c r="AZ153" s="102" t="e">
        <f>(VLOOKUP($B$3,'Coeff EC7'!$T$39:$X$59,3,0)*AW153+VLOOKUP($B$3,'Coeff EC7'!$T$65:$X$85,3,0)*Model0.1T!AX153)/1.1</f>
        <v>#N/A</v>
      </c>
      <c r="BA153" s="102" t="e">
        <f t="shared" si="273"/>
        <v>#N/A</v>
      </c>
      <c r="BB153" s="102" t="e">
        <f t="shared" si="274"/>
        <v>#N/A</v>
      </c>
      <c r="BC153" s="414" t="e">
        <f>IF(AND(AY153&gt;NDC!$C$63,AZ153&gt;NDC!$C$65,BA153&gt;NDC!$D$73,BB153&gt;NDC!$D$74,$B153&gt;NDC!$H$22-0.1+MIN(3*BC$12,1.5)),0,1)</f>
        <v>#N/A</v>
      </c>
      <c r="BD153" s="86" t="b">
        <f t="shared" si="242"/>
        <v>0</v>
      </c>
      <c r="BE153" s="86">
        <f t="shared" si="275"/>
        <v>0.5</v>
      </c>
      <c r="BF153" s="86">
        <f t="shared" si="243"/>
        <v>0.5</v>
      </c>
      <c r="BG153" s="30" t="e">
        <f t="shared" ca="1" si="276"/>
        <v>#DIV/0!</v>
      </c>
      <c r="BH153" s="85" t="e">
        <f ca="1">IF(AN153&lt;=Hypothèses!$V$7,Hypothèses!$W$7,IF(AN153&lt;=Hypothèses!$V$8,Hypothèses!$W$8,IF(AN153&lt;=Hypothèses!$V$9,Hypothèses!$W$9,IF(AN153&lt;=Hypothèses!$V$10,Hypothèses!$W$10,IF(AN153&lt;=Hypothèses!$V$11,Hypothèses!$W$11,IF(AN153&lt;=Hypothèses!$V$12,Hypothèses!$W$12,IF(AN153&lt;=Hypothèses!$V$13,Hypothèses!$W$13,IF(AN153&lt;=Hypothèses!$V$14,Hypothèses!$W$14,IF(AN153&lt;=Hypothèses!$V$15,Hypothèses!$W$15,IF(AN153&lt;=Hypothèses!$V$16,Hypothèses!$W$16,IF(AN153&lt;=Hypothèses!$V$17,Hypothèses!$W$17,IF(AN153&lt;=Hypothèses!$V$18,Hypothèses!$W$18,""))))))))))))</f>
        <v>#DIV/0!</v>
      </c>
      <c r="BI153" s="87" t="e">
        <f t="shared" ca="1" si="318"/>
        <v>#DIV/0!</v>
      </c>
      <c r="BJ153" s="88" t="e">
        <f ca="1">IF(AN153&lt;=Hypothèses!$V$7,Hypothèses!$X$7,IF(AN153&lt;=Hypothèses!$V$8,Hypothèses!$X$8,IF(AN153&lt;=Hypothèses!$V$9,Hypothèses!$X$9,IF(AN153&lt;=Hypothèses!$V$10,Hypothèses!$X$10,IF(AN153&lt;=Hypothèses!$V$11,Hypothèses!$X$11,IF(AN153&lt;=Hypothèses!$V$12,Hypothèses!$X$12,IF(AN153&lt;=Hypothèses!$V$13,Hypothèses!$X$13,IF(AN153&lt;=Hypothèses!$V$14,Hypothèses!$X$14,IF(AN153&lt;=Hypothèses!$V$15,Hypothèses!$X$15,IF(AN153&lt;=Hypothèses!$V$16,Hypothèses!$X$16,IF(AN153&lt;=Hypothèses!$U$17,Hypothèses!$W$17,IF(AN153&lt;=Hypothèses!$U$18,Hypothèses!$W$18,""))))))))))))</f>
        <v>#DIV/0!</v>
      </c>
      <c r="BK153" s="95" t="e">
        <f t="shared" ca="1" si="277"/>
        <v>#DIV/0!</v>
      </c>
      <c r="BL153" s="101">
        <f t="shared" si="325"/>
        <v>0</v>
      </c>
      <c r="BM153" s="91">
        <f t="shared" si="244"/>
        <v>0</v>
      </c>
      <c r="BN153" s="30" t="e">
        <f t="shared" si="304"/>
        <v>#N/A</v>
      </c>
      <c r="BO153" s="30" t="e">
        <f t="shared" si="305"/>
        <v>#N/A</v>
      </c>
      <c r="BP153" s="31" t="e">
        <f>IF(OR(Hypothèses!$B$4=17,Hypothèses!$B$4=18,Hypothèses!$B$4=19,Hypothèses!$B$4=20),
IF($D153="Pressio.",
IF(OR($E153=3,$E153=1,$E153=4),BO153,BN153),
IF($D153="Pénétro.",
IF(OR($E153=3,$E153=1,$E153=4),BO153,BN153))),IF($D153="Pressio.",
IF($E153=3,BO153,BN153),
IF($D153="Pénétro.",
IF($E153=4,BO153,BN153))))</f>
        <v>#N/A</v>
      </c>
      <c r="BQ153" s="31">
        <v>0</v>
      </c>
      <c r="BR153" s="102" t="e">
        <f>IF(NDC!$H$10="Oui",(VLOOKUP($B$3,'Coeff EC7'!$T$39:$X$59,2,0)*BP153+VLOOKUP($B$3,'Coeff EC7'!$T$65:$X$85,2,0)*Model0.1T!BQ153)/1.5,PI()*BN$12*$Q153*($B153-$B152)*0.15/10+BR152)</f>
        <v>#N/A</v>
      </c>
      <c r="BS153" s="102" t="e">
        <f>(VLOOKUP($B$3,'Coeff EC7'!$T$39:$X$59,3,0)*BP153+VLOOKUP($B$3,'Coeff EC7'!$T$65:$X$85,3,0)*Model0.1T!BQ153)/1.1</f>
        <v>#N/A</v>
      </c>
      <c r="BT153" s="102" t="e">
        <f t="shared" si="278"/>
        <v>#N/A</v>
      </c>
      <c r="BU153" s="102" t="e">
        <f t="shared" si="279"/>
        <v>#N/A</v>
      </c>
      <c r="BV153" s="414" t="e">
        <f>IF(AND(BR153&gt;NDC!$C$63,BS153&gt;NDC!$C$65,BT153&gt;NDC!$D$73,BU153&gt;NDC!$D$74,$B153&gt;NDC!$H$22-0.1+MIN(3*BV$12,1.5)),0,1)</f>
        <v>#N/A</v>
      </c>
      <c r="BW153" s="86" t="b">
        <f t="shared" si="245"/>
        <v>0</v>
      </c>
      <c r="BX153" s="86">
        <f t="shared" si="246"/>
        <v>0.5</v>
      </c>
      <c r="BY153" s="86">
        <f t="shared" si="247"/>
        <v>0.5</v>
      </c>
      <c r="BZ153" s="30" t="e">
        <f t="shared" ca="1" si="280"/>
        <v>#DIV/0!</v>
      </c>
      <c r="CA153" s="85" t="e">
        <f ca="1">IF(BG153&lt;=Hypothèses!$V$7,Hypothèses!$W$7,IF(BG153&lt;=Hypothèses!$V$8,Hypothèses!$W$8,IF(BG153&lt;=Hypothèses!$V$9,Hypothèses!$W$9,IF(BG153&lt;=Hypothèses!$V$10,Hypothèses!$W$10,IF(BG153&lt;=Hypothèses!$V$11,Hypothèses!$W$11,IF(BG153&lt;=Hypothèses!$V$12,Hypothèses!$W$12,IF(BG153&lt;=Hypothèses!$V$13,Hypothèses!$W$13,IF(BG153&lt;=Hypothèses!$V$14,Hypothèses!$W$14,IF(BG153&lt;=Hypothèses!$V$15,Hypothèses!$W$15,IF(BG153&lt;=Hypothèses!$V$16,Hypothèses!$W$16,IF(BG153&lt;=Hypothèses!$V$17,Hypothèses!$W$17,IF(BG153&lt;=Hypothèses!$V$18,Hypothèses!$W$18,""))))))))))))</f>
        <v>#DIV/0!</v>
      </c>
      <c r="CB153" s="87" t="e">
        <f t="shared" ca="1" si="319"/>
        <v>#DIV/0!</v>
      </c>
      <c r="CC153" s="88" t="e">
        <f ca="1">IF(BG153&lt;=Hypothèses!$V$7,Hypothèses!$X$7,IF(BG153&lt;=Hypothèses!$V$8,Hypothèses!$X$8,IF(BG153&lt;=Hypothèses!$V$9,Hypothèses!$X$9,IF(BG153&lt;=Hypothèses!$V$10,Hypothèses!$X$10,IF(BG153&lt;=Hypothèses!$V$11,Hypothèses!$X$11,IF(BG153&lt;=Hypothèses!$V$12,Hypothèses!$X$12,IF(BG153&lt;=Hypothèses!$V$13,Hypothèses!$X$13,IF(BG153&lt;=Hypothèses!$V$14,Hypothèses!$X$14,IF(BG153&lt;=Hypothèses!$V$15,Hypothèses!$X$15,IF(BG153&lt;=Hypothèses!$V$16,Hypothèses!$X$16,IF(BG153&lt;=Hypothèses!$U$17,Hypothèses!$W$17,IF(BG153&lt;=Hypothèses!$U$18,Hypothèses!$W$18,""))))))))))))</f>
        <v>#DIV/0!</v>
      </c>
      <c r="CD153" s="95" t="e">
        <f t="shared" ca="1" si="281"/>
        <v>#DIV/0!</v>
      </c>
      <c r="CE153" s="101">
        <f t="shared" si="326"/>
        <v>0</v>
      </c>
      <c r="CF153" s="91">
        <f t="shared" si="248"/>
        <v>0</v>
      </c>
      <c r="CG153" s="30" t="e">
        <f t="shared" si="306"/>
        <v>#N/A</v>
      </c>
      <c r="CH153" s="30" t="e">
        <f t="shared" si="307"/>
        <v>#N/A</v>
      </c>
      <c r="CI153" s="31" t="e">
        <f>IF(OR(Hypothèses!$B$4=17,Hypothèses!$B$4=18,Hypothèses!$B$4=19,Hypothèses!$B$4=20),
IF($D153="Pressio.",
IF(OR($E153=3,$E153=1,$E153=4),CH153,CG153),
IF($D153="Pénétro.",
IF(OR($E153=3,$E153=1,$E153=4),CH153,CG153))),IF($D153="Pressio.",
IF($E153=3,CH153,CG153),
IF($D153="Pénétro.",
IF($E153=4,CH153,CG153))))</f>
        <v>#N/A</v>
      </c>
      <c r="CJ153" s="31">
        <v>0</v>
      </c>
      <c r="CK153" s="102" t="e">
        <f>IF(NDC!$H$10="Oui",(VLOOKUP($B$3,'Coeff EC7'!$T$39:$X$59,2,0)*CI153+VLOOKUP($B$3,'Coeff EC7'!$T$65:$X$85,2,0)*Model0.1T!CJ153)/1.5,PI()*CG$12*$Q153*($B153-$B152)*0.15/10+CK152)</f>
        <v>#N/A</v>
      </c>
      <c r="CL153" s="102" t="e">
        <f>(VLOOKUP($B$3,'Coeff EC7'!$T$39:$X$59,3,0)*CI153+VLOOKUP($B$3,'Coeff EC7'!$T$65:$X$85,3,0)*Model0.1T!CJ153)/1.1</f>
        <v>#N/A</v>
      </c>
      <c r="CM153" s="102" t="e">
        <f t="shared" si="282"/>
        <v>#N/A</v>
      </c>
      <c r="CN153" s="102" t="e">
        <f t="shared" si="283"/>
        <v>#N/A</v>
      </c>
      <c r="CO153" s="414" t="e">
        <f>IF(AND(CK153&gt;NDC!$C$63,CL153&gt;NDC!$C$65,CM153&gt;NDC!$D$73,CN153&gt;NDC!$D$74,$B153&gt;NDC!$H$22-0.1+MIN(3*CO$12,1.5)),0,1)</f>
        <v>#N/A</v>
      </c>
      <c r="CP153" s="86" t="b">
        <f t="shared" si="249"/>
        <v>0</v>
      </c>
      <c r="CQ153" s="86">
        <f t="shared" si="250"/>
        <v>0.5</v>
      </c>
      <c r="CR153" s="86">
        <f t="shared" si="251"/>
        <v>0.5</v>
      </c>
      <c r="CS153" s="30" t="e">
        <f t="shared" ca="1" si="284"/>
        <v>#DIV/0!</v>
      </c>
      <c r="CT153" s="85" t="e">
        <f ca="1">IF(BZ153&lt;=Hypothèses!$V$7,Hypothèses!$W$7,IF(BZ153&lt;=Hypothèses!$V$8,Hypothèses!$W$8,IF(BZ153&lt;=Hypothèses!$V$9,Hypothèses!$W$9,IF(BZ153&lt;=Hypothèses!$V$10,Hypothèses!$W$10,IF(BZ153&lt;=Hypothèses!$V$11,Hypothèses!$W$11,IF(BZ153&lt;=Hypothèses!$V$12,Hypothèses!$W$12,IF(BZ153&lt;=Hypothèses!$V$13,Hypothèses!$W$13,IF(BZ153&lt;=Hypothèses!$V$14,Hypothèses!$W$14,IF(BZ153&lt;=Hypothèses!$V$15,Hypothèses!$W$15,IF(BZ153&lt;=Hypothèses!$V$16,Hypothèses!$W$16,IF(BZ153&lt;=Hypothèses!$V$17,Hypothèses!$W$17,IF(BZ153&lt;=Hypothèses!$V$18,Hypothèses!$W$18,""))))))))))))</f>
        <v>#DIV/0!</v>
      </c>
      <c r="CU153" s="87" t="e">
        <f t="shared" ca="1" si="320"/>
        <v>#DIV/0!</v>
      </c>
      <c r="CV153" s="88" t="e">
        <f ca="1">IF(BZ153&lt;=Hypothèses!$V$7,Hypothèses!$X$7,IF(BZ153&lt;=Hypothèses!$V$8,Hypothèses!$X$8,IF(BZ153&lt;=Hypothèses!$V$9,Hypothèses!$X$9,IF(BZ153&lt;=Hypothèses!$V$10,Hypothèses!$X$10,IF(BZ153&lt;=Hypothèses!$V$11,Hypothèses!$X$11,IF(BZ153&lt;=Hypothèses!$V$12,Hypothèses!$X$12,IF(BZ153&lt;=Hypothèses!$V$13,Hypothèses!$X$13,IF(BZ153&lt;=Hypothèses!$V$14,Hypothèses!$X$14,IF(BZ153&lt;=Hypothèses!$V$15,Hypothèses!$X$15,IF(BZ153&lt;=Hypothèses!$V$16,Hypothèses!$X$16,IF(BZ153&lt;=Hypothèses!$U$17,Hypothèses!$W$17,IF(BZ153&lt;=Hypothèses!$U$18,Hypothèses!$W$18,""))))))))))))</f>
        <v>#DIV/0!</v>
      </c>
      <c r="CW153" s="95" t="e">
        <f t="shared" ca="1" si="285"/>
        <v>#DIV/0!</v>
      </c>
      <c r="CX153" s="101">
        <f t="shared" si="327"/>
        <v>0</v>
      </c>
      <c r="CY153" s="91">
        <f t="shared" si="252"/>
        <v>0</v>
      </c>
      <c r="CZ153" s="30" t="e">
        <f t="shared" si="308"/>
        <v>#N/A</v>
      </c>
      <c r="DA153" s="30" t="e">
        <f t="shared" si="309"/>
        <v>#N/A</v>
      </c>
      <c r="DB153" s="31" t="e">
        <f>IF(OR(Hypothèses!$B$4=17,Hypothèses!$B$4=18,Hypothèses!$B$4=19,Hypothèses!$B$4=20),
IF($D153="Pressio.",
IF(OR($E153=3,$E153=1,$E153=4),DA153,CZ153),
IF($D153="Pénétro.",
IF(OR($E153=3,$E153=1,$E153=4),DA153,CZ153))),IF($D153="Pressio.",
IF($E153=3,DA153,CZ153),
IF($D153="Pénétro.",
IF($E153=4,DA153,CZ153))))</f>
        <v>#N/A</v>
      </c>
      <c r="DC153" s="31">
        <v>0</v>
      </c>
      <c r="DD153" s="102" t="e">
        <f>IF(NDC!$H$10="Oui",(VLOOKUP($B$3,'Coeff EC7'!$T$39:$X$59,2,0)*DB153+VLOOKUP($B$3,'Coeff EC7'!$T$65:$X$85,2,0)*Model0.1T!DC153)/1.5,PI()*CZ$12*$Q153*($B153-$B152)*0.15/10+DD152)</f>
        <v>#N/A</v>
      </c>
      <c r="DE153" s="102" t="e">
        <f>(VLOOKUP($B$3,'Coeff EC7'!$T$39:$X$59,3,0)*DB153+VLOOKUP($B$3,'Coeff EC7'!$T$65:$X$85,3,0)*Model0.1T!DC153)/1.1</f>
        <v>#N/A</v>
      </c>
      <c r="DF153" s="102" t="e">
        <f t="shared" si="286"/>
        <v>#N/A</v>
      </c>
      <c r="DG153" s="102" t="e">
        <f t="shared" si="287"/>
        <v>#N/A</v>
      </c>
      <c r="DH153" s="414" t="e">
        <f>IF(AND(DD153&gt;NDC!$C$63,DE153&gt;NDC!$C$65,DF153&gt;NDC!$D$73,DG153&gt;NDC!$D$74,$B153&gt;NDC!$H$22-0.1+MIN(3*DH$12,1.5)),0,1)</f>
        <v>#N/A</v>
      </c>
      <c r="DI153" s="86" t="b">
        <f t="shared" si="253"/>
        <v>0</v>
      </c>
      <c r="DJ153" s="86">
        <f t="shared" si="254"/>
        <v>0.5</v>
      </c>
      <c r="DK153" s="86">
        <f t="shared" si="255"/>
        <v>0.5</v>
      </c>
      <c r="DL153" s="30" t="e">
        <f t="shared" ca="1" si="288"/>
        <v>#DIV/0!</v>
      </c>
      <c r="DM153" s="85" t="e">
        <f ca="1">IF(CS153&lt;=Hypothèses!$V$7,Hypothèses!$W$7,IF(CS153&lt;=Hypothèses!$V$8,Hypothèses!$W$8,IF(CS153&lt;=Hypothèses!$V$9,Hypothèses!$W$9,IF(CS153&lt;=Hypothèses!$V$10,Hypothèses!$W$10,IF(CS153&lt;=Hypothèses!$V$11,Hypothèses!$W$11,IF(CS153&lt;=Hypothèses!$V$12,Hypothèses!$W$12,IF(CS153&lt;=Hypothèses!$V$13,Hypothèses!$W$13,IF(CS153&lt;=Hypothèses!$V$14,Hypothèses!$W$14,IF(CS153&lt;=Hypothèses!$V$15,Hypothèses!$W$15,IF(CS153&lt;=Hypothèses!$V$16,Hypothèses!$W$16,IF(CS153&lt;=Hypothèses!$V$17,Hypothèses!$W$17,IF(CS153&lt;=Hypothèses!$V$18,Hypothèses!$W$18,""))))))))))))</f>
        <v>#DIV/0!</v>
      </c>
      <c r="DN153" s="87" t="e">
        <f t="shared" ca="1" si="321"/>
        <v>#DIV/0!</v>
      </c>
      <c r="DO153" s="88" t="e">
        <f ca="1">IF(CS153&lt;=Hypothèses!$V$7,Hypothèses!$X$7,IF(CS153&lt;=Hypothèses!$V$8,Hypothèses!$X$8,IF(CS153&lt;=Hypothèses!$V$9,Hypothèses!$X$9,IF(CS153&lt;=Hypothèses!$V$10,Hypothèses!$X$10,IF(CS153&lt;=Hypothèses!$V$11,Hypothèses!$X$11,IF(CS153&lt;=Hypothèses!$V$12,Hypothèses!$X$12,IF(CS153&lt;=Hypothèses!$V$13,Hypothèses!$X$13,IF(CS153&lt;=Hypothèses!$V$14,Hypothèses!$X$14,IF(CS153&lt;=Hypothèses!$V$15,Hypothèses!$X$15,IF(CS153&lt;=Hypothèses!$V$16,Hypothèses!$X$16,IF(CS153&lt;=Hypothèses!$U$17,Hypothèses!$W$17,IF(CS153&lt;=Hypothèses!$U$18,Hypothèses!$W$18,""))))))))))))</f>
        <v>#DIV/0!</v>
      </c>
      <c r="DP153" s="95" t="e">
        <f t="shared" ca="1" si="289"/>
        <v>#DIV/0!</v>
      </c>
      <c r="DQ153" s="101">
        <f t="shared" si="328"/>
        <v>0</v>
      </c>
      <c r="DR153" s="91">
        <f t="shared" si="256"/>
        <v>0</v>
      </c>
      <c r="DS153" s="30" t="e">
        <f t="shared" si="310"/>
        <v>#N/A</v>
      </c>
      <c r="DT153" s="30" t="e">
        <f t="shared" si="311"/>
        <v>#N/A</v>
      </c>
      <c r="DU153" s="31" t="e">
        <f>IF(OR(Hypothèses!$B$4=17,Hypothèses!$B$4=18,Hypothèses!$B$4=19,Hypothèses!$B$4=20),
IF($D153="Pressio.",
IF(OR($E153=3,$E153=1,$E153=4),DT153,DS153),
IF($D153="Pénétro.",
IF(OR($E153=3,$E153=1,$E153=4),DT153,DS153))),IF($D153="Pressio.",
IF($E153=3,DT153,DS153),
IF($D153="Pénétro.",
IF($E153=4,DT153,DS153))))</f>
        <v>#N/A</v>
      </c>
      <c r="DV153" s="31">
        <v>0</v>
      </c>
      <c r="DW153" s="102" t="e">
        <f>IF(NDC!$H$10="Oui",(VLOOKUP($B$3,'Coeff EC7'!$T$39:$X$59,2,0)*DU153+VLOOKUP($B$3,'Coeff EC7'!$T$65:$X$85,2,0)*Model0.1T!DV153)/1.5,PI()*DS$12*$Q153*($B153-$B152)*0.15/10+DW152)</f>
        <v>#N/A</v>
      </c>
      <c r="DX153" s="102" t="e">
        <f>(VLOOKUP($B$3,'Coeff EC7'!$T$39:$X$59,3,0)*DU153+VLOOKUP($B$3,'Coeff EC7'!$T$65:$X$85,3,0)*Model0.1T!DV153)/1.1</f>
        <v>#N/A</v>
      </c>
      <c r="DY153" s="102" t="e">
        <f t="shared" si="290"/>
        <v>#N/A</v>
      </c>
      <c r="DZ153" s="102" t="e">
        <f t="shared" si="291"/>
        <v>#N/A</v>
      </c>
      <c r="EA153" s="414" t="e">
        <f>IF(AND(DW153&gt;NDC!$C$63,DX153&gt;NDC!$C$65,DY153&gt;NDC!$D$73,DZ153&gt;NDC!$D$74,$B153&gt;NDC!$H$22-0.1+MIN(3*EA$12,1.5)),0,1)</f>
        <v>#N/A</v>
      </c>
      <c r="EB153" s="86" t="b">
        <f t="shared" si="257"/>
        <v>0</v>
      </c>
      <c r="EC153" s="418">
        <f t="shared" si="258"/>
        <v>0.51</v>
      </c>
      <c r="ED153" s="86">
        <f t="shared" si="259"/>
        <v>0.51</v>
      </c>
      <c r="EE153" s="30" t="e">
        <f t="shared" ca="1" si="292"/>
        <v>#DIV/0!</v>
      </c>
      <c r="EF153" s="85" t="e">
        <f ca="1">IF(DL153&lt;=Hypothèses!$V$7,Hypothèses!$W$7,IF(DL153&lt;=Hypothèses!$V$8,Hypothèses!$W$8,IF(DL153&lt;=Hypothèses!$V$9,Hypothèses!$W$9,IF(DL153&lt;=Hypothèses!$V$10,Hypothèses!$W$10,IF(DL153&lt;=Hypothèses!$V$11,Hypothèses!$W$11,IF(DL153&lt;=Hypothèses!$V$12,Hypothèses!$W$12,IF(DL153&lt;=Hypothèses!$V$13,Hypothèses!$W$13,IF(DL153&lt;=Hypothèses!$V$14,Hypothèses!$W$14,IF(DL153&lt;=Hypothèses!$V$15,Hypothèses!$W$15,IF(DL153&lt;=Hypothèses!$V$16,Hypothèses!$W$16,IF(DL153&lt;=Hypothèses!$V$17,Hypothèses!$W$17,IF(DL153&lt;=Hypothèses!$V$18,Hypothèses!$W$18,""))))))))))))</f>
        <v>#DIV/0!</v>
      </c>
      <c r="EG153" s="87" t="e">
        <f t="shared" ca="1" si="322"/>
        <v>#DIV/0!</v>
      </c>
      <c r="EH153" s="88" t="e">
        <f ca="1">IF(DL153&lt;=Hypothèses!$V$7,Hypothèses!$X$7,IF(DL153&lt;=Hypothèses!$V$8,Hypothèses!$X$8,IF(DL153&lt;=Hypothèses!$V$9,Hypothèses!$X$9,IF(DL153&lt;=Hypothèses!$V$10,Hypothèses!$X$10,IF(DL153&lt;=Hypothèses!$V$11,Hypothèses!$X$11,IF(DL153&lt;=Hypothèses!$V$12,Hypothèses!$X$12,IF(DL153&lt;=Hypothèses!$V$13,Hypothèses!$X$13,IF(DL153&lt;=Hypothèses!$V$14,Hypothèses!$X$14,IF(DL153&lt;=Hypothèses!$V$15,Hypothèses!$X$15,IF(DL153&lt;=Hypothèses!$V$16,Hypothèses!$X$16,IF(DL153&lt;=Hypothèses!$U$17,Hypothèses!$W$17,IF(DL153&lt;=Hypothèses!$U$18,Hypothèses!$W$18,""))))))))))))</f>
        <v>#DIV/0!</v>
      </c>
      <c r="EI153" s="95" t="e">
        <f t="shared" ca="1" si="293"/>
        <v>#DIV/0!</v>
      </c>
      <c r="EJ153" s="101">
        <f t="shared" si="329"/>
        <v>0</v>
      </c>
      <c r="EK153" s="91">
        <f t="shared" si="260"/>
        <v>0</v>
      </c>
      <c r="EL153" s="30" t="e">
        <f t="shared" si="312"/>
        <v>#N/A</v>
      </c>
      <c r="EM153" s="30" t="e">
        <f t="shared" si="313"/>
        <v>#N/A</v>
      </c>
      <c r="EN153" s="31" t="e">
        <f>IF(OR(Hypothèses!$B$4=17,Hypothèses!$B$4=18,Hypothèses!$B$4=19,Hypothèses!$B$4=20),
IF($D153="Pressio.",
IF(OR($E153=3,$E153=1,$E153=4),EM153,EL153),
IF($D153="Pénétro.",
IF(OR($E153=3,$E153=1,$E153=4),EM153,EL153))),IF($D153="Pressio.",
IF($E153=3,EM153,EL153),
IF($D153="Pénétro.",
IF($E153=4,EM153,EL153))))</f>
        <v>#N/A</v>
      </c>
      <c r="EO153" s="31">
        <v>0</v>
      </c>
      <c r="EP153" s="102" t="e">
        <f>IF(NDC!$H$10="Oui",(VLOOKUP($B$3,'Coeff EC7'!$T$39:$X$59,2,0)*EN153+VLOOKUP($B$3,'Coeff EC7'!$T$65:$X$85,2,0)*Model0.1T!EO153)/1.5,PI()*EL$12*$Q153*($B153-$B152)*0.15/10+EP152)</f>
        <v>#N/A</v>
      </c>
      <c r="EQ153" s="102" t="e">
        <f>(VLOOKUP($B$3,'Coeff EC7'!$T$39:$X$59,3,0)*EN153+VLOOKUP($B$3,'Coeff EC7'!$T$65:$X$85,3,0)*Model0.1T!EO153)/1.1</f>
        <v>#N/A</v>
      </c>
      <c r="ER153" s="102" t="e">
        <f t="shared" si="294"/>
        <v>#N/A</v>
      </c>
      <c r="ES153" s="102" t="e">
        <f t="shared" si="295"/>
        <v>#N/A</v>
      </c>
      <c r="ET153" s="414" t="e">
        <f>IF(AND(EP153&gt;NDC!$C$63,EQ153&gt;NDC!$C$65,ER153&gt;NDC!$D$73,ES153&gt;NDC!$D$74,$B153&gt;NDC!$H$22-0.1+MIN(3*ET$12,1.5)),0,1)</f>
        <v>#N/A</v>
      </c>
      <c r="EU153" s="86" t="b">
        <f t="shared" si="261"/>
        <v>0</v>
      </c>
      <c r="EV153" s="86">
        <f t="shared" si="262"/>
        <v>0.61</v>
      </c>
      <c r="EW153" s="86">
        <f t="shared" si="263"/>
        <v>0.61</v>
      </c>
      <c r="EX153" s="30" t="e">
        <f t="shared" ca="1" si="296"/>
        <v>#DIV/0!</v>
      </c>
      <c r="EY153" s="85" t="e">
        <f ca="1">IF(EE153&lt;=Hypothèses!$V$7,Hypothèses!$W$7,IF(EE153&lt;=Hypothèses!$V$8,Hypothèses!$W$8,IF(EE153&lt;=Hypothèses!$V$9,Hypothèses!$W$9,IF(EE153&lt;=Hypothèses!$V$10,Hypothèses!$W$10,IF(EE153&lt;=Hypothèses!$V$11,Hypothèses!$W$11,IF(EE153&lt;=Hypothèses!$V$12,Hypothèses!$W$12,IF(EE153&lt;=Hypothèses!$V$13,Hypothèses!$W$13,IF(EE153&lt;=Hypothèses!$V$14,Hypothèses!$W$14,IF(EE153&lt;=Hypothèses!$V$15,Hypothèses!$W$15,IF(EE153&lt;=Hypothèses!$V$16,Hypothèses!$W$16,IF(EE153&lt;=Hypothèses!$V$17,Hypothèses!$W$17,IF(EE153&lt;=Hypothèses!$V$18,Hypothèses!$W$18,""))))))))))))</f>
        <v>#DIV/0!</v>
      </c>
      <c r="EZ153" s="87" t="e">
        <f t="shared" ca="1" si="323"/>
        <v>#DIV/0!</v>
      </c>
      <c r="FA153" s="88" t="e">
        <f ca="1">IF(EE153&lt;=Hypothèses!$V$7,Hypothèses!$X$7,IF(EE153&lt;=Hypothèses!$V$8,Hypothèses!$X$8,IF(EE153&lt;=Hypothèses!$V$9,Hypothèses!$X$9,IF(EE153&lt;=Hypothèses!$V$10,Hypothèses!$X$10,IF(EE153&lt;=Hypothèses!$V$11,Hypothèses!$X$11,IF(EE153&lt;=Hypothèses!$V$12,Hypothèses!$X$12,IF(EE153&lt;=Hypothèses!$V$13,Hypothèses!$X$13,IF(EE153&lt;=Hypothèses!$V$14,Hypothèses!$X$14,IF(EE153&lt;=Hypothèses!$V$15,Hypothèses!$X$15,IF(EE153&lt;=Hypothèses!$V$16,Hypothèses!$X$16,IF(EE153&lt;=Hypothèses!$U$17,Hypothèses!$W$17,IF(EE153&lt;=Hypothèses!$U$18,Hypothèses!$W$18,""))))))))))))</f>
        <v>#DIV/0!</v>
      </c>
      <c r="FB153" s="95" t="e">
        <f t="shared" ca="1" si="297"/>
        <v>#DIV/0!</v>
      </c>
      <c r="FC153" s="101">
        <f t="shared" si="330"/>
        <v>0</v>
      </c>
      <c r="FD153" s="91">
        <f t="shared" si="264"/>
        <v>0</v>
      </c>
      <c r="FE153" s="30" t="e">
        <f t="shared" si="314"/>
        <v>#N/A</v>
      </c>
      <c r="FF153" s="30" t="e">
        <f t="shared" si="315"/>
        <v>#N/A</v>
      </c>
      <c r="FG153" s="31" t="e">
        <f>IF(OR(Hypothèses!$B$4=17,Hypothèses!$B$4=18,Hypothèses!$B$4=19,Hypothèses!$B$4=20),
IF($D153="Pressio.",
IF(OR($E153=3,$E153=1,$E153=4),FF153,FE153),
IF($D153="Pénétro.",
IF(OR($E153=3,$E153=1,$E153=4),FF153,FE153))),IF($D153="Pressio.",
IF($E153=3,FF153,FE153),
IF($D153="Pénétro.",
IF($E153=4,FF153,FE153))))</f>
        <v>#N/A</v>
      </c>
      <c r="FH153" s="31">
        <v>0</v>
      </c>
      <c r="FI153" s="102" t="e">
        <f>IF(NDC!$H$10="Oui",(VLOOKUP($B$3,'Coeff EC7'!$T$39:$X$59,2,0)*FG153+VLOOKUP($B$3,'Coeff EC7'!$T$65:$X$85,2,0)*Model0.1T!FH153)/1.5,PI()*FE$12*$Q153*($B153-$B152)*0.15/10+FI152)</f>
        <v>#N/A</v>
      </c>
      <c r="FJ153" s="102" t="e">
        <f>(VLOOKUP($B$3,'Coeff EC7'!$T$39:$X$59,3,0)*FG153+VLOOKUP($B$3,'Coeff EC7'!$T$65:$X$85,3,0)*Model0.1T!FH153)/1.1</f>
        <v>#N/A</v>
      </c>
      <c r="FK153" s="102" t="e">
        <f t="shared" si="298"/>
        <v>#N/A</v>
      </c>
      <c r="FL153" s="102" t="e">
        <f t="shared" si="299"/>
        <v>#N/A</v>
      </c>
      <c r="FM153" s="414" t="e">
        <f>IF(AND(FI153&gt;NDC!$C$63,FJ153&gt;NDC!$C$65,FK153&gt;NDC!$D$73,FL153&gt;NDC!$D$74,$B153&gt;NDC!$H$22-0.1+MIN(3*FM$12,1.5)),0,1)</f>
        <v>#N/A</v>
      </c>
    </row>
    <row r="154" spans="1:169">
      <c r="A154" s="96">
        <f t="shared" si="265"/>
        <v>85.900000000000801</v>
      </c>
      <c r="B154" s="97">
        <v>14.1</v>
      </c>
      <c r="C154" s="81">
        <f>IF(B154&lt;=Hypothèses!$C$7,Hypothèses!$A$7,IF(B154&lt;=Hypothèses!$C$8,Hypothèses!$A$8,IF(B154&lt;=Hypothèses!$C$9,Hypothèses!$A$9,IF(B154&lt;=Hypothèses!$C$10,Hypothèses!$A$10,IF(B154&lt;=Hypothèses!$C$11,Hypothèses!$A$11,IF(B154&lt;=Hypothèses!$C$12,Hypothèses!$A$12,IF(B154&lt;=Hypothèses!$C$13,Hypothèses!$A$13,IF(B154&lt;=Hypothèses!$C$14,Hypothèses!$A$14,IF(B154&lt;=Hypothèses!$C$15,Hypothèses!$A$15,IF(B154&lt;=Hypothèses!$C$16,Hypothèses!$A$16,IF(B154&lt;=Hypothèses!$C$17,Hypothèses!$A$17,IF(B154&lt;=Hypothèses!$C$18,Hypothèses!$A$18,C153))))))))))))</f>
        <v>11</v>
      </c>
      <c r="D154" s="82" t="str">
        <f>IF(B154&lt;=Hypothèses!$C$7,Hypothèses!$R$7,IF(B154&lt;=Hypothèses!$C$8,Hypothèses!$R$8,IF(B154&lt;=Hypothèses!$C$9,Hypothèses!$R$9,IF(B154&lt;=Hypothèses!$C$10,Hypothèses!$R$10,IF(B154&lt;=Hypothèses!$C$11,Hypothèses!$R$11,IF(B154&lt;=Hypothèses!$C$12,Hypothèses!$R$12,IF(B154&lt;=Hypothèses!$C$13,Hypothèses!$R$13,IF(B154&lt;=Hypothèses!$C$14,Hypothèses!$R$14,IF(B154&lt;=Hypothèses!$C$15,Hypothèses!$R$15,IF(B154&lt;=Hypothèses!$C$16,Hypothèses!$R$16,IF(B154&lt;=Hypothèses!$C$17,Hypothèses!$R$17,IF(B154&lt;=Hypothèses!$C$18,Hypothèses!$R$18,D153))))))))))))</f>
        <v>Pressio.</v>
      </c>
      <c r="E154" s="82" t="e">
        <f>IF(B154&lt;=Hypothèses!$C$7,Hypothèses!$G$7,IF(B154&lt;=Hypothèses!$C$8,Hypothèses!$G$8,IF(B154&lt;=Hypothèses!$C$9,Hypothèses!$G$9,IF(B154&lt;=Hypothèses!$C$10,Hypothèses!$G$10,IF(B154&lt;=Hypothèses!$C$11,Hypothèses!$G$11,IF(B154&lt;=Hypothèses!$C$12,Hypothèses!$G$12,IF(B154&lt;=Hypothèses!$C$13,Hypothèses!$G$13,IF(B154&lt;=Hypothèses!$C$14,Hypothèses!$G$14,IF(B154&lt;=Hypothèses!$C$15,Hypothèses!$G$15,IF(B154&lt;=Hypothèses!$C$16,Hypothèses!$G$16,IF(B154&lt;=Hypothèses!$C$17,Hypothèses!$G$17,IF(B154&lt;=Hypothèses!$C$18,Hypothèses!$G$18,E153))))))))))))</f>
        <v>#N/A</v>
      </c>
      <c r="F154" s="82" t="str">
        <f>IF(B154&lt;=Hypothèses!$C$7,Hypothèses!$F$7,IF(B154&lt;=Hypothèses!$C$8,Hypothèses!$F$8,IF(B154&lt;=Hypothèses!$C$9,Hypothèses!$F$9,IF(B154&lt;=Hypothèses!$C$10,Hypothèses!$F$10,IF(B154&lt;=Hypothèses!$C$11,Hypothèses!$F$11,IF(B154&lt;=Hypothèses!$C$12,Hypothèses!$F$12,IF(B154&lt;=Hypothèses!$C$13,Hypothèses!$F$13,IF(B154&lt;=Hypothèses!$C$14,Hypothèses!$F$14,IF(B154&lt;=Hypothèses!$C$15,Hypothèses!$F$15,IF(B154&lt;=Hypothèses!$C$16,Hypothèses!$F$16,IF(B154&lt;=Hypothèses!$C$17,Hypothèses!$F$17,IF(B154&lt;=Hypothèses!$C$18,Hypothèses!$F$18,F153))))))))))))</f>
        <v/>
      </c>
      <c r="G154" s="91">
        <f t="array" ref="G154">INDEX('Coeff EC7'!$U$7:$X$27,
MATCH(Model0.1T!$B$3,'Coeff EC7'!$T$7:$T$27,0),
MATCH(Model0.1T!$D154&amp;Model0.1T!$B$4,
'Coeff EC7'!$U$6:$X$6&amp;
'Coeff EC7'!$U$5:$X$5,0))</f>
        <v>1.4</v>
      </c>
      <c r="H154" s="91">
        <f t="array" ref="H154">INDEX('Coeff EC7'!$Y$7:$AB$27,
MATCH(Model0.1T!$B$3,'Coeff EC7'!$T$7:$T$27,0),
MATCH(Model0.1T!$D154&amp;Model0.1T!$B$4,
'Coeff EC7'!$Y$6:$AB$6&amp;
'Coeff EC7'!$Y$5:$AB$5,0))</f>
        <v>1.7</v>
      </c>
      <c r="I154" s="83">
        <v>0</v>
      </c>
      <c r="J154" s="91" t="e">
        <f t="array" ref="J154">INDEX('Coeff EC7'!$D$33:$Q$33,1,MATCH(D154&amp;E154,'Coeff EC7'!$D$31:$Q$31&amp;'Coeff EC7'!$D$32:$Q$32,0))</f>
        <v>#N/A</v>
      </c>
      <c r="K154" s="91" t="e">
        <f t="array" ref="K154">INDEX('Coeff EC7'!$D$34:$Q$34,1,MATCH(D154&amp;E154,'Coeff EC7'!$D$31:$Q$31&amp;'Coeff EC7'!$D$32:$Q$32,0))</f>
        <v>#N/A</v>
      </c>
      <c r="L154" s="91" t="e">
        <f t="array" ref="L154">INDEX('Coeff EC7'!$D$35:$Q$35,1,MATCH(D154&amp;E154,'Coeff EC7'!$D$31:$Q$31&amp;'Coeff EC7'!$D$32:$Q$32,0))</f>
        <v>#N/A</v>
      </c>
      <c r="M154" s="98" t="e">
        <f t="shared" si="231"/>
        <v>#N/A</v>
      </c>
      <c r="N154" s="99" t="e">
        <f t="array" ref="N154">INDEX('Coeff EC7'!$D$7:$Q$27,MATCH($B$3,'Coeff EC7'!$C$7:$C$27,0),MATCH(D154&amp;E154,'Coeff EC7'!$D$5:$Q$5&amp;'Coeff EC7'!$D$6:$Q$6,0))</f>
        <v>#N/A</v>
      </c>
      <c r="O154" s="99" t="e">
        <f t="array" ref="O154">INDEX('Coeff EC7'!$D$41:$Q$61,MATCH($B$3,'Coeff EC7'!$C$41:$C$61,0),MATCH(D154&amp;E154,'Coeff EC7'!$D$39:$Q$39&amp;'Coeff EC7'!$D$40:$Q$40,0))</f>
        <v>#N/A</v>
      </c>
      <c r="P154" s="30" t="e">
        <f t="shared" si="266"/>
        <v>#N/A</v>
      </c>
      <c r="Q154" s="100" t="e">
        <f t="shared" si="233"/>
        <v>#N/A</v>
      </c>
      <c r="R154" s="86" t="b">
        <f t="shared" si="234"/>
        <v>0</v>
      </c>
      <c r="S154" s="86">
        <f t="shared" si="232"/>
        <v>0.5</v>
      </c>
      <c r="T154" s="86">
        <f t="shared" si="235"/>
        <v>0.5</v>
      </c>
      <c r="U154" s="30" t="e">
        <f t="shared" ca="1" si="267"/>
        <v>#DIV/0!</v>
      </c>
      <c r="V154" s="85" t="str">
        <f>IF(B154&lt;=Hypothèses!$V$7,Hypothèses!$W$7,IF(B154&lt;=Hypothèses!$V$8,Hypothèses!$W$8,IF(B154&lt;=Hypothèses!$V$9,Hypothèses!$W$9,IF(B154&lt;=Hypothèses!$V$10,Hypothèses!$W$10,IF(B154&lt;=Hypothèses!$V$11,Hypothèses!$W$11,IF(B154&lt;=Hypothèses!$V$12,Hypothèses!$W$12,IF(B154&lt;=Hypothèses!$V$13,Hypothèses!$W$13,IF(B154&lt;=Hypothèses!$V$14,Hypothèses!$W$14,IF(B154&lt;=Hypothèses!$V$15,Hypothèses!$W$15,IF(B154&lt;=Hypothèses!$V$16,Hypothèses!$W$16,IF(B154&lt;=Hypothèses!$V$17,Hypothèses!$W$17,IF(B154&lt;=Hypothèses!$V$18,Hypothèses!$W$18,""))))))))))))</f>
        <v/>
      </c>
      <c r="W154" s="87" t="e">
        <f t="shared" ca="1" si="316"/>
        <v>#DIV/0!</v>
      </c>
      <c r="X154" s="88" t="str">
        <f>IF(B154&lt;=Hypothèses!$V$7,Hypothèses!$X$7,IF(B154&lt;=Hypothèses!$V$8,Hypothèses!$X$8,IF(B154&lt;=Hypothèses!$V$9,Hypothèses!$X$9,IF(B154&lt;=Hypothèses!$V$10,Hypothèses!$X$10,IF(B154&lt;=Hypothèses!$V$11,Hypothèses!$X$11,IF(B154&lt;=Hypothèses!$V$12,Hypothèses!$X$12,IF(B154&lt;=Hypothèses!$V$13,Hypothèses!$X$13,IF(B154&lt;=Hypothèses!$V$14,Hypothèses!$X$14,IF(B154&lt;=Hypothèses!$V$15,Hypothèses!$X$15,IF(B154&lt;=Hypothèses!$V$16,Hypothèses!$X$16,IF(B154&lt;=Hypothèses!$U$17,Hypothèses!$W$17,IF(B154&lt;=Hypothèses!$U$18,Hypothèses!$W$18,""))))))))))))</f>
        <v/>
      </c>
      <c r="Y154" s="95" t="e">
        <f t="shared" ca="1" si="236"/>
        <v>#DIV/0!</v>
      </c>
      <c r="Z154" s="101">
        <f t="shared" si="237"/>
        <v>0</v>
      </c>
      <c r="AA154" s="91">
        <f t="shared" si="238"/>
        <v>0</v>
      </c>
      <c r="AB154" s="30" t="e">
        <f t="shared" si="300"/>
        <v>#N/A</v>
      </c>
      <c r="AC154" s="30" t="e">
        <f t="shared" si="301"/>
        <v>#N/A</v>
      </c>
      <c r="AD154" s="31" t="e">
        <f>IF(OR(Hypothèses!$B$4=17,Hypothèses!$B$4=18,Hypothèses!$B$4=19,Hypothèses!$B$4=20),
IF($D154="Pressio.",
IF(OR($E154=3,$E154=1,$E154=4),AC154,AB154),
IF($D154="Pénétro.",
IF(OR($E154=3,$E154=1,$E154=4),AC154,AB154))),IF($D154="Pressio.",
IF($E154=3,AC154,AB154),
IF($D154="Pénétro.",
IF($E154=4,AC154,AB154))))</f>
        <v>#N/A</v>
      </c>
      <c r="AE154" s="31">
        <v>0</v>
      </c>
      <c r="AF154" s="102" t="e">
        <f>IF(NDC!$H$10="Oui",(VLOOKUP($B$3,'Coeff EC7'!$T$39:$X$59,2,0)*AD154+VLOOKUP($B$3,'Coeff EC7'!$T$65:$X$85,2,0)*Model0.1T!AE154)/1.5,PI()*AB$12*$Q154*($B154-$B153)*0.15/10+AF153)</f>
        <v>#N/A</v>
      </c>
      <c r="AG154" s="102" t="e">
        <f>(VLOOKUP($B$3,'Coeff EC7'!$T$39:$X$59,3,0)*AD154+VLOOKUP($B$3,'Coeff EC7'!$T$65:$X$85,3,0)*Model0.1T!AE154)/1.1</f>
        <v>#N/A</v>
      </c>
      <c r="AH154" s="102" t="e">
        <f t="shared" si="268"/>
        <v>#N/A</v>
      </c>
      <c r="AI154" s="102" t="e">
        <f t="shared" si="269"/>
        <v>#N/A</v>
      </c>
      <c r="AJ154" s="414" t="e">
        <f>IF(AND(AF154&gt;NDC!$C$63,AG154&gt;NDC!$C$65,AH154&gt;NDC!$D$73,AI154&gt;NDC!$D$74,$B154&gt;NDC!$H$22-0.1+MIN(3*$AJ$12,1.5)),0,1)</f>
        <v>#N/A</v>
      </c>
      <c r="AK154" s="86" t="b">
        <f t="shared" si="239"/>
        <v>0</v>
      </c>
      <c r="AL154" s="86">
        <f t="shared" si="270"/>
        <v>0.5</v>
      </c>
      <c r="AM154" s="86">
        <f t="shared" si="240"/>
        <v>0.5</v>
      </c>
      <c r="AN154" s="30" t="e">
        <f t="shared" ca="1" si="271"/>
        <v>#DIV/0!</v>
      </c>
      <c r="AO154" s="85" t="e">
        <f ca="1">IF(U154&lt;=Hypothèses!$V$7,Hypothèses!$W$7,IF(U154&lt;=Hypothèses!$V$8,Hypothèses!$W$8,IF(U154&lt;=Hypothèses!$V$9,Hypothèses!$W$9,IF(U154&lt;=Hypothèses!$V$10,Hypothèses!$W$10,IF(U154&lt;=Hypothèses!$V$11,Hypothèses!$W$11,IF(U154&lt;=Hypothèses!$V$12,Hypothèses!$W$12,IF(U154&lt;=Hypothèses!$V$13,Hypothèses!$W$13,IF(U154&lt;=Hypothèses!$V$14,Hypothèses!$W$14,IF(U154&lt;=Hypothèses!$V$15,Hypothèses!$W$15,IF(U154&lt;=Hypothèses!$V$16,Hypothèses!$W$16,IF(U154&lt;=Hypothèses!$V$17,Hypothèses!$W$17,IF(U154&lt;=Hypothèses!$V$18,Hypothèses!$W$18,""))))))))))))</f>
        <v>#DIV/0!</v>
      </c>
      <c r="AP154" s="87" t="e">
        <f t="shared" ca="1" si="317"/>
        <v>#DIV/0!</v>
      </c>
      <c r="AQ154" s="88" t="e">
        <f ca="1">IF(U154&lt;=Hypothèses!$V$7,Hypothèses!$X$7,IF(U154&lt;=Hypothèses!$V$8,Hypothèses!$X$8,IF(U154&lt;=Hypothèses!$V$9,Hypothèses!$X$9,IF(U154&lt;=Hypothèses!$V$10,Hypothèses!$X$10,IF(U154&lt;=Hypothèses!$V$11,Hypothèses!$X$11,IF(U154&lt;=Hypothèses!$V$12,Hypothèses!$X$12,IF(U154&lt;=Hypothèses!$V$13,Hypothèses!$X$13,IF(U154&lt;=Hypothèses!$V$14,Hypothèses!$X$14,IF(U154&lt;=Hypothèses!$V$15,Hypothèses!$X$15,IF(U154&lt;=Hypothèses!$V$16,Hypothèses!$X$16,IF(U154&lt;=Hypothèses!$U$17,Hypothèses!$W$17,IF(U154&lt;=Hypothèses!$U$18,Hypothèses!$W$18,""))))))))))))</f>
        <v>#DIV/0!</v>
      </c>
      <c r="AR154" s="95" t="e">
        <f t="shared" ca="1" si="272"/>
        <v>#DIV/0!</v>
      </c>
      <c r="AS154" s="101">
        <f t="shared" si="324"/>
        <v>0</v>
      </c>
      <c r="AT154" s="91">
        <f t="shared" si="241"/>
        <v>0</v>
      </c>
      <c r="AU154" s="30" t="e">
        <f t="shared" si="302"/>
        <v>#N/A</v>
      </c>
      <c r="AV154" s="30" t="e">
        <f t="shared" si="303"/>
        <v>#N/A</v>
      </c>
      <c r="AW154" s="31" t="e">
        <f>IF(OR(Hypothèses!$B$4=17,Hypothèses!$B$4=18,Hypothèses!$B$4=19,Hypothèses!$B$4=20),
IF($D154="Pressio.",
IF(OR($E154=3,$E154=1,$E154=4),AV154,AU154),
IF($D154="Pénétro.",
IF(OR($E154=3,$E154=1,$E154=4),AV154,AU154))),IF($D154="Pressio.",
IF($E154=3,AV154,AU154),
IF($D154="Pénétro.",
IF($E154=4,AV154,AU154))))</f>
        <v>#N/A</v>
      </c>
      <c r="AX154" s="31">
        <v>0</v>
      </c>
      <c r="AY154" s="102" t="e">
        <f>IF(NDC!$H$10="Oui",(VLOOKUP($B$3,'Coeff EC7'!$T$39:$X$59,2,0)*AW154+VLOOKUP($B$3,'Coeff EC7'!$T$65:$X$85,2,0)*Model0.1T!AX154)/1.5,PI()*AU$12*$Q154*($B154-$B153)*0.15/10+AY153)</f>
        <v>#N/A</v>
      </c>
      <c r="AZ154" s="102" t="e">
        <f>(VLOOKUP($B$3,'Coeff EC7'!$T$39:$X$59,3,0)*AW154+VLOOKUP($B$3,'Coeff EC7'!$T$65:$X$85,3,0)*Model0.1T!AX154)/1.1</f>
        <v>#N/A</v>
      </c>
      <c r="BA154" s="102" t="e">
        <f t="shared" si="273"/>
        <v>#N/A</v>
      </c>
      <c r="BB154" s="102" t="e">
        <f t="shared" si="274"/>
        <v>#N/A</v>
      </c>
      <c r="BC154" s="414" t="e">
        <f>IF(AND(AY154&gt;NDC!$C$63,AZ154&gt;NDC!$C$65,BA154&gt;NDC!$D$73,BB154&gt;NDC!$D$74,$B154&gt;NDC!$H$22-0.1+MIN(3*BC$12,1.5)),0,1)</f>
        <v>#N/A</v>
      </c>
      <c r="BD154" s="86" t="b">
        <f t="shared" si="242"/>
        <v>0</v>
      </c>
      <c r="BE154" s="86">
        <f t="shared" si="275"/>
        <v>0.5</v>
      </c>
      <c r="BF154" s="86">
        <f t="shared" si="243"/>
        <v>0.5</v>
      </c>
      <c r="BG154" s="30" t="e">
        <f t="shared" ca="1" si="276"/>
        <v>#DIV/0!</v>
      </c>
      <c r="BH154" s="85" t="e">
        <f ca="1">IF(AN154&lt;=Hypothèses!$V$7,Hypothèses!$W$7,IF(AN154&lt;=Hypothèses!$V$8,Hypothèses!$W$8,IF(AN154&lt;=Hypothèses!$V$9,Hypothèses!$W$9,IF(AN154&lt;=Hypothèses!$V$10,Hypothèses!$W$10,IF(AN154&lt;=Hypothèses!$V$11,Hypothèses!$W$11,IF(AN154&lt;=Hypothèses!$V$12,Hypothèses!$W$12,IF(AN154&lt;=Hypothèses!$V$13,Hypothèses!$W$13,IF(AN154&lt;=Hypothèses!$V$14,Hypothèses!$W$14,IF(AN154&lt;=Hypothèses!$V$15,Hypothèses!$W$15,IF(AN154&lt;=Hypothèses!$V$16,Hypothèses!$W$16,IF(AN154&lt;=Hypothèses!$V$17,Hypothèses!$W$17,IF(AN154&lt;=Hypothèses!$V$18,Hypothèses!$W$18,""))))))))))))</f>
        <v>#DIV/0!</v>
      </c>
      <c r="BI154" s="87" t="e">
        <f t="shared" ca="1" si="318"/>
        <v>#DIV/0!</v>
      </c>
      <c r="BJ154" s="88" t="e">
        <f ca="1">IF(AN154&lt;=Hypothèses!$V$7,Hypothèses!$X$7,IF(AN154&lt;=Hypothèses!$V$8,Hypothèses!$X$8,IF(AN154&lt;=Hypothèses!$V$9,Hypothèses!$X$9,IF(AN154&lt;=Hypothèses!$V$10,Hypothèses!$X$10,IF(AN154&lt;=Hypothèses!$V$11,Hypothèses!$X$11,IF(AN154&lt;=Hypothèses!$V$12,Hypothèses!$X$12,IF(AN154&lt;=Hypothèses!$V$13,Hypothèses!$X$13,IF(AN154&lt;=Hypothèses!$V$14,Hypothèses!$X$14,IF(AN154&lt;=Hypothèses!$V$15,Hypothèses!$X$15,IF(AN154&lt;=Hypothèses!$V$16,Hypothèses!$X$16,IF(AN154&lt;=Hypothèses!$U$17,Hypothèses!$W$17,IF(AN154&lt;=Hypothèses!$U$18,Hypothèses!$W$18,""))))))))))))</f>
        <v>#DIV/0!</v>
      </c>
      <c r="BK154" s="95" t="e">
        <f t="shared" ca="1" si="277"/>
        <v>#DIV/0!</v>
      </c>
      <c r="BL154" s="101">
        <f t="shared" si="325"/>
        <v>0</v>
      </c>
      <c r="BM154" s="91">
        <f t="shared" si="244"/>
        <v>0</v>
      </c>
      <c r="BN154" s="30" t="e">
        <f t="shared" si="304"/>
        <v>#N/A</v>
      </c>
      <c r="BO154" s="30" t="e">
        <f t="shared" si="305"/>
        <v>#N/A</v>
      </c>
      <c r="BP154" s="31" t="e">
        <f>IF(OR(Hypothèses!$B$4=17,Hypothèses!$B$4=18,Hypothèses!$B$4=19,Hypothèses!$B$4=20),
IF($D154="Pressio.",
IF(OR($E154=3,$E154=1,$E154=4),BO154,BN154),
IF($D154="Pénétro.",
IF(OR($E154=3,$E154=1,$E154=4),BO154,BN154))),IF($D154="Pressio.",
IF($E154=3,BO154,BN154),
IF($D154="Pénétro.",
IF($E154=4,BO154,BN154))))</f>
        <v>#N/A</v>
      </c>
      <c r="BQ154" s="31">
        <v>0</v>
      </c>
      <c r="BR154" s="102" t="e">
        <f>IF(NDC!$H$10="Oui",(VLOOKUP($B$3,'Coeff EC7'!$T$39:$X$59,2,0)*BP154+VLOOKUP($B$3,'Coeff EC7'!$T$65:$X$85,2,0)*Model0.1T!BQ154)/1.5,PI()*BN$12*$Q154*($B154-$B153)*0.15/10+BR153)</f>
        <v>#N/A</v>
      </c>
      <c r="BS154" s="102" t="e">
        <f>(VLOOKUP($B$3,'Coeff EC7'!$T$39:$X$59,3,0)*BP154+VLOOKUP($B$3,'Coeff EC7'!$T$65:$X$85,3,0)*Model0.1T!BQ154)/1.1</f>
        <v>#N/A</v>
      </c>
      <c r="BT154" s="102" t="e">
        <f t="shared" si="278"/>
        <v>#N/A</v>
      </c>
      <c r="BU154" s="102" t="e">
        <f t="shared" si="279"/>
        <v>#N/A</v>
      </c>
      <c r="BV154" s="414" t="e">
        <f>IF(AND(BR154&gt;NDC!$C$63,BS154&gt;NDC!$C$65,BT154&gt;NDC!$D$73,BU154&gt;NDC!$D$74,$B154&gt;NDC!$H$22-0.1+MIN(3*BV$12,1.5)),0,1)</f>
        <v>#N/A</v>
      </c>
      <c r="BW154" s="86" t="b">
        <f t="shared" si="245"/>
        <v>0</v>
      </c>
      <c r="BX154" s="86">
        <f t="shared" si="246"/>
        <v>0.5</v>
      </c>
      <c r="BY154" s="86">
        <f t="shared" si="247"/>
        <v>0.5</v>
      </c>
      <c r="BZ154" s="30" t="e">
        <f t="shared" ca="1" si="280"/>
        <v>#DIV/0!</v>
      </c>
      <c r="CA154" s="85" t="e">
        <f ca="1">IF(BG154&lt;=Hypothèses!$V$7,Hypothèses!$W$7,IF(BG154&lt;=Hypothèses!$V$8,Hypothèses!$W$8,IF(BG154&lt;=Hypothèses!$V$9,Hypothèses!$W$9,IF(BG154&lt;=Hypothèses!$V$10,Hypothèses!$W$10,IF(BG154&lt;=Hypothèses!$V$11,Hypothèses!$W$11,IF(BG154&lt;=Hypothèses!$V$12,Hypothèses!$W$12,IF(BG154&lt;=Hypothèses!$V$13,Hypothèses!$W$13,IF(BG154&lt;=Hypothèses!$V$14,Hypothèses!$W$14,IF(BG154&lt;=Hypothèses!$V$15,Hypothèses!$W$15,IF(BG154&lt;=Hypothèses!$V$16,Hypothèses!$W$16,IF(BG154&lt;=Hypothèses!$V$17,Hypothèses!$W$17,IF(BG154&lt;=Hypothèses!$V$18,Hypothèses!$W$18,""))))))))))))</f>
        <v>#DIV/0!</v>
      </c>
      <c r="CB154" s="87" t="e">
        <f t="shared" ca="1" si="319"/>
        <v>#DIV/0!</v>
      </c>
      <c r="CC154" s="88" t="e">
        <f ca="1">IF(BG154&lt;=Hypothèses!$V$7,Hypothèses!$X$7,IF(BG154&lt;=Hypothèses!$V$8,Hypothèses!$X$8,IF(BG154&lt;=Hypothèses!$V$9,Hypothèses!$X$9,IF(BG154&lt;=Hypothèses!$V$10,Hypothèses!$X$10,IF(BG154&lt;=Hypothèses!$V$11,Hypothèses!$X$11,IF(BG154&lt;=Hypothèses!$V$12,Hypothèses!$X$12,IF(BG154&lt;=Hypothèses!$V$13,Hypothèses!$X$13,IF(BG154&lt;=Hypothèses!$V$14,Hypothèses!$X$14,IF(BG154&lt;=Hypothèses!$V$15,Hypothèses!$X$15,IF(BG154&lt;=Hypothèses!$V$16,Hypothèses!$X$16,IF(BG154&lt;=Hypothèses!$U$17,Hypothèses!$W$17,IF(BG154&lt;=Hypothèses!$U$18,Hypothèses!$W$18,""))))))))))))</f>
        <v>#DIV/0!</v>
      </c>
      <c r="CD154" s="95" t="e">
        <f t="shared" ca="1" si="281"/>
        <v>#DIV/0!</v>
      </c>
      <c r="CE154" s="101">
        <f t="shared" si="326"/>
        <v>0</v>
      </c>
      <c r="CF154" s="91">
        <f t="shared" si="248"/>
        <v>0</v>
      </c>
      <c r="CG154" s="30" t="e">
        <f t="shared" si="306"/>
        <v>#N/A</v>
      </c>
      <c r="CH154" s="30" t="e">
        <f t="shared" si="307"/>
        <v>#N/A</v>
      </c>
      <c r="CI154" s="31" t="e">
        <f>IF(OR(Hypothèses!$B$4=17,Hypothèses!$B$4=18,Hypothèses!$B$4=19,Hypothèses!$B$4=20),
IF($D154="Pressio.",
IF(OR($E154=3,$E154=1,$E154=4),CH154,CG154),
IF($D154="Pénétro.",
IF(OR($E154=3,$E154=1,$E154=4),CH154,CG154))),IF($D154="Pressio.",
IF($E154=3,CH154,CG154),
IF($D154="Pénétro.",
IF($E154=4,CH154,CG154))))</f>
        <v>#N/A</v>
      </c>
      <c r="CJ154" s="31">
        <v>0</v>
      </c>
      <c r="CK154" s="102" t="e">
        <f>IF(NDC!$H$10="Oui",(VLOOKUP($B$3,'Coeff EC7'!$T$39:$X$59,2,0)*CI154+VLOOKUP($B$3,'Coeff EC7'!$T$65:$X$85,2,0)*Model0.1T!CJ154)/1.5,PI()*CG$12*$Q154*($B154-$B153)*0.15/10+CK153)</f>
        <v>#N/A</v>
      </c>
      <c r="CL154" s="102" t="e">
        <f>(VLOOKUP($B$3,'Coeff EC7'!$T$39:$X$59,3,0)*CI154+VLOOKUP($B$3,'Coeff EC7'!$T$65:$X$85,3,0)*Model0.1T!CJ154)/1.1</f>
        <v>#N/A</v>
      </c>
      <c r="CM154" s="102" t="e">
        <f t="shared" si="282"/>
        <v>#N/A</v>
      </c>
      <c r="CN154" s="102" t="e">
        <f t="shared" si="283"/>
        <v>#N/A</v>
      </c>
      <c r="CO154" s="414" t="e">
        <f>IF(AND(CK154&gt;NDC!$C$63,CL154&gt;NDC!$C$65,CM154&gt;NDC!$D$73,CN154&gt;NDC!$D$74,$B154&gt;NDC!$H$22-0.1+MIN(3*CO$12,1.5)),0,1)</f>
        <v>#N/A</v>
      </c>
      <c r="CP154" s="86" t="b">
        <f t="shared" si="249"/>
        <v>0</v>
      </c>
      <c r="CQ154" s="86">
        <f t="shared" si="250"/>
        <v>0.5</v>
      </c>
      <c r="CR154" s="86">
        <f t="shared" si="251"/>
        <v>0.5</v>
      </c>
      <c r="CS154" s="30" t="e">
        <f t="shared" ca="1" si="284"/>
        <v>#DIV/0!</v>
      </c>
      <c r="CT154" s="85" t="e">
        <f ca="1">IF(BZ154&lt;=Hypothèses!$V$7,Hypothèses!$W$7,IF(BZ154&lt;=Hypothèses!$V$8,Hypothèses!$W$8,IF(BZ154&lt;=Hypothèses!$V$9,Hypothèses!$W$9,IF(BZ154&lt;=Hypothèses!$V$10,Hypothèses!$W$10,IF(BZ154&lt;=Hypothèses!$V$11,Hypothèses!$W$11,IF(BZ154&lt;=Hypothèses!$V$12,Hypothèses!$W$12,IF(BZ154&lt;=Hypothèses!$V$13,Hypothèses!$W$13,IF(BZ154&lt;=Hypothèses!$V$14,Hypothèses!$W$14,IF(BZ154&lt;=Hypothèses!$V$15,Hypothèses!$W$15,IF(BZ154&lt;=Hypothèses!$V$16,Hypothèses!$W$16,IF(BZ154&lt;=Hypothèses!$V$17,Hypothèses!$W$17,IF(BZ154&lt;=Hypothèses!$V$18,Hypothèses!$W$18,""))))))))))))</f>
        <v>#DIV/0!</v>
      </c>
      <c r="CU154" s="87" t="e">
        <f t="shared" ca="1" si="320"/>
        <v>#DIV/0!</v>
      </c>
      <c r="CV154" s="88" t="e">
        <f ca="1">IF(BZ154&lt;=Hypothèses!$V$7,Hypothèses!$X$7,IF(BZ154&lt;=Hypothèses!$V$8,Hypothèses!$X$8,IF(BZ154&lt;=Hypothèses!$V$9,Hypothèses!$X$9,IF(BZ154&lt;=Hypothèses!$V$10,Hypothèses!$X$10,IF(BZ154&lt;=Hypothèses!$V$11,Hypothèses!$X$11,IF(BZ154&lt;=Hypothèses!$V$12,Hypothèses!$X$12,IF(BZ154&lt;=Hypothèses!$V$13,Hypothèses!$X$13,IF(BZ154&lt;=Hypothèses!$V$14,Hypothèses!$X$14,IF(BZ154&lt;=Hypothèses!$V$15,Hypothèses!$X$15,IF(BZ154&lt;=Hypothèses!$V$16,Hypothèses!$X$16,IF(BZ154&lt;=Hypothèses!$U$17,Hypothèses!$W$17,IF(BZ154&lt;=Hypothèses!$U$18,Hypothèses!$W$18,""))))))))))))</f>
        <v>#DIV/0!</v>
      </c>
      <c r="CW154" s="95" t="e">
        <f t="shared" ca="1" si="285"/>
        <v>#DIV/0!</v>
      </c>
      <c r="CX154" s="101">
        <f t="shared" si="327"/>
        <v>0</v>
      </c>
      <c r="CY154" s="91">
        <f t="shared" si="252"/>
        <v>0</v>
      </c>
      <c r="CZ154" s="30" t="e">
        <f t="shared" si="308"/>
        <v>#N/A</v>
      </c>
      <c r="DA154" s="30" t="e">
        <f t="shared" si="309"/>
        <v>#N/A</v>
      </c>
      <c r="DB154" s="31" t="e">
        <f>IF(OR(Hypothèses!$B$4=17,Hypothèses!$B$4=18,Hypothèses!$B$4=19,Hypothèses!$B$4=20),
IF($D154="Pressio.",
IF(OR($E154=3,$E154=1,$E154=4),DA154,CZ154),
IF($D154="Pénétro.",
IF(OR($E154=3,$E154=1,$E154=4),DA154,CZ154))),IF($D154="Pressio.",
IF($E154=3,DA154,CZ154),
IF($D154="Pénétro.",
IF($E154=4,DA154,CZ154))))</f>
        <v>#N/A</v>
      </c>
      <c r="DC154" s="31">
        <v>0</v>
      </c>
      <c r="DD154" s="102" t="e">
        <f>IF(NDC!$H$10="Oui",(VLOOKUP($B$3,'Coeff EC7'!$T$39:$X$59,2,0)*DB154+VLOOKUP($B$3,'Coeff EC7'!$T$65:$X$85,2,0)*Model0.1T!DC154)/1.5,PI()*CZ$12*$Q154*($B154-$B153)*0.15/10+DD153)</f>
        <v>#N/A</v>
      </c>
      <c r="DE154" s="102" t="e">
        <f>(VLOOKUP($B$3,'Coeff EC7'!$T$39:$X$59,3,0)*DB154+VLOOKUP($B$3,'Coeff EC7'!$T$65:$X$85,3,0)*Model0.1T!DC154)/1.1</f>
        <v>#N/A</v>
      </c>
      <c r="DF154" s="102" t="e">
        <f t="shared" si="286"/>
        <v>#N/A</v>
      </c>
      <c r="DG154" s="102" t="e">
        <f t="shared" si="287"/>
        <v>#N/A</v>
      </c>
      <c r="DH154" s="414" t="e">
        <f>IF(AND(DD154&gt;NDC!$C$63,DE154&gt;NDC!$C$65,DF154&gt;NDC!$D$73,DG154&gt;NDC!$D$74,$B154&gt;NDC!$H$22-0.1+MIN(3*DH$12,1.5)),0,1)</f>
        <v>#N/A</v>
      </c>
      <c r="DI154" s="86" t="b">
        <f t="shared" si="253"/>
        <v>0</v>
      </c>
      <c r="DJ154" s="86">
        <f t="shared" si="254"/>
        <v>0.5</v>
      </c>
      <c r="DK154" s="86">
        <f t="shared" si="255"/>
        <v>0.5</v>
      </c>
      <c r="DL154" s="30" t="e">
        <f t="shared" ca="1" si="288"/>
        <v>#DIV/0!</v>
      </c>
      <c r="DM154" s="85" t="e">
        <f ca="1">IF(CS154&lt;=Hypothèses!$V$7,Hypothèses!$W$7,IF(CS154&lt;=Hypothèses!$V$8,Hypothèses!$W$8,IF(CS154&lt;=Hypothèses!$V$9,Hypothèses!$W$9,IF(CS154&lt;=Hypothèses!$V$10,Hypothèses!$W$10,IF(CS154&lt;=Hypothèses!$V$11,Hypothèses!$W$11,IF(CS154&lt;=Hypothèses!$V$12,Hypothèses!$W$12,IF(CS154&lt;=Hypothèses!$V$13,Hypothèses!$W$13,IF(CS154&lt;=Hypothèses!$V$14,Hypothèses!$W$14,IF(CS154&lt;=Hypothèses!$V$15,Hypothèses!$W$15,IF(CS154&lt;=Hypothèses!$V$16,Hypothèses!$W$16,IF(CS154&lt;=Hypothèses!$V$17,Hypothèses!$W$17,IF(CS154&lt;=Hypothèses!$V$18,Hypothèses!$W$18,""))))))))))))</f>
        <v>#DIV/0!</v>
      </c>
      <c r="DN154" s="87" t="e">
        <f t="shared" ca="1" si="321"/>
        <v>#DIV/0!</v>
      </c>
      <c r="DO154" s="88" t="e">
        <f ca="1">IF(CS154&lt;=Hypothèses!$V$7,Hypothèses!$X$7,IF(CS154&lt;=Hypothèses!$V$8,Hypothèses!$X$8,IF(CS154&lt;=Hypothèses!$V$9,Hypothèses!$X$9,IF(CS154&lt;=Hypothèses!$V$10,Hypothèses!$X$10,IF(CS154&lt;=Hypothèses!$V$11,Hypothèses!$X$11,IF(CS154&lt;=Hypothèses!$V$12,Hypothèses!$X$12,IF(CS154&lt;=Hypothèses!$V$13,Hypothèses!$X$13,IF(CS154&lt;=Hypothèses!$V$14,Hypothèses!$X$14,IF(CS154&lt;=Hypothèses!$V$15,Hypothèses!$X$15,IF(CS154&lt;=Hypothèses!$V$16,Hypothèses!$X$16,IF(CS154&lt;=Hypothèses!$U$17,Hypothèses!$W$17,IF(CS154&lt;=Hypothèses!$U$18,Hypothèses!$W$18,""))))))))))))</f>
        <v>#DIV/0!</v>
      </c>
      <c r="DP154" s="95" t="e">
        <f t="shared" ca="1" si="289"/>
        <v>#DIV/0!</v>
      </c>
      <c r="DQ154" s="101">
        <f t="shared" si="328"/>
        <v>0</v>
      </c>
      <c r="DR154" s="91">
        <f t="shared" si="256"/>
        <v>0</v>
      </c>
      <c r="DS154" s="30" t="e">
        <f t="shared" si="310"/>
        <v>#N/A</v>
      </c>
      <c r="DT154" s="30" t="e">
        <f t="shared" si="311"/>
        <v>#N/A</v>
      </c>
      <c r="DU154" s="31" t="e">
        <f>IF(OR(Hypothèses!$B$4=17,Hypothèses!$B$4=18,Hypothèses!$B$4=19,Hypothèses!$B$4=20),
IF($D154="Pressio.",
IF(OR($E154=3,$E154=1,$E154=4),DT154,DS154),
IF($D154="Pénétro.",
IF(OR($E154=3,$E154=1,$E154=4),DT154,DS154))),IF($D154="Pressio.",
IF($E154=3,DT154,DS154),
IF($D154="Pénétro.",
IF($E154=4,DT154,DS154))))</f>
        <v>#N/A</v>
      </c>
      <c r="DV154" s="31">
        <v>0</v>
      </c>
      <c r="DW154" s="102" t="e">
        <f>IF(NDC!$H$10="Oui",(VLOOKUP($B$3,'Coeff EC7'!$T$39:$X$59,2,0)*DU154+VLOOKUP($B$3,'Coeff EC7'!$T$65:$X$85,2,0)*Model0.1T!DV154)/1.5,PI()*DS$12*$Q154*($B154-$B153)*0.15/10+DW153)</f>
        <v>#N/A</v>
      </c>
      <c r="DX154" s="102" t="e">
        <f>(VLOOKUP($B$3,'Coeff EC7'!$T$39:$X$59,3,0)*DU154+VLOOKUP($B$3,'Coeff EC7'!$T$65:$X$85,3,0)*Model0.1T!DV154)/1.1</f>
        <v>#N/A</v>
      </c>
      <c r="DY154" s="102" t="e">
        <f t="shared" si="290"/>
        <v>#N/A</v>
      </c>
      <c r="DZ154" s="102" t="e">
        <f t="shared" si="291"/>
        <v>#N/A</v>
      </c>
      <c r="EA154" s="414" t="e">
        <f>IF(AND(DW154&gt;NDC!$C$63,DX154&gt;NDC!$C$65,DY154&gt;NDC!$D$73,DZ154&gt;NDC!$D$74,$B154&gt;NDC!$H$22-0.1+MIN(3*EA$12,1.5)),0,1)</f>
        <v>#N/A</v>
      </c>
      <c r="EB154" s="86" t="b">
        <f t="shared" si="257"/>
        <v>0</v>
      </c>
      <c r="EC154" s="418">
        <f t="shared" si="258"/>
        <v>0.51</v>
      </c>
      <c r="ED154" s="86">
        <f t="shared" si="259"/>
        <v>0.51</v>
      </c>
      <c r="EE154" s="30" t="e">
        <f t="shared" ca="1" si="292"/>
        <v>#DIV/0!</v>
      </c>
      <c r="EF154" s="85" t="e">
        <f ca="1">IF(DL154&lt;=Hypothèses!$V$7,Hypothèses!$W$7,IF(DL154&lt;=Hypothèses!$V$8,Hypothèses!$W$8,IF(DL154&lt;=Hypothèses!$V$9,Hypothèses!$W$9,IF(DL154&lt;=Hypothèses!$V$10,Hypothèses!$W$10,IF(DL154&lt;=Hypothèses!$V$11,Hypothèses!$W$11,IF(DL154&lt;=Hypothèses!$V$12,Hypothèses!$W$12,IF(DL154&lt;=Hypothèses!$V$13,Hypothèses!$W$13,IF(DL154&lt;=Hypothèses!$V$14,Hypothèses!$W$14,IF(DL154&lt;=Hypothèses!$V$15,Hypothèses!$W$15,IF(DL154&lt;=Hypothèses!$V$16,Hypothèses!$W$16,IF(DL154&lt;=Hypothèses!$V$17,Hypothèses!$W$17,IF(DL154&lt;=Hypothèses!$V$18,Hypothèses!$W$18,""))))))))))))</f>
        <v>#DIV/0!</v>
      </c>
      <c r="EG154" s="87" t="e">
        <f t="shared" ca="1" si="322"/>
        <v>#DIV/0!</v>
      </c>
      <c r="EH154" s="88" t="e">
        <f ca="1">IF(DL154&lt;=Hypothèses!$V$7,Hypothèses!$X$7,IF(DL154&lt;=Hypothèses!$V$8,Hypothèses!$X$8,IF(DL154&lt;=Hypothèses!$V$9,Hypothèses!$X$9,IF(DL154&lt;=Hypothèses!$V$10,Hypothèses!$X$10,IF(DL154&lt;=Hypothèses!$V$11,Hypothèses!$X$11,IF(DL154&lt;=Hypothèses!$V$12,Hypothèses!$X$12,IF(DL154&lt;=Hypothèses!$V$13,Hypothèses!$X$13,IF(DL154&lt;=Hypothèses!$V$14,Hypothèses!$X$14,IF(DL154&lt;=Hypothèses!$V$15,Hypothèses!$X$15,IF(DL154&lt;=Hypothèses!$V$16,Hypothèses!$X$16,IF(DL154&lt;=Hypothèses!$U$17,Hypothèses!$W$17,IF(DL154&lt;=Hypothèses!$U$18,Hypothèses!$W$18,""))))))))))))</f>
        <v>#DIV/0!</v>
      </c>
      <c r="EI154" s="95" t="e">
        <f t="shared" ca="1" si="293"/>
        <v>#DIV/0!</v>
      </c>
      <c r="EJ154" s="101">
        <f t="shared" si="329"/>
        <v>0</v>
      </c>
      <c r="EK154" s="91">
        <f t="shared" si="260"/>
        <v>0</v>
      </c>
      <c r="EL154" s="30" t="e">
        <f t="shared" si="312"/>
        <v>#N/A</v>
      </c>
      <c r="EM154" s="30" t="e">
        <f t="shared" si="313"/>
        <v>#N/A</v>
      </c>
      <c r="EN154" s="31" t="e">
        <f>IF(OR(Hypothèses!$B$4=17,Hypothèses!$B$4=18,Hypothèses!$B$4=19,Hypothèses!$B$4=20),
IF($D154="Pressio.",
IF(OR($E154=3,$E154=1,$E154=4),EM154,EL154),
IF($D154="Pénétro.",
IF(OR($E154=3,$E154=1,$E154=4),EM154,EL154))),IF($D154="Pressio.",
IF($E154=3,EM154,EL154),
IF($D154="Pénétro.",
IF($E154=4,EM154,EL154))))</f>
        <v>#N/A</v>
      </c>
      <c r="EO154" s="31">
        <v>0</v>
      </c>
      <c r="EP154" s="102" t="e">
        <f>IF(NDC!$H$10="Oui",(VLOOKUP($B$3,'Coeff EC7'!$T$39:$X$59,2,0)*EN154+VLOOKUP($B$3,'Coeff EC7'!$T$65:$X$85,2,0)*Model0.1T!EO154)/1.5,PI()*EL$12*$Q154*($B154-$B153)*0.15/10+EP153)</f>
        <v>#N/A</v>
      </c>
      <c r="EQ154" s="102" t="e">
        <f>(VLOOKUP($B$3,'Coeff EC7'!$T$39:$X$59,3,0)*EN154+VLOOKUP($B$3,'Coeff EC7'!$T$65:$X$85,3,0)*Model0.1T!EO154)/1.1</f>
        <v>#N/A</v>
      </c>
      <c r="ER154" s="102" t="e">
        <f t="shared" si="294"/>
        <v>#N/A</v>
      </c>
      <c r="ES154" s="102" t="e">
        <f t="shared" si="295"/>
        <v>#N/A</v>
      </c>
      <c r="ET154" s="414" t="e">
        <f>IF(AND(EP154&gt;NDC!$C$63,EQ154&gt;NDC!$C$65,ER154&gt;NDC!$D$73,ES154&gt;NDC!$D$74,$B154&gt;NDC!$H$22-0.1+MIN(3*ET$12,1.5)),0,1)</f>
        <v>#N/A</v>
      </c>
      <c r="EU154" s="86" t="b">
        <f t="shared" si="261"/>
        <v>0</v>
      </c>
      <c r="EV154" s="86">
        <f t="shared" si="262"/>
        <v>0.61</v>
      </c>
      <c r="EW154" s="86">
        <f t="shared" si="263"/>
        <v>0.61</v>
      </c>
      <c r="EX154" s="30" t="e">
        <f t="shared" ca="1" si="296"/>
        <v>#DIV/0!</v>
      </c>
      <c r="EY154" s="85" t="e">
        <f ca="1">IF(EE154&lt;=Hypothèses!$V$7,Hypothèses!$W$7,IF(EE154&lt;=Hypothèses!$V$8,Hypothèses!$W$8,IF(EE154&lt;=Hypothèses!$V$9,Hypothèses!$W$9,IF(EE154&lt;=Hypothèses!$V$10,Hypothèses!$W$10,IF(EE154&lt;=Hypothèses!$V$11,Hypothèses!$W$11,IF(EE154&lt;=Hypothèses!$V$12,Hypothèses!$W$12,IF(EE154&lt;=Hypothèses!$V$13,Hypothèses!$W$13,IF(EE154&lt;=Hypothèses!$V$14,Hypothèses!$W$14,IF(EE154&lt;=Hypothèses!$V$15,Hypothèses!$W$15,IF(EE154&lt;=Hypothèses!$V$16,Hypothèses!$W$16,IF(EE154&lt;=Hypothèses!$V$17,Hypothèses!$W$17,IF(EE154&lt;=Hypothèses!$V$18,Hypothèses!$W$18,""))))))))))))</f>
        <v>#DIV/0!</v>
      </c>
      <c r="EZ154" s="87" t="e">
        <f t="shared" ca="1" si="323"/>
        <v>#DIV/0!</v>
      </c>
      <c r="FA154" s="88" t="e">
        <f ca="1">IF(EE154&lt;=Hypothèses!$V$7,Hypothèses!$X$7,IF(EE154&lt;=Hypothèses!$V$8,Hypothèses!$X$8,IF(EE154&lt;=Hypothèses!$V$9,Hypothèses!$X$9,IF(EE154&lt;=Hypothèses!$V$10,Hypothèses!$X$10,IF(EE154&lt;=Hypothèses!$V$11,Hypothèses!$X$11,IF(EE154&lt;=Hypothèses!$V$12,Hypothèses!$X$12,IF(EE154&lt;=Hypothèses!$V$13,Hypothèses!$X$13,IF(EE154&lt;=Hypothèses!$V$14,Hypothèses!$X$14,IF(EE154&lt;=Hypothèses!$V$15,Hypothèses!$X$15,IF(EE154&lt;=Hypothèses!$V$16,Hypothèses!$X$16,IF(EE154&lt;=Hypothèses!$U$17,Hypothèses!$W$17,IF(EE154&lt;=Hypothèses!$U$18,Hypothèses!$W$18,""))))))))))))</f>
        <v>#DIV/0!</v>
      </c>
      <c r="FB154" s="95" t="e">
        <f t="shared" ca="1" si="297"/>
        <v>#DIV/0!</v>
      </c>
      <c r="FC154" s="101">
        <f t="shared" si="330"/>
        <v>0</v>
      </c>
      <c r="FD154" s="91">
        <f t="shared" si="264"/>
        <v>0</v>
      </c>
      <c r="FE154" s="30" t="e">
        <f t="shared" si="314"/>
        <v>#N/A</v>
      </c>
      <c r="FF154" s="30" t="e">
        <f t="shared" si="315"/>
        <v>#N/A</v>
      </c>
      <c r="FG154" s="31" t="e">
        <f>IF(OR(Hypothèses!$B$4=17,Hypothèses!$B$4=18,Hypothèses!$B$4=19,Hypothèses!$B$4=20),
IF($D154="Pressio.",
IF(OR($E154=3,$E154=1,$E154=4),FF154,FE154),
IF($D154="Pénétro.",
IF(OR($E154=3,$E154=1,$E154=4),FF154,FE154))),IF($D154="Pressio.",
IF($E154=3,FF154,FE154),
IF($D154="Pénétro.",
IF($E154=4,FF154,FE154))))</f>
        <v>#N/A</v>
      </c>
      <c r="FH154" s="31">
        <v>0</v>
      </c>
      <c r="FI154" s="102" t="e">
        <f>IF(NDC!$H$10="Oui",(VLOOKUP($B$3,'Coeff EC7'!$T$39:$X$59,2,0)*FG154+VLOOKUP($B$3,'Coeff EC7'!$T$65:$X$85,2,0)*Model0.1T!FH154)/1.5,PI()*FE$12*$Q154*($B154-$B153)*0.15/10+FI153)</f>
        <v>#N/A</v>
      </c>
      <c r="FJ154" s="102" t="e">
        <f>(VLOOKUP($B$3,'Coeff EC7'!$T$39:$X$59,3,0)*FG154+VLOOKUP($B$3,'Coeff EC7'!$T$65:$X$85,3,0)*Model0.1T!FH154)/1.1</f>
        <v>#N/A</v>
      </c>
      <c r="FK154" s="102" t="e">
        <f t="shared" si="298"/>
        <v>#N/A</v>
      </c>
      <c r="FL154" s="102" t="e">
        <f t="shared" si="299"/>
        <v>#N/A</v>
      </c>
      <c r="FM154" s="414" t="e">
        <f>IF(AND(FI154&gt;NDC!$C$63,FJ154&gt;NDC!$C$65,FK154&gt;NDC!$D$73,FL154&gt;NDC!$D$74,$B154&gt;NDC!$H$22-0.1+MIN(3*FM$12,1.5)),0,1)</f>
        <v>#N/A</v>
      </c>
    </row>
    <row r="155" spans="1:169">
      <c r="A155" s="96">
        <f t="shared" si="265"/>
        <v>85.800000000000807</v>
      </c>
      <c r="B155" s="97">
        <v>14.2</v>
      </c>
      <c r="C155" s="81">
        <f>IF(B155&lt;=Hypothèses!$C$7,Hypothèses!$A$7,IF(B155&lt;=Hypothèses!$C$8,Hypothèses!$A$8,IF(B155&lt;=Hypothèses!$C$9,Hypothèses!$A$9,IF(B155&lt;=Hypothèses!$C$10,Hypothèses!$A$10,IF(B155&lt;=Hypothèses!$C$11,Hypothèses!$A$11,IF(B155&lt;=Hypothèses!$C$12,Hypothèses!$A$12,IF(B155&lt;=Hypothèses!$C$13,Hypothèses!$A$13,IF(B155&lt;=Hypothèses!$C$14,Hypothèses!$A$14,IF(B155&lt;=Hypothèses!$C$15,Hypothèses!$A$15,IF(B155&lt;=Hypothèses!$C$16,Hypothèses!$A$16,IF(B155&lt;=Hypothèses!$C$17,Hypothèses!$A$17,IF(B155&lt;=Hypothèses!$C$18,Hypothèses!$A$18,C154))))))))))))</f>
        <v>11</v>
      </c>
      <c r="D155" s="82" t="str">
        <f>IF(B155&lt;=Hypothèses!$C$7,Hypothèses!$R$7,IF(B155&lt;=Hypothèses!$C$8,Hypothèses!$R$8,IF(B155&lt;=Hypothèses!$C$9,Hypothèses!$R$9,IF(B155&lt;=Hypothèses!$C$10,Hypothèses!$R$10,IF(B155&lt;=Hypothèses!$C$11,Hypothèses!$R$11,IF(B155&lt;=Hypothèses!$C$12,Hypothèses!$R$12,IF(B155&lt;=Hypothèses!$C$13,Hypothèses!$R$13,IF(B155&lt;=Hypothèses!$C$14,Hypothèses!$R$14,IF(B155&lt;=Hypothèses!$C$15,Hypothèses!$R$15,IF(B155&lt;=Hypothèses!$C$16,Hypothèses!$R$16,IF(B155&lt;=Hypothèses!$C$17,Hypothèses!$R$17,IF(B155&lt;=Hypothèses!$C$18,Hypothèses!$R$18,D154))))))))))))</f>
        <v>Pressio.</v>
      </c>
      <c r="E155" s="82" t="e">
        <f>IF(B155&lt;=Hypothèses!$C$7,Hypothèses!$G$7,IF(B155&lt;=Hypothèses!$C$8,Hypothèses!$G$8,IF(B155&lt;=Hypothèses!$C$9,Hypothèses!$G$9,IF(B155&lt;=Hypothèses!$C$10,Hypothèses!$G$10,IF(B155&lt;=Hypothèses!$C$11,Hypothèses!$G$11,IF(B155&lt;=Hypothèses!$C$12,Hypothèses!$G$12,IF(B155&lt;=Hypothèses!$C$13,Hypothèses!$G$13,IF(B155&lt;=Hypothèses!$C$14,Hypothèses!$G$14,IF(B155&lt;=Hypothèses!$C$15,Hypothèses!$G$15,IF(B155&lt;=Hypothèses!$C$16,Hypothèses!$G$16,IF(B155&lt;=Hypothèses!$C$17,Hypothèses!$G$17,IF(B155&lt;=Hypothèses!$C$18,Hypothèses!$G$18,E154))))))))))))</f>
        <v>#N/A</v>
      </c>
      <c r="F155" s="82" t="str">
        <f>IF(B155&lt;=Hypothèses!$C$7,Hypothèses!$F$7,IF(B155&lt;=Hypothèses!$C$8,Hypothèses!$F$8,IF(B155&lt;=Hypothèses!$C$9,Hypothèses!$F$9,IF(B155&lt;=Hypothèses!$C$10,Hypothèses!$F$10,IF(B155&lt;=Hypothèses!$C$11,Hypothèses!$F$11,IF(B155&lt;=Hypothèses!$C$12,Hypothèses!$F$12,IF(B155&lt;=Hypothèses!$C$13,Hypothèses!$F$13,IF(B155&lt;=Hypothèses!$C$14,Hypothèses!$F$14,IF(B155&lt;=Hypothèses!$C$15,Hypothèses!$F$15,IF(B155&lt;=Hypothèses!$C$16,Hypothèses!$F$16,IF(B155&lt;=Hypothèses!$C$17,Hypothèses!$F$17,IF(B155&lt;=Hypothèses!$C$18,Hypothèses!$F$18,F154))))))))))))</f>
        <v/>
      </c>
      <c r="G155" s="91">
        <f t="array" ref="G155">INDEX('Coeff EC7'!$U$7:$X$27,
MATCH(Model0.1T!$B$3,'Coeff EC7'!$T$7:$T$27,0),
MATCH(Model0.1T!$D155&amp;Model0.1T!$B$4,
'Coeff EC7'!$U$6:$X$6&amp;
'Coeff EC7'!$U$5:$X$5,0))</f>
        <v>1.4</v>
      </c>
      <c r="H155" s="91">
        <f t="array" ref="H155">INDEX('Coeff EC7'!$Y$7:$AB$27,
MATCH(Model0.1T!$B$3,'Coeff EC7'!$T$7:$T$27,0),
MATCH(Model0.1T!$D155&amp;Model0.1T!$B$4,
'Coeff EC7'!$Y$6:$AB$6&amp;
'Coeff EC7'!$Y$5:$AB$5,0))</f>
        <v>1.7</v>
      </c>
      <c r="I155" s="83">
        <v>0</v>
      </c>
      <c r="J155" s="91" t="e">
        <f t="array" ref="J155">INDEX('Coeff EC7'!$D$33:$Q$33,1,MATCH(D155&amp;E155,'Coeff EC7'!$D$31:$Q$31&amp;'Coeff EC7'!$D$32:$Q$32,0))</f>
        <v>#N/A</v>
      </c>
      <c r="K155" s="91" t="e">
        <f t="array" ref="K155">INDEX('Coeff EC7'!$D$34:$Q$34,1,MATCH(D155&amp;E155,'Coeff EC7'!$D$31:$Q$31&amp;'Coeff EC7'!$D$32:$Q$32,0))</f>
        <v>#N/A</v>
      </c>
      <c r="L155" s="91" t="e">
        <f t="array" ref="L155">INDEX('Coeff EC7'!$D$35:$Q$35,1,MATCH(D155&amp;E155,'Coeff EC7'!$D$31:$Q$31&amp;'Coeff EC7'!$D$32:$Q$32,0))</f>
        <v>#N/A</v>
      </c>
      <c r="M155" s="98" t="e">
        <f t="shared" si="231"/>
        <v>#N/A</v>
      </c>
      <c r="N155" s="99" t="e">
        <f t="array" ref="N155">INDEX('Coeff EC7'!$D$7:$Q$27,MATCH($B$3,'Coeff EC7'!$C$7:$C$27,0),MATCH(D155&amp;E155,'Coeff EC7'!$D$5:$Q$5&amp;'Coeff EC7'!$D$6:$Q$6,0))</f>
        <v>#N/A</v>
      </c>
      <c r="O155" s="99" t="e">
        <f t="array" ref="O155">INDEX('Coeff EC7'!$D$41:$Q$61,MATCH($B$3,'Coeff EC7'!$C$41:$C$61,0),MATCH(D155&amp;E155,'Coeff EC7'!$D$39:$Q$39&amp;'Coeff EC7'!$D$40:$Q$40,0))</f>
        <v>#N/A</v>
      </c>
      <c r="P155" s="30" t="e">
        <f t="shared" si="266"/>
        <v>#N/A</v>
      </c>
      <c r="Q155" s="100" t="e">
        <f t="shared" si="233"/>
        <v>#N/A</v>
      </c>
      <c r="R155" s="86" t="b">
        <f t="shared" si="234"/>
        <v>0</v>
      </c>
      <c r="S155" s="86">
        <f t="shared" si="232"/>
        <v>0.5</v>
      </c>
      <c r="T155" s="86">
        <f t="shared" si="235"/>
        <v>0.5</v>
      </c>
      <c r="U155" s="30" t="e">
        <f t="shared" ca="1" si="267"/>
        <v>#DIV/0!</v>
      </c>
      <c r="V155" s="85" t="str">
        <f>IF(B155&lt;=Hypothèses!$V$7,Hypothèses!$W$7,IF(B155&lt;=Hypothèses!$V$8,Hypothèses!$W$8,IF(B155&lt;=Hypothèses!$V$9,Hypothèses!$W$9,IF(B155&lt;=Hypothèses!$V$10,Hypothèses!$W$10,IF(B155&lt;=Hypothèses!$V$11,Hypothèses!$W$11,IF(B155&lt;=Hypothèses!$V$12,Hypothèses!$W$12,IF(B155&lt;=Hypothèses!$V$13,Hypothèses!$W$13,IF(B155&lt;=Hypothèses!$V$14,Hypothèses!$W$14,IF(B155&lt;=Hypothèses!$V$15,Hypothèses!$W$15,IF(B155&lt;=Hypothèses!$V$16,Hypothèses!$W$16,IF(B155&lt;=Hypothèses!$V$17,Hypothèses!$W$17,IF(B155&lt;=Hypothèses!$V$18,Hypothèses!$W$18,""))))))))))))</f>
        <v/>
      </c>
      <c r="W155" s="87" t="e">
        <f t="shared" ca="1" si="316"/>
        <v>#DIV/0!</v>
      </c>
      <c r="X155" s="88" t="str">
        <f>IF(B155&lt;=Hypothèses!$V$7,Hypothèses!$X$7,IF(B155&lt;=Hypothèses!$V$8,Hypothèses!$X$8,IF(B155&lt;=Hypothèses!$V$9,Hypothèses!$X$9,IF(B155&lt;=Hypothèses!$V$10,Hypothèses!$X$10,IF(B155&lt;=Hypothèses!$V$11,Hypothèses!$X$11,IF(B155&lt;=Hypothèses!$V$12,Hypothèses!$X$12,IF(B155&lt;=Hypothèses!$V$13,Hypothèses!$X$13,IF(B155&lt;=Hypothèses!$V$14,Hypothèses!$X$14,IF(B155&lt;=Hypothèses!$V$15,Hypothèses!$X$15,IF(B155&lt;=Hypothèses!$V$16,Hypothèses!$X$16,IF(B155&lt;=Hypothèses!$U$17,Hypothèses!$W$17,IF(B155&lt;=Hypothèses!$U$18,Hypothèses!$W$18,""))))))))))))</f>
        <v/>
      </c>
      <c r="Y155" s="95" t="e">
        <f t="shared" ca="1" si="236"/>
        <v>#DIV/0!</v>
      </c>
      <c r="Z155" s="101">
        <f t="shared" si="237"/>
        <v>0</v>
      </c>
      <c r="AA155" s="91">
        <f t="shared" si="238"/>
        <v>0</v>
      </c>
      <c r="AB155" s="30" t="e">
        <f t="shared" si="300"/>
        <v>#N/A</v>
      </c>
      <c r="AC155" s="30" t="e">
        <f t="shared" si="301"/>
        <v>#N/A</v>
      </c>
      <c r="AD155" s="31" t="e">
        <f>IF(OR(Hypothèses!$B$4=17,Hypothèses!$B$4=18,Hypothèses!$B$4=19,Hypothèses!$B$4=20),
IF($D155="Pressio.",
IF(OR($E155=3,$E155=1,$E155=4),AC155,AB155),
IF($D155="Pénétro.",
IF(OR($E155=3,$E155=1,$E155=4),AC155,AB155))),IF($D155="Pressio.",
IF($E155=3,AC155,AB155),
IF($D155="Pénétro.",
IF($E155=4,AC155,AB155))))</f>
        <v>#N/A</v>
      </c>
      <c r="AE155" s="31">
        <v>0</v>
      </c>
      <c r="AF155" s="102" t="e">
        <f>IF(NDC!$H$10="Oui",(VLOOKUP($B$3,'Coeff EC7'!$T$39:$X$59,2,0)*AD155+VLOOKUP($B$3,'Coeff EC7'!$T$65:$X$85,2,0)*Model0.1T!AE155)/1.5,PI()*AB$12*$Q155*($B155-$B154)*0.15/10+AF154)</f>
        <v>#N/A</v>
      </c>
      <c r="AG155" s="102" t="e">
        <f>(VLOOKUP($B$3,'Coeff EC7'!$T$39:$X$59,3,0)*AD155+VLOOKUP($B$3,'Coeff EC7'!$T$65:$X$85,3,0)*Model0.1T!AE155)/1.1</f>
        <v>#N/A</v>
      </c>
      <c r="AH155" s="102" t="e">
        <f t="shared" si="268"/>
        <v>#N/A</v>
      </c>
      <c r="AI155" s="102" t="e">
        <f t="shared" si="269"/>
        <v>#N/A</v>
      </c>
      <c r="AJ155" s="414" t="e">
        <f>IF(AND(AF155&gt;NDC!$C$63,AG155&gt;NDC!$C$65,AH155&gt;NDC!$D$73,AI155&gt;NDC!$D$74,$B155&gt;NDC!$H$22-0.1+MIN(3*$AJ$12,1.5)),0,1)</f>
        <v>#N/A</v>
      </c>
      <c r="AK155" s="86" t="b">
        <f t="shared" si="239"/>
        <v>0</v>
      </c>
      <c r="AL155" s="86">
        <f t="shared" si="270"/>
        <v>0.5</v>
      </c>
      <c r="AM155" s="86">
        <f t="shared" si="240"/>
        <v>0.5</v>
      </c>
      <c r="AN155" s="30" t="e">
        <f t="shared" ca="1" si="271"/>
        <v>#DIV/0!</v>
      </c>
      <c r="AO155" s="85" t="e">
        <f ca="1">IF(U155&lt;=Hypothèses!$V$7,Hypothèses!$W$7,IF(U155&lt;=Hypothèses!$V$8,Hypothèses!$W$8,IF(U155&lt;=Hypothèses!$V$9,Hypothèses!$W$9,IF(U155&lt;=Hypothèses!$V$10,Hypothèses!$W$10,IF(U155&lt;=Hypothèses!$V$11,Hypothèses!$W$11,IF(U155&lt;=Hypothèses!$V$12,Hypothèses!$W$12,IF(U155&lt;=Hypothèses!$V$13,Hypothèses!$W$13,IF(U155&lt;=Hypothèses!$V$14,Hypothèses!$W$14,IF(U155&lt;=Hypothèses!$V$15,Hypothèses!$W$15,IF(U155&lt;=Hypothèses!$V$16,Hypothèses!$W$16,IF(U155&lt;=Hypothèses!$V$17,Hypothèses!$W$17,IF(U155&lt;=Hypothèses!$V$18,Hypothèses!$W$18,""))))))))))))</f>
        <v>#DIV/0!</v>
      </c>
      <c r="AP155" s="87" t="e">
        <f t="shared" ca="1" si="317"/>
        <v>#DIV/0!</v>
      </c>
      <c r="AQ155" s="88" t="e">
        <f ca="1">IF(U155&lt;=Hypothèses!$V$7,Hypothèses!$X$7,IF(U155&lt;=Hypothèses!$V$8,Hypothèses!$X$8,IF(U155&lt;=Hypothèses!$V$9,Hypothèses!$X$9,IF(U155&lt;=Hypothèses!$V$10,Hypothèses!$X$10,IF(U155&lt;=Hypothèses!$V$11,Hypothèses!$X$11,IF(U155&lt;=Hypothèses!$V$12,Hypothèses!$X$12,IF(U155&lt;=Hypothèses!$V$13,Hypothèses!$X$13,IF(U155&lt;=Hypothèses!$V$14,Hypothèses!$X$14,IF(U155&lt;=Hypothèses!$V$15,Hypothèses!$X$15,IF(U155&lt;=Hypothèses!$V$16,Hypothèses!$X$16,IF(U155&lt;=Hypothèses!$U$17,Hypothèses!$W$17,IF(U155&lt;=Hypothèses!$U$18,Hypothèses!$W$18,""))))))))))))</f>
        <v>#DIV/0!</v>
      </c>
      <c r="AR155" s="95" t="e">
        <f t="shared" ca="1" si="272"/>
        <v>#DIV/0!</v>
      </c>
      <c r="AS155" s="101">
        <f t="shared" si="324"/>
        <v>0</v>
      </c>
      <c r="AT155" s="91">
        <f t="shared" si="241"/>
        <v>0</v>
      </c>
      <c r="AU155" s="30" t="e">
        <f t="shared" si="302"/>
        <v>#N/A</v>
      </c>
      <c r="AV155" s="30" t="e">
        <f t="shared" si="303"/>
        <v>#N/A</v>
      </c>
      <c r="AW155" s="31" t="e">
        <f>IF(OR(Hypothèses!$B$4=17,Hypothèses!$B$4=18,Hypothèses!$B$4=19,Hypothèses!$B$4=20),
IF($D155="Pressio.",
IF(OR($E155=3,$E155=1,$E155=4),AV155,AU155),
IF($D155="Pénétro.",
IF(OR($E155=3,$E155=1,$E155=4),AV155,AU155))),IF($D155="Pressio.",
IF($E155=3,AV155,AU155),
IF($D155="Pénétro.",
IF($E155=4,AV155,AU155))))</f>
        <v>#N/A</v>
      </c>
      <c r="AX155" s="31">
        <v>0</v>
      </c>
      <c r="AY155" s="102" t="e">
        <f>IF(NDC!$H$10="Oui",(VLOOKUP($B$3,'Coeff EC7'!$T$39:$X$59,2,0)*AW155+VLOOKUP($B$3,'Coeff EC7'!$T$65:$X$85,2,0)*Model0.1T!AX155)/1.5,PI()*AU$12*$Q155*($B155-$B154)*0.15/10+AY154)</f>
        <v>#N/A</v>
      </c>
      <c r="AZ155" s="102" t="e">
        <f>(VLOOKUP($B$3,'Coeff EC7'!$T$39:$X$59,3,0)*AW155+VLOOKUP($B$3,'Coeff EC7'!$T$65:$X$85,3,0)*Model0.1T!AX155)/1.1</f>
        <v>#N/A</v>
      </c>
      <c r="BA155" s="102" t="e">
        <f t="shared" si="273"/>
        <v>#N/A</v>
      </c>
      <c r="BB155" s="102" t="e">
        <f t="shared" si="274"/>
        <v>#N/A</v>
      </c>
      <c r="BC155" s="414" t="e">
        <f>IF(AND(AY155&gt;NDC!$C$63,AZ155&gt;NDC!$C$65,BA155&gt;NDC!$D$73,BB155&gt;NDC!$D$74,$B155&gt;NDC!$H$22-0.1+MIN(3*BC$12,1.5)),0,1)</f>
        <v>#N/A</v>
      </c>
      <c r="BD155" s="86" t="b">
        <f t="shared" si="242"/>
        <v>0</v>
      </c>
      <c r="BE155" s="86">
        <f t="shared" si="275"/>
        <v>0.5</v>
      </c>
      <c r="BF155" s="86">
        <f t="shared" si="243"/>
        <v>0.5</v>
      </c>
      <c r="BG155" s="30" t="e">
        <f t="shared" ca="1" si="276"/>
        <v>#DIV/0!</v>
      </c>
      <c r="BH155" s="85" t="e">
        <f ca="1">IF(AN155&lt;=Hypothèses!$V$7,Hypothèses!$W$7,IF(AN155&lt;=Hypothèses!$V$8,Hypothèses!$W$8,IF(AN155&lt;=Hypothèses!$V$9,Hypothèses!$W$9,IF(AN155&lt;=Hypothèses!$V$10,Hypothèses!$W$10,IF(AN155&lt;=Hypothèses!$V$11,Hypothèses!$W$11,IF(AN155&lt;=Hypothèses!$V$12,Hypothèses!$W$12,IF(AN155&lt;=Hypothèses!$V$13,Hypothèses!$W$13,IF(AN155&lt;=Hypothèses!$V$14,Hypothèses!$W$14,IF(AN155&lt;=Hypothèses!$V$15,Hypothèses!$W$15,IF(AN155&lt;=Hypothèses!$V$16,Hypothèses!$W$16,IF(AN155&lt;=Hypothèses!$V$17,Hypothèses!$W$17,IF(AN155&lt;=Hypothèses!$V$18,Hypothèses!$W$18,""))))))))))))</f>
        <v>#DIV/0!</v>
      </c>
      <c r="BI155" s="87" t="e">
        <f t="shared" ca="1" si="318"/>
        <v>#DIV/0!</v>
      </c>
      <c r="BJ155" s="88" t="e">
        <f ca="1">IF(AN155&lt;=Hypothèses!$V$7,Hypothèses!$X$7,IF(AN155&lt;=Hypothèses!$V$8,Hypothèses!$X$8,IF(AN155&lt;=Hypothèses!$V$9,Hypothèses!$X$9,IF(AN155&lt;=Hypothèses!$V$10,Hypothèses!$X$10,IF(AN155&lt;=Hypothèses!$V$11,Hypothèses!$X$11,IF(AN155&lt;=Hypothèses!$V$12,Hypothèses!$X$12,IF(AN155&lt;=Hypothèses!$V$13,Hypothèses!$X$13,IF(AN155&lt;=Hypothèses!$V$14,Hypothèses!$X$14,IF(AN155&lt;=Hypothèses!$V$15,Hypothèses!$X$15,IF(AN155&lt;=Hypothèses!$V$16,Hypothèses!$X$16,IF(AN155&lt;=Hypothèses!$U$17,Hypothèses!$W$17,IF(AN155&lt;=Hypothèses!$U$18,Hypothèses!$W$18,""))))))))))))</f>
        <v>#DIV/0!</v>
      </c>
      <c r="BK155" s="95" t="e">
        <f t="shared" ca="1" si="277"/>
        <v>#DIV/0!</v>
      </c>
      <c r="BL155" s="101">
        <f t="shared" si="325"/>
        <v>0</v>
      </c>
      <c r="BM155" s="91">
        <f t="shared" si="244"/>
        <v>0</v>
      </c>
      <c r="BN155" s="30" t="e">
        <f t="shared" si="304"/>
        <v>#N/A</v>
      </c>
      <c r="BO155" s="30" t="e">
        <f t="shared" si="305"/>
        <v>#N/A</v>
      </c>
      <c r="BP155" s="31" t="e">
        <f>IF(OR(Hypothèses!$B$4=17,Hypothèses!$B$4=18,Hypothèses!$B$4=19,Hypothèses!$B$4=20),
IF($D155="Pressio.",
IF(OR($E155=3,$E155=1,$E155=4),BO155,BN155),
IF($D155="Pénétro.",
IF(OR($E155=3,$E155=1,$E155=4),BO155,BN155))),IF($D155="Pressio.",
IF($E155=3,BO155,BN155),
IF($D155="Pénétro.",
IF($E155=4,BO155,BN155))))</f>
        <v>#N/A</v>
      </c>
      <c r="BQ155" s="31">
        <v>0</v>
      </c>
      <c r="BR155" s="102" t="e">
        <f>IF(NDC!$H$10="Oui",(VLOOKUP($B$3,'Coeff EC7'!$T$39:$X$59,2,0)*BP155+VLOOKUP($B$3,'Coeff EC7'!$T$65:$X$85,2,0)*Model0.1T!BQ155)/1.5,PI()*BN$12*$Q155*($B155-$B154)*0.15/10+BR154)</f>
        <v>#N/A</v>
      </c>
      <c r="BS155" s="102" t="e">
        <f>(VLOOKUP($B$3,'Coeff EC7'!$T$39:$X$59,3,0)*BP155+VLOOKUP($B$3,'Coeff EC7'!$T$65:$X$85,3,0)*Model0.1T!BQ155)/1.1</f>
        <v>#N/A</v>
      </c>
      <c r="BT155" s="102" t="e">
        <f t="shared" si="278"/>
        <v>#N/A</v>
      </c>
      <c r="BU155" s="102" t="e">
        <f t="shared" si="279"/>
        <v>#N/A</v>
      </c>
      <c r="BV155" s="414" t="e">
        <f>IF(AND(BR155&gt;NDC!$C$63,BS155&gt;NDC!$C$65,BT155&gt;NDC!$D$73,BU155&gt;NDC!$D$74,$B155&gt;NDC!$H$22-0.1+MIN(3*BV$12,1.5)),0,1)</f>
        <v>#N/A</v>
      </c>
      <c r="BW155" s="86" t="b">
        <f t="shared" si="245"/>
        <v>0</v>
      </c>
      <c r="BX155" s="86">
        <f t="shared" si="246"/>
        <v>0.5</v>
      </c>
      <c r="BY155" s="86">
        <f t="shared" si="247"/>
        <v>0.5</v>
      </c>
      <c r="BZ155" s="30" t="e">
        <f t="shared" ca="1" si="280"/>
        <v>#DIV/0!</v>
      </c>
      <c r="CA155" s="85" t="e">
        <f ca="1">IF(BG155&lt;=Hypothèses!$V$7,Hypothèses!$W$7,IF(BG155&lt;=Hypothèses!$V$8,Hypothèses!$W$8,IF(BG155&lt;=Hypothèses!$V$9,Hypothèses!$W$9,IF(BG155&lt;=Hypothèses!$V$10,Hypothèses!$W$10,IF(BG155&lt;=Hypothèses!$V$11,Hypothèses!$W$11,IF(BG155&lt;=Hypothèses!$V$12,Hypothèses!$W$12,IF(BG155&lt;=Hypothèses!$V$13,Hypothèses!$W$13,IF(BG155&lt;=Hypothèses!$V$14,Hypothèses!$W$14,IF(BG155&lt;=Hypothèses!$V$15,Hypothèses!$W$15,IF(BG155&lt;=Hypothèses!$V$16,Hypothèses!$W$16,IF(BG155&lt;=Hypothèses!$V$17,Hypothèses!$W$17,IF(BG155&lt;=Hypothèses!$V$18,Hypothèses!$W$18,""))))))))))))</f>
        <v>#DIV/0!</v>
      </c>
      <c r="CB155" s="87" t="e">
        <f t="shared" ca="1" si="319"/>
        <v>#DIV/0!</v>
      </c>
      <c r="CC155" s="88" t="e">
        <f ca="1">IF(BG155&lt;=Hypothèses!$V$7,Hypothèses!$X$7,IF(BG155&lt;=Hypothèses!$V$8,Hypothèses!$X$8,IF(BG155&lt;=Hypothèses!$V$9,Hypothèses!$X$9,IF(BG155&lt;=Hypothèses!$V$10,Hypothèses!$X$10,IF(BG155&lt;=Hypothèses!$V$11,Hypothèses!$X$11,IF(BG155&lt;=Hypothèses!$V$12,Hypothèses!$X$12,IF(BG155&lt;=Hypothèses!$V$13,Hypothèses!$X$13,IF(BG155&lt;=Hypothèses!$V$14,Hypothèses!$X$14,IF(BG155&lt;=Hypothèses!$V$15,Hypothèses!$X$15,IF(BG155&lt;=Hypothèses!$V$16,Hypothèses!$X$16,IF(BG155&lt;=Hypothèses!$U$17,Hypothèses!$W$17,IF(BG155&lt;=Hypothèses!$U$18,Hypothèses!$W$18,""))))))))))))</f>
        <v>#DIV/0!</v>
      </c>
      <c r="CD155" s="95" t="e">
        <f t="shared" ca="1" si="281"/>
        <v>#DIV/0!</v>
      </c>
      <c r="CE155" s="101">
        <f t="shared" si="326"/>
        <v>0</v>
      </c>
      <c r="CF155" s="91">
        <f t="shared" si="248"/>
        <v>0</v>
      </c>
      <c r="CG155" s="30" t="e">
        <f t="shared" si="306"/>
        <v>#N/A</v>
      </c>
      <c r="CH155" s="30" t="e">
        <f t="shared" si="307"/>
        <v>#N/A</v>
      </c>
      <c r="CI155" s="31" t="e">
        <f>IF(OR(Hypothèses!$B$4=17,Hypothèses!$B$4=18,Hypothèses!$B$4=19,Hypothèses!$B$4=20),
IF($D155="Pressio.",
IF(OR($E155=3,$E155=1,$E155=4),CH155,CG155),
IF($D155="Pénétro.",
IF(OR($E155=3,$E155=1,$E155=4),CH155,CG155))),IF($D155="Pressio.",
IF($E155=3,CH155,CG155),
IF($D155="Pénétro.",
IF($E155=4,CH155,CG155))))</f>
        <v>#N/A</v>
      </c>
      <c r="CJ155" s="31">
        <v>0</v>
      </c>
      <c r="CK155" s="102" t="e">
        <f>IF(NDC!$H$10="Oui",(VLOOKUP($B$3,'Coeff EC7'!$T$39:$X$59,2,0)*CI155+VLOOKUP($B$3,'Coeff EC7'!$T$65:$X$85,2,0)*Model0.1T!CJ155)/1.5,PI()*CG$12*$Q155*($B155-$B154)*0.15/10+CK154)</f>
        <v>#N/A</v>
      </c>
      <c r="CL155" s="102" t="e">
        <f>(VLOOKUP($B$3,'Coeff EC7'!$T$39:$X$59,3,0)*CI155+VLOOKUP($B$3,'Coeff EC7'!$T$65:$X$85,3,0)*Model0.1T!CJ155)/1.1</f>
        <v>#N/A</v>
      </c>
      <c r="CM155" s="102" t="e">
        <f t="shared" si="282"/>
        <v>#N/A</v>
      </c>
      <c r="CN155" s="102" t="e">
        <f t="shared" si="283"/>
        <v>#N/A</v>
      </c>
      <c r="CO155" s="414" t="e">
        <f>IF(AND(CK155&gt;NDC!$C$63,CL155&gt;NDC!$C$65,CM155&gt;NDC!$D$73,CN155&gt;NDC!$D$74,$B155&gt;NDC!$H$22-0.1+MIN(3*CO$12,1.5)),0,1)</f>
        <v>#N/A</v>
      </c>
      <c r="CP155" s="86" t="b">
        <f t="shared" si="249"/>
        <v>0</v>
      </c>
      <c r="CQ155" s="86">
        <f t="shared" si="250"/>
        <v>0.5</v>
      </c>
      <c r="CR155" s="86">
        <f t="shared" si="251"/>
        <v>0.5</v>
      </c>
      <c r="CS155" s="30" t="e">
        <f t="shared" ca="1" si="284"/>
        <v>#DIV/0!</v>
      </c>
      <c r="CT155" s="85" t="e">
        <f ca="1">IF(BZ155&lt;=Hypothèses!$V$7,Hypothèses!$W$7,IF(BZ155&lt;=Hypothèses!$V$8,Hypothèses!$W$8,IF(BZ155&lt;=Hypothèses!$V$9,Hypothèses!$W$9,IF(BZ155&lt;=Hypothèses!$V$10,Hypothèses!$W$10,IF(BZ155&lt;=Hypothèses!$V$11,Hypothèses!$W$11,IF(BZ155&lt;=Hypothèses!$V$12,Hypothèses!$W$12,IF(BZ155&lt;=Hypothèses!$V$13,Hypothèses!$W$13,IF(BZ155&lt;=Hypothèses!$V$14,Hypothèses!$W$14,IF(BZ155&lt;=Hypothèses!$V$15,Hypothèses!$W$15,IF(BZ155&lt;=Hypothèses!$V$16,Hypothèses!$W$16,IF(BZ155&lt;=Hypothèses!$V$17,Hypothèses!$W$17,IF(BZ155&lt;=Hypothèses!$V$18,Hypothèses!$W$18,""))))))))))))</f>
        <v>#DIV/0!</v>
      </c>
      <c r="CU155" s="87" t="e">
        <f t="shared" ca="1" si="320"/>
        <v>#DIV/0!</v>
      </c>
      <c r="CV155" s="88" t="e">
        <f ca="1">IF(BZ155&lt;=Hypothèses!$V$7,Hypothèses!$X$7,IF(BZ155&lt;=Hypothèses!$V$8,Hypothèses!$X$8,IF(BZ155&lt;=Hypothèses!$V$9,Hypothèses!$X$9,IF(BZ155&lt;=Hypothèses!$V$10,Hypothèses!$X$10,IF(BZ155&lt;=Hypothèses!$V$11,Hypothèses!$X$11,IF(BZ155&lt;=Hypothèses!$V$12,Hypothèses!$X$12,IF(BZ155&lt;=Hypothèses!$V$13,Hypothèses!$X$13,IF(BZ155&lt;=Hypothèses!$V$14,Hypothèses!$X$14,IF(BZ155&lt;=Hypothèses!$V$15,Hypothèses!$X$15,IF(BZ155&lt;=Hypothèses!$V$16,Hypothèses!$X$16,IF(BZ155&lt;=Hypothèses!$U$17,Hypothèses!$W$17,IF(BZ155&lt;=Hypothèses!$U$18,Hypothèses!$W$18,""))))))))))))</f>
        <v>#DIV/0!</v>
      </c>
      <c r="CW155" s="95" t="e">
        <f t="shared" ca="1" si="285"/>
        <v>#DIV/0!</v>
      </c>
      <c r="CX155" s="101">
        <f t="shared" si="327"/>
        <v>0</v>
      </c>
      <c r="CY155" s="91">
        <f t="shared" si="252"/>
        <v>0</v>
      </c>
      <c r="CZ155" s="30" t="e">
        <f t="shared" si="308"/>
        <v>#N/A</v>
      </c>
      <c r="DA155" s="30" t="e">
        <f t="shared" si="309"/>
        <v>#N/A</v>
      </c>
      <c r="DB155" s="31" t="e">
        <f>IF(OR(Hypothèses!$B$4=17,Hypothèses!$B$4=18,Hypothèses!$B$4=19,Hypothèses!$B$4=20),
IF($D155="Pressio.",
IF(OR($E155=3,$E155=1,$E155=4),DA155,CZ155),
IF($D155="Pénétro.",
IF(OR($E155=3,$E155=1,$E155=4),DA155,CZ155))),IF($D155="Pressio.",
IF($E155=3,DA155,CZ155),
IF($D155="Pénétro.",
IF($E155=4,DA155,CZ155))))</f>
        <v>#N/A</v>
      </c>
      <c r="DC155" s="31">
        <v>0</v>
      </c>
      <c r="DD155" s="102" t="e">
        <f>IF(NDC!$H$10="Oui",(VLOOKUP($B$3,'Coeff EC7'!$T$39:$X$59,2,0)*DB155+VLOOKUP($B$3,'Coeff EC7'!$T$65:$X$85,2,0)*Model0.1T!DC155)/1.5,PI()*CZ$12*$Q155*($B155-$B154)*0.15/10+DD154)</f>
        <v>#N/A</v>
      </c>
      <c r="DE155" s="102" t="e">
        <f>(VLOOKUP($B$3,'Coeff EC7'!$T$39:$X$59,3,0)*DB155+VLOOKUP($B$3,'Coeff EC7'!$T$65:$X$85,3,0)*Model0.1T!DC155)/1.1</f>
        <v>#N/A</v>
      </c>
      <c r="DF155" s="102" t="e">
        <f t="shared" si="286"/>
        <v>#N/A</v>
      </c>
      <c r="DG155" s="102" t="e">
        <f t="shared" si="287"/>
        <v>#N/A</v>
      </c>
      <c r="DH155" s="414" t="e">
        <f>IF(AND(DD155&gt;NDC!$C$63,DE155&gt;NDC!$C$65,DF155&gt;NDC!$D$73,DG155&gt;NDC!$D$74,$B155&gt;NDC!$H$22-0.1+MIN(3*DH$12,1.5)),0,1)</f>
        <v>#N/A</v>
      </c>
      <c r="DI155" s="86" t="b">
        <f t="shared" si="253"/>
        <v>0</v>
      </c>
      <c r="DJ155" s="86">
        <f t="shared" si="254"/>
        <v>0.5</v>
      </c>
      <c r="DK155" s="86">
        <f t="shared" si="255"/>
        <v>0.5</v>
      </c>
      <c r="DL155" s="30" t="e">
        <f t="shared" ca="1" si="288"/>
        <v>#DIV/0!</v>
      </c>
      <c r="DM155" s="85" t="e">
        <f ca="1">IF(CS155&lt;=Hypothèses!$V$7,Hypothèses!$W$7,IF(CS155&lt;=Hypothèses!$V$8,Hypothèses!$W$8,IF(CS155&lt;=Hypothèses!$V$9,Hypothèses!$W$9,IF(CS155&lt;=Hypothèses!$V$10,Hypothèses!$W$10,IF(CS155&lt;=Hypothèses!$V$11,Hypothèses!$W$11,IF(CS155&lt;=Hypothèses!$V$12,Hypothèses!$W$12,IF(CS155&lt;=Hypothèses!$V$13,Hypothèses!$W$13,IF(CS155&lt;=Hypothèses!$V$14,Hypothèses!$W$14,IF(CS155&lt;=Hypothèses!$V$15,Hypothèses!$W$15,IF(CS155&lt;=Hypothèses!$V$16,Hypothèses!$W$16,IF(CS155&lt;=Hypothèses!$V$17,Hypothèses!$W$17,IF(CS155&lt;=Hypothèses!$V$18,Hypothèses!$W$18,""))))))))))))</f>
        <v>#DIV/0!</v>
      </c>
      <c r="DN155" s="87" t="e">
        <f t="shared" ca="1" si="321"/>
        <v>#DIV/0!</v>
      </c>
      <c r="DO155" s="88" t="e">
        <f ca="1">IF(CS155&lt;=Hypothèses!$V$7,Hypothèses!$X$7,IF(CS155&lt;=Hypothèses!$V$8,Hypothèses!$X$8,IF(CS155&lt;=Hypothèses!$V$9,Hypothèses!$X$9,IF(CS155&lt;=Hypothèses!$V$10,Hypothèses!$X$10,IF(CS155&lt;=Hypothèses!$V$11,Hypothèses!$X$11,IF(CS155&lt;=Hypothèses!$V$12,Hypothèses!$X$12,IF(CS155&lt;=Hypothèses!$V$13,Hypothèses!$X$13,IF(CS155&lt;=Hypothèses!$V$14,Hypothèses!$X$14,IF(CS155&lt;=Hypothèses!$V$15,Hypothèses!$X$15,IF(CS155&lt;=Hypothèses!$V$16,Hypothèses!$X$16,IF(CS155&lt;=Hypothèses!$U$17,Hypothèses!$W$17,IF(CS155&lt;=Hypothèses!$U$18,Hypothèses!$W$18,""))))))))))))</f>
        <v>#DIV/0!</v>
      </c>
      <c r="DP155" s="95" t="e">
        <f t="shared" ca="1" si="289"/>
        <v>#DIV/0!</v>
      </c>
      <c r="DQ155" s="101">
        <f t="shared" si="328"/>
        <v>0</v>
      </c>
      <c r="DR155" s="91">
        <f t="shared" si="256"/>
        <v>0</v>
      </c>
      <c r="DS155" s="30" t="e">
        <f t="shared" si="310"/>
        <v>#N/A</v>
      </c>
      <c r="DT155" s="30" t="e">
        <f t="shared" si="311"/>
        <v>#N/A</v>
      </c>
      <c r="DU155" s="31" t="e">
        <f>IF(OR(Hypothèses!$B$4=17,Hypothèses!$B$4=18,Hypothèses!$B$4=19,Hypothèses!$B$4=20),
IF($D155="Pressio.",
IF(OR($E155=3,$E155=1,$E155=4),DT155,DS155),
IF($D155="Pénétro.",
IF(OR($E155=3,$E155=1,$E155=4),DT155,DS155))),IF($D155="Pressio.",
IF($E155=3,DT155,DS155),
IF($D155="Pénétro.",
IF($E155=4,DT155,DS155))))</f>
        <v>#N/A</v>
      </c>
      <c r="DV155" s="31">
        <v>0</v>
      </c>
      <c r="DW155" s="102" t="e">
        <f>IF(NDC!$H$10="Oui",(VLOOKUP($B$3,'Coeff EC7'!$T$39:$X$59,2,0)*DU155+VLOOKUP($B$3,'Coeff EC7'!$T$65:$X$85,2,0)*Model0.1T!DV155)/1.5,PI()*DS$12*$Q155*($B155-$B154)*0.15/10+DW154)</f>
        <v>#N/A</v>
      </c>
      <c r="DX155" s="102" t="e">
        <f>(VLOOKUP($B$3,'Coeff EC7'!$T$39:$X$59,3,0)*DU155+VLOOKUP($B$3,'Coeff EC7'!$T$65:$X$85,3,0)*Model0.1T!DV155)/1.1</f>
        <v>#N/A</v>
      </c>
      <c r="DY155" s="102" t="e">
        <f t="shared" si="290"/>
        <v>#N/A</v>
      </c>
      <c r="DZ155" s="102" t="e">
        <f t="shared" si="291"/>
        <v>#N/A</v>
      </c>
      <c r="EA155" s="414" t="e">
        <f>IF(AND(DW155&gt;NDC!$C$63,DX155&gt;NDC!$C$65,DY155&gt;NDC!$D$73,DZ155&gt;NDC!$D$74,$B155&gt;NDC!$H$22-0.1+MIN(3*EA$12,1.5)),0,1)</f>
        <v>#N/A</v>
      </c>
      <c r="EB155" s="86" t="b">
        <f t="shared" si="257"/>
        <v>0</v>
      </c>
      <c r="EC155" s="418">
        <f t="shared" si="258"/>
        <v>0.51</v>
      </c>
      <c r="ED155" s="86">
        <f t="shared" si="259"/>
        <v>0.51</v>
      </c>
      <c r="EE155" s="30" t="e">
        <f t="shared" ca="1" si="292"/>
        <v>#DIV/0!</v>
      </c>
      <c r="EF155" s="85" t="e">
        <f ca="1">IF(DL155&lt;=Hypothèses!$V$7,Hypothèses!$W$7,IF(DL155&lt;=Hypothèses!$V$8,Hypothèses!$W$8,IF(DL155&lt;=Hypothèses!$V$9,Hypothèses!$W$9,IF(DL155&lt;=Hypothèses!$V$10,Hypothèses!$W$10,IF(DL155&lt;=Hypothèses!$V$11,Hypothèses!$W$11,IF(DL155&lt;=Hypothèses!$V$12,Hypothèses!$W$12,IF(DL155&lt;=Hypothèses!$V$13,Hypothèses!$W$13,IF(DL155&lt;=Hypothèses!$V$14,Hypothèses!$W$14,IF(DL155&lt;=Hypothèses!$V$15,Hypothèses!$W$15,IF(DL155&lt;=Hypothèses!$V$16,Hypothèses!$W$16,IF(DL155&lt;=Hypothèses!$V$17,Hypothèses!$W$17,IF(DL155&lt;=Hypothèses!$V$18,Hypothèses!$W$18,""))))))))))))</f>
        <v>#DIV/0!</v>
      </c>
      <c r="EG155" s="87" t="e">
        <f t="shared" ca="1" si="322"/>
        <v>#DIV/0!</v>
      </c>
      <c r="EH155" s="88" t="e">
        <f ca="1">IF(DL155&lt;=Hypothèses!$V$7,Hypothèses!$X$7,IF(DL155&lt;=Hypothèses!$V$8,Hypothèses!$X$8,IF(DL155&lt;=Hypothèses!$V$9,Hypothèses!$X$9,IF(DL155&lt;=Hypothèses!$V$10,Hypothèses!$X$10,IF(DL155&lt;=Hypothèses!$V$11,Hypothèses!$X$11,IF(DL155&lt;=Hypothèses!$V$12,Hypothèses!$X$12,IF(DL155&lt;=Hypothèses!$V$13,Hypothèses!$X$13,IF(DL155&lt;=Hypothèses!$V$14,Hypothèses!$X$14,IF(DL155&lt;=Hypothèses!$V$15,Hypothèses!$X$15,IF(DL155&lt;=Hypothèses!$V$16,Hypothèses!$X$16,IF(DL155&lt;=Hypothèses!$U$17,Hypothèses!$W$17,IF(DL155&lt;=Hypothèses!$U$18,Hypothèses!$W$18,""))))))))))))</f>
        <v>#DIV/0!</v>
      </c>
      <c r="EI155" s="95" t="e">
        <f t="shared" ca="1" si="293"/>
        <v>#DIV/0!</v>
      </c>
      <c r="EJ155" s="101">
        <f t="shared" si="329"/>
        <v>0</v>
      </c>
      <c r="EK155" s="91">
        <f t="shared" si="260"/>
        <v>0</v>
      </c>
      <c r="EL155" s="30" t="e">
        <f t="shared" si="312"/>
        <v>#N/A</v>
      </c>
      <c r="EM155" s="30" t="e">
        <f t="shared" si="313"/>
        <v>#N/A</v>
      </c>
      <c r="EN155" s="31" t="e">
        <f>IF(OR(Hypothèses!$B$4=17,Hypothèses!$B$4=18,Hypothèses!$B$4=19,Hypothèses!$B$4=20),
IF($D155="Pressio.",
IF(OR($E155=3,$E155=1,$E155=4),EM155,EL155),
IF($D155="Pénétro.",
IF(OR($E155=3,$E155=1,$E155=4),EM155,EL155))),IF($D155="Pressio.",
IF($E155=3,EM155,EL155),
IF($D155="Pénétro.",
IF($E155=4,EM155,EL155))))</f>
        <v>#N/A</v>
      </c>
      <c r="EO155" s="31">
        <v>0</v>
      </c>
      <c r="EP155" s="102" t="e">
        <f>IF(NDC!$H$10="Oui",(VLOOKUP($B$3,'Coeff EC7'!$T$39:$X$59,2,0)*EN155+VLOOKUP($B$3,'Coeff EC7'!$T$65:$X$85,2,0)*Model0.1T!EO155)/1.5,PI()*EL$12*$Q155*($B155-$B154)*0.15/10+EP154)</f>
        <v>#N/A</v>
      </c>
      <c r="EQ155" s="102" t="e">
        <f>(VLOOKUP($B$3,'Coeff EC7'!$T$39:$X$59,3,0)*EN155+VLOOKUP($B$3,'Coeff EC7'!$T$65:$X$85,3,0)*Model0.1T!EO155)/1.1</f>
        <v>#N/A</v>
      </c>
      <c r="ER155" s="102" t="e">
        <f t="shared" si="294"/>
        <v>#N/A</v>
      </c>
      <c r="ES155" s="102" t="e">
        <f t="shared" si="295"/>
        <v>#N/A</v>
      </c>
      <c r="ET155" s="414" t="e">
        <f>IF(AND(EP155&gt;NDC!$C$63,EQ155&gt;NDC!$C$65,ER155&gt;NDC!$D$73,ES155&gt;NDC!$D$74,$B155&gt;NDC!$H$22-0.1+MIN(3*ET$12,1.5)),0,1)</f>
        <v>#N/A</v>
      </c>
      <c r="EU155" s="86" t="b">
        <f t="shared" si="261"/>
        <v>0</v>
      </c>
      <c r="EV155" s="86">
        <f t="shared" si="262"/>
        <v>0.61</v>
      </c>
      <c r="EW155" s="86">
        <f t="shared" si="263"/>
        <v>0.61</v>
      </c>
      <c r="EX155" s="30" t="e">
        <f t="shared" ca="1" si="296"/>
        <v>#DIV/0!</v>
      </c>
      <c r="EY155" s="85" t="e">
        <f ca="1">IF(EE155&lt;=Hypothèses!$V$7,Hypothèses!$W$7,IF(EE155&lt;=Hypothèses!$V$8,Hypothèses!$W$8,IF(EE155&lt;=Hypothèses!$V$9,Hypothèses!$W$9,IF(EE155&lt;=Hypothèses!$V$10,Hypothèses!$W$10,IF(EE155&lt;=Hypothèses!$V$11,Hypothèses!$W$11,IF(EE155&lt;=Hypothèses!$V$12,Hypothèses!$W$12,IF(EE155&lt;=Hypothèses!$V$13,Hypothèses!$W$13,IF(EE155&lt;=Hypothèses!$V$14,Hypothèses!$W$14,IF(EE155&lt;=Hypothèses!$V$15,Hypothèses!$W$15,IF(EE155&lt;=Hypothèses!$V$16,Hypothèses!$W$16,IF(EE155&lt;=Hypothèses!$V$17,Hypothèses!$W$17,IF(EE155&lt;=Hypothèses!$V$18,Hypothèses!$W$18,""))))))))))))</f>
        <v>#DIV/0!</v>
      </c>
      <c r="EZ155" s="87" t="e">
        <f t="shared" ca="1" si="323"/>
        <v>#DIV/0!</v>
      </c>
      <c r="FA155" s="88" t="e">
        <f ca="1">IF(EE155&lt;=Hypothèses!$V$7,Hypothèses!$X$7,IF(EE155&lt;=Hypothèses!$V$8,Hypothèses!$X$8,IF(EE155&lt;=Hypothèses!$V$9,Hypothèses!$X$9,IF(EE155&lt;=Hypothèses!$V$10,Hypothèses!$X$10,IF(EE155&lt;=Hypothèses!$V$11,Hypothèses!$X$11,IF(EE155&lt;=Hypothèses!$V$12,Hypothèses!$X$12,IF(EE155&lt;=Hypothèses!$V$13,Hypothèses!$X$13,IF(EE155&lt;=Hypothèses!$V$14,Hypothèses!$X$14,IF(EE155&lt;=Hypothèses!$V$15,Hypothèses!$X$15,IF(EE155&lt;=Hypothèses!$V$16,Hypothèses!$X$16,IF(EE155&lt;=Hypothèses!$U$17,Hypothèses!$W$17,IF(EE155&lt;=Hypothèses!$U$18,Hypothèses!$W$18,""))))))))))))</f>
        <v>#DIV/0!</v>
      </c>
      <c r="FB155" s="95" t="e">
        <f t="shared" ca="1" si="297"/>
        <v>#DIV/0!</v>
      </c>
      <c r="FC155" s="101">
        <f t="shared" si="330"/>
        <v>0</v>
      </c>
      <c r="FD155" s="91">
        <f t="shared" si="264"/>
        <v>0</v>
      </c>
      <c r="FE155" s="30" t="e">
        <f t="shared" si="314"/>
        <v>#N/A</v>
      </c>
      <c r="FF155" s="30" t="e">
        <f t="shared" si="315"/>
        <v>#N/A</v>
      </c>
      <c r="FG155" s="31" t="e">
        <f>IF(OR(Hypothèses!$B$4=17,Hypothèses!$B$4=18,Hypothèses!$B$4=19,Hypothèses!$B$4=20),
IF($D155="Pressio.",
IF(OR($E155=3,$E155=1,$E155=4),FF155,FE155),
IF($D155="Pénétro.",
IF(OR($E155=3,$E155=1,$E155=4),FF155,FE155))),IF($D155="Pressio.",
IF($E155=3,FF155,FE155),
IF($D155="Pénétro.",
IF($E155=4,FF155,FE155))))</f>
        <v>#N/A</v>
      </c>
      <c r="FH155" s="31">
        <v>0</v>
      </c>
      <c r="FI155" s="102" t="e">
        <f>IF(NDC!$H$10="Oui",(VLOOKUP($B$3,'Coeff EC7'!$T$39:$X$59,2,0)*FG155+VLOOKUP($B$3,'Coeff EC7'!$T$65:$X$85,2,0)*Model0.1T!FH155)/1.5,PI()*FE$12*$Q155*($B155-$B154)*0.15/10+FI154)</f>
        <v>#N/A</v>
      </c>
      <c r="FJ155" s="102" t="e">
        <f>(VLOOKUP($B$3,'Coeff EC7'!$T$39:$X$59,3,0)*FG155+VLOOKUP($B$3,'Coeff EC7'!$T$65:$X$85,3,0)*Model0.1T!FH155)/1.1</f>
        <v>#N/A</v>
      </c>
      <c r="FK155" s="102" t="e">
        <f t="shared" si="298"/>
        <v>#N/A</v>
      </c>
      <c r="FL155" s="102" t="e">
        <f t="shared" si="299"/>
        <v>#N/A</v>
      </c>
      <c r="FM155" s="414" t="e">
        <f>IF(AND(FI155&gt;NDC!$C$63,FJ155&gt;NDC!$C$65,FK155&gt;NDC!$D$73,FL155&gt;NDC!$D$74,$B155&gt;NDC!$H$22-0.1+MIN(3*FM$12,1.5)),0,1)</f>
        <v>#N/A</v>
      </c>
    </row>
    <row r="156" spans="1:169">
      <c r="A156" s="96">
        <f t="shared" si="265"/>
        <v>85.700000000000813</v>
      </c>
      <c r="B156" s="97">
        <v>14.3</v>
      </c>
      <c r="C156" s="81">
        <f>IF(B156&lt;=Hypothèses!$C$7,Hypothèses!$A$7,IF(B156&lt;=Hypothèses!$C$8,Hypothèses!$A$8,IF(B156&lt;=Hypothèses!$C$9,Hypothèses!$A$9,IF(B156&lt;=Hypothèses!$C$10,Hypothèses!$A$10,IF(B156&lt;=Hypothèses!$C$11,Hypothèses!$A$11,IF(B156&lt;=Hypothèses!$C$12,Hypothèses!$A$12,IF(B156&lt;=Hypothèses!$C$13,Hypothèses!$A$13,IF(B156&lt;=Hypothèses!$C$14,Hypothèses!$A$14,IF(B156&lt;=Hypothèses!$C$15,Hypothèses!$A$15,IF(B156&lt;=Hypothèses!$C$16,Hypothèses!$A$16,IF(B156&lt;=Hypothèses!$C$17,Hypothèses!$A$17,IF(B156&lt;=Hypothèses!$C$18,Hypothèses!$A$18,C155))))))))))))</f>
        <v>11</v>
      </c>
      <c r="D156" s="82" t="str">
        <f>IF(B156&lt;=Hypothèses!$C$7,Hypothèses!$R$7,IF(B156&lt;=Hypothèses!$C$8,Hypothèses!$R$8,IF(B156&lt;=Hypothèses!$C$9,Hypothèses!$R$9,IF(B156&lt;=Hypothèses!$C$10,Hypothèses!$R$10,IF(B156&lt;=Hypothèses!$C$11,Hypothèses!$R$11,IF(B156&lt;=Hypothèses!$C$12,Hypothèses!$R$12,IF(B156&lt;=Hypothèses!$C$13,Hypothèses!$R$13,IF(B156&lt;=Hypothèses!$C$14,Hypothèses!$R$14,IF(B156&lt;=Hypothèses!$C$15,Hypothèses!$R$15,IF(B156&lt;=Hypothèses!$C$16,Hypothèses!$R$16,IF(B156&lt;=Hypothèses!$C$17,Hypothèses!$R$17,IF(B156&lt;=Hypothèses!$C$18,Hypothèses!$R$18,D155))))))))))))</f>
        <v>Pressio.</v>
      </c>
      <c r="E156" s="82" t="e">
        <f>IF(B156&lt;=Hypothèses!$C$7,Hypothèses!$G$7,IF(B156&lt;=Hypothèses!$C$8,Hypothèses!$G$8,IF(B156&lt;=Hypothèses!$C$9,Hypothèses!$G$9,IF(B156&lt;=Hypothèses!$C$10,Hypothèses!$G$10,IF(B156&lt;=Hypothèses!$C$11,Hypothèses!$G$11,IF(B156&lt;=Hypothèses!$C$12,Hypothèses!$G$12,IF(B156&lt;=Hypothèses!$C$13,Hypothèses!$G$13,IF(B156&lt;=Hypothèses!$C$14,Hypothèses!$G$14,IF(B156&lt;=Hypothèses!$C$15,Hypothèses!$G$15,IF(B156&lt;=Hypothèses!$C$16,Hypothèses!$G$16,IF(B156&lt;=Hypothèses!$C$17,Hypothèses!$G$17,IF(B156&lt;=Hypothèses!$C$18,Hypothèses!$G$18,E155))))))))))))</f>
        <v>#N/A</v>
      </c>
      <c r="F156" s="82" t="str">
        <f>IF(B156&lt;=Hypothèses!$C$7,Hypothèses!$F$7,IF(B156&lt;=Hypothèses!$C$8,Hypothèses!$F$8,IF(B156&lt;=Hypothèses!$C$9,Hypothèses!$F$9,IF(B156&lt;=Hypothèses!$C$10,Hypothèses!$F$10,IF(B156&lt;=Hypothèses!$C$11,Hypothèses!$F$11,IF(B156&lt;=Hypothèses!$C$12,Hypothèses!$F$12,IF(B156&lt;=Hypothèses!$C$13,Hypothèses!$F$13,IF(B156&lt;=Hypothèses!$C$14,Hypothèses!$F$14,IF(B156&lt;=Hypothèses!$C$15,Hypothèses!$F$15,IF(B156&lt;=Hypothèses!$C$16,Hypothèses!$F$16,IF(B156&lt;=Hypothèses!$C$17,Hypothèses!$F$17,IF(B156&lt;=Hypothèses!$C$18,Hypothèses!$F$18,F155))))))))))))</f>
        <v/>
      </c>
      <c r="G156" s="91">
        <f t="array" ref="G156">INDEX('Coeff EC7'!$U$7:$X$27,
MATCH(Model0.1T!$B$3,'Coeff EC7'!$T$7:$T$27,0),
MATCH(Model0.1T!$D156&amp;Model0.1T!$B$4,
'Coeff EC7'!$U$6:$X$6&amp;
'Coeff EC7'!$U$5:$X$5,0))</f>
        <v>1.4</v>
      </c>
      <c r="H156" s="91">
        <f t="array" ref="H156">INDEX('Coeff EC7'!$Y$7:$AB$27,
MATCH(Model0.1T!$B$3,'Coeff EC7'!$T$7:$T$27,0),
MATCH(Model0.1T!$D156&amp;Model0.1T!$B$4,
'Coeff EC7'!$Y$6:$AB$6&amp;
'Coeff EC7'!$Y$5:$AB$5,0))</f>
        <v>1.7</v>
      </c>
      <c r="I156" s="83">
        <v>0</v>
      </c>
      <c r="J156" s="91" t="e">
        <f t="array" ref="J156">INDEX('Coeff EC7'!$D$33:$Q$33,1,MATCH(D156&amp;E156,'Coeff EC7'!$D$31:$Q$31&amp;'Coeff EC7'!$D$32:$Q$32,0))</f>
        <v>#N/A</v>
      </c>
      <c r="K156" s="91" t="e">
        <f t="array" ref="K156">INDEX('Coeff EC7'!$D$34:$Q$34,1,MATCH(D156&amp;E156,'Coeff EC7'!$D$31:$Q$31&amp;'Coeff EC7'!$D$32:$Q$32,0))</f>
        <v>#N/A</v>
      </c>
      <c r="L156" s="91" t="e">
        <f t="array" ref="L156">INDEX('Coeff EC7'!$D$35:$Q$35,1,MATCH(D156&amp;E156,'Coeff EC7'!$D$31:$Q$31&amp;'Coeff EC7'!$D$32:$Q$32,0))</f>
        <v>#N/A</v>
      </c>
      <c r="M156" s="98" t="e">
        <f t="shared" si="231"/>
        <v>#N/A</v>
      </c>
      <c r="N156" s="99" t="e">
        <f t="array" ref="N156">INDEX('Coeff EC7'!$D$7:$Q$27,MATCH($B$3,'Coeff EC7'!$C$7:$C$27,0),MATCH(D156&amp;E156,'Coeff EC7'!$D$5:$Q$5&amp;'Coeff EC7'!$D$6:$Q$6,0))</f>
        <v>#N/A</v>
      </c>
      <c r="O156" s="99" t="e">
        <f t="array" ref="O156">INDEX('Coeff EC7'!$D$41:$Q$61,MATCH($B$3,'Coeff EC7'!$C$41:$C$61,0),MATCH(D156&amp;E156,'Coeff EC7'!$D$39:$Q$39&amp;'Coeff EC7'!$D$40:$Q$40,0))</f>
        <v>#N/A</v>
      </c>
      <c r="P156" s="30" t="e">
        <f t="shared" si="266"/>
        <v>#N/A</v>
      </c>
      <c r="Q156" s="100" t="e">
        <f t="shared" si="233"/>
        <v>#N/A</v>
      </c>
      <c r="R156" s="86" t="b">
        <f t="shared" si="234"/>
        <v>0</v>
      </c>
      <c r="S156" s="86">
        <f t="shared" si="232"/>
        <v>0.5</v>
      </c>
      <c r="T156" s="86">
        <f t="shared" si="235"/>
        <v>0.5</v>
      </c>
      <c r="U156" s="30" t="e">
        <f t="shared" ca="1" si="267"/>
        <v>#DIV/0!</v>
      </c>
      <c r="V156" s="85" t="str">
        <f>IF(B156&lt;=Hypothèses!$V$7,Hypothèses!$W$7,IF(B156&lt;=Hypothèses!$V$8,Hypothèses!$W$8,IF(B156&lt;=Hypothèses!$V$9,Hypothèses!$W$9,IF(B156&lt;=Hypothèses!$V$10,Hypothèses!$W$10,IF(B156&lt;=Hypothèses!$V$11,Hypothèses!$W$11,IF(B156&lt;=Hypothèses!$V$12,Hypothèses!$W$12,IF(B156&lt;=Hypothèses!$V$13,Hypothèses!$W$13,IF(B156&lt;=Hypothèses!$V$14,Hypothèses!$W$14,IF(B156&lt;=Hypothèses!$V$15,Hypothèses!$W$15,IF(B156&lt;=Hypothèses!$V$16,Hypothèses!$W$16,IF(B156&lt;=Hypothèses!$V$17,Hypothèses!$W$17,IF(B156&lt;=Hypothèses!$V$18,Hypothèses!$W$18,""))))))))))))</f>
        <v/>
      </c>
      <c r="W156" s="87" t="e">
        <f t="shared" ca="1" si="316"/>
        <v>#DIV/0!</v>
      </c>
      <c r="X156" s="88" t="str">
        <f>IF(B156&lt;=Hypothèses!$V$7,Hypothèses!$X$7,IF(B156&lt;=Hypothèses!$V$8,Hypothèses!$X$8,IF(B156&lt;=Hypothèses!$V$9,Hypothèses!$X$9,IF(B156&lt;=Hypothèses!$V$10,Hypothèses!$X$10,IF(B156&lt;=Hypothèses!$V$11,Hypothèses!$X$11,IF(B156&lt;=Hypothèses!$V$12,Hypothèses!$X$12,IF(B156&lt;=Hypothèses!$V$13,Hypothèses!$X$13,IF(B156&lt;=Hypothèses!$V$14,Hypothèses!$X$14,IF(B156&lt;=Hypothèses!$V$15,Hypothèses!$X$15,IF(B156&lt;=Hypothèses!$V$16,Hypothèses!$X$16,IF(B156&lt;=Hypothèses!$U$17,Hypothèses!$W$17,IF(B156&lt;=Hypothèses!$U$18,Hypothèses!$W$18,""))))))))))))</f>
        <v/>
      </c>
      <c r="Y156" s="95" t="e">
        <f t="shared" ca="1" si="236"/>
        <v>#DIV/0!</v>
      </c>
      <c r="Z156" s="101">
        <f t="shared" si="237"/>
        <v>0</v>
      </c>
      <c r="AA156" s="91">
        <f t="shared" si="238"/>
        <v>0</v>
      </c>
      <c r="AB156" s="30" t="e">
        <f t="shared" si="300"/>
        <v>#N/A</v>
      </c>
      <c r="AC156" s="30" t="e">
        <f t="shared" si="301"/>
        <v>#N/A</v>
      </c>
      <c r="AD156" s="31" t="e">
        <f>IF(OR(Hypothèses!$B$4=17,Hypothèses!$B$4=18,Hypothèses!$B$4=19,Hypothèses!$B$4=20),
IF($D156="Pressio.",
IF(OR($E156=3,$E156=1,$E156=4),AC156,AB156),
IF($D156="Pénétro.",
IF(OR($E156=3,$E156=1,$E156=4),AC156,AB156))),IF($D156="Pressio.",
IF($E156=3,AC156,AB156),
IF($D156="Pénétro.",
IF($E156=4,AC156,AB156))))</f>
        <v>#N/A</v>
      </c>
      <c r="AE156" s="31">
        <v>0</v>
      </c>
      <c r="AF156" s="102" t="e">
        <f>IF(NDC!$H$10="Oui",(VLOOKUP($B$3,'Coeff EC7'!$T$39:$X$59,2,0)*AD156+VLOOKUP($B$3,'Coeff EC7'!$T$65:$X$85,2,0)*Model0.1T!AE156)/1.5,PI()*AB$12*$Q156*($B156-$B155)*0.15/10+AF155)</f>
        <v>#N/A</v>
      </c>
      <c r="AG156" s="102" t="e">
        <f>(VLOOKUP($B$3,'Coeff EC7'!$T$39:$X$59,3,0)*AD156+VLOOKUP($B$3,'Coeff EC7'!$T$65:$X$85,3,0)*Model0.1T!AE156)/1.1</f>
        <v>#N/A</v>
      </c>
      <c r="AH156" s="102" t="e">
        <f t="shared" si="268"/>
        <v>#N/A</v>
      </c>
      <c r="AI156" s="102" t="e">
        <f t="shared" si="269"/>
        <v>#N/A</v>
      </c>
      <c r="AJ156" s="414" t="e">
        <f>IF(AND(AF156&gt;NDC!$C$63,AG156&gt;NDC!$C$65,AH156&gt;NDC!$D$73,AI156&gt;NDC!$D$74,$B156&gt;NDC!$H$22-0.1+MIN(3*$AJ$12,1.5)),0,1)</f>
        <v>#N/A</v>
      </c>
      <c r="AK156" s="86" t="b">
        <f t="shared" si="239"/>
        <v>0</v>
      </c>
      <c r="AL156" s="86">
        <f t="shared" si="270"/>
        <v>0.5</v>
      </c>
      <c r="AM156" s="86">
        <f t="shared" si="240"/>
        <v>0.5</v>
      </c>
      <c r="AN156" s="30" t="e">
        <f t="shared" ca="1" si="271"/>
        <v>#DIV/0!</v>
      </c>
      <c r="AO156" s="85" t="e">
        <f ca="1">IF(U156&lt;=Hypothèses!$V$7,Hypothèses!$W$7,IF(U156&lt;=Hypothèses!$V$8,Hypothèses!$W$8,IF(U156&lt;=Hypothèses!$V$9,Hypothèses!$W$9,IF(U156&lt;=Hypothèses!$V$10,Hypothèses!$W$10,IF(U156&lt;=Hypothèses!$V$11,Hypothèses!$W$11,IF(U156&lt;=Hypothèses!$V$12,Hypothèses!$W$12,IF(U156&lt;=Hypothèses!$V$13,Hypothèses!$W$13,IF(U156&lt;=Hypothèses!$V$14,Hypothèses!$W$14,IF(U156&lt;=Hypothèses!$V$15,Hypothèses!$W$15,IF(U156&lt;=Hypothèses!$V$16,Hypothèses!$W$16,IF(U156&lt;=Hypothèses!$V$17,Hypothèses!$W$17,IF(U156&lt;=Hypothèses!$V$18,Hypothèses!$W$18,""))))))))))))</f>
        <v>#DIV/0!</v>
      </c>
      <c r="AP156" s="87" t="e">
        <f t="shared" ca="1" si="317"/>
        <v>#DIV/0!</v>
      </c>
      <c r="AQ156" s="88" t="e">
        <f ca="1">IF(U156&lt;=Hypothèses!$V$7,Hypothèses!$X$7,IF(U156&lt;=Hypothèses!$V$8,Hypothèses!$X$8,IF(U156&lt;=Hypothèses!$V$9,Hypothèses!$X$9,IF(U156&lt;=Hypothèses!$V$10,Hypothèses!$X$10,IF(U156&lt;=Hypothèses!$V$11,Hypothèses!$X$11,IF(U156&lt;=Hypothèses!$V$12,Hypothèses!$X$12,IF(U156&lt;=Hypothèses!$V$13,Hypothèses!$X$13,IF(U156&lt;=Hypothèses!$V$14,Hypothèses!$X$14,IF(U156&lt;=Hypothèses!$V$15,Hypothèses!$X$15,IF(U156&lt;=Hypothèses!$V$16,Hypothèses!$X$16,IF(U156&lt;=Hypothèses!$U$17,Hypothèses!$W$17,IF(U156&lt;=Hypothèses!$U$18,Hypothèses!$W$18,""))))))))))))</f>
        <v>#DIV/0!</v>
      </c>
      <c r="AR156" s="95" t="e">
        <f t="shared" ca="1" si="272"/>
        <v>#DIV/0!</v>
      </c>
      <c r="AS156" s="101">
        <f t="shared" si="324"/>
        <v>0</v>
      </c>
      <c r="AT156" s="91">
        <f t="shared" si="241"/>
        <v>0</v>
      </c>
      <c r="AU156" s="30" t="e">
        <f t="shared" si="302"/>
        <v>#N/A</v>
      </c>
      <c r="AV156" s="30" t="e">
        <f t="shared" si="303"/>
        <v>#N/A</v>
      </c>
      <c r="AW156" s="31" t="e">
        <f>IF(OR(Hypothèses!$B$4=17,Hypothèses!$B$4=18,Hypothèses!$B$4=19,Hypothèses!$B$4=20),
IF($D156="Pressio.",
IF(OR($E156=3,$E156=1,$E156=4),AV156,AU156),
IF($D156="Pénétro.",
IF(OR($E156=3,$E156=1,$E156=4),AV156,AU156))),IF($D156="Pressio.",
IF($E156=3,AV156,AU156),
IF($D156="Pénétro.",
IF($E156=4,AV156,AU156))))</f>
        <v>#N/A</v>
      </c>
      <c r="AX156" s="31">
        <v>0</v>
      </c>
      <c r="AY156" s="102" t="e">
        <f>IF(NDC!$H$10="Oui",(VLOOKUP($B$3,'Coeff EC7'!$T$39:$X$59,2,0)*AW156+VLOOKUP($B$3,'Coeff EC7'!$T$65:$X$85,2,0)*Model0.1T!AX156)/1.5,PI()*AU$12*$Q156*($B156-$B155)*0.15/10+AY155)</f>
        <v>#N/A</v>
      </c>
      <c r="AZ156" s="102" t="e">
        <f>(VLOOKUP($B$3,'Coeff EC7'!$T$39:$X$59,3,0)*AW156+VLOOKUP($B$3,'Coeff EC7'!$T$65:$X$85,3,0)*Model0.1T!AX156)/1.1</f>
        <v>#N/A</v>
      </c>
      <c r="BA156" s="102" t="e">
        <f t="shared" si="273"/>
        <v>#N/A</v>
      </c>
      <c r="BB156" s="102" t="e">
        <f t="shared" si="274"/>
        <v>#N/A</v>
      </c>
      <c r="BC156" s="414" t="e">
        <f>IF(AND(AY156&gt;NDC!$C$63,AZ156&gt;NDC!$C$65,BA156&gt;NDC!$D$73,BB156&gt;NDC!$D$74,$B156&gt;NDC!$H$22-0.1+MIN(3*BC$12,1.5)),0,1)</f>
        <v>#N/A</v>
      </c>
      <c r="BD156" s="86" t="b">
        <f t="shared" si="242"/>
        <v>0</v>
      </c>
      <c r="BE156" s="86">
        <f t="shared" si="275"/>
        <v>0.5</v>
      </c>
      <c r="BF156" s="86">
        <f t="shared" si="243"/>
        <v>0.5</v>
      </c>
      <c r="BG156" s="30" t="e">
        <f t="shared" ca="1" si="276"/>
        <v>#DIV/0!</v>
      </c>
      <c r="BH156" s="85" t="e">
        <f ca="1">IF(AN156&lt;=Hypothèses!$V$7,Hypothèses!$W$7,IF(AN156&lt;=Hypothèses!$V$8,Hypothèses!$W$8,IF(AN156&lt;=Hypothèses!$V$9,Hypothèses!$W$9,IF(AN156&lt;=Hypothèses!$V$10,Hypothèses!$W$10,IF(AN156&lt;=Hypothèses!$V$11,Hypothèses!$W$11,IF(AN156&lt;=Hypothèses!$V$12,Hypothèses!$W$12,IF(AN156&lt;=Hypothèses!$V$13,Hypothèses!$W$13,IF(AN156&lt;=Hypothèses!$V$14,Hypothèses!$W$14,IF(AN156&lt;=Hypothèses!$V$15,Hypothèses!$W$15,IF(AN156&lt;=Hypothèses!$V$16,Hypothèses!$W$16,IF(AN156&lt;=Hypothèses!$V$17,Hypothèses!$W$17,IF(AN156&lt;=Hypothèses!$V$18,Hypothèses!$W$18,""))))))))))))</f>
        <v>#DIV/0!</v>
      </c>
      <c r="BI156" s="87" t="e">
        <f t="shared" ca="1" si="318"/>
        <v>#DIV/0!</v>
      </c>
      <c r="BJ156" s="88" t="e">
        <f ca="1">IF(AN156&lt;=Hypothèses!$V$7,Hypothèses!$X$7,IF(AN156&lt;=Hypothèses!$V$8,Hypothèses!$X$8,IF(AN156&lt;=Hypothèses!$V$9,Hypothèses!$X$9,IF(AN156&lt;=Hypothèses!$V$10,Hypothèses!$X$10,IF(AN156&lt;=Hypothèses!$V$11,Hypothèses!$X$11,IF(AN156&lt;=Hypothèses!$V$12,Hypothèses!$X$12,IF(AN156&lt;=Hypothèses!$V$13,Hypothèses!$X$13,IF(AN156&lt;=Hypothèses!$V$14,Hypothèses!$X$14,IF(AN156&lt;=Hypothèses!$V$15,Hypothèses!$X$15,IF(AN156&lt;=Hypothèses!$V$16,Hypothèses!$X$16,IF(AN156&lt;=Hypothèses!$U$17,Hypothèses!$W$17,IF(AN156&lt;=Hypothèses!$U$18,Hypothèses!$W$18,""))))))))))))</f>
        <v>#DIV/0!</v>
      </c>
      <c r="BK156" s="95" t="e">
        <f t="shared" ca="1" si="277"/>
        <v>#DIV/0!</v>
      </c>
      <c r="BL156" s="101">
        <f t="shared" si="325"/>
        <v>0</v>
      </c>
      <c r="BM156" s="91">
        <f t="shared" si="244"/>
        <v>0</v>
      </c>
      <c r="BN156" s="30" t="e">
        <f t="shared" si="304"/>
        <v>#N/A</v>
      </c>
      <c r="BO156" s="30" t="e">
        <f t="shared" si="305"/>
        <v>#N/A</v>
      </c>
      <c r="BP156" s="31" t="e">
        <f>IF(OR(Hypothèses!$B$4=17,Hypothèses!$B$4=18,Hypothèses!$B$4=19,Hypothèses!$B$4=20),
IF($D156="Pressio.",
IF(OR($E156=3,$E156=1,$E156=4),BO156,BN156),
IF($D156="Pénétro.",
IF(OR($E156=3,$E156=1,$E156=4),BO156,BN156))),IF($D156="Pressio.",
IF($E156=3,BO156,BN156),
IF($D156="Pénétro.",
IF($E156=4,BO156,BN156))))</f>
        <v>#N/A</v>
      </c>
      <c r="BQ156" s="31">
        <v>0</v>
      </c>
      <c r="BR156" s="102" t="e">
        <f>IF(NDC!$H$10="Oui",(VLOOKUP($B$3,'Coeff EC7'!$T$39:$X$59,2,0)*BP156+VLOOKUP($B$3,'Coeff EC7'!$T$65:$X$85,2,0)*Model0.1T!BQ156)/1.5,PI()*BN$12*$Q156*($B156-$B155)*0.15/10+BR155)</f>
        <v>#N/A</v>
      </c>
      <c r="BS156" s="102" t="e">
        <f>(VLOOKUP($B$3,'Coeff EC7'!$T$39:$X$59,3,0)*BP156+VLOOKUP($B$3,'Coeff EC7'!$T$65:$X$85,3,0)*Model0.1T!BQ156)/1.1</f>
        <v>#N/A</v>
      </c>
      <c r="BT156" s="102" t="e">
        <f t="shared" si="278"/>
        <v>#N/A</v>
      </c>
      <c r="BU156" s="102" t="e">
        <f t="shared" si="279"/>
        <v>#N/A</v>
      </c>
      <c r="BV156" s="414" t="e">
        <f>IF(AND(BR156&gt;NDC!$C$63,BS156&gt;NDC!$C$65,BT156&gt;NDC!$D$73,BU156&gt;NDC!$D$74,$B156&gt;NDC!$H$22-0.1+MIN(3*BV$12,1.5)),0,1)</f>
        <v>#N/A</v>
      </c>
      <c r="BW156" s="86" t="b">
        <f t="shared" si="245"/>
        <v>0</v>
      </c>
      <c r="BX156" s="86">
        <f t="shared" si="246"/>
        <v>0.5</v>
      </c>
      <c r="BY156" s="86">
        <f t="shared" si="247"/>
        <v>0.5</v>
      </c>
      <c r="BZ156" s="30" t="e">
        <f t="shared" ca="1" si="280"/>
        <v>#DIV/0!</v>
      </c>
      <c r="CA156" s="85" t="e">
        <f ca="1">IF(BG156&lt;=Hypothèses!$V$7,Hypothèses!$W$7,IF(BG156&lt;=Hypothèses!$V$8,Hypothèses!$W$8,IF(BG156&lt;=Hypothèses!$V$9,Hypothèses!$W$9,IF(BG156&lt;=Hypothèses!$V$10,Hypothèses!$W$10,IF(BG156&lt;=Hypothèses!$V$11,Hypothèses!$W$11,IF(BG156&lt;=Hypothèses!$V$12,Hypothèses!$W$12,IF(BG156&lt;=Hypothèses!$V$13,Hypothèses!$W$13,IF(BG156&lt;=Hypothèses!$V$14,Hypothèses!$W$14,IF(BG156&lt;=Hypothèses!$V$15,Hypothèses!$W$15,IF(BG156&lt;=Hypothèses!$V$16,Hypothèses!$W$16,IF(BG156&lt;=Hypothèses!$V$17,Hypothèses!$W$17,IF(BG156&lt;=Hypothèses!$V$18,Hypothèses!$W$18,""))))))))))))</f>
        <v>#DIV/0!</v>
      </c>
      <c r="CB156" s="87" t="e">
        <f t="shared" ca="1" si="319"/>
        <v>#DIV/0!</v>
      </c>
      <c r="CC156" s="88" t="e">
        <f ca="1">IF(BG156&lt;=Hypothèses!$V$7,Hypothèses!$X$7,IF(BG156&lt;=Hypothèses!$V$8,Hypothèses!$X$8,IF(BG156&lt;=Hypothèses!$V$9,Hypothèses!$X$9,IF(BG156&lt;=Hypothèses!$V$10,Hypothèses!$X$10,IF(BG156&lt;=Hypothèses!$V$11,Hypothèses!$X$11,IF(BG156&lt;=Hypothèses!$V$12,Hypothèses!$X$12,IF(BG156&lt;=Hypothèses!$V$13,Hypothèses!$X$13,IF(BG156&lt;=Hypothèses!$V$14,Hypothèses!$X$14,IF(BG156&lt;=Hypothèses!$V$15,Hypothèses!$X$15,IF(BG156&lt;=Hypothèses!$V$16,Hypothèses!$X$16,IF(BG156&lt;=Hypothèses!$U$17,Hypothèses!$W$17,IF(BG156&lt;=Hypothèses!$U$18,Hypothèses!$W$18,""))))))))))))</f>
        <v>#DIV/0!</v>
      </c>
      <c r="CD156" s="95" t="e">
        <f t="shared" ca="1" si="281"/>
        <v>#DIV/0!</v>
      </c>
      <c r="CE156" s="101">
        <f t="shared" si="326"/>
        <v>0</v>
      </c>
      <c r="CF156" s="91">
        <f t="shared" si="248"/>
        <v>0</v>
      </c>
      <c r="CG156" s="30" t="e">
        <f t="shared" si="306"/>
        <v>#N/A</v>
      </c>
      <c r="CH156" s="30" t="e">
        <f t="shared" si="307"/>
        <v>#N/A</v>
      </c>
      <c r="CI156" s="31" t="e">
        <f>IF(OR(Hypothèses!$B$4=17,Hypothèses!$B$4=18,Hypothèses!$B$4=19,Hypothèses!$B$4=20),
IF($D156="Pressio.",
IF(OR($E156=3,$E156=1,$E156=4),CH156,CG156),
IF($D156="Pénétro.",
IF(OR($E156=3,$E156=1,$E156=4),CH156,CG156))),IF($D156="Pressio.",
IF($E156=3,CH156,CG156),
IF($D156="Pénétro.",
IF($E156=4,CH156,CG156))))</f>
        <v>#N/A</v>
      </c>
      <c r="CJ156" s="31">
        <v>0</v>
      </c>
      <c r="CK156" s="102" t="e">
        <f>IF(NDC!$H$10="Oui",(VLOOKUP($B$3,'Coeff EC7'!$T$39:$X$59,2,0)*CI156+VLOOKUP($B$3,'Coeff EC7'!$T$65:$X$85,2,0)*Model0.1T!CJ156)/1.5,PI()*CG$12*$Q156*($B156-$B155)*0.15/10+CK155)</f>
        <v>#N/A</v>
      </c>
      <c r="CL156" s="102" t="e">
        <f>(VLOOKUP($B$3,'Coeff EC7'!$T$39:$X$59,3,0)*CI156+VLOOKUP($B$3,'Coeff EC7'!$T$65:$X$85,3,0)*Model0.1T!CJ156)/1.1</f>
        <v>#N/A</v>
      </c>
      <c r="CM156" s="102" t="e">
        <f t="shared" si="282"/>
        <v>#N/A</v>
      </c>
      <c r="CN156" s="102" t="e">
        <f t="shared" si="283"/>
        <v>#N/A</v>
      </c>
      <c r="CO156" s="414" t="e">
        <f>IF(AND(CK156&gt;NDC!$C$63,CL156&gt;NDC!$C$65,CM156&gt;NDC!$D$73,CN156&gt;NDC!$D$74,$B156&gt;NDC!$H$22-0.1+MIN(3*CO$12,1.5)),0,1)</f>
        <v>#N/A</v>
      </c>
      <c r="CP156" s="86" t="b">
        <f t="shared" si="249"/>
        <v>0</v>
      </c>
      <c r="CQ156" s="86">
        <f t="shared" si="250"/>
        <v>0.5</v>
      </c>
      <c r="CR156" s="86">
        <f t="shared" si="251"/>
        <v>0.5</v>
      </c>
      <c r="CS156" s="30" t="e">
        <f t="shared" ca="1" si="284"/>
        <v>#DIV/0!</v>
      </c>
      <c r="CT156" s="85" t="e">
        <f ca="1">IF(BZ156&lt;=Hypothèses!$V$7,Hypothèses!$W$7,IF(BZ156&lt;=Hypothèses!$V$8,Hypothèses!$W$8,IF(BZ156&lt;=Hypothèses!$V$9,Hypothèses!$W$9,IF(BZ156&lt;=Hypothèses!$V$10,Hypothèses!$W$10,IF(BZ156&lt;=Hypothèses!$V$11,Hypothèses!$W$11,IF(BZ156&lt;=Hypothèses!$V$12,Hypothèses!$W$12,IF(BZ156&lt;=Hypothèses!$V$13,Hypothèses!$W$13,IF(BZ156&lt;=Hypothèses!$V$14,Hypothèses!$W$14,IF(BZ156&lt;=Hypothèses!$V$15,Hypothèses!$W$15,IF(BZ156&lt;=Hypothèses!$V$16,Hypothèses!$W$16,IF(BZ156&lt;=Hypothèses!$V$17,Hypothèses!$W$17,IF(BZ156&lt;=Hypothèses!$V$18,Hypothèses!$W$18,""))))))))))))</f>
        <v>#DIV/0!</v>
      </c>
      <c r="CU156" s="87" t="e">
        <f t="shared" ca="1" si="320"/>
        <v>#DIV/0!</v>
      </c>
      <c r="CV156" s="88" t="e">
        <f ca="1">IF(BZ156&lt;=Hypothèses!$V$7,Hypothèses!$X$7,IF(BZ156&lt;=Hypothèses!$V$8,Hypothèses!$X$8,IF(BZ156&lt;=Hypothèses!$V$9,Hypothèses!$X$9,IF(BZ156&lt;=Hypothèses!$V$10,Hypothèses!$X$10,IF(BZ156&lt;=Hypothèses!$V$11,Hypothèses!$X$11,IF(BZ156&lt;=Hypothèses!$V$12,Hypothèses!$X$12,IF(BZ156&lt;=Hypothèses!$V$13,Hypothèses!$X$13,IF(BZ156&lt;=Hypothèses!$V$14,Hypothèses!$X$14,IF(BZ156&lt;=Hypothèses!$V$15,Hypothèses!$X$15,IF(BZ156&lt;=Hypothèses!$V$16,Hypothèses!$X$16,IF(BZ156&lt;=Hypothèses!$U$17,Hypothèses!$W$17,IF(BZ156&lt;=Hypothèses!$U$18,Hypothèses!$W$18,""))))))))))))</f>
        <v>#DIV/0!</v>
      </c>
      <c r="CW156" s="95" t="e">
        <f t="shared" ca="1" si="285"/>
        <v>#DIV/0!</v>
      </c>
      <c r="CX156" s="101">
        <f t="shared" si="327"/>
        <v>0</v>
      </c>
      <c r="CY156" s="91">
        <f t="shared" si="252"/>
        <v>0</v>
      </c>
      <c r="CZ156" s="30" t="e">
        <f t="shared" si="308"/>
        <v>#N/A</v>
      </c>
      <c r="DA156" s="30" t="e">
        <f t="shared" si="309"/>
        <v>#N/A</v>
      </c>
      <c r="DB156" s="31" t="e">
        <f>IF(OR(Hypothèses!$B$4=17,Hypothèses!$B$4=18,Hypothèses!$B$4=19,Hypothèses!$B$4=20),
IF($D156="Pressio.",
IF(OR($E156=3,$E156=1,$E156=4),DA156,CZ156),
IF($D156="Pénétro.",
IF(OR($E156=3,$E156=1,$E156=4),DA156,CZ156))),IF($D156="Pressio.",
IF($E156=3,DA156,CZ156),
IF($D156="Pénétro.",
IF($E156=4,DA156,CZ156))))</f>
        <v>#N/A</v>
      </c>
      <c r="DC156" s="31">
        <v>0</v>
      </c>
      <c r="DD156" s="102" t="e">
        <f>IF(NDC!$H$10="Oui",(VLOOKUP($B$3,'Coeff EC7'!$T$39:$X$59,2,0)*DB156+VLOOKUP($B$3,'Coeff EC7'!$T$65:$X$85,2,0)*Model0.1T!DC156)/1.5,PI()*CZ$12*$Q156*($B156-$B155)*0.15/10+DD155)</f>
        <v>#N/A</v>
      </c>
      <c r="DE156" s="102" t="e">
        <f>(VLOOKUP($B$3,'Coeff EC7'!$T$39:$X$59,3,0)*DB156+VLOOKUP($B$3,'Coeff EC7'!$T$65:$X$85,3,0)*Model0.1T!DC156)/1.1</f>
        <v>#N/A</v>
      </c>
      <c r="DF156" s="102" t="e">
        <f t="shared" si="286"/>
        <v>#N/A</v>
      </c>
      <c r="DG156" s="102" t="e">
        <f t="shared" si="287"/>
        <v>#N/A</v>
      </c>
      <c r="DH156" s="414" t="e">
        <f>IF(AND(DD156&gt;NDC!$C$63,DE156&gt;NDC!$C$65,DF156&gt;NDC!$D$73,DG156&gt;NDC!$D$74,$B156&gt;NDC!$H$22-0.1+MIN(3*DH$12,1.5)),0,1)</f>
        <v>#N/A</v>
      </c>
      <c r="DI156" s="86" t="b">
        <f t="shared" si="253"/>
        <v>0</v>
      </c>
      <c r="DJ156" s="86">
        <f t="shared" si="254"/>
        <v>0.5</v>
      </c>
      <c r="DK156" s="86">
        <f t="shared" si="255"/>
        <v>0.5</v>
      </c>
      <c r="DL156" s="30" t="e">
        <f t="shared" ca="1" si="288"/>
        <v>#DIV/0!</v>
      </c>
      <c r="DM156" s="85" t="e">
        <f ca="1">IF(CS156&lt;=Hypothèses!$V$7,Hypothèses!$W$7,IF(CS156&lt;=Hypothèses!$V$8,Hypothèses!$W$8,IF(CS156&lt;=Hypothèses!$V$9,Hypothèses!$W$9,IF(CS156&lt;=Hypothèses!$V$10,Hypothèses!$W$10,IF(CS156&lt;=Hypothèses!$V$11,Hypothèses!$W$11,IF(CS156&lt;=Hypothèses!$V$12,Hypothèses!$W$12,IF(CS156&lt;=Hypothèses!$V$13,Hypothèses!$W$13,IF(CS156&lt;=Hypothèses!$V$14,Hypothèses!$W$14,IF(CS156&lt;=Hypothèses!$V$15,Hypothèses!$W$15,IF(CS156&lt;=Hypothèses!$V$16,Hypothèses!$W$16,IF(CS156&lt;=Hypothèses!$V$17,Hypothèses!$W$17,IF(CS156&lt;=Hypothèses!$V$18,Hypothèses!$W$18,""))))))))))))</f>
        <v>#DIV/0!</v>
      </c>
      <c r="DN156" s="87" t="e">
        <f t="shared" ca="1" si="321"/>
        <v>#DIV/0!</v>
      </c>
      <c r="DO156" s="88" t="e">
        <f ca="1">IF(CS156&lt;=Hypothèses!$V$7,Hypothèses!$X$7,IF(CS156&lt;=Hypothèses!$V$8,Hypothèses!$X$8,IF(CS156&lt;=Hypothèses!$V$9,Hypothèses!$X$9,IF(CS156&lt;=Hypothèses!$V$10,Hypothèses!$X$10,IF(CS156&lt;=Hypothèses!$V$11,Hypothèses!$X$11,IF(CS156&lt;=Hypothèses!$V$12,Hypothèses!$X$12,IF(CS156&lt;=Hypothèses!$V$13,Hypothèses!$X$13,IF(CS156&lt;=Hypothèses!$V$14,Hypothèses!$X$14,IF(CS156&lt;=Hypothèses!$V$15,Hypothèses!$X$15,IF(CS156&lt;=Hypothèses!$V$16,Hypothèses!$X$16,IF(CS156&lt;=Hypothèses!$U$17,Hypothèses!$W$17,IF(CS156&lt;=Hypothèses!$U$18,Hypothèses!$W$18,""))))))))))))</f>
        <v>#DIV/0!</v>
      </c>
      <c r="DP156" s="95" t="e">
        <f t="shared" ca="1" si="289"/>
        <v>#DIV/0!</v>
      </c>
      <c r="DQ156" s="101">
        <f t="shared" si="328"/>
        <v>0</v>
      </c>
      <c r="DR156" s="91">
        <f t="shared" si="256"/>
        <v>0</v>
      </c>
      <c r="DS156" s="30" t="e">
        <f t="shared" si="310"/>
        <v>#N/A</v>
      </c>
      <c r="DT156" s="30" t="e">
        <f t="shared" si="311"/>
        <v>#N/A</v>
      </c>
      <c r="DU156" s="31" t="e">
        <f>IF(OR(Hypothèses!$B$4=17,Hypothèses!$B$4=18,Hypothèses!$B$4=19,Hypothèses!$B$4=20),
IF($D156="Pressio.",
IF(OR($E156=3,$E156=1,$E156=4),DT156,DS156),
IF($D156="Pénétro.",
IF(OR($E156=3,$E156=1,$E156=4),DT156,DS156))),IF($D156="Pressio.",
IF($E156=3,DT156,DS156),
IF($D156="Pénétro.",
IF($E156=4,DT156,DS156))))</f>
        <v>#N/A</v>
      </c>
      <c r="DV156" s="31">
        <v>0</v>
      </c>
      <c r="DW156" s="102" t="e">
        <f>IF(NDC!$H$10="Oui",(VLOOKUP($B$3,'Coeff EC7'!$T$39:$X$59,2,0)*DU156+VLOOKUP($B$3,'Coeff EC7'!$T$65:$X$85,2,0)*Model0.1T!DV156)/1.5,PI()*DS$12*$Q156*($B156-$B155)*0.15/10+DW155)</f>
        <v>#N/A</v>
      </c>
      <c r="DX156" s="102" t="e">
        <f>(VLOOKUP($B$3,'Coeff EC7'!$T$39:$X$59,3,0)*DU156+VLOOKUP($B$3,'Coeff EC7'!$T$65:$X$85,3,0)*Model0.1T!DV156)/1.1</f>
        <v>#N/A</v>
      </c>
      <c r="DY156" s="102" t="e">
        <f t="shared" si="290"/>
        <v>#N/A</v>
      </c>
      <c r="DZ156" s="102" t="e">
        <f t="shared" si="291"/>
        <v>#N/A</v>
      </c>
      <c r="EA156" s="414" t="e">
        <f>IF(AND(DW156&gt;NDC!$C$63,DX156&gt;NDC!$C$65,DY156&gt;NDC!$D$73,DZ156&gt;NDC!$D$74,$B156&gt;NDC!$H$22-0.1+MIN(3*EA$12,1.5)),0,1)</f>
        <v>#N/A</v>
      </c>
      <c r="EB156" s="86" t="b">
        <f t="shared" si="257"/>
        <v>0</v>
      </c>
      <c r="EC156" s="418">
        <f t="shared" si="258"/>
        <v>0.51</v>
      </c>
      <c r="ED156" s="86">
        <f t="shared" si="259"/>
        <v>0.51</v>
      </c>
      <c r="EE156" s="30" t="e">
        <f t="shared" ca="1" si="292"/>
        <v>#DIV/0!</v>
      </c>
      <c r="EF156" s="85" t="e">
        <f ca="1">IF(DL156&lt;=Hypothèses!$V$7,Hypothèses!$W$7,IF(DL156&lt;=Hypothèses!$V$8,Hypothèses!$W$8,IF(DL156&lt;=Hypothèses!$V$9,Hypothèses!$W$9,IF(DL156&lt;=Hypothèses!$V$10,Hypothèses!$W$10,IF(DL156&lt;=Hypothèses!$V$11,Hypothèses!$W$11,IF(DL156&lt;=Hypothèses!$V$12,Hypothèses!$W$12,IF(DL156&lt;=Hypothèses!$V$13,Hypothèses!$W$13,IF(DL156&lt;=Hypothèses!$V$14,Hypothèses!$W$14,IF(DL156&lt;=Hypothèses!$V$15,Hypothèses!$W$15,IF(DL156&lt;=Hypothèses!$V$16,Hypothèses!$W$16,IF(DL156&lt;=Hypothèses!$V$17,Hypothèses!$W$17,IF(DL156&lt;=Hypothèses!$V$18,Hypothèses!$W$18,""))))))))))))</f>
        <v>#DIV/0!</v>
      </c>
      <c r="EG156" s="87" t="e">
        <f t="shared" ca="1" si="322"/>
        <v>#DIV/0!</v>
      </c>
      <c r="EH156" s="88" t="e">
        <f ca="1">IF(DL156&lt;=Hypothèses!$V$7,Hypothèses!$X$7,IF(DL156&lt;=Hypothèses!$V$8,Hypothèses!$X$8,IF(DL156&lt;=Hypothèses!$V$9,Hypothèses!$X$9,IF(DL156&lt;=Hypothèses!$V$10,Hypothèses!$X$10,IF(DL156&lt;=Hypothèses!$V$11,Hypothèses!$X$11,IF(DL156&lt;=Hypothèses!$V$12,Hypothèses!$X$12,IF(DL156&lt;=Hypothèses!$V$13,Hypothèses!$X$13,IF(DL156&lt;=Hypothèses!$V$14,Hypothèses!$X$14,IF(DL156&lt;=Hypothèses!$V$15,Hypothèses!$X$15,IF(DL156&lt;=Hypothèses!$V$16,Hypothèses!$X$16,IF(DL156&lt;=Hypothèses!$U$17,Hypothèses!$W$17,IF(DL156&lt;=Hypothèses!$U$18,Hypothèses!$W$18,""))))))))))))</f>
        <v>#DIV/0!</v>
      </c>
      <c r="EI156" s="95" t="e">
        <f t="shared" ca="1" si="293"/>
        <v>#DIV/0!</v>
      </c>
      <c r="EJ156" s="101">
        <f t="shared" si="329"/>
        <v>0</v>
      </c>
      <c r="EK156" s="91">
        <f t="shared" si="260"/>
        <v>0</v>
      </c>
      <c r="EL156" s="30" t="e">
        <f t="shared" si="312"/>
        <v>#N/A</v>
      </c>
      <c r="EM156" s="30" t="e">
        <f t="shared" si="313"/>
        <v>#N/A</v>
      </c>
      <c r="EN156" s="31" t="e">
        <f>IF(OR(Hypothèses!$B$4=17,Hypothèses!$B$4=18,Hypothèses!$B$4=19,Hypothèses!$B$4=20),
IF($D156="Pressio.",
IF(OR($E156=3,$E156=1,$E156=4),EM156,EL156),
IF($D156="Pénétro.",
IF(OR($E156=3,$E156=1,$E156=4),EM156,EL156))),IF($D156="Pressio.",
IF($E156=3,EM156,EL156),
IF($D156="Pénétro.",
IF($E156=4,EM156,EL156))))</f>
        <v>#N/A</v>
      </c>
      <c r="EO156" s="31">
        <v>0</v>
      </c>
      <c r="EP156" s="102" t="e">
        <f>IF(NDC!$H$10="Oui",(VLOOKUP($B$3,'Coeff EC7'!$T$39:$X$59,2,0)*EN156+VLOOKUP($B$3,'Coeff EC7'!$T$65:$X$85,2,0)*Model0.1T!EO156)/1.5,PI()*EL$12*$Q156*($B156-$B155)*0.15/10+EP155)</f>
        <v>#N/A</v>
      </c>
      <c r="EQ156" s="102" t="e">
        <f>(VLOOKUP($B$3,'Coeff EC7'!$T$39:$X$59,3,0)*EN156+VLOOKUP($B$3,'Coeff EC7'!$T$65:$X$85,3,0)*Model0.1T!EO156)/1.1</f>
        <v>#N/A</v>
      </c>
      <c r="ER156" s="102" t="e">
        <f t="shared" si="294"/>
        <v>#N/A</v>
      </c>
      <c r="ES156" s="102" t="e">
        <f t="shared" si="295"/>
        <v>#N/A</v>
      </c>
      <c r="ET156" s="414" t="e">
        <f>IF(AND(EP156&gt;NDC!$C$63,EQ156&gt;NDC!$C$65,ER156&gt;NDC!$D$73,ES156&gt;NDC!$D$74,$B156&gt;NDC!$H$22-0.1+MIN(3*ET$12,1.5)),0,1)</f>
        <v>#N/A</v>
      </c>
      <c r="EU156" s="86" t="b">
        <f t="shared" si="261"/>
        <v>0</v>
      </c>
      <c r="EV156" s="86">
        <f t="shared" si="262"/>
        <v>0.61</v>
      </c>
      <c r="EW156" s="86">
        <f t="shared" si="263"/>
        <v>0.61</v>
      </c>
      <c r="EX156" s="30" t="e">
        <f t="shared" ca="1" si="296"/>
        <v>#DIV/0!</v>
      </c>
      <c r="EY156" s="85" t="e">
        <f ca="1">IF(EE156&lt;=Hypothèses!$V$7,Hypothèses!$W$7,IF(EE156&lt;=Hypothèses!$V$8,Hypothèses!$W$8,IF(EE156&lt;=Hypothèses!$V$9,Hypothèses!$W$9,IF(EE156&lt;=Hypothèses!$V$10,Hypothèses!$W$10,IF(EE156&lt;=Hypothèses!$V$11,Hypothèses!$W$11,IF(EE156&lt;=Hypothèses!$V$12,Hypothèses!$W$12,IF(EE156&lt;=Hypothèses!$V$13,Hypothèses!$W$13,IF(EE156&lt;=Hypothèses!$V$14,Hypothèses!$W$14,IF(EE156&lt;=Hypothèses!$V$15,Hypothèses!$W$15,IF(EE156&lt;=Hypothèses!$V$16,Hypothèses!$W$16,IF(EE156&lt;=Hypothèses!$V$17,Hypothèses!$W$17,IF(EE156&lt;=Hypothèses!$V$18,Hypothèses!$W$18,""))))))))))))</f>
        <v>#DIV/0!</v>
      </c>
      <c r="EZ156" s="87" t="e">
        <f t="shared" ca="1" si="323"/>
        <v>#DIV/0!</v>
      </c>
      <c r="FA156" s="88" t="e">
        <f ca="1">IF(EE156&lt;=Hypothèses!$V$7,Hypothèses!$X$7,IF(EE156&lt;=Hypothèses!$V$8,Hypothèses!$X$8,IF(EE156&lt;=Hypothèses!$V$9,Hypothèses!$X$9,IF(EE156&lt;=Hypothèses!$V$10,Hypothèses!$X$10,IF(EE156&lt;=Hypothèses!$V$11,Hypothèses!$X$11,IF(EE156&lt;=Hypothèses!$V$12,Hypothèses!$X$12,IF(EE156&lt;=Hypothèses!$V$13,Hypothèses!$X$13,IF(EE156&lt;=Hypothèses!$V$14,Hypothèses!$X$14,IF(EE156&lt;=Hypothèses!$V$15,Hypothèses!$X$15,IF(EE156&lt;=Hypothèses!$V$16,Hypothèses!$X$16,IF(EE156&lt;=Hypothèses!$U$17,Hypothèses!$W$17,IF(EE156&lt;=Hypothèses!$U$18,Hypothèses!$W$18,""))))))))))))</f>
        <v>#DIV/0!</v>
      </c>
      <c r="FB156" s="95" t="e">
        <f t="shared" ca="1" si="297"/>
        <v>#DIV/0!</v>
      </c>
      <c r="FC156" s="101">
        <f t="shared" si="330"/>
        <v>0</v>
      </c>
      <c r="FD156" s="91">
        <f t="shared" si="264"/>
        <v>0</v>
      </c>
      <c r="FE156" s="30" t="e">
        <f t="shared" si="314"/>
        <v>#N/A</v>
      </c>
      <c r="FF156" s="30" t="e">
        <f t="shared" si="315"/>
        <v>#N/A</v>
      </c>
      <c r="FG156" s="31" t="e">
        <f>IF(OR(Hypothèses!$B$4=17,Hypothèses!$B$4=18,Hypothèses!$B$4=19,Hypothèses!$B$4=20),
IF($D156="Pressio.",
IF(OR($E156=3,$E156=1,$E156=4),FF156,FE156),
IF($D156="Pénétro.",
IF(OR($E156=3,$E156=1,$E156=4),FF156,FE156))),IF($D156="Pressio.",
IF($E156=3,FF156,FE156),
IF($D156="Pénétro.",
IF($E156=4,FF156,FE156))))</f>
        <v>#N/A</v>
      </c>
      <c r="FH156" s="31">
        <v>0</v>
      </c>
      <c r="FI156" s="102" t="e">
        <f>IF(NDC!$H$10="Oui",(VLOOKUP($B$3,'Coeff EC7'!$T$39:$X$59,2,0)*FG156+VLOOKUP($B$3,'Coeff EC7'!$T$65:$X$85,2,0)*Model0.1T!FH156)/1.5,PI()*FE$12*$Q156*($B156-$B155)*0.15/10+FI155)</f>
        <v>#N/A</v>
      </c>
      <c r="FJ156" s="102" t="e">
        <f>(VLOOKUP($B$3,'Coeff EC7'!$T$39:$X$59,3,0)*FG156+VLOOKUP($B$3,'Coeff EC7'!$T$65:$X$85,3,0)*Model0.1T!FH156)/1.1</f>
        <v>#N/A</v>
      </c>
      <c r="FK156" s="102" t="e">
        <f t="shared" si="298"/>
        <v>#N/A</v>
      </c>
      <c r="FL156" s="102" t="e">
        <f t="shared" si="299"/>
        <v>#N/A</v>
      </c>
      <c r="FM156" s="414" t="e">
        <f>IF(AND(FI156&gt;NDC!$C$63,FJ156&gt;NDC!$C$65,FK156&gt;NDC!$D$73,FL156&gt;NDC!$D$74,$B156&gt;NDC!$H$22-0.1+MIN(3*FM$12,1.5)),0,1)</f>
        <v>#N/A</v>
      </c>
    </row>
    <row r="157" spans="1:169">
      <c r="A157" s="96">
        <f t="shared" si="265"/>
        <v>85.600000000000819</v>
      </c>
      <c r="B157" s="97">
        <v>14.4</v>
      </c>
      <c r="C157" s="81">
        <f>IF(B157&lt;=Hypothèses!$C$7,Hypothèses!$A$7,IF(B157&lt;=Hypothèses!$C$8,Hypothèses!$A$8,IF(B157&lt;=Hypothèses!$C$9,Hypothèses!$A$9,IF(B157&lt;=Hypothèses!$C$10,Hypothèses!$A$10,IF(B157&lt;=Hypothèses!$C$11,Hypothèses!$A$11,IF(B157&lt;=Hypothèses!$C$12,Hypothèses!$A$12,IF(B157&lt;=Hypothèses!$C$13,Hypothèses!$A$13,IF(B157&lt;=Hypothèses!$C$14,Hypothèses!$A$14,IF(B157&lt;=Hypothèses!$C$15,Hypothèses!$A$15,IF(B157&lt;=Hypothèses!$C$16,Hypothèses!$A$16,IF(B157&lt;=Hypothèses!$C$17,Hypothèses!$A$17,IF(B157&lt;=Hypothèses!$C$18,Hypothèses!$A$18,C156))))))))))))</f>
        <v>11</v>
      </c>
      <c r="D157" s="82" t="str">
        <f>IF(B157&lt;=Hypothèses!$C$7,Hypothèses!$R$7,IF(B157&lt;=Hypothèses!$C$8,Hypothèses!$R$8,IF(B157&lt;=Hypothèses!$C$9,Hypothèses!$R$9,IF(B157&lt;=Hypothèses!$C$10,Hypothèses!$R$10,IF(B157&lt;=Hypothèses!$C$11,Hypothèses!$R$11,IF(B157&lt;=Hypothèses!$C$12,Hypothèses!$R$12,IF(B157&lt;=Hypothèses!$C$13,Hypothèses!$R$13,IF(B157&lt;=Hypothèses!$C$14,Hypothèses!$R$14,IF(B157&lt;=Hypothèses!$C$15,Hypothèses!$R$15,IF(B157&lt;=Hypothèses!$C$16,Hypothèses!$R$16,IF(B157&lt;=Hypothèses!$C$17,Hypothèses!$R$17,IF(B157&lt;=Hypothèses!$C$18,Hypothèses!$R$18,D156))))))))))))</f>
        <v>Pressio.</v>
      </c>
      <c r="E157" s="82" t="e">
        <f>IF(B157&lt;=Hypothèses!$C$7,Hypothèses!$G$7,IF(B157&lt;=Hypothèses!$C$8,Hypothèses!$G$8,IF(B157&lt;=Hypothèses!$C$9,Hypothèses!$G$9,IF(B157&lt;=Hypothèses!$C$10,Hypothèses!$G$10,IF(B157&lt;=Hypothèses!$C$11,Hypothèses!$G$11,IF(B157&lt;=Hypothèses!$C$12,Hypothèses!$G$12,IF(B157&lt;=Hypothèses!$C$13,Hypothèses!$G$13,IF(B157&lt;=Hypothèses!$C$14,Hypothèses!$G$14,IF(B157&lt;=Hypothèses!$C$15,Hypothèses!$G$15,IF(B157&lt;=Hypothèses!$C$16,Hypothèses!$G$16,IF(B157&lt;=Hypothèses!$C$17,Hypothèses!$G$17,IF(B157&lt;=Hypothèses!$C$18,Hypothèses!$G$18,E156))))))))))))</f>
        <v>#N/A</v>
      </c>
      <c r="F157" s="82" t="str">
        <f>IF(B157&lt;=Hypothèses!$C$7,Hypothèses!$F$7,IF(B157&lt;=Hypothèses!$C$8,Hypothèses!$F$8,IF(B157&lt;=Hypothèses!$C$9,Hypothèses!$F$9,IF(B157&lt;=Hypothèses!$C$10,Hypothèses!$F$10,IF(B157&lt;=Hypothèses!$C$11,Hypothèses!$F$11,IF(B157&lt;=Hypothèses!$C$12,Hypothèses!$F$12,IF(B157&lt;=Hypothèses!$C$13,Hypothèses!$F$13,IF(B157&lt;=Hypothèses!$C$14,Hypothèses!$F$14,IF(B157&lt;=Hypothèses!$C$15,Hypothèses!$F$15,IF(B157&lt;=Hypothèses!$C$16,Hypothèses!$F$16,IF(B157&lt;=Hypothèses!$C$17,Hypothèses!$F$17,IF(B157&lt;=Hypothèses!$C$18,Hypothèses!$F$18,F156))))))))))))</f>
        <v/>
      </c>
      <c r="G157" s="91">
        <f t="array" ref="G157">INDEX('Coeff EC7'!$U$7:$X$27,
MATCH(Model0.1T!$B$3,'Coeff EC7'!$T$7:$T$27,0),
MATCH(Model0.1T!$D157&amp;Model0.1T!$B$4,
'Coeff EC7'!$U$6:$X$6&amp;
'Coeff EC7'!$U$5:$X$5,0))</f>
        <v>1.4</v>
      </c>
      <c r="H157" s="91">
        <f t="array" ref="H157">INDEX('Coeff EC7'!$Y$7:$AB$27,
MATCH(Model0.1T!$B$3,'Coeff EC7'!$T$7:$T$27,0),
MATCH(Model0.1T!$D157&amp;Model0.1T!$B$4,
'Coeff EC7'!$Y$6:$AB$6&amp;
'Coeff EC7'!$Y$5:$AB$5,0))</f>
        <v>1.7</v>
      </c>
      <c r="I157" s="83">
        <v>0</v>
      </c>
      <c r="J157" s="91" t="e">
        <f t="array" ref="J157">INDEX('Coeff EC7'!$D$33:$Q$33,1,MATCH(D157&amp;E157,'Coeff EC7'!$D$31:$Q$31&amp;'Coeff EC7'!$D$32:$Q$32,0))</f>
        <v>#N/A</v>
      </c>
      <c r="K157" s="91" t="e">
        <f t="array" ref="K157">INDEX('Coeff EC7'!$D$34:$Q$34,1,MATCH(D157&amp;E157,'Coeff EC7'!$D$31:$Q$31&amp;'Coeff EC7'!$D$32:$Q$32,0))</f>
        <v>#N/A</v>
      </c>
      <c r="L157" s="91" t="e">
        <f t="array" ref="L157">INDEX('Coeff EC7'!$D$35:$Q$35,1,MATCH(D157&amp;E157,'Coeff EC7'!$D$31:$Q$31&amp;'Coeff EC7'!$D$32:$Q$32,0))</f>
        <v>#N/A</v>
      </c>
      <c r="M157" s="98" t="e">
        <f t="shared" si="231"/>
        <v>#N/A</v>
      </c>
      <c r="N157" s="99" t="e">
        <f t="array" ref="N157">INDEX('Coeff EC7'!$D$7:$Q$27,MATCH($B$3,'Coeff EC7'!$C$7:$C$27,0),MATCH(D157&amp;E157,'Coeff EC7'!$D$5:$Q$5&amp;'Coeff EC7'!$D$6:$Q$6,0))</f>
        <v>#N/A</v>
      </c>
      <c r="O157" s="99" t="e">
        <f t="array" ref="O157">INDEX('Coeff EC7'!$D$41:$Q$61,MATCH($B$3,'Coeff EC7'!$C$41:$C$61,0),MATCH(D157&amp;E157,'Coeff EC7'!$D$39:$Q$39&amp;'Coeff EC7'!$D$40:$Q$40,0))</f>
        <v>#N/A</v>
      </c>
      <c r="P157" s="30" t="e">
        <f t="shared" si="266"/>
        <v>#N/A</v>
      </c>
      <c r="Q157" s="100" t="e">
        <f t="shared" si="233"/>
        <v>#N/A</v>
      </c>
      <c r="R157" s="86" t="b">
        <f t="shared" si="234"/>
        <v>0</v>
      </c>
      <c r="S157" s="86">
        <f t="shared" si="232"/>
        <v>0.5</v>
      </c>
      <c r="T157" s="86">
        <f t="shared" si="235"/>
        <v>0.5</v>
      </c>
      <c r="U157" s="30" t="e">
        <f t="shared" ca="1" si="267"/>
        <v>#DIV/0!</v>
      </c>
      <c r="V157" s="85" t="str">
        <f>IF(B157&lt;=Hypothèses!$V$7,Hypothèses!$W$7,IF(B157&lt;=Hypothèses!$V$8,Hypothèses!$W$8,IF(B157&lt;=Hypothèses!$V$9,Hypothèses!$W$9,IF(B157&lt;=Hypothèses!$V$10,Hypothèses!$W$10,IF(B157&lt;=Hypothèses!$V$11,Hypothèses!$W$11,IF(B157&lt;=Hypothèses!$V$12,Hypothèses!$W$12,IF(B157&lt;=Hypothèses!$V$13,Hypothèses!$W$13,IF(B157&lt;=Hypothèses!$V$14,Hypothèses!$W$14,IF(B157&lt;=Hypothèses!$V$15,Hypothèses!$W$15,IF(B157&lt;=Hypothèses!$V$16,Hypothèses!$W$16,IF(B157&lt;=Hypothèses!$V$17,Hypothèses!$W$17,IF(B157&lt;=Hypothèses!$V$18,Hypothèses!$W$18,""))))))))))))</f>
        <v/>
      </c>
      <c r="W157" s="87" t="e">
        <f t="shared" ca="1" si="316"/>
        <v>#DIV/0!</v>
      </c>
      <c r="X157" s="88" t="str">
        <f>IF(B157&lt;=Hypothèses!$V$7,Hypothèses!$X$7,IF(B157&lt;=Hypothèses!$V$8,Hypothèses!$X$8,IF(B157&lt;=Hypothèses!$V$9,Hypothèses!$X$9,IF(B157&lt;=Hypothèses!$V$10,Hypothèses!$X$10,IF(B157&lt;=Hypothèses!$V$11,Hypothèses!$X$11,IF(B157&lt;=Hypothèses!$V$12,Hypothèses!$X$12,IF(B157&lt;=Hypothèses!$V$13,Hypothèses!$X$13,IF(B157&lt;=Hypothèses!$V$14,Hypothèses!$X$14,IF(B157&lt;=Hypothèses!$V$15,Hypothèses!$X$15,IF(B157&lt;=Hypothèses!$V$16,Hypothèses!$X$16,IF(B157&lt;=Hypothèses!$U$17,Hypothèses!$W$17,IF(B157&lt;=Hypothèses!$U$18,Hypothèses!$W$18,""))))))))))))</f>
        <v/>
      </c>
      <c r="Y157" s="95" t="e">
        <f t="shared" ca="1" si="236"/>
        <v>#DIV/0!</v>
      </c>
      <c r="Z157" s="101">
        <f t="shared" si="237"/>
        <v>0</v>
      </c>
      <c r="AA157" s="91">
        <f t="shared" si="238"/>
        <v>0</v>
      </c>
      <c r="AB157" s="30" t="e">
        <f t="shared" si="300"/>
        <v>#N/A</v>
      </c>
      <c r="AC157" s="30" t="e">
        <f t="shared" si="301"/>
        <v>#N/A</v>
      </c>
      <c r="AD157" s="31" t="e">
        <f>IF(OR(Hypothèses!$B$4=17,Hypothèses!$B$4=18,Hypothèses!$B$4=19,Hypothèses!$B$4=20),
IF($D157="Pressio.",
IF(OR($E157=3,$E157=1,$E157=4),AC157,AB157),
IF($D157="Pénétro.",
IF(OR($E157=3,$E157=1,$E157=4),AC157,AB157))),IF($D157="Pressio.",
IF($E157=3,AC157,AB157),
IF($D157="Pénétro.",
IF($E157=4,AC157,AB157))))</f>
        <v>#N/A</v>
      </c>
      <c r="AE157" s="31">
        <v>0</v>
      </c>
      <c r="AF157" s="102" t="e">
        <f>IF(NDC!$H$10="Oui",(VLOOKUP($B$3,'Coeff EC7'!$T$39:$X$59,2,0)*AD157+VLOOKUP($B$3,'Coeff EC7'!$T$65:$X$85,2,0)*Model0.1T!AE157)/1.5,PI()*AB$12*$Q157*($B157-$B156)*0.15/10+AF156)</f>
        <v>#N/A</v>
      </c>
      <c r="AG157" s="102" t="e">
        <f>(VLOOKUP($B$3,'Coeff EC7'!$T$39:$X$59,3,0)*AD157+VLOOKUP($B$3,'Coeff EC7'!$T$65:$X$85,3,0)*Model0.1T!AE157)/1.1</f>
        <v>#N/A</v>
      </c>
      <c r="AH157" s="102" t="e">
        <f t="shared" si="268"/>
        <v>#N/A</v>
      </c>
      <c r="AI157" s="102" t="e">
        <f t="shared" si="269"/>
        <v>#N/A</v>
      </c>
      <c r="AJ157" s="414" t="e">
        <f>IF(AND(AF157&gt;NDC!$C$63,AG157&gt;NDC!$C$65,AH157&gt;NDC!$D$73,AI157&gt;NDC!$D$74,$B157&gt;NDC!$H$22-0.1+MIN(3*$AJ$12,1.5)),0,1)</f>
        <v>#N/A</v>
      </c>
      <c r="AK157" s="86" t="b">
        <f t="shared" si="239"/>
        <v>0</v>
      </c>
      <c r="AL157" s="86">
        <f t="shared" si="270"/>
        <v>0.5</v>
      </c>
      <c r="AM157" s="86">
        <f t="shared" si="240"/>
        <v>0.5</v>
      </c>
      <c r="AN157" s="30" t="e">
        <f t="shared" ca="1" si="271"/>
        <v>#DIV/0!</v>
      </c>
      <c r="AO157" s="85" t="e">
        <f ca="1">IF(U157&lt;=Hypothèses!$V$7,Hypothèses!$W$7,IF(U157&lt;=Hypothèses!$V$8,Hypothèses!$W$8,IF(U157&lt;=Hypothèses!$V$9,Hypothèses!$W$9,IF(U157&lt;=Hypothèses!$V$10,Hypothèses!$W$10,IF(U157&lt;=Hypothèses!$V$11,Hypothèses!$W$11,IF(U157&lt;=Hypothèses!$V$12,Hypothèses!$W$12,IF(U157&lt;=Hypothèses!$V$13,Hypothèses!$W$13,IF(U157&lt;=Hypothèses!$V$14,Hypothèses!$W$14,IF(U157&lt;=Hypothèses!$V$15,Hypothèses!$W$15,IF(U157&lt;=Hypothèses!$V$16,Hypothèses!$W$16,IF(U157&lt;=Hypothèses!$V$17,Hypothèses!$W$17,IF(U157&lt;=Hypothèses!$V$18,Hypothèses!$W$18,""))))))))))))</f>
        <v>#DIV/0!</v>
      </c>
      <c r="AP157" s="87" t="e">
        <f t="shared" ca="1" si="317"/>
        <v>#DIV/0!</v>
      </c>
      <c r="AQ157" s="88" t="e">
        <f ca="1">IF(U157&lt;=Hypothèses!$V$7,Hypothèses!$X$7,IF(U157&lt;=Hypothèses!$V$8,Hypothèses!$X$8,IF(U157&lt;=Hypothèses!$V$9,Hypothèses!$X$9,IF(U157&lt;=Hypothèses!$V$10,Hypothèses!$X$10,IF(U157&lt;=Hypothèses!$V$11,Hypothèses!$X$11,IF(U157&lt;=Hypothèses!$V$12,Hypothèses!$X$12,IF(U157&lt;=Hypothèses!$V$13,Hypothèses!$X$13,IF(U157&lt;=Hypothèses!$V$14,Hypothèses!$X$14,IF(U157&lt;=Hypothèses!$V$15,Hypothèses!$X$15,IF(U157&lt;=Hypothèses!$V$16,Hypothèses!$X$16,IF(U157&lt;=Hypothèses!$U$17,Hypothèses!$W$17,IF(U157&lt;=Hypothèses!$U$18,Hypothèses!$W$18,""))))))))))))</f>
        <v>#DIV/0!</v>
      </c>
      <c r="AR157" s="95" t="e">
        <f t="shared" ca="1" si="272"/>
        <v>#DIV/0!</v>
      </c>
      <c r="AS157" s="101">
        <f t="shared" si="324"/>
        <v>0</v>
      </c>
      <c r="AT157" s="91">
        <f t="shared" si="241"/>
        <v>0</v>
      </c>
      <c r="AU157" s="30" t="e">
        <f t="shared" si="302"/>
        <v>#N/A</v>
      </c>
      <c r="AV157" s="30" t="e">
        <f t="shared" si="303"/>
        <v>#N/A</v>
      </c>
      <c r="AW157" s="31" t="e">
        <f>IF(OR(Hypothèses!$B$4=17,Hypothèses!$B$4=18,Hypothèses!$B$4=19,Hypothèses!$B$4=20),
IF($D157="Pressio.",
IF(OR($E157=3,$E157=1,$E157=4),AV157,AU157),
IF($D157="Pénétro.",
IF(OR($E157=3,$E157=1,$E157=4),AV157,AU157))),IF($D157="Pressio.",
IF($E157=3,AV157,AU157),
IF($D157="Pénétro.",
IF($E157=4,AV157,AU157))))</f>
        <v>#N/A</v>
      </c>
      <c r="AX157" s="31">
        <v>0</v>
      </c>
      <c r="AY157" s="102" t="e">
        <f>IF(NDC!$H$10="Oui",(VLOOKUP($B$3,'Coeff EC7'!$T$39:$X$59,2,0)*AW157+VLOOKUP($B$3,'Coeff EC7'!$T$65:$X$85,2,0)*Model0.1T!AX157)/1.5,PI()*AU$12*$Q157*($B157-$B156)*0.15/10+AY156)</f>
        <v>#N/A</v>
      </c>
      <c r="AZ157" s="102" t="e">
        <f>(VLOOKUP($B$3,'Coeff EC7'!$T$39:$X$59,3,0)*AW157+VLOOKUP($B$3,'Coeff EC7'!$T$65:$X$85,3,0)*Model0.1T!AX157)/1.1</f>
        <v>#N/A</v>
      </c>
      <c r="BA157" s="102" t="e">
        <f t="shared" si="273"/>
        <v>#N/A</v>
      </c>
      <c r="BB157" s="102" t="e">
        <f t="shared" si="274"/>
        <v>#N/A</v>
      </c>
      <c r="BC157" s="414" t="e">
        <f>IF(AND(AY157&gt;NDC!$C$63,AZ157&gt;NDC!$C$65,BA157&gt;NDC!$D$73,BB157&gt;NDC!$D$74,$B157&gt;NDC!$H$22-0.1+MIN(3*BC$12,1.5)),0,1)</f>
        <v>#N/A</v>
      </c>
      <c r="BD157" s="86" t="b">
        <f t="shared" si="242"/>
        <v>0</v>
      </c>
      <c r="BE157" s="86">
        <f t="shared" si="275"/>
        <v>0.5</v>
      </c>
      <c r="BF157" s="86">
        <f t="shared" si="243"/>
        <v>0.5</v>
      </c>
      <c r="BG157" s="30" t="e">
        <f t="shared" ca="1" si="276"/>
        <v>#DIV/0!</v>
      </c>
      <c r="BH157" s="85" t="e">
        <f ca="1">IF(AN157&lt;=Hypothèses!$V$7,Hypothèses!$W$7,IF(AN157&lt;=Hypothèses!$V$8,Hypothèses!$W$8,IF(AN157&lt;=Hypothèses!$V$9,Hypothèses!$W$9,IF(AN157&lt;=Hypothèses!$V$10,Hypothèses!$W$10,IF(AN157&lt;=Hypothèses!$V$11,Hypothèses!$W$11,IF(AN157&lt;=Hypothèses!$V$12,Hypothèses!$W$12,IF(AN157&lt;=Hypothèses!$V$13,Hypothèses!$W$13,IF(AN157&lt;=Hypothèses!$V$14,Hypothèses!$W$14,IF(AN157&lt;=Hypothèses!$V$15,Hypothèses!$W$15,IF(AN157&lt;=Hypothèses!$V$16,Hypothèses!$W$16,IF(AN157&lt;=Hypothèses!$V$17,Hypothèses!$W$17,IF(AN157&lt;=Hypothèses!$V$18,Hypothèses!$W$18,""))))))))))))</f>
        <v>#DIV/0!</v>
      </c>
      <c r="BI157" s="87" t="e">
        <f t="shared" ca="1" si="318"/>
        <v>#DIV/0!</v>
      </c>
      <c r="BJ157" s="88" t="e">
        <f ca="1">IF(AN157&lt;=Hypothèses!$V$7,Hypothèses!$X$7,IF(AN157&lt;=Hypothèses!$V$8,Hypothèses!$X$8,IF(AN157&lt;=Hypothèses!$V$9,Hypothèses!$X$9,IF(AN157&lt;=Hypothèses!$V$10,Hypothèses!$X$10,IF(AN157&lt;=Hypothèses!$V$11,Hypothèses!$X$11,IF(AN157&lt;=Hypothèses!$V$12,Hypothèses!$X$12,IF(AN157&lt;=Hypothèses!$V$13,Hypothèses!$X$13,IF(AN157&lt;=Hypothèses!$V$14,Hypothèses!$X$14,IF(AN157&lt;=Hypothèses!$V$15,Hypothèses!$X$15,IF(AN157&lt;=Hypothèses!$V$16,Hypothèses!$X$16,IF(AN157&lt;=Hypothèses!$U$17,Hypothèses!$W$17,IF(AN157&lt;=Hypothèses!$U$18,Hypothèses!$W$18,""))))))))))))</f>
        <v>#DIV/0!</v>
      </c>
      <c r="BK157" s="95" t="e">
        <f t="shared" ca="1" si="277"/>
        <v>#DIV/0!</v>
      </c>
      <c r="BL157" s="101">
        <f t="shared" si="325"/>
        <v>0</v>
      </c>
      <c r="BM157" s="91">
        <f t="shared" si="244"/>
        <v>0</v>
      </c>
      <c r="BN157" s="30" t="e">
        <f t="shared" si="304"/>
        <v>#N/A</v>
      </c>
      <c r="BO157" s="30" t="e">
        <f t="shared" si="305"/>
        <v>#N/A</v>
      </c>
      <c r="BP157" s="31" t="e">
        <f>IF(OR(Hypothèses!$B$4=17,Hypothèses!$B$4=18,Hypothèses!$B$4=19,Hypothèses!$B$4=20),
IF($D157="Pressio.",
IF(OR($E157=3,$E157=1,$E157=4),BO157,BN157),
IF($D157="Pénétro.",
IF(OR($E157=3,$E157=1,$E157=4),BO157,BN157))),IF($D157="Pressio.",
IF($E157=3,BO157,BN157),
IF($D157="Pénétro.",
IF($E157=4,BO157,BN157))))</f>
        <v>#N/A</v>
      </c>
      <c r="BQ157" s="31">
        <v>0</v>
      </c>
      <c r="BR157" s="102" t="e">
        <f>IF(NDC!$H$10="Oui",(VLOOKUP($B$3,'Coeff EC7'!$T$39:$X$59,2,0)*BP157+VLOOKUP($B$3,'Coeff EC7'!$T$65:$X$85,2,0)*Model0.1T!BQ157)/1.5,PI()*BN$12*$Q157*($B157-$B156)*0.15/10+BR156)</f>
        <v>#N/A</v>
      </c>
      <c r="BS157" s="102" t="e">
        <f>(VLOOKUP($B$3,'Coeff EC7'!$T$39:$X$59,3,0)*BP157+VLOOKUP($B$3,'Coeff EC7'!$T$65:$X$85,3,0)*Model0.1T!BQ157)/1.1</f>
        <v>#N/A</v>
      </c>
      <c r="BT157" s="102" t="e">
        <f t="shared" si="278"/>
        <v>#N/A</v>
      </c>
      <c r="BU157" s="102" t="e">
        <f t="shared" si="279"/>
        <v>#N/A</v>
      </c>
      <c r="BV157" s="414" t="e">
        <f>IF(AND(BR157&gt;NDC!$C$63,BS157&gt;NDC!$C$65,BT157&gt;NDC!$D$73,BU157&gt;NDC!$D$74,$B157&gt;NDC!$H$22-0.1+MIN(3*BV$12,1.5)),0,1)</f>
        <v>#N/A</v>
      </c>
      <c r="BW157" s="86" t="b">
        <f t="shared" si="245"/>
        <v>0</v>
      </c>
      <c r="BX157" s="86">
        <f t="shared" si="246"/>
        <v>0.5</v>
      </c>
      <c r="BY157" s="86">
        <f t="shared" si="247"/>
        <v>0.5</v>
      </c>
      <c r="BZ157" s="30" t="e">
        <f t="shared" ca="1" si="280"/>
        <v>#DIV/0!</v>
      </c>
      <c r="CA157" s="85" t="e">
        <f ca="1">IF(BG157&lt;=Hypothèses!$V$7,Hypothèses!$W$7,IF(BG157&lt;=Hypothèses!$V$8,Hypothèses!$W$8,IF(BG157&lt;=Hypothèses!$V$9,Hypothèses!$W$9,IF(BG157&lt;=Hypothèses!$V$10,Hypothèses!$W$10,IF(BG157&lt;=Hypothèses!$V$11,Hypothèses!$W$11,IF(BG157&lt;=Hypothèses!$V$12,Hypothèses!$W$12,IF(BG157&lt;=Hypothèses!$V$13,Hypothèses!$W$13,IF(BG157&lt;=Hypothèses!$V$14,Hypothèses!$W$14,IF(BG157&lt;=Hypothèses!$V$15,Hypothèses!$W$15,IF(BG157&lt;=Hypothèses!$V$16,Hypothèses!$W$16,IF(BG157&lt;=Hypothèses!$V$17,Hypothèses!$W$17,IF(BG157&lt;=Hypothèses!$V$18,Hypothèses!$W$18,""))))))))))))</f>
        <v>#DIV/0!</v>
      </c>
      <c r="CB157" s="87" t="e">
        <f t="shared" ca="1" si="319"/>
        <v>#DIV/0!</v>
      </c>
      <c r="CC157" s="88" t="e">
        <f ca="1">IF(BG157&lt;=Hypothèses!$V$7,Hypothèses!$X$7,IF(BG157&lt;=Hypothèses!$V$8,Hypothèses!$X$8,IF(BG157&lt;=Hypothèses!$V$9,Hypothèses!$X$9,IF(BG157&lt;=Hypothèses!$V$10,Hypothèses!$X$10,IF(BG157&lt;=Hypothèses!$V$11,Hypothèses!$X$11,IF(BG157&lt;=Hypothèses!$V$12,Hypothèses!$X$12,IF(BG157&lt;=Hypothèses!$V$13,Hypothèses!$X$13,IF(BG157&lt;=Hypothèses!$V$14,Hypothèses!$X$14,IF(BG157&lt;=Hypothèses!$V$15,Hypothèses!$X$15,IF(BG157&lt;=Hypothèses!$V$16,Hypothèses!$X$16,IF(BG157&lt;=Hypothèses!$U$17,Hypothèses!$W$17,IF(BG157&lt;=Hypothèses!$U$18,Hypothèses!$W$18,""))))))))))))</f>
        <v>#DIV/0!</v>
      </c>
      <c r="CD157" s="95" t="e">
        <f t="shared" ca="1" si="281"/>
        <v>#DIV/0!</v>
      </c>
      <c r="CE157" s="101">
        <f t="shared" si="326"/>
        <v>0</v>
      </c>
      <c r="CF157" s="91">
        <f t="shared" si="248"/>
        <v>0</v>
      </c>
      <c r="CG157" s="30" t="e">
        <f t="shared" si="306"/>
        <v>#N/A</v>
      </c>
      <c r="CH157" s="30" t="e">
        <f t="shared" si="307"/>
        <v>#N/A</v>
      </c>
      <c r="CI157" s="31" t="e">
        <f>IF(OR(Hypothèses!$B$4=17,Hypothèses!$B$4=18,Hypothèses!$B$4=19,Hypothèses!$B$4=20),
IF($D157="Pressio.",
IF(OR($E157=3,$E157=1,$E157=4),CH157,CG157),
IF($D157="Pénétro.",
IF(OR($E157=3,$E157=1,$E157=4),CH157,CG157))),IF($D157="Pressio.",
IF($E157=3,CH157,CG157),
IF($D157="Pénétro.",
IF($E157=4,CH157,CG157))))</f>
        <v>#N/A</v>
      </c>
      <c r="CJ157" s="31">
        <v>0</v>
      </c>
      <c r="CK157" s="102" t="e">
        <f>IF(NDC!$H$10="Oui",(VLOOKUP($B$3,'Coeff EC7'!$T$39:$X$59,2,0)*CI157+VLOOKUP($B$3,'Coeff EC7'!$T$65:$X$85,2,0)*Model0.1T!CJ157)/1.5,PI()*CG$12*$Q157*($B157-$B156)*0.15/10+CK156)</f>
        <v>#N/A</v>
      </c>
      <c r="CL157" s="102" t="e">
        <f>(VLOOKUP($B$3,'Coeff EC7'!$T$39:$X$59,3,0)*CI157+VLOOKUP($B$3,'Coeff EC7'!$T$65:$X$85,3,0)*Model0.1T!CJ157)/1.1</f>
        <v>#N/A</v>
      </c>
      <c r="CM157" s="102" t="e">
        <f t="shared" si="282"/>
        <v>#N/A</v>
      </c>
      <c r="CN157" s="102" t="e">
        <f t="shared" si="283"/>
        <v>#N/A</v>
      </c>
      <c r="CO157" s="414" t="e">
        <f>IF(AND(CK157&gt;NDC!$C$63,CL157&gt;NDC!$C$65,CM157&gt;NDC!$D$73,CN157&gt;NDC!$D$74,$B157&gt;NDC!$H$22-0.1+MIN(3*CO$12,1.5)),0,1)</f>
        <v>#N/A</v>
      </c>
      <c r="CP157" s="86" t="b">
        <f t="shared" si="249"/>
        <v>0</v>
      </c>
      <c r="CQ157" s="86">
        <f t="shared" si="250"/>
        <v>0.5</v>
      </c>
      <c r="CR157" s="86">
        <f t="shared" si="251"/>
        <v>0.5</v>
      </c>
      <c r="CS157" s="30" t="e">
        <f t="shared" ca="1" si="284"/>
        <v>#DIV/0!</v>
      </c>
      <c r="CT157" s="85" t="e">
        <f ca="1">IF(BZ157&lt;=Hypothèses!$V$7,Hypothèses!$W$7,IF(BZ157&lt;=Hypothèses!$V$8,Hypothèses!$W$8,IF(BZ157&lt;=Hypothèses!$V$9,Hypothèses!$W$9,IF(BZ157&lt;=Hypothèses!$V$10,Hypothèses!$W$10,IF(BZ157&lt;=Hypothèses!$V$11,Hypothèses!$W$11,IF(BZ157&lt;=Hypothèses!$V$12,Hypothèses!$W$12,IF(BZ157&lt;=Hypothèses!$V$13,Hypothèses!$W$13,IF(BZ157&lt;=Hypothèses!$V$14,Hypothèses!$W$14,IF(BZ157&lt;=Hypothèses!$V$15,Hypothèses!$W$15,IF(BZ157&lt;=Hypothèses!$V$16,Hypothèses!$W$16,IF(BZ157&lt;=Hypothèses!$V$17,Hypothèses!$W$17,IF(BZ157&lt;=Hypothèses!$V$18,Hypothèses!$W$18,""))))))))))))</f>
        <v>#DIV/0!</v>
      </c>
      <c r="CU157" s="87" t="e">
        <f t="shared" ca="1" si="320"/>
        <v>#DIV/0!</v>
      </c>
      <c r="CV157" s="88" t="e">
        <f ca="1">IF(BZ157&lt;=Hypothèses!$V$7,Hypothèses!$X$7,IF(BZ157&lt;=Hypothèses!$V$8,Hypothèses!$X$8,IF(BZ157&lt;=Hypothèses!$V$9,Hypothèses!$X$9,IF(BZ157&lt;=Hypothèses!$V$10,Hypothèses!$X$10,IF(BZ157&lt;=Hypothèses!$V$11,Hypothèses!$X$11,IF(BZ157&lt;=Hypothèses!$V$12,Hypothèses!$X$12,IF(BZ157&lt;=Hypothèses!$V$13,Hypothèses!$X$13,IF(BZ157&lt;=Hypothèses!$V$14,Hypothèses!$X$14,IF(BZ157&lt;=Hypothèses!$V$15,Hypothèses!$X$15,IF(BZ157&lt;=Hypothèses!$V$16,Hypothèses!$X$16,IF(BZ157&lt;=Hypothèses!$U$17,Hypothèses!$W$17,IF(BZ157&lt;=Hypothèses!$U$18,Hypothèses!$W$18,""))))))))))))</f>
        <v>#DIV/0!</v>
      </c>
      <c r="CW157" s="95" t="e">
        <f t="shared" ca="1" si="285"/>
        <v>#DIV/0!</v>
      </c>
      <c r="CX157" s="101">
        <f t="shared" si="327"/>
        <v>0</v>
      </c>
      <c r="CY157" s="91">
        <f t="shared" si="252"/>
        <v>0</v>
      </c>
      <c r="CZ157" s="30" t="e">
        <f t="shared" si="308"/>
        <v>#N/A</v>
      </c>
      <c r="DA157" s="30" t="e">
        <f t="shared" si="309"/>
        <v>#N/A</v>
      </c>
      <c r="DB157" s="31" t="e">
        <f>IF(OR(Hypothèses!$B$4=17,Hypothèses!$B$4=18,Hypothèses!$B$4=19,Hypothèses!$B$4=20),
IF($D157="Pressio.",
IF(OR($E157=3,$E157=1,$E157=4),DA157,CZ157),
IF($D157="Pénétro.",
IF(OR($E157=3,$E157=1,$E157=4),DA157,CZ157))),IF($D157="Pressio.",
IF($E157=3,DA157,CZ157),
IF($D157="Pénétro.",
IF($E157=4,DA157,CZ157))))</f>
        <v>#N/A</v>
      </c>
      <c r="DC157" s="31">
        <v>0</v>
      </c>
      <c r="DD157" s="102" t="e">
        <f>IF(NDC!$H$10="Oui",(VLOOKUP($B$3,'Coeff EC7'!$T$39:$X$59,2,0)*DB157+VLOOKUP($B$3,'Coeff EC7'!$T$65:$X$85,2,0)*Model0.1T!DC157)/1.5,PI()*CZ$12*$Q157*($B157-$B156)*0.15/10+DD156)</f>
        <v>#N/A</v>
      </c>
      <c r="DE157" s="102" t="e">
        <f>(VLOOKUP($B$3,'Coeff EC7'!$T$39:$X$59,3,0)*DB157+VLOOKUP($B$3,'Coeff EC7'!$T$65:$X$85,3,0)*Model0.1T!DC157)/1.1</f>
        <v>#N/A</v>
      </c>
      <c r="DF157" s="102" t="e">
        <f t="shared" si="286"/>
        <v>#N/A</v>
      </c>
      <c r="DG157" s="102" t="e">
        <f t="shared" si="287"/>
        <v>#N/A</v>
      </c>
      <c r="DH157" s="414" t="e">
        <f>IF(AND(DD157&gt;NDC!$C$63,DE157&gt;NDC!$C$65,DF157&gt;NDC!$D$73,DG157&gt;NDC!$D$74,$B157&gt;NDC!$H$22-0.1+MIN(3*DH$12,1.5)),0,1)</f>
        <v>#N/A</v>
      </c>
      <c r="DI157" s="86" t="b">
        <f t="shared" si="253"/>
        <v>0</v>
      </c>
      <c r="DJ157" s="86">
        <f t="shared" si="254"/>
        <v>0.5</v>
      </c>
      <c r="DK157" s="86">
        <f t="shared" si="255"/>
        <v>0.5</v>
      </c>
      <c r="DL157" s="30" t="e">
        <f t="shared" ca="1" si="288"/>
        <v>#DIV/0!</v>
      </c>
      <c r="DM157" s="85" t="e">
        <f ca="1">IF(CS157&lt;=Hypothèses!$V$7,Hypothèses!$W$7,IF(CS157&lt;=Hypothèses!$V$8,Hypothèses!$W$8,IF(CS157&lt;=Hypothèses!$V$9,Hypothèses!$W$9,IF(CS157&lt;=Hypothèses!$V$10,Hypothèses!$W$10,IF(CS157&lt;=Hypothèses!$V$11,Hypothèses!$W$11,IF(CS157&lt;=Hypothèses!$V$12,Hypothèses!$W$12,IF(CS157&lt;=Hypothèses!$V$13,Hypothèses!$W$13,IF(CS157&lt;=Hypothèses!$V$14,Hypothèses!$W$14,IF(CS157&lt;=Hypothèses!$V$15,Hypothèses!$W$15,IF(CS157&lt;=Hypothèses!$V$16,Hypothèses!$W$16,IF(CS157&lt;=Hypothèses!$V$17,Hypothèses!$W$17,IF(CS157&lt;=Hypothèses!$V$18,Hypothèses!$W$18,""))))))))))))</f>
        <v>#DIV/0!</v>
      </c>
      <c r="DN157" s="87" t="e">
        <f t="shared" ca="1" si="321"/>
        <v>#DIV/0!</v>
      </c>
      <c r="DO157" s="88" t="e">
        <f ca="1">IF(CS157&lt;=Hypothèses!$V$7,Hypothèses!$X$7,IF(CS157&lt;=Hypothèses!$V$8,Hypothèses!$X$8,IF(CS157&lt;=Hypothèses!$V$9,Hypothèses!$X$9,IF(CS157&lt;=Hypothèses!$V$10,Hypothèses!$X$10,IF(CS157&lt;=Hypothèses!$V$11,Hypothèses!$X$11,IF(CS157&lt;=Hypothèses!$V$12,Hypothèses!$X$12,IF(CS157&lt;=Hypothèses!$V$13,Hypothèses!$X$13,IF(CS157&lt;=Hypothèses!$V$14,Hypothèses!$X$14,IF(CS157&lt;=Hypothèses!$V$15,Hypothèses!$X$15,IF(CS157&lt;=Hypothèses!$V$16,Hypothèses!$X$16,IF(CS157&lt;=Hypothèses!$U$17,Hypothèses!$W$17,IF(CS157&lt;=Hypothèses!$U$18,Hypothèses!$W$18,""))))))))))))</f>
        <v>#DIV/0!</v>
      </c>
      <c r="DP157" s="95" t="e">
        <f t="shared" ca="1" si="289"/>
        <v>#DIV/0!</v>
      </c>
      <c r="DQ157" s="101">
        <f t="shared" si="328"/>
        <v>0</v>
      </c>
      <c r="DR157" s="91">
        <f t="shared" si="256"/>
        <v>0</v>
      </c>
      <c r="DS157" s="30" t="e">
        <f t="shared" si="310"/>
        <v>#N/A</v>
      </c>
      <c r="DT157" s="30" t="e">
        <f t="shared" si="311"/>
        <v>#N/A</v>
      </c>
      <c r="DU157" s="31" t="e">
        <f>IF(OR(Hypothèses!$B$4=17,Hypothèses!$B$4=18,Hypothèses!$B$4=19,Hypothèses!$B$4=20),
IF($D157="Pressio.",
IF(OR($E157=3,$E157=1,$E157=4),DT157,DS157),
IF($D157="Pénétro.",
IF(OR($E157=3,$E157=1,$E157=4),DT157,DS157))),IF($D157="Pressio.",
IF($E157=3,DT157,DS157),
IF($D157="Pénétro.",
IF($E157=4,DT157,DS157))))</f>
        <v>#N/A</v>
      </c>
      <c r="DV157" s="31">
        <v>0</v>
      </c>
      <c r="DW157" s="102" t="e">
        <f>IF(NDC!$H$10="Oui",(VLOOKUP($B$3,'Coeff EC7'!$T$39:$X$59,2,0)*DU157+VLOOKUP($B$3,'Coeff EC7'!$T$65:$X$85,2,0)*Model0.1T!DV157)/1.5,PI()*DS$12*$Q157*($B157-$B156)*0.15/10+DW156)</f>
        <v>#N/A</v>
      </c>
      <c r="DX157" s="102" t="e">
        <f>(VLOOKUP($B$3,'Coeff EC7'!$T$39:$X$59,3,0)*DU157+VLOOKUP($B$3,'Coeff EC7'!$T$65:$X$85,3,0)*Model0.1T!DV157)/1.1</f>
        <v>#N/A</v>
      </c>
      <c r="DY157" s="102" t="e">
        <f t="shared" si="290"/>
        <v>#N/A</v>
      </c>
      <c r="DZ157" s="102" t="e">
        <f t="shared" si="291"/>
        <v>#N/A</v>
      </c>
      <c r="EA157" s="414" t="e">
        <f>IF(AND(DW157&gt;NDC!$C$63,DX157&gt;NDC!$C$65,DY157&gt;NDC!$D$73,DZ157&gt;NDC!$D$74,$B157&gt;NDC!$H$22-0.1+MIN(3*EA$12,1.5)),0,1)</f>
        <v>#N/A</v>
      </c>
      <c r="EB157" s="86" t="b">
        <f t="shared" si="257"/>
        <v>0</v>
      </c>
      <c r="EC157" s="418">
        <f t="shared" si="258"/>
        <v>0.51</v>
      </c>
      <c r="ED157" s="86">
        <f t="shared" si="259"/>
        <v>0.51</v>
      </c>
      <c r="EE157" s="30" t="e">
        <f t="shared" ca="1" si="292"/>
        <v>#DIV/0!</v>
      </c>
      <c r="EF157" s="85" t="e">
        <f ca="1">IF(DL157&lt;=Hypothèses!$V$7,Hypothèses!$W$7,IF(DL157&lt;=Hypothèses!$V$8,Hypothèses!$W$8,IF(DL157&lt;=Hypothèses!$V$9,Hypothèses!$W$9,IF(DL157&lt;=Hypothèses!$V$10,Hypothèses!$W$10,IF(DL157&lt;=Hypothèses!$V$11,Hypothèses!$W$11,IF(DL157&lt;=Hypothèses!$V$12,Hypothèses!$W$12,IF(DL157&lt;=Hypothèses!$V$13,Hypothèses!$W$13,IF(DL157&lt;=Hypothèses!$V$14,Hypothèses!$W$14,IF(DL157&lt;=Hypothèses!$V$15,Hypothèses!$W$15,IF(DL157&lt;=Hypothèses!$V$16,Hypothèses!$W$16,IF(DL157&lt;=Hypothèses!$V$17,Hypothèses!$W$17,IF(DL157&lt;=Hypothèses!$V$18,Hypothèses!$W$18,""))))))))))))</f>
        <v>#DIV/0!</v>
      </c>
      <c r="EG157" s="87" t="e">
        <f t="shared" ca="1" si="322"/>
        <v>#DIV/0!</v>
      </c>
      <c r="EH157" s="88" t="e">
        <f ca="1">IF(DL157&lt;=Hypothèses!$V$7,Hypothèses!$X$7,IF(DL157&lt;=Hypothèses!$V$8,Hypothèses!$X$8,IF(DL157&lt;=Hypothèses!$V$9,Hypothèses!$X$9,IF(DL157&lt;=Hypothèses!$V$10,Hypothèses!$X$10,IF(DL157&lt;=Hypothèses!$V$11,Hypothèses!$X$11,IF(DL157&lt;=Hypothèses!$V$12,Hypothèses!$X$12,IF(DL157&lt;=Hypothèses!$V$13,Hypothèses!$X$13,IF(DL157&lt;=Hypothèses!$V$14,Hypothèses!$X$14,IF(DL157&lt;=Hypothèses!$V$15,Hypothèses!$X$15,IF(DL157&lt;=Hypothèses!$V$16,Hypothèses!$X$16,IF(DL157&lt;=Hypothèses!$U$17,Hypothèses!$W$17,IF(DL157&lt;=Hypothèses!$U$18,Hypothèses!$W$18,""))))))))))))</f>
        <v>#DIV/0!</v>
      </c>
      <c r="EI157" s="95" t="e">
        <f t="shared" ca="1" si="293"/>
        <v>#DIV/0!</v>
      </c>
      <c r="EJ157" s="101">
        <f t="shared" si="329"/>
        <v>0</v>
      </c>
      <c r="EK157" s="91">
        <f t="shared" si="260"/>
        <v>0</v>
      </c>
      <c r="EL157" s="30" t="e">
        <f t="shared" si="312"/>
        <v>#N/A</v>
      </c>
      <c r="EM157" s="30" t="e">
        <f t="shared" si="313"/>
        <v>#N/A</v>
      </c>
      <c r="EN157" s="31" t="e">
        <f>IF(OR(Hypothèses!$B$4=17,Hypothèses!$B$4=18,Hypothèses!$B$4=19,Hypothèses!$B$4=20),
IF($D157="Pressio.",
IF(OR($E157=3,$E157=1,$E157=4),EM157,EL157),
IF($D157="Pénétro.",
IF(OR($E157=3,$E157=1,$E157=4),EM157,EL157))),IF($D157="Pressio.",
IF($E157=3,EM157,EL157),
IF($D157="Pénétro.",
IF($E157=4,EM157,EL157))))</f>
        <v>#N/A</v>
      </c>
      <c r="EO157" s="31">
        <v>0</v>
      </c>
      <c r="EP157" s="102" t="e">
        <f>IF(NDC!$H$10="Oui",(VLOOKUP($B$3,'Coeff EC7'!$T$39:$X$59,2,0)*EN157+VLOOKUP($B$3,'Coeff EC7'!$T$65:$X$85,2,0)*Model0.1T!EO157)/1.5,PI()*EL$12*$Q157*($B157-$B156)*0.15/10+EP156)</f>
        <v>#N/A</v>
      </c>
      <c r="EQ157" s="102" t="e">
        <f>(VLOOKUP($B$3,'Coeff EC7'!$T$39:$X$59,3,0)*EN157+VLOOKUP($B$3,'Coeff EC7'!$T$65:$X$85,3,0)*Model0.1T!EO157)/1.1</f>
        <v>#N/A</v>
      </c>
      <c r="ER157" s="102" t="e">
        <f t="shared" si="294"/>
        <v>#N/A</v>
      </c>
      <c r="ES157" s="102" t="e">
        <f t="shared" si="295"/>
        <v>#N/A</v>
      </c>
      <c r="ET157" s="414" t="e">
        <f>IF(AND(EP157&gt;NDC!$C$63,EQ157&gt;NDC!$C$65,ER157&gt;NDC!$D$73,ES157&gt;NDC!$D$74,$B157&gt;NDC!$H$22-0.1+MIN(3*ET$12,1.5)),0,1)</f>
        <v>#N/A</v>
      </c>
      <c r="EU157" s="86" t="b">
        <f t="shared" si="261"/>
        <v>0</v>
      </c>
      <c r="EV157" s="86">
        <f t="shared" si="262"/>
        <v>0.61</v>
      </c>
      <c r="EW157" s="86">
        <f t="shared" si="263"/>
        <v>0.61</v>
      </c>
      <c r="EX157" s="30" t="e">
        <f t="shared" ca="1" si="296"/>
        <v>#DIV/0!</v>
      </c>
      <c r="EY157" s="85" t="e">
        <f ca="1">IF(EE157&lt;=Hypothèses!$V$7,Hypothèses!$W$7,IF(EE157&lt;=Hypothèses!$V$8,Hypothèses!$W$8,IF(EE157&lt;=Hypothèses!$V$9,Hypothèses!$W$9,IF(EE157&lt;=Hypothèses!$V$10,Hypothèses!$W$10,IF(EE157&lt;=Hypothèses!$V$11,Hypothèses!$W$11,IF(EE157&lt;=Hypothèses!$V$12,Hypothèses!$W$12,IF(EE157&lt;=Hypothèses!$V$13,Hypothèses!$W$13,IF(EE157&lt;=Hypothèses!$V$14,Hypothèses!$W$14,IF(EE157&lt;=Hypothèses!$V$15,Hypothèses!$W$15,IF(EE157&lt;=Hypothèses!$V$16,Hypothèses!$W$16,IF(EE157&lt;=Hypothèses!$V$17,Hypothèses!$W$17,IF(EE157&lt;=Hypothèses!$V$18,Hypothèses!$W$18,""))))))))))))</f>
        <v>#DIV/0!</v>
      </c>
      <c r="EZ157" s="87" t="e">
        <f t="shared" ca="1" si="323"/>
        <v>#DIV/0!</v>
      </c>
      <c r="FA157" s="88" t="e">
        <f ca="1">IF(EE157&lt;=Hypothèses!$V$7,Hypothèses!$X$7,IF(EE157&lt;=Hypothèses!$V$8,Hypothèses!$X$8,IF(EE157&lt;=Hypothèses!$V$9,Hypothèses!$X$9,IF(EE157&lt;=Hypothèses!$V$10,Hypothèses!$X$10,IF(EE157&lt;=Hypothèses!$V$11,Hypothèses!$X$11,IF(EE157&lt;=Hypothèses!$V$12,Hypothèses!$X$12,IF(EE157&lt;=Hypothèses!$V$13,Hypothèses!$X$13,IF(EE157&lt;=Hypothèses!$V$14,Hypothèses!$X$14,IF(EE157&lt;=Hypothèses!$V$15,Hypothèses!$X$15,IF(EE157&lt;=Hypothèses!$V$16,Hypothèses!$X$16,IF(EE157&lt;=Hypothèses!$U$17,Hypothèses!$W$17,IF(EE157&lt;=Hypothèses!$U$18,Hypothèses!$W$18,""))))))))))))</f>
        <v>#DIV/0!</v>
      </c>
      <c r="FB157" s="95" t="e">
        <f t="shared" ca="1" si="297"/>
        <v>#DIV/0!</v>
      </c>
      <c r="FC157" s="101">
        <f t="shared" si="330"/>
        <v>0</v>
      </c>
      <c r="FD157" s="91">
        <f t="shared" si="264"/>
        <v>0</v>
      </c>
      <c r="FE157" s="30" t="e">
        <f t="shared" si="314"/>
        <v>#N/A</v>
      </c>
      <c r="FF157" s="30" t="e">
        <f t="shared" si="315"/>
        <v>#N/A</v>
      </c>
      <c r="FG157" s="31" t="e">
        <f>IF(OR(Hypothèses!$B$4=17,Hypothèses!$B$4=18,Hypothèses!$B$4=19,Hypothèses!$B$4=20),
IF($D157="Pressio.",
IF(OR($E157=3,$E157=1,$E157=4),FF157,FE157),
IF($D157="Pénétro.",
IF(OR($E157=3,$E157=1,$E157=4),FF157,FE157))),IF($D157="Pressio.",
IF($E157=3,FF157,FE157),
IF($D157="Pénétro.",
IF($E157=4,FF157,FE157))))</f>
        <v>#N/A</v>
      </c>
      <c r="FH157" s="31">
        <v>0</v>
      </c>
      <c r="FI157" s="102" t="e">
        <f>IF(NDC!$H$10="Oui",(VLOOKUP($B$3,'Coeff EC7'!$T$39:$X$59,2,0)*FG157+VLOOKUP($B$3,'Coeff EC7'!$T$65:$X$85,2,0)*Model0.1T!FH157)/1.5,PI()*FE$12*$Q157*($B157-$B156)*0.15/10+FI156)</f>
        <v>#N/A</v>
      </c>
      <c r="FJ157" s="102" t="e">
        <f>(VLOOKUP($B$3,'Coeff EC7'!$T$39:$X$59,3,0)*FG157+VLOOKUP($B$3,'Coeff EC7'!$T$65:$X$85,3,0)*Model0.1T!FH157)/1.1</f>
        <v>#N/A</v>
      </c>
      <c r="FK157" s="102" t="e">
        <f t="shared" si="298"/>
        <v>#N/A</v>
      </c>
      <c r="FL157" s="102" t="e">
        <f t="shared" si="299"/>
        <v>#N/A</v>
      </c>
      <c r="FM157" s="414" t="e">
        <f>IF(AND(FI157&gt;NDC!$C$63,FJ157&gt;NDC!$C$65,FK157&gt;NDC!$D$73,FL157&gt;NDC!$D$74,$B157&gt;NDC!$H$22-0.1+MIN(3*FM$12,1.5)),0,1)</f>
        <v>#N/A</v>
      </c>
    </row>
    <row r="158" spans="1:169">
      <c r="A158" s="96">
        <f t="shared" si="265"/>
        <v>85.500000000000824</v>
      </c>
      <c r="B158" s="97">
        <v>14.5</v>
      </c>
      <c r="C158" s="81">
        <f>IF(B158&lt;=Hypothèses!$C$7,Hypothèses!$A$7,IF(B158&lt;=Hypothèses!$C$8,Hypothèses!$A$8,IF(B158&lt;=Hypothèses!$C$9,Hypothèses!$A$9,IF(B158&lt;=Hypothèses!$C$10,Hypothèses!$A$10,IF(B158&lt;=Hypothèses!$C$11,Hypothèses!$A$11,IF(B158&lt;=Hypothèses!$C$12,Hypothèses!$A$12,IF(B158&lt;=Hypothèses!$C$13,Hypothèses!$A$13,IF(B158&lt;=Hypothèses!$C$14,Hypothèses!$A$14,IF(B158&lt;=Hypothèses!$C$15,Hypothèses!$A$15,IF(B158&lt;=Hypothèses!$C$16,Hypothèses!$A$16,IF(B158&lt;=Hypothèses!$C$17,Hypothèses!$A$17,IF(B158&lt;=Hypothèses!$C$18,Hypothèses!$A$18,C157))))))))))))</f>
        <v>11</v>
      </c>
      <c r="D158" s="82" t="str">
        <f>IF(B158&lt;=Hypothèses!$C$7,Hypothèses!$R$7,IF(B158&lt;=Hypothèses!$C$8,Hypothèses!$R$8,IF(B158&lt;=Hypothèses!$C$9,Hypothèses!$R$9,IF(B158&lt;=Hypothèses!$C$10,Hypothèses!$R$10,IF(B158&lt;=Hypothèses!$C$11,Hypothèses!$R$11,IF(B158&lt;=Hypothèses!$C$12,Hypothèses!$R$12,IF(B158&lt;=Hypothèses!$C$13,Hypothèses!$R$13,IF(B158&lt;=Hypothèses!$C$14,Hypothèses!$R$14,IF(B158&lt;=Hypothèses!$C$15,Hypothèses!$R$15,IF(B158&lt;=Hypothèses!$C$16,Hypothèses!$R$16,IF(B158&lt;=Hypothèses!$C$17,Hypothèses!$R$17,IF(B158&lt;=Hypothèses!$C$18,Hypothèses!$R$18,D157))))))))))))</f>
        <v>Pressio.</v>
      </c>
      <c r="E158" s="82" t="e">
        <f>IF(B158&lt;=Hypothèses!$C$7,Hypothèses!$G$7,IF(B158&lt;=Hypothèses!$C$8,Hypothèses!$G$8,IF(B158&lt;=Hypothèses!$C$9,Hypothèses!$G$9,IF(B158&lt;=Hypothèses!$C$10,Hypothèses!$G$10,IF(B158&lt;=Hypothèses!$C$11,Hypothèses!$G$11,IF(B158&lt;=Hypothèses!$C$12,Hypothèses!$G$12,IF(B158&lt;=Hypothèses!$C$13,Hypothèses!$G$13,IF(B158&lt;=Hypothèses!$C$14,Hypothèses!$G$14,IF(B158&lt;=Hypothèses!$C$15,Hypothèses!$G$15,IF(B158&lt;=Hypothèses!$C$16,Hypothèses!$G$16,IF(B158&lt;=Hypothèses!$C$17,Hypothèses!$G$17,IF(B158&lt;=Hypothèses!$C$18,Hypothèses!$G$18,E157))))))))))))</f>
        <v>#N/A</v>
      </c>
      <c r="F158" s="82" t="str">
        <f>IF(B158&lt;=Hypothèses!$C$7,Hypothèses!$F$7,IF(B158&lt;=Hypothèses!$C$8,Hypothèses!$F$8,IF(B158&lt;=Hypothèses!$C$9,Hypothèses!$F$9,IF(B158&lt;=Hypothèses!$C$10,Hypothèses!$F$10,IF(B158&lt;=Hypothèses!$C$11,Hypothèses!$F$11,IF(B158&lt;=Hypothèses!$C$12,Hypothèses!$F$12,IF(B158&lt;=Hypothèses!$C$13,Hypothèses!$F$13,IF(B158&lt;=Hypothèses!$C$14,Hypothèses!$F$14,IF(B158&lt;=Hypothèses!$C$15,Hypothèses!$F$15,IF(B158&lt;=Hypothèses!$C$16,Hypothèses!$F$16,IF(B158&lt;=Hypothèses!$C$17,Hypothèses!$F$17,IF(B158&lt;=Hypothèses!$C$18,Hypothèses!$F$18,F157))))))))))))</f>
        <v/>
      </c>
      <c r="G158" s="91">
        <f t="array" ref="G158">INDEX('Coeff EC7'!$U$7:$X$27,
MATCH(Model0.1T!$B$3,'Coeff EC7'!$T$7:$T$27,0),
MATCH(Model0.1T!$D158&amp;Model0.1T!$B$4,
'Coeff EC7'!$U$6:$X$6&amp;
'Coeff EC7'!$U$5:$X$5,0))</f>
        <v>1.4</v>
      </c>
      <c r="H158" s="91">
        <f t="array" ref="H158">INDEX('Coeff EC7'!$Y$7:$AB$27,
MATCH(Model0.1T!$B$3,'Coeff EC7'!$T$7:$T$27,0),
MATCH(Model0.1T!$D158&amp;Model0.1T!$B$4,
'Coeff EC7'!$Y$6:$AB$6&amp;
'Coeff EC7'!$Y$5:$AB$5,0))</f>
        <v>1.7</v>
      </c>
      <c r="I158" s="83">
        <v>0</v>
      </c>
      <c r="J158" s="91" t="e">
        <f t="array" ref="J158">INDEX('Coeff EC7'!$D$33:$Q$33,1,MATCH(D158&amp;E158,'Coeff EC7'!$D$31:$Q$31&amp;'Coeff EC7'!$D$32:$Q$32,0))</f>
        <v>#N/A</v>
      </c>
      <c r="K158" s="91" t="e">
        <f t="array" ref="K158">INDEX('Coeff EC7'!$D$34:$Q$34,1,MATCH(D158&amp;E158,'Coeff EC7'!$D$31:$Q$31&amp;'Coeff EC7'!$D$32:$Q$32,0))</f>
        <v>#N/A</v>
      </c>
      <c r="L158" s="91" t="e">
        <f t="array" ref="L158">INDEX('Coeff EC7'!$D$35:$Q$35,1,MATCH(D158&amp;E158,'Coeff EC7'!$D$31:$Q$31&amp;'Coeff EC7'!$D$32:$Q$32,0))</f>
        <v>#N/A</v>
      </c>
      <c r="M158" s="98" t="e">
        <f t="shared" si="231"/>
        <v>#N/A</v>
      </c>
      <c r="N158" s="99" t="e">
        <f t="array" ref="N158">INDEX('Coeff EC7'!$D$7:$Q$27,MATCH($B$3,'Coeff EC7'!$C$7:$C$27,0),MATCH(D158&amp;E158,'Coeff EC7'!$D$5:$Q$5&amp;'Coeff EC7'!$D$6:$Q$6,0))</f>
        <v>#N/A</v>
      </c>
      <c r="O158" s="99" t="e">
        <f t="array" ref="O158">INDEX('Coeff EC7'!$D$41:$Q$61,MATCH($B$3,'Coeff EC7'!$C$41:$C$61,0),MATCH(D158&amp;E158,'Coeff EC7'!$D$39:$Q$39&amp;'Coeff EC7'!$D$40:$Q$40,0))</f>
        <v>#N/A</v>
      </c>
      <c r="P158" s="30" t="e">
        <f t="shared" si="266"/>
        <v>#N/A</v>
      </c>
      <c r="Q158" s="100" t="e">
        <f t="shared" si="233"/>
        <v>#N/A</v>
      </c>
      <c r="R158" s="86" t="b">
        <f t="shared" si="234"/>
        <v>0</v>
      </c>
      <c r="S158" s="86">
        <f t="shared" si="232"/>
        <v>0.5</v>
      </c>
      <c r="T158" s="86">
        <f t="shared" si="235"/>
        <v>0.5</v>
      </c>
      <c r="U158" s="30" t="e">
        <f t="shared" ca="1" si="267"/>
        <v>#DIV/0!</v>
      </c>
      <c r="V158" s="85" t="str">
        <f>IF(B158&lt;=Hypothèses!$V$7,Hypothèses!$W$7,IF(B158&lt;=Hypothèses!$V$8,Hypothèses!$W$8,IF(B158&lt;=Hypothèses!$V$9,Hypothèses!$W$9,IF(B158&lt;=Hypothèses!$V$10,Hypothèses!$W$10,IF(B158&lt;=Hypothèses!$V$11,Hypothèses!$W$11,IF(B158&lt;=Hypothèses!$V$12,Hypothèses!$W$12,IF(B158&lt;=Hypothèses!$V$13,Hypothèses!$W$13,IF(B158&lt;=Hypothèses!$V$14,Hypothèses!$W$14,IF(B158&lt;=Hypothèses!$V$15,Hypothèses!$W$15,IF(B158&lt;=Hypothèses!$V$16,Hypothèses!$W$16,IF(B158&lt;=Hypothèses!$V$17,Hypothèses!$W$17,IF(B158&lt;=Hypothèses!$V$18,Hypothèses!$W$18,""))))))))))))</f>
        <v/>
      </c>
      <c r="W158" s="87" t="e">
        <f t="shared" ca="1" si="316"/>
        <v>#DIV/0!</v>
      </c>
      <c r="X158" s="88" t="str">
        <f>IF(B158&lt;=Hypothèses!$V$7,Hypothèses!$X$7,IF(B158&lt;=Hypothèses!$V$8,Hypothèses!$X$8,IF(B158&lt;=Hypothèses!$V$9,Hypothèses!$X$9,IF(B158&lt;=Hypothèses!$V$10,Hypothèses!$X$10,IF(B158&lt;=Hypothèses!$V$11,Hypothèses!$X$11,IF(B158&lt;=Hypothèses!$V$12,Hypothèses!$X$12,IF(B158&lt;=Hypothèses!$V$13,Hypothèses!$X$13,IF(B158&lt;=Hypothèses!$V$14,Hypothèses!$X$14,IF(B158&lt;=Hypothèses!$V$15,Hypothèses!$X$15,IF(B158&lt;=Hypothèses!$V$16,Hypothèses!$X$16,IF(B158&lt;=Hypothèses!$U$17,Hypothèses!$W$17,IF(B158&lt;=Hypothèses!$U$18,Hypothèses!$W$18,""))))))))))))</f>
        <v/>
      </c>
      <c r="Y158" s="95" t="e">
        <f t="shared" ca="1" si="236"/>
        <v>#DIV/0!</v>
      </c>
      <c r="Z158" s="101">
        <f t="shared" si="237"/>
        <v>0</v>
      </c>
      <c r="AA158" s="91">
        <f t="shared" si="238"/>
        <v>0</v>
      </c>
      <c r="AB158" s="30" t="e">
        <f t="shared" si="300"/>
        <v>#N/A</v>
      </c>
      <c r="AC158" s="30" t="e">
        <f t="shared" si="301"/>
        <v>#N/A</v>
      </c>
      <c r="AD158" s="31" t="e">
        <f>IF(OR(Hypothèses!$B$4=17,Hypothèses!$B$4=18,Hypothèses!$B$4=19,Hypothèses!$B$4=20),
IF($D158="Pressio.",
IF(OR($E158=3,$E158=1,$E158=4),AC158,AB158),
IF($D158="Pénétro.",
IF(OR($E158=3,$E158=1,$E158=4),AC158,AB158))),IF($D158="Pressio.",
IF($E158=3,AC158,AB158),
IF($D158="Pénétro.",
IF($E158=4,AC158,AB158))))</f>
        <v>#N/A</v>
      </c>
      <c r="AE158" s="31">
        <v>0</v>
      </c>
      <c r="AF158" s="102" t="e">
        <f>IF(NDC!$H$10="Oui",(VLOOKUP($B$3,'Coeff EC7'!$T$39:$X$59,2,0)*AD158+VLOOKUP($B$3,'Coeff EC7'!$T$65:$X$85,2,0)*Model0.1T!AE158)/1.5,PI()*AB$12*$Q158*($B158-$B157)*0.15/10+AF157)</f>
        <v>#N/A</v>
      </c>
      <c r="AG158" s="102" t="e">
        <f>(VLOOKUP($B$3,'Coeff EC7'!$T$39:$X$59,3,0)*AD158+VLOOKUP($B$3,'Coeff EC7'!$T$65:$X$85,3,0)*Model0.1T!AE158)/1.1</f>
        <v>#N/A</v>
      </c>
      <c r="AH158" s="102" t="e">
        <f t="shared" si="268"/>
        <v>#N/A</v>
      </c>
      <c r="AI158" s="102" t="e">
        <f t="shared" si="269"/>
        <v>#N/A</v>
      </c>
      <c r="AJ158" s="414" t="e">
        <f>IF(AND(AF158&gt;NDC!$C$63,AG158&gt;NDC!$C$65,AH158&gt;NDC!$D$73,AI158&gt;NDC!$D$74,$B158&gt;NDC!$H$22-0.1+MIN(3*$AJ$12,1.5)),0,1)</f>
        <v>#N/A</v>
      </c>
      <c r="AK158" s="86" t="b">
        <f t="shared" si="239"/>
        <v>0</v>
      </c>
      <c r="AL158" s="86">
        <f t="shared" si="270"/>
        <v>0.5</v>
      </c>
      <c r="AM158" s="86">
        <f t="shared" si="240"/>
        <v>0.5</v>
      </c>
      <c r="AN158" s="30" t="e">
        <f t="shared" ca="1" si="271"/>
        <v>#DIV/0!</v>
      </c>
      <c r="AO158" s="85" t="e">
        <f ca="1">IF(U158&lt;=Hypothèses!$V$7,Hypothèses!$W$7,IF(U158&lt;=Hypothèses!$V$8,Hypothèses!$W$8,IF(U158&lt;=Hypothèses!$V$9,Hypothèses!$W$9,IF(U158&lt;=Hypothèses!$V$10,Hypothèses!$W$10,IF(U158&lt;=Hypothèses!$V$11,Hypothèses!$W$11,IF(U158&lt;=Hypothèses!$V$12,Hypothèses!$W$12,IF(U158&lt;=Hypothèses!$V$13,Hypothèses!$W$13,IF(U158&lt;=Hypothèses!$V$14,Hypothèses!$W$14,IF(U158&lt;=Hypothèses!$V$15,Hypothèses!$W$15,IF(U158&lt;=Hypothèses!$V$16,Hypothèses!$W$16,IF(U158&lt;=Hypothèses!$V$17,Hypothèses!$W$17,IF(U158&lt;=Hypothèses!$V$18,Hypothèses!$W$18,""))))))))))))</f>
        <v>#DIV/0!</v>
      </c>
      <c r="AP158" s="87" t="e">
        <f t="shared" ca="1" si="317"/>
        <v>#DIV/0!</v>
      </c>
      <c r="AQ158" s="88" t="e">
        <f ca="1">IF(U158&lt;=Hypothèses!$V$7,Hypothèses!$X$7,IF(U158&lt;=Hypothèses!$V$8,Hypothèses!$X$8,IF(U158&lt;=Hypothèses!$V$9,Hypothèses!$X$9,IF(U158&lt;=Hypothèses!$V$10,Hypothèses!$X$10,IF(U158&lt;=Hypothèses!$V$11,Hypothèses!$X$11,IF(U158&lt;=Hypothèses!$V$12,Hypothèses!$X$12,IF(U158&lt;=Hypothèses!$V$13,Hypothèses!$X$13,IF(U158&lt;=Hypothèses!$V$14,Hypothèses!$X$14,IF(U158&lt;=Hypothèses!$V$15,Hypothèses!$X$15,IF(U158&lt;=Hypothèses!$V$16,Hypothèses!$X$16,IF(U158&lt;=Hypothèses!$U$17,Hypothèses!$W$17,IF(U158&lt;=Hypothèses!$U$18,Hypothèses!$W$18,""))))))))))))</f>
        <v>#DIV/0!</v>
      </c>
      <c r="AR158" s="95" t="e">
        <f t="shared" ca="1" si="272"/>
        <v>#DIV/0!</v>
      </c>
      <c r="AS158" s="101">
        <f t="shared" si="324"/>
        <v>0</v>
      </c>
      <c r="AT158" s="91">
        <f t="shared" si="241"/>
        <v>0</v>
      </c>
      <c r="AU158" s="30" t="e">
        <f t="shared" si="302"/>
        <v>#N/A</v>
      </c>
      <c r="AV158" s="30" t="e">
        <f t="shared" si="303"/>
        <v>#N/A</v>
      </c>
      <c r="AW158" s="31" t="e">
        <f>IF(OR(Hypothèses!$B$4=17,Hypothèses!$B$4=18,Hypothèses!$B$4=19,Hypothèses!$B$4=20),
IF($D158="Pressio.",
IF(OR($E158=3,$E158=1,$E158=4),AV158,AU158),
IF($D158="Pénétro.",
IF(OR($E158=3,$E158=1,$E158=4),AV158,AU158))),IF($D158="Pressio.",
IF($E158=3,AV158,AU158),
IF($D158="Pénétro.",
IF($E158=4,AV158,AU158))))</f>
        <v>#N/A</v>
      </c>
      <c r="AX158" s="31">
        <v>0</v>
      </c>
      <c r="AY158" s="102" t="e">
        <f>IF(NDC!$H$10="Oui",(VLOOKUP($B$3,'Coeff EC7'!$T$39:$X$59,2,0)*AW158+VLOOKUP($B$3,'Coeff EC7'!$T$65:$X$85,2,0)*Model0.1T!AX158)/1.5,PI()*AU$12*$Q158*($B158-$B157)*0.15/10+AY157)</f>
        <v>#N/A</v>
      </c>
      <c r="AZ158" s="102" t="e">
        <f>(VLOOKUP($B$3,'Coeff EC7'!$T$39:$X$59,3,0)*AW158+VLOOKUP($B$3,'Coeff EC7'!$T$65:$X$85,3,0)*Model0.1T!AX158)/1.1</f>
        <v>#N/A</v>
      </c>
      <c r="BA158" s="102" t="e">
        <f t="shared" si="273"/>
        <v>#N/A</v>
      </c>
      <c r="BB158" s="102" t="e">
        <f t="shared" si="274"/>
        <v>#N/A</v>
      </c>
      <c r="BC158" s="414" t="e">
        <f>IF(AND(AY158&gt;NDC!$C$63,AZ158&gt;NDC!$C$65,BA158&gt;NDC!$D$73,BB158&gt;NDC!$D$74,$B158&gt;NDC!$H$22-0.1+MIN(3*BC$12,1.5)),0,1)</f>
        <v>#N/A</v>
      </c>
      <c r="BD158" s="86" t="b">
        <f t="shared" si="242"/>
        <v>0</v>
      </c>
      <c r="BE158" s="86">
        <f t="shared" si="275"/>
        <v>0.5</v>
      </c>
      <c r="BF158" s="86">
        <f t="shared" si="243"/>
        <v>0.5</v>
      </c>
      <c r="BG158" s="30" t="e">
        <f t="shared" ca="1" si="276"/>
        <v>#DIV/0!</v>
      </c>
      <c r="BH158" s="85" t="e">
        <f ca="1">IF(AN158&lt;=Hypothèses!$V$7,Hypothèses!$W$7,IF(AN158&lt;=Hypothèses!$V$8,Hypothèses!$W$8,IF(AN158&lt;=Hypothèses!$V$9,Hypothèses!$W$9,IF(AN158&lt;=Hypothèses!$V$10,Hypothèses!$W$10,IF(AN158&lt;=Hypothèses!$V$11,Hypothèses!$W$11,IF(AN158&lt;=Hypothèses!$V$12,Hypothèses!$W$12,IF(AN158&lt;=Hypothèses!$V$13,Hypothèses!$W$13,IF(AN158&lt;=Hypothèses!$V$14,Hypothèses!$W$14,IF(AN158&lt;=Hypothèses!$V$15,Hypothèses!$W$15,IF(AN158&lt;=Hypothèses!$V$16,Hypothèses!$W$16,IF(AN158&lt;=Hypothèses!$V$17,Hypothèses!$W$17,IF(AN158&lt;=Hypothèses!$V$18,Hypothèses!$W$18,""))))))))))))</f>
        <v>#DIV/0!</v>
      </c>
      <c r="BI158" s="87" t="e">
        <f t="shared" ca="1" si="318"/>
        <v>#DIV/0!</v>
      </c>
      <c r="BJ158" s="88" t="e">
        <f ca="1">IF(AN158&lt;=Hypothèses!$V$7,Hypothèses!$X$7,IF(AN158&lt;=Hypothèses!$V$8,Hypothèses!$X$8,IF(AN158&lt;=Hypothèses!$V$9,Hypothèses!$X$9,IF(AN158&lt;=Hypothèses!$V$10,Hypothèses!$X$10,IF(AN158&lt;=Hypothèses!$V$11,Hypothèses!$X$11,IF(AN158&lt;=Hypothèses!$V$12,Hypothèses!$X$12,IF(AN158&lt;=Hypothèses!$V$13,Hypothèses!$X$13,IF(AN158&lt;=Hypothèses!$V$14,Hypothèses!$X$14,IF(AN158&lt;=Hypothèses!$V$15,Hypothèses!$X$15,IF(AN158&lt;=Hypothèses!$V$16,Hypothèses!$X$16,IF(AN158&lt;=Hypothèses!$U$17,Hypothèses!$W$17,IF(AN158&lt;=Hypothèses!$U$18,Hypothèses!$W$18,""))))))))))))</f>
        <v>#DIV/0!</v>
      </c>
      <c r="BK158" s="95" t="e">
        <f t="shared" ca="1" si="277"/>
        <v>#DIV/0!</v>
      </c>
      <c r="BL158" s="101">
        <f t="shared" si="325"/>
        <v>0</v>
      </c>
      <c r="BM158" s="91">
        <f t="shared" si="244"/>
        <v>0</v>
      </c>
      <c r="BN158" s="30" t="e">
        <f t="shared" si="304"/>
        <v>#N/A</v>
      </c>
      <c r="BO158" s="30" t="e">
        <f t="shared" si="305"/>
        <v>#N/A</v>
      </c>
      <c r="BP158" s="31" t="e">
        <f>IF(OR(Hypothèses!$B$4=17,Hypothèses!$B$4=18,Hypothèses!$B$4=19,Hypothèses!$B$4=20),
IF($D158="Pressio.",
IF(OR($E158=3,$E158=1,$E158=4),BO158,BN158),
IF($D158="Pénétro.",
IF(OR($E158=3,$E158=1,$E158=4),BO158,BN158))),IF($D158="Pressio.",
IF($E158=3,BO158,BN158),
IF($D158="Pénétro.",
IF($E158=4,BO158,BN158))))</f>
        <v>#N/A</v>
      </c>
      <c r="BQ158" s="31">
        <v>0</v>
      </c>
      <c r="BR158" s="102" t="e">
        <f>IF(NDC!$H$10="Oui",(VLOOKUP($B$3,'Coeff EC7'!$T$39:$X$59,2,0)*BP158+VLOOKUP($B$3,'Coeff EC7'!$T$65:$X$85,2,0)*Model0.1T!BQ158)/1.5,PI()*BN$12*$Q158*($B158-$B157)*0.15/10+BR157)</f>
        <v>#N/A</v>
      </c>
      <c r="BS158" s="102" t="e">
        <f>(VLOOKUP($B$3,'Coeff EC7'!$T$39:$X$59,3,0)*BP158+VLOOKUP($B$3,'Coeff EC7'!$T$65:$X$85,3,0)*Model0.1T!BQ158)/1.1</f>
        <v>#N/A</v>
      </c>
      <c r="BT158" s="102" t="e">
        <f t="shared" si="278"/>
        <v>#N/A</v>
      </c>
      <c r="BU158" s="102" t="e">
        <f t="shared" si="279"/>
        <v>#N/A</v>
      </c>
      <c r="BV158" s="414" t="e">
        <f>IF(AND(BR158&gt;NDC!$C$63,BS158&gt;NDC!$C$65,BT158&gt;NDC!$D$73,BU158&gt;NDC!$D$74,$B158&gt;NDC!$H$22-0.1+MIN(3*BV$12,1.5)),0,1)</f>
        <v>#N/A</v>
      </c>
      <c r="BW158" s="86" t="b">
        <f t="shared" si="245"/>
        <v>0</v>
      </c>
      <c r="BX158" s="86">
        <f t="shared" si="246"/>
        <v>0.5</v>
      </c>
      <c r="BY158" s="86">
        <f t="shared" si="247"/>
        <v>0.5</v>
      </c>
      <c r="BZ158" s="30" t="e">
        <f t="shared" ca="1" si="280"/>
        <v>#DIV/0!</v>
      </c>
      <c r="CA158" s="85" t="e">
        <f ca="1">IF(BG158&lt;=Hypothèses!$V$7,Hypothèses!$W$7,IF(BG158&lt;=Hypothèses!$V$8,Hypothèses!$W$8,IF(BG158&lt;=Hypothèses!$V$9,Hypothèses!$W$9,IF(BG158&lt;=Hypothèses!$V$10,Hypothèses!$W$10,IF(BG158&lt;=Hypothèses!$V$11,Hypothèses!$W$11,IF(BG158&lt;=Hypothèses!$V$12,Hypothèses!$W$12,IF(BG158&lt;=Hypothèses!$V$13,Hypothèses!$W$13,IF(BG158&lt;=Hypothèses!$V$14,Hypothèses!$W$14,IF(BG158&lt;=Hypothèses!$V$15,Hypothèses!$W$15,IF(BG158&lt;=Hypothèses!$V$16,Hypothèses!$W$16,IF(BG158&lt;=Hypothèses!$V$17,Hypothèses!$W$17,IF(BG158&lt;=Hypothèses!$V$18,Hypothèses!$W$18,""))))))))))))</f>
        <v>#DIV/0!</v>
      </c>
      <c r="CB158" s="87" t="e">
        <f t="shared" ca="1" si="319"/>
        <v>#DIV/0!</v>
      </c>
      <c r="CC158" s="88" t="e">
        <f ca="1">IF(BG158&lt;=Hypothèses!$V$7,Hypothèses!$X$7,IF(BG158&lt;=Hypothèses!$V$8,Hypothèses!$X$8,IF(BG158&lt;=Hypothèses!$V$9,Hypothèses!$X$9,IF(BG158&lt;=Hypothèses!$V$10,Hypothèses!$X$10,IF(BG158&lt;=Hypothèses!$V$11,Hypothèses!$X$11,IF(BG158&lt;=Hypothèses!$V$12,Hypothèses!$X$12,IF(BG158&lt;=Hypothèses!$V$13,Hypothèses!$X$13,IF(BG158&lt;=Hypothèses!$V$14,Hypothèses!$X$14,IF(BG158&lt;=Hypothèses!$V$15,Hypothèses!$X$15,IF(BG158&lt;=Hypothèses!$V$16,Hypothèses!$X$16,IF(BG158&lt;=Hypothèses!$U$17,Hypothèses!$W$17,IF(BG158&lt;=Hypothèses!$U$18,Hypothèses!$W$18,""))))))))))))</f>
        <v>#DIV/0!</v>
      </c>
      <c r="CD158" s="95" t="e">
        <f t="shared" ca="1" si="281"/>
        <v>#DIV/0!</v>
      </c>
      <c r="CE158" s="101">
        <f t="shared" si="326"/>
        <v>0</v>
      </c>
      <c r="CF158" s="91">
        <f t="shared" si="248"/>
        <v>0</v>
      </c>
      <c r="CG158" s="30" t="e">
        <f t="shared" si="306"/>
        <v>#N/A</v>
      </c>
      <c r="CH158" s="30" t="e">
        <f t="shared" si="307"/>
        <v>#N/A</v>
      </c>
      <c r="CI158" s="31" t="e">
        <f>IF(OR(Hypothèses!$B$4=17,Hypothèses!$B$4=18,Hypothèses!$B$4=19,Hypothèses!$B$4=20),
IF($D158="Pressio.",
IF(OR($E158=3,$E158=1,$E158=4),CH158,CG158),
IF($D158="Pénétro.",
IF(OR($E158=3,$E158=1,$E158=4),CH158,CG158))),IF($D158="Pressio.",
IF($E158=3,CH158,CG158),
IF($D158="Pénétro.",
IF($E158=4,CH158,CG158))))</f>
        <v>#N/A</v>
      </c>
      <c r="CJ158" s="31">
        <v>0</v>
      </c>
      <c r="CK158" s="102" t="e">
        <f>IF(NDC!$H$10="Oui",(VLOOKUP($B$3,'Coeff EC7'!$T$39:$X$59,2,0)*CI158+VLOOKUP($B$3,'Coeff EC7'!$T$65:$X$85,2,0)*Model0.1T!CJ158)/1.5,PI()*CG$12*$Q158*($B158-$B157)*0.15/10+CK157)</f>
        <v>#N/A</v>
      </c>
      <c r="CL158" s="102" t="e">
        <f>(VLOOKUP($B$3,'Coeff EC7'!$T$39:$X$59,3,0)*CI158+VLOOKUP($B$3,'Coeff EC7'!$T$65:$X$85,3,0)*Model0.1T!CJ158)/1.1</f>
        <v>#N/A</v>
      </c>
      <c r="CM158" s="102" t="e">
        <f t="shared" si="282"/>
        <v>#N/A</v>
      </c>
      <c r="CN158" s="102" t="e">
        <f t="shared" si="283"/>
        <v>#N/A</v>
      </c>
      <c r="CO158" s="414" t="e">
        <f>IF(AND(CK158&gt;NDC!$C$63,CL158&gt;NDC!$C$65,CM158&gt;NDC!$D$73,CN158&gt;NDC!$D$74,$B158&gt;NDC!$H$22-0.1+MIN(3*CO$12,1.5)),0,1)</f>
        <v>#N/A</v>
      </c>
      <c r="CP158" s="86" t="b">
        <f t="shared" si="249"/>
        <v>0</v>
      </c>
      <c r="CQ158" s="86">
        <f t="shared" si="250"/>
        <v>0.5</v>
      </c>
      <c r="CR158" s="86">
        <f t="shared" si="251"/>
        <v>0.5</v>
      </c>
      <c r="CS158" s="30" t="e">
        <f t="shared" ca="1" si="284"/>
        <v>#DIV/0!</v>
      </c>
      <c r="CT158" s="85" t="e">
        <f ca="1">IF(BZ158&lt;=Hypothèses!$V$7,Hypothèses!$W$7,IF(BZ158&lt;=Hypothèses!$V$8,Hypothèses!$W$8,IF(BZ158&lt;=Hypothèses!$V$9,Hypothèses!$W$9,IF(BZ158&lt;=Hypothèses!$V$10,Hypothèses!$W$10,IF(BZ158&lt;=Hypothèses!$V$11,Hypothèses!$W$11,IF(BZ158&lt;=Hypothèses!$V$12,Hypothèses!$W$12,IF(BZ158&lt;=Hypothèses!$V$13,Hypothèses!$W$13,IF(BZ158&lt;=Hypothèses!$V$14,Hypothèses!$W$14,IF(BZ158&lt;=Hypothèses!$V$15,Hypothèses!$W$15,IF(BZ158&lt;=Hypothèses!$V$16,Hypothèses!$W$16,IF(BZ158&lt;=Hypothèses!$V$17,Hypothèses!$W$17,IF(BZ158&lt;=Hypothèses!$V$18,Hypothèses!$W$18,""))))))))))))</f>
        <v>#DIV/0!</v>
      </c>
      <c r="CU158" s="87" t="e">
        <f t="shared" ca="1" si="320"/>
        <v>#DIV/0!</v>
      </c>
      <c r="CV158" s="88" t="e">
        <f ca="1">IF(BZ158&lt;=Hypothèses!$V$7,Hypothèses!$X$7,IF(BZ158&lt;=Hypothèses!$V$8,Hypothèses!$X$8,IF(BZ158&lt;=Hypothèses!$V$9,Hypothèses!$X$9,IF(BZ158&lt;=Hypothèses!$V$10,Hypothèses!$X$10,IF(BZ158&lt;=Hypothèses!$V$11,Hypothèses!$X$11,IF(BZ158&lt;=Hypothèses!$V$12,Hypothèses!$X$12,IF(BZ158&lt;=Hypothèses!$V$13,Hypothèses!$X$13,IF(BZ158&lt;=Hypothèses!$V$14,Hypothèses!$X$14,IF(BZ158&lt;=Hypothèses!$V$15,Hypothèses!$X$15,IF(BZ158&lt;=Hypothèses!$V$16,Hypothèses!$X$16,IF(BZ158&lt;=Hypothèses!$U$17,Hypothèses!$W$17,IF(BZ158&lt;=Hypothèses!$U$18,Hypothèses!$W$18,""))))))))))))</f>
        <v>#DIV/0!</v>
      </c>
      <c r="CW158" s="95" t="e">
        <f t="shared" ca="1" si="285"/>
        <v>#DIV/0!</v>
      </c>
      <c r="CX158" s="101">
        <f t="shared" si="327"/>
        <v>0</v>
      </c>
      <c r="CY158" s="91">
        <f t="shared" si="252"/>
        <v>0</v>
      </c>
      <c r="CZ158" s="30" t="e">
        <f t="shared" si="308"/>
        <v>#N/A</v>
      </c>
      <c r="DA158" s="30" t="e">
        <f t="shared" si="309"/>
        <v>#N/A</v>
      </c>
      <c r="DB158" s="31" t="e">
        <f>IF(OR(Hypothèses!$B$4=17,Hypothèses!$B$4=18,Hypothèses!$B$4=19,Hypothèses!$B$4=20),
IF($D158="Pressio.",
IF(OR($E158=3,$E158=1,$E158=4),DA158,CZ158),
IF($D158="Pénétro.",
IF(OR($E158=3,$E158=1,$E158=4),DA158,CZ158))),IF($D158="Pressio.",
IF($E158=3,DA158,CZ158),
IF($D158="Pénétro.",
IF($E158=4,DA158,CZ158))))</f>
        <v>#N/A</v>
      </c>
      <c r="DC158" s="31">
        <v>0</v>
      </c>
      <c r="DD158" s="102" t="e">
        <f>IF(NDC!$H$10="Oui",(VLOOKUP($B$3,'Coeff EC7'!$T$39:$X$59,2,0)*DB158+VLOOKUP($B$3,'Coeff EC7'!$T$65:$X$85,2,0)*Model0.1T!DC158)/1.5,PI()*CZ$12*$Q158*($B158-$B157)*0.15/10+DD157)</f>
        <v>#N/A</v>
      </c>
      <c r="DE158" s="102" t="e">
        <f>(VLOOKUP($B$3,'Coeff EC7'!$T$39:$X$59,3,0)*DB158+VLOOKUP($B$3,'Coeff EC7'!$T$65:$X$85,3,0)*Model0.1T!DC158)/1.1</f>
        <v>#N/A</v>
      </c>
      <c r="DF158" s="102" t="e">
        <f t="shared" si="286"/>
        <v>#N/A</v>
      </c>
      <c r="DG158" s="102" t="e">
        <f t="shared" si="287"/>
        <v>#N/A</v>
      </c>
      <c r="DH158" s="414" t="e">
        <f>IF(AND(DD158&gt;NDC!$C$63,DE158&gt;NDC!$C$65,DF158&gt;NDC!$D$73,DG158&gt;NDC!$D$74,$B158&gt;NDC!$H$22-0.1+MIN(3*DH$12,1.5)),0,1)</f>
        <v>#N/A</v>
      </c>
      <c r="DI158" s="86" t="b">
        <f t="shared" si="253"/>
        <v>0</v>
      </c>
      <c r="DJ158" s="86">
        <f t="shared" si="254"/>
        <v>0.5</v>
      </c>
      <c r="DK158" s="86">
        <f t="shared" si="255"/>
        <v>0.5</v>
      </c>
      <c r="DL158" s="30" t="e">
        <f t="shared" ca="1" si="288"/>
        <v>#DIV/0!</v>
      </c>
      <c r="DM158" s="85" t="e">
        <f ca="1">IF(CS158&lt;=Hypothèses!$V$7,Hypothèses!$W$7,IF(CS158&lt;=Hypothèses!$V$8,Hypothèses!$W$8,IF(CS158&lt;=Hypothèses!$V$9,Hypothèses!$W$9,IF(CS158&lt;=Hypothèses!$V$10,Hypothèses!$W$10,IF(CS158&lt;=Hypothèses!$V$11,Hypothèses!$W$11,IF(CS158&lt;=Hypothèses!$V$12,Hypothèses!$W$12,IF(CS158&lt;=Hypothèses!$V$13,Hypothèses!$W$13,IF(CS158&lt;=Hypothèses!$V$14,Hypothèses!$W$14,IF(CS158&lt;=Hypothèses!$V$15,Hypothèses!$W$15,IF(CS158&lt;=Hypothèses!$V$16,Hypothèses!$W$16,IF(CS158&lt;=Hypothèses!$V$17,Hypothèses!$W$17,IF(CS158&lt;=Hypothèses!$V$18,Hypothèses!$W$18,""))))))))))))</f>
        <v>#DIV/0!</v>
      </c>
      <c r="DN158" s="87" t="e">
        <f t="shared" ca="1" si="321"/>
        <v>#DIV/0!</v>
      </c>
      <c r="DO158" s="88" t="e">
        <f ca="1">IF(CS158&lt;=Hypothèses!$V$7,Hypothèses!$X$7,IF(CS158&lt;=Hypothèses!$V$8,Hypothèses!$X$8,IF(CS158&lt;=Hypothèses!$V$9,Hypothèses!$X$9,IF(CS158&lt;=Hypothèses!$V$10,Hypothèses!$X$10,IF(CS158&lt;=Hypothèses!$V$11,Hypothèses!$X$11,IF(CS158&lt;=Hypothèses!$V$12,Hypothèses!$X$12,IF(CS158&lt;=Hypothèses!$V$13,Hypothèses!$X$13,IF(CS158&lt;=Hypothèses!$V$14,Hypothèses!$X$14,IF(CS158&lt;=Hypothèses!$V$15,Hypothèses!$X$15,IF(CS158&lt;=Hypothèses!$V$16,Hypothèses!$X$16,IF(CS158&lt;=Hypothèses!$U$17,Hypothèses!$W$17,IF(CS158&lt;=Hypothèses!$U$18,Hypothèses!$W$18,""))))))))))))</f>
        <v>#DIV/0!</v>
      </c>
      <c r="DP158" s="95" t="e">
        <f t="shared" ca="1" si="289"/>
        <v>#DIV/0!</v>
      </c>
      <c r="DQ158" s="101">
        <f t="shared" si="328"/>
        <v>0</v>
      </c>
      <c r="DR158" s="91">
        <f t="shared" si="256"/>
        <v>0</v>
      </c>
      <c r="DS158" s="30" t="e">
        <f t="shared" si="310"/>
        <v>#N/A</v>
      </c>
      <c r="DT158" s="30" t="e">
        <f t="shared" si="311"/>
        <v>#N/A</v>
      </c>
      <c r="DU158" s="31" t="e">
        <f>IF(OR(Hypothèses!$B$4=17,Hypothèses!$B$4=18,Hypothèses!$B$4=19,Hypothèses!$B$4=20),
IF($D158="Pressio.",
IF(OR($E158=3,$E158=1,$E158=4),DT158,DS158),
IF($D158="Pénétro.",
IF(OR($E158=3,$E158=1,$E158=4),DT158,DS158))),IF($D158="Pressio.",
IF($E158=3,DT158,DS158),
IF($D158="Pénétro.",
IF($E158=4,DT158,DS158))))</f>
        <v>#N/A</v>
      </c>
      <c r="DV158" s="31">
        <v>0</v>
      </c>
      <c r="DW158" s="102" t="e">
        <f>IF(NDC!$H$10="Oui",(VLOOKUP($B$3,'Coeff EC7'!$T$39:$X$59,2,0)*DU158+VLOOKUP($B$3,'Coeff EC7'!$T$65:$X$85,2,0)*Model0.1T!DV158)/1.5,PI()*DS$12*$Q158*($B158-$B157)*0.15/10+DW157)</f>
        <v>#N/A</v>
      </c>
      <c r="DX158" s="102" t="e">
        <f>(VLOOKUP($B$3,'Coeff EC7'!$T$39:$X$59,3,0)*DU158+VLOOKUP($B$3,'Coeff EC7'!$T$65:$X$85,3,0)*Model0.1T!DV158)/1.1</f>
        <v>#N/A</v>
      </c>
      <c r="DY158" s="102" t="e">
        <f t="shared" si="290"/>
        <v>#N/A</v>
      </c>
      <c r="DZ158" s="102" t="e">
        <f t="shared" si="291"/>
        <v>#N/A</v>
      </c>
      <c r="EA158" s="414" t="e">
        <f>IF(AND(DW158&gt;NDC!$C$63,DX158&gt;NDC!$C$65,DY158&gt;NDC!$D$73,DZ158&gt;NDC!$D$74,$B158&gt;NDC!$H$22-0.1+MIN(3*EA$12,1.5)),0,1)</f>
        <v>#N/A</v>
      </c>
      <c r="EB158" s="86" t="b">
        <f t="shared" si="257"/>
        <v>0</v>
      </c>
      <c r="EC158" s="418">
        <f t="shared" si="258"/>
        <v>0.51</v>
      </c>
      <c r="ED158" s="86">
        <f t="shared" si="259"/>
        <v>0.51</v>
      </c>
      <c r="EE158" s="30" t="e">
        <f t="shared" ca="1" si="292"/>
        <v>#DIV/0!</v>
      </c>
      <c r="EF158" s="85" t="e">
        <f ca="1">IF(DL158&lt;=Hypothèses!$V$7,Hypothèses!$W$7,IF(DL158&lt;=Hypothèses!$V$8,Hypothèses!$W$8,IF(DL158&lt;=Hypothèses!$V$9,Hypothèses!$W$9,IF(DL158&lt;=Hypothèses!$V$10,Hypothèses!$W$10,IF(DL158&lt;=Hypothèses!$V$11,Hypothèses!$W$11,IF(DL158&lt;=Hypothèses!$V$12,Hypothèses!$W$12,IF(DL158&lt;=Hypothèses!$V$13,Hypothèses!$W$13,IF(DL158&lt;=Hypothèses!$V$14,Hypothèses!$W$14,IF(DL158&lt;=Hypothèses!$V$15,Hypothèses!$W$15,IF(DL158&lt;=Hypothèses!$V$16,Hypothèses!$W$16,IF(DL158&lt;=Hypothèses!$V$17,Hypothèses!$W$17,IF(DL158&lt;=Hypothèses!$V$18,Hypothèses!$W$18,""))))))))))))</f>
        <v>#DIV/0!</v>
      </c>
      <c r="EG158" s="87" t="e">
        <f t="shared" ca="1" si="322"/>
        <v>#DIV/0!</v>
      </c>
      <c r="EH158" s="88" t="e">
        <f ca="1">IF(DL158&lt;=Hypothèses!$V$7,Hypothèses!$X$7,IF(DL158&lt;=Hypothèses!$V$8,Hypothèses!$X$8,IF(DL158&lt;=Hypothèses!$V$9,Hypothèses!$X$9,IF(DL158&lt;=Hypothèses!$V$10,Hypothèses!$X$10,IF(DL158&lt;=Hypothèses!$V$11,Hypothèses!$X$11,IF(DL158&lt;=Hypothèses!$V$12,Hypothèses!$X$12,IF(DL158&lt;=Hypothèses!$V$13,Hypothèses!$X$13,IF(DL158&lt;=Hypothèses!$V$14,Hypothèses!$X$14,IF(DL158&lt;=Hypothèses!$V$15,Hypothèses!$X$15,IF(DL158&lt;=Hypothèses!$V$16,Hypothèses!$X$16,IF(DL158&lt;=Hypothèses!$U$17,Hypothèses!$W$17,IF(DL158&lt;=Hypothèses!$U$18,Hypothèses!$W$18,""))))))))))))</f>
        <v>#DIV/0!</v>
      </c>
      <c r="EI158" s="95" t="e">
        <f t="shared" ca="1" si="293"/>
        <v>#DIV/0!</v>
      </c>
      <c r="EJ158" s="101">
        <f t="shared" si="329"/>
        <v>0</v>
      </c>
      <c r="EK158" s="91">
        <f t="shared" si="260"/>
        <v>0</v>
      </c>
      <c r="EL158" s="30" t="e">
        <f t="shared" si="312"/>
        <v>#N/A</v>
      </c>
      <c r="EM158" s="30" t="e">
        <f t="shared" si="313"/>
        <v>#N/A</v>
      </c>
      <c r="EN158" s="31" t="e">
        <f>IF(OR(Hypothèses!$B$4=17,Hypothèses!$B$4=18,Hypothèses!$B$4=19,Hypothèses!$B$4=20),
IF($D158="Pressio.",
IF(OR($E158=3,$E158=1,$E158=4),EM158,EL158),
IF($D158="Pénétro.",
IF(OR($E158=3,$E158=1,$E158=4),EM158,EL158))),IF($D158="Pressio.",
IF($E158=3,EM158,EL158),
IF($D158="Pénétro.",
IF($E158=4,EM158,EL158))))</f>
        <v>#N/A</v>
      </c>
      <c r="EO158" s="31">
        <v>0</v>
      </c>
      <c r="EP158" s="102" t="e">
        <f>IF(NDC!$H$10="Oui",(VLOOKUP($B$3,'Coeff EC7'!$T$39:$X$59,2,0)*EN158+VLOOKUP($B$3,'Coeff EC7'!$T$65:$X$85,2,0)*Model0.1T!EO158)/1.5,PI()*EL$12*$Q158*($B158-$B157)*0.15/10+EP157)</f>
        <v>#N/A</v>
      </c>
      <c r="EQ158" s="102" t="e">
        <f>(VLOOKUP($B$3,'Coeff EC7'!$T$39:$X$59,3,0)*EN158+VLOOKUP($B$3,'Coeff EC7'!$T$65:$X$85,3,0)*Model0.1T!EO158)/1.1</f>
        <v>#N/A</v>
      </c>
      <c r="ER158" s="102" t="e">
        <f t="shared" si="294"/>
        <v>#N/A</v>
      </c>
      <c r="ES158" s="102" t="e">
        <f t="shared" si="295"/>
        <v>#N/A</v>
      </c>
      <c r="ET158" s="414" t="e">
        <f>IF(AND(EP158&gt;NDC!$C$63,EQ158&gt;NDC!$C$65,ER158&gt;NDC!$D$73,ES158&gt;NDC!$D$74,$B158&gt;NDC!$H$22-0.1+MIN(3*ET$12,1.5)),0,1)</f>
        <v>#N/A</v>
      </c>
      <c r="EU158" s="86" t="b">
        <f t="shared" si="261"/>
        <v>0</v>
      </c>
      <c r="EV158" s="86">
        <f t="shared" si="262"/>
        <v>0.61</v>
      </c>
      <c r="EW158" s="86">
        <f t="shared" si="263"/>
        <v>0.61</v>
      </c>
      <c r="EX158" s="30" t="e">
        <f t="shared" ca="1" si="296"/>
        <v>#DIV/0!</v>
      </c>
      <c r="EY158" s="85" t="e">
        <f ca="1">IF(EE158&lt;=Hypothèses!$V$7,Hypothèses!$W$7,IF(EE158&lt;=Hypothèses!$V$8,Hypothèses!$W$8,IF(EE158&lt;=Hypothèses!$V$9,Hypothèses!$W$9,IF(EE158&lt;=Hypothèses!$V$10,Hypothèses!$W$10,IF(EE158&lt;=Hypothèses!$V$11,Hypothèses!$W$11,IF(EE158&lt;=Hypothèses!$V$12,Hypothèses!$W$12,IF(EE158&lt;=Hypothèses!$V$13,Hypothèses!$W$13,IF(EE158&lt;=Hypothèses!$V$14,Hypothèses!$W$14,IF(EE158&lt;=Hypothèses!$V$15,Hypothèses!$W$15,IF(EE158&lt;=Hypothèses!$V$16,Hypothèses!$W$16,IF(EE158&lt;=Hypothèses!$V$17,Hypothèses!$W$17,IF(EE158&lt;=Hypothèses!$V$18,Hypothèses!$W$18,""))))))))))))</f>
        <v>#DIV/0!</v>
      </c>
      <c r="EZ158" s="87" t="e">
        <f t="shared" ca="1" si="323"/>
        <v>#DIV/0!</v>
      </c>
      <c r="FA158" s="88" t="e">
        <f ca="1">IF(EE158&lt;=Hypothèses!$V$7,Hypothèses!$X$7,IF(EE158&lt;=Hypothèses!$V$8,Hypothèses!$X$8,IF(EE158&lt;=Hypothèses!$V$9,Hypothèses!$X$9,IF(EE158&lt;=Hypothèses!$V$10,Hypothèses!$X$10,IF(EE158&lt;=Hypothèses!$V$11,Hypothèses!$X$11,IF(EE158&lt;=Hypothèses!$V$12,Hypothèses!$X$12,IF(EE158&lt;=Hypothèses!$V$13,Hypothèses!$X$13,IF(EE158&lt;=Hypothèses!$V$14,Hypothèses!$X$14,IF(EE158&lt;=Hypothèses!$V$15,Hypothèses!$X$15,IF(EE158&lt;=Hypothèses!$V$16,Hypothèses!$X$16,IF(EE158&lt;=Hypothèses!$U$17,Hypothèses!$W$17,IF(EE158&lt;=Hypothèses!$U$18,Hypothèses!$W$18,""))))))))))))</f>
        <v>#DIV/0!</v>
      </c>
      <c r="FB158" s="95" t="e">
        <f t="shared" ca="1" si="297"/>
        <v>#DIV/0!</v>
      </c>
      <c r="FC158" s="101">
        <f t="shared" si="330"/>
        <v>0</v>
      </c>
      <c r="FD158" s="91">
        <f t="shared" si="264"/>
        <v>0</v>
      </c>
      <c r="FE158" s="30" t="e">
        <f t="shared" si="314"/>
        <v>#N/A</v>
      </c>
      <c r="FF158" s="30" t="e">
        <f t="shared" si="315"/>
        <v>#N/A</v>
      </c>
      <c r="FG158" s="31" t="e">
        <f>IF(OR(Hypothèses!$B$4=17,Hypothèses!$B$4=18,Hypothèses!$B$4=19,Hypothèses!$B$4=20),
IF($D158="Pressio.",
IF(OR($E158=3,$E158=1,$E158=4),FF158,FE158),
IF($D158="Pénétro.",
IF(OR($E158=3,$E158=1,$E158=4),FF158,FE158))),IF($D158="Pressio.",
IF($E158=3,FF158,FE158),
IF($D158="Pénétro.",
IF($E158=4,FF158,FE158))))</f>
        <v>#N/A</v>
      </c>
      <c r="FH158" s="31">
        <v>0</v>
      </c>
      <c r="FI158" s="102" t="e">
        <f>IF(NDC!$H$10="Oui",(VLOOKUP($B$3,'Coeff EC7'!$T$39:$X$59,2,0)*FG158+VLOOKUP($B$3,'Coeff EC7'!$T$65:$X$85,2,0)*Model0.1T!FH158)/1.5,PI()*FE$12*$Q158*($B158-$B157)*0.15/10+FI157)</f>
        <v>#N/A</v>
      </c>
      <c r="FJ158" s="102" t="e">
        <f>(VLOOKUP($B$3,'Coeff EC7'!$T$39:$X$59,3,0)*FG158+VLOOKUP($B$3,'Coeff EC7'!$T$65:$X$85,3,0)*Model0.1T!FH158)/1.1</f>
        <v>#N/A</v>
      </c>
      <c r="FK158" s="102" t="e">
        <f t="shared" si="298"/>
        <v>#N/A</v>
      </c>
      <c r="FL158" s="102" t="e">
        <f t="shared" si="299"/>
        <v>#N/A</v>
      </c>
      <c r="FM158" s="414" t="e">
        <f>IF(AND(FI158&gt;NDC!$C$63,FJ158&gt;NDC!$C$65,FK158&gt;NDC!$D$73,FL158&gt;NDC!$D$74,$B158&gt;NDC!$H$22-0.1+MIN(3*FM$12,1.5)),0,1)</f>
        <v>#N/A</v>
      </c>
    </row>
    <row r="159" spans="1:169">
      <c r="A159" s="96">
        <f t="shared" si="265"/>
        <v>85.40000000000083</v>
      </c>
      <c r="B159" s="97">
        <v>14.6</v>
      </c>
      <c r="C159" s="81">
        <f>IF(B159&lt;=Hypothèses!$C$7,Hypothèses!$A$7,IF(B159&lt;=Hypothèses!$C$8,Hypothèses!$A$8,IF(B159&lt;=Hypothèses!$C$9,Hypothèses!$A$9,IF(B159&lt;=Hypothèses!$C$10,Hypothèses!$A$10,IF(B159&lt;=Hypothèses!$C$11,Hypothèses!$A$11,IF(B159&lt;=Hypothèses!$C$12,Hypothèses!$A$12,IF(B159&lt;=Hypothèses!$C$13,Hypothèses!$A$13,IF(B159&lt;=Hypothèses!$C$14,Hypothèses!$A$14,IF(B159&lt;=Hypothèses!$C$15,Hypothèses!$A$15,IF(B159&lt;=Hypothèses!$C$16,Hypothèses!$A$16,IF(B159&lt;=Hypothèses!$C$17,Hypothèses!$A$17,IF(B159&lt;=Hypothèses!$C$18,Hypothèses!$A$18,C158))))))))))))</f>
        <v>11</v>
      </c>
      <c r="D159" s="82" t="str">
        <f>IF(B159&lt;=Hypothèses!$C$7,Hypothèses!$R$7,IF(B159&lt;=Hypothèses!$C$8,Hypothèses!$R$8,IF(B159&lt;=Hypothèses!$C$9,Hypothèses!$R$9,IF(B159&lt;=Hypothèses!$C$10,Hypothèses!$R$10,IF(B159&lt;=Hypothèses!$C$11,Hypothèses!$R$11,IF(B159&lt;=Hypothèses!$C$12,Hypothèses!$R$12,IF(B159&lt;=Hypothèses!$C$13,Hypothèses!$R$13,IF(B159&lt;=Hypothèses!$C$14,Hypothèses!$R$14,IF(B159&lt;=Hypothèses!$C$15,Hypothèses!$R$15,IF(B159&lt;=Hypothèses!$C$16,Hypothèses!$R$16,IF(B159&lt;=Hypothèses!$C$17,Hypothèses!$R$17,IF(B159&lt;=Hypothèses!$C$18,Hypothèses!$R$18,D158))))))))))))</f>
        <v>Pressio.</v>
      </c>
      <c r="E159" s="82" t="e">
        <f>IF(B159&lt;=Hypothèses!$C$7,Hypothèses!$G$7,IF(B159&lt;=Hypothèses!$C$8,Hypothèses!$G$8,IF(B159&lt;=Hypothèses!$C$9,Hypothèses!$G$9,IF(B159&lt;=Hypothèses!$C$10,Hypothèses!$G$10,IF(B159&lt;=Hypothèses!$C$11,Hypothèses!$G$11,IF(B159&lt;=Hypothèses!$C$12,Hypothèses!$G$12,IF(B159&lt;=Hypothèses!$C$13,Hypothèses!$G$13,IF(B159&lt;=Hypothèses!$C$14,Hypothèses!$G$14,IF(B159&lt;=Hypothèses!$C$15,Hypothèses!$G$15,IF(B159&lt;=Hypothèses!$C$16,Hypothèses!$G$16,IF(B159&lt;=Hypothèses!$C$17,Hypothèses!$G$17,IF(B159&lt;=Hypothèses!$C$18,Hypothèses!$G$18,E158))))))))))))</f>
        <v>#N/A</v>
      </c>
      <c r="F159" s="82" t="str">
        <f>IF(B159&lt;=Hypothèses!$C$7,Hypothèses!$F$7,IF(B159&lt;=Hypothèses!$C$8,Hypothèses!$F$8,IF(B159&lt;=Hypothèses!$C$9,Hypothèses!$F$9,IF(B159&lt;=Hypothèses!$C$10,Hypothèses!$F$10,IF(B159&lt;=Hypothèses!$C$11,Hypothèses!$F$11,IF(B159&lt;=Hypothèses!$C$12,Hypothèses!$F$12,IF(B159&lt;=Hypothèses!$C$13,Hypothèses!$F$13,IF(B159&lt;=Hypothèses!$C$14,Hypothèses!$F$14,IF(B159&lt;=Hypothèses!$C$15,Hypothèses!$F$15,IF(B159&lt;=Hypothèses!$C$16,Hypothèses!$F$16,IF(B159&lt;=Hypothèses!$C$17,Hypothèses!$F$17,IF(B159&lt;=Hypothèses!$C$18,Hypothèses!$F$18,F158))))))))))))</f>
        <v/>
      </c>
      <c r="G159" s="91">
        <f t="array" ref="G159">INDEX('Coeff EC7'!$U$7:$X$27,
MATCH(Model0.1T!$B$3,'Coeff EC7'!$T$7:$T$27,0),
MATCH(Model0.1T!$D159&amp;Model0.1T!$B$4,
'Coeff EC7'!$U$6:$X$6&amp;
'Coeff EC7'!$U$5:$X$5,0))</f>
        <v>1.4</v>
      </c>
      <c r="H159" s="91">
        <f t="array" ref="H159">INDEX('Coeff EC7'!$Y$7:$AB$27,
MATCH(Model0.1T!$B$3,'Coeff EC7'!$T$7:$T$27,0),
MATCH(Model0.1T!$D159&amp;Model0.1T!$B$4,
'Coeff EC7'!$Y$6:$AB$6&amp;
'Coeff EC7'!$Y$5:$AB$5,0))</f>
        <v>1.7</v>
      </c>
      <c r="I159" s="83">
        <v>0</v>
      </c>
      <c r="J159" s="91" t="e">
        <f t="array" ref="J159">INDEX('Coeff EC7'!$D$33:$Q$33,1,MATCH(D159&amp;E159,'Coeff EC7'!$D$31:$Q$31&amp;'Coeff EC7'!$D$32:$Q$32,0))</f>
        <v>#N/A</v>
      </c>
      <c r="K159" s="91" t="e">
        <f t="array" ref="K159">INDEX('Coeff EC7'!$D$34:$Q$34,1,MATCH(D159&amp;E159,'Coeff EC7'!$D$31:$Q$31&amp;'Coeff EC7'!$D$32:$Q$32,0))</f>
        <v>#N/A</v>
      </c>
      <c r="L159" s="91" t="e">
        <f t="array" ref="L159">INDEX('Coeff EC7'!$D$35:$Q$35,1,MATCH(D159&amp;E159,'Coeff EC7'!$D$31:$Q$31&amp;'Coeff EC7'!$D$32:$Q$32,0))</f>
        <v>#N/A</v>
      </c>
      <c r="M159" s="98" t="e">
        <f t="shared" si="231"/>
        <v>#N/A</v>
      </c>
      <c r="N159" s="99" t="e">
        <f t="array" ref="N159">INDEX('Coeff EC7'!$D$7:$Q$27,MATCH($B$3,'Coeff EC7'!$C$7:$C$27,0),MATCH(D159&amp;E159,'Coeff EC7'!$D$5:$Q$5&amp;'Coeff EC7'!$D$6:$Q$6,0))</f>
        <v>#N/A</v>
      </c>
      <c r="O159" s="99" t="e">
        <f t="array" ref="O159">INDEX('Coeff EC7'!$D$41:$Q$61,MATCH($B$3,'Coeff EC7'!$C$41:$C$61,0),MATCH(D159&amp;E159,'Coeff EC7'!$D$39:$Q$39&amp;'Coeff EC7'!$D$40:$Q$40,0))</f>
        <v>#N/A</v>
      </c>
      <c r="P159" s="30" t="e">
        <f t="shared" si="266"/>
        <v>#N/A</v>
      </c>
      <c r="Q159" s="100" t="e">
        <f t="shared" si="233"/>
        <v>#N/A</v>
      </c>
      <c r="R159" s="86" t="b">
        <f t="shared" si="234"/>
        <v>0</v>
      </c>
      <c r="S159" s="86">
        <f t="shared" si="232"/>
        <v>0.5</v>
      </c>
      <c r="T159" s="86">
        <f t="shared" si="235"/>
        <v>0.5</v>
      </c>
      <c r="U159" s="30" t="e">
        <f t="shared" ca="1" si="267"/>
        <v>#DIV/0!</v>
      </c>
      <c r="V159" s="85" t="str">
        <f>IF(B159&lt;=Hypothèses!$V$7,Hypothèses!$W$7,IF(B159&lt;=Hypothèses!$V$8,Hypothèses!$W$8,IF(B159&lt;=Hypothèses!$V$9,Hypothèses!$W$9,IF(B159&lt;=Hypothèses!$V$10,Hypothèses!$W$10,IF(B159&lt;=Hypothèses!$V$11,Hypothèses!$W$11,IF(B159&lt;=Hypothèses!$V$12,Hypothèses!$W$12,IF(B159&lt;=Hypothèses!$V$13,Hypothèses!$W$13,IF(B159&lt;=Hypothèses!$V$14,Hypothèses!$W$14,IF(B159&lt;=Hypothèses!$V$15,Hypothèses!$W$15,IF(B159&lt;=Hypothèses!$V$16,Hypothèses!$W$16,IF(B159&lt;=Hypothèses!$V$17,Hypothèses!$W$17,IF(B159&lt;=Hypothèses!$V$18,Hypothèses!$W$18,""))))))))))))</f>
        <v/>
      </c>
      <c r="W159" s="87" t="e">
        <f t="shared" ca="1" si="316"/>
        <v>#DIV/0!</v>
      </c>
      <c r="X159" s="88" t="str">
        <f>IF(B159&lt;=Hypothèses!$V$7,Hypothèses!$X$7,IF(B159&lt;=Hypothèses!$V$8,Hypothèses!$X$8,IF(B159&lt;=Hypothèses!$V$9,Hypothèses!$X$9,IF(B159&lt;=Hypothèses!$V$10,Hypothèses!$X$10,IF(B159&lt;=Hypothèses!$V$11,Hypothèses!$X$11,IF(B159&lt;=Hypothèses!$V$12,Hypothèses!$X$12,IF(B159&lt;=Hypothèses!$V$13,Hypothèses!$X$13,IF(B159&lt;=Hypothèses!$V$14,Hypothèses!$X$14,IF(B159&lt;=Hypothèses!$V$15,Hypothèses!$X$15,IF(B159&lt;=Hypothèses!$V$16,Hypothèses!$X$16,IF(B159&lt;=Hypothèses!$U$17,Hypothèses!$W$17,IF(B159&lt;=Hypothèses!$U$18,Hypothèses!$W$18,""))))))))))))</f>
        <v/>
      </c>
      <c r="Y159" s="95" t="e">
        <f t="shared" ca="1" si="236"/>
        <v>#DIV/0!</v>
      </c>
      <c r="Z159" s="101">
        <f t="shared" si="237"/>
        <v>0</v>
      </c>
      <c r="AA159" s="91">
        <f t="shared" si="238"/>
        <v>0</v>
      </c>
      <c r="AB159" s="30" t="e">
        <f t="shared" si="300"/>
        <v>#N/A</v>
      </c>
      <c r="AC159" s="30" t="e">
        <f t="shared" si="301"/>
        <v>#N/A</v>
      </c>
      <c r="AD159" s="31" t="e">
        <f>IF(OR(Hypothèses!$B$4=17,Hypothèses!$B$4=18,Hypothèses!$B$4=19,Hypothèses!$B$4=20),
IF($D159="Pressio.",
IF(OR($E159=3,$E159=1,$E159=4),AC159,AB159),
IF($D159="Pénétro.",
IF(OR($E159=3,$E159=1,$E159=4),AC159,AB159))),IF($D159="Pressio.",
IF($E159=3,AC159,AB159),
IF($D159="Pénétro.",
IF($E159=4,AC159,AB159))))</f>
        <v>#N/A</v>
      </c>
      <c r="AE159" s="31">
        <v>0</v>
      </c>
      <c r="AF159" s="102" t="e">
        <f>IF(NDC!$H$10="Oui",(VLOOKUP($B$3,'Coeff EC7'!$T$39:$X$59,2,0)*AD159+VLOOKUP($B$3,'Coeff EC7'!$T$65:$X$85,2,0)*Model0.1T!AE159)/1.5,PI()*AB$12*$Q159*($B159-$B158)*0.15/10+AF158)</f>
        <v>#N/A</v>
      </c>
      <c r="AG159" s="102" t="e">
        <f>(VLOOKUP($B$3,'Coeff EC7'!$T$39:$X$59,3,0)*AD159+VLOOKUP($B$3,'Coeff EC7'!$T$65:$X$85,3,0)*Model0.1T!AE159)/1.1</f>
        <v>#N/A</v>
      </c>
      <c r="AH159" s="102" t="e">
        <f t="shared" si="268"/>
        <v>#N/A</v>
      </c>
      <c r="AI159" s="102" t="e">
        <f t="shared" si="269"/>
        <v>#N/A</v>
      </c>
      <c r="AJ159" s="414" t="e">
        <f>IF(AND(AF159&gt;NDC!$C$63,AG159&gt;NDC!$C$65,AH159&gt;NDC!$D$73,AI159&gt;NDC!$D$74,$B159&gt;NDC!$H$22-0.1+MIN(3*$AJ$12,1.5)),0,1)</f>
        <v>#N/A</v>
      </c>
      <c r="AK159" s="86" t="b">
        <f t="shared" si="239"/>
        <v>0</v>
      </c>
      <c r="AL159" s="86">
        <f t="shared" si="270"/>
        <v>0.5</v>
      </c>
      <c r="AM159" s="86">
        <f t="shared" si="240"/>
        <v>0.5</v>
      </c>
      <c r="AN159" s="30" t="e">
        <f t="shared" ca="1" si="271"/>
        <v>#DIV/0!</v>
      </c>
      <c r="AO159" s="85" t="e">
        <f ca="1">IF(U159&lt;=Hypothèses!$V$7,Hypothèses!$W$7,IF(U159&lt;=Hypothèses!$V$8,Hypothèses!$W$8,IF(U159&lt;=Hypothèses!$V$9,Hypothèses!$W$9,IF(U159&lt;=Hypothèses!$V$10,Hypothèses!$W$10,IF(U159&lt;=Hypothèses!$V$11,Hypothèses!$W$11,IF(U159&lt;=Hypothèses!$V$12,Hypothèses!$W$12,IF(U159&lt;=Hypothèses!$V$13,Hypothèses!$W$13,IF(U159&lt;=Hypothèses!$V$14,Hypothèses!$W$14,IF(U159&lt;=Hypothèses!$V$15,Hypothèses!$W$15,IF(U159&lt;=Hypothèses!$V$16,Hypothèses!$W$16,IF(U159&lt;=Hypothèses!$V$17,Hypothèses!$W$17,IF(U159&lt;=Hypothèses!$V$18,Hypothèses!$W$18,""))))))))))))</f>
        <v>#DIV/0!</v>
      </c>
      <c r="AP159" s="87" t="e">
        <f t="shared" ca="1" si="317"/>
        <v>#DIV/0!</v>
      </c>
      <c r="AQ159" s="88" t="e">
        <f ca="1">IF(U159&lt;=Hypothèses!$V$7,Hypothèses!$X$7,IF(U159&lt;=Hypothèses!$V$8,Hypothèses!$X$8,IF(U159&lt;=Hypothèses!$V$9,Hypothèses!$X$9,IF(U159&lt;=Hypothèses!$V$10,Hypothèses!$X$10,IF(U159&lt;=Hypothèses!$V$11,Hypothèses!$X$11,IF(U159&lt;=Hypothèses!$V$12,Hypothèses!$X$12,IF(U159&lt;=Hypothèses!$V$13,Hypothèses!$X$13,IF(U159&lt;=Hypothèses!$V$14,Hypothèses!$X$14,IF(U159&lt;=Hypothèses!$V$15,Hypothèses!$X$15,IF(U159&lt;=Hypothèses!$V$16,Hypothèses!$X$16,IF(U159&lt;=Hypothèses!$U$17,Hypothèses!$W$17,IF(U159&lt;=Hypothèses!$U$18,Hypothèses!$W$18,""))))))))))))</f>
        <v>#DIV/0!</v>
      </c>
      <c r="AR159" s="95" t="e">
        <f t="shared" ca="1" si="272"/>
        <v>#DIV/0!</v>
      </c>
      <c r="AS159" s="101">
        <f t="shared" si="324"/>
        <v>0</v>
      </c>
      <c r="AT159" s="91">
        <f t="shared" si="241"/>
        <v>0</v>
      </c>
      <c r="AU159" s="30" t="e">
        <f t="shared" si="302"/>
        <v>#N/A</v>
      </c>
      <c r="AV159" s="30" t="e">
        <f t="shared" si="303"/>
        <v>#N/A</v>
      </c>
      <c r="AW159" s="31" t="e">
        <f>IF(OR(Hypothèses!$B$4=17,Hypothèses!$B$4=18,Hypothèses!$B$4=19,Hypothèses!$B$4=20),
IF($D159="Pressio.",
IF(OR($E159=3,$E159=1,$E159=4),AV159,AU159),
IF($D159="Pénétro.",
IF(OR($E159=3,$E159=1,$E159=4),AV159,AU159))),IF($D159="Pressio.",
IF($E159=3,AV159,AU159),
IF($D159="Pénétro.",
IF($E159=4,AV159,AU159))))</f>
        <v>#N/A</v>
      </c>
      <c r="AX159" s="31">
        <v>0</v>
      </c>
      <c r="AY159" s="102" t="e">
        <f>IF(NDC!$H$10="Oui",(VLOOKUP($B$3,'Coeff EC7'!$T$39:$X$59,2,0)*AW159+VLOOKUP($B$3,'Coeff EC7'!$T$65:$X$85,2,0)*Model0.1T!AX159)/1.5,PI()*AU$12*$Q159*($B159-$B158)*0.15/10+AY158)</f>
        <v>#N/A</v>
      </c>
      <c r="AZ159" s="102" t="e">
        <f>(VLOOKUP($B$3,'Coeff EC7'!$T$39:$X$59,3,0)*AW159+VLOOKUP($B$3,'Coeff EC7'!$T$65:$X$85,3,0)*Model0.1T!AX159)/1.1</f>
        <v>#N/A</v>
      </c>
      <c r="BA159" s="102" t="e">
        <f t="shared" si="273"/>
        <v>#N/A</v>
      </c>
      <c r="BB159" s="102" t="e">
        <f t="shared" si="274"/>
        <v>#N/A</v>
      </c>
      <c r="BC159" s="414" t="e">
        <f>IF(AND(AY159&gt;NDC!$C$63,AZ159&gt;NDC!$C$65,BA159&gt;NDC!$D$73,BB159&gt;NDC!$D$74,$B159&gt;NDC!$H$22-0.1+MIN(3*BC$12,1.5)),0,1)</f>
        <v>#N/A</v>
      </c>
      <c r="BD159" s="86" t="b">
        <f t="shared" si="242"/>
        <v>0</v>
      </c>
      <c r="BE159" s="86">
        <f t="shared" si="275"/>
        <v>0.5</v>
      </c>
      <c r="BF159" s="86">
        <f t="shared" si="243"/>
        <v>0.5</v>
      </c>
      <c r="BG159" s="30" t="e">
        <f t="shared" ca="1" si="276"/>
        <v>#DIV/0!</v>
      </c>
      <c r="BH159" s="85" t="e">
        <f ca="1">IF(AN159&lt;=Hypothèses!$V$7,Hypothèses!$W$7,IF(AN159&lt;=Hypothèses!$V$8,Hypothèses!$W$8,IF(AN159&lt;=Hypothèses!$V$9,Hypothèses!$W$9,IF(AN159&lt;=Hypothèses!$V$10,Hypothèses!$W$10,IF(AN159&lt;=Hypothèses!$V$11,Hypothèses!$W$11,IF(AN159&lt;=Hypothèses!$V$12,Hypothèses!$W$12,IF(AN159&lt;=Hypothèses!$V$13,Hypothèses!$W$13,IF(AN159&lt;=Hypothèses!$V$14,Hypothèses!$W$14,IF(AN159&lt;=Hypothèses!$V$15,Hypothèses!$W$15,IF(AN159&lt;=Hypothèses!$V$16,Hypothèses!$W$16,IF(AN159&lt;=Hypothèses!$V$17,Hypothèses!$W$17,IF(AN159&lt;=Hypothèses!$V$18,Hypothèses!$W$18,""))))))))))))</f>
        <v>#DIV/0!</v>
      </c>
      <c r="BI159" s="87" t="e">
        <f t="shared" ca="1" si="318"/>
        <v>#DIV/0!</v>
      </c>
      <c r="BJ159" s="88" t="e">
        <f ca="1">IF(AN159&lt;=Hypothèses!$V$7,Hypothèses!$X$7,IF(AN159&lt;=Hypothèses!$V$8,Hypothèses!$X$8,IF(AN159&lt;=Hypothèses!$V$9,Hypothèses!$X$9,IF(AN159&lt;=Hypothèses!$V$10,Hypothèses!$X$10,IF(AN159&lt;=Hypothèses!$V$11,Hypothèses!$X$11,IF(AN159&lt;=Hypothèses!$V$12,Hypothèses!$X$12,IF(AN159&lt;=Hypothèses!$V$13,Hypothèses!$X$13,IF(AN159&lt;=Hypothèses!$V$14,Hypothèses!$X$14,IF(AN159&lt;=Hypothèses!$V$15,Hypothèses!$X$15,IF(AN159&lt;=Hypothèses!$V$16,Hypothèses!$X$16,IF(AN159&lt;=Hypothèses!$U$17,Hypothèses!$W$17,IF(AN159&lt;=Hypothèses!$U$18,Hypothèses!$W$18,""))))))))))))</f>
        <v>#DIV/0!</v>
      </c>
      <c r="BK159" s="95" t="e">
        <f t="shared" ca="1" si="277"/>
        <v>#DIV/0!</v>
      </c>
      <c r="BL159" s="101">
        <f t="shared" si="325"/>
        <v>0</v>
      </c>
      <c r="BM159" s="91">
        <f t="shared" si="244"/>
        <v>0</v>
      </c>
      <c r="BN159" s="30" t="e">
        <f t="shared" si="304"/>
        <v>#N/A</v>
      </c>
      <c r="BO159" s="30" t="e">
        <f t="shared" si="305"/>
        <v>#N/A</v>
      </c>
      <c r="BP159" s="31" t="e">
        <f>IF(OR(Hypothèses!$B$4=17,Hypothèses!$B$4=18,Hypothèses!$B$4=19,Hypothèses!$B$4=20),
IF($D159="Pressio.",
IF(OR($E159=3,$E159=1,$E159=4),BO159,BN159),
IF($D159="Pénétro.",
IF(OR($E159=3,$E159=1,$E159=4),BO159,BN159))),IF($D159="Pressio.",
IF($E159=3,BO159,BN159),
IF($D159="Pénétro.",
IF($E159=4,BO159,BN159))))</f>
        <v>#N/A</v>
      </c>
      <c r="BQ159" s="31">
        <v>0</v>
      </c>
      <c r="BR159" s="102" t="e">
        <f>IF(NDC!$H$10="Oui",(VLOOKUP($B$3,'Coeff EC7'!$T$39:$X$59,2,0)*BP159+VLOOKUP($B$3,'Coeff EC7'!$T$65:$X$85,2,0)*Model0.1T!BQ159)/1.5,PI()*BN$12*$Q159*($B159-$B158)*0.15/10+BR158)</f>
        <v>#N/A</v>
      </c>
      <c r="BS159" s="102" t="e">
        <f>(VLOOKUP($B$3,'Coeff EC7'!$T$39:$X$59,3,0)*BP159+VLOOKUP($B$3,'Coeff EC7'!$T$65:$X$85,3,0)*Model0.1T!BQ159)/1.1</f>
        <v>#N/A</v>
      </c>
      <c r="BT159" s="102" t="e">
        <f t="shared" si="278"/>
        <v>#N/A</v>
      </c>
      <c r="BU159" s="102" t="e">
        <f t="shared" si="279"/>
        <v>#N/A</v>
      </c>
      <c r="BV159" s="414" t="e">
        <f>IF(AND(BR159&gt;NDC!$C$63,BS159&gt;NDC!$C$65,BT159&gt;NDC!$D$73,BU159&gt;NDC!$D$74,$B159&gt;NDC!$H$22-0.1+MIN(3*BV$12,1.5)),0,1)</f>
        <v>#N/A</v>
      </c>
      <c r="BW159" s="86" t="b">
        <f t="shared" si="245"/>
        <v>0</v>
      </c>
      <c r="BX159" s="86">
        <f t="shared" si="246"/>
        <v>0.5</v>
      </c>
      <c r="BY159" s="86">
        <f t="shared" si="247"/>
        <v>0.5</v>
      </c>
      <c r="BZ159" s="30" t="e">
        <f t="shared" ca="1" si="280"/>
        <v>#DIV/0!</v>
      </c>
      <c r="CA159" s="85" t="e">
        <f ca="1">IF(BG159&lt;=Hypothèses!$V$7,Hypothèses!$W$7,IF(BG159&lt;=Hypothèses!$V$8,Hypothèses!$W$8,IF(BG159&lt;=Hypothèses!$V$9,Hypothèses!$W$9,IF(BG159&lt;=Hypothèses!$V$10,Hypothèses!$W$10,IF(BG159&lt;=Hypothèses!$V$11,Hypothèses!$W$11,IF(BG159&lt;=Hypothèses!$V$12,Hypothèses!$W$12,IF(BG159&lt;=Hypothèses!$V$13,Hypothèses!$W$13,IF(BG159&lt;=Hypothèses!$V$14,Hypothèses!$W$14,IF(BG159&lt;=Hypothèses!$V$15,Hypothèses!$W$15,IF(BG159&lt;=Hypothèses!$V$16,Hypothèses!$W$16,IF(BG159&lt;=Hypothèses!$V$17,Hypothèses!$W$17,IF(BG159&lt;=Hypothèses!$V$18,Hypothèses!$W$18,""))))))))))))</f>
        <v>#DIV/0!</v>
      </c>
      <c r="CB159" s="87" t="e">
        <f t="shared" ca="1" si="319"/>
        <v>#DIV/0!</v>
      </c>
      <c r="CC159" s="88" t="e">
        <f ca="1">IF(BG159&lt;=Hypothèses!$V$7,Hypothèses!$X$7,IF(BG159&lt;=Hypothèses!$V$8,Hypothèses!$X$8,IF(BG159&lt;=Hypothèses!$V$9,Hypothèses!$X$9,IF(BG159&lt;=Hypothèses!$V$10,Hypothèses!$X$10,IF(BG159&lt;=Hypothèses!$V$11,Hypothèses!$X$11,IF(BG159&lt;=Hypothèses!$V$12,Hypothèses!$X$12,IF(BG159&lt;=Hypothèses!$V$13,Hypothèses!$X$13,IF(BG159&lt;=Hypothèses!$V$14,Hypothèses!$X$14,IF(BG159&lt;=Hypothèses!$V$15,Hypothèses!$X$15,IF(BG159&lt;=Hypothèses!$V$16,Hypothèses!$X$16,IF(BG159&lt;=Hypothèses!$U$17,Hypothèses!$W$17,IF(BG159&lt;=Hypothèses!$U$18,Hypothèses!$W$18,""))))))))))))</f>
        <v>#DIV/0!</v>
      </c>
      <c r="CD159" s="95" t="e">
        <f t="shared" ca="1" si="281"/>
        <v>#DIV/0!</v>
      </c>
      <c r="CE159" s="101">
        <f t="shared" si="326"/>
        <v>0</v>
      </c>
      <c r="CF159" s="91">
        <f t="shared" si="248"/>
        <v>0</v>
      </c>
      <c r="CG159" s="30" t="e">
        <f t="shared" si="306"/>
        <v>#N/A</v>
      </c>
      <c r="CH159" s="30" t="e">
        <f t="shared" si="307"/>
        <v>#N/A</v>
      </c>
      <c r="CI159" s="31" t="e">
        <f>IF(OR(Hypothèses!$B$4=17,Hypothèses!$B$4=18,Hypothèses!$B$4=19,Hypothèses!$B$4=20),
IF($D159="Pressio.",
IF(OR($E159=3,$E159=1,$E159=4),CH159,CG159),
IF($D159="Pénétro.",
IF(OR($E159=3,$E159=1,$E159=4),CH159,CG159))),IF($D159="Pressio.",
IF($E159=3,CH159,CG159),
IF($D159="Pénétro.",
IF($E159=4,CH159,CG159))))</f>
        <v>#N/A</v>
      </c>
      <c r="CJ159" s="31">
        <v>0</v>
      </c>
      <c r="CK159" s="102" t="e">
        <f>IF(NDC!$H$10="Oui",(VLOOKUP($B$3,'Coeff EC7'!$T$39:$X$59,2,0)*CI159+VLOOKUP($B$3,'Coeff EC7'!$T$65:$X$85,2,0)*Model0.1T!CJ159)/1.5,PI()*CG$12*$Q159*($B159-$B158)*0.15/10+CK158)</f>
        <v>#N/A</v>
      </c>
      <c r="CL159" s="102" t="e">
        <f>(VLOOKUP($B$3,'Coeff EC7'!$T$39:$X$59,3,0)*CI159+VLOOKUP($B$3,'Coeff EC7'!$T$65:$X$85,3,0)*Model0.1T!CJ159)/1.1</f>
        <v>#N/A</v>
      </c>
      <c r="CM159" s="102" t="e">
        <f t="shared" si="282"/>
        <v>#N/A</v>
      </c>
      <c r="CN159" s="102" t="e">
        <f t="shared" si="283"/>
        <v>#N/A</v>
      </c>
      <c r="CO159" s="414" t="e">
        <f>IF(AND(CK159&gt;NDC!$C$63,CL159&gt;NDC!$C$65,CM159&gt;NDC!$D$73,CN159&gt;NDC!$D$74,$B159&gt;NDC!$H$22-0.1+MIN(3*CO$12,1.5)),0,1)</f>
        <v>#N/A</v>
      </c>
      <c r="CP159" s="86" t="b">
        <f t="shared" si="249"/>
        <v>0</v>
      </c>
      <c r="CQ159" s="86">
        <f t="shared" si="250"/>
        <v>0.5</v>
      </c>
      <c r="CR159" s="86">
        <f t="shared" si="251"/>
        <v>0.5</v>
      </c>
      <c r="CS159" s="30" t="e">
        <f t="shared" ca="1" si="284"/>
        <v>#DIV/0!</v>
      </c>
      <c r="CT159" s="85" t="e">
        <f ca="1">IF(BZ159&lt;=Hypothèses!$V$7,Hypothèses!$W$7,IF(BZ159&lt;=Hypothèses!$V$8,Hypothèses!$W$8,IF(BZ159&lt;=Hypothèses!$V$9,Hypothèses!$W$9,IF(BZ159&lt;=Hypothèses!$V$10,Hypothèses!$W$10,IF(BZ159&lt;=Hypothèses!$V$11,Hypothèses!$W$11,IF(BZ159&lt;=Hypothèses!$V$12,Hypothèses!$W$12,IF(BZ159&lt;=Hypothèses!$V$13,Hypothèses!$W$13,IF(BZ159&lt;=Hypothèses!$V$14,Hypothèses!$W$14,IF(BZ159&lt;=Hypothèses!$V$15,Hypothèses!$W$15,IF(BZ159&lt;=Hypothèses!$V$16,Hypothèses!$W$16,IF(BZ159&lt;=Hypothèses!$V$17,Hypothèses!$W$17,IF(BZ159&lt;=Hypothèses!$V$18,Hypothèses!$W$18,""))))))))))))</f>
        <v>#DIV/0!</v>
      </c>
      <c r="CU159" s="87" t="e">
        <f t="shared" ca="1" si="320"/>
        <v>#DIV/0!</v>
      </c>
      <c r="CV159" s="88" t="e">
        <f ca="1">IF(BZ159&lt;=Hypothèses!$V$7,Hypothèses!$X$7,IF(BZ159&lt;=Hypothèses!$V$8,Hypothèses!$X$8,IF(BZ159&lt;=Hypothèses!$V$9,Hypothèses!$X$9,IF(BZ159&lt;=Hypothèses!$V$10,Hypothèses!$X$10,IF(BZ159&lt;=Hypothèses!$V$11,Hypothèses!$X$11,IF(BZ159&lt;=Hypothèses!$V$12,Hypothèses!$X$12,IF(BZ159&lt;=Hypothèses!$V$13,Hypothèses!$X$13,IF(BZ159&lt;=Hypothèses!$V$14,Hypothèses!$X$14,IF(BZ159&lt;=Hypothèses!$V$15,Hypothèses!$X$15,IF(BZ159&lt;=Hypothèses!$V$16,Hypothèses!$X$16,IF(BZ159&lt;=Hypothèses!$U$17,Hypothèses!$W$17,IF(BZ159&lt;=Hypothèses!$U$18,Hypothèses!$W$18,""))))))))))))</f>
        <v>#DIV/0!</v>
      </c>
      <c r="CW159" s="95" t="e">
        <f t="shared" ca="1" si="285"/>
        <v>#DIV/0!</v>
      </c>
      <c r="CX159" s="101">
        <f t="shared" si="327"/>
        <v>0</v>
      </c>
      <c r="CY159" s="91">
        <f t="shared" si="252"/>
        <v>0</v>
      </c>
      <c r="CZ159" s="30" t="e">
        <f t="shared" si="308"/>
        <v>#N/A</v>
      </c>
      <c r="DA159" s="30" t="e">
        <f t="shared" si="309"/>
        <v>#N/A</v>
      </c>
      <c r="DB159" s="31" t="e">
        <f>IF(OR(Hypothèses!$B$4=17,Hypothèses!$B$4=18,Hypothèses!$B$4=19,Hypothèses!$B$4=20),
IF($D159="Pressio.",
IF(OR($E159=3,$E159=1,$E159=4),DA159,CZ159),
IF($D159="Pénétro.",
IF(OR($E159=3,$E159=1,$E159=4),DA159,CZ159))),IF($D159="Pressio.",
IF($E159=3,DA159,CZ159),
IF($D159="Pénétro.",
IF($E159=4,DA159,CZ159))))</f>
        <v>#N/A</v>
      </c>
      <c r="DC159" s="31">
        <v>0</v>
      </c>
      <c r="DD159" s="102" t="e">
        <f>IF(NDC!$H$10="Oui",(VLOOKUP($B$3,'Coeff EC7'!$T$39:$X$59,2,0)*DB159+VLOOKUP($B$3,'Coeff EC7'!$T$65:$X$85,2,0)*Model0.1T!DC159)/1.5,PI()*CZ$12*$Q159*($B159-$B158)*0.15/10+DD158)</f>
        <v>#N/A</v>
      </c>
      <c r="DE159" s="102" t="e">
        <f>(VLOOKUP($B$3,'Coeff EC7'!$T$39:$X$59,3,0)*DB159+VLOOKUP($B$3,'Coeff EC7'!$T$65:$X$85,3,0)*Model0.1T!DC159)/1.1</f>
        <v>#N/A</v>
      </c>
      <c r="DF159" s="102" t="e">
        <f t="shared" si="286"/>
        <v>#N/A</v>
      </c>
      <c r="DG159" s="102" t="e">
        <f t="shared" si="287"/>
        <v>#N/A</v>
      </c>
      <c r="DH159" s="414" t="e">
        <f>IF(AND(DD159&gt;NDC!$C$63,DE159&gt;NDC!$C$65,DF159&gt;NDC!$D$73,DG159&gt;NDC!$D$74,$B159&gt;NDC!$H$22-0.1+MIN(3*DH$12,1.5)),0,1)</f>
        <v>#N/A</v>
      </c>
      <c r="DI159" s="86" t="b">
        <f t="shared" si="253"/>
        <v>0</v>
      </c>
      <c r="DJ159" s="86">
        <f t="shared" si="254"/>
        <v>0.5</v>
      </c>
      <c r="DK159" s="86">
        <f t="shared" si="255"/>
        <v>0.5</v>
      </c>
      <c r="DL159" s="30" t="e">
        <f t="shared" ca="1" si="288"/>
        <v>#DIV/0!</v>
      </c>
      <c r="DM159" s="85" t="e">
        <f ca="1">IF(CS159&lt;=Hypothèses!$V$7,Hypothèses!$W$7,IF(CS159&lt;=Hypothèses!$V$8,Hypothèses!$W$8,IF(CS159&lt;=Hypothèses!$V$9,Hypothèses!$W$9,IF(CS159&lt;=Hypothèses!$V$10,Hypothèses!$W$10,IF(CS159&lt;=Hypothèses!$V$11,Hypothèses!$W$11,IF(CS159&lt;=Hypothèses!$V$12,Hypothèses!$W$12,IF(CS159&lt;=Hypothèses!$V$13,Hypothèses!$W$13,IF(CS159&lt;=Hypothèses!$V$14,Hypothèses!$W$14,IF(CS159&lt;=Hypothèses!$V$15,Hypothèses!$W$15,IF(CS159&lt;=Hypothèses!$V$16,Hypothèses!$W$16,IF(CS159&lt;=Hypothèses!$V$17,Hypothèses!$W$17,IF(CS159&lt;=Hypothèses!$V$18,Hypothèses!$W$18,""))))))))))))</f>
        <v>#DIV/0!</v>
      </c>
      <c r="DN159" s="87" t="e">
        <f t="shared" ca="1" si="321"/>
        <v>#DIV/0!</v>
      </c>
      <c r="DO159" s="88" t="e">
        <f ca="1">IF(CS159&lt;=Hypothèses!$V$7,Hypothèses!$X$7,IF(CS159&lt;=Hypothèses!$V$8,Hypothèses!$X$8,IF(CS159&lt;=Hypothèses!$V$9,Hypothèses!$X$9,IF(CS159&lt;=Hypothèses!$V$10,Hypothèses!$X$10,IF(CS159&lt;=Hypothèses!$V$11,Hypothèses!$X$11,IF(CS159&lt;=Hypothèses!$V$12,Hypothèses!$X$12,IF(CS159&lt;=Hypothèses!$V$13,Hypothèses!$X$13,IF(CS159&lt;=Hypothèses!$V$14,Hypothèses!$X$14,IF(CS159&lt;=Hypothèses!$V$15,Hypothèses!$X$15,IF(CS159&lt;=Hypothèses!$V$16,Hypothèses!$X$16,IF(CS159&lt;=Hypothèses!$U$17,Hypothèses!$W$17,IF(CS159&lt;=Hypothèses!$U$18,Hypothèses!$W$18,""))))))))))))</f>
        <v>#DIV/0!</v>
      </c>
      <c r="DP159" s="95" t="e">
        <f t="shared" ca="1" si="289"/>
        <v>#DIV/0!</v>
      </c>
      <c r="DQ159" s="101">
        <f t="shared" si="328"/>
        <v>0</v>
      </c>
      <c r="DR159" s="91">
        <f t="shared" si="256"/>
        <v>0</v>
      </c>
      <c r="DS159" s="30" t="e">
        <f t="shared" si="310"/>
        <v>#N/A</v>
      </c>
      <c r="DT159" s="30" t="e">
        <f t="shared" si="311"/>
        <v>#N/A</v>
      </c>
      <c r="DU159" s="31" t="e">
        <f>IF(OR(Hypothèses!$B$4=17,Hypothèses!$B$4=18,Hypothèses!$B$4=19,Hypothèses!$B$4=20),
IF($D159="Pressio.",
IF(OR($E159=3,$E159=1,$E159=4),DT159,DS159),
IF($D159="Pénétro.",
IF(OR($E159=3,$E159=1,$E159=4),DT159,DS159))),IF($D159="Pressio.",
IF($E159=3,DT159,DS159),
IF($D159="Pénétro.",
IF($E159=4,DT159,DS159))))</f>
        <v>#N/A</v>
      </c>
      <c r="DV159" s="31">
        <v>0</v>
      </c>
      <c r="DW159" s="102" t="e">
        <f>IF(NDC!$H$10="Oui",(VLOOKUP($B$3,'Coeff EC7'!$T$39:$X$59,2,0)*DU159+VLOOKUP($B$3,'Coeff EC7'!$T$65:$X$85,2,0)*Model0.1T!DV159)/1.5,PI()*DS$12*$Q159*($B159-$B158)*0.15/10+DW158)</f>
        <v>#N/A</v>
      </c>
      <c r="DX159" s="102" t="e">
        <f>(VLOOKUP($B$3,'Coeff EC7'!$T$39:$X$59,3,0)*DU159+VLOOKUP($B$3,'Coeff EC7'!$T$65:$X$85,3,0)*Model0.1T!DV159)/1.1</f>
        <v>#N/A</v>
      </c>
      <c r="DY159" s="102" t="e">
        <f t="shared" si="290"/>
        <v>#N/A</v>
      </c>
      <c r="DZ159" s="102" t="e">
        <f t="shared" si="291"/>
        <v>#N/A</v>
      </c>
      <c r="EA159" s="414" t="e">
        <f>IF(AND(DW159&gt;NDC!$C$63,DX159&gt;NDC!$C$65,DY159&gt;NDC!$D$73,DZ159&gt;NDC!$D$74,$B159&gt;NDC!$H$22-0.1+MIN(3*EA$12,1.5)),0,1)</f>
        <v>#N/A</v>
      </c>
      <c r="EB159" s="86" t="b">
        <f t="shared" si="257"/>
        <v>0</v>
      </c>
      <c r="EC159" s="418">
        <f t="shared" si="258"/>
        <v>0.51</v>
      </c>
      <c r="ED159" s="86">
        <f t="shared" si="259"/>
        <v>0.51</v>
      </c>
      <c r="EE159" s="30" t="e">
        <f t="shared" ca="1" si="292"/>
        <v>#DIV/0!</v>
      </c>
      <c r="EF159" s="85" t="e">
        <f ca="1">IF(DL159&lt;=Hypothèses!$V$7,Hypothèses!$W$7,IF(DL159&lt;=Hypothèses!$V$8,Hypothèses!$W$8,IF(DL159&lt;=Hypothèses!$V$9,Hypothèses!$W$9,IF(DL159&lt;=Hypothèses!$V$10,Hypothèses!$W$10,IF(DL159&lt;=Hypothèses!$V$11,Hypothèses!$W$11,IF(DL159&lt;=Hypothèses!$V$12,Hypothèses!$W$12,IF(DL159&lt;=Hypothèses!$V$13,Hypothèses!$W$13,IF(DL159&lt;=Hypothèses!$V$14,Hypothèses!$W$14,IF(DL159&lt;=Hypothèses!$V$15,Hypothèses!$W$15,IF(DL159&lt;=Hypothèses!$V$16,Hypothèses!$W$16,IF(DL159&lt;=Hypothèses!$V$17,Hypothèses!$W$17,IF(DL159&lt;=Hypothèses!$V$18,Hypothèses!$W$18,""))))))))))))</f>
        <v>#DIV/0!</v>
      </c>
      <c r="EG159" s="87" t="e">
        <f t="shared" ca="1" si="322"/>
        <v>#DIV/0!</v>
      </c>
      <c r="EH159" s="88" t="e">
        <f ca="1">IF(DL159&lt;=Hypothèses!$V$7,Hypothèses!$X$7,IF(DL159&lt;=Hypothèses!$V$8,Hypothèses!$X$8,IF(DL159&lt;=Hypothèses!$V$9,Hypothèses!$X$9,IF(DL159&lt;=Hypothèses!$V$10,Hypothèses!$X$10,IF(DL159&lt;=Hypothèses!$V$11,Hypothèses!$X$11,IF(DL159&lt;=Hypothèses!$V$12,Hypothèses!$X$12,IF(DL159&lt;=Hypothèses!$V$13,Hypothèses!$X$13,IF(DL159&lt;=Hypothèses!$V$14,Hypothèses!$X$14,IF(DL159&lt;=Hypothèses!$V$15,Hypothèses!$X$15,IF(DL159&lt;=Hypothèses!$V$16,Hypothèses!$X$16,IF(DL159&lt;=Hypothèses!$U$17,Hypothèses!$W$17,IF(DL159&lt;=Hypothèses!$U$18,Hypothèses!$W$18,""))))))))))))</f>
        <v>#DIV/0!</v>
      </c>
      <c r="EI159" s="95" t="e">
        <f t="shared" ca="1" si="293"/>
        <v>#DIV/0!</v>
      </c>
      <c r="EJ159" s="101">
        <f t="shared" si="329"/>
        <v>0</v>
      </c>
      <c r="EK159" s="91">
        <f t="shared" si="260"/>
        <v>0</v>
      </c>
      <c r="EL159" s="30" t="e">
        <f t="shared" si="312"/>
        <v>#N/A</v>
      </c>
      <c r="EM159" s="30" t="e">
        <f t="shared" si="313"/>
        <v>#N/A</v>
      </c>
      <c r="EN159" s="31" t="e">
        <f>IF(OR(Hypothèses!$B$4=17,Hypothèses!$B$4=18,Hypothèses!$B$4=19,Hypothèses!$B$4=20),
IF($D159="Pressio.",
IF(OR($E159=3,$E159=1,$E159=4),EM159,EL159),
IF($D159="Pénétro.",
IF(OR($E159=3,$E159=1,$E159=4),EM159,EL159))),IF($D159="Pressio.",
IF($E159=3,EM159,EL159),
IF($D159="Pénétro.",
IF($E159=4,EM159,EL159))))</f>
        <v>#N/A</v>
      </c>
      <c r="EO159" s="31">
        <v>0</v>
      </c>
      <c r="EP159" s="102" t="e">
        <f>IF(NDC!$H$10="Oui",(VLOOKUP($B$3,'Coeff EC7'!$T$39:$X$59,2,0)*EN159+VLOOKUP($B$3,'Coeff EC7'!$T$65:$X$85,2,0)*Model0.1T!EO159)/1.5,PI()*EL$12*$Q159*($B159-$B158)*0.15/10+EP158)</f>
        <v>#N/A</v>
      </c>
      <c r="EQ159" s="102" t="e">
        <f>(VLOOKUP($B$3,'Coeff EC7'!$T$39:$X$59,3,0)*EN159+VLOOKUP($B$3,'Coeff EC7'!$T$65:$X$85,3,0)*Model0.1T!EO159)/1.1</f>
        <v>#N/A</v>
      </c>
      <c r="ER159" s="102" t="e">
        <f t="shared" si="294"/>
        <v>#N/A</v>
      </c>
      <c r="ES159" s="102" t="e">
        <f t="shared" si="295"/>
        <v>#N/A</v>
      </c>
      <c r="ET159" s="414" t="e">
        <f>IF(AND(EP159&gt;NDC!$C$63,EQ159&gt;NDC!$C$65,ER159&gt;NDC!$D$73,ES159&gt;NDC!$D$74,$B159&gt;NDC!$H$22-0.1+MIN(3*ET$12,1.5)),0,1)</f>
        <v>#N/A</v>
      </c>
      <c r="EU159" s="86" t="b">
        <f t="shared" si="261"/>
        <v>0</v>
      </c>
      <c r="EV159" s="86">
        <f t="shared" si="262"/>
        <v>0.61</v>
      </c>
      <c r="EW159" s="86">
        <f t="shared" si="263"/>
        <v>0.61</v>
      </c>
      <c r="EX159" s="30" t="e">
        <f t="shared" ca="1" si="296"/>
        <v>#DIV/0!</v>
      </c>
      <c r="EY159" s="85" t="e">
        <f ca="1">IF(EE159&lt;=Hypothèses!$V$7,Hypothèses!$W$7,IF(EE159&lt;=Hypothèses!$V$8,Hypothèses!$W$8,IF(EE159&lt;=Hypothèses!$V$9,Hypothèses!$W$9,IF(EE159&lt;=Hypothèses!$V$10,Hypothèses!$W$10,IF(EE159&lt;=Hypothèses!$V$11,Hypothèses!$W$11,IF(EE159&lt;=Hypothèses!$V$12,Hypothèses!$W$12,IF(EE159&lt;=Hypothèses!$V$13,Hypothèses!$W$13,IF(EE159&lt;=Hypothèses!$V$14,Hypothèses!$W$14,IF(EE159&lt;=Hypothèses!$V$15,Hypothèses!$W$15,IF(EE159&lt;=Hypothèses!$V$16,Hypothèses!$W$16,IF(EE159&lt;=Hypothèses!$V$17,Hypothèses!$W$17,IF(EE159&lt;=Hypothèses!$V$18,Hypothèses!$W$18,""))))))))))))</f>
        <v>#DIV/0!</v>
      </c>
      <c r="EZ159" s="87" t="e">
        <f t="shared" ca="1" si="323"/>
        <v>#DIV/0!</v>
      </c>
      <c r="FA159" s="88" t="e">
        <f ca="1">IF(EE159&lt;=Hypothèses!$V$7,Hypothèses!$X$7,IF(EE159&lt;=Hypothèses!$V$8,Hypothèses!$X$8,IF(EE159&lt;=Hypothèses!$V$9,Hypothèses!$X$9,IF(EE159&lt;=Hypothèses!$V$10,Hypothèses!$X$10,IF(EE159&lt;=Hypothèses!$V$11,Hypothèses!$X$11,IF(EE159&lt;=Hypothèses!$V$12,Hypothèses!$X$12,IF(EE159&lt;=Hypothèses!$V$13,Hypothèses!$X$13,IF(EE159&lt;=Hypothèses!$V$14,Hypothèses!$X$14,IF(EE159&lt;=Hypothèses!$V$15,Hypothèses!$X$15,IF(EE159&lt;=Hypothèses!$V$16,Hypothèses!$X$16,IF(EE159&lt;=Hypothèses!$U$17,Hypothèses!$W$17,IF(EE159&lt;=Hypothèses!$U$18,Hypothèses!$W$18,""))))))))))))</f>
        <v>#DIV/0!</v>
      </c>
      <c r="FB159" s="95" t="e">
        <f t="shared" ca="1" si="297"/>
        <v>#DIV/0!</v>
      </c>
      <c r="FC159" s="101">
        <f t="shared" si="330"/>
        <v>0</v>
      </c>
      <c r="FD159" s="91">
        <f t="shared" si="264"/>
        <v>0</v>
      </c>
      <c r="FE159" s="30" t="e">
        <f t="shared" si="314"/>
        <v>#N/A</v>
      </c>
      <c r="FF159" s="30" t="e">
        <f t="shared" si="315"/>
        <v>#N/A</v>
      </c>
      <c r="FG159" s="31" t="e">
        <f>IF(OR(Hypothèses!$B$4=17,Hypothèses!$B$4=18,Hypothèses!$B$4=19,Hypothèses!$B$4=20),
IF($D159="Pressio.",
IF(OR($E159=3,$E159=1,$E159=4),FF159,FE159),
IF($D159="Pénétro.",
IF(OR($E159=3,$E159=1,$E159=4),FF159,FE159))),IF($D159="Pressio.",
IF($E159=3,FF159,FE159),
IF($D159="Pénétro.",
IF($E159=4,FF159,FE159))))</f>
        <v>#N/A</v>
      </c>
      <c r="FH159" s="31">
        <v>0</v>
      </c>
      <c r="FI159" s="102" t="e">
        <f>IF(NDC!$H$10="Oui",(VLOOKUP($B$3,'Coeff EC7'!$T$39:$X$59,2,0)*FG159+VLOOKUP($B$3,'Coeff EC7'!$T$65:$X$85,2,0)*Model0.1T!FH159)/1.5,PI()*FE$12*$Q159*($B159-$B158)*0.15/10+FI158)</f>
        <v>#N/A</v>
      </c>
      <c r="FJ159" s="102" t="e">
        <f>(VLOOKUP($B$3,'Coeff EC7'!$T$39:$X$59,3,0)*FG159+VLOOKUP($B$3,'Coeff EC7'!$T$65:$X$85,3,0)*Model0.1T!FH159)/1.1</f>
        <v>#N/A</v>
      </c>
      <c r="FK159" s="102" t="e">
        <f t="shared" si="298"/>
        <v>#N/A</v>
      </c>
      <c r="FL159" s="102" t="e">
        <f t="shared" si="299"/>
        <v>#N/A</v>
      </c>
      <c r="FM159" s="414" t="e">
        <f>IF(AND(FI159&gt;NDC!$C$63,FJ159&gt;NDC!$C$65,FK159&gt;NDC!$D$73,FL159&gt;NDC!$D$74,$B159&gt;NDC!$H$22-0.1+MIN(3*FM$12,1.5)),0,1)</f>
        <v>#N/A</v>
      </c>
    </row>
    <row r="160" spans="1:169">
      <c r="A160" s="96">
        <f t="shared" si="265"/>
        <v>85.300000000000836</v>
      </c>
      <c r="B160" s="97">
        <v>14.7</v>
      </c>
      <c r="C160" s="81">
        <f>IF(B160&lt;=Hypothèses!$C$7,Hypothèses!$A$7,IF(B160&lt;=Hypothèses!$C$8,Hypothèses!$A$8,IF(B160&lt;=Hypothèses!$C$9,Hypothèses!$A$9,IF(B160&lt;=Hypothèses!$C$10,Hypothèses!$A$10,IF(B160&lt;=Hypothèses!$C$11,Hypothèses!$A$11,IF(B160&lt;=Hypothèses!$C$12,Hypothèses!$A$12,IF(B160&lt;=Hypothèses!$C$13,Hypothèses!$A$13,IF(B160&lt;=Hypothèses!$C$14,Hypothèses!$A$14,IF(B160&lt;=Hypothèses!$C$15,Hypothèses!$A$15,IF(B160&lt;=Hypothèses!$C$16,Hypothèses!$A$16,IF(B160&lt;=Hypothèses!$C$17,Hypothèses!$A$17,IF(B160&lt;=Hypothèses!$C$18,Hypothèses!$A$18,C159))))))))))))</f>
        <v>11</v>
      </c>
      <c r="D160" s="82" t="str">
        <f>IF(B160&lt;=Hypothèses!$C$7,Hypothèses!$R$7,IF(B160&lt;=Hypothèses!$C$8,Hypothèses!$R$8,IF(B160&lt;=Hypothèses!$C$9,Hypothèses!$R$9,IF(B160&lt;=Hypothèses!$C$10,Hypothèses!$R$10,IF(B160&lt;=Hypothèses!$C$11,Hypothèses!$R$11,IF(B160&lt;=Hypothèses!$C$12,Hypothèses!$R$12,IF(B160&lt;=Hypothèses!$C$13,Hypothèses!$R$13,IF(B160&lt;=Hypothèses!$C$14,Hypothèses!$R$14,IF(B160&lt;=Hypothèses!$C$15,Hypothèses!$R$15,IF(B160&lt;=Hypothèses!$C$16,Hypothèses!$R$16,IF(B160&lt;=Hypothèses!$C$17,Hypothèses!$R$17,IF(B160&lt;=Hypothèses!$C$18,Hypothèses!$R$18,D159))))))))))))</f>
        <v>Pressio.</v>
      </c>
      <c r="E160" s="82" t="e">
        <f>IF(B160&lt;=Hypothèses!$C$7,Hypothèses!$G$7,IF(B160&lt;=Hypothèses!$C$8,Hypothèses!$G$8,IF(B160&lt;=Hypothèses!$C$9,Hypothèses!$G$9,IF(B160&lt;=Hypothèses!$C$10,Hypothèses!$G$10,IF(B160&lt;=Hypothèses!$C$11,Hypothèses!$G$11,IF(B160&lt;=Hypothèses!$C$12,Hypothèses!$G$12,IF(B160&lt;=Hypothèses!$C$13,Hypothèses!$G$13,IF(B160&lt;=Hypothèses!$C$14,Hypothèses!$G$14,IF(B160&lt;=Hypothèses!$C$15,Hypothèses!$G$15,IF(B160&lt;=Hypothèses!$C$16,Hypothèses!$G$16,IF(B160&lt;=Hypothèses!$C$17,Hypothèses!$G$17,IF(B160&lt;=Hypothèses!$C$18,Hypothèses!$G$18,E159))))))))))))</f>
        <v>#N/A</v>
      </c>
      <c r="F160" s="82" t="str">
        <f>IF(B160&lt;=Hypothèses!$C$7,Hypothèses!$F$7,IF(B160&lt;=Hypothèses!$C$8,Hypothèses!$F$8,IF(B160&lt;=Hypothèses!$C$9,Hypothèses!$F$9,IF(B160&lt;=Hypothèses!$C$10,Hypothèses!$F$10,IF(B160&lt;=Hypothèses!$C$11,Hypothèses!$F$11,IF(B160&lt;=Hypothèses!$C$12,Hypothèses!$F$12,IF(B160&lt;=Hypothèses!$C$13,Hypothèses!$F$13,IF(B160&lt;=Hypothèses!$C$14,Hypothèses!$F$14,IF(B160&lt;=Hypothèses!$C$15,Hypothèses!$F$15,IF(B160&lt;=Hypothèses!$C$16,Hypothèses!$F$16,IF(B160&lt;=Hypothèses!$C$17,Hypothèses!$F$17,IF(B160&lt;=Hypothèses!$C$18,Hypothèses!$F$18,F159))))))))))))</f>
        <v/>
      </c>
      <c r="G160" s="91">
        <f t="array" ref="G160">INDEX('Coeff EC7'!$U$7:$X$27,
MATCH(Model0.1T!$B$3,'Coeff EC7'!$T$7:$T$27,0),
MATCH(Model0.1T!$D160&amp;Model0.1T!$B$4,
'Coeff EC7'!$U$6:$X$6&amp;
'Coeff EC7'!$U$5:$X$5,0))</f>
        <v>1.4</v>
      </c>
      <c r="H160" s="91">
        <f t="array" ref="H160">INDEX('Coeff EC7'!$Y$7:$AB$27,
MATCH(Model0.1T!$B$3,'Coeff EC7'!$T$7:$T$27,0),
MATCH(Model0.1T!$D160&amp;Model0.1T!$B$4,
'Coeff EC7'!$Y$6:$AB$6&amp;
'Coeff EC7'!$Y$5:$AB$5,0))</f>
        <v>1.7</v>
      </c>
      <c r="I160" s="83">
        <v>0</v>
      </c>
      <c r="J160" s="91" t="e">
        <f t="array" ref="J160">INDEX('Coeff EC7'!$D$33:$Q$33,1,MATCH(D160&amp;E160,'Coeff EC7'!$D$31:$Q$31&amp;'Coeff EC7'!$D$32:$Q$32,0))</f>
        <v>#N/A</v>
      </c>
      <c r="K160" s="91" t="e">
        <f t="array" ref="K160">INDEX('Coeff EC7'!$D$34:$Q$34,1,MATCH(D160&amp;E160,'Coeff EC7'!$D$31:$Q$31&amp;'Coeff EC7'!$D$32:$Q$32,0))</f>
        <v>#N/A</v>
      </c>
      <c r="L160" s="91" t="e">
        <f t="array" ref="L160">INDEX('Coeff EC7'!$D$35:$Q$35,1,MATCH(D160&amp;E160,'Coeff EC7'!$D$31:$Q$31&amp;'Coeff EC7'!$D$32:$Q$32,0))</f>
        <v>#N/A</v>
      </c>
      <c r="M160" s="98" t="e">
        <f t="shared" si="231"/>
        <v>#N/A</v>
      </c>
      <c r="N160" s="99" t="e">
        <f t="array" ref="N160">INDEX('Coeff EC7'!$D$7:$Q$27,MATCH($B$3,'Coeff EC7'!$C$7:$C$27,0),MATCH(D160&amp;E160,'Coeff EC7'!$D$5:$Q$5&amp;'Coeff EC7'!$D$6:$Q$6,0))</f>
        <v>#N/A</v>
      </c>
      <c r="O160" s="99" t="e">
        <f t="array" ref="O160">INDEX('Coeff EC7'!$D$41:$Q$61,MATCH($B$3,'Coeff EC7'!$C$41:$C$61,0),MATCH(D160&amp;E160,'Coeff EC7'!$D$39:$Q$39&amp;'Coeff EC7'!$D$40:$Q$40,0))</f>
        <v>#N/A</v>
      </c>
      <c r="P160" s="30" t="e">
        <f t="shared" si="266"/>
        <v>#N/A</v>
      </c>
      <c r="Q160" s="100" t="e">
        <f t="shared" si="233"/>
        <v>#N/A</v>
      </c>
      <c r="R160" s="86" t="b">
        <f t="shared" si="234"/>
        <v>0</v>
      </c>
      <c r="S160" s="86">
        <f t="shared" si="232"/>
        <v>0.5</v>
      </c>
      <c r="T160" s="86">
        <f t="shared" si="235"/>
        <v>0.5</v>
      </c>
      <c r="U160" s="30" t="e">
        <f t="shared" ca="1" si="267"/>
        <v>#DIV/0!</v>
      </c>
      <c r="V160" s="85" t="str">
        <f>IF(B160&lt;=Hypothèses!$V$7,Hypothèses!$W$7,IF(B160&lt;=Hypothèses!$V$8,Hypothèses!$W$8,IF(B160&lt;=Hypothèses!$V$9,Hypothèses!$W$9,IF(B160&lt;=Hypothèses!$V$10,Hypothèses!$W$10,IF(B160&lt;=Hypothèses!$V$11,Hypothèses!$W$11,IF(B160&lt;=Hypothèses!$V$12,Hypothèses!$W$12,IF(B160&lt;=Hypothèses!$V$13,Hypothèses!$W$13,IF(B160&lt;=Hypothèses!$V$14,Hypothèses!$W$14,IF(B160&lt;=Hypothèses!$V$15,Hypothèses!$W$15,IF(B160&lt;=Hypothèses!$V$16,Hypothèses!$W$16,IF(B160&lt;=Hypothèses!$V$17,Hypothèses!$W$17,IF(B160&lt;=Hypothèses!$V$18,Hypothèses!$W$18,""))))))))))))</f>
        <v/>
      </c>
      <c r="W160" s="87" t="e">
        <f t="shared" ca="1" si="316"/>
        <v>#DIV/0!</v>
      </c>
      <c r="X160" s="88" t="str">
        <f>IF(B160&lt;=Hypothèses!$V$7,Hypothèses!$X$7,IF(B160&lt;=Hypothèses!$V$8,Hypothèses!$X$8,IF(B160&lt;=Hypothèses!$V$9,Hypothèses!$X$9,IF(B160&lt;=Hypothèses!$V$10,Hypothèses!$X$10,IF(B160&lt;=Hypothèses!$V$11,Hypothèses!$X$11,IF(B160&lt;=Hypothèses!$V$12,Hypothèses!$X$12,IF(B160&lt;=Hypothèses!$V$13,Hypothèses!$X$13,IF(B160&lt;=Hypothèses!$V$14,Hypothèses!$X$14,IF(B160&lt;=Hypothèses!$V$15,Hypothèses!$X$15,IF(B160&lt;=Hypothèses!$V$16,Hypothèses!$X$16,IF(B160&lt;=Hypothèses!$U$17,Hypothèses!$W$17,IF(B160&lt;=Hypothèses!$U$18,Hypothèses!$W$18,""))))))))))))</f>
        <v/>
      </c>
      <c r="Y160" s="95" t="e">
        <f t="shared" ca="1" si="236"/>
        <v>#DIV/0!</v>
      </c>
      <c r="Z160" s="101">
        <f t="shared" si="237"/>
        <v>0</v>
      </c>
      <c r="AA160" s="91">
        <f t="shared" si="238"/>
        <v>0</v>
      </c>
      <c r="AB160" s="30" t="e">
        <f t="shared" si="300"/>
        <v>#N/A</v>
      </c>
      <c r="AC160" s="30" t="e">
        <f t="shared" si="301"/>
        <v>#N/A</v>
      </c>
      <c r="AD160" s="31" t="e">
        <f>IF(OR(Hypothèses!$B$4=17,Hypothèses!$B$4=18,Hypothèses!$B$4=19,Hypothèses!$B$4=20),
IF($D160="Pressio.",
IF(OR($E160=3,$E160=1,$E160=4),AC160,AB160),
IF($D160="Pénétro.",
IF(OR($E160=3,$E160=1,$E160=4),AC160,AB160))),IF($D160="Pressio.",
IF($E160=3,AC160,AB160),
IF($D160="Pénétro.",
IF($E160=4,AC160,AB160))))</f>
        <v>#N/A</v>
      </c>
      <c r="AE160" s="31">
        <v>0</v>
      </c>
      <c r="AF160" s="102" t="e">
        <f>IF(NDC!$H$10="Oui",(VLOOKUP($B$3,'Coeff EC7'!$T$39:$X$59,2,0)*AD160+VLOOKUP($B$3,'Coeff EC7'!$T$65:$X$85,2,0)*Model0.1T!AE160)/1.5,PI()*AB$12*$Q160*($B160-$B159)*0.15/10+AF159)</f>
        <v>#N/A</v>
      </c>
      <c r="AG160" s="102" t="e">
        <f>(VLOOKUP($B$3,'Coeff EC7'!$T$39:$X$59,3,0)*AD160+VLOOKUP($B$3,'Coeff EC7'!$T$65:$X$85,3,0)*Model0.1T!AE160)/1.1</f>
        <v>#N/A</v>
      </c>
      <c r="AH160" s="102" t="e">
        <f t="shared" si="268"/>
        <v>#N/A</v>
      </c>
      <c r="AI160" s="102" t="e">
        <f t="shared" si="269"/>
        <v>#N/A</v>
      </c>
      <c r="AJ160" s="414" t="e">
        <f>IF(AND(AF160&gt;NDC!$C$63,AG160&gt;NDC!$C$65,AH160&gt;NDC!$D$73,AI160&gt;NDC!$D$74,$B160&gt;NDC!$H$22-0.1+MIN(3*$AJ$12,1.5)),0,1)</f>
        <v>#N/A</v>
      </c>
      <c r="AK160" s="86" t="b">
        <f t="shared" si="239"/>
        <v>0</v>
      </c>
      <c r="AL160" s="86">
        <f t="shared" si="270"/>
        <v>0.5</v>
      </c>
      <c r="AM160" s="86">
        <f t="shared" si="240"/>
        <v>0.5</v>
      </c>
      <c r="AN160" s="30" t="e">
        <f t="shared" ca="1" si="271"/>
        <v>#DIV/0!</v>
      </c>
      <c r="AO160" s="85" t="e">
        <f ca="1">IF(U160&lt;=Hypothèses!$V$7,Hypothèses!$W$7,IF(U160&lt;=Hypothèses!$V$8,Hypothèses!$W$8,IF(U160&lt;=Hypothèses!$V$9,Hypothèses!$W$9,IF(U160&lt;=Hypothèses!$V$10,Hypothèses!$W$10,IF(U160&lt;=Hypothèses!$V$11,Hypothèses!$W$11,IF(U160&lt;=Hypothèses!$V$12,Hypothèses!$W$12,IF(U160&lt;=Hypothèses!$V$13,Hypothèses!$W$13,IF(U160&lt;=Hypothèses!$V$14,Hypothèses!$W$14,IF(U160&lt;=Hypothèses!$V$15,Hypothèses!$W$15,IF(U160&lt;=Hypothèses!$V$16,Hypothèses!$W$16,IF(U160&lt;=Hypothèses!$V$17,Hypothèses!$W$17,IF(U160&lt;=Hypothèses!$V$18,Hypothèses!$W$18,""))))))))))))</f>
        <v>#DIV/0!</v>
      </c>
      <c r="AP160" s="87" t="e">
        <f t="shared" ca="1" si="317"/>
        <v>#DIV/0!</v>
      </c>
      <c r="AQ160" s="88" t="e">
        <f ca="1">IF(U160&lt;=Hypothèses!$V$7,Hypothèses!$X$7,IF(U160&lt;=Hypothèses!$V$8,Hypothèses!$X$8,IF(U160&lt;=Hypothèses!$V$9,Hypothèses!$X$9,IF(U160&lt;=Hypothèses!$V$10,Hypothèses!$X$10,IF(U160&lt;=Hypothèses!$V$11,Hypothèses!$X$11,IF(U160&lt;=Hypothèses!$V$12,Hypothèses!$X$12,IF(U160&lt;=Hypothèses!$V$13,Hypothèses!$X$13,IF(U160&lt;=Hypothèses!$V$14,Hypothèses!$X$14,IF(U160&lt;=Hypothèses!$V$15,Hypothèses!$X$15,IF(U160&lt;=Hypothèses!$V$16,Hypothèses!$X$16,IF(U160&lt;=Hypothèses!$U$17,Hypothèses!$W$17,IF(U160&lt;=Hypothèses!$U$18,Hypothèses!$W$18,""))))))))))))</f>
        <v>#DIV/0!</v>
      </c>
      <c r="AR160" s="95" t="e">
        <f t="shared" ca="1" si="272"/>
        <v>#DIV/0!</v>
      </c>
      <c r="AS160" s="101">
        <f t="shared" si="324"/>
        <v>0</v>
      </c>
      <c r="AT160" s="91">
        <f t="shared" si="241"/>
        <v>0</v>
      </c>
      <c r="AU160" s="30" t="e">
        <f t="shared" si="302"/>
        <v>#N/A</v>
      </c>
      <c r="AV160" s="30" t="e">
        <f t="shared" si="303"/>
        <v>#N/A</v>
      </c>
      <c r="AW160" s="31" t="e">
        <f>IF(OR(Hypothèses!$B$4=17,Hypothèses!$B$4=18,Hypothèses!$B$4=19,Hypothèses!$B$4=20),
IF($D160="Pressio.",
IF(OR($E160=3,$E160=1,$E160=4),AV160,AU160),
IF($D160="Pénétro.",
IF(OR($E160=3,$E160=1,$E160=4),AV160,AU160))),IF($D160="Pressio.",
IF($E160=3,AV160,AU160),
IF($D160="Pénétro.",
IF($E160=4,AV160,AU160))))</f>
        <v>#N/A</v>
      </c>
      <c r="AX160" s="31">
        <v>0</v>
      </c>
      <c r="AY160" s="102" t="e">
        <f>IF(NDC!$H$10="Oui",(VLOOKUP($B$3,'Coeff EC7'!$T$39:$X$59,2,0)*AW160+VLOOKUP($B$3,'Coeff EC7'!$T$65:$X$85,2,0)*Model0.1T!AX160)/1.5,PI()*AU$12*$Q160*($B160-$B159)*0.15/10+AY159)</f>
        <v>#N/A</v>
      </c>
      <c r="AZ160" s="102" t="e">
        <f>(VLOOKUP($B$3,'Coeff EC7'!$T$39:$X$59,3,0)*AW160+VLOOKUP($B$3,'Coeff EC7'!$T$65:$X$85,3,0)*Model0.1T!AX160)/1.1</f>
        <v>#N/A</v>
      </c>
      <c r="BA160" s="102" t="e">
        <f t="shared" si="273"/>
        <v>#N/A</v>
      </c>
      <c r="BB160" s="102" t="e">
        <f t="shared" si="274"/>
        <v>#N/A</v>
      </c>
      <c r="BC160" s="414" t="e">
        <f>IF(AND(AY160&gt;NDC!$C$63,AZ160&gt;NDC!$C$65,BA160&gt;NDC!$D$73,BB160&gt;NDC!$D$74,$B160&gt;NDC!$H$22-0.1+MIN(3*BC$12,1.5)),0,1)</f>
        <v>#N/A</v>
      </c>
      <c r="BD160" s="86" t="b">
        <f t="shared" si="242"/>
        <v>0</v>
      </c>
      <c r="BE160" s="86">
        <f t="shared" si="275"/>
        <v>0.5</v>
      </c>
      <c r="BF160" s="86">
        <f t="shared" si="243"/>
        <v>0.5</v>
      </c>
      <c r="BG160" s="30" t="e">
        <f t="shared" ca="1" si="276"/>
        <v>#DIV/0!</v>
      </c>
      <c r="BH160" s="85" t="e">
        <f ca="1">IF(AN160&lt;=Hypothèses!$V$7,Hypothèses!$W$7,IF(AN160&lt;=Hypothèses!$V$8,Hypothèses!$W$8,IF(AN160&lt;=Hypothèses!$V$9,Hypothèses!$W$9,IF(AN160&lt;=Hypothèses!$V$10,Hypothèses!$W$10,IF(AN160&lt;=Hypothèses!$V$11,Hypothèses!$W$11,IF(AN160&lt;=Hypothèses!$V$12,Hypothèses!$W$12,IF(AN160&lt;=Hypothèses!$V$13,Hypothèses!$W$13,IF(AN160&lt;=Hypothèses!$V$14,Hypothèses!$W$14,IF(AN160&lt;=Hypothèses!$V$15,Hypothèses!$W$15,IF(AN160&lt;=Hypothèses!$V$16,Hypothèses!$W$16,IF(AN160&lt;=Hypothèses!$V$17,Hypothèses!$W$17,IF(AN160&lt;=Hypothèses!$V$18,Hypothèses!$W$18,""))))))))))))</f>
        <v>#DIV/0!</v>
      </c>
      <c r="BI160" s="87" t="e">
        <f t="shared" ca="1" si="318"/>
        <v>#DIV/0!</v>
      </c>
      <c r="BJ160" s="88" t="e">
        <f ca="1">IF(AN160&lt;=Hypothèses!$V$7,Hypothèses!$X$7,IF(AN160&lt;=Hypothèses!$V$8,Hypothèses!$X$8,IF(AN160&lt;=Hypothèses!$V$9,Hypothèses!$X$9,IF(AN160&lt;=Hypothèses!$V$10,Hypothèses!$X$10,IF(AN160&lt;=Hypothèses!$V$11,Hypothèses!$X$11,IF(AN160&lt;=Hypothèses!$V$12,Hypothèses!$X$12,IF(AN160&lt;=Hypothèses!$V$13,Hypothèses!$X$13,IF(AN160&lt;=Hypothèses!$V$14,Hypothèses!$X$14,IF(AN160&lt;=Hypothèses!$V$15,Hypothèses!$X$15,IF(AN160&lt;=Hypothèses!$V$16,Hypothèses!$X$16,IF(AN160&lt;=Hypothèses!$U$17,Hypothèses!$W$17,IF(AN160&lt;=Hypothèses!$U$18,Hypothèses!$W$18,""))))))))))))</f>
        <v>#DIV/0!</v>
      </c>
      <c r="BK160" s="95" t="e">
        <f t="shared" ca="1" si="277"/>
        <v>#DIV/0!</v>
      </c>
      <c r="BL160" s="101">
        <f t="shared" si="325"/>
        <v>0</v>
      </c>
      <c r="BM160" s="91">
        <f t="shared" si="244"/>
        <v>0</v>
      </c>
      <c r="BN160" s="30" t="e">
        <f t="shared" si="304"/>
        <v>#N/A</v>
      </c>
      <c r="BO160" s="30" t="e">
        <f t="shared" si="305"/>
        <v>#N/A</v>
      </c>
      <c r="BP160" s="31" t="e">
        <f>IF(OR(Hypothèses!$B$4=17,Hypothèses!$B$4=18,Hypothèses!$B$4=19,Hypothèses!$B$4=20),
IF($D160="Pressio.",
IF(OR($E160=3,$E160=1,$E160=4),BO160,BN160),
IF($D160="Pénétro.",
IF(OR($E160=3,$E160=1,$E160=4),BO160,BN160))),IF($D160="Pressio.",
IF($E160=3,BO160,BN160),
IF($D160="Pénétro.",
IF($E160=4,BO160,BN160))))</f>
        <v>#N/A</v>
      </c>
      <c r="BQ160" s="31">
        <v>0</v>
      </c>
      <c r="BR160" s="102" t="e">
        <f>IF(NDC!$H$10="Oui",(VLOOKUP($B$3,'Coeff EC7'!$T$39:$X$59,2,0)*BP160+VLOOKUP($B$3,'Coeff EC7'!$T$65:$X$85,2,0)*Model0.1T!BQ160)/1.5,PI()*BN$12*$Q160*($B160-$B159)*0.15/10+BR159)</f>
        <v>#N/A</v>
      </c>
      <c r="BS160" s="102" t="e">
        <f>(VLOOKUP($B$3,'Coeff EC7'!$T$39:$X$59,3,0)*BP160+VLOOKUP($B$3,'Coeff EC7'!$T$65:$X$85,3,0)*Model0.1T!BQ160)/1.1</f>
        <v>#N/A</v>
      </c>
      <c r="BT160" s="102" t="e">
        <f t="shared" si="278"/>
        <v>#N/A</v>
      </c>
      <c r="BU160" s="102" t="e">
        <f t="shared" si="279"/>
        <v>#N/A</v>
      </c>
      <c r="BV160" s="414" t="e">
        <f>IF(AND(BR160&gt;NDC!$C$63,BS160&gt;NDC!$C$65,BT160&gt;NDC!$D$73,BU160&gt;NDC!$D$74,$B160&gt;NDC!$H$22-0.1+MIN(3*BV$12,1.5)),0,1)</f>
        <v>#N/A</v>
      </c>
      <c r="BW160" s="86" t="b">
        <f t="shared" si="245"/>
        <v>0</v>
      </c>
      <c r="BX160" s="86">
        <f t="shared" si="246"/>
        <v>0.5</v>
      </c>
      <c r="BY160" s="86">
        <f t="shared" si="247"/>
        <v>0.5</v>
      </c>
      <c r="BZ160" s="30" t="e">
        <f t="shared" ca="1" si="280"/>
        <v>#DIV/0!</v>
      </c>
      <c r="CA160" s="85" t="e">
        <f ca="1">IF(BG160&lt;=Hypothèses!$V$7,Hypothèses!$W$7,IF(BG160&lt;=Hypothèses!$V$8,Hypothèses!$W$8,IF(BG160&lt;=Hypothèses!$V$9,Hypothèses!$W$9,IF(BG160&lt;=Hypothèses!$V$10,Hypothèses!$W$10,IF(BG160&lt;=Hypothèses!$V$11,Hypothèses!$W$11,IF(BG160&lt;=Hypothèses!$V$12,Hypothèses!$W$12,IF(BG160&lt;=Hypothèses!$V$13,Hypothèses!$W$13,IF(BG160&lt;=Hypothèses!$V$14,Hypothèses!$W$14,IF(BG160&lt;=Hypothèses!$V$15,Hypothèses!$W$15,IF(BG160&lt;=Hypothèses!$V$16,Hypothèses!$W$16,IF(BG160&lt;=Hypothèses!$V$17,Hypothèses!$W$17,IF(BG160&lt;=Hypothèses!$V$18,Hypothèses!$W$18,""))))))))))))</f>
        <v>#DIV/0!</v>
      </c>
      <c r="CB160" s="87" t="e">
        <f t="shared" ca="1" si="319"/>
        <v>#DIV/0!</v>
      </c>
      <c r="CC160" s="88" t="e">
        <f ca="1">IF(BG160&lt;=Hypothèses!$V$7,Hypothèses!$X$7,IF(BG160&lt;=Hypothèses!$V$8,Hypothèses!$X$8,IF(BG160&lt;=Hypothèses!$V$9,Hypothèses!$X$9,IF(BG160&lt;=Hypothèses!$V$10,Hypothèses!$X$10,IF(BG160&lt;=Hypothèses!$V$11,Hypothèses!$X$11,IF(BG160&lt;=Hypothèses!$V$12,Hypothèses!$X$12,IF(BG160&lt;=Hypothèses!$V$13,Hypothèses!$X$13,IF(BG160&lt;=Hypothèses!$V$14,Hypothèses!$X$14,IF(BG160&lt;=Hypothèses!$V$15,Hypothèses!$X$15,IF(BG160&lt;=Hypothèses!$V$16,Hypothèses!$X$16,IF(BG160&lt;=Hypothèses!$U$17,Hypothèses!$W$17,IF(BG160&lt;=Hypothèses!$U$18,Hypothèses!$W$18,""))))))))))))</f>
        <v>#DIV/0!</v>
      </c>
      <c r="CD160" s="95" t="e">
        <f t="shared" ca="1" si="281"/>
        <v>#DIV/0!</v>
      </c>
      <c r="CE160" s="101">
        <f t="shared" si="326"/>
        <v>0</v>
      </c>
      <c r="CF160" s="91">
        <f t="shared" si="248"/>
        <v>0</v>
      </c>
      <c r="CG160" s="30" t="e">
        <f t="shared" si="306"/>
        <v>#N/A</v>
      </c>
      <c r="CH160" s="30" t="e">
        <f t="shared" si="307"/>
        <v>#N/A</v>
      </c>
      <c r="CI160" s="31" t="e">
        <f>IF(OR(Hypothèses!$B$4=17,Hypothèses!$B$4=18,Hypothèses!$B$4=19,Hypothèses!$B$4=20),
IF($D160="Pressio.",
IF(OR($E160=3,$E160=1,$E160=4),CH160,CG160),
IF($D160="Pénétro.",
IF(OR($E160=3,$E160=1,$E160=4),CH160,CG160))),IF($D160="Pressio.",
IF($E160=3,CH160,CG160),
IF($D160="Pénétro.",
IF($E160=4,CH160,CG160))))</f>
        <v>#N/A</v>
      </c>
      <c r="CJ160" s="31">
        <v>0</v>
      </c>
      <c r="CK160" s="102" t="e">
        <f>IF(NDC!$H$10="Oui",(VLOOKUP($B$3,'Coeff EC7'!$T$39:$X$59,2,0)*CI160+VLOOKUP($B$3,'Coeff EC7'!$T$65:$X$85,2,0)*Model0.1T!CJ160)/1.5,PI()*CG$12*$Q160*($B160-$B159)*0.15/10+CK159)</f>
        <v>#N/A</v>
      </c>
      <c r="CL160" s="102" t="e">
        <f>(VLOOKUP($B$3,'Coeff EC7'!$T$39:$X$59,3,0)*CI160+VLOOKUP($B$3,'Coeff EC7'!$T$65:$X$85,3,0)*Model0.1T!CJ160)/1.1</f>
        <v>#N/A</v>
      </c>
      <c r="CM160" s="102" t="e">
        <f t="shared" si="282"/>
        <v>#N/A</v>
      </c>
      <c r="CN160" s="102" t="e">
        <f t="shared" si="283"/>
        <v>#N/A</v>
      </c>
      <c r="CO160" s="414" t="e">
        <f>IF(AND(CK160&gt;NDC!$C$63,CL160&gt;NDC!$C$65,CM160&gt;NDC!$D$73,CN160&gt;NDC!$D$74,$B160&gt;NDC!$H$22-0.1+MIN(3*CO$12,1.5)),0,1)</f>
        <v>#N/A</v>
      </c>
      <c r="CP160" s="86" t="b">
        <f t="shared" si="249"/>
        <v>0</v>
      </c>
      <c r="CQ160" s="86">
        <f t="shared" si="250"/>
        <v>0.5</v>
      </c>
      <c r="CR160" s="86">
        <f t="shared" si="251"/>
        <v>0.5</v>
      </c>
      <c r="CS160" s="30" t="e">
        <f t="shared" ca="1" si="284"/>
        <v>#DIV/0!</v>
      </c>
      <c r="CT160" s="85" t="e">
        <f ca="1">IF(BZ160&lt;=Hypothèses!$V$7,Hypothèses!$W$7,IF(BZ160&lt;=Hypothèses!$V$8,Hypothèses!$W$8,IF(BZ160&lt;=Hypothèses!$V$9,Hypothèses!$W$9,IF(BZ160&lt;=Hypothèses!$V$10,Hypothèses!$W$10,IF(BZ160&lt;=Hypothèses!$V$11,Hypothèses!$W$11,IF(BZ160&lt;=Hypothèses!$V$12,Hypothèses!$W$12,IF(BZ160&lt;=Hypothèses!$V$13,Hypothèses!$W$13,IF(BZ160&lt;=Hypothèses!$V$14,Hypothèses!$W$14,IF(BZ160&lt;=Hypothèses!$V$15,Hypothèses!$W$15,IF(BZ160&lt;=Hypothèses!$V$16,Hypothèses!$W$16,IF(BZ160&lt;=Hypothèses!$V$17,Hypothèses!$W$17,IF(BZ160&lt;=Hypothèses!$V$18,Hypothèses!$W$18,""))))))))))))</f>
        <v>#DIV/0!</v>
      </c>
      <c r="CU160" s="87" t="e">
        <f t="shared" ca="1" si="320"/>
        <v>#DIV/0!</v>
      </c>
      <c r="CV160" s="88" t="e">
        <f ca="1">IF(BZ160&lt;=Hypothèses!$V$7,Hypothèses!$X$7,IF(BZ160&lt;=Hypothèses!$V$8,Hypothèses!$X$8,IF(BZ160&lt;=Hypothèses!$V$9,Hypothèses!$X$9,IF(BZ160&lt;=Hypothèses!$V$10,Hypothèses!$X$10,IF(BZ160&lt;=Hypothèses!$V$11,Hypothèses!$X$11,IF(BZ160&lt;=Hypothèses!$V$12,Hypothèses!$X$12,IF(BZ160&lt;=Hypothèses!$V$13,Hypothèses!$X$13,IF(BZ160&lt;=Hypothèses!$V$14,Hypothèses!$X$14,IF(BZ160&lt;=Hypothèses!$V$15,Hypothèses!$X$15,IF(BZ160&lt;=Hypothèses!$V$16,Hypothèses!$X$16,IF(BZ160&lt;=Hypothèses!$U$17,Hypothèses!$W$17,IF(BZ160&lt;=Hypothèses!$U$18,Hypothèses!$W$18,""))))))))))))</f>
        <v>#DIV/0!</v>
      </c>
      <c r="CW160" s="95" t="e">
        <f t="shared" ca="1" si="285"/>
        <v>#DIV/0!</v>
      </c>
      <c r="CX160" s="101">
        <f t="shared" si="327"/>
        <v>0</v>
      </c>
      <c r="CY160" s="91">
        <f t="shared" si="252"/>
        <v>0</v>
      </c>
      <c r="CZ160" s="30" t="e">
        <f t="shared" si="308"/>
        <v>#N/A</v>
      </c>
      <c r="DA160" s="30" t="e">
        <f t="shared" si="309"/>
        <v>#N/A</v>
      </c>
      <c r="DB160" s="31" t="e">
        <f>IF(OR(Hypothèses!$B$4=17,Hypothèses!$B$4=18,Hypothèses!$B$4=19,Hypothèses!$B$4=20),
IF($D160="Pressio.",
IF(OR($E160=3,$E160=1,$E160=4),DA160,CZ160),
IF($D160="Pénétro.",
IF(OR($E160=3,$E160=1,$E160=4),DA160,CZ160))),IF($D160="Pressio.",
IF($E160=3,DA160,CZ160),
IF($D160="Pénétro.",
IF($E160=4,DA160,CZ160))))</f>
        <v>#N/A</v>
      </c>
      <c r="DC160" s="31">
        <v>0</v>
      </c>
      <c r="DD160" s="102" t="e">
        <f>IF(NDC!$H$10="Oui",(VLOOKUP($B$3,'Coeff EC7'!$T$39:$X$59,2,0)*DB160+VLOOKUP($B$3,'Coeff EC7'!$T$65:$X$85,2,0)*Model0.1T!DC160)/1.5,PI()*CZ$12*$Q160*($B160-$B159)*0.15/10+DD159)</f>
        <v>#N/A</v>
      </c>
      <c r="DE160" s="102" t="e">
        <f>(VLOOKUP($B$3,'Coeff EC7'!$T$39:$X$59,3,0)*DB160+VLOOKUP($B$3,'Coeff EC7'!$T$65:$X$85,3,0)*Model0.1T!DC160)/1.1</f>
        <v>#N/A</v>
      </c>
      <c r="DF160" s="102" t="e">
        <f t="shared" si="286"/>
        <v>#N/A</v>
      </c>
      <c r="DG160" s="102" t="e">
        <f t="shared" si="287"/>
        <v>#N/A</v>
      </c>
      <c r="DH160" s="414" t="e">
        <f>IF(AND(DD160&gt;NDC!$C$63,DE160&gt;NDC!$C$65,DF160&gt;NDC!$D$73,DG160&gt;NDC!$D$74,$B160&gt;NDC!$H$22-0.1+MIN(3*DH$12,1.5)),0,1)</f>
        <v>#N/A</v>
      </c>
      <c r="DI160" s="86" t="b">
        <f t="shared" si="253"/>
        <v>0</v>
      </c>
      <c r="DJ160" s="86">
        <f t="shared" si="254"/>
        <v>0.5</v>
      </c>
      <c r="DK160" s="86">
        <f t="shared" si="255"/>
        <v>0.5</v>
      </c>
      <c r="DL160" s="30" t="e">
        <f t="shared" ca="1" si="288"/>
        <v>#DIV/0!</v>
      </c>
      <c r="DM160" s="85" t="e">
        <f ca="1">IF(CS160&lt;=Hypothèses!$V$7,Hypothèses!$W$7,IF(CS160&lt;=Hypothèses!$V$8,Hypothèses!$W$8,IF(CS160&lt;=Hypothèses!$V$9,Hypothèses!$W$9,IF(CS160&lt;=Hypothèses!$V$10,Hypothèses!$W$10,IF(CS160&lt;=Hypothèses!$V$11,Hypothèses!$W$11,IF(CS160&lt;=Hypothèses!$V$12,Hypothèses!$W$12,IF(CS160&lt;=Hypothèses!$V$13,Hypothèses!$W$13,IF(CS160&lt;=Hypothèses!$V$14,Hypothèses!$W$14,IF(CS160&lt;=Hypothèses!$V$15,Hypothèses!$W$15,IF(CS160&lt;=Hypothèses!$V$16,Hypothèses!$W$16,IF(CS160&lt;=Hypothèses!$V$17,Hypothèses!$W$17,IF(CS160&lt;=Hypothèses!$V$18,Hypothèses!$W$18,""))))))))))))</f>
        <v>#DIV/0!</v>
      </c>
      <c r="DN160" s="87" t="e">
        <f t="shared" ca="1" si="321"/>
        <v>#DIV/0!</v>
      </c>
      <c r="DO160" s="88" t="e">
        <f ca="1">IF(CS160&lt;=Hypothèses!$V$7,Hypothèses!$X$7,IF(CS160&lt;=Hypothèses!$V$8,Hypothèses!$X$8,IF(CS160&lt;=Hypothèses!$V$9,Hypothèses!$X$9,IF(CS160&lt;=Hypothèses!$V$10,Hypothèses!$X$10,IF(CS160&lt;=Hypothèses!$V$11,Hypothèses!$X$11,IF(CS160&lt;=Hypothèses!$V$12,Hypothèses!$X$12,IF(CS160&lt;=Hypothèses!$V$13,Hypothèses!$X$13,IF(CS160&lt;=Hypothèses!$V$14,Hypothèses!$X$14,IF(CS160&lt;=Hypothèses!$V$15,Hypothèses!$X$15,IF(CS160&lt;=Hypothèses!$V$16,Hypothèses!$X$16,IF(CS160&lt;=Hypothèses!$U$17,Hypothèses!$W$17,IF(CS160&lt;=Hypothèses!$U$18,Hypothèses!$W$18,""))))))))))))</f>
        <v>#DIV/0!</v>
      </c>
      <c r="DP160" s="95" t="e">
        <f t="shared" ca="1" si="289"/>
        <v>#DIV/0!</v>
      </c>
      <c r="DQ160" s="101">
        <f t="shared" si="328"/>
        <v>0</v>
      </c>
      <c r="DR160" s="91">
        <f t="shared" si="256"/>
        <v>0</v>
      </c>
      <c r="DS160" s="30" t="e">
        <f t="shared" si="310"/>
        <v>#N/A</v>
      </c>
      <c r="DT160" s="30" t="e">
        <f t="shared" si="311"/>
        <v>#N/A</v>
      </c>
      <c r="DU160" s="31" t="e">
        <f>IF(OR(Hypothèses!$B$4=17,Hypothèses!$B$4=18,Hypothèses!$B$4=19,Hypothèses!$B$4=20),
IF($D160="Pressio.",
IF(OR($E160=3,$E160=1,$E160=4),DT160,DS160),
IF($D160="Pénétro.",
IF(OR($E160=3,$E160=1,$E160=4),DT160,DS160))),IF($D160="Pressio.",
IF($E160=3,DT160,DS160),
IF($D160="Pénétro.",
IF($E160=4,DT160,DS160))))</f>
        <v>#N/A</v>
      </c>
      <c r="DV160" s="31">
        <v>0</v>
      </c>
      <c r="DW160" s="102" t="e">
        <f>IF(NDC!$H$10="Oui",(VLOOKUP($B$3,'Coeff EC7'!$T$39:$X$59,2,0)*DU160+VLOOKUP($B$3,'Coeff EC7'!$T$65:$X$85,2,0)*Model0.1T!DV160)/1.5,PI()*DS$12*$Q160*($B160-$B159)*0.15/10+DW159)</f>
        <v>#N/A</v>
      </c>
      <c r="DX160" s="102" t="e">
        <f>(VLOOKUP($B$3,'Coeff EC7'!$T$39:$X$59,3,0)*DU160+VLOOKUP($B$3,'Coeff EC7'!$T$65:$X$85,3,0)*Model0.1T!DV160)/1.1</f>
        <v>#N/A</v>
      </c>
      <c r="DY160" s="102" t="e">
        <f t="shared" si="290"/>
        <v>#N/A</v>
      </c>
      <c r="DZ160" s="102" t="e">
        <f t="shared" si="291"/>
        <v>#N/A</v>
      </c>
      <c r="EA160" s="414" t="e">
        <f>IF(AND(DW160&gt;NDC!$C$63,DX160&gt;NDC!$C$65,DY160&gt;NDC!$D$73,DZ160&gt;NDC!$D$74,$B160&gt;NDC!$H$22-0.1+MIN(3*EA$12,1.5)),0,1)</f>
        <v>#N/A</v>
      </c>
      <c r="EB160" s="86" t="b">
        <f t="shared" si="257"/>
        <v>0</v>
      </c>
      <c r="EC160" s="418">
        <f t="shared" si="258"/>
        <v>0.51</v>
      </c>
      <c r="ED160" s="86">
        <f t="shared" si="259"/>
        <v>0.51</v>
      </c>
      <c r="EE160" s="30" t="e">
        <f t="shared" ca="1" si="292"/>
        <v>#DIV/0!</v>
      </c>
      <c r="EF160" s="85" t="e">
        <f ca="1">IF(DL160&lt;=Hypothèses!$V$7,Hypothèses!$W$7,IF(DL160&lt;=Hypothèses!$V$8,Hypothèses!$W$8,IF(DL160&lt;=Hypothèses!$V$9,Hypothèses!$W$9,IF(DL160&lt;=Hypothèses!$V$10,Hypothèses!$W$10,IF(DL160&lt;=Hypothèses!$V$11,Hypothèses!$W$11,IF(DL160&lt;=Hypothèses!$V$12,Hypothèses!$W$12,IF(DL160&lt;=Hypothèses!$V$13,Hypothèses!$W$13,IF(DL160&lt;=Hypothèses!$V$14,Hypothèses!$W$14,IF(DL160&lt;=Hypothèses!$V$15,Hypothèses!$W$15,IF(DL160&lt;=Hypothèses!$V$16,Hypothèses!$W$16,IF(DL160&lt;=Hypothèses!$V$17,Hypothèses!$W$17,IF(DL160&lt;=Hypothèses!$V$18,Hypothèses!$W$18,""))))))))))))</f>
        <v>#DIV/0!</v>
      </c>
      <c r="EG160" s="87" t="e">
        <f t="shared" ca="1" si="322"/>
        <v>#DIV/0!</v>
      </c>
      <c r="EH160" s="88" t="e">
        <f ca="1">IF(DL160&lt;=Hypothèses!$V$7,Hypothèses!$X$7,IF(DL160&lt;=Hypothèses!$V$8,Hypothèses!$X$8,IF(DL160&lt;=Hypothèses!$V$9,Hypothèses!$X$9,IF(DL160&lt;=Hypothèses!$V$10,Hypothèses!$X$10,IF(DL160&lt;=Hypothèses!$V$11,Hypothèses!$X$11,IF(DL160&lt;=Hypothèses!$V$12,Hypothèses!$X$12,IF(DL160&lt;=Hypothèses!$V$13,Hypothèses!$X$13,IF(DL160&lt;=Hypothèses!$V$14,Hypothèses!$X$14,IF(DL160&lt;=Hypothèses!$V$15,Hypothèses!$X$15,IF(DL160&lt;=Hypothèses!$V$16,Hypothèses!$X$16,IF(DL160&lt;=Hypothèses!$U$17,Hypothèses!$W$17,IF(DL160&lt;=Hypothèses!$U$18,Hypothèses!$W$18,""))))))))))))</f>
        <v>#DIV/0!</v>
      </c>
      <c r="EI160" s="95" t="e">
        <f t="shared" ca="1" si="293"/>
        <v>#DIV/0!</v>
      </c>
      <c r="EJ160" s="101">
        <f t="shared" si="329"/>
        <v>0</v>
      </c>
      <c r="EK160" s="91">
        <f t="shared" si="260"/>
        <v>0</v>
      </c>
      <c r="EL160" s="30" t="e">
        <f t="shared" si="312"/>
        <v>#N/A</v>
      </c>
      <c r="EM160" s="30" t="e">
        <f t="shared" si="313"/>
        <v>#N/A</v>
      </c>
      <c r="EN160" s="31" t="e">
        <f>IF(OR(Hypothèses!$B$4=17,Hypothèses!$B$4=18,Hypothèses!$B$4=19,Hypothèses!$B$4=20),
IF($D160="Pressio.",
IF(OR($E160=3,$E160=1,$E160=4),EM160,EL160),
IF($D160="Pénétro.",
IF(OR($E160=3,$E160=1,$E160=4),EM160,EL160))),IF($D160="Pressio.",
IF($E160=3,EM160,EL160),
IF($D160="Pénétro.",
IF($E160=4,EM160,EL160))))</f>
        <v>#N/A</v>
      </c>
      <c r="EO160" s="31">
        <v>0</v>
      </c>
      <c r="EP160" s="102" t="e">
        <f>IF(NDC!$H$10="Oui",(VLOOKUP($B$3,'Coeff EC7'!$T$39:$X$59,2,0)*EN160+VLOOKUP($B$3,'Coeff EC7'!$T$65:$X$85,2,0)*Model0.1T!EO160)/1.5,PI()*EL$12*$Q160*($B160-$B159)*0.15/10+EP159)</f>
        <v>#N/A</v>
      </c>
      <c r="EQ160" s="102" t="e">
        <f>(VLOOKUP($B$3,'Coeff EC7'!$T$39:$X$59,3,0)*EN160+VLOOKUP($B$3,'Coeff EC7'!$T$65:$X$85,3,0)*Model0.1T!EO160)/1.1</f>
        <v>#N/A</v>
      </c>
      <c r="ER160" s="102" t="e">
        <f t="shared" si="294"/>
        <v>#N/A</v>
      </c>
      <c r="ES160" s="102" t="e">
        <f t="shared" si="295"/>
        <v>#N/A</v>
      </c>
      <c r="ET160" s="414" t="e">
        <f>IF(AND(EP160&gt;NDC!$C$63,EQ160&gt;NDC!$C$65,ER160&gt;NDC!$D$73,ES160&gt;NDC!$D$74,$B160&gt;NDC!$H$22-0.1+MIN(3*ET$12,1.5)),0,1)</f>
        <v>#N/A</v>
      </c>
      <c r="EU160" s="86" t="b">
        <f t="shared" si="261"/>
        <v>0</v>
      </c>
      <c r="EV160" s="86">
        <f t="shared" si="262"/>
        <v>0.61</v>
      </c>
      <c r="EW160" s="86">
        <f t="shared" si="263"/>
        <v>0.61</v>
      </c>
      <c r="EX160" s="30" t="e">
        <f t="shared" ca="1" si="296"/>
        <v>#DIV/0!</v>
      </c>
      <c r="EY160" s="85" t="e">
        <f ca="1">IF(EE160&lt;=Hypothèses!$V$7,Hypothèses!$W$7,IF(EE160&lt;=Hypothèses!$V$8,Hypothèses!$W$8,IF(EE160&lt;=Hypothèses!$V$9,Hypothèses!$W$9,IF(EE160&lt;=Hypothèses!$V$10,Hypothèses!$W$10,IF(EE160&lt;=Hypothèses!$V$11,Hypothèses!$W$11,IF(EE160&lt;=Hypothèses!$V$12,Hypothèses!$W$12,IF(EE160&lt;=Hypothèses!$V$13,Hypothèses!$W$13,IF(EE160&lt;=Hypothèses!$V$14,Hypothèses!$W$14,IF(EE160&lt;=Hypothèses!$V$15,Hypothèses!$W$15,IF(EE160&lt;=Hypothèses!$V$16,Hypothèses!$W$16,IF(EE160&lt;=Hypothèses!$V$17,Hypothèses!$W$17,IF(EE160&lt;=Hypothèses!$V$18,Hypothèses!$W$18,""))))))))))))</f>
        <v>#DIV/0!</v>
      </c>
      <c r="EZ160" s="87" t="e">
        <f t="shared" ca="1" si="323"/>
        <v>#DIV/0!</v>
      </c>
      <c r="FA160" s="88" t="e">
        <f ca="1">IF(EE160&lt;=Hypothèses!$V$7,Hypothèses!$X$7,IF(EE160&lt;=Hypothèses!$V$8,Hypothèses!$X$8,IF(EE160&lt;=Hypothèses!$V$9,Hypothèses!$X$9,IF(EE160&lt;=Hypothèses!$V$10,Hypothèses!$X$10,IF(EE160&lt;=Hypothèses!$V$11,Hypothèses!$X$11,IF(EE160&lt;=Hypothèses!$V$12,Hypothèses!$X$12,IF(EE160&lt;=Hypothèses!$V$13,Hypothèses!$X$13,IF(EE160&lt;=Hypothèses!$V$14,Hypothèses!$X$14,IF(EE160&lt;=Hypothèses!$V$15,Hypothèses!$X$15,IF(EE160&lt;=Hypothèses!$V$16,Hypothèses!$X$16,IF(EE160&lt;=Hypothèses!$U$17,Hypothèses!$W$17,IF(EE160&lt;=Hypothèses!$U$18,Hypothèses!$W$18,""))))))))))))</f>
        <v>#DIV/0!</v>
      </c>
      <c r="FB160" s="95" t="e">
        <f t="shared" ca="1" si="297"/>
        <v>#DIV/0!</v>
      </c>
      <c r="FC160" s="101">
        <f t="shared" si="330"/>
        <v>0</v>
      </c>
      <c r="FD160" s="91">
        <f t="shared" si="264"/>
        <v>0</v>
      </c>
      <c r="FE160" s="30" t="e">
        <f t="shared" si="314"/>
        <v>#N/A</v>
      </c>
      <c r="FF160" s="30" t="e">
        <f t="shared" si="315"/>
        <v>#N/A</v>
      </c>
      <c r="FG160" s="31" t="e">
        <f>IF(OR(Hypothèses!$B$4=17,Hypothèses!$B$4=18,Hypothèses!$B$4=19,Hypothèses!$B$4=20),
IF($D160="Pressio.",
IF(OR($E160=3,$E160=1,$E160=4),FF160,FE160),
IF($D160="Pénétro.",
IF(OR($E160=3,$E160=1,$E160=4),FF160,FE160))),IF($D160="Pressio.",
IF($E160=3,FF160,FE160),
IF($D160="Pénétro.",
IF($E160=4,FF160,FE160))))</f>
        <v>#N/A</v>
      </c>
      <c r="FH160" s="31">
        <v>0</v>
      </c>
      <c r="FI160" s="102" t="e">
        <f>IF(NDC!$H$10="Oui",(VLOOKUP($B$3,'Coeff EC7'!$T$39:$X$59,2,0)*FG160+VLOOKUP($B$3,'Coeff EC7'!$T$65:$X$85,2,0)*Model0.1T!FH160)/1.5,PI()*FE$12*$Q160*($B160-$B159)*0.15/10+FI159)</f>
        <v>#N/A</v>
      </c>
      <c r="FJ160" s="102" t="e">
        <f>(VLOOKUP($B$3,'Coeff EC7'!$T$39:$X$59,3,0)*FG160+VLOOKUP($B$3,'Coeff EC7'!$T$65:$X$85,3,0)*Model0.1T!FH160)/1.1</f>
        <v>#N/A</v>
      </c>
      <c r="FK160" s="102" t="e">
        <f t="shared" si="298"/>
        <v>#N/A</v>
      </c>
      <c r="FL160" s="102" t="e">
        <f t="shared" si="299"/>
        <v>#N/A</v>
      </c>
      <c r="FM160" s="414" t="e">
        <f>IF(AND(FI160&gt;NDC!$C$63,FJ160&gt;NDC!$C$65,FK160&gt;NDC!$D$73,FL160&gt;NDC!$D$74,$B160&gt;NDC!$H$22-0.1+MIN(3*FM$12,1.5)),0,1)</f>
        <v>#N/A</v>
      </c>
    </row>
    <row r="161" spans="1:169">
      <c r="A161" s="96">
        <f t="shared" si="265"/>
        <v>85.200000000000841</v>
      </c>
      <c r="B161" s="97">
        <v>14.8</v>
      </c>
      <c r="C161" s="81">
        <f>IF(B161&lt;=Hypothèses!$C$7,Hypothèses!$A$7,IF(B161&lt;=Hypothèses!$C$8,Hypothèses!$A$8,IF(B161&lt;=Hypothèses!$C$9,Hypothèses!$A$9,IF(B161&lt;=Hypothèses!$C$10,Hypothèses!$A$10,IF(B161&lt;=Hypothèses!$C$11,Hypothèses!$A$11,IF(B161&lt;=Hypothèses!$C$12,Hypothèses!$A$12,IF(B161&lt;=Hypothèses!$C$13,Hypothèses!$A$13,IF(B161&lt;=Hypothèses!$C$14,Hypothèses!$A$14,IF(B161&lt;=Hypothèses!$C$15,Hypothèses!$A$15,IF(B161&lt;=Hypothèses!$C$16,Hypothèses!$A$16,IF(B161&lt;=Hypothèses!$C$17,Hypothèses!$A$17,IF(B161&lt;=Hypothèses!$C$18,Hypothèses!$A$18,C160))))))))))))</f>
        <v>11</v>
      </c>
      <c r="D161" s="82" t="str">
        <f>IF(B161&lt;=Hypothèses!$C$7,Hypothèses!$R$7,IF(B161&lt;=Hypothèses!$C$8,Hypothèses!$R$8,IF(B161&lt;=Hypothèses!$C$9,Hypothèses!$R$9,IF(B161&lt;=Hypothèses!$C$10,Hypothèses!$R$10,IF(B161&lt;=Hypothèses!$C$11,Hypothèses!$R$11,IF(B161&lt;=Hypothèses!$C$12,Hypothèses!$R$12,IF(B161&lt;=Hypothèses!$C$13,Hypothèses!$R$13,IF(B161&lt;=Hypothèses!$C$14,Hypothèses!$R$14,IF(B161&lt;=Hypothèses!$C$15,Hypothèses!$R$15,IF(B161&lt;=Hypothèses!$C$16,Hypothèses!$R$16,IF(B161&lt;=Hypothèses!$C$17,Hypothèses!$R$17,IF(B161&lt;=Hypothèses!$C$18,Hypothèses!$R$18,D160))))))))))))</f>
        <v>Pressio.</v>
      </c>
      <c r="E161" s="82" t="e">
        <f>IF(B161&lt;=Hypothèses!$C$7,Hypothèses!$G$7,IF(B161&lt;=Hypothèses!$C$8,Hypothèses!$G$8,IF(B161&lt;=Hypothèses!$C$9,Hypothèses!$G$9,IF(B161&lt;=Hypothèses!$C$10,Hypothèses!$G$10,IF(B161&lt;=Hypothèses!$C$11,Hypothèses!$G$11,IF(B161&lt;=Hypothèses!$C$12,Hypothèses!$G$12,IF(B161&lt;=Hypothèses!$C$13,Hypothèses!$G$13,IF(B161&lt;=Hypothèses!$C$14,Hypothèses!$G$14,IF(B161&lt;=Hypothèses!$C$15,Hypothèses!$G$15,IF(B161&lt;=Hypothèses!$C$16,Hypothèses!$G$16,IF(B161&lt;=Hypothèses!$C$17,Hypothèses!$G$17,IF(B161&lt;=Hypothèses!$C$18,Hypothèses!$G$18,E160))))))))))))</f>
        <v>#N/A</v>
      </c>
      <c r="F161" s="82" t="str">
        <f>IF(B161&lt;=Hypothèses!$C$7,Hypothèses!$F$7,IF(B161&lt;=Hypothèses!$C$8,Hypothèses!$F$8,IF(B161&lt;=Hypothèses!$C$9,Hypothèses!$F$9,IF(B161&lt;=Hypothèses!$C$10,Hypothèses!$F$10,IF(B161&lt;=Hypothèses!$C$11,Hypothèses!$F$11,IF(B161&lt;=Hypothèses!$C$12,Hypothèses!$F$12,IF(B161&lt;=Hypothèses!$C$13,Hypothèses!$F$13,IF(B161&lt;=Hypothèses!$C$14,Hypothèses!$F$14,IF(B161&lt;=Hypothèses!$C$15,Hypothèses!$F$15,IF(B161&lt;=Hypothèses!$C$16,Hypothèses!$F$16,IF(B161&lt;=Hypothèses!$C$17,Hypothèses!$F$17,IF(B161&lt;=Hypothèses!$C$18,Hypothèses!$F$18,F160))))))))))))</f>
        <v/>
      </c>
      <c r="G161" s="91">
        <f t="array" ref="G161">INDEX('Coeff EC7'!$U$7:$X$27,
MATCH(Model0.1T!$B$3,'Coeff EC7'!$T$7:$T$27,0),
MATCH(Model0.1T!$D161&amp;Model0.1T!$B$4,
'Coeff EC7'!$U$6:$X$6&amp;
'Coeff EC7'!$U$5:$X$5,0))</f>
        <v>1.4</v>
      </c>
      <c r="H161" s="91">
        <f t="array" ref="H161">INDEX('Coeff EC7'!$Y$7:$AB$27,
MATCH(Model0.1T!$B$3,'Coeff EC7'!$T$7:$T$27,0),
MATCH(Model0.1T!$D161&amp;Model0.1T!$B$4,
'Coeff EC7'!$Y$6:$AB$6&amp;
'Coeff EC7'!$Y$5:$AB$5,0))</f>
        <v>1.7</v>
      </c>
      <c r="I161" s="83">
        <v>0</v>
      </c>
      <c r="J161" s="91" t="e">
        <f t="array" ref="J161">INDEX('Coeff EC7'!$D$33:$Q$33,1,MATCH(D161&amp;E161,'Coeff EC7'!$D$31:$Q$31&amp;'Coeff EC7'!$D$32:$Q$32,0))</f>
        <v>#N/A</v>
      </c>
      <c r="K161" s="91" t="e">
        <f t="array" ref="K161">INDEX('Coeff EC7'!$D$34:$Q$34,1,MATCH(D161&amp;E161,'Coeff EC7'!$D$31:$Q$31&amp;'Coeff EC7'!$D$32:$Q$32,0))</f>
        <v>#N/A</v>
      </c>
      <c r="L161" s="91" t="e">
        <f t="array" ref="L161">INDEX('Coeff EC7'!$D$35:$Q$35,1,MATCH(D161&amp;E161,'Coeff EC7'!$D$31:$Q$31&amp;'Coeff EC7'!$D$32:$Q$32,0))</f>
        <v>#N/A</v>
      </c>
      <c r="M161" s="98" t="e">
        <f t="shared" si="231"/>
        <v>#N/A</v>
      </c>
      <c r="N161" s="99" t="e">
        <f t="array" ref="N161">INDEX('Coeff EC7'!$D$7:$Q$27,MATCH($B$3,'Coeff EC7'!$C$7:$C$27,0),MATCH(D161&amp;E161,'Coeff EC7'!$D$5:$Q$5&amp;'Coeff EC7'!$D$6:$Q$6,0))</f>
        <v>#N/A</v>
      </c>
      <c r="O161" s="99" t="e">
        <f t="array" ref="O161">INDEX('Coeff EC7'!$D$41:$Q$61,MATCH($B$3,'Coeff EC7'!$C$41:$C$61,0),MATCH(D161&amp;E161,'Coeff EC7'!$D$39:$Q$39&amp;'Coeff EC7'!$D$40:$Q$40,0))</f>
        <v>#N/A</v>
      </c>
      <c r="P161" s="30" t="e">
        <f t="shared" si="266"/>
        <v>#N/A</v>
      </c>
      <c r="Q161" s="100" t="e">
        <f t="shared" si="233"/>
        <v>#N/A</v>
      </c>
      <c r="R161" s="86" t="b">
        <f t="shared" si="234"/>
        <v>0</v>
      </c>
      <c r="S161" s="86">
        <f t="shared" si="232"/>
        <v>0.5</v>
      </c>
      <c r="T161" s="86">
        <f t="shared" si="235"/>
        <v>0.5</v>
      </c>
      <c r="U161" s="30" t="e">
        <f t="shared" ca="1" si="267"/>
        <v>#DIV/0!</v>
      </c>
      <c r="V161" s="85" t="str">
        <f>IF(B161&lt;=Hypothèses!$V$7,Hypothèses!$W$7,IF(B161&lt;=Hypothèses!$V$8,Hypothèses!$W$8,IF(B161&lt;=Hypothèses!$V$9,Hypothèses!$W$9,IF(B161&lt;=Hypothèses!$V$10,Hypothèses!$W$10,IF(B161&lt;=Hypothèses!$V$11,Hypothèses!$W$11,IF(B161&lt;=Hypothèses!$V$12,Hypothèses!$W$12,IF(B161&lt;=Hypothèses!$V$13,Hypothèses!$W$13,IF(B161&lt;=Hypothèses!$V$14,Hypothèses!$W$14,IF(B161&lt;=Hypothèses!$V$15,Hypothèses!$W$15,IF(B161&lt;=Hypothèses!$V$16,Hypothèses!$W$16,IF(B161&lt;=Hypothèses!$V$17,Hypothèses!$W$17,IF(B161&lt;=Hypothèses!$V$18,Hypothèses!$W$18,""))))))))))))</f>
        <v/>
      </c>
      <c r="W161" s="87" t="e">
        <f t="shared" ca="1" si="316"/>
        <v>#DIV/0!</v>
      </c>
      <c r="X161" s="88" t="str">
        <f>IF(B161&lt;=Hypothèses!$V$7,Hypothèses!$X$7,IF(B161&lt;=Hypothèses!$V$8,Hypothèses!$X$8,IF(B161&lt;=Hypothèses!$V$9,Hypothèses!$X$9,IF(B161&lt;=Hypothèses!$V$10,Hypothèses!$X$10,IF(B161&lt;=Hypothèses!$V$11,Hypothèses!$X$11,IF(B161&lt;=Hypothèses!$V$12,Hypothèses!$X$12,IF(B161&lt;=Hypothèses!$V$13,Hypothèses!$X$13,IF(B161&lt;=Hypothèses!$V$14,Hypothèses!$X$14,IF(B161&lt;=Hypothèses!$V$15,Hypothèses!$X$15,IF(B161&lt;=Hypothèses!$V$16,Hypothèses!$X$16,IF(B161&lt;=Hypothèses!$U$17,Hypothèses!$W$17,IF(B161&lt;=Hypothèses!$U$18,Hypothèses!$W$18,""))))))))))))</f>
        <v/>
      </c>
      <c r="Y161" s="95" t="e">
        <f t="shared" ca="1" si="236"/>
        <v>#DIV/0!</v>
      </c>
      <c r="Z161" s="101">
        <f t="shared" si="237"/>
        <v>0</v>
      </c>
      <c r="AA161" s="91">
        <f t="shared" si="238"/>
        <v>0</v>
      </c>
      <c r="AB161" s="30" t="e">
        <f t="shared" si="300"/>
        <v>#N/A</v>
      </c>
      <c r="AC161" s="30" t="e">
        <f t="shared" si="301"/>
        <v>#N/A</v>
      </c>
      <c r="AD161" s="31" t="e">
        <f>IF(OR(Hypothèses!$B$4=17,Hypothèses!$B$4=18,Hypothèses!$B$4=19,Hypothèses!$B$4=20),
IF($D161="Pressio.",
IF(OR($E161=3,$E161=1,$E161=4),AC161,AB161),
IF($D161="Pénétro.",
IF(OR($E161=3,$E161=1,$E161=4),AC161,AB161))),IF($D161="Pressio.",
IF($E161=3,AC161,AB161),
IF($D161="Pénétro.",
IF($E161=4,AC161,AB161))))</f>
        <v>#N/A</v>
      </c>
      <c r="AE161" s="31">
        <v>0</v>
      </c>
      <c r="AF161" s="102" t="e">
        <f>IF(NDC!$H$10="Oui",(VLOOKUP($B$3,'Coeff EC7'!$T$39:$X$59,2,0)*AD161+VLOOKUP($B$3,'Coeff EC7'!$T$65:$X$85,2,0)*Model0.1T!AE161)/1.5,PI()*AB$12*$Q161*($B161-$B160)*0.15/10+AF160)</f>
        <v>#N/A</v>
      </c>
      <c r="AG161" s="102" t="e">
        <f>(VLOOKUP($B$3,'Coeff EC7'!$T$39:$X$59,3,0)*AD161+VLOOKUP($B$3,'Coeff EC7'!$T$65:$X$85,3,0)*Model0.1T!AE161)/1.1</f>
        <v>#N/A</v>
      </c>
      <c r="AH161" s="102" t="e">
        <f t="shared" si="268"/>
        <v>#N/A</v>
      </c>
      <c r="AI161" s="102" t="e">
        <f t="shared" si="269"/>
        <v>#N/A</v>
      </c>
      <c r="AJ161" s="414" t="e">
        <f>IF(AND(AF161&gt;NDC!$C$63,AG161&gt;NDC!$C$65,AH161&gt;NDC!$D$73,AI161&gt;NDC!$D$74,$B161&gt;NDC!$H$22-0.1+MIN(3*$AJ$12,1.5)),0,1)</f>
        <v>#N/A</v>
      </c>
      <c r="AK161" s="86" t="b">
        <f t="shared" si="239"/>
        <v>0</v>
      </c>
      <c r="AL161" s="86">
        <f t="shared" si="270"/>
        <v>0.5</v>
      </c>
      <c r="AM161" s="86">
        <f t="shared" si="240"/>
        <v>0.5</v>
      </c>
      <c r="AN161" s="30" t="e">
        <f t="shared" ca="1" si="271"/>
        <v>#DIV/0!</v>
      </c>
      <c r="AO161" s="85" t="e">
        <f ca="1">IF(U161&lt;=Hypothèses!$V$7,Hypothèses!$W$7,IF(U161&lt;=Hypothèses!$V$8,Hypothèses!$W$8,IF(U161&lt;=Hypothèses!$V$9,Hypothèses!$W$9,IF(U161&lt;=Hypothèses!$V$10,Hypothèses!$W$10,IF(U161&lt;=Hypothèses!$V$11,Hypothèses!$W$11,IF(U161&lt;=Hypothèses!$V$12,Hypothèses!$W$12,IF(U161&lt;=Hypothèses!$V$13,Hypothèses!$W$13,IF(U161&lt;=Hypothèses!$V$14,Hypothèses!$W$14,IF(U161&lt;=Hypothèses!$V$15,Hypothèses!$W$15,IF(U161&lt;=Hypothèses!$V$16,Hypothèses!$W$16,IF(U161&lt;=Hypothèses!$V$17,Hypothèses!$W$17,IF(U161&lt;=Hypothèses!$V$18,Hypothèses!$W$18,""))))))))))))</f>
        <v>#DIV/0!</v>
      </c>
      <c r="AP161" s="87" t="e">
        <f t="shared" ca="1" si="317"/>
        <v>#DIV/0!</v>
      </c>
      <c r="AQ161" s="88" t="e">
        <f ca="1">IF(U161&lt;=Hypothèses!$V$7,Hypothèses!$X$7,IF(U161&lt;=Hypothèses!$V$8,Hypothèses!$X$8,IF(U161&lt;=Hypothèses!$V$9,Hypothèses!$X$9,IF(U161&lt;=Hypothèses!$V$10,Hypothèses!$X$10,IF(U161&lt;=Hypothèses!$V$11,Hypothèses!$X$11,IF(U161&lt;=Hypothèses!$V$12,Hypothèses!$X$12,IF(U161&lt;=Hypothèses!$V$13,Hypothèses!$X$13,IF(U161&lt;=Hypothèses!$V$14,Hypothèses!$X$14,IF(U161&lt;=Hypothèses!$V$15,Hypothèses!$X$15,IF(U161&lt;=Hypothèses!$V$16,Hypothèses!$X$16,IF(U161&lt;=Hypothèses!$U$17,Hypothèses!$W$17,IF(U161&lt;=Hypothèses!$U$18,Hypothèses!$W$18,""))))))))))))</f>
        <v>#DIV/0!</v>
      </c>
      <c r="AR161" s="95" t="e">
        <f t="shared" ca="1" si="272"/>
        <v>#DIV/0!</v>
      </c>
      <c r="AS161" s="101">
        <f t="shared" si="324"/>
        <v>0</v>
      </c>
      <c r="AT161" s="91">
        <f t="shared" si="241"/>
        <v>0</v>
      </c>
      <c r="AU161" s="30" t="e">
        <f t="shared" si="302"/>
        <v>#N/A</v>
      </c>
      <c r="AV161" s="30" t="e">
        <f t="shared" si="303"/>
        <v>#N/A</v>
      </c>
      <c r="AW161" s="31" t="e">
        <f>IF(OR(Hypothèses!$B$4=17,Hypothèses!$B$4=18,Hypothèses!$B$4=19,Hypothèses!$B$4=20),
IF($D161="Pressio.",
IF(OR($E161=3,$E161=1,$E161=4),AV161,AU161),
IF($D161="Pénétro.",
IF(OR($E161=3,$E161=1,$E161=4),AV161,AU161))),IF($D161="Pressio.",
IF($E161=3,AV161,AU161),
IF($D161="Pénétro.",
IF($E161=4,AV161,AU161))))</f>
        <v>#N/A</v>
      </c>
      <c r="AX161" s="31">
        <v>0</v>
      </c>
      <c r="AY161" s="102" t="e">
        <f>IF(NDC!$H$10="Oui",(VLOOKUP($B$3,'Coeff EC7'!$T$39:$X$59,2,0)*AW161+VLOOKUP($B$3,'Coeff EC7'!$T$65:$X$85,2,0)*Model0.1T!AX161)/1.5,PI()*AU$12*$Q161*($B161-$B160)*0.15/10+AY160)</f>
        <v>#N/A</v>
      </c>
      <c r="AZ161" s="102" t="e">
        <f>(VLOOKUP($B$3,'Coeff EC7'!$T$39:$X$59,3,0)*AW161+VLOOKUP($B$3,'Coeff EC7'!$T$65:$X$85,3,0)*Model0.1T!AX161)/1.1</f>
        <v>#N/A</v>
      </c>
      <c r="BA161" s="102" t="e">
        <f t="shared" si="273"/>
        <v>#N/A</v>
      </c>
      <c r="BB161" s="102" t="e">
        <f t="shared" si="274"/>
        <v>#N/A</v>
      </c>
      <c r="BC161" s="414" t="e">
        <f>IF(AND(AY161&gt;NDC!$C$63,AZ161&gt;NDC!$C$65,BA161&gt;NDC!$D$73,BB161&gt;NDC!$D$74,$B161&gt;NDC!$H$22-0.1+MIN(3*BC$12,1.5)),0,1)</f>
        <v>#N/A</v>
      </c>
      <c r="BD161" s="86" t="b">
        <f t="shared" si="242"/>
        <v>0</v>
      </c>
      <c r="BE161" s="86">
        <f t="shared" si="275"/>
        <v>0.5</v>
      </c>
      <c r="BF161" s="86">
        <f t="shared" si="243"/>
        <v>0.5</v>
      </c>
      <c r="BG161" s="30" t="e">
        <f t="shared" ca="1" si="276"/>
        <v>#DIV/0!</v>
      </c>
      <c r="BH161" s="85" t="e">
        <f ca="1">IF(AN161&lt;=Hypothèses!$V$7,Hypothèses!$W$7,IF(AN161&lt;=Hypothèses!$V$8,Hypothèses!$W$8,IF(AN161&lt;=Hypothèses!$V$9,Hypothèses!$W$9,IF(AN161&lt;=Hypothèses!$V$10,Hypothèses!$W$10,IF(AN161&lt;=Hypothèses!$V$11,Hypothèses!$W$11,IF(AN161&lt;=Hypothèses!$V$12,Hypothèses!$W$12,IF(AN161&lt;=Hypothèses!$V$13,Hypothèses!$W$13,IF(AN161&lt;=Hypothèses!$V$14,Hypothèses!$W$14,IF(AN161&lt;=Hypothèses!$V$15,Hypothèses!$W$15,IF(AN161&lt;=Hypothèses!$V$16,Hypothèses!$W$16,IF(AN161&lt;=Hypothèses!$V$17,Hypothèses!$W$17,IF(AN161&lt;=Hypothèses!$V$18,Hypothèses!$W$18,""))))))))))))</f>
        <v>#DIV/0!</v>
      </c>
      <c r="BI161" s="87" t="e">
        <f t="shared" ca="1" si="318"/>
        <v>#DIV/0!</v>
      </c>
      <c r="BJ161" s="88" t="e">
        <f ca="1">IF(AN161&lt;=Hypothèses!$V$7,Hypothèses!$X$7,IF(AN161&lt;=Hypothèses!$V$8,Hypothèses!$X$8,IF(AN161&lt;=Hypothèses!$V$9,Hypothèses!$X$9,IF(AN161&lt;=Hypothèses!$V$10,Hypothèses!$X$10,IF(AN161&lt;=Hypothèses!$V$11,Hypothèses!$X$11,IF(AN161&lt;=Hypothèses!$V$12,Hypothèses!$X$12,IF(AN161&lt;=Hypothèses!$V$13,Hypothèses!$X$13,IF(AN161&lt;=Hypothèses!$V$14,Hypothèses!$X$14,IF(AN161&lt;=Hypothèses!$V$15,Hypothèses!$X$15,IF(AN161&lt;=Hypothèses!$V$16,Hypothèses!$X$16,IF(AN161&lt;=Hypothèses!$U$17,Hypothèses!$W$17,IF(AN161&lt;=Hypothèses!$U$18,Hypothèses!$W$18,""))))))))))))</f>
        <v>#DIV/0!</v>
      </c>
      <c r="BK161" s="95" t="e">
        <f t="shared" ca="1" si="277"/>
        <v>#DIV/0!</v>
      </c>
      <c r="BL161" s="101">
        <f t="shared" si="325"/>
        <v>0</v>
      </c>
      <c r="BM161" s="91">
        <f t="shared" si="244"/>
        <v>0</v>
      </c>
      <c r="BN161" s="30" t="e">
        <f t="shared" si="304"/>
        <v>#N/A</v>
      </c>
      <c r="BO161" s="30" t="e">
        <f t="shared" si="305"/>
        <v>#N/A</v>
      </c>
      <c r="BP161" s="31" t="e">
        <f>IF(OR(Hypothèses!$B$4=17,Hypothèses!$B$4=18,Hypothèses!$B$4=19,Hypothèses!$B$4=20),
IF($D161="Pressio.",
IF(OR($E161=3,$E161=1,$E161=4),BO161,BN161),
IF($D161="Pénétro.",
IF(OR($E161=3,$E161=1,$E161=4),BO161,BN161))),IF($D161="Pressio.",
IF($E161=3,BO161,BN161),
IF($D161="Pénétro.",
IF($E161=4,BO161,BN161))))</f>
        <v>#N/A</v>
      </c>
      <c r="BQ161" s="31">
        <v>0</v>
      </c>
      <c r="BR161" s="102" t="e">
        <f>IF(NDC!$H$10="Oui",(VLOOKUP($B$3,'Coeff EC7'!$T$39:$X$59,2,0)*BP161+VLOOKUP($B$3,'Coeff EC7'!$T$65:$X$85,2,0)*Model0.1T!BQ161)/1.5,PI()*BN$12*$Q161*($B161-$B160)*0.15/10+BR160)</f>
        <v>#N/A</v>
      </c>
      <c r="BS161" s="102" t="e">
        <f>(VLOOKUP($B$3,'Coeff EC7'!$T$39:$X$59,3,0)*BP161+VLOOKUP($B$3,'Coeff EC7'!$T$65:$X$85,3,0)*Model0.1T!BQ161)/1.1</f>
        <v>#N/A</v>
      </c>
      <c r="BT161" s="102" t="e">
        <f t="shared" si="278"/>
        <v>#N/A</v>
      </c>
      <c r="BU161" s="102" t="e">
        <f t="shared" si="279"/>
        <v>#N/A</v>
      </c>
      <c r="BV161" s="414" t="e">
        <f>IF(AND(BR161&gt;NDC!$C$63,BS161&gt;NDC!$C$65,BT161&gt;NDC!$D$73,BU161&gt;NDC!$D$74,$B161&gt;NDC!$H$22-0.1+MIN(3*BV$12,1.5)),0,1)</f>
        <v>#N/A</v>
      </c>
      <c r="BW161" s="86" t="b">
        <f t="shared" si="245"/>
        <v>0</v>
      </c>
      <c r="BX161" s="86">
        <f t="shared" si="246"/>
        <v>0.5</v>
      </c>
      <c r="BY161" s="86">
        <f t="shared" si="247"/>
        <v>0.5</v>
      </c>
      <c r="BZ161" s="30" t="e">
        <f t="shared" ca="1" si="280"/>
        <v>#DIV/0!</v>
      </c>
      <c r="CA161" s="85" t="e">
        <f ca="1">IF(BG161&lt;=Hypothèses!$V$7,Hypothèses!$W$7,IF(BG161&lt;=Hypothèses!$V$8,Hypothèses!$W$8,IF(BG161&lt;=Hypothèses!$V$9,Hypothèses!$W$9,IF(BG161&lt;=Hypothèses!$V$10,Hypothèses!$W$10,IF(BG161&lt;=Hypothèses!$V$11,Hypothèses!$W$11,IF(BG161&lt;=Hypothèses!$V$12,Hypothèses!$W$12,IF(BG161&lt;=Hypothèses!$V$13,Hypothèses!$W$13,IF(BG161&lt;=Hypothèses!$V$14,Hypothèses!$W$14,IF(BG161&lt;=Hypothèses!$V$15,Hypothèses!$W$15,IF(BG161&lt;=Hypothèses!$V$16,Hypothèses!$W$16,IF(BG161&lt;=Hypothèses!$V$17,Hypothèses!$W$17,IF(BG161&lt;=Hypothèses!$V$18,Hypothèses!$W$18,""))))))))))))</f>
        <v>#DIV/0!</v>
      </c>
      <c r="CB161" s="87" t="e">
        <f t="shared" ca="1" si="319"/>
        <v>#DIV/0!</v>
      </c>
      <c r="CC161" s="88" t="e">
        <f ca="1">IF(BG161&lt;=Hypothèses!$V$7,Hypothèses!$X$7,IF(BG161&lt;=Hypothèses!$V$8,Hypothèses!$X$8,IF(BG161&lt;=Hypothèses!$V$9,Hypothèses!$X$9,IF(BG161&lt;=Hypothèses!$V$10,Hypothèses!$X$10,IF(BG161&lt;=Hypothèses!$V$11,Hypothèses!$X$11,IF(BG161&lt;=Hypothèses!$V$12,Hypothèses!$X$12,IF(BG161&lt;=Hypothèses!$V$13,Hypothèses!$X$13,IF(BG161&lt;=Hypothèses!$V$14,Hypothèses!$X$14,IF(BG161&lt;=Hypothèses!$V$15,Hypothèses!$X$15,IF(BG161&lt;=Hypothèses!$V$16,Hypothèses!$X$16,IF(BG161&lt;=Hypothèses!$U$17,Hypothèses!$W$17,IF(BG161&lt;=Hypothèses!$U$18,Hypothèses!$W$18,""))))))))))))</f>
        <v>#DIV/0!</v>
      </c>
      <c r="CD161" s="95" t="e">
        <f t="shared" ca="1" si="281"/>
        <v>#DIV/0!</v>
      </c>
      <c r="CE161" s="101">
        <f t="shared" si="326"/>
        <v>0</v>
      </c>
      <c r="CF161" s="91">
        <f t="shared" si="248"/>
        <v>0</v>
      </c>
      <c r="CG161" s="30" t="e">
        <f t="shared" si="306"/>
        <v>#N/A</v>
      </c>
      <c r="CH161" s="30" t="e">
        <f t="shared" si="307"/>
        <v>#N/A</v>
      </c>
      <c r="CI161" s="31" t="e">
        <f>IF(OR(Hypothèses!$B$4=17,Hypothèses!$B$4=18,Hypothèses!$B$4=19,Hypothèses!$B$4=20),
IF($D161="Pressio.",
IF(OR($E161=3,$E161=1,$E161=4),CH161,CG161),
IF($D161="Pénétro.",
IF(OR($E161=3,$E161=1,$E161=4),CH161,CG161))),IF($D161="Pressio.",
IF($E161=3,CH161,CG161),
IF($D161="Pénétro.",
IF($E161=4,CH161,CG161))))</f>
        <v>#N/A</v>
      </c>
      <c r="CJ161" s="31">
        <v>0</v>
      </c>
      <c r="CK161" s="102" t="e">
        <f>IF(NDC!$H$10="Oui",(VLOOKUP($B$3,'Coeff EC7'!$T$39:$X$59,2,0)*CI161+VLOOKUP($B$3,'Coeff EC7'!$T$65:$X$85,2,0)*Model0.1T!CJ161)/1.5,PI()*CG$12*$Q161*($B161-$B160)*0.15/10+CK160)</f>
        <v>#N/A</v>
      </c>
      <c r="CL161" s="102" t="e">
        <f>(VLOOKUP($B$3,'Coeff EC7'!$T$39:$X$59,3,0)*CI161+VLOOKUP($B$3,'Coeff EC7'!$T$65:$X$85,3,0)*Model0.1T!CJ161)/1.1</f>
        <v>#N/A</v>
      </c>
      <c r="CM161" s="102" t="e">
        <f t="shared" si="282"/>
        <v>#N/A</v>
      </c>
      <c r="CN161" s="102" t="e">
        <f t="shared" si="283"/>
        <v>#N/A</v>
      </c>
      <c r="CO161" s="414" t="e">
        <f>IF(AND(CK161&gt;NDC!$C$63,CL161&gt;NDC!$C$65,CM161&gt;NDC!$D$73,CN161&gt;NDC!$D$74,$B161&gt;NDC!$H$22-0.1+MIN(3*CO$12,1.5)),0,1)</f>
        <v>#N/A</v>
      </c>
      <c r="CP161" s="86" t="b">
        <f t="shared" si="249"/>
        <v>0</v>
      </c>
      <c r="CQ161" s="86">
        <f t="shared" si="250"/>
        <v>0.5</v>
      </c>
      <c r="CR161" s="86">
        <f t="shared" si="251"/>
        <v>0.5</v>
      </c>
      <c r="CS161" s="30" t="e">
        <f t="shared" ca="1" si="284"/>
        <v>#DIV/0!</v>
      </c>
      <c r="CT161" s="85" t="e">
        <f ca="1">IF(BZ161&lt;=Hypothèses!$V$7,Hypothèses!$W$7,IF(BZ161&lt;=Hypothèses!$V$8,Hypothèses!$W$8,IF(BZ161&lt;=Hypothèses!$V$9,Hypothèses!$W$9,IF(BZ161&lt;=Hypothèses!$V$10,Hypothèses!$W$10,IF(BZ161&lt;=Hypothèses!$V$11,Hypothèses!$W$11,IF(BZ161&lt;=Hypothèses!$V$12,Hypothèses!$W$12,IF(BZ161&lt;=Hypothèses!$V$13,Hypothèses!$W$13,IF(BZ161&lt;=Hypothèses!$V$14,Hypothèses!$W$14,IF(BZ161&lt;=Hypothèses!$V$15,Hypothèses!$W$15,IF(BZ161&lt;=Hypothèses!$V$16,Hypothèses!$W$16,IF(BZ161&lt;=Hypothèses!$V$17,Hypothèses!$W$17,IF(BZ161&lt;=Hypothèses!$V$18,Hypothèses!$W$18,""))))))))))))</f>
        <v>#DIV/0!</v>
      </c>
      <c r="CU161" s="87" t="e">
        <f t="shared" ca="1" si="320"/>
        <v>#DIV/0!</v>
      </c>
      <c r="CV161" s="88" t="e">
        <f ca="1">IF(BZ161&lt;=Hypothèses!$V$7,Hypothèses!$X$7,IF(BZ161&lt;=Hypothèses!$V$8,Hypothèses!$X$8,IF(BZ161&lt;=Hypothèses!$V$9,Hypothèses!$X$9,IF(BZ161&lt;=Hypothèses!$V$10,Hypothèses!$X$10,IF(BZ161&lt;=Hypothèses!$V$11,Hypothèses!$X$11,IF(BZ161&lt;=Hypothèses!$V$12,Hypothèses!$X$12,IF(BZ161&lt;=Hypothèses!$V$13,Hypothèses!$X$13,IF(BZ161&lt;=Hypothèses!$V$14,Hypothèses!$X$14,IF(BZ161&lt;=Hypothèses!$V$15,Hypothèses!$X$15,IF(BZ161&lt;=Hypothèses!$V$16,Hypothèses!$X$16,IF(BZ161&lt;=Hypothèses!$U$17,Hypothèses!$W$17,IF(BZ161&lt;=Hypothèses!$U$18,Hypothèses!$W$18,""))))))))))))</f>
        <v>#DIV/0!</v>
      </c>
      <c r="CW161" s="95" t="e">
        <f t="shared" ca="1" si="285"/>
        <v>#DIV/0!</v>
      </c>
      <c r="CX161" s="101">
        <f t="shared" si="327"/>
        <v>0</v>
      </c>
      <c r="CY161" s="91">
        <f t="shared" si="252"/>
        <v>0</v>
      </c>
      <c r="CZ161" s="30" t="e">
        <f t="shared" si="308"/>
        <v>#N/A</v>
      </c>
      <c r="DA161" s="30" t="e">
        <f t="shared" si="309"/>
        <v>#N/A</v>
      </c>
      <c r="DB161" s="31" t="e">
        <f>IF(OR(Hypothèses!$B$4=17,Hypothèses!$B$4=18,Hypothèses!$B$4=19,Hypothèses!$B$4=20),
IF($D161="Pressio.",
IF(OR($E161=3,$E161=1,$E161=4),DA161,CZ161),
IF($D161="Pénétro.",
IF(OR($E161=3,$E161=1,$E161=4),DA161,CZ161))),IF($D161="Pressio.",
IF($E161=3,DA161,CZ161),
IF($D161="Pénétro.",
IF($E161=4,DA161,CZ161))))</f>
        <v>#N/A</v>
      </c>
      <c r="DC161" s="31">
        <v>0</v>
      </c>
      <c r="DD161" s="102" t="e">
        <f>IF(NDC!$H$10="Oui",(VLOOKUP($B$3,'Coeff EC7'!$T$39:$X$59,2,0)*DB161+VLOOKUP($B$3,'Coeff EC7'!$T$65:$X$85,2,0)*Model0.1T!DC161)/1.5,PI()*CZ$12*$Q161*($B161-$B160)*0.15/10+DD160)</f>
        <v>#N/A</v>
      </c>
      <c r="DE161" s="102" t="e">
        <f>(VLOOKUP($B$3,'Coeff EC7'!$T$39:$X$59,3,0)*DB161+VLOOKUP($B$3,'Coeff EC7'!$T$65:$X$85,3,0)*Model0.1T!DC161)/1.1</f>
        <v>#N/A</v>
      </c>
      <c r="DF161" s="102" t="e">
        <f t="shared" si="286"/>
        <v>#N/A</v>
      </c>
      <c r="DG161" s="102" t="e">
        <f t="shared" si="287"/>
        <v>#N/A</v>
      </c>
      <c r="DH161" s="414" t="e">
        <f>IF(AND(DD161&gt;NDC!$C$63,DE161&gt;NDC!$C$65,DF161&gt;NDC!$D$73,DG161&gt;NDC!$D$74,$B161&gt;NDC!$H$22-0.1+MIN(3*DH$12,1.5)),0,1)</f>
        <v>#N/A</v>
      </c>
      <c r="DI161" s="86" t="b">
        <f t="shared" si="253"/>
        <v>0</v>
      </c>
      <c r="DJ161" s="86">
        <f t="shared" si="254"/>
        <v>0.5</v>
      </c>
      <c r="DK161" s="86">
        <f t="shared" si="255"/>
        <v>0.5</v>
      </c>
      <c r="DL161" s="30" t="e">
        <f t="shared" ca="1" si="288"/>
        <v>#DIV/0!</v>
      </c>
      <c r="DM161" s="85" t="e">
        <f ca="1">IF(CS161&lt;=Hypothèses!$V$7,Hypothèses!$W$7,IF(CS161&lt;=Hypothèses!$V$8,Hypothèses!$W$8,IF(CS161&lt;=Hypothèses!$V$9,Hypothèses!$W$9,IF(CS161&lt;=Hypothèses!$V$10,Hypothèses!$W$10,IF(CS161&lt;=Hypothèses!$V$11,Hypothèses!$W$11,IF(CS161&lt;=Hypothèses!$V$12,Hypothèses!$W$12,IF(CS161&lt;=Hypothèses!$V$13,Hypothèses!$W$13,IF(CS161&lt;=Hypothèses!$V$14,Hypothèses!$W$14,IF(CS161&lt;=Hypothèses!$V$15,Hypothèses!$W$15,IF(CS161&lt;=Hypothèses!$V$16,Hypothèses!$W$16,IF(CS161&lt;=Hypothèses!$V$17,Hypothèses!$W$17,IF(CS161&lt;=Hypothèses!$V$18,Hypothèses!$W$18,""))))))))))))</f>
        <v>#DIV/0!</v>
      </c>
      <c r="DN161" s="87" t="e">
        <f t="shared" ca="1" si="321"/>
        <v>#DIV/0!</v>
      </c>
      <c r="DO161" s="88" t="e">
        <f ca="1">IF(CS161&lt;=Hypothèses!$V$7,Hypothèses!$X$7,IF(CS161&lt;=Hypothèses!$V$8,Hypothèses!$X$8,IF(CS161&lt;=Hypothèses!$V$9,Hypothèses!$X$9,IF(CS161&lt;=Hypothèses!$V$10,Hypothèses!$X$10,IF(CS161&lt;=Hypothèses!$V$11,Hypothèses!$X$11,IF(CS161&lt;=Hypothèses!$V$12,Hypothèses!$X$12,IF(CS161&lt;=Hypothèses!$V$13,Hypothèses!$X$13,IF(CS161&lt;=Hypothèses!$V$14,Hypothèses!$X$14,IF(CS161&lt;=Hypothèses!$V$15,Hypothèses!$X$15,IF(CS161&lt;=Hypothèses!$V$16,Hypothèses!$X$16,IF(CS161&lt;=Hypothèses!$U$17,Hypothèses!$W$17,IF(CS161&lt;=Hypothèses!$U$18,Hypothèses!$W$18,""))))))))))))</f>
        <v>#DIV/0!</v>
      </c>
      <c r="DP161" s="95" t="e">
        <f t="shared" ca="1" si="289"/>
        <v>#DIV/0!</v>
      </c>
      <c r="DQ161" s="101">
        <f t="shared" si="328"/>
        <v>0</v>
      </c>
      <c r="DR161" s="91">
        <f t="shared" si="256"/>
        <v>0</v>
      </c>
      <c r="DS161" s="30" t="e">
        <f t="shared" si="310"/>
        <v>#N/A</v>
      </c>
      <c r="DT161" s="30" t="e">
        <f t="shared" si="311"/>
        <v>#N/A</v>
      </c>
      <c r="DU161" s="31" t="e">
        <f>IF(OR(Hypothèses!$B$4=17,Hypothèses!$B$4=18,Hypothèses!$B$4=19,Hypothèses!$B$4=20),
IF($D161="Pressio.",
IF(OR($E161=3,$E161=1,$E161=4),DT161,DS161),
IF($D161="Pénétro.",
IF(OR($E161=3,$E161=1,$E161=4),DT161,DS161))),IF($D161="Pressio.",
IF($E161=3,DT161,DS161),
IF($D161="Pénétro.",
IF($E161=4,DT161,DS161))))</f>
        <v>#N/A</v>
      </c>
      <c r="DV161" s="31">
        <v>0</v>
      </c>
      <c r="DW161" s="102" t="e">
        <f>IF(NDC!$H$10="Oui",(VLOOKUP($B$3,'Coeff EC7'!$T$39:$X$59,2,0)*DU161+VLOOKUP($B$3,'Coeff EC7'!$T$65:$X$85,2,0)*Model0.1T!DV161)/1.5,PI()*DS$12*$Q161*($B161-$B160)*0.15/10+DW160)</f>
        <v>#N/A</v>
      </c>
      <c r="DX161" s="102" t="e">
        <f>(VLOOKUP($B$3,'Coeff EC7'!$T$39:$X$59,3,0)*DU161+VLOOKUP($B$3,'Coeff EC7'!$T$65:$X$85,3,0)*Model0.1T!DV161)/1.1</f>
        <v>#N/A</v>
      </c>
      <c r="DY161" s="102" t="e">
        <f t="shared" si="290"/>
        <v>#N/A</v>
      </c>
      <c r="DZ161" s="102" t="e">
        <f t="shared" si="291"/>
        <v>#N/A</v>
      </c>
      <c r="EA161" s="414" t="e">
        <f>IF(AND(DW161&gt;NDC!$C$63,DX161&gt;NDC!$C$65,DY161&gt;NDC!$D$73,DZ161&gt;NDC!$D$74,$B161&gt;NDC!$H$22-0.1+MIN(3*EA$12,1.5)),0,1)</f>
        <v>#N/A</v>
      </c>
      <c r="EB161" s="86" t="b">
        <f t="shared" si="257"/>
        <v>0</v>
      </c>
      <c r="EC161" s="418">
        <f t="shared" si="258"/>
        <v>0.51</v>
      </c>
      <c r="ED161" s="86">
        <f t="shared" si="259"/>
        <v>0.51</v>
      </c>
      <c r="EE161" s="30" t="e">
        <f t="shared" ca="1" si="292"/>
        <v>#DIV/0!</v>
      </c>
      <c r="EF161" s="85" t="e">
        <f ca="1">IF(DL161&lt;=Hypothèses!$V$7,Hypothèses!$W$7,IF(DL161&lt;=Hypothèses!$V$8,Hypothèses!$W$8,IF(DL161&lt;=Hypothèses!$V$9,Hypothèses!$W$9,IF(DL161&lt;=Hypothèses!$V$10,Hypothèses!$W$10,IF(DL161&lt;=Hypothèses!$V$11,Hypothèses!$W$11,IF(DL161&lt;=Hypothèses!$V$12,Hypothèses!$W$12,IF(DL161&lt;=Hypothèses!$V$13,Hypothèses!$W$13,IF(DL161&lt;=Hypothèses!$V$14,Hypothèses!$W$14,IF(DL161&lt;=Hypothèses!$V$15,Hypothèses!$W$15,IF(DL161&lt;=Hypothèses!$V$16,Hypothèses!$W$16,IF(DL161&lt;=Hypothèses!$V$17,Hypothèses!$W$17,IF(DL161&lt;=Hypothèses!$V$18,Hypothèses!$W$18,""))))))))))))</f>
        <v>#DIV/0!</v>
      </c>
      <c r="EG161" s="87" t="e">
        <f t="shared" ca="1" si="322"/>
        <v>#DIV/0!</v>
      </c>
      <c r="EH161" s="88" t="e">
        <f ca="1">IF(DL161&lt;=Hypothèses!$V$7,Hypothèses!$X$7,IF(DL161&lt;=Hypothèses!$V$8,Hypothèses!$X$8,IF(DL161&lt;=Hypothèses!$V$9,Hypothèses!$X$9,IF(DL161&lt;=Hypothèses!$V$10,Hypothèses!$X$10,IF(DL161&lt;=Hypothèses!$V$11,Hypothèses!$X$11,IF(DL161&lt;=Hypothèses!$V$12,Hypothèses!$X$12,IF(DL161&lt;=Hypothèses!$V$13,Hypothèses!$X$13,IF(DL161&lt;=Hypothèses!$V$14,Hypothèses!$X$14,IF(DL161&lt;=Hypothèses!$V$15,Hypothèses!$X$15,IF(DL161&lt;=Hypothèses!$V$16,Hypothèses!$X$16,IF(DL161&lt;=Hypothèses!$U$17,Hypothèses!$W$17,IF(DL161&lt;=Hypothèses!$U$18,Hypothèses!$W$18,""))))))))))))</f>
        <v>#DIV/0!</v>
      </c>
      <c r="EI161" s="95" t="e">
        <f t="shared" ca="1" si="293"/>
        <v>#DIV/0!</v>
      </c>
      <c r="EJ161" s="101">
        <f t="shared" si="329"/>
        <v>0</v>
      </c>
      <c r="EK161" s="91">
        <f t="shared" si="260"/>
        <v>0</v>
      </c>
      <c r="EL161" s="30" t="e">
        <f t="shared" si="312"/>
        <v>#N/A</v>
      </c>
      <c r="EM161" s="30" t="e">
        <f t="shared" si="313"/>
        <v>#N/A</v>
      </c>
      <c r="EN161" s="31" t="e">
        <f>IF(OR(Hypothèses!$B$4=17,Hypothèses!$B$4=18,Hypothèses!$B$4=19,Hypothèses!$B$4=20),
IF($D161="Pressio.",
IF(OR($E161=3,$E161=1,$E161=4),EM161,EL161),
IF($D161="Pénétro.",
IF(OR($E161=3,$E161=1,$E161=4),EM161,EL161))),IF($D161="Pressio.",
IF($E161=3,EM161,EL161),
IF($D161="Pénétro.",
IF($E161=4,EM161,EL161))))</f>
        <v>#N/A</v>
      </c>
      <c r="EO161" s="31">
        <v>0</v>
      </c>
      <c r="EP161" s="102" t="e">
        <f>IF(NDC!$H$10="Oui",(VLOOKUP($B$3,'Coeff EC7'!$T$39:$X$59,2,0)*EN161+VLOOKUP($B$3,'Coeff EC7'!$T$65:$X$85,2,0)*Model0.1T!EO161)/1.5,PI()*EL$12*$Q161*($B161-$B160)*0.15/10+EP160)</f>
        <v>#N/A</v>
      </c>
      <c r="EQ161" s="102" t="e">
        <f>(VLOOKUP($B$3,'Coeff EC7'!$T$39:$X$59,3,0)*EN161+VLOOKUP($B$3,'Coeff EC7'!$T$65:$X$85,3,0)*Model0.1T!EO161)/1.1</f>
        <v>#N/A</v>
      </c>
      <c r="ER161" s="102" t="e">
        <f t="shared" si="294"/>
        <v>#N/A</v>
      </c>
      <c r="ES161" s="102" t="e">
        <f t="shared" si="295"/>
        <v>#N/A</v>
      </c>
      <c r="ET161" s="414" t="e">
        <f>IF(AND(EP161&gt;NDC!$C$63,EQ161&gt;NDC!$C$65,ER161&gt;NDC!$D$73,ES161&gt;NDC!$D$74,$B161&gt;NDC!$H$22-0.1+MIN(3*ET$12,1.5)),0,1)</f>
        <v>#N/A</v>
      </c>
      <c r="EU161" s="86" t="b">
        <f t="shared" si="261"/>
        <v>0</v>
      </c>
      <c r="EV161" s="86">
        <f t="shared" si="262"/>
        <v>0.61</v>
      </c>
      <c r="EW161" s="86">
        <f t="shared" si="263"/>
        <v>0.61</v>
      </c>
      <c r="EX161" s="30" t="e">
        <f t="shared" ca="1" si="296"/>
        <v>#DIV/0!</v>
      </c>
      <c r="EY161" s="85" t="e">
        <f ca="1">IF(EE161&lt;=Hypothèses!$V$7,Hypothèses!$W$7,IF(EE161&lt;=Hypothèses!$V$8,Hypothèses!$W$8,IF(EE161&lt;=Hypothèses!$V$9,Hypothèses!$W$9,IF(EE161&lt;=Hypothèses!$V$10,Hypothèses!$W$10,IF(EE161&lt;=Hypothèses!$V$11,Hypothèses!$W$11,IF(EE161&lt;=Hypothèses!$V$12,Hypothèses!$W$12,IF(EE161&lt;=Hypothèses!$V$13,Hypothèses!$W$13,IF(EE161&lt;=Hypothèses!$V$14,Hypothèses!$W$14,IF(EE161&lt;=Hypothèses!$V$15,Hypothèses!$W$15,IF(EE161&lt;=Hypothèses!$V$16,Hypothèses!$W$16,IF(EE161&lt;=Hypothèses!$V$17,Hypothèses!$W$17,IF(EE161&lt;=Hypothèses!$V$18,Hypothèses!$W$18,""))))))))))))</f>
        <v>#DIV/0!</v>
      </c>
      <c r="EZ161" s="87" t="e">
        <f t="shared" ca="1" si="323"/>
        <v>#DIV/0!</v>
      </c>
      <c r="FA161" s="88" t="e">
        <f ca="1">IF(EE161&lt;=Hypothèses!$V$7,Hypothèses!$X$7,IF(EE161&lt;=Hypothèses!$V$8,Hypothèses!$X$8,IF(EE161&lt;=Hypothèses!$V$9,Hypothèses!$X$9,IF(EE161&lt;=Hypothèses!$V$10,Hypothèses!$X$10,IF(EE161&lt;=Hypothèses!$V$11,Hypothèses!$X$11,IF(EE161&lt;=Hypothèses!$V$12,Hypothèses!$X$12,IF(EE161&lt;=Hypothèses!$V$13,Hypothèses!$X$13,IF(EE161&lt;=Hypothèses!$V$14,Hypothèses!$X$14,IF(EE161&lt;=Hypothèses!$V$15,Hypothèses!$X$15,IF(EE161&lt;=Hypothèses!$V$16,Hypothèses!$X$16,IF(EE161&lt;=Hypothèses!$U$17,Hypothèses!$W$17,IF(EE161&lt;=Hypothèses!$U$18,Hypothèses!$W$18,""))))))))))))</f>
        <v>#DIV/0!</v>
      </c>
      <c r="FB161" s="95" t="e">
        <f t="shared" ca="1" si="297"/>
        <v>#DIV/0!</v>
      </c>
      <c r="FC161" s="101">
        <f t="shared" si="330"/>
        <v>0</v>
      </c>
      <c r="FD161" s="91">
        <f t="shared" si="264"/>
        <v>0</v>
      </c>
      <c r="FE161" s="30" t="e">
        <f t="shared" si="314"/>
        <v>#N/A</v>
      </c>
      <c r="FF161" s="30" t="e">
        <f t="shared" si="315"/>
        <v>#N/A</v>
      </c>
      <c r="FG161" s="31" t="e">
        <f>IF(OR(Hypothèses!$B$4=17,Hypothèses!$B$4=18,Hypothèses!$B$4=19,Hypothèses!$B$4=20),
IF($D161="Pressio.",
IF(OR($E161=3,$E161=1,$E161=4),FF161,FE161),
IF($D161="Pénétro.",
IF(OR($E161=3,$E161=1,$E161=4),FF161,FE161))),IF($D161="Pressio.",
IF($E161=3,FF161,FE161),
IF($D161="Pénétro.",
IF($E161=4,FF161,FE161))))</f>
        <v>#N/A</v>
      </c>
      <c r="FH161" s="31">
        <v>0</v>
      </c>
      <c r="FI161" s="102" t="e">
        <f>IF(NDC!$H$10="Oui",(VLOOKUP($B$3,'Coeff EC7'!$T$39:$X$59,2,0)*FG161+VLOOKUP($B$3,'Coeff EC7'!$T$65:$X$85,2,0)*Model0.1T!FH161)/1.5,PI()*FE$12*$Q161*($B161-$B160)*0.15/10+FI160)</f>
        <v>#N/A</v>
      </c>
      <c r="FJ161" s="102" t="e">
        <f>(VLOOKUP($B$3,'Coeff EC7'!$T$39:$X$59,3,0)*FG161+VLOOKUP($B$3,'Coeff EC7'!$T$65:$X$85,3,0)*Model0.1T!FH161)/1.1</f>
        <v>#N/A</v>
      </c>
      <c r="FK161" s="102" t="e">
        <f t="shared" si="298"/>
        <v>#N/A</v>
      </c>
      <c r="FL161" s="102" t="e">
        <f t="shared" si="299"/>
        <v>#N/A</v>
      </c>
      <c r="FM161" s="414" t="e">
        <f>IF(AND(FI161&gt;NDC!$C$63,FJ161&gt;NDC!$C$65,FK161&gt;NDC!$D$73,FL161&gt;NDC!$D$74,$B161&gt;NDC!$H$22-0.1+MIN(3*FM$12,1.5)),0,1)</f>
        <v>#N/A</v>
      </c>
    </row>
    <row r="162" spans="1:169">
      <c r="A162" s="96">
        <f t="shared" si="265"/>
        <v>85.100000000000847</v>
      </c>
      <c r="B162" s="97">
        <v>14.9</v>
      </c>
      <c r="C162" s="81">
        <f>IF(B162&lt;=Hypothèses!$C$7,Hypothèses!$A$7,IF(B162&lt;=Hypothèses!$C$8,Hypothèses!$A$8,IF(B162&lt;=Hypothèses!$C$9,Hypothèses!$A$9,IF(B162&lt;=Hypothèses!$C$10,Hypothèses!$A$10,IF(B162&lt;=Hypothèses!$C$11,Hypothèses!$A$11,IF(B162&lt;=Hypothèses!$C$12,Hypothèses!$A$12,IF(B162&lt;=Hypothèses!$C$13,Hypothèses!$A$13,IF(B162&lt;=Hypothèses!$C$14,Hypothèses!$A$14,IF(B162&lt;=Hypothèses!$C$15,Hypothèses!$A$15,IF(B162&lt;=Hypothèses!$C$16,Hypothèses!$A$16,IF(B162&lt;=Hypothèses!$C$17,Hypothèses!$A$17,IF(B162&lt;=Hypothèses!$C$18,Hypothèses!$A$18,C161))))))))))))</f>
        <v>11</v>
      </c>
      <c r="D162" s="82" t="str">
        <f>IF(B162&lt;=Hypothèses!$C$7,Hypothèses!$R$7,IF(B162&lt;=Hypothèses!$C$8,Hypothèses!$R$8,IF(B162&lt;=Hypothèses!$C$9,Hypothèses!$R$9,IF(B162&lt;=Hypothèses!$C$10,Hypothèses!$R$10,IF(B162&lt;=Hypothèses!$C$11,Hypothèses!$R$11,IF(B162&lt;=Hypothèses!$C$12,Hypothèses!$R$12,IF(B162&lt;=Hypothèses!$C$13,Hypothèses!$R$13,IF(B162&lt;=Hypothèses!$C$14,Hypothèses!$R$14,IF(B162&lt;=Hypothèses!$C$15,Hypothèses!$R$15,IF(B162&lt;=Hypothèses!$C$16,Hypothèses!$R$16,IF(B162&lt;=Hypothèses!$C$17,Hypothèses!$R$17,IF(B162&lt;=Hypothèses!$C$18,Hypothèses!$R$18,D161))))))))))))</f>
        <v>Pressio.</v>
      </c>
      <c r="E162" s="82" t="e">
        <f>IF(B162&lt;=Hypothèses!$C$7,Hypothèses!$G$7,IF(B162&lt;=Hypothèses!$C$8,Hypothèses!$G$8,IF(B162&lt;=Hypothèses!$C$9,Hypothèses!$G$9,IF(B162&lt;=Hypothèses!$C$10,Hypothèses!$G$10,IF(B162&lt;=Hypothèses!$C$11,Hypothèses!$G$11,IF(B162&lt;=Hypothèses!$C$12,Hypothèses!$G$12,IF(B162&lt;=Hypothèses!$C$13,Hypothèses!$G$13,IF(B162&lt;=Hypothèses!$C$14,Hypothèses!$G$14,IF(B162&lt;=Hypothèses!$C$15,Hypothèses!$G$15,IF(B162&lt;=Hypothèses!$C$16,Hypothèses!$G$16,IF(B162&lt;=Hypothèses!$C$17,Hypothèses!$G$17,IF(B162&lt;=Hypothèses!$C$18,Hypothèses!$G$18,E161))))))))))))</f>
        <v>#N/A</v>
      </c>
      <c r="F162" s="82" t="str">
        <f>IF(B162&lt;=Hypothèses!$C$7,Hypothèses!$F$7,IF(B162&lt;=Hypothèses!$C$8,Hypothèses!$F$8,IF(B162&lt;=Hypothèses!$C$9,Hypothèses!$F$9,IF(B162&lt;=Hypothèses!$C$10,Hypothèses!$F$10,IF(B162&lt;=Hypothèses!$C$11,Hypothèses!$F$11,IF(B162&lt;=Hypothèses!$C$12,Hypothèses!$F$12,IF(B162&lt;=Hypothèses!$C$13,Hypothèses!$F$13,IF(B162&lt;=Hypothèses!$C$14,Hypothèses!$F$14,IF(B162&lt;=Hypothèses!$C$15,Hypothèses!$F$15,IF(B162&lt;=Hypothèses!$C$16,Hypothèses!$F$16,IF(B162&lt;=Hypothèses!$C$17,Hypothèses!$F$17,IF(B162&lt;=Hypothèses!$C$18,Hypothèses!$F$18,F161))))))))))))</f>
        <v/>
      </c>
      <c r="G162" s="91">
        <f t="array" ref="G162">INDEX('Coeff EC7'!$U$7:$X$27,
MATCH(Model0.1T!$B$3,'Coeff EC7'!$T$7:$T$27,0),
MATCH(Model0.1T!$D162&amp;Model0.1T!$B$4,
'Coeff EC7'!$U$6:$X$6&amp;
'Coeff EC7'!$U$5:$X$5,0))</f>
        <v>1.4</v>
      </c>
      <c r="H162" s="91">
        <f t="array" ref="H162">INDEX('Coeff EC7'!$Y$7:$AB$27,
MATCH(Model0.1T!$B$3,'Coeff EC7'!$T$7:$T$27,0),
MATCH(Model0.1T!$D162&amp;Model0.1T!$B$4,
'Coeff EC7'!$Y$6:$AB$6&amp;
'Coeff EC7'!$Y$5:$AB$5,0))</f>
        <v>1.7</v>
      </c>
      <c r="I162" s="83">
        <v>0</v>
      </c>
      <c r="J162" s="91" t="e">
        <f t="array" ref="J162">INDEX('Coeff EC7'!$D$33:$Q$33,1,MATCH(D162&amp;E162,'Coeff EC7'!$D$31:$Q$31&amp;'Coeff EC7'!$D$32:$Q$32,0))</f>
        <v>#N/A</v>
      </c>
      <c r="K162" s="91" t="e">
        <f t="array" ref="K162">INDEX('Coeff EC7'!$D$34:$Q$34,1,MATCH(D162&amp;E162,'Coeff EC7'!$D$31:$Q$31&amp;'Coeff EC7'!$D$32:$Q$32,0))</f>
        <v>#N/A</v>
      </c>
      <c r="L162" s="91" t="e">
        <f t="array" ref="L162">INDEX('Coeff EC7'!$D$35:$Q$35,1,MATCH(D162&amp;E162,'Coeff EC7'!$D$31:$Q$31&amp;'Coeff EC7'!$D$32:$Q$32,0))</f>
        <v>#N/A</v>
      </c>
      <c r="M162" s="98" t="e">
        <f t="shared" si="231"/>
        <v>#N/A</v>
      </c>
      <c r="N162" s="99" t="e">
        <f t="array" ref="N162">INDEX('Coeff EC7'!$D$7:$Q$27,MATCH($B$3,'Coeff EC7'!$C$7:$C$27,0),MATCH(D162&amp;E162,'Coeff EC7'!$D$5:$Q$5&amp;'Coeff EC7'!$D$6:$Q$6,0))</f>
        <v>#N/A</v>
      </c>
      <c r="O162" s="99" t="e">
        <f t="array" ref="O162">INDEX('Coeff EC7'!$D$41:$Q$61,MATCH($B$3,'Coeff EC7'!$C$41:$C$61,0),MATCH(D162&amp;E162,'Coeff EC7'!$D$39:$Q$39&amp;'Coeff EC7'!$D$40:$Q$40,0))</f>
        <v>#N/A</v>
      </c>
      <c r="P162" s="30" t="e">
        <f t="shared" si="266"/>
        <v>#N/A</v>
      </c>
      <c r="Q162" s="100" t="e">
        <f t="shared" si="233"/>
        <v>#N/A</v>
      </c>
      <c r="R162" s="86" t="b">
        <f t="shared" si="234"/>
        <v>0</v>
      </c>
      <c r="S162" s="86">
        <f t="shared" si="232"/>
        <v>0.5</v>
      </c>
      <c r="T162" s="86">
        <f t="shared" si="235"/>
        <v>0.5</v>
      </c>
      <c r="U162" s="30" t="e">
        <f t="shared" ca="1" si="267"/>
        <v>#DIV/0!</v>
      </c>
      <c r="V162" s="85" t="str">
        <f>IF(B162&lt;=Hypothèses!$V$7,Hypothèses!$W$7,IF(B162&lt;=Hypothèses!$V$8,Hypothèses!$W$8,IF(B162&lt;=Hypothèses!$V$9,Hypothèses!$W$9,IF(B162&lt;=Hypothèses!$V$10,Hypothèses!$W$10,IF(B162&lt;=Hypothèses!$V$11,Hypothèses!$W$11,IF(B162&lt;=Hypothèses!$V$12,Hypothèses!$W$12,IF(B162&lt;=Hypothèses!$V$13,Hypothèses!$W$13,IF(B162&lt;=Hypothèses!$V$14,Hypothèses!$W$14,IF(B162&lt;=Hypothèses!$V$15,Hypothèses!$W$15,IF(B162&lt;=Hypothèses!$V$16,Hypothèses!$W$16,IF(B162&lt;=Hypothèses!$V$17,Hypothèses!$W$17,IF(B162&lt;=Hypothèses!$V$18,Hypothèses!$W$18,""))))))))))))</f>
        <v/>
      </c>
      <c r="W162" s="87" t="e">
        <f t="shared" ca="1" si="316"/>
        <v>#DIV/0!</v>
      </c>
      <c r="X162" s="88" t="str">
        <f>IF(B162&lt;=Hypothèses!$V$7,Hypothèses!$X$7,IF(B162&lt;=Hypothèses!$V$8,Hypothèses!$X$8,IF(B162&lt;=Hypothèses!$V$9,Hypothèses!$X$9,IF(B162&lt;=Hypothèses!$V$10,Hypothèses!$X$10,IF(B162&lt;=Hypothèses!$V$11,Hypothèses!$X$11,IF(B162&lt;=Hypothèses!$V$12,Hypothèses!$X$12,IF(B162&lt;=Hypothèses!$V$13,Hypothèses!$X$13,IF(B162&lt;=Hypothèses!$V$14,Hypothèses!$X$14,IF(B162&lt;=Hypothèses!$V$15,Hypothèses!$X$15,IF(B162&lt;=Hypothèses!$V$16,Hypothèses!$X$16,IF(B162&lt;=Hypothèses!$U$17,Hypothèses!$W$17,IF(B162&lt;=Hypothèses!$U$18,Hypothèses!$W$18,""))))))))))))</f>
        <v/>
      </c>
      <c r="Y162" s="95" t="e">
        <f t="shared" ca="1" si="236"/>
        <v>#DIV/0!</v>
      </c>
      <c r="Z162" s="101">
        <f t="shared" si="237"/>
        <v>0</v>
      </c>
      <c r="AA162" s="91">
        <f t="shared" si="238"/>
        <v>0</v>
      </c>
      <c r="AB162" s="30" t="e">
        <f t="shared" si="300"/>
        <v>#N/A</v>
      </c>
      <c r="AC162" s="30" t="e">
        <f t="shared" si="301"/>
        <v>#N/A</v>
      </c>
      <c r="AD162" s="31" t="e">
        <f>IF(OR(Hypothèses!$B$4=17,Hypothèses!$B$4=18,Hypothèses!$B$4=19,Hypothèses!$B$4=20),
IF($D162="Pressio.",
IF(OR($E162=3,$E162=1,$E162=4),AC162,AB162),
IF($D162="Pénétro.",
IF(OR($E162=3,$E162=1,$E162=4),AC162,AB162))),IF($D162="Pressio.",
IF($E162=3,AC162,AB162),
IF($D162="Pénétro.",
IF($E162=4,AC162,AB162))))</f>
        <v>#N/A</v>
      </c>
      <c r="AE162" s="31">
        <v>0</v>
      </c>
      <c r="AF162" s="102" t="e">
        <f>IF(NDC!$H$10="Oui",(VLOOKUP($B$3,'Coeff EC7'!$T$39:$X$59,2,0)*AD162+VLOOKUP($B$3,'Coeff EC7'!$T$65:$X$85,2,0)*Model0.1T!AE162)/1.5,PI()*AB$12*$Q162*($B162-$B161)*0.15/10+AF161)</f>
        <v>#N/A</v>
      </c>
      <c r="AG162" s="102" t="e">
        <f>(VLOOKUP($B$3,'Coeff EC7'!$T$39:$X$59,3,0)*AD162+VLOOKUP($B$3,'Coeff EC7'!$T$65:$X$85,3,0)*Model0.1T!AE162)/1.1</f>
        <v>#N/A</v>
      </c>
      <c r="AH162" s="102" t="e">
        <f t="shared" si="268"/>
        <v>#N/A</v>
      </c>
      <c r="AI162" s="102" t="e">
        <f t="shared" si="269"/>
        <v>#N/A</v>
      </c>
      <c r="AJ162" s="414" t="e">
        <f>IF(AND(AF162&gt;NDC!$C$63,AG162&gt;NDC!$C$65,AH162&gt;NDC!$D$73,AI162&gt;NDC!$D$74,$B162&gt;NDC!$H$22-0.1+MIN(3*$AJ$12,1.5)),0,1)</f>
        <v>#N/A</v>
      </c>
      <c r="AK162" s="86" t="b">
        <f t="shared" si="239"/>
        <v>0</v>
      </c>
      <c r="AL162" s="86">
        <f t="shared" si="270"/>
        <v>0.5</v>
      </c>
      <c r="AM162" s="86">
        <f t="shared" si="240"/>
        <v>0.5</v>
      </c>
      <c r="AN162" s="30" t="e">
        <f t="shared" ca="1" si="271"/>
        <v>#DIV/0!</v>
      </c>
      <c r="AO162" s="85" t="e">
        <f ca="1">IF(U162&lt;=Hypothèses!$V$7,Hypothèses!$W$7,IF(U162&lt;=Hypothèses!$V$8,Hypothèses!$W$8,IF(U162&lt;=Hypothèses!$V$9,Hypothèses!$W$9,IF(U162&lt;=Hypothèses!$V$10,Hypothèses!$W$10,IF(U162&lt;=Hypothèses!$V$11,Hypothèses!$W$11,IF(U162&lt;=Hypothèses!$V$12,Hypothèses!$W$12,IF(U162&lt;=Hypothèses!$V$13,Hypothèses!$W$13,IF(U162&lt;=Hypothèses!$V$14,Hypothèses!$W$14,IF(U162&lt;=Hypothèses!$V$15,Hypothèses!$W$15,IF(U162&lt;=Hypothèses!$V$16,Hypothèses!$W$16,IF(U162&lt;=Hypothèses!$V$17,Hypothèses!$W$17,IF(U162&lt;=Hypothèses!$V$18,Hypothèses!$W$18,""))))))))))))</f>
        <v>#DIV/0!</v>
      </c>
      <c r="AP162" s="87" t="e">
        <f t="shared" ca="1" si="317"/>
        <v>#DIV/0!</v>
      </c>
      <c r="AQ162" s="88" t="e">
        <f ca="1">IF(U162&lt;=Hypothèses!$V$7,Hypothèses!$X$7,IF(U162&lt;=Hypothèses!$V$8,Hypothèses!$X$8,IF(U162&lt;=Hypothèses!$V$9,Hypothèses!$X$9,IF(U162&lt;=Hypothèses!$V$10,Hypothèses!$X$10,IF(U162&lt;=Hypothèses!$V$11,Hypothèses!$X$11,IF(U162&lt;=Hypothèses!$V$12,Hypothèses!$X$12,IF(U162&lt;=Hypothèses!$V$13,Hypothèses!$X$13,IF(U162&lt;=Hypothèses!$V$14,Hypothèses!$X$14,IF(U162&lt;=Hypothèses!$V$15,Hypothèses!$X$15,IF(U162&lt;=Hypothèses!$V$16,Hypothèses!$X$16,IF(U162&lt;=Hypothèses!$U$17,Hypothèses!$W$17,IF(U162&lt;=Hypothèses!$U$18,Hypothèses!$W$18,""))))))))))))</f>
        <v>#DIV/0!</v>
      </c>
      <c r="AR162" s="95" t="e">
        <f t="shared" ca="1" si="272"/>
        <v>#DIV/0!</v>
      </c>
      <c r="AS162" s="101">
        <f t="shared" si="324"/>
        <v>0</v>
      </c>
      <c r="AT162" s="91">
        <f t="shared" si="241"/>
        <v>0</v>
      </c>
      <c r="AU162" s="30" t="e">
        <f t="shared" si="302"/>
        <v>#N/A</v>
      </c>
      <c r="AV162" s="30" t="e">
        <f t="shared" si="303"/>
        <v>#N/A</v>
      </c>
      <c r="AW162" s="31" t="e">
        <f>IF(OR(Hypothèses!$B$4=17,Hypothèses!$B$4=18,Hypothèses!$B$4=19,Hypothèses!$B$4=20),
IF($D162="Pressio.",
IF(OR($E162=3,$E162=1,$E162=4),AV162,AU162),
IF($D162="Pénétro.",
IF(OR($E162=3,$E162=1,$E162=4),AV162,AU162))),IF($D162="Pressio.",
IF($E162=3,AV162,AU162),
IF($D162="Pénétro.",
IF($E162=4,AV162,AU162))))</f>
        <v>#N/A</v>
      </c>
      <c r="AX162" s="31">
        <v>0</v>
      </c>
      <c r="AY162" s="102" t="e">
        <f>IF(NDC!$H$10="Oui",(VLOOKUP($B$3,'Coeff EC7'!$T$39:$X$59,2,0)*AW162+VLOOKUP($B$3,'Coeff EC7'!$T$65:$X$85,2,0)*Model0.1T!AX162)/1.5,PI()*AU$12*$Q162*($B162-$B161)*0.15/10+AY161)</f>
        <v>#N/A</v>
      </c>
      <c r="AZ162" s="102" t="e">
        <f>(VLOOKUP($B$3,'Coeff EC7'!$T$39:$X$59,3,0)*AW162+VLOOKUP($B$3,'Coeff EC7'!$T$65:$X$85,3,0)*Model0.1T!AX162)/1.1</f>
        <v>#N/A</v>
      </c>
      <c r="BA162" s="102" t="e">
        <f t="shared" si="273"/>
        <v>#N/A</v>
      </c>
      <c r="BB162" s="102" t="e">
        <f t="shared" si="274"/>
        <v>#N/A</v>
      </c>
      <c r="BC162" s="414" t="e">
        <f>IF(AND(AY162&gt;NDC!$C$63,AZ162&gt;NDC!$C$65,BA162&gt;NDC!$D$73,BB162&gt;NDC!$D$74,$B162&gt;NDC!$H$22-0.1+MIN(3*BC$12,1.5)),0,1)</f>
        <v>#N/A</v>
      </c>
      <c r="BD162" s="86" t="b">
        <f t="shared" si="242"/>
        <v>0</v>
      </c>
      <c r="BE162" s="86">
        <f t="shared" si="275"/>
        <v>0.5</v>
      </c>
      <c r="BF162" s="86">
        <f t="shared" si="243"/>
        <v>0.5</v>
      </c>
      <c r="BG162" s="30" t="e">
        <f t="shared" ca="1" si="276"/>
        <v>#DIV/0!</v>
      </c>
      <c r="BH162" s="85" t="e">
        <f ca="1">IF(AN162&lt;=Hypothèses!$V$7,Hypothèses!$W$7,IF(AN162&lt;=Hypothèses!$V$8,Hypothèses!$W$8,IF(AN162&lt;=Hypothèses!$V$9,Hypothèses!$W$9,IF(AN162&lt;=Hypothèses!$V$10,Hypothèses!$W$10,IF(AN162&lt;=Hypothèses!$V$11,Hypothèses!$W$11,IF(AN162&lt;=Hypothèses!$V$12,Hypothèses!$W$12,IF(AN162&lt;=Hypothèses!$V$13,Hypothèses!$W$13,IF(AN162&lt;=Hypothèses!$V$14,Hypothèses!$W$14,IF(AN162&lt;=Hypothèses!$V$15,Hypothèses!$W$15,IF(AN162&lt;=Hypothèses!$V$16,Hypothèses!$W$16,IF(AN162&lt;=Hypothèses!$V$17,Hypothèses!$W$17,IF(AN162&lt;=Hypothèses!$V$18,Hypothèses!$W$18,""))))))))))))</f>
        <v>#DIV/0!</v>
      </c>
      <c r="BI162" s="87" t="e">
        <f t="shared" ca="1" si="318"/>
        <v>#DIV/0!</v>
      </c>
      <c r="BJ162" s="88" t="e">
        <f ca="1">IF(AN162&lt;=Hypothèses!$V$7,Hypothèses!$X$7,IF(AN162&lt;=Hypothèses!$V$8,Hypothèses!$X$8,IF(AN162&lt;=Hypothèses!$V$9,Hypothèses!$X$9,IF(AN162&lt;=Hypothèses!$V$10,Hypothèses!$X$10,IF(AN162&lt;=Hypothèses!$V$11,Hypothèses!$X$11,IF(AN162&lt;=Hypothèses!$V$12,Hypothèses!$X$12,IF(AN162&lt;=Hypothèses!$V$13,Hypothèses!$X$13,IF(AN162&lt;=Hypothèses!$V$14,Hypothèses!$X$14,IF(AN162&lt;=Hypothèses!$V$15,Hypothèses!$X$15,IF(AN162&lt;=Hypothèses!$V$16,Hypothèses!$X$16,IF(AN162&lt;=Hypothèses!$U$17,Hypothèses!$W$17,IF(AN162&lt;=Hypothèses!$U$18,Hypothèses!$W$18,""))))))))))))</f>
        <v>#DIV/0!</v>
      </c>
      <c r="BK162" s="95" t="e">
        <f t="shared" ca="1" si="277"/>
        <v>#DIV/0!</v>
      </c>
      <c r="BL162" s="101">
        <f t="shared" si="325"/>
        <v>0</v>
      </c>
      <c r="BM162" s="91">
        <f t="shared" si="244"/>
        <v>0</v>
      </c>
      <c r="BN162" s="30" t="e">
        <f t="shared" si="304"/>
        <v>#N/A</v>
      </c>
      <c r="BO162" s="30" t="e">
        <f t="shared" si="305"/>
        <v>#N/A</v>
      </c>
      <c r="BP162" s="31" t="e">
        <f>IF(OR(Hypothèses!$B$4=17,Hypothèses!$B$4=18,Hypothèses!$B$4=19,Hypothèses!$B$4=20),
IF($D162="Pressio.",
IF(OR($E162=3,$E162=1,$E162=4),BO162,BN162),
IF($D162="Pénétro.",
IF(OR($E162=3,$E162=1,$E162=4),BO162,BN162))),IF($D162="Pressio.",
IF($E162=3,BO162,BN162),
IF($D162="Pénétro.",
IF($E162=4,BO162,BN162))))</f>
        <v>#N/A</v>
      </c>
      <c r="BQ162" s="31">
        <v>0</v>
      </c>
      <c r="BR162" s="102" t="e">
        <f>IF(NDC!$H$10="Oui",(VLOOKUP($B$3,'Coeff EC7'!$T$39:$X$59,2,0)*BP162+VLOOKUP($B$3,'Coeff EC7'!$T$65:$X$85,2,0)*Model0.1T!BQ162)/1.5,PI()*BN$12*$Q162*($B162-$B161)*0.15/10+BR161)</f>
        <v>#N/A</v>
      </c>
      <c r="BS162" s="102" t="e">
        <f>(VLOOKUP($B$3,'Coeff EC7'!$T$39:$X$59,3,0)*BP162+VLOOKUP($B$3,'Coeff EC7'!$T$65:$X$85,3,0)*Model0.1T!BQ162)/1.1</f>
        <v>#N/A</v>
      </c>
      <c r="BT162" s="102" t="e">
        <f t="shared" si="278"/>
        <v>#N/A</v>
      </c>
      <c r="BU162" s="102" t="e">
        <f t="shared" si="279"/>
        <v>#N/A</v>
      </c>
      <c r="BV162" s="414" t="e">
        <f>IF(AND(BR162&gt;NDC!$C$63,BS162&gt;NDC!$C$65,BT162&gt;NDC!$D$73,BU162&gt;NDC!$D$74,$B162&gt;NDC!$H$22-0.1+MIN(3*BV$12,1.5)),0,1)</f>
        <v>#N/A</v>
      </c>
      <c r="BW162" s="86" t="b">
        <f t="shared" si="245"/>
        <v>0</v>
      </c>
      <c r="BX162" s="86">
        <f t="shared" si="246"/>
        <v>0.5</v>
      </c>
      <c r="BY162" s="86">
        <f t="shared" si="247"/>
        <v>0.5</v>
      </c>
      <c r="BZ162" s="30" t="e">
        <f t="shared" ca="1" si="280"/>
        <v>#DIV/0!</v>
      </c>
      <c r="CA162" s="85" t="e">
        <f ca="1">IF(BG162&lt;=Hypothèses!$V$7,Hypothèses!$W$7,IF(BG162&lt;=Hypothèses!$V$8,Hypothèses!$W$8,IF(BG162&lt;=Hypothèses!$V$9,Hypothèses!$W$9,IF(BG162&lt;=Hypothèses!$V$10,Hypothèses!$W$10,IF(BG162&lt;=Hypothèses!$V$11,Hypothèses!$W$11,IF(BG162&lt;=Hypothèses!$V$12,Hypothèses!$W$12,IF(BG162&lt;=Hypothèses!$V$13,Hypothèses!$W$13,IF(BG162&lt;=Hypothèses!$V$14,Hypothèses!$W$14,IF(BG162&lt;=Hypothèses!$V$15,Hypothèses!$W$15,IF(BG162&lt;=Hypothèses!$V$16,Hypothèses!$W$16,IF(BG162&lt;=Hypothèses!$V$17,Hypothèses!$W$17,IF(BG162&lt;=Hypothèses!$V$18,Hypothèses!$W$18,""))))))))))))</f>
        <v>#DIV/0!</v>
      </c>
      <c r="CB162" s="87" t="e">
        <f t="shared" ca="1" si="319"/>
        <v>#DIV/0!</v>
      </c>
      <c r="CC162" s="88" t="e">
        <f ca="1">IF(BG162&lt;=Hypothèses!$V$7,Hypothèses!$X$7,IF(BG162&lt;=Hypothèses!$V$8,Hypothèses!$X$8,IF(BG162&lt;=Hypothèses!$V$9,Hypothèses!$X$9,IF(BG162&lt;=Hypothèses!$V$10,Hypothèses!$X$10,IF(BG162&lt;=Hypothèses!$V$11,Hypothèses!$X$11,IF(BG162&lt;=Hypothèses!$V$12,Hypothèses!$X$12,IF(BG162&lt;=Hypothèses!$V$13,Hypothèses!$X$13,IF(BG162&lt;=Hypothèses!$V$14,Hypothèses!$X$14,IF(BG162&lt;=Hypothèses!$V$15,Hypothèses!$X$15,IF(BG162&lt;=Hypothèses!$V$16,Hypothèses!$X$16,IF(BG162&lt;=Hypothèses!$U$17,Hypothèses!$W$17,IF(BG162&lt;=Hypothèses!$U$18,Hypothèses!$W$18,""))))))))))))</f>
        <v>#DIV/0!</v>
      </c>
      <c r="CD162" s="95" t="e">
        <f t="shared" ca="1" si="281"/>
        <v>#DIV/0!</v>
      </c>
      <c r="CE162" s="101">
        <f t="shared" si="326"/>
        <v>0</v>
      </c>
      <c r="CF162" s="91">
        <f t="shared" si="248"/>
        <v>0</v>
      </c>
      <c r="CG162" s="30" t="e">
        <f t="shared" si="306"/>
        <v>#N/A</v>
      </c>
      <c r="CH162" s="30" t="e">
        <f t="shared" si="307"/>
        <v>#N/A</v>
      </c>
      <c r="CI162" s="31" t="e">
        <f>IF(OR(Hypothèses!$B$4=17,Hypothèses!$B$4=18,Hypothèses!$B$4=19,Hypothèses!$B$4=20),
IF($D162="Pressio.",
IF(OR($E162=3,$E162=1,$E162=4),CH162,CG162),
IF($D162="Pénétro.",
IF(OR($E162=3,$E162=1,$E162=4),CH162,CG162))),IF($D162="Pressio.",
IF($E162=3,CH162,CG162),
IF($D162="Pénétro.",
IF($E162=4,CH162,CG162))))</f>
        <v>#N/A</v>
      </c>
      <c r="CJ162" s="31">
        <v>0</v>
      </c>
      <c r="CK162" s="102" t="e">
        <f>IF(NDC!$H$10="Oui",(VLOOKUP($B$3,'Coeff EC7'!$T$39:$X$59,2,0)*CI162+VLOOKUP($B$3,'Coeff EC7'!$T$65:$X$85,2,0)*Model0.1T!CJ162)/1.5,PI()*CG$12*$Q162*($B162-$B161)*0.15/10+CK161)</f>
        <v>#N/A</v>
      </c>
      <c r="CL162" s="102" t="e">
        <f>(VLOOKUP($B$3,'Coeff EC7'!$T$39:$X$59,3,0)*CI162+VLOOKUP($B$3,'Coeff EC7'!$T$65:$X$85,3,0)*Model0.1T!CJ162)/1.1</f>
        <v>#N/A</v>
      </c>
      <c r="CM162" s="102" t="e">
        <f t="shared" si="282"/>
        <v>#N/A</v>
      </c>
      <c r="CN162" s="102" t="e">
        <f t="shared" si="283"/>
        <v>#N/A</v>
      </c>
      <c r="CO162" s="414" t="e">
        <f>IF(AND(CK162&gt;NDC!$C$63,CL162&gt;NDC!$C$65,CM162&gt;NDC!$D$73,CN162&gt;NDC!$D$74,$B162&gt;NDC!$H$22-0.1+MIN(3*CO$12,1.5)),0,1)</f>
        <v>#N/A</v>
      </c>
      <c r="CP162" s="86" t="b">
        <f t="shared" si="249"/>
        <v>0</v>
      </c>
      <c r="CQ162" s="86">
        <f t="shared" si="250"/>
        <v>0.5</v>
      </c>
      <c r="CR162" s="86">
        <f t="shared" si="251"/>
        <v>0.5</v>
      </c>
      <c r="CS162" s="30" t="e">
        <f t="shared" ca="1" si="284"/>
        <v>#DIV/0!</v>
      </c>
      <c r="CT162" s="85" t="e">
        <f ca="1">IF(BZ162&lt;=Hypothèses!$V$7,Hypothèses!$W$7,IF(BZ162&lt;=Hypothèses!$V$8,Hypothèses!$W$8,IF(BZ162&lt;=Hypothèses!$V$9,Hypothèses!$W$9,IF(BZ162&lt;=Hypothèses!$V$10,Hypothèses!$W$10,IF(BZ162&lt;=Hypothèses!$V$11,Hypothèses!$W$11,IF(BZ162&lt;=Hypothèses!$V$12,Hypothèses!$W$12,IF(BZ162&lt;=Hypothèses!$V$13,Hypothèses!$W$13,IF(BZ162&lt;=Hypothèses!$V$14,Hypothèses!$W$14,IF(BZ162&lt;=Hypothèses!$V$15,Hypothèses!$W$15,IF(BZ162&lt;=Hypothèses!$V$16,Hypothèses!$W$16,IF(BZ162&lt;=Hypothèses!$V$17,Hypothèses!$W$17,IF(BZ162&lt;=Hypothèses!$V$18,Hypothèses!$W$18,""))))))))))))</f>
        <v>#DIV/0!</v>
      </c>
      <c r="CU162" s="87" t="e">
        <f t="shared" ca="1" si="320"/>
        <v>#DIV/0!</v>
      </c>
      <c r="CV162" s="88" t="e">
        <f ca="1">IF(BZ162&lt;=Hypothèses!$V$7,Hypothèses!$X$7,IF(BZ162&lt;=Hypothèses!$V$8,Hypothèses!$X$8,IF(BZ162&lt;=Hypothèses!$V$9,Hypothèses!$X$9,IF(BZ162&lt;=Hypothèses!$V$10,Hypothèses!$X$10,IF(BZ162&lt;=Hypothèses!$V$11,Hypothèses!$X$11,IF(BZ162&lt;=Hypothèses!$V$12,Hypothèses!$X$12,IF(BZ162&lt;=Hypothèses!$V$13,Hypothèses!$X$13,IF(BZ162&lt;=Hypothèses!$V$14,Hypothèses!$X$14,IF(BZ162&lt;=Hypothèses!$V$15,Hypothèses!$X$15,IF(BZ162&lt;=Hypothèses!$V$16,Hypothèses!$X$16,IF(BZ162&lt;=Hypothèses!$U$17,Hypothèses!$W$17,IF(BZ162&lt;=Hypothèses!$U$18,Hypothèses!$W$18,""))))))))))))</f>
        <v>#DIV/0!</v>
      </c>
      <c r="CW162" s="95" t="e">
        <f t="shared" ca="1" si="285"/>
        <v>#DIV/0!</v>
      </c>
      <c r="CX162" s="101">
        <f t="shared" si="327"/>
        <v>0</v>
      </c>
      <c r="CY162" s="91">
        <f t="shared" si="252"/>
        <v>0</v>
      </c>
      <c r="CZ162" s="30" t="e">
        <f t="shared" si="308"/>
        <v>#N/A</v>
      </c>
      <c r="DA162" s="30" t="e">
        <f t="shared" si="309"/>
        <v>#N/A</v>
      </c>
      <c r="DB162" s="31" t="e">
        <f>IF(OR(Hypothèses!$B$4=17,Hypothèses!$B$4=18,Hypothèses!$B$4=19,Hypothèses!$B$4=20),
IF($D162="Pressio.",
IF(OR($E162=3,$E162=1,$E162=4),DA162,CZ162),
IF($D162="Pénétro.",
IF(OR($E162=3,$E162=1,$E162=4),DA162,CZ162))),IF($D162="Pressio.",
IF($E162=3,DA162,CZ162),
IF($D162="Pénétro.",
IF($E162=4,DA162,CZ162))))</f>
        <v>#N/A</v>
      </c>
      <c r="DC162" s="31">
        <v>0</v>
      </c>
      <c r="DD162" s="102" t="e">
        <f>IF(NDC!$H$10="Oui",(VLOOKUP($B$3,'Coeff EC7'!$T$39:$X$59,2,0)*DB162+VLOOKUP($B$3,'Coeff EC7'!$T$65:$X$85,2,0)*Model0.1T!DC162)/1.5,PI()*CZ$12*$Q162*($B162-$B161)*0.15/10+DD161)</f>
        <v>#N/A</v>
      </c>
      <c r="DE162" s="102" t="e">
        <f>(VLOOKUP($B$3,'Coeff EC7'!$T$39:$X$59,3,0)*DB162+VLOOKUP($B$3,'Coeff EC7'!$T$65:$X$85,3,0)*Model0.1T!DC162)/1.1</f>
        <v>#N/A</v>
      </c>
      <c r="DF162" s="102" t="e">
        <f t="shared" si="286"/>
        <v>#N/A</v>
      </c>
      <c r="DG162" s="102" t="e">
        <f t="shared" si="287"/>
        <v>#N/A</v>
      </c>
      <c r="DH162" s="414" t="e">
        <f>IF(AND(DD162&gt;NDC!$C$63,DE162&gt;NDC!$C$65,DF162&gt;NDC!$D$73,DG162&gt;NDC!$D$74,$B162&gt;NDC!$H$22-0.1+MIN(3*DH$12,1.5)),0,1)</f>
        <v>#N/A</v>
      </c>
      <c r="DI162" s="86" t="b">
        <f t="shared" si="253"/>
        <v>0</v>
      </c>
      <c r="DJ162" s="86">
        <f t="shared" si="254"/>
        <v>0.5</v>
      </c>
      <c r="DK162" s="86">
        <f t="shared" si="255"/>
        <v>0.5</v>
      </c>
      <c r="DL162" s="30" t="e">
        <f t="shared" ca="1" si="288"/>
        <v>#DIV/0!</v>
      </c>
      <c r="DM162" s="85" t="e">
        <f ca="1">IF(CS162&lt;=Hypothèses!$V$7,Hypothèses!$W$7,IF(CS162&lt;=Hypothèses!$V$8,Hypothèses!$W$8,IF(CS162&lt;=Hypothèses!$V$9,Hypothèses!$W$9,IF(CS162&lt;=Hypothèses!$V$10,Hypothèses!$W$10,IF(CS162&lt;=Hypothèses!$V$11,Hypothèses!$W$11,IF(CS162&lt;=Hypothèses!$V$12,Hypothèses!$W$12,IF(CS162&lt;=Hypothèses!$V$13,Hypothèses!$W$13,IF(CS162&lt;=Hypothèses!$V$14,Hypothèses!$W$14,IF(CS162&lt;=Hypothèses!$V$15,Hypothèses!$W$15,IF(CS162&lt;=Hypothèses!$V$16,Hypothèses!$W$16,IF(CS162&lt;=Hypothèses!$V$17,Hypothèses!$W$17,IF(CS162&lt;=Hypothèses!$V$18,Hypothèses!$W$18,""))))))))))))</f>
        <v>#DIV/0!</v>
      </c>
      <c r="DN162" s="87" t="e">
        <f t="shared" ca="1" si="321"/>
        <v>#DIV/0!</v>
      </c>
      <c r="DO162" s="88" t="e">
        <f ca="1">IF(CS162&lt;=Hypothèses!$V$7,Hypothèses!$X$7,IF(CS162&lt;=Hypothèses!$V$8,Hypothèses!$X$8,IF(CS162&lt;=Hypothèses!$V$9,Hypothèses!$X$9,IF(CS162&lt;=Hypothèses!$V$10,Hypothèses!$X$10,IF(CS162&lt;=Hypothèses!$V$11,Hypothèses!$X$11,IF(CS162&lt;=Hypothèses!$V$12,Hypothèses!$X$12,IF(CS162&lt;=Hypothèses!$V$13,Hypothèses!$X$13,IF(CS162&lt;=Hypothèses!$V$14,Hypothèses!$X$14,IF(CS162&lt;=Hypothèses!$V$15,Hypothèses!$X$15,IF(CS162&lt;=Hypothèses!$V$16,Hypothèses!$X$16,IF(CS162&lt;=Hypothèses!$U$17,Hypothèses!$W$17,IF(CS162&lt;=Hypothèses!$U$18,Hypothèses!$W$18,""))))))))))))</f>
        <v>#DIV/0!</v>
      </c>
      <c r="DP162" s="95" t="e">
        <f t="shared" ca="1" si="289"/>
        <v>#DIV/0!</v>
      </c>
      <c r="DQ162" s="101">
        <f t="shared" si="328"/>
        <v>0</v>
      </c>
      <c r="DR162" s="91">
        <f t="shared" si="256"/>
        <v>0</v>
      </c>
      <c r="DS162" s="30" t="e">
        <f t="shared" si="310"/>
        <v>#N/A</v>
      </c>
      <c r="DT162" s="30" t="e">
        <f t="shared" si="311"/>
        <v>#N/A</v>
      </c>
      <c r="DU162" s="31" t="e">
        <f>IF(OR(Hypothèses!$B$4=17,Hypothèses!$B$4=18,Hypothèses!$B$4=19,Hypothèses!$B$4=20),
IF($D162="Pressio.",
IF(OR($E162=3,$E162=1,$E162=4),DT162,DS162),
IF($D162="Pénétro.",
IF(OR($E162=3,$E162=1,$E162=4),DT162,DS162))),IF($D162="Pressio.",
IF($E162=3,DT162,DS162),
IF($D162="Pénétro.",
IF($E162=4,DT162,DS162))))</f>
        <v>#N/A</v>
      </c>
      <c r="DV162" s="31">
        <v>0</v>
      </c>
      <c r="DW162" s="102" t="e">
        <f>IF(NDC!$H$10="Oui",(VLOOKUP($B$3,'Coeff EC7'!$T$39:$X$59,2,0)*DU162+VLOOKUP($B$3,'Coeff EC7'!$T$65:$X$85,2,0)*Model0.1T!DV162)/1.5,PI()*DS$12*$Q162*($B162-$B161)*0.15/10+DW161)</f>
        <v>#N/A</v>
      </c>
      <c r="DX162" s="102" t="e">
        <f>(VLOOKUP($B$3,'Coeff EC7'!$T$39:$X$59,3,0)*DU162+VLOOKUP($B$3,'Coeff EC7'!$T$65:$X$85,3,0)*Model0.1T!DV162)/1.1</f>
        <v>#N/A</v>
      </c>
      <c r="DY162" s="102" t="e">
        <f t="shared" si="290"/>
        <v>#N/A</v>
      </c>
      <c r="DZ162" s="102" t="e">
        <f t="shared" si="291"/>
        <v>#N/A</v>
      </c>
      <c r="EA162" s="414" t="e">
        <f>IF(AND(DW162&gt;NDC!$C$63,DX162&gt;NDC!$C$65,DY162&gt;NDC!$D$73,DZ162&gt;NDC!$D$74,$B162&gt;NDC!$H$22-0.1+MIN(3*EA$12,1.5)),0,1)</f>
        <v>#N/A</v>
      </c>
      <c r="EB162" s="86" t="b">
        <f t="shared" si="257"/>
        <v>0</v>
      </c>
      <c r="EC162" s="418">
        <f t="shared" si="258"/>
        <v>0.51</v>
      </c>
      <c r="ED162" s="86">
        <f t="shared" si="259"/>
        <v>0.51</v>
      </c>
      <c r="EE162" s="30" t="e">
        <f t="shared" ca="1" si="292"/>
        <v>#DIV/0!</v>
      </c>
      <c r="EF162" s="85" t="e">
        <f ca="1">IF(DL162&lt;=Hypothèses!$V$7,Hypothèses!$W$7,IF(DL162&lt;=Hypothèses!$V$8,Hypothèses!$W$8,IF(DL162&lt;=Hypothèses!$V$9,Hypothèses!$W$9,IF(DL162&lt;=Hypothèses!$V$10,Hypothèses!$W$10,IF(DL162&lt;=Hypothèses!$V$11,Hypothèses!$W$11,IF(DL162&lt;=Hypothèses!$V$12,Hypothèses!$W$12,IF(DL162&lt;=Hypothèses!$V$13,Hypothèses!$W$13,IF(DL162&lt;=Hypothèses!$V$14,Hypothèses!$W$14,IF(DL162&lt;=Hypothèses!$V$15,Hypothèses!$W$15,IF(DL162&lt;=Hypothèses!$V$16,Hypothèses!$W$16,IF(DL162&lt;=Hypothèses!$V$17,Hypothèses!$W$17,IF(DL162&lt;=Hypothèses!$V$18,Hypothèses!$W$18,""))))))))))))</f>
        <v>#DIV/0!</v>
      </c>
      <c r="EG162" s="87" t="e">
        <f t="shared" ca="1" si="322"/>
        <v>#DIV/0!</v>
      </c>
      <c r="EH162" s="88" t="e">
        <f ca="1">IF(DL162&lt;=Hypothèses!$V$7,Hypothèses!$X$7,IF(DL162&lt;=Hypothèses!$V$8,Hypothèses!$X$8,IF(DL162&lt;=Hypothèses!$V$9,Hypothèses!$X$9,IF(DL162&lt;=Hypothèses!$V$10,Hypothèses!$X$10,IF(DL162&lt;=Hypothèses!$V$11,Hypothèses!$X$11,IF(DL162&lt;=Hypothèses!$V$12,Hypothèses!$X$12,IF(DL162&lt;=Hypothèses!$V$13,Hypothèses!$X$13,IF(DL162&lt;=Hypothèses!$V$14,Hypothèses!$X$14,IF(DL162&lt;=Hypothèses!$V$15,Hypothèses!$X$15,IF(DL162&lt;=Hypothèses!$V$16,Hypothèses!$X$16,IF(DL162&lt;=Hypothèses!$U$17,Hypothèses!$W$17,IF(DL162&lt;=Hypothèses!$U$18,Hypothèses!$W$18,""))))))))))))</f>
        <v>#DIV/0!</v>
      </c>
      <c r="EI162" s="95" t="e">
        <f t="shared" ca="1" si="293"/>
        <v>#DIV/0!</v>
      </c>
      <c r="EJ162" s="101">
        <f t="shared" si="329"/>
        <v>0</v>
      </c>
      <c r="EK162" s="91">
        <f t="shared" si="260"/>
        <v>0</v>
      </c>
      <c r="EL162" s="30" t="e">
        <f t="shared" si="312"/>
        <v>#N/A</v>
      </c>
      <c r="EM162" s="30" t="e">
        <f t="shared" si="313"/>
        <v>#N/A</v>
      </c>
      <c r="EN162" s="31" t="e">
        <f>IF(OR(Hypothèses!$B$4=17,Hypothèses!$B$4=18,Hypothèses!$B$4=19,Hypothèses!$B$4=20),
IF($D162="Pressio.",
IF(OR($E162=3,$E162=1,$E162=4),EM162,EL162),
IF($D162="Pénétro.",
IF(OR($E162=3,$E162=1,$E162=4),EM162,EL162))),IF($D162="Pressio.",
IF($E162=3,EM162,EL162),
IF($D162="Pénétro.",
IF($E162=4,EM162,EL162))))</f>
        <v>#N/A</v>
      </c>
      <c r="EO162" s="31">
        <v>0</v>
      </c>
      <c r="EP162" s="102" t="e">
        <f>IF(NDC!$H$10="Oui",(VLOOKUP($B$3,'Coeff EC7'!$T$39:$X$59,2,0)*EN162+VLOOKUP($B$3,'Coeff EC7'!$T$65:$X$85,2,0)*Model0.1T!EO162)/1.5,PI()*EL$12*$Q162*($B162-$B161)*0.15/10+EP161)</f>
        <v>#N/A</v>
      </c>
      <c r="EQ162" s="102" t="e">
        <f>(VLOOKUP($B$3,'Coeff EC7'!$T$39:$X$59,3,0)*EN162+VLOOKUP($B$3,'Coeff EC7'!$T$65:$X$85,3,0)*Model0.1T!EO162)/1.1</f>
        <v>#N/A</v>
      </c>
      <c r="ER162" s="102" t="e">
        <f t="shared" si="294"/>
        <v>#N/A</v>
      </c>
      <c r="ES162" s="102" t="e">
        <f t="shared" si="295"/>
        <v>#N/A</v>
      </c>
      <c r="ET162" s="414" t="e">
        <f>IF(AND(EP162&gt;NDC!$C$63,EQ162&gt;NDC!$C$65,ER162&gt;NDC!$D$73,ES162&gt;NDC!$D$74,$B162&gt;NDC!$H$22-0.1+MIN(3*ET$12,1.5)),0,1)</f>
        <v>#N/A</v>
      </c>
      <c r="EU162" s="86" t="b">
        <f t="shared" si="261"/>
        <v>0</v>
      </c>
      <c r="EV162" s="86">
        <f t="shared" si="262"/>
        <v>0.61</v>
      </c>
      <c r="EW162" s="86">
        <f t="shared" si="263"/>
        <v>0.61</v>
      </c>
      <c r="EX162" s="30" t="e">
        <f t="shared" ca="1" si="296"/>
        <v>#DIV/0!</v>
      </c>
      <c r="EY162" s="85" t="e">
        <f ca="1">IF(EE162&lt;=Hypothèses!$V$7,Hypothèses!$W$7,IF(EE162&lt;=Hypothèses!$V$8,Hypothèses!$W$8,IF(EE162&lt;=Hypothèses!$V$9,Hypothèses!$W$9,IF(EE162&lt;=Hypothèses!$V$10,Hypothèses!$W$10,IF(EE162&lt;=Hypothèses!$V$11,Hypothèses!$W$11,IF(EE162&lt;=Hypothèses!$V$12,Hypothèses!$W$12,IF(EE162&lt;=Hypothèses!$V$13,Hypothèses!$W$13,IF(EE162&lt;=Hypothèses!$V$14,Hypothèses!$W$14,IF(EE162&lt;=Hypothèses!$V$15,Hypothèses!$W$15,IF(EE162&lt;=Hypothèses!$V$16,Hypothèses!$W$16,IF(EE162&lt;=Hypothèses!$V$17,Hypothèses!$W$17,IF(EE162&lt;=Hypothèses!$V$18,Hypothèses!$W$18,""))))))))))))</f>
        <v>#DIV/0!</v>
      </c>
      <c r="EZ162" s="87" t="e">
        <f t="shared" ca="1" si="323"/>
        <v>#DIV/0!</v>
      </c>
      <c r="FA162" s="88" t="e">
        <f ca="1">IF(EE162&lt;=Hypothèses!$V$7,Hypothèses!$X$7,IF(EE162&lt;=Hypothèses!$V$8,Hypothèses!$X$8,IF(EE162&lt;=Hypothèses!$V$9,Hypothèses!$X$9,IF(EE162&lt;=Hypothèses!$V$10,Hypothèses!$X$10,IF(EE162&lt;=Hypothèses!$V$11,Hypothèses!$X$11,IF(EE162&lt;=Hypothèses!$V$12,Hypothèses!$X$12,IF(EE162&lt;=Hypothèses!$V$13,Hypothèses!$X$13,IF(EE162&lt;=Hypothèses!$V$14,Hypothèses!$X$14,IF(EE162&lt;=Hypothèses!$V$15,Hypothèses!$X$15,IF(EE162&lt;=Hypothèses!$V$16,Hypothèses!$X$16,IF(EE162&lt;=Hypothèses!$U$17,Hypothèses!$W$17,IF(EE162&lt;=Hypothèses!$U$18,Hypothèses!$W$18,""))))))))))))</f>
        <v>#DIV/0!</v>
      </c>
      <c r="FB162" s="95" t="e">
        <f t="shared" ca="1" si="297"/>
        <v>#DIV/0!</v>
      </c>
      <c r="FC162" s="101">
        <f t="shared" si="330"/>
        <v>0</v>
      </c>
      <c r="FD162" s="91">
        <f t="shared" si="264"/>
        <v>0</v>
      </c>
      <c r="FE162" s="30" t="e">
        <f t="shared" si="314"/>
        <v>#N/A</v>
      </c>
      <c r="FF162" s="30" t="e">
        <f t="shared" si="315"/>
        <v>#N/A</v>
      </c>
      <c r="FG162" s="31" t="e">
        <f>IF(OR(Hypothèses!$B$4=17,Hypothèses!$B$4=18,Hypothèses!$B$4=19,Hypothèses!$B$4=20),
IF($D162="Pressio.",
IF(OR($E162=3,$E162=1,$E162=4),FF162,FE162),
IF($D162="Pénétro.",
IF(OR($E162=3,$E162=1,$E162=4),FF162,FE162))),IF($D162="Pressio.",
IF($E162=3,FF162,FE162),
IF($D162="Pénétro.",
IF($E162=4,FF162,FE162))))</f>
        <v>#N/A</v>
      </c>
      <c r="FH162" s="31">
        <v>0</v>
      </c>
      <c r="FI162" s="102" t="e">
        <f>IF(NDC!$H$10="Oui",(VLOOKUP($B$3,'Coeff EC7'!$T$39:$X$59,2,0)*FG162+VLOOKUP($B$3,'Coeff EC7'!$T$65:$X$85,2,0)*Model0.1T!FH162)/1.5,PI()*FE$12*$Q162*($B162-$B161)*0.15/10+FI161)</f>
        <v>#N/A</v>
      </c>
      <c r="FJ162" s="102" t="e">
        <f>(VLOOKUP($B$3,'Coeff EC7'!$T$39:$X$59,3,0)*FG162+VLOOKUP($B$3,'Coeff EC7'!$T$65:$X$85,3,0)*Model0.1T!FH162)/1.1</f>
        <v>#N/A</v>
      </c>
      <c r="FK162" s="102" t="e">
        <f t="shared" si="298"/>
        <v>#N/A</v>
      </c>
      <c r="FL162" s="102" t="e">
        <f t="shared" si="299"/>
        <v>#N/A</v>
      </c>
      <c r="FM162" s="414" t="e">
        <f>IF(AND(FI162&gt;NDC!$C$63,FJ162&gt;NDC!$C$65,FK162&gt;NDC!$D$73,FL162&gt;NDC!$D$74,$B162&gt;NDC!$H$22-0.1+MIN(3*FM$12,1.5)),0,1)</f>
        <v>#N/A</v>
      </c>
    </row>
    <row r="163" spans="1:169">
      <c r="A163" s="96">
        <f t="shared" si="265"/>
        <v>85.000000000000853</v>
      </c>
      <c r="B163" s="97">
        <v>15</v>
      </c>
      <c r="C163" s="81">
        <f>IF(B163&lt;=Hypothèses!$C$7,Hypothèses!$A$7,IF(B163&lt;=Hypothèses!$C$8,Hypothèses!$A$8,IF(B163&lt;=Hypothèses!$C$9,Hypothèses!$A$9,IF(B163&lt;=Hypothèses!$C$10,Hypothèses!$A$10,IF(B163&lt;=Hypothèses!$C$11,Hypothèses!$A$11,IF(B163&lt;=Hypothèses!$C$12,Hypothèses!$A$12,IF(B163&lt;=Hypothèses!$C$13,Hypothèses!$A$13,IF(B163&lt;=Hypothèses!$C$14,Hypothèses!$A$14,IF(B163&lt;=Hypothèses!$C$15,Hypothèses!$A$15,IF(B163&lt;=Hypothèses!$C$16,Hypothèses!$A$16,IF(B163&lt;=Hypothèses!$C$17,Hypothèses!$A$17,IF(B163&lt;=Hypothèses!$C$18,Hypothèses!$A$18,C162))))))))))))</f>
        <v>11</v>
      </c>
      <c r="D163" s="82" t="str">
        <f>IF(B163&lt;=Hypothèses!$C$7,Hypothèses!$R$7,IF(B163&lt;=Hypothèses!$C$8,Hypothèses!$R$8,IF(B163&lt;=Hypothèses!$C$9,Hypothèses!$R$9,IF(B163&lt;=Hypothèses!$C$10,Hypothèses!$R$10,IF(B163&lt;=Hypothèses!$C$11,Hypothèses!$R$11,IF(B163&lt;=Hypothèses!$C$12,Hypothèses!$R$12,IF(B163&lt;=Hypothèses!$C$13,Hypothèses!$R$13,IF(B163&lt;=Hypothèses!$C$14,Hypothèses!$R$14,IF(B163&lt;=Hypothèses!$C$15,Hypothèses!$R$15,IF(B163&lt;=Hypothèses!$C$16,Hypothèses!$R$16,IF(B163&lt;=Hypothèses!$C$17,Hypothèses!$R$17,IF(B163&lt;=Hypothèses!$C$18,Hypothèses!$R$18,D162))))))))))))</f>
        <v>Pressio.</v>
      </c>
      <c r="E163" s="82" t="e">
        <f>IF(B163&lt;=Hypothèses!$C$7,Hypothèses!$G$7,IF(B163&lt;=Hypothèses!$C$8,Hypothèses!$G$8,IF(B163&lt;=Hypothèses!$C$9,Hypothèses!$G$9,IF(B163&lt;=Hypothèses!$C$10,Hypothèses!$G$10,IF(B163&lt;=Hypothèses!$C$11,Hypothèses!$G$11,IF(B163&lt;=Hypothèses!$C$12,Hypothèses!$G$12,IF(B163&lt;=Hypothèses!$C$13,Hypothèses!$G$13,IF(B163&lt;=Hypothèses!$C$14,Hypothèses!$G$14,IF(B163&lt;=Hypothèses!$C$15,Hypothèses!$G$15,IF(B163&lt;=Hypothèses!$C$16,Hypothèses!$G$16,IF(B163&lt;=Hypothèses!$C$17,Hypothèses!$G$17,IF(B163&lt;=Hypothèses!$C$18,Hypothèses!$G$18,E162))))))))))))</f>
        <v>#N/A</v>
      </c>
      <c r="F163" s="82" t="str">
        <f>IF(B163&lt;=Hypothèses!$C$7,Hypothèses!$F$7,IF(B163&lt;=Hypothèses!$C$8,Hypothèses!$F$8,IF(B163&lt;=Hypothèses!$C$9,Hypothèses!$F$9,IF(B163&lt;=Hypothèses!$C$10,Hypothèses!$F$10,IF(B163&lt;=Hypothèses!$C$11,Hypothèses!$F$11,IF(B163&lt;=Hypothèses!$C$12,Hypothèses!$F$12,IF(B163&lt;=Hypothèses!$C$13,Hypothèses!$F$13,IF(B163&lt;=Hypothèses!$C$14,Hypothèses!$F$14,IF(B163&lt;=Hypothèses!$C$15,Hypothèses!$F$15,IF(B163&lt;=Hypothèses!$C$16,Hypothèses!$F$16,IF(B163&lt;=Hypothèses!$C$17,Hypothèses!$F$17,IF(B163&lt;=Hypothèses!$C$18,Hypothèses!$F$18,F162))))))))))))</f>
        <v/>
      </c>
      <c r="G163" s="91">
        <f t="array" ref="G163">INDEX('Coeff EC7'!$U$7:$X$27,
MATCH(Model0.1T!$B$3,'Coeff EC7'!$T$7:$T$27,0),
MATCH(Model0.1T!$D163&amp;Model0.1T!$B$4,
'Coeff EC7'!$U$6:$X$6&amp;
'Coeff EC7'!$U$5:$X$5,0))</f>
        <v>1.4</v>
      </c>
      <c r="H163" s="91">
        <f t="array" ref="H163">INDEX('Coeff EC7'!$Y$7:$AB$27,
MATCH(Model0.1T!$B$3,'Coeff EC7'!$T$7:$T$27,0),
MATCH(Model0.1T!$D163&amp;Model0.1T!$B$4,
'Coeff EC7'!$Y$6:$AB$6&amp;
'Coeff EC7'!$Y$5:$AB$5,0))</f>
        <v>1.7</v>
      </c>
      <c r="I163" s="83">
        <v>0</v>
      </c>
      <c r="J163" s="91" t="e">
        <f t="array" ref="J163">INDEX('Coeff EC7'!$D$33:$Q$33,1,MATCH(D163&amp;E163,'Coeff EC7'!$D$31:$Q$31&amp;'Coeff EC7'!$D$32:$Q$32,0))</f>
        <v>#N/A</v>
      </c>
      <c r="K163" s="91" t="e">
        <f t="array" ref="K163">INDEX('Coeff EC7'!$D$34:$Q$34,1,MATCH(D163&amp;E163,'Coeff EC7'!$D$31:$Q$31&amp;'Coeff EC7'!$D$32:$Q$32,0))</f>
        <v>#N/A</v>
      </c>
      <c r="L163" s="91" t="e">
        <f t="array" ref="L163">INDEX('Coeff EC7'!$D$35:$Q$35,1,MATCH(D163&amp;E163,'Coeff EC7'!$D$31:$Q$31&amp;'Coeff EC7'!$D$32:$Q$32,0))</f>
        <v>#N/A</v>
      </c>
      <c r="M163" s="98" t="e">
        <f t="shared" si="231"/>
        <v>#N/A</v>
      </c>
      <c r="N163" s="99" t="e">
        <f t="array" ref="N163">INDEX('Coeff EC7'!$D$7:$Q$27,MATCH($B$3,'Coeff EC7'!$C$7:$C$27,0),MATCH(D163&amp;E163,'Coeff EC7'!$D$5:$Q$5&amp;'Coeff EC7'!$D$6:$Q$6,0))</f>
        <v>#N/A</v>
      </c>
      <c r="O163" s="99" t="e">
        <f t="array" ref="O163">INDEX('Coeff EC7'!$D$41:$Q$61,MATCH($B$3,'Coeff EC7'!$C$41:$C$61,0),MATCH(D163&amp;E163,'Coeff EC7'!$D$39:$Q$39&amp;'Coeff EC7'!$D$40:$Q$40,0))</f>
        <v>#N/A</v>
      </c>
      <c r="P163" s="30" t="e">
        <f t="shared" si="266"/>
        <v>#N/A</v>
      </c>
      <c r="Q163" s="100" t="e">
        <f t="shared" si="233"/>
        <v>#N/A</v>
      </c>
      <c r="R163" s="86" t="b">
        <f t="shared" si="234"/>
        <v>0</v>
      </c>
      <c r="S163" s="86">
        <f t="shared" si="232"/>
        <v>0.5</v>
      </c>
      <c r="T163" s="86">
        <f t="shared" si="235"/>
        <v>0.5</v>
      </c>
      <c r="U163" s="30" t="e">
        <f t="shared" ca="1" si="267"/>
        <v>#DIV/0!</v>
      </c>
      <c r="V163" s="85" t="str">
        <f>IF(B163&lt;=Hypothèses!$V$7,Hypothèses!$W$7,IF(B163&lt;=Hypothèses!$V$8,Hypothèses!$W$8,IF(B163&lt;=Hypothèses!$V$9,Hypothèses!$W$9,IF(B163&lt;=Hypothèses!$V$10,Hypothèses!$W$10,IF(B163&lt;=Hypothèses!$V$11,Hypothèses!$W$11,IF(B163&lt;=Hypothèses!$V$12,Hypothèses!$W$12,IF(B163&lt;=Hypothèses!$V$13,Hypothèses!$W$13,IF(B163&lt;=Hypothèses!$V$14,Hypothèses!$W$14,IF(B163&lt;=Hypothèses!$V$15,Hypothèses!$W$15,IF(B163&lt;=Hypothèses!$V$16,Hypothèses!$W$16,IF(B163&lt;=Hypothèses!$V$17,Hypothèses!$W$17,IF(B163&lt;=Hypothèses!$V$18,Hypothèses!$W$18,""))))))))))))</f>
        <v/>
      </c>
      <c r="W163" s="87" t="e">
        <f t="shared" ca="1" si="316"/>
        <v>#DIV/0!</v>
      </c>
      <c r="X163" s="88" t="str">
        <f>IF(B163&lt;=Hypothèses!$V$7,Hypothèses!$X$7,IF(B163&lt;=Hypothèses!$V$8,Hypothèses!$X$8,IF(B163&lt;=Hypothèses!$V$9,Hypothèses!$X$9,IF(B163&lt;=Hypothèses!$V$10,Hypothèses!$X$10,IF(B163&lt;=Hypothèses!$V$11,Hypothèses!$X$11,IF(B163&lt;=Hypothèses!$V$12,Hypothèses!$X$12,IF(B163&lt;=Hypothèses!$V$13,Hypothèses!$X$13,IF(B163&lt;=Hypothèses!$V$14,Hypothèses!$X$14,IF(B163&lt;=Hypothèses!$V$15,Hypothèses!$X$15,IF(B163&lt;=Hypothèses!$V$16,Hypothèses!$X$16,IF(B163&lt;=Hypothèses!$U$17,Hypothèses!$W$17,IF(B163&lt;=Hypothèses!$U$18,Hypothèses!$W$18,""))))))))))))</f>
        <v/>
      </c>
      <c r="Y163" s="95" t="e">
        <f t="shared" ca="1" si="236"/>
        <v>#DIV/0!</v>
      </c>
      <c r="Z163" s="101">
        <f t="shared" si="237"/>
        <v>0</v>
      </c>
      <c r="AA163" s="91">
        <f t="shared" si="238"/>
        <v>0</v>
      </c>
      <c r="AB163" s="30" t="e">
        <f t="shared" si="300"/>
        <v>#N/A</v>
      </c>
      <c r="AC163" s="30" t="e">
        <f t="shared" si="301"/>
        <v>#N/A</v>
      </c>
      <c r="AD163" s="31" t="e">
        <f>IF(OR(Hypothèses!$B$4=17,Hypothèses!$B$4=18,Hypothèses!$B$4=19,Hypothèses!$B$4=20),
IF($D163="Pressio.",
IF(OR($E163=3,$E163=1,$E163=4),AC163,AB163),
IF($D163="Pénétro.",
IF(OR($E163=3,$E163=1,$E163=4),AC163,AB163))),IF($D163="Pressio.",
IF($E163=3,AC163,AB163),
IF($D163="Pénétro.",
IF($E163=4,AC163,AB163))))</f>
        <v>#N/A</v>
      </c>
      <c r="AE163" s="31">
        <v>0</v>
      </c>
      <c r="AF163" s="102" t="e">
        <f>IF(NDC!$H$10="Oui",(VLOOKUP($B$3,'Coeff EC7'!$T$39:$X$59,2,0)*AD163+VLOOKUP($B$3,'Coeff EC7'!$T$65:$X$85,2,0)*Model0.1T!AE163)/1.5,PI()*AB$12*$Q163*($B163-$B162)*0.15/10+AF162)</f>
        <v>#N/A</v>
      </c>
      <c r="AG163" s="102" t="e">
        <f>(VLOOKUP($B$3,'Coeff EC7'!$T$39:$X$59,3,0)*AD163+VLOOKUP($B$3,'Coeff EC7'!$T$65:$X$85,3,0)*Model0.1T!AE163)/1.1</f>
        <v>#N/A</v>
      </c>
      <c r="AH163" s="102" t="e">
        <f t="shared" si="268"/>
        <v>#N/A</v>
      </c>
      <c r="AI163" s="102" t="e">
        <f t="shared" si="269"/>
        <v>#N/A</v>
      </c>
      <c r="AJ163" s="414" t="e">
        <f>IF(AND(AF163&gt;NDC!$C$63,AG163&gt;NDC!$C$65,AH163&gt;NDC!$D$73,AI163&gt;NDC!$D$74,$B163&gt;NDC!$H$22-0.1+MIN(3*$AJ$12,1.5)),0,1)</f>
        <v>#N/A</v>
      </c>
      <c r="AK163" s="86" t="b">
        <f t="shared" si="239"/>
        <v>0</v>
      </c>
      <c r="AL163" s="86">
        <f t="shared" si="270"/>
        <v>0.5</v>
      </c>
      <c r="AM163" s="86">
        <f t="shared" si="240"/>
        <v>0.5</v>
      </c>
      <c r="AN163" s="30" t="e">
        <f t="shared" ca="1" si="271"/>
        <v>#DIV/0!</v>
      </c>
      <c r="AO163" s="85" t="e">
        <f ca="1">IF(U163&lt;=Hypothèses!$V$7,Hypothèses!$W$7,IF(U163&lt;=Hypothèses!$V$8,Hypothèses!$W$8,IF(U163&lt;=Hypothèses!$V$9,Hypothèses!$W$9,IF(U163&lt;=Hypothèses!$V$10,Hypothèses!$W$10,IF(U163&lt;=Hypothèses!$V$11,Hypothèses!$W$11,IF(U163&lt;=Hypothèses!$V$12,Hypothèses!$W$12,IF(U163&lt;=Hypothèses!$V$13,Hypothèses!$W$13,IF(U163&lt;=Hypothèses!$V$14,Hypothèses!$W$14,IF(U163&lt;=Hypothèses!$V$15,Hypothèses!$W$15,IF(U163&lt;=Hypothèses!$V$16,Hypothèses!$W$16,IF(U163&lt;=Hypothèses!$V$17,Hypothèses!$W$17,IF(U163&lt;=Hypothèses!$V$18,Hypothèses!$W$18,""))))))))))))</f>
        <v>#DIV/0!</v>
      </c>
      <c r="AP163" s="87" t="e">
        <f t="shared" ca="1" si="317"/>
        <v>#DIV/0!</v>
      </c>
      <c r="AQ163" s="88" t="e">
        <f ca="1">IF(U163&lt;=Hypothèses!$V$7,Hypothèses!$X$7,IF(U163&lt;=Hypothèses!$V$8,Hypothèses!$X$8,IF(U163&lt;=Hypothèses!$V$9,Hypothèses!$X$9,IF(U163&lt;=Hypothèses!$V$10,Hypothèses!$X$10,IF(U163&lt;=Hypothèses!$V$11,Hypothèses!$X$11,IF(U163&lt;=Hypothèses!$V$12,Hypothèses!$X$12,IF(U163&lt;=Hypothèses!$V$13,Hypothèses!$X$13,IF(U163&lt;=Hypothèses!$V$14,Hypothèses!$X$14,IF(U163&lt;=Hypothèses!$V$15,Hypothèses!$X$15,IF(U163&lt;=Hypothèses!$V$16,Hypothèses!$X$16,IF(U163&lt;=Hypothèses!$U$17,Hypothèses!$W$17,IF(U163&lt;=Hypothèses!$U$18,Hypothèses!$W$18,""))))))))))))</f>
        <v>#DIV/0!</v>
      </c>
      <c r="AR163" s="95" t="e">
        <f t="shared" ca="1" si="272"/>
        <v>#DIV/0!</v>
      </c>
      <c r="AS163" s="101">
        <f t="shared" si="324"/>
        <v>0</v>
      </c>
      <c r="AT163" s="91">
        <f t="shared" si="241"/>
        <v>0</v>
      </c>
      <c r="AU163" s="30" t="e">
        <f t="shared" si="302"/>
        <v>#N/A</v>
      </c>
      <c r="AV163" s="30" t="e">
        <f t="shared" si="303"/>
        <v>#N/A</v>
      </c>
      <c r="AW163" s="31" t="e">
        <f>IF(OR(Hypothèses!$B$4=17,Hypothèses!$B$4=18,Hypothèses!$B$4=19,Hypothèses!$B$4=20),
IF($D163="Pressio.",
IF(OR($E163=3,$E163=1,$E163=4),AV163,AU163),
IF($D163="Pénétro.",
IF(OR($E163=3,$E163=1,$E163=4),AV163,AU163))),IF($D163="Pressio.",
IF($E163=3,AV163,AU163),
IF($D163="Pénétro.",
IF($E163=4,AV163,AU163))))</f>
        <v>#N/A</v>
      </c>
      <c r="AX163" s="31">
        <v>0</v>
      </c>
      <c r="AY163" s="102" t="e">
        <f>IF(NDC!$H$10="Oui",(VLOOKUP($B$3,'Coeff EC7'!$T$39:$X$59,2,0)*AW163+VLOOKUP($B$3,'Coeff EC7'!$T$65:$X$85,2,0)*Model0.1T!AX163)/1.5,PI()*AU$12*$Q163*($B163-$B162)*0.15/10+AY162)</f>
        <v>#N/A</v>
      </c>
      <c r="AZ163" s="102" t="e">
        <f>(VLOOKUP($B$3,'Coeff EC7'!$T$39:$X$59,3,0)*AW163+VLOOKUP($B$3,'Coeff EC7'!$T$65:$X$85,3,0)*Model0.1T!AX163)/1.1</f>
        <v>#N/A</v>
      </c>
      <c r="BA163" s="102" t="e">
        <f t="shared" si="273"/>
        <v>#N/A</v>
      </c>
      <c r="BB163" s="102" t="e">
        <f t="shared" si="274"/>
        <v>#N/A</v>
      </c>
      <c r="BC163" s="414" t="e">
        <f>IF(AND(AY163&gt;NDC!$C$63,AZ163&gt;NDC!$C$65,BA163&gt;NDC!$D$73,BB163&gt;NDC!$D$74,$B163&gt;NDC!$H$22-0.1+MIN(3*BC$12,1.5)),0,1)</f>
        <v>#N/A</v>
      </c>
      <c r="BD163" s="86" t="b">
        <f t="shared" si="242"/>
        <v>0</v>
      </c>
      <c r="BE163" s="86">
        <f t="shared" si="275"/>
        <v>0.5</v>
      </c>
      <c r="BF163" s="86">
        <f t="shared" si="243"/>
        <v>0.5</v>
      </c>
      <c r="BG163" s="30" t="e">
        <f t="shared" ca="1" si="276"/>
        <v>#DIV/0!</v>
      </c>
      <c r="BH163" s="85" t="e">
        <f ca="1">IF(AN163&lt;=Hypothèses!$V$7,Hypothèses!$W$7,IF(AN163&lt;=Hypothèses!$V$8,Hypothèses!$W$8,IF(AN163&lt;=Hypothèses!$V$9,Hypothèses!$W$9,IF(AN163&lt;=Hypothèses!$V$10,Hypothèses!$W$10,IF(AN163&lt;=Hypothèses!$V$11,Hypothèses!$W$11,IF(AN163&lt;=Hypothèses!$V$12,Hypothèses!$W$12,IF(AN163&lt;=Hypothèses!$V$13,Hypothèses!$W$13,IF(AN163&lt;=Hypothèses!$V$14,Hypothèses!$W$14,IF(AN163&lt;=Hypothèses!$V$15,Hypothèses!$W$15,IF(AN163&lt;=Hypothèses!$V$16,Hypothèses!$W$16,IF(AN163&lt;=Hypothèses!$V$17,Hypothèses!$W$17,IF(AN163&lt;=Hypothèses!$V$18,Hypothèses!$W$18,""))))))))))))</f>
        <v>#DIV/0!</v>
      </c>
      <c r="BI163" s="87" t="e">
        <f t="shared" ca="1" si="318"/>
        <v>#DIV/0!</v>
      </c>
      <c r="BJ163" s="88" t="e">
        <f ca="1">IF(AN163&lt;=Hypothèses!$V$7,Hypothèses!$X$7,IF(AN163&lt;=Hypothèses!$V$8,Hypothèses!$X$8,IF(AN163&lt;=Hypothèses!$V$9,Hypothèses!$X$9,IF(AN163&lt;=Hypothèses!$V$10,Hypothèses!$X$10,IF(AN163&lt;=Hypothèses!$V$11,Hypothèses!$X$11,IF(AN163&lt;=Hypothèses!$V$12,Hypothèses!$X$12,IF(AN163&lt;=Hypothèses!$V$13,Hypothèses!$X$13,IF(AN163&lt;=Hypothèses!$V$14,Hypothèses!$X$14,IF(AN163&lt;=Hypothèses!$V$15,Hypothèses!$X$15,IF(AN163&lt;=Hypothèses!$V$16,Hypothèses!$X$16,IF(AN163&lt;=Hypothèses!$U$17,Hypothèses!$W$17,IF(AN163&lt;=Hypothèses!$U$18,Hypothèses!$W$18,""))))))))))))</f>
        <v>#DIV/0!</v>
      </c>
      <c r="BK163" s="95" t="e">
        <f t="shared" ca="1" si="277"/>
        <v>#DIV/0!</v>
      </c>
      <c r="BL163" s="101">
        <f t="shared" si="325"/>
        <v>0</v>
      </c>
      <c r="BM163" s="91">
        <f t="shared" si="244"/>
        <v>0</v>
      </c>
      <c r="BN163" s="30" t="e">
        <f t="shared" si="304"/>
        <v>#N/A</v>
      </c>
      <c r="BO163" s="30" t="e">
        <f t="shared" si="305"/>
        <v>#N/A</v>
      </c>
      <c r="BP163" s="31" t="e">
        <f>IF(OR(Hypothèses!$B$4=17,Hypothèses!$B$4=18,Hypothèses!$B$4=19,Hypothèses!$B$4=20),
IF($D163="Pressio.",
IF(OR($E163=3,$E163=1,$E163=4),BO163,BN163),
IF($D163="Pénétro.",
IF(OR($E163=3,$E163=1,$E163=4),BO163,BN163))),IF($D163="Pressio.",
IF($E163=3,BO163,BN163),
IF($D163="Pénétro.",
IF($E163=4,BO163,BN163))))</f>
        <v>#N/A</v>
      </c>
      <c r="BQ163" s="31">
        <v>0</v>
      </c>
      <c r="BR163" s="102" t="e">
        <f>IF(NDC!$H$10="Oui",(VLOOKUP($B$3,'Coeff EC7'!$T$39:$X$59,2,0)*BP163+VLOOKUP($B$3,'Coeff EC7'!$T$65:$X$85,2,0)*Model0.1T!BQ163)/1.5,PI()*BN$12*$Q163*($B163-$B162)*0.15/10+BR162)</f>
        <v>#N/A</v>
      </c>
      <c r="BS163" s="102" t="e">
        <f>(VLOOKUP($B$3,'Coeff EC7'!$T$39:$X$59,3,0)*BP163+VLOOKUP($B$3,'Coeff EC7'!$T$65:$X$85,3,0)*Model0.1T!BQ163)/1.1</f>
        <v>#N/A</v>
      </c>
      <c r="BT163" s="102" t="e">
        <f t="shared" si="278"/>
        <v>#N/A</v>
      </c>
      <c r="BU163" s="102" t="e">
        <f t="shared" si="279"/>
        <v>#N/A</v>
      </c>
      <c r="BV163" s="414" t="e">
        <f>IF(AND(BR163&gt;NDC!$C$63,BS163&gt;NDC!$C$65,BT163&gt;NDC!$D$73,BU163&gt;NDC!$D$74,$B163&gt;NDC!$H$22-0.1+MIN(3*BV$12,1.5)),0,1)</f>
        <v>#N/A</v>
      </c>
      <c r="BW163" s="86" t="b">
        <f t="shared" si="245"/>
        <v>0</v>
      </c>
      <c r="BX163" s="86">
        <f t="shared" si="246"/>
        <v>0.5</v>
      </c>
      <c r="BY163" s="86">
        <f t="shared" si="247"/>
        <v>0.5</v>
      </c>
      <c r="BZ163" s="30" t="e">
        <f t="shared" ca="1" si="280"/>
        <v>#DIV/0!</v>
      </c>
      <c r="CA163" s="85" t="e">
        <f ca="1">IF(BG163&lt;=Hypothèses!$V$7,Hypothèses!$W$7,IF(BG163&lt;=Hypothèses!$V$8,Hypothèses!$W$8,IF(BG163&lt;=Hypothèses!$V$9,Hypothèses!$W$9,IF(BG163&lt;=Hypothèses!$V$10,Hypothèses!$W$10,IF(BG163&lt;=Hypothèses!$V$11,Hypothèses!$W$11,IF(BG163&lt;=Hypothèses!$V$12,Hypothèses!$W$12,IF(BG163&lt;=Hypothèses!$V$13,Hypothèses!$W$13,IF(BG163&lt;=Hypothèses!$V$14,Hypothèses!$W$14,IF(BG163&lt;=Hypothèses!$V$15,Hypothèses!$W$15,IF(BG163&lt;=Hypothèses!$V$16,Hypothèses!$W$16,IF(BG163&lt;=Hypothèses!$V$17,Hypothèses!$W$17,IF(BG163&lt;=Hypothèses!$V$18,Hypothèses!$W$18,""))))))))))))</f>
        <v>#DIV/0!</v>
      </c>
      <c r="CB163" s="87" t="e">
        <f t="shared" ca="1" si="319"/>
        <v>#DIV/0!</v>
      </c>
      <c r="CC163" s="88" t="e">
        <f ca="1">IF(BG163&lt;=Hypothèses!$V$7,Hypothèses!$X$7,IF(BG163&lt;=Hypothèses!$V$8,Hypothèses!$X$8,IF(BG163&lt;=Hypothèses!$V$9,Hypothèses!$X$9,IF(BG163&lt;=Hypothèses!$V$10,Hypothèses!$X$10,IF(BG163&lt;=Hypothèses!$V$11,Hypothèses!$X$11,IF(BG163&lt;=Hypothèses!$V$12,Hypothèses!$X$12,IF(BG163&lt;=Hypothèses!$V$13,Hypothèses!$X$13,IF(BG163&lt;=Hypothèses!$V$14,Hypothèses!$X$14,IF(BG163&lt;=Hypothèses!$V$15,Hypothèses!$X$15,IF(BG163&lt;=Hypothèses!$V$16,Hypothèses!$X$16,IF(BG163&lt;=Hypothèses!$U$17,Hypothèses!$W$17,IF(BG163&lt;=Hypothèses!$U$18,Hypothèses!$W$18,""))))))))))))</f>
        <v>#DIV/0!</v>
      </c>
      <c r="CD163" s="95" t="e">
        <f t="shared" ca="1" si="281"/>
        <v>#DIV/0!</v>
      </c>
      <c r="CE163" s="101">
        <f t="shared" si="326"/>
        <v>0</v>
      </c>
      <c r="CF163" s="91">
        <f t="shared" si="248"/>
        <v>0</v>
      </c>
      <c r="CG163" s="30" t="e">
        <f t="shared" si="306"/>
        <v>#N/A</v>
      </c>
      <c r="CH163" s="30" t="e">
        <f t="shared" si="307"/>
        <v>#N/A</v>
      </c>
      <c r="CI163" s="31" t="e">
        <f>IF(OR(Hypothèses!$B$4=17,Hypothèses!$B$4=18,Hypothèses!$B$4=19,Hypothèses!$B$4=20),
IF($D163="Pressio.",
IF(OR($E163=3,$E163=1,$E163=4),CH163,CG163),
IF($D163="Pénétro.",
IF(OR($E163=3,$E163=1,$E163=4),CH163,CG163))),IF($D163="Pressio.",
IF($E163=3,CH163,CG163),
IF($D163="Pénétro.",
IF($E163=4,CH163,CG163))))</f>
        <v>#N/A</v>
      </c>
      <c r="CJ163" s="31">
        <v>0</v>
      </c>
      <c r="CK163" s="102" t="e">
        <f>IF(NDC!$H$10="Oui",(VLOOKUP($B$3,'Coeff EC7'!$T$39:$X$59,2,0)*CI163+VLOOKUP($B$3,'Coeff EC7'!$T$65:$X$85,2,0)*Model0.1T!CJ163)/1.5,PI()*CG$12*$Q163*($B163-$B162)*0.15/10+CK162)</f>
        <v>#N/A</v>
      </c>
      <c r="CL163" s="102" t="e">
        <f>(VLOOKUP($B$3,'Coeff EC7'!$T$39:$X$59,3,0)*CI163+VLOOKUP($B$3,'Coeff EC7'!$T$65:$X$85,3,0)*Model0.1T!CJ163)/1.1</f>
        <v>#N/A</v>
      </c>
      <c r="CM163" s="102" t="e">
        <f t="shared" si="282"/>
        <v>#N/A</v>
      </c>
      <c r="CN163" s="102" t="e">
        <f t="shared" si="283"/>
        <v>#N/A</v>
      </c>
      <c r="CO163" s="414" t="e">
        <f>IF(AND(CK163&gt;NDC!$C$63,CL163&gt;NDC!$C$65,CM163&gt;NDC!$D$73,CN163&gt;NDC!$D$74,$B163&gt;NDC!$H$22-0.1+MIN(3*CO$12,1.5)),0,1)</f>
        <v>#N/A</v>
      </c>
      <c r="CP163" s="86" t="b">
        <f t="shared" si="249"/>
        <v>0</v>
      </c>
      <c r="CQ163" s="86">
        <f t="shared" si="250"/>
        <v>0.5</v>
      </c>
      <c r="CR163" s="86">
        <f t="shared" si="251"/>
        <v>0.5</v>
      </c>
      <c r="CS163" s="30" t="e">
        <f t="shared" ca="1" si="284"/>
        <v>#DIV/0!</v>
      </c>
      <c r="CT163" s="85" t="e">
        <f ca="1">IF(BZ163&lt;=Hypothèses!$V$7,Hypothèses!$W$7,IF(BZ163&lt;=Hypothèses!$V$8,Hypothèses!$W$8,IF(BZ163&lt;=Hypothèses!$V$9,Hypothèses!$W$9,IF(BZ163&lt;=Hypothèses!$V$10,Hypothèses!$W$10,IF(BZ163&lt;=Hypothèses!$V$11,Hypothèses!$W$11,IF(BZ163&lt;=Hypothèses!$V$12,Hypothèses!$W$12,IF(BZ163&lt;=Hypothèses!$V$13,Hypothèses!$W$13,IF(BZ163&lt;=Hypothèses!$V$14,Hypothèses!$W$14,IF(BZ163&lt;=Hypothèses!$V$15,Hypothèses!$W$15,IF(BZ163&lt;=Hypothèses!$V$16,Hypothèses!$W$16,IF(BZ163&lt;=Hypothèses!$V$17,Hypothèses!$W$17,IF(BZ163&lt;=Hypothèses!$V$18,Hypothèses!$W$18,""))))))))))))</f>
        <v>#DIV/0!</v>
      </c>
      <c r="CU163" s="87" t="e">
        <f t="shared" ca="1" si="320"/>
        <v>#DIV/0!</v>
      </c>
      <c r="CV163" s="88" t="e">
        <f ca="1">IF(BZ163&lt;=Hypothèses!$V$7,Hypothèses!$X$7,IF(BZ163&lt;=Hypothèses!$V$8,Hypothèses!$X$8,IF(BZ163&lt;=Hypothèses!$V$9,Hypothèses!$X$9,IF(BZ163&lt;=Hypothèses!$V$10,Hypothèses!$X$10,IF(BZ163&lt;=Hypothèses!$V$11,Hypothèses!$X$11,IF(BZ163&lt;=Hypothèses!$V$12,Hypothèses!$X$12,IF(BZ163&lt;=Hypothèses!$V$13,Hypothèses!$X$13,IF(BZ163&lt;=Hypothèses!$V$14,Hypothèses!$X$14,IF(BZ163&lt;=Hypothèses!$V$15,Hypothèses!$X$15,IF(BZ163&lt;=Hypothèses!$V$16,Hypothèses!$X$16,IF(BZ163&lt;=Hypothèses!$U$17,Hypothèses!$W$17,IF(BZ163&lt;=Hypothèses!$U$18,Hypothèses!$W$18,""))))))))))))</f>
        <v>#DIV/0!</v>
      </c>
      <c r="CW163" s="95" t="e">
        <f t="shared" ca="1" si="285"/>
        <v>#DIV/0!</v>
      </c>
      <c r="CX163" s="101">
        <f t="shared" si="327"/>
        <v>0</v>
      </c>
      <c r="CY163" s="91">
        <f t="shared" si="252"/>
        <v>0</v>
      </c>
      <c r="CZ163" s="30" t="e">
        <f t="shared" si="308"/>
        <v>#N/A</v>
      </c>
      <c r="DA163" s="30" t="e">
        <f t="shared" si="309"/>
        <v>#N/A</v>
      </c>
      <c r="DB163" s="31" t="e">
        <f>IF(OR(Hypothèses!$B$4=17,Hypothèses!$B$4=18,Hypothèses!$B$4=19,Hypothèses!$B$4=20),
IF($D163="Pressio.",
IF(OR($E163=3,$E163=1,$E163=4),DA163,CZ163),
IF($D163="Pénétro.",
IF(OR($E163=3,$E163=1,$E163=4),DA163,CZ163))),IF($D163="Pressio.",
IF($E163=3,DA163,CZ163),
IF($D163="Pénétro.",
IF($E163=4,DA163,CZ163))))</f>
        <v>#N/A</v>
      </c>
      <c r="DC163" s="31">
        <v>0</v>
      </c>
      <c r="DD163" s="102" t="e">
        <f>IF(NDC!$H$10="Oui",(VLOOKUP($B$3,'Coeff EC7'!$T$39:$X$59,2,0)*DB163+VLOOKUP($B$3,'Coeff EC7'!$T$65:$X$85,2,0)*Model0.1T!DC163)/1.5,PI()*CZ$12*$Q163*($B163-$B162)*0.15/10+DD162)</f>
        <v>#N/A</v>
      </c>
      <c r="DE163" s="102" t="e">
        <f>(VLOOKUP($B$3,'Coeff EC7'!$T$39:$X$59,3,0)*DB163+VLOOKUP($B$3,'Coeff EC7'!$T$65:$X$85,3,0)*Model0.1T!DC163)/1.1</f>
        <v>#N/A</v>
      </c>
      <c r="DF163" s="102" t="e">
        <f t="shared" si="286"/>
        <v>#N/A</v>
      </c>
      <c r="DG163" s="102" t="e">
        <f t="shared" si="287"/>
        <v>#N/A</v>
      </c>
      <c r="DH163" s="414" t="e">
        <f>IF(AND(DD163&gt;NDC!$C$63,DE163&gt;NDC!$C$65,DF163&gt;NDC!$D$73,DG163&gt;NDC!$D$74,$B163&gt;NDC!$H$22-0.1+MIN(3*DH$12,1.5)),0,1)</f>
        <v>#N/A</v>
      </c>
      <c r="DI163" s="86" t="b">
        <f t="shared" si="253"/>
        <v>0</v>
      </c>
      <c r="DJ163" s="86">
        <f t="shared" si="254"/>
        <v>0.5</v>
      </c>
      <c r="DK163" s="86">
        <f t="shared" si="255"/>
        <v>0.5</v>
      </c>
      <c r="DL163" s="30" t="e">
        <f t="shared" ca="1" si="288"/>
        <v>#DIV/0!</v>
      </c>
      <c r="DM163" s="85" t="e">
        <f ca="1">IF(CS163&lt;=Hypothèses!$V$7,Hypothèses!$W$7,IF(CS163&lt;=Hypothèses!$V$8,Hypothèses!$W$8,IF(CS163&lt;=Hypothèses!$V$9,Hypothèses!$W$9,IF(CS163&lt;=Hypothèses!$V$10,Hypothèses!$W$10,IF(CS163&lt;=Hypothèses!$V$11,Hypothèses!$W$11,IF(CS163&lt;=Hypothèses!$V$12,Hypothèses!$W$12,IF(CS163&lt;=Hypothèses!$V$13,Hypothèses!$W$13,IF(CS163&lt;=Hypothèses!$V$14,Hypothèses!$W$14,IF(CS163&lt;=Hypothèses!$V$15,Hypothèses!$W$15,IF(CS163&lt;=Hypothèses!$V$16,Hypothèses!$W$16,IF(CS163&lt;=Hypothèses!$V$17,Hypothèses!$W$17,IF(CS163&lt;=Hypothèses!$V$18,Hypothèses!$W$18,""))))))))))))</f>
        <v>#DIV/0!</v>
      </c>
      <c r="DN163" s="87" t="e">
        <f t="shared" ca="1" si="321"/>
        <v>#DIV/0!</v>
      </c>
      <c r="DO163" s="88" t="e">
        <f ca="1">IF(CS163&lt;=Hypothèses!$V$7,Hypothèses!$X$7,IF(CS163&lt;=Hypothèses!$V$8,Hypothèses!$X$8,IF(CS163&lt;=Hypothèses!$V$9,Hypothèses!$X$9,IF(CS163&lt;=Hypothèses!$V$10,Hypothèses!$X$10,IF(CS163&lt;=Hypothèses!$V$11,Hypothèses!$X$11,IF(CS163&lt;=Hypothèses!$V$12,Hypothèses!$X$12,IF(CS163&lt;=Hypothèses!$V$13,Hypothèses!$X$13,IF(CS163&lt;=Hypothèses!$V$14,Hypothèses!$X$14,IF(CS163&lt;=Hypothèses!$V$15,Hypothèses!$X$15,IF(CS163&lt;=Hypothèses!$V$16,Hypothèses!$X$16,IF(CS163&lt;=Hypothèses!$U$17,Hypothèses!$W$17,IF(CS163&lt;=Hypothèses!$U$18,Hypothèses!$W$18,""))))))))))))</f>
        <v>#DIV/0!</v>
      </c>
      <c r="DP163" s="95" t="e">
        <f t="shared" ca="1" si="289"/>
        <v>#DIV/0!</v>
      </c>
      <c r="DQ163" s="101">
        <f t="shared" si="328"/>
        <v>0</v>
      </c>
      <c r="DR163" s="91">
        <f t="shared" si="256"/>
        <v>0</v>
      </c>
      <c r="DS163" s="30" t="e">
        <f t="shared" si="310"/>
        <v>#N/A</v>
      </c>
      <c r="DT163" s="30" t="e">
        <f t="shared" si="311"/>
        <v>#N/A</v>
      </c>
      <c r="DU163" s="31" t="e">
        <f>IF(OR(Hypothèses!$B$4=17,Hypothèses!$B$4=18,Hypothèses!$B$4=19,Hypothèses!$B$4=20),
IF($D163="Pressio.",
IF(OR($E163=3,$E163=1,$E163=4),DT163,DS163),
IF($D163="Pénétro.",
IF(OR($E163=3,$E163=1,$E163=4),DT163,DS163))),IF($D163="Pressio.",
IF($E163=3,DT163,DS163),
IF($D163="Pénétro.",
IF($E163=4,DT163,DS163))))</f>
        <v>#N/A</v>
      </c>
      <c r="DV163" s="31">
        <v>0</v>
      </c>
      <c r="DW163" s="102" t="e">
        <f>IF(NDC!$H$10="Oui",(VLOOKUP($B$3,'Coeff EC7'!$T$39:$X$59,2,0)*DU163+VLOOKUP($B$3,'Coeff EC7'!$T$65:$X$85,2,0)*Model0.1T!DV163)/1.5,PI()*DS$12*$Q163*($B163-$B162)*0.15/10+DW162)</f>
        <v>#N/A</v>
      </c>
      <c r="DX163" s="102" t="e">
        <f>(VLOOKUP($B$3,'Coeff EC7'!$T$39:$X$59,3,0)*DU163+VLOOKUP($B$3,'Coeff EC7'!$T$65:$X$85,3,0)*Model0.1T!DV163)/1.1</f>
        <v>#N/A</v>
      </c>
      <c r="DY163" s="102" t="e">
        <f t="shared" si="290"/>
        <v>#N/A</v>
      </c>
      <c r="DZ163" s="102" t="e">
        <f t="shared" si="291"/>
        <v>#N/A</v>
      </c>
      <c r="EA163" s="414" t="e">
        <f>IF(AND(DW163&gt;NDC!$C$63,DX163&gt;NDC!$C$65,DY163&gt;NDC!$D$73,DZ163&gt;NDC!$D$74,$B163&gt;NDC!$H$22-0.1+MIN(3*EA$12,1.5)),0,1)</f>
        <v>#N/A</v>
      </c>
      <c r="EB163" s="86" t="b">
        <f t="shared" si="257"/>
        <v>0</v>
      </c>
      <c r="EC163" s="418">
        <f t="shared" si="258"/>
        <v>0.51</v>
      </c>
      <c r="ED163" s="86">
        <f t="shared" si="259"/>
        <v>0.51</v>
      </c>
      <c r="EE163" s="30" t="e">
        <f t="shared" ca="1" si="292"/>
        <v>#DIV/0!</v>
      </c>
      <c r="EF163" s="85" t="e">
        <f ca="1">IF(DL163&lt;=Hypothèses!$V$7,Hypothèses!$W$7,IF(DL163&lt;=Hypothèses!$V$8,Hypothèses!$W$8,IF(DL163&lt;=Hypothèses!$V$9,Hypothèses!$W$9,IF(DL163&lt;=Hypothèses!$V$10,Hypothèses!$W$10,IF(DL163&lt;=Hypothèses!$V$11,Hypothèses!$W$11,IF(DL163&lt;=Hypothèses!$V$12,Hypothèses!$W$12,IF(DL163&lt;=Hypothèses!$V$13,Hypothèses!$W$13,IF(DL163&lt;=Hypothèses!$V$14,Hypothèses!$W$14,IF(DL163&lt;=Hypothèses!$V$15,Hypothèses!$W$15,IF(DL163&lt;=Hypothèses!$V$16,Hypothèses!$W$16,IF(DL163&lt;=Hypothèses!$V$17,Hypothèses!$W$17,IF(DL163&lt;=Hypothèses!$V$18,Hypothèses!$W$18,""))))))))))))</f>
        <v>#DIV/0!</v>
      </c>
      <c r="EG163" s="87" t="e">
        <f t="shared" ca="1" si="322"/>
        <v>#DIV/0!</v>
      </c>
      <c r="EH163" s="88" t="e">
        <f ca="1">IF(DL163&lt;=Hypothèses!$V$7,Hypothèses!$X$7,IF(DL163&lt;=Hypothèses!$V$8,Hypothèses!$X$8,IF(DL163&lt;=Hypothèses!$V$9,Hypothèses!$X$9,IF(DL163&lt;=Hypothèses!$V$10,Hypothèses!$X$10,IF(DL163&lt;=Hypothèses!$V$11,Hypothèses!$X$11,IF(DL163&lt;=Hypothèses!$V$12,Hypothèses!$X$12,IF(DL163&lt;=Hypothèses!$V$13,Hypothèses!$X$13,IF(DL163&lt;=Hypothèses!$V$14,Hypothèses!$X$14,IF(DL163&lt;=Hypothèses!$V$15,Hypothèses!$X$15,IF(DL163&lt;=Hypothèses!$V$16,Hypothèses!$X$16,IF(DL163&lt;=Hypothèses!$U$17,Hypothèses!$W$17,IF(DL163&lt;=Hypothèses!$U$18,Hypothèses!$W$18,""))))))))))))</f>
        <v>#DIV/0!</v>
      </c>
      <c r="EI163" s="95" t="e">
        <f t="shared" ca="1" si="293"/>
        <v>#DIV/0!</v>
      </c>
      <c r="EJ163" s="101">
        <f t="shared" si="329"/>
        <v>0</v>
      </c>
      <c r="EK163" s="91">
        <f t="shared" si="260"/>
        <v>0</v>
      </c>
      <c r="EL163" s="30" t="e">
        <f t="shared" si="312"/>
        <v>#N/A</v>
      </c>
      <c r="EM163" s="30" t="e">
        <f t="shared" si="313"/>
        <v>#N/A</v>
      </c>
      <c r="EN163" s="31" t="e">
        <f>IF(OR(Hypothèses!$B$4=17,Hypothèses!$B$4=18,Hypothèses!$B$4=19,Hypothèses!$B$4=20),
IF($D163="Pressio.",
IF(OR($E163=3,$E163=1,$E163=4),EM163,EL163),
IF($D163="Pénétro.",
IF(OR($E163=3,$E163=1,$E163=4),EM163,EL163))),IF($D163="Pressio.",
IF($E163=3,EM163,EL163),
IF($D163="Pénétro.",
IF($E163=4,EM163,EL163))))</f>
        <v>#N/A</v>
      </c>
      <c r="EO163" s="31">
        <v>0</v>
      </c>
      <c r="EP163" s="102" t="e">
        <f>IF(NDC!$H$10="Oui",(VLOOKUP($B$3,'Coeff EC7'!$T$39:$X$59,2,0)*EN163+VLOOKUP($B$3,'Coeff EC7'!$T$65:$X$85,2,0)*Model0.1T!EO163)/1.5,PI()*EL$12*$Q163*($B163-$B162)*0.15/10+EP162)</f>
        <v>#N/A</v>
      </c>
      <c r="EQ163" s="102" t="e">
        <f>(VLOOKUP($B$3,'Coeff EC7'!$T$39:$X$59,3,0)*EN163+VLOOKUP($B$3,'Coeff EC7'!$T$65:$X$85,3,0)*Model0.1T!EO163)/1.1</f>
        <v>#N/A</v>
      </c>
      <c r="ER163" s="102" t="e">
        <f t="shared" si="294"/>
        <v>#N/A</v>
      </c>
      <c r="ES163" s="102" t="e">
        <f t="shared" si="295"/>
        <v>#N/A</v>
      </c>
      <c r="ET163" s="414" t="e">
        <f>IF(AND(EP163&gt;NDC!$C$63,EQ163&gt;NDC!$C$65,ER163&gt;NDC!$D$73,ES163&gt;NDC!$D$74,$B163&gt;NDC!$H$22-0.1+MIN(3*ET$12,1.5)),0,1)</f>
        <v>#N/A</v>
      </c>
      <c r="EU163" s="86" t="b">
        <f t="shared" si="261"/>
        <v>0</v>
      </c>
      <c r="EV163" s="86">
        <f t="shared" si="262"/>
        <v>0.61</v>
      </c>
      <c r="EW163" s="86">
        <f t="shared" si="263"/>
        <v>0.61</v>
      </c>
      <c r="EX163" s="30" t="e">
        <f t="shared" ca="1" si="296"/>
        <v>#DIV/0!</v>
      </c>
      <c r="EY163" s="85" t="e">
        <f ca="1">IF(EE163&lt;=Hypothèses!$V$7,Hypothèses!$W$7,IF(EE163&lt;=Hypothèses!$V$8,Hypothèses!$W$8,IF(EE163&lt;=Hypothèses!$V$9,Hypothèses!$W$9,IF(EE163&lt;=Hypothèses!$V$10,Hypothèses!$W$10,IF(EE163&lt;=Hypothèses!$V$11,Hypothèses!$W$11,IF(EE163&lt;=Hypothèses!$V$12,Hypothèses!$W$12,IF(EE163&lt;=Hypothèses!$V$13,Hypothèses!$W$13,IF(EE163&lt;=Hypothèses!$V$14,Hypothèses!$W$14,IF(EE163&lt;=Hypothèses!$V$15,Hypothèses!$W$15,IF(EE163&lt;=Hypothèses!$V$16,Hypothèses!$W$16,IF(EE163&lt;=Hypothèses!$V$17,Hypothèses!$W$17,IF(EE163&lt;=Hypothèses!$V$18,Hypothèses!$W$18,""))))))))))))</f>
        <v>#DIV/0!</v>
      </c>
      <c r="EZ163" s="87" t="e">
        <f t="shared" ca="1" si="323"/>
        <v>#DIV/0!</v>
      </c>
      <c r="FA163" s="88" t="e">
        <f ca="1">IF(EE163&lt;=Hypothèses!$V$7,Hypothèses!$X$7,IF(EE163&lt;=Hypothèses!$V$8,Hypothèses!$X$8,IF(EE163&lt;=Hypothèses!$V$9,Hypothèses!$X$9,IF(EE163&lt;=Hypothèses!$V$10,Hypothèses!$X$10,IF(EE163&lt;=Hypothèses!$V$11,Hypothèses!$X$11,IF(EE163&lt;=Hypothèses!$V$12,Hypothèses!$X$12,IF(EE163&lt;=Hypothèses!$V$13,Hypothèses!$X$13,IF(EE163&lt;=Hypothèses!$V$14,Hypothèses!$X$14,IF(EE163&lt;=Hypothèses!$V$15,Hypothèses!$X$15,IF(EE163&lt;=Hypothèses!$V$16,Hypothèses!$X$16,IF(EE163&lt;=Hypothèses!$U$17,Hypothèses!$W$17,IF(EE163&lt;=Hypothèses!$U$18,Hypothèses!$W$18,""))))))))))))</f>
        <v>#DIV/0!</v>
      </c>
      <c r="FB163" s="95" t="e">
        <f t="shared" ca="1" si="297"/>
        <v>#DIV/0!</v>
      </c>
      <c r="FC163" s="101">
        <f t="shared" si="330"/>
        <v>0</v>
      </c>
      <c r="FD163" s="91">
        <f t="shared" si="264"/>
        <v>0</v>
      </c>
      <c r="FE163" s="30" t="e">
        <f t="shared" si="314"/>
        <v>#N/A</v>
      </c>
      <c r="FF163" s="30" t="e">
        <f t="shared" si="315"/>
        <v>#N/A</v>
      </c>
      <c r="FG163" s="31" t="e">
        <f>IF(OR(Hypothèses!$B$4=17,Hypothèses!$B$4=18,Hypothèses!$B$4=19,Hypothèses!$B$4=20),
IF($D163="Pressio.",
IF(OR($E163=3,$E163=1,$E163=4),FF163,FE163),
IF($D163="Pénétro.",
IF(OR($E163=3,$E163=1,$E163=4),FF163,FE163))),IF($D163="Pressio.",
IF($E163=3,FF163,FE163),
IF($D163="Pénétro.",
IF($E163=4,FF163,FE163))))</f>
        <v>#N/A</v>
      </c>
      <c r="FH163" s="31">
        <v>0</v>
      </c>
      <c r="FI163" s="102" t="e">
        <f>IF(NDC!$H$10="Oui",(VLOOKUP($B$3,'Coeff EC7'!$T$39:$X$59,2,0)*FG163+VLOOKUP($B$3,'Coeff EC7'!$T$65:$X$85,2,0)*Model0.1T!FH163)/1.5,PI()*FE$12*$Q163*($B163-$B162)*0.15/10+FI162)</f>
        <v>#N/A</v>
      </c>
      <c r="FJ163" s="102" t="e">
        <f>(VLOOKUP($B$3,'Coeff EC7'!$T$39:$X$59,3,0)*FG163+VLOOKUP($B$3,'Coeff EC7'!$T$65:$X$85,3,0)*Model0.1T!FH163)/1.1</f>
        <v>#N/A</v>
      </c>
      <c r="FK163" s="102" t="e">
        <f t="shared" si="298"/>
        <v>#N/A</v>
      </c>
      <c r="FL163" s="102" t="e">
        <f t="shared" si="299"/>
        <v>#N/A</v>
      </c>
      <c r="FM163" s="414" t="e">
        <f>IF(AND(FI163&gt;NDC!$C$63,FJ163&gt;NDC!$C$65,FK163&gt;NDC!$D$73,FL163&gt;NDC!$D$74,$B163&gt;NDC!$H$22-0.1+MIN(3*FM$12,1.5)),0,1)</f>
        <v>#N/A</v>
      </c>
    </row>
    <row r="164" spans="1:169">
      <c r="A164" s="96">
        <f t="shared" si="265"/>
        <v>84.900000000000858</v>
      </c>
      <c r="B164" s="97">
        <v>15.1</v>
      </c>
      <c r="C164" s="81">
        <f>IF(B164&lt;=Hypothèses!$C$7,Hypothèses!$A$7,IF(B164&lt;=Hypothèses!$C$8,Hypothèses!$A$8,IF(B164&lt;=Hypothèses!$C$9,Hypothèses!$A$9,IF(B164&lt;=Hypothèses!$C$10,Hypothèses!$A$10,IF(B164&lt;=Hypothèses!$C$11,Hypothèses!$A$11,IF(B164&lt;=Hypothèses!$C$12,Hypothèses!$A$12,IF(B164&lt;=Hypothèses!$C$13,Hypothèses!$A$13,IF(B164&lt;=Hypothèses!$C$14,Hypothèses!$A$14,IF(B164&lt;=Hypothèses!$C$15,Hypothèses!$A$15,IF(B164&lt;=Hypothèses!$C$16,Hypothèses!$A$16,IF(B164&lt;=Hypothèses!$C$17,Hypothèses!$A$17,IF(B164&lt;=Hypothèses!$C$18,Hypothèses!$A$18,C163))))))))))))</f>
        <v>11</v>
      </c>
      <c r="D164" s="82" t="str">
        <f>IF(B164&lt;=Hypothèses!$C$7,Hypothèses!$R$7,IF(B164&lt;=Hypothèses!$C$8,Hypothèses!$R$8,IF(B164&lt;=Hypothèses!$C$9,Hypothèses!$R$9,IF(B164&lt;=Hypothèses!$C$10,Hypothèses!$R$10,IF(B164&lt;=Hypothèses!$C$11,Hypothèses!$R$11,IF(B164&lt;=Hypothèses!$C$12,Hypothèses!$R$12,IF(B164&lt;=Hypothèses!$C$13,Hypothèses!$R$13,IF(B164&lt;=Hypothèses!$C$14,Hypothèses!$R$14,IF(B164&lt;=Hypothèses!$C$15,Hypothèses!$R$15,IF(B164&lt;=Hypothèses!$C$16,Hypothèses!$R$16,IF(B164&lt;=Hypothèses!$C$17,Hypothèses!$R$17,IF(B164&lt;=Hypothèses!$C$18,Hypothèses!$R$18,D163))))))))))))</f>
        <v>Pressio.</v>
      </c>
      <c r="E164" s="82" t="e">
        <f>IF(B164&lt;=Hypothèses!$C$7,Hypothèses!$G$7,IF(B164&lt;=Hypothèses!$C$8,Hypothèses!$G$8,IF(B164&lt;=Hypothèses!$C$9,Hypothèses!$G$9,IF(B164&lt;=Hypothèses!$C$10,Hypothèses!$G$10,IF(B164&lt;=Hypothèses!$C$11,Hypothèses!$G$11,IF(B164&lt;=Hypothèses!$C$12,Hypothèses!$G$12,IF(B164&lt;=Hypothèses!$C$13,Hypothèses!$G$13,IF(B164&lt;=Hypothèses!$C$14,Hypothèses!$G$14,IF(B164&lt;=Hypothèses!$C$15,Hypothèses!$G$15,IF(B164&lt;=Hypothèses!$C$16,Hypothèses!$G$16,IF(B164&lt;=Hypothèses!$C$17,Hypothèses!$G$17,IF(B164&lt;=Hypothèses!$C$18,Hypothèses!$G$18,E163))))))))))))</f>
        <v>#N/A</v>
      </c>
      <c r="F164" s="82" t="str">
        <f>IF(B164&lt;=Hypothèses!$C$7,Hypothèses!$F$7,IF(B164&lt;=Hypothèses!$C$8,Hypothèses!$F$8,IF(B164&lt;=Hypothèses!$C$9,Hypothèses!$F$9,IF(B164&lt;=Hypothèses!$C$10,Hypothèses!$F$10,IF(B164&lt;=Hypothèses!$C$11,Hypothèses!$F$11,IF(B164&lt;=Hypothèses!$C$12,Hypothèses!$F$12,IF(B164&lt;=Hypothèses!$C$13,Hypothèses!$F$13,IF(B164&lt;=Hypothèses!$C$14,Hypothèses!$F$14,IF(B164&lt;=Hypothèses!$C$15,Hypothèses!$F$15,IF(B164&lt;=Hypothèses!$C$16,Hypothèses!$F$16,IF(B164&lt;=Hypothèses!$C$17,Hypothèses!$F$17,IF(B164&lt;=Hypothèses!$C$18,Hypothèses!$F$18,F163))))))))))))</f>
        <v/>
      </c>
      <c r="G164" s="91">
        <f t="array" ref="G164">INDEX('Coeff EC7'!$U$7:$X$27,
MATCH(Model0.1T!$B$3,'Coeff EC7'!$T$7:$T$27,0),
MATCH(Model0.1T!$D164&amp;Model0.1T!$B$4,
'Coeff EC7'!$U$6:$X$6&amp;
'Coeff EC7'!$U$5:$X$5,0))</f>
        <v>1.4</v>
      </c>
      <c r="H164" s="91">
        <f t="array" ref="H164">INDEX('Coeff EC7'!$Y$7:$AB$27,
MATCH(Model0.1T!$B$3,'Coeff EC7'!$T$7:$T$27,0),
MATCH(Model0.1T!$D164&amp;Model0.1T!$B$4,
'Coeff EC7'!$Y$6:$AB$6&amp;
'Coeff EC7'!$Y$5:$AB$5,0))</f>
        <v>1.7</v>
      </c>
      <c r="I164" s="83">
        <v>0</v>
      </c>
      <c r="J164" s="91" t="e">
        <f t="array" ref="J164">INDEX('Coeff EC7'!$D$33:$Q$33,1,MATCH(D164&amp;E164,'Coeff EC7'!$D$31:$Q$31&amp;'Coeff EC7'!$D$32:$Q$32,0))</f>
        <v>#N/A</v>
      </c>
      <c r="K164" s="91" t="e">
        <f t="array" ref="K164">INDEX('Coeff EC7'!$D$34:$Q$34,1,MATCH(D164&amp;E164,'Coeff EC7'!$D$31:$Q$31&amp;'Coeff EC7'!$D$32:$Q$32,0))</f>
        <v>#N/A</v>
      </c>
      <c r="L164" s="91" t="e">
        <f t="array" ref="L164">INDEX('Coeff EC7'!$D$35:$Q$35,1,MATCH(D164&amp;E164,'Coeff EC7'!$D$31:$Q$31&amp;'Coeff EC7'!$D$32:$Q$32,0))</f>
        <v>#N/A</v>
      </c>
      <c r="M164" s="98" t="e">
        <f t="shared" si="231"/>
        <v>#N/A</v>
      </c>
      <c r="N164" s="99" t="e">
        <f t="array" ref="N164">INDEX('Coeff EC7'!$D$7:$Q$27,MATCH($B$3,'Coeff EC7'!$C$7:$C$27,0),MATCH(D164&amp;E164,'Coeff EC7'!$D$5:$Q$5&amp;'Coeff EC7'!$D$6:$Q$6,0))</f>
        <v>#N/A</v>
      </c>
      <c r="O164" s="99" t="e">
        <f t="array" ref="O164">INDEX('Coeff EC7'!$D$41:$Q$61,MATCH($B$3,'Coeff EC7'!$C$41:$C$61,0),MATCH(D164&amp;E164,'Coeff EC7'!$D$39:$Q$39&amp;'Coeff EC7'!$D$40:$Q$40,0))</f>
        <v>#N/A</v>
      </c>
      <c r="P164" s="30" t="e">
        <f t="shared" si="266"/>
        <v>#N/A</v>
      </c>
      <c r="Q164" s="100" t="e">
        <f t="shared" si="233"/>
        <v>#N/A</v>
      </c>
      <c r="R164" s="86" t="b">
        <f t="shared" si="234"/>
        <v>0</v>
      </c>
      <c r="S164" s="86">
        <f t="shared" si="232"/>
        <v>0.5</v>
      </c>
      <c r="T164" s="86">
        <f t="shared" si="235"/>
        <v>0.5</v>
      </c>
      <c r="U164" s="30" t="e">
        <f t="shared" ca="1" si="267"/>
        <v>#DIV/0!</v>
      </c>
      <c r="V164" s="85" t="str">
        <f>IF(B164&lt;=Hypothèses!$V$7,Hypothèses!$W$7,IF(B164&lt;=Hypothèses!$V$8,Hypothèses!$W$8,IF(B164&lt;=Hypothèses!$V$9,Hypothèses!$W$9,IF(B164&lt;=Hypothèses!$V$10,Hypothèses!$W$10,IF(B164&lt;=Hypothèses!$V$11,Hypothèses!$W$11,IF(B164&lt;=Hypothèses!$V$12,Hypothèses!$W$12,IF(B164&lt;=Hypothèses!$V$13,Hypothèses!$W$13,IF(B164&lt;=Hypothèses!$V$14,Hypothèses!$W$14,IF(B164&lt;=Hypothèses!$V$15,Hypothèses!$W$15,IF(B164&lt;=Hypothèses!$V$16,Hypothèses!$W$16,IF(B164&lt;=Hypothèses!$V$17,Hypothèses!$W$17,IF(B164&lt;=Hypothèses!$V$18,Hypothèses!$W$18,""))))))))))))</f>
        <v/>
      </c>
      <c r="W164" s="87" t="e">
        <f t="shared" ca="1" si="316"/>
        <v>#DIV/0!</v>
      </c>
      <c r="X164" s="88" t="str">
        <f>IF(B164&lt;=Hypothèses!$V$7,Hypothèses!$X$7,IF(B164&lt;=Hypothèses!$V$8,Hypothèses!$X$8,IF(B164&lt;=Hypothèses!$V$9,Hypothèses!$X$9,IF(B164&lt;=Hypothèses!$V$10,Hypothèses!$X$10,IF(B164&lt;=Hypothèses!$V$11,Hypothèses!$X$11,IF(B164&lt;=Hypothèses!$V$12,Hypothèses!$X$12,IF(B164&lt;=Hypothèses!$V$13,Hypothèses!$X$13,IF(B164&lt;=Hypothèses!$V$14,Hypothèses!$X$14,IF(B164&lt;=Hypothèses!$V$15,Hypothèses!$X$15,IF(B164&lt;=Hypothèses!$V$16,Hypothèses!$X$16,IF(B164&lt;=Hypothèses!$U$17,Hypothèses!$W$17,IF(B164&lt;=Hypothèses!$U$18,Hypothèses!$W$18,""))))))))))))</f>
        <v/>
      </c>
      <c r="Y164" s="95" t="e">
        <f t="shared" ca="1" si="236"/>
        <v>#DIV/0!</v>
      </c>
      <c r="Z164" s="101">
        <f t="shared" si="237"/>
        <v>0</v>
      </c>
      <c r="AA164" s="91">
        <f t="shared" si="238"/>
        <v>0</v>
      </c>
      <c r="AB164" s="30" t="e">
        <f t="shared" si="300"/>
        <v>#N/A</v>
      </c>
      <c r="AC164" s="30" t="e">
        <f t="shared" si="301"/>
        <v>#N/A</v>
      </c>
      <c r="AD164" s="31" t="e">
        <f>IF(OR(Hypothèses!$B$4=17,Hypothèses!$B$4=18,Hypothèses!$B$4=19,Hypothèses!$B$4=20),
IF($D164="Pressio.",
IF(OR($E164=3,$E164=1,$E164=4),AC164,AB164),
IF($D164="Pénétro.",
IF(OR($E164=3,$E164=1,$E164=4),AC164,AB164))),IF($D164="Pressio.",
IF($E164=3,AC164,AB164),
IF($D164="Pénétro.",
IF($E164=4,AC164,AB164))))</f>
        <v>#N/A</v>
      </c>
      <c r="AE164" s="31">
        <v>0</v>
      </c>
      <c r="AF164" s="102" t="e">
        <f>IF(NDC!$H$10="Oui",(VLOOKUP($B$3,'Coeff EC7'!$T$39:$X$59,2,0)*AD164+VLOOKUP($B$3,'Coeff EC7'!$T$65:$X$85,2,0)*Model0.1T!AE164)/1.5,PI()*AB$12*$Q164*($B164-$B163)*0.15/10+AF163)</f>
        <v>#N/A</v>
      </c>
      <c r="AG164" s="102" t="e">
        <f>(VLOOKUP($B$3,'Coeff EC7'!$T$39:$X$59,3,0)*AD164+VLOOKUP($B$3,'Coeff EC7'!$T$65:$X$85,3,0)*Model0.1T!AE164)/1.1</f>
        <v>#N/A</v>
      </c>
      <c r="AH164" s="102" t="e">
        <f t="shared" si="268"/>
        <v>#N/A</v>
      </c>
      <c r="AI164" s="102" t="e">
        <f t="shared" si="269"/>
        <v>#N/A</v>
      </c>
      <c r="AJ164" s="414" t="e">
        <f>IF(AND(AF164&gt;NDC!$C$63,AG164&gt;NDC!$C$65,AH164&gt;NDC!$D$73,AI164&gt;NDC!$D$74,$B164&gt;NDC!$H$22-0.1+MIN(3*$AJ$12,1.5)),0,1)</f>
        <v>#N/A</v>
      </c>
      <c r="AK164" s="86" t="b">
        <f t="shared" si="239"/>
        <v>0</v>
      </c>
      <c r="AL164" s="86">
        <f t="shared" si="270"/>
        <v>0.5</v>
      </c>
      <c r="AM164" s="86">
        <f t="shared" si="240"/>
        <v>0.5</v>
      </c>
      <c r="AN164" s="30" t="e">
        <f t="shared" ca="1" si="271"/>
        <v>#DIV/0!</v>
      </c>
      <c r="AO164" s="85" t="e">
        <f ca="1">IF(U164&lt;=Hypothèses!$V$7,Hypothèses!$W$7,IF(U164&lt;=Hypothèses!$V$8,Hypothèses!$W$8,IF(U164&lt;=Hypothèses!$V$9,Hypothèses!$W$9,IF(U164&lt;=Hypothèses!$V$10,Hypothèses!$W$10,IF(U164&lt;=Hypothèses!$V$11,Hypothèses!$W$11,IF(U164&lt;=Hypothèses!$V$12,Hypothèses!$W$12,IF(U164&lt;=Hypothèses!$V$13,Hypothèses!$W$13,IF(U164&lt;=Hypothèses!$V$14,Hypothèses!$W$14,IF(U164&lt;=Hypothèses!$V$15,Hypothèses!$W$15,IF(U164&lt;=Hypothèses!$V$16,Hypothèses!$W$16,IF(U164&lt;=Hypothèses!$V$17,Hypothèses!$W$17,IF(U164&lt;=Hypothèses!$V$18,Hypothèses!$W$18,""))))))))))))</f>
        <v>#DIV/0!</v>
      </c>
      <c r="AP164" s="87" t="e">
        <f t="shared" ca="1" si="317"/>
        <v>#DIV/0!</v>
      </c>
      <c r="AQ164" s="88" t="e">
        <f ca="1">IF(U164&lt;=Hypothèses!$V$7,Hypothèses!$X$7,IF(U164&lt;=Hypothèses!$V$8,Hypothèses!$X$8,IF(U164&lt;=Hypothèses!$V$9,Hypothèses!$X$9,IF(U164&lt;=Hypothèses!$V$10,Hypothèses!$X$10,IF(U164&lt;=Hypothèses!$V$11,Hypothèses!$X$11,IF(U164&lt;=Hypothèses!$V$12,Hypothèses!$X$12,IF(U164&lt;=Hypothèses!$V$13,Hypothèses!$X$13,IF(U164&lt;=Hypothèses!$V$14,Hypothèses!$X$14,IF(U164&lt;=Hypothèses!$V$15,Hypothèses!$X$15,IF(U164&lt;=Hypothèses!$V$16,Hypothèses!$X$16,IF(U164&lt;=Hypothèses!$U$17,Hypothèses!$W$17,IF(U164&lt;=Hypothèses!$U$18,Hypothèses!$W$18,""))))))))))))</f>
        <v>#DIV/0!</v>
      </c>
      <c r="AR164" s="95" t="e">
        <f t="shared" ca="1" si="272"/>
        <v>#DIV/0!</v>
      </c>
      <c r="AS164" s="101">
        <f t="shared" si="324"/>
        <v>0</v>
      </c>
      <c r="AT164" s="91">
        <f t="shared" si="241"/>
        <v>0</v>
      </c>
      <c r="AU164" s="30" t="e">
        <f t="shared" si="302"/>
        <v>#N/A</v>
      </c>
      <c r="AV164" s="30" t="e">
        <f t="shared" si="303"/>
        <v>#N/A</v>
      </c>
      <c r="AW164" s="31" t="e">
        <f>IF(OR(Hypothèses!$B$4=17,Hypothèses!$B$4=18,Hypothèses!$B$4=19,Hypothèses!$B$4=20),
IF($D164="Pressio.",
IF(OR($E164=3,$E164=1,$E164=4),AV164,AU164),
IF($D164="Pénétro.",
IF(OR($E164=3,$E164=1,$E164=4),AV164,AU164))),IF($D164="Pressio.",
IF($E164=3,AV164,AU164),
IF($D164="Pénétro.",
IF($E164=4,AV164,AU164))))</f>
        <v>#N/A</v>
      </c>
      <c r="AX164" s="31">
        <v>0</v>
      </c>
      <c r="AY164" s="102" t="e">
        <f>IF(NDC!$H$10="Oui",(VLOOKUP($B$3,'Coeff EC7'!$T$39:$X$59,2,0)*AW164+VLOOKUP($B$3,'Coeff EC7'!$T$65:$X$85,2,0)*Model0.1T!AX164)/1.5,PI()*AU$12*$Q164*($B164-$B163)*0.15/10+AY163)</f>
        <v>#N/A</v>
      </c>
      <c r="AZ164" s="102" t="e">
        <f>(VLOOKUP($B$3,'Coeff EC7'!$T$39:$X$59,3,0)*AW164+VLOOKUP($B$3,'Coeff EC7'!$T$65:$X$85,3,0)*Model0.1T!AX164)/1.1</f>
        <v>#N/A</v>
      </c>
      <c r="BA164" s="102" t="e">
        <f t="shared" si="273"/>
        <v>#N/A</v>
      </c>
      <c r="BB164" s="102" t="e">
        <f t="shared" si="274"/>
        <v>#N/A</v>
      </c>
      <c r="BC164" s="414" t="e">
        <f>IF(AND(AY164&gt;NDC!$C$63,AZ164&gt;NDC!$C$65,BA164&gt;NDC!$D$73,BB164&gt;NDC!$D$74,$B164&gt;NDC!$H$22-0.1+MIN(3*BC$12,1.5)),0,1)</f>
        <v>#N/A</v>
      </c>
      <c r="BD164" s="86" t="b">
        <f t="shared" si="242"/>
        <v>0</v>
      </c>
      <c r="BE164" s="86">
        <f t="shared" si="275"/>
        <v>0.5</v>
      </c>
      <c r="BF164" s="86">
        <f t="shared" si="243"/>
        <v>0.5</v>
      </c>
      <c r="BG164" s="30" t="e">
        <f t="shared" ca="1" si="276"/>
        <v>#DIV/0!</v>
      </c>
      <c r="BH164" s="85" t="e">
        <f ca="1">IF(AN164&lt;=Hypothèses!$V$7,Hypothèses!$W$7,IF(AN164&lt;=Hypothèses!$V$8,Hypothèses!$W$8,IF(AN164&lt;=Hypothèses!$V$9,Hypothèses!$W$9,IF(AN164&lt;=Hypothèses!$V$10,Hypothèses!$W$10,IF(AN164&lt;=Hypothèses!$V$11,Hypothèses!$W$11,IF(AN164&lt;=Hypothèses!$V$12,Hypothèses!$W$12,IF(AN164&lt;=Hypothèses!$V$13,Hypothèses!$W$13,IF(AN164&lt;=Hypothèses!$V$14,Hypothèses!$W$14,IF(AN164&lt;=Hypothèses!$V$15,Hypothèses!$W$15,IF(AN164&lt;=Hypothèses!$V$16,Hypothèses!$W$16,IF(AN164&lt;=Hypothèses!$V$17,Hypothèses!$W$17,IF(AN164&lt;=Hypothèses!$V$18,Hypothèses!$W$18,""))))))))))))</f>
        <v>#DIV/0!</v>
      </c>
      <c r="BI164" s="87" t="e">
        <f t="shared" ca="1" si="318"/>
        <v>#DIV/0!</v>
      </c>
      <c r="BJ164" s="88" t="e">
        <f ca="1">IF(AN164&lt;=Hypothèses!$V$7,Hypothèses!$X$7,IF(AN164&lt;=Hypothèses!$V$8,Hypothèses!$X$8,IF(AN164&lt;=Hypothèses!$V$9,Hypothèses!$X$9,IF(AN164&lt;=Hypothèses!$V$10,Hypothèses!$X$10,IF(AN164&lt;=Hypothèses!$V$11,Hypothèses!$X$11,IF(AN164&lt;=Hypothèses!$V$12,Hypothèses!$X$12,IF(AN164&lt;=Hypothèses!$V$13,Hypothèses!$X$13,IF(AN164&lt;=Hypothèses!$V$14,Hypothèses!$X$14,IF(AN164&lt;=Hypothèses!$V$15,Hypothèses!$X$15,IF(AN164&lt;=Hypothèses!$V$16,Hypothèses!$X$16,IF(AN164&lt;=Hypothèses!$U$17,Hypothèses!$W$17,IF(AN164&lt;=Hypothèses!$U$18,Hypothèses!$W$18,""))))))))))))</f>
        <v>#DIV/0!</v>
      </c>
      <c r="BK164" s="95" t="e">
        <f t="shared" ca="1" si="277"/>
        <v>#DIV/0!</v>
      </c>
      <c r="BL164" s="101">
        <f t="shared" si="325"/>
        <v>0</v>
      </c>
      <c r="BM164" s="91">
        <f t="shared" si="244"/>
        <v>0</v>
      </c>
      <c r="BN164" s="30" t="e">
        <f t="shared" si="304"/>
        <v>#N/A</v>
      </c>
      <c r="BO164" s="30" t="e">
        <f t="shared" si="305"/>
        <v>#N/A</v>
      </c>
      <c r="BP164" s="31" t="e">
        <f>IF(OR(Hypothèses!$B$4=17,Hypothèses!$B$4=18,Hypothèses!$B$4=19,Hypothèses!$B$4=20),
IF($D164="Pressio.",
IF(OR($E164=3,$E164=1,$E164=4),BO164,BN164),
IF($D164="Pénétro.",
IF(OR($E164=3,$E164=1,$E164=4),BO164,BN164))),IF($D164="Pressio.",
IF($E164=3,BO164,BN164),
IF($D164="Pénétro.",
IF($E164=4,BO164,BN164))))</f>
        <v>#N/A</v>
      </c>
      <c r="BQ164" s="31">
        <v>0</v>
      </c>
      <c r="BR164" s="102" t="e">
        <f>IF(NDC!$H$10="Oui",(VLOOKUP($B$3,'Coeff EC7'!$T$39:$X$59,2,0)*BP164+VLOOKUP($B$3,'Coeff EC7'!$T$65:$X$85,2,0)*Model0.1T!BQ164)/1.5,PI()*BN$12*$Q164*($B164-$B163)*0.15/10+BR163)</f>
        <v>#N/A</v>
      </c>
      <c r="BS164" s="102" t="e">
        <f>(VLOOKUP($B$3,'Coeff EC7'!$T$39:$X$59,3,0)*BP164+VLOOKUP($B$3,'Coeff EC7'!$T$65:$X$85,3,0)*Model0.1T!BQ164)/1.1</f>
        <v>#N/A</v>
      </c>
      <c r="BT164" s="102" t="e">
        <f t="shared" si="278"/>
        <v>#N/A</v>
      </c>
      <c r="BU164" s="102" t="e">
        <f t="shared" si="279"/>
        <v>#N/A</v>
      </c>
      <c r="BV164" s="414" t="e">
        <f>IF(AND(BR164&gt;NDC!$C$63,BS164&gt;NDC!$C$65,BT164&gt;NDC!$D$73,BU164&gt;NDC!$D$74,$B164&gt;NDC!$H$22-0.1+MIN(3*BV$12,1.5)),0,1)</f>
        <v>#N/A</v>
      </c>
      <c r="BW164" s="86" t="b">
        <f t="shared" si="245"/>
        <v>0</v>
      </c>
      <c r="BX164" s="86">
        <f t="shared" si="246"/>
        <v>0.5</v>
      </c>
      <c r="BY164" s="86">
        <f t="shared" si="247"/>
        <v>0.5</v>
      </c>
      <c r="BZ164" s="30" t="e">
        <f t="shared" ca="1" si="280"/>
        <v>#DIV/0!</v>
      </c>
      <c r="CA164" s="85" t="e">
        <f ca="1">IF(BG164&lt;=Hypothèses!$V$7,Hypothèses!$W$7,IF(BG164&lt;=Hypothèses!$V$8,Hypothèses!$W$8,IF(BG164&lt;=Hypothèses!$V$9,Hypothèses!$W$9,IF(BG164&lt;=Hypothèses!$V$10,Hypothèses!$W$10,IF(BG164&lt;=Hypothèses!$V$11,Hypothèses!$W$11,IF(BG164&lt;=Hypothèses!$V$12,Hypothèses!$W$12,IF(BG164&lt;=Hypothèses!$V$13,Hypothèses!$W$13,IF(BG164&lt;=Hypothèses!$V$14,Hypothèses!$W$14,IF(BG164&lt;=Hypothèses!$V$15,Hypothèses!$W$15,IF(BG164&lt;=Hypothèses!$V$16,Hypothèses!$W$16,IF(BG164&lt;=Hypothèses!$V$17,Hypothèses!$W$17,IF(BG164&lt;=Hypothèses!$V$18,Hypothèses!$W$18,""))))))))))))</f>
        <v>#DIV/0!</v>
      </c>
      <c r="CB164" s="87" t="e">
        <f t="shared" ca="1" si="319"/>
        <v>#DIV/0!</v>
      </c>
      <c r="CC164" s="88" t="e">
        <f ca="1">IF(BG164&lt;=Hypothèses!$V$7,Hypothèses!$X$7,IF(BG164&lt;=Hypothèses!$V$8,Hypothèses!$X$8,IF(BG164&lt;=Hypothèses!$V$9,Hypothèses!$X$9,IF(BG164&lt;=Hypothèses!$V$10,Hypothèses!$X$10,IF(BG164&lt;=Hypothèses!$V$11,Hypothèses!$X$11,IF(BG164&lt;=Hypothèses!$V$12,Hypothèses!$X$12,IF(BG164&lt;=Hypothèses!$V$13,Hypothèses!$X$13,IF(BG164&lt;=Hypothèses!$V$14,Hypothèses!$X$14,IF(BG164&lt;=Hypothèses!$V$15,Hypothèses!$X$15,IF(BG164&lt;=Hypothèses!$V$16,Hypothèses!$X$16,IF(BG164&lt;=Hypothèses!$U$17,Hypothèses!$W$17,IF(BG164&lt;=Hypothèses!$U$18,Hypothèses!$W$18,""))))))))))))</f>
        <v>#DIV/0!</v>
      </c>
      <c r="CD164" s="95" t="e">
        <f t="shared" ca="1" si="281"/>
        <v>#DIV/0!</v>
      </c>
      <c r="CE164" s="101">
        <f t="shared" si="326"/>
        <v>0</v>
      </c>
      <c r="CF164" s="91">
        <f t="shared" si="248"/>
        <v>0</v>
      </c>
      <c r="CG164" s="30" t="e">
        <f t="shared" si="306"/>
        <v>#N/A</v>
      </c>
      <c r="CH164" s="30" t="e">
        <f t="shared" si="307"/>
        <v>#N/A</v>
      </c>
      <c r="CI164" s="31" t="e">
        <f>IF(OR(Hypothèses!$B$4=17,Hypothèses!$B$4=18,Hypothèses!$B$4=19,Hypothèses!$B$4=20),
IF($D164="Pressio.",
IF(OR($E164=3,$E164=1,$E164=4),CH164,CG164),
IF($D164="Pénétro.",
IF(OR($E164=3,$E164=1,$E164=4),CH164,CG164))),IF($D164="Pressio.",
IF($E164=3,CH164,CG164),
IF($D164="Pénétro.",
IF($E164=4,CH164,CG164))))</f>
        <v>#N/A</v>
      </c>
      <c r="CJ164" s="31">
        <v>0</v>
      </c>
      <c r="CK164" s="102" t="e">
        <f>IF(NDC!$H$10="Oui",(VLOOKUP($B$3,'Coeff EC7'!$T$39:$X$59,2,0)*CI164+VLOOKUP($B$3,'Coeff EC7'!$T$65:$X$85,2,0)*Model0.1T!CJ164)/1.5,PI()*CG$12*$Q164*($B164-$B163)*0.15/10+CK163)</f>
        <v>#N/A</v>
      </c>
      <c r="CL164" s="102" t="e">
        <f>(VLOOKUP($B$3,'Coeff EC7'!$T$39:$X$59,3,0)*CI164+VLOOKUP($B$3,'Coeff EC7'!$T$65:$X$85,3,0)*Model0.1T!CJ164)/1.1</f>
        <v>#N/A</v>
      </c>
      <c r="CM164" s="102" t="e">
        <f t="shared" si="282"/>
        <v>#N/A</v>
      </c>
      <c r="CN164" s="102" t="e">
        <f t="shared" si="283"/>
        <v>#N/A</v>
      </c>
      <c r="CO164" s="414" t="e">
        <f>IF(AND(CK164&gt;NDC!$C$63,CL164&gt;NDC!$C$65,CM164&gt;NDC!$D$73,CN164&gt;NDC!$D$74,$B164&gt;NDC!$H$22-0.1+MIN(3*CO$12,1.5)),0,1)</f>
        <v>#N/A</v>
      </c>
      <c r="CP164" s="86" t="b">
        <f t="shared" si="249"/>
        <v>0</v>
      </c>
      <c r="CQ164" s="86">
        <f t="shared" si="250"/>
        <v>0.5</v>
      </c>
      <c r="CR164" s="86">
        <f t="shared" si="251"/>
        <v>0.5</v>
      </c>
      <c r="CS164" s="30" t="e">
        <f t="shared" ca="1" si="284"/>
        <v>#DIV/0!</v>
      </c>
      <c r="CT164" s="85" t="e">
        <f ca="1">IF(BZ164&lt;=Hypothèses!$V$7,Hypothèses!$W$7,IF(BZ164&lt;=Hypothèses!$V$8,Hypothèses!$W$8,IF(BZ164&lt;=Hypothèses!$V$9,Hypothèses!$W$9,IF(BZ164&lt;=Hypothèses!$V$10,Hypothèses!$W$10,IF(BZ164&lt;=Hypothèses!$V$11,Hypothèses!$W$11,IF(BZ164&lt;=Hypothèses!$V$12,Hypothèses!$W$12,IF(BZ164&lt;=Hypothèses!$V$13,Hypothèses!$W$13,IF(BZ164&lt;=Hypothèses!$V$14,Hypothèses!$W$14,IF(BZ164&lt;=Hypothèses!$V$15,Hypothèses!$W$15,IF(BZ164&lt;=Hypothèses!$V$16,Hypothèses!$W$16,IF(BZ164&lt;=Hypothèses!$V$17,Hypothèses!$W$17,IF(BZ164&lt;=Hypothèses!$V$18,Hypothèses!$W$18,""))))))))))))</f>
        <v>#DIV/0!</v>
      </c>
      <c r="CU164" s="87" t="e">
        <f t="shared" ca="1" si="320"/>
        <v>#DIV/0!</v>
      </c>
      <c r="CV164" s="88" t="e">
        <f ca="1">IF(BZ164&lt;=Hypothèses!$V$7,Hypothèses!$X$7,IF(BZ164&lt;=Hypothèses!$V$8,Hypothèses!$X$8,IF(BZ164&lt;=Hypothèses!$V$9,Hypothèses!$X$9,IF(BZ164&lt;=Hypothèses!$V$10,Hypothèses!$X$10,IF(BZ164&lt;=Hypothèses!$V$11,Hypothèses!$X$11,IF(BZ164&lt;=Hypothèses!$V$12,Hypothèses!$X$12,IF(BZ164&lt;=Hypothèses!$V$13,Hypothèses!$X$13,IF(BZ164&lt;=Hypothèses!$V$14,Hypothèses!$X$14,IF(BZ164&lt;=Hypothèses!$V$15,Hypothèses!$X$15,IF(BZ164&lt;=Hypothèses!$V$16,Hypothèses!$X$16,IF(BZ164&lt;=Hypothèses!$U$17,Hypothèses!$W$17,IF(BZ164&lt;=Hypothèses!$U$18,Hypothèses!$W$18,""))))))))))))</f>
        <v>#DIV/0!</v>
      </c>
      <c r="CW164" s="95" t="e">
        <f t="shared" ca="1" si="285"/>
        <v>#DIV/0!</v>
      </c>
      <c r="CX164" s="101">
        <f t="shared" si="327"/>
        <v>0</v>
      </c>
      <c r="CY164" s="91">
        <f t="shared" si="252"/>
        <v>0</v>
      </c>
      <c r="CZ164" s="30" t="e">
        <f t="shared" si="308"/>
        <v>#N/A</v>
      </c>
      <c r="DA164" s="30" t="e">
        <f t="shared" si="309"/>
        <v>#N/A</v>
      </c>
      <c r="DB164" s="31" t="e">
        <f>IF(OR(Hypothèses!$B$4=17,Hypothèses!$B$4=18,Hypothèses!$B$4=19,Hypothèses!$B$4=20),
IF($D164="Pressio.",
IF(OR($E164=3,$E164=1,$E164=4),DA164,CZ164),
IF($D164="Pénétro.",
IF(OR($E164=3,$E164=1,$E164=4),DA164,CZ164))),IF($D164="Pressio.",
IF($E164=3,DA164,CZ164),
IF($D164="Pénétro.",
IF($E164=4,DA164,CZ164))))</f>
        <v>#N/A</v>
      </c>
      <c r="DC164" s="31">
        <v>0</v>
      </c>
      <c r="DD164" s="102" t="e">
        <f>IF(NDC!$H$10="Oui",(VLOOKUP($B$3,'Coeff EC7'!$T$39:$X$59,2,0)*DB164+VLOOKUP($B$3,'Coeff EC7'!$T$65:$X$85,2,0)*Model0.1T!DC164)/1.5,PI()*CZ$12*$Q164*($B164-$B163)*0.15/10+DD163)</f>
        <v>#N/A</v>
      </c>
      <c r="DE164" s="102" t="e">
        <f>(VLOOKUP($B$3,'Coeff EC7'!$T$39:$X$59,3,0)*DB164+VLOOKUP($B$3,'Coeff EC7'!$T$65:$X$85,3,0)*Model0.1T!DC164)/1.1</f>
        <v>#N/A</v>
      </c>
      <c r="DF164" s="102" t="e">
        <f t="shared" si="286"/>
        <v>#N/A</v>
      </c>
      <c r="DG164" s="102" t="e">
        <f t="shared" si="287"/>
        <v>#N/A</v>
      </c>
      <c r="DH164" s="414" t="e">
        <f>IF(AND(DD164&gt;NDC!$C$63,DE164&gt;NDC!$C$65,DF164&gt;NDC!$D$73,DG164&gt;NDC!$D$74,$B164&gt;NDC!$H$22-0.1+MIN(3*DH$12,1.5)),0,1)</f>
        <v>#N/A</v>
      </c>
      <c r="DI164" s="86" t="b">
        <f t="shared" si="253"/>
        <v>0</v>
      </c>
      <c r="DJ164" s="86">
        <f t="shared" si="254"/>
        <v>0.5</v>
      </c>
      <c r="DK164" s="86">
        <f t="shared" si="255"/>
        <v>0.5</v>
      </c>
      <c r="DL164" s="30" t="e">
        <f t="shared" ca="1" si="288"/>
        <v>#DIV/0!</v>
      </c>
      <c r="DM164" s="85" t="e">
        <f ca="1">IF(CS164&lt;=Hypothèses!$V$7,Hypothèses!$W$7,IF(CS164&lt;=Hypothèses!$V$8,Hypothèses!$W$8,IF(CS164&lt;=Hypothèses!$V$9,Hypothèses!$W$9,IF(CS164&lt;=Hypothèses!$V$10,Hypothèses!$W$10,IF(CS164&lt;=Hypothèses!$V$11,Hypothèses!$W$11,IF(CS164&lt;=Hypothèses!$V$12,Hypothèses!$W$12,IF(CS164&lt;=Hypothèses!$V$13,Hypothèses!$W$13,IF(CS164&lt;=Hypothèses!$V$14,Hypothèses!$W$14,IF(CS164&lt;=Hypothèses!$V$15,Hypothèses!$W$15,IF(CS164&lt;=Hypothèses!$V$16,Hypothèses!$W$16,IF(CS164&lt;=Hypothèses!$V$17,Hypothèses!$W$17,IF(CS164&lt;=Hypothèses!$V$18,Hypothèses!$W$18,""))))))))))))</f>
        <v>#DIV/0!</v>
      </c>
      <c r="DN164" s="87" t="e">
        <f t="shared" ca="1" si="321"/>
        <v>#DIV/0!</v>
      </c>
      <c r="DO164" s="88" t="e">
        <f ca="1">IF(CS164&lt;=Hypothèses!$V$7,Hypothèses!$X$7,IF(CS164&lt;=Hypothèses!$V$8,Hypothèses!$X$8,IF(CS164&lt;=Hypothèses!$V$9,Hypothèses!$X$9,IF(CS164&lt;=Hypothèses!$V$10,Hypothèses!$X$10,IF(CS164&lt;=Hypothèses!$V$11,Hypothèses!$X$11,IF(CS164&lt;=Hypothèses!$V$12,Hypothèses!$X$12,IF(CS164&lt;=Hypothèses!$V$13,Hypothèses!$X$13,IF(CS164&lt;=Hypothèses!$V$14,Hypothèses!$X$14,IF(CS164&lt;=Hypothèses!$V$15,Hypothèses!$X$15,IF(CS164&lt;=Hypothèses!$V$16,Hypothèses!$X$16,IF(CS164&lt;=Hypothèses!$U$17,Hypothèses!$W$17,IF(CS164&lt;=Hypothèses!$U$18,Hypothèses!$W$18,""))))))))))))</f>
        <v>#DIV/0!</v>
      </c>
      <c r="DP164" s="95" t="e">
        <f t="shared" ca="1" si="289"/>
        <v>#DIV/0!</v>
      </c>
      <c r="DQ164" s="101">
        <f t="shared" si="328"/>
        <v>0</v>
      </c>
      <c r="DR164" s="91">
        <f t="shared" si="256"/>
        <v>0</v>
      </c>
      <c r="DS164" s="30" t="e">
        <f t="shared" si="310"/>
        <v>#N/A</v>
      </c>
      <c r="DT164" s="30" t="e">
        <f t="shared" si="311"/>
        <v>#N/A</v>
      </c>
      <c r="DU164" s="31" t="e">
        <f>IF(OR(Hypothèses!$B$4=17,Hypothèses!$B$4=18,Hypothèses!$B$4=19,Hypothèses!$B$4=20),
IF($D164="Pressio.",
IF(OR($E164=3,$E164=1,$E164=4),DT164,DS164),
IF($D164="Pénétro.",
IF(OR($E164=3,$E164=1,$E164=4),DT164,DS164))),IF($D164="Pressio.",
IF($E164=3,DT164,DS164),
IF($D164="Pénétro.",
IF($E164=4,DT164,DS164))))</f>
        <v>#N/A</v>
      </c>
      <c r="DV164" s="31">
        <v>0</v>
      </c>
      <c r="DW164" s="102" t="e">
        <f>IF(NDC!$H$10="Oui",(VLOOKUP($B$3,'Coeff EC7'!$T$39:$X$59,2,0)*DU164+VLOOKUP($B$3,'Coeff EC7'!$T$65:$X$85,2,0)*Model0.1T!DV164)/1.5,PI()*DS$12*$Q164*($B164-$B163)*0.15/10+DW163)</f>
        <v>#N/A</v>
      </c>
      <c r="DX164" s="102" t="e">
        <f>(VLOOKUP($B$3,'Coeff EC7'!$T$39:$X$59,3,0)*DU164+VLOOKUP($B$3,'Coeff EC7'!$T$65:$X$85,3,0)*Model0.1T!DV164)/1.1</f>
        <v>#N/A</v>
      </c>
      <c r="DY164" s="102" t="e">
        <f t="shared" si="290"/>
        <v>#N/A</v>
      </c>
      <c r="DZ164" s="102" t="e">
        <f t="shared" si="291"/>
        <v>#N/A</v>
      </c>
      <c r="EA164" s="414" t="e">
        <f>IF(AND(DW164&gt;NDC!$C$63,DX164&gt;NDC!$C$65,DY164&gt;NDC!$D$73,DZ164&gt;NDC!$D$74,$B164&gt;NDC!$H$22-0.1+MIN(3*EA$12,1.5)),0,1)</f>
        <v>#N/A</v>
      </c>
      <c r="EB164" s="86" t="b">
        <f t="shared" si="257"/>
        <v>0</v>
      </c>
      <c r="EC164" s="418">
        <f t="shared" si="258"/>
        <v>0.51</v>
      </c>
      <c r="ED164" s="86">
        <f t="shared" si="259"/>
        <v>0.51</v>
      </c>
      <c r="EE164" s="30" t="e">
        <f t="shared" ca="1" si="292"/>
        <v>#DIV/0!</v>
      </c>
      <c r="EF164" s="85" t="e">
        <f ca="1">IF(DL164&lt;=Hypothèses!$V$7,Hypothèses!$W$7,IF(DL164&lt;=Hypothèses!$V$8,Hypothèses!$W$8,IF(DL164&lt;=Hypothèses!$V$9,Hypothèses!$W$9,IF(DL164&lt;=Hypothèses!$V$10,Hypothèses!$W$10,IF(DL164&lt;=Hypothèses!$V$11,Hypothèses!$W$11,IF(DL164&lt;=Hypothèses!$V$12,Hypothèses!$W$12,IF(DL164&lt;=Hypothèses!$V$13,Hypothèses!$W$13,IF(DL164&lt;=Hypothèses!$V$14,Hypothèses!$W$14,IF(DL164&lt;=Hypothèses!$V$15,Hypothèses!$W$15,IF(DL164&lt;=Hypothèses!$V$16,Hypothèses!$W$16,IF(DL164&lt;=Hypothèses!$V$17,Hypothèses!$W$17,IF(DL164&lt;=Hypothèses!$V$18,Hypothèses!$W$18,""))))))))))))</f>
        <v>#DIV/0!</v>
      </c>
      <c r="EG164" s="87" t="e">
        <f t="shared" ca="1" si="322"/>
        <v>#DIV/0!</v>
      </c>
      <c r="EH164" s="88" t="e">
        <f ca="1">IF(DL164&lt;=Hypothèses!$V$7,Hypothèses!$X$7,IF(DL164&lt;=Hypothèses!$V$8,Hypothèses!$X$8,IF(DL164&lt;=Hypothèses!$V$9,Hypothèses!$X$9,IF(DL164&lt;=Hypothèses!$V$10,Hypothèses!$X$10,IF(DL164&lt;=Hypothèses!$V$11,Hypothèses!$X$11,IF(DL164&lt;=Hypothèses!$V$12,Hypothèses!$X$12,IF(DL164&lt;=Hypothèses!$V$13,Hypothèses!$X$13,IF(DL164&lt;=Hypothèses!$V$14,Hypothèses!$X$14,IF(DL164&lt;=Hypothèses!$V$15,Hypothèses!$X$15,IF(DL164&lt;=Hypothèses!$V$16,Hypothèses!$X$16,IF(DL164&lt;=Hypothèses!$U$17,Hypothèses!$W$17,IF(DL164&lt;=Hypothèses!$U$18,Hypothèses!$W$18,""))))))))))))</f>
        <v>#DIV/0!</v>
      </c>
      <c r="EI164" s="95" t="e">
        <f t="shared" ca="1" si="293"/>
        <v>#DIV/0!</v>
      </c>
      <c r="EJ164" s="101">
        <f t="shared" si="329"/>
        <v>0</v>
      </c>
      <c r="EK164" s="91">
        <f t="shared" si="260"/>
        <v>0</v>
      </c>
      <c r="EL164" s="30" t="e">
        <f t="shared" si="312"/>
        <v>#N/A</v>
      </c>
      <c r="EM164" s="30" t="e">
        <f t="shared" si="313"/>
        <v>#N/A</v>
      </c>
      <c r="EN164" s="31" t="e">
        <f>IF(OR(Hypothèses!$B$4=17,Hypothèses!$B$4=18,Hypothèses!$B$4=19,Hypothèses!$B$4=20),
IF($D164="Pressio.",
IF(OR($E164=3,$E164=1,$E164=4),EM164,EL164),
IF($D164="Pénétro.",
IF(OR($E164=3,$E164=1,$E164=4),EM164,EL164))),IF($D164="Pressio.",
IF($E164=3,EM164,EL164),
IF($D164="Pénétro.",
IF($E164=4,EM164,EL164))))</f>
        <v>#N/A</v>
      </c>
      <c r="EO164" s="31">
        <v>0</v>
      </c>
      <c r="EP164" s="102" t="e">
        <f>IF(NDC!$H$10="Oui",(VLOOKUP($B$3,'Coeff EC7'!$T$39:$X$59,2,0)*EN164+VLOOKUP($B$3,'Coeff EC7'!$T$65:$X$85,2,0)*Model0.1T!EO164)/1.5,PI()*EL$12*$Q164*($B164-$B163)*0.15/10+EP163)</f>
        <v>#N/A</v>
      </c>
      <c r="EQ164" s="102" t="e">
        <f>(VLOOKUP($B$3,'Coeff EC7'!$T$39:$X$59,3,0)*EN164+VLOOKUP($B$3,'Coeff EC7'!$T$65:$X$85,3,0)*Model0.1T!EO164)/1.1</f>
        <v>#N/A</v>
      </c>
      <c r="ER164" s="102" t="e">
        <f t="shared" si="294"/>
        <v>#N/A</v>
      </c>
      <c r="ES164" s="102" t="e">
        <f t="shared" si="295"/>
        <v>#N/A</v>
      </c>
      <c r="ET164" s="414" t="e">
        <f>IF(AND(EP164&gt;NDC!$C$63,EQ164&gt;NDC!$C$65,ER164&gt;NDC!$D$73,ES164&gt;NDC!$D$74,$B164&gt;NDC!$H$22-0.1+MIN(3*ET$12,1.5)),0,1)</f>
        <v>#N/A</v>
      </c>
      <c r="EU164" s="86" t="b">
        <f t="shared" si="261"/>
        <v>0</v>
      </c>
      <c r="EV164" s="86">
        <f t="shared" si="262"/>
        <v>0.61</v>
      </c>
      <c r="EW164" s="86">
        <f t="shared" si="263"/>
        <v>0.61</v>
      </c>
      <c r="EX164" s="30" t="e">
        <f t="shared" ca="1" si="296"/>
        <v>#DIV/0!</v>
      </c>
      <c r="EY164" s="85" t="e">
        <f ca="1">IF(EE164&lt;=Hypothèses!$V$7,Hypothèses!$W$7,IF(EE164&lt;=Hypothèses!$V$8,Hypothèses!$W$8,IF(EE164&lt;=Hypothèses!$V$9,Hypothèses!$W$9,IF(EE164&lt;=Hypothèses!$V$10,Hypothèses!$W$10,IF(EE164&lt;=Hypothèses!$V$11,Hypothèses!$W$11,IF(EE164&lt;=Hypothèses!$V$12,Hypothèses!$W$12,IF(EE164&lt;=Hypothèses!$V$13,Hypothèses!$W$13,IF(EE164&lt;=Hypothèses!$V$14,Hypothèses!$W$14,IF(EE164&lt;=Hypothèses!$V$15,Hypothèses!$W$15,IF(EE164&lt;=Hypothèses!$V$16,Hypothèses!$W$16,IF(EE164&lt;=Hypothèses!$V$17,Hypothèses!$W$17,IF(EE164&lt;=Hypothèses!$V$18,Hypothèses!$W$18,""))))))))))))</f>
        <v>#DIV/0!</v>
      </c>
      <c r="EZ164" s="87" t="e">
        <f t="shared" ca="1" si="323"/>
        <v>#DIV/0!</v>
      </c>
      <c r="FA164" s="88" t="e">
        <f ca="1">IF(EE164&lt;=Hypothèses!$V$7,Hypothèses!$X$7,IF(EE164&lt;=Hypothèses!$V$8,Hypothèses!$X$8,IF(EE164&lt;=Hypothèses!$V$9,Hypothèses!$X$9,IF(EE164&lt;=Hypothèses!$V$10,Hypothèses!$X$10,IF(EE164&lt;=Hypothèses!$V$11,Hypothèses!$X$11,IF(EE164&lt;=Hypothèses!$V$12,Hypothèses!$X$12,IF(EE164&lt;=Hypothèses!$V$13,Hypothèses!$X$13,IF(EE164&lt;=Hypothèses!$V$14,Hypothèses!$X$14,IF(EE164&lt;=Hypothèses!$V$15,Hypothèses!$X$15,IF(EE164&lt;=Hypothèses!$V$16,Hypothèses!$X$16,IF(EE164&lt;=Hypothèses!$U$17,Hypothèses!$W$17,IF(EE164&lt;=Hypothèses!$U$18,Hypothèses!$W$18,""))))))))))))</f>
        <v>#DIV/0!</v>
      </c>
      <c r="FB164" s="95" t="e">
        <f t="shared" ca="1" si="297"/>
        <v>#DIV/0!</v>
      </c>
      <c r="FC164" s="101">
        <f t="shared" si="330"/>
        <v>0</v>
      </c>
      <c r="FD164" s="91">
        <f t="shared" si="264"/>
        <v>0</v>
      </c>
      <c r="FE164" s="30" t="e">
        <f t="shared" si="314"/>
        <v>#N/A</v>
      </c>
      <c r="FF164" s="30" t="e">
        <f t="shared" si="315"/>
        <v>#N/A</v>
      </c>
      <c r="FG164" s="31" t="e">
        <f>IF(OR(Hypothèses!$B$4=17,Hypothèses!$B$4=18,Hypothèses!$B$4=19,Hypothèses!$B$4=20),
IF($D164="Pressio.",
IF(OR($E164=3,$E164=1,$E164=4),FF164,FE164),
IF($D164="Pénétro.",
IF(OR($E164=3,$E164=1,$E164=4),FF164,FE164))),IF($D164="Pressio.",
IF($E164=3,FF164,FE164),
IF($D164="Pénétro.",
IF($E164=4,FF164,FE164))))</f>
        <v>#N/A</v>
      </c>
      <c r="FH164" s="31">
        <v>0</v>
      </c>
      <c r="FI164" s="102" t="e">
        <f>IF(NDC!$H$10="Oui",(VLOOKUP($B$3,'Coeff EC7'!$T$39:$X$59,2,0)*FG164+VLOOKUP($B$3,'Coeff EC7'!$T$65:$X$85,2,0)*Model0.1T!FH164)/1.5,PI()*FE$12*$Q164*($B164-$B163)*0.15/10+FI163)</f>
        <v>#N/A</v>
      </c>
      <c r="FJ164" s="102" t="e">
        <f>(VLOOKUP($B$3,'Coeff EC7'!$T$39:$X$59,3,0)*FG164+VLOOKUP($B$3,'Coeff EC7'!$T$65:$X$85,3,0)*Model0.1T!FH164)/1.1</f>
        <v>#N/A</v>
      </c>
      <c r="FK164" s="102" t="e">
        <f t="shared" si="298"/>
        <v>#N/A</v>
      </c>
      <c r="FL164" s="102" t="e">
        <f t="shared" si="299"/>
        <v>#N/A</v>
      </c>
      <c r="FM164" s="414" t="e">
        <f>IF(AND(FI164&gt;NDC!$C$63,FJ164&gt;NDC!$C$65,FK164&gt;NDC!$D$73,FL164&gt;NDC!$D$74,$B164&gt;NDC!$H$22-0.1+MIN(3*FM$12,1.5)),0,1)</f>
        <v>#N/A</v>
      </c>
    </row>
    <row r="165" spans="1:169">
      <c r="A165" s="96">
        <f t="shared" si="265"/>
        <v>84.800000000000864</v>
      </c>
      <c r="B165" s="97">
        <v>15.2</v>
      </c>
      <c r="C165" s="81">
        <f>IF(B165&lt;=Hypothèses!$C$7,Hypothèses!$A$7,IF(B165&lt;=Hypothèses!$C$8,Hypothèses!$A$8,IF(B165&lt;=Hypothèses!$C$9,Hypothèses!$A$9,IF(B165&lt;=Hypothèses!$C$10,Hypothèses!$A$10,IF(B165&lt;=Hypothèses!$C$11,Hypothèses!$A$11,IF(B165&lt;=Hypothèses!$C$12,Hypothèses!$A$12,IF(B165&lt;=Hypothèses!$C$13,Hypothèses!$A$13,IF(B165&lt;=Hypothèses!$C$14,Hypothèses!$A$14,IF(B165&lt;=Hypothèses!$C$15,Hypothèses!$A$15,IF(B165&lt;=Hypothèses!$C$16,Hypothèses!$A$16,IF(B165&lt;=Hypothèses!$C$17,Hypothèses!$A$17,IF(B165&lt;=Hypothèses!$C$18,Hypothèses!$A$18,C164))))))))))))</f>
        <v>11</v>
      </c>
      <c r="D165" s="82" t="str">
        <f>IF(B165&lt;=Hypothèses!$C$7,Hypothèses!$R$7,IF(B165&lt;=Hypothèses!$C$8,Hypothèses!$R$8,IF(B165&lt;=Hypothèses!$C$9,Hypothèses!$R$9,IF(B165&lt;=Hypothèses!$C$10,Hypothèses!$R$10,IF(B165&lt;=Hypothèses!$C$11,Hypothèses!$R$11,IF(B165&lt;=Hypothèses!$C$12,Hypothèses!$R$12,IF(B165&lt;=Hypothèses!$C$13,Hypothèses!$R$13,IF(B165&lt;=Hypothèses!$C$14,Hypothèses!$R$14,IF(B165&lt;=Hypothèses!$C$15,Hypothèses!$R$15,IF(B165&lt;=Hypothèses!$C$16,Hypothèses!$R$16,IF(B165&lt;=Hypothèses!$C$17,Hypothèses!$R$17,IF(B165&lt;=Hypothèses!$C$18,Hypothèses!$R$18,D164))))))))))))</f>
        <v>Pressio.</v>
      </c>
      <c r="E165" s="82" t="e">
        <f>IF(B165&lt;=Hypothèses!$C$7,Hypothèses!$G$7,IF(B165&lt;=Hypothèses!$C$8,Hypothèses!$G$8,IF(B165&lt;=Hypothèses!$C$9,Hypothèses!$G$9,IF(B165&lt;=Hypothèses!$C$10,Hypothèses!$G$10,IF(B165&lt;=Hypothèses!$C$11,Hypothèses!$G$11,IF(B165&lt;=Hypothèses!$C$12,Hypothèses!$G$12,IF(B165&lt;=Hypothèses!$C$13,Hypothèses!$G$13,IF(B165&lt;=Hypothèses!$C$14,Hypothèses!$G$14,IF(B165&lt;=Hypothèses!$C$15,Hypothèses!$G$15,IF(B165&lt;=Hypothèses!$C$16,Hypothèses!$G$16,IF(B165&lt;=Hypothèses!$C$17,Hypothèses!$G$17,IF(B165&lt;=Hypothèses!$C$18,Hypothèses!$G$18,E164))))))))))))</f>
        <v>#N/A</v>
      </c>
      <c r="F165" s="82" t="str">
        <f>IF(B165&lt;=Hypothèses!$C$7,Hypothèses!$F$7,IF(B165&lt;=Hypothèses!$C$8,Hypothèses!$F$8,IF(B165&lt;=Hypothèses!$C$9,Hypothèses!$F$9,IF(B165&lt;=Hypothèses!$C$10,Hypothèses!$F$10,IF(B165&lt;=Hypothèses!$C$11,Hypothèses!$F$11,IF(B165&lt;=Hypothèses!$C$12,Hypothèses!$F$12,IF(B165&lt;=Hypothèses!$C$13,Hypothèses!$F$13,IF(B165&lt;=Hypothèses!$C$14,Hypothèses!$F$14,IF(B165&lt;=Hypothèses!$C$15,Hypothèses!$F$15,IF(B165&lt;=Hypothèses!$C$16,Hypothèses!$F$16,IF(B165&lt;=Hypothèses!$C$17,Hypothèses!$F$17,IF(B165&lt;=Hypothèses!$C$18,Hypothèses!$F$18,F164))))))))))))</f>
        <v/>
      </c>
      <c r="G165" s="91">
        <f t="array" ref="G165">INDEX('Coeff EC7'!$U$7:$X$27,
MATCH(Model0.1T!$B$3,'Coeff EC7'!$T$7:$T$27,0),
MATCH(Model0.1T!$D165&amp;Model0.1T!$B$4,
'Coeff EC7'!$U$6:$X$6&amp;
'Coeff EC7'!$U$5:$X$5,0))</f>
        <v>1.4</v>
      </c>
      <c r="H165" s="91">
        <f t="array" ref="H165">INDEX('Coeff EC7'!$Y$7:$AB$27,
MATCH(Model0.1T!$B$3,'Coeff EC7'!$T$7:$T$27,0),
MATCH(Model0.1T!$D165&amp;Model0.1T!$B$4,
'Coeff EC7'!$Y$6:$AB$6&amp;
'Coeff EC7'!$Y$5:$AB$5,0))</f>
        <v>1.7</v>
      </c>
      <c r="I165" s="83">
        <v>0</v>
      </c>
      <c r="J165" s="91" t="e">
        <f t="array" ref="J165">INDEX('Coeff EC7'!$D$33:$Q$33,1,MATCH(D165&amp;E165,'Coeff EC7'!$D$31:$Q$31&amp;'Coeff EC7'!$D$32:$Q$32,0))</f>
        <v>#N/A</v>
      </c>
      <c r="K165" s="91" t="e">
        <f t="array" ref="K165">INDEX('Coeff EC7'!$D$34:$Q$34,1,MATCH(D165&amp;E165,'Coeff EC7'!$D$31:$Q$31&amp;'Coeff EC7'!$D$32:$Q$32,0))</f>
        <v>#N/A</v>
      </c>
      <c r="L165" s="91" t="e">
        <f t="array" ref="L165">INDEX('Coeff EC7'!$D$35:$Q$35,1,MATCH(D165&amp;E165,'Coeff EC7'!$D$31:$Q$31&amp;'Coeff EC7'!$D$32:$Q$32,0))</f>
        <v>#N/A</v>
      </c>
      <c r="M165" s="98" t="e">
        <f t="shared" si="231"/>
        <v>#N/A</v>
      </c>
      <c r="N165" s="99" t="e">
        <f t="array" ref="N165">INDEX('Coeff EC7'!$D$7:$Q$27,MATCH($B$3,'Coeff EC7'!$C$7:$C$27,0),MATCH(D165&amp;E165,'Coeff EC7'!$D$5:$Q$5&amp;'Coeff EC7'!$D$6:$Q$6,0))</f>
        <v>#N/A</v>
      </c>
      <c r="O165" s="99" t="e">
        <f t="array" ref="O165">INDEX('Coeff EC7'!$D$41:$Q$61,MATCH($B$3,'Coeff EC7'!$C$41:$C$61,0),MATCH(D165&amp;E165,'Coeff EC7'!$D$39:$Q$39&amp;'Coeff EC7'!$D$40:$Q$40,0))</f>
        <v>#N/A</v>
      </c>
      <c r="P165" s="30" t="e">
        <f t="shared" si="266"/>
        <v>#N/A</v>
      </c>
      <c r="Q165" s="100" t="e">
        <f t="shared" si="233"/>
        <v>#N/A</v>
      </c>
      <c r="R165" s="86" t="b">
        <f t="shared" si="234"/>
        <v>0</v>
      </c>
      <c r="S165" s="86">
        <f t="shared" si="232"/>
        <v>0.5</v>
      </c>
      <c r="T165" s="86">
        <f t="shared" si="235"/>
        <v>0.5</v>
      </c>
      <c r="U165" s="30" t="e">
        <f t="shared" ca="1" si="267"/>
        <v>#DIV/0!</v>
      </c>
      <c r="V165" s="85" t="str">
        <f>IF(B165&lt;=Hypothèses!$V$7,Hypothèses!$W$7,IF(B165&lt;=Hypothèses!$V$8,Hypothèses!$W$8,IF(B165&lt;=Hypothèses!$V$9,Hypothèses!$W$9,IF(B165&lt;=Hypothèses!$V$10,Hypothèses!$W$10,IF(B165&lt;=Hypothèses!$V$11,Hypothèses!$W$11,IF(B165&lt;=Hypothèses!$V$12,Hypothèses!$W$12,IF(B165&lt;=Hypothèses!$V$13,Hypothèses!$W$13,IF(B165&lt;=Hypothèses!$V$14,Hypothèses!$W$14,IF(B165&lt;=Hypothèses!$V$15,Hypothèses!$W$15,IF(B165&lt;=Hypothèses!$V$16,Hypothèses!$W$16,IF(B165&lt;=Hypothèses!$V$17,Hypothèses!$W$17,IF(B165&lt;=Hypothèses!$V$18,Hypothèses!$W$18,""))))))))))))</f>
        <v/>
      </c>
      <c r="W165" s="87" t="e">
        <f t="shared" ca="1" si="316"/>
        <v>#DIV/0!</v>
      </c>
      <c r="X165" s="88" t="str">
        <f>IF(B165&lt;=Hypothèses!$V$7,Hypothèses!$X$7,IF(B165&lt;=Hypothèses!$V$8,Hypothèses!$X$8,IF(B165&lt;=Hypothèses!$V$9,Hypothèses!$X$9,IF(B165&lt;=Hypothèses!$V$10,Hypothèses!$X$10,IF(B165&lt;=Hypothèses!$V$11,Hypothèses!$X$11,IF(B165&lt;=Hypothèses!$V$12,Hypothèses!$X$12,IF(B165&lt;=Hypothèses!$V$13,Hypothèses!$X$13,IF(B165&lt;=Hypothèses!$V$14,Hypothèses!$X$14,IF(B165&lt;=Hypothèses!$V$15,Hypothèses!$X$15,IF(B165&lt;=Hypothèses!$V$16,Hypothèses!$X$16,IF(B165&lt;=Hypothèses!$U$17,Hypothèses!$W$17,IF(B165&lt;=Hypothèses!$U$18,Hypothèses!$W$18,""))))))))))))</f>
        <v/>
      </c>
      <c r="Y165" s="95" t="e">
        <f t="shared" ca="1" si="236"/>
        <v>#DIV/0!</v>
      </c>
      <c r="Z165" s="101">
        <f t="shared" si="237"/>
        <v>0</v>
      </c>
      <c r="AA165" s="91">
        <f t="shared" si="238"/>
        <v>0</v>
      </c>
      <c r="AB165" s="30" t="e">
        <f t="shared" si="300"/>
        <v>#N/A</v>
      </c>
      <c r="AC165" s="30" t="e">
        <f t="shared" si="301"/>
        <v>#N/A</v>
      </c>
      <c r="AD165" s="31" t="e">
        <f>IF(OR(Hypothèses!$B$4=17,Hypothèses!$B$4=18,Hypothèses!$B$4=19,Hypothèses!$B$4=20),
IF($D165="Pressio.",
IF(OR($E165=3,$E165=1,$E165=4),AC165,AB165),
IF($D165="Pénétro.",
IF(OR($E165=3,$E165=1,$E165=4),AC165,AB165))),IF($D165="Pressio.",
IF($E165=3,AC165,AB165),
IF($D165="Pénétro.",
IF($E165=4,AC165,AB165))))</f>
        <v>#N/A</v>
      </c>
      <c r="AE165" s="31">
        <v>0</v>
      </c>
      <c r="AF165" s="102" t="e">
        <f>IF(NDC!$H$10="Oui",(VLOOKUP($B$3,'Coeff EC7'!$T$39:$X$59,2,0)*AD165+VLOOKUP($B$3,'Coeff EC7'!$T$65:$X$85,2,0)*Model0.1T!AE165)/1.5,PI()*AB$12*$Q165*($B165-$B164)*0.15/10+AF164)</f>
        <v>#N/A</v>
      </c>
      <c r="AG165" s="102" t="e">
        <f>(VLOOKUP($B$3,'Coeff EC7'!$T$39:$X$59,3,0)*AD165+VLOOKUP($B$3,'Coeff EC7'!$T$65:$X$85,3,0)*Model0.1T!AE165)/1.1</f>
        <v>#N/A</v>
      </c>
      <c r="AH165" s="102" t="e">
        <f t="shared" si="268"/>
        <v>#N/A</v>
      </c>
      <c r="AI165" s="102" t="e">
        <f t="shared" si="269"/>
        <v>#N/A</v>
      </c>
      <c r="AJ165" s="414" t="e">
        <f>IF(AND(AF165&gt;NDC!$C$63,AG165&gt;NDC!$C$65,AH165&gt;NDC!$D$73,AI165&gt;NDC!$D$74,$B165&gt;NDC!$H$22-0.1+MIN(3*$AJ$12,1.5)),0,1)</f>
        <v>#N/A</v>
      </c>
      <c r="AK165" s="86" t="b">
        <f t="shared" si="239"/>
        <v>0</v>
      </c>
      <c r="AL165" s="86">
        <f t="shared" si="270"/>
        <v>0.5</v>
      </c>
      <c r="AM165" s="86">
        <f t="shared" si="240"/>
        <v>0.5</v>
      </c>
      <c r="AN165" s="30" t="e">
        <f t="shared" ca="1" si="271"/>
        <v>#DIV/0!</v>
      </c>
      <c r="AO165" s="85" t="e">
        <f ca="1">IF(U165&lt;=Hypothèses!$V$7,Hypothèses!$W$7,IF(U165&lt;=Hypothèses!$V$8,Hypothèses!$W$8,IF(U165&lt;=Hypothèses!$V$9,Hypothèses!$W$9,IF(U165&lt;=Hypothèses!$V$10,Hypothèses!$W$10,IF(U165&lt;=Hypothèses!$V$11,Hypothèses!$W$11,IF(U165&lt;=Hypothèses!$V$12,Hypothèses!$W$12,IF(U165&lt;=Hypothèses!$V$13,Hypothèses!$W$13,IF(U165&lt;=Hypothèses!$V$14,Hypothèses!$W$14,IF(U165&lt;=Hypothèses!$V$15,Hypothèses!$W$15,IF(U165&lt;=Hypothèses!$V$16,Hypothèses!$W$16,IF(U165&lt;=Hypothèses!$V$17,Hypothèses!$W$17,IF(U165&lt;=Hypothèses!$V$18,Hypothèses!$W$18,""))))))))))))</f>
        <v>#DIV/0!</v>
      </c>
      <c r="AP165" s="87" t="e">
        <f t="shared" ca="1" si="317"/>
        <v>#DIV/0!</v>
      </c>
      <c r="AQ165" s="88" t="e">
        <f ca="1">IF(U165&lt;=Hypothèses!$V$7,Hypothèses!$X$7,IF(U165&lt;=Hypothèses!$V$8,Hypothèses!$X$8,IF(U165&lt;=Hypothèses!$V$9,Hypothèses!$X$9,IF(U165&lt;=Hypothèses!$V$10,Hypothèses!$X$10,IF(U165&lt;=Hypothèses!$V$11,Hypothèses!$X$11,IF(U165&lt;=Hypothèses!$V$12,Hypothèses!$X$12,IF(U165&lt;=Hypothèses!$V$13,Hypothèses!$X$13,IF(U165&lt;=Hypothèses!$V$14,Hypothèses!$X$14,IF(U165&lt;=Hypothèses!$V$15,Hypothèses!$X$15,IF(U165&lt;=Hypothèses!$V$16,Hypothèses!$X$16,IF(U165&lt;=Hypothèses!$U$17,Hypothèses!$W$17,IF(U165&lt;=Hypothèses!$U$18,Hypothèses!$W$18,""))))))))))))</f>
        <v>#DIV/0!</v>
      </c>
      <c r="AR165" s="95" t="e">
        <f t="shared" ca="1" si="272"/>
        <v>#DIV/0!</v>
      </c>
      <c r="AS165" s="101">
        <f t="shared" si="324"/>
        <v>0</v>
      </c>
      <c r="AT165" s="91">
        <f t="shared" si="241"/>
        <v>0</v>
      </c>
      <c r="AU165" s="30" t="e">
        <f t="shared" si="302"/>
        <v>#N/A</v>
      </c>
      <c r="AV165" s="30" t="e">
        <f t="shared" si="303"/>
        <v>#N/A</v>
      </c>
      <c r="AW165" s="31" t="e">
        <f>IF(OR(Hypothèses!$B$4=17,Hypothèses!$B$4=18,Hypothèses!$B$4=19,Hypothèses!$B$4=20),
IF($D165="Pressio.",
IF(OR($E165=3,$E165=1,$E165=4),AV165,AU165),
IF($D165="Pénétro.",
IF(OR($E165=3,$E165=1,$E165=4),AV165,AU165))),IF($D165="Pressio.",
IF($E165=3,AV165,AU165),
IF($D165="Pénétro.",
IF($E165=4,AV165,AU165))))</f>
        <v>#N/A</v>
      </c>
      <c r="AX165" s="31">
        <v>0</v>
      </c>
      <c r="AY165" s="102" t="e">
        <f>IF(NDC!$H$10="Oui",(VLOOKUP($B$3,'Coeff EC7'!$T$39:$X$59,2,0)*AW165+VLOOKUP($B$3,'Coeff EC7'!$T$65:$X$85,2,0)*Model0.1T!AX165)/1.5,PI()*AU$12*$Q165*($B165-$B164)*0.15/10+AY164)</f>
        <v>#N/A</v>
      </c>
      <c r="AZ165" s="102" t="e">
        <f>(VLOOKUP($B$3,'Coeff EC7'!$T$39:$X$59,3,0)*AW165+VLOOKUP($B$3,'Coeff EC7'!$T$65:$X$85,3,0)*Model0.1T!AX165)/1.1</f>
        <v>#N/A</v>
      </c>
      <c r="BA165" s="102" t="e">
        <f t="shared" si="273"/>
        <v>#N/A</v>
      </c>
      <c r="BB165" s="102" t="e">
        <f t="shared" si="274"/>
        <v>#N/A</v>
      </c>
      <c r="BC165" s="414" t="e">
        <f>IF(AND(AY165&gt;NDC!$C$63,AZ165&gt;NDC!$C$65,BA165&gt;NDC!$D$73,BB165&gt;NDC!$D$74,$B165&gt;NDC!$H$22-0.1+MIN(3*BC$12,1.5)),0,1)</f>
        <v>#N/A</v>
      </c>
      <c r="BD165" s="86" t="b">
        <f t="shared" si="242"/>
        <v>0</v>
      </c>
      <c r="BE165" s="86">
        <f t="shared" si="275"/>
        <v>0.5</v>
      </c>
      <c r="BF165" s="86">
        <f t="shared" si="243"/>
        <v>0.5</v>
      </c>
      <c r="BG165" s="30" t="e">
        <f t="shared" ca="1" si="276"/>
        <v>#DIV/0!</v>
      </c>
      <c r="BH165" s="85" t="e">
        <f ca="1">IF(AN165&lt;=Hypothèses!$V$7,Hypothèses!$W$7,IF(AN165&lt;=Hypothèses!$V$8,Hypothèses!$W$8,IF(AN165&lt;=Hypothèses!$V$9,Hypothèses!$W$9,IF(AN165&lt;=Hypothèses!$V$10,Hypothèses!$W$10,IF(AN165&lt;=Hypothèses!$V$11,Hypothèses!$W$11,IF(AN165&lt;=Hypothèses!$V$12,Hypothèses!$W$12,IF(AN165&lt;=Hypothèses!$V$13,Hypothèses!$W$13,IF(AN165&lt;=Hypothèses!$V$14,Hypothèses!$W$14,IF(AN165&lt;=Hypothèses!$V$15,Hypothèses!$W$15,IF(AN165&lt;=Hypothèses!$V$16,Hypothèses!$W$16,IF(AN165&lt;=Hypothèses!$V$17,Hypothèses!$W$17,IF(AN165&lt;=Hypothèses!$V$18,Hypothèses!$W$18,""))))))))))))</f>
        <v>#DIV/0!</v>
      </c>
      <c r="BI165" s="87" t="e">
        <f t="shared" ca="1" si="318"/>
        <v>#DIV/0!</v>
      </c>
      <c r="BJ165" s="88" t="e">
        <f ca="1">IF(AN165&lt;=Hypothèses!$V$7,Hypothèses!$X$7,IF(AN165&lt;=Hypothèses!$V$8,Hypothèses!$X$8,IF(AN165&lt;=Hypothèses!$V$9,Hypothèses!$X$9,IF(AN165&lt;=Hypothèses!$V$10,Hypothèses!$X$10,IF(AN165&lt;=Hypothèses!$V$11,Hypothèses!$X$11,IF(AN165&lt;=Hypothèses!$V$12,Hypothèses!$X$12,IF(AN165&lt;=Hypothèses!$V$13,Hypothèses!$X$13,IF(AN165&lt;=Hypothèses!$V$14,Hypothèses!$X$14,IF(AN165&lt;=Hypothèses!$V$15,Hypothèses!$X$15,IF(AN165&lt;=Hypothèses!$V$16,Hypothèses!$X$16,IF(AN165&lt;=Hypothèses!$U$17,Hypothèses!$W$17,IF(AN165&lt;=Hypothèses!$U$18,Hypothèses!$W$18,""))))))))))))</f>
        <v>#DIV/0!</v>
      </c>
      <c r="BK165" s="95" t="e">
        <f t="shared" ca="1" si="277"/>
        <v>#DIV/0!</v>
      </c>
      <c r="BL165" s="101">
        <f t="shared" si="325"/>
        <v>0</v>
      </c>
      <c r="BM165" s="91">
        <f t="shared" si="244"/>
        <v>0</v>
      </c>
      <c r="BN165" s="30" t="e">
        <f t="shared" si="304"/>
        <v>#N/A</v>
      </c>
      <c r="BO165" s="30" t="e">
        <f t="shared" si="305"/>
        <v>#N/A</v>
      </c>
      <c r="BP165" s="31" t="e">
        <f>IF(OR(Hypothèses!$B$4=17,Hypothèses!$B$4=18,Hypothèses!$B$4=19,Hypothèses!$B$4=20),
IF($D165="Pressio.",
IF(OR($E165=3,$E165=1,$E165=4),BO165,BN165),
IF($D165="Pénétro.",
IF(OR($E165=3,$E165=1,$E165=4),BO165,BN165))),IF($D165="Pressio.",
IF($E165=3,BO165,BN165),
IF($D165="Pénétro.",
IF($E165=4,BO165,BN165))))</f>
        <v>#N/A</v>
      </c>
      <c r="BQ165" s="31">
        <v>0</v>
      </c>
      <c r="BR165" s="102" t="e">
        <f>IF(NDC!$H$10="Oui",(VLOOKUP($B$3,'Coeff EC7'!$T$39:$X$59,2,0)*BP165+VLOOKUP($B$3,'Coeff EC7'!$T$65:$X$85,2,0)*Model0.1T!BQ165)/1.5,PI()*BN$12*$Q165*($B165-$B164)*0.15/10+BR164)</f>
        <v>#N/A</v>
      </c>
      <c r="BS165" s="102" t="e">
        <f>(VLOOKUP($B$3,'Coeff EC7'!$T$39:$X$59,3,0)*BP165+VLOOKUP($B$3,'Coeff EC7'!$T$65:$X$85,3,0)*Model0.1T!BQ165)/1.1</f>
        <v>#N/A</v>
      </c>
      <c r="BT165" s="102" t="e">
        <f t="shared" si="278"/>
        <v>#N/A</v>
      </c>
      <c r="BU165" s="102" t="e">
        <f t="shared" si="279"/>
        <v>#N/A</v>
      </c>
      <c r="BV165" s="414" t="e">
        <f>IF(AND(BR165&gt;NDC!$C$63,BS165&gt;NDC!$C$65,BT165&gt;NDC!$D$73,BU165&gt;NDC!$D$74,$B165&gt;NDC!$H$22-0.1+MIN(3*BV$12,1.5)),0,1)</f>
        <v>#N/A</v>
      </c>
      <c r="BW165" s="86" t="b">
        <f t="shared" si="245"/>
        <v>0</v>
      </c>
      <c r="BX165" s="86">
        <f t="shared" si="246"/>
        <v>0.5</v>
      </c>
      <c r="BY165" s="86">
        <f t="shared" si="247"/>
        <v>0.5</v>
      </c>
      <c r="BZ165" s="30" t="e">
        <f t="shared" ca="1" si="280"/>
        <v>#DIV/0!</v>
      </c>
      <c r="CA165" s="85" t="e">
        <f ca="1">IF(BG165&lt;=Hypothèses!$V$7,Hypothèses!$W$7,IF(BG165&lt;=Hypothèses!$V$8,Hypothèses!$W$8,IF(BG165&lt;=Hypothèses!$V$9,Hypothèses!$W$9,IF(BG165&lt;=Hypothèses!$V$10,Hypothèses!$W$10,IF(BG165&lt;=Hypothèses!$V$11,Hypothèses!$W$11,IF(BG165&lt;=Hypothèses!$V$12,Hypothèses!$W$12,IF(BG165&lt;=Hypothèses!$V$13,Hypothèses!$W$13,IF(BG165&lt;=Hypothèses!$V$14,Hypothèses!$W$14,IF(BG165&lt;=Hypothèses!$V$15,Hypothèses!$W$15,IF(BG165&lt;=Hypothèses!$V$16,Hypothèses!$W$16,IF(BG165&lt;=Hypothèses!$V$17,Hypothèses!$W$17,IF(BG165&lt;=Hypothèses!$V$18,Hypothèses!$W$18,""))))))))))))</f>
        <v>#DIV/0!</v>
      </c>
      <c r="CB165" s="87" t="e">
        <f t="shared" ca="1" si="319"/>
        <v>#DIV/0!</v>
      </c>
      <c r="CC165" s="88" t="e">
        <f ca="1">IF(BG165&lt;=Hypothèses!$V$7,Hypothèses!$X$7,IF(BG165&lt;=Hypothèses!$V$8,Hypothèses!$X$8,IF(BG165&lt;=Hypothèses!$V$9,Hypothèses!$X$9,IF(BG165&lt;=Hypothèses!$V$10,Hypothèses!$X$10,IF(BG165&lt;=Hypothèses!$V$11,Hypothèses!$X$11,IF(BG165&lt;=Hypothèses!$V$12,Hypothèses!$X$12,IF(BG165&lt;=Hypothèses!$V$13,Hypothèses!$X$13,IF(BG165&lt;=Hypothèses!$V$14,Hypothèses!$X$14,IF(BG165&lt;=Hypothèses!$V$15,Hypothèses!$X$15,IF(BG165&lt;=Hypothèses!$V$16,Hypothèses!$X$16,IF(BG165&lt;=Hypothèses!$U$17,Hypothèses!$W$17,IF(BG165&lt;=Hypothèses!$U$18,Hypothèses!$W$18,""))))))))))))</f>
        <v>#DIV/0!</v>
      </c>
      <c r="CD165" s="95" t="e">
        <f t="shared" ca="1" si="281"/>
        <v>#DIV/0!</v>
      </c>
      <c r="CE165" s="101">
        <f t="shared" si="326"/>
        <v>0</v>
      </c>
      <c r="CF165" s="91">
        <f t="shared" si="248"/>
        <v>0</v>
      </c>
      <c r="CG165" s="30" t="e">
        <f t="shared" si="306"/>
        <v>#N/A</v>
      </c>
      <c r="CH165" s="30" t="e">
        <f t="shared" si="307"/>
        <v>#N/A</v>
      </c>
      <c r="CI165" s="31" t="e">
        <f>IF(OR(Hypothèses!$B$4=17,Hypothèses!$B$4=18,Hypothèses!$B$4=19,Hypothèses!$B$4=20),
IF($D165="Pressio.",
IF(OR($E165=3,$E165=1,$E165=4),CH165,CG165),
IF($D165="Pénétro.",
IF(OR($E165=3,$E165=1,$E165=4),CH165,CG165))),IF($D165="Pressio.",
IF($E165=3,CH165,CG165),
IF($D165="Pénétro.",
IF($E165=4,CH165,CG165))))</f>
        <v>#N/A</v>
      </c>
      <c r="CJ165" s="31">
        <v>0</v>
      </c>
      <c r="CK165" s="102" t="e">
        <f>IF(NDC!$H$10="Oui",(VLOOKUP($B$3,'Coeff EC7'!$T$39:$X$59,2,0)*CI165+VLOOKUP($B$3,'Coeff EC7'!$T$65:$X$85,2,0)*Model0.1T!CJ165)/1.5,PI()*CG$12*$Q165*($B165-$B164)*0.15/10+CK164)</f>
        <v>#N/A</v>
      </c>
      <c r="CL165" s="102" t="e">
        <f>(VLOOKUP($B$3,'Coeff EC7'!$T$39:$X$59,3,0)*CI165+VLOOKUP($B$3,'Coeff EC7'!$T$65:$X$85,3,0)*Model0.1T!CJ165)/1.1</f>
        <v>#N/A</v>
      </c>
      <c r="CM165" s="102" t="e">
        <f t="shared" si="282"/>
        <v>#N/A</v>
      </c>
      <c r="CN165" s="102" t="e">
        <f t="shared" si="283"/>
        <v>#N/A</v>
      </c>
      <c r="CO165" s="414" t="e">
        <f>IF(AND(CK165&gt;NDC!$C$63,CL165&gt;NDC!$C$65,CM165&gt;NDC!$D$73,CN165&gt;NDC!$D$74,$B165&gt;NDC!$H$22-0.1+MIN(3*CO$12,1.5)),0,1)</f>
        <v>#N/A</v>
      </c>
      <c r="CP165" s="86" t="b">
        <f t="shared" si="249"/>
        <v>0</v>
      </c>
      <c r="CQ165" s="86">
        <f t="shared" si="250"/>
        <v>0.5</v>
      </c>
      <c r="CR165" s="86">
        <f t="shared" si="251"/>
        <v>0.5</v>
      </c>
      <c r="CS165" s="30" t="e">
        <f t="shared" ca="1" si="284"/>
        <v>#DIV/0!</v>
      </c>
      <c r="CT165" s="85" t="e">
        <f ca="1">IF(BZ165&lt;=Hypothèses!$V$7,Hypothèses!$W$7,IF(BZ165&lt;=Hypothèses!$V$8,Hypothèses!$W$8,IF(BZ165&lt;=Hypothèses!$V$9,Hypothèses!$W$9,IF(BZ165&lt;=Hypothèses!$V$10,Hypothèses!$W$10,IF(BZ165&lt;=Hypothèses!$V$11,Hypothèses!$W$11,IF(BZ165&lt;=Hypothèses!$V$12,Hypothèses!$W$12,IF(BZ165&lt;=Hypothèses!$V$13,Hypothèses!$W$13,IF(BZ165&lt;=Hypothèses!$V$14,Hypothèses!$W$14,IF(BZ165&lt;=Hypothèses!$V$15,Hypothèses!$W$15,IF(BZ165&lt;=Hypothèses!$V$16,Hypothèses!$W$16,IF(BZ165&lt;=Hypothèses!$V$17,Hypothèses!$W$17,IF(BZ165&lt;=Hypothèses!$V$18,Hypothèses!$W$18,""))))))))))))</f>
        <v>#DIV/0!</v>
      </c>
      <c r="CU165" s="87" t="e">
        <f t="shared" ca="1" si="320"/>
        <v>#DIV/0!</v>
      </c>
      <c r="CV165" s="88" t="e">
        <f ca="1">IF(BZ165&lt;=Hypothèses!$V$7,Hypothèses!$X$7,IF(BZ165&lt;=Hypothèses!$V$8,Hypothèses!$X$8,IF(BZ165&lt;=Hypothèses!$V$9,Hypothèses!$X$9,IF(BZ165&lt;=Hypothèses!$V$10,Hypothèses!$X$10,IF(BZ165&lt;=Hypothèses!$V$11,Hypothèses!$X$11,IF(BZ165&lt;=Hypothèses!$V$12,Hypothèses!$X$12,IF(BZ165&lt;=Hypothèses!$V$13,Hypothèses!$X$13,IF(BZ165&lt;=Hypothèses!$V$14,Hypothèses!$X$14,IF(BZ165&lt;=Hypothèses!$V$15,Hypothèses!$X$15,IF(BZ165&lt;=Hypothèses!$V$16,Hypothèses!$X$16,IF(BZ165&lt;=Hypothèses!$U$17,Hypothèses!$W$17,IF(BZ165&lt;=Hypothèses!$U$18,Hypothèses!$W$18,""))))))))))))</f>
        <v>#DIV/0!</v>
      </c>
      <c r="CW165" s="95" t="e">
        <f t="shared" ca="1" si="285"/>
        <v>#DIV/0!</v>
      </c>
      <c r="CX165" s="101">
        <f t="shared" si="327"/>
        <v>0</v>
      </c>
      <c r="CY165" s="91">
        <f t="shared" si="252"/>
        <v>0</v>
      </c>
      <c r="CZ165" s="30" t="e">
        <f t="shared" si="308"/>
        <v>#N/A</v>
      </c>
      <c r="DA165" s="30" t="e">
        <f t="shared" si="309"/>
        <v>#N/A</v>
      </c>
      <c r="DB165" s="31" t="e">
        <f>IF(OR(Hypothèses!$B$4=17,Hypothèses!$B$4=18,Hypothèses!$B$4=19,Hypothèses!$B$4=20),
IF($D165="Pressio.",
IF(OR($E165=3,$E165=1,$E165=4),DA165,CZ165),
IF($D165="Pénétro.",
IF(OR($E165=3,$E165=1,$E165=4),DA165,CZ165))),IF($D165="Pressio.",
IF($E165=3,DA165,CZ165),
IF($D165="Pénétro.",
IF($E165=4,DA165,CZ165))))</f>
        <v>#N/A</v>
      </c>
      <c r="DC165" s="31">
        <v>0</v>
      </c>
      <c r="DD165" s="102" t="e">
        <f>IF(NDC!$H$10="Oui",(VLOOKUP($B$3,'Coeff EC7'!$T$39:$X$59,2,0)*DB165+VLOOKUP($B$3,'Coeff EC7'!$T$65:$X$85,2,0)*Model0.1T!DC165)/1.5,PI()*CZ$12*$Q165*($B165-$B164)*0.15/10+DD164)</f>
        <v>#N/A</v>
      </c>
      <c r="DE165" s="102" t="e">
        <f>(VLOOKUP($B$3,'Coeff EC7'!$T$39:$X$59,3,0)*DB165+VLOOKUP($B$3,'Coeff EC7'!$T$65:$X$85,3,0)*Model0.1T!DC165)/1.1</f>
        <v>#N/A</v>
      </c>
      <c r="DF165" s="102" t="e">
        <f t="shared" si="286"/>
        <v>#N/A</v>
      </c>
      <c r="DG165" s="102" t="e">
        <f t="shared" si="287"/>
        <v>#N/A</v>
      </c>
      <c r="DH165" s="414" t="e">
        <f>IF(AND(DD165&gt;NDC!$C$63,DE165&gt;NDC!$C$65,DF165&gt;NDC!$D$73,DG165&gt;NDC!$D$74,$B165&gt;NDC!$H$22-0.1+MIN(3*DH$12,1.5)),0,1)</f>
        <v>#N/A</v>
      </c>
      <c r="DI165" s="86" t="b">
        <f t="shared" si="253"/>
        <v>0</v>
      </c>
      <c r="DJ165" s="86">
        <f t="shared" si="254"/>
        <v>0.5</v>
      </c>
      <c r="DK165" s="86">
        <f t="shared" si="255"/>
        <v>0.5</v>
      </c>
      <c r="DL165" s="30" t="e">
        <f t="shared" ca="1" si="288"/>
        <v>#DIV/0!</v>
      </c>
      <c r="DM165" s="85" t="e">
        <f ca="1">IF(CS165&lt;=Hypothèses!$V$7,Hypothèses!$W$7,IF(CS165&lt;=Hypothèses!$V$8,Hypothèses!$W$8,IF(CS165&lt;=Hypothèses!$V$9,Hypothèses!$W$9,IF(CS165&lt;=Hypothèses!$V$10,Hypothèses!$W$10,IF(CS165&lt;=Hypothèses!$V$11,Hypothèses!$W$11,IF(CS165&lt;=Hypothèses!$V$12,Hypothèses!$W$12,IF(CS165&lt;=Hypothèses!$V$13,Hypothèses!$W$13,IF(CS165&lt;=Hypothèses!$V$14,Hypothèses!$W$14,IF(CS165&lt;=Hypothèses!$V$15,Hypothèses!$W$15,IF(CS165&lt;=Hypothèses!$V$16,Hypothèses!$W$16,IF(CS165&lt;=Hypothèses!$V$17,Hypothèses!$W$17,IF(CS165&lt;=Hypothèses!$V$18,Hypothèses!$W$18,""))))))))))))</f>
        <v>#DIV/0!</v>
      </c>
      <c r="DN165" s="87" t="e">
        <f t="shared" ca="1" si="321"/>
        <v>#DIV/0!</v>
      </c>
      <c r="DO165" s="88" t="e">
        <f ca="1">IF(CS165&lt;=Hypothèses!$V$7,Hypothèses!$X$7,IF(CS165&lt;=Hypothèses!$V$8,Hypothèses!$X$8,IF(CS165&lt;=Hypothèses!$V$9,Hypothèses!$X$9,IF(CS165&lt;=Hypothèses!$V$10,Hypothèses!$X$10,IF(CS165&lt;=Hypothèses!$V$11,Hypothèses!$X$11,IF(CS165&lt;=Hypothèses!$V$12,Hypothèses!$X$12,IF(CS165&lt;=Hypothèses!$V$13,Hypothèses!$X$13,IF(CS165&lt;=Hypothèses!$V$14,Hypothèses!$X$14,IF(CS165&lt;=Hypothèses!$V$15,Hypothèses!$X$15,IF(CS165&lt;=Hypothèses!$V$16,Hypothèses!$X$16,IF(CS165&lt;=Hypothèses!$U$17,Hypothèses!$W$17,IF(CS165&lt;=Hypothèses!$U$18,Hypothèses!$W$18,""))))))))))))</f>
        <v>#DIV/0!</v>
      </c>
      <c r="DP165" s="95" t="e">
        <f t="shared" ca="1" si="289"/>
        <v>#DIV/0!</v>
      </c>
      <c r="DQ165" s="101">
        <f t="shared" si="328"/>
        <v>0</v>
      </c>
      <c r="DR165" s="91">
        <f t="shared" si="256"/>
        <v>0</v>
      </c>
      <c r="DS165" s="30" t="e">
        <f t="shared" si="310"/>
        <v>#N/A</v>
      </c>
      <c r="DT165" s="30" t="e">
        <f t="shared" si="311"/>
        <v>#N/A</v>
      </c>
      <c r="DU165" s="31" t="e">
        <f>IF(OR(Hypothèses!$B$4=17,Hypothèses!$B$4=18,Hypothèses!$B$4=19,Hypothèses!$B$4=20),
IF($D165="Pressio.",
IF(OR($E165=3,$E165=1,$E165=4),DT165,DS165),
IF($D165="Pénétro.",
IF(OR($E165=3,$E165=1,$E165=4),DT165,DS165))),IF($D165="Pressio.",
IF($E165=3,DT165,DS165),
IF($D165="Pénétro.",
IF($E165=4,DT165,DS165))))</f>
        <v>#N/A</v>
      </c>
      <c r="DV165" s="31">
        <v>0</v>
      </c>
      <c r="DW165" s="102" t="e">
        <f>IF(NDC!$H$10="Oui",(VLOOKUP($B$3,'Coeff EC7'!$T$39:$X$59,2,0)*DU165+VLOOKUP($B$3,'Coeff EC7'!$T$65:$X$85,2,0)*Model0.1T!DV165)/1.5,PI()*DS$12*$Q165*($B165-$B164)*0.15/10+DW164)</f>
        <v>#N/A</v>
      </c>
      <c r="DX165" s="102" t="e">
        <f>(VLOOKUP($B$3,'Coeff EC7'!$T$39:$X$59,3,0)*DU165+VLOOKUP($B$3,'Coeff EC7'!$T$65:$X$85,3,0)*Model0.1T!DV165)/1.1</f>
        <v>#N/A</v>
      </c>
      <c r="DY165" s="102" t="e">
        <f t="shared" si="290"/>
        <v>#N/A</v>
      </c>
      <c r="DZ165" s="102" t="e">
        <f t="shared" si="291"/>
        <v>#N/A</v>
      </c>
      <c r="EA165" s="414" t="e">
        <f>IF(AND(DW165&gt;NDC!$C$63,DX165&gt;NDC!$C$65,DY165&gt;NDC!$D$73,DZ165&gt;NDC!$D$74,$B165&gt;NDC!$H$22-0.1+MIN(3*EA$12,1.5)),0,1)</f>
        <v>#N/A</v>
      </c>
      <c r="EB165" s="86" t="b">
        <f t="shared" si="257"/>
        <v>0</v>
      </c>
      <c r="EC165" s="418">
        <f t="shared" si="258"/>
        <v>0.51</v>
      </c>
      <c r="ED165" s="86">
        <f t="shared" si="259"/>
        <v>0.51</v>
      </c>
      <c r="EE165" s="30" t="e">
        <f t="shared" ca="1" si="292"/>
        <v>#DIV/0!</v>
      </c>
      <c r="EF165" s="85" t="e">
        <f ca="1">IF(DL165&lt;=Hypothèses!$V$7,Hypothèses!$W$7,IF(DL165&lt;=Hypothèses!$V$8,Hypothèses!$W$8,IF(DL165&lt;=Hypothèses!$V$9,Hypothèses!$W$9,IF(DL165&lt;=Hypothèses!$V$10,Hypothèses!$W$10,IF(DL165&lt;=Hypothèses!$V$11,Hypothèses!$W$11,IF(DL165&lt;=Hypothèses!$V$12,Hypothèses!$W$12,IF(DL165&lt;=Hypothèses!$V$13,Hypothèses!$W$13,IF(DL165&lt;=Hypothèses!$V$14,Hypothèses!$W$14,IF(DL165&lt;=Hypothèses!$V$15,Hypothèses!$W$15,IF(DL165&lt;=Hypothèses!$V$16,Hypothèses!$W$16,IF(DL165&lt;=Hypothèses!$V$17,Hypothèses!$W$17,IF(DL165&lt;=Hypothèses!$V$18,Hypothèses!$W$18,""))))))))))))</f>
        <v>#DIV/0!</v>
      </c>
      <c r="EG165" s="87" t="e">
        <f t="shared" ca="1" si="322"/>
        <v>#DIV/0!</v>
      </c>
      <c r="EH165" s="88" t="e">
        <f ca="1">IF(DL165&lt;=Hypothèses!$V$7,Hypothèses!$X$7,IF(DL165&lt;=Hypothèses!$V$8,Hypothèses!$X$8,IF(DL165&lt;=Hypothèses!$V$9,Hypothèses!$X$9,IF(DL165&lt;=Hypothèses!$V$10,Hypothèses!$X$10,IF(DL165&lt;=Hypothèses!$V$11,Hypothèses!$X$11,IF(DL165&lt;=Hypothèses!$V$12,Hypothèses!$X$12,IF(DL165&lt;=Hypothèses!$V$13,Hypothèses!$X$13,IF(DL165&lt;=Hypothèses!$V$14,Hypothèses!$X$14,IF(DL165&lt;=Hypothèses!$V$15,Hypothèses!$X$15,IF(DL165&lt;=Hypothèses!$V$16,Hypothèses!$X$16,IF(DL165&lt;=Hypothèses!$U$17,Hypothèses!$W$17,IF(DL165&lt;=Hypothèses!$U$18,Hypothèses!$W$18,""))))))))))))</f>
        <v>#DIV/0!</v>
      </c>
      <c r="EI165" s="95" t="e">
        <f t="shared" ca="1" si="293"/>
        <v>#DIV/0!</v>
      </c>
      <c r="EJ165" s="101">
        <f t="shared" si="329"/>
        <v>0</v>
      </c>
      <c r="EK165" s="91">
        <f t="shared" si="260"/>
        <v>0</v>
      </c>
      <c r="EL165" s="30" t="e">
        <f t="shared" si="312"/>
        <v>#N/A</v>
      </c>
      <c r="EM165" s="30" t="e">
        <f t="shared" si="313"/>
        <v>#N/A</v>
      </c>
      <c r="EN165" s="31" t="e">
        <f>IF(OR(Hypothèses!$B$4=17,Hypothèses!$B$4=18,Hypothèses!$B$4=19,Hypothèses!$B$4=20),
IF($D165="Pressio.",
IF(OR($E165=3,$E165=1,$E165=4),EM165,EL165),
IF($D165="Pénétro.",
IF(OR($E165=3,$E165=1,$E165=4),EM165,EL165))),IF($D165="Pressio.",
IF($E165=3,EM165,EL165),
IF($D165="Pénétro.",
IF($E165=4,EM165,EL165))))</f>
        <v>#N/A</v>
      </c>
      <c r="EO165" s="31">
        <v>0</v>
      </c>
      <c r="EP165" s="102" t="e">
        <f>IF(NDC!$H$10="Oui",(VLOOKUP($B$3,'Coeff EC7'!$T$39:$X$59,2,0)*EN165+VLOOKUP($B$3,'Coeff EC7'!$T$65:$X$85,2,0)*Model0.1T!EO165)/1.5,PI()*EL$12*$Q165*($B165-$B164)*0.15/10+EP164)</f>
        <v>#N/A</v>
      </c>
      <c r="EQ165" s="102" t="e">
        <f>(VLOOKUP($B$3,'Coeff EC7'!$T$39:$X$59,3,0)*EN165+VLOOKUP($B$3,'Coeff EC7'!$T$65:$X$85,3,0)*Model0.1T!EO165)/1.1</f>
        <v>#N/A</v>
      </c>
      <c r="ER165" s="102" t="e">
        <f t="shared" si="294"/>
        <v>#N/A</v>
      </c>
      <c r="ES165" s="102" t="e">
        <f t="shared" si="295"/>
        <v>#N/A</v>
      </c>
      <c r="ET165" s="414" t="e">
        <f>IF(AND(EP165&gt;NDC!$C$63,EQ165&gt;NDC!$C$65,ER165&gt;NDC!$D$73,ES165&gt;NDC!$D$74,$B165&gt;NDC!$H$22-0.1+MIN(3*ET$12,1.5)),0,1)</f>
        <v>#N/A</v>
      </c>
      <c r="EU165" s="86" t="b">
        <f t="shared" si="261"/>
        <v>0</v>
      </c>
      <c r="EV165" s="86">
        <f t="shared" si="262"/>
        <v>0.61</v>
      </c>
      <c r="EW165" s="86">
        <f t="shared" si="263"/>
        <v>0.61</v>
      </c>
      <c r="EX165" s="30" t="e">
        <f t="shared" ca="1" si="296"/>
        <v>#DIV/0!</v>
      </c>
      <c r="EY165" s="85" t="e">
        <f ca="1">IF(EE165&lt;=Hypothèses!$V$7,Hypothèses!$W$7,IF(EE165&lt;=Hypothèses!$V$8,Hypothèses!$W$8,IF(EE165&lt;=Hypothèses!$V$9,Hypothèses!$W$9,IF(EE165&lt;=Hypothèses!$V$10,Hypothèses!$W$10,IF(EE165&lt;=Hypothèses!$V$11,Hypothèses!$W$11,IF(EE165&lt;=Hypothèses!$V$12,Hypothèses!$W$12,IF(EE165&lt;=Hypothèses!$V$13,Hypothèses!$W$13,IF(EE165&lt;=Hypothèses!$V$14,Hypothèses!$W$14,IF(EE165&lt;=Hypothèses!$V$15,Hypothèses!$W$15,IF(EE165&lt;=Hypothèses!$V$16,Hypothèses!$W$16,IF(EE165&lt;=Hypothèses!$V$17,Hypothèses!$W$17,IF(EE165&lt;=Hypothèses!$V$18,Hypothèses!$W$18,""))))))))))))</f>
        <v>#DIV/0!</v>
      </c>
      <c r="EZ165" s="87" t="e">
        <f t="shared" ca="1" si="323"/>
        <v>#DIV/0!</v>
      </c>
      <c r="FA165" s="88" t="e">
        <f ca="1">IF(EE165&lt;=Hypothèses!$V$7,Hypothèses!$X$7,IF(EE165&lt;=Hypothèses!$V$8,Hypothèses!$X$8,IF(EE165&lt;=Hypothèses!$V$9,Hypothèses!$X$9,IF(EE165&lt;=Hypothèses!$V$10,Hypothèses!$X$10,IF(EE165&lt;=Hypothèses!$V$11,Hypothèses!$X$11,IF(EE165&lt;=Hypothèses!$V$12,Hypothèses!$X$12,IF(EE165&lt;=Hypothèses!$V$13,Hypothèses!$X$13,IF(EE165&lt;=Hypothèses!$V$14,Hypothèses!$X$14,IF(EE165&lt;=Hypothèses!$V$15,Hypothèses!$X$15,IF(EE165&lt;=Hypothèses!$V$16,Hypothèses!$X$16,IF(EE165&lt;=Hypothèses!$U$17,Hypothèses!$W$17,IF(EE165&lt;=Hypothèses!$U$18,Hypothèses!$W$18,""))))))))))))</f>
        <v>#DIV/0!</v>
      </c>
      <c r="FB165" s="95" t="e">
        <f t="shared" ca="1" si="297"/>
        <v>#DIV/0!</v>
      </c>
      <c r="FC165" s="101">
        <f t="shared" si="330"/>
        <v>0</v>
      </c>
      <c r="FD165" s="91">
        <f t="shared" si="264"/>
        <v>0</v>
      </c>
      <c r="FE165" s="30" t="e">
        <f t="shared" si="314"/>
        <v>#N/A</v>
      </c>
      <c r="FF165" s="30" t="e">
        <f t="shared" si="315"/>
        <v>#N/A</v>
      </c>
      <c r="FG165" s="31" t="e">
        <f>IF(OR(Hypothèses!$B$4=17,Hypothèses!$B$4=18,Hypothèses!$B$4=19,Hypothèses!$B$4=20),
IF($D165="Pressio.",
IF(OR($E165=3,$E165=1,$E165=4),FF165,FE165),
IF($D165="Pénétro.",
IF(OR($E165=3,$E165=1,$E165=4),FF165,FE165))),IF($D165="Pressio.",
IF($E165=3,FF165,FE165),
IF($D165="Pénétro.",
IF($E165=4,FF165,FE165))))</f>
        <v>#N/A</v>
      </c>
      <c r="FH165" s="31">
        <v>0</v>
      </c>
      <c r="FI165" s="102" t="e">
        <f>IF(NDC!$H$10="Oui",(VLOOKUP($B$3,'Coeff EC7'!$T$39:$X$59,2,0)*FG165+VLOOKUP($B$3,'Coeff EC7'!$T$65:$X$85,2,0)*Model0.1T!FH165)/1.5,PI()*FE$12*$Q165*($B165-$B164)*0.15/10+FI164)</f>
        <v>#N/A</v>
      </c>
      <c r="FJ165" s="102" t="e">
        <f>(VLOOKUP($B$3,'Coeff EC7'!$T$39:$X$59,3,0)*FG165+VLOOKUP($B$3,'Coeff EC7'!$T$65:$X$85,3,0)*Model0.1T!FH165)/1.1</f>
        <v>#N/A</v>
      </c>
      <c r="FK165" s="102" t="e">
        <f t="shared" si="298"/>
        <v>#N/A</v>
      </c>
      <c r="FL165" s="102" t="e">
        <f t="shared" si="299"/>
        <v>#N/A</v>
      </c>
      <c r="FM165" s="414" t="e">
        <f>IF(AND(FI165&gt;NDC!$C$63,FJ165&gt;NDC!$C$65,FK165&gt;NDC!$D$73,FL165&gt;NDC!$D$74,$B165&gt;NDC!$H$22-0.1+MIN(3*FM$12,1.5)),0,1)</f>
        <v>#N/A</v>
      </c>
    </row>
    <row r="166" spans="1:169">
      <c r="A166" s="96">
        <f t="shared" si="265"/>
        <v>84.70000000000087</v>
      </c>
      <c r="B166" s="97">
        <v>15.3</v>
      </c>
      <c r="C166" s="81">
        <f>IF(B166&lt;=Hypothèses!$C$7,Hypothèses!$A$7,IF(B166&lt;=Hypothèses!$C$8,Hypothèses!$A$8,IF(B166&lt;=Hypothèses!$C$9,Hypothèses!$A$9,IF(B166&lt;=Hypothèses!$C$10,Hypothèses!$A$10,IF(B166&lt;=Hypothèses!$C$11,Hypothèses!$A$11,IF(B166&lt;=Hypothèses!$C$12,Hypothèses!$A$12,IF(B166&lt;=Hypothèses!$C$13,Hypothèses!$A$13,IF(B166&lt;=Hypothèses!$C$14,Hypothèses!$A$14,IF(B166&lt;=Hypothèses!$C$15,Hypothèses!$A$15,IF(B166&lt;=Hypothèses!$C$16,Hypothèses!$A$16,IF(B166&lt;=Hypothèses!$C$17,Hypothèses!$A$17,IF(B166&lt;=Hypothèses!$C$18,Hypothèses!$A$18,C165))))))))))))</f>
        <v>11</v>
      </c>
      <c r="D166" s="82" t="str">
        <f>IF(B166&lt;=Hypothèses!$C$7,Hypothèses!$R$7,IF(B166&lt;=Hypothèses!$C$8,Hypothèses!$R$8,IF(B166&lt;=Hypothèses!$C$9,Hypothèses!$R$9,IF(B166&lt;=Hypothèses!$C$10,Hypothèses!$R$10,IF(B166&lt;=Hypothèses!$C$11,Hypothèses!$R$11,IF(B166&lt;=Hypothèses!$C$12,Hypothèses!$R$12,IF(B166&lt;=Hypothèses!$C$13,Hypothèses!$R$13,IF(B166&lt;=Hypothèses!$C$14,Hypothèses!$R$14,IF(B166&lt;=Hypothèses!$C$15,Hypothèses!$R$15,IF(B166&lt;=Hypothèses!$C$16,Hypothèses!$R$16,IF(B166&lt;=Hypothèses!$C$17,Hypothèses!$R$17,IF(B166&lt;=Hypothèses!$C$18,Hypothèses!$R$18,D165))))))))))))</f>
        <v>Pressio.</v>
      </c>
      <c r="E166" s="82" t="e">
        <f>IF(B166&lt;=Hypothèses!$C$7,Hypothèses!$G$7,IF(B166&lt;=Hypothèses!$C$8,Hypothèses!$G$8,IF(B166&lt;=Hypothèses!$C$9,Hypothèses!$G$9,IF(B166&lt;=Hypothèses!$C$10,Hypothèses!$G$10,IF(B166&lt;=Hypothèses!$C$11,Hypothèses!$G$11,IF(B166&lt;=Hypothèses!$C$12,Hypothèses!$G$12,IF(B166&lt;=Hypothèses!$C$13,Hypothèses!$G$13,IF(B166&lt;=Hypothèses!$C$14,Hypothèses!$G$14,IF(B166&lt;=Hypothèses!$C$15,Hypothèses!$G$15,IF(B166&lt;=Hypothèses!$C$16,Hypothèses!$G$16,IF(B166&lt;=Hypothèses!$C$17,Hypothèses!$G$17,IF(B166&lt;=Hypothèses!$C$18,Hypothèses!$G$18,E165))))))))))))</f>
        <v>#N/A</v>
      </c>
      <c r="F166" s="82" t="str">
        <f>IF(B166&lt;=Hypothèses!$C$7,Hypothèses!$F$7,IF(B166&lt;=Hypothèses!$C$8,Hypothèses!$F$8,IF(B166&lt;=Hypothèses!$C$9,Hypothèses!$F$9,IF(B166&lt;=Hypothèses!$C$10,Hypothèses!$F$10,IF(B166&lt;=Hypothèses!$C$11,Hypothèses!$F$11,IF(B166&lt;=Hypothèses!$C$12,Hypothèses!$F$12,IF(B166&lt;=Hypothèses!$C$13,Hypothèses!$F$13,IF(B166&lt;=Hypothèses!$C$14,Hypothèses!$F$14,IF(B166&lt;=Hypothèses!$C$15,Hypothèses!$F$15,IF(B166&lt;=Hypothèses!$C$16,Hypothèses!$F$16,IF(B166&lt;=Hypothèses!$C$17,Hypothèses!$F$17,IF(B166&lt;=Hypothèses!$C$18,Hypothèses!$F$18,F165))))))))))))</f>
        <v/>
      </c>
      <c r="G166" s="91">
        <f t="array" ref="G166">INDEX('Coeff EC7'!$U$7:$X$27,
MATCH(Model0.1T!$B$3,'Coeff EC7'!$T$7:$T$27,0),
MATCH(Model0.1T!$D166&amp;Model0.1T!$B$4,
'Coeff EC7'!$U$6:$X$6&amp;
'Coeff EC7'!$U$5:$X$5,0))</f>
        <v>1.4</v>
      </c>
      <c r="H166" s="91">
        <f t="array" ref="H166">INDEX('Coeff EC7'!$Y$7:$AB$27,
MATCH(Model0.1T!$B$3,'Coeff EC7'!$T$7:$T$27,0),
MATCH(Model0.1T!$D166&amp;Model0.1T!$B$4,
'Coeff EC7'!$Y$6:$AB$6&amp;
'Coeff EC7'!$Y$5:$AB$5,0))</f>
        <v>1.7</v>
      </c>
      <c r="I166" s="83">
        <v>0</v>
      </c>
      <c r="J166" s="91" t="e">
        <f t="array" ref="J166">INDEX('Coeff EC7'!$D$33:$Q$33,1,MATCH(D166&amp;E166,'Coeff EC7'!$D$31:$Q$31&amp;'Coeff EC7'!$D$32:$Q$32,0))</f>
        <v>#N/A</v>
      </c>
      <c r="K166" s="91" t="e">
        <f t="array" ref="K166">INDEX('Coeff EC7'!$D$34:$Q$34,1,MATCH(D166&amp;E166,'Coeff EC7'!$D$31:$Q$31&amp;'Coeff EC7'!$D$32:$Q$32,0))</f>
        <v>#N/A</v>
      </c>
      <c r="L166" s="91" t="e">
        <f t="array" ref="L166">INDEX('Coeff EC7'!$D$35:$Q$35,1,MATCH(D166&amp;E166,'Coeff EC7'!$D$31:$Q$31&amp;'Coeff EC7'!$D$32:$Q$32,0))</f>
        <v>#N/A</v>
      </c>
      <c r="M166" s="98" t="e">
        <f t="shared" si="231"/>
        <v>#N/A</v>
      </c>
      <c r="N166" s="99" t="e">
        <f t="array" ref="N166">INDEX('Coeff EC7'!$D$7:$Q$27,MATCH($B$3,'Coeff EC7'!$C$7:$C$27,0),MATCH(D166&amp;E166,'Coeff EC7'!$D$5:$Q$5&amp;'Coeff EC7'!$D$6:$Q$6,0))</f>
        <v>#N/A</v>
      </c>
      <c r="O166" s="99" t="e">
        <f t="array" ref="O166">INDEX('Coeff EC7'!$D$41:$Q$61,MATCH($B$3,'Coeff EC7'!$C$41:$C$61,0),MATCH(D166&amp;E166,'Coeff EC7'!$D$39:$Q$39&amp;'Coeff EC7'!$D$40:$Q$40,0))</f>
        <v>#N/A</v>
      </c>
      <c r="P166" s="30" t="e">
        <f t="shared" si="266"/>
        <v>#N/A</v>
      </c>
      <c r="Q166" s="100" t="e">
        <f t="shared" si="233"/>
        <v>#N/A</v>
      </c>
      <c r="R166" s="86" t="b">
        <f t="shared" si="234"/>
        <v>0</v>
      </c>
      <c r="S166" s="86">
        <f t="shared" si="232"/>
        <v>0.5</v>
      </c>
      <c r="T166" s="86">
        <f t="shared" si="235"/>
        <v>0.5</v>
      </c>
      <c r="U166" s="30" t="e">
        <f t="shared" ca="1" si="267"/>
        <v>#DIV/0!</v>
      </c>
      <c r="V166" s="85" t="str">
        <f>IF(B166&lt;=Hypothèses!$V$7,Hypothèses!$W$7,IF(B166&lt;=Hypothèses!$V$8,Hypothèses!$W$8,IF(B166&lt;=Hypothèses!$V$9,Hypothèses!$W$9,IF(B166&lt;=Hypothèses!$V$10,Hypothèses!$W$10,IF(B166&lt;=Hypothèses!$V$11,Hypothèses!$W$11,IF(B166&lt;=Hypothèses!$V$12,Hypothèses!$W$12,IF(B166&lt;=Hypothèses!$V$13,Hypothèses!$W$13,IF(B166&lt;=Hypothèses!$V$14,Hypothèses!$W$14,IF(B166&lt;=Hypothèses!$V$15,Hypothèses!$W$15,IF(B166&lt;=Hypothèses!$V$16,Hypothèses!$W$16,IF(B166&lt;=Hypothèses!$V$17,Hypothèses!$W$17,IF(B166&lt;=Hypothèses!$V$18,Hypothèses!$W$18,""))))))))))))</f>
        <v/>
      </c>
      <c r="W166" s="87" t="e">
        <f t="shared" ca="1" si="316"/>
        <v>#DIV/0!</v>
      </c>
      <c r="X166" s="88" t="str">
        <f>IF(B166&lt;=Hypothèses!$V$7,Hypothèses!$X$7,IF(B166&lt;=Hypothèses!$V$8,Hypothèses!$X$8,IF(B166&lt;=Hypothèses!$V$9,Hypothèses!$X$9,IF(B166&lt;=Hypothèses!$V$10,Hypothèses!$X$10,IF(B166&lt;=Hypothèses!$V$11,Hypothèses!$X$11,IF(B166&lt;=Hypothèses!$V$12,Hypothèses!$X$12,IF(B166&lt;=Hypothèses!$V$13,Hypothèses!$X$13,IF(B166&lt;=Hypothèses!$V$14,Hypothèses!$X$14,IF(B166&lt;=Hypothèses!$V$15,Hypothèses!$X$15,IF(B166&lt;=Hypothèses!$V$16,Hypothèses!$X$16,IF(B166&lt;=Hypothèses!$U$17,Hypothèses!$W$17,IF(B166&lt;=Hypothèses!$U$18,Hypothèses!$W$18,""))))))))))))</f>
        <v/>
      </c>
      <c r="Y166" s="95" t="e">
        <f t="shared" ca="1" si="236"/>
        <v>#DIV/0!</v>
      </c>
      <c r="Z166" s="101">
        <f t="shared" si="237"/>
        <v>0</v>
      </c>
      <c r="AA166" s="91">
        <f t="shared" si="238"/>
        <v>0</v>
      </c>
      <c r="AB166" s="30" t="e">
        <f t="shared" si="300"/>
        <v>#N/A</v>
      </c>
      <c r="AC166" s="30" t="e">
        <f t="shared" si="301"/>
        <v>#N/A</v>
      </c>
      <c r="AD166" s="31" t="e">
        <f>IF(OR(Hypothèses!$B$4=17,Hypothèses!$B$4=18,Hypothèses!$B$4=19,Hypothèses!$B$4=20),
IF($D166="Pressio.",
IF(OR($E166=3,$E166=1,$E166=4),AC166,AB166),
IF($D166="Pénétro.",
IF(OR($E166=3,$E166=1,$E166=4),AC166,AB166))),IF($D166="Pressio.",
IF($E166=3,AC166,AB166),
IF($D166="Pénétro.",
IF($E166=4,AC166,AB166))))</f>
        <v>#N/A</v>
      </c>
      <c r="AE166" s="31">
        <v>0</v>
      </c>
      <c r="AF166" s="102" t="e">
        <f>IF(NDC!$H$10="Oui",(VLOOKUP($B$3,'Coeff EC7'!$T$39:$X$59,2,0)*AD166+VLOOKUP($B$3,'Coeff EC7'!$T$65:$X$85,2,0)*Model0.1T!AE166)/1.5,PI()*AB$12*$Q166*($B166-$B165)*0.15/10+AF165)</f>
        <v>#N/A</v>
      </c>
      <c r="AG166" s="102" t="e">
        <f>(VLOOKUP($B$3,'Coeff EC7'!$T$39:$X$59,3,0)*AD166+VLOOKUP($B$3,'Coeff EC7'!$T$65:$X$85,3,0)*Model0.1T!AE166)/1.1</f>
        <v>#N/A</v>
      </c>
      <c r="AH166" s="102" t="e">
        <f t="shared" si="268"/>
        <v>#N/A</v>
      </c>
      <c r="AI166" s="102" t="e">
        <f t="shared" si="269"/>
        <v>#N/A</v>
      </c>
      <c r="AJ166" s="414" t="e">
        <f>IF(AND(AF166&gt;NDC!$C$63,AG166&gt;NDC!$C$65,AH166&gt;NDC!$D$73,AI166&gt;NDC!$D$74,$B166&gt;NDC!$H$22-0.1+MIN(3*$AJ$12,1.5)),0,1)</f>
        <v>#N/A</v>
      </c>
      <c r="AK166" s="86" t="b">
        <f t="shared" si="239"/>
        <v>0</v>
      </c>
      <c r="AL166" s="86">
        <f t="shared" si="270"/>
        <v>0.5</v>
      </c>
      <c r="AM166" s="86">
        <f t="shared" si="240"/>
        <v>0.5</v>
      </c>
      <c r="AN166" s="30" t="e">
        <f t="shared" ca="1" si="271"/>
        <v>#DIV/0!</v>
      </c>
      <c r="AO166" s="85" t="e">
        <f ca="1">IF(U166&lt;=Hypothèses!$V$7,Hypothèses!$W$7,IF(U166&lt;=Hypothèses!$V$8,Hypothèses!$W$8,IF(U166&lt;=Hypothèses!$V$9,Hypothèses!$W$9,IF(U166&lt;=Hypothèses!$V$10,Hypothèses!$W$10,IF(U166&lt;=Hypothèses!$V$11,Hypothèses!$W$11,IF(U166&lt;=Hypothèses!$V$12,Hypothèses!$W$12,IF(U166&lt;=Hypothèses!$V$13,Hypothèses!$W$13,IF(U166&lt;=Hypothèses!$V$14,Hypothèses!$W$14,IF(U166&lt;=Hypothèses!$V$15,Hypothèses!$W$15,IF(U166&lt;=Hypothèses!$V$16,Hypothèses!$W$16,IF(U166&lt;=Hypothèses!$V$17,Hypothèses!$W$17,IF(U166&lt;=Hypothèses!$V$18,Hypothèses!$W$18,""))))))))))))</f>
        <v>#DIV/0!</v>
      </c>
      <c r="AP166" s="87" t="e">
        <f t="shared" ca="1" si="317"/>
        <v>#DIV/0!</v>
      </c>
      <c r="AQ166" s="88" t="e">
        <f ca="1">IF(U166&lt;=Hypothèses!$V$7,Hypothèses!$X$7,IF(U166&lt;=Hypothèses!$V$8,Hypothèses!$X$8,IF(U166&lt;=Hypothèses!$V$9,Hypothèses!$X$9,IF(U166&lt;=Hypothèses!$V$10,Hypothèses!$X$10,IF(U166&lt;=Hypothèses!$V$11,Hypothèses!$X$11,IF(U166&lt;=Hypothèses!$V$12,Hypothèses!$X$12,IF(U166&lt;=Hypothèses!$V$13,Hypothèses!$X$13,IF(U166&lt;=Hypothèses!$V$14,Hypothèses!$X$14,IF(U166&lt;=Hypothèses!$V$15,Hypothèses!$X$15,IF(U166&lt;=Hypothèses!$V$16,Hypothèses!$X$16,IF(U166&lt;=Hypothèses!$U$17,Hypothèses!$W$17,IF(U166&lt;=Hypothèses!$U$18,Hypothèses!$W$18,""))))))))))))</f>
        <v>#DIV/0!</v>
      </c>
      <c r="AR166" s="95" t="e">
        <f t="shared" ca="1" si="272"/>
        <v>#DIV/0!</v>
      </c>
      <c r="AS166" s="101">
        <f t="shared" si="324"/>
        <v>0</v>
      </c>
      <c r="AT166" s="91">
        <f t="shared" si="241"/>
        <v>0</v>
      </c>
      <c r="AU166" s="30" t="e">
        <f t="shared" si="302"/>
        <v>#N/A</v>
      </c>
      <c r="AV166" s="30" t="e">
        <f t="shared" si="303"/>
        <v>#N/A</v>
      </c>
      <c r="AW166" s="31" t="e">
        <f>IF(OR(Hypothèses!$B$4=17,Hypothèses!$B$4=18,Hypothèses!$B$4=19,Hypothèses!$B$4=20),
IF($D166="Pressio.",
IF(OR($E166=3,$E166=1,$E166=4),AV166,AU166),
IF($D166="Pénétro.",
IF(OR($E166=3,$E166=1,$E166=4),AV166,AU166))),IF($D166="Pressio.",
IF($E166=3,AV166,AU166),
IF($D166="Pénétro.",
IF($E166=4,AV166,AU166))))</f>
        <v>#N/A</v>
      </c>
      <c r="AX166" s="31">
        <v>0</v>
      </c>
      <c r="AY166" s="102" t="e">
        <f>IF(NDC!$H$10="Oui",(VLOOKUP($B$3,'Coeff EC7'!$T$39:$X$59,2,0)*AW166+VLOOKUP($B$3,'Coeff EC7'!$T$65:$X$85,2,0)*Model0.1T!AX166)/1.5,PI()*AU$12*$Q166*($B166-$B165)*0.15/10+AY165)</f>
        <v>#N/A</v>
      </c>
      <c r="AZ166" s="102" t="e">
        <f>(VLOOKUP($B$3,'Coeff EC7'!$T$39:$X$59,3,0)*AW166+VLOOKUP($B$3,'Coeff EC7'!$T$65:$X$85,3,0)*Model0.1T!AX166)/1.1</f>
        <v>#N/A</v>
      </c>
      <c r="BA166" s="102" t="e">
        <f t="shared" si="273"/>
        <v>#N/A</v>
      </c>
      <c r="BB166" s="102" t="e">
        <f t="shared" si="274"/>
        <v>#N/A</v>
      </c>
      <c r="BC166" s="414" t="e">
        <f>IF(AND(AY166&gt;NDC!$C$63,AZ166&gt;NDC!$C$65,BA166&gt;NDC!$D$73,BB166&gt;NDC!$D$74,$B166&gt;NDC!$H$22-0.1+MIN(3*BC$12,1.5)),0,1)</f>
        <v>#N/A</v>
      </c>
      <c r="BD166" s="86" t="b">
        <f t="shared" si="242"/>
        <v>0</v>
      </c>
      <c r="BE166" s="86">
        <f t="shared" si="275"/>
        <v>0.5</v>
      </c>
      <c r="BF166" s="86">
        <f t="shared" si="243"/>
        <v>0.5</v>
      </c>
      <c r="BG166" s="30" t="e">
        <f t="shared" ca="1" si="276"/>
        <v>#DIV/0!</v>
      </c>
      <c r="BH166" s="85" t="e">
        <f ca="1">IF(AN166&lt;=Hypothèses!$V$7,Hypothèses!$W$7,IF(AN166&lt;=Hypothèses!$V$8,Hypothèses!$W$8,IF(AN166&lt;=Hypothèses!$V$9,Hypothèses!$W$9,IF(AN166&lt;=Hypothèses!$V$10,Hypothèses!$W$10,IF(AN166&lt;=Hypothèses!$V$11,Hypothèses!$W$11,IF(AN166&lt;=Hypothèses!$V$12,Hypothèses!$W$12,IF(AN166&lt;=Hypothèses!$V$13,Hypothèses!$W$13,IF(AN166&lt;=Hypothèses!$V$14,Hypothèses!$W$14,IF(AN166&lt;=Hypothèses!$V$15,Hypothèses!$W$15,IF(AN166&lt;=Hypothèses!$V$16,Hypothèses!$W$16,IF(AN166&lt;=Hypothèses!$V$17,Hypothèses!$W$17,IF(AN166&lt;=Hypothèses!$V$18,Hypothèses!$W$18,""))))))))))))</f>
        <v>#DIV/0!</v>
      </c>
      <c r="BI166" s="87" t="e">
        <f t="shared" ca="1" si="318"/>
        <v>#DIV/0!</v>
      </c>
      <c r="BJ166" s="88" t="e">
        <f ca="1">IF(AN166&lt;=Hypothèses!$V$7,Hypothèses!$X$7,IF(AN166&lt;=Hypothèses!$V$8,Hypothèses!$X$8,IF(AN166&lt;=Hypothèses!$V$9,Hypothèses!$X$9,IF(AN166&lt;=Hypothèses!$V$10,Hypothèses!$X$10,IF(AN166&lt;=Hypothèses!$V$11,Hypothèses!$X$11,IF(AN166&lt;=Hypothèses!$V$12,Hypothèses!$X$12,IF(AN166&lt;=Hypothèses!$V$13,Hypothèses!$X$13,IF(AN166&lt;=Hypothèses!$V$14,Hypothèses!$X$14,IF(AN166&lt;=Hypothèses!$V$15,Hypothèses!$X$15,IF(AN166&lt;=Hypothèses!$V$16,Hypothèses!$X$16,IF(AN166&lt;=Hypothèses!$U$17,Hypothèses!$W$17,IF(AN166&lt;=Hypothèses!$U$18,Hypothèses!$W$18,""))))))))))))</f>
        <v>#DIV/0!</v>
      </c>
      <c r="BK166" s="95" t="e">
        <f t="shared" ca="1" si="277"/>
        <v>#DIV/0!</v>
      </c>
      <c r="BL166" s="101">
        <f t="shared" si="325"/>
        <v>0</v>
      </c>
      <c r="BM166" s="91">
        <f t="shared" si="244"/>
        <v>0</v>
      </c>
      <c r="BN166" s="30" t="e">
        <f t="shared" si="304"/>
        <v>#N/A</v>
      </c>
      <c r="BO166" s="30" t="e">
        <f t="shared" si="305"/>
        <v>#N/A</v>
      </c>
      <c r="BP166" s="31" t="e">
        <f>IF(OR(Hypothèses!$B$4=17,Hypothèses!$B$4=18,Hypothèses!$B$4=19,Hypothèses!$B$4=20),
IF($D166="Pressio.",
IF(OR($E166=3,$E166=1,$E166=4),BO166,BN166),
IF($D166="Pénétro.",
IF(OR($E166=3,$E166=1,$E166=4),BO166,BN166))),IF($D166="Pressio.",
IF($E166=3,BO166,BN166),
IF($D166="Pénétro.",
IF($E166=4,BO166,BN166))))</f>
        <v>#N/A</v>
      </c>
      <c r="BQ166" s="31">
        <v>0</v>
      </c>
      <c r="BR166" s="102" t="e">
        <f>IF(NDC!$H$10="Oui",(VLOOKUP($B$3,'Coeff EC7'!$T$39:$X$59,2,0)*BP166+VLOOKUP($B$3,'Coeff EC7'!$T$65:$X$85,2,0)*Model0.1T!BQ166)/1.5,PI()*BN$12*$Q166*($B166-$B165)*0.15/10+BR165)</f>
        <v>#N/A</v>
      </c>
      <c r="BS166" s="102" t="e">
        <f>(VLOOKUP($B$3,'Coeff EC7'!$T$39:$X$59,3,0)*BP166+VLOOKUP($B$3,'Coeff EC7'!$T$65:$X$85,3,0)*Model0.1T!BQ166)/1.1</f>
        <v>#N/A</v>
      </c>
      <c r="BT166" s="102" t="e">
        <f t="shared" si="278"/>
        <v>#N/A</v>
      </c>
      <c r="BU166" s="102" t="e">
        <f t="shared" si="279"/>
        <v>#N/A</v>
      </c>
      <c r="BV166" s="414" t="e">
        <f>IF(AND(BR166&gt;NDC!$C$63,BS166&gt;NDC!$C$65,BT166&gt;NDC!$D$73,BU166&gt;NDC!$D$74,$B166&gt;NDC!$H$22-0.1+MIN(3*BV$12,1.5)),0,1)</f>
        <v>#N/A</v>
      </c>
      <c r="BW166" s="86" t="b">
        <f t="shared" si="245"/>
        <v>0</v>
      </c>
      <c r="BX166" s="86">
        <f t="shared" si="246"/>
        <v>0.5</v>
      </c>
      <c r="BY166" s="86">
        <f t="shared" si="247"/>
        <v>0.5</v>
      </c>
      <c r="BZ166" s="30" t="e">
        <f t="shared" ca="1" si="280"/>
        <v>#DIV/0!</v>
      </c>
      <c r="CA166" s="85" t="e">
        <f ca="1">IF(BG166&lt;=Hypothèses!$V$7,Hypothèses!$W$7,IF(BG166&lt;=Hypothèses!$V$8,Hypothèses!$W$8,IF(BG166&lt;=Hypothèses!$V$9,Hypothèses!$W$9,IF(BG166&lt;=Hypothèses!$V$10,Hypothèses!$W$10,IF(BG166&lt;=Hypothèses!$V$11,Hypothèses!$W$11,IF(BG166&lt;=Hypothèses!$V$12,Hypothèses!$W$12,IF(BG166&lt;=Hypothèses!$V$13,Hypothèses!$W$13,IF(BG166&lt;=Hypothèses!$V$14,Hypothèses!$W$14,IF(BG166&lt;=Hypothèses!$V$15,Hypothèses!$W$15,IF(BG166&lt;=Hypothèses!$V$16,Hypothèses!$W$16,IF(BG166&lt;=Hypothèses!$V$17,Hypothèses!$W$17,IF(BG166&lt;=Hypothèses!$V$18,Hypothèses!$W$18,""))))))))))))</f>
        <v>#DIV/0!</v>
      </c>
      <c r="CB166" s="87" t="e">
        <f t="shared" ca="1" si="319"/>
        <v>#DIV/0!</v>
      </c>
      <c r="CC166" s="88" t="e">
        <f ca="1">IF(BG166&lt;=Hypothèses!$V$7,Hypothèses!$X$7,IF(BG166&lt;=Hypothèses!$V$8,Hypothèses!$X$8,IF(BG166&lt;=Hypothèses!$V$9,Hypothèses!$X$9,IF(BG166&lt;=Hypothèses!$V$10,Hypothèses!$X$10,IF(BG166&lt;=Hypothèses!$V$11,Hypothèses!$X$11,IF(BG166&lt;=Hypothèses!$V$12,Hypothèses!$X$12,IF(BG166&lt;=Hypothèses!$V$13,Hypothèses!$X$13,IF(BG166&lt;=Hypothèses!$V$14,Hypothèses!$X$14,IF(BG166&lt;=Hypothèses!$V$15,Hypothèses!$X$15,IF(BG166&lt;=Hypothèses!$V$16,Hypothèses!$X$16,IF(BG166&lt;=Hypothèses!$U$17,Hypothèses!$W$17,IF(BG166&lt;=Hypothèses!$U$18,Hypothèses!$W$18,""))))))))))))</f>
        <v>#DIV/0!</v>
      </c>
      <c r="CD166" s="95" t="e">
        <f t="shared" ca="1" si="281"/>
        <v>#DIV/0!</v>
      </c>
      <c r="CE166" s="101">
        <f t="shared" si="326"/>
        <v>0</v>
      </c>
      <c r="CF166" s="91">
        <f t="shared" si="248"/>
        <v>0</v>
      </c>
      <c r="CG166" s="30" t="e">
        <f t="shared" si="306"/>
        <v>#N/A</v>
      </c>
      <c r="CH166" s="30" t="e">
        <f t="shared" si="307"/>
        <v>#N/A</v>
      </c>
      <c r="CI166" s="31" t="e">
        <f>IF(OR(Hypothèses!$B$4=17,Hypothèses!$B$4=18,Hypothèses!$B$4=19,Hypothèses!$B$4=20),
IF($D166="Pressio.",
IF(OR($E166=3,$E166=1,$E166=4),CH166,CG166),
IF($D166="Pénétro.",
IF(OR($E166=3,$E166=1,$E166=4),CH166,CG166))),IF($D166="Pressio.",
IF($E166=3,CH166,CG166),
IF($D166="Pénétro.",
IF($E166=4,CH166,CG166))))</f>
        <v>#N/A</v>
      </c>
      <c r="CJ166" s="31">
        <v>0</v>
      </c>
      <c r="CK166" s="102" t="e">
        <f>IF(NDC!$H$10="Oui",(VLOOKUP($B$3,'Coeff EC7'!$T$39:$X$59,2,0)*CI166+VLOOKUP($B$3,'Coeff EC7'!$T$65:$X$85,2,0)*Model0.1T!CJ166)/1.5,PI()*CG$12*$Q166*($B166-$B165)*0.15/10+CK165)</f>
        <v>#N/A</v>
      </c>
      <c r="CL166" s="102" t="e">
        <f>(VLOOKUP($B$3,'Coeff EC7'!$T$39:$X$59,3,0)*CI166+VLOOKUP($B$3,'Coeff EC7'!$T$65:$X$85,3,0)*Model0.1T!CJ166)/1.1</f>
        <v>#N/A</v>
      </c>
      <c r="CM166" s="102" t="e">
        <f t="shared" si="282"/>
        <v>#N/A</v>
      </c>
      <c r="CN166" s="102" t="e">
        <f t="shared" si="283"/>
        <v>#N/A</v>
      </c>
      <c r="CO166" s="414" t="e">
        <f>IF(AND(CK166&gt;NDC!$C$63,CL166&gt;NDC!$C$65,CM166&gt;NDC!$D$73,CN166&gt;NDC!$D$74,$B166&gt;NDC!$H$22-0.1+MIN(3*CO$12,1.5)),0,1)</f>
        <v>#N/A</v>
      </c>
      <c r="CP166" s="86" t="b">
        <f t="shared" si="249"/>
        <v>0</v>
      </c>
      <c r="CQ166" s="86">
        <f t="shared" si="250"/>
        <v>0.5</v>
      </c>
      <c r="CR166" s="86">
        <f t="shared" si="251"/>
        <v>0.5</v>
      </c>
      <c r="CS166" s="30" t="e">
        <f t="shared" ca="1" si="284"/>
        <v>#DIV/0!</v>
      </c>
      <c r="CT166" s="85" t="e">
        <f ca="1">IF(BZ166&lt;=Hypothèses!$V$7,Hypothèses!$W$7,IF(BZ166&lt;=Hypothèses!$V$8,Hypothèses!$W$8,IF(BZ166&lt;=Hypothèses!$V$9,Hypothèses!$W$9,IF(BZ166&lt;=Hypothèses!$V$10,Hypothèses!$W$10,IF(BZ166&lt;=Hypothèses!$V$11,Hypothèses!$W$11,IF(BZ166&lt;=Hypothèses!$V$12,Hypothèses!$W$12,IF(BZ166&lt;=Hypothèses!$V$13,Hypothèses!$W$13,IF(BZ166&lt;=Hypothèses!$V$14,Hypothèses!$W$14,IF(BZ166&lt;=Hypothèses!$V$15,Hypothèses!$W$15,IF(BZ166&lt;=Hypothèses!$V$16,Hypothèses!$W$16,IF(BZ166&lt;=Hypothèses!$V$17,Hypothèses!$W$17,IF(BZ166&lt;=Hypothèses!$V$18,Hypothèses!$W$18,""))))))))))))</f>
        <v>#DIV/0!</v>
      </c>
      <c r="CU166" s="87" t="e">
        <f t="shared" ca="1" si="320"/>
        <v>#DIV/0!</v>
      </c>
      <c r="CV166" s="88" t="e">
        <f ca="1">IF(BZ166&lt;=Hypothèses!$V$7,Hypothèses!$X$7,IF(BZ166&lt;=Hypothèses!$V$8,Hypothèses!$X$8,IF(BZ166&lt;=Hypothèses!$V$9,Hypothèses!$X$9,IF(BZ166&lt;=Hypothèses!$V$10,Hypothèses!$X$10,IF(BZ166&lt;=Hypothèses!$V$11,Hypothèses!$X$11,IF(BZ166&lt;=Hypothèses!$V$12,Hypothèses!$X$12,IF(BZ166&lt;=Hypothèses!$V$13,Hypothèses!$X$13,IF(BZ166&lt;=Hypothèses!$V$14,Hypothèses!$X$14,IF(BZ166&lt;=Hypothèses!$V$15,Hypothèses!$X$15,IF(BZ166&lt;=Hypothèses!$V$16,Hypothèses!$X$16,IF(BZ166&lt;=Hypothèses!$U$17,Hypothèses!$W$17,IF(BZ166&lt;=Hypothèses!$U$18,Hypothèses!$W$18,""))))))))))))</f>
        <v>#DIV/0!</v>
      </c>
      <c r="CW166" s="95" t="e">
        <f t="shared" ca="1" si="285"/>
        <v>#DIV/0!</v>
      </c>
      <c r="CX166" s="101">
        <f t="shared" si="327"/>
        <v>0</v>
      </c>
      <c r="CY166" s="91">
        <f t="shared" si="252"/>
        <v>0</v>
      </c>
      <c r="CZ166" s="30" t="e">
        <f t="shared" si="308"/>
        <v>#N/A</v>
      </c>
      <c r="DA166" s="30" t="e">
        <f t="shared" si="309"/>
        <v>#N/A</v>
      </c>
      <c r="DB166" s="31" t="e">
        <f>IF(OR(Hypothèses!$B$4=17,Hypothèses!$B$4=18,Hypothèses!$B$4=19,Hypothèses!$B$4=20),
IF($D166="Pressio.",
IF(OR($E166=3,$E166=1,$E166=4),DA166,CZ166),
IF($D166="Pénétro.",
IF(OR($E166=3,$E166=1,$E166=4),DA166,CZ166))),IF($D166="Pressio.",
IF($E166=3,DA166,CZ166),
IF($D166="Pénétro.",
IF($E166=4,DA166,CZ166))))</f>
        <v>#N/A</v>
      </c>
      <c r="DC166" s="31">
        <v>0</v>
      </c>
      <c r="DD166" s="102" t="e">
        <f>IF(NDC!$H$10="Oui",(VLOOKUP($B$3,'Coeff EC7'!$T$39:$X$59,2,0)*DB166+VLOOKUP($B$3,'Coeff EC7'!$T$65:$X$85,2,0)*Model0.1T!DC166)/1.5,PI()*CZ$12*$Q166*($B166-$B165)*0.15/10+DD165)</f>
        <v>#N/A</v>
      </c>
      <c r="DE166" s="102" t="e">
        <f>(VLOOKUP($B$3,'Coeff EC7'!$T$39:$X$59,3,0)*DB166+VLOOKUP($B$3,'Coeff EC7'!$T$65:$X$85,3,0)*Model0.1T!DC166)/1.1</f>
        <v>#N/A</v>
      </c>
      <c r="DF166" s="102" t="e">
        <f t="shared" si="286"/>
        <v>#N/A</v>
      </c>
      <c r="DG166" s="102" t="e">
        <f t="shared" si="287"/>
        <v>#N/A</v>
      </c>
      <c r="DH166" s="414" t="e">
        <f>IF(AND(DD166&gt;NDC!$C$63,DE166&gt;NDC!$C$65,DF166&gt;NDC!$D$73,DG166&gt;NDC!$D$74,$B166&gt;NDC!$H$22-0.1+MIN(3*DH$12,1.5)),0,1)</f>
        <v>#N/A</v>
      </c>
      <c r="DI166" s="86" t="b">
        <f t="shared" si="253"/>
        <v>0</v>
      </c>
      <c r="DJ166" s="86">
        <f t="shared" si="254"/>
        <v>0.5</v>
      </c>
      <c r="DK166" s="86">
        <f t="shared" si="255"/>
        <v>0.5</v>
      </c>
      <c r="DL166" s="30" t="e">
        <f t="shared" ca="1" si="288"/>
        <v>#DIV/0!</v>
      </c>
      <c r="DM166" s="85" t="e">
        <f ca="1">IF(CS166&lt;=Hypothèses!$V$7,Hypothèses!$W$7,IF(CS166&lt;=Hypothèses!$V$8,Hypothèses!$W$8,IF(CS166&lt;=Hypothèses!$V$9,Hypothèses!$W$9,IF(CS166&lt;=Hypothèses!$V$10,Hypothèses!$W$10,IF(CS166&lt;=Hypothèses!$V$11,Hypothèses!$W$11,IF(CS166&lt;=Hypothèses!$V$12,Hypothèses!$W$12,IF(CS166&lt;=Hypothèses!$V$13,Hypothèses!$W$13,IF(CS166&lt;=Hypothèses!$V$14,Hypothèses!$W$14,IF(CS166&lt;=Hypothèses!$V$15,Hypothèses!$W$15,IF(CS166&lt;=Hypothèses!$V$16,Hypothèses!$W$16,IF(CS166&lt;=Hypothèses!$V$17,Hypothèses!$W$17,IF(CS166&lt;=Hypothèses!$V$18,Hypothèses!$W$18,""))))))))))))</f>
        <v>#DIV/0!</v>
      </c>
      <c r="DN166" s="87" t="e">
        <f t="shared" ca="1" si="321"/>
        <v>#DIV/0!</v>
      </c>
      <c r="DO166" s="88" t="e">
        <f ca="1">IF(CS166&lt;=Hypothèses!$V$7,Hypothèses!$X$7,IF(CS166&lt;=Hypothèses!$V$8,Hypothèses!$X$8,IF(CS166&lt;=Hypothèses!$V$9,Hypothèses!$X$9,IF(CS166&lt;=Hypothèses!$V$10,Hypothèses!$X$10,IF(CS166&lt;=Hypothèses!$V$11,Hypothèses!$X$11,IF(CS166&lt;=Hypothèses!$V$12,Hypothèses!$X$12,IF(CS166&lt;=Hypothèses!$V$13,Hypothèses!$X$13,IF(CS166&lt;=Hypothèses!$V$14,Hypothèses!$X$14,IF(CS166&lt;=Hypothèses!$V$15,Hypothèses!$X$15,IF(CS166&lt;=Hypothèses!$V$16,Hypothèses!$X$16,IF(CS166&lt;=Hypothèses!$U$17,Hypothèses!$W$17,IF(CS166&lt;=Hypothèses!$U$18,Hypothèses!$W$18,""))))))))))))</f>
        <v>#DIV/0!</v>
      </c>
      <c r="DP166" s="95" t="e">
        <f t="shared" ca="1" si="289"/>
        <v>#DIV/0!</v>
      </c>
      <c r="DQ166" s="101">
        <f t="shared" si="328"/>
        <v>0</v>
      </c>
      <c r="DR166" s="91">
        <f t="shared" si="256"/>
        <v>0</v>
      </c>
      <c r="DS166" s="30" t="e">
        <f t="shared" si="310"/>
        <v>#N/A</v>
      </c>
      <c r="DT166" s="30" t="e">
        <f t="shared" si="311"/>
        <v>#N/A</v>
      </c>
      <c r="DU166" s="31" t="e">
        <f>IF(OR(Hypothèses!$B$4=17,Hypothèses!$B$4=18,Hypothèses!$B$4=19,Hypothèses!$B$4=20),
IF($D166="Pressio.",
IF(OR($E166=3,$E166=1,$E166=4),DT166,DS166),
IF($D166="Pénétro.",
IF(OR($E166=3,$E166=1,$E166=4),DT166,DS166))),IF($D166="Pressio.",
IF($E166=3,DT166,DS166),
IF($D166="Pénétro.",
IF($E166=4,DT166,DS166))))</f>
        <v>#N/A</v>
      </c>
      <c r="DV166" s="31">
        <v>0</v>
      </c>
      <c r="DW166" s="102" t="e">
        <f>IF(NDC!$H$10="Oui",(VLOOKUP($B$3,'Coeff EC7'!$T$39:$X$59,2,0)*DU166+VLOOKUP($B$3,'Coeff EC7'!$T$65:$X$85,2,0)*Model0.1T!DV166)/1.5,PI()*DS$12*$Q166*($B166-$B165)*0.15/10+DW165)</f>
        <v>#N/A</v>
      </c>
      <c r="DX166" s="102" t="e">
        <f>(VLOOKUP($B$3,'Coeff EC7'!$T$39:$X$59,3,0)*DU166+VLOOKUP($B$3,'Coeff EC7'!$T$65:$X$85,3,0)*Model0.1T!DV166)/1.1</f>
        <v>#N/A</v>
      </c>
      <c r="DY166" s="102" t="e">
        <f t="shared" si="290"/>
        <v>#N/A</v>
      </c>
      <c r="DZ166" s="102" t="e">
        <f t="shared" si="291"/>
        <v>#N/A</v>
      </c>
      <c r="EA166" s="414" t="e">
        <f>IF(AND(DW166&gt;NDC!$C$63,DX166&gt;NDC!$C$65,DY166&gt;NDC!$D$73,DZ166&gt;NDC!$D$74,$B166&gt;NDC!$H$22-0.1+MIN(3*EA$12,1.5)),0,1)</f>
        <v>#N/A</v>
      </c>
      <c r="EB166" s="86" t="b">
        <f t="shared" si="257"/>
        <v>0</v>
      </c>
      <c r="EC166" s="418">
        <f t="shared" si="258"/>
        <v>0.51</v>
      </c>
      <c r="ED166" s="86">
        <f t="shared" si="259"/>
        <v>0.51</v>
      </c>
      <c r="EE166" s="30" t="e">
        <f t="shared" ca="1" si="292"/>
        <v>#DIV/0!</v>
      </c>
      <c r="EF166" s="85" t="e">
        <f ca="1">IF(DL166&lt;=Hypothèses!$V$7,Hypothèses!$W$7,IF(DL166&lt;=Hypothèses!$V$8,Hypothèses!$W$8,IF(DL166&lt;=Hypothèses!$V$9,Hypothèses!$W$9,IF(DL166&lt;=Hypothèses!$V$10,Hypothèses!$W$10,IF(DL166&lt;=Hypothèses!$V$11,Hypothèses!$W$11,IF(DL166&lt;=Hypothèses!$V$12,Hypothèses!$W$12,IF(DL166&lt;=Hypothèses!$V$13,Hypothèses!$W$13,IF(DL166&lt;=Hypothèses!$V$14,Hypothèses!$W$14,IF(DL166&lt;=Hypothèses!$V$15,Hypothèses!$W$15,IF(DL166&lt;=Hypothèses!$V$16,Hypothèses!$W$16,IF(DL166&lt;=Hypothèses!$V$17,Hypothèses!$W$17,IF(DL166&lt;=Hypothèses!$V$18,Hypothèses!$W$18,""))))))))))))</f>
        <v>#DIV/0!</v>
      </c>
      <c r="EG166" s="87" t="e">
        <f t="shared" ca="1" si="322"/>
        <v>#DIV/0!</v>
      </c>
      <c r="EH166" s="88" t="e">
        <f ca="1">IF(DL166&lt;=Hypothèses!$V$7,Hypothèses!$X$7,IF(DL166&lt;=Hypothèses!$V$8,Hypothèses!$X$8,IF(DL166&lt;=Hypothèses!$V$9,Hypothèses!$X$9,IF(DL166&lt;=Hypothèses!$V$10,Hypothèses!$X$10,IF(DL166&lt;=Hypothèses!$V$11,Hypothèses!$X$11,IF(DL166&lt;=Hypothèses!$V$12,Hypothèses!$X$12,IF(DL166&lt;=Hypothèses!$V$13,Hypothèses!$X$13,IF(DL166&lt;=Hypothèses!$V$14,Hypothèses!$X$14,IF(DL166&lt;=Hypothèses!$V$15,Hypothèses!$X$15,IF(DL166&lt;=Hypothèses!$V$16,Hypothèses!$X$16,IF(DL166&lt;=Hypothèses!$U$17,Hypothèses!$W$17,IF(DL166&lt;=Hypothèses!$U$18,Hypothèses!$W$18,""))))))))))))</f>
        <v>#DIV/0!</v>
      </c>
      <c r="EI166" s="95" t="e">
        <f t="shared" ca="1" si="293"/>
        <v>#DIV/0!</v>
      </c>
      <c r="EJ166" s="101">
        <f t="shared" si="329"/>
        <v>0</v>
      </c>
      <c r="EK166" s="91">
        <f t="shared" si="260"/>
        <v>0</v>
      </c>
      <c r="EL166" s="30" t="e">
        <f t="shared" si="312"/>
        <v>#N/A</v>
      </c>
      <c r="EM166" s="30" t="e">
        <f t="shared" si="313"/>
        <v>#N/A</v>
      </c>
      <c r="EN166" s="31" t="e">
        <f>IF(OR(Hypothèses!$B$4=17,Hypothèses!$B$4=18,Hypothèses!$B$4=19,Hypothèses!$B$4=20),
IF($D166="Pressio.",
IF(OR($E166=3,$E166=1,$E166=4),EM166,EL166),
IF($D166="Pénétro.",
IF(OR($E166=3,$E166=1,$E166=4),EM166,EL166))),IF($D166="Pressio.",
IF($E166=3,EM166,EL166),
IF($D166="Pénétro.",
IF($E166=4,EM166,EL166))))</f>
        <v>#N/A</v>
      </c>
      <c r="EO166" s="31">
        <v>0</v>
      </c>
      <c r="EP166" s="102" t="e">
        <f>IF(NDC!$H$10="Oui",(VLOOKUP($B$3,'Coeff EC7'!$T$39:$X$59,2,0)*EN166+VLOOKUP($B$3,'Coeff EC7'!$T$65:$X$85,2,0)*Model0.1T!EO166)/1.5,PI()*EL$12*$Q166*($B166-$B165)*0.15/10+EP165)</f>
        <v>#N/A</v>
      </c>
      <c r="EQ166" s="102" t="e">
        <f>(VLOOKUP($B$3,'Coeff EC7'!$T$39:$X$59,3,0)*EN166+VLOOKUP($B$3,'Coeff EC7'!$T$65:$X$85,3,0)*Model0.1T!EO166)/1.1</f>
        <v>#N/A</v>
      </c>
      <c r="ER166" s="102" t="e">
        <f t="shared" si="294"/>
        <v>#N/A</v>
      </c>
      <c r="ES166" s="102" t="e">
        <f t="shared" si="295"/>
        <v>#N/A</v>
      </c>
      <c r="ET166" s="414" t="e">
        <f>IF(AND(EP166&gt;NDC!$C$63,EQ166&gt;NDC!$C$65,ER166&gt;NDC!$D$73,ES166&gt;NDC!$D$74,$B166&gt;NDC!$H$22-0.1+MIN(3*ET$12,1.5)),0,1)</f>
        <v>#N/A</v>
      </c>
      <c r="EU166" s="86" t="b">
        <f t="shared" si="261"/>
        <v>0</v>
      </c>
      <c r="EV166" s="86">
        <f t="shared" si="262"/>
        <v>0.61</v>
      </c>
      <c r="EW166" s="86">
        <f t="shared" si="263"/>
        <v>0.61</v>
      </c>
      <c r="EX166" s="30" t="e">
        <f t="shared" ca="1" si="296"/>
        <v>#DIV/0!</v>
      </c>
      <c r="EY166" s="85" t="e">
        <f ca="1">IF(EE166&lt;=Hypothèses!$V$7,Hypothèses!$W$7,IF(EE166&lt;=Hypothèses!$V$8,Hypothèses!$W$8,IF(EE166&lt;=Hypothèses!$V$9,Hypothèses!$W$9,IF(EE166&lt;=Hypothèses!$V$10,Hypothèses!$W$10,IF(EE166&lt;=Hypothèses!$V$11,Hypothèses!$W$11,IF(EE166&lt;=Hypothèses!$V$12,Hypothèses!$W$12,IF(EE166&lt;=Hypothèses!$V$13,Hypothèses!$W$13,IF(EE166&lt;=Hypothèses!$V$14,Hypothèses!$W$14,IF(EE166&lt;=Hypothèses!$V$15,Hypothèses!$W$15,IF(EE166&lt;=Hypothèses!$V$16,Hypothèses!$W$16,IF(EE166&lt;=Hypothèses!$V$17,Hypothèses!$W$17,IF(EE166&lt;=Hypothèses!$V$18,Hypothèses!$W$18,""))))))))))))</f>
        <v>#DIV/0!</v>
      </c>
      <c r="EZ166" s="87" t="e">
        <f t="shared" ca="1" si="323"/>
        <v>#DIV/0!</v>
      </c>
      <c r="FA166" s="88" t="e">
        <f ca="1">IF(EE166&lt;=Hypothèses!$V$7,Hypothèses!$X$7,IF(EE166&lt;=Hypothèses!$V$8,Hypothèses!$X$8,IF(EE166&lt;=Hypothèses!$V$9,Hypothèses!$X$9,IF(EE166&lt;=Hypothèses!$V$10,Hypothèses!$X$10,IF(EE166&lt;=Hypothèses!$V$11,Hypothèses!$X$11,IF(EE166&lt;=Hypothèses!$V$12,Hypothèses!$X$12,IF(EE166&lt;=Hypothèses!$V$13,Hypothèses!$X$13,IF(EE166&lt;=Hypothèses!$V$14,Hypothèses!$X$14,IF(EE166&lt;=Hypothèses!$V$15,Hypothèses!$X$15,IF(EE166&lt;=Hypothèses!$V$16,Hypothèses!$X$16,IF(EE166&lt;=Hypothèses!$U$17,Hypothèses!$W$17,IF(EE166&lt;=Hypothèses!$U$18,Hypothèses!$W$18,""))))))))))))</f>
        <v>#DIV/0!</v>
      </c>
      <c r="FB166" s="95" t="e">
        <f t="shared" ca="1" si="297"/>
        <v>#DIV/0!</v>
      </c>
      <c r="FC166" s="101">
        <f t="shared" si="330"/>
        <v>0</v>
      </c>
      <c r="FD166" s="91">
        <f t="shared" si="264"/>
        <v>0</v>
      </c>
      <c r="FE166" s="30" t="e">
        <f t="shared" si="314"/>
        <v>#N/A</v>
      </c>
      <c r="FF166" s="30" t="e">
        <f t="shared" si="315"/>
        <v>#N/A</v>
      </c>
      <c r="FG166" s="31" t="e">
        <f>IF(OR(Hypothèses!$B$4=17,Hypothèses!$B$4=18,Hypothèses!$B$4=19,Hypothèses!$B$4=20),
IF($D166="Pressio.",
IF(OR($E166=3,$E166=1,$E166=4),FF166,FE166),
IF($D166="Pénétro.",
IF(OR($E166=3,$E166=1,$E166=4),FF166,FE166))),IF($D166="Pressio.",
IF($E166=3,FF166,FE166),
IF($D166="Pénétro.",
IF($E166=4,FF166,FE166))))</f>
        <v>#N/A</v>
      </c>
      <c r="FH166" s="31">
        <v>0</v>
      </c>
      <c r="FI166" s="102" t="e">
        <f>IF(NDC!$H$10="Oui",(VLOOKUP($B$3,'Coeff EC7'!$T$39:$X$59,2,0)*FG166+VLOOKUP($B$3,'Coeff EC7'!$T$65:$X$85,2,0)*Model0.1T!FH166)/1.5,PI()*FE$12*$Q166*($B166-$B165)*0.15/10+FI165)</f>
        <v>#N/A</v>
      </c>
      <c r="FJ166" s="102" t="e">
        <f>(VLOOKUP($B$3,'Coeff EC7'!$T$39:$X$59,3,0)*FG166+VLOOKUP($B$3,'Coeff EC7'!$T$65:$X$85,3,0)*Model0.1T!FH166)/1.1</f>
        <v>#N/A</v>
      </c>
      <c r="FK166" s="102" t="e">
        <f t="shared" si="298"/>
        <v>#N/A</v>
      </c>
      <c r="FL166" s="102" t="e">
        <f t="shared" si="299"/>
        <v>#N/A</v>
      </c>
      <c r="FM166" s="414" t="e">
        <f>IF(AND(FI166&gt;NDC!$C$63,FJ166&gt;NDC!$C$65,FK166&gt;NDC!$D$73,FL166&gt;NDC!$D$74,$B166&gt;NDC!$H$22-0.1+MIN(3*FM$12,1.5)),0,1)</f>
        <v>#N/A</v>
      </c>
    </row>
    <row r="167" spans="1:169">
      <c r="A167" s="96">
        <f t="shared" si="265"/>
        <v>84.600000000000875</v>
      </c>
      <c r="B167" s="97">
        <v>15.4</v>
      </c>
      <c r="C167" s="81">
        <f>IF(B167&lt;=Hypothèses!$C$7,Hypothèses!$A$7,IF(B167&lt;=Hypothèses!$C$8,Hypothèses!$A$8,IF(B167&lt;=Hypothèses!$C$9,Hypothèses!$A$9,IF(B167&lt;=Hypothèses!$C$10,Hypothèses!$A$10,IF(B167&lt;=Hypothèses!$C$11,Hypothèses!$A$11,IF(B167&lt;=Hypothèses!$C$12,Hypothèses!$A$12,IF(B167&lt;=Hypothèses!$C$13,Hypothèses!$A$13,IF(B167&lt;=Hypothèses!$C$14,Hypothèses!$A$14,IF(B167&lt;=Hypothèses!$C$15,Hypothèses!$A$15,IF(B167&lt;=Hypothèses!$C$16,Hypothèses!$A$16,IF(B167&lt;=Hypothèses!$C$17,Hypothèses!$A$17,IF(B167&lt;=Hypothèses!$C$18,Hypothèses!$A$18,C166))))))))))))</f>
        <v>11</v>
      </c>
      <c r="D167" s="82" t="str">
        <f>IF(B167&lt;=Hypothèses!$C$7,Hypothèses!$R$7,IF(B167&lt;=Hypothèses!$C$8,Hypothèses!$R$8,IF(B167&lt;=Hypothèses!$C$9,Hypothèses!$R$9,IF(B167&lt;=Hypothèses!$C$10,Hypothèses!$R$10,IF(B167&lt;=Hypothèses!$C$11,Hypothèses!$R$11,IF(B167&lt;=Hypothèses!$C$12,Hypothèses!$R$12,IF(B167&lt;=Hypothèses!$C$13,Hypothèses!$R$13,IF(B167&lt;=Hypothèses!$C$14,Hypothèses!$R$14,IF(B167&lt;=Hypothèses!$C$15,Hypothèses!$R$15,IF(B167&lt;=Hypothèses!$C$16,Hypothèses!$R$16,IF(B167&lt;=Hypothèses!$C$17,Hypothèses!$R$17,IF(B167&lt;=Hypothèses!$C$18,Hypothèses!$R$18,D166))))))))))))</f>
        <v>Pressio.</v>
      </c>
      <c r="E167" s="82" t="e">
        <f>IF(B167&lt;=Hypothèses!$C$7,Hypothèses!$G$7,IF(B167&lt;=Hypothèses!$C$8,Hypothèses!$G$8,IF(B167&lt;=Hypothèses!$C$9,Hypothèses!$G$9,IF(B167&lt;=Hypothèses!$C$10,Hypothèses!$G$10,IF(B167&lt;=Hypothèses!$C$11,Hypothèses!$G$11,IF(B167&lt;=Hypothèses!$C$12,Hypothèses!$G$12,IF(B167&lt;=Hypothèses!$C$13,Hypothèses!$G$13,IF(B167&lt;=Hypothèses!$C$14,Hypothèses!$G$14,IF(B167&lt;=Hypothèses!$C$15,Hypothèses!$G$15,IF(B167&lt;=Hypothèses!$C$16,Hypothèses!$G$16,IF(B167&lt;=Hypothèses!$C$17,Hypothèses!$G$17,IF(B167&lt;=Hypothèses!$C$18,Hypothèses!$G$18,E166))))))))))))</f>
        <v>#N/A</v>
      </c>
      <c r="F167" s="82" t="str">
        <f>IF(B167&lt;=Hypothèses!$C$7,Hypothèses!$F$7,IF(B167&lt;=Hypothèses!$C$8,Hypothèses!$F$8,IF(B167&lt;=Hypothèses!$C$9,Hypothèses!$F$9,IF(B167&lt;=Hypothèses!$C$10,Hypothèses!$F$10,IF(B167&lt;=Hypothèses!$C$11,Hypothèses!$F$11,IF(B167&lt;=Hypothèses!$C$12,Hypothèses!$F$12,IF(B167&lt;=Hypothèses!$C$13,Hypothèses!$F$13,IF(B167&lt;=Hypothèses!$C$14,Hypothèses!$F$14,IF(B167&lt;=Hypothèses!$C$15,Hypothèses!$F$15,IF(B167&lt;=Hypothèses!$C$16,Hypothèses!$F$16,IF(B167&lt;=Hypothèses!$C$17,Hypothèses!$F$17,IF(B167&lt;=Hypothèses!$C$18,Hypothèses!$F$18,F166))))))))))))</f>
        <v/>
      </c>
      <c r="G167" s="91">
        <f t="array" ref="G167">INDEX('Coeff EC7'!$U$7:$X$27,
MATCH(Model0.1T!$B$3,'Coeff EC7'!$T$7:$T$27,0),
MATCH(Model0.1T!$D167&amp;Model0.1T!$B$4,
'Coeff EC7'!$U$6:$X$6&amp;
'Coeff EC7'!$U$5:$X$5,0))</f>
        <v>1.4</v>
      </c>
      <c r="H167" s="91">
        <f t="array" ref="H167">INDEX('Coeff EC7'!$Y$7:$AB$27,
MATCH(Model0.1T!$B$3,'Coeff EC7'!$T$7:$T$27,0),
MATCH(Model0.1T!$D167&amp;Model0.1T!$B$4,
'Coeff EC7'!$Y$6:$AB$6&amp;
'Coeff EC7'!$Y$5:$AB$5,0))</f>
        <v>1.7</v>
      </c>
      <c r="I167" s="83">
        <v>0</v>
      </c>
      <c r="J167" s="91" t="e">
        <f t="array" ref="J167">INDEX('Coeff EC7'!$D$33:$Q$33,1,MATCH(D167&amp;E167,'Coeff EC7'!$D$31:$Q$31&amp;'Coeff EC7'!$D$32:$Q$32,0))</f>
        <v>#N/A</v>
      </c>
      <c r="K167" s="91" t="e">
        <f t="array" ref="K167">INDEX('Coeff EC7'!$D$34:$Q$34,1,MATCH(D167&amp;E167,'Coeff EC7'!$D$31:$Q$31&amp;'Coeff EC7'!$D$32:$Q$32,0))</f>
        <v>#N/A</v>
      </c>
      <c r="L167" s="91" t="e">
        <f t="array" ref="L167">INDEX('Coeff EC7'!$D$35:$Q$35,1,MATCH(D167&amp;E167,'Coeff EC7'!$D$31:$Q$31&amp;'Coeff EC7'!$D$32:$Q$32,0))</f>
        <v>#N/A</v>
      </c>
      <c r="M167" s="98" t="e">
        <f t="shared" si="231"/>
        <v>#N/A</v>
      </c>
      <c r="N167" s="99" t="e">
        <f t="array" ref="N167">INDEX('Coeff EC7'!$D$7:$Q$27,MATCH($B$3,'Coeff EC7'!$C$7:$C$27,0),MATCH(D167&amp;E167,'Coeff EC7'!$D$5:$Q$5&amp;'Coeff EC7'!$D$6:$Q$6,0))</f>
        <v>#N/A</v>
      </c>
      <c r="O167" s="99" t="e">
        <f t="array" ref="O167">INDEX('Coeff EC7'!$D$41:$Q$61,MATCH($B$3,'Coeff EC7'!$C$41:$C$61,0),MATCH(D167&amp;E167,'Coeff EC7'!$D$39:$Q$39&amp;'Coeff EC7'!$D$40:$Q$40,0))</f>
        <v>#N/A</v>
      </c>
      <c r="P167" s="30" t="e">
        <f t="shared" si="266"/>
        <v>#N/A</v>
      </c>
      <c r="Q167" s="100" t="e">
        <f t="shared" si="233"/>
        <v>#N/A</v>
      </c>
      <c r="R167" s="86" t="b">
        <f t="shared" si="234"/>
        <v>0</v>
      </c>
      <c r="S167" s="86">
        <f t="shared" si="232"/>
        <v>0.5</v>
      </c>
      <c r="T167" s="86">
        <f t="shared" si="235"/>
        <v>0.5</v>
      </c>
      <c r="U167" s="30" t="e">
        <f t="shared" ca="1" si="267"/>
        <v>#DIV/0!</v>
      </c>
      <c r="V167" s="85" t="str">
        <f>IF(B167&lt;=Hypothèses!$V$7,Hypothèses!$W$7,IF(B167&lt;=Hypothèses!$V$8,Hypothèses!$W$8,IF(B167&lt;=Hypothèses!$V$9,Hypothèses!$W$9,IF(B167&lt;=Hypothèses!$V$10,Hypothèses!$W$10,IF(B167&lt;=Hypothèses!$V$11,Hypothèses!$W$11,IF(B167&lt;=Hypothèses!$V$12,Hypothèses!$W$12,IF(B167&lt;=Hypothèses!$V$13,Hypothèses!$W$13,IF(B167&lt;=Hypothèses!$V$14,Hypothèses!$W$14,IF(B167&lt;=Hypothèses!$V$15,Hypothèses!$W$15,IF(B167&lt;=Hypothèses!$V$16,Hypothèses!$W$16,IF(B167&lt;=Hypothèses!$V$17,Hypothèses!$W$17,IF(B167&lt;=Hypothèses!$V$18,Hypothèses!$W$18,""))))))))))))</f>
        <v/>
      </c>
      <c r="W167" s="87" t="e">
        <f t="shared" ca="1" si="316"/>
        <v>#DIV/0!</v>
      </c>
      <c r="X167" s="88" t="str">
        <f>IF(B167&lt;=Hypothèses!$V$7,Hypothèses!$X$7,IF(B167&lt;=Hypothèses!$V$8,Hypothèses!$X$8,IF(B167&lt;=Hypothèses!$V$9,Hypothèses!$X$9,IF(B167&lt;=Hypothèses!$V$10,Hypothèses!$X$10,IF(B167&lt;=Hypothèses!$V$11,Hypothèses!$X$11,IF(B167&lt;=Hypothèses!$V$12,Hypothèses!$X$12,IF(B167&lt;=Hypothèses!$V$13,Hypothèses!$X$13,IF(B167&lt;=Hypothèses!$V$14,Hypothèses!$X$14,IF(B167&lt;=Hypothèses!$V$15,Hypothèses!$X$15,IF(B167&lt;=Hypothèses!$V$16,Hypothèses!$X$16,IF(B167&lt;=Hypothèses!$U$17,Hypothèses!$W$17,IF(B167&lt;=Hypothèses!$U$18,Hypothèses!$W$18,""))))))))))))</f>
        <v/>
      </c>
      <c r="Y167" s="95" t="e">
        <f t="shared" ca="1" si="236"/>
        <v>#DIV/0!</v>
      </c>
      <c r="Z167" s="101">
        <f t="shared" si="237"/>
        <v>0</v>
      </c>
      <c r="AA167" s="91">
        <f t="shared" si="238"/>
        <v>0</v>
      </c>
      <c r="AB167" s="30" t="e">
        <f t="shared" si="300"/>
        <v>#N/A</v>
      </c>
      <c r="AC167" s="30" t="e">
        <f t="shared" si="301"/>
        <v>#N/A</v>
      </c>
      <c r="AD167" s="31" t="e">
        <f>IF(OR(Hypothèses!$B$4=17,Hypothèses!$B$4=18,Hypothèses!$B$4=19,Hypothèses!$B$4=20),
IF($D167="Pressio.",
IF(OR($E167=3,$E167=1,$E167=4),AC167,AB167),
IF($D167="Pénétro.",
IF(OR($E167=3,$E167=1,$E167=4),AC167,AB167))),IF($D167="Pressio.",
IF($E167=3,AC167,AB167),
IF($D167="Pénétro.",
IF($E167=4,AC167,AB167))))</f>
        <v>#N/A</v>
      </c>
      <c r="AE167" s="31">
        <v>0</v>
      </c>
      <c r="AF167" s="102" t="e">
        <f>IF(NDC!$H$10="Oui",(VLOOKUP($B$3,'Coeff EC7'!$T$39:$X$59,2,0)*AD167+VLOOKUP($B$3,'Coeff EC7'!$T$65:$X$85,2,0)*Model0.1T!AE167)/1.5,PI()*AB$12*$Q167*($B167-$B166)*0.15/10+AF166)</f>
        <v>#N/A</v>
      </c>
      <c r="AG167" s="102" t="e">
        <f>(VLOOKUP($B$3,'Coeff EC7'!$T$39:$X$59,3,0)*AD167+VLOOKUP($B$3,'Coeff EC7'!$T$65:$X$85,3,0)*Model0.1T!AE167)/1.1</f>
        <v>#N/A</v>
      </c>
      <c r="AH167" s="102" t="e">
        <f t="shared" si="268"/>
        <v>#N/A</v>
      </c>
      <c r="AI167" s="102" t="e">
        <f t="shared" si="269"/>
        <v>#N/A</v>
      </c>
      <c r="AJ167" s="414" t="e">
        <f>IF(AND(AF167&gt;NDC!$C$63,AG167&gt;NDC!$C$65,AH167&gt;NDC!$D$73,AI167&gt;NDC!$D$74,$B167&gt;NDC!$H$22-0.1+MIN(3*$AJ$12,1.5)),0,1)</f>
        <v>#N/A</v>
      </c>
      <c r="AK167" s="86" t="b">
        <f t="shared" si="239"/>
        <v>0</v>
      </c>
      <c r="AL167" s="86">
        <f t="shared" si="270"/>
        <v>0.5</v>
      </c>
      <c r="AM167" s="86">
        <f t="shared" si="240"/>
        <v>0.5</v>
      </c>
      <c r="AN167" s="30" t="e">
        <f t="shared" ca="1" si="271"/>
        <v>#DIV/0!</v>
      </c>
      <c r="AO167" s="85" t="e">
        <f ca="1">IF(U167&lt;=Hypothèses!$V$7,Hypothèses!$W$7,IF(U167&lt;=Hypothèses!$V$8,Hypothèses!$W$8,IF(U167&lt;=Hypothèses!$V$9,Hypothèses!$W$9,IF(U167&lt;=Hypothèses!$V$10,Hypothèses!$W$10,IF(U167&lt;=Hypothèses!$V$11,Hypothèses!$W$11,IF(U167&lt;=Hypothèses!$V$12,Hypothèses!$W$12,IF(U167&lt;=Hypothèses!$V$13,Hypothèses!$W$13,IF(U167&lt;=Hypothèses!$V$14,Hypothèses!$W$14,IF(U167&lt;=Hypothèses!$V$15,Hypothèses!$W$15,IF(U167&lt;=Hypothèses!$V$16,Hypothèses!$W$16,IF(U167&lt;=Hypothèses!$V$17,Hypothèses!$W$17,IF(U167&lt;=Hypothèses!$V$18,Hypothèses!$W$18,""))))))))))))</f>
        <v>#DIV/0!</v>
      </c>
      <c r="AP167" s="87" t="e">
        <f t="shared" ca="1" si="317"/>
        <v>#DIV/0!</v>
      </c>
      <c r="AQ167" s="88" t="e">
        <f ca="1">IF(U167&lt;=Hypothèses!$V$7,Hypothèses!$X$7,IF(U167&lt;=Hypothèses!$V$8,Hypothèses!$X$8,IF(U167&lt;=Hypothèses!$V$9,Hypothèses!$X$9,IF(U167&lt;=Hypothèses!$V$10,Hypothèses!$X$10,IF(U167&lt;=Hypothèses!$V$11,Hypothèses!$X$11,IF(U167&lt;=Hypothèses!$V$12,Hypothèses!$X$12,IF(U167&lt;=Hypothèses!$V$13,Hypothèses!$X$13,IF(U167&lt;=Hypothèses!$V$14,Hypothèses!$X$14,IF(U167&lt;=Hypothèses!$V$15,Hypothèses!$X$15,IF(U167&lt;=Hypothèses!$V$16,Hypothèses!$X$16,IF(U167&lt;=Hypothèses!$U$17,Hypothèses!$W$17,IF(U167&lt;=Hypothèses!$U$18,Hypothèses!$W$18,""))))))))))))</f>
        <v>#DIV/0!</v>
      </c>
      <c r="AR167" s="95" t="e">
        <f t="shared" ca="1" si="272"/>
        <v>#DIV/0!</v>
      </c>
      <c r="AS167" s="101">
        <f t="shared" si="324"/>
        <v>0</v>
      </c>
      <c r="AT167" s="91">
        <f t="shared" si="241"/>
        <v>0</v>
      </c>
      <c r="AU167" s="30" t="e">
        <f t="shared" si="302"/>
        <v>#N/A</v>
      </c>
      <c r="AV167" s="30" t="e">
        <f t="shared" si="303"/>
        <v>#N/A</v>
      </c>
      <c r="AW167" s="31" t="e">
        <f>IF(OR(Hypothèses!$B$4=17,Hypothèses!$B$4=18,Hypothèses!$B$4=19,Hypothèses!$B$4=20),
IF($D167="Pressio.",
IF(OR($E167=3,$E167=1,$E167=4),AV167,AU167),
IF($D167="Pénétro.",
IF(OR($E167=3,$E167=1,$E167=4),AV167,AU167))),IF($D167="Pressio.",
IF($E167=3,AV167,AU167),
IF($D167="Pénétro.",
IF($E167=4,AV167,AU167))))</f>
        <v>#N/A</v>
      </c>
      <c r="AX167" s="31">
        <v>0</v>
      </c>
      <c r="AY167" s="102" t="e">
        <f>IF(NDC!$H$10="Oui",(VLOOKUP($B$3,'Coeff EC7'!$T$39:$X$59,2,0)*AW167+VLOOKUP($B$3,'Coeff EC7'!$T$65:$X$85,2,0)*Model0.1T!AX167)/1.5,PI()*AU$12*$Q167*($B167-$B166)*0.15/10+AY166)</f>
        <v>#N/A</v>
      </c>
      <c r="AZ167" s="102" t="e">
        <f>(VLOOKUP($B$3,'Coeff EC7'!$T$39:$X$59,3,0)*AW167+VLOOKUP($B$3,'Coeff EC7'!$T$65:$X$85,3,0)*Model0.1T!AX167)/1.1</f>
        <v>#N/A</v>
      </c>
      <c r="BA167" s="102" t="e">
        <f t="shared" si="273"/>
        <v>#N/A</v>
      </c>
      <c r="BB167" s="102" t="e">
        <f t="shared" si="274"/>
        <v>#N/A</v>
      </c>
      <c r="BC167" s="414" t="e">
        <f>IF(AND(AY167&gt;NDC!$C$63,AZ167&gt;NDC!$C$65,BA167&gt;NDC!$D$73,BB167&gt;NDC!$D$74,$B167&gt;NDC!$H$22-0.1+MIN(3*BC$12,1.5)),0,1)</f>
        <v>#N/A</v>
      </c>
      <c r="BD167" s="86" t="b">
        <f t="shared" si="242"/>
        <v>0</v>
      </c>
      <c r="BE167" s="86">
        <f t="shared" si="275"/>
        <v>0.5</v>
      </c>
      <c r="BF167" s="86">
        <f t="shared" si="243"/>
        <v>0.5</v>
      </c>
      <c r="BG167" s="30" t="e">
        <f t="shared" ca="1" si="276"/>
        <v>#DIV/0!</v>
      </c>
      <c r="BH167" s="85" t="e">
        <f ca="1">IF(AN167&lt;=Hypothèses!$V$7,Hypothèses!$W$7,IF(AN167&lt;=Hypothèses!$V$8,Hypothèses!$W$8,IF(AN167&lt;=Hypothèses!$V$9,Hypothèses!$W$9,IF(AN167&lt;=Hypothèses!$V$10,Hypothèses!$W$10,IF(AN167&lt;=Hypothèses!$V$11,Hypothèses!$W$11,IF(AN167&lt;=Hypothèses!$V$12,Hypothèses!$W$12,IF(AN167&lt;=Hypothèses!$V$13,Hypothèses!$W$13,IF(AN167&lt;=Hypothèses!$V$14,Hypothèses!$W$14,IF(AN167&lt;=Hypothèses!$V$15,Hypothèses!$W$15,IF(AN167&lt;=Hypothèses!$V$16,Hypothèses!$W$16,IF(AN167&lt;=Hypothèses!$V$17,Hypothèses!$W$17,IF(AN167&lt;=Hypothèses!$V$18,Hypothèses!$W$18,""))))))))))))</f>
        <v>#DIV/0!</v>
      </c>
      <c r="BI167" s="87" t="e">
        <f t="shared" ca="1" si="318"/>
        <v>#DIV/0!</v>
      </c>
      <c r="BJ167" s="88" t="e">
        <f ca="1">IF(AN167&lt;=Hypothèses!$V$7,Hypothèses!$X$7,IF(AN167&lt;=Hypothèses!$V$8,Hypothèses!$X$8,IF(AN167&lt;=Hypothèses!$V$9,Hypothèses!$X$9,IF(AN167&lt;=Hypothèses!$V$10,Hypothèses!$X$10,IF(AN167&lt;=Hypothèses!$V$11,Hypothèses!$X$11,IF(AN167&lt;=Hypothèses!$V$12,Hypothèses!$X$12,IF(AN167&lt;=Hypothèses!$V$13,Hypothèses!$X$13,IF(AN167&lt;=Hypothèses!$V$14,Hypothèses!$X$14,IF(AN167&lt;=Hypothèses!$V$15,Hypothèses!$X$15,IF(AN167&lt;=Hypothèses!$V$16,Hypothèses!$X$16,IF(AN167&lt;=Hypothèses!$U$17,Hypothèses!$W$17,IF(AN167&lt;=Hypothèses!$U$18,Hypothèses!$W$18,""))))))))))))</f>
        <v>#DIV/0!</v>
      </c>
      <c r="BK167" s="95" t="e">
        <f t="shared" ca="1" si="277"/>
        <v>#DIV/0!</v>
      </c>
      <c r="BL167" s="101">
        <f t="shared" si="325"/>
        <v>0</v>
      </c>
      <c r="BM167" s="91">
        <f t="shared" si="244"/>
        <v>0</v>
      </c>
      <c r="BN167" s="30" t="e">
        <f t="shared" si="304"/>
        <v>#N/A</v>
      </c>
      <c r="BO167" s="30" t="e">
        <f t="shared" si="305"/>
        <v>#N/A</v>
      </c>
      <c r="BP167" s="31" t="e">
        <f>IF(OR(Hypothèses!$B$4=17,Hypothèses!$B$4=18,Hypothèses!$B$4=19,Hypothèses!$B$4=20),
IF($D167="Pressio.",
IF(OR($E167=3,$E167=1,$E167=4),BO167,BN167),
IF($D167="Pénétro.",
IF(OR($E167=3,$E167=1,$E167=4),BO167,BN167))),IF($D167="Pressio.",
IF($E167=3,BO167,BN167),
IF($D167="Pénétro.",
IF($E167=4,BO167,BN167))))</f>
        <v>#N/A</v>
      </c>
      <c r="BQ167" s="31">
        <v>0</v>
      </c>
      <c r="BR167" s="102" t="e">
        <f>IF(NDC!$H$10="Oui",(VLOOKUP($B$3,'Coeff EC7'!$T$39:$X$59,2,0)*BP167+VLOOKUP($B$3,'Coeff EC7'!$T$65:$X$85,2,0)*Model0.1T!BQ167)/1.5,PI()*BN$12*$Q167*($B167-$B166)*0.15/10+BR166)</f>
        <v>#N/A</v>
      </c>
      <c r="BS167" s="102" t="e">
        <f>(VLOOKUP($B$3,'Coeff EC7'!$T$39:$X$59,3,0)*BP167+VLOOKUP($B$3,'Coeff EC7'!$T$65:$X$85,3,0)*Model0.1T!BQ167)/1.1</f>
        <v>#N/A</v>
      </c>
      <c r="BT167" s="102" t="e">
        <f t="shared" si="278"/>
        <v>#N/A</v>
      </c>
      <c r="BU167" s="102" t="e">
        <f t="shared" si="279"/>
        <v>#N/A</v>
      </c>
      <c r="BV167" s="414" t="e">
        <f>IF(AND(BR167&gt;NDC!$C$63,BS167&gt;NDC!$C$65,BT167&gt;NDC!$D$73,BU167&gt;NDC!$D$74,$B167&gt;NDC!$H$22-0.1+MIN(3*BV$12,1.5)),0,1)</f>
        <v>#N/A</v>
      </c>
      <c r="BW167" s="86" t="b">
        <f t="shared" si="245"/>
        <v>0</v>
      </c>
      <c r="BX167" s="86">
        <f t="shared" si="246"/>
        <v>0.5</v>
      </c>
      <c r="BY167" s="86">
        <f t="shared" si="247"/>
        <v>0.5</v>
      </c>
      <c r="BZ167" s="30" t="e">
        <f t="shared" ca="1" si="280"/>
        <v>#DIV/0!</v>
      </c>
      <c r="CA167" s="85" t="e">
        <f ca="1">IF(BG167&lt;=Hypothèses!$V$7,Hypothèses!$W$7,IF(BG167&lt;=Hypothèses!$V$8,Hypothèses!$W$8,IF(BG167&lt;=Hypothèses!$V$9,Hypothèses!$W$9,IF(BG167&lt;=Hypothèses!$V$10,Hypothèses!$W$10,IF(BG167&lt;=Hypothèses!$V$11,Hypothèses!$W$11,IF(BG167&lt;=Hypothèses!$V$12,Hypothèses!$W$12,IF(BG167&lt;=Hypothèses!$V$13,Hypothèses!$W$13,IF(BG167&lt;=Hypothèses!$V$14,Hypothèses!$W$14,IF(BG167&lt;=Hypothèses!$V$15,Hypothèses!$W$15,IF(BG167&lt;=Hypothèses!$V$16,Hypothèses!$W$16,IF(BG167&lt;=Hypothèses!$V$17,Hypothèses!$W$17,IF(BG167&lt;=Hypothèses!$V$18,Hypothèses!$W$18,""))))))))))))</f>
        <v>#DIV/0!</v>
      </c>
      <c r="CB167" s="87" t="e">
        <f t="shared" ca="1" si="319"/>
        <v>#DIV/0!</v>
      </c>
      <c r="CC167" s="88" t="e">
        <f ca="1">IF(BG167&lt;=Hypothèses!$V$7,Hypothèses!$X$7,IF(BG167&lt;=Hypothèses!$V$8,Hypothèses!$X$8,IF(BG167&lt;=Hypothèses!$V$9,Hypothèses!$X$9,IF(BG167&lt;=Hypothèses!$V$10,Hypothèses!$X$10,IF(BG167&lt;=Hypothèses!$V$11,Hypothèses!$X$11,IF(BG167&lt;=Hypothèses!$V$12,Hypothèses!$X$12,IF(BG167&lt;=Hypothèses!$V$13,Hypothèses!$X$13,IF(BG167&lt;=Hypothèses!$V$14,Hypothèses!$X$14,IF(BG167&lt;=Hypothèses!$V$15,Hypothèses!$X$15,IF(BG167&lt;=Hypothèses!$V$16,Hypothèses!$X$16,IF(BG167&lt;=Hypothèses!$U$17,Hypothèses!$W$17,IF(BG167&lt;=Hypothèses!$U$18,Hypothèses!$W$18,""))))))))))))</f>
        <v>#DIV/0!</v>
      </c>
      <c r="CD167" s="95" t="e">
        <f t="shared" ca="1" si="281"/>
        <v>#DIV/0!</v>
      </c>
      <c r="CE167" s="101">
        <f t="shared" si="326"/>
        <v>0</v>
      </c>
      <c r="CF167" s="91">
        <f t="shared" si="248"/>
        <v>0</v>
      </c>
      <c r="CG167" s="30" t="e">
        <f t="shared" si="306"/>
        <v>#N/A</v>
      </c>
      <c r="CH167" s="30" t="e">
        <f t="shared" si="307"/>
        <v>#N/A</v>
      </c>
      <c r="CI167" s="31" t="e">
        <f>IF(OR(Hypothèses!$B$4=17,Hypothèses!$B$4=18,Hypothèses!$B$4=19,Hypothèses!$B$4=20),
IF($D167="Pressio.",
IF(OR($E167=3,$E167=1,$E167=4),CH167,CG167),
IF($D167="Pénétro.",
IF(OR($E167=3,$E167=1,$E167=4),CH167,CG167))),IF($D167="Pressio.",
IF($E167=3,CH167,CG167),
IF($D167="Pénétro.",
IF($E167=4,CH167,CG167))))</f>
        <v>#N/A</v>
      </c>
      <c r="CJ167" s="31">
        <v>0</v>
      </c>
      <c r="CK167" s="102" t="e">
        <f>IF(NDC!$H$10="Oui",(VLOOKUP($B$3,'Coeff EC7'!$T$39:$X$59,2,0)*CI167+VLOOKUP($B$3,'Coeff EC7'!$T$65:$X$85,2,0)*Model0.1T!CJ167)/1.5,PI()*CG$12*$Q167*($B167-$B166)*0.15/10+CK166)</f>
        <v>#N/A</v>
      </c>
      <c r="CL167" s="102" t="e">
        <f>(VLOOKUP($B$3,'Coeff EC7'!$T$39:$X$59,3,0)*CI167+VLOOKUP($B$3,'Coeff EC7'!$T$65:$X$85,3,0)*Model0.1T!CJ167)/1.1</f>
        <v>#N/A</v>
      </c>
      <c r="CM167" s="102" t="e">
        <f t="shared" si="282"/>
        <v>#N/A</v>
      </c>
      <c r="CN167" s="102" t="e">
        <f t="shared" si="283"/>
        <v>#N/A</v>
      </c>
      <c r="CO167" s="414" t="e">
        <f>IF(AND(CK167&gt;NDC!$C$63,CL167&gt;NDC!$C$65,CM167&gt;NDC!$D$73,CN167&gt;NDC!$D$74,$B167&gt;NDC!$H$22-0.1+MIN(3*CO$12,1.5)),0,1)</f>
        <v>#N/A</v>
      </c>
      <c r="CP167" s="86" t="b">
        <f t="shared" si="249"/>
        <v>0</v>
      </c>
      <c r="CQ167" s="86">
        <f t="shared" si="250"/>
        <v>0.5</v>
      </c>
      <c r="CR167" s="86">
        <f t="shared" si="251"/>
        <v>0.5</v>
      </c>
      <c r="CS167" s="30" t="e">
        <f t="shared" ca="1" si="284"/>
        <v>#DIV/0!</v>
      </c>
      <c r="CT167" s="85" t="e">
        <f ca="1">IF(BZ167&lt;=Hypothèses!$V$7,Hypothèses!$W$7,IF(BZ167&lt;=Hypothèses!$V$8,Hypothèses!$W$8,IF(BZ167&lt;=Hypothèses!$V$9,Hypothèses!$W$9,IF(BZ167&lt;=Hypothèses!$V$10,Hypothèses!$W$10,IF(BZ167&lt;=Hypothèses!$V$11,Hypothèses!$W$11,IF(BZ167&lt;=Hypothèses!$V$12,Hypothèses!$W$12,IF(BZ167&lt;=Hypothèses!$V$13,Hypothèses!$W$13,IF(BZ167&lt;=Hypothèses!$V$14,Hypothèses!$W$14,IF(BZ167&lt;=Hypothèses!$V$15,Hypothèses!$W$15,IF(BZ167&lt;=Hypothèses!$V$16,Hypothèses!$W$16,IF(BZ167&lt;=Hypothèses!$V$17,Hypothèses!$W$17,IF(BZ167&lt;=Hypothèses!$V$18,Hypothèses!$W$18,""))))))))))))</f>
        <v>#DIV/0!</v>
      </c>
      <c r="CU167" s="87" t="e">
        <f t="shared" ca="1" si="320"/>
        <v>#DIV/0!</v>
      </c>
      <c r="CV167" s="88" t="e">
        <f ca="1">IF(BZ167&lt;=Hypothèses!$V$7,Hypothèses!$X$7,IF(BZ167&lt;=Hypothèses!$V$8,Hypothèses!$X$8,IF(BZ167&lt;=Hypothèses!$V$9,Hypothèses!$X$9,IF(BZ167&lt;=Hypothèses!$V$10,Hypothèses!$X$10,IF(BZ167&lt;=Hypothèses!$V$11,Hypothèses!$X$11,IF(BZ167&lt;=Hypothèses!$V$12,Hypothèses!$X$12,IF(BZ167&lt;=Hypothèses!$V$13,Hypothèses!$X$13,IF(BZ167&lt;=Hypothèses!$V$14,Hypothèses!$X$14,IF(BZ167&lt;=Hypothèses!$V$15,Hypothèses!$X$15,IF(BZ167&lt;=Hypothèses!$V$16,Hypothèses!$X$16,IF(BZ167&lt;=Hypothèses!$U$17,Hypothèses!$W$17,IF(BZ167&lt;=Hypothèses!$U$18,Hypothèses!$W$18,""))))))))))))</f>
        <v>#DIV/0!</v>
      </c>
      <c r="CW167" s="95" t="e">
        <f t="shared" ca="1" si="285"/>
        <v>#DIV/0!</v>
      </c>
      <c r="CX167" s="101">
        <f t="shared" si="327"/>
        <v>0</v>
      </c>
      <c r="CY167" s="91">
        <f t="shared" si="252"/>
        <v>0</v>
      </c>
      <c r="CZ167" s="30" t="e">
        <f t="shared" si="308"/>
        <v>#N/A</v>
      </c>
      <c r="DA167" s="30" t="e">
        <f t="shared" si="309"/>
        <v>#N/A</v>
      </c>
      <c r="DB167" s="31" t="e">
        <f>IF(OR(Hypothèses!$B$4=17,Hypothèses!$B$4=18,Hypothèses!$B$4=19,Hypothèses!$B$4=20),
IF($D167="Pressio.",
IF(OR($E167=3,$E167=1,$E167=4),DA167,CZ167),
IF($D167="Pénétro.",
IF(OR($E167=3,$E167=1,$E167=4),DA167,CZ167))),IF($D167="Pressio.",
IF($E167=3,DA167,CZ167),
IF($D167="Pénétro.",
IF($E167=4,DA167,CZ167))))</f>
        <v>#N/A</v>
      </c>
      <c r="DC167" s="31">
        <v>0</v>
      </c>
      <c r="DD167" s="102" t="e">
        <f>IF(NDC!$H$10="Oui",(VLOOKUP($B$3,'Coeff EC7'!$T$39:$X$59,2,0)*DB167+VLOOKUP($B$3,'Coeff EC7'!$T$65:$X$85,2,0)*Model0.1T!DC167)/1.5,PI()*CZ$12*$Q167*($B167-$B166)*0.15/10+DD166)</f>
        <v>#N/A</v>
      </c>
      <c r="DE167" s="102" t="e">
        <f>(VLOOKUP($B$3,'Coeff EC7'!$T$39:$X$59,3,0)*DB167+VLOOKUP($B$3,'Coeff EC7'!$T$65:$X$85,3,0)*Model0.1T!DC167)/1.1</f>
        <v>#N/A</v>
      </c>
      <c r="DF167" s="102" t="e">
        <f t="shared" si="286"/>
        <v>#N/A</v>
      </c>
      <c r="DG167" s="102" t="e">
        <f t="shared" si="287"/>
        <v>#N/A</v>
      </c>
      <c r="DH167" s="414" t="e">
        <f>IF(AND(DD167&gt;NDC!$C$63,DE167&gt;NDC!$C$65,DF167&gt;NDC!$D$73,DG167&gt;NDC!$D$74,$B167&gt;NDC!$H$22-0.1+MIN(3*DH$12,1.5)),0,1)</f>
        <v>#N/A</v>
      </c>
      <c r="DI167" s="86" t="b">
        <f t="shared" si="253"/>
        <v>0</v>
      </c>
      <c r="DJ167" s="86">
        <f t="shared" si="254"/>
        <v>0.5</v>
      </c>
      <c r="DK167" s="86">
        <f t="shared" si="255"/>
        <v>0.5</v>
      </c>
      <c r="DL167" s="30" t="e">
        <f t="shared" ca="1" si="288"/>
        <v>#DIV/0!</v>
      </c>
      <c r="DM167" s="85" t="e">
        <f ca="1">IF(CS167&lt;=Hypothèses!$V$7,Hypothèses!$W$7,IF(CS167&lt;=Hypothèses!$V$8,Hypothèses!$W$8,IF(CS167&lt;=Hypothèses!$V$9,Hypothèses!$W$9,IF(CS167&lt;=Hypothèses!$V$10,Hypothèses!$W$10,IF(CS167&lt;=Hypothèses!$V$11,Hypothèses!$W$11,IF(CS167&lt;=Hypothèses!$V$12,Hypothèses!$W$12,IF(CS167&lt;=Hypothèses!$V$13,Hypothèses!$W$13,IF(CS167&lt;=Hypothèses!$V$14,Hypothèses!$W$14,IF(CS167&lt;=Hypothèses!$V$15,Hypothèses!$W$15,IF(CS167&lt;=Hypothèses!$V$16,Hypothèses!$W$16,IF(CS167&lt;=Hypothèses!$V$17,Hypothèses!$W$17,IF(CS167&lt;=Hypothèses!$V$18,Hypothèses!$W$18,""))))))))))))</f>
        <v>#DIV/0!</v>
      </c>
      <c r="DN167" s="87" t="e">
        <f t="shared" ca="1" si="321"/>
        <v>#DIV/0!</v>
      </c>
      <c r="DO167" s="88" t="e">
        <f ca="1">IF(CS167&lt;=Hypothèses!$V$7,Hypothèses!$X$7,IF(CS167&lt;=Hypothèses!$V$8,Hypothèses!$X$8,IF(CS167&lt;=Hypothèses!$V$9,Hypothèses!$X$9,IF(CS167&lt;=Hypothèses!$V$10,Hypothèses!$X$10,IF(CS167&lt;=Hypothèses!$V$11,Hypothèses!$X$11,IF(CS167&lt;=Hypothèses!$V$12,Hypothèses!$X$12,IF(CS167&lt;=Hypothèses!$V$13,Hypothèses!$X$13,IF(CS167&lt;=Hypothèses!$V$14,Hypothèses!$X$14,IF(CS167&lt;=Hypothèses!$V$15,Hypothèses!$X$15,IF(CS167&lt;=Hypothèses!$V$16,Hypothèses!$X$16,IF(CS167&lt;=Hypothèses!$U$17,Hypothèses!$W$17,IF(CS167&lt;=Hypothèses!$U$18,Hypothèses!$W$18,""))))))))))))</f>
        <v>#DIV/0!</v>
      </c>
      <c r="DP167" s="95" t="e">
        <f t="shared" ca="1" si="289"/>
        <v>#DIV/0!</v>
      </c>
      <c r="DQ167" s="101">
        <f t="shared" si="328"/>
        <v>0</v>
      </c>
      <c r="DR167" s="91">
        <f t="shared" si="256"/>
        <v>0</v>
      </c>
      <c r="DS167" s="30" t="e">
        <f t="shared" si="310"/>
        <v>#N/A</v>
      </c>
      <c r="DT167" s="30" t="e">
        <f t="shared" si="311"/>
        <v>#N/A</v>
      </c>
      <c r="DU167" s="31" t="e">
        <f>IF(OR(Hypothèses!$B$4=17,Hypothèses!$B$4=18,Hypothèses!$B$4=19,Hypothèses!$B$4=20),
IF($D167="Pressio.",
IF(OR($E167=3,$E167=1,$E167=4),DT167,DS167),
IF($D167="Pénétro.",
IF(OR($E167=3,$E167=1,$E167=4),DT167,DS167))),IF($D167="Pressio.",
IF($E167=3,DT167,DS167),
IF($D167="Pénétro.",
IF($E167=4,DT167,DS167))))</f>
        <v>#N/A</v>
      </c>
      <c r="DV167" s="31">
        <v>0</v>
      </c>
      <c r="DW167" s="102" t="e">
        <f>IF(NDC!$H$10="Oui",(VLOOKUP($B$3,'Coeff EC7'!$T$39:$X$59,2,0)*DU167+VLOOKUP($B$3,'Coeff EC7'!$T$65:$X$85,2,0)*Model0.1T!DV167)/1.5,PI()*DS$12*$Q167*($B167-$B166)*0.15/10+DW166)</f>
        <v>#N/A</v>
      </c>
      <c r="DX167" s="102" t="e">
        <f>(VLOOKUP($B$3,'Coeff EC7'!$T$39:$X$59,3,0)*DU167+VLOOKUP($B$3,'Coeff EC7'!$T$65:$X$85,3,0)*Model0.1T!DV167)/1.1</f>
        <v>#N/A</v>
      </c>
      <c r="DY167" s="102" t="e">
        <f t="shared" si="290"/>
        <v>#N/A</v>
      </c>
      <c r="DZ167" s="102" t="e">
        <f t="shared" si="291"/>
        <v>#N/A</v>
      </c>
      <c r="EA167" s="414" t="e">
        <f>IF(AND(DW167&gt;NDC!$C$63,DX167&gt;NDC!$C$65,DY167&gt;NDC!$D$73,DZ167&gt;NDC!$D$74,$B167&gt;NDC!$H$22-0.1+MIN(3*EA$12,1.5)),0,1)</f>
        <v>#N/A</v>
      </c>
      <c r="EB167" s="86" t="b">
        <f t="shared" si="257"/>
        <v>0</v>
      </c>
      <c r="EC167" s="418">
        <f t="shared" si="258"/>
        <v>0.51</v>
      </c>
      <c r="ED167" s="86">
        <f t="shared" si="259"/>
        <v>0.51</v>
      </c>
      <c r="EE167" s="30" t="e">
        <f t="shared" ca="1" si="292"/>
        <v>#DIV/0!</v>
      </c>
      <c r="EF167" s="85" t="e">
        <f ca="1">IF(DL167&lt;=Hypothèses!$V$7,Hypothèses!$W$7,IF(DL167&lt;=Hypothèses!$V$8,Hypothèses!$W$8,IF(DL167&lt;=Hypothèses!$V$9,Hypothèses!$W$9,IF(DL167&lt;=Hypothèses!$V$10,Hypothèses!$W$10,IF(DL167&lt;=Hypothèses!$V$11,Hypothèses!$W$11,IF(DL167&lt;=Hypothèses!$V$12,Hypothèses!$W$12,IF(DL167&lt;=Hypothèses!$V$13,Hypothèses!$W$13,IF(DL167&lt;=Hypothèses!$V$14,Hypothèses!$W$14,IF(DL167&lt;=Hypothèses!$V$15,Hypothèses!$W$15,IF(DL167&lt;=Hypothèses!$V$16,Hypothèses!$W$16,IF(DL167&lt;=Hypothèses!$V$17,Hypothèses!$W$17,IF(DL167&lt;=Hypothèses!$V$18,Hypothèses!$W$18,""))))))))))))</f>
        <v>#DIV/0!</v>
      </c>
      <c r="EG167" s="87" t="e">
        <f t="shared" ca="1" si="322"/>
        <v>#DIV/0!</v>
      </c>
      <c r="EH167" s="88" t="e">
        <f ca="1">IF(DL167&lt;=Hypothèses!$V$7,Hypothèses!$X$7,IF(DL167&lt;=Hypothèses!$V$8,Hypothèses!$X$8,IF(DL167&lt;=Hypothèses!$V$9,Hypothèses!$X$9,IF(DL167&lt;=Hypothèses!$V$10,Hypothèses!$X$10,IF(DL167&lt;=Hypothèses!$V$11,Hypothèses!$X$11,IF(DL167&lt;=Hypothèses!$V$12,Hypothèses!$X$12,IF(DL167&lt;=Hypothèses!$V$13,Hypothèses!$X$13,IF(DL167&lt;=Hypothèses!$V$14,Hypothèses!$X$14,IF(DL167&lt;=Hypothèses!$V$15,Hypothèses!$X$15,IF(DL167&lt;=Hypothèses!$V$16,Hypothèses!$X$16,IF(DL167&lt;=Hypothèses!$U$17,Hypothèses!$W$17,IF(DL167&lt;=Hypothèses!$U$18,Hypothèses!$W$18,""))))))))))))</f>
        <v>#DIV/0!</v>
      </c>
      <c r="EI167" s="95" t="e">
        <f t="shared" ca="1" si="293"/>
        <v>#DIV/0!</v>
      </c>
      <c r="EJ167" s="101">
        <f t="shared" si="329"/>
        <v>0</v>
      </c>
      <c r="EK167" s="91">
        <f t="shared" si="260"/>
        <v>0</v>
      </c>
      <c r="EL167" s="30" t="e">
        <f t="shared" si="312"/>
        <v>#N/A</v>
      </c>
      <c r="EM167" s="30" t="e">
        <f t="shared" si="313"/>
        <v>#N/A</v>
      </c>
      <c r="EN167" s="31" t="e">
        <f>IF(OR(Hypothèses!$B$4=17,Hypothèses!$B$4=18,Hypothèses!$B$4=19,Hypothèses!$B$4=20),
IF($D167="Pressio.",
IF(OR($E167=3,$E167=1,$E167=4),EM167,EL167),
IF($D167="Pénétro.",
IF(OR($E167=3,$E167=1,$E167=4),EM167,EL167))),IF($D167="Pressio.",
IF($E167=3,EM167,EL167),
IF($D167="Pénétro.",
IF($E167=4,EM167,EL167))))</f>
        <v>#N/A</v>
      </c>
      <c r="EO167" s="31">
        <v>0</v>
      </c>
      <c r="EP167" s="102" t="e">
        <f>IF(NDC!$H$10="Oui",(VLOOKUP($B$3,'Coeff EC7'!$T$39:$X$59,2,0)*EN167+VLOOKUP($B$3,'Coeff EC7'!$T$65:$X$85,2,0)*Model0.1T!EO167)/1.5,PI()*EL$12*$Q167*($B167-$B166)*0.15/10+EP166)</f>
        <v>#N/A</v>
      </c>
      <c r="EQ167" s="102" t="e">
        <f>(VLOOKUP($B$3,'Coeff EC7'!$T$39:$X$59,3,0)*EN167+VLOOKUP($B$3,'Coeff EC7'!$T$65:$X$85,3,0)*Model0.1T!EO167)/1.1</f>
        <v>#N/A</v>
      </c>
      <c r="ER167" s="102" t="e">
        <f t="shared" si="294"/>
        <v>#N/A</v>
      </c>
      <c r="ES167" s="102" t="e">
        <f t="shared" si="295"/>
        <v>#N/A</v>
      </c>
      <c r="ET167" s="414" t="e">
        <f>IF(AND(EP167&gt;NDC!$C$63,EQ167&gt;NDC!$C$65,ER167&gt;NDC!$D$73,ES167&gt;NDC!$D$74,$B167&gt;NDC!$H$22-0.1+MIN(3*ET$12,1.5)),0,1)</f>
        <v>#N/A</v>
      </c>
      <c r="EU167" s="86" t="b">
        <f t="shared" si="261"/>
        <v>0</v>
      </c>
      <c r="EV167" s="86">
        <f t="shared" si="262"/>
        <v>0.61</v>
      </c>
      <c r="EW167" s="86">
        <f t="shared" si="263"/>
        <v>0.61</v>
      </c>
      <c r="EX167" s="30" t="e">
        <f t="shared" ca="1" si="296"/>
        <v>#DIV/0!</v>
      </c>
      <c r="EY167" s="85" t="e">
        <f ca="1">IF(EE167&lt;=Hypothèses!$V$7,Hypothèses!$W$7,IF(EE167&lt;=Hypothèses!$V$8,Hypothèses!$W$8,IF(EE167&lt;=Hypothèses!$V$9,Hypothèses!$W$9,IF(EE167&lt;=Hypothèses!$V$10,Hypothèses!$W$10,IF(EE167&lt;=Hypothèses!$V$11,Hypothèses!$W$11,IF(EE167&lt;=Hypothèses!$V$12,Hypothèses!$W$12,IF(EE167&lt;=Hypothèses!$V$13,Hypothèses!$W$13,IF(EE167&lt;=Hypothèses!$V$14,Hypothèses!$W$14,IF(EE167&lt;=Hypothèses!$V$15,Hypothèses!$W$15,IF(EE167&lt;=Hypothèses!$V$16,Hypothèses!$W$16,IF(EE167&lt;=Hypothèses!$V$17,Hypothèses!$W$17,IF(EE167&lt;=Hypothèses!$V$18,Hypothèses!$W$18,""))))))))))))</f>
        <v>#DIV/0!</v>
      </c>
      <c r="EZ167" s="87" t="e">
        <f t="shared" ca="1" si="323"/>
        <v>#DIV/0!</v>
      </c>
      <c r="FA167" s="88" t="e">
        <f ca="1">IF(EE167&lt;=Hypothèses!$V$7,Hypothèses!$X$7,IF(EE167&lt;=Hypothèses!$V$8,Hypothèses!$X$8,IF(EE167&lt;=Hypothèses!$V$9,Hypothèses!$X$9,IF(EE167&lt;=Hypothèses!$V$10,Hypothèses!$X$10,IF(EE167&lt;=Hypothèses!$V$11,Hypothèses!$X$11,IF(EE167&lt;=Hypothèses!$V$12,Hypothèses!$X$12,IF(EE167&lt;=Hypothèses!$V$13,Hypothèses!$X$13,IF(EE167&lt;=Hypothèses!$V$14,Hypothèses!$X$14,IF(EE167&lt;=Hypothèses!$V$15,Hypothèses!$X$15,IF(EE167&lt;=Hypothèses!$V$16,Hypothèses!$X$16,IF(EE167&lt;=Hypothèses!$U$17,Hypothèses!$W$17,IF(EE167&lt;=Hypothèses!$U$18,Hypothèses!$W$18,""))))))))))))</f>
        <v>#DIV/0!</v>
      </c>
      <c r="FB167" s="95" t="e">
        <f t="shared" ca="1" si="297"/>
        <v>#DIV/0!</v>
      </c>
      <c r="FC167" s="101">
        <f t="shared" si="330"/>
        <v>0</v>
      </c>
      <c r="FD167" s="91">
        <f t="shared" si="264"/>
        <v>0</v>
      </c>
      <c r="FE167" s="30" t="e">
        <f t="shared" si="314"/>
        <v>#N/A</v>
      </c>
      <c r="FF167" s="30" t="e">
        <f t="shared" si="315"/>
        <v>#N/A</v>
      </c>
      <c r="FG167" s="31" t="e">
        <f>IF(OR(Hypothèses!$B$4=17,Hypothèses!$B$4=18,Hypothèses!$B$4=19,Hypothèses!$B$4=20),
IF($D167="Pressio.",
IF(OR($E167=3,$E167=1,$E167=4),FF167,FE167),
IF($D167="Pénétro.",
IF(OR($E167=3,$E167=1,$E167=4),FF167,FE167))),IF($D167="Pressio.",
IF($E167=3,FF167,FE167),
IF($D167="Pénétro.",
IF($E167=4,FF167,FE167))))</f>
        <v>#N/A</v>
      </c>
      <c r="FH167" s="31">
        <v>0</v>
      </c>
      <c r="FI167" s="102" t="e">
        <f>IF(NDC!$H$10="Oui",(VLOOKUP($B$3,'Coeff EC7'!$T$39:$X$59,2,0)*FG167+VLOOKUP($B$3,'Coeff EC7'!$T$65:$X$85,2,0)*Model0.1T!FH167)/1.5,PI()*FE$12*$Q167*($B167-$B166)*0.15/10+FI166)</f>
        <v>#N/A</v>
      </c>
      <c r="FJ167" s="102" t="e">
        <f>(VLOOKUP($B$3,'Coeff EC7'!$T$39:$X$59,3,0)*FG167+VLOOKUP($B$3,'Coeff EC7'!$T$65:$X$85,3,0)*Model0.1T!FH167)/1.1</f>
        <v>#N/A</v>
      </c>
      <c r="FK167" s="102" t="e">
        <f t="shared" si="298"/>
        <v>#N/A</v>
      </c>
      <c r="FL167" s="102" t="e">
        <f t="shared" si="299"/>
        <v>#N/A</v>
      </c>
      <c r="FM167" s="414" t="e">
        <f>IF(AND(FI167&gt;NDC!$C$63,FJ167&gt;NDC!$C$65,FK167&gt;NDC!$D$73,FL167&gt;NDC!$D$74,$B167&gt;NDC!$H$22-0.1+MIN(3*FM$12,1.5)),0,1)</f>
        <v>#N/A</v>
      </c>
    </row>
    <row r="168" spans="1:169">
      <c r="A168" s="96">
        <f t="shared" si="265"/>
        <v>84.500000000000881</v>
      </c>
      <c r="B168" s="97">
        <v>15.5</v>
      </c>
      <c r="C168" s="81">
        <f>IF(B168&lt;=Hypothèses!$C$7,Hypothèses!$A$7,IF(B168&lt;=Hypothèses!$C$8,Hypothèses!$A$8,IF(B168&lt;=Hypothèses!$C$9,Hypothèses!$A$9,IF(B168&lt;=Hypothèses!$C$10,Hypothèses!$A$10,IF(B168&lt;=Hypothèses!$C$11,Hypothèses!$A$11,IF(B168&lt;=Hypothèses!$C$12,Hypothèses!$A$12,IF(B168&lt;=Hypothèses!$C$13,Hypothèses!$A$13,IF(B168&lt;=Hypothèses!$C$14,Hypothèses!$A$14,IF(B168&lt;=Hypothèses!$C$15,Hypothèses!$A$15,IF(B168&lt;=Hypothèses!$C$16,Hypothèses!$A$16,IF(B168&lt;=Hypothèses!$C$17,Hypothèses!$A$17,IF(B168&lt;=Hypothèses!$C$18,Hypothèses!$A$18,C167))))))))))))</f>
        <v>11</v>
      </c>
      <c r="D168" s="82" t="str">
        <f>IF(B168&lt;=Hypothèses!$C$7,Hypothèses!$R$7,IF(B168&lt;=Hypothèses!$C$8,Hypothèses!$R$8,IF(B168&lt;=Hypothèses!$C$9,Hypothèses!$R$9,IF(B168&lt;=Hypothèses!$C$10,Hypothèses!$R$10,IF(B168&lt;=Hypothèses!$C$11,Hypothèses!$R$11,IF(B168&lt;=Hypothèses!$C$12,Hypothèses!$R$12,IF(B168&lt;=Hypothèses!$C$13,Hypothèses!$R$13,IF(B168&lt;=Hypothèses!$C$14,Hypothèses!$R$14,IF(B168&lt;=Hypothèses!$C$15,Hypothèses!$R$15,IF(B168&lt;=Hypothèses!$C$16,Hypothèses!$R$16,IF(B168&lt;=Hypothèses!$C$17,Hypothèses!$R$17,IF(B168&lt;=Hypothèses!$C$18,Hypothèses!$R$18,D167))))))))))))</f>
        <v>Pressio.</v>
      </c>
      <c r="E168" s="82" t="e">
        <f>IF(B168&lt;=Hypothèses!$C$7,Hypothèses!$G$7,IF(B168&lt;=Hypothèses!$C$8,Hypothèses!$G$8,IF(B168&lt;=Hypothèses!$C$9,Hypothèses!$G$9,IF(B168&lt;=Hypothèses!$C$10,Hypothèses!$G$10,IF(B168&lt;=Hypothèses!$C$11,Hypothèses!$G$11,IF(B168&lt;=Hypothèses!$C$12,Hypothèses!$G$12,IF(B168&lt;=Hypothèses!$C$13,Hypothèses!$G$13,IF(B168&lt;=Hypothèses!$C$14,Hypothèses!$G$14,IF(B168&lt;=Hypothèses!$C$15,Hypothèses!$G$15,IF(B168&lt;=Hypothèses!$C$16,Hypothèses!$G$16,IF(B168&lt;=Hypothèses!$C$17,Hypothèses!$G$17,IF(B168&lt;=Hypothèses!$C$18,Hypothèses!$G$18,E167))))))))))))</f>
        <v>#N/A</v>
      </c>
      <c r="F168" s="82" t="str">
        <f>IF(B168&lt;=Hypothèses!$C$7,Hypothèses!$F$7,IF(B168&lt;=Hypothèses!$C$8,Hypothèses!$F$8,IF(B168&lt;=Hypothèses!$C$9,Hypothèses!$F$9,IF(B168&lt;=Hypothèses!$C$10,Hypothèses!$F$10,IF(B168&lt;=Hypothèses!$C$11,Hypothèses!$F$11,IF(B168&lt;=Hypothèses!$C$12,Hypothèses!$F$12,IF(B168&lt;=Hypothèses!$C$13,Hypothèses!$F$13,IF(B168&lt;=Hypothèses!$C$14,Hypothèses!$F$14,IF(B168&lt;=Hypothèses!$C$15,Hypothèses!$F$15,IF(B168&lt;=Hypothèses!$C$16,Hypothèses!$F$16,IF(B168&lt;=Hypothèses!$C$17,Hypothèses!$F$17,IF(B168&lt;=Hypothèses!$C$18,Hypothèses!$F$18,F167))))))))))))</f>
        <v/>
      </c>
      <c r="G168" s="91">
        <f t="array" ref="G168">INDEX('Coeff EC7'!$U$7:$X$27,
MATCH(Model0.1T!$B$3,'Coeff EC7'!$T$7:$T$27,0),
MATCH(Model0.1T!$D168&amp;Model0.1T!$B$4,
'Coeff EC7'!$U$6:$X$6&amp;
'Coeff EC7'!$U$5:$X$5,0))</f>
        <v>1.4</v>
      </c>
      <c r="H168" s="91">
        <f t="array" ref="H168">INDEX('Coeff EC7'!$Y$7:$AB$27,
MATCH(Model0.1T!$B$3,'Coeff EC7'!$T$7:$T$27,0),
MATCH(Model0.1T!$D168&amp;Model0.1T!$B$4,
'Coeff EC7'!$Y$6:$AB$6&amp;
'Coeff EC7'!$Y$5:$AB$5,0))</f>
        <v>1.7</v>
      </c>
      <c r="I168" s="83">
        <v>0</v>
      </c>
      <c r="J168" s="91" t="e">
        <f t="array" ref="J168">INDEX('Coeff EC7'!$D$33:$Q$33,1,MATCH(D168&amp;E168,'Coeff EC7'!$D$31:$Q$31&amp;'Coeff EC7'!$D$32:$Q$32,0))</f>
        <v>#N/A</v>
      </c>
      <c r="K168" s="91" t="e">
        <f t="array" ref="K168">INDEX('Coeff EC7'!$D$34:$Q$34,1,MATCH(D168&amp;E168,'Coeff EC7'!$D$31:$Q$31&amp;'Coeff EC7'!$D$32:$Q$32,0))</f>
        <v>#N/A</v>
      </c>
      <c r="L168" s="91" t="e">
        <f t="array" ref="L168">INDEX('Coeff EC7'!$D$35:$Q$35,1,MATCH(D168&amp;E168,'Coeff EC7'!$D$31:$Q$31&amp;'Coeff EC7'!$D$32:$Q$32,0))</f>
        <v>#N/A</v>
      </c>
      <c r="M168" s="98" t="e">
        <f t="shared" si="231"/>
        <v>#N/A</v>
      </c>
      <c r="N168" s="99" t="e">
        <f t="array" ref="N168">INDEX('Coeff EC7'!$D$7:$Q$27,MATCH($B$3,'Coeff EC7'!$C$7:$C$27,0),MATCH(D168&amp;E168,'Coeff EC7'!$D$5:$Q$5&amp;'Coeff EC7'!$D$6:$Q$6,0))</f>
        <v>#N/A</v>
      </c>
      <c r="O168" s="99" t="e">
        <f t="array" ref="O168">INDEX('Coeff EC7'!$D$41:$Q$61,MATCH($B$3,'Coeff EC7'!$C$41:$C$61,0),MATCH(D168&amp;E168,'Coeff EC7'!$D$39:$Q$39&amp;'Coeff EC7'!$D$40:$Q$40,0))</f>
        <v>#N/A</v>
      </c>
      <c r="P168" s="30" t="e">
        <f t="shared" si="266"/>
        <v>#N/A</v>
      </c>
      <c r="Q168" s="100" t="e">
        <f t="shared" si="233"/>
        <v>#N/A</v>
      </c>
      <c r="R168" s="86" t="b">
        <f t="shared" si="234"/>
        <v>0</v>
      </c>
      <c r="S168" s="86">
        <f t="shared" si="232"/>
        <v>0.5</v>
      </c>
      <c r="T168" s="86">
        <f t="shared" si="235"/>
        <v>0.5</v>
      </c>
      <c r="U168" s="30" t="e">
        <f t="shared" ca="1" si="267"/>
        <v>#DIV/0!</v>
      </c>
      <c r="V168" s="85" t="str">
        <f>IF(B168&lt;=Hypothèses!$V$7,Hypothèses!$W$7,IF(B168&lt;=Hypothèses!$V$8,Hypothèses!$W$8,IF(B168&lt;=Hypothèses!$V$9,Hypothèses!$W$9,IF(B168&lt;=Hypothèses!$V$10,Hypothèses!$W$10,IF(B168&lt;=Hypothèses!$V$11,Hypothèses!$W$11,IF(B168&lt;=Hypothèses!$V$12,Hypothèses!$W$12,IF(B168&lt;=Hypothèses!$V$13,Hypothèses!$W$13,IF(B168&lt;=Hypothèses!$V$14,Hypothèses!$W$14,IF(B168&lt;=Hypothèses!$V$15,Hypothèses!$W$15,IF(B168&lt;=Hypothèses!$V$16,Hypothèses!$W$16,IF(B168&lt;=Hypothèses!$V$17,Hypothèses!$W$17,IF(B168&lt;=Hypothèses!$V$18,Hypothèses!$W$18,""))))))))))))</f>
        <v/>
      </c>
      <c r="W168" s="87" t="e">
        <f t="shared" ca="1" si="316"/>
        <v>#DIV/0!</v>
      </c>
      <c r="X168" s="88" t="str">
        <f>IF(B168&lt;=Hypothèses!$V$7,Hypothèses!$X$7,IF(B168&lt;=Hypothèses!$V$8,Hypothèses!$X$8,IF(B168&lt;=Hypothèses!$V$9,Hypothèses!$X$9,IF(B168&lt;=Hypothèses!$V$10,Hypothèses!$X$10,IF(B168&lt;=Hypothèses!$V$11,Hypothèses!$X$11,IF(B168&lt;=Hypothèses!$V$12,Hypothèses!$X$12,IF(B168&lt;=Hypothèses!$V$13,Hypothèses!$X$13,IF(B168&lt;=Hypothèses!$V$14,Hypothèses!$X$14,IF(B168&lt;=Hypothèses!$V$15,Hypothèses!$X$15,IF(B168&lt;=Hypothèses!$V$16,Hypothèses!$X$16,IF(B168&lt;=Hypothèses!$U$17,Hypothèses!$W$17,IF(B168&lt;=Hypothèses!$U$18,Hypothèses!$W$18,""))))))))))))</f>
        <v/>
      </c>
      <c r="Y168" s="95" t="e">
        <f t="shared" ca="1" si="236"/>
        <v>#DIV/0!</v>
      </c>
      <c r="Z168" s="101">
        <f t="shared" si="237"/>
        <v>0</v>
      </c>
      <c r="AA168" s="91">
        <f t="shared" si="238"/>
        <v>0</v>
      </c>
      <c r="AB168" s="30" t="e">
        <f t="shared" si="300"/>
        <v>#N/A</v>
      </c>
      <c r="AC168" s="30" t="e">
        <f t="shared" si="301"/>
        <v>#N/A</v>
      </c>
      <c r="AD168" s="31" t="e">
        <f>IF(OR(Hypothèses!$B$4=17,Hypothèses!$B$4=18,Hypothèses!$B$4=19,Hypothèses!$B$4=20),
IF($D168="Pressio.",
IF(OR($E168=3,$E168=1,$E168=4),AC168,AB168),
IF($D168="Pénétro.",
IF(OR($E168=3,$E168=1,$E168=4),AC168,AB168))),IF($D168="Pressio.",
IF($E168=3,AC168,AB168),
IF($D168="Pénétro.",
IF($E168=4,AC168,AB168))))</f>
        <v>#N/A</v>
      </c>
      <c r="AE168" s="31">
        <v>0</v>
      </c>
      <c r="AF168" s="102" t="e">
        <f>IF(NDC!$H$10="Oui",(VLOOKUP($B$3,'Coeff EC7'!$T$39:$X$59,2,0)*AD168+VLOOKUP($B$3,'Coeff EC7'!$T$65:$X$85,2,0)*Model0.1T!AE168)/1.5,PI()*AB$12*$Q168*($B168-$B167)*0.15/10+AF167)</f>
        <v>#N/A</v>
      </c>
      <c r="AG168" s="102" t="e">
        <f>(VLOOKUP($B$3,'Coeff EC7'!$T$39:$X$59,3,0)*AD168+VLOOKUP($B$3,'Coeff EC7'!$T$65:$X$85,3,0)*Model0.1T!AE168)/1.1</f>
        <v>#N/A</v>
      </c>
      <c r="AH168" s="102" t="e">
        <f t="shared" si="268"/>
        <v>#N/A</v>
      </c>
      <c r="AI168" s="102" t="e">
        <f t="shared" si="269"/>
        <v>#N/A</v>
      </c>
      <c r="AJ168" s="414" t="e">
        <f>IF(AND(AF168&gt;NDC!$C$63,AG168&gt;NDC!$C$65,AH168&gt;NDC!$D$73,AI168&gt;NDC!$D$74,$B168&gt;NDC!$H$22-0.1+MIN(3*$AJ$12,1.5)),0,1)</f>
        <v>#N/A</v>
      </c>
      <c r="AK168" s="86" t="b">
        <f t="shared" si="239"/>
        <v>0</v>
      </c>
      <c r="AL168" s="86">
        <f t="shared" si="270"/>
        <v>0.5</v>
      </c>
      <c r="AM168" s="86">
        <f t="shared" si="240"/>
        <v>0.5</v>
      </c>
      <c r="AN168" s="30" t="e">
        <f t="shared" ca="1" si="271"/>
        <v>#DIV/0!</v>
      </c>
      <c r="AO168" s="85" t="e">
        <f ca="1">IF(U168&lt;=Hypothèses!$V$7,Hypothèses!$W$7,IF(U168&lt;=Hypothèses!$V$8,Hypothèses!$W$8,IF(U168&lt;=Hypothèses!$V$9,Hypothèses!$W$9,IF(U168&lt;=Hypothèses!$V$10,Hypothèses!$W$10,IF(U168&lt;=Hypothèses!$V$11,Hypothèses!$W$11,IF(U168&lt;=Hypothèses!$V$12,Hypothèses!$W$12,IF(U168&lt;=Hypothèses!$V$13,Hypothèses!$W$13,IF(U168&lt;=Hypothèses!$V$14,Hypothèses!$W$14,IF(U168&lt;=Hypothèses!$V$15,Hypothèses!$W$15,IF(U168&lt;=Hypothèses!$V$16,Hypothèses!$W$16,IF(U168&lt;=Hypothèses!$V$17,Hypothèses!$W$17,IF(U168&lt;=Hypothèses!$V$18,Hypothèses!$W$18,""))))))))))))</f>
        <v>#DIV/0!</v>
      </c>
      <c r="AP168" s="87" t="e">
        <f t="shared" ca="1" si="317"/>
        <v>#DIV/0!</v>
      </c>
      <c r="AQ168" s="88" t="e">
        <f ca="1">IF(U168&lt;=Hypothèses!$V$7,Hypothèses!$X$7,IF(U168&lt;=Hypothèses!$V$8,Hypothèses!$X$8,IF(U168&lt;=Hypothèses!$V$9,Hypothèses!$X$9,IF(U168&lt;=Hypothèses!$V$10,Hypothèses!$X$10,IF(U168&lt;=Hypothèses!$V$11,Hypothèses!$X$11,IF(U168&lt;=Hypothèses!$V$12,Hypothèses!$X$12,IF(U168&lt;=Hypothèses!$V$13,Hypothèses!$X$13,IF(U168&lt;=Hypothèses!$V$14,Hypothèses!$X$14,IF(U168&lt;=Hypothèses!$V$15,Hypothèses!$X$15,IF(U168&lt;=Hypothèses!$V$16,Hypothèses!$X$16,IF(U168&lt;=Hypothèses!$U$17,Hypothèses!$W$17,IF(U168&lt;=Hypothèses!$U$18,Hypothèses!$W$18,""))))))))))))</f>
        <v>#DIV/0!</v>
      </c>
      <c r="AR168" s="95" t="e">
        <f t="shared" ca="1" si="272"/>
        <v>#DIV/0!</v>
      </c>
      <c r="AS168" s="101">
        <f t="shared" si="324"/>
        <v>0</v>
      </c>
      <c r="AT168" s="91">
        <f t="shared" si="241"/>
        <v>0</v>
      </c>
      <c r="AU168" s="30" t="e">
        <f t="shared" si="302"/>
        <v>#N/A</v>
      </c>
      <c r="AV168" s="30" t="e">
        <f t="shared" si="303"/>
        <v>#N/A</v>
      </c>
      <c r="AW168" s="31" t="e">
        <f>IF(OR(Hypothèses!$B$4=17,Hypothèses!$B$4=18,Hypothèses!$B$4=19,Hypothèses!$B$4=20),
IF($D168="Pressio.",
IF(OR($E168=3,$E168=1,$E168=4),AV168,AU168),
IF($D168="Pénétro.",
IF(OR($E168=3,$E168=1,$E168=4),AV168,AU168))),IF($D168="Pressio.",
IF($E168=3,AV168,AU168),
IF($D168="Pénétro.",
IF($E168=4,AV168,AU168))))</f>
        <v>#N/A</v>
      </c>
      <c r="AX168" s="31">
        <v>0</v>
      </c>
      <c r="AY168" s="102" t="e">
        <f>IF(NDC!$H$10="Oui",(VLOOKUP($B$3,'Coeff EC7'!$T$39:$X$59,2,0)*AW168+VLOOKUP($B$3,'Coeff EC7'!$T$65:$X$85,2,0)*Model0.1T!AX168)/1.5,PI()*AU$12*$Q168*($B168-$B167)*0.15/10+AY167)</f>
        <v>#N/A</v>
      </c>
      <c r="AZ168" s="102" t="e">
        <f>(VLOOKUP($B$3,'Coeff EC7'!$T$39:$X$59,3,0)*AW168+VLOOKUP($B$3,'Coeff EC7'!$T$65:$X$85,3,0)*Model0.1T!AX168)/1.1</f>
        <v>#N/A</v>
      </c>
      <c r="BA168" s="102" t="e">
        <f t="shared" si="273"/>
        <v>#N/A</v>
      </c>
      <c r="BB168" s="102" t="e">
        <f t="shared" si="274"/>
        <v>#N/A</v>
      </c>
      <c r="BC168" s="414" t="e">
        <f>IF(AND(AY168&gt;NDC!$C$63,AZ168&gt;NDC!$C$65,BA168&gt;NDC!$D$73,BB168&gt;NDC!$D$74,$B168&gt;NDC!$H$22-0.1+MIN(3*BC$12,1.5)),0,1)</f>
        <v>#N/A</v>
      </c>
      <c r="BD168" s="86" t="b">
        <f t="shared" si="242"/>
        <v>0</v>
      </c>
      <c r="BE168" s="86">
        <f t="shared" si="275"/>
        <v>0.5</v>
      </c>
      <c r="BF168" s="86">
        <f t="shared" si="243"/>
        <v>0.5</v>
      </c>
      <c r="BG168" s="30" t="e">
        <f t="shared" ca="1" si="276"/>
        <v>#DIV/0!</v>
      </c>
      <c r="BH168" s="85" t="e">
        <f ca="1">IF(AN168&lt;=Hypothèses!$V$7,Hypothèses!$W$7,IF(AN168&lt;=Hypothèses!$V$8,Hypothèses!$W$8,IF(AN168&lt;=Hypothèses!$V$9,Hypothèses!$W$9,IF(AN168&lt;=Hypothèses!$V$10,Hypothèses!$W$10,IF(AN168&lt;=Hypothèses!$V$11,Hypothèses!$W$11,IF(AN168&lt;=Hypothèses!$V$12,Hypothèses!$W$12,IF(AN168&lt;=Hypothèses!$V$13,Hypothèses!$W$13,IF(AN168&lt;=Hypothèses!$V$14,Hypothèses!$W$14,IF(AN168&lt;=Hypothèses!$V$15,Hypothèses!$W$15,IF(AN168&lt;=Hypothèses!$V$16,Hypothèses!$W$16,IF(AN168&lt;=Hypothèses!$V$17,Hypothèses!$W$17,IF(AN168&lt;=Hypothèses!$V$18,Hypothèses!$W$18,""))))))))))))</f>
        <v>#DIV/0!</v>
      </c>
      <c r="BI168" s="87" t="e">
        <f t="shared" ca="1" si="318"/>
        <v>#DIV/0!</v>
      </c>
      <c r="BJ168" s="88" t="e">
        <f ca="1">IF(AN168&lt;=Hypothèses!$V$7,Hypothèses!$X$7,IF(AN168&lt;=Hypothèses!$V$8,Hypothèses!$X$8,IF(AN168&lt;=Hypothèses!$V$9,Hypothèses!$X$9,IF(AN168&lt;=Hypothèses!$V$10,Hypothèses!$X$10,IF(AN168&lt;=Hypothèses!$V$11,Hypothèses!$X$11,IF(AN168&lt;=Hypothèses!$V$12,Hypothèses!$X$12,IF(AN168&lt;=Hypothèses!$V$13,Hypothèses!$X$13,IF(AN168&lt;=Hypothèses!$V$14,Hypothèses!$X$14,IF(AN168&lt;=Hypothèses!$V$15,Hypothèses!$X$15,IF(AN168&lt;=Hypothèses!$V$16,Hypothèses!$X$16,IF(AN168&lt;=Hypothèses!$U$17,Hypothèses!$W$17,IF(AN168&lt;=Hypothèses!$U$18,Hypothèses!$W$18,""))))))))))))</f>
        <v>#DIV/0!</v>
      </c>
      <c r="BK168" s="95" t="e">
        <f t="shared" ca="1" si="277"/>
        <v>#DIV/0!</v>
      </c>
      <c r="BL168" s="101">
        <f t="shared" si="325"/>
        <v>0</v>
      </c>
      <c r="BM168" s="91">
        <f t="shared" si="244"/>
        <v>0</v>
      </c>
      <c r="BN168" s="30" t="e">
        <f t="shared" si="304"/>
        <v>#N/A</v>
      </c>
      <c r="BO168" s="30" t="e">
        <f t="shared" si="305"/>
        <v>#N/A</v>
      </c>
      <c r="BP168" s="31" t="e">
        <f>IF(OR(Hypothèses!$B$4=17,Hypothèses!$B$4=18,Hypothèses!$B$4=19,Hypothèses!$B$4=20),
IF($D168="Pressio.",
IF(OR($E168=3,$E168=1,$E168=4),BO168,BN168),
IF($D168="Pénétro.",
IF(OR($E168=3,$E168=1,$E168=4),BO168,BN168))),IF($D168="Pressio.",
IF($E168=3,BO168,BN168),
IF($D168="Pénétro.",
IF($E168=4,BO168,BN168))))</f>
        <v>#N/A</v>
      </c>
      <c r="BQ168" s="31">
        <v>0</v>
      </c>
      <c r="BR168" s="102" t="e">
        <f>IF(NDC!$H$10="Oui",(VLOOKUP($B$3,'Coeff EC7'!$T$39:$X$59,2,0)*BP168+VLOOKUP($B$3,'Coeff EC7'!$T$65:$X$85,2,0)*Model0.1T!BQ168)/1.5,PI()*BN$12*$Q168*($B168-$B167)*0.15/10+BR167)</f>
        <v>#N/A</v>
      </c>
      <c r="BS168" s="102" t="e">
        <f>(VLOOKUP($B$3,'Coeff EC7'!$T$39:$X$59,3,0)*BP168+VLOOKUP($B$3,'Coeff EC7'!$T$65:$X$85,3,0)*Model0.1T!BQ168)/1.1</f>
        <v>#N/A</v>
      </c>
      <c r="BT168" s="102" t="e">
        <f t="shared" si="278"/>
        <v>#N/A</v>
      </c>
      <c r="BU168" s="102" t="e">
        <f t="shared" si="279"/>
        <v>#N/A</v>
      </c>
      <c r="BV168" s="414" t="e">
        <f>IF(AND(BR168&gt;NDC!$C$63,BS168&gt;NDC!$C$65,BT168&gt;NDC!$D$73,BU168&gt;NDC!$D$74,$B168&gt;NDC!$H$22-0.1+MIN(3*BV$12,1.5)),0,1)</f>
        <v>#N/A</v>
      </c>
      <c r="BW168" s="86" t="b">
        <f t="shared" si="245"/>
        <v>0</v>
      </c>
      <c r="BX168" s="86">
        <f t="shared" si="246"/>
        <v>0.5</v>
      </c>
      <c r="BY168" s="86">
        <f t="shared" si="247"/>
        <v>0.5</v>
      </c>
      <c r="BZ168" s="30" t="e">
        <f t="shared" ca="1" si="280"/>
        <v>#DIV/0!</v>
      </c>
      <c r="CA168" s="85" t="e">
        <f ca="1">IF(BG168&lt;=Hypothèses!$V$7,Hypothèses!$W$7,IF(BG168&lt;=Hypothèses!$V$8,Hypothèses!$W$8,IF(BG168&lt;=Hypothèses!$V$9,Hypothèses!$W$9,IF(BG168&lt;=Hypothèses!$V$10,Hypothèses!$W$10,IF(BG168&lt;=Hypothèses!$V$11,Hypothèses!$W$11,IF(BG168&lt;=Hypothèses!$V$12,Hypothèses!$W$12,IF(BG168&lt;=Hypothèses!$V$13,Hypothèses!$W$13,IF(BG168&lt;=Hypothèses!$V$14,Hypothèses!$W$14,IF(BG168&lt;=Hypothèses!$V$15,Hypothèses!$W$15,IF(BG168&lt;=Hypothèses!$V$16,Hypothèses!$W$16,IF(BG168&lt;=Hypothèses!$V$17,Hypothèses!$W$17,IF(BG168&lt;=Hypothèses!$V$18,Hypothèses!$W$18,""))))))))))))</f>
        <v>#DIV/0!</v>
      </c>
      <c r="CB168" s="87" t="e">
        <f t="shared" ca="1" si="319"/>
        <v>#DIV/0!</v>
      </c>
      <c r="CC168" s="88" t="e">
        <f ca="1">IF(BG168&lt;=Hypothèses!$V$7,Hypothèses!$X$7,IF(BG168&lt;=Hypothèses!$V$8,Hypothèses!$X$8,IF(BG168&lt;=Hypothèses!$V$9,Hypothèses!$X$9,IF(BG168&lt;=Hypothèses!$V$10,Hypothèses!$X$10,IF(BG168&lt;=Hypothèses!$V$11,Hypothèses!$X$11,IF(BG168&lt;=Hypothèses!$V$12,Hypothèses!$X$12,IF(BG168&lt;=Hypothèses!$V$13,Hypothèses!$X$13,IF(BG168&lt;=Hypothèses!$V$14,Hypothèses!$X$14,IF(BG168&lt;=Hypothèses!$V$15,Hypothèses!$X$15,IF(BG168&lt;=Hypothèses!$V$16,Hypothèses!$X$16,IF(BG168&lt;=Hypothèses!$U$17,Hypothèses!$W$17,IF(BG168&lt;=Hypothèses!$U$18,Hypothèses!$W$18,""))))))))))))</f>
        <v>#DIV/0!</v>
      </c>
      <c r="CD168" s="95" t="e">
        <f t="shared" ca="1" si="281"/>
        <v>#DIV/0!</v>
      </c>
      <c r="CE168" s="101">
        <f t="shared" si="326"/>
        <v>0</v>
      </c>
      <c r="CF168" s="91">
        <f t="shared" si="248"/>
        <v>0</v>
      </c>
      <c r="CG168" s="30" t="e">
        <f t="shared" si="306"/>
        <v>#N/A</v>
      </c>
      <c r="CH168" s="30" t="e">
        <f t="shared" si="307"/>
        <v>#N/A</v>
      </c>
      <c r="CI168" s="31" t="e">
        <f>IF(OR(Hypothèses!$B$4=17,Hypothèses!$B$4=18,Hypothèses!$B$4=19,Hypothèses!$B$4=20),
IF($D168="Pressio.",
IF(OR($E168=3,$E168=1,$E168=4),CH168,CG168),
IF($D168="Pénétro.",
IF(OR($E168=3,$E168=1,$E168=4),CH168,CG168))),IF($D168="Pressio.",
IF($E168=3,CH168,CG168),
IF($D168="Pénétro.",
IF($E168=4,CH168,CG168))))</f>
        <v>#N/A</v>
      </c>
      <c r="CJ168" s="31">
        <v>0</v>
      </c>
      <c r="CK168" s="102" t="e">
        <f>IF(NDC!$H$10="Oui",(VLOOKUP($B$3,'Coeff EC7'!$T$39:$X$59,2,0)*CI168+VLOOKUP($B$3,'Coeff EC7'!$T$65:$X$85,2,0)*Model0.1T!CJ168)/1.5,PI()*CG$12*$Q168*($B168-$B167)*0.15/10+CK167)</f>
        <v>#N/A</v>
      </c>
      <c r="CL168" s="102" t="e">
        <f>(VLOOKUP($B$3,'Coeff EC7'!$T$39:$X$59,3,0)*CI168+VLOOKUP($B$3,'Coeff EC7'!$T$65:$X$85,3,0)*Model0.1T!CJ168)/1.1</f>
        <v>#N/A</v>
      </c>
      <c r="CM168" s="102" t="e">
        <f t="shared" si="282"/>
        <v>#N/A</v>
      </c>
      <c r="CN168" s="102" t="e">
        <f t="shared" si="283"/>
        <v>#N/A</v>
      </c>
      <c r="CO168" s="414" t="e">
        <f>IF(AND(CK168&gt;NDC!$C$63,CL168&gt;NDC!$C$65,CM168&gt;NDC!$D$73,CN168&gt;NDC!$D$74,$B168&gt;NDC!$H$22-0.1+MIN(3*CO$12,1.5)),0,1)</f>
        <v>#N/A</v>
      </c>
      <c r="CP168" s="86" t="b">
        <f t="shared" si="249"/>
        <v>0</v>
      </c>
      <c r="CQ168" s="86">
        <f t="shared" si="250"/>
        <v>0.5</v>
      </c>
      <c r="CR168" s="86">
        <f t="shared" si="251"/>
        <v>0.5</v>
      </c>
      <c r="CS168" s="30" t="e">
        <f t="shared" ca="1" si="284"/>
        <v>#DIV/0!</v>
      </c>
      <c r="CT168" s="85" t="e">
        <f ca="1">IF(BZ168&lt;=Hypothèses!$V$7,Hypothèses!$W$7,IF(BZ168&lt;=Hypothèses!$V$8,Hypothèses!$W$8,IF(BZ168&lt;=Hypothèses!$V$9,Hypothèses!$W$9,IF(BZ168&lt;=Hypothèses!$V$10,Hypothèses!$W$10,IF(BZ168&lt;=Hypothèses!$V$11,Hypothèses!$W$11,IF(BZ168&lt;=Hypothèses!$V$12,Hypothèses!$W$12,IF(BZ168&lt;=Hypothèses!$V$13,Hypothèses!$W$13,IF(BZ168&lt;=Hypothèses!$V$14,Hypothèses!$W$14,IF(BZ168&lt;=Hypothèses!$V$15,Hypothèses!$W$15,IF(BZ168&lt;=Hypothèses!$V$16,Hypothèses!$W$16,IF(BZ168&lt;=Hypothèses!$V$17,Hypothèses!$W$17,IF(BZ168&lt;=Hypothèses!$V$18,Hypothèses!$W$18,""))))))))))))</f>
        <v>#DIV/0!</v>
      </c>
      <c r="CU168" s="87" t="e">
        <f t="shared" ca="1" si="320"/>
        <v>#DIV/0!</v>
      </c>
      <c r="CV168" s="88" t="e">
        <f ca="1">IF(BZ168&lt;=Hypothèses!$V$7,Hypothèses!$X$7,IF(BZ168&lt;=Hypothèses!$V$8,Hypothèses!$X$8,IF(BZ168&lt;=Hypothèses!$V$9,Hypothèses!$X$9,IF(BZ168&lt;=Hypothèses!$V$10,Hypothèses!$X$10,IF(BZ168&lt;=Hypothèses!$V$11,Hypothèses!$X$11,IF(BZ168&lt;=Hypothèses!$V$12,Hypothèses!$X$12,IF(BZ168&lt;=Hypothèses!$V$13,Hypothèses!$X$13,IF(BZ168&lt;=Hypothèses!$V$14,Hypothèses!$X$14,IF(BZ168&lt;=Hypothèses!$V$15,Hypothèses!$X$15,IF(BZ168&lt;=Hypothèses!$V$16,Hypothèses!$X$16,IF(BZ168&lt;=Hypothèses!$U$17,Hypothèses!$W$17,IF(BZ168&lt;=Hypothèses!$U$18,Hypothèses!$W$18,""))))))))))))</f>
        <v>#DIV/0!</v>
      </c>
      <c r="CW168" s="95" t="e">
        <f t="shared" ca="1" si="285"/>
        <v>#DIV/0!</v>
      </c>
      <c r="CX168" s="101">
        <f t="shared" si="327"/>
        <v>0</v>
      </c>
      <c r="CY168" s="91">
        <f t="shared" si="252"/>
        <v>0</v>
      </c>
      <c r="CZ168" s="30" t="e">
        <f t="shared" si="308"/>
        <v>#N/A</v>
      </c>
      <c r="DA168" s="30" t="e">
        <f t="shared" si="309"/>
        <v>#N/A</v>
      </c>
      <c r="DB168" s="31" t="e">
        <f>IF(OR(Hypothèses!$B$4=17,Hypothèses!$B$4=18,Hypothèses!$B$4=19,Hypothèses!$B$4=20),
IF($D168="Pressio.",
IF(OR($E168=3,$E168=1,$E168=4),DA168,CZ168),
IF($D168="Pénétro.",
IF(OR($E168=3,$E168=1,$E168=4),DA168,CZ168))),IF($D168="Pressio.",
IF($E168=3,DA168,CZ168),
IF($D168="Pénétro.",
IF($E168=4,DA168,CZ168))))</f>
        <v>#N/A</v>
      </c>
      <c r="DC168" s="31">
        <v>0</v>
      </c>
      <c r="DD168" s="102" t="e">
        <f>IF(NDC!$H$10="Oui",(VLOOKUP($B$3,'Coeff EC7'!$T$39:$X$59,2,0)*DB168+VLOOKUP($B$3,'Coeff EC7'!$T$65:$X$85,2,0)*Model0.1T!DC168)/1.5,PI()*CZ$12*$Q168*($B168-$B167)*0.15/10+DD167)</f>
        <v>#N/A</v>
      </c>
      <c r="DE168" s="102" t="e">
        <f>(VLOOKUP($B$3,'Coeff EC7'!$T$39:$X$59,3,0)*DB168+VLOOKUP($B$3,'Coeff EC7'!$T$65:$X$85,3,0)*Model0.1T!DC168)/1.1</f>
        <v>#N/A</v>
      </c>
      <c r="DF168" s="102" t="e">
        <f t="shared" si="286"/>
        <v>#N/A</v>
      </c>
      <c r="DG168" s="102" t="e">
        <f t="shared" si="287"/>
        <v>#N/A</v>
      </c>
      <c r="DH168" s="414" t="e">
        <f>IF(AND(DD168&gt;NDC!$C$63,DE168&gt;NDC!$C$65,DF168&gt;NDC!$D$73,DG168&gt;NDC!$D$74,$B168&gt;NDC!$H$22-0.1+MIN(3*DH$12,1.5)),0,1)</f>
        <v>#N/A</v>
      </c>
      <c r="DI168" s="86" t="b">
        <f t="shared" si="253"/>
        <v>0</v>
      </c>
      <c r="DJ168" s="86">
        <f t="shared" si="254"/>
        <v>0.5</v>
      </c>
      <c r="DK168" s="86">
        <f t="shared" si="255"/>
        <v>0.5</v>
      </c>
      <c r="DL168" s="30" t="e">
        <f t="shared" ca="1" si="288"/>
        <v>#DIV/0!</v>
      </c>
      <c r="DM168" s="85" t="e">
        <f ca="1">IF(CS168&lt;=Hypothèses!$V$7,Hypothèses!$W$7,IF(CS168&lt;=Hypothèses!$V$8,Hypothèses!$W$8,IF(CS168&lt;=Hypothèses!$V$9,Hypothèses!$W$9,IF(CS168&lt;=Hypothèses!$V$10,Hypothèses!$W$10,IF(CS168&lt;=Hypothèses!$V$11,Hypothèses!$W$11,IF(CS168&lt;=Hypothèses!$V$12,Hypothèses!$W$12,IF(CS168&lt;=Hypothèses!$V$13,Hypothèses!$W$13,IF(CS168&lt;=Hypothèses!$V$14,Hypothèses!$W$14,IF(CS168&lt;=Hypothèses!$V$15,Hypothèses!$W$15,IF(CS168&lt;=Hypothèses!$V$16,Hypothèses!$W$16,IF(CS168&lt;=Hypothèses!$V$17,Hypothèses!$W$17,IF(CS168&lt;=Hypothèses!$V$18,Hypothèses!$W$18,""))))))))))))</f>
        <v>#DIV/0!</v>
      </c>
      <c r="DN168" s="87" t="e">
        <f t="shared" ca="1" si="321"/>
        <v>#DIV/0!</v>
      </c>
      <c r="DO168" s="88" t="e">
        <f ca="1">IF(CS168&lt;=Hypothèses!$V$7,Hypothèses!$X$7,IF(CS168&lt;=Hypothèses!$V$8,Hypothèses!$X$8,IF(CS168&lt;=Hypothèses!$V$9,Hypothèses!$X$9,IF(CS168&lt;=Hypothèses!$V$10,Hypothèses!$X$10,IF(CS168&lt;=Hypothèses!$V$11,Hypothèses!$X$11,IF(CS168&lt;=Hypothèses!$V$12,Hypothèses!$X$12,IF(CS168&lt;=Hypothèses!$V$13,Hypothèses!$X$13,IF(CS168&lt;=Hypothèses!$V$14,Hypothèses!$X$14,IF(CS168&lt;=Hypothèses!$V$15,Hypothèses!$X$15,IF(CS168&lt;=Hypothèses!$V$16,Hypothèses!$X$16,IF(CS168&lt;=Hypothèses!$U$17,Hypothèses!$W$17,IF(CS168&lt;=Hypothèses!$U$18,Hypothèses!$W$18,""))))))))))))</f>
        <v>#DIV/0!</v>
      </c>
      <c r="DP168" s="95" t="e">
        <f t="shared" ca="1" si="289"/>
        <v>#DIV/0!</v>
      </c>
      <c r="DQ168" s="101">
        <f t="shared" si="328"/>
        <v>0</v>
      </c>
      <c r="DR168" s="91">
        <f t="shared" si="256"/>
        <v>0</v>
      </c>
      <c r="DS168" s="30" t="e">
        <f t="shared" si="310"/>
        <v>#N/A</v>
      </c>
      <c r="DT168" s="30" t="e">
        <f t="shared" si="311"/>
        <v>#N/A</v>
      </c>
      <c r="DU168" s="31" t="e">
        <f>IF(OR(Hypothèses!$B$4=17,Hypothèses!$B$4=18,Hypothèses!$B$4=19,Hypothèses!$B$4=20),
IF($D168="Pressio.",
IF(OR($E168=3,$E168=1,$E168=4),DT168,DS168),
IF($D168="Pénétro.",
IF(OR($E168=3,$E168=1,$E168=4),DT168,DS168))),IF($D168="Pressio.",
IF($E168=3,DT168,DS168),
IF($D168="Pénétro.",
IF($E168=4,DT168,DS168))))</f>
        <v>#N/A</v>
      </c>
      <c r="DV168" s="31">
        <v>0</v>
      </c>
      <c r="DW168" s="102" t="e">
        <f>IF(NDC!$H$10="Oui",(VLOOKUP($B$3,'Coeff EC7'!$T$39:$X$59,2,0)*DU168+VLOOKUP($B$3,'Coeff EC7'!$T$65:$X$85,2,0)*Model0.1T!DV168)/1.5,PI()*DS$12*$Q168*($B168-$B167)*0.15/10+DW167)</f>
        <v>#N/A</v>
      </c>
      <c r="DX168" s="102" t="e">
        <f>(VLOOKUP($B$3,'Coeff EC7'!$T$39:$X$59,3,0)*DU168+VLOOKUP($B$3,'Coeff EC7'!$T$65:$X$85,3,0)*Model0.1T!DV168)/1.1</f>
        <v>#N/A</v>
      </c>
      <c r="DY168" s="102" t="e">
        <f t="shared" si="290"/>
        <v>#N/A</v>
      </c>
      <c r="DZ168" s="102" t="e">
        <f t="shared" si="291"/>
        <v>#N/A</v>
      </c>
      <c r="EA168" s="414" t="e">
        <f>IF(AND(DW168&gt;NDC!$C$63,DX168&gt;NDC!$C$65,DY168&gt;NDC!$D$73,DZ168&gt;NDC!$D$74,$B168&gt;NDC!$H$22-0.1+MIN(3*EA$12,1.5)),0,1)</f>
        <v>#N/A</v>
      </c>
      <c r="EB168" s="86" t="b">
        <f t="shared" si="257"/>
        <v>0</v>
      </c>
      <c r="EC168" s="418">
        <f t="shared" si="258"/>
        <v>0.51</v>
      </c>
      <c r="ED168" s="86">
        <f t="shared" si="259"/>
        <v>0.51</v>
      </c>
      <c r="EE168" s="30" t="e">
        <f t="shared" ca="1" si="292"/>
        <v>#DIV/0!</v>
      </c>
      <c r="EF168" s="85" t="e">
        <f ca="1">IF(DL168&lt;=Hypothèses!$V$7,Hypothèses!$W$7,IF(DL168&lt;=Hypothèses!$V$8,Hypothèses!$W$8,IF(DL168&lt;=Hypothèses!$V$9,Hypothèses!$W$9,IF(DL168&lt;=Hypothèses!$V$10,Hypothèses!$W$10,IF(DL168&lt;=Hypothèses!$V$11,Hypothèses!$W$11,IF(DL168&lt;=Hypothèses!$V$12,Hypothèses!$W$12,IF(DL168&lt;=Hypothèses!$V$13,Hypothèses!$W$13,IF(DL168&lt;=Hypothèses!$V$14,Hypothèses!$W$14,IF(DL168&lt;=Hypothèses!$V$15,Hypothèses!$W$15,IF(DL168&lt;=Hypothèses!$V$16,Hypothèses!$W$16,IF(DL168&lt;=Hypothèses!$V$17,Hypothèses!$W$17,IF(DL168&lt;=Hypothèses!$V$18,Hypothèses!$W$18,""))))))))))))</f>
        <v>#DIV/0!</v>
      </c>
      <c r="EG168" s="87" t="e">
        <f t="shared" ca="1" si="322"/>
        <v>#DIV/0!</v>
      </c>
      <c r="EH168" s="88" t="e">
        <f ca="1">IF(DL168&lt;=Hypothèses!$V$7,Hypothèses!$X$7,IF(DL168&lt;=Hypothèses!$V$8,Hypothèses!$X$8,IF(DL168&lt;=Hypothèses!$V$9,Hypothèses!$X$9,IF(DL168&lt;=Hypothèses!$V$10,Hypothèses!$X$10,IF(DL168&lt;=Hypothèses!$V$11,Hypothèses!$X$11,IF(DL168&lt;=Hypothèses!$V$12,Hypothèses!$X$12,IF(DL168&lt;=Hypothèses!$V$13,Hypothèses!$X$13,IF(DL168&lt;=Hypothèses!$V$14,Hypothèses!$X$14,IF(DL168&lt;=Hypothèses!$V$15,Hypothèses!$X$15,IF(DL168&lt;=Hypothèses!$V$16,Hypothèses!$X$16,IF(DL168&lt;=Hypothèses!$U$17,Hypothèses!$W$17,IF(DL168&lt;=Hypothèses!$U$18,Hypothèses!$W$18,""))))))))))))</f>
        <v>#DIV/0!</v>
      </c>
      <c r="EI168" s="95" t="e">
        <f t="shared" ca="1" si="293"/>
        <v>#DIV/0!</v>
      </c>
      <c r="EJ168" s="101">
        <f t="shared" si="329"/>
        <v>0</v>
      </c>
      <c r="EK168" s="91">
        <f t="shared" si="260"/>
        <v>0</v>
      </c>
      <c r="EL168" s="30" t="e">
        <f t="shared" si="312"/>
        <v>#N/A</v>
      </c>
      <c r="EM168" s="30" t="e">
        <f t="shared" si="313"/>
        <v>#N/A</v>
      </c>
      <c r="EN168" s="31" t="e">
        <f>IF(OR(Hypothèses!$B$4=17,Hypothèses!$B$4=18,Hypothèses!$B$4=19,Hypothèses!$B$4=20),
IF($D168="Pressio.",
IF(OR($E168=3,$E168=1,$E168=4),EM168,EL168),
IF($D168="Pénétro.",
IF(OR($E168=3,$E168=1,$E168=4),EM168,EL168))),IF($D168="Pressio.",
IF($E168=3,EM168,EL168),
IF($D168="Pénétro.",
IF($E168=4,EM168,EL168))))</f>
        <v>#N/A</v>
      </c>
      <c r="EO168" s="31">
        <v>0</v>
      </c>
      <c r="EP168" s="102" t="e">
        <f>IF(NDC!$H$10="Oui",(VLOOKUP($B$3,'Coeff EC7'!$T$39:$X$59,2,0)*EN168+VLOOKUP($B$3,'Coeff EC7'!$T$65:$X$85,2,0)*Model0.1T!EO168)/1.5,PI()*EL$12*$Q168*($B168-$B167)*0.15/10+EP167)</f>
        <v>#N/A</v>
      </c>
      <c r="EQ168" s="102" t="e">
        <f>(VLOOKUP($B$3,'Coeff EC7'!$T$39:$X$59,3,0)*EN168+VLOOKUP($B$3,'Coeff EC7'!$T$65:$X$85,3,0)*Model0.1T!EO168)/1.1</f>
        <v>#N/A</v>
      </c>
      <c r="ER168" s="102" t="e">
        <f t="shared" si="294"/>
        <v>#N/A</v>
      </c>
      <c r="ES168" s="102" t="e">
        <f t="shared" si="295"/>
        <v>#N/A</v>
      </c>
      <c r="ET168" s="414" t="e">
        <f>IF(AND(EP168&gt;NDC!$C$63,EQ168&gt;NDC!$C$65,ER168&gt;NDC!$D$73,ES168&gt;NDC!$D$74,$B168&gt;NDC!$H$22-0.1+MIN(3*ET$12,1.5)),0,1)</f>
        <v>#N/A</v>
      </c>
      <c r="EU168" s="86" t="b">
        <f t="shared" si="261"/>
        <v>0</v>
      </c>
      <c r="EV168" s="86">
        <f t="shared" si="262"/>
        <v>0.61</v>
      </c>
      <c r="EW168" s="86">
        <f t="shared" si="263"/>
        <v>0.61</v>
      </c>
      <c r="EX168" s="30" t="e">
        <f t="shared" ca="1" si="296"/>
        <v>#DIV/0!</v>
      </c>
      <c r="EY168" s="85" t="e">
        <f ca="1">IF(EE168&lt;=Hypothèses!$V$7,Hypothèses!$W$7,IF(EE168&lt;=Hypothèses!$V$8,Hypothèses!$W$8,IF(EE168&lt;=Hypothèses!$V$9,Hypothèses!$W$9,IF(EE168&lt;=Hypothèses!$V$10,Hypothèses!$W$10,IF(EE168&lt;=Hypothèses!$V$11,Hypothèses!$W$11,IF(EE168&lt;=Hypothèses!$V$12,Hypothèses!$W$12,IF(EE168&lt;=Hypothèses!$V$13,Hypothèses!$W$13,IF(EE168&lt;=Hypothèses!$V$14,Hypothèses!$W$14,IF(EE168&lt;=Hypothèses!$V$15,Hypothèses!$W$15,IF(EE168&lt;=Hypothèses!$V$16,Hypothèses!$W$16,IF(EE168&lt;=Hypothèses!$V$17,Hypothèses!$W$17,IF(EE168&lt;=Hypothèses!$V$18,Hypothèses!$W$18,""))))))))))))</f>
        <v>#DIV/0!</v>
      </c>
      <c r="EZ168" s="87" t="e">
        <f t="shared" ca="1" si="323"/>
        <v>#DIV/0!</v>
      </c>
      <c r="FA168" s="88" t="e">
        <f ca="1">IF(EE168&lt;=Hypothèses!$V$7,Hypothèses!$X$7,IF(EE168&lt;=Hypothèses!$V$8,Hypothèses!$X$8,IF(EE168&lt;=Hypothèses!$V$9,Hypothèses!$X$9,IF(EE168&lt;=Hypothèses!$V$10,Hypothèses!$X$10,IF(EE168&lt;=Hypothèses!$V$11,Hypothèses!$X$11,IF(EE168&lt;=Hypothèses!$V$12,Hypothèses!$X$12,IF(EE168&lt;=Hypothèses!$V$13,Hypothèses!$X$13,IF(EE168&lt;=Hypothèses!$V$14,Hypothèses!$X$14,IF(EE168&lt;=Hypothèses!$V$15,Hypothèses!$X$15,IF(EE168&lt;=Hypothèses!$V$16,Hypothèses!$X$16,IF(EE168&lt;=Hypothèses!$U$17,Hypothèses!$W$17,IF(EE168&lt;=Hypothèses!$U$18,Hypothèses!$W$18,""))))))))))))</f>
        <v>#DIV/0!</v>
      </c>
      <c r="FB168" s="95" t="e">
        <f t="shared" ca="1" si="297"/>
        <v>#DIV/0!</v>
      </c>
      <c r="FC168" s="101">
        <f t="shared" si="330"/>
        <v>0</v>
      </c>
      <c r="FD168" s="91">
        <f t="shared" si="264"/>
        <v>0</v>
      </c>
      <c r="FE168" s="30" t="e">
        <f t="shared" si="314"/>
        <v>#N/A</v>
      </c>
      <c r="FF168" s="30" t="e">
        <f t="shared" si="315"/>
        <v>#N/A</v>
      </c>
      <c r="FG168" s="31" t="e">
        <f>IF(OR(Hypothèses!$B$4=17,Hypothèses!$B$4=18,Hypothèses!$B$4=19,Hypothèses!$B$4=20),
IF($D168="Pressio.",
IF(OR($E168=3,$E168=1,$E168=4),FF168,FE168),
IF($D168="Pénétro.",
IF(OR($E168=3,$E168=1,$E168=4),FF168,FE168))),IF($D168="Pressio.",
IF($E168=3,FF168,FE168),
IF($D168="Pénétro.",
IF($E168=4,FF168,FE168))))</f>
        <v>#N/A</v>
      </c>
      <c r="FH168" s="31">
        <v>0</v>
      </c>
      <c r="FI168" s="102" t="e">
        <f>IF(NDC!$H$10="Oui",(VLOOKUP($B$3,'Coeff EC7'!$T$39:$X$59,2,0)*FG168+VLOOKUP($B$3,'Coeff EC7'!$T$65:$X$85,2,0)*Model0.1T!FH168)/1.5,PI()*FE$12*$Q168*($B168-$B167)*0.15/10+FI167)</f>
        <v>#N/A</v>
      </c>
      <c r="FJ168" s="102" t="e">
        <f>(VLOOKUP($B$3,'Coeff EC7'!$T$39:$X$59,3,0)*FG168+VLOOKUP($B$3,'Coeff EC7'!$T$65:$X$85,3,0)*Model0.1T!FH168)/1.1</f>
        <v>#N/A</v>
      </c>
      <c r="FK168" s="102" t="e">
        <f t="shared" si="298"/>
        <v>#N/A</v>
      </c>
      <c r="FL168" s="102" t="e">
        <f t="shared" si="299"/>
        <v>#N/A</v>
      </c>
      <c r="FM168" s="414" t="e">
        <f>IF(AND(FI168&gt;NDC!$C$63,FJ168&gt;NDC!$C$65,FK168&gt;NDC!$D$73,FL168&gt;NDC!$D$74,$B168&gt;NDC!$H$22-0.1+MIN(3*FM$12,1.5)),0,1)</f>
        <v>#N/A</v>
      </c>
    </row>
    <row r="169" spans="1:169">
      <c r="A169" s="96">
        <f t="shared" si="265"/>
        <v>84.400000000000887</v>
      </c>
      <c r="B169" s="97">
        <v>15.6</v>
      </c>
      <c r="C169" s="81">
        <f>IF(B169&lt;=Hypothèses!$C$7,Hypothèses!$A$7,IF(B169&lt;=Hypothèses!$C$8,Hypothèses!$A$8,IF(B169&lt;=Hypothèses!$C$9,Hypothèses!$A$9,IF(B169&lt;=Hypothèses!$C$10,Hypothèses!$A$10,IF(B169&lt;=Hypothèses!$C$11,Hypothèses!$A$11,IF(B169&lt;=Hypothèses!$C$12,Hypothèses!$A$12,IF(B169&lt;=Hypothèses!$C$13,Hypothèses!$A$13,IF(B169&lt;=Hypothèses!$C$14,Hypothèses!$A$14,IF(B169&lt;=Hypothèses!$C$15,Hypothèses!$A$15,IF(B169&lt;=Hypothèses!$C$16,Hypothèses!$A$16,IF(B169&lt;=Hypothèses!$C$17,Hypothèses!$A$17,IF(B169&lt;=Hypothèses!$C$18,Hypothèses!$A$18,C168))))))))))))</f>
        <v>11</v>
      </c>
      <c r="D169" s="82" t="str">
        <f>IF(B169&lt;=Hypothèses!$C$7,Hypothèses!$R$7,IF(B169&lt;=Hypothèses!$C$8,Hypothèses!$R$8,IF(B169&lt;=Hypothèses!$C$9,Hypothèses!$R$9,IF(B169&lt;=Hypothèses!$C$10,Hypothèses!$R$10,IF(B169&lt;=Hypothèses!$C$11,Hypothèses!$R$11,IF(B169&lt;=Hypothèses!$C$12,Hypothèses!$R$12,IF(B169&lt;=Hypothèses!$C$13,Hypothèses!$R$13,IF(B169&lt;=Hypothèses!$C$14,Hypothèses!$R$14,IF(B169&lt;=Hypothèses!$C$15,Hypothèses!$R$15,IF(B169&lt;=Hypothèses!$C$16,Hypothèses!$R$16,IF(B169&lt;=Hypothèses!$C$17,Hypothèses!$R$17,IF(B169&lt;=Hypothèses!$C$18,Hypothèses!$R$18,D168))))))))))))</f>
        <v>Pressio.</v>
      </c>
      <c r="E169" s="82" t="e">
        <f>IF(B169&lt;=Hypothèses!$C$7,Hypothèses!$G$7,IF(B169&lt;=Hypothèses!$C$8,Hypothèses!$G$8,IF(B169&lt;=Hypothèses!$C$9,Hypothèses!$G$9,IF(B169&lt;=Hypothèses!$C$10,Hypothèses!$G$10,IF(B169&lt;=Hypothèses!$C$11,Hypothèses!$G$11,IF(B169&lt;=Hypothèses!$C$12,Hypothèses!$G$12,IF(B169&lt;=Hypothèses!$C$13,Hypothèses!$G$13,IF(B169&lt;=Hypothèses!$C$14,Hypothèses!$G$14,IF(B169&lt;=Hypothèses!$C$15,Hypothèses!$G$15,IF(B169&lt;=Hypothèses!$C$16,Hypothèses!$G$16,IF(B169&lt;=Hypothèses!$C$17,Hypothèses!$G$17,IF(B169&lt;=Hypothèses!$C$18,Hypothèses!$G$18,E168))))))))))))</f>
        <v>#N/A</v>
      </c>
      <c r="F169" s="82" t="str">
        <f>IF(B169&lt;=Hypothèses!$C$7,Hypothèses!$F$7,IF(B169&lt;=Hypothèses!$C$8,Hypothèses!$F$8,IF(B169&lt;=Hypothèses!$C$9,Hypothèses!$F$9,IF(B169&lt;=Hypothèses!$C$10,Hypothèses!$F$10,IF(B169&lt;=Hypothèses!$C$11,Hypothèses!$F$11,IF(B169&lt;=Hypothèses!$C$12,Hypothèses!$F$12,IF(B169&lt;=Hypothèses!$C$13,Hypothèses!$F$13,IF(B169&lt;=Hypothèses!$C$14,Hypothèses!$F$14,IF(B169&lt;=Hypothèses!$C$15,Hypothèses!$F$15,IF(B169&lt;=Hypothèses!$C$16,Hypothèses!$F$16,IF(B169&lt;=Hypothèses!$C$17,Hypothèses!$F$17,IF(B169&lt;=Hypothèses!$C$18,Hypothèses!$F$18,F168))))))))))))</f>
        <v/>
      </c>
      <c r="G169" s="91">
        <f t="array" ref="G169">INDEX('Coeff EC7'!$U$7:$X$27,
MATCH(Model0.1T!$B$3,'Coeff EC7'!$T$7:$T$27,0),
MATCH(Model0.1T!$D169&amp;Model0.1T!$B$4,
'Coeff EC7'!$U$6:$X$6&amp;
'Coeff EC7'!$U$5:$X$5,0))</f>
        <v>1.4</v>
      </c>
      <c r="H169" s="91">
        <f t="array" ref="H169">INDEX('Coeff EC7'!$Y$7:$AB$27,
MATCH(Model0.1T!$B$3,'Coeff EC7'!$T$7:$T$27,0),
MATCH(Model0.1T!$D169&amp;Model0.1T!$B$4,
'Coeff EC7'!$Y$6:$AB$6&amp;
'Coeff EC7'!$Y$5:$AB$5,0))</f>
        <v>1.7</v>
      </c>
      <c r="I169" s="83">
        <v>0</v>
      </c>
      <c r="J169" s="91" t="e">
        <f t="array" ref="J169">INDEX('Coeff EC7'!$D$33:$Q$33,1,MATCH(D169&amp;E169,'Coeff EC7'!$D$31:$Q$31&amp;'Coeff EC7'!$D$32:$Q$32,0))</f>
        <v>#N/A</v>
      </c>
      <c r="K169" s="91" t="e">
        <f t="array" ref="K169">INDEX('Coeff EC7'!$D$34:$Q$34,1,MATCH(D169&amp;E169,'Coeff EC7'!$D$31:$Q$31&amp;'Coeff EC7'!$D$32:$Q$32,0))</f>
        <v>#N/A</v>
      </c>
      <c r="L169" s="91" t="e">
        <f t="array" ref="L169">INDEX('Coeff EC7'!$D$35:$Q$35,1,MATCH(D169&amp;E169,'Coeff EC7'!$D$31:$Q$31&amp;'Coeff EC7'!$D$32:$Q$32,0))</f>
        <v>#N/A</v>
      </c>
      <c r="M169" s="98" t="e">
        <f t="shared" si="231"/>
        <v>#N/A</v>
      </c>
      <c r="N169" s="99" t="e">
        <f t="array" ref="N169">INDEX('Coeff EC7'!$D$7:$Q$27,MATCH($B$3,'Coeff EC7'!$C$7:$C$27,0),MATCH(D169&amp;E169,'Coeff EC7'!$D$5:$Q$5&amp;'Coeff EC7'!$D$6:$Q$6,0))</f>
        <v>#N/A</v>
      </c>
      <c r="O169" s="99" t="e">
        <f t="array" ref="O169">INDEX('Coeff EC7'!$D$41:$Q$61,MATCH($B$3,'Coeff EC7'!$C$41:$C$61,0),MATCH(D169&amp;E169,'Coeff EC7'!$D$39:$Q$39&amp;'Coeff EC7'!$D$40:$Q$40,0))</f>
        <v>#N/A</v>
      </c>
      <c r="P169" s="30" t="e">
        <f t="shared" si="266"/>
        <v>#N/A</v>
      </c>
      <c r="Q169" s="100" t="e">
        <f t="shared" si="233"/>
        <v>#N/A</v>
      </c>
      <c r="R169" s="86" t="b">
        <f t="shared" si="234"/>
        <v>0</v>
      </c>
      <c r="S169" s="86">
        <f t="shared" si="232"/>
        <v>0.5</v>
      </c>
      <c r="T169" s="86">
        <f t="shared" si="235"/>
        <v>0.5</v>
      </c>
      <c r="U169" s="30" t="e">
        <f t="shared" ca="1" si="267"/>
        <v>#DIV/0!</v>
      </c>
      <c r="V169" s="85" t="str">
        <f>IF(B169&lt;=Hypothèses!$V$7,Hypothèses!$W$7,IF(B169&lt;=Hypothèses!$V$8,Hypothèses!$W$8,IF(B169&lt;=Hypothèses!$V$9,Hypothèses!$W$9,IF(B169&lt;=Hypothèses!$V$10,Hypothèses!$W$10,IF(B169&lt;=Hypothèses!$V$11,Hypothèses!$W$11,IF(B169&lt;=Hypothèses!$V$12,Hypothèses!$W$12,IF(B169&lt;=Hypothèses!$V$13,Hypothèses!$W$13,IF(B169&lt;=Hypothèses!$V$14,Hypothèses!$W$14,IF(B169&lt;=Hypothèses!$V$15,Hypothèses!$W$15,IF(B169&lt;=Hypothèses!$V$16,Hypothèses!$W$16,IF(B169&lt;=Hypothèses!$V$17,Hypothèses!$W$17,IF(B169&lt;=Hypothèses!$V$18,Hypothèses!$W$18,""))))))))))))</f>
        <v/>
      </c>
      <c r="W169" s="87" t="e">
        <f t="shared" ca="1" si="316"/>
        <v>#DIV/0!</v>
      </c>
      <c r="X169" s="88" t="str">
        <f>IF(B169&lt;=Hypothèses!$V$7,Hypothèses!$X$7,IF(B169&lt;=Hypothèses!$V$8,Hypothèses!$X$8,IF(B169&lt;=Hypothèses!$V$9,Hypothèses!$X$9,IF(B169&lt;=Hypothèses!$V$10,Hypothèses!$X$10,IF(B169&lt;=Hypothèses!$V$11,Hypothèses!$X$11,IF(B169&lt;=Hypothèses!$V$12,Hypothèses!$X$12,IF(B169&lt;=Hypothèses!$V$13,Hypothèses!$X$13,IF(B169&lt;=Hypothèses!$V$14,Hypothèses!$X$14,IF(B169&lt;=Hypothèses!$V$15,Hypothèses!$X$15,IF(B169&lt;=Hypothèses!$V$16,Hypothèses!$X$16,IF(B169&lt;=Hypothèses!$U$17,Hypothèses!$W$17,IF(B169&lt;=Hypothèses!$U$18,Hypothèses!$W$18,""))))))))))))</f>
        <v/>
      </c>
      <c r="Y169" s="95" t="e">
        <f t="shared" ca="1" si="236"/>
        <v>#DIV/0!</v>
      </c>
      <c r="Z169" s="101">
        <f t="shared" si="237"/>
        <v>0</v>
      </c>
      <c r="AA169" s="91">
        <f t="shared" si="238"/>
        <v>0</v>
      </c>
      <c r="AB169" s="30" t="e">
        <f t="shared" si="300"/>
        <v>#N/A</v>
      </c>
      <c r="AC169" s="30" t="e">
        <f t="shared" si="301"/>
        <v>#N/A</v>
      </c>
      <c r="AD169" s="31" t="e">
        <f>IF(OR(Hypothèses!$B$4=17,Hypothèses!$B$4=18,Hypothèses!$B$4=19,Hypothèses!$B$4=20),
IF($D169="Pressio.",
IF(OR($E169=3,$E169=1,$E169=4),AC169,AB169),
IF($D169="Pénétro.",
IF(OR($E169=3,$E169=1,$E169=4),AC169,AB169))),IF($D169="Pressio.",
IF($E169=3,AC169,AB169),
IF($D169="Pénétro.",
IF($E169=4,AC169,AB169))))</f>
        <v>#N/A</v>
      </c>
      <c r="AE169" s="31">
        <v>0</v>
      </c>
      <c r="AF169" s="102" t="e">
        <f>IF(NDC!$H$10="Oui",(VLOOKUP($B$3,'Coeff EC7'!$T$39:$X$59,2,0)*AD169+VLOOKUP($B$3,'Coeff EC7'!$T$65:$X$85,2,0)*Model0.1T!AE169)/1.5,PI()*AB$12*$Q169*($B169-$B168)*0.15/10+AF168)</f>
        <v>#N/A</v>
      </c>
      <c r="AG169" s="102" t="e">
        <f>(VLOOKUP($B$3,'Coeff EC7'!$T$39:$X$59,3,0)*AD169+VLOOKUP($B$3,'Coeff EC7'!$T$65:$X$85,3,0)*Model0.1T!AE169)/1.1</f>
        <v>#N/A</v>
      </c>
      <c r="AH169" s="102" t="e">
        <f t="shared" si="268"/>
        <v>#N/A</v>
      </c>
      <c r="AI169" s="102" t="e">
        <f t="shared" si="269"/>
        <v>#N/A</v>
      </c>
      <c r="AJ169" s="414" t="e">
        <f>IF(AND(AF169&gt;NDC!$C$63,AG169&gt;NDC!$C$65,AH169&gt;NDC!$D$73,AI169&gt;NDC!$D$74,$B169&gt;NDC!$H$22-0.1+MIN(3*$AJ$12,1.5)),0,1)</f>
        <v>#N/A</v>
      </c>
      <c r="AK169" s="86" t="b">
        <f t="shared" si="239"/>
        <v>0</v>
      </c>
      <c r="AL169" s="86">
        <f t="shared" si="270"/>
        <v>0.5</v>
      </c>
      <c r="AM169" s="86">
        <f t="shared" si="240"/>
        <v>0.5</v>
      </c>
      <c r="AN169" s="30" t="e">
        <f t="shared" ca="1" si="271"/>
        <v>#DIV/0!</v>
      </c>
      <c r="AO169" s="85" t="e">
        <f ca="1">IF(U169&lt;=Hypothèses!$V$7,Hypothèses!$W$7,IF(U169&lt;=Hypothèses!$V$8,Hypothèses!$W$8,IF(U169&lt;=Hypothèses!$V$9,Hypothèses!$W$9,IF(U169&lt;=Hypothèses!$V$10,Hypothèses!$W$10,IF(U169&lt;=Hypothèses!$V$11,Hypothèses!$W$11,IF(U169&lt;=Hypothèses!$V$12,Hypothèses!$W$12,IF(U169&lt;=Hypothèses!$V$13,Hypothèses!$W$13,IF(U169&lt;=Hypothèses!$V$14,Hypothèses!$W$14,IF(U169&lt;=Hypothèses!$V$15,Hypothèses!$W$15,IF(U169&lt;=Hypothèses!$V$16,Hypothèses!$W$16,IF(U169&lt;=Hypothèses!$V$17,Hypothèses!$W$17,IF(U169&lt;=Hypothèses!$V$18,Hypothèses!$W$18,""))))))))))))</f>
        <v>#DIV/0!</v>
      </c>
      <c r="AP169" s="87" t="e">
        <f t="shared" ca="1" si="317"/>
        <v>#DIV/0!</v>
      </c>
      <c r="AQ169" s="88" t="e">
        <f ca="1">IF(U169&lt;=Hypothèses!$V$7,Hypothèses!$X$7,IF(U169&lt;=Hypothèses!$V$8,Hypothèses!$X$8,IF(U169&lt;=Hypothèses!$V$9,Hypothèses!$X$9,IF(U169&lt;=Hypothèses!$V$10,Hypothèses!$X$10,IF(U169&lt;=Hypothèses!$V$11,Hypothèses!$X$11,IF(U169&lt;=Hypothèses!$V$12,Hypothèses!$X$12,IF(U169&lt;=Hypothèses!$V$13,Hypothèses!$X$13,IF(U169&lt;=Hypothèses!$V$14,Hypothèses!$X$14,IF(U169&lt;=Hypothèses!$V$15,Hypothèses!$X$15,IF(U169&lt;=Hypothèses!$V$16,Hypothèses!$X$16,IF(U169&lt;=Hypothèses!$U$17,Hypothèses!$W$17,IF(U169&lt;=Hypothèses!$U$18,Hypothèses!$W$18,""))))))))))))</f>
        <v>#DIV/0!</v>
      </c>
      <c r="AR169" s="95" t="e">
        <f t="shared" ca="1" si="272"/>
        <v>#DIV/0!</v>
      </c>
      <c r="AS169" s="101">
        <f t="shared" si="324"/>
        <v>0</v>
      </c>
      <c r="AT169" s="91">
        <f t="shared" si="241"/>
        <v>0</v>
      </c>
      <c r="AU169" s="30" t="e">
        <f t="shared" si="302"/>
        <v>#N/A</v>
      </c>
      <c r="AV169" s="30" t="e">
        <f t="shared" si="303"/>
        <v>#N/A</v>
      </c>
      <c r="AW169" s="31" t="e">
        <f>IF(OR(Hypothèses!$B$4=17,Hypothèses!$B$4=18,Hypothèses!$B$4=19,Hypothèses!$B$4=20),
IF($D169="Pressio.",
IF(OR($E169=3,$E169=1,$E169=4),AV169,AU169),
IF($D169="Pénétro.",
IF(OR($E169=3,$E169=1,$E169=4),AV169,AU169))),IF($D169="Pressio.",
IF($E169=3,AV169,AU169),
IF($D169="Pénétro.",
IF($E169=4,AV169,AU169))))</f>
        <v>#N/A</v>
      </c>
      <c r="AX169" s="31">
        <v>0</v>
      </c>
      <c r="AY169" s="102" t="e">
        <f>IF(NDC!$H$10="Oui",(VLOOKUP($B$3,'Coeff EC7'!$T$39:$X$59,2,0)*AW169+VLOOKUP($B$3,'Coeff EC7'!$T$65:$X$85,2,0)*Model0.1T!AX169)/1.5,PI()*AU$12*$Q169*($B169-$B168)*0.15/10+AY168)</f>
        <v>#N/A</v>
      </c>
      <c r="AZ169" s="102" t="e">
        <f>(VLOOKUP($B$3,'Coeff EC7'!$T$39:$X$59,3,0)*AW169+VLOOKUP($B$3,'Coeff EC7'!$T$65:$X$85,3,0)*Model0.1T!AX169)/1.1</f>
        <v>#N/A</v>
      </c>
      <c r="BA169" s="102" t="e">
        <f t="shared" si="273"/>
        <v>#N/A</v>
      </c>
      <c r="BB169" s="102" t="e">
        <f t="shared" si="274"/>
        <v>#N/A</v>
      </c>
      <c r="BC169" s="414" t="e">
        <f>IF(AND(AY169&gt;NDC!$C$63,AZ169&gt;NDC!$C$65,BA169&gt;NDC!$D$73,BB169&gt;NDC!$D$74,$B169&gt;NDC!$H$22-0.1+MIN(3*BC$12,1.5)),0,1)</f>
        <v>#N/A</v>
      </c>
      <c r="BD169" s="86" t="b">
        <f t="shared" si="242"/>
        <v>0</v>
      </c>
      <c r="BE169" s="86">
        <f t="shared" si="275"/>
        <v>0.5</v>
      </c>
      <c r="BF169" s="86">
        <f t="shared" si="243"/>
        <v>0.5</v>
      </c>
      <c r="BG169" s="30" t="e">
        <f t="shared" ca="1" si="276"/>
        <v>#DIV/0!</v>
      </c>
      <c r="BH169" s="85" t="e">
        <f ca="1">IF(AN169&lt;=Hypothèses!$V$7,Hypothèses!$W$7,IF(AN169&lt;=Hypothèses!$V$8,Hypothèses!$W$8,IF(AN169&lt;=Hypothèses!$V$9,Hypothèses!$W$9,IF(AN169&lt;=Hypothèses!$V$10,Hypothèses!$W$10,IF(AN169&lt;=Hypothèses!$V$11,Hypothèses!$W$11,IF(AN169&lt;=Hypothèses!$V$12,Hypothèses!$W$12,IF(AN169&lt;=Hypothèses!$V$13,Hypothèses!$W$13,IF(AN169&lt;=Hypothèses!$V$14,Hypothèses!$W$14,IF(AN169&lt;=Hypothèses!$V$15,Hypothèses!$W$15,IF(AN169&lt;=Hypothèses!$V$16,Hypothèses!$W$16,IF(AN169&lt;=Hypothèses!$V$17,Hypothèses!$W$17,IF(AN169&lt;=Hypothèses!$V$18,Hypothèses!$W$18,""))))))))))))</f>
        <v>#DIV/0!</v>
      </c>
      <c r="BI169" s="87" t="e">
        <f t="shared" ca="1" si="318"/>
        <v>#DIV/0!</v>
      </c>
      <c r="BJ169" s="88" t="e">
        <f ca="1">IF(AN169&lt;=Hypothèses!$V$7,Hypothèses!$X$7,IF(AN169&lt;=Hypothèses!$V$8,Hypothèses!$X$8,IF(AN169&lt;=Hypothèses!$V$9,Hypothèses!$X$9,IF(AN169&lt;=Hypothèses!$V$10,Hypothèses!$X$10,IF(AN169&lt;=Hypothèses!$V$11,Hypothèses!$X$11,IF(AN169&lt;=Hypothèses!$V$12,Hypothèses!$X$12,IF(AN169&lt;=Hypothèses!$V$13,Hypothèses!$X$13,IF(AN169&lt;=Hypothèses!$V$14,Hypothèses!$X$14,IF(AN169&lt;=Hypothèses!$V$15,Hypothèses!$X$15,IF(AN169&lt;=Hypothèses!$V$16,Hypothèses!$X$16,IF(AN169&lt;=Hypothèses!$U$17,Hypothèses!$W$17,IF(AN169&lt;=Hypothèses!$U$18,Hypothèses!$W$18,""))))))))))))</f>
        <v>#DIV/0!</v>
      </c>
      <c r="BK169" s="95" t="e">
        <f t="shared" ca="1" si="277"/>
        <v>#DIV/0!</v>
      </c>
      <c r="BL169" s="101">
        <f t="shared" si="325"/>
        <v>0</v>
      </c>
      <c r="BM169" s="91">
        <f t="shared" si="244"/>
        <v>0</v>
      </c>
      <c r="BN169" s="30" t="e">
        <f t="shared" si="304"/>
        <v>#N/A</v>
      </c>
      <c r="BO169" s="30" t="e">
        <f t="shared" si="305"/>
        <v>#N/A</v>
      </c>
      <c r="BP169" s="31" t="e">
        <f>IF(OR(Hypothèses!$B$4=17,Hypothèses!$B$4=18,Hypothèses!$B$4=19,Hypothèses!$B$4=20),
IF($D169="Pressio.",
IF(OR($E169=3,$E169=1,$E169=4),BO169,BN169),
IF($D169="Pénétro.",
IF(OR($E169=3,$E169=1,$E169=4),BO169,BN169))),IF($D169="Pressio.",
IF($E169=3,BO169,BN169),
IF($D169="Pénétro.",
IF($E169=4,BO169,BN169))))</f>
        <v>#N/A</v>
      </c>
      <c r="BQ169" s="31">
        <v>0</v>
      </c>
      <c r="BR169" s="102" t="e">
        <f>IF(NDC!$H$10="Oui",(VLOOKUP($B$3,'Coeff EC7'!$T$39:$X$59,2,0)*BP169+VLOOKUP($B$3,'Coeff EC7'!$T$65:$X$85,2,0)*Model0.1T!BQ169)/1.5,PI()*BN$12*$Q169*($B169-$B168)*0.15/10+BR168)</f>
        <v>#N/A</v>
      </c>
      <c r="BS169" s="102" t="e">
        <f>(VLOOKUP($B$3,'Coeff EC7'!$T$39:$X$59,3,0)*BP169+VLOOKUP($B$3,'Coeff EC7'!$T$65:$X$85,3,0)*Model0.1T!BQ169)/1.1</f>
        <v>#N/A</v>
      </c>
      <c r="BT169" s="102" t="e">
        <f t="shared" si="278"/>
        <v>#N/A</v>
      </c>
      <c r="BU169" s="102" t="e">
        <f t="shared" si="279"/>
        <v>#N/A</v>
      </c>
      <c r="BV169" s="414" t="e">
        <f>IF(AND(BR169&gt;NDC!$C$63,BS169&gt;NDC!$C$65,BT169&gt;NDC!$D$73,BU169&gt;NDC!$D$74,$B169&gt;NDC!$H$22-0.1+MIN(3*BV$12,1.5)),0,1)</f>
        <v>#N/A</v>
      </c>
      <c r="BW169" s="86" t="b">
        <f t="shared" si="245"/>
        <v>0</v>
      </c>
      <c r="BX169" s="86">
        <f t="shared" si="246"/>
        <v>0.5</v>
      </c>
      <c r="BY169" s="86">
        <f t="shared" si="247"/>
        <v>0.5</v>
      </c>
      <c r="BZ169" s="30" t="e">
        <f t="shared" ca="1" si="280"/>
        <v>#DIV/0!</v>
      </c>
      <c r="CA169" s="85" t="e">
        <f ca="1">IF(BG169&lt;=Hypothèses!$V$7,Hypothèses!$W$7,IF(BG169&lt;=Hypothèses!$V$8,Hypothèses!$W$8,IF(BG169&lt;=Hypothèses!$V$9,Hypothèses!$W$9,IF(BG169&lt;=Hypothèses!$V$10,Hypothèses!$W$10,IF(BG169&lt;=Hypothèses!$V$11,Hypothèses!$W$11,IF(BG169&lt;=Hypothèses!$V$12,Hypothèses!$W$12,IF(BG169&lt;=Hypothèses!$V$13,Hypothèses!$W$13,IF(BG169&lt;=Hypothèses!$V$14,Hypothèses!$W$14,IF(BG169&lt;=Hypothèses!$V$15,Hypothèses!$W$15,IF(BG169&lt;=Hypothèses!$V$16,Hypothèses!$W$16,IF(BG169&lt;=Hypothèses!$V$17,Hypothèses!$W$17,IF(BG169&lt;=Hypothèses!$V$18,Hypothèses!$W$18,""))))))))))))</f>
        <v>#DIV/0!</v>
      </c>
      <c r="CB169" s="87" t="e">
        <f t="shared" ca="1" si="319"/>
        <v>#DIV/0!</v>
      </c>
      <c r="CC169" s="88" t="e">
        <f ca="1">IF(BG169&lt;=Hypothèses!$V$7,Hypothèses!$X$7,IF(BG169&lt;=Hypothèses!$V$8,Hypothèses!$X$8,IF(BG169&lt;=Hypothèses!$V$9,Hypothèses!$X$9,IF(BG169&lt;=Hypothèses!$V$10,Hypothèses!$X$10,IF(BG169&lt;=Hypothèses!$V$11,Hypothèses!$X$11,IF(BG169&lt;=Hypothèses!$V$12,Hypothèses!$X$12,IF(BG169&lt;=Hypothèses!$V$13,Hypothèses!$X$13,IF(BG169&lt;=Hypothèses!$V$14,Hypothèses!$X$14,IF(BG169&lt;=Hypothèses!$V$15,Hypothèses!$X$15,IF(BG169&lt;=Hypothèses!$V$16,Hypothèses!$X$16,IF(BG169&lt;=Hypothèses!$U$17,Hypothèses!$W$17,IF(BG169&lt;=Hypothèses!$U$18,Hypothèses!$W$18,""))))))))))))</f>
        <v>#DIV/0!</v>
      </c>
      <c r="CD169" s="95" t="e">
        <f t="shared" ca="1" si="281"/>
        <v>#DIV/0!</v>
      </c>
      <c r="CE169" s="101">
        <f t="shared" si="326"/>
        <v>0</v>
      </c>
      <c r="CF169" s="91">
        <f t="shared" si="248"/>
        <v>0</v>
      </c>
      <c r="CG169" s="30" t="e">
        <f t="shared" si="306"/>
        <v>#N/A</v>
      </c>
      <c r="CH169" s="30" t="e">
        <f t="shared" si="307"/>
        <v>#N/A</v>
      </c>
      <c r="CI169" s="31" t="e">
        <f>IF(OR(Hypothèses!$B$4=17,Hypothèses!$B$4=18,Hypothèses!$B$4=19,Hypothèses!$B$4=20),
IF($D169="Pressio.",
IF(OR($E169=3,$E169=1,$E169=4),CH169,CG169),
IF($D169="Pénétro.",
IF(OR($E169=3,$E169=1,$E169=4),CH169,CG169))),IF($D169="Pressio.",
IF($E169=3,CH169,CG169),
IF($D169="Pénétro.",
IF($E169=4,CH169,CG169))))</f>
        <v>#N/A</v>
      </c>
      <c r="CJ169" s="31">
        <v>0</v>
      </c>
      <c r="CK169" s="102" t="e">
        <f>IF(NDC!$H$10="Oui",(VLOOKUP($B$3,'Coeff EC7'!$T$39:$X$59,2,0)*CI169+VLOOKUP($B$3,'Coeff EC7'!$T$65:$X$85,2,0)*Model0.1T!CJ169)/1.5,PI()*CG$12*$Q169*($B169-$B168)*0.15/10+CK168)</f>
        <v>#N/A</v>
      </c>
      <c r="CL169" s="102" t="e">
        <f>(VLOOKUP($B$3,'Coeff EC7'!$T$39:$X$59,3,0)*CI169+VLOOKUP($B$3,'Coeff EC7'!$T$65:$X$85,3,0)*Model0.1T!CJ169)/1.1</f>
        <v>#N/A</v>
      </c>
      <c r="CM169" s="102" t="e">
        <f t="shared" si="282"/>
        <v>#N/A</v>
      </c>
      <c r="CN169" s="102" t="e">
        <f t="shared" si="283"/>
        <v>#N/A</v>
      </c>
      <c r="CO169" s="414" t="e">
        <f>IF(AND(CK169&gt;NDC!$C$63,CL169&gt;NDC!$C$65,CM169&gt;NDC!$D$73,CN169&gt;NDC!$D$74,$B169&gt;NDC!$H$22-0.1+MIN(3*CO$12,1.5)),0,1)</f>
        <v>#N/A</v>
      </c>
      <c r="CP169" s="86" t="b">
        <f t="shared" si="249"/>
        <v>0</v>
      </c>
      <c r="CQ169" s="86">
        <f t="shared" si="250"/>
        <v>0.5</v>
      </c>
      <c r="CR169" s="86">
        <f t="shared" si="251"/>
        <v>0.5</v>
      </c>
      <c r="CS169" s="30" t="e">
        <f t="shared" ca="1" si="284"/>
        <v>#DIV/0!</v>
      </c>
      <c r="CT169" s="85" t="e">
        <f ca="1">IF(BZ169&lt;=Hypothèses!$V$7,Hypothèses!$W$7,IF(BZ169&lt;=Hypothèses!$V$8,Hypothèses!$W$8,IF(BZ169&lt;=Hypothèses!$V$9,Hypothèses!$W$9,IF(BZ169&lt;=Hypothèses!$V$10,Hypothèses!$W$10,IF(BZ169&lt;=Hypothèses!$V$11,Hypothèses!$W$11,IF(BZ169&lt;=Hypothèses!$V$12,Hypothèses!$W$12,IF(BZ169&lt;=Hypothèses!$V$13,Hypothèses!$W$13,IF(BZ169&lt;=Hypothèses!$V$14,Hypothèses!$W$14,IF(BZ169&lt;=Hypothèses!$V$15,Hypothèses!$W$15,IF(BZ169&lt;=Hypothèses!$V$16,Hypothèses!$W$16,IF(BZ169&lt;=Hypothèses!$V$17,Hypothèses!$W$17,IF(BZ169&lt;=Hypothèses!$V$18,Hypothèses!$W$18,""))))))))))))</f>
        <v>#DIV/0!</v>
      </c>
      <c r="CU169" s="87" t="e">
        <f t="shared" ca="1" si="320"/>
        <v>#DIV/0!</v>
      </c>
      <c r="CV169" s="88" t="e">
        <f ca="1">IF(BZ169&lt;=Hypothèses!$V$7,Hypothèses!$X$7,IF(BZ169&lt;=Hypothèses!$V$8,Hypothèses!$X$8,IF(BZ169&lt;=Hypothèses!$V$9,Hypothèses!$X$9,IF(BZ169&lt;=Hypothèses!$V$10,Hypothèses!$X$10,IF(BZ169&lt;=Hypothèses!$V$11,Hypothèses!$X$11,IF(BZ169&lt;=Hypothèses!$V$12,Hypothèses!$X$12,IF(BZ169&lt;=Hypothèses!$V$13,Hypothèses!$X$13,IF(BZ169&lt;=Hypothèses!$V$14,Hypothèses!$X$14,IF(BZ169&lt;=Hypothèses!$V$15,Hypothèses!$X$15,IF(BZ169&lt;=Hypothèses!$V$16,Hypothèses!$X$16,IF(BZ169&lt;=Hypothèses!$U$17,Hypothèses!$W$17,IF(BZ169&lt;=Hypothèses!$U$18,Hypothèses!$W$18,""))))))))))))</f>
        <v>#DIV/0!</v>
      </c>
      <c r="CW169" s="95" t="e">
        <f t="shared" ca="1" si="285"/>
        <v>#DIV/0!</v>
      </c>
      <c r="CX169" s="101">
        <f t="shared" si="327"/>
        <v>0</v>
      </c>
      <c r="CY169" s="91">
        <f t="shared" si="252"/>
        <v>0</v>
      </c>
      <c r="CZ169" s="30" t="e">
        <f t="shared" si="308"/>
        <v>#N/A</v>
      </c>
      <c r="DA169" s="30" t="e">
        <f t="shared" si="309"/>
        <v>#N/A</v>
      </c>
      <c r="DB169" s="31" t="e">
        <f>IF(OR(Hypothèses!$B$4=17,Hypothèses!$B$4=18,Hypothèses!$B$4=19,Hypothèses!$B$4=20),
IF($D169="Pressio.",
IF(OR($E169=3,$E169=1,$E169=4),DA169,CZ169),
IF($D169="Pénétro.",
IF(OR($E169=3,$E169=1,$E169=4),DA169,CZ169))),IF($D169="Pressio.",
IF($E169=3,DA169,CZ169),
IF($D169="Pénétro.",
IF($E169=4,DA169,CZ169))))</f>
        <v>#N/A</v>
      </c>
      <c r="DC169" s="31">
        <v>0</v>
      </c>
      <c r="DD169" s="102" t="e">
        <f>IF(NDC!$H$10="Oui",(VLOOKUP($B$3,'Coeff EC7'!$T$39:$X$59,2,0)*DB169+VLOOKUP($B$3,'Coeff EC7'!$T$65:$X$85,2,0)*Model0.1T!DC169)/1.5,PI()*CZ$12*$Q169*($B169-$B168)*0.15/10+DD168)</f>
        <v>#N/A</v>
      </c>
      <c r="DE169" s="102" t="e">
        <f>(VLOOKUP($B$3,'Coeff EC7'!$T$39:$X$59,3,0)*DB169+VLOOKUP($B$3,'Coeff EC7'!$T$65:$X$85,3,0)*Model0.1T!DC169)/1.1</f>
        <v>#N/A</v>
      </c>
      <c r="DF169" s="102" t="e">
        <f t="shared" si="286"/>
        <v>#N/A</v>
      </c>
      <c r="DG169" s="102" t="e">
        <f t="shared" si="287"/>
        <v>#N/A</v>
      </c>
      <c r="DH169" s="414" t="e">
        <f>IF(AND(DD169&gt;NDC!$C$63,DE169&gt;NDC!$C$65,DF169&gt;NDC!$D$73,DG169&gt;NDC!$D$74,$B169&gt;NDC!$H$22-0.1+MIN(3*DH$12,1.5)),0,1)</f>
        <v>#N/A</v>
      </c>
      <c r="DI169" s="86" t="b">
        <f t="shared" si="253"/>
        <v>0</v>
      </c>
      <c r="DJ169" s="86">
        <f t="shared" si="254"/>
        <v>0.5</v>
      </c>
      <c r="DK169" s="86">
        <f t="shared" si="255"/>
        <v>0.5</v>
      </c>
      <c r="DL169" s="30" t="e">
        <f t="shared" ca="1" si="288"/>
        <v>#DIV/0!</v>
      </c>
      <c r="DM169" s="85" t="e">
        <f ca="1">IF(CS169&lt;=Hypothèses!$V$7,Hypothèses!$W$7,IF(CS169&lt;=Hypothèses!$V$8,Hypothèses!$W$8,IF(CS169&lt;=Hypothèses!$V$9,Hypothèses!$W$9,IF(CS169&lt;=Hypothèses!$V$10,Hypothèses!$W$10,IF(CS169&lt;=Hypothèses!$V$11,Hypothèses!$W$11,IF(CS169&lt;=Hypothèses!$V$12,Hypothèses!$W$12,IF(CS169&lt;=Hypothèses!$V$13,Hypothèses!$W$13,IF(CS169&lt;=Hypothèses!$V$14,Hypothèses!$W$14,IF(CS169&lt;=Hypothèses!$V$15,Hypothèses!$W$15,IF(CS169&lt;=Hypothèses!$V$16,Hypothèses!$W$16,IF(CS169&lt;=Hypothèses!$V$17,Hypothèses!$W$17,IF(CS169&lt;=Hypothèses!$V$18,Hypothèses!$W$18,""))))))))))))</f>
        <v>#DIV/0!</v>
      </c>
      <c r="DN169" s="87" t="e">
        <f t="shared" ca="1" si="321"/>
        <v>#DIV/0!</v>
      </c>
      <c r="DO169" s="88" t="e">
        <f ca="1">IF(CS169&lt;=Hypothèses!$V$7,Hypothèses!$X$7,IF(CS169&lt;=Hypothèses!$V$8,Hypothèses!$X$8,IF(CS169&lt;=Hypothèses!$V$9,Hypothèses!$X$9,IF(CS169&lt;=Hypothèses!$V$10,Hypothèses!$X$10,IF(CS169&lt;=Hypothèses!$V$11,Hypothèses!$X$11,IF(CS169&lt;=Hypothèses!$V$12,Hypothèses!$X$12,IF(CS169&lt;=Hypothèses!$V$13,Hypothèses!$X$13,IF(CS169&lt;=Hypothèses!$V$14,Hypothèses!$X$14,IF(CS169&lt;=Hypothèses!$V$15,Hypothèses!$X$15,IF(CS169&lt;=Hypothèses!$V$16,Hypothèses!$X$16,IF(CS169&lt;=Hypothèses!$U$17,Hypothèses!$W$17,IF(CS169&lt;=Hypothèses!$U$18,Hypothèses!$W$18,""))))))))))))</f>
        <v>#DIV/0!</v>
      </c>
      <c r="DP169" s="95" t="e">
        <f t="shared" ca="1" si="289"/>
        <v>#DIV/0!</v>
      </c>
      <c r="DQ169" s="101">
        <f t="shared" si="328"/>
        <v>0</v>
      </c>
      <c r="DR169" s="91">
        <f t="shared" si="256"/>
        <v>0</v>
      </c>
      <c r="DS169" s="30" t="e">
        <f t="shared" si="310"/>
        <v>#N/A</v>
      </c>
      <c r="DT169" s="30" t="e">
        <f t="shared" si="311"/>
        <v>#N/A</v>
      </c>
      <c r="DU169" s="31" t="e">
        <f>IF(OR(Hypothèses!$B$4=17,Hypothèses!$B$4=18,Hypothèses!$B$4=19,Hypothèses!$B$4=20),
IF($D169="Pressio.",
IF(OR($E169=3,$E169=1,$E169=4),DT169,DS169),
IF($D169="Pénétro.",
IF(OR($E169=3,$E169=1,$E169=4),DT169,DS169))),IF($D169="Pressio.",
IF($E169=3,DT169,DS169),
IF($D169="Pénétro.",
IF($E169=4,DT169,DS169))))</f>
        <v>#N/A</v>
      </c>
      <c r="DV169" s="31">
        <v>0</v>
      </c>
      <c r="DW169" s="102" t="e">
        <f>IF(NDC!$H$10="Oui",(VLOOKUP($B$3,'Coeff EC7'!$T$39:$X$59,2,0)*DU169+VLOOKUP($B$3,'Coeff EC7'!$T$65:$X$85,2,0)*Model0.1T!DV169)/1.5,PI()*DS$12*$Q169*($B169-$B168)*0.15/10+DW168)</f>
        <v>#N/A</v>
      </c>
      <c r="DX169" s="102" t="e">
        <f>(VLOOKUP($B$3,'Coeff EC7'!$T$39:$X$59,3,0)*DU169+VLOOKUP($B$3,'Coeff EC7'!$T$65:$X$85,3,0)*Model0.1T!DV169)/1.1</f>
        <v>#N/A</v>
      </c>
      <c r="DY169" s="102" t="e">
        <f t="shared" si="290"/>
        <v>#N/A</v>
      </c>
      <c r="DZ169" s="102" t="e">
        <f t="shared" si="291"/>
        <v>#N/A</v>
      </c>
      <c r="EA169" s="414" t="e">
        <f>IF(AND(DW169&gt;NDC!$C$63,DX169&gt;NDC!$C$65,DY169&gt;NDC!$D$73,DZ169&gt;NDC!$D$74,$B169&gt;NDC!$H$22-0.1+MIN(3*EA$12,1.5)),0,1)</f>
        <v>#N/A</v>
      </c>
      <c r="EB169" s="86" t="b">
        <f t="shared" si="257"/>
        <v>0</v>
      </c>
      <c r="EC169" s="418">
        <f t="shared" si="258"/>
        <v>0.51</v>
      </c>
      <c r="ED169" s="86">
        <f t="shared" si="259"/>
        <v>0.51</v>
      </c>
      <c r="EE169" s="30" t="e">
        <f t="shared" ca="1" si="292"/>
        <v>#DIV/0!</v>
      </c>
      <c r="EF169" s="85" t="e">
        <f ca="1">IF(DL169&lt;=Hypothèses!$V$7,Hypothèses!$W$7,IF(DL169&lt;=Hypothèses!$V$8,Hypothèses!$W$8,IF(DL169&lt;=Hypothèses!$V$9,Hypothèses!$W$9,IF(DL169&lt;=Hypothèses!$V$10,Hypothèses!$W$10,IF(DL169&lt;=Hypothèses!$V$11,Hypothèses!$W$11,IF(DL169&lt;=Hypothèses!$V$12,Hypothèses!$W$12,IF(DL169&lt;=Hypothèses!$V$13,Hypothèses!$W$13,IF(DL169&lt;=Hypothèses!$V$14,Hypothèses!$W$14,IF(DL169&lt;=Hypothèses!$V$15,Hypothèses!$W$15,IF(DL169&lt;=Hypothèses!$V$16,Hypothèses!$W$16,IF(DL169&lt;=Hypothèses!$V$17,Hypothèses!$W$17,IF(DL169&lt;=Hypothèses!$V$18,Hypothèses!$W$18,""))))))))))))</f>
        <v>#DIV/0!</v>
      </c>
      <c r="EG169" s="87" t="e">
        <f t="shared" ca="1" si="322"/>
        <v>#DIV/0!</v>
      </c>
      <c r="EH169" s="88" t="e">
        <f ca="1">IF(DL169&lt;=Hypothèses!$V$7,Hypothèses!$X$7,IF(DL169&lt;=Hypothèses!$V$8,Hypothèses!$X$8,IF(DL169&lt;=Hypothèses!$V$9,Hypothèses!$X$9,IF(DL169&lt;=Hypothèses!$V$10,Hypothèses!$X$10,IF(DL169&lt;=Hypothèses!$V$11,Hypothèses!$X$11,IF(DL169&lt;=Hypothèses!$V$12,Hypothèses!$X$12,IF(DL169&lt;=Hypothèses!$V$13,Hypothèses!$X$13,IF(DL169&lt;=Hypothèses!$V$14,Hypothèses!$X$14,IF(DL169&lt;=Hypothèses!$V$15,Hypothèses!$X$15,IF(DL169&lt;=Hypothèses!$V$16,Hypothèses!$X$16,IF(DL169&lt;=Hypothèses!$U$17,Hypothèses!$W$17,IF(DL169&lt;=Hypothèses!$U$18,Hypothèses!$W$18,""))))))))))))</f>
        <v>#DIV/0!</v>
      </c>
      <c r="EI169" s="95" t="e">
        <f t="shared" ca="1" si="293"/>
        <v>#DIV/0!</v>
      </c>
      <c r="EJ169" s="101">
        <f t="shared" si="329"/>
        <v>0</v>
      </c>
      <c r="EK169" s="91">
        <f t="shared" si="260"/>
        <v>0</v>
      </c>
      <c r="EL169" s="30" t="e">
        <f t="shared" si="312"/>
        <v>#N/A</v>
      </c>
      <c r="EM169" s="30" t="e">
        <f t="shared" si="313"/>
        <v>#N/A</v>
      </c>
      <c r="EN169" s="31" t="e">
        <f>IF(OR(Hypothèses!$B$4=17,Hypothèses!$B$4=18,Hypothèses!$B$4=19,Hypothèses!$B$4=20),
IF($D169="Pressio.",
IF(OR($E169=3,$E169=1,$E169=4),EM169,EL169),
IF($D169="Pénétro.",
IF(OR($E169=3,$E169=1,$E169=4),EM169,EL169))),IF($D169="Pressio.",
IF($E169=3,EM169,EL169),
IF($D169="Pénétro.",
IF($E169=4,EM169,EL169))))</f>
        <v>#N/A</v>
      </c>
      <c r="EO169" s="31">
        <v>0</v>
      </c>
      <c r="EP169" s="102" t="e">
        <f>IF(NDC!$H$10="Oui",(VLOOKUP($B$3,'Coeff EC7'!$T$39:$X$59,2,0)*EN169+VLOOKUP($B$3,'Coeff EC7'!$T$65:$X$85,2,0)*Model0.1T!EO169)/1.5,PI()*EL$12*$Q169*($B169-$B168)*0.15/10+EP168)</f>
        <v>#N/A</v>
      </c>
      <c r="EQ169" s="102" t="e">
        <f>(VLOOKUP($B$3,'Coeff EC7'!$T$39:$X$59,3,0)*EN169+VLOOKUP($B$3,'Coeff EC7'!$T$65:$X$85,3,0)*Model0.1T!EO169)/1.1</f>
        <v>#N/A</v>
      </c>
      <c r="ER169" s="102" t="e">
        <f t="shared" si="294"/>
        <v>#N/A</v>
      </c>
      <c r="ES169" s="102" t="e">
        <f t="shared" si="295"/>
        <v>#N/A</v>
      </c>
      <c r="ET169" s="414" t="e">
        <f>IF(AND(EP169&gt;NDC!$C$63,EQ169&gt;NDC!$C$65,ER169&gt;NDC!$D$73,ES169&gt;NDC!$D$74,$B169&gt;NDC!$H$22-0.1+MIN(3*ET$12,1.5)),0,1)</f>
        <v>#N/A</v>
      </c>
      <c r="EU169" s="86" t="b">
        <f t="shared" si="261"/>
        <v>0</v>
      </c>
      <c r="EV169" s="86">
        <f t="shared" si="262"/>
        <v>0.61</v>
      </c>
      <c r="EW169" s="86">
        <f t="shared" si="263"/>
        <v>0.61</v>
      </c>
      <c r="EX169" s="30" t="e">
        <f t="shared" ca="1" si="296"/>
        <v>#DIV/0!</v>
      </c>
      <c r="EY169" s="85" t="e">
        <f ca="1">IF(EE169&lt;=Hypothèses!$V$7,Hypothèses!$W$7,IF(EE169&lt;=Hypothèses!$V$8,Hypothèses!$W$8,IF(EE169&lt;=Hypothèses!$V$9,Hypothèses!$W$9,IF(EE169&lt;=Hypothèses!$V$10,Hypothèses!$W$10,IF(EE169&lt;=Hypothèses!$V$11,Hypothèses!$W$11,IF(EE169&lt;=Hypothèses!$V$12,Hypothèses!$W$12,IF(EE169&lt;=Hypothèses!$V$13,Hypothèses!$W$13,IF(EE169&lt;=Hypothèses!$V$14,Hypothèses!$W$14,IF(EE169&lt;=Hypothèses!$V$15,Hypothèses!$W$15,IF(EE169&lt;=Hypothèses!$V$16,Hypothèses!$W$16,IF(EE169&lt;=Hypothèses!$V$17,Hypothèses!$W$17,IF(EE169&lt;=Hypothèses!$V$18,Hypothèses!$W$18,""))))))))))))</f>
        <v>#DIV/0!</v>
      </c>
      <c r="EZ169" s="87" t="e">
        <f t="shared" ca="1" si="323"/>
        <v>#DIV/0!</v>
      </c>
      <c r="FA169" s="88" t="e">
        <f ca="1">IF(EE169&lt;=Hypothèses!$V$7,Hypothèses!$X$7,IF(EE169&lt;=Hypothèses!$V$8,Hypothèses!$X$8,IF(EE169&lt;=Hypothèses!$V$9,Hypothèses!$X$9,IF(EE169&lt;=Hypothèses!$V$10,Hypothèses!$X$10,IF(EE169&lt;=Hypothèses!$V$11,Hypothèses!$X$11,IF(EE169&lt;=Hypothèses!$V$12,Hypothèses!$X$12,IF(EE169&lt;=Hypothèses!$V$13,Hypothèses!$X$13,IF(EE169&lt;=Hypothèses!$V$14,Hypothèses!$X$14,IF(EE169&lt;=Hypothèses!$V$15,Hypothèses!$X$15,IF(EE169&lt;=Hypothèses!$V$16,Hypothèses!$X$16,IF(EE169&lt;=Hypothèses!$U$17,Hypothèses!$W$17,IF(EE169&lt;=Hypothèses!$U$18,Hypothèses!$W$18,""))))))))))))</f>
        <v>#DIV/0!</v>
      </c>
      <c r="FB169" s="95" t="e">
        <f t="shared" ca="1" si="297"/>
        <v>#DIV/0!</v>
      </c>
      <c r="FC169" s="101">
        <f t="shared" si="330"/>
        <v>0</v>
      </c>
      <c r="FD169" s="91">
        <f t="shared" si="264"/>
        <v>0</v>
      </c>
      <c r="FE169" s="30" t="e">
        <f t="shared" si="314"/>
        <v>#N/A</v>
      </c>
      <c r="FF169" s="30" t="e">
        <f t="shared" si="315"/>
        <v>#N/A</v>
      </c>
      <c r="FG169" s="31" t="e">
        <f>IF(OR(Hypothèses!$B$4=17,Hypothèses!$B$4=18,Hypothèses!$B$4=19,Hypothèses!$B$4=20),
IF($D169="Pressio.",
IF(OR($E169=3,$E169=1,$E169=4),FF169,FE169),
IF($D169="Pénétro.",
IF(OR($E169=3,$E169=1,$E169=4),FF169,FE169))),IF($D169="Pressio.",
IF($E169=3,FF169,FE169),
IF($D169="Pénétro.",
IF($E169=4,FF169,FE169))))</f>
        <v>#N/A</v>
      </c>
      <c r="FH169" s="31">
        <v>0</v>
      </c>
      <c r="FI169" s="102" t="e">
        <f>IF(NDC!$H$10="Oui",(VLOOKUP($B$3,'Coeff EC7'!$T$39:$X$59,2,0)*FG169+VLOOKUP($B$3,'Coeff EC7'!$T$65:$X$85,2,0)*Model0.1T!FH169)/1.5,PI()*FE$12*$Q169*($B169-$B168)*0.15/10+FI168)</f>
        <v>#N/A</v>
      </c>
      <c r="FJ169" s="102" t="e">
        <f>(VLOOKUP($B$3,'Coeff EC7'!$T$39:$X$59,3,0)*FG169+VLOOKUP($B$3,'Coeff EC7'!$T$65:$X$85,3,0)*Model0.1T!FH169)/1.1</f>
        <v>#N/A</v>
      </c>
      <c r="FK169" s="102" t="e">
        <f t="shared" si="298"/>
        <v>#N/A</v>
      </c>
      <c r="FL169" s="102" t="e">
        <f t="shared" si="299"/>
        <v>#N/A</v>
      </c>
      <c r="FM169" s="414" t="e">
        <f>IF(AND(FI169&gt;NDC!$C$63,FJ169&gt;NDC!$C$65,FK169&gt;NDC!$D$73,FL169&gt;NDC!$D$74,$B169&gt;NDC!$H$22-0.1+MIN(3*FM$12,1.5)),0,1)</f>
        <v>#N/A</v>
      </c>
    </row>
    <row r="170" spans="1:169">
      <c r="A170" s="96">
        <f t="shared" si="265"/>
        <v>84.300000000000892</v>
      </c>
      <c r="B170" s="97">
        <v>15.7</v>
      </c>
      <c r="C170" s="81">
        <f>IF(B170&lt;=Hypothèses!$C$7,Hypothèses!$A$7,IF(B170&lt;=Hypothèses!$C$8,Hypothèses!$A$8,IF(B170&lt;=Hypothèses!$C$9,Hypothèses!$A$9,IF(B170&lt;=Hypothèses!$C$10,Hypothèses!$A$10,IF(B170&lt;=Hypothèses!$C$11,Hypothèses!$A$11,IF(B170&lt;=Hypothèses!$C$12,Hypothèses!$A$12,IF(B170&lt;=Hypothèses!$C$13,Hypothèses!$A$13,IF(B170&lt;=Hypothèses!$C$14,Hypothèses!$A$14,IF(B170&lt;=Hypothèses!$C$15,Hypothèses!$A$15,IF(B170&lt;=Hypothèses!$C$16,Hypothèses!$A$16,IF(B170&lt;=Hypothèses!$C$17,Hypothèses!$A$17,IF(B170&lt;=Hypothèses!$C$18,Hypothèses!$A$18,C169))))))))))))</f>
        <v>11</v>
      </c>
      <c r="D170" s="82" t="str">
        <f>IF(B170&lt;=Hypothèses!$C$7,Hypothèses!$R$7,IF(B170&lt;=Hypothèses!$C$8,Hypothèses!$R$8,IF(B170&lt;=Hypothèses!$C$9,Hypothèses!$R$9,IF(B170&lt;=Hypothèses!$C$10,Hypothèses!$R$10,IF(B170&lt;=Hypothèses!$C$11,Hypothèses!$R$11,IF(B170&lt;=Hypothèses!$C$12,Hypothèses!$R$12,IF(B170&lt;=Hypothèses!$C$13,Hypothèses!$R$13,IF(B170&lt;=Hypothèses!$C$14,Hypothèses!$R$14,IF(B170&lt;=Hypothèses!$C$15,Hypothèses!$R$15,IF(B170&lt;=Hypothèses!$C$16,Hypothèses!$R$16,IF(B170&lt;=Hypothèses!$C$17,Hypothèses!$R$17,IF(B170&lt;=Hypothèses!$C$18,Hypothèses!$R$18,D169))))))))))))</f>
        <v>Pressio.</v>
      </c>
      <c r="E170" s="82" t="e">
        <f>IF(B170&lt;=Hypothèses!$C$7,Hypothèses!$G$7,IF(B170&lt;=Hypothèses!$C$8,Hypothèses!$G$8,IF(B170&lt;=Hypothèses!$C$9,Hypothèses!$G$9,IF(B170&lt;=Hypothèses!$C$10,Hypothèses!$G$10,IF(B170&lt;=Hypothèses!$C$11,Hypothèses!$G$11,IF(B170&lt;=Hypothèses!$C$12,Hypothèses!$G$12,IF(B170&lt;=Hypothèses!$C$13,Hypothèses!$G$13,IF(B170&lt;=Hypothèses!$C$14,Hypothèses!$G$14,IF(B170&lt;=Hypothèses!$C$15,Hypothèses!$G$15,IF(B170&lt;=Hypothèses!$C$16,Hypothèses!$G$16,IF(B170&lt;=Hypothèses!$C$17,Hypothèses!$G$17,IF(B170&lt;=Hypothèses!$C$18,Hypothèses!$G$18,E169))))))))))))</f>
        <v>#N/A</v>
      </c>
      <c r="F170" s="82" t="str">
        <f>IF(B170&lt;=Hypothèses!$C$7,Hypothèses!$F$7,IF(B170&lt;=Hypothèses!$C$8,Hypothèses!$F$8,IF(B170&lt;=Hypothèses!$C$9,Hypothèses!$F$9,IF(B170&lt;=Hypothèses!$C$10,Hypothèses!$F$10,IF(B170&lt;=Hypothèses!$C$11,Hypothèses!$F$11,IF(B170&lt;=Hypothèses!$C$12,Hypothèses!$F$12,IF(B170&lt;=Hypothèses!$C$13,Hypothèses!$F$13,IF(B170&lt;=Hypothèses!$C$14,Hypothèses!$F$14,IF(B170&lt;=Hypothèses!$C$15,Hypothèses!$F$15,IF(B170&lt;=Hypothèses!$C$16,Hypothèses!$F$16,IF(B170&lt;=Hypothèses!$C$17,Hypothèses!$F$17,IF(B170&lt;=Hypothèses!$C$18,Hypothèses!$F$18,F169))))))))))))</f>
        <v/>
      </c>
      <c r="G170" s="91">
        <f t="array" ref="G170">INDEX('Coeff EC7'!$U$7:$X$27,
MATCH(Model0.1T!$B$3,'Coeff EC7'!$T$7:$T$27,0),
MATCH(Model0.1T!$D170&amp;Model0.1T!$B$4,
'Coeff EC7'!$U$6:$X$6&amp;
'Coeff EC7'!$U$5:$X$5,0))</f>
        <v>1.4</v>
      </c>
      <c r="H170" s="91">
        <f t="array" ref="H170">INDEX('Coeff EC7'!$Y$7:$AB$27,
MATCH(Model0.1T!$B$3,'Coeff EC7'!$T$7:$T$27,0),
MATCH(Model0.1T!$D170&amp;Model0.1T!$B$4,
'Coeff EC7'!$Y$6:$AB$6&amp;
'Coeff EC7'!$Y$5:$AB$5,0))</f>
        <v>1.7</v>
      </c>
      <c r="I170" s="83">
        <v>0</v>
      </c>
      <c r="J170" s="91" t="e">
        <f t="array" ref="J170">INDEX('Coeff EC7'!$D$33:$Q$33,1,MATCH(D170&amp;E170,'Coeff EC7'!$D$31:$Q$31&amp;'Coeff EC7'!$D$32:$Q$32,0))</f>
        <v>#N/A</v>
      </c>
      <c r="K170" s="91" t="e">
        <f t="array" ref="K170">INDEX('Coeff EC7'!$D$34:$Q$34,1,MATCH(D170&amp;E170,'Coeff EC7'!$D$31:$Q$31&amp;'Coeff EC7'!$D$32:$Q$32,0))</f>
        <v>#N/A</v>
      </c>
      <c r="L170" s="91" t="e">
        <f t="array" ref="L170">INDEX('Coeff EC7'!$D$35:$Q$35,1,MATCH(D170&amp;E170,'Coeff EC7'!$D$31:$Q$31&amp;'Coeff EC7'!$D$32:$Q$32,0))</f>
        <v>#N/A</v>
      </c>
      <c r="M170" s="98" t="e">
        <f t="shared" si="231"/>
        <v>#N/A</v>
      </c>
      <c r="N170" s="99" t="e">
        <f t="array" ref="N170">INDEX('Coeff EC7'!$D$7:$Q$27,MATCH($B$3,'Coeff EC7'!$C$7:$C$27,0),MATCH(D170&amp;E170,'Coeff EC7'!$D$5:$Q$5&amp;'Coeff EC7'!$D$6:$Q$6,0))</f>
        <v>#N/A</v>
      </c>
      <c r="O170" s="99" t="e">
        <f t="array" ref="O170">INDEX('Coeff EC7'!$D$41:$Q$61,MATCH($B$3,'Coeff EC7'!$C$41:$C$61,0),MATCH(D170&amp;E170,'Coeff EC7'!$D$39:$Q$39&amp;'Coeff EC7'!$D$40:$Q$40,0))</f>
        <v>#N/A</v>
      </c>
      <c r="P170" s="30" t="e">
        <f t="shared" si="266"/>
        <v>#N/A</v>
      </c>
      <c r="Q170" s="100" t="e">
        <f t="shared" si="233"/>
        <v>#N/A</v>
      </c>
      <c r="R170" s="86" t="b">
        <f t="shared" si="234"/>
        <v>0</v>
      </c>
      <c r="S170" s="86">
        <f t="shared" si="232"/>
        <v>0.5</v>
      </c>
      <c r="T170" s="86">
        <f t="shared" si="235"/>
        <v>0.5</v>
      </c>
      <c r="U170" s="30" t="e">
        <f t="shared" ca="1" si="267"/>
        <v>#DIV/0!</v>
      </c>
      <c r="V170" s="85" t="str">
        <f>IF(B170&lt;=Hypothèses!$V$7,Hypothèses!$W$7,IF(B170&lt;=Hypothèses!$V$8,Hypothèses!$W$8,IF(B170&lt;=Hypothèses!$V$9,Hypothèses!$W$9,IF(B170&lt;=Hypothèses!$V$10,Hypothèses!$W$10,IF(B170&lt;=Hypothèses!$V$11,Hypothèses!$W$11,IF(B170&lt;=Hypothèses!$V$12,Hypothèses!$W$12,IF(B170&lt;=Hypothèses!$V$13,Hypothèses!$W$13,IF(B170&lt;=Hypothèses!$V$14,Hypothèses!$W$14,IF(B170&lt;=Hypothèses!$V$15,Hypothèses!$W$15,IF(B170&lt;=Hypothèses!$V$16,Hypothèses!$W$16,IF(B170&lt;=Hypothèses!$V$17,Hypothèses!$W$17,IF(B170&lt;=Hypothèses!$V$18,Hypothèses!$W$18,""))))))))))))</f>
        <v/>
      </c>
      <c r="W170" s="87" t="e">
        <f t="shared" ca="1" si="316"/>
        <v>#DIV/0!</v>
      </c>
      <c r="X170" s="88" t="str">
        <f>IF(B170&lt;=Hypothèses!$V$7,Hypothèses!$X$7,IF(B170&lt;=Hypothèses!$V$8,Hypothèses!$X$8,IF(B170&lt;=Hypothèses!$V$9,Hypothèses!$X$9,IF(B170&lt;=Hypothèses!$V$10,Hypothèses!$X$10,IF(B170&lt;=Hypothèses!$V$11,Hypothèses!$X$11,IF(B170&lt;=Hypothèses!$V$12,Hypothèses!$X$12,IF(B170&lt;=Hypothèses!$V$13,Hypothèses!$X$13,IF(B170&lt;=Hypothèses!$V$14,Hypothèses!$X$14,IF(B170&lt;=Hypothèses!$V$15,Hypothèses!$X$15,IF(B170&lt;=Hypothèses!$V$16,Hypothèses!$X$16,IF(B170&lt;=Hypothèses!$U$17,Hypothèses!$W$17,IF(B170&lt;=Hypothèses!$U$18,Hypothèses!$W$18,""))))))))))))</f>
        <v/>
      </c>
      <c r="Y170" s="95" t="e">
        <f t="shared" ca="1" si="236"/>
        <v>#DIV/0!</v>
      </c>
      <c r="Z170" s="101">
        <f t="shared" si="237"/>
        <v>0</v>
      </c>
      <c r="AA170" s="91">
        <f t="shared" si="238"/>
        <v>0</v>
      </c>
      <c r="AB170" s="30" t="e">
        <f t="shared" si="300"/>
        <v>#N/A</v>
      </c>
      <c r="AC170" s="30" t="e">
        <f t="shared" si="301"/>
        <v>#N/A</v>
      </c>
      <c r="AD170" s="31" t="e">
        <f>IF(OR(Hypothèses!$B$4=17,Hypothèses!$B$4=18,Hypothèses!$B$4=19,Hypothèses!$B$4=20),
IF($D170="Pressio.",
IF(OR($E170=3,$E170=1,$E170=4),AC170,AB170),
IF($D170="Pénétro.",
IF(OR($E170=3,$E170=1,$E170=4),AC170,AB170))),IF($D170="Pressio.",
IF($E170=3,AC170,AB170),
IF($D170="Pénétro.",
IF($E170=4,AC170,AB170))))</f>
        <v>#N/A</v>
      </c>
      <c r="AE170" s="31">
        <v>0</v>
      </c>
      <c r="AF170" s="102" t="e">
        <f>IF(NDC!$H$10="Oui",(VLOOKUP($B$3,'Coeff EC7'!$T$39:$X$59,2,0)*AD170+VLOOKUP($B$3,'Coeff EC7'!$T$65:$X$85,2,0)*Model0.1T!AE170)/1.5,PI()*AB$12*$Q170*($B170-$B169)*0.15/10+AF169)</f>
        <v>#N/A</v>
      </c>
      <c r="AG170" s="102" t="e">
        <f>(VLOOKUP($B$3,'Coeff EC7'!$T$39:$X$59,3,0)*AD170+VLOOKUP($B$3,'Coeff EC7'!$T$65:$X$85,3,0)*Model0.1T!AE170)/1.1</f>
        <v>#N/A</v>
      </c>
      <c r="AH170" s="102" t="e">
        <f t="shared" si="268"/>
        <v>#N/A</v>
      </c>
      <c r="AI170" s="102" t="e">
        <f t="shared" si="269"/>
        <v>#N/A</v>
      </c>
      <c r="AJ170" s="414" t="e">
        <f>IF(AND(AF170&gt;NDC!$C$63,AG170&gt;NDC!$C$65,AH170&gt;NDC!$D$73,AI170&gt;NDC!$D$74,$B170&gt;NDC!$H$22-0.1+MIN(3*$AJ$12,1.5)),0,1)</f>
        <v>#N/A</v>
      </c>
      <c r="AK170" s="86" t="b">
        <f t="shared" si="239"/>
        <v>0</v>
      </c>
      <c r="AL170" s="86">
        <f t="shared" si="270"/>
        <v>0.5</v>
      </c>
      <c r="AM170" s="86">
        <f t="shared" si="240"/>
        <v>0.5</v>
      </c>
      <c r="AN170" s="30" t="e">
        <f t="shared" ca="1" si="271"/>
        <v>#DIV/0!</v>
      </c>
      <c r="AO170" s="85" t="e">
        <f ca="1">IF(U170&lt;=Hypothèses!$V$7,Hypothèses!$W$7,IF(U170&lt;=Hypothèses!$V$8,Hypothèses!$W$8,IF(U170&lt;=Hypothèses!$V$9,Hypothèses!$W$9,IF(U170&lt;=Hypothèses!$V$10,Hypothèses!$W$10,IF(U170&lt;=Hypothèses!$V$11,Hypothèses!$W$11,IF(U170&lt;=Hypothèses!$V$12,Hypothèses!$W$12,IF(U170&lt;=Hypothèses!$V$13,Hypothèses!$W$13,IF(U170&lt;=Hypothèses!$V$14,Hypothèses!$W$14,IF(U170&lt;=Hypothèses!$V$15,Hypothèses!$W$15,IF(U170&lt;=Hypothèses!$V$16,Hypothèses!$W$16,IF(U170&lt;=Hypothèses!$V$17,Hypothèses!$W$17,IF(U170&lt;=Hypothèses!$V$18,Hypothèses!$W$18,""))))))))))))</f>
        <v>#DIV/0!</v>
      </c>
      <c r="AP170" s="87" t="e">
        <f t="shared" ca="1" si="317"/>
        <v>#DIV/0!</v>
      </c>
      <c r="AQ170" s="88" t="e">
        <f ca="1">IF(U170&lt;=Hypothèses!$V$7,Hypothèses!$X$7,IF(U170&lt;=Hypothèses!$V$8,Hypothèses!$X$8,IF(U170&lt;=Hypothèses!$V$9,Hypothèses!$X$9,IF(U170&lt;=Hypothèses!$V$10,Hypothèses!$X$10,IF(U170&lt;=Hypothèses!$V$11,Hypothèses!$X$11,IF(U170&lt;=Hypothèses!$V$12,Hypothèses!$X$12,IF(U170&lt;=Hypothèses!$V$13,Hypothèses!$X$13,IF(U170&lt;=Hypothèses!$V$14,Hypothèses!$X$14,IF(U170&lt;=Hypothèses!$V$15,Hypothèses!$X$15,IF(U170&lt;=Hypothèses!$V$16,Hypothèses!$X$16,IF(U170&lt;=Hypothèses!$U$17,Hypothèses!$W$17,IF(U170&lt;=Hypothèses!$U$18,Hypothèses!$W$18,""))))))))))))</f>
        <v>#DIV/0!</v>
      </c>
      <c r="AR170" s="95" t="e">
        <f t="shared" ca="1" si="272"/>
        <v>#DIV/0!</v>
      </c>
      <c r="AS170" s="101">
        <f t="shared" si="324"/>
        <v>0</v>
      </c>
      <c r="AT170" s="91">
        <f t="shared" si="241"/>
        <v>0</v>
      </c>
      <c r="AU170" s="30" t="e">
        <f t="shared" si="302"/>
        <v>#N/A</v>
      </c>
      <c r="AV170" s="30" t="e">
        <f t="shared" si="303"/>
        <v>#N/A</v>
      </c>
      <c r="AW170" s="31" t="e">
        <f>IF(OR(Hypothèses!$B$4=17,Hypothèses!$B$4=18,Hypothèses!$B$4=19,Hypothèses!$B$4=20),
IF($D170="Pressio.",
IF(OR($E170=3,$E170=1,$E170=4),AV170,AU170),
IF($D170="Pénétro.",
IF(OR($E170=3,$E170=1,$E170=4),AV170,AU170))),IF($D170="Pressio.",
IF($E170=3,AV170,AU170),
IF($D170="Pénétro.",
IF($E170=4,AV170,AU170))))</f>
        <v>#N/A</v>
      </c>
      <c r="AX170" s="31">
        <v>0</v>
      </c>
      <c r="AY170" s="102" t="e">
        <f>IF(NDC!$H$10="Oui",(VLOOKUP($B$3,'Coeff EC7'!$T$39:$X$59,2,0)*AW170+VLOOKUP($B$3,'Coeff EC7'!$T$65:$X$85,2,0)*Model0.1T!AX170)/1.5,PI()*AU$12*$Q170*($B170-$B169)*0.15/10+AY169)</f>
        <v>#N/A</v>
      </c>
      <c r="AZ170" s="102" t="e">
        <f>(VLOOKUP($B$3,'Coeff EC7'!$T$39:$X$59,3,0)*AW170+VLOOKUP($B$3,'Coeff EC7'!$T$65:$X$85,3,0)*Model0.1T!AX170)/1.1</f>
        <v>#N/A</v>
      </c>
      <c r="BA170" s="102" t="e">
        <f t="shared" si="273"/>
        <v>#N/A</v>
      </c>
      <c r="BB170" s="102" t="e">
        <f t="shared" si="274"/>
        <v>#N/A</v>
      </c>
      <c r="BC170" s="414" t="e">
        <f>IF(AND(AY170&gt;NDC!$C$63,AZ170&gt;NDC!$C$65,BA170&gt;NDC!$D$73,BB170&gt;NDC!$D$74,$B170&gt;NDC!$H$22-0.1+MIN(3*BC$12,1.5)),0,1)</f>
        <v>#N/A</v>
      </c>
      <c r="BD170" s="86" t="b">
        <f t="shared" si="242"/>
        <v>0</v>
      </c>
      <c r="BE170" s="86">
        <f t="shared" si="275"/>
        <v>0.5</v>
      </c>
      <c r="BF170" s="86">
        <f t="shared" si="243"/>
        <v>0.5</v>
      </c>
      <c r="BG170" s="30" t="e">
        <f t="shared" ca="1" si="276"/>
        <v>#DIV/0!</v>
      </c>
      <c r="BH170" s="85" t="e">
        <f ca="1">IF(AN170&lt;=Hypothèses!$V$7,Hypothèses!$W$7,IF(AN170&lt;=Hypothèses!$V$8,Hypothèses!$W$8,IF(AN170&lt;=Hypothèses!$V$9,Hypothèses!$W$9,IF(AN170&lt;=Hypothèses!$V$10,Hypothèses!$W$10,IF(AN170&lt;=Hypothèses!$V$11,Hypothèses!$W$11,IF(AN170&lt;=Hypothèses!$V$12,Hypothèses!$W$12,IF(AN170&lt;=Hypothèses!$V$13,Hypothèses!$W$13,IF(AN170&lt;=Hypothèses!$V$14,Hypothèses!$W$14,IF(AN170&lt;=Hypothèses!$V$15,Hypothèses!$W$15,IF(AN170&lt;=Hypothèses!$V$16,Hypothèses!$W$16,IF(AN170&lt;=Hypothèses!$V$17,Hypothèses!$W$17,IF(AN170&lt;=Hypothèses!$V$18,Hypothèses!$W$18,""))))))))))))</f>
        <v>#DIV/0!</v>
      </c>
      <c r="BI170" s="87" t="e">
        <f t="shared" ca="1" si="318"/>
        <v>#DIV/0!</v>
      </c>
      <c r="BJ170" s="88" t="e">
        <f ca="1">IF(AN170&lt;=Hypothèses!$V$7,Hypothèses!$X$7,IF(AN170&lt;=Hypothèses!$V$8,Hypothèses!$X$8,IF(AN170&lt;=Hypothèses!$V$9,Hypothèses!$X$9,IF(AN170&lt;=Hypothèses!$V$10,Hypothèses!$X$10,IF(AN170&lt;=Hypothèses!$V$11,Hypothèses!$X$11,IF(AN170&lt;=Hypothèses!$V$12,Hypothèses!$X$12,IF(AN170&lt;=Hypothèses!$V$13,Hypothèses!$X$13,IF(AN170&lt;=Hypothèses!$V$14,Hypothèses!$X$14,IF(AN170&lt;=Hypothèses!$V$15,Hypothèses!$X$15,IF(AN170&lt;=Hypothèses!$V$16,Hypothèses!$X$16,IF(AN170&lt;=Hypothèses!$U$17,Hypothèses!$W$17,IF(AN170&lt;=Hypothèses!$U$18,Hypothèses!$W$18,""))))))))))))</f>
        <v>#DIV/0!</v>
      </c>
      <c r="BK170" s="95" t="e">
        <f t="shared" ca="1" si="277"/>
        <v>#DIV/0!</v>
      </c>
      <c r="BL170" s="101">
        <f t="shared" si="325"/>
        <v>0</v>
      </c>
      <c r="BM170" s="91">
        <f t="shared" si="244"/>
        <v>0</v>
      </c>
      <c r="BN170" s="30" t="e">
        <f t="shared" si="304"/>
        <v>#N/A</v>
      </c>
      <c r="BO170" s="30" t="e">
        <f t="shared" si="305"/>
        <v>#N/A</v>
      </c>
      <c r="BP170" s="31" t="e">
        <f>IF(OR(Hypothèses!$B$4=17,Hypothèses!$B$4=18,Hypothèses!$B$4=19,Hypothèses!$B$4=20),
IF($D170="Pressio.",
IF(OR($E170=3,$E170=1,$E170=4),BO170,BN170),
IF($D170="Pénétro.",
IF(OR($E170=3,$E170=1,$E170=4),BO170,BN170))),IF($D170="Pressio.",
IF($E170=3,BO170,BN170),
IF($D170="Pénétro.",
IF($E170=4,BO170,BN170))))</f>
        <v>#N/A</v>
      </c>
      <c r="BQ170" s="31">
        <v>0</v>
      </c>
      <c r="BR170" s="102" t="e">
        <f>IF(NDC!$H$10="Oui",(VLOOKUP($B$3,'Coeff EC7'!$T$39:$X$59,2,0)*BP170+VLOOKUP($B$3,'Coeff EC7'!$T$65:$X$85,2,0)*Model0.1T!BQ170)/1.5,PI()*BN$12*$Q170*($B170-$B169)*0.15/10+BR169)</f>
        <v>#N/A</v>
      </c>
      <c r="BS170" s="102" t="e">
        <f>(VLOOKUP($B$3,'Coeff EC7'!$T$39:$X$59,3,0)*BP170+VLOOKUP($B$3,'Coeff EC7'!$T$65:$X$85,3,0)*Model0.1T!BQ170)/1.1</f>
        <v>#N/A</v>
      </c>
      <c r="BT170" s="102" t="e">
        <f t="shared" si="278"/>
        <v>#N/A</v>
      </c>
      <c r="BU170" s="102" t="e">
        <f t="shared" si="279"/>
        <v>#N/A</v>
      </c>
      <c r="BV170" s="414" t="e">
        <f>IF(AND(BR170&gt;NDC!$C$63,BS170&gt;NDC!$C$65,BT170&gt;NDC!$D$73,BU170&gt;NDC!$D$74,$B170&gt;NDC!$H$22-0.1+MIN(3*BV$12,1.5)),0,1)</f>
        <v>#N/A</v>
      </c>
      <c r="BW170" s="86" t="b">
        <f t="shared" si="245"/>
        <v>0</v>
      </c>
      <c r="BX170" s="86">
        <f t="shared" si="246"/>
        <v>0.5</v>
      </c>
      <c r="BY170" s="86">
        <f t="shared" si="247"/>
        <v>0.5</v>
      </c>
      <c r="BZ170" s="30" t="e">
        <f t="shared" ca="1" si="280"/>
        <v>#DIV/0!</v>
      </c>
      <c r="CA170" s="85" t="e">
        <f ca="1">IF(BG170&lt;=Hypothèses!$V$7,Hypothèses!$W$7,IF(BG170&lt;=Hypothèses!$V$8,Hypothèses!$W$8,IF(BG170&lt;=Hypothèses!$V$9,Hypothèses!$W$9,IF(BG170&lt;=Hypothèses!$V$10,Hypothèses!$W$10,IF(BG170&lt;=Hypothèses!$V$11,Hypothèses!$W$11,IF(BG170&lt;=Hypothèses!$V$12,Hypothèses!$W$12,IF(BG170&lt;=Hypothèses!$V$13,Hypothèses!$W$13,IF(BG170&lt;=Hypothèses!$V$14,Hypothèses!$W$14,IF(BG170&lt;=Hypothèses!$V$15,Hypothèses!$W$15,IF(BG170&lt;=Hypothèses!$V$16,Hypothèses!$W$16,IF(BG170&lt;=Hypothèses!$V$17,Hypothèses!$W$17,IF(BG170&lt;=Hypothèses!$V$18,Hypothèses!$W$18,""))))))))))))</f>
        <v>#DIV/0!</v>
      </c>
      <c r="CB170" s="87" t="e">
        <f t="shared" ca="1" si="319"/>
        <v>#DIV/0!</v>
      </c>
      <c r="CC170" s="88" t="e">
        <f ca="1">IF(BG170&lt;=Hypothèses!$V$7,Hypothèses!$X$7,IF(BG170&lt;=Hypothèses!$V$8,Hypothèses!$X$8,IF(BG170&lt;=Hypothèses!$V$9,Hypothèses!$X$9,IF(BG170&lt;=Hypothèses!$V$10,Hypothèses!$X$10,IF(BG170&lt;=Hypothèses!$V$11,Hypothèses!$X$11,IF(BG170&lt;=Hypothèses!$V$12,Hypothèses!$X$12,IF(BG170&lt;=Hypothèses!$V$13,Hypothèses!$X$13,IF(BG170&lt;=Hypothèses!$V$14,Hypothèses!$X$14,IF(BG170&lt;=Hypothèses!$V$15,Hypothèses!$X$15,IF(BG170&lt;=Hypothèses!$V$16,Hypothèses!$X$16,IF(BG170&lt;=Hypothèses!$U$17,Hypothèses!$W$17,IF(BG170&lt;=Hypothèses!$U$18,Hypothèses!$W$18,""))))))))))))</f>
        <v>#DIV/0!</v>
      </c>
      <c r="CD170" s="95" t="e">
        <f t="shared" ca="1" si="281"/>
        <v>#DIV/0!</v>
      </c>
      <c r="CE170" s="101">
        <f t="shared" si="326"/>
        <v>0</v>
      </c>
      <c r="CF170" s="91">
        <f t="shared" si="248"/>
        <v>0</v>
      </c>
      <c r="CG170" s="30" t="e">
        <f t="shared" si="306"/>
        <v>#N/A</v>
      </c>
      <c r="CH170" s="30" t="e">
        <f t="shared" si="307"/>
        <v>#N/A</v>
      </c>
      <c r="CI170" s="31" t="e">
        <f>IF(OR(Hypothèses!$B$4=17,Hypothèses!$B$4=18,Hypothèses!$B$4=19,Hypothèses!$B$4=20),
IF($D170="Pressio.",
IF(OR($E170=3,$E170=1,$E170=4),CH170,CG170),
IF($D170="Pénétro.",
IF(OR($E170=3,$E170=1,$E170=4),CH170,CG170))),IF($D170="Pressio.",
IF($E170=3,CH170,CG170),
IF($D170="Pénétro.",
IF($E170=4,CH170,CG170))))</f>
        <v>#N/A</v>
      </c>
      <c r="CJ170" s="31">
        <v>0</v>
      </c>
      <c r="CK170" s="102" t="e">
        <f>IF(NDC!$H$10="Oui",(VLOOKUP($B$3,'Coeff EC7'!$T$39:$X$59,2,0)*CI170+VLOOKUP($B$3,'Coeff EC7'!$T$65:$X$85,2,0)*Model0.1T!CJ170)/1.5,PI()*CG$12*$Q170*($B170-$B169)*0.15/10+CK169)</f>
        <v>#N/A</v>
      </c>
      <c r="CL170" s="102" t="e">
        <f>(VLOOKUP($B$3,'Coeff EC7'!$T$39:$X$59,3,0)*CI170+VLOOKUP($B$3,'Coeff EC7'!$T$65:$X$85,3,0)*Model0.1T!CJ170)/1.1</f>
        <v>#N/A</v>
      </c>
      <c r="CM170" s="102" t="e">
        <f t="shared" si="282"/>
        <v>#N/A</v>
      </c>
      <c r="CN170" s="102" t="e">
        <f t="shared" si="283"/>
        <v>#N/A</v>
      </c>
      <c r="CO170" s="414" t="e">
        <f>IF(AND(CK170&gt;NDC!$C$63,CL170&gt;NDC!$C$65,CM170&gt;NDC!$D$73,CN170&gt;NDC!$D$74,$B170&gt;NDC!$H$22-0.1+MIN(3*CO$12,1.5)),0,1)</f>
        <v>#N/A</v>
      </c>
      <c r="CP170" s="86" t="b">
        <f t="shared" si="249"/>
        <v>0</v>
      </c>
      <c r="CQ170" s="86">
        <f t="shared" si="250"/>
        <v>0.5</v>
      </c>
      <c r="CR170" s="86">
        <f t="shared" si="251"/>
        <v>0.5</v>
      </c>
      <c r="CS170" s="30" t="e">
        <f t="shared" ca="1" si="284"/>
        <v>#DIV/0!</v>
      </c>
      <c r="CT170" s="85" t="e">
        <f ca="1">IF(BZ170&lt;=Hypothèses!$V$7,Hypothèses!$W$7,IF(BZ170&lt;=Hypothèses!$V$8,Hypothèses!$W$8,IF(BZ170&lt;=Hypothèses!$V$9,Hypothèses!$W$9,IF(BZ170&lt;=Hypothèses!$V$10,Hypothèses!$W$10,IF(BZ170&lt;=Hypothèses!$V$11,Hypothèses!$W$11,IF(BZ170&lt;=Hypothèses!$V$12,Hypothèses!$W$12,IF(BZ170&lt;=Hypothèses!$V$13,Hypothèses!$W$13,IF(BZ170&lt;=Hypothèses!$V$14,Hypothèses!$W$14,IF(BZ170&lt;=Hypothèses!$V$15,Hypothèses!$W$15,IF(BZ170&lt;=Hypothèses!$V$16,Hypothèses!$W$16,IF(BZ170&lt;=Hypothèses!$V$17,Hypothèses!$W$17,IF(BZ170&lt;=Hypothèses!$V$18,Hypothèses!$W$18,""))))))))))))</f>
        <v>#DIV/0!</v>
      </c>
      <c r="CU170" s="87" t="e">
        <f t="shared" ca="1" si="320"/>
        <v>#DIV/0!</v>
      </c>
      <c r="CV170" s="88" t="e">
        <f ca="1">IF(BZ170&lt;=Hypothèses!$V$7,Hypothèses!$X$7,IF(BZ170&lt;=Hypothèses!$V$8,Hypothèses!$X$8,IF(BZ170&lt;=Hypothèses!$V$9,Hypothèses!$X$9,IF(BZ170&lt;=Hypothèses!$V$10,Hypothèses!$X$10,IF(BZ170&lt;=Hypothèses!$V$11,Hypothèses!$X$11,IF(BZ170&lt;=Hypothèses!$V$12,Hypothèses!$X$12,IF(BZ170&lt;=Hypothèses!$V$13,Hypothèses!$X$13,IF(BZ170&lt;=Hypothèses!$V$14,Hypothèses!$X$14,IF(BZ170&lt;=Hypothèses!$V$15,Hypothèses!$X$15,IF(BZ170&lt;=Hypothèses!$V$16,Hypothèses!$X$16,IF(BZ170&lt;=Hypothèses!$U$17,Hypothèses!$W$17,IF(BZ170&lt;=Hypothèses!$U$18,Hypothèses!$W$18,""))))))))))))</f>
        <v>#DIV/0!</v>
      </c>
      <c r="CW170" s="95" t="e">
        <f t="shared" ca="1" si="285"/>
        <v>#DIV/0!</v>
      </c>
      <c r="CX170" s="101">
        <f t="shared" si="327"/>
        <v>0</v>
      </c>
      <c r="CY170" s="91">
        <f t="shared" si="252"/>
        <v>0</v>
      </c>
      <c r="CZ170" s="30" t="e">
        <f t="shared" si="308"/>
        <v>#N/A</v>
      </c>
      <c r="DA170" s="30" t="e">
        <f t="shared" si="309"/>
        <v>#N/A</v>
      </c>
      <c r="DB170" s="31" t="e">
        <f>IF(OR(Hypothèses!$B$4=17,Hypothèses!$B$4=18,Hypothèses!$B$4=19,Hypothèses!$B$4=20),
IF($D170="Pressio.",
IF(OR($E170=3,$E170=1,$E170=4),DA170,CZ170),
IF($D170="Pénétro.",
IF(OR($E170=3,$E170=1,$E170=4),DA170,CZ170))),IF($D170="Pressio.",
IF($E170=3,DA170,CZ170),
IF($D170="Pénétro.",
IF($E170=4,DA170,CZ170))))</f>
        <v>#N/A</v>
      </c>
      <c r="DC170" s="31">
        <v>0</v>
      </c>
      <c r="DD170" s="102" t="e">
        <f>IF(NDC!$H$10="Oui",(VLOOKUP($B$3,'Coeff EC7'!$T$39:$X$59,2,0)*DB170+VLOOKUP($B$3,'Coeff EC7'!$T$65:$X$85,2,0)*Model0.1T!DC170)/1.5,PI()*CZ$12*$Q170*($B170-$B169)*0.15/10+DD169)</f>
        <v>#N/A</v>
      </c>
      <c r="DE170" s="102" t="e">
        <f>(VLOOKUP($B$3,'Coeff EC7'!$T$39:$X$59,3,0)*DB170+VLOOKUP($B$3,'Coeff EC7'!$T$65:$X$85,3,0)*Model0.1T!DC170)/1.1</f>
        <v>#N/A</v>
      </c>
      <c r="DF170" s="102" t="e">
        <f t="shared" si="286"/>
        <v>#N/A</v>
      </c>
      <c r="DG170" s="102" t="e">
        <f t="shared" si="287"/>
        <v>#N/A</v>
      </c>
      <c r="DH170" s="414" t="e">
        <f>IF(AND(DD170&gt;NDC!$C$63,DE170&gt;NDC!$C$65,DF170&gt;NDC!$D$73,DG170&gt;NDC!$D$74,$B170&gt;NDC!$H$22-0.1+MIN(3*DH$12,1.5)),0,1)</f>
        <v>#N/A</v>
      </c>
      <c r="DI170" s="86" t="b">
        <f t="shared" si="253"/>
        <v>0</v>
      </c>
      <c r="DJ170" s="86">
        <f t="shared" si="254"/>
        <v>0.5</v>
      </c>
      <c r="DK170" s="86">
        <f t="shared" si="255"/>
        <v>0.5</v>
      </c>
      <c r="DL170" s="30" t="e">
        <f t="shared" ca="1" si="288"/>
        <v>#DIV/0!</v>
      </c>
      <c r="DM170" s="85" t="e">
        <f ca="1">IF(CS170&lt;=Hypothèses!$V$7,Hypothèses!$W$7,IF(CS170&lt;=Hypothèses!$V$8,Hypothèses!$W$8,IF(CS170&lt;=Hypothèses!$V$9,Hypothèses!$W$9,IF(CS170&lt;=Hypothèses!$V$10,Hypothèses!$W$10,IF(CS170&lt;=Hypothèses!$V$11,Hypothèses!$W$11,IF(CS170&lt;=Hypothèses!$V$12,Hypothèses!$W$12,IF(CS170&lt;=Hypothèses!$V$13,Hypothèses!$W$13,IF(CS170&lt;=Hypothèses!$V$14,Hypothèses!$W$14,IF(CS170&lt;=Hypothèses!$V$15,Hypothèses!$W$15,IF(CS170&lt;=Hypothèses!$V$16,Hypothèses!$W$16,IF(CS170&lt;=Hypothèses!$V$17,Hypothèses!$W$17,IF(CS170&lt;=Hypothèses!$V$18,Hypothèses!$W$18,""))))))))))))</f>
        <v>#DIV/0!</v>
      </c>
      <c r="DN170" s="87" t="e">
        <f t="shared" ca="1" si="321"/>
        <v>#DIV/0!</v>
      </c>
      <c r="DO170" s="88" t="e">
        <f ca="1">IF(CS170&lt;=Hypothèses!$V$7,Hypothèses!$X$7,IF(CS170&lt;=Hypothèses!$V$8,Hypothèses!$X$8,IF(CS170&lt;=Hypothèses!$V$9,Hypothèses!$X$9,IF(CS170&lt;=Hypothèses!$V$10,Hypothèses!$X$10,IF(CS170&lt;=Hypothèses!$V$11,Hypothèses!$X$11,IF(CS170&lt;=Hypothèses!$V$12,Hypothèses!$X$12,IF(CS170&lt;=Hypothèses!$V$13,Hypothèses!$X$13,IF(CS170&lt;=Hypothèses!$V$14,Hypothèses!$X$14,IF(CS170&lt;=Hypothèses!$V$15,Hypothèses!$X$15,IF(CS170&lt;=Hypothèses!$V$16,Hypothèses!$X$16,IF(CS170&lt;=Hypothèses!$U$17,Hypothèses!$W$17,IF(CS170&lt;=Hypothèses!$U$18,Hypothèses!$W$18,""))))))))))))</f>
        <v>#DIV/0!</v>
      </c>
      <c r="DP170" s="95" t="e">
        <f t="shared" ca="1" si="289"/>
        <v>#DIV/0!</v>
      </c>
      <c r="DQ170" s="101">
        <f t="shared" si="328"/>
        <v>0</v>
      </c>
      <c r="DR170" s="91">
        <f t="shared" si="256"/>
        <v>0</v>
      </c>
      <c r="DS170" s="30" t="e">
        <f t="shared" si="310"/>
        <v>#N/A</v>
      </c>
      <c r="DT170" s="30" t="e">
        <f t="shared" si="311"/>
        <v>#N/A</v>
      </c>
      <c r="DU170" s="31" t="e">
        <f>IF(OR(Hypothèses!$B$4=17,Hypothèses!$B$4=18,Hypothèses!$B$4=19,Hypothèses!$B$4=20),
IF($D170="Pressio.",
IF(OR($E170=3,$E170=1,$E170=4),DT170,DS170),
IF($D170="Pénétro.",
IF(OR($E170=3,$E170=1,$E170=4),DT170,DS170))),IF($D170="Pressio.",
IF($E170=3,DT170,DS170),
IF($D170="Pénétro.",
IF($E170=4,DT170,DS170))))</f>
        <v>#N/A</v>
      </c>
      <c r="DV170" s="31">
        <v>0</v>
      </c>
      <c r="DW170" s="102" t="e">
        <f>IF(NDC!$H$10="Oui",(VLOOKUP($B$3,'Coeff EC7'!$T$39:$X$59,2,0)*DU170+VLOOKUP($B$3,'Coeff EC7'!$T$65:$X$85,2,0)*Model0.1T!DV170)/1.5,PI()*DS$12*$Q170*($B170-$B169)*0.15/10+DW169)</f>
        <v>#N/A</v>
      </c>
      <c r="DX170" s="102" t="e">
        <f>(VLOOKUP($B$3,'Coeff EC7'!$T$39:$X$59,3,0)*DU170+VLOOKUP($B$3,'Coeff EC7'!$T$65:$X$85,3,0)*Model0.1T!DV170)/1.1</f>
        <v>#N/A</v>
      </c>
      <c r="DY170" s="102" t="e">
        <f t="shared" si="290"/>
        <v>#N/A</v>
      </c>
      <c r="DZ170" s="102" t="e">
        <f t="shared" si="291"/>
        <v>#N/A</v>
      </c>
      <c r="EA170" s="414" t="e">
        <f>IF(AND(DW170&gt;NDC!$C$63,DX170&gt;NDC!$C$65,DY170&gt;NDC!$D$73,DZ170&gt;NDC!$D$74,$B170&gt;NDC!$H$22-0.1+MIN(3*EA$12,1.5)),0,1)</f>
        <v>#N/A</v>
      </c>
      <c r="EB170" s="86" t="b">
        <f t="shared" si="257"/>
        <v>0</v>
      </c>
      <c r="EC170" s="418">
        <f t="shared" si="258"/>
        <v>0.51</v>
      </c>
      <c r="ED170" s="86">
        <f t="shared" si="259"/>
        <v>0.51</v>
      </c>
      <c r="EE170" s="30" t="e">
        <f t="shared" ca="1" si="292"/>
        <v>#DIV/0!</v>
      </c>
      <c r="EF170" s="85" t="e">
        <f ca="1">IF(DL170&lt;=Hypothèses!$V$7,Hypothèses!$W$7,IF(DL170&lt;=Hypothèses!$V$8,Hypothèses!$W$8,IF(DL170&lt;=Hypothèses!$V$9,Hypothèses!$W$9,IF(DL170&lt;=Hypothèses!$V$10,Hypothèses!$W$10,IF(DL170&lt;=Hypothèses!$V$11,Hypothèses!$W$11,IF(DL170&lt;=Hypothèses!$V$12,Hypothèses!$W$12,IF(DL170&lt;=Hypothèses!$V$13,Hypothèses!$W$13,IF(DL170&lt;=Hypothèses!$V$14,Hypothèses!$W$14,IF(DL170&lt;=Hypothèses!$V$15,Hypothèses!$W$15,IF(DL170&lt;=Hypothèses!$V$16,Hypothèses!$W$16,IF(DL170&lt;=Hypothèses!$V$17,Hypothèses!$W$17,IF(DL170&lt;=Hypothèses!$V$18,Hypothèses!$W$18,""))))))))))))</f>
        <v>#DIV/0!</v>
      </c>
      <c r="EG170" s="87" t="e">
        <f t="shared" ca="1" si="322"/>
        <v>#DIV/0!</v>
      </c>
      <c r="EH170" s="88" t="e">
        <f ca="1">IF(DL170&lt;=Hypothèses!$V$7,Hypothèses!$X$7,IF(DL170&lt;=Hypothèses!$V$8,Hypothèses!$X$8,IF(DL170&lt;=Hypothèses!$V$9,Hypothèses!$X$9,IF(DL170&lt;=Hypothèses!$V$10,Hypothèses!$X$10,IF(DL170&lt;=Hypothèses!$V$11,Hypothèses!$X$11,IF(DL170&lt;=Hypothèses!$V$12,Hypothèses!$X$12,IF(DL170&lt;=Hypothèses!$V$13,Hypothèses!$X$13,IF(DL170&lt;=Hypothèses!$V$14,Hypothèses!$X$14,IF(DL170&lt;=Hypothèses!$V$15,Hypothèses!$X$15,IF(DL170&lt;=Hypothèses!$V$16,Hypothèses!$X$16,IF(DL170&lt;=Hypothèses!$U$17,Hypothèses!$W$17,IF(DL170&lt;=Hypothèses!$U$18,Hypothèses!$W$18,""))))))))))))</f>
        <v>#DIV/0!</v>
      </c>
      <c r="EI170" s="95" t="e">
        <f t="shared" ca="1" si="293"/>
        <v>#DIV/0!</v>
      </c>
      <c r="EJ170" s="101">
        <f t="shared" si="329"/>
        <v>0</v>
      </c>
      <c r="EK170" s="91">
        <f t="shared" si="260"/>
        <v>0</v>
      </c>
      <c r="EL170" s="30" t="e">
        <f t="shared" si="312"/>
        <v>#N/A</v>
      </c>
      <c r="EM170" s="30" t="e">
        <f t="shared" si="313"/>
        <v>#N/A</v>
      </c>
      <c r="EN170" s="31" t="e">
        <f>IF(OR(Hypothèses!$B$4=17,Hypothèses!$B$4=18,Hypothèses!$B$4=19,Hypothèses!$B$4=20),
IF($D170="Pressio.",
IF(OR($E170=3,$E170=1,$E170=4),EM170,EL170),
IF($D170="Pénétro.",
IF(OR($E170=3,$E170=1,$E170=4),EM170,EL170))),IF($D170="Pressio.",
IF($E170=3,EM170,EL170),
IF($D170="Pénétro.",
IF($E170=4,EM170,EL170))))</f>
        <v>#N/A</v>
      </c>
      <c r="EO170" s="31">
        <v>0</v>
      </c>
      <c r="EP170" s="102" t="e">
        <f>IF(NDC!$H$10="Oui",(VLOOKUP($B$3,'Coeff EC7'!$T$39:$X$59,2,0)*EN170+VLOOKUP($B$3,'Coeff EC7'!$T$65:$X$85,2,0)*Model0.1T!EO170)/1.5,PI()*EL$12*$Q170*($B170-$B169)*0.15/10+EP169)</f>
        <v>#N/A</v>
      </c>
      <c r="EQ170" s="102" t="e">
        <f>(VLOOKUP($B$3,'Coeff EC7'!$T$39:$X$59,3,0)*EN170+VLOOKUP($B$3,'Coeff EC7'!$T$65:$X$85,3,0)*Model0.1T!EO170)/1.1</f>
        <v>#N/A</v>
      </c>
      <c r="ER170" s="102" t="e">
        <f t="shared" si="294"/>
        <v>#N/A</v>
      </c>
      <c r="ES170" s="102" t="e">
        <f t="shared" si="295"/>
        <v>#N/A</v>
      </c>
      <c r="ET170" s="414" t="e">
        <f>IF(AND(EP170&gt;NDC!$C$63,EQ170&gt;NDC!$C$65,ER170&gt;NDC!$D$73,ES170&gt;NDC!$D$74,$B170&gt;NDC!$H$22-0.1+MIN(3*ET$12,1.5)),0,1)</f>
        <v>#N/A</v>
      </c>
      <c r="EU170" s="86" t="b">
        <f t="shared" si="261"/>
        <v>0</v>
      </c>
      <c r="EV170" s="86">
        <f t="shared" si="262"/>
        <v>0.61</v>
      </c>
      <c r="EW170" s="86">
        <f t="shared" si="263"/>
        <v>0.61</v>
      </c>
      <c r="EX170" s="30" t="e">
        <f t="shared" ca="1" si="296"/>
        <v>#DIV/0!</v>
      </c>
      <c r="EY170" s="85" t="e">
        <f ca="1">IF(EE170&lt;=Hypothèses!$V$7,Hypothèses!$W$7,IF(EE170&lt;=Hypothèses!$V$8,Hypothèses!$W$8,IF(EE170&lt;=Hypothèses!$V$9,Hypothèses!$W$9,IF(EE170&lt;=Hypothèses!$V$10,Hypothèses!$W$10,IF(EE170&lt;=Hypothèses!$V$11,Hypothèses!$W$11,IF(EE170&lt;=Hypothèses!$V$12,Hypothèses!$W$12,IF(EE170&lt;=Hypothèses!$V$13,Hypothèses!$W$13,IF(EE170&lt;=Hypothèses!$V$14,Hypothèses!$W$14,IF(EE170&lt;=Hypothèses!$V$15,Hypothèses!$W$15,IF(EE170&lt;=Hypothèses!$V$16,Hypothèses!$W$16,IF(EE170&lt;=Hypothèses!$V$17,Hypothèses!$W$17,IF(EE170&lt;=Hypothèses!$V$18,Hypothèses!$W$18,""))))))))))))</f>
        <v>#DIV/0!</v>
      </c>
      <c r="EZ170" s="87" t="e">
        <f t="shared" ca="1" si="323"/>
        <v>#DIV/0!</v>
      </c>
      <c r="FA170" s="88" t="e">
        <f ca="1">IF(EE170&lt;=Hypothèses!$V$7,Hypothèses!$X$7,IF(EE170&lt;=Hypothèses!$V$8,Hypothèses!$X$8,IF(EE170&lt;=Hypothèses!$V$9,Hypothèses!$X$9,IF(EE170&lt;=Hypothèses!$V$10,Hypothèses!$X$10,IF(EE170&lt;=Hypothèses!$V$11,Hypothèses!$X$11,IF(EE170&lt;=Hypothèses!$V$12,Hypothèses!$X$12,IF(EE170&lt;=Hypothèses!$V$13,Hypothèses!$X$13,IF(EE170&lt;=Hypothèses!$V$14,Hypothèses!$X$14,IF(EE170&lt;=Hypothèses!$V$15,Hypothèses!$X$15,IF(EE170&lt;=Hypothèses!$V$16,Hypothèses!$X$16,IF(EE170&lt;=Hypothèses!$U$17,Hypothèses!$W$17,IF(EE170&lt;=Hypothèses!$U$18,Hypothèses!$W$18,""))))))))))))</f>
        <v>#DIV/0!</v>
      </c>
      <c r="FB170" s="95" t="e">
        <f t="shared" ca="1" si="297"/>
        <v>#DIV/0!</v>
      </c>
      <c r="FC170" s="101">
        <f t="shared" si="330"/>
        <v>0</v>
      </c>
      <c r="FD170" s="91">
        <f t="shared" si="264"/>
        <v>0</v>
      </c>
      <c r="FE170" s="30" t="e">
        <f t="shared" si="314"/>
        <v>#N/A</v>
      </c>
      <c r="FF170" s="30" t="e">
        <f t="shared" si="315"/>
        <v>#N/A</v>
      </c>
      <c r="FG170" s="31" t="e">
        <f>IF(OR(Hypothèses!$B$4=17,Hypothèses!$B$4=18,Hypothèses!$B$4=19,Hypothèses!$B$4=20),
IF($D170="Pressio.",
IF(OR($E170=3,$E170=1,$E170=4),FF170,FE170),
IF($D170="Pénétro.",
IF(OR($E170=3,$E170=1,$E170=4),FF170,FE170))),IF($D170="Pressio.",
IF($E170=3,FF170,FE170),
IF($D170="Pénétro.",
IF($E170=4,FF170,FE170))))</f>
        <v>#N/A</v>
      </c>
      <c r="FH170" s="31">
        <v>0</v>
      </c>
      <c r="FI170" s="102" t="e">
        <f>IF(NDC!$H$10="Oui",(VLOOKUP($B$3,'Coeff EC7'!$T$39:$X$59,2,0)*FG170+VLOOKUP($B$3,'Coeff EC7'!$T$65:$X$85,2,0)*Model0.1T!FH170)/1.5,PI()*FE$12*$Q170*($B170-$B169)*0.15/10+FI169)</f>
        <v>#N/A</v>
      </c>
      <c r="FJ170" s="102" t="e">
        <f>(VLOOKUP($B$3,'Coeff EC7'!$T$39:$X$59,3,0)*FG170+VLOOKUP($B$3,'Coeff EC7'!$T$65:$X$85,3,0)*Model0.1T!FH170)/1.1</f>
        <v>#N/A</v>
      </c>
      <c r="FK170" s="102" t="e">
        <f t="shared" si="298"/>
        <v>#N/A</v>
      </c>
      <c r="FL170" s="102" t="e">
        <f t="shared" si="299"/>
        <v>#N/A</v>
      </c>
      <c r="FM170" s="414" t="e">
        <f>IF(AND(FI170&gt;NDC!$C$63,FJ170&gt;NDC!$C$65,FK170&gt;NDC!$D$73,FL170&gt;NDC!$D$74,$B170&gt;NDC!$H$22-0.1+MIN(3*FM$12,1.5)),0,1)</f>
        <v>#N/A</v>
      </c>
    </row>
    <row r="171" spans="1:169">
      <c r="A171" s="96">
        <f t="shared" si="265"/>
        <v>84.200000000000898</v>
      </c>
      <c r="B171" s="97">
        <v>15.8</v>
      </c>
      <c r="C171" s="81">
        <f>IF(B171&lt;=Hypothèses!$C$7,Hypothèses!$A$7,IF(B171&lt;=Hypothèses!$C$8,Hypothèses!$A$8,IF(B171&lt;=Hypothèses!$C$9,Hypothèses!$A$9,IF(B171&lt;=Hypothèses!$C$10,Hypothèses!$A$10,IF(B171&lt;=Hypothèses!$C$11,Hypothèses!$A$11,IF(B171&lt;=Hypothèses!$C$12,Hypothèses!$A$12,IF(B171&lt;=Hypothèses!$C$13,Hypothèses!$A$13,IF(B171&lt;=Hypothèses!$C$14,Hypothèses!$A$14,IF(B171&lt;=Hypothèses!$C$15,Hypothèses!$A$15,IF(B171&lt;=Hypothèses!$C$16,Hypothèses!$A$16,IF(B171&lt;=Hypothèses!$C$17,Hypothèses!$A$17,IF(B171&lt;=Hypothèses!$C$18,Hypothèses!$A$18,C170))))))))))))</f>
        <v>11</v>
      </c>
      <c r="D171" s="82" t="str">
        <f>IF(B171&lt;=Hypothèses!$C$7,Hypothèses!$R$7,IF(B171&lt;=Hypothèses!$C$8,Hypothèses!$R$8,IF(B171&lt;=Hypothèses!$C$9,Hypothèses!$R$9,IF(B171&lt;=Hypothèses!$C$10,Hypothèses!$R$10,IF(B171&lt;=Hypothèses!$C$11,Hypothèses!$R$11,IF(B171&lt;=Hypothèses!$C$12,Hypothèses!$R$12,IF(B171&lt;=Hypothèses!$C$13,Hypothèses!$R$13,IF(B171&lt;=Hypothèses!$C$14,Hypothèses!$R$14,IF(B171&lt;=Hypothèses!$C$15,Hypothèses!$R$15,IF(B171&lt;=Hypothèses!$C$16,Hypothèses!$R$16,IF(B171&lt;=Hypothèses!$C$17,Hypothèses!$R$17,IF(B171&lt;=Hypothèses!$C$18,Hypothèses!$R$18,D170))))))))))))</f>
        <v>Pressio.</v>
      </c>
      <c r="E171" s="82" t="e">
        <f>IF(B171&lt;=Hypothèses!$C$7,Hypothèses!$G$7,IF(B171&lt;=Hypothèses!$C$8,Hypothèses!$G$8,IF(B171&lt;=Hypothèses!$C$9,Hypothèses!$G$9,IF(B171&lt;=Hypothèses!$C$10,Hypothèses!$G$10,IF(B171&lt;=Hypothèses!$C$11,Hypothèses!$G$11,IF(B171&lt;=Hypothèses!$C$12,Hypothèses!$G$12,IF(B171&lt;=Hypothèses!$C$13,Hypothèses!$G$13,IF(B171&lt;=Hypothèses!$C$14,Hypothèses!$G$14,IF(B171&lt;=Hypothèses!$C$15,Hypothèses!$G$15,IF(B171&lt;=Hypothèses!$C$16,Hypothèses!$G$16,IF(B171&lt;=Hypothèses!$C$17,Hypothèses!$G$17,IF(B171&lt;=Hypothèses!$C$18,Hypothèses!$G$18,E170))))))))))))</f>
        <v>#N/A</v>
      </c>
      <c r="F171" s="82" t="str">
        <f>IF(B171&lt;=Hypothèses!$C$7,Hypothèses!$F$7,IF(B171&lt;=Hypothèses!$C$8,Hypothèses!$F$8,IF(B171&lt;=Hypothèses!$C$9,Hypothèses!$F$9,IF(B171&lt;=Hypothèses!$C$10,Hypothèses!$F$10,IF(B171&lt;=Hypothèses!$C$11,Hypothèses!$F$11,IF(B171&lt;=Hypothèses!$C$12,Hypothèses!$F$12,IF(B171&lt;=Hypothèses!$C$13,Hypothèses!$F$13,IF(B171&lt;=Hypothèses!$C$14,Hypothèses!$F$14,IF(B171&lt;=Hypothèses!$C$15,Hypothèses!$F$15,IF(B171&lt;=Hypothèses!$C$16,Hypothèses!$F$16,IF(B171&lt;=Hypothèses!$C$17,Hypothèses!$F$17,IF(B171&lt;=Hypothèses!$C$18,Hypothèses!$F$18,F170))))))))))))</f>
        <v/>
      </c>
      <c r="G171" s="91">
        <f t="array" ref="G171">INDEX('Coeff EC7'!$U$7:$X$27,
MATCH(Model0.1T!$B$3,'Coeff EC7'!$T$7:$T$27,0),
MATCH(Model0.1T!$D171&amp;Model0.1T!$B$4,
'Coeff EC7'!$U$6:$X$6&amp;
'Coeff EC7'!$U$5:$X$5,0))</f>
        <v>1.4</v>
      </c>
      <c r="H171" s="91">
        <f t="array" ref="H171">INDEX('Coeff EC7'!$Y$7:$AB$27,
MATCH(Model0.1T!$B$3,'Coeff EC7'!$T$7:$T$27,0),
MATCH(Model0.1T!$D171&amp;Model0.1T!$B$4,
'Coeff EC7'!$Y$6:$AB$6&amp;
'Coeff EC7'!$Y$5:$AB$5,0))</f>
        <v>1.7</v>
      </c>
      <c r="I171" s="83">
        <v>0</v>
      </c>
      <c r="J171" s="91" t="e">
        <f t="array" ref="J171">INDEX('Coeff EC7'!$D$33:$Q$33,1,MATCH(D171&amp;E171,'Coeff EC7'!$D$31:$Q$31&amp;'Coeff EC7'!$D$32:$Q$32,0))</f>
        <v>#N/A</v>
      </c>
      <c r="K171" s="91" t="e">
        <f t="array" ref="K171">INDEX('Coeff EC7'!$D$34:$Q$34,1,MATCH(D171&amp;E171,'Coeff EC7'!$D$31:$Q$31&amp;'Coeff EC7'!$D$32:$Q$32,0))</f>
        <v>#N/A</v>
      </c>
      <c r="L171" s="91" t="e">
        <f t="array" ref="L171">INDEX('Coeff EC7'!$D$35:$Q$35,1,MATCH(D171&amp;E171,'Coeff EC7'!$D$31:$Q$31&amp;'Coeff EC7'!$D$32:$Q$32,0))</f>
        <v>#N/A</v>
      </c>
      <c r="M171" s="98" t="e">
        <f t="shared" si="231"/>
        <v>#N/A</v>
      </c>
      <c r="N171" s="99" t="e">
        <f t="array" ref="N171">INDEX('Coeff EC7'!$D$7:$Q$27,MATCH($B$3,'Coeff EC7'!$C$7:$C$27,0),MATCH(D171&amp;E171,'Coeff EC7'!$D$5:$Q$5&amp;'Coeff EC7'!$D$6:$Q$6,0))</f>
        <v>#N/A</v>
      </c>
      <c r="O171" s="99" t="e">
        <f t="array" ref="O171">INDEX('Coeff EC7'!$D$41:$Q$61,MATCH($B$3,'Coeff EC7'!$C$41:$C$61,0),MATCH(D171&amp;E171,'Coeff EC7'!$D$39:$Q$39&amp;'Coeff EC7'!$D$40:$Q$40,0))</f>
        <v>#N/A</v>
      </c>
      <c r="P171" s="30" t="e">
        <f t="shared" si="266"/>
        <v>#N/A</v>
      </c>
      <c r="Q171" s="100" t="e">
        <f t="shared" si="233"/>
        <v>#N/A</v>
      </c>
      <c r="R171" s="86" t="b">
        <f t="shared" si="234"/>
        <v>0</v>
      </c>
      <c r="S171" s="86">
        <f t="shared" si="232"/>
        <v>0.5</v>
      </c>
      <c r="T171" s="86">
        <f t="shared" si="235"/>
        <v>0.5</v>
      </c>
      <c r="U171" s="30" t="e">
        <f t="shared" ca="1" si="267"/>
        <v>#DIV/0!</v>
      </c>
      <c r="V171" s="85" t="str">
        <f>IF(B171&lt;=Hypothèses!$V$7,Hypothèses!$W$7,IF(B171&lt;=Hypothèses!$V$8,Hypothèses!$W$8,IF(B171&lt;=Hypothèses!$V$9,Hypothèses!$W$9,IF(B171&lt;=Hypothèses!$V$10,Hypothèses!$W$10,IF(B171&lt;=Hypothèses!$V$11,Hypothèses!$W$11,IF(B171&lt;=Hypothèses!$V$12,Hypothèses!$W$12,IF(B171&lt;=Hypothèses!$V$13,Hypothèses!$W$13,IF(B171&lt;=Hypothèses!$V$14,Hypothèses!$W$14,IF(B171&lt;=Hypothèses!$V$15,Hypothèses!$W$15,IF(B171&lt;=Hypothèses!$V$16,Hypothèses!$W$16,IF(B171&lt;=Hypothèses!$V$17,Hypothèses!$W$17,IF(B171&lt;=Hypothèses!$V$18,Hypothèses!$W$18,""))))))))))))</f>
        <v/>
      </c>
      <c r="W171" s="87" t="e">
        <f t="shared" ca="1" si="316"/>
        <v>#DIV/0!</v>
      </c>
      <c r="X171" s="88" t="str">
        <f>IF(B171&lt;=Hypothèses!$V$7,Hypothèses!$X$7,IF(B171&lt;=Hypothèses!$V$8,Hypothèses!$X$8,IF(B171&lt;=Hypothèses!$V$9,Hypothèses!$X$9,IF(B171&lt;=Hypothèses!$V$10,Hypothèses!$X$10,IF(B171&lt;=Hypothèses!$V$11,Hypothèses!$X$11,IF(B171&lt;=Hypothèses!$V$12,Hypothèses!$X$12,IF(B171&lt;=Hypothèses!$V$13,Hypothèses!$X$13,IF(B171&lt;=Hypothèses!$V$14,Hypothèses!$X$14,IF(B171&lt;=Hypothèses!$V$15,Hypothèses!$X$15,IF(B171&lt;=Hypothèses!$V$16,Hypothèses!$X$16,IF(B171&lt;=Hypothèses!$U$17,Hypothèses!$W$17,IF(B171&lt;=Hypothèses!$U$18,Hypothèses!$W$18,""))))))))))))</f>
        <v/>
      </c>
      <c r="Y171" s="95" t="e">
        <f t="shared" ca="1" si="236"/>
        <v>#DIV/0!</v>
      </c>
      <c r="Z171" s="101">
        <f t="shared" si="237"/>
        <v>0</v>
      </c>
      <c r="AA171" s="91">
        <f t="shared" si="238"/>
        <v>0</v>
      </c>
      <c r="AB171" s="30" t="e">
        <f t="shared" si="300"/>
        <v>#N/A</v>
      </c>
      <c r="AC171" s="30" t="e">
        <f t="shared" si="301"/>
        <v>#N/A</v>
      </c>
      <c r="AD171" s="31" t="e">
        <f>IF(OR(Hypothèses!$B$4=17,Hypothèses!$B$4=18,Hypothèses!$B$4=19,Hypothèses!$B$4=20),
IF($D171="Pressio.",
IF(OR($E171=3,$E171=1,$E171=4),AC171,AB171),
IF($D171="Pénétro.",
IF(OR($E171=3,$E171=1,$E171=4),AC171,AB171))),IF($D171="Pressio.",
IF($E171=3,AC171,AB171),
IF($D171="Pénétro.",
IF($E171=4,AC171,AB171))))</f>
        <v>#N/A</v>
      </c>
      <c r="AE171" s="31">
        <v>0</v>
      </c>
      <c r="AF171" s="102" t="e">
        <f>IF(NDC!$H$10="Oui",(VLOOKUP($B$3,'Coeff EC7'!$T$39:$X$59,2,0)*AD171+VLOOKUP($B$3,'Coeff EC7'!$T$65:$X$85,2,0)*Model0.1T!AE171)/1.5,PI()*AB$12*$Q171*($B171-$B170)*0.15/10+AF170)</f>
        <v>#N/A</v>
      </c>
      <c r="AG171" s="102" t="e">
        <f>(VLOOKUP($B$3,'Coeff EC7'!$T$39:$X$59,3,0)*AD171+VLOOKUP($B$3,'Coeff EC7'!$T$65:$X$85,3,0)*Model0.1T!AE171)/1.1</f>
        <v>#N/A</v>
      </c>
      <c r="AH171" s="102" t="e">
        <f t="shared" si="268"/>
        <v>#N/A</v>
      </c>
      <c r="AI171" s="102" t="e">
        <f t="shared" si="269"/>
        <v>#N/A</v>
      </c>
      <c r="AJ171" s="414" t="e">
        <f>IF(AND(AF171&gt;NDC!$C$63,AG171&gt;NDC!$C$65,AH171&gt;NDC!$D$73,AI171&gt;NDC!$D$74,$B171&gt;NDC!$H$22-0.1+MIN(3*$AJ$12,1.5)),0,1)</f>
        <v>#N/A</v>
      </c>
      <c r="AK171" s="86" t="b">
        <f t="shared" si="239"/>
        <v>0</v>
      </c>
      <c r="AL171" s="86">
        <f t="shared" si="270"/>
        <v>0.5</v>
      </c>
      <c r="AM171" s="86">
        <f t="shared" si="240"/>
        <v>0.5</v>
      </c>
      <c r="AN171" s="30" t="e">
        <f t="shared" ca="1" si="271"/>
        <v>#DIV/0!</v>
      </c>
      <c r="AO171" s="85" t="e">
        <f ca="1">IF(U171&lt;=Hypothèses!$V$7,Hypothèses!$W$7,IF(U171&lt;=Hypothèses!$V$8,Hypothèses!$W$8,IF(U171&lt;=Hypothèses!$V$9,Hypothèses!$W$9,IF(U171&lt;=Hypothèses!$V$10,Hypothèses!$W$10,IF(U171&lt;=Hypothèses!$V$11,Hypothèses!$W$11,IF(U171&lt;=Hypothèses!$V$12,Hypothèses!$W$12,IF(U171&lt;=Hypothèses!$V$13,Hypothèses!$W$13,IF(U171&lt;=Hypothèses!$V$14,Hypothèses!$W$14,IF(U171&lt;=Hypothèses!$V$15,Hypothèses!$W$15,IF(U171&lt;=Hypothèses!$V$16,Hypothèses!$W$16,IF(U171&lt;=Hypothèses!$V$17,Hypothèses!$W$17,IF(U171&lt;=Hypothèses!$V$18,Hypothèses!$W$18,""))))))))))))</f>
        <v>#DIV/0!</v>
      </c>
      <c r="AP171" s="87" t="e">
        <f t="shared" ca="1" si="317"/>
        <v>#DIV/0!</v>
      </c>
      <c r="AQ171" s="88" t="e">
        <f ca="1">IF(U171&lt;=Hypothèses!$V$7,Hypothèses!$X$7,IF(U171&lt;=Hypothèses!$V$8,Hypothèses!$X$8,IF(U171&lt;=Hypothèses!$V$9,Hypothèses!$X$9,IF(U171&lt;=Hypothèses!$V$10,Hypothèses!$X$10,IF(U171&lt;=Hypothèses!$V$11,Hypothèses!$X$11,IF(U171&lt;=Hypothèses!$V$12,Hypothèses!$X$12,IF(U171&lt;=Hypothèses!$V$13,Hypothèses!$X$13,IF(U171&lt;=Hypothèses!$V$14,Hypothèses!$X$14,IF(U171&lt;=Hypothèses!$V$15,Hypothèses!$X$15,IF(U171&lt;=Hypothèses!$V$16,Hypothèses!$X$16,IF(U171&lt;=Hypothèses!$U$17,Hypothèses!$W$17,IF(U171&lt;=Hypothèses!$U$18,Hypothèses!$W$18,""))))))))))))</f>
        <v>#DIV/0!</v>
      </c>
      <c r="AR171" s="95" t="e">
        <f t="shared" ca="1" si="272"/>
        <v>#DIV/0!</v>
      </c>
      <c r="AS171" s="101">
        <f t="shared" si="324"/>
        <v>0</v>
      </c>
      <c r="AT171" s="91">
        <f t="shared" si="241"/>
        <v>0</v>
      </c>
      <c r="AU171" s="30" t="e">
        <f t="shared" si="302"/>
        <v>#N/A</v>
      </c>
      <c r="AV171" s="30" t="e">
        <f t="shared" si="303"/>
        <v>#N/A</v>
      </c>
      <c r="AW171" s="31" t="e">
        <f>IF(OR(Hypothèses!$B$4=17,Hypothèses!$B$4=18,Hypothèses!$B$4=19,Hypothèses!$B$4=20),
IF($D171="Pressio.",
IF(OR($E171=3,$E171=1,$E171=4),AV171,AU171),
IF($D171="Pénétro.",
IF(OR($E171=3,$E171=1,$E171=4),AV171,AU171))),IF($D171="Pressio.",
IF($E171=3,AV171,AU171),
IF($D171="Pénétro.",
IF($E171=4,AV171,AU171))))</f>
        <v>#N/A</v>
      </c>
      <c r="AX171" s="31">
        <v>0</v>
      </c>
      <c r="AY171" s="102" t="e">
        <f>IF(NDC!$H$10="Oui",(VLOOKUP($B$3,'Coeff EC7'!$T$39:$X$59,2,0)*AW171+VLOOKUP($B$3,'Coeff EC7'!$T$65:$X$85,2,0)*Model0.1T!AX171)/1.5,PI()*AU$12*$Q171*($B171-$B170)*0.15/10+AY170)</f>
        <v>#N/A</v>
      </c>
      <c r="AZ171" s="102" t="e">
        <f>(VLOOKUP($B$3,'Coeff EC7'!$T$39:$X$59,3,0)*AW171+VLOOKUP($B$3,'Coeff EC7'!$T$65:$X$85,3,0)*Model0.1T!AX171)/1.1</f>
        <v>#N/A</v>
      </c>
      <c r="BA171" s="102" t="e">
        <f t="shared" si="273"/>
        <v>#N/A</v>
      </c>
      <c r="BB171" s="102" t="e">
        <f t="shared" si="274"/>
        <v>#N/A</v>
      </c>
      <c r="BC171" s="414" t="e">
        <f>IF(AND(AY171&gt;NDC!$C$63,AZ171&gt;NDC!$C$65,BA171&gt;NDC!$D$73,BB171&gt;NDC!$D$74,$B171&gt;NDC!$H$22-0.1+MIN(3*BC$12,1.5)),0,1)</f>
        <v>#N/A</v>
      </c>
      <c r="BD171" s="86" t="b">
        <f t="shared" si="242"/>
        <v>0</v>
      </c>
      <c r="BE171" s="86">
        <f t="shared" si="275"/>
        <v>0.5</v>
      </c>
      <c r="BF171" s="86">
        <f t="shared" si="243"/>
        <v>0.5</v>
      </c>
      <c r="BG171" s="30" t="e">
        <f t="shared" ca="1" si="276"/>
        <v>#DIV/0!</v>
      </c>
      <c r="BH171" s="85" t="e">
        <f ca="1">IF(AN171&lt;=Hypothèses!$V$7,Hypothèses!$W$7,IF(AN171&lt;=Hypothèses!$V$8,Hypothèses!$W$8,IF(AN171&lt;=Hypothèses!$V$9,Hypothèses!$W$9,IF(AN171&lt;=Hypothèses!$V$10,Hypothèses!$W$10,IF(AN171&lt;=Hypothèses!$V$11,Hypothèses!$W$11,IF(AN171&lt;=Hypothèses!$V$12,Hypothèses!$W$12,IF(AN171&lt;=Hypothèses!$V$13,Hypothèses!$W$13,IF(AN171&lt;=Hypothèses!$V$14,Hypothèses!$W$14,IF(AN171&lt;=Hypothèses!$V$15,Hypothèses!$W$15,IF(AN171&lt;=Hypothèses!$V$16,Hypothèses!$W$16,IF(AN171&lt;=Hypothèses!$V$17,Hypothèses!$W$17,IF(AN171&lt;=Hypothèses!$V$18,Hypothèses!$W$18,""))))))))))))</f>
        <v>#DIV/0!</v>
      </c>
      <c r="BI171" s="87" t="e">
        <f t="shared" ca="1" si="318"/>
        <v>#DIV/0!</v>
      </c>
      <c r="BJ171" s="88" t="e">
        <f ca="1">IF(AN171&lt;=Hypothèses!$V$7,Hypothèses!$X$7,IF(AN171&lt;=Hypothèses!$V$8,Hypothèses!$X$8,IF(AN171&lt;=Hypothèses!$V$9,Hypothèses!$X$9,IF(AN171&lt;=Hypothèses!$V$10,Hypothèses!$X$10,IF(AN171&lt;=Hypothèses!$V$11,Hypothèses!$X$11,IF(AN171&lt;=Hypothèses!$V$12,Hypothèses!$X$12,IF(AN171&lt;=Hypothèses!$V$13,Hypothèses!$X$13,IF(AN171&lt;=Hypothèses!$V$14,Hypothèses!$X$14,IF(AN171&lt;=Hypothèses!$V$15,Hypothèses!$X$15,IF(AN171&lt;=Hypothèses!$V$16,Hypothèses!$X$16,IF(AN171&lt;=Hypothèses!$U$17,Hypothèses!$W$17,IF(AN171&lt;=Hypothèses!$U$18,Hypothèses!$W$18,""))))))))))))</f>
        <v>#DIV/0!</v>
      </c>
      <c r="BK171" s="95" t="e">
        <f t="shared" ca="1" si="277"/>
        <v>#DIV/0!</v>
      </c>
      <c r="BL171" s="101">
        <f t="shared" si="325"/>
        <v>0</v>
      </c>
      <c r="BM171" s="91">
        <f t="shared" si="244"/>
        <v>0</v>
      </c>
      <c r="BN171" s="30" t="e">
        <f t="shared" si="304"/>
        <v>#N/A</v>
      </c>
      <c r="BO171" s="30" t="e">
        <f t="shared" si="305"/>
        <v>#N/A</v>
      </c>
      <c r="BP171" s="31" t="e">
        <f>IF(OR(Hypothèses!$B$4=17,Hypothèses!$B$4=18,Hypothèses!$B$4=19,Hypothèses!$B$4=20),
IF($D171="Pressio.",
IF(OR($E171=3,$E171=1,$E171=4),BO171,BN171),
IF($D171="Pénétro.",
IF(OR($E171=3,$E171=1,$E171=4),BO171,BN171))),IF($D171="Pressio.",
IF($E171=3,BO171,BN171),
IF($D171="Pénétro.",
IF($E171=4,BO171,BN171))))</f>
        <v>#N/A</v>
      </c>
      <c r="BQ171" s="31">
        <v>0</v>
      </c>
      <c r="BR171" s="102" t="e">
        <f>IF(NDC!$H$10="Oui",(VLOOKUP($B$3,'Coeff EC7'!$T$39:$X$59,2,0)*BP171+VLOOKUP($B$3,'Coeff EC7'!$T$65:$X$85,2,0)*Model0.1T!BQ171)/1.5,PI()*BN$12*$Q171*($B171-$B170)*0.15/10+BR170)</f>
        <v>#N/A</v>
      </c>
      <c r="BS171" s="102" t="e">
        <f>(VLOOKUP($B$3,'Coeff EC7'!$T$39:$X$59,3,0)*BP171+VLOOKUP($B$3,'Coeff EC7'!$T$65:$X$85,3,0)*Model0.1T!BQ171)/1.1</f>
        <v>#N/A</v>
      </c>
      <c r="BT171" s="102" t="e">
        <f t="shared" si="278"/>
        <v>#N/A</v>
      </c>
      <c r="BU171" s="102" t="e">
        <f t="shared" si="279"/>
        <v>#N/A</v>
      </c>
      <c r="BV171" s="414" t="e">
        <f>IF(AND(BR171&gt;NDC!$C$63,BS171&gt;NDC!$C$65,BT171&gt;NDC!$D$73,BU171&gt;NDC!$D$74,$B171&gt;NDC!$H$22-0.1+MIN(3*BV$12,1.5)),0,1)</f>
        <v>#N/A</v>
      </c>
      <c r="BW171" s="86" t="b">
        <f t="shared" si="245"/>
        <v>0</v>
      </c>
      <c r="BX171" s="86">
        <f t="shared" si="246"/>
        <v>0.5</v>
      </c>
      <c r="BY171" s="86">
        <f t="shared" si="247"/>
        <v>0.5</v>
      </c>
      <c r="BZ171" s="30" t="e">
        <f t="shared" ca="1" si="280"/>
        <v>#DIV/0!</v>
      </c>
      <c r="CA171" s="85" t="e">
        <f ca="1">IF(BG171&lt;=Hypothèses!$V$7,Hypothèses!$W$7,IF(BG171&lt;=Hypothèses!$V$8,Hypothèses!$W$8,IF(BG171&lt;=Hypothèses!$V$9,Hypothèses!$W$9,IF(BG171&lt;=Hypothèses!$V$10,Hypothèses!$W$10,IF(BG171&lt;=Hypothèses!$V$11,Hypothèses!$W$11,IF(BG171&lt;=Hypothèses!$V$12,Hypothèses!$W$12,IF(BG171&lt;=Hypothèses!$V$13,Hypothèses!$W$13,IF(BG171&lt;=Hypothèses!$V$14,Hypothèses!$W$14,IF(BG171&lt;=Hypothèses!$V$15,Hypothèses!$W$15,IF(BG171&lt;=Hypothèses!$V$16,Hypothèses!$W$16,IF(BG171&lt;=Hypothèses!$V$17,Hypothèses!$W$17,IF(BG171&lt;=Hypothèses!$V$18,Hypothèses!$W$18,""))))))))))))</f>
        <v>#DIV/0!</v>
      </c>
      <c r="CB171" s="87" t="e">
        <f t="shared" ca="1" si="319"/>
        <v>#DIV/0!</v>
      </c>
      <c r="CC171" s="88" t="e">
        <f ca="1">IF(BG171&lt;=Hypothèses!$V$7,Hypothèses!$X$7,IF(BG171&lt;=Hypothèses!$V$8,Hypothèses!$X$8,IF(BG171&lt;=Hypothèses!$V$9,Hypothèses!$X$9,IF(BG171&lt;=Hypothèses!$V$10,Hypothèses!$X$10,IF(BG171&lt;=Hypothèses!$V$11,Hypothèses!$X$11,IF(BG171&lt;=Hypothèses!$V$12,Hypothèses!$X$12,IF(BG171&lt;=Hypothèses!$V$13,Hypothèses!$X$13,IF(BG171&lt;=Hypothèses!$V$14,Hypothèses!$X$14,IF(BG171&lt;=Hypothèses!$V$15,Hypothèses!$X$15,IF(BG171&lt;=Hypothèses!$V$16,Hypothèses!$X$16,IF(BG171&lt;=Hypothèses!$U$17,Hypothèses!$W$17,IF(BG171&lt;=Hypothèses!$U$18,Hypothèses!$W$18,""))))))))))))</f>
        <v>#DIV/0!</v>
      </c>
      <c r="CD171" s="95" t="e">
        <f t="shared" ca="1" si="281"/>
        <v>#DIV/0!</v>
      </c>
      <c r="CE171" s="101">
        <f t="shared" si="326"/>
        <v>0</v>
      </c>
      <c r="CF171" s="91">
        <f t="shared" si="248"/>
        <v>0</v>
      </c>
      <c r="CG171" s="30" t="e">
        <f t="shared" si="306"/>
        <v>#N/A</v>
      </c>
      <c r="CH171" s="30" t="e">
        <f t="shared" si="307"/>
        <v>#N/A</v>
      </c>
      <c r="CI171" s="31" t="e">
        <f>IF(OR(Hypothèses!$B$4=17,Hypothèses!$B$4=18,Hypothèses!$B$4=19,Hypothèses!$B$4=20),
IF($D171="Pressio.",
IF(OR($E171=3,$E171=1,$E171=4),CH171,CG171),
IF($D171="Pénétro.",
IF(OR($E171=3,$E171=1,$E171=4),CH171,CG171))),IF($D171="Pressio.",
IF($E171=3,CH171,CG171),
IF($D171="Pénétro.",
IF($E171=4,CH171,CG171))))</f>
        <v>#N/A</v>
      </c>
      <c r="CJ171" s="31">
        <v>0</v>
      </c>
      <c r="CK171" s="102" t="e">
        <f>IF(NDC!$H$10="Oui",(VLOOKUP($B$3,'Coeff EC7'!$T$39:$X$59,2,0)*CI171+VLOOKUP($B$3,'Coeff EC7'!$T$65:$X$85,2,0)*Model0.1T!CJ171)/1.5,PI()*CG$12*$Q171*($B171-$B170)*0.15/10+CK170)</f>
        <v>#N/A</v>
      </c>
      <c r="CL171" s="102" t="e">
        <f>(VLOOKUP($B$3,'Coeff EC7'!$T$39:$X$59,3,0)*CI171+VLOOKUP($B$3,'Coeff EC7'!$T$65:$X$85,3,0)*Model0.1T!CJ171)/1.1</f>
        <v>#N/A</v>
      </c>
      <c r="CM171" s="102" t="e">
        <f t="shared" si="282"/>
        <v>#N/A</v>
      </c>
      <c r="CN171" s="102" t="e">
        <f t="shared" si="283"/>
        <v>#N/A</v>
      </c>
      <c r="CO171" s="414" t="e">
        <f>IF(AND(CK171&gt;NDC!$C$63,CL171&gt;NDC!$C$65,CM171&gt;NDC!$D$73,CN171&gt;NDC!$D$74,$B171&gt;NDC!$H$22-0.1+MIN(3*CO$12,1.5)),0,1)</f>
        <v>#N/A</v>
      </c>
      <c r="CP171" s="86" t="b">
        <f t="shared" si="249"/>
        <v>0</v>
      </c>
      <c r="CQ171" s="86">
        <f t="shared" si="250"/>
        <v>0.5</v>
      </c>
      <c r="CR171" s="86">
        <f t="shared" si="251"/>
        <v>0.5</v>
      </c>
      <c r="CS171" s="30" t="e">
        <f t="shared" ca="1" si="284"/>
        <v>#DIV/0!</v>
      </c>
      <c r="CT171" s="85" t="e">
        <f ca="1">IF(BZ171&lt;=Hypothèses!$V$7,Hypothèses!$W$7,IF(BZ171&lt;=Hypothèses!$V$8,Hypothèses!$W$8,IF(BZ171&lt;=Hypothèses!$V$9,Hypothèses!$W$9,IF(BZ171&lt;=Hypothèses!$V$10,Hypothèses!$W$10,IF(BZ171&lt;=Hypothèses!$V$11,Hypothèses!$W$11,IF(BZ171&lt;=Hypothèses!$V$12,Hypothèses!$W$12,IF(BZ171&lt;=Hypothèses!$V$13,Hypothèses!$W$13,IF(BZ171&lt;=Hypothèses!$V$14,Hypothèses!$W$14,IF(BZ171&lt;=Hypothèses!$V$15,Hypothèses!$W$15,IF(BZ171&lt;=Hypothèses!$V$16,Hypothèses!$W$16,IF(BZ171&lt;=Hypothèses!$V$17,Hypothèses!$W$17,IF(BZ171&lt;=Hypothèses!$V$18,Hypothèses!$W$18,""))))))))))))</f>
        <v>#DIV/0!</v>
      </c>
      <c r="CU171" s="87" t="e">
        <f t="shared" ca="1" si="320"/>
        <v>#DIV/0!</v>
      </c>
      <c r="CV171" s="88" t="e">
        <f ca="1">IF(BZ171&lt;=Hypothèses!$V$7,Hypothèses!$X$7,IF(BZ171&lt;=Hypothèses!$V$8,Hypothèses!$X$8,IF(BZ171&lt;=Hypothèses!$V$9,Hypothèses!$X$9,IF(BZ171&lt;=Hypothèses!$V$10,Hypothèses!$X$10,IF(BZ171&lt;=Hypothèses!$V$11,Hypothèses!$X$11,IF(BZ171&lt;=Hypothèses!$V$12,Hypothèses!$X$12,IF(BZ171&lt;=Hypothèses!$V$13,Hypothèses!$X$13,IF(BZ171&lt;=Hypothèses!$V$14,Hypothèses!$X$14,IF(BZ171&lt;=Hypothèses!$V$15,Hypothèses!$X$15,IF(BZ171&lt;=Hypothèses!$V$16,Hypothèses!$X$16,IF(BZ171&lt;=Hypothèses!$U$17,Hypothèses!$W$17,IF(BZ171&lt;=Hypothèses!$U$18,Hypothèses!$W$18,""))))))))))))</f>
        <v>#DIV/0!</v>
      </c>
      <c r="CW171" s="95" t="e">
        <f t="shared" ca="1" si="285"/>
        <v>#DIV/0!</v>
      </c>
      <c r="CX171" s="101">
        <f t="shared" si="327"/>
        <v>0</v>
      </c>
      <c r="CY171" s="91">
        <f t="shared" si="252"/>
        <v>0</v>
      </c>
      <c r="CZ171" s="30" t="e">
        <f t="shared" si="308"/>
        <v>#N/A</v>
      </c>
      <c r="DA171" s="30" t="e">
        <f t="shared" si="309"/>
        <v>#N/A</v>
      </c>
      <c r="DB171" s="31" t="e">
        <f>IF(OR(Hypothèses!$B$4=17,Hypothèses!$B$4=18,Hypothèses!$B$4=19,Hypothèses!$B$4=20),
IF($D171="Pressio.",
IF(OR($E171=3,$E171=1,$E171=4),DA171,CZ171),
IF($D171="Pénétro.",
IF(OR($E171=3,$E171=1,$E171=4),DA171,CZ171))),IF($D171="Pressio.",
IF($E171=3,DA171,CZ171),
IF($D171="Pénétro.",
IF($E171=4,DA171,CZ171))))</f>
        <v>#N/A</v>
      </c>
      <c r="DC171" s="31">
        <v>0</v>
      </c>
      <c r="DD171" s="102" t="e">
        <f>IF(NDC!$H$10="Oui",(VLOOKUP($B$3,'Coeff EC7'!$T$39:$X$59,2,0)*DB171+VLOOKUP($B$3,'Coeff EC7'!$T$65:$X$85,2,0)*Model0.1T!DC171)/1.5,PI()*CZ$12*$Q171*($B171-$B170)*0.15/10+DD170)</f>
        <v>#N/A</v>
      </c>
      <c r="DE171" s="102" t="e">
        <f>(VLOOKUP($B$3,'Coeff EC7'!$T$39:$X$59,3,0)*DB171+VLOOKUP($B$3,'Coeff EC7'!$T$65:$X$85,3,0)*Model0.1T!DC171)/1.1</f>
        <v>#N/A</v>
      </c>
      <c r="DF171" s="102" t="e">
        <f t="shared" si="286"/>
        <v>#N/A</v>
      </c>
      <c r="DG171" s="102" t="e">
        <f t="shared" si="287"/>
        <v>#N/A</v>
      </c>
      <c r="DH171" s="414" t="e">
        <f>IF(AND(DD171&gt;NDC!$C$63,DE171&gt;NDC!$C$65,DF171&gt;NDC!$D$73,DG171&gt;NDC!$D$74,$B171&gt;NDC!$H$22-0.1+MIN(3*DH$12,1.5)),0,1)</f>
        <v>#N/A</v>
      </c>
      <c r="DI171" s="86" t="b">
        <f t="shared" si="253"/>
        <v>0</v>
      </c>
      <c r="DJ171" s="86">
        <f t="shared" si="254"/>
        <v>0.5</v>
      </c>
      <c r="DK171" s="86">
        <f t="shared" si="255"/>
        <v>0.5</v>
      </c>
      <c r="DL171" s="30" t="e">
        <f t="shared" ca="1" si="288"/>
        <v>#DIV/0!</v>
      </c>
      <c r="DM171" s="85" t="e">
        <f ca="1">IF(CS171&lt;=Hypothèses!$V$7,Hypothèses!$W$7,IF(CS171&lt;=Hypothèses!$V$8,Hypothèses!$W$8,IF(CS171&lt;=Hypothèses!$V$9,Hypothèses!$W$9,IF(CS171&lt;=Hypothèses!$V$10,Hypothèses!$W$10,IF(CS171&lt;=Hypothèses!$V$11,Hypothèses!$W$11,IF(CS171&lt;=Hypothèses!$V$12,Hypothèses!$W$12,IF(CS171&lt;=Hypothèses!$V$13,Hypothèses!$W$13,IF(CS171&lt;=Hypothèses!$V$14,Hypothèses!$W$14,IF(CS171&lt;=Hypothèses!$V$15,Hypothèses!$W$15,IF(CS171&lt;=Hypothèses!$V$16,Hypothèses!$W$16,IF(CS171&lt;=Hypothèses!$V$17,Hypothèses!$W$17,IF(CS171&lt;=Hypothèses!$V$18,Hypothèses!$W$18,""))))))))))))</f>
        <v>#DIV/0!</v>
      </c>
      <c r="DN171" s="87" t="e">
        <f t="shared" ca="1" si="321"/>
        <v>#DIV/0!</v>
      </c>
      <c r="DO171" s="88" t="e">
        <f ca="1">IF(CS171&lt;=Hypothèses!$V$7,Hypothèses!$X$7,IF(CS171&lt;=Hypothèses!$V$8,Hypothèses!$X$8,IF(CS171&lt;=Hypothèses!$V$9,Hypothèses!$X$9,IF(CS171&lt;=Hypothèses!$V$10,Hypothèses!$X$10,IF(CS171&lt;=Hypothèses!$V$11,Hypothèses!$X$11,IF(CS171&lt;=Hypothèses!$V$12,Hypothèses!$X$12,IF(CS171&lt;=Hypothèses!$V$13,Hypothèses!$X$13,IF(CS171&lt;=Hypothèses!$V$14,Hypothèses!$X$14,IF(CS171&lt;=Hypothèses!$V$15,Hypothèses!$X$15,IF(CS171&lt;=Hypothèses!$V$16,Hypothèses!$X$16,IF(CS171&lt;=Hypothèses!$U$17,Hypothèses!$W$17,IF(CS171&lt;=Hypothèses!$U$18,Hypothèses!$W$18,""))))))))))))</f>
        <v>#DIV/0!</v>
      </c>
      <c r="DP171" s="95" t="e">
        <f t="shared" ca="1" si="289"/>
        <v>#DIV/0!</v>
      </c>
      <c r="DQ171" s="101">
        <f t="shared" si="328"/>
        <v>0</v>
      </c>
      <c r="DR171" s="91">
        <f t="shared" si="256"/>
        <v>0</v>
      </c>
      <c r="DS171" s="30" t="e">
        <f t="shared" si="310"/>
        <v>#N/A</v>
      </c>
      <c r="DT171" s="30" t="e">
        <f t="shared" si="311"/>
        <v>#N/A</v>
      </c>
      <c r="DU171" s="31" t="e">
        <f>IF(OR(Hypothèses!$B$4=17,Hypothèses!$B$4=18,Hypothèses!$B$4=19,Hypothèses!$B$4=20),
IF($D171="Pressio.",
IF(OR($E171=3,$E171=1,$E171=4),DT171,DS171),
IF($D171="Pénétro.",
IF(OR($E171=3,$E171=1,$E171=4),DT171,DS171))),IF($D171="Pressio.",
IF($E171=3,DT171,DS171),
IF($D171="Pénétro.",
IF($E171=4,DT171,DS171))))</f>
        <v>#N/A</v>
      </c>
      <c r="DV171" s="31">
        <v>0</v>
      </c>
      <c r="DW171" s="102" t="e">
        <f>IF(NDC!$H$10="Oui",(VLOOKUP($B$3,'Coeff EC7'!$T$39:$X$59,2,0)*DU171+VLOOKUP($B$3,'Coeff EC7'!$T$65:$X$85,2,0)*Model0.1T!DV171)/1.5,PI()*DS$12*$Q171*($B171-$B170)*0.15/10+DW170)</f>
        <v>#N/A</v>
      </c>
      <c r="DX171" s="102" t="e">
        <f>(VLOOKUP($B$3,'Coeff EC7'!$T$39:$X$59,3,0)*DU171+VLOOKUP($B$3,'Coeff EC7'!$T$65:$X$85,3,0)*Model0.1T!DV171)/1.1</f>
        <v>#N/A</v>
      </c>
      <c r="DY171" s="102" t="e">
        <f t="shared" si="290"/>
        <v>#N/A</v>
      </c>
      <c r="DZ171" s="102" t="e">
        <f t="shared" si="291"/>
        <v>#N/A</v>
      </c>
      <c r="EA171" s="414" t="e">
        <f>IF(AND(DW171&gt;NDC!$C$63,DX171&gt;NDC!$C$65,DY171&gt;NDC!$D$73,DZ171&gt;NDC!$D$74,$B171&gt;NDC!$H$22-0.1+MIN(3*EA$12,1.5)),0,1)</f>
        <v>#N/A</v>
      </c>
      <c r="EB171" s="86" t="b">
        <f t="shared" si="257"/>
        <v>0</v>
      </c>
      <c r="EC171" s="418">
        <f t="shared" si="258"/>
        <v>0.51</v>
      </c>
      <c r="ED171" s="86">
        <f t="shared" si="259"/>
        <v>0.51</v>
      </c>
      <c r="EE171" s="30" t="e">
        <f t="shared" ca="1" si="292"/>
        <v>#DIV/0!</v>
      </c>
      <c r="EF171" s="85" t="e">
        <f ca="1">IF(DL171&lt;=Hypothèses!$V$7,Hypothèses!$W$7,IF(DL171&lt;=Hypothèses!$V$8,Hypothèses!$W$8,IF(DL171&lt;=Hypothèses!$V$9,Hypothèses!$W$9,IF(DL171&lt;=Hypothèses!$V$10,Hypothèses!$W$10,IF(DL171&lt;=Hypothèses!$V$11,Hypothèses!$W$11,IF(DL171&lt;=Hypothèses!$V$12,Hypothèses!$W$12,IF(DL171&lt;=Hypothèses!$V$13,Hypothèses!$W$13,IF(DL171&lt;=Hypothèses!$V$14,Hypothèses!$W$14,IF(DL171&lt;=Hypothèses!$V$15,Hypothèses!$W$15,IF(DL171&lt;=Hypothèses!$V$16,Hypothèses!$W$16,IF(DL171&lt;=Hypothèses!$V$17,Hypothèses!$W$17,IF(DL171&lt;=Hypothèses!$V$18,Hypothèses!$W$18,""))))))))))))</f>
        <v>#DIV/0!</v>
      </c>
      <c r="EG171" s="87" t="e">
        <f t="shared" ca="1" si="322"/>
        <v>#DIV/0!</v>
      </c>
      <c r="EH171" s="88" t="e">
        <f ca="1">IF(DL171&lt;=Hypothèses!$V$7,Hypothèses!$X$7,IF(DL171&lt;=Hypothèses!$V$8,Hypothèses!$X$8,IF(DL171&lt;=Hypothèses!$V$9,Hypothèses!$X$9,IF(DL171&lt;=Hypothèses!$V$10,Hypothèses!$X$10,IF(DL171&lt;=Hypothèses!$V$11,Hypothèses!$X$11,IF(DL171&lt;=Hypothèses!$V$12,Hypothèses!$X$12,IF(DL171&lt;=Hypothèses!$V$13,Hypothèses!$X$13,IF(DL171&lt;=Hypothèses!$V$14,Hypothèses!$X$14,IF(DL171&lt;=Hypothèses!$V$15,Hypothèses!$X$15,IF(DL171&lt;=Hypothèses!$V$16,Hypothèses!$X$16,IF(DL171&lt;=Hypothèses!$U$17,Hypothèses!$W$17,IF(DL171&lt;=Hypothèses!$U$18,Hypothèses!$W$18,""))))))))))))</f>
        <v>#DIV/0!</v>
      </c>
      <c r="EI171" s="95" t="e">
        <f t="shared" ca="1" si="293"/>
        <v>#DIV/0!</v>
      </c>
      <c r="EJ171" s="101">
        <f t="shared" si="329"/>
        <v>0</v>
      </c>
      <c r="EK171" s="91">
        <f t="shared" si="260"/>
        <v>0</v>
      </c>
      <c r="EL171" s="30" t="e">
        <f t="shared" si="312"/>
        <v>#N/A</v>
      </c>
      <c r="EM171" s="30" t="e">
        <f t="shared" si="313"/>
        <v>#N/A</v>
      </c>
      <c r="EN171" s="31" t="e">
        <f>IF(OR(Hypothèses!$B$4=17,Hypothèses!$B$4=18,Hypothèses!$B$4=19,Hypothèses!$B$4=20),
IF($D171="Pressio.",
IF(OR($E171=3,$E171=1,$E171=4),EM171,EL171),
IF($D171="Pénétro.",
IF(OR($E171=3,$E171=1,$E171=4),EM171,EL171))),IF($D171="Pressio.",
IF($E171=3,EM171,EL171),
IF($D171="Pénétro.",
IF($E171=4,EM171,EL171))))</f>
        <v>#N/A</v>
      </c>
      <c r="EO171" s="31">
        <v>0</v>
      </c>
      <c r="EP171" s="102" t="e">
        <f>IF(NDC!$H$10="Oui",(VLOOKUP($B$3,'Coeff EC7'!$T$39:$X$59,2,0)*EN171+VLOOKUP($B$3,'Coeff EC7'!$T$65:$X$85,2,0)*Model0.1T!EO171)/1.5,PI()*EL$12*$Q171*($B171-$B170)*0.15/10+EP170)</f>
        <v>#N/A</v>
      </c>
      <c r="EQ171" s="102" t="e">
        <f>(VLOOKUP($B$3,'Coeff EC7'!$T$39:$X$59,3,0)*EN171+VLOOKUP($B$3,'Coeff EC7'!$T$65:$X$85,3,0)*Model0.1T!EO171)/1.1</f>
        <v>#N/A</v>
      </c>
      <c r="ER171" s="102" t="e">
        <f t="shared" si="294"/>
        <v>#N/A</v>
      </c>
      <c r="ES171" s="102" t="e">
        <f t="shared" si="295"/>
        <v>#N/A</v>
      </c>
      <c r="ET171" s="414" t="e">
        <f>IF(AND(EP171&gt;NDC!$C$63,EQ171&gt;NDC!$C$65,ER171&gt;NDC!$D$73,ES171&gt;NDC!$D$74,$B171&gt;NDC!$H$22-0.1+MIN(3*ET$12,1.5)),0,1)</f>
        <v>#N/A</v>
      </c>
      <c r="EU171" s="86" t="b">
        <f t="shared" si="261"/>
        <v>0</v>
      </c>
      <c r="EV171" s="86">
        <f t="shared" si="262"/>
        <v>0.61</v>
      </c>
      <c r="EW171" s="86">
        <f t="shared" si="263"/>
        <v>0.61</v>
      </c>
      <c r="EX171" s="30" t="e">
        <f t="shared" ca="1" si="296"/>
        <v>#DIV/0!</v>
      </c>
      <c r="EY171" s="85" t="e">
        <f ca="1">IF(EE171&lt;=Hypothèses!$V$7,Hypothèses!$W$7,IF(EE171&lt;=Hypothèses!$V$8,Hypothèses!$W$8,IF(EE171&lt;=Hypothèses!$V$9,Hypothèses!$W$9,IF(EE171&lt;=Hypothèses!$V$10,Hypothèses!$W$10,IF(EE171&lt;=Hypothèses!$V$11,Hypothèses!$W$11,IF(EE171&lt;=Hypothèses!$V$12,Hypothèses!$W$12,IF(EE171&lt;=Hypothèses!$V$13,Hypothèses!$W$13,IF(EE171&lt;=Hypothèses!$V$14,Hypothèses!$W$14,IF(EE171&lt;=Hypothèses!$V$15,Hypothèses!$W$15,IF(EE171&lt;=Hypothèses!$V$16,Hypothèses!$W$16,IF(EE171&lt;=Hypothèses!$V$17,Hypothèses!$W$17,IF(EE171&lt;=Hypothèses!$V$18,Hypothèses!$W$18,""))))))))))))</f>
        <v>#DIV/0!</v>
      </c>
      <c r="EZ171" s="87" t="e">
        <f t="shared" ca="1" si="323"/>
        <v>#DIV/0!</v>
      </c>
      <c r="FA171" s="88" t="e">
        <f ca="1">IF(EE171&lt;=Hypothèses!$V$7,Hypothèses!$X$7,IF(EE171&lt;=Hypothèses!$V$8,Hypothèses!$X$8,IF(EE171&lt;=Hypothèses!$V$9,Hypothèses!$X$9,IF(EE171&lt;=Hypothèses!$V$10,Hypothèses!$X$10,IF(EE171&lt;=Hypothèses!$V$11,Hypothèses!$X$11,IF(EE171&lt;=Hypothèses!$V$12,Hypothèses!$X$12,IF(EE171&lt;=Hypothèses!$V$13,Hypothèses!$X$13,IF(EE171&lt;=Hypothèses!$V$14,Hypothèses!$X$14,IF(EE171&lt;=Hypothèses!$V$15,Hypothèses!$X$15,IF(EE171&lt;=Hypothèses!$V$16,Hypothèses!$X$16,IF(EE171&lt;=Hypothèses!$U$17,Hypothèses!$W$17,IF(EE171&lt;=Hypothèses!$U$18,Hypothèses!$W$18,""))))))))))))</f>
        <v>#DIV/0!</v>
      </c>
      <c r="FB171" s="95" t="e">
        <f t="shared" ca="1" si="297"/>
        <v>#DIV/0!</v>
      </c>
      <c r="FC171" s="101">
        <f t="shared" si="330"/>
        <v>0</v>
      </c>
      <c r="FD171" s="91">
        <f t="shared" si="264"/>
        <v>0</v>
      </c>
      <c r="FE171" s="30" t="e">
        <f t="shared" si="314"/>
        <v>#N/A</v>
      </c>
      <c r="FF171" s="30" t="e">
        <f t="shared" si="315"/>
        <v>#N/A</v>
      </c>
      <c r="FG171" s="31" t="e">
        <f>IF(OR(Hypothèses!$B$4=17,Hypothèses!$B$4=18,Hypothèses!$B$4=19,Hypothèses!$B$4=20),
IF($D171="Pressio.",
IF(OR($E171=3,$E171=1,$E171=4),FF171,FE171),
IF($D171="Pénétro.",
IF(OR($E171=3,$E171=1,$E171=4),FF171,FE171))),IF($D171="Pressio.",
IF($E171=3,FF171,FE171),
IF($D171="Pénétro.",
IF($E171=4,FF171,FE171))))</f>
        <v>#N/A</v>
      </c>
      <c r="FH171" s="31">
        <v>0</v>
      </c>
      <c r="FI171" s="102" t="e">
        <f>IF(NDC!$H$10="Oui",(VLOOKUP($B$3,'Coeff EC7'!$T$39:$X$59,2,0)*FG171+VLOOKUP($B$3,'Coeff EC7'!$T$65:$X$85,2,0)*Model0.1T!FH171)/1.5,PI()*FE$12*$Q171*($B171-$B170)*0.15/10+FI170)</f>
        <v>#N/A</v>
      </c>
      <c r="FJ171" s="102" t="e">
        <f>(VLOOKUP($B$3,'Coeff EC7'!$T$39:$X$59,3,0)*FG171+VLOOKUP($B$3,'Coeff EC7'!$T$65:$X$85,3,0)*Model0.1T!FH171)/1.1</f>
        <v>#N/A</v>
      </c>
      <c r="FK171" s="102" t="e">
        <f t="shared" si="298"/>
        <v>#N/A</v>
      </c>
      <c r="FL171" s="102" t="e">
        <f t="shared" si="299"/>
        <v>#N/A</v>
      </c>
      <c r="FM171" s="414" t="e">
        <f>IF(AND(FI171&gt;NDC!$C$63,FJ171&gt;NDC!$C$65,FK171&gt;NDC!$D$73,FL171&gt;NDC!$D$74,$B171&gt;NDC!$H$22-0.1+MIN(3*FM$12,1.5)),0,1)</f>
        <v>#N/A</v>
      </c>
    </row>
    <row r="172" spans="1:169">
      <c r="A172" s="96">
        <f t="shared" si="265"/>
        <v>84.100000000000904</v>
      </c>
      <c r="B172" s="97">
        <v>15.9</v>
      </c>
      <c r="C172" s="81">
        <f>IF(B172&lt;=Hypothèses!$C$7,Hypothèses!$A$7,IF(B172&lt;=Hypothèses!$C$8,Hypothèses!$A$8,IF(B172&lt;=Hypothèses!$C$9,Hypothèses!$A$9,IF(B172&lt;=Hypothèses!$C$10,Hypothèses!$A$10,IF(B172&lt;=Hypothèses!$C$11,Hypothèses!$A$11,IF(B172&lt;=Hypothèses!$C$12,Hypothèses!$A$12,IF(B172&lt;=Hypothèses!$C$13,Hypothèses!$A$13,IF(B172&lt;=Hypothèses!$C$14,Hypothèses!$A$14,IF(B172&lt;=Hypothèses!$C$15,Hypothèses!$A$15,IF(B172&lt;=Hypothèses!$C$16,Hypothèses!$A$16,IF(B172&lt;=Hypothèses!$C$17,Hypothèses!$A$17,IF(B172&lt;=Hypothèses!$C$18,Hypothèses!$A$18,C171))))))))))))</f>
        <v>11</v>
      </c>
      <c r="D172" s="82" t="str">
        <f>IF(B172&lt;=Hypothèses!$C$7,Hypothèses!$R$7,IF(B172&lt;=Hypothèses!$C$8,Hypothèses!$R$8,IF(B172&lt;=Hypothèses!$C$9,Hypothèses!$R$9,IF(B172&lt;=Hypothèses!$C$10,Hypothèses!$R$10,IF(B172&lt;=Hypothèses!$C$11,Hypothèses!$R$11,IF(B172&lt;=Hypothèses!$C$12,Hypothèses!$R$12,IF(B172&lt;=Hypothèses!$C$13,Hypothèses!$R$13,IF(B172&lt;=Hypothèses!$C$14,Hypothèses!$R$14,IF(B172&lt;=Hypothèses!$C$15,Hypothèses!$R$15,IF(B172&lt;=Hypothèses!$C$16,Hypothèses!$R$16,IF(B172&lt;=Hypothèses!$C$17,Hypothèses!$R$17,IF(B172&lt;=Hypothèses!$C$18,Hypothèses!$R$18,D171))))))))))))</f>
        <v>Pressio.</v>
      </c>
      <c r="E172" s="82" t="e">
        <f>IF(B172&lt;=Hypothèses!$C$7,Hypothèses!$G$7,IF(B172&lt;=Hypothèses!$C$8,Hypothèses!$G$8,IF(B172&lt;=Hypothèses!$C$9,Hypothèses!$G$9,IF(B172&lt;=Hypothèses!$C$10,Hypothèses!$G$10,IF(B172&lt;=Hypothèses!$C$11,Hypothèses!$G$11,IF(B172&lt;=Hypothèses!$C$12,Hypothèses!$G$12,IF(B172&lt;=Hypothèses!$C$13,Hypothèses!$G$13,IF(B172&lt;=Hypothèses!$C$14,Hypothèses!$G$14,IF(B172&lt;=Hypothèses!$C$15,Hypothèses!$G$15,IF(B172&lt;=Hypothèses!$C$16,Hypothèses!$G$16,IF(B172&lt;=Hypothèses!$C$17,Hypothèses!$G$17,IF(B172&lt;=Hypothèses!$C$18,Hypothèses!$G$18,E171))))))))))))</f>
        <v>#N/A</v>
      </c>
      <c r="F172" s="82" t="str">
        <f>IF(B172&lt;=Hypothèses!$C$7,Hypothèses!$F$7,IF(B172&lt;=Hypothèses!$C$8,Hypothèses!$F$8,IF(B172&lt;=Hypothèses!$C$9,Hypothèses!$F$9,IF(B172&lt;=Hypothèses!$C$10,Hypothèses!$F$10,IF(B172&lt;=Hypothèses!$C$11,Hypothèses!$F$11,IF(B172&lt;=Hypothèses!$C$12,Hypothèses!$F$12,IF(B172&lt;=Hypothèses!$C$13,Hypothèses!$F$13,IF(B172&lt;=Hypothèses!$C$14,Hypothèses!$F$14,IF(B172&lt;=Hypothèses!$C$15,Hypothèses!$F$15,IF(B172&lt;=Hypothèses!$C$16,Hypothèses!$F$16,IF(B172&lt;=Hypothèses!$C$17,Hypothèses!$F$17,IF(B172&lt;=Hypothèses!$C$18,Hypothèses!$F$18,F171))))))))))))</f>
        <v/>
      </c>
      <c r="G172" s="91">
        <f t="array" ref="G172">INDEX('Coeff EC7'!$U$7:$X$27,
MATCH(Model0.1T!$B$3,'Coeff EC7'!$T$7:$T$27,0),
MATCH(Model0.1T!$D172&amp;Model0.1T!$B$4,
'Coeff EC7'!$U$6:$X$6&amp;
'Coeff EC7'!$U$5:$X$5,0))</f>
        <v>1.4</v>
      </c>
      <c r="H172" s="91">
        <f t="array" ref="H172">INDEX('Coeff EC7'!$Y$7:$AB$27,
MATCH(Model0.1T!$B$3,'Coeff EC7'!$T$7:$T$27,0),
MATCH(Model0.1T!$D172&amp;Model0.1T!$B$4,
'Coeff EC7'!$Y$6:$AB$6&amp;
'Coeff EC7'!$Y$5:$AB$5,0))</f>
        <v>1.7</v>
      </c>
      <c r="I172" s="83">
        <v>0</v>
      </c>
      <c r="J172" s="91" t="e">
        <f t="array" ref="J172">INDEX('Coeff EC7'!$D$33:$Q$33,1,MATCH(D172&amp;E172,'Coeff EC7'!$D$31:$Q$31&amp;'Coeff EC7'!$D$32:$Q$32,0))</f>
        <v>#N/A</v>
      </c>
      <c r="K172" s="91" t="e">
        <f t="array" ref="K172">INDEX('Coeff EC7'!$D$34:$Q$34,1,MATCH(D172&amp;E172,'Coeff EC7'!$D$31:$Q$31&amp;'Coeff EC7'!$D$32:$Q$32,0))</f>
        <v>#N/A</v>
      </c>
      <c r="L172" s="91" t="e">
        <f t="array" ref="L172">INDEX('Coeff EC7'!$D$35:$Q$35,1,MATCH(D172&amp;E172,'Coeff EC7'!$D$31:$Q$31&amp;'Coeff EC7'!$D$32:$Q$32,0))</f>
        <v>#N/A</v>
      </c>
      <c r="M172" s="98" t="e">
        <f t="shared" si="231"/>
        <v>#N/A</v>
      </c>
      <c r="N172" s="99" t="e">
        <f t="array" ref="N172">INDEX('Coeff EC7'!$D$7:$Q$27,MATCH($B$3,'Coeff EC7'!$C$7:$C$27,0),MATCH(D172&amp;E172,'Coeff EC7'!$D$5:$Q$5&amp;'Coeff EC7'!$D$6:$Q$6,0))</f>
        <v>#N/A</v>
      </c>
      <c r="O172" s="99" t="e">
        <f t="array" ref="O172">INDEX('Coeff EC7'!$D$41:$Q$61,MATCH($B$3,'Coeff EC7'!$C$41:$C$61,0),MATCH(D172&amp;E172,'Coeff EC7'!$D$39:$Q$39&amp;'Coeff EC7'!$D$40:$Q$40,0))</f>
        <v>#N/A</v>
      </c>
      <c r="P172" s="30" t="e">
        <f t="shared" si="266"/>
        <v>#N/A</v>
      </c>
      <c r="Q172" s="100" t="e">
        <f t="shared" si="233"/>
        <v>#N/A</v>
      </c>
      <c r="R172" s="86" t="b">
        <f t="shared" si="234"/>
        <v>0</v>
      </c>
      <c r="S172" s="86">
        <f t="shared" si="232"/>
        <v>0.5</v>
      </c>
      <c r="T172" s="86">
        <f t="shared" si="235"/>
        <v>0.5</v>
      </c>
      <c r="U172" s="30" t="e">
        <f t="shared" ca="1" si="267"/>
        <v>#DIV/0!</v>
      </c>
      <c r="V172" s="85" t="str">
        <f>IF(B172&lt;=Hypothèses!$V$7,Hypothèses!$W$7,IF(B172&lt;=Hypothèses!$V$8,Hypothèses!$W$8,IF(B172&lt;=Hypothèses!$V$9,Hypothèses!$W$9,IF(B172&lt;=Hypothèses!$V$10,Hypothèses!$W$10,IF(B172&lt;=Hypothèses!$V$11,Hypothèses!$W$11,IF(B172&lt;=Hypothèses!$V$12,Hypothèses!$W$12,IF(B172&lt;=Hypothèses!$V$13,Hypothèses!$W$13,IF(B172&lt;=Hypothèses!$V$14,Hypothèses!$W$14,IF(B172&lt;=Hypothèses!$V$15,Hypothèses!$W$15,IF(B172&lt;=Hypothèses!$V$16,Hypothèses!$W$16,IF(B172&lt;=Hypothèses!$V$17,Hypothèses!$W$17,IF(B172&lt;=Hypothèses!$V$18,Hypothèses!$W$18,""))))))))))))</f>
        <v/>
      </c>
      <c r="W172" s="87" t="e">
        <f t="shared" ca="1" si="316"/>
        <v>#DIV/0!</v>
      </c>
      <c r="X172" s="88" t="str">
        <f>IF(B172&lt;=Hypothèses!$V$7,Hypothèses!$X$7,IF(B172&lt;=Hypothèses!$V$8,Hypothèses!$X$8,IF(B172&lt;=Hypothèses!$V$9,Hypothèses!$X$9,IF(B172&lt;=Hypothèses!$V$10,Hypothèses!$X$10,IF(B172&lt;=Hypothèses!$V$11,Hypothèses!$X$11,IF(B172&lt;=Hypothèses!$V$12,Hypothèses!$X$12,IF(B172&lt;=Hypothèses!$V$13,Hypothèses!$X$13,IF(B172&lt;=Hypothèses!$V$14,Hypothèses!$X$14,IF(B172&lt;=Hypothèses!$V$15,Hypothèses!$X$15,IF(B172&lt;=Hypothèses!$V$16,Hypothèses!$X$16,IF(B172&lt;=Hypothèses!$U$17,Hypothèses!$W$17,IF(B172&lt;=Hypothèses!$U$18,Hypothèses!$W$18,""))))))))))))</f>
        <v/>
      </c>
      <c r="Y172" s="95" t="e">
        <f t="shared" ca="1" si="236"/>
        <v>#DIV/0!</v>
      </c>
      <c r="Z172" s="101">
        <f t="shared" si="237"/>
        <v>0</v>
      </c>
      <c r="AA172" s="91">
        <f t="shared" si="238"/>
        <v>0</v>
      </c>
      <c r="AB172" s="30" t="e">
        <f t="shared" si="300"/>
        <v>#N/A</v>
      </c>
      <c r="AC172" s="30" t="e">
        <f t="shared" si="301"/>
        <v>#N/A</v>
      </c>
      <c r="AD172" s="31" t="e">
        <f>IF(OR(Hypothèses!$B$4=17,Hypothèses!$B$4=18,Hypothèses!$B$4=19,Hypothèses!$B$4=20),
IF($D172="Pressio.",
IF(OR($E172=3,$E172=1,$E172=4),AC172,AB172),
IF($D172="Pénétro.",
IF(OR($E172=3,$E172=1,$E172=4),AC172,AB172))),IF($D172="Pressio.",
IF($E172=3,AC172,AB172),
IF($D172="Pénétro.",
IF($E172=4,AC172,AB172))))</f>
        <v>#N/A</v>
      </c>
      <c r="AE172" s="31">
        <v>0</v>
      </c>
      <c r="AF172" s="102" t="e">
        <f>IF(NDC!$H$10="Oui",(VLOOKUP($B$3,'Coeff EC7'!$T$39:$X$59,2,0)*AD172+VLOOKUP($B$3,'Coeff EC7'!$T$65:$X$85,2,0)*Model0.1T!AE172)/1.5,PI()*AB$12*$Q172*($B172-$B171)*0.15/10+AF171)</f>
        <v>#N/A</v>
      </c>
      <c r="AG172" s="102" t="e">
        <f>(VLOOKUP($B$3,'Coeff EC7'!$T$39:$X$59,3,0)*AD172+VLOOKUP($B$3,'Coeff EC7'!$T$65:$X$85,3,0)*Model0.1T!AE172)/1.1</f>
        <v>#N/A</v>
      </c>
      <c r="AH172" s="102" t="e">
        <f t="shared" si="268"/>
        <v>#N/A</v>
      </c>
      <c r="AI172" s="102" t="e">
        <f t="shared" si="269"/>
        <v>#N/A</v>
      </c>
      <c r="AJ172" s="414" t="e">
        <f>IF(AND(AF172&gt;NDC!$C$63,AG172&gt;NDC!$C$65,AH172&gt;NDC!$D$73,AI172&gt;NDC!$D$74,$B172&gt;NDC!$H$22-0.1+MIN(3*$AJ$12,1.5)),0,1)</f>
        <v>#N/A</v>
      </c>
      <c r="AK172" s="86" t="b">
        <f t="shared" si="239"/>
        <v>0</v>
      </c>
      <c r="AL172" s="86">
        <f t="shared" si="270"/>
        <v>0.5</v>
      </c>
      <c r="AM172" s="86">
        <f t="shared" si="240"/>
        <v>0.5</v>
      </c>
      <c r="AN172" s="30" t="e">
        <f t="shared" ca="1" si="271"/>
        <v>#DIV/0!</v>
      </c>
      <c r="AO172" s="85" t="e">
        <f ca="1">IF(U172&lt;=Hypothèses!$V$7,Hypothèses!$W$7,IF(U172&lt;=Hypothèses!$V$8,Hypothèses!$W$8,IF(U172&lt;=Hypothèses!$V$9,Hypothèses!$W$9,IF(U172&lt;=Hypothèses!$V$10,Hypothèses!$W$10,IF(U172&lt;=Hypothèses!$V$11,Hypothèses!$W$11,IF(U172&lt;=Hypothèses!$V$12,Hypothèses!$W$12,IF(U172&lt;=Hypothèses!$V$13,Hypothèses!$W$13,IF(U172&lt;=Hypothèses!$V$14,Hypothèses!$W$14,IF(U172&lt;=Hypothèses!$V$15,Hypothèses!$W$15,IF(U172&lt;=Hypothèses!$V$16,Hypothèses!$W$16,IF(U172&lt;=Hypothèses!$V$17,Hypothèses!$W$17,IF(U172&lt;=Hypothèses!$V$18,Hypothèses!$W$18,""))))))))))))</f>
        <v>#DIV/0!</v>
      </c>
      <c r="AP172" s="87" t="e">
        <f t="shared" ca="1" si="317"/>
        <v>#DIV/0!</v>
      </c>
      <c r="AQ172" s="88" t="e">
        <f ca="1">IF(U172&lt;=Hypothèses!$V$7,Hypothèses!$X$7,IF(U172&lt;=Hypothèses!$V$8,Hypothèses!$X$8,IF(U172&lt;=Hypothèses!$V$9,Hypothèses!$X$9,IF(U172&lt;=Hypothèses!$V$10,Hypothèses!$X$10,IF(U172&lt;=Hypothèses!$V$11,Hypothèses!$X$11,IF(U172&lt;=Hypothèses!$V$12,Hypothèses!$X$12,IF(U172&lt;=Hypothèses!$V$13,Hypothèses!$X$13,IF(U172&lt;=Hypothèses!$V$14,Hypothèses!$X$14,IF(U172&lt;=Hypothèses!$V$15,Hypothèses!$X$15,IF(U172&lt;=Hypothèses!$V$16,Hypothèses!$X$16,IF(U172&lt;=Hypothèses!$U$17,Hypothèses!$W$17,IF(U172&lt;=Hypothèses!$U$18,Hypothèses!$W$18,""))))))))))))</f>
        <v>#DIV/0!</v>
      </c>
      <c r="AR172" s="95" t="e">
        <f t="shared" ca="1" si="272"/>
        <v>#DIV/0!</v>
      </c>
      <c r="AS172" s="101">
        <f t="shared" si="324"/>
        <v>0</v>
      </c>
      <c r="AT172" s="91">
        <f t="shared" si="241"/>
        <v>0</v>
      </c>
      <c r="AU172" s="30" t="e">
        <f t="shared" si="302"/>
        <v>#N/A</v>
      </c>
      <c r="AV172" s="30" t="e">
        <f t="shared" si="303"/>
        <v>#N/A</v>
      </c>
      <c r="AW172" s="31" t="e">
        <f>IF(OR(Hypothèses!$B$4=17,Hypothèses!$B$4=18,Hypothèses!$B$4=19,Hypothèses!$B$4=20),
IF($D172="Pressio.",
IF(OR($E172=3,$E172=1,$E172=4),AV172,AU172),
IF($D172="Pénétro.",
IF(OR($E172=3,$E172=1,$E172=4),AV172,AU172))),IF($D172="Pressio.",
IF($E172=3,AV172,AU172),
IF($D172="Pénétro.",
IF($E172=4,AV172,AU172))))</f>
        <v>#N/A</v>
      </c>
      <c r="AX172" s="31">
        <v>0</v>
      </c>
      <c r="AY172" s="102" t="e">
        <f>IF(NDC!$H$10="Oui",(VLOOKUP($B$3,'Coeff EC7'!$T$39:$X$59,2,0)*AW172+VLOOKUP($B$3,'Coeff EC7'!$T$65:$X$85,2,0)*Model0.1T!AX172)/1.5,PI()*AU$12*$Q172*($B172-$B171)*0.15/10+AY171)</f>
        <v>#N/A</v>
      </c>
      <c r="AZ172" s="102" t="e">
        <f>(VLOOKUP($B$3,'Coeff EC7'!$T$39:$X$59,3,0)*AW172+VLOOKUP($B$3,'Coeff EC7'!$T$65:$X$85,3,0)*Model0.1T!AX172)/1.1</f>
        <v>#N/A</v>
      </c>
      <c r="BA172" s="102" t="e">
        <f t="shared" si="273"/>
        <v>#N/A</v>
      </c>
      <c r="BB172" s="102" t="e">
        <f t="shared" si="274"/>
        <v>#N/A</v>
      </c>
      <c r="BC172" s="414" t="e">
        <f>IF(AND(AY172&gt;NDC!$C$63,AZ172&gt;NDC!$C$65,BA172&gt;NDC!$D$73,BB172&gt;NDC!$D$74,$B172&gt;NDC!$H$22-0.1+MIN(3*BC$12,1.5)),0,1)</f>
        <v>#N/A</v>
      </c>
      <c r="BD172" s="86" t="b">
        <f t="shared" si="242"/>
        <v>0</v>
      </c>
      <c r="BE172" s="86">
        <f t="shared" si="275"/>
        <v>0.5</v>
      </c>
      <c r="BF172" s="86">
        <f t="shared" si="243"/>
        <v>0.5</v>
      </c>
      <c r="BG172" s="30" t="e">
        <f t="shared" ca="1" si="276"/>
        <v>#DIV/0!</v>
      </c>
      <c r="BH172" s="85" t="e">
        <f ca="1">IF(AN172&lt;=Hypothèses!$V$7,Hypothèses!$W$7,IF(AN172&lt;=Hypothèses!$V$8,Hypothèses!$W$8,IF(AN172&lt;=Hypothèses!$V$9,Hypothèses!$W$9,IF(AN172&lt;=Hypothèses!$V$10,Hypothèses!$W$10,IF(AN172&lt;=Hypothèses!$V$11,Hypothèses!$W$11,IF(AN172&lt;=Hypothèses!$V$12,Hypothèses!$W$12,IF(AN172&lt;=Hypothèses!$V$13,Hypothèses!$W$13,IF(AN172&lt;=Hypothèses!$V$14,Hypothèses!$W$14,IF(AN172&lt;=Hypothèses!$V$15,Hypothèses!$W$15,IF(AN172&lt;=Hypothèses!$V$16,Hypothèses!$W$16,IF(AN172&lt;=Hypothèses!$V$17,Hypothèses!$W$17,IF(AN172&lt;=Hypothèses!$V$18,Hypothèses!$W$18,""))))))))))))</f>
        <v>#DIV/0!</v>
      </c>
      <c r="BI172" s="87" t="e">
        <f t="shared" ca="1" si="318"/>
        <v>#DIV/0!</v>
      </c>
      <c r="BJ172" s="88" t="e">
        <f ca="1">IF(AN172&lt;=Hypothèses!$V$7,Hypothèses!$X$7,IF(AN172&lt;=Hypothèses!$V$8,Hypothèses!$X$8,IF(AN172&lt;=Hypothèses!$V$9,Hypothèses!$X$9,IF(AN172&lt;=Hypothèses!$V$10,Hypothèses!$X$10,IF(AN172&lt;=Hypothèses!$V$11,Hypothèses!$X$11,IF(AN172&lt;=Hypothèses!$V$12,Hypothèses!$X$12,IF(AN172&lt;=Hypothèses!$V$13,Hypothèses!$X$13,IF(AN172&lt;=Hypothèses!$V$14,Hypothèses!$X$14,IF(AN172&lt;=Hypothèses!$V$15,Hypothèses!$X$15,IF(AN172&lt;=Hypothèses!$V$16,Hypothèses!$X$16,IF(AN172&lt;=Hypothèses!$U$17,Hypothèses!$W$17,IF(AN172&lt;=Hypothèses!$U$18,Hypothèses!$W$18,""))))))))))))</f>
        <v>#DIV/0!</v>
      </c>
      <c r="BK172" s="95" t="e">
        <f t="shared" ca="1" si="277"/>
        <v>#DIV/0!</v>
      </c>
      <c r="BL172" s="101">
        <f t="shared" si="325"/>
        <v>0</v>
      </c>
      <c r="BM172" s="91">
        <f t="shared" si="244"/>
        <v>0</v>
      </c>
      <c r="BN172" s="30" t="e">
        <f t="shared" si="304"/>
        <v>#N/A</v>
      </c>
      <c r="BO172" s="30" t="e">
        <f t="shared" si="305"/>
        <v>#N/A</v>
      </c>
      <c r="BP172" s="31" t="e">
        <f>IF(OR(Hypothèses!$B$4=17,Hypothèses!$B$4=18,Hypothèses!$B$4=19,Hypothèses!$B$4=20),
IF($D172="Pressio.",
IF(OR($E172=3,$E172=1,$E172=4),BO172,BN172),
IF($D172="Pénétro.",
IF(OR($E172=3,$E172=1,$E172=4),BO172,BN172))),IF($D172="Pressio.",
IF($E172=3,BO172,BN172),
IF($D172="Pénétro.",
IF($E172=4,BO172,BN172))))</f>
        <v>#N/A</v>
      </c>
      <c r="BQ172" s="31">
        <v>0</v>
      </c>
      <c r="BR172" s="102" t="e">
        <f>IF(NDC!$H$10="Oui",(VLOOKUP($B$3,'Coeff EC7'!$T$39:$X$59,2,0)*BP172+VLOOKUP($B$3,'Coeff EC7'!$T$65:$X$85,2,0)*Model0.1T!BQ172)/1.5,PI()*BN$12*$Q172*($B172-$B171)*0.15/10+BR171)</f>
        <v>#N/A</v>
      </c>
      <c r="BS172" s="102" t="e">
        <f>(VLOOKUP($B$3,'Coeff EC7'!$T$39:$X$59,3,0)*BP172+VLOOKUP($B$3,'Coeff EC7'!$T$65:$X$85,3,0)*Model0.1T!BQ172)/1.1</f>
        <v>#N/A</v>
      </c>
      <c r="BT172" s="102" t="e">
        <f t="shared" si="278"/>
        <v>#N/A</v>
      </c>
      <c r="BU172" s="102" t="e">
        <f t="shared" si="279"/>
        <v>#N/A</v>
      </c>
      <c r="BV172" s="414" t="e">
        <f>IF(AND(BR172&gt;NDC!$C$63,BS172&gt;NDC!$C$65,BT172&gt;NDC!$D$73,BU172&gt;NDC!$D$74,$B172&gt;NDC!$H$22-0.1+MIN(3*BV$12,1.5)),0,1)</f>
        <v>#N/A</v>
      </c>
      <c r="BW172" s="86" t="b">
        <f t="shared" si="245"/>
        <v>0</v>
      </c>
      <c r="BX172" s="86">
        <f t="shared" si="246"/>
        <v>0.5</v>
      </c>
      <c r="BY172" s="86">
        <f t="shared" si="247"/>
        <v>0.5</v>
      </c>
      <c r="BZ172" s="30" t="e">
        <f t="shared" ca="1" si="280"/>
        <v>#DIV/0!</v>
      </c>
      <c r="CA172" s="85" t="e">
        <f ca="1">IF(BG172&lt;=Hypothèses!$V$7,Hypothèses!$W$7,IF(BG172&lt;=Hypothèses!$V$8,Hypothèses!$W$8,IF(BG172&lt;=Hypothèses!$V$9,Hypothèses!$W$9,IF(BG172&lt;=Hypothèses!$V$10,Hypothèses!$W$10,IF(BG172&lt;=Hypothèses!$V$11,Hypothèses!$W$11,IF(BG172&lt;=Hypothèses!$V$12,Hypothèses!$W$12,IF(BG172&lt;=Hypothèses!$V$13,Hypothèses!$W$13,IF(BG172&lt;=Hypothèses!$V$14,Hypothèses!$W$14,IF(BG172&lt;=Hypothèses!$V$15,Hypothèses!$W$15,IF(BG172&lt;=Hypothèses!$V$16,Hypothèses!$W$16,IF(BG172&lt;=Hypothèses!$V$17,Hypothèses!$W$17,IF(BG172&lt;=Hypothèses!$V$18,Hypothèses!$W$18,""))))))))))))</f>
        <v>#DIV/0!</v>
      </c>
      <c r="CB172" s="87" t="e">
        <f t="shared" ca="1" si="319"/>
        <v>#DIV/0!</v>
      </c>
      <c r="CC172" s="88" t="e">
        <f ca="1">IF(BG172&lt;=Hypothèses!$V$7,Hypothèses!$X$7,IF(BG172&lt;=Hypothèses!$V$8,Hypothèses!$X$8,IF(BG172&lt;=Hypothèses!$V$9,Hypothèses!$X$9,IF(BG172&lt;=Hypothèses!$V$10,Hypothèses!$X$10,IF(BG172&lt;=Hypothèses!$V$11,Hypothèses!$X$11,IF(BG172&lt;=Hypothèses!$V$12,Hypothèses!$X$12,IF(BG172&lt;=Hypothèses!$V$13,Hypothèses!$X$13,IF(BG172&lt;=Hypothèses!$V$14,Hypothèses!$X$14,IF(BG172&lt;=Hypothèses!$V$15,Hypothèses!$X$15,IF(BG172&lt;=Hypothèses!$V$16,Hypothèses!$X$16,IF(BG172&lt;=Hypothèses!$U$17,Hypothèses!$W$17,IF(BG172&lt;=Hypothèses!$U$18,Hypothèses!$W$18,""))))))))))))</f>
        <v>#DIV/0!</v>
      </c>
      <c r="CD172" s="95" t="e">
        <f t="shared" ca="1" si="281"/>
        <v>#DIV/0!</v>
      </c>
      <c r="CE172" s="101">
        <f t="shared" si="326"/>
        <v>0</v>
      </c>
      <c r="CF172" s="91">
        <f t="shared" si="248"/>
        <v>0</v>
      </c>
      <c r="CG172" s="30" t="e">
        <f t="shared" si="306"/>
        <v>#N/A</v>
      </c>
      <c r="CH172" s="30" t="e">
        <f t="shared" si="307"/>
        <v>#N/A</v>
      </c>
      <c r="CI172" s="31" t="e">
        <f>IF(OR(Hypothèses!$B$4=17,Hypothèses!$B$4=18,Hypothèses!$B$4=19,Hypothèses!$B$4=20),
IF($D172="Pressio.",
IF(OR($E172=3,$E172=1,$E172=4),CH172,CG172),
IF($D172="Pénétro.",
IF(OR($E172=3,$E172=1,$E172=4),CH172,CG172))),IF($D172="Pressio.",
IF($E172=3,CH172,CG172),
IF($D172="Pénétro.",
IF($E172=4,CH172,CG172))))</f>
        <v>#N/A</v>
      </c>
      <c r="CJ172" s="31">
        <v>0</v>
      </c>
      <c r="CK172" s="102" t="e">
        <f>IF(NDC!$H$10="Oui",(VLOOKUP($B$3,'Coeff EC7'!$T$39:$X$59,2,0)*CI172+VLOOKUP($B$3,'Coeff EC7'!$T$65:$X$85,2,0)*Model0.1T!CJ172)/1.5,PI()*CG$12*$Q172*($B172-$B171)*0.15/10+CK171)</f>
        <v>#N/A</v>
      </c>
      <c r="CL172" s="102" t="e">
        <f>(VLOOKUP($B$3,'Coeff EC7'!$T$39:$X$59,3,0)*CI172+VLOOKUP($B$3,'Coeff EC7'!$T$65:$X$85,3,0)*Model0.1T!CJ172)/1.1</f>
        <v>#N/A</v>
      </c>
      <c r="CM172" s="102" t="e">
        <f t="shared" si="282"/>
        <v>#N/A</v>
      </c>
      <c r="CN172" s="102" t="e">
        <f t="shared" si="283"/>
        <v>#N/A</v>
      </c>
      <c r="CO172" s="414" t="e">
        <f>IF(AND(CK172&gt;NDC!$C$63,CL172&gt;NDC!$C$65,CM172&gt;NDC!$D$73,CN172&gt;NDC!$D$74,$B172&gt;NDC!$H$22-0.1+MIN(3*CO$12,1.5)),0,1)</f>
        <v>#N/A</v>
      </c>
      <c r="CP172" s="86" t="b">
        <f t="shared" si="249"/>
        <v>0</v>
      </c>
      <c r="CQ172" s="86">
        <f t="shared" si="250"/>
        <v>0.5</v>
      </c>
      <c r="CR172" s="86">
        <f t="shared" si="251"/>
        <v>0.5</v>
      </c>
      <c r="CS172" s="30" t="e">
        <f t="shared" ca="1" si="284"/>
        <v>#DIV/0!</v>
      </c>
      <c r="CT172" s="85" t="e">
        <f ca="1">IF(BZ172&lt;=Hypothèses!$V$7,Hypothèses!$W$7,IF(BZ172&lt;=Hypothèses!$V$8,Hypothèses!$W$8,IF(BZ172&lt;=Hypothèses!$V$9,Hypothèses!$W$9,IF(BZ172&lt;=Hypothèses!$V$10,Hypothèses!$W$10,IF(BZ172&lt;=Hypothèses!$V$11,Hypothèses!$W$11,IF(BZ172&lt;=Hypothèses!$V$12,Hypothèses!$W$12,IF(BZ172&lt;=Hypothèses!$V$13,Hypothèses!$W$13,IF(BZ172&lt;=Hypothèses!$V$14,Hypothèses!$W$14,IF(BZ172&lt;=Hypothèses!$V$15,Hypothèses!$W$15,IF(BZ172&lt;=Hypothèses!$V$16,Hypothèses!$W$16,IF(BZ172&lt;=Hypothèses!$V$17,Hypothèses!$W$17,IF(BZ172&lt;=Hypothèses!$V$18,Hypothèses!$W$18,""))))))))))))</f>
        <v>#DIV/0!</v>
      </c>
      <c r="CU172" s="87" t="e">
        <f t="shared" ca="1" si="320"/>
        <v>#DIV/0!</v>
      </c>
      <c r="CV172" s="88" t="e">
        <f ca="1">IF(BZ172&lt;=Hypothèses!$V$7,Hypothèses!$X$7,IF(BZ172&lt;=Hypothèses!$V$8,Hypothèses!$X$8,IF(BZ172&lt;=Hypothèses!$V$9,Hypothèses!$X$9,IF(BZ172&lt;=Hypothèses!$V$10,Hypothèses!$X$10,IF(BZ172&lt;=Hypothèses!$V$11,Hypothèses!$X$11,IF(BZ172&lt;=Hypothèses!$V$12,Hypothèses!$X$12,IF(BZ172&lt;=Hypothèses!$V$13,Hypothèses!$X$13,IF(BZ172&lt;=Hypothèses!$V$14,Hypothèses!$X$14,IF(BZ172&lt;=Hypothèses!$V$15,Hypothèses!$X$15,IF(BZ172&lt;=Hypothèses!$V$16,Hypothèses!$X$16,IF(BZ172&lt;=Hypothèses!$U$17,Hypothèses!$W$17,IF(BZ172&lt;=Hypothèses!$U$18,Hypothèses!$W$18,""))))))))))))</f>
        <v>#DIV/0!</v>
      </c>
      <c r="CW172" s="95" t="e">
        <f t="shared" ca="1" si="285"/>
        <v>#DIV/0!</v>
      </c>
      <c r="CX172" s="101">
        <f t="shared" si="327"/>
        <v>0</v>
      </c>
      <c r="CY172" s="91">
        <f t="shared" si="252"/>
        <v>0</v>
      </c>
      <c r="CZ172" s="30" t="e">
        <f t="shared" si="308"/>
        <v>#N/A</v>
      </c>
      <c r="DA172" s="30" t="e">
        <f t="shared" si="309"/>
        <v>#N/A</v>
      </c>
      <c r="DB172" s="31" t="e">
        <f>IF(OR(Hypothèses!$B$4=17,Hypothèses!$B$4=18,Hypothèses!$B$4=19,Hypothèses!$B$4=20),
IF($D172="Pressio.",
IF(OR($E172=3,$E172=1,$E172=4),DA172,CZ172),
IF($D172="Pénétro.",
IF(OR($E172=3,$E172=1,$E172=4),DA172,CZ172))),IF($D172="Pressio.",
IF($E172=3,DA172,CZ172),
IF($D172="Pénétro.",
IF($E172=4,DA172,CZ172))))</f>
        <v>#N/A</v>
      </c>
      <c r="DC172" s="31">
        <v>0</v>
      </c>
      <c r="DD172" s="102" t="e">
        <f>IF(NDC!$H$10="Oui",(VLOOKUP($B$3,'Coeff EC7'!$T$39:$X$59,2,0)*DB172+VLOOKUP($B$3,'Coeff EC7'!$T$65:$X$85,2,0)*Model0.1T!DC172)/1.5,PI()*CZ$12*$Q172*($B172-$B171)*0.15/10+DD171)</f>
        <v>#N/A</v>
      </c>
      <c r="DE172" s="102" t="e">
        <f>(VLOOKUP($B$3,'Coeff EC7'!$T$39:$X$59,3,0)*DB172+VLOOKUP($B$3,'Coeff EC7'!$T$65:$X$85,3,0)*Model0.1T!DC172)/1.1</f>
        <v>#N/A</v>
      </c>
      <c r="DF172" s="102" t="e">
        <f t="shared" si="286"/>
        <v>#N/A</v>
      </c>
      <c r="DG172" s="102" t="e">
        <f t="shared" si="287"/>
        <v>#N/A</v>
      </c>
      <c r="DH172" s="414" t="e">
        <f>IF(AND(DD172&gt;NDC!$C$63,DE172&gt;NDC!$C$65,DF172&gt;NDC!$D$73,DG172&gt;NDC!$D$74,$B172&gt;NDC!$H$22-0.1+MIN(3*DH$12,1.5)),0,1)</f>
        <v>#N/A</v>
      </c>
      <c r="DI172" s="86" t="b">
        <f t="shared" si="253"/>
        <v>0</v>
      </c>
      <c r="DJ172" s="86">
        <f t="shared" si="254"/>
        <v>0.5</v>
      </c>
      <c r="DK172" s="86">
        <f t="shared" si="255"/>
        <v>0.5</v>
      </c>
      <c r="DL172" s="30" t="e">
        <f t="shared" ca="1" si="288"/>
        <v>#DIV/0!</v>
      </c>
      <c r="DM172" s="85" t="e">
        <f ca="1">IF(CS172&lt;=Hypothèses!$V$7,Hypothèses!$W$7,IF(CS172&lt;=Hypothèses!$V$8,Hypothèses!$W$8,IF(CS172&lt;=Hypothèses!$V$9,Hypothèses!$W$9,IF(CS172&lt;=Hypothèses!$V$10,Hypothèses!$W$10,IF(CS172&lt;=Hypothèses!$V$11,Hypothèses!$W$11,IF(CS172&lt;=Hypothèses!$V$12,Hypothèses!$W$12,IF(CS172&lt;=Hypothèses!$V$13,Hypothèses!$W$13,IF(CS172&lt;=Hypothèses!$V$14,Hypothèses!$W$14,IF(CS172&lt;=Hypothèses!$V$15,Hypothèses!$W$15,IF(CS172&lt;=Hypothèses!$V$16,Hypothèses!$W$16,IF(CS172&lt;=Hypothèses!$V$17,Hypothèses!$W$17,IF(CS172&lt;=Hypothèses!$V$18,Hypothèses!$W$18,""))))))))))))</f>
        <v>#DIV/0!</v>
      </c>
      <c r="DN172" s="87" t="e">
        <f t="shared" ca="1" si="321"/>
        <v>#DIV/0!</v>
      </c>
      <c r="DO172" s="88" t="e">
        <f ca="1">IF(CS172&lt;=Hypothèses!$V$7,Hypothèses!$X$7,IF(CS172&lt;=Hypothèses!$V$8,Hypothèses!$X$8,IF(CS172&lt;=Hypothèses!$V$9,Hypothèses!$X$9,IF(CS172&lt;=Hypothèses!$V$10,Hypothèses!$X$10,IF(CS172&lt;=Hypothèses!$V$11,Hypothèses!$X$11,IF(CS172&lt;=Hypothèses!$V$12,Hypothèses!$X$12,IF(CS172&lt;=Hypothèses!$V$13,Hypothèses!$X$13,IF(CS172&lt;=Hypothèses!$V$14,Hypothèses!$X$14,IF(CS172&lt;=Hypothèses!$V$15,Hypothèses!$X$15,IF(CS172&lt;=Hypothèses!$V$16,Hypothèses!$X$16,IF(CS172&lt;=Hypothèses!$U$17,Hypothèses!$W$17,IF(CS172&lt;=Hypothèses!$U$18,Hypothèses!$W$18,""))))))))))))</f>
        <v>#DIV/0!</v>
      </c>
      <c r="DP172" s="95" t="e">
        <f t="shared" ca="1" si="289"/>
        <v>#DIV/0!</v>
      </c>
      <c r="DQ172" s="101">
        <f t="shared" si="328"/>
        <v>0</v>
      </c>
      <c r="DR172" s="91">
        <f t="shared" si="256"/>
        <v>0</v>
      </c>
      <c r="DS172" s="30" t="e">
        <f t="shared" si="310"/>
        <v>#N/A</v>
      </c>
      <c r="DT172" s="30" t="e">
        <f t="shared" si="311"/>
        <v>#N/A</v>
      </c>
      <c r="DU172" s="31" t="e">
        <f>IF(OR(Hypothèses!$B$4=17,Hypothèses!$B$4=18,Hypothèses!$B$4=19,Hypothèses!$B$4=20),
IF($D172="Pressio.",
IF(OR($E172=3,$E172=1,$E172=4),DT172,DS172),
IF($D172="Pénétro.",
IF(OR($E172=3,$E172=1,$E172=4),DT172,DS172))),IF($D172="Pressio.",
IF($E172=3,DT172,DS172),
IF($D172="Pénétro.",
IF($E172=4,DT172,DS172))))</f>
        <v>#N/A</v>
      </c>
      <c r="DV172" s="31">
        <v>0</v>
      </c>
      <c r="DW172" s="102" t="e">
        <f>IF(NDC!$H$10="Oui",(VLOOKUP($B$3,'Coeff EC7'!$T$39:$X$59,2,0)*DU172+VLOOKUP($B$3,'Coeff EC7'!$T$65:$X$85,2,0)*Model0.1T!DV172)/1.5,PI()*DS$12*$Q172*($B172-$B171)*0.15/10+DW171)</f>
        <v>#N/A</v>
      </c>
      <c r="DX172" s="102" t="e">
        <f>(VLOOKUP($B$3,'Coeff EC7'!$T$39:$X$59,3,0)*DU172+VLOOKUP($B$3,'Coeff EC7'!$T$65:$X$85,3,0)*Model0.1T!DV172)/1.1</f>
        <v>#N/A</v>
      </c>
      <c r="DY172" s="102" t="e">
        <f t="shared" si="290"/>
        <v>#N/A</v>
      </c>
      <c r="DZ172" s="102" t="e">
        <f t="shared" si="291"/>
        <v>#N/A</v>
      </c>
      <c r="EA172" s="414" t="e">
        <f>IF(AND(DW172&gt;NDC!$C$63,DX172&gt;NDC!$C$65,DY172&gt;NDC!$D$73,DZ172&gt;NDC!$D$74,$B172&gt;NDC!$H$22-0.1+MIN(3*EA$12,1.5)),0,1)</f>
        <v>#N/A</v>
      </c>
      <c r="EB172" s="86" t="b">
        <f t="shared" si="257"/>
        <v>0</v>
      </c>
      <c r="EC172" s="418">
        <f t="shared" si="258"/>
        <v>0.51</v>
      </c>
      <c r="ED172" s="86">
        <f t="shared" si="259"/>
        <v>0.51</v>
      </c>
      <c r="EE172" s="30" t="e">
        <f t="shared" ca="1" si="292"/>
        <v>#DIV/0!</v>
      </c>
      <c r="EF172" s="85" t="e">
        <f ca="1">IF(DL172&lt;=Hypothèses!$V$7,Hypothèses!$W$7,IF(DL172&lt;=Hypothèses!$V$8,Hypothèses!$W$8,IF(DL172&lt;=Hypothèses!$V$9,Hypothèses!$W$9,IF(DL172&lt;=Hypothèses!$V$10,Hypothèses!$W$10,IF(DL172&lt;=Hypothèses!$V$11,Hypothèses!$W$11,IF(DL172&lt;=Hypothèses!$V$12,Hypothèses!$W$12,IF(DL172&lt;=Hypothèses!$V$13,Hypothèses!$W$13,IF(DL172&lt;=Hypothèses!$V$14,Hypothèses!$W$14,IF(DL172&lt;=Hypothèses!$V$15,Hypothèses!$W$15,IF(DL172&lt;=Hypothèses!$V$16,Hypothèses!$W$16,IF(DL172&lt;=Hypothèses!$V$17,Hypothèses!$W$17,IF(DL172&lt;=Hypothèses!$V$18,Hypothèses!$W$18,""))))))))))))</f>
        <v>#DIV/0!</v>
      </c>
      <c r="EG172" s="87" t="e">
        <f t="shared" ca="1" si="322"/>
        <v>#DIV/0!</v>
      </c>
      <c r="EH172" s="88" t="e">
        <f ca="1">IF(DL172&lt;=Hypothèses!$V$7,Hypothèses!$X$7,IF(DL172&lt;=Hypothèses!$V$8,Hypothèses!$X$8,IF(DL172&lt;=Hypothèses!$V$9,Hypothèses!$X$9,IF(DL172&lt;=Hypothèses!$V$10,Hypothèses!$X$10,IF(DL172&lt;=Hypothèses!$V$11,Hypothèses!$X$11,IF(DL172&lt;=Hypothèses!$V$12,Hypothèses!$X$12,IF(DL172&lt;=Hypothèses!$V$13,Hypothèses!$X$13,IF(DL172&lt;=Hypothèses!$V$14,Hypothèses!$X$14,IF(DL172&lt;=Hypothèses!$V$15,Hypothèses!$X$15,IF(DL172&lt;=Hypothèses!$V$16,Hypothèses!$X$16,IF(DL172&lt;=Hypothèses!$U$17,Hypothèses!$W$17,IF(DL172&lt;=Hypothèses!$U$18,Hypothèses!$W$18,""))))))))))))</f>
        <v>#DIV/0!</v>
      </c>
      <c r="EI172" s="95" t="e">
        <f t="shared" ca="1" si="293"/>
        <v>#DIV/0!</v>
      </c>
      <c r="EJ172" s="101">
        <f t="shared" si="329"/>
        <v>0</v>
      </c>
      <c r="EK172" s="91">
        <f t="shared" si="260"/>
        <v>0</v>
      </c>
      <c r="EL172" s="30" t="e">
        <f t="shared" si="312"/>
        <v>#N/A</v>
      </c>
      <c r="EM172" s="30" t="e">
        <f t="shared" si="313"/>
        <v>#N/A</v>
      </c>
      <c r="EN172" s="31" t="e">
        <f>IF(OR(Hypothèses!$B$4=17,Hypothèses!$B$4=18,Hypothèses!$B$4=19,Hypothèses!$B$4=20),
IF($D172="Pressio.",
IF(OR($E172=3,$E172=1,$E172=4),EM172,EL172),
IF($D172="Pénétro.",
IF(OR($E172=3,$E172=1,$E172=4),EM172,EL172))),IF($D172="Pressio.",
IF($E172=3,EM172,EL172),
IF($D172="Pénétro.",
IF($E172=4,EM172,EL172))))</f>
        <v>#N/A</v>
      </c>
      <c r="EO172" s="31">
        <v>0</v>
      </c>
      <c r="EP172" s="102" t="e">
        <f>IF(NDC!$H$10="Oui",(VLOOKUP($B$3,'Coeff EC7'!$T$39:$X$59,2,0)*EN172+VLOOKUP($B$3,'Coeff EC7'!$T$65:$X$85,2,0)*Model0.1T!EO172)/1.5,PI()*EL$12*$Q172*($B172-$B171)*0.15/10+EP171)</f>
        <v>#N/A</v>
      </c>
      <c r="EQ172" s="102" t="e">
        <f>(VLOOKUP($B$3,'Coeff EC7'!$T$39:$X$59,3,0)*EN172+VLOOKUP($B$3,'Coeff EC7'!$T$65:$X$85,3,0)*Model0.1T!EO172)/1.1</f>
        <v>#N/A</v>
      </c>
      <c r="ER172" s="102" t="e">
        <f t="shared" si="294"/>
        <v>#N/A</v>
      </c>
      <c r="ES172" s="102" t="e">
        <f t="shared" si="295"/>
        <v>#N/A</v>
      </c>
      <c r="ET172" s="414" t="e">
        <f>IF(AND(EP172&gt;NDC!$C$63,EQ172&gt;NDC!$C$65,ER172&gt;NDC!$D$73,ES172&gt;NDC!$D$74,$B172&gt;NDC!$H$22-0.1+MIN(3*ET$12,1.5)),0,1)</f>
        <v>#N/A</v>
      </c>
      <c r="EU172" s="86" t="b">
        <f t="shared" si="261"/>
        <v>0</v>
      </c>
      <c r="EV172" s="86">
        <f t="shared" si="262"/>
        <v>0.61</v>
      </c>
      <c r="EW172" s="86">
        <f t="shared" si="263"/>
        <v>0.61</v>
      </c>
      <c r="EX172" s="30" t="e">
        <f t="shared" ca="1" si="296"/>
        <v>#DIV/0!</v>
      </c>
      <c r="EY172" s="85" t="e">
        <f ca="1">IF(EE172&lt;=Hypothèses!$V$7,Hypothèses!$W$7,IF(EE172&lt;=Hypothèses!$V$8,Hypothèses!$W$8,IF(EE172&lt;=Hypothèses!$V$9,Hypothèses!$W$9,IF(EE172&lt;=Hypothèses!$V$10,Hypothèses!$W$10,IF(EE172&lt;=Hypothèses!$V$11,Hypothèses!$W$11,IF(EE172&lt;=Hypothèses!$V$12,Hypothèses!$W$12,IF(EE172&lt;=Hypothèses!$V$13,Hypothèses!$W$13,IF(EE172&lt;=Hypothèses!$V$14,Hypothèses!$W$14,IF(EE172&lt;=Hypothèses!$V$15,Hypothèses!$W$15,IF(EE172&lt;=Hypothèses!$V$16,Hypothèses!$W$16,IF(EE172&lt;=Hypothèses!$V$17,Hypothèses!$W$17,IF(EE172&lt;=Hypothèses!$V$18,Hypothèses!$W$18,""))))))))))))</f>
        <v>#DIV/0!</v>
      </c>
      <c r="EZ172" s="87" t="e">
        <f t="shared" ca="1" si="323"/>
        <v>#DIV/0!</v>
      </c>
      <c r="FA172" s="88" t="e">
        <f ca="1">IF(EE172&lt;=Hypothèses!$V$7,Hypothèses!$X$7,IF(EE172&lt;=Hypothèses!$V$8,Hypothèses!$X$8,IF(EE172&lt;=Hypothèses!$V$9,Hypothèses!$X$9,IF(EE172&lt;=Hypothèses!$V$10,Hypothèses!$X$10,IF(EE172&lt;=Hypothèses!$V$11,Hypothèses!$X$11,IF(EE172&lt;=Hypothèses!$V$12,Hypothèses!$X$12,IF(EE172&lt;=Hypothèses!$V$13,Hypothèses!$X$13,IF(EE172&lt;=Hypothèses!$V$14,Hypothèses!$X$14,IF(EE172&lt;=Hypothèses!$V$15,Hypothèses!$X$15,IF(EE172&lt;=Hypothèses!$V$16,Hypothèses!$X$16,IF(EE172&lt;=Hypothèses!$U$17,Hypothèses!$W$17,IF(EE172&lt;=Hypothèses!$U$18,Hypothèses!$W$18,""))))))))))))</f>
        <v>#DIV/0!</v>
      </c>
      <c r="FB172" s="95" t="e">
        <f t="shared" ca="1" si="297"/>
        <v>#DIV/0!</v>
      </c>
      <c r="FC172" s="101">
        <f t="shared" si="330"/>
        <v>0</v>
      </c>
      <c r="FD172" s="91">
        <f t="shared" si="264"/>
        <v>0</v>
      </c>
      <c r="FE172" s="30" t="e">
        <f t="shared" si="314"/>
        <v>#N/A</v>
      </c>
      <c r="FF172" s="30" t="e">
        <f t="shared" si="315"/>
        <v>#N/A</v>
      </c>
      <c r="FG172" s="31" t="e">
        <f>IF(OR(Hypothèses!$B$4=17,Hypothèses!$B$4=18,Hypothèses!$B$4=19,Hypothèses!$B$4=20),
IF($D172="Pressio.",
IF(OR($E172=3,$E172=1,$E172=4),FF172,FE172),
IF($D172="Pénétro.",
IF(OR($E172=3,$E172=1,$E172=4),FF172,FE172))),IF($D172="Pressio.",
IF($E172=3,FF172,FE172),
IF($D172="Pénétro.",
IF($E172=4,FF172,FE172))))</f>
        <v>#N/A</v>
      </c>
      <c r="FH172" s="31">
        <v>0</v>
      </c>
      <c r="FI172" s="102" t="e">
        <f>IF(NDC!$H$10="Oui",(VLOOKUP($B$3,'Coeff EC7'!$T$39:$X$59,2,0)*FG172+VLOOKUP($B$3,'Coeff EC7'!$T$65:$X$85,2,0)*Model0.1T!FH172)/1.5,PI()*FE$12*$Q172*($B172-$B171)*0.15/10+FI171)</f>
        <v>#N/A</v>
      </c>
      <c r="FJ172" s="102" t="e">
        <f>(VLOOKUP($B$3,'Coeff EC7'!$T$39:$X$59,3,0)*FG172+VLOOKUP($B$3,'Coeff EC7'!$T$65:$X$85,3,0)*Model0.1T!FH172)/1.1</f>
        <v>#N/A</v>
      </c>
      <c r="FK172" s="102" t="e">
        <f t="shared" si="298"/>
        <v>#N/A</v>
      </c>
      <c r="FL172" s="102" t="e">
        <f t="shared" si="299"/>
        <v>#N/A</v>
      </c>
      <c r="FM172" s="414" t="e">
        <f>IF(AND(FI172&gt;NDC!$C$63,FJ172&gt;NDC!$C$65,FK172&gt;NDC!$D$73,FL172&gt;NDC!$D$74,$B172&gt;NDC!$H$22-0.1+MIN(3*FM$12,1.5)),0,1)</f>
        <v>#N/A</v>
      </c>
    </row>
    <row r="173" spans="1:169">
      <c r="A173" s="96">
        <f t="shared" si="265"/>
        <v>84.000000000000909</v>
      </c>
      <c r="B173" s="97">
        <v>16</v>
      </c>
      <c r="C173" s="81">
        <f>IF(B173&lt;=Hypothèses!$C$7,Hypothèses!$A$7,IF(B173&lt;=Hypothèses!$C$8,Hypothèses!$A$8,IF(B173&lt;=Hypothèses!$C$9,Hypothèses!$A$9,IF(B173&lt;=Hypothèses!$C$10,Hypothèses!$A$10,IF(B173&lt;=Hypothèses!$C$11,Hypothèses!$A$11,IF(B173&lt;=Hypothèses!$C$12,Hypothèses!$A$12,IF(B173&lt;=Hypothèses!$C$13,Hypothèses!$A$13,IF(B173&lt;=Hypothèses!$C$14,Hypothèses!$A$14,IF(B173&lt;=Hypothèses!$C$15,Hypothèses!$A$15,IF(B173&lt;=Hypothèses!$C$16,Hypothèses!$A$16,IF(B173&lt;=Hypothèses!$C$17,Hypothèses!$A$17,IF(B173&lt;=Hypothèses!$C$18,Hypothèses!$A$18,C172))))))))))))</f>
        <v>11</v>
      </c>
      <c r="D173" s="82" t="str">
        <f>IF(B173&lt;=Hypothèses!$C$7,Hypothèses!$R$7,IF(B173&lt;=Hypothèses!$C$8,Hypothèses!$R$8,IF(B173&lt;=Hypothèses!$C$9,Hypothèses!$R$9,IF(B173&lt;=Hypothèses!$C$10,Hypothèses!$R$10,IF(B173&lt;=Hypothèses!$C$11,Hypothèses!$R$11,IF(B173&lt;=Hypothèses!$C$12,Hypothèses!$R$12,IF(B173&lt;=Hypothèses!$C$13,Hypothèses!$R$13,IF(B173&lt;=Hypothèses!$C$14,Hypothèses!$R$14,IF(B173&lt;=Hypothèses!$C$15,Hypothèses!$R$15,IF(B173&lt;=Hypothèses!$C$16,Hypothèses!$R$16,IF(B173&lt;=Hypothèses!$C$17,Hypothèses!$R$17,IF(B173&lt;=Hypothèses!$C$18,Hypothèses!$R$18,D172))))))))))))</f>
        <v>Pressio.</v>
      </c>
      <c r="E173" s="82" t="e">
        <f>IF(B173&lt;=Hypothèses!$C$7,Hypothèses!$G$7,IF(B173&lt;=Hypothèses!$C$8,Hypothèses!$G$8,IF(B173&lt;=Hypothèses!$C$9,Hypothèses!$G$9,IF(B173&lt;=Hypothèses!$C$10,Hypothèses!$G$10,IF(B173&lt;=Hypothèses!$C$11,Hypothèses!$G$11,IF(B173&lt;=Hypothèses!$C$12,Hypothèses!$G$12,IF(B173&lt;=Hypothèses!$C$13,Hypothèses!$G$13,IF(B173&lt;=Hypothèses!$C$14,Hypothèses!$G$14,IF(B173&lt;=Hypothèses!$C$15,Hypothèses!$G$15,IF(B173&lt;=Hypothèses!$C$16,Hypothèses!$G$16,IF(B173&lt;=Hypothèses!$C$17,Hypothèses!$G$17,IF(B173&lt;=Hypothèses!$C$18,Hypothèses!$G$18,E172))))))))))))</f>
        <v>#N/A</v>
      </c>
      <c r="F173" s="82" t="str">
        <f>IF(B173&lt;=Hypothèses!$C$7,Hypothèses!$F$7,IF(B173&lt;=Hypothèses!$C$8,Hypothèses!$F$8,IF(B173&lt;=Hypothèses!$C$9,Hypothèses!$F$9,IF(B173&lt;=Hypothèses!$C$10,Hypothèses!$F$10,IF(B173&lt;=Hypothèses!$C$11,Hypothèses!$F$11,IF(B173&lt;=Hypothèses!$C$12,Hypothèses!$F$12,IF(B173&lt;=Hypothèses!$C$13,Hypothèses!$F$13,IF(B173&lt;=Hypothèses!$C$14,Hypothèses!$F$14,IF(B173&lt;=Hypothèses!$C$15,Hypothèses!$F$15,IF(B173&lt;=Hypothèses!$C$16,Hypothèses!$F$16,IF(B173&lt;=Hypothèses!$C$17,Hypothèses!$F$17,IF(B173&lt;=Hypothèses!$C$18,Hypothèses!$F$18,F172))))))))))))</f>
        <v/>
      </c>
      <c r="G173" s="91">
        <f t="array" ref="G173">INDEX('Coeff EC7'!$U$7:$X$27,
MATCH(Model0.1T!$B$3,'Coeff EC7'!$T$7:$T$27,0),
MATCH(Model0.1T!$D173&amp;Model0.1T!$B$4,
'Coeff EC7'!$U$6:$X$6&amp;
'Coeff EC7'!$U$5:$X$5,0))</f>
        <v>1.4</v>
      </c>
      <c r="H173" s="91">
        <f t="array" ref="H173">INDEX('Coeff EC7'!$Y$7:$AB$27,
MATCH(Model0.1T!$B$3,'Coeff EC7'!$T$7:$T$27,0),
MATCH(Model0.1T!$D173&amp;Model0.1T!$B$4,
'Coeff EC7'!$Y$6:$AB$6&amp;
'Coeff EC7'!$Y$5:$AB$5,0))</f>
        <v>1.7</v>
      </c>
      <c r="I173" s="83">
        <v>0</v>
      </c>
      <c r="J173" s="91" t="e">
        <f t="array" ref="J173">INDEX('Coeff EC7'!$D$33:$Q$33,1,MATCH(D173&amp;E173,'Coeff EC7'!$D$31:$Q$31&amp;'Coeff EC7'!$D$32:$Q$32,0))</f>
        <v>#N/A</v>
      </c>
      <c r="K173" s="91" t="e">
        <f t="array" ref="K173">INDEX('Coeff EC7'!$D$34:$Q$34,1,MATCH(D173&amp;E173,'Coeff EC7'!$D$31:$Q$31&amp;'Coeff EC7'!$D$32:$Q$32,0))</f>
        <v>#N/A</v>
      </c>
      <c r="L173" s="91" t="e">
        <f t="array" ref="L173">INDEX('Coeff EC7'!$D$35:$Q$35,1,MATCH(D173&amp;E173,'Coeff EC7'!$D$31:$Q$31&amp;'Coeff EC7'!$D$32:$Q$32,0))</f>
        <v>#N/A</v>
      </c>
      <c r="M173" s="98" t="e">
        <f t="shared" si="231"/>
        <v>#N/A</v>
      </c>
      <c r="N173" s="99" t="e">
        <f t="array" ref="N173">INDEX('Coeff EC7'!$D$7:$Q$27,MATCH($B$3,'Coeff EC7'!$C$7:$C$27,0),MATCH(D173&amp;E173,'Coeff EC7'!$D$5:$Q$5&amp;'Coeff EC7'!$D$6:$Q$6,0))</f>
        <v>#N/A</v>
      </c>
      <c r="O173" s="99" t="e">
        <f t="array" ref="O173">INDEX('Coeff EC7'!$D$41:$Q$61,MATCH($B$3,'Coeff EC7'!$C$41:$C$61,0),MATCH(D173&amp;E173,'Coeff EC7'!$D$39:$Q$39&amp;'Coeff EC7'!$D$40:$Q$40,0))</f>
        <v>#N/A</v>
      </c>
      <c r="P173" s="30" t="e">
        <f t="shared" si="266"/>
        <v>#N/A</v>
      </c>
      <c r="Q173" s="100" t="e">
        <f t="shared" si="233"/>
        <v>#N/A</v>
      </c>
      <c r="R173" s="86" t="b">
        <f t="shared" si="234"/>
        <v>0</v>
      </c>
      <c r="S173" s="86">
        <f t="shared" si="232"/>
        <v>0.5</v>
      </c>
      <c r="T173" s="86">
        <f t="shared" si="235"/>
        <v>0.5</v>
      </c>
      <c r="U173" s="30" t="e">
        <f t="shared" ca="1" si="267"/>
        <v>#DIV/0!</v>
      </c>
      <c r="V173" s="85" t="str">
        <f>IF(B173&lt;=Hypothèses!$V$7,Hypothèses!$W$7,IF(B173&lt;=Hypothèses!$V$8,Hypothèses!$W$8,IF(B173&lt;=Hypothèses!$V$9,Hypothèses!$W$9,IF(B173&lt;=Hypothèses!$V$10,Hypothèses!$W$10,IF(B173&lt;=Hypothèses!$V$11,Hypothèses!$W$11,IF(B173&lt;=Hypothèses!$V$12,Hypothèses!$W$12,IF(B173&lt;=Hypothèses!$V$13,Hypothèses!$W$13,IF(B173&lt;=Hypothèses!$V$14,Hypothèses!$W$14,IF(B173&lt;=Hypothèses!$V$15,Hypothèses!$W$15,IF(B173&lt;=Hypothèses!$V$16,Hypothèses!$W$16,IF(B173&lt;=Hypothèses!$V$17,Hypothèses!$W$17,IF(B173&lt;=Hypothèses!$V$18,Hypothèses!$W$18,""))))))))))))</f>
        <v/>
      </c>
      <c r="W173" s="87" t="e">
        <f t="shared" ca="1" si="316"/>
        <v>#DIV/0!</v>
      </c>
      <c r="X173" s="88" t="str">
        <f>IF(B173&lt;=Hypothèses!$V$7,Hypothèses!$X$7,IF(B173&lt;=Hypothèses!$V$8,Hypothèses!$X$8,IF(B173&lt;=Hypothèses!$V$9,Hypothèses!$X$9,IF(B173&lt;=Hypothèses!$V$10,Hypothèses!$X$10,IF(B173&lt;=Hypothèses!$V$11,Hypothèses!$X$11,IF(B173&lt;=Hypothèses!$V$12,Hypothèses!$X$12,IF(B173&lt;=Hypothèses!$V$13,Hypothèses!$X$13,IF(B173&lt;=Hypothèses!$V$14,Hypothèses!$X$14,IF(B173&lt;=Hypothèses!$V$15,Hypothèses!$X$15,IF(B173&lt;=Hypothèses!$V$16,Hypothèses!$X$16,IF(B173&lt;=Hypothèses!$U$17,Hypothèses!$W$17,IF(B173&lt;=Hypothèses!$U$18,Hypothèses!$W$18,""))))))))))))</f>
        <v/>
      </c>
      <c r="Y173" s="95" t="e">
        <f t="shared" ca="1" si="236"/>
        <v>#DIV/0!</v>
      </c>
      <c r="Z173" s="101">
        <f t="shared" si="237"/>
        <v>0</v>
      </c>
      <c r="AA173" s="91">
        <f t="shared" si="238"/>
        <v>0</v>
      </c>
      <c r="AB173" s="30" t="e">
        <f t="shared" si="300"/>
        <v>#N/A</v>
      </c>
      <c r="AC173" s="30" t="e">
        <f t="shared" si="301"/>
        <v>#N/A</v>
      </c>
      <c r="AD173" s="31" t="e">
        <f>IF(OR(Hypothèses!$B$4=17,Hypothèses!$B$4=18,Hypothèses!$B$4=19,Hypothèses!$B$4=20),
IF($D173="Pressio.",
IF(OR($E173=3,$E173=1,$E173=4),AC173,AB173),
IF($D173="Pénétro.",
IF(OR($E173=3,$E173=1,$E173=4),AC173,AB173))),IF($D173="Pressio.",
IF($E173=3,AC173,AB173),
IF($D173="Pénétro.",
IF($E173=4,AC173,AB173))))</f>
        <v>#N/A</v>
      </c>
      <c r="AE173" s="31">
        <v>0</v>
      </c>
      <c r="AF173" s="102" t="e">
        <f>IF(NDC!$H$10="Oui",(VLOOKUP($B$3,'Coeff EC7'!$T$39:$X$59,2,0)*AD173+VLOOKUP($B$3,'Coeff EC7'!$T$65:$X$85,2,0)*Model0.1T!AE173)/1.5,PI()*AB$12*$Q173*($B173-$B172)*0.15/10+AF172)</f>
        <v>#N/A</v>
      </c>
      <c r="AG173" s="102" t="e">
        <f>(VLOOKUP($B$3,'Coeff EC7'!$T$39:$X$59,3,0)*AD173+VLOOKUP($B$3,'Coeff EC7'!$T$65:$X$85,3,0)*Model0.1T!AE173)/1.1</f>
        <v>#N/A</v>
      </c>
      <c r="AH173" s="102" t="e">
        <f t="shared" si="268"/>
        <v>#N/A</v>
      </c>
      <c r="AI173" s="102" t="e">
        <f t="shared" si="269"/>
        <v>#N/A</v>
      </c>
      <c r="AJ173" s="414" t="e">
        <f>IF(AND(AF173&gt;NDC!$C$63,AG173&gt;NDC!$C$65,AH173&gt;NDC!$D$73,AI173&gt;NDC!$D$74,$B173&gt;NDC!$H$22-0.1+MIN(3*$AJ$12,1.5)),0,1)</f>
        <v>#N/A</v>
      </c>
      <c r="AK173" s="86" t="b">
        <f t="shared" si="239"/>
        <v>0</v>
      </c>
      <c r="AL173" s="86">
        <f t="shared" si="270"/>
        <v>0.5</v>
      </c>
      <c r="AM173" s="86">
        <f t="shared" si="240"/>
        <v>0.5</v>
      </c>
      <c r="AN173" s="30" t="e">
        <f t="shared" ca="1" si="271"/>
        <v>#DIV/0!</v>
      </c>
      <c r="AO173" s="85" t="e">
        <f ca="1">IF(U173&lt;=Hypothèses!$V$7,Hypothèses!$W$7,IF(U173&lt;=Hypothèses!$V$8,Hypothèses!$W$8,IF(U173&lt;=Hypothèses!$V$9,Hypothèses!$W$9,IF(U173&lt;=Hypothèses!$V$10,Hypothèses!$W$10,IF(U173&lt;=Hypothèses!$V$11,Hypothèses!$W$11,IF(U173&lt;=Hypothèses!$V$12,Hypothèses!$W$12,IF(U173&lt;=Hypothèses!$V$13,Hypothèses!$W$13,IF(U173&lt;=Hypothèses!$V$14,Hypothèses!$W$14,IF(U173&lt;=Hypothèses!$V$15,Hypothèses!$W$15,IF(U173&lt;=Hypothèses!$V$16,Hypothèses!$W$16,IF(U173&lt;=Hypothèses!$V$17,Hypothèses!$W$17,IF(U173&lt;=Hypothèses!$V$18,Hypothèses!$W$18,""))))))))))))</f>
        <v>#DIV/0!</v>
      </c>
      <c r="AP173" s="87" t="e">
        <f t="shared" ca="1" si="317"/>
        <v>#DIV/0!</v>
      </c>
      <c r="AQ173" s="88" t="e">
        <f ca="1">IF(U173&lt;=Hypothèses!$V$7,Hypothèses!$X$7,IF(U173&lt;=Hypothèses!$V$8,Hypothèses!$X$8,IF(U173&lt;=Hypothèses!$V$9,Hypothèses!$X$9,IF(U173&lt;=Hypothèses!$V$10,Hypothèses!$X$10,IF(U173&lt;=Hypothèses!$V$11,Hypothèses!$X$11,IF(U173&lt;=Hypothèses!$V$12,Hypothèses!$X$12,IF(U173&lt;=Hypothèses!$V$13,Hypothèses!$X$13,IF(U173&lt;=Hypothèses!$V$14,Hypothèses!$X$14,IF(U173&lt;=Hypothèses!$V$15,Hypothèses!$X$15,IF(U173&lt;=Hypothèses!$V$16,Hypothèses!$X$16,IF(U173&lt;=Hypothèses!$U$17,Hypothèses!$W$17,IF(U173&lt;=Hypothèses!$U$18,Hypothèses!$W$18,""))))))))))))</f>
        <v>#DIV/0!</v>
      </c>
      <c r="AR173" s="95" t="e">
        <f t="shared" ca="1" si="272"/>
        <v>#DIV/0!</v>
      </c>
      <c r="AS173" s="101">
        <f t="shared" si="324"/>
        <v>0</v>
      </c>
      <c r="AT173" s="91">
        <f t="shared" si="241"/>
        <v>0</v>
      </c>
      <c r="AU173" s="30" t="e">
        <f t="shared" si="302"/>
        <v>#N/A</v>
      </c>
      <c r="AV173" s="30" t="e">
        <f t="shared" si="303"/>
        <v>#N/A</v>
      </c>
      <c r="AW173" s="31" t="e">
        <f>IF(OR(Hypothèses!$B$4=17,Hypothèses!$B$4=18,Hypothèses!$B$4=19,Hypothèses!$B$4=20),
IF($D173="Pressio.",
IF(OR($E173=3,$E173=1,$E173=4),AV173,AU173),
IF($D173="Pénétro.",
IF(OR($E173=3,$E173=1,$E173=4),AV173,AU173))),IF($D173="Pressio.",
IF($E173=3,AV173,AU173),
IF($D173="Pénétro.",
IF($E173=4,AV173,AU173))))</f>
        <v>#N/A</v>
      </c>
      <c r="AX173" s="31">
        <v>0</v>
      </c>
      <c r="AY173" s="102" t="e">
        <f>IF(NDC!$H$10="Oui",(VLOOKUP($B$3,'Coeff EC7'!$T$39:$X$59,2,0)*AW173+VLOOKUP($B$3,'Coeff EC7'!$T$65:$X$85,2,0)*Model0.1T!AX173)/1.5,PI()*AU$12*$Q173*($B173-$B172)*0.15/10+AY172)</f>
        <v>#N/A</v>
      </c>
      <c r="AZ173" s="102" t="e">
        <f>(VLOOKUP($B$3,'Coeff EC7'!$T$39:$X$59,3,0)*AW173+VLOOKUP($B$3,'Coeff EC7'!$T$65:$X$85,3,0)*Model0.1T!AX173)/1.1</f>
        <v>#N/A</v>
      </c>
      <c r="BA173" s="102" t="e">
        <f t="shared" si="273"/>
        <v>#N/A</v>
      </c>
      <c r="BB173" s="102" t="e">
        <f t="shared" si="274"/>
        <v>#N/A</v>
      </c>
      <c r="BC173" s="414" t="e">
        <f>IF(AND(AY173&gt;NDC!$C$63,AZ173&gt;NDC!$C$65,BA173&gt;NDC!$D$73,BB173&gt;NDC!$D$74,$B173&gt;NDC!$H$22-0.1+MIN(3*BC$12,1.5)),0,1)</f>
        <v>#N/A</v>
      </c>
      <c r="BD173" s="86" t="b">
        <f t="shared" si="242"/>
        <v>0</v>
      </c>
      <c r="BE173" s="86">
        <f t="shared" si="275"/>
        <v>0.5</v>
      </c>
      <c r="BF173" s="86">
        <f t="shared" si="243"/>
        <v>0.5</v>
      </c>
      <c r="BG173" s="30" t="e">
        <f t="shared" ca="1" si="276"/>
        <v>#DIV/0!</v>
      </c>
      <c r="BH173" s="85" t="e">
        <f ca="1">IF(AN173&lt;=Hypothèses!$V$7,Hypothèses!$W$7,IF(AN173&lt;=Hypothèses!$V$8,Hypothèses!$W$8,IF(AN173&lt;=Hypothèses!$V$9,Hypothèses!$W$9,IF(AN173&lt;=Hypothèses!$V$10,Hypothèses!$W$10,IF(AN173&lt;=Hypothèses!$V$11,Hypothèses!$W$11,IF(AN173&lt;=Hypothèses!$V$12,Hypothèses!$W$12,IF(AN173&lt;=Hypothèses!$V$13,Hypothèses!$W$13,IF(AN173&lt;=Hypothèses!$V$14,Hypothèses!$W$14,IF(AN173&lt;=Hypothèses!$V$15,Hypothèses!$W$15,IF(AN173&lt;=Hypothèses!$V$16,Hypothèses!$W$16,IF(AN173&lt;=Hypothèses!$V$17,Hypothèses!$W$17,IF(AN173&lt;=Hypothèses!$V$18,Hypothèses!$W$18,""))))))))))))</f>
        <v>#DIV/0!</v>
      </c>
      <c r="BI173" s="87" t="e">
        <f t="shared" ca="1" si="318"/>
        <v>#DIV/0!</v>
      </c>
      <c r="BJ173" s="88" t="e">
        <f ca="1">IF(AN173&lt;=Hypothèses!$V$7,Hypothèses!$X$7,IF(AN173&lt;=Hypothèses!$V$8,Hypothèses!$X$8,IF(AN173&lt;=Hypothèses!$V$9,Hypothèses!$X$9,IF(AN173&lt;=Hypothèses!$V$10,Hypothèses!$X$10,IF(AN173&lt;=Hypothèses!$V$11,Hypothèses!$X$11,IF(AN173&lt;=Hypothèses!$V$12,Hypothèses!$X$12,IF(AN173&lt;=Hypothèses!$V$13,Hypothèses!$X$13,IF(AN173&lt;=Hypothèses!$V$14,Hypothèses!$X$14,IF(AN173&lt;=Hypothèses!$V$15,Hypothèses!$X$15,IF(AN173&lt;=Hypothèses!$V$16,Hypothèses!$X$16,IF(AN173&lt;=Hypothèses!$U$17,Hypothèses!$W$17,IF(AN173&lt;=Hypothèses!$U$18,Hypothèses!$W$18,""))))))))))))</f>
        <v>#DIV/0!</v>
      </c>
      <c r="BK173" s="95" t="e">
        <f t="shared" ca="1" si="277"/>
        <v>#DIV/0!</v>
      </c>
      <c r="BL173" s="101">
        <f t="shared" si="325"/>
        <v>0</v>
      </c>
      <c r="BM173" s="91">
        <f t="shared" si="244"/>
        <v>0</v>
      </c>
      <c r="BN173" s="30" t="e">
        <f t="shared" si="304"/>
        <v>#N/A</v>
      </c>
      <c r="BO173" s="30" t="e">
        <f t="shared" si="305"/>
        <v>#N/A</v>
      </c>
      <c r="BP173" s="31" t="e">
        <f>IF(OR(Hypothèses!$B$4=17,Hypothèses!$B$4=18,Hypothèses!$B$4=19,Hypothèses!$B$4=20),
IF($D173="Pressio.",
IF(OR($E173=3,$E173=1,$E173=4),BO173,BN173),
IF($D173="Pénétro.",
IF(OR($E173=3,$E173=1,$E173=4),BO173,BN173))),IF($D173="Pressio.",
IF($E173=3,BO173,BN173),
IF($D173="Pénétro.",
IF($E173=4,BO173,BN173))))</f>
        <v>#N/A</v>
      </c>
      <c r="BQ173" s="31">
        <v>0</v>
      </c>
      <c r="BR173" s="102" t="e">
        <f>IF(NDC!$H$10="Oui",(VLOOKUP($B$3,'Coeff EC7'!$T$39:$X$59,2,0)*BP173+VLOOKUP($B$3,'Coeff EC7'!$T$65:$X$85,2,0)*Model0.1T!BQ173)/1.5,PI()*BN$12*$Q173*($B173-$B172)*0.15/10+BR172)</f>
        <v>#N/A</v>
      </c>
      <c r="BS173" s="102" t="e">
        <f>(VLOOKUP($B$3,'Coeff EC7'!$T$39:$X$59,3,0)*BP173+VLOOKUP($B$3,'Coeff EC7'!$T$65:$X$85,3,0)*Model0.1T!BQ173)/1.1</f>
        <v>#N/A</v>
      </c>
      <c r="BT173" s="102" t="e">
        <f t="shared" si="278"/>
        <v>#N/A</v>
      </c>
      <c r="BU173" s="102" t="e">
        <f t="shared" si="279"/>
        <v>#N/A</v>
      </c>
      <c r="BV173" s="414" t="e">
        <f>IF(AND(BR173&gt;NDC!$C$63,BS173&gt;NDC!$C$65,BT173&gt;NDC!$D$73,BU173&gt;NDC!$D$74,$B173&gt;NDC!$H$22-0.1+MIN(3*BV$12,1.5)),0,1)</f>
        <v>#N/A</v>
      </c>
      <c r="BW173" s="86" t="b">
        <f t="shared" si="245"/>
        <v>0</v>
      </c>
      <c r="BX173" s="86">
        <f t="shared" si="246"/>
        <v>0.5</v>
      </c>
      <c r="BY173" s="86">
        <f t="shared" si="247"/>
        <v>0.5</v>
      </c>
      <c r="BZ173" s="30" t="e">
        <f t="shared" ca="1" si="280"/>
        <v>#DIV/0!</v>
      </c>
      <c r="CA173" s="85" t="e">
        <f ca="1">IF(BG173&lt;=Hypothèses!$V$7,Hypothèses!$W$7,IF(BG173&lt;=Hypothèses!$V$8,Hypothèses!$W$8,IF(BG173&lt;=Hypothèses!$V$9,Hypothèses!$W$9,IF(BG173&lt;=Hypothèses!$V$10,Hypothèses!$W$10,IF(BG173&lt;=Hypothèses!$V$11,Hypothèses!$W$11,IF(BG173&lt;=Hypothèses!$V$12,Hypothèses!$W$12,IF(BG173&lt;=Hypothèses!$V$13,Hypothèses!$W$13,IF(BG173&lt;=Hypothèses!$V$14,Hypothèses!$W$14,IF(BG173&lt;=Hypothèses!$V$15,Hypothèses!$W$15,IF(BG173&lt;=Hypothèses!$V$16,Hypothèses!$W$16,IF(BG173&lt;=Hypothèses!$V$17,Hypothèses!$W$17,IF(BG173&lt;=Hypothèses!$V$18,Hypothèses!$W$18,""))))))))))))</f>
        <v>#DIV/0!</v>
      </c>
      <c r="CB173" s="87" t="e">
        <f t="shared" ca="1" si="319"/>
        <v>#DIV/0!</v>
      </c>
      <c r="CC173" s="88" t="e">
        <f ca="1">IF(BG173&lt;=Hypothèses!$V$7,Hypothèses!$X$7,IF(BG173&lt;=Hypothèses!$V$8,Hypothèses!$X$8,IF(BG173&lt;=Hypothèses!$V$9,Hypothèses!$X$9,IF(BG173&lt;=Hypothèses!$V$10,Hypothèses!$X$10,IF(BG173&lt;=Hypothèses!$V$11,Hypothèses!$X$11,IF(BG173&lt;=Hypothèses!$V$12,Hypothèses!$X$12,IF(BG173&lt;=Hypothèses!$V$13,Hypothèses!$X$13,IF(BG173&lt;=Hypothèses!$V$14,Hypothèses!$X$14,IF(BG173&lt;=Hypothèses!$V$15,Hypothèses!$X$15,IF(BG173&lt;=Hypothèses!$V$16,Hypothèses!$X$16,IF(BG173&lt;=Hypothèses!$U$17,Hypothèses!$W$17,IF(BG173&lt;=Hypothèses!$U$18,Hypothèses!$W$18,""))))))))))))</f>
        <v>#DIV/0!</v>
      </c>
      <c r="CD173" s="95" t="e">
        <f t="shared" ca="1" si="281"/>
        <v>#DIV/0!</v>
      </c>
      <c r="CE173" s="101">
        <f t="shared" si="326"/>
        <v>0</v>
      </c>
      <c r="CF173" s="91">
        <f t="shared" si="248"/>
        <v>0</v>
      </c>
      <c r="CG173" s="30" t="e">
        <f t="shared" si="306"/>
        <v>#N/A</v>
      </c>
      <c r="CH173" s="30" t="e">
        <f t="shared" si="307"/>
        <v>#N/A</v>
      </c>
      <c r="CI173" s="31" t="e">
        <f>IF(OR(Hypothèses!$B$4=17,Hypothèses!$B$4=18,Hypothèses!$B$4=19,Hypothèses!$B$4=20),
IF($D173="Pressio.",
IF(OR($E173=3,$E173=1,$E173=4),CH173,CG173),
IF($D173="Pénétro.",
IF(OR($E173=3,$E173=1,$E173=4),CH173,CG173))),IF($D173="Pressio.",
IF($E173=3,CH173,CG173),
IF($D173="Pénétro.",
IF($E173=4,CH173,CG173))))</f>
        <v>#N/A</v>
      </c>
      <c r="CJ173" s="31">
        <v>0</v>
      </c>
      <c r="CK173" s="102" t="e">
        <f>IF(NDC!$H$10="Oui",(VLOOKUP($B$3,'Coeff EC7'!$T$39:$X$59,2,0)*CI173+VLOOKUP($B$3,'Coeff EC7'!$T$65:$X$85,2,0)*Model0.1T!CJ173)/1.5,PI()*CG$12*$Q173*($B173-$B172)*0.15/10+CK172)</f>
        <v>#N/A</v>
      </c>
      <c r="CL173" s="102" t="e">
        <f>(VLOOKUP($B$3,'Coeff EC7'!$T$39:$X$59,3,0)*CI173+VLOOKUP($B$3,'Coeff EC7'!$T$65:$X$85,3,0)*Model0.1T!CJ173)/1.1</f>
        <v>#N/A</v>
      </c>
      <c r="CM173" s="102" t="e">
        <f t="shared" si="282"/>
        <v>#N/A</v>
      </c>
      <c r="CN173" s="102" t="e">
        <f t="shared" si="283"/>
        <v>#N/A</v>
      </c>
      <c r="CO173" s="414" t="e">
        <f>IF(AND(CK173&gt;NDC!$C$63,CL173&gt;NDC!$C$65,CM173&gt;NDC!$D$73,CN173&gt;NDC!$D$74,$B173&gt;NDC!$H$22-0.1+MIN(3*CO$12,1.5)),0,1)</f>
        <v>#N/A</v>
      </c>
      <c r="CP173" s="86" t="b">
        <f t="shared" si="249"/>
        <v>0</v>
      </c>
      <c r="CQ173" s="86">
        <f t="shared" si="250"/>
        <v>0.5</v>
      </c>
      <c r="CR173" s="86">
        <f t="shared" si="251"/>
        <v>0.5</v>
      </c>
      <c r="CS173" s="30" t="e">
        <f t="shared" ca="1" si="284"/>
        <v>#DIV/0!</v>
      </c>
      <c r="CT173" s="85" t="e">
        <f ca="1">IF(BZ173&lt;=Hypothèses!$V$7,Hypothèses!$W$7,IF(BZ173&lt;=Hypothèses!$V$8,Hypothèses!$W$8,IF(BZ173&lt;=Hypothèses!$V$9,Hypothèses!$W$9,IF(BZ173&lt;=Hypothèses!$V$10,Hypothèses!$W$10,IF(BZ173&lt;=Hypothèses!$V$11,Hypothèses!$W$11,IF(BZ173&lt;=Hypothèses!$V$12,Hypothèses!$W$12,IF(BZ173&lt;=Hypothèses!$V$13,Hypothèses!$W$13,IF(BZ173&lt;=Hypothèses!$V$14,Hypothèses!$W$14,IF(BZ173&lt;=Hypothèses!$V$15,Hypothèses!$W$15,IF(BZ173&lt;=Hypothèses!$V$16,Hypothèses!$W$16,IF(BZ173&lt;=Hypothèses!$V$17,Hypothèses!$W$17,IF(BZ173&lt;=Hypothèses!$V$18,Hypothèses!$W$18,""))))))))))))</f>
        <v>#DIV/0!</v>
      </c>
      <c r="CU173" s="87" t="e">
        <f t="shared" ca="1" si="320"/>
        <v>#DIV/0!</v>
      </c>
      <c r="CV173" s="88" t="e">
        <f ca="1">IF(BZ173&lt;=Hypothèses!$V$7,Hypothèses!$X$7,IF(BZ173&lt;=Hypothèses!$V$8,Hypothèses!$X$8,IF(BZ173&lt;=Hypothèses!$V$9,Hypothèses!$X$9,IF(BZ173&lt;=Hypothèses!$V$10,Hypothèses!$X$10,IF(BZ173&lt;=Hypothèses!$V$11,Hypothèses!$X$11,IF(BZ173&lt;=Hypothèses!$V$12,Hypothèses!$X$12,IF(BZ173&lt;=Hypothèses!$V$13,Hypothèses!$X$13,IF(BZ173&lt;=Hypothèses!$V$14,Hypothèses!$X$14,IF(BZ173&lt;=Hypothèses!$V$15,Hypothèses!$X$15,IF(BZ173&lt;=Hypothèses!$V$16,Hypothèses!$X$16,IF(BZ173&lt;=Hypothèses!$U$17,Hypothèses!$W$17,IF(BZ173&lt;=Hypothèses!$U$18,Hypothèses!$W$18,""))))))))))))</f>
        <v>#DIV/0!</v>
      </c>
      <c r="CW173" s="95" t="e">
        <f t="shared" ca="1" si="285"/>
        <v>#DIV/0!</v>
      </c>
      <c r="CX173" s="101">
        <f t="shared" si="327"/>
        <v>0</v>
      </c>
      <c r="CY173" s="91">
        <f t="shared" si="252"/>
        <v>0</v>
      </c>
      <c r="CZ173" s="30" t="e">
        <f t="shared" si="308"/>
        <v>#N/A</v>
      </c>
      <c r="DA173" s="30" t="e">
        <f t="shared" si="309"/>
        <v>#N/A</v>
      </c>
      <c r="DB173" s="31" t="e">
        <f>IF(OR(Hypothèses!$B$4=17,Hypothèses!$B$4=18,Hypothèses!$B$4=19,Hypothèses!$B$4=20),
IF($D173="Pressio.",
IF(OR($E173=3,$E173=1,$E173=4),DA173,CZ173),
IF($D173="Pénétro.",
IF(OR($E173=3,$E173=1,$E173=4),DA173,CZ173))),IF($D173="Pressio.",
IF($E173=3,DA173,CZ173),
IF($D173="Pénétro.",
IF($E173=4,DA173,CZ173))))</f>
        <v>#N/A</v>
      </c>
      <c r="DC173" s="31">
        <v>0</v>
      </c>
      <c r="DD173" s="102" t="e">
        <f>IF(NDC!$H$10="Oui",(VLOOKUP($B$3,'Coeff EC7'!$T$39:$X$59,2,0)*DB173+VLOOKUP($B$3,'Coeff EC7'!$T$65:$X$85,2,0)*Model0.1T!DC173)/1.5,PI()*CZ$12*$Q173*($B173-$B172)*0.15/10+DD172)</f>
        <v>#N/A</v>
      </c>
      <c r="DE173" s="102" t="e">
        <f>(VLOOKUP($B$3,'Coeff EC7'!$T$39:$X$59,3,0)*DB173+VLOOKUP($B$3,'Coeff EC7'!$T$65:$X$85,3,0)*Model0.1T!DC173)/1.1</f>
        <v>#N/A</v>
      </c>
      <c r="DF173" s="102" t="e">
        <f t="shared" si="286"/>
        <v>#N/A</v>
      </c>
      <c r="DG173" s="102" t="e">
        <f t="shared" si="287"/>
        <v>#N/A</v>
      </c>
      <c r="DH173" s="414" t="e">
        <f>IF(AND(DD173&gt;NDC!$C$63,DE173&gt;NDC!$C$65,DF173&gt;NDC!$D$73,DG173&gt;NDC!$D$74,$B173&gt;NDC!$H$22-0.1+MIN(3*DH$12,1.5)),0,1)</f>
        <v>#N/A</v>
      </c>
      <c r="DI173" s="86" t="b">
        <f t="shared" si="253"/>
        <v>0</v>
      </c>
      <c r="DJ173" s="86">
        <f t="shared" si="254"/>
        <v>0.5</v>
      </c>
      <c r="DK173" s="86">
        <f t="shared" si="255"/>
        <v>0.5</v>
      </c>
      <c r="DL173" s="30" t="e">
        <f t="shared" ca="1" si="288"/>
        <v>#DIV/0!</v>
      </c>
      <c r="DM173" s="85" t="e">
        <f ca="1">IF(CS173&lt;=Hypothèses!$V$7,Hypothèses!$W$7,IF(CS173&lt;=Hypothèses!$V$8,Hypothèses!$W$8,IF(CS173&lt;=Hypothèses!$V$9,Hypothèses!$W$9,IF(CS173&lt;=Hypothèses!$V$10,Hypothèses!$W$10,IF(CS173&lt;=Hypothèses!$V$11,Hypothèses!$W$11,IF(CS173&lt;=Hypothèses!$V$12,Hypothèses!$W$12,IF(CS173&lt;=Hypothèses!$V$13,Hypothèses!$W$13,IF(CS173&lt;=Hypothèses!$V$14,Hypothèses!$W$14,IF(CS173&lt;=Hypothèses!$V$15,Hypothèses!$W$15,IF(CS173&lt;=Hypothèses!$V$16,Hypothèses!$W$16,IF(CS173&lt;=Hypothèses!$V$17,Hypothèses!$W$17,IF(CS173&lt;=Hypothèses!$V$18,Hypothèses!$W$18,""))))))))))))</f>
        <v>#DIV/0!</v>
      </c>
      <c r="DN173" s="87" t="e">
        <f t="shared" ca="1" si="321"/>
        <v>#DIV/0!</v>
      </c>
      <c r="DO173" s="88" t="e">
        <f ca="1">IF(CS173&lt;=Hypothèses!$V$7,Hypothèses!$X$7,IF(CS173&lt;=Hypothèses!$V$8,Hypothèses!$X$8,IF(CS173&lt;=Hypothèses!$V$9,Hypothèses!$X$9,IF(CS173&lt;=Hypothèses!$V$10,Hypothèses!$X$10,IF(CS173&lt;=Hypothèses!$V$11,Hypothèses!$X$11,IF(CS173&lt;=Hypothèses!$V$12,Hypothèses!$X$12,IF(CS173&lt;=Hypothèses!$V$13,Hypothèses!$X$13,IF(CS173&lt;=Hypothèses!$V$14,Hypothèses!$X$14,IF(CS173&lt;=Hypothèses!$V$15,Hypothèses!$X$15,IF(CS173&lt;=Hypothèses!$V$16,Hypothèses!$X$16,IF(CS173&lt;=Hypothèses!$U$17,Hypothèses!$W$17,IF(CS173&lt;=Hypothèses!$U$18,Hypothèses!$W$18,""))))))))))))</f>
        <v>#DIV/0!</v>
      </c>
      <c r="DP173" s="95" t="e">
        <f t="shared" ca="1" si="289"/>
        <v>#DIV/0!</v>
      </c>
      <c r="DQ173" s="101">
        <f t="shared" si="328"/>
        <v>0</v>
      </c>
      <c r="DR173" s="91">
        <f t="shared" si="256"/>
        <v>0</v>
      </c>
      <c r="DS173" s="30" t="e">
        <f t="shared" si="310"/>
        <v>#N/A</v>
      </c>
      <c r="DT173" s="30" t="e">
        <f t="shared" si="311"/>
        <v>#N/A</v>
      </c>
      <c r="DU173" s="31" t="e">
        <f>IF(OR(Hypothèses!$B$4=17,Hypothèses!$B$4=18,Hypothèses!$B$4=19,Hypothèses!$B$4=20),
IF($D173="Pressio.",
IF(OR($E173=3,$E173=1,$E173=4),DT173,DS173),
IF($D173="Pénétro.",
IF(OR($E173=3,$E173=1,$E173=4),DT173,DS173))),IF($D173="Pressio.",
IF($E173=3,DT173,DS173),
IF($D173="Pénétro.",
IF($E173=4,DT173,DS173))))</f>
        <v>#N/A</v>
      </c>
      <c r="DV173" s="31">
        <v>0</v>
      </c>
      <c r="DW173" s="102" t="e">
        <f>IF(NDC!$H$10="Oui",(VLOOKUP($B$3,'Coeff EC7'!$T$39:$X$59,2,0)*DU173+VLOOKUP($B$3,'Coeff EC7'!$T$65:$X$85,2,0)*Model0.1T!DV173)/1.5,PI()*DS$12*$Q173*($B173-$B172)*0.15/10+DW172)</f>
        <v>#N/A</v>
      </c>
      <c r="DX173" s="102" t="e">
        <f>(VLOOKUP($B$3,'Coeff EC7'!$T$39:$X$59,3,0)*DU173+VLOOKUP($B$3,'Coeff EC7'!$T$65:$X$85,3,0)*Model0.1T!DV173)/1.1</f>
        <v>#N/A</v>
      </c>
      <c r="DY173" s="102" t="e">
        <f t="shared" si="290"/>
        <v>#N/A</v>
      </c>
      <c r="DZ173" s="102" t="e">
        <f t="shared" si="291"/>
        <v>#N/A</v>
      </c>
      <c r="EA173" s="414" t="e">
        <f>IF(AND(DW173&gt;NDC!$C$63,DX173&gt;NDC!$C$65,DY173&gt;NDC!$D$73,DZ173&gt;NDC!$D$74,$B173&gt;NDC!$H$22-0.1+MIN(3*EA$12,1.5)),0,1)</f>
        <v>#N/A</v>
      </c>
      <c r="EB173" s="86" t="b">
        <f t="shared" si="257"/>
        <v>0</v>
      </c>
      <c r="EC173" s="418">
        <f t="shared" si="258"/>
        <v>0.51</v>
      </c>
      <c r="ED173" s="86">
        <f t="shared" si="259"/>
        <v>0.51</v>
      </c>
      <c r="EE173" s="30" t="e">
        <f t="shared" ca="1" si="292"/>
        <v>#DIV/0!</v>
      </c>
      <c r="EF173" s="85" t="e">
        <f ca="1">IF(DL173&lt;=Hypothèses!$V$7,Hypothèses!$W$7,IF(DL173&lt;=Hypothèses!$V$8,Hypothèses!$W$8,IF(DL173&lt;=Hypothèses!$V$9,Hypothèses!$W$9,IF(DL173&lt;=Hypothèses!$V$10,Hypothèses!$W$10,IF(DL173&lt;=Hypothèses!$V$11,Hypothèses!$W$11,IF(DL173&lt;=Hypothèses!$V$12,Hypothèses!$W$12,IF(DL173&lt;=Hypothèses!$V$13,Hypothèses!$W$13,IF(DL173&lt;=Hypothèses!$V$14,Hypothèses!$W$14,IF(DL173&lt;=Hypothèses!$V$15,Hypothèses!$W$15,IF(DL173&lt;=Hypothèses!$V$16,Hypothèses!$W$16,IF(DL173&lt;=Hypothèses!$V$17,Hypothèses!$W$17,IF(DL173&lt;=Hypothèses!$V$18,Hypothèses!$W$18,""))))))))))))</f>
        <v>#DIV/0!</v>
      </c>
      <c r="EG173" s="87" t="e">
        <f t="shared" ca="1" si="322"/>
        <v>#DIV/0!</v>
      </c>
      <c r="EH173" s="88" t="e">
        <f ca="1">IF(DL173&lt;=Hypothèses!$V$7,Hypothèses!$X$7,IF(DL173&lt;=Hypothèses!$V$8,Hypothèses!$X$8,IF(DL173&lt;=Hypothèses!$V$9,Hypothèses!$X$9,IF(DL173&lt;=Hypothèses!$V$10,Hypothèses!$X$10,IF(DL173&lt;=Hypothèses!$V$11,Hypothèses!$X$11,IF(DL173&lt;=Hypothèses!$V$12,Hypothèses!$X$12,IF(DL173&lt;=Hypothèses!$V$13,Hypothèses!$X$13,IF(DL173&lt;=Hypothèses!$V$14,Hypothèses!$X$14,IF(DL173&lt;=Hypothèses!$V$15,Hypothèses!$X$15,IF(DL173&lt;=Hypothèses!$V$16,Hypothèses!$X$16,IF(DL173&lt;=Hypothèses!$U$17,Hypothèses!$W$17,IF(DL173&lt;=Hypothèses!$U$18,Hypothèses!$W$18,""))))))))))))</f>
        <v>#DIV/0!</v>
      </c>
      <c r="EI173" s="95" t="e">
        <f t="shared" ca="1" si="293"/>
        <v>#DIV/0!</v>
      </c>
      <c r="EJ173" s="101">
        <f t="shared" si="329"/>
        <v>0</v>
      </c>
      <c r="EK173" s="91">
        <f t="shared" si="260"/>
        <v>0</v>
      </c>
      <c r="EL173" s="30" t="e">
        <f t="shared" si="312"/>
        <v>#N/A</v>
      </c>
      <c r="EM173" s="30" t="e">
        <f t="shared" si="313"/>
        <v>#N/A</v>
      </c>
      <c r="EN173" s="31" t="e">
        <f>IF(OR(Hypothèses!$B$4=17,Hypothèses!$B$4=18,Hypothèses!$B$4=19,Hypothèses!$B$4=20),
IF($D173="Pressio.",
IF(OR($E173=3,$E173=1,$E173=4),EM173,EL173),
IF($D173="Pénétro.",
IF(OR($E173=3,$E173=1,$E173=4),EM173,EL173))),IF($D173="Pressio.",
IF($E173=3,EM173,EL173),
IF($D173="Pénétro.",
IF($E173=4,EM173,EL173))))</f>
        <v>#N/A</v>
      </c>
      <c r="EO173" s="31">
        <v>0</v>
      </c>
      <c r="EP173" s="102" t="e">
        <f>IF(NDC!$H$10="Oui",(VLOOKUP($B$3,'Coeff EC7'!$T$39:$X$59,2,0)*EN173+VLOOKUP($B$3,'Coeff EC7'!$T$65:$X$85,2,0)*Model0.1T!EO173)/1.5,PI()*EL$12*$Q173*($B173-$B172)*0.15/10+EP172)</f>
        <v>#N/A</v>
      </c>
      <c r="EQ173" s="102" t="e">
        <f>(VLOOKUP($B$3,'Coeff EC7'!$T$39:$X$59,3,0)*EN173+VLOOKUP($B$3,'Coeff EC7'!$T$65:$X$85,3,0)*Model0.1T!EO173)/1.1</f>
        <v>#N/A</v>
      </c>
      <c r="ER173" s="102" t="e">
        <f t="shared" si="294"/>
        <v>#N/A</v>
      </c>
      <c r="ES173" s="102" t="e">
        <f t="shared" si="295"/>
        <v>#N/A</v>
      </c>
      <c r="ET173" s="414" t="e">
        <f>IF(AND(EP173&gt;NDC!$C$63,EQ173&gt;NDC!$C$65,ER173&gt;NDC!$D$73,ES173&gt;NDC!$D$74,$B173&gt;NDC!$H$22-0.1+MIN(3*ET$12,1.5)),0,1)</f>
        <v>#N/A</v>
      </c>
      <c r="EU173" s="86" t="b">
        <f t="shared" si="261"/>
        <v>0</v>
      </c>
      <c r="EV173" s="86">
        <f t="shared" si="262"/>
        <v>0.61</v>
      </c>
      <c r="EW173" s="86">
        <f t="shared" si="263"/>
        <v>0.61</v>
      </c>
      <c r="EX173" s="30" t="e">
        <f t="shared" ca="1" si="296"/>
        <v>#DIV/0!</v>
      </c>
      <c r="EY173" s="85" t="e">
        <f ca="1">IF(EE173&lt;=Hypothèses!$V$7,Hypothèses!$W$7,IF(EE173&lt;=Hypothèses!$V$8,Hypothèses!$W$8,IF(EE173&lt;=Hypothèses!$V$9,Hypothèses!$W$9,IF(EE173&lt;=Hypothèses!$V$10,Hypothèses!$W$10,IF(EE173&lt;=Hypothèses!$V$11,Hypothèses!$W$11,IF(EE173&lt;=Hypothèses!$V$12,Hypothèses!$W$12,IF(EE173&lt;=Hypothèses!$V$13,Hypothèses!$W$13,IF(EE173&lt;=Hypothèses!$V$14,Hypothèses!$W$14,IF(EE173&lt;=Hypothèses!$V$15,Hypothèses!$W$15,IF(EE173&lt;=Hypothèses!$V$16,Hypothèses!$W$16,IF(EE173&lt;=Hypothèses!$V$17,Hypothèses!$W$17,IF(EE173&lt;=Hypothèses!$V$18,Hypothèses!$W$18,""))))))))))))</f>
        <v>#DIV/0!</v>
      </c>
      <c r="EZ173" s="87" t="e">
        <f t="shared" ca="1" si="323"/>
        <v>#DIV/0!</v>
      </c>
      <c r="FA173" s="88" t="e">
        <f ca="1">IF(EE173&lt;=Hypothèses!$V$7,Hypothèses!$X$7,IF(EE173&lt;=Hypothèses!$V$8,Hypothèses!$X$8,IF(EE173&lt;=Hypothèses!$V$9,Hypothèses!$X$9,IF(EE173&lt;=Hypothèses!$V$10,Hypothèses!$X$10,IF(EE173&lt;=Hypothèses!$V$11,Hypothèses!$X$11,IF(EE173&lt;=Hypothèses!$V$12,Hypothèses!$X$12,IF(EE173&lt;=Hypothèses!$V$13,Hypothèses!$X$13,IF(EE173&lt;=Hypothèses!$V$14,Hypothèses!$X$14,IF(EE173&lt;=Hypothèses!$V$15,Hypothèses!$X$15,IF(EE173&lt;=Hypothèses!$V$16,Hypothèses!$X$16,IF(EE173&lt;=Hypothèses!$U$17,Hypothèses!$W$17,IF(EE173&lt;=Hypothèses!$U$18,Hypothèses!$W$18,""))))))))))))</f>
        <v>#DIV/0!</v>
      </c>
      <c r="FB173" s="95" t="e">
        <f t="shared" ca="1" si="297"/>
        <v>#DIV/0!</v>
      </c>
      <c r="FC173" s="101">
        <f t="shared" si="330"/>
        <v>0</v>
      </c>
      <c r="FD173" s="91">
        <f t="shared" si="264"/>
        <v>0</v>
      </c>
      <c r="FE173" s="30" t="e">
        <f t="shared" si="314"/>
        <v>#N/A</v>
      </c>
      <c r="FF173" s="30" t="e">
        <f t="shared" si="315"/>
        <v>#N/A</v>
      </c>
      <c r="FG173" s="31" t="e">
        <f>IF(OR(Hypothèses!$B$4=17,Hypothèses!$B$4=18,Hypothèses!$B$4=19,Hypothèses!$B$4=20),
IF($D173="Pressio.",
IF(OR($E173=3,$E173=1,$E173=4),FF173,FE173),
IF($D173="Pénétro.",
IF(OR($E173=3,$E173=1,$E173=4),FF173,FE173))),IF($D173="Pressio.",
IF($E173=3,FF173,FE173),
IF($D173="Pénétro.",
IF($E173=4,FF173,FE173))))</f>
        <v>#N/A</v>
      </c>
      <c r="FH173" s="31">
        <v>0</v>
      </c>
      <c r="FI173" s="102" t="e">
        <f>IF(NDC!$H$10="Oui",(VLOOKUP($B$3,'Coeff EC7'!$T$39:$X$59,2,0)*FG173+VLOOKUP($B$3,'Coeff EC7'!$T$65:$X$85,2,0)*Model0.1T!FH173)/1.5,PI()*FE$12*$Q173*($B173-$B172)*0.15/10+FI172)</f>
        <v>#N/A</v>
      </c>
      <c r="FJ173" s="102" t="e">
        <f>(VLOOKUP($B$3,'Coeff EC7'!$T$39:$X$59,3,0)*FG173+VLOOKUP($B$3,'Coeff EC7'!$T$65:$X$85,3,0)*Model0.1T!FH173)/1.1</f>
        <v>#N/A</v>
      </c>
      <c r="FK173" s="102" t="e">
        <f t="shared" si="298"/>
        <v>#N/A</v>
      </c>
      <c r="FL173" s="102" t="e">
        <f t="shared" si="299"/>
        <v>#N/A</v>
      </c>
      <c r="FM173" s="414" t="e">
        <f>IF(AND(FI173&gt;NDC!$C$63,FJ173&gt;NDC!$C$65,FK173&gt;NDC!$D$73,FL173&gt;NDC!$D$74,$B173&gt;NDC!$H$22-0.1+MIN(3*FM$12,1.5)),0,1)</f>
        <v>#N/A</v>
      </c>
    </row>
    <row r="174" spans="1:169">
      <c r="A174" s="96">
        <f t="shared" si="265"/>
        <v>83.900000000000915</v>
      </c>
      <c r="B174" s="97">
        <v>16.100000000000001</v>
      </c>
      <c r="C174" s="81">
        <f>IF(B174&lt;=Hypothèses!$C$7,Hypothèses!$A$7,IF(B174&lt;=Hypothèses!$C$8,Hypothèses!$A$8,IF(B174&lt;=Hypothèses!$C$9,Hypothèses!$A$9,IF(B174&lt;=Hypothèses!$C$10,Hypothèses!$A$10,IF(B174&lt;=Hypothèses!$C$11,Hypothèses!$A$11,IF(B174&lt;=Hypothèses!$C$12,Hypothèses!$A$12,IF(B174&lt;=Hypothèses!$C$13,Hypothèses!$A$13,IF(B174&lt;=Hypothèses!$C$14,Hypothèses!$A$14,IF(B174&lt;=Hypothèses!$C$15,Hypothèses!$A$15,IF(B174&lt;=Hypothèses!$C$16,Hypothèses!$A$16,IF(B174&lt;=Hypothèses!$C$17,Hypothèses!$A$17,IF(B174&lt;=Hypothèses!$C$18,Hypothèses!$A$18,C173))))))))))))</f>
        <v>11</v>
      </c>
      <c r="D174" s="82" t="str">
        <f>IF(B174&lt;=Hypothèses!$C$7,Hypothèses!$R$7,IF(B174&lt;=Hypothèses!$C$8,Hypothèses!$R$8,IF(B174&lt;=Hypothèses!$C$9,Hypothèses!$R$9,IF(B174&lt;=Hypothèses!$C$10,Hypothèses!$R$10,IF(B174&lt;=Hypothèses!$C$11,Hypothèses!$R$11,IF(B174&lt;=Hypothèses!$C$12,Hypothèses!$R$12,IF(B174&lt;=Hypothèses!$C$13,Hypothèses!$R$13,IF(B174&lt;=Hypothèses!$C$14,Hypothèses!$R$14,IF(B174&lt;=Hypothèses!$C$15,Hypothèses!$R$15,IF(B174&lt;=Hypothèses!$C$16,Hypothèses!$R$16,IF(B174&lt;=Hypothèses!$C$17,Hypothèses!$R$17,IF(B174&lt;=Hypothèses!$C$18,Hypothèses!$R$18,D173))))))))))))</f>
        <v>Pressio.</v>
      </c>
      <c r="E174" s="82" t="e">
        <f>IF(B174&lt;=Hypothèses!$C$7,Hypothèses!$G$7,IF(B174&lt;=Hypothèses!$C$8,Hypothèses!$G$8,IF(B174&lt;=Hypothèses!$C$9,Hypothèses!$G$9,IF(B174&lt;=Hypothèses!$C$10,Hypothèses!$G$10,IF(B174&lt;=Hypothèses!$C$11,Hypothèses!$G$11,IF(B174&lt;=Hypothèses!$C$12,Hypothèses!$G$12,IF(B174&lt;=Hypothèses!$C$13,Hypothèses!$G$13,IF(B174&lt;=Hypothèses!$C$14,Hypothèses!$G$14,IF(B174&lt;=Hypothèses!$C$15,Hypothèses!$G$15,IF(B174&lt;=Hypothèses!$C$16,Hypothèses!$G$16,IF(B174&lt;=Hypothèses!$C$17,Hypothèses!$G$17,IF(B174&lt;=Hypothèses!$C$18,Hypothèses!$G$18,E173))))))))))))</f>
        <v>#N/A</v>
      </c>
      <c r="F174" s="82" t="str">
        <f>IF(B174&lt;=Hypothèses!$C$7,Hypothèses!$F$7,IF(B174&lt;=Hypothèses!$C$8,Hypothèses!$F$8,IF(B174&lt;=Hypothèses!$C$9,Hypothèses!$F$9,IF(B174&lt;=Hypothèses!$C$10,Hypothèses!$F$10,IF(B174&lt;=Hypothèses!$C$11,Hypothèses!$F$11,IF(B174&lt;=Hypothèses!$C$12,Hypothèses!$F$12,IF(B174&lt;=Hypothèses!$C$13,Hypothèses!$F$13,IF(B174&lt;=Hypothèses!$C$14,Hypothèses!$F$14,IF(B174&lt;=Hypothèses!$C$15,Hypothèses!$F$15,IF(B174&lt;=Hypothèses!$C$16,Hypothèses!$F$16,IF(B174&lt;=Hypothèses!$C$17,Hypothèses!$F$17,IF(B174&lt;=Hypothèses!$C$18,Hypothèses!$F$18,F173))))))))))))</f>
        <v/>
      </c>
      <c r="G174" s="91">
        <f t="array" ref="G174">INDEX('Coeff EC7'!$U$7:$X$27,
MATCH(Model0.1T!$B$3,'Coeff EC7'!$T$7:$T$27,0),
MATCH(Model0.1T!$D174&amp;Model0.1T!$B$4,
'Coeff EC7'!$U$6:$X$6&amp;
'Coeff EC7'!$U$5:$X$5,0))</f>
        <v>1.4</v>
      </c>
      <c r="H174" s="91">
        <f t="array" ref="H174">INDEX('Coeff EC7'!$Y$7:$AB$27,
MATCH(Model0.1T!$B$3,'Coeff EC7'!$T$7:$T$27,0),
MATCH(Model0.1T!$D174&amp;Model0.1T!$B$4,
'Coeff EC7'!$Y$6:$AB$6&amp;
'Coeff EC7'!$Y$5:$AB$5,0))</f>
        <v>1.7</v>
      </c>
      <c r="I174" s="83">
        <v>0</v>
      </c>
      <c r="J174" s="91" t="e">
        <f t="array" ref="J174">INDEX('Coeff EC7'!$D$33:$Q$33,1,MATCH(D174&amp;E174,'Coeff EC7'!$D$31:$Q$31&amp;'Coeff EC7'!$D$32:$Q$32,0))</f>
        <v>#N/A</v>
      </c>
      <c r="K174" s="91" t="e">
        <f t="array" ref="K174">INDEX('Coeff EC7'!$D$34:$Q$34,1,MATCH(D174&amp;E174,'Coeff EC7'!$D$31:$Q$31&amp;'Coeff EC7'!$D$32:$Q$32,0))</f>
        <v>#N/A</v>
      </c>
      <c r="L174" s="91" t="e">
        <f t="array" ref="L174">INDEX('Coeff EC7'!$D$35:$Q$35,1,MATCH(D174&amp;E174,'Coeff EC7'!$D$31:$Q$31&amp;'Coeff EC7'!$D$32:$Q$32,0))</f>
        <v>#N/A</v>
      </c>
      <c r="M174" s="98" t="e">
        <f t="shared" si="231"/>
        <v>#N/A</v>
      </c>
      <c r="N174" s="99" t="e">
        <f t="array" ref="N174">INDEX('Coeff EC7'!$D$7:$Q$27,MATCH($B$3,'Coeff EC7'!$C$7:$C$27,0),MATCH(D174&amp;E174,'Coeff EC7'!$D$5:$Q$5&amp;'Coeff EC7'!$D$6:$Q$6,0))</f>
        <v>#N/A</v>
      </c>
      <c r="O174" s="99" t="e">
        <f t="array" ref="O174">INDEX('Coeff EC7'!$D$41:$Q$61,MATCH($B$3,'Coeff EC7'!$C$41:$C$61,0),MATCH(D174&amp;E174,'Coeff EC7'!$D$39:$Q$39&amp;'Coeff EC7'!$D$40:$Q$40,0))</f>
        <v>#N/A</v>
      </c>
      <c r="P174" s="30" t="e">
        <f t="shared" si="266"/>
        <v>#N/A</v>
      </c>
      <c r="Q174" s="100" t="e">
        <f t="shared" si="233"/>
        <v>#N/A</v>
      </c>
      <c r="R174" s="86" t="b">
        <f t="shared" si="234"/>
        <v>0</v>
      </c>
      <c r="S174" s="86">
        <f t="shared" si="232"/>
        <v>0.5</v>
      </c>
      <c r="T174" s="86">
        <f t="shared" si="235"/>
        <v>0.5</v>
      </c>
      <c r="U174" s="30" t="e">
        <f t="shared" ca="1" si="267"/>
        <v>#DIV/0!</v>
      </c>
      <c r="V174" s="85" t="str">
        <f>IF(B174&lt;=Hypothèses!$V$7,Hypothèses!$W$7,IF(B174&lt;=Hypothèses!$V$8,Hypothèses!$W$8,IF(B174&lt;=Hypothèses!$V$9,Hypothèses!$W$9,IF(B174&lt;=Hypothèses!$V$10,Hypothèses!$W$10,IF(B174&lt;=Hypothèses!$V$11,Hypothèses!$W$11,IF(B174&lt;=Hypothèses!$V$12,Hypothèses!$W$12,IF(B174&lt;=Hypothèses!$V$13,Hypothèses!$W$13,IF(B174&lt;=Hypothèses!$V$14,Hypothèses!$W$14,IF(B174&lt;=Hypothèses!$V$15,Hypothèses!$W$15,IF(B174&lt;=Hypothèses!$V$16,Hypothèses!$W$16,IF(B174&lt;=Hypothèses!$V$17,Hypothèses!$W$17,IF(B174&lt;=Hypothèses!$V$18,Hypothèses!$W$18,""))))))))))))</f>
        <v/>
      </c>
      <c r="W174" s="87" t="e">
        <f t="shared" ca="1" si="316"/>
        <v>#DIV/0!</v>
      </c>
      <c r="X174" s="88" t="str">
        <f>IF(B174&lt;=Hypothèses!$V$7,Hypothèses!$X$7,IF(B174&lt;=Hypothèses!$V$8,Hypothèses!$X$8,IF(B174&lt;=Hypothèses!$V$9,Hypothèses!$X$9,IF(B174&lt;=Hypothèses!$V$10,Hypothèses!$X$10,IF(B174&lt;=Hypothèses!$V$11,Hypothèses!$X$11,IF(B174&lt;=Hypothèses!$V$12,Hypothèses!$X$12,IF(B174&lt;=Hypothèses!$V$13,Hypothèses!$X$13,IF(B174&lt;=Hypothèses!$V$14,Hypothèses!$X$14,IF(B174&lt;=Hypothèses!$V$15,Hypothèses!$X$15,IF(B174&lt;=Hypothèses!$V$16,Hypothèses!$X$16,IF(B174&lt;=Hypothèses!$U$17,Hypothèses!$W$17,IF(B174&lt;=Hypothèses!$U$18,Hypothèses!$W$18,""))))))))))))</f>
        <v/>
      </c>
      <c r="Y174" s="95" t="e">
        <f t="shared" ca="1" si="236"/>
        <v>#DIV/0!</v>
      </c>
      <c r="Z174" s="101">
        <f t="shared" si="237"/>
        <v>0</v>
      </c>
      <c r="AA174" s="91">
        <f t="shared" si="238"/>
        <v>0</v>
      </c>
      <c r="AB174" s="30" t="e">
        <f t="shared" si="300"/>
        <v>#N/A</v>
      </c>
      <c r="AC174" s="30" t="e">
        <f t="shared" si="301"/>
        <v>#N/A</v>
      </c>
      <c r="AD174" s="31" t="e">
        <f>IF(OR(Hypothèses!$B$4=17,Hypothèses!$B$4=18,Hypothèses!$B$4=19,Hypothèses!$B$4=20),
IF($D174="Pressio.",
IF(OR($E174=3,$E174=1,$E174=4),AC174,AB174),
IF($D174="Pénétro.",
IF(OR($E174=3,$E174=1,$E174=4),AC174,AB174))),IF($D174="Pressio.",
IF($E174=3,AC174,AB174),
IF($D174="Pénétro.",
IF($E174=4,AC174,AB174))))</f>
        <v>#N/A</v>
      </c>
      <c r="AE174" s="31">
        <v>0</v>
      </c>
      <c r="AF174" s="102" t="e">
        <f>IF(NDC!$H$10="Oui",(VLOOKUP($B$3,'Coeff EC7'!$T$39:$X$59,2,0)*AD174+VLOOKUP($B$3,'Coeff EC7'!$T$65:$X$85,2,0)*Model0.1T!AE174)/1.5,PI()*AB$12*$Q174*($B174-$B173)*0.15/10+AF173)</f>
        <v>#N/A</v>
      </c>
      <c r="AG174" s="102" t="e">
        <f>(VLOOKUP($B$3,'Coeff EC7'!$T$39:$X$59,3,0)*AD174+VLOOKUP($B$3,'Coeff EC7'!$T$65:$X$85,3,0)*Model0.1T!AE174)/1.1</f>
        <v>#N/A</v>
      </c>
      <c r="AH174" s="102" t="e">
        <f t="shared" si="268"/>
        <v>#N/A</v>
      </c>
      <c r="AI174" s="102" t="e">
        <f t="shared" si="269"/>
        <v>#N/A</v>
      </c>
      <c r="AJ174" s="414" t="e">
        <f>IF(AND(AF174&gt;NDC!$C$63,AG174&gt;NDC!$C$65,AH174&gt;NDC!$D$73,AI174&gt;NDC!$D$74,$B174&gt;NDC!$H$22-0.1+MIN(3*$AJ$12,1.5)),0,1)</f>
        <v>#N/A</v>
      </c>
      <c r="AK174" s="86" t="b">
        <f t="shared" si="239"/>
        <v>0</v>
      </c>
      <c r="AL174" s="86">
        <f t="shared" si="270"/>
        <v>0.5</v>
      </c>
      <c r="AM174" s="86">
        <f t="shared" si="240"/>
        <v>0.5</v>
      </c>
      <c r="AN174" s="30" t="e">
        <f t="shared" ca="1" si="271"/>
        <v>#DIV/0!</v>
      </c>
      <c r="AO174" s="85" t="e">
        <f ca="1">IF(U174&lt;=Hypothèses!$V$7,Hypothèses!$W$7,IF(U174&lt;=Hypothèses!$V$8,Hypothèses!$W$8,IF(U174&lt;=Hypothèses!$V$9,Hypothèses!$W$9,IF(U174&lt;=Hypothèses!$V$10,Hypothèses!$W$10,IF(U174&lt;=Hypothèses!$V$11,Hypothèses!$W$11,IF(U174&lt;=Hypothèses!$V$12,Hypothèses!$W$12,IF(U174&lt;=Hypothèses!$V$13,Hypothèses!$W$13,IF(U174&lt;=Hypothèses!$V$14,Hypothèses!$W$14,IF(U174&lt;=Hypothèses!$V$15,Hypothèses!$W$15,IF(U174&lt;=Hypothèses!$V$16,Hypothèses!$W$16,IF(U174&lt;=Hypothèses!$V$17,Hypothèses!$W$17,IF(U174&lt;=Hypothèses!$V$18,Hypothèses!$W$18,""))))))))))))</f>
        <v>#DIV/0!</v>
      </c>
      <c r="AP174" s="87" t="e">
        <f t="shared" ca="1" si="317"/>
        <v>#DIV/0!</v>
      </c>
      <c r="AQ174" s="88" t="e">
        <f ca="1">IF(U174&lt;=Hypothèses!$V$7,Hypothèses!$X$7,IF(U174&lt;=Hypothèses!$V$8,Hypothèses!$X$8,IF(U174&lt;=Hypothèses!$V$9,Hypothèses!$X$9,IF(U174&lt;=Hypothèses!$V$10,Hypothèses!$X$10,IF(U174&lt;=Hypothèses!$V$11,Hypothèses!$X$11,IF(U174&lt;=Hypothèses!$V$12,Hypothèses!$X$12,IF(U174&lt;=Hypothèses!$V$13,Hypothèses!$X$13,IF(U174&lt;=Hypothèses!$V$14,Hypothèses!$X$14,IF(U174&lt;=Hypothèses!$V$15,Hypothèses!$X$15,IF(U174&lt;=Hypothèses!$V$16,Hypothèses!$X$16,IF(U174&lt;=Hypothèses!$U$17,Hypothèses!$W$17,IF(U174&lt;=Hypothèses!$U$18,Hypothèses!$W$18,""))))))))))))</f>
        <v>#DIV/0!</v>
      </c>
      <c r="AR174" s="95" t="e">
        <f t="shared" ca="1" si="272"/>
        <v>#DIV/0!</v>
      </c>
      <c r="AS174" s="101">
        <f t="shared" si="324"/>
        <v>0</v>
      </c>
      <c r="AT174" s="91">
        <f t="shared" si="241"/>
        <v>0</v>
      </c>
      <c r="AU174" s="30" t="e">
        <f t="shared" si="302"/>
        <v>#N/A</v>
      </c>
      <c r="AV174" s="30" t="e">
        <f t="shared" si="303"/>
        <v>#N/A</v>
      </c>
      <c r="AW174" s="31" t="e">
        <f>IF(OR(Hypothèses!$B$4=17,Hypothèses!$B$4=18,Hypothèses!$B$4=19,Hypothèses!$B$4=20),
IF($D174="Pressio.",
IF(OR($E174=3,$E174=1,$E174=4),AV174,AU174),
IF($D174="Pénétro.",
IF(OR($E174=3,$E174=1,$E174=4),AV174,AU174))),IF($D174="Pressio.",
IF($E174=3,AV174,AU174),
IF($D174="Pénétro.",
IF($E174=4,AV174,AU174))))</f>
        <v>#N/A</v>
      </c>
      <c r="AX174" s="31">
        <v>0</v>
      </c>
      <c r="AY174" s="102" t="e">
        <f>IF(NDC!$H$10="Oui",(VLOOKUP($B$3,'Coeff EC7'!$T$39:$X$59,2,0)*AW174+VLOOKUP($B$3,'Coeff EC7'!$T$65:$X$85,2,0)*Model0.1T!AX174)/1.5,PI()*AU$12*$Q174*($B174-$B173)*0.15/10+AY173)</f>
        <v>#N/A</v>
      </c>
      <c r="AZ174" s="102" t="e">
        <f>(VLOOKUP($B$3,'Coeff EC7'!$T$39:$X$59,3,0)*AW174+VLOOKUP($B$3,'Coeff EC7'!$T$65:$X$85,3,0)*Model0.1T!AX174)/1.1</f>
        <v>#N/A</v>
      </c>
      <c r="BA174" s="102" t="e">
        <f t="shared" si="273"/>
        <v>#N/A</v>
      </c>
      <c r="BB174" s="102" t="e">
        <f t="shared" si="274"/>
        <v>#N/A</v>
      </c>
      <c r="BC174" s="414" t="e">
        <f>IF(AND(AY174&gt;NDC!$C$63,AZ174&gt;NDC!$C$65,BA174&gt;NDC!$D$73,BB174&gt;NDC!$D$74,$B174&gt;NDC!$H$22-0.1+MIN(3*BC$12,1.5)),0,1)</f>
        <v>#N/A</v>
      </c>
      <c r="BD174" s="86" t="b">
        <f t="shared" si="242"/>
        <v>0</v>
      </c>
      <c r="BE174" s="86">
        <f t="shared" si="275"/>
        <v>0.5</v>
      </c>
      <c r="BF174" s="86">
        <f t="shared" si="243"/>
        <v>0.5</v>
      </c>
      <c r="BG174" s="30" t="e">
        <f t="shared" ca="1" si="276"/>
        <v>#DIV/0!</v>
      </c>
      <c r="BH174" s="85" t="e">
        <f ca="1">IF(AN174&lt;=Hypothèses!$V$7,Hypothèses!$W$7,IF(AN174&lt;=Hypothèses!$V$8,Hypothèses!$W$8,IF(AN174&lt;=Hypothèses!$V$9,Hypothèses!$W$9,IF(AN174&lt;=Hypothèses!$V$10,Hypothèses!$W$10,IF(AN174&lt;=Hypothèses!$V$11,Hypothèses!$W$11,IF(AN174&lt;=Hypothèses!$V$12,Hypothèses!$W$12,IF(AN174&lt;=Hypothèses!$V$13,Hypothèses!$W$13,IF(AN174&lt;=Hypothèses!$V$14,Hypothèses!$W$14,IF(AN174&lt;=Hypothèses!$V$15,Hypothèses!$W$15,IF(AN174&lt;=Hypothèses!$V$16,Hypothèses!$W$16,IF(AN174&lt;=Hypothèses!$V$17,Hypothèses!$W$17,IF(AN174&lt;=Hypothèses!$V$18,Hypothèses!$W$18,""))))))))))))</f>
        <v>#DIV/0!</v>
      </c>
      <c r="BI174" s="87" t="e">
        <f t="shared" ca="1" si="318"/>
        <v>#DIV/0!</v>
      </c>
      <c r="BJ174" s="88" t="e">
        <f ca="1">IF(AN174&lt;=Hypothèses!$V$7,Hypothèses!$X$7,IF(AN174&lt;=Hypothèses!$V$8,Hypothèses!$X$8,IF(AN174&lt;=Hypothèses!$V$9,Hypothèses!$X$9,IF(AN174&lt;=Hypothèses!$V$10,Hypothèses!$X$10,IF(AN174&lt;=Hypothèses!$V$11,Hypothèses!$X$11,IF(AN174&lt;=Hypothèses!$V$12,Hypothèses!$X$12,IF(AN174&lt;=Hypothèses!$V$13,Hypothèses!$X$13,IF(AN174&lt;=Hypothèses!$V$14,Hypothèses!$X$14,IF(AN174&lt;=Hypothèses!$V$15,Hypothèses!$X$15,IF(AN174&lt;=Hypothèses!$V$16,Hypothèses!$X$16,IF(AN174&lt;=Hypothèses!$U$17,Hypothèses!$W$17,IF(AN174&lt;=Hypothèses!$U$18,Hypothèses!$W$18,""))))))))))))</f>
        <v>#DIV/0!</v>
      </c>
      <c r="BK174" s="95" t="e">
        <f t="shared" ca="1" si="277"/>
        <v>#DIV/0!</v>
      </c>
      <c r="BL174" s="101">
        <f t="shared" si="325"/>
        <v>0</v>
      </c>
      <c r="BM174" s="91">
        <f t="shared" si="244"/>
        <v>0</v>
      </c>
      <c r="BN174" s="30" t="e">
        <f t="shared" si="304"/>
        <v>#N/A</v>
      </c>
      <c r="BO174" s="30" t="e">
        <f t="shared" si="305"/>
        <v>#N/A</v>
      </c>
      <c r="BP174" s="31" t="e">
        <f>IF(OR(Hypothèses!$B$4=17,Hypothèses!$B$4=18,Hypothèses!$B$4=19,Hypothèses!$B$4=20),
IF($D174="Pressio.",
IF(OR($E174=3,$E174=1,$E174=4),BO174,BN174),
IF($D174="Pénétro.",
IF(OR($E174=3,$E174=1,$E174=4),BO174,BN174))),IF($D174="Pressio.",
IF($E174=3,BO174,BN174),
IF($D174="Pénétro.",
IF($E174=4,BO174,BN174))))</f>
        <v>#N/A</v>
      </c>
      <c r="BQ174" s="31">
        <v>0</v>
      </c>
      <c r="BR174" s="102" t="e">
        <f>IF(NDC!$H$10="Oui",(VLOOKUP($B$3,'Coeff EC7'!$T$39:$X$59,2,0)*BP174+VLOOKUP($B$3,'Coeff EC7'!$T$65:$X$85,2,0)*Model0.1T!BQ174)/1.5,PI()*BN$12*$Q174*($B174-$B173)*0.15/10+BR173)</f>
        <v>#N/A</v>
      </c>
      <c r="BS174" s="102" t="e">
        <f>(VLOOKUP($B$3,'Coeff EC7'!$T$39:$X$59,3,0)*BP174+VLOOKUP($B$3,'Coeff EC7'!$T$65:$X$85,3,0)*Model0.1T!BQ174)/1.1</f>
        <v>#N/A</v>
      </c>
      <c r="BT174" s="102" t="e">
        <f t="shared" si="278"/>
        <v>#N/A</v>
      </c>
      <c r="BU174" s="102" t="e">
        <f t="shared" si="279"/>
        <v>#N/A</v>
      </c>
      <c r="BV174" s="414" t="e">
        <f>IF(AND(BR174&gt;NDC!$C$63,BS174&gt;NDC!$C$65,BT174&gt;NDC!$D$73,BU174&gt;NDC!$D$74,$B174&gt;NDC!$H$22-0.1+MIN(3*BV$12,1.5)),0,1)</f>
        <v>#N/A</v>
      </c>
      <c r="BW174" s="86" t="b">
        <f t="shared" si="245"/>
        <v>0</v>
      </c>
      <c r="BX174" s="86">
        <f t="shared" si="246"/>
        <v>0.5</v>
      </c>
      <c r="BY174" s="86">
        <f t="shared" si="247"/>
        <v>0.5</v>
      </c>
      <c r="BZ174" s="30" t="e">
        <f t="shared" ca="1" si="280"/>
        <v>#DIV/0!</v>
      </c>
      <c r="CA174" s="85" t="e">
        <f ca="1">IF(BG174&lt;=Hypothèses!$V$7,Hypothèses!$W$7,IF(BG174&lt;=Hypothèses!$V$8,Hypothèses!$W$8,IF(BG174&lt;=Hypothèses!$V$9,Hypothèses!$W$9,IF(BG174&lt;=Hypothèses!$V$10,Hypothèses!$W$10,IF(BG174&lt;=Hypothèses!$V$11,Hypothèses!$W$11,IF(BG174&lt;=Hypothèses!$V$12,Hypothèses!$W$12,IF(BG174&lt;=Hypothèses!$V$13,Hypothèses!$W$13,IF(BG174&lt;=Hypothèses!$V$14,Hypothèses!$W$14,IF(BG174&lt;=Hypothèses!$V$15,Hypothèses!$W$15,IF(BG174&lt;=Hypothèses!$V$16,Hypothèses!$W$16,IF(BG174&lt;=Hypothèses!$V$17,Hypothèses!$W$17,IF(BG174&lt;=Hypothèses!$V$18,Hypothèses!$W$18,""))))))))))))</f>
        <v>#DIV/0!</v>
      </c>
      <c r="CB174" s="87" t="e">
        <f t="shared" ca="1" si="319"/>
        <v>#DIV/0!</v>
      </c>
      <c r="CC174" s="88" t="e">
        <f ca="1">IF(BG174&lt;=Hypothèses!$V$7,Hypothèses!$X$7,IF(BG174&lt;=Hypothèses!$V$8,Hypothèses!$X$8,IF(BG174&lt;=Hypothèses!$V$9,Hypothèses!$X$9,IF(BG174&lt;=Hypothèses!$V$10,Hypothèses!$X$10,IF(BG174&lt;=Hypothèses!$V$11,Hypothèses!$X$11,IF(BG174&lt;=Hypothèses!$V$12,Hypothèses!$X$12,IF(BG174&lt;=Hypothèses!$V$13,Hypothèses!$X$13,IF(BG174&lt;=Hypothèses!$V$14,Hypothèses!$X$14,IF(BG174&lt;=Hypothèses!$V$15,Hypothèses!$X$15,IF(BG174&lt;=Hypothèses!$V$16,Hypothèses!$X$16,IF(BG174&lt;=Hypothèses!$U$17,Hypothèses!$W$17,IF(BG174&lt;=Hypothèses!$U$18,Hypothèses!$W$18,""))))))))))))</f>
        <v>#DIV/0!</v>
      </c>
      <c r="CD174" s="95" t="e">
        <f t="shared" ca="1" si="281"/>
        <v>#DIV/0!</v>
      </c>
      <c r="CE174" s="101">
        <f t="shared" si="326"/>
        <v>0</v>
      </c>
      <c r="CF174" s="91">
        <f t="shared" si="248"/>
        <v>0</v>
      </c>
      <c r="CG174" s="30" t="e">
        <f t="shared" si="306"/>
        <v>#N/A</v>
      </c>
      <c r="CH174" s="30" t="e">
        <f t="shared" si="307"/>
        <v>#N/A</v>
      </c>
      <c r="CI174" s="31" t="e">
        <f>IF(OR(Hypothèses!$B$4=17,Hypothèses!$B$4=18,Hypothèses!$B$4=19,Hypothèses!$B$4=20),
IF($D174="Pressio.",
IF(OR($E174=3,$E174=1,$E174=4),CH174,CG174),
IF($D174="Pénétro.",
IF(OR($E174=3,$E174=1,$E174=4),CH174,CG174))),IF($D174="Pressio.",
IF($E174=3,CH174,CG174),
IF($D174="Pénétro.",
IF($E174=4,CH174,CG174))))</f>
        <v>#N/A</v>
      </c>
      <c r="CJ174" s="31">
        <v>0</v>
      </c>
      <c r="CK174" s="102" t="e">
        <f>IF(NDC!$H$10="Oui",(VLOOKUP($B$3,'Coeff EC7'!$T$39:$X$59,2,0)*CI174+VLOOKUP($B$3,'Coeff EC7'!$T$65:$X$85,2,0)*Model0.1T!CJ174)/1.5,PI()*CG$12*$Q174*($B174-$B173)*0.15/10+CK173)</f>
        <v>#N/A</v>
      </c>
      <c r="CL174" s="102" t="e">
        <f>(VLOOKUP($B$3,'Coeff EC7'!$T$39:$X$59,3,0)*CI174+VLOOKUP($B$3,'Coeff EC7'!$T$65:$X$85,3,0)*Model0.1T!CJ174)/1.1</f>
        <v>#N/A</v>
      </c>
      <c r="CM174" s="102" t="e">
        <f t="shared" si="282"/>
        <v>#N/A</v>
      </c>
      <c r="CN174" s="102" t="e">
        <f t="shared" si="283"/>
        <v>#N/A</v>
      </c>
      <c r="CO174" s="414" t="e">
        <f>IF(AND(CK174&gt;NDC!$C$63,CL174&gt;NDC!$C$65,CM174&gt;NDC!$D$73,CN174&gt;NDC!$D$74,$B174&gt;NDC!$H$22-0.1+MIN(3*CO$12,1.5)),0,1)</f>
        <v>#N/A</v>
      </c>
      <c r="CP174" s="86" t="b">
        <f t="shared" si="249"/>
        <v>0</v>
      </c>
      <c r="CQ174" s="86">
        <f t="shared" si="250"/>
        <v>0.5</v>
      </c>
      <c r="CR174" s="86">
        <f t="shared" si="251"/>
        <v>0.5</v>
      </c>
      <c r="CS174" s="30" t="e">
        <f t="shared" ca="1" si="284"/>
        <v>#DIV/0!</v>
      </c>
      <c r="CT174" s="85" t="e">
        <f ca="1">IF(BZ174&lt;=Hypothèses!$V$7,Hypothèses!$W$7,IF(BZ174&lt;=Hypothèses!$V$8,Hypothèses!$W$8,IF(BZ174&lt;=Hypothèses!$V$9,Hypothèses!$W$9,IF(BZ174&lt;=Hypothèses!$V$10,Hypothèses!$W$10,IF(BZ174&lt;=Hypothèses!$V$11,Hypothèses!$W$11,IF(BZ174&lt;=Hypothèses!$V$12,Hypothèses!$W$12,IF(BZ174&lt;=Hypothèses!$V$13,Hypothèses!$W$13,IF(BZ174&lt;=Hypothèses!$V$14,Hypothèses!$W$14,IF(BZ174&lt;=Hypothèses!$V$15,Hypothèses!$W$15,IF(BZ174&lt;=Hypothèses!$V$16,Hypothèses!$W$16,IF(BZ174&lt;=Hypothèses!$V$17,Hypothèses!$W$17,IF(BZ174&lt;=Hypothèses!$V$18,Hypothèses!$W$18,""))))))))))))</f>
        <v>#DIV/0!</v>
      </c>
      <c r="CU174" s="87" t="e">
        <f t="shared" ca="1" si="320"/>
        <v>#DIV/0!</v>
      </c>
      <c r="CV174" s="88" t="e">
        <f ca="1">IF(BZ174&lt;=Hypothèses!$V$7,Hypothèses!$X$7,IF(BZ174&lt;=Hypothèses!$V$8,Hypothèses!$X$8,IF(BZ174&lt;=Hypothèses!$V$9,Hypothèses!$X$9,IF(BZ174&lt;=Hypothèses!$V$10,Hypothèses!$X$10,IF(BZ174&lt;=Hypothèses!$V$11,Hypothèses!$X$11,IF(BZ174&lt;=Hypothèses!$V$12,Hypothèses!$X$12,IF(BZ174&lt;=Hypothèses!$V$13,Hypothèses!$X$13,IF(BZ174&lt;=Hypothèses!$V$14,Hypothèses!$X$14,IF(BZ174&lt;=Hypothèses!$V$15,Hypothèses!$X$15,IF(BZ174&lt;=Hypothèses!$V$16,Hypothèses!$X$16,IF(BZ174&lt;=Hypothèses!$U$17,Hypothèses!$W$17,IF(BZ174&lt;=Hypothèses!$U$18,Hypothèses!$W$18,""))))))))))))</f>
        <v>#DIV/0!</v>
      </c>
      <c r="CW174" s="95" t="e">
        <f t="shared" ca="1" si="285"/>
        <v>#DIV/0!</v>
      </c>
      <c r="CX174" s="101">
        <f t="shared" si="327"/>
        <v>0</v>
      </c>
      <c r="CY174" s="91">
        <f t="shared" si="252"/>
        <v>0</v>
      </c>
      <c r="CZ174" s="30" t="e">
        <f t="shared" si="308"/>
        <v>#N/A</v>
      </c>
      <c r="DA174" s="30" t="e">
        <f t="shared" si="309"/>
        <v>#N/A</v>
      </c>
      <c r="DB174" s="31" t="e">
        <f>IF(OR(Hypothèses!$B$4=17,Hypothèses!$B$4=18,Hypothèses!$B$4=19,Hypothèses!$B$4=20),
IF($D174="Pressio.",
IF(OR($E174=3,$E174=1,$E174=4),DA174,CZ174),
IF($D174="Pénétro.",
IF(OR($E174=3,$E174=1,$E174=4),DA174,CZ174))),IF($D174="Pressio.",
IF($E174=3,DA174,CZ174),
IF($D174="Pénétro.",
IF($E174=4,DA174,CZ174))))</f>
        <v>#N/A</v>
      </c>
      <c r="DC174" s="31">
        <v>0</v>
      </c>
      <c r="DD174" s="102" t="e">
        <f>IF(NDC!$H$10="Oui",(VLOOKUP($B$3,'Coeff EC7'!$T$39:$X$59,2,0)*DB174+VLOOKUP($B$3,'Coeff EC7'!$T$65:$X$85,2,0)*Model0.1T!DC174)/1.5,PI()*CZ$12*$Q174*($B174-$B173)*0.15/10+DD173)</f>
        <v>#N/A</v>
      </c>
      <c r="DE174" s="102" t="e">
        <f>(VLOOKUP($B$3,'Coeff EC7'!$T$39:$X$59,3,0)*DB174+VLOOKUP($B$3,'Coeff EC7'!$T$65:$X$85,3,0)*Model0.1T!DC174)/1.1</f>
        <v>#N/A</v>
      </c>
      <c r="DF174" s="102" t="e">
        <f t="shared" si="286"/>
        <v>#N/A</v>
      </c>
      <c r="DG174" s="102" t="e">
        <f t="shared" si="287"/>
        <v>#N/A</v>
      </c>
      <c r="DH174" s="414" t="e">
        <f>IF(AND(DD174&gt;NDC!$C$63,DE174&gt;NDC!$C$65,DF174&gt;NDC!$D$73,DG174&gt;NDC!$D$74,$B174&gt;NDC!$H$22-0.1+MIN(3*DH$12,1.5)),0,1)</f>
        <v>#N/A</v>
      </c>
      <c r="DI174" s="86" t="b">
        <f t="shared" si="253"/>
        <v>0</v>
      </c>
      <c r="DJ174" s="86">
        <f t="shared" si="254"/>
        <v>0.5</v>
      </c>
      <c r="DK174" s="86">
        <f t="shared" si="255"/>
        <v>0.5</v>
      </c>
      <c r="DL174" s="30" t="e">
        <f t="shared" ca="1" si="288"/>
        <v>#DIV/0!</v>
      </c>
      <c r="DM174" s="85" t="e">
        <f ca="1">IF(CS174&lt;=Hypothèses!$V$7,Hypothèses!$W$7,IF(CS174&lt;=Hypothèses!$V$8,Hypothèses!$W$8,IF(CS174&lt;=Hypothèses!$V$9,Hypothèses!$W$9,IF(CS174&lt;=Hypothèses!$V$10,Hypothèses!$W$10,IF(CS174&lt;=Hypothèses!$V$11,Hypothèses!$W$11,IF(CS174&lt;=Hypothèses!$V$12,Hypothèses!$W$12,IF(CS174&lt;=Hypothèses!$V$13,Hypothèses!$W$13,IF(CS174&lt;=Hypothèses!$V$14,Hypothèses!$W$14,IF(CS174&lt;=Hypothèses!$V$15,Hypothèses!$W$15,IF(CS174&lt;=Hypothèses!$V$16,Hypothèses!$W$16,IF(CS174&lt;=Hypothèses!$V$17,Hypothèses!$W$17,IF(CS174&lt;=Hypothèses!$V$18,Hypothèses!$W$18,""))))))))))))</f>
        <v>#DIV/0!</v>
      </c>
      <c r="DN174" s="87" t="e">
        <f t="shared" ca="1" si="321"/>
        <v>#DIV/0!</v>
      </c>
      <c r="DO174" s="88" t="e">
        <f ca="1">IF(CS174&lt;=Hypothèses!$V$7,Hypothèses!$X$7,IF(CS174&lt;=Hypothèses!$V$8,Hypothèses!$X$8,IF(CS174&lt;=Hypothèses!$V$9,Hypothèses!$X$9,IF(CS174&lt;=Hypothèses!$V$10,Hypothèses!$X$10,IF(CS174&lt;=Hypothèses!$V$11,Hypothèses!$X$11,IF(CS174&lt;=Hypothèses!$V$12,Hypothèses!$X$12,IF(CS174&lt;=Hypothèses!$V$13,Hypothèses!$X$13,IF(CS174&lt;=Hypothèses!$V$14,Hypothèses!$X$14,IF(CS174&lt;=Hypothèses!$V$15,Hypothèses!$X$15,IF(CS174&lt;=Hypothèses!$V$16,Hypothèses!$X$16,IF(CS174&lt;=Hypothèses!$U$17,Hypothèses!$W$17,IF(CS174&lt;=Hypothèses!$U$18,Hypothèses!$W$18,""))))))))))))</f>
        <v>#DIV/0!</v>
      </c>
      <c r="DP174" s="95" t="e">
        <f t="shared" ca="1" si="289"/>
        <v>#DIV/0!</v>
      </c>
      <c r="DQ174" s="101">
        <f t="shared" si="328"/>
        <v>0</v>
      </c>
      <c r="DR174" s="91">
        <f t="shared" si="256"/>
        <v>0</v>
      </c>
      <c r="DS174" s="30" t="e">
        <f t="shared" si="310"/>
        <v>#N/A</v>
      </c>
      <c r="DT174" s="30" t="e">
        <f t="shared" si="311"/>
        <v>#N/A</v>
      </c>
      <c r="DU174" s="31" t="e">
        <f>IF(OR(Hypothèses!$B$4=17,Hypothèses!$B$4=18,Hypothèses!$B$4=19,Hypothèses!$B$4=20),
IF($D174="Pressio.",
IF(OR($E174=3,$E174=1,$E174=4),DT174,DS174),
IF($D174="Pénétro.",
IF(OR($E174=3,$E174=1,$E174=4),DT174,DS174))),IF($D174="Pressio.",
IF($E174=3,DT174,DS174),
IF($D174="Pénétro.",
IF($E174=4,DT174,DS174))))</f>
        <v>#N/A</v>
      </c>
      <c r="DV174" s="31">
        <v>0</v>
      </c>
      <c r="DW174" s="102" t="e">
        <f>IF(NDC!$H$10="Oui",(VLOOKUP($B$3,'Coeff EC7'!$T$39:$X$59,2,0)*DU174+VLOOKUP($B$3,'Coeff EC7'!$T$65:$X$85,2,0)*Model0.1T!DV174)/1.5,PI()*DS$12*$Q174*($B174-$B173)*0.15/10+DW173)</f>
        <v>#N/A</v>
      </c>
      <c r="DX174" s="102" t="e">
        <f>(VLOOKUP($B$3,'Coeff EC7'!$T$39:$X$59,3,0)*DU174+VLOOKUP($B$3,'Coeff EC7'!$T$65:$X$85,3,0)*Model0.1T!DV174)/1.1</f>
        <v>#N/A</v>
      </c>
      <c r="DY174" s="102" t="e">
        <f t="shared" si="290"/>
        <v>#N/A</v>
      </c>
      <c r="DZ174" s="102" t="e">
        <f t="shared" si="291"/>
        <v>#N/A</v>
      </c>
      <c r="EA174" s="414" t="e">
        <f>IF(AND(DW174&gt;NDC!$C$63,DX174&gt;NDC!$C$65,DY174&gt;NDC!$D$73,DZ174&gt;NDC!$D$74,$B174&gt;NDC!$H$22-0.1+MIN(3*EA$12,1.5)),0,1)</f>
        <v>#N/A</v>
      </c>
      <c r="EB174" s="86" t="b">
        <f t="shared" si="257"/>
        <v>0</v>
      </c>
      <c r="EC174" s="418">
        <f t="shared" si="258"/>
        <v>0.51</v>
      </c>
      <c r="ED174" s="86">
        <f t="shared" si="259"/>
        <v>0.51</v>
      </c>
      <c r="EE174" s="30" t="e">
        <f t="shared" ca="1" si="292"/>
        <v>#DIV/0!</v>
      </c>
      <c r="EF174" s="85" t="e">
        <f ca="1">IF(DL174&lt;=Hypothèses!$V$7,Hypothèses!$W$7,IF(DL174&lt;=Hypothèses!$V$8,Hypothèses!$W$8,IF(DL174&lt;=Hypothèses!$V$9,Hypothèses!$W$9,IF(DL174&lt;=Hypothèses!$V$10,Hypothèses!$W$10,IF(DL174&lt;=Hypothèses!$V$11,Hypothèses!$W$11,IF(DL174&lt;=Hypothèses!$V$12,Hypothèses!$W$12,IF(DL174&lt;=Hypothèses!$V$13,Hypothèses!$W$13,IF(DL174&lt;=Hypothèses!$V$14,Hypothèses!$W$14,IF(DL174&lt;=Hypothèses!$V$15,Hypothèses!$W$15,IF(DL174&lt;=Hypothèses!$V$16,Hypothèses!$W$16,IF(DL174&lt;=Hypothèses!$V$17,Hypothèses!$W$17,IF(DL174&lt;=Hypothèses!$V$18,Hypothèses!$W$18,""))))))))))))</f>
        <v>#DIV/0!</v>
      </c>
      <c r="EG174" s="87" t="e">
        <f t="shared" ca="1" si="322"/>
        <v>#DIV/0!</v>
      </c>
      <c r="EH174" s="88" t="e">
        <f ca="1">IF(DL174&lt;=Hypothèses!$V$7,Hypothèses!$X$7,IF(DL174&lt;=Hypothèses!$V$8,Hypothèses!$X$8,IF(DL174&lt;=Hypothèses!$V$9,Hypothèses!$X$9,IF(DL174&lt;=Hypothèses!$V$10,Hypothèses!$X$10,IF(DL174&lt;=Hypothèses!$V$11,Hypothèses!$X$11,IF(DL174&lt;=Hypothèses!$V$12,Hypothèses!$X$12,IF(DL174&lt;=Hypothèses!$V$13,Hypothèses!$X$13,IF(DL174&lt;=Hypothèses!$V$14,Hypothèses!$X$14,IF(DL174&lt;=Hypothèses!$V$15,Hypothèses!$X$15,IF(DL174&lt;=Hypothèses!$V$16,Hypothèses!$X$16,IF(DL174&lt;=Hypothèses!$U$17,Hypothèses!$W$17,IF(DL174&lt;=Hypothèses!$U$18,Hypothèses!$W$18,""))))))))))))</f>
        <v>#DIV/0!</v>
      </c>
      <c r="EI174" s="95" t="e">
        <f t="shared" ca="1" si="293"/>
        <v>#DIV/0!</v>
      </c>
      <c r="EJ174" s="101">
        <f t="shared" si="329"/>
        <v>0</v>
      </c>
      <c r="EK174" s="91">
        <f t="shared" si="260"/>
        <v>0</v>
      </c>
      <c r="EL174" s="30" t="e">
        <f t="shared" si="312"/>
        <v>#N/A</v>
      </c>
      <c r="EM174" s="30" t="e">
        <f t="shared" si="313"/>
        <v>#N/A</v>
      </c>
      <c r="EN174" s="31" t="e">
        <f>IF(OR(Hypothèses!$B$4=17,Hypothèses!$B$4=18,Hypothèses!$B$4=19,Hypothèses!$B$4=20),
IF($D174="Pressio.",
IF(OR($E174=3,$E174=1,$E174=4),EM174,EL174),
IF($D174="Pénétro.",
IF(OR($E174=3,$E174=1,$E174=4),EM174,EL174))),IF($D174="Pressio.",
IF($E174=3,EM174,EL174),
IF($D174="Pénétro.",
IF($E174=4,EM174,EL174))))</f>
        <v>#N/A</v>
      </c>
      <c r="EO174" s="31">
        <v>0</v>
      </c>
      <c r="EP174" s="102" t="e">
        <f>IF(NDC!$H$10="Oui",(VLOOKUP($B$3,'Coeff EC7'!$T$39:$X$59,2,0)*EN174+VLOOKUP($B$3,'Coeff EC7'!$T$65:$X$85,2,0)*Model0.1T!EO174)/1.5,PI()*EL$12*$Q174*($B174-$B173)*0.15/10+EP173)</f>
        <v>#N/A</v>
      </c>
      <c r="EQ174" s="102" t="e">
        <f>(VLOOKUP($B$3,'Coeff EC7'!$T$39:$X$59,3,0)*EN174+VLOOKUP($B$3,'Coeff EC7'!$T$65:$X$85,3,0)*Model0.1T!EO174)/1.1</f>
        <v>#N/A</v>
      </c>
      <c r="ER174" s="102" t="e">
        <f t="shared" si="294"/>
        <v>#N/A</v>
      </c>
      <c r="ES174" s="102" t="e">
        <f t="shared" si="295"/>
        <v>#N/A</v>
      </c>
      <c r="ET174" s="414" t="e">
        <f>IF(AND(EP174&gt;NDC!$C$63,EQ174&gt;NDC!$C$65,ER174&gt;NDC!$D$73,ES174&gt;NDC!$D$74,$B174&gt;NDC!$H$22-0.1+MIN(3*ET$12,1.5)),0,1)</f>
        <v>#N/A</v>
      </c>
      <c r="EU174" s="86" t="b">
        <f t="shared" si="261"/>
        <v>0</v>
      </c>
      <c r="EV174" s="86">
        <f t="shared" si="262"/>
        <v>0.61</v>
      </c>
      <c r="EW174" s="86">
        <f t="shared" si="263"/>
        <v>0.61</v>
      </c>
      <c r="EX174" s="30" t="e">
        <f t="shared" ca="1" si="296"/>
        <v>#DIV/0!</v>
      </c>
      <c r="EY174" s="85" t="e">
        <f ca="1">IF(EE174&lt;=Hypothèses!$V$7,Hypothèses!$W$7,IF(EE174&lt;=Hypothèses!$V$8,Hypothèses!$W$8,IF(EE174&lt;=Hypothèses!$V$9,Hypothèses!$W$9,IF(EE174&lt;=Hypothèses!$V$10,Hypothèses!$W$10,IF(EE174&lt;=Hypothèses!$V$11,Hypothèses!$W$11,IF(EE174&lt;=Hypothèses!$V$12,Hypothèses!$W$12,IF(EE174&lt;=Hypothèses!$V$13,Hypothèses!$W$13,IF(EE174&lt;=Hypothèses!$V$14,Hypothèses!$W$14,IF(EE174&lt;=Hypothèses!$V$15,Hypothèses!$W$15,IF(EE174&lt;=Hypothèses!$V$16,Hypothèses!$W$16,IF(EE174&lt;=Hypothèses!$V$17,Hypothèses!$W$17,IF(EE174&lt;=Hypothèses!$V$18,Hypothèses!$W$18,""))))))))))))</f>
        <v>#DIV/0!</v>
      </c>
      <c r="EZ174" s="87" t="e">
        <f t="shared" ca="1" si="323"/>
        <v>#DIV/0!</v>
      </c>
      <c r="FA174" s="88" t="e">
        <f ca="1">IF(EE174&lt;=Hypothèses!$V$7,Hypothèses!$X$7,IF(EE174&lt;=Hypothèses!$V$8,Hypothèses!$X$8,IF(EE174&lt;=Hypothèses!$V$9,Hypothèses!$X$9,IF(EE174&lt;=Hypothèses!$V$10,Hypothèses!$X$10,IF(EE174&lt;=Hypothèses!$V$11,Hypothèses!$X$11,IF(EE174&lt;=Hypothèses!$V$12,Hypothèses!$X$12,IF(EE174&lt;=Hypothèses!$V$13,Hypothèses!$X$13,IF(EE174&lt;=Hypothèses!$V$14,Hypothèses!$X$14,IF(EE174&lt;=Hypothèses!$V$15,Hypothèses!$X$15,IF(EE174&lt;=Hypothèses!$V$16,Hypothèses!$X$16,IF(EE174&lt;=Hypothèses!$U$17,Hypothèses!$W$17,IF(EE174&lt;=Hypothèses!$U$18,Hypothèses!$W$18,""))))))))))))</f>
        <v>#DIV/0!</v>
      </c>
      <c r="FB174" s="95" t="e">
        <f t="shared" ca="1" si="297"/>
        <v>#DIV/0!</v>
      </c>
      <c r="FC174" s="101">
        <f t="shared" si="330"/>
        <v>0</v>
      </c>
      <c r="FD174" s="91">
        <f t="shared" si="264"/>
        <v>0</v>
      </c>
      <c r="FE174" s="30" t="e">
        <f t="shared" si="314"/>
        <v>#N/A</v>
      </c>
      <c r="FF174" s="30" t="e">
        <f t="shared" si="315"/>
        <v>#N/A</v>
      </c>
      <c r="FG174" s="31" t="e">
        <f>IF(OR(Hypothèses!$B$4=17,Hypothèses!$B$4=18,Hypothèses!$B$4=19,Hypothèses!$B$4=20),
IF($D174="Pressio.",
IF(OR($E174=3,$E174=1,$E174=4),FF174,FE174),
IF($D174="Pénétro.",
IF(OR($E174=3,$E174=1,$E174=4),FF174,FE174))),IF($D174="Pressio.",
IF($E174=3,FF174,FE174),
IF($D174="Pénétro.",
IF($E174=4,FF174,FE174))))</f>
        <v>#N/A</v>
      </c>
      <c r="FH174" s="31">
        <v>0</v>
      </c>
      <c r="FI174" s="102" t="e">
        <f>IF(NDC!$H$10="Oui",(VLOOKUP($B$3,'Coeff EC7'!$T$39:$X$59,2,0)*FG174+VLOOKUP($B$3,'Coeff EC7'!$T$65:$X$85,2,0)*Model0.1T!FH174)/1.5,PI()*FE$12*$Q174*($B174-$B173)*0.15/10+FI173)</f>
        <v>#N/A</v>
      </c>
      <c r="FJ174" s="102" t="e">
        <f>(VLOOKUP($B$3,'Coeff EC7'!$T$39:$X$59,3,0)*FG174+VLOOKUP($B$3,'Coeff EC7'!$T$65:$X$85,3,0)*Model0.1T!FH174)/1.1</f>
        <v>#N/A</v>
      </c>
      <c r="FK174" s="102" t="e">
        <f t="shared" si="298"/>
        <v>#N/A</v>
      </c>
      <c r="FL174" s="102" t="e">
        <f t="shared" si="299"/>
        <v>#N/A</v>
      </c>
      <c r="FM174" s="414" t="e">
        <f>IF(AND(FI174&gt;NDC!$C$63,FJ174&gt;NDC!$C$65,FK174&gt;NDC!$D$73,FL174&gt;NDC!$D$74,$B174&gt;NDC!$H$22-0.1+MIN(3*FM$12,1.5)),0,1)</f>
        <v>#N/A</v>
      </c>
    </row>
    <row r="175" spans="1:169">
      <c r="A175" s="96">
        <f t="shared" si="265"/>
        <v>83.800000000000921</v>
      </c>
      <c r="B175" s="97">
        <v>16.2</v>
      </c>
      <c r="C175" s="81">
        <f>IF(B175&lt;=Hypothèses!$C$7,Hypothèses!$A$7,IF(B175&lt;=Hypothèses!$C$8,Hypothèses!$A$8,IF(B175&lt;=Hypothèses!$C$9,Hypothèses!$A$9,IF(B175&lt;=Hypothèses!$C$10,Hypothèses!$A$10,IF(B175&lt;=Hypothèses!$C$11,Hypothèses!$A$11,IF(B175&lt;=Hypothèses!$C$12,Hypothèses!$A$12,IF(B175&lt;=Hypothèses!$C$13,Hypothèses!$A$13,IF(B175&lt;=Hypothèses!$C$14,Hypothèses!$A$14,IF(B175&lt;=Hypothèses!$C$15,Hypothèses!$A$15,IF(B175&lt;=Hypothèses!$C$16,Hypothèses!$A$16,IF(B175&lt;=Hypothèses!$C$17,Hypothèses!$A$17,IF(B175&lt;=Hypothèses!$C$18,Hypothèses!$A$18,C174))))))))))))</f>
        <v>11</v>
      </c>
      <c r="D175" s="82" t="str">
        <f>IF(B175&lt;=Hypothèses!$C$7,Hypothèses!$R$7,IF(B175&lt;=Hypothèses!$C$8,Hypothèses!$R$8,IF(B175&lt;=Hypothèses!$C$9,Hypothèses!$R$9,IF(B175&lt;=Hypothèses!$C$10,Hypothèses!$R$10,IF(B175&lt;=Hypothèses!$C$11,Hypothèses!$R$11,IF(B175&lt;=Hypothèses!$C$12,Hypothèses!$R$12,IF(B175&lt;=Hypothèses!$C$13,Hypothèses!$R$13,IF(B175&lt;=Hypothèses!$C$14,Hypothèses!$R$14,IF(B175&lt;=Hypothèses!$C$15,Hypothèses!$R$15,IF(B175&lt;=Hypothèses!$C$16,Hypothèses!$R$16,IF(B175&lt;=Hypothèses!$C$17,Hypothèses!$R$17,IF(B175&lt;=Hypothèses!$C$18,Hypothèses!$R$18,D174))))))))))))</f>
        <v>Pressio.</v>
      </c>
      <c r="E175" s="82" t="e">
        <f>IF(B175&lt;=Hypothèses!$C$7,Hypothèses!$G$7,IF(B175&lt;=Hypothèses!$C$8,Hypothèses!$G$8,IF(B175&lt;=Hypothèses!$C$9,Hypothèses!$G$9,IF(B175&lt;=Hypothèses!$C$10,Hypothèses!$G$10,IF(B175&lt;=Hypothèses!$C$11,Hypothèses!$G$11,IF(B175&lt;=Hypothèses!$C$12,Hypothèses!$G$12,IF(B175&lt;=Hypothèses!$C$13,Hypothèses!$G$13,IF(B175&lt;=Hypothèses!$C$14,Hypothèses!$G$14,IF(B175&lt;=Hypothèses!$C$15,Hypothèses!$G$15,IF(B175&lt;=Hypothèses!$C$16,Hypothèses!$G$16,IF(B175&lt;=Hypothèses!$C$17,Hypothèses!$G$17,IF(B175&lt;=Hypothèses!$C$18,Hypothèses!$G$18,E174))))))))))))</f>
        <v>#N/A</v>
      </c>
      <c r="F175" s="82" t="str">
        <f>IF(B175&lt;=Hypothèses!$C$7,Hypothèses!$F$7,IF(B175&lt;=Hypothèses!$C$8,Hypothèses!$F$8,IF(B175&lt;=Hypothèses!$C$9,Hypothèses!$F$9,IF(B175&lt;=Hypothèses!$C$10,Hypothèses!$F$10,IF(B175&lt;=Hypothèses!$C$11,Hypothèses!$F$11,IF(B175&lt;=Hypothèses!$C$12,Hypothèses!$F$12,IF(B175&lt;=Hypothèses!$C$13,Hypothèses!$F$13,IF(B175&lt;=Hypothèses!$C$14,Hypothèses!$F$14,IF(B175&lt;=Hypothèses!$C$15,Hypothèses!$F$15,IF(B175&lt;=Hypothèses!$C$16,Hypothèses!$F$16,IF(B175&lt;=Hypothèses!$C$17,Hypothèses!$F$17,IF(B175&lt;=Hypothèses!$C$18,Hypothèses!$F$18,F174))))))))))))</f>
        <v/>
      </c>
      <c r="G175" s="91">
        <f t="array" ref="G175">INDEX('Coeff EC7'!$U$7:$X$27,
MATCH(Model0.1T!$B$3,'Coeff EC7'!$T$7:$T$27,0),
MATCH(Model0.1T!$D175&amp;Model0.1T!$B$4,
'Coeff EC7'!$U$6:$X$6&amp;
'Coeff EC7'!$U$5:$X$5,0))</f>
        <v>1.4</v>
      </c>
      <c r="H175" s="91">
        <f t="array" ref="H175">INDEX('Coeff EC7'!$Y$7:$AB$27,
MATCH(Model0.1T!$B$3,'Coeff EC7'!$T$7:$T$27,0),
MATCH(Model0.1T!$D175&amp;Model0.1T!$B$4,
'Coeff EC7'!$Y$6:$AB$6&amp;
'Coeff EC7'!$Y$5:$AB$5,0))</f>
        <v>1.7</v>
      </c>
      <c r="I175" s="83">
        <v>0</v>
      </c>
      <c r="J175" s="91" t="e">
        <f t="array" ref="J175">INDEX('Coeff EC7'!$D$33:$Q$33,1,MATCH(D175&amp;E175,'Coeff EC7'!$D$31:$Q$31&amp;'Coeff EC7'!$D$32:$Q$32,0))</f>
        <v>#N/A</v>
      </c>
      <c r="K175" s="91" t="e">
        <f t="array" ref="K175">INDEX('Coeff EC7'!$D$34:$Q$34,1,MATCH(D175&amp;E175,'Coeff EC7'!$D$31:$Q$31&amp;'Coeff EC7'!$D$32:$Q$32,0))</f>
        <v>#N/A</v>
      </c>
      <c r="L175" s="91" t="e">
        <f t="array" ref="L175">INDEX('Coeff EC7'!$D$35:$Q$35,1,MATCH(D175&amp;E175,'Coeff EC7'!$D$31:$Q$31&amp;'Coeff EC7'!$D$32:$Q$32,0))</f>
        <v>#N/A</v>
      </c>
      <c r="M175" s="98" t="e">
        <f t="shared" si="231"/>
        <v>#N/A</v>
      </c>
      <c r="N175" s="99" t="e">
        <f t="array" ref="N175">INDEX('Coeff EC7'!$D$7:$Q$27,MATCH($B$3,'Coeff EC7'!$C$7:$C$27,0),MATCH(D175&amp;E175,'Coeff EC7'!$D$5:$Q$5&amp;'Coeff EC7'!$D$6:$Q$6,0))</f>
        <v>#N/A</v>
      </c>
      <c r="O175" s="99" t="e">
        <f t="array" ref="O175">INDEX('Coeff EC7'!$D$41:$Q$61,MATCH($B$3,'Coeff EC7'!$C$41:$C$61,0),MATCH(D175&amp;E175,'Coeff EC7'!$D$39:$Q$39&amp;'Coeff EC7'!$D$40:$Q$40,0))</f>
        <v>#N/A</v>
      </c>
      <c r="P175" s="30" t="e">
        <f t="shared" si="266"/>
        <v>#N/A</v>
      </c>
      <c r="Q175" s="100" t="e">
        <f t="shared" si="233"/>
        <v>#N/A</v>
      </c>
      <c r="R175" s="86" t="b">
        <f t="shared" si="234"/>
        <v>0</v>
      </c>
      <c r="S175" s="86">
        <f t="shared" si="232"/>
        <v>0.5</v>
      </c>
      <c r="T175" s="86">
        <f t="shared" si="235"/>
        <v>0.5</v>
      </c>
      <c r="U175" s="30" t="e">
        <f t="shared" ca="1" si="267"/>
        <v>#DIV/0!</v>
      </c>
      <c r="V175" s="85" t="str">
        <f>IF(B175&lt;=Hypothèses!$V$7,Hypothèses!$W$7,IF(B175&lt;=Hypothèses!$V$8,Hypothèses!$W$8,IF(B175&lt;=Hypothèses!$V$9,Hypothèses!$W$9,IF(B175&lt;=Hypothèses!$V$10,Hypothèses!$W$10,IF(B175&lt;=Hypothèses!$V$11,Hypothèses!$W$11,IF(B175&lt;=Hypothèses!$V$12,Hypothèses!$W$12,IF(B175&lt;=Hypothèses!$V$13,Hypothèses!$W$13,IF(B175&lt;=Hypothèses!$V$14,Hypothèses!$W$14,IF(B175&lt;=Hypothèses!$V$15,Hypothèses!$W$15,IF(B175&lt;=Hypothèses!$V$16,Hypothèses!$W$16,IF(B175&lt;=Hypothèses!$V$17,Hypothèses!$W$17,IF(B175&lt;=Hypothèses!$V$18,Hypothèses!$W$18,""))))))))))))</f>
        <v/>
      </c>
      <c r="W175" s="87" t="e">
        <f t="shared" ca="1" si="316"/>
        <v>#DIV/0!</v>
      </c>
      <c r="X175" s="88" t="str">
        <f>IF(B175&lt;=Hypothèses!$V$7,Hypothèses!$X$7,IF(B175&lt;=Hypothèses!$V$8,Hypothèses!$X$8,IF(B175&lt;=Hypothèses!$V$9,Hypothèses!$X$9,IF(B175&lt;=Hypothèses!$V$10,Hypothèses!$X$10,IF(B175&lt;=Hypothèses!$V$11,Hypothèses!$X$11,IF(B175&lt;=Hypothèses!$V$12,Hypothèses!$X$12,IF(B175&lt;=Hypothèses!$V$13,Hypothèses!$X$13,IF(B175&lt;=Hypothèses!$V$14,Hypothèses!$X$14,IF(B175&lt;=Hypothèses!$V$15,Hypothèses!$X$15,IF(B175&lt;=Hypothèses!$V$16,Hypothèses!$X$16,IF(B175&lt;=Hypothèses!$U$17,Hypothèses!$W$17,IF(B175&lt;=Hypothèses!$U$18,Hypothèses!$W$18,""))))))))))))</f>
        <v/>
      </c>
      <c r="Y175" s="95" t="e">
        <f t="shared" ca="1" si="236"/>
        <v>#DIV/0!</v>
      </c>
      <c r="Z175" s="101">
        <f t="shared" si="237"/>
        <v>0</v>
      </c>
      <c r="AA175" s="91">
        <f t="shared" si="238"/>
        <v>0</v>
      </c>
      <c r="AB175" s="30" t="e">
        <f t="shared" si="300"/>
        <v>#N/A</v>
      </c>
      <c r="AC175" s="30" t="e">
        <f t="shared" si="301"/>
        <v>#N/A</v>
      </c>
      <c r="AD175" s="31" t="e">
        <f>IF(OR(Hypothèses!$B$4=17,Hypothèses!$B$4=18,Hypothèses!$B$4=19,Hypothèses!$B$4=20),
IF($D175="Pressio.",
IF(OR($E175=3,$E175=1,$E175=4),AC175,AB175),
IF($D175="Pénétro.",
IF(OR($E175=3,$E175=1,$E175=4),AC175,AB175))),IF($D175="Pressio.",
IF($E175=3,AC175,AB175),
IF($D175="Pénétro.",
IF($E175=4,AC175,AB175))))</f>
        <v>#N/A</v>
      </c>
      <c r="AE175" s="31">
        <v>0</v>
      </c>
      <c r="AF175" s="102" t="e">
        <f>IF(NDC!$H$10="Oui",(VLOOKUP($B$3,'Coeff EC7'!$T$39:$X$59,2,0)*AD175+VLOOKUP($B$3,'Coeff EC7'!$T$65:$X$85,2,0)*Model0.1T!AE175)/1.5,PI()*AB$12*$Q175*($B175-$B174)*0.15/10+AF174)</f>
        <v>#N/A</v>
      </c>
      <c r="AG175" s="102" t="e">
        <f>(VLOOKUP($B$3,'Coeff EC7'!$T$39:$X$59,3,0)*AD175+VLOOKUP($B$3,'Coeff EC7'!$T$65:$X$85,3,0)*Model0.1T!AE175)/1.1</f>
        <v>#N/A</v>
      </c>
      <c r="AH175" s="102" t="e">
        <f t="shared" si="268"/>
        <v>#N/A</v>
      </c>
      <c r="AI175" s="102" t="e">
        <f t="shared" si="269"/>
        <v>#N/A</v>
      </c>
      <c r="AJ175" s="414" t="e">
        <f>IF(AND(AF175&gt;NDC!$C$63,AG175&gt;NDC!$C$65,AH175&gt;NDC!$D$73,AI175&gt;NDC!$D$74,$B175&gt;NDC!$H$22-0.1+MIN(3*$AJ$12,1.5)),0,1)</f>
        <v>#N/A</v>
      </c>
      <c r="AK175" s="86" t="b">
        <f t="shared" si="239"/>
        <v>0</v>
      </c>
      <c r="AL175" s="86">
        <f t="shared" si="270"/>
        <v>0.5</v>
      </c>
      <c r="AM175" s="86">
        <f t="shared" si="240"/>
        <v>0.5</v>
      </c>
      <c r="AN175" s="30" t="e">
        <f t="shared" ca="1" si="271"/>
        <v>#DIV/0!</v>
      </c>
      <c r="AO175" s="85" t="e">
        <f ca="1">IF(U175&lt;=Hypothèses!$V$7,Hypothèses!$W$7,IF(U175&lt;=Hypothèses!$V$8,Hypothèses!$W$8,IF(U175&lt;=Hypothèses!$V$9,Hypothèses!$W$9,IF(U175&lt;=Hypothèses!$V$10,Hypothèses!$W$10,IF(U175&lt;=Hypothèses!$V$11,Hypothèses!$W$11,IF(U175&lt;=Hypothèses!$V$12,Hypothèses!$W$12,IF(U175&lt;=Hypothèses!$V$13,Hypothèses!$W$13,IF(U175&lt;=Hypothèses!$V$14,Hypothèses!$W$14,IF(U175&lt;=Hypothèses!$V$15,Hypothèses!$W$15,IF(U175&lt;=Hypothèses!$V$16,Hypothèses!$W$16,IF(U175&lt;=Hypothèses!$V$17,Hypothèses!$W$17,IF(U175&lt;=Hypothèses!$V$18,Hypothèses!$W$18,""))))))))))))</f>
        <v>#DIV/0!</v>
      </c>
      <c r="AP175" s="87" t="e">
        <f t="shared" ca="1" si="317"/>
        <v>#DIV/0!</v>
      </c>
      <c r="AQ175" s="88" t="e">
        <f ca="1">IF(U175&lt;=Hypothèses!$V$7,Hypothèses!$X$7,IF(U175&lt;=Hypothèses!$V$8,Hypothèses!$X$8,IF(U175&lt;=Hypothèses!$V$9,Hypothèses!$X$9,IF(U175&lt;=Hypothèses!$V$10,Hypothèses!$X$10,IF(U175&lt;=Hypothèses!$V$11,Hypothèses!$X$11,IF(U175&lt;=Hypothèses!$V$12,Hypothèses!$X$12,IF(U175&lt;=Hypothèses!$V$13,Hypothèses!$X$13,IF(U175&lt;=Hypothèses!$V$14,Hypothèses!$X$14,IF(U175&lt;=Hypothèses!$V$15,Hypothèses!$X$15,IF(U175&lt;=Hypothèses!$V$16,Hypothèses!$X$16,IF(U175&lt;=Hypothèses!$U$17,Hypothèses!$W$17,IF(U175&lt;=Hypothèses!$U$18,Hypothèses!$W$18,""))))))))))))</f>
        <v>#DIV/0!</v>
      </c>
      <c r="AR175" s="95" t="e">
        <f t="shared" ca="1" si="272"/>
        <v>#DIV/0!</v>
      </c>
      <c r="AS175" s="101">
        <f t="shared" si="324"/>
        <v>0</v>
      </c>
      <c r="AT175" s="91">
        <f t="shared" si="241"/>
        <v>0</v>
      </c>
      <c r="AU175" s="30" t="e">
        <f t="shared" si="302"/>
        <v>#N/A</v>
      </c>
      <c r="AV175" s="30" t="e">
        <f t="shared" si="303"/>
        <v>#N/A</v>
      </c>
      <c r="AW175" s="31" t="e">
        <f>IF(OR(Hypothèses!$B$4=17,Hypothèses!$B$4=18,Hypothèses!$B$4=19,Hypothèses!$B$4=20),
IF($D175="Pressio.",
IF(OR($E175=3,$E175=1,$E175=4),AV175,AU175),
IF($D175="Pénétro.",
IF(OR($E175=3,$E175=1,$E175=4),AV175,AU175))),IF($D175="Pressio.",
IF($E175=3,AV175,AU175),
IF($D175="Pénétro.",
IF($E175=4,AV175,AU175))))</f>
        <v>#N/A</v>
      </c>
      <c r="AX175" s="31">
        <v>0</v>
      </c>
      <c r="AY175" s="102" t="e">
        <f>IF(NDC!$H$10="Oui",(VLOOKUP($B$3,'Coeff EC7'!$T$39:$X$59,2,0)*AW175+VLOOKUP($B$3,'Coeff EC7'!$T$65:$X$85,2,0)*Model0.1T!AX175)/1.5,PI()*AU$12*$Q175*($B175-$B174)*0.15/10+AY174)</f>
        <v>#N/A</v>
      </c>
      <c r="AZ175" s="102" t="e">
        <f>(VLOOKUP($B$3,'Coeff EC7'!$T$39:$X$59,3,0)*AW175+VLOOKUP($B$3,'Coeff EC7'!$T$65:$X$85,3,0)*Model0.1T!AX175)/1.1</f>
        <v>#N/A</v>
      </c>
      <c r="BA175" s="102" t="e">
        <f t="shared" si="273"/>
        <v>#N/A</v>
      </c>
      <c r="BB175" s="102" t="e">
        <f t="shared" si="274"/>
        <v>#N/A</v>
      </c>
      <c r="BC175" s="414" t="e">
        <f>IF(AND(AY175&gt;NDC!$C$63,AZ175&gt;NDC!$C$65,BA175&gt;NDC!$D$73,BB175&gt;NDC!$D$74,$B175&gt;NDC!$H$22-0.1+MIN(3*BC$12,1.5)),0,1)</f>
        <v>#N/A</v>
      </c>
      <c r="BD175" s="86" t="b">
        <f t="shared" si="242"/>
        <v>0</v>
      </c>
      <c r="BE175" s="86">
        <f t="shared" si="275"/>
        <v>0.5</v>
      </c>
      <c r="BF175" s="86">
        <f t="shared" si="243"/>
        <v>0.5</v>
      </c>
      <c r="BG175" s="30" t="e">
        <f t="shared" ca="1" si="276"/>
        <v>#DIV/0!</v>
      </c>
      <c r="BH175" s="85" t="e">
        <f ca="1">IF(AN175&lt;=Hypothèses!$V$7,Hypothèses!$W$7,IF(AN175&lt;=Hypothèses!$V$8,Hypothèses!$W$8,IF(AN175&lt;=Hypothèses!$V$9,Hypothèses!$W$9,IF(AN175&lt;=Hypothèses!$V$10,Hypothèses!$W$10,IF(AN175&lt;=Hypothèses!$V$11,Hypothèses!$W$11,IF(AN175&lt;=Hypothèses!$V$12,Hypothèses!$W$12,IF(AN175&lt;=Hypothèses!$V$13,Hypothèses!$W$13,IF(AN175&lt;=Hypothèses!$V$14,Hypothèses!$W$14,IF(AN175&lt;=Hypothèses!$V$15,Hypothèses!$W$15,IF(AN175&lt;=Hypothèses!$V$16,Hypothèses!$W$16,IF(AN175&lt;=Hypothèses!$V$17,Hypothèses!$W$17,IF(AN175&lt;=Hypothèses!$V$18,Hypothèses!$W$18,""))))))))))))</f>
        <v>#DIV/0!</v>
      </c>
      <c r="BI175" s="87" t="e">
        <f t="shared" ca="1" si="318"/>
        <v>#DIV/0!</v>
      </c>
      <c r="BJ175" s="88" t="e">
        <f ca="1">IF(AN175&lt;=Hypothèses!$V$7,Hypothèses!$X$7,IF(AN175&lt;=Hypothèses!$V$8,Hypothèses!$X$8,IF(AN175&lt;=Hypothèses!$V$9,Hypothèses!$X$9,IF(AN175&lt;=Hypothèses!$V$10,Hypothèses!$X$10,IF(AN175&lt;=Hypothèses!$V$11,Hypothèses!$X$11,IF(AN175&lt;=Hypothèses!$V$12,Hypothèses!$X$12,IF(AN175&lt;=Hypothèses!$V$13,Hypothèses!$X$13,IF(AN175&lt;=Hypothèses!$V$14,Hypothèses!$X$14,IF(AN175&lt;=Hypothèses!$V$15,Hypothèses!$X$15,IF(AN175&lt;=Hypothèses!$V$16,Hypothèses!$X$16,IF(AN175&lt;=Hypothèses!$U$17,Hypothèses!$W$17,IF(AN175&lt;=Hypothèses!$U$18,Hypothèses!$W$18,""))))))))))))</f>
        <v>#DIV/0!</v>
      </c>
      <c r="BK175" s="95" t="e">
        <f t="shared" ca="1" si="277"/>
        <v>#DIV/0!</v>
      </c>
      <c r="BL175" s="101">
        <f t="shared" si="325"/>
        <v>0</v>
      </c>
      <c r="BM175" s="91">
        <f t="shared" si="244"/>
        <v>0</v>
      </c>
      <c r="BN175" s="30" t="e">
        <f t="shared" si="304"/>
        <v>#N/A</v>
      </c>
      <c r="BO175" s="30" t="e">
        <f t="shared" si="305"/>
        <v>#N/A</v>
      </c>
      <c r="BP175" s="31" t="e">
        <f>IF(OR(Hypothèses!$B$4=17,Hypothèses!$B$4=18,Hypothèses!$B$4=19,Hypothèses!$B$4=20),
IF($D175="Pressio.",
IF(OR($E175=3,$E175=1,$E175=4),BO175,BN175),
IF($D175="Pénétro.",
IF(OR($E175=3,$E175=1,$E175=4),BO175,BN175))),IF($D175="Pressio.",
IF($E175=3,BO175,BN175),
IF($D175="Pénétro.",
IF($E175=4,BO175,BN175))))</f>
        <v>#N/A</v>
      </c>
      <c r="BQ175" s="31">
        <v>0</v>
      </c>
      <c r="BR175" s="102" t="e">
        <f>IF(NDC!$H$10="Oui",(VLOOKUP($B$3,'Coeff EC7'!$T$39:$X$59,2,0)*BP175+VLOOKUP($B$3,'Coeff EC7'!$T$65:$X$85,2,0)*Model0.1T!BQ175)/1.5,PI()*BN$12*$Q175*($B175-$B174)*0.15/10+BR174)</f>
        <v>#N/A</v>
      </c>
      <c r="BS175" s="102" t="e">
        <f>(VLOOKUP($B$3,'Coeff EC7'!$T$39:$X$59,3,0)*BP175+VLOOKUP($B$3,'Coeff EC7'!$T$65:$X$85,3,0)*Model0.1T!BQ175)/1.1</f>
        <v>#N/A</v>
      </c>
      <c r="BT175" s="102" t="e">
        <f t="shared" si="278"/>
        <v>#N/A</v>
      </c>
      <c r="BU175" s="102" t="e">
        <f t="shared" si="279"/>
        <v>#N/A</v>
      </c>
      <c r="BV175" s="414" t="e">
        <f>IF(AND(BR175&gt;NDC!$C$63,BS175&gt;NDC!$C$65,BT175&gt;NDC!$D$73,BU175&gt;NDC!$D$74,$B175&gt;NDC!$H$22-0.1+MIN(3*BV$12,1.5)),0,1)</f>
        <v>#N/A</v>
      </c>
      <c r="BW175" s="86" t="b">
        <f t="shared" si="245"/>
        <v>0</v>
      </c>
      <c r="BX175" s="86">
        <f t="shared" si="246"/>
        <v>0.5</v>
      </c>
      <c r="BY175" s="86">
        <f t="shared" si="247"/>
        <v>0.5</v>
      </c>
      <c r="BZ175" s="30" t="e">
        <f t="shared" ca="1" si="280"/>
        <v>#DIV/0!</v>
      </c>
      <c r="CA175" s="85" t="e">
        <f ca="1">IF(BG175&lt;=Hypothèses!$V$7,Hypothèses!$W$7,IF(BG175&lt;=Hypothèses!$V$8,Hypothèses!$W$8,IF(BG175&lt;=Hypothèses!$V$9,Hypothèses!$W$9,IF(BG175&lt;=Hypothèses!$V$10,Hypothèses!$W$10,IF(BG175&lt;=Hypothèses!$V$11,Hypothèses!$W$11,IF(BG175&lt;=Hypothèses!$V$12,Hypothèses!$W$12,IF(BG175&lt;=Hypothèses!$V$13,Hypothèses!$W$13,IF(BG175&lt;=Hypothèses!$V$14,Hypothèses!$W$14,IF(BG175&lt;=Hypothèses!$V$15,Hypothèses!$W$15,IF(BG175&lt;=Hypothèses!$V$16,Hypothèses!$W$16,IF(BG175&lt;=Hypothèses!$V$17,Hypothèses!$W$17,IF(BG175&lt;=Hypothèses!$V$18,Hypothèses!$W$18,""))))))))))))</f>
        <v>#DIV/0!</v>
      </c>
      <c r="CB175" s="87" t="e">
        <f t="shared" ca="1" si="319"/>
        <v>#DIV/0!</v>
      </c>
      <c r="CC175" s="88" t="e">
        <f ca="1">IF(BG175&lt;=Hypothèses!$V$7,Hypothèses!$X$7,IF(BG175&lt;=Hypothèses!$V$8,Hypothèses!$X$8,IF(BG175&lt;=Hypothèses!$V$9,Hypothèses!$X$9,IF(BG175&lt;=Hypothèses!$V$10,Hypothèses!$X$10,IF(BG175&lt;=Hypothèses!$V$11,Hypothèses!$X$11,IF(BG175&lt;=Hypothèses!$V$12,Hypothèses!$X$12,IF(BG175&lt;=Hypothèses!$V$13,Hypothèses!$X$13,IF(BG175&lt;=Hypothèses!$V$14,Hypothèses!$X$14,IF(BG175&lt;=Hypothèses!$V$15,Hypothèses!$X$15,IF(BG175&lt;=Hypothèses!$V$16,Hypothèses!$X$16,IF(BG175&lt;=Hypothèses!$U$17,Hypothèses!$W$17,IF(BG175&lt;=Hypothèses!$U$18,Hypothèses!$W$18,""))))))))))))</f>
        <v>#DIV/0!</v>
      </c>
      <c r="CD175" s="95" t="e">
        <f t="shared" ca="1" si="281"/>
        <v>#DIV/0!</v>
      </c>
      <c r="CE175" s="101">
        <f t="shared" si="326"/>
        <v>0</v>
      </c>
      <c r="CF175" s="91">
        <f t="shared" si="248"/>
        <v>0</v>
      </c>
      <c r="CG175" s="30" t="e">
        <f t="shared" si="306"/>
        <v>#N/A</v>
      </c>
      <c r="CH175" s="30" t="e">
        <f t="shared" si="307"/>
        <v>#N/A</v>
      </c>
      <c r="CI175" s="31" t="e">
        <f>IF(OR(Hypothèses!$B$4=17,Hypothèses!$B$4=18,Hypothèses!$B$4=19,Hypothèses!$B$4=20),
IF($D175="Pressio.",
IF(OR($E175=3,$E175=1,$E175=4),CH175,CG175),
IF($D175="Pénétro.",
IF(OR($E175=3,$E175=1,$E175=4),CH175,CG175))),IF($D175="Pressio.",
IF($E175=3,CH175,CG175),
IF($D175="Pénétro.",
IF($E175=4,CH175,CG175))))</f>
        <v>#N/A</v>
      </c>
      <c r="CJ175" s="31">
        <v>0</v>
      </c>
      <c r="CK175" s="102" t="e">
        <f>IF(NDC!$H$10="Oui",(VLOOKUP($B$3,'Coeff EC7'!$T$39:$X$59,2,0)*CI175+VLOOKUP($B$3,'Coeff EC7'!$T$65:$X$85,2,0)*Model0.1T!CJ175)/1.5,PI()*CG$12*$Q175*($B175-$B174)*0.15/10+CK174)</f>
        <v>#N/A</v>
      </c>
      <c r="CL175" s="102" t="e">
        <f>(VLOOKUP($B$3,'Coeff EC7'!$T$39:$X$59,3,0)*CI175+VLOOKUP($B$3,'Coeff EC7'!$T$65:$X$85,3,0)*Model0.1T!CJ175)/1.1</f>
        <v>#N/A</v>
      </c>
      <c r="CM175" s="102" t="e">
        <f t="shared" si="282"/>
        <v>#N/A</v>
      </c>
      <c r="CN175" s="102" t="e">
        <f t="shared" si="283"/>
        <v>#N/A</v>
      </c>
      <c r="CO175" s="414" t="e">
        <f>IF(AND(CK175&gt;NDC!$C$63,CL175&gt;NDC!$C$65,CM175&gt;NDC!$D$73,CN175&gt;NDC!$D$74,$B175&gt;NDC!$H$22-0.1+MIN(3*CO$12,1.5)),0,1)</f>
        <v>#N/A</v>
      </c>
      <c r="CP175" s="86" t="b">
        <f t="shared" si="249"/>
        <v>0</v>
      </c>
      <c r="CQ175" s="86">
        <f t="shared" si="250"/>
        <v>0.5</v>
      </c>
      <c r="CR175" s="86">
        <f t="shared" si="251"/>
        <v>0.5</v>
      </c>
      <c r="CS175" s="30" t="e">
        <f t="shared" ca="1" si="284"/>
        <v>#DIV/0!</v>
      </c>
      <c r="CT175" s="85" t="e">
        <f ca="1">IF(BZ175&lt;=Hypothèses!$V$7,Hypothèses!$W$7,IF(BZ175&lt;=Hypothèses!$V$8,Hypothèses!$W$8,IF(BZ175&lt;=Hypothèses!$V$9,Hypothèses!$W$9,IF(BZ175&lt;=Hypothèses!$V$10,Hypothèses!$W$10,IF(BZ175&lt;=Hypothèses!$V$11,Hypothèses!$W$11,IF(BZ175&lt;=Hypothèses!$V$12,Hypothèses!$W$12,IF(BZ175&lt;=Hypothèses!$V$13,Hypothèses!$W$13,IF(BZ175&lt;=Hypothèses!$V$14,Hypothèses!$W$14,IF(BZ175&lt;=Hypothèses!$V$15,Hypothèses!$W$15,IF(BZ175&lt;=Hypothèses!$V$16,Hypothèses!$W$16,IF(BZ175&lt;=Hypothèses!$V$17,Hypothèses!$W$17,IF(BZ175&lt;=Hypothèses!$V$18,Hypothèses!$W$18,""))))))))))))</f>
        <v>#DIV/0!</v>
      </c>
      <c r="CU175" s="87" t="e">
        <f t="shared" ca="1" si="320"/>
        <v>#DIV/0!</v>
      </c>
      <c r="CV175" s="88" t="e">
        <f ca="1">IF(BZ175&lt;=Hypothèses!$V$7,Hypothèses!$X$7,IF(BZ175&lt;=Hypothèses!$V$8,Hypothèses!$X$8,IF(BZ175&lt;=Hypothèses!$V$9,Hypothèses!$X$9,IF(BZ175&lt;=Hypothèses!$V$10,Hypothèses!$X$10,IF(BZ175&lt;=Hypothèses!$V$11,Hypothèses!$X$11,IF(BZ175&lt;=Hypothèses!$V$12,Hypothèses!$X$12,IF(BZ175&lt;=Hypothèses!$V$13,Hypothèses!$X$13,IF(BZ175&lt;=Hypothèses!$V$14,Hypothèses!$X$14,IF(BZ175&lt;=Hypothèses!$V$15,Hypothèses!$X$15,IF(BZ175&lt;=Hypothèses!$V$16,Hypothèses!$X$16,IF(BZ175&lt;=Hypothèses!$U$17,Hypothèses!$W$17,IF(BZ175&lt;=Hypothèses!$U$18,Hypothèses!$W$18,""))))))))))))</f>
        <v>#DIV/0!</v>
      </c>
      <c r="CW175" s="95" t="e">
        <f t="shared" ca="1" si="285"/>
        <v>#DIV/0!</v>
      </c>
      <c r="CX175" s="101">
        <f t="shared" si="327"/>
        <v>0</v>
      </c>
      <c r="CY175" s="91">
        <f t="shared" si="252"/>
        <v>0</v>
      </c>
      <c r="CZ175" s="30" t="e">
        <f t="shared" si="308"/>
        <v>#N/A</v>
      </c>
      <c r="DA175" s="30" t="e">
        <f t="shared" si="309"/>
        <v>#N/A</v>
      </c>
      <c r="DB175" s="31" t="e">
        <f>IF(OR(Hypothèses!$B$4=17,Hypothèses!$B$4=18,Hypothèses!$B$4=19,Hypothèses!$B$4=20),
IF($D175="Pressio.",
IF(OR($E175=3,$E175=1,$E175=4),DA175,CZ175),
IF($D175="Pénétro.",
IF(OR($E175=3,$E175=1,$E175=4),DA175,CZ175))),IF($D175="Pressio.",
IF($E175=3,DA175,CZ175),
IF($D175="Pénétro.",
IF($E175=4,DA175,CZ175))))</f>
        <v>#N/A</v>
      </c>
      <c r="DC175" s="31">
        <v>0</v>
      </c>
      <c r="DD175" s="102" t="e">
        <f>IF(NDC!$H$10="Oui",(VLOOKUP($B$3,'Coeff EC7'!$T$39:$X$59,2,0)*DB175+VLOOKUP($B$3,'Coeff EC7'!$T$65:$X$85,2,0)*Model0.1T!DC175)/1.5,PI()*CZ$12*$Q175*($B175-$B174)*0.15/10+DD174)</f>
        <v>#N/A</v>
      </c>
      <c r="DE175" s="102" t="e">
        <f>(VLOOKUP($B$3,'Coeff EC7'!$T$39:$X$59,3,0)*DB175+VLOOKUP($B$3,'Coeff EC7'!$T$65:$X$85,3,0)*Model0.1T!DC175)/1.1</f>
        <v>#N/A</v>
      </c>
      <c r="DF175" s="102" t="e">
        <f t="shared" si="286"/>
        <v>#N/A</v>
      </c>
      <c r="DG175" s="102" t="e">
        <f t="shared" si="287"/>
        <v>#N/A</v>
      </c>
      <c r="DH175" s="414" t="e">
        <f>IF(AND(DD175&gt;NDC!$C$63,DE175&gt;NDC!$C$65,DF175&gt;NDC!$D$73,DG175&gt;NDC!$D$74,$B175&gt;NDC!$H$22-0.1+MIN(3*DH$12,1.5)),0,1)</f>
        <v>#N/A</v>
      </c>
      <c r="DI175" s="86" t="b">
        <f t="shared" si="253"/>
        <v>0</v>
      </c>
      <c r="DJ175" s="86">
        <f t="shared" si="254"/>
        <v>0.5</v>
      </c>
      <c r="DK175" s="86">
        <f t="shared" si="255"/>
        <v>0.5</v>
      </c>
      <c r="DL175" s="30" t="e">
        <f t="shared" ca="1" si="288"/>
        <v>#DIV/0!</v>
      </c>
      <c r="DM175" s="85" t="e">
        <f ca="1">IF(CS175&lt;=Hypothèses!$V$7,Hypothèses!$W$7,IF(CS175&lt;=Hypothèses!$V$8,Hypothèses!$W$8,IF(CS175&lt;=Hypothèses!$V$9,Hypothèses!$W$9,IF(CS175&lt;=Hypothèses!$V$10,Hypothèses!$W$10,IF(CS175&lt;=Hypothèses!$V$11,Hypothèses!$W$11,IF(CS175&lt;=Hypothèses!$V$12,Hypothèses!$W$12,IF(CS175&lt;=Hypothèses!$V$13,Hypothèses!$W$13,IF(CS175&lt;=Hypothèses!$V$14,Hypothèses!$W$14,IF(CS175&lt;=Hypothèses!$V$15,Hypothèses!$W$15,IF(CS175&lt;=Hypothèses!$V$16,Hypothèses!$W$16,IF(CS175&lt;=Hypothèses!$V$17,Hypothèses!$W$17,IF(CS175&lt;=Hypothèses!$V$18,Hypothèses!$W$18,""))))))))))))</f>
        <v>#DIV/0!</v>
      </c>
      <c r="DN175" s="87" t="e">
        <f t="shared" ca="1" si="321"/>
        <v>#DIV/0!</v>
      </c>
      <c r="DO175" s="88" t="e">
        <f ca="1">IF(CS175&lt;=Hypothèses!$V$7,Hypothèses!$X$7,IF(CS175&lt;=Hypothèses!$V$8,Hypothèses!$X$8,IF(CS175&lt;=Hypothèses!$V$9,Hypothèses!$X$9,IF(CS175&lt;=Hypothèses!$V$10,Hypothèses!$X$10,IF(CS175&lt;=Hypothèses!$V$11,Hypothèses!$X$11,IF(CS175&lt;=Hypothèses!$V$12,Hypothèses!$X$12,IF(CS175&lt;=Hypothèses!$V$13,Hypothèses!$X$13,IF(CS175&lt;=Hypothèses!$V$14,Hypothèses!$X$14,IF(CS175&lt;=Hypothèses!$V$15,Hypothèses!$X$15,IF(CS175&lt;=Hypothèses!$V$16,Hypothèses!$X$16,IF(CS175&lt;=Hypothèses!$U$17,Hypothèses!$W$17,IF(CS175&lt;=Hypothèses!$U$18,Hypothèses!$W$18,""))))))))))))</f>
        <v>#DIV/0!</v>
      </c>
      <c r="DP175" s="95" t="e">
        <f t="shared" ca="1" si="289"/>
        <v>#DIV/0!</v>
      </c>
      <c r="DQ175" s="101">
        <f t="shared" si="328"/>
        <v>0</v>
      </c>
      <c r="DR175" s="91">
        <f t="shared" si="256"/>
        <v>0</v>
      </c>
      <c r="DS175" s="30" t="e">
        <f t="shared" si="310"/>
        <v>#N/A</v>
      </c>
      <c r="DT175" s="30" t="e">
        <f t="shared" si="311"/>
        <v>#N/A</v>
      </c>
      <c r="DU175" s="31" t="e">
        <f>IF(OR(Hypothèses!$B$4=17,Hypothèses!$B$4=18,Hypothèses!$B$4=19,Hypothèses!$B$4=20),
IF($D175="Pressio.",
IF(OR($E175=3,$E175=1,$E175=4),DT175,DS175),
IF($D175="Pénétro.",
IF(OR($E175=3,$E175=1,$E175=4),DT175,DS175))),IF($D175="Pressio.",
IF($E175=3,DT175,DS175),
IF($D175="Pénétro.",
IF($E175=4,DT175,DS175))))</f>
        <v>#N/A</v>
      </c>
      <c r="DV175" s="31">
        <v>0</v>
      </c>
      <c r="DW175" s="102" t="e">
        <f>IF(NDC!$H$10="Oui",(VLOOKUP($B$3,'Coeff EC7'!$T$39:$X$59,2,0)*DU175+VLOOKUP($B$3,'Coeff EC7'!$T$65:$X$85,2,0)*Model0.1T!DV175)/1.5,PI()*DS$12*$Q175*($B175-$B174)*0.15/10+DW174)</f>
        <v>#N/A</v>
      </c>
      <c r="DX175" s="102" t="e">
        <f>(VLOOKUP($B$3,'Coeff EC7'!$T$39:$X$59,3,0)*DU175+VLOOKUP($B$3,'Coeff EC7'!$T$65:$X$85,3,0)*Model0.1T!DV175)/1.1</f>
        <v>#N/A</v>
      </c>
      <c r="DY175" s="102" t="e">
        <f t="shared" si="290"/>
        <v>#N/A</v>
      </c>
      <c r="DZ175" s="102" t="e">
        <f t="shared" si="291"/>
        <v>#N/A</v>
      </c>
      <c r="EA175" s="414" t="e">
        <f>IF(AND(DW175&gt;NDC!$C$63,DX175&gt;NDC!$C$65,DY175&gt;NDC!$D$73,DZ175&gt;NDC!$D$74,$B175&gt;NDC!$H$22-0.1+MIN(3*EA$12,1.5)),0,1)</f>
        <v>#N/A</v>
      </c>
      <c r="EB175" s="86" t="b">
        <f t="shared" si="257"/>
        <v>0</v>
      </c>
      <c r="EC175" s="418">
        <f t="shared" si="258"/>
        <v>0.51</v>
      </c>
      <c r="ED175" s="86">
        <f t="shared" si="259"/>
        <v>0.51</v>
      </c>
      <c r="EE175" s="30" t="e">
        <f t="shared" ca="1" si="292"/>
        <v>#DIV/0!</v>
      </c>
      <c r="EF175" s="85" t="e">
        <f ca="1">IF(DL175&lt;=Hypothèses!$V$7,Hypothèses!$W$7,IF(DL175&lt;=Hypothèses!$V$8,Hypothèses!$W$8,IF(DL175&lt;=Hypothèses!$V$9,Hypothèses!$W$9,IF(DL175&lt;=Hypothèses!$V$10,Hypothèses!$W$10,IF(DL175&lt;=Hypothèses!$V$11,Hypothèses!$W$11,IF(DL175&lt;=Hypothèses!$V$12,Hypothèses!$W$12,IF(DL175&lt;=Hypothèses!$V$13,Hypothèses!$W$13,IF(DL175&lt;=Hypothèses!$V$14,Hypothèses!$W$14,IF(DL175&lt;=Hypothèses!$V$15,Hypothèses!$W$15,IF(DL175&lt;=Hypothèses!$V$16,Hypothèses!$W$16,IF(DL175&lt;=Hypothèses!$V$17,Hypothèses!$W$17,IF(DL175&lt;=Hypothèses!$V$18,Hypothèses!$W$18,""))))))))))))</f>
        <v>#DIV/0!</v>
      </c>
      <c r="EG175" s="87" t="e">
        <f t="shared" ca="1" si="322"/>
        <v>#DIV/0!</v>
      </c>
      <c r="EH175" s="88" t="e">
        <f ca="1">IF(DL175&lt;=Hypothèses!$V$7,Hypothèses!$X$7,IF(DL175&lt;=Hypothèses!$V$8,Hypothèses!$X$8,IF(DL175&lt;=Hypothèses!$V$9,Hypothèses!$X$9,IF(DL175&lt;=Hypothèses!$V$10,Hypothèses!$X$10,IF(DL175&lt;=Hypothèses!$V$11,Hypothèses!$X$11,IF(DL175&lt;=Hypothèses!$V$12,Hypothèses!$X$12,IF(DL175&lt;=Hypothèses!$V$13,Hypothèses!$X$13,IF(DL175&lt;=Hypothèses!$V$14,Hypothèses!$X$14,IF(DL175&lt;=Hypothèses!$V$15,Hypothèses!$X$15,IF(DL175&lt;=Hypothèses!$V$16,Hypothèses!$X$16,IF(DL175&lt;=Hypothèses!$U$17,Hypothèses!$W$17,IF(DL175&lt;=Hypothèses!$U$18,Hypothèses!$W$18,""))))))))))))</f>
        <v>#DIV/0!</v>
      </c>
      <c r="EI175" s="95" t="e">
        <f t="shared" ca="1" si="293"/>
        <v>#DIV/0!</v>
      </c>
      <c r="EJ175" s="101">
        <f t="shared" si="329"/>
        <v>0</v>
      </c>
      <c r="EK175" s="91">
        <f t="shared" si="260"/>
        <v>0</v>
      </c>
      <c r="EL175" s="30" t="e">
        <f t="shared" si="312"/>
        <v>#N/A</v>
      </c>
      <c r="EM175" s="30" t="e">
        <f t="shared" si="313"/>
        <v>#N/A</v>
      </c>
      <c r="EN175" s="31" t="e">
        <f>IF(OR(Hypothèses!$B$4=17,Hypothèses!$B$4=18,Hypothèses!$B$4=19,Hypothèses!$B$4=20),
IF($D175="Pressio.",
IF(OR($E175=3,$E175=1,$E175=4),EM175,EL175),
IF($D175="Pénétro.",
IF(OR($E175=3,$E175=1,$E175=4),EM175,EL175))),IF($D175="Pressio.",
IF($E175=3,EM175,EL175),
IF($D175="Pénétro.",
IF($E175=4,EM175,EL175))))</f>
        <v>#N/A</v>
      </c>
      <c r="EO175" s="31">
        <v>0</v>
      </c>
      <c r="EP175" s="102" t="e">
        <f>IF(NDC!$H$10="Oui",(VLOOKUP($B$3,'Coeff EC7'!$T$39:$X$59,2,0)*EN175+VLOOKUP($B$3,'Coeff EC7'!$T$65:$X$85,2,0)*Model0.1T!EO175)/1.5,PI()*EL$12*$Q175*($B175-$B174)*0.15/10+EP174)</f>
        <v>#N/A</v>
      </c>
      <c r="EQ175" s="102" t="e">
        <f>(VLOOKUP($B$3,'Coeff EC7'!$T$39:$X$59,3,0)*EN175+VLOOKUP($B$3,'Coeff EC7'!$T$65:$X$85,3,0)*Model0.1T!EO175)/1.1</f>
        <v>#N/A</v>
      </c>
      <c r="ER175" s="102" t="e">
        <f t="shared" si="294"/>
        <v>#N/A</v>
      </c>
      <c r="ES175" s="102" t="e">
        <f t="shared" si="295"/>
        <v>#N/A</v>
      </c>
      <c r="ET175" s="414" t="e">
        <f>IF(AND(EP175&gt;NDC!$C$63,EQ175&gt;NDC!$C$65,ER175&gt;NDC!$D$73,ES175&gt;NDC!$D$74,$B175&gt;NDC!$H$22-0.1+MIN(3*ET$12,1.5)),0,1)</f>
        <v>#N/A</v>
      </c>
      <c r="EU175" s="86" t="b">
        <f t="shared" si="261"/>
        <v>0</v>
      </c>
      <c r="EV175" s="86">
        <f t="shared" si="262"/>
        <v>0.61</v>
      </c>
      <c r="EW175" s="86">
        <f t="shared" si="263"/>
        <v>0.61</v>
      </c>
      <c r="EX175" s="30" t="e">
        <f t="shared" ca="1" si="296"/>
        <v>#DIV/0!</v>
      </c>
      <c r="EY175" s="85" t="e">
        <f ca="1">IF(EE175&lt;=Hypothèses!$V$7,Hypothèses!$W$7,IF(EE175&lt;=Hypothèses!$V$8,Hypothèses!$W$8,IF(EE175&lt;=Hypothèses!$V$9,Hypothèses!$W$9,IF(EE175&lt;=Hypothèses!$V$10,Hypothèses!$W$10,IF(EE175&lt;=Hypothèses!$V$11,Hypothèses!$W$11,IF(EE175&lt;=Hypothèses!$V$12,Hypothèses!$W$12,IF(EE175&lt;=Hypothèses!$V$13,Hypothèses!$W$13,IF(EE175&lt;=Hypothèses!$V$14,Hypothèses!$W$14,IF(EE175&lt;=Hypothèses!$V$15,Hypothèses!$W$15,IF(EE175&lt;=Hypothèses!$V$16,Hypothèses!$W$16,IF(EE175&lt;=Hypothèses!$V$17,Hypothèses!$W$17,IF(EE175&lt;=Hypothèses!$V$18,Hypothèses!$W$18,""))))))))))))</f>
        <v>#DIV/0!</v>
      </c>
      <c r="EZ175" s="87" t="e">
        <f t="shared" ca="1" si="323"/>
        <v>#DIV/0!</v>
      </c>
      <c r="FA175" s="88" t="e">
        <f ca="1">IF(EE175&lt;=Hypothèses!$V$7,Hypothèses!$X$7,IF(EE175&lt;=Hypothèses!$V$8,Hypothèses!$X$8,IF(EE175&lt;=Hypothèses!$V$9,Hypothèses!$X$9,IF(EE175&lt;=Hypothèses!$V$10,Hypothèses!$X$10,IF(EE175&lt;=Hypothèses!$V$11,Hypothèses!$X$11,IF(EE175&lt;=Hypothèses!$V$12,Hypothèses!$X$12,IF(EE175&lt;=Hypothèses!$V$13,Hypothèses!$X$13,IF(EE175&lt;=Hypothèses!$V$14,Hypothèses!$X$14,IF(EE175&lt;=Hypothèses!$V$15,Hypothèses!$X$15,IF(EE175&lt;=Hypothèses!$V$16,Hypothèses!$X$16,IF(EE175&lt;=Hypothèses!$U$17,Hypothèses!$W$17,IF(EE175&lt;=Hypothèses!$U$18,Hypothèses!$W$18,""))))))))))))</f>
        <v>#DIV/0!</v>
      </c>
      <c r="FB175" s="95" t="e">
        <f t="shared" ca="1" si="297"/>
        <v>#DIV/0!</v>
      </c>
      <c r="FC175" s="101">
        <f t="shared" si="330"/>
        <v>0</v>
      </c>
      <c r="FD175" s="91">
        <f t="shared" si="264"/>
        <v>0</v>
      </c>
      <c r="FE175" s="30" t="e">
        <f t="shared" si="314"/>
        <v>#N/A</v>
      </c>
      <c r="FF175" s="30" t="e">
        <f t="shared" si="315"/>
        <v>#N/A</v>
      </c>
      <c r="FG175" s="31" t="e">
        <f>IF(OR(Hypothèses!$B$4=17,Hypothèses!$B$4=18,Hypothèses!$B$4=19,Hypothèses!$B$4=20),
IF($D175="Pressio.",
IF(OR($E175=3,$E175=1,$E175=4),FF175,FE175),
IF($D175="Pénétro.",
IF(OR($E175=3,$E175=1,$E175=4),FF175,FE175))),IF($D175="Pressio.",
IF($E175=3,FF175,FE175),
IF($D175="Pénétro.",
IF($E175=4,FF175,FE175))))</f>
        <v>#N/A</v>
      </c>
      <c r="FH175" s="31">
        <v>0</v>
      </c>
      <c r="FI175" s="102" t="e">
        <f>IF(NDC!$H$10="Oui",(VLOOKUP($B$3,'Coeff EC7'!$T$39:$X$59,2,0)*FG175+VLOOKUP($B$3,'Coeff EC7'!$T$65:$X$85,2,0)*Model0.1T!FH175)/1.5,PI()*FE$12*$Q175*($B175-$B174)*0.15/10+FI174)</f>
        <v>#N/A</v>
      </c>
      <c r="FJ175" s="102" t="e">
        <f>(VLOOKUP($B$3,'Coeff EC7'!$T$39:$X$59,3,0)*FG175+VLOOKUP($B$3,'Coeff EC7'!$T$65:$X$85,3,0)*Model0.1T!FH175)/1.1</f>
        <v>#N/A</v>
      </c>
      <c r="FK175" s="102" t="e">
        <f t="shared" si="298"/>
        <v>#N/A</v>
      </c>
      <c r="FL175" s="102" t="e">
        <f t="shared" si="299"/>
        <v>#N/A</v>
      </c>
      <c r="FM175" s="414" t="e">
        <f>IF(AND(FI175&gt;NDC!$C$63,FJ175&gt;NDC!$C$65,FK175&gt;NDC!$D$73,FL175&gt;NDC!$D$74,$B175&gt;NDC!$H$22-0.1+MIN(3*FM$12,1.5)),0,1)</f>
        <v>#N/A</v>
      </c>
    </row>
    <row r="176" spans="1:169">
      <c r="A176" s="96">
        <f t="shared" si="265"/>
        <v>83.700000000000927</v>
      </c>
      <c r="B176" s="97">
        <v>16.3</v>
      </c>
      <c r="C176" s="81">
        <f>IF(B176&lt;=Hypothèses!$C$7,Hypothèses!$A$7,IF(B176&lt;=Hypothèses!$C$8,Hypothèses!$A$8,IF(B176&lt;=Hypothèses!$C$9,Hypothèses!$A$9,IF(B176&lt;=Hypothèses!$C$10,Hypothèses!$A$10,IF(B176&lt;=Hypothèses!$C$11,Hypothèses!$A$11,IF(B176&lt;=Hypothèses!$C$12,Hypothèses!$A$12,IF(B176&lt;=Hypothèses!$C$13,Hypothèses!$A$13,IF(B176&lt;=Hypothèses!$C$14,Hypothèses!$A$14,IF(B176&lt;=Hypothèses!$C$15,Hypothèses!$A$15,IF(B176&lt;=Hypothèses!$C$16,Hypothèses!$A$16,IF(B176&lt;=Hypothèses!$C$17,Hypothèses!$A$17,IF(B176&lt;=Hypothèses!$C$18,Hypothèses!$A$18,C175))))))))))))</f>
        <v>11</v>
      </c>
      <c r="D176" s="82" t="str">
        <f>IF(B176&lt;=Hypothèses!$C$7,Hypothèses!$R$7,IF(B176&lt;=Hypothèses!$C$8,Hypothèses!$R$8,IF(B176&lt;=Hypothèses!$C$9,Hypothèses!$R$9,IF(B176&lt;=Hypothèses!$C$10,Hypothèses!$R$10,IF(B176&lt;=Hypothèses!$C$11,Hypothèses!$R$11,IF(B176&lt;=Hypothèses!$C$12,Hypothèses!$R$12,IF(B176&lt;=Hypothèses!$C$13,Hypothèses!$R$13,IF(B176&lt;=Hypothèses!$C$14,Hypothèses!$R$14,IF(B176&lt;=Hypothèses!$C$15,Hypothèses!$R$15,IF(B176&lt;=Hypothèses!$C$16,Hypothèses!$R$16,IF(B176&lt;=Hypothèses!$C$17,Hypothèses!$R$17,IF(B176&lt;=Hypothèses!$C$18,Hypothèses!$R$18,D175))))))))))))</f>
        <v>Pressio.</v>
      </c>
      <c r="E176" s="82" t="e">
        <f>IF(B176&lt;=Hypothèses!$C$7,Hypothèses!$G$7,IF(B176&lt;=Hypothèses!$C$8,Hypothèses!$G$8,IF(B176&lt;=Hypothèses!$C$9,Hypothèses!$G$9,IF(B176&lt;=Hypothèses!$C$10,Hypothèses!$G$10,IF(B176&lt;=Hypothèses!$C$11,Hypothèses!$G$11,IF(B176&lt;=Hypothèses!$C$12,Hypothèses!$G$12,IF(B176&lt;=Hypothèses!$C$13,Hypothèses!$G$13,IF(B176&lt;=Hypothèses!$C$14,Hypothèses!$G$14,IF(B176&lt;=Hypothèses!$C$15,Hypothèses!$G$15,IF(B176&lt;=Hypothèses!$C$16,Hypothèses!$G$16,IF(B176&lt;=Hypothèses!$C$17,Hypothèses!$G$17,IF(B176&lt;=Hypothèses!$C$18,Hypothèses!$G$18,E175))))))))))))</f>
        <v>#N/A</v>
      </c>
      <c r="F176" s="82" t="str">
        <f>IF(B176&lt;=Hypothèses!$C$7,Hypothèses!$F$7,IF(B176&lt;=Hypothèses!$C$8,Hypothèses!$F$8,IF(B176&lt;=Hypothèses!$C$9,Hypothèses!$F$9,IF(B176&lt;=Hypothèses!$C$10,Hypothèses!$F$10,IF(B176&lt;=Hypothèses!$C$11,Hypothèses!$F$11,IF(B176&lt;=Hypothèses!$C$12,Hypothèses!$F$12,IF(B176&lt;=Hypothèses!$C$13,Hypothèses!$F$13,IF(B176&lt;=Hypothèses!$C$14,Hypothèses!$F$14,IF(B176&lt;=Hypothèses!$C$15,Hypothèses!$F$15,IF(B176&lt;=Hypothèses!$C$16,Hypothèses!$F$16,IF(B176&lt;=Hypothèses!$C$17,Hypothèses!$F$17,IF(B176&lt;=Hypothèses!$C$18,Hypothèses!$F$18,F175))))))))))))</f>
        <v/>
      </c>
      <c r="G176" s="91">
        <f t="array" ref="G176">INDEX('Coeff EC7'!$U$7:$X$27,
MATCH(Model0.1T!$B$3,'Coeff EC7'!$T$7:$T$27,0),
MATCH(Model0.1T!$D176&amp;Model0.1T!$B$4,
'Coeff EC7'!$U$6:$X$6&amp;
'Coeff EC7'!$U$5:$X$5,0))</f>
        <v>1.4</v>
      </c>
      <c r="H176" s="91">
        <f t="array" ref="H176">INDEX('Coeff EC7'!$Y$7:$AB$27,
MATCH(Model0.1T!$B$3,'Coeff EC7'!$T$7:$T$27,0),
MATCH(Model0.1T!$D176&amp;Model0.1T!$B$4,
'Coeff EC7'!$Y$6:$AB$6&amp;
'Coeff EC7'!$Y$5:$AB$5,0))</f>
        <v>1.7</v>
      </c>
      <c r="I176" s="83">
        <v>0</v>
      </c>
      <c r="J176" s="91" t="e">
        <f t="array" ref="J176">INDEX('Coeff EC7'!$D$33:$Q$33,1,MATCH(D176&amp;E176,'Coeff EC7'!$D$31:$Q$31&amp;'Coeff EC7'!$D$32:$Q$32,0))</f>
        <v>#N/A</v>
      </c>
      <c r="K176" s="91" t="e">
        <f t="array" ref="K176">INDEX('Coeff EC7'!$D$34:$Q$34,1,MATCH(D176&amp;E176,'Coeff EC7'!$D$31:$Q$31&amp;'Coeff EC7'!$D$32:$Q$32,0))</f>
        <v>#N/A</v>
      </c>
      <c r="L176" s="91" t="e">
        <f t="array" ref="L176">INDEX('Coeff EC7'!$D$35:$Q$35,1,MATCH(D176&amp;E176,'Coeff EC7'!$D$31:$Q$31&amp;'Coeff EC7'!$D$32:$Q$32,0))</f>
        <v>#N/A</v>
      </c>
      <c r="M176" s="98" t="e">
        <f t="shared" si="231"/>
        <v>#N/A</v>
      </c>
      <c r="N176" s="99" t="e">
        <f t="array" ref="N176">INDEX('Coeff EC7'!$D$7:$Q$27,MATCH($B$3,'Coeff EC7'!$C$7:$C$27,0),MATCH(D176&amp;E176,'Coeff EC7'!$D$5:$Q$5&amp;'Coeff EC7'!$D$6:$Q$6,0))</f>
        <v>#N/A</v>
      </c>
      <c r="O176" s="99" t="e">
        <f t="array" ref="O176">INDEX('Coeff EC7'!$D$41:$Q$61,MATCH($B$3,'Coeff EC7'!$C$41:$C$61,0),MATCH(D176&amp;E176,'Coeff EC7'!$D$39:$Q$39&amp;'Coeff EC7'!$D$40:$Q$40,0))</f>
        <v>#N/A</v>
      </c>
      <c r="P176" s="30" t="e">
        <f t="shared" si="266"/>
        <v>#N/A</v>
      </c>
      <c r="Q176" s="100" t="e">
        <f t="shared" si="233"/>
        <v>#N/A</v>
      </c>
      <c r="R176" s="86" t="b">
        <f t="shared" si="234"/>
        <v>0</v>
      </c>
      <c r="S176" s="86">
        <f t="shared" si="232"/>
        <v>0.5</v>
      </c>
      <c r="T176" s="86">
        <f t="shared" si="235"/>
        <v>0.5</v>
      </c>
      <c r="U176" s="30" t="e">
        <f t="shared" ca="1" si="267"/>
        <v>#DIV/0!</v>
      </c>
      <c r="V176" s="85" t="str">
        <f>IF(B176&lt;=Hypothèses!$V$7,Hypothèses!$W$7,IF(B176&lt;=Hypothèses!$V$8,Hypothèses!$W$8,IF(B176&lt;=Hypothèses!$V$9,Hypothèses!$W$9,IF(B176&lt;=Hypothèses!$V$10,Hypothèses!$W$10,IF(B176&lt;=Hypothèses!$V$11,Hypothèses!$W$11,IF(B176&lt;=Hypothèses!$V$12,Hypothèses!$W$12,IF(B176&lt;=Hypothèses!$V$13,Hypothèses!$W$13,IF(B176&lt;=Hypothèses!$V$14,Hypothèses!$W$14,IF(B176&lt;=Hypothèses!$V$15,Hypothèses!$W$15,IF(B176&lt;=Hypothèses!$V$16,Hypothèses!$W$16,IF(B176&lt;=Hypothèses!$V$17,Hypothèses!$W$17,IF(B176&lt;=Hypothèses!$V$18,Hypothèses!$W$18,""))))))))))))</f>
        <v/>
      </c>
      <c r="W176" s="87" t="e">
        <f t="shared" ca="1" si="316"/>
        <v>#DIV/0!</v>
      </c>
      <c r="X176" s="88" t="str">
        <f>IF(B176&lt;=Hypothèses!$V$7,Hypothèses!$X$7,IF(B176&lt;=Hypothèses!$V$8,Hypothèses!$X$8,IF(B176&lt;=Hypothèses!$V$9,Hypothèses!$X$9,IF(B176&lt;=Hypothèses!$V$10,Hypothèses!$X$10,IF(B176&lt;=Hypothèses!$V$11,Hypothèses!$X$11,IF(B176&lt;=Hypothèses!$V$12,Hypothèses!$X$12,IF(B176&lt;=Hypothèses!$V$13,Hypothèses!$X$13,IF(B176&lt;=Hypothèses!$V$14,Hypothèses!$X$14,IF(B176&lt;=Hypothèses!$V$15,Hypothèses!$X$15,IF(B176&lt;=Hypothèses!$V$16,Hypothèses!$X$16,IF(B176&lt;=Hypothèses!$U$17,Hypothèses!$W$17,IF(B176&lt;=Hypothèses!$U$18,Hypothèses!$W$18,""))))))))))))</f>
        <v/>
      </c>
      <c r="Y176" s="95" t="e">
        <f t="shared" ca="1" si="236"/>
        <v>#DIV/0!</v>
      </c>
      <c r="Z176" s="101">
        <f t="shared" si="237"/>
        <v>0</v>
      </c>
      <c r="AA176" s="91">
        <f t="shared" si="238"/>
        <v>0</v>
      </c>
      <c r="AB176" s="30" t="e">
        <f t="shared" si="300"/>
        <v>#N/A</v>
      </c>
      <c r="AC176" s="30" t="e">
        <f t="shared" si="301"/>
        <v>#N/A</v>
      </c>
      <c r="AD176" s="31" t="e">
        <f>IF(OR(Hypothèses!$B$4=17,Hypothèses!$B$4=18,Hypothèses!$B$4=19,Hypothèses!$B$4=20),
IF($D176="Pressio.",
IF(OR($E176=3,$E176=1,$E176=4),AC176,AB176),
IF($D176="Pénétro.",
IF(OR($E176=3,$E176=1,$E176=4),AC176,AB176))),IF($D176="Pressio.",
IF($E176=3,AC176,AB176),
IF($D176="Pénétro.",
IF($E176=4,AC176,AB176))))</f>
        <v>#N/A</v>
      </c>
      <c r="AE176" s="31">
        <v>0</v>
      </c>
      <c r="AF176" s="102" t="e">
        <f>IF(NDC!$H$10="Oui",(VLOOKUP($B$3,'Coeff EC7'!$T$39:$X$59,2,0)*AD176+VLOOKUP($B$3,'Coeff EC7'!$T$65:$X$85,2,0)*Model0.1T!AE176)/1.5,PI()*AB$12*$Q176*($B176-$B175)*0.15/10+AF175)</f>
        <v>#N/A</v>
      </c>
      <c r="AG176" s="102" t="e">
        <f>(VLOOKUP($B$3,'Coeff EC7'!$T$39:$X$59,3,0)*AD176+VLOOKUP($B$3,'Coeff EC7'!$T$65:$X$85,3,0)*Model0.1T!AE176)/1.1</f>
        <v>#N/A</v>
      </c>
      <c r="AH176" s="102" t="e">
        <f t="shared" si="268"/>
        <v>#N/A</v>
      </c>
      <c r="AI176" s="102" t="e">
        <f t="shared" si="269"/>
        <v>#N/A</v>
      </c>
      <c r="AJ176" s="414" t="e">
        <f>IF(AND(AF176&gt;NDC!$C$63,AG176&gt;NDC!$C$65,AH176&gt;NDC!$D$73,AI176&gt;NDC!$D$74,$B176&gt;NDC!$H$22-0.1+MIN(3*$AJ$12,1.5)),0,1)</f>
        <v>#N/A</v>
      </c>
      <c r="AK176" s="86" t="b">
        <f t="shared" si="239"/>
        <v>0</v>
      </c>
      <c r="AL176" s="86">
        <f t="shared" si="270"/>
        <v>0.5</v>
      </c>
      <c r="AM176" s="86">
        <f t="shared" si="240"/>
        <v>0.5</v>
      </c>
      <c r="AN176" s="30" t="e">
        <f t="shared" ca="1" si="271"/>
        <v>#DIV/0!</v>
      </c>
      <c r="AO176" s="85" t="e">
        <f ca="1">IF(U176&lt;=Hypothèses!$V$7,Hypothèses!$W$7,IF(U176&lt;=Hypothèses!$V$8,Hypothèses!$W$8,IF(U176&lt;=Hypothèses!$V$9,Hypothèses!$W$9,IF(U176&lt;=Hypothèses!$V$10,Hypothèses!$W$10,IF(U176&lt;=Hypothèses!$V$11,Hypothèses!$W$11,IF(U176&lt;=Hypothèses!$V$12,Hypothèses!$W$12,IF(U176&lt;=Hypothèses!$V$13,Hypothèses!$W$13,IF(U176&lt;=Hypothèses!$V$14,Hypothèses!$W$14,IF(U176&lt;=Hypothèses!$V$15,Hypothèses!$W$15,IF(U176&lt;=Hypothèses!$V$16,Hypothèses!$W$16,IF(U176&lt;=Hypothèses!$V$17,Hypothèses!$W$17,IF(U176&lt;=Hypothèses!$V$18,Hypothèses!$W$18,""))))))))))))</f>
        <v>#DIV/0!</v>
      </c>
      <c r="AP176" s="87" t="e">
        <f t="shared" ca="1" si="317"/>
        <v>#DIV/0!</v>
      </c>
      <c r="AQ176" s="88" t="e">
        <f ca="1">IF(U176&lt;=Hypothèses!$V$7,Hypothèses!$X$7,IF(U176&lt;=Hypothèses!$V$8,Hypothèses!$X$8,IF(U176&lt;=Hypothèses!$V$9,Hypothèses!$X$9,IF(U176&lt;=Hypothèses!$V$10,Hypothèses!$X$10,IF(U176&lt;=Hypothèses!$V$11,Hypothèses!$X$11,IF(U176&lt;=Hypothèses!$V$12,Hypothèses!$X$12,IF(U176&lt;=Hypothèses!$V$13,Hypothèses!$X$13,IF(U176&lt;=Hypothèses!$V$14,Hypothèses!$X$14,IF(U176&lt;=Hypothèses!$V$15,Hypothèses!$X$15,IF(U176&lt;=Hypothèses!$V$16,Hypothèses!$X$16,IF(U176&lt;=Hypothèses!$U$17,Hypothèses!$W$17,IF(U176&lt;=Hypothèses!$U$18,Hypothèses!$W$18,""))))))))))))</f>
        <v>#DIV/0!</v>
      </c>
      <c r="AR176" s="95" t="e">
        <f t="shared" ca="1" si="272"/>
        <v>#DIV/0!</v>
      </c>
      <c r="AS176" s="101">
        <f t="shared" si="324"/>
        <v>0</v>
      </c>
      <c r="AT176" s="91">
        <f t="shared" si="241"/>
        <v>0</v>
      </c>
      <c r="AU176" s="30" t="e">
        <f t="shared" si="302"/>
        <v>#N/A</v>
      </c>
      <c r="AV176" s="30" t="e">
        <f t="shared" si="303"/>
        <v>#N/A</v>
      </c>
      <c r="AW176" s="31" t="e">
        <f>IF(OR(Hypothèses!$B$4=17,Hypothèses!$B$4=18,Hypothèses!$B$4=19,Hypothèses!$B$4=20),
IF($D176="Pressio.",
IF(OR($E176=3,$E176=1,$E176=4),AV176,AU176),
IF($D176="Pénétro.",
IF(OR($E176=3,$E176=1,$E176=4),AV176,AU176))),IF($D176="Pressio.",
IF($E176=3,AV176,AU176),
IF($D176="Pénétro.",
IF($E176=4,AV176,AU176))))</f>
        <v>#N/A</v>
      </c>
      <c r="AX176" s="31">
        <v>0</v>
      </c>
      <c r="AY176" s="102" t="e">
        <f>IF(NDC!$H$10="Oui",(VLOOKUP($B$3,'Coeff EC7'!$T$39:$X$59,2,0)*AW176+VLOOKUP($B$3,'Coeff EC7'!$T$65:$X$85,2,0)*Model0.1T!AX176)/1.5,PI()*AU$12*$Q176*($B176-$B175)*0.15/10+AY175)</f>
        <v>#N/A</v>
      </c>
      <c r="AZ176" s="102" t="e">
        <f>(VLOOKUP($B$3,'Coeff EC7'!$T$39:$X$59,3,0)*AW176+VLOOKUP($B$3,'Coeff EC7'!$T$65:$X$85,3,0)*Model0.1T!AX176)/1.1</f>
        <v>#N/A</v>
      </c>
      <c r="BA176" s="102" t="e">
        <f t="shared" si="273"/>
        <v>#N/A</v>
      </c>
      <c r="BB176" s="102" t="e">
        <f t="shared" si="274"/>
        <v>#N/A</v>
      </c>
      <c r="BC176" s="414" t="e">
        <f>IF(AND(AY176&gt;NDC!$C$63,AZ176&gt;NDC!$C$65,BA176&gt;NDC!$D$73,BB176&gt;NDC!$D$74,$B176&gt;NDC!$H$22-0.1+MIN(3*BC$12,1.5)),0,1)</f>
        <v>#N/A</v>
      </c>
      <c r="BD176" s="86" t="b">
        <f t="shared" si="242"/>
        <v>0</v>
      </c>
      <c r="BE176" s="86">
        <f t="shared" si="275"/>
        <v>0.5</v>
      </c>
      <c r="BF176" s="86">
        <f t="shared" si="243"/>
        <v>0.5</v>
      </c>
      <c r="BG176" s="30" t="e">
        <f t="shared" ca="1" si="276"/>
        <v>#DIV/0!</v>
      </c>
      <c r="BH176" s="85" t="e">
        <f ca="1">IF(AN176&lt;=Hypothèses!$V$7,Hypothèses!$W$7,IF(AN176&lt;=Hypothèses!$V$8,Hypothèses!$W$8,IF(AN176&lt;=Hypothèses!$V$9,Hypothèses!$W$9,IF(AN176&lt;=Hypothèses!$V$10,Hypothèses!$W$10,IF(AN176&lt;=Hypothèses!$V$11,Hypothèses!$W$11,IF(AN176&lt;=Hypothèses!$V$12,Hypothèses!$W$12,IF(AN176&lt;=Hypothèses!$V$13,Hypothèses!$W$13,IF(AN176&lt;=Hypothèses!$V$14,Hypothèses!$W$14,IF(AN176&lt;=Hypothèses!$V$15,Hypothèses!$W$15,IF(AN176&lt;=Hypothèses!$V$16,Hypothèses!$W$16,IF(AN176&lt;=Hypothèses!$V$17,Hypothèses!$W$17,IF(AN176&lt;=Hypothèses!$V$18,Hypothèses!$W$18,""))))))))))))</f>
        <v>#DIV/0!</v>
      </c>
      <c r="BI176" s="87" t="e">
        <f t="shared" ca="1" si="318"/>
        <v>#DIV/0!</v>
      </c>
      <c r="BJ176" s="88" t="e">
        <f ca="1">IF(AN176&lt;=Hypothèses!$V$7,Hypothèses!$X$7,IF(AN176&lt;=Hypothèses!$V$8,Hypothèses!$X$8,IF(AN176&lt;=Hypothèses!$V$9,Hypothèses!$X$9,IF(AN176&lt;=Hypothèses!$V$10,Hypothèses!$X$10,IF(AN176&lt;=Hypothèses!$V$11,Hypothèses!$X$11,IF(AN176&lt;=Hypothèses!$V$12,Hypothèses!$X$12,IF(AN176&lt;=Hypothèses!$V$13,Hypothèses!$X$13,IF(AN176&lt;=Hypothèses!$V$14,Hypothèses!$X$14,IF(AN176&lt;=Hypothèses!$V$15,Hypothèses!$X$15,IF(AN176&lt;=Hypothèses!$V$16,Hypothèses!$X$16,IF(AN176&lt;=Hypothèses!$U$17,Hypothèses!$W$17,IF(AN176&lt;=Hypothèses!$U$18,Hypothèses!$W$18,""))))))))))))</f>
        <v>#DIV/0!</v>
      </c>
      <c r="BK176" s="95" t="e">
        <f t="shared" ca="1" si="277"/>
        <v>#DIV/0!</v>
      </c>
      <c r="BL176" s="101">
        <f t="shared" si="325"/>
        <v>0</v>
      </c>
      <c r="BM176" s="91">
        <f t="shared" si="244"/>
        <v>0</v>
      </c>
      <c r="BN176" s="30" t="e">
        <f t="shared" si="304"/>
        <v>#N/A</v>
      </c>
      <c r="BO176" s="30" t="e">
        <f t="shared" si="305"/>
        <v>#N/A</v>
      </c>
      <c r="BP176" s="31" t="e">
        <f>IF(OR(Hypothèses!$B$4=17,Hypothèses!$B$4=18,Hypothèses!$B$4=19,Hypothèses!$B$4=20),
IF($D176="Pressio.",
IF(OR($E176=3,$E176=1,$E176=4),BO176,BN176),
IF($D176="Pénétro.",
IF(OR($E176=3,$E176=1,$E176=4),BO176,BN176))),IF($D176="Pressio.",
IF($E176=3,BO176,BN176),
IF($D176="Pénétro.",
IF($E176=4,BO176,BN176))))</f>
        <v>#N/A</v>
      </c>
      <c r="BQ176" s="31">
        <v>0</v>
      </c>
      <c r="BR176" s="102" t="e">
        <f>IF(NDC!$H$10="Oui",(VLOOKUP($B$3,'Coeff EC7'!$T$39:$X$59,2,0)*BP176+VLOOKUP($B$3,'Coeff EC7'!$T$65:$X$85,2,0)*Model0.1T!BQ176)/1.5,PI()*BN$12*$Q176*($B176-$B175)*0.15/10+BR175)</f>
        <v>#N/A</v>
      </c>
      <c r="BS176" s="102" t="e">
        <f>(VLOOKUP($B$3,'Coeff EC7'!$T$39:$X$59,3,0)*BP176+VLOOKUP($B$3,'Coeff EC7'!$T$65:$X$85,3,0)*Model0.1T!BQ176)/1.1</f>
        <v>#N/A</v>
      </c>
      <c r="BT176" s="102" t="e">
        <f t="shared" si="278"/>
        <v>#N/A</v>
      </c>
      <c r="BU176" s="102" t="e">
        <f t="shared" si="279"/>
        <v>#N/A</v>
      </c>
      <c r="BV176" s="414" t="e">
        <f>IF(AND(BR176&gt;NDC!$C$63,BS176&gt;NDC!$C$65,BT176&gt;NDC!$D$73,BU176&gt;NDC!$D$74,$B176&gt;NDC!$H$22-0.1+MIN(3*BV$12,1.5)),0,1)</f>
        <v>#N/A</v>
      </c>
      <c r="BW176" s="86" t="b">
        <f t="shared" si="245"/>
        <v>0</v>
      </c>
      <c r="BX176" s="86">
        <f t="shared" si="246"/>
        <v>0.5</v>
      </c>
      <c r="BY176" s="86">
        <f t="shared" si="247"/>
        <v>0.5</v>
      </c>
      <c r="BZ176" s="30" t="e">
        <f t="shared" ca="1" si="280"/>
        <v>#DIV/0!</v>
      </c>
      <c r="CA176" s="85" t="e">
        <f ca="1">IF(BG176&lt;=Hypothèses!$V$7,Hypothèses!$W$7,IF(BG176&lt;=Hypothèses!$V$8,Hypothèses!$W$8,IF(BG176&lt;=Hypothèses!$V$9,Hypothèses!$W$9,IF(BG176&lt;=Hypothèses!$V$10,Hypothèses!$W$10,IF(BG176&lt;=Hypothèses!$V$11,Hypothèses!$W$11,IF(BG176&lt;=Hypothèses!$V$12,Hypothèses!$W$12,IF(BG176&lt;=Hypothèses!$V$13,Hypothèses!$W$13,IF(BG176&lt;=Hypothèses!$V$14,Hypothèses!$W$14,IF(BG176&lt;=Hypothèses!$V$15,Hypothèses!$W$15,IF(BG176&lt;=Hypothèses!$V$16,Hypothèses!$W$16,IF(BG176&lt;=Hypothèses!$V$17,Hypothèses!$W$17,IF(BG176&lt;=Hypothèses!$V$18,Hypothèses!$W$18,""))))))))))))</f>
        <v>#DIV/0!</v>
      </c>
      <c r="CB176" s="87" t="e">
        <f t="shared" ca="1" si="319"/>
        <v>#DIV/0!</v>
      </c>
      <c r="CC176" s="88" t="e">
        <f ca="1">IF(BG176&lt;=Hypothèses!$V$7,Hypothèses!$X$7,IF(BG176&lt;=Hypothèses!$V$8,Hypothèses!$X$8,IF(BG176&lt;=Hypothèses!$V$9,Hypothèses!$X$9,IF(BG176&lt;=Hypothèses!$V$10,Hypothèses!$X$10,IF(BG176&lt;=Hypothèses!$V$11,Hypothèses!$X$11,IF(BG176&lt;=Hypothèses!$V$12,Hypothèses!$X$12,IF(BG176&lt;=Hypothèses!$V$13,Hypothèses!$X$13,IF(BG176&lt;=Hypothèses!$V$14,Hypothèses!$X$14,IF(BG176&lt;=Hypothèses!$V$15,Hypothèses!$X$15,IF(BG176&lt;=Hypothèses!$V$16,Hypothèses!$X$16,IF(BG176&lt;=Hypothèses!$U$17,Hypothèses!$W$17,IF(BG176&lt;=Hypothèses!$U$18,Hypothèses!$W$18,""))))))))))))</f>
        <v>#DIV/0!</v>
      </c>
      <c r="CD176" s="95" t="e">
        <f t="shared" ca="1" si="281"/>
        <v>#DIV/0!</v>
      </c>
      <c r="CE176" s="101">
        <f t="shared" si="326"/>
        <v>0</v>
      </c>
      <c r="CF176" s="91">
        <f t="shared" si="248"/>
        <v>0</v>
      </c>
      <c r="CG176" s="30" t="e">
        <f t="shared" si="306"/>
        <v>#N/A</v>
      </c>
      <c r="CH176" s="30" t="e">
        <f t="shared" si="307"/>
        <v>#N/A</v>
      </c>
      <c r="CI176" s="31" t="e">
        <f>IF(OR(Hypothèses!$B$4=17,Hypothèses!$B$4=18,Hypothèses!$B$4=19,Hypothèses!$B$4=20),
IF($D176="Pressio.",
IF(OR($E176=3,$E176=1,$E176=4),CH176,CG176),
IF($D176="Pénétro.",
IF(OR($E176=3,$E176=1,$E176=4),CH176,CG176))),IF($D176="Pressio.",
IF($E176=3,CH176,CG176),
IF($D176="Pénétro.",
IF($E176=4,CH176,CG176))))</f>
        <v>#N/A</v>
      </c>
      <c r="CJ176" s="31">
        <v>0</v>
      </c>
      <c r="CK176" s="102" t="e">
        <f>IF(NDC!$H$10="Oui",(VLOOKUP($B$3,'Coeff EC7'!$T$39:$X$59,2,0)*CI176+VLOOKUP($B$3,'Coeff EC7'!$T$65:$X$85,2,0)*Model0.1T!CJ176)/1.5,PI()*CG$12*$Q176*($B176-$B175)*0.15/10+CK175)</f>
        <v>#N/A</v>
      </c>
      <c r="CL176" s="102" t="e">
        <f>(VLOOKUP($B$3,'Coeff EC7'!$T$39:$X$59,3,0)*CI176+VLOOKUP($B$3,'Coeff EC7'!$T$65:$X$85,3,0)*Model0.1T!CJ176)/1.1</f>
        <v>#N/A</v>
      </c>
      <c r="CM176" s="102" t="e">
        <f t="shared" si="282"/>
        <v>#N/A</v>
      </c>
      <c r="CN176" s="102" t="e">
        <f t="shared" si="283"/>
        <v>#N/A</v>
      </c>
      <c r="CO176" s="414" t="e">
        <f>IF(AND(CK176&gt;NDC!$C$63,CL176&gt;NDC!$C$65,CM176&gt;NDC!$D$73,CN176&gt;NDC!$D$74,$B176&gt;NDC!$H$22-0.1+MIN(3*CO$12,1.5)),0,1)</f>
        <v>#N/A</v>
      </c>
      <c r="CP176" s="86" t="b">
        <f t="shared" si="249"/>
        <v>0</v>
      </c>
      <c r="CQ176" s="86">
        <f t="shared" si="250"/>
        <v>0.5</v>
      </c>
      <c r="CR176" s="86">
        <f t="shared" si="251"/>
        <v>0.5</v>
      </c>
      <c r="CS176" s="30" t="e">
        <f t="shared" ca="1" si="284"/>
        <v>#DIV/0!</v>
      </c>
      <c r="CT176" s="85" t="e">
        <f ca="1">IF(BZ176&lt;=Hypothèses!$V$7,Hypothèses!$W$7,IF(BZ176&lt;=Hypothèses!$V$8,Hypothèses!$W$8,IF(BZ176&lt;=Hypothèses!$V$9,Hypothèses!$W$9,IF(BZ176&lt;=Hypothèses!$V$10,Hypothèses!$W$10,IF(BZ176&lt;=Hypothèses!$V$11,Hypothèses!$W$11,IF(BZ176&lt;=Hypothèses!$V$12,Hypothèses!$W$12,IF(BZ176&lt;=Hypothèses!$V$13,Hypothèses!$W$13,IF(BZ176&lt;=Hypothèses!$V$14,Hypothèses!$W$14,IF(BZ176&lt;=Hypothèses!$V$15,Hypothèses!$W$15,IF(BZ176&lt;=Hypothèses!$V$16,Hypothèses!$W$16,IF(BZ176&lt;=Hypothèses!$V$17,Hypothèses!$W$17,IF(BZ176&lt;=Hypothèses!$V$18,Hypothèses!$W$18,""))))))))))))</f>
        <v>#DIV/0!</v>
      </c>
      <c r="CU176" s="87" t="e">
        <f t="shared" ca="1" si="320"/>
        <v>#DIV/0!</v>
      </c>
      <c r="CV176" s="88" t="e">
        <f ca="1">IF(BZ176&lt;=Hypothèses!$V$7,Hypothèses!$X$7,IF(BZ176&lt;=Hypothèses!$V$8,Hypothèses!$X$8,IF(BZ176&lt;=Hypothèses!$V$9,Hypothèses!$X$9,IF(BZ176&lt;=Hypothèses!$V$10,Hypothèses!$X$10,IF(BZ176&lt;=Hypothèses!$V$11,Hypothèses!$X$11,IF(BZ176&lt;=Hypothèses!$V$12,Hypothèses!$X$12,IF(BZ176&lt;=Hypothèses!$V$13,Hypothèses!$X$13,IF(BZ176&lt;=Hypothèses!$V$14,Hypothèses!$X$14,IF(BZ176&lt;=Hypothèses!$V$15,Hypothèses!$X$15,IF(BZ176&lt;=Hypothèses!$V$16,Hypothèses!$X$16,IF(BZ176&lt;=Hypothèses!$U$17,Hypothèses!$W$17,IF(BZ176&lt;=Hypothèses!$U$18,Hypothèses!$W$18,""))))))))))))</f>
        <v>#DIV/0!</v>
      </c>
      <c r="CW176" s="95" t="e">
        <f t="shared" ca="1" si="285"/>
        <v>#DIV/0!</v>
      </c>
      <c r="CX176" s="101">
        <f t="shared" si="327"/>
        <v>0</v>
      </c>
      <c r="CY176" s="91">
        <f t="shared" si="252"/>
        <v>0</v>
      </c>
      <c r="CZ176" s="30" t="e">
        <f t="shared" si="308"/>
        <v>#N/A</v>
      </c>
      <c r="DA176" s="30" t="e">
        <f t="shared" si="309"/>
        <v>#N/A</v>
      </c>
      <c r="DB176" s="31" t="e">
        <f>IF(OR(Hypothèses!$B$4=17,Hypothèses!$B$4=18,Hypothèses!$B$4=19,Hypothèses!$B$4=20),
IF($D176="Pressio.",
IF(OR($E176=3,$E176=1,$E176=4),DA176,CZ176),
IF($D176="Pénétro.",
IF(OR($E176=3,$E176=1,$E176=4),DA176,CZ176))),IF($D176="Pressio.",
IF($E176=3,DA176,CZ176),
IF($D176="Pénétro.",
IF($E176=4,DA176,CZ176))))</f>
        <v>#N/A</v>
      </c>
      <c r="DC176" s="31">
        <v>0</v>
      </c>
      <c r="DD176" s="102" t="e">
        <f>IF(NDC!$H$10="Oui",(VLOOKUP($B$3,'Coeff EC7'!$T$39:$X$59,2,0)*DB176+VLOOKUP($B$3,'Coeff EC7'!$T$65:$X$85,2,0)*Model0.1T!DC176)/1.5,PI()*CZ$12*$Q176*($B176-$B175)*0.15/10+DD175)</f>
        <v>#N/A</v>
      </c>
      <c r="DE176" s="102" t="e">
        <f>(VLOOKUP($B$3,'Coeff EC7'!$T$39:$X$59,3,0)*DB176+VLOOKUP($B$3,'Coeff EC7'!$T$65:$X$85,3,0)*Model0.1T!DC176)/1.1</f>
        <v>#N/A</v>
      </c>
      <c r="DF176" s="102" t="e">
        <f t="shared" si="286"/>
        <v>#N/A</v>
      </c>
      <c r="DG176" s="102" t="e">
        <f t="shared" si="287"/>
        <v>#N/A</v>
      </c>
      <c r="DH176" s="414" t="e">
        <f>IF(AND(DD176&gt;NDC!$C$63,DE176&gt;NDC!$C$65,DF176&gt;NDC!$D$73,DG176&gt;NDC!$D$74,$B176&gt;NDC!$H$22-0.1+MIN(3*DH$12,1.5)),0,1)</f>
        <v>#N/A</v>
      </c>
      <c r="DI176" s="86" t="b">
        <f t="shared" si="253"/>
        <v>0</v>
      </c>
      <c r="DJ176" s="86">
        <f t="shared" si="254"/>
        <v>0.5</v>
      </c>
      <c r="DK176" s="86">
        <f t="shared" si="255"/>
        <v>0.5</v>
      </c>
      <c r="DL176" s="30" t="e">
        <f t="shared" ca="1" si="288"/>
        <v>#DIV/0!</v>
      </c>
      <c r="DM176" s="85" t="e">
        <f ca="1">IF(CS176&lt;=Hypothèses!$V$7,Hypothèses!$W$7,IF(CS176&lt;=Hypothèses!$V$8,Hypothèses!$W$8,IF(CS176&lt;=Hypothèses!$V$9,Hypothèses!$W$9,IF(CS176&lt;=Hypothèses!$V$10,Hypothèses!$W$10,IF(CS176&lt;=Hypothèses!$V$11,Hypothèses!$W$11,IF(CS176&lt;=Hypothèses!$V$12,Hypothèses!$W$12,IF(CS176&lt;=Hypothèses!$V$13,Hypothèses!$W$13,IF(CS176&lt;=Hypothèses!$V$14,Hypothèses!$W$14,IF(CS176&lt;=Hypothèses!$V$15,Hypothèses!$W$15,IF(CS176&lt;=Hypothèses!$V$16,Hypothèses!$W$16,IF(CS176&lt;=Hypothèses!$V$17,Hypothèses!$W$17,IF(CS176&lt;=Hypothèses!$V$18,Hypothèses!$W$18,""))))))))))))</f>
        <v>#DIV/0!</v>
      </c>
      <c r="DN176" s="87" t="e">
        <f t="shared" ca="1" si="321"/>
        <v>#DIV/0!</v>
      </c>
      <c r="DO176" s="88" t="e">
        <f ca="1">IF(CS176&lt;=Hypothèses!$V$7,Hypothèses!$X$7,IF(CS176&lt;=Hypothèses!$V$8,Hypothèses!$X$8,IF(CS176&lt;=Hypothèses!$V$9,Hypothèses!$X$9,IF(CS176&lt;=Hypothèses!$V$10,Hypothèses!$X$10,IF(CS176&lt;=Hypothèses!$V$11,Hypothèses!$X$11,IF(CS176&lt;=Hypothèses!$V$12,Hypothèses!$X$12,IF(CS176&lt;=Hypothèses!$V$13,Hypothèses!$X$13,IF(CS176&lt;=Hypothèses!$V$14,Hypothèses!$X$14,IF(CS176&lt;=Hypothèses!$V$15,Hypothèses!$X$15,IF(CS176&lt;=Hypothèses!$V$16,Hypothèses!$X$16,IF(CS176&lt;=Hypothèses!$U$17,Hypothèses!$W$17,IF(CS176&lt;=Hypothèses!$U$18,Hypothèses!$W$18,""))))))))))))</f>
        <v>#DIV/0!</v>
      </c>
      <c r="DP176" s="95" t="e">
        <f t="shared" ca="1" si="289"/>
        <v>#DIV/0!</v>
      </c>
      <c r="DQ176" s="101">
        <f t="shared" si="328"/>
        <v>0</v>
      </c>
      <c r="DR176" s="91">
        <f t="shared" si="256"/>
        <v>0</v>
      </c>
      <c r="DS176" s="30" t="e">
        <f t="shared" si="310"/>
        <v>#N/A</v>
      </c>
      <c r="DT176" s="30" t="e">
        <f t="shared" si="311"/>
        <v>#N/A</v>
      </c>
      <c r="DU176" s="31" t="e">
        <f>IF(OR(Hypothèses!$B$4=17,Hypothèses!$B$4=18,Hypothèses!$B$4=19,Hypothèses!$B$4=20),
IF($D176="Pressio.",
IF(OR($E176=3,$E176=1,$E176=4),DT176,DS176),
IF($D176="Pénétro.",
IF(OR($E176=3,$E176=1,$E176=4),DT176,DS176))),IF($D176="Pressio.",
IF($E176=3,DT176,DS176),
IF($D176="Pénétro.",
IF($E176=4,DT176,DS176))))</f>
        <v>#N/A</v>
      </c>
      <c r="DV176" s="31">
        <v>0</v>
      </c>
      <c r="DW176" s="102" t="e">
        <f>IF(NDC!$H$10="Oui",(VLOOKUP($B$3,'Coeff EC7'!$T$39:$X$59,2,0)*DU176+VLOOKUP($B$3,'Coeff EC7'!$T$65:$X$85,2,0)*Model0.1T!DV176)/1.5,PI()*DS$12*$Q176*($B176-$B175)*0.15/10+DW175)</f>
        <v>#N/A</v>
      </c>
      <c r="DX176" s="102" t="e">
        <f>(VLOOKUP($B$3,'Coeff EC7'!$T$39:$X$59,3,0)*DU176+VLOOKUP($B$3,'Coeff EC7'!$T$65:$X$85,3,0)*Model0.1T!DV176)/1.1</f>
        <v>#N/A</v>
      </c>
      <c r="DY176" s="102" t="e">
        <f t="shared" si="290"/>
        <v>#N/A</v>
      </c>
      <c r="DZ176" s="102" t="e">
        <f t="shared" si="291"/>
        <v>#N/A</v>
      </c>
      <c r="EA176" s="414" t="e">
        <f>IF(AND(DW176&gt;NDC!$C$63,DX176&gt;NDC!$C$65,DY176&gt;NDC!$D$73,DZ176&gt;NDC!$D$74,$B176&gt;NDC!$H$22-0.1+MIN(3*EA$12,1.5)),0,1)</f>
        <v>#N/A</v>
      </c>
      <c r="EB176" s="86" t="b">
        <f t="shared" si="257"/>
        <v>0</v>
      </c>
      <c r="EC176" s="418">
        <f t="shared" si="258"/>
        <v>0.51</v>
      </c>
      <c r="ED176" s="86">
        <f t="shared" si="259"/>
        <v>0.51</v>
      </c>
      <c r="EE176" s="30" t="e">
        <f t="shared" ca="1" si="292"/>
        <v>#DIV/0!</v>
      </c>
      <c r="EF176" s="85" t="e">
        <f ca="1">IF(DL176&lt;=Hypothèses!$V$7,Hypothèses!$W$7,IF(DL176&lt;=Hypothèses!$V$8,Hypothèses!$W$8,IF(DL176&lt;=Hypothèses!$V$9,Hypothèses!$W$9,IF(DL176&lt;=Hypothèses!$V$10,Hypothèses!$W$10,IF(DL176&lt;=Hypothèses!$V$11,Hypothèses!$W$11,IF(DL176&lt;=Hypothèses!$V$12,Hypothèses!$W$12,IF(DL176&lt;=Hypothèses!$V$13,Hypothèses!$W$13,IF(DL176&lt;=Hypothèses!$V$14,Hypothèses!$W$14,IF(DL176&lt;=Hypothèses!$V$15,Hypothèses!$W$15,IF(DL176&lt;=Hypothèses!$V$16,Hypothèses!$W$16,IF(DL176&lt;=Hypothèses!$V$17,Hypothèses!$W$17,IF(DL176&lt;=Hypothèses!$V$18,Hypothèses!$W$18,""))))))))))))</f>
        <v>#DIV/0!</v>
      </c>
      <c r="EG176" s="87" t="e">
        <f t="shared" ca="1" si="322"/>
        <v>#DIV/0!</v>
      </c>
      <c r="EH176" s="88" t="e">
        <f ca="1">IF(DL176&lt;=Hypothèses!$V$7,Hypothèses!$X$7,IF(DL176&lt;=Hypothèses!$V$8,Hypothèses!$X$8,IF(DL176&lt;=Hypothèses!$V$9,Hypothèses!$X$9,IF(DL176&lt;=Hypothèses!$V$10,Hypothèses!$X$10,IF(DL176&lt;=Hypothèses!$V$11,Hypothèses!$X$11,IF(DL176&lt;=Hypothèses!$V$12,Hypothèses!$X$12,IF(DL176&lt;=Hypothèses!$V$13,Hypothèses!$X$13,IF(DL176&lt;=Hypothèses!$V$14,Hypothèses!$X$14,IF(DL176&lt;=Hypothèses!$V$15,Hypothèses!$X$15,IF(DL176&lt;=Hypothèses!$V$16,Hypothèses!$X$16,IF(DL176&lt;=Hypothèses!$U$17,Hypothèses!$W$17,IF(DL176&lt;=Hypothèses!$U$18,Hypothèses!$W$18,""))))))))))))</f>
        <v>#DIV/0!</v>
      </c>
      <c r="EI176" s="95" t="e">
        <f t="shared" ca="1" si="293"/>
        <v>#DIV/0!</v>
      </c>
      <c r="EJ176" s="101">
        <f t="shared" si="329"/>
        <v>0</v>
      </c>
      <c r="EK176" s="91">
        <f t="shared" si="260"/>
        <v>0</v>
      </c>
      <c r="EL176" s="30" t="e">
        <f t="shared" si="312"/>
        <v>#N/A</v>
      </c>
      <c r="EM176" s="30" t="e">
        <f t="shared" si="313"/>
        <v>#N/A</v>
      </c>
      <c r="EN176" s="31" t="e">
        <f>IF(OR(Hypothèses!$B$4=17,Hypothèses!$B$4=18,Hypothèses!$B$4=19,Hypothèses!$B$4=20),
IF($D176="Pressio.",
IF(OR($E176=3,$E176=1,$E176=4),EM176,EL176),
IF($D176="Pénétro.",
IF(OR($E176=3,$E176=1,$E176=4),EM176,EL176))),IF($D176="Pressio.",
IF($E176=3,EM176,EL176),
IF($D176="Pénétro.",
IF($E176=4,EM176,EL176))))</f>
        <v>#N/A</v>
      </c>
      <c r="EO176" s="31">
        <v>0</v>
      </c>
      <c r="EP176" s="102" t="e">
        <f>IF(NDC!$H$10="Oui",(VLOOKUP($B$3,'Coeff EC7'!$T$39:$X$59,2,0)*EN176+VLOOKUP($B$3,'Coeff EC7'!$T$65:$X$85,2,0)*Model0.1T!EO176)/1.5,PI()*EL$12*$Q176*($B176-$B175)*0.15/10+EP175)</f>
        <v>#N/A</v>
      </c>
      <c r="EQ176" s="102" t="e">
        <f>(VLOOKUP($B$3,'Coeff EC7'!$T$39:$X$59,3,0)*EN176+VLOOKUP($B$3,'Coeff EC7'!$T$65:$X$85,3,0)*Model0.1T!EO176)/1.1</f>
        <v>#N/A</v>
      </c>
      <c r="ER176" s="102" t="e">
        <f t="shared" si="294"/>
        <v>#N/A</v>
      </c>
      <c r="ES176" s="102" t="e">
        <f t="shared" si="295"/>
        <v>#N/A</v>
      </c>
      <c r="ET176" s="414" t="e">
        <f>IF(AND(EP176&gt;NDC!$C$63,EQ176&gt;NDC!$C$65,ER176&gt;NDC!$D$73,ES176&gt;NDC!$D$74,$B176&gt;NDC!$H$22-0.1+MIN(3*ET$12,1.5)),0,1)</f>
        <v>#N/A</v>
      </c>
      <c r="EU176" s="86" t="b">
        <f t="shared" si="261"/>
        <v>0</v>
      </c>
      <c r="EV176" s="86">
        <f t="shared" si="262"/>
        <v>0.61</v>
      </c>
      <c r="EW176" s="86">
        <f t="shared" si="263"/>
        <v>0.61</v>
      </c>
      <c r="EX176" s="30" t="e">
        <f t="shared" ca="1" si="296"/>
        <v>#DIV/0!</v>
      </c>
      <c r="EY176" s="85" t="e">
        <f ca="1">IF(EE176&lt;=Hypothèses!$V$7,Hypothèses!$W$7,IF(EE176&lt;=Hypothèses!$V$8,Hypothèses!$W$8,IF(EE176&lt;=Hypothèses!$V$9,Hypothèses!$W$9,IF(EE176&lt;=Hypothèses!$V$10,Hypothèses!$W$10,IF(EE176&lt;=Hypothèses!$V$11,Hypothèses!$W$11,IF(EE176&lt;=Hypothèses!$V$12,Hypothèses!$W$12,IF(EE176&lt;=Hypothèses!$V$13,Hypothèses!$W$13,IF(EE176&lt;=Hypothèses!$V$14,Hypothèses!$W$14,IF(EE176&lt;=Hypothèses!$V$15,Hypothèses!$W$15,IF(EE176&lt;=Hypothèses!$V$16,Hypothèses!$W$16,IF(EE176&lt;=Hypothèses!$V$17,Hypothèses!$W$17,IF(EE176&lt;=Hypothèses!$V$18,Hypothèses!$W$18,""))))))))))))</f>
        <v>#DIV/0!</v>
      </c>
      <c r="EZ176" s="87" t="e">
        <f t="shared" ca="1" si="323"/>
        <v>#DIV/0!</v>
      </c>
      <c r="FA176" s="88" t="e">
        <f ca="1">IF(EE176&lt;=Hypothèses!$V$7,Hypothèses!$X$7,IF(EE176&lt;=Hypothèses!$V$8,Hypothèses!$X$8,IF(EE176&lt;=Hypothèses!$V$9,Hypothèses!$X$9,IF(EE176&lt;=Hypothèses!$V$10,Hypothèses!$X$10,IF(EE176&lt;=Hypothèses!$V$11,Hypothèses!$X$11,IF(EE176&lt;=Hypothèses!$V$12,Hypothèses!$X$12,IF(EE176&lt;=Hypothèses!$V$13,Hypothèses!$X$13,IF(EE176&lt;=Hypothèses!$V$14,Hypothèses!$X$14,IF(EE176&lt;=Hypothèses!$V$15,Hypothèses!$X$15,IF(EE176&lt;=Hypothèses!$V$16,Hypothèses!$X$16,IF(EE176&lt;=Hypothèses!$U$17,Hypothèses!$W$17,IF(EE176&lt;=Hypothèses!$U$18,Hypothèses!$W$18,""))))))))))))</f>
        <v>#DIV/0!</v>
      </c>
      <c r="FB176" s="95" t="e">
        <f t="shared" ca="1" si="297"/>
        <v>#DIV/0!</v>
      </c>
      <c r="FC176" s="101">
        <f t="shared" si="330"/>
        <v>0</v>
      </c>
      <c r="FD176" s="91">
        <f t="shared" si="264"/>
        <v>0</v>
      </c>
      <c r="FE176" s="30" t="e">
        <f t="shared" si="314"/>
        <v>#N/A</v>
      </c>
      <c r="FF176" s="30" t="e">
        <f t="shared" si="315"/>
        <v>#N/A</v>
      </c>
      <c r="FG176" s="31" t="e">
        <f>IF(OR(Hypothèses!$B$4=17,Hypothèses!$B$4=18,Hypothèses!$B$4=19,Hypothèses!$B$4=20),
IF($D176="Pressio.",
IF(OR($E176=3,$E176=1,$E176=4),FF176,FE176),
IF($D176="Pénétro.",
IF(OR($E176=3,$E176=1,$E176=4),FF176,FE176))),IF($D176="Pressio.",
IF($E176=3,FF176,FE176),
IF($D176="Pénétro.",
IF($E176=4,FF176,FE176))))</f>
        <v>#N/A</v>
      </c>
      <c r="FH176" s="31">
        <v>0</v>
      </c>
      <c r="FI176" s="102" t="e">
        <f>IF(NDC!$H$10="Oui",(VLOOKUP($B$3,'Coeff EC7'!$T$39:$X$59,2,0)*FG176+VLOOKUP($B$3,'Coeff EC7'!$T$65:$X$85,2,0)*Model0.1T!FH176)/1.5,PI()*FE$12*$Q176*($B176-$B175)*0.15/10+FI175)</f>
        <v>#N/A</v>
      </c>
      <c r="FJ176" s="102" t="e">
        <f>(VLOOKUP($B$3,'Coeff EC7'!$T$39:$X$59,3,0)*FG176+VLOOKUP($B$3,'Coeff EC7'!$T$65:$X$85,3,0)*Model0.1T!FH176)/1.1</f>
        <v>#N/A</v>
      </c>
      <c r="FK176" s="102" t="e">
        <f t="shared" si="298"/>
        <v>#N/A</v>
      </c>
      <c r="FL176" s="102" t="e">
        <f t="shared" si="299"/>
        <v>#N/A</v>
      </c>
      <c r="FM176" s="414" t="e">
        <f>IF(AND(FI176&gt;NDC!$C$63,FJ176&gt;NDC!$C$65,FK176&gt;NDC!$D$73,FL176&gt;NDC!$D$74,$B176&gt;NDC!$H$22-0.1+MIN(3*FM$12,1.5)),0,1)</f>
        <v>#N/A</v>
      </c>
    </row>
    <row r="177" spans="1:169">
      <c r="A177" s="96">
        <f t="shared" si="265"/>
        <v>83.600000000000932</v>
      </c>
      <c r="B177" s="97">
        <v>16.399999999999999</v>
      </c>
      <c r="C177" s="81">
        <f>IF(B177&lt;=Hypothèses!$C$7,Hypothèses!$A$7,IF(B177&lt;=Hypothèses!$C$8,Hypothèses!$A$8,IF(B177&lt;=Hypothèses!$C$9,Hypothèses!$A$9,IF(B177&lt;=Hypothèses!$C$10,Hypothèses!$A$10,IF(B177&lt;=Hypothèses!$C$11,Hypothèses!$A$11,IF(B177&lt;=Hypothèses!$C$12,Hypothèses!$A$12,IF(B177&lt;=Hypothèses!$C$13,Hypothèses!$A$13,IF(B177&lt;=Hypothèses!$C$14,Hypothèses!$A$14,IF(B177&lt;=Hypothèses!$C$15,Hypothèses!$A$15,IF(B177&lt;=Hypothèses!$C$16,Hypothèses!$A$16,IF(B177&lt;=Hypothèses!$C$17,Hypothèses!$A$17,IF(B177&lt;=Hypothèses!$C$18,Hypothèses!$A$18,C176))))))))))))</f>
        <v>11</v>
      </c>
      <c r="D177" s="82" t="str">
        <f>IF(B177&lt;=Hypothèses!$C$7,Hypothèses!$R$7,IF(B177&lt;=Hypothèses!$C$8,Hypothèses!$R$8,IF(B177&lt;=Hypothèses!$C$9,Hypothèses!$R$9,IF(B177&lt;=Hypothèses!$C$10,Hypothèses!$R$10,IF(B177&lt;=Hypothèses!$C$11,Hypothèses!$R$11,IF(B177&lt;=Hypothèses!$C$12,Hypothèses!$R$12,IF(B177&lt;=Hypothèses!$C$13,Hypothèses!$R$13,IF(B177&lt;=Hypothèses!$C$14,Hypothèses!$R$14,IF(B177&lt;=Hypothèses!$C$15,Hypothèses!$R$15,IF(B177&lt;=Hypothèses!$C$16,Hypothèses!$R$16,IF(B177&lt;=Hypothèses!$C$17,Hypothèses!$R$17,IF(B177&lt;=Hypothèses!$C$18,Hypothèses!$R$18,D176))))))))))))</f>
        <v>Pressio.</v>
      </c>
      <c r="E177" s="82" t="e">
        <f>IF(B177&lt;=Hypothèses!$C$7,Hypothèses!$G$7,IF(B177&lt;=Hypothèses!$C$8,Hypothèses!$G$8,IF(B177&lt;=Hypothèses!$C$9,Hypothèses!$G$9,IF(B177&lt;=Hypothèses!$C$10,Hypothèses!$G$10,IF(B177&lt;=Hypothèses!$C$11,Hypothèses!$G$11,IF(B177&lt;=Hypothèses!$C$12,Hypothèses!$G$12,IF(B177&lt;=Hypothèses!$C$13,Hypothèses!$G$13,IF(B177&lt;=Hypothèses!$C$14,Hypothèses!$G$14,IF(B177&lt;=Hypothèses!$C$15,Hypothèses!$G$15,IF(B177&lt;=Hypothèses!$C$16,Hypothèses!$G$16,IF(B177&lt;=Hypothèses!$C$17,Hypothèses!$G$17,IF(B177&lt;=Hypothèses!$C$18,Hypothèses!$G$18,E176))))))))))))</f>
        <v>#N/A</v>
      </c>
      <c r="F177" s="82" t="str">
        <f>IF(B177&lt;=Hypothèses!$C$7,Hypothèses!$F$7,IF(B177&lt;=Hypothèses!$C$8,Hypothèses!$F$8,IF(B177&lt;=Hypothèses!$C$9,Hypothèses!$F$9,IF(B177&lt;=Hypothèses!$C$10,Hypothèses!$F$10,IF(B177&lt;=Hypothèses!$C$11,Hypothèses!$F$11,IF(B177&lt;=Hypothèses!$C$12,Hypothèses!$F$12,IF(B177&lt;=Hypothèses!$C$13,Hypothèses!$F$13,IF(B177&lt;=Hypothèses!$C$14,Hypothèses!$F$14,IF(B177&lt;=Hypothèses!$C$15,Hypothèses!$F$15,IF(B177&lt;=Hypothèses!$C$16,Hypothèses!$F$16,IF(B177&lt;=Hypothèses!$C$17,Hypothèses!$F$17,IF(B177&lt;=Hypothèses!$C$18,Hypothèses!$F$18,F176))))))))))))</f>
        <v/>
      </c>
      <c r="G177" s="91">
        <f t="array" ref="G177">INDEX('Coeff EC7'!$U$7:$X$27,
MATCH(Model0.1T!$B$3,'Coeff EC7'!$T$7:$T$27,0),
MATCH(Model0.1T!$D177&amp;Model0.1T!$B$4,
'Coeff EC7'!$U$6:$X$6&amp;
'Coeff EC7'!$U$5:$X$5,0))</f>
        <v>1.4</v>
      </c>
      <c r="H177" s="91">
        <f t="array" ref="H177">INDEX('Coeff EC7'!$Y$7:$AB$27,
MATCH(Model0.1T!$B$3,'Coeff EC7'!$T$7:$T$27,0),
MATCH(Model0.1T!$D177&amp;Model0.1T!$B$4,
'Coeff EC7'!$Y$6:$AB$6&amp;
'Coeff EC7'!$Y$5:$AB$5,0))</f>
        <v>1.7</v>
      </c>
      <c r="I177" s="83">
        <v>0</v>
      </c>
      <c r="J177" s="91" t="e">
        <f t="array" ref="J177">INDEX('Coeff EC7'!$D$33:$Q$33,1,MATCH(D177&amp;E177,'Coeff EC7'!$D$31:$Q$31&amp;'Coeff EC7'!$D$32:$Q$32,0))</f>
        <v>#N/A</v>
      </c>
      <c r="K177" s="91" t="e">
        <f t="array" ref="K177">INDEX('Coeff EC7'!$D$34:$Q$34,1,MATCH(D177&amp;E177,'Coeff EC7'!$D$31:$Q$31&amp;'Coeff EC7'!$D$32:$Q$32,0))</f>
        <v>#N/A</v>
      </c>
      <c r="L177" s="91" t="e">
        <f t="array" ref="L177">INDEX('Coeff EC7'!$D$35:$Q$35,1,MATCH(D177&amp;E177,'Coeff EC7'!$D$31:$Q$31&amp;'Coeff EC7'!$D$32:$Q$32,0))</f>
        <v>#N/A</v>
      </c>
      <c r="M177" s="98" t="e">
        <f t="shared" si="231"/>
        <v>#N/A</v>
      </c>
      <c r="N177" s="99" t="e">
        <f t="array" ref="N177">INDEX('Coeff EC7'!$D$7:$Q$27,MATCH($B$3,'Coeff EC7'!$C$7:$C$27,0),MATCH(D177&amp;E177,'Coeff EC7'!$D$5:$Q$5&amp;'Coeff EC7'!$D$6:$Q$6,0))</f>
        <v>#N/A</v>
      </c>
      <c r="O177" s="99" t="e">
        <f t="array" ref="O177">INDEX('Coeff EC7'!$D$41:$Q$61,MATCH($B$3,'Coeff EC7'!$C$41:$C$61,0),MATCH(D177&amp;E177,'Coeff EC7'!$D$39:$Q$39&amp;'Coeff EC7'!$D$40:$Q$40,0))</f>
        <v>#N/A</v>
      </c>
      <c r="P177" s="30" t="e">
        <f t="shared" si="266"/>
        <v>#N/A</v>
      </c>
      <c r="Q177" s="100" t="e">
        <f t="shared" si="233"/>
        <v>#N/A</v>
      </c>
      <c r="R177" s="86" t="b">
        <f t="shared" si="234"/>
        <v>0</v>
      </c>
      <c r="S177" s="86">
        <f t="shared" si="232"/>
        <v>0.5</v>
      </c>
      <c r="T177" s="86">
        <f t="shared" si="235"/>
        <v>0.5</v>
      </c>
      <c r="U177" s="30" t="e">
        <f t="shared" ca="1" si="267"/>
        <v>#DIV/0!</v>
      </c>
      <c r="V177" s="85" t="str">
        <f>IF(B177&lt;=Hypothèses!$V$7,Hypothèses!$W$7,IF(B177&lt;=Hypothèses!$V$8,Hypothèses!$W$8,IF(B177&lt;=Hypothèses!$V$9,Hypothèses!$W$9,IF(B177&lt;=Hypothèses!$V$10,Hypothèses!$W$10,IF(B177&lt;=Hypothèses!$V$11,Hypothèses!$W$11,IF(B177&lt;=Hypothèses!$V$12,Hypothèses!$W$12,IF(B177&lt;=Hypothèses!$V$13,Hypothèses!$W$13,IF(B177&lt;=Hypothèses!$V$14,Hypothèses!$W$14,IF(B177&lt;=Hypothèses!$V$15,Hypothèses!$W$15,IF(B177&lt;=Hypothèses!$V$16,Hypothèses!$W$16,IF(B177&lt;=Hypothèses!$V$17,Hypothèses!$W$17,IF(B177&lt;=Hypothèses!$V$18,Hypothèses!$W$18,""))))))))))))</f>
        <v/>
      </c>
      <c r="W177" s="87" t="e">
        <f t="shared" ca="1" si="316"/>
        <v>#DIV/0!</v>
      </c>
      <c r="X177" s="88" t="str">
        <f>IF(B177&lt;=Hypothèses!$V$7,Hypothèses!$X$7,IF(B177&lt;=Hypothèses!$V$8,Hypothèses!$X$8,IF(B177&lt;=Hypothèses!$V$9,Hypothèses!$X$9,IF(B177&lt;=Hypothèses!$V$10,Hypothèses!$X$10,IF(B177&lt;=Hypothèses!$V$11,Hypothèses!$X$11,IF(B177&lt;=Hypothèses!$V$12,Hypothèses!$X$12,IF(B177&lt;=Hypothèses!$V$13,Hypothèses!$X$13,IF(B177&lt;=Hypothèses!$V$14,Hypothèses!$X$14,IF(B177&lt;=Hypothèses!$V$15,Hypothèses!$X$15,IF(B177&lt;=Hypothèses!$V$16,Hypothèses!$X$16,IF(B177&lt;=Hypothèses!$U$17,Hypothèses!$W$17,IF(B177&lt;=Hypothèses!$U$18,Hypothèses!$W$18,""))))))))))))</f>
        <v/>
      </c>
      <c r="Y177" s="95" t="e">
        <f t="shared" ca="1" si="236"/>
        <v>#DIV/0!</v>
      </c>
      <c r="Z177" s="101">
        <f t="shared" si="237"/>
        <v>0</v>
      </c>
      <c r="AA177" s="91">
        <f t="shared" si="238"/>
        <v>0</v>
      </c>
      <c r="AB177" s="30" t="e">
        <f t="shared" si="300"/>
        <v>#N/A</v>
      </c>
      <c r="AC177" s="30" t="e">
        <f t="shared" si="301"/>
        <v>#N/A</v>
      </c>
      <c r="AD177" s="31" t="e">
        <f>IF(OR(Hypothèses!$B$4=17,Hypothèses!$B$4=18,Hypothèses!$B$4=19,Hypothèses!$B$4=20),
IF($D177="Pressio.",
IF(OR($E177=3,$E177=1,$E177=4),AC177,AB177),
IF($D177="Pénétro.",
IF(OR($E177=3,$E177=1,$E177=4),AC177,AB177))),IF($D177="Pressio.",
IF($E177=3,AC177,AB177),
IF($D177="Pénétro.",
IF($E177=4,AC177,AB177))))</f>
        <v>#N/A</v>
      </c>
      <c r="AE177" s="31">
        <v>0</v>
      </c>
      <c r="AF177" s="102" t="e">
        <f>IF(NDC!$H$10="Oui",(VLOOKUP($B$3,'Coeff EC7'!$T$39:$X$59,2,0)*AD177+VLOOKUP($B$3,'Coeff EC7'!$T$65:$X$85,2,0)*Model0.1T!AE177)/1.5,PI()*AB$12*$Q177*($B177-$B176)*0.15/10+AF176)</f>
        <v>#N/A</v>
      </c>
      <c r="AG177" s="102" t="e">
        <f>(VLOOKUP($B$3,'Coeff EC7'!$T$39:$X$59,3,0)*AD177+VLOOKUP($B$3,'Coeff EC7'!$T$65:$X$85,3,0)*Model0.1T!AE177)/1.1</f>
        <v>#N/A</v>
      </c>
      <c r="AH177" s="102" t="e">
        <f t="shared" si="268"/>
        <v>#N/A</v>
      </c>
      <c r="AI177" s="102" t="e">
        <f t="shared" si="269"/>
        <v>#N/A</v>
      </c>
      <c r="AJ177" s="414" t="e">
        <f>IF(AND(AF177&gt;NDC!$C$63,AG177&gt;NDC!$C$65,AH177&gt;NDC!$D$73,AI177&gt;NDC!$D$74,$B177&gt;NDC!$H$22-0.1+MIN(3*$AJ$12,1.5)),0,1)</f>
        <v>#N/A</v>
      </c>
      <c r="AK177" s="86" t="b">
        <f t="shared" si="239"/>
        <v>0</v>
      </c>
      <c r="AL177" s="86">
        <f t="shared" si="270"/>
        <v>0.5</v>
      </c>
      <c r="AM177" s="86">
        <f t="shared" si="240"/>
        <v>0.5</v>
      </c>
      <c r="AN177" s="30" t="e">
        <f t="shared" ca="1" si="271"/>
        <v>#DIV/0!</v>
      </c>
      <c r="AO177" s="85" t="e">
        <f ca="1">IF(U177&lt;=Hypothèses!$V$7,Hypothèses!$W$7,IF(U177&lt;=Hypothèses!$V$8,Hypothèses!$W$8,IF(U177&lt;=Hypothèses!$V$9,Hypothèses!$W$9,IF(U177&lt;=Hypothèses!$V$10,Hypothèses!$W$10,IF(U177&lt;=Hypothèses!$V$11,Hypothèses!$W$11,IF(U177&lt;=Hypothèses!$V$12,Hypothèses!$W$12,IF(U177&lt;=Hypothèses!$V$13,Hypothèses!$W$13,IF(U177&lt;=Hypothèses!$V$14,Hypothèses!$W$14,IF(U177&lt;=Hypothèses!$V$15,Hypothèses!$W$15,IF(U177&lt;=Hypothèses!$V$16,Hypothèses!$W$16,IF(U177&lt;=Hypothèses!$V$17,Hypothèses!$W$17,IF(U177&lt;=Hypothèses!$V$18,Hypothèses!$W$18,""))))))))))))</f>
        <v>#DIV/0!</v>
      </c>
      <c r="AP177" s="87" t="e">
        <f t="shared" ca="1" si="317"/>
        <v>#DIV/0!</v>
      </c>
      <c r="AQ177" s="88" t="e">
        <f ca="1">IF(U177&lt;=Hypothèses!$V$7,Hypothèses!$X$7,IF(U177&lt;=Hypothèses!$V$8,Hypothèses!$X$8,IF(U177&lt;=Hypothèses!$V$9,Hypothèses!$X$9,IF(U177&lt;=Hypothèses!$V$10,Hypothèses!$X$10,IF(U177&lt;=Hypothèses!$V$11,Hypothèses!$X$11,IF(U177&lt;=Hypothèses!$V$12,Hypothèses!$X$12,IF(U177&lt;=Hypothèses!$V$13,Hypothèses!$X$13,IF(U177&lt;=Hypothèses!$V$14,Hypothèses!$X$14,IF(U177&lt;=Hypothèses!$V$15,Hypothèses!$X$15,IF(U177&lt;=Hypothèses!$V$16,Hypothèses!$X$16,IF(U177&lt;=Hypothèses!$U$17,Hypothèses!$W$17,IF(U177&lt;=Hypothèses!$U$18,Hypothèses!$W$18,""))))))))))))</f>
        <v>#DIV/0!</v>
      </c>
      <c r="AR177" s="95" t="e">
        <f t="shared" ca="1" si="272"/>
        <v>#DIV/0!</v>
      </c>
      <c r="AS177" s="101">
        <f t="shared" si="324"/>
        <v>0</v>
      </c>
      <c r="AT177" s="91">
        <f t="shared" si="241"/>
        <v>0</v>
      </c>
      <c r="AU177" s="30" t="e">
        <f t="shared" si="302"/>
        <v>#N/A</v>
      </c>
      <c r="AV177" s="30" t="e">
        <f t="shared" si="303"/>
        <v>#N/A</v>
      </c>
      <c r="AW177" s="31" t="e">
        <f>IF(OR(Hypothèses!$B$4=17,Hypothèses!$B$4=18,Hypothèses!$B$4=19,Hypothèses!$B$4=20),
IF($D177="Pressio.",
IF(OR($E177=3,$E177=1,$E177=4),AV177,AU177),
IF($D177="Pénétro.",
IF(OR($E177=3,$E177=1,$E177=4),AV177,AU177))),IF($D177="Pressio.",
IF($E177=3,AV177,AU177),
IF($D177="Pénétro.",
IF($E177=4,AV177,AU177))))</f>
        <v>#N/A</v>
      </c>
      <c r="AX177" s="31">
        <v>0</v>
      </c>
      <c r="AY177" s="102" t="e">
        <f>IF(NDC!$H$10="Oui",(VLOOKUP($B$3,'Coeff EC7'!$T$39:$X$59,2,0)*AW177+VLOOKUP($B$3,'Coeff EC7'!$T$65:$X$85,2,0)*Model0.1T!AX177)/1.5,PI()*AU$12*$Q177*($B177-$B176)*0.15/10+AY176)</f>
        <v>#N/A</v>
      </c>
      <c r="AZ177" s="102" t="e">
        <f>(VLOOKUP($B$3,'Coeff EC7'!$T$39:$X$59,3,0)*AW177+VLOOKUP($B$3,'Coeff EC7'!$T$65:$X$85,3,0)*Model0.1T!AX177)/1.1</f>
        <v>#N/A</v>
      </c>
      <c r="BA177" s="102" t="e">
        <f t="shared" si="273"/>
        <v>#N/A</v>
      </c>
      <c r="BB177" s="102" t="e">
        <f t="shared" si="274"/>
        <v>#N/A</v>
      </c>
      <c r="BC177" s="414" t="e">
        <f>IF(AND(AY177&gt;NDC!$C$63,AZ177&gt;NDC!$C$65,BA177&gt;NDC!$D$73,BB177&gt;NDC!$D$74,$B177&gt;NDC!$H$22-0.1+MIN(3*BC$12,1.5)),0,1)</f>
        <v>#N/A</v>
      </c>
      <c r="BD177" s="86" t="b">
        <f t="shared" si="242"/>
        <v>0</v>
      </c>
      <c r="BE177" s="86">
        <f t="shared" si="275"/>
        <v>0.5</v>
      </c>
      <c r="BF177" s="86">
        <f t="shared" si="243"/>
        <v>0.5</v>
      </c>
      <c r="BG177" s="30" t="e">
        <f t="shared" ca="1" si="276"/>
        <v>#DIV/0!</v>
      </c>
      <c r="BH177" s="85" t="e">
        <f ca="1">IF(AN177&lt;=Hypothèses!$V$7,Hypothèses!$W$7,IF(AN177&lt;=Hypothèses!$V$8,Hypothèses!$W$8,IF(AN177&lt;=Hypothèses!$V$9,Hypothèses!$W$9,IF(AN177&lt;=Hypothèses!$V$10,Hypothèses!$W$10,IF(AN177&lt;=Hypothèses!$V$11,Hypothèses!$W$11,IF(AN177&lt;=Hypothèses!$V$12,Hypothèses!$W$12,IF(AN177&lt;=Hypothèses!$V$13,Hypothèses!$W$13,IF(AN177&lt;=Hypothèses!$V$14,Hypothèses!$W$14,IF(AN177&lt;=Hypothèses!$V$15,Hypothèses!$W$15,IF(AN177&lt;=Hypothèses!$V$16,Hypothèses!$W$16,IF(AN177&lt;=Hypothèses!$V$17,Hypothèses!$W$17,IF(AN177&lt;=Hypothèses!$V$18,Hypothèses!$W$18,""))))))))))))</f>
        <v>#DIV/0!</v>
      </c>
      <c r="BI177" s="87" t="e">
        <f t="shared" ca="1" si="318"/>
        <v>#DIV/0!</v>
      </c>
      <c r="BJ177" s="88" t="e">
        <f ca="1">IF(AN177&lt;=Hypothèses!$V$7,Hypothèses!$X$7,IF(AN177&lt;=Hypothèses!$V$8,Hypothèses!$X$8,IF(AN177&lt;=Hypothèses!$V$9,Hypothèses!$X$9,IF(AN177&lt;=Hypothèses!$V$10,Hypothèses!$X$10,IF(AN177&lt;=Hypothèses!$V$11,Hypothèses!$X$11,IF(AN177&lt;=Hypothèses!$V$12,Hypothèses!$X$12,IF(AN177&lt;=Hypothèses!$V$13,Hypothèses!$X$13,IF(AN177&lt;=Hypothèses!$V$14,Hypothèses!$X$14,IF(AN177&lt;=Hypothèses!$V$15,Hypothèses!$X$15,IF(AN177&lt;=Hypothèses!$V$16,Hypothèses!$X$16,IF(AN177&lt;=Hypothèses!$U$17,Hypothèses!$W$17,IF(AN177&lt;=Hypothèses!$U$18,Hypothèses!$W$18,""))))))))))))</f>
        <v>#DIV/0!</v>
      </c>
      <c r="BK177" s="95" t="e">
        <f t="shared" ca="1" si="277"/>
        <v>#DIV/0!</v>
      </c>
      <c r="BL177" s="101">
        <f t="shared" si="325"/>
        <v>0</v>
      </c>
      <c r="BM177" s="91">
        <f t="shared" si="244"/>
        <v>0</v>
      </c>
      <c r="BN177" s="30" t="e">
        <f t="shared" si="304"/>
        <v>#N/A</v>
      </c>
      <c r="BO177" s="30" t="e">
        <f t="shared" si="305"/>
        <v>#N/A</v>
      </c>
      <c r="BP177" s="31" t="e">
        <f>IF(OR(Hypothèses!$B$4=17,Hypothèses!$B$4=18,Hypothèses!$B$4=19,Hypothèses!$B$4=20),
IF($D177="Pressio.",
IF(OR($E177=3,$E177=1,$E177=4),BO177,BN177),
IF($D177="Pénétro.",
IF(OR($E177=3,$E177=1,$E177=4),BO177,BN177))),IF($D177="Pressio.",
IF($E177=3,BO177,BN177),
IF($D177="Pénétro.",
IF($E177=4,BO177,BN177))))</f>
        <v>#N/A</v>
      </c>
      <c r="BQ177" s="31">
        <v>0</v>
      </c>
      <c r="BR177" s="102" t="e">
        <f>IF(NDC!$H$10="Oui",(VLOOKUP($B$3,'Coeff EC7'!$T$39:$X$59,2,0)*BP177+VLOOKUP($B$3,'Coeff EC7'!$T$65:$X$85,2,0)*Model0.1T!BQ177)/1.5,PI()*BN$12*$Q177*($B177-$B176)*0.15/10+BR176)</f>
        <v>#N/A</v>
      </c>
      <c r="BS177" s="102" t="e">
        <f>(VLOOKUP($B$3,'Coeff EC7'!$T$39:$X$59,3,0)*BP177+VLOOKUP($B$3,'Coeff EC7'!$T$65:$X$85,3,0)*Model0.1T!BQ177)/1.1</f>
        <v>#N/A</v>
      </c>
      <c r="BT177" s="102" t="e">
        <f t="shared" si="278"/>
        <v>#N/A</v>
      </c>
      <c r="BU177" s="102" t="e">
        <f t="shared" si="279"/>
        <v>#N/A</v>
      </c>
      <c r="BV177" s="414" t="e">
        <f>IF(AND(BR177&gt;NDC!$C$63,BS177&gt;NDC!$C$65,BT177&gt;NDC!$D$73,BU177&gt;NDC!$D$74,$B177&gt;NDC!$H$22-0.1+MIN(3*BV$12,1.5)),0,1)</f>
        <v>#N/A</v>
      </c>
      <c r="BW177" s="86" t="b">
        <f t="shared" si="245"/>
        <v>0</v>
      </c>
      <c r="BX177" s="86">
        <f t="shared" si="246"/>
        <v>0.5</v>
      </c>
      <c r="BY177" s="86">
        <f t="shared" si="247"/>
        <v>0.5</v>
      </c>
      <c r="BZ177" s="30" t="e">
        <f t="shared" ca="1" si="280"/>
        <v>#DIV/0!</v>
      </c>
      <c r="CA177" s="85" t="e">
        <f ca="1">IF(BG177&lt;=Hypothèses!$V$7,Hypothèses!$W$7,IF(BG177&lt;=Hypothèses!$V$8,Hypothèses!$W$8,IF(BG177&lt;=Hypothèses!$V$9,Hypothèses!$W$9,IF(BG177&lt;=Hypothèses!$V$10,Hypothèses!$W$10,IF(BG177&lt;=Hypothèses!$V$11,Hypothèses!$W$11,IF(BG177&lt;=Hypothèses!$V$12,Hypothèses!$W$12,IF(BG177&lt;=Hypothèses!$V$13,Hypothèses!$W$13,IF(BG177&lt;=Hypothèses!$V$14,Hypothèses!$W$14,IF(BG177&lt;=Hypothèses!$V$15,Hypothèses!$W$15,IF(BG177&lt;=Hypothèses!$V$16,Hypothèses!$W$16,IF(BG177&lt;=Hypothèses!$V$17,Hypothèses!$W$17,IF(BG177&lt;=Hypothèses!$V$18,Hypothèses!$W$18,""))))))))))))</f>
        <v>#DIV/0!</v>
      </c>
      <c r="CB177" s="87" t="e">
        <f t="shared" ca="1" si="319"/>
        <v>#DIV/0!</v>
      </c>
      <c r="CC177" s="88" t="e">
        <f ca="1">IF(BG177&lt;=Hypothèses!$V$7,Hypothèses!$X$7,IF(BG177&lt;=Hypothèses!$V$8,Hypothèses!$X$8,IF(BG177&lt;=Hypothèses!$V$9,Hypothèses!$X$9,IF(BG177&lt;=Hypothèses!$V$10,Hypothèses!$X$10,IF(BG177&lt;=Hypothèses!$V$11,Hypothèses!$X$11,IF(BG177&lt;=Hypothèses!$V$12,Hypothèses!$X$12,IF(BG177&lt;=Hypothèses!$V$13,Hypothèses!$X$13,IF(BG177&lt;=Hypothèses!$V$14,Hypothèses!$X$14,IF(BG177&lt;=Hypothèses!$V$15,Hypothèses!$X$15,IF(BG177&lt;=Hypothèses!$V$16,Hypothèses!$X$16,IF(BG177&lt;=Hypothèses!$U$17,Hypothèses!$W$17,IF(BG177&lt;=Hypothèses!$U$18,Hypothèses!$W$18,""))))))))))))</f>
        <v>#DIV/0!</v>
      </c>
      <c r="CD177" s="95" t="e">
        <f t="shared" ca="1" si="281"/>
        <v>#DIV/0!</v>
      </c>
      <c r="CE177" s="101">
        <f t="shared" si="326"/>
        <v>0</v>
      </c>
      <c r="CF177" s="91">
        <f t="shared" si="248"/>
        <v>0</v>
      </c>
      <c r="CG177" s="30" t="e">
        <f t="shared" si="306"/>
        <v>#N/A</v>
      </c>
      <c r="CH177" s="30" t="e">
        <f t="shared" si="307"/>
        <v>#N/A</v>
      </c>
      <c r="CI177" s="31" t="e">
        <f>IF(OR(Hypothèses!$B$4=17,Hypothèses!$B$4=18,Hypothèses!$B$4=19,Hypothèses!$B$4=20),
IF($D177="Pressio.",
IF(OR($E177=3,$E177=1,$E177=4),CH177,CG177),
IF($D177="Pénétro.",
IF(OR($E177=3,$E177=1,$E177=4),CH177,CG177))),IF($D177="Pressio.",
IF($E177=3,CH177,CG177),
IF($D177="Pénétro.",
IF($E177=4,CH177,CG177))))</f>
        <v>#N/A</v>
      </c>
      <c r="CJ177" s="31">
        <v>0</v>
      </c>
      <c r="CK177" s="102" t="e">
        <f>IF(NDC!$H$10="Oui",(VLOOKUP($B$3,'Coeff EC7'!$T$39:$X$59,2,0)*CI177+VLOOKUP($B$3,'Coeff EC7'!$T$65:$X$85,2,0)*Model0.1T!CJ177)/1.5,PI()*CG$12*$Q177*($B177-$B176)*0.15/10+CK176)</f>
        <v>#N/A</v>
      </c>
      <c r="CL177" s="102" t="e">
        <f>(VLOOKUP($B$3,'Coeff EC7'!$T$39:$X$59,3,0)*CI177+VLOOKUP($B$3,'Coeff EC7'!$T$65:$X$85,3,0)*Model0.1T!CJ177)/1.1</f>
        <v>#N/A</v>
      </c>
      <c r="CM177" s="102" t="e">
        <f t="shared" si="282"/>
        <v>#N/A</v>
      </c>
      <c r="CN177" s="102" t="e">
        <f t="shared" si="283"/>
        <v>#N/A</v>
      </c>
      <c r="CO177" s="414" t="e">
        <f>IF(AND(CK177&gt;NDC!$C$63,CL177&gt;NDC!$C$65,CM177&gt;NDC!$D$73,CN177&gt;NDC!$D$74,$B177&gt;NDC!$H$22-0.1+MIN(3*CO$12,1.5)),0,1)</f>
        <v>#N/A</v>
      </c>
      <c r="CP177" s="86" t="b">
        <f t="shared" si="249"/>
        <v>0</v>
      </c>
      <c r="CQ177" s="86">
        <f t="shared" si="250"/>
        <v>0.5</v>
      </c>
      <c r="CR177" s="86">
        <f t="shared" si="251"/>
        <v>0.5</v>
      </c>
      <c r="CS177" s="30" t="e">
        <f t="shared" ca="1" si="284"/>
        <v>#DIV/0!</v>
      </c>
      <c r="CT177" s="85" t="e">
        <f ca="1">IF(BZ177&lt;=Hypothèses!$V$7,Hypothèses!$W$7,IF(BZ177&lt;=Hypothèses!$V$8,Hypothèses!$W$8,IF(BZ177&lt;=Hypothèses!$V$9,Hypothèses!$W$9,IF(BZ177&lt;=Hypothèses!$V$10,Hypothèses!$W$10,IF(BZ177&lt;=Hypothèses!$V$11,Hypothèses!$W$11,IF(BZ177&lt;=Hypothèses!$V$12,Hypothèses!$W$12,IF(BZ177&lt;=Hypothèses!$V$13,Hypothèses!$W$13,IF(BZ177&lt;=Hypothèses!$V$14,Hypothèses!$W$14,IF(BZ177&lt;=Hypothèses!$V$15,Hypothèses!$W$15,IF(BZ177&lt;=Hypothèses!$V$16,Hypothèses!$W$16,IF(BZ177&lt;=Hypothèses!$V$17,Hypothèses!$W$17,IF(BZ177&lt;=Hypothèses!$V$18,Hypothèses!$W$18,""))))))))))))</f>
        <v>#DIV/0!</v>
      </c>
      <c r="CU177" s="87" t="e">
        <f t="shared" ca="1" si="320"/>
        <v>#DIV/0!</v>
      </c>
      <c r="CV177" s="88" t="e">
        <f ca="1">IF(BZ177&lt;=Hypothèses!$V$7,Hypothèses!$X$7,IF(BZ177&lt;=Hypothèses!$V$8,Hypothèses!$X$8,IF(BZ177&lt;=Hypothèses!$V$9,Hypothèses!$X$9,IF(BZ177&lt;=Hypothèses!$V$10,Hypothèses!$X$10,IF(BZ177&lt;=Hypothèses!$V$11,Hypothèses!$X$11,IF(BZ177&lt;=Hypothèses!$V$12,Hypothèses!$X$12,IF(BZ177&lt;=Hypothèses!$V$13,Hypothèses!$X$13,IF(BZ177&lt;=Hypothèses!$V$14,Hypothèses!$X$14,IF(BZ177&lt;=Hypothèses!$V$15,Hypothèses!$X$15,IF(BZ177&lt;=Hypothèses!$V$16,Hypothèses!$X$16,IF(BZ177&lt;=Hypothèses!$U$17,Hypothèses!$W$17,IF(BZ177&lt;=Hypothèses!$U$18,Hypothèses!$W$18,""))))))))))))</f>
        <v>#DIV/0!</v>
      </c>
      <c r="CW177" s="95" t="e">
        <f t="shared" ca="1" si="285"/>
        <v>#DIV/0!</v>
      </c>
      <c r="CX177" s="101">
        <f t="shared" si="327"/>
        <v>0</v>
      </c>
      <c r="CY177" s="91">
        <f t="shared" si="252"/>
        <v>0</v>
      </c>
      <c r="CZ177" s="30" t="e">
        <f t="shared" si="308"/>
        <v>#N/A</v>
      </c>
      <c r="DA177" s="30" t="e">
        <f t="shared" si="309"/>
        <v>#N/A</v>
      </c>
      <c r="DB177" s="31" t="e">
        <f>IF(OR(Hypothèses!$B$4=17,Hypothèses!$B$4=18,Hypothèses!$B$4=19,Hypothèses!$B$4=20),
IF($D177="Pressio.",
IF(OR($E177=3,$E177=1,$E177=4),DA177,CZ177),
IF($D177="Pénétro.",
IF(OR($E177=3,$E177=1,$E177=4),DA177,CZ177))),IF($D177="Pressio.",
IF($E177=3,DA177,CZ177),
IF($D177="Pénétro.",
IF($E177=4,DA177,CZ177))))</f>
        <v>#N/A</v>
      </c>
      <c r="DC177" s="31">
        <v>0</v>
      </c>
      <c r="DD177" s="102" t="e">
        <f>IF(NDC!$H$10="Oui",(VLOOKUP($B$3,'Coeff EC7'!$T$39:$X$59,2,0)*DB177+VLOOKUP($B$3,'Coeff EC7'!$T$65:$X$85,2,0)*Model0.1T!DC177)/1.5,PI()*CZ$12*$Q177*($B177-$B176)*0.15/10+DD176)</f>
        <v>#N/A</v>
      </c>
      <c r="DE177" s="102" t="e">
        <f>(VLOOKUP($B$3,'Coeff EC7'!$T$39:$X$59,3,0)*DB177+VLOOKUP($B$3,'Coeff EC7'!$T$65:$X$85,3,0)*Model0.1T!DC177)/1.1</f>
        <v>#N/A</v>
      </c>
      <c r="DF177" s="102" t="e">
        <f t="shared" si="286"/>
        <v>#N/A</v>
      </c>
      <c r="DG177" s="102" t="e">
        <f t="shared" si="287"/>
        <v>#N/A</v>
      </c>
      <c r="DH177" s="414" t="e">
        <f>IF(AND(DD177&gt;NDC!$C$63,DE177&gt;NDC!$C$65,DF177&gt;NDC!$D$73,DG177&gt;NDC!$D$74,$B177&gt;NDC!$H$22-0.1+MIN(3*DH$12,1.5)),0,1)</f>
        <v>#N/A</v>
      </c>
      <c r="DI177" s="86" t="b">
        <f t="shared" si="253"/>
        <v>0</v>
      </c>
      <c r="DJ177" s="86">
        <f t="shared" si="254"/>
        <v>0.5</v>
      </c>
      <c r="DK177" s="86">
        <f t="shared" si="255"/>
        <v>0.5</v>
      </c>
      <c r="DL177" s="30" t="e">
        <f t="shared" ca="1" si="288"/>
        <v>#DIV/0!</v>
      </c>
      <c r="DM177" s="85" t="e">
        <f ca="1">IF(CS177&lt;=Hypothèses!$V$7,Hypothèses!$W$7,IF(CS177&lt;=Hypothèses!$V$8,Hypothèses!$W$8,IF(CS177&lt;=Hypothèses!$V$9,Hypothèses!$W$9,IF(CS177&lt;=Hypothèses!$V$10,Hypothèses!$W$10,IF(CS177&lt;=Hypothèses!$V$11,Hypothèses!$W$11,IF(CS177&lt;=Hypothèses!$V$12,Hypothèses!$W$12,IF(CS177&lt;=Hypothèses!$V$13,Hypothèses!$W$13,IF(CS177&lt;=Hypothèses!$V$14,Hypothèses!$W$14,IF(CS177&lt;=Hypothèses!$V$15,Hypothèses!$W$15,IF(CS177&lt;=Hypothèses!$V$16,Hypothèses!$W$16,IF(CS177&lt;=Hypothèses!$V$17,Hypothèses!$W$17,IF(CS177&lt;=Hypothèses!$V$18,Hypothèses!$W$18,""))))))))))))</f>
        <v>#DIV/0!</v>
      </c>
      <c r="DN177" s="87" t="e">
        <f t="shared" ca="1" si="321"/>
        <v>#DIV/0!</v>
      </c>
      <c r="DO177" s="88" t="e">
        <f ca="1">IF(CS177&lt;=Hypothèses!$V$7,Hypothèses!$X$7,IF(CS177&lt;=Hypothèses!$V$8,Hypothèses!$X$8,IF(CS177&lt;=Hypothèses!$V$9,Hypothèses!$X$9,IF(CS177&lt;=Hypothèses!$V$10,Hypothèses!$X$10,IF(CS177&lt;=Hypothèses!$V$11,Hypothèses!$X$11,IF(CS177&lt;=Hypothèses!$V$12,Hypothèses!$X$12,IF(CS177&lt;=Hypothèses!$V$13,Hypothèses!$X$13,IF(CS177&lt;=Hypothèses!$V$14,Hypothèses!$X$14,IF(CS177&lt;=Hypothèses!$V$15,Hypothèses!$X$15,IF(CS177&lt;=Hypothèses!$V$16,Hypothèses!$X$16,IF(CS177&lt;=Hypothèses!$U$17,Hypothèses!$W$17,IF(CS177&lt;=Hypothèses!$U$18,Hypothèses!$W$18,""))))))))))))</f>
        <v>#DIV/0!</v>
      </c>
      <c r="DP177" s="95" t="e">
        <f t="shared" ca="1" si="289"/>
        <v>#DIV/0!</v>
      </c>
      <c r="DQ177" s="101">
        <f t="shared" si="328"/>
        <v>0</v>
      </c>
      <c r="DR177" s="91">
        <f t="shared" si="256"/>
        <v>0</v>
      </c>
      <c r="DS177" s="30" t="e">
        <f t="shared" si="310"/>
        <v>#N/A</v>
      </c>
      <c r="DT177" s="30" t="e">
        <f t="shared" si="311"/>
        <v>#N/A</v>
      </c>
      <c r="DU177" s="31" t="e">
        <f>IF(OR(Hypothèses!$B$4=17,Hypothèses!$B$4=18,Hypothèses!$B$4=19,Hypothèses!$B$4=20),
IF($D177="Pressio.",
IF(OR($E177=3,$E177=1,$E177=4),DT177,DS177),
IF($D177="Pénétro.",
IF(OR($E177=3,$E177=1,$E177=4),DT177,DS177))),IF($D177="Pressio.",
IF($E177=3,DT177,DS177),
IF($D177="Pénétro.",
IF($E177=4,DT177,DS177))))</f>
        <v>#N/A</v>
      </c>
      <c r="DV177" s="31">
        <v>0</v>
      </c>
      <c r="DW177" s="102" t="e">
        <f>IF(NDC!$H$10="Oui",(VLOOKUP($B$3,'Coeff EC7'!$T$39:$X$59,2,0)*DU177+VLOOKUP($B$3,'Coeff EC7'!$T$65:$X$85,2,0)*Model0.1T!DV177)/1.5,PI()*DS$12*$Q177*($B177-$B176)*0.15/10+DW176)</f>
        <v>#N/A</v>
      </c>
      <c r="DX177" s="102" t="e">
        <f>(VLOOKUP($B$3,'Coeff EC7'!$T$39:$X$59,3,0)*DU177+VLOOKUP($B$3,'Coeff EC7'!$T$65:$X$85,3,0)*Model0.1T!DV177)/1.1</f>
        <v>#N/A</v>
      </c>
      <c r="DY177" s="102" t="e">
        <f t="shared" si="290"/>
        <v>#N/A</v>
      </c>
      <c r="DZ177" s="102" t="e">
        <f t="shared" si="291"/>
        <v>#N/A</v>
      </c>
      <c r="EA177" s="414" t="e">
        <f>IF(AND(DW177&gt;NDC!$C$63,DX177&gt;NDC!$C$65,DY177&gt;NDC!$D$73,DZ177&gt;NDC!$D$74,$B177&gt;NDC!$H$22-0.1+MIN(3*EA$12,1.5)),0,1)</f>
        <v>#N/A</v>
      </c>
      <c r="EB177" s="86" t="b">
        <f t="shared" si="257"/>
        <v>0</v>
      </c>
      <c r="EC177" s="418">
        <f t="shared" si="258"/>
        <v>0.51</v>
      </c>
      <c r="ED177" s="86">
        <f t="shared" si="259"/>
        <v>0.51</v>
      </c>
      <c r="EE177" s="30" t="e">
        <f t="shared" ca="1" si="292"/>
        <v>#DIV/0!</v>
      </c>
      <c r="EF177" s="85" t="e">
        <f ca="1">IF(DL177&lt;=Hypothèses!$V$7,Hypothèses!$W$7,IF(DL177&lt;=Hypothèses!$V$8,Hypothèses!$W$8,IF(DL177&lt;=Hypothèses!$V$9,Hypothèses!$W$9,IF(DL177&lt;=Hypothèses!$V$10,Hypothèses!$W$10,IF(DL177&lt;=Hypothèses!$V$11,Hypothèses!$W$11,IF(DL177&lt;=Hypothèses!$V$12,Hypothèses!$W$12,IF(DL177&lt;=Hypothèses!$V$13,Hypothèses!$W$13,IF(DL177&lt;=Hypothèses!$V$14,Hypothèses!$W$14,IF(DL177&lt;=Hypothèses!$V$15,Hypothèses!$W$15,IF(DL177&lt;=Hypothèses!$V$16,Hypothèses!$W$16,IF(DL177&lt;=Hypothèses!$V$17,Hypothèses!$W$17,IF(DL177&lt;=Hypothèses!$V$18,Hypothèses!$W$18,""))))))))))))</f>
        <v>#DIV/0!</v>
      </c>
      <c r="EG177" s="87" t="e">
        <f t="shared" ca="1" si="322"/>
        <v>#DIV/0!</v>
      </c>
      <c r="EH177" s="88" t="e">
        <f ca="1">IF(DL177&lt;=Hypothèses!$V$7,Hypothèses!$X$7,IF(DL177&lt;=Hypothèses!$V$8,Hypothèses!$X$8,IF(DL177&lt;=Hypothèses!$V$9,Hypothèses!$X$9,IF(DL177&lt;=Hypothèses!$V$10,Hypothèses!$X$10,IF(DL177&lt;=Hypothèses!$V$11,Hypothèses!$X$11,IF(DL177&lt;=Hypothèses!$V$12,Hypothèses!$X$12,IF(DL177&lt;=Hypothèses!$V$13,Hypothèses!$X$13,IF(DL177&lt;=Hypothèses!$V$14,Hypothèses!$X$14,IF(DL177&lt;=Hypothèses!$V$15,Hypothèses!$X$15,IF(DL177&lt;=Hypothèses!$V$16,Hypothèses!$X$16,IF(DL177&lt;=Hypothèses!$U$17,Hypothèses!$W$17,IF(DL177&lt;=Hypothèses!$U$18,Hypothèses!$W$18,""))))))))))))</f>
        <v>#DIV/0!</v>
      </c>
      <c r="EI177" s="95" t="e">
        <f t="shared" ca="1" si="293"/>
        <v>#DIV/0!</v>
      </c>
      <c r="EJ177" s="101">
        <f t="shared" si="329"/>
        <v>0</v>
      </c>
      <c r="EK177" s="91">
        <f t="shared" si="260"/>
        <v>0</v>
      </c>
      <c r="EL177" s="30" t="e">
        <f t="shared" si="312"/>
        <v>#N/A</v>
      </c>
      <c r="EM177" s="30" t="e">
        <f t="shared" si="313"/>
        <v>#N/A</v>
      </c>
      <c r="EN177" s="31" t="e">
        <f>IF(OR(Hypothèses!$B$4=17,Hypothèses!$B$4=18,Hypothèses!$B$4=19,Hypothèses!$B$4=20),
IF($D177="Pressio.",
IF(OR($E177=3,$E177=1,$E177=4),EM177,EL177),
IF($D177="Pénétro.",
IF(OR($E177=3,$E177=1,$E177=4),EM177,EL177))),IF($D177="Pressio.",
IF($E177=3,EM177,EL177),
IF($D177="Pénétro.",
IF($E177=4,EM177,EL177))))</f>
        <v>#N/A</v>
      </c>
      <c r="EO177" s="31">
        <v>0</v>
      </c>
      <c r="EP177" s="102" t="e">
        <f>IF(NDC!$H$10="Oui",(VLOOKUP($B$3,'Coeff EC7'!$T$39:$X$59,2,0)*EN177+VLOOKUP($B$3,'Coeff EC7'!$T$65:$X$85,2,0)*Model0.1T!EO177)/1.5,PI()*EL$12*$Q177*($B177-$B176)*0.15/10+EP176)</f>
        <v>#N/A</v>
      </c>
      <c r="EQ177" s="102" t="e">
        <f>(VLOOKUP($B$3,'Coeff EC7'!$T$39:$X$59,3,0)*EN177+VLOOKUP($B$3,'Coeff EC7'!$T$65:$X$85,3,0)*Model0.1T!EO177)/1.1</f>
        <v>#N/A</v>
      </c>
      <c r="ER177" s="102" t="e">
        <f t="shared" si="294"/>
        <v>#N/A</v>
      </c>
      <c r="ES177" s="102" t="e">
        <f t="shared" si="295"/>
        <v>#N/A</v>
      </c>
      <c r="ET177" s="414" t="e">
        <f>IF(AND(EP177&gt;NDC!$C$63,EQ177&gt;NDC!$C$65,ER177&gt;NDC!$D$73,ES177&gt;NDC!$D$74,$B177&gt;NDC!$H$22-0.1+MIN(3*ET$12,1.5)),0,1)</f>
        <v>#N/A</v>
      </c>
      <c r="EU177" s="86" t="b">
        <f t="shared" si="261"/>
        <v>0</v>
      </c>
      <c r="EV177" s="86">
        <f t="shared" si="262"/>
        <v>0.61</v>
      </c>
      <c r="EW177" s="86">
        <f t="shared" si="263"/>
        <v>0.61</v>
      </c>
      <c r="EX177" s="30" t="e">
        <f t="shared" ca="1" si="296"/>
        <v>#DIV/0!</v>
      </c>
      <c r="EY177" s="85" t="e">
        <f ca="1">IF(EE177&lt;=Hypothèses!$V$7,Hypothèses!$W$7,IF(EE177&lt;=Hypothèses!$V$8,Hypothèses!$W$8,IF(EE177&lt;=Hypothèses!$V$9,Hypothèses!$W$9,IF(EE177&lt;=Hypothèses!$V$10,Hypothèses!$W$10,IF(EE177&lt;=Hypothèses!$V$11,Hypothèses!$W$11,IF(EE177&lt;=Hypothèses!$V$12,Hypothèses!$W$12,IF(EE177&lt;=Hypothèses!$V$13,Hypothèses!$W$13,IF(EE177&lt;=Hypothèses!$V$14,Hypothèses!$W$14,IF(EE177&lt;=Hypothèses!$V$15,Hypothèses!$W$15,IF(EE177&lt;=Hypothèses!$V$16,Hypothèses!$W$16,IF(EE177&lt;=Hypothèses!$V$17,Hypothèses!$W$17,IF(EE177&lt;=Hypothèses!$V$18,Hypothèses!$W$18,""))))))))))))</f>
        <v>#DIV/0!</v>
      </c>
      <c r="EZ177" s="87" t="e">
        <f t="shared" ca="1" si="323"/>
        <v>#DIV/0!</v>
      </c>
      <c r="FA177" s="88" t="e">
        <f ca="1">IF(EE177&lt;=Hypothèses!$V$7,Hypothèses!$X$7,IF(EE177&lt;=Hypothèses!$V$8,Hypothèses!$X$8,IF(EE177&lt;=Hypothèses!$V$9,Hypothèses!$X$9,IF(EE177&lt;=Hypothèses!$V$10,Hypothèses!$X$10,IF(EE177&lt;=Hypothèses!$V$11,Hypothèses!$X$11,IF(EE177&lt;=Hypothèses!$V$12,Hypothèses!$X$12,IF(EE177&lt;=Hypothèses!$V$13,Hypothèses!$X$13,IF(EE177&lt;=Hypothèses!$V$14,Hypothèses!$X$14,IF(EE177&lt;=Hypothèses!$V$15,Hypothèses!$X$15,IF(EE177&lt;=Hypothèses!$V$16,Hypothèses!$X$16,IF(EE177&lt;=Hypothèses!$U$17,Hypothèses!$W$17,IF(EE177&lt;=Hypothèses!$U$18,Hypothèses!$W$18,""))))))))))))</f>
        <v>#DIV/0!</v>
      </c>
      <c r="FB177" s="95" t="e">
        <f t="shared" ca="1" si="297"/>
        <v>#DIV/0!</v>
      </c>
      <c r="FC177" s="101">
        <f t="shared" si="330"/>
        <v>0</v>
      </c>
      <c r="FD177" s="91">
        <f t="shared" si="264"/>
        <v>0</v>
      </c>
      <c r="FE177" s="30" t="e">
        <f t="shared" si="314"/>
        <v>#N/A</v>
      </c>
      <c r="FF177" s="30" t="e">
        <f t="shared" si="315"/>
        <v>#N/A</v>
      </c>
      <c r="FG177" s="31" t="e">
        <f>IF(OR(Hypothèses!$B$4=17,Hypothèses!$B$4=18,Hypothèses!$B$4=19,Hypothèses!$B$4=20),
IF($D177="Pressio.",
IF(OR($E177=3,$E177=1,$E177=4),FF177,FE177),
IF($D177="Pénétro.",
IF(OR($E177=3,$E177=1,$E177=4),FF177,FE177))),IF($D177="Pressio.",
IF($E177=3,FF177,FE177),
IF($D177="Pénétro.",
IF($E177=4,FF177,FE177))))</f>
        <v>#N/A</v>
      </c>
      <c r="FH177" s="31">
        <v>0</v>
      </c>
      <c r="FI177" s="102" t="e">
        <f>IF(NDC!$H$10="Oui",(VLOOKUP($B$3,'Coeff EC7'!$T$39:$X$59,2,0)*FG177+VLOOKUP($B$3,'Coeff EC7'!$T$65:$X$85,2,0)*Model0.1T!FH177)/1.5,PI()*FE$12*$Q177*($B177-$B176)*0.15/10+FI176)</f>
        <v>#N/A</v>
      </c>
      <c r="FJ177" s="102" t="e">
        <f>(VLOOKUP($B$3,'Coeff EC7'!$T$39:$X$59,3,0)*FG177+VLOOKUP($B$3,'Coeff EC7'!$T$65:$X$85,3,0)*Model0.1T!FH177)/1.1</f>
        <v>#N/A</v>
      </c>
      <c r="FK177" s="102" t="e">
        <f t="shared" si="298"/>
        <v>#N/A</v>
      </c>
      <c r="FL177" s="102" t="e">
        <f t="shared" si="299"/>
        <v>#N/A</v>
      </c>
      <c r="FM177" s="414" t="e">
        <f>IF(AND(FI177&gt;NDC!$C$63,FJ177&gt;NDC!$C$65,FK177&gt;NDC!$D$73,FL177&gt;NDC!$D$74,$B177&gt;NDC!$H$22-0.1+MIN(3*FM$12,1.5)),0,1)</f>
        <v>#N/A</v>
      </c>
    </row>
    <row r="178" spans="1:169">
      <c r="A178" s="96">
        <f t="shared" si="265"/>
        <v>83.500000000000938</v>
      </c>
      <c r="B178" s="97">
        <v>16.5</v>
      </c>
      <c r="C178" s="81">
        <f>IF(B178&lt;=Hypothèses!$C$7,Hypothèses!$A$7,IF(B178&lt;=Hypothèses!$C$8,Hypothèses!$A$8,IF(B178&lt;=Hypothèses!$C$9,Hypothèses!$A$9,IF(B178&lt;=Hypothèses!$C$10,Hypothèses!$A$10,IF(B178&lt;=Hypothèses!$C$11,Hypothèses!$A$11,IF(B178&lt;=Hypothèses!$C$12,Hypothèses!$A$12,IF(B178&lt;=Hypothèses!$C$13,Hypothèses!$A$13,IF(B178&lt;=Hypothèses!$C$14,Hypothèses!$A$14,IF(B178&lt;=Hypothèses!$C$15,Hypothèses!$A$15,IF(B178&lt;=Hypothèses!$C$16,Hypothèses!$A$16,IF(B178&lt;=Hypothèses!$C$17,Hypothèses!$A$17,IF(B178&lt;=Hypothèses!$C$18,Hypothèses!$A$18,C177))))))))))))</f>
        <v>11</v>
      </c>
      <c r="D178" s="82" t="str">
        <f>IF(B178&lt;=Hypothèses!$C$7,Hypothèses!$R$7,IF(B178&lt;=Hypothèses!$C$8,Hypothèses!$R$8,IF(B178&lt;=Hypothèses!$C$9,Hypothèses!$R$9,IF(B178&lt;=Hypothèses!$C$10,Hypothèses!$R$10,IF(B178&lt;=Hypothèses!$C$11,Hypothèses!$R$11,IF(B178&lt;=Hypothèses!$C$12,Hypothèses!$R$12,IF(B178&lt;=Hypothèses!$C$13,Hypothèses!$R$13,IF(B178&lt;=Hypothèses!$C$14,Hypothèses!$R$14,IF(B178&lt;=Hypothèses!$C$15,Hypothèses!$R$15,IF(B178&lt;=Hypothèses!$C$16,Hypothèses!$R$16,IF(B178&lt;=Hypothèses!$C$17,Hypothèses!$R$17,IF(B178&lt;=Hypothèses!$C$18,Hypothèses!$R$18,D177))))))))))))</f>
        <v>Pressio.</v>
      </c>
      <c r="E178" s="82" t="e">
        <f>IF(B178&lt;=Hypothèses!$C$7,Hypothèses!$G$7,IF(B178&lt;=Hypothèses!$C$8,Hypothèses!$G$8,IF(B178&lt;=Hypothèses!$C$9,Hypothèses!$G$9,IF(B178&lt;=Hypothèses!$C$10,Hypothèses!$G$10,IF(B178&lt;=Hypothèses!$C$11,Hypothèses!$G$11,IF(B178&lt;=Hypothèses!$C$12,Hypothèses!$G$12,IF(B178&lt;=Hypothèses!$C$13,Hypothèses!$G$13,IF(B178&lt;=Hypothèses!$C$14,Hypothèses!$G$14,IF(B178&lt;=Hypothèses!$C$15,Hypothèses!$G$15,IF(B178&lt;=Hypothèses!$C$16,Hypothèses!$G$16,IF(B178&lt;=Hypothèses!$C$17,Hypothèses!$G$17,IF(B178&lt;=Hypothèses!$C$18,Hypothèses!$G$18,E177))))))))))))</f>
        <v>#N/A</v>
      </c>
      <c r="F178" s="82" t="str">
        <f>IF(B178&lt;=Hypothèses!$C$7,Hypothèses!$F$7,IF(B178&lt;=Hypothèses!$C$8,Hypothèses!$F$8,IF(B178&lt;=Hypothèses!$C$9,Hypothèses!$F$9,IF(B178&lt;=Hypothèses!$C$10,Hypothèses!$F$10,IF(B178&lt;=Hypothèses!$C$11,Hypothèses!$F$11,IF(B178&lt;=Hypothèses!$C$12,Hypothèses!$F$12,IF(B178&lt;=Hypothèses!$C$13,Hypothèses!$F$13,IF(B178&lt;=Hypothèses!$C$14,Hypothèses!$F$14,IF(B178&lt;=Hypothèses!$C$15,Hypothèses!$F$15,IF(B178&lt;=Hypothèses!$C$16,Hypothèses!$F$16,IF(B178&lt;=Hypothèses!$C$17,Hypothèses!$F$17,IF(B178&lt;=Hypothèses!$C$18,Hypothèses!$F$18,F177))))))))))))</f>
        <v/>
      </c>
      <c r="G178" s="91">
        <f t="array" ref="G178">INDEX('Coeff EC7'!$U$7:$X$27,
MATCH(Model0.1T!$B$3,'Coeff EC7'!$T$7:$T$27,0),
MATCH(Model0.1T!$D178&amp;Model0.1T!$B$4,
'Coeff EC7'!$U$6:$X$6&amp;
'Coeff EC7'!$U$5:$X$5,0))</f>
        <v>1.4</v>
      </c>
      <c r="H178" s="91">
        <f t="array" ref="H178">INDEX('Coeff EC7'!$Y$7:$AB$27,
MATCH(Model0.1T!$B$3,'Coeff EC7'!$T$7:$T$27,0),
MATCH(Model0.1T!$D178&amp;Model0.1T!$B$4,
'Coeff EC7'!$Y$6:$AB$6&amp;
'Coeff EC7'!$Y$5:$AB$5,0))</f>
        <v>1.7</v>
      </c>
      <c r="I178" s="83">
        <v>0</v>
      </c>
      <c r="J178" s="91" t="e">
        <f t="array" ref="J178">INDEX('Coeff EC7'!$D$33:$Q$33,1,MATCH(D178&amp;E178,'Coeff EC7'!$D$31:$Q$31&amp;'Coeff EC7'!$D$32:$Q$32,0))</f>
        <v>#N/A</v>
      </c>
      <c r="K178" s="91" t="e">
        <f t="array" ref="K178">INDEX('Coeff EC7'!$D$34:$Q$34,1,MATCH(D178&amp;E178,'Coeff EC7'!$D$31:$Q$31&amp;'Coeff EC7'!$D$32:$Q$32,0))</f>
        <v>#N/A</v>
      </c>
      <c r="L178" s="91" t="e">
        <f t="array" ref="L178">INDEX('Coeff EC7'!$D$35:$Q$35,1,MATCH(D178&amp;E178,'Coeff EC7'!$D$31:$Q$31&amp;'Coeff EC7'!$D$32:$Q$32,0))</f>
        <v>#N/A</v>
      </c>
      <c r="M178" s="98" t="e">
        <f t="shared" si="231"/>
        <v>#N/A</v>
      </c>
      <c r="N178" s="99" t="e">
        <f t="array" ref="N178">INDEX('Coeff EC7'!$D$7:$Q$27,MATCH($B$3,'Coeff EC7'!$C$7:$C$27,0),MATCH(D178&amp;E178,'Coeff EC7'!$D$5:$Q$5&amp;'Coeff EC7'!$D$6:$Q$6,0))</f>
        <v>#N/A</v>
      </c>
      <c r="O178" s="99" t="e">
        <f t="array" ref="O178">INDEX('Coeff EC7'!$D$41:$Q$61,MATCH($B$3,'Coeff EC7'!$C$41:$C$61,0),MATCH(D178&amp;E178,'Coeff EC7'!$D$39:$Q$39&amp;'Coeff EC7'!$D$40:$Q$40,0))</f>
        <v>#N/A</v>
      </c>
      <c r="P178" s="30" t="e">
        <f t="shared" si="266"/>
        <v>#N/A</v>
      </c>
      <c r="Q178" s="100" t="e">
        <f t="shared" si="233"/>
        <v>#N/A</v>
      </c>
      <c r="R178" s="86" t="b">
        <f t="shared" si="234"/>
        <v>0</v>
      </c>
      <c r="S178" s="86">
        <f t="shared" si="232"/>
        <v>0.5</v>
      </c>
      <c r="T178" s="86">
        <f t="shared" si="235"/>
        <v>0.5</v>
      </c>
      <c r="U178" s="30" t="e">
        <f t="shared" ca="1" si="267"/>
        <v>#DIV/0!</v>
      </c>
      <c r="V178" s="85" t="str">
        <f>IF(B178&lt;=Hypothèses!$V$7,Hypothèses!$W$7,IF(B178&lt;=Hypothèses!$V$8,Hypothèses!$W$8,IF(B178&lt;=Hypothèses!$V$9,Hypothèses!$W$9,IF(B178&lt;=Hypothèses!$V$10,Hypothèses!$W$10,IF(B178&lt;=Hypothèses!$V$11,Hypothèses!$W$11,IF(B178&lt;=Hypothèses!$V$12,Hypothèses!$W$12,IF(B178&lt;=Hypothèses!$V$13,Hypothèses!$W$13,IF(B178&lt;=Hypothèses!$V$14,Hypothèses!$W$14,IF(B178&lt;=Hypothèses!$V$15,Hypothèses!$W$15,IF(B178&lt;=Hypothèses!$V$16,Hypothèses!$W$16,IF(B178&lt;=Hypothèses!$V$17,Hypothèses!$W$17,IF(B178&lt;=Hypothèses!$V$18,Hypothèses!$W$18,""))))))))))))</f>
        <v/>
      </c>
      <c r="W178" s="87" t="e">
        <f t="shared" ca="1" si="316"/>
        <v>#DIV/0!</v>
      </c>
      <c r="X178" s="88" t="str">
        <f>IF(B178&lt;=Hypothèses!$V$7,Hypothèses!$X$7,IF(B178&lt;=Hypothèses!$V$8,Hypothèses!$X$8,IF(B178&lt;=Hypothèses!$V$9,Hypothèses!$X$9,IF(B178&lt;=Hypothèses!$V$10,Hypothèses!$X$10,IF(B178&lt;=Hypothèses!$V$11,Hypothèses!$X$11,IF(B178&lt;=Hypothèses!$V$12,Hypothèses!$X$12,IF(B178&lt;=Hypothèses!$V$13,Hypothèses!$X$13,IF(B178&lt;=Hypothèses!$V$14,Hypothèses!$X$14,IF(B178&lt;=Hypothèses!$V$15,Hypothèses!$X$15,IF(B178&lt;=Hypothèses!$V$16,Hypothèses!$X$16,IF(B178&lt;=Hypothèses!$U$17,Hypothèses!$W$17,IF(B178&lt;=Hypothèses!$U$18,Hypothèses!$W$18,""))))))))))))</f>
        <v/>
      </c>
      <c r="Y178" s="95" t="e">
        <f t="shared" ca="1" si="236"/>
        <v>#DIV/0!</v>
      </c>
      <c r="Z178" s="101">
        <f t="shared" si="237"/>
        <v>0</v>
      </c>
      <c r="AA178" s="91">
        <f t="shared" si="238"/>
        <v>0</v>
      </c>
      <c r="AB178" s="30" t="e">
        <f t="shared" si="300"/>
        <v>#N/A</v>
      </c>
      <c r="AC178" s="30" t="e">
        <f t="shared" si="301"/>
        <v>#N/A</v>
      </c>
      <c r="AD178" s="31" t="e">
        <f>IF(OR(Hypothèses!$B$4=17,Hypothèses!$B$4=18,Hypothèses!$B$4=19,Hypothèses!$B$4=20),
IF($D178="Pressio.",
IF(OR($E178=3,$E178=1,$E178=4),AC178,AB178),
IF($D178="Pénétro.",
IF(OR($E178=3,$E178=1,$E178=4),AC178,AB178))),IF($D178="Pressio.",
IF($E178=3,AC178,AB178),
IF($D178="Pénétro.",
IF($E178=4,AC178,AB178))))</f>
        <v>#N/A</v>
      </c>
      <c r="AE178" s="31">
        <v>0</v>
      </c>
      <c r="AF178" s="102" t="e">
        <f>IF(NDC!$H$10="Oui",(VLOOKUP($B$3,'Coeff EC7'!$T$39:$X$59,2,0)*AD178+VLOOKUP($B$3,'Coeff EC7'!$T$65:$X$85,2,0)*Model0.1T!AE178)/1.5,PI()*AB$12*$Q178*($B178-$B177)*0.15/10+AF177)</f>
        <v>#N/A</v>
      </c>
      <c r="AG178" s="102" t="e">
        <f>(VLOOKUP($B$3,'Coeff EC7'!$T$39:$X$59,3,0)*AD178+VLOOKUP($B$3,'Coeff EC7'!$T$65:$X$85,3,0)*Model0.1T!AE178)/1.1</f>
        <v>#N/A</v>
      </c>
      <c r="AH178" s="102" t="e">
        <f t="shared" si="268"/>
        <v>#N/A</v>
      </c>
      <c r="AI178" s="102" t="e">
        <f t="shared" si="269"/>
        <v>#N/A</v>
      </c>
      <c r="AJ178" s="414" t="e">
        <f>IF(AND(AF178&gt;NDC!$C$63,AG178&gt;NDC!$C$65,AH178&gt;NDC!$D$73,AI178&gt;NDC!$D$74,$B178&gt;NDC!$H$22-0.1+MIN(3*$AJ$12,1.5)),0,1)</f>
        <v>#N/A</v>
      </c>
      <c r="AK178" s="86" t="b">
        <f t="shared" si="239"/>
        <v>0</v>
      </c>
      <c r="AL178" s="86">
        <f t="shared" si="270"/>
        <v>0.5</v>
      </c>
      <c r="AM178" s="86">
        <f t="shared" si="240"/>
        <v>0.5</v>
      </c>
      <c r="AN178" s="30" t="e">
        <f t="shared" ca="1" si="271"/>
        <v>#DIV/0!</v>
      </c>
      <c r="AO178" s="85" t="e">
        <f ca="1">IF(U178&lt;=Hypothèses!$V$7,Hypothèses!$W$7,IF(U178&lt;=Hypothèses!$V$8,Hypothèses!$W$8,IF(U178&lt;=Hypothèses!$V$9,Hypothèses!$W$9,IF(U178&lt;=Hypothèses!$V$10,Hypothèses!$W$10,IF(U178&lt;=Hypothèses!$V$11,Hypothèses!$W$11,IF(U178&lt;=Hypothèses!$V$12,Hypothèses!$W$12,IF(U178&lt;=Hypothèses!$V$13,Hypothèses!$W$13,IF(U178&lt;=Hypothèses!$V$14,Hypothèses!$W$14,IF(U178&lt;=Hypothèses!$V$15,Hypothèses!$W$15,IF(U178&lt;=Hypothèses!$V$16,Hypothèses!$W$16,IF(U178&lt;=Hypothèses!$V$17,Hypothèses!$W$17,IF(U178&lt;=Hypothèses!$V$18,Hypothèses!$W$18,""))))))))))))</f>
        <v>#DIV/0!</v>
      </c>
      <c r="AP178" s="87" t="e">
        <f t="shared" ca="1" si="317"/>
        <v>#DIV/0!</v>
      </c>
      <c r="AQ178" s="88" t="e">
        <f ca="1">IF(U178&lt;=Hypothèses!$V$7,Hypothèses!$X$7,IF(U178&lt;=Hypothèses!$V$8,Hypothèses!$X$8,IF(U178&lt;=Hypothèses!$V$9,Hypothèses!$X$9,IF(U178&lt;=Hypothèses!$V$10,Hypothèses!$X$10,IF(U178&lt;=Hypothèses!$V$11,Hypothèses!$X$11,IF(U178&lt;=Hypothèses!$V$12,Hypothèses!$X$12,IF(U178&lt;=Hypothèses!$V$13,Hypothèses!$X$13,IF(U178&lt;=Hypothèses!$V$14,Hypothèses!$X$14,IF(U178&lt;=Hypothèses!$V$15,Hypothèses!$X$15,IF(U178&lt;=Hypothèses!$V$16,Hypothèses!$X$16,IF(U178&lt;=Hypothèses!$U$17,Hypothèses!$W$17,IF(U178&lt;=Hypothèses!$U$18,Hypothèses!$W$18,""))))))))))))</f>
        <v>#DIV/0!</v>
      </c>
      <c r="AR178" s="95" t="e">
        <f t="shared" ca="1" si="272"/>
        <v>#DIV/0!</v>
      </c>
      <c r="AS178" s="101">
        <f t="shared" si="324"/>
        <v>0</v>
      </c>
      <c r="AT178" s="91">
        <f t="shared" si="241"/>
        <v>0</v>
      </c>
      <c r="AU178" s="30" t="e">
        <f t="shared" si="302"/>
        <v>#N/A</v>
      </c>
      <c r="AV178" s="30" t="e">
        <f t="shared" si="303"/>
        <v>#N/A</v>
      </c>
      <c r="AW178" s="31" t="e">
        <f>IF(OR(Hypothèses!$B$4=17,Hypothèses!$B$4=18,Hypothèses!$B$4=19,Hypothèses!$B$4=20),
IF($D178="Pressio.",
IF(OR($E178=3,$E178=1,$E178=4),AV178,AU178),
IF($D178="Pénétro.",
IF(OR($E178=3,$E178=1,$E178=4),AV178,AU178))),IF($D178="Pressio.",
IF($E178=3,AV178,AU178),
IF($D178="Pénétro.",
IF($E178=4,AV178,AU178))))</f>
        <v>#N/A</v>
      </c>
      <c r="AX178" s="31">
        <v>0</v>
      </c>
      <c r="AY178" s="102" t="e">
        <f>IF(NDC!$H$10="Oui",(VLOOKUP($B$3,'Coeff EC7'!$T$39:$X$59,2,0)*AW178+VLOOKUP($B$3,'Coeff EC7'!$T$65:$X$85,2,0)*Model0.1T!AX178)/1.5,PI()*AU$12*$Q178*($B178-$B177)*0.15/10+AY177)</f>
        <v>#N/A</v>
      </c>
      <c r="AZ178" s="102" t="e">
        <f>(VLOOKUP($B$3,'Coeff EC7'!$T$39:$X$59,3,0)*AW178+VLOOKUP($B$3,'Coeff EC7'!$T$65:$X$85,3,0)*Model0.1T!AX178)/1.1</f>
        <v>#N/A</v>
      </c>
      <c r="BA178" s="102" t="e">
        <f t="shared" si="273"/>
        <v>#N/A</v>
      </c>
      <c r="BB178" s="102" t="e">
        <f t="shared" si="274"/>
        <v>#N/A</v>
      </c>
      <c r="BC178" s="414" t="e">
        <f>IF(AND(AY178&gt;NDC!$C$63,AZ178&gt;NDC!$C$65,BA178&gt;NDC!$D$73,BB178&gt;NDC!$D$74,$B178&gt;NDC!$H$22-0.1+MIN(3*BC$12,1.5)),0,1)</f>
        <v>#N/A</v>
      </c>
      <c r="BD178" s="86" t="b">
        <f t="shared" si="242"/>
        <v>0</v>
      </c>
      <c r="BE178" s="86">
        <f t="shared" si="275"/>
        <v>0.5</v>
      </c>
      <c r="BF178" s="86">
        <f t="shared" si="243"/>
        <v>0.5</v>
      </c>
      <c r="BG178" s="30" t="e">
        <f t="shared" ca="1" si="276"/>
        <v>#DIV/0!</v>
      </c>
      <c r="BH178" s="85" t="e">
        <f ca="1">IF(AN178&lt;=Hypothèses!$V$7,Hypothèses!$W$7,IF(AN178&lt;=Hypothèses!$V$8,Hypothèses!$W$8,IF(AN178&lt;=Hypothèses!$V$9,Hypothèses!$W$9,IF(AN178&lt;=Hypothèses!$V$10,Hypothèses!$W$10,IF(AN178&lt;=Hypothèses!$V$11,Hypothèses!$W$11,IF(AN178&lt;=Hypothèses!$V$12,Hypothèses!$W$12,IF(AN178&lt;=Hypothèses!$V$13,Hypothèses!$W$13,IF(AN178&lt;=Hypothèses!$V$14,Hypothèses!$W$14,IF(AN178&lt;=Hypothèses!$V$15,Hypothèses!$W$15,IF(AN178&lt;=Hypothèses!$V$16,Hypothèses!$W$16,IF(AN178&lt;=Hypothèses!$V$17,Hypothèses!$W$17,IF(AN178&lt;=Hypothèses!$V$18,Hypothèses!$W$18,""))))))))))))</f>
        <v>#DIV/0!</v>
      </c>
      <c r="BI178" s="87" t="e">
        <f t="shared" ca="1" si="318"/>
        <v>#DIV/0!</v>
      </c>
      <c r="BJ178" s="88" t="e">
        <f ca="1">IF(AN178&lt;=Hypothèses!$V$7,Hypothèses!$X$7,IF(AN178&lt;=Hypothèses!$V$8,Hypothèses!$X$8,IF(AN178&lt;=Hypothèses!$V$9,Hypothèses!$X$9,IF(AN178&lt;=Hypothèses!$V$10,Hypothèses!$X$10,IF(AN178&lt;=Hypothèses!$V$11,Hypothèses!$X$11,IF(AN178&lt;=Hypothèses!$V$12,Hypothèses!$X$12,IF(AN178&lt;=Hypothèses!$V$13,Hypothèses!$X$13,IF(AN178&lt;=Hypothèses!$V$14,Hypothèses!$X$14,IF(AN178&lt;=Hypothèses!$V$15,Hypothèses!$X$15,IF(AN178&lt;=Hypothèses!$V$16,Hypothèses!$X$16,IF(AN178&lt;=Hypothèses!$U$17,Hypothèses!$W$17,IF(AN178&lt;=Hypothèses!$U$18,Hypothèses!$W$18,""))))))))))))</f>
        <v>#DIV/0!</v>
      </c>
      <c r="BK178" s="95" t="e">
        <f t="shared" ca="1" si="277"/>
        <v>#DIV/0!</v>
      </c>
      <c r="BL178" s="101">
        <f t="shared" si="325"/>
        <v>0</v>
      </c>
      <c r="BM178" s="91">
        <f t="shared" si="244"/>
        <v>0</v>
      </c>
      <c r="BN178" s="30" t="e">
        <f t="shared" si="304"/>
        <v>#N/A</v>
      </c>
      <c r="BO178" s="30" t="e">
        <f t="shared" si="305"/>
        <v>#N/A</v>
      </c>
      <c r="BP178" s="31" t="e">
        <f>IF(OR(Hypothèses!$B$4=17,Hypothèses!$B$4=18,Hypothèses!$B$4=19,Hypothèses!$B$4=20),
IF($D178="Pressio.",
IF(OR($E178=3,$E178=1,$E178=4),BO178,BN178),
IF($D178="Pénétro.",
IF(OR($E178=3,$E178=1,$E178=4),BO178,BN178))),IF($D178="Pressio.",
IF($E178=3,BO178,BN178),
IF($D178="Pénétro.",
IF($E178=4,BO178,BN178))))</f>
        <v>#N/A</v>
      </c>
      <c r="BQ178" s="31">
        <v>0</v>
      </c>
      <c r="BR178" s="102" t="e">
        <f>IF(NDC!$H$10="Oui",(VLOOKUP($B$3,'Coeff EC7'!$T$39:$X$59,2,0)*BP178+VLOOKUP($B$3,'Coeff EC7'!$T$65:$X$85,2,0)*Model0.1T!BQ178)/1.5,PI()*BN$12*$Q178*($B178-$B177)*0.15/10+BR177)</f>
        <v>#N/A</v>
      </c>
      <c r="BS178" s="102" t="e">
        <f>(VLOOKUP($B$3,'Coeff EC7'!$T$39:$X$59,3,0)*BP178+VLOOKUP($B$3,'Coeff EC7'!$T$65:$X$85,3,0)*Model0.1T!BQ178)/1.1</f>
        <v>#N/A</v>
      </c>
      <c r="BT178" s="102" t="e">
        <f t="shared" si="278"/>
        <v>#N/A</v>
      </c>
      <c r="BU178" s="102" t="e">
        <f t="shared" si="279"/>
        <v>#N/A</v>
      </c>
      <c r="BV178" s="414" t="e">
        <f>IF(AND(BR178&gt;NDC!$C$63,BS178&gt;NDC!$C$65,BT178&gt;NDC!$D$73,BU178&gt;NDC!$D$74,$B178&gt;NDC!$H$22-0.1+MIN(3*BV$12,1.5)),0,1)</f>
        <v>#N/A</v>
      </c>
      <c r="BW178" s="86" t="b">
        <f t="shared" si="245"/>
        <v>0</v>
      </c>
      <c r="BX178" s="86">
        <f t="shared" si="246"/>
        <v>0.5</v>
      </c>
      <c r="BY178" s="86">
        <f t="shared" si="247"/>
        <v>0.5</v>
      </c>
      <c r="BZ178" s="30" t="e">
        <f t="shared" ca="1" si="280"/>
        <v>#DIV/0!</v>
      </c>
      <c r="CA178" s="85" t="e">
        <f ca="1">IF(BG178&lt;=Hypothèses!$V$7,Hypothèses!$W$7,IF(BG178&lt;=Hypothèses!$V$8,Hypothèses!$W$8,IF(BG178&lt;=Hypothèses!$V$9,Hypothèses!$W$9,IF(BG178&lt;=Hypothèses!$V$10,Hypothèses!$W$10,IF(BG178&lt;=Hypothèses!$V$11,Hypothèses!$W$11,IF(BG178&lt;=Hypothèses!$V$12,Hypothèses!$W$12,IF(BG178&lt;=Hypothèses!$V$13,Hypothèses!$W$13,IF(BG178&lt;=Hypothèses!$V$14,Hypothèses!$W$14,IF(BG178&lt;=Hypothèses!$V$15,Hypothèses!$W$15,IF(BG178&lt;=Hypothèses!$V$16,Hypothèses!$W$16,IF(BG178&lt;=Hypothèses!$V$17,Hypothèses!$W$17,IF(BG178&lt;=Hypothèses!$V$18,Hypothèses!$W$18,""))))))))))))</f>
        <v>#DIV/0!</v>
      </c>
      <c r="CB178" s="87" t="e">
        <f t="shared" ca="1" si="319"/>
        <v>#DIV/0!</v>
      </c>
      <c r="CC178" s="88" t="e">
        <f ca="1">IF(BG178&lt;=Hypothèses!$V$7,Hypothèses!$X$7,IF(BG178&lt;=Hypothèses!$V$8,Hypothèses!$X$8,IF(BG178&lt;=Hypothèses!$V$9,Hypothèses!$X$9,IF(BG178&lt;=Hypothèses!$V$10,Hypothèses!$X$10,IF(BG178&lt;=Hypothèses!$V$11,Hypothèses!$X$11,IF(BG178&lt;=Hypothèses!$V$12,Hypothèses!$X$12,IF(BG178&lt;=Hypothèses!$V$13,Hypothèses!$X$13,IF(BG178&lt;=Hypothèses!$V$14,Hypothèses!$X$14,IF(BG178&lt;=Hypothèses!$V$15,Hypothèses!$X$15,IF(BG178&lt;=Hypothèses!$V$16,Hypothèses!$X$16,IF(BG178&lt;=Hypothèses!$U$17,Hypothèses!$W$17,IF(BG178&lt;=Hypothèses!$U$18,Hypothèses!$W$18,""))))))))))))</f>
        <v>#DIV/0!</v>
      </c>
      <c r="CD178" s="95" t="e">
        <f t="shared" ca="1" si="281"/>
        <v>#DIV/0!</v>
      </c>
      <c r="CE178" s="101">
        <f t="shared" si="326"/>
        <v>0</v>
      </c>
      <c r="CF178" s="91">
        <f t="shared" si="248"/>
        <v>0</v>
      </c>
      <c r="CG178" s="30" t="e">
        <f t="shared" si="306"/>
        <v>#N/A</v>
      </c>
      <c r="CH178" s="30" t="e">
        <f t="shared" si="307"/>
        <v>#N/A</v>
      </c>
      <c r="CI178" s="31" t="e">
        <f>IF(OR(Hypothèses!$B$4=17,Hypothèses!$B$4=18,Hypothèses!$B$4=19,Hypothèses!$B$4=20),
IF($D178="Pressio.",
IF(OR($E178=3,$E178=1,$E178=4),CH178,CG178),
IF($D178="Pénétro.",
IF(OR($E178=3,$E178=1,$E178=4),CH178,CG178))),IF($D178="Pressio.",
IF($E178=3,CH178,CG178),
IF($D178="Pénétro.",
IF($E178=4,CH178,CG178))))</f>
        <v>#N/A</v>
      </c>
      <c r="CJ178" s="31">
        <v>0</v>
      </c>
      <c r="CK178" s="102" t="e">
        <f>IF(NDC!$H$10="Oui",(VLOOKUP($B$3,'Coeff EC7'!$T$39:$X$59,2,0)*CI178+VLOOKUP($B$3,'Coeff EC7'!$T$65:$X$85,2,0)*Model0.1T!CJ178)/1.5,PI()*CG$12*$Q178*($B178-$B177)*0.15/10+CK177)</f>
        <v>#N/A</v>
      </c>
      <c r="CL178" s="102" t="e">
        <f>(VLOOKUP($B$3,'Coeff EC7'!$T$39:$X$59,3,0)*CI178+VLOOKUP($B$3,'Coeff EC7'!$T$65:$X$85,3,0)*Model0.1T!CJ178)/1.1</f>
        <v>#N/A</v>
      </c>
      <c r="CM178" s="102" t="e">
        <f t="shared" si="282"/>
        <v>#N/A</v>
      </c>
      <c r="CN178" s="102" t="e">
        <f t="shared" si="283"/>
        <v>#N/A</v>
      </c>
      <c r="CO178" s="414" t="e">
        <f>IF(AND(CK178&gt;NDC!$C$63,CL178&gt;NDC!$C$65,CM178&gt;NDC!$D$73,CN178&gt;NDC!$D$74,$B178&gt;NDC!$H$22-0.1+MIN(3*CO$12,1.5)),0,1)</f>
        <v>#N/A</v>
      </c>
      <c r="CP178" s="86" t="b">
        <f t="shared" si="249"/>
        <v>0</v>
      </c>
      <c r="CQ178" s="86">
        <f t="shared" si="250"/>
        <v>0.5</v>
      </c>
      <c r="CR178" s="86">
        <f t="shared" si="251"/>
        <v>0.5</v>
      </c>
      <c r="CS178" s="30" t="e">
        <f t="shared" ca="1" si="284"/>
        <v>#DIV/0!</v>
      </c>
      <c r="CT178" s="85" t="e">
        <f ca="1">IF(BZ178&lt;=Hypothèses!$V$7,Hypothèses!$W$7,IF(BZ178&lt;=Hypothèses!$V$8,Hypothèses!$W$8,IF(BZ178&lt;=Hypothèses!$V$9,Hypothèses!$W$9,IF(BZ178&lt;=Hypothèses!$V$10,Hypothèses!$W$10,IF(BZ178&lt;=Hypothèses!$V$11,Hypothèses!$W$11,IF(BZ178&lt;=Hypothèses!$V$12,Hypothèses!$W$12,IF(BZ178&lt;=Hypothèses!$V$13,Hypothèses!$W$13,IF(BZ178&lt;=Hypothèses!$V$14,Hypothèses!$W$14,IF(BZ178&lt;=Hypothèses!$V$15,Hypothèses!$W$15,IF(BZ178&lt;=Hypothèses!$V$16,Hypothèses!$W$16,IF(BZ178&lt;=Hypothèses!$V$17,Hypothèses!$W$17,IF(BZ178&lt;=Hypothèses!$V$18,Hypothèses!$W$18,""))))))))))))</f>
        <v>#DIV/0!</v>
      </c>
      <c r="CU178" s="87" t="e">
        <f t="shared" ca="1" si="320"/>
        <v>#DIV/0!</v>
      </c>
      <c r="CV178" s="88" t="e">
        <f ca="1">IF(BZ178&lt;=Hypothèses!$V$7,Hypothèses!$X$7,IF(BZ178&lt;=Hypothèses!$V$8,Hypothèses!$X$8,IF(BZ178&lt;=Hypothèses!$V$9,Hypothèses!$X$9,IF(BZ178&lt;=Hypothèses!$V$10,Hypothèses!$X$10,IF(BZ178&lt;=Hypothèses!$V$11,Hypothèses!$X$11,IF(BZ178&lt;=Hypothèses!$V$12,Hypothèses!$X$12,IF(BZ178&lt;=Hypothèses!$V$13,Hypothèses!$X$13,IF(BZ178&lt;=Hypothèses!$V$14,Hypothèses!$X$14,IF(BZ178&lt;=Hypothèses!$V$15,Hypothèses!$X$15,IF(BZ178&lt;=Hypothèses!$V$16,Hypothèses!$X$16,IF(BZ178&lt;=Hypothèses!$U$17,Hypothèses!$W$17,IF(BZ178&lt;=Hypothèses!$U$18,Hypothèses!$W$18,""))))))))))))</f>
        <v>#DIV/0!</v>
      </c>
      <c r="CW178" s="95" t="e">
        <f t="shared" ca="1" si="285"/>
        <v>#DIV/0!</v>
      </c>
      <c r="CX178" s="101">
        <f t="shared" si="327"/>
        <v>0</v>
      </c>
      <c r="CY178" s="91">
        <f t="shared" si="252"/>
        <v>0</v>
      </c>
      <c r="CZ178" s="30" t="e">
        <f t="shared" si="308"/>
        <v>#N/A</v>
      </c>
      <c r="DA178" s="30" t="e">
        <f t="shared" si="309"/>
        <v>#N/A</v>
      </c>
      <c r="DB178" s="31" t="e">
        <f>IF(OR(Hypothèses!$B$4=17,Hypothèses!$B$4=18,Hypothèses!$B$4=19,Hypothèses!$B$4=20),
IF($D178="Pressio.",
IF(OR($E178=3,$E178=1,$E178=4),DA178,CZ178),
IF($D178="Pénétro.",
IF(OR($E178=3,$E178=1,$E178=4),DA178,CZ178))),IF($D178="Pressio.",
IF($E178=3,DA178,CZ178),
IF($D178="Pénétro.",
IF($E178=4,DA178,CZ178))))</f>
        <v>#N/A</v>
      </c>
      <c r="DC178" s="31">
        <v>0</v>
      </c>
      <c r="DD178" s="102" t="e">
        <f>IF(NDC!$H$10="Oui",(VLOOKUP($B$3,'Coeff EC7'!$T$39:$X$59,2,0)*DB178+VLOOKUP($B$3,'Coeff EC7'!$T$65:$X$85,2,0)*Model0.1T!DC178)/1.5,PI()*CZ$12*$Q178*($B178-$B177)*0.15/10+DD177)</f>
        <v>#N/A</v>
      </c>
      <c r="DE178" s="102" t="e">
        <f>(VLOOKUP($B$3,'Coeff EC7'!$T$39:$X$59,3,0)*DB178+VLOOKUP($B$3,'Coeff EC7'!$T$65:$X$85,3,0)*Model0.1T!DC178)/1.1</f>
        <v>#N/A</v>
      </c>
      <c r="DF178" s="102" t="e">
        <f t="shared" si="286"/>
        <v>#N/A</v>
      </c>
      <c r="DG178" s="102" t="e">
        <f t="shared" si="287"/>
        <v>#N/A</v>
      </c>
      <c r="DH178" s="414" t="e">
        <f>IF(AND(DD178&gt;NDC!$C$63,DE178&gt;NDC!$C$65,DF178&gt;NDC!$D$73,DG178&gt;NDC!$D$74,$B178&gt;NDC!$H$22-0.1+MIN(3*DH$12,1.5)),0,1)</f>
        <v>#N/A</v>
      </c>
      <c r="DI178" s="86" t="b">
        <f t="shared" si="253"/>
        <v>0</v>
      </c>
      <c r="DJ178" s="86">
        <f t="shared" si="254"/>
        <v>0.5</v>
      </c>
      <c r="DK178" s="86">
        <f t="shared" si="255"/>
        <v>0.5</v>
      </c>
      <c r="DL178" s="30" t="e">
        <f t="shared" ca="1" si="288"/>
        <v>#DIV/0!</v>
      </c>
      <c r="DM178" s="85" t="e">
        <f ca="1">IF(CS178&lt;=Hypothèses!$V$7,Hypothèses!$W$7,IF(CS178&lt;=Hypothèses!$V$8,Hypothèses!$W$8,IF(CS178&lt;=Hypothèses!$V$9,Hypothèses!$W$9,IF(CS178&lt;=Hypothèses!$V$10,Hypothèses!$W$10,IF(CS178&lt;=Hypothèses!$V$11,Hypothèses!$W$11,IF(CS178&lt;=Hypothèses!$V$12,Hypothèses!$W$12,IF(CS178&lt;=Hypothèses!$V$13,Hypothèses!$W$13,IF(CS178&lt;=Hypothèses!$V$14,Hypothèses!$W$14,IF(CS178&lt;=Hypothèses!$V$15,Hypothèses!$W$15,IF(CS178&lt;=Hypothèses!$V$16,Hypothèses!$W$16,IF(CS178&lt;=Hypothèses!$V$17,Hypothèses!$W$17,IF(CS178&lt;=Hypothèses!$V$18,Hypothèses!$W$18,""))))))))))))</f>
        <v>#DIV/0!</v>
      </c>
      <c r="DN178" s="87" t="e">
        <f t="shared" ca="1" si="321"/>
        <v>#DIV/0!</v>
      </c>
      <c r="DO178" s="88" t="e">
        <f ca="1">IF(CS178&lt;=Hypothèses!$V$7,Hypothèses!$X$7,IF(CS178&lt;=Hypothèses!$V$8,Hypothèses!$X$8,IF(CS178&lt;=Hypothèses!$V$9,Hypothèses!$X$9,IF(CS178&lt;=Hypothèses!$V$10,Hypothèses!$X$10,IF(CS178&lt;=Hypothèses!$V$11,Hypothèses!$X$11,IF(CS178&lt;=Hypothèses!$V$12,Hypothèses!$X$12,IF(CS178&lt;=Hypothèses!$V$13,Hypothèses!$X$13,IF(CS178&lt;=Hypothèses!$V$14,Hypothèses!$X$14,IF(CS178&lt;=Hypothèses!$V$15,Hypothèses!$X$15,IF(CS178&lt;=Hypothèses!$V$16,Hypothèses!$X$16,IF(CS178&lt;=Hypothèses!$U$17,Hypothèses!$W$17,IF(CS178&lt;=Hypothèses!$U$18,Hypothèses!$W$18,""))))))))))))</f>
        <v>#DIV/0!</v>
      </c>
      <c r="DP178" s="95" t="e">
        <f t="shared" ca="1" si="289"/>
        <v>#DIV/0!</v>
      </c>
      <c r="DQ178" s="101">
        <f t="shared" si="328"/>
        <v>0</v>
      </c>
      <c r="DR178" s="91">
        <f t="shared" si="256"/>
        <v>0</v>
      </c>
      <c r="DS178" s="30" t="e">
        <f t="shared" si="310"/>
        <v>#N/A</v>
      </c>
      <c r="DT178" s="30" t="e">
        <f t="shared" si="311"/>
        <v>#N/A</v>
      </c>
      <c r="DU178" s="31" t="e">
        <f>IF(OR(Hypothèses!$B$4=17,Hypothèses!$B$4=18,Hypothèses!$B$4=19,Hypothèses!$B$4=20),
IF($D178="Pressio.",
IF(OR($E178=3,$E178=1,$E178=4),DT178,DS178),
IF($D178="Pénétro.",
IF(OR($E178=3,$E178=1,$E178=4),DT178,DS178))),IF($D178="Pressio.",
IF($E178=3,DT178,DS178),
IF($D178="Pénétro.",
IF($E178=4,DT178,DS178))))</f>
        <v>#N/A</v>
      </c>
      <c r="DV178" s="31">
        <v>0</v>
      </c>
      <c r="DW178" s="102" t="e">
        <f>IF(NDC!$H$10="Oui",(VLOOKUP($B$3,'Coeff EC7'!$T$39:$X$59,2,0)*DU178+VLOOKUP($B$3,'Coeff EC7'!$T$65:$X$85,2,0)*Model0.1T!DV178)/1.5,PI()*DS$12*$Q178*($B178-$B177)*0.15/10+DW177)</f>
        <v>#N/A</v>
      </c>
      <c r="DX178" s="102" t="e">
        <f>(VLOOKUP($B$3,'Coeff EC7'!$T$39:$X$59,3,0)*DU178+VLOOKUP($B$3,'Coeff EC7'!$T$65:$X$85,3,0)*Model0.1T!DV178)/1.1</f>
        <v>#N/A</v>
      </c>
      <c r="DY178" s="102" t="e">
        <f t="shared" si="290"/>
        <v>#N/A</v>
      </c>
      <c r="DZ178" s="102" t="e">
        <f t="shared" si="291"/>
        <v>#N/A</v>
      </c>
      <c r="EA178" s="414" t="e">
        <f>IF(AND(DW178&gt;NDC!$C$63,DX178&gt;NDC!$C$65,DY178&gt;NDC!$D$73,DZ178&gt;NDC!$D$74,$B178&gt;NDC!$H$22-0.1+MIN(3*EA$12,1.5)),0,1)</f>
        <v>#N/A</v>
      </c>
      <c r="EB178" s="86" t="b">
        <f t="shared" si="257"/>
        <v>0</v>
      </c>
      <c r="EC178" s="418">
        <f t="shared" si="258"/>
        <v>0.51</v>
      </c>
      <c r="ED178" s="86">
        <f t="shared" si="259"/>
        <v>0.51</v>
      </c>
      <c r="EE178" s="30" t="e">
        <f t="shared" ca="1" si="292"/>
        <v>#DIV/0!</v>
      </c>
      <c r="EF178" s="85" t="e">
        <f ca="1">IF(DL178&lt;=Hypothèses!$V$7,Hypothèses!$W$7,IF(DL178&lt;=Hypothèses!$V$8,Hypothèses!$W$8,IF(DL178&lt;=Hypothèses!$V$9,Hypothèses!$W$9,IF(DL178&lt;=Hypothèses!$V$10,Hypothèses!$W$10,IF(DL178&lt;=Hypothèses!$V$11,Hypothèses!$W$11,IF(DL178&lt;=Hypothèses!$V$12,Hypothèses!$W$12,IF(DL178&lt;=Hypothèses!$V$13,Hypothèses!$W$13,IF(DL178&lt;=Hypothèses!$V$14,Hypothèses!$W$14,IF(DL178&lt;=Hypothèses!$V$15,Hypothèses!$W$15,IF(DL178&lt;=Hypothèses!$V$16,Hypothèses!$W$16,IF(DL178&lt;=Hypothèses!$V$17,Hypothèses!$W$17,IF(DL178&lt;=Hypothèses!$V$18,Hypothèses!$W$18,""))))))))))))</f>
        <v>#DIV/0!</v>
      </c>
      <c r="EG178" s="87" t="e">
        <f t="shared" ca="1" si="322"/>
        <v>#DIV/0!</v>
      </c>
      <c r="EH178" s="88" t="e">
        <f ca="1">IF(DL178&lt;=Hypothèses!$V$7,Hypothèses!$X$7,IF(DL178&lt;=Hypothèses!$V$8,Hypothèses!$X$8,IF(DL178&lt;=Hypothèses!$V$9,Hypothèses!$X$9,IF(DL178&lt;=Hypothèses!$V$10,Hypothèses!$X$10,IF(DL178&lt;=Hypothèses!$V$11,Hypothèses!$X$11,IF(DL178&lt;=Hypothèses!$V$12,Hypothèses!$X$12,IF(DL178&lt;=Hypothèses!$V$13,Hypothèses!$X$13,IF(DL178&lt;=Hypothèses!$V$14,Hypothèses!$X$14,IF(DL178&lt;=Hypothèses!$V$15,Hypothèses!$X$15,IF(DL178&lt;=Hypothèses!$V$16,Hypothèses!$X$16,IF(DL178&lt;=Hypothèses!$U$17,Hypothèses!$W$17,IF(DL178&lt;=Hypothèses!$U$18,Hypothèses!$W$18,""))))))))))))</f>
        <v>#DIV/0!</v>
      </c>
      <c r="EI178" s="95" t="e">
        <f t="shared" ca="1" si="293"/>
        <v>#DIV/0!</v>
      </c>
      <c r="EJ178" s="101">
        <f t="shared" si="329"/>
        <v>0</v>
      </c>
      <c r="EK178" s="91">
        <f t="shared" si="260"/>
        <v>0</v>
      </c>
      <c r="EL178" s="30" t="e">
        <f t="shared" si="312"/>
        <v>#N/A</v>
      </c>
      <c r="EM178" s="30" t="e">
        <f t="shared" si="313"/>
        <v>#N/A</v>
      </c>
      <c r="EN178" s="31" t="e">
        <f>IF(OR(Hypothèses!$B$4=17,Hypothèses!$B$4=18,Hypothèses!$B$4=19,Hypothèses!$B$4=20),
IF($D178="Pressio.",
IF(OR($E178=3,$E178=1,$E178=4),EM178,EL178),
IF($D178="Pénétro.",
IF(OR($E178=3,$E178=1,$E178=4),EM178,EL178))),IF($D178="Pressio.",
IF($E178=3,EM178,EL178),
IF($D178="Pénétro.",
IF($E178=4,EM178,EL178))))</f>
        <v>#N/A</v>
      </c>
      <c r="EO178" s="31">
        <v>0</v>
      </c>
      <c r="EP178" s="102" t="e">
        <f>IF(NDC!$H$10="Oui",(VLOOKUP($B$3,'Coeff EC7'!$T$39:$X$59,2,0)*EN178+VLOOKUP($B$3,'Coeff EC7'!$T$65:$X$85,2,0)*Model0.1T!EO178)/1.5,PI()*EL$12*$Q178*($B178-$B177)*0.15/10+EP177)</f>
        <v>#N/A</v>
      </c>
      <c r="EQ178" s="102" t="e">
        <f>(VLOOKUP($B$3,'Coeff EC7'!$T$39:$X$59,3,0)*EN178+VLOOKUP($B$3,'Coeff EC7'!$T$65:$X$85,3,0)*Model0.1T!EO178)/1.1</f>
        <v>#N/A</v>
      </c>
      <c r="ER178" s="102" t="e">
        <f t="shared" si="294"/>
        <v>#N/A</v>
      </c>
      <c r="ES178" s="102" t="e">
        <f t="shared" si="295"/>
        <v>#N/A</v>
      </c>
      <c r="ET178" s="414" t="e">
        <f>IF(AND(EP178&gt;NDC!$C$63,EQ178&gt;NDC!$C$65,ER178&gt;NDC!$D$73,ES178&gt;NDC!$D$74,$B178&gt;NDC!$H$22-0.1+MIN(3*ET$12,1.5)),0,1)</f>
        <v>#N/A</v>
      </c>
      <c r="EU178" s="86" t="b">
        <f t="shared" si="261"/>
        <v>0</v>
      </c>
      <c r="EV178" s="86">
        <f t="shared" si="262"/>
        <v>0.61</v>
      </c>
      <c r="EW178" s="86">
        <f t="shared" si="263"/>
        <v>0.61</v>
      </c>
      <c r="EX178" s="30" t="e">
        <f t="shared" ca="1" si="296"/>
        <v>#DIV/0!</v>
      </c>
      <c r="EY178" s="85" t="e">
        <f ca="1">IF(EE178&lt;=Hypothèses!$V$7,Hypothèses!$W$7,IF(EE178&lt;=Hypothèses!$V$8,Hypothèses!$W$8,IF(EE178&lt;=Hypothèses!$V$9,Hypothèses!$W$9,IF(EE178&lt;=Hypothèses!$V$10,Hypothèses!$W$10,IF(EE178&lt;=Hypothèses!$V$11,Hypothèses!$W$11,IF(EE178&lt;=Hypothèses!$V$12,Hypothèses!$W$12,IF(EE178&lt;=Hypothèses!$V$13,Hypothèses!$W$13,IF(EE178&lt;=Hypothèses!$V$14,Hypothèses!$W$14,IF(EE178&lt;=Hypothèses!$V$15,Hypothèses!$W$15,IF(EE178&lt;=Hypothèses!$V$16,Hypothèses!$W$16,IF(EE178&lt;=Hypothèses!$V$17,Hypothèses!$W$17,IF(EE178&lt;=Hypothèses!$V$18,Hypothèses!$W$18,""))))))))))))</f>
        <v>#DIV/0!</v>
      </c>
      <c r="EZ178" s="87" t="e">
        <f t="shared" ca="1" si="323"/>
        <v>#DIV/0!</v>
      </c>
      <c r="FA178" s="88" t="e">
        <f ca="1">IF(EE178&lt;=Hypothèses!$V$7,Hypothèses!$X$7,IF(EE178&lt;=Hypothèses!$V$8,Hypothèses!$X$8,IF(EE178&lt;=Hypothèses!$V$9,Hypothèses!$X$9,IF(EE178&lt;=Hypothèses!$V$10,Hypothèses!$X$10,IF(EE178&lt;=Hypothèses!$V$11,Hypothèses!$X$11,IF(EE178&lt;=Hypothèses!$V$12,Hypothèses!$X$12,IF(EE178&lt;=Hypothèses!$V$13,Hypothèses!$X$13,IF(EE178&lt;=Hypothèses!$V$14,Hypothèses!$X$14,IF(EE178&lt;=Hypothèses!$V$15,Hypothèses!$X$15,IF(EE178&lt;=Hypothèses!$V$16,Hypothèses!$X$16,IF(EE178&lt;=Hypothèses!$U$17,Hypothèses!$W$17,IF(EE178&lt;=Hypothèses!$U$18,Hypothèses!$W$18,""))))))))))))</f>
        <v>#DIV/0!</v>
      </c>
      <c r="FB178" s="95" t="e">
        <f t="shared" ca="1" si="297"/>
        <v>#DIV/0!</v>
      </c>
      <c r="FC178" s="101">
        <f t="shared" si="330"/>
        <v>0</v>
      </c>
      <c r="FD178" s="91">
        <f t="shared" si="264"/>
        <v>0</v>
      </c>
      <c r="FE178" s="30" t="e">
        <f t="shared" si="314"/>
        <v>#N/A</v>
      </c>
      <c r="FF178" s="30" t="e">
        <f t="shared" si="315"/>
        <v>#N/A</v>
      </c>
      <c r="FG178" s="31" t="e">
        <f>IF(OR(Hypothèses!$B$4=17,Hypothèses!$B$4=18,Hypothèses!$B$4=19,Hypothèses!$B$4=20),
IF($D178="Pressio.",
IF(OR($E178=3,$E178=1,$E178=4),FF178,FE178),
IF($D178="Pénétro.",
IF(OR($E178=3,$E178=1,$E178=4),FF178,FE178))),IF($D178="Pressio.",
IF($E178=3,FF178,FE178),
IF($D178="Pénétro.",
IF($E178=4,FF178,FE178))))</f>
        <v>#N/A</v>
      </c>
      <c r="FH178" s="31">
        <v>0</v>
      </c>
      <c r="FI178" s="102" t="e">
        <f>IF(NDC!$H$10="Oui",(VLOOKUP($B$3,'Coeff EC7'!$T$39:$X$59,2,0)*FG178+VLOOKUP($B$3,'Coeff EC7'!$T$65:$X$85,2,0)*Model0.1T!FH178)/1.5,PI()*FE$12*$Q178*($B178-$B177)*0.15/10+FI177)</f>
        <v>#N/A</v>
      </c>
      <c r="FJ178" s="102" t="e">
        <f>(VLOOKUP($B$3,'Coeff EC7'!$T$39:$X$59,3,0)*FG178+VLOOKUP($B$3,'Coeff EC7'!$T$65:$X$85,3,0)*Model0.1T!FH178)/1.1</f>
        <v>#N/A</v>
      </c>
      <c r="FK178" s="102" t="e">
        <f t="shared" si="298"/>
        <v>#N/A</v>
      </c>
      <c r="FL178" s="102" t="e">
        <f t="shared" si="299"/>
        <v>#N/A</v>
      </c>
      <c r="FM178" s="414" t="e">
        <f>IF(AND(FI178&gt;NDC!$C$63,FJ178&gt;NDC!$C$65,FK178&gt;NDC!$D$73,FL178&gt;NDC!$D$74,$B178&gt;NDC!$H$22-0.1+MIN(3*FM$12,1.5)),0,1)</f>
        <v>#N/A</v>
      </c>
    </row>
    <row r="179" spans="1:169">
      <c r="A179" s="96">
        <f t="shared" si="265"/>
        <v>83.400000000000944</v>
      </c>
      <c r="B179" s="97">
        <v>16.600000000000001</v>
      </c>
      <c r="C179" s="81">
        <f>IF(B179&lt;=Hypothèses!$C$7,Hypothèses!$A$7,IF(B179&lt;=Hypothèses!$C$8,Hypothèses!$A$8,IF(B179&lt;=Hypothèses!$C$9,Hypothèses!$A$9,IF(B179&lt;=Hypothèses!$C$10,Hypothèses!$A$10,IF(B179&lt;=Hypothèses!$C$11,Hypothèses!$A$11,IF(B179&lt;=Hypothèses!$C$12,Hypothèses!$A$12,IF(B179&lt;=Hypothèses!$C$13,Hypothèses!$A$13,IF(B179&lt;=Hypothèses!$C$14,Hypothèses!$A$14,IF(B179&lt;=Hypothèses!$C$15,Hypothèses!$A$15,IF(B179&lt;=Hypothèses!$C$16,Hypothèses!$A$16,IF(B179&lt;=Hypothèses!$C$17,Hypothèses!$A$17,IF(B179&lt;=Hypothèses!$C$18,Hypothèses!$A$18,C178))))))))))))</f>
        <v>11</v>
      </c>
      <c r="D179" s="82" t="str">
        <f>IF(B179&lt;=Hypothèses!$C$7,Hypothèses!$R$7,IF(B179&lt;=Hypothèses!$C$8,Hypothèses!$R$8,IF(B179&lt;=Hypothèses!$C$9,Hypothèses!$R$9,IF(B179&lt;=Hypothèses!$C$10,Hypothèses!$R$10,IF(B179&lt;=Hypothèses!$C$11,Hypothèses!$R$11,IF(B179&lt;=Hypothèses!$C$12,Hypothèses!$R$12,IF(B179&lt;=Hypothèses!$C$13,Hypothèses!$R$13,IF(B179&lt;=Hypothèses!$C$14,Hypothèses!$R$14,IF(B179&lt;=Hypothèses!$C$15,Hypothèses!$R$15,IF(B179&lt;=Hypothèses!$C$16,Hypothèses!$R$16,IF(B179&lt;=Hypothèses!$C$17,Hypothèses!$R$17,IF(B179&lt;=Hypothèses!$C$18,Hypothèses!$R$18,D178))))))))))))</f>
        <v>Pressio.</v>
      </c>
      <c r="E179" s="82" t="e">
        <f>IF(B179&lt;=Hypothèses!$C$7,Hypothèses!$G$7,IF(B179&lt;=Hypothèses!$C$8,Hypothèses!$G$8,IF(B179&lt;=Hypothèses!$C$9,Hypothèses!$G$9,IF(B179&lt;=Hypothèses!$C$10,Hypothèses!$G$10,IF(B179&lt;=Hypothèses!$C$11,Hypothèses!$G$11,IF(B179&lt;=Hypothèses!$C$12,Hypothèses!$G$12,IF(B179&lt;=Hypothèses!$C$13,Hypothèses!$G$13,IF(B179&lt;=Hypothèses!$C$14,Hypothèses!$G$14,IF(B179&lt;=Hypothèses!$C$15,Hypothèses!$G$15,IF(B179&lt;=Hypothèses!$C$16,Hypothèses!$G$16,IF(B179&lt;=Hypothèses!$C$17,Hypothèses!$G$17,IF(B179&lt;=Hypothèses!$C$18,Hypothèses!$G$18,E178))))))))))))</f>
        <v>#N/A</v>
      </c>
      <c r="F179" s="82" t="str">
        <f>IF(B179&lt;=Hypothèses!$C$7,Hypothèses!$F$7,IF(B179&lt;=Hypothèses!$C$8,Hypothèses!$F$8,IF(B179&lt;=Hypothèses!$C$9,Hypothèses!$F$9,IF(B179&lt;=Hypothèses!$C$10,Hypothèses!$F$10,IF(B179&lt;=Hypothèses!$C$11,Hypothèses!$F$11,IF(B179&lt;=Hypothèses!$C$12,Hypothèses!$F$12,IF(B179&lt;=Hypothèses!$C$13,Hypothèses!$F$13,IF(B179&lt;=Hypothèses!$C$14,Hypothèses!$F$14,IF(B179&lt;=Hypothèses!$C$15,Hypothèses!$F$15,IF(B179&lt;=Hypothèses!$C$16,Hypothèses!$F$16,IF(B179&lt;=Hypothèses!$C$17,Hypothèses!$F$17,IF(B179&lt;=Hypothèses!$C$18,Hypothèses!$F$18,F178))))))))))))</f>
        <v/>
      </c>
      <c r="G179" s="91">
        <f t="array" ref="G179">INDEX('Coeff EC7'!$U$7:$X$27,
MATCH(Model0.1T!$B$3,'Coeff EC7'!$T$7:$T$27,0),
MATCH(Model0.1T!$D179&amp;Model0.1T!$B$4,
'Coeff EC7'!$U$6:$X$6&amp;
'Coeff EC7'!$U$5:$X$5,0))</f>
        <v>1.4</v>
      </c>
      <c r="H179" s="91">
        <f t="array" ref="H179">INDEX('Coeff EC7'!$Y$7:$AB$27,
MATCH(Model0.1T!$B$3,'Coeff EC7'!$T$7:$T$27,0),
MATCH(Model0.1T!$D179&amp;Model0.1T!$B$4,
'Coeff EC7'!$Y$6:$AB$6&amp;
'Coeff EC7'!$Y$5:$AB$5,0))</f>
        <v>1.7</v>
      </c>
      <c r="I179" s="83">
        <v>0</v>
      </c>
      <c r="J179" s="91" t="e">
        <f t="array" ref="J179">INDEX('Coeff EC7'!$D$33:$Q$33,1,MATCH(D179&amp;E179,'Coeff EC7'!$D$31:$Q$31&amp;'Coeff EC7'!$D$32:$Q$32,0))</f>
        <v>#N/A</v>
      </c>
      <c r="K179" s="91" t="e">
        <f t="array" ref="K179">INDEX('Coeff EC7'!$D$34:$Q$34,1,MATCH(D179&amp;E179,'Coeff EC7'!$D$31:$Q$31&amp;'Coeff EC7'!$D$32:$Q$32,0))</f>
        <v>#N/A</v>
      </c>
      <c r="L179" s="91" t="e">
        <f t="array" ref="L179">INDEX('Coeff EC7'!$D$35:$Q$35,1,MATCH(D179&amp;E179,'Coeff EC7'!$D$31:$Q$31&amp;'Coeff EC7'!$D$32:$Q$32,0))</f>
        <v>#N/A</v>
      </c>
      <c r="M179" s="98" t="e">
        <f t="shared" si="231"/>
        <v>#N/A</v>
      </c>
      <c r="N179" s="99" t="e">
        <f t="array" ref="N179">INDEX('Coeff EC7'!$D$7:$Q$27,MATCH($B$3,'Coeff EC7'!$C$7:$C$27,0),MATCH(D179&amp;E179,'Coeff EC7'!$D$5:$Q$5&amp;'Coeff EC7'!$D$6:$Q$6,0))</f>
        <v>#N/A</v>
      </c>
      <c r="O179" s="99" t="e">
        <f t="array" ref="O179">INDEX('Coeff EC7'!$D$41:$Q$61,MATCH($B$3,'Coeff EC7'!$C$41:$C$61,0),MATCH(D179&amp;E179,'Coeff EC7'!$D$39:$Q$39&amp;'Coeff EC7'!$D$40:$Q$40,0))</f>
        <v>#N/A</v>
      </c>
      <c r="P179" s="30" t="e">
        <f t="shared" si="266"/>
        <v>#N/A</v>
      </c>
      <c r="Q179" s="100" t="e">
        <f t="shared" si="233"/>
        <v>#N/A</v>
      </c>
      <c r="R179" s="86" t="b">
        <f t="shared" si="234"/>
        <v>0</v>
      </c>
      <c r="S179" s="86">
        <f t="shared" si="232"/>
        <v>0.5</v>
      </c>
      <c r="T179" s="86">
        <f t="shared" si="235"/>
        <v>0.5</v>
      </c>
      <c r="U179" s="30" t="e">
        <f t="shared" ca="1" si="267"/>
        <v>#DIV/0!</v>
      </c>
      <c r="V179" s="85" t="str">
        <f>IF(B179&lt;=Hypothèses!$V$7,Hypothèses!$W$7,IF(B179&lt;=Hypothèses!$V$8,Hypothèses!$W$8,IF(B179&lt;=Hypothèses!$V$9,Hypothèses!$W$9,IF(B179&lt;=Hypothèses!$V$10,Hypothèses!$W$10,IF(B179&lt;=Hypothèses!$V$11,Hypothèses!$W$11,IF(B179&lt;=Hypothèses!$V$12,Hypothèses!$W$12,IF(B179&lt;=Hypothèses!$V$13,Hypothèses!$W$13,IF(B179&lt;=Hypothèses!$V$14,Hypothèses!$W$14,IF(B179&lt;=Hypothèses!$V$15,Hypothèses!$W$15,IF(B179&lt;=Hypothèses!$V$16,Hypothèses!$W$16,IF(B179&lt;=Hypothèses!$V$17,Hypothèses!$W$17,IF(B179&lt;=Hypothèses!$V$18,Hypothèses!$W$18,""))))))))))))</f>
        <v/>
      </c>
      <c r="W179" s="87" t="e">
        <f t="shared" ca="1" si="316"/>
        <v>#DIV/0!</v>
      </c>
      <c r="X179" s="88" t="str">
        <f>IF(B179&lt;=Hypothèses!$V$7,Hypothèses!$X$7,IF(B179&lt;=Hypothèses!$V$8,Hypothèses!$X$8,IF(B179&lt;=Hypothèses!$V$9,Hypothèses!$X$9,IF(B179&lt;=Hypothèses!$V$10,Hypothèses!$X$10,IF(B179&lt;=Hypothèses!$V$11,Hypothèses!$X$11,IF(B179&lt;=Hypothèses!$V$12,Hypothèses!$X$12,IF(B179&lt;=Hypothèses!$V$13,Hypothèses!$X$13,IF(B179&lt;=Hypothèses!$V$14,Hypothèses!$X$14,IF(B179&lt;=Hypothèses!$V$15,Hypothèses!$X$15,IF(B179&lt;=Hypothèses!$V$16,Hypothèses!$X$16,IF(B179&lt;=Hypothèses!$U$17,Hypothèses!$W$17,IF(B179&lt;=Hypothèses!$U$18,Hypothèses!$W$18,""))))))))))))</f>
        <v/>
      </c>
      <c r="Y179" s="95" t="e">
        <f t="shared" ca="1" si="236"/>
        <v>#DIV/0!</v>
      </c>
      <c r="Z179" s="101">
        <f t="shared" si="237"/>
        <v>0</v>
      </c>
      <c r="AA179" s="91">
        <f t="shared" si="238"/>
        <v>0</v>
      </c>
      <c r="AB179" s="30" t="e">
        <f t="shared" si="300"/>
        <v>#N/A</v>
      </c>
      <c r="AC179" s="30" t="e">
        <f t="shared" si="301"/>
        <v>#N/A</v>
      </c>
      <c r="AD179" s="31" t="e">
        <f>IF(OR(Hypothèses!$B$4=17,Hypothèses!$B$4=18,Hypothèses!$B$4=19,Hypothèses!$B$4=20),
IF($D179="Pressio.",
IF(OR($E179=3,$E179=1,$E179=4),AC179,AB179),
IF($D179="Pénétro.",
IF(OR($E179=3,$E179=1,$E179=4),AC179,AB179))),IF($D179="Pressio.",
IF($E179=3,AC179,AB179),
IF($D179="Pénétro.",
IF($E179=4,AC179,AB179))))</f>
        <v>#N/A</v>
      </c>
      <c r="AE179" s="31">
        <v>0</v>
      </c>
      <c r="AF179" s="102" t="e">
        <f>IF(NDC!$H$10="Oui",(VLOOKUP($B$3,'Coeff EC7'!$T$39:$X$59,2,0)*AD179+VLOOKUP($B$3,'Coeff EC7'!$T$65:$X$85,2,0)*Model0.1T!AE179)/1.5,PI()*AB$12*$Q179*($B179-$B178)*0.15/10+AF178)</f>
        <v>#N/A</v>
      </c>
      <c r="AG179" s="102" t="e">
        <f>(VLOOKUP($B$3,'Coeff EC7'!$T$39:$X$59,3,0)*AD179+VLOOKUP($B$3,'Coeff EC7'!$T$65:$X$85,3,0)*Model0.1T!AE179)/1.1</f>
        <v>#N/A</v>
      </c>
      <c r="AH179" s="102" t="e">
        <f t="shared" si="268"/>
        <v>#N/A</v>
      </c>
      <c r="AI179" s="102" t="e">
        <f t="shared" si="269"/>
        <v>#N/A</v>
      </c>
      <c r="AJ179" s="414" t="e">
        <f>IF(AND(AF179&gt;NDC!$C$63,AG179&gt;NDC!$C$65,AH179&gt;NDC!$D$73,AI179&gt;NDC!$D$74,$B179&gt;NDC!$H$22-0.1+MIN(3*$AJ$12,1.5)),0,1)</f>
        <v>#N/A</v>
      </c>
      <c r="AK179" s="86" t="b">
        <f t="shared" si="239"/>
        <v>0</v>
      </c>
      <c r="AL179" s="86">
        <f t="shared" si="270"/>
        <v>0.5</v>
      </c>
      <c r="AM179" s="86">
        <f t="shared" si="240"/>
        <v>0.5</v>
      </c>
      <c r="AN179" s="30" t="e">
        <f t="shared" ca="1" si="271"/>
        <v>#DIV/0!</v>
      </c>
      <c r="AO179" s="85" t="e">
        <f ca="1">IF(U179&lt;=Hypothèses!$V$7,Hypothèses!$W$7,IF(U179&lt;=Hypothèses!$V$8,Hypothèses!$W$8,IF(U179&lt;=Hypothèses!$V$9,Hypothèses!$W$9,IF(U179&lt;=Hypothèses!$V$10,Hypothèses!$W$10,IF(U179&lt;=Hypothèses!$V$11,Hypothèses!$W$11,IF(U179&lt;=Hypothèses!$V$12,Hypothèses!$W$12,IF(U179&lt;=Hypothèses!$V$13,Hypothèses!$W$13,IF(U179&lt;=Hypothèses!$V$14,Hypothèses!$W$14,IF(U179&lt;=Hypothèses!$V$15,Hypothèses!$W$15,IF(U179&lt;=Hypothèses!$V$16,Hypothèses!$W$16,IF(U179&lt;=Hypothèses!$V$17,Hypothèses!$W$17,IF(U179&lt;=Hypothèses!$V$18,Hypothèses!$W$18,""))))))))))))</f>
        <v>#DIV/0!</v>
      </c>
      <c r="AP179" s="87" t="e">
        <f t="shared" ca="1" si="317"/>
        <v>#DIV/0!</v>
      </c>
      <c r="AQ179" s="88" t="e">
        <f ca="1">IF(U179&lt;=Hypothèses!$V$7,Hypothèses!$X$7,IF(U179&lt;=Hypothèses!$V$8,Hypothèses!$X$8,IF(U179&lt;=Hypothèses!$V$9,Hypothèses!$X$9,IF(U179&lt;=Hypothèses!$V$10,Hypothèses!$X$10,IF(U179&lt;=Hypothèses!$V$11,Hypothèses!$X$11,IF(U179&lt;=Hypothèses!$V$12,Hypothèses!$X$12,IF(U179&lt;=Hypothèses!$V$13,Hypothèses!$X$13,IF(U179&lt;=Hypothèses!$V$14,Hypothèses!$X$14,IF(U179&lt;=Hypothèses!$V$15,Hypothèses!$X$15,IF(U179&lt;=Hypothèses!$V$16,Hypothèses!$X$16,IF(U179&lt;=Hypothèses!$U$17,Hypothèses!$W$17,IF(U179&lt;=Hypothèses!$U$18,Hypothèses!$W$18,""))))))))))))</f>
        <v>#DIV/0!</v>
      </c>
      <c r="AR179" s="95" t="e">
        <f t="shared" ca="1" si="272"/>
        <v>#DIV/0!</v>
      </c>
      <c r="AS179" s="101">
        <f t="shared" si="324"/>
        <v>0</v>
      </c>
      <c r="AT179" s="91">
        <f t="shared" si="241"/>
        <v>0</v>
      </c>
      <c r="AU179" s="30" t="e">
        <f t="shared" si="302"/>
        <v>#N/A</v>
      </c>
      <c r="AV179" s="30" t="e">
        <f t="shared" si="303"/>
        <v>#N/A</v>
      </c>
      <c r="AW179" s="31" t="e">
        <f>IF(OR(Hypothèses!$B$4=17,Hypothèses!$B$4=18,Hypothèses!$B$4=19,Hypothèses!$B$4=20),
IF($D179="Pressio.",
IF(OR($E179=3,$E179=1,$E179=4),AV179,AU179),
IF($D179="Pénétro.",
IF(OR($E179=3,$E179=1,$E179=4),AV179,AU179))),IF($D179="Pressio.",
IF($E179=3,AV179,AU179),
IF($D179="Pénétro.",
IF($E179=4,AV179,AU179))))</f>
        <v>#N/A</v>
      </c>
      <c r="AX179" s="31">
        <v>0</v>
      </c>
      <c r="AY179" s="102" t="e">
        <f>IF(NDC!$H$10="Oui",(VLOOKUP($B$3,'Coeff EC7'!$T$39:$X$59,2,0)*AW179+VLOOKUP($B$3,'Coeff EC7'!$T$65:$X$85,2,0)*Model0.1T!AX179)/1.5,PI()*AU$12*$Q179*($B179-$B178)*0.15/10+AY178)</f>
        <v>#N/A</v>
      </c>
      <c r="AZ179" s="102" t="e">
        <f>(VLOOKUP($B$3,'Coeff EC7'!$T$39:$X$59,3,0)*AW179+VLOOKUP($B$3,'Coeff EC7'!$T$65:$X$85,3,0)*Model0.1T!AX179)/1.1</f>
        <v>#N/A</v>
      </c>
      <c r="BA179" s="102" t="e">
        <f t="shared" si="273"/>
        <v>#N/A</v>
      </c>
      <c r="BB179" s="102" t="e">
        <f t="shared" si="274"/>
        <v>#N/A</v>
      </c>
      <c r="BC179" s="414" t="e">
        <f>IF(AND(AY179&gt;NDC!$C$63,AZ179&gt;NDC!$C$65,BA179&gt;NDC!$D$73,BB179&gt;NDC!$D$74,$B179&gt;NDC!$H$22-0.1+MIN(3*BC$12,1.5)),0,1)</f>
        <v>#N/A</v>
      </c>
      <c r="BD179" s="86" t="b">
        <f t="shared" si="242"/>
        <v>0</v>
      </c>
      <c r="BE179" s="86">
        <f t="shared" si="275"/>
        <v>0.5</v>
      </c>
      <c r="BF179" s="86">
        <f t="shared" si="243"/>
        <v>0.5</v>
      </c>
      <c r="BG179" s="30" t="e">
        <f t="shared" ca="1" si="276"/>
        <v>#DIV/0!</v>
      </c>
      <c r="BH179" s="85" t="e">
        <f ca="1">IF(AN179&lt;=Hypothèses!$V$7,Hypothèses!$W$7,IF(AN179&lt;=Hypothèses!$V$8,Hypothèses!$W$8,IF(AN179&lt;=Hypothèses!$V$9,Hypothèses!$W$9,IF(AN179&lt;=Hypothèses!$V$10,Hypothèses!$W$10,IF(AN179&lt;=Hypothèses!$V$11,Hypothèses!$W$11,IF(AN179&lt;=Hypothèses!$V$12,Hypothèses!$W$12,IF(AN179&lt;=Hypothèses!$V$13,Hypothèses!$W$13,IF(AN179&lt;=Hypothèses!$V$14,Hypothèses!$W$14,IF(AN179&lt;=Hypothèses!$V$15,Hypothèses!$W$15,IF(AN179&lt;=Hypothèses!$V$16,Hypothèses!$W$16,IF(AN179&lt;=Hypothèses!$V$17,Hypothèses!$W$17,IF(AN179&lt;=Hypothèses!$V$18,Hypothèses!$W$18,""))))))))))))</f>
        <v>#DIV/0!</v>
      </c>
      <c r="BI179" s="87" t="e">
        <f t="shared" ca="1" si="318"/>
        <v>#DIV/0!</v>
      </c>
      <c r="BJ179" s="88" t="e">
        <f ca="1">IF(AN179&lt;=Hypothèses!$V$7,Hypothèses!$X$7,IF(AN179&lt;=Hypothèses!$V$8,Hypothèses!$X$8,IF(AN179&lt;=Hypothèses!$V$9,Hypothèses!$X$9,IF(AN179&lt;=Hypothèses!$V$10,Hypothèses!$X$10,IF(AN179&lt;=Hypothèses!$V$11,Hypothèses!$X$11,IF(AN179&lt;=Hypothèses!$V$12,Hypothèses!$X$12,IF(AN179&lt;=Hypothèses!$V$13,Hypothèses!$X$13,IF(AN179&lt;=Hypothèses!$V$14,Hypothèses!$X$14,IF(AN179&lt;=Hypothèses!$V$15,Hypothèses!$X$15,IF(AN179&lt;=Hypothèses!$V$16,Hypothèses!$X$16,IF(AN179&lt;=Hypothèses!$U$17,Hypothèses!$W$17,IF(AN179&lt;=Hypothèses!$U$18,Hypothèses!$W$18,""))))))))))))</f>
        <v>#DIV/0!</v>
      </c>
      <c r="BK179" s="95" t="e">
        <f t="shared" ca="1" si="277"/>
        <v>#DIV/0!</v>
      </c>
      <c r="BL179" s="101">
        <f t="shared" si="325"/>
        <v>0</v>
      </c>
      <c r="BM179" s="91">
        <f t="shared" si="244"/>
        <v>0</v>
      </c>
      <c r="BN179" s="30" t="e">
        <f t="shared" si="304"/>
        <v>#N/A</v>
      </c>
      <c r="BO179" s="30" t="e">
        <f t="shared" si="305"/>
        <v>#N/A</v>
      </c>
      <c r="BP179" s="31" t="e">
        <f>IF(OR(Hypothèses!$B$4=17,Hypothèses!$B$4=18,Hypothèses!$B$4=19,Hypothèses!$B$4=20),
IF($D179="Pressio.",
IF(OR($E179=3,$E179=1,$E179=4),BO179,BN179),
IF($D179="Pénétro.",
IF(OR($E179=3,$E179=1,$E179=4),BO179,BN179))),IF($D179="Pressio.",
IF($E179=3,BO179,BN179),
IF($D179="Pénétro.",
IF($E179=4,BO179,BN179))))</f>
        <v>#N/A</v>
      </c>
      <c r="BQ179" s="31">
        <v>0</v>
      </c>
      <c r="BR179" s="102" t="e">
        <f>IF(NDC!$H$10="Oui",(VLOOKUP($B$3,'Coeff EC7'!$T$39:$X$59,2,0)*BP179+VLOOKUP($B$3,'Coeff EC7'!$T$65:$X$85,2,0)*Model0.1T!BQ179)/1.5,PI()*BN$12*$Q179*($B179-$B178)*0.15/10+BR178)</f>
        <v>#N/A</v>
      </c>
      <c r="BS179" s="102" t="e">
        <f>(VLOOKUP($B$3,'Coeff EC7'!$T$39:$X$59,3,0)*BP179+VLOOKUP($B$3,'Coeff EC7'!$T$65:$X$85,3,0)*Model0.1T!BQ179)/1.1</f>
        <v>#N/A</v>
      </c>
      <c r="BT179" s="102" t="e">
        <f t="shared" si="278"/>
        <v>#N/A</v>
      </c>
      <c r="BU179" s="102" t="e">
        <f t="shared" si="279"/>
        <v>#N/A</v>
      </c>
      <c r="BV179" s="414" t="e">
        <f>IF(AND(BR179&gt;NDC!$C$63,BS179&gt;NDC!$C$65,BT179&gt;NDC!$D$73,BU179&gt;NDC!$D$74,$B179&gt;NDC!$H$22-0.1+MIN(3*BV$12,1.5)),0,1)</f>
        <v>#N/A</v>
      </c>
      <c r="BW179" s="86" t="b">
        <f t="shared" si="245"/>
        <v>0</v>
      </c>
      <c r="BX179" s="86">
        <f t="shared" si="246"/>
        <v>0.5</v>
      </c>
      <c r="BY179" s="86">
        <f t="shared" si="247"/>
        <v>0.5</v>
      </c>
      <c r="BZ179" s="30" t="e">
        <f t="shared" ca="1" si="280"/>
        <v>#DIV/0!</v>
      </c>
      <c r="CA179" s="85" t="e">
        <f ca="1">IF(BG179&lt;=Hypothèses!$V$7,Hypothèses!$W$7,IF(BG179&lt;=Hypothèses!$V$8,Hypothèses!$W$8,IF(BG179&lt;=Hypothèses!$V$9,Hypothèses!$W$9,IF(BG179&lt;=Hypothèses!$V$10,Hypothèses!$W$10,IF(BG179&lt;=Hypothèses!$V$11,Hypothèses!$W$11,IF(BG179&lt;=Hypothèses!$V$12,Hypothèses!$W$12,IF(BG179&lt;=Hypothèses!$V$13,Hypothèses!$W$13,IF(BG179&lt;=Hypothèses!$V$14,Hypothèses!$W$14,IF(BG179&lt;=Hypothèses!$V$15,Hypothèses!$W$15,IF(BG179&lt;=Hypothèses!$V$16,Hypothèses!$W$16,IF(BG179&lt;=Hypothèses!$V$17,Hypothèses!$W$17,IF(BG179&lt;=Hypothèses!$V$18,Hypothèses!$W$18,""))))))))))))</f>
        <v>#DIV/0!</v>
      </c>
      <c r="CB179" s="87" t="e">
        <f t="shared" ca="1" si="319"/>
        <v>#DIV/0!</v>
      </c>
      <c r="CC179" s="88" t="e">
        <f ca="1">IF(BG179&lt;=Hypothèses!$V$7,Hypothèses!$X$7,IF(BG179&lt;=Hypothèses!$V$8,Hypothèses!$X$8,IF(BG179&lt;=Hypothèses!$V$9,Hypothèses!$X$9,IF(BG179&lt;=Hypothèses!$V$10,Hypothèses!$X$10,IF(BG179&lt;=Hypothèses!$V$11,Hypothèses!$X$11,IF(BG179&lt;=Hypothèses!$V$12,Hypothèses!$X$12,IF(BG179&lt;=Hypothèses!$V$13,Hypothèses!$X$13,IF(BG179&lt;=Hypothèses!$V$14,Hypothèses!$X$14,IF(BG179&lt;=Hypothèses!$V$15,Hypothèses!$X$15,IF(BG179&lt;=Hypothèses!$V$16,Hypothèses!$X$16,IF(BG179&lt;=Hypothèses!$U$17,Hypothèses!$W$17,IF(BG179&lt;=Hypothèses!$U$18,Hypothèses!$W$18,""))))))))))))</f>
        <v>#DIV/0!</v>
      </c>
      <c r="CD179" s="95" t="e">
        <f t="shared" ca="1" si="281"/>
        <v>#DIV/0!</v>
      </c>
      <c r="CE179" s="101">
        <f t="shared" si="326"/>
        <v>0</v>
      </c>
      <c r="CF179" s="91">
        <f t="shared" si="248"/>
        <v>0</v>
      </c>
      <c r="CG179" s="30" t="e">
        <f t="shared" si="306"/>
        <v>#N/A</v>
      </c>
      <c r="CH179" s="30" t="e">
        <f t="shared" si="307"/>
        <v>#N/A</v>
      </c>
      <c r="CI179" s="31" t="e">
        <f>IF(OR(Hypothèses!$B$4=17,Hypothèses!$B$4=18,Hypothèses!$B$4=19,Hypothèses!$B$4=20),
IF($D179="Pressio.",
IF(OR($E179=3,$E179=1,$E179=4),CH179,CG179),
IF($D179="Pénétro.",
IF(OR($E179=3,$E179=1,$E179=4),CH179,CG179))),IF($D179="Pressio.",
IF($E179=3,CH179,CG179),
IF($D179="Pénétro.",
IF($E179=4,CH179,CG179))))</f>
        <v>#N/A</v>
      </c>
      <c r="CJ179" s="31">
        <v>0</v>
      </c>
      <c r="CK179" s="102" t="e">
        <f>IF(NDC!$H$10="Oui",(VLOOKUP($B$3,'Coeff EC7'!$T$39:$X$59,2,0)*CI179+VLOOKUP($B$3,'Coeff EC7'!$T$65:$X$85,2,0)*Model0.1T!CJ179)/1.5,PI()*CG$12*$Q179*($B179-$B178)*0.15/10+CK178)</f>
        <v>#N/A</v>
      </c>
      <c r="CL179" s="102" t="e">
        <f>(VLOOKUP($B$3,'Coeff EC7'!$T$39:$X$59,3,0)*CI179+VLOOKUP($B$3,'Coeff EC7'!$T$65:$X$85,3,0)*Model0.1T!CJ179)/1.1</f>
        <v>#N/A</v>
      </c>
      <c r="CM179" s="102" t="e">
        <f t="shared" si="282"/>
        <v>#N/A</v>
      </c>
      <c r="CN179" s="102" t="e">
        <f t="shared" si="283"/>
        <v>#N/A</v>
      </c>
      <c r="CO179" s="414" t="e">
        <f>IF(AND(CK179&gt;NDC!$C$63,CL179&gt;NDC!$C$65,CM179&gt;NDC!$D$73,CN179&gt;NDC!$D$74,$B179&gt;NDC!$H$22-0.1+MIN(3*CO$12,1.5)),0,1)</f>
        <v>#N/A</v>
      </c>
      <c r="CP179" s="86" t="b">
        <f t="shared" si="249"/>
        <v>0</v>
      </c>
      <c r="CQ179" s="86">
        <f t="shared" si="250"/>
        <v>0.5</v>
      </c>
      <c r="CR179" s="86">
        <f t="shared" si="251"/>
        <v>0.5</v>
      </c>
      <c r="CS179" s="30" t="e">
        <f t="shared" ca="1" si="284"/>
        <v>#DIV/0!</v>
      </c>
      <c r="CT179" s="85" t="e">
        <f ca="1">IF(BZ179&lt;=Hypothèses!$V$7,Hypothèses!$W$7,IF(BZ179&lt;=Hypothèses!$V$8,Hypothèses!$W$8,IF(BZ179&lt;=Hypothèses!$V$9,Hypothèses!$W$9,IF(BZ179&lt;=Hypothèses!$V$10,Hypothèses!$W$10,IF(BZ179&lt;=Hypothèses!$V$11,Hypothèses!$W$11,IF(BZ179&lt;=Hypothèses!$V$12,Hypothèses!$W$12,IF(BZ179&lt;=Hypothèses!$V$13,Hypothèses!$W$13,IF(BZ179&lt;=Hypothèses!$V$14,Hypothèses!$W$14,IF(BZ179&lt;=Hypothèses!$V$15,Hypothèses!$W$15,IF(BZ179&lt;=Hypothèses!$V$16,Hypothèses!$W$16,IF(BZ179&lt;=Hypothèses!$V$17,Hypothèses!$W$17,IF(BZ179&lt;=Hypothèses!$V$18,Hypothèses!$W$18,""))))))))))))</f>
        <v>#DIV/0!</v>
      </c>
      <c r="CU179" s="87" t="e">
        <f t="shared" ca="1" si="320"/>
        <v>#DIV/0!</v>
      </c>
      <c r="CV179" s="88" t="e">
        <f ca="1">IF(BZ179&lt;=Hypothèses!$V$7,Hypothèses!$X$7,IF(BZ179&lt;=Hypothèses!$V$8,Hypothèses!$X$8,IF(BZ179&lt;=Hypothèses!$V$9,Hypothèses!$X$9,IF(BZ179&lt;=Hypothèses!$V$10,Hypothèses!$X$10,IF(BZ179&lt;=Hypothèses!$V$11,Hypothèses!$X$11,IF(BZ179&lt;=Hypothèses!$V$12,Hypothèses!$X$12,IF(BZ179&lt;=Hypothèses!$V$13,Hypothèses!$X$13,IF(BZ179&lt;=Hypothèses!$V$14,Hypothèses!$X$14,IF(BZ179&lt;=Hypothèses!$V$15,Hypothèses!$X$15,IF(BZ179&lt;=Hypothèses!$V$16,Hypothèses!$X$16,IF(BZ179&lt;=Hypothèses!$U$17,Hypothèses!$W$17,IF(BZ179&lt;=Hypothèses!$U$18,Hypothèses!$W$18,""))))))))))))</f>
        <v>#DIV/0!</v>
      </c>
      <c r="CW179" s="95" t="e">
        <f t="shared" ca="1" si="285"/>
        <v>#DIV/0!</v>
      </c>
      <c r="CX179" s="101">
        <f t="shared" si="327"/>
        <v>0</v>
      </c>
      <c r="CY179" s="91">
        <f t="shared" si="252"/>
        <v>0</v>
      </c>
      <c r="CZ179" s="30" t="e">
        <f t="shared" si="308"/>
        <v>#N/A</v>
      </c>
      <c r="DA179" s="30" t="e">
        <f t="shared" si="309"/>
        <v>#N/A</v>
      </c>
      <c r="DB179" s="31" t="e">
        <f>IF(OR(Hypothèses!$B$4=17,Hypothèses!$B$4=18,Hypothèses!$B$4=19,Hypothèses!$B$4=20),
IF($D179="Pressio.",
IF(OR($E179=3,$E179=1,$E179=4),DA179,CZ179),
IF($D179="Pénétro.",
IF(OR($E179=3,$E179=1,$E179=4),DA179,CZ179))),IF($D179="Pressio.",
IF($E179=3,DA179,CZ179),
IF($D179="Pénétro.",
IF($E179=4,DA179,CZ179))))</f>
        <v>#N/A</v>
      </c>
      <c r="DC179" s="31">
        <v>0</v>
      </c>
      <c r="DD179" s="102" t="e">
        <f>IF(NDC!$H$10="Oui",(VLOOKUP($B$3,'Coeff EC7'!$T$39:$X$59,2,0)*DB179+VLOOKUP($B$3,'Coeff EC7'!$T$65:$X$85,2,0)*Model0.1T!DC179)/1.5,PI()*CZ$12*$Q179*($B179-$B178)*0.15/10+DD178)</f>
        <v>#N/A</v>
      </c>
      <c r="DE179" s="102" t="e">
        <f>(VLOOKUP($B$3,'Coeff EC7'!$T$39:$X$59,3,0)*DB179+VLOOKUP($B$3,'Coeff EC7'!$T$65:$X$85,3,0)*Model0.1T!DC179)/1.1</f>
        <v>#N/A</v>
      </c>
      <c r="DF179" s="102" t="e">
        <f t="shared" si="286"/>
        <v>#N/A</v>
      </c>
      <c r="DG179" s="102" t="e">
        <f t="shared" si="287"/>
        <v>#N/A</v>
      </c>
      <c r="DH179" s="414" t="e">
        <f>IF(AND(DD179&gt;NDC!$C$63,DE179&gt;NDC!$C$65,DF179&gt;NDC!$D$73,DG179&gt;NDC!$D$74,$B179&gt;NDC!$H$22-0.1+MIN(3*DH$12,1.5)),0,1)</f>
        <v>#N/A</v>
      </c>
      <c r="DI179" s="86" t="b">
        <f t="shared" si="253"/>
        <v>0</v>
      </c>
      <c r="DJ179" s="86">
        <f t="shared" si="254"/>
        <v>0.5</v>
      </c>
      <c r="DK179" s="86">
        <f t="shared" si="255"/>
        <v>0.5</v>
      </c>
      <c r="DL179" s="30" t="e">
        <f t="shared" ca="1" si="288"/>
        <v>#DIV/0!</v>
      </c>
      <c r="DM179" s="85" t="e">
        <f ca="1">IF(CS179&lt;=Hypothèses!$V$7,Hypothèses!$W$7,IF(CS179&lt;=Hypothèses!$V$8,Hypothèses!$W$8,IF(CS179&lt;=Hypothèses!$V$9,Hypothèses!$W$9,IF(CS179&lt;=Hypothèses!$V$10,Hypothèses!$W$10,IF(CS179&lt;=Hypothèses!$V$11,Hypothèses!$W$11,IF(CS179&lt;=Hypothèses!$V$12,Hypothèses!$W$12,IF(CS179&lt;=Hypothèses!$V$13,Hypothèses!$W$13,IF(CS179&lt;=Hypothèses!$V$14,Hypothèses!$W$14,IF(CS179&lt;=Hypothèses!$V$15,Hypothèses!$W$15,IF(CS179&lt;=Hypothèses!$V$16,Hypothèses!$W$16,IF(CS179&lt;=Hypothèses!$V$17,Hypothèses!$W$17,IF(CS179&lt;=Hypothèses!$V$18,Hypothèses!$W$18,""))))))))))))</f>
        <v>#DIV/0!</v>
      </c>
      <c r="DN179" s="87" t="e">
        <f t="shared" ca="1" si="321"/>
        <v>#DIV/0!</v>
      </c>
      <c r="DO179" s="88" t="e">
        <f ca="1">IF(CS179&lt;=Hypothèses!$V$7,Hypothèses!$X$7,IF(CS179&lt;=Hypothèses!$V$8,Hypothèses!$X$8,IF(CS179&lt;=Hypothèses!$V$9,Hypothèses!$X$9,IF(CS179&lt;=Hypothèses!$V$10,Hypothèses!$X$10,IF(CS179&lt;=Hypothèses!$V$11,Hypothèses!$X$11,IF(CS179&lt;=Hypothèses!$V$12,Hypothèses!$X$12,IF(CS179&lt;=Hypothèses!$V$13,Hypothèses!$X$13,IF(CS179&lt;=Hypothèses!$V$14,Hypothèses!$X$14,IF(CS179&lt;=Hypothèses!$V$15,Hypothèses!$X$15,IF(CS179&lt;=Hypothèses!$V$16,Hypothèses!$X$16,IF(CS179&lt;=Hypothèses!$U$17,Hypothèses!$W$17,IF(CS179&lt;=Hypothèses!$U$18,Hypothèses!$W$18,""))))))))))))</f>
        <v>#DIV/0!</v>
      </c>
      <c r="DP179" s="95" t="e">
        <f t="shared" ca="1" si="289"/>
        <v>#DIV/0!</v>
      </c>
      <c r="DQ179" s="101">
        <f t="shared" si="328"/>
        <v>0</v>
      </c>
      <c r="DR179" s="91">
        <f t="shared" si="256"/>
        <v>0</v>
      </c>
      <c r="DS179" s="30" t="e">
        <f t="shared" si="310"/>
        <v>#N/A</v>
      </c>
      <c r="DT179" s="30" t="e">
        <f t="shared" si="311"/>
        <v>#N/A</v>
      </c>
      <c r="DU179" s="31" t="e">
        <f>IF(OR(Hypothèses!$B$4=17,Hypothèses!$B$4=18,Hypothèses!$B$4=19,Hypothèses!$B$4=20),
IF($D179="Pressio.",
IF(OR($E179=3,$E179=1,$E179=4),DT179,DS179),
IF($D179="Pénétro.",
IF(OR($E179=3,$E179=1,$E179=4),DT179,DS179))),IF($D179="Pressio.",
IF($E179=3,DT179,DS179),
IF($D179="Pénétro.",
IF($E179=4,DT179,DS179))))</f>
        <v>#N/A</v>
      </c>
      <c r="DV179" s="31">
        <v>0</v>
      </c>
      <c r="DW179" s="102" t="e">
        <f>IF(NDC!$H$10="Oui",(VLOOKUP($B$3,'Coeff EC7'!$T$39:$X$59,2,0)*DU179+VLOOKUP($B$3,'Coeff EC7'!$T$65:$X$85,2,0)*Model0.1T!DV179)/1.5,PI()*DS$12*$Q179*($B179-$B178)*0.15/10+DW178)</f>
        <v>#N/A</v>
      </c>
      <c r="DX179" s="102" t="e">
        <f>(VLOOKUP($B$3,'Coeff EC7'!$T$39:$X$59,3,0)*DU179+VLOOKUP($B$3,'Coeff EC7'!$T$65:$X$85,3,0)*Model0.1T!DV179)/1.1</f>
        <v>#N/A</v>
      </c>
      <c r="DY179" s="102" t="e">
        <f t="shared" si="290"/>
        <v>#N/A</v>
      </c>
      <c r="DZ179" s="102" t="e">
        <f t="shared" si="291"/>
        <v>#N/A</v>
      </c>
      <c r="EA179" s="414" t="e">
        <f>IF(AND(DW179&gt;NDC!$C$63,DX179&gt;NDC!$C$65,DY179&gt;NDC!$D$73,DZ179&gt;NDC!$D$74,$B179&gt;NDC!$H$22-0.1+MIN(3*EA$12,1.5)),0,1)</f>
        <v>#N/A</v>
      </c>
      <c r="EB179" s="86" t="b">
        <f t="shared" si="257"/>
        <v>0</v>
      </c>
      <c r="EC179" s="418">
        <f t="shared" si="258"/>
        <v>0.51</v>
      </c>
      <c r="ED179" s="86">
        <f t="shared" si="259"/>
        <v>0.51</v>
      </c>
      <c r="EE179" s="30" t="e">
        <f t="shared" ca="1" si="292"/>
        <v>#DIV/0!</v>
      </c>
      <c r="EF179" s="85" t="e">
        <f ca="1">IF(DL179&lt;=Hypothèses!$V$7,Hypothèses!$W$7,IF(DL179&lt;=Hypothèses!$V$8,Hypothèses!$W$8,IF(DL179&lt;=Hypothèses!$V$9,Hypothèses!$W$9,IF(DL179&lt;=Hypothèses!$V$10,Hypothèses!$W$10,IF(DL179&lt;=Hypothèses!$V$11,Hypothèses!$W$11,IF(DL179&lt;=Hypothèses!$V$12,Hypothèses!$W$12,IF(DL179&lt;=Hypothèses!$V$13,Hypothèses!$W$13,IF(DL179&lt;=Hypothèses!$V$14,Hypothèses!$W$14,IF(DL179&lt;=Hypothèses!$V$15,Hypothèses!$W$15,IF(DL179&lt;=Hypothèses!$V$16,Hypothèses!$W$16,IF(DL179&lt;=Hypothèses!$V$17,Hypothèses!$W$17,IF(DL179&lt;=Hypothèses!$V$18,Hypothèses!$W$18,""))))))))))))</f>
        <v>#DIV/0!</v>
      </c>
      <c r="EG179" s="87" t="e">
        <f t="shared" ca="1" si="322"/>
        <v>#DIV/0!</v>
      </c>
      <c r="EH179" s="88" t="e">
        <f ca="1">IF(DL179&lt;=Hypothèses!$V$7,Hypothèses!$X$7,IF(DL179&lt;=Hypothèses!$V$8,Hypothèses!$X$8,IF(DL179&lt;=Hypothèses!$V$9,Hypothèses!$X$9,IF(DL179&lt;=Hypothèses!$V$10,Hypothèses!$X$10,IF(DL179&lt;=Hypothèses!$V$11,Hypothèses!$X$11,IF(DL179&lt;=Hypothèses!$V$12,Hypothèses!$X$12,IF(DL179&lt;=Hypothèses!$V$13,Hypothèses!$X$13,IF(DL179&lt;=Hypothèses!$V$14,Hypothèses!$X$14,IF(DL179&lt;=Hypothèses!$V$15,Hypothèses!$X$15,IF(DL179&lt;=Hypothèses!$V$16,Hypothèses!$X$16,IF(DL179&lt;=Hypothèses!$U$17,Hypothèses!$W$17,IF(DL179&lt;=Hypothèses!$U$18,Hypothèses!$W$18,""))))))))))))</f>
        <v>#DIV/0!</v>
      </c>
      <c r="EI179" s="95" t="e">
        <f t="shared" ca="1" si="293"/>
        <v>#DIV/0!</v>
      </c>
      <c r="EJ179" s="101">
        <f t="shared" si="329"/>
        <v>0</v>
      </c>
      <c r="EK179" s="91">
        <f t="shared" si="260"/>
        <v>0</v>
      </c>
      <c r="EL179" s="30" t="e">
        <f t="shared" si="312"/>
        <v>#N/A</v>
      </c>
      <c r="EM179" s="30" t="e">
        <f t="shared" si="313"/>
        <v>#N/A</v>
      </c>
      <c r="EN179" s="31" t="e">
        <f>IF(OR(Hypothèses!$B$4=17,Hypothèses!$B$4=18,Hypothèses!$B$4=19,Hypothèses!$B$4=20),
IF($D179="Pressio.",
IF(OR($E179=3,$E179=1,$E179=4),EM179,EL179),
IF($D179="Pénétro.",
IF(OR($E179=3,$E179=1,$E179=4),EM179,EL179))),IF($D179="Pressio.",
IF($E179=3,EM179,EL179),
IF($D179="Pénétro.",
IF($E179=4,EM179,EL179))))</f>
        <v>#N/A</v>
      </c>
      <c r="EO179" s="31">
        <v>0</v>
      </c>
      <c r="EP179" s="102" t="e">
        <f>IF(NDC!$H$10="Oui",(VLOOKUP($B$3,'Coeff EC7'!$T$39:$X$59,2,0)*EN179+VLOOKUP($B$3,'Coeff EC7'!$T$65:$X$85,2,0)*Model0.1T!EO179)/1.5,PI()*EL$12*$Q179*($B179-$B178)*0.15/10+EP178)</f>
        <v>#N/A</v>
      </c>
      <c r="EQ179" s="102" t="e">
        <f>(VLOOKUP($B$3,'Coeff EC7'!$T$39:$X$59,3,0)*EN179+VLOOKUP($B$3,'Coeff EC7'!$T$65:$X$85,3,0)*Model0.1T!EO179)/1.1</f>
        <v>#N/A</v>
      </c>
      <c r="ER179" s="102" t="e">
        <f t="shared" si="294"/>
        <v>#N/A</v>
      </c>
      <c r="ES179" s="102" t="e">
        <f t="shared" si="295"/>
        <v>#N/A</v>
      </c>
      <c r="ET179" s="414" t="e">
        <f>IF(AND(EP179&gt;NDC!$C$63,EQ179&gt;NDC!$C$65,ER179&gt;NDC!$D$73,ES179&gt;NDC!$D$74,$B179&gt;NDC!$H$22-0.1+MIN(3*ET$12,1.5)),0,1)</f>
        <v>#N/A</v>
      </c>
      <c r="EU179" s="86" t="b">
        <f t="shared" si="261"/>
        <v>0</v>
      </c>
      <c r="EV179" s="86">
        <f t="shared" si="262"/>
        <v>0.61</v>
      </c>
      <c r="EW179" s="86">
        <f t="shared" si="263"/>
        <v>0.61</v>
      </c>
      <c r="EX179" s="30" t="e">
        <f t="shared" ca="1" si="296"/>
        <v>#DIV/0!</v>
      </c>
      <c r="EY179" s="85" t="e">
        <f ca="1">IF(EE179&lt;=Hypothèses!$V$7,Hypothèses!$W$7,IF(EE179&lt;=Hypothèses!$V$8,Hypothèses!$W$8,IF(EE179&lt;=Hypothèses!$V$9,Hypothèses!$W$9,IF(EE179&lt;=Hypothèses!$V$10,Hypothèses!$W$10,IF(EE179&lt;=Hypothèses!$V$11,Hypothèses!$W$11,IF(EE179&lt;=Hypothèses!$V$12,Hypothèses!$W$12,IF(EE179&lt;=Hypothèses!$V$13,Hypothèses!$W$13,IF(EE179&lt;=Hypothèses!$V$14,Hypothèses!$W$14,IF(EE179&lt;=Hypothèses!$V$15,Hypothèses!$W$15,IF(EE179&lt;=Hypothèses!$V$16,Hypothèses!$W$16,IF(EE179&lt;=Hypothèses!$V$17,Hypothèses!$W$17,IF(EE179&lt;=Hypothèses!$V$18,Hypothèses!$W$18,""))))))))))))</f>
        <v>#DIV/0!</v>
      </c>
      <c r="EZ179" s="87" t="e">
        <f t="shared" ca="1" si="323"/>
        <v>#DIV/0!</v>
      </c>
      <c r="FA179" s="88" t="e">
        <f ca="1">IF(EE179&lt;=Hypothèses!$V$7,Hypothèses!$X$7,IF(EE179&lt;=Hypothèses!$V$8,Hypothèses!$X$8,IF(EE179&lt;=Hypothèses!$V$9,Hypothèses!$X$9,IF(EE179&lt;=Hypothèses!$V$10,Hypothèses!$X$10,IF(EE179&lt;=Hypothèses!$V$11,Hypothèses!$X$11,IF(EE179&lt;=Hypothèses!$V$12,Hypothèses!$X$12,IF(EE179&lt;=Hypothèses!$V$13,Hypothèses!$X$13,IF(EE179&lt;=Hypothèses!$V$14,Hypothèses!$X$14,IF(EE179&lt;=Hypothèses!$V$15,Hypothèses!$X$15,IF(EE179&lt;=Hypothèses!$V$16,Hypothèses!$X$16,IF(EE179&lt;=Hypothèses!$U$17,Hypothèses!$W$17,IF(EE179&lt;=Hypothèses!$U$18,Hypothèses!$W$18,""))))))))))))</f>
        <v>#DIV/0!</v>
      </c>
      <c r="FB179" s="95" t="e">
        <f t="shared" ca="1" si="297"/>
        <v>#DIV/0!</v>
      </c>
      <c r="FC179" s="101">
        <f t="shared" si="330"/>
        <v>0</v>
      </c>
      <c r="FD179" s="91">
        <f t="shared" si="264"/>
        <v>0</v>
      </c>
      <c r="FE179" s="30" t="e">
        <f t="shared" si="314"/>
        <v>#N/A</v>
      </c>
      <c r="FF179" s="30" t="e">
        <f t="shared" si="315"/>
        <v>#N/A</v>
      </c>
      <c r="FG179" s="31" t="e">
        <f>IF(OR(Hypothèses!$B$4=17,Hypothèses!$B$4=18,Hypothèses!$B$4=19,Hypothèses!$B$4=20),
IF($D179="Pressio.",
IF(OR($E179=3,$E179=1,$E179=4),FF179,FE179),
IF($D179="Pénétro.",
IF(OR($E179=3,$E179=1,$E179=4),FF179,FE179))),IF($D179="Pressio.",
IF($E179=3,FF179,FE179),
IF($D179="Pénétro.",
IF($E179=4,FF179,FE179))))</f>
        <v>#N/A</v>
      </c>
      <c r="FH179" s="31">
        <v>0</v>
      </c>
      <c r="FI179" s="102" t="e">
        <f>IF(NDC!$H$10="Oui",(VLOOKUP($B$3,'Coeff EC7'!$T$39:$X$59,2,0)*FG179+VLOOKUP($B$3,'Coeff EC7'!$T$65:$X$85,2,0)*Model0.1T!FH179)/1.5,PI()*FE$12*$Q179*($B179-$B178)*0.15/10+FI178)</f>
        <v>#N/A</v>
      </c>
      <c r="FJ179" s="102" t="e">
        <f>(VLOOKUP($B$3,'Coeff EC7'!$T$39:$X$59,3,0)*FG179+VLOOKUP($B$3,'Coeff EC7'!$T$65:$X$85,3,0)*Model0.1T!FH179)/1.1</f>
        <v>#N/A</v>
      </c>
      <c r="FK179" s="102" t="e">
        <f t="shared" si="298"/>
        <v>#N/A</v>
      </c>
      <c r="FL179" s="102" t="e">
        <f t="shared" si="299"/>
        <v>#N/A</v>
      </c>
      <c r="FM179" s="414" t="e">
        <f>IF(AND(FI179&gt;NDC!$C$63,FJ179&gt;NDC!$C$65,FK179&gt;NDC!$D$73,FL179&gt;NDC!$D$74,$B179&gt;NDC!$H$22-0.1+MIN(3*FM$12,1.5)),0,1)</f>
        <v>#N/A</v>
      </c>
    </row>
    <row r="180" spans="1:169">
      <c r="A180" s="96">
        <f t="shared" si="265"/>
        <v>83.300000000000949</v>
      </c>
      <c r="B180" s="97">
        <v>16.7</v>
      </c>
      <c r="C180" s="81">
        <f>IF(B180&lt;=Hypothèses!$C$7,Hypothèses!$A$7,IF(B180&lt;=Hypothèses!$C$8,Hypothèses!$A$8,IF(B180&lt;=Hypothèses!$C$9,Hypothèses!$A$9,IF(B180&lt;=Hypothèses!$C$10,Hypothèses!$A$10,IF(B180&lt;=Hypothèses!$C$11,Hypothèses!$A$11,IF(B180&lt;=Hypothèses!$C$12,Hypothèses!$A$12,IF(B180&lt;=Hypothèses!$C$13,Hypothèses!$A$13,IF(B180&lt;=Hypothèses!$C$14,Hypothèses!$A$14,IF(B180&lt;=Hypothèses!$C$15,Hypothèses!$A$15,IF(B180&lt;=Hypothèses!$C$16,Hypothèses!$A$16,IF(B180&lt;=Hypothèses!$C$17,Hypothèses!$A$17,IF(B180&lt;=Hypothèses!$C$18,Hypothèses!$A$18,C179))))))))))))</f>
        <v>11</v>
      </c>
      <c r="D180" s="82" t="str">
        <f>IF(B180&lt;=Hypothèses!$C$7,Hypothèses!$R$7,IF(B180&lt;=Hypothèses!$C$8,Hypothèses!$R$8,IF(B180&lt;=Hypothèses!$C$9,Hypothèses!$R$9,IF(B180&lt;=Hypothèses!$C$10,Hypothèses!$R$10,IF(B180&lt;=Hypothèses!$C$11,Hypothèses!$R$11,IF(B180&lt;=Hypothèses!$C$12,Hypothèses!$R$12,IF(B180&lt;=Hypothèses!$C$13,Hypothèses!$R$13,IF(B180&lt;=Hypothèses!$C$14,Hypothèses!$R$14,IF(B180&lt;=Hypothèses!$C$15,Hypothèses!$R$15,IF(B180&lt;=Hypothèses!$C$16,Hypothèses!$R$16,IF(B180&lt;=Hypothèses!$C$17,Hypothèses!$R$17,IF(B180&lt;=Hypothèses!$C$18,Hypothèses!$R$18,D179))))))))))))</f>
        <v>Pressio.</v>
      </c>
      <c r="E180" s="82" t="e">
        <f>IF(B180&lt;=Hypothèses!$C$7,Hypothèses!$G$7,IF(B180&lt;=Hypothèses!$C$8,Hypothèses!$G$8,IF(B180&lt;=Hypothèses!$C$9,Hypothèses!$G$9,IF(B180&lt;=Hypothèses!$C$10,Hypothèses!$G$10,IF(B180&lt;=Hypothèses!$C$11,Hypothèses!$G$11,IF(B180&lt;=Hypothèses!$C$12,Hypothèses!$G$12,IF(B180&lt;=Hypothèses!$C$13,Hypothèses!$G$13,IF(B180&lt;=Hypothèses!$C$14,Hypothèses!$G$14,IF(B180&lt;=Hypothèses!$C$15,Hypothèses!$G$15,IF(B180&lt;=Hypothèses!$C$16,Hypothèses!$G$16,IF(B180&lt;=Hypothèses!$C$17,Hypothèses!$G$17,IF(B180&lt;=Hypothèses!$C$18,Hypothèses!$G$18,E179))))))))))))</f>
        <v>#N/A</v>
      </c>
      <c r="F180" s="82" t="str">
        <f>IF(B180&lt;=Hypothèses!$C$7,Hypothèses!$F$7,IF(B180&lt;=Hypothèses!$C$8,Hypothèses!$F$8,IF(B180&lt;=Hypothèses!$C$9,Hypothèses!$F$9,IF(B180&lt;=Hypothèses!$C$10,Hypothèses!$F$10,IF(B180&lt;=Hypothèses!$C$11,Hypothèses!$F$11,IF(B180&lt;=Hypothèses!$C$12,Hypothèses!$F$12,IF(B180&lt;=Hypothèses!$C$13,Hypothèses!$F$13,IF(B180&lt;=Hypothèses!$C$14,Hypothèses!$F$14,IF(B180&lt;=Hypothèses!$C$15,Hypothèses!$F$15,IF(B180&lt;=Hypothèses!$C$16,Hypothèses!$F$16,IF(B180&lt;=Hypothèses!$C$17,Hypothèses!$F$17,IF(B180&lt;=Hypothèses!$C$18,Hypothèses!$F$18,F179))))))))))))</f>
        <v/>
      </c>
      <c r="G180" s="91">
        <f t="array" ref="G180">INDEX('Coeff EC7'!$U$7:$X$27,
MATCH(Model0.1T!$B$3,'Coeff EC7'!$T$7:$T$27,0),
MATCH(Model0.1T!$D180&amp;Model0.1T!$B$4,
'Coeff EC7'!$U$6:$X$6&amp;
'Coeff EC7'!$U$5:$X$5,0))</f>
        <v>1.4</v>
      </c>
      <c r="H180" s="91">
        <f t="array" ref="H180">INDEX('Coeff EC7'!$Y$7:$AB$27,
MATCH(Model0.1T!$B$3,'Coeff EC7'!$T$7:$T$27,0),
MATCH(Model0.1T!$D180&amp;Model0.1T!$B$4,
'Coeff EC7'!$Y$6:$AB$6&amp;
'Coeff EC7'!$Y$5:$AB$5,0))</f>
        <v>1.7</v>
      </c>
      <c r="I180" s="83">
        <v>0</v>
      </c>
      <c r="J180" s="91" t="e">
        <f t="array" ref="J180">INDEX('Coeff EC7'!$D$33:$Q$33,1,MATCH(D180&amp;E180,'Coeff EC7'!$D$31:$Q$31&amp;'Coeff EC7'!$D$32:$Q$32,0))</f>
        <v>#N/A</v>
      </c>
      <c r="K180" s="91" t="e">
        <f t="array" ref="K180">INDEX('Coeff EC7'!$D$34:$Q$34,1,MATCH(D180&amp;E180,'Coeff EC7'!$D$31:$Q$31&amp;'Coeff EC7'!$D$32:$Q$32,0))</f>
        <v>#N/A</v>
      </c>
      <c r="L180" s="91" t="e">
        <f t="array" ref="L180">INDEX('Coeff EC7'!$D$35:$Q$35,1,MATCH(D180&amp;E180,'Coeff EC7'!$D$31:$Q$31&amp;'Coeff EC7'!$D$32:$Q$32,0))</f>
        <v>#N/A</v>
      </c>
      <c r="M180" s="98" t="e">
        <f t="shared" si="231"/>
        <v>#N/A</v>
      </c>
      <c r="N180" s="99" t="e">
        <f t="array" ref="N180">INDEX('Coeff EC7'!$D$7:$Q$27,MATCH($B$3,'Coeff EC7'!$C$7:$C$27,0),MATCH(D180&amp;E180,'Coeff EC7'!$D$5:$Q$5&amp;'Coeff EC7'!$D$6:$Q$6,0))</f>
        <v>#N/A</v>
      </c>
      <c r="O180" s="99" t="e">
        <f t="array" ref="O180">INDEX('Coeff EC7'!$D$41:$Q$61,MATCH($B$3,'Coeff EC7'!$C$41:$C$61,0),MATCH(D180&amp;E180,'Coeff EC7'!$D$39:$Q$39&amp;'Coeff EC7'!$D$40:$Q$40,0))</f>
        <v>#N/A</v>
      </c>
      <c r="P180" s="30" t="e">
        <f t="shared" si="266"/>
        <v>#N/A</v>
      </c>
      <c r="Q180" s="100" t="e">
        <f t="shared" si="233"/>
        <v>#N/A</v>
      </c>
      <c r="R180" s="86" t="b">
        <f t="shared" si="234"/>
        <v>0</v>
      </c>
      <c r="S180" s="86">
        <f t="shared" si="232"/>
        <v>0.5</v>
      </c>
      <c r="T180" s="86">
        <f t="shared" si="235"/>
        <v>0.5</v>
      </c>
      <c r="U180" s="30" t="e">
        <f t="shared" ca="1" si="267"/>
        <v>#DIV/0!</v>
      </c>
      <c r="V180" s="85" t="str">
        <f>IF(B180&lt;=Hypothèses!$V$7,Hypothèses!$W$7,IF(B180&lt;=Hypothèses!$V$8,Hypothèses!$W$8,IF(B180&lt;=Hypothèses!$V$9,Hypothèses!$W$9,IF(B180&lt;=Hypothèses!$V$10,Hypothèses!$W$10,IF(B180&lt;=Hypothèses!$V$11,Hypothèses!$W$11,IF(B180&lt;=Hypothèses!$V$12,Hypothèses!$W$12,IF(B180&lt;=Hypothèses!$V$13,Hypothèses!$W$13,IF(B180&lt;=Hypothèses!$V$14,Hypothèses!$W$14,IF(B180&lt;=Hypothèses!$V$15,Hypothèses!$W$15,IF(B180&lt;=Hypothèses!$V$16,Hypothèses!$W$16,IF(B180&lt;=Hypothèses!$V$17,Hypothèses!$W$17,IF(B180&lt;=Hypothèses!$V$18,Hypothèses!$W$18,""))))))))))))</f>
        <v/>
      </c>
      <c r="W180" s="87" t="e">
        <f t="shared" ca="1" si="316"/>
        <v>#DIV/0!</v>
      </c>
      <c r="X180" s="88" t="str">
        <f>IF(B180&lt;=Hypothèses!$V$7,Hypothèses!$X$7,IF(B180&lt;=Hypothèses!$V$8,Hypothèses!$X$8,IF(B180&lt;=Hypothèses!$V$9,Hypothèses!$X$9,IF(B180&lt;=Hypothèses!$V$10,Hypothèses!$X$10,IF(B180&lt;=Hypothèses!$V$11,Hypothèses!$X$11,IF(B180&lt;=Hypothèses!$V$12,Hypothèses!$X$12,IF(B180&lt;=Hypothèses!$V$13,Hypothèses!$X$13,IF(B180&lt;=Hypothèses!$V$14,Hypothèses!$X$14,IF(B180&lt;=Hypothèses!$V$15,Hypothèses!$X$15,IF(B180&lt;=Hypothèses!$V$16,Hypothèses!$X$16,IF(B180&lt;=Hypothèses!$U$17,Hypothèses!$W$17,IF(B180&lt;=Hypothèses!$U$18,Hypothèses!$W$18,""))))))))))))</f>
        <v/>
      </c>
      <c r="Y180" s="95" t="e">
        <f t="shared" ca="1" si="236"/>
        <v>#DIV/0!</v>
      </c>
      <c r="Z180" s="101">
        <f t="shared" si="237"/>
        <v>0</v>
      </c>
      <c r="AA180" s="91">
        <f t="shared" si="238"/>
        <v>0</v>
      </c>
      <c r="AB180" s="30" t="e">
        <f t="shared" si="300"/>
        <v>#N/A</v>
      </c>
      <c r="AC180" s="30" t="e">
        <f t="shared" si="301"/>
        <v>#N/A</v>
      </c>
      <c r="AD180" s="31" t="e">
        <f>IF(OR(Hypothèses!$B$4=17,Hypothèses!$B$4=18,Hypothèses!$B$4=19,Hypothèses!$B$4=20),
IF($D180="Pressio.",
IF(OR($E180=3,$E180=1,$E180=4),AC180,AB180),
IF($D180="Pénétro.",
IF(OR($E180=3,$E180=1,$E180=4),AC180,AB180))),IF($D180="Pressio.",
IF($E180=3,AC180,AB180),
IF($D180="Pénétro.",
IF($E180=4,AC180,AB180))))</f>
        <v>#N/A</v>
      </c>
      <c r="AE180" s="31">
        <v>0</v>
      </c>
      <c r="AF180" s="102" t="e">
        <f>IF(NDC!$H$10="Oui",(VLOOKUP($B$3,'Coeff EC7'!$T$39:$X$59,2,0)*AD180+VLOOKUP($B$3,'Coeff EC7'!$T$65:$X$85,2,0)*Model0.1T!AE180)/1.5,PI()*AB$12*$Q180*($B180-$B179)*0.15/10+AF179)</f>
        <v>#N/A</v>
      </c>
      <c r="AG180" s="102" t="e">
        <f>(VLOOKUP($B$3,'Coeff EC7'!$T$39:$X$59,3,0)*AD180+VLOOKUP($B$3,'Coeff EC7'!$T$65:$X$85,3,0)*Model0.1T!AE180)/1.1</f>
        <v>#N/A</v>
      </c>
      <c r="AH180" s="102" t="e">
        <f t="shared" si="268"/>
        <v>#N/A</v>
      </c>
      <c r="AI180" s="102" t="e">
        <f t="shared" si="269"/>
        <v>#N/A</v>
      </c>
      <c r="AJ180" s="414" t="e">
        <f>IF(AND(AF180&gt;NDC!$C$63,AG180&gt;NDC!$C$65,AH180&gt;NDC!$D$73,AI180&gt;NDC!$D$74,$B180&gt;NDC!$H$22-0.1+MIN(3*$AJ$12,1.5)),0,1)</f>
        <v>#N/A</v>
      </c>
      <c r="AK180" s="86" t="b">
        <f t="shared" si="239"/>
        <v>0</v>
      </c>
      <c r="AL180" s="86">
        <f t="shared" si="270"/>
        <v>0.5</v>
      </c>
      <c r="AM180" s="86">
        <f t="shared" si="240"/>
        <v>0.5</v>
      </c>
      <c r="AN180" s="30" t="e">
        <f t="shared" ca="1" si="271"/>
        <v>#DIV/0!</v>
      </c>
      <c r="AO180" s="85" t="e">
        <f ca="1">IF(U180&lt;=Hypothèses!$V$7,Hypothèses!$W$7,IF(U180&lt;=Hypothèses!$V$8,Hypothèses!$W$8,IF(U180&lt;=Hypothèses!$V$9,Hypothèses!$W$9,IF(U180&lt;=Hypothèses!$V$10,Hypothèses!$W$10,IF(U180&lt;=Hypothèses!$V$11,Hypothèses!$W$11,IF(U180&lt;=Hypothèses!$V$12,Hypothèses!$W$12,IF(U180&lt;=Hypothèses!$V$13,Hypothèses!$W$13,IF(U180&lt;=Hypothèses!$V$14,Hypothèses!$W$14,IF(U180&lt;=Hypothèses!$V$15,Hypothèses!$W$15,IF(U180&lt;=Hypothèses!$V$16,Hypothèses!$W$16,IF(U180&lt;=Hypothèses!$V$17,Hypothèses!$W$17,IF(U180&lt;=Hypothèses!$V$18,Hypothèses!$W$18,""))))))))))))</f>
        <v>#DIV/0!</v>
      </c>
      <c r="AP180" s="87" t="e">
        <f t="shared" ca="1" si="317"/>
        <v>#DIV/0!</v>
      </c>
      <c r="AQ180" s="88" t="e">
        <f ca="1">IF(U180&lt;=Hypothèses!$V$7,Hypothèses!$X$7,IF(U180&lt;=Hypothèses!$V$8,Hypothèses!$X$8,IF(U180&lt;=Hypothèses!$V$9,Hypothèses!$X$9,IF(U180&lt;=Hypothèses!$V$10,Hypothèses!$X$10,IF(U180&lt;=Hypothèses!$V$11,Hypothèses!$X$11,IF(U180&lt;=Hypothèses!$V$12,Hypothèses!$X$12,IF(U180&lt;=Hypothèses!$V$13,Hypothèses!$X$13,IF(U180&lt;=Hypothèses!$V$14,Hypothèses!$X$14,IF(U180&lt;=Hypothèses!$V$15,Hypothèses!$X$15,IF(U180&lt;=Hypothèses!$V$16,Hypothèses!$X$16,IF(U180&lt;=Hypothèses!$U$17,Hypothèses!$W$17,IF(U180&lt;=Hypothèses!$U$18,Hypothèses!$W$18,""))))))))))))</f>
        <v>#DIV/0!</v>
      </c>
      <c r="AR180" s="95" t="e">
        <f t="shared" ca="1" si="272"/>
        <v>#DIV/0!</v>
      </c>
      <c r="AS180" s="101">
        <f t="shared" si="324"/>
        <v>0</v>
      </c>
      <c r="AT180" s="91">
        <f t="shared" si="241"/>
        <v>0</v>
      </c>
      <c r="AU180" s="30" t="e">
        <f t="shared" si="302"/>
        <v>#N/A</v>
      </c>
      <c r="AV180" s="30" t="e">
        <f t="shared" si="303"/>
        <v>#N/A</v>
      </c>
      <c r="AW180" s="31" t="e">
        <f>IF(OR(Hypothèses!$B$4=17,Hypothèses!$B$4=18,Hypothèses!$B$4=19,Hypothèses!$B$4=20),
IF($D180="Pressio.",
IF(OR($E180=3,$E180=1,$E180=4),AV180,AU180),
IF($D180="Pénétro.",
IF(OR($E180=3,$E180=1,$E180=4),AV180,AU180))),IF($D180="Pressio.",
IF($E180=3,AV180,AU180),
IF($D180="Pénétro.",
IF($E180=4,AV180,AU180))))</f>
        <v>#N/A</v>
      </c>
      <c r="AX180" s="31">
        <v>0</v>
      </c>
      <c r="AY180" s="102" t="e">
        <f>IF(NDC!$H$10="Oui",(VLOOKUP($B$3,'Coeff EC7'!$T$39:$X$59,2,0)*AW180+VLOOKUP($B$3,'Coeff EC7'!$T$65:$X$85,2,0)*Model0.1T!AX180)/1.5,PI()*AU$12*$Q180*($B180-$B179)*0.15/10+AY179)</f>
        <v>#N/A</v>
      </c>
      <c r="AZ180" s="102" t="e">
        <f>(VLOOKUP($B$3,'Coeff EC7'!$T$39:$X$59,3,0)*AW180+VLOOKUP($B$3,'Coeff EC7'!$T$65:$X$85,3,0)*Model0.1T!AX180)/1.1</f>
        <v>#N/A</v>
      </c>
      <c r="BA180" s="102" t="e">
        <f t="shared" si="273"/>
        <v>#N/A</v>
      </c>
      <c r="BB180" s="102" t="e">
        <f t="shared" si="274"/>
        <v>#N/A</v>
      </c>
      <c r="BC180" s="414" t="e">
        <f>IF(AND(AY180&gt;NDC!$C$63,AZ180&gt;NDC!$C$65,BA180&gt;NDC!$D$73,BB180&gt;NDC!$D$74,$B180&gt;NDC!$H$22-0.1+MIN(3*BC$12,1.5)),0,1)</f>
        <v>#N/A</v>
      </c>
      <c r="BD180" s="86" t="b">
        <f t="shared" si="242"/>
        <v>0</v>
      </c>
      <c r="BE180" s="86">
        <f t="shared" si="275"/>
        <v>0.5</v>
      </c>
      <c r="BF180" s="86">
        <f t="shared" si="243"/>
        <v>0.5</v>
      </c>
      <c r="BG180" s="30" t="e">
        <f t="shared" ca="1" si="276"/>
        <v>#DIV/0!</v>
      </c>
      <c r="BH180" s="85" t="e">
        <f ca="1">IF(AN180&lt;=Hypothèses!$V$7,Hypothèses!$W$7,IF(AN180&lt;=Hypothèses!$V$8,Hypothèses!$W$8,IF(AN180&lt;=Hypothèses!$V$9,Hypothèses!$W$9,IF(AN180&lt;=Hypothèses!$V$10,Hypothèses!$W$10,IF(AN180&lt;=Hypothèses!$V$11,Hypothèses!$W$11,IF(AN180&lt;=Hypothèses!$V$12,Hypothèses!$W$12,IF(AN180&lt;=Hypothèses!$V$13,Hypothèses!$W$13,IF(AN180&lt;=Hypothèses!$V$14,Hypothèses!$W$14,IF(AN180&lt;=Hypothèses!$V$15,Hypothèses!$W$15,IF(AN180&lt;=Hypothèses!$V$16,Hypothèses!$W$16,IF(AN180&lt;=Hypothèses!$V$17,Hypothèses!$W$17,IF(AN180&lt;=Hypothèses!$V$18,Hypothèses!$W$18,""))))))))))))</f>
        <v>#DIV/0!</v>
      </c>
      <c r="BI180" s="87" t="e">
        <f t="shared" ca="1" si="318"/>
        <v>#DIV/0!</v>
      </c>
      <c r="BJ180" s="88" t="e">
        <f ca="1">IF(AN180&lt;=Hypothèses!$V$7,Hypothèses!$X$7,IF(AN180&lt;=Hypothèses!$V$8,Hypothèses!$X$8,IF(AN180&lt;=Hypothèses!$V$9,Hypothèses!$X$9,IF(AN180&lt;=Hypothèses!$V$10,Hypothèses!$X$10,IF(AN180&lt;=Hypothèses!$V$11,Hypothèses!$X$11,IF(AN180&lt;=Hypothèses!$V$12,Hypothèses!$X$12,IF(AN180&lt;=Hypothèses!$V$13,Hypothèses!$X$13,IF(AN180&lt;=Hypothèses!$V$14,Hypothèses!$X$14,IF(AN180&lt;=Hypothèses!$V$15,Hypothèses!$X$15,IF(AN180&lt;=Hypothèses!$V$16,Hypothèses!$X$16,IF(AN180&lt;=Hypothèses!$U$17,Hypothèses!$W$17,IF(AN180&lt;=Hypothèses!$U$18,Hypothèses!$W$18,""))))))))))))</f>
        <v>#DIV/0!</v>
      </c>
      <c r="BK180" s="95" t="e">
        <f t="shared" ca="1" si="277"/>
        <v>#DIV/0!</v>
      </c>
      <c r="BL180" s="101">
        <f t="shared" si="325"/>
        <v>0</v>
      </c>
      <c r="BM180" s="91">
        <f t="shared" si="244"/>
        <v>0</v>
      </c>
      <c r="BN180" s="30" t="e">
        <f t="shared" si="304"/>
        <v>#N/A</v>
      </c>
      <c r="BO180" s="30" t="e">
        <f t="shared" si="305"/>
        <v>#N/A</v>
      </c>
      <c r="BP180" s="31" t="e">
        <f>IF(OR(Hypothèses!$B$4=17,Hypothèses!$B$4=18,Hypothèses!$B$4=19,Hypothèses!$B$4=20),
IF($D180="Pressio.",
IF(OR($E180=3,$E180=1,$E180=4),BO180,BN180),
IF($D180="Pénétro.",
IF(OR($E180=3,$E180=1,$E180=4),BO180,BN180))),IF($D180="Pressio.",
IF($E180=3,BO180,BN180),
IF($D180="Pénétro.",
IF($E180=4,BO180,BN180))))</f>
        <v>#N/A</v>
      </c>
      <c r="BQ180" s="31">
        <v>0</v>
      </c>
      <c r="BR180" s="102" t="e">
        <f>IF(NDC!$H$10="Oui",(VLOOKUP($B$3,'Coeff EC7'!$T$39:$X$59,2,0)*BP180+VLOOKUP($B$3,'Coeff EC7'!$T$65:$X$85,2,0)*Model0.1T!BQ180)/1.5,PI()*BN$12*$Q180*($B180-$B179)*0.15/10+BR179)</f>
        <v>#N/A</v>
      </c>
      <c r="BS180" s="102" t="e">
        <f>(VLOOKUP($B$3,'Coeff EC7'!$T$39:$X$59,3,0)*BP180+VLOOKUP($B$3,'Coeff EC7'!$T$65:$X$85,3,0)*Model0.1T!BQ180)/1.1</f>
        <v>#N/A</v>
      </c>
      <c r="BT180" s="102" t="e">
        <f t="shared" si="278"/>
        <v>#N/A</v>
      </c>
      <c r="BU180" s="102" t="e">
        <f t="shared" si="279"/>
        <v>#N/A</v>
      </c>
      <c r="BV180" s="414" t="e">
        <f>IF(AND(BR180&gt;NDC!$C$63,BS180&gt;NDC!$C$65,BT180&gt;NDC!$D$73,BU180&gt;NDC!$D$74,$B180&gt;NDC!$H$22-0.1+MIN(3*BV$12,1.5)),0,1)</f>
        <v>#N/A</v>
      </c>
      <c r="BW180" s="86" t="b">
        <f t="shared" si="245"/>
        <v>0</v>
      </c>
      <c r="BX180" s="86">
        <f t="shared" si="246"/>
        <v>0.5</v>
      </c>
      <c r="BY180" s="86">
        <f t="shared" si="247"/>
        <v>0.5</v>
      </c>
      <c r="BZ180" s="30" t="e">
        <f t="shared" ca="1" si="280"/>
        <v>#DIV/0!</v>
      </c>
      <c r="CA180" s="85" t="e">
        <f ca="1">IF(BG180&lt;=Hypothèses!$V$7,Hypothèses!$W$7,IF(BG180&lt;=Hypothèses!$V$8,Hypothèses!$W$8,IF(BG180&lt;=Hypothèses!$V$9,Hypothèses!$W$9,IF(BG180&lt;=Hypothèses!$V$10,Hypothèses!$W$10,IF(BG180&lt;=Hypothèses!$V$11,Hypothèses!$W$11,IF(BG180&lt;=Hypothèses!$V$12,Hypothèses!$W$12,IF(BG180&lt;=Hypothèses!$V$13,Hypothèses!$W$13,IF(BG180&lt;=Hypothèses!$V$14,Hypothèses!$W$14,IF(BG180&lt;=Hypothèses!$V$15,Hypothèses!$W$15,IF(BG180&lt;=Hypothèses!$V$16,Hypothèses!$W$16,IF(BG180&lt;=Hypothèses!$V$17,Hypothèses!$W$17,IF(BG180&lt;=Hypothèses!$V$18,Hypothèses!$W$18,""))))))))))))</f>
        <v>#DIV/0!</v>
      </c>
      <c r="CB180" s="87" t="e">
        <f t="shared" ca="1" si="319"/>
        <v>#DIV/0!</v>
      </c>
      <c r="CC180" s="88" t="e">
        <f ca="1">IF(BG180&lt;=Hypothèses!$V$7,Hypothèses!$X$7,IF(BG180&lt;=Hypothèses!$V$8,Hypothèses!$X$8,IF(BG180&lt;=Hypothèses!$V$9,Hypothèses!$X$9,IF(BG180&lt;=Hypothèses!$V$10,Hypothèses!$X$10,IF(BG180&lt;=Hypothèses!$V$11,Hypothèses!$X$11,IF(BG180&lt;=Hypothèses!$V$12,Hypothèses!$X$12,IF(BG180&lt;=Hypothèses!$V$13,Hypothèses!$X$13,IF(BG180&lt;=Hypothèses!$V$14,Hypothèses!$X$14,IF(BG180&lt;=Hypothèses!$V$15,Hypothèses!$X$15,IF(BG180&lt;=Hypothèses!$V$16,Hypothèses!$X$16,IF(BG180&lt;=Hypothèses!$U$17,Hypothèses!$W$17,IF(BG180&lt;=Hypothèses!$U$18,Hypothèses!$W$18,""))))))))))))</f>
        <v>#DIV/0!</v>
      </c>
      <c r="CD180" s="95" t="e">
        <f t="shared" ca="1" si="281"/>
        <v>#DIV/0!</v>
      </c>
      <c r="CE180" s="101">
        <f t="shared" si="326"/>
        <v>0</v>
      </c>
      <c r="CF180" s="91">
        <f t="shared" si="248"/>
        <v>0</v>
      </c>
      <c r="CG180" s="30" t="e">
        <f t="shared" si="306"/>
        <v>#N/A</v>
      </c>
      <c r="CH180" s="30" t="e">
        <f t="shared" si="307"/>
        <v>#N/A</v>
      </c>
      <c r="CI180" s="31" t="e">
        <f>IF(OR(Hypothèses!$B$4=17,Hypothèses!$B$4=18,Hypothèses!$B$4=19,Hypothèses!$B$4=20),
IF($D180="Pressio.",
IF(OR($E180=3,$E180=1,$E180=4),CH180,CG180),
IF($D180="Pénétro.",
IF(OR($E180=3,$E180=1,$E180=4),CH180,CG180))),IF($D180="Pressio.",
IF($E180=3,CH180,CG180),
IF($D180="Pénétro.",
IF($E180=4,CH180,CG180))))</f>
        <v>#N/A</v>
      </c>
      <c r="CJ180" s="31">
        <v>0</v>
      </c>
      <c r="CK180" s="102" t="e">
        <f>IF(NDC!$H$10="Oui",(VLOOKUP($B$3,'Coeff EC7'!$T$39:$X$59,2,0)*CI180+VLOOKUP($B$3,'Coeff EC7'!$T$65:$X$85,2,0)*Model0.1T!CJ180)/1.5,PI()*CG$12*$Q180*($B180-$B179)*0.15/10+CK179)</f>
        <v>#N/A</v>
      </c>
      <c r="CL180" s="102" t="e">
        <f>(VLOOKUP($B$3,'Coeff EC7'!$T$39:$X$59,3,0)*CI180+VLOOKUP($B$3,'Coeff EC7'!$T$65:$X$85,3,0)*Model0.1T!CJ180)/1.1</f>
        <v>#N/A</v>
      </c>
      <c r="CM180" s="102" t="e">
        <f t="shared" si="282"/>
        <v>#N/A</v>
      </c>
      <c r="CN180" s="102" t="e">
        <f t="shared" si="283"/>
        <v>#N/A</v>
      </c>
      <c r="CO180" s="414" t="e">
        <f>IF(AND(CK180&gt;NDC!$C$63,CL180&gt;NDC!$C$65,CM180&gt;NDC!$D$73,CN180&gt;NDC!$D$74,$B180&gt;NDC!$H$22-0.1+MIN(3*CO$12,1.5)),0,1)</f>
        <v>#N/A</v>
      </c>
      <c r="CP180" s="86" t="b">
        <f t="shared" si="249"/>
        <v>0</v>
      </c>
      <c r="CQ180" s="86">
        <f t="shared" si="250"/>
        <v>0.5</v>
      </c>
      <c r="CR180" s="86">
        <f t="shared" si="251"/>
        <v>0.5</v>
      </c>
      <c r="CS180" s="30" t="e">
        <f t="shared" ca="1" si="284"/>
        <v>#DIV/0!</v>
      </c>
      <c r="CT180" s="85" t="e">
        <f ca="1">IF(BZ180&lt;=Hypothèses!$V$7,Hypothèses!$W$7,IF(BZ180&lt;=Hypothèses!$V$8,Hypothèses!$W$8,IF(BZ180&lt;=Hypothèses!$V$9,Hypothèses!$W$9,IF(BZ180&lt;=Hypothèses!$V$10,Hypothèses!$W$10,IF(BZ180&lt;=Hypothèses!$V$11,Hypothèses!$W$11,IF(BZ180&lt;=Hypothèses!$V$12,Hypothèses!$W$12,IF(BZ180&lt;=Hypothèses!$V$13,Hypothèses!$W$13,IF(BZ180&lt;=Hypothèses!$V$14,Hypothèses!$W$14,IF(BZ180&lt;=Hypothèses!$V$15,Hypothèses!$W$15,IF(BZ180&lt;=Hypothèses!$V$16,Hypothèses!$W$16,IF(BZ180&lt;=Hypothèses!$V$17,Hypothèses!$W$17,IF(BZ180&lt;=Hypothèses!$V$18,Hypothèses!$W$18,""))))))))))))</f>
        <v>#DIV/0!</v>
      </c>
      <c r="CU180" s="87" t="e">
        <f t="shared" ca="1" si="320"/>
        <v>#DIV/0!</v>
      </c>
      <c r="CV180" s="88" t="e">
        <f ca="1">IF(BZ180&lt;=Hypothèses!$V$7,Hypothèses!$X$7,IF(BZ180&lt;=Hypothèses!$V$8,Hypothèses!$X$8,IF(BZ180&lt;=Hypothèses!$V$9,Hypothèses!$X$9,IF(BZ180&lt;=Hypothèses!$V$10,Hypothèses!$X$10,IF(BZ180&lt;=Hypothèses!$V$11,Hypothèses!$X$11,IF(BZ180&lt;=Hypothèses!$V$12,Hypothèses!$X$12,IF(BZ180&lt;=Hypothèses!$V$13,Hypothèses!$X$13,IF(BZ180&lt;=Hypothèses!$V$14,Hypothèses!$X$14,IF(BZ180&lt;=Hypothèses!$V$15,Hypothèses!$X$15,IF(BZ180&lt;=Hypothèses!$V$16,Hypothèses!$X$16,IF(BZ180&lt;=Hypothèses!$U$17,Hypothèses!$W$17,IF(BZ180&lt;=Hypothèses!$U$18,Hypothèses!$W$18,""))))))))))))</f>
        <v>#DIV/0!</v>
      </c>
      <c r="CW180" s="95" t="e">
        <f t="shared" ca="1" si="285"/>
        <v>#DIV/0!</v>
      </c>
      <c r="CX180" s="101">
        <f t="shared" si="327"/>
        <v>0</v>
      </c>
      <c r="CY180" s="91">
        <f t="shared" si="252"/>
        <v>0</v>
      </c>
      <c r="CZ180" s="30" t="e">
        <f t="shared" si="308"/>
        <v>#N/A</v>
      </c>
      <c r="DA180" s="30" t="e">
        <f t="shared" si="309"/>
        <v>#N/A</v>
      </c>
      <c r="DB180" s="31" t="e">
        <f>IF(OR(Hypothèses!$B$4=17,Hypothèses!$B$4=18,Hypothèses!$B$4=19,Hypothèses!$B$4=20),
IF($D180="Pressio.",
IF(OR($E180=3,$E180=1,$E180=4),DA180,CZ180),
IF($D180="Pénétro.",
IF(OR($E180=3,$E180=1,$E180=4),DA180,CZ180))),IF($D180="Pressio.",
IF($E180=3,DA180,CZ180),
IF($D180="Pénétro.",
IF($E180=4,DA180,CZ180))))</f>
        <v>#N/A</v>
      </c>
      <c r="DC180" s="31">
        <v>0</v>
      </c>
      <c r="DD180" s="102" t="e">
        <f>IF(NDC!$H$10="Oui",(VLOOKUP($B$3,'Coeff EC7'!$T$39:$X$59,2,0)*DB180+VLOOKUP($B$3,'Coeff EC7'!$T$65:$X$85,2,0)*Model0.1T!DC180)/1.5,PI()*CZ$12*$Q180*($B180-$B179)*0.15/10+DD179)</f>
        <v>#N/A</v>
      </c>
      <c r="DE180" s="102" t="e">
        <f>(VLOOKUP($B$3,'Coeff EC7'!$T$39:$X$59,3,0)*DB180+VLOOKUP($B$3,'Coeff EC7'!$T$65:$X$85,3,0)*Model0.1T!DC180)/1.1</f>
        <v>#N/A</v>
      </c>
      <c r="DF180" s="102" t="e">
        <f t="shared" si="286"/>
        <v>#N/A</v>
      </c>
      <c r="DG180" s="102" t="e">
        <f t="shared" si="287"/>
        <v>#N/A</v>
      </c>
      <c r="DH180" s="414" t="e">
        <f>IF(AND(DD180&gt;NDC!$C$63,DE180&gt;NDC!$C$65,DF180&gt;NDC!$D$73,DG180&gt;NDC!$D$74,$B180&gt;NDC!$H$22-0.1+MIN(3*DH$12,1.5)),0,1)</f>
        <v>#N/A</v>
      </c>
      <c r="DI180" s="86" t="b">
        <f t="shared" si="253"/>
        <v>0</v>
      </c>
      <c r="DJ180" s="86">
        <f t="shared" si="254"/>
        <v>0.5</v>
      </c>
      <c r="DK180" s="86">
        <f t="shared" si="255"/>
        <v>0.5</v>
      </c>
      <c r="DL180" s="30" t="e">
        <f t="shared" ca="1" si="288"/>
        <v>#DIV/0!</v>
      </c>
      <c r="DM180" s="85" t="e">
        <f ca="1">IF(CS180&lt;=Hypothèses!$V$7,Hypothèses!$W$7,IF(CS180&lt;=Hypothèses!$V$8,Hypothèses!$W$8,IF(CS180&lt;=Hypothèses!$V$9,Hypothèses!$W$9,IF(CS180&lt;=Hypothèses!$V$10,Hypothèses!$W$10,IF(CS180&lt;=Hypothèses!$V$11,Hypothèses!$W$11,IF(CS180&lt;=Hypothèses!$V$12,Hypothèses!$W$12,IF(CS180&lt;=Hypothèses!$V$13,Hypothèses!$W$13,IF(CS180&lt;=Hypothèses!$V$14,Hypothèses!$W$14,IF(CS180&lt;=Hypothèses!$V$15,Hypothèses!$W$15,IF(CS180&lt;=Hypothèses!$V$16,Hypothèses!$W$16,IF(CS180&lt;=Hypothèses!$V$17,Hypothèses!$W$17,IF(CS180&lt;=Hypothèses!$V$18,Hypothèses!$W$18,""))))))))))))</f>
        <v>#DIV/0!</v>
      </c>
      <c r="DN180" s="87" t="e">
        <f t="shared" ca="1" si="321"/>
        <v>#DIV/0!</v>
      </c>
      <c r="DO180" s="88" t="e">
        <f ca="1">IF(CS180&lt;=Hypothèses!$V$7,Hypothèses!$X$7,IF(CS180&lt;=Hypothèses!$V$8,Hypothèses!$X$8,IF(CS180&lt;=Hypothèses!$V$9,Hypothèses!$X$9,IF(CS180&lt;=Hypothèses!$V$10,Hypothèses!$X$10,IF(CS180&lt;=Hypothèses!$V$11,Hypothèses!$X$11,IF(CS180&lt;=Hypothèses!$V$12,Hypothèses!$X$12,IF(CS180&lt;=Hypothèses!$V$13,Hypothèses!$X$13,IF(CS180&lt;=Hypothèses!$V$14,Hypothèses!$X$14,IF(CS180&lt;=Hypothèses!$V$15,Hypothèses!$X$15,IF(CS180&lt;=Hypothèses!$V$16,Hypothèses!$X$16,IF(CS180&lt;=Hypothèses!$U$17,Hypothèses!$W$17,IF(CS180&lt;=Hypothèses!$U$18,Hypothèses!$W$18,""))))))))))))</f>
        <v>#DIV/0!</v>
      </c>
      <c r="DP180" s="95" t="e">
        <f t="shared" ca="1" si="289"/>
        <v>#DIV/0!</v>
      </c>
      <c r="DQ180" s="101">
        <f t="shared" si="328"/>
        <v>0</v>
      </c>
      <c r="DR180" s="91">
        <f t="shared" si="256"/>
        <v>0</v>
      </c>
      <c r="DS180" s="30" t="e">
        <f t="shared" si="310"/>
        <v>#N/A</v>
      </c>
      <c r="DT180" s="30" t="e">
        <f t="shared" si="311"/>
        <v>#N/A</v>
      </c>
      <c r="DU180" s="31" t="e">
        <f>IF(OR(Hypothèses!$B$4=17,Hypothèses!$B$4=18,Hypothèses!$B$4=19,Hypothèses!$B$4=20),
IF($D180="Pressio.",
IF(OR($E180=3,$E180=1,$E180=4),DT180,DS180),
IF($D180="Pénétro.",
IF(OR($E180=3,$E180=1,$E180=4),DT180,DS180))),IF($D180="Pressio.",
IF($E180=3,DT180,DS180),
IF($D180="Pénétro.",
IF($E180=4,DT180,DS180))))</f>
        <v>#N/A</v>
      </c>
      <c r="DV180" s="31">
        <v>0</v>
      </c>
      <c r="DW180" s="102" t="e">
        <f>IF(NDC!$H$10="Oui",(VLOOKUP($B$3,'Coeff EC7'!$T$39:$X$59,2,0)*DU180+VLOOKUP($B$3,'Coeff EC7'!$T$65:$X$85,2,0)*Model0.1T!DV180)/1.5,PI()*DS$12*$Q180*($B180-$B179)*0.15/10+DW179)</f>
        <v>#N/A</v>
      </c>
      <c r="DX180" s="102" t="e">
        <f>(VLOOKUP($B$3,'Coeff EC7'!$T$39:$X$59,3,0)*DU180+VLOOKUP($B$3,'Coeff EC7'!$T$65:$X$85,3,0)*Model0.1T!DV180)/1.1</f>
        <v>#N/A</v>
      </c>
      <c r="DY180" s="102" t="e">
        <f t="shared" si="290"/>
        <v>#N/A</v>
      </c>
      <c r="DZ180" s="102" t="e">
        <f t="shared" si="291"/>
        <v>#N/A</v>
      </c>
      <c r="EA180" s="414" t="e">
        <f>IF(AND(DW180&gt;NDC!$C$63,DX180&gt;NDC!$C$65,DY180&gt;NDC!$D$73,DZ180&gt;NDC!$D$74,$B180&gt;NDC!$H$22-0.1+MIN(3*EA$12,1.5)),0,1)</f>
        <v>#N/A</v>
      </c>
      <c r="EB180" s="86" t="b">
        <f t="shared" si="257"/>
        <v>0</v>
      </c>
      <c r="EC180" s="418">
        <f t="shared" si="258"/>
        <v>0.51</v>
      </c>
      <c r="ED180" s="86">
        <f t="shared" si="259"/>
        <v>0.51</v>
      </c>
      <c r="EE180" s="30" t="e">
        <f t="shared" ca="1" si="292"/>
        <v>#DIV/0!</v>
      </c>
      <c r="EF180" s="85" t="e">
        <f ca="1">IF(DL180&lt;=Hypothèses!$V$7,Hypothèses!$W$7,IF(DL180&lt;=Hypothèses!$V$8,Hypothèses!$W$8,IF(DL180&lt;=Hypothèses!$V$9,Hypothèses!$W$9,IF(DL180&lt;=Hypothèses!$V$10,Hypothèses!$W$10,IF(DL180&lt;=Hypothèses!$V$11,Hypothèses!$W$11,IF(DL180&lt;=Hypothèses!$V$12,Hypothèses!$W$12,IF(DL180&lt;=Hypothèses!$V$13,Hypothèses!$W$13,IF(DL180&lt;=Hypothèses!$V$14,Hypothèses!$W$14,IF(DL180&lt;=Hypothèses!$V$15,Hypothèses!$W$15,IF(DL180&lt;=Hypothèses!$V$16,Hypothèses!$W$16,IF(DL180&lt;=Hypothèses!$V$17,Hypothèses!$W$17,IF(DL180&lt;=Hypothèses!$V$18,Hypothèses!$W$18,""))))))))))))</f>
        <v>#DIV/0!</v>
      </c>
      <c r="EG180" s="87" t="e">
        <f t="shared" ca="1" si="322"/>
        <v>#DIV/0!</v>
      </c>
      <c r="EH180" s="88" t="e">
        <f ca="1">IF(DL180&lt;=Hypothèses!$V$7,Hypothèses!$X$7,IF(DL180&lt;=Hypothèses!$V$8,Hypothèses!$X$8,IF(DL180&lt;=Hypothèses!$V$9,Hypothèses!$X$9,IF(DL180&lt;=Hypothèses!$V$10,Hypothèses!$X$10,IF(DL180&lt;=Hypothèses!$V$11,Hypothèses!$X$11,IF(DL180&lt;=Hypothèses!$V$12,Hypothèses!$X$12,IF(DL180&lt;=Hypothèses!$V$13,Hypothèses!$X$13,IF(DL180&lt;=Hypothèses!$V$14,Hypothèses!$X$14,IF(DL180&lt;=Hypothèses!$V$15,Hypothèses!$X$15,IF(DL180&lt;=Hypothèses!$V$16,Hypothèses!$X$16,IF(DL180&lt;=Hypothèses!$U$17,Hypothèses!$W$17,IF(DL180&lt;=Hypothèses!$U$18,Hypothèses!$W$18,""))))))))))))</f>
        <v>#DIV/0!</v>
      </c>
      <c r="EI180" s="95" t="e">
        <f t="shared" ca="1" si="293"/>
        <v>#DIV/0!</v>
      </c>
      <c r="EJ180" s="101">
        <f t="shared" si="329"/>
        <v>0</v>
      </c>
      <c r="EK180" s="91">
        <f t="shared" si="260"/>
        <v>0</v>
      </c>
      <c r="EL180" s="30" t="e">
        <f t="shared" si="312"/>
        <v>#N/A</v>
      </c>
      <c r="EM180" s="30" t="e">
        <f t="shared" si="313"/>
        <v>#N/A</v>
      </c>
      <c r="EN180" s="31" t="e">
        <f>IF(OR(Hypothèses!$B$4=17,Hypothèses!$B$4=18,Hypothèses!$B$4=19,Hypothèses!$B$4=20),
IF($D180="Pressio.",
IF(OR($E180=3,$E180=1,$E180=4),EM180,EL180),
IF($D180="Pénétro.",
IF(OR($E180=3,$E180=1,$E180=4),EM180,EL180))),IF($D180="Pressio.",
IF($E180=3,EM180,EL180),
IF($D180="Pénétro.",
IF($E180=4,EM180,EL180))))</f>
        <v>#N/A</v>
      </c>
      <c r="EO180" s="31">
        <v>0</v>
      </c>
      <c r="EP180" s="102" t="e">
        <f>IF(NDC!$H$10="Oui",(VLOOKUP($B$3,'Coeff EC7'!$T$39:$X$59,2,0)*EN180+VLOOKUP($B$3,'Coeff EC7'!$T$65:$X$85,2,0)*Model0.1T!EO180)/1.5,PI()*EL$12*$Q180*($B180-$B179)*0.15/10+EP179)</f>
        <v>#N/A</v>
      </c>
      <c r="EQ180" s="102" t="e">
        <f>(VLOOKUP($B$3,'Coeff EC7'!$T$39:$X$59,3,0)*EN180+VLOOKUP($B$3,'Coeff EC7'!$T$65:$X$85,3,0)*Model0.1T!EO180)/1.1</f>
        <v>#N/A</v>
      </c>
      <c r="ER180" s="102" t="e">
        <f t="shared" si="294"/>
        <v>#N/A</v>
      </c>
      <c r="ES180" s="102" t="e">
        <f t="shared" si="295"/>
        <v>#N/A</v>
      </c>
      <c r="ET180" s="414" t="e">
        <f>IF(AND(EP180&gt;NDC!$C$63,EQ180&gt;NDC!$C$65,ER180&gt;NDC!$D$73,ES180&gt;NDC!$D$74,$B180&gt;NDC!$H$22-0.1+MIN(3*ET$12,1.5)),0,1)</f>
        <v>#N/A</v>
      </c>
      <c r="EU180" s="86" t="b">
        <f t="shared" si="261"/>
        <v>0</v>
      </c>
      <c r="EV180" s="86">
        <f t="shared" si="262"/>
        <v>0.61</v>
      </c>
      <c r="EW180" s="86">
        <f t="shared" si="263"/>
        <v>0.61</v>
      </c>
      <c r="EX180" s="30" t="e">
        <f t="shared" ca="1" si="296"/>
        <v>#DIV/0!</v>
      </c>
      <c r="EY180" s="85" t="e">
        <f ca="1">IF(EE180&lt;=Hypothèses!$V$7,Hypothèses!$W$7,IF(EE180&lt;=Hypothèses!$V$8,Hypothèses!$W$8,IF(EE180&lt;=Hypothèses!$V$9,Hypothèses!$W$9,IF(EE180&lt;=Hypothèses!$V$10,Hypothèses!$W$10,IF(EE180&lt;=Hypothèses!$V$11,Hypothèses!$W$11,IF(EE180&lt;=Hypothèses!$V$12,Hypothèses!$W$12,IF(EE180&lt;=Hypothèses!$V$13,Hypothèses!$W$13,IF(EE180&lt;=Hypothèses!$V$14,Hypothèses!$W$14,IF(EE180&lt;=Hypothèses!$V$15,Hypothèses!$W$15,IF(EE180&lt;=Hypothèses!$V$16,Hypothèses!$W$16,IF(EE180&lt;=Hypothèses!$V$17,Hypothèses!$W$17,IF(EE180&lt;=Hypothèses!$V$18,Hypothèses!$W$18,""))))))))))))</f>
        <v>#DIV/0!</v>
      </c>
      <c r="EZ180" s="87" t="e">
        <f t="shared" ca="1" si="323"/>
        <v>#DIV/0!</v>
      </c>
      <c r="FA180" s="88" t="e">
        <f ca="1">IF(EE180&lt;=Hypothèses!$V$7,Hypothèses!$X$7,IF(EE180&lt;=Hypothèses!$V$8,Hypothèses!$X$8,IF(EE180&lt;=Hypothèses!$V$9,Hypothèses!$X$9,IF(EE180&lt;=Hypothèses!$V$10,Hypothèses!$X$10,IF(EE180&lt;=Hypothèses!$V$11,Hypothèses!$X$11,IF(EE180&lt;=Hypothèses!$V$12,Hypothèses!$X$12,IF(EE180&lt;=Hypothèses!$V$13,Hypothèses!$X$13,IF(EE180&lt;=Hypothèses!$V$14,Hypothèses!$X$14,IF(EE180&lt;=Hypothèses!$V$15,Hypothèses!$X$15,IF(EE180&lt;=Hypothèses!$V$16,Hypothèses!$X$16,IF(EE180&lt;=Hypothèses!$U$17,Hypothèses!$W$17,IF(EE180&lt;=Hypothèses!$U$18,Hypothèses!$W$18,""))))))))))))</f>
        <v>#DIV/0!</v>
      </c>
      <c r="FB180" s="95" t="e">
        <f t="shared" ca="1" si="297"/>
        <v>#DIV/0!</v>
      </c>
      <c r="FC180" s="101">
        <f t="shared" si="330"/>
        <v>0</v>
      </c>
      <c r="FD180" s="91">
        <f t="shared" si="264"/>
        <v>0</v>
      </c>
      <c r="FE180" s="30" t="e">
        <f t="shared" si="314"/>
        <v>#N/A</v>
      </c>
      <c r="FF180" s="30" t="e">
        <f t="shared" si="315"/>
        <v>#N/A</v>
      </c>
      <c r="FG180" s="31" t="e">
        <f>IF(OR(Hypothèses!$B$4=17,Hypothèses!$B$4=18,Hypothèses!$B$4=19,Hypothèses!$B$4=20),
IF($D180="Pressio.",
IF(OR($E180=3,$E180=1,$E180=4),FF180,FE180),
IF($D180="Pénétro.",
IF(OR($E180=3,$E180=1,$E180=4),FF180,FE180))),IF($D180="Pressio.",
IF($E180=3,FF180,FE180),
IF($D180="Pénétro.",
IF($E180=4,FF180,FE180))))</f>
        <v>#N/A</v>
      </c>
      <c r="FH180" s="31">
        <v>0</v>
      </c>
      <c r="FI180" s="102" t="e">
        <f>IF(NDC!$H$10="Oui",(VLOOKUP($B$3,'Coeff EC7'!$T$39:$X$59,2,0)*FG180+VLOOKUP($B$3,'Coeff EC7'!$T$65:$X$85,2,0)*Model0.1T!FH180)/1.5,PI()*FE$12*$Q180*($B180-$B179)*0.15/10+FI179)</f>
        <v>#N/A</v>
      </c>
      <c r="FJ180" s="102" t="e">
        <f>(VLOOKUP($B$3,'Coeff EC7'!$T$39:$X$59,3,0)*FG180+VLOOKUP($B$3,'Coeff EC7'!$T$65:$X$85,3,0)*Model0.1T!FH180)/1.1</f>
        <v>#N/A</v>
      </c>
      <c r="FK180" s="102" t="e">
        <f t="shared" si="298"/>
        <v>#N/A</v>
      </c>
      <c r="FL180" s="102" t="e">
        <f t="shared" si="299"/>
        <v>#N/A</v>
      </c>
      <c r="FM180" s="414" t="e">
        <f>IF(AND(FI180&gt;NDC!$C$63,FJ180&gt;NDC!$C$65,FK180&gt;NDC!$D$73,FL180&gt;NDC!$D$74,$B180&gt;NDC!$H$22-0.1+MIN(3*FM$12,1.5)),0,1)</f>
        <v>#N/A</v>
      </c>
    </row>
    <row r="181" spans="1:169">
      <c r="A181" s="96">
        <f t="shared" si="265"/>
        <v>83.200000000000955</v>
      </c>
      <c r="B181" s="97">
        <v>16.8</v>
      </c>
      <c r="C181" s="81">
        <f>IF(B181&lt;=Hypothèses!$C$7,Hypothèses!$A$7,IF(B181&lt;=Hypothèses!$C$8,Hypothèses!$A$8,IF(B181&lt;=Hypothèses!$C$9,Hypothèses!$A$9,IF(B181&lt;=Hypothèses!$C$10,Hypothèses!$A$10,IF(B181&lt;=Hypothèses!$C$11,Hypothèses!$A$11,IF(B181&lt;=Hypothèses!$C$12,Hypothèses!$A$12,IF(B181&lt;=Hypothèses!$C$13,Hypothèses!$A$13,IF(B181&lt;=Hypothèses!$C$14,Hypothèses!$A$14,IF(B181&lt;=Hypothèses!$C$15,Hypothèses!$A$15,IF(B181&lt;=Hypothèses!$C$16,Hypothèses!$A$16,IF(B181&lt;=Hypothèses!$C$17,Hypothèses!$A$17,IF(B181&lt;=Hypothèses!$C$18,Hypothèses!$A$18,C180))))))))))))</f>
        <v>11</v>
      </c>
      <c r="D181" s="82" t="str">
        <f>IF(B181&lt;=Hypothèses!$C$7,Hypothèses!$R$7,IF(B181&lt;=Hypothèses!$C$8,Hypothèses!$R$8,IF(B181&lt;=Hypothèses!$C$9,Hypothèses!$R$9,IF(B181&lt;=Hypothèses!$C$10,Hypothèses!$R$10,IF(B181&lt;=Hypothèses!$C$11,Hypothèses!$R$11,IF(B181&lt;=Hypothèses!$C$12,Hypothèses!$R$12,IF(B181&lt;=Hypothèses!$C$13,Hypothèses!$R$13,IF(B181&lt;=Hypothèses!$C$14,Hypothèses!$R$14,IF(B181&lt;=Hypothèses!$C$15,Hypothèses!$R$15,IF(B181&lt;=Hypothèses!$C$16,Hypothèses!$R$16,IF(B181&lt;=Hypothèses!$C$17,Hypothèses!$R$17,IF(B181&lt;=Hypothèses!$C$18,Hypothèses!$R$18,D180))))))))))))</f>
        <v>Pressio.</v>
      </c>
      <c r="E181" s="82" t="e">
        <f>IF(B181&lt;=Hypothèses!$C$7,Hypothèses!$G$7,IF(B181&lt;=Hypothèses!$C$8,Hypothèses!$G$8,IF(B181&lt;=Hypothèses!$C$9,Hypothèses!$G$9,IF(B181&lt;=Hypothèses!$C$10,Hypothèses!$G$10,IF(B181&lt;=Hypothèses!$C$11,Hypothèses!$G$11,IF(B181&lt;=Hypothèses!$C$12,Hypothèses!$G$12,IF(B181&lt;=Hypothèses!$C$13,Hypothèses!$G$13,IF(B181&lt;=Hypothèses!$C$14,Hypothèses!$G$14,IF(B181&lt;=Hypothèses!$C$15,Hypothèses!$G$15,IF(B181&lt;=Hypothèses!$C$16,Hypothèses!$G$16,IF(B181&lt;=Hypothèses!$C$17,Hypothèses!$G$17,IF(B181&lt;=Hypothèses!$C$18,Hypothèses!$G$18,E180))))))))))))</f>
        <v>#N/A</v>
      </c>
      <c r="F181" s="82" t="str">
        <f>IF(B181&lt;=Hypothèses!$C$7,Hypothèses!$F$7,IF(B181&lt;=Hypothèses!$C$8,Hypothèses!$F$8,IF(B181&lt;=Hypothèses!$C$9,Hypothèses!$F$9,IF(B181&lt;=Hypothèses!$C$10,Hypothèses!$F$10,IF(B181&lt;=Hypothèses!$C$11,Hypothèses!$F$11,IF(B181&lt;=Hypothèses!$C$12,Hypothèses!$F$12,IF(B181&lt;=Hypothèses!$C$13,Hypothèses!$F$13,IF(B181&lt;=Hypothèses!$C$14,Hypothèses!$F$14,IF(B181&lt;=Hypothèses!$C$15,Hypothèses!$F$15,IF(B181&lt;=Hypothèses!$C$16,Hypothèses!$F$16,IF(B181&lt;=Hypothèses!$C$17,Hypothèses!$F$17,IF(B181&lt;=Hypothèses!$C$18,Hypothèses!$F$18,F180))))))))))))</f>
        <v/>
      </c>
      <c r="G181" s="91">
        <f t="array" ref="G181">INDEX('Coeff EC7'!$U$7:$X$27,
MATCH(Model0.1T!$B$3,'Coeff EC7'!$T$7:$T$27,0),
MATCH(Model0.1T!$D181&amp;Model0.1T!$B$4,
'Coeff EC7'!$U$6:$X$6&amp;
'Coeff EC7'!$U$5:$X$5,0))</f>
        <v>1.4</v>
      </c>
      <c r="H181" s="91">
        <f t="array" ref="H181">INDEX('Coeff EC7'!$Y$7:$AB$27,
MATCH(Model0.1T!$B$3,'Coeff EC7'!$T$7:$T$27,0),
MATCH(Model0.1T!$D181&amp;Model0.1T!$B$4,
'Coeff EC7'!$Y$6:$AB$6&amp;
'Coeff EC7'!$Y$5:$AB$5,0))</f>
        <v>1.7</v>
      </c>
      <c r="I181" s="83">
        <v>0</v>
      </c>
      <c r="J181" s="91" t="e">
        <f t="array" ref="J181">INDEX('Coeff EC7'!$D$33:$Q$33,1,MATCH(D181&amp;E181,'Coeff EC7'!$D$31:$Q$31&amp;'Coeff EC7'!$D$32:$Q$32,0))</f>
        <v>#N/A</v>
      </c>
      <c r="K181" s="91" t="e">
        <f t="array" ref="K181">INDEX('Coeff EC7'!$D$34:$Q$34,1,MATCH(D181&amp;E181,'Coeff EC7'!$D$31:$Q$31&amp;'Coeff EC7'!$D$32:$Q$32,0))</f>
        <v>#N/A</v>
      </c>
      <c r="L181" s="91" t="e">
        <f t="array" ref="L181">INDEX('Coeff EC7'!$D$35:$Q$35,1,MATCH(D181&amp;E181,'Coeff EC7'!$D$31:$Q$31&amp;'Coeff EC7'!$D$32:$Q$32,0))</f>
        <v>#N/A</v>
      </c>
      <c r="M181" s="98" t="e">
        <f t="shared" si="231"/>
        <v>#N/A</v>
      </c>
      <c r="N181" s="99" t="e">
        <f t="array" ref="N181">INDEX('Coeff EC7'!$D$7:$Q$27,MATCH($B$3,'Coeff EC7'!$C$7:$C$27,0),MATCH(D181&amp;E181,'Coeff EC7'!$D$5:$Q$5&amp;'Coeff EC7'!$D$6:$Q$6,0))</f>
        <v>#N/A</v>
      </c>
      <c r="O181" s="99" t="e">
        <f t="array" ref="O181">INDEX('Coeff EC7'!$D$41:$Q$61,MATCH($B$3,'Coeff EC7'!$C$41:$C$61,0),MATCH(D181&amp;E181,'Coeff EC7'!$D$39:$Q$39&amp;'Coeff EC7'!$D$40:$Q$40,0))</f>
        <v>#N/A</v>
      </c>
      <c r="P181" s="30" t="e">
        <f t="shared" si="266"/>
        <v>#N/A</v>
      </c>
      <c r="Q181" s="100" t="e">
        <f t="shared" si="233"/>
        <v>#N/A</v>
      </c>
      <c r="R181" s="86" t="b">
        <f t="shared" si="234"/>
        <v>0</v>
      </c>
      <c r="S181" s="86">
        <f t="shared" si="232"/>
        <v>0.5</v>
      </c>
      <c r="T181" s="86">
        <f t="shared" si="235"/>
        <v>0.5</v>
      </c>
      <c r="U181" s="30" t="e">
        <f t="shared" ca="1" si="267"/>
        <v>#DIV/0!</v>
      </c>
      <c r="V181" s="85" t="str">
        <f>IF(B181&lt;=Hypothèses!$V$7,Hypothèses!$W$7,IF(B181&lt;=Hypothèses!$V$8,Hypothèses!$W$8,IF(B181&lt;=Hypothèses!$V$9,Hypothèses!$W$9,IF(B181&lt;=Hypothèses!$V$10,Hypothèses!$W$10,IF(B181&lt;=Hypothèses!$V$11,Hypothèses!$W$11,IF(B181&lt;=Hypothèses!$V$12,Hypothèses!$W$12,IF(B181&lt;=Hypothèses!$V$13,Hypothèses!$W$13,IF(B181&lt;=Hypothèses!$V$14,Hypothèses!$W$14,IF(B181&lt;=Hypothèses!$V$15,Hypothèses!$W$15,IF(B181&lt;=Hypothèses!$V$16,Hypothèses!$W$16,IF(B181&lt;=Hypothèses!$V$17,Hypothèses!$W$17,IF(B181&lt;=Hypothèses!$V$18,Hypothèses!$W$18,""))))))))))))</f>
        <v/>
      </c>
      <c r="W181" s="87" t="e">
        <f t="shared" ca="1" si="316"/>
        <v>#DIV/0!</v>
      </c>
      <c r="X181" s="88" t="str">
        <f>IF(B181&lt;=Hypothèses!$V$7,Hypothèses!$X$7,IF(B181&lt;=Hypothèses!$V$8,Hypothèses!$X$8,IF(B181&lt;=Hypothèses!$V$9,Hypothèses!$X$9,IF(B181&lt;=Hypothèses!$V$10,Hypothèses!$X$10,IF(B181&lt;=Hypothèses!$V$11,Hypothèses!$X$11,IF(B181&lt;=Hypothèses!$V$12,Hypothèses!$X$12,IF(B181&lt;=Hypothèses!$V$13,Hypothèses!$X$13,IF(B181&lt;=Hypothèses!$V$14,Hypothèses!$X$14,IF(B181&lt;=Hypothèses!$V$15,Hypothèses!$X$15,IF(B181&lt;=Hypothèses!$V$16,Hypothèses!$X$16,IF(B181&lt;=Hypothèses!$U$17,Hypothèses!$W$17,IF(B181&lt;=Hypothèses!$U$18,Hypothèses!$W$18,""))))))))))))</f>
        <v/>
      </c>
      <c r="Y181" s="95" t="e">
        <f t="shared" ca="1" si="236"/>
        <v>#DIV/0!</v>
      </c>
      <c r="Z181" s="101">
        <f t="shared" si="237"/>
        <v>0</v>
      </c>
      <c r="AA181" s="91">
        <f t="shared" si="238"/>
        <v>0</v>
      </c>
      <c r="AB181" s="30" t="e">
        <f t="shared" si="300"/>
        <v>#N/A</v>
      </c>
      <c r="AC181" s="30" t="e">
        <f t="shared" si="301"/>
        <v>#N/A</v>
      </c>
      <c r="AD181" s="31" t="e">
        <f>IF(OR(Hypothèses!$B$4=17,Hypothèses!$B$4=18,Hypothèses!$B$4=19,Hypothèses!$B$4=20),
IF($D181="Pressio.",
IF(OR($E181=3,$E181=1,$E181=4),AC181,AB181),
IF($D181="Pénétro.",
IF(OR($E181=3,$E181=1,$E181=4),AC181,AB181))),IF($D181="Pressio.",
IF($E181=3,AC181,AB181),
IF($D181="Pénétro.",
IF($E181=4,AC181,AB181))))</f>
        <v>#N/A</v>
      </c>
      <c r="AE181" s="31">
        <v>0</v>
      </c>
      <c r="AF181" s="102" t="e">
        <f>IF(NDC!$H$10="Oui",(VLOOKUP($B$3,'Coeff EC7'!$T$39:$X$59,2,0)*AD181+VLOOKUP($B$3,'Coeff EC7'!$T$65:$X$85,2,0)*Model0.1T!AE181)/1.5,PI()*AB$12*$Q181*($B181-$B180)*0.15/10+AF180)</f>
        <v>#N/A</v>
      </c>
      <c r="AG181" s="102" t="e">
        <f>(VLOOKUP($B$3,'Coeff EC7'!$T$39:$X$59,3,0)*AD181+VLOOKUP($B$3,'Coeff EC7'!$T$65:$X$85,3,0)*Model0.1T!AE181)/1.1</f>
        <v>#N/A</v>
      </c>
      <c r="AH181" s="102" t="e">
        <f t="shared" si="268"/>
        <v>#N/A</v>
      </c>
      <c r="AI181" s="102" t="e">
        <f t="shared" si="269"/>
        <v>#N/A</v>
      </c>
      <c r="AJ181" s="414" t="e">
        <f>IF(AND(AF181&gt;NDC!$C$63,AG181&gt;NDC!$C$65,AH181&gt;NDC!$D$73,AI181&gt;NDC!$D$74,$B181&gt;NDC!$H$22-0.1+MIN(3*$AJ$12,1.5)),0,1)</f>
        <v>#N/A</v>
      </c>
      <c r="AK181" s="86" t="b">
        <f t="shared" si="239"/>
        <v>0</v>
      </c>
      <c r="AL181" s="86">
        <f t="shared" si="270"/>
        <v>0.5</v>
      </c>
      <c r="AM181" s="86">
        <f t="shared" si="240"/>
        <v>0.5</v>
      </c>
      <c r="AN181" s="30" t="e">
        <f t="shared" ca="1" si="271"/>
        <v>#DIV/0!</v>
      </c>
      <c r="AO181" s="85" t="e">
        <f ca="1">IF(U181&lt;=Hypothèses!$V$7,Hypothèses!$W$7,IF(U181&lt;=Hypothèses!$V$8,Hypothèses!$W$8,IF(U181&lt;=Hypothèses!$V$9,Hypothèses!$W$9,IF(U181&lt;=Hypothèses!$V$10,Hypothèses!$W$10,IF(U181&lt;=Hypothèses!$V$11,Hypothèses!$W$11,IF(U181&lt;=Hypothèses!$V$12,Hypothèses!$W$12,IF(U181&lt;=Hypothèses!$V$13,Hypothèses!$W$13,IF(U181&lt;=Hypothèses!$V$14,Hypothèses!$W$14,IF(U181&lt;=Hypothèses!$V$15,Hypothèses!$W$15,IF(U181&lt;=Hypothèses!$V$16,Hypothèses!$W$16,IF(U181&lt;=Hypothèses!$V$17,Hypothèses!$W$17,IF(U181&lt;=Hypothèses!$V$18,Hypothèses!$W$18,""))))))))))))</f>
        <v>#DIV/0!</v>
      </c>
      <c r="AP181" s="87" t="e">
        <f t="shared" ca="1" si="317"/>
        <v>#DIV/0!</v>
      </c>
      <c r="AQ181" s="88" t="e">
        <f ca="1">IF(U181&lt;=Hypothèses!$V$7,Hypothèses!$X$7,IF(U181&lt;=Hypothèses!$V$8,Hypothèses!$X$8,IF(U181&lt;=Hypothèses!$V$9,Hypothèses!$X$9,IF(U181&lt;=Hypothèses!$V$10,Hypothèses!$X$10,IF(U181&lt;=Hypothèses!$V$11,Hypothèses!$X$11,IF(U181&lt;=Hypothèses!$V$12,Hypothèses!$X$12,IF(U181&lt;=Hypothèses!$V$13,Hypothèses!$X$13,IF(U181&lt;=Hypothèses!$V$14,Hypothèses!$X$14,IF(U181&lt;=Hypothèses!$V$15,Hypothèses!$X$15,IF(U181&lt;=Hypothèses!$V$16,Hypothèses!$X$16,IF(U181&lt;=Hypothèses!$U$17,Hypothèses!$W$17,IF(U181&lt;=Hypothèses!$U$18,Hypothèses!$W$18,""))))))))))))</f>
        <v>#DIV/0!</v>
      </c>
      <c r="AR181" s="95" t="e">
        <f t="shared" ca="1" si="272"/>
        <v>#DIV/0!</v>
      </c>
      <c r="AS181" s="101">
        <f t="shared" si="324"/>
        <v>0</v>
      </c>
      <c r="AT181" s="91">
        <f t="shared" si="241"/>
        <v>0</v>
      </c>
      <c r="AU181" s="30" t="e">
        <f t="shared" si="302"/>
        <v>#N/A</v>
      </c>
      <c r="AV181" s="30" t="e">
        <f t="shared" si="303"/>
        <v>#N/A</v>
      </c>
      <c r="AW181" s="31" t="e">
        <f>IF(OR(Hypothèses!$B$4=17,Hypothèses!$B$4=18,Hypothèses!$B$4=19,Hypothèses!$B$4=20),
IF($D181="Pressio.",
IF(OR($E181=3,$E181=1,$E181=4),AV181,AU181),
IF($D181="Pénétro.",
IF(OR($E181=3,$E181=1,$E181=4),AV181,AU181))),IF($D181="Pressio.",
IF($E181=3,AV181,AU181),
IF($D181="Pénétro.",
IF($E181=4,AV181,AU181))))</f>
        <v>#N/A</v>
      </c>
      <c r="AX181" s="31">
        <v>0</v>
      </c>
      <c r="AY181" s="102" t="e">
        <f>IF(NDC!$H$10="Oui",(VLOOKUP($B$3,'Coeff EC7'!$T$39:$X$59,2,0)*AW181+VLOOKUP($B$3,'Coeff EC7'!$T$65:$X$85,2,0)*Model0.1T!AX181)/1.5,PI()*AU$12*$Q181*($B181-$B180)*0.15/10+AY180)</f>
        <v>#N/A</v>
      </c>
      <c r="AZ181" s="102" t="e">
        <f>(VLOOKUP($B$3,'Coeff EC7'!$T$39:$X$59,3,0)*AW181+VLOOKUP($B$3,'Coeff EC7'!$T$65:$X$85,3,0)*Model0.1T!AX181)/1.1</f>
        <v>#N/A</v>
      </c>
      <c r="BA181" s="102" t="e">
        <f t="shared" si="273"/>
        <v>#N/A</v>
      </c>
      <c r="BB181" s="102" t="e">
        <f t="shared" si="274"/>
        <v>#N/A</v>
      </c>
      <c r="BC181" s="414" t="e">
        <f>IF(AND(AY181&gt;NDC!$C$63,AZ181&gt;NDC!$C$65,BA181&gt;NDC!$D$73,BB181&gt;NDC!$D$74,$B181&gt;NDC!$H$22-0.1+MIN(3*BC$12,1.5)),0,1)</f>
        <v>#N/A</v>
      </c>
      <c r="BD181" s="86" t="b">
        <f t="shared" si="242"/>
        <v>0</v>
      </c>
      <c r="BE181" s="86">
        <f t="shared" si="275"/>
        <v>0.5</v>
      </c>
      <c r="BF181" s="86">
        <f t="shared" si="243"/>
        <v>0.5</v>
      </c>
      <c r="BG181" s="30" t="e">
        <f t="shared" ca="1" si="276"/>
        <v>#DIV/0!</v>
      </c>
      <c r="BH181" s="85" t="e">
        <f ca="1">IF(AN181&lt;=Hypothèses!$V$7,Hypothèses!$W$7,IF(AN181&lt;=Hypothèses!$V$8,Hypothèses!$W$8,IF(AN181&lt;=Hypothèses!$V$9,Hypothèses!$W$9,IF(AN181&lt;=Hypothèses!$V$10,Hypothèses!$W$10,IF(AN181&lt;=Hypothèses!$V$11,Hypothèses!$W$11,IF(AN181&lt;=Hypothèses!$V$12,Hypothèses!$W$12,IF(AN181&lt;=Hypothèses!$V$13,Hypothèses!$W$13,IF(AN181&lt;=Hypothèses!$V$14,Hypothèses!$W$14,IF(AN181&lt;=Hypothèses!$V$15,Hypothèses!$W$15,IF(AN181&lt;=Hypothèses!$V$16,Hypothèses!$W$16,IF(AN181&lt;=Hypothèses!$V$17,Hypothèses!$W$17,IF(AN181&lt;=Hypothèses!$V$18,Hypothèses!$W$18,""))))))))))))</f>
        <v>#DIV/0!</v>
      </c>
      <c r="BI181" s="87" t="e">
        <f t="shared" ca="1" si="318"/>
        <v>#DIV/0!</v>
      </c>
      <c r="BJ181" s="88" t="e">
        <f ca="1">IF(AN181&lt;=Hypothèses!$V$7,Hypothèses!$X$7,IF(AN181&lt;=Hypothèses!$V$8,Hypothèses!$X$8,IF(AN181&lt;=Hypothèses!$V$9,Hypothèses!$X$9,IF(AN181&lt;=Hypothèses!$V$10,Hypothèses!$X$10,IF(AN181&lt;=Hypothèses!$V$11,Hypothèses!$X$11,IF(AN181&lt;=Hypothèses!$V$12,Hypothèses!$X$12,IF(AN181&lt;=Hypothèses!$V$13,Hypothèses!$X$13,IF(AN181&lt;=Hypothèses!$V$14,Hypothèses!$X$14,IF(AN181&lt;=Hypothèses!$V$15,Hypothèses!$X$15,IF(AN181&lt;=Hypothèses!$V$16,Hypothèses!$X$16,IF(AN181&lt;=Hypothèses!$U$17,Hypothèses!$W$17,IF(AN181&lt;=Hypothèses!$U$18,Hypothèses!$W$18,""))))))))))))</f>
        <v>#DIV/0!</v>
      </c>
      <c r="BK181" s="95" t="e">
        <f t="shared" ca="1" si="277"/>
        <v>#DIV/0!</v>
      </c>
      <c r="BL181" s="101">
        <f t="shared" si="325"/>
        <v>0</v>
      </c>
      <c r="BM181" s="91">
        <f t="shared" si="244"/>
        <v>0</v>
      </c>
      <c r="BN181" s="30" t="e">
        <f t="shared" si="304"/>
        <v>#N/A</v>
      </c>
      <c r="BO181" s="30" t="e">
        <f t="shared" si="305"/>
        <v>#N/A</v>
      </c>
      <c r="BP181" s="31" t="e">
        <f>IF(OR(Hypothèses!$B$4=17,Hypothèses!$B$4=18,Hypothèses!$B$4=19,Hypothèses!$B$4=20),
IF($D181="Pressio.",
IF(OR($E181=3,$E181=1,$E181=4),BO181,BN181),
IF($D181="Pénétro.",
IF(OR($E181=3,$E181=1,$E181=4),BO181,BN181))),IF($D181="Pressio.",
IF($E181=3,BO181,BN181),
IF($D181="Pénétro.",
IF($E181=4,BO181,BN181))))</f>
        <v>#N/A</v>
      </c>
      <c r="BQ181" s="31">
        <v>0</v>
      </c>
      <c r="BR181" s="102" t="e">
        <f>IF(NDC!$H$10="Oui",(VLOOKUP($B$3,'Coeff EC7'!$T$39:$X$59,2,0)*BP181+VLOOKUP($B$3,'Coeff EC7'!$T$65:$X$85,2,0)*Model0.1T!BQ181)/1.5,PI()*BN$12*$Q181*($B181-$B180)*0.15/10+BR180)</f>
        <v>#N/A</v>
      </c>
      <c r="BS181" s="102" t="e">
        <f>(VLOOKUP($B$3,'Coeff EC7'!$T$39:$X$59,3,0)*BP181+VLOOKUP($B$3,'Coeff EC7'!$T$65:$X$85,3,0)*Model0.1T!BQ181)/1.1</f>
        <v>#N/A</v>
      </c>
      <c r="BT181" s="102" t="e">
        <f t="shared" si="278"/>
        <v>#N/A</v>
      </c>
      <c r="BU181" s="102" t="e">
        <f t="shared" si="279"/>
        <v>#N/A</v>
      </c>
      <c r="BV181" s="414" t="e">
        <f>IF(AND(BR181&gt;NDC!$C$63,BS181&gt;NDC!$C$65,BT181&gt;NDC!$D$73,BU181&gt;NDC!$D$74,$B181&gt;NDC!$H$22-0.1+MIN(3*BV$12,1.5)),0,1)</f>
        <v>#N/A</v>
      </c>
      <c r="BW181" s="86" t="b">
        <f t="shared" si="245"/>
        <v>0</v>
      </c>
      <c r="BX181" s="86">
        <f t="shared" si="246"/>
        <v>0.5</v>
      </c>
      <c r="BY181" s="86">
        <f t="shared" si="247"/>
        <v>0.5</v>
      </c>
      <c r="BZ181" s="30" t="e">
        <f t="shared" ca="1" si="280"/>
        <v>#DIV/0!</v>
      </c>
      <c r="CA181" s="85" t="e">
        <f ca="1">IF(BG181&lt;=Hypothèses!$V$7,Hypothèses!$W$7,IF(BG181&lt;=Hypothèses!$V$8,Hypothèses!$W$8,IF(BG181&lt;=Hypothèses!$V$9,Hypothèses!$W$9,IF(BG181&lt;=Hypothèses!$V$10,Hypothèses!$W$10,IF(BG181&lt;=Hypothèses!$V$11,Hypothèses!$W$11,IF(BG181&lt;=Hypothèses!$V$12,Hypothèses!$W$12,IF(BG181&lt;=Hypothèses!$V$13,Hypothèses!$W$13,IF(BG181&lt;=Hypothèses!$V$14,Hypothèses!$W$14,IF(BG181&lt;=Hypothèses!$V$15,Hypothèses!$W$15,IF(BG181&lt;=Hypothèses!$V$16,Hypothèses!$W$16,IF(BG181&lt;=Hypothèses!$V$17,Hypothèses!$W$17,IF(BG181&lt;=Hypothèses!$V$18,Hypothèses!$W$18,""))))))))))))</f>
        <v>#DIV/0!</v>
      </c>
      <c r="CB181" s="87" t="e">
        <f t="shared" ca="1" si="319"/>
        <v>#DIV/0!</v>
      </c>
      <c r="CC181" s="88" t="e">
        <f ca="1">IF(BG181&lt;=Hypothèses!$V$7,Hypothèses!$X$7,IF(BG181&lt;=Hypothèses!$V$8,Hypothèses!$X$8,IF(BG181&lt;=Hypothèses!$V$9,Hypothèses!$X$9,IF(BG181&lt;=Hypothèses!$V$10,Hypothèses!$X$10,IF(BG181&lt;=Hypothèses!$V$11,Hypothèses!$X$11,IF(BG181&lt;=Hypothèses!$V$12,Hypothèses!$X$12,IF(BG181&lt;=Hypothèses!$V$13,Hypothèses!$X$13,IF(BG181&lt;=Hypothèses!$V$14,Hypothèses!$X$14,IF(BG181&lt;=Hypothèses!$V$15,Hypothèses!$X$15,IF(BG181&lt;=Hypothèses!$V$16,Hypothèses!$X$16,IF(BG181&lt;=Hypothèses!$U$17,Hypothèses!$W$17,IF(BG181&lt;=Hypothèses!$U$18,Hypothèses!$W$18,""))))))))))))</f>
        <v>#DIV/0!</v>
      </c>
      <c r="CD181" s="95" t="e">
        <f t="shared" ca="1" si="281"/>
        <v>#DIV/0!</v>
      </c>
      <c r="CE181" s="101">
        <f t="shared" si="326"/>
        <v>0</v>
      </c>
      <c r="CF181" s="91">
        <f t="shared" si="248"/>
        <v>0</v>
      </c>
      <c r="CG181" s="30" t="e">
        <f t="shared" si="306"/>
        <v>#N/A</v>
      </c>
      <c r="CH181" s="30" t="e">
        <f t="shared" si="307"/>
        <v>#N/A</v>
      </c>
      <c r="CI181" s="31" t="e">
        <f>IF(OR(Hypothèses!$B$4=17,Hypothèses!$B$4=18,Hypothèses!$B$4=19,Hypothèses!$B$4=20),
IF($D181="Pressio.",
IF(OR($E181=3,$E181=1,$E181=4),CH181,CG181),
IF($D181="Pénétro.",
IF(OR($E181=3,$E181=1,$E181=4),CH181,CG181))),IF($D181="Pressio.",
IF($E181=3,CH181,CG181),
IF($D181="Pénétro.",
IF($E181=4,CH181,CG181))))</f>
        <v>#N/A</v>
      </c>
      <c r="CJ181" s="31">
        <v>0</v>
      </c>
      <c r="CK181" s="102" t="e">
        <f>IF(NDC!$H$10="Oui",(VLOOKUP($B$3,'Coeff EC7'!$T$39:$X$59,2,0)*CI181+VLOOKUP($B$3,'Coeff EC7'!$T$65:$X$85,2,0)*Model0.1T!CJ181)/1.5,PI()*CG$12*$Q181*($B181-$B180)*0.15/10+CK180)</f>
        <v>#N/A</v>
      </c>
      <c r="CL181" s="102" t="e">
        <f>(VLOOKUP($B$3,'Coeff EC7'!$T$39:$X$59,3,0)*CI181+VLOOKUP($B$3,'Coeff EC7'!$T$65:$X$85,3,0)*Model0.1T!CJ181)/1.1</f>
        <v>#N/A</v>
      </c>
      <c r="CM181" s="102" t="e">
        <f t="shared" si="282"/>
        <v>#N/A</v>
      </c>
      <c r="CN181" s="102" t="e">
        <f t="shared" si="283"/>
        <v>#N/A</v>
      </c>
      <c r="CO181" s="414" t="e">
        <f>IF(AND(CK181&gt;NDC!$C$63,CL181&gt;NDC!$C$65,CM181&gt;NDC!$D$73,CN181&gt;NDC!$D$74,$B181&gt;NDC!$H$22-0.1+MIN(3*CO$12,1.5)),0,1)</f>
        <v>#N/A</v>
      </c>
      <c r="CP181" s="86" t="b">
        <f t="shared" si="249"/>
        <v>0</v>
      </c>
      <c r="CQ181" s="86">
        <f t="shared" si="250"/>
        <v>0.5</v>
      </c>
      <c r="CR181" s="86">
        <f t="shared" si="251"/>
        <v>0.5</v>
      </c>
      <c r="CS181" s="30" t="e">
        <f t="shared" ca="1" si="284"/>
        <v>#DIV/0!</v>
      </c>
      <c r="CT181" s="85" t="e">
        <f ca="1">IF(BZ181&lt;=Hypothèses!$V$7,Hypothèses!$W$7,IF(BZ181&lt;=Hypothèses!$V$8,Hypothèses!$W$8,IF(BZ181&lt;=Hypothèses!$V$9,Hypothèses!$W$9,IF(BZ181&lt;=Hypothèses!$V$10,Hypothèses!$W$10,IF(BZ181&lt;=Hypothèses!$V$11,Hypothèses!$W$11,IF(BZ181&lt;=Hypothèses!$V$12,Hypothèses!$W$12,IF(BZ181&lt;=Hypothèses!$V$13,Hypothèses!$W$13,IF(BZ181&lt;=Hypothèses!$V$14,Hypothèses!$W$14,IF(BZ181&lt;=Hypothèses!$V$15,Hypothèses!$W$15,IF(BZ181&lt;=Hypothèses!$V$16,Hypothèses!$W$16,IF(BZ181&lt;=Hypothèses!$V$17,Hypothèses!$W$17,IF(BZ181&lt;=Hypothèses!$V$18,Hypothèses!$W$18,""))))))))))))</f>
        <v>#DIV/0!</v>
      </c>
      <c r="CU181" s="87" t="e">
        <f t="shared" ca="1" si="320"/>
        <v>#DIV/0!</v>
      </c>
      <c r="CV181" s="88" t="e">
        <f ca="1">IF(BZ181&lt;=Hypothèses!$V$7,Hypothèses!$X$7,IF(BZ181&lt;=Hypothèses!$V$8,Hypothèses!$X$8,IF(BZ181&lt;=Hypothèses!$V$9,Hypothèses!$X$9,IF(BZ181&lt;=Hypothèses!$V$10,Hypothèses!$X$10,IF(BZ181&lt;=Hypothèses!$V$11,Hypothèses!$X$11,IF(BZ181&lt;=Hypothèses!$V$12,Hypothèses!$X$12,IF(BZ181&lt;=Hypothèses!$V$13,Hypothèses!$X$13,IF(BZ181&lt;=Hypothèses!$V$14,Hypothèses!$X$14,IF(BZ181&lt;=Hypothèses!$V$15,Hypothèses!$X$15,IF(BZ181&lt;=Hypothèses!$V$16,Hypothèses!$X$16,IF(BZ181&lt;=Hypothèses!$U$17,Hypothèses!$W$17,IF(BZ181&lt;=Hypothèses!$U$18,Hypothèses!$W$18,""))))))))))))</f>
        <v>#DIV/0!</v>
      </c>
      <c r="CW181" s="95" t="e">
        <f t="shared" ca="1" si="285"/>
        <v>#DIV/0!</v>
      </c>
      <c r="CX181" s="101">
        <f t="shared" si="327"/>
        <v>0</v>
      </c>
      <c r="CY181" s="91">
        <f t="shared" si="252"/>
        <v>0</v>
      </c>
      <c r="CZ181" s="30" t="e">
        <f t="shared" si="308"/>
        <v>#N/A</v>
      </c>
      <c r="DA181" s="30" t="e">
        <f t="shared" si="309"/>
        <v>#N/A</v>
      </c>
      <c r="DB181" s="31" t="e">
        <f>IF(OR(Hypothèses!$B$4=17,Hypothèses!$B$4=18,Hypothèses!$B$4=19,Hypothèses!$B$4=20),
IF($D181="Pressio.",
IF(OR($E181=3,$E181=1,$E181=4),DA181,CZ181),
IF($D181="Pénétro.",
IF(OR($E181=3,$E181=1,$E181=4),DA181,CZ181))),IF($D181="Pressio.",
IF($E181=3,DA181,CZ181),
IF($D181="Pénétro.",
IF($E181=4,DA181,CZ181))))</f>
        <v>#N/A</v>
      </c>
      <c r="DC181" s="31">
        <v>0</v>
      </c>
      <c r="DD181" s="102" t="e">
        <f>IF(NDC!$H$10="Oui",(VLOOKUP($B$3,'Coeff EC7'!$T$39:$X$59,2,0)*DB181+VLOOKUP($B$3,'Coeff EC7'!$T$65:$X$85,2,0)*Model0.1T!DC181)/1.5,PI()*CZ$12*$Q181*($B181-$B180)*0.15/10+DD180)</f>
        <v>#N/A</v>
      </c>
      <c r="DE181" s="102" t="e">
        <f>(VLOOKUP($B$3,'Coeff EC7'!$T$39:$X$59,3,0)*DB181+VLOOKUP($B$3,'Coeff EC7'!$T$65:$X$85,3,0)*Model0.1T!DC181)/1.1</f>
        <v>#N/A</v>
      </c>
      <c r="DF181" s="102" t="e">
        <f t="shared" si="286"/>
        <v>#N/A</v>
      </c>
      <c r="DG181" s="102" t="e">
        <f t="shared" si="287"/>
        <v>#N/A</v>
      </c>
      <c r="DH181" s="414" t="e">
        <f>IF(AND(DD181&gt;NDC!$C$63,DE181&gt;NDC!$C$65,DF181&gt;NDC!$D$73,DG181&gt;NDC!$D$74,$B181&gt;NDC!$H$22-0.1+MIN(3*DH$12,1.5)),0,1)</f>
        <v>#N/A</v>
      </c>
      <c r="DI181" s="86" t="b">
        <f t="shared" si="253"/>
        <v>0</v>
      </c>
      <c r="DJ181" s="86">
        <f t="shared" si="254"/>
        <v>0.5</v>
      </c>
      <c r="DK181" s="86">
        <f t="shared" si="255"/>
        <v>0.5</v>
      </c>
      <c r="DL181" s="30" t="e">
        <f t="shared" ca="1" si="288"/>
        <v>#DIV/0!</v>
      </c>
      <c r="DM181" s="85" t="e">
        <f ca="1">IF(CS181&lt;=Hypothèses!$V$7,Hypothèses!$W$7,IF(CS181&lt;=Hypothèses!$V$8,Hypothèses!$W$8,IF(CS181&lt;=Hypothèses!$V$9,Hypothèses!$W$9,IF(CS181&lt;=Hypothèses!$V$10,Hypothèses!$W$10,IF(CS181&lt;=Hypothèses!$V$11,Hypothèses!$W$11,IF(CS181&lt;=Hypothèses!$V$12,Hypothèses!$W$12,IF(CS181&lt;=Hypothèses!$V$13,Hypothèses!$W$13,IF(CS181&lt;=Hypothèses!$V$14,Hypothèses!$W$14,IF(CS181&lt;=Hypothèses!$V$15,Hypothèses!$W$15,IF(CS181&lt;=Hypothèses!$V$16,Hypothèses!$W$16,IF(CS181&lt;=Hypothèses!$V$17,Hypothèses!$W$17,IF(CS181&lt;=Hypothèses!$V$18,Hypothèses!$W$18,""))))))))))))</f>
        <v>#DIV/0!</v>
      </c>
      <c r="DN181" s="87" t="e">
        <f t="shared" ca="1" si="321"/>
        <v>#DIV/0!</v>
      </c>
      <c r="DO181" s="88" t="e">
        <f ca="1">IF(CS181&lt;=Hypothèses!$V$7,Hypothèses!$X$7,IF(CS181&lt;=Hypothèses!$V$8,Hypothèses!$X$8,IF(CS181&lt;=Hypothèses!$V$9,Hypothèses!$X$9,IF(CS181&lt;=Hypothèses!$V$10,Hypothèses!$X$10,IF(CS181&lt;=Hypothèses!$V$11,Hypothèses!$X$11,IF(CS181&lt;=Hypothèses!$V$12,Hypothèses!$X$12,IF(CS181&lt;=Hypothèses!$V$13,Hypothèses!$X$13,IF(CS181&lt;=Hypothèses!$V$14,Hypothèses!$X$14,IF(CS181&lt;=Hypothèses!$V$15,Hypothèses!$X$15,IF(CS181&lt;=Hypothèses!$V$16,Hypothèses!$X$16,IF(CS181&lt;=Hypothèses!$U$17,Hypothèses!$W$17,IF(CS181&lt;=Hypothèses!$U$18,Hypothèses!$W$18,""))))))))))))</f>
        <v>#DIV/0!</v>
      </c>
      <c r="DP181" s="95" t="e">
        <f t="shared" ca="1" si="289"/>
        <v>#DIV/0!</v>
      </c>
      <c r="DQ181" s="101">
        <f t="shared" si="328"/>
        <v>0</v>
      </c>
      <c r="DR181" s="91">
        <f t="shared" si="256"/>
        <v>0</v>
      </c>
      <c r="DS181" s="30" t="e">
        <f t="shared" si="310"/>
        <v>#N/A</v>
      </c>
      <c r="DT181" s="30" t="e">
        <f t="shared" si="311"/>
        <v>#N/A</v>
      </c>
      <c r="DU181" s="31" t="e">
        <f>IF(OR(Hypothèses!$B$4=17,Hypothèses!$B$4=18,Hypothèses!$B$4=19,Hypothèses!$B$4=20),
IF($D181="Pressio.",
IF(OR($E181=3,$E181=1,$E181=4),DT181,DS181),
IF($D181="Pénétro.",
IF(OR($E181=3,$E181=1,$E181=4),DT181,DS181))),IF($D181="Pressio.",
IF($E181=3,DT181,DS181),
IF($D181="Pénétro.",
IF($E181=4,DT181,DS181))))</f>
        <v>#N/A</v>
      </c>
      <c r="DV181" s="31">
        <v>0</v>
      </c>
      <c r="DW181" s="102" t="e">
        <f>IF(NDC!$H$10="Oui",(VLOOKUP($B$3,'Coeff EC7'!$T$39:$X$59,2,0)*DU181+VLOOKUP($B$3,'Coeff EC7'!$T$65:$X$85,2,0)*Model0.1T!DV181)/1.5,PI()*DS$12*$Q181*($B181-$B180)*0.15/10+DW180)</f>
        <v>#N/A</v>
      </c>
      <c r="DX181" s="102" t="e">
        <f>(VLOOKUP($B$3,'Coeff EC7'!$T$39:$X$59,3,0)*DU181+VLOOKUP($B$3,'Coeff EC7'!$T$65:$X$85,3,0)*Model0.1T!DV181)/1.1</f>
        <v>#N/A</v>
      </c>
      <c r="DY181" s="102" t="e">
        <f t="shared" si="290"/>
        <v>#N/A</v>
      </c>
      <c r="DZ181" s="102" t="e">
        <f t="shared" si="291"/>
        <v>#N/A</v>
      </c>
      <c r="EA181" s="414" t="e">
        <f>IF(AND(DW181&gt;NDC!$C$63,DX181&gt;NDC!$C$65,DY181&gt;NDC!$D$73,DZ181&gt;NDC!$D$74,$B181&gt;NDC!$H$22-0.1+MIN(3*EA$12,1.5)),0,1)</f>
        <v>#N/A</v>
      </c>
      <c r="EB181" s="86" t="b">
        <f t="shared" si="257"/>
        <v>0</v>
      </c>
      <c r="EC181" s="418">
        <f t="shared" si="258"/>
        <v>0.51</v>
      </c>
      <c r="ED181" s="86">
        <f t="shared" si="259"/>
        <v>0.51</v>
      </c>
      <c r="EE181" s="30" t="e">
        <f t="shared" ca="1" si="292"/>
        <v>#DIV/0!</v>
      </c>
      <c r="EF181" s="85" t="e">
        <f ca="1">IF(DL181&lt;=Hypothèses!$V$7,Hypothèses!$W$7,IF(DL181&lt;=Hypothèses!$V$8,Hypothèses!$W$8,IF(DL181&lt;=Hypothèses!$V$9,Hypothèses!$W$9,IF(DL181&lt;=Hypothèses!$V$10,Hypothèses!$W$10,IF(DL181&lt;=Hypothèses!$V$11,Hypothèses!$W$11,IF(DL181&lt;=Hypothèses!$V$12,Hypothèses!$W$12,IF(DL181&lt;=Hypothèses!$V$13,Hypothèses!$W$13,IF(DL181&lt;=Hypothèses!$V$14,Hypothèses!$W$14,IF(DL181&lt;=Hypothèses!$V$15,Hypothèses!$W$15,IF(DL181&lt;=Hypothèses!$V$16,Hypothèses!$W$16,IF(DL181&lt;=Hypothèses!$V$17,Hypothèses!$W$17,IF(DL181&lt;=Hypothèses!$V$18,Hypothèses!$W$18,""))))))))))))</f>
        <v>#DIV/0!</v>
      </c>
      <c r="EG181" s="87" t="e">
        <f t="shared" ca="1" si="322"/>
        <v>#DIV/0!</v>
      </c>
      <c r="EH181" s="88" t="e">
        <f ca="1">IF(DL181&lt;=Hypothèses!$V$7,Hypothèses!$X$7,IF(DL181&lt;=Hypothèses!$V$8,Hypothèses!$X$8,IF(DL181&lt;=Hypothèses!$V$9,Hypothèses!$X$9,IF(DL181&lt;=Hypothèses!$V$10,Hypothèses!$X$10,IF(DL181&lt;=Hypothèses!$V$11,Hypothèses!$X$11,IF(DL181&lt;=Hypothèses!$V$12,Hypothèses!$X$12,IF(DL181&lt;=Hypothèses!$V$13,Hypothèses!$X$13,IF(DL181&lt;=Hypothèses!$V$14,Hypothèses!$X$14,IF(DL181&lt;=Hypothèses!$V$15,Hypothèses!$X$15,IF(DL181&lt;=Hypothèses!$V$16,Hypothèses!$X$16,IF(DL181&lt;=Hypothèses!$U$17,Hypothèses!$W$17,IF(DL181&lt;=Hypothèses!$U$18,Hypothèses!$W$18,""))))))))))))</f>
        <v>#DIV/0!</v>
      </c>
      <c r="EI181" s="95" t="e">
        <f t="shared" ca="1" si="293"/>
        <v>#DIV/0!</v>
      </c>
      <c r="EJ181" s="101">
        <f t="shared" si="329"/>
        <v>0</v>
      </c>
      <c r="EK181" s="91">
        <f t="shared" si="260"/>
        <v>0</v>
      </c>
      <c r="EL181" s="30" t="e">
        <f t="shared" si="312"/>
        <v>#N/A</v>
      </c>
      <c r="EM181" s="30" t="e">
        <f t="shared" si="313"/>
        <v>#N/A</v>
      </c>
      <c r="EN181" s="31" t="e">
        <f>IF(OR(Hypothèses!$B$4=17,Hypothèses!$B$4=18,Hypothèses!$B$4=19,Hypothèses!$B$4=20),
IF($D181="Pressio.",
IF(OR($E181=3,$E181=1,$E181=4),EM181,EL181),
IF($D181="Pénétro.",
IF(OR($E181=3,$E181=1,$E181=4),EM181,EL181))),IF($D181="Pressio.",
IF($E181=3,EM181,EL181),
IF($D181="Pénétro.",
IF($E181=4,EM181,EL181))))</f>
        <v>#N/A</v>
      </c>
      <c r="EO181" s="31">
        <v>0</v>
      </c>
      <c r="EP181" s="102" t="e">
        <f>IF(NDC!$H$10="Oui",(VLOOKUP($B$3,'Coeff EC7'!$T$39:$X$59,2,0)*EN181+VLOOKUP($B$3,'Coeff EC7'!$T$65:$X$85,2,0)*Model0.1T!EO181)/1.5,PI()*EL$12*$Q181*($B181-$B180)*0.15/10+EP180)</f>
        <v>#N/A</v>
      </c>
      <c r="EQ181" s="102" t="e">
        <f>(VLOOKUP($B$3,'Coeff EC7'!$T$39:$X$59,3,0)*EN181+VLOOKUP($B$3,'Coeff EC7'!$T$65:$X$85,3,0)*Model0.1T!EO181)/1.1</f>
        <v>#N/A</v>
      </c>
      <c r="ER181" s="102" t="e">
        <f t="shared" si="294"/>
        <v>#N/A</v>
      </c>
      <c r="ES181" s="102" t="e">
        <f t="shared" si="295"/>
        <v>#N/A</v>
      </c>
      <c r="ET181" s="414" t="e">
        <f>IF(AND(EP181&gt;NDC!$C$63,EQ181&gt;NDC!$C$65,ER181&gt;NDC!$D$73,ES181&gt;NDC!$D$74,$B181&gt;NDC!$H$22-0.1+MIN(3*ET$12,1.5)),0,1)</f>
        <v>#N/A</v>
      </c>
      <c r="EU181" s="86" t="b">
        <f t="shared" si="261"/>
        <v>0</v>
      </c>
      <c r="EV181" s="86">
        <f t="shared" si="262"/>
        <v>0.61</v>
      </c>
      <c r="EW181" s="86">
        <f t="shared" si="263"/>
        <v>0.61</v>
      </c>
      <c r="EX181" s="30" t="e">
        <f t="shared" ca="1" si="296"/>
        <v>#DIV/0!</v>
      </c>
      <c r="EY181" s="85" t="e">
        <f ca="1">IF(EE181&lt;=Hypothèses!$V$7,Hypothèses!$W$7,IF(EE181&lt;=Hypothèses!$V$8,Hypothèses!$W$8,IF(EE181&lt;=Hypothèses!$V$9,Hypothèses!$W$9,IF(EE181&lt;=Hypothèses!$V$10,Hypothèses!$W$10,IF(EE181&lt;=Hypothèses!$V$11,Hypothèses!$W$11,IF(EE181&lt;=Hypothèses!$V$12,Hypothèses!$W$12,IF(EE181&lt;=Hypothèses!$V$13,Hypothèses!$W$13,IF(EE181&lt;=Hypothèses!$V$14,Hypothèses!$W$14,IF(EE181&lt;=Hypothèses!$V$15,Hypothèses!$W$15,IF(EE181&lt;=Hypothèses!$V$16,Hypothèses!$W$16,IF(EE181&lt;=Hypothèses!$V$17,Hypothèses!$W$17,IF(EE181&lt;=Hypothèses!$V$18,Hypothèses!$W$18,""))))))))))))</f>
        <v>#DIV/0!</v>
      </c>
      <c r="EZ181" s="87" t="e">
        <f t="shared" ca="1" si="323"/>
        <v>#DIV/0!</v>
      </c>
      <c r="FA181" s="88" t="e">
        <f ca="1">IF(EE181&lt;=Hypothèses!$V$7,Hypothèses!$X$7,IF(EE181&lt;=Hypothèses!$V$8,Hypothèses!$X$8,IF(EE181&lt;=Hypothèses!$V$9,Hypothèses!$X$9,IF(EE181&lt;=Hypothèses!$V$10,Hypothèses!$X$10,IF(EE181&lt;=Hypothèses!$V$11,Hypothèses!$X$11,IF(EE181&lt;=Hypothèses!$V$12,Hypothèses!$X$12,IF(EE181&lt;=Hypothèses!$V$13,Hypothèses!$X$13,IF(EE181&lt;=Hypothèses!$V$14,Hypothèses!$X$14,IF(EE181&lt;=Hypothèses!$V$15,Hypothèses!$X$15,IF(EE181&lt;=Hypothèses!$V$16,Hypothèses!$X$16,IF(EE181&lt;=Hypothèses!$U$17,Hypothèses!$W$17,IF(EE181&lt;=Hypothèses!$U$18,Hypothèses!$W$18,""))))))))))))</f>
        <v>#DIV/0!</v>
      </c>
      <c r="FB181" s="95" t="e">
        <f t="shared" ca="1" si="297"/>
        <v>#DIV/0!</v>
      </c>
      <c r="FC181" s="101">
        <f t="shared" si="330"/>
        <v>0</v>
      </c>
      <c r="FD181" s="91">
        <f t="shared" si="264"/>
        <v>0</v>
      </c>
      <c r="FE181" s="30" t="e">
        <f t="shared" si="314"/>
        <v>#N/A</v>
      </c>
      <c r="FF181" s="30" t="e">
        <f t="shared" si="315"/>
        <v>#N/A</v>
      </c>
      <c r="FG181" s="31" t="e">
        <f>IF(OR(Hypothèses!$B$4=17,Hypothèses!$B$4=18,Hypothèses!$B$4=19,Hypothèses!$B$4=20),
IF($D181="Pressio.",
IF(OR($E181=3,$E181=1,$E181=4),FF181,FE181),
IF($D181="Pénétro.",
IF(OR($E181=3,$E181=1,$E181=4),FF181,FE181))),IF($D181="Pressio.",
IF($E181=3,FF181,FE181),
IF($D181="Pénétro.",
IF($E181=4,FF181,FE181))))</f>
        <v>#N/A</v>
      </c>
      <c r="FH181" s="31">
        <v>0</v>
      </c>
      <c r="FI181" s="102" t="e">
        <f>IF(NDC!$H$10="Oui",(VLOOKUP($B$3,'Coeff EC7'!$T$39:$X$59,2,0)*FG181+VLOOKUP($B$3,'Coeff EC7'!$T$65:$X$85,2,0)*Model0.1T!FH181)/1.5,PI()*FE$12*$Q181*($B181-$B180)*0.15/10+FI180)</f>
        <v>#N/A</v>
      </c>
      <c r="FJ181" s="102" t="e">
        <f>(VLOOKUP($B$3,'Coeff EC7'!$T$39:$X$59,3,0)*FG181+VLOOKUP($B$3,'Coeff EC7'!$T$65:$X$85,3,0)*Model0.1T!FH181)/1.1</f>
        <v>#N/A</v>
      </c>
      <c r="FK181" s="102" t="e">
        <f t="shared" si="298"/>
        <v>#N/A</v>
      </c>
      <c r="FL181" s="102" t="e">
        <f t="shared" si="299"/>
        <v>#N/A</v>
      </c>
      <c r="FM181" s="414" t="e">
        <f>IF(AND(FI181&gt;NDC!$C$63,FJ181&gt;NDC!$C$65,FK181&gt;NDC!$D$73,FL181&gt;NDC!$D$74,$B181&gt;NDC!$H$22-0.1+MIN(3*FM$12,1.5)),0,1)</f>
        <v>#N/A</v>
      </c>
    </row>
    <row r="182" spans="1:169">
      <c r="A182" s="96">
        <f t="shared" si="265"/>
        <v>83.100000000000961</v>
      </c>
      <c r="B182" s="97">
        <v>16.899999999999999</v>
      </c>
      <c r="C182" s="81">
        <f>IF(B182&lt;=Hypothèses!$C$7,Hypothèses!$A$7,IF(B182&lt;=Hypothèses!$C$8,Hypothèses!$A$8,IF(B182&lt;=Hypothèses!$C$9,Hypothèses!$A$9,IF(B182&lt;=Hypothèses!$C$10,Hypothèses!$A$10,IF(B182&lt;=Hypothèses!$C$11,Hypothèses!$A$11,IF(B182&lt;=Hypothèses!$C$12,Hypothèses!$A$12,IF(B182&lt;=Hypothèses!$C$13,Hypothèses!$A$13,IF(B182&lt;=Hypothèses!$C$14,Hypothèses!$A$14,IF(B182&lt;=Hypothèses!$C$15,Hypothèses!$A$15,IF(B182&lt;=Hypothèses!$C$16,Hypothèses!$A$16,IF(B182&lt;=Hypothèses!$C$17,Hypothèses!$A$17,IF(B182&lt;=Hypothèses!$C$18,Hypothèses!$A$18,C181))))))))))))</f>
        <v>11</v>
      </c>
      <c r="D182" s="82" t="str">
        <f>IF(B182&lt;=Hypothèses!$C$7,Hypothèses!$R$7,IF(B182&lt;=Hypothèses!$C$8,Hypothèses!$R$8,IF(B182&lt;=Hypothèses!$C$9,Hypothèses!$R$9,IF(B182&lt;=Hypothèses!$C$10,Hypothèses!$R$10,IF(B182&lt;=Hypothèses!$C$11,Hypothèses!$R$11,IF(B182&lt;=Hypothèses!$C$12,Hypothèses!$R$12,IF(B182&lt;=Hypothèses!$C$13,Hypothèses!$R$13,IF(B182&lt;=Hypothèses!$C$14,Hypothèses!$R$14,IF(B182&lt;=Hypothèses!$C$15,Hypothèses!$R$15,IF(B182&lt;=Hypothèses!$C$16,Hypothèses!$R$16,IF(B182&lt;=Hypothèses!$C$17,Hypothèses!$R$17,IF(B182&lt;=Hypothèses!$C$18,Hypothèses!$R$18,D181))))))))))))</f>
        <v>Pressio.</v>
      </c>
      <c r="E182" s="82" t="e">
        <f>IF(B182&lt;=Hypothèses!$C$7,Hypothèses!$G$7,IF(B182&lt;=Hypothèses!$C$8,Hypothèses!$G$8,IF(B182&lt;=Hypothèses!$C$9,Hypothèses!$G$9,IF(B182&lt;=Hypothèses!$C$10,Hypothèses!$G$10,IF(B182&lt;=Hypothèses!$C$11,Hypothèses!$G$11,IF(B182&lt;=Hypothèses!$C$12,Hypothèses!$G$12,IF(B182&lt;=Hypothèses!$C$13,Hypothèses!$G$13,IF(B182&lt;=Hypothèses!$C$14,Hypothèses!$G$14,IF(B182&lt;=Hypothèses!$C$15,Hypothèses!$G$15,IF(B182&lt;=Hypothèses!$C$16,Hypothèses!$G$16,IF(B182&lt;=Hypothèses!$C$17,Hypothèses!$G$17,IF(B182&lt;=Hypothèses!$C$18,Hypothèses!$G$18,E181))))))))))))</f>
        <v>#N/A</v>
      </c>
      <c r="F182" s="82" t="str">
        <f>IF(B182&lt;=Hypothèses!$C$7,Hypothèses!$F$7,IF(B182&lt;=Hypothèses!$C$8,Hypothèses!$F$8,IF(B182&lt;=Hypothèses!$C$9,Hypothèses!$F$9,IF(B182&lt;=Hypothèses!$C$10,Hypothèses!$F$10,IF(B182&lt;=Hypothèses!$C$11,Hypothèses!$F$11,IF(B182&lt;=Hypothèses!$C$12,Hypothèses!$F$12,IF(B182&lt;=Hypothèses!$C$13,Hypothèses!$F$13,IF(B182&lt;=Hypothèses!$C$14,Hypothèses!$F$14,IF(B182&lt;=Hypothèses!$C$15,Hypothèses!$F$15,IF(B182&lt;=Hypothèses!$C$16,Hypothèses!$F$16,IF(B182&lt;=Hypothèses!$C$17,Hypothèses!$F$17,IF(B182&lt;=Hypothèses!$C$18,Hypothèses!$F$18,F181))))))))))))</f>
        <v/>
      </c>
      <c r="G182" s="91">
        <f t="array" ref="G182">INDEX('Coeff EC7'!$U$7:$X$27,
MATCH(Model0.1T!$B$3,'Coeff EC7'!$T$7:$T$27,0),
MATCH(Model0.1T!$D182&amp;Model0.1T!$B$4,
'Coeff EC7'!$U$6:$X$6&amp;
'Coeff EC7'!$U$5:$X$5,0))</f>
        <v>1.4</v>
      </c>
      <c r="H182" s="91">
        <f t="array" ref="H182">INDEX('Coeff EC7'!$Y$7:$AB$27,
MATCH(Model0.1T!$B$3,'Coeff EC7'!$T$7:$T$27,0),
MATCH(Model0.1T!$D182&amp;Model0.1T!$B$4,
'Coeff EC7'!$Y$6:$AB$6&amp;
'Coeff EC7'!$Y$5:$AB$5,0))</f>
        <v>1.7</v>
      </c>
      <c r="I182" s="83">
        <v>0</v>
      </c>
      <c r="J182" s="91" t="e">
        <f t="array" ref="J182">INDEX('Coeff EC7'!$D$33:$Q$33,1,MATCH(D182&amp;E182,'Coeff EC7'!$D$31:$Q$31&amp;'Coeff EC7'!$D$32:$Q$32,0))</f>
        <v>#N/A</v>
      </c>
      <c r="K182" s="91" t="e">
        <f t="array" ref="K182">INDEX('Coeff EC7'!$D$34:$Q$34,1,MATCH(D182&amp;E182,'Coeff EC7'!$D$31:$Q$31&amp;'Coeff EC7'!$D$32:$Q$32,0))</f>
        <v>#N/A</v>
      </c>
      <c r="L182" s="91" t="e">
        <f t="array" ref="L182">INDEX('Coeff EC7'!$D$35:$Q$35,1,MATCH(D182&amp;E182,'Coeff EC7'!$D$31:$Q$31&amp;'Coeff EC7'!$D$32:$Q$32,0))</f>
        <v>#N/A</v>
      </c>
      <c r="M182" s="98" t="e">
        <f t="shared" si="231"/>
        <v>#N/A</v>
      </c>
      <c r="N182" s="99" t="e">
        <f t="array" ref="N182">INDEX('Coeff EC7'!$D$7:$Q$27,MATCH($B$3,'Coeff EC7'!$C$7:$C$27,0),MATCH(D182&amp;E182,'Coeff EC7'!$D$5:$Q$5&amp;'Coeff EC7'!$D$6:$Q$6,0))</f>
        <v>#N/A</v>
      </c>
      <c r="O182" s="99" t="e">
        <f t="array" ref="O182">INDEX('Coeff EC7'!$D$41:$Q$61,MATCH($B$3,'Coeff EC7'!$C$41:$C$61,0),MATCH(D182&amp;E182,'Coeff EC7'!$D$39:$Q$39&amp;'Coeff EC7'!$D$40:$Q$40,0))</f>
        <v>#N/A</v>
      </c>
      <c r="P182" s="30" t="e">
        <f t="shared" si="266"/>
        <v>#N/A</v>
      </c>
      <c r="Q182" s="100" t="e">
        <f t="shared" si="233"/>
        <v>#N/A</v>
      </c>
      <c r="R182" s="86" t="b">
        <f t="shared" si="234"/>
        <v>0</v>
      </c>
      <c r="S182" s="86">
        <f t="shared" si="232"/>
        <v>0.5</v>
      </c>
      <c r="T182" s="86">
        <f t="shared" si="235"/>
        <v>0.5</v>
      </c>
      <c r="U182" s="30" t="e">
        <f t="shared" ca="1" si="267"/>
        <v>#DIV/0!</v>
      </c>
      <c r="V182" s="85" t="str">
        <f>IF(B182&lt;=Hypothèses!$V$7,Hypothèses!$W$7,IF(B182&lt;=Hypothèses!$V$8,Hypothèses!$W$8,IF(B182&lt;=Hypothèses!$V$9,Hypothèses!$W$9,IF(B182&lt;=Hypothèses!$V$10,Hypothèses!$W$10,IF(B182&lt;=Hypothèses!$V$11,Hypothèses!$W$11,IF(B182&lt;=Hypothèses!$V$12,Hypothèses!$W$12,IF(B182&lt;=Hypothèses!$V$13,Hypothèses!$W$13,IF(B182&lt;=Hypothèses!$V$14,Hypothèses!$W$14,IF(B182&lt;=Hypothèses!$V$15,Hypothèses!$W$15,IF(B182&lt;=Hypothèses!$V$16,Hypothèses!$W$16,IF(B182&lt;=Hypothèses!$V$17,Hypothèses!$W$17,IF(B182&lt;=Hypothèses!$V$18,Hypothèses!$W$18,""))))))))))))</f>
        <v/>
      </c>
      <c r="W182" s="87" t="e">
        <f t="shared" ca="1" si="316"/>
        <v>#DIV/0!</v>
      </c>
      <c r="X182" s="88" t="str">
        <f>IF(B182&lt;=Hypothèses!$V$7,Hypothèses!$X$7,IF(B182&lt;=Hypothèses!$V$8,Hypothèses!$X$8,IF(B182&lt;=Hypothèses!$V$9,Hypothèses!$X$9,IF(B182&lt;=Hypothèses!$V$10,Hypothèses!$X$10,IF(B182&lt;=Hypothèses!$V$11,Hypothèses!$X$11,IF(B182&lt;=Hypothèses!$V$12,Hypothèses!$X$12,IF(B182&lt;=Hypothèses!$V$13,Hypothèses!$X$13,IF(B182&lt;=Hypothèses!$V$14,Hypothèses!$X$14,IF(B182&lt;=Hypothèses!$V$15,Hypothèses!$X$15,IF(B182&lt;=Hypothèses!$V$16,Hypothèses!$X$16,IF(B182&lt;=Hypothèses!$U$17,Hypothèses!$W$17,IF(B182&lt;=Hypothèses!$U$18,Hypothèses!$W$18,""))))))))))))</f>
        <v/>
      </c>
      <c r="Y182" s="95" t="e">
        <f t="shared" ca="1" si="236"/>
        <v>#DIV/0!</v>
      </c>
      <c r="Z182" s="101">
        <f t="shared" si="237"/>
        <v>0</v>
      </c>
      <c r="AA182" s="91">
        <f t="shared" si="238"/>
        <v>0</v>
      </c>
      <c r="AB182" s="30" t="e">
        <f t="shared" si="300"/>
        <v>#N/A</v>
      </c>
      <c r="AC182" s="30" t="e">
        <f t="shared" si="301"/>
        <v>#N/A</v>
      </c>
      <c r="AD182" s="31" t="e">
        <f>IF(OR(Hypothèses!$B$4=17,Hypothèses!$B$4=18,Hypothèses!$B$4=19,Hypothèses!$B$4=20),
IF($D182="Pressio.",
IF(OR($E182=3,$E182=1,$E182=4),AC182,AB182),
IF($D182="Pénétro.",
IF(OR($E182=3,$E182=1,$E182=4),AC182,AB182))),IF($D182="Pressio.",
IF($E182=3,AC182,AB182),
IF($D182="Pénétro.",
IF($E182=4,AC182,AB182))))</f>
        <v>#N/A</v>
      </c>
      <c r="AE182" s="31">
        <v>0</v>
      </c>
      <c r="AF182" s="102" t="e">
        <f>IF(NDC!$H$10="Oui",(VLOOKUP($B$3,'Coeff EC7'!$T$39:$X$59,2,0)*AD182+VLOOKUP($B$3,'Coeff EC7'!$T$65:$X$85,2,0)*Model0.1T!AE182)/1.5,PI()*AB$12*$Q182*($B182-$B181)*0.15/10+AF181)</f>
        <v>#N/A</v>
      </c>
      <c r="AG182" s="102" t="e">
        <f>(VLOOKUP($B$3,'Coeff EC7'!$T$39:$X$59,3,0)*AD182+VLOOKUP($B$3,'Coeff EC7'!$T$65:$X$85,3,0)*Model0.1T!AE182)/1.1</f>
        <v>#N/A</v>
      </c>
      <c r="AH182" s="102" t="e">
        <f t="shared" si="268"/>
        <v>#N/A</v>
      </c>
      <c r="AI182" s="102" t="e">
        <f t="shared" si="269"/>
        <v>#N/A</v>
      </c>
      <c r="AJ182" s="414" t="e">
        <f>IF(AND(AF182&gt;NDC!$C$63,AG182&gt;NDC!$C$65,AH182&gt;NDC!$D$73,AI182&gt;NDC!$D$74,$B182&gt;NDC!$H$22-0.1+MIN(3*$AJ$12,1.5)),0,1)</f>
        <v>#N/A</v>
      </c>
      <c r="AK182" s="86" t="b">
        <f t="shared" si="239"/>
        <v>0</v>
      </c>
      <c r="AL182" s="86">
        <f t="shared" si="270"/>
        <v>0.5</v>
      </c>
      <c r="AM182" s="86">
        <f t="shared" si="240"/>
        <v>0.5</v>
      </c>
      <c r="AN182" s="30" t="e">
        <f t="shared" ca="1" si="271"/>
        <v>#DIV/0!</v>
      </c>
      <c r="AO182" s="85" t="e">
        <f ca="1">IF(U182&lt;=Hypothèses!$V$7,Hypothèses!$W$7,IF(U182&lt;=Hypothèses!$V$8,Hypothèses!$W$8,IF(U182&lt;=Hypothèses!$V$9,Hypothèses!$W$9,IF(U182&lt;=Hypothèses!$V$10,Hypothèses!$W$10,IF(U182&lt;=Hypothèses!$V$11,Hypothèses!$W$11,IF(U182&lt;=Hypothèses!$V$12,Hypothèses!$W$12,IF(U182&lt;=Hypothèses!$V$13,Hypothèses!$W$13,IF(U182&lt;=Hypothèses!$V$14,Hypothèses!$W$14,IF(U182&lt;=Hypothèses!$V$15,Hypothèses!$W$15,IF(U182&lt;=Hypothèses!$V$16,Hypothèses!$W$16,IF(U182&lt;=Hypothèses!$V$17,Hypothèses!$W$17,IF(U182&lt;=Hypothèses!$V$18,Hypothèses!$W$18,""))))))))))))</f>
        <v>#DIV/0!</v>
      </c>
      <c r="AP182" s="87" t="e">
        <f t="shared" ca="1" si="317"/>
        <v>#DIV/0!</v>
      </c>
      <c r="AQ182" s="88" t="e">
        <f ca="1">IF(U182&lt;=Hypothèses!$V$7,Hypothèses!$X$7,IF(U182&lt;=Hypothèses!$V$8,Hypothèses!$X$8,IF(U182&lt;=Hypothèses!$V$9,Hypothèses!$X$9,IF(U182&lt;=Hypothèses!$V$10,Hypothèses!$X$10,IF(U182&lt;=Hypothèses!$V$11,Hypothèses!$X$11,IF(U182&lt;=Hypothèses!$V$12,Hypothèses!$X$12,IF(U182&lt;=Hypothèses!$V$13,Hypothèses!$X$13,IF(U182&lt;=Hypothèses!$V$14,Hypothèses!$X$14,IF(U182&lt;=Hypothèses!$V$15,Hypothèses!$X$15,IF(U182&lt;=Hypothèses!$V$16,Hypothèses!$X$16,IF(U182&lt;=Hypothèses!$U$17,Hypothèses!$W$17,IF(U182&lt;=Hypothèses!$U$18,Hypothèses!$W$18,""))))))))))))</f>
        <v>#DIV/0!</v>
      </c>
      <c r="AR182" s="95" t="e">
        <f t="shared" ca="1" si="272"/>
        <v>#DIV/0!</v>
      </c>
      <c r="AS182" s="101">
        <f t="shared" si="324"/>
        <v>0</v>
      </c>
      <c r="AT182" s="91">
        <f t="shared" si="241"/>
        <v>0</v>
      </c>
      <c r="AU182" s="30" t="e">
        <f t="shared" si="302"/>
        <v>#N/A</v>
      </c>
      <c r="AV182" s="30" t="e">
        <f t="shared" si="303"/>
        <v>#N/A</v>
      </c>
      <c r="AW182" s="31" t="e">
        <f>IF(OR(Hypothèses!$B$4=17,Hypothèses!$B$4=18,Hypothèses!$B$4=19,Hypothèses!$B$4=20),
IF($D182="Pressio.",
IF(OR($E182=3,$E182=1,$E182=4),AV182,AU182),
IF($D182="Pénétro.",
IF(OR($E182=3,$E182=1,$E182=4),AV182,AU182))),IF($D182="Pressio.",
IF($E182=3,AV182,AU182),
IF($D182="Pénétro.",
IF($E182=4,AV182,AU182))))</f>
        <v>#N/A</v>
      </c>
      <c r="AX182" s="31">
        <v>0</v>
      </c>
      <c r="AY182" s="102" t="e">
        <f>IF(NDC!$H$10="Oui",(VLOOKUP($B$3,'Coeff EC7'!$T$39:$X$59,2,0)*AW182+VLOOKUP($B$3,'Coeff EC7'!$T$65:$X$85,2,0)*Model0.1T!AX182)/1.5,PI()*AU$12*$Q182*($B182-$B181)*0.15/10+AY181)</f>
        <v>#N/A</v>
      </c>
      <c r="AZ182" s="102" t="e">
        <f>(VLOOKUP($B$3,'Coeff EC7'!$T$39:$X$59,3,0)*AW182+VLOOKUP($B$3,'Coeff EC7'!$T$65:$X$85,3,0)*Model0.1T!AX182)/1.1</f>
        <v>#N/A</v>
      </c>
      <c r="BA182" s="102" t="e">
        <f t="shared" si="273"/>
        <v>#N/A</v>
      </c>
      <c r="BB182" s="102" t="e">
        <f t="shared" si="274"/>
        <v>#N/A</v>
      </c>
      <c r="BC182" s="414" t="e">
        <f>IF(AND(AY182&gt;NDC!$C$63,AZ182&gt;NDC!$C$65,BA182&gt;NDC!$D$73,BB182&gt;NDC!$D$74,$B182&gt;NDC!$H$22-0.1+MIN(3*BC$12,1.5)),0,1)</f>
        <v>#N/A</v>
      </c>
      <c r="BD182" s="86" t="b">
        <f t="shared" si="242"/>
        <v>0</v>
      </c>
      <c r="BE182" s="86">
        <f t="shared" si="275"/>
        <v>0.5</v>
      </c>
      <c r="BF182" s="86">
        <f t="shared" si="243"/>
        <v>0.5</v>
      </c>
      <c r="BG182" s="30" t="e">
        <f t="shared" ca="1" si="276"/>
        <v>#DIV/0!</v>
      </c>
      <c r="BH182" s="85" t="e">
        <f ca="1">IF(AN182&lt;=Hypothèses!$V$7,Hypothèses!$W$7,IF(AN182&lt;=Hypothèses!$V$8,Hypothèses!$W$8,IF(AN182&lt;=Hypothèses!$V$9,Hypothèses!$W$9,IF(AN182&lt;=Hypothèses!$V$10,Hypothèses!$W$10,IF(AN182&lt;=Hypothèses!$V$11,Hypothèses!$W$11,IF(AN182&lt;=Hypothèses!$V$12,Hypothèses!$W$12,IF(AN182&lt;=Hypothèses!$V$13,Hypothèses!$W$13,IF(AN182&lt;=Hypothèses!$V$14,Hypothèses!$W$14,IF(AN182&lt;=Hypothèses!$V$15,Hypothèses!$W$15,IF(AN182&lt;=Hypothèses!$V$16,Hypothèses!$W$16,IF(AN182&lt;=Hypothèses!$V$17,Hypothèses!$W$17,IF(AN182&lt;=Hypothèses!$V$18,Hypothèses!$W$18,""))))))))))))</f>
        <v>#DIV/0!</v>
      </c>
      <c r="BI182" s="87" t="e">
        <f t="shared" ca="1" si="318"/>
        <v>#DIV/0!</v>
      </c>
      <c r="BJ182" s="88" t="e">
        <f ca="1">IF(AN182&lt;=Hypothèses!$V$7,Hypothèses!$X$7,IF(AN182&lt;=Hypothèses!$V$8,Hypothèses!$X$8,IF(AN182&lt;=Hypothèses!$V$9,Hypothèses!$X$9,IF(AN182&lt;=Hypothèses!$V$10,Hypothèses!$X$10,IF(AN182&lt;=Hypothèses!$V$11,Hypothèses!$X$11,IF(AN182&lt;=Hypothèses!$V$12,Hypothèses!$X$12,IF(AN182&lt;=Hypothèses!$V$13,Hypothèses!$X$13,IF(AN182&lt;=Hypothèses!$V$14,Hypothèses!$X$14,IF(AN182&lt;=Hypothèses!$V$15,Hypothèses!$X$15,IF(AN182&lt;=Hypothèses!$V$16,Hypothèses!$X$16,IF(AN182&lt;=Hypothèses!$U$17,Hypothèses!$W$17,IF(AN182&lt;=Hypothèses!$U$18,Hypothèses!$W$18,""))))))))))))</f>
        <v>#DIV/0!</v>
      </c>
      <c r="BK182" s="95" t="e">
        <f t="shared" ca="1" si="277"/>
        <v>#DIV/0!</v>
      </c>
      <c r="BL182" s="101">
        <f t="shared" si="325"/>
        <v>0</v>
      </c>
      <c r="BM182" s="91">
        <f t="shared" si="244"/>
        <v>0</v>
      </c>
      <c r="BN182" s="30" t="e">
        <f t="shared" si="304"/>
        <v>#N/A</v>
      </c>
      <c r="BO182" s="30" t="e">
        <f t="shared" si="305"/>
        <v>#N/A</v>
      </c>
      <c r="BP182" s="31" t="e">
        <f>IF(OR(Hypothèses!$B$4=17,Hypothèses!$B$4=18,Hypothèses!$B$4=19,Hypothèses!$B$4=20),
IF($D182="Pressio.",
IF(OR($E182=3,$E182=1,$E182=4),BO182,BN182),
IF($D182="Pénétro.",
IF(OR($E182=3,$E182=1,$E182=4),BO182,BN182))),IF($D182="Pressio.",
IF($E182=3,BO182,BN182),
IF($D182="Pénétro.",
IF($E182=4,BO182,BN182))))</f>
        <v>#N/A</v>
      </c>
      <c r="BQ182" s="31">
        <v>0</v>
      </c>
      <c r="BR182" s="102" t="e">
        <f>IF(NDC!$H$10="Oui",(VLOOKUP($B$3,'Coeff EC7'!$T$39:$X$59,2,0)*BP182+VLOOKUP($B$3,'Coeff EC7'!$T$65:$X$85,2,0)*Model0.1T!BQ182)/1.5,PI()*BN$12*$Q182*($B182-$B181)*0.15/10+BR181)</f>
        <v>#N/A</v>
      </c>
      <c r="BS182" s="102" t="e">
        <f>(VLOOKUP($B$3,'Coeff EC7'!$T$39:$X$59,3,0)*BP182+VLOOKUP($B$3,'Coeff EC7'!$T$65:$X$85,3,0)*Model0.1T!BQ182)/1.1</f>
        <v>#N/A</v>
      </c>
      <c r="BT182" s="102" t="e">
        <f t="shared" si="278"/>
        <v>#N/A</v>
      </c>
      <c r="BU182" s="102" t="e">
        <f t="shared" si="279"/>
        <v>#N/A</v>
      </c>
      <c r="BV182" s="414" t="e">
        <f>IF(AND(BR182&gt;NDC!$C$63,BS182&gt;NDC!$C$65,BT182&gt;NDC!$D$73,BU182&gt;NDC!$D$74,$B182&gt;NDC!$H$22-0.1+MIN(3*BV$12,1.5)),0,1)</f>
        <v>#N/A</v>
      </c>
      <c r="BW182" s="86" t="b">
        <f t="shared" si="245"/>
        <v>0</v>
      </c>
      <c r="BX182" s="86">
        <f t="shared" si="246"/>
        <v>0.5</v>
      </c>
      <c r="BY182" s="86">
        <f t="shared" si="247"/>
        <v>0.5</v>
      </c>
      <c r="BZ182" s="30" t="e">
        <f t="shared" ca="1" si="280"/>
        <v>#DIV/0!</v>
      </c>
      <c r="CA182" s="85" t="e">
        <f ca="1">IF(BG182&lt;=Hypothèses!$V$7,Hypothèses!$W$7,IF(BG182&lt;=Hypothèses!$V$8,Hypothèses!$W$8,IF(BG182&lt;=Hypothèses!$V$9,Hypothèses!$W$9,IF(BG182&lt;=Hypothèses!$V$10,Hypothèses!$W$10,IF(BG182&lt;=Hypothèses!$V$11,Hypothèses!$W$11,IF(BG182&lt;=Hypothèses!$V$12,Hypothèses!$W$12,IF(BG182&lt;=Hypothèses!$V$13,Hypothèses!$W$13,IF(BG182&lt;=Hypothèses!$V$14,Hypothèses!$W$14,IF(BG182&lt;=Hypothèses!$V$15,Hypothèses!$W$15,IF(BG182&lt;=Hypothèses!$V$16,Hypothèses!$W$16,IF(BG182&lt;=Hypothèses!$V$17,Hypothèses!$W$17,IF(BG182&lt;=Hypothèses!$V$18,Hypothèses!$W$18,""))))))))))))</f>
        <v>#DIV/0!</v>
      </c>
      <c r="CB182" s="87" t="e">
        <f t="shared" ca="1" si="319"/>
        <v>#DIV/0!</v>
      </c>
      <c r="CC182" s="88" t="e">
        <f ca="1">IF(BG182&lt;=Hypothèses!$V$7,Hypothèses!$X$7,IF(BG182&lt;=Hypothèses!$V$8,Hypothèses!$X$8,IF(BG182&lt;=Hypothèses!$V$9,Hypothèses!$X$9,IF(BG182&lt;=Hypothèses!$V$10,Hypothèses!$X$10,IF(BG182&lt;=Hypothèses!$V$11,Hypothèses!$X$11,IF(BG182&lt;=Hypothèses!$V$12,Hypothèses!$X$12,IF(BG182&lt;=Hypothèses!$V$13,Hypothèses!$X$13,IF(BG182&lt;=Hypothèses!$V$14,Hypothèses!$X$14,IF(BG182&lt;=Hypothèses!$V$15,Hypothèses!$X$15,IF(BG182&lt;=Hypothèses!$V$16,Hypothèses!$X$16,IF(BG182&lt;=Hypothèses!$U$17,Hypothèses!$W$17,IF(BG182&lt;=Hypothèses!$U$18,Hypothèses!$W$18,""))))))))))))</f>
        <v>#DIV/0!</v>
      </c>
      <c r="CD182" s="95" t="e">
        <f t="shared" ca="1" si="281"/>
        <v>#DIV/0!</v>
      </c>
      <c r="CE182" s="101">
        <f t="shared" si="326"/>
        <v>0</v>
      </c>
      <c r="CF182" s="91">
        <f t="shared" si="248"/>
        <v>0</v>
      </c>
      <c r="CG182" s="30" t="e">
        <f t="shared" si="306"/>
        <v>#N/A</v>
      </c>
      <c r="CH182" s="30" t="e">
        <f t="shared" si="307"/>
        <v>#N/A</v>
      </c>
      <c r="CI182" s="31" t="e">
        <f>IF(OR(Hypothèses!$B$4=17,Hypothèses!$B$4=18,Hypothèses!$B$4=19,Hypothèses!$B$4=20),
IF($D182="Pressio.",
IF(OR($E182=3,$E182=1,$E182=4),CH182,CG182),
IF($D182="Pénétro.",
IF(OR($E182=3,$E182=1,$E182=4),CH182,CG182))),IF($D182="Pressio.",
IF($E182=3,CH182,CG182),
IF($D182="Pénétro.",
IF($E182=4,CH182,CG182))))</f>
        <v>#N/A</v>
      </c>
      <c r="CJ182" s="31">
        <v>0</v>
      </c>
      <c r="CK182" s="102" t="e">
        <f>IF(NDC!$H$10="Oui",(VLOOKUP($B$3,'Coeff EC7'!$T$39:$X$59,2,0)*CI182+VLOOKUP($B$3,'Coeff EC7'!$T$65:$X$85,2,0)*Model0.1T!CJ182)/1.5,PI()*CG$12*$Q182*($B182-$B181)*0.15/10+CK181)</f>
        <v>#N/A</v>
      </c>
      <c r="CL182" s="102" t="e">
        <f>(VLOOKUP($B$3,'Coeff EC7'!$T$39:$X$59,3,0)*CI182+VLOOKUP($B$3,'Coeff EC7'!$T$65:$X$85,3,0)*Model0.1T!CJ182)/1.1</f>
        <v>#N/A</v>
      </c>
      <c r="CM182" s="102" t="e">
        <f t="shared" si="282"/>
        <v>#N/A</v>
      </c>
      <c r="CN182" s="102" t="e">
        <f t="shared" si="283"/>
        <v>#N/A</v>
      </c>
      <c r="CO182" s="414" t="e">
        <f>IF(AND(CK182&gt;NDC!$C$63,CL182&gt;NDC!$C$65,CM182&gt;NDC!$D$73,CN182&gt;NDC!$D$74,$B182&gt;NDC!$H$22-0.1+MIN(3*CO$12,1.5)),0,1)</f>
        <v>#N/A</v>
      </c>
      <c r="CP182" s="86" t="b">
        <f t="shared" si="249"/>
        <v>0</v>
      </c>
      <c r="CQ182" s="86">
        <f t="shared" si="250"/>
        <v>0.5</v>
      </c>
      <c r="CR182" s="86">
        <f t="shared" si="251"/>
        <v>0.5</v>
      </c>
      <c r="CS182" s="30" t="e">
        <f t="shared" ca="1" si="284"/>
        <v>#DIV/0!</v>
      </c>
      <c r="CT182" s="85" t="e">
        <f ca="1">IF(BZ182&lt;=Hypothèses!$V$7,Hypothèses!$W$7,IF(BZ182&lt;=Hypothèses!$V$8,Hypothèses!$W$8,IF(BZ182&lt;=Hypothèses!$V$9,Hypothèses!$W$9,IF(BZ182&lt;=Hypothèses!$V$10,Hypothèses!$W$10,IF(BZ182&lt;=Hypothèses!$V$11,Hypothèses!$W$11,IF(BZ182&lt;=Hypothèses!$V$12,Hypothèses!$W$12,IF(BZ182&lt;=Hypothèses!$V$13,Hypothèses!$W$13,IF(BZ182&lt;=Hypothèses!$V$14,Hypothèses!$W$14,IF(BZ182&lt;=Hypothèses!$V$15,Hypothèses!$W$15,IF(BZ182&lt;=Hypothèses!$V$16,Hypothèses!$W$16,IF(BZ182&lt;=Hypothèses!$V$17,Hypothèses!$W$17,IF(BZ182&lt;=Hypothèses!$V$18,Hypothèses!$W$18,""))))))))))))</f>
        <v>#DIV/0!</v>
      </c>
      <c r="CU182" s="87" t="e">
        <f t="shared" ca="1" si="320"/>
        <v>#DIV/0!</v>
      </c>
      <c r="CV182" s="88" t="e">
        <f ca="1">IF(BZ182&lt;=Hypothèses!$V$7,Hypothèses!$X$7,IF(BZ182&lt;=Hypothèses!$V$8,Hypothèses!$X$8,IF(BZ182&lt;=Hypothèses!$V$9,Hypothèses!$X$9,IF(BZ182&lt;=Hypothèses!$V$10,Hypothèses!$X$10,IF(BZ182&lt;=Hypothèses!$V$11,Hypothèses!$X$11,IF(BZ182&lt;=Hypothèses!$V$12,Hypothèses!$X$12,IF(BZ182&lt;=Hypothèses!$V$13,Hypothèses!$X$13,IF(BZ182&lt;=Hypothèses!$V$14,Hypothèses!$X$14,IF(BZ182&lt;=Hypothèses!$V$15,Hypothèses!$X$15,IF(BZ182&lt;=Hypothèses!$V$16,Hypothèses!$X$16,IF(BZ182&lt;=Hypothèses!$U$17,Hypothèses!$W$17,IF(BZ182&lt;=Hypothèses!$U$18,Hypothèses!$W$18,""))))))))))))</f>
        <v>#DIV/0!</v>
      </c>
      <c r="CW182" s="95" t="e">
        <f t="shared" ca="1" si="285"/>
        <v>#DIV/0!</v>
      </c>
      <c r="CX182" s="101">
        <f t="shared" si="327"/>
        <v>0</v>
      </c>
      <c r="CY182" s="91">
        <f t="shared" si="252"/>
        <v>0</v>
      </c>
      <c r="CZ182" s="30" t="e">
        <f t="shared" si="308"/>
        <v>#N/A</v>
      </c>
      <c r="DA182" s="30" t="e">
        <f t="shared" si="309"/>
        <v>#N/A</v>
      </c>
      <c r="DB182" s="31" t="e">
        <f>IF(OR(Hypothèses!$B$4=17,Hypothèses!$B$4=18,Hypothèses!$B$4=19,Hypothèses!$B$4=20),
IF($D182="Pressio.",
IF(OR($E182=3,$E182=1,$E182=4),DA182,CZ182),
IF($D182="Pénétro.",
IF(OR($E182=3,$E182=1,$E182=4),DA182,CZ182))),IF($D182="Pressio.",
IF($E182=3,DA182,CZ182),
IF($D182="Pénétro.",
IF($E182=4,DA182,CZ182))))</f>
        <v>#N/A</v>
      </c>
      <c r="DC182" s="31">
        <v>0</v>
      </c>
      <c r="DD182" s="102" t="e">
        <f>IF(NDC!$H$10="Oui",(VLOOKUP($B$3,'Coeff EC7'!$T$39:$X$59,2,0)*DB182+VLOOKUP($B$3,'Coeff EC7'!$T$65:$X$85,2,0)*Model0.1T!DC182)/1.5,PI()*CZ$12*$Q182*($B182-$B181)*0.15/10+DD181)</f>
        <v>#N/A</v>
      </c>
      <c r="DE182" s="102" t="e">
        <f>(VLOOKUP($B$3,'Coeff EC7'!$T$39:$X$59,3,0)*DB182+VLOOKUP($B$3,'Coeff EC7'!$T$65:$X$85,3,0)*Model0.1T!DC182)/1.1</f>
        <v>#N/A</v>
      </c>
      <c r="DF182" s="102" t="e">
        <f t="shared" si="286"/>
        <v>#N/A</v>
      </c>
      <c r="DG182" s="102" t="e">
        <f t="shared" si="287"/>
        <v>#N/A</v>
      </c>
      <c r="DH182" s="414" t="e">
        <f>IF(AND(DD182&gt;NDC!$C$63,DE182&gt;NDC!$C$65,DF182&gt;NDC!$D$73,DG182&gt;NDC!$D$74,$B182&gt;NDC!$H$22-0.1+MIN(3*DH$12,1.5)),0,1)</f>
        <v>#N/A</v>
      </c>
      <c r="DI182" s="86" t="b">
        <f t="shared" si="253"/>
        <v>0</v>
      </c>
      <c r="DJ182" s="86">
        <f t="shared" si="254"/>
        <v>0.5</v>
      </c>
      <c r="DK182" s="86">
        <f t="shared" si="255"/>
        <v>0.5</v>
      </c>
      <c r="DL182" s="30" t="e">
        <f t="shared" ca="1" si="288"/>
        <v>#DIV/0!</v>
      </c>
      <c r="DM182" s="85" t="e">
        <f ca="1">IF(CS182&lt;=Hypothèses!$V$7,Hypothèses!$W$7,IF(CS182&lt;=Hypothèses!$V$8,Hypothèses!$W$8,IF(CS182&lt;=Hypothèses!$V$9,Hypothèses!$W$9,IF(CS182&lt;=Hypothèses!$V$10,Hypothèses!$W$10,IF(CS182&lt;=Hypothèses!$V$11,Hypothèses!$W$11,IF(CS182&lt;=Hypothèses!$V$12,Hypothèses!$W$12,IF(CS182&lt;=Hypothèses!$V$13,Hypothèses!$W$13,IF(CS182&lt;=Hypothèses!$V$14,Hypothèses!$W$14,IF(CS182&lt;=Hypothèses!$V$15,Hypothèses!$W$15,IF(CS182&lt;=Hypothèses!$V$16,Hypothèses!$W$16,IF(CS182&lt;=Hypothèses!$V$17,Hypothèses!$W$17,IF(CS182&lt;=Hypothèses!$V$18,Hypothèses!$W$18,""))))))))))))</f>
        <v>#DIV/0!</v>
      </c>
      <c r="DN182" s="87" t="e">
        <f t="shared" ca="1" si="321"/>
        <v>#DIV/0!</v>
      </c>
      <c r="DO182" s="88" t="e">
        <f ca="1">IF(CS182&lt;=Hypothèses!$V$7,Hypothèses!$X$7,IF(CS182&lt;=Hypothèses!$V$8,Hypothèses!$X$8,IF(CS182&lt;=Hypothèses!$V$9,Hypothèses!$X$9,IF(CS182&lt;=Hypothèses!$V$10,Hypothèses!$X$10,IF(CS182&lt;=Hypothèses!$V$11,Hypothèses!$X$11,IF(CS182&lt;=Hypothèses!$V$12,Hypothèses!$X$12,IF(CS182&lt;=Hypothèses!$V$13,Hypothèses!$X$13,IF(CS182&lt;=Hypothèses!$V$14,Hypothèses!$X$14,IF(CS182&lt;=Hypothèses!$V$15,Hypothèses!$X$15,IF(CS182&lt;=Hypothèses!$V$16,Hypothèses!$X$16,IF(CS182&lt;=Hypothèses!$U$17,Hypothèses!$W$17,IF(CS182&lt;=Hypothèses!$U$18,Hypothèses!$W$18,""))))))))))))</f>
        <v>#DIV/0!</v>
      </c>
      <c r="DP182" s="95" t="e">
        <f t="shared" ca="1" si="289"/>
        <v>#DIV/0!</v>
      </c>
      <c r="DQ182" s="101">
        <f t="shared" si="328"/>
        <v>0</v>
      </c>
      <c r="DR182" s="91">
        <f t="shared" si="256"/>
        <v>0</v>
      </c>
      <c r="DS182" s="30" t="e">
        <f t="shared" si="310"/>
        <v>#N/A</v>
      </c>
      <c r="DT182" s="30" t="e">
        <f t="shared" si="311"/>
        <v>#N/A</v>
      </c>
      <c r="DU182" s="31" t="e">
        <f>IF(OR(Hypothèses!$B$4=17,Hypothèses!$B$4=18,Hypothèses!$B$4=19,Hypothèses!$B$4=20),
IF($D182="Pressio.",
IF(OR($E182=3,$E182=1,$E182=4),DT182,DS182),
IF($D182="Pénétro.",
IF(OR($E182=3,$E182=1,$E182=4),DT182,DS182))),IF($D182="Pressio.",
IF($E182=3,DT182,DS182),
IF($D182="Pénétro.",
IF($E182=4,DT182,DS182))))</f>
        <v>#N/A</v>
      </c>
      <c r="DV182" s="31">
        <v>0</v>
      </c>
      <c r="DW182" s="102" t="e">
        <f>IF(NDC!$H$10="Oui",(VLOOKUP($B$3,'Coeff EC7'!$T$39:$X$59,2,0)*DU182+VLOOKUP($B$3,'Coeff EC7'!$T$65:$X$85,2,0)*Model0.1T!DV182)/1.5,PI()*DS$12*$Q182*($B182-$B181)*0.15/10+DW181)</f>
        <v>#N/A</v>
      </c>
      <c r="DX182" s="102" t="e">
        <f>(VLOOKUP($B$3,'Coeff EC7'!$T$39:$X$59,3,0)*DU182+VLOOKUP($B$3,'Coeff EC7'!$T$65:$X$85,3,0)*Model0.1T!DV182)/1.1</f>
        <v>#N/A</v>
      </c>
      <c r="DY182" s="102" t="e">
        <f t="shared" si="290"/>
        <v>#N/A</v>
      </c>
      <c r="DZ182" s="102" t="e">
        <f t="shared" si="291"/>
        <v>#N/A</v>
      </c>
      <c r="EA182" s="414" t="e">
        <f>IF(AND(DW182&gt;NDC!$C$63,DX182&gt;NDC!$C$65,DY182&gt;NDC!$D$73,DZ182&gt;NDC!$D$74,$B182&gt;NDC!$H$22-0.1+MIN(3*EA$12,1.5)),0,1)</f>
        <v>#N/A</v>
      </c>
      <c r="EB182" s="86" t="b">
        <f t="shared" si="257"/>
        <v>0</v>
      </c>
      <c r="EC182" s="418">
        <f t="shared" si="258"/>
        <v>0.51</v>
      </c>
      <c r="ED182" s="86">
        <f t="shared" si="259"/>
        <v>0.51</v>
      </c>
      <c r="EE182" s="30" t="e">
        <f t="shared" ca="1" si="292"/>
        <v>#DIV/0!</v>
      </c>
      <c r="EF182" s="85" t="e">
        <f ca="1">IF(DL182&lt;=Hypothèses!$V$7,Hypothèses!$W$7,IF(DL182&lt;=Hypothèses!$V$8,Hypothèses!$W$8,IF(DL182&lt;=Hypothèses!$V$9,Hypothèses!$W$9,IF(DL182&lt;=Hypothèses!$V$10,Hypothèses!$W$10,IF(DL182&lt;=Hypothèses!$V$11,Hypothèses!$W$11,IF(DL182&lt;=Hypothèses!$V$12,Hypothèses!$W$12,IF(DL182&lt;=Hypothèses!$V$13,Hypothèses!$W$13,IF(DL182&lt;=Hypothèses!$V$14,Hypothèses!$W$14,IF(DL182&lt;=Hypothèses!$V$15,Hypothèses!$W$15,IF(DL182&lt;=Hypothèses!$V$16,Hypothèses!$W$16,IF(DL182&lt;=Hypothèses!$V$17,Hypothèses!$W$17,IF(DL182&lt;=Hypothèses!$V$18,Hypothèses!$W$18,""))))))))))))</f>
        <v>#DIV/0!</v>
      </c>
      <c r="EG182" s="87" t="e">
        <f t="shared" ca="1" si="322"/>
        <v>#DIV/0!</v>
      </c>
      <c r="EH182" s="88" t="e">
        <f ca="1">IF(DL182&lt;=Hypothèses!$V$7,Hypothèses!$X$7,IF(DL182&lt;=Hypothèses!$V$8,Hypothèses!$X$8,IF(DL182&lt;=Hypothèses!$V$9,Hypothèses!$X$9,IF(DL182&lt;=Hypothèses!$V$10,Hypothèses!$X$10,IF(DL182&lt;=Hypothèses!$V$11,Hypothèses!$X$11,IF(DL182&lt;=Hypothèses!$V$12,Hypothèses!$X$12,IF(DL182&lt;=Hypothèses!$V$13,Hypothèses!$X$13,IF(DL182&lt;=Hypothèses!$V$14,Hypothèses!$X$14,IF(DL182&lt;=Hypothèses!$V$15,Hypothèses!$X$15,IF(DL182&lt;=Hypothèses!$V$16,Hypothèses!$X$16,IF(DL182&lt;=Hypothèses!$U$17,Hypothèses!$W$17,IF(DL182&lt;=Hypothèses!$U$18,Hypothèses!$W$18,""))))))))))))</f>
        <v>#DIV/0!</v>
      </c>
      <c r="EI182" s="95" t="e">
        <f t="shared" ca="1" si="293"/>
        <v>#DIV/0!</v>
      </c>
      <c r="EJ182" s="101">
        <f t="shared" si="329"/>
        <v>0</v>
      </c>
      <c r="EK182" s="91">
        <f t="shared" si="260"/>
        <v>0</v>
      </c>
      <c r="EL182" s="30" t="e">
        <f t="shared" si="312"/>
        <v>#N/A</v>
      </c>
      <c r="EM182" s="30" t="e">
        <f t="shared" si="313"/>
        <v>#N/A</v>
      </c>
      <c r="EN182" s="31" t="e">
        <f>IF(OR(Hypothèses!$B$4=17,Hypothèses!$B$4=18,Hypothèses!$B$4=19,Hypothèses!$B$4=20),
IF($D182="Pressio.",
IF(OR($E182=3,$E182=1,$E182=4),EM182,EL182),
IF($D182="Pénétro.",
IF(OR($E182=3,$E182=1,$E182=4),EM182,EL182))),IF($D182="Pressio.",
IF($E182=3,EM182,EL182),
IF($D182="Pénétro.",
IF($E182=4,EM182,EL182))))</f>
        <v>#N/A</v>
      </c>
      <c r="EO182" s="31">
        <v>0</v>
      </c>
      <c r="EP182" s="102" t="e">
        <f>IF(NDC!$H$10="Oui",(VLOOKUP($B$3,'Coeff EC7'!$T$39:$X$59,2,0)*EN182+VLOOKUP($B$3,'Coeff EC7'!$T$65:$X$85,2,0)*Model0.1T!EO182)/1.5,PI()*EL$12*$Q182*($B182-$B181)*0.15/10+EP181)</f>
        <v>#N/A</v>
      </c>
      <c r="EQ182" s="102" t="e">
        <f>(VLOOKUP($B$3,'Coeff EC7'!$T$39:$X$59,3,0)*EN182+VLOOKUP($B$3,'Coeff EC7'!$T$65:$X$85,3,0)*Model0.1T!EO182)/1.1</f>
        <v>#N/A</v>
      </c>
      <c r="ER182" s="102" t="e">
        <f t="shared" si="294"/>
        <v>#N/A</v>
      </c>
      <c r="ES182" s="102" t="e">
        <f t="shared" si="295"/>
        <v>#N/A</v>
      </c>
      <c r="ET182" s="414" t="e">
        <f>IF(AND(EP182&gt;NDC!$C$63,EQ182&gt;NDC!$C$65,ER182&gt;NDC!$D$73,ES182&gt;NDC!$D$74,$B182&gt;NDC!$H$22-0.1+MIN(3*ET$12,1.5)),0,1)</f>
        <v>#N/A</v>
      </c>
      <c r="EU182" s="86" t="b">
        <f t="shared" si="261"/>
        <v>0</v>
      </c>
      <c r="EV182" s="86">
        <f t="shared" si="262"/>
        <v>0.61</v>
      </c>
      <c r="EW182" s="86">
        <f t="shared" si="263"/>
        <v>0.61</v>
      </c>
      <c r="EX182" s="30" t="e">
        <f t="shared" ca="1" si="296"/>
        <v>#DIV/0!</v>
      </c>
      <c r="EY182" s="85" t="e">
        <f ca="1">IF(EE182&lt;=Hypothèses!$V$7,Hypothèses!$W$7,IF(EE182&lt;=Hypothèses!$V$8,Hypothèses!$W$8,IF(EE182&lt;=Hypothèses!$V$9,Hypothèses!$W$9,IF(EE182&lt;=Hypothèses!$V$10,Hypothèses!$W$10,IF(EE182&lt;=Hypothèses!$V$11,Hypothèses!$W$11,IF(EE182&lt;=Hypothèses!$V$12,Hypothèses!$W$12,IF(EE182&lt;=Hypothèses!$V$13,Hypothèses!$W$13,IF(EE182&lt;=Hypothèses!$V$14,Hypothèses!$W$14,IF(EE182&lt;=Hypothèses!$V$15,Hypothèses!$W$15,IF(EE182&lt;=Hypothèses!$V$16,Hypothèses!$W$16,IF(EE182&lt;=Hypothèses!$V$17,Hypothèses!$W$17,IF(EE182&lt;=Hypothèses!$V$18,Hypothèses!$W$18,""))))))))))))</f>
        <v>#DIV/0!</v>
      </c>
      <c r="EZ182" s="87" t="e">
        <f t="shared" ca="1" si="323"/>
        <v>#DIV/0!</v>
      </c>
      <c r="FA182" s="88" t="e">
        <f ca="1">IF(EE182&lt;=Hypothèses!$V$7,Hypothèses!$X$7,IF(EE182&lt;=Hypothèses!$V$8,Hypothèses!$X$8,IF(EE182&lt;=Hypothèses!$V$9,Hypothèses!$X$9,IF(EE182&lt;=Hypothèses!$V$10,Hypothèses!$X$10,IF(EE182&lt;=Hypothèses!$V$11,Hypothèses!$X$11,IF(EE182&lt;=Hypothèses!$V$12,Hypothèses!$X$12,IF(EE182&lt;=Hypothèses!$V$13,Hypothèses!$X$13,IF(EE182&lt;=Hypothèses!$V$14,Hypothèses!$X$14,IF(EE182&lt;=Hypothèses!$V$15,Hypothèses!$X$15,IF(EE182&lt;=Hypothèses!$V$16,Hypothèses!$X$16,IF(EE182&lt;=Hypothèses!$U$17,Hypothèses!$W$17,IF(EE182&lt;=Hypothèses!$U$18,Hypothèses!$W$18,""))))))))))))</f>
        <v>#DIV/0!</v>
      </c>
      <c r="FB182" s="95" t="e">
        <f t="shared" ca="1" si="297"/>
        <v>#DIV/0!</v>
      </c>
      <c r="FC182" s="101">
        <f t="shared" si="330"/>
        <v>0</v>
      </c>
      <c r="FD182" s="91">
        <f t="shared" si="264"/>
        <v>0</v>
      </c>
      <c r="FE182" s="30" t="e">
        <f t="shared" si="314"/>
        <v>#N/A</v>
      </c>
      <c r="FF182" s="30" t="e">
        <f t="shared" si="315"/>
        <v>#N/A</v>
      </c>
      <c r="FG182" s="31" t="e">
        <f>IF(OR(Hypothèses!$B$4=17,Hypothèses!$B$4=18,Hypothèses!$B$4=19,Hypothèses!$B$4=20),
IF($D182="Pressio.",
IF(OR($E182=3,$E182=1,$E182=4),FF182,FE182),
IF($D182="Pénétro.",
IF(OR($E182=3,$E182=1,$E182=4),FF182,FE182))),IF($D182="Pressio.",
IF($E182=3,FF182,FE182),
IF($D182="Pénétro.",
IF($E182=4,FF182,FE182))))</f>
        <v>#N/A</v>
      </c>
      <c r="FH182" s="31">
        <v>0</v>
      </c>
      <c r="FI182" s="102" t="e">
        <f>IF(NDC!$H$10="Oui",(VLOOKUP($B$3,'Coeff EC7'!$T$39:$X$59,2,0)*FG182+VLOOKUP($B$3,'Coeff EC7'!$T$65:$X$85,2,0)*Model0.1T!FH182)/1.5,PI()*FE$12*$Q182*($B182-$B181)*0.15/10+FI181)</f>
        <v>#N/A</v>
      </c>
      <c r="FJ182" s="102" t="e">
        <f>(VLOOKUP($B$3,'Coeff EC7'!$T$39:$X$59,3,0)*FG182+VLOOKUP($B$3,'Coeff EC7'!$T$65:$X$85,3,0)*Model0.1T!FH182)/1.1</f>
        <v>#N/A</v>
      </c>
      <c r="FK182" s="102" t="e">
        <f t="shared" si="298"/>
        <v>#N/A</v>
      </c>
      <c r="FL182" s="102" t="e">
        <f t="shared" si="299"/>
        <v>#N/A</v>
      </c>
      <c r="FM182" s="414" t="e">
        <f>IF(AND(FI182&gt;NDC!$C$63,FJ182&gt;NDC!$C$65,FK182&gt;NDC!$D$73,FL182&gt;NDC!$D$74,$B182&gt;NDC!$H$22-0.1+MIN(3*FM$12,1.5)),0,1)</f>
        <v>#N/A</v>
      </c>
    </row>
    <row r="183" spans="1:169">
      <c r="A183" s="96">
        <f t="shared" si="265"/>
        <v>83.000000000000966</v>
      </c>
      <c r="B183" s="97">
        <v>17</v>
      </c>
      <c r="C183" s="81">
        <f>IF(B183&lt;=Hypothèses!$C$7,Hypothèses!$A$7,IF(B183&lt;=Hypothèses!$C$8,Hypothèses!$A$8,IF(B183&lt;=Hypothèses!$C$9,Hypothèses!$A$9,IF(B183&lt;=Hypothèses!$C$10,Hypothèses!$A$10,IF(B183&lt;=Hypothèses!$C$11,Hypothèses!$A$11,IF(B183&lt;=Hypothèses!$C$12,Hypothèses!$A$12,IF(B183&lt;=Hypothèses!$C$13,Hypothèses!$A$13,IF(B183&lt;=Hypothèses!$C$14,Hypothèses!$A$14,IF(B183&lt;=Hypothèses!$C$15,Hypothèses!$A$15,IF(B183&lt;=Hypothèses!$C$16,Hypothèses!$A$16,IF(B183&lt;=Hypothèses!$C$17,Hypothèses!$A$17,IF(B183&lt;=Hypothèses!$C$18,Hypothèses!$A$18,C182))))))))))))</f>
        <v>11</v>
      </c>
      <c r="D183" s="82" t="str">
        <f>IF(B183&lt;=Hypothèses!$C$7,Hypothèses!$R$7,IF(B183&lt;=Hypothèses!$C$8,Hypothèses!$R$8,IF(B183&lt;=Hypothèses!$C$9,Hypothèses!$R$9,IF(B183&lt;=Hypothèses!$C$10,Hypothèses!$R$10,IF(B183&lt;=Hypothèses!$C$11,Hypothèses!$R$11,IF(B183&lt;=Hypothèses!$C$12,Hypothèses!$R$12,IF(B183&lt;=Hypothèses!$C$13,Hypothèses!$R$13,IF(B183&lt;=Hypothèses!$C$14,Hypothèses!$R$14,IF(B183&lt;=Hypothèses!$C$15,Hypothèses!$R$15,IF(B183&lt;=Hypothèses!$C$16,Hypothèses!$R$16,IF(B183&lt;=Hypothèses!$C$17,Hypothèses!$R$17,IF(B183&lt;=Hypothèses!$C$18,Hypothèses!$R$18,D182))))))))))))</f>
        <v>Pressio.</v>
      </c>
      <c r="E183" s="82" t="e">
        <f>IF(B183&lt;=Hypothèses!$C$7,Hypothèses!$G$7,IF(B183&lt;=Hypothèses!$C$8,Hypothèses!$G$8,IF(B183&lt;=Hypothèses!$C$9,Hypothèses!$G$9,IF(B183&lt;=Hypothèses!$C$10,Hypothèses!$G$10,IF(B183&lt;=Hypothèses!$C$11,Hypothèses!$G$11,IF(B183&lt;=Hypothèses!$C$12,Hypothèses!$G$12,IF(B183&lt;=Hypothèses!$C$13,Hypothèses!$G$13,IF(B183&lt;=Hypothèses!$C$14,Hypothèses!$G$14,IF(B183&lt;=Hypothèses!$C$15,Hypothèses!$G$15,IF(B183&lt;=Hypothèses!$C$16,Hypothèses!$G$16,IF(B183&lt;=Hypothèses!$C$17,Hypothèses!$G$17,IF(B183&lt;=Hypothèses!$C$18,Hypothèses!$G$18,E182))))))))))))</f>
        <v>#N/A</v>
      </c>
      <c r="F183" s="82" t="str">
        <f>IF(B183&lt;=Hypothèses!$C$7,Hypothèses!$F$7,IF(B183&lt;=Hypothèses!$C$8,Hypothèses!$F$8,IF(B183&lt;=Hypothèses!$C$9,Hypothèses!$F$9,IF(B183&lt;=Hypothèses!$C$10,Hypothèses!$F$10,IF(B183&lt;=Hypothèses!$C$11,Hypothèses!$F$11,IF(B183&lt;=Hypothèses!$C$12,Hypothèses!$F$12,IF(B183&lt;=Hypothèses!$C$13,Hypothèses!$F$13,IF(B183&lt;=Hypothèses!$C$14,Hypothèses!$F$14,IF(B183&lt;=Hypothèses!$C$15,Hypothèses!$F$15,IF(B183&lt;=Hypothèses!$C$16,Hypothèses!$F$16,IF(B183&lt;=Hypothèses!$C$17,Hypothèses!$F$17,IF(B183&lt;=Hypothèses!$C$18,Hypothèses!$F$18,F182))))))))))))</f>
        <v/>
      </c>
      <c r="G183" s="91">
        <f t="array" ref="G183">INDEX('Coeff EC7'!$U$7:$X$27,
MATCH(Model0.1T!$B$3,'Coeff EC7'!$T$7:$T$27,0),
MATCH(Model0.1T!$D183&amp;Model0.1T!$B$4,
'Coeff EC7'!$U$6:$X$6&amp;
'Coeff EC7'!$U$5:$X$5,0))</f>
        <v>1.4</v>
      </c>
      <c r="H183" s="91">
        <f t="array" ref="H183">INDEX('Coeff EC7'!$Y$7:$AB$27,
MATCH(Model0.1T!$B$3,'Coeff EC7'!$T$7:$T$27,0),
MATCH(Model0.1T!$D183&amp;Model0.1T!$B$4,
'Coeff EC7'!$Y$6:$AB$6&amp;
'Coeff EC7'!$Y$5:$AB$5,0))</f>
        <v>1.7</v>
      </c>
      <c r="I183" s="83">
        <v>0</v>
      </c>
      <c r="J183" s="91" t="e">
        <f t="array" ref="J183">INDEX('Coeff EC7'!$D$33:$Q$33,1,MATCH(D183&amp;E183,'Coeff EC7'!$D$31:$Q$31&amp;'Coeff EC7'!$D$32:$Q$32,0))</f>
        <v>#N/A</v>
      </c>
      <c r="K183" s="91" t="e">
        <f t="array" ref="K183">INDEX('Coeff EC7'!$D$34:$Q$34,1,MATCH(D183&amp;E183,'Coeff EC7'!$D$31:$Q$31&amp;'Coeff EC7'!$D$32:$Q$32,0))</f>
        <v>#N/A</v>
      </c>
      <c r="L183" s="91" t="e">
        <f t="array" ref="L183">INDEX('Coeff EC7'!$D$35:$Q$35,1,MATCH(D183&amp;E183,'Coeff EC7'!$D$31:$Q$31&amp;'Coeff EC7'!$D$32:$Q$32,0))</f>
        <v>#N/A</v>
      </c>
      <c r="M183" s="98" t="e">
        <f t="shared" si="231"/>
        <v>#N/A</v>
      </c>
      <c r="N183" s="99" t="e">
        <f t="array" ref="N183">INDEX('Coeff EC7'!$D$7:$Q$27,MATCH($B$3,'Coeff EC7'!$C$7:$C$27,0),MATCH(D183&amp;E183,'Coeff EC7'!$D$5:$Q$5&amp;'Coeff EC7'!$D$6:$Q$6,0))</f>
        <v>#N/A</v>
      </c>
      <c r="O183" s="99" t="e">
        <f t="array" ref="O183">INDEX('Coeff EC7'!$D$41:$Q$61,MATCH($B$3,'Coeff EC7'!$C$41:$C$61,0),MATCH(D183&amp;E183,'Coeff EC7'!$D$39:$Q$39&amp;'Coeff EC7'!$D$40:$Q$40,0))</f>
        <v>#N/A</v>
      </c>
      <c r="P183" s="30" t="e">
        <f t="shared" si="266"/>
        <v>#N/A</v>
      </c>
      <c r="Q183" s="100" t="e">
        <f t="shared" si="233"/>
        <v>#N/A</v>
      </c>
      <c r="R183" s="86" t="b">
        <f t="shared" si="234"/>
        <v>0</v>
      </c>
      <c r="S183" s="86">
        <f t="shared" si="232"/>
        <v>0.5</v>
      </c>
      <c r="T183" s="86">
        <f t="shared" si="235"/>
        <v>0.5</v>
      </c>
      <c r="U183" s="30" t="e">
        <f t="shared" ca="1" si="267"/>
        <v>#DIV/0!</v>
      </c>
      <c r="V183" s="85" t="str">
        <f>IF(B183&lt;=Hypothèses!$V$7,Hypothèses!$W$7,IF(B183&lt;=Hypothèses!$V$8,Hypothèses!$W$8,IF(B183&lt;=Hypothèses!$V$9,Hypothèses!$W$9,IF(B183&lt;=Hypothèses!$V$10,Hypothèses!$W$10,IF(B183&lt;=Hypothèses!$V$11,Hypothèses!$W$11,IF(B183&lt;=Hypothèses!$V$12,Hypothèses!$W$12,IF(B183&lt;=Hypothèses!$V$13,Hypothèses!$W$13,IF(B183&lt;=Hypothèses!$V$14,Hypothèses!$W$14,IF(B183&lt;=Hypothèses!$V$15,Hypothèses!$W$15,IF(B183&lt;=Hypothèses!$V$16,Hypothèses!$W$16,IF(B183&lt;=Hypothèses!$V$17,Hypothèses!$W$17,IF(B183&lt;=Hypothèses!$V$18,Hypothèses!$W$18,""))))))))))))</f>
        <v/>
      </c>
      <c r="W183" s="87" t="e">
        <f t="shared" ca="1" si="316"/>
        <v>#DIV/0!</v>
      </c>
      <c r="X183" s="88" t="str">
        <f>IF(B183&lt;=Hypothèses!$V$7,Hypothèses!$X$7,IF(B183&lt;=Hypothèses!$V$8,Hypothèses!$X$8,IF(B183&lt;=Hypothèses!$V$9,Hypothèses!$X$9,IF(B183&lt;=Hypothèses!$V$10,Hypothèses!$X$10,IF(B183&lt;=Hypothèses!$V$11,Hypothèses!$X$11,IF(B183&lt;=Hypothèses!$V$12,Hypothèses!$X$12,IF(B183&lt;=Hypothèses!$V$13,Hypothèses!$X$13,IF(B183&lt;=Hypothèses!$V$14,Hypothèses!$X$14,IF(B183&lt;=Hypothèses!$V$15,Hypothèses!$X$15,IF(B183&lt;=Hypothèses!$V$16,Hypothèses!$X$16,IF(B183&lt;=Hypothèses!$U$17,Hypothèses!$W$17,IF(B183&lt;=Hypothèses!$U$18,Hypothèses!$W$18,""))))))))))))</f>
        <v/>
      </c>
      <c r="Y183" s="95" t="e">
        <f t="shared" ca="1" si="236"/>
        <v>#DIV/0!</v>
      </c>
      <c r="Z183" s="101">
        <f t="shared" si="237"/>
        <v>0</v>
      </c>
      <c r="AA183" s="91">
        <f t="shared" si="238"/>
        <v>0</v>
      </c>
      <c r="AB183" s="30" t="e">
        <f t="shared" si="300"/>
        <v>#N/A</v>
      </c>
      <c r="AC183" s="30" t="e">
        <f t="shared" si="301"/>
        <v>#N/A</v>
      </c>
      <c r="AD183" s="31" t="e">
        <f>IF(OR(Hypothèses!$B$4=17,Hypothèses!$B$4=18,Hypothèses!$B$4=19,Hypothèses!$B$4=20),
IF($D183="Pressio.",
IF(OR($E183=3,$E183=1,$E183=4),AC183,AB183),
IF($D183="Pénétro.",
IF(OR($E183=3,$E183=1,$E183=4),AC183,AB183))),IF($D183="Pressio.",
IF($E183=3,AC183,AB183),
IF($D183="Pénétro.",
IF($E183=4,AC183,AB183))))</f>
        <v>#N/A</v>
      </c>
      <c r="AE183" s="31">
        <v>0</v>
      </c>
      <c r="AF183" s="102" t="e">
        <f>IF(NDC!$H$10="Oui",(VLOOKUP($B$3,'Coeff EC7'!$T$39:$X$59,2,0)*AD183+VLOOKUP($B$3,'Coeff EC7'!$T$65:$X$85,2,0)*Model0.1T!AE183)/1.5,PI()*AB$12*$Q183*($B183-$B182)*0.15/10+AF182)</f>
        <v>#N/A</v>
      </c>
      <c r="AG183" s="102" t="e">
        <f>(VLOOKUP($B$3,'Coeff EC7'!$T$39:$X$59,3,0)*AD183+VLOOKUP($B$3,'Coeff EC7'!$T$65:$X$85,3,0)*Model0.1T!AE183)/1.1</f>
        <v>#N/A</v>
      </c>
      <c r="AH183" s="102" t="e">
        <f t="shared" si="268"/>
        <v>#N/A</v>
      </c>
      <c r="AI183" s="102" t="e">
        <f t="shared" si="269"/>
        <v>#N/A</v>
      </c>
      <c r="AJ183" s="414" t="e">
        <f>IF(AND(AF183&gt;NDC!$C$63,AG183&gt;NDC!$C$65,AH183&gt;NDC!$D$73,AI183&gt;NDC!$D$74,$B183&gt;NDC!$H$22-0.1+MIN(3*$AJ$12,1.5)),0,1)</f>
        <v>#N/A</v>
      </c>
      <c r="AK183" s="86" t="b">
        <f t="shared" si="239"/>
        <v>0</v>
      </c>
      <c r="AL183" s="86">
        <f t="shared" si="270"/>
        <v>0.5</v>
      </c>
      <c r="AM183" s="86">
        <f t="shared" si="240"/>
        <v>0.5</v>
      </c>
      <c r="AN183" s="30" t="e">
        <f t="shared" ca="1" si="271"/>
        <v>#DIV/0!</v>
      </c>
      <c r="AO183" s="85" t="e">
        <f ca="1">IF(U183&lt;=Hypothèses!$V$7,Hypothèses!$W$7,IF(U183&lt;=Hypothèses!$V$8,Hypothèses!$W$8,IF(U183&lt;=Hypothèses!$V$9,Hypothèses!$W$9,IF(U183&lt;=Hypothèses!$V$10,Hypothèses!$W$10,IF(U183&lt;=Hypothèses!$V$11,Hypothèses!$W$11,IF(U183&lt;=Hypothèses!$V$12,Hypothèses!$W$12,IF(U183&lt;=Hypothèses!$V$13,Hypothèses!$W$13,IF(U183&lt;=Hypothèses!$V$14,Hypothèses!$W$14,IF(U183&lt;=Hypothèses!$V$15,Hypothèses!$W$15,IF(U183&lt;=Hypothèses!$V$16,Hypothèses!$W$16,IF(U183&lt;=Hypothèses!$V$17,Hypothèses!$W$17,IF(U183&lt;=Hypothèses!$V$18,Hypothèses!$W$18,""))))))))))))</f>
        <v>#DIV/0!</v>
      </c>
      <c r="AP183" s="87" t="e">
        <f t="shared" ca="1" si="317"/>
        <v>#DIV/0!</v>
      </c>
      <c r="AQ183" s="88" t="e">
        <f ca="1">IF(U183&lt;=Hypothèses!$V$7,Hypothèses!$X$7,IF(U183&lt;=Hypothèses!$V$8,Hypothèses!$X$8,IF(U183&lt;=Hypothèses!$V$9,Hypothèses!$X$9,IF(U183&lt;=Hypothèses!$V$10,Hypothèses!$X$10,IF(U183&lt;=Hypothèses!$V$11,Hypothèses!$X$11,IF(U183&lt;=Hypothèses!$V$12,Hypothèses!$X$12,IF(U183&lt;=Hypothèses!$V$13,Hypothèses!$X$13,IF(U183&lt;=Hypothèses!$V$14,Hypothèses!$X$14,IF(U183&lt;=Hypothèses!$V$15,Hypothèses!$X$15,IF(U183&lt;=Hypothèses!$V$16,Hypothèses!$X$16,IF(U183&lt;=Hypothèses!$U$17,Hypothèses!$W$17,IF(U183&lt;=Hypothèses!$U$18,Hypothèses!$W$18,""))))))))))))</f>
        <v>#DIV/0!</v>
      </c>
      <c r="AR183" s="95" t="e">
        <f t="shared" ca="1" si="272"/>
        <v>#DIV/0!</v>
      </c>
      <c r="AS183" s="101">
        <f t="shared" si="324"/>
        <v>0</v>
      </c>
      <c r="AT183" s="91">
        <f t="shared" si="241"/>
        <v>0</v>
      </c>
      <c r="AU183" s="30" t="e">
        <f t="shared" si="302"/>
        <v>#N/A</v>
      </c>
      <c r="AV183" s="30" t="e">
        <f t="shared" si="303"/>
        <v>#N/A</v>
      </c>
      <c r="AW183" s="31" t="e">
        <f>IF(OR(Hypothèses!$B$4=17,Hypothèses!$B$4=18,Hypothèses!$B$4=19,Hypothèses!$B$4=20),
IF($D183="Pressio.",
IF(OR($E183=3,$E183=1,$E183=4),AV183,AU183),
IF($D183="Pénétro.",
IF(OR($E183=3,$E183=1,$E183=4),AV183,AU183))),IF($D183="Pressio.",
IF($E183=3,AV183,AU183),
IF($D183="Pénétro.",
IF($E183=4,AV183,AU183))))</f>
        <v>#N/A</v>
      </c>
      <c r="AX183" s="31">
        <v>0</v>
      </c>
      <c r="AY183" s="102" t="e">
        <f>IF(NDC!$H$10="Oui",(VLOOKUP($B$3,'Coeff EC7'!$T$39:$X$59,2,0)*AW183+VLOOKUP($B$3,'Coeff EC7'!$T$65:$X$85,2,0)*Model0.1T!AX183)/1.5,PI()*AU$12*$Q183*($B183-$B182)*0.15/10+AY182)</f>
        <v>#N/A</v>
      </c>
      <c r="AZ183" s="102" t="e">
        <f>(VLOOKUP($B$3,'Coeff EC7'!$T$39:$X$59,3,0)*AW183+VLOOKUP($B$3,'Coeff EC7'!$T$65:$X$85,3,0)*Model0.1T!AX183)/1.1</f>
        <v>#N/A</v>
      </c>
      <c r="BA183" s="102" t="e">
        <f t="shared" si="273"/>
        <v>#N/A</v>
      </c>
      <c r="BB183" s="102" t="e">
        <f t="shared" si="274"/>
        <v>#N/A</v>
      </c>
      <c r="BC183" s="414" t="e">
        <f>IF(AND(AY183&gt;NDC!$C$63,AZ183&gt;NDC!$C$65,BA183&gt;NDC!$D$73,BB183&gt;NDC!$D$74,$B183&gt;NDC!$H$22-0.1+MIN(3*BC$12,1.5)),0,1)</f>
        <v>#N/A</v>
      </c>
      <c r="BD183" s="86" t="b">
        <f t="shared" si="242"/>
        <v>0</v>
      </c>
      <c r="BE183" s="86">
        <f t="shared" si="275"/>
        <v>0.5</v>
      </c>
      <c r="BF183" s="86">
        <f t="shared" si="243"/>
        <v>0.5</v>
      </c>
      <c r="BG183" s="30" t="e">
        <f t="shared" ca="1" si="276"/>
        <v>#DIV/0!</v>
      </c>
      <c r="BH183" s="85" t="e">
        <f ca="1">IF(AN183&lt;=Hypothèses!$V$7,Hypothèses!$W$7,IF(AN183&lt;=Hypothèses!$V$8,Hypothèses!$W$8,IF(AN183&lt;=Hypothèses!$V$9,Hypothèses!$W$9,IF(AN183&lt;=Hypothèses!$V$10,Hypothèses!$W$10,IF(AN183&lt;=Hypothèses!$V$11,Hypothèses!$W$11,IF(AN183&lt;=Hypothèses!$V$12,Hypothèses!$W$12,IF(AN183&lt;=Hypothèses!$V$13,Hypothèses!$W$13,IF(AN183&lt;=Hypothèses!$V$14,Hypothèses!$W$14,IF(AN183&lt;=Hypothèses!$V$15,Hypothèses!$W$15,IF(AN183&lt;=Hypothèses!$V$16,Hypothèses!$W$16,IF(AN183&lt;=Hypothèses!$V$17,Hypothèses!$W$17,IF(AN183&lt;=Hypothèses!$V$18,Hypothèses!$W$18,""))))))))))))</f>
        <v>#DIV/0!</v>
      </c>
      <c r="BI183" s="87" t="e">
        <f t="shared" ca="1" si="318"/>
        <v>#DIV/0!</v>
      </c>
      <c r="BJ183" s="88" t="e">
        <f ca="1">IF(AN183&lt;=Hypothèses!$V$7,Hypothèses!$X$7,IF(AN183&lt;=Hypothèses!$V$8,Hypothèses!$X$8,IF(AN183&lt;=Hypothèses!$V$9,Hypothèses!$X$9,IF(AN183&lt;=Hypothèses!$V$10,Hypothèses!$X$10,IF(AN183&lt;=Hypothèses!$V$11,Hypothèses!$X$11,IF(AN183&lt;=Hypothèses!$V$12,Hypothèses!$X$12,IF(AN183&lt;=Hypothèses!$V$13,Hypothèses!$X$13,IF(AN183&lt;=Hypothèses!$V$14,Hypothèses!$X$14,IF(AN183&lt;=Hypothèses!$V$15,Hypothèses!$X$15,IF(AN183&lt;=Hypothèses!$V$16,Hypothèses!$X$16,IF(AN183&lt;=Hypothèses!$U$17,Hypothèses!$W$17,IF(AN183&lt;=Hypothèses!$U$18,Hypothèses!$W$18,""))))))))))))</f>
        <v>#DIV/0!</v>
      </c>
      <c r="BK183" s="95" t="e">
        <f t="shared" ca="1" si="277"/>
        <v>#DIV/0!</v>
      </c>
      <c r="BL183" s="101">
        <f t="shared" si="325"/>
        <v>0</v>
      </c>
      <c r="BM183" s="91">
        <f t="shared" si="244"/>
        <v>0</v>
      </c>
      <c r="BN183" s="30" t="e">
        <f t="shared" si="304"/>
        <v>#N/A</v>
      </c>
      <c r="BO183" s="30" t="e">
        <f t="shared" si="305"/>
        <v>#N/A</v>
      </c>
      <c r="BP183" s="31" t="e">
        <f>IF(OR(Hypothèses!$B$4=17,Hypothèses!$B$4=18,Hypothèses!$B$4=19,Hypothèses!$B$4=20),
IF($D183="Pressio.",
IF(OR($E183=3,$E183=1,$E183=4),BO183,BN183),
IF($D183="Pénétro.",
IF(OR($E183=3,$E183=1,$E183=4),BO183,BN183))),IF($D183="Pressio.",
IF($E183=3,BO183,BN183),
IF($D183="Pénétro.",
IF($E183=4,BO183,BN183))))</f>
        <v>#N/A</v>
      </c>
      <c r="BQ183" s="31">
        <v>0</v>
      </c>
      <c r="BR183" s="102" t="e">
        <f>IF(NDC!$H$10="Oui",(VLOOKUP($B$3,'Coeff EC7'!$T$39:$X$59,2,0)*BP183+VLOOKUP($B$3,'Coeff EC7'!$T$65:$X$85,2,0)*Model0.1T!BQ183)/1.5,PI()*BN$12*$Q183*($B183-$B182)*0.15/10+BR182)</f>
        <v>#N/A</v>
      </c>
      <c r="BS183" s="102" t="e">
        <f>(VLOOKUP($B$3,'Coeff EC7'!$T$39:$X$59,3,0)*BP183+VLOOKUP($B$3,'Coeff EC7'!$T$65:$X$85,3,0)*Model0.1T!BQ183)/1.1</f>
        <v>#N/A</v>
      </c>
      <c r="BT183" s="102" t="e">
        <f t="shared" si="278"/>
        <v>#N/A</v>
      </c>
      <c r="BU183" s="102" t="e">
        <f t="shared" si="279"/>
        <v>#N/A</v>
      </c>
      <c r="BV183" s="414" t="e">
        <f>IF(AND(BR183&gt;NDC!$C$63,BS183&gt;NDC!$C$65,BT183&gt;NDC!$D$73,BU183&gt;NDC!$D$74,$B183&gt;NDC!$H$22-0.1+MIN(3*BV$12,1.5)),0,1)</f>
        <v>#N/A</v>
      </c>
      <c r="BW183" s="86" t="b">
        <f t="shared" si="245"/>
        <v>0</v>
      </c>
      <c r="BX183" s="86">
        <f t="shared" si="246"/>
        <v>0.5</v>
      </c>
      <c r="BY183" s="86">
        <f t="shared" si="247"/>
        <v>0.5</v>
      </c>
      <c r="BZ183" s="30" t="e">
        <f t="shared" ca="1" si="280"/>
        <v>#DIV/0!</v>
      </c>
      <c r="CA183" s="85" t="e">
        <f ca="1">IF(BG183&lt;=Hypothèses!$V$7,Hypothèses!$W$7,IF(BG183&lt;=Hypothèses!$V$8,Hypothèses!$W$8,IF(BG183&lt;=Hypothèses!$V$9,Hypothèses!$W$9,IF(BG183&lt;=Hypothèses!$V$10,Hypothèses!$W$10,IF(BG183&lt;=Hypothèses!$V$11,Hypothèses!$W$11,IF(BG183&lt;=Hypothèses!$V$12,Hypothèses!$W$12,IF(BG183&lt;=Hypothèses!$V$13,Hypothèses!$W$13,IF(BG183&lt;=Hypothèses!$V$14,Hypothèses!$W$14,IF(BG183&lt;=Hypothèses!$V$15,Hypothèses!$W$15,IF(BG183&lt;=Hypothèses!$V$16,Hypothèses!$W$16,IF(BG183&lt;=Hypothèses!$V$17,Hypothèses!$W$17,IF(BG183&lt;=Hypothèses!$V$18,Hypothèses!$W$18,""))))))))))))</f>
        <v>#DIV/0!</v>
      </c>
      <c r="CB183" s="87" t="e">
        <f t="shared" ca="1" si="319"/>
        <v>#DIV/0!</v>
      </c>
      <c r="CC183" s="88" t="e">
        <f ca="1">IF(BG183&lt;=Hypothèses!$V$7,Hypothèses!$X$7,IF(BG183&lt;=Hypothèses!$V$8,Hypothèses!$X$8,IF(BG183&lt;=Hypothèses!$V$9,Hypothèses!$X$9,IF(BG183&lt;=Hypothèses!$V$10,Hypothèses!$X$10,IF(BG183&lt;=Hypothèses!$V$11,Hypothèses!$X$11,IF(BG183&lt;=Hypothèses!$V$12,Hypothèses!$X$12,IF(BG183&lt;=Hypothèses!$V$13,Hypothèses!$X$13,IF(BG183&lt;=Hypothèses!$V$14,Hypothèses!$X$14,IF(BG183&lt;=Hypothèses!$V$15,Hypothèses!$X$15,IF(BG183&lt;=Hypothèses!$V$16,Hypothèses!$X$16,IF(BG183&lt;=Hypothèses!$U$17,Hypothèses!$W$17,IF(BG183&lt;=Hypothèses!$U$18,Hypothèses!$W$18,""))))))))))))</f>
        <v>#DIV/0!</v>
      </c>
      <c r="CD183" s="95" t="e">
        <f t="shared" ca="1" si="281"/>
        <v>#DIV/0!</v>
      </c>
      <c r="CE183" s="101">
        <f t="shared" si="326"/>
        <v>0</v>
      </c>
      <c r="CF183" s="91">
        <f t="shared" si="248"/>
        <v>0</v>
      </c>
      <c r="CG183" s="30" t="e">
        <f t="shared" si="306"/>
        <v>#N/A</v>
      </c>
      <c r="CH183" s="30" t="e">
        <f t="shared" si="307"/>
        <v>#N/A</v>
      </c>
      <c r="CI183" s="31" t="e">
        <f>IF(OR(Hypothèses!$B$4=17,Hypothèses!$B$4=18,Hypothèses!$B$4=19,Hypothèses!$B$4=20),
IF($D183="Pressio.",
IF(OR($E183=3,$E183=1,$E183=4),CH183,CG183),
IF($D183="Pénétro.",
IF(OR($E183=3,$E183=1,$E183=4),CH183,CG183))),IF($D183="Pressio.",
IF($E183=3,CH183,CG183),
IF($D183="Pénétro.",
IF($E183=4,CH183,CG183))))</f>
        <v>#N/A</v>
      </c>
      <c r="CJ183" s="31">
        <v>0</v>
      </c>
      <c r="CK183" s="102" t="e">
        <f>IF(NDC!$H$10="Oui",(VLOOKUP($B$3,'Coeff EC7'!$T$39:$X$59,2,0)*CI183+VLOOKUP($B$3,'Coeff EC7'!$T$65:$X$85,2,0)*Model0.1T!CJ183)/1.5,PI()*CG$12*$Q183*($B183-$B182)*0.15/10+CK182)</f>
        <v>#N/A</v>
      </c>
      <c r="CL183" s="102" t="e">
        <f>(VLOOKUP($B$3,'Coeff EC7'!$T$39:$X$59,3,0)*CI183+VLOOKUP($B$3,'Coeff EC7'!$T$65:$X$85,3,0)*Model0.1T!CJ183)/1.1</f>
        <v>#N/A</v>
      </c>
      <c r="CM183" s="102" t="e">
        <f t="shared" si="282"/>
        <v>#N/A</v>
      </c>
      <c r="CN183" s="102" t="e">
        <f t="shared" si="283"/>
        <v>#N/A</v>
      </c>
      <c r="CO183" s="414" t="e">
        <f>IF(AND(CK183&gt;NDC!$C$63,CL183&gt;NDC!$C$65,CM183&gt;NDC!$D$73,CN183&gt;NDC!$D$74,$B183&gt;NDC!$H$22-0.1+MIN(3*CO$12,1.5)),0,1)</f>
        <v>#N/A</v>
      </c>
      <c r="CP183" s="86" t="b">
        <f t="shared" si="249"/>
        <v>0</v>
      </c>
      <c r="CQ183" s="86">
        <f t="shared" si="250"/>
        <v>0.5</v>
      </c>
      <c r="CR183" s="86">
        <f t="shared" si="251"/>
        <v>0.5</v>
      </c>
      <c r="CS183" s="30" t="e">
        <f t="shared" ca="1" si="284"/>
        <v>#DIV/0!</v>
      </c>
      <c r="CT183" s="85" t="e">
        <f ca="1">IF(BZ183&lt;=Hypothèses!$V$7,Hypothèses!$W$7,IF(BZ183&lt;=Hypothèses!$V$8,Hypothèses!$W$8,IF(BZ183&lt;=Hypothèses!$V$9,Hypothèses!$W$9,IF(BZ183&lt;=Hypothèses!$V$10,Hypothèses!$W$10,IF(BZ183&lt;=Hypothèses!$V$11,Hypothèses!$W$11,IF(BZ183&lt;=Hypothèses!$V$12,Hypothèses!$W$12,IF(BZ183&lt;=Hypothèses!$V$13,Hypothèses!$W$13,IF(BZ183&lt;=Hypothèses!$V$14,Hypothèses!$W$14,IF(BZ183&lt;=Hypothèses!$V$15,Hypothèses!$W$15,IF(BZ183&lt;=Hypothèses!$V$16,Hypothèses!$W$16,IF(BZ183&lt;=Hypothèses!$V$17,Hypothèses!$W$17,IF(BZ183&lt;=Hypothèses!$V$18,Hypothèses!$W$18,""))))))))))))</f>
        <v>#DIV/0!</v>
      </c>
      <c r="CU183" s="87" t="e">
        <f t="shared" ca="1" si="320"/>
        <v>#DIV/0!</v>
      </c>
      <c r="CV183" s="88" t="e">
        <f ca="1">IF(BZ183&lt;=Hypothèses!$V$7,Hypothèses!$X$7,IF(BZ183&lt;=Hypothèses!$V$8,Hypothèses!$X$8,IF(BZ183&lt;=Hypothèses!$V$9,Hypothèses!$X$9,IF(BZ183&lt;=Hypothèses!$V$10,Hypothèses!$X$10,IF(BZ183&lt;=Hypothèses!$V$11,Hypothèses!$X$11,IF(BZ183&lt;=Hypothèses!$V$12,Hypothèses!$X$12,IF(BZ183&lt;=Hypothèses!$V$13,Hypothèses!$X$13,IF(BZ183&lt;=Hypothèses!$V$14,Hypothèses!$X$14,IF(BZ183&lt;=Hypothèses!$V$15,Hypothèses!$X$15,IF(BZ183&lt;=Hypothèses!$V$16,Hypothèses!$X$16,IF(BZ183&lt;=Hypothèses!$U$17,Hypothèses!$W$17,IF(BZ183&lt;=Hypothèses!$U$18,Hypothèses!$W$18,""))))))))))))</f>
        <v>#DIV/0!</v>
      </c>
      <c r="CW183" s="95" t="e">
        <f t="shared" ca="1" si="285"/>
        <v>#DIV/0!</v>
      </c>
      <c r="CX183" s="101">
        <f t="shared" si="327"/>
        <v>0</v>
      </c>
      <c r="CY183" s="91">
        <f t="shared" si="252"/>
        <v>0</v>
      </c>
      <c r="CZ183" s="30" t="e">
        <f t="shared" si="308"/>
        <v>#N/A</v>
      </c>
      <c r="DA183" s="30" t="e">
        <f t="shared" si="309"/>
        <v>#N/A</v>
      </c>
      <c r="DB183" s="31" t="e">
        <f>IF(OR(Hypothèses!$B$4=17,Hypothèses!$B$4=18,Hypothèses!$B$4=19,Hypothèses!$B$4=20),
IF($D183="Pressio.",
IF(OR($E183=3,$E183=1,$E183=4),DA183,CZ183),
IF($D183="Pénétro.",
IF(OR($E183=3,$E183=1,$E183=4),DA183,CZ183))),IF($D183="Pressio.",
IF($E183=3,DA183,CZ183),
IF($D183="Pénétro.",
IF($E183=4,DA183,CZ183))))</f>
        <v>#N/A</v>
      </c>
      <c r="DC183" s="31">
        <v>0</v>
      </c>
      <c r="DD183" s="102" t="e">
        <f>IF(NDC!$H$10="Oui",(VLOOKUP($B$3,'Coeff EC7'!$T$39:$X$59,2,0)*DB183+VLOOKUP($B$3,'Coeff EC7'!$T$65:$X$85,2,0)*Model0.1T!DC183)/1.5,PI()*CZ$12*$Q183*($B183-$B182)*0.15/10+DD182)</f>
        <v>#N/A</v>
      </c>
      <c r="DE183" s="102" t="e">
        <f>(VLOOKUP($B$3,'Coeff EC7'!$T$39:$X$59,3,0)*DB183+VLOOKUP($B$3,'Coeff EC7'!$T$65:$X$85,3,0)*Model0.1T!DC183)/1.1</f>
        <v>#N/A</v>
      </c>
      <c r="DF183" s="102" t="e">
        <f t="shared" si="286"/>
        <v>#N/A</v>
      </c>
      <c r="DG183" s="102" t="e">
        <f t="shared" si="287"/>
        <v>#N/A</v>
      </c>
      <c r="DH183" s="414" t="e">
        <f>IF(AND(DD183&gt;NDC!$C$63,DE183&gt;NDC!$C$65,DF183&gt;NDC!$D$73,DG183&gt;NDC!$D$74,$B183&gt;NDC!$H$22-0.1+MIN(3*DH$12,1.5)),0,1)</f>
        <v>#N/A</v>
      </c>
      <c r="DI183" s="86" t="b">
        <f t="shared" si="253"/>
        <v>0</v>
      </c>
      <c r="DJ183" s="86">
        <f t="shared" si="254"/>
        <v>0.5</v>
      </c>
      <c r="DK183" s="86">
        <f t="shared" si="255"/>
        <v>0.5</v>
      </c>
      <c r="DL183" s="30" t="e">
        <f t="shared" ca="1" si="288"/>
        <v>#DIV/0!</v>
      </c>
      <c r="DM183" s="85" t="e">
        <f ca="1">IF(CS183&lt;=Hypothèses!$V$7,Hypothèses!$W$7,IF(CS183&lt;=Hypothèses!$V$8,Hypothèses!$W$8,IF(CS183&lt;=Hypothèses!$V$9,Hypothèses!$W$9,IF(CS183&lt;=Hypothèses!$V$10,Hypothèses!$W$10,IF(CS183&lt;=Hypothèses!$V$11,Hypothèses!$W$11,IF(CS183&lt;=Hypothèses!$V$12,Hypothèses!$W$12,IF(CS183&lt;=Hypothèses!$V$13,Hypothèses!$W$13,IF(CS183&lt;=Hypothèses!$V$14,Hypothèses!$W$14,IF(CS183&lt;=Hypothèses!$V$15,Hypothèses!$W$15,IF(CS183&lt;=Hypothèses!$V$16,Hypothèses!$W$16,IF(CS183&lt;=Hypothèses!$V$17,Hypothèses!$W$17,IF(CS183&lt;=Hypothèses!$V$18,Hypothèses!$W$18,""))))))))))))</f>
        <v>#DIV/0!</v>
      </c>
      <c r="DN183" s="87" t="e">
        <f t="shared" ca="1" si="321"/>
        <v>#DIV/0!</v>
      </c>
      <c r="DO183" s="88" t="e">
        <f ca="1">IF(CS183&lt;=Hypothèses!$V$7,Hypothèses!$X$7,IF(CS183&lt;=Hypothèses!$V$8,Hypothèses!$X$8,IF(CS183&lt;=Hypothèses!$V$9,Hypothèses!$X$9,IF(CS183&lt;=Hypothèses!$V$10,Hypothèses!$X$10,IF(CS183&lt;=Hypothèses!$V$11,Hypothèses!$X$11,IF(CS183&lt;=Hypothèses!$V$12,Hypothèses!$X$12,IF(CS183&lt;=Hypothèses!$V$13,Hypothèses!$X$13,IF(CS183&lt;=Hypothèses!$V$14,Hypothèses!$X$14,IF(CS183&lt;=Hypothèses!$V$15,Hypothèses!$X$15,IF(CS183&lt;=Hypothèses!$V$16,Hypothèses!$X$16,IF(CS183&lt;=Hypothèses!$U$17,Hypothèses!$W$17,IF(CS183&lt;=Hypothèses!$U$18,Hypothèses!$W$18,""))))))))))))</f>
        <v>#DIV/0!</v>
      </c>
      <c r="DP183" s="95" t="e">
        <f t="shared" ca="1" si="289"/>
        <v>#DIV/0!</v>
      </c>
      <c r="DQ183" s="101">
        <f t="shared" si="328"/>
        <v>0</v>
      </c>
      <c r="DR183" s="91">
        <f t="shared" si="256"/>
        <v>0</v>
      </c>
      <c r="DS183" s="30" t="e">
        <f t="shared" si="310"/>
        <v>#N/A</v>
      </c>
      <c r="DT183" s="30" t="e">
        <f t="shared" si="311"/>
        <v>#N/A</v>
      </c>
      <c r="DU183" s="31" t="e">
        <f>IF(OR(Hypothèses!$B$4=17,Hypothèses!$B$4=18,Hypothèses!$B$4=19,Hypothèses!$B$4=20),
IF($D183="Pressio.",
IF(OR($E183=3,$E183=1,$E183=4),DT183,DS183),
IF($D183="Pénétro.",
IF(OR($E183=3,$E183=1,$E183=4),DT183,DS183))),IF($D183="Pressio.",
IF($E183=3,DT183,DS183),
IF($D183="Pénétro.",
IF($E183=4,DT183,DS183))))</f>
        <v>#N/A</v>
      </c>
      <c r="DV183" s="31">
        <v>0</v>
      </c>
      <c r="DW183" s="102" t="e">
        <f>IF(NDC!$H$10="Oui",(VLOOKUP($B$3,'Coeff EC7'!$T$39:$X$59,2,0)*DU183+VLOOKUP($B$3,'Coeff EC7'!$T$65:$X$85,2,0)*Model0.1T!DV183)/1.5,PI()*DS$12*$Q183*($B183-$B182)*0.15/10+DW182)</f>
        <v>#N/A</v>
      </c>
      <c r="DX183" s="102" t="e">
        <f>(VLOOKUP($B$3,'Coeff EC7'!$T$39:$X$59,3,0)*DU183+VLOOKUP($B$3,'Coeff EC7'!$T$65:$X$85,3,0)*Model0.1T!DV183)/1.1</f>
        <v>#N/A</v>
      </c>
      <c r="DY183" s="102" t="e">
        <f t="shared" si="290"/>
        <v>#N/A</v>
      </c>
      <c r="DZ183" s="102" t="e">
        <f t="shared" si="291"/>
        <v>#N/A</v>
      </c>
      <c r="EA183" s="414" t="e">
        <f>IF(AND(DW183&gt;NDC!$C$63,DX183&gt;NDC!$C$65,DY183&gt;NDC!$D$73,DZ183&gt;NDC!$D$74,$B183&gt;NDC!$H$22-0.1+MIN(3*EA$12,1.5)),0,1)</f>
        <v>#N/A</v>
      </c>
      <c r="EB183" s="86" t="b">
        <f t="shared" si="257"/>
        <v>0</v>
      </c>
      <c r="EC183" s="418">
        <f t="shared" si="258"/>
        <v>0.51</v>
      </c>
      <c r="ED183" s="86">
        <f t="shared" si="259"/>
        <v>0.51</v>
      </c>
      <c r="EE183" s="30" t="e">
        <f t="shared" ca="1" si="292"/>
        <v>#DIV/0!</v>
      </c>
      <c r="EF183" s="85" t="e">
        <f ca="1">IF(DL183&lt;=Hypothèses!$V$7,Hypothèses!$W$7,IF(DL183&lt;=Hypothèses!$V$8,Hypothèses!$W$8,IF(DL183&lt;=Hypothèses!$V$9,Hypothèses!$W$9,IF(DL183&lt;=Hypothèses!$V$10,Hypothèses!$W$10,IF(DL183&lt;=Hypothèses!$V$11,Hypothèses!$W$11,IF(DL183&lt;=Hypothèses!$V$12,Hypothèses!$W$12,IF(DL183&lt;=Hypothèses!$V$13,Hypothèses!$W$13,IF(DL183&lt;=Hypothèses!$V$14,Hypothèses!$W$14,IF(DL183&lt;=Hypothèses!$V$15,Hypothèses!$W$15,IF(DL183&lt;=Hypothèses!$V$16,Hypothèses!$W$16,IF(DL183&lt;=Hypothèses!$V$17,Hypothèses!$W$17,IF(DL183&lt;=Hypothèses!$V$18,Hypothèses!$W$18,""))))))))))))</f>
        <v>#DIV/0!</v>
      </c>
      <c r="EG183" s="87" t="e">
        <f t="shared" ca="1" si="322"/>
        <v>#DIV/0!</v>
      </c>
      <c r="EH183" s="88" t="e">
        <f ca="1">IF(DL183&lt;=Hypothèses!$V$7,Hypothèses!$X$7,IF(DL183&lt;=Hypothèses!$V$8,Hypothèses!$X$8,IF(DL183&lt;=Hypothèses!$V$9,Hypothèses!$X$9,IF(DL183&lt;=Hypothèses!$V$10,Hypothèses!$X$10,IF(DL183&lt;=Hypothèses!$V$11,Hypothèses!$X$11,IF(DL183&lt;=Hypothèses!$V$12,Hypothèses!$X$12,IF(DL183&lt;=Hypothèses!$V$13,Hypothèses!$X$13,IF(DL183&lt;=Hypothèses!$V$14,Hypothèses!$X$14,IF(DL183&lt;=Hypothèses!$V$15,Hypothèses!$X$15,IF(DL183&lt;=Hypothèses!$V$16,Hypothèses!$X$16,IF(DL183&lt;=Hypothèses!$U$17,Hypothèses!$W$17,IF(DL183&lt;=Hypothèses!$U$18,Hypothèses!$W$18,""))))))))))))</f>
        <v>#DIV/0!</v>
      </c>
      <c r="EI183" s="95" t="e">
        <f t="shared" ca="1" si="293"/>
        <v>#DIV/0!</v>
      </c>
      <c r="EJ183" s="101">
        <f t="shared" si="329"/>
        <v>0</v>
      </c>
      <c r="EK183" s="91">
        <f t="shared" si="260"/>
        <v>0</v>
      </c>
      <c r="EL183" s="30" t="e">
        <f t="shared" si="312"/>
        <v>#N/A</v>
      </c>
      <c r="EM183" s="30" t="e">
        <f t="shared" si="313"/>
        <v>#N/A</v>
      </c>
      <c r="EN183" s="31" t="e">
        <f>IF(OR(Hypothèses!$B$4=17,Hypothèses!$B$4=18,Hypothèses!$B$4=19,Hypothèses!$B$4=20),
IF($D183="Pressio.",
IF(OR($E183=3,$E183=1,$E183=4),EM183,EL183),
IF($D183="Pénétro.",
IF(OR($E183=3,$E183=1,$E183=4),EM183,EL183))),IF($D183="Pressio.",
IF($E183=3,EM183,EL183),
IF($D183="Pénétro.",
IF($E183=4,EM183,EL183))))</f>
        <v>#N/A</v>
      </c>
      <c r="EO183" s="31">
        <v>0</v>
      </c>
      <c r="EP183" s="102" t="e">
        <f>IF(NDC!$H$10="Oui",(VLOOKUP($B$3,'Coeff EC7'!$T$39:$X$59,2,0)*EN183+VLOOKUP($B$3,'Coeff EC7'!$T$65:$X$85,2,0)*Model0.1T!EO183)/1.5,PI()*EL$12*$Q183*($B183-$B182)*0.15/10+EP182)</f>
        <v>#N/A</v>
      </c>
      <c r="EQ183" s="102" t="e">
        <f>(VLOOKUP($B$3,'Coeff EC7'!$T$39:$X$59,3,0)*EN183+VLOOKUP($B$3,'Coeff EC7'!$T$65:$X$85,3,0)*Model0.1T!EO183)/1.1</f>
        <v>#N/A</v>
      </c>
      <c r="ER183" s="102" t="e">
        <f t="shared" si="294"/>
        <v>#N/A</v>
      </c>
      <c r="ES183" s="102" t="e">
        <f t="shared" si="295"/>
        <v>#N/A</v>
      </c>
      <c r="ET183" s="414" t="e">
        <f>IF(AND(EP183&gt;NDC!$C$63,EQ183&gt;NDC!$C$65,ER183&gt;NDC!$D$73,ES183&gt;NDC!$D$74,$B183&gt;NDC!$H$22-0.1+MIN(3*ET$12,1.5)),0,1)</f>
        <v>#N/A</v>
      </c>
      <c r="EU183" s="86" t="b">
        <f t="shared" si="261"/>
        <v>0</v>
      </c>
      <c r="EV183" s="86">
        <f t="shared" si="262"/>
        <v>0.61</v>
      </c>
      <c r="EW183" s="86">
        <f t="shared" si="263"/>
        <v>0.61</v>
      </c>
      <c r="EX183" s="30" t="e">
        <f t="shared" ca="1" si="296"/>
        <v>#DIV/0!</v>
      </c>
      <c r="EY183" s="85" t="e">
        <f ca="1">IF(EE183&lt;=Hypothèses!$V$7,Hypothèses!$W$7,IF(EE183&lt;=Hypothèses!$V$8,Hypothèses!$W$8,IF(EE183&lt;=Hypothèses!$V$9,Hypothèses!$W$9,IF(EE183&lt;=Hypothèses!$V$10,Hypothèses!$W$10,IF(EE183&lt;=Hypothèses!$V$11,Hypothèses!$W$11,IF(EE183&lt;=Hypothèses!$V$12,Hypothèses!$W$12,IF(EE183&lt;=Hypothèses!$V$13,Hypothèses!$W$13,IF(EE183&lt;=Hypothèses!$V$14,Hypothèses!$W$14,IF(EE183&lt;=Hypothèses!$V$15,Hypothèses!$W$15,IF(EE183&lt;=Hypothèses!$V$16,Hypothèses!$W$16,IF(EE183&lt;=Hypothèses!$V$17,Hypothèses!$W$17,IF(EE183&lt;=Hypothèses!$V$18,Hypothèses!$W$18,""))))))))))))</f>
        <v>#DIV/0!</v>
      </c>
      <c r="EZ183" s="87" t="e">
        <f t="shared" ca="1" si="323"/>
        <v>#DIV/0!</v>
      </c>
      <c r="FA183" s="88" t="e">
        <f ca="1">IF(EE183&lt;=Hypothèses!$V$7,Hypothèses!$X$7,IF(EE183&lt;=Hypothèses!$V$8,Hypothèses!$X$8,IF(EE183&lt;=Hypothèses!$V$9,Hypothèses!$X$9,IF(EE183&lt;=Hypothèses!$V$10,Hypothèses!$X$10,IF(EE183&lt;=Hypothèses!$V$11,Hypothèses!$X$11,IF(EE183&lt;=Hypothèses!$V$12,Hypothèses!$X$12,IF(EE183&lt;=Hypothèses!$V$13,Hypothèses!$X$13,IF(EE183&lt;=Hypothèses!$V$14,Hypothèses!$X$14,IF(EE183&lt;=Hypothèses!$V$15,Hypothèses!$X$15,IF(EE183&lt;=Hypothèses!$V$16,Hypothèses!$X$16,IF(EE183&lt;=Hypothèses!$U$17,Hypothèses!$W$17,IF(EE183&lt;=Hypothèses!$U$18,Hypothèses!$W$18,""))))))))))))</f>
        <v>#DIV/0!</v>
      </c>
      <c r="FB183" s="95" t="e">
        <f t="shared" ca="1" si="297"/>
        <v>#DIV/0!</v>
      </c>
      <c r="FC183" s="101">
        <f t="shared" si="330"/>
        <v>0</v>
      </c>
      <c r="FD183" s="91">
        <f t="shared" si="264"/>
        <v>0</v>
      </c>
      <c r="FE183" s="30" t="e">
        <f t="shared" si="314"/>
        <v>#N/A</v>
      </c>
      <c r="FF183" s="30" t="e">
        <f t="shared" si="315"/>
        <v>#N/A</v>
      </c>
      <c r="FG183" s="31" t="e">
        <f>IF(OR(Hypothèses!$B$4=17,Hypothèses!$B$4=18,Hypothèses!$B$4=19,Hypothèses!$B$4=20),
IF($D183="Pressio.",
IF(OR($E183=3,$E183=1,$E183=4),FF183,FE183),
IF($D183="Pénétro.",
IF(OR($E183=3,$E183=1,$E183=4),FF183,FE183))),IF($D183="Pressio.",
IF($E183=3,FF183,FE183),
IF($D183="Pénétro.",
IF($E183=4,FF183,FE183))))</f>
        <v>#N/A</v>
      </c>
      <c r="FH183" s="31">
        <v>0</v>
      </c>
      <c r="FI183" s="102" t="e">
        <f>IF(NDC!$H$10="Oui",(VLOOKUP($B$3,'Coeff EC7'!$T$39:$X$59,2,0)*FG183+VLOOKUP($B$3,'Coeff EC7'!$T$65:$X$85,2,0)*Model0.1T!FH183)/1.5,PI()*FE$12*$Q183*($B183-$B182)*0.15/10+FI182)</f>
        <v>#N/A</v>
      </c>
      <c r="FJ183" s="102" t="e">
        <f>(VLOOKUP($B$3,'Coeff EC7'!$T$39:$X$59,3,0)*FG183+VLOOKUP($B$3,'Coeff EC7'!$T$65:$X$85,3,0)*Model0.1T!FH183)/1.1</f>
        <v>#N/A</v>
      </c>
      <c r="FK183" s="102" t="e">
        <f t="shared" si="298"/>
        <v>#N/A</v>
      </c>
      <c r="FL183" s="102" t="e">
        <f t="shared" si="299"/>
        <v>#N/A</v>
      </c>
      <c r="FM183" s="414" t="e">
        <f>IF(AND(FI183&gt;NDC!$C$63,FJ183&gt;NDC!$C$65,FK183&gt;NDC!$D$73,FL183&gt;NDC!$D$74,$B183&gt;NDC!$H$22-0.1+MIN(3*FM$12,1.5)),0,1)</f>
        <v>#N/A</v>
      </c>
    </row>
    <row r="184" spans="1:169">
      <c r="A184" s="96">
        <f t="shared" si="265"/>
        <v>82.900000000000972</v>
      </c>
      <c r="B184" s="97">
        <v>17.100000000000001</v>
      </c>
      <c r="C184" s="81">
        <f>IF(B184&lt;=Hypothèses!$C$7,Hypothèses!$A$7,IF(B184&lt;=Hypothèses!$C$8,Hypothèses!$A$8,IF(B184&lt;=Hypothèses!$C$9,Hypothèses!$A$9,IF(B184&lt;=Hypothèses!$C$10,Hypothèses!$A$10,IF(B184&lt;=Hypothèses!$C$11,Hypothèses!$A$11,IF(B184&lt;=Hypothèses!$C$12,Hypothèses!$A$12,IF(B184&lt;=Hypothèses!$C$13,Hypothèses!$A$13,IF(B184&lt;=Hypothèses!$C$14,Hypothèses!$A$14,IF(B184&lt;=Hypothèses!$C$15,Hypothèses!$A$15,IF(B184&lt;=Hypothèses!$C$16,Hypothèses!$A$16,IF(B184&lt;=Hypothèses!$C$17,Hypothèses!$A$17,IF(B184&lt;=Hypothèses!$C$18,Hypothèses!$A$18,C183))))))))))))</f>
        <v>11</v>
      </c>
      <c r="D184" s="82" t="str">
        <f>IF(B184&lt;=Hypothèses!$C$7,Hypothèses!$R$7,IF(B184&lt;=Hypothèses!$C$8,Hypothèses!$R$8,IF(B184&lt;=Hypothèses!$C$9,Hypothèses!$R$9,IF(B184&lt;=Hypothèses!$C$10,Hypothèses!$R$10,IF(B184&lt;=Hypothèses!$C$11,Hypothèses!$R$11,IF(B184&lt;=Hypothèses!$C$12,Hypothèses!$R$12,IF(B184&lt;=Hypothèses!$C$13,Hypothèses!$R$13,IF(B184&lt;=Hypothèses!$C$14,Hypothèses!$R$14,IF(B184&lt;=Hypothèses!$C$15,Hypothèses!$R$15,IF(B184&lt;=Hypothèses!$C$16,Hypothèses!$R$16,IF(B184&lt;=Hypothèses!$C$17,Hypothèses!$R$17,IF(B184&lt;=Hypothèses!$C$18,Hypothèses!$R$18,D183))))))))))))</f>
        <v>Pressio.</v>
      </c>
      <c r="E184" s="82" t="e">
        <f>IF(B184&lt;=Hypothèses!$C$7,Hypothèses!$G$7,IF(B184&lt;=Hypothèses!$C$8,Hypothèses!$G$8,IF(B184&lt;=Hypothèses!$C$9,Hypothèses!$G$9,IF(B184&lt;=Hypothèses!$C$10,Hypothèses!$G$10,IF(B184&lt;=Hypothèses!$C$11,Hypothèses!$G$11,IF(B184&lt;=Hypothèses!$C$12,Hypothèses!$G$12,IF(B184&lt;=Hypothèses!$C$13,Hypothèses!$G$13,IF(B184&lt;=Hypothèses!$C$14,Hypothèses!$G$14,IF(B184&lt;=Hypothèses!$C$15,Hypothèses!$G$15,IF(B184&lt;=Hypothèses!$C$16,Hypothèses!$G$16,IF(B184&lt;=Hypothèses!$C$17,Hypothèses!$G$17,IF(B184&lt;=Hypothèses!$C$18,Hypothèses!$G$18,E183))))))))))))</f>
        <v>#N/A</v>
      </c>
      <c r="F184" s="82" t="str">
        <f>IF(B184&lt;=Hypothèses!$C$7,Hypothèses!$F$7,IF(B184&lt;=Hypothèses!$C$8,Hypothèses!$F$8,IF(B184&lt;=Hypothèses!$C$9,Hypothèses!$F$9,IF(B184&lt;=Hypothèses!$C$10,Hypothèses!$F$10,IF(B184&lt;=Hypothèses!$C$11,Hypothèses!$F$11,IF(B184&lt;=Hypothèses!$C$12,Hypothèses!$F$12,IF(B184&lt;=Hypothèses!$C$13,Hypothèses!$F$13,IF(B184&lt;=Hypothèses!$C$14,Hypothèses!$F$14,IF(B184&lt;=Hypothèses!$C$15,Hypothèses!$F$15,IF(B184&lt;=Hypothèses!$C$16,Hypothèses!$F$16,IF(B184&lt;=Hypothèses!$C$17,Hypothèses!$F$17,IF(B184&lt;=Hypothèses!$C$18,Hypothèses!$F$18,F183))))))))))))</f>
        <v/>
      </c>
      <c r="G184" s="91">
        <f t="array" ref="G184">INDEX('Coeff EC7'!$U$7:$X$27,
MATCH(Model0.1T!$B$3,'Coeff EC7'!$T$7:$T$27,0),
MATCH(Model0.1T!$D184&amp;Model0.1T!$B$4,
'Coeff EC7'!$U$6:$X$6&amp;
'Coeff EC7'!$U$5:$X$5,0))</f>
        <v>1.4</v>
      </c>
      <c r="H184" s="91">
        <f t="array" ref="H184">INDEX('Coeff EC7'!$Y$7:$AB$27,
MATCH(Model0.1T!$B$3,'Coeff EC7'!$T$7:$T$27,0),
MATCH(Model0.1T!$D184&amp;Model0.1T!$B$4,
'Coeff EC7'!$Y$6:$AB$6&amp;
'Coeff EC7'!$Y$5:$AB$5,0))</f>
        <v>1.7</v>
      </c>
      <c r="I184" s="83">
        <v>0</v>
      </c>
      <c r="J184" s="91" t="e">
        <f t="array" ref="J184">INDEX('Coeff EC7'!$D$33:$Q$33,1,MATCH(D184&amp;E184,'Coeff EC7'!$D$31:$Q$31&amp;'Coeff EC7'!$D$32:$Q$32,0))</f>
        <v>#N/A</v>
      </c>
      <c r="K184" s="91" t="e">
        <f t="array" ref="K184">INDEX('Coeff EC7'!$D$34:$Q$34,1,MATCH(D184&amp;E184,'Coeff EC7'!$D$31:$Q$31&amp;'Coeff EC7'!$D$32:$Q$32,0))</f>
        <v>#N/A</v>
      </c>
      <c r="L184" s="91" t="e">
        <f t="array" ref="L184">INDEX('Coeff EC7'!$D$35:$Q$35,1,MATCH(D184&amp;E184,'Coeff EC7'!$D$31:$Q$31&amp;'Coeff EC7'!$D$32:$Q$32,0))</f>
        <v>#N/A</v>
      </c>
      <c r="M184" s="98" t="e">
        <f t="shared" si="231"/>
        <v>#N/A</v>
      </c>
      <c r="N184" s="99" t="e">
        <f t="array" ref="N184">INDEX('Coeff EC7'!$D$7:$Q$27,MATCH($B$3,'Coeff EC7'!$C$7:$C$27,0),MATCH(D184&amp;E184,'Coeff EC7'!$D$5:$Q$5&amp;'Coeff EC7'!$D$6:$Q$6,0))</f>
        <v>#N/A</v>
      </c>
      <c r="O184" s="99" t="e">
        <f t="array" ref="O184">INDEX('Coeff EC7'!$D$41:$Q$61,MATCH($B$3,'Coeff EC7'!$C$41:$C$61,0),MATCH(D184&amp;E184,'Coeff EC7'!$D$39:$Q$39&amp;'Coeff EC7'!$D$40:$Q$40,0))</f>
        <v>#N/A</v>
      </c>
      <c r="P184" s="30" t="e">
        <f t="shared" si="266"/>
        <v>#N/A</v>
      </c>
      <c r="Q184" s="100" t="e">
        <f t="shared" si="233"/>
        <v>#N/A</v>
      </c>
      <c r="R184" s="86" t="b">
        <f t="shared" si="234"/>
        <v>0</v>
      </c>
      <c r="S184" s="86">
        <f t="shared" si="232"/>
        <v>0.5</v>
      </c>
      <c r="T184" s="86">
        <f t="shared" si="235"/>
        <v>0.5</v>
      </c>
      <c r="U184" s="30" t="e">
        <f t="shared" ca="1" si="267"/>
        <v>#DIV/0!</v>
      </c>
      <c r="V184" s="85" t="str">
        <f>IF(B184&lt;=Hypothèses!$V$7,Hypothèses!$W$7,IF(B184&lt;=Hypothèses!$V$8,Hypothèses!$W$8,IF(B184&lt;=Hypothèses!$V$9,Hypothèses!$W$9,IF(B184&lt;=Hypothèses!$V$10,Hypothèses!$W$10,IF(B184&lt;=Hypothèses!$V$11,Hypothèses!$W$11,IF(B184&lt;=Hypothèses!$V$12,Hypothèses!$W$12,IF(B184&lt;=Hypothèses!$V$13,Hypothèses!$W$13,IF(B184&lt;=Hypothèses!$V$14,Hypothèses!$W$14,IF(B184&lt;=Hypothèses!$V$15,Hypothèses!$W$15,IF(B184&lt;=Hypothèses!$V$16,Hypothèses!$W$16,IF(B184&lt;=Hypothèses!$V$17,Hypothèses!$W$17,IF(B184&lt;=Hypothèses!$V$18,Hypothèses!$W$18,""))))))))))))</f>
        <v/>
      </c>
      <c r="W184" s="87" t="e">
        <f t="shared" ca="1" si="316"/>
        <v>#DIV/0!</v>
      </c>
      <c r="X184" s="88" t="str">
        <f>IF(B184&lt;=Hypothèses!$V$7,Hypothèses!$X$7,IF(B184&lt;=Hypothèses!$V$8,Hypothèses!$X$8,IF(B184&lt;=Hypothèses!$V$9,Hypothèses!$X$9,IF(B184&lt;=Hypothèses!$V$10,Hypothèses!$X$10,IF(B184&lt;=Hypothèses!$V$11,Hypothèses!$X$11,IF(B184&lt;=Hypothèses!$V$12,Hypothèses!$X$12,IF(B184&lt;=Hypothèses!$V$13,Hypothèses!$X$13,IF(B184&lt;=Hypothèses!$V$14,Hypothèses!$X$14,IF(B184&lt;=Hypothèses!$V$15,Hypothèses!$X$15,IF(B184&lt;=Hypothèses!$V$16,Hypothèses!$X$16,IF(B184&lt;=Hypothèses!$U$17,Hypothèses!$W$17,IF(B184&lt;=Hypothèses!$U$18,Hypothèses!$W$18,""))))))))))))</f>
        <v/>
      </c>
      <c r="Y184" s="95" t="e">
        <f t="shared" ca="1" si="236"/>
        <v>#DIV/0!</v>
      </c>
      <c r="Z184" s="101">
        <f t="shared" si="237"/>
        <v>0</v>
      </c>
      <c r="AA184" s="91">
        <f t="shared" si="238"/>
        <v>0</v>
      </c>
      <c r="AB184" s="30" t="e">
        <f t="shared" si="300"/>
        <v>#N/A</v>
      </c>
      <c r="AC184" s="30" t="e">
        <f t="shared" si="301"/>
        <v>#N/A</v>
      </c>
      <c r="AD184" s="31" t="e">
        <f>IF(OR(Hypothèses!$B$4=17,Hypothèses!$B$4=18,Hypothèses!$B$4=19,Hypothèses!$B$4=20),
IF($D184="Pressio.",
IF(OR($E184=3,$E184=1,$E184=4),AC184,AB184),
IF($D184="Pénétro.",
IF(OR($E184=3,$E184=1,$E184=4),AC184,AB184))),IF($D184="Pressio.",
IF($E184=3,AC184,AB184),
IF($D184="Pénétro.",
IF($E184=4,AC184,AB184))))</f>
        <v>#N/A</v>
      </c>
      <c r="AE184" s="31">
        <v>0</v>
      </c>
      <c r="AF184" s="102" t="e">
        <f>IF(NDC!$H$10="Oui",(VLOOKUP($B$3,'Coeff EC7'!$T$39:$X$59,2,0)*AD184+VLOOKUP($B$3,'Coeff EC7'!$T$65:$X$85,2,0)*Model0.1T!AE184)/1.5,PI()*AB$12*$Q184*($B184-$B183)*0.15/10+AF183)</f>
        <v>#N/A</v>
      </c>
      <c r="AG184" s="102" t="e">
        <f>(VLOOKUP($B$3,'Coeff EC7'!$T$39:$X$59,3,0)*AD184+VLOOKUP($B$3,'Coeff EC7'!$T$65:$X$85,3,0)*Model0.1T!AE184)/1.1</f>
        <v>#N/A</v>
      </c>
      <c r="AH184" s="102" t="e">
        <f t="shared" si="268"/>
        <v>#N/A</v>
      </c>
      <c r="AI184" s="102" t="e">
        <f t="shared" si="269"/>
        <v>#N/A</v>
      </c>
      <c r="AJ184" s="414" t="e">
        <f>IF(AND(AF184&gt;NDC!$C$63,AG184&gt;NDC!$C$65,AH184&gt;NDC!$D$73,AI184&gt;NDC!$D$74,$B184&gt;NDC!$H$22-0.1+MIN(3*$AJ$12,1.5)),0,1)</f>
        <v>#N/A</v>
      </c>
      <c r="AK184" s="86" t="b">
        <f t="shared" si="239"/>
        <v>0</v>
      </c>
      <c r="AL184" s="86">
        <f t="shared" si="270"/>
        <v>0.5</v>
      </c>
      <c r="AM184" s="86">
        <f t="shared" si="240"/>
        <v>0.5</v>
      </c>
      <c r="AN184" s="30" t="e">
        <f t="shared" ca="1" si="271"/>
        <v>#DIV/0!</v>
      </c>
      <c r="AO184" s="85" t="e">
        <f ca="1">IF(U184&lt;=Hypothèses!$V$7,Hypothèses!$W$7,IF(U184&lt;=Hypothèses!$V$8,Hypothèses!$W$8,IF(U184&lt;=Hypothèses!$V$9,Hypothèses!$W$9,IF(U184&lt;=Hypothèses!$V$10,Hypothèses!$W$10,IF(U184&lt;=Hypothèses!$V$11,Hypothèses!$W$11,IF(U184&lt;=Hypothèses!$V$12,Hypothèses!$W$12,IF(U184&lt;=Hypothèses!$V$13,Hypothèses!$W$13,IF(U184&lt;=Hypothèses!$V$14,Hypothèses!$W$14,IF(U184&lt;=Hypothèses!$V$15,Hypothèses!$W$15,IF(U184&lt;=Hypothèses!$V$16,Hypothèses!$W$16,IF(U184&lt;=Hypothèses!$V$17,Hypothèses!$W$17,IF(U184&lt;=Hypothèses!$V$18,Hypothèses!$W$18,""))))))))))))</f>
        <v>#DIV/0!</v>
      </c>
      <c r="AP184" s="87" t="e">
        <f t="shared" ca="1" si="317"/>
        <v>#DIV/0!</v>
      </c>
      <c r="AQ184" s="88" t="e">
        <f ca="1">IF(U184&lt;=Hypothèses!$V$7,Hypothèses!$X$7,IF(U184&lt;=Hypothèses!$V$8,Hypothèses!$X$8,IF(U184&lt;=Hypothèses!$V$9,Hypothèses!$X$9,IF(U184&lt;=Hypothèses!$V$10,Hypothèses!$X$10,IF(U184&lt;=Hypothèses!$V$11,Hypothèses!$X$11,IF(U184&lt;=Hypothèses!$V$12,Hypothèses!$X$12,IF(U184&lt;=Hypothèses!$V$13,Hypothèses!$X$13,IF(U184&lt;=Hypothèses!$V$14,Hypothèses!$X$14,IF(U184&lt;=Hypothèses!$V$15,Hypothèses!$X$15,IF(U184&lt;=Hypothèses!$V$16,Hypothèses!$X$16,IF(U184&lt;=Hypothèses!$U$17,Hypothèses!$W$17,IF(U184&lt;=Hypothèses!$U$18,Hypothèses!$W$18,""))))))))))))</f>
        <v>#DIV/0!</v>
      </c>
      <c r="AR184" s="95" t="e">
        <f t="shared" ca="1" si="272"/>
        <v>#DIV/0!</v>
      </c>
      <c r="AS184" s="101">
        <f t="shared" si="324"/>
        <v>0</v>
      </c>
      <c r="AT184" s="91">
        <f t="shared" si="241"/>
        <v>0</v>
      </c>
      <c r="AU184" s="30" t="e">
        <f t="shared" si="302"/>
        <v>#N/A</v>
      </c>
      <c r="AV184" s="30" t="e">
        <f t="shared" si="303"/>
        <v>#N/A</v>
      </c>
      <c r="AW184" s="31" t="e">
        <f>IF(OR(Hypothèses!$B$4=17,Hypothèses!$B$4=18,Hypothèses!$B$4=19,Hypothèses!$B$4=20),
IF($D184="Pressio.",
IF(OR($E184=3,$E184=1,$E184=4),AV184,AU184),
IF($D184="Pénétro.",
IF(OR($E184=3,$E184=1,$E184=4),AV184,AU184))),IF($D184="Pressio.",
IF($E184=3,AV184,AU184),
IF($D184="Pénétro.",
IF($E184=4,AV184,AU184))))</f>
        <v>#N/A</v>
      </c>
      <c r="AX184" s="31">
        <v>0</v>
      </c>
      <c r="AY184" s="102" t="e">
        <f>IF(NDC!$H$10="Oui",(VLOOKUP($B$3,'Coeff EC7'!$T$39:$X$59,2,0)*AW184+VLOOKUP($B$3,'Coeff EC7'!$T$65:$X$85,2,0)*Model0.1T!AX184)/1.5,PI()*AU$12*$Q184*($B184-$B183)*0.15/10+AY183)</f>
        <v>#N/A</v>
      </c>
      <c r="AZ184" s="102" t="e">
        <f>(VLOOKUP($B$3,'Coeff EC7'!$T$39:$X$59,3,0)*AW184+VLOOKUP($B$3,'Coeff EC7'!$T$65:$X$85,3,0)*Model0.1T!AX184)/1.1</f>
        <v>#N/A</v>
      </c>
      <c r="BA184" s="102" t="e">
        <f t="shared" si="273"/>
        <v>#N/A</v>
      </c>
      <c r="BB184" s="102" t="e">
        <f t="shared" si="274"/>
        <v>#N/A</v>
      </c>
      <c r="BC184" s="414" t="e">
        <f>IF(AND(AY184&gt;NDC!$C$63,AZ184&gt;NDC!$C$65,BA184&gt;NDC!$D$73,BB184&gt;NDC!$D$74,$B184&gt;NDC!$H$22-0.1+MIN(3*BC$12,1.5)),0,1)</f>
        <v>#N/A</v>
      </c>
      <c r="BD184" s="86" t="b">
        <f t="shared" si="242"/>
        <v>0</v>
      </c>
      <c r="BE184" s="86">
        <f t="shared" si="275"/>
        <v>0.5</v>
      </c>
      <c r="BF184" s="86">
        <f t="shared" si="243"/>
        <v>0.5</v>
      </c>
      <c r="BG184" s="30" t="e">
        <f t="shared" ca="1" si="276"/>
        <v>#DIV/0!</v>
      </c>
      <c r="BH184" s="85" t="e">
        <f ca="1">IF(AN184&lt;=Hypothèses!$V$7,Hypothèses!$W$7,IF(AN184&lt;=Hypothèses!$V$8,Hypothèses!$W$8,IF(AN184&lt;=Hypothèses!$V$9,Hypothèses!$W$9,IF(AN184&lt;=Hypothèses!$V$10,Hypothèses!$W$10,IF(AN184&lt;=Hypothèses!$V$11,Hypothèses!$W$11,IF(AN184&lt;=Hypothèses!$V$12,Hypothèses!$W$12,IF(AN184&lt;=Hypothèses!$V$13,Hypothèses!$W$13,IF(AN184&lt;=Hypothèses!$V$14,Hypothèses!$W$14,IF(AN184&lt;=Hypothèses!$V$15,Hypothèses!$W$15,IF(AN184&lt;=Hypothèses!$V$16,Hypothèses!$W$16,IF(AN184&lt;=Hypothèses!$V$17,Hypothèses!$W$17,IF(AN184&lt;=Hypothèses!$V$18,Hypothèses!$W$18,""))))))))))))</f>
        <v>#DIV/0!</v>
      </c>
      <c r="BI184" s="87" t="e">
        <f t="shared" ca="1" si="318"/>
        <v>#DIV/0!</v>
      </c>
      <c r="BJ184" s="88" t="e">
        <f ca="1">IF(AN184&lt;=Hypothèses!$V$7,Hypothèses!$X$7,IF(AN184&lt;=Hypothèses!$V$8,Hypothèses!$X$8,IF(AN184&lt;=Hypothèses!$V$9,Hypothèses!$X$9,IF(AN184&lt;=Hypothèses!$V$10,Hypothèses!$X$10,IF(AN184&lt;=Hypothèses!$V$11,Hypothèses!$X$11,IF(AN184&lt;=Hypothèses!$V$12,Hypothèses!$X$12,IF(AN184&lt;=Hypothèses!$V$13,Hypothèses!$X$13,IF(AN184&lt;=Hypothèses!$V$14,Hypothèses!$X$14,IF(AN184&lt;=Hypothèses!$V$15,Hypothèses!$X$15,IF(AN184&lt;=Hypothèses!$V$16,Hypothèses!$X$16,IF(AN184&lt;=Hypothèses!$U$17,Hypothèses!$W$17,IF(AN184&lt;=Hypothèses!$U$18,Hypothèses!$W$18,""))))))))))))</f>
        <v>#DIV/0!</v>
      </c>
      <c r="BK184" s="95" t="e">
        <f t="shared" ca="1" si="277"/>
        <v>#DIV/0!</v>
      </c>
      <c r="BL184" s="101">
        <f t="shared" si="325"/>
        <v>0</v>
      </c>
      <c r="BM184" s="91">
        <f t="shared" si="244"/>
        <v>0</v>
      </c>
      <c r="BN184" s="30" t="e">
        <f t="shared" si="304"/>
        <v>#N/A</v>
      </c>
      <c r="BO184" s="30" t="e">
        <f t="shared" si="305"/>
        <v>#N/A</v>
      </c>
      <c r="BP184" s="31" t="e">
        <f>IF(OR(Hypothèses!$B$4=17,Hypothèses!$B$4=18,Hypothèses!$B$4=19,Hypothèses!$B$4=20),
IF($D184="Pressio.",
IF(OR($E184=3,$E184=1,$E184=4),BO184,BN184),
IF($D184="Pénétro.",
IF(OR($E184=3,$E184=1,$E184=4),BO184,BN184))),IF($D184="Pressio.",
IF($E184=3,BO184,BN184),
IF($D184="Pénétro.",
IF($E184=4,BO184,BN184))))</f>
        <v>#N/A</v>
      </c>
      <c r="BQ184" s="31">
        <v>0</v>
      </c>
      <c r="BR184" s="102" t="e">
        <f>IF(NDC!$H$10="Oui",(VLOOKUP($B$3,'Coeff EC7'!$T$39:$X$59,2,0)*BP184+VLOOKUP($B$3,'Coeff EC7'!$T$65:$X$85,2,0)*Model0.1T!BQ184)/1.5,PI()*BN$12*$Q184*($B184-$B183)*0.15/10+BR183)</f>
        <v>#N/A</v>
      </c>
      <c r="BS184" s="102" t="e">
        <f>(VLOOKUP($B$3,'Coeff EC7'!$T$39:$X$59,3,0)*BP184+VLOOKUP($B$3,'Coeff EC7'!$T$65:$X$85,3,0)*Model0.1T!BQ184)/1.1</f>
        <v>#N/A</v>
      </c>
      <c r="BT184" s="102" t="e">
        <f t="shared" si="278"/>
        <v>#N/A</v>
      </c>
      <c r="BU184" s="102" t="e">
        <f t="shared" si="279"/>
        <v>#N/A</v>
      </c>
      <c r="BV184" s="414" t="e">
        <f>IF(AND(BR184&gt;NDC!$C$63,BS184&gt;NDC!$C$65,BT184&gt;NDC!$D$73,BU184&gt;NDC!$D$74,$B184&gt;NDC!$H$22-0.1+MIN(3*BV$12,1.5)),0,1)</f>
        <v>#N/A</v>
      </c>
      <c r="BW184" s="86" t="b">
        <f t="shared" si="245"/>
        <v>0</v>
      </c>
      <c r="BX184" s="86">
        <f t="shared" si="246"/>
        <v>0.5</v>
      </c>
      <c r="BY184" s="86">
        <f t="shared" si="247"/>
        <v>0.5</v>
      </c>
      <c r="BZ184" s="30" t="e">
        <f t="shared" ca="1" si="280"/>
        <v>#DIV/0!</v>
      </c>
      <c r="CA184" s="85" t="e">
        <f ca="1">IF(BG184&lt;=Hypothèses!$V$7,Hypothèses!$W$7,IF(BG184&lt;=Hypothèses!$V$8,Hypothèses!$W$8,IF(BG184&lt;=Hypothèses!$V$9,Hypothèses!$W$9,IF(BG184&lt;=Hypothèses!$V$10,Hypothèses!$W$10,IF(BG184&lt;=Hypothèses!$V$11,Hypothèses!$W$11,IF(BG184&lt;=Hypothèses!$V$12,Hypothèses!$W$12,IF(BG184&lt;=Hypothèses!$V$13,Hypothèses!$W$13,IF(BG184&lt;=Hypothèses!$V$14,Hypothèses!$W$14,IF(BG184&lt;=Hypothèses!$V$15,Hypothèses!$W$15,IF(BG184&lt;=Hypothèses!$V$16,Hypothèses!$W$16,IF(BG184&lt;=Hypothèses!$V$17,Hypothèses!$W$17,IF(BG184&lt;=Hypothèses!$V$18,Hypothèses!$W$18,""))))))))))))</f>
        <v>#DIV/0!</v>
      </c>
      <c r="CB184" s="87" t="e">
        <f t="shared" ca="1" si="319"/>
        <v>#DIV/0!</v>
      </c>
      <c r="CC184" s="88" t="e">
        <f ca="1">IF(BG184&lt;=Hypothèses!$V$7,Hypothèses!$X$7,IF(BG184&lt;=Hypothèses!$V$8,Hypothèses!$X$8,IF(BG184&lt;=Hypothèses!$V$9,Hypothèses!$X$9,IF(BG184&lt;=Hypothèses!$V$10,Hypothèses!$X$10,IF(BG184&lt;=Hypothèses!$V$11,Hypothèses!$X$11,IF(BG184&lt;=Hypothèses!$V$12,Hypothèses!$X$12,IF(BG184&lt;=Hypothèses!$V$13,Hypothèses!$X$13,IF(BG184&lt;=Hypothèses!$V$14,Hypothèses!$X$14,IF(BG184&lt;=Hypothèses!$V$15,Hypothèses!$X$15,IF(BG184&lt;=Hypothèses!$V$16,Hypothèses!$X$16,IF(BG184&lt;=Hypothèses!$U$17,Hypothèses!$W$17,IF(BG184&lt;=Hypothèses!$U$18,Hypothèses!$W$18,""))))))))))))</f>
        <v>#DIV/0!</v>
      </c>
      <c r="CD184" s="95" t="e">
        <f t="shared" ca="1" si="281"/>
        <v>#DIV/0!</v>
      </c>
      <c r="CE184" s="101">
        <f t="shared" si="326"/>
        <v>0</v>
      </c>
      <c r="CF184" s="91">
        <f t="shared" si="248"/>
        <v>0</v>
      </c>
      <c r="CG184" s="30" t="e">
        <f t="shared" si="306"/>
        <v>#N/A</v>
      </c>
      <c r="CH184" s="30" t="e">
        <f t="shared" si="307"/>
        <v>#N/A</v>
      </c>
      <c r="CI184" s="31" t="e">
        <f>IF(OR(Hypothèses!$B$4=17,Hypothèses!$B$4=18,Hypothèses!$B$4=19,Hypothèses!$B$4=20),
IF($D184="Pressio.",
IF(OR($E184=3,$E184=1,$E184=4),CH184,CG184),
IF($D184="Pénétro.",
IF(OR($E184=3,$E184=1,$E184=4),CH184,CG184))),IF($D184="Pressio.",
IF($E184=3,CH184,CG184),
IF($D184="Pénétro.",
IF($E184=4,CH184,CG184))))</f>
        <v>#N/A</v>
      </c>
      <c r="CJ184" s="31">
        <v>0</v>
      </c>
      <c r="CK184" s="102" t="e">
        <f>IF(NDC!$H$10="Oui",(VLOOKUP($B$3,'Coeff EC7'!$T$39:$X$59,2,0)*CI184+VLOOKUP($B$3,'Coeff EC7'!$T$65:$X$85,2,0)*Model0.1T!CJ184)/1.5,PI()*CG$12*$Q184*($B184-$B183)*0.15/10+CK183)</f>
        <v>#N/A</v>
      </c>
      <c r="CL184" s="102" t="e">
        <f>(VLOOKUP($B$3,'Coeff EC7'!$T$39:$X$59,3,0)*CI184+VLOOKUP($B$3,'Coeff EC7'!$T$65:$X$85,3,0)*Model0.1T!CJ184)/1.1</f>
        <v>#N/A</v>
      </c>
      <c r="CM184" s="102" t="e">
        <f t="shared" si="282"/>
        <v>#N/A</v>
      </c>
      <c r="CN184" s="102" t="e">
        <f t="shared" si="283"/>
        <v>#N/A</v>
      </c>
      <c r="CO184" s="414" t="e">
        <f>IF(AND(CK184&gt;NDC!$C$63,CL184&gt;NDC!$C$65,CM184&gt;NDC!$D$73,CN184&gt;NDC!$D$74,$B184&gt;NDC!$H$22-0.1+MIN(3*CO$12,1.5)),0,1)</f>
        <v>#N/A</v>
      </c>
      <c r="CP184" s="86" t="b">
        <f t="shared" si="249"/>
        <v>0</v>
      </c>
      <c r="CQ184" s="86">
        <f t="shared" si="250"/>
        <v>0.5</v>
      </c>
      <c r="CR184" s="86">
        <f t="shared" si="251"/>
        <v>0.5</v>
      </c>
      <c r="CS184" s="30" t="e">
        <f t="shared" ca="1" si="284"/>
        <v>#DIV/0!</v>
      </c>
      <c r="CT184" s="85" t="e">
        <f ca="1">IF(BZ184&lt;=Hypothèses!$V$7,Hypothèses!$W$7,IF(BZ184&lt;=Hypothèses!$V$8,Hypothèses!$W$8,IF(BZ184&lt;=Hypothèses!$V$9,Hypothèses!$W$9,IF(BZ184&lt;=Hypothèses!$V$10,Hypothèses!$W$10,IF(BZ184&lt;=Hypothèses!$V$11,Hypothèses!$W$11,IF(BZ184&lt;=Hypothèses!$V$12,Hypothèses!$W$12,IF(BZ184&lt;=Hypothèses!$V$13,Hypothèses!$W$13,IF(BZ184&lt;=Hypothèses!$V$14,Hypothèses!$W$14,IF(BZ184&lt;=Hypothèses!$V$15,Hypothèses!$W$15,IF(BZ184&lt;=Hypothèses!$V$16,Hypothèses!$W$16,IF(BZ184&lt;=Hypothèses!$V$17,Hypothèses!$W$17,IF(BZ184&lt;=Hypothèses!$V$18,Hypothèses!$W$18,""))))))))))))</f>
        <v>#DIV/0!</v>
      </c>
      <c r="CU184" s="87" t="e">
        <f t="shared" ca="1" si="320"/>
        <v>#DIV/0!</v>
      </c>
      <c r="CV184" s="88" t="e">
        <f ca="1">IF(BZ184&lt;=Hypothèses!$V$7,Hypothèses!$X$7,IF(BZ184&lt;=Hypothèses!$V$8,Hypothèses!$X$8,IF(BZ184&lt;=Hypothèses!$V$9,Hypothèses!$X$9,IF(BZ184&lt;=Hypothèses!$V$10,Hypothèses!$X$10,IF(BZ184&lt;=Hypothèses!$V$11,Hypothèses!$X$11,IF(BZ184&lt;=Hypothèses!$V$12,Hypothèses!$X$12,IF(BZ184&lt;=Hypothèses!$V$13,Hypothèses!$X$13,IF(BZ184&lt;=Hypothèses!$V$14,Hypothèses!$X$14,IF(BZ184&lt;=Hypothèses!$V$15,Hypothèses!$X$15,IF(BZ184&lt;=Hypothèses!$V$16,Hypothèses!$X$16,IF(BZ184&lt;=Hypothèses!$U$17,Hypothèses!$W$17,IF(BZ184&lt;=Hypothèses!$U$18,Hypothèses!$W$18,""))))))))))))</f>
        <v>#DIV/0!</v>
      </c>
      <c r="CW184" s="95" t="e">
        <f t="shared" ca="1" si="285"/>
        <v>#DIV/0!</v>
      </c>
      <c r="CX184" s="101">
        <f t="shared" si="327"/>
        <v>0</v>
      </c>
      <c r="CY184" s="91">
        <f t="shared" si="252"/>
        <v>0</v>
      </c>
      <c r="CZ184" s="30" t="e">
        <f t="shared" si="308"/>
        <v>#N/A</v>
      </c>
      <c r="DA184" s="30" t="e">
        <f t="shared" si="309"/>
        <v>#N/A</v>
      </c>
      <c r="DB184" s="31" t="e">
        <f>IF(OR(Hypothèses!$B$4=17,Hypothèses!$B$4=18,Hypothèses!$B$4=19,Hypothèses!$B$4=20),
IF($D184="Pressio.",
IF(OR($E184=3,$E184=1,$E184=4),DA184,CZ184),
IF($D184="Pénétro.",
IF(OR($E184=3,$E184=1,$E184=4),DA184,CZ184))),IF($D184="Pressio.",
IF($E184=3,DA184,CZ184),
IF($D184="Pénétro.",
IF($E184=4,DA184,CZ184))))</f>
        <v>#N/A</v>
      </c>
      <c r="DC184" s="31">
        <v>0</v>
      </c>
      <c r="DD184" s="102" t="e">
        <f>IF(NDC!$H$10="Oui",(VLOOKUP($B$3,'Coeff EC7'!$T$39:$X$59,2,0)*DB184+VLOOKUP($B$3,'Coeff EC7'!$T$65:$X$85,2,0)*Model0.1T!DC184)/1.5,PI()*CZ$12*$Q184*($B184-$B183)*0.15/10+DD183)</f>
        <v>#N/A</v>
      </c>
      <c r="DE184" s="102" t="e">
        <f>(VLOOKUP($B$3,'Coeff EC7'!$T$39:$X$59,3,0)*DB184+VLOOKUP($B$3,'Coeff EC7'!$T$65:$X$85,3,0)*Model0.1T!DC184)/1.1</f>
        <v>#N/A</v>
      </c>
      <c r="DF184" s="102" t="e">
        <f t="shared" si="286"/>
        <v>#N/A</v>
      </c>
      <c r="DG184" s="102" t="e">
        <f t="shared" si="287"/>
        <v>#N/A</v>
      </c>
      <c r="DH184" s="414" t="e">
        <f>IF(AND(DD184&gt;NDC!$C$63,DE184&gt;NDC!$C$65,DF184&gt;NDC!$D$73,DG184&gt;NDC!$D$74,$B184&gt;NDC!$H$22-0.1+MIN(3*DH$12,1.5)),0,1)</f>
        <v>#N/A</v>
      </c>
      <c r="DI184" s="86" t="b">
        <f t="shared" si="253"/>
        <v>0</v>
      </c>
      <c r="DJ184" s="86">
        <f t="shared" si="254"/>
        <v>0.5</v>
      </c>
      <c r="DK184" s="86">
        <f t="shared" si="255"/>
        <v>0.5</v>
      </c>
      <c r="DL184" s="30" t="e">
        <f t="shared" ca="1" si="288"/>
        <v>#DIV/0!</v>
      </c>
      <c r="DM184" s="85" t="e">
        <f ca="1">IF(CS184&lt;=Hypothèses!$V$7,Hypothèses!$W$7,IF(CS184&lt;=Hypothèses!$V$8,Hypothèses!$W$8,IF(CS184&lt;=Hypothèses!$V$9,Hypothèses!$W$9,IF(CS184&lt;=Hypothèses!$V$10,Hypothèses!$W$10,IF(CS184&lt;=Hypothèses!$V$11,Hypothèses!$W$11,IF(CS184&lt;=Hypothèses!$V$12,Hypothèses!$W$12,IF(CS184&lt;=Hypothèses!$V$13,Hypothèses!$W$13,IF(CS184&lt;=Hypothèses!$V$14,Hypothèses!$W$14,IF(CS184&lt;=Hypothèses!$V$15,Hypothèses!$W$15,IF(CS184&lt;=Hypothèses!$V$16,Hypothèses!$W$16,IF(CS184&lt;=Hypothèses!$V$17,Hypothèses!$W$17,IF(CS184&lt;=Hypothèses!$V$18,Hypothèses!$W$18,""))))))))))))</f>
        <v>#DIV/0!</v>
      </c>
      <c r="DN184" s="87" t="e">
        <f t="shared" ca="1" si="321"/>
        <v>#DIV/0!</v>
      </c>
      <c r="DO184" s="88" t="e">
        <f ca="1">IF(CS184&lt;=Hypothèses!$V$7,Hypothèses!$X$7,IF(CS184&lt;=Hypothèses!$V$8,Hypothèses!$X$8,IF(CS184&lt;=Hypothèses!$V$9,Hypothèses!$X$9,IF(CS184&lt;=Hypothèses!$V$10,Hypothèses!$X$10,IF(CS184&lt;=Hypothèses!$V$11,Hypothèses!$X$11,IF(CS184&lt;=Hypothèses!$V$12,Hypothèses!$X$12,IF(CS184&lt;=Hypothèses!$V$13,Hypothèses!$X$13,IF(CS184&lt;=Hypothèses!$V$14,Hypothèses!$X$14,IF(CS184&lt;=Hypothèses!$V$15,Hypothèses!$X$15,IF(CS184&lt;=Hypothèses!$V$16,Hypothèses!$X$16,IF(CS184&lt;=Hypothèses!$U$17,Hypothèses!$W$17,IF(CS184&lt;=Hypothèses!$U$18,Hypothèses!$W$18,""))))))))))))</f>
        <v>#DIV/0!</v>
      </c>
      <c r="DP184" s="95" t="e">
        <f t="shared" ca="1" si="289"/>
        <v>#DIV/0!</v>
      </c>
      <c r="DQ184" s="101">
        <f t="shared" si="328"/>
        <v>0</v>
      </c>
      <c r="DR184" s="91">
        <f t="shared" si="256"/>
        <v>0</v>
      </c>
      <c r="DS184" s="30" t="e">
        <f t="shared" si="310"/>
        <v>#N/A</v>
      </c>
      <c r="DT184" s="30" t="e">
        <f t="shared" si="311"/>
        <v>#N/A</v>
      </c>
      <c r="DU184" s="31" t="e">
        <f>IF(OR(Hypothèses!$B$4=17,Hypothèses!$B$4=18,Hypothèses!$B$4=19,Hypothèses!$B$4=20),
IF($D184="Pressio.",
IF(OR($E184=3,$E184=1,$E184=4),DT184,DS184),
IF($D184="Pénétro.",
IF(OR($E184=3,$E184=1,$E184=4),DT184,DS184))),IF($D184="Pressio.",
IF($E184=3,DT184,DS184),
IF($D184="Pénétro.",
IF($E184=4,DT184,DS184))))</f>
        <v>#N/A</v>
      </c>
      <c r="DV184" s="31">
        <v>0</v>
      </c>
      <c r="DW184" s="102" t="e">
        <f>IF(NDC!$H$10="Oui",(VLOOKUP($B$3,'Coeff EC7'!$T$39:$X$59,2,0)*DU184+VLOOKUP($B$3,'Coeff EC7'!$T$65:$X$85,2,0)*Model0.1T!DV184)/1.5,PI()*DS$12*$Q184*($B184-$B183)*0.15/10+DW183)</f>
        <v>#N/A</v>
      </c>
      <c r="DX184" s="102" t="e">
        <f>(VLOOKUP($B$3,'Coeff EC7'!$T$39:$X$59,3,0)*DU184+VLOOKUP($B$3,'Coeff EC7'!$T$65:$X$85,3,0)*Model0.1T!DV184)/1.1</f>
        <v>#N/A</v>
      </c>
      <c r="DY184" s="102" t="e">
        <f t="shared" si="290"/>
        <v>#N/A</v>
      </c>
      <c r="DZ184" s="102" t="e">
        <f t="shared" si="291"/>
        <v>#N/A</v>
      </c>
      <c r="EA184" s="414" t="e">
        <f>IF(AND(DW184&gt;NDC!$C$63,DX184&gt;NDC!$C$65,DY184&gt;NDC!$D$73,DZ184&gt;NDC!$D$74,$B184&gt;NDC!$H$22-0.1+MIN(3*EA$12,1.5)),0,1)</f>
        <v>#N/A</v>
      </c>
      <c r="EB184" s="86" t="b">
        <f t="shared" si="257"/>
        <v>0</v>
      </c>
      <c r="EC184" s="418">
        <f t="shared" si="258"/>
        <v>0.51</v>
      </c>
      <c r="ED184" s="86">
        <f t="shared" si="259"/>
        <v>0.51</v>
      </c>
      <c r="EE184" s="30" t="e">
        <f t="shared" ca="1" si="292"/>
        <v>#DIV/0!</v>
      </c>
      <c r="EF184" s="85" t="e">
        <f ca="1">IF(DL184&lt;=Hypothèses!$V$7,Hypothèses!$W$7,IF(DL184&lt;=Hypothèses!$V$8,Hypothèses!$W$8,IF(DL184&lt;=Hypothèses!$V$9,Hypothèses!$W$9,IF(DL184&lt;=Hypothèses!$V$10,Hypothèses!$W$10,IF(DL184&lt;=Hypothèses!$V$11,Hypothèses!$W$11,IF(DL184&lt;=Hypothèses!$V$12,Hypothèses!$W$12,IF(DL184&lt;=Hypothèses!$V$13,Hypothèses!$W$13,IF(DL184&lt;=Hypothèses!$V$14,Hypothèses!$W$14,IF(DL184&lt;=Hypothèses!$V$15,Hypothèses!$W$15,IF(DL184&lt;=Hypothèses!$V$16,Hypothèses!$W$16,IF(DL184&lt;=Hypothèses!$V$17,Hypothèses!$W$17,IF(DL184&lt;=Hypothèses!$V$18,Hypothèses!$W$18,""))))))))))))</f>
        <v>#DIV/0!</v>
      </c>
      <c r="EG184" s="87" t="e">
        <f t="shared" ca="1" si="322"/>
        <v>#DIV/0!</v>
      </c>
      <c r="EH184" s="88" t="e">
        <f ca="1">IF(DL184&lt;=Hypothèses!$V$7,Hypothèses!$X$7,IF(DL184&lt;=Hypothèses!$V$8,Hypothèses!$X$8,IF(DL184&lt;=Hypothèses!$V$9,Hypothèses!$X$9,IF(DL184&lt;=Hypothèses!$V$10,Hypothèses!$X$10,IF(DL184&lt;=Hypothèses!$V$11,Hypothèses!$X$11,IF(DL184&lt;=Hypothèses!$V$12,Hypothèses!$X$12,IF(DL184&lt;=Hypothèses!$V$13,Hypothèses!$X$13,IF(DL184&lt;=Hypothèses!$V$14,Hypothèses!$X$14,IF(DL184&lt;=Hypothèses!$V$15,Hypothèses!$X$15,IF(DL184&lt;=Hypothèses!$V$16,Hypothèses!$X$16,IF(DL184&lt;=Hypothèses!$U$17,Hypothèses!$W$17,IF(DL184&lt;=Hypothèses!$U$18,Hypothèses!$W$18,""))))))))))))</f>
        <v>#DIV/0!</v>
      </c>
      <c r="EI184" s="95" t="e">
        <f t="shared" ca="1" si="293"/>
        <v>#DIV/0!</v>
      </c>
      <c r="EJ184" s="101">
        <f t="shared" si="329"/>
        <v>0</v>
      </c>
      <c r="EK184" s="91">
        <f t="shared" si="260"/>
        <v>0</v>
      </c>
      <c r="EL184" s="30" t="e">
        <f t="shared" si="312"/>
        <v>#N/A</v>
      </c>
      <c r="EM184" s="30" t="e">
        <f t="shared" si="313"/>
        <v>#N/A</v>
      </c>
      <c r="EN184" s="31" t="e">
        <f>IF(OR(Hypothèses!$B$4=17,Hypothèses!$B$4=18,Hypothèses!$B$4=19,Hypothèses!$B$4=20),
IF($D184="Pressio.",
IF(OR($E184=3,$E184=1,$E184=4),EM184,EL184),
IF($D184="Pénétro.",
IF(OR($E184=3,$E184=1,$E184=4),EM184,EL184))),IF($D184="Pressio.",
IF($E184=3,EM184,EL184),
IF($D184="Pénétro.",
IF($E184=4,EM184,EL184))))</f>
        <v>#N/A</v>
      </c>
      <c r="EO184" s="31">
        <v>0</v>
      </c>
      <c r="EP184" s="102" t="e">
        <f>IF(NDC!$H$10="Oui",(VLOOKUP($B$3,'Coeff EC7'!$T$39:$X$59,2,0)*EN184+VLOOKUP($B$3,'Coeff EC7'!$T$65:$X$85,2,0)*Model0.1T!EO184)/1.5,PI()*EL$12*$Q184*($B184-$B183)*0.15/10+EP183)</f>
        <v>#N/A</v>
      </c>
      <c r="EQ184" s="102" t="e">
        <f>(VLOOKUP($B$3,'Coeff EC7'!$T$39:$X$59,3,0)*EN184+VLOOKUP($B$3,'Coeff EC7'!$T$65:$X$85,3,0)*Model0.1T!EO184)/1.1</f>
        <v>#N/A</v>
      </c>
      <c r="ER184" s="102" t="e">
        <f t="shared" si="294"/>
        <v>#N/A</v>
      </c>
      <c r="ES184" s="102" t="e">
        <f t="shared" si="295"/>
        <v>#N/A</v>
      </c>
      <c r="ET184" s="414" t="e">
        <f>IF(AND(EP184&gt;NDC!$C$63,EQ184&gt;NDC!$C$65,ER184&gt;NDC!$D$73,ES184&gt;NDC!$D$74,$B184&gt;NDC!$H$22-0.1+MIN(3*ET$12,1.5)),0,1)</f>
        <v>#N/A</v>
      </c>
      <c r="EU184" s="86" t="b">
        <f t="shared" si="261"/>
        <v>0</v>
      </c>
      <c r="EV184" s="86">
        <f t="shared" si="262"/>
        <v>0.61</v>
      </c>
      <c r="EW184" s="86">
        <f t="shared" si="263"/>
        <v>0.61</v>
      </c>
      <c r="EX184" s="30" t="e">
        <f t="shared" ca="1" si="296"/>
        <v>#DIV/0!</v>
      </c>
      <c r="EY184" s="85" t="e">
        <f ca="1">IF(EE184&lt;=Hypothèses!$V$7,Hypothèses!$W$7,IF(EE184&lt;=Hypothèses!$V$8,Hypothèses!$W$8,IF(EE184&lt;=Hypothèses!$V$9,Hypothèses!$W$9,IF(EE184&lt;=Hypothèses!$V$10,Hypothèses!$W$10,IF(EE184&lt;=Hypothèses!$V$11,Hypothèses!$W$11,IF(EE184&lt;=Hypothèses!$V$12,Hypothèses!$W$12,IF(EE184&lt;=Hypothèses!$V$13,Hypothèses!$W$13,IF(EE184&lt;=Hypothèses!$V$14,Hypothèses!$W$14,IF(EE184&lt;=Hypothèses!$V$15,Hypothèses!$W$15,IF(EE184&lt;=Hypothèses!$V$16,Hypothèses!$W$16,IF(EE184&lt;=Hypothèses!$V$17,Hypothèses!$W$17,IF(EE184&lt;=Hypothèses!$V$18,Hypothèses!$W$18,""))))))))))))</f>
        <v>#DIV/0!</v>
      </c>
      <c r="EZ184" s="87" t="e">
        <f t="shared" ca="1" si="323"/>
        <v>#DIV/0!</v>
      </c>
      <c r="FA184" s="88" t="e">
        <f ca="1">IF(EE184&lt;=Hypothèses!$V$7,Hypothèses!$X$7,IF(EE184&lt;=Hypothèses!$V$8,Hypothèses!$X$8,IF(EE184&lt;=Hypothèses!$V$9,Hypothèses!$X$9,IF(EE184&lt;=Hypothèses!$V$10,Hypothèses!$X$10,IF(EE184&lt;=Hypothèses!$V$11,Hypothèses!$X$11,IF(EE184&lt;=Hypothèses!$V$12,Hypothèses!$X$12,IF(EE184&lt;=Hypothèses!$V$13,Hypothèses!$X$13,IF(EE184&lt;=Hypothèses!$V$14,Hypothèses!$X$14,IF(EE184&lt;=Hypothèses!$V$15,Hypothèses!$X$15,IF(EE184&lt;=Hypothèses!$V$16,Hypothèses!$X$16,IF(EE184&lt;=Hypothèses!$U$17,Hypothèses!$W$17,IF(EE184&lt;=Hypothèses!$U$18,Hypothèses!$W$18,""))))))))))))</f>
        <v>#DIV/0!</v>
      </c>
      <c r="FB184" s="95" t="e">
        <f t="shared" ca="1" si="297"/>
        <v>#DIV/0!</v>
      </c>
      <c r="FC184" s="101">
        <f t="shared" si="330"/>
        <v>0</v>
      </c>
      <c r="FD184" s="91">
        <f t="shared" si="264"/>
        <v>0</v>
      </c>
      <c r="FE184" s="30" t="e">
        <f t="shared" si="314"/>
        <v>#N/A</v>
      </c>
      <c r="FF184" s="30" t="e">
        <f t="shared" si="315"/>
        <v>#N/A</v>
      </c>
      <c r="FG184" s="31" t="e">
        <f>IF(OR(Hypothèses!$B$4=17,Hypothèses!$B$4=18,Hypothèses!$B$4=19,Hypothèses!$B$4=20),
IF($D184="Pressio.",
IF(OR($E184=3,$E184=1,$E184=4),FF184,FE184),
IF($D184="Pénétro.",
IF(OR($E184=3,$E184=1,$E184=4),FF184,FE184))),IF($D184="Pressio.",
IF($E184=3,FF184,FE184),
IF($D184="Pénétro.",
IF($E184=4,FF184,FE184))))</f>
        <v>#N/A</v>
      </c>
      <c r="FH184" s="31">
        <v>0</v>
      </c>
      <c r="FI184" s="102" t="e">
        <f>IF(NDC!$H$10="Oui",(VLOOKUP($B$3,'Coeff EC7'!$T$39:$X$59,2,0)*FG184+VLOOKUP($B$3,'Coeff EC7'!$T$65:$X$85,2,0)*Model0.1T!FH184)/1.5,PI()*FE$12*$Q184*($B184-$B183)*0.15/10+FI183)</f>
        <v>#N/A</v>
      </c>
      <c r="FJ184" s="102" t="e">
        <f>(VLOOKUP($B$3,'Coeff EC7'!$T$39:$X$59,3,0)*FG184+VLOOKUP($B$3,'Coeff EC7'!$T$65:$X$85,3,0)*Model0.1T!FH184)/1.1</f>
        <v>#N/A</v>
      </c>
      <c r="FK184" s="102" t="e">
        <f t="shared" si="298"/>
        <v>#N/A</v>
      </c>
      <c r="FL184" s="102" t="e">
        <f t="shared" si="299"/>
        <v>#N/A</v>
      </c>
      <c r="FM184" s="414" t="e">
        <f>IF(AND(FI184&gt;NDC!$C$63,FJ184&gt;NDC!$C$65,FK184&gt;NDC!$D$73,FL184&gt;NDC!$D$74,$B184&gt;NDC!$H$22-0.1+MIN(3*FM$12,1.5)),0,1)</f>
        <v>#N/A</v>
      </c>
    </row>
    <row r="185" spans="1:169">
      <c r="A185" s="96">
        <f t="shared" si="265"/>
        <v>82.800000000000978</v>
      </c>
      <c r="B185" s="97">
        <v>17.2</v>
      </c>
      <c r="C185" s="81">
        <f>IF(B185&lt;=Hypothèses!$C$7,Hypothèses!$A$7,IF(B185&lt;=Hypothèses!$C$8,Hypothèses!$A$8,IF(B185&lt;=Hypothèses!$C$9,Hypothèses!$A$9,IF(B185&lt;=Hypothèses!$C$10,Hypothèses!$A$10,IF(B185&lt;=Hypothèses!$C$11,Hypothèses!$A$11,IF(B185&lt;=Hypothèses!$C$12,Hypothèses!$A$12,IF(B185&lt;=Hypothèses!$C$13,Hypothèses!$A$13,IF(B185&lt;=Hypothèses!$C$14,Hypothèses!$A$14,IF(B185&lt;=Hypothèses!$C$15,Hypothèses!$A$15,IF(B185&lt;=Hypothèses!$C$16,Hypothèses!$A$16,IF(B185&lt;=Hypothèses!$C$17,Hypothèses!$A$17,IF(B185&lt;=Hypothèses!$C$18,Hypothèses!$A$18,C184))))))))))))</f>
        <v>11</v>
      </c>
      <c r="D185" s="82" t="str">
        <f>IF(B185&lt;=Hypothèses!$C$7,Hypothèses!$R$7,IF(B185&lt;=Hypothèses!$C$8,Hypothèses!$R$8,IF(B185&lt;=Hypothèses!$C$9,Hypothèses!$R$9,IF(B185&lt;=Hypothèses!$C$10,Hypothèses!$R$10,IF(B185&lt;=Hypothèses!$C$11,Hypothèses!$R$11,IF(B185&lt;=Hypothèses!$C$12,Hypothèses!$R$12,IF(B185&lt;=Hypothèses!$C$13,Hypothèses!$R$13,IF(B185&lt;=Hypothèses!$C$14,Hypothèses!$R$14,IF(B185&lt;=Hypothèses!$C$15,Hypothèses!$R$15,IF(B185&lt;=Hypothèses!$C$16,Hypothèses!$R$16,IF(B185&lt;=Hypothèses!$C$17,Hypothèses!$R$17,IF(B185&lt;=Hypothèses!$C$18,Hypothèses!$R$18,D184))))))))))))</f>
        <v>Pressio.</v>
      </c>
      <c r="E185" s="82" t="e">
        <f>IF(B185&lt;=Hypothèses!$C$7,Hypothèses!$G$7,IF(B185&lt;=Hypothèses!$C$8,Hypothèses!$G$8,IF(B185&lt;=Hypothèses!$C$9,Hypothèses!$G$9,IF(B185&lt;=Hypothèses!$C$10,Hypothèses!$G$10,IF(B185&lt;=Hypothèses!$C$11,Hypothèses!$G$11,IF(B185&lt;=Hypothèses!$C$12,Hypothèses!$G$12,IF(B185&lt;=Hypothèses!$C$13,Hypothèses!$G$13,IF(B185&lt;=Hypothèses!$C$14,Hypothèses!$G$14,IF(B185&lt;=Hypothèses!$C$15,Hypothèses!$G$15,IF(B185&lt;=Hypothèses!$C$16,Hypothèses!$G$16,IF(B185&lt;=Hypothèses!$C$17,Hypothèses!$G$17,IF(B185&lt;=Hypothèses!$C$18,Hypothèses!$G$18,E184))))))))))))</f>
        <v>#N/A</v>
      </c>
      <c r="F185" s="82" t="str">
        <f>IF(B185&lt;=Hypothèses!$C$7,Hypothèses!$F$7,IF(B185&lt;=Hypothèses!$C$8,Hypothèses!$F$8,IF(B185&lt;=Hypothèses!$C$9,Hypothèses!$F$9,IF(B185&lt;=Hypothèses!$C$10,Hypothèses!$F$10,IF(B185&lt;=Hypothèses!$C$11,Hypothèses!$F$11,IF(B185&lt;=Hypothèses!$C$12,Hypothèses!$F$12,IF(B185&lt;=Hypothèses!$C$13,Hypothèses!$F$13,IF(B185&lt;=Hypothèses!$C$14,Hypothèses!$F$14,IF(B185&lt;=Hypothèses!$C$15,Hypothèses!$F$15,IF(B185&lt;=Hypothèses!$C$16,Hypothèses!$F$16,IF(B185&lt;=Hypothèses!$C$17,Hypothèses!$F$17,IF(B185&lt;=Hypothèses!$C$18,Hypothèses!$F$18,F184))))))))))))</f>
        <v/>
      </c>
      <c r="G185" s="91">
        <f t="array" ref="G185">INDEX('Coeff EC7'!$U$7:$X$27,
MATCH(Model0.1T!$B$3,'Coeff EC7'!$T$7:$T$27,0),
MATCH(Model0.1T!$D185&amp;Model0.1T!$B$4,
'Coeff EC7'!$U$6:$X$6&amp;
'Coeff EC7'!$U$5:$X$5,0))</f>
        <v>1.4</v>
      </c>
      <c r="H185" s="91">
        <f t="array" ref="H185">INDEX('Coeff EC7'!$Y$7:$AB$27,
MATCH(Model0.1T!$B$3,'Coeff EC7'!$T$7:$T$27,0),
MATCH(Model0.1T!$D185&amp;Model0.1T!$B$4,
'Coeff EC7'!$Y$6:$AB$6&amp;
'Coeff EC7'!$Y$5:$AB$5,0))</f>
        <v>1.7</v>
      </c>
      <c r="I185" s="83">
        <v>0</v>
      </c>
      <c r="J185" s="91" t="e">
        <f t="array" ref="J185">INDEX('Coeff EC7'!$D$33:$Q$33,1,MATCH(D185&amp;E185,'Coeff EC7'!$D$31:$Q$31&amp;'Coeff EC7'!$D$32:$Q$32,0))</f>
        <v>#N/A</v>
      </c>
      <c r="K185" s="91" t="e">
        <f t="array" ref="K185">INDEX('Coeff EC7'!$D$34:$Q$34,1,MATCH(D185&amp;E185,'Coeff EC7'!$D$31:$Q$31&amp;'Coeff EC7'!$D$32:$Q$32,0))</f>
        <v>#N/A</v>
      </c>
      <c r="L185" s="91" t="e">
        <f t="array" ref="L185">INDEX('Coeff EC7'!$D$35:$Q$35,1,MATCH(D185&amp;E185,'Coeff EC7'!$D$31:$Q$31&amp;'Coeff EC7'!$D$32:$Q$32,0))</f>
        <v>#N/A</v>
      </c>
      <c r="M185" s="98" t="e">
        <f t="shared" si="231"/>
        <v>#N/A</v>
      </c>
      <c r="N185" s="99" t="e">
        <f t="array" ref="N185">INDEX('Coeff EC7'!$D$7:$Q$27,MATCH($B$3,'Coeff EC7'!$C$7:$C$27,0),MATCH(D185&amp;E185,'Coeff EC7'!$D$5:$Q$5&amp;'Coeff EC7'!$D$6:$Q$6,0))</f>
        <v>#N/A</v>
      </c>
      <c r="O185" s="99" t="e">
        <f t="array" ref="O185">INDEX('Coeff EC7'!$D$41:$Q$61,MATCH($B$3,'Coeff EC7'!$C$41:$C$61,0),MATCH(D185&amp;E185,'Coeff EC7'!$D$39:$Q$39&amp;'Coeff EC7'!$D$40:$Q$40,0))</f>
        <v>#N/A</v>
      </c>
      <c r="P185" s="30" t="e">
        <f t="shared" si="266"/>
        <v>#N/A</v>
      </c>
      <c r="Q185" s="100" t="e">
        <f t="shared" si="233"/>
        <v>#N/A</v>
      </c>
      <c r="R185" s="86" t="b">
        <f t="shared" si="234"/>
        <v>0</v>
      </c>
      <c r="S185" s="86">
        <f t="shared" si="232"/>
        <v>0.5</v>
      </c>
      <c r="T185" s="86">
        <f t="shared" si="235"/>
        <v>0.5</v>
      </c>
      <c r="U185" s="30" t="e">
        <f t="shared" ca="1" si="267"/>
        <v>#DIV/0!</v>
      </c>
      <c r="V185" s="85" t="str">
        <f>IF(B185&lt;=Hypothèses!$V$7,Hypothèses!$W$7,IF(B185&lt;=Hypothèses!$V$8,Hypothèses!$W$8,IF(B185&lt;=Hypothèses!$V$9,Hypothèses!$W$9,IF(B185&lt;=Hypothèses!$V$10,Hypothèses!$W$10,IF(B185&lt;=Hypothèses!$V$11,Hypothèses!$W$11,IF(B185&lt;=Hypothèses!$V$12,Hypothèses!$W$12,IF(B185&lt;=Hypothèses!$V$13,Hypothèses!$W$13,IF(B185&lt;=Hypothèses!$V$14,Hypothèses!$W$14,IF(B185&lt;=Hypothèses!$V$15,Hypothèses!$W$15,IF(B185&lt;=Hypothèses!$V$16,Hypothèses!$W$16,IF(B185&lt;=Hypothèses!$V$17,Hypothèses!$W$17,IF(B185&lt;=Hypothèses!$V$18,Hypothèses!$W$18,""))))))))))))</f>
        <v/>
      </c>
      <c r="W185" s="87" t="e">
        <f t="shared" ca="1" si="316"/>
        <v>#DIV/0!</v>
      </c>
      <c r="X185" s="88" t="str">
        <f>IF(B185&lt;=Hypothèses!$V$7,Hypothèses!$X$7,IF(B185&lt;=Hypothèses!$V$8,Hypothèses!$X$8,IF(B185&lt;=Hypothèses!$V$9,Hypothèses!$X$9,IF(B185&lt;=Hypothèses!$V$10,Hypothèses!$X$10,IF(B185&lt;=Hypothèses!$V$11,Hypothèses!$X$11,IF(B185&lt;=Hypothèses!$V$12,Hypothèses!$X$12,IF(B185&lt;=Hypothèses!$V$13,Hypothèses!$X$13,IF(B185&lt;=Hypothèses!$V$14,Hypothèses!$X$14,IF(B185&lt;=Hypothèses!$V$15,Hypothèses!$X$15,IF(B185&lt;=Hypothèses!$V$16,Hypothèses!$X$16,IF(B185&lt;=Hypothèses!$U$17,Hypothèses!$W$17,IF(B185&lt;=Hypothèses!$U$18,Hypothèses!$W$18,""))))))))))))</f>
        <v/>
      </c>
      <c r="Y185" s="95" t="e">
        <f t="shared" ca="1" si="236"/>
        <v>#DIV/0!</v>
      </c>
      <c r="Z185" s="101">
        <f t="shared" si="237"/>
        <v>0</v>
      </c>
      <c r="AA185" s="91">
        <f t="shared" si="238"/>
        <v>0</v>
      </c>
      <c r="AB185" s="30" t="e">
        <f t="shared" si="300"/>
        <v>#N/A</v>
      </c>
      <c r="AC185" s="30" t="e">
        <f t="shared" si="301"/>
        <v>#N/A</v>
      </c>
      <c r="AD185" s="31" t="e">
        <f>IF(OR(Hypothèses!$B$4=17,Hypothèses!$B$4=18,Hypothèses!$B$4=19,Hypothèses!$B$4=20),
IF($D185="Pressio.",
IF(OR($E185=3,$E185=1,$E185=4),AC185,AB185),
IF($D185="Pénétro.",
IF(OR($E185=3,$E185=1,$E185=4),AC185,AB185))),IF($D185="Pressio.",
IF($E185=3,AC185,AB185),
IF($D185="Pénétro.",
IF($E185=4,AC185,AB185))))</f>
        <v>#N/A</v>
      </c>
      <c r="AE185" s="31">
        <v>0</v>
      </c>
      <c r="AF185" s="102" t="e">
        <f>IF(NDC!$H$10="Oui",(VLOOKUP($B$3,'Coeff EC7'!$T$39:$X$59,2,0)*AD185+VLOOKUP($B$3,'Coeff EC7'!$T$65:$X$85,2,0)*Model0.1T!AE185)/1.5,PI()*AB$12*$Q185*($B185-$B184)*0.15/10+AF184)</f>
        <v>#N/A</v>
      </c>
      <c r="AG185" s="102" t="e">
        <f>(VLOOKUP($B$3,'Coeff EC7'!$T$39:$X$59,3,0)*AD185+VLOOKUP($B$3,'Coeff EC7'!$T$65:$X$85,3,0)*Model0.1T!AE185)/1.1</f>
        <v>#N/A</v>
      </c>
      <c r="AH185" s="102" t="e">
        <f t="shared" si="268"/>
        <v>#N/A</v>
      </c>
      <c r="AI185" s="102" t="e">
        <f t="shared" si="269"/>
        <v>#N/A</v>
      </c>
      <c r="AJ185" s="414" t="e">
        <f>IF(AND(AF185&gt;NDC!$C$63,AG185&gt;NDC!$C$65,AH185&gt;NDC!$D$73,AI185&gt;NDC!$D$74,$B185&gt;NDC!$H$22-0.1+MIN(3*$AJ$12,1.5)),0,1)</f>
        <v>#N/A</v>
      </c>
      <c r="AK185" s="86" t="b">
        <f t="shared" si="239"/>
        <v>0</v>
      </c>
      <c r="AL185" s="86">
        <f t="shared" si="270"/>
        <v>0.5</v>
      </c>
      <c r="AM185" s="86">
        <f t="shared" si="240"/>
        <v>0.5</v>
      </c>
      <c r="AN185" s="30" t="e">
        <f t="shared" ca="1" si="271"/>
        <v>#DIV/0!</v>
      </c>
      <c r="AO185" s="85" t="e">
        <f ca="1">IF(U185&lt;=Hypothèses!$V$7,Hypothèses!$W$7,IF(U185&lt;=Hypothèses!$V$8,Hypothèses!$W$8,IF(U185&lt;=Hypothèses!$V$9,Hypothèses!$W$9,IF(U185&lt;=Hypothèses!$V$10,Hypothèses!$W$10,IF(U185&lt;=Hypothèses!$V$11,Hypothèses!$W$11,IF(U185&lt;=Hypothèses!$V$12,Hypothèses!$W$12,IF(U185&lt;=Hypothèses!$V$13,Hypothèses!$W$13,IF(U185&lt;=Hypothèses!$V$14,Hypothèses!$W$14,IF(U185&lt;=Hypothèses!$V$15,Hypothèses!$W$15,IF(U185&lt;=Hypothèses!$V$16,Hypothèses!$W$16,IF(U185&lt;=Hypothèses!$V$17,Hypothèses!$W$17,IF(U185&lt;=Hypothèses!$V$18,Hypothèses!$W$18,""))))))))))))</f>
        <v>#DIV/0!</v>
      </c>
      <c r="AP185" s="87" t="e">
        <f t="shared" ca="1" si="317"/>
        <v>#DIV/0!</v>
      </c>
      <c r="AQ185" s="88" t="e">
        <f ca="1">IF(U185&lt;=Hypothèses!$V$7,Hypothèses!$X$7,IF(U185&lt;=Hypothèses!$V$8,Hypothèses!$X$8,IF(U185&lt;=Hypothèses!$V$9,Hypothèses!$X$9,IF(U185&lt;=Hypothèses!$V$10,Hypothèses!$X$10,IF(U185&lt;=Hypothèses!$V$11,Hypothèses!$X$11,IF(U185&lt;=Hypothèses!$V$12,Hypothèses!$X$12,IF(U185&lt;=Hypothèses!$V$13,Hypothèses!$X$13,IF(U185&lt;=Hypothèses!$V$14,Hypothèses!$X$14,IF(U185&lt;=Hypothèses!$V$15,Hypothèses!$X$15,IF(U185&lt;=Hypothèses!$V$16,Hypothèses!$X$16,IF(U185&lt;=Hypothèses!$U$17,Hypothèses!$W$17,IF(U185&lt;=Hypothèses!$U$18,Hypothèses!$W$18,""))))))))))))</f>
        <v>#DIV/0!</v>
      </c>
      <c r="AR185" s="95" t="e">
        <f t="shared" ca="1" si="272"/>
        <v>#DIV/0!</v>
      </c>
      <c r="AS185" s="101">
        <f t="shared" si="324"/>
        <v>0</v>
      </c>
      <c r="AT185" s="91">
        <f t="shared" si="241"/>
        <v>0</v>
      </c>
      <c r="AU185" s="30" t="e">
        <f t="shared" si="302"/>
        <v>#N/A</v>
      </c>
      <c r="AV185" s="30" t="e">
        <f t="shared" si="303"/>
        <v>#N/A</v>
      </c>
      <c r="AW185" s="31" t="e">
        <f>IF(OR(Hypothèses!$B$4=17,Hypothèses!$B$4=18,Hypothèses!$B$4=19,Hypothèses!$B$4=20),
IF($D185="Pressio.",
IF(OR($E185=3,$E185=1,$E185=4),AV185,AU185),
IF($D185="Pénétro.",
IF(OR($E185=3,$E185=1,$E185=4),AV185,AU185))),IF($D185="Pressio.",
IF($E185=3,AV185,AU185),
IF($D185="Pénétro.",
IF($E185=4,AV185,AU185))))</f>
        <v>#N/A</v>
      </c>
      <c r="AX185" s="31">
        <v>0</v>
      </c>
      <c r="AY185" s="102" t="e">
        <f>IF(NDC!$H$10="Oui",(VLOOKUP($B$3,'Coeff EC7'!$T$39:$X$59,2,0)*AW185+VLOOKUP($B$3,'Coeff EC7'!$T$65:$X$85,2,0)*Model0.1T!AX185)/1.5,PI()*AU$12*$Q185*($B185-$B184)*0.15/10+AY184)</f>
        <v>#N/A</v>
      </c>
      <c r="AZ185" s="102" t="e">
        <f>(VLOOKUP($B$3,'Coeff EC7'!$T$39:$X$59,3,0)*AW185+VLOOKUP($B$3,'Coeff EC7'!$T$65:$X$85,3,0)*Model0.1T!AX185)/1.1</f>
        <v>#N/A</v>
      </c>
      <c r="BA185" s="102" t="e">
        <f t="shared" si="273"/>
        <v>#N/A</v>
      </c>
      <c r="BB185" s="102" t="e">
        <f t="shared" si="274"/>
        <v>#N/A</v>
      </c>
      <c r="BC185" s="414" t="e">
        <f>IF(AND(AY185&gt;NDC!$C$63,AZ185&gt;NDC!$C$65,BA185&gt;NDC!$D$73,BB185&gt;NDC!$D$74,$B185&gt;NDC!$H$22-0.1+MIN(3*BC$12,1.5)),0,1)</f>
        <v>#N/A</v>
      </c>
      <c r="BD185" s="86" t="b">
        <f t="shared" si="242"/>
        <v>0</v>
      </c>
      <c r="BE185" s="86">
        <f t="shared" si="275"/>
        <v>0.5</v>
      </c>
      <c r="BF185" s="86">
        <f t="shared" si="243"/>
        <v>0.5</v>
      </c>
      <c r="BG185" s="30" t="e">
        <f t="shared" ca="1" si="276"/>
        <v>#DIV/0!</v>
      </c>
      <c r="BH185" s="85" t="e">
        <f ca="1">IF(AN185&lt;=Hypothèses!$V$7,Hypothèses!$W$7,IF(AN185&lt;=Hypothèses!$V$8,Hypothèses!$W$8,IF(AN185&lt;=Hypothèses!$V$9,Hypothèses!$W$9,IF(AN185&lt;=Hypothèses!$V$10,Hypothèses!$W$10,IF(AN185&lt;=Hypothèses!$V$11,Hypothèses!$W$11,IF(AN185&lt;=Hypothèses!$V$12,Hypothèses!$W$12,IF(AN185&lt;=Hypothèses!$V$13,Hypothèses!$W$13,IF(AN185&lt;=Hypothèses!$V$14,Hypothèses!$W$14,IF(AN185&lt;=Hypothèses!$V$15,Hypothèses!$W$15,IF(AN185&lt;=Hypothèses!$V$16,Hypothèses!$W$16,IF(AN185&lt;=Hypothèses!$V$17,Hypothèses!$W$17,IF(AN185&lt;=Hypothèses!$V$18,Hypothèses!$W$18,""))))))))))))</f>
        <v>#DIV/0!</v>
      </c>
      <c r="BI185" s="87" t="e">
        <f t="shared" ca="1" si="318"/>
        <v>#DIV/0!</v>
      </c>
      <c r="BJ185" s="88" t="e">
        <f ca="1">IF(AN185&lt;=Hypothèses!$V$7,Hypothèses!$X$7,IF(AN185&lt;=Hypothèses!$V$8,Hypothèses!$X$8,IF(AN185&lt;=Hypothèses!$V$9,Hypothèses!$X$9,IF(AN185&lt;=Hypothèses!$V$10,Hypothèses!$X$10,IF(AN185&lt;=Hypothèses!$V$11,Hypothèses!$X$11,IF(AN185&lt;=Hypothèses!$V$12,Hypothèses!$X$12,IF(AN185&lt;=Hypothèses!$V$13,Hypothèses!$X$13,IF(AN185&lt;=Hypothèses!$V$14,Hypothèses!$X$14,IF(AN185&lt;=Hypothèses!$V$15,Hypothèses!$X$15,IF(AN185&lt;=Hypothèses!$V$16,Hypothèses!$X$16,IF(AN185&lt;=Hypothèses!$U$17,Hypothèses!$W$17,IF(AN185&lt;=Hypothèses!$U$18,Hypothèses!$W$18,""))))))))))))</f>
        <v>#DIV/0!</v>
      </c>
      <c r="BK185" s="95" t="e">
        <f t="shared" ca="1" si="277"/>
        <v>#DIV/0!</v>
      </c>
      <c r="BL185" s="101">
        <f t="shared" si="325"/>
        <v>0</v>
      </c>
      <c r="BM185" s="91">
        <f t="shared" si="244"/>
        <v>0</v>
      </c>
      <c r="BN185" s="30" t="e">
        <f t="shared" si="304"/>
        <v>#N/A</v>
      </c>
      <c r="BO185" s="30" t="e">
        <f t="shared" si="305"/>
        <v>#N/A</v>
      </c>
      <c r="BP185" s="31" t="e">
        <f>IF(OR(Hypothèses!$B$4=17,Hypothèses!$B$4=18,Hypothèses!$B$4=19,Hypothèses!$B$4=20),
IF($D185="Pressio.",
IF(OR($E185=3,$E185=1,$E185=4),BO185,BN185),
IF($D185="Pénétro.",
IF(OR($E185=3,$E185=1,$E185=4),BO185,BN185))),IF($D185="Pressio.",
IF($E185=3,BO185,BN185),
IF($D185="Pénétro.",
IF($E185=4,BO185,BN185))))</f>
        <v>#N/A</v>
      </c>
      <c r="BQ185" s="31">
        <v>0</v>
      </c>
      <c r="BR185" s="102" t="e">
        <f>IF(NDC!$H$10="Oui",(VLOOKUP($B$3,'Coeff EC7'!$T$39:$X$59,2,0)*BP185+VLOOKUP($B$3,'Coeff EC7'!$T$65:$X$85,2,0)*Model0.1T!BQ185)/1.5,PI()*BN$12*$Q185*($B185-$B184)*0.15/10+BR184)</f>
        <v>#N/A</v>
      </c>
      <c r="BS185" s="102" t="e">
        <f>(VLOOKUP($B$3,'Coeff EC7'!$T$39:$X$59,3,0)*BP185+VLOOKUP($B$3,'Coeff EC7'!$T$65:$X$85,3,0)*Model0.1T!BQ185)/1.1</f>
        <v>#N/A</v>
      </c>
      <c r="BT185" s="102" t="e">
        <f t="shared" si="278"/>
        <v>#N/A</v>
      </c>
      <c r="BU185" s="102" t="e">
        <f t="shared" si="279"/>
        <v>#N/A</v>
      </c>
      <c r="BV185" s="414" t="e">
        <f>IF(AND(BR185&gt;NDC!$C$63,BS185&gt;NDC!$C$65,BT185&gt;NDC!$D$73,BU185&gt;NDC!$D$74,$B185&gt;NDC!$H$22-0.1+MIN(3*BV$12,1.5)),0,1)</f>
        <v>#N/A</v>
      </c>
      <c r="BW185" s="86" t="b">
        <f t="shared" si="245"/>
        <v>0</v>
      </c>
      <c r="BX185" s="86">
        <f t="shared" si="246"/>
        <v>0.5</v>
      </c>
      <c r="BY185" s="86">
        <f t="shared" si="247"/>
        <v>0.5</v>
      </c>
      <c r="BZ185" s="30" t="e">
        <f t="shared" ca="1" si="280"/>
        <v>#DIV/0!</v>
      </c>
      <c r="CA185" s="85" t="e">
        <f ca="1">IF(BG185&lt;=Hypothèses!$V$7,Hypothèses!$W$7,IF(BG185&lt;=Hypothèses!$V$8,Hypothèses!$W$8,IF(BG185&lt;=Hypothèses!$V$9,Hypothèses!$W$9,IF(BG185&lt;=Hypothèses!$V$10,Hypothèses!$W$10,IF(BG185&lt;=Hypothèses!$V$11,Hypothèses!$W$11,IF(BG185&lt;=Hypothèses!$V$12,Hypothèses!$W$12,IF(BG185&lt;=Hypothèses!$V$13,Hypothèses!$W$13,IF(BG185&lt;=Hypothèses!$V$14,Hypothèses!$W$14,IF(BG185&lt;=Hypothèses!$V$15,Hypothèses!$W$15,IF(BG185&lt;=Hypothèses!$V$16,Hypothèses!$W$16,IF(BG185&lt;=Hypothèses!$V$17,Hypothèses!$W$17,IF(BG185&lt;=Hypothèses!$V$18,Hypothèses!$W$18,""))))))))))))</f>
        <v>#DIV/0!</v>
      </c>
      <c r="CB185" s="87" t="e">
        <f t="shared" ca="1" si="319"/>
        <v>#DIV/0!</v>
      </c>
      <c r="CC185" s="88" t="e">
        <f ca="1">IF(BG185&lt;=Hypothèses!$V$7,Hypothèses!$X$7,IF(BG185&lt;=Hypothèses!$V$8,Hypothèses!$X$8,IF(BG185&lt;=Hypothèses!$V$9,Hypothèses!$X$9,IF(BG185&lt;=Hypothèses!$V$10,Hypothèses!$X$10,IF(BG185&lt;=Hypothèses!$V$11,Hypothèses!$X$11,IF(BG185&lt;=Hypothèses!$V$12,Hypothèses!$X$12,IF(BG185&lt;=Hypothèses!$V$13,Hypothèses!$X$13,IF(BG185&lt;=Hypothèses!$V$14,Hypothèses!$X$14,IF(BG185&lt;=Hypothèses!$V$15,Hypothèses!$X$15,IF(BG185&lt;=Hypothèses!$V$16,Hypothèses!$X$16,IF(BG185&lt;=Hypothèses!$U$17,Hypothèses!$W$17,IF(BG185&lt;=Hypothèses!$U$18,Hypothèses!$W$18,""))))))))))))</f>
        <v>#DIV/0!</v>
      </c>
      <c r="CD185" s="95" t="e">
        <f t="shared" ca="1" si="281"/>
        <v>#DIV/0!</v>
      </c>
      <c r="CE185" s="101">
        <f t="shared" si="326"/>
        <v>0</v>
      </c>
      <c r="CF185" s="91">
        <f t="shared" si="248"/>
        <v>0</v>
      </c>
      <c r="CG185" s="30" t="e">
        <f t="shared" si="306"/>
        <v>#N/A</v>
      </c>
      <c r="CH185" s="30" t="e">
        <f t="shared" si="307"/>
        <v>#N/A</v>
      </c>
      <c r="CI185" s="31" t="e">
        <f>IF(OR(Hypothèses!$B$4=17,Hypothèses!$B$4=18,Hypothèses!$B$4=19,Hypothèses!$B$4=20),
IF($D185="Pressio.",
IF(OR($E185=3,$E185=1,$E185=4),CH185,CG185),
IF($D185="Pénétro.",
IF(OR($E185=3,$E185=1,$E185=4),CH185,CG185))),IF($D185="Pressio.",
IF($E185=3,CH185,CG185),
IF($D185="Pénétro.",
IF($E185=4,CH185,CG185))))</f>
        <v>#N/A</v>
      </c>
      <c r="CJ185" s="31">
        <v>0</v>
      </c>
      <c r="CK185" s="102" t="e">
        <f>IF(NDC!$H$10="Oui",(VLOOKUP($B$3,'Coeff EC7'!$T$39:$X$59,2,0)*CI185+VLOOKUP($B$3,'Coeff EC7'!$T$65:$X$85,2,0)*Model0.1T!CJ185)/1.5,PI()*CG$12*$Q185*($B185-$B184)*0.15/10+CK184)</f>
        <v>#N/A</v>
      </c>
      <c r="CL185" s="102" t="e">
        <f>(VLOOKUP($B$3,'Coeff EC7'!$T$39:$X$59,3,0)*CI185+VLOOKUP($B$3,'Coeff EC7'!$T$65:$X$85,3,0)*Model0.1T!CJ185)/1.1</f>
        <v>#N/A</v>
      </c>
      <c r="CM185" s="102" t="e">
        <f t="shared" si="282"/>
        <v>#N/A</v>
      </c>
      <c r="CN185" s="102" t="e">
        <f t="shared" si="283"/>
        <v>#N/A</v>
      </c>
      <c r="CO185" s="414" t="e">
        <f>IF(AND(CK185&gt;NDC!$C$63,CL185&gt;NDC!$C$65,CM185&gt;NDC!$D$73,CN185&gt;NDC!$D$74,$B185&gt;NDC!$H$22-0.1+MIN(3*CO$12,1.5)),0,1)</f>
        <v>#N/A</v>
      </c>
      <c r="CP185" s="86" t="b">
        <f t="shared" si="249"/>
        <v>0</v>
      </c>
      <c r="CQ185" s="86">
        <f t="shared" si="250"/>
        <v>0.5</v>
      </c>
      <c r="CR185" s="86">
        <f t="shared" si="251"/>
        <v>0.5</v>
      </c>
      <c r="CS185" s="30" t="e">
        <f t="shared" ca="1" si="284"/>
        <v>#DIV/0!</v>
      </c>
      <c r="CT185" s="85" t="e">
        <f ca="1">IF(BZ185&lt;=Hypothèses!$V$7,Hypothèses!$W$7,IF(BZ185&lt;=Hypothèses!$V$8,Hypothèses!$W$8,IF(BZ185&lt;=Hypothèses!$V$9,Hypothèses!$W$9,IF(BZ185&lt;=Hypothèses!$V$10,Hypothèses!$W$10,IF(BZ185&lt;=Hypothèses!$V$11,Hypothèses!$W$11,IF(BZ185&lt;=Hypothèses!$V$12,Hypothèses!$W$12,IF(BZ185&lt;=Hypothèses!$V$13,Hypothèses!$W$13,IF(BZ185&lt;=Hypothèses!$V$14,Hypothèses!$W$14,IF(BZ185&lt;=Hypothèses!$V$15,Hypothèses!$W$15,IF(BZ185&lt;=Hypothèses!$V$16,Hypothèses!$W$16,IF(BZ185&lt;=Hypothèses!$V$17,Hypothèses!$W$17,IF(BZ185&lt;=Hypothèses!$V$18,Hypothèses!$W$18,""))))))))))))</f>
        <v>#DIV/0!</v>
      </c>
      <c r="CU185" s="87" t="e">
        <f t="shared" ca="1" si="320"/>
        <v>#DIV/0!</v>
      </c>
      <c r="CV185" s="88" t="e">
        <f ca="1">IF(BZ185&lt;=Hypothèses!$V$7,Hypothèses!$X$7,IF(BZ185&lt;=Hypothèses!$V$8,Hypothèses!$X$8,IF(BZ185&lt;=Hypothèses!$V$9,Hypothèses!$X$9,IF(BZ185&lt;=Hypothèses!$V$10,Hypothèses!$X$10,IF(BZ185&lt;=Hypothèses!$V$11,Hypothèses!$X$11,IF(BZ185&lt;=Hypothèses!$V$12,Hypothèses!$X$12,IF(BZ185&lt;=Hypothèses!$V$13,Hypothèses!$X$13,IF(BZ185&lt;=Hypothèses!$V$14,Hypothèses!$X$14,IF(BZ185&lt;=Hypothèses!$V$15,Hypothèses!$X$15,IF(BZ185&lt;=Hypothèses!$V$16,Hypothèses!$X$16,IF(BZ185&lt;=Hypothèses!$U$17,Hypothèses!$W$17,IF(BZ185&lt;=Hypothèses!$U$18,Hypothèses!$W$18,""))))))))))))</f>
        <v>#DIV/0!</v>
      </c>
      <c r="CW185" s="95" t="e">
        <f t="shared" ca="1" si="285"/>
        <v>#DIV/0!</v>
      </c>
      <c r="CX185" s="101">
        <f t="shared" si="327"/>
        <v>0</v>
      </c>
      <c r="CY185" s="91">
        <f t="shared" si="252"/>
        <v>0</v>
      </c>
      <c r="CZ185" s="30" t="e">
        <f t="shared" si="308"/>
        <v>#N/A</v>
      </c>
      <c r="DA185" s="30" t="e">
        <f t="shared" si="309"/>
        <v>#N/A</v>
      </c>
      <c r="DB185" s="31" t="e">
        <f>IF(OR(Hypothèses!$B$4=17,Hypothèses!$B$4=18,Hypothèses!$B$4=19,Hypothèses!$B$4=20),
IF($D185="Pressio.",
IF(OR($E185=3,$E185=1,$E185=4),DA185,CZ185),
IF($D185="Pénétro.",
IF(OR($E185=3,$E185=1,$E185=4),DA185,CZ185))),IF($D185="Pressio.",
IF($E185=3,DA185,CZ185),
IF($D185="Pénétro.",
IF($E185=4,DA185,CZ185))))</f>
        <v>#N/A</v>
      </c>
      <c r="DC185" s="31">
        <v>0</v>
      </c>
      <c r="DD185" s="102" t="e">
        <f>IF(NDC!$H$10="Oui",(VLOOKUP($B$3,'Coeff EC7'!$T$39:$X$59,2,0)*DB185+VLOOKUP($B$3,'Coeff EC7'!$T$65:$X$85,2,0)*Model0.1T!DC185)/1.5,PI()*CZ$12*$Q185*($B185-$B184)*0.15/10+DD184)</f>
        <v>#N/A</v>
      </c>
      <c r="DE185" s="102" t="e">
        <f>(VLOOKUP($B$3,'Coeff EC7'!$T$39:$X$59,3,0)*DB185+VLOOKUP($B$3,'Coeff EC7'!$T$65:$X$85,3,0)*Model0.1T!DC185)/1.1</f>
        <v>#N/A</v>
      </c>
      <c r="DF185" s="102" t="e">
        <f t="shared" si="286"/>
        <v>#N/A</v>
      </c>
      <c r="DG185" s="102" t="e">
        <f t="shared" si="287"/>
        <v>#N/A</v>
      </c>
      <c r="DH185" s="414" t="e">
        <f>IF(AND(DD185&gt;NDC!$C$63,DE185&gt;NDC!$C$65,DF185&gt;NDC!$D$73,DG185&gt;NDC!$D$74,$B185&gt;NDC!$H$22-0.1+MIN(3*DH$12,1.5)),0,1)</f>
        <v>#N/A</v>
      </c>
      <c r="DI185" s="86" t="b">
        <f t="shared" si="253"/>
        <v>0</v>
      </c>
      <c r="DJ185" s="86">
        <f t="shared" si="254"/>
        <v>0.5</v>
      </c>
      <c r="DK185" s="86">
        <f t="shared" si="255"/>
        <v>0.5</v>
      </c>
      <c r="DL185" s="30" t="e">
        <f t="shared" ca="1" si="288"/>
        <v>#DIV/0!</v>
      </c>
      <c r="DM185" s="85" t="e">
        <f ca="1">IF(CS185&lt;=Hypothèses!$V$7,Hypothèses!$W$7,IF(CS185&lt;=Hypothèses!$V$8,Hypothèses!$W$8,IF(CS185&lt;=Hypothèses!$V$9,Hypothèses!$W$9,IF(CS185&lt;=Hypothèses!$V$10,Hypothèses!$W$10,IF(CS185&lt;=Hypothèses!$V$11,Hypothèses!$W$11,IF(CS185&lt;=Hypothèses!$V$12,Hypothèses!$W$12,IF(CS185&lt;=Hypothèses!$V$13,Hypothèses!$W$13,IF(CS185&lt;=Hypothèses!$V$14,Hypothèses!$W$14,IF(CS185&lt;=Hypothèses!$V$15,Hypothèses!$W$15,IF(CS185&lt;=Hypothèses!$V$16,Hypothèses!$W$16,IF(CS185&lt;=Hypothèses!$V$17,Hypothèses!$W$17,IF(CS185&lt;=Hypothèses!$V$18,Hypothèses!$W$18,""))))))))))))</f>
        <v>#DIV/0!</v>
      </c>
      <c r="DN185" s="87" t="e">
        <f t="shared" ca="1" si="321"/>
        <v>#DIV/0!</v>
      </c>
      <c r="DO185" s="88" t="e">
        <f ca="1">IF(CS185&lt;=Hypothèses!$V$7,Hypothèses!$X$7,IF(CS185&lt;=Hypothèses!$V$8,Hypothèses!$X$8,IF(CS185&lt;=Hypothèses!$V$9,Hypothèses!$X$9,IF(CS185&lt;=Hypothèses!$V$10,Hypothèses!$X$10,IF(CS185&lt;=Hypothèses!$V$11,Hypothèses!$X$11,IF(CS185&lt;=Hypothèses!$V$12,Hypothèses!$X$12,IF(CS185&lt;=Hypothèses!$V$13,Hypothèses!$X$13,IF(CS185&lt;=Hypothèses!$V$14,Hypothèses!$X$14,IF(CS185&lt;=Hypothèses!$V$15,Hypothèses!$X$15,IF(CS185&lt;=Hypothèses!$V$16,Hypothèses!$X$16,IF(CS185&lt;=Hypothèses!$U$17,Hypothèses!$W$17,IF(CS185&lt;=Hypothèses!$U$18,Hypothèses!$W$18,""))))))))))))</f>
        <v>#DIV/0!</v>
      </c>
      <c r="DP185" s="95" t="e">
        <f t="shared" ca="1" si="289"/>
        <v>#DIV/0!</v>
      </c>
      <c r="DQ185" s="101">
        <f t="shared" si="328"/>
        <v>0</v>
      </c>
      <c r="DR185" s="91">
        <f t="shared" si="256"/>
        <v>0</v>
      </c>
      <c r="DS185" s="30" t="e">
        <f t="shared" si="310"/>
        <v>#N/A</v>
      </c>
      <c r="DT185" s="30" t="e">
        <f t="shared" si="311"/>
        <v>#N/A</v>
      </c>
      <c r="DU185" s="31" t="e">
        <f>IF(OR(Hypothèses!$B$4=17,Hypothèses!$B$4=18,Hypothèses!$B$4=19,Hypothèses!$B$4=20),
IF($D185="Pressio.",
IF(OR($E185=3,$E185=1,$E185=4),DT185,DS185),
IF($D185="Pénétro.",
IF(OR($E185=3,$E185=1,$E185=4),DT185,DS185))),IF($D185="Pressio.",
IF($E185=3,DT185,DS185),
IF($D185="Pénétro.",
IF($E185=4,DT185,DS185))))</f>
        <v>#N/A</v>
      </c>
      <c r="DV185" s="31">
        <v>0</v>
      </c>
      <c r="DW185" s="102" t="e">
        <f>IF(NDC!$H$10="Oui",(VLOOKUP($B$3,'Coeff EC7'!$T$39:$X$59,2,0)*DU185+VLOOKUP($B$3,'Coeff EC7'!$T$65:$X$85,2,0)*Model0.1T!DV185)/1.5,PI()*DS$12*$Q185*($B185-$B184)*0.15/10+DW184)</f>
        <v>#N/A</v>
      </c>
      <c r="DX185" s="102" t="e">
        <f>(VLOOKUP($B$3,'Coeff EC7'!$T$39:$X$59,3,0)*DU185+VLOOKUP($B$3,'Coeff EC7'!$T$65:$X$85,3,0)*Model0.1T!DV185)/1.1</f>
        <v>#N/A</v>
      </c>
      <c r="DY185" s="102" t="e">
        <f t="shared" si="290"/>
        <v>#N/A</v>
      </c>
      <c r="DZ185" s="102" t="e">
        <f t="shared" si="291"/>
        <v>#N/A</v>
      </c>
      <c r="EA185" s="414" t="e">
        <f>IF(AND(DW185&gt;NDC!$C$63,DX185&gt;NDC!$C$65,DY185&gt;NDC!$D$73,DZ185&gt;NDC!$D$74,$B185&gt;NDC!$H$22-0.1+MIN(3*EA$12,1.5)),0,1)</f>
        <v>#N/A</v>
      </c>
      <c r="EB185" s="86" t="b">
        <f t="shared" si="257"/>
        <v>0</v>
      </c>
      <c r="EC185" s="418">
        <f t="shared" si="258"/>
        <v>0.51</v>
      </c>
      <c r="ED185" s="86">
        <f t="shared" si="259"/>
        <v>0.51</v>
      </c>
      <c r="EE185" s="30" t="e">
        <f t="shared" ca="1" si="292"/>
        <v>#DIV/0!</v>
      </c>
      <c r="EF185" s="85" t="e">
        <f ca="1">IF(DL185&lt;=Hypothèses!$V$7,Hypothèses!$W$7,IF(DL185&lt;=Hypothèses!$V$8,Hypothèses!$W$8,IF(DL185&lt;=Hypothèses!$V$9,Hypothèses!$W$9,IF(DL185&lt;=Hypothèses!$V$10,Hypothèses!$W$10,IF(DL185&lt;=Hypothèses!$V$11,Hypothèses!$W$11,IF(DL185&lt;=Hypothèses!$V$12,Hypothèses!$W$12,IF(DL185&lt;=Hypothèses!$V$13,Hypothèses!$W$13,IF(DL185&lt;=Hypothèses!$V$14,Hypothèses!$W$14,IF(DL185&lt;=Hypothèses!$V$15,Hypothèses!$W$15,IF(DL185&lt;=Hypothèses!$V$16,Hypothèses!$W$16,IF(DL185&lt;=Hypothèses!$V$17,Hypothèses!$W$17,IF(DL185&lt;=Hypothèses!$V$18,Hypothèses!$W$18,""))))))))))))</f>
        <v>#DIV/0!</v>
      </c>
      <c r="EG185" s="87" t="e">
        <f t="shared" ca="1" si="322"/>
        <v>#DIV/0!</v>
      </c>
      <c r="EH185" s="88" t="e">
        <f ca="1">IF(DL185&lt;=Hypothèses!$V$7,Hypothèses!$X$7,IF(DL185&lt;=Hypothèses!$V$8,Hypothèses!$X$8,IF(DL185&lt;=Hypothèses!$V$9,Hypothèses!$X$9,IF(DL185&lt;=Hypothèses!$V$10,Hypothèses!$X$10,IF(DL185&lt;=Hypothèses!$V$11,Hypothèses!$X$11,IF(DL185&lt;=Hypothèses!$V$12,Hypothèses!$X$12,IF(DL185&lt;=Hypothèses!$V$13,Hypothèses!$X$13,IF(DL185&lt;=Hypothèses!$V$14,Hypothèses!$X$14,IF(DL185&lt;=Hypothèses!$V$15,Hypothèses!$X$15,IF(DL185&lt;=Hypothèses!$V$16,Hypothèses!$X$16,IF(DL185&lt;=Hypothèses!$U$17,Hypothèses!$W$17,IF(DL185&lt;=Hypothèses!$U$18,Hypothèses!$W$18,""))))))))))))</f>
        <v>#DIV/0!</v>
      </c>
      <c r="EI185" s="95" t="e">
        <f t="shared" ca="1" si="293"/>
        <v>#DIV/0!</v>
      </c>
      <c r="EJ185" s="101">
        <f t="shared" si="329"/>
        <v>0</v>
      </c>
      <c r="EK185" s="91">
        <f t="shared" si="260"/>
        <v>0</v>
      </c>
      <c r="EL185" s="30" t="e">
        <f t="shared" si="312"/>
        <v>#N/A</v>
      </c>
      <c r="EM185" s="30" t="e">
        <f t="shared" si="313"/>
        <v>#N/A</v>
      </c>
      <c r="EN185" s="31" t="e">
        <f>IF(OR(Hypothèses!$B$4=17,Hypothèses!$B$4=18,Hypothèses!$B$4=19,Hypothèses!$B$4=20),
IF($D185="Pressio.",
IF(OR($E185=3,$E185=1,$E185=4),EM185,EL185),
IF($D185="Pénétro.",
IF(OR($E185=3,$E185=1,$E185=4),EM185,EL185))),IF($D185="Pressio.",
IF($E185=3,EM185,EL185),
IF($D185="Pénétro.",
IF($E185=4,EM185,EL185))))</f>
        <v>#N/A</v>
      </c>
      <c r="EO185" s="31">
        <v>0</v>
      </c>
      <c r="EP185" s="102" t="e">
        <f>IF(NDC!$H$10="Oui",(VLOOKUP($B$3,'Coeff EC7'!$T$39:$X$59,2,0)*EN185+VLOOKUP($B$3,'Coeff EC7'!$T$65:$X$85,2,0)*Model0.1T!EO185)/1.5,PI()*EL$12*$Q185*($B185-$B184)*0.15/10+EP184)</f>
        <v>#N/A</v>
      </c>
      <c r="EQ185" s="102" t="e">
        <f>(VLOOKUP($B$3,'Coeff EC7'!$T$39:$X$59,3,0)*EN185+VLOOKUP($B$3,'Coeff EC7'!$T$65:$X$85,3,0)*Model0.1T!EO185)/1.1</f>
        <v>#N/A</v>
      </c>
      <c r="ER185" s="102" t="e">
        <f t="shared" si="294"/>
        <v>#N/A</v>
      </c>
      <c r="ES185" s="102" t="e">
        <f t="shared" si="295"/>
        <v>#N/A</v>
      </c>
      <c r="ET185" s="414" t="e">
        <f>IF(AND(EP185&gt;NDC!$C$63,EQ185&gt;NDC!$C$65,ER185&gt;NDC!$D$73,ES185&gt;NDC!$D$74,$B185&gt;NDC!$H$22-0.1+MIN(3*ET$12,1.5)),0,1)</f>
        <v>#N/A</v>
      </c>
      <c r="EU185" s="86" t="b">
        <f t="shared" si="261"/>
        <v>0</v>
      </c>
      <c r="EV185" s="86">
        <f t="shared" si="262"/>
        <v>0.61</v>
      </c>
      <c r="EW185" s="86">
        <f t="shared" si="263"/>
        <v>0.61</v>
      </c>
      <c r="EX185" s="30" t="e">
        <f t="shared" ca="1" si="296"/>
        <v>#DIV/0!</v>
      </c>
      <c r="EY185" s="85" t="e">
        <f ca="1">IF(EE185&lt;=Hypothèses!$V$7,Hypothèses!$W$7,IF(EE185&lt;=Hypothèses!$V$8,Hypothèses!$W$8,IF(EE185&lt;=Hypothèses!$V$9,Hypothèses!$W$9,IF(EE185&lt;=Hypothèses!$V$10,Hypothèses!$W$10,IF(EE185&lt;=Hypothèses!$V$11,Hypothèses!$W$11,IF(EE185&lt;=Hypothèses!$V$12,Hypothèses!$W$12,IF(EE185&lt;=Hypothèses!$V$13,Hypothèses!$W$13,IF(EE185&lt;=Hypothèses!$V$14,Hypothèses!$W$14,IF(EE185&lt;=Hypothèses!$V$15,Hypothèses!$W$15,IF(EE185&lt;=Hypothèses!$V$16,Hypothèses!$W$16,IF(EE185&lt;=Hypothèses!$V$17,Hypothèses!$W$17,IF(EE185&lt;=Hypothèses!$V$18,Hypothèses!$W$18,""))))))))))))</f>
        <v>#DIV/0!</v>
      </c>
      <c r="EZ185" s="87" t="e">
        <f t="shared" ca="1" si="323"/>
        <v>#DIV/0!</v>
      </c>
      <c r="FA185" s="88" t="e">
        <f ca="1">IF(EE185&lt;=Hypothèses!$V$7,Hypothèses!$X$7,IF(EE185&lt;=Hypothèses!$V$8,Hypothèses!$X$8,IF(EE185&lt;=Hypothèses!$V$9,Hypothèses!$X$9,IF(EE185&lt;=Hypothèses!$V$10,Hypothèses!$X$10,IF(EE185&lt;=Hypothèses!$V$11,Hypothèses!$X$11,IF(EE185&lt;=Hypothèses!$V$12,Hypothèses!$X$12,IF(EE185&lt;=Hypothèses!$V$13,Hypothèses!$X$13,IF(EE185&lt;=Hypothèses!$V$14,Hypothèses!$X$14,IF(EE185&lt;=Hypothèses!$V$15,Hypothèses!$X$15,IF(EE185&lt;=Hypothèses!$V$16,Hypothèses!$X$16,IF(EE185&lt;=Hypothèses!$U$17,Hypothèses!$W$17,IF(EE185&lt;=Hypothèses!$U$18,Hypothèses!$W$18,""))))))))))))</f>
        <v>#DIV/0!</v>
      </c>
      <c r="FB185" s="95" t="e">
        <f t="shared" ca="1" si="297"/>
        <v>#DIV/0!</v>
      </c>
      <c r="FC185" s="101">
        <f t="shared" si="330"/>
        <v>0</v>
      </c>
      <c r="FD185" s="91">
        <f t="shared" si="264"/>
        <v>0</v>
      </c>
      <c r="FE185" s="30" t="e">
        <f t="shared" si="314"/>
        <v>#N/A</v>
      </c>
      <c r="FF185" s="30" t="e">
        <f t="shared" si="315"/>
        <v>#N/A</v>
      </c>
      <c r="FG185" s="31" t="e">
        <f>IF(OR(Hypothèses!$B$4=17,Hypothèses!$B$4=18,Hypothèses!$B$4=19,Hypothèses!$B$4=20),
IF($D185="Pressio.",
IF(OR($E185=3,$E185=1,$E185=4),FF185,FE185),
IF($D185="Pénétro.",
IF(OR($E185=3,$E185=1,$E185=4),FF185,FE185))),IF($D185="Pressio.",
IF($E185=3,FF185,FE185),
IF($D185="Pénétro.",
IF($E185=4,FF185,FE185))))</f>
        <v>#N/A</v>
      </c>
      <c r="FH185" s="31">
        <v>0</v>
      </c>
      <c r="FI185" s="102" t="e">
        <f>IF(NDC!$H$10="Oui",(VLOOKUP($B$3,'Coeff EC7'!$T$39:$X$59,2,0)*FG185+VLOOKUP($B$3,'Coeff EC7'!$T$65:$X$85,2,0)*Model0.1T!FH185)/1.5,PI()*FE$12*$Q185*($B185-$B184)*0.15/10+FI184)</f>
        <v>#N/A</v>
      </c>
      <c r="FJ185" s="102" t="e">
        <f>(VLOOKUP($B$3,'Coeff EC7'!$T$39:$X$59,3,0)*FG185+VLOOKUP($B$3,'Coeff EC7'!$T$65:$X$85,3,0)*Model0.1T!FH185)/1.1</f>
        <v>#N/A</v>
      </c>
      <c r="FK185" s="102" t="e">
        <f t="shared" si="298"/>
        <v>#N/A</v>
      </c>
      <c r="FL185" s="102" t="e">
        <f t="shared" si="299"/>
        <v>#N/A</v>
      </c>
      <c r="FM185" s="414" t="e">
        <f>IF(AND(FI185&gt;NDC!$C$63,FJ185&gt;NDC!$C$65,FK185&gt;NDC!$D$73,FL185&gt;NDC!$D$74,$B185&gt;NDC!$H$22-0.1+MIN(3*FM$12,1.5)),0,1)</f>
        <v>#N/A</v>
      </c>
    </row>
    <row r="186" spans="1:169">
      <c r="A186" s="96">
        <f t="shared" si="265"/>
        <v>82.700000000000983</v>
      </c>
      <c r="B186" s="97">
        <v>17.3</v>
      </c>
      <c r="C186" s="81">
        <f>IF(B186&lt;=Hypothèses!$C$7,Hypothèses!$A$7,IF(B186&lt;=Hypothèses!$C$8,Hypothèses!$A$8,IF(B186&lt;=Hypothèses!$C$9,Hypothèses!$A$9,IF(B186&lt;=Hypothèses!$C$10,Hypothèses!$A$10,IF(B186&lt;=Hypothèses!$C$11,Hypothèses!$A$11,IF(B186&lt;=Hypothèses!$C$12,Hypothèses!$A$12,IF(B186&lt;=Hypothèses!$C$13,Hypothèses!$A$13,IF(B186&lt;=Hypothèses!$C$14,Hypothèses!$A$14,IF(B186&lt;=Hypothèses!$C$15,Hypothèses!$A$15,IF(B186&lt;=Hypothèses!$C$16,Hypothèses!$A$16,IF(B186&lt;=Hypothèses!$C$17,Hypothèses!$A$17,IF(B186&lt;=Hypothèses!$C$18,Hypothèses!$A$18,C185))))))))))))</f>
        <v>11</v>
      </c>
      <c r="D186" s="82" t="str">
        <f>IF(B186&lt;=Hypothèses!$C$7,Hypothèses!$R$7,IF(B186&lt;=Hypothèses!$C$8,Hypothèses!$R$8,IF(B186&lt;=Hypothèses!$C$9,Hypothèses!$R$9,IF(B186&lt;=Hypothèses!$C$10,Hypothèses!$R$10,IF(B186&lt;=Hypothèses!$C$11,Hypothèses!$R$11,IF(B186&lt;=Hypothèses!$C$12,Hypothèses!$R$12,IF(B186&lt;=Hypothèses!$C$13,Hypothèses!$R$13,IF(B186&lt;=Hypothèses!$C$14,Hypothèses!$R$14,IF(B186&lt;=Hypothèses!$C$15,Hypothèses!$R$15,IF(B186&lt;=Hypothèses!$C$16,Hypothèses!$R$16,IF(B186&lt;=Hypothèses!$C$17,Hypothèses!$R$17,IF(B186&lt;=Hypothèses!$C$18,Hypothèses!$R$18,D185))))))))))))</f>
        <v>Pressio.</v>
      </c>
      <c r="E186" s="82" t="e">
        <f>IF(B186&lt;=Hypothèses!$C$7,Hypothèses!$G$7,IF(B186&lt;=Hypothèses!$C$8,Hypothèses!$G$8,IF(B186&lt;=Hypothèses!$C$9,Hypothèses!$G$9,IF(B186&lt;=Hypothèses!$C$10,Hypothèses!$G$10,IF(B186&lt;=Hypothèses!$C$11,Hypothèses!$G$11,IF(B186&lt;=Hypothèses!$C$12,Hypothèses!$G$12,IF(B186&lt;=Hypothèses!$C$13,Hypothèses!$G$13,IF(B186&lt;=Hypothèses!$C$14,Hypothèses!$G$14,IF(B186&lt;=Hypothèses!$C$15,Hypothèses!$G$15,IF(B186&lt;=Hypothèses!$C$16,Hypothèses!$G$16,IF(B186&lt;=Hypothèses!$C$17,Hypothèses!$G$17,IF(B186&lt;=Hypothèses!$C$18,Hypothèses!$G$18,E185))))))))))))</f>
        <v>#N/A</v>
      </c>
      <c r="F186" s="82" t="str">
        <f>IF(B186&lt;=Hypothèses!$C$7,Hypothèses!$F$7,IF(B186&lt;=Hypothèses!$C$8,Hypothèses!$F$8,IF(B186&lt;=Hypothèses!$C$9,Hypothèses!$F$9,IF(B186&lt;=Hypothèses!$C$10,Hypothèses!$F$10,IF(B186&lt;=Hypothèses!$C$11,Hypothèses!$F$11,IF(B186&lt;=Hypothèses!$C$12,Hypothèses!$F$12,IF(B186&lt;=Hypothèses!$C$13,Hypothèses!$F$13,IF(B186&lt;=Hypothèses!$C$14,Hypothèses!$F$14,IF(B186&lt;=Hypothèses!$C$15,Hypothèses!$F$15,IF(B186&lt;=Hypothèses!$C$16,Hypothèses!$F$16,IF(B186&lt;=Hypothèses!$C$17,Hypothèses!$F$17,IF(B186&lt;=Hypothèses!$C$18,Hypothèses!$F$18,F185))))))))))))</f>
        <v/>
      </c>
      <c r="G186" s="91">
        <f t="array" ref="G186">INDEX('Coeff EC7'!$U$7:$X$27,
MATCH(Model0.1T!$B$3,'Coeff EC7'!$T$7:$T$27,0),
MATCH(Model0.1T!$D186&amp;Model0.1T!$B$4,
'Coeff EC7'!$U$6:$X$6&amp;
'Coeff EC7'!$U$5:$X$5,0))</f>
        <v>1.4</v>
      </c>
      <c r="H186" s="91">
        <f t="array" ref="H186">INDEX('Coeff EC7'!$Y$7:$AB$27,
MATCH(Model0.1T!$B$3,'Coeff EC7'!$T$7:$T$27,0),
MATCH(Model0.1T!$D186&amp;Model0.1T!$B$4,
'Coeff EC7'!$Y$6:$AB$6&amp;
'Coeff EC7'!$Y$5:$AB$5,0))</f>
        <v>1.7</v>
      </c>
      <c r="I186" s="83">
        <v>0</v>
      </c>
      <c r="J186" s="91" t="e">
        <f t="array" ref="J186">INDEX('Coeff EC7'!$D$33:$Q$33,1,MATCH(D186&amp;E186,'Coeff EC7'!$D$31:$Q$31&amp;'Coeff EC7'!$D$32:$Q$32,0))</f>
        <v>#N/A</v>
      </c>
      <c r="K186" s="91" t="e">
        <f t="array" ref="K186">INDEX('Coeff EC7'!$D$34:$Q$34,1,MATCH(D186&amp;E186,'Coeff EC7'!$D$31:$Q$31&amp;'Coeff EC7'!$D$32:$Q$32,0))</f>
        <v>#N/A</v>
      </c>
      <c r="L186" s="91" t="e">
        <f t="array" ref="L186">INDEX('Coeff EC7'!$D$35:$Q$35,1,MATCH(D186&amp;E186,'Coeff EC7'!$D$31:$Q$31&amp;'Coeff EC7'!$D$32:$Q$32,0))</f>
        <v>#N/A</v>
      </c>
      <c r="M186" s="98" t="e">
        <f t="shared" si="231"/>
        <v>#N/A</v>
      </c>
      <c r="N186" s="99" t="e">
        <f t="array" ref="N186">INDEX('Coeff EC7'!$D$7:$Q$27,MATCH($B$3,'Coeff EC7'!$C$7:$C$27,0),MATCH(D186&amp;E186,'Coeff EC7'!$D$5:$Q$5&amp;'Coeff EC7'!$D$6:$Q$6,0))</f>
        <v>#N/A</v>
      </c>
      <c r="O186" s="99" t="e">
        <f t="array" ref="O186">INDEX('Coeff EC7'!$D$41:$Q$61,MATCH($B$3,'Coeff EC7'!$C$41:$C$61,0),MATCH(D186&amp;E186,'Coeff EC7'!$D$39:$Q$39&amp;'Coeff EC7'!$D$40:$Q$40,0))</f>
        <v>#N/A</v>
      </c>
      <c r="P186" s="30" t="e">
        <f t="shared" si="266"/>
        <v>#N/A</v>
      </c>
      <c r="Q186" s="100" t="e">
        <f t="shared" si="233"/>
        <v>#N/A</v>
      </c>
      <c r="R186" s="86" t="b">
        <f t="shared" si="234"/>
        <v>0</v>
      </c>
      <c r="S186" s="86">
        <f t="shared" si="232"/>
        <v>0.5</v>
      </c>
      <c r="T186" s="86">
        <f t="shared" si="235"/>
        <v>0.5</v>
      </c>
      <c r="U186" s="30" t="e">
        <f t="shared" ca="1" si="267"/>
        <v>#DIV/0!</v>
      </c>
      <c r="V186" s="85" t="str">
        <f>IF(B186&lt;=Hypothèses!$V$7,Hypothèses!$W$7,IF(B186&lt;=Hypothèses!$V$8,Hypothèses!$W$8,IF(B186&lt;=Hypothèses!$V$9,Hypothèses!$W$9,IF(B186&lt;=Hypothèses!$V$10,Hypothèses!$W$10,IF(B186&lt;=Hypothèses!$V$11,Hypothèses!$W$11,IF(B186&lt;=Hypothèses!$V$12,Hypothèses!$W$12,IF(B186&lt;=Hypothèses!$V$13,Hypothèses!$W$13,IF(B186&lt;=Hypothèses!$V$14,Hypothèses!$W$14,IF(B186&lt;=Hypothèses!$V$15,Hypothèses!$W$15,IF(B186&lt;=Hypothèses!$V$16,Hypothèses!$W$16,IF(B186&lt;=Hypothèses!$V$17,Hypothèses!$W$17,IF(B186&lt;=Hypothèses!$V$18,Hypothèses!$W$18,""))))))))))))</f>
        <v/>
      </c>
      <c r="W186" s="87" t="e">
        <f t="shared" ca="1" si="316"/>
        <v>#DIV/0!</v>
      </c>
      <c r="X186" s="88" t="str">
        <f>IF(B186&lt;=Hypothèses!$V$7,Hypothèses!$X$7,IF(B186&lt;=Hypothèses!$V$8,Hypothèses!$X$8,IF(B186&lt;=Hypothèses!$V$9,Hypothèses!$X$9,IF(B186&lt;=Hypothèses!$V$10,Hypothèses!$X$10,IF(B186&lt;=Hypothèses!$V$11,Hypothèses!$X$11,IF(B186&lt;=Hypothèses!$V$12,Hypothèses!$X$12,IF(B186&lt;=Hypothèses!$V$13,Hypothèses!$X$13,IF(B186&lt;=Hypothèses!$V$14,Hypothèses!$X$14,IF(B186&lt;=Hypothèses!$V$15,Hypothèses!$X$15,IF(B186&lt;=Hypothèses!$V$16,Hypothèses!$X$16,IF(B186&lt;=Hypothèses!$U$17,Hypothèses!$W$17,IF(B186&lt;=Hypothèses!$U$18,Hypothèses!$W$18,""))))))))))))</f>
        <v/>
      </c>
      <c r="Y186" s="95" t="e">
        <f t="shared" ca="1" si="236"/>
        <v>#DIV/0!</v>
      </c>
      <c r="Z186" s="101">
        <f t="shared" si="237"/>
        <v>0</v>
      </c>
      <c r="AA186" s="91">
        <f t="shared" si="238"/>
        <v>0</v>
      </c>
      <c r="AB186" s="30" t="e">
        <f t="shared" si="300"/>
        <v>#N/A</v>
      </c>
      <c r="AC186" s="30" t="e">
        <f t="shared" si="301"/>
        <v>#N/A</v>
      </c>
      <c r="AD186" s="31" t="e">
        <f>IF(OR(Hypothèses!$B$4=17,Hypothèses!$B$4=18,Hypothèses!$B$4=19,Hypothèses!$B$4=20),
IF($D186="Pressio.",
IF(OR($E186=3,$E186=1,$E186=4),AC186,AB186),
IF($D186="Pénétro.",
IF(OR($E186=3,$E186=1,$E186=4),AC186,AB186))),IF($D186="Pressio.",
IF($E186=3,AC186,AB186),
IF($D186="Pénétro.",
IF($E186=4,AC186,AB186))))</f>
        <v>#N/A</v>
      </c>
      <c r="AE186" s="31">
        <v>0</v>
      </c>
      <c r="AF186" s="102" t="e">
        <f>IF(NDC!$H$10="Oui",(VLOOKUP($B$3,'Coeff EC7'!$T$39:$X$59,2,0)*AD186+VLOOKUP($B$3,'Coeff EC7'!$T$65:$X$85,2,0)*Model0.1T!AE186)/1.5,PI()*AB$12*$Q186*($B186-$B185)*0.15/10+AF185)</f>
        <v>#N/A</v>
      </c>
      <c r="AG186" s="102" t="e">
        <f>(VLOOKUP($B$3,'Coeff EC7'!$T$39:$X$59,3,0)*AD186+VLOOKUP($B$3,'Coeff EC7'!$T$65:$X$85,3,0)*Model0.1T!AE186)/1.1</f>
        <v>#N/A</v>
      </c>
      <c r="AH186" s="102" t="e">
        <f t="shared" si="268"/>
        <v>#N/A</v>
      </c>
      <c r="AI186" s="102" t="e">
        <f t="shared" si="269"/>
        <v>#N/A</v>
      </c>
      <c r="AJ186" s="414" t="e">
        <f>IF(AND(AF186&gt;NDC!$C$63,AG186&gt;NDC!$C$65,AH186&gt;NDC!$D$73,AI186&gt;NDC!$D$74,$B186&gt;NDC!$H$22-0.1+MIN(3*$AJ$12,1.5)),0,1)</f>
        <v>#N/A</v>
      </c>
      <c r="AK186" s="86" t="b">
        <f t="shared" si="239"/>
        <v>0</v>
      </c>
      <c r="AL186" s="86">
        <f t="shared" si="270"/>
        <v>0.5</v>
      </c>
      <c r="AM186" s="86">
        <f t="shared" si="240"/>
        <v>0.5</v>
      </c>
      <c r="AN186" s="30" t="e">
        <f t="shared" ca="1" si="271"/>
        <v>#DIV/0!</v>
      </c>
      <c r="AO186" s="85" t="e">
        <f ca="1">IF(U186&lt;=Hypothèses!$V$7,Hypothèses!$W$7,IF(U186&lt;=Hypothèses!$V$8,Hypothèses!$W$8,IF(U186&lt;=Hypothèses!$V$9,Hypothèses!$W$9,IF(U186&lt;=Hypothèses!$V$10,Hypothèses!$W$10,IF(U186&lt;=Hypothèses!$V$11,Hypothèses!$W$11,IF(U186&lt;=Hypothèses!$V$12,Hypothèses!$W$12,IF(U186&lt;=Hypothèses!$V$13,Hypothèses!$W$13,IF(U186&lt;=Hypothèses!$V$14,Hypothèses!$W$14,IF(U186&lt;=Hypothèses!$V$15,Hypothèses!$W$15,IF(U186&lt;=Hypothèses!$V$16,Hypothèses!$W$16,IF(U186&lt;=Hypothèses!$V$17,Hypothèses!$W$17,IF(U186&lt;=Hypothèses!$V$18,Hypothèses!$W$18,""))))))))))))</f>
        <v>#DIV/0!</v>
      </c>
      <c r="AP186" s="87" t="e">
        <f t="shared" ca="1" si="317"/>
        <v>#DIV/0!</v>
      </c>
      <c r="AQ186" s="88" t="e">
        <f ca="1">IF(U186&lt;=Hypothèses!$V$7,Hypothèses!$X$7,IF(U186&lt;=Hypothèses!$V$8,Hypothèses!$X$8,IF(U186&lt;=Hypothèses!$V$9,Hypothèses!$X$9,IF(U186&lt;=Hypothèses!$V$10,Hypothèses!$X$10,IF(U186&lt;=Hypothèses!$V$11,Hypothèses!$X$11,IF(U186&lt;=Hypothèses!$V$12,Hypothèses!$X$12,IF(U186&lt;=Hypothèses!$V$13,Hypothèses!$X$13,IF(U186&lt;=Hypothèses!$V$14,Hypothèses!$X$14,IF(U186&lt;=Hypothèses!$V$15,Hypothèses!$X$15,IF(U186&lt;=Hypothèses!$V$16,Hypothèses!$X$16,IF(U186&lt;=Hypothèses!$U$17,Hypothèses!$W$17,IF(U186&lt;=Hypothèses!$U$18,Hypothèses!$W$18,""))))))))))))</f>
        <v>#DIV/0!</v>
      </c>
      <c r="AR186" s="95" t="e">
        <f t="shared" ca="1" si="272"/>
        <v>#DIV/0!</v>
      </c>
      <c r="AS186" s="101">
        <f t="shared" si="324"/>
        <v>0</v>
      </c>
      <c r="AT186" s="91">
        <f t="shared" si="241"/>
        <v>0</v>
      </c>
      <c r="AU186" s="30" t="e">
        <f t="shared" si="302"/>
        <v>#N/A</v>
      </c>
      <c r="AV186" s="30" t="e">
        <f t="shared" si="303"/>
        <v>#N/A</v>
      </c>
      <c r="AW186" s="31" t="e">
        <f>IF(OR(Hypothèses!$B$4=17,Hypothèses!$B$4=18,Hypothèses!$B$4=19,Hypothèses!$B$4=20),
IF($D186="Pressio.",
IF(OR($E186=3,$E186=1,$E186=4),AV186,AU186),
IF($D186="Pénétro.",
IF(OR($E186=3,$E186=1,$E186=4),AV186,AU186))),IF($D186="Pressio.",
IF($E186=3,AV186,AU186),
IF($D186="Pénétro.",
IF($E186=4,AV186,AU186))))</f>
        <v>#N/A</v>
      </c>
      <c r="AX186" s="31">
        <v>0</v>
      </c>
      <c r="AY186" s="102" t="e">
        <f>IF(NDC!$H$10="Oui",(VLOOKUP($B$3,'Coeff EC7'!$T$39:$X$59,2,0)*AW186+VLOOKUP($B$3,'Coeff EC7'!$T$65:$X$85,2,0)*Model0.1T!AX186)/1.5,PI()*AU$12*$Q186*($B186-$B185)*0.15/10+AY185)</f>
        <v>#N/A</v>
      </c>
      <c r="AZ186" s="102" t="e">
        <f>(VLOOKUP($B$3,'Coeff EC7'!$T$39:$X$59,3,0)*AW186+VLOOKUP($B$3,'Coeff EC7'!$T$65:$X$85,3,0)*Model0.1T!AX186)/1.1</f>
        <v>#N/A</v>
      </c>
      <c r="BA186" s="102" t="e">
        <f t="shared" si="273"/>
        <v>#N/A</v>
      </c>
      <c r="BB186" s="102" t="e">
        <f t="shared" si="274"/>
        <v>#N/A</v>
      </c>
      <c r="BC186" s="414" t="e">
        <f>IF(AND(AY186&gt;NDC!$C$63,AZ186&gt;NDC!$C$65,BA186&gt;NDC!$D$73,BB186&gt;NDC!$D$74,$B186&gt;NDC!$H$22-0.1+MIN(3*BC$12,1.5)),0,1)</f>
        <v>#N/A</v>
      </c>
      <c r="BD186" s="86" t="b">
        <f t="shared" si="242"/>
        <v>0</v>
      </c>
      <c r="BE186" s="86">
        <f t="shared" si="275"/>
        <v>0.5</v>
      </c>
      <c r="BF186" s="86">
        <f t="shared" si="243"/>
        <v>0.5</v>
      </c>
      <c r="BG186" s="30" t="e">
        <f t="shared" ca="1" si="276"/>
        <v>#DIV/0!</v>
      </c>
      <c r="BH186" s="85" t="e">
        <f ca="1">IF(AN186&lt;=Hypothèses!$V$7,Hypothèses!$W$7,IF(AN186&lt;=Hypothèses!$V$8,Hypothèses!$W$8,IF(AN186&lt;=Hypothèses!$V$9,Hypothèses!$W$9,IF(AN186&lt;=Hypothèses!$V$10,Hypothèses!$W$10,IF(AN186&lt;=Hypothèses!$V$11,Hypothèses!$W$11,IF(AN186&lt;=Hypothèses!$V$12,Hypothèses!$W$12,IF(AN186&lt;=Hypothèses!$V$13,Hypothèses!$W$13,IF(AN186&lt;=Hypothèses!$V$14,Hypothèses!$W$14,IF(AN186&lt;=Hypothèses!$V$15,Hypothèses!$W$15,IF(AN186&lt;=Hypothèses!$V$16,Hypothèses!$W$16,IF(AN186&lt;=Hypothèses!$V$17,Hypothèses!$W$17,IF(AN186&lt;=Hypothèses!$V$18,Hypothèses!$W$18,""))))))))))))</f>
        <v>#DIV/0!</v>
      </c>
      <c r="BI186" s="87" t="e">
        <f t="shared" ca="1" si="318"/>
        <v>#DIV/0!</v>
      </c>
      <c r="BJ186" s="88" t="e">
        <f ca="1">IF(AN186&lt;=Hypothèses!$V$7,Hypothèses!$X$7,IF(AN186&lt;=Hypothèses!$V$8,Hypothèses!$X$8,IF(AN186&lt;=Hypothèses!$V$9,Hypothèses!$X$9,IF(AN186&lt;=Hypothèses!$V$10,Hypothèses!$X$10,IF(AN186&lt;=Hypothèses!$V$11,Hypothèses!$X$11,IF(AN186&lt;=Hypothèses!$V$12,Hypothèses!$X$12,IF(AN186&lt;=Hypothèses!$V$13,Hypothèses!$X$13,IF(AN186&lt;=Hypothèses!$V$14,Hypothèses!$X$14,IF(AN186&lt;=Hypothèses!$V$15,Hypothèses!$X$15,IF(AN186&lt;=Hypothèses!$V$16,Hypothèses!$X$16,IF(AN186&lt;=Hypothèses!$U$17,Hypothèses!$W$17,IF(AN186&lt;=Hypothèses!$U$18,Hypothèses!$W$18,""))))))))))))</f>
        <v>#DIV/0!</v>
      </c>
      <c r="BK186" s="95" t="e">
        <f t="shared" ca="1" si="277"/>
        <v>#DIV/0!</v>
      </c>
      <c r="BL186" s="101">
        <f t="shared" si="325"/>
        <v>0</v>
      </c>
      <c r="BM186" s="91">
        <f t="shared" si="244"/>
        <v>0</v>
      </c>
      <c r="BN186" s="30" t="e">
        <f t="shared" si="304"/>
        <v>#N/A</v>
      </c>
      <c r="BO186" s="30" t="e">
        <f t="shared" si="305"/>
        <v>#N/A</v>
      </c>
      <c r="BP186" s="31" t="e">
        <f>IF(OR(Hypothèses!$B$4=17,Hypothèses!$B$4=18,Hypothèses!$B$4=19,Hypothèses!$B$4=20),
IF($D186="Pressio.",
IF(OR($E186=3,$E186=1,$E186=4),BO186,BN186),
IF($D186="Pénétro.",
IF(OR($E186=3,$E186=1,$E186=4),BO186,BN186))),IF($D186="Pressio.",
IF($E186=3,BO186,BN186),
IF($D186="Pénétro.",
IF($E186=4,BO186,BN186))))</f>
        <v>#N/A</v>
      </c>
      <c r="BQ186" s="31">
        <v>0</v>
      </c>
      <c r="BR186" s="102" t="e">
        <f>IF(NDC!$H$10="Oui",(VLOOKUP($B$3,'Coeff EC7'!$T$39:$X$59,2,0)*BP186+VLOOKUP($B$3,'Coeff EC7'!$T$65:$X$85,2,0)*Model0.1T!BQ186)/1.5,PI()*BN$12*$Q186*($B186-$B185)*0.15/10+BR185)</f>
        <v>#N/A</v>
      </c>
      <c r="BS186" s="102" t="e">
        <f>(VLOOKUP($B$3,'Coeff EC7'!$T$39:$X$59,3,0)*BP186+VLOOKUP($B$3,'Coeff EC7'!$T$65:$X$85,3,0)*Model0.1T!BQ186)/1.1</f>
        <v>#N/A</v>
      </c>
      <c r="BT186" s="102" t="e">
        <f t="shared" si="278"/>
        <v>#N/A</v>
      </c>
      <c r="BU186" s="102" t="e">
        <f t="shared" si="279"/>
        <v>#N/A</v>
      </c>
      <c r="BV186" s="414" t="e">
        <f>IF(AND(BR186&gt;NDC!$C$63,BS186&gt;NDC!$C$65,BT186&gt;NDC!$D$73,BU186&gt;NDC!$D$74,$B186&gt;NDC!$H$22-0.1+MIN(3*BV$12,1.5)),0,1)</f>
        <v>#N/A</v>
      </c>
      <c r="BW186" s="86" t="b">
        <f t="shared" si="245"/>
        <v>0</v>
      </c>
      <c r="BX186" s="86">
        <f t="shared" si="246"/>
        <v>0.5</v>
      </c>
      <c r="BY186" s="86">
        <f t="shared" si="247"/>
        <v>0.5</v>
      </c>
      <c r="BZ186" s="30" t="e">
        <f t="shared" ca="1" si="280"/>
        <v>#DIV/0!</v>
      </c>
      <c r="CA186" s="85" t="e">
        <f ca="1">IF(BG186&lt;=Hypothèses!$V$7,Hypothèses!$W$7,IF(BG186&lt;=Hypothèses!$V$8,Hypothèses!$W$8,IF(BG186&lt;=Hypothèses!$V$9,Hypothèses!$W$9,IF(BG186&lt;=Hypothèses!$V$10,Hypothèses!$W$10,IF(BG186&lt;=Hypothèses!$V$11,Hypothèses!$W$11,IF(BG186&lt;=Hypothèses!$V$12,Hypothèses!$W$12,IF(BG186&lt;=Hypothèses!$V$13,Hypothèses!$W$13,IF(BG186&lt;=Hypothèses!$V$14,Hypothèses!$W$14,IF(BG186&lt;=Hypothèses!$V$15,Hypothèses!$W$15,IF(BG186&lt;=Hypothèses!$V$16,Hypothèses!$W$16,IF(BG186&lt;=Hypothèses!$V$17,Hypothèses!$W$17,IF(BG186&lt;=Hypothèses!$V$18,Hypothèses!$W$18,""))))))))))))</f>
        <v>#DIV/0!</v>
      </c>
      <c r="CB186" s="87" t="e">
        <f t="shared" ca="1" si="319"/>
        <v>#DIV/0!</v>
      </c>
      <c r="CC186" s="88" t="e">
        <f ca="1">IF(BG186&lt;=Hypothèses!$V$7,Hypothèses!$X$7,IF(BG186&lt;=Hypothèses!$V$8,Hypothèses!$X$8,IF(BG186&lt;=Hypothèses!$V$9,Hypothèses!$X$9,IF(BG186&lt;=Hypothèses!$V$10,Hypothèses!$X$10,IF(BG186&lt;=Hypothèses!$V$11,Hypothèses!$X$11,IF(BG186&lt;=Hypothèses!$V$12,Hypothèses!$X$12,IF(BG186&lt;=Hypothèses!$V$13,Hypothèses!$X$13,IF(BG186&lt;=Hypothèses!$V$14,Hypothèses!$X$14,IF(BG186&lt;=Hypothèses!$V$15,Hypothèses!$X$15,IF(BG186&lt;=Hypothèses!$V$16,Hypothèses!$X$16,IF(BG186&lt;=Hypothèses!$U$17,Hypothèses!$W$17,IF(BG186&lt;=Hypothèses!$U$18,Hypothèses!$W$18,""))))))))))))</f>
        <v>#DIV/0!</v>
      </c>
      <c r="CD186" s="95" t="e">
        <f t="shared" ca="1" si="281"/>
        <v>#DIV/0!</v>
      </c>
      <c r="CE186" s="101">
        <f t="shared" si="326"/>
        <v>0</v>
      </c>
      <c r="CF186" s="91">
        <f t="shared" si="248"/>
        <v>0</v>
      </c>
      <c r="CG186" s="30" t="e">
        <f t="shared" si="306"/>
        <v>#N/A</v>
      </c>
      <c r="CH186" s="30" t="e">
        <f t="shared" si="307"/>
        <v>#N/A</v>
      </c>
      <c r="CI186" s="31" t="e">
        <f>IF(OR(Hypothèses!$B$4=17,Hypothèses!$B$4=18,Hypothèses!$B$4=19,Hypothèses!$B$4=20),
IF($D186="Pressio.",
IF(OR($E186=3,$E186=1,$E186=4),CH186,CG186),
IF($D186="Pénétro.",
IF(OR($E186=3,$E186=1,$E186=4),CH186,CG186))),IF($D186="Pressio.",
IF($E186=3,CH186,CG186),
IF($D186="Pénétro.",
IF($E186=4,CH186,CG186))))</f>
        <v>#N/A</v>
      </c>
      <c r="CJ186" s="31">
        <v>0</v>
      </c>
      <c r="CK186" s="102" t="e">
        <f>IF(NDC!$H$10="Oui",(VLOOKUP($B$3,'Coeff EC7'!$T$39:$X$59,2,0)*CI186+VLOOKUP($B$3,'Coeff EC7'!$T$65:$X$85,2,0)*Model0.1T!CJ186)/1.5,PI()*CG$12*$Q186*($B186-$B185)*0.15/10+CK185)</f>
        <v>#N/A</v>
      </c>
      <c r="CL186" s="102" t="e">
        <f>(VLOOKUP($B$3,'Coeff EC7'!$T$39:$X$59,3,0)*CI186+VLOOKUP($B$3,'Coeff EC7'!$T$65:$X$85,3,0)*Model0.1T!CJ186)/1.1</f>
        <v>#N/A</v>
      </c>
      <c r="CM186" s="102" t="e">
        <f t="shared" si="282"/>
        <v>#N/A</v>
      </c>
      <c r="CN186" s="102" t="e">
        <f t="shared" si="283"/>
        <v>#N/A</v>
      </c>
      <c r="CO186" s="414" t="e">
        <f>IF(AND(CK186&gt;NDC!$C$63,CL186&gt;NDC!$C$65,CM186&gt;NDC!$D$73,CN186&gt;NDC!$D$74,$B186&gt;NDC!$H$22-0.1+MIN(3*CO$12,1.5)),0,1)</f>
        <v>#N/A</v>
      </c>
      <c r="CP186" s="86" t="b">
        <f t="shared" si="249"/>
        <v>0</v>
      </c>
      <c r="CQ186" s="86">
        <f t="shared" si="250"/>
        <v>0.5</v>
      </c>
      <c r="CR186" s="86">
        <f t="shared" si="251"/>
        <v>0.5</v>
      </c>
      <c r="CS186" s="30" t="e">
        <f t="shared" ca="1" si="284"/>
        <v>#DIV/0!</v>
      </c>
      <c r="CT186" s="85" t="e">
        <f ca="1">IF(BZ186&lt;=Hypothèses!$V$7,Hypothèses!$W$7,IF(BZ186&lt;=Hypothèses!$V$8,Hypothèses!$W$8,IF(BZ186&lt;=Hypothèses!$V$9,Hypothèses!$W$9,IF(BZ186&lt;=Hypothèses!$V$10,Hypothèses!$W$10,IF(BZ186&lt;=Hypothèses!$V$11,Hypothèses!$W$11,IF(BZ186&lt;=Hypothèses!$V$12,Hypothèses!$W$12,IF(BZ186&lt;=Hypothèses!$V$13,Hypothèses!$W$13,IF(BZ186&lt;=Hypothèses!$V$14,Hypothèses!$W$14,IF(BZ186&lt;=Hypothèses!$V$15,Hypothèses!$W$15,IF(BZ186&lt;=Hypothèses!$V$16,Hypothèses!$W$16,IF(BZ186&lt;=Hypothèses!$V$17,Hypothèses!$W$17,IF(BZ186&lt;=Hypothèses!$V$18,Hypothèses!$W$18,""))))))))))))</f>
        <v>#DIV/0!</v>
      </c>
      <c r="CU186" s="87" t="e">
        <f t="shared" ca="1" si="320"/>
        <v>#DIV/0!</v>
      </c>
      <c r="CV186" s="88" t="e">
        <f ca="1">IF(BZ186&lt;=Hypothèses!$V$7,Hypothèses!$X$7,IF(BZ186&lt;=Hypothèses!$V$8,Hypothèses!$X$8,IF(BZ186&lt;=Hypothèses!$V$9,Hypothèses!$X$9,IF(BZ186&lt;=Hypothèses!$V$10,Hypothèses!$X$10,IF(BZ186&lt;=Hypothèses!$V$11,Hypothèses!$X$11,IF(BZ186&lt;=Hypothèses!$V$12,Hypothèses!$X$12,IF(BZ186&lt;=Hypothèses!$V$13,Hypothèses!$X$13,IF(BZ186&lt;=Hypothèses!$V$14,Hypothèses!$X$14,IF(BZ186&lt;=Hypothèses!$V$15,Hypothèses!$X$15,IF(BZ186&lt;=Hypothèses!$V$16,Hypothèses!$X$16,IF(BZ186&lt;=Hypothèses!$U$17,Hypothèses!$W$17,IF(BZ186&lt;=Hypothèses!$U$18,Hypothèses!$W$18,""))))))))))))</f>
        <v>#DIV/0!</v>
      </c>
      <c r="CW186" s="95" t="e">
        <f t="shared" ca="1" si="285"/>
        <v>#DIV/0!</v>
      </c>
      <c r="CX186" s="101">
        <f t="shared" si="327"/>
        <v>0</v>
      </c>
      <c r="CY186" s="91">
        <f t="shared" si="252"/>
        <v>0</v>
      </c>
      <c r="CZ186" s="30" t="e">
        <f t="shared" si="308"/>
        <v>#N/A</v>
      </c>
      <c r="DA186" s="30" t="e">
        <f t="shared" si="309"/>
        <v>#N/A</v>
      </c>
      <c r="DB186" s="31" t="e">
        <f>IF(OR(Hypothèses!$B$4=17,Hypothèses!$B$4=18,Hypothèses!$B$4=19,Hypothèses!$B$4=20),
IF($D186="Pressio.",
IF(OR($E186=3,$E186=1,$E186=4),DA186,CZ186),
IF($D186="Pénétro.",
IF(OR($E186=3,$E186=1,$E186=4),DA186,CZ186))),IF($D186="Pressio.",
IF($E186=3,DA186,CZ186),
IF($D186="Pénétro.",
IF($E186=4,DA186,CZ186))))</f>
        <v>#N/A</v>
      </c>
      <c r="DC186" s="31">
        <v>0</v>
      </c>
      <c r="DD186" s="102" t="e">
        <f>IF(NDC!$H$10="Oui",(VLOOKUP($B$3,'Coeff EC7'!$T$39:$X$59,2,0)*DB186+VLOOKUP($B$3,'Coeff EC7'!$T$65:$X$85,2,0)*Model0.1T!DC186)/1.5,PI()*CZ$12*$Q186*($B186-$B185)*0.15/10+DD185)</f>
        <v>#N/A</v>
      </c>
      <c r="DE186" s="102" t="e">
        <f>(VLOOKUP($B$3,'Coeff EC7'!$T$39:$X$59,3,0)*DB186+VLOOKUP($B$3,'Coeff EC7'!$T$65:$X$85,3,0)*Model0.1T!DC186)/1.1</f>
        <v>#N/A</v>
      </c>
      <c r="DF186" s="102" t="e">
        <f t="shared" si="286"/>
        <v>#N/A</v>
      </c>
      <c r="DG186" s="102" t="e">
        <f t="shared" si="287"/>
        <v>#N/A</v>
      </c>
      <c r="DH186" s="414" t="e">
        <f>IF(AND(DD186&gt;NDC!$C$63,DE186&gt;NDC!$C$65,DF186&gt;NDC!$D$73,DG186&gt;NDC!$D$74,$B186&gt;NDC!$H$22-0.1+MIN(3*DH$12,1.5)),0,1)</f>
        <v>#N/A</v>
      </c>
      <c r="DI186" s="86" t="b">
        <f t="shared" si="253"/>
        <v>0</v>
      </c>
      <c r="DJ186" s="86">
        <f t="shared" si="254"/>
        <v>0.5</v>
      </c>
      <c r="DK186" s="86">
        <f t="shared" si="255"/>
        <v>0.5</v>
      </c>
      <c r="DL186" s="30" t="e">
        <f t="shared" ca="1" si="288"/>
        <v>#DIV/0!</v>
      </c>
      <c r="DM186" s="85" t="e">
        <f ca="1">IF(CS186&lt;=Hypothèses!$V$7,Hypothèses!$W$7,IF(CS186&lt;=Hypothèses!$V$8,Hypothèses!$W$8,IF(CS186&lt;=Hypothèses!$V$9,Hypothèses!$W$9,IF(CS186&lt;=Hypothèses!$V$10,Hypothèses!$W$10,IF(CS186&lt;=Hypothèses!$V$11,Hypothèses!$W$11,IF(CS186&lt;=Hypothèses!$V$12,Hypothèses!$W$12,IF(CS186&lt;=Hypothèses!$V$13,Hypothèses!$W$13,IF(CS186&lt;=Hypothèses!$V$14,Hypothèses!$W$14,IF(CS186&lt;=Hypothèses!$V$15,Hypothèses!$W$15,IF(CS186&lt;=Hypothèses!$V$16,Hypothèses!$W$16,IF(CS186&lt;=Hypothèses!$V$17,Hypothèses!$W$17,IF(CS186&lt;=Hypothèses!$V$18,Hypothèses!$W$18,""))))))))))))</f>
        <v>#DIV/0!</v>
      </c>
      <c r="DN186" s="87" t="e">
        <f t="shared" ca="1" si="321"/>
        <v>#DIV/0!</v>
      </c>
      <c r="DO186" s="88" t="e">
        <f ca="1">IF(CS186&lt;=Hypothèses!$V$7,Hypothèses!$X$7,IF(CS186&lt;=Hypothèses!$V$8,Hypothèses!$X$8,IF(CS186&lt;=Hypothèses!$V$9,Hypothèses!$X$9,IF(CS186&lt;=Hypothèses!$V$10,Hypothèses!$X$10,IF(CS186&lt;=Hypothèses!$V$11,Hypothèses!$X$11,IF(CS186&lt;=Hypothèses!$V$12,Hypothèses!$X$12,IF(CS186&lt;=Hypothèses!$V$13,Hypothèses!$X$13,IF(CS186&lt;=Hypothèses!$V$14,Hypothèses!$X$14,IF(CS186&lt;=Hypothèses!$V$15,Hypothèses!$X$15,IF(CS186&lt;=Hypothèses!$V$16,Hypothèses!$X$16,IF(CS186&lt;=Hypothèses!$U$17,Hypothèses!$W$17,IF(CS186&lt;=Hypothèses!$U$18,Hypothèses!$W$18,""))))))))))))</f>
        <v>#DIV/0!</v>
      </c>
      <c r="DP186" s="95" t="e">
        <f t="shared" ca="1" si="289"/>
        <v>#DIV/0!</v>
      </c>
      <c r="DQ186" s="101">
        <f t="shared" si="328"/>
        <v>0</v>
      </c>
      <c r="DR186" s="91">
        <f t="shared" si="256"/>
        <v>0</v>
      </c>
      <c r="DS186" s="30" t="e">
        <f t="shared" si="310"/>
        <v>#N/A</v>
      </c>
      <c r="DT186" s="30" t="e">
        <f t="shared" si="311"/>
        <v>#N/A</v>
      </c>
      <c r="DU186" s="31" t="e">
        <f>IF(OR(Hypothèses!$B$4=17,Hypothèses!$B$4=18,Hypothèses!$B$4=19,Hypothèses!$B$4=20),
IF($D186="Pressio.",
IF(OR($E186=3,$E186=1,$E186=4),DT186,DS186),
IF($D186="Pénétro.",
IF(OR($E186=3,$E186=1,$E186=4),DT186,DS186))),IF($D186="Pressio.",
IF($E186=3,DT186,DS186),
IF($D186="Pénétro.",
IF($E186=4,DT186,DS186))))</f>
        <v>#N/A</v>
      </c>
      <c r="DV186" s="31">
        <v>0</v>
      </c>
      <c r="DW186" s="102" t="e">
        <f>IF(NDC!$H$10="Oui",(VLOOKUP($B$3,'Coeff EC7'!$T$39:$X$59,2,0)*DU186+VLOOKUP($B$3,'Coeff EC7'!$T$65:$X$85,2,0)*Model0.1T!DV186)/1.5,PI()*DS$12*$Q186*($B186-$B185)*0.15/10+DW185)</f>
        <v>#N/A</v>
      </c>
      <c r="DX186" s="102" t="e">
        <f>(VLOOKUP($B$3,'Coeff EC7'!$T$39:$X$59,3,0)*DU186+VLOOKUP($B$3,'Coeff EC7'!$T$65:$X$85,3,0)*Model0.1T!DV186)/1.1</f>
        <v>#N/A</v>
      </c>
      <c r="DY186" s="102" t="e">
        <f t="shared" si="290"/>
        <v>#N/A</v>
      </c>
      <c r="DZ186" s="102" t="e">
        <f t="shared" si="291"/>
        <v>#N/A</v>
      </c>
      <c r="EA186" s="414" t="e">
        <f>IF(AND(DW186&gt;NDC!$C$63,DX186&gt;NDC!$C$65,DY186&gt;NDC!$D$73,DZ186&gt;NDC!$D$74,$B186&gt;NDC!$H$22-0.1+MIN(3*EA$12,1.5)),0,1)</f>
        <v>#N/A</v>
      </c>
      <c r="EB186" s="86" t="b">
        <f t="shared" si="257"/>
        <v>0</v>
      </c>
      <c r="EC186" s="418">
        <f t="shared" si="258"/>
        <v>0.51</v>
      </c>
      <c r="ED186" s="86">
        <f t="shared" si="259"/>
        <v>0.51</v>
      </c>
      <c r="EE186" s="30" t="e">
        <f t="shared" ca="1" si="292"/>
        <v>#DIV/0!</v>
      </c>
      <c r="EF186" s="85" t="e">
        <f ca="1">IF(DL186&lt;=Hypothèses!$V$7,Hypothèses!$W$7,IF(DL186&lt;=Hypothèses!$V$8,Hypothèses!$W$8,IF(DL186&lt;=Hypothèses!$V$9,Hypothèses!$W$9,IF(DL186&lt;=Hypothèses!$V$10,Hypothèses!$W$10,IF(DL186&lt;=Hypothèses!$V$11,Hypothèses!$W$11,IF(DL186&lt;=Hypothèses!$V$12,Hypothèses!$W$12,IF(DL186&lt;=Hypothèses!$V$13,Hypothèses!$W$13,IF(DL186&lt;=Hypothèses!$V$14,Hypothèses!$W$14,IF(DL186&lt;=Hypothèses!$V$15,Hypothèses!$W$15,IF(DL186&lt;=Hypothèses!$V$16,Hypothèses!$W$16,IF(DL186&lt;=Hypothèses!$V$17,Hypothèses!$W$17,IF(DL186&lt;=Hypothèses!$V$18,Hypothèses!$W$18,""))))))))))))</f>
        <v>#DIV/0!</v>
      </c>
      <c r="EG186" s="87" t="e">
        <f t="shared" ca="1" si="322"/>
        <v>#DIV/0!</v>
      </c>
      <c r="EH186" s="88" t="e">
        <f ca="1">IF(DL186&lt;=Hypothèses!$V$7,Hypothèses!$X$7,IF(DL186&lt;=Hypothèses!$V$8,Hypothèses!$X$8,IF(DL186&lt;=Hypothèses!$V$9,Hypothèses!$X$9,IF(DL186&lt;=Hypothèses!$V$10,Hypothèses!$X$10,IF(DL186&lt;=Hypothèses!$V$11,Hypothèses!$X$11,IF(DL186&lt;=Hypothèses!$V$12,Hypothèses!$X$12,IF(DL186&lt;=Hypothèses!$V$13,Hypothèses!$X$13,IF(DL186&lt;=Hypothèses!$V$14,Hypothèses!$X$14,IF(DL186&lt;=Hypothèses!$V$15,Hypothèses!$X$15,IF(DL186&lt;=Hypothèses!$V$16,Hypothèses!$X$16,IF(DL186&lt;=Hypothèses!$U$17,Hypothèses!$W$17,IF(DL186&lt;=Hypothèses!$U$18,Hypothèses!$W$18,""))))))))))))</f>
        <v>#DIV/0!</v>
      </c>
      <c r="EI186" s="95" t="e">
        <f t="shared" ca="1" si="293"/>
        <v>#DIV/0!</v>
      </c>
      <c r="EJ186" s="101">
        <f t="shared" si="329"/>
        <v>0</v>
      </c>
      <c r="EK186" s="91">
        <f t="shared" si="260"/>
        <v>0</v>
      </c>
      <c r="EL186" s="30" t="e">
        <f t="shared" si="312"/>
        <v>#N/A</v>
      </c>
      <c r="EM186" s="30" t="e">
        <f t="shared" si="313"/>
        <v>#N/A</v>
      </c>
      <c r="EN186" s="31" t="e">
        <f>IF(OR(Hypothèses!$B$4=17,Hypothèses!$B$4=18,Hypothèses!$B$4=19,Hypothèses!$B$4=20),
IF($D186="Pressio.",
IF(OR($E186=3,$E186=1,$E186=4),EM186,EL186),
IF($D186="Pénétro.",
IF(OR($E186=3,$E186=1,$E186=4),EM186,EL186))),IF($D186="Pressio.",
IF($E186=3,EM186,EL186),
IF($D186="Pénétro.",
IF($E186=4,EM186,EL186))))</f>
        <v>#N/A</v>
      </c>
      <c r="EO186" s="31">
        <v>0</v>
      </c>
      <c r="EP186" s="102" t="e">
        <f>IF(NDC!$H$10="Oui",(VLOOKUP($B$3,'Coeff EC7'!$T$39:$X$59,2,0)*EN186+VLOOKUP($B$3,'Coeff EC7'!$T$65:$X$85,2,0)*Model0.1T!EO186)/1.5,PI()*EL$12*$Q186*($B186-$B185)*0.15/10+EP185)</f>
        <v>#N/A</v>
      </c>
      <c r="EQ186" s="102" t="e">
        <f>(VLOOKUP($B$3,'Coeff EC7'!$T$39:$X$59,3,0)*EN186+VLOOKUP($B$3,'Coeff EC7'!$T$65:$X$85,3,0)*Model0.1T!EO186)/1.1</f>
        <v>#N/A</v>
      </c>
      <c r="ER186" s="102" t="e">
        <f t="shared" si="294"/>
        <v>#N/A</v>
      </c>
      <c r="ES186" s="102" t="e">
        <f t="shared" si="295"/>
        <v>#N/A</v>
      </c>
      <c r="ET186" s="414" t="e">
        <f>IF(AND(EP186&gt;NDC!$C$63,EQ186&gt;NDC!$C$65,ER186&gt;NDC!$D$73,ES186&gt;NDC!$D$74,$B186&gt;NDC!$H$22-0.1+MIN(3*ET$12,1.5)),0,1)</f>
        <v>#N/A</v>
      </c>
      <c r="EU186" s="86" t="b">
        <f t="shared" si="261"/>
        <v>0</v>
      </c>
      <c r="EV186" s="86">
        <f t="shared" si="262"/>
        <v>0.61</v>
      </c>
      <c r="EW186" s="86">
        <f t="shared" si="263"/>
        <v>0.61</v>
      </c>
      <c r="EX186" s="30" t="e">
        <f t="shared" ca="1" si="296"/>
        <v>#DIV/0!</v>
      </c>
      <c r="EY186" s="85" t="e">
        <f ca="1">IF(EE186&lt;=Hypothèses!$V$7,Hypothèses!$W$7,IF(EE186&lt;=Hypothèses!$V$8,Hypothèses!$W$8,IF(EE186&lt;=Hypothèses!$V$9,Hypothèses!$W$9,IF(EE186&lt;=Hypothèses!$V$10,Hypothèses!$W$10,IF(EE186&lt;=Hypothèses!$V$11,Hypothèses!$W$11,IF(EE186&lt;=Hypothèses!$V$12,Hypothèses!$W$12,IF(EE186&lt;=Hypothèses!$V$13,Hypothèses!$W$13,IF(EE186&lt;=Hypothèses!$V$14,Hypothèses!$W$14,IF(EE186&lt;=Hypothèses!$V$15,Hypothèses!$W$15,IF(EE186&lt;=Hypothèses!$V$16,Hypothèses!$W$16,IF(EE186&lt;=Hypothèses!$V$17,Hypothèses!$W$17,IF(EE186&lt;=Hypothèses!$V$18,Hypothèses!$W$18,""))))))))))))</f>
        <v>#DIV/0!</v>
      </c>
      <c r="EZ186" s="87" t="e">
        <f t="shared" ca="1" si="323"/>
        <v>#DIV/0!</v>
      </c>
      <c r="FA186" s="88" t="e">
        <f ca="1">IF(EE186&lt;=Hypothèses!$V$7,Hypothèses!$X$7,IF(EE186&lt;=Hypothèses!$V$8,Hypothèses!$X$8,IF(EE186&lt;=Hypothèses!$V$9,Hypothèses!$X$9,IF(EE186&lt;=Hypothèses!$V$10,Hypothèses!$X$10,IF(EE186&lt;=Hypothèses!$V$11,Hypothèses!$X$11,IF(EE186&lt;=Hypothèses!$V$12,Hypothèses!$X$12,IF(EE186&lt;=Hypothèses!$V$13,Hypothèses!$X$13,IF(EE186&lt;=Hypothèses!$V$14,Hypothèses!$X$14,IF(EE186&lt;=Hypothèses!$V$15,Hypothèses!$X$15,IF(EE186&lt;=Hypothèses!$V$16,Hypothèses!$X$16,IF(EE186&lt;=Hypothèses!$U$17,Hypothèses!$W$17,IF(EE186&lt;=Hypothèses!$U$18,Hypothèses!$W$18,""))))))))))))</f>
        <v>#DIV/0!</v>
      </c>
      <c r="FB186" s="95" t="e">
        <f t="shared" ca="1" si="297"/>
        <v>#DIV/0!</v>
      </c>
      <c r="FC186" s="101">
        <f t="shared" si="330"/>
        <v>0</v>
      </c>
      <c r="FD186" s="91">
        <f t="shared" si="264"/>
        <v>0</v>
      </c>
      <c r="FE186" s="30" t="e">
        <f t="shared" si="314"/>
        <v>#N/A</v>
      </c>
      <c r="FF186" s="30" t="e">
        <f t="shared" si="315"/>
        <v>#N/A</v>
      </c>
      <c r="FG186" s="31" t="e">
        <f>IF(OR(Hypothèses!$B$4=17,Hypothèses!$B$4=18,Hypothèses!$B$4=19,Hypothèses!$B$4=20),
IF($D186="Pressio.",
IF(OR($E186=3,$E186=1,$E186=4),FF186,FE186),
IF($D186="Pénétro.",
IF(OR($E186=3,$E186=1,$E186=4),FF186,FE186))),IF($D186="Pressio.",
IF($E186=3,FF186,FE186),
IF($D186="Pénétro.",
IF($E186=4,FF186,FE186))))</f>
        <v>#N/A</v>
      </c>
      <c r="FH186" s="31">
        <v>0</v>
      </c>
      <c r="FI186" s="102" t="e">
        <f>IF(NDC!$H$10="Oui",(VLOOKUP($B$3,'Coeff EC7'!$T$39:$X$59,2,0)*FG186+VLOOKUP($B$3,'Coeff EC7'!$T$65:$X$85,2,0)*Model0.1T!FH186)/1.5,PI()*FE$12*$Q186*($B186-$B185)*0.15/10+FI185)</f>
        <v>#N/A</v>
      </c>
      <c r="FJ186" s="102" t="e">
        <f>(VLOOKUP($B$3,'Coeff EC7'!$T$39:$X$59,3,0)*FG186+VLOOKUP($B$3,'Coeff EC7'!$T$65:$X$85,3,0)*Model0.1T!FH186)/1.1</f>
        <v>#N/A</v>
      </c>
      <c r="FK186" s="102" t="e">
        <f t="shared" si="298"/>
        <v>#N/A</v>
      </c>
      <c r="FL186" s="102" t="e">
        <f t="shared" si="299"/>
        <v>#N/A</v>
      </c>
      <c r="FM186" s="414" t="e">
        <f>IF(AND(FI186&gt;NDC!$C$63,FJ186&gt;NDC!$C$65,FK186&gt;NDC!$D$73,FL186&gt;NDC!$D$74,$B186&gt;NDC!$H$22-0.1+MIN(3*FM$12,1.5)),0,1)</f>
        <v>#N/A</v>
      </c>
    </row>
    <row r="187" spans="1:169">
      <c r="A187" s="96">
        <f t="shared" si="265"/>
        <v>82.600000000000989</v>
      </c>
      <c r="B187" s="97">
        <v>17.399999999999999</v>
      </c>
      <c r="C187" s="81">
        <f>IF(B187&lt;=Hypothèses!$C$7,Hypothèses!$A$7,IF(B187&lt;=Hypothèses!$C$8,Hypothèses!$A$8,IF(B187&lt;=Hypothèses!$C$9,Hypothèses!$A$9,IF(B187&lt;=Hypothèses!$C$10,Hypothèses!$A$10,IF(B187&lt;=Hypothèses!$C$11,Hypothèses!$A$11,IF(B187&lt;=Hypothèses!$C$12,Hypothèses!$A$12,IF(B187&lt;=Hypothèses!$C$13,Hypothèses!$A$13,IF(B187&lt;=Hypothèses!$C$14,Hypothèses!$A$14,IF(B187&lt;=Hypothèses!$C$15,Hypothèses!$A$15,IF(B187&lt;=Hypothèses!$C$16,Hypothèses!$A$16,IF(B187&lt;=Hypothèses!$C$17,Hypothèses!$A$17,IF(B187&lt;=Hypothèses!$C$18,Hypothèses!$A$18,C186))))))))))))</f>
        <v>11</v>
      </c>
      <c r="D187" s="82" t="str">
        <f>IF(B187&lt;=Hypothèses!$C$7,Hypothèses!$R$7,IF(B187&lt;=Hypothèses!$C$8,Hypothèses!$R$8,IF(B187&lt;=Hypothèses!$C$9,Hypothèses!$R$9,IF(B187&lt;=Hypothèses!$C$10,Hypothèses!$R$10,IF(B187&lt;=Hypothèses!$C$11,Hypothèses!$R$11,IF(B187&lt;=Hypothèses!$C$12,Hypothèses!$R$12,IF(B187&lt;=Hypothèses!$C$13,Hypothèses!$R$13,IF(B187&lt;=Hypothèses!$C$14,Hypothèses!$R$14,IF(B187&lt;=Hypothèses!$C$15,Hypothèses!$R$15,IF(B187&lt;=Hypothèses!$C$16,Hypothèses!$R$16,IF(B187&lt;=Hypothèses!$C$17,Hypothèses!$R$17,IF(B187&lt;=Hypothèses!$C$18,Hypothèses!$R$18,D186))))))))))))</f>
        <v>Pressio.</v>
      </c>
      <c r="E187" s="82" t="e">
        <f>IF(B187&lt;=Hypothèses!$C$7,Hypothèses!$G$7,IF(B187&lt;=Hypothèses!$C$8,Hypothèses!$G$8,IF(B187&lt;=Hypothèses!$C$9,Hypothèses!$G$9,IF(B187&lt;=Hypothèses!$C$10,Hypothèses!$G$10,IF(B187&lt;=Hypothèses!$C$11,Hypothèses!$G$11,IF(B187&lt;=Hypothèses!$C$12,Hypothèses!$G$12,IF(B187&lt;=Hypothèses!$C$13,Hypothèses!$G$13,IF(B187&lt;=Hypothèses!$C$14,Hypothèses!$G$14,IF(B187&lt;=Hypothèses!$C$15,Hypothèses!$G$15,IF(B187&lt;=Hypothèses!$C$16,Hypothèses!$G$16,IF(B187&lt;=Hypothèses!$C$17,Hypothèses!$G$17,IF(B187&lt;=Hypothèses!$C$18,Hypothèses!$G$18,E186))))))))))))</f>
        <v>#N/A</v>
      </c>
      <c r="F187" s="82" t="str">
        <f>IF(B187&lt;=Hypothèses!$C$7,Hypothèses!$F$7,IF(B187&lt;=Hypothèses!$C$8,Hypothèses!$F$8,IF(B187&lt;=Hypothèses!$C$9,Hypothèses!$F$9,IF(B187&lt;=Hypothèses!$C$10,Hypothèses!$F$10,IF(B187&lt;=Hypothèses!$C$11,Hypothèses!$F$11,IF(B187&lt;=Hypothèses!$C$12,Hypothèses!$F$12,IF(B187&lt;=Hypothèses!$C$13,Hypothèses!$F$13,IF(B187&lt;=Hypothèses!$C$14,Hypothèses!$F$14,IF(B187&lt;=Hypothèses!$C$15,Hypothèses!$F$15,IF(B187&lt;=Hypothèses!$C$16,Hypothèses!$F$16,IF(B187&lt;=Hypothèses!$C$17,Hypothèses!$F$17,IF(B187&lt;=Hypothèses!$C$18,Hypothèses!$F$18,F186))))))))))))</f>
        <v/>
      </c>
      <c r="G187" s="91">
        <f t="array" ref="G187">INDEX('Coeff EC7'!$U$7:$X$27,
MATCH(Model0.1T!$B$3,'Coeff EC7'!$T$7:$T$27,0),
MATCH(Model0.1T!$D187&amp;Model0.1T!$B$4,
'Coeff EC7'!$U$6:$X$6&amp;
'Coeff EC7'!$U$5:$X$5,0))</f>
        <v>1.4</v>
      </c>
      <c r="H187" s="91">
        <f t="array" ref="H187">INDEX('Coeff EC7'!$Y$7:$AB$27,
MATCH(Model0.1T!$B$3,'Coeff EC7'!$T$7:$T$27,0),
MATCH(Model0.1T!$D187&amp;Model0.1T!$B$4,
'Coeff EC7'!$Y$6:$AB$6&amp;
'Coeff EC7'!$Y$5:$AB$5,0))</f>
        <v>1.7</v>
      </c>
      <c r="I187" s="83">
        <v>0</v>
      </c>
      <c r="J187" s="91" t="e">
        <f t="array" ref="J187">INDEX('Coeff EC7'!$D$33:$Q$33,1,MATCH(D187&amp;E187,'Coeff EC7'!$D$31:$Q$31&amp;'Coeff EC7'!$D$32:$Q$32,0))</f>
        <v>#N/A</v>
      </c>
      <c r="K187" s="91" t="e">
        <f t="array" ref="K187">INDEX('Coeff EC7'!$D$34:$Q$34,1,MATCH(D187&amp;E187,'Coeff EC7'!$D$31:$Q$31&amp;'Coeff EC7'!$D$32:$Q$32,0))</f>
        <v>#N/A</v>
      </c>
      <c r="L187" s="91" t="e">
        <f t="array" ref="L187">INDEX('Coeff EC7'!$D$35:$Q$35,1,MATCH(D187&amp;E187,'Coeff EC7'!$D$31:$Q$31&amp;'Coeff EC7'!$D$32:$Q$32,0))</f>
        <v>#N/A</v>
      </c>
      <c r="M187" s="98" t="e">
        <f t="shared" si="231"/>
        <v>#N/A</v>
      </c>
      <c r="N187" s="99" t="e">
        <f t="array" ref="N187">INDEX('Coeff EC7'!$D$7:$Q$27,MATCH($B$3,'Coeff EC7'!$C$7:$C$27,0),MATCH(D187&amp;E187,'Coeff EC7'!$D$5:$Q$5&amp;'Coeff EC7'!$D$6:$Q$6,0))</f>
        <v>#N/A</v>
      </c>
      <c r="O187" s="99" t="e">
        <f t="array" ref="O187">INDEX('Coeff EC7'!$D$41:$Q$61,MATCH($B$3,'Coeff EC7'!$C$41:$C$61,0),MATCH(D187&amp;E187,'Coeff EC7'!$D$39:$Q$39&amp;'Coeff EC7'!$D$40:$Q$40,0))</f>
        <v>#N/A</v>
      </c>
      <c r="P187" s="30" t="e">
        <f t="shared" si="266"/>
        <v>#N/A</v>
      </c>
      <c r="Q187" s="100" t="e">
        <f t="shared" si="233"/>
        <v>#N/A</v>
      </c>
      <c r="R187" s="86" t="b">
        <f t="shared" si="234"/>
        <v>0</v>
      </c>
      <c r="S187" s="86">
        <f t="shared" si="232"/>
        <v>0.5</v>
      </c>
      <c r="T187" s="86">
        <f t="shared" si="235"/>
        <v>0.5</v>
      </c>
      <c r="U187" s="30" t="e">
        <f t="shared" ca="1" si="267"/>
        <v>#DIV/0!</v>
      </c>
      <c r="V187" s="85" t="str">
        <f>IF(B187&lt;=Hypothèses!$V$7,Hypothèses!$W$7,IF(B187&lt;=Hypothèses!$V$8,Hypothèses!$W$8,IF(B187&lt;=Hypothèses!$V$9,Hypothèses!$W$9,IF(B187&lt;=Hypothèses!$V$10,Hypothèses!$W$10,IF(B187&lt;=Hypothèses!$V$11,Hypothèses!$W$11,IF(B187&lt;=Hypothèses!$V$12,Hypothèses!$W$12,IF(B187&lt;=Hypothèses!$V$13,Hypothèses!$W$13,IF(B187&lt;=Hypothèses!$V$14,Hypothèses!$W$14,IF(B187&lt;=Hypothèses!$V$15,Hypothèses!$W$15,IF(B187&lt;=Hypothèses!$V$16,Hypothèses!$W$16,IF(B187&lt;=Hypothèses!$V$17,Hypothèses!$W$17,IF(B187&lt;=Hypothèses!$V$18,Hypothèses!$W$18,""))))))))))))</f>
        <v/>
      </c>
      <c r="W187" s="87" t="e">
        <f t="shared" ca="1" si="316"/>
        <v>#DIV/0!</v>
      </c>
      <c r="X187" s="88" t="str">
        <f>IF(B187&lt;=Hypothèses!$V$7,Hypothèses!$X$7,IF(B187&lt;=Hypothèses!$V$8,Hypothèses!$X$8,IF(B187&lt;=Hypothèses!$V$9,Hypothèses!$X$9,IF(B187&lt;=Hypothèses!$V$10,Hypothèses!$X$10,IF(B187&lt;=Hypothèses!$V$11,Hypothèses!$X$11,IF(B187&lt;=Hypothèses!$V$12,Hypothèses!$X$12,IF(B187&lt;=Hypothèses!$V$13,Hypothèses!$X$13,IF(B187&lt;=Hypothèses!$V$14,Hypothèses!$X$14,IF(B187&lt;=Hypothèses!$V$15,Hypothèses!$X$15,IF(B187&lt;=Hypothèses!$V$16,Hypothèses!$X$16,IF(B187&lt;=Hypothèses!$U$17,Hypothèses!$W$17,IF(B187&lt;=Hypothèses!$U$18,Hypothèses!$W$18,""))))))))))))</f>
        <v/>
      </c>
      <c r="Y187" s="95" t="e">
        <f t="shared" ca="1" si="236"/>
        <v>#DIV/0!</v>
      </c>
      <c r="Z187" s="101">
        <f t="shared" si="237"/>
        <v>0</v>
      </c>
      <c r="AA187" s="91">
        <f t="shared" si="238"/>
        <v>0</v>
      </c>
      <c r="AB187" s="30" t="e">
        <f t="shared" si="300"/>
        <v>#N/A</v>
      </c>
      <c r="AC187" s="30" t="e">
        <f t="shared" si="301"/>
        <v>#N/A</v>
      </c>
      <c r="AD187" s="31" t="e">
        <f>IF(OR(Hypothèses!$B$4=17,Hypothèses!$B$4=18,Hypothèses!$B$4=19,Hypothèses!$B$4=20),
IF($D187="Pressio.",
IF(OR($E187=3,$E187=1,$E187=4),AC187,AB187),
IF($D187="Pénétro.",
IF(OR($E187=3,$E187=1,$E187=4),AC187,AB187))),IF($D187="Pressio.",
IF($E187=3,AC187,AB187),
IF($D187="Pénétro.",
IF($E187=4,AC187,AB187))))</f>
        <v>#N/A</v>
      </c>
      <c r="AE187" s="31">
        <v>0</v>
      </c>
      <c r="AF187" s="102" t="e">
        <f>IF(NDC!$H$10="Oui",(VLOOKUP($B$3,'Coeff EC7'!$T$39:$X$59,2,0)*AD187+VLOOKUP($B$3,'Coeff EC7'!$T$65:$X$85,2,0)*Model0.1T!AE187)/1.5,PI()*AB$12*$Q187*($B187-$B186)*0.15/10+AF186)</f>
        <v>#N/A</v>
      </c>
      <c r="AG187" s="102" t="e">
        <f>(VLOOKUP($B$3,'Coeff EC7'!$T$39:$X$59,3,0)*AD187+VLOOKUP($B$3,'Coeff EC7'!$T$65:$X$85,3,0)*Model0.1T!AE187)/1.1</f>
        <v>#N/A</v>
      </c>
      <c r="AH187" s="102" t="e">
        <f t="shared" si="268"/>
        <v>#N/A</v>
      </c>
      <c r="AI187" s="102" t="e">
        <f t="shared" si="269"/>
        <v>#N/A</v>
      </c>
      <c r="AJ187" s="414" t="e">
        <f>IF(AND(AF187&gt;NDC!$C$63,AG187&gt;NDC!$C$65,AH187&gt;NDC!$D$73,AI187&gt;NDC!$D$74,$B187&gt;NDC!$H$22-0.1+MIN(3*$AJ$12,1.5)),0,1)</f>
        <v>#N/A</v>
      </c>
      <c r="AK187" s="86" t="b">
        <f t="shared" si="239"/>
        <v>0</v>
      </c>
      <c r="AL187" s="86">
        <f t="shared" si="270"/>
        <v>0.5</v>
      </c>
      <c r="AM187" s="86">
        <f t="shared" si="240"/>
        <v>0.5</v>
      </c>
      <c r="AN187" s="30" t="e">
        <f t="shared" ca="1" si="271"/>
        <v>#DIV/0!</v>
      </c>
      <c r="AO187" s="85" t="e">
        <f ca="1">IF(U187&lt;=Hypothèses!$V$7,Hypothèses!$W$7,IF(U187&lt;=Hypothèses!$V$8,Hypothèses!$W$8,IF(U187&lt;=Hypothèses!$V$9,Hypothèses!$W$9,IF(U187&lt;=Hypothèses!$V$10,Hypothèses!$W$10,IF(U187&lt;=Hypothèses!$V$11,Hypothèses!$W$11,IF(U187&lt;=Hypothèses!$V$12,Hypothèses!$W$12,IF(U187&lt;=Hypothèses!$V$13,Hypothèses!$W$13,IF(U187&lt;=Hypothèses!$V$14,Hypothèses!$W$14,IF(U187&lt;=Hypothèses!$V$15,Hypothèses!$W$15,IF(U187&lt;=Hypothèses!$V$16,Hypothèses!$W$16,IF(U187&lt;=Hypothèses!$V$17,Hypothèses!$W$17,IF(U187&lt;=Hypothèses!$V$18,Hypothèses!$W$18,""))))))))))))</f>
        <v>#DIV/0!</v>
      </c>
      <c r="AP187" s="87" t="e">
        <f t="shared" ca="1" si="317"/>
        <v>#DIV/0!</v>
      </c>
      <c r="AQ187" s="88" t="e">
        <f ca="1">IF(U187&lt;=Hypothèses!$V$7,Hypothèses!$X$7,IF(U187&lt;=Hypothèses!$V$8,Hypothèses!$X$8,IF(U187&lt;=Hypothèses!$V$9,Hypothèses!$X$9,IF(U187&lt;=Hypothèses!$V$10,Hypothèses!$X$10,IF(U187&lt;=Hypothèses!$V$11,Hypothèses!$X$11,IF(U187&lt;=Hypothèses!$V$12,Hypothèses!$X$12,IF(U187&lt;=Hypothèses!$V$13,Hypothèses!$X$13,IF(U187&lt;=Hypothèses!$V$14,Hypothèses!$X$14,IF(U187&lt;=Hypothèses!$V$15,Hypothèses!$X$15,IF(U187&lt;=Hypothèses!$V$16,Hypothèses!$X$16,IF(U187&lt;=Hypothèses!$U$17,Hypothèses!$W$17,IF(U187&lt;=Hypothèses!$U$18,Hypothèses!$W$18,""))))))))))))</f>
        <v>#DIV/0!</v>
      </c>
      <c r="AR187" s="95" t="e">
        <f t="shared" ca="1" si="272"/>
        <v>#DIV/0!</v>
      </c>
      <c r="AS187" s="101">
        <f t="shared" si="324"/>
        <v>0</v>
      </c>
      <c r="AT187" s="91">
        <f t="shared" si="241"/>
        <v>0</v>
      </c>
      <c r="AU187" s="30" t="e">
        <f t="shared" si="302"/>
        <v>#N/A</v>
      </c>
      <c r="AV187" s="30" t="e">
        <f t="shared" si="303"/>
        <v>#N/A</v>
      </c>
      <c r="AW187" s="31" t="e">
        <f>IF(OR(Hypothèses!$B$4=17,Hypothèses!$B$4=18,Hypothèses!$B$4=19,Hypothèses!$B$4=20),
IF($D187="Pressio.",
IF(OR($E187=3,$E187=1,$E187=4),AV187,AU187),
IF($D187="Pénétro.",
IF(OR($E187=3,$E187=1,$E187=4),AV187,AU187))),IF($D187="Pressio.",
IF($E187=3,AV187,AU187),
IF($D187="Pénétro.",
IF($E187=4,AV187,AU187))))</f>
        <v>#N/A</v>
      </c>
      <c r="AX187" s="31">
        <v>0</v>
      </c>
      <c r="AY187" s="102" t="e">
        <f>IF(NDC!$H$10="Oui",(VLOOKUP($B$3,'Coeff EC7'!$T$39:$X$59,2,0)*AW187+VLOOKUP($B$3,'Coeff EC7'!$T$65:$X$85,2,0)*Model0.1T!AX187)/1.5,PI()*AU$12*$Q187*($B187-$B186)*0.15/10+AY186)</f>
        <v>#N/A</v>
      </c>
      <c r="AZ187" s="102" t="e">
        <f>(VLOOKUP($B$3,'Coeff EC7'!$T$39:$X$59,3,0)*AW187+VLOOKUP($B$3,'Coeff EC7'!$T$65:$X$85,3,0)*Model0.1T!AX187)/1.1</f>
        <v>#N/A</v>
      </c>
      <c r="BA187" s="102" t="e">
        <f t="shared" si="273"/>
        <v>#N/A</v>
      </c>
      <c r="BB187" s="102" t="e">
        <f t="shared" si="274"/>
        <v>#N/A</v>
      </c>
      <c r="BC187" s="414" t="e">
        <f>IF(AND(AY187&gt;NDC!$C$63,AZ187&gt;NDC!$C$65,BA187&gt;NDC!$D$73,BB187&gt;NDC!$D$74,$B187&gt;NDC!$H$22-0.1+MIN(3*BC$12,1.5)),0,1)</f>
        <v>#N/A</v>
      </c>
      <c r="BD187" s="86" t="b">
        <f t="shared" si="242"/>
        <v>0</v>
      </c>
      <c r="BE187" s="86">
        <f t="shared" si="275"/>
        <v>0.5</v>
      </c>
      <c r="BF187" s="86">
        <f t="shared" si="243"/>
        <v>0.5</v>
      </c>
      <c r="BG187" s="30" t="e">
        <f t="shared" ca="1" si="276"/>
        <v>#DIV/0!</v>
      </c>
      <c r="BH187" s="85" t="e">
        <f ca="1">IF(AN187&lt;=Hypothèses!$V$7,Hypothèses!$W$7,IF(AN187&lt;=Hypothèses!$V$8,Hypothèses!$W$8,IF(AN187&lt;=Hypothèses!$V$9,Hypothèses!$W$9,IF(AN187&lt;=Hypothèses!$V$10,Hypothèses!$W$10,IF(AN187&lt;=Hypothèses!$V$11,Hypothèses!$W$11,IF(AN187&lt;=Hypothèses!$V$12,Hypothèses!$W$12,IF(AN187&lt;=Hypothèses!$V$13,Hypothèses!$W$13,IF(AN187&lt;=Hypothèses!$V$14,Hypothèses!$W$14,IF(AN187&lt;=Hypothèses!$V$15,Hypothèses!$W$15,IF(AN187&lt;=Hypothèses!$V$16,Hypothèses!$W$16,IF(AN187&lt;=Hypothèses!$V$17,Hypothèses!$W$17,IF(AN187&lt;=Hypothèses!$V$18,Hypothèses!$W$18,""))))))))))))</f>
        <v>#DIV/0!</v>
      </c>
      <c r="BI187" s="87" t="e">
        <f t="shared" ca="1" si="318"/>
        <v>#DIV/0!</v>
      </c>
      <c r="BJ187" s="88" t="e">
        <f ca="1">IF(AN187&lt;=Hypothèses!$V$7,Hypothèses!$X$7,IF(AN187&lt;=Hypothèses!$V$8,Hypothèses!$X$8,IF(AN187&lt;=Hypothèses!$V$9,Hypothèses!$X$9,IF(AN187&lt;=Hypothèses!$V$10,Hypothèses!$X$10,IF(AN187&lt;=Hypothèses!$V$11,Hypothèses!$X$11,IF(AN187&lt;=Hypothèses!$V$12,Hypothèses!$X$12,IF(AN187&lt;=Hypothèses!$V$13,Hypothèses!$X$13,IF(AN187&lt;=Hypothèses!$V$14,Hypothèses!$X$14,IF(AN187&lt;=Hypothèses!$V$15,Hypothèses!$X$15,IF(AN187&lt;=Hypothèses!$V$16,Hypothèses!$X$16,IF(AN187&lt;=Hypothèses!$U$17,Hypothèses!$W$17,IF(AN187&lt;=Hypothèses!$U$18,Hypothèses!$W$18,""))))))))))))</f>
        <v>#DIV/0!</v>
      </c>
      <c r="BK187" s="95" t="e">
        <f t="shared" ca="1" si="277"/>
        <v>#DIV/0!</v>
      </c>
      <c r="BL187" s="101">
        <f t="shared" si="325"/>
        <v>0</v>
      </c>
      <c r="BM187" s="91">
        <f t="shared" si="244"/>
        <v>0</v>
      </c>
      <c r="BN187" s="30" t="e">
        <f t="shared" si="304"/>
        <v>#N/A</v>
      </c>
      <c r="BO187" s="30" t="e">
        <f t="shared" si="305"/>
        <v>#N/A</v>
      </c>
      <c r="BP187" s="31" t="e">
        <f>IF(OR(Hypothèses!$B$4=17,Hypothèses!$B$4=18,Hypothèses!$B$4=19,Hypothèses!$B$4=20),
IF($D187="Pressio.",
IF(OR($E187=3,$E187=1,$E187=4),BO187,BN187),
IF($D187="Pénétro.",
IF(OR($E187=3,$E187=1,$E187=4),BO187,BN187))),IF($D187="Pressio.",
IF($E187=3,BO187,BN187),
IF($D187="Pénétro.",
IF($E187=4,BO187,BN187))))</f>
        <v>#N/A</v>
      </c>
      <c r="BQ187" s="31">
        <v>0</v>
      </c>
      <c r="BR187" s="102" t="e">
        <f>IF(NDC!$H$10="Oui",(VLOOKUP($B$3,'Coeff EC7'!$T$39:$X$59,2,0)*BP187+VLOOKUP($B$3,'Coeff EC7'!$T$65:$X$85,2,0)*Model0.1T!BQ187)/1.5,PI()*BN$12*$Q187*($B187-$B186)*0.15/10+BR186)</f>
        <v>#N/A</v>
      </c>
      <c r="BS187" s="102" t="e">
        <f>(VLOOKUP($B$3,'Coeff EC7'!$T$39:$X$59,3,0)*BP187+VLOOKUP($B$3,'Coeff EC7'!$T$65:$X$85,3,0)*Model0.1T!BQ187)/1.1</f>
        <v>#N/A</v>
      </c>
      <c r="BT187" s="102" t="e">
        <f t="shared" si="278"/>
        <v>#N/A</v>
      </c>
      <c r="BU187" s="102" t="e">
        <f t="shared" si="279"/>
        <v>#N/A</v>
      </c>
      <c r="BV187" s="414" t="e">
        <f>IF(AND(BR187&gt;NDC!$C$63,BS187&gt;NDC!$C$65,BT187&gt;NDC!$D$73,BU187&gt;NDC!$D$74,$B187&gt;NDC!$H$22-0.1+MIN(3*BV$12,1.5)),0,1)</f>
        <v>#N/A</v>
      </c>
      <c r="BW187" s="86" t="b">
        <f t="shared" si="245"/>
        <v>0</v>
      </c>
      <c r="BX187" s="86">
        <f t="shared" si="246"/>
        <v>0.5</v>
      </c>
      <c r="BY187" s="86">
        <f t="shared" si="247"/>
        <v>0.5</v>
      </c>
      <c r="BZ187" s="30" t="e">
        <f t="shared" ca="1" si="280"/>
        <v>#DIV/0!</v>
      </c>
      <c r="CA187" s="85" t="e">
        <f ca="1">IF(BG187&lt;=Hypothèses!$V$7,Hypothèses!$W$7,IF(BG187&lt;=Hypothèses!$V$8,Hypothèses!$W$8,IF(BG187&lt;=Hypothèses!$V$9,Hypothèses!$W$9,IF(BG187&lt;=Hypothèses!$V$10,Hypothèses!$W$10,IF(BG187&lt;=Hypothèses!$V$11,Hypothèses!$W$11,IF(BG187&lt;=Hypothèses!$V$12,Hypothèses!$W$12,IF(BG187&lt;=Hypothèses!$V$13,Hypothèses!$W$13,IF(BG187&lt;=Hypothèses!$V$14,Hypothèses!$W$14,IF(BG187&lt;=Hypothèses!$V$15,Hypothèses!$W$15,IF(BG187&lt;=Hypothèses!$V$16,Hypothèses!$W$16,IF(BG187&lt;=Hypothèses!$V$17,Hypothèses!$W$17,IF(BG187&lt;=Hypothèses!$V$18,Hypothèses!$W$18,""))))))))))))</f>
        <v>#DIV/0!</v>
      </c>
      <c r="CB187" s="87" t="e">
        <f t="shared" ca="1" si="319"/>
        <v>#DIV/0!</v>
      </c>
      <c r="CC187" s="88" t="e">
        <f ca="1">IF(BG187&lt;=Hypothèses!$V$7,Hypothèses!$X$7,IF(BG187&lt;=Hypothèses!$V$8,Hypothèses!$X$8,IF(BG187&lt;=Hypothèses!$V$9,Hypothèses!$X$9,IF(BG187&lt;=Hypothèses!$V$10,Hypothèses!$X$10,IF(BG187&lt;=Hypothèses!$V$11,Hypothèses!$X$11,IF(BG187&lt;=Hypothèses!$V$12,Hypothèses!$X$12,IF(BG187&lt;=Hypothèses!$V$13,Hypothèses!$X$13,IF(BG187&lt;=Hypothèses!$V$14,Hypothèses!$X$14,IF(BG187&lt;=Hypothèses!$V$15,Hypothèses!$X$15,IF(BG187&lt;=Hypothèses!$V$16,Hypothèses!$X$16,IF(BG187&lt;=Hypothèses!$U$17,Hypothèses!$W$17,IF(BG187&lt;=Hypothèses!$U$18,Hypothèses!$W$18,""))))))))))))</f>
        <v>#DIV/0!</v>
      </c>
      <c r="CD187" s="95" t="e">
        <f t="shared" ca="1" si="281"/>
        <v>#DIV/0!</v>
      </c>
      <c r="CE187" s="101">
        <f t="shared" si="326"/>
        <v>0</v>
      </c>
      <c r="CF187" s="91">
        <f t="shared" si="248"/>
        <v>0</v>
      </c>
      <c r="CG187" s="30" t="e">
        <f t="shared" si="306"/>
        <v>#N/A</v>
      </c>
      <c r="CH187" s="30" t="e">
        <f t="shared" si="307"/>
        <v>#N/A</v>
      </c>
      <c r="CI187" s="31" t="e">
        <f>IF(OR(Hypothèses!$B$4=17,Hypothèses!$B$4=18,Hypothèses!$B$4=19,Hypothèses!$B$4=20),
IF($D187="Pressio.",
IF(OR($E187=3,$E187=1,$E187=4),CH187,CG187),
IF($D187="Pénétro.",
IF(OR($E187=3,$E187=1,$E187=4),CH187,CG187))),IF($D187="Pressio.",
IF($E187=3,CH187,CG187),
IF($D187="Pénétro.",
IF($E187=4,CH187,CG187))))</f>
        <v>#N/A</v>
      </c>
      <c r="CJ187" s="31">
        <v>0</v>
      </c>
      <c r="CK187" s="102" t="e">
        <f>IF(NDC!$H$10="Oui",(VLOOKUP($B$3,'Coeff EC7'!$T$39:$X$59,2,0)*CI187+VLOOKUP($B$3,'Coeff EC7'!$T$65:$X$85,2,0)*Model0.1T!CJ187)/1.5,PI()*CG$12*$Q187*($B187-$B186)*0.15/10+CK186)</f>
        <v>#N/A</v>
      </c>
      <c r="CL187" s="102" t="e">
        <f>(VLOOKUP($B$3,'Coeff EC7'!$T$39:$X$59,3,0)*CI187+VLOOKUP($B$3,'Coeff EC7'!$T$65:$X$85,3,0)*Model0.1T!CJ187)/1.1</f>
        <v>#N/A</v>
      </c>
      <c r="CM187" s="102" t="e">
        <f t="shared" si="282"/>
        <v>#N/A</v>
      </c>
      <c r="CN187" s="102" t="e">
        <f t="shared" si="283"/>
        <v>#N/A</v>
      </c>
      <c r="CO187" s="414" t="e">
        <f>IF(AND(CK187&gt;NDC!$C$63,CL187&gt;NDC!$C$65,CM187&gt;NDC!$D$73,CN187&gt;NDC!$D$74,$B187&gt;NDC!$H$22-0.1+MIN(3*CO$12,1.5)),0,1)</f>
        <v>#N/A</v>
      </c>
      <c r="CP187" s="86" t="b">
        <f t="shared" si="249"/>
        <v>0</v>
      </c>
      <c r="CQ187" s="86">
        <f t="shared" si="250"/>
        <v>0.5</v>
      </c>
      <c r="CR187" s="86">
        <f t="shared" si="251"/>
        <v>0.5</v>
      </c>
      <c r="CS187" s="30" t="e">
        <f t="shared" ca="1" si="284"/>
        <v>#DIV/0!</v>
      </c>
      <c r="CT187" s="85" t="e">
        <f ca="1">IF(BZ187&lt;=Hypothèses!$V$7,Hypothèses!$W$7,IF(BZ187&lt;=Hypothèses!$V$8,Hypothèses!$W$8,IF(BZ187&lt;=Hypothèses!$V$9,Hypothèses!$W$9,IF(BZ187&lt;=Hypothèses!$V$10,Hypothèses!$W$10,IF(BZ187&lt;=Hypothèses!$V$11,Hypothèses!$W$11,IF(BZ187&lt;=Hypothèses!$V$12,Hypothèses!$W$12,IF(BZ187&lt;=Hypothèses!$V$13,Hypothèses!$W$13,IF(BZ187&lt;=Hypothèses!$V$14,Hypothèses!$W$14,IF(BZ187&lt;=Hypothèses!$V$15,Hypothèses!$W$15,IF(BZ187&lt;=Hypothèses!$V$16,Hypothèses!$W$16,IF(BZ187&lt;=Hypothèses!$V$17,Hypothèses!$W$17,IF(BZ187&lt;=Hypothèses!$V$18,Hypothèses!$W$18,""))))))))))))</f>
        <v>#DIV/0!</v>
      </c>
      <c r="CU187" s="87" t="e">
        <f t="shared" ca="1" si="320"/>
        <v>#DIV/0!</v>
      </c>
      <c r="CV187" s="88" t="e">
        <f ca="1">IF(BZ187&lt;=Hypothèses!$V$7,Hypothèses!$X$7,IF(BZ187&lt;=Hypothèses!$V$8,Hypothèses!$X$8,IF(BZ187&lt;=Hypothèses!$V$9,Hypothèses!$X$9,IF(BZ187&lt;=Hypothèses!$V$10,Hypothèses!$X$10,IF(BZ187&lt;=Hypothèses!$V$11,Hypothèses!$X$11,IF(BZ187&lt;=Hypothèses!$V$12,Hypothèses!$X$12,IF(BZ187&lt;=Hypothèses!$V$13,Hypothèses!$X$13,IF(BZ187&lt;=Hypothèses!$V$14,Hypothèses!$X$14,IF(BZ187&lt;=Hypothèses!$V$15,Hypothèses!$X$15,IF(BZ187&lt;=Hypothèses!$V$16,Hypothèses!$X$16,IF(BZ187&lt;=Hypothèses!$U$17,Hypothèses!$W$17,IF(BZ187&lt;=Hypothèses!$U$18,Hypothèses!$W$18,""))))))))))))</f>
        <v>#DIV/0!</v>
      </c>
      <c r="CW187" s="95" t="e">
        <f t="shared" ca="1" si="285"/>
        <v>#DIV/0!</v>
      </c>
      <c r="CX187" s="101">
        <f t="shared" si="327"/>
        <v>0</v>
      </c>
      <c r="CY187" s="91">
        <f t="shared" si="252"/>
        <v>0</v>
      </c>
      <c r="CZ187" s="30" t="e">
        <f t="shared" si="308"/>
        <v>#N/A</v>
      </c>
      <c r="DA187" s="30" t="e">
        <f t="shared" si="309"/>
        <v>#N/A</v>
      </c>
      <c r="DB187" s="31" t="e">
        <f>IF(OR(Hypothèses!$B$4=17,Hypothèses!$B$4=18,Hypothèses!$B$4=19,Hypothèses!$B$4=20),
IF($D187="Pressio.",
IF(OR($E187=3,$E187=1,$E187=4),DA187,CZ187),
IF($D187="Pénétro.",
IF(OR($E187=3,$E187=1,$E187=4),DA187,CZ187))),IF($D187="Pressio.",
IF($E187=3,DA187,CZ187),
IF($D187="Pénétro.",
IF($E187=4,DA187,CZ187))))</f>
        <v>#N/A</v>
      </c>
      <c r="DC187" s="31">
        <v>0</v>
      </c>
      <c r="DD187" s="102" t="e">
        <f>IF(NDC!$H$10="Oui",(VLOOKUP($B$3,'Coeff EC7'!$T$39:$X$59,2,0)*DB187+VLOOKUP($B$3,'Coeff EC7'!$T$65:$X$85,2,0)*Model0.1T!DC187)/1.5,PI()*CZ$12*$Q187*($B187-$B186)*0.15/10+DD186)</f>
        <v>#N/A</v>
      </c>
      <c r="DE187" s="102" t="e">
        <f>(VLOOKUP($B$3,'Coeff EC7'!$T$39:$X$59,3,0)*DB187+VLOOKUP($B$3,'Coeff EC7'!$T$65:$X$85,3,0)*Model0.1T!DC187)/1.1</f>
        <v>#N/A</v>
      </c>
      <c r="DF187" s="102" t="e">
        <f t="shared" si="286"/>
        <v>#N/A</v>
      </c>
      <c r="DG187" s="102" t="e">
        <f t="shared" si="287"/>
        <v>#N/A</v>
      </c>
      <c r="DH187" s="414" t="e">
        <f>IF(AND(DD187&gt;NDC!$C$63,DE187&gt;NDC!$C$65,DF187&gt;NDC!$D$73,DG187&gt;NDC!$D$74,$B187&gt;NDC!$H$22-0.1+MIN(3*DH$12,1.5)),0,1)</f>
        <v>#N/A</v>
      </c>
      <c r="DI187" s="86" t="b">
        <f t="shared" si="253"/>
        <v>0</v>
      </c>
      <c r="DJ187" s="86">
        <f t="shared" si="254"/>
        <v>0.5</v>
      </c>
      <c r="DK187" s="86">
        <f t="shared" si="255"/>
        <v>0.5</v>
      </c>
      <c r="DL187" s="30" t="e">
        <f t="shared" ca="1" si="288"/>
        <v>#DIV/0!</v>
      </c>
      <c r="DM187" s="85" t="e">
        <f ca="1">IF(CS187&lt;=Hypothèses!$V$7,Hypothèses!$W$7,IF(CS187&lt;=Hypothèses!$V$8,Hypothèses!$W$8,IF(CS187&lt;=Hypothèses!$V$9,Hypothèses!$W$9,IF(CS187&lt;=Hypothèses!$V$10,Hypothèses!$W$10,IF(CS187&lt;=Hypothèses!$V$11,Hypothèses!$W$11,IF(CS187&lt;=Hypothèses!$V$12,Hypothèses!$W$12,IF(CS187&lt;=Hypothèses!$V$13,Hypothèses!$W$13,IF(CS187&lt;=Hypothèses!$V$14,Hypothèses!$W$14,IF(CS187&lt;=Hypothèses!$V$15,Hypothèses!$W$15,IF(CS187&lt;=Hypothèses!$V$16,Hypothèses!$W$16,IF(CS187&lt;=Hypothèses!$V$17,Hypothèses!$W$17,IF(CS187&lt;=Hypothèses!$V$18,Hypothèses!$W$18,""))))))))))))</f>
        <v>#DIV/0!</v>
      </c>
      <c r="DN187" s="87" t="e">
        <f t="shared" ca="1" si="321"/>
        <v>#DIV/0!</v>
      </c>
      <c r="DO187" s="88" t="e">
        <f ca="1">IF(CS187&lt;=Hypothèses!$V$7,Hypothèses!$X$7,IF(CS187&lt;=Hypothèses!$V$8,Hypothèses!$X$8,IF(CS187&lt;=Hypothèses!$V$9,Hypothèses!$X$9,IF(CS187&lt;=Hypothèses!$V$10,Hypothèses!$X$10,IF(CS187&lt;=Hypothèses!$V$11,Hypothèses!$X$11,IF(CS187&lt;=Hypothèses!$V$12,Hypothèses!$X$12,IF(CS187&lt;=Hypothèses!$V$13,Hypothèses!$X$13,IF(CS187&lt;=Hypothèses!$V$14,Hypothèses!$X$14,IF(CS187&lt;=Hypothèses!$V$15,Hypothèses!$X$15,IF(CS187&lt;=Hypothèses!$V$16,Hypothèses!$X$16,IF(CS187&lt;=Hypothèses!$U$17,Hypothèses!$W$17,IF(CS187&lt;=Hypothèses!$U$18,Hypothèses!$W$18,""))))))))))))</f>
        <v>#DIV/0!</v>
      </c>
      <c r="DP187" s="95" t="e">
        <f t="shared" ca="1" si="289"/>
        <v>#DIV/0!</v>
      </c>
      <c r="DQ187" s="101">
        <f t="shared" si="328"/>
        <v>0</v>
      </c>
      <c r="DR187" s="91">
        <f t="shared" si="256"/>
        <v>0</v>
      </c>
      <c r="DS187" s="30" t="e">
        <f t="shared" si="310"/>
        <v>#N/A</v>
      </c>
      <c r="DT187" s="30" t="e">
        <f t="shared" si="311"/>
        <v>#N/A</v>
      </c>
      <c r="DU187" s="31" t="e">
        <f>IF(OR(Hypothèses!$B$4=17,Hypothèses!$B$4=18,Hypothèses!$B$4=19,Hypothèses!$B$4=20),
IF($D187="Pressio.",
IF(OR($E187=3,$E187=1,$E187=4),DT187,DS187),
IF($D187="Pénétro.",
IF(OR($E187=3,$E187=1,$E187=4),DT187,DS187))),IF($D187="Pressio.",
IF($E187=3,DT187,DS187),
IF($D187="Pénétro.",
IF($E187=4,DT187,DS187))))</f>
        <v>#N/A</v>
      </c>
      <c r="DV187" s="31">
        <v>0</v>
      </c>
      <c r="DW187" s="102" t="e">
        <f>IF(NDC!$H$10="Oui",(VLOOKUP($B$3,'Coeff EC7'!$T$39:$X$59,2,0)*DU187+VLOOKUP($B$3,'Coeff EC7'!$T$65:$X$85,2,0)*Model0.1T!DV187)/1.5,PI()*DS$12*$Q187*($B187-$B186)*0.15/10+DW186)</f>
        <v>#N/A</v>
      </c>
      <c r="DX187" s="102" t="e">
        <f>(VLOOKUP($B$3,'Coeff EC7'!$T$39:$X$59,3,0)*DU187+VLOOKUP($B$3,'Coeff EC7'!$T$65:$X$85,3,0)*Model0.1T!DV187)/1.1</f>
        <v>#N/A</v>
      </c>
      <c r="DY187" s="102" t="e">
        <f t="shared" si="290"/>
        <v>#N/A</v>
      </c>
      <c r="DZ187" s="102" t="e">
        <f t="shared" si="291"/>
        <v>#N/A</v>
      </c>
      <c r="EA187" s="414" t="e">
        <f>IF(AND(DW187&gt;NDC!$C$63,DX187&gt;NDC!$C$65,DY187&gt;NDC!$D$73,DZ187&gt;NDC!$D$74,$B187&gt;NDC!$H$22-0.1+MIN(3*EA$12,1.5)),0,1)</f>
        <v>#N/A</v>
      </c>
      <c r="EB187" s="86" t="b">
        <f t="shared" si="257"/>
        <v>0</v>
      </c>
      <c r="EC187" s="418">
        <f t="shared" si="258"/>
        <v>0.51</v>
      </c>
      <c r="ED187" s="86">
        <f t="shared" si="259"/>
        <v>0.51</v>
      </c>
      <c r="EE187" s="30" t="e">
        <f t="shared" ca="1" si="292"/>
        <v>#DIV/0!</v>
      </c>
      <c r="EF187" s="85" t="e">
        <f ca="1">IF(DL187&lt;=Hypothèses!$V$7,Hypothèses!$W$7,IF(DL187&lt;=Hypothèses!$V$8,Hypothèses!$W$8,IF(DL187&lt;=Hypothèses!$V$9,Hypothèses!$W$9,IF(DL187&lt;=Hypothèses!$V$10,Hypothèses!$W$10,IF(DL187&lt;=Hypothèses!$V$11,Hypothèses!$W$11,IF(DL187&lt;=Hypothèses!$V$12,Hypothèses!$W$12,IF(DL187&lt;=Hypothèses!$V$13,Hypothèses!$W$13,IF(DL187&lt;=Hypothèses!$V$14,Hypothèses!$W$14,IF(DL187&lt;=Hypothèses!$V$15,Hypothèses!$W$15,IF(DL187&lt;=Hypothèses!$V$16,Hypothèses!$W$16,IF(DL187&lt;=Hypothèses!$V$17,Hypothèses!$W$17,IF(DL187&lt;=Hypothèses!$V$18,Hypothèses!$W$18,""))))))))))))</f>
        <v>#DIV/0!</v>
      </c>
      <c r="EG187" s="87" t="e">
        <f t="shared" ca="1" si="322"/>
        <v>#DIV/0!</v>
      </c>
      <c r="EH187" s="88" t="e">
        <f ca="1">IF(DL187&lt;=Hypothèses!$V$7,Hypothèses!$X$7,IF(DL187&lt;=Hypothèses!$V$8,Hypothèses!$X$8,IF(DL187&lt;=Hypothèses!$V$9,Hypothèses!$X$9,IF(DL187&lt;=Hypothèses!$V$10,Hypothèses!$X$10,IF(DL187&lt;=Hypothèses!$V$11,Hypothèses!$X$11,IF(DL187&lt;=Hypothèses!$V$12,Hypothèses!$X$12,IF(DL187&lt;=Hypothèses!$V$13,Hypothèses!$X$13,IF(DL187&lt;=Hypothèses!$V$14,Hypothèses!$X$14,IF(DL187&lt;=Hypothèses!$V$15,Hypothèses!$X$15,IF(DL187&lt;=Hypothèses!$V$16,Hypothèses!$X$16,IF(DL187&lt;=Hypothèses!$U$17,Hypothèses!$W$17,IF(DL187&lt;=Hypothèses!$U$18,Hypothèses!$W$18,""))))))))))))</f>
        <v>#DIV/0!</v>
      </c>
      <c r="EI187" s="95" t="e">
        <f t="shared" ca="1" si="293"/>
        <v>#DIV/0!</v>
      </c>
      <c r="EJ187" s="101">
        <f t="shared" si="329"/>
        <v>0</v>
      </c>
      <c r="EK187" s="91">
        <f t="shared" si="260"/>
        <v>0</v>
      </c>
      <c r="EL187" s="30" t="e">
        <f t="shared" si="312"/>
        <v>#N/A</v>
      </c>
      <c r="EM187" s="30" t="e">
        <f t="shared" si="313"/>
        <v>#N/A</v>
      </c>
      <c r="EN187" s="31" t="e">
        <f>IF(OR(Hypothèses!$B$4=17,Hypothèses!$B$4=18,Hypothèses!$B$4=19,Hypothèses!$B$4=20),
IF($D187="Pressio.",
IF(OR($E187=3,$E187=1,$E187=4),EM187,EL187),
IF($D187="Pénétro.",
IF(OR($E187=3,$E187=1,$E187=4),EM187,EL187))),IF($D187="Pressio.",
IF($E187=3,EM187,EL187),
IF($D187="Pénétro.",
IF($E187=4,EM187,EL187))))</f>
        <v>#N/A</v>
      </c>
      <c r="EO187" s="31">
        <v>0</v>
      </c>
      <c r="EP187" s="102" t="e">
        <f>IF(NDC!$H$10="Oui",(VLOOKUP($B$3,'Coeff EC7'!$T$39:$X$59,2,0)*EN187+VLOOKUP($B$3,'Coeff EC7'!$T$65:$X$85,2,0)*Model0.1T!EO187)/1.5,PI()*EL$12*$Q187*($B187-$B186)*0.15/10+EP186)</f>
        <v>#N/A</v>
      </c>
      <c r="EQ187" s="102" t="e">
        <f>(VLOOKUP($B$3,'Coeff EC7'!$T$39:$X$59,3,0)*EN187+VLOOKUP($B$3,'Coeff EC7'!$T$65:$X$85,3,0)*Model0.1T!EO187)/1.1</f>
        <v>#N/A</v>
      </c>
      <c r="ER187" s="102" t="e">
        <f t="shared" si="294"/>
        <v>#N/A</v>
      </c>
      <c r="ES187" s="102" t="e">
        <f t="shared" si="295"/>
        <v>#N/A</v>
      </c>
      <c r="ET187" s="414" t="e">
        <f>IF(AND(EP187&gt;NDC!$C$63,EQ187&gt;NDC!$C$65,ER187&gt;NDC!$D$73,ES187&gt;NDC!$D$74,$B187&gt;NDC!$H$22-0.1+MIN(3*ET$12,1.5)),0,1)</f>
        <v>#N/A</v>
      </c>
      <c r="EU187" s="86" t="b">
        <f t="shared" si="261"/>
        <v>0</v>
      </c>
      <c r="EV187" s="86">
        <f t="shared" si="262"/>
        <v>0.61</v>
      </c>
      <c r="EW187" s="86">
        <f t="shared" si="263"/>
        <v>0.61</v>
      </c>
      <c r="EX187" s="30" t="e">
        <f t="shared" ca="1" si="296"/>
        <v>#DIV/0!</v>
      </c>
      <c r="EY187" s="85" t="e">
        <f ca="1">IF(EE187&lt;=Hypothèses!$V$7,Hypothèses!$W$7,IF(EE187&lt;=Hypothèses!$V$8,Hypothèses!$W$8,IF(EE187&lt;=Hypothèses!$V$9,Hypothèses!$W$9,IF(EE187&lt;=Hypothèses!$V$10,Hypothèses!$W$10,IF(EE187&lt;=Hypothèses!$V$11,Hypothèses!$W$11,IF(EE187&lt;=Hypothèses!$V$12,Hypothèses!$W$12,IF(EE187&lt;=Hypothèses!$V$13,Hypothèses!$W$13,IF(EE187&lt;=Hypothèses!$V$14,Hypothèses!$W$14,IF(EE187&lt;=Hypothèses!$V$15,Hypothèses!$W$15,IF(EE187&lt;=Hypothèses!$V$16,Hypothèses!$W$16,IF(EE187&lt;=Hypothèses!$V$17,Hypothèses!$W$17,IF(EE187&lt;=Hypothèses!$V$18,Hypothèses!$W$18,""))))))))))))</f>
        <v>#DIV/0!</v>
      </c>
      <c r="EZ187" s="87" t="e">
        <f t="shared" ca="1" si="323"/>
        <v>#DIV/0!</v>
      </c>
      <c r="FA187" s="88" t="e">
        <f ca="1">IF(EE187&lt;=Hypothèses!$V$7,Hypothèses!$X$7,IF(EE187&lt;=Hypothèses!$V$8,Hypothèses!$X$8,IF(EE187&lt;=Hypothèses!$V$9,Hypothèses!$X$9,IF(EE187&lt;=Hypothèses!$V$10,Hypothèses!$X$10,IF(EE187&lt;=Hypothèses!$V$11,Hypothèses!$X$11,IF(EE187&lt;=Hypothèses!$V$12,Hypothèses!$X$12,IF(EE187&lt;=Hypothèses!$V$13,Hypothèses!$X$13,IF(EE187&lt;=Hypothèses!$V$14,Hypothèses!$X$14,IF(EE187&lt;=Hypothèses!$V$15,Hypothèses!$X$15,IF(EE187&lt;=Hypothèses!$V$16,Hypothèses!$X$16,IF(EE187&lt;=Hypothèses!$U$17,Hypothèses!$W$17,IF(EE187&lt;=Hypothèses!$U$18,Hypothèses!$W$18,""))))))))))))</f>
        <v>#DIV/0!</v>
      </c>
      <c r="FB187" s="95" t="e">
        <f t="shared" ca="1" si="297"/>
        <v>#DIV/0!</v>
      </c>
      <c r="FC187" s="101">
        <f t="shared" si="330"/>
        <v>0</v>
      </c>
      <c r="FD187" s="91">
        <f t="shared" si="264"/>
        <v>0</v>
      </c>
      <c r="FE187" s="30" t="e">
        <f t="shared" si="314"/>
        <v>#N/A</v>
      </c>
      <c r="FF187" s="30" t="e">
        <f t="shared" si="315"/>
        <v>#N/A</v>
      </c>
      <c r="FG187" s="31" t="e">
        <f>IF(OR(Hypothèses!$B$4=17,Hypothèses!$B$4=18,Hypothèses!$B$4=19,Hypothèses!$B$4=20),
IF($D187="Pressio.",
IF(OR($E187=3,$E187=1,$E187=4),FF187,FE187),
IF($D187="Pénétro.",
IF(OR($E187=3,$E187=1,$E187=4),FF187,FE187))),IF($D187="Pressio.",
IF($E187=3,FF187,FE187),
IF($D187="Pénétro.",
IF($E187=4,FF187,FE187))))</f>
        <v>#N/A</v>
      </c>
      <c r="FH187" s="31">
        <v>0</v>
      </c>
      <c r="FI187" s="102" t="e">
        <f>IF(NDC!$H$10="Oui",(VLOOKUP($B$3,'Coeff EC7'!$T$39:$X$59,2,0)*FG187+VLOOKUP($B$3,'Coeff EC7'!$T$65:$X$85,2,0)*Model0.1T!FH187)/1.5,PI()*FE$12*$Q187*($B187-$B186)*0.15/10+FI186)</f>
        <v>#N/A</v>
      </c>
      <c r="FJ187" s="102" t="e">
        <f>(VLOOKUP($B$3,'Coeff EC7'!$T$39:$X$59,3,0)*FG187+VLOOKUP($B$3,'Coeff EC7'!$T$65:$X$85,3,0)*Model0.1T!FH187)/1.1</f>
        <v>#N/A</v>
      </c>
      <c r="FK187" s="102" t="e">
        <f t="shared" si="298"/>
        <v>#N/A</v>
      </c>
      <c r="FL187" s="102" t="e">
        <f t="shared" si="299"/>
        <v>#N/A</v>
      </c>
      <c r="FM187" s="414" t="e">
        <f>IF(AND(FI187&gt;NDC!$C$63,FJ187&gt;NDC!$C$65,FK187&gt;NDC!$D$73,FL187&gt;NDC!$D$74,$B187&gt;NDC!$H$22-0.1+MIN(3*FM$12,1.5)),0,1)</f>
        <v>#N/A</v>
      </c>
    </row>
    <row r="188" spans="1:169">
      <c r="A188" s="96">
        <f t="shared" si="265"/>
        <v>82.500000000000995</v>
      </c>
      <c r="B188" s="97">
        <v>17.5</v>
      </c>
      <c r="C188" s="81">
        <f>IF(B188&lt;=Hypothèses!$C$7,Hypothèses!$A$7,IF(B188&lt;=Hypothèses!$C$8,Hypothèses!$A$8,IF(B188&lt;=Hypothèses!$C$9,Hypothèses!$A$9,IF(B188&lt;=Hypothèses!$C$10,Hypothèses!$A$10,IF(B188&lt;=Hypothèses!$C$11,Hypothèses!$A$11,IF(B188&lt;=Hypothèses!$C$12,Hypothèses!$A$12,IF(B188&lt;=Hypothèses!$C$13,Hypothèses!$A$13,IF(B188&lt;=Hypothèses!$C$14,Hypothèses!$A$14,IF(B188&lt;=Hypothèses!$C$15,Hypothèses!$A$15,IF(B188&lt;=Hypothèses!$C$16,Hypothèses!$A$16,IF(B188&lt;=Hypothèses!$C$17,Hypothèses!$A$17,IF(B188&lt;=Hypothèses!$C$18,Hypothèses!$A$18,C187))))))))))))</f>
        <v>11</v>
      </c>
      <c r="D188" s="82" t="str">
        <f>IF(B188&lt;=Hypothèses!$C$7,Hypothèses!$R$7,IF(B188&lt;=Hypothèses!$C$8,Hypothèses!$R$8,IF(B188&lt;=Hypothèses!$C$9,Hypothèses!$R$9,IF(B188&lt;=Hypothèses!$C$10,Hypothèses!$R$10,IF(B188&lt;=Hypothèses!$C$11,Hypothèses!$R$11,IF(B188&lt;=Hypothèses!$C$12,Hypothèses!$R$12,IF(B188&lt;=Hypothèses!$C$13,Hypothèses!$R$13,IF(B188&lt;=Hypothèses!$C$14,Hypothèses!$R$14,IF(B188&lt;=Hypothèses!$C$15,Hypothèses!$R$15,IF(B188&lt;=Hypothèses!$C$16,Hypothèses!$R$16,IF(B188&lt;=Hypothèses!$C$17,Hypothèses!$R$17,IF(B188&lt;=Hypothèses!$C$18,Hypothèses!$R$18,D187))))))))))))</f>
        <v>Pressio.</v>
      </c>
      <c r="E188" s="82" t="e">
        <f>IF(B188&lt;=Hypothèses!$C$7,Hypothèses!$G$7,IF(B188&lt;=Hypothèses!$C$8,Hypothèses!$G$8,IF(B188&lt;=Hypothèses!$C$9,Hypothèses!$G$9,IF(B188&lt;=Hypothèses!$C$10,Hypothèses!$G$10,IF(B188&lt;=Hypothèses!$C$11,Hypothèses!$G$11,IF(B188&lt;=Hypothèses!$C$12,Hypothèses!$G$12,IF(B188&lt;=Hypothèses!$C$13,Hypothèses!$G$13,IF(B188&lt;=Hypothèses!$C$14,Hypothèses!$G$14,IF(B188&lt;=Hypothèses!$C$15,Hypothèses!$G$15,IF(B188&lt;=Hypothèses!$C$16,Hypothèses!$G$16,IF(B188&lt;=Hypothèses!$C$17,Hypothèses!$G$17,IF(B188&lt;=Hypothèses!$C$18,Hypothèses!$G$18,E187))))))))))))</f>
        <v>#N/A</v>
      </c>
      <c r="F188" s="82" t="str">
        <f>IF(B188&lt;=Hypothèses!$C$7,Hypothèses!$F$7,IF(B188&lt;=Hypothèses!$C$8,Hypothèses!$F$8,IF(B188&lt;=Hypothèses!$C$9,Hypothèses!$F$9,IF(B188&lt;=Hypothèses!$C$10,Hypothèses!$F$10,IF(B188&lt;=Hypothèses!$C$11,Hypothèses!$F$11,IF(B188&lt;=Hypothèses!$C$12,Hypothèses!$F$12,IF(B188&lt;=Hypothèses!$C$13,Hypothèses!$F$13,IF(B188&lt;=Hypothèses!$C$14,Hypothèses!$F$14,IF(B188&lt;=Hypothèses!$C$15,Hypothèses!$F$15,IF(B188&lt;=Hypothèses!$C$16,Hypothèses!$F$16,IF(B188&lt;=Hypothèses!$C$17,Hypothèses!$F$17,IF(B188&lt;=Hypothèses!$C$18,Hypothèses!$F$18,F187))))))))))))</f>
        <v/>
      </c>
      <c r="G188" s="91">
        <f t="array" ref="G188">INDEX('Coeff EC7'!$U$7:$X$27,
MATCH(Model0.1T!$B$3,'Coeff EC7'!$T$7:$T$27,0),
MATCH(Model0.1T!$D188&amp;Model0.1T!$B$4,
'Coeff EC7'!$U$6:$X$6&amp;
'Coeff EC7'!$U$5:$X$5,0))</f>
        <v>1.4</v>
      </c>
      <c r="H188" s="91">
        <f t="array" ref="H188">INDEX('Coeff EC7'!$Y$7:$AB$27,
MATCH(Model0.1T!$B$3,'Coeff EC7'!$T$7:$T$27,0),
MATCH(Model0.1T!$D188&amp;Model0.1T!$B$4,
'Coeff EC7'!$Y$6:$AB$6&amp;
'Coeff EC7'!$Y$5:$AB$5,0))</f>
        <v>1.7</v>
      </c>
      <c r="I188" s="83">
        <v>0</v>
      </c>
      <c r="J188" s="91" t="e">
        <f t="array" ref="J188">INDEX('Coeff EC7'!$D$33:$Q$33,1,MATCH(D188&amp;E188,'Coeff EC7'!$D$31:$Q$31&amp;'Coeff EC7'!$D$32:$Q$32,0))</f>
        <v>#N/A</v>
      </c>
      <c r="K188" s="91" t="e">
        <f t="array" ref="K188">INDEX('Coeff EC7'!$D$34:$Q$34,1,MATCH(D188&amp;E188,'Coeff EC7'!$D$31:$Q$31&amp;'Coeff EC7'!$D$32:$Q$32,0))</f>
        <v>#N/A</v>
      </c>
      <c r="L188" s="91" t="e">
        <f t="array" ref="L188">INDEX('Coeff EC7'!$D$35:$Q$35,1,MATCH(D188&amp;E188,'Coeff EC7'!$D$31:$Q$31&amp;'Coeff EC7'!$D$32:$Q$32,0))</f>
        <v>#N/A</v>
      </c>
      <c r="M188" s="98" t="e">
        <f t="shared" si="231"/>
        <v>#N/A</v>
      </c>
      <c r="N188" s="99" t="e">
        <f t="array" ref="N188">INDEX('Coeff EC7'!$D$7:$Q$27,MATCH($B$3,'Coeff EC7'!$C$7:$C$27,0),MATCH(D188&amp;E188,'Coeff EC7'!$D$5:$Q$5&amp;'Coeff EC7'!$D$6:$Q$6,0))</f>
        <v>#N/A</v>
      </c>
      <c r="O188" s="99" t="e">
        <f t="array" ref="O188">INDEX('Coeff EC7'!$D$41:$Q$61,MATCH($B$3,'Coeff EC7'!$C$41:$C$61,0),MATCH(D188&amp;E188,'Coeff EC7'!$D$39:$Q$39&amp;'Coeff EC7'!$D$40:$Q$40,0))</f>
        <v>#N/A</v>
      </c>
      <c r="P188" s="30" t="e">
        <f t="shared" si="266"/>
        <v>#N/A</v>
      </c>
      <c r="Q188" s="100" t="e">
        <f t="shared" si="233"/>
        <v>#N/A</v>
      </c>
      <c r="R188" s="86" t="b">
        <f t="shared" si="234"/>
        <v>0</v>
      </c>
      <c r="S188" s="86">
        <f t="shared" si="232"/>
        <v>0.5</v>
      </c>
      <c r="T188" s="86">
        <f t="shared" si="235"/>
        <v>0.5</v>
      </c>
      <c r="U188" s="30" t="e">
        <f t="shared" ca="1" si="267"/>
        <v>#DIV/0!</v>
      </c>
      <c r="V188" s="85" t="str">
        <f>IF(B188&lt;=Hypothèses!$V$7,Hypothèses!$W$7,IF(B188&lt;=Hypothèses!$V$8,Hypothèses!$W$8,IF(B188&lt;=Hypothèses!$V$9,Hypothèses!$W$9,IF(B188&lt;=Hypothèses!$V$10,Hypothèses!$W$10,IF(B188&lt;=Hypothèses!$V$11,Hypothèses!$W$11,IF(B188&lt;=Hypothèses!$V$12,Hypothèses!$W$12,IF(B188&lt;=Hypothèses!$V$13,Hypothèses!$W$13,IF(B188&lt;=Hypothèses!$V$14,Hypothèses!$W$14,IF(B188&lt;=Hypothèses!$V$15,Hypothèses!$W$15,IF(B188&lt;=Hypothèses!$V$16,Hypothèses!$W$16,IF(B188&lt;=Hypothèses!$V$17,Hypothèses!$W$17,IF(B188&lt;=Hypothèses!$V$18,Hypothèses!$W$18,""))))))))))))</f>
        <v/>
      </c>
      <c r="W188" s="87" t="e">
        <f t="shared" ca="1" si="316"/>
        <v>#DIV/0!</v>
      </c>
      <c r="X188" s="88" t="str">
        <f>IF(B188&lt;=Hypothèses!$V$7,Hypothèses!$X$7,IF(B188&lt;=Hypothèses!$V$8,Hypothèses!$X$8,IF(B188&lt;=Hypothèses!$V$9,Hypothèses!$X$9,IF(B188&lt;=Hypothèses!$V$10,Hypothèses!$X$10,IF(B188&lt;=Hypothèses!$V$11,Hypothèses!$X$11,IF(B188&lt;=Hypothèses!$V$12,Hypothèses!$X$12,IF(B188&lt;=Hypothèses!$V$13,Hypothèses!$X$13,IF(B188&lt;=Hypothèses!$V$14,Hypothèses!$X$14,IF(B188&lt;=Hypothèses!$V$15,Hypothèses!$X$15,IF(B188&lt;=Hypothèses!$V$16,Hypothèses!$X$16,IF(B188&lt;=Hypothèses!$U$17,Hypothèses!$W$17,IF(B188&lt;=Hypothèses!$U$18,Hypothèses!$W$18,""))))))))))))</f>
        <v/>
      </c>
      <c r="Y188" s="95" t="e">
        <f t="shared" ca="1" si="236"/>
        <v>#DIV/0!</v>
      </c>
      <c r="Z188" s="101">
        <f t="shared" si="237"/>
        <v>0</v>
      </c>
      <c r="AA188" s="91">
        <f t="shared" si="238"/>
        <v>0</v>
      </c>
      <c r="AB188" s="30" t="e">
        <f t="shared" si="300"/>
        <v>#N/A</v>
      </c>
      <c r="AC188" s="30" t="e">
        <f t="shared" si="301"/>
        <v>#N/A</v>
      </c>
      <c r="AD188" s="31" t="e">
        <f>IF(OR(Hypothèses!$B$4=17,Hypothèses!$B$4=18,Hypothèses!$B$4=19,Hypothèses!$B$4=20),
IF($D188="Pressio.",
IF(OR($E188=3,$E188=1,$E188=4),AC188,AB188),
IF($D188="Pénétro.",
IF(OR($E188=3,$E188=1,$E188=4),AC188,AB188))),IF($D188="Pressio.",
IF($E188=3,AC188,AB188),
IF($D188="Pénétro.",
IF($E188=4,AC188,AB188))))</f>
        <v>#N/A</v>
      </c>
      <c r="AE188" s="31">
        <v>0</v>
      </c>
      <c r="AF188" s="102" t="e">
        <f>IF(NDC!$H$10="Oui",(VLOOKUP($B$3,'Coeff EC7'!$T$39:$X$59,2,0)*AD188+VLOOKUP($B$3,'Coeff EC7'!$T$65:$X$85,2,0)*Model0.1T!AE188)/1.5,PI()*AB$12*$Q188*($B188-$B187)*0.15/10+AF187)</f>
        <v>#N/A</v>
      </c>
      <c r="AG188" s="102" t="e">
        <f>(VLOOKUP($B$3,'Coeff EC7'!$T$39:$X$59,3,0)*AD188+VLOOKUP($B$3,'Coeff EC7'!$T$65:$X$85,3,0)*Model0.1T!AE188)/1.1</f>
        <v>#N/A</v>
      </c>
      <c r="AH188" s="102" t="e">
        <f t="shared" si="268"/>
        <v>#N/A</v>
      </c>
      <c r="AI188" s="102" t="e">
        <f t="shared" si="269"/>
        <v>#N/A</v>
      </c>
      <c r="AJ188" s="414" t="e">
        <f>IF(AND(AF188&gt;NDC!$C$63,AG188&gt;NDC!$C$65,AH188&gt;NDC!$D$73,AI188&gt;NDC!$D$74,$B188&gt;NDC!$H$22-0.1+MIN(3*$AJ$12,1.5)),0,1)</f>
        <v>#N/A</v>
      </c>
      <c r="AK188" s="86" t="b">
        <f t="shared" si="239"/>
        <v>0</v>
      </c>
      <c r="AL188" s="86">
        <f t="shared" si="270"/>
        <v>0.5</v>
      </c>
      <c r="AM188" s="86">
        <f t="shared" si="240"/>
        <v>0.5</v>
      </c>
      <c r="AN188" s="30" t="e">
        <f t="shared" ca="1" si="271"/>
        <v>#DIV/0!</v>
      </c>
      <c r="AO188" s="85" t="e">
        <f ca="1">IF(U188&lt;=Hypothèses!$V$7,Hypothèses!$W$7,IF(U188&lt;=Hypothèses!$V$8,Hypothèses!$W$8,IF(U188&lt;=Hypothèses!$V$9,Hypothèses!$W$9,IF(U188&lt;=Hypothèses!$V$10,Hypothèses!$W$10,IF(U188&lt;=Hypothèses!$V$11,Hypothèses!$W$11,IF(U188&lt;=Hypothèses!$V$12,Hypothèses!$W$12,IF(U188&lt;=Hypothèses!$V$13,Hypothèses!$W$13,IF(U188&lt;=Hypothèses!$V$14,Hypothèses!$W$14,IF(U188&lt;=Hypothèses!$V$15,Hypothèses!$W$15,IF(U188&lt;=Hypothèses!$V$16,Hypothèses!$W$16,IF(U188&lt;=Hypothèses!$V$17,Hypothèses!$W$17,IF(U188&lt;=Hypothèses!$V$18,Hypothèses!$W$18,""))))))))))))</f>
        <v>#DIV/0!</v>
      </c>
      <c r="AP188" s="87" t="e">
        <f t="shared" ca="1" si="317"/>
        <v>#DIV/0!</v>
      </c>
      <c r="AQ188" s="88" t="e">
        <f ca="1">IF(U188&lt;=Hypothèses!$V$7,Hypothèses!$X$7,IF(U188&lt;=Hypothèses!$V$8,Hypothèses!$X$8,IF(U188&lt;=Hypothèses!$V$9,Hypothèses!$X$9,IF(U188&lt;=Hypothèses!$V$10,Hypothèses!$X$10,IF(U188&lt;=Hypothèses!$V$11,Hypothèses!$X$11,IF(U188&lt;=Hypothèses!$V$12,Hypothèses!$X$12,IF(U188&lt;=Hypothèses!$V$13,Hypothèses!$X$13,IF(U188&lt;=Hypothèses!$V$14,Hypothèses!$X$14,IF(U188&lt;=Hypothèses!$V$15,Hypothèses!$X$15,IF(U188&lt;=Hypothèses!$V$16,Hypothèses!$X$16,IF(U188&lt;=Hypothèses!$U$17,Hypothèses!$W$17,IF(U188&lt;=Hypothèses!$U$18,Hypothèses!$W$18,""))))))))))))</f>
        <v>#DIV/0!</v>
      </c>
      <c r="AR188" s="95" t="e">
        <f t="shared" ca="1" si="272"/>
        <v>#DIV/0!</v>
      </c>
      <c r="AS188" s="101">
        <f t="shared" si="324"/>
        <v>0</v>
      </c>
      <c r="AT188" s="91">
        <f t="shared" si="241"/>
        <v>0</v>
      </c>
      <c r="AU188" s="30" t="e">
        <f t="shared" si="302"/>
        <v>#N/A</v>
      </c>
      <c r="AV188" s="30" t="e">
        <f t="shared" si="303"/>
        <v>#N/A</v>
      </c>
      <c r="AW188" s="31" t="e">
        <f>IF(OR(Hypothèses!$B$4=17,Hypothèses!$B$4=18,Hypothèses!$B$4=19,Hypothèses!$B$4=20),
IF($D188="Pressio.",
IF(OR($E188=3,$E188=1,$E188=4),AV188,AU188),
IF($D188="Pénétro.",
IF(OR($E188=3,$E188=1,$E188=4),AV188,AU188))),IF($D188="Pressio.",
IF($E188=3,AV188,AU188),
IF($D188="Pénétro.",
IF($E188=4,AV188,AU188))))</f>
        <v>#N/A</v>
      </c>
      <c r="AX188" s="31">
        <v>0</v>
      </c>
      <c r="AY188" s="102" t="e">
        <f>IF(NDC!$H$10="Oui",(VLOOKUP($B$3,'Coeff EC7'!$T$39:$X$59,2,0)*AW188+VLOOKUP($B$3,'Coeff EC7'!$T$65:$X$85,2,0)*Model0.1T!AX188)/1.5,PI()*AU$12*$Q188*($B188-$B187)*0.15/10+AY187)</f>
        <v>#N/A</v>
      </c>
      <c r="AZ188" s="102" t="e">
        <f>(VLOOKUP($B$3,'Coeff EC7'!$T$39:$X$59,3,0)*AW188+VLOOKUP($B$3,'Coeff EC7'!$T$65:$X$85,3,0)*Model0.1T!AX188)/1.1</f>
        <v>#N/A</v>
      </c>
      <c r="BA188" s="102" t="e">
        <f t="shared" si="273"/>
        <v>#N/A</v>
      </c>
      <c r="BB188" s="102" t="e">
        <f t="shared" si="274"/>
        <v>#N/A</v>
      </c>
      <c r="BC188" s="414" t="e">
        <f>IF(AND(AY188&gt;NDC!$C$63,AZ188&gt;NDC!$C$65,BA188&gt;NDC!$D$73,BB188&gt;NDC!$D$74,$B188&gt;NDC!$H$22-0.1+MIN(3*BC$12,1.5)),0,1)</f>
        <v>#N/A</v>
      </c>
      <c r="BD188" s="86" t="b">
        <f t="shared" si="242"/>
        <v>0</v>
      </c>
      <c r="BE188" s="86">
        <f t="shared" si="275"/>
        <v>0.5</v>
      </c>
      <c r="BF188" s="86">
        <f t="shared" si="243"/>
        <v>0.5</v>
      </c>
      <c r="BG188" s="30" t="e">
        <f t="shared" ca="1" si="276"/>
        <v>#DIV/0!</v>
      </c>
      <c r="BH188" s="85" t="e">
        <f ca="1">IF(AN188&lt;=Hypothèses!$V$7,Hypothèses!$W$7,IF(AN188&lt;=Hypothèses!$V$8,Hypothèses!$W$8,IF(AN188&lt;=Hypothèses!$V$9,Hypothèses!$W$9,IF(AN188&lt;=Hypothèses!$V$10,Hypothèses!$W$10,IF(AN188&lt;=Hypothèses!$V$11,Hypothèses!$W$11,IF(AN188&lt;=Hypothèses!$V$12,Hypothèses!$W$12,IF(AN188&lt;=Hypothèses!$V$13,Hypothèses!$W$13,IF(AN188&lt;=Hypothèses!$V$14,Hypothèses!$W$14,IF(AN188&lt;=Hypothèses!$V$15,Hypothèses!$W$15,IF(AN188&lt;=Hypothèses!$V$16,Hypothèses!$W$16,IF(AN188&lt;=Hypothèses!$V$17,Hypothèses!$W$17,IF(AN188&lt;=Hypothèses!$V$18,Hypothèses!$W$18,""))))))))))))</f>
        <v>#DIV/0!</v>
      </c>
      <c r="BI188" s="87" t="e">
        <f t="shared" ca="1" si="318"/>
        <v>#DIV/0!</v>
      </c>
      <c r="BJ188" s="88" t="e">
        <f ca="1">IF(AN188&lt;=Hypothèses!$V$7,Hypothèses!$X$7,IF(AN188&lt;=Hypothèses!$V$8,Hypothèses!$X$8,IF(AN188&lt;=Hypothèses!$V$9,Hypothèses!$X$9,IF(AN188&lt;=Hypothèses!$V$10,Hypothèses!$X$10,IF(AN188&lt;=Hypothèses!$V$11,Hypothèses!$X$11,IF(AN188&lt;=Hypothèses!$V$12,Hypothèses!$X$12,IF(AN188&lt;=Hypothèses!$V$13,Hypothèses!$X$13,IF(AN188&lt;=Hypothèses!$V$14,Hypothèses!$X$14,IF(AN188&lt;=Hypothèses!$V$15,Hypothèses!$X$15,IF(AN188&lt;=Hypothèses!$V$16,Hypothèses!$X$16,IF(AN188&lt;=Hypothèses!$U$17,Hypothèses!$W$17,IF(AN188&lt;=Hypothèses!$U$18,Hypothèses!$W$18,""))))))))))))</f>
        <v>#DIV/0!</v>
      </c>
      <c r="BK188" s="95" t="e">
        <f t="shared" ca="1" si="277"/>
        <v>#DIV/0!</v>
      </c>
      <c r="BL188" s="101">
        <f t="shared" si="325"/>
        <v>0</v>
      </c>
      <c r="BM188" s="91">
        <f t="shared" si="244"/>
        <v>0</v>
      </c>
      <c r="BN188" s="30" t="e">
        <f t="shared" si="304"/>
        <v>#N/A</v>
      </c>
      <c r="BO188" s="30" t="e">
        <f t="shared" si="305"/>
        <v>#N/A</v>
      </c>
      <c r="BP188" s="31" t="e">
        <f>IF(OR(Hypothèses!$B$4=17,Hypothèses!$B$4=18,Hypothèses!$B$4=19,Hypothèses!$B$4=20),
IF($D188="Pressio.",
IF(OR($E188=3,$E188=1,$E188=4),BO188,BN188),
IF($D188="Pénétro.",
IF(OR($E188=3,$E188=1,$E188=4),BO188,BN188))),IF($D188="Pressio.",
IF($E188=3,BO188,BN188),
IF($D188="Pénétro.",
IF($E188=4,BO188,BN188))))</f>
        <v>#N/A</v>
      </c>
      <c r="BQ188" s="31">
        <v>0</v>
      </c>
      <c r="BR188" s="102" t="e">
        <f>IF(NDC!$H$10="Oui",(VLOOKUP($B$3,'Coeff EC7'!$T$39:$X$59,2,0)*BP188+VLOOKUP($B$3,'Coeff EC7'!$T$65:$X$85,2,0)*Model0.1T!BQ188)/1.5,PI()*BN$12*$Q188*($B188-$B187)*0.15/10+BR187)</f>
        <v>#N/A</v>
      </c>
      <c r="BS188" s="102" t="e">
        <f>(VLOOKUP($B$3,'Coeff EC7'!$T$39:$X$59,3,0)*BP188+VLOOKUP($B$3,'Coeff EC7'!$T$65:$X$85,3,0)*Model0.1T!BQ188)/1.1</f>
        <v>#N/A</v>
      </c>
      <c r="BT188" s="102" t="e">
        <f t="shared" si="278"/>
        <v>#N/A</v>
      </c>
      <c r="BU188" s="102" t="e">
        <f t="shared" si="279"/>
        <v>#N/A</v>
      </c>
      <c r="BV188" s="414" t="e">
        <f>IF(AND(BR188&gt;NDC!$C$63,BS188&gt;NDC!$C$65,BT188&gt;NDC!$D$73,BU188&gt;NDC!$D$74,$B188&gt;NDC!$H$22-0.1+MIN(3*BV$12,1.5)),0,1)</f>
        <v>#N/A</v>
      </c>
      <c r="BW188" s="86" t="b">
        <f t="shared" si="245"/>
        <v>0</v>
      </c>
      <c r="BX188" s="86">
        <f t="shared" si="246"/>
        <v>0.5</v>
      </c>
      <c r="BY188" s="86">
        <f t="shared" si="247"/>
        <v>0.5</v>
      </c>
      <c r="BZ188" s="30" t="e">
        <f t="shared" ca="1" si="280"/>
        <v>#DIV/0!</v>
      </c>
      <c r="CA188" s="85" t="e">
        <f ca="1">IF(BG188&lt;=Hypothèses!$V$7,Hypothèses!$W$7,IF(BG188&lt;=Hypothèses!$V$8,Hypothèses!$W$8,IF(BG188&lt;=Hypothèses!$V$9,Hypothèses!$W$9,IF(BG188&lt;=Hypothèses!$V$10,Hypothèses!$W$10,IF(BG188&lt;=Hypothèses!$V$11,Hypothèses!$W$11,IF(BG188&lt;=Hypothèses!$V$12,Hypothèses!$W$12,IF(BG188&lt;=Hypothèses!$V$13,Hypothèses!$W$13,IF(BG188&lt;=Hypothèses!$V$14,Hypothèses!$W$14,IF(BG188&lt;=Hypothèses!$V$15,Hypothèses!$W$15,IF(BG188&lt;=Hypothèses!$V$16,Hypothèses!$W$16,IF(BG188&lt;=Hypothèses!$V$17,Hypothèses!$W$17,IF(BG188&lt;=Hypothèses!$V$18,Hypothèses!$W$18,""))))))))))))</f>
        <v>#DIV/0!</v>
      </c>
      <c r="CB188" s="87" t="e">
        <f t="shared" ca="1" si="319"/>
        <v>#DIV/0!</v>
      </c>
      <c r="CC188" s="88" t="e">
        <f ca="1">IF(BG188&lt;=Hypothèses!$V$7,Hypothèses!$X$7,IF(BG188&lt;=Hypothèses!$V$8,Hypothèses!$X$8,IF(BG188&lt;=Hypothèses!$V$9,Hypothèses!$X$9,IF(BG188&lt;=Hypothèses!$V$10,Hypothèses!$X$10,IF(BG188&lt;=Hypothèses!$V$11,Hypothèses!$X$11,IF(BG188&lt;=Hypothèses!$V$12,Hypothèses!$X$12,IF(BG188&lt;=Hypothèses!$V$13,Hypothèses!$X$13,IF(BG188&lt;=Hypothèses!$V$14,Hypothèses!$X$14,IF(BG188&lt;=Hypothèses!$V$15,Hypothèses!$X$15,IF(BG188&lt;=Hypothèses!$V$16,Hypothèses!$X$16,IF(BG188&lt;=Hypothèses!$U$17,Hypothèses!$W$17,IF(BG188&lt;=Hypothèses!$U$18,Hypothèses!$W$18,""))))))))))))</f>
        <v>#DIV/0!</v>
      </c>
      <c r="CD188" s="95" t="e">
        <f t="shared" ca="1" si="281"/>
        <v>#DIV/0!</v>
      </c>
      <c r="CE188" s="101">
        <f t="shared" si="326"/>
        <v>0</v>
      </c>
      <c r="CF188" s="91">
        <f t="shared" si="248"/>
        <v>0</v>
      </c>
      <c r="CG188" s="30" t="e">
        <f t="shared" si="306"/>
        <v>#N/A</v>
      </c>
      <c r="CH188" s="30" t="e">
        <f t="shared" si="307"/>
        <v>#N/A</v>
      </c>
      <c r="CI188" s="31" t="e">
        <f>IF(OR(Hypothèses!$B$4=17,Hypothèses!$B$4=18,Hypothèses!$B$4=19,Hypothèses!$B$4=20),
IF($D188="Pressio.",
IF(OR($E188=3,$E188=1,$E188=4),CH188,CG188),
IF($D188="Pénétro.",
IF(OR($E188=3,$E188=1,$E188=4),CH188,CG188))),IF($D188="Pressio.",
IF($E188=3,CH188,CG188),
IF($D188="Pénétro.",
IF($E188=4,CH188,CG188))))</f>
        <v>#N/A</v>
      </c>
      <c r="CJ188" s="31">
        <v>0</v>
      </c>
      <c r="CK188" s="102" t="e">
        <f>IF(NDC!$H$10="Oui",(VLOOKUP($B$3,'Coeff EC7'!$T$39:$X$59,2,0)*CI188+VLOOKUP($B$3,'Coeff EC7'!$T$65:$X$85,2,0)*Model0.1T!CJ188)/1.5,PI()*CG$12*$Q188*($B188-$B187)*0.15/10+CK187)</f>
        <v>#N/A</v>
      </c>
      <c r="CL188" s="102" t="e">
        <f>(VLOOKUP($B$3,'Coeff EC7'!$T$39:$X$59,3,0)*CI188+VLOOKUP($B$3,'Coeff EC7'!$T$65:$X$85,3,0)*Model0.1T!CJ188)/1.1</f>
        <v>#N/A</v>
      </c>
      <c r="CM188" s="102" t="e">
        <f t="shared" si="282"/>
        <v>#N/A</v>
      </c>
      <c r="CN188" s="102" t="e">
        <f t="shared" si="283"/>
        <v>#N/A</v>
      </c>
      <c r="CO188" s="414" t="e">
        <f>IF(AND(CK188&gt;NDC!$C$63,CL188&gt;NDC!$C$65,CM188&gt;NDC!$D$73,CN188&gt;NDC!$D$74,$B188&gt;NDC!$H$22-0.1+MIN(3*CO$12,1.5)),0,1)</f>
        <v>#N/A</v>
      </c>
      <c r="CP188" s="86" t="b">
        <f t="shared" si="249"/>
        <v>0</v>
      </c>
      <c r="CQ188" s="86">
        <f t="shared" si="250"/>
        <v>0.5</v>
      </c>
      <c r="CR188" s="86">
        <f t="shared" si="251"/>
        <v>0.5</v>
      </c>
      <c r="CS188" s="30" t="e">
        <f t="shared" ca="1" si="284"/>
        <v>#DIV/0!</v>
      </c>
      <c r="CT188" s="85" t="e">
        <f ca="1">IF(BZ188&lt;=Hypothèses!$V$7,Hypothèses!$W$7,IF(BZ188&lt;=Hypothèses!$V$8,Hypothèses!$W$8,IF(BZ188&lt;=Hypothèses!$V$9,Hypothèses!$W$9,IF(BZ188&lt;=Hypothèses!$V$10,Hypothèses!$W$10,IF(BZ188&lt;=Hypothèses!$V$11,Hypothèses!$W$11,IF(BZ188&lt;=Hypothèses!$V$12,Hypothèses!$W$12,IF(BZ188&lt;=Hypothèses!$V$13,Hypothèses!$W$13,IF(BZ188&lt;=Hypothèses!$V$14,Hypothèses!$W$14,IF(BZ188&lt;=Hypothèses!$V$15,Hypothèses!$W$15,IF(BZ188&lt;=Hypothèses!$V$16,Hypothèses!$W$16,IF(BZ188&lt;=Hypothèses!$V$17,Hypothèses!$W$17,IF(BZ188&lt;=Hypothèses!$V$18,Hypothèses!$W$18,""))))))))))))</f>
        <v>#DIV/0!</v>
      </c>
      <c r="CU188" s="87" t="e">
        <f t="shared" ca="1" si="320"/>
        <v>#DIV/0!</v>
      </c>
      <c r="CV188" s="88" t="e">
        <f ca="1">IF(BZ188&lt;=Hypothèses!$V$7,Hypothèses!$X$7,IF(BZ188&lt;=Hypothèses!$V$8,Hypothèses!$X$8,IF(BZ188&lt;=Hypothèses!$V$9,Hypothèses!$X$9,IF(BZ188&lt;=Hypothèses!$V$10,Hypothèses!$X$10,IF(BZ188&lt;=Hypothèses!$V$11,Hypothèses!$X$11,IF(BZ188&lt;=Hypothèses!$V$12,Hypothèses!$X$12,IF(BZ188&lt;=Hypothèses!$V$13,Hypothèses!$X$13,IF(BZ188&lt;=Hypothèses!$V$14,Hypothèses!$X$14,IF(BZ188&lt;=Hypothèses!$V$15,Hypothèses!$X$15,IF(BZ188&lt;=Hypothèses!$V$16,Hypothèses!$X$16,IF(BZ188&lt;=Hypothèses!$U$17,Hypothèses!$W$17,IF(BZ188&lt;=Hypothèses!$U$18,Hypothèses!$W$18,""))))))))))))</f>
        <v>#DIV/0!</v>
      </c>
      <c r="CW188" s="95" t="e">
        <f t="shared" ca="1" si="285"/>
        <v>#DIV/0!</v>
      </c>
      <c r="CX188" s="101">
        <f t="shared" si="327"/>
        <v>0</v>
      </c>
      <c r="CY188" s="91">
        <f t="shared" si="252"/>
        <v>0</v>
      </c>
      <c r="CZ188" s="30" t="e">
        <f t="shared" si="308"/>
        <v>#N/A</v>
      </c>
      <c r="DA188" s="30" t="e">
        <f t="shared" si="309"/>
        <v>#N/A</v>
      </c>
      <c r="DB188" s="31" t="e">
        <f>IF(OR(Hypothèses!$B$4=17,Hypothèses!$B$4=18,Hypothèses!$B$4=19,Hypothèses!$B$4=20),
IF($D188="Pressio.",
IF(OR($E188=3,$E188=1,$E188=4),DA188,CZ188),
IF($D188="Pénétro.",
IF(OR($E188=3,$E188=1,$E188=4),DA188,CZ188))),IF($D188="Pressio.",
IF($E188=3,DA188,CZ188),
IF($D188="Pénétro.",
IF($E188=4,DA188,CZ188))))</f>
        <v>#N/A</v>
      </c>
      <c r="DC188" s="31">
        <v>0</v>
      </c>
      <c r="DD188" s="102" t="e">
        <f>IF(NDC!$H$10="Oui",(VLOOKUP($B$3,'Coeff EC7'!$T$39:$X$59,2,0)*DB188+VLOOKUP($B$3,'Coeff EC7'!$T$65:$X$85,2,0)*Model0.1T!DC188)/1.5,PI()*CZ$12*$Q188*($B188-$B187)*0.15/10+DD187)</f>
        <v>#N/A</v>
      </c>
      <c r="DE188" s="102" t="e">
        <f>(VLOOKUP($B$3,'Coeff EC7'!$T$39:$X$59,3,0)*DB188+VLOOKUP($B$3,'Coeff EC7'!$T$65:$X$85,3,0)*Model0.1T!DC188)/1.1</f>
        <v>#N/A</v>
      </c>
      <c r="DF188" s="102" t="e">
        <f t="shared" si="286"/>
        <v>#N/A</v>
      </c>
      <c r="DG188" s="102" t="e">
        <f t="shared" si="287"/>
        <v>#N/A</v>
      </c>
      <c r="DH188" s="414" t="e">
        <f>IF(AND(DD188&gt;NDC!$C$63,DE188&gt;NDC!$C$65,DF188&gt;NDC!$D$73,DG188&gt;NDC!$D$74,$B188&gt;NDC!$H$22-0.1+MIN(3*DH$12,1.5)),0,1)</f>
        <v>#N/A</v>
      </c>
      <c r="DI188" s="86" t="b">
        <f t="shared" si="253"/>
        <v>0</v>
      </c>
      <c r="DJ188" s="86">
        <f t="shared" si="254"/>
        <v>0.5</v>
      </c>
      <c r="DK188" s="86">
        <f t="shared" si="255"/>
        <v>0.5</v>
      </c>
      <c r="DL188" s="30" t="e">
        <f t="shared" ca="1" si="288"/>
        <v>#DIV/0!</v>
      </c>
      <c r="DM188" s="85" t="e">
        <f ca="1">IF(CS188&lt;=Hypothèses!$V$7,Hypothèses!$W$7,IF(CS188&lt;=Hypothèses!$V$8,Hypothèses!$W$8,IF(CS188&lt;=Hypothèses!$V$9,Hypothèses!$W$9,IF(CS188&lt;=Hypothèses!$V$10,Hypothèses!$W$10,IF(CS188&lt;=Hypothèses!$V$11,Hypothèses!$W$11,IF(CS188&lt;=Hypothèses!$V$12,Hypothèses!$W$12,IF(CS188&lt;=Hypothèses!$V$13,Hypothèses!$W$13,IF(CS188&lt;=Hypothèses!$V$14,Hypothèses!$W$14,IF(CS188&lt;=Hypothèses!$V$15,Hypothèses!$W$15,IF(CS188&lt;=Hypothèses!$V$16,Hypothèses!$W$16,IF(CS188&lt;=Hypothèses!$V$17,Hypothèses!$W$17,IF(CS188&lt;=Hypothèses!$V$18,Hypothèses!$W$18,""))))))))))))</f>
        <v>#DIV/0!</v>
      </c>
      <c r="DN188" s="87" t="e">
        <f t="shared" ca="1" si="321"/>
        <v>#DIV/0!</v>
      </c>
      <c r="DO188" s="88" t="e">
        <f ca="1">IF(CS188&lt;=Hypothèses!$V$7,Hypothèses!$X$7,IF(CS188&lt;=Hypothèses!$V$8,Hypothèses!$X$8,IF(CS188&lt;=Hypothèses!$V$9,Hypothèses!$X$9,IF(CS188&lt;=Hypothèses!$V$10,Hypothèses!$X$10,IF(CS188&lt;=Hypothèses!$V$11,Hypothèses!$X$11,IF(CS188&lt;=Hypothèses!$V$12,Hypothèses!$X$12,IF(CS188&lt;=Hypothèses!$V$13,Hypothèses!$X$13,IF(CS188&lt;=Hypothèses!$V$14,Hypothèses!$X$14,IF(CS188&lt;=Hypothèses!$V$15,Hypothèses!$X$15,IF(CS188&lt;=Hypothèses!$V$16,Hypothèses!$X$16,IF(CS188&lt;=Hypothèses!$U$17,Hypothèses!$W$17,IF(CS188&lt;=Hypothèses!$U$18,Hypothèses!$W$18,""))))))))))))</f>
        <v>#DIV/0!</v>
      </c>
      <c r="DP188" s="95" t="e">
        <f t="shared" ca="1" si="289"/>
        <v>#DIV/0!</v>
      </c>
      <c r="DQ188" s="101">
        <f t="shared" si="328"/>
        <v>0</v>
      </c>
      <c r="DR188" s="91">
        <f t="shared" si="256"/>
        <v>0</v>
      </c>
      <c r="DS188" s="30" t="e">
        <f t="shared" si="310"/>
        <v>#N/A</v>
      </c>
      <c r="DT188" s="30" t="e">
        <f t="shared" si="311"/>
        <v>#N/A</v>
      </c>
      <c r="DU188" s="31" t="e">
        <f>IF(OR(Hypothèses!$B$4=17,Hypothèses!$B$4=18,Hypothèses!$B$4=19,Hypothèses!$B$4=20),
IF($D188="Pressio.",
IF(OR($E188=3,$E188=1,$E188=4),DT188,DS188),
IF($D188="Pénétro.",
IF(OR($E188=3,$E188=1,$E188=4),DT188,DS188))),IF($D188="Pressio.",
IF($E188=3,DT188,DS188),
IF($D188="Pénétro.",
IF($E188=4,DT188,DS188))))</f>
        <v>#N/A</v>
      </c>
      <c r="DV188" s="31">
        <v>0</v>
      </c>
      <c r="DW188" s="102" t="e">
        <f>IF(NDC!$H$10="Oui",(VLOOKUP($B$3,'Coeff EC7'!$T$39:$X$59,2,0)*DU188+VLOOKUP($B$3,'Coeff EC7'!$T$65:$X$85,2,0)*Model0.1T!DV188)/1.5,PI()*DS$12*$Q188*($B188-$B187)*0.15/10+DW187)</f>
        <v>#N/A</v>
      </c>
      <c r="DX188" s="102" t="e">
        <f>(VLOOKUP($B$3,'Coeff EC7'!$T$39:$X$59,3,0)*DU188+VLOOKUP($B$3,'Coeff EC7'!$T$65:$X$85,3,0)*Model0.1T!DV188)/1.1</f>
        <v>#N/A</v>
      </c>
      <c r="DY188" s="102" t="e">
        <f t="shared" si="290"/>
        <v>#N/A</v>
      </c>
      <c r="DZ188" s="102" t="e">
        <f t="shared" si="291"/>
        <v>#N/A</v>
      </c>
      <c r="EA188" s="414" t="e">
        <f>IF(AND(DW188&gt;NDC!$C$63,DX188&gt;NDC!$C$65,DY188&gt;NDC!$D$73,DZ188&gt;NDC!$D$74,$B188&gt;NDC!$H$22-0.1+MIN(3*EA$12,1.5)),0,1)</f>
        <v>#N/A</v>
      </c>
      <c r="EB188" s="86" t="b">
        <f t="shared" si="257"/>
        <v>0</v>
      </c>
      <c r="EC188" s="418">
        <f t="shared" si="258"/>
        <v>0.51</v>
      </c>
      <c r="ED188" s="86">
        <f t="shared" si="259"/>
        <v>0.51</v>
      </c>
      <c r="EE188" s="30" t="e">
        <f t="shared" ca="1" si="292"/>
        <v>#DIV/0!</v>
      </c>
      <c r="EF188" s="85" t="e">
        <f ca="1">IF(DL188&lt;=Hypothèses!$V$7,Hypothèses!$W$7,IF(DL188&lt;=Hypothèses!$V$8,Hypothèses!$W$8,IF(DL188&lt;=Hypothèses!$V$9,Hypothèses!$W$9,IF(DL188&lt;=Hypothèses!$V$10,Hypothèses!$W$10,IF(DL188&lt;=Hypothèses!$V$11,Hypothèses!$W$11,IF(DL188&lt;=Hypothèses!$V$12,Hypothèses!$W$12,IF(DL188&lt;=Hypothèses!$V$13,Hypothèses!$W$13,IF(DL188&lt;=Hypothèses!$V$14,Hypothèses!$W$14,IF(DL188&lt;=Hypothèses!$V$15,Hypothèses!$W$15,IF(DL188&lt;=Hypothèses!$V$16,Hypothèses!$W$16,IF(DL188&lt;=Hypothèses!$V$17,Hypothèses!$W$17,IF(DL188&lt;=Hypothèses!$V$18,Hypothèses!$W$18,""))))))))))))</f>
        <v>#DIV/0!</v>
      </c>
      <c r="EG188" s="87" t="e">
        <f t="shared" ca="1" si="322"/>
        <v>#DIV/0!</v>
      </c>
      <c r="EH188" s="88" t="e">
        <f ca="1">IF(DL188&lt;=Hypothèses!$V$7,Hypothèses!$X$7,IF(DL188&lt;=Hypothèses!$V$8,Hypothèses!$X$8,IF(DL188&lt;=Hypothèses!$V$9,Hypothèses!$X$9,IF(DL188&lt;=Hypothèses!$V$10,Hypothèses!$X$10,IF(DL188&lt;=Hypothèses!$V$11,Hypothèses!$X$11,IF(DL188&lt;=Hypothèses!$V$12,Hypothèses!$X$12,IF(DL188&lt;=Hypothèses!$V$13,Hypothèses!$X$13,IF(DL188&lt;=Hypothèses!$V$14,Hypothèses!$X$14,IF(DL188&lt;=Hypothèses!$V$15,Hypothèses!$X$15,IF(DL188&lt;=Hypothèses!$V$16,Hypothèses!$X$16,IF(DL188&lt;=Hypothèses!$U$17,Hypothèses!$W$17,IF(DL188&lt;=Hypothèses!$U$18,Hypothèses!$W$18,""))))))))))))</f>
        <v>#DIV/0!</v>
      </c>
      <c r="EI188" s="95" t="e">
        <f t="shared" ca="1" si="293"/>
        <v>#DIV/0!</v>
      </c>
      <c r="EJ188" s="101">
        <f t="shared" si="329"/>
        <v>0</v>
      </c>
      <c r="EK188" s="91">
        <f t="shared" si="260"/>
        <v>0</v>
      </c>
      <c r="EL188" s="30" t="e">
        <f t="shared" si="312"/>
        <v>#N/A</v>
      </c>
      <c r="EM188" s="30" t="e">
        <f t="shared" si="313"/>
        <v>#N/A</v>
      </c>
      <c r="EN188" s="31" t="e">
        <f>IF(OR(Hypothèses!$B$4=17,Hypothèses!$B$4=18,Hypothèses!$B$4=19,Hypothèses!$B$4=20),
IF($D188="Pressio.",
IF(OR($E188=3,$E188=1,$E188=4),EM188,EL188),
IF($D188="Pénétro.",
IF(OR($E188=3,$E188=1,$E188=4),EM188,EL188))),IF($D188="Pressio.",
IF($E188=3,EM188,EL188),
IF($D188="Pénétro.",
IF($E188=4,EM188,EL188))))</f>
        <v>#N/A</v>
      </c>
      <c r="EO188" s="31">
        <v>0</v>
      </c>
      <c r="EP188" s="102" t="e">
        <f>IF(NDC!$H$10="Oui",(VLOOKUP($B$3,'Coeff EC7'!$T$39:$X$59,2,0)*EN188+VLOOKUP($B$3,'Coeff EC7'!$T$65:$X$85,2,0)*Model0.1T!EO188)/1.5,PI()*EL$12*$Q188*($B188-$B187)*0.15/10+EP187)</f>
        <v>#N/A</v>
      </c>
      <c r="EQ188" s="102" t="e">
        <f>(VLOOKUP($B$3,'Coeff EC7'!$T$39:$X$59,3,0)*EN188+VLOOKUP($B$3,'Coeff EC7'!$T$65:$X$85,3,0)*Model0.1T!EO188)/1.1</f>
        <v>#N/A</v>
      </c>
      <c r="ER188" s="102" t="e">
        <f t="shared" si="294"/>
        <v>#N/A</v>
      </c>
      <c r="ES188" s="102" t="e">
        <f t="shared" si="295"/>
        <v>#N/A</v>
      </c>
      <c r="ET188" s="414" t="e">
        <f>IF(AND(EP188&gt;NDC!$C$63,EQ188&gt;NDC!$C$65,ER188&gt;NDC!$D$73,ES188&gt;NDC!$D$74,$B188&gt;NDC!$H$22-0.1+MIN(3*ET$12,1.5)),0,1)</f>
        <v>#N/A</v>
      </c>
      <c r="EU188" s="86" t="b">
        <f t="shared" si="261"/>
        <v>0</v>
      </c>
      <c r="EV188" s="86">
        <f t="shared" si="262"/>
        <v>0.61</v>
      </c>
      <c r="EW188" s="86">
        <f t="shared" si="263"/>
        <v>0.61</v>
      </c>
      <c r="EX188" s="30" t="e">
        <f t="shared" ca="1" si="296"/>
        <v>#DIV/0!</v>
      </c>
      <c r="EY188" s="85" t="e">
        <f ca="1">IF(EE188&lt;=Hypothèses!$V$7,Hypothèses!$W$7,IF(EE188&lt;=Hypothèses!$V$8,Hypothèses!$W$8,IF(EE188&lt;=Hypothèses!$V$9,Hypothèses!$W$9,IF(EE188&lt;=Hypothèses!$V$10,Hypothèses!$W$10,IF(EE188&lt;=Hypothèses!$V$11,Hypothèses!$W$11,IF(EE188&lt;=Hypothèses!$V$12,Hypothèses!$W$12,IF(EE188&lt;=Hypothèses!$V$13,Hypothèses!$W$13,IF(EE188&lt;=Hypothèses!$V$14,Hypothèses!$W$14,IF(EE188&lt;=Hypothèses!$V$15,Hypothèses!$W$15,IF(EE188&lt;=Hypothèses!$V$16,Hypothèses!$W$16,IF(EE188&lt;=Hypothèses!$V$17,Hypothèses!$W$17,IF(EE188&lt;=Hypothèses!$V$18,Hypothèses!$W$18,""))))))))))))</f>
        <v>#DIV/0!</v>
      </c>
      <c r="EZ188" s="87" t="e">
        <f t="shared" ca="1" si="323"/>
        <v>#DIV/0!</v>
      </c>
      <c r="FA188" s="88" t="e">
        <f ca="1">IF(EE188&lt;=Hypothèses!$V$7,Hypothèses!$X$7,IF(EE188&lt;=Hypothèses!$V$8,Hypothèses!$X$8,IF(EE188&lt;=Hypothèses!$V$9,Hypothèses!$X$9,IF(EE188&lt;=Hypothèses!$V$10,Hypothèses!$X$10,IF(EE188&lt;=Hypothèses!$V$11,Hypothèses!$X$11,IF(EE188&lt;=Hypothèses!$V$12,Hypothèses!$X$12,IF(EE188&lt;=Hypothèses!$V$13,Hypothèses!$X$13,IF(EE188&lt;=Hypothèses!$V$14,Hypothèses!$X$14,IF(EE188&lt;=Hypothèses!$V$15,Hypothèses!$X$15,IF(EE188&lt;=Hypothèses!$V$16,Hypothèses!$X$16,IF(EE188&lt;=Hypothèses!$U$17,Hypothèses!$W$17,IF(EE188&lt;=Hypothèses!$U$18,Hypothèses!$W$18,""))))))))))))</f>
        <v>#DIV/0!</v>
      </c>
      <c r="FB188" s="95" t="e">
        <f t="shared" ca="1" si="297"/>
        <v>#DIV/0!</v>
      </c>
      <c r="FC188" s="101">
        <f t="shared" si="330"/>
        <v>0</v>
      </c>
      <c r="FD188" s="91">
        <f t="shared" si="264"/>
        <v>0</v>
      </c>
      <c r="FE188" s="30" t="e">
        <f t="shared" si="314"/>
        <v>#N/A</v>
      </c>
      <c r="FF188" s="30" t="e">
        <f t="shared" si="315"/>
        <v>#N/A</v>
      </c>
      <c r="FG188" s="31" t="e">
        <f>IF(OR(Hypothèses!$B$4=17,Hypothèses!$B$4=18,Hypothèses!$B$4=19,Hypothèses!$B$4=20),
IF($D188="Pressio.",
IF(OR($E188=3,$E188=1,$E188=4),FF188,FE188),
IF($D188="Pénétro.",
IF(OR($E188=3,$E188=1,$E188=4),FF188,FE188))),IF($D188="Pressio.",
IF($E188=3,FF188,FE188),
IF($D188="Pénétro.",
IF($E188=4,FF188,FE188))))</f>
        <v>#N/A</v>
      </c>
      <c r="FH188" s="31">
        <v>0</v>
      </c>
      <c r="FI188" s="102" t="e">
        <f>IF(NDC!$H$10="Oui",(VLOOKUP($B$3,'Coeff EC7'!$T$39:$X$59,2,0)*FG188+VLOOKUP($B$3,'Coeff EC7'!$T$65:$X$85,2,0)*Model0.1T!FH188)/1.5,PI()*FE$12*$Q188*($B188-$B187)*0.15/10+FI187)</f>
        <v>#N/A</v>
      </c>
      <c r="FJ188" s="102" t="e">
        <f>(VLOOKUP($B$3,'Coeff EC7'!$T$39:$X$59,3,0)*FG188+VLOOKUP($B$3,'Coeff EC7'!$T$65:$X$85,3,0)*Model0.1T!FH188)/1.1</f>
        <v>#N/A</v>
      </c>
      <c r="FK188" s="102" t="e">
        <f t="shared" si="298"/>
        <v>#N/A</v>
      </c>
      <c r="FL188" s="102" t="e">
        <f t="shared" si="299"/>
        <v>#N/A</v>
      </c>
      <c r="FM188" s="414" t="e">
        <f>IF(AND(FI188&gt;NDC!$C$63,FJ188&gt;NDC!$C$65,FK188&gt;NDC!$D$73,FL188&gt;NDC!$D$74,$B188&gt;NDC!$H$22-0.1+MIN(3*FM$12,1.5)),0,1)</f>
        <v>#N/A</v>
      </c>
    </row>
    <row r="189" spans="1:169">
      <c r="A189" s="96">
        <f t="shared" si="265"/>
        <v>82.400000000001</v>
      </c>
      <c r="B189" s="97">
        <v>17.600000000000001</v>
      </c>
      <c r="C189" s="81">
        <f>IF(B189&lt;=Hypothèses!$C$7,Hypothèses!$A$7,IF(B189&lt;=Hypothèses!$C$8,Hypothèses!$A$8,IF(B189&lt;=Hypothèses!$C$9,Hypothèses!$A$9,IF(B189&lt;=Hypothèses!$C$10,Hypothèses!$A$10,IF(B189&lt;=Hypothèses!$C$11,Hypothèses!$A$11,IF(B189&lt;=Hypothèses!$C$12,Hypothèses!$A$12,IF(B189&lt;=Hypothèses!$C$13,Hypothèses!$A$13,IF(B189&lt;=Hypothèses!$C$14,Hypothèses!$A$14,IF(B189&lt;=Hypothèses!$C$15,Hypothèses!$A$15,IF(B189&lt;=Hypothèses!$C$16,Hypothèses!$A$16,IF(B189&lt;=Hypothèses!$C$17,Hypothèses!$A$17,IF(B189&lt;=Hypothèses!$C$18,Hypothèses!$A$18,C188))))))))))))</f>
        <v>11</v>
      </c>
      <c r="D189" s="82" t="str">
        <f>IF(B189&lt;=Hypothèses!$C$7,Hypothèses!$R$7,IF(B189&lt;=Hypothèses!$C$8,Hypothèses!$R$8,IF(B189&lt;=Hypothèses!$C$9,Hypothèses!$R$9,IF(B189&lt;=Hypothèses!$C$10,Hypothèses!$R$10,IF(B189&lt;=Hypothèses!$C$11,Hypothèses!$R$11,IF(B189&lt;=Hypothèses!$C$12,Hypothèses!$R$12,IF(B189&lt;=Hypothèses!$C$13,Hypothèses!$R$13,IF(B189&lt;=Hypothèses!$C$14,Hypothèses!$R$14,IF(B189&lt;=Hypothèses!$C$15,Hypothèses!$R$15,IF(B189&lt;=Hypothèses!$C$16,Hypothèses!$R$16,IF(B189&lt;=Hypothèses!$C$17,Hypothèses!$R$17,IF(B189&lt;=Hypothèses!$C$18,Hypothèses!$R$18,D188))))))))))))</f>
        <v>Pressio.</v>
      </c>
      <c r="E189" s="82" t="e">
        <f>IF(B189&lt;=Hypothèses!$C$7,Hypothèses!$G$7,IF(B189&lt;=Hypothèses!$C$8,Hypothèses!$G$8,IF(B189&lt;=Hypothèses!$C$9,Hypothèses!$G$9,IF(B189&lt;=Hypothèses!$C$10,Hypothèses!$G$10,IF(B189&lt;=Hypothèses!$C$11,Hypothèses!$G$11,IF(B189&lt;=Hypothèses!$C$12,Hypothèses!$G$12,IF(B189&lt;=Hypothèses!$C$13,Hypothèses!$G$13,IF(B189&lt;=Hypothèses!$C$14,Hypothèses!$G$14,IF(B189&lt;=Hypothèses!$C$15,Hypothèses!$G$15,IF(B189&lt;=Hypothèses!$C$16,Hypothèses!$G$16,IF(B189&lt;=Hypothèses!$C$17,Hypothèses!$G$17,IF(B189&lt;=Hypothèses!$C$18,Hypothèses!$G$18,E188))))))))))))</f>
        <v>#N/A</v>
      </c>
      <c r="F189" s="82" t="str">
        <f>IF(B189&lt;=Hypothèses!$C$7,Hypothèses!$F$7,IF(B189&lt;=Hypothèses!$C$8,Hypothèses!$F$8,IF(B189&lt;=Hypothèses!$C$9,Hypothèses!$F$9,IF(B189&lt;=Hypothèses!$C$10,Hypothèses!$F$10,IF(B189&lt;=Hypothèses!$C$11,Hypothèses!$F$11,IF(B189&lt;=Hypothèses!$C$12,Hypothèses!$F$12,IF(B189&lt;=Hypothèses!$C$13,Hypothèses!$F$13,IF(B189&lt;=Hypothèses!$C$14,Hypothèses!$F$14,IF(B189&lt;=Hypothèses!$C$15,Hypothèses!$F$15,IF(B189&lt;=Hypothèses!$C$16,Hypothèses!$F$16,IF(B189&lt;=Hypothèses!$C$17,Hypothèses!$F$17,IF(B189&lt;=Hypothèses!$C$18,Hypothèses!$F$18,F188))))))))))))</f>
        <v/>
      </c>
      <c r="G189" s="91">
        <f t="array" ref="G189">INDEX('Coeff EC7'!$U$7:$X$27,
MATCH(Model0.1T!$B$3,'Coeff EC7'!$T$7:$T$27,0),
MATCH(Model0.1T!$D189&amp;Model0.1T!$B$4,
'Coeff EC7'!$U$6:$X$6&amp;
'Coeff EC7'!$U$5:$X$5,0))</f>
        <v>1.4</v>
      </c>
      <c r="H189" s="91">
        <f t="array" ref="H189">INDEX('Coeff EC7'!$Y$7:$AB$27,
MATCH(Model0.1T!$B$3,'Coeff EC7'!$T$7:$T$27,0),
MATCH(Model0.1T!$D189&amp;Model0.1T!$B$4,
'Coeff EC7'!$Y$6:$AB$6&amp;
'Coeff EC7'!$Y$5:$AB$5,0))</f>
        <v>1.7</v>
      </c>
      <c r="I189" s="83">
        <v>0</v>
      </c>
      <c r="J189" s="91" t="e">
        <f t="array" ref="J189">INDEX('Coeff EC7'!$D$33:$Q$33,1,MATCH(D189&amp;E189,'Coeff EC7'!$D$31:$Q$31&amp;'Coeff EC7'!$D$32:$Q$32,0))</f>
        <v>#N/A</v>
      </c>
      <c r="K189" s="91" t="e">
        <f t="array" ref="K189">INDEX('Coeff EC7'!$D$34:$Q$34,1,MATCH(D189&amp;E189,'Coeff EC7'!$D$31:$Q$31&amp;'Coeff EC7'!$D$32:$Q$32,0))</f>
        <v>#N/A</v>
      </c>
      <c r="L189" s="91" t="e">
        <f t="array" ref="L189">INDEX('Coeff EC7'!$D$35:$Q$35,1,MATCH(D189&amp;E189,'Coeff EC7'!$D$31:$Q$31&amp;'Coeff EC7'!$D$32:$Q$32,0))</f>
        <v>#N/A</v>
      </c>
      <c r="M189" s="98" t="e">
        <f t="shared" si="231"/>
        <v>#N/A</v>
      </c>
      <c r="N189" s="99" t="e">
        <f t="array" ref="N189">INDEX('Coeff EC7'!$D$7:$Q$27,MATCH($B$3,'Coeff EC7'!$C$7:$C$27,0),MATCH(D189&amp;E189,'Coeff EC7'!$D$5:$Q$5&amp;'Coeff EC7'!$D$6:$Q$6,0))</f>
        <v>#N/A</v>
      </c>
      <c r="O189" s="99" t="e">
        <f t="array" ref="O189">INDEX('Coeff EC7'!$D$41:$Q$61,MATCH($B$3,'Coeff EC7'!$C$41:$C$61,0),MATCH(D189&amp;E189,'Coeff EC7'!$D$39:$Q$39&amp;'Coeff EC7'!$D$40:$Q$40,0))</f>
        <v>#N/A</v>
      </c>
      <c r="P189" s="30" t="e">
        <f t="shared" si="266"/>
        <v>#N/A</v>
      </c>
      <c r="Q189" s="100" t="e">
        <f t="shared" si="233"/>
        <v>#N/A</v>
      </c>
      <c r="R189" s="86" t="b">
        <f t="shared" si="234"/>
        <v>0</v>
      </c>
      <c r="S189" s="86">
        <f t="shared" si="232"/>
        <v>0.5</v>
      </c>
      <c r="T189" s="86">
        <f t="shared" si="235"/>
        <v>0.5</v>
      </c>
      <c r="U189" s="30" t="e">
        <f t="shared" ca="1" si="267"/>
        <v>#DIV/0!</v>
      </c>
      <c r="V189" s="85" t="str">
        <f>IF(B189&lt;=Hypothèses!$V$7,Hypothèses!$W$7,IF(B189&lt;=Hypothèses!$V$8,Hypothèses!$W$8,IF(B189&lt;=Hypothèses!$V$9,Hypothèses!$W$9,IF(B189&lt;=Hypothèses!$V$10,Hypothèses!$W$10,IF(B189&lt;=Hypothèses!$V$11,Hypothèses!$W$11,IF(B189&lt;=Hypothèses!$V$12,Hypothèses!$W$12,IF(B189&lt;=Hypothèses!$V$13,Hypothèses!$W$13,IF(B189&lt;=Hypothèses!$V$14,Hypothèses!$W$14,IF(B189&lt;=Hypothèses!$V$15,Hypothèses!$W$15,IF(B189&lt;=Hypothèses!$V$16,Hypothèses!$W$16,IF(B189&lt;=Hypothèses!$V$17,Hypothèses!$W$17,IF(B189&lt;=Hypothèses!$V$18,Hypothèses!$W$18,""))))))))))))</f>
        <v/>
      </c>
      <c r="W189" s="87" t="e">
        <f t="shared" ca="1" si="316"/>
        <v>#DIV/0!</v>
      </c>
      <c r="X189" s="88" t="str">
        <f>IF(B189&lt;=Hypothèses!$V$7,Hypothèses!$X$7,IF(B189&lt;=Hypothèses!$V$8,Hypothèses!$X$8,IF(B189&lt;=Hypothèses!$V$9,Hypothèses!$X$9,IF(B189&lt;=Hypothèses!$V$10,Hypothèses!$X$10,IF(B189&lt;=Hypothèses!$V$11,Hypothèses!$X$11,IF(B189&lt;=Hypothèses!$V$12,Hypothèses!$X$12,IF(B189&lt;=Hypothèses!$V$13,Hypothèses!$X$13,IF(B189&lt;=Hypothèses!$V$14,Hypothèses!$X$14,IF(B189&lt;=Hypothèses!$V$15,Hypothèses!$X$15,IF(B189&lt;=Hypothèses!$V$16,Hypothèses!$X$16,IF(B189&lt;=Hypothèses!$U$17,Hypothèses!$W$17,IF(B189&lt;=Hypothèses!$U$18,Hypothèses!$W$18,""))))))))))))</f>
        <v/>
      </c>
      <c r="Y189" s="95" t="e">
        <f t="shared" ca="1" si="236"/>
        <v>#DIV/0!</v>
      </c>
      <c r="Z189" s="101">
        <f t="shared" si="237"/>
        <v>0</v>
      </c>
      <c r="AA189" s="91">
        <f t="shared" si="238"/>
        <v>0</v>
      </c>
      <c r="AB189" s="30" t="e">
        <f t="shared" si="300"/>
        <v>#N/A</v>
      </c>
      <c r="AC189" s="30" t="e">
        <f t="shared" si="301"/>
        <v>#N/A</v>
      </c>
      <c r="AD189" s="31" t="e">
        <f>IF(OR(Hypothèses!$B$4=17,Hypothèses!$B$4=18,Hypothèses!$B$4=19,Hypothèses!$B$4=20),
IF($D189="Pressio.",
IF(OR($E189=3,$E189=1,$E189=4),AC189,AB189),
IF($D189="Pénétro.",
IF(OR($E189=3,$E189=1,$E189=4),AC189,AB189))),IF($D189="Pressio.",
IF($E189=3,AC189,AB189),
IF($D189="Pénétro.",
IF($E189=4,AC189,AB189))))</f>
        <v>#N/A</v>
      </c>
      <c r="AE189" s="31">
        <v>0</v>
      </c>
      <c r="AF189" s="102" t="e">
        <f>IF(NDC!$H$10="Oui",(VLOOKUP($B$3,'Coeff EC7'!$T$39:$X$59,2,0)*AD189+VLOOKUP($B$3,'Coeff EC7'!$T$65:$X$85,2,0)*Model0.1T!AE189)/1.5,PI()*AB$12*$Q189*($B189-$B188)*0.15/10+AF188)</f>
        <v>#N/A</v>
      </c>
      <c r="AG189" s="102" t="e">
        <f>(VLOOKUP($B$3,'Coeff EC7'!$T$39:$X$59,3,0)*AD189+VLOOKUP($B$3,'Coeff EC7'!$T$65:$X$85,3,0)*Model0.1T!AE189)/1.1</f>
        <v>#N/A</v>
      </c>
      <c r="AH189" s="102" t="e">
        <f t="shared" si="268"/>
        <v>#N/A</v>
      </c>
      <c r="AI189" s="102" t="e">
        <f t="shared" si="269"/>
        <v>#N/A</v>
      </c>
      <c r="AJ189" s="414" t="e">
        <f>IF(AND(AF189&gt;NDC!$C$63,AG189&gt;NDC!$C$65,AH189&gt;NDC!$D$73,AI189&gt;NDC!$D$74,$B189&gt;NDC!$H$22-0.1+MIN(3*$AJ$12,1.5)),0,1)</f>
        <v>#N/A</v>
      </c>
      <c r="AK189" s="86" t="b">
        <f t="shared" si="239"/>
        <v>0</v>
      </c>
      <c r="AL189" s="86">
        <f t="shared" si="270"/>
        <v>0.5</v>
      </c>
      <c r="AM189" s="86">
        <f t="shared" si="240"/>
        <v>0.5</v>
      </c>
      <c r="AN189" s="30" t="e">
        <f t="shared" ca="1" si="271"/>
        <v>#DIV/0!</v>
      </c>
      <c r="AO189" s="85" t="e">
        <f ca="1">IF(U189&lt;=Hypothèses!$V$7,Hypothèses!$W$7,IF(U189&lt;=Hypothèses!$V$8,Hypothèses!$W$8,IF(U189&lt;=Hypothèses!$V$9,Hypothèses!$W$9,IF(U189&lt;=Hypothèses!$V$10,Hypothèses!$W$10,IF(U189&lt;=Hypothèses!$V$11,Hypothèses!$W$11,IF(U189&lt;=Hypothèses!$V$12,Hypothèses!$W$12,IF(U189&lt;=Hypothèses!$V$13,Hypothèses!$W$13,IF(U189&lt;=Hypothèses!$V$14,Hypothèses!$W$14,IF(U189&lt;=Hypothèses!$V$15,Hypothèses!$W$15,IF(U189&lt;=Hypothèses!$V$16,Hypothèses!$W$16,IF(U189&lt;=Hypothèses!$V$17,Hypothèses!$W$17,IF(U189&lt;=Hypothèses!$V$18,Hypothèses!$W$18,""))))))))))))</f>
        <v>#DIV/0!</v>
      </c>
      <c r="AP189" s="87" t="e">
        <f t="shared" ca="1" si="317"/>
        <v>#DIV/0!</v>
      </c>
      <c r="AQ189" s="88" t="e">
        <f ca="1">IF(U189&lt;=Hypothèses!$V$7,Hypothèses!$X$7,IF(U189&lt;=Hypothèses!$V$8,Hypothèses!$X$8,IF(U189&lt;=Hypothèses!$V$9,Hypothèses!$X$9,IF(U189&lt;=Hypothèses!$V$10,Hypothèses!$X$10,IF(U189&lt;=Hypothèses!$V$11,Hypothèses!$X$11,IF(U189&lt;=Hypothèses!$V$12,Hypothèses!$X$12,IF(U189&lt;=Hypothèses!$V$13,Hypothèses!$X$13,IF(U189&lt;=Hypothèses!$V$14,Hypothèses!$X$14,IF(U189&lt;=Hypothèses!$V$15,Hypothèses!$X$15,IF(U189&lt;=Hypothèses!$V$16,Hypothèses!$X$16,IF(U189&lt;=Hypothèses!$U$17,Hypothèses!$W$17,IF(U189&lt;=Hypothèses!$U$18,Hypothèses!$W$18,""))))))))))))</f>
        <v>#DIV/0!</v>
      </c>
      <c r="AR189" s="95" t="e">
        <f t="shared" ca="1" si="272"/>
        <v>#DIV/0!</v>
      </c>
      <c r="AS189" s="101">
        <f t="shared" si="324"/>
        <v>0</v>
      </c>
      <c r="AT189" s="91">
        <f t="shared" si="241"/>
        <v>0</v>
      </c>
      <c r="AU189" s="30" t="e">
        <f t="shared" si="302"/>
        <v>#N/A</v>
      </c>
      <c r="AV189" s="30" t="e">
        <f t="shared" si="303"/>
        <v>#N/A</v>
      </c>
      <c r="AW189" s="31" t="e">
        <f>IF(OR(Hypothèses!$B$4=17,Hypothèses!$B$4=18,Hypothèses!$B$4=19,Hypothèses!$B$4=20),
IF($D189="Pressio.",
IF(OR($E189=3,$E189=1,$E189=4),AV189,AU189),
IF($D189="Pénétro.",
IF(OR($E189=3,$E189=1,$E189=4),AV189,AU189))),IF($D189="Pressio.",
IF($E189=3,AV189,AU189),
IF($D189="Pénétro.",
IF($E189=4,AV189,AU189))))</f>
        <v>#N/A</v>
      </c>
      <c r="AX189" s="31">
        <v>0</v>
      </c>
      <c r="AY189" s="102" t="e">
        <f>IF(NDC!$H$10="Oui",(VLOOKUP($B$3,'Coeff EC7'!$T$39:$X$59,2,0)*AW189+VLOOKUP($B$3,'Coeff EC7'!$T$65:$X$85,2,0)*Model0.1T!AX189)/1.5,PI()*AU$12*$Q189*($B189-$B188)*0.15/10+AY188)</f>
        <v>#N/A</v>
      </c>
      <c r="AZ189" s="102" t="e">
        <f>(VLOOKUP($B$3,'Coeff EC7'!$T$39:$X$59,3,0)*AW189+VLOOKUP($B$3,'Coeff EC7'!$T$65:$X$85,3,0)*Model0.1T!AX189)/1.1</f>
        <v>#N/A</v>
      </c>
      <c r="BA189" s="102" t="e">
        <f t="shared" si="273"/>
        <v>#N/A</v>
      </c>
      <c r="BB189" s="102" t="e">
        <f t="shared" si="274"/>
        <v>#N/A</v>
      </c>
      <c r="BC189" s="414" t="e">
        <f>IF(AND(AY189&gt;NDC!$C$63,AZ189&gt;NDC!$C$65,BA189&gt;NDC!$D$73,BB189&gt;NDC!$D$74,$B189&gt;NDC!$H$22-0.1+MIN(3*BC$12,1.5)),0,1)</f>
        <v>#N/A</v>
      </c>
      <c r="BD189" s="86" t="b">
        <f t="shared" si="242"/>
        <v>0</v>
      </c>
      <c r="BE189" s="86">
        <f t="shared" si="275"/>
        <v>0.5</v>
      </c>
      <c r="BF189" s="86">
        <f t="shared" si="243"/>
        <v>0.5</v>
      </c>
      <c r="BG189" s="30" t="e">
        <f t="shared" ca="1" si="276"/>
        <v>#DIV/0!</v>
      </c>
      <c r="BH189" s="85" t="e">
        <f ca="1">IF(AN189&lt;=Hypothèses!$V$7,Hypothèses!$W$7,IF(AN189&lt;=Hypothèses!$V$8,Hypothèses!$W$8,IF(AN189&lt;=Hypothèses!$V$9,Hypothèses!$W$9,IF(AN189&lt;=Hypothèses!$V$10,Hypothèses!$W$10,IF(AN189&lt;=Hypothèses!$V$11,Hypothèses!$W$11,IF(AN189&lt;=Hypothèses!$V$12,Hypothèses!$W$12,IF(AN189&lt;=Hypothèses!$V$13,Hypothèses!$W$13,IF(AN189&lt;=Hypothèses!$V$14,Hypothèses!$W$14,IF(AN189&lt;=Hypothèses!$V$15,Hypothèses!$W$15,IF(AN189&lt;=Hypothèses!$V$16,Hypothèses!$W$16,IF(AN189&lt;=Hypothèses!$V$17,Hypothèses!$W$17,IF(AN189&lt;=Hypothèses!$V$18,Hypothèses!$W$18,""))))))))))))</f>
        <v>#DIV/0!</v>
      </c>
      <c r="BI189" s="87" t="e">
        <f t="shared" ca="1" si="318"/>
        <v>#DIV/0!</v>
      </c>
      <c r="BJ189" s="88" t="e">
        <f ca="1">IF(AN189&lt;=Hypothèses!$V$7,Hypothèses!$X$7,IF(AN189&lt;=Hypothèses!$V$8,Hypothèses!$X$8,IF(AN189&lt;=Hypothèses!$V$9,Hypothèses!$X$9,IF(AN189&lt;=Hypothèses!$V$10,Hypothèses!$X$10,IF(AN189&lt;=Hypothèses!$V$11,Hypothèses!$X$11,IF(AN189&lt;=Hypothèses!$V$12,Hypothèses!$X$12,IF(AN189&lt;=Hypothèses!$V$13,Hypothèses!$X$13,IF(AN189&lt;=Hypothèses!$V$14,Hypothèses!$X$14,IF(AN189&lt;=Hypothèses!$V$15,Hypothèses!$X$15,IF(AN189&lt;=Hypothèses!$V$16,Hypothèses!$X$16,IF(AN189&lt;=Hypothèses!$U$17,Hypothèses!$W$17,IF(AN189&lt;=Hypothèses!$U$18,Hypothèses!$W$18,""))))))))))))</f>
        <v>#DIV/0!</v>
      </c>
      <c r="BK189" s="95" t="e">
        <f t="shared" ca="1" si="277"/>
        <v>#DIV/0!</v>
      </c>
      <c r="BL189" s="101">
        <f t="shared" si="325"/>
        <v>0</v>
      </c>
      <c r="BM189" s="91">
        <f t="shared" si="244"/>
        <v>0</v>
      </c>
      <c r="BN189" s="30" t="e">
        <f t="shared" si="304"/>
        <v>#N/A</v>
      </c>
      <c r="BO189" s="30" t="e">
        <f t="shared" si="305"/>
        <v>#N/A</v>
      </c>
      <c r="BP189" s="31" t="e">
        <f>IF(OR(Hypothèses!$B$4=17,Hypothèses!$B$4=18,Hypothèses!$B$4=19,Hypothèses!$B$4=20),
IF($D189="Pressio.",
IF(OR($E189=3,$E189=1,$E189=4),BO189,BN189),
IF($D189="Pénétro.",
IF(OR($E189=3,$E189=1,$E189=4),BO189,BN189))),IF($D189="Pressio.",
IF($E189=3,BO189,BN189),
IF($D189="Pénétro.",
IF($E189=4,BO189,BN189))))</f>
        <v>#N/A</v>
      </c>
      <c r="BQ189" s="31">
        <v>0</v>
      </c>
      <c r="BR189" s="102" t="e">
        <f>IF(NDC!$H$10="Oui",(VLOOKUP($B$3,'Coeff EC7'!$T$39:$X$59,2,0)*BP189+VLOOKUP($B$3,'Coeff EC7'!$T$65:$X$85,2,0)*Model0.1T!BQ189)/1.5,PI()*BN$12*$Q189*($B189-$B188)*0.15/10+BR188)</f>
        <v>#N/A</v>
      </c>
      <c r="BS189" s="102" t="e">
        <f>(VLOOKUP($B$3,'Coeff EC7'!$T$39:$X$59,3,0)*BP189+VLOOKUP($B$3,'Coeff EC7'!$T$65:$X$85,3,0)*Model0.1T!BQ189)/1.1</f>
        <v>#N/A</v>
      </c>
      <c r="BT189" s="102" t="e">
        <f t="shared" si="278"/>
        <v>#N/A</v>
      </c>
      <c r="BU189" s="102" t="e">
        <f t="shared" si="279"/>
        <v>#N/A</v>
      </c>
      <c r="BV189" s="414" t="e">
        <f>IF(AND(BR189&gt;NDC!$C$63,BS189&gt;NDC!$C$65,BT189&gt;NDC!$D$73,BU189&gt;NDC!$D$74,$B189&gt;NDC!$H$22-0.1+MIN(3*BV$12,1.5)),0,1)</f>
        <v>#N/A</v>
      </c>
      <c r="BW189" s="86" t="b">
        <f t="shared" si="245"/>
        <v>0</v>
      </c>
      <c r="BX189" s="86">
        <f t="shared" si="246"/>
        <v>0.5</v>
      </c>
      <c r="BY189" s="86">
        <f t="shared" si="247"/>
        <v>0.5</v>
      </c>
      <c r="BZ189" s="30" t="e">
        <f t="shared" ca="1" si="280"/>
        <v>#DIV/0!</v>
      </c>
      <c r="CA189" s="85" t="e">
        <f ca="1">IF(BG189&lt;=Hypothèses!$V$7,Hypothèses!$W$7,IF(BG189&lt;=Hypothèses!$V$8,Hypothèses!$W$8,IF(BG189&lt;=Hypothèses!$V$9,Hypothèses!$W$9,IF(BG189&lt;=Hypothèses!$V$10,Hypothèses!$W$10,IF(BG189&lt;=Hypothèses!$V$11,Hypothèses!$W$11,IF(BG189&lt;=Hypothèses!$V$12,Hypothèses!$W$12,IF(BG189&lt;=Hypothèses!$V$13,Hypothèses!$W$13,IF(BG189&lt;=Hypothèses!$V$14,Hypothèses!$W$14,IF(BG189&lt;=Hypothèses!$V$15,Hypothèses!$W$15,IF(BG189&lt;=Hypothèses!$V$16,Hypothèses!$W$16,IF(BG189&lt;=Hypothèses!$V$17,Hypothèses!$W$17,IF(BG189&lt;=Hypothèses!$V$18,Hypothèses!$W$18,""))))))))))))</f>
        <v>#DIV/0!</v>
      </c>
      <c r="CB189" s="87" t="e">
        <f t="shared" ca="1" si="319"/>
        <v>#DIV/0!</v>
      </c>
      <c r="CC189" s="88" t="e">
        <f ca="1">IF(BG189&lt;=Hypothèses!$V$7,Hypothèses!$X$7,IF(BG189&lt;=Hypothèses!$V$8,Hypothèses!$X$8,IF(BG189&lt;=Hypothèses!$V$9,Hypothèses!$X$9,IF(BG189&lt;=Hypothèses!$V$10,Hypothèses!$X$10,IF(BG189&lt;=Hypothèses!$V$11,Hypothèses!$X$11,IF(BG189&lt;=Hypothèses!$V$12,Hypothèses!$X$12,IF(BG189&lt;=Hypothèses!$V$13,Hypothèses!$X$13,IF(BG189&lt;=Hypothèses!$V$14,Hypothèses!$X$14,IF(BG189&lt;=Hypothèses!$V$15,Hypothèses!$X$15,IF(BG189&lt;=Hypothèses!$V$16,Hypothèses!$X$16,IF(BG189&lt;=Hypothèses!$U$17,Hypothèses!$W$17,IF(BG189&lt;=Hypothèses!$U$18,Hypothèses!$W$18,""))))))))))))</f>
        <v>#DIV/0!</v>
      </c>
      <c r="CD189" s="95" t="e">
        <f t="shared" ca="1" si="281"/>
        <v>#DIV/0!</v>
      </c>
      <c r="CE189" s="101">
        <f t="shared" si="326"/>
        <v>0</v>
      </c>
      <c r="CF189" s="91">
        <f t="shared" si="248"/>
        <v>0</v>
      </c>
      <c r="CG189" s="30" t="e">
        <f t="shared" si="306"/>
        <v>#N/A</v>
      </c>
      <c r="CH189" s="30" t="e">
        <f t="shared" si="307"/>
        <v>#N/A</v>
      </c>
      <c r="CI189" s="31" t="e">
        <f>IF(OR(Hypothèses!$B$4=17,Hypothèses!$B$4=18,Hypothèses!$B$4=19,Hypothèses!$B$4=20),
IF($D189="Pressio.",
IF(OR($E189=3,$E189=1,$E189=4),CH189,CG189),
IF($D189="Pénétro.",
IF(OR($E189=3,$E189=1,$E189=4),CH189,CG189))),IF($D189="Pressio.",
IF($E189=3,CH189,CG189),
IF($D189="Pénétro.",
IF($E189=4,CH189,CG189))))</f>
        <v>#N/A</v>
      </c>
      <c r="CJ189" s="31">
        <v>0</v>
      </c>
      <c r="CK189" s="102" t="e">
        <f>IF(NDC!$H$10="Oui",(VLOOKUP($B$3,'Coeff EC7'!$T$39:$X$59,2,0)*CI189+VLOOKUP($B$3,'Coeff EC7'!$T$65:$X$85,2,0)*Model0.1T!CJ189)/1.5,PI()*CG$12*$Q189*($B189-$B188)*0.15/10+CK188)</f>
        <v>#N/A</v>
      </c>
      <c r="CL189" s="102" t="e">
        <f>(VLOOKUP($B$3,'Coeff EC7'!$T$39:$X$59,3,0)*CI189+VLOOKUP($B$3,'Coeff EC7'!$T$65:$X$85,3,0)*Model0.1T!CJ189)/1.1</f>
        <v>#N/A</v>
      </c>
      <c r="CM189" s="102" t="e">
        <f t="shared" si="282"/>
        <v>#N/A</v>
      </c>
      <c r="CN189" s="102" t="e">
        <f t="shared" si="283"/>
        <v>#N/A</v>
      </c>
      <c r="CO189" s="414" t="e">
        <f>IF(AND(CK189&gt;NDC!$C$63,CL189&gt;NDC!$C$65,CM189&gt;NDC!$D$73,CN189&gt;NDC!$D$74,$B189&gt;NDC!$H$22-0.1+MIN(3*CO$12,1.5)),0,1)</f>
        <v>#N/A</v>
      </c>
      <c r="CP189" s="86" t="b">
        <f t="shared" si="249"/>
        <v>0</v>
      </c>
      <c r="CQ189" s="86">
        <f t="shared" si="250"/>
        <v>0.5</v>
      </c>
      <c r="CR189" s="86">
        <f t="shared" si="251"/>
        <v>0.5</v>
      </c>
      <c r="CS189" s="30" t="e">
        <f t="shared" ca="1" si="284"/>
        <v>#DIV/0!</v>
      </c>
      <c r="CT189" s="85" t="e">
        <f ca="1">IF(BZ189&lt;=Hypothèses!$V$7,Hypothèses!$W$7,IF(BZ189&lt;=Hypothèses!$V$8,Hypothèses!$W$8,IF(BZ189&lt;=Hypothèses!$V$9,Hypothèses!$W$9,IF(BZ189&lt;=Hypothèses!$V$10,Hypothèses!$W$10,IF(BZ189&lt;=Hypothèses!$V$11,Hypothèses!$W$11,IF(BZ189&lt;=Hypothèses!$V$12,Hypothèses!$W$12,IF(BZ189&lt;=Hypothèses!$V$13,Hypothèses!$W$13,IF(BZ189&lt;=Hypothèses!$V$14,Hypothèses!$W$14,IF(BZ189&lt;=Hypothèses!$V$15,Hypothèses!$W$15,IF(BZ189&lt;=Hypothèses!$V$16,Hypothèses!$W$16,IF(BZ189&lt;=Hypothèses!$V$17,Hypothèses!$W$17,IF(BZ189&lt;=Hypothèses!$V$18,Hypothèses!$W$18,""))))))))))))</f>
        <v>#DIV/0!</v>
      </c>
      <c r="CU189" s="87" t="e">
        <f t="shared" ca="1" si="320"/>
        <v>#DIV/0!</v>
      </c>
      <c r="CV189" s="88" t="e">
        <f ca="1">IF(BZ189&lt;=Hypothèses!$V$7,Hypothèses!$X$7,IF(BZ189&lt;=Hypothèses!$V$8,Hypothèses!$X$8,IF(BZ189&lt;=Hypothèses!$V$9,Hypothèses!$X$9,IF(BZ189&lt;=Hypothèses!$V$10,Hypothèses!$X$10,IF(BZ189&lt;=Hypothèses!$V$11,Hypothèses!$X$11,IF(BZ189&lt;=Hypothèses!$V$12,Hypothèses!$X$12,IF(BZ189&lt;=Hypothèses!$V$13,Hypothèses!$X$13,IF(BZ189&lt;=Hypothèses!$V$14,Hypothèses!$X$14,IF(BZ189&lt;=Hypothèses!$V$15,Hypothèses!$X$15,IF(BZ189&lt;=Hypothèses!$V$16,Hypothèses!$X$16,IF(BZ189&lt;=Hypothèses!$U$17,Hypothèses!$W$17,IF(BZ189&lt;=Hypothèses!$U$18,Hypothèses!$W$18,""))))))))))))</f>
        <v>#DIV/0!</v>
      </c>
      <c r="CW189" s="95" t="e">
        <f t="shared" ca="1" si="285"/>
        <v>#DIV/0!</v>
      </c>
      <c r="CX189" s="101">
        <f t="shared" si="327"/>
        <v>0</v>
      </c>
      <c r="CY189" s="91">
        <f t="shared" si="252"/>
        <v>0</v>
      </c>
      <c r="CZ189" s="30" t="e">
        <f t="shared" si="308"/>
        <v>#N/A</v>
      </c>
      <c r="DA189" s="30" t="e">
        <f t="shared" si="309"/>
        <v>#N/A</v>
      </c>
      <c r="DB189" s="31" t="e">
        <f>IF(OR(Hypothèses!$B$4=17,Hypothèses!$B$4=18,Hypothèses!$B$4=19,Hypothèses!$B$4=20),
IF($D189="Pressio.",
IF(OR($E189=3,$E189=1,$E189=4),DA189,CZ189),
IF($D189="Pénétro.",
IF(OR($E189=3,$E189=1,$E189=4),DA189,CZ189))),IF($D189="Pressio.",
IF($E189=3,DA189,CZ189),
IF($D189="Pénétro.",
IF($E189=4,DA189,CZ189))))</f>
        <v>#N/A</v>
      </c>
      <c r="DC189" s="31">
        <v>0</v>
      </c>
      <c r="DD189" s="102" t="e">
        <f>IF(NDC!$H$10="Oui",(VLOOKUP($B$3,'Coeff EC7'!$T$39:$X$59,2,0)*DB189+VLOOKUP($B$3,'Coeff EC7'!$T$65:$X$85,2,0)*Model0.1T!DC189)/1.5,PI()*CZ$12*$Q189*($B189-$B188)*0.15/10+DD188)</f>
        <v>#N/A</v>
      </c>
      <c r="DE189" s="102" t="e">
        <f>(VLOOKUP($B$3,'Coeff EC7'!$T$39:$X$59,3,0)*DB189+VLOOKUP($B$3,'Coeff EC7'!$T$65:$X$85,3,0)*Model0.1T!DC189)/1.1</f>
        <v>#N/A</v>
      </c>
      <c r="DF189" s="102" t="e">
        <f t="shared" si="286"/>
        <v>#N/A</v>
      </c>
      <c r="DG189" s="102" t="e">
        <f t="shared" si="287"/>
        <v>#N/A</v>
      </c>
      <c r="DH189" s="414" t="e">
        <f>IF(AND(DD189&gt;NDC!$C$63,DE189&gt;NDC!$C$65,DF189&gt;NDC!$D$73,DG189&gt;NDC!$D$74,$B189&gt;NDC!$H$22-0.1+MIN(3*DH$12,1.5)),0,1)</f>
        <v>#N/A</v>
      </c>
      <c r="DI189" s="86" t="b">
        <f t="shared" si="253"/>
        <v>0</v>
      </c>
      <c r="DJ189" s="86">
        <f t="shared" si="254"/>
        <v>0.5</v>
      </c>
      <c r="DK189" s="86">
        <f t="shared" si="255"/>
        <v>0.5</v>
      </c>
      <c r="DL189" s="30" t="e">
        <f t="shared" ca="1" si="288"/>
        <v>#DIV/0!</v>
      </c>
      <c r="DM189" s="85" t="e">
        <f ca="1">IF(CS189&lt;=Hypothèses!$V$7,Hypothèses!$W$7,IF(CS189&lt;=Hypothèses!$V$8,Hypothèses!$W$8,IF(CS189&lt;=Hypothèses!$V$9,Hypothèses!$W$9,IF(CS189&lt;=Hypothèses!$V$10,Hypothèses!$W$10,IF(CS189&lt;=Hypothèses!$V$11,Hypothèses!$W$11,IF(CS189&lt;=Hypothèses!$V$12,Hypothèses!$W$12,IF(CS189&lt;=Hypothèses!$V$13,Hypothèses!$W$13,IF(CS189&lt;=Hypothèses!$V$14,Hypothèses!$W$14,IF(CS189&lt;=Hypothèses!$V$15,Hypothèses!$W$15,IF(CS189&lt;=Hypothèses!$V$16,Hypothèses!$W$16,IF(CS189&lt;=Hypothèses!$V$17,Hypothèses!$W$17,IF(CS189&lt;=Hypothèses!$V$18,Hypothèses!$W$18,""))))))))))))</f>
        <v>#DIV/0!</v>
      </c>
      <c r="DN189" s="87" t="e">
        <f t="shared" ca="1" si="321"/>
        <v>#DIV/0!</v>
      </c>
      <c r="DO189" s="88" t="e">
        <f ca="1">IF(CS189&lt;=Hypothèses!$V$7,Hypothèses!$X$7,IF(CS189&lt;=Hypothèses!$V$8,Hypothèses!$X$8,IF(CS189&lt;=Hypothèses!$V$9,Hypothèses!$X$9,IF(CS189&lt;=Hypothèses!$V$10,Hypothèses!$X$10,IF(CS189&lt;=Hypothèses!$V$11,Hypothèses!$X$11,IF(CS189&lt;=Hypothèses!$V$12,Hypothèses!$X$12,IF(CS189&lt;=Hypothèses!$V$13,Hypothèses!$X$13,IF(CS189&lt;=Hypothèses!$V$14,Hypothèses!$X$14,IF(CS189&lt;=Hypothèses!$V$15,Hypothèses!$X$15,IF(CS189&lt;=Hypothèses!$V$16,Hypothèses!$X$16,IF(CS189&lt;=Hypothèses!$U$17,Hypothèses!$W$17,IF(CS189&lt;=Hypothèses!$U$18,Hypothèses!$W$18,""))))))))))))</f>
        <v>#DIV/0!</v>
      </c>
      <c r="DP189" s="95" t="e">
        <f t="shared" ca="1" si="289"/>
        <v>#DIV/0!</v>
      </c>
      <c r="DQ189" s="101">
        <f t="shared" si="328"/>
        <v>0</v>
      </c>
      <c r="DR189" s="91">
        <f t="shared" si="256"/>
        <v>0</v>
      </c>
      <c r="DS189" s="30" t="e">
        <f t="shared" si="310"/>
        <v>#N/A</v>
      </c>
      <c r="DT189" s="30" t="e">
        <f t="shared" si="311"/>
        <v>#N/A</v>
      </c>
      <c r="DU189" s="31" t="e">
        <f>IF(OR(Hypothèses!$B$4=17,Hypothèses!$B$4=18,Hypothèses!$B$4=19,Hypothèses!$B$4=20),
IF($D189="Pressio.",
IF(OR($E189=3,$E189=1,$E189=4),DT189,DS189),
IF($D189="Pénétro.",
IF(OR($E189=3,$E189=1,$E189=4),DT189,DS189))),IF($D189="Pressio.",
IF($E189=3,DT189,DS189),
IF($D189="Pénétro.",
IF($E189=4,DT189,DS189))))</f>
        <v>#N/A</v>
      </c>
      <c r="DV189" s="31">
        <v>0</v>
      </c>
      <c r="DW189" s="102" t="e">
        <f>IF(NDC!$H$10="Oui",(VLOOKUP($B$3,'Coeff EC7'!$T$39:$X$59,2,0)*DU189+VLOOKUP($B$3,'Coeff EC7'!$T$65:$X$85,2,0)*Model0.1T!DV189)/1.5,PI()*DS$12*$Q189*($B189-$B188)*0.15/10+DW188)</f>
        <v>#N/A</v>
      </c>
      <c r="DX189" s="102" t="e">
        <f>(VLOOKUP($B$3,'Coeff EC7'!$T$39:$X$59,3,0)*DU189+VLOOKUP($B$3,'Coeff EC7'!$T$65:$X$85,3,0)*Model0.1T!DV189)/1.1</f>
        <v>#N/A</v>
      </c>
      <c r="DY189" s="102" t="e">
        <f t="shared" si="290"/>
        <v>#N/A</v>
      </c>
      <c r="DZ189" s="102" t="e">
        <f t="shared" si="291"/>
        <v>#N/A</v>
      </c>
      <c r="EA189" s="414" t="e">
        <f>IF(AND(DW189&gt;NDC!$C$63,DX189&gt;NDC!$C$65,DY189&gt;NDC!$D$73,DZ189&gt;NDC!$D$74,$B189&gt;NDC!$H$22-0.1+MIN(3*EA$12,1.5)),0,1)</f>
        <v>#N/A</v>
      </c>
      <c r="EB189" s="86" t="b">
        <f t="shared" si="257"/>
        <v>0</v>
      </c>
      <c r="EC189" s="418">
        <f t="shared" si="258"/>
        <v>0.51</v>
      </c>
      <c r="ED189" s="86">
        <f t="shared" si="259"/>
        <v>0.51</v>
      </c>
      <c r="EE189" s="30" t="e">
        <f t="shared" ca="1" si="292"/>
        <v>#DIV/0!</v>
      </c>
      <c r="EF189" s="85" t="e">
        <f ca="1">IF(DL189&lt;=Hypothèses!$V$7,Hypothèses!$W$7,IF(DL189&lt;=Hypothèses!$V$8,Hypothèses!$W$8,IF(DL189&lt;=Hypothèses!$V$9,Hypothèses!$W$9,IF(DL189&lt;=Hypothèses!$V$10,Hypothèses!$W$10,IF(DL189&lt;=Hypothèses!$V$11,Hypothèses!$W$11,IF(DL189&lt;=Hypothèses!$V$12,Hypothèses!$W$12,IF(DL189&lt;=Hypothèses!$V$13,Hypothèses!$W$13,IF(DL189&lt;=Hypothèses!$V$14,Hypothèses!$W$14,IF(DL189&lt;=Hypothèses!$V$15,Hypothèses!$W$15,IF(DL189&lt;=Hypothèses!$V$16,Hypothèses!$W$16,IF(DL189&lt;=Hypothèses!$V$17,Hypothèses!$W$17,IF(DL189&lt;=Hypothèses!$V$18,Hypothèses!$W$18,""))))))))))))</f>
        <v>#DIV/0!</v>
      </c>
      <c r="EG189" s="87" t="e">
        <f t="shared" ca="1" si="322"/>
        <v>#DIV/0!</v>
      </c>
      <c r="EH189" s="88" t="e">
        <f ca="1">IF(DL189&lt;=Hypothèses!$V$7,Hypothèses!$X$7,IF(DL189&lt;=Hypothèses!$V$8,Hypothèses!$X$8,IF(DL189&lt;=Hypothèses!$V$9,Hypothèses!$X$9,IF(DL189&lt;=Hypothèses!$V$10,Hypothèses!$X$10,IF(DL189&lt;=Hypothèses!$V$11,Hypothèses!$X$11,IF(DL189&lt;=Hypothèses!$V$12,Hypothèses!$X$12,IF(DL189&lt;=Hypothèses!$V$13,Hypothèses!$X$13,IF(DL189&lt;=Hypothèses!$V$14,Hypothèses!$X$14,IF(DL189&lt;=Hypothèses!$V$15,Hypothèses!$X$15,IF(DL189&lt;=Hypothèses!$V$16,Hypothèses!$X$16,IF(DL189&lt;=Hypothèses!$U$17,Hypothèses!$W$17,IF(DL189&lt;=Hypothèses!$U$18,Hypothèses!$W$18,""))))))))))))</f>
        <v>#DIV/0!</v>
      </c>
      <c r="EI189" s="95" t="e">
        <f t="shared" ca="1" si="293"/>
        <v>#DIV/0!</v>
      </c>
      <c r="EJ189" s="101">
        <f t="shared" si="329"/>
        <v>0</v>
      </c>
      <c r="EK189" s="91">
        <f t="shared" si="260"/>
        <v>0</v>
      </c>
      <c r="EL189" s="30" t="e">
        <f t="shared" si="312"/>
        <v>#N/A</v>
      </c>
      <c r="EM189" s="30" t="e">
        <f t="shared" si="313"/>
        <v>#N/A</v>
      </c>
      <c r="EN189" s="31" t="e">
        <f>IF(OR(Hypothèses!$B$4=17,Hypothèses!$B$4=18,Hypothèses!$B$4=19,Hypothèses!$B$4=20),
IF($D189="Pressio.",
IF(OR($E189=3,$E189=1,$E189=4),EM189,EL189),
IF($D189="Pénétro.",
IF(OR($E189=3,$E189=1,$E189=4),EM189,EL189))),IF($D189="Pressio.",
IF($E189=3,EM189,EL189),
IF($D189="Pénétro.",
IF($E189=4,EM189,EL189))))</f>
        <v>#N/A</v>
      </c>
      <c r="EO189" s="31">
        <v>0</v>
      </c>
      <c r="EP189" s="102" t="e">
        <f>IF(NDC!$H$10="Oui",(VLOOKUP($B$3,'Coeff EC7'!$T$39:$X$59,2,0)*EN189+VLOOKUP($B$3,'Coeff EC7'!$T$65:$X$85,2,0)*Model0.1T!EO189)/1.5,PI()*EL$12*$Q189*($B189-$B188)*0.15/10+EP188)</f>
        <v>#N/A</v>
      </c>
      <c r="EQ189" s="102" t="e">
        <f>(VLOOKUP($B$3,'Coeff EC7'!$T$39:$X$59,3,0)*EN189+VLOOKUP($B$3,'Coeff EC7'!$T$65:$X$85,3,0)*Model0.1T!EO189)/1.1</f>
        <v>#N/A</v>
      </c>
      <c r="ER189" s="102" t="e">
        <f t="shared" si="294"/>
        <v>#N/A</v>
      </c>
      <c r="ES189" s="102" t="e">
        <f t="shared" si="295"/>
        <v>#N/A</v>
      </c>
      <c r="ET189" s="414" t="e">
        <f>IF(AND(EP189&gt;NDC!$C$63,EQ189&gt;NDC!$C$65,ER189&gt;NDC!$D$73,ES189&gt;NDC!$D$74,$B189&gt;NDC!$H$22-0.1+MIN(3*ET$12,1.5)),0,1)</f>
        <v>#N/A</v>
      </c>
      <c r="EU189" s="86" t="b">
        <f t="shared" si="261"/>
        <v>0</v>
      </c>
      <c r="EV189" s="86">
        <f t="shared" si="262"/>
        <v>0.61</v>
      </c>
      <c r="EW189" s="86">
        <f t="shared" si="263"/>
        <v>0.61</v>
      </c>
      <c r="EX189" s="30" t="e">
        <f t="shared" ca="1" si="296"/>
        <v>#DIV/0!</v>
      </c>
      <c r="EY189" s="85" t="e">
        <f ca="1">IF(EE189&lt;=Hypothèses!$V$7,Hypothèses!$W$7,IF(EE189&lt;=Hypothèses!$V$8,Hypothèses!$W$8,IF(EE189&lt;=Hypothèses!$V$9,Hypothèses!$W$9,IF(EE189&lt;=Hypothèses!$V$10,Hypothèses!$W$10,IF(EE189&lt;=Hypothèses!$V$11,Hypothèses!$W$11,IF(EE189&lt;=Hypothèses!$V$12,Hypothèses!$W$12,IF(EE189&lt;=Hypothèses!$V$13,Hypothèses!$W$13,IF(EE189&lt;=Hypothèses!$V$14,Hypothèses!$W$14,IF(EE189&lt;=Hypothèses!$V$15,Hypothèses!$W$15,IF(EE189&lt;=Hypothèses!$V$16,Hypothèses!$W$16,IF(EE189&lt;=Hypothèses!$V$17,Hypothèses!$W$17,IF(EE189&lt;=Hypothèses!$V$18,Hypothèses!$W$18,""))))))))))))</f>
        <v>#DIV/0!</v>
      </c>
      <c r="EZ189" s="87" t="e">
        <f t="shared" ca="1" si="323"/>
        <v>#DIV/0!</v>
      </c>
      <c r="FA189" s="88" t="e">
        <f ca="1">IF(EE189&lt;=Hypothèses!$V$7,Hypothèses!$X$7,IF(EE189&lt;=Hypothèses!$V$8,Hypothèses!$X$8,IF(EE189&lt;=Hypothèses!$V$9,Hypothèses!$X$9,IF(EE189&lt;=Hypothèses!$V$10,Hypothèses!$X$10,IF(EE189&lt;=Hypothèses!$V$11,Hypothèses!$X$11,IF(EE189&lt;=Hypothèses!$V$12,Hypothèses!$X$12,IF(EE189&lt;=Hypothèses!$V$13,Hypothèses!$X$13,IF(EE189&lt;=Hypothèses!$V$14,Hypothèses!$X$14,IF(EE189&lt;=Hypothèses!$V$15,Hypothèses!$X$15,IF(EE189&lt;=Hypothèses!$V$16,Hypothèses!$X$16,IF(EE189&lt;=Hypothèses!$U$17,Hypothèses!$W$17,IF(EE189&lt;=Hypothèses!$U$18,Hypothèses!$W$18,""))))))))))))</f>
        <v>#DIV/0!</v>
      </c>
      <c r="FB189" s="95" t="e">
        <f t="shared" ca="1" si="297"/>
        <v>#DIV/0!</v>
      </c>
      <c r="FC189" s="101">
        <f t="shared" si="330"/>
        <v>0</v>
      </c>
      <c r="FD189" s="91">
        <f t="shared" si="264"/>
        <v>0</v>
      </c>
      <c r="FE189" s="30" t="e">
        <f t="shared" si="314"/>
        <v>#N/A</v>
      </c>
      <c r="FF189" s="30" t="e">
        <f t="shared" si="315"/>
        <v>#N/A</v>
      </c>
      <c r="FG189" s="31" t="e">
        <f>IF(OR(Hypothèses!$B$4=17,Hypothèses!$B$4=18,Hypothèses!$B$4=19,Hypothèses!$B$4=20),
IF($D189="Pressio.",
IF(OR($E189=3,$E189=1,$E189=4),FF189,FE189),
IF($D189="Pénétro.",
IF(OR($E189=3,$E189=1,$E189=4),FF189,FE189))),IF($D189="Pressio.",
IF($E189=3,FF189,FE189),
IF($D189="Pénétro.",
IF($E189=4,FF189,FE189))))</f>
        <v>#N/A</v>
      </c>
      <c r="FH189" s="31">
        <v>0</v>
      </c>
      <c r="FI189" s="102" t="e">
        <f>IF(NDC!$H$10="Oui",(VLOOKUP($B$3,'Coeff EC7'!$T$39:$X$59,2,0)*FG189+VLOOKUP($B$3,'Coeff EC7'!$T$65:$X$85,2,0)*Model0.1T!FH189)/1.5,PI()*FE$12*$Q189*($B189-$B188)*0.15/10+FI188)</f>
        <v>#N/A</v>
      </c>
      <c r="FJ189" s="102" t="e">
        <f>(VLOOKUP($B$3,'Coeff EC7'!$T$39:$X$59,3,0)*FG189+VLOOKUP($B$3,'Coeff EC7'!$T$65:$X$85,3,0)*Model0.1T!FH189)/1.1</f>
        <v>#N/A</v>
      </c>
      <c r="FK189" s="102" t="e">
        <f t="shared" si="298"/>
        <v>#N/A</v>
      </c>
      <c r="FL189" s="102" t="e">
        <f t="shared" si="299"/>
        <v>#N/A</v>
      </c>
      <c r="FM189" s="414" t="e">
        <f>IF(AND(FI189&gt;NDC!$C$63,FJ189&gt;NDC!$C$65,FK189&gt;NDC!$D$73,FL189&gt;NDC!$D$74,$B189&gt;NDC!$H$22-0.1+MIN(3*FM$12,1.5)),0,1)</f>
        <v>#N/A</v>
      </c>
    </row>
    <row r="190" spans="1:169">
      <c r="A190" s="96">
        <f t="shared" si="265"/>
        <v>82.300000000001006</v>
      </c>
      <c r="B190" s="97">
        <v>17.7</v>
      </c>
      <c r="C190" s="81">
        <f>IF(B190&lt;=Hypothèses!$C$7,Hypothèses!$A$7,IF(B190&lt;=Hypothèses!$C$8,Hypothèses!$A$8,IF(B190&lt;=Hypothèses!$C$9,Hypothèses!$A$9,IF(B190&lt;=Hypothèses!$C$10,Hypothèses!$A$10,IF(B190&lt;=Hypothèses!$C$11,Hypothèses!$A$11,IF(B190&lt;=Hypothèses!$C$12,Hypothèses!$A$12,IF(B190&lt;=Hypothèses!$C$13,Hypothèses!$A$13,IF(B190&lt;=Hypothèses!$C$14,Hypothèses!$A$14,IF(B190&lt;=Hypothèses!$C$15,Hypothèses!$A$15,IF(B190&lt;=Hypothèses!$C$16,Hypothèses!$A$16,IF(B190&lt;=Hypothèses!$C$17,Hypothèses!$A$17,IF(B190&lt;=Hypothèses!$C$18,Hypothèses!$A$18,C189))))))))))))</f>
        <v>11</v>
      </c>
      <c r="D190" s="82" t="str">
        <f>IF(B190&lt;=Hypothèses!$C$7,Hypothèses!$R$7,IF(B190&lt;=Hypothèses!$C$8,Hypothèses!$R$8,IF(B190&lt;=Hypothèses!$C$9,Hypothèses!$R$9,IF(B190&lt;=Hypothèses!$C$10,Hypothèses!$R$10,IF(B190&lt;=Hypothèses!$C$11,Hypothèses!$R$11,IF(B190&lt;=Hypothèses!$C$12,Hypothèses!$R$12,IF(B190&lt;=Hypothèses!$C$13,Hypothèses!$R$13,IF(B190&lt;=Hypothèses!$C$14,Hypothèses!$R$14,IF(B190&lt;=Hypothèses!$C$15,Hypothèses!$R$15,IF(B190&lt;=Hypothèses!$C$16,Hypothèses!$R$16,IF(B190&lt;=Hypothèses!$C$17,Hypothèses!$R$17,IF(B190&lt;=Hypothèses!$C$18,Hypothèses!$R$18,D189))))))))))))</f>
        <v>Pressio.</v>
      </c>
      <c r="E190" s="82" t="e">
        <f>IF(B190&lt;=Hypothèses!$C$7,Hypothèses!$G$7,IF(B190&lt;=Hypothèses!$C$8,Hypothèses!$G$8,IF(B190&lt;=Hypothèses!$C$9,Hypothèses!$G$9,IF(B190&lt;=Hypothèses!$C$10,Hypothèses!$G$10,IF(B190&lt;=Hypothèses!$C$11,Hypothèses!$G$11,IF(B190&lt;=Hypothèses!$C$12,Hypothèses!$G$12,IF(B190&lt;=Hypothèses!$C$13,Hypothèses!$G$13,IF(B190&lt;=Hypothèses!$C$14,Hypothèses!$G$14,IF(B190&lt;=Hypothèses!$C$15,Hypothèses!$G$15,IF(B190&lt;=Hypothèses!$C$16,Hypothèses!$G$16,IF(B190&lt;=Hypothèses!$C$17,Hypothèses!$G$17,IF(B190&lt;=Hypothèses!$C$18,Hypothèses!$G$18,E189))))))))))))</f>
        <v>#N/A</v>
      </c>
      <c r="F190" s="82" t="str">
        <f>IF(B190&lt;=Hypothèses!$C$7,Hypothèses!$F$7,IF(B190&lt;=Hypothèses!$C$8,Hypothèses!$F$8,IF(B190&lt;=Hypothèses!$C$9,Hypothèses!$F$9,IF(B190&lt;=Hypothèses!$C$10,Hypothèses!$F$10,IF(B190&lt;=Hypothèses!$C$11,Hypothèses!$F$11,IF(B190&lt;=Hypothèses!$C$12,Hypothèses!$F$12,IF(B190&lt;=Hypothèses!$C$13,Hypothèses!$F$13,IF(B190&lt;=Hypothèses!$C$14,Hypothèses!$F$14,IF(B190&lt;=Hypothèses!$C$15,Hypothèses!$F$15,IF(B190&lt;=Hypothèses!$C$16,Hypothèses!$F$16,IF(B190&lt;=Hypothèses!$C$17,Hypothèses!$F$17,IF(B190&lt;=Hypothèses!$C$18,Hypothèses!$F$18,F189))))))))))))</f>
        <v/>
      </c>
      <c r="G190" s="91">
        <f t="array" ref="G190">INDEX('Coeff EC7'!$U$7:$X$27,
MATCH(Model0.1T!$B$3,'Coeff EC7'!$T$7:$T$27,0),
MATCH(Model0.1T!$D190&amp;Model0.1T!$B$4,
'Coeff EC7'!$U$6:$X$6&amp;
'Coeff EC7'!$U$5:$X$5,0))</f>
        <v>1.4</v>
      </c>
      <c r="H190" s="91">
        <f t="array" ref="H190">INDEX('Coeff EC7'!$Y$7:$AB$27,
MATCH(Model0.1T!$B$3,'Coeff EC7'!$T$7:$T$27,0),
MATCH(Model0.1T!$D190&amp;Model0.1T!$B$4,
'Coeff EC7'!$Y$6:$AB$6&amp;
'Coeff EC7'!$Y$5:$AB$5,0))</f>
        <v>1.7</v>
      </c>
      <c r="I190" s="83">
        <v>0</v>
      </c>
      <c r="J190" s="91" t="e">
        <f t="array" ref="J190">INDEX('Coeff EC7'!$D$33:$Q$33,1,MATCH(D190&amp;E190,'Coeff EC7'!$D$31:$Q$31&amp;'Coeff EC7'!$D$32:$Q$32,0))</f>
        <v>#N/A</v>
      </c>
      <c r="K190" s="91" t="e">
        <f t="array" ref="K190">INDEX('Coeff EC7'!$D$34:$Q$34,1,MATCH(D190&amp;E190,'Coeff EC7'!$D$31:$Q$31&amp;'Coeff EC7'!$D$32:$Q$32,0))</f>
        <v>#N/A</v>
      </c>
      <c r="L190" s="91" t="e">
        <f t="array" ref="L190">INDEX('Coeff EC7'!$D$35:$Q$35,1,MATCH(D190&amp;E190,'Coeff EC7'!$D$31:$Q$31&amp;'Coeff EC7'!$D$32:$Q$32,0))</f>
        <v>#N/A</v>
      </c>
      <c r="M190" s="98" t="e">
        <f t="shared" si="231"/>
        <v>#N/A</v>
      </c>
      <c r="N190" s="99" t="e">
        <f t="array" ref="N190">INDEX('Coeff EC7'!$D$7:$Q$27,MATCH($B$3,'Coeff EC7'!$C$7:$C$27,0),MATCH(D190&amp;E190,'Coeff EC7'!$D$5:$Q$5&amp;'Coeff EC7'!$D$6:$Q$6,0))</f>
        <v>#N/A</v>
      </c>
      <c r="O190" s="99" t="e">
        <f t="array" ref="O190">INDEX('Coeff EC7'!$D$41:$Q$61,MATCH($B$3,'Coeff EC7'!$C$41:$C$61,0),MATCH(D190&amp;E190,'Coeff EC7'!$D$39:$Q$39&amp;'Coeff EC7'!$D$40:$Q$40,0))</f>
        <v>#N/A</v>
      </c>
      <c r="P190" s="30" t="e">
        <f t="shared" si="266"/>
        <v>#N/A</v>
      </c>
      <c r="Q190" s="100" t="e">
        <f t="shared" si="233"/>
        <v>#N/A</v>
      </c>
      <c r="R190" s="86" t="b">
        <f t="shared" si="234"/>
        <v>0</v>
      </c>
      <c r="S190" s="86">
        <f t="shared" si="232"/>
        <v>0.5</v>
      </c>
      <c r="T190" s="86">
        <f t="shared" si="235"/>
        <v>0.5</v>
      </c>
      <c r="U190" s="30" t="e">
        <f t="shared" ca="1" si="267"/>
        <v>#DIV/0!</v>
      </c>
      <c r="V190" s="85" t="str">
        <f>IF(B190&lt;=Hypothèses!$V$7,Hypothèses!$W$7,IF(B190&lt;=Hypothèses!$V$8,Hypothèses!$W$8,IF(B190&lt;=Hypothèses!$V$9,Hypothèses!$W$9,IF(B190&lt;=Hypothèses!$V$10,Hypothèses!$W$10,IF(B190&lt;=Hypothèses!$V$11,Hypothèses!$W$11,IF(B190&lt;=Hypothèses!$V$12,Hypothèses!$W$12,IF(B190&lt;=Hypothèses!$V$13,Hypothèses!$W$13,IF(B190&lt;=Hypothèses!$V$14,Hypothèses!$W$14,IF(B190&lt;=Hypothèses!$V$15,Hypothèses!$W$15,IF(B190&lt;=Hypothèses!$V$16,Hypothèses!$W$16,IF(B190&lt;=Hypothèses!$V$17,Hypothèses!$W$17,IF(B190&lt;=Hypothèses!$V$18,Hypothèses!$W$18,""))))))))))))</f>
        <v/>
      </c>
      <c r="W190" s="87" t="e">
        <f t="shared" ca="1" si="316"/>
        <v>#DIV/0!</v>
      </c>
      <c r="X190" s="88" t="str">
        <f>IF(B190&lt;=Hypothèses!$V$7,Hypothèses!$X$7,IF(B190&lt;=Hypothèses!$V$8,Hypothèses!$X$8,IF(B190&lt;=Hypothèses!$V$9,Hypothèses!$X$9,IF(B190&lt;=Hypothèses!$V$10,Hypothèses!$X$10,IF(B190&lt;=Hypothèses!$V$11,Hypothèses!$X$11,IF(B190&lt;=Hypothèses!$V$12,Hypothèses!$X$12,IF(B190&lt;=Hypothèses!$V$13,Hypothèses!$X$13,IF(B190&lt;=Hypothèses!$V$14,Hypothèses!$X$14,IF(B190&lt;=Hypothèses!$V$15,Hypothèses!$X$15,IF(B190&lt;=Hypothèses!$V$16,Hypothèses!$X$16,IF(B190&lt;=Hypothèses!$U$17,Hypothèses!$W$17,IF(B190&lt;=Hypothèses!$U$18,Hypothèses!$W$18,""))))))))))))</f>
        <v/>
      </c>
      <c r="Y190" s="95" t="e">
        <f t="shared" ca="1" si="236"/>
        <v>#DIV/0!</v>
      </c>
      <c r="Z190" s="101">
        <f t="shared" si="237"/>
        <v>0</v>
      </c>
      <c r="AA190" s="91">
        <f t="shared" si="238"/>
        <v>0</v>
      </c>
      <c r="AB190" s="30" t="e">
        <f t="shared" si="300"/>
        <v>#N/A</v>
      </c>
      <c r="AC190" s="30" t="e">
        <f t="shared" si="301"/>
        <v>#N/A</v>
      </c>
      <c r="AD190" s="31" t="e">
        <f>IF(OR(Hypothèses!$B$4=17,Hypothèses!$B$4=18,Hypothèses!$B$4=19,Hypothèses!$B$4=20),
IF($D190="Pressio.",
IF(OR($E190=3,$E190=1,$E190=4),AC190,AB190),
IF($D190="Pénétro.",
IF(OR($E190=3,$E190=1,$E190=4),AC190,AB190))),IF($D190="Pressio.",
IF($E190=3,AC190,AB190),
IF($D190="Pénétro.",
IF($E190=4,AC190,AB190))))</f>
        <v>#N/A</v>
      </c>
      <c r="AE190" s="31">
        <v>0</v>
      </c>
      <c r="AF190" s="102" t="e">
        <f>IF(NDC!$H$10="Oui",(VLOOKUP($B$3,'Coeff EC7'!$T$39:$X$59,2,0)*AD190+VLOOKUP($B$3,'Coeff EC7'!$T$65:$X$85,2,0)*Model0.1T!AE190)/1.5,PI()*AB$12*$Q190*($B190-$B189)*0.15/10+AF189)</f>
        <v>#N/A</v>
      </c>
      <c r="AG190" s="102" t="e">
        <f>(VLOOKUP($B$3,'Coeff EC7'!$T$39:$X$59,3,0)*AD190+VLOOKUP($B$3,'Coeff EC7'!$T$65:$X$85,3,0)*Model0.1T!AE190)/1.1</f>
        <v>#N/A</v>
      </c>
      <c r="AH190" s="102" t="e">
        <f t="shared" si="268"/>
        <v>#N/A</v>
      </c>
      <c r="AI190" s="102" t="e">
        <f t="shared" si="269"/>
        <v>#N/A</v>
      </c>
      <c r="AJ190" s="414" t="e">
        <f>IF(AND(AF190&gt;NDC!$C$63,AG190&gt;NDC!$C$65,AH190&gt;NDC!$D$73,AI190&gt;NDC!$D$74,$B190&gt;NDC!$H$22-0.1+MIN(3*$AJ$12,1.5)),0,1)</f>
        <v>#N/A</v>
      </c>
      <c r="AK190" s="86" t="b">
        <f t="shared" si="239"/>
        <v>0</v>
      </c>
      <c r="AL190" s="86">
        <f t="shared" si="270"/>
        <v>0.5</v>
      </c>
      <c r="AM190" s="86">
        <f t="shared" si="240"/>
        <v>0.5</v>
      </c>
      <c r="AN190" s="30" t="e">
        <f t="shared" ca="1" si="271"/>
        <v>#DIV/0!</v>
      </c>
      <c r="AO190" s="85" t="e">
        <f ca="1">IF(U190&lt;=Hypothèses!$V$7,Hypothèses!$W$7,IF(U190&lt;=Hypothèses!$V$8,Hypothèses!$W$8,IF(U190&lt;=Hypothèses!$V$9,Hypothèses!$W$9,IF(U190&lt;=Hypothèses!$V$10,Hypothèses!$W$10,IF(U190&lt;=Hypothèses!$V$11,Hypothèses!$W$11,IF(U190&lt;=Hypothèses!$V$12,Hypothèses!$W$12,IF(U190&lt;=Hypothèses!$V$13,Hypothèses!$W$13,IF(U190&lt;=Hypothèses!$V$14,Hypothèses!$W$14,IF(U190&lt;=Hypothèses!$V$15,Hypothèses!$W$15,IF(U190&lt;=Hypothèses!$V$16,Hypothèses!$W$16,IF(U190&lt;=Hypothèses!$V$17,Hypothèses!$W$17,IF(U190&lt;=Hypothèses!$V$18,Hypothèses!$W$18,""))))))))))))</f>
        <v>#DIV/0!</v>
      </c>
      <c r="AP190" s="87" t="e">
        <f t="shared" ca="1" si="317"/>
        <v>#DIV/0!</v>
      </c>
      <c r="AQ190" s="88" t="e">
        <f ca="1">IF(U190&lt;=Hypothèses!$V$7,Hypothèses!$X$7,IF(U190&lt;=Hypothèses!$V$8,Hypothèses!$X$8,IF(U190&lt;=Hypothèses!$V$9,Hypothèses!$X$9,IF(U190&lt;=Hypothèses!$V$10,Hypothèses!$X$10,IF(U190&lt;=Hypothèses!$V$11,Hypothèses!$X$11,IF(U190&lt;=Hypothèses!$V$12,Hypothèses!$X$12,IF(U190&lt;=Hypothèses!$V$13,Hypothèses!$X$13,IF(U190&lt;=Hypothèses!$V$14,Hypothèses!$X$14,IF(U190&lt;=Hypothèses!$V$15,Hypothèses!$X$15,IF(U190&lt;=Hypothèses!$V$16,Hypothèses!$X$16,IF(U190&lt;=Hypothèses!$U$17,Hypothèses!$W$17,IF(U190&lt;=Hypothèses!$U$18,Hypothèses!$W$18,""))))))))))))</f>
        <v>#DIV/0!</v>
      </c>
      <c r="AR190" s="95" t="e">
        <f t="shared" ca="1" si="272"/>
        <v>#DIV/0!</v>
      </c>
      <c r="AS190" s="101">
        <f t="shared" si="324"/>
        <v>0</v>
      </c>
      <c r="AT190" s="91">
        <f t="shared" si="241"/>
        <v>0</v>
      </c>
      <c r="AU190" s="30" t="e">
        <f t="shared" si="302"/>
        <v>#N/A</v>
      </c>
      <c r="AV190" s="30" t="e">
        <f t="shared" si="303"/>
        <v>#N/A</v>
      </c>
      <c r="AW190" s="31" t="e">
        <f>IF(OR(Hypothèses!$B$4=17,Hypothèses!$B$4=18,Hypothèses!$B$4=19,Hypothèses!$B$4=20),
IF($D190="Pressio.",
IF(OR($E190=3,$E190=1,$E190=4),AV190,AU190),
IF($D190="Pénétro.",
IF(OR($E190=3,$E190=1,$E190=4),AV190,AU190))),IF($D190="Pressio.",
IF($E190=3,AV190,AU190),
IF($D190="Pénétro.",
IF($E190=4,AV190,AU190))))</f>
        <v>#N/A</v>
      </c>
      <c r="AX190" s="31">
        <v>0</v>
      </c>
      <c r="AY190" s="102" t="e">
        <f>IF(NDC!$H$10="Oui",(VLOOKUP($B$3,'Coeff EC7'!$T$39:$X$59,2,0)*AW190+VLOOKUP($B$3,'Coeff EC7'!$T$65:$X$85,2,0)*Model0.1T!AX190)/1.5,PI()*AU$12*$Q190*($B190-$B189)*0.15/10+AY189)</f>
        <v>#N/A</v>
      </c>
      <c r="AZ190" s="102" t="e">
        <f>(VLOOKUP($B$3,'Coeff EC7'!$T$39:$X$59,3,0)*AW190+VLOOKUP($B$3,'Coeff EC7'!$T$65:$X$85,3,0)*Model0.1T!AX190)/1.1</f>
        <v>#N/A</v>
      </c>
      <c r="BA190" s="102" t="e">
        <f t="shared" si="273"/>
        <v>#N/A</v>
      </c>
      <c r="BB190" s="102" t="e">
        <f t="shared" si="274"/>
        <v>#N/A</v>
      </c>
      <c r="BC190" s="414" t="e">
        <f>IF(AND(AY190&gt;NDC!$C$63,AZ190&gt;NDC!$C$65,BA190&gt;NDC!$D$73,BB190&gt;NDC!$D$74,$B190&gt;NDC!$H$22-0.1+MIN(3*BC$12,1.5)),0,1)</f>
        <v>#N/A</v>
      </c>
      <c r="BD190" s="86" t="b">
        <f t="shared" si="242"/>
        <v>0</v>
      </c>
      <c r="BE190" s="86">
        <f t="shared" si="275"/>
        <v>0.5</v>
      </c>
      <c r="BF190" s="86">
        <f t="shared" si="243"/>
        <v>0.5</v>
      </c>
      <c r="BG190" s="30" t="e">
        <f t="shared" ca="1" si="276"/>
        <v>#DIV/0!</v>
      </c>
      <c r="BH190" s="85" t="e">
        <f ca="1">IF(AN190&lt;=Hypothèses!$V$7,Hypothèses!$W$7,IF(AN190&lt;=Hypothèses!$V$8,Hypothèses!$W$8,IF(AN190&lt;=Hypothèses!$V$9,Hypothèses!$W$9,IF(AN190&lt;=Hypothèses!$V$10,Hypothèses!$W$10,IF(AN190&lt;=Hypothèses!$V$11,Hypothèses!$W$11,IF(AN190&lt;=Hypothèses!$V$12,Hypothèses!$W$12,IF(AN190&lt;=Hypothèses!$V$13,Hypothèses!$W$13,IF(AN190&lt;=Hypothèses!$V$14,Hypothèses!$W$14,IF(AN190&lt;=Hypothèses!$V$15,Hypothèses!$W$15,IF(AN190&lt;=Hypothèses!$V$16,Hypothèses!$W$16,IF(AN190&lt;=Hypothèses!$V$17,Hypothèses!$W$17,IF(AN190&lt;=Hypothèses!$V$18,Hypothèses!$W$18,""))))))))))))</f>
        <v>#DIV/0!</v>
      </c>
      <c r="BI190" s="87" t="e">
        <f t="shared" ca="1" si="318"/>
        <v>#DIV/0!</v>
      </c>
      <c r="BJ190" s="88" t="e">
        <f ca="1">IF(AN190&lt;=Hypothèses!$V$7,Hypothèses!$X$7,IF(AN190&lt;=Hypothèses!$V$8,Hypothèses!$X$8,IF(AN190&lt;=Hypothèses!$V$9,Hypothèses!$X$9,IF(AN190&lt;=Hypothèses!$V$10,Hypothèses!$X$10,IF(AN190&lt;=Hypothèses!$V$11,Hypothèses!$X$11,IF(AN190&lt;=Hypothèses!$V$12,Hypothèses!$X$12,IF(AN190&lt;=Hypothèses!$V$13,Hypothèses!$X$13,IF(AN190&lt;=Hypothèses!$V$14,Hypothèses!$X$14,IF(AN190&lt;=Hypothèses!$V$15,Hypothèses!$X$15,IF(AN190&lt;=Hypothèses!$V$16,Hypothèses!$X$16,IF(AN190&lt;=Hypothèses!$U$17,Hypothèses!$W$17,IF(AN190&lt;=Hypothèses!$U$18,Hypothèses!$W$18,""))))))))))))</f>
        <v>#DIV/0!</v>
      </c>
      <c r="BK190" s="95" t="e">
        <f t="shared" ca="1" si="277"/>
        <v>#DIV/0!</v>
      </c>
      <c r="BL190" s="101">
        <f t="shared" si="325"/>
        <v>0</v>
      </c>
      <c r="BM190" s="91">
        <f t="shared" si="244"/>
        <v>0</v>
      </c>
      <c r="BN190" s="30" t="e">
        <f t="shared" si="304"/>
        <v>#N/A</v>
      </c>
      <c r="BO190" s="30" t="e">
        <f t="shared" si="305"/>
        <v>#N/A</v>
      </c>
      <c r="BP190" s="31" t="e">
        <f>IF(OR(Hypothèses!$B$4=17,Hypothèses!$B$4=18,Hypothèses!$B$4=19,Hypothèses!$B$4=20),
IF($D190="Pressio.",
IF(OR($E190=3,$E190=1,$E190=4),BO190,BN190),
IF($D190="Pénétro.",
IF(OR($E190=3,$E190=1,$E190=4),BO190,BN190))),IF($D190="Pressio.",
IF($E190=3,BO190,BN190),
IF($D190="Pénétro.",
IF($E190=4,BO190,BN190))))</f>
        <v>#N/A</v>
      </c>
      <c r="BQ190" s="31">
        <v>0</v>
      </c>
      <c r="BR190" s="102" t="e">
        <f>IF(NDC!$H$10="Oui",(VLOOKUP($B$3,'Coeff EC7'!$T$39:$X$59,2,0)*BP190+VLOOKUP($B$3,'Coeff EC7'!$T$65:$X$85,2,0)*Model0.1T!BQ190)/1.5,PI()*BN$12*$Q190*($B190-$B189)*0.15/10+BR189)</f>
        <v>#N/A</v>
      </c>
      <c r="BS190" s="102" t="e">
        <f>(VLOOKUP($B$3,'Coeff EC7'!$T$39:$X$59,3,0)*BP190+VLOOKUP($B$3,'Coeff EC7'!$T$65:$X$85,3,0)*Model0.1T!BQ190)/1.1</f>
        <v>#N/A</v>
      </c>
      <c r="BT190" s="102" t="e">
        <f t="shared" si="278"/>
        <v>#N/A</v>
      </c>
      <c r="BU190" s="102" t="e">
        <f t="shared" si="279"/>
        <v>#N/A</v>
      </c>
      <c r="BV190" s="414" t="e">
        <f>IF(AND(BR190&gt;NDC!$C$63,BS190&gt;NDC!$C$65,BT190&gt;NDC!$D$73,BU190&gt;NDC!$D$74,$B190&gt;NDC!$H$22-0.1+MIN(3*BV$12,1.5)),0,1)</f>
        <v>#N/A</v>
      </c>
      <c r="BW190" s="86" t="b">
        <f t="shared" si="245"/>
        <v>0</v>
      </c>
      <c r="BX190" s="86">
        <f t="shared" si="246"/>
        <v>0.5</v>
      </c>
      <c r="BY190" s="86">
        <f t="shared" si="247"/>
        <v>0.5</v>
      </c>
      <c r="BZ190" s="30" t="e">
        <f t="shared" ca="1" si="280"/>
        <v>#DIV/0!</v>
      </c>
      <c r="CA190" s="85" t="e">
        <f ca="1">IF(BG190&lt;=Hypothèses!$V$7,Hypothèses!$W$7,IF(BG190&lt;=Hypothèses!$V$8,Hypothèses!$W$8,IF(BG190&lt;=Hypothèses!$V$9,Hypothèses!$W$9,IF(BG190&lt;=Hypothèses!$V$10,Hypothèses!$W$10,IF(BG190&lt;=Hypothèses!$V$11,Hypothèses!$W$11,IF(BG190&lt;=Hypothèses!$V$12,Hypothèses!$W$12,IF(BG190&lt;=Hypothèses!$V$13,Hypothèses!$W$13,IF(BG190&lt;=Hypothèses!$V$14,Hypothèses!$W$14,IF(BG190&lt;=Hypothèses!$V$15,Hypothèses!$W$15,IF(BG190&lt;=Hypothèses!$V$16,Hypothèses!$W$16,IF(BG190&lt;=Hypothèses!$V$17,Hypothèses!$W$17,IF(BG190&lt;=Hypothèses!$V$18,Hypothèses!$W$18,""))))))))))))</f>
        <v>#DIV/0!</v>
      </c>
      <c r="CB190" s="87" t="e">
        <f t="shared" ca="1" si="319"/>
        <v>#DIV/0!</v>
      </c>
      <c r="CC190" s="88" t="e">
        <f ca="1">IF(BG190&lt;=Hypothèses!$V$7,Hypothèses!$X$7,IF(BG190&lt;=Hypothèses!$V$8,Hypothèses!$X$8,IF(BG190&lt;=Hypothèses!$V$9,Hypothèses!$X$9,IF(BG190&lt;=Hypothèses!$V$10,Hypothèses!$X$10,IF(BG190&lt;=Hypothèses!$V$11,Hypothèses!$X$11,IF(BG190&lt;=Hypothèses!$V$12,Hypothèses!$X$12,IF(BG190&lt;=Hypothèses!$V$13,Hypothèses!$X$13,IF(BG190&lt;=Hypothèses!$V$14,Hypothèses!$X$14,IF(BG190&lt;=Hypothèses!$V$15,Hypothèses!$X$15,IF(BG190&lt;=Hypothèses!$V$16,Hypothèses!$X$16,IF(BG190&lt;=Hypothèses!$U$17,Hypothèses!$W$17,IF(BG190&lt;=Hypothèses!$U$18,Hypothèses!$W$18,""))))))))))))</f>
        <v>#DIV/0!</v>
      </c>
      <c r="CD190" s="95" t="e">
        <f t="shared" ca="1" si="281"/>
        <v>#DIV/0!</v>
      </c>
      <c r="CE190" s="101">
        <f t="shared" si="326"/>
        <v>0</v>
      </c>
      <c r="CF190" s="91">
        <f t="shared" si="248"/>
        <v>0</v>
      </c>
      <c r="CG190" s="30" t="e">
        <f t="shared" si="306"/>
        <v>#N/A</v>
      </c>
      <c r="CH190" s="30" t="e">
        <f t="shared" si="307"/>
        <v>#N/A</v>
      </c>
      <c r="CI190" s="31" t="e">
        <f>IF(OR(Hypothèses!$B$4=17,Hypothèses!$B$4=18,Hypothèses!$B$4=19,Hypothèses!$B$4=20),
IF($D190="Pressio.",
IF(OR($E190=3,$E190=1,$E190=4),CH190,CG190),
IF($D190="Pénétro.",
IF(OR($E190=3,$E190=1,$E190=4),CH190,CG190))),IF($D190="Pressio.",
IF($E190=3,CH190,CG190),
IF($D190="Pénétro.",
IF($E190=4,CH190,CG190))))</f>
        <v>#N/A</v>
      </c>
      <c r="CJ190" s="31">
        <v>0</v>
      </c>
      <c r="CK190" s="102" t="e">
        <f>IF(NDC!$H$10="Oui",(VLOOKUP($B$3,'Coeff EC7'!$T$39:$X$59,2,0)*CI190+VLOOKUP($B$3,'Coeff EC7'!$T$65:$X$85,2,0)*Model0.1T!CJ190)/1.5,PI()*CG$12*$Q190*($B190-$B189)*0.15/10+CK189)</f>
        <v>#N/A</v>
      </c>
      <c r="CL190" s="102" t="e">
        <f>(VLOOKUP($B$3,'Coeff EC7'!$T$39:$X$59,3,0)*CI190+VLOOKUP($B$3,'Coeff EC7'!$T$65:$X$85,3,0)*Model0.1T!CJ190)/1.1</f>
        <v>#N/A</v>
      </c>
      <c r="CM190" s="102" t="e">
        <f t="shared" si="282"/>
        <v>#N/A</v>
      </c>
      <c r="CN190" s="102" t="e">
        <f t="shared" si="283"/>
        <v>#N/A</v>
      </c>
      <c r="CO190" s="414" t="e">
        <f>IF(AND(CK190&gt;NDC!$C$63,CL190&gt;NDC!$C$65,CM190&gt;NDC!$D$73,CN190&gt;NDC!$D$74,$B190&gt;NDC!$H$22-0.1+MIN(3*CO$12,1.5)),0,1)</f>
        <v>#N/A</v>
      </c>
      <c r="CP190" s="86" t="b">
        <f t="shared" si="249"/>
        <v>0</v>
      </c>
      <c r="CQ190" s="86">
        <f t="shared" si="250"/>
        <v>0.5</v>
      </c>
      <c r="CR190" s="86">
        <f t="shared" si="251"/>
        <v>0.5</v>
      </c>
      <c r="CS190" s="30" t="e">
        <f t="shared" ca="1" si="284"/>
        <v>#DIV/0!</v>
      </c>
      <c r="CT190" s="85" t="e">
        <f ca="1">IF(BZ190&lt;=Hypothèses!$V$7,Hypothèses!$W$7,IF(BZ190&lt;=Hypothèses!$V$8,Hypothèses!$W$8,IF(BZ190&lt;=Hypothèses!$V$9,Hypothèses!$W$9,IF(BZ190&lt;=Hypothèses!$V$10,Hypothèses!$W$10,IF(BZ190&lt;=Hypothèses!$V$11,Hypothèses!$W$11,IF(BZ190&lt;=Hypothèses!$V$12,Hypothèses!$W$12,IF(BZ190&lt;=Hypothèses!$V$13,Hypothèses!$W$13,IF(BZ190&lt;=Hypothèses!$V$14,Hypothèses!$W$14,IF(BZ190&lt;=Hypothèses!$V$15,Hypothèses!$W$15,IF(BZ190&lt;=Hypothèses!$V$16,Hypothèses!$W$16,IF(BZ190&lt;=Hypothèses!$V$17,Hypothèses!$W$17,IF(BZ190&lt;=Hypothèses!$V$18,Hypothèses!$W$18,""))))))))))))</f>
        <v>#DIV/0!</v>
      </c>
      <c r="CU190" s="87" t="e">
        <f t="shared" ca="1" si="320"/>
        <v>#DIV/0!</v>
      </c>
      <c r="CV190" s="88" t="e">
        <f ca="1">IF(BZ190&lt;=Hypothèses!$V$7,Hypothèses!$X$7,IF(BZ190&lt;=Hypothèses!$V$8,Hypothèses!$X$8,IF(BZ190&lt;=Hypothèses!$V$9,Hypothèses!$X$9,IF(BZ190&lt;=Hypothèses!$V$10,Hypothèses!$X$10,IF(BZ190&lt;=Hypothèses!$V$11,Hypothèses!$X$11,IF(BZ190&lt;=Hypothèses!$V$12,Hypothèses!$X$12,IF(BZ190&lt;=Hypothèses!$V$13,Hypothèses!$X$13,IF(BZ190&lt;=Hypothèses!$V$14,Hypothèses!$X$14,IF(BZ190&lt;=Hypothèses!$V$15,Hypothèses!$X$15,IF(BZ190&lt;=Hypothèses!$V$16,Hypothèses!$X$16,IF(BZ190&lt;=Hypothèses!$U$17,Hypothèses!$W$17,IF(BZ190&lt;=Hypothèses!$U$18,Hypothèses!$W$18,""))))))))))))</f>
        <v>#DIV/0!</v>
      </c>
      <c r="CW190" s="95" t="e">
        <f t="shared" ca="1" si="285"/>
        <v>#DIV/0!</v>
      </c>
      <c r="CX190" s="101">
        <f t="shared" si="327"/>
        <v>0</v>
      </c>
      <c r="CY190" s="91">
        <f t="shared" si="252"/>
        <v>0</v>
      </c>
      <c r="CZ190" s="30" t="e">
        <f t="shared" si="308"/>
        <v>#N/A</v>
      </c>
      <c r="DA190" s="30" t="e">
        <f t="shared" si="309"/>
        <v>#N/A</v>
      </c>
      <c r="DB190" s="31" t="e">
        <f>IF(OR(Hypothèses!$B$4=17,Hypothèses!$B$4=18,Hypothèses!$B$4=19,Hypothèses!$B$4=20),
IF($D190="Pressio.",
IF(OR($E190=3,$E190=1,$E190=4),DA190,CZ190),
IF($D190="Pénétro.",
IF(OR($E190=3,$E190=1,$E190=4),DA190,CZ190))),IF($D190="Pressio.",
IF($E190=3,DA190,CZ190),
IF($D190="Pénétro.",
IF($E190=4,DA190,CZ190))))</f>
        <v>#N/A</v>
      </c>
      <c r="DC190" s="31">
        <v>0</v>
      </c>
      <c r="DD190" s="102" t="e">
        <f>IF(NDC!$H$10="Oui",(VLOOKUP($B$3,'Coeff EC7'!$T$39:$X$59,2,0)*DB190+VLOOKUP($B$3,'Coeff EC7'!$T$65:$X$85,2,0)*Model0.1T!DC190)/1.5,PI()*CZ$12*$Q190*($B190-$B189)*0.15/10+DD189)</f>
        <v>#N/A</v>
      </c>
      <c r="DE190" s="102" t="e">
        <f>(VLOOKUP($B$3,'Coeff EC7'!$T$39:$X$59,3,0)*DB190+VLOOKUP($B$3,'Coeff EC7'!$T$65:$X$85,3,0)*Model0.1T!DC190)/1.1</f>
        <v>#N/A</v>
      </c>
      <c r="DF190" s="102" t="e">
        <f t="shared" si="286"/>
        <v>#N/A</v>
      </c>
      <c r="DG190" s="102" t="e">
        <f t="shared" si="287"/>
        <v>#N/A</v>
      </c>
      <c r="DH190" s="414" t="e">
        <f>IF(AND(DD190&gt;NDC!$C$63,DE190&gt;NDC!$C$65,DF190&gt;NDC!$D$73,DG190&gt;NDC!$D$74,$B190&gt;NDC!$H$22-0.1+MIN(3*DH$12,1.5)),0,1)</f>
        <v>#N/A</v>
      </c>
      <c r="DI190" s="86" t="b">
        <f t="shared" si="253"/>
        <v>0</v>
      </c>
      <c r="DJ190" s="86">
        <f t="shared" si="254"/>
        <v>0.5</v>
      </c>
      <c r="DK190" s="86">
        <f t="shared" si="255"/>
        <v>0.5</v>
      </c>
      <c r="DL190" s="30" t="e">
        <f t="shared" ca="1" si="288"/>
        <v>#DIV/0!</v>
      </c>
      <c r="DM190" s="85" t="e">
        <f ca="1">IF(CS190&lt;=Hypothèses!$V$7,Hypothèses!$W$7,IF(CS190&lt;=Hypothèses!$V$8,Hypothèses!$W$8,IF(CS190&lt;=Hypothèses!$V$9,Hypothèses!$W$9,IF(CS190&lt;=Hypothèses!$V$10,Hypothèses!$W$10,IF(CS190&lt;=Hypothèses!$V$11,Hypothèses!$W$11,IF(CS190&lt;=Hypothèses!$V$12,Hypothèses!$W$12,IF(CS190&lt;=Hypothèses!$V$13,Hypothèses!$W$13,IF(CS190&lt;=Hypothèses!$V$14,Hypothèses!$W$14,IF(CS190&lt;=Hypothèses!$V$15,Hypothèses!$W$15,IF(CS190&lt;=Hypothèses!$V$16,Hypothèses!$W$16,IF(CS190&lt;=Hypothèses!$V$17,Hypothèses!$W$17,IF(CS190&lt;=Hypothèses!$V$18,Hypothèses!$W$18,""))))))))))))</f>
        <v>#DIV/0!</v>
      </c>
      <c r="DN190" s="87" t="e">
        <f t="shared" ca="1" si="321"/>
        <v>#DIV/0!</v>
      </c>
      <c r="DO190" s="88" t="e">
        <f ca="1">IF(CS190&lt;=Hypothèses!$V$7,Hypothèses!$X$7,IF(CS190&lt;=Hypothèses!$V$8,Hypothèses!$X$8,IF(CS190&lt;=Hypothèses!$V$9,Hypothèses!$X$9,IF(CS190&lt;=Hypothèses!$V$10,Hypothèses!$X$10,IF(CS190&lt;=Hypothèses!$V$11,Hypothèses!$X$11,IF(CS190&lt;=Hypothèses!$V$12,Hypothèses!$X$12,IF(CS190&lt;=Hypothèses!$V$13,Hypothèses!$X$13,IF(CS190&lt;=Hypothèses!$V$14,Hypothèses!$X$14,IF(CS190&lt;=Hypothèses!$V$15,Hypothèses!$X$15,IF(CS190&lt;=Hypothèses!$V$16,Hypothèses!$X$16,IF(CS190&lt;=Hypothèses!$U$17,Hypothèses!$W$17,IF(CS190&lt;=Hypothèses!$U$18,Hypothèses!$W$18,""))))))))))))</f>
        <v>#DIV/0!</v>
      </c>
      <c r="DP190" s="95" t="e">
        <f t="shared" ca="1" si="289"/>
        <v>#DIV/0!</v>
      </c>
      <c r="DQ190" s="101">
        <f t="shared" si="328"/>
        <v>0</v>
      </c>
      <c r="DR190" s="91">
        <f t="shared" si="256"/>
        <v>0</v>
      </c>
      <c r="DS190" s="30" t="e">
        <f t="shared" si="310"/>
        <v>#N/A</v>
      </c>
      <c r="DT190" s="30" t="e">
        <f t="shared" si="311"/>
        <v>#N/A</v>
      </c>
      <c r="DU190" s="31" t="e">
        <f>IF(OR(Hypothèses!$B$4=17,Hypothèses!$B$4=18,Hypothèses!$B$4=19,Hypothèses!$B$4=20),
IF($D190="Pressio.",
IF(OR($E190=3,$E190=1,$E190=4),DT190,DS190),
IF($D190="Pénétro.",
IF(OR($E190=3,$E190=1,$E190=4),DT190,DS190))),IF($D190="Pressio.",
IF($E190=3,DT190,DS190),
IF($D190="Pénétro.",
IF($E190=4,DT190,DS190))))</f>
        <v>#N/A</v>
      </c>
      <c r="DV190" s="31">
        <v>0</v>
      </c>
      <c r="DW190" s="102" t="e">
        <f>IF(NDC!$H$10="Oui",(VLOOKUP($B$3,'Coeff EC7'!$T$39:$X$59,2,0)*DU190+VLOOKUP($B$3,'Coeff EC7'!$T$65:$X$85,2,0)*Model0.1T!DV190)/1.5,PI()*DS$12*$Q190*($B190-$B189)*0.15/10+DW189)</f>
        <v>#N/A</v>
      </c>
      <c r="DX190" s="102" t="e">
        <f>(VLOOKUP($B$3,'Coeff EC7'!$T$39:$X$59,3,0)*DU190+VLOOKUP($B$3,'Coeff EC7'!$T$65:$X$85,3,0)*Model0.1T!DV190)/1.1</f>
        <v>#N/A</v>
      </c>
      <c r="DY190" s="102" t="e">
        <f t="shared" si="290"/>
        <v>#N/A</v>
      </c>
      <c r="DZ190" s="102" t="e">
        <f t="shared" si="291"/>
        <v>#N/A</v>
      </c>
      <c r="EA190" s="414" t="e">
        <f>IF(AND(DW190&gt;NDC!$C$63,DX190&gt;NDC!$C$65,DY190&gt;NDC!$D$73,DZ190&gt;NDC!$D$74,$B190&gt;NDC!$H$22-0.1+MIN(3*EA$12,1.5)),0,1)</f>
        <v>#N/A</v>
      </c>
      <c r="EB190" s="86" t="b">
        <f t="shared" si="257"/>
        <v>0</v>
      </c>
      <c r="EC190" s="418">
        <f t="shared" si="258"/>
        <v>0.51</v>
      </c>
      <c r="ED190" s="86">
        <f t="shared" si="259"/>
        <v>0.51</v>
      </c>
      <c r="EE190" s="30" t="e">
        <f t="shared" ca="1" si="292"/>
        <v>#DIV/0!</v>
      </c>
      <c r="EF190" s="85" t="e">
        <f ca="1">IF(DL190&lt;=Hypothèses!$V$7,Hypothèses!$W$7,IF(DL190&lt;=Hypothèses!$V$8,Hypothèses!$W$8,IF(DL190&lt;=Hypothèses!$V$9,Hypothèses!$W$9,IF(DL190&lt;=Hypothèses!$V$10,Hypothèses!$W$10,IF(DL190&lt;=Hypothèses!$V$11,Hypothèses!$W$11,IF(DL190&lt;=Hypothèses!$V$12,Hypothèses!$W$12,IF(DL190&lt;=Hypothèses!$V$13,Hypothèses!$W$13,IF(DL190&lt;=Hypothèses!$V$14,Hypothèses!$W$14,IF(DL190&lt;=Hypothèses!$V$15,Hypothèses!$W$15,IF(DL190&lt;=Hypothèses!$V$16,Hypothèses!$W$16,IF(DL190&lt;=Hypothèses!$V$17,Hypothèses!$W$17,IF(DL190&lt;=Hypothèses!$V$18,Hypothèses!$W$18,""))))))))))))</f>
        <v>#DIV/0!</v>
      </c>
      <c r="EG190" s="87" t="e">
        <f t="shared" ca="1" si="322"/>
        <v>#DIV/0!</v>
      </c>
      <c r="EH190" s="88" t="e">
        <f ca="1">IF(DL190&lt;=Hypothèses!$V$7,Hypothèses!$X$7,IF(DL190&lt;=Hypothèses!$V$8,Hypothèses!$X$8,IF(DL190&lt;=Hypothèses!$V$9,Hypothèses!$X$9,IF(DL190&lt;=Hypothèses!$V$10,Hypothèses!$X$10,IF(DL190&lt;=Hypothèses!$V$11,Hypothèses!$X$11,IF(DL190&lt;=Hypothèses!$V$12,Hypothèses!$X$12,IF(DL190&lt;=Hypothèses!$V$13,Hypothèses!$X$13,IF(DL190&lt;=Hypothèses!$V$14,Hypothèses!$X$14,IF(DL190&lt;=Hypothèses!$V$15,Hypothèses!$X$15,IF(DL190&lt;=Hypothèses!$V$16,Hypothèses!$X$16,IF(DL190&lt;=Hypothèses!$U$17,Hypothèses!$W$17,IF(DL190&lt;=Hypothèses!$U$18,Hypothèses!$W$18,""))))))))))))</f>
        <v>#DIV/0!</v>
      </c>
      <c r="EI190" s="95" t="e">
        <f t="shared" ca="1" si="293"/>
        <v>#DIV/0!</v>
      </c>
      <c r="EJ190" s="101">
        <f t="shared" si="329"/>
        <v>0</v>
      </c>
      <c r="EK190" s="91">
        <f t="shared" si="260"/>
        <v>0</v>
      </c>
      <c r="EL190" s="30" t="e">
        <f t="shared" si="312"/>
        <v>#N/A</v>
      </c>
      <c r="EM190" s="30" t="e">
        <f t="shared" si="313"/>
        <v>#N/A</v>
      </c>
      <c r="EN190" s="31" t="e">
        <f>IF(OR(Hypothèses!$B$4=17,Hypothèses!$B$4=18,Hypothèses!$B$4=19,Hypothèses!$B$4=20),
IF($D190="Pressio.",
IF(OR($E190=3,$E190=1,$E190=4),EM190,EL190),
IF($D190="Pénétro.",
IF(OR($E190=3,$E190=1,$E190=4),EM190,EL190))),IF($D190="Pressio.",
IF($E190=3,EM190,EL190),
IF($D190="Pénétro.",
IF($E190=4,EM190,EL190))))</f>
        <v>#N/A</v>
      </c>
      <c r="EO190" s="31">
        <v>0</v>
      </c>
      <c r="EP190" s="102" t="e">
        <f>IF(NDC!$H$10="Oui",(VLOOKUP($B$3,'Coeff EC7'!$T$39:$X$59,2,0)*EN190+VLOOKUP($B$3,'Coeff EC7'!$T$65:$X$85,2,0)*Model0.1T!EO190)/1.5,PI()*EL$12*$Q190*($B190-$B189)*0.15/10+EP189)</f>
        <v>#N/A</v>
      </c>
      <c r="EQ190" s="102" t="e">
        <f>(VLOOKUP($B$3,'Coeff EC7'!$T$39:$X$59,3,0)*EN190+VLOOKUP($B$3,'Coeff EC7'!$T$65:$X$85,3,0)*Model0.1T!EO190)/1.1</f>
        <v>#N/A</v>
      </c>
      <c r="ER190" s="102" t="e">
        <f t="shared" si="294"/>
        <v>#N/A</v>
      </c>
      <c r="ES190" s="102" t="e">
        <f t="shared" si="295"/>
        <v>#N/A</v>
      </c>
      <c r="ET190" s="414" t="e">
        <f>IF(AND(EP190&gt;NDC!$C$63,EQ190&gt;NDC!$C$65,ER190&gt;NDC!$D$73,ES190&gt;NDC!$D$74,$B190&gt;NDC!$H$22-0.1+MIN(3*ET$12,1.5)),0,1)</f>
        <v>#N/A</v>
      </c>
      <c r="EU190" s="86" t="b">
        <f t="shared" si="261"/>
        <v>0</v>
      </c>
      <c r="EV190" s="86">
        <f t="shared" si="262"/>
        <v>0.61</v>
      </c>
      <c r="EW190" s="86">
        <f t="shared" si="263"/>
        <v>0.61</v>
      </c>
      <c r="EX190" s="30" t="e">
        <f t="shared" ca="1" si="296"/>
        <v>#DIV/0!</v>
      </c>
      <c r="EY190" s="85" t="e">
        <f ca="1">IF(EE190&lt;=Hypothèses!$V$7,Hypothèses!$W$7,IF(EE190&lt;=Hypothèses!$V$8,Hypothèses!$W$8,IF(EE190&lt;=Hypothèses!$V$9,Hypothèses!$W$9,IF(EE190&lt;=Hypothèses!$V$10,Hypothèses!$W$10,IF(EE190&lt;=Hypothèses!$V$11,Hypothèses!$W$11,IF(EE190&lt;=Hypothèses!$V$12,Hypothèses!$W$12,IF(EE190&lt;=Hypothèses!$V$13,Hypothèses!$W$13,IF(EE190&lt;=Hypothèses!$V$14,Hypothèses!$W$14,IF(EE190&lt;=Hypothèses!$V$15,Hypothèses!$W$15,IF(EE190&lt;=Hypothèses!$V$16,Hypothèses!$W$16,IF(EE190&lt;=Hypothèses!$V$17,Hypothèses!$W$17,IF(EE190&lt;=Hypothèses!$V$18,Hypothèses!$W$18,""))))))))))))</f>
        <v>#DIV/0!</v>
      </c>
      <c r="EZ190" s="87" t="e">
        <f t="shared" ca="1" si="323"/>
        <v>#DIV/0!</v>
      </c>
      <c r="FA190" s="88" t="e">
        <f ca="1">IF(EE190&lt;=Hypothèses!$V$7,Hypothèses!$X$7,IF(EE190&lt;=Hypothèses!$V$8,Hypothèses!$X$8,IF(EE190&lt;=Hypothèses!$V$9,Hypothèses!$X$9,IF(EE190&lt;=Hypothèses!$V$10,Hypothèses!$X$10,IF(EE190&lt;=Hypothèses!$V$11,Hypothèses!$X$11,IF(EE190&lt;=Hypothèses!$V$12,Hypothèses!$X$12,IF(EE190&lt;=Hypothèses!$V$13,Hypothèses!$X$13,IF(EE190&lt;=Hypothèses!$V$14,Hypothèses!$X$14,IF(EE190&lt;=Hypothèses!$V$15,Hypothèses!$X$15,IF(EE190&lt;=Hypothèses!$V$16,Hypothèses!$X$16,IF(EE190&lt;=Hypothèses!$U$17,Hypothèses!$W$17,IF(EE190&lt;=Hypothèses!$U$18,Hypothèses!$W$18,""))))))))))))</f>
        <v>#DIV/0!</v>
      </c>
      <c r="FB190" s="95" t="e">
        <f t="shared" ca="1" si="297"/>
        <v>#DIV/0!</v>
      </c>
      <c r="FC190" s="101">
        <f t="shared" si="330"/>
        <v>0</v>
      </c>
      <c r="FD190" s="91">
        <f t="shared" si="264"/>
        <v>0</v>
      </c>
      <c r="FE190" s="30" t="e">
        <f t="shared" si="314"/>
        <v>#N/A</v>
      </c>
      <c r="FF190" s="30" t="e">
        <f t="shared" si="315"/>
        <v>#N/A</v>
      </c>
      <c r="FG190" s="31" t="e">
        <f>IF(OR(Hypothèses!$B$4=17,Hypothèses!$B$4=18,Hypothèses!$B$4=19,Hypothèses!$B$4=20),
IF($D190="Pressio.",
IF(OR($E190=3,$E190=1,$E190=4),FF190,FE190),
IF($D190="Pénétro.",
IF(OR($E190=3,$E190=1,$E190=4),FF190,FE190))),IF($D190="Pressio.",
IF($E190=3,FF190,FE190),
IF($D190="Pénétro.",
IF($E190=4,FF190,FE190))))</f>
        <v>#N/A</v>
      </c>
      <c r="FH190" s="31">
        <v>0</v>
      </c>
      <c r="FI190" s="102" t="e">
        <f>IF(NDC!$H$10="Oui",(VLOOKUP($B$3,'Coeff EC7'!$T$39:$X$59,2,0)*FG190+VLOOKUP($B$3,'Coeff EC7'!$T$65:$X$85,2,0)*Model0.1T!FH190)/1.5,PI()*FE$12*$Q190*($B190-$B189)*0.15/10+FI189)</f>
        <v>#N/A</v>
      </c>
      <c r="FJ190" s="102" t="e">
        <f>(VLOOKUP($B$3,'Coeff EC7'!$T$39:$X$59,3,0)*FG190+VLOOKUP($B$3,'Coeff EC7'!$T$65:$X$85,3,0)*Model0.1T!FH190)/1.1</f>
        <v>#N/A</v>
      </c>
      <c r="FK190" s="102" t="e">
        <f t="shared" si="298"/>
        <v>#N/A</v>
      </c>
      <c r="FL190" s="102" t="e">
        <f t="shared" si="299"/>
        <v>#N/A</v>
      </c>
      <c r="FM190" s="414" t="e">
        <f>IF(AND(FI190&gt;NDC!$C$63,FJ190&gt;NDC!$C$65,FK190&gt;NDC!$D$73,FL190&gt;NDC!$D$74,$B190&gt;NDC!$H$22-0.1+MIN(3*FM$12,1.5)),0,1)</f>
        <v>#N/A</v>
      </c>
    </row>
    <row r="191" spans="1:169">
      <c r="A191" s="96">
        <f t="shared" si="265"/>
        <v>82.200000000001012</v>
      </c>
      <c r="B191" s="97">
        <v>17.8</v>
      </c>
      <c r="C191" s="81">
        <f>IF(B191&lt;=Hypothèses!$C$7,Hypothèses!$A$7,IF(B191&lt;=Hypothèses!$C$8,Hypothèses!$A$8,IF(B191&lt;=Hypothèses!$C$9,Hypothèses!$A$9,IF(B191&lt;=Hypothèses!$C$10,Hypothèses!$A$10,IF(B191&lt;=Hypothèses!$C$11,Hypothèses!$A$11,IF(B191&lt;=Hypothèses!$C$12,Hypothèses!$A$12,IF(B191&lt;=Hypothèses!$C$13,Hypothèses!$A$13,IF(B191&lt;=Hypothèses!$C$14,Hypothèses!$A$14,IF(B191&lt;=Hypothèses!$C$15,Hypothèses!$A$15,IF(B191&lt;=Hypothèses!$C$16,Hypothèses!$A$16,IF(B191&lt;=Hypothèses!$C$17,Hypothèses!$A$17,IF(B191&lt;=Hypothèses!$C$18,Hypothèses!$A$18,C190))))))))))))</f>
        <v>11</v>
      </c>
      <c r="D191" s="82" t="str">
        <f>IF(B191&lt;=Hypothèses!$C$7,Hypothèses!$R$7,IF(B191&lt;=Hypothèses!$C$8,Hypothèses!$R$8,IF(B191&lt;=Hypothèses!$C$9,Hypothèses!$R$9,IF(B191&lt;=Hypothèses!$C$10,Hypothèses!$R$10,IF(B191&lt;=Hypothèses!$C$11,Hypothèses!$R$11,IF(B191&lt;=Hypothèses!$C$12,Hypothèses!$R$12,IF(B191&lt;=Hypothèses!$C$13,Hypothèses!$R$13,IF(B191&lt;=Hypothèses!$C$14,Hypothèses!$R$14,IF(B191&lt;=Hypothèses!$C$15,Hypothèses!$R$15,IF(B191&lt;=Hypothèses!$C$16,Hypothèses!$R$16,IF(B191&lt;=Hypothèses!$C$17,Hypothèses!$R$17,IF(B191&lt;=Hypothèses!$C$18,Hypothèses!$R$18,D190))))))))))))</f>
        <v>Pressio.</v>
      </c>
      <c r="E191" s="82" t="e">
        <f>IF(B191&lt;=Hypothèses!$C$7,Hypothèses!$G$7,IF(B191&lt;=Hypothèses!$C$8,Hypothèses!$G$8,IF(B191&lt;=Hypothèses!$C$9,Hypothèses!$G$9,IF(B191&lt;=Hypothèses!$C$10,Hypothèses!$G$10,IF(B191&lt;=Hypothèses!$C$11,Hypothèses!$G$11,IF(B191&lt;=Hypothèses!$C$12,Hypothèses!$G$12,IF(B191&lt;=Hypothèses!$C$13,Hypothèses!$G$13,IF(B191&lt;=Hypothèses!$C$14,Hypothèses!$G$14,IF(B191&lt;=Hypothèses!$C$15,Hypothèses!$G$15,IF(B191&lt;=Hypothèses!$C$16,Hypothèses!$G$16,IF(B191&lt;=Hypothèses!$C$17,Hypothèses!$G$17,IF(B191&lt;=Hypothèses!$C$18,Hypothèses!$G$18,E190))))))))))))</f>
        <v>#N/A</v>
      </c>
      <c r="F191" s="82" t="str">
        <f>IF(B191&lt;=Hypothèses!$C$7,Hypothèses!$F$7,IF(B191&lt;=Hypothèses!$C$8,Hypothèses!$F$8,IF(B191&lt;=Hypothèses!$C$9,Hypothèses!$F$9,IF(B191&lt;=Hypothèses!$C$10,Hypothèses!$F$10,IF(B191&lt;=Hypothèses!$C$11,Hypothèses!$F$11,IF(B191&lt;=Hypothèses!$C$12,Hypothèses!$F$12,IF(B191&lt;=Hypothèses!$C$13,Hypothèses!$F$13,IF(B191&lt;=Hypothèses!$C$14,Hypothèses!$F$14,IF(B191&lt;=Hypothèses!$C$15,Hypothèses!$F$15,IF(B191&lt;=Hypothèses!$C$16,Hypothèses!$F$16,IF(B191&lt;=Hypothèses!$C$17,Hypothèses!$F$17,IF(B191&lt;=Hypothèses!$C$18,Hypothèses!$F$18,F190))))))))))))</f>
        <v/>
      </c>
      <c r="G191" s="91">
        <f t="array" ref="G191">INDEX('Coeff EC7'!$U$7:$X$27,
MATCH(Model0.1T!$B$3,'Coeff EC7'!$T$7:$T$27,0),
MATCH(Model0.1T!$D191&amp;Model0.1T!$B$4,
'Coeff EC7'!$U$6:$X$6&amp;
'Coeff EC7'!$U$5:$X$5,0))</f>
        <v>1.4</v>
      </c>
      <c r="H191" s="91">
        <f t="array" ref="H191">INDEX('Coeff EC7'!$Y$7:$AB$27,
MATCH(Model0.1T!$B$3,'Coeff EC7'!$T$7:$T$27,0),
MATCH(Model0.1T!$D191&amp;Model0.1T!$B$4,
'Coeff EC7'!$Y$6:$AB$6&amp;
'Coeff EC7'!$Y$5:$AB$5,0))</f>
        <v>1.7</v>
      </c>
      <c r="I191" s="83">
        <v>0</v>
      </c>
      <c r="J191" s="91" t="e">
        <f t="array" ref="J191">INDEX('Coeff EC7'!$D$33:$Q$33,1,MATCH(D191&amp;E191,'Coeff EC7'!$D$31:$Q$31&amp;'Coeff EC7'!$D$32:$Q$32,0))</f>
        <v>#N/A</v>
      </c>
      <c r="K191" s="91" t="e">
        <f t="array" ref="K191">INDEX('Coeff EC7'!$D$34:$Q$34,1,MATCH(D191&amp;E191,'Coeff EC7'!$D$31:$Q$31&amp;'Coeff EC7'!$D$32:$Q$32,0))</f>
        <v>#N/A</v>
      </c>
      <c r="L191" s="91" t="e">
        <f t="array" ref="L191">INDEX('Coeff EC7'!$D$35:$Q$35,1,MATCH(D191&amp;E191,'Coeff EC7'!$D$31:$Q$31&amp;'Coeff EC7'!$D$32:$Q$32,0))</f>
        <v>#N/A</v>
      </c>
      <c r="M191" s="98" t="e">
        <f t="shared" si="231"/>
        <v>#N/A</v>
      </c>
      <c r="N191" s="99" t="e">
        <f t="array" ref="N191">INDEX('Coeff EC7'!$D$7:$Q$27,MATCH($B$3,'Coeff EC7'!$C$7:$C$27,0),MATCH(D191&amp;E191,'Coeff EC7'!$D$5:$Q$5&amp;'Coeff EC7'!$D$6:$Q$6,0))</f>
        <v>#N/A</v>
      </c>
      <c r="O191" s="99" t="e">
        <f t="array" ref="O191">INDEX('Coeff EC7'!$D$41:$Q$61,MATCH($B$3,'Coeff EC7'!$C$41:$C$61,0),MATCH(D191&amp;E191,'Coeff EC7'!$D$39:$Q$39&amp;'Coeff EC7'!$D$40:$Q$40,0))</f>
        <v>#N/A</v>
      </c>
      <c r="P191" s="30" t="e">
        <f t="shared" si="266"/>
        <v>#N/A</v>
      </c>
      <c r="Q191" s="100" t="e">
        <f t="shared" si="233"/>
        <v>#N/A</v>
      </c>
      <c r="R191" s="86" t="b">
        <f t="shared" si="234"/>
        <v>0</v>
      </c>
      <c r="S191" s="86">
        <f t="shared" si="232"/>
        <v>0.5</v>
      </c>
      <c r="T191" s="86">
        <f t="shared" si="235"/>
        <v>0.5</v>
      </c>
      <c r="U191" s="30" t="e">
        <f t="shared" ca="1" si="267"/>
        <v>#DIV/0!</v>
      </c>
      <c r="V191" s="85" t="str">
        <f>IF(B191&lt;=Hypothèses!$V$7,Hypothèses!$W$7,IF(B191&lt;=Hypothèses!$V$8,Hypothèses!$W$8,IF(B191&lt;=Hypothèses!$V$9,Hypothèses!$W$9,IF(B191&lt;=Hypothèses!$V$10,Hypothèses!$W$10,IF(B191&lt;=Hypothèses!$V$11,Hypothèses!$W$11,IF(B191&lt;=Hypothèses!$V$12,Hypothèses!$W$12,IF(B191&lt;=Hypothèses!$V$13,Hypothèses!$W$13,IF(B191&lt;=Hypothèses!$V$14,Hypothèses!$W$14,IF(B191&lt;=Hypothèses!$V$15,Hypothèses!$W$15,IF(B191&lt;=Hypothèses!$V$16,Hypothèses!$W$16,IF(B191&lt;=Hypothèses!$V$17,Hypothèses!$W$17,IF(B191&lt;=Hypothèses!$V$18,Hypothèses!$W$18,""))))))))))))</f>
        <v/>
      </c>
      <c r="W191" s="87" t="e">
        <f t="shared" ca="1" si="316"/>
        <v>#DIV/0!</v>
      </c>
      <c r="X191" s="88" t="str">
        <f>IF(B191&lt;=Hypothèses!$V$7,Hypothèses!$X$7,IF(B191&lt;=Hypothèses!$V$8,Hypothèses!$X$8,IF(B191&lt;=Hypothèses!$V$9,Hypothèses!$X$9,IF(B191&lt;=Hypothèses!$V$10,Hypothèses!$X$10,IF(B191&lt;=Hypothèses!$V$11,Hypothèses!$X$11,IF(B191&lt;=Hypothèses!$V$12,Hypothèses!$X$12,IF(B191&lt;=Hypothèses!$V$13,Hypothèses!$X$13,IF(B191&lt;=Hypothèses!$V$14,Hypothèses!$X$14,IF(B191&lt;=Hypothèses!$V$15,Hypothèses!$X$15,IF(B191&lt;=Hypothèses!$V$16,Hypothèses!$X$16,IF(B191&lt;=Hypothèses!$U$17,Hypothèses!$W$17,IF(B191&lt;=Hypothèses!$U$18,Hypothèses!$W$18,""))))))))))))</f>
        <v/>
      </c>
      <c r="Y191" s="95" t="e">
        <f t="shared" ca="1" si="236"/>
        <v>#DIV/0!</v>
      </c>
      <c r="Z191" s="101">
        <f t="shared" si="237"/>
        <v>0</v>
      </c>
      <c r="AA191" s="91">
        <f t="shared" si="238"/>
        <v>0</v>
      </c>
      <c r="AB191" s="30" t="e">
        <f t="shared" si="300"/>
        <v>#N/A</v>
      </c>
      <c r="AC191" s="30" t="e">
        <f t="shared" si="301"/>
        <v>#N/A</v>
      </c>
      <c r="AD191" s="31" t="e">
        <f>IF(OR(Hypothèses!$B$4=17,Hypothèses!$B$4=18,Hypothèses!$B$4=19,Hypothèses!$B$4=20),
IF($D191="Pressio.",
IF(OR($E191=3,$E191=1,$E191=4),AC191,AB191),
IF($D191="Pénétro.",
IF(OR($E191=3,$E191=1,$E191=4),AC191,AB191))),IF($D191="Pressio.",
IF($E191=3,AC191,AB191),
IF($D191="Pénétro.",
IF($E191=4,AC191,AB191))))</f>
        <v>#N/A</v>
      </c>
      <c r="AE191" s="31">
        <v>0</v>
      </c>
      <c r="AF191" s="102" t="e">
        <f>IF(NDC!$H$10="Oui",(VLOOKUP($B$3,'Coeff EC7'!$T$39:$X$59,2,0)*AD191+VLOOKUP($B$3,'Coeff EC7'!$T$65:$X$85,2,0)*Model0.1T!AE191)/1.5,PI()*AB$12*$Q191*($B191-$B190)*0.15/10+AF190)</f>
        <v>#N/A</v>
      </c>
      <c r="AG191" s="102" t="e">
        <f>(VLOOKUP($B$3,'Coeff EC7'!$T$39:$X$59,3,0)*AD191+VLOOKUP($B$3,'Coeff EC7'!$T$65:$X$85,3,0)*Model0.1T!AE191)/1.1</f>
        <v>#N/A</v>
      </c>
      <c r="AH191" s="102" t="e">
        <f t="shared" si="268"/>
        <v>#N/A</v>
      </c>
      <c r="AI191" s="102" t="e">
        <f t="shared" si="269"/>
        <v>#N/A</v>
      </c>
      <c r="AJ191" s="414" t="e">
        <f>IF(AND(AF191&gt;NDC!$C$63,AG191&gt;NDC!$C$65,AH191&gt;NDC!$D$73,AI191&gt;NDC!$D$74,$B191&gt;NDC!$H$22-0.1+MIN(3*$AJ$12,1.5)),0,1)</f>
        <v>#N/A</v>
      </c>
      <c r="AK191" s="86" t="b">
        <f t="shared" si="239"/>
        <v>0</v>
      </c>
      <c r="AL191" s="86">
        <f t="shared" si="270"/>
        <v>0.5</v>
      </c>
      <c r="AM191" s="86">
        <f t="shared" si="240"/>
        <v>0.5</v>
      </c>
      <c r="AN191" s="30" t="e">
        <f t="shared" ca="1" si="271"/>
        <v>#DIV/0!</v>
      </c>
      <c r="AO191" s="85" t="e">
        <f ca="1">IF(U191&lt;=Hypothèses!$V$7,Hypothèses!$W$7,IF(U191&lt;=Hypothèses!$V$8,Hypothèses!$W$8,IF(U191&lt;=Hypothèses!$V$9,Hypothèses!$W$9,IF(U191&lt;=Hypothèses!$V$10,Hypothèses!$W$10,IF(U191&lt;=Hypothèses!$V$11,Hypothèses!$W$11,IF(U191&lt;=Hypothèses!$V$12,Hypothèses!$W$12,IF(U191&lt;=Hypothèses!$V$13,Hypothèses!$W$13,IF(U191&lt;=Hypothèses!$V$14,Hypothèses!$W$14,IF(U191&lt;=Hypothèses!$V$15,Hypothèses!$W$15,IF(U191&lt;=Hypothèses!$V$16,Hypothèses!$W$16,IF(U191&lt;=Hypothèses!$V$17,Hypothèses!$W$17,IF(U191&lt;=Hypothèses!$V$18,Hypothèses!$W$18,""))))))))))))</f>
        <v>#DIV/0!</v>
      </c>
      <c r="AP191" s="87" t="e">
        <f t="shared" ca="1" si="317"/>
        <v>#DIV/0!</v>
      </c>
      <c r="AQ191" s="88" t="e">
        <f ca="1">IF(U191&lt;=Hypothèses!$V$7,Hypothèses!$X$7,IF(U191&lt;=Hypothèses!$V$8,Hypothèses!$X$8,IF(U191&lt;=Hypothèses!$V$9,Hypothèses!$X$9,IF(U191&lt;=Hypothèses!$V$10,Hypothèses!$X$10,IF(U191&lt;=Hypothèses!$V$11,Hypothèses!$X$11,IF(U191&lt;=Hypothèses!$V$12,Hypothèses!$X$12,IF(U191&lt;=Hypothèses!$V$13,Hypothèses!$X$13,IF(U191&lt;=Hypothèses!$V$14,Hypothèses!$X$14,IF(U191&lt;=Hypothèses!$V$15,Hypothèses!$X$15,IF(U191&lt;=Hypothèses!$V$16,Hypothèses!$X$16,IF(U191&lt;=Hypothèses!$U$17,Hypothèses!$W$17,IF(U191&lt;=Hypothèses!$U$18,Hypothèses!$W$18,""))))))))))))</f>
        <v>#DIV/0!</v>
      </c>
      <c r="AR191" s="95" t="e">
        <f t="shared" ca="1" si="272"/>
        <v>#DIV/0!</v>
      </c>
      <c r="AS191" s="101">
        <f t="shared" si="324"/>
        <v>0</v>
      </c>
      <c r="AT191" s="91">
        <f t="shared" si="241"/>
        <v>0</v>
      </c>
      <c r="AU191" s="30" t="e">
        <f t="shared" si="302"/>
        <v>#N/A</v>
      </c>
      <c r="AV191" s="30" t="e">
        <f t="shared" si="303"/>
        <v>#N/A</v>
      </c>
      <c r="AW191" s="31" t="e">
        <f>IF(OR(Hypothèses!$B$4=17,Hypothèses!$B$4=18,Hypothèses!$B$4=19,Hypothèses!$B$4=20),
IF($D191="Pressio.",
IF(OR($E191=3,$E191=1,$E191=4),AV191,AU191),
IF($D191="Pénétro.",
IF(OR($E191=3,$E191=1,$E191=4),AV191,AU191))),IF($D191="Pressio.",
IF($E191=3,AV191,AU191),
IF($D191="Pénétro.",
IF($E191=4,AV191,AU191))))</f>
        <v>#N/A</v>
      </c>
      <c r="AX191" s="31">
        <v>0</v>
      </c>
      <c r="AY191" s="102" t="e">
        <f>IF(NDC!$H$10="Oui",(VLOOKUP($B$3,'Coeff EC7'!$T$39:$X$59,2,0)*AW191+VLOOKUP($B$3,'Coeff EC7'!$T$65:$X$85,2,0)*Model0.1T!AX191)/1.5,PI()*AU$12*$Q191*($B191-$B190)*0.15/10+AY190)</f>
        <v>#N/A</v>
      </c>
      <c r="AZ191" s="102" t="e">
        <f>(VLOOKUP($B$3,'Coeff EC7'!$T$39:$X$59,3,0)*AW191+VLOOKUP($B$3,'Coeff EC7'!$T$65:$X$85,3,0)*Model0.1T!AX191)/1.1</f>
        <v>#N/A</v>
      </c>
      <c r="BA191" s="102" t="e">
        <f t="shared" si="273"/>
        <v>#N/A</v>
      </c>
      <c r="BB191" s="102" t="e">
        <f t="shared" si="274"/>
        <v>#N/A</v>
      </c>
      <c r="BC191" s="414" t="e">
        <f>IF(AND(AY191&gt;NDC!$C$63,AZ191&gt;NDC!$C$65,BA191&gt;NDC!$D$73,BB191&gt;NDC!$D$74,$B191&gt;NDC!$H$22-0.1+MIN(3*BC$12,1.5)),0,1)</f>
        <v>#N/A</v>
      </c>
      <c r="BD191" s="86" t="b">
        <f t="shared" si="242"/>
        <v>0</v>
      </c>
      <c r="BE191" s="86">
        <f t="shared" si="275"/>
        <v>0.5</v>
      </c>
      <c r="BF191" s="86">
        <f t="shared" si="243"/>
        <v>0.5</v>
      </c>
      <c r="BG191" s="30" t="e">
        <f t="shared" ca="1" si="276"/>
        <v>#DIV/0!</v>
      </c>
      <c r="BH191" s="85" t="e">
        <f ca="1">IF(AN191&lt;=Hypothèses!$V$7,Hypothèses!$W$7,IF(AN191&lt;=Hypothèses!$V$8,Hypothèses!$W$8,IF(AN191&lt;=Hypothèses!$V$9,Hypothèses!$W$9,IF(AN191&lt;=Hypothèses!$V$10,Hypothèses!$W$10,IF(AN191&lt;=Hypothèses!$V$11,Hypothèses!$W$11,IF(AN191&lt;=Hypothèses!$V$12,Hypothèses!$W$12,IF(AN191&lt;=Hypothèses!$V$13,Hypothèses!$W$13,IF(AN191&lt;=Hypothèses!$V$14,Hypothèses!$W$14,IF(AN191&lt;=Hypothèses!$V$15,Hypothèses!$W$15,IF(AN191&lt;=Hypothèses!$V$16,Hypothèses!$W$16,IF(AN191&lt;=Hypothèses!$V$17,Hypothèses!$W$17,IF(AN191&lt;=Hypothèses!$V$18,Hypothèses!$W$18,""))))))))))))</f>
        <v>#DIV/0!</v>
      </c>
      <c r="BI191" s="87" t="e">
        <f t="shared" ca="1" si="318"/>
        <v>#DIV/0!</v>
      </c>
      <c r="BJ191" s="88" t="e">
        <f ca="1">IF(AN191&lt;=Hypothèses!$V$7,Hypothèses!$X$7,IF(AN191&lt;=Hypothèses!$V$8,Hypothèses!$X$8,IF(AN191&lt;=Hypothèses!$V$9,Hypothèses!$X$9,IF(AN191&lt;=Hypothèses!$V$10,Hypothèses!$X$10,IF(AN191&lt;=Hypothèses!$V$11,Hypothèses!$X$11,IF(AN191&lt;=Hypothèses!$V$12,Hypothèses!$X$12,IF(AN191&lt;=Hypothèses!$V$13,Hypothèses!$X$13,IF(AN191&lt;=Hypothèses!$V$14,Hypothèses!$X$14,IF(AN191&lt;=Hypothèses!$V$15,Hypothèses!$X$15,IF(AN191&lt;=Hypothèses!$V$16,Hypothèses!$X$16,IF(AN191&lt;=Hypothèses!$U$17,Hypothèses!$W$17,IF(AN191&lt;=Hypothèses!$U$18,Hypothèses!$W$18,""))))))))))))</f>
        <v>#DIV/0!</v>
      </c>
      <c r="BK191" s="95" t="e">
        <f t="shared" ca="1" si="277"/>
        <v>#DIV/0!</v>
      </c>
      <c r="BL191" s="101">
        <f t="shared" si="325"/>
        <v>0</v>
      </c>
      <c r="BM191" s="91">
        <f t="shared" si="244"/>
        <v>0</v>
      </c>
      <c r="BN191" s="30" t="e">
        <f t="shared" si="304"/>
        <v>#N/A</v>
      </c>
      <c r="BO191" s="30" t="e">
        <f t="shared" si="305"/>
        <v>#N/A</v>
      </c>
      <c r="BP191" s="31" t="e">
        <f>IF(OR(Hypothèses!$B$4=17,Hypothèses!$B$4=18,Hypothèses!$B$4=19,Hypothèses!$B$4=20),
IF($D191="Pressio.",
IF(OR($E191=3,$E191=1,$E191=4),BO191,BN191),
IF($D191="Pénétro.",
IF(OR($E191=3,$E191=1,$E191=4),BO191,BN191))),IF($D191="Pressio.",
IF($E191=3,BO191,BN191),
IF($D191="Pénétro.",
IF($E191=4,BO191,BN191))))</f>
        <v>#N/A</v>
      </c>
      <c r="BQ191" s="31">
        <v>0</v>
      </c>
      <c r="BR191" s="102" t="e">
        <f>IF(NDC!$H$10="Oui",(VLOOKUP($B$3,'Coeff EC7'!$T$39:$X$59,2,0)*BP191+VLOOKUP($B$3,'Coeff EC7'!$T$65:$X$85,2,0)*Model0.1T!BQ191)/1.5,PI()*BN$12*$Q191*($B191-$B190)*0.15/10+BR190)</f>
        <v>#N/A</v>
      </c>
      <c r="BS191" s="102" t="e">
        <f>(VLOOKUP($B$3,'Coeff EC7'!$T$39:$X$59,3,0)*BP191+VLOOKUP($B$3,'Coeff EC7'!$T$65:$X$85,3,0)*Model0.1T!BQ191)/1.1</f>
        <v>#N/A</v>
      </c>
      <c r="BT191" s="102" t="e">
        <f t="shared" si="278"/>
        <v>#N/A</v>
      </c>
      <c r="BU191" s="102" t="e">
        <f t="shared" si="279"/>
        <v>#N/A</v>
      </c>
      <c r="BV191" s="414" t="e">
        <f>IF(AND(BR191&gt;NDC!$C$63,BS191&gt;NDC!$C$65,BT191&gt;NDC!$D$73,BU191&gt;NDC!$D$74,$B191&gt;NDC!$H$22-0.1+MIN(3*BV$12,1.5)),0,1)</f>
        <v>#N/A</v>
      </c>
      <c r="BW191" s="86" t="b">
        <f t="shared" si="245"/>
        <v>0</v>
      </c>
      <c r="BX191" s="86">
        <f t="shared" si="246"/>
        <v>0.5</v>
      </c>
      <c r="BY191" s="86">
        <f t="shared" si="247"/>
        <v>0.5</v>
      </c>
      <c r="BZ191" s="30" t="e">
        <f t="shared" ca="1" si="280"/>
        <v>#DIV/0!</v>
      </c>
      <c r="CA191" s="85" t="e">
        <f ca="1">IF(BG191&lt;=Hypothèses!$V$7,Hypothèses!$W$7,IF(BG191&lt;=Hypothèses!$V$8,Hypothèses!$W$8,IF(BG191&lt;=Hypothèses!$V$9,Hypothèses!$W$9,IF(BG191&lt;=Hypothèses!$V$10,Hypothèses!$W$10,IF(BG191&lt;=Hypothèses!$V$11,Hypothèses!$W$11,IF(BG191&lt;=Hypothèses!$V$12,Hypothèses!$W$12,IF(BG191&lt;=Hypothèses!$V$13,Hypothèses!$W$13,IF(BG191&lt;=Hypothèses!$V$14,Hypothèses!$W$14,IF(BG191&lt;=Hypothèses!$V$15,Hypothèses!$W$15,IF(BG191&lt;=Hypothèses!$V$16,Hypothèses!$W$16,IF(BG191&lt;=Hypothèses!$V$17,Hypothèses!$W$17,IF(BG191&lt;=Hypothèses!$V$18,Hypothèses!$W$18,""))))))))))))</f>
        <v>#DIV/0!</v>
      </c>
      <c r="CB191" s="87" t="e">
        <f t="shared" ca="1" si="319"/>
        <v>#DIV/0!</v>
      </c>
      <c r="CC191" s="88" t="e">
        <f ca="1">IF(BG191&lt;=Hypothèses!$V$7,Hypothèses!$X$7,IF(BG191&lt;=Hypothèses!$V$8,Hypothèses!$X$8,IF(BG191&lt;=Hypothèses!$V$9,Hypothèses!$X$9,IF(BG191&lt;=Hypothèses!$V$10,Hypothèses!$X$10,IF(BG191&lt;=Hypothèses!$V$11,Hypothèses!$X$11,IF(BG191&lt;=Hypothèses!$V$12,Hypothèses!$X$12,IF(BG191&lt;=Hypothèses!$V$13,Hypothèses!$X$13,IF(BG191&lt;=Hypothèses!$V$14,Hypothèses!$X$14,IF(BG191&lt;=Hypothèses!$V$15,Hypothèses!$X$15,IF(BG191&lt;=Hypothèses!$V$16,Hypothèses!$X$16,IF(BG191&lt;=Hypothèses!$U$17,Hypothèses!$W$17,IF(BG191&lt;=Hypothèses!$U$18,Hypothèses!$W$18,""))))))))))))</f>
        <v>#DIV/0!</v>
      </c>
      <c r="CD191" s="95" t="e">
        <f t="shared" ca="1" si="281"/>
        <v>#DIV/0!</v>
      </c>
      <c r="CE191" s="101">
        <f t="shared" si="326"/>
        <v>0</v>
      </c>
      <c r="CF191" s="91">
        <f t="shared" si="248"/>
        <v>0</v>
      </c>
      <c r="CG191" s="30" t="e">
        <f t="shared" si="306"/>
        <v>#N/A</v>
      </c>
      <c r="CH191" s="30" t="e">
        <f t="shared" si="307"/>
        <v>#N/A</v>
      </c>
      <c r="CI191" s="31" t="e">
        <f>IF(OR(Hypothèses!$B$4=17,Hypothèses!$B$4=18,Hypothèses!$B$4=19,Hypothèses!$B$4=20),
IF($D191="Pressio.",
IF(OR($E191=3,$E191=1,$E191=4),CH191,CG191),
IF($D191="Pénétro.",
IF(OR($E191=3,$E191=1,$E191=4),CH191,CG191))),IF($D191="Pressio.",
IF($E191=3,CH191,CG191),
IF($D191="Pénétro.",
IF($E191=4,CH191,CG191))))</f>
        <v>#N/A</v>
      </c>
      <c r="CJ191" s="31">
        <v>0</v>
      </c>
      <c r="CK191" s="102" t="e">
        <f>IF(NDC!$H$10="Oui",(VLOOKUP($B$3,'Coeff EC7'!$T$39:$X$59,2,0)*CI191+VLOOKUP($B$3,'Coeff EC7'!$T$65:$X$85,2,0)*Model0.1T!CJ191)/1.5,PI()*CG$12*$Q191*($B191-$B190)*0.15/10+CK190)</f>
        <v>#N/A</v>
      </c>
      <c r="CL191" s="102" t="e">
        <f>(VLOOKUP($B$3,'Coeff EC7'!$T$39:$X$59,3,0)*CI191+VLOOKUP($B$3,'Coeff EC7'!$T$65:$X$85,3,0)*Model0.1T!CJ191)/1.1</f>
        <v>#N/A</v>
      </c>
      <c r="CM191" s="102" t="e">
        <f t="shared" si="282"/>
        <v>#N/A</v>
      </c>
      <c r="CN191" s="102" t="e">
        <f t="shared" si="283"/>
        <v>#N/A</v>
      </c>
      <c r="CO191" s="414" t="e">
        <f>IF(AND(CK191&gt;NDC!$C$63,CL191&gt;NDC!$C$65,CM191&gt;NDC!$D$73,CN191&gt;NDC!$D$74,$B191&gt;NDC!$H$22-0.1+MIN(3*CO$12,1.5)),0,1)</f>
        <v>#N/A</v>
      </c>
      <c r="CP191" s="86" t="b">
        <f t="shared" si="249"/>
        <v>0</v>
      </c>
      <c r="CQ191" s="86">
        <f t="shared" si="250"/>
        <v>0.5</v>
      </c>
      <c r="CR191" s="86">
        <f t="shared" si="251"/>
        <v>0.5</v>
      </c>
      <c r="CS191" s="30" t="e">
        <f t="shared" ca="1" si="284"/>
        <v>#DIV/0!</v>
      </c>
      <c r="CT191" s="85" t="e">
        <f ca="1">IF(BZ191&lt;=Hypothèses!$V$7,Hypothèses!$W$7,IF(BZ191&lt;=Hypothèses!$V$8,Hypothèses!$W$8,IF(BZ191&lt;=Hypothèses!$V$9,Hypothèses!$W$9,IF(BZ191&lt;=Hypothèses!$V$10,Hypothèses!$W$10,IF(BZ191&lt;=Hypothèses!$V$11,Hypothèses!$W$11,IF(BZ191&lt;=Hypothèses!$V$12,Hypothèses!$W$12,IF(BZ191&lt;=Hypothèses!$V$13,Hypothèses!$W$13,IF(BZ191&lt;=Hypothèses!$V$14,Hypothèses!$W$14,IF(BZ191&lt;=Hypothèses!$V$15,Hypothèses!$W$15,IF(BZ191&lt;=Hypothèses!$V$16,Hypothèses!$W$16,IF(BZ191&lt;=Hypothèses!$V$17,Hypothèses!$W$17,IF(BZ191&lt;=Hypothèses!$V$18,Hypothèses!$W$18,""))))))))))))</f>
        <v>#DIV/0!</v>
      </c>
      <c r="CU191" s="87" t="e">
        <f t="shared" ca="1" si="320"/>
        <v>#DIV/0!</v>
      </c>
      <c r="CV191" s="88" t="e">
        <f ca="1">IF(BZ191&lt;=Hypothèses!$V$7,Hypothèses!$X$7,IF(BZ191&lt;=Hypothèses!$V$8,Hypothèses!$X$8,IF(BZ191&lt;=Hypothèses!$V$9,Hypothèses!$X$9,IF(BZ191&lt;=Hypothèses!$V$10,Hypothèses!$X$10,IF(BZ191&lt;=Hypothèses!$V$11,Hypothèses!$X$11,IF(BZ191&lt;=Hypothèses!$V$12,Hypothèses!$X$12,IF(BZ191&lt;=Hypothèses!$V$13,Hypothèses!$X$13,IF(BZ191&lt;=Hypothèses!$V$14,Hypothèses!$X$14,IF(BZ191&lt;=Hypothèses!$V$15,Hypothèses!$X$15,IF(BZ191&lt;=Hypothèses!$V$16,Hypothèses!$X$16,IF(BZ191&lt;=Hypothèses!$U$17,Hypothèses!$W$17,IF(BZ191&lt;=Hypothèses!$U$18,Hypothèses!$W$18,""))))))))))))</f>
        <v>#DIV/0!</v>
      </c>
      <c r="CW191" s="95" t="e">
        <f t="shared" ca="1" si="285"/>
        <v>#DIV/0!</v>
      </c>
      <c r="CX191" s="101">
        <f t="shared" si="327"/>
        <v>0</v>
      </c>
      <c r="CY191" s="91">
        <f t="shared" si="252"/>
        <v>0</v>
      </c>
      <c r="CZ191" s="30" t="e">
        <f t="shared" si="308"/>
        <v>#N/A</v>
      </c>
      <c r="DA191" s="30" t="e">
        <f t="shared" si="309"/>
        <v>#N/A</v>
      </c>
      <c r="DB191" s="31" t="e">
        <f>IF(OR(Hypothèses!$B$4=17,Hypothèses!$B$4=18,Hypothèses!$B$4=19,Hypothèses!$B$4=20),
IF($D191="Pressio.",
IF(OR($E191=3,$E191=1,$E191=4),DA191,CZ191),
IF($D191="Pénétro.",
IF(OR($E191=3,$E191=1,$E191=4),DA191,CZ191))),IF($D191="Pressio.",
IF($E191=3,DA191,CZ191),
IF($D191="Pénétro.",
IF($E191=4,DA191,CZ191))))</f>
        <v>#N/A</v>
      </c>
      <c r="DC191" s="31">
        <v>0</v>
      </c>
      <c r="DD191" s="102" t="e">
        <f>IF(NDC!$H$10="Oui",(VLOOKUP($B$3,'Coeff EC7'!$T$39:$X$59,2,0)*DB191+VLOOKUP($B$3,'Coeff EC7'!$T$65:$X$85,2,0)*Model0.1T!DC191)/1.5,PI()*CZ$12*$Q191*($B191-$B190)*0.15/10+DD190)</f>
        <v>#N/A</v>
      </c>
      <c r="DE191" s="102" t="e">
        <f>(VLOOKUP($B$3,'Coeff EC7'!$T$39:$X$59,3,0)*DB191+VLOOKUP($B$3,'Coeff EC7'!$T$65:$X$85,3,0)*Model0.1T!DC191)/1.1</f>
        <v>#N/A</v>
      </c>
      <c r="DF191" s="102" t="e">
        <f t="shared" si="286"/>
        <v>#N/A</v>
      </c>
      <c r="DG191" s="102" t="e">
        <f t="shared" si="287"/>
        <v>#N/A</v>
      </c>
      <c r="DH191" s="414" t="e">
        <f>IF(AND(DD191&gt;NDC!$C$63,DE191&gt;NDC!$C$65,DF191&gt;NDC!$D$73,DG191&gt;NDC!$D$74,$B191&gt;NDC!$H$22-0.1+MIN(3*DH$12,1.5)),0,1)</f>
        <v>#N/A</v>
      </c>
      <c r="DI191" s="86" t="b">
        <f t="shared" si="253"/>
        <v>0</v>
      </c>
      <c r="DJ191" s="86">
        <f t="shared" si="254"/>
        <v>0.5</v>
      </c>
      <c r="DK191" s="86">
        <f t="shared" si="255"/>
        <v>0.5</v>
      </c>
      <c r="DL191" s="30" t="e">
        <f t="shared" ca="1" si="288"/>
        <v>#DIV/0!</v>
      </c>
      <c r="DM191" s="85" t="e">
        <f ca="1">IF(CS191&lt;=Hypothèses!$V$7,Hypothèses!$W$7,IF(CS191&lt;=Hypothèses!$V$8,Hypothèses!$W$8,IF(CS191&lt;=Hypothèses!$V$9,Hypothèses!$W$9,IF(CS191&lt;=Hypothèses!$V$10,Hypothèses!$W$10,IF(CS191&lt;=Hypothèses!$V$11,Hypothèses!$W$11,IF(CS191&lt;=Hypothèses!$V$12,Hypothèses!$W$12,IF(CS191&lt;=Hypothèses!$V$13,Hypothèses!$W$13,IF(CS191&lt;=Hypothèses!$V$14,Hypothèses!$W$14,IF(CS191&lt;=Hypothèses!$V$15,Hypothèses!$W$15,IF(CS191&lt;=Hypothèses!$V$16,Hypothèses!$W$16,IF(CS191&lt;=Hypothèses!$V$17,Hypothèses!$W$17,IF(CS191&lt;=Hypothèses!$V$18,Hypothèses!$W$18,""))))))))))))</f>
        <v>#DIV/0!</v>
      </c>
      <c r="DN191" s="87" t="e">
        <f t="shared" ca="1" si="321"/>
        <v>#DIV/0!</v>
      </c>
      <c r="DO191" s="88" t="e">
        <f ca="1">IF(CS191&lt;=Hypothèses!$V$7,Hypothèses!$X$7,IF(CS191&lt;=Hypothèses!$V$8,Hypothèses!$X$8,IF(CS191&lt;=Hypothèses!$V$9,Hypothèses!$X$9,IF(CS191&lt;=Hypothèses!$V$10,Hypothèses!$X$10,IF(CS191&lt;=Hypothèses!$V$11,Hypothèses!$X$11,IF(CS191&lt;=Hypothèses!$V$12,Hypothèses!$X$12,IF(CS191&lt;=Hypothèses!$V$13,Hypothèses!$X$13,IF(CS191&lt;=Hypothèses!$V$14,Hypothèses!$X$14,IF(CS191&lt;=Hypothèses!$V$15,Hypothèses!$X$15,IF(CS191&lt;=Hypothèses!$V$16,Hypothèses!$X$16,IF(CS191&lt;=Hypothèses!$U$17,Hypothèses!$W$17,IF(CS191&lt;=Hypothèses!$U$18,Hypothèses!$W$18,""))))))))))))</f>
        <v>#DIV/0!</v>
      </c>
      <c r="DP191" s="95" t="e">
        <f t="shared" ca="1" si="289"/>
        <v>#DIV/0!</v>
      </c>
      <c r="DQ191" s="101">
        <f t="shared" si="328"/>
        <v>0</v>
      </c>
      <c r="DR191" s="91">
        <f t="shared" si="256"/>
        <v>0</v>
      </c>
      <c r="DS191" s="30" t="e">
        <f t="shared" si="310"/>
        <v>#N/A</v>
      </c>
      <c r="DT191" s="30" t="e">
        <f t="shared" si="311"/>
        <v>#N/A</v>
      </c>
      <c r="DU191" s="31" t="e">
        <f>IF(OR(Hypothèses!$B$4=17,Hypothèses!$B$4=18,Hypothèses!$B$4=19,Hypothèses!$B$4=20),
IF($D191="Pressio.",
IF(OR($E191=3,$E191=1,$E191=4),DT191,DS191),
IF($D191="Pénétro.",
IF(OR($E191=3,$E191=1,$E191=4),DT191,DS191))),IF($D191="Pressio.",
IF($E191=3,DT191,DS191),
IF($D191="Pénétro.",
IF($E191=4,DT191,DS191))))</f>
        <v>#N/A</v>
      </c>
      <c r="DV191" s="31">
        <v>0</v>
      </c>
      <c r="DW191" s="102" t="e">
        <f>IF(NDC!$H$10="Oui",(VLOOKUP($B$3,'Coeff EC7'!$T$39:$X$59,2,0)*DU191+VLOOKUP($B$3,'Coeff EC7'!$T$65:$X$85,2,0)*Model0.1T!DV191)/1.5,PI()*DS$12*$Q191*($B191-$B190)*0.15/10+DW190)</f>
        <v>#N/A</v>
      </c>
      <c r="DX191" s="102" t="e">
        <f>(VLOOKUP($B$3,'Coeff EC7'!$T$39:$X$59,3,0)*DU191+VLOOKUP($B$3,'Coeff EC7'!$T$65:$X$85,3,0)*Model0.1T!DV191)/1.1</f>
        <v>#N/A</v>
      </c>
      <c r="DY191" s="102" t="e">
        <f t="shared" si="290"/>
        <v>#N/A</v>
      </c>
      <c r="DZ191" s="102" t="e">
        <f t="shared" si="291"/>
        <v>#N/A</v>
      </c>
      <c r="EA191" s="414" t="e">
        <f>IF(AND(DW191&gt;NDC!$C$63,DX191&gt;NDC!$C$65,DY191&gt;NDC!$D$73,DZ191&gt;NDC!$D$74,$B191&gt;NDC!$H$22-0.1+MIN(3*EA$12,1.5)),0,1)</f>
        <v>#N/A</v>
      </c>
      <c r="EB191" s="86" t="b">
        <f t="shared" si="257"/>
        <v>0</v>
      </c>
      <c r="EC191" s="418">
        <f t="shared" si="258"/>
        <v>0.51</v>
      </c>
      <c r="ED191" s="86">
        <f t="shared" si="259"/>
        <v>0.51</v>
      </c>
      <c r="EE191" s="30" t="e">
        <f t="shared" ca="1" si="292"/>
        <v>#DIV/0!</v>
      </c>
      <c r="EF191" s="85" t="e">
        <f ca="1">IF(DL191&lt;=Hypothèses!$V$7,Hypothèses!$W$7,IF(DL191&lt;=Hypothèses!$V$8,Hypothèses!$W$8,IF(DL191&lt;=Hypothèses!$V$9,Hypothèses!$W$9,IF(DL191&lt;=Hypothèses!$V$10,Hypothèses!$W$10,IF(DL191&lt;=Hypothèses!$V$11,Hypothèses!$W$11,IF(DL191&lt;=Hypothèses!$V$12,Hypothèses!$W$12,IF(DL191&lt;=Hypothèses!$V$13,Hypothèses!$W$13,IF(DL191&lt;=Hypothèses!$V$14,Hypothèses!$W$14,IF(DL191&lt;=Hypothèses!$V$15,Hypothèses!$W$15,IF(DL191&lt;=Hypothèses!$V$16,Hypothèses!$W$16,IF(DL191&lt;=Hypothèses!$V$17,Hypothèses!$W$17,IF(DL191&lt;=Hypothèses!$V$18,Hypothèses!$W$18,""))))))))))))</f>
        <v>#DIV/0!</v>
      </c>
      <c r="EG191" s="87" t="e">
        <f t="shared" ca="1" si="322"/>
        <v>#DIV/0!</v>
      </c>
      <c r="EH191" s="88" t="e">
        <f ca="1">IF(DL191&lt;=Hypothèses!$V$7,Hypothèses!$X$7,IF(DL191&lt;=Hypothèses!$V$8,Hypothèses!$X$8,IF(DL191&lt;=Hypothèses!$V$9,Hypothèses!$X$9,IF(DL191&lt;=Hypothèses!$V$10,Hypothèses!$X$10,IF(DL191&lt;=Hypothèses!$V$11,Hypothèses!$X$11,IF(DL191&lt;=Hypothèses!$V$12,Hypothèses!$X$12,IF(DL191&lt;=Hypothèses!$V$13,Hypothèses!$X$13,IF(DL191&lt;=Hypothèses!$V$14,Hypothèses!$X$14,IF(DL191&lt;=Hypothèses!$V$15,Hypothèses!$X$15,IF(DL191&lt;=Hypothèses!$V$16,Hypothèses!$X$16,IF(DL191&lt;=Hypothèses!$U$17,Hypothèses!$W$17,IF(DL191&lt;=Hypothèses!$U$18,Hypothèses!$W$18,""))))))))))))</f>
        <v>#DIV/0!</v>
      </c>
      <c r="EI191" s="95" t="e">
        <f t="shared" ca="1" si="293"/>
        <v>#DIV/0!</v>
      </c>
      <c r="EJ191" s="101">
        <f t="shared" si="329"/>
        <v>0</v>
      </c>
      <c r="EK191" s="91">
        <f t="shared" si="260"/>
        <v>0</v>
      </c>
      <c r="EL191" s="30" t="e">
        <f t="shared" si="312"/>
        <v>#N/A</v>
      </c>
      <c r="EM191" s="30" t="e">
        <f t="shared" si="313"/>
        <v>#N/A</v>
      </c>
      <c r="EN191" s="31" t="e">
        <f>IF(OR(Hypothèses!$B$4=17,Hypothèses!$B$4=18,Hypothèses!$B$4=19,Hypothèses!$B$4=20),
IF($D191="Pressio.",
IF(OR($E191=3,$E191=1,$E191=4),EM191,EL191),
IF($D191="Pénétro.",
IF(OR($E191=3,$E191=1,$E191=4),EM191,EL191))),IF($D191="Pressio.",
IF($E191=3,EM191,EL191),
IF($D191="Pénétro.",
IF($E191=4,EM191,EL191))))</f>
        <v>#N/A</v>
      </c>
      <c r="EO191" s="31">
        <v>0</v>
      </c>
      <c r="EP191" s="102" t="e">
        <f>IF(NDC!$H$10="Oui",(VLOOKUP($B$3,'Coeff EC7'!$T$39:$X$59,2,0)*EN191+VLOOKUP($B$3,'Coeff EC7'!$T$65:$X$85,2,0)*Model0.1T!EO191)/1.5,PI()*EL$12*$Q191*($B191-$B190)*0.15/10+EP190)</f>
        <v>#N/A</v>
      </c>
      <c r="EQ191" s="102" t="e">
        <f>(VLOOKUP($B$3,'Coeff EC7'!$T$39:$X$59,3,0)*EN191+VLOOKUP($B$3,'Coeff EC7'!$T$65:$X$85,3,0)*Model0.1T!EO191)/1.1</f>
        <v>#N/A</v>
      </c>
      <c r="ER191" s="102" t="e">
        <f t="shared" si="294"/>
        <v>#N/A</v>
      </c>
      <c r="ES191" s="102" t="e">
        <f t="shared" si="295"/>
        <v>#N/A</v>
      </c>
      <c r="ET191" s="414" t="e">
        <f>IF(AND(EP191&gt;NDC!$C$63,EQ191&gt;NDC!$C$65,ER191&gt;NDC!$D$73,ES191&gt;NDC!$D$74,$B191&gt;NDC!$H$22-0.1+MIN(3*ET$12,1.5)),0,1)</f>
        <v>#N/A</v>
      </c>
      <c r="EU191" s="86" t="b">
        <f t="shared" si="261"/>
        <v>0</v>
      </c>
      <c r="EV191" s="86">
        <f t="shared" si="262"/>
        <v>0.61</v>
      </c>
      <c r="EW191" s="86">
        <f t="shared" si="263"/>
        <v>0.61</v>
      </c>
      <c r="EX191" s="30" t="e">
        <f t="shared" ca="1" si="296"/>
        <v>#DIV/0!</v>
      </c>
      <c r="EY191" s="85" t="e">
        <f ca="1">IF(EE191&lt;=Hypothèses!$V$7,Hypothèses!$W$7,IF(EE191&lt;=Hypothèses!$V$8,Hypothèses!$W$8,IF(EE191&lt;=Hypothèses!$V$9,Hypothèses!$W$9,IF(EE191&lt;=Hypothèses!$V$10,Hypothèses!$W$10,IF(EE191&lt;=Hypothèses!$V$11,Hypothèses!$W$11,IF(EE191&lt;=Hypothèses!$V$12,Hypothèses!$W$12,IF(EE191&lt;=Hypothèses!$V$13,Hypothèses!$W$13,IF(EE191&lt;=Hypothèses!$V$14,Hypothèses!$W$14,IF(EE191&lt;=Hypothèses!$V$15,Hypothèses!$W$15,IF(EE191&lt;=Hypothèses!$V$16,Hypothèses!$W$16,IF(EE191&lt;=Hypothèses!$V$17,Hypothèses!$W$17,IF(EE191&lt;=Hypothèses!$V$18,Hypothèses!$W$18,""))))))))))))</f>
        <v>#DIV/0!</v>
      </c>
      <c r="EZ191" s="87" t="e">
        <f t="shared" ca="1" si="323"/>
        <v>#DIV/0!</v>
      </c>
      <c r="FA191" s="88" t="e">
        <f ca="1">IF(EE191&lt;=Hypothèses!$V$7,Hypothèses!$X$7,IF(EE191&lt;=Hypothèses!$V$8,Hypothèses!$X$8,IF(EE191&lt;=Hypothèses!$V$9,Hypothèses!$X$9,IF(EE191&lt;=Hypothèses!$V$10,Hypothèses!$X$10,IF(EE191&lt;=Hypothèses!$V$11,Hypothèses!$X$11,IF(EE191&lt;=Hypothèses!$V$12,Hypothèses!$X$12,IF(EE191&lt;=Hypothèses!$V$13,Hypothèses!$X$13,IF(EE191&lt;=Hypothèses!$V$14,Hypothèses!$X$14,IF(EE191&lt;=Hypothèses!$V$15,Hypothèses!$X$15,IF(EE191&lt;=Hypothèses!$V$16,Hypothèses!$X$16,IF(EE191&lt;=Hypothèses!$U$17,Hypothèses!$W$17,IF(EE191&lt;=Hypothèses!$U$18,Hypothèses!$W$18,""))))))))))))</f>
        <v>#DIV/0!</v>
      </c>
      <c r="FB191" s="95" t="e">
        <f t="shared" ca="1" si="297"/>
        <v>#DIV/0!</v>
      </c>
      <c r="FC191" s="101">
        <f t="shared" si="330"/>
        <v>0</v>
      </c>
      <c r="FD191" s="91">
        <f t="shared" si="264"/>
        <v>0</v>
      </c>
      <c r="FE191" s="30" t="e">
        <f t="shared" si="314"/>
        <v>#N/A</v>
      </c>
      <c r="FF191" s="30" t="e">
        <f t="shared" si="315"/>
        <v>#N/A</v>
      </c>
      <c r="FG191" s="31" t="e">
        <f>IF(OR(Hypothèses!$B$4=17,Hypothèses!$B$4=18,Hypothèses!$B$4=19,Hypothèses!$B$4=20),
IF($D191="Pressio.",
IF(OR($E191=3,$E191=1,$E191=4),FF191,FE191),
IF($D191="Pénétro.",
IF(OR($E191=3,$E191=1,$E191=4),FF191,FE191))),IF($D191="Pressio.",
IF($E191=3,FF191,FE191),
IF($D191="Pénétro.",
IF($E191=4,FF191,FE191))))</f>
        <v>#N/A</v>
      </c>
      <c r="FH191" s="31">
        <v>0</v>
      </c>
      <c r="FI191" s="102" t="e">
        <f>IF(NDC!$H$10="Oui",(VLOOKUP($B$3,'Coeff EC7'!$T$39:$X$59,2,0)*FG191+VLOOKUP($B$3,'Coeff EC7'!$T$65:$X$85,2,0)*Model0.1T!FH191)/1.5,PI()*FE$12*$Q191*($B191-$B190)*0.15/10+FI190)</f>
        <v>#N/A</v>
      </c>
      <c r="FJ191" s="102" t="e">
        <f>(VLOOKUP($B$3,'Coeff EC7'!$T$39:$X$59,3,0)*FG191+VLOOKUP($B$3,'Coeff EC7'!$T$65:$X$85,3,0)*Model0.1T!FH191)/1.1</f>
        <v>#N/A</v>
      </c>
      <c r="FK191" s="102" t="e">
        <f t="shared" si="298"/>
        <v>#N/A</v>
      </c>
      <c r="FL191" s="102" t="e">
        <f t="shared" si="299"/>
        <v>#N/A</v>
      </c>
      <c r="FM191" s="414" t="e">
        <f>IF(AND(FI191&gt;NDC!$C$63,FJ191&gt;NDC!$C$65,FK191&gt;NDC!$D$73,FL191&gt;NDC!$D$74,$B191&gt;NDC!$H$22-0.1+MIN(3*FM$12,1.5)),0,1)</f>
        <v>#N/A</v>
      </c>
    </row>
    <row r="192" spans="1:169">
      <c r="A192" s="96">
        <f t="shared" si="265"/>
        <v>82.100000000001017</v>
      </c>
      <c r="B192" s="97">
        <v>17.899999999999999</v>
      </c>
      <c r="C192" s="81">
        <f>IF(B192&lt;=Hypothèses!$C$7,Hypothèses!$A$7,IF(B192&lt;=Hypothèses!$C$8,Hypothèses!$A$8,IF(B192&lt;=Hypothèses!$C$9,Hypothèses!$A$9,IF(B192&lt;=Hypothèses!$C$10,Hypothèses!$A$10,IF(B192&lt;=Hypothèses!$C$11,Hypothèses!$A$11,IF(B192&lt;=Hypothèses!$C$12,Hypothèses!$A$12,IF(B192&lt;=Hypothèses!$C$13,Hypothèses!$A$13,IF(B192&lt;=Hypothèses!$C$14,Hypothèses!$A$14,IF(B192&lt;=Hypothèses!$C$15,Hypothèses!$A$15,IF(B192&lt;=Hypothèses!$C$16,Hypothèses!$A$16,IF(B192&lt;=Hypothèses!$C$17,Hypothèses!$A$17,IF(B192&lt;=Hypothèses!$C$18,Hypothèses!$A$18,C191))))))))))))</f>
        <v>11</v>
      </c>
      <c r="D192" s="82" t="str">
        <f>IF(B192&lt;=Hypothèses!$C$7,Hypothèses!$R$7,IF(B192&lt;=Hypothèses!$C$8,Hypothèses!$R$8,IF(B192&lt;=Hypothèses!$C$9,Hypothèses!$R$9,IF(B192&lt;=Hypothèses!$C$10,Hypothèses!$R$10,IF(B192&lt;=Hypothèses!$C$11,Hypothèses!$R$11,IF(B192&lt;=Hypothèses!$C$12,Hypothèses!$R$12,IF(B192&lt;=Hypothèses!$C$13,Hypothèses!$R$13,IF(B192&lt;=Hypothèses!$C$14,Hypothèses!$R$14,IF(B192&lt;=Hypothèses!$C$15,Hypothèses!$R$15,IF(B192&lt;=Hypothèses!$C$16,Hypothèses!$R$16,IF(B192&lt;=Hypothèses!$C$17,Hypothèses!$R$17,IF(B192&lt;=Hypothèses!$C$18,Hypothèses!$R$18,D191))))))))))))</f>
        <v>Pressio.</v>
      </c>
      <c r="E192" s="82" t="e">
        <f>IF(B192&lt;=Hypothèses!$C$7,Hypothèses!$G$7,IF(B192&lt;=Hypothèses!$C$8,Hypothèses!$G$8,IF(B192&lt;=Hypothèses!$C$9,Hypothèses!$G$9,IF(B192&lt;=Hypothèses!$C$10,Hypothèses!$G$10,IF(B192&lt;=Hypothèses!$C$11,Hypothèses!$G$11,IF(B192&lt;=Hypothèses!$C$12,Hypothèses!$G$12,IF(B192&lt;=Hypothèses!$C$13,Hypothèses!$G$13,IF(B192&lt;=Hypothèses!$C$14,Hypothèses!$G$14,IF(B192&lt;=Hypothèses!$C$15,Hypothèses!$G$15,IF(B192&lt;=Hypothèses!$C$16,Hypothèses!$G$16,IF(B192&lt;=Hypothèses!$C$17,Hypothèses!$G$17,IF(B192&lt;=Hypothèses!$C$18,Hypothèses!$G$18,E191))))))))))))</f>
        <v>#N/A</v>
      </c>
      <c r="F192" s="82" t="str">
        <f>IF(B192&lt;=Hypothèses!$C$7,Hypothèses!$F$7,IF(B192&lt;=Hypothèses!$C$8,Hypothèses!$F$8,IF(B192&lt;=Hypothèses!$C$9,Hypothèses!$F$9,IF(B192&lt;=Hypothèses!$C$10,Hypothèses!$F$10,IF(B192&lt;=Hypothèses!$C$11,Hypothèses!$F$11,IF(B192&lt;=Hypothèses!$C$12,Hypothèses!$F$12,IF(B192&lt;=Hypothèses!$C$13,Hypothèses!$F$13,IF(B192&lt;=Hypothèses!$C$14,Hypothèses!$F$14,IF(B192&lt;=Hypothèses!$C$15,Hypothèses!$F$15,IF(B192&lt;=Hypothèses!$C$16,Hypothèses!$F$16,IF(B192&lt;=Hypothèses!$C$17,Hypothèses!$F$17,IF(B192&lt;=Hypothèses!$C$18,Hypothèses!$F$18,F191))))))))))))</f>
        <v/>
      </c>
      <c r="G192" s="91">
        <f t="array" ref="G192">INDEX('Coeff EC7'!$U$7:$X$27,
MATCH(Model0.1T!$B$3,'Coeff EC7'!$T$7:$T$27,0),
MATCH(Model0.1T!$D192&amp;Model0.1T!$B$4,
'Coeff EC7'!$U$6:$X$6&amp;
'Coeff EC7'!$U$5:$X$5,0))</f>
        <v>1.4</v>
      </c>
      <c r="H192" s="91">
        <f t="array" ref="H192">INDEX('Coeff EC7'!$Y$7:$AB$27,
MATCH(Model0.1T!$B$3,'Coeff EC7'!$T$7:$T$27,0),
MATCH(Model0.1T!$D192&amp;Model0.1T!$B$4,
'Coeff EC7'!$Y$6:$AB$6&amp;
'Coeff EC7'!$Y$5:$AB$5,0))</f>
        <v>1.7</v>
      </c>
      <c r="I192" s="83">
        <v>0</v>
      </c>
      <c r="J192" s="91" t="e">
        <f t="array" ref="J192">INDEX('Coeff EC7'!$D$33:$Q$33,1,MATCH(D192&amp;E192,'Coeff EC7'!$D$31:$Q$31&amp;'Coeff EC7'!$D$32:$Q$32,0))</f>
        <v>#N/A</v>
      </c>
      <c r="K192" s="91" t="e">
        <f t="array" ref="K192">INDEX('Coeff EC7'!$D$34:$Q$34,1,MATCH(D192&amp;E192,'Coeff EC7'!$D$31:$Q$31&amp;'Coeff EC7'!$D$32:$Q$32,0))</f>
        <v>#N/A</v>
      </c>
      <c r="L192" s="91" t="e">
        <f t="array" ref="L192">INDEX('Coeff EC7'!$D$35:$Q$35,1,MATCH(D192&amp;E192,'Coeff EC7'!$D$31:$Q$31&amp;'Coeff EC7'!$D$32:$Q$32,0))</f>
        <v>#N/A</v>
      </c>
      <c r="M192" s="98" t="e">
        <f t="shared" si="231"/>
        <v>#N/A</v>
      </c>
      <c r="N192" s="99" t="e">
        <f t="array" ref="N192">INDEX('Coeff EC7'!$D$7:$Q$27,MATCH($B$3,'Coeff EC7'!$C$7:$C$27,0),MATCH(D192&amp;E192,'Coeff EC7'!$D$5:$Q$5&amp;'Coeff EC7'!$D$6:$Q$6,0))</f>
        <v>#N/A</v>
      </c>
      <c r="O192" s="99" t="e">
        <f t="array" ref="O192">INDEX('Coeff EC7'!$D$41:$Q$61,MATCH($B$3,'Coeff EC7'!$C$41:$C$61,0),MATCH(D192&amp;E192,'Coeff EC7'!$D$39:$Q$39&amp;'Coeff EC7'!$D$40:$Q$40,0))</f>
        <v>#N/A</v>
      </c>
      <c r="P192" s="30" t="e">
        <f t="shared" si="266"/>
        <v>#N/A</v>
      </c>
      <c r="Q192" s="100" t="e">
        <f t="shared" si="233"/>
        <v>#N/A</v>
      </c>
      <c r="R192" s="86" t="b">
        <f t="shared" si="234"/>
        <v>0</v>
      </c>
      <c r="S192" s="86">
        <f t="shared" si="232"/>
        <v>0.5</v>
      </c>
      <c r="T192" s="86">
        <f t="shared" si="235"/>
        <v>0.5</v>
      </c>
      <c r="U192" s="30" t="e">
        <f t="shared" ca="1" si="267"/>
        <v>#DIV/0!</v>
      </c>
      <c r="V192" s="85" t="str">
        <f>IF(B192&lt;=Hypothèses!$V$7,Hypothèses!$W$7,IF(B192&lt;=Hypothèses!$V$8,Hypothèses!$W$8,IF(B192&lt;=Hypothèses!$V$9,Hypothèses!$W$9,IF(B192&lt;=Hypothèses!$V$10,Hypothèses!$W$10,IF(B192&lt;=Hypothèses!$V$11,Hypothèses!$W$11,IF(B192&lt;=Hypothèses!$V$12,Hypothèses!$W$12,IF(B192&lt;=Hypothèses!$V$13,Hypothèses!$W$13,IF(B192&lt;=Hypothèses!$V$14,Hypothèses!$W$14,IF(B192&lt;=Hypothèses!$V$15,Hypothèses!$W$15,IF(B192&lt;=Hypothèses!$V$16,Hypothèses!$W$16,IF(B192&lt;=Hypothèses!$V$17,Hypothèses!$W$17,IF(B192&lt;=Hypothèses!$V$18,Hypothèses!$W$18,""))))))))))))</f>
        <v/>
      </c>
      <c r="W192" s="87" t="e">
        <f t="shared" ca="1" si="316"/>
        <v>#DIV/0!</v>
      </c>
      <c r="X192" s="88" t="str">
        <f>IF(B192&lt;=Hypothèses!$V$7,Hypothèses!$X$7,IF(B192&lt;=Hypothèses!$V$8,Hypothèses!$X$8,IF(B192&lt;=Hypothèses!$V$9,Hypothèses!$X$9,IF(B192&lt;=Hypothèses!$V$10,Hypothèses!$X$10,IF(B192&lt;=Hypothèses!$V$11,Hypothèses!$X$11,IF(B192&lt;=Hypothèses!$V$12,Hypothèses!$X$12,IF(B192&lt;=Hypothèses!$V$13,Hypothèses!$X$13,IF(B192&lt;=Hypothèses!$V$14,Hypothèses!$X$14,IF(B192&lt;=Hypothèses!$V$15,Hypothèses!$X$15,IF(B192&lt;=Hypothèses!$V$16,Hypothèses!$X$16,IF(B192&lt;=Hypothèses!$U$17,Hypothèses!$W$17,IF(B192&lt;=Hypothèses!$U$18,Hypothèses!$W$18,""))))))))))))</f>
        <v/>
      </c>
      <c r="Y192" s="95" t="e">
        <f t="shared" ca="1" si="236"/>
        <v>#DIV/0!</v>
      </c>
      <c r="Z192" s="101">
        <f t="shared" si="237"/>
        <v>0</v>
      </c>
      <c r="AA192" s="91">
        <f t="shared" si="238"/>
        <v>0</v>
      </c>
      <c r="AB192" s="30" t="e">
        <f t="shared" si="300"/>
        <v>#N/A</v>
      </c>
      <c r="AC192" s="30" t="e">
        <f t="shared" si="301"/>
        <v>#N/A</v>
      </c>
      <c r="AD192" s="31" t="e">
        <f>IF(OR(Hypothèses!$B$4=17,Hypothèses!$B$4=18,Hypothèses!$B$4=19,Hypothèses!$B$4=20),
IF($D192="Pressio.",
IF(OR($E192=3,$E192=1,$E192=4),AC192,AB192),
IF($D192="Pénétro.",
IF(OR($E192=3,$E192=1,$E192=4),AC192,AB192))),IF($D192="Pressio.",
IF($E192=3,AC192,AB192),
IF($D192="Pénétro.",
IF($E192=4,AC192,AB192))))</f>
        <v>#N/A</v>
      </c>
      <c r="AE192" s="31">
        <v>0</v>
      </c>
      <c r="AF192" s="102" t="e">
        <f>IF(NDC!$H$10="Oui",(VLOOKUP($B$3,'Coeff EC7'!$T$39:$X$59,2,0)*AD192+VLOOKUP($B$3,'Coeff EC7'!$T$65:$X$85,2,0)*Model0.1T!AE192)/1.5,PI()*AB$12*$Q192*($B192-$B191)*0.15/10+AF191)</f>
        <v>#N/A</v>
      </c>
      <c r="AG192" s="102" t="e">
        <f>(VLOOKUP($B$3,'Coeff EC7'!$T$39:$X$59,3,0)*AD192+VLOOKUP($B$3,'Coeff EC7'!$T$65:$X$85,3,0)*Model0.1T!AE192)/1.1</f>
        <v>#N/A</v>
      </c>
      <c r="AH192" s="102" t="e">
        <f t="shared" si="268"/>
        <v>#N/A</v>
      </c>
      <c r="AI192" s="102" t="e">
        <f t="shared" si="269"/>
        <v>#N/A</v>
      </c>
      <c r="AJ192" s="414" t="e">
        <f>IF(AND(AF192&gt;NDC!$C$63,AG192&gt;NDC!$C$65,AH192&gt;NDC!$D$73,AI192&gt;NDC!$D$74,$B192&gt;NDC!$H$22-0.1+MIN(3*$AJ$12,1.5)),0,1)</f>
        <v>#N/A</v>
      </c>
      <c r="AK192" s="86" t="b">
        <f t="shared" si="239"/>
        <v>0</v>
      </c>
      <c r="AL192" s="86">
        <f t="shared" si="270"/>
        <v>0.5</v>
      </c>
      <c r="AM192" s="86">
        <f t="shared" si="240"/>
        <v>0.5</v>
      </c>
      <c r="AN192" s="30" t="e">
        <f t="shared" ca="1" si="271"/>
        <v>#DIV/0!</v>
      </c>
      <c r="AO192" s="85" t="e">
        <f ca="1">IF(U192&lt;=Hypothèses!$V$7,Hypothèses!$W$7,IF(U192&lt;=Hypothèses!$V$8,Hypothèses!$W$8,IF(U192&lt;=Hypothèses!$V$9,Hypothèses!$W$9,IF(U192&lt;=Hypothèses!$V$10,Hypothèses!$W$10,IF(U192&lt;=Hypothèses!$V$11,Hypothèses!$W$11,IF(U192&lt;=Hypothèses!$V$12,Hypothèses!$W$12,IF(U192&lt;=Hypothèses!$V$13,Hypothèses!$W$13,IF(U192&lt;=Hypothèses!$V$14,Hypothèses!$W$14,IF(U192&lt;=Hypothèses!$V$15,Hypothèses!$W$15,IF(U192&lt;=Hypothèses!$V$16,Hypothèses!$W$16,IF(U192&lt;=Hypothèses!$V$17,Hypothèses!$W$17,IF(U192&lt;=Hypothèses!$V$18,Hypothèses!$W$18,""))))))))))))</f>
        <v>#DIV/0!</v>
      </c>
      <c r="AP192" s="87" t="e">
        <f t="shared" ca="1" si="317"/>
        <v>#DIV/0!</v>
      </c>
      <c r="AQ192" s="88" t="e">
        <f ca="1">IF(U192&lt;=Hypothèses!$V$7,Hypothèses!$X$7,IF(U192&lt;=Hypothèses!$V$8,Hypothèses!$X$8,IF(U192&lt;=Hypothèses!$V$9,Hypothèses!$X$9,IF(U192&lt;=Hypothèses!$V$10,Hypothèses!$X$10,IF(U192&lt;=Hypothèses!$V$11,Hypothèses!$X$11,IF(U192&lt;=Hypothèses!$V$12,Hypothèses!$X$12,IF(U192&lt;=Hypothèses!$V$13,Hypothèses!$X$13,IF(U192&lt;=Hypothèses!$V$14,Hypothèses!$X$14,IF(U192&lt;=Hypothèses!$V$15,Hypothèses!$X$15,IF(U192&lt;=Hypothèses!$V$16,Hypothèses!$X$16,IF(U192&lt;=Hypothèses!$U$17,Hypothèses!$W$17,IF(U192&lt;=Hypothèses!$U$18,Hypothèses!$W$18,""))))))))))))</f>
        <v>#DIV/0!</v>
      </c>
      <c r="AR192" s="95" t="e">
        <f t="shared" ca="1" si="272"/>
        <v>#DIV/0!</v>
      </c>
      <c r="AS192" s="101">
        <f t="shared" si="324"/>
        <v>0</v>
      </c>
      <c r="AT192" s="91">
        <f t="shared" si="241"/>
        <v>0</v>
      </c>
      <c r="AU192" s="30" t="e">
        <f t="shared" si="302"/>
        <v>#N/A</v>
      </c>
      <c r="AV192" s="30" t="e">
        <f t="shared" si="303"/>
        <v>#N/A</v>
      </c>
      <c r="AW192" s="31" t="e">
        <f>IF(OR(Hypothèses!$B$4=17,Hypothèses!$B$4=18,Hypothèses!$B$4=19,Hypothèses!$B$4=20),
IF($D192="Pressio.",
IF(OR($E192=3,$E192=1,$E192=4),AV192,AU192),
IF($D192="Pénétro.",
IF(OR($E192=3,$E192=1,$E192=4),AV192,AU192))),IF($D192="Pressio.",
IF($E192=3,AV192,AU192),
IF($D192="Pénétro.",
IF($E192=4,AV192,AU192))))</f>
        <v>#N/A</v>
      </c>
      <c r="AX192" s="31">
        <v>0</v>
      </c>
      <c r="AY192" s="102" t="e">
        <f>IF(NDC!$H$10="Oui",(VLOOKUP($B$3,'Coeff EC7'!$T$39:$X$59,2,0)*AW192+VLOOKUP($B$3,'Coeff EC7'!$T$65:$X$85,2,0)*Model0.1T!AX192)/1.5,PI()*AU$12*$Q192*($B192-$B191)*0.15/10+AY191)</f>
        <v>#N/A</v>
      </c>
      <c r="AZ192" s="102" t="e">
        <f>(VLOOKUP($B$3,'Coeff EC7'!$T$39:$X$59,3,0)*AW192+VLOOKUP($B$3,'Coeff EC7'!$T$65:$X$85,3,0)*Model0.1T!AX192)/1.1</f>
        <v>#N/A</v>
      </c>
      <c r="BA192" s="102" t="e">
        <f t="shared" si="273"/>
        <v>#N/A</v>
      </c>
      <c r="BB192" s="102" t="e">
        <f t="shared" si="274"/>
        <v>#N/A</v>
      </c>
      <c r="BC192" s="414" t="e">
        <f>IF(AND(AY192&gt;NDC!$C$63,AZ192&gt;NDC!$C$65,BA192&gt;NDC!$D$73,BB192&gt;NDC!$D$74,$B192&gt;NDC!$H$22-0.1+MIN(3*BC$12,1.5)),0,1)</f>
        <v>#N/A</v>
      </c>
      <c r="BD192" s="86" t="b">
        <f t="shared" si="242"/>
        <v>0</v>
      </c>
      <c r="BE192" s="86">
        <f t="shared" si="275"/>
        <v>0.5</v>
      </c>
      <c r="BF192" s="86">
        <f t="shared" si="243"/>
        <v>0.5</v>
      </c>
      <c r="BG192" s="30" t="e">
        <f t="shared" ca="1" si="276"/>
        <v>#DIV/0!</v>
      </c>
      <c r="BH192" s="85" t="e">
        <f ca="1">IF(AN192&lt;=Hypothèses!$V$7,Hypothèses!$W$7,IF(AN192&lt;=Hypothèses!$V$8,Hypothèses!$W$8,IF(AN192&lt;=Hypothèses!$V$9,Hypothèses!$W$9,IF(AN192&lt;=Hypothèses!$V$10,Hypothèses!$W$10,IF(AN192&lt;=Hypothèses!$V$11,Hypothèses!$W$11,IF(AN192&lt;=Hypothèses!$V$12,Hypothèses!$W$12,IF(AN192&lt;=Hypothèses!$V$13,Hypothèses!$W$13,IF(AN192&lt;=Hypothèses!$V$14,Hypothèses!$W$14,IF(AN192&lt;=Hypothèses!$V$15,Hypothèses!$W$15,IF(AN192&lt;=Hypothèses!$V$16,Hypothèses!$W$16,IF(AN192&lt;=Hypothèses!$V$17,Hypothèses!$W$17,IF(AN192&lt;=Hypothèses!$V$18,Hypothèses!$W$18,""))))))))))))</f>
        <v>#DIV/0!</v>
      </c>
      <c r="BI192" s="87" t="e">
        <f t="shared" ca="1" si="318"/>
        <v>#DIV/0!</v>
      </c>
      <c r="BJ192" s="88" t="e">
        <f ca="1">IF(AN192&lt;=Hypothèses!$V$7,Hypothèses!$X$7,IF(AN192&lt;=Hypothèses!$V$8,Hypothèses!$X$8,IF(AN192&lt;=Hypothèses!$V$9,Hypothèses!$X$9,IF(AN192&lt;=Hypothèses!$V$10,Hypothèses!$X$10,IF(AN192&lt;=Hypothèses!$V$11,Hypothèses!$X$11,IF(AN192&lt;=Hypothèses!$V$12,Hypothèses!$X$12,IF(AN192&lt;=Hypothèses!$V$13,Hypothèses!$X$13,IF(AN192&lt;=Hypothèses!$V$14,Hypothèses!$X$14,IF(AN192&lt;=Hypothèses!$V$15,Hypothèses!$X$15,IF(AN192&lt;=Hypothèses!$V$16,Hypothèses!$X$16,IF(AN192&lt;=Hypothèses!$U$17,Hypothèses!$W$17,IF(AN192&lt;=Hypothèses!$U$18,Hypothèses!$W$18,""))))))))))))</f>
        <v>#DIV/0!</v>
      </c>
      <c r="BK192" s="95" t="e">
        <f t="shared" ca="1" si="277"/>
        <v>#DIV/0!</v>
      </c>
      <c r="BL192" s="101">
        <f t="shared" si="325"/>
        <v>0</v>
      </c>
      <c r="BM192" s="91">
        <f t="shared" si="244"/>
        <v>0</v>
      </c>
      <c r="BN192" s="30" t="e">
        <f t="shared" si="304"/>
        <v>#N/A</v>
      </c>
      <c r="BO192" s="30" t="e">
        <f t="shared" si="305"/>
        <v>#N/A</v>
      </c>
      <c r="BP192" s="31" t="e">
        <f>IF(OR(Hypothèses!$B$4=17,Hypothèses!$B$4=18,Hypothèses!$B$4=19,Hypothèses!$B$4=20),
IF($D192="Pressio.",
IF(OR($E192=3,$E192=1,$E192=4),BO192,BN192),
IF($D192="Pénétro.",
IF(OR($E192=3,$E192=1,$E192=4),BO192,BN192))),IF($D192="Pressio.",
IF($E192=3,BO192,BN192),
IF($D192="Pénétro.",
IF($E192=4,BO192,BN192))))</f>
        <v>#N/A</v>
      </c>
      <c r="BQ192" s="31">
        <v>0</v>
      </c>
      <c r="BR192" s="102" t="e">
        <f>IF(NDC!$H$10="Oui",(VLOOKUP($B$3,'Coeff EC7'!$T$39:$X$59,2,0)*BP192+VLOOKUP($B$3,'Coeff EC7'!$T$65:$X$85,2,0)*Model0.1T!BQ192)/1.5,PI()*BN$12*$Q192*($B192-$B191)*0.15/10+BR191)</f>
        <v>#N/A</v>
      </c>
      <c r="BS192" s="102" t="e">
        <f>(VLOOKUP($B$3,'Coeff EC7'!$T$39:$X$59,3,0)*BP192+VLOOKUP($B$3,'Coeff EC7'!$T$65:$X$85,3,0)*Model0.1T!BQ192)/1.1</f>
        <v>#N/A</v>
      </c>
      <c r="BT192" s="102" t="e">
        <f t="shared" si="278"/>
        <v>#N/A</v>
      </c>
      <c r="BU192" s="102" t="e">
        <f t="shared" si="279"/>
        <v>#N/A</v>
      </c>
      <c r="BV192" s="414" t="e">
        <f>IF(AND(BR192&gt;NDC!$C$63,BS192&gt;NDC!$C$65,BT192&gt;NDC!$D$73,BU192&gt;NDC!$D$74,$B192&gt;NDC!$H$22-0.1+MIN(3*BV$12,1.5)),0,1)</f>
        <v>#N/A</v>
      </c>
      <c r="BW192" s="86" t="b">
        <f t="shared" si="245"/>
        <v>0</v>
      </c>
      <c r="BX192" s="86">
        <f t="shared" si="246"/>
        <v>0.5</v>
      </c>
      <c r="BY192" s="86">
        <f t="shared" si="247"/>
        <v>0.5</v>
      </c>
      <c r="BZ192" s="30" t="e">
        <f t="shared" ca="1" si="280"/>
        <v>#DIV/0!</v>
      </c>
      <c r="CA192" s="85" t="e">
        <f ca="1">IF(BG192&lt;=Hypothèses!$V$7,Hypothèses!$W$7,IF(BG192&lt;=Hypothèses!$V$8,Hypothèses!$W$8,IF(BG192&lt;=Hypothèses!$V$9,Hypothèses!$W$9,IF(BG192&lt;=Hypothèses!$V$10,Hypothèses!$W$10,IF(BG192&lt;=Hypothèses!$V$11,Hypothèses!$W$11,IF(BG192&lt;=Hypothèses!$V$12,Hypothèses!$W$12,IF(BG192&lt;=Hypothèses!$V$13,Hypothèses!$W$13,IF(BG192&lt;=Hypothèses!$V$14,Hypothèses!$W$14,IF(BG192&lt;=Hypothèses!$V$15,Hypothèses!$W$15,IF(BG192&lt;=Hypothèses!$V$16,Hypothèses!$W$16,IF(BG192&lt;=Hypothèses!$V$17,Hypothèses!$W$17,IF(BG192&lt;=Hypothèses!$V$18,Hypothèses!$W$18,""))))))))))))</f>
        <v>#DIV/0!</v>
      </c>
      <c r="CB192" s="87" t="e">
        <f t="shared" ca="1" si="319"/>
        <v>#DIV/0!</v>
      </c>
      <c r="CC192" s="88" t="e">
        <f ca="1">IF(BG192&lt;=Hypothèses!$V$7,Hypothèses!$X$7,IF(BG192&lt;=Hypothèses!$V$8,Hypothèses!$X$8,IF(BG192&lt;=Hypothèses!$V$9,Hypothèses!$X$9,IF(BG192&lt;=Hypothèses!$V$10,Hypothèses!$X$10,IF(BG192&lt;=Hypothèses!$V$11,Hypothèses!$X$11,IF(BG192&lt;=Hypothèses!$V$12,Hypothèses!$X$12,IF(BG192&lt;=Hypothèses!$V$13,Hypothèses!$X$13,IF(BG192&lt;=Hypothèses!$V$14,Hypothèses!$X$14,IF(BG192&lt;=Hypothèses!$V$15,Hypothèses!$X$15,IF(BG192&lt;=Hypothèses!$V$16,Hypothèses!$X$16,IF(BG192&lt;=Hypothèses!$U$17,Hypothèses!$W$17,IF(BG192&lt;=Hypothèses!$U$18,Hypothèses!$W$18,""))))))))))))</f>
        <v>#DIV/0!</v>
      </c>
      <c r="CD192" s="95" t="e">
        <f t="shared" ca="1" si="281"/>
        <v>#DIV/0!</v>
      </c>
      <c r="CE192" s="101">
        <f t="shared" si="326"/>
        <v>0</v>
      </c>
      <c r="CF192" s="91">
        <f t="shared" si="248"/>
        <v>0</v>
      </c>
      <c r="CG192" s="30" t="e">
        <f t="shared" si="306"/>
        <v>#N/A</v>
      </c>
      <c r="CH192" s="30" t="e">
        <f t="shared" si="307"/>
        <v>#N/A</v>
      </c>
      <c r="CI192" s="31" t="e">
        <f>IF(OR(Hypothèses!$B$4=17,Hypothèses!$B$4=18,Hypothèses!$B$4=19,Hypothèses!$B$4=20),
IF($D192="Pressio.",
IF(OR($E192=3,$E192=1,$E192=4),CH192,CG192),
IF($D192="Pénétro.",
IF(OR($E192=3,$E192=1,$E192=4),CH192,CG192))),IF($D192="Pressio.",
IF($E192=3,CH192,CG192),
IF($D192="Pénétro.",
IF($E192=4,CH192,CG192))))</f>
        <v>#N/A</v>
      </c>
      <c r="CJ192" s="31">
        <v>0</v>
      </c>
      <c r="CK192" s="102" t="e">
        <f>IF(NDC!$H$10="Oui",(VLOOKUP($B$3,'Coeff EC7'!$T$39:$X$59,2,0)*CI192+VLOOKUP($B$3,'Coeff EC7'!$T$65:$X$85,2,0)*Model0.1T!CJ192)/1.5,PI()*CG$12*$Q192*($B192-$B191)*0.15/10+CK191)</f>
        <v>#N/A</v>
      </c>
      <c r="CL192" s="102" t="e">
        <f>(VLOOKUP($B$3,'Coeff EC7'!$T$39:$X$59,3,0)*CI192+VLOOKUP($B$3,'Coeff EC7'!$T$65:$X$85,3,0)*Model0.1T!CJ192)/1.1</f>
        <v>#N/A</v>
      </c>
      <c r="CM192" s="102" t="e">
        <f t="shared" si="282"/>
        <v>#N/A</v>
      </c>
      <c r="CN192" s="102" t="e">
        <f t="shared" si="283"/>
        <v>#N/A</v>
      </c>
      <c r="CO192" s="414" t="e">
        <f>IF(AND(CK192&gt;NDC!$C$63,CL192&gt;NDC!$C$65,CM192&gt;NDC!$D$73,CN192&gt;NDC!$D$74,$B192&gt;NDC!$H$22-0.1+MIN(3*CO$12,1.5)),0,1)</f>
        <v>#N/A</v>
      </c>
      <c r="CP192" s="86" t="b">
        <f t="shared" si="249"/>
        <v>0</v>
      </c>
      <c r="CQ192" s="86">
        <f t="shared" si="250"/>
        <v>0.5</v>
      </c>
      <c r="CR192" s="86">
        <f t="shared" si="251"/>
        <v>0.5</v>
      </c>
      <c r="CS192" s="30" t="e">
        <f t="shared" ca="1" si="284"/>
        <v>#DIV/0!</v>
      </c>
      <c r="CT192" s="85" t="e">
        <f ca="1">IF(BZ192&lt;=Hypothèses!$V$7,Hypothèses!$W$7,IF(BZ192&lt;=Hypothèses!$V$8,Hypothèses!$W$8,IF(BZ192&lt;=Hypothèses!$V$9,Hypothèses!$W$9,IF(BZ192&lt;=Hypothèses!$V$10,Hypothèses!$W$10,IF(BZ192&lt;=Hypothèses!$V$11,Hypothèses!$W$11,IF(BZ192&lt;=Hypothèses!$V$12,Hypothèses!$W$12,IF(BZ192&lt;=Hypothèses!$V$13,Hypothèses!$W$13,IF(BZ192&lt;=Hypothèses!$V$14,Hypothèses!$W$14,IF(BZ192&lt;=Hypothèses!$V$15,Hypothèses!$W$15,IF(BZ192&lt;=Hypothèses!$V$16,Hypothèses!$W$16,IF(BZ192&lt;=Hypothèses!$V$17,Hypothèses!$W$17,IF(BZ192&lt;=Hypothèses!$V$18,Hypothèses!$W$18,""))))))))))))</f>
        <v>#DIV/0!</v>
      </c>
      <c r="CU192" s="87" t="e">
        <f t="shared" ca="1" si="320"/>
        <v>#DIV/0!</v>
      </c>
      <c r="CV192" s="88" t="e">
        <f ca="1">IF(BZ192&lt;=Hypothèses!$V$7,Hypothèses!$X$7,IF(BZ192&lt;=Hypothèses!$V$8,Hypothèses!$X$8,IF(BZ192&lt;=Hypothèses!$V$9,Hypothèses!$X$9,IF(BZ192&lt;=Hypothèses!$V$10,Hypothèses!$X$10,IF(BZ192&lt;=Hypothèses!$V$11,Hypothèses!$X$11,IF(BZ192&lt;=Hypothèses!$V$12,Hypothèses!$X$12,IF(BZ192&lt;=Hypothèses!$V$13,Hypothèses!$X$13,IF(BZ192&lt;=Hypothèses!$V$14,Hypothèses!$X$14,IF(BZ192&lt;=Hypothèses!$V$15,Hypothèses!$X$15,IF(BZ192&lt;=Hypothèses!$V$16,Hypothèses!$X$16,IF(BZ192&lt;=Hypothèses!$U$17,Hypothèses!$W$17,IF(BZ192&lt;=Hypothèses!$U$18,Hypothèses!$W$18,""))))))))))))</f>
        <v>#DIV/0!</v>
      </c>
      <c r="CW192" s="95" t="e">
        <f t="shared" ca="1" si="285"/>
        <v>#DIV/0!</v>
      </c>
      <c r="CX192" s="101">
        <f t="shared" si="327"/>
        <v>0</v>
      </c>
      <c r="CY192" s="91">
        <f t="shared" si="252"/>
        <v>0</v>
      </c>
      <c r="CZ192" s="30" t="e">
        <f t="shared" si="308"/>
        <v>#N/A</v>
      </c>
      <c r="DA192" s="30" t="e">
        <f t="shared" si="309"/>
        <v>#N/A</v>
      </c>
      <c r="DB192" s="31" t="e">
        <f>IF(OR(Hypothèses!$B$4=17,Hypothèses!$B$4=18,Hypothèses!$B$4=19,Hypothèses!$B$4=20),
IF($D192="Pressio.",
IF(OR($E192=3,$E192=1,$E192=4),DA192,CZ192),
IF($D192="Pénétro.",
IF(OR($E192=3,$E192=1,$E192=4),DA192,CZ192))),IF($D192="Pressio.",
IF($E192=3,DA192,CZ192),
IF($D192="Pénétro.",
IF($E192=4,DA192,CZ192))))</f>
        <v>#N/A</v>
      </c>
      <c r="DC192" s="31">
        <v>0</v>
      </c>
      <c r="DD192" s="102" t="e">
        <f>IF(NDC!$H$10="Oui",(VLOOKUP($B$3,'Coeff EC7'!$T$39:$X$59,2,0)*DB192+VLOOKUP($B$3,'Coeff EC7'!$T$65:$X$85,2,0)*Model0.1T!DC192)/1.5,PI()*CZ$12*$Q192*($B192-$B191)*0.15/10+DD191)</f>
        <v>#N/A</v>
      </c>
      <c r="DE192" s="102" t="e">
        <f>(VLOOKUP($B$3,'Coeff EC7'!$T$39:$X$59,3,0)*DB192+VLOOKUP($B$3,'Coeff EC7'!$T$65:$X$85,3,0)*Model0.1T!DC192)/1.1</f>
        <v>#N/A</v>
      </c>
      <c r="DF192" s="102" t="e">
        <f t="shared" si="286"/>
        <v>#N/A</v>
      </c>
      <c r="DG192" s="102" t="e">
        <f t="shared" si="287"/>
        <v>#N/A</v>
      </c>
      <c r="DH192" s="414" t="e">
        <f>IF(AND(DD192&gt;NDC!$C$63,DE192&gt;NDC!$C$65,DF192&gt;NDC!$D$73,DG192&gt;NDC!$D$74,$B192&gt;NDC!$H$22-0.1+MIN(3*DH$12,1.5)),0,1)</f>
        <v>#N/A</v>
      </c>
      <c r="DI192" s="86" t="b">
        <f t="shared" si="253"/>
        <v>0</v>
      </c>
      <c r="DJ192" s="86">
        <f t="shared" si="254"/>
        <v>0.5</v>
      </c>
      <c r="DK192" s="86">
        <f t="shared" si="255"/>
        <v>0.5</v>
      </c>
      <c r="DL192" s="30" t="e">
        <f t="shared" ca="1" si="288"/>
        <v>#DIV/0!</v>
      </c>
      <c r="DM192" s="85" t="e">
        <f ca="1">IF(CS192&lt;=Hypothèses!$V$7,Hypothèses!$W$7,IF(CS192&lt;=Hypothèses!$V$8,Hypothèses!$W$8,IF(CS192&lt;=Hypothèses!$V$9,Hypothèses!$W$9,IF(CS192&lt;=Hypothèses!$V$10,Hypothèses!$W$10,IF(CS192&lt;=Hypothèses!$V$11,Hypothèses!$W$11,IF(CS192&lt;=Hypothèses!$V$12,Hypothèses!$W$12,IF(CS192&lt;=Hypothèses!$V$13,Hypothèses!$W$13,IF(CS192&lt;=Hypothèses!$V$14,Hypothèses!$W$14,IF(CS192&lt;=Hypothèses!$V$15,Hypothèses!$W$15,IF(CS192&lt;=Hypothèses!$V$16,Hypothèses!$W$16,IF(CS192&lt;=Hypothèses!$V$17,Hypothèses!$W$17,IF(CS192&lt;=Hypothèses!$V$18,Hypothèses!$W$18,""))))))))))))</f>
        <v>#DIV/0!</v>
      </c>
      <c r="DN192" s="87" t="e">
        <f t="shared" ca="1" si="321"/>
        <v>#DIV/0!</v>
      </c>
      <c r="DO192" s="88" t="e">
        <f ca="1">IF(CS192&lt;=Hypothèses!$V$7,Hypothèses!$X$7,IF(CS192&lt;=Hypothèses!$V$8,Hypothèses!$X$8,IF(CS192&lt;=Hypothèses!$V$9,Hypothèses!$X$9,IF(CS192&lt;=Hypothèses!$V$10,Hypothèses!$X$10,IF(CS192&lt;=Hypothèses!$V$11,Hypothèses!$X$11,IF(CS192&lt;=Hypothèses!$V$12,Hypothèses!$X$12,IF(CS192&lt;=Hypothèses!$V$13,Hypothèses!$X$13,IF(CS192&lt;=Hypothèses!$V$14,Hypothèses!$X$14,IF(CS192&lt;=Hypothèses!$V$15,Hypothèses!$X$15,IF(CS192&lt;=Hypothèses!$V$16,Hypothèses!$X$16,IF(CS192&lt;=Hypothèses!$U$17,Hypothèses!$W$17,IF(CS192&lt;=Hypothèses!$U$18,Hypothèses!$W$18,""))))))))))))</f>
        <v>#DIV/0!</v>
      </c>
      <c r="DP192" s="95" t="e">
        <f t="shared" ca="1" si="289"/>
        <v>#DIV/0!</v>
      </c>
      <c r="DQ192" s="101">
        <f t="shared" si="328"/>
        <v>0</v>
      </c>
      <c r="DR192" s="91">
        <f t="shared" si="256"/>
        <v>0</v>
      </c>
      <c r="DS192" s="30" t="e">
        <f t="shared" si="310"/>
        <v>#N/A</v>
      </c>
      <c r="DT192" s="30" t="e">
        <f t="shared" si="311"/>
        <v>#N/A</v>
      </c>
      <c r="DU192" s="31" t="e">
        <f>IF(OR(Hypothèses!$B$4=17,Hypothèses!$B$4=18,Hypothèses!$B$4=19,Hypothèses!$B$4=20),
IF($D192="Pressio.",
IF(OR($E192=3,$E192=1,$E192=4),DT192,DS192),
IF($D192="Pénétro.",
IF(OR($E192=3,$E192=1,$E192=4),DT192,DS192))),IF($D192="Pressio.",
IF($E192=3,DT192,DS192),
IF($D192="Pénétro.",
IF($E192=4,DT192,DS192))))</f>
        <v>#N/A</v>
      </c>
      <c r="DV192" s="31">
        <v>0</v>
      </c>
      <c r="DW192" s="102" t="e">
        <f>IF(NDC!$H$10="Oui",(VLOOKUP($B$3,'Coeff EC7'!$T$39:$X$59,2,0)*DU192+VLOOKUP($B$3,'Coeff EC7'!$T$65:$X$85,2,0)*Model0.1T!DV192)/1.5,PI()*DS$12*$Q192*($B192-$B191)*0.15/10+DW191)</f>
        <v>#N/A</v>
      </c>
      <c r="DX192" s="102" t="e">
        <f>(VLOOKUP($B$3,'Coeff EC7'!$T$39:$X$59,3,0)*DU192+VLOOKUP($B$3,'Coeff EC7'!$T$65:$X$85,3,0)*Model0.1T!DV192)/1.1</f>
        <v>#N/A</v>
      </c>
      <c r="DY192" s="102" t="e">
        <f t="shared" si="290"/>
        <v>#N/A</v>
      </c>
      <c r="DZ192" s="102" t="e">
        <f t="shared" si="291"/>
        <v>#N/A</v>
      </c>
      <c r="EA192" s="414" t="e">
        <f>IF(AND(DW192&gt;NDC!$C$63,DX192&gt;NDC!$C$65,DY192&gt;NDC!$D$73,DZ192&gt;NDC!$D$74,$B192&gt;NDC!$H$22-0.1+MIN(3*EA$12,1.5)),0,1)</f>
        <v>#N/A</v>
      </c>
      <c r="EB192" s="86" t="b">
        <f t="shared" si="257"/>
        <v>0</v>
      </c>
      <c r="EC192" s="418">
        <f t="shared" si="258"/>
        <v>0.51</v>
      </c>
      <c r="ED192" s="86">
        <f t="shared" si="259"/>
        <v>0.51</v>
      </c>
      <c r="EE192" s="30" t="e">
        <f t="shared" ca="1" si="292"/>
        <v>#DIV/0!</v>
      </c>
      <c r="EF192" s="85" t="e">
        <f ca="1">IF(DL192&lt;=Hypothèses!$V$7,Hypothèses!$W$7,IF(DL192&lt;=Hypothèses!$V$8,Hypothèses!$W$8,IF(DL192&lt;=Hypothèses!$V$9,Hypothèses!$W$9,IF(DL192&lt;=Hypothèses!$V$10,Hypothèses!$W$10,IF(DL192&lt;=Hypothèses!$V$11,Hypothèses!$W$11,IF(DL192&lt;=Hypothèses!$V$12,Hypothèses!$W$12,IF(DL192&lt;=Hypothèses!$V$13,Hypothèses!$W$13,IF(DL192&lt;=Hypothèses!$V$14,Hypothèses!$W$14,IF(DL192&lt;=Hypothèses!$V$15,Hypothèses!$W$15,IF(DL192&lt;=Hypothèses!$V$16,Hypothèses!$W$16,IF(DL192&lt;=Hypothèses!$V$17,Hypothèses!$W$17,IF(DL192&lt;=Hypothèses!$V$18,Hypothèses!$W$18,""))))))))))))</f>
        <v>#DIV/0!</v>
      </c>
      <c r="EG192" s="87" t="e">
        <f t="shared" ca="1" si="322"/>
        <v>#DIV/0!</v>
      </c>
      <c r="EH192" s="88" t="e">
        <f ca="1">IF(DL192&lt;=Hypothèses!$V$7,Hypothèses!$X$7,IF(DL192&lt;=Hypothèses!$V$8,Hypothèses!$X$8,IF(DL192&lt;=Hypothèses!$V$9,Hypothèses!$X$9,IF(DL192&lt;=Hypothèses!$V$10,Hypothèses!$X$10,IF(DL192&lt;=Hypothèses!$V$11,Hypothèses!$X$11,IF(DL192&lt;=Hypothèses!$V$12,Hypothèses!$X$12,IF(DL192&lt;=Hypothèses!$V$13,Hypothèses!$X$13,IF(DL192&lt;=Hypothèses!$V$14,Hypothèses!$X$14,IF(DL192&lt;=Hypothèses!$V$15,Hypothèses!$X$15,IF(DL192&lt;=Hypothèses!$V$16,Hypothèses!$X$16,IF(DL192&lt;=Hypothèses!$U$17,Hypothèses!$W$17,IF(DL192&lt;=Hypothèses!$U$18,Hypothèses!$W$18,""))))))))))))</f>
        <v>#DIV/0!</v>
      </c>
      <c r="EI192" s="95" t="e">
        <f t="shared" ca="1" si="293"/>
        <v>#DIV/0!</v>
      </c>
      <c r="EJ192" s="101">
        <f t="shared" si="329"/>
        <v>0</v>
      </c>
      <c r="EK192" s="91">
        <f t="shared" si="260"/>
        <v>0</v>
      </c>
      <c r="EL192" s="30" t="e">
        <f t="shared" si="312"/>
        <v>#N/A</v>
      </c>
      <c r="EM192" s="30" t="e">
        <f t="shared" si="313"/>
        <v>#N/A</v>
      </c>
      <c r="EN192" s="31" t="e">
        <f>IF(OR(Hypothèses!$B$4=17,Hypothèses!$B$4=18,Hypothèses!$B$4=19,Hypothèses!$B$4=20),
IF($D192="Pressio.",
IF(OR($E192=3,$E192=1,$E192=4),EM192,EL192),
IF($D192="Pénétro.",
IF(OR($E192=3,$E192=1,$E192=4),EM192,EL192))),IF($D192="Pressio.",
IF($E192=3,EM192,EL192),
IF($D192="Pénétro.",
IF($E192=4,EM192,EL192))))</f>
        <v>#N/A</v>
      </c>
      <c r="EO192" s="31">
        <v>0</v>
      </c>
      <c r="EP192" s="102" t="e">
        <f>IF(NDC!$H$10="Oui",(VLOOKUP($B$3,'Coeff EC7'!$T$39:$X$59,2,0)*EN192+VLOOKUP($B$3,'Coeff EC7'!$T$65:$X$85,2,0)*Model0.1T!EO192)/1.5,PI()*EL$12*$Q192*($B192-$B191)*0.15/10+EP191)</f>
        <v>#N/A</v>
      </c>
      <c r="EQ192" s="102" t="e">
        <f>(VLOOKUP($B$3,'Coeff EC7'!$T$39:$X$59,3,0)*EN192+VLOOKUP($B$3,'Coeff EC7'!$T$65:$X$85,3,0)*Model0.1T!EO192)/1.1</f>
        <v>#N/A</v>
      </c>
      <c r="ER192" s="102" t="e">
        <f t="shared" si="294"/>
        <v>#N/A</v>
      </c>
      <c r="ES192" s="102" t="e">
        <f t="shared" si="295"/>
        <v>#N/A</v>
      </c>
      <c r="ET192" s="414" t="e">
        <f>IF(AND(EP192&gt;NDC!$C$63,EQ192&gt;NDC!$C$65,ER192&gt;NDC!$D$73,ES192&gt;NDC!$D$74,$B192&gt;NDC!$H$22-0.1+MIN(3*ET$12,1.5)),0,1)</f>
        <v>#N/A</v>
      </c>
      <c r="EU192" s="86" t="b">
        <f t="shared" si="261"/>
        <v>0</v>
      </c>
      <c r="EV192" s="86">
        <f t="shared" si="262"/>
        <v>0.61</v>
      </c>
      <c r="EW192" s="86">
        <f t="shared" si="263"/>
        <v>0.61</v>
      </c>
      <c r="EX192" s="30" t="e">
        <f t="shared" ca="1" si="296"/>
        <v>#DIV/0!</v>
      </c>
      <c r="EY192" s="85" t="e">
        <f ca="1">IF(EE192&lt;=Hypothèses!$V$7,Hypothèses!$W$7,IF(EE192&lt;=Hypothèses!$V$8,Hypothèses!$W$8,IF(EE192&lt;=Hypothèses!$V$9,Hypothèses!$W$9,IF(EE192&lt;=Hypothèses!$V$10,Hypothèses!$W$10,IF(EE192&lt;=Hypothèses!$V$11,Hypothèses!$W$11,IF(EE192&lt;=Hypothèses!$V$12,Hypothèses!$W$12,IF(EE192&lt;=Hypothèses!$V$13,Hypothèses!$W$13,IF(EE192&lt;=Hypothèses!$V$14,Hypothèses!$W$14,IF(EE192&lt;=Hypothèses!$V$15,Hypothèses!$W$15,IF(EE192&lt;=Hypothèses!$V$16,Hypothèses!$W$16,IF(EE192&lt;=Hypothèses!$V$17,Hypothèses!$W$17,IF(EE192&lt;=Hypothèses!$V$18,Hypothèses!$W$18,""))))))))))))</f>
        <v>#DIV/0!</v>
      </c>
      <c r="EZ192" s="87" t="e">
        <f t="shared" ca="1" si="323"/>
        <v>#DIV/0!</v>
      </c>
      <c r="FA192" s="88" t="e">
        <f ca="1">IF(EE192&lt;=Hypothèses!$V$7,Hypothèses!$X$7,IF(EE192&lt;=Hypothèses!$V$8,Hypothèses!$X$8,IF(EE192&lt;=Hypothèses!$V$9,Hypothèses!$X$9,IF(EE192&lt;=Hypothèses!$V$10,Hypothèses!$X$10,IF(EE192&lt;=Hypothèses!$V$11,Hypothèses!$X$11,IF(EE192&lt;=Hypothèses!$V$12,Hypothèses!$X$12,IF(EE192&lt;=Hypothèses!$V$13,Hypothèses!$X$13,IF(EE192&lt;=Hypothèses!$V$14,Hypothèses!$X$14,IF(EE192&lt;=Hypothèses!$V$15,Hypothèses!$X$15,IF(EE192&lt;=Hypothèses!$V$16,Hypothèses!$X$16,IF(EE192&lt;=Hypothèses!$U$17,Hypothèses!$W$17,IF(EE192&lt;=Hypothèses!$U$18,Hypothèses!$W$18,""))))))))))))</f>
        <v>#DIV/0!</v>
      </c>
      <c r="FB192" s="95" t="e">
        <f t="shared" ca="1" si="297"/>
        <v>#DIV/0!</v>
      </c>
      <c r="FC192" s="101">
        <f t="shared" si="330"/>
        <v>0</v>
      </c>
      <c r="FD192" s="91">
        <f t="shared" si="264"/>
        <v>0</v>
      </c>
      <c r="FE192" s="30" t="e">
        <f t="shared" si="314"/>
        <v>#N/A</v>
      </c>
      <c r="FF192" s="30" t="e">
        <f t="shared" si="315"/>
        <v>#N/A</v>
      </c>
      <c r="FG192" s="31" t="e">
        <f>IF(OR(Hypothèses!$B$4=17,Hypothèses!$B$4=18,Hypothèses!$B$4=19,Hypothèses!$B$4=20),
IF($D192="Pressio.",
IF(OR($E192=3,$E192=1,$E192=4),FF192,FE192),
IF($D192="Pénétro.",
IF(OR($E192=3,$E192=1,$E192=4),FF192,FE192))),IF($D192="Pressio.",
IF($E192=3,FF192,FE192),
IF($D192="Pénétro.",
IF($E192=4,FF192,FE192))))</f>
        <v>#N/A</v>
      </c>
      <c r="FH192" s="31">
        <v>0</v>
      </c>
      <c r="FI192" s="102" t="e">
        <f>IF(NDC!$H$10="Oui",(VLOOKUP($B$3,'Coeff EC7'!$T$39:$X$59,2,0)*FG192+VLOOKUP($B$3,'Coeff EC7'!$T$65:$X$85,2,0)*Model0.1T!FH192)/1.5,PI()*FE$12*$Q192*($B192-$B191)*0.15/10+FI191)</f>
        <v>#N/A</v>
      </c>
      <c r="FJ192" s="102" t="e">
        <f>(VLOOKUP($B$3,'Coeff EC7'!$T$39:$X$59,3,0)*FG192+VLOOKUP($B$3,'Coeff EC7'!$T$65:$X$85,3,0)*Model0.1T!FH192)/1.1</f>
        <v>#N/A</v>
      </c>
      <c r="FK192" s="102" t="e">
        <f t="shared" si="298"/>
        <v>#N/A</v>
      </c>
      <c r="FL192" s="102" t="e">
        <f t="shared" si="299"/>
        <v>#N/A</v>
      </c>
      <c r="FM192" s="414" t="e">
        <f>IF(AND(FI192&gt;NDC!$C$63,FJ192&gt;NDC!$C$65,FK192&gt;NDC!$D$73,FL192&gt;NDC!$D$74,$B192&gt;NDC!$H$22-0.1+MIN(3*FM$12,1.5)),0,1)</f>
        <v>#N/A</v>
      </c>
    </row>
    <row r="193" spans="1:169">
      <c r="A193" s="96">
        <f t="shared" si="265"/>
        <v>82.000000000001023</v>
      </c>
      <c r="B193" s="97">
        <v>18</v>
      </c>
      <c r="C193" s="81">
        <f>IF(B193&lt;=Hypothèses!$C$7,Hypothèses!$A$7,IF(B193&lt;=Hypothèses!$C$8,Hypothèses!$A$8,IF(B193&lt;=Hypothèses!$C$9,Hypothèses!$A$9,IF(B193&lt;=Hypothèses!$C$10,Hypothèses!$A$10,IF(B193&lt;=Hypothèses!$C$11,Hypothèses!$A$11,IF(B193&lt;=Hypothèses!$C$12,Hypothèses!$A$12,IF(B193&lt;=Hypothèses!$C$13,Hypothèses!$A$13,IF(B193&lt;=Hypothèses!$C$14,Hypothèses!$A$14,IF(B193&lt;=Hypothèses!$C$15,Hypothèses!$A$15,IF(B193&lt;=Hypothèses!$C$16,Hypothèses!$A$16,IF(B193&lt;=Hypothèses!$C$17,Hypothèses!$A$17,IF(B193&lt;=Hypothèses!$C$18,Hypothèses!$A$18,C192))))))))))))</f>
        <v>11</v>
      </c>
      <c r="D193" s="82" t="str">
        <f>IF(B193&lt;=Hypothèses!$C$7,Hypothèses!$R$7,IF(B193&lt;=Hypothèses!$C$8,Hypothèses!$R$8,IF(B193&lt;=Hypothèses!$C$9,Hypothèses!$R$9,IF(B193&lt;=Hypothèses!$C$10,Hypothèses!$R$10,IF(B193&lt;=Hypothèses!$C$11,Hypothèses!$R$11,IF(B193&lt;=Hypothèses!$C$12,Hypothèses!$R$12,IF(B193&lt;=Hypothèses!$C$13,Hypothèses!$R$13,IF(B193&lt;=Hypothèses!$C$14,Hypothèses!$R$14,IF(B193&lt;=Hypothèses!$C$15,Hypothèses!$R$15,IF(B193&lt;=Hypothèses!$C$16,Hypothèses!$R$16,IF(B193&lt;=Hypothèses!$C$17,Hypothèses!$R$17,IF(B193&lt;=Hypothèses!$C$18,Hypothèses!$R$18,D192))))))))))))</f>
        <v>Pressio.</v>
      </c>
      <c r="E193" s="82" t="e">
        <f>IF(B193&lt;=Hypothèses!$C$7,Hypothèses!$G$7,IF(B193&lt;=Hypothèses!$C$8,Hypothèses!$G$8,IF(B193&lt;=Hypothèses!$C$9,Hypothèses!$G$9,IF(B193&lt;=Hypothèses!$C$10,Hypothèses!$G$10,IF(B193&lt;=Hypothèses!$C$11,Hypothèses!$G$11,IF(B193&lt;=Hypothèses!$C$12,Hypothèses!$G$12,IF(B193&lt;=Hypothèses!$C$13,Hypothèses!$G$13,IF(B193&lt;=Hypothèses!$C$14,Hypothèses!$G$14,IF(B193&lt;=Hypothèses!$C$15,Hypothèses!$G$15,IF(B193&lt;=Hypothèses!$C$16,Hypothèses!$G$16,IF(B193&lt;=Hypothèses!$C$17,Hypothèses!$G$17,IF(B193&lt;=Hypothèses!$C$18,Hypothèses!$G$18,E192))))))))))))</f>
        <v>#N/A</v>
      </c>
      <c r="F193" s="82" t="str">
        <f>IF(B193&lt;=Hypothèses!$C$7,Hypothèses!$F$7,IF(B193&lt;=Hypothèses!$C$8,Hypothèses!$F$8,IF(B193&lt;=Hypothèses!$C$9,Hypothèses!$F$9,IF(B193&lt;=Hypothèses!$C$10,Hypothèses!$F$10,IF(B193&lt;=Hypothèses!$C$11,Hypothèses!$F$11,IF(B193&lt;=Hypothèses!$C$12,Hypothèses!$F$12,IF(B193&lt;=Hypothèses!$C$13,Hypothèses!$F$13,IF(B193&lt;=Hypothèses!$C$14,Hypothèses!$F$14,IF(B193&lt;=Hypothèses!$C$15,Hypothèses!$F$15,IF(B193&lt;=Hypothèses!$C$16,Hypothèses!$F$16,IF(B193&lt;=Hypothèses!$C$17,Hypothèses!$F$17,IF(B193&lt;=Hypothèses!$C$18,Hypothèses!$F$18,F192))))))))))))</f>
        <v/>
      </c>
      <c r="G193" s="91">
        <f t="array" ref="G193">INDEX('Coeff EC7'!$U$7:$X$27,
MATCH(Model0.1T!$B$3,'Coeff EC7'!$T$7:$T$27,0),
MATCH(Model0.1T!$D193&amp;Model0.1T!$B$4,
'Coeff EC7'!$U$6:$X$6&amp;
'Coeff EC7'!$U$5:$X$5,0))</f>
        <v>1.4</v>
      </c>
      <c r="H193" s="91">
        <f t="array" ref="H193">INDEX('Coeff EC7'!$Y$7:$AB$27,
MATCH(Model0.1T!$B$3,'Coeff EC7'!$T$7:$T$27,0),
MATCH(Model0.1T!$D193&amp;Model0.1T!$B$4,
'Coeff EC7'!$Y$6:$AB$6&amp;
'Coeff EC7'!$Y$5:$AB$5,0))</f>
        <v>1.7</v>
      </c>
      <c r="I193" s="83">
        <v>0</v>
      </c>
      <c r="J193" s="91" t="e">
        <f t="array" ref="J193">INDEX('Coeff EC7'!$D$33:$Q$33,1,MATCH(D193&amp;E193,'Coeff EC7'!$D$31:$Q$31&amp;'Coeff EC7'!$D$32:$Q$32,0))</f>
        <v>#N/A</v>
      </c>
      <c r="K193" s="91" t="e">
        <f t="array" ref="K193">INDEX('Coeff EC7'!$D$34:$Q$34,1,MATCH(D193&amp;E193,'Coeff EC7'!$D$31:$Q$31&amp;'Coeff EC7'!$D$32:$Q$32,0))</f>
        <v>#N/A</v>
      </c>
      <c r="L193" s="91" t="e">
        <f t="array" ref="L193">INDEX('Coeff EC7'!$D$35:$Q$35,1,MATCH(D193&amp;E193,'Coeff EC7'!$D$31:$Q$31&amp;'Coeff EC7'!$D$32:$Q$32,0))</f>
        <v>#N/A</v>
      </c>
      <c r="M193" s="98" t="e">
        <f t="shared" si="231"/>
        <v>#N/A</v>
      </c>
      <c r="N193" s="99" t="e">
        <f t="array" ref="N193">INDEX('Coeff EC7'!$D$7:$Q$27,MATCH($B$3,'Coeff EC7'!$C$7:$C$27,0),MATCH(D193&amp;E193,'Coeff EC7'!$D$5:$Q$5&amp;'Coeff EC7'!$D$6:$Q$6,0))</f>
        <v>#N/A</v>
      </c>
      <c r="O193" s="99" t="e">
        <f t="array" ref="O193">INDEX('Coeff EC7'!$D$41:$Q$61,MATCH($B$3,'Coeff EC7'!$C$41:$C$61,0),MATCH(D193&amp;E193,'Coeff EC7'!$D$39:$Q$39&amp;'Coeff EC7'!$D$40:$Q$40,0))</f>
        <v>#N/A</v>
      </c>
      <c r="P193" s="30" t="e">
        <f t="shared" si="266"/>
        <v>#N/A</v>
      </c>
      <c r="Q193" s="100" t="e">
        <f t="shared" si="233"/>
        <v>#N/A</v>
      </c>
      <c r="R193" s="86" t="b">
        <f t="shared" si="234"/>
        <v>0</v>
      </c>
      <c r="S193" s="86">
        <f t="shared" si="232"/>
        <v>0.5</v>
      </c>
      <c r="T193" s="86">
        <f t="shared" si="235"/>
        <v>0.5</v>
      </c>
      <c r="U193" s="30" t="e">
        <f t="shared" ca="1" si="267"/>
        <v>#DIV/0!</v>
      </c>
      <c r="V193" s="85" t="str">
        <f>IF(B193&lt;=Hypothèses!$V$7,Hypothèses!$W$7,IF(B193&lt;=Hypothèses!$V$8,Hypothèses!$W$8,IF(B193&lt;=Hypothèses!$V$9,Hypothèses!$W$9,IF(B193&lt;=Hypothèses!$V$10,Hypothèses!$W$10,IF(B193&lt;=Hypothèses!$V$11,Hypothèses!$W$11,IF(B193&lt;=Hypothèses!$V$12,Hypothèses!$W$12,IF(B193&lt;=Hypothèses!$V$13,Hypothèses!$W$13,IF(B193&lt;=Hypothèses!$V$14,Hypothèses!$W$14,IF(B193&lt;=Hypothèses!$V$15,Hypothèses!$W$15,IF(B193&lt;=Hypothèses!$V$16,Hypothèses!$W$16,IF(B193&lt;=Hypothèses!$V$17,Hypothèses!$W$17,IF(B193&lt;=Hypothèses!$V$18,Hypothèses!$W$18,""))))))))))))</f>
        <v/>
      </c>
      <c r="W193" s="87" t="e">
        <f t="shared" ca="1" si="316"/>
        <v>#DIV/0!</v>
      </c>
      <c r="X193" s="88" t="str">
        <f>IF(B193&lt;=Hypothèses!$V$7,Hypothèses!$X$7,IF(B193&lt;=Hypothèses!$V$8,Hypothèses!$X$8,IF(B193&lt;=Hypothèses!$V$9,Hypothèses!$X$9,IF(B193&lt;=Hypothèses!$V$10,Hypothèses!$X$10,IF(B193&lt;=Hypothèses!$V$11,Hypothèses!$X$11,IF(B193&lt;=Hypothèses!$V$12,Hypothèses!$X$12,IF(B193&lt;=Hypothèses!$V$13,Hypothèses!$X$13,IF(B193&lt;=Hypothèses!$V$14,Hypothèses!$X$14,IF(B193&lt;=Hypothèses!$V$15,Hypothèses!$X$15,IF(B193&lt;=Hypothèses!$V$16,Hypothèses!$X$16,IF(B193&lt;=Hypothèses!$U$17,Hypothèses!$W$17,IF(B193&lt;=Hypothèses!$U$18,Hypothèses!$W$18,""))))))))))))</f>
        <v/>
      </c>
      <c r="Y193" s="95" t="e">
        <f t="shared" ca="1" si="236"/>
        <v>#DIV/0!</v>
      </c>
      <c r="Z193" s="101">
        <f t="shared" si="237"/>
        <v>0</v>
      </c>
      <c r="AA193" s="91">
        <f t="shared" si="238"/>
        <v>0</v>
      </c>
      <c r="AB193" s="30" t="e">
        <f t="shared" si="300"/>
        <v>#N/A</v>
      </c>
      <c r="AC193" s="30" t="e">
        <f t="shared" si="301"/>
        <v>#N/A</v>
      </c>
      <c r="AD193" s="31" t="e">
        <f>IF(OR(Hypothèses!$B$4=17,Hypothèses!$B$4=18,Hypothèses!$B$4=19,Hypothèses!$B$4=20),
IF($D193="Pressio.",
IF(OR($E193=3,$E193=1,$E193=4),AC193,AB193),
IF($D193="Pénétro.",
IF(OR($E193=3,$E193=1,$E193=4),AC193,AB193))),IF($D193="Pressio.",
IF($E193=3,AC193,AB193),
IF($D193="Pénétro.",
IF($E193=4,AC193,AB193))))</f>
        <v>#N/A</v>
      </c>
      <c r="AE193" s="31">
        <v>0</v>
      </c>
      <c r="AF193" s="102" t="e">
        <f>IF(NDC!$H$10="Oui",(VLOOKUP($B$3,'Coeff EC7'!$T$39:$X$59,2,0)*AD193+VLOOKUP($B$3,'Coeff EC7'!$T$65:$X$85,2,0)*Model0.1T!AE193)/1.5,PI()*AB$12*$Q193*($B193-$B192)*0.15/10+AF192)</f>
        <v>#N/A</v>
      </c>
      <c r="AG193" s="102" t="e">
        <f>(VLOOKUP($B$3,'Coeff EC7'!$T$39:$X$59,3,0)*AD193+VLOOKUP($B$3,'Coeff EC7'!$T$65:$X$85,3,0)*Model0.1T!AE193)/1.1</f>
        <v>#N/A</v>
      </c>
      <c r="AH193" s="102" t="e">
        <f t="shared" si="268"/>
        <v>#N/A</v>
      </c>
      <c r="AI193" s="102" t="e">
        <f t="shared" si="269"/>
        <v>#N/A</v>
      </c>
      <c r="AJ193" s="414" t="e">
        <f>IF(AND(AF193&gt;NDC!$C$63,AG193&gt;NDC!$C$65,AH193&gt;NDC!$D$73,AI193&gt;NDC!$D$74,$B193&gt;NDC!$H$22-0.1+MIN(3*$AJ$12,1.5)),0,1)</f>
        <v>#N/A</v>
      </c>
      <c r="AK193" s="86" t="b">
        <f t="shared" si="239"/>
        <v>0</v>
      </c>
      <c r="AL193" s="86">
        <f t="shared" si="270"/>
        <v>0.5</v>
      </c>
      <c r="AM193" s="86">
        <f t="shared" si="240"/>
        <v>0.5</v>
      </c>
      <c r="AN193" s="30" t="e">
        <f t="shared" ca="1" si="271"/>
        <v>#DIV/0!</v>
      </c>
      <c r="AO193" s="85" t="e">
        <f ca="1">IF(U193&lt;=Hypothèses!$V$7,Hypothèses!$W$7,IF(U193&lt;=Hypothèses!$V$8,Hypothèses!$W$8,IF(U193&lt;=Hypothèses!$V$9,Hypothèses!$W$9,IF(U193&lt;=Hypothèses!$V$10,Hypothèses!$W$10,IF(U193&lt;=Hypothèses!$V$11,Hypothèses!$W$11,IF(U193&lt;=Hypothèses!$V$12,Hypothèses!$W$12,IF(U193&lt;=Hypothèses!$V$13,Hypothèses!$W$13,IF(U193&lt;=Hypothèses!$V$14,Hypothèses!$W$14,IF(U193&lt;=Hypothèses!$V$15,Hypothèses!$W$15,IF(U193&lt;=Hypothèses!$V$16,Hypothèses!$W$16,IF(U193&lt;=Hypothèses!$V$17,Hypothèses!$W$17,IF(U193&lt;=Hypothèses!$V$18,Hypothèses!$W$18,""))))))))))))</f>
        <v>#DIV/0!</v>
      </c>
      <c r="AP193" s="87" t="e">
        <f t="shared" ca="1" si="317"/>
        <v>#DIV/0!</v>
      </c>
      <c r="AQ193" s="88" t="e">
        <f ca="1">IF(U193&lt;=Hypothèses!$V$7,Hypothèses!$X$7,IF(U193&lt;=Hypothèses!$V$8,Hypothèses!$X$8,IF(U193&lt;=Hypothèses!$V$9,Hypothèses!$X$9,IF(U193&lt;=Hypothèses!$V$10,Hypothèses!$X$10,IF(U193&lt;=Hypothèses!$V$11,Hypothèses!$X$11,IF(U193&lt;=Hypothèses!$V$12,Hypothèses!$X$12,IF(U193&lt;=Hypothèses!$V$13,Hypothèses!$X$13,IF(U193&lt;=Hypothèses!$V$14,Hypothèses!$X$14,IF(U193&lt;=Hypothèses!$V$15,Hypothèses!$X$15,IF(U193&lt;=Hypothèses!$V$16,Hypothèses!$X$16,IF(U193&lt;=Hypothèses!$U$17,Hypothèses!$W$17,IF(U193&lt;=Hypothèses!$U$18,Hypothèses!$W$18,""))))))))))))</f>
        <v>#DIV/0!</v>
      </c>
      <c r="AR193" s="95" t="e">
        <f t="shared" ca="1" si="272"/>
        <v>#DIV/0!</v>
      </c>
      <c r="AS193" s="101">
        <f t="shared" si="324"/>
        <v>0</v>
      </c>
      <c r="AT193" s="91">
        <f t="shared" si="241"/>
        <v>0</v>
      </c>
      <c r="AU193" s="30" t="e">
        <f t="shared" si="302"/>
        <v>#N/A</v>
      </c>
      <c r="AV193" s="30" t="e">
        <f t="shared" si="303"/>
        <v>#N/A</v>
      </c>
      <c r="AW193" s="31" t="e">
        <f>IF(OR(Hypothèses!$B$4=17,Hypothèses!$B$4=18,Hypothèses!$B$4=19,Hypothèses!$B$4=20),
IF($D193="Pressio.",
IF(OR($E193=3,$E193=1,$E193=4),AV193,AU193),
IF($D193="Pénétro.",
IF(OR($E193=3,$E193=1,$E193=4),AV193,AU193))),IF($D193="Pressio.",
IF($E193=3,AV193,AU193),
IF($D193="Pénétro.",
IF($E193=4,AV193,AU193))))</f>
        <v>#N/A</v>
      </c>
      <c r="AX193" s="31">
        <v>0</v>
      </c>
      <c r="AY193" s="102" t="e">
        <f>IF(NDC!$H$10="Oui",(VLOOKUP($B$3,'Coeff EC7'!$T$39:$X$59,2,0)*AW193+VLOOKUP($B$3,'Coeff EC7'!$T$65:$X$85,2,0)*Model0.1T!AX193)/1.5,PI()*AU$12*$Q193*($B193-$B192)*0.15/10+AY192)</f>
        <v>#N/A</v>
      </c>
      <c r="AZ193" s="102" t="e">
        <f>(VLOOKUP($B$3,'Coeff EC7'!$T$39:$X$59,3,0)*AW193+VLOOKUP($B$3,'Coeff EC7'!$T$65:$X$85,3,0)*Model0.1T!AX193)/1.1</f>
        <v>#N/A</v>
      </c>
      <c r="BA193" s="102" t="e">
        <f t="shared" si="273"/>
        <v>#N/A</v>
      </c>
      <c r="BB193" s="102" t="e">
        <f t="shared" si="274"/>
        <v>#N/A</v>
      </c>
      <c r="BC193" s="414" t="e">
        <f>IF(AND(AY193&gt;NDC!$C$63,AZ193&gt;NDC!$C$65,BA193&gt;NDC!$D$73,BB193&gt;NDC!$D$74,$B193&gt;NDC!$H$22-0.1+MIN(3*BC$12,1.5)),0,1)</f>
        <v>#N/A</v>
      </c>
      <c r="BD193" s="86" t="b">
        <f t="shared" si="242"/>
        <v>0</v>
      </c>
      <c r="BE193" s="86">
        <f t="shared" si="275"/>
        <v>0.5</v>
      </c>
      <c r="BF193" s="86">
        <f t="shared" si="243"/>
        <v>0.5</v>
      </c>
      <c r="BG193" s="30" t="e">
        <f t="shared" ca="1" si="276"/>
        <v>#DIV/0!</v>
      </c>
      <c r="BH193" s="85" t="e">
        <f ca="1">IF(AN193&lt;=Hypothèses!$V$7,Hypothèses!$W$7,IF(AN193&lt;=Hypothèses!$V$8,Hypothèses!$W$8,IF(AN193&lt;=Hypothèses!$V$9,Hypothèses!$W$9,IF(AN193&lt;=Hypothèses!$V$10,Hypothèses!$W$10,IF(AN193&lt;=Hypothèses!$V$11,Hypothèses!$W$11,IF(AN193&lt;=Hypothèses!$V$12,Hypothèses!$W$12,IF(AN193&lt;=Hypothèses!$V$13,Hypothèses!$W$13,IF(AN193&lt;=Hypothèses!$V$14,Hypothèses!$W$14,IF(AN193&lt;=Hypothèses!$V$15,Hypothèses!$W$15,IF(AN193&lt;=Hypothèses!$V$16,Hypothèses!$W$16,IF(AN193&lt;=Hypothèses!$V$17,Hypothèses!$W$17,IF(AN193&lt;=Hypothèses!$V$18,Hypothèses!$W$18,""))))))))))))</f>
        <v>#DIV/0!</v>
      </c>
      <c r="BI193" s="87" t="e">
        <f t="shared" ca="1" si="318"/>
        <v>#DIV/0!</v>
      </c>
      <c r="BJ193" s="88" t="e">
        <f ca="1">IF(AN193&lt;=Hypothèses!$V$7,Hypothèses!$X$7,IF(AN193&lt;=Hypothèses!$V$8,Hypothèses!$X$8,IF(AN193&lt;=Hypothèses!$V$9,Hypothèses!$X$9,IF(AN193&lt;=Hypothèses!$V$10,Hypothèses!$X$10,IF(AN193&lt;=Hypothèses!$V$11,Hypothèses!$X$11,IF(AN193&lt;=Hypothèses!$V$12,Hypothèses!$X$12,IF(AN193&lt;=Hypothèses!$V$13,Hypothèses!$X$13,IF(AN193&lt;=Hypothèses!$V$14,Hypothèses!$X$14,IF(AN193&lt;=Hypothèses!$V$15,Hypothèses!$X$15,IF(AN193&lt;=Hypothèses!$V$16,Hypothèses!$X$16,IF(AN193&lt;=Hypothèses!$U$17,Hypothèses!$W$17,IF(AN193&lt;=Hypothèses!$U$18,Hypothèses!$W$18,""))))))))))))</f>
        <v>#DIV/0!</v>
      </c>
      <c r="BK193" s="95" t="e">
        <f t="shared" ca="1" si="277"/>
        <v>#DIV/0!</v>
      </c>
      <c r="BL193" s="101">
        <f t="shared" si="325"/>
        <v>0</v>
      </c>
      <c r="BM193" s="91">
        <f t="shared" si="244"/>
        <v>0</v>
      </c>
      <c r="BN193" s="30" t="e">
        <f t="shared" si="304"/>
        <v>#N/A</v>
      </c>
      <c r="BO193" s="30" t="e">
        <f t="shared" si="305"/>
        <v>#N/A</v>
      </c>
      <c r="BP193" s="31" t="e">
        <f>IF(OR(Hypothèses!$B$4=17,Hypothèses!$B$4=18,Hypothèses!$B$4=19,Hypothèses!$B$4=20),
IF($D193="Pressio.",
IF(OR($E193=3,$E193=1,$E193=4),BO193,BN193),
IF($D193="Pénétro.",
IF(OR($E193=3,$E193=1,$E193=4),BO193,BN193))),IF($D193="Pressio.",
IF($E193=3,BO193,BN193),
IF($D193="Pénétro.",
IF($E193=4,BO193,BN193))))</f>
        <v>#N/A</v>
      </c>
      <c r="BQ193" s="31">
        <v>0</v>
      </c>
      <c r="BR193" s="102" t="e">
        <f>IF(NDC!$H$10="Oui",(VLOOKUP($B$3,'Coeff EC7'!$T$39:$X$59,2,0)*BP193+VLOOKUP($B$3,'Coeff EC7'!$T$65:$X$85,2,0)*Model0.1T!BQ193)/1.5,PI()*BN$12*$Q193*($B193-$B192)*0.15/10+BR192)</f>
        <v>#N/A</v>
      </c>
      <c r="BS193" s="102" t="e">
        <f>(VLOOKUP($B$3,'Coeff EC7'!$T$39:$X$59,3,0)*BP193+VLOOKUP($B$3,'Coeff EC7'!$T$65:$X$85,3,0)*Model0.1T!BQ193)/1.1</f>
        <v>#N/A</v>
      </c>
      <c r="BT193" s="102" t="e">
        <f t="shared" si="278"/>
        <v>#N/A</v>
      </c>
      <c r="BU193" s="102" t="e">
        <f t="shared" si="279"/>
        <v>#N/A</v>
      </c>
      <c r="BV193" s="414" t="e">
        <f>IF(AND(BR193&gt;NDC!$C$63,BS193&gt;NDC!$C$65,BT193&gt;NDC!$D$73,BU193&gt;NDC!$D$74,$B193&gt;NDC!$H$22-0.1+MIN(3*BV$12,1.5)),0,1)</f>
        <v>#N/A</v>
      </c>
      <c r="BW193" s="86" t="b">
        <f t="shared" si="245"/>
        <v>0</v>
      </c>
      <c r="BX193" s="86">
        <f t="shared" si="246"/>
        <v>0.5</v>
      </c>
      <c r="BY193" s="86">
        <f t="shared" si="247"/>
        <v>0.5</v>
      </c>
      <c r="BZ193" s="30" t="e">
        <f t="shared" ca="1" si="280"/>
        <v>#DIV/0!</v>
      </c>
      <c r="CA193" s="85" t="e">
        <f ca="1">IF(BG193&lt;=Hypothèses!$V$7,Hypothèses!$W$7,IF(BG193&lt;=Hypothèses!$V$8,Hypothèses!$W$8,IF(BG193&lt;=Hypothèses!$V$9,Hypothèses!$W$9,IF(BG193&lt;=Hypothèses!$V$10,Hypothèses!$W$10,IF(BG193&lt;=Hypothèses!$V$11,Hypothèses!$W$11,IF(BG193&lt;=Hypothèses!$V$12,Hypothèses!$W$12,IF(BG193&lt;=Hypothèses!$V$13,Hypothèses!$W$13,IF(BG193&lt;=Hypothèses!$V$14,Hypothèses!$W$14,IF(BG193&lt;=Hypothèses!$V$15,Hypothèses!$W$15,IF(BG193&lt;=Hypothèses!$V$16,Hypothèses!$W$16,IF(BG193&lt;=Hypothèses!$V$17,Hypothèses!$W$17,IF(BG193&lt;=Hypothèses!$V$18,Hypothèses!$W$18,""))))))))))))</f>
        <v>#DIV/0!</v>
      </c>
      <c r="CB193" s="87" t="e">
        <f t="shared" ca="1" si="319"/>
        <v>#DIV/0!</v>
      </c>
      <c r="CC193" s="88" t="e">
        <f ca="1">IF(BG193&lt;=Hypothèses!$V$7,Hypothèses!$X$7,IF(BG193&lt;=Hypothèses!$V$8,Hypothèses!$X$8,IF(BG193&lt;=Hypothèses!$V$9,Hypothèses!$X$9,IF(BG193&lt;=Hypothèses!$V$10,Hypothèses!$X$10,IF(BG193&lt;=Hypothèses!$V$11,Hypothèses!$X$11,IF(BG193&lt;=Hypothèses!$V$12,Hypothèses!$X$12,IF(BG193&lt;=Hypothèses!$V$13,Hypothèses!$X$13,IF(BG193&lt;=Hypothèses!$V$14,Hypothèses!$X$14,IF(BG193&lt;=Hypothèses!$V$15,Hypothèses!$X$15,IF(BG193&lt;=Hypothèses!$V$16,Hypothèses!$X$16,IF(BG193&lt;=Hypothèses!$U$17,Hypothèses!$W$17,IF(BG193&lt;=Hypothèses!$U$18,Hypothèses!$W$18,""))))))))))))</f>
        <v>#DIV/0!</v>
      </c>
      <c r="CD193" s="95" t="e">
        <f t="shared" ca="1" si="281"/>
        <v>#DIV/0!</v>
      </c>
      <c r="CE193" s="101">
        <f t="shared" si="326"/>
        <v>0</v>
      </c>
      <c r="CF193" s="91">
        <f t="shared" si="248"/>
        <v>0</v>
      </c>
      <c r="CG193" s="30" t="e">
        <f t="shared" si="306"/>
        <v>#N/A</v>
      </c>
      <c r="CH193" s="30" t="e">
        <f t="shared" si="307"/>
        <v>#N/A</v>
      </c>
      <c r="CI193" s="31" t="e">
        <f>IF(OR(Hypothèses!$B$4=17,Hypothèses!$B$4=18,Hypothèses!$B$4=19,Hypothèses!$B$4=20),
IF($D193="Pressio.",
IF(OR($E193=3,$E193=1,$E193=4),CH193,CG193),
IF($D193="Pénétro.",
IF(OR($E193=3,$E193=1,$E193=4),CH193,CG193))),IF($D193="Pressio.",
IF($E193=3,CH193,CG193),
IF($D193="Pénétro.",
IF($E193=4,CH193,CG193))))</f>
        <v>#N/A</v>
      </c>
      <c r="CJ193" s="31">
        <v>0</v>
      </c>
      <c r="CK193" s="102" t="e">
        <f>IF(NDC!$H$10="Oui",(VLOOKUP($B$3,'Coeff EC7'!$T$39:$X$59,2,0)*CI193+VLOOKUP($B$3,'Coeff EC7'!$T$65:$X$85,2,0)*Model0.1T!CJ193)/1.5,PI()*CG$12*$Q193*($B193-$B192)*0.15/10+CK192)</f>
        <v>#N/A</v>
      </c>
      <c r="CL193" s="102" t="e">
        <f>(VLOOKUP($B$3,'Coeff EC7'!$T$39:$X$59,3,0)*CI193+VLOOKUP($B$3,'Coeff EC7'!$T$65:$X$85,3,0)*Model0.1T!CJ193)/1.1</f>
        <v>#N/A</v>
      </c>
      <c r="CM193" s="102" t="e">
        <f t="shared" si="282"/>
        <v>#N/A</v>
      </c>
      <c r="CN193" s="102" t="e">
        <f t="shared" si="283"/>
        <v>#N/A</v>
      </c>
      <c r="CO193" s="414" t="e">
        <f>IF(AND(CK193&gt;NDC!$C$63,CL193&gt;NDC!$C$65,CM193&gt;NDC!$D$73,CN193&gt;NDC!$D$74,$B193&gt;NDC!$H$22-0.1+MIN(3*CO$12,1.5)),0,1)</f>
        <v>#N/A</v>
      </c>
      <c r="CP193" s="86" t="b">
        <f t="shared" si="249"/>
        <v>0</v>
      </c>
      <c r="CQ193" s="86">
        <f t="shared" si="250"/>
        <v>0.5</v>
      </c>
      <c r="CR193" s="86">
        <f t="shared" si="251"/>
        <v>0.5</v>
      </c>
      <c r="CS193" s="30" t="e">
        <f t="shared" ca="1" si="284"/>
        <v>#DIV/0!</v>
      </c>
      <c r="CT193" s="85" t="e">
        <f ca="1">IF(BZ193&lt;=Hypothèses!$V$7,Hypothèses!$W$7,IF(BZ193&lt;=Hypothèses!$V$8,Hypothèses!$W$8,IF(BZ193&lt;=Hypothèses!$V$9,Hypothèses!$W$9,IF(BZ193&lt;=Hypothèses!$V$10,Hypothèses!$W$10,IF(BZ193&lt;=Hypothèses!$V$11,Hypothèses!$W$11,IF(BZ193&lt;=Hypothèses!$V$12,Hypothèses!$W$12,IF(BZ193&lt;=Hypothèses!$V$13,Hypothèses!$W$13,IF(BZ193&lt;=Hypothèses!$V$14,Hypothèses!$W$14,IF(BZ193&lt;=Hypothèses!$V$15,Hypothèses!$W$15,IF(BZ193&lt;=Hypothèses!$V$16,Hypothèses!$W$16,IF(BZ193&lt;=Hypothèses!$V$17,Hypothèses!$W$17,IF(BZ193&lt;=Hypothèses!$V$18,Hypothèses!$W$18,""))))))))))))</f>
        <v>#DIV/0!</v>
      </c>
      <c r="CU193" s="87" t="e">
        <f t="shared" ca="1" si="320"/>
        <v>#DIV/0!</v>
      </c>
      <c r="CV193" s="88" t="e">
        <f ca="1">IF(BZ193&lt;=Hypothèses!$V$7,Hypothèses!$X$7,IF(BZ193&lt;=Hypothèses!$V$8,Hypothèses!$X$8,IF(BZ193&lt;=Hypothèses!$V$9,Hypothèses!$X$9,IF(BZ193&lt;=Hypothèses!$V$10,Hypothèses!$X$10,IF(BZ193&lt;=Hypothèses!$V$11,Hypothèses!$X$11,IF(BZ193&lt;=Hypothèses!$V$12,Hypothèses!$X$12,IF(BZ193&lt;=Hypothèses!$V$13,Hypothèses!$X$13,IF(BZ193&lt;=Hypothèses!$V$14,Hypothèses!$X$14,IF(BZ193&lt;=Hypothèses!$V$15,Hypothèses!$X$15,IF(BZ193&lt;=Hypothèses!$V$16,Hypothèses!$X$16,IF(BZ193&lt;=Hypothèses!$U$17,Hypothèses!$W$17,IF(BZ193&lt;=Hypothèses!$U$18,Hypothèses!$W$18,""))))))))))))</f>
        <v>#DIV/0!</v>
      </c>
      <c r="CW193" s="95" t="e">
        <f t="shared" ca="1" si="285"/>
        <v>#DIV/0!</v>
      </c>
      <c r="CX193" s="101">
        <f t="shared" si="327"/>
        <v>0</v>
      </c>
      <c r="CY193" s="91">
        <f t="shared" si="252"/>
        <v>0</v>
      </c>
      <c r="CZ193" s="30" t="e">
        <f t="shared" si="308"/>
        <v>#N/A</v>
      </c>
      <c r="DA193" s="30" t="e">
        <f t="shared" si="309"/>
        <v>#N/A</v>
      </c>
      <c r="DB193" s="31" t="e">
        <f>IF(OR(Hypothèses!$B$4=17,Hypothèses!$B$4=18,Hypothèses!$B$4=19,Hypothèses!$B$4=20),
IF($D193="Pressio.",
IF(OR($E193=3,$E193=1,$E193=4),DA193,CZ193),
IF($D193="Pénétro.",
IF(OR($E193=3,$E193=1,$E193=4),DA193,CZ193))),IF($D193="Pressio.",
IF($E193=3,DA193,CZ193),
IF($D193="Pénétro.",
IF($E193=4,DA193,CZ193))))</f>
        <v>#N/A</v>
      </c>
      <c r="DC193" s="31">
        <v>0</v>
      </c>
      <c r="DD193" s="102" t="e">
        <f>IF(NDC!$H$10="Oui",(VLOOKUP($B$3,'Coeff EC7'!$T$39:$X$59,2,0)*DB193+VLOOKUP($B$3,'Coeff EC7'!$T$65:$X$85,2,0)*Model0.1T!DC193)/1.5,PI()*CZ$12*$Q193*($B193-$B192)*0.15/10+DD192)</f>
        <v>#N/A</v>
      </c>
      <c r="DE193" s="102" t="e">
        <f>(VLOOKUP($B$3,'Coeff EC7'!$T$39:$X$59,3,0)*DB193+VLOOKUP($B$3,'Coeff EC7'!$T$65:$X$85,3,0)*Model0.1T!DC193)/1.1</f>
        <v>#N/A</v>
      </c>
      <c r="DF193" s="102" t="e">
        <f t="shared" si="286"/>
        <v>#N/A</v>
      </c>
      <c r="DG193" s="102" t="e">
        <f t="shared" si="287"/>
        <v>#N/A</v>
      </c>
      <c r="DH193" s="414" t="e">
        <f>IF(AND(DD193&gt;NDC!$C$63,DE193&gt;NDC!$C$65,DF193&gt;NDC!$D$73,DG193&gt;NDC!$D$74,$B193&gt;NDC!$H$22-0.1+MIN(3*DH$12,1.5)),0,1)</f>
        <v>#N/A</v>
      </c>
      <c r="DI193" s="86" t="b">
        <f t="shared" si="253"/>
        <v>0</v>
      </c>
      <c r="DJ193" s="86">
        <f t="shared" si="254"/>
        <v>0.5</v>
      </c>
      <c r="DK193" s="86">
        <f t="shared" si="255"/>
        <v>0.5</v>
      </c>
      <c r="DL193" s="30" t="e">
        <f t="shared" ca="1" si="288"/>
        <v>#DIV/0!</v>
      </c>
      <c r="DM193" s="85" t="e">
        <f ca="1">IF(CS193&lt;=Hypothèses!$V$7,Hypothèses!$W$7,IF(CS193&lt;=Hypothèses!$V$8,Hypothèses!$W$8,IF(CS193&lt;=Hypothèses!$V$9,Hypothèses!$W$9,IF(CS193&lt;=Hypothèses!$V$10,Hypothèses!$W$10,IF(CS193&lt;=Hypothèses!$V$11,Hypothèses!$W$11,IF(CS193&lt;=Hypothèses!$V$12,Hypothèses!$W$12,IF(CS193&lt;=Hypothèses!$V$13,Hypothèses!$W$13,IF(CS193&lt;=Hypothèses!$V$14,Hypothèses!$W$14,IF(CS193&lt;=Hypothèses!$V$15,Hypothèses!$W$15,IF(CS193&lt;=Hypothèses!$V$16,Hypothèses!$W$16,IF(CS193&lt;=Hypothèses!$V$17,Hypothèses!$W$17,IF(CS193&lt;=Hypothèses!$V$18,Hypothèses!$W$18,""))))))))))))</f>
        <v>#DIV/0!</v>
      </c>
      <c r="DN193" s="87" t="e">
        <f t="shared" ca="1" si="321"/>
        <v>#DIV/0!</v>
      </c>
      <c r="DO193" s="88" t="e">
        <f ca="1">IF(CS193&lt;=Hypothèses!$V$7,Hypothèses!$X$7,IF(CS193&lt;=Hypothèses!$V$8,Hypothèses!$X$8,IF(CS193&lt;=Hypothèses!$V$9,Hypothèses!$X$9,IF(CS193&lt;=Hypothèses!$V$10,Hypothèses!$X$10,IF(CS193&lt;=Hypothèses!$V$11,Hypothèses!$X$11,IF(CS193&lt;=Hypothèses!$V$12,Hypothèses!$X$12,IF(CS193&lt;=Hypothèses!$V$13,Hypothèses!$X$13,IF(CS193&lt;=Hypothèses!$V$14,Hypothèses!$X$14,IF(CS193&lt;=Hypothèses!$V$15,Hypothèses!$X$15,IF(CS193&lt;=Hypothèses!$V$16,Hypothèses!$X$16,IF(CS193&lt;=Hypothèses!$U$17,Hypothèses!$W$17,IF(CS193&lt;=Hypothèses!$U$18,Hypothèses!$W$18,""))))))))))))</f>
        <v>#DIV/0!</v>
      </c>
      <c r="DP193" s="95" t="e">
        <f t="shared" ca="1" si="289"/>
        <v>#DIV/0!</v>
      </c>
      <c r="DQ193" s="101">
        <f t="shared" si="328"/>
        <v>0</v>
      </c>
      <c r="DR193" s="91">
        <f t="shared" si="256"/>
        <v>0</v>
      </c>
      <c r="DS193" s="30" t="e">
        <f t="shared" si="310"/>
        <v>#N/A</v>
      </c>
      <c r="DT193" s="30" t="e">
        <f t="shared" si="311"/>
        <v>#N/A</v>
      </c>
      <c r="DU193" s="31" t="e">
        <f>IF(OR(Hypothèses!$B$4=17,Hypothèses!$B$4=18,Hypothèses!$B$4=19,Hypothèses!$B$4=20),
IF($D193="Pressio.",
IF(OR($E193=3,$E193=1,$E193=4),DT193,DS193),
IF($D193="Pénétro.",
IF(OR($E193=3,$E193=1,$E193=4),DT193,DS193))),IF($D193="Pressio.",
IF($E193=3,DT193,DS193),
IF($D193="Pénétro.",
IF($E193=4,DT193,DS193))))</f>
        <v>#N/A</v>
      </c>
      <c r="DV193" s="31">
        <v>0</v>
      </c>
      <c r="DW193" s="102" t="e">
        <f>IF(NDC!$H$10="Oui",(VLOOKUP($B$3,'Coeff EC7'!$T$39:$X$59,2,0)*DU193+VLOOKUP($B$3,'Coeff EC7'!$T$65:$X$85,2,0)*Model0.1T!DV193)/1.5,PI()*DS$12*$Q193*($B193-$B192)*0.15/10+DW192)</f>
        <v>#N/A</v>
      </c>
      <c r="DX193" s="102" t="e">
        <f>(VLOOKUP($B$3,'Coeff EC7'!$T$39:$X$59,3,0)*DU193+VLOOKUP($B$3,'Coeff EC7'!$T$65:$X$85,3,0)*Model0.1T!DV193)/1.1</f>
        <v>#N/A</v>
      </c>
      <c r="DY193" s="102" t="e">
        <f t="shared" si="290"/>
        <v>#N/A</v>
      </c>
      <c r="DZ193" s="102" t="e">
        <f t="shared" si="291"/>
        <v>#N/A</v>
      </c>
      <c r="EA193" s="414" t="e">
        <f>IF(AND(DW193&gt;NDC!$C$63,DX193&gt;NDC!$C$65,DY193&gt;NDC!$D$73,DZ193&gt;NDC!$D$74,$B193&gt;NDC!$H$22-0.1+MIN(3*EA$12,1.5)),0,1)</f>
        <v>#N/A</v>
      </c>
      <c r="EB193" s="86" t="b">
        <f t="shared" si="257"/>
        <v>0</v>
      </c>
      <c r="EC193" s="418">
        <f t="shared" si="258"/>
        <v>0.51</v>
      </c>
      <c r="ED193" s="86">
        <f t="shared" si="259"/>
        <v>0.51</v>
      </c>
      <c r="EE193" s="30" t="e">
        <f t="shared" ca="1" si="292"/>
        <v>#DIV/0!</v>
      </c>
      <c r="EF193" s="85" t="e">
        <f ca="1">IF(DL193&lt;=Hypothèses!$V$7,Hypothèses!$W$7,IF(DL193&lt;=Hypothèses!$V$8,Hypothèses!$W$8,IF(DL193&lt;=Hypothèses!$V$9,Hypothèses!$W$9,IF(DL193&lt;=Hypothèses!$V$10,Hypothèses!$W$10,IF(DL193&lt;=Hypothèses!$V$11,Hypothèses!$W$11,IF(DL193&lt;=Hypothèses!$V$12,Hypothèses!$W$12,IF(DL193&lt;=Hypothèses!$V$13,Hypothèses!$W$13,IF(DL193&lt;=Hypothèses!$V$14,Hypothèses!$W$14,IF(DL193&lt;=Hypothèses!$V$15,Hypothèses!$W$15,IF(DL193&lt;=Hypothèses!$V$16,Hypothèses!$W$16,IF(DL193&lt;=Hypothèses!$V$17,Hypothèses!$W$17,IF(DL193&lt;=Hypothèses!$V$18,Hypothèses!$W$18,""))))))))))))</f>
        <v>#DIV/0!</v>
      </c>
      <c r="EG193" s="87" t="e">
        <f t="shared" ca="1" si="322"/>
        <v>#DIV/0!</v>
      </c>
      <c r="EH193" s="88" t="e">
        <f ca="1">IF(DL193&lt;=Hypothèses!$V$7,Hypothèses!$X$7,IF(DL193&lt;=Hypothèses!$V$8,Hypothèses!$X$8,IF(DL193&lt;=Hypothèses!$V$9,Hypothèses!$X$9,IF(DL193&lt;=Hypothèses!$V$10,Hypothèses!$X$10,IF(DL193&lt;=Hypothèses!$V$11,Hypothèses!$X$11,IF(DL193&lt;=Hypothèses!$V$12,Hypothèses!$X$12,IF(DL193&lt;=Hypothèses!$V$13,Hypothèses!$X$13,IF(DL193&lt;=Hypothèses!$V$14,Hypothèses!$X$14,IF(DL193&lt;=Hypothèses!$V$15,Hypothèses!$X$15,IF(DL193&lt;=Hypothèses!$V$16,Hypothèses!$X$16,IF(DL193&lt;=Hypothèses!$U$17,Hypothèses!$W$17,IF(DL193&lt;=Hypothèses!$U$18,Hypothèses!$W$18,""))))))))))))</f>
        <v>#DIV/0!</v>
      </c>
      <c r="EI193" s="95" t="e">
        <f t="shared" ca="1" si="293"/>
        <v>#DIV/0!</v>
      </c>
      <c r="EJ193" s="101">
        <f t="shared" si="329"/>
        <v>0</v>
      </c>
      <c r="EK193" s="91">
        <f t="shared" si="260"/>
        <v>0</v>
      </c>
      <c r="EL193" s="30" t="e">
        <f t="shared" si="312"/>
        <v>#N/A</v>
      </c>
      <c r="EM193" s="30" t="e">
        <f t="shared" si="313"/>
        <v>#N/A</v>
      </c>
      <c r="EN193" s="31" t="e">
        <f>IF(OR(Hypothèses!$B$4=17,Hypothèses!$B$4=18,Hypothèses!$B$4=19,Hypothèses!$B$4=20),
IF($D193="Pressio.",
IF(OR($E193=3,$E193=1,$E193=4),EM193,EL193),
IF($D193="Pénétro.",
IF(OR($E193=3,$E193=1,$E193=4),EM193,EL193))),IF($D193="Pressio.",
IF($E193=3,EM193,EL193),
IF($D193="Pénétro.",
IF($E193=4,EM193,EL193))))</f>
        <v>#N/A</v>
      </c>
      <c r="EO193" s="31">
        <v>0</v>
      </c>
      <c r="EP193" s="102" t="e">
        <f>IF(NDC!$H$10="Oui",(VLOOKUP($B$3,'Coeff EC7'!$T$39:$X$59,2,0)*EN193+VLOOKUP($B$3,'Coeff EC7'!$T$65:$X$85,2,0)*Model0.1T!EO193)/1.5,PI()*EL$12*$Q193*($B193-$B192)*0.15/10+EP192)</f>
        <v>#N/A</v>
      </c>
      <c r="EQ193" s="102" t="e">
        <f>(VLOOKUP($B$3,'Coeff EC7'!$T$39:$X$59,3,0)*EN193+VLOOKUP($B$3,'Coeff EC7'!$T$65:$X$85,3,0)*Model0.1T!EO193)/1.1</f>
        <v>#N/A</v>
      </c>
      <c r="ER193" s="102" t="e">
        <f t="shared" si="294"/>
        <v>#N/A</v>
      </c>
      <c r="ES193" s="102" t="e">
        <f t="shared" si="295"/>
        <v>#N/A</v>
      </c>
      <c r="ET193" s="414" t="e">
        <f>IF(AND(EP193&gt;NDC!$C$63,EQ193&gt;NDC!$C$65,ER193&gt;NDC!$D$73,ES193&gt;NDC!$D$74,$B193&gt;NDC!$H$22-0.1+MIN(3*ET$12,1.5)),0,1)</f>
        <v>#N/A</v>
      </c>
      <c r="EU193" s="86" t="b">
        <f t="shared" si="261"/>
        <v>0</v>
      </c>
      <c r="EV193" s="86">
        <f t="shared" si="262"/>
        <v>0.61</v>
      </c>
      <c r="EW193" s="86">
        <f t="shared" si="263"/>
        <v>0.61</v>
      </c>
      <c r="EX193" s="30" t="e">
        <f t="shared" ca="1" si="296"/>
        <v>#DIV/0!</v>
      </c>
      <c r="EY193" s="85" t="e">
        <f ca="1">IF(EE193&lt;=Hypothèses!$V$7,Hypothèses!$W$7,IF(EE193&lt;=Hypothèses!$V$8,Hypothèses!$W$8,IF(EE193&lt;=Hypothèses!$V$9,Hypothèses!$W$9,IF(EE193&lt;=Hypothèses!$V$10,Hypothèses!$W$10,IF(EE193&lt;=Hypothèses!$V$11,Hypothèses!$W$11,IF(EE193&lt;=Hypothèses!$V$12,Hypothèses!$W$12,IF(EE193&lt;=Hypothèses!$V$13,Hypothèses!$W$13,IF(EE193&lt;=Hypothèses!$V$14,Hypothèses!$W$14,IF(EE193&lt;=Hypothèses!$V$15,Hypothèses!$W$15,IF(EE193&lt;=Hypothèses!$V$16,Hypothèses!$W$16,IF(EE193&lt;=Hypothèses!$V$17,Hypothèses!$W$17,IF(EE193&lt;=Hypothèses!$V$18,Hypothèses!$W$18,""))))))))))))</f>
        <v>#DIV/0!</v>
      </c>
      <c r="EZ193" s="87" t="e">
        <f t="shared" ca="1" si="323"/>
        <v>#DIV/0!</v>
      </c>
      <c r="FA193" s="88" t="e">
        <f ca="1">IF(EE193&lt;=Hypothèses!$V$7,Hypothèses!$X$7,IF(EE193&lt;=Hypothèses!$V$8,Hypothèses!$X$8,IF(EE193&lt;=Hypothèses!$V$9,Hypothèses!$X$9,IF(EE193&lt;=Hypothèses!$V$10,Hypothèses!$X$10,IF(EE193&lt;=Hypothèses!$V$11,Hypothèses!$X$11,IF(EE193&lt;=Hypothèses!$V$12,Hypothèses!$X$12,IF(EE193&lt;=Hypothèses!$V$13,Hypothèses!$X$13,IF(EE193&lt;=Hypothèses!$V$14,Hypothèses!$X$14,IF(EE193&lt;=Hypothèses!$V$15,Hypothèses!$X$15,IF(EE193&lt;=Hypothèses!$V$16,Hypothèses!$X$16,IF(EE193&lt;=Hypothèses!$U$17,Hypothèses!$W$17,IF(EE193&lt;=Hypothèses!$U$18,Hypothèses!$W$18,""))))))))))))</f>
        <v>#DIV/0!</v>
      </c>
      <c r="FB193" s="95" t="e">
        <f t="shared" ca="1" si="297"/>
        <v>#DIV/0!</v>
      </c>
      <c r="FC193" s="101">
        <f t="shared" si="330"/>
        <v>0</v>
      </c>
      <c r="FD193" s="91">
        <f t="shared" si="264"/>
        <v>0</v>
      </c>
      <c r="FE193" s="30" t="e">
        <f t="shared" si="314"/>
        <v>#N/A</v>
      </c>
      <c r="FF193" s="30" t="e">
        <f t="shared" si="315"/>
        <v>#N/A</v>
      </c>
      <c r="FG193" s="31" t="e">
        <f>IF(OR(Hypothèses!$B$4=17,Hypothèses!$B$4=18,Hypothèses!$B$4=19,Hypothèses!$B$4=20),
IF($D193="Pressio.",
IF(OR($E193=3,$E193=1,$E193=4),FF193,FE193),
IF($D193="Pénétro.",
IF(OR($E193=3,$E193=1,$E193=4),FF193,FE193))),IF($D193="Pressio.",
IF($E193=3,FF193,FE193),
IF($D193="Pénétro.",
IF($E193=4,FF193,FE193))))</f>
        <v>#N/A</v>
      </c>
      <c r="FH193" s="31">
        <v>0</v>
      </c>
      <c r="FI193" s="102" t="e">
        <f>IF(NDC!$H$10="Oui",(VLOOKUP($B$3,'Coeff EC7'!$T$39:$X$59,2,0)*FG193+VLOOKUP($B$3,'Coeff EC7'!$T$65:$X$85,2,0)*Model0.1T!FH193)/1.5,PI()*FE$12*$Q193*($B193-$B192)*0.15/10+FI192)</f>
        <v>#N/A</v>
      </c>
      <c r="FJ193" s="102" t="e">
        <f>(VLOOKUP($B$3,'Coeff EC7'!$T$39:$X$59,3,0)*FG193+VLOOKUP($B$3,'Coeff EC7'!$T$65:$X$85,3,0)*Model0.1T!FH193)/1.1</f>
        <v>#N/A</v>
      </c>
      <c r="FK193" s="102" t="e">
        <f t="shared" si="298"/>
        <v>#N/A</v>
      </c>
      <c r="FL193" s="102" t="e">
        <f t="shared" si="299"/>
        <v>#N/A</v>
      </c>
      <c r="FM193" s="414" t="e">
        <f>IF(AND(FI193&gt;NDC!$C$63,FJ193&gt;NDC!$C$65,FK193&gt;NDC!$D$73,FL193&gt;NDC!$D$74,$B193&gt;NDC!$H$22-0.1+MIN(3*FM$12,1.5)),0,1)</f>
        <v>#N/A</v>
      </c>
    </row>
    <row r="194" spans="1:169">
      <c r="A194" s="96">
        <f t="shared" si="265"/>
        <v>81.900000000001029</v>
      </c>
      <c r="B194" s="97">
        <v>18.100000000000001</v>
      </c>
      <c r="C194" s="81">
        <f>IF(B194&lt;=Hypothèses!$C$7,Hypothèses!$A$7,IF(B194&lt;=Hypothèses!$C$8,Hypothèses!$A$8,IF(B194&lt;=Hypothèses!$C$9,Hypothèses!$A$9,IF(B194&lt;=Hypothèses!$C$10,Hypothèses!$A$10,IF(B194&lt;=Hypothèses!$C$11,Hypothèses!$A$11,IF(B194&lt;=Hypothèses!$C$12,Hypothèses!$A$12,IF(B194&lt;=Hypothèses!$C$13,Hypothèses!$A$13,IF(B194&lt;=Hypothèses!$C$14,Hypothèses!$A$14,IF(B194&lt;=Hypothèses!$C$15,Hypothèses!$A$15,IF(B194&lt;=Hypothèses!$C$16,Hypothèses!$A$16,IF(B194&lt;=Hypothèses!$C$17,Hypothèses!$A$17,IF(B194&lt;=Hypothèses!$C$18,Hypothèses!$A$18,C193))))))))))))</f>
        <v>11</v>
      </c>
      <c r="D194" s="82" t="str">
        <f>IF(B194&lt;=Hypothèses!$C$7,Hypothèses!$R$7,IF(B194&lt;=Hypothèses!$C$8,Hypothèses!$R$8,IF(B194&lt;=Hypothèses!$C$9,Hypothèses!$R$9,IF(B194&lt;=Hypothèses!$C$10,Hypothèses!$R$10,IF(B194&lt;=Hypothèses!$C$11,Hypothèses!$R$11,IF(B194&lt;=Hypothèses!$C$12,Hypothèses!$R$12,IF(B194&lt;=Hypothèses!$C$13,Hypothèses!$R$13,IF(B194&lt;=Hypothèses!$C$14,Hypothèses!$R$14,IF(B194&lt;=Hypothèses!$C$15,Hypothèses!$R$15,IF(B194&lt;=Hypothèses!$C$16,Hypothèses!$R$16,IF(B194&lt;=Hypothèses!$C$17,Hypothèses!$R$17,IF(B194&lt;=Hypothèses!$C$18,Hypothèses!$R$18,D193))))))))))))</f>
        <v>Pressio.</v>
      </c>
      <c r="E194" s="82" t="e">
        <f>IF(B194&lt;=Hypothèses!$C$7,Hypothèses!$G$7,IF(B194&lt;=Hypothèses!$C$8,Hypothèses!$G$8,IF(B194&lt;=Hypothèses!$C$9,Hypothèses!$G$9,IF(B194&lt;=Hypothèses!$C$10,Hypothèses!$G$10,IF(B194&lt;=Hypothèses!$C$11,Hypothèses!$G$11,IF(B194&lt;=Hypothèses!$C$12,Hypothèses!$G$12,IF(B194&lt;=Hypothèses!$C$13,Hypothèses!$G$13,IF(B194&lt;=Hypothèses!$C$14,Hypothèses!$G$14,IF(B194&lt;=Hypothèses!$C$15,Hypothèses!$G$15,IF(B194&lt;=Hypothèses!$C$16,Hypothèses!$G$16,IF(B194&lt;=Hypothèses!$C$17,Hypothèses!$G$17,IF(B194&lt;=Hypothèses!$C$18,Hypothèses!$G$18,E193))))))))))))</f>
        <v>#N/A</v>
      </c>
      <c r="F194" s="82" t="str">
        <f>IF(B194&lt;=Hypothèses!$C$7,Hypothèses!$F$7,IF(B194&lt;=Hypothèses!$C$8,Hypothèses!$F$8,IF(B194&lt;=Hypothèses!$C$9,Hypothèses!$F$9,IF(B194&lt;=Hypothèses!$C$10,Hypothèses!$F$10,IF(B194&lt;=Hypothèses!$C$11,Hypothèses!$F$11,IF(B194&lt;=Hypothèses!$C$12,Hypothèses!$F$12,IF(B194&lt;=Hypothèses!$C$13,Hypothèses!$F$13,IF(B194&lt;=Hypothèses!$C$14,Hypothèses!$F$14,IF(B194&lt;=Hypothèses!$C$15,Hypothèses!$F$15,IF(B194&lt;=Hypothèses!$C$16,Hypothèses!$F$16,IF(B194&lt;=Hypothèses!$C$17,Hypothèses!$F$17,IF(B194&lt;=Hypothèses!$C$18,Hypothèses!$F$18,F193))))))))))))</f>
        <v/>
      </c>
      <c r="G194" s="91">
        <f t="array" ref="G194">INDEX('Coeff EC7'!$U$7:$X$27,
MATCH(Model0.1T!$B$3,'Coeff EC7'!$T$7:$T$27,0),
MATCH(Model0.1T!$D194&amp;Model0.1T!$B$4,
'Coeff EC7'!$U$6:$X$6&amp;
'Coeff EC7'!$U$5:$X$5,0))</f>
        <v>1.4</v>
      </c>
      <c r="H194" s="91">
        <f t="array" ref="H194">INDEX('Coeff EC7'!$Y$7:$AB$27,
MATCH(Model0.1T!$B$3,'Coeff EC7'!$T$7:$T$27,0),
MATCH(Model0.1T!$D194&amp;Model0.1T!$B$4,
'Coeff EC7'!$Y$6:$AB$6&amp;
'Coeff EC7'!$Y$5:$AB$5,0))</f>
        <v>1.7</v>
      </c>
      <c r="I194" s="83">
        <v>0</v>
      </c>
      <c r="J194" s="91" t="e">
        <f t="array" ref="J194">INDEX('Coeff EC7'!$D$33:$Q$33,1,MATCH(D194&amp;E194,'Coeff EC7'!$D$31:$Q$31&amp;'Coeff EC7'!$D$32:$Q$32,0))</f>
        <v>#N/A</v>
      </c>
      <c r="K194" s="91" t="e">
        <f t="array" ref="K194">INDEX('Coeff EC7'!$D$34:$Q$34,1,MATCH(D194&amp;E194,'Coeff EC7'!$D$31:$Q$31&amp;'Coeff EC7'!$D$32:$Q$32,0))</f>
        <v>#N/A</v>
      </c>
      <c r="L194" s="91" t="e">
        <f t="array" ref="L194">INDEX('Coeff EC7'!$D$35:$Q$35,1,MATCH(D194&amp;E194,'Coeff EC7'!$D$31:$Q$31&amp;'Coeff EC7'!$D$32:$Q$32,0))</f>
        <v>#N/A</v>
      </c>
      <c r="M194" s="98" t="e">
        <f t="shared" si="231"/>
        <v>#N/A</v>
      </c>
      <c r="N194" s="99" t="e">
        <f t="array" ref="N194">INDEX('Coeff EC7'!$D$7:$Q$27,MATCH($B$3,'Coeff EC7'!$C$7:$C$27,0),MATCH(D194&amp;E194,'Coeff EC7'!$D$5:$Q$5&amp;'Coeff EC7'!$D$6:$Q$6,0))</f>
        <v>#N/A</v>
      </c>
      <c r="O194" s="99" t="e">
        <f t="array" ref="O194">INDEX('Coeff EC7'!$D$41:$Q$61,MATCH($B$3,'Coeff EC7'!$C$41:$C$61,0),MATCH(D194&amp;E194,'Coeff EC7'!$D$39:$Q$39&amp;'Coeff EC7'!$D$40:$Q$40,0))</f>
        <v>#N/A</v>
      </c>
      <c r="P194" s="30" t="e">
        <f t="shared" si="266"/>
        <v>#N/A</v>
      </c>
      <c r="Q194" s="100" t="e">
        <f t="shared" si="233"/>
        <v>#N/A</v>
      </c>
      <c r="R194" s="86" t="b">
        <f t="shared" si="234"/>
        <v>0</v>
      </c>
      <c r="S194" s="86">
        <f t="shared" si="232"/>
        <v>0.5</v>
      </c>
      <c r="T194" s="86">
        <f t="shared" si="235"/>
        <v>0.5</v>
      </c>
      <c r="U194" s="30" t="e">
        <f t="shared" ca="1" si="267"/>
        <v>#DIV/0!</v>
      </c>
      <c r="V194" s="85" t="str">
        <f>IF(B194&lt;=Hypothèses!$V$7,Hypothèses!$W$7,IF(B194&lt;=Hypothèses!$V$8,Hypothèses!$W$8,IF(B194&lt;=Hypothèses!$V$9,Hypothèses!$W$9,IF(B194&lt;=Hypothèses!$V$10,Hypothèses!$W$10,IF(B194&lt;=Hypothèses!$V$11,Hypothèses!$W$11,IF(B194&lt;=Hypothèses!$V$12,Hypothèses!$W$12,IF(B194&lt;=Hypothèses!$V$13,Hypothèses!$W$13,IF(B194&lt;=Hypothèses!$V$14,Hypothèses!$W$14,IF(B194&lt;=Hypothèses!$V$15,Hypothèses!$W$15,IF(B194&lt;=Hypothèses!$V$16,Hypothèses!$W$16,IF(B194&lt;=Hypothèses!$V$17,Hypothèses!$W$17,IF(B194&lt;=Hypothèses!$V$18,Hypothèses!$W$18,""))))))))))))</f>
        <v/>
      </c>
      <c r="W194" s="87" t="e">
        <f t="shared" ca="1" si="316"/>
        <v>#DIV/0!</v>
      </c>
      <c r="X194" s="88" t="str">
        <f>IF(B194&lt;=Hypothèses!$V$7,Hypothèses!$X$7,IF(B194&lt;=Hypothèses!$V$8,Hypothèses!$X$8,IF(B194&lt;=Hypothèses!$V$9,Hypothèses!$X$9,IF(B194&lt;=Hypothèses!$V$10,Hypothèses!$X$10,IF(B194&lt;=Hypothèses!$V$11,Hypothèses!$X$11,IF(B194&lt;=Hypothèses!$V$12,Hypothèses!$X$12,IF(B194&lt;=Hypothèses!$V$13,Hypothèses!$X$13,IF(B194&lt;=Hypothèses!$V$14,Hypothèses!$X$14,IF(B194&lt;=Hypothèses!$V$15,Hypothèses!$X$15,IF(B194&lt;=Hypothèses!$V$16,Hypothèses!$X$16,IF(B194&lt;=Hypothèses!$U$17,Hypothèses!$W$17,IF(B194&lt;=Hypothèses!$U$18,Hypothèses!$W$18,""))))))))))))</f>
        <v/>
      </c>
      <c r="Y194" s="95" t="e">
        <f t="shared" ca="1" si="236"/>
        <v>#DIV/0!</v>
      </c>
      <c r="Z194" s="101">
        <f t="shared" si="237"/>
        <v>0</v>
      </c>
      <c r="AA194" s="91">
        <f t="shared" si="238"/>
        <v>0</v>
      </c>
      <c r="AB194" s="30" t="e">
        <f t="shared" si="300"/>
        <v>#N/A</v>
      </c>
      <c r="AC194" s="30" t="e">
        <f t="shared" si="301"/>
        <v>#N/A</v>
      </c>
      <c r="AD194" s="31" t="e">
        <f>IF(OR(Hypothèses!$B$4=17,Hypothèses!$B$4=18,Hypothèses!$B$4=19,Hypothèses!$B$4=20),
IF($D194="Pressio.",
IF(OR($E194=3,$E194=1,$E194=4),AC194,AB194),
IF($D194="Pénétro.",
IF(OR($E194=3,$E194=1,$E194=4),AC194,AB194))),IF($D194="Pressio.",
IF($E194=3,AC194,AB194),
IF($D194="Pénétro.",
IF($E194=4,AC194,AB194))))</f>
        <v>#N/A</v>
      </c>
      <c r="AE194" s="31">
        <v>0</v>
      </c>
      <c r="AF194" s="102" t="e">
        <f>IF(NDC!$H$10="Oui",(VLOOKUP($B$3,'Coeff EC7'!$T$39:$X$59,2,0)*AD194+VLOOKUP($B$3,'Coeff EC7'!$T$65:$X$85,2,0)*Model0.1T!AE194)/1.5,PI()*AB$12*$Q194*($B194-$B193)*0.15/10+AF193)</f>
        <v>#N/A</v>
      </c>
      <c r="AG194" s="102" t="e">
        <f>(VLOOKUP($B$3,'Coeff EC7'!$T$39:$X$59,3,0)*AD194+VLOOKUP($B$3,'Coeff EC7'!$T$65:$X$85,3,0)*Model0.1T!AE194)/1.1</f>
        <v>#N/A</v>
      </c>
      <c r="AH194" s="102" t="e">
        <f t="shared" si="268"/>
        <v>#N/A</v>
      </c>
      <c r="AI194" s="102" t="e">
        <f t="shared" si="269"/>
        <v>#N/A</v>
      </c>
      <c r="AJ194" s="414" t="e">
        <f>IF(AND(AF194&gt;NDC!$C$63,AG194&gt;NDC!$C$65,AH194&gt;NDC!$D$73,AI194&gt;NDC!$D$74,$B194&gt;NDC!$H$22-0.1+MIN(3*$AJ$12,1.5)),0,1)</f>
        <v>#N/A</v>
      </c>
      <c r="AK194" s="86" t="b">
        <f t="shared" si="239"/>
        <v>0</v>
      </c>
      <c r="AL194" s="86">
        <f t="shared" si="270"/>
        <v>0.5</v>
      </c>
      <c r="AM194" s="86">
        <f t="shared" si="240"/>
        <v>0.5</v>
      </c>
      <c r="AN194" s="30" t="e">
        <f t="shared" ca="1" si="271"/>
        <v>#DIV/0!</v>
      </c>
      <c r="AO194" s="85" t="e">
        <f ca="1">IF(U194&lt;=Hypothèses!$V$7,Hypothèses!$W$7,IF(U194&lt;=Hypothèses!$V$8,Hypothèses!$W$8,IF(U194&lt;=Hypothèses!$V$9,Hypothèses!$W$9,IF(U194&lt;=Hypothèses!$V$10,Hypothèses!$W$10,IF(U194&lt;=Hypothèses!$V$11,Hypothèses!$W$11,IF(U194&lt;=Hypothèses!$V$12,Hypothèses!$W$12,IF(U194&lt;=Hypothèses!$V$13,Hypothèses!$W$13,IF(U194&lt;=Hypothèses!$V$14,Hypothèses!$W$14,IF(U194&lt;=Hypothèses!$V$15,Hypothèses!$W$15,IF(U194&lt;=Hypothèses!$V$16,Hypothèses!$W$16,IF(U194&lt;=Hypothèses!$V$17,Hypothèses!$W$17,IF(U194&lt;=Hypothèses!$V$18,Hypothèses!$W$18,""))))))))))))</f>
        <v>#DIV/0!</v>
      </c>
      <c r="AP194" s="87" t="e">
        <f t="shared" ca="1" si="317"/>
        <v>#DIV/0!</v>
      </c>
      <c r="AQ194" s="88" t="e">
        <f ca="1">IF(U194&lt;=Hypothèses!$V$7,Hypothèses!$X$7,IF(U194&lt;=Hypothèses!$V$8,Hypothèses!$X$8,IF(U194&lt;=Hypothèses!$V$9,Hypothèses!$X$9,IF(U194&lt;=Hypothèses!$V$10,Hypothèses!$X$10,IF(U194&lt;=Hypothèses!$V$11,Hypothèses!$X$11,IF(U194&lt;=Hypothèses!$V$12,Hypothèses!$X$12,IF(U194&lt;=Hypothèses!$V$13,Hypothèses!$X$13,IF(U194&lt;=Hypothèses!$V$14,Hypothèses!$X$14,IF(U194&lt;=Hypothèses!$V$15,Hypothèses!$X$15,IF(U194&lt;=Hypothèses!$V$16,Hypothèses!$X$16,IF(U194&lt;=Hypothèses!$U$17,Hypothèses!$W$17,IF(U194&lt;=Hypothèses!$U$18,Hypothèses!$W$18,""))))))))))))</f>
        <v>#DIV/0!</v>
      </c>
      <c r="AR194" s="95" t="e">
        <f t="shared" ca="1" si="272"/>
        <v>#DIV/0!</v>
      </c>
      <c r="AS194" s="101">
        <f t="shared" si="324"/>
        <v>0</v>
      </c>
      <c r="AT194" s="91">
        <f t="shared" si="241"/>
        <v>0</v>
      </c>
      <c r="AU194" s="30" t="e">
        <f t="shared" si="302"/>
        <v>#N/A</v>
      </c>
      <c r="AV194" s="30" t="e">
        <f t="shared" si="303"/>
        <v>#N/A</v>
      </c>
      <c r="AW194" s="31" t="e">
        <f>IF(OR(Hypothèses!$B$4=17,Hypothèses!$B$4=18,Hypothèses!$B$4=19,Hypothèses!$B$4=20),
IF($D194="Pressio.",
IF(OR($E194=3,$E194=1,$E194=4),AV194,AU194),
IF($D194="Pénétro.",
IF(OR($E194=3,$E194=1,$E194=4),AV194,AU194))),IF($D194="Pressio.",
IF($E194=3,AV194,AU194),
IF($D194="Pénétro.",
IF($E194=4,AV194,AU194))))</f>
        <v>#N/A</v>
      </c>
      <c r="AX194" s="31">
        <v>0</v>
      </c>
      <c r="AY194" s="102" t="e">
        <f>IF(NDC!$H$10="Oui",(VLOOKUP($B$3,'Coeff EC7'!$T$39:$X$59,2,0)*AW194+VLOOKUP($B$3,'Coeff EC7'!$T$65:$X$85,2,0)*Model0.1T!AX194)/1.5,PI()*AU$12*$Q194*($B194-$B193)*0.15/10+AY193)</f>
        <v>#N/A</v>
      </c>
      <c r="AZ194" s="102" t="e">
        <f>(VLOOKUP($B$3,'Coeff EC7'!$T$39:$X$59,3,0)*AW194+VLOOKUP($B$3,'Coeff EC7'!$T$65:$X$85,3,0)*Model0.1T!AX194)/1.1</f>
        <v>#N/A</v>
      </c>
      <c r="BA194" s="102" t="e">
        <f t="shared" si="273"/>
        <v>#N/A</v>
      </c>
      <c r="BB194" s="102" t="e">
        <f t="shared" si="274"/>
        <v>#N/A</v>
      </c>
      <c r="BC194" s="414" t="e">
        <f>IF(AND(AY194&gt;NDC!$C$63,AZ194&gt;NDC!$C$65,BA194&gt;NDC!$D$73,BB194&gt;NDC!$D$74,$B194&gt;NDC!$H$22-0.1+MIN(3*BC$12,1.5)),0,1)</f>
        <v>#N/A</v>
      </c>
      <c r="BD194" s="86" t="b">
        <f t="shared" si="242"/>
        <v>0</v>
      </c>
      <c r="BE194" s="86">
        <f t="shared" si="275"/>
        <v>0.5</v>
      </c>
      <c r="BF194" s="86">
        <f t="shared" si="243"/>
        <v>0.5</v>
      </c>
      <c r="BG194" s="30" t="e">
        <f t="shared" ca="1" si="276"/>
        <v>#DIV/0!</v>
      </c>
      <c r="BH194" s="85" t="e">
        <f ca="1">IF(AN194&lt;=Hypothèses!$V$7,Hypothèses!$W$7,IF(AN194&lt;=Hypothèses!$V$8,Hypothèses!$W$8,IF(AN194&lt;=Hypothèses!$V$9,Hypothèses!$W$9,IF(AN194&lt;=Hypothèses!$V$10,Hypothèses!$W$10,IF(AN194&lt;=Hypothèses!$V$11,Hypothèses!$W$11,IF(AN194&lt;=Hypothèses!$V$12,Hypothèses!$W$12,IF(AN194&lt;=Hypothèses!$V$13,Hypothèses!$W$13,IF(AN194&lt;=Hypothèses!$V$14,Hypothèses!$W$14,IF(AN194&lt;=Hypothèses!$V$15,Hypothèses!$W$15,IF(AN194&lt;=Hypothèses!$V$16,Hypothèses!$W$16,IF(AN194&lt;=Hypothèses!$V$17,Hypothèses!$W$17,IF(AN194&lt;=Hypothèses!$V$18,Hypothèses!$W$18,""))))))))))))</f>
        <v>#DIV/0!</v>
      </c>
      <c r="BI194" s="87" t="e">
        <f t="shared" ca="1" si="318"/>
        <v>#DIV/0!</v>
      </c>
      <c r="BJ194" s="88" t="e">
        <f ca="1">IF(AN194&lt;=Hypothèses!$V$7,Hypothèses!$X$7,IF(AN194&lt;=Hypothèses!$V$8,Hypothèses!$X$8,IF(AN194&lt;=Hypothèses!$V$9,Hypothèses!$X$9,IF(AN194&lt;=Hypothèses!$V$10,Hypothèses!$X$10,IF(AN194&lt;=Hypothèses!$V$11,Hypothèses!$X$11,IF(AN194&lt;=Hypothèses!$V$12,Hypothèses!$X$12,IF(AN194&lt;=Hypothèses!$V$13,Hypothèses!$X$13,IF(AN194&lt;=Hypothèses!$V$14,Hypothèses!$X$14,IF(AN194&lt;=Hypothèses!$V$15,Hypothèses!$X$15,IF(AN194&lt;=Hypothèses!$V$16,Hypothèses!$X$16,IF(AN194&lt;=Hypothèses!$U$17,Hypothèses!$W$17,IF(AN194&lt;=Hypothèses!$U$18,Hypothèses!$W$18,""))))))))))))</f>
        <v>#DIV/0!</v>
      </c>
      <c r="BK194" s="95" t="e">
        <f t="shared" ca="1" si="277"/>
        <v>#DIV/0!</v>
      </c>
      <c r="BL194" s="101">
        <f t="shared" si="325"/>
        <v>0</v>
      </c>
      <c r="BM194" s="91">
        <f t="shared" si="244"/>
        <v>0</v>
      </c>
      <c r="BN194" s="30" t="e">
        <f t="shared" si="304"/>
        <v>#N/A</v>
      </c>
      <c r="BO194" s="30" t="e">
        <f t="shared" si="305"/>
        <v>#N/A</v>
      </c>
      <c r="BP194" s="31" t="e">
        <f>IF(OR(Hypothèses!$B$4=17,Hypothèses!$B$4=18,Hypothèses!$B$4=19,Hypothèses!$B$4=20),
IF($D194="Pressio.",
IF(OR($E194=3,$E194=1,$E194=4),BO194,BN194),
IF($D194="Pénétro.",
IF(OR($E194=3,$E194=1,$E194=4),BO194,BN194))),IF($D194="Pressio.",
IF($E194=3,BO194,BN194),
IF($D194="Pénétro.",
IF($E194=4,BO194,BN194))))</f>
        <v>#N/A</v>
      </c>
      <c r="BQ194" s="31">
        <v>0</v>
      </c>
      <c r="BR194" s="102" t="e">
        <f>IF(NDC!$H$10="Oui",(VLOOKUP($B$3,'Coeff EC7'!$T$39:$X$59,2,0)*BP194+VLOOKUP($B$3,'Coeff EC7'!$T$65:$X$85,2,0)*Model0.1T!BQ194)/1.5,PI()*BN$12*$Q194*($B194-$B193)*0.15/10+BR193)</f>
        <v>#N/A</v>
      </c>
      <c r="BS194" s="102" t="e">
        <f>(VLOOKUP($B$3,'Coeff EC7'!$T$39:$X$59,3,0)*BP194+VLOOKUP($B$3,'Coeff EC7'!$T$65:$X$85,3,0)*Model0.1T!BQ194)/1.1</f>
        <v>#N/A</v>
      </c>
      <c r="BT194" s="102" t="e">
        <f t="shared" si="278"/>
        <v>#N/A</v>
      </c>
      <c r="BU194" s="102" t="e">
        <f t="shared" si="279"/>
        <v>#N/A</v>
      </c>
      <c r="BV194" s="414" t="e">
        <f>IF(AND(BR194&gt;NDC!$C$63,BS194&gt;NDC!$C$65,BT194&gt;NDC!$D$73,BU194&gt;NDC!$D$74,$B194&gt;NDC!$H$22-0.1+MIN(3*BV$12,1.5)),0,1)</f>
        <v>#N/A</v>
      </c>
      <c r="BW194" s="86" t="b">
        <f t="shared" si="245"/>
        <v>0</v>
      </c>
      <c r="BX194" s="86">
        <f t="shared" si="246"/>
        <v>0.5</v>
      </c>
      <c r="BY194" s="86">
        <f t="shared" si="247"/>
        <v>0.5</v>
      </c>
      <c r="BZ194" s="30" t="e">
        <f t="shared" ca="1" si="280"/>
        <v>#DIV/0!</v>
      </c>
      <c r="CA194" s="85" t="e">
        <f ca="1">IF(BG194&lt;=Hypothèses!$V$7,Hypothèses!$W$7,IF(BG194&lt;=Hypothèses!$V$8,Hypothèses!$W$8,IF(BG194&lt;=Hypothèses!$V$9,Hypothèses!$W$9,IF(BG194&lt;=Hypothèses!$V$10,Hypothèses!$W$10,IF(BG194&lt;=Hypothèses!$V$11,Hypothèses!$W$11,IF(BG194&lt;=Hypothèses!$V$12,Hypothèses!$W$12,IF(BG194&lt;=Hypothèses!$V$13,Hypothèses!$W$13,IF(BG194&lt;=Hypothèses!$V$14,Hypothèses!$W$14,IF(BG194&lt;=Hypothèses!$V$15,Hypothèses!$W$15,IF(BG194&lt;=Hypothèses!$V$16,Hypothèses!$W$16,IF(BG194&lt;=Hypothèses!$V$17,Hypothèses!$W$17,IF(BG194&lt;=Hypothèses!$V$18,Hypothèses!$W$18,""))))))))))))</f>
        <v>#DIV/0!</v>
      </c>
      <c r="CB194" s="87" t="e">
        <f t="shared" ca="1" si="319"/>
        <v>#DIV/0!</v>
      </c>
      <c r="CC194" s="88" t="e">
        <f ca="1">IF(BG194&lt;=Hypothèses!$V$7,Hypothèses!$X$7,IF(BG194&lt;=Hypothèses!$V$8,Hypothèses!$X$8,IF(BG194&lt;=Hypothèses!$V$9,Hypothèses!$X$9,IF(BG194&lt;=Hypothèses!$V$10,Hypothèses!$X$10,IF(BG194&lt;=Hypothèses!$V$11,Hypothèses!$X$11,IF(BG194&lt;=Hypothèses!$V$12,Hypothèses!$X$12,IF(BG194&lt;=Hypothèses!$V$13,Hypothèses!$X$13,IF(BG194&lt;=Hypothèses!$V$14,Hypothèses!$X$14,IF(BG194&lt;=Hypothèses!$V$15,Hypothèses!$X$15,IF(BG194&lt;=Hypothèses!$V$16,Hypothèses!$X$16,IF(BG194&lt;=Hypothèses!$U$17,Hypothèses!$W$17,IF(BG194&lt;=Hypothèses!$U$18,Hypothèses!$W$18,""))))))))))))</f>
        <v>#DIV/0!</v>
      </c>
      <c r="CD194" s="95" t="e">
        <f t="shared" ca="1" si="281"/>
        <v>#DIV/0!</v>
      </c>
      <c r="CE194" s="101">
        <f t="shared" si="326"/>
        <v>0</v>
      </c>
      <c r="CF194" s="91">
        <f t="shared" si="248"/>
        <v>0</v>
      </c>
      <c r="CG194" s="30" t="e">
        <f t="shared" si="306"/>
        <v>#N/A</v>
      </c>
      <c r="CH194" s="30" t="e">
        <f t="shared" si="307"/>
        <v>#N/A</v>
      </c>
      <c r="CI194" s="31" t="e">
        <f>IF(OR(Hypothèses!$B$4=17,Hypothèses!$B$4=18,Hypothèses!$B$4=19,Hypothèses!$B$4=20),
IF($D194="Pressio.",
IF(OR($E194=3,$E194=1,$E194=4),CH194,CG194),
IF($D194="Pénétro.",
IF(OR($E194=3,$E194=1,$E194=4),CH194,CG194))),IF($D194="Pressio.",
IF($E194=3,CH194,CG194),
IF($D194="Pénétro.",
IF($E194=4,CH194,CG194))))</f>
        <v>#N/A</v>
      </c>
      <c r="CJ194" s="31">
        <v>0</v>
      </c>
      <c r="CK194" s="102" t="e">
        <f>IF(NDC!$H$10="Oui",(VLOOKUP($B$3,'Coeff EC7'!$T$39:$X$59,2,0)*CI194+VLOOKUP($B$3,'Coeff EC7'!$T$65:$X$85,2,0)*Model0.1T!CJ194)/1.5,PI()*CG$12*$Q194*($B194-$B193)*0.15/10+CK193)</f>
        <v>#N/A</v>
      </c>
      <c r="CL194" s="102" t="e">
        <f>(VLOOKUP($B$3,'Coeff EC7'!$T$39:$X$59,3,0)*CI194+VLOOKUP($B$3,'Coeff EC7'!$T$65:$X$85,3,0)*Model0.1T!CJ194)/1.1</f>
        <v>#N/A</v>
      </c>
      <c r="CM194" s="102" t="e">
        <f t="shared" si="282"/>
        <v>#N/A</v>
      </c>
      <c r="CN194" s="102" t="e">
        <f t="shared" si="283"/>
        <v>#N/A</v>
      </c>
      <c r="CO194" s="414" t="e">
        <f>IF(AND(CK194&gt;NDC!$C$63,CL194&gt;NDC!$C$65,CM194&gt;NDC!$D$73,CN194&gt;NDC!$D$74,$B194&gt;NDC!$H$22-0.1+MIN(3*CO$12,1.5)),0,1)</f>
        <v>#N/A</v>
      </c>
      <c r="CP194" s="86" t="b">
        <f t="shared" si="249"/>
        <v>0</v>
      </c>
      <c r="CQ194" s="86">
        <f t="shared" si="250"/>
        <v>0.5</v>
      </c>
      <c r="CR194" s="86">
        <f t="shared" si="251"/>
        <v>0.5</v>
      </c>
      <c r="CS194" s="30" t="e">
        <f t="shared" ca="1" si="284"/>
        <v>#DIV/0!</v>
      </c>
      <c r="CT194" s="85" t="e">
        <f ca="1">IF(BZ194&lt;=Hypothèses!$V$7,Hypothèses!$W$7,IF(BZ194&lt;=Hypothèses!$V$8,Hypothèses!$W$8,IF(BZ194&lt;=Hypothèses!$V$9,Hypothèses!$W$9,IF(BZ194&lt;=Hypothèses!$V$10,Hypothèses!$W$10,IF(BZ194&lt;=Hypothèses!$V$11,Hypothèses!$W$11,IF(BZ194&lt;=Hypothèses!$V$12,Hypothèses!$W$12,IF(BZ194&lt;=Hypothèses!$V$13,Hypothèses!$W$13,IF(BZ194&lt;=Hypothèses!$V$14,Hypothèses!$W$14,IF(BZ194&lt;=Hypothèses!$V$15,Hypothèses!$W$15,IF(BZ194&lt;=Hypothèses!$V$16,Hypothèses!$W$16,IF(BZ194&lt;=Hypothèses!$V$17,Hypothèses!$W$17,IF(BZ194&lt;=Hypothèses!$V$18,Hypothèses!$W$18,""))))))))))))</f>
        <v>#DIV/0!</v>
      </c>
      <c r="CU194" s="87" t="e">
        <f t="shared" ca="1" si="320"/>
        <v>#DIV/0!</v>
      </c>
      <c r="CV194" s="88" t="e">
        <f ca="1">IF(BZ194&lt;=Hypothèses!$V$7,Hypothèses!$X$7,IF(BZ194&lt;=Hypothèses!$V$8,Hypothèses!$X$8,IF(BZ194&lt;=Hypothèses!$V$9,Hypothèses!$X$9,IF(BZ194&lt;=Hypothèses!$V$10,Hypothèses!$X$10,IF(BZ194&lt;=Hypothèses!$V$11,Hypothèses!$X$11,IF(BZ194&lt;=Hypothèses!$V$12,Hypothèses!$X$12,IF(BZ194&lt;=Hypothèses!$V$13,Hypothèses!$X$13,IF(BZ194&lt;=Hypothèses!$V$14,Hypothèses!$X$14,IF(BZ194&lt;=Hypothèses!$V$15,Hypothèses!$X$15,IF(BZ194&lt;=Hypothèses!$V$16,Hypothèses!$X$16,IF(BZ194&lt;=Hypothèses!$U$17,Hypothèses!$W$17,IF(BZ194&lt;=Hypothèses!$U$18,Hypothèses!$W$18,""))))))))))))</f>
        <v>#DIV/0!</v>
      </c>
      <c r="CW194" s="95" t="e">
        <f t="shared" ca="1" si="285"/>
        <v>#DIV/0!</v>
      </c>
      <c r="CX194" s="101">
        <f t="shared" si="327"/>
        <v>0</v>
      </c>
      <c r="CY194" s="91">
        <f t="shared" si="252"/>
        <v>0</v>
      </c>
      <c r="CZ194" s="30" t="e">
        <f t="shared" si="308"/>
        <v>#N/A</v>
      </c>
      <c r="DA194" s="30" t="e">
        <f t="shared" si="309"/>
        <v>#N/A</v>
      </c>
      <c r="DB194" s="31" t="e">
        <f>IF(OR(Hypothèses!$B$4=17,Hypothèses!$B$4=18,Hypothèses!$B$4=19,Hypothèses!$B$4=20),
IF($D194="Pressio.",
IF(OR($E194=3,$E194=1,$E194=4),DA194,CZ194),
IF($D194="Pénétro.",
IF(OR($E194=3,$E194=1,$E194=4),DA194,CZ194))),IF($D194="Pressio.",
IF($E194=3,DA194,CZ194),
IF($D194="Pénétro.",
IF($E194=4,DA194,CZ194))))</f>
        <v>#N/A</v>
      </c>
      <c r="DC194" s="31">
        <v>0</v>
      </c>
      <c r="DD194" s="102" t="e">
        <f>IF(NDC!$H$10="Oui",(VLOOKUP($B$3,'Coeff EC7'!$T$39:$X$59,2,0)*DB194+VLOOKUP($B$3,'Coeff EC7'!$T$65:$X$85,2,0)*Model0.1T!DC194)/1.5,PI()*CZ$12*$Q194*($B194-$B193)*0.15/10+DD193)</f>
        <v>#N/A</v>
      </c>
      <c r="DE194" s="102" t="e">
        <f>(VLOOKUP($B$3,'Coeff EC7'!$T$39:$X$59,3,0)*DB194+VLOOKUP($B$3,'Coeff EC7'!$T$65:$X$85,3,0)*Model0.1T!DC194)/1.1</f>
        <v>#N/A</v>
      </c>
      <c r="DF194" s="102" t="e">
        <f t="shared" si="286"/>
        <v>#N/A</v>
      </c>
      <c r="DG194" s="102" t="e">
        <f t="shared" si="287"/>
        <v>#N/A</v>
      </c>
      <c r="DH194" s="414" t="e">
        <f>IF(AND(DD194&gt;NDC!$C$63,DE194&gt;NDC!$C$65,DF194&gt;NDC!$D$73,DG194&gt;NDC!$D$74,$B194&gt;NDC!$H$22-0.1+MIN(3*DH$12,1.5)),0,1)</f>
        <v>#N/A</v>
      </c>
      <c r="DI194" s="86" t="b">
        <f t="shared" si="253"/>
        <v>0</v>
      </c>
      <c r="DJ194" s="86">
        <f t="shared" si="254"/>
        <v>0.5</v>
      </c>
      <c r="DK194" s="86">
        <f t="shared" si="255"/>
        <v>0.5</v>
      </c>
      <c r="DL194" s="30" t="e">
        <f t="shared" ca="1" si="288"/>
        <v>#DIV/0!</v>
      </c>
      <c r="DM194" s="85" t="e">
        <f ca="1">IF(CS194&lt;=Hypothèses!$V$7,Hypothèses!$W$7,IF(CS194&lt;=Hypothèses!$V$8,Hypothèses!$W$8,IF(CS194&lt;=Hypothèses!$V$9,Hypothèses!$W$9,IF(CS194&lt;=Hypothèses!$V$10,Hypothèses!$W$10,IF(CS194&lt;=Hypothèses!$V$11,Hypothèses!$W$11,IF(CS194&lt;=Hypothèses!$V$12,Hypothèses!$W$12,IF(CS194&lt;=Hypothèses!$V$13,Hypothèses!$W$13,IF(CS194&lt;=Hypothèses!$V$14,Hypothèses!$W$14,IF(CS194&lt;=Hypothèses!$V$15,Hypothèses!$W$15,IF(CS194&lt;=Hypothèses!$V$16,Hypothèses!$W$16,IF(CS194&lt;=Hypothèses!$V$17,Hypothèses!$W$17,IF(CS194&lt;=Hypothèses!$V$18,Hypothèses!$W$18,""))))))))))))</f>
        <v>#DIV/0!</v>
      </c>
      <c r="DN194" s="87" t="e">
        <f t="shared" ca="1" si="321"/>
        <v>#DIV/0!</v>
      </c>
      <c r="DO194" s="88" t="e">
        <f ca="1">IF(CS194&lt;=Hypothèses!$V$7,Hypothèses!$X$7,IF(CS194&lt;=Hypothèses!$V$8,Hypothèses!$X$8,IF(CS194&lt;=Hypothèses!$V$9,Hypothèses!$X$9,IF(CS194&lt;=Hypothèses!$V$10,Hypothèses!$X$10,IF(CS194&lt;=Hypothèses!$V$11,Hypothèses!$X$11,IF(CS194&lt;=Hypothèses!$V$12,Hypothèses!$X$12,IF(CS194&lt;=Hypothèses!$V$13,Hypothèses!$X$13,IF(CS194&lt;=Hypothèses!$V$14,Hypothèses!$X$14,IF(CS194&lt;=Hypothèses!$V$15,Hypothèses!$X$15,IF(CS194&lt;=Hypothèses!$V$16,Hypothèses!$X$16,IF(CS194&lt;=Hypothèses!$U$17,Hypothèses!$W$17,IF(CS194&lt;=Hypothèses!$U$18,Hypothèses!$W$18,""))))))))))))</f>
        <v>#DIV/0!</v>
      </c>
      <c r="DP194" s="95" t="e">
        <f t="shared" ca="1" si="289"/>
        <v>#DIV/0!</v>
      </c>
      <c r="DQ194" s="101">
        <f t="shared" si="328"/>
        <v>0</v>
      </c>
      <c r="DR194" s="91">
        <f t="shared" si="256"/>
        <v>0</v>
      </c>
      <c r="DS194" s="30" t="e">
        <f t="shared" si="310"/>
        <v>#N/A</v>
      </c>
      <c r="DT194" s="30" t="e">
        <f t="shared" si="311"/>
        <v>#N/A</v>
      </c>
      <c r="DU194" s="31" t="e">
        <f>IF(OR(Hypothèses!$B$4=17,Hypothèses!$B$4=18,Hypothèses!$B$4=19,Hypothèses!$B$4=20),
IF($D194="Pressio.",
IF(OR($E194=3,$E194=1,$E194=4),DT194,DS194),
IF($D194="Pénétro.",
IF(OR($E194=3,$E194=1,$E194=4),DT194,DS194))),IF($D194="Pressio.",
IF($E194=3,DT194,DS194),
IF($D194="Pénétro.",
IF($E194=4,DT194,DS194))))</f>
        <v>#N/A</v>
      </c>
      <c r="DV194" s="31">
        <v>0</v>
      </c>
      <c r="DW194" s="102" t="e">
        <f>IF(NDC!$H$10="Oui",(VLOOKUP($B$3,'Coeff EC7'!$T$39:$X$59,2,0)*DU194+VLOOKUP($B$3,'Coeff EC7'!$T$65:$X$85,2,0)*Model0.1T!DV194)/1.5,PI()*DS$12*$Q194*($B194-$B193)*0.15/10+DW193)</f>
        <v>#N/A</v>
      </c>
      <c r="DX194" s="102" t="e">
        <f>(VLOOKUP($B$3,'Coeff EC7'!$T$39:$X$59,3,0)*DU194+VLOOKUP($B$3,'Coeff EC7'!$T$65:$X$85,3,0)*Model0.1T!DV194)/1.1</f>
        <v>#N/A</v>
      </c>
      <c r="DY194" s="102" t="e">
        <f t="shared" si="290"/>
        <v>#N/A</v>
      </c>
      <c r="DZ194" s="102" t="e">
        <f t="shared" si="291"/>
        <v>#N/A</v>
      </c>
      <c r="EA194" s="414" t="e">
        <f>IF(AND(DW194&gt;NDC!$C$63,DX194&gt;NDC!$C$65,DY194&gt;NDC!$D$73,DZ194&gt;NDC!$D$74,$B194&gt;NDC!$H$22-0.1+MIN(3*EA$12,1.5)),0,1)</f>
        <v>#N/A</v>
      </c>
      <c r="EB194" s="86" t="b">
        <f t="shared" si="257"/>
        <v>0</v>
      </c>
      <c r="EC194" s="418">
        <f t="shared" si="258"/>
        <v>0.51</v>
      </c>
      <c r="ED194" s="86">
        <f t="shared" si="259"/>
        <v>0.51</v>
      </c>
      <c r="EE194" s="30" t="e">
        <f t="shared" ca="1" si="292"/>
        <v>#DIV/0!</v>
      </c>
      <c r="EF194" s="85" t="e">
        <f ca="1">IF(DL194&lt;=Hypothèses!$V$7,Hypothèses!$W$7,IF(DL194&lt;=Hypothèses!$V$8,Hypothèses!$W$8,IF(DL194&lt;=Hypothèses!$V$9,Hypothèses!$W$9,IF(DL194&lt;=Hypothèses!$V$10,Hypothèses!$W$10,IF(DL194&lt;=Hypothèses!$V$11,Hypothèses!$W$11,IF(DL194&lt;=Hypothèses!$V$12,Hypothèses!$W$12,IF(DL194&lt;=Hypothèses!$V$13,Hypothèses!$W$13,IF(DL194&lt;=Hypothèses!$V$14,Hypothèses!$W$14,IF(DL194&lt;=Hypothèses!$V$15,Hypothèses!$W$15,IF(DL194&lt;=Hypothèses!$V$16,Hypothèses!$W$16,IF(DL194&lt;=Hypothèses!$V$17,Hypothèses!$W$17,IF(DL194&lt;=Hypothèses!$V$18,Hypothèses!$W$18,""))))))))))))</f>
        <v>#DIV/0!</v>
      </c>
      <c r="EG194" s="87" t="e">
        <f t="shared" ca="1" si="322"/>
        <v>#DIV/0!</v>
      </c>
      <c r="EH194" s="88" t="e">
        <f ca="1">IF(DL194&lt;=Hypothèses!$V$7,Hypothèses!$X$7,IF(DL194&lt;=Hypothèses!$V$8,Hypothèses!$X$8,IF(DL194&lt;=Hypothèses!$V$9,Hypothèses!$X$9,IF(DL194&lt;=Hypothèses!$V$10,Hypothèses!$X$10,IF(DL194&lt;=Hypothèses!$V$11,Hypothèses!$X$11,IF(DL194&lt;=Hypothèses!$V$12,Hypothèses!$X$12,IF(DL194&lt;=Hypothèses!$V$13,Hypothèses!$X$13,IF(DL194&lt;=Hypothèses!$V$14,Hypothèses!$X$14,IF(DL194&lt;=Hypothèses!$V$15,Hypothèses!$X$15,IF(DL194&lt;=Hypothèses!$V$16,Hypothèses!$X$16,IF(DL194&lt;=Hypothèses!$U$17,Hypothèses!$W$17,IF(DL194&lt;=Hypothèses!$U$18,Hypothèses!$W$18,""))))))))))))</f>
        <v>#DIV/0!</v>
      </c>
      <c r="EI194" s="95" t="e">
        <f t="shared" ca="1" si="293"/>
        <v>#DIV/0!</v>
      </c>
      <c r="EJ194" s="101">
        <f t="shared" si="329"/>
        <v>0</v>
      </c>
      <c r="EK194" s="91">
        <f t="shared" si="260"/>
        <v>0</v>
      </c>
      <c r="EL194" s="30" t="e">
        <f t="shared" si="312"/>
        <v>#N/A</v>
      </c>
      <c r="EM194" s="30" t="e">
        <f t="shared" si="313"/>
        <v>#N/A</v>
      </c>
      <c r="EN194" s="31" t="e">
        <f>IF(OR(Hypothèses!$B$4=17,Hypothèses!$B$4=18,Hypothèses!$B$4=19,Hypothèses!$B$4=20),
IF($D194="Pressio.",
IF(OR($E194=3,$E194=1,$E194=4),EM194,EL194),
IF($D194="Pénétro.",
IF(OR($E194=3,$E194=1,$E194=4),EM194,EL194))),IF($D194="Pressio.",
IF($E194=3,EM194,EL194),
IF($D194="Pénétro.",
IF($E194=4,EM194,EL194))))</f>
        <v>#N/A</v>
      </c>
      <c r="EO194" s="31">
        <v>0</v>
      </c>
      <c r="EP194" s="102" t="e">
        <f>IF(NDC!$H$10="Oui",(VLOOKUP($B$3,'Coeff EC7'!$T$39:$X$59,2,0)*EN194+VLOOKUP($B$3,'Coeff EC7'!$T$65:$X$85,2,0)*Model0.1T!EO194)/1.5,PI()*EL$12*$Q194*($B194-$B193)*0.15/10+EP193)</f>
        <v>#N/A</v>
      </c>
      <c r="EQ194" s="102" t="e">
        <f>(VLOOKUP($B$3,'Coeff EC7'!$T$39:$X$59,3,0)*EN194+VLOOKUP($B$3,'Coeff EC7'!$T$65:$X$85,3,0)*Model0.1T!EO194)/1.1</f>
        <v>#N/A</v>
      </c>
      <c r="ER194" s="102" t="e">
        <f t="shared" si="294"/>
        <v>#N/A</v>
      </c>
      <c r="ES194" s="102" t="e">
        <f t="shared" si="295"/>
        <v>#N/A</v>
      </c>
      <c r="ET194" s="414" t="e">
        <f>IF(AND(EP194&gt;NDC!$C$63,EQ194&gt;NDC!$C$65,ER194&gt;NDC!$D$73,ES194&gt;NDC!$D$74,$B194&gt;NDC!$H$22-0.1+MIN(3*ET$12,1.5)),0,1)</f>
        <v>#N/A</v>
      </c>
      <c r="EU194" s="86" t="b">
        <f t="shared" si="261"/>
        <v>0</v>
      </c>
      <c r="EV194" s="86">
        <f t="shared" si="262"/>
        <v>0.61</v>
      </c>
      <c r="EW194" s="86">
        <f t="shared" si="263"/>
        <v>0.61</v>
      </c>
      <c r="EX194" s="30" t="e">
        <f t="shared" ca="1" si="296"/>
        <v>#DIV/0!</v>
      </c>
      <c r="EY194" s="85" t="e">
        <f ca="1">IF(EE194&lt;=Hypothèses!$V$7,Hypothèses!$W$7,IF(EE194&lt;=Hypothèses!$V$8,Hypothèses!$W$8,IF(EE194&lt;=Hypothèses!$V$9,Hypothèses!$W$9,IF(EE194&lt;=Hypothèses!$V$10,Hypothèses!$W$10,IF(EE194&lt;=Hypothèses!$V$11,Hypothèses!$W$11,IF(EE194&lt;=Hypothèses!$V$12,Hypothèses!$W$12,IF(EE194&lt;=Hypothèses!$V$13,Hypothèses!$W$13,IF(EE194&lt;=Hypothèses!$V$14,Hypothèses!$W$14,IF(EE194&lt;=Hypothèses!$V$15,Hypothèses!$W$15,IF(EE194&lt;=Hypothèses!$V$16,Hypothèses!$W$16,IF(EE194&lt;=Hypothèses!$V$17,Hypothèses!$W$17,IF(EE194&lt;=Hypothèses!$V$18,Hypothèses!$W$18,""))))))))))))</f>
        <v>#DIV/0!</v>
      </c>
      <c r="EZ194" s="87" t="e">
        <f t="shared" ca="1" si="323"/>
        <v>#DIV/0!</v>
      </c>
      <c r="FA194" s="88" t="e">
        <f ca="1">IF(EE194&lt;=Hypothèses!$V$7,Hypothèses!$X$7,IF(EE194&lt;=Hypothèses!$V$8,Hypothèses!$X$8,IF(EE194&lt;=Hypothèses!$V$9,Hypothèses!$X$9,IF(EE194&lt;=Hypothèses!$V$10,Hypothèses!$X$10,IF(EE194&lt;=Hypothèses!$V$11,Hypothèses!$X$11,IF(EE194&lt;=Hypothèses!$V$12,Hypothèses!$X$12,IF(EE194&lt;=Hypothèses!$V$13,Hypothèses!$X$13,IF(EE194&lt;=Hypothèses!$V$14,Hypothèses!$X$14,IF(EE194&lt;=Hypothèses!$V$15,Hypothèses!$X$15,IF(EE194&lt;=Hypothèses!$V$16,Hypothèses!$X$16,IF(EE194&lt;=Hypothèses!$U$17,Hypothèses!$W$17,IF(EE194&lt;=Hypothèses!$U$18,Hypothèses!$W$18,""))))))))))))</f>
        <v>#DIV/0!</v>
      </c>
      <c r="FB194" s="95" t="e">
        <f t="shared" ca="1" si="297"/>
        <v>#DIV/0!</v>
      </c>
      <c r="FC194" s="101">
        <f t="shared" si="330"/>
        <v>0</v>
      </c>
      <c r="FD194" s="91">
        <f t="shared" si="264"/>
        <v>0</v>
      </c>
      <c r="FE194" s="30" t="e">
        <f t="shared" si="314"/>
        <v>#N/A</v>
      </c>
      <c r="FF194" s="30" t="e">
        <f t="shared" si="315"/>
        <v>#N/A</v>
      </c>
      <c r="FG194" s="31" t="e">
        <f>IF(OR(Hypothèses!$B$4=17,Hypothèses!$B$4=18,Hypothèses!$B$4=19,Hypothèses!$B$4=20),
IF($D194="Pressio.",
IF(OR($E194=3,$E194=1,$E194=4),FF194,FE194),
IF($D194="Pénétro.",
IF(OR($E194=3,$E194=1,$E194=4),FF194,FE194))),IF($D194="Pressio.",
IF($E194=3,FF194,FE194),
IF($D194="Pénétro.",
IF($E194=4,FF194,FE194))))</f>
        <v>#N/A</v>
      </c>
      <c r="FH194" s="31">
        <v>0</v>
      </c>
      <c r="FI194" s="102" t="e">
        <f>IF(NDC!$H$10="Oui",(VLOOKUP($B$3,'Coeff EC7'!$T$39:$X$59,2,0)*FG194+VLOOKUP($B$3,'Coeff EC7'!$T$65:$X$85,2,0)*Model0.1T!FH194)/1.5,PI()*FE$12*$Q194*($B194-$B193)*0.15/10+FI193)</f>
        <v>#N/A</v>
      </c>
      <c r="FJ194" s="102" t="e">
        <f>(VLOOKUP($B$3,'Coeff EC7'!$T$39:$X$59,3,0)*FG194+VLOOKUP($B$3,'Coeff EC7'!$T$65:$X$85,3,0)*Model0.1T!FH194)/1.1</f>
        <v>#N/A</v>
      </c>
      <c r="FK194" s="102" t="e">
        <f t="shared" si="298"/>
        <v>#N/A</v>
      </c>
      <c r="FL194" s="102" t="e">
        <f t="shared" si="299"/>
        <v>#N/A</v>
      </c>
      <c r="FM194" s="414" t="e">
        <f>IF(AND(FI194&gt;NDC!$C$63,FJ194&gt;NDC!$C$65,FK194&gt;NDC!$D$73,FL194&gt;NDC!$D$74,$B194&gt;NDC!$H$22-0.1+MIN(3*FM$12,1.5)),0,1)</f>
        <v>#N/A</v>
      </c>
    </row>
    <row r="195" spans="1:169">
      <c r="A195" s="96">
        <f t="shared" si="265"/>
        <v>81.800000000001035</v>
      </c>
      <c r="B195" s="97">
        <v>18.2</v>
      </c>
      <c r="C195" s="81">
        <f>IF(B195&lt;=Hypothèses!$C$7,Hypothèses!$A$7,IF(B195&lt;=Hypothèses!$C$8,Hypothèses!$A$8,IF(B195&lt;=Hypothèses!$C$9,Hypothèses!$A$9,IF(B195&lt;=Hypothèses!$C$10,Hypothèses!$A$10,IF(B195&lt;=Hypothèses!$C$11,Hypothèses!$A$11,IF(B195&lt;=Hypothèses!$C$12,Hypothèses!$A$12,IF(B195&lt;=Hypothèses!$C$13,Hypothèses!$A$13,IF(B195&lt;=Hypothèses!$C$14,Hypothèses!$A$14,IF(B195&lt;=Hypothèses!$C$15,Hypothèses!$A$15,IF(B195&lt;=Hypothèses!$C$16,Hypothèses!$A$16,IF(B195&lt;=Hypothèses!$C$17,Hypothèses!$A$17,IF(B195&lt;=Hypothèses!$C$18,Hypothèses!$A$18,C194))))))))))))</f>
        <v>11</v>
      </c>
      <c r="D195" s="82" t="str">
        <f>IF(B195&lt;=Hypothèses!$C$7,Hypothèses!$R$7,IF(B195&lt;=Hypothèses!$C$8,Hypothèses!$R$8,IF(B195&lt;=Hypothèses!$C$9,Hypothèses!$R$9,IF(B195&lt;=Hypothèses!$C$10,Hypothèses!$R$10,IF(B195&lt;=Hypothèses!$C$11,Hypothèses!$R$11,IF(B195&lt;=Hypothèses!$C$12,Hypothèses!$R$12,IF(B195&lt;=Hypothèses!$C$13,Hypothèses!$R$13,IF(B195&lt;=Hypothèses!$C$14,Hypothèses!$R$14,IF(B195&lt;=Hypothèses!$C$15,Hypothèses!$R$15,IF(B195&lt;=Hypothèses!$C$16,Hypothèses!$R$16,IF(B195&lt;=Hypothèses!$C$17,Hypothèses!$R$17,IF(B195&lt;=Hypothèses!$C$18,Hypothèses!$R$18,D194))))))))))))</f>
        <v>Pressio.</v>
      </c>
      <c r="E195" s="82" t="e">
        <f>IF(B195&lt;=Hypothèses!$C$7,Hypothèses!$G$7,IF(B195&lt;=Hypothèses!$C$8,Hypothèses!$G$8,IF(B195&lt;=Hypothèses!$C$9,Hypothèses!$G$9,IF(B195&lt;=Hypothèses!$C$10,Hypothèses!$G$10,IF(B195&lt;=Hypothèses!$C$11,Hypothèses!$G$11,IF(B195&lt;=Hypothèses!$C$12,Hypothèses!$G$12,IF(B195&lt;=Hypothèses!$C$13,Hypothèses!$G$13,IF(B195&lt;=Hypothèses!$C$14,Hypothèses!$G$14,IF(B195&lt;=Hypothèses!$C$15,Hypothèses!$G$15,IF(B195&lt;=Hypothèses!$C$16,Hypothèses!$G$16,IF(B195&lt;=Hypothèses!$C$17,Hypothèses!$G$17,IF(B195&lt;=Hypothèses!$C$18,Hypothèses!$G$18,E194))))))))))))</f>
        <v>#N/A</v>
      </c>
      <c r="F195" s="82" t="str">
        <f>IF(B195&lt;=Hypothèses!$C$7,Hypothèses!$F$7,IF(B195&lt;=Hypothèses!$C$8,Hypothèses!$F$8,IF(B195&lt;=Hypothèses!$C$9,Hypothèses!$F$9,IF(B195&lt;=Hypothèses!$C$10,Hypothèses!$F$10,IF(B195&lt;=Hypothèses!$C$11,Hypothèses!$F$11,IF(B195&lt;=Hypothèses!$C$12,Hypothèses!$F$12,IF(B195&lt;=Hypothèses!$C$13,Hypothèses!$F$13,IF(B195&lt;=Hypothèses!$C$14,Hypothèses!$F$14,IF(B195&lt;=Hypothèses!$C$15,Hypothèses!$F$15,IF(B195&lt;=Hypothèses!$C$16,Hypothèses!$F$16,IF(B195&lt;=Hypothèses!$C$17,Hypothèses!$F$17,IF(B195&lt;=Hypothèses!$C$18,Hypothèses!$F$18,F194))))))))))))</f>
        <v/>
      </c>
      <c r="G195" s="91">
        <f t="array" ref="G195">INDEX('Coeff EC7'!$U$7:$X$27,
MATCH(Model0.1T!$B$3,'Coeff EC7'!$T$7:$T$27,0),
MATCH(Model0.1T!$D195&amp;Model0.1T!$B$4,
'Coeff EC7'!$U$6:$X$6&amp;
'Coeff EC7'!$U$5:$X$5,0))</f>
        <v>1.4</v>
      </c>
      <c r="H195" s="91">
        <f t="array" ref="H195">INDEX('Coeff EC7'!$Y$7:$AB$27,
MATCH(Model0.1T!$B$3,'Coeff EC7'!$T$7:$T$27,0),
MATCH(Model0.1T!$D195&amp;Model0.1T!$B$4,
'Coeff EC7'!$Y$6:$AB$6&amp;
'Coeff EC7'!$Y$5:$AB$5,0))</f>
        <v>1.7</v>
      </c>
      <c r="I195" s="83">
        <v>0</v>
      </c>
      <c r="J195" s="91" t="e">
        <f t="array" ref="J195">INDEX('Coeff EC7'!$D$33:$Q$33,1,MATCH(D195&amp;E195,'Coeff EC7'!$D$31:$Q$31&amp;'Coeff EC7'!$D$32:$Q$32,0))</f>
        <v>#N/A</v>
      </c>
      <c r="K195" s="91" t="e">
        <f t="array" ref="K195">INDEX('Coeff EC7'!$D$34:$Q$34,1,MATCH(D195&amp;E195,'Coeff EC7'!$D$31:$Q$31&amp;'Coeff EC7'!$D$32:$Q$32,0))</f>
        <v>#N/A</v>
      </c>
      <c r="L195" s="91" t="e">
        <f t="array" ref="L195">INDEX('Coeff EC7'!$D$35:$Q$35,1,MATCH(D195&amp;E195,'Coeff EC7'!$D$31:$Q$31&amp;'Coeff EC7'!$D$32:$Q$32,0))</f>
        <v>#N/A</v>
      </c>
      <c r="M195" s="98" t="e">
        <f t="shared" si="231"/>
        <v>#N/A</v>
      </c>
      <c r="N195" s="99" t="e">
        <f t="array" ref="N195">INDEX('Coeff EC7'!$D$7:$Q$27,MATCH($B$3,'Coeff EC7'!$C$7:$C$27,0),MATCH(D195&amp;E195,'Coeff EC7'!$D$5:$Q$5&amp;'Coeff EC7'!$D$6:$Q$6,0))</f>
        <v>#N/A</v>
      </c>
      <c r="O195" s="99" t="e">
        <f t="array" ref="O195">INDEX('Coeff EC7'!$D$41:$Q$61,MATCH($B$3,'Coeff EC7'!$C$41:$C$61,0),MATCH(D195&amp;E195,'Coeff EC7'!$D$39:$Q$39&amp;'Coeff EC7'!$D$40:$Q$40,0))</f>
        <v>#N/A</v>
      </c>
      <c r="P195" s="30" t="e">
        <f t="shared" si="266"/>
        <v>#N/A</v>
      </c>
      <c r="Q195" s="100" t="e">
        <f t="shared" si="233"/>
        <v>#N/A</v>
      </c>
      <c r="R195" s="86" t="b">
        <f t="shared" si="234"/>
        <v>0</v>
      </c>
      <c r="S195" s="86">
        <f t="shared" si="232"/>
        <v>0.5</v>
      </c>
      <c r="T195" s="86">
        <f t="shared" si="235"/>
        <v>0.5</v>
      </c>
      <c r="U195" s="30" t="e">
        <f t="shared" ca="1" si="267"/>
        <v>#DIV/0!</v>
      </c>
      <c r="V195" s="85" t="str">
        <f>IF(B195&lt;=Hypothèses!$V$7,Hypothèses!$W$7,IF(B195&lt;=Hypothèses!$V$8,Hypothèses!$W$8,IF(B195&lt;=Hypothèses!$V$9,Hypothèses!$W$9,IF(B195&lt;=Hypothèses!$V$10,Hypothèses!$W$10,IF(B195&lt;=Hypothèses!$V$11,Hypothèses!$W$11,IF(B195&lt;=Hypothèses!$V$12,Hypothèses!$W$12,IF(B195&lt;=Hypothèses!$V$13,Hypothèses!$W$13,IF(B195&lt;=Hypothèses!$V$14,Hypothèses!$W$14,IF(B195&lt;=Hypothèses!$V$15,Hypothèses!$W$15,IF(B195&lt;=Hypothèses!$V$16,Hypothèses!$W$16,IF(B195&lt;=Hypothèses!$V$17,Hypothèses!$W$17,IF(B195&lt;=Hypothèses!$V$18,Hypothèses!$W$18,""))))))))))))</f>
        <v/>
      </c>
      <c r="W195" s="87" t="e">
        <f t="shared" ca="1" si="316"/>
        <v>#DIV/0!</v>
      </c>
      <c r="X195" s="88" t="str">
        <f>IF(B195&lt;=Hypothèses!$V$7,Hypothèses!$X$7,IF(B195&lt;=Hypothèses!$V$8,Hypothèses!$X$8,IF(B195&lt;=Hypothèses!$V$9,Hypothèses!$X$9,IF(B195&lt;=Hypothèses!$V$10,Hypothèses!$X$10,IF(B195&lt;=Hypothèses!$V$11,Hypothèses!$X$11,IF(B195&lt;=Hypothèses!$V$12,Hypothèses!$X$12,IF(B195&lt;=Hypothèses!$V$13,Hypothèses!$X$13,IF(B195&lt;=Hypothèses!$V$14,Hypothèses!$X$14,IF(B195&lt;=Hypothèses!$V$15,Hypothèses!$X$15,IF(B195&lt;=Hypothèses!$V$16,Hypothèses!$X$16,IF(B195&lt;=Hypothèses!$U$17,Hypothèses!$W$17,IF(B195&lt;=Hypothèses!$U$18,Hypothèses!$W$18,""))))))))))))</f>
        <v/>
      </c>
      <c r="Y195" s="95" t="e">
        <f t="shared" ca="1" si="236"/>
        <v>#DIV/0!</v>
      </c>
      <c r="Z195" s="101">
        <f t="shared" si="237"/>
        <v>0</v>
      </c>
      <c r="AA195" s="91">
        <f t="shared" si="238"/>
        <v>0</v>
      </c>
      <c r="AB195" s="30" t="e">
        <f t="shared" si="300"/>
        <v>#N/A</v>
      </c>
      <c r="AC195" s="30" t="e">
        <f t="shared" si="301"/>
        <v>#N/A</v>
      </c>
      <c r="AD195" s="31" t="e">
        <f>IF(OR(Hypothèses!$B$4=17,Hypothèses!$B$4=18,Hypothèses!$B$4=19,Hypothèses!$B$4=20),
IF($D195="Pressio.",
IF(OR($E195=3,$E195=1,$E195=4),AC195,AB195),
IF($D195="Pénétro.",
IF(OR($E195=3,$E195=1,$E195=4),AC195,AB195))),IF($D195="Pressio.",
IF($E195=3,AC195,AB195),
IF($D195="Pénétro.",
IF($E195=4,AC195,AB195))))</f>
        <v>#N/A</v>
      </c>
      <c r="AE195" s="31">
        <v>0</v>
      </c>
      <c r="AF195" s="102" t="e">
        <f>IF(NDC!$H$10="Oui",(VLOOKUP($B$3,'Coeff EC7'!$T$39:$X$59,2,0)*AD195+VLOOKUP($B$3,'Coeff EC7'!$T$65:$X$85,2,0)*Model0.1T!AE195)/1.5,PI()*AB$12*$Q195*($B195-$B194)*0.15/10+AF194)</f>
        <v>#N/A</v>
      </c>
      <c r="AG195" s="102" t="e">
        <f>(VLOOKUP($B$3,'Coeff EC7'!$T$39:$X$59,3,0)*AD195+VLOOKUP($B$3,'Coeff EC7'!$T$65:$X$85,3,0)*Model0.1T!AE195)/1.1</f>
        <v>#N/A</v>
      </c>
      <c r="AH195" s="102" t="e">
        <f t="shared" si="268"/>
        <v>#N/A</v>
      </c>
      <c r="AI195" s="102" t="e">
        <f t="shared" si="269"/>
        <v>#N/A</v>
      </c>
      <c r="AJ195" s="414" t="e">
        <f>IF(AND(AF195&gt;NDC!$C$63,AG195&gt;NDC!$C$65,AH195&gt;NDC!$D$73,AI195&gt;NDC!$D$74,$B195&gt;NDC!$H$22-0.1+MIN(3*$AJ$12,1.5)),0,1)</f>
        <v>#N/A</v>
      </c>
      <c r="AK195" s="86" t="b">
        <f t="shared" si="239"/>
        <v>0</v>
      </c>
      <c r="AL195" s="86">
        <f t="shared" si="270"/>
        <v>0.5</v>
      </c>
      <c r="AM195" s="86">
        <f t="shared" si="240"/>
        <v>0.5</v>
      </c>
      <c r="AN195" s="30" t="e">
        <f t="shared" ca="1" si="271"/>
        <v>#DIV/0!</v>
      </c>
      <c r="AO195" s="85" t="e">
        <f ca="1">IF(U195&lt;=Hypothèses!$V$7,Hypothèses!$W$7,IF(U195&lt;=Hypothèses!$V$8,Hypothèses!$W$8,IF(U195&lt;=Hypothèses!$V$9,Hypothèses!$W$9,IF(U195&lt;=Hypothèses!$V$10,Hypothèses!$W$10,IF(U195&lt;=Hypothèses!$V$11,Hypothèses!$W$11,IF(U195&lt;=Hypothèses!$V$12,Hypothèses!$W$12,IF(U195&lt;=Hypothèses!$V$13,Hypothèses!$W$13,IF(U195&lt;=Hypothèses!$V$14,Hypothèses!$W$14,IF(U195&lt;=Hypothèses!$V$15,Hypothèses!$W$15,IF(U195&lt;=Hypothèses!$V$16,Hypothèses!$W$16,IF(U195&lt;=Hypothèses!$V$17,Hypothèses!$W$17,IF(U195&lt;=Hypothèses!$V$18,Hypothèses!$W$18,""))))))))))))</f>
        <v>#DIV/0!</v>
      </c>
      <c r="AP195" s="87" t="e">
        <f t="shared" ca="1" si="317"/>
        <v>#DIV/0!</v>
      </c>
      <c r="AQ195" s="88" t="e">
        <f ca="1">IF(U195&lt;=Hypothèses!$V$7,Hypothèses!$X$7,IF(U195&lt;=Hypothèses!$V$8,Hypothèses!$X$8,IF(U195&lt;=Hypothèses!$V$9,Hypothèses!$X$9,IF(U195&lt;=Hypothèses!$V$10,Hypothèses!$X$10,IF(U195&lt;=Hypothèses!$V$11,Hypothèses!$X$11,IF(U195&lt;=Hypothèses!$V$12,Hypothèses!$X$12,IF(U195&lt;=Hypothèses!$V$13,Hypothèses!$X$13,IF(U195&lt;=Hypothèses!$V$14,Hypothèses!$X$14,IF(U195&lt;=Hypothèses!$V$15,Hypothèses!$X$15,IF(U195&lt;=Hypothèses!$V$16,Hypothèses!$X$16,IF(U195&lt;=Hypothèses!$U$17,Hypothèses!$W$17,IF(U195&lt;=Hypothèses!$U$18,Hypothèses!$W$18,""))))))))))))</f>
        <v>#DIV/0!</v>
      </c>
      <c r="AR195" s="95" t="e">
        <f t="shared" ca="1" si="272"/>
        <v>#DIV/0!</v>
      </c>
      <c r="AS195" s="101">
        <f t="shared" si="324"/>
        <v>0</v>
      </c>
      <c r="AT195" s="91">
        <f t="shared" si="241"/>
        <v>0</v>
      </c>
      <c r="AU195" s="30" t="e">
        <f t="shared" si="302"/>
        <v>#N/A</v>
      </c>
      <c r="AV195" s="30" t="e">
        <f t="shared" si="303"/>
        <v>#N/A</v>
      </c>
      <c r="AW195" s="31" t="e">
        <f>IF(OR(Hypothèses!$B$4=17,Hypothèses!$B$4=18,Hypothèses!$B$4=19,Hypothèses!$B$4=20),
IF($D195="Pressio.",
IF(OR($E195=3,$E195=1,$E195=4),AV195,AU195),
IF($D195="Pénétro.",
IF(OR($E195=3,$E195=1,$E195=4),AV195,AU195))),IF($D195="Pressio.",
IF($E195=3,AV195,AU195),
IF($D195="Pénétro.",
IF($E195=4,AV195,AU195))))</f>
        <v>#N/A</v>
      </c>
      <c r="AX195" s="31">
        <v>0</v>
      </c>
      <c r="AY195" s="102" t="e">
        <f>IF(NDC!$H$10="Oui",(VLOOKUP($B$3,'Coeff EC7'!$T$39:$X$59,2,0)*AW195+VLOOKUP($B$3,'Coeff EC7'!$T$65:$X$85,2,0)*Model0.1T!AX195)/1.5,PI()*AU$12*$Q195*($B195-$B194)*0.15/10+AY194)</f>
        <v>#N/A</v>
      </c>
      <c r="AZ195" s="102" t="e">
        <f>(VLOOKUP($B$3,'Coeff EC7'!$T$39:$X$59,3,0)*AW195+VLOOKUP($B$3,'Coeff EC7'!$T$65:$X$85,3,0)*Model0.1T!AX195)/1.1</f>
        <v>#N/A</v>
      </c>
      <c r="BA195" s="102" t="e">
        <f t="shared" si="273"/>
        <v>#N/A</v>
      </c>
      <c r="BB195" s="102" t="e">
        <f t="shared" si="274"/>
        <v>#N/A</v>
      </c>
      <c r="BC195" s="414" t="e">
        <f>IF(AND(AY195&gt;NDC!$C$63,AZ195&gt;NDC!$C$65,BA195&gt;NDC!$D$73,BB195&gt;NDC!$D$74,$B195&gt;NDC!$H$22-0.1+MIN(3*BC$12,1.5)),0,1)</f>
        <v>#N/A</v>
      </c>
      <c r="BD195" s="86" t="b">
        <f t="shared" si="242"/>
        <v>0</v>
      </c>
      <c r="BE195" s="86">
        <f t="shared" si="275"/>
        <v>0.5</v>
      </c>
      <c r="BF195" s="86">
        <f t="shared" si="243"/>
        <v>0.5</v>
      </c>
      <c r="BG195" s="30" t="e">
        <f t="shared" ca="1" si="276"/>
        <v>#DIV/0!</v>
      </c>
      <c r="BH195" s="85" t="e">
        <f ca="1">IF(AN195&lt;=Hypothèses!$V$7,Hypothèses!$W$7,IF(AN195&lt;=Hypothèses!$V$8,Hypothèses!$W$8,IF(AN195&lt;=Hypothèses!$V$9,Hypothèses!$W$9,IF(AN195&lt;=Hypothèses!$V$10,Hypothèses!$W$10,IF(AN195&lt;=Hypothèses!$V$11,Hypothèses!$W$11,IF(AN195&lt;=Hypothèses!$V$12,Hypothèses!$W$12,IF(AN195&lt;=Hypothèses!$V$13,Hypothèses!$W$13,IF(AN195&lt;=Hypothèses!$V$14,Hypothèses!$W$14,IF(AN195&lt;=Hypothèses!$V$15,Hypothèses!$W$15,IF(AN195&lt;=Hypothèses!$V$16,Hypothèses!$W$16,IF(AN195&lt;=Hypothèses!$V$17,Hypothèses!$W$17,IF(AN195&lt;=Hypothèses!$V$18,Hypothèses!$W$18,""))))))))))))</f>
        <v>#DIV/0!</v>
      </c>
      <c r="BI195" s="87" t="e">
        <f t="shared" ca="1" si="318"/>
        <v>#DIV/0!</v>
      </c>
      <c r="BJ195" s="88" t="e">
        <f ca="1">IF(AN195&lt;=Hypothèses!$V$7,Hypothèses!$X$7,IF(AN195&lt;=Hypothèses!$V$8,Hypothèses!$X$8,IF(AN195&lt;=Hypothèses!$V$9,Hypothèses!$X$9,IF(AN195&lt;=Hypothèses!$V$10,Hypothèses!$X$10,IF(AN195&lt;=Hypothèses!$V$11,Hypothèses!$X$11,IF(AN195&lt;=Hypothèses!$V$12,Hypothèses!$X$12,IF(AN195&lt;=Hypothèses!$V$13,Hypothèses!$X$13,IF(AN195&lt;=Hypothèses!$V$14,Hypothèses!$X$14,IF(AN195&lt;=Hypothèses!$V$15,Hypothèses!$X$15,IF(AN195&lt;=Hypothèses!$V$16,Hypothèses!$X$16,IF(AN195&lt;=Hypothèses!$U$17,Hypothèses!$W$17,IF(AN195&lt;=Hypothèses!$U$18,Hypothèses!$W$18,""))))))))))))</f>
        <v>#DIV/0!</v>
      </c>
      <c r="BK195" s="95" t="e">
        <f t="shared" ca="1" si="277"/>
        <v>#DIV/0!</v>
      </c>
      <c r="BL195" s="101">
        <f t="shared" si="325"/>
        <v>0</v>
      </c>
      <c r="BM195" s="91">
        <f t="shared" si="244"/>
        <v>0</v>
      </c>
      <c r="BN195" s="30" t="e">
        <f t="shared" si="304"/>
        <v>#N/A</v>
      </c>
      <c r="BO195" s="30" t="e">
        <f t="shared" si="305"/>
        <v>#N/A</v>
      </c>
      <c r="BP195" s="31" t="e">
        <f>IF(OR(Hypothèses!$B$4=17,Hypothèses!$B$4=18,Hypothèses!$B$4=19,Hypothèses!$B$4=20),
IF($D195="Pressio.",
IF(OR($E195=3,$E195=1,$E195=4),BO195,BN195),
IF($D195="Pénétro.",
IF(OR($E195=3,$E195=1,$E195=4),BO195,BN195))),IF($D195="Pressio.",
IF($E195=3,BO195,BN195),
IF($D195="Pénétro.",
IF($E195=4,BO195,BN195))))</f>
        <v>#N/A</v>
      </c>
      <c r="BQ195" s="31">
        <v>0</v>
      </c>
      <c r="BR195" s="102" t="e">
        <f>IF(NDC!$H$10="Oui",(VLOOKUP($B$3,'Coeff EC7'!$T$39:$X$59,2,0)*BP195+VLOOKUP($B$3,'Coeff EC7'!$T$65:$X$85,2,0)*Model0.1T!BQ195)/1.5,PI()*BN$12*$Q195*($B195-$B194)*0.15/10+BR194)</f>
        <v>#N/A</v>
      </c>
      <c r="BS195" s="102" t="e">
        <f>(VLOOKUP($B$3,'Coeff EC7'!$T$39:$X$59,3,0)*BP195+VLOOKUP($B$3,'Coeff EC7'!$T$65:$X$85,3,0)*Model0.1T!BQ195)/1.1</f>
        <v>#N/A</v>
      </c>
      <c r="BT195" s="102" t="e">
        <f t="shared" si="278"/>
        <v>#N/A</v>
      </c>
      <c r="BU195" s="102" t="e">
        <f t="shared" si="279"/>
        <v>#N/A</v>
      </c>
      <c r="BV195" s="414" t="e">
        <f>IF(AND(BR195&gt;NDC!$C$63,BS195&gt;NDC!$C$65,BT195&gt;NDC!$D$73,BU195&gt;NDC!$D$74,$B195&gt;NDC!$H$22-0.1+MIN(3*BV$12,1.5)),0,1)</f>
        <v>#N/A</v>
      </c>
      <c r="BW195" s="86" t="b">
        <f t="shared" si="245"/>
        <v>0</v>
      </c>
      <c r="BX195" s="86">
        <f t="shared" si="246"/>
        <v>0.5</v>
      </c>
      <c r="BY195" s="86">
        <f t="shared" si="247"/>
        <v>0.5</v>
      </c>
      <c r="BZ195" s="30" t="e">
        <f t="shared" ca="1" si="280"/>
        <v>#DIV/0!</v>
      </c>
      <c r="CA195" s="85" t="e">
        <f ca="1">IF(BG195&lt;=Hypothèses!$V$7,Hypothèses!$W$7,IF(BG195&lt;=Hypothèses!$V$8,Hypothèses!$W$8,IF(BG195&lt;=Hypothèses!$V$9,Hypothèses!$W$9,IF(BG195&lt;=Hypothèses!$V$10,Hypothèses!$W$10,IF(BG195&lt;=Hypothèses!$V$11,Hypothèses!$W$11,IF(BG195&lt;=Hypothèses!$V$12,Hypothèses!$W$12,IF(BG195&lt;=Hypothèses!$V$13,Hypothèses!$W$13,IF(BG195&lt;=Hypothèses!$V$14,Hypothèses!$W$14,IF(BG195&lt;=Hypothèses!$V$15,Hypothèses!$W$15,IF(BG195&lt;=Hypothèses!$V$16,Hypothèses!$W$16,IF(BG195&lt;=Hypothèses!$V$17,Hypothèses!$W$17,IF(BG195&lt;=Hypothèses!$V$18,Hypothèses!$W$18,""))))))))))))</f>
        <v>#DIV/0!</v>
      </c>
      <c r="CB195" s="87" t="e">
        <f t="shared" ca="1" si="319"/>
        <v>#DIV/0!</v>
      </c>
      <c r="CC195" s="88" t="e">
        <f ca="1">IF(BG195&lt;=Hypothèses!$V$7,Hypothèses!$X$7,IF(BG195&lt;=Hypothèses!$V$8,Hypothèses!$X$8,IF(BG195&lt;=Hypothèses!$V$9,Hypothèses!$X$9,IF(BG195&lt;=Hypothèses!$V$10,Hypothèses!$X$10,IF(BG195&lt;=Hypothèses!$V$11,Hypothèses!$X$11,IF(BG195&lt;=Hypothèses!$V$12,Hypothèses!$X$12,IF(BG195&lt;=Hypothèses!$V$13,Hypothèses!$X$13,IF(BG195&lt;=Hypothèses!$V$14,Hypothèses!$X$14,IF(BG195&lt;=Hypothèses!$V$15,Hypothèses!$X$15,IF(BG195&lt;=Hypothèses!$V$16,Hypothèses!$X$16,IF(BG195&lt;=Hypothèses!$U$17,Hypothèses!$W$17,IF(BG195&lt;=Hypothèses!$U$18,Hypothèses!$W$18,""))))))))))))</f>
        <v>#DIV/0!</v>
      </c>
      <c r="CD195" s="95" t="e">
        <f t="shared" ca="1" si="281"/>
        <v>#DIV/0!</v>
      </c>
      <c r="CE195" s="101">
        <f t="shared" si="326"/>
        <v>0</v>
      </c>
      <c r="CF195" s="91">
        <f t="shared" si="248"/>
        <v>0</v>
      </c>
      <c r="CG195" s="30" t="e">
        <f t="shared" si="306"/>
        <v>#N/A</v>
      </c>
      <c r="CH195" s="30" t="e">
        <f t="shared" si="307"/>
        <v>#N/A</v>
      </c>
      <c r="CI195" s="31" t="e">
        <f>IF(OR(Hypothèses!$B$4=17,Hypothèses!$B$4=18,Hypothèses!$B$4=19,Hypothèses!$B$4=20),
IF($D195="Pressio.",
IF(OR($E195=3,$E195=1,$E195=4),CH195,CG195),
IF($D195="Pénétro.",
IF(OR($E195=3,$E195=1,$E195=4),CH195,CG195))),IF($D195="Pressio.",
IF($E195=3,CH195,CG195),
IF($D195="Pénétro.",
IF($E195=4,CH195,CG195))))</f>
        <v>#N/A</v>
      </c>
      <c r="CJ195" s="31">
        <v>0</v>
      </c>
      <c r="CK195" s="102" t="e">
        <f>IF(NDC!$H$10="Oui",(VLOOKUP($B$3,'Coeff EC7'!$T$39:$X$59,2,0)*CI195+VLOOKUP($B$3,'Coeff EC7'!$T$65:$X$85,2,0)*Model0.1T!CJ195)/1.5,PI()*CG$12*$Q195*($B195-$B194)*0.15/10+CK194)</f>
        <v>#N/A</v>
      </c>
      <c r="CL195" s="102" t="e">
        <f>(VLOOKUP($B$3,'Coeff EC7'!$T$39:$X$59,3,0)*CI195+VLOOKUP($B$3,'Coeff EC7'!$T$65:$X$85,3,0)*Model0.1T!CJ195)/1.1</f>
        <v>#N/A</v>
      </c>
      <c r="CM195" s="102" t="e">
        <f t="shared" si="282"/>
        <v>#N/A</v>
      </c>
      <c r="CN195" s="102" t="e">
        <f t="shared" si="283"/>
        <v>#N/A</v>
      </c>
      <c r="CO195" s="414" t="e">
        <f>IF(AND(CK195&gt;NDC!$C$63,CL195&gt;NDC!$C$65,CM195&gt;NDC!$D$73,CN195&gt;NDC!$D$74,$B195&gt;NDC!$H$22-0.1+MIN(3*CO$12,1.5)),0,1)</f>
        <v>#N/A</v>
      </c>
      <c r="CP195" s="86" t="b">
        <f t="shared" si="249"/>
        <v>0</v>
      </c>
      <c r="CQ195" s="86">
        <f t="shared" si="250"/>
        <v>0.5</v>
      </c>
      <c r="CR195" s="86">
        <f t="shared" si="251"/>
        <v>0.5</v>
      </c>
      <c r="CS195" s="30" t="e">
        <f t="shared" ca="1" si="284"/>
        <v>#DIV/0!</v>
      </c>
      <c r="CT195" s="85" t="e">
        <f ca="1">IF(BZ195&lt;=Hypothèses!$V$7,Hypothèses!$W$7,IF(BZ195&lt;=Hypothèses!$V$8,Hypothèses!$W$8,IF(BZ195&lt;=Hypothèses!$V$9,Hypothèses!$W$9,IF(BZ195&lt;=Hypothèses!$V$10,Hypothèses!$W$10,IF(BZ195&lt;=Hypothèses!$V$11,Hypothèses!$W$11,IF(BZ195&lt;=Hypothèses!$V$12,Hypothèses!$W$12,IF(BZ195&lt;=Hypothèses!$V$13,Hypothèses!$W$13,IF(BZ195&lt;=Hypothèses!$V$14,Hypothèses!$W$14,IF(BZ195&lt;=Hypothèses!$V$15,Hypothèses!$W$15,IF(BZ195&lt;=Hypothèses!$V$16,Hypothèses!$W$16,IF(BZ195&lt;=Hypothèses!$V$17,Hypothèses!$W$17,IF(BZ195&lt;=Hypothèses!$V$18,Hypothèses!$W$18,""))))))))))))</f>
        <v>#DIV/0!</v>
      </c>
      <c r="CU195" s="87" t="e">
        <f t="shared" ca="1" si="320"/>
        <v>#DIV/0!</v>
      </c>
      <c r="CV195" s="88" t="e">
        <f ca="1">IF(BZ195&lt;=Hypothèses!$V$7,Hypothèses!$X$7,IF(BZ195&lt;=Hypothèses!$V$8,Hypothèses!$X$8,IF(BZ195&lt;=Hypothèses!$V$9,Hypothèses!$X$9,IF(BZ195&lt;=Hypothèses!$V$10,Hypothèses!$X$10,IF(BZ195&lt;=Hypothèses!$V$11,Hypothèses!$X$11,IF(BZ195&lt;=Hypothèses!$V$12,Hypothèses!$X$12,IF(BZ195&lt;=Hypothèses!$V$13,Hypothèses!$X$13,IF(BZ195&lt;=Hypothèses!$V$14,Hypothèses!$X$14,IF(BZ195&lt;=Hypothèses!$V$15,Hypothèses!$X$15,IF(BZ195&lt;=Hypothèses!$V$16,Hypothèses!$X$16,IF(BZ195&lt;=Hypothèses!$U$17,Hypothèses!$W$17,IF(BZ195&lt;=Hypothèses!$U$18,Hypothèses!$W$18,""))))))))))))</f>
        <v>#DIV/0!</v>
      </c>
      <c r="CW195" s="95" t="e">
        <f t="shared" ca="1" si="285"/>
        <v>#DIV/0!</v>
      </c>
      <c r="CX195" s="101">
        <f t="shared" si="327"/>
        <v>0</v>
      </c>
      <c r="CY195" s="91">
        <f t="shared" si="252"/>
        <v>0</v>
      </c>
      <c r="CZ195" s="30" t="e">
        <f t="shared" si="308"/>
        <v>#N/A</v>
      </c>
      <c r="DA195" s="30" t="e">
        <f t="shared" si="309"/>
        <v>#N/A</v>
      </c>
      <c r="DB195" s="31" t="e">
        <f>IF(OR(Hypothèses!$B$4=17,Hypothèses!$B$4=18,Hypothèses!$B$4=19,Hypothèses!$B$4=20),
IF($D195="Pressio.",
IF(OR($E195=3,$E195=1,$E195=4),DA195,CZ195),
IF($D195="Pénétro.",
IF(OR($E195=3,$E195=1,$E195=4),DA195,CZ195))),IF($D195="Pressio.",
IF($E195=3,DA195,CZ195),
IF($D195="Pénétro.",
IF($E195=4,DA195,CZ195))))</f>
        <v>#N/A</v>
      </c>
      <c r="DC195" s="31">
        <v>0</v>
      </c>
      <c r="DD195" s="102" t="e">
        <f>IF(NDC!$H$10="Oui",(VLOOKUP($B$3,'Coeff EC7'!$T$39:$X$59,2,0)*DB195+VLOOKUP($B$3,'Coeff EC7'!$T$65:$X$85,2,0)*Model0.1T!DC195)/1.5,PI()*CZ$12*$Q195*($B195-$B194)*0.15/10+DD194)</f>
        <v>#N/A</v>
      </c>
      <c r="DE195" s="102" t="e">
        <f>(VLOOKUP($B$3,'Coeff EC7'!$T$39:$X$59,3,0)*DB195+VLOOKUP($B$3,'Coeff EC7'!$T$65:$X$85,3,0)*Model0.1T!DC195)/1.1</f>
        <v>#N/A</v>
      </c>
      <c r="DF195" s="102" t="e">
        <f t="shared" si="286"/>
        <v>#N/A</v>
      </c>
      <c r="DG195" s="102" t="e">
        <f t="shared" si="287"/>
        <v>#N/A</v>
      </c>
      <c r="DH195" s="414" t="e">
        <f>IF(AND(DD195&gt;NDC!$C$63,DE195&gt;NDC!$C$65,DF195&gt;NDC!$D$73,DG195&gt;NDC!$D$74,$B195&gt;NDC!$H$22-0.1+MIN(3*DH$12,1.5)),0,1)</f>
        <v>#N/A</v>
      </c>
      <c r="DI195" s="86" t="b">
        <f t="shared" si="253"/>
        <v>0</v>
      </c>
      <c r="DJ195" s="86">
        <f t="shared" si="254"/>
        <v>0.5</v>
      </c>
      <c r="DK195" s="86">
        <f t="shared" si="255"/>
        <v>0.5</v>
      </c>
      <c r="DL195" s="30" t="e">
        <f t="shared" ca="1" si="288"/>
        <v>#DIV/0!</v>
      </c>
      <c r="DM195" s="85" t="e">
        <f ca="1">IF(CS195&lt;=Hypothèses!$V$7,Hypothèses!$W$7,IF(CS195&lt;=Hypothèses!$V$8,Hypothèses!$W$8,IF(CS195&lt;=Hypothèses!$V$9,Hypothèses!$W$9,IF(CS195&lt;=Hypothèses!$V$10,Hypothèses!$W$10,IF(CS195&lt;=Hypothèses!$V$11,Hypothèses!$W$11,IF(CS195&lt;=Hypothèses!$V$12,Hypothèses!$W$12,IF(CS195&lt;=Hypothèses!$V$13,Hypothèses!$W$13,IF(CS195&lt;=Hypothèses!$V$14,Hypothèses!$W$14,IF(CS195&lt;=Hypothèses!$V$15,Hypothèses!$W$15,IF(CS195&lt;=Hypothèses!$V$16,Hypothèses!$W$16,IF(CS195&lt;=Hypothèses!$V$17,Hypothèses!$W$17,IF(CS195&lt;=Hypothèses!$V$18,Hypothèses!$W$18,""))))))))))))</f>
        <v>#DIV/0!</v>
      </c>
      <c r="DN195" s="87" t="e">
        <f t="shared" ca="1" si="321"/>
        <v>#DIV/0!</v>
      </c>
      <c r="DO195" s="88" t="e">
        <f ca="1">IF(CS195&lt;=Hypothèses!$V$7,Hypothèses!$X$7,IF(CS195&lt;=Hypothèses!$V$8,Hypothèses!$X$8,IF(CS195&lt;=Hypothèses!$V$9,Hypothèses!$X$9,IF(CS195&lt;=Hypothèses!$V$10,Hypothèses!$X$10,IF(CS195&lt;=Hypothèses!$V$11,Hypothèses!$X$11,IF(CS195&lt;=Hypothèses!$V$12,Hypothèses!$X$12,IF(CS195&lt;=Hypothèses!$V$13,Hypothèses!$X$13,IF(CS195&lt;=Hypothèses!$V$14,Hypothèses!$X$14,IF(CS195&lt;=Hypothèses!$V$15,Hypothèses!$X$15,IF(CS195&lt;=Hypothèses!$V$16,Hypothèses!$X$16,IF(CS195&lt;=Hypothèses!$U$17,Hypothèses!$W$17,IF(CS195&lt;=Hypothèses!$U$18,Hypothèses!$W$18,""))))))))))))</f>
        <v>#DIV/0!</v>
      </c>
      <c r="DP195" s="95" t="e">
        <f t="shared" ca="1" si="289"/>
        <v>#DIV/0!</v>
      </c>
      <c r="DQ195" s="101">
        <f t="shared" si="328"/>
        <v>0</v>
      </c>
      <c r="DR195" s="91">
        <f t="shared" si="256"/>
        <v>0</v>
      </c>
      <c r="DS195" s="30" t="e">
        <f t="shared" si="310"/>
        <v>#N/A</v>
      </c>
      <c r="DT195" s="30" t="e">
        <f t="shared" si="311"/>
        <v>#N/A</v>
      </c>
      <c r="DU195" s="31" t="e">
        <f>IF(OR(Hypothèses!$B$4=17,Hypothèses!$B$4=18,Hypothèses!$B$4=19,Hypothèses!$B$4=20),
IF($D195="Pressio.",
IF(OR($E195=3,$E195=1,$E195=4),DT195,DS195),
IF($D195="Pénétro.",
IF(OR($E195=3,$E195=1,$E195=4),DT195,DS195))),IF($D195="Pressio.",
IF($E195=3,DT195,DS195),
IF($D195="Pénétro.",
IF($E195=4,DT195,DS195))))</f>
        <v>#N/A</v>
      </c>
      <c r="DV195" s="31">
        <v>0</v>
      </c>
      <c r="DW195" s="102" t="e">
        <f>IF(NDC!$H$10="Oui",(VLOOKUP($B$3,'Coeff EC7'!$T$39:$X$59,2,0)*DU195+VLOOKUP($B$3,'Coeff EC7'!$T$65:$X$85,2,0)*Model0.1T!DV195)/1.5,PI()*DS$12*$Q195*($B195-$B194)*0.15/10+DW194)</f>
        <v>#N/A</v>
      </c>
      <c r="DX195" s="102" t="e">
        <f>(VLOOKUP($B$3,'Coeff EC7'!$T$39:$X$59,3,0)*DU195+VLOOKUP($B$3,'Coeff EC7'!$T$65:$X$85,3,0)*Model0.1T!DV195)/1.1</f>
        <v>#N/A</v>
      </c>
      <c r="DY195" s="102" t="e">
        <f t="shared" si="290"/>
        <v>#N/A</v>
      </c>
      <c r="DZ195" s="102" t="e">
        <f t="shared" si="291"/>
        <v>#N/A</v>
      </c>
      <c r="EA195" s="414" t="e">
        <f>IF(AND(DW195&gt;NDC!$C$63,DX195&gt;NDC!$C$65,DY195&gt;NDC!$D$73,DZ195&gt;NDC!$D$74,$B195&gt;NDC!$H$22-0.1+MIN(3*EA$12,1.5)),0,1)</f>
        <v>#N/A</v>
      </c>
      <c r="EB195" s="86" t="b">
        <f t="shared" si="257"/>
        <v>0</v>
      </c>
      <c r="EC195" s="418">
        <f t="shared" si="258"/>
        <v>0.51</v>
      </c>
      <c r="ED195" s="86">
        <f t="shared" si="259"/>
        <v>0.51</v>
      </c>
      <c r="EE195" s="30" t="e">
        <f t="shared" ca="1" si="292"/>
        <v>#DIV/0!</v>
      </c>
      <c r="EF195" s="85" t="e">
        <f ca="1">IF(DL195&lt;=Hypothèses!$V$7,Hypothèses!$W$7,IF(DL195&lt;=Hypothèses!$V$8,Hypothèses!$W$8,IF(DL195&lt;=Hypothèses!$V$9,Hypothèses!$W$9,IF(DL195&lt;=Hypothèses!$V$10,Hypothèses!$W$10,IF(DL195&lt;=Hypothèses!$V$11,Hypothèses!$W$11,IF(DL195&lt;=Hypothèses!$V$12,Hypothèses!$W$12,IF(DL195&lt;=Hypothèses!$V$13,Hypothèses!$W$13,IF(DL195&lt;=Hypothèses!$V$14,Hypothèses!$W$14,IF(DL195&lt;=Hypothèses!$V$15,Hypothèses!$W$15,IF(DL195&lt;=Hypothèses!$V$16,Hypothèses!$W$16,IF(DL195&lt;=Hypothèses!$V$17,Hypothèses!$W$17,IF(DL195&lt;=Hypothèses!$V$18,Hypothèses!$W$18,""))))))))))))</f>
        <v>#DIV/0!</v>
      </c>
      <c r="EG195" s="87" t="e">
        <f t="shared" ca="1" si="322"/>
        <v>#DIV/0!</v>
      </c>
      <c r="EH195" s="88" t="e">
        <f ca="1">IF(DL195&lt;=Hypothèses!$V$7,Hypothèses!$X$7,IF(DL195&lt;=Hypothèses!$V$8,Hypothèses!$X$8,IF(DL195&lt;=Hypothèses!$V$9,Hypothèses!$X$9,IF(DL195&lt;=Hypothèses!$V$10,Hypothèses!$X$10,IF(DL195&lt;=Hypothèses!$V$11,Hypothèses!$X$11,IF(DL195&lt;=Hypothèses!$V$12,Hypothèses!$X$12,IF(DL195&lt;=Hypothèses!$V$13,Hypothèses!$X$13,IF(DL195&lt;=Hypothèses!$V$14,Hypothèses!$X$14,IF(DL195&lt;=Hypothèses!$V$15,Hypothèses!$X$15,IF(DL195&lt;=Hypothèses!$V$16,Hypothèses!$X$16,IF(DL195&lt;=Hypothèses!$U$17,Hypothèses!$W$17,IF(DL195&lt;=Hypothèses!$U$18,Hypothèses!$W$18,""))))))))))))</f>
        <v>#DIV/0!</v>
      </c>
      <c r="EI195" s="95" t="e">
        <f t="shared" ca="1" si="293"/>
        <v>#DIV/0!</v>
      </c>
      <c r="EJ195" s="101">
        <f t="shared" si="329"/>
        <v>0</v>
      </c>
      <c r="EK195" s="91">
        <f t="shared" si="260"/>
        <v>0</v>
      </c>
      <c r="EL195" s="30" t="e">
        <f t="shared" si="312"/>
        <v>#N/A</v>
      </c>
      <c r="EM195" s="30" t="e">
        <f t="shared" si="313"/>
        <v>#N/A</v>
      </c>
      <c r="EN195" s="31" t="e">
        <f>IF(OR(Hypothèses!$B$4=17,Hypothèses!$B$4=18,Hypothèses!$B$4=19,Hypothèses!$B$4=20),
IF($D195="Pressio.",
IF(OR($E195=3,$E195=1,$E195=4),EM195,EL195),
IF($D195="Pénétro.",
IF(OR($E195=3,$E195=1,$E195=4),EM195,EL195))),IF($D195="Pressio.",
IF($E195=3,EM195,EL195),
IF($D195="Pénétro.",
IF($E195=4,EM195,EL195))))</f>
        <v>#N/A</v>
      </c>
      <c r="EO195" s="31">
        <v>0</v>
      </c>
      <c r="EP195" s="102" t="e">
        <f>IF(NDC!$H$10="Oui",(VLOOKUP($B$3,'Coeff EC7'!$T$39:$X$59,2,0)*EN195+VLOOKUP($B$3,'Coeff EC7'!$T$65:$X$85,2,0)*Model0.1T!EO195)/1.5,PI()*EL$12*$Q195*($B195-$B194)*0.15/10+EP194)</f>
        <v>#N/A</v>
      </c>
      <c r="EQ195" s="102" t="e">
        <f>(VLOOKUP($B$3,'Coeff EC7'!$T$39:$X$59,3,0)*EN195+VLOOKUP($B$3,'Coeff EC7'!$T$65:$X$85,3,0)*Model0.1T!EO195)/1.1</f>
        <v>#N/A</v>
      </c>
      <c r="ER195" s="102" t="e">
        <f t="shared" si="294"/>
        <v>#N/A</v>
      </c>
      <c r="ES195" s="102" t="e">
        <f t="shared" si="295"/>
        <v>#N/A</v>
      </c>
      <c r="ET195" s="414" t="e">
        <f>IF(AND(EP195&gt;NDC!$C$63,EQ195&gt;NDC!$C$65,ER195&gt;NDC!$D$73,ES195&gt;NDC!$D$74,$B195&gt;NDC!$H$22-0.1+MIN(3*ET$12,1.5)),0,1)</f>
        <v>#N/A</v>
      </c>
      <c r="EU195" s="86" t="b">
        <f t="shared" si="261"/>
        <v>0</v>
      </c>
      <c r="EV195" s="86">
        <f t="shared" si="262"/>
        <v>0.61</v>
      </c>
      <c r="EW195" s="86">
        <f t="shared" si="263"/>
        <v>0.61</v>
      </c>
      <c r="EX195" s="30" t="e">
        <f t="shared" ca="1" si="296"/>
        <v>#DIV/0!</v>
      </c>
      <c r="EY195" s="85" t="e">
        <f ca="1">IF(EE195&lt;=Hypothèses!$V$7,Hypothèses!$W$7,IF(EE195&lt;=Hypothèses!$V$8,Hypothèses!$W$8,IF(EE195&lt;=Hypothèses!$V$9,Hypothèses!$W$9,IF(EE195&lt;=Hypothèses!$V$10,Hypothèses!$W$10,IF(EE195&lt;=Hypothèses!$V$11,Hypothèses!$W$11,IF(EE195&lt;=Hypothèses!$V$12,Hypothèses!$W$12,IF(EE195&lt;=Hypothèses!$V$13,Hypothèses!$W$13,IF(EE195&lt;=Hypothèses!$V$14,Hypothèses!$W$14,IF(EE195&lt;=Hypothèses!$V$15,Hypothèses!$W$15,IF(EE195&lt;=Hypothèses!$V$16,Hypothèses!$W$16,IF(EE195&lt;=Hypothèses!$V$17,Hypothèses!$W$17,IF(EE195&lt;=Hypothèses!$V$18,Hypothèses!$W$18,""))))))))))))</f>
        <v>#DIV/0!</v>
      </c>
      <c r="EZ195" s="87" t="e">
        <f t="shared" ca="1" si="323"/>
        <v>#DIV/0!</v>
      </c>
      <c r="FA195" s="88" t="e">
        <f ca="1">IF(EE195&lt;=Hypothèses!$V$7,Hypothèses!$X$7,IF(EE195&lt;=Hypothèses!$V$8,Hypothèses!$X$8,IF(EE195&lt;=Hypothèses!$V$9,Hypothèses!$X$9,IF(EE195&lt;=Hypothèses!$V$10,Hypothèses!$X$10,IF(EE195&lt;=Hypothèses!$V$11,Hypothèses!$X$11,IF(EE195&lt;=Hypothèses!$V$12,Hypothèses!$X$12,IF(EE195&lt;=Hypothèses!$V$13,Hypothèses!$X$13,IF(EE195&lt;=Hypothèses!$V$14,Hypothèses!$X$14,IF(EE195&lt;=Hypothèses!$V$15,Hypothèses!$X$15,IF(EE195&lt;=Hypothèses!$V$16,Hypothèses!$X$16,IF(EE195&lt;=Hypothèses!$U$17,Hypothèses!$W$17,IF(EE195&lt;=Hypothèses!$U$18,Hypothèses!$W$18,""))))))))))))</f>
        <v>#DIV/0!</v>
      </c>
      <c r="FB195" s="95" t="e">
        <f t="shared" ca="1" si="297"/>
        <v>#DIV/0!</v>
      </c>
      <c r="FC195" s="101">
        <f t="shared" si="330"/>
        <v>0</v>
      </c>
      <c r="FD195" s="91">
        <f t="shared" si="264"/>
        <v>0</v>
      </c>
      <c r="FE195" s="30" t="e">
        <f t="shared" si="314"/>
        <v>#N/A</v>
      </c>
      <c r="FF195" s="30" t="e">
        <f t="shared" si="315"/>
        <v>#N/A</v>
      </c>
      <c r="FG195" s="31" t="e">
        <f>IF(OR(Hypothèses!$B$4=17,Hypothèses!$B$4=18,Hypothèses!$B$4=19,Hypothèses!$B$4=20),
IF($D195="Pressio.",
IF(OR($E195=3,$E195=1,$E195=4),FF195,FE195),
IF($D195="Pénétro.",
IF(OR($E195=3,$E195=1,$E195=4),FF195,FE195))),IF($D195="Pressio.",
IF($E195=3,FF195,FE195),
IF($D195="Pénétro.",
IF($E195=4,FF195,FE195))))</f>
        <v>#N/A</v>
      </c>
      <c r="FH195" s="31">
        <v>0</v>
      </c>
      <c r="FI195" s="102" t="e">
        <f>IF(NDC!$H$10="Oui",(VLOOKUP($B$3,'Coeff EC7'!$T$39:$X$59,2,0)*FG195+VLOOKUP($B$3,'Coeff EC7'!$T$65:$X$85,2,0)*Model0.1T!FH195)/1.5,PI()*FE$12*$Q195*($B195-$B194)*0.15/10+FI194)</f>
        <v>#N/A</v>
      </c>
      <c r="FJ195" s="102" t="e">
        <f>(VLOOKUP($B$3,'Coeff EC7'!$T$39:$X$59,3,0)*FG195+VLOOKUP($B$3,'Coeff EC7'!$T$65:$X$85,3,0)*Model0.1T!FH195)/1.1</f>
        <v>#N/A</v>
      </c>
      <c r="FK195" s="102" t="e">
        <f t="shared" si="298"/>
        <v>#N/A</v>
      </c>
      <c r="FL195" s="102" t="e">
        <f t="shared" si="299"/>
        <v>#N/A</v>
      </c>
      <c r="FM195" s="414" t="e">
        <f>IF(AND(FI195&gt;NDC!$C$63,FJ195&gt;NDC!$C$65,FK195&gt;NDC!$D$73,FL195&gt;NDC!$D$74,$B195&gt;NDC!$H$22-0.1+MIN(3*FM$12,1.5)),0,1)</f>
        <v>#N/A</v>
      </c>
    </row>
    <row r="196" spans="1:169">
      <c r="A196" s="96">
        <f t="shared" si="265"/>
        <v>81.70000000000104</v>
      </c>
      <c r="B196" s="97">
        <v>18.3</v>
      </c>
      <c r="C196" s="81">
        <f>IF(B196&lt;=Hypothèses!$C$7,Hypothèses!$A$7,IF(B196&lt;=Hypothèses!$C$8,Hypothèses!$A$8,IF(B196&lt;=Hypothèses!$C$9,Hypothèses!$A$9,IF(B196&lt;=Hypothèses!$C$10,Hypothèses!$A$10,IF(B196&lt;=Hypothèses!$C$11,Hypothèses!$A$11,IF(B196&lt;=Hypothèses!$C$12,Hypothèses!$A$12,IF(B196&lt;=Hypothèses!$C$13,Hypothèses!$A$13,IF(B196&lt;=Hypothèses!$C$14,Hypothèses!$A$14,IF(B196&lt;=Hypothèses!$C$15,Hypothèses!$A$15,IF(B196&lt;=Hypothèses!$C$16,Hypothèses!$A$16,IF(B196&lt;=Hypothèses!$C$17,Hypothèses!$A$17,IF(B196&lt;=Hypothèses!$C$18,Hypothèses!$A$18,C195))))))))))))</f>
        <v>11</v>
      </c>
      <c r="D196" s="82" t="str">
        <f>IF(B196&lt;=Hypothèses!$C$7,Hypothèses!$R$7,IF(B196&lt;=Hypothèses!$C$8,Hypothèses!$R$8,IF(B196&lt;=Hypothèses!$C$9,Hypothèses!$R$9,IF(B196&lt;=Hypothèses!$C$10,Hypothèses!$R$10,IF(B196&lt;=Hypothèses!$C$11,Hypothèses!$R$11,IF(B196&lt;=Hypothèses!$C$12,Hypothèses!$R$12,IF(B196&lt;=Hypothèses!$C$13,Hypothèses!$R$13,IF(B196&lt;=Hypothèses!$C$14,Hypothèses!$R$14,IF(B196&lt;=Hypothèses!$C$15,Hypothèses!$R$15,IF(B196&lt;=Hypothèses!$C$16,Hypothèses!$R$16,IF(B196&lt;=Hypothèses!$C$17,Hypothèses!$R$17,IF(B196&lt;=Hypothèses!$C$18,Hypothèses!$R$18,D195))))))))))))</f>
        <v>Pressio.</v>
      </c>
      <c r="E196" s="82" t="e">
        <f>IF(B196&lt;=Hypothèses!$C$7,Hypothèses!$G$7,IF(B196&lt;=Hypothèses!$C$8,Hypothèses!$G$8,IF(B196&lt;=Hypothèses!$C$9,Hypothèses!$G$9,IF(B196&lt;=Hypothèses!$C$10,Hypothèses!$G$10,IF(B196&lt;=Hypothèses!$C$11,Hypothèses!$G$11,IF(B196&lt;=Hypothèses!$C$12,Hypothèses!$G$12,IF(B196&lt;=Hypothèses!$C$13,Hypothèses!$G$13,IF(B196&lt;=Hypothèses!$C$14,Hypothèses!$G$14,IF(B196&lt;=Hypothèses!$C$15,Hypothèses!$G$15,IF(B196&lt;=Hypothèses!$C$16,Hypothèses!$G$16,IF(B196&lt;=Hypothèses!$C$17,Hypothèses!$G$17,IF(B196&lt;=Hypothèses!$C$18,Hypothèses!$G$18,E195))))))))))))</f>
        <v>#N/A</v>
      </c>
      <c r="F196" s="82" t="str">
        <f>IF(B196&lt;=Hypothèses!$C$7,Hypothèses!$F$7,IF(B196&lt;=Hypothèses!$C$8,Hypothèses!$F$8,IF(B196&lt;=Hypothèses!$C$9,Hypothèses!$F$9,IF(B196&lt;=Hypothèses!$C$10,Hypothèses!$F$10,IF(B196&lt;=Hypothèses!$C$11,Hypothèses!$F$11,IF(B196&lt;=Hypothèses!$C$12,Hypothèses!$F$12,IF(B196&lt;=Hypothèses!$C$13,Hypothèses!$F$13,IF(B196&lt;=Hypothèses!$C$14,Hypothèses!$F$14,IF(B196&lt;=Hypothèses!$C$15,Hypothèses!$F$15,IF(B196&lt;=Hypothèses!$C$16,Hypothèses!$F$16,IF(B196&lt;=Hypothèses!$C$17,Hypothèses!$F$17,IF(B196&lt;=Hypothèses!$C$18,Hypothèses!$F$18,F195))))))))))))</f>
        <v/>
      </c>
      <c r="G196" s="91">
        <f t="array" ref="G196">INDEX('Coeff EC7'!$U$7:$X$27,
MATCH(Model0.1T!$B$3,'Coeff EC7'!$T$7:$T$27,0),
MATCH(Model0.1T!$D196&amp;Model0.1T!$B$4,
'Coeff EC7'!$U$6:$X$6&amp;
'Coeff EC7'!$U$5:$X$5,0))</f>
        <v>1.4</v>
      </c>
      <c r="H196" s="91">
        <f t="array" ref="H196">INDEX('Coeff EC7'!$Y$7:$AB$27,
MATCH(Model0.1T!$B$3,'Coeff EC7'!$T$7:$T$27,0),
MATCH(Model0.1T!$D196&amp;Model0.1T!$B$4,
'Coeff EC7'!$Y$6:$AB$6&amp;
'Coeff EC7'!$Y$5:$AB$5,0))</f>
        <v>1.7</v>
      </c>
      <c r="I196" s="83">
        <v>0</v>
      </c>
      <c r="J196" s="91" t="e">
        <f t="array" ref="J196">INDEX('Coeff EC7'!$D$33:$Q$33,1,MATCH(D196&amp;E196,'Coeff EC7'!$D$31:$Q$31&amp;'Coeff EC7'!$D$32:$Q$32,0))</f>
        <v>#N/A</v>
      </c>
      <c r="K196" s="91" t="e">
        <f t="array" ref="K196">INDEX('Coeff EC7'!$D$34:$Q$34,1,MATCH(D196&amp;E196,'Coeff EC7'!$D$31:$Q$31&amp;'Coeff EC7'!$D$32:$Q$32,0))</f>
        <v>#N/A</v>
      </c>
      <c r="L196" s="91" t="e">
        <f t="array" ref="L196">INDEX('Coeff EC7'!$D$35:$Q$35,1,MATCH(D196&amp;E196,'Coeff EC7'!$D$31:$Q$31&amp;'Coeff EC7'!$D$32:$Q$32,0))</f>
        <v>#N/A</v>
      </c>
      <c r="M196" s="98" t="e">
        <f t="shared" si="231"/>
        <v>#N/A</v>
      </c>
      <c r="N196" s="99" t="e">
        <f t="array" ref="N196">INDEX('Coeff EC7'!$D$7:$Q$27,MATCH($B$3,'Coeff EC7'!$C$7:$C$27,0),MATCH(D196&amp;E196,'Coeff EC7'!$D$5:$Q$5&amp;'Coeff EC7'!$D$6:$Q$6,0))</f>
        <v>#N/A</v>
      </c>
      <c r="O196" s="99" t="e">
        <f t="array" ref="O196">INDEX('Coeff EC7'!$D$41:$Q$61,MATCH($B$3,'Coeff EC7'!$C$41:$C$61,0),MATCH(D196&amp;E196,'Coeff EC7'!$D$39:$Q$39&amp;'Coeff EC7'!$D$40:$Q$40,0))</f>
        <v>#N/A</v>
      </c>
      <c r="P196" s="30" t="e">
        <f t="shared" si="266"/>
        <v>#N/A</v>
      </c>
      <c r="Q196" s="100" t="e">
        <f t="shared" si="233"/>
        <v>#N/A</v>
      </c>
      <c r="R196" s="86" t="b">
        <f t="shared" si="234"/>
        <v>0</v>
      </c>
      <c r="S196" s="86">
        <f t="shared" si="232"/>
        <v>0.5</v>
      </c>
      <c r="T196" s="86">
        <f t="shared" si="235"/>
        <v>0.5</v>
      </c>
      <c r="U196" s="30" t="e">
        <f t="shared" ca="1" si="267"/>
        <v>#DIV/0!</v>
      </c>
      <c r="V196" s="85" t="str">
        <f>IF(B196&lt;=Hypothèses!$V$7,Hypothèses!$W$7,IF(B196&lt;=Hypothèses!$V$8,Hypothèses!$W$8,IF(B196&lt;=Hypothèses!$V$9,Hypothèses!$W$9,IF(B196&lt;=Hypothèses!$V$10,Hypothèses!$W$10,IF(B196&lt;=Hypothèses!$V$11,Hypothèses!$W$11,IF(B196&lt;=Hypothèses!$V$12,Hypothèses!$W$12,IF(B196&lt;=Hypothèses!$V$13,Hypothèses!$W$13,IF(B196&lt;=Hypothèses!$V$14,Hypothèses!$W$14,IF(B196&lt;=Hypothèses!$V$15,Hypothèses!$W$15,IF(B196&lt;=Hypothèses!$V$16,Hypothèses!$W$16,IF(B196&lt;=Hypothèses!$V$17,Hypothèses!$W$17,IF(B196&lt;=Hypothèses!$V$18,Hypothèses!$W$18,""))))))))))))</f>
        <v/>
      </c>
      <c r="W196" s="87" t="e">
        <f t="shared" ca="1" si="316"/>
        <v>#DIV/0!</v>
      </c>
      <c r="X196" s="88" t="str">
        <f>IF(B196&lt;=Hypothèses!$V$7,Hypothèses!$X$7,IF(B196&lt;=Hypothèses!$V$8,Hypothèses!$X$8,IF(B196&lt;=Hypothèses!$V$9,Hypothèses!$X$9,IF(B196&lt;=Hypothèses!$V$10,Hypothèses!$X$10,IF(B196&lt;=Hypothèses!$V$11,Hypothèses!$X$11,IF(B196&lt;=Hypothèses!$V$12,Hypothèses!$X$12,IF(B196&lt;=Hypothèses!$V$13,Hypothèses!$X$13,IF(B196&lt;=Hypothèses!$V$14,Hypothèses!$X$14,IF(B196&lt;=Hypothèses!$V$15,Hypothèses!$X$15,IF(B196&lt;=Hypothèses!$V$16,Hypothèses!$X$16,IF(B196&lt;=Hypothèses!$U$17,Hypothèses!$W$17,IF(B196&lt;=Hypothèses!$U$18,Hypothèses!$W$18,""))))))))))))</f>
        <v/>
      </c>
      <c r="Y196" s="95" t="e">
        <f t="shared" ca="1" si="236"/>
        <v>#DIV/0!</v>
      </c>
      <c r="Z196" s="101">
        <f t="shared" si="237"/>
        <v>0</v>
      </c>
      <c r="AA196" s="91">
        <f t="shared" si="238"/>
        <v>0</v>
      </c>
      <c r="AB196" s="30" t="e">
        <f t="shared" si="300"/>
        <v>#N/A</v>
      </c>
      <c r="AC196" s="30" t="e">
        <f t="shared" si="301"/>
        <v>#N/A</v>
      </c>
      <c r="AD196" s="31" t="e">
        <f>IF(OR(Hypothèses!$B$4=17,Hypothèses!$B$4=18,Hypothèses!$B$4=19,Hypothèses!$B$4=20),
IF($D196="Pressio.",
IF(OR($E196=3,$E196=1,$E196=4),AC196,AB196),
IF($D196="Pénétro.",
IF(OR($E196=3,$E196=1,$E196=4),AC196,AB196))),IF($D196="Pressio.",
IF($E196=3,AC196,AB196),
IF($D196="Pénétro.",
IF($E196=4,AC196,AB196))))</f>
        <v>#N/A</v>
      </c>
      <c r="AE196" s="31">
        <v>0</v>
      </c>
      <c r="AF196" s="102" t="e">
        <f>IF(NDC!$H$10="Oui",(VLOOKUP($B$3,'Coeff EC7'!$T$39:$X$59,2,0)*AD196+VLOOKUP($B$3,'Coeff EC7'!$T$65:$X$85,2,0)*Model0.1T!AE196)/1.5,PI()*AB$12*$Q196*($B196-$B195)*0.15/10+AF195)</f>
        <v>#N/A</v>
      </c>
      <c r="AG196" s="102" t="e">
        <f>(VLOOKUP($B$3,'Coeff EC7'!$T$39:$X$59,3,0)*AD196+VLOOKUP($B$3,'Coeff EC7'!$T$65:$X$85,3,0)*Model0.1T!AE196)/1.1</f>
        <v>#N/A</v>
      </c>
      <c r="AH196" s="102" t="e">
        <f t="shared" si="268"/>
        <v>#N/A</v>
      </c>
      <c r="AI196" s="102" t="e">
        <f t="shared" si="269"/>
        <v>#N/A</v>
      </c>
      <c r="AJ196" s="414" t="e">
        <f>IF(AND(AF196&gt;NDC!$C$63,AG196&gt;NDC!$C$65,AH196&gt;NDC!$D$73,AI196&gt;NDC!$D$74,$B196&gt;NDC!$H$22-0.1+MIN(3*$AJ$12,1.5)),0,1)</f>
        <v>#N/A</v>
      </c>
      <c r="AK196" s="86" t="b">
        <f t="shared" si="239"/>
        <v>0</v>
      </c>
      <c r="AL196" s="86">
        <f t="shared" si="270"/>
        <v>0.5</v>
      </c>
      <c r="AM196" s="86">
        <f t="shared" si="240"/>
        <v>0.5</v>
      </c>
      <c r="AN196" s="30" t="e">
        <f t="shared" ca="1" si="271"/>
        <v>#DIV/0!</v>
      </c>
      <c r="AO196" s="85" t="e">
        <f ca="1">IF(U196&lt;=Hypothèses!$V$7,Hypothèses!$W$7,IF(U196&lt;=Hypothèses!$V$8,Hypothèses!$W$8,IF(U196&lt;=Hypothèses!$V$9,Hypothèses!$W$9,IF(U196&lt;=Hypothèses!$V$10,Hypothèses!$W$10,IF(U196&lt;=Hypothèses!$V$11,Hypothèses!$W$11,IF(U196&lt;=Hypothèses!$V$12,Hypothèses!$W$12,IF(U196&lt;=Hypothèses!$V$13,Hypothèses!$W$13,IF(U196&lt;=Hypothèses!$V$14,Hypothèses!$W$14,IF(U196&lt;=Hypothèses!$V$15,Hypothèses!$W$15,IF(U196&lt;=Hypothèses!$V$16,Hypothèses!$W$16,IF(U196&lt;=Hypothèses!$V$17,Hypothèses!$W$17,IF(U196&lt;=Hypothèses!$V$18,Hypothèses!$W$18,""))))))))))))</f>
        <v>#DIV/0!</v>
      </c>
      <c r="AP196" s="87" t="e">
        <f t="shared" ca="1" si="317"/>
        <v>#DIV/0!</v>
      </c>
      <c r="AQ196" s="88" t="e">
        <f ca="1">IF(U196&lt;=Hypothèses!$V$7,Hypothèses!$X$7,IF(U196&lt;=Hypothèses!$V$8,Hypothèses!$X$8,IF(U196&lt;=Hypothèses!$V$9,Hypothèses!$X$9,IF(U196&lt;=Hypothèses!$V$10,Hypothèses!$X$10,IF(U196&lt;=Hypothèses!$V$11,Hypothèses!$X$11,IF(U196&lt;=Hypothèses!$V$12,Hypothèses!$X$12,IF(U196&lt;=Hypothèses!$V$13,Hypothèses!$X$13,IF(U196&lt;=Hypothèses!$V$14,Hypothèses!$X$14,IF(U196&lt;=Hypothèses!$V$15,Hypothèses!$X$15,IF(U196&lt;=Hypothèses!$V$16,Hypothèses!$X$16,IF(U196&lt;=Hypothèses!$U$17,Hypothèses!$W$17,IF(U196&lt;=Hypothèses!$U$18,Hypothèses!$W$18,""))))))))))))</f>
        <v>#DIV/0!</v>
      </c>
      <c r="AR196" s="95" t="e">
        <f t="shared" ca="1" si="272"/>
        <v>#DIV/0!</v>
      </c>
      <c r="AS196" s="101">
        <f t="shared" si="324"/>
        <v>0</v>
      </c>
      <c r="AT196" s="91">
        <f t="shared" si="241"/>
        <v>0</v>
      </c>
      <c r="AU196" s="30" t="e">
        <f t="shared" si="302"/>
        <v>#N/A</v>
      </c>
      <c r="AV196" s="30" t="e">
        <f t="shared" si="303"/>
        <v>#N/A</v>
      </c>
      <c r="AW196" s="31" t="e">
        <f>IF(OR(Hypothèses!$B$4=17,Hypothèses!$B$4=18,Hypothèses!$B$4=19,Hypothèses!$B$4=20),
IF($D196="Pressio.",
IF(OR($E196=3,$E196=1,$E196=4),AV196,AU196),
IF($D196="Pénétro.",
IF(OR($E196=3,$E196=1,$E196=4),AV196,AU196))),IF($D196="Pressio.",
IF($E196=3,AV196,AU196),
IF($D196="Pénétro.",
IF($E196=4,AV196,AU196))))</f>
        <v>#N/A</v>
      </c>
      <c r="AX196" s="31">
        <v>0</v>
      </c>
      <c r="AY196" s="102" t="e">
        <f>IF(NDC!$H$10="Oui",(VLOOKUP($B$3,'Coeff EC7'!$T$39:$X$59,2,0)*AW196+VLOOKUP($B$3,'Coeff EC7'!$T$65:$X$85,2,0)*Model0.1T!AX196)/1.5,PI()*AU$12*$Q196*($B196-$B195)*0.15/10+AY195)</f>
        <v>#N/A</v>
      </c>
      <c r="AZ196" s="102" t="e">
        <f>(VLOOKUP($B$3,'Coeff EC7'!$T$39:$X$59,3,0)*AW196+VLOOKUP($B$3,'Coeff EC7'!$T$65:$X$85,3,0)*Model0.1T!AX196)/1.1</f>
        <v>#N/A</v>
      </c>
      <c r="BA196" s="102" t="e">
        <f t="shared" si="273"/>
        <v>#N/A</v>
      </c>
      <c r="BB196" s="102" t="e">
        <f t="shared" si="274"/>
        <v>#N/A</v>
      </c>
      <c r="BC196" s="414" t="e">
        <f>IF(AND(AY196&gt;NDC!$C$63,AZ196&gt;NDC!$C$65,BA196&gt;NDC!$D$73,BB196&gt;NDC!$D$74,$B196&gt;NDC!$H$22-0.1+MIN(3*BC$12,1.5)),0,1)</f>
        <v>#N/A</v>
      </c>
      <c r="BD196" s="86" t="b">
        <f t="shared" si="242"/>
        <v>0</v>
      </c>
      <c r="BE196" s="86">
        <f t="shared" si="275"/>
        <v>0.5</v>
      </c>
      <c r="BF196" s="86">
        <f t="shared" si="243"/>
        <v>0.5</v>
      </c>
      <c r="BG196" s="30" t="e">
        <f t="shared" ca="1" si="276"/>
        <v>#DIV/0!</v>
      </c>
      <c r="BH196" s="85" t="e">
        <f ca="1">IF(AN196&lt;=Hypothèses!$V$7,Hypothèses!$W$7,IF(AN196&lt;=Hypothèses!$V$8,Hypothèses!$W$8,IF(AN196&lt;=Hypothèses!$V$9,Hypothèses!$W$9,IF(AN196&lt;=Hypothèses!$V$10,Hypothèses!$W$10,IF(AN196&lt;=Hypothèses!$V$11,Hypothèses!$W$11,IF(AN196&lt;=Hypothèses!$V$12,Hypothèses!$W$12,IF(AN196&lt;=Hypothèses!$V$13,Hypothèses!$W$13,IF(AN196&lt;=Hypothèses!$V$14,Hypothèses!$W$14,IF(AN196&lt;=Hypothèses!$V$15,Hypothèses!$W$15,IF(AN196&lt;=Hypothèses!$V$16,Hypothèses!$W$16,IF(AN196&lt;=Hypothèses!$V$17,Hypothèses!$W$17,IF(AN196&lt;=Hypothèses!$V$18,Hypothèses!$W$18,""))))))))))))</f>
        <v>#DIV/0!</v>
      </c>
      <c r="BI196" s="87" t="e">
        <f t="shared" ca="1" si="318"/>
        <v>#DIV/0!</v>
      </c>
      <c r="BJ196" s="88" t="e">
        <f ca="1">IF(AN196&lt;=Hypothèses!$V$7,Hypothèses!$X$7,IF(AN196&lt;=Hypothèses!$V$8,Hypothèses!$X$8,IF(AN196&lt;=Hypothèses!$V$9,Hypothèses!$X$9,IF(AN196&lt;=Hypothèses!$V$10,Hypothèses!$X$10,IF(AN196&lt;=Hypothèses!$V$11,Hypothèses!$X$11,IF(AN196&lt;=Hypothèses!$V$12,Hypothèses!$X$12,IF(AN196&lt;=Hypothèses!$V$13,Hypothèses!$X$13,IF(AN196&lt;=Hypothèses!$V$14,Hypothèses!$X$14,IF(AN196&lt;=Hypothèses!$V$15,Hypothèses!$X$15,IF(AN196&lt;=Hypothèses!$V$16,Hypothèses!$X$16,IF(AN196&lt;=Hypothèses!$U$17,Hypothèses!$W$17,IF(AN196&lt;=Hypothèses!$U$18,Hypothèses!$W$18,""))))))))))))</f>
        <v>#DIV/0!</v>
      </c>
      <c r="BK196" s="95" t="e">
        <f t="shared" ca="1" si="277"/>
        <v>#DIV/0!</v>
      </c>
      <c r="BL196" s="101">
        <f t="shared" si="325"/>
        <v>0</v>
      </c>
      <c r="BM196" s="91">
        <f t="shared" si="244"/>
        <v>0</v>
      </c>
      <c r="BN196" s="30" t="e">
        <f t="shared" si="304"/>
        <v>#N/A</v>
      </c>
      <c r="BO196" s="30" t="e">
        <f t="shared" si="305"/>
        <v>#N/A</v>
      </c>
      <c r="BP196" s="31" t="e">
        <f>IF(OR(Hypothèses!$B$4=17,Hypothèses!$B$4=18,Hypothèses!$B$4=19,Hypothèses!$B$4=20),
IF($D196="Pressio.",
IF(OR($E196=3,$E196=1,$E196=4),BO196,BN196),
IF($D196="Pénétro.",
IF(OR($E196=3,$E196=1,$E196=4),BO196,BN196))),IF($D196="Pressio.",
IF($E196=3,BO196,BN196),
IF($D196="Pénétro.",
IF($E196=4,BO196,BN196))))</f>
        <v>#N/A</v>
      </c>
      <c r="BQ196" s="31">
        <v>0</v>
      </c>
      <c r="BR196" s="102" t="e">
        <f>IF(NDC!$H$10="Oui",(VLOOKUP($B$3,'Coeff EC7'!$T$39:$X$59,2,0)*BP196+VLOOKUP($B$3,'Coeff EC7'!$T$65:$X$85,2,0)*Model0.1T!BQ196)/1.5,PI()*BN$12*$Q196*($B196-$B195)*0.15/10+BR195)</f>
        <v>#N/A</v>
      </c>
      <c r="BS196" s="102" t="e">
        <f>(VLOOKUP($B$3,'Coeff EC7'!$T$39:$X$59,3,0)*BP196+VLOOKUP($B$3,'Coeff EC7'!$T$65:$X$85,3,0)*Model0.1T!BQ196)/1.1</f>
        <v>#N/A</v>
      </c>
      <c r="BT196" s="102" t="e">
        <f t="shared" si="278"/>
        <v>#N/A</v>
      </c>
      <c r="BU196" s="102" t="e">
        <f t="shared" si="279"/>
        <v>#N/A</v>
      </c>
      <c r="BV196" s="414" t="e">
        <f>IF(AND(BR196&gt;NDC!$C$63,BS196&gt;NDC!$C$65,BT196&gt;NDC!$D$73,BU196&gt;NDC!$D$74,$B196&gt;NDC!$H$22-0.1+MIN(3*BV$12,1.5)),0,1)</f>
        <v>#N/A</v>
      </c>
      <c r="BW196" s="86" t="b">
        <f t="shared" si="245"/>
        <v>0</v>
      </c>
      <c r="BX196" s="86">
        <f t="shared" si="246"/>
        <v>0.5</v>
      </c>
      <c r="BY196" s="86">
        <f t="shared" si="247"/>
        <v>0.5</v>
      </c>
      <c r="BZ196" s="30" t="e">
        <f t="shared" ca="1" si="280"/>
        <v>#DIV/0!</v>
      </c>
      <c r="CA196" s="85" t="e">
        <f ca="1">IF(BG196&lt;=Hypothèses!$V$7,Hypothèses!$W$7,IF(BG196&lt;=Hypothèses!$V$8,Hypothèses!$W$8,IF(BG196&lt;=Hypothèses!$V$9,Hypothèses!$W$9,IF(BG196&lt;=Hypothèses!$V$10,Hypothèses!$W$10,IF(BG196&lt;=Hypothèses!$V$11,Hypothèses!$W$11,IF(BG196&lt;=Hypothèses!$V$12,Hypothèses!$W$12,IF(BG196&lt;=Hypothèses!$V$13,Hypothèses!$W$13,IF(BG196&lt;=Hypothèses!$V$14,Hypothèses!$W$14,IF(BG196&lt;=Hypothèses!$V$15,Hypothèses!$W$15,IF(BG196&lt;=Hypothèses!$V$16,Hypothèses!$W$16,IF(BG196&lt;=Hypothèses!$V$17,Hypothèses!$W$17,IF(BG196&lt;=Hypothèses!$V$18,Hypothèses!$W$18,""))))))))))))</f>
        <v>#DIV/0!</v>
      </c>
      <c r="CB196" s="87" t="e">
        <f t="shared" ca="1" si="319"/>
        <v>#DIV/0!</v>
      </c>
      <c r="CC196" s="88" t="e">
        <f ca="1">IF(BG196&lt;=Hypothèses!$V$7,Hypothèses!$X$7,IF(BG196&lt;=Hypothèses!$V$8,Hypothèses!$X$8,IF(BG196&lt;=Hypothèses!$V$9,Hypothèses!$X$9,IF(BG196&lt;=Hypothèses!$V$10,Hypothèses!$X$10,IF(BG196&lt;=Hypothèses!$V$11,Hypothèses!$X$11,IF(BG196&lt;=Hypothèses!$V$12,Hypothèses!$X$12,IF(BG196&lt;=Hypothèses!$V$13,Hypothèses!$X$13,IF(BG196&lt;=Hypothèses!$V$14,Hypothèses!$X$14,IF(BG196&lt;=Hypothèses!$V$15,Hypothèses!$X$15,IF(BG196&lt;=Hypothèses!$V$16,Hypothèses!$X$16,IF(BG196&lt;=Hypothèses!$U$17,Hypothèses!$W$17,IF(BG196&lt;=Hypothèses!$U$18,Hypothèses!$W$18,""))))))))))))</f>
        <v>#DIV/0!</v>
      </c>
      <c r="CD196" s="95" t="e">
        <f t="shared" ca="1" si="281"/>
        <v>#DIV/0!</v>
      </c>
      <c r="CE196" s="101">
        <f t="shared" si="326"/>
        <v>0</v>
      </c>
      <c r="CF196" s="91">
        <f t="shared" si="248"/>
        <v>0</v>
      </c>
      <c r="CG196" s="30" t="e">
        <f t="shared" si="306"/>
        <v>#N/A</v>
      </c>
      <c r="CH196" s="30" t="e">
        <f t="shared" si="307"/>
        <v>#N/A</v>
      </c>
      <c r="CI196" s="31" t="e">
        <f>IF(OR(Hypothèses!$B$4=17,Hypothèses!$B$4=18,Hypothèses!$B$4=19,Hypothèses!$B$4=20),
IF($D196="Pressio.",
IF(OR($E196=3,$E196=1,$E196=4),CH196,CG196),
IF($D196="Pénétro.",
IF(OR($E196=3,$E196=1,$E196=4),CH196,CG196))),IF($D196="Pressio.",
IF($E196=3,CH196,CG196),
IF($D196="Pénétro.",
IF($E196=4,CH196,CG196))))</f>
        <v>#N/A</v>
      </c>
      <c r="CJ196" s="31">
        <v>0</v>
      </c>
      <c r="CK196" s="102" t="e">
        <f>IF(NDC!$H$10="Oui",(VLOOKUP($B$3,'Coeff EC7'!$T$39:$X$59,2,0)*CI196+VLOOKUP($B$3,'Coeff EC7'!$T$65:$X$85,2,0)*Model0.1T!CJ196)/1.5,PI()*CG$12*$Q196*($B196-$B195)*0.15/10+CK195)</f>
        <v>#N/A</v>
      </c>
      <c r="CL196" s="102" t="e">
        <f>(VLOOKUP($B$3,'Coeff EC7'!$T$39:$X$59,3,0)*CI196+VLOOKUP($B$3,'Coeff EC7'!$T$65:$X$85,3,0)*Model0.1T!CJ196)/1.1</f>
        <v>#N/A</v>
      </c>
      <c r="CM196" s="102" t="e">
        <f t="shared" si="282"/>
        <v>#N/A</v>
      </c>
      <c r="CN196" s="102" t="e">
        <f t="shared" si="283"/>
        <v>#N/A</v>
      </c>
      <c r="CO196" s="414" t="e">
        <f>IF(AND(CK196&gt;NDC!$C$63,CL196&gt;NDC!$C$65,CM196&gt;NDC!$D$73,CN196&gt;NDC!$D$74,$B196&gt;NDC!$H$22-0.1+MIN(3*CO$12,1.5)),0,1)</f>
        <v>#N/A</v>
      </c>
      <c r="CP196" s="86" t="b">
        <f t="shared" si="249"/>
        <v>0</v>
      </c>
      <c r="CQ196" s="86">
        <f t="shared" si="250"/>
        <v>0.5</v>
      </c>
      <c r="CR196" s="86">
        <f t="shared" si="251"/>
        <v>0.5</v>
      </c>
      <c r="CS196" s="30" t="e">
        <f t="shared" ca="1" si="284"/>
        <v>#DIV/0!</v>
      </c>
      <c r="CT196" s="85" t="e">
        <f ca="1">IF(BZ196&lt;=Hypothèses!$V$7,Hypothèses!$W$7,IF(BZ196&lt;=Hypothèses!$V$8,Hypothèses!$W$8,IF(BZ196&lt;=Hypothèses!$V$9,Hypothèses!$W$9,IF(BZ196&lt;=Hypothèses!$V$10,Hypothèses!$W$10,IF(BZ196&lt;=Hypothèses!$V$11,Hypothèses!$W$11,IF(BZ196&lt;=Hypothèses!$V$12,Hypothèses!$W$12,IF(BZ196&lt;=Hypothèses!$V$13,Hypothèses!$W$13,IF(BZ196&lt;=Hypothèses!$V$14,Hypothèses!$W$14,IF(BZ196&lt;=Hypothèses!$V$15,Hypothèses!$W$15,IF(BZ196&lt;=Hypothèses!$V$16,Hypothèses!$W$16,IF(BZ196&lt;=Hypothèses!$V$17,Hypothèses!$W$17,IF(BZ196&lt;=Hypothèses!$V$18,Hypothèses!$W$18,""))))))))))))</f>
        <v>#DIV/0!</v>
      </c>
      <c r="CU196" s="87" t="e">
        <f t="shared" ca="1" si="320"/>
        <v>#DIV/0!</v>
      </c>
      <c r="CV196" s="88" t="e">
        <f ca="1">IF(BZ196&lt;=Hypothèses!$V$7,Hypothèses!$X$7,IF(BZ196&lt;=Hypothèses!$V$8,Hypothèses!$X$8,IF(BZ196&lt;=Hypothèses!$V$9,Hypothèses!$X$9,IF(BZ196&lt;=Hypothèses!$V$10,Hypothèses!$X$10,IF(BZ196&lt;=Hypothèses!$V$11,Hypothèses!$X$11,IF(BZ196&lt;=Hypothèses!$V$12,Hypothèses!$X$12,IF(BZ196&lt;=Hypothèses!$V$13,Hypothèses!$X$13,IF(BZ196&lt;=Hypothèses!$V$14,Hypothèses!$X$14,IF(BZ196&lt;=Hypothèses!$V$15,Hypothèses!$X$15,IF(BZ196&lt;=Hypothèses!$V$16,Hypothèses!$X$16,IF(BZ196&lt;=Hypothèses!$U$17,Hypothèses!$W$17,IF(BZ196&lt;=Hypothèses!$U$18,Hypothèses!$W$18,""))))))))))))</f>
        <v>#DIV/0!</v>
      </c>
      <c r="CW196" s="95" t="e">
        <f t="shared" ca="1" si="285"/>
        <v>#DIV/0!</v>
      </c>
      <c r="CX196" s="101">
        <f t="shared" si="327"/>
        <v>0</v>
      </c>
      <c r="CY196" s="91">
        <f t="shared" si="252"/>
        <v>0</v>
      </c>
      <c r="CZ196" s="30" t="e">
        <f t="shared" si="308"/>
        <v>#N/A</v>
      </c>
      <c r="DA196" s="30" t="e">
        <f t="shared" si="309"/>
        <v>#N/A</v>
      </c>
      <c r="DB196" s="31" t="e">
        <f>IF(OR(Hypothèses!$B$4=17,Hypothèses!$B$4=18,Hypothèses!$B$4=19,Hypothèses!$B$4=20),
IF($D196="Pressio.",
IF(OR($E196=3,$E196=1,$E196=4),DA196,CZ196),
IF($D196="Pénétro.",
IF(OR($E196=3,$E196=1,$E196=4),DA196,CZ196))),IF($D196="Pressio.",
IF($E196=3,DA196,CZ196),
IF($D196="Pénétro.",
IF($E196=4,DA196,CZ196))))</f>
        <v>#N/A</v>
      </c>
      <c r="DC196" s="31">
        <v>0</v>
      </c>
      <c r="DD196" s="102" t="e">
        <f>IF(NDC!$H$10="Oui",(VLOOKUP($B$3,'Coeff EC7'!$T$39:$X$59,2,0)*DB196+VLOOKUP($B$3,'Coeff EC7'!$T$65:$X$85,2,0)*Model0.1T!DC196)/1.5,PI()*CZ$12*$Q196*($B196-$B195)*0.15/10+DD195)</f>
        <v>#N/A</v>
      </c>
      <c r="DE196" s="102" t="e">
        <f>(VLOOKUP($B$3,'Coeff EC7'!$T$39:$X$59,3,0)*DB196+VLOOKUP($B$3,'Coeff EC7'!$T$65:$X$85,3,0)*Model0.1T!DC196)/1.1</f>
        <v>#N/A</v>
      </c>
      <c r="DF196" s="102" t="e">
        <f t="shared" si="286"/>
        <v>#N/A</v>
      </c>
      <c r="DG196" s="102" t="e">
        <f t="shared" si="287"/>
        <v>#N/A</v>
      </c>
      <c r="DH196" s="414" t="e">
        <f>IF(AND(DD196&gt;NDC!$C$63,DE196&gt;NDC!$C$65,DF196&gt;NDC!$D$73,DG196&gt;NDC!$D$74,$B196&gt;NDC!$H$22-0.1+MIN(3*DH$12,1.5)),0,1)</f>
        <v>#N/A</v>
      </c>
      <c r="DI196" s="86" t="b">
        <f t="shared" si="253"/>
        <v>0</v>
      </c>
      <c r="DJ196" s="86">
        <f t="shared" si="254"/>
        <v>0.5</v>
      </c>
      <c r="DK196" s="86">
        <f t="shared" si="255"/>
        <v>0.5</v>
      </c>
      <c r="DL196" s="30" t="e">
        <f t="shared" ca="1" si="288"/>
        <v>#DIV/0!</v>
      </c>
      <c r="DM196" s="85" t="e">
        <f ca="1">IF(CS196&lt;=Hypothèses!$V$7,Hypothèses!$W$7,IF(CS196&lt;=Hypothèses!$V$8,Hypothèses!$W$8,IF(CS196&lt;=Hypothèses!$V$9,Hypothèses!$W$9,IF(CS196&lt;=Hypothèses!$V$10,Hypothèses!$W$10,IF(CS196&lt;=Hypothèses!$V$11,Hypothèses!$W$11,IF(CS196&lt;=Hypothèses!$V$12,Hypothèses!$W$12,IF(CS196&lt;=Hypothèses!$V$13,Hypothèses!$W$13,IF(CS196&lt;=Hypothèses!$V$14,Hypothèses!$W$14,IF(CS196&lt;=Hypothèses!$V$15,Hypothèses!$W$15,IF(CS196&lt;=Hypothèses!$V$16,Hypothèses!$W$16,IF(CS196&lt;=Hypothèses!$V$17,Hypothèses!$W$17,IF(CS196&lt;=Hypothèses!$V$18,Hypothèses!$W$18,""))))))))))))</f>
        <v>#DIV/0!</v>
      </c>
      <c r="DN196" s="87" t="e">
        <f t="shared" ca="1" si="321"/>
        <v>#DIV/0!</v>
      </c>
      <c r="DO196" s="88" t="e">
        <f ca="1">IF(CS196&lt;=Hypothèses!$V$7,Hypothèses!$X$7,IF(CS196&lt;=Hypothèses!$V$8,Hypothèses!$X$8,IF(CS196&lt;=Hypothèses!$V$9,Hypothèses!$X$9,IF(CS196&lt;=Hypothèses!$V$10,Hypothèses!$X$10,IF(CS196&lt;=Hypothèses!$V$11,Hypothèses!$X$11,IF(CS196&lt;=Hypothèses!$V$12,Hypothèses!$X$12,IF(CS196&lt;=Hypothèses!$V$13,Hypothèses!$X$13,IF(CS196&lt;=Hypothèses!$V$14,Hypothèses!$X$14,IF(CS196&lt;=Hypothèses!$V$15,Hypothèses!$X$15,IF(CS196&lt;=Hypothèses!$V$16,Hypothèses!$X$16,IF(CS196&lt;=Hypothèses!$U$17,Hypothèses!$W$17,IF(CS196&lt;=Hypothèses!$U$18,Hypothèses!$W$18,""))))))))))))</f>
        <v>#DIV/0!</v>
      </c>
      <c r="DP196" s="95" t="e">
        <f t="shared" ca="1" si="289"/>
        <v>#DIV/0!</v>
      </c>
      <c r="DQ196" s="101">
        <f t="shared" si="328"/>
        <v>0</v>
      </c>
      <c r="DR196" s="91">
        <f t="shared" si="256"/>
        <v>0</v>
      </c>
      <c r="DS196" s="30" t="e">
        <f t="shared" si="310"/>
        <v>#N/A</v>
      </c>
      <c r="DT196" s="30" t="e">
        <f t="shared" si="311"/>
        <v>#N/A</v>
      </c>
      <c r="DU196" s="31" t="e">
        <f>IF(OR(Hypothèses!$B$4=17,Hypothèses!$B$4=18,Hypothèses!$B$4=19,Hypothèses!$B$4=20),
IF($D196="Pressio.",
IF(OR($E196=3,$E196=1,$E196=4),DT196,DS196),
IF($D196="Pénétro.",
IF(OR($E196=3,$E196=1,$E196=4),DT196,DS196))),IF($D196="Pressio.",
IF($E196=3,DT196,DS196),
IF($D196="Pénétro.",
IF($E196=4,DT196,DS196))))</f>
        <v>#N/A</v>
      </c>
      <c r="DV196" s="31">
        <v>0</v>
      </c>
      <c r="DW196" s="102" t="e">
        <f>IF(NDC!$H$10="Oui",(VLOOKUP($B$3,'Coeff EC7'!$T$39:$X$59,2,0)*DU196+VLOOKUP($B$3,'Coeff EC7'!$T$65:$X$85,2,0)*Model0.1T!DV196)/1.5,PI()*DS$12*$Q196*($B196-$B195)*0.15/10+DW195)</f>
        <v>#N/A</v>
      </c>
      <c r="DX196" s="102" t="e">
        <f>(VLOOKUP($B$3,'Coeff EC7'!$T$39:$X$59,3,0)*DU196+VLOOKUP($B$3,'Coeff EC7'!$T$65:$X$85,3,0)*Model0.1T!DV196)/1.1</f>
        <v>#N/A</v>
      </c>
      <c r="DY196" s="102" t="e">
        <f t="shared" si="290"/>
        <v>#N/A</v>
      </c>
      <c r="DZ196" s="102" t="e">
        <f t="shared" si="291"/>
        <v>#N/A</v>
      </c>
      <c r="EA196" s="414" t="e">
        <f>IF(AND(DW196&gt;NDC!$C$63,DX196&gt;NDC!$C$65,DY196&gt;NDC!$D$73,DZ196&gt;NDC!$D$74,$B196&gt;NDC!$H$22-0.1+MIN(3*EA$12,1.5)),0,1)</f>
        <v>#N/A</v>
      </c>
      <c r="EB196" s="86" t="b">
        <f t="shared" si="257"/>
        <v>0</v>
      </c>
      <c r="EC196" s="418">
        <f t="shared" si="258"/>
        <v>0.51</v>
      </c>
      <c r="ED196" s="86">
        <f t="shared" si="259"/>
        <v>0.51</v>
      </c>
      <c r="EE196" s="30" t="e">
        <f t="shared" ca="1" si="292"/>
        <v>#DIV/0!</v>
      </c>
      <c r="EF196" s="85" t="e">
        <f ca="1">IF(DL196&lt;=Hypothèses!$V$7,Hypothèses!$W$7,IF(DL196&lt;=Hypothèses!$V$8,Hypothèses!$W$8,IF(DL196&lt;=Hypothèses!$V$9,Hypothèses!$W$9,IF(DL196&lt;=Hypothèses!$V$10,Hypothèses!$W$10,IF(DL196&lt;=Hypothèses!$V$11,Hypothèses!$W$11,IF(DL196&lt;=Hypothèses!$V$12,Hypothèses!$W$12,IF(DL196&lt;=Hypothèses!$V$13,Hypothèses!$W$13,IF(DL196&lt;=Hypothèses!$V$14,Hypothèses!$W$14,IF(DL196&lt;=Hypothèses!$V$15,Hypothèses!$W$15,IF(DL196&lt;=Hypothèses!$V$16,Hypothèses!$W$16,IF(DL196&lt;=Hypothèses!$V$17,Hypothèses!$W$17,IF(DL196&lt;=Hypothèses!$V$18,Hypothèses!$W$18,""))))))))))))</f>
        <v>#DIV/0!</v>
      </c>
      <c r="EG196" s="87" t="e">
        <f t="shared" ca="1" si="322"/>
        <v>#DIV/0!</v>
      </c>
      <c r="EH196" s="88" t="e">
        <f ca="1">IF(DL196&lt;=Hypothèses!$V$7,Hypothèses!$X$7,IF(DL196&lt;=Hypothèses!$V$8,Hypothèses!$X$8,IF(DL196&lt;=Hypothèses!$V$9,Hypothèses!$X$9,IF(DL196&lt;=Hypothèses!$V$10,Hypothèses!$X$10,IF(DL196&lt;=Hypothèses!$V$11,Hypothèses!$X$11,IF(DL196&lt;=Hypothèses!$V$12,Hypothèses!$X$12,IF(DL196&lt;=Hypothèses!$V$13,Hypothèses!$X$13,IF(DL196&lt;=Hypothèses!$V$14,Hypothèses!$X$14,IF(DL196&lt;=Hypothèses!$V$15,Hypothèses!$X$15,IF(DL196&lt;=Hypothèses!$V$16,Hypothèses!$X$16,IF(DL196&lt;=Hypothèses!$U$17,Hypothèses!$W$17,IF(DL196&lt;=Hypothèses!$U$18,Hypothèses!$W$18,""))))))))))))</f>
        <v>#DIV/0!</v>
      </c>
      <c r="EI196" s="95" t="e">
        <f t="shared" ca="1" si="293"/>
        <v>#DIV/0!</v>
      </c>
      <c r="EJ196" s="101">
        <f t="shared" si="329"/>
        <v>0</v>
      </c>
      <c r="EK196" s="91">
        <f t="shared" si="260"/>
        <v>0</v>
      </c>
      <c r="EL196" s="30" t="e">
        <f t="shared" si="312"/>
        <v>#N/A</v>
      </c>
      <c r="EM196" s="30" t="e">
        <f t="shared" si="313"/>
        <v>#N/A</v>
      </c>
      <c r="EN196" s="31" t="e">
        <f>IF(OR(Hypothèses!$B$4=17,Hypothèses!$B$4=18,Hypothèses!$B$4=19,Hypothèses!$B$4=20),
IF($D196="Pressio.",
IF(OR($E196=3,$E196=1,$E196=4),EM196,EL196),
IF($D196="Pénétro.",
IF(OR($E196=3,$E196=1,$E196=4),EM196,EL196))),IF($D196="Pressio.",
IF($E196=3,EM196,EL196),
IF($D196="Pénétro.",
IF($E196=4,EM196,EL196))))</f>
        <v>#N/A</v>
      </c>
      <c r="EO196" s="31">
        <v>0</v>
      </c>
      <c r="EP196" s="102" t="e">
        <f>IF(NDC!$H$10="Oui",(VLOOKUP($B$3,'Coeff EC7'!$T$39:$X$59,2,0)*EN196+VLOOKUP($B$3,'Coeff EC7'!$T$65:$X$85,2,0)*Model0.1T!EO196)/1.5,PI()*EL$12*$Q196*($B196-$B195)*0.15/10+EP195)</f>
        <v>#N/A</v>
      </c>
      <c r="EQ196" s="102" t="e">
        <f>(VLOOKUP($B$3,'Coeff EC7'!$T$39:$X$59,3,0)*EN196+VLOOKUP($B$3,'Coeff EC7'!$T$65:$X$85,3,0)*Model0.1T!EO196)/1.1</f>
        <v>#N/A</v>
      </c>
      <c r="ER196" s="102" t="e">
        <f t="shared" si="294"/>
        <v>#N/A</v>
      </c>
      <c r="ES196" s="102" t="e">
        <f t="shared" si="295"/>
        <v>#N/A</v>
      </c>
      <c r="ET196" s="414" t="e">
        <f>IF(AND(EP196&gt;NDC!$C$63,EQ196&gt;NDC!$C$65,ER196&gt;NDC!$D$73,ES196&gt;NDC!$D$74,$B196&gt;NDC!$H$22-0.1+MIN(3*ET$12,1.5)),0,1)</f>
        <v>#N/A</v>
      </c>
      <c r="EU196" s="86" t="b">
        <f t="shared" si="261"/>
        <v>0</v>
      </c>
      <c r="EV196" s="86">
        <f t="shared" si="262"/>
        <v>0.61</v>
      </c>
      <c r="EW196" s="86">
        <f t="shared" si="263"/>
        <v>0.61</v>
      </c>
      <c r="EX196" s="30" t="e">
        <f t="shared" ca="1" si="296"/>
        <v>#DIV/0!</v>
      </c>
      <c r="EY196" s="85" t="e">
        <f ca="1">IF(EE196&lt;=Hypothèses!$V$7,Hypothèses!$W$7,IF(EE196&lt;=Hypothèses!$V$8,Hypothèses!$W$8,IF(EE196&lt;=Hypothèses!$V$9,Hypothèses!$W$9,IF(EE196&lt;=Hypothèses!$V$10,Hypothèses!$W$10,IF(EE196&lt;=Hypothèses!$V$11,Hypothèses!$W$11,IF(EE196&lt;=Hypothèses!$V$12,Hypothèses!$W$12,IF(EE196&lt;=Hypothèses!$V$13,Hypothèses!$W$13,IF(EE196&lt;=Hypothèses!$V$14,Hypothèses!$W$14,IF(EE196&lt;=Hypothèses!$V$15,Hypothèses!$W$15,IF(EE196&lt;=Hypothèses!$V$16,Hypothèses!$W$16,IF(EE196&lt;=Hypothèses!$V$17,Hypothèses!$W$17,IF(EE196&lt;=Hypothèses!$V$18,Hypothèses!$W$18,""))))))))))))</f>
        <v>#DIV/0!</v>
      </c>
      <c r="EZ196" s="87" t="e">
        <f t="shared" ca="1" si="323"/>
        <v>#DIV/0!</v>
      </c>
      <c r="FA196" s="88" t="e">
        <f ca="1">IF(EE196&lt;=Hypothèses!$V$7,Hypothèses!$X$7,IF(EE196&lt;=Hypothèses!$V$8,Hypothèses!$X$8,IF(EE196&lt;=Hypothèses!$V$9,Hypothèses!$X$9,IF(EE196&lt;=Hypothèses!$V$10,Hypothèses!$X$10,IF(EE196&lt;=Hypothèses!$V$11,Hypothèses!$X$11,IF(EE196&lt;=Hypothèses!$V$12,Hypothèses!$X$12,IF(EE196&lt;=Hypothèses!$V$13,Hypothèses!$X$13,IF(EE196&lt;=Hypothèses!$V$14,Hypothèses!$X$14,IF(EE196&lt;=Hypothèses!$V$15,Hypothèses!$X$15,IF(EE196&lt;=Hypothèses!$V$16,Hypothèses!$X$16,IF(EE196&lt;=Hypothèses!$U$17,Hypothèses!$W$17,IF(EE196&lt;=Hypothèses!$U$18,Hypothèses!$W$18,""))))))))))))</f>
        <v>#DIV/0!</v>
      </c>
      <c r="FB196" s="95" t="e">
        <f t="shared" ca="1" si="297"/>
        <v>#DIV/0!</v>
      </c>
      <c r="FC196" s="101">
        <f t="shared" si="330"/>
        <v>0</v>
      </c>
      <c r="FD196" s="91">
        <f t="shared" si="264"/>
        <v>0</v>
      </c>
      <c r="FE196" s="30" t="e">
        <f t="shared" si="314"/>
        <v>#N/A</v>
      </c>
      <c r="FF196" s="30" t="e">
        <f t="shared" si="315"/>
        <v>#N/A</v>
      </c>
      <c r="FG196" s="31" t="e">
        <f>IF(OR(Hypothèses!$B$4=17,Hypothèses!$B$4=18,Hypothèses!$B$4=19,Hypothèses!$B$4=20),
IF($D196="Pressio.",
IF(OR($E196=3,$E196=1,$E196=4),FF196,FE196),
IF($D196="Pénétro.",
IF(OR($E196=3,$E196=1,$E196=4),FF196,FE196))),IF($D196="Pressio.",
IF($E196=3,FF196,FE196),
IF($D196="Pénétro.",
IF($E196=4,FF196,FE196))))</f>
        <v>#N/A</v>
      </c>
      <c r="FH196" s="31">
        <v>0</v>
      </c>
      <c r="FI196" s="102" t="e">
        <f>IF(NDC!$H$10="Oui",(VLOOKUP($B$3,'Coeff EC7'!$T$39:$X$59,2,0)*FG196+VLOOKUP($B$3,'Coeff EC7'!$T$65:$X$85,2,0)*Model0.1T!FH196)/1.5,PI()*FE$12*$Q196*($B196-$B195)*0.15/10+FI195)</f>
        <v>#N/A</v>
      </c>
      <c r="FJ196" s="102" t="e">
        <f>(VLOOKUP($B$3,'Coeff EC7'!$T$39:$X$59,3,0)*FG196+VLOOKUP($B$3,'Coeff EC7'!$T$65:$X$85,3,0)*Model0.1T!FH196)/1.1</f>
        <v>#N/A</v>
      </c>
      <c r="FK196" s="102" t="e">
        <f t="shared" si="298"/>
        <v>#N/A</v>
      </c>
      <c r="FL196" s="102" t="e">
        <f t="shared" si="299"/>
        <v>#N/A</v>
      </c>
      <c r="FM196" s="414" t="e">
        <f>IF(AND(FI196&gt;NDC!$C$63,FJ196&gt;NDC!$C$65,FK196&gt;NDC!$D$73,FL196&gt;NDC!$D$74,$B196&gt;NDC!$H$22-0.1+MIN(3*FM$12,1.5)),0,1)</f>
        <v>#N/A</v>
      </c>
    </row>
    <row r="197" spans="1:169">
      <c r="A197" s="96">
        <f t="shared" si="265"/>
        <v>81.600000000001046</v>
      </c>
      <c r="B197" s="97">
        <v>18.399999999999999</v>
      </c>
      <c r="C197" s="81">
        <f>IF(B197&lt;=Hypothèses!$C$7,Hypothèses!$A$7,IF(B197&lt;=Hypothèses!$C$8,Hypothèses!$A$8,IF(B197&lt;=Hypothèses!$C$9,Hypothèses!$A$9,IF(B197&lt;=Hypothèses!$C$10,Hypothèses!$A$10,IF(B197&lt;=Hypothèses!$C$11,Hypothèses!$A$11,IF(B197&lt;=Hypothèses!$C$12,Hypothèses!$A$12,IF(B197&lt;=Hypothèses!$C$13,Hypothèses!$A$13,IF(B197&lt;=Hypothèses!$C$14,Hypothèses!$A$14,IF(B197&lt;=Hypothèses!$C$15,Hypothèses!$A$15,IF(B197&lt;=Hypothèses!$C$16,Hypothèses!$A$16,IF(B197&lt;=Hypothèses!$C$17,Hypothèses!$A$17,IF(B197&lt;=Hypothèses!$C$18,Hypothèses!$A$18,C196))))))))))))</f>
        <v>11</v>
      </c>
      <c r="D197" s="82" t="str">
        <f>IF(B197&lt;=Hypothèses!$C$7,Hypothèses!$R$7,IF(B197&lt;=Hypothèses!$C$8,Hypothèses!$R$8,IF(B197&lt;=Hypothèses!$C$9,Hypothèses!$R$9,IF(B197&lt;=Hypothèses!$C$10,Hypothèses!$R$10,IF(B197&lt;=Hypothèses!$C$11,Hypothèses!$R$11,IF(B197&lt;=Hypothèses!$C$12,Hypothèses!$R$12,IF(B197&lt;=Hypothèses!$C$13,Hypothèses!$R$13,IF(B197&lt;=Hypothèses!$C$14,Hypothèses!$R$14,IF(B197&lt;=Hypothèses!$C$15,Hypothèses!$R$15,IF(B197&lt;=Hypothèses!$C$16,Hypothèses!$R$16,IF(B197&lt;=Hypothèses!$C$17,Hypothèses!$R$17,IF(B197&lt;=Hypothèses!$C$18,Hypothèses!$R$18,D196))))))))))))</f>
        <v>Pressio.</v>
      </c>
      <c r="E197" s="82" t="e">
        <f>IF(B197&lt;=Hypothèses!$C$7,Hypothèses!$G$7,IF(B197&lt;=Hypothèses!$C$8,Hypothèses!$G$8,IF(B197&lt;=Hypothèses!$C$9,Hypothèses!$G$9,IF(B197&lt;=Hypothèses!$C$10,Hypothèses!$G$10,IF(B197&lt;=Hypothèses!$C$11,Hypothèses!$G$11,IF(B197&lt;=Hypothèses!$C$12,Hypothèses!$G$12,IF(B197&lt;=Hypothèses!$C$13,Hypothèses!$G$13,IF(B197&lt;=Hypothèses!$C$14,Hypothèses!$G$14,IF(B197&lt;=Hypothèses!$C$15,Hypothèses!$G$15,IF(B197&lt;=Hypothèses!$C$16,Hypothèses!$G$16,IF(B197&lt;=Hypothèses!$C$17,Hypothèses!$G$17,IF(B197&lt;=Hypothèses!$C$18,Hypothèses!$G$18,E196))))))))))))</f>
        <v>#N/A</v>
      </c>
      <c r="F197" s="82" t="str">
        <f>IF(B197&lt;=Hypothèses!$C$7,Hypothèses!$F$7,IF(B197&lt;=Hypothèses!$C$8,Hypothèses!$F$8,IF(B197&lt;=Hypothèses!$C$9,Hypothèses!$F$9,IF(B197&lt;=Hypothèses!$C$10,Hypothèses!$F$10,IF(B197&lt;=Hypothèses!$C$11,Hypothèses!$F$11,IF(B197&lt;=Hypothèses!$C$12,Hypothèses!$F$12,IF(B197&lt;=Hypothèses!$C$13,Hypothèses!$F$13,IF(B197&lt;=Hypothèses!$C$14,Hypothèses!$F$14,IF(B197&lt;=Hypothèses!$C$15,Hypothèses!$F$15,IF(B197&lt;=Hypothèses!$C$16,Hypothèses!$F$16,IF(B197&lt;=Hypothèses!$C$17,Hypothèses!$F$17,IF(B197&lt;=Hypothèses!$C$18,Hypothèses!$F$18,F196))))))))))))</f>
        <v/>
      </c>
      <c r="G197" s="91">
        <f t="array" ref="G197">INDEX('Coeff EC7'!$U$7:$X$27,
MATCH(Model0.1T!$B$3,'Coeff EC7'!$T$7:$T$27,0),
MATCH(Model0.1T!$D197&amp;Model0.1T!$B$4,
'Coeff EC7'!$U$6:$X$6&amp;
'Coeff EC7'!$U$5:$X$5,0))</f>
        <v>1.4</v>
      </c>
      <c r="H197" s="91">
        <f t="array" ref="H197">INDEX('Coeff EC7'!$Y$7:$AB$27,
MATCH(Model0.1T!$B$3,'Coeff EC7'!$T$7:$T$27,0),
MATCH(Model0.1T!$D197&amp;Model0.1T!$B$4,
'Coeff EC7'!$Y$6:$AB$6&amp;
'Coeff EC7'!$Y$5:$AB$5,0))</f>
        <v>1.7</v>
      </c>
      <c r="I197" s="83">
        <v>0</v>
      </c>
      <c r="J197" s="91" t="e">
        <f t="array" ref="J197">INDEX('Coeff EC7'!$D$33:$Q$33,1,MATCH(D197&amp;E197,'Coeff EC7'!$D$31:$Q$31&amp;'Coeff EC7'!$D$32:$Q$32,0))</f>
        <v>#N/A</v>
      </c>
      <c r="K197" s="91" t="e">
        <f t="array" ref="K197">INDEX('Coeff EC7'!$D$34:$Q$34,1,MATCH(D197&amp;E197,'Coeff EC7'!$D$31:$Q$31&amp;'Coeff EC7'!$D$32:$Q$32,0))</f>
        <v>#N/A</v>
      </c>
      <c r="L197" s="91" t="e">
        <f t="array" ref="L197">INDEX('Coeff EC7'!$D$35:$Q$35,1,MATCH(D197&amp;E197,'Coeff EC7'!$D$31:$Q$31&amp;'Coeff EC7'!$D$32:$Q$32,0))</f>
        <v>#N/A</v>
      </c>
      <c r="M197" s="98" t="e">
        <f t="shared" si="231"/>
        <v>#N/A</v>
      </c>
      <c r="N197" s="99" t="e">
        <f t="array" ref="N197">INDEX('Coeff EC7'!$D$7:$Q$27,MATCH($B$3,'Coeff EC7'!$C$7:$C$27,0),MATCH(D197&amp;E197,'Coeff EC7'!$D$5:$Q$5&amp;'Coeff EC7'!$D$6:$Q$6,0))</f>
        <v>#N/A</v>
      </c>
      <c r="O197" s="99" t="e">
        <f t="array" ref="O197">INDEX('Coeff EC7'!$D$41:$Q$61,MATCH($B$3,'Coeff EC7'!$C$41:$C$61,0),MATCH(D197&amp;E197,'Coeff EC7'!$D$39:$Q$39&amp;'Coeff EC7'!$D$40:$Q$40,0))</f>
        <v>#N/A</v>
      </c>
      <c r="P197" s="30" t="e">
        <f t="shared" si="266"/>
        <v>#N/A</v>
      </c>
      <c r="Q197" s="100" t="e">
        <f t="shared" si="233"/>
        <v>#N/A</v>
      </c>
      <c r="R197" s="86" t="b">
        <f t="shared" si="234"/>
        <v>0</v>
      </c>
      <c r="S197" s="86">
        <f t="shared" si="232"/>
        <v>0.5</v>
      </c>
      <c r="T197" s="86">
        <f t="shared" si="235"/>
        <v>0.5</v>
      </c>
      <c r="U197" s="30" t="e">
        <f t="shared" ca="1" si="267"/>
        <v>#DIV/0!</v>
      </c>
      <c r="V197" s="85" t="str">
        <f>IF(B197&lt;=Hypothèses!$V$7,Hypothèses!$W$7,IF(B197&lt;=Hypothèses!$V$8,Hypothèses!$W$8,IF(B197&lt;=Hypothèses!$V$9,Hypothèses!$W$9,IF(B197&lt;=Hypothèses!$V$10,Hypothèses!$W$10,IF(B197&lt;=Hypothèses!$V$11,Hypothèses!$W$11,IF(B197&lt;=Hypothèses!$V$12,Hypothèses!$W$12,IF(B197&lt;=Hypothèses!$V$13,Hypothèses!$W$13,IF(B197&lt;=Hypothèses!$V$14,Hypothèses!$W$14,IF(B197&lt;=Hypothèses!$V$15,Hypothèses!$W$15,IF(B197&lt;=Hypothèses!$V$16,Hypothèses!$W$16,IF(B197&lt;=Hypothèses!$V$17,Hypothèses!$W$17,IF(B197&lt;=Hypothèses!$V$18,Hypothèses!$W$18,""))))))))))))</f>
        <v/>
      </c>
      <c r="W197" s="87" t="e">
        <f t="shared" ca="1" si="316"/>
        <v>#DIV/0!</v>
      </c>
      <c r="X197" s="88" t="str">
        <f>IF(B197&lt;=Hypothèses!$V$7,Hypothèses!$X$7,IF(B197&lt;=Hypothèses!$V$8,Hypothèses!$X$8,IF(B197&lt;=Hypothèses!$V$9,Hypothèses!$X$9,IF(B197&lt;=Hypothèses!$V$10,Hypothèses!$X$10,IF(B197&lt;=Hypothèses!$V$11,Hypothèses!$X$11,IF(B197&lt;=Hypothèses!$V$12,Hypothèses!$X$12,IF(B197&lt;=Hypothèses!$V$13,Hypothèses!$X$13,IF(B197&lt;=Hypothèses!$V$14,Hypothèses!$X$14,IF(B197&lt;=Hypothèses!$V$15,Hypothèses!$X$15,IF(B197&lt;=Hypothèses!$V$16,Hypothèses!$X$16,IF(B197&lt;=Hypothèses!$U$17,Hypothèses!$W$17,IF(B197&lt;=Hypothèses!$U$18,Hypothèses!$W$18,""))))))))))))</f>
        <v/>
      </c>
      <c r="Y197" s="95" t="e">
        <f t="shared" ca="1" si="236"/>
        <v>#DIV/0!</v>
      </c>
      <c r="Z197" s="101">
        <f t="shared" si="237"/>
        <v>0</v>
      </c>
      <c r="AA197" s="91">
        <f t="shared" si="238"/>
        <v>0</v>
      </c>
      <c r="AB197" s="30" t="e">
        <f t="shared" si="300"/>
        <v>#N/A</v>
      </c>
      <c r="AC197" s="30" t="e">
        <f t="shared" si="301"/>
        <v>#N/A</v>
      </c>
      <c r="AD197" s="31" t="e">
        <f>IF(OR(Hypothèses!$B$4=17,Hypothèses!$B$4=18,Hypothèses!$B$4=19,Hypothèses!$B$4=20),
IF($D197="Pressio.",
IF(OR($E197=3,$E197=1,$E197=4),AC197,AB197),
IF($D197="Pénétro.",
IF(OR($E197=3,$E197=1,$E197=4),AC197,AB197))),IF($D197="Pressio.",
IF($E197=3,AC197,AB197),
IF($D197="Pénétro.",
IF($E197=4,AC197,AB197))))</f>
        <v>#N/A</v>
      </c>
      <c r="AE197" s="31">
        <v>0</v>
      </c>
      <c r="AF197" s="102" t="e">
        <f>IF(NDC!$H$10="Oui",(VLOOKUP($B$3,'Coeff EC7'!$T$39:$X$59,2,0)*AD197+VLOOKUP($B$3,'Coeff EC7'!$T$65:$X$85,2,0)*Model0.1T!AE197)/1.5,PI()*AB$12*$Q197*($B197-$B196)*0.15/10+AF196)</f>
        <v>#N/A</v>
      </c>
      <c r="AG197" s="102" t="e">
        <f>(VLOOKUP($B$3,'Coeff EC7'!$T$39:$X$59,3,0)*AD197+VLOOKUP($B$3,'Coeff EC7'!$T$65:$X$85,3,0)*Model0.1T!AE197)/1.1</f>
        <v>#N/A</v>
      </c>
      <c r="AH197" s="102" t="e">
        <f t="shared" si="268"/>
        <v>#N/A</v>
      </c>
      <c r="AI197" s="102" t="e">
        <f t="shared" si="269"/>
        <v>#N/A</v>
      </c>
      <c r="AJ197" s="414" t="e">
        <f>IF(AND(AF197&gt;NDC!$C$63,AG197&gt;NDC!$C$65,AH197&gt;NDC!$D$73,AI197&gt;NDC!$D$74,$B197&gt;NDC!$H$22-0.1+MIN(3*$AJ$12,1.5)),0,1)</f>
        <v>#N/A</v>
      </c>
      <c r="AK197" s="86" t="b">
        <f t="shared" si="239"/>
        <v>0</v>
      </c>
      <c r="AL197" s="86">
        <f t="shared" si="270"/>
        <v>0.5</v>
      </c>
      <c r="AM197" s="86">
        <f t="shared" si="240"/>
        <v>0.5</v>
      </c>
      <c r="AN197" s="30" t="e">
        <f t="shared" ca="1" si="271"/>
        <v>#DIV/0!</v>
      </c>
      <c r="AO197" s="85" t="e">
        <f ca="1">IF(U197&lt;=Hypothèses!$V$7,Hypothèses!$W$7,IF(U197&lt;=Hypothèses!$V$8,Hypothèses!$W$8,IF(U197&lt;=Hypothèses!$V$9,Hypothèses!$W$9,IF(U197&lt;=Hypothèses!$V$10,Hypothèses!$W$10,IF(U197&lt;=Hypothèses!$V$11,Hypothèses!$W$11,IF(U197&lt;=Hypothèses!$V$12,Hypothèses!$W$12,IF(U197&lt;=Hypothèses!$V$13,Hypothèses!$W$13,IF(U197&lt;=Hypothèses!$V$14,Hypothèses!$W$14,IF(U197&lt;=Hypothèses!$V$15,Hypothèses!$W$15,IF(U197&lt;=Hypothèses!$V$16,Hypothèses!$W$16,IF(U197&lt;=Hypothèses!$V$17,Hypothèses!$W$17,IF(U197&lt;=Hypothèses!$V$18,Hypothèses!$W$18,""))))))))))))</f>
        <v>#DIV/0!</v>
      </c>
      <c r="AP197" s="87" t="e">
        <f t="shared" ca="1" si="317"/>
        <v>#DIV/0!</v>
      </c>
      <c r="AQ197" s="88" t="e">
        <f ca="1">IF(U197&lt;=Hypothèses!$V$7,Hypothèses!$X$7,IF(U197&lt;=Hypothèses!$V$8,Hypothèses!$X$8,IF(U197&lt;=Hypothèses!$V$9,Hypothèses!$X$9,IF(U197&lt;=Hypothèses!$V$10,Hypothèses!$X$10,IF(U197&lt;=Hypothèses!$V$11,Hypothèses!$X$11,IF(U197&lt;=Hypothèses!$V$12,Hypothèses!$X$12,IF(U197&lt;=Hypothèses!$V$13,Hypothèses!$X$13,IF(U197&lt;=Hypothèses!$V$14,Hypothèses!$X$14,IF(U197&lt;=Hypothèses!$V$15,Hypothèses!$X$15,IF(U197&lt;=Hypothèses!$V$16,Hypothèses!$X$16,IF(U197&lt;=Hypothèses!$U$17,Hypothèses!$W$17,IF(U197&lt;=Hypothèses!$U$18,Hypothèses!$W$18,""))))))))))))</f>
        <v>#DIV/0!</v>
      </c>
      <c r="AR197" s="95" t="e">
        <f t="shared" ca="1" si="272"/>
        <v>#DIV/0!</v>
      </c>
      <c r="AS197" s="101">
        <f t="shared" si="324"/>
        <v>0</v>
      </c>
      <c r="AT197" s="91">
        <f t="shared" si="241"/>
        <v>0</v>
      </c>
      <c r="AU197" s="30" t="e">
        <f t="shared" si="302"/>
        <v>#N/A</v>
      </c>
      <c r="AV197" s="30" t="e">
        <f t="shared" si="303"/>
        <v>#N/A</v>
      </c>
      <c r="AW197" s="31" t="e">
        <f>IF(OR(Hypothèses!$B$4=17,Hypothèses!$B$4=18,Hypothèses!$B$4=19,Hypothèses!$B$4=20),
IF($D197="Pressio.",
IF(OR($E197=3,$E197=1,$E197=4),AV197,AU197),
IF($D197="Pénétro.",
IF(OR($E197=3,$E197=1,$E197=4),AV197,AU197))),IF($D197="Pressio.",
IF($E197=3,AV197,AU197),
IF($D197="Pénétro.",
IF($E197=4,AV197,AU197))))</f>
        <v>#N/A</v>
      </c>
      <c r="AX197" s="31">
        <v>0</v>
      </c>
      <c r="AY197" s="102" t="e">
        <f>IF(NDC!$H$10="Oui",(VLOOKUP($B$3,'Coeff EC7'!$T$39:$X$59,2,0)*AW197+VLOOKUP($B$3,'Coeff EC7'!$T$65:$X$85,2,0)*Model0.1T!AX197)/1.5,PI()*AU$12*$Q197*($B197-$B196)*0.15/10+AY196)</f>
        <v>#N/A</v>
      </c>
      <c r="AZ197" s="102" t="e">
        <f>(VLOOKUP($B$3,'Coeff EC7'!$T$39:$X$59,3,0)*AW197+VLOOKUP($B$3,'Coeff EC7'!$T$65:$X$85,3,0)*Model0.1T!AX197)/1.1</f>
        <v>#N/A</v>
      </c>
      <c r="BA197" s="102" t="e">
        <f t="shared" si="273"/>
        <v>#N/A</v>
      </c>
      <c r="BB197" s="102" t="e">
        <f t="shared" si="274"/>
        <v>#N/A</v>
      </c>
      <c r="BC197" s="414" t="e">
        <f>IF(AND(AY197&gt;NDC!$C$63,AZ197&gt;NDC!$C$65,BA197&gt;NDC!$D$73,BB197&gt;NDC!$D$74,$B197&gt;NDC!$H$22-0.1+MIN(3*BC$12,1.5)),0,1)</f>
        <v>#N/A</v>
      </c>
      <c r="BD197" s="86" t="b">
        <f t="shared" si="242"/>
        <v>0</v>
      </c>
      <c r="BE197" s="86">
        <f t="shared" si="275"/>
        <v>0.5</v>
      </c>
      <c r="BF197" s="86">
        <f t="shared" si="243"/>
        <v>0.5</v>
      </c>
      <c r="BG197" s="30" t="e">
        <f t="shared" ca="1" si="276"/>
        <v>#DIV/0!</v>
      </c>
      <c r="BH197" s="85" t="e">
        <f ca="1">IF(AN197&lt;=Hypothèses!$V$7,Hypothèses!$W$7,IF(AN197&lt;=Hypothèses!$V$8,Hypothèses!$W$8,IF(AN197&lt;=Hypothèses!$V$9,Hypothèses!$W$9,IF(AN197&lt;=Hypothèses!$V$10,Hypothèses!$W$10,IF(AN197&lt;=Hypothèses!$V$11,Hypothèses!$W$11,IF(AN197&lt;=Hypothèses!$V$12,Hypothèses!$W$12,IF(AN197&lt;=Hypothèses!$V$13,Hypothèses!$W$13,IF(AN197&lt;=Hypothèses!$V$14,Hypothèses!$W$14,IF(AN197&lt;=Hypothèses!$V$15,Hypothèses!$W$15,IF(AN197&lt;=Hypothèses!$V$16,Hypothèses!$W$16,IF(AN197&lt;=Hypothèses!$V$17,Hypothèses!$W$17,IF(AN197&lt;=Hypothèses!$V$18,Hypothèses!$W$18,""))))))))))))</f>
        <v>#DIV/0!</v>
      </c>
      <c r="BI197" s="87" t="e">
        <f t="shared" ca="1" si="318"/>
        <v>#DIV/0!</v>
      </c>
      <c r="BJ197" s="88" t="e">
        <f ca="1">IF(AN197&lt;=Hypothèses!$V$7,Hypothèses!$X$7,IF(AN197&lt;=Hypothèses!$V$8,Hypothèses!$X$8,IF(AN197&lt;=Hypothèses!$V$9,Hypothèses!$X$9,IF(AN197&lt;=Hypothèses!$V$10,Hypothèses!$X$10,IF(AN197&lt;=Hypothèses!$V$11,Hypothèses!$X$11,IF(AN197&lt;=Hypothèses!$V$12,Hypothèses!$X$12,IF(AN197&lt;=Hypothèses!$V$13,Hypothèses!$X$13,IF(AN197&lt;=Hypothèses!$V$14,Hypothèses!$X$14,IF(AN197&lt;=Hypothèses!$V$15,Hypothèses!$X$15,IF(AN197&lt;=Hypothèses!$V$16,Hypothèses!$X$16,IF(AN197&lt;=Hypothèses!$U$17,Hypothèses!$W$17,IF(AN197&lt;=Hypothèses!$U$18,Hypothèses!$W$18,""))))))))))))</f>
        <v>#DIV/0!</v>
      </c>
      <c r="BK197" s="95" t="e">
        <f t="shared" ca="1" si="277"/>
        <v>#DIV/0!</v>
      </c>
      <c r="BL197" s="101">
        <f t="shared" si="325"/>
        <v>0</v>
      </c>
      <c r="BM197" s="91">
        <f t="shared" si="244"/>
        <v>0</v>
      </c>
      <c r="BN197" s="30" t="e">
        <f t="shared" si="304"/>
        <v>#N/A</v>
      </c>
      <c r="BO197" s="30" t="e">
        <f t="shared" si="305"/>
        <v>#N/A</v>
      </c>
      <c r="BP197" s="31" t="e">
        <f>IF(OR(Hypothèses!$B$4=17,Hypothèses!$B$4=18,Hypothèses!$B$4=19,Hypothèses!$B$4=20),
IF($D197="Pressio.",
IF(OR($E197=3,$E197=1,$E197=4),BO197,BN197),
IF($D197="Pénétro.",
IF(OR($E197=3,$E197=1,$E197=4),BO197,BN197))),IF($D197="Pressio.",
IF($E197=3,BO197,BN197),
IF($D197="Pénétro.",
IF($E197=4,BO197,BN197))))</f>
        <v>#N/A</v>
      </c>
      <c r="BQ197" s="31">
        <v>0</v>
      </c>
      <c r="BR197" s="102" t="e">
        <f>IF(NDC!$H$10="Oui",(VLOOKUP($B$3,'Coeff EC7'!$T$39:$X$59,2,0)*BP197+VLOOKUP($B$3,'Coeff EC7'!$T$65:$X$85,2,0)*Model0.1T!BQ197)/1.5,PI()*BN$12*$Q197*($B197-$B196)*0.15/10+BR196)</f>
        <v>#N/A</v>
      </c>
      <c r="BS197" s="102" t="e">
        <f>(VLOOKUP($B$3,'Coeff EC7'!$T$39:$X$59,3,0)*BP197+VLOOKUP($B$3,'Coeff EC7'!$T$65:$X$85,3,0)*Model0.1T!BQ197)/1.1</f>
        <v>#N/A</v>
      </c>
      <c r="BT197" s="102" t="e">
        <f t="shared" si="278"/>
        <v>#N/A</v>
      </c>
      <c r="BU197" s="102" t="e">
        <f t="shared" si="279"/>
        <v>#N/A</v>
      </c>
      <c r="BV197" s="414" t="e">
        <f>IF(AND(BR197&gt;NDC!$C$63,BS197&gt;NDC!$C$65,BT197&gt;NDC!$D$73,BU197&gt;NDC!$D$74,$B197&gt;NDC!$H$22-0.1+MIN(3*BV$12,1.5)),0,1)</f>
        <v>#N/A</v>
      </c>
      <c r="BW197" s="86" t="b">
        <f t="shared" si="245"/>
        <v>0</v>
      </c>
      <c r="BX197" s="86">
        <f t="shared" si="246"/>
        <v>0.5</v>
      </c>
      <c r="BY197" s="86">
        <f t="shared" si="247"/>
        <v>0.5</v>
      </c>
      <c r="BZ197" s="30" t="e">
        <f t="shared" ca="1" si="280"/>
        <v>#DIV/0!</v>
      </c>
      <c r="CA197" s="85" t="e">
        <f ca="1">IF(BG197&lt;=Hypothèses!$V$7,Hypothèses!$W$7,IF(BG197&lt;=Hypothèses!$V$8,Hypothèses!$W$8,IF(BG197&lt;=Hypothèses!$V$9,Hypothèses!$W$9,IF(BG197&lt;=Hypothèses!$V$10,Hypothèses!$W$10,IF(BG197&lt;=Hypothèses!$V$11,Hypothèses!$W$11,IF(BG197&lt;=Hypothèses!$V$12,Hypothèses!$W$12,IF(BG197&lt;=Hypothèses!$V$13,Hypothèses!$W$13,IF(BG197&lt;=Hypothèses!$V$14,Hypothèses!$W$14,IF(BG197&lt;=Hypothèses!$V$15,Hypothèses!$W$15,IF(BG197&lt;=Hypothèses!$V$16,Hypothèses!$W$16,IF(BG197&lt;=Hypothèses!$V$17,Hypothèses!$W$17,IF(BG197&lt;=Hypothèses!$V$18,Hypothèses!$W$18,""))))))))))))</f>
        <v>#DIV/0!</v>
      </c>
      <c r="CB197" s="87" t="e">
        <f t="shared" ca="1" si="319"/>
        <v>#DIV/0!</v>
      </c>
      <c r="CC197" s="88" t="e">
        <f ca="1">IF(BG197&lt;=Hypothèses!$V$7,Hypothèses!$X$7,IF(BG197&lt;=Hypothèses!$V$8,Hypothèses!$X$8,IF(BG197&lt;=Hypothèses!$V$9,Hypothèses!$X$9,IF(BG197&lt;=Hypothèses!$V$10,Hypothèses!$X$10,IF(BG197&lt;=Hypothèses!$V$11,Hypothèses!$X$11,IF(BG197&lt;=Hypothèses!$V$12,Hypothèses!$X$12,IF(BG197&lt;=Hypothèses!$V$13,Hypothèses!$X$13,IF(BG197&lt;=Hypothèses!$V$14,Hypothèses!$X$14,IF(BG197&lt;=Hypothèses!$V$15,Hypothèses!$X$15,IF(BG197&lt;=Hypothèses!$V$16,Hypothèses!$X$16,IF(BG197&lt;=Hypothèses!$U$17,Hypothèses!$W$17,IF(BG197&lt;=Hypothèses!$U$18,Hypothèses!$W$18,""))))))))))))</f>
        <v>#DIV/0!</v>
      </c>
      <c r="CD197" s="95" t="e">
        <f t="shared" ca="1" si="281"/>
        <v>#DIV/0!</v>
      </c>
      <c r="CE197" s="101">
        <f t="shared" si="326"/>
        <v>0</v>
      </c>
      <c r="CF197" s="91">
        <f t="shared" si="248"/>
        <v>0</v>
      </c>
      <c r="CG197" s="30" t="e">
        <f t="shared" si="306"/>
        <v>#N/A</v>
      </c>
      <c r="CH197" s="30" t="e">
        <f t="shared" si="307"/>
        <v>#N/A</v>
      </c>
      <c r="CI197" s="31" t="e">
        <f>IF(OR(Hypothèses!$B$4=17,Hypothèses!$B$4=18,Hypothèses!$B$4=19,Hypothèses!$B$4=20),
IF($D197="Pressio.",
IF(OR($E197=3,$E197=1,$E197=4),CH197,CG197),
IF($D197="Pénétro.",
IF(OR($E197=3,$E197=1,$E197=4),CH197,CG197))),IF($D197="Pressio.",
IF($E197=3,CH197,CG197),
IF($D197="Pénétro.",
IF($E197=4,CH197,CG197))))</f>
        <v>#N/A</v>
      </c>
      <c r="CJ197" s="31">
        <v>0</v>
      </c>
      <c r="CK197" s="102" t="e">
        <f>IF(NDC!$H$10="Oui",(VLOOKUP($B$3,'Coeff EC7'!$T$39:$X$59,2,0)*CI197+VLOOKUP($B$3,'Coeff EC7'!$T$65:$X$85,2,0)*Model0.1T!CJ197)/1.5,PI()*CG$12*$Q197*($B197-$B196)*0.15/10+CK196)</f>
        <v>#N/A</v>
      </c>
      <c r="CL197" s="102" t="e">
        <f>(VLOOKUP($B$3,'Coeff EC7'!$T$39:$X$59,3,0)*CI197+VLOOKUP($B$3,'Coeff EC7'!$T$65:$X$85,3,0)*Model0.1T!CJ197)/1.1</f>
        <v>#N/A</v>
      </c>
      <c r="CM197" s="102" t="e">
        <f t="shared" si="282"/>
        <v>#N/A</v>
      </c>
      <c r="CN197" s="102" t="e">
        <f t="shared" si="283"/>
        <v>#N/A</v>
      </c>
      <c r="CO197" s="414" t="e">
        <f>IF(AND(CK197&gt;NDC!$C$63,CL197&gt;NDC!$C$65,CM197&gt;NDC!$D$73,CN197&gt;NDC!$D$74,$B197&gt;NDC!$H$22-0.1+MIN(3*CO$12,1.5)),0,1)</f>
        <v>#N/A</v>
      </c>
      <c r="CP197" s="86" t="b">
        <f t="shared" si="249"/>
        <v>0</v>
      </c>
      <c r="CQ197" s="86">
        <f t="shared" si="250"/>
        <v>0.5</v>
      </c>
      <c r="CR197" s="86">
        <f t="shared" si="251"/>
        <v>0.5</v>
      </c>
      <c r="CS197" s="30" t="e">
        <f t="shared" ca="1" si="284"/>
        <v>#DIV/0!</v>
      </c>
      <c r="CT197" s="85" t="e">
        <f ca="1">IF(BZ197&lt;=Hypothèses!$V$7,Hypothèses!$W$7,IF(BZ197&lt;=Hypothèses!$V$8,Hypothèses!$W$8,IF(BZ197&lt;=Hypothèses!$V$9,Hypothèses!$W$9,IF(BZ197&lt;=Hypothèses!$V$10,Hypothèses!$W$10,IF(BZ197&lt;=Hypothèses!$V$11,Hypothèses!$W$11,IF(BZ197&lt;=Hypothèses!$V$12,Hypothèses!$W$12,IF(BZ197&lt;=Hypothèses!$V$13,Hypothèses!$W$13,IF(BZ197&lt;=Hypothèses!$V$14,Hypothèses!$W$14,IF(BZ197&lt;=Hypothèses!$V$15,Hypothèses!$W$15,IF(BZ197&lt;=Hypothèses!$V$16,Hypothèses!$W$16,IF(BZ197&lt;=Hypothèses!$V$17,Hypothèses!$W$17,IF(BZ197&lt;=Hypothèses!$V$18,Hypothèses!$W$18,""))))))))))))</f>
        <v>#DIV/0!</v>
      </c>
      <c r="CU197" s="87" t="e">
        <f t="shared" ca="1" si="320"/>
        <v>#DIV/0!</v>
      </c>
      <c r="CV197" s="88" t="e">
        <f ca="1">IF(BZ197&lt;=Hypothèses!$V$7,Hypothèses!$X$7,IF(BZ197&lt;=Hypothèses!$V$8,Hypothèses!$X$8,IF(BZ197&lt;=Hypothèses!$V$9,Hypothèses!$X$9,IF(BZ197&lt;=Hypothèses!$V$10,Hypothèses!$X$10,IF(BZ197&lt;=Hypothèses!$V$11,Hypothèses!$X$11,IF(BZ197&lt;=Hypothèses!$V$12,Hypothèses!$X$12,IF(BZ197&lt;=Hypothèses!$V$13,Hypothèses!$X$13,IF(BZ197&lt;=Hypothèses!$V$14,Hypothèses!$X$14,IF(BZ197&lt;=Hypothèses!$V$15,Hypothèses!$X$15,IF(BZ197&lt;=Hypothèses!$V$16,Hypothèses!$X$16,IF(BZ197&lt;=Hypothèses!$U$17,Hypothèses!$W$17,IF(BZ197&lt;=Hypothèses!$U$18,Hypothèses!$W$18,""))))))))))))</f>
        <v>#DIV/0!</v>
      </c>
      <c r="CW197" s="95" t="e">
        <f t="shared" ca="1" si="285"/>
        <v>#DIV/0!</v>
      </c>
      <c r="CX197" s="101">
        <f t="shared" si="327"/>
        <v>0</v>
      </c>
      <c r="CY197" s="91">
        <f t="shared" si="252"/>
        <v>0</v>
      </c>
      <c r="CZ197" s="30" t="e">
        <f t="shared" si="308"/>
        <v>#N/A</v>
      </c>
      <c r="DA197" s="30" t="e">
        <f t="shared" si="309"/>
        <v>#N/A</v>
      </c>
      <c r="DB197" s="31" t="e">
        <f>IF(OR(Hypothèses!$B$4=17,Hypothèses!$B$4=18,Hypothèses!$B$4=19,Hypothèses!$B$4=20),
IF($D197="Pressio.",
IF(OR($E197=3,$E197=1,$E197=4),DA197,CZ197),
IF($D197="Pénétro.",
IF(OR($E197=3,$E197=1,$E197=4),DA197,CZ197))),IF($D197="Pressio.",
IF($E197=3,DA197,CZ197),
IF($D197="Pénétro.",
IF($E197=4,DA197,CZ197))))</f>
        <v>#N/A</v>
      </c>
      <c r="DC197" s="31">
        <v>0</v>
      </c>
      <c r="DD197" s="102" t="e">
        <f>IF(NDC!$H$10="Oui",(VLOOKUP($B$3,'Coeff EC7'!$T$39:$X$59,2,0)*DB197+VLOOKUP($B$3,'Coeff EC7'!$T$65:$X$85,2,0)*Model0.1T!DC197)/1.5,PI()*CZ$12*$Q197*($B197-$B196)*0.15/10+DD196)</f>
        <v>#N/A</v>
      </c>
      <c r="DE197" s="102" t="e">
        <f>(VLOOKUP($B$3,'Coeff EC7'!$T$39:$X$59,3,0)*DB197+VLOOKUP($B$3,'Coeff EC7'!$T$65:$X$85,3,0)*Model0.1T!DC197)/1.1</f>
        <v>#N/A</v>
      </c>
      <c r="DF197" s="102" t="e">
        <f t="shared" si="286"/>
        <v>#N/A</v>
      </c>
      <c r="DG197" s="102" t="e">
        <f t="shared" si="287"/>
        <v>#N/A</v>
      </c>
      <c r="DH197" s="414" t="e">
        <f>IF(AND(DD197&gt;NDC!$C$63,DE197&gt;NDC!$C$65,DF197&gt;NDC!$D$73,DG197&gt;NDC!$D$74,$B197&gt;NDC!$H$22-0.1+MIN(3*DH$12,1.5)),0,1)</f>
        <v>#N/A</v>
      </c>
      <c r="DI197" s="86" t="b">
        <f t="shared" si="253"/>
        <v>0</v>
      </c>
      <c r="DJ197" s="86">
        <f t="shared" si="254"/>
        <v>0.5</v>
      </c>
      <c r="DK197" s="86">
        <f t="shared" si="255"/>
        <v>0.5</v>
      </c>
      <c r="DL197" s="30" t="e">
        <f t="shared" ca="1" si="288"/>
        <v>#DIV/0!</v>
      </c>
      <c r="DM197" s="85" t="e">
        <f ca="1">IF(CS197&lt;=Hypothèses!$V$7,Hypothèses!$W$7,IF(CS197&lt;=Hypothèses!$V$8,Hypothèses!$W$8,IF(CS197&lt;=Hypothèses!$V$9,Hypothèses!$W$9,IF(CS197&lt;=Hypothèses!$V$10,Hypothèses!$W$10,IF(CS197&lt;=Hypothèses!$V$11,Hypothèses!$W$11,IF(CS197&lt;=Hypothèses!$V$12,Hypothèses!$W$12,IF(CS197&lt;=Hypothèses!$V$13,Hypothèses!$W$13,IF(CS197&lt;=Hypothèses!$V$14,Hypothèses!$W$14,IF(CS197&lt;=Hypothèses!$V$15,Hypothèses!$W$15,IF(CS197&lt;=Hypothèses!$V$16,Hypothèses!$W$16,IF(CS197&lt;=Hypothèses!$V$17,Hypothèses!$W$17,IF(CS197&lt;=Hypothèses!$V$18,Hypothèses!$W$18,""))))))))))))</f>
        <v>#DIV/0!</v>
      </c>
      <c r="DN197" s="87" t="e">
        <f t="shared" ca="1" si="321"/>
        <v>#DIV/0!</v>
      </c>
      <c r="DO197" s="88" t="e">
        <f ca="1">IF(CS197&lt;=Hypothèses!$V$7,Hypothèses!$X$7,IF(CS197&lt;=Hypothèses!$V$8,Hypothèses!$X$8,IF(CS197&lt;=Hypothèses!$V$9,Hypothèses!$X$9,IF(CS197&lt;=Hypothèses!$V$10,Hypothèses!$X$10,IF(CS197&lt;=Hypothèses!$V$11,Hypothèses!$X$11,IF(CS197&lt;=Hypothèses!$V$12,Hypothèses!$X$12,IF(CS197&lt;=Hypothèses!$V$13,Hypothèses!$X$13,IF(CS197&lt;=Hypothèses!$V$14,Hypothèses!$X$14,IF(CS197&lt;=Hypothèses!$V$15,Hypothèses!$X$15,IF(CS197&lt;=Hypothèses!$V$16,Hypothèses!$X$16,IF(CS197&lt;=Hypothèses!$U$17,Hypothèses!$W$17,IF(CS197&lt;=Hypothèses!$U$18,Hypothèses!$W$18,""))))))))))))</f>
        <v>#DIV/0!</v>
      </c>
      <c r="DP197" s="95" t="e">
        <f t="shared" ca="1" si="289"/>
        <v>#DIV/0!</v>
      </c>
      <c r="DQ197" s="101">
        <f t="shared" si="328"/>
        <v>0</v>
      </c>
      <c r="DR197" s="91">
        <f t="shared" si="256"/>
        <v>0</v>
      </c>
      <c r="DS197" s="30" t="e">
        <f t="shared" si="310"/>
        <v>#N/A</v>
      </c>
      <c r="DT197" s="30" t="e">
        <f t="shared" si="311"/>
        <v>#N/A</v>
      </c>
      <c r="DU197" s="31" t="e">
        <f>IF(OR(Hypothèses!$B$4=17,Hypothèses!$B$4=18,Hypothèses!$B$4=19,Hypothèses!$B$4=20),
IF($D197="Pressio.",
IF(OR($E197=3,$E197=1,$E197=4),DT197,DS197),
IF($D197="Pénétro.",
IF(OR($E197=3,$E197=1,$E197=4),DT197,DS197))),IF($D197="Pressio.",
IF($E197=3,DT197,DS197),
IF($D197="Pénétro.",
IF($E197=4,DT197,DS197))))</f>
        <v>#N/A</v>
      </c>
      <c r="DV197" s="31">
        <v>0</v>
      </c>
      <c r="DW197" s="102" t="e">
        <f>IF(NDC!$H$10="Oui",(VLOOKUP($B$3,'Coeff EC7'!$T$39:$X$59,2,0)*DU197+VLOOKUP($B$3,'Coeff EC7'!$T$65:$X$85,2,0)*Model0.1T!DV197)/1.5,PI()*DS$12*$Q197*($B197-$B196)*0.15/10+DW196)</f>
        <v>#N/A</v>
      </c>
      <c r="DX197" s="102" t="e">
        <f>(VLOOKUP($B$3,'Coeff EC7'!$T$39:$X$59,3,0)*DU197+VLOOKUP($B$3,'Coeff EC7'!$T$65:$X$85,3,0)*Model0.1T!DV197)/1.1</f>
        <v>#N/A</v>
      </c>
      <c r="DY197" s="102" t="e">
        <f t="shared" si="290"/>
        <v>#N/A</v>
      </c>
      <c r="DZ197" s="102" t="e">
        <f t="shared" si="291"/>
        <v>#N/A</v>
      </c>
      <c r="EA197" s="414" t="e">
        <f>IF(AND(DW197&gt;NDC!$C$63,DX197&gt;NDC!$C$65,DY197&gt;NDC!$D$73,DZ197&gt;NDC!$D$74,$B197&gt;NDC!$H$22-0.1+MIN(3*EA$12,1.5)),0,1)</f>
        <v>#N/A</v>
      </c>
      <c r="EB197" s="86" t="b">
        <f t="shared" si="257"/>
        <v>0</v>
      </c>
      <c r="EC197" s="418">
        <f t="shared" si="258"/>
        <v>0.51</v>
      </c>
      <c r="ED197" s="86">
        <f t="shared" si="259"/>
        <v>0.51</v>
      </c>
      <c r="EE197" s="30" t="e">
        <f t="shared" ca="1" si="292"/>
        <v>#DIV/0!</v>
      </c>
      <c r="EF197" s="85" t="e">
        <f ca="1">IF(DL197&lt;=Hypothèses!$V$7,Hypothèses!$W$7,IF(DL197&lt;=Hypothèses!$V$8,Hypothèses!$W$8,IF(DL197&lt;=Hypothèses!$V$9,Hypothèses!$W$9,IF(DL197&lt;=Hypothèses!$V$10,Hypothèses!$W$10,IF(DL197&lt;=Hypothèses!$V$11,Hypothèses!$W$11,IF(DL197&lt;=Hypothèses!$V$12,Hypothèses!$W$12,IF(DL197&lt;=Hypothèses!$V$13,Hypothèses!$W$13,IF(DL197&lt;=Hypothèses!$V$14,Hypothèses!$W$14,IF(DL197&lt;=Hypothèses!$V$15,Hypothèses!$W$15,IF(DL197&lt;=Hypothèses!$V$16,Hypothèses!$W$16,IF(DL197&lt;=Hypothèses!$V$17,Hypothèses!$W$17,IF(DL197&lt;=Hypothèses!$V$18,Hypothèses!$W$18,""))))))))))))</f>
        <v>#DIV/0!</v>
      </c>
      <c r="EG197" s="87" t="e">
        <f t="shared" ca="1" si="322"/>
        <v>#DIV/0!</v>
      </c>
      <c r="EH197" s="88" t="e">
        <f ca="1">IF(DL197&lt;=Hypothèses!$V$7,Hypothèses!$X$7,IF(DL197&lt;=Hypothèses!$V$8,Hypothèses!$X$8,IF(DL197&lt;=Hypothèses!$V$9,Hypothèses!$X$9,IF(DL197&lt;=Hypothèses!$V$10,Hypothèses!$X$10,IF(DL197&lt;=Hypothèses!$V$11,Hypothèses!$X$11,IF(DL197&lt;=Hypothèses!$V$12,Hypothèses!$X$12,IF(DL197&lt;=Hypothèses!$V$13,Hypothèses!$X$13,IF(DL197&lt;=Hypothèses!$V$14,Hypothèses!$X$14,IF(DL197&lt;=Hypothèses!$V$15,Hypothèses!$X$15,IF(DL197&lt;=Hypothèses!$V$16,Hypothèses!$X$16,IF(DL197&lt;=Hypothèses!$U$17,Hypothèses!$W$17,IF(DL197&lt;=Hypothèses!$U$18,Hypothèses!$W$18,""))))))))))))</f>
        <v>#DIV/0!</v>
      </c>
      <c r="EI197" s="95" t="e">
        <f t="shared" ca="1" si="293"/>
        <v>#DIV/0!</v>
      </c>
      <c r="EJ197" s="101">
        <f t="shared" si="329"/>
        <v>0</v>
      </c>
      <c r="EK197" s="91">
        <f t="shared" si="260"/>
        <v>0</v>
      </c>
      <c r="EL197" s="30" t="e">
        <f t="shared" si="312"/>
        <v>#N/A</v>
      </c>
      <c r="EM197" s="30" t="e">
        <f t="shared" si="313"/>
        <v>#N/A</v>
      </c>
      <c r="EN197" s="31" t="e">
        <f>IF(OR(Hypothèses!$B$4=17,Hypothèses!$B$4=18,Hypothèses!$B$4=19,Hypothèses!$B$4=20),
IF($D197="Pressio.",
IF(OR($E197=3,$E197=1,$E197=4),EM197,EL197),
IF($D197="Pénétro.",
IF(OR($E197=3,$E197=1,$E197=4),EM197,EL197))),IF($D197="Pressio.",
IF($E197=3,EM197,EL197),
IF($D197="Pénétro.",
IF($E197=4,EM197,EL197))))</f>
        <v>#N/A</v>
      </c>
      <c r="EO197" s="31">
        <v>0</v>
      </c>
      <c r="EP197" s="102" t="e">
        <f>IF(NDC!$H$10="Oui",(VLOOKUP($B$3,'Coeff EC7'!$T$39:$X$59,2,0)*EN197+VLOOKUP($B$3,'Coeff EC7'!$T$65:$X$85,2,0)*Model0.1T!EO197)/1.5,PI()*EL$12*$Q197*($B197-$B196)*0.15/10+EP196)</f>
        <v>#N/A</v>
      </c>
      <c r="EQ197" s="102" t="e">
        <f>(VLOOKUP($B$3,'Coeff EC7'!$T$39:$X$59,3,0)*EN197+VLOOKUP($B$3,'Coeff EC7'!$T$65:$X$85,3,0)*Model0.1T!EO197)/1.1</f>
        <v>#N/A</v>
      </c>
      <c r="ER197" s="102" t="e">
        <f t="shared" si="294"/>
        <v>#N/A</v>
      </c>
      <c r="ES197" s="102" t="e">
        <f t="shared" si="295"/>
        <v>#N/A</v>
      </c>
      <c r="ET197" s="414" t="e">
        <f>IF(AND(EP197&gt;NDC!$C$63,EQ197&gt;NDC!$C$65,ER197&gt;NDC!$D$73,ES197&gt;NDC!$D$74,$B197&gt;NDC!$H$22-0.1+MIN(3*ET$12,1.5)),0,1)</f>
        <v>#N/A</v>
      </c>
      <c r="EU197" s="86" t="b">
        <f t="shared" si="261"/>
        <v>0</v>
      </c>
      <c r="EV197" s="86">
        <f t="shared" si="262"/>
        <v>0.61</v>
      </c>
      <c r="EW197" s="86">
        <f t="shared" si="263"/>
        <v>0.61</v>
      </c>
      <c r="EX197" s="30" t="e">
        <f t="shared" ca="1" si="296"/>
        <v>#DIV/0!</v>
      </c>
      <c r="EY197" s="85" t="e">
        <f ca="1">IF(EE197&lt;=Hypothèses!$V$7,Hypothèses!$W$7,IF(EE197&lt;=Hypothèses!$V$8,Hypothèses!$W$8,IF(EE197&lt;=Hypothèses!$V$9,Hypothèses!$W$9,IF(EE197&lt;=Hypothèses!$V$10,Hypothèses!$W$10,IF(EE197&lt;=Hypothèses!$V$11,Hypothèses!$W$11,IF(EE197&lt;=Hypothèses!$V$12,Hypothèses!$W$12,IF(EE197&lt;=Hypothèses!$V$13,Hypothèses!$W$13,IF(EE197&lt;=Hypothèses!$V$14,Hypothèses!$W$14,IF(EE197&lt;=Hypothèses!$V$15,Hypothèses!$W$15,IF(EE197&lt;=Hypothèses!$V$16,Hypothèses!$W$16,IF(EE197&lt;=Hypothèses!$V$17,Hypothèses!$W$17,IF(EE197&lt;=Hypothèses!$V$18,Hypothèses!$W$18,""))))))))))))</f>
        <v>#DIV/0!</v>
      </c>
      <c r="EZ197" s="87" t="e">
        <f t="shared" ca="1" si="323"/>
        <v>#DIV/0!</v>
      </c>
      <c r="FA197" s="88" t="e">
        <f ca="1">IF(EE197&lt;=Hypothèses!$V$7,Hypothèses!$X$7,IF(EE197&lt;=Hypothèses!$V$8,Hypothèses!$X$8,IF(EE197&lt;=Hypothèses!$V$9,Hypothèses!$X$9,IF(EE197&lt;=Hypothèses!$V$10,Hypothèses!$X$10,IF(EE197&lt;=Hypothèses!$V$11,Hypothèses!$X$11,IF(EE197&lt;=Hypothèses!$V$12,Hypothèses!$X$12,IF(EE197&lt;=Hypothèses!$V$13,Hypothèses!$X$13,IF(EE197&lt;=Hypothèses!$V$14,Hypothèses!$X$14,IF(EE197&lt;=Hypothèses!$V$15,Hypothèses!$X$15,IF(EE197&lt;=Hypothèses!$V$16,Hypothèses!$X$16,IF(EE197&lt;=Hypothèses!$U$17,Hypothèses!$W$17,IF(EE197&lt;=Hypothèses!$U$18,Hypothèses!$W$18,""))))))))))))</f>
        <v>#DIV/0!</v>
      </c>
      <c r="FB197" s="95" t="e">
        <f t="shared" ca="1" si="297"/>
        <v>#DIV/0!</v>
      </c>
      <c r="FC197" s="101">
        <f t="shared" si="330"/>
        <v>0</v>
      </c>
      <c r="FD197" s="91">
        <f t="shared" si="264"/>
        <v>0</v>
      </c>
      <c r="FE197" s="30" t="e">
        <f t="shared" si="314"/>
        <v>#N/A</v>
      </c>
      <c r="FF197" s="30" t="e">
        <f t="shared" si="315"/>
        <v>#N/A</v>
      </c>
      <c r="FG197" s="31" t="e">
        <f>IF(OR(Hypothèses!$B$4=17,Hypothèses!$B$4=18,Hypothèses!$B$4=19,Hypothèses!$B$4=20),
IF($D197="Pressio.",
IF(OR($E197=3,$E197=1,$E197=4),FF197,FE197),
IF($D197="Pénétro.",
IF(OR($E197=3,$E197=1,$E197=4),FF197,FE197))),IF($D197="Pressio.",
IF($E197=3,FF197,FE197),
IF($D197="Pénétro.",
IF($E197=4,FF197,FE197))))</f>
        <v>#N/A</v>
      </c>
      <c r="FH197" s="31">
        <v>0</v>
      </c>
      <c r="FI197" s="102" t="e">
        <f>IF(NDC!$H$10="Oui",(VLOOKUP($B$3,'Coeff EC7'!$T$39:$X$59,2,0)*FG197+VLOOKUP($B$3,'Coeff EC7'!$T$65:$X$85,2,0)*Model0.1T!FH197)/1.5,PI()*FE$12*$Q197*($B197-$B196)*0.15/10+FI196)</f>
        <v>#N/A</v>
      </c>
      <c r="FJ197" s="102" t="e">
        <f>(VLOOKUP($B$3,'Coeff EC7'!$T$39:$X$59,3,0)*FG197+VLOOKUP($B$3,'Coeff EC7'!$T$65:$X$85,3,0)*Model0.1T!FH197)/1.1</f>
        <v>#N/A</v>
      </c>
      <c r="FK197" s="102" t="e">
        <f t="shared" si="298"/>
        <v>#N/A</v>
      </c>
      <c r="FL197" s="102" t="e">
        <f t="shared" si="299"/>
        <v>#N/A</v>
      </c>
      <c r="FM197" s="414" t="e">
        <f>IF(AND(FI197&gt;NDC!$C$63,FJ197&gt;NDC!$C$65,FK197&gt;NDC!$D$73,FL197&gt;NDC!$D$74,$B197&gt;NDC!$H$22-0.1+MIN(3*FM$12,1.5)),0,1)</f>
        <v>#N/A</v>
      </c>
    </row>
    <row r="198" spans="1:169">
      <c r="A198" s="96">
        <f t="shared" si="265"/>
        <v>81.500000000001052</v>
      </c>
      <c r="B198" s="97">
        <v>18.5</v>
      </c>
      <c r="C198" s="81">
        <f>IF(B198&lt;=Hypothèses!$C$7,Hypothèses!$A$7,IF(B198&lt;=Hypothèses!$C$8,Hypothèses!$A$8,IF(B198&lt;=Hypothèses!$C$9,Hypothèses!$A$9,IF(B198&lt;=Hypothèses!$C$10,Hypothèses!$A$10,IF(B198&lt;=Hypothèses!$C$11,Hypothèses!$A$11,IF(B198&lt;=Hypothèses!$C$12,Hypothèses!$A$12,IF(B198&lt;=Hypothèses!$C$13,Hypothèses!$A$13,IF(B198&lt;=Hypothèses!$C$14,Hypothèses!$A$14,IF(B198&lt;=Hypothèses!$C$15,Hypothèses!$A$15,IF(B198&lt;=Hypothèses!$C$16,Hypothèses!$A$16,IF(B198&lt;=Hypothèses!$C$17,Hypothèses!$A$17,IF(B198&lt;=Hypothèses!$C$18,Hypothèses!$A$18,C197))))))))))))</f>
        <v>11</v>
      </c>
      <c r="D198" s="82" t="str">
        <f>IF(B198&lt;=Hypothèses!$C$7,Hypothèses!$R$7,IF(B198&lt;=Hypothèses!$C$8,Hypothèses!$R$8,IF(B198&lt;=Hypothèses!$C$9,Hypothèses!$R$9,IF(B198&lt;=Hypothèses!$C$10,Hypothèses!$R$10,IF(B198&lt;=Hypothèses!$C$11,Hypothèses!$R$11,IF(B198&lt;=Hypothèses!$C$12,Hypothèses!$R$12,IF(B198&lt;=Hypothèses!$C$13,Hypothèses!$R$13,IF(B198&lt;=Hypothèses!$C$14,Hypothèses!$R$14,IF(B198&lt;=Hypothèses!$C$15,Hypothèses!$R$15,IF(B198&lt;=Hypothèses!$C$16,Hypothèses!$R$16,IF(B198&lt;=Hypothèses!$C$17,Hypothèses!$R$17,IF(B198&lt;=Hypothèses!$C$18,Hypothèses!$R$18,D197))))))))))))</f>
        <v>Pressio.</v>
      </c>
      <c r="E198" s="82" t="e">
        <f>IF(B198&lt;=Hypothèses!$C$7,Hypothèses!$G$7,IF(B198&lt;=Hypothèses!$C$8,Hypothèses!$G$8,IF(B198&lt;=Hypothèses!$C$9,Hypothèses!$G$9,IF(B198&lt;=Hypothèses!$C$10,Hypothèses!$G$10,IF(B198&lt;=Hypothèses!$C$11,Hypothèses!$G$11,IF(B198&lt;=Hypothèses!$C$12,Hypothèses!$G$12,IF(B198&lt;=Hypothèses!$C$13,Hypothèses!$G$13,IF(B198&lt;=Hypothèses!$C$14,Hypothèses!$G$14,IF(B198&lt;=Hypothèses!$C$15,Hypothèses!$G$15,IF(B198&lt;=Hypothèses!$C$16,Hypothèses!$G$16,IF(B198&lt;=Hypothèses!$C$17,Hypothèses!$G$17,IF(B198&lt;=Hypothèses!$C$18,Hypothèses!$G$18,E197))))))))))))</f>
        <v>#N/A</v>
      </c>
      <c r="F198" s="82" t="str">
        <f>IF(B198&lt;=Hypothèses!$C$7,Hypothèses!$F$7,IF(B198&lt;=Hypothèses!$C$8,Hypothèses!$F$8,IF(B198&lt;=Hypothèses!$C$9,Hypothèses!$F$9,IF(B198&lt;=Hypothèses!$C$10,Hypothèses!$F$10,IF(B198&lt;=Hypothèses!$C$11,Hypothèses!$F$11,IF(B198&lt;=Hypothèses!$C$12,Hypothèses!$F$12,IF(B198&lt;=Hypothèses!$C$13,Hypothèses!$F$13,IF(B198&lt;=Hypothèses!$C$14,Hypothèses!$F$14,IF(B198&lt;=Hypothèses!$C$15,Hypothèses!$F$15,IF(B198&lt;=Hypothèses!$C$16,Hypothèses!$F$16,IF(B198&lt;=Hypothèses!$C$17,Hypothèses!$F$17,IF(B198&lt;=Hypothèses!$C$18,Hypothèses!$F$18,F197))))))))))))</f>
        <v/>
      </c>
      <c r="G198" s="91">
        <f t="array" ref="G198">INDEX('Coeff EC7'!$U$7:$X$27,
MATCH(Model0.1T!$B$3,'Coeff EC7'!$T$7:$T$27,0),
MATCH(Model0.1T!$D198&amp;Model0.1T!$B$4,
'Coeff EC7'!$U$6:$X$6&amp;
'Coeff EC7'!$U$5:$X$5,0))</f>
        <v>1.4</v>
      </c>
      <c r="H198" s="91">
        <f t="array" ref="H198">INDEX('Coeff EC7'!$Y$7:$AB$27,
MATCH(Model0.1T!$B$3,'Coeff EC7'!$T$7:$T$27,0),
MATCH(Model0.1T!$D198&amp;Model0.1T!$B$4,
'Coeff EC7'!$Y$6:$AB$6&amp;
'Coeff EC7'!$Y$5:$AB$5,0))</f>
        <v>1.7</v>
      </c>
      <c r="I198" s="83">
        <v>0</v>
      </c>
      <c r="J198" s="91" t="e">
        <f t="array" ref="J198">INDEX('Coeff EC7'!$D$33:$Q$33,1,MATCH(D198&amp;E198,'Coeff EC7'!$D$31:$Q$31&amp;'Coeff EC7'!$D$32:$Q$32,0))</f>
        <v>#N/A</v>
      </c>
      <c r="K198" s="91" t="e">
        <f t="array" ref="K198">INDEX('Coeff EC7'!$D$34:$Q$34,1,MATCH(D198&amp;E198,'Coeff EC7'!$D$31:$Q$31&amp;'Coeff EC7'!$D$32:$Q$32,0))</f>
        <v>#N/A</v>
      </c>
      <c r="L198" s="91" t="e">
        <f t="array" ref="L198">INDEX('Coeff EC7'!$D$35:$Q$35,1,MATCH(D198&amp;E198,'Coeff EC7'!$D$31:$Q$31&amp;'Coeff EC7'!$D$32:$Q$32,0))</f>
        <v>#N/A</v>
      </c>
      <c r="M198" s="98" t="e">
        <f t="shared" si="231"/>
        <v>#N/A</v>
      </c>
      <c r="N198" s="99" t="e">
        <f t="array" ref="N198">INDEX('Coeff EC7'!$D$7:$Q$27,MATCH($B$3,'Coeff EC7'!$C$7:$C$27,0),MATCH(D198&amp;E198,'Coeff EC7'!$D$5:$Q$5&amp;'Coeff EC7'!$D$6:$Q$6,0))</f>
        <v>#N/A</v>
      </c>
      <c r="O198" s="99" t="e">
        <f t="array" ref="O198">INDEX('Coeff EC7'!$D$41:$Q$61,MATCH($B$3,'Coeff EC7'!$C$41:$C$61,0),MATCH(D198&amp;E198,'Coeff EC7'!$D$39:$Q$39&amp;'Coeff EC7'!$D$40:$Q$40,0))</f>
        <v>#N/A</v>
      </c>
      <c r="P198" s="30" t="e">
        <f t="shared" si="266"/>
        <v>#N/A</v>
      </c>
      <c r="Q198" s="100" t="e">
        <f t="shared" si="233"/>
        <v>#N/A</v>
      </c>
      <c r="R198" s="86" t="b">
        <f t="shared" si="234"/>
        <v>0</v>
      </c>
      <c r="S198" s="86">
        <f t="shared" si="232"/>
        <v>0.5</v>
      </c>
      <c r="T198" s="86">
        <f t="shared" si="235"/>
        <v>0.5</v>
      </c>
      <c r="U198" s="30" t="e">
        <f t="shared" ca="1" si="267"/>
        <v>#DIV/0!</v>
      </c>
      <c r="V198" s="85" t="str">
        <f>IF(B198&lt;=Hypothèses!$V$7,Hypothèses!$W$7,IF(B198&lt;=Hypothèses!$V$8,Hypothèses!$W$8,IF(B198&lt;=Hypothèses!$V$9,Hypothèses!$W$9,IF(B198&lt;=Hypothèses!$V$10,Hypothèses!$W$10,IF(B198&lt;=Hypothèses!$V$11,Hypothèses!$W$11,IF(B198&lt;=Hypothèses!$V$12,Hypothèses!$W$12,IF(B198&lt;=Hypothèses!$V$13,Hypothèses!$W$13,IF(B198&lt;=Hypothèses!$V$14,Hypothèses!$W$14,IF(B198&lt;=Hypothèses!$V$15,Hypothèses!$W$15,IF(B198&lt;=Hypothèses!$V$16,Hypothèses!$W$16,IF(B198&lt;=Hypothèses!$V$17,Hypothèses!$W$17,IF(B198&lt;=Hypothèses!$V$18,Hypothèses!$W$18,""))))))))))))</f>
        <v/>
      </c>
      <c r="W198" s="87" t="e">
        <f t="shared" ca="1" si="316"/>
        <v>#DIV/0!</v>
      </c>
      <c r="X198" s="88" t="str">
        <f>IF(B198&lt;=Hypothèses!$V$7,Hypothèses!$X$7,IF(B198&lt;=Hypothèses!$V$8,Hypothèses!$X$8,IF(B198&lt;=Hypothèses!$V$9,Hypothèses!$X$9,IF(B198&lt;=Hypothèses!$V$10,Hypothèses!$X$10,IF(B198&lt;=Hypothèses!$V$11,Hypothèses!$X$11,IF(B198&lt;=Hypothèses!$V$12,Hypothèses!$X$12,IF(B198&lt;=Hypothèses!$V$13,Hypothèses!$X$13,IF(B198&lt;=Hypothèses!$V$14,Hypothèses!$X$14,IF(B198&lt;=Hypothèses!$V$15,Hypothèses!$X$15,IF(B198&lt;=Hypothèses!$V$16,Hypothèses!$X$16,IF(B198&lt;=Hypothèses!$U$17,Hypothèses!$W$17,IF(B198&lt;=Hypothèses!$U$18,Hypothèses!$W$18,""))))))))))))</f>
        <v/>
      </c>
      <c r="Y198" s="95" t="e">
        <f t="shared" ca="1" si="236"/>
        <v>#DIV/0!</v>
      </c>
      <c r="Z198" s="101">
        <f t="shared" si="237"/>
        <v>0</v>
      </c>
      <c r="AA198" s="91">
        <f t="shared" si="238"/>
        <v>0</v>
      </c>
      <c r="AB198" s="30" t="e">
        <f t="shared" si="300"/>
        <v>#N/A</v>
      </c>
      <c r="AC198" s="30" t="e">
        <f t="shared" si="301"/>
        <v>#N/A</v>
      </c>
      <c r="AD198" s="31" t="e">
        <f>IF(OR(Hypothèses!$B$4=17,Hypothèses!$B$4=18,Hypothèses!$B$4=19,Hypothèses!$B$4=20),
IF($D198="Pressio.",
IF(OR($E198=3,$E198=1,$E198=4),AC198,AB198),
IF($D198="Pénétro.",
IF(OR($E198=3,$E198=1,$E198=4),AC198,AB198))),IF($D198="Pressio.",
IF($E198=3,AC198,AB198),
IF($D198="Pénétro.",
IF($E198=4,AC198,AB198))))</f>
        <v>#N/A</v>
      </c>
      <c r="AE198" s="31">
        <v>0</v>
      </c>
      <c r="AF198" s="102" t="e">
        <f>IF(NDC!$H$10="Oui",(VLOOKUP($B$3,'Coeff EC7'!$T$39:$X$59,2,0)*AD198+VLOOKUP($B$3,'Coeff EC7'!$T$65:$X$85,2,0)*Model0.1T!AE198)/1.5,PI()*AB$12*$Q198*($B198-$B197)*0.15/10+AF197)</f>
        <v>#N/A</v>
      </c>
      <c r="AG198" s="102" t="e">
        <f>(VLOOKUP($B$3,'Coeff EC7'!$T$39:$X$59,3,0)*AD198+VLOOKUP($B$3,'Coeff EC7'!$T$65:$X$85,3,0)*Model0.1T!AE198)/1.1</f>
        <v>#N/A</v>
      </c>
      <c r="AH198" s="102" t="e">
        <f t="shared" si="268"/>
        <v>#N/A</v>
      </c>
      <c r="AI198" s="102" t="e">
        <f t="shared" si="269"/>
        <v>#N/A</v>
      </c>
      <c r="AJ198" s="414" t="e">
        <f>IF(AND(AF198&gt;NDC!$C$63,AG198&gt;NDC!$C$65,AH198&gt;NDC!$D$73,AI198&gt;NDC!$D$74,$B198&gt;NDC!$H$22-0.1+MIN(3*$AJ$12,1.5)),0,1)</f>
        <v>#N/A</v>
      </c>
      <c r="AK198" s="86" t="b">
        <f t="shared" si="239"/>
        <v>0</v>
      </c>
      <c r="AL198" s="86">
        <f t="shared" si="270"/>
        <v>0.5</v>
      </c>
      <c r="AM198" s="86">
        <f t="shared" si="240"/>
        <v>0.5</v>
      </c>
      <c r="AN198" s="30" t="e">
        <f t="shared" ca="1" si="271"/>
        <v>#DIV/0!</v>
      </c>
      <c r="AO198" s="85" t="e">
        <f ca="1">IF(U198&lt;=Hypothèses!$V$7,Hypothèses!$W$7,IF(U198&lt;=Hypothèses!$V$8,Hypothèses!$W$8,IF(U198&lt;=Hypothèses!$V$9,Hypothèses!$W$9,IF(U198&lt;=Hypothèses!$V$10,Hypothèses!$W$10,IF(U198&lt;=Hypothèses!$V$11,Hypothèses!$W$11,IF(U198&lt;=Hypothèses!$V$12,Hypothèses!$W$12,IF(U198&lt;=Hypothèses!$V$13,Hypothèses!$W$13,IF(U198&lt;=Hypothèses!$V$14,Hypothèses!$W$14,IF(U198&lt;=Hypothèses!$V$15,Hypothèses!$W$15,IF(U198&lt;=Hypothèses!$V$16,Hypothèses!$W$16,IF(U198&lt;=Hypothèses!$V$17,Hypothèses!$W$17,IF(U198&lt;=Hypothèses!$V$18,Hypothèses!$W$18,""))))))))))))</f>
        <v>#DIV/0!</v>
      </c>
      <c r="AP198" s="87" t="e">
        <f t="shared" ca="1" si="317"/>
        <v>#DIV/0!</v>
      </c>
      <c r="AQ198" s="88" t="e">
        <f ca="1">IF(U198&lt;=Hypothèses!$V$7,Hypothèses!$X$7,IF(U198&lt;=Hypothèses!$V$8,Hypothèses!$X$8,IF(U198&lt;=Hypothèses!$V$9,Hypothèses!$X$9,IF(U198&lt;=Hypothèses!$V$10,Hypothèses!$X$10,IF(U198&lt;=Hypothèses!$V$11,Hypothèses!$X$11,IF(U198&lt;=Hypothèses!$V$12,Hypothèses!$X$12,IF(U198&lt;=Hypothèses!$V$13,Hypothèses!$X$13,IF(U198&lt;=Hypothèses!$V$14,Hypothèses!$X$14,IF(U198&lt;=Hypothèses!$V$15,Hypothèses!$X$15,IF(U198&lt;=Hypothèses!$V$16,Hypothèses!$X$16,IF(U198&lt;=Hypothèses!$U$17,Hypothèses!$W$17,IF(U198&lt;=Hypothèses!$U$18,Hypothèses!$W$18,""))))))))))))</f>
        <v>#DIV/0!</v>
      </c>
      <c r="AR198" s="95" t="e">
        <f t="shared" ca="1" si="272"/>
        <v>#DIV/0!</v>
      </c>
      <c r="AS198" s="101">
        <f t="shared" si="324"/>
        <v>0</v>
      </c>
      <c r="AT198" s="91">
        <f t="shared" si="241"/>
        <v>0</v>
      </c>
      <c r="AU198" s="30" t="e">
        <f t="shared" si="302"/>
        <v>#N/A</v>
      </c>
      <c r="AV198" s="30" t="e">
        <f t="shared" si="303"/>
        <v>#N/A</v>
      </c>
      <c r="AW198" s="31" t="e">
        <f>IF(OR(Hypothèses!$B$4=17,Hypothèses!$B$4=18,Hypothèses!$B$4=19,Hypothèses!$B$4=20),
IF($D198="Pressio.",
IF(OR($E198=3,$E198=1,$E198=4),AV198,AU198),
IF($D198="Pénétro.",
IF(OR($E198=3,$E198=1,$E198=4),AV198,AU198))),IF($D198="Pressio.",
IF($E198=3,AV198,AU198),
IF($D198="Pénétro.",
IF($E198=4,AV198,AU198))))</f>
        <v>#N/A</v>
      </c>
      <c r="AX198" s="31">
        <v>0</v>
      </c>
      <c r="AY198" s="102" t="e">
        <f>IF(NDC!$H$10="Oui",(VLOOKUP($B$3,'Coeff EC7'!$T$39:$X$59,2,0)*AW198+VLOOKUP($B$3,'Coeff EC7'!$T$65:$X$85,2,0)*Model0.1T!AX198)/1.5,PI()*AU$12*$Q198*($B198-$B197)*0.15/10+AY197)</f>
        <v>#N/A</v>
      </c>
      <c r="AZ198" s="102" t="e">
        <f>(VLOOKUP($B$3,'Coeff EC7'!$T$39:$X$59,3,0)*AW198+VLOOKUP($B$3,'Coeff EC7'!$T$65:$X$85,3,0)*Model0.1T!AX198)/1.1</f>
        <v>#N/A</v>
      </c>
      <c r="BA198" s="102" t="e">
        <f t="shared" si="273"/>
        <v>#N/A</v>
      </c>
      <c r="BB198" s="102" t="e">
        <f t="shared" si="274"/>
        <v>#N/A</v>
      </c>
      <c r="BC198" s="414" t="e">
        <f>IF(AND(AY198&gt;NDC!$C$63,AZ198&gt;NDC!$C$65,BA198&gt;NDC!$D$73,BB198&gt;NDC!$D$74,$B198&gt;NDC!$H$22-0.1+MIN(3*BC$12,1.5)),0,1)</f>
        <v>#N/A</v>
      </c>
      <c r="BD198" s="86" t="b">
        <f t="shared" si="242"/>
        <v>0</v>
      </c>
      <c r="BE198" s="86">
        <f t="shared" si="275"/>
        <v>0.5</v>
      </c>
      <c r="BF198" s="86">
        <f t="shared" si="243"/>
        <v>0.5</v>
      </c>
      <c r="BG198" s="30" t="e">
        <f t="shared" ca="1" si="276"/>
        <v>#DIV/0!</v>
      </c>
      <c r="BH198" s="85" t="e">
        <f ca="1">IF(AN198&lt;=Hypothèses!$V$7,Hypothèses!$W$7,IF(AN198&lt;=Hypothèses!$V$8,Hypothèses!$W$8,IF(AN198&lt;=Hypothèses!$V$9,Hypothèses!$W$9,IF(AN198&lt;=Hypothèses!$V$10,Hypothèses!$W$10,IF(AN198&lt;=Hypothèses!$V$11,Hypothèses!$W$11,IF(AN198&lt;=Hypothèses!$V$12,Hypothèses!$W$12,IF(AN198&lt;=Hypothèses!$V$13,Hypothèses!$W$13,IF(AN198&lt;=Hypothèses!$V$14,Hypothèses!$W$14,IF(AN198&lt;=Hypothèses!$V$15,Hypothèses!$W$15,IF(AN198&lt;=Hypothèses!$V$16,Hypothèses!$W$16,IF(AN198&lt;=Hypothèses!$V$17,Hypothèses!$W$17,IF(AN198&lt;=Hypothèses!$V$18,Hypothèses!$W$18,""))))))))))))</f>
        <v>#DIV/0!</v>
      </c>
      <c r="BI198" s="87" t="e">
        <f t="shared" ca="1" si="318"/>
        <v>#DIV/0!</v>
      </c>
      <c r="BJ198" s="88" t="e">
        <f ca="1">IF(AN198&lt;=Hypothèses!$V$7,Hypothèses!$X$7,IF(AN198&lt;=Hypothèses!$V$8,Hypothèses!$X$8,IF(AN198&lt;=Hypothèses!$V$9,Hypothèses!$X$9,IF(AN198&lt;=Hypothèses!$V$10,Hypothèses!$X$10,IF(AN198&lt;=Hypothèses!$V$11,Hypothèses!$X$11,IF(AN198&lt;=Hypothèses!$V$12,Hypothèses!$X$12,IF(AN198&lt;=Hypothèses!$V$13,Hypothèses!$X$13,IF(AN198&lt;=Hypothèses!$V$14,Hypothèses!$X$14,IF(AN198&lt;=Hypothèses!$V$15,Hypothèses!$X$15,IF(AN198&lt;=Hypothèses!$V$16,Hypothèses!$X$16,IF(AN198&lt;=Hypothèses!$U$17,Hypothèses!$W$17,IF(AN198&lt;=Hypothèses!$U$18,Hypothèses!$W$18,""))))))))))))</f>
        <v>#DIV/0!</v>
      </c>
      <c r="BK198" s="95" t="e">
        <f t="shared" ca="1" si="277"/>
        <v>#DIV/0!</v>
      </c>
      <c r="BL198" s="101">
        <f t="shared" si="325"/>
        <v>0</v>
      </c>
      <c r="BM198" s="91">
        <f t="shared" si="244"/>
        <v>0</v>
      </c>
      <c r="BN198" s="30" t="e">
        <f t="shared" si="304"/>
        <v>#N/A</v>
      </c>
      <c r="BO198" s="30" t="e">
        <f t="shared" si="305"/>
        <v>#N/A</v>
      </c>
      <c r="BP198" s="31" t="e">
        <f>IF(OR(Hypothèses!$B$4=17,Hypothèses!$B$4=18,Hypothèses!$B$4=19,Hypothèses!$B$4=20),
IF($D198="Pressio.",
IF(OR($E198=3,$E198=1,$E198=4),BO198,BN198),
IF($D198="Pénétro.",
IF(OR($E198=3,$E198=1,$E198=4),BO198,BN198))),IF($D198="Pressio.",
IF($E198=3,BO198,BN198),
IF($D198="Pénétro.",
IF($E198=4,BO198,BN198))))</f>
        <v>#N/A</v>
      </c>
      <c r="BQ198" s="31">
        <v>0</v>
      </c>
      <c r="BR198" s="102" t="e">
        <f>IF(NDC!$H$10="Oui",(VLOOKUP($B$3,'Coeff EC7'!$T$39:$X$59,2,0)*BP198+VLOOKUP($B$3,'Coeff EC7'!$T$65:$X$85,2,0)*Model0.1T!BQ198)/1.5,PI()*BN$12*$Q198*($B198-$B197)*0.15/10+BR197)</f>
        <v>#N/A</v>
      </c>
      <c r="BS198" s="102" t="e">
        <f>(VLOOKUP($B$3,'Coeff EC7'!$T$39:$X$59,3,0)*BP198+VLOOKUP($B$3,'Coeff EC7'!$T$65:$X$85,3,0)*Model0.1T!BQ198)/1.1</f>
        <v>#N/A</v>
      </c>
      <c r="BT198" s="102" t="e">
        <f t="shared" si="278"/>
        <v>#N/A</v>
      </c>
      <c r="BU198" s="102" t="e">
        <f t="shared" si="279"/>
        <v>#N/A</v>
      </c>
      <c r="BV198" s="414" t="e">
        <f>IF(AND(BR198&gt;NDC!$C$63,BS198&gt;NDC!$C$65,BT198&gt;NDC!$D$73,BU198&gt;NDC!$D$74,$B198&gt;NDC!$H$22-0.1+MIN(3*BV$12,1.5)),0,1)</f>
        <v>#N/A</v>
      </c>
      <c r="BW198" s="86" t="b">
        <f t="shared" si="245"/>
        <v>0</v>
      </c>
      <c r="BX198" s="86">
        <f t="shared" si="246"/>
        <v>0.5</v>
      </c>
      <c r="BY198" s="86">
        <f t="shared" si="247"/>
        <v>0.5</v>
      </c>
      <c r="BZ198" s="30" t="e">
        <f t="shared" ca="1" si="280"/>
        <v>#DIV/0!</v>
      </c>
      <c r="CA198" s="85" t="e">
        <f ca="1">IF(BG198&lt;=Hypothèses!$V$7,Hypothèses!$W$7,IF(BG198&lt;=Hypothèses!$V$8,Hypothèses!$W$8,IF(BG198&lt;=Hypothèses!$V$9,Hypothèses!$W$9,IF(BG198&lt;=Hypothèses!$V$10,Hypothèses!$W$10,IF(BG198&lt;=Hypothèses!$V$11,Hypothèses!$W$11,IF(BG198&lt;=Hypothèses!$V$12,Hypothèses!$W$12,IF(BG198&lt;=Hypothèses!$V$13,Hypothèses!$W$13,IF(BG198&lt;=Hypothèses!$V$14,Hypothèses!$W$14,IF(BG198&lt;=Hypothèses!$V$15,Hypothèses!$W$15,IF(BG198&lt;=Hypothèses!$V$16,Hypothèses!$W$16,IF(BG198&lt;=Hypothèses!$V$17,Hypothèses!$W$17,IF(BG198&lt;=Hypothèses!$V$18,Hypothèses!$W$18,""))))))))))))</f>
        <v>#DIV/0!</v>
      </c>
      <c r="CB198" s="87" t="e">
        <f t="shared" ca="1" si="319"/>
        <v>#DIV/0!</v>
      </c>
      <c r="CC198" s="88" t="e">
        <f ca="1">IF(BG198&lt;=Hypothèses!$V$7,Hypothèses!$X$7,IF(BG198&lt;=Hypothèses!$V$8,Hypothèses!$X$8,IF(BG198&lt;=Hypothèses!$V$9,Hypothèses!$X$9,IF(BG198&lt;=Hypothèses!$V$10,Hypothèses!$X$10,IF(BG198&lt;=Hypothèses!$V$11,Hypothèses!$X$11,IF(BG198&lt;=Hypothèses!$V$12,Hypothèses!$X$12,IF(BG198&lt;=Hypothèses!$V$13,Hypothèses!$X$13,IF(BG198&lt;=Hypothèses!$V$14,Hypothèses!$X$14,IF(BG198&lt;=Hypothèses!$V$15,Hypothèses!$X$15,IF(BG198&lt;=Hypothèses!$V$16,Hypothèses!$X$16,IF(BG198&lt;=Hypothèses!$U$17,Hypothèses!$W$17,IF(BG198&lt;=Hypothèses!$U$18,Hypothèses!$W$18,""))))))))))))</f>
        <v>#DIV/0!</v>
      </c>
      <c r="CD198" s="95" t="e">
        <f t="shared" ca="1" si="281"/>
        <v>#DIV/0!</v>
      </c>
      <c r="CE198" s="101">
        <f t="shared" si="326"/>
        <v>0</v>
      </c>
      <c r="CF198" s="91">
        <f t="shared" si="248"/>
        <v>0</v>
      </c>
      <c r="CG198" s="30" t="e">
        <f t="shared" si="306"/>
        <v>#N/A</v>
      </c>
      <c r="CH198" s="30" t="e">
        <f t="shared" si="307"/>
        <v>#N/A</v>
      </c>
      <c r="CI198" s="31" t="e">
        <f>IF(OR(Hypothèses!$B$4=17,Hypothèses!$B$4=18,Hypothèses!$B$4=19,Hypothèses!$B$4=20),
IF($D198="Pressio.",
IF(OR($E198=3,$E198=1,$E198=4),CH198,CG198),
IF($D198="Pénétro.",
IF(OR($E198=3,$E198=1,$E198=4),CH198,CG198))),IF($D198="Pressio.",
IF($E198=3,CH198,CG198),
IF($D198="Pénétro.",
IF($E198=4,CH198,CG198))))</f>
        <v>#N/A</v>
      </c>
      <c r="CJ198" s="31">
        <v>0</v>
      </c>
      <c r="CK198" s="102" t="e">
        <f>IF(NDC!$H$10="Oui",(VLOOKUP($B$3,'Coeff EC7'!$T$39:$X$59,2,0)*CI198+VLOOKUP($B$3,'Coeff EC7'!$T$65:$X$85,2,0)*Model0.1T!CJ198)/1.5,PI()*CG$12*$Q198*($B198-$B197)*0.15/10+CK197)</f>
        <v>#N/A</v>
      </c>
      <c r="CL198" s="102" t="e">
        <f>(VLOOKUP($B$3,'Coeff EC7'!$T$39:$X$59,3,0)*CI198+VLOOKUP($B$3,'Coeff EC7'!$T$65:$X$85,3,0)*Model0.1T!CJ198)/1.1</f>
        <v>#N/A</v>
      </c>
      <c r="CM198" s="102" t="e">
        <f t="shared" si="282"/>
        <v>#N/A</v>
      </c>
      <c r="CN198" s="102" t="e">
        <f t="shared" si="283"/>
        <v>#N/A</v>
      </c>
      <c r="CO198" s="414" t="e">
        <f>IF(AND(CK198&gt;NDC!$C$63,CL198&gt;NDC!$C$65,CM198&gt;NDC!$D$73,CN198&gt;NDC!$D$74,$B198&gt;NDC!$H$22-0.1+MIN(3*CO$12,1.5)),0,1)</f>
        <v>#N/A</v>
      </c>
      <c r="CP198" s="86" t="b">
        <f t="shared" si="249"/>
        <v>0</v>
      </c>
      <c r="CQ198" s="86">
        <f t="shared" si="250"/>
        <v>0.5</v>
      </c>
      <c r="CR198" s="86">
        <f t="shared" si="251"/>
        <v>0.5</v>
      </c>
      <c r="CS198" s="30" t="e">
        <f t="shared" ca="1" si="284"/>
        <v>#DIV/0!</v>
      </c>
      <c r="CT198" s="85" t="e">
        <f ca="1">IF(BZ198&lt;=Hypothèses!$V$7,Hypothèses!$W$7,IF(BZ198&lt;=Hypothèses!$V$8,Hypothèses!$W$8,IF(BZ198&lt;=Hypothèses!$V$9,Hypothèses!$W$9,IF(BZ198&lt;=Hypothèses!$V$10,Hypothèses!$W$10,IF(BZ198&lt;=Hypothèses!$V$11,Hypothèses!$W$11,IF(BZ198&lt;=Hypothèses!$V$12,Hypothèses!$W$12,IF(BZ198&lt;=Hypothèses!$V$13,Hypothèses!$W$13,IF(BZ198&lt;=Hypothèses!$V$14,Hypothèses!$W$14,IF(BZ198&lt;=Hypothèses!$V$15,Hypothèses!$W$15,IF(BZ198&lt;=Hypothèses!$V$16,Hypothèses!$W$16,IF(BZ198&lt;=Hypothèses!$V$17,Hypothèses!$W$17,IF(BZ198&lt;=Hypothèses!$V$18,Hypothèses!$W$18,""))))))))))))</f>
        <v>#DIV/0!</v>
      </c>
      <c r="CU198" s="87" t="e">
        <f t="shared" ca="1" si="320"/>
        <v>#DIV/0!</v>
      </c>
      <c r="CV198" s="88" t="e">
        <f ca="1">IF(BZ198&lt;=Hypothèses!$V$7,Hypothèses!$X$7,IF(BZ198&lt;=Hypothèses!$V$8,Hypothèses!$X$8,IF(BZ198&lt;=Hypothèses!$V$9,Hypothèses!$X$9,IF(BZ198&lt;=Hypothèses!$V$10,Hypothèses!$X$10,IF(BZ198&lt;=Hypothèses!$V$11,Hypothèses!$X$11,IF(BZ198&lt;=Hypothèses!$V$12,Hypothèses!$X$12,IF(BZ198&lt;=Hypothèses!$V$13,Hypothèses!$X$13,IF(BZ198&lt;=Hypothèses!$V$14,Hypothèses!$X$14,IF(BZ198&lt;=Hypothèses!$V$15,Hypothèses!$X$15,IF(BZ198&lt;=Hypothèses!$V$16,Hypothèses!$X$16,IF(BZ198&lt;=Hypothèses!$U$17,Hypothèses!$W$17,IF(BZ198&lt;=Hypothèses!$U$18,Hypothèses!$W$18,""))))))))))))</f>
        <v>#DIV/0!</v>
      </c>
      <c r="CW198" s="95" t="e">
        <f t="shared" ca="1" si="285"/>
        <v>#DIV/0!</v>
      </c>
      <c r="CX198" s="101">
        <f t="shared" si="327"/>
        <v>0</v>
      </c>
      <c r="CY198" s="91">
        <f t="shared" si="252"/>
        <v>0</v>
      </c>
      <c r="CZ198" s="30" t="e">
        <f t="shared" si="308"/>
        <v>#N/A</v>
      </c>
      <c r="DA198" s="30" t="e">
        <f t="shared" si="309"/>
        <v>#N/A</v>
      </c>
      <c r="DB198" s="31" t="e">
        <f>IF(OR(Hypothèses!$B$4=17,Hypothèses!$B$4=18,Hypothèses!$B$4=19,Hypothèses!$B$4=20),
IF($D198="Pressio.",
IF(OR($E198=3,$E198=1,$E198=4),DA198,CZ198),
IF($D198="Pénétro.",
IF(OR($E198=3,$E198=1,$E198=4),DA198,CZ198))),IF($D198="Pressio.",
IF($E198=3,DA198,CZ198),
IF($D198="Pénétro.",
IF($E198=4,DA198,CZ198))))</f>
        <v>#N/A</v>
      </c>
      <c r="DC198" s="31">
        <v>0</v>
      </c>
      <c r="DD198" s="102" t="e">
        <f>IF(NDC!$H$10="Oui",(VLOOKUP($B$3,'Coeff EC7'!$T$39:$X$59,2,0)*DB198+VLOOKUP($B$3,'Coeff EC7'!$T$65:$X$85,2,0)*Model0.1T!DC198)/1.5,PI()*CZ$12*$Q198*($B198-$B197)*0.15/10+DD197)</f>
        <v>#N/A</v>
      </c>
      <c r="DE198" s="102" t="e">
        <f>(VLOOKUP($B$3,'Coeff EC7'!$T$39:$X$59,3,0)*DB198+VLOOKUP($B$3,'Coeff EC7'!$T$65:$X$85,3,0)*Model0.1T!DC198)/1.1</f>
        <v>#N/A</v>
      </c>
      <c r="DF198" s="102" t="e">
        <f t="shared" si="286"/>
        <v>#N/A</v>
      </c>
      <c r="DG198" s="102" t="e">
        <f t="shared" si="287"/>
        <v>#N/A</v>
      </c>
      <c r="DH198" s="414" t="e">
        <f>IF(AND(DD198&gt;NDC!$C$63,DE198&gt;NDC!$C$65,DF198&gt;NDC!$D$73,DG198&gt;NDC!$D$74,$B198&gt;NDC!$H$22-0.1+MIN(3*DH$12,1.5)),0,1)</f>
        <v>#N/A</v>
      </c>
      <c r="DI198" s="86" t="b">
        <f t="shared" si="253"/>
        <v>0</v>
      </c>
      <c r="DJ198" s="86">
        <f t="shared" si="254"/>
        <v>0.5</v>
      </c>
      <c r="DK198" s="86">
        <f t="shared" si="255"/>
        <v>0.5</v>
      </c>
      <c r="DL198" s="30" t="e">
        <f t="shared" ca="1" si="288"/>
        <v>#DIV/0!</v>
      </c>
      <c r="DM198" s="85" t="e">
        <f ca="1">IF(CS198&lt;=Hypothèses!$V$7,Hypothèses!$W$7,IF(CS198&lt;=Hypothèses!$V$8,Hypothèses!$W$8,IF(CS198&lt;=Hypothèses!$V$9,Hypothèses!$W$9,IF(CS198&lt;=Hypothèses!$V$10,Hypothèses!$W$10,IF(CS198&lt;=Hypothèses!$V$11,Hypothèses!$W$11,IF(CS198&lt;=Hypothèses!$V$12,Hypothèses!$W$12,IF(CS198&lt;=Hypothèses!$V$13,Hypothèses!$W$13,IF(CS198&lt;=Hypothèses!$V$14,Hypothèses!$W$14,IF(CS198&lt;=Hypothèses!$V$15,Hypothèses!$W$15,IF(CS198&lt;=Hypothèses!$V$16,Hypothèses!$W$16,IF(CS198&lt;=Hypothèses!$V$17,Hypothèses!$W$17,IF(CS198&lt;=Hypothèses!$V$18,Hypothèses!$W$18,""))))))))))))</f>
        <v>#DIV/0!</v>
      </c>
      <c r="DN198" s="87" t="e">
        <f t="shared" ca="1" si="321"/>
        <v>#DIV/0!</v>
      </c>
      <c r="DO198" s="88" t="e">
        <f ca="1">IF(CS198&lt;=Hypothèses!$V$7,Hypothèses!$X$7,IF(CS198&lt;=Hypothèses!$V$8,Hypothèses!$X$8,IF(CS198&lt;=Hypothèses!$V$9,Hypothèses!$X$9,IF(CS198&lt;=Hypothèses!$V$10,Hypothèses!$X$10,IF(CS198&lt;=Hypothèses!$V$11,Hypothèses!$X$11,IF(CS198&lt;=Hypothèses!$V$12,Hypothèses!$X$12,IF(CS198&lt;=Hypothèses!$V$13,Hypothèses!$X$13,IF(CS198&lt;=Hypothèses!$V$14,Hypothèses!$X$14,IF(CS198&lt;=Hypothèses!$V$15,Hypothèses!$X$15,IF(CS198&lt;=Hypothèses!$V$16,Hypothèses!$X$16,IF(CS198&lt;=Hypothèses!$U$17,Hypothèses!$W$17,IF(CS198&lt;=Hypothèses!$U$18,Hypothèses!$W$18,""))))))))))))</f>
        <v>#DIV/0!</v>
      </c>
      <c r="DP198" s="95" t="e">
        <f t="shared" ca="1" si="289"/>
        <v>#DIV/0!</v>
      </c>
      <c r="DQ198" s="101">
        <f t="shared" si="328"/>
        <v>0</v>
      </c>
      <c r="DR198" s="91">
        <f t="shared" si="256"/>
        <v>0</v>
      </c>
      <c r="DS198" s="30" t="e">
        <f t="shared" si="310"/>
        <v>#N/A</v>
      </c>
      <c r="DT198" s="30" t="e">
        <f t="shared" si="311"/>
        <v>#N/A</v>
      </c>
      <c r="DU198" s="31" t="e">
        <f>IF(OR(Hypothèses!$B$4=17,Hypothèses!$B$4=18,Hypothèses!$B$4=19,Hypothèses!$B$4=20),
IF($D198="Pressio.",
IF(OR($E198=3,$E198=1,$E198=4),DT198,DS198),
IF($D198="Pénétro.",
IF(OR($E198=3,$E198=1,$E198=4),DT198,DS198))),IF($D198="Pressio.",
IF($E198=3,DT198,DS198),
IF($D198="Pénétro.",
IF($E198=4,DT198,DS198))))</f>
        <v>#N/A</v>
      </c>
      <c r="DV198" s="31">
        <v>0</v>
      </c>
      <c r="DW198" s="102" t="e">
        <f>IF(NDC!$H$10="Oui",(VLOOKUP($B$3,'Coeff EC7'!$T$39:$X$59,2,0)*DU198+VLOOKUP($B$3,'Coeff EC7'!$T$65:$X$85,2,0)*Model0.1T!DV198)/1.5,PI()*DS$12*$Q198*($B198-$B197)*0.15/10+DW197)</f>
        <v>#N/A</v>
      </c>
      <c r="DX198" s="102" t="e">
        <f>(VLOOKUP($B$3,'Coeff EC7'!$T$39:$X$59,3,0)*DU198+VLOOKUP($B$3,'Coeff EC7'!$T$65:$X$85,3,0)*Model0.1T!DV198)/1.1</f>
        <v>#N/A</v>
      </c>
      <c r="DY198" s="102" t="e">
        <f t="shared" si="290"/>
        <v>#N/A</v>
      </c>
      <c r="DZ198" s="102" t="e">
        <f t="shared" si="291"/>
        <v>#N/A</v>
      </c>
      <c r="EA198" s="414" t="e">
        <f>IF(AND(DW198&gt;NDC!$C$63,DX198&gt;NDC!$C$65,DY198&gt;NDC!$D$73,DZ198&gt;NDC!$D$74,$B198&gt;NDC!$H$22-0.1+MIN(3*EA$12,1.5)),0,1)</f>
        <v>#N/A</v>
      </c>
      <c r="EB198" s="86" t="b">
        <f t="shared" si="257"/>
        <v>0</v>
      </c>
      <c r="EC198" s="418">
        <f t="shared" si="258"/>
        <v>0.51</v>
      </c>
      <c r="ED198" s="86">
        <f t="shared" si="259"/>
        <v>0.51</v>
      </c>
      <c r="EE198" s="30" t="e">
        <f t="shared" ca="1" si="292"/>
        <v>#DIV/0!</v>
      </c>
      <c r="EF198" s="85" t="e">
        <f ca="1">IF(DL198&lt;=Hypothèses!$V$7,Hypothèses!$W$7,IF(DL198&lt;=Hypothèses!$V$8,Hypothèses!$W$8,IF(DL198&lt;=Hypothèses!$V$9,Hypothèses!$W$9,IF(DL198&lt;=Hypothèses!$V$10,Hypothèses!$W$10,IF(DL198&lt;=Hypothèses!$V$11,Hypothèses!$W$11,IF(DL198&lt;=Hypothèses!$V$12,Hypothèses!$W$12,IF(DL198&lt;=Hypothèses!$V$13,Hypothèses!$W$13,IF(DL198&lt;=Hypothèses!$V$14,Hypothèses!$W$14,IF(DL198&lt;=Hypothèses!$V$15,Hypothèses!$W$15,IF(DL198&lt;=Hypothèses!$V$16,Hypothèses!$W$16,IF(DL198&lt;=Hypothèses!$V$17,Hypothèses!$W$17,IF(DL198&lt;=Hypothèses!$V$18,Hypothèses!$W$18,""))))))))))))</f>
        <v>#DIV/0!</v>
      </c>
      <c r="EG198" s="87" t="e">
        <f t="shared" ca="1" si="322"/>
        <v>#DIV/0!</v>
      </c>
      <c r="EH198" s="88" t="e">
        <f ca="1">IF(DL198&lt;=Hypothèses!$V$7,Hypothèses!$X$7,IF(DL198&lt;=Hypothèses!$V$8,Hypothèses!$X$8,IF(DL198&lt;=Hypothèses!$V$9,Hypothèses!$X$9,IF(DL198&lt;=Hypothèses!$V$10,Hypothèses!$X$10,IF(DL198&lt;=Hypothèses!$V$11,Hypothèses!$X$11,IF(DL198&lt;=Hypothèses!$V$12,Hypothèses!$X$12,IF(DL198&lt;=Hypothèses!$V$13,Hypothèses!$X$13,IF(DL198&lt;=Hypothèses!$V$14,Hypothèses!$X$14,IF(DL198&lt;=Hypothèses!$V$15,Hypothèses!$X$15,IF(DL198&lt;=Hypothèses!$V$16,Hypothèses!$X$16,IF(DL198&lt;=Hypothèses!$U$17,Hypothèses!$W$17,IF(DL198&lt;=Hypothèses!$U$18,Hypothèses!$W$18,""))))))))))))</f>
        <v>#DIV/0!</v>
      </c>
      <c r="EI198" s="95" t="e">
        <f t="shared" ca="1" si="293"/>
        <v>#DIV/0!</v>
      </c>
      <c r="EJ198" s="101">
        <f t="shared" si="329"/>
        <v>0</v>
      </c>
      <c r="EK198" s="91">
        <f t="shared" si="260"/>
        <v>0</v>
      </c>
      <c r="EL198" s="30" t="e">
        <f t="shared" si="312"/>
        <v>#N/A</v>
      </c>
      <c r="EM198" s="30" t="e">
        <f t="shared" si="313"/>
        <v>#N/A</v>
      </c>
      <c r="EN198" s="31" t="e">
        <f>IF(OR(Hypothèses!$B$4=17,Hypothèses!$B$4=18,Hypothèses!$B$4=19,Hypothèses!$B$4=20),
IF($D198="Pressio.",
IF(OR($E198=3,$E198=1,$E198=4),EM198,EL198),
IF($D198="Pénétro.",
IF(OR($E198=3,$E198=1,$E198=4),EM198,EL198))),IF($D198="Pressio.",
IF($E198=3,EM198,EL198),
IF($D198="Pénétro.",
IF($E198=4,EM198,EL198))))</f>
        <v>#N/A</v>
      </c>
      <c r="EO198" s="31">
        <v>0</v>
      </c>
      <c r="EP198" s="102" t="e">
        <f>IF(NDC!$H$10="Oui",(VLOOKUP($B$3,'Coeff EC7'!$T$39:$X$59,2,0)*EN198+VLOOKUP($B$3,'Coeff EC7'!$T$65:$X$85,2,0)*Model0.1T!EO198)/1.5,PI()*EL$12*$Q198*($B198-$B197)*0.15/10+EP197)</f>
        <v>#N/A</v>
      </c>
      <c r="EQ198" s="102" t="e">
        <f>(VLOOKUP($B$3,'Coeff EC7'!$T$39:$X$59,3,0)*EN198+VLOOKUP($B$3,'Coeff EC7'!$T$65:$X$85,3,0)*Model0.1T!EO198)/1.1</f>
        <v>#N/A</v>
      </c>
      <c r="ER198" s="102" t="e">
        <f t="shared" si="294"/>
        <v>#N/A</v>
      </c>
      <c r="ES198" s="102" t="e">
        <f t="shared" si="295"/>
        <v>#N/A</v>
      </c>
      <c r="ET198" s="414" t="e">
        <f>IF(AND(EP198&gt;NDC!$C$63,EQ198&gt;NDC!$C$65,ER198&gt;NDC!$D$73,ES198&gt;NDC!$D$74,$B198&gt;NDC!$H$22-0.1+MIN(3*ET$12,1.5)),0,1)</f>
        <v>#N/A</v>
      </c>
      <c r="EU198" s="86" t="b">
        <f t="shared" si="261"/>
        <v>0</v>
      </c>
      <c r="EV198" s="86">
        <f t="shared" si="262"/>
        <v>0.61</v>
      </c>
      <c r="EW198" s="86">
        <f t="shared" si="263"/>
        <v>0.61</v>
      </c>
      <c r="EX198" s="30" t="e">
        <f t="shared" ca="1" si="296"/>
        <v>#DIV/0!</v>
      </c>
      <c r="EY198" s="85" t="e">
        <f ca="1">IF(EE198&lt;=Hypothèses!$V$7,Hypothèses!$W$7,IF(EE198&lt;=Hypothèses!$V$8,Hypothèses!$W$8,IF(EE198&lt;=Hypothèses!$V$9,Hypothèses!$W$9,IF(EE198&lt;=Hypothèses!$V$10,Hypothèses!$W$10,IF(EE198&lt;=Hypothèses!$V$11,Hypothèses!$W$11,IF(EE198&lt;=Hypothèses!$V$12,Hypothèses!$W$12,IF(EE198&lt;=Hypothèses!$V$13,Hypothèses!$W$13,IF(EE198&lt;=Hypothèses!$V$14,Hypothèses!$W$14,IF(EE198&lt;=Hypothèses!$V$15,Hypothèses!$W$15,IF(EE198&lt;=Hypothèses!$V$16,Hypothèses!$W$16,IF(EE198&lt;=Hypothèses!$V$17,Hypothèses!$W$17,IF(EE198&lt;=Hypothèses!$V$18,Hypothèses!$W$18,""))))))))))))</f>
        <v>#DIV/0!</v>
      </c>
      <c r="EZ198" s="87" t="e">
        <f t="shared" ca="1" si="323"/>
        <v>#DIV/0!</v>
      </c>
      <c r="FA198" s="88" t="e">
        <f ca="1">IF(EE198&lt;=Hypothèses!$V$7,Hypothèses!$X$7,IF(EE198&lt;=Hypothèses!$V$8,Hypothèses!$X$8,IF(EE198&lt;=Hypothèses!$V$9,Hypothèses!$X$9,IF(EE198&lt;=Hypothèses!$V$10,Hypothèses!$X$10,IF(EE198&lt;=Hypothèses!$V$11,Hypothèses!$X$11,IF(EE198&lt;=Hypothèses!$V$12,Hypothèses!$X$12,IF(EE198&lt;=Hypothèses!$V$13,Hypothèses!$X$13,IF(EE198&lt;=Hypothèses!$V$14,Hypothèses!$X$14,IF(EE198&lt;=Hypothèses!$V$15,Hypothèses!$X$15,IF(EE198&lt;=Hypothèses!$V$16,Hypothèses!$X$16,IF(EE198&lt;=Hypothèses!$U$17,Hypothèses!$W$17,IF(EE198&lt;=Hypothèses!$U$18,Hypothèses!$W$18,""))))))))))))</f>
        <v>#DIV/0!</v>
      </c>
      <c r="FB198" s="95" t="e">
        <f t="shared" ca="1" si="297"/>
        <v>#DIV/0!</v>
      </c>
      <c r="FC198" s="101">
        <f t="shared" si="330"/>
        <v>0</v>
      </c>
      <c r="FD198" s="91">
        <f t="shared" si="264"/>
        <v>0</v>
      </c>
      <c r="FE198" s="30" t="e">
        <f t="shared" si="314"/>
        <v>#N/A</v>
      </c>
      <c r="FF198" s="30" t="e">
        <f t="shared" si="315"/>
        <v>#N/A</v>
      </c>
      <c r="FG198" s="31" t="e">
        <f>IF(OR(Hypothèses!$B$4=17,Hypothèses!$B$4=18,Hypothèses!$B$4=19,Hypothèses!$B$4=20),
IF($D198="Pressio.",
IF(OR($E198=3,$E198=1,$E198=4),FF198,FE198),
IF($D198="Pénétro.",
IF(OR($E198=3,$E198=1,$E198=4),FF198,FE198))),IF($D198="Pressio.",
IF($E198=3,FF198,FE198),
IF($D198="Pénétro.",
IF($E198=4,FF198,FE198))))</f>
        <v>#N/A</v>
      </c>
      <c r="FH198" s="31">
        <v>0</v>
      </c>
      <c r="FI198" s="102" t="e">
        <f>IF(NDC!$H$10="Oui",(VLOOKUP($B$3,'Coeff EC7'!$T$39:$X$59,2,0)*FG198+VLOOKUP($B$3,'Coeff EC7'!$T$65:$X$85,2,0)*Model0.1T!FH198)/1.5,PI()*FE$12*$Q198*($B198-$B197)*0.15/10+FI197)</f>
        <v>#N/A</v>
      </c>
      <c r="FJ198" s="102" t="e">
        <f>(VLOOKUP($B$3,'Coeff EC7'!$T$39:$X$59,3,0)*FG198+VLOOKUP($B$3,'Coeff EC7'!$T$65:$X$85,3,0)*Model0.1T!FH198)/1.1</f>
        <v>#N/A</v>
      </c>
      <c r="FK198" s="102" t="e">
        <f t="shared" si="298"/>
        <v>#N/A</v>
      </c>
      <c r="FL198" s="102" t="e">
        <f t="shared" si="299"/>
        <v>#N/A</v>
      </c>
      <c r="FM198" s="414" t="e">
        <f>IF(AND(FI198&gt;NDC!$C$63,FJ198&gt;NDC!$C$65,FK198&gt;NDC!$D$73,FL198&gt;NDC!$D$74,$B198&gt;NDC!$H$22-0.1+MIN(3*FM$12,1.5)),0,1)</f>
        <v>#N/A</v>
      </c>
    </row>
    <row r="199" spans="1:169">
      <c r="A199" s="96">
        <f t="shared" si="265"/>
        <v>81.400000000001057</v>
      </c>
      <c r="B199" s="97">
        <v>18.600000000000001</v>
      </c>
      <c r="C199" s="81">
        <f>IF(B199&lt;=Hypothèses!$C$7,Hypothèses!$A$7,IF(B199&lt;=Hypothèses!$C$8,Hypothèses!$A$8,IF(B199&lt;=Hypothèses!$C$9,Hypothèses!$A$9,IF(B199&lt;=Hypothèses!$C$10,Hypothèses!$A$10,IF(B199&lt;=Hypothèses!$C$11,Hypothèses!$A$11,IF(B199&lt;=Hypothèses!$C$12,Hypothèses!$A$12,IF(B199&lt;=Hypothèses!$C$13,Hypothèses!$A$13,IF(B199&lt;=Hypothèses!$C$14,Hypothèses!$A$14,IF(B199&lt;=Hypothèses!$C$15,Hypothèses!$A$15,IF(B199&lt;=Hypothèses!$C$16,Hypothèses!$A$16,IF(B199&lt;=Hypothèses!$C$17,Hypothèses!$A$17,IF(B199&lt;=Hypothèses!$C$18,Hypothèses!$A$18,C198))))))))))))</f>
        <v>11</v>
      </c>
      <c r="D199" s="82" t="str">
        <f>IF(B199&lt;=Hypothèses!$C$7,Hypothèses!$R$7,IF(B199&lt;=Hypothèses!$C$8,Hypothèses!$R$8,IF(B199&lt;=Hypothèses!$C$9,Hypothèses!$R$9,IF(B199&lt;=Hypothèses!$C$10,Hypothèses!$R$10,IF(B199&lt;=Hypothèses!$C$11,Hypothèses!$R$11,IF(B199&lt;=Hypothèses!$C$12,Hypothèses!$R$12,IF(B199&lt;=Hypothèses!$C$13,Hypothèses!$R$13,IF(B199&lt;=Hypothèses!$C$14,Hypothèses!$R$14,IF(B199&lt;=Hypothèses!$C$15,Hypothèses!$R$15,IF(B199&lt;=Hypothèses!$C$16,Hypothèses!$R$16,IF(B199&lt;=Hypothèses!$C$17,Hypothèses!$R$17,IF(B199&lt;=Hypothèses!$C$18,Hypothèses!$R$18,D198))))))))))))</f>
        <v>Pressio.</v>
      </c>
      <c r="E199" s="82" t="e">
        <f>IF(B199&lt;=Hypothèses!$C$7,Hypothèses!$G$7,IF(B199&lt;=Hypothèses!$C$8,Hypothèses!$G$8,IF(B199&lt;=Hypothèses!$C$9,Hypothèses!$G$9,IF(B199&lt;=Hypothèses!$C$10,Hypothèses!$G$10,IF(B199&lt;=Hypothèses!$C$11,Hypothèses!$G$11,IF(B199&lt;=Hypothèses!$C$12,Hypothèses!$G$12,IF(B199&lt;=Hypothèses!$C$13,Hypothèses!$G$13,IF(B199&lt;=Hypothèses!$C$14,Hypothèses!$G$14,IF(B199&lt;=Hypothèses!$C$15,Hypothèses!$G$15,IF(B199&lt;=Hypothèses!$C$16,Hypothèses!$G$16,IF(B199&lt;=Hypothèses!$C$17,Hypothèses!$G$17,IF(B199&lt;=Hypothèses!$C$18,Hypothèses!$G$18,E198))))))))))))</f>
        <v>#N/A</v>
      </c>
      <c r="F199" s="82" t="str">
        <f>IF(B199&lt;=Hypothèses!$C$7,Hypothèses!$F$7,IF(B199&lt;=Hypothèses!$C$8,Hypothèses!$F$8,IF(B199&lt;=Hypothèses!$C$9,Hypothèses!$F$9,IF(B199&lt;=Hypothèses!$C$10,Hypothèses!$F$10,IF(B199&lt;=Hypothèses!$C$11,Hypothèses!$F$11,IF(B199&lt;=Hypothèses!$C$12,Hypothèses!$F$12,IF(B199&lt;=Hypothèses!$C$13,Hypothèses!$F$13,IF(B199&lt;=Hypothèses!$C$14,Hypothèses!$F$14,IF(B199&lt;=Hypothèses!$C$15,Hypothèses!$F$15,IF(B199&lt;=Hypothèses!$C$16,Hypothèses!$F$16,IF(B199&lt;=Hypothèses!$C$17,Hypothèses!$F$17,IF(B199&lt;=Hypothèses!$C$18,Hypothèses!$F$18,F198))))))))))))</f>
        <v/>
      </c>
      <c r="G199" s="91">
        <f t="array" ref="G199">INDEX('Coeff EC7'!$U$7:$X$27,
MATCH(Model0.1T!$B$3,'Coeff EC7'!$T$7:$T$27,0),
MATCH(Model0.1T!$D199&amp;Model0.1T!$B$4,
'Coeff EC7'!$U$6:$X$6&amp;
'Coeff EC7'!$U$5:$X$5,0))</f>
        <v>1.4</v>
      </c>
      <c r="H199" s="91">
        <f t="array" ref="H199">INDEX('Coeff EC7'!$Y$7:$AB$27,
MATCH(Model0.1T!$B$3,'Coeff EC7'!$T$7:$T$27,0),
MATCH(Model0.1T!$D199&amp;Model0.1T!$B$4,
'Coeff EC7'!$Y$6:$AB$6&amp;
'Coeff EC7'!$Y$5:$AB$5,0))</f>
        <v>1.7</v>
      </c>
      <c r="I199" s="83">
        <v>0</v>
      </c>
      <c r="J199" s="91" t="e">
        <f t="array" ref="J199">INDEX('Coeff EC7'!$D$33:$Q$33,1,MATCH(D199&amp;E199,'Coeff EC7'!$D$31:$Q$31&amp;'Coeff EC7'!$D$32:$Q$32,0))</f>
        <v>#N/A</v>
      </c>
      <c r="K199" s="91" t="e">
        <f t="array" ref="K199">INDEX('Coeff EC7'!$D$34:$Q$34,1,MATCH(D199&amp;E199,'Coeff EC7'!$D$31:$Q$31&amp;'Coeff EC7'!$D$32:$Q$32,0))</f>
        <v>#N/A</v>
      </c>
      <c r="L199" s="91" t="e">
        <f t="array" ref="L199">INDEX('Coeff EC7'!$D$35:$Q$35,1,MATCH(D199&amp;E199,'Coeff EC7'!$D$31:$Q$31&amp;'Coeff EC7'!$D$32:$Q$32,0))</f>
        <v>#N/A</v>
      </c>
      <c r="M199" s="98" t="e">
        <f t="shared" si="231"/>
        <v>#N/A</v>
      </c>
      <c r="N199" s="99" t="e">
        <f t="array" ref="N199">INDEX('Coeff EC7'!$D$7:$Q$27,MATCH($B$3,'Coeff EC7'!$C$7:$C$27,0),MATCH(D199&amp;E199,'Coeff EC7'!$D$5:$Q$5&amp;'Coeff EC7'!$D$6:$Q$6,0))</f>
        <v>#N/A</v>
      </c>
      <c r="O199" s="99" t="e">
        <f t="array" ref="O199">INDEX('Coeff EC7'!$D$41:$Q$61,MATCH($B$3,'Coeff EC7'!$C$41:$C$61,0),MATCH(D199&amp;E199,'Coeff EC7'!$D$39:$Q$39&amp;'Coeff EC7'!$D$40:$Q$40,0))</f>
        <v>#N/A</v>
      </c>
      <c r="P199" s="30" t="e">
        <f t="shared" si="266"/>
        <v>#N/A</v>
      </c>
      <c r="Q199" s="100" t="e">
        <f t="shared" si="233"/>
        <v>#N/A</v>
      </c>
      <c r="R199" s="86" t="b">
        <f t="shared" si="234"/>
        <v>0</v>
      </c>
      <c r="S199" s="86">
        <f t="shared" si="232"/>
        <v>0.5</v>
      </c>
      <c r="T199" s="86">
        <f t="shared" si="235"/>
        <v>0.5</v>
      </c>
      <c r="U199" s="30" t="e">
        <f t="shared" ca="1" si="267"/>
        <v>#DIV/0!</v>
      </c>
      <c r="V199" s="85" t="str">
        <f>IF(B199&lt;=Hypothèses!$V$7,Hypothèses!$W$7,IF(B199&lt;=Hypothèses!$V$8,Hypothèses!$W$8,IF(B199&lt;=Hypothèses!$V$9,Hypothèses!$W$9,IF(B199&lt;=Hypothèses!$V$10,Hypothèses!$W$10,IF(B199&lt;=Hypothèses!$V$11,Hypothèses!$W$11,IF(B199&lt;=Hypothèses!$V$12,Hypothèses!$W$12,IF(B199&lt;=Hypothèses!$V$13,Hypothèses!$W$13,IF(B199&lt;=Hypothèses!$V$14,Hypothèses!$W$14,IF(B199&lt;=Hypothèses!$V$15,Hypothèses!$W$15,IF(B199&lt;=Hypothèses!$V$16,Hypothèses!$W$16,IF(B199&lt;=Hypothèses!$V$17,Hypothèses!$W$17,IF(B199&lt;=Hypothèses!$V$18,Hypothèses!$W$18,""))))))))))))</f>
        <v/>
      </c>
      <c r="W199" s="87" t="e">
        <f t="shared" ca="1" si="316"/>
        <v>#DIV/0!</v>
      </c>
      <c r="X199" s="88" t="str">
        <f>IF(B199&lt;=Hypothèses!$V$7,Hypothèses!$X$7,IF(B199&lt;=Hypothèses!$V$8,Hypothèses!$X$8,IF(B199&lt;=Hypothèses!$V$9,Hypothèses!$X$9,IF(B199&lt;=Hypothèses!$V$10,Hypothèses!$X$10,IF(B199&lt;=Hypothèses!$V$11,Hypothèses!$X$11,IF(B199&lt;=Hypothèses!$V$12,Hypothèses!$X$12,IF(B199&lt;=Hypothèses!$V$13,Hypothèses!$X$13,IF(B199&lt;=Hypothèses!$V$14,Hypothèses!$X$14,IF(B199&lt;=Hypothèses!$V$15,Hypothèses!$X$15,IF(B199&lt;=Hypothèses!$V$16,Hypothèses!$X$16,IF(B199&lt;=Hypothèses!$U$17,Hypothèses!$W$17,IF(B199&lt;=Hypothèses!$U$18,Hypothèses!$W$18,""))))))))))))</f>
        <v/>
      </c>
      <c r="Y199" s="95" t="e">
        <f t="shared" ca="1" si="236"/>
        <v>#DIV/0!</v>
      </c>
      <c r="Z199" s="101">
        <f t="shared" si="237"/>
        <v>0</v>
      </c>
      <c r="AA199" s="91">
        <f t="shared" si="238"/>
        <v>0</v>
      </c>
      <c r="AB199" s="30" t="e">
        <f t="shared" si="300"/>
        <v>#N/A</v>
      </c>
      <c r="AC199" s="30" t="e">
        <f t="shared" si="301"/>
        <v>#N/A</v>
      </c>
      <c r="AD199" s="31" t="e">
        <f>IF(OR(Hypothèses!$B$4=17,Hypothèses!$B$4=18,Hypothèses!$B$4=19,Hypothèses!$B$4=20),
IF($D199="Pressio.",
IF(OR($E199=3,$E199=1,$E199=4),AC199,AB199),
IF($D199="Pénétro.",
IF(OR($E199=3,$E199=1,$E199=4),AC199,AB199))),IF($D199="Pressio.",
IF($E199=3,AC199,AB199),
IF($D199="Pénétro.",
IF($E199=4,AC199,AB199))))</f>
        <v>#N/A</v>
      </c>
      <c r="AE199" s="31">
        <v>0</v>
      </c>
      <c r="AF199" s="102" t="e">
        <f>IF(NDC!$H$10="Oui",(VLOOKUP($B$3,'Coeff EC7'!$T$39:$X$59,2,0)*AD199+VLOOKUP($B$3,'Coeff EC7'!$T$65:$X$85,2,0)*Model0.1T!AE199)/1.5,PI()*AB$12*$Q199*($B199-$B198)*0.15/10+AF198)</f>
        <v>#N/A</v>
      </c>
      <c r="AG199" s="102" t="e">
        <f>(VLOOKUP($B$3,'Coeff EC7'!$T$39:$X$59,3,0)*AD199+VLOOKUP($B$3,'Coeff EC7'!$T$65:$X$85,3,0)*Model0.1T!AE199)/1.1</f>
        <v>#N/A</v>
      </c>
      <c r="AH199" s="102" t="e">
        <f t="shared" si="268"/>
        <v>#N/A</v>
      </c>
      <c r="AI199" s="102" t="e">
        <f t="shared" si="269"/>
        <v>#N/A</v>
      </c>
      <c r="AJ199" s="414" t="e">
        <f>IF(AND(AF199&gt;NDC!$C$63,AG199&gt;NDC!$C$65,AH199&gt;NDC!$D$73,AI199&gt;NDC!$D$74,$B199&gt;NDC!$H$22-0.1+MIN(3*$AJ$12,1.5)),0,1)</f>
        <v>#N/A</v>
      </c>
      <c r="AK199" s="86" t="b">
        <f t="shared" si="239"/>
        <v>0</v>
      </c>
      <c r="AL199" s="86">
        <f t="shared" si="270"/>
        <v>0.5</v>
      </c>
      <c r="AM199" s="86">
        <f t="shared" si="240"/>
        <v>0.5</v>
      </c>
      <c r="AN199" s="30" t="e">
        <f t="shared" ca="1" si="271"/>
        <v>#DIV/0!</v>
      </c>
      <c r="AO199" s="85" t="e">
        <f ca="1">IF(U199&lt;=Hypothèses!$V$7,Hypothèses!$W$7,IF(U199&lt;=Hypothèses!$V$8,Hypothèses!$W$8,IF(U199&lt;=Hypothèses!$V$9,Hypothèses!$W$9,IF(U199&lt;=Hypothèses!$V$10,Hypothèses!$W$10,IF(U199&lt;=Hypothèses!$V$11,Hypothèses!$W$11,IF(U199&lt;=Hypothèses!$V$12,Hypothèses!$W$12,IF(U199&lt;=Hypothèses!$V$13,Hypothèses!$W$13,IF(U199&lt;=Hypothèses!$V$14,Hypothèses!$W$14,IF(U199&lt;=Hypothèses!$V$15,Hypothèses!$W$15,IF(U199&lt;=Hypothèses!$V$16,Hypothèses!$W$16,IF(U199&lt;=Hypothèses!$V$17,Hypothèses!$W$17,IF(U199&lt;=Hypothèses!$V$18,Hypothèses!$W$18,""))))))))))))</f>
        <v>#DIV/0!</v>
      </c>
      <c r="AP199" s="87" t="e">
        <f t="shared" ca="1" si="317"/>
        <v>#DIV/0!</v>
      </c>
      <c r="AQ199" s="88" t="e">
        <f ca="1">IF(U199&lt;=Hypothèses!$V$7,Hypothèses!$X$7,IF(U199&lt;=Hypothèses!$V$8,Hypothèses!$X$8,IF(U199&lt;=Hypothèses!$V$9,Hypothèses!$X$9,IF(U199&lt;=Hypothèses!$V$10,Hypothèses!$X$10,IF(U199&lt;=Hypothèses!$V$11,Hypothèses!$X$11,IF(U199&lt;=Hypothèses!$V$12,Hypothèses!$X$12,IF(U199&lt;=Hypothèses!$V$13,Hypothèses!$X$13,IF(U199&lt;=Hypothèses!$V$14,Hypothèses!$X$14,IF(U199&lt;=Hypothèses!$V$15,Hypothèses!$X$15,IF(U199&lt;=Hypothèses!$V$16,Hypothèses!$X$16,IF(U199&lt;=Hypothèses!$U$17,Hypothèses!$W$17,IF(U199&lt;=Hypothèses!$U$18,Hypothèses!$W$18,""))))))))))))</f>
        <v>#DIV/0!</v>
      </c>
      <c r="AR199" s="95" t="e">
        <f t="shared" ca="1" si="272"/>
        <v>#DIV/0!</v>
      </c>
      <c r="AS199" s="101">
        <f t="shared" si="324"/>
        <v>0</v>
      </c>
      <c r="AT199" s="91">
        <f t="shared" si="241"/>
        <v>0</v>
      </c>
      <c r="AU199" s="30" t="e">
        <f t="shared" si="302"/>
        <v>#N/A</v>
      </c>
      <c r="AV199" s="30" t="e">
        <f t="shared" si="303"/>
        <v>#N/A</v>
      </c>
      <c r="AW199" s="31" t="e">
        <f>IF(OR(Hypothèses!$B$4=17,Hypothèses!$B$4=18,Hypothèses!$B$4=19,Hypothèses!$B$4=20),
IF($D199="Pressio.",
IF(OR($E199=3,$E199=1,$E199=4),AV199,AU199),
IF($D199="Pénétro.",
IF(OR($E199=3,$E199=1,$E199=4),AV199,AU199))),IF($D199="Pressio.",
IF($E199=3,AV199,AU199),
IF($D199="Pénétro.",
IF($E199=4,AV199,AU199))))</f>
        <v>#N/A</v>
      </c>
      <c r="AX199" s="31">
        <v>0</v>
      </c>
      <c r="AY199" s="102" t="e">
        <f>IF(NDC!$H$10="Oui",(VLOOKUP($B$3,'Coeff EC7'!$T$39:$X$59,2,0)*AW199+VLOOKUP($B$3,'Coeff EC7'!$T$65:$X$85,2,0)*Model0.1T!AX199)/1.5,PI()*AU$12*$Q199*($B199-$B198)*0.15/10+AY198)</f>
        <v>#N/A</v>
      </c>
      <c r="AZ199" s="102" t="e">
        <f>(VLOOKUP($B$3,'Coeff EC7'!$T$39:$X$59,3,0)*AW199+VLOOKUP($B$3,'Coeff EC7'!$T$65:$X$85,3,0)*Model0.1T!AX199)/1.1</f>
        <v>#N/A</v>
      </c>
      <c r="BA199" s="102" t="e">
        <f t="shared" si="273"/>
        <v>#N/A</v>
      </c>
      <c r="BB199" s="102" t="e">
        <f t="shared" si="274"/>
        <v>#N/A</v>
      </c>
      <c r="BC199" s="414" t="e">
        <f>IF(AND(AY199&gt;NDC!$C$63,AZ199&gt;NDC!$C$65,BA199&gt;NDC!$D$73,BB199&gt;NDC!$D$74,$B199&gt;NDC!$H$22-0.1+MIN(3*BC$12,1.5)),0,1)</f>
        <v>#N/A</v>
      </c>
      <c r="BD199" s="86" t="b">
        <f t="shared" si="242"/>
        <v>0</v>
      </c>
      <c r="BE199" s="86">
        <f t="shared" si="275"/>
        <v>0.5</v>
      </c>
      <c r="BF199" s="86">
        <f t="shared" si="243"/>
        <v>0.5</v>
      </c>
      <c r="BG199" s="30" t="e">
        <f t="shared" ca="1" si="276"/>
        <v>#DIV/0!</v>
      </c>
      <c r="BH199" s="85" t="e">
        <f ca="1">IF(AN199&lt;=Hypothèses!$V$7,Hypothèses!$W$7,IF(AN199&lt;=Hypothèses!$V$8,Hypothèses!$W$8,IF(AN199&lt;=Hypothèses!$V$9,Hypothèses!$W$9,IF(AN199&lt;=Hypothèses!$V$10,Hypothèses!$W$10,IF(AN199&lt;=Hypothèses!$V$11,Hypothèses!$W$11,IF(AN199&lt;=Hypothèses!$V$12,Hypothèses!$W$12,IF(AN199&lt;=Hypothèses!$V$13,Hypothèses!$W$13,IF(AN199&lt;=Hypothèses!$V$14,Hypothèses!$W$14,IF(AN199&lt;=Hypothèses!$V$15,Hypothèses!$W$15,IF(AN199&lt;=Hypothèses!$V$16,Hypothèses!$W$16,IF(AN199&lt;=Hypothèses!$V$17,Hypothèses!$W$17,IF(AN199&lt;=Hypothèses!$V$18,Hypothèses!$W$18,""))))))))))))</f>
        <v>#DIV/0!</v>
      </c>
      <c r="BI199" s="87" t="e">
        <f t="shared" ca="1" si="318"/>
        <v>#DIV/0!</v>
      </c>
      <c r="BJ199" s="88" t="e">
        <f ca="1">IF(AN199&lt;=Hypothèses!$V$7,Hypothèses!$X$7,IF(AN199&lt;=Hypothèses!$V$8,Hypothèses!$X$8,IF(AN199&lt;=Hypothèses!$V$9,Hypothèses!$X$9,IF(AN199&lt;=Hypothèses!$V$10,Hypothèses!$X$10,IF(AN199&lt;=Hypothèses!$V$11,Hypothèses!$X$11,IF(AN199&lt;=Hypothèses!$V$12,Hypothèses!$X$12,IF(AN199&lt;=Hypothèses!$V$13,Hypothèses!$X$13,IF(AN199&lt;=Hypothèses!$V$14,Hypothèses!$X$14,IF(AN199&lt;=Hypothèses!$V$15,Hypothèses!$X$15,IF(AN199&lt;=Hypothèses!$V$16,Hypothèses!$X$16,IF(AN199&lt;=Hypothèses!$U$17,Hypothèses!$W$17,IF(AN199&lt;=Hypothèses!$U$18,Hypothèses!$W$18,""))))))))))))</f>
        <v>#DIV/0!</v>
      </c>
      <c r="BK199" s="95" t="e">
        <f t="shared" ca="1" si="277"/>
        <v>#DIV/0!</v>
      </c>
      <c r="BL199" s="101">
        <f t="shared" si="325"/>
        <v>0</v>
      </c>
      <c r="BM199" s="91">
        <f t="shared" si="244"/>
        <v>0</v>
      </c>
      <c r="BN199" s="30" t="e">
        <f t="shared" si="304"/>
        <v>#N/A</v>
      </c>
      <c r="BO199" s="30" t="e">
        <f t="shared" si="305"/>
        <v>#N/A</v>
      </c>
      <c r="BP199" s="31" t="e">
        <f>IF(OR(Hypothèses!$B$4=17,Hypothèses!$B$4=18,Hypothèses!$B$4=19,Hypothèses!$B$4=20),
IF($D199="Pressio.",
IF(OR($E199=3,$E199=1,$E199=4),BO199,BN199),
IF($D199="Pénétro.",
IF(OR($E199=3,$E199=1,$E199=4),BO199,BN199))),IF($D199="Pressio.",
IF($E199=3,BO199,BN199),
IF($D199="Pénétro.",
IF($E199=4,BO199,BN199))))</f>
        <v>#N/A</v>
      </c>
      <c r="BQ199" s="31">
        <v>0</v>
      </c>
      <c r="BR199" s="102" t="e">
        <f>IF(NDC!$H$10="Oui",(VLOOKUP($B$3,'Coeff EC7'!$T$39:$X$59,2,0)*BP199+VLOOKUP($B$3,'Coeff EC7'!$T$65:$X$85,2,0)*Model0.1T!BQ199)/1.5,PI()*BN$12*$Q199*($B199-$B198)*0.15/10+BR198)</f>
        <v>#N/A</v>
      </c>
      <c r="BS199" s="102" t="e">
        <f>(VLOOKUP($B$3,'Coeff EC7'!$T$39:$X$59,3,0)*BP199+VLOOKUP($B$3,'Coeff EC7'!$T$65:$X$85,3,0)*Model0.1T!BQ199)/1.1</f>
        <v>#N/A</v>
      </c>
      <c r="BT199" s="102" t="e">
        <f t="shared" si="278"/>
        <v>#N/A</v>
      </c>
      <c r="BU199" s="102" t="e">
        <f t="shared" si="279"/>
        <v>#N/A</v>
      </c>
      <c r="BV199" s="414" t="e">
        <f>IF(AND(BR199&gt;NDC!$C$63,BS199&gt;NDC!$C$65,BT199&gt;NDC!$D$73,BU199&gt;NDC!$D$74,$B199&gt;NDC!$H$22-0.1+MIN(3*BV$12,1.5)),0,1)</f>
        <v>#N/A</v>
      </c>
      <c r="BW199" s="86" t="b">
        <f t="shared" si="245"/>
        <v>0</v>
      </c>
      <c r="BX199" s="86">
        <f t="shared" si="246"/>
        <v>0.5</v>
      </c>
      <c r="BY199" s="86">
        <f t="shared" si="247"/>
        <v>0.5</v>
      </c>
      <c r="BZ199" s="30" t="e">
        <f t="shared" ca="1" si="280"/>
        <v>#DIV/0!</v>
      </c>
      <c r="CA199" s="85" t="e">
        <f ca="1">IF(BG199&lt;=Hypothèses!$V$7,Hypothèses!$W$7,IF(BG199&lt;=Hypothèses!$V$8,Hypothèses!$W$8,IF(BG199&lt;=Hypothèses!$V$9,Hypothèses!$W$9,IF(BG199&lt;=Hypothèses!$V$10,Hypothèses!$W$10,IF(BG199&lt;=Hypothèses!$V$11,Hypothèses!$W$11,IF(BG199&lt;=Hypothèses!$V$12,Hypothèses!$W$12,IF(BG199&lt;=Hypothèses!$V$13,Hypothèses!$W$13,IF(BG199&lt;=Hypothèses!$V$14,Hypothèses!$W$14,IF(BG199&lt;=Hypothèses!$V$15,Hypothèses!$W$15,IF(BG199&lt;=Hypothèses!$V$16,Hypothèses!$W$16,IF(BG199&lt;=Hypothèses!$V$17,Hypothèses!$W$17,IF(BG199&lt;=Hypothèses!$V$18,Hypothèses!$W$18,""))))))))))))</f>
        <v>#DIV/0!</v>
      </c>
      <c r="CB199" s="87" t="e">
        <f t="shared" ca="1" si="319"/>
        <v>#DIV/0!</v>
      </c>
      <c r="CC199" s="88" t="e">
        <f ca="1">IF(BG199&lt;=Hypothèses!$V$7,Hypothèses!$X$7,IF(BG199&lt;=Hypothèses!$V$8,Hypothèses!$X$8,IF(BG199&lt;=Hypothèses!$V$9,Hypothèses!$X$9,IF(BG199&lt;=Hypothèses!$V$10,Hypothèses!$X$10,IF(BG199&lt;=Hypothèses!$V$11,Hypothèses!$X$11,IF(BG199&lt;=Hypothèses!$V$12,Hypothèses!$X$12,IF(BG199&lt;=Hypothèses!$V$13,Hypothèses!$X$13,IF(BG199&lt;=Hypothèses!$V$14,Hypothèses!$X$14,IF(BG199&lt;=Hypothèses!$V$15,Hypothèses!$X$15,IF(BG199&lt;=Hypothèses!$V$16,Hypothèses!$X$16,IF(BG199&lt;=Hypothèses!$U$17,Hypothèses!$W$17,IF(BG199&lt;=Hypothèses!$U$18,Hypothèses!$W$18,""))))))))))))</f>
        <v>#DIV/0!</v>
      </c>
      <c r="CD199" s="95" t="e">
        <f t="shared" ca="1" si="281"/>
        <v>#DIV/0!</v>
      </c>
      <c r="CE199" s="101">
        <f t="shared" si="326"/>
        <v>0</v>
      </c>
      <c r="CF199" s="91">
        <f t="shared" si="248"/>
        <v>0</v>
      </c>
      <c r="CG199" s="30" t="e">
        <f t="shared" si="306"/>
        <v>#N/A</v>
      </c>
      <c r="CH199" s="30" t="e">
        <f t="shared" si="307"/>
        <v>#N/A</v>
      </c>
      <c r="CI199" s="31" t="e">
        <f>IF(OR(Hypothèses!$B$4=17,Hypothèses!$B$4=18,Hypothèses!$B$4=19,Hypothèses!$B$4=20),
IF($D199="Pressio.",
IF(OR($E199=3,$E199=1,$E199=4),CH199,CG199),
IF($D199="Pénétro.",
IF(OR($E199=3,$E199=1,$E199=4),CH199,CG199))),IF($D199="Pressio.",
IF($E199=3,CH199,CG199),
IF($D199="Pénétro.",
IF($E199=4,CH199,CG199))))</f>
        <v>#N/A</v>
      </c>
      <c r="CJ199" s="31">
        <v>0</v>
      </c>
      <c r="CK199" s="102" t="e">
        <f>IF(NDC!$H$10="Oui",(VLOOKUP($B$3,'Coeff EC7'!$T$39:$X$59,2,0)*CI199+VLOOKUP($B$3,'Coeff EC7'!$T$65:$X$85,2,0)*Model0.1T!CJ199)/1.5,PI()*CG$12*$Q199*($B199-$B198)*0.15/10+CK198)</f>
        <v>#N/A</v>
      </c>
      <c r="CL199" s="102" t="e">
        <f>(VLOOKUP($B$3,'Coeff EC7'!$T$39:$X$59,3,0)*CI199+VLOOKUP($B$3,'Coeff EC7'!$T$65:$X$85,3,0)*Model0.1T!CJ199)/1.1</f>
        <v>#N/A</v>
      </c>
      <c r="CM199" s="102" t="e">
        <f t="shared" si="282"/>
        <v>#N/A</v>
      </c>
      <c r="CN199" s="102" t="e">
        <f t="shared" si="283"/>
        <v>#N/A</v>
      </c>
      <c r="CO199" s="414" t="e">
        <f>IF(AND(CK199&gt;NDC!$C$63,CL199&gt;NDC!$C$65,CM199&gt;NDC!$D$73,CN199&gt;NDC!$D$74,$B199&gt;NDC!$H$22-0.1+MIN(3*CO$12,1.5)),0,1)</f>
        <v>#N/A</v>
      </c>
      <c r="CP199" s="86" t="b">
        <f t="shared" si="249"/>
        <v>0</v>
      </c>
      <c r="CQ199" s="86">
        <f t="shared" si="250"/>
        <v>0.5</v>
      </c>
      <c r="CR199" s="86">
        <f t="shared" si="251"/>
        <v>0.5</v>
      </c>
      <c r="CS199" s="30" t="e">
        <f t="shared" ca="1" si="284"/>
        <v>#DIV/0!</v>
      </c>
      <c r="CT199" s="85" t="e">
        <f ca="1">IF(BZ199&lt;=Hypothèses!$V$7,Hypothèses!$W$7,IF(BZ199&lt;=Hypothèses!$V$8,Hypothèses!$W$8,IF(BZ199&lt;=Hypothèses!$V$9,Hypothèses!$W$9,IF(BZ199&lt;=Hypothèses!$V$10,Hypothèses!$W$10,IF(BZ199&lt;=Hypothèses!$V$11,Hypothèses!$W$11,IF(BZ199&lt;=Hypothèses!$V$12,Hypothèses!$W$12,IF(BZ199&lt;=Hypothèses!$V$13,Hypothèses!$W$13,IF(BZ199&lt;=Hypothèses!$V$14,Hypothèses!$W$14,IF(BZ199&lt;=Hypothèses!$V$15,Hypothèses!$W$15,IF(BZ199&lt;=Hypothèses!$V$16,Hypothèses!$W$16,IF(BZ199&lt;=Hypothèses!$V$17,Hypothèses!$W$17,IF(BZ199&lt;=Hypothèses!$V$18,Hypothèses!$W$18,""))))))))))))</f>
        <v>#DIV/0!</v>
      </c>
      <c r="CU199" s="87" t="e">
        <f t="shared" ca="1" si="320"/>
        <v>#DIV/0!</v>
      </c>
      <c r="CV199" s="88" t="e">
        <f ca="1">IF(BZ199&lt;=Hypothèses!$V$7,Hypothèses!$X$7,IF(BZ199&lt;=Hypothèses!$V$8,Hypothèses!$X$8,IF(BZ199&lt;=Hypothèses!$V$9,Hypothèses!$X$9,IF(BZ199&lt;=Hypothèses!$V$10,Hypothèses!$X$10,IF(BZ199&lt;=Hypothèses!$V$11,Hypothèses!$X$11,IF(BZ199&lt;=Hypothèses!$V$12,Hypothèses!$X$12,IF(BZ199&lt;=Hypothèses!$V$13,Hypothèses!$X$13,IF(BZ199&lt;=Hypothèses!$V$14,Hypothèses!$X$14,IF(BZ199&lt;=Hypothèses!$V$15,Hypothèses!$X$15,IF(BZ199&lt;=Hypothèses!$V$16,Hypothèses!$X$16,IF(BZ199&lt;=Hypothèses!$U$17,Hypothèses!$W$17,IF(BZ199&lt;=Hypothèses!$U$18,Hypothèses!$W$18,""))))))))))))</f>
        <v>#DIV/0!</v>
      </c>
      <c r="CW199" s="95" t="e">
        <f t="shared" ca="1" si="285"/>
        <v>#DIV/0!</v>
      </c>
      <c r="CX199" s="101">
        <f t="shared" si="327"/>
        <v>0</v>
      </c>
      <c r="CY199" s="91">
        <f t="shared" si="252"/>
        <v>0</v>
      </c>
      <c r="CZ199" s="30" t="e">
        <f t="shared" si="308"/>
        <v>#N/A</v>
      </c>
      <c r="DA199" s="30" t="e">
        <f t="shared" si="309"/>
        <v>#N/A</v>
      </c>
      <c r="DB199" s="31" t="e">
        <f>IF(OR(Hypothèses!$B$4=17,Hypothèses!$B$4=18,Hypothèses!$B$4=19,Hypothèses!$B$4=20),
IF($D199="Pressio.",
IF(OR($E199=3,$E199=1,$E199=4),DA199,CZ199),
IF($D199="Pénétro.",
IF(OR($E199=3,$E199=1,$E199=4),DA199,CZ199))),IF($D199="Pressio.",
IF($E199=3,DA199,CZ199),
IF($D199="Pénétro.",
IF($E199=4,DA199,CZ199))))</f>
        <v>#N/A</v>
      </c>
      <c r="DC199" s="31">
        <v>0</v>
      </c>
      <c r="DD199" s="102" t="e">
        <f>IF(NDC!$H$10="Oui",(VLOOKUP($B$3,'Coeff EC7'!$T$39:$X$59,2,0)*DB199+VLOOKUP($B$3,'Coeff EC7'!$T$65:$X$85,2,0)*Model0.1T!DC199)/1.5,PI()*CZ$12*$Q199*($B199-$B198)*0.15/10+DD198)</f>
        <v>#N/A</v>
      </c>
      <c r="DE199" s="102" t="e">
        <f>(VLOOKUP($B$3,'Coeff EC7'!$T$39:$X$59,3,0)*DB199+VLOOKUP($B$3,'Coeff EC7'!$T$65:$X$85,3,0)*Model0.1T!DC199)/1.1</f>
        <v>#N/A</v>
      </c>
      <c r="DF199" s="102" t="e">
        <f t="shared" si="286"/>
        <v>#N/A</v>
      </c>
      <c r="DG199" s="102" t="e">
        <f t="shared" si="287"/>
        <v>#N/A</v>
      </c>
      <c r="DH199" s="414" t="e">
        <f>IF(AND(DD199&gt;NDC!$C$63,DE199&gt;NDC!$C$65,DF199&gt;NDC!$D$73,DG199&gt;NDC!$D$74,$B199&gt;NDC!$H$22-0.1+MIN(3*DH$12,1.5)),0,1)</f>
        <v>#N/A</v>
      </c>
      <c r="DI199" s="86" t="b">
        <f t="shared" si="253"/>
        <v>0</v>
      </c>
      <c r="DJ199" s="86">
        <f t="shared" si="254"/>
        <v>0.5</v>
      </c>
      <c r="DK199" s="86">
        <f t="shared" si="255"/>
        <v>0.5</v>
      </c>
      <c r="DL199" s="30" t="e">
        <f t="shared" ca="1" si="288"/>
        <v>#DIV/0!</v>
      </c>
      <c r="DM199" s="85" t="e">
        <f ca="1">IF(CS199&lt;=Hypothèses!$V$7,Hypothèses!$W$7,IF(CS199&lt;=Hypothèses!$V$8,Hypothèses!$W$8,IF(CS199&lt;=Hypothèses!$V$9,Hypothèses!$W$9,IF(CS199&lt;=Hypothèses!$V$10,Hypothèses!$W$10,IF(CS199&lt;=Hypothèses!$V$11,Hypothèses!$W$11,IF(CS199&lt;=Hypothèses!$V$12,Hypothèses!$W$12,IF(CS199&lt;=Hypothèses!$V$13,Hypothèses!$W$13,IF(CS199&lt;=Hypothèses!$V$14,Hypothèses!$W$14,IF(CS199&lt;=Hypothèses!$V$15,Hypothèses!$W$15,IF(CS199&lt;=Hypothèses!$V$16,Hypothèses!$W$16,IF(CS199&lt;=Hypothèses!$V$17,Hypothèses!$W$17,IF(CS199&lt;=Hypothèses!$V$18,Hypothèses!$W$18,""))))))))))))</f>
        <v>#DIV/0!</v>
      </c>
      <c r="DN199" s="87" t="e">
        <f t="shared" ca="1" si="321"/>
        <v>#DIV/0!</v>
      </c>
      <c r="DO199" s="88" t="e">
        <f ca="1">IF(CS199&lt;=Hypothèses!$V$7,Hypothèses!$X$7,IF(CS199&lt;=Hypothèses!$V$8,Hypothèses!$X$8,IF(CS199&lt;=Hypothèses!$V$9,Hypothèses!$X$9,IF(CS199&lt;=Hypothèses!$V$10,Hypothèses!$X$10,IF(CS199&lt;=Hypothèses!$V$11,Hypothèses!$X$11,IF(CS199&lt;=Hypothèses!$V$12,Hypothèses!$X$12,IF(CS199&lt;=Hypothèses!$V$13,Hypothèses!$X$13,IF(CS199&lt;=Hypothèses!$V$14,Hypothèses!$X$14,IF(CS199&lt;=Hypothèses!$V$15,Hypothèses!$X$15,IF(CS199&lt;=Hypothèses!$V$16,Hypothèses!$X$16,IF(CS199&lt;=Hypothèses!$U$17,Hypothèses!$W$17,IF(CS199&lt;=Hypothèses!$U$18,Hypothèses!$W$18,""))))))))))))</f>
        <v>#DIV/0!</v>
      </c>
      <c r="DP199" s="95" t="e">
        <f t="shared" ca="1" si="289"/>
        <v>#DIV/0!</v>
      </c>
      <c r="DQ199" s="101">
        <f t="shared" si="328"/>
        <v>0</v>
      </c>
      <c r="DR199" s="91">
        <f t="shared" si="256"/>
        <v>0</v>
      </c>
      <c r="DS199" s="30" t="e">
        <f t="shared" si="310"/>
        <v>#N/A</v>
      </c>
      <c r="DT199" s="30" t="e">
        <f t="shared" si="311"/>
        <v>#N/A</v>
      </c>
      <c r="DU199" s="31" t="e">
        <f>IF(OR(Hypothèses!$B$4=17,Hypothèses!$B$4=18,Hypothèses!$B$4=19,Hypothèses!$B$4=20),
IF($D199="Pressio.",
IF(OR($E199=3,$E199=1,$E199=4),DT199,DS199),
IF($D199="Pénétro.",
IF(OR($E199=3,$E199=1,$E199=4),DT199,DS199))),IF($D199="Pressio.",
IF($E199=3,DT199,DS199),
IF($D199="Pénétro.",
IF($E199=4,DT199,DS199))))</f>
        <v>#N/A</v>
      </c>
      <c r="DV199" s="31">
        <v>0</v>
      </c>
      <c r="DW199" s="102" t="e">
        <f>IF(NDC!$H$10="Oui",(VLOOKUP($B$3,'Coeff EC7'!$T$39:$X$59,2,0)*DU199+VLOOKUP($B$3,'Coeff EC7'!$T$65:$X$85,2,0)*Model0.1T!DV199)/1.5,PI()*DS$12*$Q199*($B199-$B198)*0.15/10+DW198)</f>
        <v>#N/A</v>
      </c>
      <c r="DX199" s="102" t="e">
        <f>(VLOOKUP($B$3,'Coeff EC7'!$T$39:$X$59,3,0)*DU199+VLOOKUP($B$3,'Coeff EC7'!$T$65:$X$85,3,0)*Model0.1T!DV199)/1.1</f>
        <v>#N/A</v>
      </c>
      <c r="DY199" s="102" t="e">
        <f t="shared" si="290"/>
        <v>#N/A</v>
      </c>
      <c r="DZ199" s="102" t="e">
        <f t="shared" si="291"/>
        <v>#N/A</v>
      </c>
      <c r="EA199" s="414" t="e">
        <f>IF(AND(DW199&gt;NDC!$C$63,DX199&gt;NDC!$C$65,DY199&gt;NDC!$D$73,DZ199&gt;NDC!$D$74,$B199&gt;NDC!$H$22-0.1+MIN(3*EA$12,1.5)),0,1)</f>
        <v>#N/A</v>
      </c>
      <c r="EB199" s="86" t="b">
        <f t="shared" si="257"/>
        <v>0</v>
      </c>
      <c r="EC199" s="418">
        <f t="shared" si="258"/>
        <v>0.51</v>
      </c>
      <c r="ED199" s="86">
        <f t="shared" si="259"/>
        <v>0.51</v>
      </c>
      <c r="EE199" s="30" t="e">
        <f t="shared" ca="1" si="292"/>
        <v>#DIV/0!</v>
      </c>
      <c r="EF199" s="85" t="e">
        <f ca="1">IF(DL199&lt;=Hypothèses!$V$7,Hypothèses!$W$7,IF(DL199&lt;=Hypothèses!$V$8,Hypothèses!$W$8,IF(DL199&lt;=Hypothèses!$V$9,Hypothèses!$W$9,IF(DL199&lt;=Hypothèses!$V$10,Hypothèses!$W$10,IF(DL199&lt;=Hypothèses!$V$11,Hypothèses!$W$11,IF(DL199&lt;=Hypothèses!$V$12,Hypothèses!$W$12,IF(DL199&lt;=Hypothèses!$V$13,Hypothèses!$W$13,IF(DL199&lt;=Hypothèses!$V$14,Hypothèses!$W$14,IF(DL199&lt;=Hypothèses!$V$15,Hypothèses!$W$15,IF(DL199&lt;=Hypothèses!$V$16,Hypothèses!$W$16,IF(DL199&lt;=Hypothèses!$V$17,Hypothèses!$W$17,IF(DL199&lt;=Hypothèses!$V$18,Hypothèses!$W$18,""))))))))))))</f>
        <v>#DIV/0!</v>
      </c>
      <c r="EG199" s="87" t="e">
        <f t="shared" ca="1" si="322"/>
        <v>#DIV/0!</v>
      </c>
      <c r="EH199" s="88" t="e">
        <f ca="1">IF(DL199&lt;=Hypothèses!$V$7,Hypothèses!$X$7,IF(DL199&lt;=Hypothèses!$V$8,Hypothèses!$X$8,IF(DL199&lt;=Hypothèses!$V$9,Hypothèses!$X$9,IF(DL199&lt;=Hypothèses!$V$10,Hypothèses!$X$10,IF(DL199&lt;=Hypothèses!$V$11,Hypothèses!$X$11,IF(DL199&lt;=Hypothèses!$V$12,Hypothèses!$X$12,IF(DL199&lt;=Hypothèses!$V$13,Hypothèses!$X$13,IF(DL199&lt;=Hypothèses!$V$14,Hypothèses!$X$14,IF(DL199&lt;=Hypothèses!$V$15,Hypothèses!$X$15,IF(DL199&lt;=Hypothèses!$V$16,Hypothèses!$X$16,IF(DL199&lt;=Hypothèses!$U$17,Hypothèses!$W$17,IF(DL199&lt;=Hypothèses!$U$18,Hypothèses!$W$18,""))))))))))))</f>
        <v>#DIV/0!</v>
      </c>
      <c r="EI199" s="95" t="e">
        <f t="shared" ca="1" si="293"/>
        <v>#DIV/0!</v>
      </c>
      <c r="EJ199" s="101">
        <f t="shared" si="329"/>
        <v>0</v>
      </c>
      <c r="EK199" s="91">
        <f t="shared" si="260"/>
        <v>0</v>
      </c>
      <c r="EL199" s="30" t="e">
        <f t="shared" si="312"/>
        <v>#N/A</v>
      </c>
      <c r="EM199" s="30" t="e">
        <f t="shared" si="313"/>
        <v>#N/A</v>
      </c>
      <c r="EN199" s="31" t="e">
        <f>IF(OR(Hypothèses!$B$4=17,Hypothèses!$B$4=18,Hypothèses!$B$4=19,Hypothèses!$B$4=20),
IF($D199="Pressio.",
IF(OR($E199=3,$E199=1,$E199=4),EM199,EL199),
IF($D199="Pénétro.",
IF(OR($E199=3,$E199=1,$E199=4),EM199,EL199))),IF($D199="Pressio.",
IF($E199=3,EM199,EL199),
IF($D199="Pénétro.",
IF($E199=4,EM199,EL199))))</f>
        <v>#N/A</v>
      </c>
      <c r="EO199" s="31">
        <v>0</v>
      </c>
      <c r="EP199" s="102" t="e">
        <f>IF(NDC!$H$10="Oui",(VLOOKUP($B$3,'Coeff EC7'!$T$39:$X$59,2,0)*EN199+VLOOKUP($B$3,'Coeff EC7'!$T$65:$X$85,2,0)*Model0.1T!EO199)/1.5,PI()*EL$12*$Q199*($B199-$B198)*0.15/10+EP198)</f>
        <v>#N/A</v>
      </c>
      <c r="EQ199" s="102" t="e">
        <f>(VLOOKUP($B$3,'Coeff EC7'!$T$39:$X$59,3,0)*EN199+VLOOKUP($B$3,'Coeff EC7'!$T$65:$X$85,3,0)*Model0.1T!EO199)/1.1</f>
        <v>#N/A</v>
      </c>
      <c r="ER199" s="102" t="e">
        <f t="shared" si="294"/>
        <v>#N/A</v>
      </c>
      <c r="ES199" s="102" t="e">
        <f t="shared" si="295"/>
        <v>#N/A</v>
      </c>
      <c r="ET199" s="414" t="e">
        <f>IF(AND(EP199&gt;NDC!$C$63,EQ199&gt;NDC!$C$65,ER199&gt;NDC!$D$73,ES199&gt;NDC!$D$74,$B199&gt;NDC!$H$22-0.1+MIN(3*ET$12,1.5)),0,1)</f>
        <v>#N/A</v>
      </c>
      <c r="EU199" s="86" t="b">
        <f t="shared" si="261"/>
        <v>0</v>
      </c>
      <c r="EV199" s="86">
        <f t="shared" si="262"/>
        <v>0.61</v>
      </c>
      <c r="EW199" s="86">
        <f t="shared" si="263"/>
        <v>0.61</v>
      </c>
      <c r="EX199" s="30" t="e">
        <f t="shared" ca="1" si="296"/>
        <v>#DIV/0!</v>
      </c>
      <c r="EY199" s="85" t="e">
        <f ca="1">IF(EE199&lt;=Hypothèses!$V$7,Hypothèses!$W$7,IF(EE199&lt;=Hypothèses!$V$8,Hypothèses!$W$8,IF(EE199&lt;=Hypothèses!$V$9,Hypothèses!$W$9,IF(EE199&lt;=Hypothèses!$V$10,Hypothèses!$W$10,IF(EE199&lt;=Hypothèses!$V$11,Hypothèses!$W$11,IF(EE199&lt;=Hypothèses!$V$12,Hypothèses!$W$12,IF(EE199&lt;=Hypothèses!$V$13,Hypothèses!$W$13,IF(EE199&lt;=Hypothèses!$V$14,Hypothèses!$W$14,IF(EE199&lt;=Hypothèses!$V$15,Hypothèses!$W$15,IF(EE199&lt;=Hypothèses!$V$16,Hypothèses!$W$16,IF(EE199&lt;=Hypothèses!$V$17,Hypothèses!$W$17,IF(EE199&lt;=Hypothèses!$V$18,Hypothèses!$W$18,""))))))))))))</f>
        <v>#DIV/0!</v>
      </c>
      <c r="EZ199" s="87" t="e">
        <f t="shared" ca="1" si="323"/>
        <v>#DIV/0!</v>
      </c>
      <c r="FA199" s="88" t="e">
        <f ca="1">IF(EE199&lt;=Hypothèses!$V$7,Hypothèses!$X$7,IF(EE199&lt;=Hypothèses!$V$8,Hypothèses!$X$8,IF(EE199&lt;=Hypothèses!$V$9,Hypothèses!$X$9,IF(EE199&lt;=Hypothèses!$V$10,Hypothèses!$X$10,IF(EE199&lt;=Hypothèses!$V$11,Hypothèses!$X$11,IF(EE199&lt;=Hypothèses!$V$12,Hypothèses!$X$12,IF(EE199&lt;=Hypothèses!$V$13,Hypothèses!$X$13,IF(EE199&lt;=Hypothèses!$V$14,Hypothèses!$X$14,IF(EE199&lt;=Hypothèses!$V$15,Hypothèses!$X$15,IF(EE199&lt;=Hypothèses!$V$16,Hypothèses!$X$16,IF(EE199&lt;=Hypothèses!$U$17,Hypothèses!$W$17,IF(EE199&lt;=Hypothèses!$U$18,Hypothèses!$W$18,""))))))))))))</f>
        <v>#DIV/0!</v>
      </c>
      <c r="FB199" s="95" t="e">
        <f t="shared" ca="1" si="297"/>
        <v>#DIV/0!</v>
      </c>
      <c r="FC199" s="101">
        <f t="shared" si="330"/>
        <v>0</v>
      </c>
      <c r="FD199" s="91">
        <f t="shared" si="264"/>
        <v>0</v>
      </c>
      <c r="FE199" s="30" t="e">
        <f t="shared" si="314"/>
        <v>#N/A</v>
      </c>
      <c r="FF199" s="30" t="e">
        <f t="shared" si="315"/>
        <v>#N/A</v>
      </c>
      <c r="FG199" s="31" t="e">
        <f>IF(OR(Hypothèses!$B$4=17,Hypothèses!$B$4=18,Hypothèses!$B$4=19,Hypothèses!$B$4=20),
IF($D199="Pressio.",
IF(OR($E199=3,$E199=1,$E199=4),FF199,FE199),
IF($D199="Pénétro.",
IF(OR($E199=3,$E199=1,$E199=4),FF199,FE199))),IF($D199="Pressio.",
IF($E199=3,FF199,FE199),
IF($D199="Pénétro.",
IF($E199=4,FF199,FE199))))</f>
        <v>#N/A</v>
      </c>
      <c r="FH199" s="31">
        <v>0</v>
      </c>
      <c r="FI199" s="102" t="e">
        <f>IF(NDC!$H$10="Oui",(VLOOKUP($B$3,'Coeff EC7'!$T$39:$X$59,2,0)*FG199+VLOOKUP($B$3,'Coeff EC7'!$T$65:$X$85,2,0)*Model0.1T!FH199)/1.5,PI()*FE$12*$Q199*($B199-$B198)*0.15/10+FI198)</f>
        <v>#N/A</v>
      </c>
      <c r="FJ199" s="102" t="e">
        <f>(VLOOKUP($B$3,'Coeff EC7'!$T$39:$X$59,3,0)*FG199+VLOOKUP($B$3,'Coeff EC7'!$T$65:$X$85,3,0)*Model0.1T!FH199)/1.1</f>
        <v>#N/A</v>
      </c>
      <c r="FK199" s="102" t="e">
        <f t="shared" si="298"/>
        <v>#N/A</v>
      </c>
      <c r="FL199" s="102" t="e">
        <f t="shared" si="299"/>
        <v>#N/A</v>
      </c>
      <c r="FM199" s="414" t="e">
        <f>IF(AND(FI199&gt;NDC!$C$63,FJ199&gt;NDC!$C$65,FK199&gt;NDC!$D$73,FL199&gt;NDC!$D$74,$B199&gt;NDC!$H$22-0.1+MIN(3*FM$12,1.5)),0,1)</f>
        <v>#N/A</v>
      </c>
    </row>
    <row r="200" spans="1:169">
      <c r="A200" s="96">
        <f t="shared" si="265"/>
        <v>81.300000000001063</v>
      </c>
      <c r="B200" s="97">
        <v>18.7</v>
      </c>
      <c r="C200" s="81">
        <f>IF(B200&lt;=Hypothèses!$C$7,Hypothèses!$A$7,IF(B200&lt;=Hypothèses!$C$8,Hypothèses!$A$8,IF(B200&lt;=Hypothèses!$C$9,Hypothèses!$A$9,IF(B200&lt;=Hypothèses!$C$10,Hypothèses!$A$10,IF(B200&lt;=Hypothèses!$C$11,Hypothèses!$A$11,IF(B200&lt;=Hypothèses!$C$12,Hypothèses!$A$12,IF(B200&lt;=Hypothèses!$C$13,Hypothèses!$A$13,IF(B200&lt;=Hypothèses!$C$14,Hypothèses!$A$14,IF(B200&lt;=Hypothèses!$C$15,Hypothèses!$A$15,IF(B200&lt;=Hypothèses!$C$16,Hypothèses!$A$16,IF(B200&lt;=Hypothèses!$C$17,Hypothèses!$A$17,IF(B200&lt;=Hypothèses!$C$18,Hypothèses!$A$18,C199))))))))))))</f>
        <v>11</v>
      </c>
      <c r="D200" s="82" t="str">
        <f>IF(B200&lt;=Hypothèses!$C$7,Hypothèses!$R$7,IF(B200&lt;=Hypothèses!$C$8,Hypothèses!$R$8,IF(B200&lt;=Hypothèses!$C$9,Hypothèses!$R$9,IF(B200&lt;=Hypothèses!$C$10,Hypothèses!$R$10,IF(B200&lt;=Hypothèses!$C$11,Hypothèses!$R$11,IF(B200&lt;=Hypothèses!$C$12,Hypothèses!$R$12,IF(B200&lt;=Hypothèses!$C$13,Hypothèses!$R$13,IF(B200&lt;=Hypothèses!$C$14,Hypothèses!$R$14,IF(B200&lt;=Hypothèses!$C$15,Hypothèses!$R$15,IF(B200&lt;=Hypothèses!$C$16,Hypothèses!$R$16,IF(B200&lt;=Hypothèses!$C$17,Hypothèses!$R$17,IF(B200&lt;=Hypothèses!$C$18,Hypothèses!$R$18,D199))))))))))))</f>
        <v>Pressio.</v>
      </c>
      <c r="E200" s="82" t="e">
        <f>IF(B200&lt;=Hypothèses!$C$7,Hypothèses!$G$7,IF(B200&lt;=Hypothèses!$C$8,Hypothèses!$G$8,IF(B200&lt;=Hypothèses!$C$9,Hypothèses!$G$9,IF(B200&lt;=Hypothèses!$C$10,Hypothèses!$G$10,IF(B200&lt;=Hypothèses!$C$11,Hypothèses!$G$11,IF(B200&lt;=Hypothèses!$C$12,Hypothèses!$G$12,IF(B200&lt;=Hypothèses!$C$13,Hypothèses!$G$13,IF(B200&lt;=Hypothèses!$C$14,Hypothèses!$G$14,IF(B200&lt;=Hypothèses!$C$15,Hypothèses!$G$15,IF(B200&lt;=Hypothèses!$C$16,Hypothèses!$G$16,IF(B200&lt;=Hypothèses!$C$17,Hypothèses!$G$17,IF(B200&lt;=Hypothèses!$C$18,Hypothèses!$G$18,E199))))))))))))</f>
        <v>#N/A</v>
      </c>
      <c r="F200" s="82" t="str">
        <f>IF(B200&lt;=Hypothèses!$C$7,Hypothèses!$F$7,IF(B200&lt;=Hypothèses!$C$8,Hypothèses!$F$8,IF(B200&lt;=Hypothèses!$C$9,Hypothèses!$F$9,IF(B200&lt;=Hypothèses!$C$10,Hypothèses!$F$10,IF(B200&lt;=Hypothèses!$C$11,Hypothèses!$F$11,IF(B200&lt;=Hypothèses!$C$12,Hypothèses!$F$12,IF(B200&lt;=Hypothèses!$C$13,Hypothèses!$F$13,IF(B200&lt;=Hypothèses!$C$14,Hypothèses!$F$14,IF(B200&lt;=Hypothèses!$C$15,Hypothèses!$F$15,IF(B200&lt;=Hypothèses!$C$16,Hypothèses!$F$16,IF(B200&lt;=Hypothèses!$C$17,Hypothèses!$F$17,IF(B200&lt;=Hypothèses!$C$18,Hypothèses!$F$18,F199))))))))))))</f>
        <v/>
      </c>
      <c r="G200" s="91">
        <f t="array" ref="G200">INDEX('Coeff EC7'!$U$7:$X$27,
MATCH(Model0.1T!$B$3,'Coeff EC7'!$T$7:$T$27,0),
MATCH(Model0.1T!$D200&amp;Model0.1T!$B$4,
'Coeff EC7'!$U$6:$X$6&amp;
'Coeff EC7'!$U$5:$X$5,0))</f>
        <v>1.4</v>
      </c>
      <c r="H200" s="91">
        <f t="array" ref="H200">INDEX('Coeff EC7'!$Y$7:$AB$27,
MATCH(Model0.1T!$B$3,'Coeff EC7'!$T$7:$T$27,0),
MATCH(Model0.1T!$D200&amp;Model0.1T!$B$4,
'Coeff EC7'!$Y$6:$AB$6&amp;
'Coeff EC7'!$Y$5:$AB$5,0))</f>
        <v>1.7</v>
      </c>
      <c r="I200" s="83">
        <v>0</v>
      </c>
      <c r="J200" s="91" t="e">
        <f t="array" ref="J200">INDEX('Coeff EC7'!$D$33:$Q$33,1,MATCH(D200&amp;E200,'Coeff EC7'!$D$31:$Q$31&amp;'Coeff EC7'!$D$32:$Q$32,0))</f>
        <v>#N/A</v>
      </c>
      <c r="K200" s="91" t="e">
        <f t="array" ref="K200">INDEX('Coeff EC7'!$D$34:$Q$34,1,MATCH(D200&amp;E200,'Coeff EC7'!$D$31:$Q$31&amp;'Coeff EC7'!$D$32:$Q$32,0))</f>
        <v>#N/A</v>
      </c>
      <c r="L200" s="91" t="e">
        <f t="array" ref="L200">INDEX('Coeff EC7'!$D$35:$Q$35,1,MATCH(D200&amp;E200,'Coeff EC7'!$D$31:$Q$31&amp;'Coeff EC7'!$D$32:$Q$32,0))</f>
        <v>#N/A</v>
      </c>
      <c r="M200" s="98" t="e">
        <f t="shared" si="231"/>
        <v>#N/A</v>
      </c>
      <c r="N200" s="99" t="e">
        <f t="array" ref="N200">INDEX('Coeff EC7'!$D$7:$Q$27,MATCH($B$3,'Coeff EC7'!$C$7:$C$27,0),MATCH(D200&amp;E200,'Coeff EC7'!$D$5:$Q$5&amp;'Coeff EC7'!$D$6:$Q$6,0))</f>
        <v>#N/A</v>
      </c>
      <c r="O200" s="99" t="e">
        <f t="array" ref="O200">INDEX('Coeff EC7'!$D$41:$Q$61,MATCH($B$3,'Coeff EC7'!$C$41:$C$61,0),MATCH(D200&amp;E200,'Coeff EC7'!$D$39:$Q$39&amp;'Coeff EC7'!$D$40:$Q$40,0))</f>
        <v>#N/A</v>
      </c>
      <c r="P200" s="30" t="e">
        <f t="shared" si="266"/>
        <v>#N/A</v>
      </c>
      <c r="Q200" s="100" t="e">
        <f t="shared" si="233"/>
        <v>#N/A</v>
      </c>
      <c r="R200" s="86" t="b">
        <f t="shared" si="234"/>
        <v>0</v>
      </c>
      <c r="S200" s="86">
        <f t="shared" si="232"/>
        <v>0.5</v>
      </c>
      <c r="T200" s="86">
        <f t="shared" si="235"/>
        <v>0.5</v>
      </c>
      <c r="U200" s="30" t="e">
        <f t="shared" ca="1" si="267"/>
        <v>#DIV/0!</v>
      </c>
      <c r="V200" s="85" t="str">
        <f>IF(B200&lt;=Hypothèses!$V$7,Hypothèses!$W$7,IF(B200&lt;=Hypothèses!$V$8,Hypothèses!$W$8,IF(B200&lt;=Hypothèses!$V$9,Hypothèses!$W$9,IF(B200&lt;=Hypothèses!$V$10,Hypothèses!$W$10,IF(B200&lt;=Hypothèses!$V$11,Hypothèses!$W$11,IF(B200&lt;=Hypothèses!$V$12,Hypothèses!$W$12,IF(B200&lt;=Hypothèses!$V$13,Hypothèses!$W$13,IF(B200&lt;=Hypothèses!$V$14,Hypothèses!$W$14,IF(B200&lt;=Hypothèses!$V$15,Hypothèses!$W$15,IF(B200&lt;=Hypothèses!$V$16,Hypothèses!$W$16,IF(B200&lt;=Hypothèses!$V$17,Hypothèses!$W$17,IF(B200&lt;=Hypothèses!$V$18,Hypothèses!$W$18,""))))))))))))</f>
        <v/>
      </c>
      <c r="W200" s="87" t="e">
        <f t="shared" ca="1" si="316"/>
        <v>#DIV/0!</v>
      </c>
      <c r="X200" s="88" t="str">
        <f>IF(B200&lt;=Hypothèses!$V$7,Hypothèses!$X$7,IF(B200&lt;=Hypothèses!$V$8,Hypothèses!$X$8,IF(B200&lt;=Hypothèses!$V$9,Hypothèses!$X$9,IF(B200&lt;=Hypothèses!$V$10,Hypothèses!$X$10,IF(B200&lt;=Hypothèses!$V$11,Hypothèses!$X$11,IF(B200&lt;=Hypothèses!$V$12,Hypothèses!$X$12,IF(B200&lt;=Hypothèses!$V$13,Hypothèses!$X$13,IF(B200&lt;=Hypothèses!$V$14,Hypothèses!$X$14,IF(B200&lt;=Hypothèses!$V$15,Hypothèses!$X$15,IF(B200&lt;=Hypothèses!$V$16,Hypothèses!$X$16,IF(B200&lt;=Hypothèses!$U$17,Hypothèses!$W$17,IF(B200&lt;=Hypothèses!$U$18,Hypothèses!$W$18,""))))))))))))</f>
        <v/>
      </c>
      <c r="Y200" s="95" t="e">
        <f t="shared" ca="1" si="236"/>
        <v>#DIV/0!</v>
      </c>
      <c r="Z200" s="101">
        <f t="shared" si="237"/>
        <v>0</v>
      </c>
      <c r="AA200" s="91">
        <f t="shared" si="238"/>
        <v>0</v>
      </c>
      <c r="AB200" s="30" t="e">
        <f t="shared" si="300"/>
        <v>#N/A</v>
      </c>
      <c r="AC200" s="30" t="e">
        <f t="shared" si="301"/>
        <v>#N/A</v>
      </c>
      <c r="AD200" s="31" t="e">
        <f>IF(OR(Hypothèses!$B$4=17,Hypothèses!$B$4=18,Hypothèses!$B$4=19,Hypothèses!$B$4=20),
IF($D200="Pressio.",
IF(OR($E200=3,$E200=1,$E200=4),AC200,AB200),
IF($D200="Pénétro.",
IF(OR($E200=3,$E200=1,$E200=4),AC200,AB200))),IF($D200="Pressio.",
IF($E200=3,AC200,AB200),
IF($D200="Pénétro.",
IF($E200=4,AC200,AB200))))</f>
        <v>#N/A</v>
      </c>
      <c r="AE200" s="31">
        <v>0</v>
      </c>
      <c r="AF200" s="102" t="e">
        <f>IF(NDC!$H$10="Oui",(VLOOKUP($B$3,'Coeff EC7'!$T$39:$X$59,2,0)*AD200+VLOOKUP($B$3,'Coeff EC7'!$T$65:$X$85,2,0)*Model0.1T!AE200)/1.5,PI()*AB$12*$Q200*($B200-$B199)*0.15/10+AF199)</f>
        <v>#N/A</v>
      </c>
      <c r="AG200" s="102" t="e">
        <f>(VLOOKUP($B$3,'Coeff EC7'!$T$39:$X$59,3,0)*AD200+VLOOKUP($B$3,'Coeff EC7'!$T$65:$X$85,3,0)*Model0.1T!AE200)/1.1</f>
        <v>#N/A</v>
      </c>
      <c r="AH200" s="102" t="e">
        <f t="shared" si="268"/>
        <v>#N/A</v>
      </c>
      <c r="AI200" s="102" t="e">
        <f t="shared" si="269"/>
        <v>#N/A</v>
      </c>
      <c r="AJ200" s="414" t="e">
        <f>IF(AND(AF200&gt;NDC!$C$63,AG200&gt;NDC!$C$65,AH200&gt;NDC!$D$73,AI200&gt;NDC!$D$74,$B200&gt;NDC!$H$22-0.1+MIN(3*$AJ$12,1.5)),0,1)</f>
        <v>#N/A</v>
      </c>
      <c r="AK200" s="86" t="b">
        <f t="shared" si="239"/>
        <v>0</v>
      </c>
      <c r="AL200" s="86">
        <f t="shared" si="270"/>
        <v>0.5</v>
      </c>
      <c r="AM200" s="86">
        <f t="shared" si="240"/>
        <v>0.5</v>
      </c>
      <c r="AN200" s="30" t="e">
        <f t="shared" ca="1" si="271"/>
        <v>#DIV/0!</v>
      </c>
      <c r="AO200" s="85" t="e">
        <f ca="1">IF(U200&lt;=Hypothèses!$V$7,Hypothèses!$W$7,IF(U200&lt;=Hypothèses!$V$8,Hypothèses!$W$8,IF(U200&lt;=Hypothèses!$V$9,Hypothèses!$W$9,IF(U200&lt;=Hypothèses!$V$10,Hypothèses!$W$10,IF(U200&lt;=Hypothèses!$V$11,Hypothèses!$W$11,IF(U200&lt;=Hypothèses!$V$12,Hypothèses!$W$12,IF(U200&lt;=Hypothèses!$V$13,Hypothèses!$W$13,IF(U200&lt;=Hypothèses!$V$14,Hypothèses!$W$14,IF(U200&lt;=Hypothèses!$V$15,Hypothèses!$W$15,IF(U200&lt;=Hypothèses!$V$16,Hypothèses!$W$16,IF(U200&lt;=Hypothèses!$V$17,Hypothèses!$W$17,IF(U200&lt;=Hypothèses!$V$18,Hypothèses!$W$18,""))))))))))))</f>
        <v>#DIV/0!</v>
      </c>
      <c r="AP200" s="87" t="e">
        <f t="shared" ca="1" si="317"/>
        <v>#DIV/0!</v>
      </c>
      <c r="AQ200" s="88" t="e">
        <f ca="1">IF(U200&lt;=Hypothèses!$V$7,Hypothèses!$X$7,IF(U200&lt;=Hypothèses!$V$8,Hypothèses!$X$8,IF(U200&lt;=Hypothèses!$V$9,Hypothèses!$X$9,IF(U200&lt;=Hypothèses!$V$10,Hypothèses!$X$10,IF(U200&lt;=Hypothèses!$V$11,Hypothèses!$X$11,IF(U200&lt;=Hypothèses!$V$12,Hypothèses!$X$12,IF(U200&lt;=Hypothèses!$V$13,Hypothèses!$X$13,IF(U200&lt;=Hypothèses!$V$14,Hypothèses!$X$14,IF(U200&lt;=Hypothèses!$V$15,Hypothèses!$X$15,IF(U200&lt;=Hypothèses!$V$16,Hypothèses!$X$16,IF(U200&lt;=Hypothèses!$U$17,Hypothèses!$W$17,IF(U200&lt;=Hypothèses!$U$18,Hypothèses!$W$18,""))))))))))))</f>
        <v>#DIV/0!</v>
      </c>
      <c r="AR200" s="95" t="e">
        <f t="shared" ca="1" si="272"/>
        <v>#DIV/0!</v>
      </c>
      <c r="AS200" s="101">
        <f t="shared" si="324"/>
        <v>0</v>
      </c>
      <c r="AT200" s="91">
        <f t="shared" si="241"/>
        <v>0</v>
      </c>
      <c r="AU200" s="30" t="e">
        <f t="shared" si="302"/>
        <v>#N/A</v>
      </c>
      <c r="AV200" s="30" t="e">
        <f t="shared" si="303"/>
        <v>#N/A</v>
      </c>
      <c r="AW200" s="31" t="e">
        <f>IF(OR(Hypothèses!$B$4=17,Hypothèses!$B$4=18,Hypothèses!$B$4=19,Hypothèses!$B$4=20),
IF($D200="Pressio.",
IF(OR($E200=3,$E200=1,$E200=4),AV200,AU200),
IF($D200="Pénétro.",
IF(OR($E200=3,$E200=1,$E200=4),AV200,AU200))),IF($D200="Pressio.",
IF($E200=3,AV200,AU200),
IF($D200="Pénétro.",
IF($E200=4,AV200,AU200))))</f>
        <v>#N/A</v>
      </c>
      <c r="AX200" s="31">
        <v>0</v>
      </c>
      <c r="AY200" s="102" t="e">
        <f>IF(NDC!$H$10="Oui",(VLOOKUP($B$3,'Coeff EC7'!$T$39:$X$59,2,0)*AW200+VLOOKUP($B$3,'Coeff EC7'!$T$65:$X$85,2,0)*Model0.1T!AX200)/1.5,PI()*AU$12*$Q200*($B200-$B199)*0.15/10+AY199)</f>
        <v>#N/A</v>
      </c>
      <c r="AZ200" s="102" t="e">
        <f>(VLOOKUP($B$3,'Coeff EC7'!$T$39:$X$59,3,0)*AW200+VLOOKUP($B$3,'Coeff EC7'!$T$65:$X$85,3,0)*Model0.1T!AX200)/1.1</f>
        <v>#N/A</v>
      </c>
      <c r="BA200" s="102" t="e">
        <f t="shared" si="273"/>
        <v>#N/A</v>
      </c>
      <c r="BB200" s="102" t="e">
        <f t="shared" si="274"/>
        <v>#N/A</v>
      </c>
      <c r="BC200" s="414" t="e">
        <f>IF(AND(AY200&gt;NDC!$C$63,AZ200&gt;NDC!$C$65,BA200&gt;NDC!$D$73,BB200&gt;NDC!$D$74,$B200&gt;NDC!$H$22-0.1+MIN(3*BC$12,1.5)),0,1)</f>
        <v>#N/A</v>
      </c>
      <c r="BD200" s="86" t="b">
        <f t="shared" si="242"/>
        <v>0</v>
      </c>
      <c r="BE200" s="86">
        <f t="shared" si="275"/>
        <v>0.5</v>
      </c>
      <c r="BF200" s="86">
        <f t="shared" si="243"/>
        <v>0.5</v>
      </c>
      <c r="BG200" s="30" t="e">
        <f t="shared" ca="1" si="276"/>
        <v>#DIV/0!</v>
      </c>
      <c r="BH200" s="85" t="e">
        <f ca="1">IF(AN200&lt;=Hypothèses!$V$7,Hypothèses!$W$7,IF(AN200&lt;=Hypothèses!$V$8,Hypothèses!$W$8,IF(AN200&lt;=Hypothèses!$V$9,Hypothèses!$W$9,IF(AN200&lt;=Hypothèses!$V$10,Hypothèses!$W$10,IF(AN200&lt;=Hypothèses!$V$11,Hypothèses!$W$11,IF(AN200&lt;=Hypothèses!$V$12,Hypothèses!$W$12,IF(AN200&lt;=Hypothèses!$V$13,Hypothèses!$W$13,IF(AN200&lt;=Hypothèses!$V$14,Hypothèses!$W$14,IF(AN200&lt;=Hypothèses!$V$15,Hypothèses!$W$15,IF(AN200&lt;=Hypothèses!$V$16,Hypothèses!$W$16,IF(AN200&lt;=Hypothèses!$V$17,Hypothèses!$W$17,IF(AN200&lt;=Hypothèses!$V$18,Hypothèses!$W$18,""))))))))))))</f>
        <v>#DIV/0!</v>
      </c>
      <c r="BI200" s="87" t="e">
        <f t="shared" ca="1" si="318"/>
        <v>#DIV/0!</v>
      </c>
      <c r="BJ200" s="88" t="e">
        <f ca="1">IF(AN200&lt;=Hypothèses!$V$7,Hypothèses!$X$7,IF(AN200&lt;=Hypothèses!$V$8,Hypothèses!$X$8,IF(AN200&lt;=Hypothèses!$V$9,Hypothèses!$X$9,IF(AN200&lt;=Hypothèses!$V$10,Hypothèses!$X$10,IF(AN200&lt;=Hypothèses!$V$11,Hypothèses!$X$11,IF(AN200&lt;=Hypothèses!$V$12,Hypothèses!$X$12,IF(AN200&lt;=Hypothèses!$V$13,Hypothèses!$X$13,IF(AN200&lt;=Hypothèses!$V$14,Hypothèses!$X$14,IF(AN200&lt;=Hypothèses!$V$15,Hypothèses!$X$15,IF(AN200&lt;=Hypothèses!$V$16,Hypothèses!$X$16,IF(AN200&lt;=Hypothèses!$U$17,Hypothèses!$W$17,IF(AN200&lt;=Hypothèses!$U$18,Hypothèses!$W$18,""))))))))))))</f>
        <v>#DIV/0!</v>
      </c>
      <c r="BK200" s="95" t="e">
        <f t="shared" ca="1" si="277"/>
        <v>#DIV/0!</v>
      </c>
      <c r="BL200" s="101">
        <f t="shared" si="325"/>
        <v>0</v>
      </c>
      <c r="BM200" s="91">
        <f t="shared" si="244"/>
        <v>0</v>
      </c>
      <c r="BN200" s="30" t="e">
        <f t="shared" si="304"/>
        <v>#N/A</v>
      </c>
      <c r="BO200" s="30" t="e">
        <f t="shared" si="305"/>
        <v>#N/A</v>
      </c>
      <c r="BP200" s="31" t="e">
        <f>IF(OR(Hypothèses!$B$4=17,Hypothèses!$B$4=18,Hypothèses!$B$4=19,Hypothèses!$B$4=20),
IF($D200="Pressio.",
IF(OR($E200=3,$E200=1,$E200=4),BO200,BN200),
IF($D200="Pénétro.",
IF(OR($E200=3,$E200=1,$E200=4),BO200,BN200))),IF($D200="Pressio.",
IF($E200=3,BO200,BN200),
IF($D200="Pénétro.",
IF($E200=4,BO200,BN200))))</f>
        <v>#N/A</v>
      </c>
      <c r="BQ200" s="31">
        <v>0</v>
      </c>
      <c r="BR200" s="102" t="e">
        <f>IF(NDC!$H$10="Oui",(VLOOKUP($B$3,'Coeff EC7'!$T$39:$X$59,2,0)*BP200+VLOOKUP($B$3,'Coeff EC7'!$T$65:$X$85,2,0)*Model0.1T!BQ200)/1.5,PI()*BN$12*$Q200*($B200-$B199)*0.15/10+BR199)</f>
        <v>#N/A</v>
      </c>
      <c r="BS200" s="102" t="e">
        <f>(VLOOKUP($B$3,'Coeff EC7'!$T$39:$X$59,3,0)*BP200+VLOOKUP($B$3,'Coeff EC7'!$T$65:$X$85,3,0)*Model0.1T!BQ200)/1.1</f>
        <v>#N/A</v>
      </c>
      <c r="BT200" s="102" t="e">
        <f t="shared" si="278"/>
        <v>#N/A</v>
      </c>
      <c r="BU200" s="102" t="e">
        <f t="shared" si="279"/>
        <v>#N/A</v>
      </c>
      <c r="BV200" s="414" t="e">
        <f>IF(AND(BR200&gt;NDC!$C$63,BS200&gt;NDC!$C$65,BT200&gt;NDC!$D$73,BU200&gt;NDC!$D$74,$B200&gt;NDC!$H$22-0.1+MIN(3*BV$12,1.5)),0,1)</f>
        <v>#N/A</v>
      </c>
      <c r="BW200" s="86" t="b">
        <f t="shared" si="245"/>
        <v>0</v>
      </c>
      <c r="BX200" s="86">
        <f t="shared" si="246"/>
        <v>0.5</v>
      </c>
      <c r="BY200" s="86">
        <f t="shared" si="247"/>
        <v>0.5</v>
      </c>
      <c r="BZ200" s="30" t="e">
        <f t="shared" ca="1" si="280"/>
        <v>#DIV/0!</v>
      </c>
      <c r="CA200" s="85" t="e">
        <f ca="1">IF(BG200&lt;=Hypothèses!$V$7,Hypothèses!$W$7,IF(BG200&lt;=Hypothèses!$V$8,Hypothèses!$W$8,IF(BG200&lt;=Hypothèses!$V$9,Hypothèses!$W$9,IF(BG200&lt;=Hypothèses!$V$10,Hypothèses!$W$10,IF(BG200&lt;=Hypothèses!$V$11,Hypothèses!$W$11,IF(BG200&lt;=Hypothèses!$V$12,Hypothèses!$W$12,IF(BG200&lt;=Hypothèses!$V$13,Hypothèses!$W$13,IF(BG200&lt;=Hypothèses!$V$14,Hypothèses!$W$14,IF(BG200&lt;=Hypothèses!$V$15,Hypothèses!$W$15,IF(BG200&lt;=Hypothèses!$V$16,Hypothèses!$W$16,IF(BG200&lt;=Hypothèses!$V$17,Hypothèses!$W$17,IF(BG200&lt;=Hypothèses!$V$18,Hypothèses!$W$18,""))))))))))))</f>
        <v>#DIV/0!</v>
      </c>
      <c r="CB200" s="87" t="e">
        <f t="shared" ca="1" si="319"/>
        <v>#DIV/0!</v>
      </c>
      <c r="CC200" s="88" t="e">
        <f ca="1">IF(BG200&lt;=Hypothèses!$V$7,Hypothèses!$X$7,IF(BG200&lt;=Hypothèses!$V$8,Hypothèses!$X$8,IF(BG200&lt;=Hypothèses!$V$9,Hypothèses!$X$9,IF(BG200&lt;=Hypothèses!$V$10,Hypothèses!$X$10,IF(BG200&lt;=Hypothèses!$V$11,Hypothèses!$X$11,IF(BG200&lt;=Hypothèses!$V$12,Hypothèses!$X$12,IF(BG200&lt;=Hypothèses!$V$13,Hypothèses!$X$13,IF(BG200&lt;=Hypothèses!$V$14,Hypothèses!$X$14,IF(BG200&lt;=Hypothèses!$V$15,Hypothèses!$X$15,IF(BG200&lt;=Hypothèses!$V$16,Hypothèses!$X$16,IF(BG200&lt;=Hypothèses!$U$17,Hypothèses!$W$17,IF(BG200&lt;=Hypothèses!$U$18,Hypothèses!$W$18,""))))))))))))</f>
        <v>#DIV/0!</v>
      </c>
      <c r="CD200" s="95" t="e">
        <f t="shared" ca="1" si="281"/>
        <v>#DIV/0!</v>
      </c>
      <c r="CE200" s="101">
        <f t="shared" si="326"/>
        <v>0</v>
      </c>
      <c r="CF200" s="91">
        <f t="shared" si="248"/>
        <v>0</v>
      </c>
      <c r="CG200" s="30" t="e">
        <f t="shared" si="306"/>
        <v>#N/A</v>
      </c>
      <c r="CH200" s="30" t="e">
        <f t="shared" si="307"/>
        <v>#N/A</v>
      </c>
      <c r="CI200" s="31" t="e">
        <f>IF(OR(Hypothèses!$B$4=17,Hypothèses!$B$4=18,Hypothèses!$B$4=19,Hypothèses!$B$4=20),
IF($D200="Pressio.",
IF(OR($E200=3,$E200=1,$E200=4),CH200,CG200),
IF($D200="Pénétro.",
IF(OR($E200=3,$E200=1,$E200=4),CH200,CG200))),IF($D200="Pressio.",
IF($E200=3,CH200,CG200),
IF($D200="Pénétro.",
IF($E200=4,CH200,CG200))))</f>
        <v>#N/A</v>
      </c>
      <c r="CJ200" s="31">
        <v>0</v>
      </c>
      <c r="CK200" s="102" t="e">
        <f>IF(NDC!$H$10="Oui",(VLOOKUP($B$3,'Coeff EC7'!$T$39:$X$59,2,0)*CI200+VLOOKUP($B$3,'Coeff EC7'!$T$65:$X$85,2,0)*Model0.1T!CJ200)/1.5,PI()*CG$12*$Q200*($B200-$B199)*0.15/10+CK199)</f>
        <v>#N/A</v>
      </c>
      <c r="CL200" s="102" t="e">
        <f>(VLOOKUP($B$3,'Coeff EC7'!$T$39:$X$59,3,0)*CI200+VLOOKUP($B$3,'Coeff EC7'!$T$65:$X$85,3,0)*Model0.1T!CJ200)/1.1</f>
        <v>#N/A</v>
      </c>
      <c r="CM200" s="102" t="e">
        <f t="shared" si="282"/>
        <v>#N/A</v>
      </c>
      <c r="CN200" s="102" t="e">
        <f t="shared" si="283"/>
        <v>#N/A</v>
      </c>
      <c r="CO200" s="414" t="e">
        <f>IF(AND(CK200&gt;NDC!$C$63,CL200&gt;NDC!$C$65,CM200&gt;NDC!$D$73,CN200&gt;NDC!$D$74,$B200&gt;NDC!$H$22-0.1+MIN(3*CO$12,1.5)),0,1)</f>
        <v>#N/A</v>
      </c>
      <c r="CP200" s="86" t="b">
        <f t="shared" si="249"/>
        <v>0</v>
      </c>
      <c r="CQ200" s="86">
        <f t="shared" si="250"/>
        <v>0.5</v>
      </c>
      <c r="CR200" s="86">
        <f t="shared" si="251"/>
        <v>0.5</v>
      </c>
      <c r="CS200" s="30" t="e">
        <f t="shared" ca="1" si="284"/>
        <v>#DIV/0!</v>
      </c>
      <c r="CT200" s="85" t="e">
        <f ca="1">IF(BZ200&lt;=Hypothèses!$V$7,Hypothèses!$W$7,IF(BZ200&lt;=Hypothèses!$V$8,Hypothèses!$W$8,IF(BZ200&lt;=Hypothèses!$V$9,Hypothèses!$W$9,IF(BZ200&lt;=Hypothèses!$V$10,Hypothèses!$W$10,IF(BZ200&lt;=Hypothèses!$V$11,Hypothèses!$W$11,IF(BZ200&lt;=Hypothèses!$V$12,Hypothèses!$W$12,IF(BZ200&lt;=Hypothèses!$V$13,Hypothèses!$W$13,IF(BZ200&lt;=Hypothèses!$V$14,Hypothèses!$W$14,IF(BZ200&lt;=Hypothèses!$V$15,Hypothèses!$W$15,IF(BZ200&lt;=Hypothèses!$V$16,Hypothèses!$W$16,IF(BZ200&lt;=Hypothèses!$V$17,Hypothèses!$W$17,IF(BZ200&lt;=Hypothèses!$V$18,Hypothèses!$W$18,""))))))))))))</f>
        <v>#DIV/0!</v>
      </c>
      <c r="CU200" s="87" t="e">
        <f t="shared" ca="1" si="320"/>
        <v>#DIV/0!</v>
      </c>
      <c r="CV200" s="88" t="e">
        <f ca="1">IF(BZ200&lt;=Hypothèses!$V$7,Hypothèses!$X$7,IF(BZ200&lt;=Hypothèses!$V$8,Hypothèses!$X$8,IF(BZ200&lt;=Hypothèses!$V$9,Hypothèses!$X$9,IF(BZ200&lt;=Hypothèses!$V$10,Hypothèses!$X$10,IF(BZ200&lt;=Hypothèses!$V$11,Hypothèses!$X$11,IF(BZ200&lt;=Hypothèses!$V$12,Hypothèses!$X$12,IF(BZ200&lt;=Hypothèses!$V$13,Hypothèses!$X$13,IF(BZ200&lt;=Hypothèses!$V$14,Hypothèses!$X$14,IF(BZ200&lt;=Hypothèses!$V$15,Hypothèses!$X$15,IF(BZ200&lt;=Hypothèses!$V$16,Hypothèses!$X$16,IF(BZ200&lt;=Hypothèses!$U$17,Hypothèses!$W$17,IF(BZ200&lt;=Hypothèses!$U$18,Hypothèses!$W$18,""))))))))))))</f>
        <v>#DIV/0!</v>
      </c>
      <c r="CW200" s="95" t="e">
        <f t="shared" ca="1" si="285"/>
        <v>#DIV/0!</v>
      </c>
      <c r="CX200" s="101">
        <f t="shared" si="327"/>
        <v>0</v>
      </c>
      <c r="CY200" s="91">
        <f t="shared" si="252"/>
        <v>0</v>
      </c>
      <c r="CZ200" s="30" t="e">
        <f t="shared" si="308"/>
        <v>#N/A</v>
      </c>
      <c r="DA200" s="30" t="e">
        <f t="shared" si="309"/>
        <v>#N/A</v>
      </c>
      <c r="DB200" s="31" t="e">
        <f>IF(OR(Hypothèses!$B$4=17,Hypothèses!$B$4=18,Hypothèses!$B$4=19,Hypothèses!$B$4=20),
IF($D200="Pressio.",
IF(OR($E200=3,$E200=1,$E200=4),DA200,CZ200),
IF($D200="Pénétro.",
IF(OR($E200=3,$E200=1,$E200=4),DA200,CZ200))),IF($D200="Pressio.",
IF($E200=3,DA200,CZ200),
IF($D200="Pénétro.",
IF($E200=4,DA200,CZ200))))</f>
        <v>#N/A</v>
      </c>
      <c r="DC200" s="31">
        <v>0</v>
      </c>
      <c r="DD200" s="102" t="e">
        <f>IF(NDC!$H$10="Oui",(VLOOKUP($B$3,'Coeff EC7'!$T$39:$X$59,2,0)*DB200+VLOOKUP($B$3,'Coeff EC7'!$T$65:$X$85,2,0)*Model0.1T!DC200)/1.5,PI()*CZ$12*$Q200*($B200-$B199)*0.15/10+DD199)</f>
        <v>#N/A</v>
      </c>
      <c r="DE200" s="102" t="e">
        <f>(VLOOKUP($B$3,'Coeff EC7'!$T$39:$X$59,3,0)*DB200+VLOOKUP($B$3,'Coeff EC7'!$T$65:$X$85,3,0)*Model0.1T!DC200)/1.1</f>
        <v>#N/A</v>
      </c>
      <c r="DF200" s="102" t="e">
        <f t="shared" si="286"/>
        <v>#N/A</v>
      </c>
      <c r="DG200" s="102" t="e">
        <f t="shared" si="287"/>
        <v>#N/A</v>
      </c>
      <c r="DH200" s="414" t="e">
        <f>IF(AND(DD200&gt;NDC!$C$63,DE200&gt;NDC!$C$65,DF200&gt;NDC!$D$73,DG200&gt;NDC!$D$74,$B200&gt;NDC!$H$22-0.1+MIN(3*DH$12,1.5)),0,1)</f>
        <v>#N/A</v>
      </c>
      <c r="DI200" s="86" t="b">
        <f t="shared" si="253"/>
        <v>0</v>
      </c>
      <c r="DJ200" s="86">
        <f t="shared" si="254"/>
        <v>0.5</v>
      </c>
      <c r="DK200" s="86">
        <f t="shared" si="255"/>
        <v>0.5</v>
      </c>
      <c r="DL200" s="30" t="e">
        <f t="shared" ca="1" si="288"/>
        <v>#DIV/0!</v>
      </c>
      <c r="DM200" s="85" t="e">
        <f ca="1">IF(CS200&lt;=Hypothèses!$V$7,Hypothèses!$W$7,IF(CS200&lt;=Hypothèses!$V$8,Hypothèses!$W$8,IF(CS200&lt;=Hypothèses!$V$9,Hypothèses!$W$9,IF(CS200&lt;=Hypothèses!$V$10,Hypothèses!$W$10,IF(CS200&lt;=Hypothèses!$V$11,Hypothèses!$W$11,IF(CS200&lt;=Hypothèses!$V$12,Hypothèses!$W$12,IF(CS200&lt;=Hypothèses!$V$13,Hypothèses!$W$13,IF(CS200&lt;=Hypothèses!$V$14,Hypothèses!$W$14,IF(CS200&lt;=Hypothèses!$V$15,Hypothèses!$W$15,IF(CS200&lt;=Hypothèses!$V$16,Hypothèses!$W$16,IF(CS200&lt;=Hypothèses!$V$17,Hypothèses!$W$17,IF(CS200&lt;=Hypothèses!$V$18,Hypothèses!$W$18,""))))))))))))</f>
        <v>#DIV/0!</v>
      </c>
      <c r="DN200" s="87" t="e">
        <f t="shared" ca="1" si="321"/>
        <v>#DIV/0!</v>
      </c>
      <c r="DO200" s="88" t="e">
        <f ca="1">IF(CS200&lt;=Hypothèses!$V$7,Hypothèses!$X$7,IF(CS200&lt;=Hypothèses!$V$8,Hypothèses!$X$8,IF(CS200&lt;=Hypothèses!$V$9,Hypothèses!$X$9,IF(CS200&lt;=Hypothèses!$V$10,Hypothèses!$X$10,IF(CS200&lt;=Hypothèses!$V$11,Hypothèses!$X$11,IF(CS200&lt;=Hypothèses!$V$12,Hypothèses!$X$12,IF(CS200&lt;=Hypothèses!$V$13,Hypothèses!$X$13,IF(CS200&lt;=Hypothèses!$V$14,Hypothèses!$X$14,IF(CS200&lt;=Hypothèses!$V$15,Hypothèses!$X$15,IF(CS200&lt;=Hypothèses!$V$16,Hypothèses!$X$16,IF(CS200&lt;=Hypothèses!$U$17,Hypothèses!$W$17,IF(CS200&lt;=Hypothèses!$U$18,Hypothèses!$W$18,""))))))))))))</f>
        <v>#DIV/0!</v>
      </c>
      <c r="DP200" s="95" t="e">
        <f t="shared" ca="1" si="289"/>
        <v>#DIV/0!</v>
      </c>
      <c r="DQ200" s="101">
        <f t="shared" si="328"/>
        <v>0</v>
      </c>
      <c r="DR200" s="91">
        <f t="shared" si="256"/>
        <v>0</v>
      </c>
      <c r="DS200" s="30" t="e">
        <f t="shared" si="310"/>
        <v>#N/A</v>
      </c>
      <c r="DT200" s="30" t="e">
        <f t="shared" si="311"/>
        <v>#N/A</v>
      </c>
      <c r="DU200" s="31" t="e">
        <f>IF(OR(Hypothèses!$B$4=17,Hypothèses!$B$4=18,Hypothèses!$B$4=19,Hypothèses!$B$4=20),
IF($D200="Pressio.",
IF(OR($E200=3,$E200=1,$E200=4),DT200,DS200),
IF($D200="Pénétro.",
IF(OR($E200=3,$E200=1,$E200=4),DT200,DS200))),IF($D200="Pressio.",
IF($E200=3,DT200,DS200),
IF($D200="Pénétro.",
IF($E200=4,DT200,DS200))))</f>
        <v>#N/A</v>
      </c>
      <c r="DV200" s="31">
        <v>0</v>
      </c>
      <c r="DW200" s="102" t="e">
        <f>IF(NDC!$H$10="Oui",(VLOOKUP($B$3,'Coeff EC7'!$T$39:$X$59,2,0)*DU200+VLOOKUP($B$3,'Coeff EC7'!$T$65:$X$85,2,0)*Model0.1T!DV200)/1.5,PI()*DS$12*$Q200*($B200-$B199)*0.15/10+DW199)</f>
        <v>#N/A</v>
      </c>
      <c r="DX200" s="102" t="e">
        <f>(VLOOKUP($B$3,'Coeff EC7'!$T$39:$X$59,3,0)*DU200+VLOOKUP($B$3,'Coeff EC7'!$T$65:$X$85,3,0)*Model0.1T!DV200)/1.1</f>
        <v>#N/A</v>
      </c>
      <c r="DY200" s="102" t="e">
        <f t="shared" si="290"/>
        <v>#N/A</v>
      </c>
      <c r="DZ200" s="102" t="e">
        <f t="shared" si="291"/>
        <v>#N/A</v>
      </c>
      <c r="EA200" s="414" t="e">
        <f>IF(AND(DW200&gt;NDC!$C$63,DX200&gt;NDC!$C$65,DY200&gt;NDC!$D$73,DZ200&gt;NDC!$D$74,$B200&gt;NDC!$H$22-0.1+MIN(3*EA$12,1.5)),0,1)</f>
        <v>#N/A</v>
      </c>
      <c r="EB200" s="86" t="b">
        <f t="shared" si="257"/>
        <v>0</v>
      </c>
      <c r="EC200" s="418">
        <f t="shared" si="258"/>
        <v>0.51</v>
      </c>
      <c r="ED200" s="86">
        <f t="shared" si="259"/>
        <v>0.51</v>
      </c>
      <c r="EE200" s="30" t="e">
        <f t="shared" ca="1" si="292"/>
        <v>#DIV/0!</v>
      </c>
      <c r="EF200" s="85" t="e">
        <f ca="1">IF(DL200&lt;=Hypothèses!$V$7,Hypothèses!$W$7,IF(DL200&lt;=Hypothèses!$V$8,Hypothèses!$W$8,IF(DL200&lt;=Hypothèses!$V$9,Hypothèses!$W$9,IF(DL200&lt;=Hypothèses!$V$10,Hypothèses!$W$10,IF(DL200&lt;=Hypothèses!$V$11,Hypothèses!$W$11,IF(DL200&lt;=Hypothèses!$V$12,Hypothèses!$W$12,IF(DL200&lt;=Hypothèses!$V$13,Hypothèses!$W$13,IF(DL200&lt;=Hypothèses!$V$14,Hypothèses!$W$14,IF(DL200&lt;=Hypothèses!$V$15,Hypothèses!$W$15,IF(DL200&lt;=Hypothèses!$V$16,Hypothèses!$W$16,IF(DL200&lt;=Hypothèses!$V$17,Hypothèses!$W$17,IF(DL200&lt;=Hypothèses!$V$18,Hypothèses!$W$18,""))))))))))))</f>
        <v>#DIV/0!</v>
      </c>
      <c r="EG200" s="87" t="e">
        <f t="shared" ca="1" si="322"/>
        <v>#DIV/0!</v>
      </c>
      <c r="EH200" s="88" t="e">
        <f ca="1">IF(DL200&lt;=Hypothèses!$V$7,Hypothèses!$X$7,IF(DL200&lt;=Hypothèses!$V$8,Hypothèses!$X$8,IF(DL200&lt;=Hypothèses!$V$9,Hypothèses!$X$9,IF(DL200&lt;=Hypothèses!$V$10,Hypothèses!$X$10,IF(DL200&lt;=Hypothèses!$V$11,Hypothèses!$X$11,IF(DL200&lt;=Hypothèses!$V$12,Hypothèses!$X$12,IF(DL200&lt;=Hypothèses!$V$13,Hypothèses!$X$13,IF(DL200&lt;=Hypothèses!$V$14,Hypothèses!$X$14,IF(DL200&lt;=Hypothèses!$V$15,Hypothèses!$X$15,IF(DL200&lt;=Hypothèses!$V$16,Hypothèses!$X$16,IF(DL200&lt;=Hypothèses!$U$17,Hypothèses!$W$17,IF(DL200&lt;=Hypothèses!$U$18,Hypothèses!$W$18,""))))))))))))</f>
        <v>#DIV/0!</v>
      </c>
      <c r="EI200" s="95" t="e">
        <f t="shared" ca="1" si="293"/>
        <v>#DIV/0!</v>
      </c>
      <c r="EJ200" s="101">
        <f t="shared" si="329"/>
        <v>0</v>
      </c>
      <c r="EK200" s="91">
        <f t="shared" si="260"/>
        <v>0</v>
      </c>
      <c r="EL200" s="30" t="e">
        <f t="shared" si="312"/>
        <v>#N/A</v>
      </c>
      <c r="EM200" s="30" t="e">
        <f t="shared" si="313"/>
        <v>#N/A</v>
      </c>
      <c r="EN200" s="31" t="e">
        <f>IF(OR(Hypothèses!$B$4=17,Hypothèses!$B$4=18,Hypothèses!$B$4=19,Hypothèses!$B$4=20),
IF($D200="Pressio.",
IF(OR($E200=3,$E200=1,$E200=4),EM200,EL200),
IF($D200="Pénétro.",
IF(OR($E200=3,$E200=1,$E200=4),EM200,EL200))),IF($D200="Pressio.",
IF($E200=3,EM200,EL200),
IF($D200="Pénétro.",
IF($E200=4,EM200,EL200))))</f>
        <v>#N/A</v>
      </c>
      <c r="EO200" s="31">
        <v>0</v>
      </c>
      <c r="EP200" s="102" t="e">
        <f>IF(NDC!$H$10="Oui",(VLOOKUP($B$3,'Coeff EC7'!$T$39:$X$59,2,0)*EN200+VLOOKUP($B$3,'Coeff EC7'!$T$65:$X$85,2,0)*Model0.1T!EO200)/1.5,PI()*EL$12*$Q200*($B200-$B199)*0.15/10+EP199)</f>
        <v>#N/A</v>
      </c>
      <c r="EQ200" s="102" t="e">
        <f>(VLOOKUP($B$3,'Coeff EC7'!$T$39:$X$59,3,0)*EN200+VLOOKUP($B$3,'Coeff EC7'!$T$65:$X$85,3,0)*Model0.1T!EO200)/1.1</f>
        <v>#N/A</v>
      </c>
      <c r="ER200" s="102" t="e">
        <f t="shared" si="294"/>
        <v>#N/A</v>
      </c>
      <c r="ES200" s="102" t="e">
        <f t="shared" si="295"/>
        <v>#N/A</v>
      </c>
      <c r="ET200" s="414" t="e">
        <f>IF(AND(EP200&gt;NDC!$C$63,EQ200&gt;NDC!$C$65,ER200&gt;NDC!$D$73,ES200&gt;NDC!$D$74,$B200&gt;NDC!$H$22-0.1+MIN(3*ET$12,1.5)),0,1)</f>
        <v>#N/A</v>
      </c>
      <c r="EU200" s="86" t="b">
        <f t="shared" si="261"/>
        <v>0</v>
      </c>
      <c r="EV200" s="86">
        <f t="shared" si="262"/>
        <v>0.61</v>
      </c>
      <c r="EW200" s="86">
        <f t="shared" si="263"/>
        <v>0.61</v>
      </c>
      <c r="EX200" s="30" t="e">
        <f t="shared" ca="1" si="296"/>
        <v>#DIV/0!</v>
      </c>
      <c r="EY200" s="85" t="e">
        <f ca="1">IF(EE200&lt;=Hypothèses!$V$7,Hypothèses!$W$7,IF(EE200&lt;=Hypothèses!$V$8,Hypothèses!$W$8,IF(EE200&lt;=Hypothèses!$V$9,Hypothèses!$W$9,IF(EE200&lt;=Hypothèses!$V$10,Hypothèses!$W$10,IF(EE200&lt;=Hypothèses!$V$11,Hypothèses!$W$11,IF(EE200&lt;=Hypothèses!$V$12,Hypothèses!$W$12,IF(EE200&lt;=Hypothèses!$V$13,Hypothèses!$W$13,IF(EE200&lt;=Hypothèses!$V$14,Hypothèses!$W$14,IF(EE200&lt;=Hypothèses!$V$15,Hypothèses!$W$15,IF(EE200&lt;=Hypothèses!$V$16,Hypothèses!$W$16,IF(EE200&lt;=Hypothèses!$V$17,Hypothèses!$W$17,IF(EE200&lt;=Hypothèses!$V$18,Hypothèses!$W$18,""))))))))))))</f>
        <v>#DIV/0!</v>
      </c>
      <c r="EZ200" s="87" t="e">
        <f t="shared" ca="1" si="323"/>
        <v>#DIV/0!</v>
      </c>
      <c r="FA200" s="88" t="e">
        <f ca="1">IF(EE200&lt;=Hypothèses!$V$7,Hypothèses!$X$7,IF(EE200&lt;=Hypothèses!$V$8,Hypothèses!$X$8,IF(EE200&lt;=Hypothèses!$V$9,Hypothèses!$X$9,IF(EE200&lt;=Hypothèses!$V$10,Hypothèses!$X$10,IF(EE200&lt;=Hypothèses!$V$11,Hypothèses!$X$11,IF(EE200&lt;=Hypothèses!$V$12,Hypothèses!$X$12,IF(EE200&lt;=Hypothèses!$V$13,Hypothèses!$X$13,IF(EE200&lt;=Hypothèses!$V$14,Hypothèses!$X$14,IF(EE200&lt;=Hypothèses!$V$15,Hypothèses!$X$15,IF(EE200&lt;=Hypothèses!$V$16,Hypothèses!$X$16,IF(EE200&lt;=Hypothèses!$U$17,Hypothèses!$W$17,IF(EE200&lt;=Hypothèses!$U$18,Hypothèses!$W$18,""))))))))))))</f>
        <v>#DIV/0!</v>
      </c>
      <c r="FB200" s="95" t="e">
        <f t="shared" ca="1" si="297"/>
        <v>#DIV/0!</v>
      </c>
      <c r="FC200" s="101">
        <f t="shared" si="330"/>
        <v>0</v>
      </c>
      <c r="FD200" s="91">
        <f t="shared" si="264"/>
        <v>0</v>
      </c>
      <c r="FE200" s="30" t="e">
        <f t="shared" si="314"/>
        <v>#N/A</v>
      </c>
      <c r="FF200" s="30" t="e">
        <f t="shared" si="315"/>
        <v>#N/A</v>
      </c>
      <c r="FG200" s="31" t="e">
        <f>IF(OR(Hypothèses!$B$4=17,Hypothèses!$B$4=18,Hypothèses!$B$4=19,Hypothèses!$B$4=20),
IF($D200="Pressio.",
IF(OR($E200=3,$E200=1,$E200=4),FF200,FE200),
IF($D200="Pénétro.",
IF(OR($E200=3,$E200=1,$E200=4),FF200,FE200))),IF($D200="Pressio.",
IF($E200=3,FF200,FE200),
IF($D200="Pénétro.",
IF($E200=4,FF200,FE200))))</f>
        <v>#N/A</v>
      </c>
      <c r="FH200" s="31">
        <v>0</v>
      </c>
      <c r="FI200" s="102" t="e">
        <f>IF(NDC!$H$10="Oui",(VLOOKUP($B$3,'Coeff EC7'!$T$39:$X$59,2,0)*FG200+VLOOKUP($B$3,'Coeff EC7'!$T$65:$X$85,2,0)*Model0.1T!FH200)/1.5,PI()*FE$12*$Q200*($B200-$B199)*0.15/10+FI199)</f>
        <v>#N/A</v>
      </c>
      <c r="FJ200" s="102" t="e">
        <f>(VLOOKUP($B$3,'Coeff EC7'!$T$39:$X$59,3,0)*FG200+VLOOKUP($B$3,'Coeff EC7'!$T$65:$X$85,3,0)*Model0.1T!FH200)/1.1</f>
        <v>#N/A</v>
      </c>
      <c r="FK200" s="102" t="e">
        <f t="shared" si="298"/>
        <v>#N/A</v>
      </c>
      <c r="FL200" s="102" t="e">
        <f t="shared" si="299"/>
        <v>#N/A</v>
      </c>
      <c r="FM200" s="414" t="e">
        <f>IF(AND(FI200&gt;NDC!$C$63,FJ200&gt;NDC!$C$65,FK200&gt;NDC!$D$73,FL200&gt;NDC!$D$74,$B200&gt;NDC!$H$22-0.1+MIN(3*FM$12,1.5)),0,1)</f>
        <v>#N/A</v>
      </c>
    </row>
    <row r="201" spans="1:169">
      <c r="A201" s="96">
        <f t="shared" si="265"/>
        <v>81.200000000001069</v>
      </c>
      <c r="B201" s="97">
        <v>18.8</v>
      </c>
      <c r="C201" s="81">
        <f>IF(B201&lt;=Hypothèses!$C$7,Hypothèses!$A$7,IF(B201&lt;=Hypothèses!$C$8,Hypothèses!$A$8,IF(B201&lt;=Hypothèses!$C$9,Hypothèses!$A$9,IF(B201&lt;=Hypothèses!$C$10,Hypothèses!$A$10,IF(B201&lt;=Hypothèses!$C$11,Hypothèses!$A$11,IF(B201&lt;=Hypothèses!$C$12,Hypothèses!$A$12,IF(B201&lt;=Hypothèses!$C$13,Hypothèses!$A$13,IF(B201&lt;=Hypothèses!$C$14,Hypothèses!$A$14,IF(B201&lt;=Hypothèses!$C$15,Hypothèses!$A$15,IF(B201&lt;=Hypothèses!$C$16,Hypothèses!$A$16,IF(B201&lt;=Hypothèses!$C$17,Hypothèses!$A$17,IF(B201&lt;=Hypothèses!$C$18,Hypothèses!$A$18,C200))))))))))))</f>
        <v>11</v>
      </c>
      <c r="D201" s="82" t="str">
        <f>IF(B201&lt;=Hypothèses!$C$7,Hypothèses!$R$7,IF(B201&lt;=Hypothèses!$C$8,Hypothèses!$R$8,IF(B201&lt;=Hypothèses!$C$9,Hypothèses!$R$9,IF(B201&lt;=Hypothèses!$C$10,Hypothèses!$R$10,IF(B201&lt;=Hypothèses!$C$11,Hypothèses!$R$11,IF(B201&lt;=Hypothèses!$C$12,Hypothèses!$R$12,IF(B201&lt;=Hypothèses!$C$13,Hypothèses!$R$13,IF(B201&lt;=Hypothèses!$C$14,Hypothèses!$R$14,IF(B201&lt;=Hypothèses!$C$15,Hypothèses!$R$15,IF(B201&lt;=Hypothèses!$C$16,Hypothèses!$R$16,IF(B201&lt;=Hypothèses!$C$17,Hypothèses!$R$17,IF(B201&lt;=Hypothèses!$C$18,Hypothèses!$R$18,D200))))))))))))</f>
        <v>Pressio.</v>
      </c>
      <c r="E201" s="82" t="e">
        <f>IF(B201&lt;=Hypothèses!$C$7,Hypothèses!$G$7,IF(B201&lt;=Hypothèses!$C$8,Hypothèses!$G$8,IF(B201&lt;=Hypothèses!$C$9,Hypothèses!$G$9,IF(B201&lt;=Hypothèses!$C$10,Hypothèses!$G$10,IF(B201&lt;=Hypothèses!$C$11,Hypothèses!$G$11,IF(B201&lt;=Hypothèses!$C$12,Hypothèses!$G$12,IF(B201&lt;=Hypothèses!$C$13,Hypothèses!$G$13,IF(B201&lt;=Hypothèses!$C$14,Hypothèses!$G$14,IF(B201&lt;=Hypothèses!$C$15,Hypothèses!$G$15,IF(B201&lt;=Hypothèses!$C$16,Hypothèses!$G$16,IF(B201&lt;=Hypothèses!$C$17,Hypothèses!$G$17,IF(B201&lt;=Hypothèses!$C$18,Hypothèses!$G$18,E200))))))))))))</f>
        <v>#N/A</v>
      </c>
      <c r="F201" s="82" t="str">
        <f>IF(B201&lt;=Hypothèses!$C$7,Hypothèses!$F$7,IF(B201&lt;=Hypothèses!$C$8,Hypothèses!$F$8,IF(B201&lt;=Hypothèses!$C$9,Hypothèses!$F$9,IF(B201&lt;=Hypothèses!$C$10,Hypothèses!$F$10,IF(B201&lt;=Hypothèses!$C$11,Hypothèses!$F$11,IF(B201&lt;=Hypothèses!$C$12,Hypothèses!$F$12,IF(B201&lt;=Hypothèses!$C$13,Hypothèses!$F$13,IF(B201&lt;=Hypothèses!$C$14,Hypothèses!$F$14,IF(B201&lt;=Hypothèses!$C$15,Hypothèses!$F$15,IF(B201&lt;=Hypothèses!$C$16,Hypothèses!$F$16,IF(B201&lt;=Hypothèses!$C$17,Hypothèses!$F$17,IF(B201&lt;=Hypothèses!$C$18,Hypothèses!$F$18,F200))))))))))))</f>
        <v/>
      </c>
      <c r="G201" s="91">
        <f t="array" ref="G201">INDEX('Coeff EC7'!$U$7:$X$27,
MATCH(Model0.1T!$B$3,'Coeff EC7'!$T$7:$T$27,0),
MATCH(Model0.1T!$D201&amp;Model0.1T!$B$4,
'Coeff EC7'!$U$6:$X$6&amp;
'Coeff EC7'!$U$5:$X$5,0))</f>
        <v>1.4</v>
      </c>
      <c r="H201" s="91">
        <f t="array" ref="H201">INDEX('Coeff EC7'!$Y$7:$AB$27,
MATCH(Model0.1T!$B$3,'Coeff EC7'!$T$7:$T$27,0),
MATCH(Model0.1T!$D201&amp;Model0.1T!$B$4,
'Coeff EC7'!$Y$6:$AB$6&amp;
'Coeff EC7'!$Y$5:$AB$5,0))</f>
        <v>1.7</v>
      </c>
      <c r="I201" s="83">
        <v>0</v>
      </c>
      <c r="J201" s="91" t="e">
        <f t="array" ref="J201">INDEX('Coeff EC7'!$D$33:$Q$33,1,MATCH(D201&amp;E201,'Coeff EC7'!$D$31:$Q$31&amp;'Coeff EC7'!$D$32:$Q$32,0))</f>
        <v>#N/A</v>
      </c>
      <c r="K201" s="91" t="e">
        <f t="array" ref="K201">INDEX('Coeff EC7'!$D$34:$Q$34,1,MATCH(D201&amp;E201,'Coeff EC7'!$D$31:$Q$31&amp;'Coeff EC7'!$D$32:$Q$32,0))</f>
        <v>#N/A</v>
      </c>
      <c r="L201" s="91" t="e">
        <f t="array" ref="L201">INDEX('Coeff EC7'!$D$35:$Q$35,1,MATCH(D201&amp;E201,'Coeff EC7'!$D$31:$Q$31&amp;'Coeff EC7'!$D$32:$Q$32,0))</f>
        <v>#N/A</v>
      </c>
      <c r="M201" s="98" t="e">
        <f t="shared" si="231"/>
        <v>#N/A</v>
      </c>
      <c r="N201" s="99" t="e">
        <f t="array" ref="N201">INDEX('Coeff EC7'!$D$7:$Q$27,MATCH($B$3,'Coeff EC7'!$C$7:$C$27,0),MATCH(D201&amp;E201,'Coeff EC7'!$D$5:$Q$5&amp;'Coeff EC7'!$D$6:$Q$6,0))</f>
        <v>#N/A</v>
      </c>
      <c r="O201" s="99" t="e">
        <f t="array" ref="O201">INDEX('Coeff EC7'!$D$41:$Q$61,MATCH($B$3,'Coeff EC7'!$C$41:$C$61,0),MATCH(D201&amp;E201,'Coeff EC7'!$D$39:$Q$39&amp;'Coeff EC7'!$D$40:$Q$40,0))</f>
        <v>#N/A</v>
      </c>
      <c r="P201" s="30" t="e">
        <f t="shared" si="266"/>
        <v>#N/A</v>
      </c>
      <c r="Q201" s="100" t="e">
        <f t="shared" si="233"/>
        <v>#N/A</v>
      </c>
      <c r="R201" s="86" t="b">
        <f t="shared" si="234"/>
        <v>0</v>
      </c>
      <c r="S201" s="86">
        <f t="shared" si="232"/>
        <v>0.5</v>
      </c>
      <c r="T201" s="86">
        <f t="shared" si="235"/>
        <v>0.5</v>
      </c>
      <c r="U201" s="30" t="e">
        <f t="shared" ca="1" si="267"/>
        <v>#DIV/0!</v>
      </c>
      <c r="V201" s="85" t="str">
        <f>IF(B201&lt;=Hypothèses!$V$7,Hypothèses!$W$7,IF(B201&lt;=Hypothèses!$V$8,Hypothèses!$W$8,IF(B201&lt;=Hypothèses!$V$9,Hypothèses!$W$9,IF(B201&lt;=Hypothèses!$V$10,Hypothèses!$W$10,IF(B201&lt;=Hypothèses!$V$11,Hypothèses!$W$11,IF(B201&lt;=Hypothèses!$V$12,Hypothèses!$W$12,IF(B201&lt;=Hypothèses!$V$13,Hypothèses!$W$13,IF(B201&lt;=Hypothèses!$V$14,Hypothèses!$W$14,IF(B201&lt;=Hypothèses!$V$15,Hypothèses!$W$15,IF(B201&lt;=Hypothèses!$V$16,Hypothèses!$W$16,IF(B201&lt;=Hypothèses!$V$17,Hypothèses!$W$17,IF(B201&lt;=Hypothèses!$V$18,Hypothèses!$W$18,""))))))))))))</f>
        <v/>
      </c>
      <c r="W201" s="87" t="e">
        <f t="shared" ca="1" si="316"/>
        <v>#DIV/0!</v>
      </c>
      <c r="X201" s="88" t="str">
        <f>IF(B201&lt;=Hypothèses!$V$7,Hypothèses!$X$7,IF(B201&lt;=Hypothèses!$V$8,Hypothèses!$X$8,IF(B201&lt;=Hypothèses!$V$9,Hypothèses!$X$9,IF(B201&lt;=Hypothèses!$V$10,Hypothèses!$X$10,IF(B201&lt;=Hypothèses!$V$11,Hypothèses!$X$11,IF(B201&lt;=Hypothèses!$V$12,Hypothèses!$X$12,IF(B201&lt;=Hypothèses!$V$13,Hypothèses!$X$13,IF(B201&lt;=Hypothèses!$V$14,Hypothèses!$X$14,IF(B201&lt;=Hypothèses!$V$15,Hypothèses!$X$15,IF(B201&lt;=Hypothèses!$V$16,Hypothèses!$X$16,IF(B201&lt;=Hypothèses!$U$17,Hypothèses!$W$17,IF(B201&lt;=Hypothèses!$U$18,Hypothèses!$W$18,""))))))))))))</f>
        <v/>
      </c>
      <c r="Y201" s="95" t="e">
        <f t="shared" ca="1" si="236"/>
        <v>#DIV/0!</v>
      </c>
      <c r="Z201" s="101">
        <f t="shared" si="237"/>
        <v>0</v>
      </c>
      <c r="AA201" s="91">
        <f t="shared" si="238"/>
        <v>0</v>
      </c>
      <c r="AB201" s="30" t="e">
        <f t="shared" si="300"/>
        <v>#N/A</v>
      </c>
      <c r="AC201" s="30" t="e">
        <f t="shared" si="301"/>
        <v>#N/A</v>
      </c>
      <c r="AD201" s="31" t="e">
        <f>IF(OR(Hypothèses!$B$4=17,Hypothèses!$B$4=18,Hypothèses!$B$4=19,Hypothèses!$B$4=20),
IF($D201="Pressio.",
IF(OR($E201=3,$E201=1,$E201=4),AC201,AB201),
IF($D201="Pénétro.",
IF(OR($E201=3,$E201=1,$E201=4),AC201,AB201))),IF($D201="Pressio.",
IF($E201=3,AC201,AB201),
IF($D201="Pénétro.",
IF($E201=4,AC201,AB201))))</f>
        <v>#N/A</v>
      </c>
      <c r="AE201" s="31">
        <v>0</v>
      </c>
      <c r="AF201" s="102" t="e">
        <f>IF(NDC!$H$10="Oui",(VLOOKUP($B$3,'Coeff EC7'!$T$39:$X$59,2,0)*AD201+VLOOKUP($B$3,'Coeff EC7'!$T$65:$X$85,2,0)*Model0.1T!AE201)/1.5,PI()*AB$12*$Q201*($B201-$B200)*0.15/10+AF200)</f>
        <v>#N/A</v>
      </c>
      <c r="AG201" s="102" t="e">
        <f>(VLOOKUP($B$3,'Coeff EC7'!$T$39:$X$59,3,0)*AD201+VLOOKUP($B$3,'Coeff EC7'!$T$65:$X$85,3,0)*Model0.1T!AE201)/1.1</f>
        <v>#N/A</v>
      </c>
      <c r="AH201" s="102" t="e">
        <f t="shared" si="268"/>
        <v>#N/A</v>
      </c>
      <c r="AI201" s="102" t="e">
        <f t="shared" si="269"/>
        <v>#N/A</v>
      </c>
      <c r="AJ201" s="414" t="e">
        <f>IF(AND(AF201&gt;NDC!$C$63,AG201&gt;NDC!$C$65,AH201&gt;NDC!$D$73,AI201&gt;NDC!$D$74,$B201&gt;NDC!$H$22-0.1+MIN(3*$AJ$12,1.5)),0,1)</f>
        <v>#N/A</v>
      </c>
      <c r="AK201" s="86" t="b">
        <f t="shared" si="239"/>
        <v>0</v>
      </c>
      <c r="AL201" s="86">
        <f t="shared" si="270"/>
        <v>0.5</v>
      </c>
      <c r="AM201" s="86">
        <f t="shared" si="240"/>
        <v>0.5</v>
      </c>
      <c r="AN201" s="30" t="e">
        <f t="shared" ca="1" si="271"/>
        <v>#DIV/0!</v>
      </c>
      <c r="AO201" s="85" t="e">
        <f ca="1">IF(U201&lt;=Hypothèses!$V$7,Hypothèses!$W$7,IF(U201&lt;=Hypothèses!$V$8,Hypothèses!$W$8,IF(U201&lt;=Hypothèses!$V$9,Hypothèses!$W$9,IF(U201&lt;=Hypothèses!$V$10,Hypothèses!$W$10,IF(U201&lt;=Hypothèses!$V$11,Hypothèses!$W$11,IF(U201&lt;=Hypothèses!$V$12,Hypothèses!$W$12,IF(U201&lt;=Hypothèses!$V$13,Hypothèses!$W$13,IF(U201&lt;=Hypothèses!$V$14,Hypothèses!$W$14,IF(U201&lt;=Hypothèses!$V$15,Hypothèses!$W$15,IF(U201&lt;=Hypothèses!$V$16,Hypothèses!$W$16,IF(U201&lt;=Hypothèses!$V$17,Hypothèses!$W$17,IF(U201&lt;=Hypothèses!$V$18,Hypothèses!$W$18,""))))))))))))</f>
        <v>#DIV/0!</v>
      </c>
      <c r="AP201" s="87" t="e">
        <f t="shared" ca="1" si="317"/>
        <v>#DIV/0!</v>
      </c>
      <c r="AQ201" s="88" t="e">
        <f ca="1">IF(U201&lt;=Hypothèses!$V$7,Hypothèses!$X$7,IF(U201&lt;=Hypothèses!$V$8,Hypothèses!$X$8,IF(U201&lt;=Hypothèses!$V$9,Hypothèses!$X$9,IF(U201&lt;=Hypothèses!$V$10,Hypothèses!$X$10,IF(U201&lt;=Hypothèses!$V$11,Hypothèses!$X$11,IF(U201&lt;=Hypothèses!$V$12,Hypothèses!$X$12,IF(U201&lt;=Hypothèses!$V$13,Hypothèses!$X$13,IF(U201&lt;=Hypothèses!$V$14,Hypothèses!$X$14,IF(U201&lt;=Hypothèses!$V$15,Hypothèses!$X$15,IF(U201&lt;=Hypothèses!$V$16,Hypothèses!$X$16,IF(U201&lt;=Hypothèses!$U$17,Hypothèses!$W$17,IF(U201&lt;=Hypothèses!$U$18,Hypothèses!$W$18,""))))))))))))</f>
        <v>#DIV/0!</v>
      </c>
      <c r="AR201" s="95" t="e">
        <f t="shared" ca="1" si="272"/>
        <v>#DIV/0!</v>
      </c>
      <c r="AS201" s="101">
        <f t="shared" si="324"/>
        <v>0</v>
      </c>
      <c r="AT201" s="91">
        <f t="shared" si="241"/>
        <v>0</v>
      </c>
      <c r="AU201" s="30" t="e">
        <f t="shared" si="302"/>
        <v>#N/A</v>
      </c>
      <c r="AV201" s="30" t="e">
        <f t="shared" si="303"/>
        <v>#N/A</v>
      </c>
      <c r="AW201" s="31" t="e">
        <f>IF(OR(Hypothèses!$B$4=17,Hypothèses!$B$4=18,Hypothèses!$B$4=19,Hypothèses!$B$4=20),
IF($D201="Pressio.",
IF(OR($E201=3,$E201=1,$E201=4),AV201,AU201),
IF($D201="Pénétro.",
IF(OR($E201=3,$E201=1,$E201=4),AV201,AU201))),IF($D201="Pressio.",
IF($E201=3,AV201,AU201),
IF($D201="Pénétro.",
IF($E201=4,AV201,AU201))))</f>
        <v>#N/A</v>
      </c>
      <c r="AX201" s="31">
        <v>0</v>
      </c>
      <c r="AY201" s="102" t="e">
        <f>IF(NDC!$H$10="Oui",(VLOOKUP($B$3,'Coeff EC7'!$T$39:$X$59,2,0)*AW201+VLOOKUP($B$3,'Coeff EC7'!$T$65:$X$85,2,0)*Model0.1T!AX201)/1.5,PI()*AU$12*$Q201*($B201-$B200)*0.15/10+AY200)</f>
        <v>#N/A</v>
      </c>
      <c r="AZ201" s="102" t="e">
        <f>(VLOOKUP($B$3,'Coeff EC7'!$T$39:$X$59,3,0)*AW201+VLOOKUP($B$3,'Coeff EC7'!$T$65:$X$85,3,0)*Model0.1T!AX201)/1.1</f>
        <v>#N/A</v>
      </c>
      <c r="BA201" s="102" t="e">
        <f t="shared" si="273"/>
        <v>#N/A</v>
      </c>
      <c r="BB201" s="102" t="e">
        <f t="shared" si="274"/>
        <v>#N/A</v>
      </c>
      <c r="BC201" s="414" t="e">
        <f>IF(AND(AY201&gt;NDC!$C$63,AZ201&gt;NDC!$C$65,BA201&gt;NDC!$D$73,BB201&gt;NDC!$D$74,$B201&gt;NDC!$H$22-0.1+MIN(3*BC$12,1.5)),0,1)</f>
        <v>#N/A</v>
      </c>
      <c r="BD201" s="86" t="b">
        <f t="shared" si="242"/>
        <v>0</v>
      </c>
      <c r="BE201" s="86">
        <f t="shared" si="275"/>
        <v>0.5</v>
      </c>
      <c r="BF201" s="86">
        <f t="shared" si="243"/>
        <v>0.5</v>
      </c>
      <c r="BG201" s="30" t="e">
        <f t="shared" ca="1" si="276"/>
        <v>#DIV/0!</v>
      </c>
      <c r="BH201" s="85" t="e">
        <f ca="1">IF(AN201&lt;=Hypothèses!$V$7,Hypothèses!$W$7,IF(AN201&lt;=Hypothèses!$V$8,Hypothèses!$W$8,IF(AN201&lt;=Hypothèses!$V$9,Hypothèses!$W$9,IF(AN201&lt;=Hypothèses!$V$10,Hypothèses!$W$10,IF(AN201&lt;=Hypothèses!$V$11,Hypothèses!$W$11,IF(AN201&lt;=Hypothèses!$V$12,Hypothèses!$W$12,IF(AN201&lt;=Hypothèses!$V$13,Hypothèses!$W$13,IF(AN201&lt;=Hypothèses!$V$14,Hypothèses!$W$14,IF(AN201&lt;=Hypothèses!$V$15,Hypothèses!$W$15,IF(AN201&lt;=Hypothèses!$V$16,Hypothèses!$W$16,IF(AN201&lt;=Hypothèses!$V$17,Hypothèses!$W$17,IF(AN201&lt;=Hypothèses!$V$18,Hypothèses!$W$18,""))))))))))))</f>
        <v>#DIV/0!</v>
      </c>
      <c r="BI201" s="87" t="e">
        <f t="shared" ca="1" si="318"/>
        <v>#DIV/0!</v>
      </c>
      <c r="BJ201" s="88" t="e">
        <f ca="1">IF(AN201&lt;=Hypothèses!$V$7,Hypothèses!$X$7,IF(AN201&lt;=Hypothèses!$V$8,Hypothèses!$X$8,IF(AN201&lt;=Hypothèses!$V$9,Hypothèses!$X$9,IF(AN201&lt;=Hypothèses!$V$10,Hypothèses!$X$10,IF(AN201&lt;=Hypothèses!$V$11,Hypothèses!$X$11,IF(AN201&lt;=Hypothèses!$V$12,Hypothèses!$X$12,IF(AN201&lt;=Hypothèses!$V$13,Hypothèses!$X$13,IF(AN201&lt;=Hypothèses!$V$14,Hypothèses!$X$14,IF(AN201&lt;=Hypothèses!$V$15,Hypothèses!$X$15,IF(AN201&lt;=Hypothèses!$V$16,Hypothèses!$X$16,IF(AN201&lt;=Hypothèses!$U$17,Hypothèses!$W$17,IF(AN201&lt;=Hypothèses!$U$18,Hypothèses!$W$18,""))))))))))))</f>
        <v>#DIV/0!</v>
      </c>
      <c r="BK201" s="95" t="e">
        <f t="shared" ca="1" si="277"/>
        <v>#DIV/0!</v>
      </c>
      <c r="BL201" s="101">
        <f t="shared" si="325"/>
        <v>0</v>
      </c>
      <c r="BM201" s="91">
        <f t="shared" si="244"/>
        <v>0</v>
      </c>
      <c r="BN201" s="30" t="e">
        <f t="shared" si="304"/>
        <v>#N/A</v>
      </c>
      <c r="BO201" s="30" t="e">
        <f t="shared" si="305"/>
        <v>#N/A</v>
      </c>
      <c r="BP201" s="31" t="e">
        <f>IF(OR(Hypothèses!$B$4=17,Hypothèses!$B$4=18,Hypothèses!$B$4=19,Hypothèses!$B$4=20),
IF($D201="Pressio.",
IF(OR($E201=3,$E201=1,$E201=4),BO201,BN201),
IF($D201="Pénétro.",
IF(OR($E201=3,$E201=1,$E201=4),BO201,BN201))),IF($D201="Pressio.",
IF($E201=3,BO201,BN201),
IF($D201="Pénétro.",
IF($E201=4,BO201,BN201))))</f>
        <v>#N/A</v>
      </c>
      <c r="BQ201" s="31">
        <v>0</v>
      </c>
      <c r="BR201" s="102" t="e">
        <f>IF(NDC!$H$10="Oui",(VLOOKUP($B$3,'Coeff EC7'!$T$39:$X$59,2,0)*BP201+VLOOKUP($B$3,'Coeff EC7'!$T$65:$X$85,2,0)*Model0.1T!BQ201)/1.5,PI()*BN$12*$Q201*($B201-$B200)*0.15/10+BR200)</f>
        <v>#N/A</v>
      </c>
      <c r="BS201" s="102" t="e">
        <f>(VLOOKUP($B$3,'Coeff EC7'!$T$39:$X$59,3,0)*BP201+VLOOKUP($B$3,'Coeff EC7'!$T$65:$X$85,3,0)*Model0.1T!BQ201)/1.1</f>
        <v>#N/A</v>
      </c>
      <c r="BT201" s="102" t="e">
        <f t="shared" si="278"/>
        <v>#N/A</v>
      </c>
      <c r="BU201" s="102" t="e">
        <f t="shared" si="279"/>
        <v>#N/A</v>
      </c>
      <c r="BV201" s="414" t="e">
        <f>IF(AND(BR201&gt;NDC!$C$63,BS201&gt;NDC!$C$65,BT201&gt;NDC!$D$73,BU201&gt;NDC!$D$74,$B201&gt;NDC!$H$22-0.1+MIN(3*BV$12,1.5)),0,1)</f>
        <v>#N/A</v>
      </c>
      <c r="BW201" s="86" t="b">
        <f t="shared" si="245"/>
        <v>0</v>
      </c>
      <c r="BX201" s="86">
        <f t="shared" si="246"/>
        <v>0.5</v>
      </c>
      <c r="BY201" s="86">
        <f t="shared" si="247"/>
        <v>0.5</v>
      </c>
      <c r="BZ201" s="30" t="e">
        <f t="shared" ca="1" si="280"/>
        <v>#DIV/0!</v>
      </c>
      <c r="CA201" s="85" t="e">
        <f ca="1">IF(BG201&lt;=Hypothèses!$V$7,Hypothèses!$W$7,IF(BG201&lt;=Hypothèses!$V$8,Hypothèses!$W$8,IF(BG201&lt;=Hypothèses!$V$9,Hypothèses!$W$9,IF(BG201&lt;=Hypothèses!$V$10,Hypothèses!$W$10,IF(BG201&lt;=Hypothèses!$V$11,Hypothèses!$W$11,IF(BG201&lt;=Hypothèses!$V$12,Hypothèses!$W$12,IF(BG201&lt;=Hypothèses!$V$13,Hypothèses!$W$13,IF(BG201&lt;=Hypothèses!$V$14,Hypothèses!$W$14,IF(BG201&lt;=Hypothèses!$V$15,Hypothèses!$W$15,IF(BG201&lt;=Hypothèses!$V$16,Hypothèses!$W$16,IF(BG201&lt;=Hypothèses!$V$17,Hypothèses!$W$17,IF(BG201&lt;=Hypothèses!$V$18,Hypothèses!$W$18,""))))))))))))</f>
        <v>#DIV/0!</v>
      </c>
      <c r="CB201" s="87" t="e">
        <f t="shared" ca="1" si="319"/>
        <v>#DIV/0!</v>
      </c>
      <c r="CC201" s="88" t="e">
        <f ca="1">IF(BG201&lt;=Hypothèses!$V$7,Hypothèses!$X$7,IF(BG201&lt;=Hypothèses!$V$8,Hypothèses!$X$8,IF(BG201&lt;=Hypothèses!$V$9,Hypothèses!$X$9,IF(BG201&lt;=Hypothèses!$V$10,Hypothèses!$X$10,IF(BG201&lt;=Hypothèses!$V$11,Hypothèses!$X$11,IF(BG201&lt;=Hypothèses!$V$12,Hypothèses!$X$12,IF(BG201&lt;=Hypothèses!$V$13,Hypothèses!$X$13,IF(BG201&lt;=Hypothèses!$V$14,Hypothèses!$X$14,IF(BG201&lt;=Hypothèses!$V$15,Hypothèses!$X$15,IF(BG201&lt;=Hypothèses!$V$16,Hypothèses!$X$16,IF(BG201&lt;=Hypothèses!$U$17,Hypothèses!$W$17,IF(BG201&lt;=Hypothèses!$U$18,Hypothèses!$W$18,""))))))))))))</f>
        <v>#DIV/0!</v>
      </c>
      <c r="CD201" s="95" t="e">
        <f t="shared" ca="1" si="281"/>
        <v>#DIV/0!</v>
      </c>
      <c r="CE201" s="101">
        <f t="shared" si="326"/>
        <v>0</v>
      </c>
      <c r="CF201" s="91">
        <f t="shared" si="248"/>
        <v>0</v>
      </c>
      <c r="CG201" s="30" t="e">
        <f t="shared" si="306"/>
        <v>#N/A</v>
      </c>
      <c r="CH201" s="30" t="e">
        <f t="shared" si="307"/>
        <v>#N/A</v>
      </c>
      <c r="CI201" s="31" t="e">
        <f>IF(OR(Hypothèses!$B$4=17,Hypothèses!$B$4=18,Hypothèses!$B$4=19,Hypothèses!$B$4=20),
IF($D201="Pressio.",
IF(OR($E201=3,$E201=1,$E201=4),CH201,CG201),
IF($D201="Pénétro.",
IF(OR($E201=3,$E201=1,$E201=4),CH201,CG201))),IF($D201="Pressio.",
IF($E201=3,CH201,CG201),
IF($D201="Pénétro.",
IF($E201=4,CH201,CG201))))</f>
        <v>#N/A</v>
      </c>
      <c r="CJ201" s="31">
        <v>0</v>
      </c>
      <c r="CK201" s="102" t="e">
        <f>IF(NDC!$H$10="Oui",(VLOOKUP($B$3,'Coeff EC7'!$T$39:$X$59,2,0)*CI201+VLOOKUP($B$3,'Coeff EC7'!$T$65:$X$85,2,0)*Model0.1T!CJ201)/1.5,PI()*CG$12*$Q201*($B201-$B200)*0.15/10+CK200)</f>
        <v>#N/A</v>
      </c>
      <c r="CL201" s="102" t="e">
        <f>(VLOOKUP($B$3,'Coeff EC7'!$T$39:$X$59,3,0)*CI201+VLOOKUP($B$3,'Coeff EC7'!$T$65:$X$85,3,0)*Model0.1T!CJ201)/1.1</f>
        <v>#N/A</v>
      </c>
      <c r="CM201" s="102" t="e">
        <f t="shared" si="282"/>
        <v>#N/A</v>
      </c>
      <c r="CN201" s="102" t="e">
        <f t="shared" si="283"/>
        <v>#N/A</v>
      </c>
      <c r="CO201" s="414" t="e">
        <f>IF(AND(CK201&gt;NDC!$C$63,CL201&gt;NDC!$C$65,CM201&gt;NDC!$D$73,CN201&gt;NDC!$D$74,$B201&gt;NDC!$H$22-0.1+MIN(3*CO$12,1.5)),0,1)</f>
        <v>#N/A</v>
      </c>
      <c r="CP201" s="86" t="b">
        <f t="shared" si="249"/>
        <v>0</v>
      </c>
      <c r="CQ201" s="86">
        <f t="shared" si="250"/>
        <v>0.5</v>
      </c>
      <c r="CR201" s="86">
        <f t="shared" si="251"/>
        <v>0.5</v>
      </c>
      <c r="CS201" s="30" t="e">
        <f t="shared" ca="1" si="284"/>
        <v>#DIV/0!</v>
      </c>
      <c r="CT201" s="85" t="e">
        <f ca="1">IF(BZ201&lt;=Hypothèses!$V$7,Hypothèses!$W$7,IF(BZ201&lt;=Hypothèses!$V$8,Hypothèses!$W$8,IF(BZ201&lt;=Hypothèses!$V$9,Hypothèses!$W$9,IF(BZ201&lt;=Hypothèses!$V$10,Hypothèses!$W$10,IF(BZ201&lt;=Hypothèses!$V$11,Hypothèses!$W$11,IF(BZ201&lt;=Hypothèses!$V$12,Hypothèses!$W$12,IF(BZ201&lt;=Hypothèses!$V$13,Hypothèses!$W$13,IF(BZ201&lt;=Hypothèses!$V$14,Hypothèses!$W$14,IF(BZ201&lt;=Hypothèses!$V$15,Hypothèses!$W$15,IF(BZ201&lt;=Hypothèses!$V$16,Hypothèses!$W$16,IF(BZ201&lt;=Hypothèses!$V$17,Hypothèses!$W$17,IF(BZ201&lt;=Hypothèses!$V$18,Hypothèses!$W$18,""))))))))))))</f>
        <v>#DIV/0!</v>
      </c>
      <c r="CU201" s="87" t="e">
        <f t="shared" ca="1" si="320"/>
        <v>#DIV/0!</v>
      </c>
      <c r="CV201" s="88" t="e">
        <f ca="1">IF(BZ201&lt;=Hypothèses!$V$7,Hypothèses!$X$7,IF(BZ201&lt;=Hypothèses!$V$8,Hypothèses!$X$8,IF(BZ201&lt;=Hypothèses!$V$9,Hypothèses!$X$9,IF(BZ201&lt;=Hypothèses!$V$10,Hypothèses!$X$10,IF(BZ201&lt;=Hypothèses!$V$11,Hypothèses!$X$11,IF(BZ201&lt;=Hypothèses!$V$12,Hypothèses!$X$12,IF(BZ201&lt;=Hypothèses!$V$13,Hypothèses!$X$13,IF(BZ201&lt;=Hypothèses!$V$14,Hypothèses!$X$14,IF(BZ201&lt;=Hypothèses!$V$15,Hypothèses!$X$15,IF(BZ201&lt;=Hypothèses!$V$16,Hypothèses!$X$16,IF(BZ201&lt;=Hypothèses!$U$17,Hypothèses!$W$17,IF(BZ201&lt;=Hypothèses!$U$18,Hypothèses!$W$18,""))))))))))))</f>
        <v>#DIV/0!</v>
      </c>
      <c r="CW201" s="95" t="e">
        <f t="shared" ca="1" si="285"/>
        <v>#DIV/0!</v>
      </c>
      <c r="CX201" s="101">
        <f t="shared" si="327"/>
        <v>0</v>
      </c>
      <c r="CY201" s="91">
        <f t="shared" si="252"/>
        <v>0</v>
      </c>
      <c r="CZ201" s="30" t="e">
        <f t="shared" si="308"/>
        <v>#N/A</v>
      </c>
      <c r="DA201" s="30" t="e">
        <f t="shared" si="309"/>
        <v>#N/A</v>
      </c>
      <c r="DB201" s="31" t="e">
        <f>IF(OR(Hypothèses!$B$4=17,Hypothèses!$B$4=18,Hypothèses!$B$4=19,Hypothèses!$B$4=20),
IF($D201="Pressio.",
IF(OR($E201=3,$E201=1,$E201=4),DA201,CZ201),
IF($D201="Pénétro.",
IF(OR($E201=3,$E201=1,$E201=4),DA201,CZ201))),IF($D201="Pressio.",
IF($E201=3,DA201,CZ201),
IF($D201="Pénétro.",
IF($E201=4,DA201,CZ201))))</f>
        <v>#N/A</v>
      </c>
      <c r="DC201" s="31">
        <v>0</v>
      </c>
      <c r="DD201" s="102" t="e">
        <f>IF(NDC!$H$10="Oui",(VLOOKUP($B$3,'Coeff EC7'!$T$39:$X$59,2,0)*DB201+VLOOKUP($B$3,'Coeff EC7'!$T$65:$X$85,2,0)*Model0.1T!DC201)/1.5,PI()*CZ$12*$Q201*($B201-$B200)*0.15/10+DD200)</f>
        <v>#N/A</v>
      </c>
      <c r="DE201" s="102" t="e">
        <f>(VLOOKUP($B$3,'Coeff EC7'!$T$39:$X$59,3,0)*DB201+VLOOKUP($B$3,'Coeff EC7'!$T$65:$X$85,3,0)*Model0.1T!DC201)/1.1</f>
        <v>#N/A</v>
      </c>
      <c r="DF201" s="102" t="e">
        <f t="shared" si="286"/>
        <v>#N/A</v>
      </c>
      <c r="DG201" s="102" t="e">
        <f t="shared" si="287"/>
        <v>#N/A</v>
      </c>
      <c r="DH201" s="414" t="e">
        <f>IF(AND(DD201&gt;NDC!$C$63,DE201&gt;NDC!$C$65,DF201&gt;NDC!$D$73,DG201&gt;NDC!$D$74,$B201&gt;NDC!$H$22-0.1+MIN(3*DH$12,1.5)),0,1)</f>
        <v>#N/A</v>
      </c>
      <c r="DI201" s="86" t="b">
        <f t="shared" si="253"/>
        <v>0</v>
      </c>
      <c r="DJ201" s="86">
        <f t="shared" si="254"/>
        <v>0.5</v>
      </c>
      <c r="DK201" s="86">
        <f t="shared" si="255"/>
        <v>0.5</v>
      </c>
      <c r="DL201" s="30" t="e">
        <f t="shared" ca="1" si="288"/>
        <v>#DIV/0!</v>
      </c>
      <c r="DM201" s="85" t="e">
        <f ca="1">IF(CS201&lt;=Hypothèses!$V$7,Hypothèses!$W$7,IF(CS201&lt;=Hypothèses!$V$8,Hypothèses!$W$8,IF(CS201&lt;=Hypothèses!$V$9,Hypothèses!$W$9,IF(CS201&lt;=Hypothèses!$V$10,Hypothèses!$W$10,IF(CS201&lt;=Hypothèses!$V$11,Hypothèses!$W$11,IF(CS201&lt;=Hypothèses!$V$12,Hypothèses!$W$12,IF(CS201&lt;=Hypothèses!$V$13,Hypothèses!$W$13,IF(CS201&lt;=Hypothèses!$V$14,Hypothèses!$W$14,IF(CS201&lt;=Hypothèses!$V$15,Hypothèses!$W$15,IF(CS201&lt;=Hypothèses!$V$16,Hypothèses!$W$16,IF(CS201&lt;=Hypothèses!$V$17,Hypothèses!$W$17,IF(CS201&lt;=Hypothèses!$V$18,Hypothèses!$W$18,""))))))))))))</f>
        <v>#DIV/0!</v>
      </c>
      <c r="DN201" s="87" t="e">
        <f t="shared" ca="1" si="321"/>
        <v>#DIV/0!</v>
      </c>
      <c r="DO201" s="88" t="e">
        <f ca="1">IF(CS201&lt;=Hypothèses!$V$7,Hypothèses!$X$7,IF(CS201&lt;=Hypothèses!$V$8,Hypothèses!$X$8,IF(CS201&lt;=Hypothèses!$V$9,Hypothèses!$X$9,IF(CS201&lt;=Hypothèses!$V$10,Hypothèses!$X$10,IF(CS201&lt;=Hypothèses!$V$11,Hypothèses!$X$11,IF(CS201&lt;=Hypothèses!$V$12,Hypothèses!$X$12,IF(CS201&lt;=Hypothèses!$V$13,Hypothèses!$X$13,IF(CS201&lt;=Hypothèses!$V$14,Hypothèses!$X$14,IF(CS201&lt;=Hypothèses!$V$15,Hypothèses!$X$15,IF(CS201&lt;=Hypothèses!$V$16,Hypothèses!$X$16,IF(CS201&lt;=Hypothèses!$U$17,Hypothèses!$W$17,IF(CS201&lt;=Hypothèses!$U$18,Hypothèses!$W$18,""))))))))))))</f>
        <v>#DIV/0!</v>
      </c>
      <c r="DP201" s="95" t="e">
        <f t="shared" ca="1" si="289"/>
        <v>#DIV/0!</v>
      </c>
      <c r="DQ201" s="101">
        <f t="shared" si="328"/>
        <v>0</v>
      </c>
      <c r="DR201" s="91">
        <f t="shared" si="256"/>
        <v>0</v>
      </c>
      <c r="DS201" s="30" t="e">
        <f t="shared" si="310"/>
        <v>#N/A</v>
      </c>
      <c r="DT201" s="30" t="e">
        <f t="shared" si="311"/>
        <v>#N/A</v>
      </c>
      <c r="DU201" s="31" t="e">
        <f>IF(OR(Hypothèses!$B$4=17,Hypothèses!$B$4=18,Hypothèses!$B$4=19,Hypothèses!$B$4=20),
IF($D201="Pressio.",
IF(OR($E201=3,$E201=1,$E201=4),DT201,DS201),
IF($D201="Pénétro.",
IF(OR($E201=3,$E201=1,$E201=4),DT201,DS201))),IF($D201="Pressio.",
IF($E201=3,DT201,DS201),
IF($D201="Pénétro.",
IF($E201=4,DT201,DS201))))</f>
        <v>#N/A</v>
      </c>
      <c r="DV201" s="31">
        <v>0</v>
      </c>
      <c r="DW201" s="102" t="e">
        <f>IF(NDC!$H$10="Oui",(VLOOKUP($B$3,'Coeff EC7'!$T$39:$X$59,2,0)*DU201+VLOOKUP($B$3,'Coeff EC7'!$T$65:$X$85,2,0)*Model0.1T!DV201)/1.5,PI()*DS$12*$Q201*($B201-$B200)*0.15/10+DW200)</f>
        <v>#N/A</v>
      </c>
      <c r="DX201" s="102" t="e">
        <f>(VLOOKUP($B$3,'Coeff EC7'!$T$39:$X$59,3,0)*DU201+VLOOKUP($B$3,'Coeff EC7'!$T$65:$X$85,3,0)*Model0.1T!DV201)/1.1</f>
        <v>#N/A</v>
      </c>
      <c r="DY201" s="102" t="e">
        <f t="shared" si="290"/>
        <v>#N/A</v>
      </c>
      <c r="DZ201" s="102" t="e">
        <f t="shared" si="291"/>
        <v>#N/A</v>
      </c>
      <c r="EA201" s="414" t="e">
        <f>IF(AND(DW201&gt;NDC!$C$63,DX201&gt;NDC!$C$65,DY201&gt;NDC!$D$73,DZ201&gt;NDC!$D$74,$B201&gt;NDC!$H$22-0.1+MIN(3*EA$12,1.5)),0,1)</f>
        <v>#N/A</v>
      </c>
      <c r="EB201" s="86" t="b">
        <f t="shared" si="257"/>
        <v>0</v>
      </c>
      <c r="EC201" s="418">
        <f t="shared" si="258"/>
        <v>0.51</v>
      </c>
      <c r="ED201" s="86">
        <f t="shared" si="259"/>
        <v>0.51</v>
      </c>
      <c r="EE201" s="30" t="e">
        <f t="shared" ca="1" si="292"/>
        <v>#DIV/0!</v>
      </c>
      <c r="EF201" s="85" t="e">
        <f ca="1">IF(DL201&lt;=Hypothèses!$V$7,Hypothèses!$W$7,IF(DL201&lt;=Hypothèses!$V$8,Hypothèses!$W$8,IF(DL201&lt;=Hypothèses!$V$9,Hypothèses!$W$9,IF(DL201&lt;=Hypothèses!$V$10,Hypothèses!$W$10,IF(DL201&lt;=Hypothèses!$V$11,Hypothèses!$W$11,IF(DL201&lt;=Hypothèses!$V$12,Hypothèses!$W$12,IF(DL201&lt;=Hypothèses!$V$13,Hypothèses!$W$13,IF(DL201&lt;=Hypothèses!$V$14,Hypothèses!$W$14,IF(DL201&lt;=Hypothèses!$V$15,Hypothèses!$W$15,IF(DL201&lt;=Hypothèses!$V$16,Hypothèses!$W$16,IF(DL201&lt;=Hypothèses!$V$17,Hypothèses!$W$17,IF(DL201&lt;=Hypothèses!$V$18,Hypothèses!$W$18,""))))))))))))</f>
        <v>#DIV/0!</v>
      </c>
      <c r="EG201" s="87" t="e">
        <f t="shared" ca="1" si="322"/>
        <v>#DIV/0!</v>
      </c>
      <c r="EH201" s="88" t="e">
        <f ca="1">IF(DL201&lt;=Hypothèses!$V$7,Hypothèses!$X$7,IF(DL201&lt;=Hypothèses!$V$8,Hypothèses!$X$8,IF(DL201&lt;=Hypothèses!$V$9,Hypothèses!$X$9,IF(DL201&lt;=Hypothèses!$V$10,Hypothèses!$X$10,IF(DL201&lt;=Hypothèses!$V$11,Hypothèses!$X$11,IF(DL201&lt;=Hypothèses!$V$12,Hypothèses!$X$12,IF(DL201&lt;=Hypothèses!$V$13,Hypothèses!$X$13,IF(DL201&lt;=Hypothèses!$V$14,Hypothèses!$X$14,IF(DL201&lt;=Hypothèses!$V$15,Hypothèses!$X$15,IF(DL201&lt;=Hypothèses!$V$16,Hypothèses!$X$16,IF(DL201&lt;=Hypothèses!$U$17,Hypothèses!$W$17,IF(DL201&lt;=Hypothèses!$U$18,Hypothèses!$W$18,""))))))))))))</f>
        <v>#DIV/0!</v>
      </c>
      <c r="EI201" s="95" t="e">
        <f t="shared" ca="1" si="293"/>
        <v>#DIV/0!</v>
      </c>
      <c r="EJ201" s="101">
        <f t="shared" si="329"/>
        <v>0</v>
      </c>
      <c r="EK201" s="91">
        <f t="shared" si="260"/>
        <v>0</v>
      </c>
      <c r="EL201" s="30" t="e">
        <f t="shared" si="312"/>
        <v>#N/A</v>
      </c>
      <c r="EM201" s="30" t="e">
        <f t="shared" si="313"/>
        <v>#N/A</v>
      </c>
      <c r="EN201" s="31" t="e">
        <f>IF(OR(Hypothèses!$B$4=17,Hypothèses!$B$4=18,Hypothèses!$B$4=19,Hypothèses!$B$4=20),
IF($D201="Pressio.",
IF(OR($E201=3,$E201=1,$E201=4),EM201,EL201),
IF($D201="Pénétro.",
IF(OR($E201=3,$E201=1,$E201=4),EM201,EL201))),IF($D201="Pressio.",
IF($E201=3,EM201,EL201),
IF($D201="Pénétro.",
IF($E201=4,EM201,EL201))))</f>
        <v>#N/A</v>
      </c>
      <c r="EO201" s="31">
        <v>0</v>
      </c>
      <c r="EP201" s="102" t="e">
        <f>IF(NDC!$H$10="Oui",(VLOOKUP($B$3,'Coeff EC7'!$T$39:$X$59,2,0)*EN201+VLOOKUP($B$3,'Coeff EC7'!$T$65:$X$85,2,0)*Model0.1T!EO201)/1.5,PI()*EL$12*$Q201*($B201-$B200)*0.15/10+EP200)</f>
        <v>#N/A</v>
      </c>
      <c r="EQ201" s="102" t="e">
        <f>(VLOOKUP($B$3,'Coeff EC7'!$T$39:$X$59,3,0)*EN201+VLOOKUP($B$3,'Coeff EC7'!$T$65:$X$85,3,0)*Model0.1T!EO201)/1.1</f>
        <v>#N/A</v>
      </c>
      <c r="ER201" s="102" t="e">
        <f t="shared" si="294"/>
        <v>#N/A</v>
      </c>
      <c r="ES201" s="102" t="e">
        <f t="shared" si="295"/>
        <v>#N/A</v>
      </c>
      <c r="ET201" s="414" t="e">
        <f>IF(AND(EP201&gt;NDC!$C$63,EQ201&gt;NDC!$C$65,ER201&gt;NDC!$D$73,ES201&gt;NDC!$D$74,$B201&gt;NDC!$H$22-0.1+MIN(3*ET$12,1.5)),0,1)</f>
        <v>#N/A</v>
      </c>
      <c r="EU201" s="86" t="b">
        <f t="shared" si="261"/>
        <v>0</v>
      </c>
      <c r="EV201" s="86">
        <f t="shared" si="262"/>
        <v>0.61</v>
      </c>
      <c r="EW201" s="86">
        <f t="shared" si="263"/>
        <v>0.61</v>
      </c>
      <c r="EX201" s="30" t="e">
        <f t="shared" ca="1" si="296"/>
        <v>#DIV/0!</v>
      </c>
      <c r="EY201" s="85" t="e">
        <f ca="1">IF(EE201&lt;=Hypothèses!$V$7,Hypothèses!$W$7,IF(EE201&lt;=Hypothèses!$V$8,Hypothèses!$W$8,IF(EE201&lt;=Hypothèses!$V$9,Hypothèses!$W$9,IF(EE201&lt;=Hypothèses!$V$10,Hypothèses!$W$10,IF(EE201&lt;=Hypothèses!$V$11,Hypothèses!$W$11,IF(EE201&lt;=Hypothèses!$V$12,Hypothèses!$W$12,IF(EE201&lt;=Hypothèses!$V$13,Hypothèses!$W$13,IF(EE201&lt;=Hypothèses!$V$14,Hypothèses!$W$14,IF(EE201&lt;=Hypothèses!$V$15,Hypothèses!$W$15,IF(EE201&lt;=Hypothèses!$V$16,Hypothèses!$W$16,IF(EE201&lt;=Hypothèses!$V$17,Hypothèses!$W$17,IF(EE201&lt;=Hypothèses!$V$18,Hypothèses!$W$18,""))))))))))))</f>
        <v>#DIV/0!</v>
      </c>
      <c r="EZ201" s="87" t="e">
        <f t="shared" ca="1" si="323"/>
        <v>#DIV/0!</v>
      </c>
      <c r="FA201" s="88" t="e">
        <f ca="1">IF(EE201&lt;=Hypothèses!$V$7,Hypothèses!$X$7,IF(EE201&lt;=Hypothèses!$V$8,Hypothèses!$X$8,IF(EE201&lt;=Hypothèses!$V$9,Hypothèses!$X$9,IF(EE201&lt;=Hypothèses!$V$10,Hypothèses!$X$10,IF(EE201&lt;=Hypothèses!$V$11,Hypothèses!$X$11,IF(EE201&lt;=Hypothèses!$V$12,Hypothèses!$X$12,IF(EE201&lt;=Hypothèses!$V$13,Hypothèses!$X$13,IF(EE201&lt;=Hypothèses!$V$14,Hypothèses!$X$14,IF(EE201&lt;=Hypothèses!$V$15,Hypothèses!$X$15,IF(EE201&lt;=Hypothèses!$V$16,Hypothèses!$X$16,IF(EE201&lt;=Hypothèses!$U$17,Hypothèses!$W$17,IF(EE201&lt;=Hypothèses!$U$18,Hypothèses!$W$18,""))))))))))))</f>
        <v>#DIV/0!</v>
      </c>
      <c r="FB201" s="95" t="e">
        <f t="shared" ca="1" si="297"/>
        <v>#DIV/0!</v>
      </c>
      <c r="FC201" s="101">
        <f t="shared" si="330"/>
        <v>0</v>
      </c>
      <c r="FD201" s="91">
        <f t="shared" si="264"/>
        <v>0</v>
      </c>
      <c r="FE201" s="30" t="e">
        <f t="shared" si="314"/>
        <v>#N/A</v>
      </c>
      <c r="FF201" s="30" t="e">
        <f t="shared" si="315"/>
        <v>#N/A</v>
      </c>
      <c r="FG201" s="31" t="e">
        <f>IF(OR(Hypothèses!$B$4=17,Hypothèses!$B$4=18,Hypothèses!$B$4=19,Hypothèses!$B$4=20),
IF($D201="Pressio.",
IF(OR($E201=3,$E201=1,$E201=4),FF201,FE201),
IF($D201="Pénétro.",
IF(OR($E201=3,$E201=1,$E201=4),FF201,FE201))),IF($D201="Pressio.",
IF($E201=3,FF201,FE201),
IF($D201="Pénétro.",
IF($E201=4,FF201,FE201))))</f>
        <v>#N/A</v>
      </c>
      <c r="FH201" s="31">
        <v>0</v>
      </c>
      <c r="FI201" s="102" t="e">
        <f>IF(NDC!$H$10="Oui",(VLOOKUP($B$3,'Coeff EC7'!$T$39:$X$59,2,0)*FG201+VLOOKUP($B$3,'Coeff EC7'!$T$65:$X$85,2,0)*Model0.1T!FH201)/1.5,PI()*FE$12*$Q201*($B201-$B200)*0.15/10+FI200)</f>
        <v>#N/A</v>
      </c>
      <c r="FJ201" s="102" t="e">
        <f>(VLOOKUP($B$3,'Coeff EC7'!$T$39:$X$59,3,0)*FG201+VLOOKUP($B$3,'Coeff EC7'!$T$65:$X$85,3,0)*Model0.1T!FH201)/1.1</f>
        <v>#N/A</v>
      </c>
      <c r="FK201" s="102" t="e">
        <f t="shared" si="298"/>
        <v>#N/A</v>
      </c>
      <c r="FL201" s="102" t="e">
        <f t="shared" si="299"/>
        <v>#N/A</v>
      </c>
      <c r="FM201" s="414" t="e">
        <f>IF(AND(FI201&gt;NDC!$C$63,FJ201&gt;NDC!$C$65,FK201&gt;NDC!$D$73,FL201&gt;NDC!$D$74,$B201&gt;NDC!$H$22-0.1+MIN(3*FM$12,1.5)),0,1)</f>
        <v>#N/A</v>
      </c>
    </row>
    <row r="202" spans="1:169">
      <c r="A202" s="96">
        <f t="shared" si="265"/>
        <v>81.100000000001074</v>
      </c>
      <c r="B202" s="97">
        <v>18.899999999999999</v>
      </c>
      <c r="C202" s="81">
        <f>IF(B202&lt;=Hypothèses!$C$7,Hypothèses!$A$7,IF(B202&lt;=Hypothèses!$C$8,Hypothèses!$A$8,IF(B202&lt;=Hypothèses!$C$9,Hypothèses!$A$9,IF(B202&lt;=Hypothèses!$C$10,Hypothèses!$A$10,IF(B202&lt;=Hypothèses!$C$11,Hypothèses!$A$11,IF(B202&lt;=Hypothèses!$C$12,Hypothèses!$A$12,IF(B202&lt;=Hypothèses!$C$13,Hypothèses!$A$13,IF(B202&lt;=Hypothèses!$C$14,Hypothèses!$A$14,IF(B202&lt;=Hypothèses!$C$15,Hypothèses!$A$15,IF(B202&lt;=Hypothèses!$C$16,Hypothèses!$A$16,IF(B202&lt;=Hypothèses!$C$17,Hypothèses!$A$17,IF(B202&lt;=Hypothèses!$C$18,Hypothèses!$A$18,C201))))))))))))</f>
        <v>11</v>
      </c>
      <c r="D202" s="82" t="str">
        <f>IF(B202&lt;=Hypothèses!$C$7,Hypothèses!$R$7,IF(B202&lt;=Hypothèses!$C$8,Hypothèses!$R$8,IF(B202&lt;=Hypothèses!$C$9,Hypothèses!$R$9,IF(B202&lt;=Hypothèses!$C$10,Hypothèses!$R$10,IF(B202&lt;=Hypothèses!$C$11,Hypothèses!$R$11,IF(B202&lt;=Hypothèses!$C$12,Hypothèses!$R$12,IF(B202&lt;=Hypothèses!$C$13,Hypothèses!$R$13,IF(B202&lt;=Hypothèses!$C$14,Hypothèses!$R$14,IF(B202&lt;=Hypothèses!$C$15,Hypothèses!$R$15,IF(B202&lt;=Hypothèses!$C$16,Hypothèses!$R$16,IF(B202&lt;=Hypothèses!$C$17,Hypothèses!$R$17,IF(B202&lt;=Hypothèses!$C$18,Hypothèses!$R$18,D201))))))))))))</f>
        <v>Pressio.</v>
      </c>
      <c r="E202" s="82" t="e">
        <f>IF(B202&lt;=Hypothèses!$C$7,Hypothèses!$G$7,IF(B202&lt;=Hypothèses!$C$8,Hypothèses!$G$8,IF(B202&lt;=Hypothèses!$C$9,Hypothèses!$G$9,IF(B202&lt;=Hypothèses!$C$10,Hypothèses!$G$10,IF(B202&lt;=Hypothèses!$C$11,Hypothèses!$G$11,IF(B202&lt;=Hypothèses!$C$12,Hypothèses!$G$12,IF(B202&lt;=Hypothèses!$C$13,Hypothèses!$G$13,IF(B202&lt;=Hypothèses!$C$14,Hypothèses!$G$14,IF(B202&lt;=Hypothèses!$C$15,Hypothèses!$G$15,IF(B202&lt;=Hypothèses!$C$16,Hypothèses!$G$16,IF(B202&lt;=Hypothèses!$C$17,Hypothèses!$G$17,IF(B202&lt;=Hypothèses!$C$18,Hypothèses!$G$18,E201))))))))))))</f>
        <v>#N/A</v>
      </c>
      <c r="F202" s="82" t="str">
        <f>IF(B202&lt;=Hypothèses!$C$7,Hypothèses!$F$7,IF(B202&lt;=Hypothèses!$C$8,Hypothèses!$F$8,IF(B202&lt;=Hypothèses!$C$9,Hypothèses!$F$9,IF(B202&lt;=Hypothèses!$C$10,Hypothèses!$F$10,IF(B202&lt;=Hypothèses!$C$11,Hypothèses!$F$11,IF(B202&lt;=Hypothèses!$C$12,Hypothèses!$F$12,IF(B202&lt;=Hypothèses!$C$13,Hypothèses!$F$13,IF(B202&lt;=Hypothèses!$C$14,Hypothèses!$F$14,IF(B202&lt;=Hypothèses!$C$15,Hypothèses!$F$15,IF(B202&lt;=Hypothèses!$C$16,Hypothèses!$F$16,IF(B202&lt;=Hypothèses!$C$17,Hypothèses!$F$17,IF(B202&lt;=Hypothèses!$C$18,Hypothèses!$F$18,F201))))))))))))</f>
        <v/>
      </c>
      <c r="G202" s="91">
        <f t="array" ref="G202">INDEX('Coeff EC7'!$U$7:$X$27,
MATCH(Model0.1T!$B$3,'Coeff EC7'!$T$7:$T$27,0),
MATCH(Model0.1T!$D202&amp;Model0.1T!$B$4,
'Coeff EC7'!$U$6:$X$6&amp;
'Coeff EC7'!$U$5:$X$5,0))</f>
        <v>1.4</v>
      </c>
      <c r="H202" s="91">
        <f t="array" ref="H202">INDEX('Coeff EC7'!$Y$7:$AB$27,
MATCH(Model0.1T!$B$3,'Coeff EC7'!$T$7:$T$27,0),
MATCH(Model0.1T!$D202&amp;Model0.1T!$B$4,
'Coeff EC7'!$Y$6:$AB$6&amp;
'Coeff EC7'!$Y$5:$AB$5,0))</f>
        <v>1.7</v>
      </c>
      <c r="I202" s="83">
        <v>0</v>
      </c>
      <c r="J202" s="91" t="e">
        <f t="array" ref="J202">INDEX('Coeff EC7'!$D$33:$Q$33,1,MATCH(D202&amp;E202,'Coeff EC7'!$D$31:$Q$31&amp;'Coeff EC7'!$D$32:$Q$32,0))</f>
        <v>#N/A</v>
      </c>
      <c r="K202" s="91" t="e">
        <f t="array" ref="K202">INDEX('Coeff EC7'!$D$34:$Q$34,1,MATCH(D202&amp;E202,'Coeff EC7'!$D$31:$Q$31&amp;'Coeff EC7'!$D$32:$Q$32,0))</f>
        <v>#N/A</v>
      </c>
      <c r="L202" s="91" t="e">
        <f t="array" ref="L202">INDEX('Coeff EC7'!$D$35:$Q$35,1,MATCH(D202&amp;E202,'Coeff EC7'!$D$31:$Q$31&amp;'Coeff EC7'!$D$32:$Q$32,0))</f>
        <v>#N/A</v>
      </c>
      <c r="M202" s="98" t="e">
        <f t="shared" si="231"/>
        <v>#N/A</v>
      </c>
      <c r="N202" s="99" t="e">
        <f t="array" ref="N202">INDEX('Coeff EC7'!$D$7:$Q$27,MATCH($B$3,'Coeff EC7'!$C$7:$C$27,0),MATCH(D202&amp;E202,'Coeff EC7'!$D$5:$Q$5&amp;'Coeff EC7'!$D$6:$Q$6,0))</f>
        <v>#N/A</v>
      </c>
      <c r="O202" s="99" t="e">
        <f t="array" ref="O202">INDEX('Coeff EC7'!$D$41:$Q$61,MATCH($B$3,'Coeff EC7'!$C$41:$C$61,0),MATCH(D202&amp;E202,'Coeff EC7'!$D$39:$Q$39&amp;'Coeff EC7'!$D$40:$Q$40,0))</f>
        <v>#N/A</v>
      </c>
      <c r="P202" s="30" t="e">
        <f t="shared" si="266"/>
        <v>#N/A</v>
      </c>
      <c r="Q202" s="100" t="e">
        <f t="shared" si="233"/>
        <v>#N/A</v>
      </c>
      <c r="R202" s="86" t="b">
        <f t="shared" si="234"/>
        <v>0</v>
      </c>
      <c r="S202" s="86">
        <f t="shared" si="232"/>
        <v>0.5</v>
      </c>
      <c r="T202" s="86">
        <f t="shared" si="235"/>
        <v>0.5</v>
      </c>
      <c r="U202" s="30" t="e">
        <f t="shared" ca="1" si="267"/>
        <v>#DIV/0!</v>
      </c>
      <c r="V202" s="85" t="str">
        <f>IF(B202&lt;=Hypothèses!$V$7,Hypothèses!$W$7,IF(B202&lt;=Hypothèses!$V$8,Hypothèses!$W$8,IF(B202&lt;=Hypothèses!$V$9,Hypothèses!$W$9,IF(B202&lt;=Hypothèses!$V$10,Hypothèses!$W$10,IF(B202&lt;=Hypothèses!$V$11,Hypothèses!$W$11,IF(B202&lt;=Hypothèses!$V$12,Hypothèses!$W$12,IF(B202&lt;=Hypothèses!$V$13,Hypothèses!$W$13,IF(B202&lt;=Hypothèses!$V$14,Hypothèses!$W$14,IF(B202&lt;=Hypothèses!$V$15,Hypothèses!$W$15,IF(B202&lt;=Hypothèses!$V$16,Hypothèses!$W$16,IF(B202&lt;=Hypothèses!$V$17,Hypothèses!$W$17,IF(B202&lt;=Hypothèses!$V$18,Hypothèses!$W$18,""))))))))))))</f>
        <v/>
      </c>
      <c r="W202" s="87" t="e">
        <f t="shared" ca="1" si="316"/>
        <v>#DIV/0!</v>
      </c>
      <c r="X202" s="88" t="str">
        <f>IF(B202&lt;=Hypothèses!$V$7,Hypothèses!$X$7,IF(B202&lt;=Hypothèses!$V$8,Hypothèses!$X$8,IF(B202&lt;=Hypothèses!$V$9,Hypothèses!$X$9,IF(B202&lt;=Hypothèses!$V$10,Hypothèses!$X$10,IF(B202&lt;=Hypothèses!$V$11,Hypothèses!$X$11,IF(B202&lt;=Hypothèses!$V$12,Hypothèses!$X$12,IF(B202&lt;=Hypothèses!$V$13,Hypothèses!$X$13,IF(B202&lt;=Hypothèses!$V$14,Hypothèses!$X$14,IF(B202&lt;=Hypothèses!$V$15,Hypothèses!$X$15,IF(B202&lt;=Hypothèses!$V$16,Hypothèses!$X$16,IF(B202&lt;=Hypothèses!$U$17,Hypothèses!$W$17,IF(B202&lt;=Hypothèses!$U$18,Hypothèses!$W$18,""))))))))))))</f>
        <v/>
      </c>
      <c r="Y202" s="95" t="e">
        <f t="shared" ca="1" si="236"/>
        <v>#DIV/0!</v>
      </c>
      <c r="Z202" s="101">
        <f t="shared" si="237"/>
        <v>0</v>
      </c>
      <c r="AA202" s="91">
        <f t="shared" si="238"/>
        <v>0</v>
      </c>
      <c r="AB202" s="30" t="e">
        <f t="shared" si="300"/>
        <v>#N/A</v>
      </c>
      <c r="AC202" s="30" t="e">
        <f t="shared" si="301"/>
        <v>#N/A</v>
      </c>
      <c r="AD202" s="31" t="e">
        <f>IF(OR(Hypothèses!$B$4=17,Hypothèses!$B$4=18,Hypothèses!$B$4=19,Hypothèses!$B$4=20),
IF($D202="Pressio.",
IF(OR($E202=3,$E202=1,$E202=4),AC202,AB202),
IF($D202="Pénétro.",
IF(OR($E202=3,$E202=1,$E202=4),AC202,AB202))),IF($D202="Pressio.",
IF($E202=3,AC202,AB202),
IF($D202="Pénétro.",
IF($E202=4,AC202,AB202))))</f>
        <v>#N/A</v>
      </c>
      <c r="AE202" s="31">
        <v>0</v>
      </c>
      <c r="AF202" s="102" t="e">
        <f>IF(NDC!$H$10="Oui",(VLOOKUP($B$3,'Coeff EC7'!$T$39:$X$59,2,0)*AD202+VLOOKUP($B$3,'Coeff EC7'!$T$65:$X$85,2,0)*Model0.1T!AE202)/1.5,PI()*AB$12*$Q202*($B202-$B201)*0.15/10+AF201)</f>
        <v>#N/A</v>
      </c>
      <c r="AG202" s="102" t="e">
        <f>(VLOOKUP($B$3,'Coeff EC7'!$T$39:$X$59,3,0)*AD202+VLOOKUP($B$3,'Coeff EC7'!$T$65:$X$85,3,0)*Model0.1T!AE202)/1.1</f>
        <v>#N/A</v>
      </c>
      <c r="AH202" s="102" t="e">
        <f t="shared" si="268"/>
        <v>#N/A</v>
      </c>
      <c r="AI202" s="102" t="e">
        <f t="shared" si="269"/>
        <v>#N/A</v>
      </c>
      <c r="AJ202" s="414" t="e">
        <f>IF(AND(AF202&gt;NDC!$C$63,AG202&gt;NDC!$C$65,AH202&gt;NDC!$D$73,AI202&gt;NDC!$D$74,$B202&gt;NDC!$H$22-0.1+MIN(3*$AJ$12,1.5)),0,1)</f>
        <v>#N/A</v>
      </c>
      <c r="AK202" s="86" t="b">
        <f t="shared" si="239"/>
        <v>0</v>
      </c>
      <c r="AL202" s="86">
        <f t="shared" si="270"/>
        <v>0.5</v>
      </c>
      <c r="AM202" s="86">
        <f t="shared" si="240"/>
        <v>0.5</v>
      </c>
      <c r="AN202" s="30" t="e">
        <f t="shared" ca="1" si="271"/>
        <v>#DIV/0!</v>
      </c>
      <c r="AO202" s="85" t="e">
        <f ca="1">IF(U202&lt;=Hypothèses!$V$7,Hypothèses!$W$7,IF(U202&lt;=Hypothèses!$V$8,Hypothèses!$W$8,IF(U202&lt;=Hypothèses!$V$9,Hypothèses!$W$9,IF(U202&lt;=Hypothèses!$V$10,Hypothèses!$W$10,IF(U202&lt;=Hypothèses!$V$11,Hypothèses!$W$11,IF(U202&lt;=Hypothèses!$V$12,Hypothèses!$W$12,IF(U202&lt;=Hypothèses!$V$13,Hypothèses!$W$13,IF(U202&lt;=Hypothèses!$V$14,Hypothèses!$W$14,IF(U202&lt;=Hypothèses!$V$15,Hypothèses!$W$15,IF(U202&lt;=Hypothèses!$V$16,Hypothèses!$W$16,IF(U202&lt;=Hypothèses!$V$17,Hypothèses!$W$17,IF(U202&lt;=Hypothèses!$V$18,Hypothèses!$W$18,""))))))))))))</f>
        <v>#DIV/0!</v>
      </c>
      <c r="AP202" s="87" t="e">
        <f t="shared" ca="1" si="317"/>
        <v>#DIV/0!</v>
      </c>
      <c r="AQ202" s="88" t="e">
        <f ca="1">IF(U202&lt;=Hypothèses!$V$7,Hypothèses!$X$7,IF(U202&lt;=Hypothèses!$V$8,Hypothèses!$X$8,IF(U202&lt;=Hypothèses!$V$9,Hypothèses!$X$9,IF(U202&lt;=Hypothèses!$V$10,Hypothèses!$X$10,IF(U202&lt;=Hypothèses!$V$11,Hypothèses!$X$11,IF(U202&lt;=Hypothèses!$V$12,Hypothèses!$X$12,IF(U202&lt;=Hypothèses!$V$13,Hypothèses!$X$13,IF(U202&lt;=Hypothèses!$V$14,Hypothèses!$X$14,IF(U202&lt;=Hypothèses!$V$15,Hypothèses!$X$15,IF(U202&lt;=Hypothèses!$V$16,Hypothèses!$X$16,IF(U202&lt;=Hypothèses!$U$17,Hypothèses!$W$17,IF(U202&lt;=Hypothèses!$U$18,Hypothèses!$W$18,""))))))))))))</f>
        <v>#DIV/0!</v>
      </c>
      <c r="AR202" s="95" t="e">
        <f t="shared" ca="1" si="272"/>
        <v>#DIV/0!</v>
      </c>
      <c r="AS202" s="101">
        <f t="shared" si="324"/>
        <v>0</v>
      </c>
      <c r="AT202" s="91">
        <f t="shared" si="241"/>
        <v>0</v>
      </c>
      <c r="AU202" s="30" t="e">
        <f t="shared" si="302"/>
        <v>#N/A</v>
      </c>
      <c r="AV202" s="30" t="e">
        <f t="shared" si="303"/>
        <v>#N/A</v>
      </c>
      <c r="AW202" s="31" t="e">
        <f>IF(OR(Hypothèses!$B$4=17,Hypothèses!$B$4=18,Hypothèses!$B$4=19,Hypothèses!$B$4=20),
IF($D202="Pressio.",
IF(OR($E202=3,$E202=1,$E202=4),AV202,AU202),
IF($D202="Pénétro.",
IF(OR($E202=3,$E202=1,$E202=4),AV202,AU202))),IF($D202="Pressio.",
IF($E202=3,AV202,AU202),
IF($D202="Pénétro.",
IF($E202=4,AV202,AU202))))</f>
        <v>#N/A</v>
      </c>
      <c r="AX202" s="31">
        <v>0</v>
      </c>
      <c r="AY202" s="102" t="e">
        <f>IF(NDC!$H$10="Oui",(VLOOKUP($B$3,'Coeff EC7'!$T$39:$X$59,2,0)*AW202+VLOOKUP($B$3,'Coeff EC7'!$T$65:$X$85,2,0)*Model0.1T!AX202)/1.5,PI()*AU$12*$Q202*($B202-$B201)*0.15/10+AY201)</f>
        <v>#N/A</v>
      </c>
      <c r="AZ202" s="102" t="e">
        <f>(VLOOKUP($B$3,'Coeff EC7'!$T$39:$X$59,3,0)*AW202+VLOOKUP($B$3,'Coeff EC7'!$T$65:$X$85,3,0)*Model0.1T!AX202)/1.1</f>
        <v>#N/A</v>
      </c>
      <c r="BA202" s="102" t="e">
        <f t="shared" si="273"/>
        <v>#N/A</v>
      </c>
      <c r="BB202" s="102" t="e">
        <f t="shared" si="274"/>
        <v>#N/A</v>
      </c>
      <c r="BC202" s="414" t="e">
        <f>IF(AND(AY202&gt;NDC!$C$63,AZ202&gt;NDC!$C$65,BA202&gt;NDC!$D$73,BB202&gt;NDC!$D$74,$B202&gt;NDC!$H$22-0.1+MIN(3*BC$12,1.5)),0,1)</f>
        <v>#N/A</v>
      </c>
      <c r="BD202" s="86" t="b">
        <f t="shared" si="242"/>
        <v>0</v>
      </c>
      <c r="BE202" s="86">
        <f t="shared" si="275"/>
        <v>0.5</v>
      </c>
      <c r="BF202" s="86">
        <f t="shared" si="243"/>
        <v>0.5</v>
      </c>
      <c r="BG202" s="30" t="e">
        <f t="shared" ca="1" si="276"/>
        <v>#DIV/0!</v>
      </c>
      <c r="BH202" s="85" t="e">
        <f ca="1">IF(AN202&lt;=Hypothèses!$V$7,Hypothèses!$W$7,IF(AN202&lt;=Hypothèses!$V$8,Hypothèses!$W$8,IF(AN202&lt;=Hypothèses!$V$9,Hypothèses!$W$9,IF(AN202&lt;=Hypothèses!$V$10,Hypothèses!$W$10,IF(AN202&lt;=Hypothèses!$V$11,Hypothèses!$W$11,IF(AN202&lt;=Hypothèses!$V$12,Hypothèses!$W$12,IF(AN202&lt;=Hypothèses!$V$13,Hypothèses!$W$13,IF(AN202&lt;=Hypothèses!$V$14,Hypothèses!$W$14,IF(AN202&lt;=Hypothèses!$V$15,Hypothèses!$W$15,IF(AN202&lt;=Hypothèses!$V$16,Hypothèses!$W$16,IF(AN202&lt;=Hypothèses!$V$17,Hypothèses!$W$17,IF(AN202&lt;=Hypothèses!$V$18,Hypothèses!$W$18,""))))))))))))</f>
        <v>#DIV/0!</v>
      </c>
      <c r="BI202" s="87" t="e">
        <f t="shared" ca="1" si="318"/>
        <v>#DIV/0!</v>
      </c>
      <c r="BJ202" s="88" t="e">
        <f ca="1">IF(AN202&lt;=Hypothèses!$V$7,Hypothèses!$X$7,IF(AN202&lt;=Hypothèses!$V$8,Hypothèses!$X$8,IF(AN202&lt;=Hypothèses!$V$9,Hypothèses!$X$9,IF(AN202&lt;=Hypothèses!$V$10,Hypothèses!$X$10,IF(AN202&lt;=Hypothèses!$V$11,Hypothèses!$X$11,IF(AN202&lt;=Hypothèses!$V$12,Hypothèses!$X$12,IF(AN202&lt;=Hypothèses!$V$13,Hypothèses!$X$13,IF(AN202&lt;=Hypothèses!$V$14,Hypothèses!$X$14,IF(AN202&lt;=Hypothèses!$V$15,Hypothèses!$X$15,IF(AN202&lt;=Hypothèses!$V$16,Hypothèses!$X$16,IF(AN202&lt;=Hypothèses!$U$17,Hypothèses!$W$17,IF(AN202&lt;=Hypothèses!$U$18,Hypothèses!$W$18,""))))))))))))</f>
        <v>#DIV/0!</v>
      </c>
      <c r="BK202" s="95" t="e">
        <f t="shared" ca="1" si="277"/>
        <v>#DIV/0!</v>
      </c>
      <c r="BL202" s="101">
        <f t="shared" si="325"/>
        <v>0</v>
      </c>
      <c r="BM202" s="91">
        <f t="shared" si="244"/>
        <v>0</v>
      </c>
      <c r="BN202" s="30" t="e">
        <f t="shared" si="304"/>
        <v>#N/A</v>
      </c>
      <c r="BO202" s="30" t="e">
        <f t="shared" si="305"/>
        <v>#N/A</v>
      </c>
      <c r="BP202" s="31" t="e">
        <f>IF(OR(Hypothèses!$B$4=17,Hypothèses!$B$4=18,Hypothèses!$B$4=19,Hypothèses!$B$4=20),
IF($D202="Pressio.",
IF(OR($E202=3,$E202=1,$E202=4),BO202,BN202),
IF($D202="Pénétro.",
IF(OR($E202=3,$E202=1,$E202=4),BO202,BN202))),IF($D202="Pressio.",
IF($E202=3,BO202,BN202),
IF($D202="Pénétro.",
IF($E202=4,BO202,BN202))))</f>
        <v>#N/A</v>
      </c>
      <c r="BQ202" s="31">
        <v>0</v>
      </c>
      <c r="BR202" s="102" t="e">
        <f>IF(NDC!$H$10="Oui",(VLOOKUP($B$3,'Coeff EC7'!$T$39:$X$59,2,0)*BP202+VLOOKUP($B$3,'Coeff EC7'!$T$65:$X$85,2,0)*Model0.1T!BQ202)/1.5,PI()*BN$12*$Q202*($B202-$B201)*0.15/10+BR201)</f>
        <v>#N/A</v>
      </c>
      <c r="BS202" s="102" t="e">
        <f>(VLOOKUP($B$3,'Coeff EC7'!$T$39:$X$59,3,0)*BP202+VLOOKUP($B$3,'Coeff EC7'!$T$65:$X$85,3,0)*Model0.1T!BQ202)/1.1</f>
        <v>#N/A</v>
      </c>
      <c r="BT202" s="102" t="e">
        <f t="shared" si="278"/>
        <v>#N/A</v>
      </c>
      <c r="BU202" s="102" t="e">
        <f t="shared" si="279"/>
        <v>#N/A</v>
      </c>
      <c r="BV202" s="414" t="e">
        <f>IF(AND(BR202&gt;NDC!$C$63,BS202&gt;NDC!$C$65,BT202&gt;NDC!$D$73,BU202&gt;NDC!$D$74,$B202&gt;NDC!$H$22-0.1+MIN(3*BV$12,1.5)),0,1)</f>
        <v>#N/A</v>
      </c>
      <c r="BW202" s="86" t="b">
        <f t="shared" si="245"/>
        <v>0</v>
      </c>
      <c r="BX202" s="86">
        <f t="shared" si="246"/>
        <v>0.5</v>
      </c>
      <c r="BY202" s="86">
        <f t="shared" si="247"/>
        <v>0.5</v>
      </c>
      <c r="BZ202" s="30" t="e">
        <f t="shared" ca="1" si="280"/>
        <v>#DIV/0!</v>
      </c>
      <c r="CA202" s="85" t="e">
        <f ca="1">IF(BG202&lt;=Hypothèses!$V$7,Hypothèses!$W$7,IF(BG202&lt;=Hypothèses!$V$8,Hypothèses!$W$8,IF(BG202&lt;=Hypothèses!$V$9,Hypothèses!$W$9,IF(BG202&lt;=Hypothèses!$V$10,Hypothèses!$W$10,IF(BG202&lt;=Hypothèses!$V$11,Hypothèses!$W$11,IF(BG202&lt;=Hypothèses!$V$12,Hypothèses!$W$12,IF(BG202&lt;=Hypothèses!$V$13,Hypothèses!$W$13,IF(BG202&lt;=Hypothèses!$V$14,Hypothèses!$W$14,IF(BG202&lt;=Hypothèses!$V$15,Hypothèses!$W$15,IF(BG202&lt;=Hypothèses!$V$16,Hypothèses!$W$16,IF(BG202&lt;=Hypothèses!$V$17,Hypothèses!$W$17,IF(BG202&lt;=Hypothèses!$V$18,Hypothèses!$W$18,""))))))))))))</f>
        <v>#DIV/0!</v>
      </c>
      <c r="CB202" s="87" t="e">
        <f t="shared" ca="1" si="319"/>
        <v>#DIV/0!</v>
      </c>
      <c r="CC202" s="88" t="e">
        <f ca="1">IF(BG202&lt;=Hypothèses!$V$7,Hypothèses!$X$7,IF(BG202&lt;=Hypothèses!$V$8,Hypothèses!$X$8,IF(BG202&lt;=Hypothèses!$V$9,Hypothèses!$X$9,IF(BG202&lt;=Hypothèses!$V$10,Hypothèses!$X$10,IF(BG202&lt;=Hypothèses!$V$11,Hypothèses!$X$11,IF(BG202&lt;=Hypothèses!$V$12,Hypothèses!$X$12,IF(BG202&lt;=Hypothèses!$V$13,Hypothèses!$X$13,IF(BG202&lt;=Hypothèses!$V$14,Hypothèses!$X$14,IF(BG202&lt;=Hypothèses!$V$15,Hypothèses!$X$15,IF(BG202&lt;=Hypothèses!$V$16,Hypothèses!$X$16,IF(BG202&lt;=Hypothèses!$U$17,Hypothèses!$W$17,IF(BG202&lt;=Hypothèses!$U$18,Hypothèses!$W$18,""))))))))))))</f>
        <v>#DIV/0!</v>
      </c>
      <c r="CD202" s="95" t="e">
        <f t="shared" ca="1" si="281"/>
        <v>#DIV/0!</v>
      </c>
      <c r="CE202" s="101">
        <f t="shared" si="326"/>
        <v>0</v>
      </c>
      <c r="CF202" s="91">
        <f t="shared" si="248"/>
        <v>0</v>
      </c>
      <c r="CG202" s="30" t="e">
        <f t="shared" si="306"/>
        <v>#N/A</v>
      </c>
      <c r="CH202" s="30" t="e">
        <f t="shared" si="307"/>
        <v>#N/A</v>
      </c>
      <c r="CI202" s="31" t="e">
        <f>IF(OR(Hypothèses!$B$4=17,Hypothèses!$B$4=18,Hypothèses!$B$4=19,Hypothèses!$B$4=20),
IF($D202="Pressio.",
IF(OR($E202=3,$E202=1,$E202=4),CH202,CG202),
IF($D202="Pénétro.",
IF(OR($E202=3,$E202=1,$E202=4),CH202,CG202))),IF($D202="Pressio.",
IF($E202=3,CH202,CG202),
IF($D202="Pénétro.",
IF($E202=4,CH202,CG202))))</f>
        <v>#N/A</v>
      </c>
      <c r="CJ202" s="31">
        <v>0</v>
      </c>
      <c r="CK202" s="102" t="e">
        <f>IF(NDC!$H$10="Oui",(VLOOKUP($B$3,'Coeff EC7'!$T$39:$X$59,2,0)*CI202+VLOOKUP($B$3,'Coeff EC7'!$T$65:$X$85,2,0)*Model0.1T!CJ202)/1.5,PI()*CG$12*$Q202*($B202-$B201)*0.15/10+CK201)</f>
        <v>#N/A</v>
      </c>
      <c r="CL202" s="102" t="e">
        <f>(VLOOKUP($B$3,'Coeff EC7'!$T$39:$X$59,3,0)*CI202+VLOOKUP($B$3,'Coeff EC7'!$T$65:$X$85,3,0)*Model0.1T!CJ202)/1.1</f>
        <v>#N/A</v>
      </c>
      <c r="CM202" s="102" t="e">
        <f t="shared" si="282"/>
        <v>#N/A</v>
      </c>
      <c r="CN202" s="102" t="e">
        <f t="shared" si="283"/>
        <v>#N/A</v>
      </c>
      <c r="CO202" s="414" t="e">
        <f>IF(AND(CK202&gt;NDC!$C$63,CL202&gt;NDC!$C$65,CM202&gt;NDC!$D$73,CN202&gt;NDC!$D$74,$B202&gt;NDC!$H$22-0.1+MIN(3*CO$12,1.5)),0,1)</f>
        <v>#N/A</v>
      </c>
      <c r="CP202" s="86" t="b">
        <f t="shared" si="249"/>
        <v>0</v>
      </c>
      <c r="CQ202" s="86">
        <f t="shared" si="250"/>
        <v>0.5</v>
      </c>
      <c r="CR202" s="86">
        <f t="shared" si="251"/>
        <v>0.5</v>
      </c>
      <c r="CS202" s="30" t="e">
        <f t="shared" ca="1" si="284"/>
        <v>#DIV/0!</v>
      </c>
      <c r="CT202" s="85" t="e">
        <f ca="1">IF(BZ202&lt;=Hypothèses!$V$7,Hypothèses!$W$7,IF(BZ202&lt;=Hypothèses!$V$8,Hypothèses!$W$8,IF(BZ202&lt;=Hypothèses!$V$9,Hypothèses!$W$9,IF(BZ202&lt;=Hypothèses!$V$10,Hypothèses!$W$10,IF(BZ202&lt;=Hypothèses!$V$11,Hypothèses!$W$11,IF(BZ202&lt;=Hypothèses!$V$12,Hypothèses!$W$12,IF(BZ202&lt;=Hypothèses!$V$13,Hypothèses!$W$13,IF(BZ202&lt;=Hypothèses!$V$14,Hypothèses!$W$14,IF(BZ202&lt;=Hypothèses!$V$15,Hypothèses!$W$15,IF(BZ202&lt;=Hypothèses!$V$16,Hypothèses!$W$16,IF(BZ202&lt;=Hypothèses!$V$17,Hypothèses!$W$17,IF(BZ202&lt;=Hypothèses!$V$18,Hypothèses!$W$18,""))))))))))))</f>
        <v>#DIV/0!</v>
      </c>
      <c r="CU202" s="87" t="e">
        <f t="shared" ca="1" si="320"/>
        <v>#DIV/0!</v>
      </c>
      <c r="CV202" s="88" t="e">
        <f ca="1">IF(BZ202&lt;=Hypothèses!$V$7,Hypothèses!$X$7,IF(BZ202&lt;=Hypothèses!$V$8,Hypothèses!$X$8,IF(BZ202&lt;=Hypothèses!$V$9,Hypothèses!$X$9,IF(BZ202&lt;=Hypothèses!$V$10,Hypothèses!$X$10,IF(BZ202&lt;=Hypothèses!$V$11,Hypothèses!$X$11,IF(BZ202&lt;=Hypothèses!$V$12,Hypothèses!$X$12,IF(BZ202&lt;=Hypothèses!$V$13,Hypothèses!$X$13,IF(BZ202&lt;=Hypothèses!$V$14,Hypothèses!$X$14,IF(BZ202&lt;=Hypothèses!$V$15,Hypothèses!$X$15,IF(BZ202&lt;=Hypothèses!$V$16,Hypothèses!$X$16,IF(BZ202&lt;=Hypothèses!$U$17,Hypothèses!$W$17,IF(BZ202&lt;=Hypothèses!$U$18,Hypothèses!$W$18,""))))))))))))</f>
        <v>#DIV/0!</v>
      </c>
      <c r="CW202" s="95" t="e">
        <f t="shared" ca="1" si="285"/>
        <v>#DIV/0!</v>
      </c>
      <c r="CX202" s="101">
        <f t="shared" si="327"/>
        <v>0</v>
      </c>
      <c r="CY202" s="91">
        <f t="shared" si="252"/>
        <v>0</v>
      </c>
      <c r="CZ202" s="30" t="e">
        <f t="shared" si="308"/>
        <v>#N/A</v>
      </c>
      <c r="DA202" s="30" t="e">
        <f t="shared" si="309"/>
        <v>#N/A</v>
      </c>
      <c r="DB202" s="31" t="e">
        <f>IF(OR(Hypothèses!$B$4=17,Hypothèses!$B$4=18,Hypothèses!$B$4=19,Hypothèses!$B$4=20),
IF($D202="Pressio.",
IF(OR($E202=3,$E202=1,$E202=4),DA202,CZ202),
IF($D202="Pénétro.",
IF(OR($E202=3,$E202=1,$E202=4),DA202,CZ202))),IF($D202="Pressio.",
IF($E202=3,DA202,CZ202),
IF($D202="Pénétro.",
IF($E202=4,DA202,CZ202))))</f>
        <v>#N/A</v>
      </c>
      <c r="DC202" s="31">
        <v>0</v>
      </c>
      <c r="DD202" s="102" t="e">
        <f>IF(NDC!$H$10="Oui",(VLOOKUP($B$3,'Coeff EC7'!$T$39:$X$59,2,0)*DB202+VLOOKUP($B$3,'Coeff EC7'!$T$65:$X$85,2,0)*Model0.1T!DC202)/1.5,PI()*CZ$12*$Q202*($B202-$B201)*0.15/10+DD201)</f>
        <v>#N/A</v>
      </c>
      <c r="DE202" s="102" t="e">
        <f>(VLOOKUP($B$3,'Coeff EC7'!$T$39:$X$59,3,0)*DB202+VLOOKUP($B$3,'Coeff EC7'!$T$65:$X$85,3,0)*Model0.1T!DC202)/1.1</f>
        <v>#N/A</v>
      </c>
      <c r="DF202" s="102" t="e">
        <f t="shared" si="286"/>
        <v>#N/A</v>
      </c>
      <c r="DG202" s="102" t="e">
        <f t="shared" si="287"/>
        <v>#N/A</v>
      </c>
      <c r="DH202" s="414" t="e">
        <f>IF(AND(DD202&gt;NDC!$C$63,DE202&gt;NDC!$C$65,DF202&gt;NDC!$D$73,DG202&gt;NDC!$D$74,$B202&gt;NDC!$H$22-0.1+MIN(3*DH$12,1.5)),0,1)</f>
        <v>#N/A</v>
      </c>
      <c r="DI202" s="86" t="b">
        <f t="shared" si="253"/>
        <v>0</v>
      </c>
      <c r="DJ202" s="86">
        <f t="shared" si="254"/>
        <v>0.5</v>
      </c>
      <c r="DK202" s="86">
        <f t="shared" si="255"/>
        <v>0.5</v>
      </c>
      <c r="DL202" s="30" t="e">
        <f t="shared" ca="1" si="288"/>
        <v>#DIV/0!</v>
      </c>
      <c r="DM202" s="85" t="e">
        <f ca="1">IF(CS202&lt;=Hypothèses!$V$7,Hypothèses!$W$7,IF(CS202&lt;=Hypothèses!$V$8,Hypothèses!$W$8,IF(CS202&lt;=Hypothèses!$V$9,Hypothèses!$W$9,IF(CS202&lt;=Hypothèses!$V$10,Hypothèses!$W$10,IF(CS202&lt;=Hypothèses!$V$11,Hypothèses!$W$11,IF(CS202&lt;=Hypothèses!$V$12,Hypothèses!$W$12,IF(CS202&lt;=Hypothèses!$V$13,Hypothèses!$W$13,IF(CS202&lt;=Hypothèses!$V$14,Hypothèses!$W$14,IF(CS202&lt;=Hypothèses!$V$15,Hypothèses!$W$15,IF(CS202&lt;=Hypothèses!$V$16,Hypothèses!$W$16,IF(CS202&lt;=Hypothèses!$V$17,Hypothèses!$W$17,IF(CS202&lt;=Hypothèses!$V$18,Hypothèses!$W$18,""))))))))))))</f>
        <v>#DIV/0!</v>
      </c>
      <c r="DN202" s="87" t="e">
        <f t="shared" ca="1" si="321"/>
        <v>#DIV/0!</v>
      </c>
      <c r="DO202" s="88" t="e">
        <f ca="1">IF(CS202&lt;=Hypothèses!$V$7,Hypothèses!$X$7,IF(CS202&lt;=Hypothèses!$V$8,Hypothèses!$X$8,IF(CS202&lt;=Hypothèses!$V$9,Hypothèses!$X$9,IF(CS202&lt;=Hypothèses!$V$10,Hypothèses!$X$10,IF(CS202&lt;=Hypothèses!$V$11,Hypothèses!$X$11,IF(CS202&lt;=Hypothèses!$V$12,Hypothèses!$X$12,IF(CS202&lt;=Hypothèses!$V$13,Hypothèses!$X$13,IF(CS202&lt;=Hypothèses!$V$14,Hypothèses!$X$14,IF(CS202&lt;=Hypothèses!$V$15,Hypothèses!$X$15,IF(CS202&lt;=Hypothèses!$V$16,Hypothèses!$X$16,IF(CS202&lt;=Hypothèses!$U$17,Hypothèses!$W$17,IF(CS202&lt;=Hypothèses!$U$18,Hypothèses!$W$18,""))))))))))))</f>
        <v>#DIV/0!</v>
      </c>
      <c r="DP202" s="95" t="e">
        <f t="shared" ca="1" si="289"/>
        <v>#DIV/0!</v>
      </c>
      <c r="DQ202" s="101">
        <f t="shared" si="328"/>
        <v>0</v>
      </c>
      <c r="DR202" s="91">
        <f t="shared" si="256"/>
        <v>0</v>
      </c>
      <c r="DS202" s="30" t="e">
        <f t="shared" si="310"/>
        <v>#N/A</v>
      </c>
      <c r="DT202" s="30" t="e">
        <f t="shared" si="311"/>
        <v>#N/A</v>
      </c>
      <c r="DU202" s="31" t="e">
        <f>IF(OR(Hypothèses!$B$4=17,Hypothèses!$B$4=18,Hypothèses!$B$4=19,Hypothèses!$B$4=20),
IF($D202="Pressio.",
IF(OR($E202=3,$E202=1,$E202=4),DT202,DS202),
IF($D202="Pénétro.",
IF(OR($E202=3,$E202=1,$E202=4),DT202,DS202))),IF($D202="Pressio.",
IF($E202=3,DT202,DS202),
IF($D202="Pénétro.",
IF($E202=4,DT202,DS202))))</f>
        <v>#N/A</v>
      </c>
      <c r="DV202" s="31">
        <v>0</v>
      </c>
      <c r="DW202" s="102" t="e">
        <f>IF(NDC!$H$10="Oui",(VLOOKUP($B$3,'Coeff EC7'!$T$39:$X$59,2,0)*DU202+VLOOKUP($B$3,'Coeff EC7'!$T$65:$X$85,2,0)*Model0.1T!DV202)/1.5,PI()*DS$12*$Q202*($B202-$B201)*0.15/10+DW201)</f>
        <v>#N/A</v>
      </c>
      <c r="DX202" s="102" t="e">
        <f>(VLOOKUP($B$3,'Coeff EC7'!$T$39:$X$59,3,0)*DU202+VLOOKUP($B$3,'Coeff EC7'!$T$65:$X$85,3,0)*Model0.1T!DV202)/1.1</f>
        <v>#N/A</v>
      </c>
      <c r="DY202" s="102" t="e">
        <f t="shared" si="290"/>
        <v>#N/A</v>
      </c>
      <c r="DZ202" s="102" t="e">
        <f t="shared" si="291"/>
        <v>#N/A</v>
      </c>
      <c r="EA202" s="414" t="e">
        <f>IF(AND(DW202&gt;NDC!$C$63,DX202&gt;NDC!$C$65,DY202&gt;NDC!$D$73,DZ202&gt;NDC!$D$74,$B202&gt;NDC!$H$22-0.1+MIN(3*EA$12,1.5)),0,1)</f>
        <v>#N/A</v>
      </c>
      <c r="EB202" s="86" t="b">
        <f t="shared" si="257"/>
        <v>0</v>
      </c>
      <c r="EC202" s="418">
        <f t="shared" si="258"/>
        <v>0.51</v>
      </c>
      <c r="ED202" s="86">
        <f t="shared" si="259"/>
        <v>0.51</v>
      </c>
      <c r="EE202" s="30" t="e">
        <f t="shared" ca="1" si="292"/>
        <v>#DIV/0!</v>
      </c>
      <c r="EF202" s="85" t="e">
        <f ca="1">IF(DL202&lt;=Hypothèses!$V$7,Hypothèses!$W$7,IF(DL202&lt;=Hypothèses!$V$8,Hypothèses!$W$8,IF(DL202&lt;=Hypothèses!$V$9,Hypothèses!$W$9,IF(DL202&lt;=Hypothèses!$V$10,Hypothèses!$W$10,IF(DL202&lt;=Hypothèses!$V$11,Hypothèses!$W$11,IF(DL202&lt;=Hypothèses!$V$12,Hypothèses!$W$12,IF(DL202&lt;=Hypothèses!$V$13,Hypothèses!$W$13,IF(DL202&lt;=Hypothèses!$V$14,Hypothèses!$W$14,IF(DL202&lt;=Hypothèses!$V$15,Hypothèses!$W$15,IF(DL202&lt;=Hypothèses!$V$16,Hypothèses!$W$16,IF(DL202&lt;=Hypothèses!$V$17,Hypothèses!$W$17,IF(DL202&lt;=Hypothèses!$V$18,Hypothèses!$W$18,""))))))))))))</f>
        <v>#DIV/0!</v>
      </c>
      <c r="EG202" s="87" t="e">
        <f t="shared" ca="1" si="322"/>
        <v>#DIV/0!</v>
      </c>
      <c r="EH202" s="88" t="e">
        <f ca="1">IF(DL202&lt;=Hypothèses!$V$7,Hypothèses!$X$7,IF(DL202&lt;=Hypothèses!$V$8,Hypothèses!$X$8,IF(DL202&lt;=Hypothèses!$V$9,Hypothèses!$X$9,IF(DL202&lt;=Hypothèses!$V$10,Hypothèses!$X$10,IF(DL202&lt;=Hypothèses!$V$11,Hypothèses!$X$11,IF(DL202&lt;=Hypothèses!$V$12,Hypothèses!$X$12,IF(DL202&lt;=Hypothèses!$V$13,Hypothèses!$X$13,IF(DL202&lt;=Hypothèses!$V$14,Hypothèses!$X$14,IF(DL202&lt;=Hypothèses!$V$15,Hypothèses!$X$15,IF(DL202&lt;=Hypothèses!$V$16,Hypothèses!$X$16,IF(DL202&lt;=Hypothèses!$U$17,Hypothèses!$W$17,IF(DL202&lt;=Hypothèses!$U$18,Hypothèses!$W$18,""))))))))))))</f>
        <v>#DIV/0!</v>
      </c>
      <c r="EI202" s="95" t="e">
        <f t="shared" ca="1" si="293"/>
        <v>#DIV/0!</v>
      </c>
      <c r="EJ202" s="101">
        <f t="shared" si="329"/>
        <v>0</v>
      </c>
      <c r="EK202" s="91">
        <f t="shared" si="260"/>
        <v>0</v>
      </c>
      <c r="EL202" s="30" t="e">
        <f t="shared" si="312"/>
        <v>#N/A</v>
      </c>
      <c r="EM202" s="30" t="e">
        <f t="shared" si="313"/>
        <v>#N/A</v>
      </c>
      <c r="EN202" s="31" t="e">
        <f>IF(OR(Hypothèses!$B$4=17,Hypothèses!$B$4=18,Hypothèses!$B$4=19,Hypothèses!$B$4=20),
IF($D202="Pressio.",
IF(OR($E202=3,$E202=1,$E202=4),EM202,EL202),
IF($D202="Pénétro.",
IF(OR($E202=3,$E202=1,$E202=4),EM202,EL202))),IF($D202="Pressio.",
IF($E202=3,EM202,EL202),
IF($D202="Pénétro.",
IF($E202=4,EM202,EL202))))</f>
        <v>#N/A</v>
      </c>
      <c r="EO202" s="31">
        <v>0</v>
      </c>
      <c r="EP202" s="102" t="e">
        <f>IF(NDC!$H$10="Oui",(VLOOKUP($B$3,'Coeff EC7'!$T$39:$X$59,2,0)*EN202+VLOOKUP($B$3,'Coeff EC7'!$T$65:$X$85,2,0)*Model0.1T!EO202)/1.5,PI()*EL$12*$Q202*($B202-$B201)*0.15/10+EP201)</f>
        <v>#N/A</v>
      </c>
      <c r="EQ202" s="102" t="e">
        <f>(VLOOKUP($B$3,'Coeff EC7'!$T$39:$X$59,3,0)*EN202+VLOOKUP($B$3,'Coeff EC7'!$T$65:$X$85,3,0)*Model0.1T!EO202)/1.1</f>
        <v>#N/A</v>
      </c>
      <c r="ER202" s="102" t="e">
        <f t="shared" si="294"/>
        <v>#N/A</v>
      </c>
      <c r="ES202" s="102" t="e">
        <f t="shared" si="295"/>
        <v>#N/A</v>
      </c>
      <c r="ET202" s="414" t="e">
        <f>IF(AND(EP202&gt;NDC!$C$63,EQ202&gt;NDC!$C$65,ER202&gt;NDC!$D$73,ES202&gt;NDC!$D$74,$B202&gt;NDC!$H$22-0.1+MIN(3*ET$12,1.5)),0,1)</f>
        <v>#N/A</v>
      </c>
      <c r="EU202" s="86" t="b">
        <f t="shared" si="261"/>
        <v>0</v>
      </c>
      <c r="EV202" s="86">
        <f t="shared" si="262"/>
        <v>0.61</v>
      </c>
      <c r="EW202" s="86">
        <f t="shared" si="263"/>
        <v>0.61</v>
      </c>
      <c r="EX202" s="30" t="e">
        <f t="shared" ca="1" si="296"/>
        <v>#DIV/0!</v>
      </c>
      <c r="EY202" s="85" t="e">
        <f ca="1">IF(EE202&lt;=Hypothèses!$V$7,Hypothèses!$W$7,IF(EE202&lt;=Hypothèses!$V$8,Hypothèses!$W$8,IF(EE202&lt;=Hypothèses!$V$9,Hypothèses!$W$9,IF(EE202&lt;=Hypothèses!$V$10,Hypothèses!$W$10,IF(EE202&lt;=Hypothèses!$V$11,Hypothèses!$W$11,IF(EE202&lt;=Hypothèses!$V$12,Hypothèses!$W$12,IF(EE202&lt;=Hypothèses!$V$13,Hypothèses!$W$13,IF(EE202&lt;=Hypothèses!$V$14,Hypothèses!$W$14,IF(EE202&lt;=Hypothèses!$V$15,Hypothèses!$W$15,IF(EE202&lt;=Hypothèses!$V$16,Hypothèses!$W$16,IF(EE202&lt;=Hypothèses!$V$17,Hypothèses!$W$17,IF(EE202&lt;=Hypothèses!$V$18,Hypothèses!$W$18,""))))))))))))</f>
        <v>#DIV/0!</v>
      </c>
      <c r="EZ202" s="87" t="e">
        <f t="shared" ca="1" si="323"/>
        <v>#DIV/0!</v>
      </c>
      <c r="FA202" s="88" t="e">
        <f ca="1">IF(EE202&lt;=Hypothèses!$V$7,Hypothèses!$X$7,IF(EE202&lt;=Hypothèses!$V$8,Hypothèses!$X$8,IF(EE202&lt;=Hypothèses!$V$9,Hypothèses!$X$9,IF(EE202&lt;=Hypothèses!$V$10,Hypothèses!$X$10,IF(EE202&lt;=Hypothèses!$V$11,Hypothèses!$X$11,IF(EE202&lt;=Hypothèses!$V$12,Hypothèses!$X$12,IF(EE202&lt;=Hypothèses!$V$13,Hypothèses!$X$13,IF(EE202&lt;=Hypothèses!$V$14,Hypothèses!$X$14,IF(EE202&lt;=Hypothèses!$V$15,Hypothèses!$X$15,IF(EE202&lt;=Hypothèses!$V$16,Hypothèses!$X$16,IF(EE202&lt;=Hypothèses!$U$17,Hypothèses!$W$17,IF(EE202&lt;=Hypothèses!$U$18,Hypothèses!$W$18,""))))))))))))</f>
        <v>#DIV/0!</v>
      </c>
      <c r="FB202" s="95" t="e">
        <f t="shared" ca="1" si="297"/>
        <v>#DIV/0!</v>
      </c>
      <c r="FC202" s="101">
        <f t="shared" si="330"/>
        <v>0</v>
      </c>
      <c r="FD202" s="91">
        <f t="shared" si="264"/>
        <v>0</v>
      </c>
      <c r="FE202" s="30" t="e">
        <f t="shared" si="314"/>
        <v>#N/A</v>
      </c>
      <c r="FF202" s="30" t="e">
        <f t="shared" si="315"/>
        <v>#N/A</v>
      </c>
      <c r="FG202" s="31" t="e">
        <f>IF(OR(Hypothèses!$B$4=17,Hypothèses!$B$4=18,Hypothèses!$B$4=19,Hypothèses!$B$4=20),
IF($D202="Pressio.",
IF(OR($E202=3,$E202=1,$E202=4),FF202,FE202),
IF($D202="Pénétro.",
IF(OR($E202=3,$E202=1,$E202=4),FF202,FE202))),IF($D202="Pressio.",
IF($E202=3,FF202,FE202),
IF($D202="Pénétro.",
IF($E202=4,FF202,FE202))))</f>
        <v>#N/A</v>
      </c>
      <c r="FH202" s="31">
        <v>0</v>
      </c>
      <c r="FI202" s="102" t="e">
        <f>IF(NDC!$H$10="Oui",(VLOOKUP($B$3,'Coeff EC7'!$T$39:$X$59,2,0)*FG202+VLOOKUP($B$3,'Coeff EC7'!$T$65:$X$85,2,0)*Model0.1T!FH202)/1.5,PI()*FE$12*$Q202*($B202-$B201)*0.15/10+FI201)</f>
        <v>#N/A</v>
      </c>
      <c r="FJ202" s="102" t="e">
        <f>(VLOOKUP($B$3,'Coeff EC7'!$T$39:$X$59,3,0)*FG202+VLOOKUP($B$3,'Coeff EC7'!$T$65:$X$85,3,0)*Model0.1T!FH202)/1.1</f>
        <v>#N/A</v>
      </c>
      <c r="FK202" s="102" t="e">
        <f t="shared" si="298"/>
        <v>#N/A</v>
      </c>
      <c r="FL202" s="102" t="e">
        <f t="shared" si="299"/>
        <v>#N/A</v>
      </c>
      <c r="FM202" s="414" t="e">
        <f>IF(AND(FI202&gt;NDC!$C$63,FJ202&gt;NDC!$C$65,FK202&gt;NDC!$D$73,FL202&gt;NDC!$D$74,$B202&gt;NDC!$H$22-0.1+MIN(3*FM$12,1.5)),0,1)</f>
        <v>#N/A</v>
      </c>
    </row>
    <row r="203" spans="1:169">
      <c r="A203" s="96">
        <f t="shared" si="265"/>
        <v>81.00000000000108</v>
      </c>
      <c r="B203" s="97">
        <v>19</v>
      </c>
      <c r="C203" s="81">
        <f>IF(B203&lt;=Hypothèses!$C$7,Hypothèses!$A$7,IF(B203&lt;=Hypothèses!$C$8,Hypothèses!$A$8,IF(B203&lt;=Hypothèses!$C$9,Hypothèses!$A$9,IF(B203&lt;=Hypothèses!$C$10,Hypothèses!$A$10,IF(B203&lt;=Hypothèses!$C$11,Hypothèses!$A$11,IF(B203&lt;=Hypothèses!$C$12,Hypothèses!$A$12,IF(B203&lt;=Hypothèses!$C$13,Hypothèses!$A$13,IF(B203&lt;=Hypothèses!$C$14,Hypothèses!$A$14,IF(B203&lt;=Hypothèses!$C$15,Hypothèses!$A$15,IF(B203&lt;=Hypothèses!$C$16,Hypothèses!$A$16,IF(B203&lt;=Hypothèses!$C$17,Hypothèses!$A$17,IF(B203&lt;=Hypothèses!$C$18,Hypothèses!$A$18,C202))))))))))))</f>
        <v>11</v>
      </c>
      <c r="D203" s="82" t="str">
        <f>IF(B203&lt;=Hypothèses!$C$7,Hypothèses!$R$7,IF(B203&lt;=Hypothèses!$C$8,Hypothèses!$R$8,IF(B203&lt;=Hypothèses!$C$9,Hypothèses!$R$9,IF(B203&lt;=Hypothèses!$C$10,Hypothèses!$R$10,IF(B203&lt;=Hypothèses!$C$11,Hypothèses!$R$11,IF(B203&lt;=Hypothèses!$C$12,Hypothèses!$R$12,IF(B203&lt;=Hypothèses!$C$13,Hypothèses!$R$13,IF(B203&lt;=Hypothèses!$C$14,Hypothèses!$R$14,IF(B203&lt;=Hypothèses!$C$15,Hypothèses!$R$15,IF(B203&lt;=Hypothèses!$C$16,Hypothèses!$R$16,IF(B203&lt;=Hypothèses!$C$17,Hypothèses!$R$17,IF(B203&lt;=Hypothèses!$C$18,Hypothèses!$R$18,D202))))))))))))</f>
        <v>Pressio.</v>
      </c>
      <c r="E203" s="82" t="e">
        <f>IF(B203&lt;=Hypothèses!$C$7,Hypothèses!$G$7,IF(B203&lt;=Hypothèses!$C$8,Hypothèses!$G$8,IF(B203&lt;=Hypothèses!$C$9,Hypothèses!$G$9,IF(B203&lt;=Hypothèses!$C$10,Hypothèses!$G$10,IF(B203&lt;=Hypothèses!$C$11,Hypothèses!$G$11,IF(B203&lt;=Hypothèses!$C$12,Hypothèses!$G$12,IF(B203&lt;=Hypothèses!$C$13,Hypothèses!$G$13,IF(B203&lt;=Hypothèses!$C$14,Hypothèses!$G$14,IF(B203&lt;=Hypothèses!$C$15,Hypothèses!$G$15,IF(B203&lt;=Hypothèses!$C$16,Hypothèses!$G$16,IF(B203&lt;=Hypothèses!$C$17,Hypothèses!$G$17,IF(B203&lt;=Hypothèses!$C$18,Hypothèses!$G$18,E202))))))))))))</f>
        <v>#N/A</v>
      </c>
      <c r="F203" s="82" t="str">
        <f>IF(B203&lt;=Hypothèses!$C$7,Hypothèses!$F$7,IF(B203&lt;=Hypothèses!$C$8,Hypothèses!$F$8,IF(B203&lt;=Hypothèses!$C$9,Hypothèses!$F$9,IF(B203&lt;=Hypothèses!$C$10,Hypothèses!$F$10,IF(B203&lt;=Hypothèses!$C$11,Hypothèses!$F$11,IF(B203&lt;=Hypothèses!$C$12,Hypothèses!$F$12,IF(B203&lt;=Hypothèses!$C$13,Hypothèses!$F$13,IF(B203&lt;=Hypothèses!$C$14,Hypothèses!$F$14,IF(B203&lt;=Hypothèses!$C$15,Hypothèses!$F$15,IF(B203&lt;=Hypothèses!$C$16,Hypothèses!$F$16,IF(B203&lt;=Hypothèses!$C$17,Hypothèses!$F$17,IF(B203&lt;=Hypothèses!$C$18,Hypothèses!$F$18,F202))))))))))))</f>
        <v/>
      </c>
      <c r="G203" s="91">
        <f t="array" ref="G203">INDEX('Coeff EC7'!$U$7:$X$27,
MATCH(Model0.1T!$B$3,'Coeff EC7'!$T$7:$T$27,0),
MATCH(Model0.1T!$D203&amp;Model0.1T!$B$4,
'Coeff EC7'!$U$6:$X$6&amp;
'Coeff EC7'!$U$5:$X$5,0))</f>
        <v>1.4</v>
      </c>
      <c r="H203" s="91">
        <f t="array" ref="H203">INDEX('Coeff EC7'!$Y$7:$AB$27,
MATCH(Model0.1T!$B$3,'Coeff EC7'!$T$7:$T$27,0),
MATCH(Model0.1T!$D203&amp;Model0.1T!$B$4,
'Coeff EC7'!$Y$6:$AB$6&amp;
'Coeff EC7'!$Y$5:$AB$5,0))</f>
        <v>1.7</v>
      </c>
      <c r="I203" s="83">
        <v>0</v>
      </c>
      <c r="J203" s="91" t="e">
        <f t="array" ref="J203">INDEX('Coeff EC7'!$D$33:$Q$33,1,MATCH(D203&amp;E203,'Coeff EC7'!$D$31:$Q$31&amp;'Coeff EC7'!$D$32:$Q$32,0))</f>
        <v>#N/A</v>
      </c>
      <c r="K203" s="91" t="e">
        <f t="array" ref="K203">INDEX('Coeff EC7'!$D$34:$Q$34,1,MATCH(D203&amp;E203,'Coeff EC7'!$D$31:$Q$31&amp;'Coeff EC7'!$D$32:$Q$32,0))</f>
        <v>#N/A</v>
      </c>
      <c r="L203" s="91" t="e">
        <f t="array" ref="L203">INDEX('Coeff EC7'!$D$35:$Q$35,1,MATCH(D203&amp;E203,'Coeff EC7'!$D$31:$Q$31&amp;'Coeff EC7'!$D$32:$Q$32,0))</f>
        <v>#N/A</v>
      </c>
      <c r="M203" s="98" t="e">
        <f t="shared" si="231"/>
        <v>#N/A</v>
      </c>
      <c r="N203" s="99" t="e">
        <f t="array" ref="N203">INDEX('Coeff EC7'!$D$7:$Q$27,MATCH($B$3,'Coeff EC7'!$C$7:$C$27,0),MATCH(D203&amp;E203,'Coeff EC7'!$D$5:$Q$5&amp;'Coeff EC7'!$D$6:$Q$6,0))</f>
        <v>#N/A</v>
      </c>
      <c r="O203" s="99" t="e">
        <f t="array" ref="O203">INDEX('Coeff EC7'!$D$41:$Q$61,MATCH($B$3,'Coeff EC7'!$C$41:$C$61,0),MATCH(D203&amp;E203,'Coeff EC7'!$D$39:$Q$39&amp;'Coeff EC7'!$D$40:$Q$40,0))</f>
        <v>#N/A</v>
      </c>
      <c r="P203" s="30" t="e">
        <f t="shared" si="266"/>
        <v>#N/A</v>
      </c>
      <c r="Q203" s="100" t="e">
        <f t="shared" si="233"/>
        <v>#N/A</v>
      </c>
      <c r="R203" s="86" t="b">
        <f t="shared" si="234"/>
        <v>0</v>
      </c>
      <c r="S203" s="86">
        <f t="shared" si="232"/>
        <v>0.5</v>
      </c>
      <c r="T203" s="86">
        <f t="shared" si="235"/>
        <v>0.5</v>
      </c>
      <c r="U203" s="30" t="e">
        <f t="shared" ca="1" si="267"/>
        <v>#DIV/0!</v>
      </c>
      <c r="V203" s="85" t="str">
        <f>IF(B203&lt;=Hypothèses!$V$7,Hypothèses!$W$7,IF(B203&lt;=Hypothèses!$V$8,Hypothèses!$W$8,IF(B203&lt;=Hypothèses!$V$9,Hypothèses!$W$9,IF(B203&lt;=Hypothèses!$V$10,Hypothèses!$W$10,IF(B203&lt;=Hypothèses!$V$11,Hypothèses!$W$11,IF(B203&lt;=Hypothèses!$V$12,Hypothèses!$W$12,IF(B203&lt;=Hypothèses!$V$13,Hypothèses!$W$13,IF(B203&lt;=Hypothèses!$V$14,Hypothèses!$W$14,IF(B203&lt;=Hypothèses!$V$15,Hypothèses!$W$15,IF(B203&lt;=Hypothèses!$V$16,Hypothèses!$W$16,IF(B203&lt;=Hypothèses!$V$17,Hypothèses!$W$17,IF(B203&lt;=Hypothèses!$V$18,Hypothèses!$W$18,""))))))))))))</f>
        <v/>
      </c>
      <c r="W203" s="87" t="e">
        <f t="shared" ca="1" si="316"/>
        <v>#DIV/0!</v>
      </c>
      <c r="X203" s="88" t="str">
        <f>IF(B203&lt;=Hypothèses!$V$7,Hypothèses!$X$7,IF(B203&lt;=Hypothèses!$V$8,Hypothèses!$X$8,IF(B203&lt;=Hypothèses!$V$9,Hypothèses!$X$9,IF(B203&lt;=Hypothèses!$V$10,Hypothèses!$X$10,IF(B203&lt;=Hypothèses!$V$11,Hypothèses!$X$11,IF(B203&lt;=Hypothèses!$V$12,Hypothèses!$X$12,IF(B203&lt;=Hypothèses!$V$13,Hypothèses!$X$13,IF(B203&lt;=Hypothèses!$V$14,Hypothèses!$X$14,IF(B203&lt;=Hypothèses!$V$15,Hypothèses!$X$15,IF(B203&lt;=Hypothèses!$V$16,Hypothèses!$X$16,IF(B203&lt;=Hypothèses!$U$17,Hypothèses!$W$17,IF(B203&lt;=Hypothèses!$U$18,Hypothèses!$W$18,""))))))))))))</f>
        <v/>
      </c>
      <c r="Y203" s="95" t="e">
        <f t="shared" ca="1" si="236"/>
        <v>#DIV/0!</v>
      </c>
      <c r="Z203" s="101">
        <f t="shared" si="237"/>
        <v>0</v>
      </c>
      <c r="AA203" s="91">
        <f t="shared" si="238"/>
        <v>0</v>
      </c>
      <c r="AB203" s="30" t="e">
        <f t="shared" si="300"/>
        <v>#N/A</v>
      </c>
      <c r="AC203" s="30" t="e">
        <f t="shared" si="301"/>
        <v>#N/A</v>
      </c>
      <c r="AD203" s="31" t="e">
        <f>IF(OR(Hypothèses!$B$4=17,Hypothèses!$B$4=18,Hypothèses!$B$4=19,Hypothèses!$B$4=20),
IF($D203="Pressio.",
IF(OR($E203=3,$E203=1,$E203=4),AC203,AB203),
IF($D203="Pénétro.",
IF(OR($E203=3,$E203=1,$E203=4),AC203,AB203))),IF($D203="Pressio.",
IF($E203=3,AC203,AB203),
IF($D203="Pénétro.",
IF($E203=4,AC203,AB203))))</f>
        <v>#N/A</v>
      </c>
      <c r="AE203" s="31">
        <v>0</v>
      </c>
      <c r="AF203" s="102" t="e">
        <f>IF(NDC!$H$10="Oui",(VLOOKUP($B$3,'Coeff EC7'!$T$39:$X$59,2,0)*AD203+VLOOKUP($B$3,'Coeff EC7'!$T$65:$X$85,2,0)*Model0.1T!AE203)/1.5,PI()*AB$12*$Q203*($B203-$B202)*0.15/10+AF202)</f>
        <v>#N/A</v>
      </c>
      <c r="AG203" s="102" t="e">
        <f>(VLOOKUP($B$3,'Coeff EC7'!$T$39:$X$59,3,0)*AD203+VLOOKUP($B$3,'Coeff EC7'!$T$65:$X$85,3,0)*Model0.1T!AE203)/1.1</f>
        <v>#N/A</v>
      </c>
      <c r="AH203" s="102" t="e">
        <f t="shared" si="268"/>
        <v>#N/A</v>
      </c>
      <c r="AI203" s="102" t="e">
        <f t="shared" si="269"/>
        <v>#N/A</v>
      </c>
      <c r="AJ203" s="414" t="e">
        <f>IF(AND(AF203&gt;NDC!$C$63,AG203&gt;NDC!$C$65,AH203&gt;NDC!$D$73,AI203&gt;NDC!$D$74,$B203&gt;NDC!$H$22-0.1+MIN(3*$AJ$12,1.5)),0,1)</f>
        <v>#N/A</v>
      </c>
      <c r="AK203" s="86" t="b">
        <f t="shared" si="239"/>
        <v>0</v>
      </c>
      <c r="AL203" s="86">
        <f t="shared" si="270"/>
        <v>0.5</v>
      </c>
      <c r="AM203" s="86">
        <f t="shared" si="240"/>
        <v>0.5</v>
      </c>
      <c r="AN203" s="30" t="e">
        <f t="shared" ca="1" si="271"/>
        <v>#DIV/0!</v>
      </c>
      <c r="AO203" s="85" t="e">
        <f ca="1">IF(U203&lt;=Hypothèses!$V$7,Hypothèses!$W$7,IF(U203&lt;=Hypothèses!$V$8,Hypothèses!$W$8,IF(U203&lt;=Hypothèses!$V$9,Hypothèses!$W$9,IF(U203&lt;=Hypothèses!$V$10,Hypothèses!$W$10,IF(U203&lt;=Hypothèses!$V$11,Hypothèses!$W$11,IF(U203&lt;=Hypothèses!$V$12,Hypothèses!$W$12,IF(U203&lt;=Hypothèses!$V$13,Hypothèses!$W$13,IF(U203&lt;=Hypothèses!$V$14,Hypothèses!$W$14,IF(U203&lt;=Hypothèses!$V$15,Hypothèses!$W$15,IF(U203&lt;=Hypothèses!$V$16,Hypothèses!$W$16,IF(U203&lt;=Hypothèses!$V$17,Hypothèses!$W$17,IF(U203&lt;=Hypothèses!$V$18,Hypothèses!$W$18,""))))))))))))</f>
        <v>#DIV/0!</v>
      </c>
      <c r="AP203" s="87" t="e">
        <f t="shared" ca="1" si="317"/>
        <v>#DIV/0!</v>
      </c>
      <c r="AQ203" s="88" t="e">
        <f ca="1">IF(U203&lt;=Hypothèses!$V$7,Hypothèses!$X$7,IF(U203&lt;=Hypothèses!$V$8,Hypothèses!$X$8,IF(U203&lt;=Hypothèses!$V$9,Hypothèses!$X$9,IF(U203&lt;=Hypothèses!$V$10,Hypothèses!$X$10,IF(U203&lt;=Hypothèses!$V$11,Hypothèses!$X$11,IF(U203&lt;=Hypothèses!$V$12,Hypothèses!$X$12,IF(U203&lt;=Hypothèses!$V$13,Hypothèses!$X$13,IF(U203&lt;=Hypothèses!$V$14,Hypothèses!$X$14,IF(U203&lt;=Hypothèses!$V$15,Hypothèses!$X$15,IF(U203&lt;=Hypothèses!$V$16,Hypothèses!$X$16,IF(U203&lt;=Hypothèses!$U$17,Hypothèses!$W$17,IF(U203&lt;=Hypothèses!$U$18,Hypothèses!$W$18,""))))))))))))</f>
        <v>#DIV/0!</v>
      </c>
      <c r="AR203" s="95" t="e">
        <f t="shared" ca="1" si="272"/>
        <v>#DIV/0!</v>
      </c>
      <c r="AS203" s="101">
        <f t="shared" si="324"/>
        <v>0</v>
      </c>
      <c r="AT203" s="91">
        <f t="shared" si="241"/>
        <v>0</v>
      </c>
      <c r="AU203" s="30" t="e">
        <f t="shared" si="302"/>
        <v>#N/A</v>
      </c>
      <c r="AV203" s="30" t="e">
        <f t="shared" si="303"/>
        <v>#N/A</v>
      </c>
      <c r="AW203" s="31" t="e">
        <f>IF(OR(Hypothèses!$B$4=17,Hypothèses!$B$4=18,Hypothèses!$B$4=19,Hypothèses!$B$4=20),
IF($D203="Pressio.",
IF(OR($E203=3,$E203=1,$E203=4),AV203,AU203),
IF($D203="Pénétro.",
IF(OR($E203=3,$E203=1,$E203=4),AV203,AU203))),IF($D203="Pressio.",
IF($E203=3,AV203,AU203),
IF($D203="Pénétro.",
IF($E203=4,AV203,AU203))))</f>
        <v>#N/A</v>
      </c>
      <c r="AX203" s="31">
        <v>0</v>
      </c>
      <c r="AY203" s="102" t="e">
        <f>IF(NDC!$H$10="Oui",(VLOOKUP($B$3,'Coeff EC7'!$T$39:$X$59,2,0)*AW203+VLOOKUP($B$3,'Coeff EC7'!$T$65:$X$85,2,0)*Model0.1T!AX203)/1.5,PI()*AU$12*$Q203*($B203-$B202)*0.15/10+AY202)</f>
        <v>#N/A</v>
      </c>
      <c r="AZ203" s="102" t="e">
        <f>(VLOOKUP($B$3,'Coeff EC7'!$T$39:$X$59,3,0)*AW203+VLOOKUP($B$3,'Coeff EC7'!$T$65:$X$85,3,0)*Model0.1T!AX203)/1.1</f>
        <v>#N/A</v>
      </c>
      <c r="BA203" s="102" t="e">
        <f t="shared" si="273"/>
        <v>#N/A</v>
      </c>
      <c r="BB203" s="102" t="e">
        <f t="shared" si="274"/>
        <v>#N/A</v>
      </c>
      <c r="BC203" s="414" t="e">
        <f>IF(AND(AY203&gt;NDC!$C$63,AZ203&gt;NDC!$C$65,BA203&gt;NDC!$D$73,BB203&gt;NDC!$D$74,$B203&gt;NDC!$H$22-0.1+MIN(3*BC$12,1.5)),0,1)</f>
        <v>#N/A</v>
      </c>
      <c r="BD203" s="86" t="b">
        <f t="shared" si="242"/>
        <v>0</v>
      </c>
      <c r="BE203" s="86">
        <f t="shared" si="275"/>
        <v>0.5</v>
      </c>
      <c r="BF203" s="86">
        <f t="shared" si="243"/>
        <v>0.5</v>
      </c>
      <c r="BG203" s="30" t="e">
        <f t="shared" ca="1" si="276"/>
        <v>#DIV/0!</v>
      </c>
      <c r="BH203" s="85" t="e">
        <f ca="1">IF(AN203&lt;=Hypothèses!$V$7,Hypothèses!$W$7,IF(AN203&lt;=Hypothèses!$V$8,Hypothèses!$W$8,IF(AN203&lt;=Hypothèses!$V$9,Hypothèses!$W$9,IF(AN203&lt;=Hypothèses!$V$10,Hypothèses!$W$10,IF(AN203&lt;=Hypothèses!$V$11,Hypothèses!$W$11,IF(AN203&lt;=Hypothèses!$V$12,Hypothèses!$W$12,IF(AN203&lt;=Hypothèses!$V$13,Hypothèses!$W$13,IF(AN203&lt;=Hypothèses!$V$14,Hypothèses!$W$14,IF(AN203&lt;=Hypothèses!$V$15,Hypothèses!$W$15,IF(AN203&lt;=Hypothèses!$V$16,Hypothèses!$W$16,IF(AN203&lt;=Hypothèses!$V$17,Hypothèses!$W$17,IF(AN203&lt;=Hypothèses!$V$18,Hypothèses!$W$18,""))))))))))))</f>
        <v>#DIV/0!</v>
      </c>
      <c r="BI203" s="87" t="e">
        <f t="shared" ca="1" si="318"/>
        <v>#DIV/0!</v>
      </c>
      <c r="BJ203" s="88" t="e">
        <f ca="1">IF(AN203&lt;=Hypothèses!$V$7,Hypothèses!$X$7,IF(AN203&lt;=Hypothèses!$V$8,Hypothèses!$X$8,IF(AN203&lt;=Hypothèses!$V$9,Hypothèses!$X$9,IF(AN203&lt;=Hypothèses!$V$10,Hypothèses!$X$10,IF(AN203&lt;=Hypothèses!$V$11,Hypothèses!$X$11,IF(AN203&lt;=Hypothèses!$V$12,Hypothèses!$X$12,IF(AN203&lt;=Hypothèses!$V$13,Hypothèses!$X$13,IF(AN203&lt;=Hypothèses!$V$14,Hypothèses!$X$14,IF(AN203&lt;=Hypothèses!$V$15,Hypothèses!$X$15,IF(AN203&lt;=Hypothèses!$V$16,Hypothèses!$X$16,IF(AN203&lt;=Hypothèses!$U$17,Hypothèses!$W$17,IF(AN203&lt;=Hypothèses!$U$18,Hypothèses!$W$18,""))))))))))))</f>
        <v>#DIV/0!</v>
      </c>
      <c r="BK203" s="95" t="e">
        <f t="shared" ca="1" si="277"/>
        <v>#DIV/0!</v>
      </c>
      <c r="BL203" s="101">
        <f t="shared" si="325"/>
        <v>0</v>
      </c>
      <c r="BM203" s="91">
        <f t="shared" si="244"/>
        <v>0</v>
      </c>
      <c r="BN203" s="30" t="e">
        <f t="shared" si="304"/>
        <v>#N/A</v>
      </c>
      <c r="BO203" s="30" t="e">
        <f t="shared" si="305"/>
        <v>#N/A</v>
      </c>
      <c r="BP203" s="31" t="e">
        <f>IF(OR(Hypothèses!$B$4=17,Hypothèses!$B$4=18,Hypothèses!$B$4=19,Hypothèses!$B$4=20),
IF($D203="Pressio.",
IF(OR($E203=3,$E203=1,$E203=4),BO203,BN203),
IF($D203="Pénétro.",
IF(OR($E203=3,$E203=1,$E203=4),BO203,BN203))),IF($D203="Pressio.",
IF($E203=3,BO203,BN203),
IF($D203="Pénétro.",
IF($E203=4,BO203,BN203))))</f>
        <v>#N/A</v>
      </c>
      <c r="BQ203" s="31">
        <v>0</v>
      </c>
      <c r="BR203" s="102" t="e">
        <f>IF(NDC!$H$10="Oui",(VLOOKUP($B$3,'Coeff EC7'!$T$39:$X$59,2,0)*BP203+VLOOKUP($B$3,'Coeff EC7'!$T$65:$X$85,2,0)*Model0.1T!BQ203)/1.5,PI()*BN$12*$Q203*($B203-$B202)*0.15/10+BR202)</f>
        <v>#N/A</v>
      </c>
      <c r="BS203" s="102" t="e">
        <f>(VLOOKUP($B$3,'Coeff EC7'!$T$39:$X$59,3,0)*BP203+VLOOKUP($B$3,'Coeff EC7'!$T$65:$X$85,3,0)*Model0.1T!BQ203)/1.1</f>
        <v>#N/A</v>
      </c>
      <c r="BT203" s="102" t="e">
        <f t="shared" si="278"/>
        <v>#N/A</v>
      </c>
      <c r="BU203" s="102" t="e">
        <f t="shared" si="279"/>
        <v>#N/A</v>
      </c>
      <c r="BV203" s="414" t="e">
        <f>IF(AND(BR203&gt;NDC!$C$63,BS203&gt;NDC!$C$65,BT203&gt;NDC!$D$73,BU203&gt;NDC!$D$74,$B203&gt;NDC!$H$22-0.1+MIN(3*BV$12,1.5)),0,1)</f>
        <v>#N/A</v>
      </c>
      <c r="BW203" s="86" t="b">
        <f t="shared" si="245"/>
        <v>0</v>
      </c>
      <c r="BX203" s="86">
        <f t="shared" si="246"/>
        <v>0.5</v>
      </c>
      <c r="BY203" s="86">
        <f t="shared" si="247"/>
        <v>0.5</v>
      </c>
      <c r="BZ203" s="30" t="e">
        <f t="shared" ca="1" si="280"/>
        <v>#DIV/0!</v>
      </c>
      <c r="CA203" s="85" t="e">
        <f ca="1">IF(BG203&lt;=Hypothèses!$V$7,Hypothèses!$W$7,IF(BG203&lt;=Hypothèses!$V$8,Hypothèses!$W$8,IF(BG203&lt;=Hypothèses!$V$9,Hypothèses!$W$9,IF(BG203&lt;=Hypothèses!$V$10,Hypothèses!$W$10,IF(BG203&lt;=Hypothèses!$V$11,Hypothèses!$W$11,IF(BG203&lt;=Hypothèses!$V$12,Hypothèses!$W$12,IF(BG203&lt;=Hypothèses!$V$13,Hypothèses!$W$13,IF(BG203&lt;=Hypothèses!$V$14,Hypothèses!$W$14,IF(BG203&lt;=Hypothèses!$V$15,Hypothèses!$W$15,IF(BG203&lt;=Hypothèses!$V$16,Hypothèses!$W$16,IF(BG203&lt;=Hypothèses!$V$17,Hypothèses!$W$17,IF(BG203&lt;=Hypothèses!$V$18,Hypothèses!$W$18,""))))))))))))</f>
        <v>#DIV/0!</v>
      </c>
      <c r="CB203" s="87" t="e">
        <f t="shared" ca="1" si="319"/>
        <v>#DIV/0!</v>
      </c>
      <c r="CC203" s="88" t="e">
        <f ca="1">IF(BG203&lt;=Hypothèses!$V$7,Hypothèses!$X$7,IF(BG203&lt;=Hypothèses!$V$8,Hypothèses!$X$8,IF(BG203&lt;=Hypothèses!$V$9,Hypothèses!$X$9,IF(BG203&lt;=Hypothèses!$V$10,Hypothèses!$X$10,IF(BG203&lt;=Hypothèses!$V$11,Hypothèses!$X$11,IF(BG203&lt;=Hypothèses!$V$12,Hypothèses!$X$12,IF(BG203&lt;=Hypothèses!$V$13,Hypothèses!$X$13,IF(BG203&lt;=Hypothèses!$V$14,Hypothèses!$X$14,IF(BG203&lt;=Hypothèses!$V$15,Hypothèses!$X$15,IF(BG203&lt;=Hypothèses!$V$16,Hypothèses!$X$16,IF(BG203&lt;=Hypothèses!$U$17,Hypothèses!$W$17,IF(BG203&lt;=Hypothèses!$U$18,Hypothèses!$W$18,""))))))))))))</f>
        <v>#DIV/0!</v>
      </c>
      <c r="CD203" s="95" t="e">
        <f t="shared" ca="1" si="281"/>
        <v>#DIV/0!</v>
      </c>
      <c r="CE203" s="101">
        <f t="shared" si="326"/>
        <v>0</v>
      </c>
      <c r="CF203" s="91">
        <f t="shared" si="248"/>
        <v>0</v>
      </c>
      <c r="CG203" s="30" t="e">
        <f t="shared" si="306"/>
        <v>#N/A</v>
      </c>
      <c r="CH203" s="30" t="e">
        <f t="shared" si="307"/>
        <v>#N/A</v>
      </c>
      <c r="CI203" s="31" t="e">
        <f>IF(OR(Hypothèses!$B$4=17,Hypothèses!$B$4=18,Hypothèses!$B$4=19,Hypothèses!$B$4=20),
IF($D203="Pressio.",
IF(OR($E203=3,$E203=1,$E203=4),CH203,CG203),
IF($D203="Pénétro.",
IF(OR($E203=3,$E203=1,$E203=4),CH203,CG203))),IF($D203="Pressio.",
IF($E203=3,CH203,CG203),
IF($D203="Pénétro.",
IF($E203=4,CH203,CG203))))</f>
        <v>#N/A</v>
      </c>
      <c r="CJ203" s="31">
        <v>0</v>
      </c>
      <c r="CK203" s="102" t="e">
        <f>IF(NDC!$H$10="Oui",(VLOOKUP($B$3,'Coeff EC7'!$T$39:$X$59,2,0)*CI203+VLOOKUP($B$3,'Coeff EC7'!$T$65:$X$85,2,0)*Model0.1T!CJ203)/1.5,PI()*CG$12*$Q203*($B203-$B202)*0.15/10+CK202)</f>
        <v>#N/A</v>
      </c>
      <c r="CL203" s="102" t="e">
        <f>(VLOOKUP($B$3,'Coeff EC7'!$T$39:$X$59,3,0)*CI203+VLOOKUP($B$3,'Coeff EC7'!$T$65:$X$85,3,0)*Model0.1T!CJ203)/1.1</f>
        <v>#N/A</v>
      </c>
      <c r="CM203" s="102" t="e">
        <f t="shared" si="282"/>
        <v>#N/A</v>
      </c>
      <c r="CN203" s="102" t="e">
        <f t="shared" si="283"/>
        <v>#N/A</v>
      </c>
      <c r="CO203" s="414" t="e">
        <f>IF(AND(CK203&gt;NDC!$C$63,CL203&gt;NDC!$C$65,CM203&gt;NDC!$D$73,CN203&gt;NDC!$D$74,$B203&gt;NDC!$H$22-0.1+MIN(3*CO$12,1.5)),0,1)</f>
        <v>#N/A</v>
      </c>
      <c r="CP203" s="86" t="b">
        <f t="shared" si="249"/>
        <v>0</v>
      </c>
      <c r="CQ203" s="86">
        <f t="shared" si="250"/>
        <v>0.5</v>
      </c>
      <c r="CR203" s="86">
        <f t="shared" si="251"/>
        <v>0.5</v>
      </c>
      <c r="CS203" s="30" t="e">
        <f t="shared" ca="1" si="284"/>
        <v>#DIV/0!</v>
      </c>
      <c r="CT203" s="85" t="e">
        <f ca="1">IF(BZ203&lt;=Hypothèses!$V$7,Hypothèses!$W$7,IF(BZ203&lt;=Hypothèses!$V$8,Hypothèses!$W$8,IF(BZ203&lt;=Hypothèses!$V$9,Hypothèses!$W$9,IF(BZ203&lt;=Hypothèses!$V$10,Hypothèses!$W$10,IF(BZ203&lt;=Hypothèses!$V$11,Hypothèses!$W$11,IF(BZ203&lt;=Hypothèses!$V$12,Hypothèses!$W$12,IF(BZ203&lt;=Hypothèses!$V$13,Hypothèses!$W$13,IF(BZ203&lt;=Hypothèses!$V$14,Hypothèses!$W$14,IF(BZ203&lt;=Hypothèses!$V$15,Hypothèses!$W$15,IF(BZ203&lt;=Hypothèses!$V$16,Hypothèses!$W$16,IF(BZ203&lt;=Hypothèses!$V$17,Hypothèses!$W$17,IF(BZ203&lt;=Hypothèses!$V$18,Hypothèses!$W$18,""))))))))))))</f>
        <v>#DIV/0!</v>
      </c>
      <c r="CU203" s="87" t="e">
        <f t="shared" ca="1" si="320"/>
        <v>#DIV/0!</v>
      </c>
      <c r="CV203" s="88" t="e">
        <f ca="1">IF(BZ203&lt;=Hypothèses!$V$7,Hypothèses!$X$7,IF(BZ203&lt;=Hypothèses!$V$8,Hypothèses!$X$8,IF(BZ203&lt;=Hypothèses!$V$9,Hypothèses!$X$9,IF(BZ203&lt;=Hypothèses!$V$10,Hypothèses!$X$10,IF(BZ203&lt;=Hypothèses!$V$11,Hypothèses!$X$11,IF(BZ203&lt;=Hypothèses!$V$12,Hypothèses!$X$12,IF(BZ203&lt;=Hypothèses!$V$13,Hypothèses!$X$13,IF(BZ203&lt;=Hypothèses!$V$14,Hypothèses!$X$14,IF(BZ203&lt;=Hypothèses!$V$15,Hypothèses!$X$15,IF(BZ203&lt;=Hypothèses!$V$16,Hypothèses!$X$16,IF(BZ203&lt;=Hypothèses!$U$17,Hypothèses!$W$17,IF(BZ203&lt;=Hypothèses!$U$18,Hypothèses!$W$18,""))))))))))))</f>
        <v>#DIV/0!</v>
      </c>
      <c r="CW203" s="95" t="e">
        <f t="shared" ca="1" si="285"/>
        <v>#DIV/0!</v>
      </c>
      <c r="CX203" s="101">
        <f t="shared" si="327"/>
        <v>0</v>
      </c>
      <c r="CY203" s="91">
        <f t="shared" si="252"/>
        <v>0</v>
      </c>
      <c r="CZ203" s="30" t="e">
        <f t="shared" si="308"/>
        <v>#N/A</v>
      </c>
      <c r="DA203" s="30" t="e">
        <f t="shared" si="309"/>
        <v>#N/A</v>
      </c>
      <c r="DB203" s="31" t="e">
        <f>IF(OR(Hypothèses!$B$4=17,Hypothèses!$B$4=18,Hypothèses!$B$4=19,Hypothèses!$B$4=20),
IF($D203="Pressio.",
IF(OR($E203=3,$E203=1,$E203=4),DA203,CZ203),
IF($D203="Pénétro.",
IF(OR($E203=3,$E203=1,$E203=4),DA203,CZ203))),IF($D203="Pressio.",
IF($E203=3,DA203,CZ203),
IF($D203="Pénétro.",
IF($E203=4,DA203,CZ203))))</f>
        <v>#N/A</v>
      </c>
      <c r="DC203" s="31">
        <v>0</v>
      </c>
      <c r="DD203" s="102" t="e">
        <f>IF(NDC!$H$10="Oui",(VLOOKUP($B$3,'Coeff EC7'!$T$39:$X$59,2,0)*DB203+VLOOKUP($B$3,'Coeff EC7'!$T$65:$X$85,2,0)*Model0.1T!DC203)/1.5,PI()*CZ$12*$Q203*($B203-$B202)*0.15/10+DD202)</f>
        <v>#N/A</v>
      </c>
      <c r="DE203" s="102" t="e">
        <f>(VLOOKUP($B$3,'Coeff EC7'!$T$39:$X$59,3,0)*DB203+VLOOKUP($B$3,'Coeff EC7'!$T$65:$X$85,3,0)*Model0.1T!DC203)/1.1</f>
        <v>#N/A</v>
      </c>
      <c r="DF203" s="102" t="e">
        <f t="shared" si="286"/>
        <v>#N/A</v>
      </c>
      <c r="DG203" s="102" t="e">
        <f t="shared" si="287"/>
        <v>#N/A</v>
      </c>
      <c r="DH203" s="414" t="e">
        <f>IF(AND(DD203&gt;NDC!$C$63,DE203&gt;NDC!$C$65,DF203&gt;NDC!$D$73,DG203&gt;NDC!$D$74,$B203&gt;NDC!$H$22-0.1+MIN(3*DH$12,1.5)),0,1)</f>
        <v>#N/A</v>
      </c>
      <c r="DI203" s="86" t="b">
        <f t="shared" si="253"/>
        <v>0</v>
      </c>
      <c r="DJ203" s="86">
        <f t="shared" si="254"/>
        <v>0.5</v>
      </c>
      <c r="DK203" s="86">
        <f t="shared" si="255"/>
        <v>0.5</v>
      </c>
      <c r="DL203" s="30" t="e">
        <f t="shared" ca="1" si="288"/>
        <v>#DIV/0!</v>
      </c>
      <c r="DM203" s="85" t="e">
        <f ca="1">IF(CS203&lt;=Hypothèses!$V$7,Hypothèses!$W$7,IF(CS203&lt;=Hypothèses!$V$8,Hypothèses!$W$8,IF(CS203&lt;=Hypothèses!$V$9,Hypothèses!$W$9,IF(CS203&lt;=Hypothèses!$V$10,Hypothèses!$W$10,IF(CS203&lt;=Hypothèses!$V$11,Hypothèses!$W$11,IF(CS203&lt;=Hypothèses!$V$12,Hypothèses!$W$12,IF(CS203&lt;=Hypothèses!$V$13,Hypothèses!$W$13,IF(CS203&lt;=Hypothèses!$V$14,Hypothèses!$W$14,IF(CS203&lt;=Hypothèses!$V$15,Hypothèses!$W$15,IF(CS203&lt;=Hypothèses!$V$16,Hypothèses!$W$16,IF(CS203&lt;=Hypothèses!$V$17,Hypothèses!$W$17,IF(CS203&lt;=Hypothèses!$V$18,Hypothèses!$W$18,""))))))))))))</f>
        <v>#DIV/0!</v>
      </c>
      <c r="DN203" s="87" t="e">
        <f t="shared" ca="1" si="321"/>
        <v>#DIV/0!</v>
      </c>
      <c r="DO203" s="88" t="e">
        <f ca="1">IF(CS203&lt;=Hypothèses!$V$7,Hypothèses!$X$7,IF(CS203&lt;=Hypothèses!$V$8,Hypothèses!$X$8,IF(CS203&lt;=Hypothèses!$V$9,Hypothèses!$X$9,IF(CS203&lt;=Hypothèses!$V$10,Hypothèses!$X$10,IF(CS203&lt;=Hypothèses!$V$11,Hypothèses!$X$11,IF(CS203&lt;=Hypothèses!$V$12,Hypothèses!$X$12,IF(CS203&lt;=Hypothèses!$V$13,Hypothèses!$X$13,IF(CS203&lt;=Hypothèses!$V$14,Hypothèses!$X$14,IF(CS203&lt;=Hypothèses!$V$15,Hypothèses!$X$15,IF(CS203&lt;=Hypothèses!$V$16,Hypothèses!$X$16,IF(CS203&lt;=Hypothèses!$U$17,Hypothèses!$W$17,IF(CS203&lt;=Hypothèses!$U$18,Hypothèses!$W$18,""))))))))))))</f>
        <v>#DIV/0!</v>
      </c>
      <c r="DP203" s="95" t="e">
        <f t="shared" ca="1" si="289"/>
        <v>#DIV/0!</v>
      </c>
      <c r="DQ203" s="101">
        <f t="shared" si="328"/>
        <v>0</v>
      </c>
      <c r="DR203" s="91">
        <f t="shared" si="256"/>
        <v>0</v>
      </c>
      <c r="DS203" s="30" t="e">
        <f t="shared" si="310"/>
        <v>#N/A</v>
      </c>
      <c r="DT203" s="30" t="e">
        <f t="shared" si="311"/>
        <v>#N/A</v>
      </c>
      <c r="DU203" s="31" t="e">
        <f>IF(OR(Hypothèses!$B$4=17,Hypothèses!$B$4=18,Hypothèses!$B$4=19,Hypothèses!$B$4=20),
IF($D203="Pressio.",
IF(OR($E203=3,$E203=1,$E203=4),DT203,DS203),
IF($D203="Pénétro.",
IF(OR($E203=3,$E203=1,$E203=4),DT203,DS203))),IF($D203="Pressio.",
IF($E203=3,DT203,DS203),
IF($D203="Pénétro.",
IF($E203=4,DT203,DS203))))</f>
        <v>#N/A</v>
      </c>
      <c r="DV203" s="31">
        <v>0</v>
      </c>
      <c r="DW203" s="102" t="e">
        <f>IF(NDC!$H$10="Oui",(VLOOKUP($B$3,'Coeff EC7'!$T$39:$X$59,2,0)*DU203+VLOOKUP($B$3,'Coeff EC7'!$T$65:$X$85,2,0)*Model0.1T!DV203)/1.5,PI()*DS$12*$Q203*($B203-$B202)*0.15/10+DW202)</f>
        <v>#N/A</v>
      </c>
      <c r="DX203" s="102" t="e">
        <f>(VLOOKUP($B$3,'Coeff EC7'!$T$39:$X$59,3,0)*DU203+VLOOKUP($B$3,'Coeff EC7'!$T$65:$X$85,3,0)*Model0.1T!DV203)/1.1</f>
        <v>#N/A</v>
      </c>
      <c r="DY203" s="102" t="e">
        <f t="shared" si="290"/>
        <v>#N/A</v>
      </c>
      <c r="DZ203" s="102" t="e">
        <f t="shared" si="291"/>
        <v>#N/A</v>
      </c>
      <c r="EA203" s="414" t="e">
        <f>IF(AND(DW203&gt;NDC!$C$63,DX203&gt;NDC!$C$65,DY203&gt;NDC!$D$73,DZ203&gt;NDC!$D$74,$B203&gt;NDC!$H$22-0.1+MIN(3*EA$12,1.5)),0,1)</f>
        <v>#N/A</v>
      </c>
      <c r="EB203" s="86" t="b">
        <f t="shared" si="257"/>
        <v>0</v>
      </c>
      <c r="EC203" s="418">
        <f t="shared" si="258"/>
        <v>0.51</v>
      </c>
      <c r="ED203" s="86">
        <f t="shared" si="259"/>
        <v>0.51</v>
      </c>
      <c r="EE203" s="30" t="e">
        <f t="shared" ca="1" si="292"/>
        <v>#DIV/0!</v>
      </c>
      <c r="EF203" s="85" t="e">
        <f ca="1">IF(DL203&lt;=Hypothèses!$V$7,Hypothèses!$W$7,IF(DL203&lt;=Hypothèses!$V$8,Hypothèses!$W$8,IF(DL203&lt;=Hypothèses!$V$9,Hypothèses!$W$9,IF(DL203&lt;=Hypothèses!$V$10,Hypothèses!$W$10,IF(DL203&lt;=Hypothèses!$V$11,Hypothèses!$W$11,IF(DL203&lt;=Hypothèses!$V$12,Hypothèses!$W$12,IF(DL203&lt;=Hypothèses!$V$13,Hypothèses!$W$13,IF(DL203&lt;=Hypothèses!$V$14,Hypothèses!$W$14,IF(DL203&lt;=Hypothèses!$V$15,Hypothèses!$W$15,IF(DL203&lt;=Hypothèses!$V$16,Hypothèses!$W$16,IF(DL203&lt;=Hypothèses!$V$17,Hypothèses!$W$17,IF(DL203&lt;=Hypothèses!$V$18,Hypothèses!$W$18,""))))))))))))</f>
        <v>#DIV/0!</v>
      </c>
      <c r="EG203" s="87" t="e">
        <f t="shared" ca="1" si="322"/>
        <v>#DIV/0!</v>
      </c>
      <c r="EH203" s="88" t="e">
        <f ca="1">IF(DL203&lt;=Hypothèses!$V$7,Hypothèses!$X$7,IF(DL203&lt;=Hypothèses!$V$8,Hypothèses!$X$8,IF(DL203&lt;=Hypothèses!$V$9,Hypothèses!$X$9,IF(DL203&lt;=Hypothèses!$V$10,Hypothèses!$X$10,IF(DL203&lt;=Hypothèses!$V$11,Hypothèses!$X$11,IF(DL203&lt;=Hypothèses!$V$12,Hypothèses!$X$12,IF(DL203&lt;=Hypothèses!$V$13,Hypothèses!$X$13,IF(DL203&lt;=Hypothèses!$V$14,Hypothèses!$X$14,IF(DL203&lt;=Hypothèses!$V$15,Hypothèses!$X$15,IF(DL203&lt;=Hypothèses!$V$16,Hypothèses!$X$16,IF(DL203&lt;=Hypothèses!$U$17,Hypothèses!$W$17,IF(DL203&lt;=Hypothèses!$U$18,Hypothèses!$W$18,""))))))))))))</f>
        <v>#DIV/0!</v>
      </c>
      <c r="EI203" s="95" t="e">
        <f t="shared" ca="1" si="293"/>
        <v>#DIV/0!</v>
      </c>
      <c r="EJ203" s="101">
        <f t="shared" si="329"/>
        <v>0</v>
      </c>
      <c r="EK203" s="91">
        <f t="shared" si="260"/>
        <v>0</v>
      </c>
      <c r="EL203" s="30" t="e">
        <f t="shared" si="312"/>
        <v>#N/A</v>
      </c>
      <c r="EM203" s="30" t="e">
        <f t="shared" si="313"/>
        <v>#N/A</v>
      </c>
      <c r="EN203" s="31" t="e">
        <f>IF(OR(Hypothèses!$B$4=17,Hypothèses!$B$4=18,Hypothèses!$B$4=19,Hypothèses!$B$4=20),
IF($D203="Pressio.",
IF(OR($E203=3,$E203=1,$E203=4),EM203,EL203),
IF($D203="Pénétro.",
IF(OR($E203=3,$E203=1,$E203=4),EM203,EL203))),IF($D203="Pressio.",
IF($E203=3,EM203,EL203),
IF($D203="Pénétro.",
IF($E203=4,EM203,EL203))))</f>
        <v>#N/A</v>
      </c>
      <c r="EO203" s="31">
        <v>0</v>
      </c>
      <c r="EP203" s="102" t="e">
        <f>IF(NDC!$H$10="Oui",(VLOOKUP($B$3,'Coeff EC7'!$T$39:$X$59,2,0)*EN203+VLOOKUP($B$3,'Coeff EC7'!$T$65:$X$85,2,0)*Model0.1T!EO203)/1.5,PI()*EL$12*$Q203*($B203-$B202)*0.15/10+EP202)</f>
        <v>#N/A</v>
      </c>
      <c r="EQ203" s="102" t="e">
        <f>(VLOOKUP($B$3,'Coeff EC7'!$T$39:$X$59,3,0)*EN203+VLOOKUP($B$3,'Coeff EC7'!$T$65:$X$85,3,0)*Model0.1T!EO203)/1.1</f>
        <v>#N/A</v>
      </c>
      <c r="ER203" s="102" t="e">
        <f t="shared" si="294"/>
        <v>#N/A</v>
      </c>
      <c r="ES203" s="102" t="e">
        <f t="shared" si="295"/>
        <v>#N/A</v>
      </c>
      <c r="ET203" s="414" t="e">
        <f>IF(AND(EP203&gt;NDC!$C$63,EQ203&gt;NDC!$C$65,ER203&gt;NDC!$D$73,ES203&gt;NDC!$D$74,$B203&gt;NDC!$H$22-0.1+MIN(3*ET$12,1.5)),0,1)</f>
        <v>#N/A</v>
      </c>
      <c r="EU203" s="86" t="b">
        <f t="shared" si="261"/>
        <v>0</v>
      </c>
      <c r="EV203" s="86">
        <f t="shared" si="262"/>
        <v>0.61</v>
      </c>
      <c r="EW203" s="86">
        <f t="shared" si="263"/>
        <v>0.61</v>
      </c>
      <c r="EX203" s="30" t="e">
        <f t="shared" ca="1" si="296"/>
        <v>#DIV/0!</v>
      </c>
      <c r="EY203" s="85" t="e">
        <f ca="1">IF(EE203&lt;=Hypothèses!$V$7,Hypothèses!$W$7,IF(EE203&lt;=Hypothèses!$V$8,Hypothèses!$W$8,IF(EE203&lt;=Hypothèses!$V$9,Hypothèses!$W$9,IF(EE203&lt;=Hypothèses!$V$10,Hypothèses!$W$10,IF(EE203&lt;=Hypothèses!$V$11,Hypothèses!$W$11,IF(EE203&lt;=Hypothèses!$V$12,Hypothèses!$W$12,IF(EE203&lt;=Hypothèses!$V$13,Hypothèses!$W$13,IF(EE203&lt;=Hypothèses!$V$14,Hypothèses!$W$14,IF(EE203&lt;=Hypothèses!$V$15,Hypothèses!$W$15,IF(EE203&lt;=Hypothèses!$V$16,Hypothèses!$W$16,IF(EE203&lt;=Hypothèses!$V$17,Hypothèses!$W$17,IF(EE203&lt;=Hypothèses!$V$18,Hypothèses!$W$18,""))))))))))))</f>
        <v>#DIV/0!</v>
      </c>
      <c r="EZ203" s="87" t="e">
        <f t="shared" ca="1" si="323"/>
        <v>#DIV/0!</v>
      </c>
      <c r="FA203" s="88" t="e">
        <f ca="1">IF(EE203&lt;=Hypothèses!$V$7,Hypothèses!$X$7,IF(EE203&lt;=Hypothèses!$V$8,Hypothèses!$X$8,IF(EE203&lt;=Hypothèses!$V$9,Hypothèses!$X$9,IF(EE203&lt;=Hypothèses!$V$10,Hypothèses!$X$10,IF(EE203&lt;=Hypothèses!$V$11,Hypothèses!$X$11,IF(EE203&lt;=Hypothèses!$V$12,Hypothèses!$X$12,IF(EE203&lt;=Hypothèses!$V$13,Hypothèses!$X$13,IF(EE203&lt;=Hypothèses!$V$14,Hypothèses!$X$14,IF(EE203&lt;=Hypothèses!$V$15,Hypothèses!$X$15,IF(EE203&lt;=Hypothèses!$V$16,Hypothèses!$X$16,IF(EE203&lt;=Hypothèses!$U$17,Hypothèses!$W$17,IF(EE203&lt;=Hypothèses!$U$18,Hypothèses!$W$18,""))))))))))))</f>
        <v>#DIV/0!</v>
      </c>
      <c r="FB203" s="95" t="e">
        <f t="shared" ca="1" si="297"/>
        <v>#DIV/0!</v>
      </c>
      <c r="FC203" s="101">
        <f t="shared" si="330"/>
        <v>0</v>
      </c>
      <c r="FD203" s="91">
        <f t="shared" si="264"/>
        <v>0</v>
      </c>
      <c r="FE203" s="30" t="e">
        <f t="shared" si="314"/>
        <v>#N/A</v>
      </c>
      <c r="FF203" s="30" t="e">
        <f t="shared" si="315"/>
        <v>#N/A</v>
      </c>
      <c r="FG203" s="31" t="e">
        <f>IF(OR(Hypothèses!$B$4=17,Hypothèses!$B$4=18,Hypothèses!$B$4=19,Hypothèses!$B$4=20),
IF($D203="Pressio.",
IF(OR($E203=3,$E203=1,$E203=4),FF203,FE203),
IF($D203="Pénétro.",
IF(OR($E203=3,$E203=1,$E203=4),FF203,FE203))),IF($D203="Pressio.",
IF($E203=3,FF203,FE203),
IF($D203="Pénétro.",
IF($E203=4,FF203,FE203))))</f>
        <v>#N/A</v>
      </c>
      <c r="FH203" s="31">
        <v>0</v>
      </c>
      <c r="FI203" s="102" t="e">
        <f>IF(NDC!$H$10="Oui",(VLOOKUP($B$3,'Coeff EC7'!$T$39:$X$59,2,0)*FG203+VLOOKUP($B$3,'Coeff EC7'!$T$65:$X$85,2,0)*Model0.1T!FH203)/1.5,PI()*FE$12*$Q203*($B203-$B202)*0.15/10+FI202)</f>
        <v>#N/A</v>
      </c>
      <c r="FJ203" s="102" t="e">
        <f>(VLOOKUP($B$3,'Coeff EC7'!$T$39:$X$59,3,0)*FG203+VLOOKUP($B$3,'Coeff EC7'!$T$65:$X$85,3,0)*Model0.1T!FH203)/1.1</f>
        <v>#N/A</v>
      </c>
      <c r="FK203" s="102" t="e">
        <f t="shared" si="298"/>
        <v>#N/A</v>
      </c>
      <c r="FL203" s="102" t="e">
        <f t="shared" si="299"/>
        <v>#N/A</v>
      </c>
      <c r="FM203" s="414" t="e">
        <f>IF(AND(FI203&gt;NDC!$C$63,FJ203&gt;NDC!$C$65,FK203&gt;NDC!$D$73,FL203&gt;NDC!$D$74,$B203&gt;NDC!$H$22-0.1+MIN(3*FM$12,1.5)),0,1)</f>
        <v>#N/A</v>
      </c>
    </row>
    <row r="204" spans="1:169">
      <c r="A204" s="96">
        <f t="shared" si="265"/>
        <v>80.900000000001086</v>
      </c>
      <c r="B204" s="97">
        <v>19.100000000000001</v>
      </c>
      <c r="C204" s="81">
        <f>IF(B204&lt;=Hypothèses!$C$7,Hypothèses!$A$7,IF(B204&lt;=Hypothèses!$C$8,Hypothèses!$A$8,IF(B204&lt;=Hypothèses!$C$9,Hypothèses!$A$9,IF(B204&lt;=Hypothèses!$C$10,Hypothèses!$A$10,IF(B204&lt;=Hypothèses!$C$11,Hypothèses!$A$11,IF(B204&lt;=Hypothèses!$C$12,Hypothèses!$A$12,IF(B204&lt;=Hypothèses!$C$13,Hypothèses!$A$13,IF(B204&lt;=Hypothèses!$C$14,Hypothèses!$A$14,IF(B204&lt;=Hypothèses!$C$15,Hypothèses!$A$15,IF(B204&lt;=Hypothèses!$C$16,Hypothèses!$A$16,IF(B204&lt;=Hypothèses!$C$17,Hypothèses!$A$17,IF(B204&lt;=Hypothèses!$C$18,Hypothèses!$A$18,C203))))))))))))</f>
        <v>11</v>
      </c>
      <c r="D204" s="82" t="str">
        <f>IF(B204&lt;=Hypothèses!$C$7,Hypothèses!$R$7,IF(B204&lt;=Hypothèses!$C$8,Hypothèses!$R$8,IF(B204&lt;=Hypothèses!$C$9,Hypothèses!$R$9,IF(B204&lt;=Hypothèses!$C$10,Hypothèses!$R$10,IF(B204&lt;=Hypothèses!$C$11,Hypothèses!$R$11,IF(B204&lt;=Hypothèses!$C$12,Hypothèses!$R$12,IF(B204&lt;=Hypothèses!$C$13,Hypothèses!$R$13,IF(B204&lt;=Hypothèses!$C$14,Hypothèses!$R$14,IF(B204&lt;=Hypothèses!$C$15,Hypothèses!$R$15,IF(B204&lt;=Hypothèses!$C$16,Hypothèses!$R$16,IF(B204&lt;=Hypothèses!$C$17,Hypothèses!$R$17,IF(B204&lt;=Hypothèses!$C$18,Hypothèses!$R$18,D203))))))))))))</f>
        <v>Pressio.</v>
      </c>
      <c r="E204" s="82" t="e">
        <f>IF(B204&lt;=Hypothèses!$C$7,Hypothèses!$G$7,IF(B204&lt;=Hypothèses!$C$8,Hypothèses!$G$8,IF(B204&lt;=Hypothèses!$C$9,Hypothèses!$G$9,IF(B204&lt;=Hypothèses!$C$10,Hypothèses!$G$10,IF(B204&lt;=Hypothèses!$C$11,Hypothèses!$G$11,IF(B204&lt;=Hypothèses!$C$12,Hypothèses!$G$12,IF(B204&lt;=Hypothèses!$C$13,Hypothèses!$G$13,IF(B204&lt;=Hypothèses!$C$14,Hypothèses!$G$14,IF(B204&lt;=Hypothèses!$C$15,Hypothèses!$G$15,IF(B204&lt;=Hypothèses!$C$16,Hypothèses!$G$16,IF(B204&lt;=Hypothèses!$C$17,Hypothèses!$G$17,IF(B204&lt;=Hypothèses!$C$18,Hypothèses!$G$18,E203))))))))))))</f>
        <v>#N/A</v>
      </c>
      <c r="F204" s="82" t="str">
        <f>IF(B204&lt;=Hypothèses!$C$7,Hypothèses!$F$7,IF(B204&lt;=Hypothèses!$C$8,Hypothèses!$F$8,IF(B204&lt;=Hypothèses!$C$9,Hypothèses!$F$9,IF(B204&lt;=Hypothèses!$C$10,Hypothèses!$F$10,IF(B204&lt;=Hypothèses!$C$11,Hypothèses!$F$11,IF(B204&lt;=Hypothèses!$C$12,Hypothèses!$F$12,IF(B204&lt;=Hypothèses!$C$13,Hypothèses!$F$13,IF(B204&lt;=Hypothèses!$C$14,Hypothèses!$F$14,IF(B204&lt;=Hypothèses!$C$15,Hypothèses!$F$15,IF(B204&lt;=Hypothèses!$C$16,Hypothèses!$F$16,IF(B204&lt;=Hypothèses!$C$17,Hypothèses!$F$17,IF(B204&lt;=Hypothèses!$C$18,Hypothèses!$F$18,F203))))))))))))</f>
        <v/>
      </c>
      <c r="G204" s="91">
        <f t="array" ref="G204">INDEX('Coeff EC7'!$U$7:$X$27,
MATCH(Model0.1T!$B$3,'Coeff EC7'!$T$7:$T$27,0),
MATCH(Model0.1T!$D204&amp;Model0.1T!$B$4,
'Coeff EC7'!$U$6:$X$6&amp;
'Coeff EC7'!$U$5:$X$5,0))</f>
        <v>1.4</v>
      </c>
      <c r="H204" s="91">
        <f t="array" ref="H204">INDEX('Coeff EC7'!$Y$7:$AB$27,
MATCH(Model0.1T!$B$3,'Coeff EC7'!$T$7:$T$27,0),
MATCH(Model0.1T!$D204&amp;Model0.1T!$B$4,
'Coeff EC7'!$Y$6:$AB$6&amp;
'Coeff EC7'!$Y$5:$AB$5,0))</f>
        <v>1.7</v>
      </c>
      <c r="I204" s="83">
        <v>0</v>
      </c>
      <c r="J204" s="91" t="e">
        <f t="array" ref="J204">INDEX('Coeff EC7'!$D$33:$Q$33,1,MATCH(D204&amp;E204,'Coeff EC7'!$D$31:$Q$31&amp;'Coeff EC7'!$D$32:$Q$32,0))</f>
        <v>#N/A</v>
      </c>
      <c r="K204" s="91" t="e">
        <f t="array" ref="K204">INDEX('Coeff EC7'!$D$34:$Q$34,1,MATCH(D204&amp;E204,'Coeff EC7'!$D$31:$Q$31&amp;'Coeff EC7'!$D$32:$Q$32,0))</f>
        <v>#N/A</v>
      </c>
      <c r="L204" s="91" t="e">
        <f t="array" ref="L204">INDEX('Coeff EC7'!$D$35:$Q$35,1,MATCH(D204&amp;E204,'Coeff EC7'!$D$31:$Q$31&amp;'Coeff EC7'!$D$32:$Q$32,0))</f>
        <v>#N/A</v>
      </c>
      <c r="M204" s="98" t="e">
        <f t="shared" si="231"/>
        <v>#N/A</v>
      </c>
      <c r="N204" s="99" t="e">
        <f t="array" ref="N204">INDEX('Coeff EC7'!$D$7:$Q$27,MATCH($B$3,'Coeff EC7'!$C$7:$C$27,0),MATCH(D204&amp;E204,'Coeff EC7'!$D$5:$Q$5&amp;'Coeff EC7'!$D$6:$Q$6,0))</f>
        <v>#N/A</v>
      </c>
      <c r="O204" s="99" t="e">
        <f t="array" ref="O204">INDEX('Coeff EC7'!$D$41:$Q$61,MATCH($B$3,'Coeff EC7'!$C$41:$C$61,0),MATCH(D204&amp;E204,'Coeff EC7'!$D$39:$Q$39&amp;'Coeff EC7'!$D$40:$Q$40,0))</f>
        <v>#N/A</v>
      </c>
      <c r="P204" s="30" t="e">
        <f t="shared" si="266"/>
        <v>#N/A</v>
      </c>
      <c r="Q204" s="100" t="e">
        <f t="shared" si="233"/>
        <v>#N/A</v>
      </c>
      <c r="R204" s="86" t="b">
        <f t="shared" si="234"/>
        <v>0</v>
      </c>
      <c r="S204" s="86">
        <f t="shared" si="232"/>
        <v>0.5</v>
      </c>
      <c r="T204" s="86">
        <f t="shared" si="235"/>
        <v>0.5</v>
      </c>
      <c r="U204" s="30" t="e">
        <f t="shared" ca="1" si="267"/>
        <v>#DIV/0!</v>
      </c>
      <c r="V204" s="85" t="str">
        <f>IF(B204&lt;=Hypothèses!$V$7,Hypothèses!$W$7,IF(B204&lt;=Hypothèses!$V$8,Hypothèses!$W$8,IF(B204&lt;=Hypothèses!$V$9,Hypothèses!$W$9,IF(B204&lt;=Hypothèses!$V$10,Hypothèses!$W$10,IF(B204&lt;=Hypothèses!$V$11,Hypothèses!$W$11,IF(B204&lt;=Hypothèses!$V$12,Hypothèses!$W$12,IF(B204&lt;=Hypothèses!$V$13,Hypothèses!$W$13,IF(B204&lt;=Hypothèses!$V$14,Hypothèses!$W$14,IF(B204&lt;=Hypothèses!$V$15,Hypothèses!$W$15,IF(B204&lt;=Hypothèses!$V$16,Hypothèses!$W$16,IF(B204&lt;=Hypothèses!$V$17,Hypothèses!$W$17,IF(B204&lt;=Hypothèses!$V$18,Hypothèses!$W$18,""))))))))))))</f>
        <v/>
      </c>
      <c r="W204" s="87" t="e">
        <f t="shared" ca="1" si="316"/>
        <v>#DIV/0!</v>
      </c>
      <c r="X204" s="88" t="str">
        <f>IF(B204&lt;=Hypothèses!$V$7,Hypothèses!$X$7,IF(B204&lt;=Hypothèses!$V$8,Hypothèses!$X$8,IF(B204&lt;=Hypothèses!$V$9,Hypothèses!$X$9,IF(B204&lt;=Hypothèses!$V$10,Hypothèses!$X$10,IF(B204&lt;=Hypothèses!$V$11,Hypothèses!$X$11,IF(B204&lt;=Hypothèses!$V$12,Hypothèses!$X$12,IF(B204&lt;=Hypothèses!$V$13,Hypothèses!$X$13,IF(B204&lt;=Hypothèses!$V$14,Hypothèses!$X$14,IF(B204&lt;=Hypothèses!$V$15,Hypothèses!$X$15,IF(B204&lt;=Hypothèses!$V$16,Hypothèses!$X$16,IF(B204&lt;=Hypothèses!$U$17,Hypothèses!$W$17,IF(B204&lt;=Hypothèses!$U$18,Hypothèses!$W$18,""))))))))))))</f>
        <v/>
      </c>
      <c r="Y204" s="95" t="e">
        <f t="shared" ca="1" si="236"/>
        <v>#DIV/0!</v>
      </c>
      <c r="Z204" s="101">
        <f t="shared" si="237"/>
        <v>0</v>
      </c>
      <c r="AA204" s="91">
        <f t="shared" si="238"/>
        <v>0</v>
      </c>
      <c r="AB204" s="30" t="e">
        <f t="shared" si="300"/>
        <v>#N/A</v>
      </c>
      <c r="AC204" s="30" t="e">
        <f t="shared" si="301"/>
        <v>#N/A</v>
      </c>
      <c r="AD204" s="31" t="e">
        <f>IF(OR(Hypothèses!$B$4=17,Hypothèses!$B$4=18,Hypothèses!$B$4=19,Hypothèses!$B$4=20),
IF($D204="Pressio.",
IF(OR($E204=3,$E204=1,$E204=4),AC204,AB204),
IF($D204="Pénétro.",
IF(OR($E204=3,$E204=1,$E204=4),AC204,AB204))),IF($D204="Pressio.",
IF($E204=3,AC204,AB204),
IF($D204="Pénétro.",
IF($E204=4,AC204,AB204))))</f>
        <v>#N/A</v>
      </c>
      <c r="AE204" s="31">
        <v>0</v>
      </c>
      <c r="AF204" s="102" t="e">
        <f>IF(NDC!$H$10="Oui",(VLOOKUP($B$3,'Coeff EC7'!$T$39:$X$59,2,0)*AD204+VLOOKUP($B$3,'Coeff EC7'!$T$65:$X$85,2,0)*Model0.1T!AE204)/1.5,PI()*AB$12*$Q204*($B204-$B203)*0.15/10+AF203)</f>
        <v>#N/A</v>
      </c>
      <c r="AG204" s="102" t="e">
        <f>(VLOOKUP($B$3,'Coeff EC7'!$T$39:$X$59,3,0)*AD204+VLOOKUP($B$3,'Coeff EC7'!$T$65:$X$85,3,0)*Model0.1T!AE204)/1.1</f>
        <v>#N/A</v>
      </c>
      <c r="AH204" s="102" t="e">
        <f t="shared" si="268"/>
        <v>#N/A</v>
      </c>
      <c r="AI204" s="102" t="e">
        <f t="shared" si="269"/>
        <v>#N/A</v>
      </c>
      <c r="AJ204" s="414" t="e">
        <f>IF(AND(AF204&gt;NDC!$C$63,AG204&gt;NDC!$C$65,AH204&gt;NDC!$D$73,AI204&gt;NDC!$D$74,$B204&gt;NDC!$H$22-0.1+MIN(3*$AJ$12,1.5)),0,1)</f>
        <v>#N/A</v>
      </c>
      <c r="AK204" s="86" t="b">
        <f t="shared" si="239"/>
        <v>0</v>
      </c>
      <c r="AL204" s="86">
        <f t="shared" si="270"/>
        <v>0.5</v>
      </c>
      <c r="AM204" s="86">
        <f t="shared" si="240"/>
        <v>0.5</v>
      </c>
      <c r="AN204" s="30" t="e">
        <f t="shared" ca="1" si="271"/>
        <v>#DIV/0!</v>
      </c>
      <c r="AO204" s="85" t="e">
        <f ca="1">IF(U204&lt;=Hypothèses!$V$7,Hypothèses!$W$7,IF(U204&lt;=Hypothèses!$V$8,Hypothèses!$W$8,IF(U204&lt;=Hypothèses!$V$9,Hypothèses!$W$9,IF(U204&lt;=Hypothèses!$V$10,Hypothèses!$W$10,IF(U204&lt;=Hypothèses!$V$11,Hypothèses!$W$11,IF(U204&lt;=Hypothèses!$V$12,Hypothèses!$W$12,IF(U204&lt;=Hypothèses!$V$13,Hypothèses!$W$13,IF(U204&lt;=Hypothèses!$V$14,Hypothèses!$W$14,IF(U204&lt;=Hypothèses!$V$15,Hypothèses!$W$15,IF(U204&lt;=Hypothèses!$V$16,Hypothèses!$W$16,IF(U204&lt;=Hypothèses!$V$17,Hypothèses!$W$17,IF(U204&lt;=Hypothèses!$V$18,Hypothèses!$W$18,""))))))))))))</f>
        <v>#DIV/0!</v>
      </c>
      <c r="AP204" s="87" t="e">
        <f t="shared" ca="1" si="317"/>
        <v>#DIV/0!</v>
      </c>
      <c r="AQ204" s="88" t="e">
        <f ca="1">IF(U204&lt;=Hypothèses!$V$7,Hypothèses!$X$7,IF(U204&lt;=Hypothèses!$V$8,Hypothèses!$X$8,IF(U204&lt;=Hypothèses!$V$9,Hypothèses!$X$9,IF(U204&lt;=Hypothèses!$V$10,Hypothèses!$X$10,IF(U204&lt;=Hypothèses!$V$11,Hypothèses!$X$11,IF(U204&lt;=Hypothèses!$V$12,Hypothèses!$X$12,IF(U204&lt;=Hypothèses!$V$13,Hypothèses!$X$13,IF(U204&lt;=Hypothèses!$V$14,Hypothèses!$X$14,IF(U204&lt;=Hypothèses!$V$15,Hypothèses!$X$15,IF(U204&lt;=Hypothèses!$V$16,Hypothèses!$X$16,IF(U204&lt;=Hypothèses!$U$17,Hypothèses!$W$17,IF(U204&lt;=Hypothèses!$U$18,Hypothèses!$W$18,""))))))))))))</f>
        <v>#DIV/0!</v>
      </c>
      <c r="AR204" s="95" t="e">
        <f t="shared" ca="1" si="272"/>
        <v>#DIV/0!</v>
      </c>
      <c r="AS204" s="101">
        <f t="shared" si="324"/>
        <v>0</v>
      </c>
      <c r="AT204" s="91">
        <f t="shared" si="241"/>
        <v>0</v>
      </c>
      <c r="AU204" s="30" t="e">
        <f t="shared" si="302"/>
        <v>#N/A</v>
      </c>
      <c r="AV204" s="30" t="e">
        <f t="shared" si="303"/>
        <v>#N/A</v>
      </c>
      <c r="AW204" s="31" t="e">
        <f>IF(OR(Hypothèses!$B$4=17,Hypothèses!$B$4=18,Hypothèses!$B$4=19,Hypothèses!$B$4=20),
IF($D204="Pressio.",
IF(OR($E204=3,$E204=1,$E204=4),AV204,AU204),
IF($D204="Pénétro.",
IF(OR($E204=3,$E204=1,$E204=4),AV204,AU204))),IF($D204="Pressio.",
IF($E204=3,AV204,AU204),
IF($D204="Pénétro.",
IF($E204=4,AV204,AU204))))</f>
        <v>#N/A</v>
      </c>
      <c r="AX204" s="31">
        <v>0</v>
      </c>
      <c r="AY204" s="102" t="e">
        <f>IF(NDC!$H$10="Oui",(VLOOKUP($B$3,'Coeff EC7'!$T$39:$X$59,2,0)*AW204+VLOOKUP($B$3,'Coeff EC7'!$T$65:$X$85,2,0)*Model0.1T!AX204)/1.5,PI()*AU$12*$Q204*($B204-$B203)*0.15/10+AY203)</f>
        <v>#N/A</v>
      </c>
      <c r="AZ204" s="102" t="e">
        <f>(VLOOKUP($B$3,'Coeff EC7'!$T$39:$X$59,3,0)*AW204+VLOOKUP($B$3,'Coeff EC7'!$T$65:$X$85,3,0)*Model0.1T!AX204)/1.1</f>
        <v>#N/A</v>
      </c>
      <c r="BA204" s="102" t="e">
        <f t="shared" si="273"/>
        <v>#N/A</v>
      </c>
      <c r="BB204" s="102" t="e">
        <f t="shared" si="274"/>
        <v>#N/A</v>
      </c>
      <c r="BC204" s="414" t="e">
        <f>IF(AND(AY204&gt;NDC!$C$63,AZ204&gt;NDC!$C$65,BA204&gt;NDC!$D$73,BB204&gt;NDC!$D$74,$B204&gt;NDC!$H$22-0.1+MIN(3*BC$12,1.5)),0,1)</f>
        <v>#N/A</v>
      </c>
      <c r="BD204" s="86" t="b">
        <f t="shared" si="242"/>
        <v>0</v>
      </c>
      <c r="BE204" s="86">
        <f t="shared" si="275"/>
        <v>0.5</v>
      </c>
      <c r="BF204" s="86">
        <f t="shared" si="243"/>
        <v>0.5</v>
      </c>
      <c r="BG204" s="30" t="e">
        <f t="shared" ca="1" si="276"/>
        <v>#DIV/0!</v>
      </c>
      <c r="BH204" s="85" t="e">
        <f ca="1">IF(AN204&lt;=Hypothèses!$V$7,Hypothèses!$W$7,IF(AN204&lt;=Hypothèses!$V$8,Hypothèses!$W$8,IF(AN204&lt;=Hypothèses!$V$9,Hypothèses!$W$9,IF(AN204&lt;=Hypothèses!$V$10,Hypothèses!$W$10,IF(AN204&lt;=Hypothèses!$V$11,Hypothèses!$W$11,IF(AN204&lt;=Hypothèses!$V$12,Hypothèses!$W$12,IF(AN204&lt;=Hypothèses!$V$13,Hypothèses!$W$13,IF(AN204&lt;=Hypothèses!$V$14,Hypothèses!$W$14,IF(AN204&lt;=Hypothèses!$V$15,Hypothèses!$W$15,IF(AN204&lt;=Hypothèses!$V$16,Hypothèses!$W$16,IF(AN204&lt;=Hypothèses!$V$17,Hypothèses!$W$17,IF(AN204&lt;=Hypothèses!$V$18,Hypothèses!$W$18,""))))))))))))</f>
        <v>#DIV/0!</v>
      </c>
      <c r="BI204" s="87" t="e">
        <f t="shared" ca="1" si="318"/>
        <v>#DIV/0!</v>
      </c>
      <c r="BJ204" s="88" t="e">
        <f ca="1">IF(AN204&lt;=Hypothèses!$V$7,Hypothèses!$X$7,IF(AN204&lt;=Hypothèses!$V$8,Hypothèses!$X$8,IF(AN204&lt;=Hypothèses!$V$9,Hypothèses!$X$9,IF(AN204&lt;=Hypothèses!$V$10,Hypothèses!$X$10,IF(AN204&lt;=Hypothèses!$V$11,Hypothèses!$X$11,IF(AN204&lt;=Hypothèses!$V$12,Hypothèses!$X$12,IF(AN204&lt;=Hypothèses!$V$13,Hypothèses!$X$13,IF(AN204&lt;=Hypothèses!$V$14,Hypothèses!$X$14,IF(AN204&lt;=Hypothèses!$V$15,Hypothèses!$X$15,IF(AN204&lt;=Hypothèses!$V$16,Hypothèses!$X$16,IF(AN204&lt;=Hypothèses!$U$17,Hypothèses!$W$17,IF(AN204&lt;=Hypothèses!$U$18,Hypothèses!$W$18,""))))))))))))</f>
        <v>#DIV/0!</v>
      </c>
      <c r="BK204" s="95" t="e">
        <f t="shared" ca="1" si="277"/>
        <v>#DIV/0!</v>
      </c>
      <c r="BL204" s="101">
        <f t="shared" si="325"/>
        <v>0</v>
      </c>
      <c r="BM204" s="91">
        <f t="shared" si="244"/>
        <v>0</v>
      </c>
      <c r="BN204" s="30" t="e">
        <f t="shared" si="304"/>
        <v>#N/A</v>
      </c>
      <c r="BO204" s="30" t="e">
        <f t="shared" si="305"/>
        <v>#N/A</v>
      </c>
      <c r="BP204" s="31" t="e">
        <f>IF(OR(Hypothèses!$B$4=17,Hypothèses!$B$4=18,Hypothèses!$B$4=19,Hypothèses!$B$4=20),
IF($D204="Pressio.",
IF(OR($E204=3,$E204=1,$E204=4),BO204,BN204),
IF($D204="Pénétro.",
IF(OR($E204=3,$E204=1,$E204=4),BO204,BN204))),IF($D204="Pressio.",
IF($E204=3,BO204,BN204),
IF($D204="Pénétro.",
IF($E204=4,BO204,BN204))))</f>
        <v>#N/A</v>
      </c>
      <c r="BQ204" s="31">
        <v>0</v>
      </c>
      <c r="BR204" s="102" t="e">
        <f>IF(NDC!$H$10="Oui",(VLOOKUP($B$3,'Coeff EC7'!$T$39:$X$59,2,0)*BP204+VLOOKUP($B$3,'Coeff EC7'!$T$65:$X$85,2,0)*Model0.1T!BQ204)/1.5,PI()*BN$12*$Q204*($B204-$B203)*0.15/10+BR203)</f>
        <v>#N/A</v>
      </c>
      <c r="BS204" s="102" t="e">
        <f>(VLOOKUP($B$3,'Coeff EC7'!$T$39:$X$59,3,0)*BP204+VLOOKUP($B$3,'Coeff EC7'!$T$65:$X$85,3,0)*Model0.1T!BQ204)/1.1</f>
        <v>#N/A</v>
      </c>
      <c r="BT204" s="102" t="e">
        <f t="shared" si="278"/>
        <v>#N/A</v>
      </c>
      <c r="BU204" s="102" t="e">
        <f t="shared" si="279"/>
        <v>#N/A</v>
      </c>
      <c r="BV204" s="414" t="e">
        <f>IF(AND(BR204&gt;NDC!$C$63,BS204&gt;NDC!$C$65,BT204&gt;NDC!$D$73,BU204&gt;NDC!$D$74,$B204&gt;NDC!$H$22-0.1+MIN(3*BV$12,1.5)),0,1)</f>
        <v>#N/A</v>
      </c>
      <c r="BW204" s="86" t="b">
        <f t="shared" si="245"/>
        <v>0</v>
      </c>
      <c r="BX204" s="86">
        <f t="shared" si="246"/>
        <v>0.5</v>
      </c>
      <c r="BY204" s="86">
        <f t="shared" si="247"/>
        <v>0.5</v>
      </c>
      <c r="BZ204" s="30" t="e">
        <f t="shared" ca="1" si="280"/>
        <v>#DIV/0!</v>
      </c>
      <c r="CA204" s="85" t="e">
        <f ca="1">IF(BG204&lt;=Hypothèses!$V$7,Hypothèses!$W$7,IF(BG204&lt;=Hypothèses!$V$8,Hypothèses!$W$8,IF(BG204&lt;=Hypothèses!$V$9,Hypothèses!$W$9,IF(BG204&lt;=Hypothèses!$V$10,Hypothèses!$W$10,IF(BG204&lt;=Hypothèses!$V$11,Hypothèses!$W$11,IF(BG204&lt;=Hypothèses!$V$12,Hypothèses!$W$12,IF(BG204&lt;=Hypothèses!$V$13,Hypothèses!$W$13,IF(BG204&lt;=Hypothèses!$V$14,Hypothèses!$W$14,IF(BG204&lt;=Hypothèses!$V$15,Hypothèses!$W$15,IF(BG204&lt;=Hypothèses!$V$16,Hypothèses!$W$16,IF(BG204&lt;=Hypothèses!$V$17,Hypothèses!$W$17,IF(BG204&lt;=Hypothèses!$V$18,Hypothèses!$W$18,""))))))))))))</f>
        <v>#DIV/0!</v>
      </c>
      <c r="CB204" s="87" t="e">
        <f t="shared" ca="1" si="319"/>
        <v>#DIV/0!</v>
      </c>
      <c r="CC204" s="88" t="e">
        <f ca="1">IF(BG204&lt;=Hypothèses!$V$7,Hypothèses!$X$7,IF(BG204&lt;=Hypothèses!$V$8,Hypothèses!$X$8,IF(BG204&lt;=Hypothèses!$V$9,Hypothèses!$X$9,IF(BG204&lt;=Hypothèses!$V$10,Hypothèses!$X$10,IF(BG204&lt;=Hypothèses!$V$11,Hypothèses!$X$11,IF(BG204&lt;=Hypothèses!$V$12,Hypothèses!$X$12,IF(BG204&lt;=Hypothèses!$V$13,Hypothèses!$X$13,IF(BG204&lt;=Hypothèses!$V$14,Hypothèses!$X$14,IF(BG204&lt;=Hypothèses!$V$15,Hypothèses!$X$15,IF(BG204&lt;=Hypothèses!$V$16,Hypothèses!$X$16,IF(BG204&lt;=Hypothèses!$U$17,Hypothèses!$W$17,IF(BG204&lt;=Hypothèses!$U$18,Hypothèses!$W$18,""))))))))))))</f>
        <v>#DIV/0!</v>
      </c>
      <c r="CD204" s="95" t="e">
        <f t="shared" ca="1" si="281"/>
        <v>#DIV/0!</v>
      </c>
      <c r="CE204" s="101">
        <f t="shared" si="326"/>
        <v>0</v>
      </c>
      <c r="CF204" s="91">
        <f t="shared" si="248"/>
        <v>0</v>
      </c>
      <c r="CG204" s="30" t="e">
        <f t="shared" si="306"/>
        <v>#N/A</v>
      </c>
      <c r="CH204" s="30" t="e">
        <f t="shared" si="307"/>
        <v>#N/A</v>
      </c>
      <c r="CI204" s="31" t="e">
        <f>IF(OR(Hypothèses!$B$4=17,Hypothèses!$B$4=18,Hypothèses!$B$4=19,Hypothèses!$B$4=20),
IF($D204="Pressio.",
IF(OR($E204=3,$E204=1,$E204=4),CH204,CG204),
IF($D204="Pénétro.",
IF(OR($E204=3,$E204=1,$E204=4),CH204,CG204))),IF($D204="Pressio.",
IF($E204=3,CH204,CG204),
IF($D204="Pénétro.",
IF($E204=4,CH204,CG204))))</f>
        <v>#N/A</v>
      </c>
      <c r="CJ204" s="31">
        <v>0</v>
      </c>
      <c r="CK204" s="102" t="e">
        <f>IF(NDC!$H$10="Oui",(VLOOKUP($B$3,'Coeff EC7'!$T$39:$X$59,2,0)*CI204+VLOOKUP($B$3,'Coeff EC7'!$T$65:$X$85,2,0)*Model0.1T!CJ204)/1.5,PI()*CG$12*$Q204*($B204-$B203)*0.15/10+CK203)</f>
        <v>#N/A</v>
      </c>
      <c r="CL204" s="102" t="e">
        <f>(VLOOKUP($B$3,'Coeff EC7'!$T$39:$X$59,3,0)*CI204+VLOOKUP($B$3,'Coeff EC7'!$T$65:$X$85,3,0)*Model0.1T!CJ204)/1.1</f>
        <v>#N/A</v>
      </c>
      <c r="CM204" s="102" t="e">
        <f t="shared" si="282"/>
        <v>#N/A</v>
      </c>
      <c r="CN204" s="102" t="e">
        <f t="shared" si="283"/>
        <v>#N/A</v>
      </c>
      <c r="CO204" s="414" t="e">
        <f>IF(AND(CK204&gt;NDC!$C$63,CL204&gt;NDC!$C$65,CM204&gt;NDC!$D$73,CN204&gt;NDC!$D$74,$B204&gt;NDC!$H$22-0.1+MIN(3*CO$12,1.5)),0,1)</f>
        <v>#N/A</v>
      </c>
      <c r="CP204" s="86" t="b">
        <f t="shared" si="249"/>
        <v>0</v>
      </c>
      <c r="CQ204" s="86">
        <f t="shared" si="250"/>
        <v>0.5</v>
      </c>
      <c r="CR204" s="86">
        <f t="shared" si="251"/>
        <v>0.5</v>
      </c>
      <c r="CS204" s="30" t="e">
        <f t="shared" ca="1" si="284"/>
        <v>#DIV/0!</v>
      </c>
      <c r="CT204" s="85" t="e">
        <f ca="1">IF(BZ204&lt;=Hypothèses!$V$7,Hypothèses!$W$7,IF(BZ204&lt;=Hypothèses!$V$8,Hypothèses!$W$8,IF(BZ204&lt;=Hypothèses!$V$9,Hypothèses!$W$9,IF(BZ204&lt;=Hypothèses!$V$10,Hypothèses!$W$10,IF(BZ204&lt;=Hypothèses!$V$11,Hypothèses!$W$11,IF(BZ204&lt;=Hypothèses!$V$12,Hypothèses!$W$12,IF(BZ204&lt;=Hypothèses!$V$13,Hypothèses!$W$13,IF(BZ204&lt;=Hypothèses!$V$14,Hypothèses!$W$14,IF(BZ204&lt;=Hypothèses!$V$15,Hypothèses!$W$15,IF(BZ204&lt;=Hypothèses!$V$16,Hypothèses!$W$16,IF(BZ204&lt;=Hypothèses!$V$17,Hypothèses!$W$17,IF(BZ204&lt;=Hypothèses!$V$18,Hypothèses!$W$18,""))))))))))))</f>
        <v>#DIV/0!</v>
      </c>
      <c r="CU204" s="87" t="e">
        <f t="shared" ca="1" si="320"/>
        <v>#DIV/0!</v>
      </c>
      <c r="CV204" s="88" t="e">
        <f ca="1">IF(BZ204&lt;=Hypothèses!$V$7,Hypothèses!$X$7,IF(BZ204&lt;=Hypothèses!$V$8,Hypothèses!$X$8,IF(BZ204&lt;=Hypothèses!$V$9,Hypothèses!$X$9,IF(BZ204&lt;=Hypothèses!$V$10,Hypothèses!$X$10,IF(BZ204&lt;=Hypothèses!$V$11,Hypothèses!$X$11,IF(BZ204&lt;=Hypothèses!$V$12,Hypothèses!$X$12,IF(BZ204&lt;=Hypothèses!$V$13,Hypothèses!$X$13,IF(BZ204&lt;=Hypothèses!$V$14,Hypothèses!$X$14,IF(BZ204&lt;=Hypothèses!$V$15,Hypothèses!$X$15,IF(BZ204&lt;=Hypothèses!$V$16,Hypothèses!$X$16,IF(BZ204&lt;=Hypothèses!$U$17,Hypothèses!$W$17,IF(BZ204&lt;=Hypothèses!$U$18,Hypothèses!$W$18,""))))))))))))</f>
        <v>#DIV/0!</v>
      </c>
      <c r="CW204" s="95" t="e">
        <f t="shared" ca="1" si="285"/>
        <v>#DIV/0!</v>
      </c>
      <c r="CX204" s="101">
        <f t="shared" si="327"/>
        <v>0</v>
      </c>
      <c r="CY204" s="91">
        <f t="shared" si="252"/>
        <v>0</v>
      </c>
      <c r="CZ204" s="30" t="e">
        <f t="shared" si="308"/>
        <v>#N/A</v>
      </c>
      <c r="DA204" s="30" t="e">
        <f t="shared" si="309"/>
        <v>#N/A</v>
      </c>
      <c r="DB204" s="31" t="e">
        <f>IF(OR(Hypothèses!$B$4=17,Hypothèses!$B$4=18,Hypothèses!$B$4=19,Hypothèses!$B$4=20),
IF($D204="Pressio.",
IF(OR($E204=3,$E204=1,$E204=4),DA204,CZ204),
IF($D204="Pénétro.",
IF(OR($E204=3,$E204=1,$E204=4),DA204,CZ204))),IF($D204="Pressio.",
IF($E204=3,DA204,CZ204),
IF($D204="Pénétro.",
IF($E204=4,DA204,CZ204))))</f>
        <v>#N/A</v>
      </c>
      <c r="DC204" s="31">
        <v>0</v>
      </c>
      <c r="DD204" s="102" t="e">
        <f>IF(NDC!$H$10="Oui",(VLOOKUP($B$3,'Coeff EC7'!$T$39:$X$59,2,0)*DB204+VLOOKUP($B$3,'Coeff EC7'!$T$65:$X$85,2,0)*Model0.1T!DC204)/1.5,PI()*CZ$12*$Q204*($B204-$B203)*0.15/10+DD203)</f>
        <v>#N/A</v>
      </c>
      <c r="DE204" s="102" t="e">
        <f>(VLOOKUP($B$3,'Coeff EC7'!$T$39:$X$59,3,0)*DB204+VLOOKUP($B$3,'Coeff EC7'!$T$65:$X$85,3,0)*Model0.1T!DC204)/1.1</f>
        <v>#N/A</v>
      </c>
      <c r="DF204" s="102" t="e">
        <f t="shared" si="286"/>
        <v>#N/A</v>
      </c>
      <c r="DG204" s="102" t="e">
        <f t="shared" si="287"/>
        <v>#N/A</v>
      </c>
      <c r="DH204" s="414" t="e">
        <f>IF(AND(DD204&gt;NDC!$C$63,DE204&gt;NDC!$C$65,DF204&gt;NDC!$D$73,DG204&gt;NDC!$D$74,$B204&gt;NDC!$H$22-0.1+MIN(3*DH$12,1.5)),0,1)</f>
        <v>#N/A</v>
      </c>
      <c r="DI204" s="86" t="b">
        <f t="shared" si="253"/>
        <v>0</v>
      </c>
      <c r="DJ204" s="86">
        <f t="shared" si="254"/>
        <v>0.5</v>
      </c>
      <c r="DK204" s="86">
        <f t="shared" si="255"/>
        <v>0.5</v>
      </c>
      <c r="DL204" s="30" t="e">
        <f t="shared" ca="1" si="288"/>
        <v>#DIV/0!</v>
      </c>
      <c r="DM204" s="85" t="e">
        <f ca="1">IF(CS204&lt;=Hypothèses!$V$7,Hypothèses!$W$7,IF(CS204&lt;=Hypothèses!$V$8,Hypothèses!$W$8,IF(CS204&lt;=Hypothèses!$V$9,Hypothèses!$W$9,IF(CS204&lt;=Hypothèses!$V$10,Hypothèses!$W$10,IF(CS204&lt;=Hypothèses!$V$11,Hypothèses!$W$11,IF(CS204&lt;=Hypothèses!$V$12,Hypothèses!$W$12,IF(CS204&lt;=Hypothèses!$V$13,Hypothèses!$W$13,IF(CS204&lt;=Hypothèses!$V$14,Hypothèses!$W$14,IF(CS204&lt;=Hypothèses!$V$15,Hypothèses!$W$15,IF(CS204&lt;=Hypothèses!$V$16,Hypothèses!$W$16,IF(CS204&lt;=Hypothèses!$V$17,Hypothèses!$W$17,IF(CS204&lt;=Hypothèses!$V$18,Hypothèses!$W$18,""))))))))))))</f>
        <v>#DIV/0!</v>
      </c>
      <c r="DN204" s="87" t="e">
        <f t="shared" ca="1" si="321"/>
        <v>#DIV/0!</v>
      </c>
      <c r="DO204" s="88" t="e">
        <f ca="1">IF(CS204&lt;=Hypothèses!$V$7,Hypothèses!$X$7,IF(CS204&lt;=Hypothèses!$V$8,Hypothèses!$X$8,IF(CS204&lt;=Hypothèses!$V$9,Hypothèses!$X$9,IF(CS204&lt;=Hypothèses!$V$10,Hypothèses!$X$10,IF(CS204&lt;=Hypothèses!$V$11,Hypothèses!$X$11,IF(CS204&lt;=Hypothèses!$V$12,Hypothèses!$X$12,IF(CS204&lt;=Hypothèses!$V$13,Hypothèses!$X$13,IF(CS204&lt;=Hypothèses!$V$14,Hypothèses!$X$14,IF(CS204&lt;=Hypothèses!$V$15,Hypothèses!$X$15,IF(CS204&lt;=Hypothèses!$V$16,Hypothèses!$X$16,IF(CS204&lt;=Hypothèses!$U$17,Hypothèses!$W$17,IF(CS204&lt;=Hypothèses!$U$18,Hypothèses!$W$18,""))))))))))))</f>
        <v>#DIV/0!</v>
      </c>
      <c r="DP204" s="95" t="e">
        <f t="shared" ca="1" si="289"/>
        <v>#DIV/0!</v>
      </c>
      <c r="DQ204" s="101">
        <f t="shared" si="328"/>
        <v>0</v>
      </c>
      <c r="DR204" s="91">
        <f t="shared" si="256"/>
        <v>0</v>
      </c>
      <c r="DS204" s="30" t="e">
        <f t="shared" si="310"/>
        <v>#N/A</v>
      </c>
      <c r="DT204" s="30" t="e">
        <f t="shared" si="311"/>
        <v>#N/A</v>
      </c>
      <c r="DU204" s="31" t="e">
        <f>IF(OR(Hypothèses!$B$4=17,Hypothèses!$B$4=18,Hypothèses!$B$4=19,Hypothèses!$B$4=20),
IF($D204="Pressio.",
IF(OR($E204=3,$E204=1,$E204=4),DT204,DS204),
IF($D204="Pénétro.",
IF(OR($E204=3,$E204=1,$E204=4),DT204,DS204))),IF($D204="Pressio.",
IF($E204=3,DT204,DS204),
IF($D204="Pénétro.",
IF($E204=4,DT204,DS204))))</f>
        <v>#N/A</v>
      </c>
      <c r="DV204" s="31">
        <v>0</v>
      </c>
      <c r="DW204" s="102" t="e">
        <f>IF(NDC!$H$10="Oui",(VLOOKUP($B$3,'Coeff EC7'!$T$39:$X$59,2,0)*DU204+VLOOKUP($B$3,'Coeff EC7'!$T$65:$X$85,2,0)*Model0.1T!DV204)/1.5,PI()*DS$12*$Q204*($B204-$B203)*0.15/10+DW203)</f>
        <v>#N/A</v>
      </c>
      <c r="DX204" s="102" t="e">
        <f>(VLOOKUP($B$3,'Coeff EC7'!$T$39:$X$59,3,0)*DU204+VLOOKUP($B$3,'Coeff EC7'!$T$65:$X$85,3,0)*Model0.1T!DV204)/1.1</f>
        <v>#N/A</v>
      </c>
      <c r="DY204" s="102" t="e">
        <f t="shared" si="290"/>
        <v>#N/A</v>
      </c>
      <c r="DZ204" s="102" t="e">
        <f t="shared" si="291"/>
        <v>#N/A</v>
      </c>
      <c r="EA204" s="414" t="e">
        <f>IF(AND(DW204&gt;NDC!$C$63,DX204&gt;NDC!$C$65,DY204&gt;NDC!$D$73,DZ204&gt;NDC!$D$74,$B204&gt;NDC!$H$22-0.1+MIN(3*EA$12,1.5)),0,1)</f>
        <v>#N/A</v>
      </c>
      <c r="EB204" s="86" t="b">
        <f t="shared" si="257"/>
        <v>0</v>
      </c>
      <c r="EC204" s="418">
        <f t="shared" si="258"/>
        <v>0.51</v>
      </c>
      <c r="ED204" s="86">
        <f t="shared" si="259"/>
        <v>0.51</v>
      </c>
      <c r="EE204" s="30" t="e">
        <f t="shared" ca="1" si="292"/>
        <v>#DIV/0!</v>
      </c>
      <c r="EF204" s="85" t="e">
        <f ca="1">IF(DL204&lt;=Hypothèses!$V$7,Hypothèses!$W$7,IF(DL204&lt;=Hypothèses!$V$8,Hypothèses!$W$8,IF(DL204&lt;=Hypothèses!$V$9,Hypothèses!$W$9,IF(DL204&lt;=Hypothèses!$V$10,Hypothèses!$W$10,IF(DL204&lt;=Hypothèses!$V$11,Hypothèses!$W$11,IF(DL204&lt;=Hypothèses!$V$12,Hypothèses!$W$12,IF(DL204&lt;=Hypothèses!$V$13,Hypothèses!$W$13,IF(DL204&lt;=Hypothèses!$V$14,Hypothèses!$W$14,IF(DL204&lt;=Hypothèses!$V$15,Hypothèses!$W$15,IF(DL204&lt;=Hypothèses!$V$16,Hypothèses!$W$16,IF(DL204&lt;=Hypothèses!$V$17,Hypothèses!$W$17,IF(DL204&lt;=Hypothèses!$V$18,Hypothèses!$W$18,""))))))))))))</f>
        <v>#DIV/0!</v>
      </c>
      <c r="EG204" s="87" t="e">
        <f t="shared" ca="1" si="322"/>
        <v>#DIV/0!</v>
      </c>
      <c r="EH204" s="88" t="e">
        <f ca="1">IF(DL204&lt;=Hypothèses!$V$7,Hypothèses!$X$7,IF(DL204&lt;=Hypothèses!$V$8,Hypothèses!$X$8,IF(DL204&lt;=Hypothèses!$V$9,Hypothèses!$X$9,IF(DL204&lt;=Hypothèses!$V$10,Hypothèses!$X$10,IF(DL204&lt;=Hypothèses!$V$11,Hypothèses!$X$11,IF(DL204&lt;=Hypothèses!$V$12,Hypothèses!$X$12,IF(DL204&lt;=Hypothèses!$V$13,Hypothèses!$X$13,IF(DL204&lt;=Hypothèses!$V$14,Hypothèses!$X$14,IF(DL204&lt;=Hypothèses!$V$15,Hypothèses!$X$15,IF(DL204&lt;=Hypothèses!$V$16,Hypothèses!$X$16,IF(DL204&lt;=Hypothèses!$U$17,Hypothèses!$W$17,IF(DL204&lt;=Hypothèses!$U$18,Hypothèses!$W$18,""))))))))))))</f>
        <v>#DIV/0!</v>
      </c>
      <c r="EI204" s="95" t="e">
        <f t="shared" ca="1" si="293"/>
        <v>#DIV/0!</v>
      </c>
      <c r="EJ204" s="101">
        <f t="shared" si="329"/>
        <v>0</v>
      </c>
      <c r="EK204" s="91">
        <f t="shared" si="260"/>
        <v>0</v>
      </c>
      <c r="EL204" s="30" t="e">
        <f t="shared" si="312"/>
        <v>#N/A</v>
      </c>
      <c r="EM204" s="30" t="e">
        <f t="shared" si="313"/>
        <v>#N/A</v>
      </c>
      <c r="EN204" s="31" t="e">
        <f>IF(OR(Hypothèses!$B$4=17,Hypothèses!$B$4=18,Hypothèses!$B$4=19,Hypothèses!$B$4=20),
IF($D204="Pressio.",
IF(OR($E204=3,$E204=1,$E204=4),EM204,EL204),
IF($D204="Pénétro.",
IF(OR($E204=3,$E204=1,$E204=4),EM204,EL204))),IF($D204="Pressio.",
IF($E204=3,EM204,EL204),
IF($D204="Pénétro.",
IF($E204=4,EM204,EL204))))</f>
        <v>#N/A</v>
      </c>
      <c r="EO204" s="31">
        <v>0</v>
      </c>
      <c r="EP204" s="102" t="e">
        <f>IF(NDC!$H$10="Oui",(VLOOKUP($B$3,'Coeff EC7'!$T$39:$X$59,2,0)*EN204+VLOOKUP($B$3,'Coeff EC7'!$T$65:$X$85,2,0)*Model0.1T!EO204)/1.5,PI()*EL$12*$Q204*($B204-$B203)*0.15/10+EP203)</f>
        <v>#N/A</v>
      </c>
      <c r="EQ204" s="102" t="e">
        <f>(VLOOKUP($B$3,'Coeff EC7'!$T$39:$X$59,3,0)*EN204+VLOOKUP($B$3,'Coeff EC7'!$T$65:$X$85,3,0)*Model0.1T!EO204)/1.1</f>
        <v>#N/A</v>
      </c>
      <c r="ER204" s="102" t="e">
        <f t="shared" si="294"/>
        <v>#N/A</v>
      </c>
      <c r="ES204" s="102" t="e">
        <f t="shared" si="295"/>
        <v>#N/A</v>
      </c>
      <c r="ET204" s="414" t="e">
        <f>IF(AND(EP204&gt;NDC!$C$63,EQ204&gt;NDC!$C$65,ER204&gt;NDC!$D$73,ES204&gt;NDC!$D$74,$B204&gt;NDC!$H$22-0.1+MIN(3*ET$12,1.5)),0,1)</f>
        <v>#N/A</v>
      </c>
      <c r="EU204" s="86" t="b">
        <f t="shared" si="261"/>
        <v>0</v>
      </c>
      <c r="EV204" s="86">
        <f t="shared" si="262"/>
        <v>0.61</v>
      </c>
      <c r="EW204" s="86">
        <f t="shared" si="263"/>
        <v>0.61</v>
      </c>
      <c r="EX204" s="30" t="e">
        <f t="shared" ca="1" si="296"/>
        <v>#DIV/0!</v>
      </c>
      <c r="EY204" s="85" t="e">
        <f ca="1">IF(EE204&lt;=Hypothèses!$V$7,Hypothèses!$W$7,IF(EE204&lt;=Hypothèses!$V$8,Hypothèses!$W$8,IF(EE204&lt;=Hypothèses!$V$9,Hypothèses!$W$9,IF(EE204&lt;=Hypothèses!$V$10,Hypothèses!$W$10,IF(EE204&lt;=Hypothèses!$V$11,Hypothèses!$W$11,IF(EE204&lt;=Hypothèses!$V$12,Hypothèses!$W$12,IF(EE204&lt;=Hypothèses!$V$13,Hypothèses!$W$13,IF(EE204&lt;=Hypothèses!$V$14,Hypothèses!$W$14,IF(EE204&lt;=Hypothèses!$V$15,Hypothèses!$W$15,IF(EE204&lt;=Hypothèses!$V$16,Hypothèses!$W$16,IF(EE204&lt;=Hypothèses!$V$17,Hypothèses!$W$17,IF(EE204&lt;=Hypothèses!$V$18,Hypothèses!$W$18,""))))))))))))</f>
        <v>#DIV/0!</v>
      </c>
      <c r="EZ204" s="87" t="e">
        <f t="shared" ca="1" si="323"/>
        <v>#DIV/0!</v>
      </c>
      <c r="FA204" s="88" t="e">
        <f ca="1">IF(EE204&lt;=Hypothèses!$V$7,Hypothèses!$X$7,IF(EE204&lt;=Hypothèses!$V$8,Hypothèses!$X$8,IF(EE204&lt;=Hypothèses!$V$9,Hypothèses!$X$9,IF(EE204&lt;=Hypothèses!$V$10,Hypothèses!$X$10,IF(EE204&lt;=Hypothèses!$V$11,Hypothèses!$X$11,IF(EE204&lt;=Hypothèses!$V$12,Hypothèses!$X$12,IF(EE204&lt;=Hypothèses!$V$13,Hypothèses!$X$13,IF(EE204&lt;=Hypothèses!$V$14,Hypothèses!$X$14,IF(EE204&lt;=Hypothèses!$V$15,Hypothèses!$X$15,IF(EE204&lt;=Hypothèses!$V$16,Hypothèses!$X$16,IF(EE204&lt;=Hypothèses!$U$17,Hypothèses!$W$17,IF(EE204&lt;=Hypothèses!$U$18,Hypothèses!$W$18,""))))))))))))</f>
        <v>#DIV/0!</v>
      </c>
      <c r="FB204" s="95" t="e">
        <f t="shared" ca="1" si="297"/>
        <v>#DIV/0!</v>
      </c>
      <c r="FC204" s="101">
        <f t="shared" si="330"/>
        <v>0</v>
      </c>
      <c r="FD204" s="91">
        <f t="shared" si="264"/>
        <v>0</v>
      </c>
      <c r="FE204" s="30" t="e">
        <f t="shared" si="314"/>
        <v>#N/A</v>
      </c>
      <c r="FF204" s="30" t="e">
        <f t="shared" si="315"/>
        <v>#N/A</v>
      </c>
      <c r="FG204" s="31" t="e">
        <f>IF(OR(Hypothèses!$B$4=17,Hypothèses!$B$4=18,Hypothèses!$B$4=19,Hypothèses!$B$4=20),
IF($D204="Pressio.",
IF(OR($E204=3,$E204=1,$E204=4),FF204,FE204),
IF($D204="Pénétro.",
IF(OR($E204=3,$E204=1,$E204=4),FF204,FE204))),IF($D204="Pressio.",
IF($E204=3,FF204,FE204),
IF($D204="Pénétro.",
IF($E204=4,FF204,FE204))))</f>
        <v>#N/A</v>
      </c>
      <c r="FH204" s="31">
        <v>0</v>
      </c>
      <c r="FI204" s="102" t="e">
        <f>IF(NDC!$H$10="Oui",(VLOOKUP($B$3,'Coeff EC7'!$T$39:$X$59,2,0)*FG204+VLOOKUP($B$3,'Coeff EC7'!$T$65:$X$85,2,0)*Model0.1T!FH204)/1.5,PI()*FE$12*$Q204*($B204-$B203)*0.15/10+FI203)</f>
        <v>#N/A</v>
      </c>
      <c r="FJ204" s="102" t="e">
        <f>(VLOOKUP($B$3,'Coeff EC7'!$T$39:$X$59,3,0)*FG204+VLOOKUP($B$3,'Coeff EC7'!$T$65:$X$85,3,0)*Model0.1T!FH204)/1.1</f>
        <v>#N/A</v>
      </c>
      <c r="FK204" s="102" t="e">
        <f t="shared" si="298"/>
        <v>#N/A</v>
      </c>
      <c r="FL204" s="102" t="e">
        <f t="shared" si="299"/>
        <v>#N/A</v>
      </c>
      <c r="FM204" s="414" t="e">
        <f>IF(AND(FI204&gt;NDC!$C$63,FJ204&gt;NDC!$C$65,FK204&gt;NDC!$D$73,FL204&gt;NDC!$D$74,$B204&gt;NDC!$H$22-0.1+MIN(3*FM$12,1.5)),0,1)</f>
        <v>#N/A</v>
      </c>
    </row>
    <row r="205" spans="1:169">
      <c r="A205" s="96">
        <f t="shared" si="265"/>
        <v>80.800000000001091</v>
      </c>
      <c r="B205" s="97">
        <v>19.2</v>
      </c>
      <c r="C205" s="81">
        <f>IF(B205&lt;=Hypothèses!$C$7,Hypothèses!$A$7,IF(B205&lt;=Hypothèses!$C$8,Hypothèses!$A$8,IF(B205&lt;=Hypothèses!$C$9,Hypothèses!$A$9,IF(B205&lt;=Hypothèses!$C$10,Hypothèses!$A$10,IF(B205&lt;=Hypothèses!$C$11,Hypothèses!$A$11,IF(B205&lt;=Hypothèses!$C$12,Hypothèses!$A$12,IF(B205&lt;=Hypothèses!$C$13,Hypothèses!$A$13,IF(B205&lt;=Hypothèses!$C$14,Hypothèses!$A$14,IF(B205&lt;=Hypothèses!$C$15,Hypothèses!$A$15,IF(B205&lt;=Hypothèses!$C$16,Hypothèses!$A$16,IF(B205&lt;=Hypothèses!$C$17,Hypothèses!$A$17,IF(B205&lt;=Hypothèses!$C$18,Hypothèses!$A$18,C204))))))))))))</f>
        <v>11</v>
      </c>
      <c r="D205" s="82" t="str">
        <f>IF(B205&lt;=Hypothèses!$C$7,Hypothèses!$R$7,IF(B205&lt;=Hypothèses!$C$8,Hypothèses!$R$8,IF(B205&lt;=Hypothèses!$C$9,Hypothèses!$R$9,IF(B205&lt;=Hypothèses!$C$10,Hypothèses!$R$10,IF(B205&lt;=Hypothèses!$C$11,Hypothèses!$R$11,IF(B205&lt;=Hypothèses!$C$12,Hypothèses!$R$12,IF(B205&lt;=Hypothèses!$C$13,Hypothèses!$R$13,IF(B205&lt;=Hypothèses!$C$14,Hypothèses!$R$14,IF(B205&lt;=Hypothèses!$C$15,Hypothèses!$R$15,IF(B205&lt;=Hypothèses!$C$16,Hypothèses!$R$16,IF(B205&lt;=Hypothèses!$C$17,Hypothèses!$R$17,IF(B205&lt;=Hypothèses!$C$18,Hypothèses!$R$18,D204))))))))))))</f>
        <v>Pressio.</v>
      </c>
      <c r="E205" s="82" t="e">
        <f>IF(B205&lt;=Hypothèses!$C$7,Hypothèses!$G$7,IF(B205&lt;=Hypothèses!$C$8,Hypothèses!$G$8,IF(B205&lt;=Hypothèses!$C$9,Hypothèses!$G$9,IF(B205&lt;=Hypothèses!$C$10,Hypothèses!$G$10,IF(B205&lt;=Hypothèses!$C$11,Hypothèses!$G$11,IF(B205&lt;=Hypothèses!$C$12,Hypothèses!$G$12,IF(B205&lt;=Hypothèses!$C$13,Hypothèses!$G$13,IF(B205&lt;=Hypothèses!$C$14,Hypothèses!$G$14,IF(B205&lt;=Hypothèses!$C$15,Hypothèses!$G$15,IF(B205&lt;=Hypothèses!$C$16,Hypothèses!$G$16,IF(B205&lt;=Hypothèses!$C$17,Hypothèses!$G$17,IF(B205&lt;=Hypothèses!$C$18,Hypothèses!$G$18,E204))))))))))))</f>
        <v>#N/A</v>
      </c>
      <c r="F205" s="82" t="str">
        <f>IF(B205&lt;=Hypothèses!$C$7,Hypothèses!$F$7,IF(B205&lt;=Hypothèses!$C$8,Hypothèses!$F$8,IF(B205&lt;=Hypothèses!$C$9,Hypothèses!$F$9,IF(B205&lt;=Hypothèses!$C$10,Hypothèses!$F$10,IF(B205&lt;=Hypothèses!$C$11,Hypothèses!$F$11,IF(B205&lt;=Hypothèses!$C$12,Hypothèses!$F$12,IF(B205&lt;=Hypothèses!$C$13,Hypothèses!$F$13,IF(B205&lt;=Hypothèses!$C$14,Hypothèses!$F$14,IF(B205&lt;=Hypothèses!$C$15,Hypothèses!$F$15,IF(B205&lt;=Hypothèses!$C$16,Hypothèses!$F$16,IF(B205&lt;=Hypothèses!$C$17,Hypothèses!$F$17,IF(B205&lt;=Hypothèses!$C$18,Hypothèses!$F$18,F204))))))))))))</f>
        <v/>
      </c>
      <c r="G205" s="91">
        <f t="array" ref="G205">INDEX('Coeff EC7'!$U$7:$X$27,
MATCH(Model0.1T!$B$3,'Coeff EC7'!$T$7:$T$27,0),
MATCH(Model0.1T!$D205&amp;Model0.1T!$B$4,
'Coeff EC7'!$U$6:$X$6&amp;
'Coeff EC7'!$U$5:$X$5,0))</f>
        <v>1.4</v>
      </c>
      <c r="H205" s="91">
        <f t="array" ref="H205">INDEX('Coeff EC7'!$Y$7:$AB$27,
MATCH(Model0.1T!$B$3,'Coeff EC7'!$T$7:$T$27,0),
MATCH(Model0.1T!$D205&amp;Model0.1T!$B$4,
'Coeff EC7'!$Y$6:$AB$6&amp;
'Coeff EC7'!$Y$5:$AB$5,0))</f>
        <v>1.7</v>
      </c>
      <c r="I205" s="83">
        <v>0</v>
      </c>
      <c r="J205" s="91" t="e">
        <f t="array" ref="J205">INDEX('Coeff EC7'!$D$33:$Q$33,1,MATCH(D205&amp;E205,'Coeff EC7'!$D$31:$Q$31&amp;'Coeff EC7'!$D$32:$Q$32,0))</f>
        <v>#N/A</v>
      </c>
      <c r="K205" s="91" t="e">
        <f t="array" ref="K205">INDEX('Coeff EC7'!$D$34:$Q$34,1,MATCH(D205&amp;E205,'Coeff EC7'!$D$31:$Q$31&amp;'Coeff EC7'!$D$32:$Q$32,0))</f>
        <v>#N/A</v>
      </c>
      <c r="L205" s="91" t="e">
        <f t="array" ref="L205">INDEX('Coeff EC7'!$D$35:$Q$35,1,MATCH(D205&amp;E205,'Coeff EC7'!$D$31:$Q$31&amp;'Coeff EC7'!$D$32:$Q$32,0))</f>
        <v>#N/A</v>
      </c>
      <c r="M205" s="98" t="e">
        <f t="shared" ref="M205:M268" si="331">((J205*F205+K205)*(1-(EXP(-L205*F205))))</f>
        <v>#N/A</v>
      </c>
      <c r="N205" s="99" t="e">
        <f t="array" ref="N205">INDEX('Coeff EC7'!$D$7:$Q$27,MATCH($B$3,'Coeff EC7'!$C$7:$C$27,0),MATCH(D205&amp;E205,'Coeff EC7'!$D$5:$Q$5&amp;'Coeff EC7'!$D$6:$Q$6,0))</f>
        <v>#N/A</v>
      </c>
      <c r="O205" s="99" t="e">
        <f t="array" ref="O205">INDEX('Coeff EC7'!$D$41:$Q$61,MATCH($B$3,'Coeff EC7'!$C$41:$C$61,0),MATCH(D205&amp;E205,'Coeff EC7'!$D$39:$Q$39&amp;'Coeff EC7'!$D$40:$Q$40,0))</f>
        <v>#N/A</v>
      </c>
      <c r="P205" s="30" t="e">
        <f t="shared" si="266"/>
        <v>#N/A</v>
      </c>
      <c r="Q205" s="100" t="e">
        <f t="shared" si="233"/>
        <v>#N/A</v>
      </c>
      <c r="R205" s="86" t="b">
        <f t="shared" si="234"/>
        <v>0</v>
      </c>
      <c r="S205" s="86">
        <f t="shared" ref="S205:S268" si="332">MAX($AF$12/2,0.5)</f>
        <v>0.5</v>
      </c>
      <c r="T205" s="86">
        <f t="shared" si="235"/>
        <v>0.5</v>
      </c>
      <c r="U205" s="30" t="e">
        <f t="shared" ca="1" si="267"/>
        <v>#DIV/0!</v>
      </c>
      <c r="V205" s="85" t="str">
        <f>IF(B205&lt;=Hypothèses!$V$7,Hypothèses!$W$7,IF(B205&lt;=Hypothèses!$V$8,Hypothèses!$W$8,IF(B205&lt;=Hypothèses!$V$9,Hypothèses!$W$9,IF(B205&lt;=Hypothèses!$V$10,Hypothèses!$W$10,IF(B205&lt;=Hypothèses!$V$11,Hypothèses!$W$11,IF(B205&lt;=Hypothèses!$V$12,Hypothèses!$W$12,IF(B205&lt;=Hypothèses!$V$13,Hypothèses!$W$13,IF(B205&lt;=Hypothèses!$V$14,Hypothèses!$W$14,IF(B205&lt;=Hypothèses!$V$15,Hypothèses!$W$15,IF(B205&lt;=Hypothèses!$V$16,Hypothèses!$W$16,IF(B205&lt;=Hypothèses!$V$17,Hypothèses!$W$17,IF(B205&lt;=Hypothèses!$V$18,Hypothèses!$W$18,""))))))))))))</f>
        <v/>
      </c>
      <c r="W205" s="87" t="e">
        <f t="shared" ca="1" si="316"/>
        <v>#DIV/0!</v>
      </c>
      <c r="X205" s="88" t="str">
        <f>IF(B205&lt;=Hypothèses!$V$7,Hypothèses!$X$7,IF(B205&lt;=Hypothèses!$V$8,Hypothèses!$X$8,IF(B205&lt;=Hypothèses!$V$9,Hypothèses!$X$9,IF(B205&lt;=Hypothèses!$V$10,Hypothèses!$X$10,IF(B205&lt;=Hypothèses!$V$11,Hypothèses!$X$11,IF(B205&lt;=Hypothèses!$V$12,Hypothèses!$X$12,IF(B205&lt;=Hypothèses!$V$13,Hypothèses!$X$13,IF(B205&lt;=Hypothèses!$V$14,Hypothèses!$X$14,IF(B205&lt;=Hypothèses!$V$15,Hypothèses!$X$15,IF(B205&lt;=Hypothèses!$V$16,Hypothèses!$X$16,IF(B205&lt;=Hypothèses!$U$17,Hypothèses!$W$17,IF(B205&lt;=Hypothèses!$U$18,Hypothèses!$W$18,""))))))))))))</f>
        <v/>
      </c>
      <c r="Y205" s="95" t="e">
        <f t="shared" ca="1" si="236"/>
        <v>#DIV/0!</v>
      </c>
      <c r="Z205" s="101">
        <f t="shared" si="237"/>
        <v>0</v>
      </c>
      <c r="AA205" s="91">
        <f t="shared" si="238"/>
        <v>0</v>
      </c>
      <c r="AB205" s="30" t="e">
        <f t="shared" si="300"/>
        <v>#N/A</v>
      </c>
      <c r="AC205" s="30" t="e">
        <f t="shared" si="301"/>
        <v>#N/A</v>
      </c>
      <c r="AD205" s="31" t="e">
        <f>IF(OR(Hypothèses!$B$4=17,Hypothèses!$B$4=18,Hypothèses!$B$4=19,Hypothèses!$B$4=20),
IF($D205="Pressio.",
IF(OR($E205=3,$E205=1,$E205=4),AC205,AB205),
IF($D205="Pénétro.",
IF(OR($E205=3,$E205=1,$E205=4),AC205,AB205))),IF($D205="Pressio.",
IF($E205=3,AC205,AB205),
IF($D205="Pénétro.",
IF($E205=4,AC205,AB205))))</f>
        <v>#N/A</v>
      </c>
      <c r="AE205" s="31">
        <v>0</v>
      </c>
      <c r="AF205" s="102" t="e">
        <f>IF(NDC!$H$10="Oui",(VLOOKUP($B$3,'Coeff EC7'!$T$39:$X$59,2,0)*AD205+VLOOKUP($B$3,'Coeff EC7'!$T$65:$X$85,2,0)*Model0.1T!AE205)/1.5,PI()*AB$12*$Q205*($B205-$B204)*0.15/10+AF204)</f>
        <v>#N/A</v>
      </c>
      <c r="AG205" s="102" t="e">
        <f>(VLOOKUP($B$3,'Coeff EC7'!$T$39:$X$59,3,0)*AD205+VLOOKUP($B$3,'Coeff EC7'!$T$65:$X$85,3,0)*Model0.1T!AE205)/1.1</f>
        <v>#N/A</v>
      </c>
      <c r="AH205" s="102" t="e">
        <f t="shared" si="268"/>
        <v>#N/A</v>
      </c>
      <c r="AI205" s="102" t="e">
        <f t="shared" si="269"/>
        <v>#N/A</v>
      </c>
      <c r="AJ205" s="414" t="e">
        <f>IF(AND(AF205&gt;NDC!$C$63,AG205&gt;NDC!$C$65,AH205&gt;NDC!$D$73,AI205&gt;NDC!$D$74,$B205&gt;NDC!$H$22-0.1+MIN(3*$AJ$12,1.5)),0,1)</f>
        <v>#N/A</v>
      </c>
      <c r="AK205" s="86" t="b">
        <f t="shared" si="239"/>
        <v>0</v>
      </c>
      <c r="AL205" s="86">
        <f t="shared" si="270"/>
        <v>0.5</v>
      </c>
      <c r="AM205" s="86">
        <f t="shared" si="240"/>
        <v>0.5</v>
      </c>
      <c r="AN205" s="30" t="e">
        <f t="shared" ca="1" si="271"/>
        <v>#DIV/0!</v>
      </c>
      <c r="AO205" s="85" t="e">
        <f ca="1">IF(U205&lt;=Hypothèses!$V$7,Hypothèses!$W$7,IF(U205&lt;=Hypothèses!$V$8,Hypothèses!$W$8,IF(U205&lt;=Hypothèses!$V$9,Hypothèses!$W$9,IF(U205&lt;=Hypothèses!$V$10,Hypothèses!$W$10,IF(U205&lt;=Hypothèses!$V$11,Hypothèses!$W$11,IF(U205&lt;=Hypothèses!$V$12,Hypothèses!$W$12,IF(U205&lt;=Hypothèses!$V$13,Hypothèses!$W$13,IF(U205&lt;=Hypothèses!$V$14,Hypothèses!$W$14,IF(U205&lt;=Hypothèses!$V$15,Hypothèses!$W$15,IF(U205&lt;=Hypothèses!$V$16,Hypothèses!$W$16,IF(U205&lt;=Hypothèses!$V$17,Hypothèses!$W$17,IF(U205&lt;=Hypothèses!$V$18,Hypothèses!$W$18,""))))))))))))</f>
        <v>#DIV/0!</v>
      </c>
      <c r="AP205" s="87" t="e">
        <f t="shared" ca="1" si="317"/>
        <v>#DIV/0!</v>
      </c>
      <c r="AQ205" s="88" t="e">
        <f ca="1">IF(U205&lt;=Hypothèses!$V$7,Hypothèses!$X$7,IF(U205&lt;=Hypothèses!$V$8,Hypothèses!$X$8,IF(U205&lt;=Hypothèses!$V$9,Hypothèses!$X$9,IF(U205&lt;=Hypothèses!$V$10,Hypothèses!$X$10,IF(U205&lt;=Hypothèses!$V$11,Hypothèses!$X$11,IF(U205&lt;=Hypothèses!$V$12,Hypothèses!$X$12,IF(U205&lt;=Hypothèses!$V$13,Hypothèses!$X$13,IF(U205&lt;=Hypothèses!$V$14,Hypothèses!$X$14,IF(U205&lt;=Hypothèses!$V$15,Hypothèses!$X$15,IF(U205&lt;=Hypothèses!$V$16,Hypothèses!$X$16,IF(U205&lt;=Hypothèses!$U$17,Hypothèses!$W$17,IF(U205&lt;=Hypothèses!$U$18,Hypothèses!$W$18,""))))))))))))</f>
        <v>#DIV/0!</v>
      </c>
      <c r="AR205" s="95" t="e">
        <f t="shared" ca="1" si="272"/>
        <v>#DIV/0!</v>
      </c>
      <c r="AS205" s="101">
        <f t="shared" si="324"/>
        <v>0</v>
      </c>
      <c r="AT205" s="91">
        <f t="shared" si="241"/>
        <v>0</v>
      </c>
      <c r="AU205" s="30" t="e">
        <f t="shared" si="302"/>
        <v>#N/A</v>
      </c>
      <c r="AV205" s="30" t="e">
        <f t="shared" si="303"/>
        <v>#N/A</v>
      </c>
      <c r="AW205" s="31" t="e">
        <f>IF(OR(Hypothèses!$B$4=17,Hypothèses!$B$4=18,Hypothèses!$B$4=19,Hypothèses!$B$4=20),
IF($D205="Pressio.",
IF(OR($E205=3,$E205=1,$E205=4),AV205,AU205),
IF($D205="Pénétro.",
IF(OR($E205=3,$E205=1,$E205=4),AV205,AU205))),IF($D205="Pressio.",
IF($E205=3,AV205,AU205),
IF($D205="Pénétro.",
IF($E205=4,AV205,AU205))))</f>
        <v>#N/A</v>
      </c>
      <c r="AX205" s="31">
        <v>0</v>
      </c>
      <c r="AY205" s="102" t="e">
        <f>IF(NDC!$H$10="Oui",(VLOOKUP($B$3,'Coeff EC7'!$T$39:$X$59,2,0)*AW205+VLOOKUP($B$3,'Coeff EC7'!$T$65:$X$85,2,0)*Model0.1T!AX205)/1.5,PI()*AU$12*$Q205*($B205-$B204)*0.15/10+AY204)</f>
        <v>#N/A</v>
      </c>
      <c r="AZ205" s="102" t="e">
        <f>(VLOOKUP($B$3,'Coeff EC7'!$T$39:$X$59,3,0)*AW205+VLOOKUP($B$3,'Coeff EC7'!$T$65:$X$85,3,0)*Model0.1T!AX205)/1.1</f>
        <v>#N/A</v>
      </c>
      <c r="BA205" s="102" t="e">
        <f t="shared" si="273"/>
        <v>#N/A</v>
      </c>
      <c r="BB205" s="102" t="e">
        <f t="shared" si="274"/>
        <v>#N/A</v>
      </c>
      <c r="BC205" s="414" t="e">
        <f>IF(AND(AY205&gt;NDC!$C$63,AZ205&gt;NDC!$C$65,BA205&gt;NDC!$D$73,BB205&gt;NDC!$D$74,$B205&gt;NDC!$H$22-0.1+MIN(3*BC$12,1.5)),0,1)</f>
        <v>#N/A</v>
      </c>
      <c r="BD205" s="86" t="b">
        <f t="shared" si="242"/>
        <v>0</v>
      </c>
      <c r="BE205" s="86">
        <f t="shared" si="275"/>
        <v>0.5</v>
      </c>
      <c r="BF205" s="86">
        <f t="shared" si="243"/>
        <v>0.5</v>
      </c>
      <c r="BG205" s="30" t="e">
        <f t="shared" ca="1" si="276"/>
        <v>#DIV/0!</v>
      </c>
      <c r="BH205" s="85" t="e">
        <f ca="1">IF(AN205&lt;=Hypothèses!$V$7,Hypothèses!$W$7,IF(AN205&lt;=Hypothèses!$V$8,Hypothèses!$W$8,IF(AN205&lt;=Hypothèses!$V$9,Hypothèses!$W$9,IF(AN205&lt;=Hypothèses!$V$10,Hypothèses!$W$10,IF(AN205&lt;=Hypothèses!$V$11,Hypothèses!$W$11,IF(AN205&lt;=Hypothèses!$V$12,Hypothèses!$W$12,IF(AN205&lt;=Hypothèses!$V$13,Hypothèses!$W$13,IF(AN205&lt;=Hypothèses!$V$14,Hypothèses!$W$14,IF(AN205&lt;=Hypothèses!$V$15,Hypothèses!$W$15,IF(AN205&lt;=Hypothèses!$V$16,Hypothèses!$W$16,IF(AN205&lt;=Hypothèses!$V$17,Hypothèses!$W$17,IF(AN205&lt;=Hypothèses!$V$18,Hypothèses!$W$18,""))))))))))))</f>
        <v>#DIV/0!</v>
      </c>
      <c r="BI205" s="87" t="e">
        <f t="shared" ca="1" si="318"/>
        <v>#DIV/0!</v>
      </c>
      <c r="BJ205" s="88" t="e">
        <f ca="1">IF(AN205&lt;=Hypothèses!$V$7,Hypothèses!$X$7,IF(AN205&lt;=Hypothèses!$V$8,Hypothèses!$X$8,IF(AN205&lt;=Hypothèses!$V$9,Hypothèses!$X$9,IF(AN205&lt;=Hypothèses!$V$10,Hypothèses!$X$10,IF(AN205&lt;=Hypothèses!$V$11,Hypothèses!$X$11,IF(AN205&lt;=Hypothèses!$V$12,Hypothèses!$X$12,IF(AN205&lt;=Hypothèses!$V$13,Hypothèses!$X$13,IF(AN205&lt;=Hypothèses!$V$14,Hypothèses!$X$14,IF(AN205&lt;=Hypothèses!$V$15,Hypothèses!$X$15,IF(AN205&lt;=Hypothèses!$V$16,Hypothèses!$X$16,IF(AN205&lt;=Hypothèses!$U$17,Hypothèses!$W$17,IF(AN205&lt;=Hypothèses!$U$18,Hypothèses!$W$18,""))))))))))))</f>
        <v>#DIV/0!</v>
      </c>
      <c r="BK205" s="95" t="e">
        <f t="shared" ca="1" si="277"/>
        <v>#DIV/0!</v>
      </c>
      <c r="BL205" s="101">
        <f t="shared" si="325"/>
        <v>0</v>
      </c>
      <c r="BM205" s="91">
        <f t="shared" si="244"/>
        <v>0</v>
      </c>
      <c r="BN205" s="30" t="e">
        <f t="shared" si="304"/>
        <v>#N/A</v>
      </c>
      <c r="BO205" s="30" t="e">
        <f t="shared" si="305"/>
        <v>#N/A</v>
      </c>
      <c r="BP205" s="31" t="e">
        <f>IF(OR(Hypothèses!$B$4=17,Hypothèses!$B$4=18,Hypothèses!$B$4=19,Hypothèses!$B$4=20),
IF($D205="Pressio.",
IF(OR($E205=3,$E205=1,$E205=4),BO205,BN205),
IF($D205="Pénétro.",
IF(OR($E205=3,$E205=1,$E205=4),BO205,BN205))),IF($D205="Pressio.",
IF($E205=3,BO205,BN205),
IF($D205="Pénétro.",
IF($E205=4,BO205,BN205))))</f>
        <v>#N/A</v>
      </c>
      <c r="BQ205" s="31">
        <v>0</v>
      </c>
      <c r="BR205" s="102" t="e">
        <f>IF(NDC!$H$10="Oui",(VLOOKUP($B$3,'Coeff EC7'!$T$39:$X$59,2,0)*BP205+VLOOKUP($B$3,'Coeff EC7'!$T$65:$X$85,2,0)*Model0.1T!BQ205)/1.5,PI()*BN$12*$Q205*($B205-$B204)*0.15/10+BR204)</f>
        <v>#N/A</v>
      </c>
      <c r="BS205" s="102" t="e">
        <f>(VLOOKUP($B$3,'Coeff EC7'!$T$39:$X$59,3,0)*BP205+VLOOKUP($B$3,'Coeff EC7'!$T$65:$X$85,3,0)*Model0.1T!BQ205)/1.1</f>
        <v>#N/A</v>
      </c>
      <c r="BT205" s="102" t="e">
        <f t="shared" si="278"/>
        <v>#N/A</v>
      </c>
      <c r="BU205" s="102" t="e">
        <f t="shared" si="279"/>
        <v>#N/A</v>
      </c>
      <c r="BV205" s="414" t="e">
        <f>IF(AND(BR205&gt;NDC!$C$63,BS205&gt;NDC!$C$65,BT205&gt;NDC!$D$73,BU205&gt;NDC!$D$74,$B205&gt;NDC!$H$22-0.1+MIN(3*BV$12,1.5)),0,1)</f>
        <v>#N/A</v>
      </c>
      <c r="BW205" s="86" t="b">
        <f t="shared" si="245"/>
        <v>0</v>
      </c>
      <c r="BX205" s="86">
        <f t="shared" si="246"/>
        <v>0.5</v>
      </c>
      <c r="BY205" s="86">
        <f t="shared" si="247"/>
        <v>0.5</v>
      </c>
      <c r="BZ205" s="30" t="e">
        <f t="shared" ca="1" si="280"/>
        <v>#DIV/0!</v>
      </c>
      <c r="CA205" s="85" t="e">
        <f ca="1">IF(BG205&lt;=Hypothèses!$V$7,Hypothèses!$W$7,IF(BG205&lt;=Hypothèses!$V$8,Hypothèses!$W$8,IF(BG205&lt;=Hypothèses!$V$9,Hypothèses!$W$9,IF(BG205&lt;=Hypothèses!$V$10,Hypothèses!$W$10,IF(BG205&lt;=Hypothèses!$V$11,Hypothèses!$W$11,IF(BG205&lt;=Hypothèses!$V$12,Hypothèses!$W$12,IF(BG205&lt;=Hypothèses!$V$13,Hypothèses!$W$13,IF(BG205&lt;=Hypothèses!$V$14,Hypothèses!$W$14,IF(BG205&lt;=Hypothèses!$V$15,Hypothèses!$W$15,IF(BG205&lt;=Hypothèses!$V$16,Hypothèses!$W$16,IF(BG205&lt;=Hypothèses!$V$17,Hypothèses!$W$17,IF(BG205&lt;=Hypothèses!$V$18,Hypothèses!$W$18,""))))))))))))</f>
        <v>#DIV/0!</v>
      </c>
      <c r="CB205" s="87" t="e">
        <f t="shared" ca="1" si="319"/>
        <v>#DIV/0!</v>
      </c>
      <c r="CC205" s="88" t="e">
        <f ca="1">IF(BG205&lt;=Hypothèses!$V$7,Hypothèses!$X$7,IF(BG205&lt;=Hypothèses!$V$8,Hypothèses!$X$8,IF(BG205&lt;=Hypothèses!$V$9,Hypothèses!$X$9,IF(BG205&lt;=Hypothèses!$V$10,Hypothèses!$X$10,IF(BG205&lt;=Hypothèses!$V$11,Hypothèses!$X$11,IF(BG205&lt;=Hypothèses!$V$12,Hypothèses!$X$12,IF(BG205&lt;=Hypothèses!$V$13,Hypothèses!$X$13,IF(BG205&lt;=Hypothèses!$V$14,Hypothèses!$X$14,IF(BG205&lt;=Hypothèses!$V$15,Hypothèses!$X$15,IF(BG205&lt;=Hypothèses!$V$16,Hypothèses!$X$16,IF(BG205&lt;=Hypothèses!$U$17,Hypothèses!$W$17,IF(BG205&lt;=Hypothèses!$U$18,Hypothèses!$W$18,""))))))))))))</f>
        <v>#DIV/0!</v>
      </c>
      <c r="CD205" s="95" t="e">
        <f t="shared" ca="1" si="281"/>
        <v>#DIV/0!</v>
      </c>
      <c r="CE205" s="101">
        <f t="shared" si="326"/>
        <v>0</v>
      </c>
      <c r="CF205" s="91">
        <f t="shared" si="248"/>
        <v>0</v>
      </c>
      <c r="CG205" s="30" t="e">
        <f t="shared" si="306"/>
        <v>#N/A</v>
      </c>
      <c r="CH205" s="30" t="e">
        <f t="shared" si="307"/>
        <v>#N/A</v>
      </c>
      <c r="CI205" s="31" t="e">
        <f>IF(OR(Hypothèses!$B$4=17,Hypothèses!$B$4=18,Hypothèses!$B$4=19,Hypothèses!$B$4=20),
IF($D205="Pressio.",
IF(OR($E205=3,$E205=1,$E205=4),CH205,CG205),
IF($D205="Pénétro.",
IF(OR($E205=3,$E205=1,$E205=4),CH205,CG205))),IF($D205="Pressio.",
IF($E205=3,CH205,CG205),
IF($D205="Pénétro.",
IF($E205=4,CH205,CG205))))</f>
        <v>#N/A</v>
      </c>
      <c r="CJ205" s="31">
        <v>0</v>
      </c>
      <c r="CK205" s="102" t="e">
        <f>IF(NDC!$H$10="Oui",(VLOOKUP($B$3,'Coeff EC7'!$T$39:$X$59,2,0)*CI205+VLOOKUP($B$3,'Coeff EC7'!$T$65:$X$85,2,0)*Model0.1T!CJ205)/1.5,PI()*CG$12*$Q205*($B205-$B204)*0.15/10+CK204)</f>
        <v>#N/A</v>
      </c>
      <c r="CL205" s="102" t="e">
        <f>(VLOOKUP($B$3,'Coeff EC7'!$T$39:$X$59,3,0)*CI205+VLOOKUP($B$3,'Coeff EC7'!$T$65:$X$85,3,0)*Model0.1T!CJ205)/1.1</f>
        <v>#N/A</v>
      </c>
      <c r="CM205" s="102" t="e">
        <f t="shared" si="282"/>
        <v>#N/A</v>
      </c>
      <c r="CN205" s="102" t="e">
        <f t="shared" si="283"/>
        <v>#N/A</v>
      </c>
      <c r="CO205" s="414" t="e">
        <f>IF(AND(CK205&gt;NDC!$C$63,CL205&gt;NDC!$C$65,CM205&gt;NDC!$D$73,CN205&gt;NDC!$D$74,$B205&gt;NDC!$H$22-0.1+MIN(3*CO$12,1.5)),0,1)</f>
        <v>#N/A</v>
      </c>
      <c r="CP205" s="86" t="b">
        <f t="shared" si="249"/>
        <v>0</v>
      </c>
      <c r="CQ205" s="86">
        <f t="shared" si="250"/>
        <v>0.5</v>
      </c>
      <c r="CR205" s="86">
        <f t="shared" si="251"/>
        <v>0.5</v>
      </c>
      <c r="CS205" s="30" t="e">
        <f t="shared" ca="1" si="284"/>
        <v>#DIV/0!</v>
      </c>
      <c r="CT205" s="85" t="e">
        <f ca="1">IF(BZ205&lt;=Hypothèses!$V$7,Hypothèses!$W$7,IF(BZ205&lt;=Hypothèses!$V$8,Hypothèses!$W$8,IF(BZ205&lt;=Hypothèses!$V$9,Hypothèses!$W$9,IF(BZ205&lt;=Hypothèses!$V$10,Hypothèses!$W$10,IF(BZ205&lt;=Hypothèses!$V$11,Hypothèses!$W$11,IF(BZ205&lt;=Hypothèses!$V$12,Hypothèses!$W$12,IF(BZ205&lt;=Hypothèses!$V$13,Hypothèses!$W$13,IF(BZ205&lt;=Hypothèses!$V$14,Hypothèses!$W$14,IF(BZ205&lt;=Hypothèses!$V$15,Hypothèses!$W$15,IF(BZ205&lt;=Hypothèses!$V$16,Hypothèses!$W$16,IF(BZ205&lt;=Hypothèses!$V$17,Hypothèses!$W$17,IF(BZ205&lt;=Hypothèses!$V$18,Hypothèses!$W$18,""))))))))))))</f>
        <v>#DIV/0!</v>
      </c>
      <c r="CU205" s="87" t="e">
        <f t="shared" ca="1" si="320"/>
        <v>#DIV/0!</v>
      </c>
      <c r="CV205" s="88" t="e">
        <f ca="1">IF(BZ205&lt;=Hypothèses!$V$7,Hypothèses!$X$7,IF(BZ205&lt;=Hypothèses!$V$8,Hypothèses!$X$8,IF(BZ205&lt;=Hypothèses!$V$9,Hypothèses!$X$9,IF(BZ205&lt;=Hypothèses!$V$10,Hypothèses!$X$10,IF(BZ205&lt;=Hypothèses!$V$11,Hypothèses!$X$11,IF(BZ205&lt;=Hypothèses!$V$12,Hypothèses!$X$12,IF(BZ205&lt;=Hypothèses!$V$13,Hypothèses!$X$13,IF(BZ205&lt;=Hypothèses!$V$14,Hypothèses!$X$14,IF(BZ205&lt;=Hypothèses!$V$15,Hypothèses!$X$15,IF(BZ205&lt;=Hypothèses!$V$16,Hypothèses!$X$16,IF(BZ205&lt;=Hypothèses!$U$17,Hypothèses!$W$17,IF(BZ205&lt;=Hypothèses!$U$18,Hypothèses!$W$18,""))))))))))))</f>
        <v>#DIV/0!</v>
      </c>
      <c r="CW205" s="95" t="e">
        <f t="shared" ca="1" si="285"/>
        <v>#DIV/0!</v>
      </c>
      <c r="CX205" s="101">
        <f t="shared" si="327"/>
        <v>0</v>
      </c>
      <c r="CY205" s="91">
        <f t="shared" si="252"/>
        <v>0</v>
      </c>
      <c r="CZ205" s="30" t="e">
        <f t="shared" si="308"/>
        <v>#N/A</v>
      </c>
      <c r="DA205" s="30" t="e">
        <f t="shared" si="309"/>
        <v>#N/A</v>
      </c>
      <c r="DB205" s="31" t="e">
        <f>IF(OR(Hypothèses!$B$4=17,Hypothèses!$B$4=18,Hypothèses!$B$4=19,Hypothèses!$B$4=20),
IF($D205="Pressio.",
IF(OR($E205=3,$E205=1,$E205=4),DA205,CZ205),
IF($D205="Pénétro.",
IF(OR($E205=3,$E205=1,$E205=4),DA205,CZ205))),IF($D205="Pressio.",
IF($E205=3,DA205,CZ205),
IF($D205="Pénétro.",
IF($E205=4,DA205,CZ205))))</f>
        <v>#N/A</v>
      </c>
      <c r="DC205" s="31">
        <v>0</v>
      </c>
      <c r="DD205" s="102" t="e">
        <f>IF(NDC!$H$10="Oui",(VLOOKUP($B$3,'Coeff EC7'!$T$39:$X$59,2,0)*DB205+VLOOKUP($B$3,'Coeff EC7'!$T$65:$X$85,2,0)*Model0.1T!DC205)/1.5,PI()*CZ$12*$Q205*($B205-$B204)*0.15/10+DD204)</f>
        <v>#N/A</v>
      </c>
      <c r="DE205" s="102" t="e">
        <f>(VLOOKUP($B$3,'Coeff EC7'!$T$39:$X$59,3,0)*DB205+VLOOKUP($B$3,'Coeff EC7'!$T$65:$X$85,3,0)*Model0.1T!DC205)/1.1</f>
        <v>#N/A</v>
      </c>
      <c r="DF205" s="102" t="e">
        <f t="shared" si="286"/>
        <v>#N/A</v>
      </c>
      <c r="DG205" s="102" t="e">
        <f t="shared" si="287"/>
        <v>#N/A</v>
      </c>
      <c r="DH205" s="414" t="e">
        <f>IF(AND(DD205&gt;NDC!$C$63,DE205&gt;NDC!$C$65,DF205&gt;NDC!$D$73,DG205&gt;NDC!$D$74,$B205&gt;NDC!$H$22-0.1+MIN(3*DH$12,1.5)),0,1)</f>
        <v>#N/A</v>
      </c>
      <c r="DI205" s="86" t="b">
        <f t="shared" si="253"/>
        <v>0</v>
      </c>
      <c r="DJ205" s="86">
        <f t="shared" si="254"/>
        <v>0.5</v>
      </c>
      <c r="DK205" s="86">
        <f t="shared" si="255"/>
        <v>0.5</v>
      </c>
      <c r="DL205" s="30" t="e">
        <f t="shared" ca="1" si="288"/>
        <v>#DIV/0!</v>
      </c>
      <c r="DM205" s="85" t="e">
        <f ca="1">IF(CS205&lt;=Hypothèses!$V$7,Hypothèses!$W$7,IF(CS205&lt;=Hypothèses!$V$8,Hypothèses!$W$8,IF(CS205&lt;=Hypothèses!$V$9,Hypothèses!$W$9,IF(CS205&lt;=Hypothèses!$V$10,Hypothèses!$W$10,IF(CS205&lt;=Hypothèses!$V$11,Hypothèses!$W$11,IF(CS205&lt;=Hypothèses!$V$12,Hypothèses!$W$12,IF(CS205&lt;=Hypothèses!$V$13,Hypothèses!$W$13,IF(CS205&lt;=Hypothèses!$V$14,Hypothèses!$W$14,IF(CS205&lt;=Hypothèses!$V$15,Hypothèses!$W$15,IF(CS205&lt;=Hypothèses!$V$16,Hypothèses!$W$16,IF(CS205&lt;=Hypothèses!$V$17,Hypothèses!$W$17,IF(CS205&lt;=Hypothèses!$V$18,Hypothèses!$W$18,""))))))))))))</f>
        <v>#DIV/0!</v>
      </c>
      <c r="DN205" s="87" t="e">
        <f t="shared" ca="1" si="321"/>
        <v>#DIV/0!</v>
      </c>
      <c r="DO205" s="88" t="e">
        <f ca="1">IF(CS205&lt;=Hypothèses!$V$7,Hypothèses!$X$7,IF(CS205&lt;=Hypothèses!$V$8,Hypothèses!$X$8,IF(CS205&lt;=Hypothèses!$V$9,Hypothèses!$X$9,IF(CS205&lt;=Hypothèses!$V$10,Hypothèses!$X$10,IF(CS205&lt;=Hypothèses!$V$11,Hypothèses!$X$11,IF(CS205&lt;=Hypothèses!$V$12,Hypothèses!$X$12,IF(CS205&lt;=Hypothèses!$V$13,Hypothèses!$X$13,IF(CS205&lt;=Hypothèses!$V$14,Hypothèses!$X$14,IF(CS205&lt;=Hypothèses!$V$15,Hypothèses!$X$15,IF(CS205&lt;=Hypothèses!$V$16,Hypothèses!$X$16,IF(CS205&lt;=Hypothèses!$U$17,Hypothèses!$W$17,IF(CS205&lt;=Hypothèses!$U$18,Hypothèses!$W$18,""))))))))))))</f>
        <v>#DIV/0!</v>
      </c>
      <c r="DP205" s="95" t="e">
        <f t="shared" ca="1" si="289"/>
        <v>#DIV/0!</v>
      </c>
      <c r="DQ205" s="101">
        <f t="shared" si="328"/>
        <v>0</v>
      </c>
      <c r="DR205" s="91">
        <f t="shared" si="256"/>
        <v>0</v>
      </c>
      <c r="DS205" s="30" t="e">
        <f t="shared" si="310"/>
        <v>#N/A</v>
      </c>
      <c r="DT205" s="30" t="e">
        <f t="shared" si="311"/>
        <v>#N/A</v>
      </c>
      <c r="DU205" s="31" t="e">
        <f>IF(OR(Hypothèses!$B$4=17,Hypothèses!$B$4=18,Hypothèses!$B$4=19,Hypothèses!$B$4=20),
IF($D205="Pressio.",
IF(OR($E205=3,$E205=1,$E205=4),DT205,DS205),
IF($D205="Pénétro.",
IF(OR($E205=3,$E205=1,$E205=4),DT205,DS205))),IF($D205="Pressio.",
IF($E205=3,DT205,DS205),
IF($D205="Pénétro.",
IF($E205=4,DT205,DS205))))</f>
        <v>#N/A</v>
      </c>
      <c r="DV205" s="31">
        <v>0</v>
      </c>
      <c r="DW205" s="102" t="e">
        <f>IF(NDC!$H$10="Oui",(VLOOKUP($B$3,'Coeff EC7'!$T$39:$X$59,2,0)*DU205+VLOOKUP($B$3,'Coeff EC7'!$T$65:$X$85,2,0)*Model0.1T!DV205)/1.5,PI()*DS$12*$Q205*($B205-$B204)*0.15/10+DW204)</f>
        <v>#N/A</v>
      </c>
      <c r="DX205" s="102" t="e">
        <f>(VLOOKUP($B$3,'Coeff EC7'!$T$39:$X$59,3,0)*DU205+VLOOKUP($B$3,'Coeff EC7'!$T$65:$X$85,3,0)*Model0.1T!DV205)/1.1</f>
        <v>#N/A</v>
      </c>
      <c r="DY205" s="102" t="e">
        <f t="shared" si="290"/>
        <v>#N/A</v>
      </c>
      <c r="DZ205" s="102" t="e">
        <f t="shared" si="291"/>
        <v>#N/A</v>
      </c>
      <c r="EA205" s="414" t="e">
        <f>IF(AND(DW205&gt;NDC!$C$63,DX205&gt;NDC!$C$65,DY205&gt;NDC!$D$73,DZ205&gt;NDC!$D$74,$B205&gt;NDC!$H$22-0.1+MIN(3*EA$12,1.5)),0,1)</f>
        <v>#N/A</v>
      </c>
      <c r="EB205" s="86" t="b">
        <f t="shared" si="257"/>
        <v>0</v>
      </c>
      <c r="EC205" s="418">
        <f t="shared" si="258"/>
        <v>0.51</v>
      </c>
      <c r="ED205" s="86">
        <f t="shared" si="259"/>
        <v>0.51</v>
      </c>
      <c r="EE205" s="30" t="e">
        <f t="shared" ca="1" si="292"/>
        <v>#DIV/0!</v>
      </c>
      <c r="EF205" s="85" t="e">
        <f ca="1">IF(DL205&lt;=Hypothèses!$V$7,Hypothèses!$W$7,IF(DL205&lt;=Hypothèses!$V$8,Hypothèses!$W$8,IF(DL205&lt;=Hypothèses!$V$9,Hypothèses!$W$9,IF(DL205&lt;=Hypothèses!$V$10,Hypothèses!$W$10,IF(DL205&lt;=Hypothèses!$V$11,Hypothèses!$W$11,IF(DL205&lt;=Hypothèses!$V$12,Hypothèses!$W$12,IF(DL205&lt;=Hypothèses!$V$13,Hypothèses!$W$13,IF(DL205&lt;=Hypothèses!$V$14,Hypothèses!$W$14,IF(DL205&lt;=Hypothèses!$V$15,Hypothèses!$W$15,IF(DL205&lt;=Hypothèses!$V$16,Hypothèses!$W$16,IF(DL205&lt;=Hypothèses!$V$17,Hypothèses!$W$17,IF(DL205&lt;=Hypothèses!$V$18,Hypothèses!$W$18,""))))))))))))</f>
        <v>#DIV/0!</v>
      </c>
      <c r="EG205" s="87" t="e">
        <f t="shared" ca="1" si="322"/>
        <v>#DIV/0!</v>
      </c>
      <c r="EH205" s="88" t="e">
        <f ca="1">IF(DL205&lt;=Hypothèses!$V$7,Hypothèses!$X$7,IF(DL205&lt;=Hypothèses!$V$8,Hypothèses!$X$8,IF(DL205&lt;=Hypothèses!$V$9,Hypothèses!$X$9,IF(DL205&lt;=Hypothèses!$V$10,Hypothèses!$X$10,IF(DL205&lt;=Hypothèses!$V$11,Hypothèses!$X$11,IF(DL205&lt;=Hypothèses!$V$12,Hypothèses!$X$12,IF(DL205&lt;=Hypothèses!$V$13,Hypothèses!$X$13,IF(DL205&lt;=Hypothèses!$V$14,Hypothèses!$X$14,IF(DL205&lt;=Hypothèses!$V$15,Hypothèses!$X$15,IF(DL205&lt;=Hypothèses!$V$16,Hypothèses!$X$16,IF(DL205&lt;=Hypothèses!$U$17,Hypothèses!$W$17,IF(DL205&lt;=Hypothèses!$U$18,Hypothèses!$W$18,""))))))))))))</f>
        <v>#DIV/0!</v>
      </c>
      <c r="EI205" s="95" t="e">
        <f t="shared" ca="1" si="293"/>
        <v>#DIV/0!</v>
      </c>
      <c r="EJ205" s="101">
        <f t="shared" si="329"/>
        <v>0</v>
      </c>
      <c r="EK205" s="91">
        <f t="shared" si="260"/>
        <v>0</v>
      </c>
      <c r="EL205" s="30" t="e">
        <f t="shared" si="312"/>
        <v>#N/A</v>
      </c>
      <c r="EM205" s="30" t="e">
        <f t="shared" si="313"/>
        <v>#N/A</v>
      </c>
      <c r="EN205" s="31" t="e">
        <f>IF(OR(Hypothèses!$B$4=17,Hypothèses!$B$4=18,Hypothèses!$B$4=19,Hypothèses!$B$4=20),
IF($D205="Pressio.",
IF(OR($E205=3,$E205=1,$E205=4),EM205,EL205),
IF($D205="Pénétro.",
IF(OR($E205=3,$E205=1,$E205=4),EM205,EL205))),IF($D205="Pressio.",
IF($E205=3,EM205,EL205),
IF($D205="Pénétro.",
IF($E205=4,EM205,EL205))))</f>
        <v>#N/A</v>
      </c>
      <c r="EO205" s="31">
        <v>0</v>
      </c>
      <c r="EP205" s="102" t="e">
        <f>IF(NDC!$H$10="Oui",(VLOOKUP($B$3,'Coeff EC7'!$T$39:$X$59,2,0)*EN205+VLOOKUP($B$3,'Coeff EC7'!$T$65:$X$85,2,0)*Model0.1T!EO205)/1.5,PI()*EL$12*$Q205*($B205-$B204)*0.15/10+EP204)</f>
        <v>#N/A</v>
      </c>
      <c r="EQ205" s="102" t="e">
        <f>(VLOOKUP($B$3,'Coeff EC7'!$T$39:$X$59,3,0)*EN205+VLOOKUP($B$3,'Coeff EC7'!$T$65:$X$85,3,0)*Model0.1T!EO205)/1.1</f>
        <v>#N/A</v>
      </c>
      <c r="ER205" s="102" t="e">
        <f t="shared" si="294"/>
        <v>#N/A</v>
      </c>
      <c r="ES205" s="102" t="e">
        <f t="shared" si="295"/>
        <v>#N/A</v>
      </c>
      <c r="ET205" s="414" t="e">
        <f>IF(AND(EP205&gt;NDC!$C$63,EQ205&gt;NDC!$C$65,ER205&gt;NDC!$D$73,ES205&gt;NDC!$D$74,$B205&gt;NDC!$H$22-0.1+MIN(3*ET$12,1.5)),0,1)</f>
        <v>#N/A</v>
      </c>
      <c r="EU205" s="86" t="b">
        <f t="shared" si="261"/>
        <v>0</v>
      </c>
      <c r="EV205" s="86">
        <f t="shared" si="262"/>
        <v>0.61</v>
      </c>
      <c r="EW205" s="86">
        <f t="shared" si="263"/>
        <v>0.61</v>
      </c>
      <c r="EX205" s="30" t="e">
        <f t="shared" ca="1" si="296"/>
        <v>#DIV/0!</v>
      </c>
      <c r="EY205" s="85" t="e">
        <f ca="1">IF(EE205&lt;=Hypothèses!$V$7,Hypothèses!$W$7,IF(EE205&lt;=Hypothèses!$V$8,Hypothèses!$W$8,IF(EE205&lt;=Hypothèses!$V$9,Hypothèses!$W$9,IF(EE205&lt;=Hypothèses!$V$10,Hypothèses!$W$10,IF(EE205&lt;=Hypothèses!$V$11,Hypothèses!$W$11,IF(EE205&lt;=Hypothèses!$V$12,Hypothèses!$W$12,IF(EE205&lt;=Hypothèses!$V$13,Hypothèses!$W$13,IF(EE205&lt;=Hypothèses!$V$14,Hypothèses!$W$14,IF(EE205&lt;=Hypothèses!$V$15,Hypothèses!$W$15,IF(EE205&lt;=Hypothèses!$V$16,Hypothèses!$W$16,IF(EE205&lt;=Hypothèses!$V$17,Hypothèses!$W$17,IF(EE205&lt;=Hypothèses!$V$18,Hypothèses!$W$18,""))))))))))))</f>
        <v>#DIV/0!</v>
      </c>
      <c r="EZ205" s="87" t="e">
        <f t="shared" ca="1" si="323"/>
        <v>#DIV/0!</v>
      </c>
      <c r="FA205" s="88" t="e">
        <f ca="1">IF(EE205&lt;=Hypothèses!$V$7,Hypothèses!$X$7,IF(EE205&lt;=Hypothèses!$V$8,Hypothèses!$X$8,IF(EE205&lt;=Hypothèses!$V$9,Hypothèses!$X$9,IF(EE205&lt;=Hypothèses!$V$10,Hypothèses!$X$10,IF(EE205&lt;=Hypothèses!$V$11,Hypothèses!$X$11,IF(EE205&lt;=Hypothèses!$V$12,Hypothèses!$X$12,IF(EE205&lt;=Hypothèses!$V$13,Hypothèses!$X$13,IF(EE205&lt;=Hypothèses!$V$14,Hypothèses!$X$14,IF(EE205&lt;=Hypothèses!$V$15,Hypothèses!$X$15,IF(EE205&lt;=Hypothèses!$V$16,Hypothèses!$X$16,IF(EE205&lt;=Hypothèses!$U$17,Hypothèses!$W$17,IF(EE205&lt;=Hypothèses!$U$18,Hypothèses!$W$18,""))))))))))))</f>
        <v>#DIV/0!</v>
      </c>
      <c r="FB205" s="95" t="e">
        <f t="shared" ca="1" si="297"/>
        <v>#DIV/0!</v>
      </c>
      <c r="FC205" s="101">
        <f t="shared" si="330"/>
        <v>0</v>
      </c>
      <c r="FD205" s="91">
        <f t="shared" si="264"/>
        <v>0</v>
      </c>
      <c r="FE205" s="30" t="e">
        <f t="shared" si="314"/>
        <v>#N/A</v>
      </c>
      <c r="FF205" s="30" t="e">
        <f t="shared" si="315"/>
        <v>#N/A</v>
      </c>
      <c r="FG205" s="31" t="e">
        <f>IF(OR(Hypothèses!$B$4=17,Hypothèses!$B$4=18,Hypothèses!$B$4=19,Hypothèses!$B$4=20),
IF($D205="Pressio.",
IF(OR($E205=3,$E205=1,$E205=4),FF205,FE205),
IF($D205="Pénétro.",
IF(OR($E205=3,$E205=1,$E205=4),FF205,FE205))),IF($D205="Pressio.",
IF($E205=3,FF205,FE205),
IF($D205="Pénétro.",
IF($E205=4,FF205,FE205))))</f>
        <v>#N/A</v>
      </c>
      <c r="FH205" s="31">
        <v>0</v>
      </c>
      <c r="FI205" s="102" t="e">
        <f>IF(NDC!$H$10="Oui",(VLOOKUP($B$3,'Coeff EC7'!$T$39:$X$59,2,0)*FG205+VLOOKUP($B$3,'Coeff EC7'!$T$65:$X$85,2,0)*Model0.1T!FH205)/1.5,PI()*FE$12*$Q205*($B205-$B204)*0.15/10+FI204)</f>
        <v>#N/A</v>
      </c>
      <c r="FJ205" s="102" t="e">
        <f>(VLOOKUP($B$3,'Coeff EC7'!$T$39:$X$59,3,0)*FG205+VLOOKUP($B$3,'Coeff EC7'!$T$65:$X$85,3,0)*Model0.1T!FH205)/1.1</f>
        <v>#N/A</v>
      </c>
      <c r="FK205" s="102" t="e">
        <f t="shared" si="298"/>
        <v>#N/A</v>
      </c>
      <c r="FL205" s="102" t="e">
        <f t="shared" si="299"/>
        <v>#N/A</v>
      </c>
      <c r="FM205" s="414" t="e">
        <f>IF(AND(FI205&gt;NDC!$C$63,FJ205&gt;NDC!$C$65,FK205&gt;NDC!$D$73,FL205&gt;NDC!$D$74,$B205&gt;NDC!$H$22-0.1+MIN(3*FM$12,1.5)),0,1)</f>
        <v>#N/A</v>
      </c>
    </row>
    <row r="206" spans="1:169">
      <c r="A206" s="96">
        <f t="shared" si="265"/>
        <v>80.700000000001097</v>
      </c>
      <c r="B206" s="97">
        <v>19.3</v>
      </c>
      <c r="C206" s="81">
        <f>IF(B206&lt;=Hypothèses!$C$7,Hypothèses!$A$7,IF(B206&lt;=Hypothèses!$C$8,Hypothèses!$A$8,IF(B206&lt;=Hypothèses!$C$9,Hypothèses!$A$9,IF(B206&lt;=Hypothèses!$C$10,Hypothèses!$A$10,IF(B206&lt;=Hypothèses!$C$11,Hypothèses!$A$11,IF(B206&lt;=Hypothèses!$C$12,Hypothèses!$A$12,IF(B206&lt;=Hypothèses!$C$13,Hypothèses!$A$13,IF(B206&lt;=Hypothèses!$C$14,Hypothèses!$A$14,IF(B206&lt;=Hypothèses!$C$15,Hypothèses!$A$15,IF(B206&lt;=Hypothèses!$C$16,Hypothèses!$A$16,IF(B206&lt;=Hypothèses!$C$17,Hypothèses!$A$17,IF(B206&lt;=Hypothèses!$C$18,Hypothèses!$A$18,C205))))))))))))</f>
        <v>11</v>
      </c>
      <c r="D206" s="82" t="str">
        <f>IF(B206&lt;=Hypothèses!$C$7,Hypothèses!$R$7,IF(B206&lt;=Hypothèses!$C$8,Hypothèses!$R$8,IF(B206&lt;=Hypothèses!$C$9,Hypothèses!$R$9,IF(B206&lt;=Hypothèses!$C$10,Hypothèses!$R$10,IF(B206&lt;=Hypothèses!$C$11,Hypothèses!$R$11,IF(B206&lt;=Hypothèses!$C$12,Hypothèses!$R$12,IF(B206&lt;=Hypothèses!$C$13,Hypothèses!$R$13,IF(B206&lt;=Hypothèses!$C$14,Hypothèses!$R$14,IF(B206&lt;=Hypothèses!$C$15,Hypothèses!$R$15,IF(B206&lt;=Hypothèses!$C$16,Hypothèses!$R$16,IF(B206&lt;=Hypothèses!$C$17,Hypothèses!$R$17,IF(B206&lt;=Hypothèses!$C$18,Hypothèses!$R$18,D205))))))))))))</f>
        <v>Pressio.</v>
      </c>
      <c r="E206" s="82" t="e">
        <f>IF(B206&lt;=Hypothèses!$C$7,Hypothèses!$G$7,IF(B206&lt;=Hypothèses!$C$8,Hypothèses!$G$8,IF(B206&lt;=Hypothèses!$C$9,Hypothèses!$G$9,IF(B206&lt;=Hypothèses!$C$10,Hypothèses!$G$10,IF(B206&lt;=Hypothèses!$C$11,Hypothèses!$G$11,IF(B206&lt;=Hypothèses!$C$12,Hypothèses!$G$12,IF(B206&lt;=Hypothèses!$C$13,Hypothèses!$G$13,IF(B206&lt;=Hypothèses!$C$14,Hypothèses!$G$14,IF(B206&lt;=Hypothèses!$C$15,Hypothèses!$G$15,IF(B206&lt;=Hypothèses!$C$16,Hypothèses!$G$16,IF(B206&lt;=Hypothèses!$C$17,Hypothèses!$G$17,IF(B206&lt;=Hypothèses!$C$18,Hypothèses!$G$18,E205))))))))))))</f>
        <v>#N/A</v>
      </c>
      <c r="F206" s="82" t="str">
        <f>IF(B206&lt;=Hypothèses!$C$7,Hypothèses!$F$7,IF(B206&lt;=Hypothèses!$C$8,Hypothèses!$F$8,IF(B206&lt;=Hypothèses!$C$9,Hypothèses!$F$9,IF(B206&lt;=Hypothèses!$C$10,Hypothèses!$F$10,IF(B206&lt;=Hypothèses!$C$11,Hypothèses!$F$11,IF(B206&lt;=Hypothèses!$C$12,Hypothèses!$F$12,IF(B206&lt;=Hypothèses!$C$13,Hypothèses!$F$13,IF(B206&lt;=Hypothèses!$C$14,Hypothèses!$F$14,IF(B206&lt;=Hypothèses!$C$15,Hypothèses!$F$15,IF(B206&lt;=Hypothèses!$C$16,Hypothèses!$F$16,IF(B206&lt;=Hypothèses!$C$17,Hypothèses!$F$17,IF(B206&lt;=Hypothèses!$C$18,Hypothèses!$F$18,F205))))))))))))</f>
        <v/>
      </c>
      <c r="G206" s="91">
        <f t="array" ref="G206">INDEX('Coeff EC7'!$U$7:$X$27,
MATCH(Model0.1T!$B$3,'Coeff EC7'!$T$7:$T$27,0),
MATCH(Model0.1T!$D206&amp;Model0.1T!$B$4,
'Coeff EC7'!$U$6:$X$6&amp;
'Coeff EC7'!$U$5:$X$5,0))</f>
        <v>1.4</v>
      </c>
      <c r="H206" s="91">
        <f t="array" ref="H206">INDEX('Coeff EC7'!$Y$7:$AB$27,
MATCH(Model0.1T!$B$3,'Coeff EC7'!$T$7:$T$27,0),
MATCH(Model0.1T!$D206&amp;Model0.1T!$B$4,
'Coeff EC7'!$Y$6:$AB$6&amp;
'Coeff EC7'!$Y$5:$AB$5,0))</f>
        <v>1.7</v>
      </c>
      <c r="I206" s="83">
        <v>0</v>
      </c>
      <c r="J206" s="91" t="e">
        <f t="array" ref="J206">INDEX('Coeff EC7'!$D$33:$Q$33,1,MATCH(D206&amp;E206,'Coeff EC7'!$D$31:$Q$31&amp;'Coeff EC7'!$D$32:$Q$32,0))</f>
        <v>#N/A</v>
      </c>
      <c r="K206" s="91" t="e">
        <f t="array" ref="K206">INDEX('Coeff EC7'!$D$34:$Q$34,1,MATCH(D206&amp;E206,'Coeff EC7'!$D$31:$Q$31&amp;'Coeff EC7'!$D$32:$Q$32,0))</f>
        <v>#N/A</v>
      </c>
      <c r="L206" s="91" t="e">
        <f t="array" ref="L206">INDEX('Coeff EC7'!$D$35:$Q$35,1,MATCH(D206&amp;E206,'Coeff EC7'!$D$31:$Q$31&amp;'Coeff EC7'!$D$32:$Q$32,0))</f>
        <v>#N/A</v>
      </c>
      <c r="M206" s="98" t="e">
        <f t="shared" si="331"/>
        <v>#N/A</v>
      </c>
      <c r="N206" s="99" t="e">
        <f t="array" ref="N206">INDEX('Coeff EC7'!$D$7:$Q$27,MATCH($B$3,'Coeff EC7'!$C$7:$C$27,0),MATCH(D206&amp;E206,'Coeff EC7'!$D$5:$Q$5&amp;'Coeff EC7'!$D$6:$Q$6,0))</f>
        <v>#N/A</v>
      </c>
      <c r="O206" s="99" t="e">
        <f t="array" ref="O206">INDEX('Coeff EC7'!$D$41:$Q$61,MATCH($B$3,'Coeff EC7'!$C$41:$C$61,0),MATCH(D206&amp;E206,'Coeff EC7'!$D$39:$Q$39&amp;'Coeff EC7'!$D$40:$Q$40,0))</f>
        <v>#N/A</v>
      </c>
      <c r="P206" s="30" t="e">
        <f t="shared" si="266"/>
        <v>#N/A</v>
      </c>
      <c r="Q206" s="100" t="e">
        <f t="shared" ref="Q206:Q269" si="333">MIN(O206,P206)*$B$10</f>
        <v>#N/A</v>
      </c>
      <c r="R206" s="86" t="b">
        <f t="shared" ref="R206:R269" si="334">IF($B206&lt;=$P$4, $B206, IF($B206&lt;=$P$5, $B206-$P$4, IF($B206&lt;=$P$6, $B206-$P$5, IF($B206&lt;=$P$7,$B206-$P$6, IF($B206&lt;=$P$8, $B206-$P$7, IF($B206&lt;=$P$9, $B206-$P$8, IF($B206&lt;=$P$10,$B206-$P$9)))))))</f>
        <v>0</v>
      </c>
      <c r="S206" s="86">
        <f t="shared" si="332"/>
        <v>0.5</v>
      </c>
      <c r="T206" s="86">
        <f t="shared" ref="T206:T269" si="335">MIN(S206,R206)</f>
        <v>0.5</v>
      </c>
      <c r="U206" s="30" t="e">
        <f t="shared" ca="1" si="267"/>
        <v>#DIV/0!</v>
      </c>
      <c r="V206" s="85" t="str">
        <f>IF(B206&lt;=Hypothèses!$V$7,Hypothèses!$W$7,IF(B206&lt;=Hypothèses!$V$8,Hypothèses!$W$8,IF(B206&lt;=Hypothèses!$V$9,Hypothèses!$W$9,IF(B206&lt;=Hypothèses!$V$10,Hypothèses!$W$10,IF(B206&lt;=Hypothèses!$V$11,Hypothèses!$W$11,IF(B206&lt;=Hypothèses!$V$12,Hypothèses!$W$12,IF(B206&lt;=Hypothèses!$V$13,Hypothèses!$W$13,IF(B206&lt;=Hypothèses!$V$14,Hypothèses!$W$14,IF(B206&lt;=Hypothèses!$V$15,Hypothèses!$W$15,IF(B206&lt;=Hypothèses!$V$16,Hypothèses!$W$16,IF(B206&lt;=Hypothèses!$V$17,Hypothèses!$W$17,IF(B206&lt;=Hypothèses!$V$18,Hypothèses!$W$18,""))))))))))))</f>
        <v/>
      </c>
      <c r="W206" s="87" t="e">
        <f t="shared" ca="1" si="316"/>
        <v>#DIV/0!</v>
      </c>
      <c r="X206" s="88" t="str">
        <f>IF(B206&lt;=Hypothèses!$V$7,Hypothèses!$X$7,IF(B206&lt;=Hypothèses!$V$8,Hypothèses!$X$8,IF(B206&lt;=Hypothèses!$V$9,Hypothèses!$X$9,IF(B206&lt;=Hypothèses!$V$10,Hypothèses!$X$10,IF(B206&lt;=Hypothèses!$V$11,Hypothèses!$X$11,IF(B206&lt;=Hypothèses!$V$12,Hypothèses!$X$12,IF(B206&lt;=Hypothèses!$V$13,Hypothèses!$X$13,IF(B206&lt;=Hypothèses!$V$14,Hypothèses!$X$14,IF(B206&lt;=Hypothèses!$V$15,Hypothèses!$X$15,IF(B206&lt;=Hypothèses!$V$16,Hypothèses!$X$16,IF(B206&lt;=Hypothèses!$U$17,Hypothèses!$W$17,IF(B206&lt;=Hypothèses!$U$18,Hypothèses!$W$18,""))))))))))))</f>
        <v/>
      </c>
      <c r="Y206" s="95" t="e">
        <f t="shared" ref="Y206:Y269" ca="1" si="336">IF($B206&lt;10*$AI$12,0.1/W206*SUM(OFFSET(F206,-10*$B206+1,0,10*$B206,1)),0.1/W206*SUM(OFFSET(F206,-100*$AI$12+1,0,100*$AI$12,1)))</f>
        <v>#DIV/0!</v>
      </c>
      <c r="Z206" s="101">
        <f t="shared" ref="Z206:Z269" si="337">IF($I206=0,0,
IF(Y206&gt;5*AD$12,$I206,
IF($D206="Pressio.",1+($I206-1)*(Y206/AD$12)/5,
IF($D206="Pénétro.",IF($E206=1,0.3+($I206-0.3)*(Y206/AD$12)/5,
IF($E206=2,0.2+($I206-0.2)*(Y206/AD$12)/5,
IF($E206=3,0.1+($I206-0.1)*(Y206/AD$12)/5,
0.15+($I206-0.15)*(Y206/AD$12)/5)))))))</f>
        <v>0</v>
      </c>
      <c r="AA206" s="91">
        <f t="shared" ref="AA206:AA269" si="338">IF($X206&lt;&gt;"",$X206,Z206)</f>
        <v>0</v>
      </c>
      <c r="AB206" s="30" t="e">
        <f t="shared" si="300"/>
        <v>#N/A</v>
      </c>
      <c r="AC206" s="30" t="e">
        <f t="shared" si="301"/>
        <v>#N/A</v>
      </c>
      <c r="AD206" s="31" t="e">
        <f>IF(OR(Hypothèses!$B$4=17,Hypothèses!$B$4=18,Hypothèses!$B$4=19,Hypothèses!$B$4=20),
IF($D206="Pressio.",
IF(OR($E206=3,$E206=1,$E206=4),AC206,AB206),
IF($D206="Pénétro.",
IF(OR($E206=3,$E206=1,$E206=4),AC206,AB206))),IF($D206="Pressio.",
IF($E206=3,AC206,AB206),
IF($D206="Pénétro.",
IF($E206=4,AC206,AB206))))</f>
        <v>#N/A</v>
      </c>
      <c r="AE206" s="31">
        <v>0</v>
      </c>
      <c r="AF206" s="102" t="e">
        <f>IF(NDC!$H$10="Oui",(VLOOKUP($B$3,'Coeff EC7'!$T$39:$X$59,2,0)*AD206+VLOOKUP($B$3,'Coeff EC7'!$T$65:$X$85,2,0)*Model0.1T!AE206)/1.5,PI()*AB$12*$Q206*($B206-$B205)*0.15/10+AF205)</f>
        <v>#N/A</v>
      </c>
      <c r="AG206" s="102" t="e">
        <f>(VLOOKUP($B$3,'Coeff EC7'!$T$39:$X$59,3,0)*AD206+VLOOKUP($B$3,'Coeff EC7'!$T$65:$X$85,3,0)*Model0.1T!AE206)/1.1</f>
        <v>#N/A</v>
      </c>
      <c r="AH206" s="102" t="e">
        <f t="shared" si="268"/>
        <v>#N/A</v>
      </c>
      <c r="AI206" s="102" t="e">
        <f t="shared" si="269"/>
        <v>#N/A</v>
      </c>
      <c r="AJ206" s="414" t="e">
        <f>IF(AND(AF206&gt;NDC!$C$63,AG206&gt;NDC!$C$65,AH206&gt;NDC!$D$73,AI206&gt;NDC!$D$74,$B206&gt;NDC!$H$22-0.1+MIN(3*$AJ$12,1.5)),0,1)</f>
        <v>#N/A</v>
      </c>
      <c r="AK206" s="86" t="b">
        <f t="shared" ref="AK206:AK269" si="339">IF($B206&lt;=$P$4, $B206, IF($B206&lt;=$P$5, $B206-$P$4, IF($B206&lt;=$P$6, $B206-$P$5, IF($B206&lt;=$P$7,$B206-$P$6, IF($B206&lt;=$P$8, $B206-$P$7, IF($B206&lt;=$P$9, $B206-$P$8, IF($B206&lt;=$P$10,$B206-$P$9)))))))</f>
        <v>0</v>
      </c>
      <c r="AL206" s="86">
        <f t="shared" si="270"/>
        <v>0.5</v>
      </c>
      <c r="AM206" s="86">
        <f t="shared" ref="AM206:AM269" si="340">MIN(AL206,AK206)</f>
        <v>0.5</v>
      </c>
      <c r="AN206" s="30" t="e">
        <f t="shared" ca="1" si="271"/>
        <v>#DIV/0!</v>
      </c>
      <c r="AO206" s="85" t="e">
        <f ca="1">IF(U206&lt;=Hypothèses!$V$7,Hypothèses!$W$7,IF(U206&lt;=Hypothèses!$V$8,Hypothèses!$W$8,IF(U206&lt;=Hypothèses!$V$9,Hypothèses!$W$9,IF(U206&lt;=Hypothèses!$V$10,Hypothèses!$W$10,IF(U206&lt;=Hypothèses!$V$11,Hypothèses!$W$11,IF(U206&lt;=Hypothèses!$V$12,Hypothèses!$W$12,IF(U206&lt;=Hypothèses!$V$13,Hypothèses!$W$13,IF(U206&lt;=Hypothèses!$V$14,Hypothèses!$W$14,IF(U206&lt;=Hypothèses!$V$15,Hypothèses!$W$15,IF(U206&lt;=Hypothèses!$V$16,Hypothèses!$W$16,IF(U206&lt;=Hypothèses!$V$17,Hypothèses!$W$17,IF(U206&lt;=Hypothèses!$V$18,Hypothèses!$W$18,""))))))))))))</f>
        <v>#DIV/0!</v>
      </c>
      <c r="AP206" s="87" t="e">
        <f t="shared" ca="1" si="317"/>
        <v>#DIV/0!</v>
      </c>
      <c r="AQ206" s="88" t="e">
        <f ca="1">IF(U206&lt;=Hypothèses!$V$7,Hypothèses!$X$7,IF(U206&lt;=Hypothèses!$V$8,Hypothèses!$X$8,IF(U206&lt;=Hypothèses!$V$9,Hypothèses!$X$9,IF(U206&lt;=Hypothèses!$V$10,Hypothèses!$X$10,IF(U206&lt;=Hypothèses!$V$11,Hypothèses!$X$11,IF(U206&lt;=Hypothèses!$V$12,Hypothèses!$X$12,IF(U206&lt;=Hypothèses!$V$13,Hypothèses!$X$13,IF(U206&lt;=Hypothèses!$V$14,Hypothèses!$X$14,IF(U206&lt;=Hypothèses!$V$15,Hypothèses!$X$15,IF(U206&lt;=Hypothèses!$V$16,Hypothèses!$X$16,IF(U206&lt;=Hypothèses!$U$17,Hypothèses!$W$17,IF(U206&lt;=Hypothèses!$U$18,Hypothèses!$W$18,""))))))))))))</f>
        <v>#DIV/0!</v>
      </c>
      <c r="AR206" s="95" t="e">
        <f t="shared" ca="1" si="272"/>
        <v>#DIV/0!</v>
      </c>
      <c r="AS206" s="101">
        <f t="shared" si="324"/>
        <v>0</v>
      </c>
      <c r="AT206" s="91">
        <f t="shared" ref="AT206:AT269" si="341">IF($X206&lt;&gt;"",$X206,AS206)</f>
        <v>0</v>
      </c>
      <c r="AU206" s="30" t="e">
        <f t="shared" si="302"/>
        <v>#N/A</v>
      </c>
      <c r="AV206" s="30" t="e">
        <f t="shared" si="303"/>
        <v>#N/A</v>
      </c>
      <c r="AW206" s="31" t="e">
        <f>IF(OR(Hypothèses!$B$4=17,Hypothèses!$B$4=18,Hypothèses!$B$4=19,Hypothèses!$B$4=20),
IF($D206="Pressio.",
IF(OR($E206=3,$E206=1,$E206=4),AV206,AU206),
IF($D206="Pénétro.",
IF(OR($E206=3,$E206=1,$E206=4),AV206,AU206))),IF($D206="Pressio.",
IF($E206=3,AV206,AU206),
IF($D206="Pénétro.",
IF($E206=4,AV206,AU206))))</f>
        <v>#N/A</v>
      </c>
      <c r="AX206" s="31">
        <v>0</v>
      </c>
      <c r="AY206" s="102" t="e">
        <f>IF(NDC!$H$10="Oui",(VLOOKUP($B$3,'Coeff EC7'!$T$39:$X$59,2,0)*AW206+VLOOKUP($B$3,'Coeff EC7'!$T$65:$X$85,2,0)*Model0.1T!AX206)/1.5,PI()*AU$12*$Q206*($B206-$B205)*0.15/10+AY205)</f>
        <v>#N/A</v>
      </c>
      <c r="AZ206" s="102" t="e">
        <f>(VLOOKUP($B$3,'Coeff EC7'!$T$39:$X$59,3,0)*AW206+VLOOKUP($B$3,'Coeff EC7'!$T$65:$X$85,3,0)*Model0.1T!AX206)/1.1</f>
        <v>#N/A</v>
      </c>
      <c r="BA206" s="102" t="e">
        <f t="shared" si="273"/>
        <v>#N/A</v>
      </c>
      <c r="BB206" s="102" t="e">
        <f t="shared" si="274"/>
        <v>#N/A</v>
      </c>
      <c r="BC206" s="414" t="e">
        <f>IF(AND(AY206&gt;NDC!$C$63,AZ206&gt;NDC!$C$65,BA206&gt;NDC!$D$73,BB206&gt;NDC!$D$74,$B206&gt;NDC!$H$22-0.1+MIN(3*BC$12,1.5)),0,1)</f>
        <v>#N/A</v>
      </c>
      <c r="BD206" s="86" t="b">
        <f t="shared" ref="BD206:BD269" si="342">IF($B206&lt;=$P$4, $B206, IF($B206&lt;=$P$5, $B206-$P$4, IF($B206&lt;=$P$6, $B206-$P$5, IF($B206&lt;=$P$7,$B206-$P$6, IF($B206&lt;=$P$8, $B206-$P$7, IF($B206&lt;=$P$9, $B206-$P$8, IF($B206&lt;=$P$10,$B206-$P$9)))))))</f>
        <v>0</v>
      </c>
      <c r="BE206" s="86">
        <f t="shared" si="275"/>
        <v>0.5</v>
      </c>
      <c r="BF206" s="86">
        <f t="shared" ref="BF206:BF269" si="343">MIN(BE206,BD206)</f>
        <v>0.5</v>
      </c>
      <c r="BG206" s="30" t="e">
        <f t="shared" ca="1" si="276"/>
        <v>#DIV/0!</v>
      </c>
      <c r="BH206" s="85" t="e">
        <f ca="1">IF(AN206&lt;=Hypothèses!$V$7,Hypothèses!$W$7,IF(AN206&lt;=Hypothèses!$V$8,Hypothèses!$W$8,IF(AN206&lt;=Hypothèses!$V$9,Hypothèses!$W$9,IF(AN206&lt;=Hypothèses!$V$10,Hypothèses!$W$10,IF(AN206&lt;=Hypothèses!$V$11,Hypothèses!$W$11,IF(AN206&lt;=Hypothèses!$V$12,Hypothèses!$W$12,IF(AN206&lt;=Hypothèses!$V$13,Hypothèses!$W$13,IF(AN206&lt;=Hypothèses!$V$14,Hypothèses!$W$14,IF(AN206&lt;=Hypothèses!$V$15,Hypothèses!$W$15,IF(AN206&lt;=Hypothèses!$V$16,Hypothèses!$W$16,IF(AN206&lt;=Hypothèses!$V$17,Hypothèses!$W$17,IF(AN206&lt;=Hypothèses!$V$18,Hypothèses!$W$18,""))))))))))))</f>
        <v>#DIV/0!</v>
      </c>
      <c r="BI206" s="87" t="e">
        <f t="shared" ca="1" si="318"/>
        <v>#DIV/0!</v>
      </c>
      <c r="BJ206" s="88" t="e">
        <f ca="1">IF(AN206&lt;=Hypothèses!$V$7,Hypothèses!$X$7,IF(AN206&lt;=Hypothèses!$V$8,Hypothèses!$X$8,IF(AN206&lt;=Hypothèses!$V$9,Hypothèses!$X$9,IF(AN206&lt;=Hypothèses!$V$10,Hypothèses!$X$10,IF(AN206&lt;=Hypothèses!$V$11,Hypothèses!$X$11,IF(AN206&lt;=Hypothèses!$V$12,Hypothèses!$X$12,IF(AN206&lt;=Hypothèses!$V$13,Hypothèses!$X$13,IF(AN206&lt;=Hypothèses!$V$14,Hypothèses!$X$14,IF(AN206&lt;=Hypothèses!$V$15,Hypothèses!$X$15,IF(AN206&lt;=Hypothèses!$V$16,Hypothèses!$X$16,IF(AN206&lt;=Hypothèses!$U$17,Hypothèses!$W$17,IF(AN206&lt;=Hypothèses!$U$18,Hypothèses!$W$18,""))))))))))))</f>
        <v>#DIV/0!</v>
      </c>
      <c r="BK206" s="95" t="e">
        <f t="shared" ca="1" si="277"/>
        <v>#DIV/0!</v>
      </c>
      <c r="BL206" s="101">
        <f t="shared" si="325"/>
        <v>0</v>
      </c>
      <c r="BM206" s="91">
        <f t="shared" ref="BM206:BM269" si="344">IF($X206&lt;&gt;"",$X206,BL206)</f>
        <v>0</v>
      </c>
      <c r="BN206" s="30" t="e">
        <f t="shared" si="304"/>
        <v>#N/A</v>
      </c>
      <c r="BO206" s="30" t="e">
        <f t="shared" si="305"/>
        <v>#N/A</v>
      </c>
      <c r="BP206" s="31" t="e">
        <f>IF(OR(Hypothèses!$B$4=17,Hypothèses!$B$4=18,Hypothèses!$B$4=19,Hypothèses!$B$4=20),
IF($D206="Pressio.",
IF(OR($E206=3,$E206=1,$E206=4),BO206,BN206),
IF($D206="Pénétro.",
IF(OR($E206=3,$E206=1,$E206=4),BO206,BN206))),IF($D206="Pressio.",
IF($E206=3,BO206,BN206),
IF($D206="Pénétro.",
IF($E206=4,BO206,BN206))))</f>
        <v>#N/A</v>
      </c>
      <c r="BQ206" s="31">
        <v>0</v>
      </c>
      <c r="BR206" s="102" t="e">
        <f>IF(NDC!$H$10="Oui",(VLOOKUP($B$3,'Coeff EC7'!$T$39:$X$59,2,0)*BP206+VLOOKUP($B$3,'Coeff EC7'!$T$65:$X$85,2,0)*Model0.1T!BQ206)/1.5,PI()*BN$12*$Q206*($B206-$B205)*0.15/10+BR205)</f>
        <v>#N/A</v>
      </c>
      <c r="BS206" s="102" t="e">
        <f>(VLOOKUP($B$3,'Coeff EC7'!$T$39:$X$59,3,0)*BP206+VLOOKUP($B$3,'Coeff EC7'!$T$65:$X$85,3,0)*Model0.1T!BQ206)/1.1</f>
        <v>#N/A</v>
      </c>
      <c r="BT206" s="102" t="e">
        <f t="shared" si="278"/>
        <v>#N/A</v>
      </c>
      <c r="BU206" s="102" t="e">
        <f t="shared" si="279"/>
        <v>#N/A</v>
      </c>
      <c r="BV206" s="414" t="e">
        <f>IF(AND(BR206&gt;NDC!$C$63,BS206&gt;NDC!$C$65,BT206&gt;NDC!$D$73,BU206&gt;NDC!$D$74,$B206&gt;NDC!$H$22-0.1+MIN(3*BV$12,1.5)),0,1)</f>
        <v>#N/A</v>
      </c>
      <c r="BW206" s="86" t="b">
        <f t="shared" ref="BW206:BW269" si="345">IF($B206&lt;=$P$4, $B206, IF($B206&lt;=$P$5, $B206-$P$4, IF($B206&lt;=$P$6, $B206-$P$5, IF($B206&lt;=$P$7,$B206-$P$6, IF($B206&lt;=$P$8, $B206-$P$7, IF($B206&lt;=$P$9, $B206-$P$8, IF($B206&lt;=$P$10,$B206-$P$9)))))))</f>
        <v>0</v>
      </c>
      <c r="BX206" s="86">
        <f t="shared" ref="BX206:BX269" si="346">MAX($CK$12/2,0.5)</f>
        <v>0.5</v>
      </c>
      <c r="BY206" s="86">
        <f t="shared" ref="BY206:BY269" si="347">MIN(BX206,BW206)</f>
        <v>0.5</v>
      </c>
      <c r="BZ206" s="30" t="e">
        <f t="shared" ca="1" si="280"/>
        <v>#DIV/0!</v>
      </c>
      <c r="CA206" s="85" t="e">
        <f ca="1">IF(BG206&lt;=Hypothèses!$V$7,Hypothèses!$W$7,IF(BG206&lt;=Hypothèses!$V$8,Hypothèses!$W$8,IF(BG206&lt;=Hypothèses!$V$9,Hypothèses!$W$9,IF(BG206&lt;=Hypothèses!$V$10,Hypothèses!$W$10,IF(BG206&lt;=Hypothèses!$V$11,Hypothèses!$W$11,IF(BG206&lt;=Hypothèses!$V$12,Hypothèses!$W$12,IF(BG206&lt;=Hypothèses!$V$13,Hypothèses!$W$13,IF(BG206&lt;=Hypothèses!$V$14,Hypothèses!$W$14,IF(BG206&lt;=Hypothèses!$V$15,Hypothèses!$W$15,IF(BG206&lt;=Hypothèses!$V$16,Hypothèses!$W$16,IF(BG206&lt;=Hypothèses!$V$17,Hypothèses!$W$17,IF(BG206&lt;=Hypothèses!$V$18,Hypothèses!$W$18,""))))))))))))</f>
        <v>#DIV/0!</v>
      </c>
      <c r="CB206" s="87" t="e">
        <f t="shared" ca="1" si="319"/>
        <v>#DIV/0!</v>
      </c>
      <c r="CC206" s="88" t="e">
        <f ca="1">IF(BG206&lt;=Hypothèses!$V$7,Hypothèses!$X$7,IF(BG206&lt;=Hypothèses!$V$8,Hypothèses!$X$8,IF(BG206&lt;=Hypothèses!$V$9,Hypothèses!$X$9,IF(BG206&lt;=Hypothèses!$V$10,Hypothèses!$X$10,IF(BG206&lt;=Hypothèses!$V$11,Hypothèses!$X$11,IF(BG206&lt;=Hypothèses!$V$12,Hypothèses!$X$12,IF(BG206&lt;=Hypothèses!$V$13,Hypothèses!$X$13,IF(BG206&lt;=Hypothèses!$V$14,Hypothèses!$X$14,IF(BG206&lt;=Hypothèses!$V$15,Hypothèses!$X$15,IF(BG206&lt;=Hypothèses!$V$16,Hypothèses!$X$16,IF(BG206&lt;=Hypothèses!$U$17,Hypothèses!$W$17,IF(BG206&lt;=Hypothèses!$U$18,Hypothèses!$W$18,""))))))))))))</f>
        <v>#DIV/0!</v>
      </c>
      <c r="CD206" s="95" t="e">
        <f t="shared" ca="1" si="281"/>
        <v>#DIV/0!</v>
      </c>
      <c r="CE206" s="101">
        <f t="shared" si="326"/>
        <v>0</v>
      </c>
      <c r="CF206" s="91">
        <f t="shared" ref="CF206:CF269" si="348">IF($X206&lt;&gt;"",$X206,CE206)</f>
        <v>0</v>
      </c>
      <c r="CG206" s="30" t="e">
        <f t="shared" si="306"/>
        <v>#N/A</v>
      </c>
      <c r="CH206" s="30" t="e">
        <f t="shared" si="307"/>
        <v>#N/A</v>
      </c>
      <c r="CI206" s="31" t="e">
        <f>IF(OR(Hypothèses!$B$4=17,Hypothèses!$B$4=18,Hypothèses!$B$4=19,Hypothèses!$B$4=20),
IF($D206="Pressio.",
IF(OR($E206=3,$E206=1,$E206=4),CH206,CG206),
IF($D206="Pénétro.",
IF(OR($E206=3,$E206=1,$E206=4),CH206,CG206))),IF($D206="Pressio.",
IF($E206=3,CH206,CG206),
IF($D206="Pénétro.",
IF($E206=4,CH206,CG206))))</f>
        <v>#N/A</v>
      </c>
      <c r="CJ206" s="31">
        <v>0</v>
      </c>
      <c r="CK206" s="102" t="e">
        <f>IF(NDC!$H$10="Oui",(VLOOKUP($B$3,'Coeff EC7'!$T$39:$X$59,2,0)*CI206+VLOOKUP($B$3,'Coeff EC7'!$T$65:$X$85,2,0)*Model0.1T!CJ206)/1.5,PI()*CG$12*$Q206*($B206-$B205)*0.15/10+CK205)</f>
        <v>#N/A</v>
      </c>
      <c r="CL206" s="102" t="e">
        <f>(VLOOKUP($B$3,'Coeff EC7'!$T$39:$X$59,3,0)*CI206+VLOOKUP($B$3,'Coeff EC7'!$T$65:$X$85,3,0)*Model0.1T!CJ206)/1.1</f>
        <v>#N/A</v>
      </c>
      <c r="CM206" s="102" t="e">
        <f t="shared" si="282"/>
        <v>#N/A</v>
      </c>
      <c r="CN206" s="102" t="e">
        <f t="shared" si="283"/>
        <v>#N/A</v>
      </c>
      <c r="CO206" s="414" t="e">
        <f>IF(AND(CK206&gt;NDC!$C$63,CL206&gt;NDC!$C$65,CM206&gt;NDC!$D$73,CN206&gt;NDC!$D$74,$B206&gt;NDC!$H$22-0.1+MIN(3*CO$12,1.5)),0,1)</f>
        <v>#N/A</v>
      </c>
      <c r="CP206" s="86" t="b">
        <f t="shared" ref="CP206:CP269" si="349">IF($B206&lt;=$P$4, $B206, IF($B206&lt;=$P$5, $B206-$P$4, IF($B206&lt;=$P$6, $B206-$P$5, IF($B206&lt;=$P$7,$B206-$P$6, IF($B206&lt;=$P$8, $B206-$P$7, IF($B206&lt;=$P$9, $B206-$P$8, IF($B206&lt;=$P$10,$B206-$P$9)))))))</f>
        <v>0</v>
      </c>
      <c r="CQ206" s="86">
        <f t="shared" ref="CQ206:CQ269" si="350">MAX($DD$12/2,0.5)</f>
        <v>0.5</v>
      </c>
      <c r="CR206" s="86">
        <f t="shared" ref="CR206:CR269" si="351">MIN(CQ206,CP206)</f>
        <v>0.5</v>
      </c>
      <c r="CS206" s="30" t="e">
        <f t="shared" ca="1" si="284"/>
        <v>#DIV/0!</v>
      </c>
      <c r="CT206" s="85" t="e">
        <f ca="1">IF(BZ206&lt;=Hypothèses!$V$7,Hypothèses!$W$7,IF(BZ206&lt;=Hypothèses!$V$8,Hypothèses!$W$8,IF(BZ206&lt;=Hypothèses!$V$9,Hypothèses!$W$9,IF(BZ206&lt;=Hypothèses!$V$10,Hypothèses!$W$10,IF(BZ206&lt;=Hypothèses!$V$11,Hypothèses!$W$11,IF(BZ206&lt;=Hypothèses!$V$12,Hypothèses!$W$12,IF(BZ206&lt;=Hypothèses!$V$13,Hypothèses!$W$13,IF(BZ206&lt;=Hypothèses!$V$14,Hypothèses!$W$14,IF(BZ206&lt;=Hypothèses!$V$15,Hypothèses!$W$15,IF(BZ206&lt;=Hypothèses!$V$16,Hypothèses!$W$16,IF(BZ206&lt;=Hypothèses!$V$17,Hypothèses!$W$17,IF(BZ206&lt;=Hypothèses!$V$18,Hypothèses!$W$18,""))))))))))))</f>
        <v>#DIV/0!</v>
      </c>
      <c r="CU206" s="87" t="e">
        <f t="shared" ca="1" si="320"/>
        <v>#DIV/0!</v>
      </c>
      <c r="CV206" s="88" t="e">
        <f ca="1">IF(BZ206&lt;=Hypothèses!$V$7,Hypothèses!$X$7,IF(BZ206&lt;=Hypothèses!$V$8,Hypothèses!$X$8,IF(BZ206&lt;=Hypothèses!$V$9,Hypothèses!$X$9,IF(BZ206&lt;=Hypothèses!$V$10,Hypothèses!$X$10,IF(BZ206&lt;=Hypothèses!$V$11,Hypothèses!$X$11,IF(BZ206&lt;=Hypothèses!$V$12,Hypothèses!$X$12,IF(BZ206&lt;=Hypothèses!$V$13,Hypothèses!$X$13,IF(BZ206&lt;=Hypothèses!$V$14,Hypothèses!$X$14,IF(BZ206&lt;=Hypothèses!$V$15,Hypothèses!$X$15,IF(BZ206&lt;=Hypothèses!$V$16,Hypothèses!$X$16,IF(BZ206&lt;=Hypothèses!$U$17,Hypothèses!$W$17,IF(BZ206&lt;=Hypothèses!$U$18,Hypothèses!$W$18,""))))))))))))</f>
        <v>#DIV/0!</v>
      </c>
      <c r="CW206" s="95" t="e">
        <f t="shared" ca="1" si="285"/>
        <v>#DIV/0!</v>
      </c>
      <c r="CX206" s="101">
        <f t="shared" si="327"/>
        <v>0</v>
      </c>
      <c r="CY206" s="91">
        <f t="shared" ref="CY206:CY269" si="352">IF($X206&lt;&gt;"",$X206,CX206)</f>
        <v>0</v>
      </c>
      <c r="CZ206" s="30" t="e">
        <f t="shared" si="308"/>
        <v>#N/A</v>
      </c>
      <c r="DA206" s="30" t="e">
        <f t="shared" si="309"/>
        <v>#N/A</v>
      </c>
      <c r="DB206" s="31" t="e">
        <f>IF(OR(Hypothèses!$B$4=17,Hypothèses!$B$4=18,Hypothèses!$B$4=19,Hypothèses!$B$4=20),
IF($D206="Pressio.",
IF(OR($E206=3,$E206=1,$E206=4),DA206,CZ206),
IF($D206="Pénétro.",
IF(OR($E206=3,$E206=1,$E206=4),DA206,CZ206))),IF($D206="Pressio.",
IF($E206=3,DA206,CZ206),
IF($D206="Pénétro.",
IF($E206=4,DA206,CZ206))))</f>
        <v>#N/A</v>
      </c>
      <c r="DC206" s="31">
        <v>0</v>
      </c>
      <c r="DD206" s="102" t="e">
        <f>IF(NDC!$H$10="Oui",(VLOOKUP($B$3,'Coeff EC7'!$T$39:$X$59,2,0)*DB206+VLOOKUP($B$3,'Coeff EC7'!$T$65:$X$85,2,0)*Model0.1T!DC206)/1.5,PI()*CZ$12*$Q206*($B206-$B205)*0.15/10+DD205)</f>
        <v>#N/A</v>
      </c>
      <c r="DE206" s="102" t="e">
        <f>(VLOOKUP($B$3,'Coeff EC7'!$T$39:$X$59,3,0)*DB206+VLOOKUP($B$3,'Coeff EC7'!$T$65:$X$85,3,0)*Model0.1T!DC206)/1.1</f>
        <v>#N/A</v>
      </c>
      <c r="DF206" s="102" t="e">
        <f t="shared" si="286"/>
        <v>#N/A</v>
      </c>
      <c r="DG206" s="102" t="e">
        <f t="shared" si="287"/>
        <v>#N/A</v>
      </c>
      <c r="DH206" s="414" t="e">
        <f>IF(AND(DD206&gt;NDC!$C$63,DE206&gt;NDC!$C$65,DF206&gt;NDC!$D$73,DG206&gt;NDC!$D$74,$B206&gt;NDC!$H$22-0.1+MIN(3*DH$12,1.5)),0,1)</f>
        <v>#N/A</v>
      </c>
      <c r="DI206" s="86" t="b">
        <f t="shared" ref="DI206:DI269" si="353">IF($B206&lt;=$P$4, $B206, IF($B206&lt;=$P$5, $B206-$P$4, IF($B206&lt;=$P$6, $B206-$P$5, IF($B206&lt;=$P$7,$B206-$P$6, IF($B206&lt;=$P$8, $B206-$P$7, IF($B206&lt;=$P$9, $B206-$P$8, IF($B206&lt;=$P$10,$B206-$P$9)))))))</f>
        <v>0</v>
      </c>
      <c r="DJ206" s="86">
        <f t="shared" ref="DJ206:DJ269" si="354">MAX($DW$12/2,0.5)</f>
        <v>0.5</v>
      </c>
      <c r="DK206" s="86">
        <f t="shared" ref="DK206:DK269" si="355">MIN(DJ206,DI206)</f>
        <v>0.5</v>
      </c>
      <c r="DL206" s="30" t="e">
        <f t="shared" ca="1" si="288"/>
        <v>#DIV/0!</v>
      </c>
      <c r="DM206" s="85" t="e">
        <f ca="1">IF(CS206&lt;=Hypothèses!$V$7,Hypothèses!$W$7,IF(CS206&lt;=Hypothèses!$V$8,Hypothèses!$W$8,IF(CS206&lt;=Hypothèses!$V$9,Hypothèses!$W$9,IF(CS206&lt;=Hypothèses!$V$10,Hypothèses!$W$10,IF(CS206&lt;=Hypothèses!$V$11,Hypothèses!$W$11,IF(CS206&lt;=Hypothèses!$V$12,Hypothèses!$W$12,IF(CS206&lt;=Hypothèses!$V$13,Hypothèses!$W$13,IF(CS206&lt;=Hypothèses!$V$14,Hypothèses!$W$14,IF(CS206&lt;=Hypothèses!$V$15,Hypothèses!$W$15,IF(CS206&lt;=Hypothèses!$V$16,Hypothèses!$W$16,IF(CS206&lt;=Hypothèses!$V$17,Hypothèses!$W$17,IF(CS206&lt;=Hypothèses!$V$18,Hypothèses!$W$18,""))))))))))))</f>
        <v>#DIV/0!</v>
      </c>
      <c r="DN206" s="87" t="e">
        <f t="shared" ca="1" si="321"/>
        <v>#DIV/0!</v>
      </c>
      <c r="DO206" s="88" t="e">
        <f ca="1">IF(CS206&lt;=Hypothèses!$V$7,Hypothèses!$X$7,IF(CS206&lt;=Hypothèses!$V$8,Hypothèses!$X$8,IF(CS206&lt;=Hypothèses!$V$9,Hypothèses!$X$9,IF(CS206&lt;=Hypothèses!$V$10,Hypothèses!$X$10,IF(CS206&lt;=Hypothèses!$V$11,Hypothèses!$X$11,IF(CS206&lt;=Hypothèses!$V$12,Hypothèses!$X$12,IF(CS206&lt;=Hypothèses!$V$13,Hypothèses!$X$13,IF(CS206&lt;=Hypothèses!$V$14,Hypothèses!$X$14,IF(CS206&lt;=Hypothèses!$V$15,Hypothèses!$X$15,IF(CS206&lt;=Hypothèses!$V$16,Hypothèses!$X$16,IF(CS206&lt;=Hypothèses!$U$17,Hypothèses!$W$17,IF(CS206&lt;=Hypothèses!$U$18,Hypothèses!$W$18,""))))))))))))</f>
        <v>#DIV/0!</v>
      </c>
      <c r="DP206" s="95" t="e">
        <f t="shared" ca="1" si="289"/>
        <v>#DIV/0!</v>
      </c>
      <c r="DQ206" s="101">
        <f t="shared" si="328"/>
        <v>0</v>
      </c>
      <c r="DR206" s="91">
        <f t="shared" ref="DR206:DR269" si="356">IF($X206&lt;&gt;"",$X206,DQ206)</f>
        <v>0</v>
      </c>
      <c r="DS206" s="30" t="e">
        <f t="shared" si="310"/>
        <v>#N/A</v>
      </c>
      <c r="DT206" s="30" t="e">
        <f t="shared" si="311"/>
        <v>#N/A</v>
      </c>
      <c r="DU206" s="31" t="e">
        <f>IF(OR(Hypothèses!$B$4=17,Hypothèses!$B$4=18,Hypothèses!$B$4=19,Hypothèses!$B$4=20),
IF($D206="Pressio.",
IF(OR($E206=3,$E206=1,$E206=4),DT206,DS206),
IF($D206="Pénétro.",
IF(OR($E206=3,$E206=1,$E206=4),DT206,DS206))),IF($D206="Pressio.",
IF($E206=3,DT206,DS206),
IF($D206="Pénétro.",
IF($E206=4,DT206,DS206))))</f>
        <v>#N/A</v>
      </c>
      <c r="DV206" s="31">
        <v>0</v>
      </c>
      <c r="DW206" s="102" t="e">
        <f>IF(NDC!$H$10="Oui",(VLOOKUP($B$3,'Coeff EC7'!$T$39:$X$59,2,0)*DU206+VLOOKUP($B$3,'Coeff EC7'!$T$65:$X$85,2,0)*Model0.1T!DV206)/1.5,PI()*DS$12*$Q206*($B206-$B205)*0.15/10+DW205)</f>
        <v>#N/A</v>
      </c>
      <c r="DX206" s="102" t="e">
        <f>(VLOOKUP($B$3,'Coeff EC7'!$T$39:$X$59,3,0)*DU206+VLOOKUP($B$3,'Coeff EC7'!$T$65:$X$85,3,0)*Model0.1T!DV206)/1.1</f>
        <v>#N/A</v>
      </c>
      <c r="DY206" s="102" t="e">
        <f t="shared" si="290"/>
        <v>#N/A</v>
      </c>
      <c r="DZ206" s="102" t="e">
        <f t="shared" si="291"/>
        <v>#N/A</v>
      </c>
      <c r="EA206" s="414" t="e">
        <f>IF(AND(DW206&gt;NDC!$C$63,DX206&gt;NDC!$C$65,DY206&gt;NDC!$D$73,DZ206&gt;NDC!$D$74,$B206&gt;NDC!$H$22-0.1+MIN(3*EA$12,1.5)),0,1)</f>
        <v>#N/A</v>
      </c>
      <c r="EB206" s="86" t="b">
        <f t="shared" ref="EB206:EB269" si="357">IF($B206&lt;=$P$4, $B206, IF($B206&lt;=$P$5, $B206-$P$4, IF($B206&lt;=$P$6, $B206-$P$5, IF($B206&lt;=$P$7,$B206-$P$6, IF($B206&lt;=$P$8, $B206-$P$7, IF($B206&lt;=$P$9, $B206-$P$8, IF($B206&lt;=$P$10,$B206-$P$9)))))))</f>
        <v>0</v>
      </c>
      <c r="EC206" s="418">
        <f t="shared" ref="EC206:EC269" si="358">MAX($EP$12/2,0.5)</f>
        <v>0.51</v>
      </c>
      <c r="ED206" s="86">
        <f t="shared" ref="ED206:ED269" si="359">MIN(EC206,EB206)</f>
        <v>0.51</v>
      </c>
      <c r="EE206" s="30" t="e">
        <f t="shared" ca="1" si="292"/>
        <v>#DIV/0!</v>
      </c>
      <c r="EF206" s="85" t="e">
        <f ca="1">IF(DL206&lt;=Hypothèses!$V$7,Hypothèses!$W$7,IF(DL206&lt;=Hypothèses!$V$8,Hypothèses!$W$8,IF(DL206&lt;=Hypothèses!$V$9,Hypothèses!$W$9,IF(DL206&lt;=Hypothèses!$V$10,Hypothèses!$W$10,IF(DL206&lt;=Hypothèses!$V$11,Hypothèses!$W$11,IF(DL206&lt;=Hypothèses!$V$12,Hypothèses!$W$12,IF(DL206&lt;=Hypothèses!$V$13,Hypothèses!$W$13,IF(DL206&lt;=Hypothèses!$V$14,Hypothèses!$W$14,IF(DL206&lt;=Hypothèses!$V$15,Hypothèses!$W$15,IF(DL206&lt;=Hypothèses!$V$16,Hypothèses!$W$16,IF(DL206&lt;=Hypothèses!$V$17,Hypothèses!$W$17,IF(DL206&lt;=Hypothèses!$V$18,Hypothèses!$W$18,""))))))))))))</f>
        <v>#DIV/0!</v>
      </c>
      <c r="EG206" s="87" t="e">
        <f t="shared" ca="1" si="322"/>
        <v>#DIV/0!</v>
      </c>
      <c r="EH206" s="88" t="e">
        <f ca="1">IF(DL206&lt;=Hypothèses!$V$7,Hypothèses!$X$7,IF(DL206&lt;=Hypothèses!$V$8,Hypothèses!$X$8,IF(DL206&lt;=Hypothèses!$V$9,Hypothèses!$X$9,IF(DL206&lt;=Hypothèses!$V$10,Hypothèses!$X$10,IF(DL206&lt;=Hypothèses!$V$11,Hypothèses!$X$11,IF(DL206&lt;=Hypothèses!$V$12,Hypothèses!$X$12,IF(DL206&lt;=Hypothèses!$V$13,Hypothèses!$X$13,IF(DL206&lt;=Hypothèses!$V$14,Hypothèses!$X$14,IF(DL206&lt;=Hypothèses!$V$15,Hypothèses!$X$15,IF(DL206&lt;=Hypothèses!$V$16,Hypothèses!$X$16,IF(DL206&lt;=Hypothèses!$U$17,Hypothèses!$W$17,IF(DL206&lt;=Hypothèses!$U$18,Hypothèses!$W$18,""))))))))))))</f>
        <v>#DIV/0!</v>
      </c>
      <c r="EI206" s="95" t="e">
        <f t="shared" ca="1" si="293"/>
        <v>#DIV/0!</v>
      </c>
      <c r="EJ206" s="101">
        <f t="shared" si="329"/>
        <v>0</v>
      </c>
      <c r="EK206" s="91">
        <f t="shared" ref="EK206:EK269" si="360">IF($X206&lt;&gt;"",$X206,EJ206)</f>
        <v>0</v>
      </c>
      <c r="EL206" s="30" t="e">
        <f t="shared" si="312"/>
        <v>#N/A</v>
      </c>
      <c r="EM206" s="30" t="e">
        <f t="shared" si="313"/>
        <v>#N/A</v>
      </c>
      <c r="EN206" s="31" t="e">
        <f>IF(OR(Hypothèses!$B$4=17,Hypothèses!$B$4=18,Hypothèses!$B$4=19,Hypothèses!$B$4=20),
IF($D206="Pressio.",
IF(OR($E206=3,$E206=1,$E206=4),EM206,EL206),
IF($D206="Pénétro.",
IF(OR($E206=3,$E206=1,$E206=4),EM206,EL206))),IF($D206="Pressio.",
IF($E206=3,EM206,EL206),
IF($D206="Pénétro.",
IF($E206=4,EM206,EL206))))</f>
        <v>#N/A</v>
      </c>
      <c r="EO206" s="31">
        <v>0</v>
      </c>
      <c r="EP206" s="102" t="e">
        <f>IF(NDC!$H$10="Oui",(VLOOKUP($B$3,'Coeff EC7'!$T$39:$X$59,2,0)*EN206+VLOOKUP($B$3,'Coeff EC7'!$T$65:$X$85,2,0)*Model0.1T!EO206)/1.5,PI()*EL$12*$Q206*($B206-$B205)*0.15/10+EP205)</f>
        <v>#N/A</v>
      </c>
      <c r="EQ206" s="102" t="e">
        <f>(VLOOKUP($B$3,'Coeff EC7'!$T$39:$X$59,3,0)*EN206+VLOOKUP($B$3,'Coeff EC7'!$T$65:$X$85,3,0)*Model0.1T!EO206)/1.1</f>
        <v>#N/A</v>
      </c>
      <c r="ER206" s="102" t="e">
        <f t="shared" si="294"/>
        <v>#N/A</v>
      </c>
      <c r="ES206" s="102" t="e">
        <f t="shared" si="295"/>
        <v>#N/A</v>
      </c>
      <c r="ET206" s="414" t="e">
        <f>IF(AND(EP206&gt;NDC!$C$63,EQ206&gt;NDC!$C$65,ER206&gt;NDC!$D$73,ES206&gt;NDC!$D$74,$B206&gt;NDC!$H$22-0.1+MIN(3*ET$12,1.5)),0,1)</f>
        <v>#N/A</v>
      </c>
      <c r="EU206" s="86" t="b">
        <f t="shared" ref="EU206:EU269" si="361">IF($B206&lt;=$P$4, $B206, IF($B206&lt;=$P$5, $B206-$P$4, IF($B206&lt;=$P$6, $B206-$P$5, IF($B206&lt;=$P$7,$B206-$P$6, IF($B206&lt;=$P$8, $B206-$P$7, IF($B206&lt;=$P$9, $B206-$P$8, IF($B206&lt;=$P$10,$B206-$P$9)))))))</f>
        <v>0</v>
      </c>
      <c r="EV206" s="86">
        <f t="shared" ref="EV206:EV269" si="362">MAX($FI$12/2,0.5)</f>
        <v>0.61</v>
      </c>
      <c r="EW206" s="86">
        <f t="shared" ref="EW206:EW269" si="363">MIN(EV206,EU206)</f>
        <v>0.61</v>
      </c>
      <c r="EX206" s="30" t="e">
        <f t="shared" ca="1" si="296"/>
        <v>#DIV/0!</v>
      </c>
      <c r="EY206" s="85" t="e">
        <f ca="1">IF(EE206&lt;=Hypothèses!$V$7,Hypothèses!$W$7,IF(EE206&lt;=Hypothèses!$V$8,Hypothèses!$W$8,IF(EE206&lt;=Hypothèses!$V$9,Hypothèses!$W$9,IF(EE206&lt;=Hypothèses!$V$10,Hypothèses!$W$10,IF(EE206&lt;=Hypothèses!$V$11,Hypothèses!$W$11,IF(EE206&lt;=Hypothèses!$V$12,Hypothèses!$W$12,IF(EE206&lt;=Hypothèses!$V$13,Hypothèses!$W$13,IF(EE206&lt;=Hypothèses!$V$14,Hypothèses!$W$14,IF(EE206&lt;=Hypothèses!$V$15,Hypothèses!$W$15,IF(EE206&lt;=Hypothèses!$V$16,Hypothèses!$W$16,IF(EE206&lt;=Hypothèses!$V$17,Hypothèses!$W$17,IF(EE206&lt;=Hypothèses!$V$18,Hypothèses!$W$18,""))))))))))))</f>
        <v>#DIV/0!</v>
      </c>
      <c r="EZ206" s="87" t="e">
        <f t="shared" ca="1" si="323"/>
        <v>#DIV/0!</v>
      </c>
      <c r="FA206" s="88" t="e">
        <f ca="1">IF(EE206&lt;=Hypothèses!$V$7,Hypothèses!$X$7,IF(EE206&lt;=Hypothèses!$V$8,Hypothèses!$X$8,IF(EE206&lt;=Hypothèses!$V$9,Hypothèses!$X$9,IF(EE206&lt;=Hypothèses!$V$10,Hypothèses!$X$10,IF(EE206&lt;=Hypothèses!$V$11,Hypothèses!$X$11,IF(EE206&lt;=Hypothèses!$V$12,Hypothèses!$X$12,IF(EE206&lt;=Hypothèses!$V$13,Hypothèses!$X$13,IF(EE206&lt;=Hypothèses!$V$14,Hypothèses!$X$14,IF(EE206&lt;=Hypothèses!$V$15,Hypothèses!$X$15,IF(EE206&lt;=Hypothèses!$V$16,Hypothèses!$X$16,IF(EE206&lt;=Hypothèses!$U$17,Hypothèses!$W$17,IF(EE206&lt;=Hypothèses!$U$18,Hypothèses!$W$18,""))))))))))))</f>
        <v>#DIV/0!</v>
      </c>
      <c r="FB206" s="95" t="e">
        <f t="shared" ca="1" si="297"/>
        <v>#DIV/0!</v>
      </c>
      <c r="FC206" s="101">
        <f t="shared" si="330"/>
        <v>0</v>
      </c>
      <c r="FD206" s="91">
        <f t="shared" ref="FD206:FD269" si="364">IF($X206&lt;&gt;"",$X206,FC206)</f>
        <v>0</v>
      </c>
      <c r="FE206" s="30" t="e">
        <f t="shared" si="314"/>
        <v>#N/A</v>
      </c>
      <c r="FF206" s="30" t="e">
        <f t="shared" si="315"/>
        <v>#N/A</v>
      </c>
      <c r="FG206" s="31" t="e">
        <f>IF(OR(Hypothèses!$B$4=17,Hypothèses!$B$4=18,Hypothèses!$B$4=19,Hypothèses!$B$4=20),
IF($D206="Pressio.",
IF(OR($E206=3,$E206=1,$E206=4),FF206,FE206),
IF($D206="Pénétro.",
IF(OR($E206=3,$E206=1,$E206=4),FF206,FE206))),IF($D206="Pressio.",
IF($E206=3,FF206,FE206),
IF($D206="Pénétro.",
IF($E206=4,FF206,FE206))))</f>
        <v>#N/A</v>
      </c>
      <c r="FH206" s="31">
        <v>0</v>
      </c>
      <c r="FI206" s="102" t="e">
        <f>IF(NDC!$H$10="Oui",(VLOOKUP($B$3,'Coeff EC7'!$T$39:$X$59,2,0)*FG206+VLOOKUP($B$3,'Coeff EC7'!$T$65:$X$85,2,0)*Model0.1T!FH206)/1.5,PI()*FE$12*$Q206*($B206-$B205)*0.15/10+FI205)</f>
        <v>#N/A</v>
      </c>
      <c r="FJ206" s="102" t="e">
        <f>(VLOOKUP($B$3,'Coeff EC7'!$T$39:$X$59,3,0)*FG206+VLOOKUP($B$3,'Coeff EC7'!$T$65:$X$85,3,0)*Model0.1T!FH206)/1.1</f>
        <v>#N/A</v>
      </c>
      <c r="FK206" s="102" t="e">
        <f t="shared" si="298"/>
        <v>#N/A</v>
      </c>
      <c r="FL206" s="102" t="e">
        <f t="shared" si="299"/>
        <v>#N/A</v>
      </c>
      <c r="FM206" s="414" t="e">
        <f>IF(AND(FI206&gt;NDC!$C$63,FJ206&gt;NDC!$C$65,FK206&gt;NDC!$D$73,FL206&gt;NDC!$D$74,$B206&gt;NDC!$H$22-0.1+MIN(3*FM$12,1.5)),0,1)</f>
        <v>#N/A</v>
      </c>
    </row>
    <row r="207" spans="1:169">
      <c r="A207" s="96">
        <f t="shared" ref="A207:A270" si="365">A206-0.1</f>
        <v>80.600000000001103</v>
      </c>
      <c r="B207" s="97">
        <v>19.399999999999999</v>
      </c>
      <c r="C207" s="81">
        <f>IF(B207&lt;=Hypothèses!$C$7,Hypothèses!$A$7,IF(B207&lt;=Hypothèses!$C$8,Hypothèses!$A$8,IF(B207&lt;=Hypothèses!$C$9,Hypothèses!$A$9,IF(B207&lt;=Hypothèses!$C$10,Hypothèses!$A$10,IF(B207&lt;=Hypothèses!$C$11,Hypothèses!$A$11,IF(B207&lt;=Hypothèses!$C$12,Hypothèses!$A$12,IF(B207&lt;=Hypothèses!$C$13,Hypothèses!$A$13,IF(B207&lt;=Hypothèses!$C$14,Hypothèses!$A$14,IF(B207&lt;=Hypothèses!$C$15,Hypothèses!$A$15,IF(B207&lt;=Hypothèses!$C$16,Hypothèses!$A$16,IF(B207&lt;=Hypothèses!$C$17,Hypothèses!$A$17,IF(B207&lt;=Hypothèses!$C$18,Hypothèses!$A$18,C206))))))))))))</f>
        <v>11</v>
      </c>
      <c r="D207" s="82" t="str">
        <f>IF(B207&lt;=Hypothèses!$C$7,Hypothèses!$R$7,IF(B207&lt;=Hypothèses!$C$8,Hypothèses!$R$8,IF(B207&lt;=Hypothèses!$C$9,Hypothèses!$R$9,IF(B207&lt;=Hypothèses!$C$10,Hypothèses!$R$10,IF(B207&lt;=Hypothèses!$C$11,Hypothèses!$R$11,IF(B207&lt;=Hypothèses!$C$12,Hypothèses!$R$12,IF(B207&lt;=Hypothèses!$C$13,Hypothèses!$R$13,IF(B207&lt;=Hypothèses!$C$14,Hypothèses!$R$14,IF(B207&lt;=Hypothèses!$C$15,Hypothèses!$R$15,IF(B207&lt;=Hypothèses!$C$16,Hypothèses!$R$16,IF(B207&lt;=Hypothèses!$C$17,Hypothèses!$R$17,IF(B207&lt;=Hypothèses!$C$18,Hypothèses!$R$18,D206))))))))))))</f>
        <v>Pressio.</v>
      </c>
      <c r="E207" s="82" t="e">
        <f>IF(B207&lt;=Hypothèses!$C$7,Hypothèses!$G$7,IF(B207&lt;=Hypothèses!$C$8,Hypothèses!$G$8,IF(B207&lt;=Hypothèses!$C$9,Hypothèses!$G$9,IF(B207&lt;=Hypothèses!$C$10,Hypothèses!$G$10,IF(B207&lt;=Hypothèses!$C$11,Hypothèses!$G$11,IF(B207&lt;=Hypothèses!$C$12,Hypothèses!$G$12,IF(B207&lt;=Hypothèses!$C$13,Hypothèses!$G$13,IF(B207&lt;=Hypothèses!$C$14,Hypothèses!$G$14,IF(B207&lt;=Hypothèses!$C$15,Hypothèses!$G$15,IF(B207&lt;=Hypothèses!$C$16,Hypothèses!$G$16,IF(B207&lt;=Hypothèses!$C$17,Hypothèses!$G$17,IF(B207&lt;=Hypothèses!$C$18,Hypothèses!$G$18,E206))))))))))))</f>
        <v>#N/A</v>
      </c>
      <c r="F207" s="82" t="str">
        <f>IF(B207&lt;=Hypothèses!$C$7,Hypothèses!$F$7,IF(B207&lt;=Hypothèses!$C$8,Hypothèses!$F$8,IF(B207&lt;=Hypothèses!$C$9,Hypothèses!$F$9,IF(B207&lt;=Hypothèses!$C$10,Hypothèses!$F$10,IF(B207&lt;=Hypothèses!$C$11,Hypothèses!$F$11,IF(B207&lt;=Hypothèses!$C$12,Hypothèses!$F$12,IF(B207&lt;=Hypothèses!$C$13,Hypothèses!$F$13,IF(B207&lt;=Hypothèses!$C$14,Hypothèses!$F$14,IF(B207&lt;=Hypothèses!$C$15,Hypothèses!$F$15,IF(B207&lt;=Hypothèses!$C$16,Hypothèses!$F$16,IF(B207&lt;=Hypothèses!$C$17,Hypothèses!$F$17,IF(B207&lt;=Hypothèses!$C$18,Hypothèses!$F$18,F206))))))))))))</f>
        <v/>
      </c>
      <c r="G207" s="91">
        <f t="array" ref="G207">INDEX('Coeff EC7'!$U$7:$X$27,
MATCH(Model0.1T!$B$3,'Coeff EC7'!$T$7:$T$27,0),
MATCH(Model0.1T!$D207&amp;Model0.1T!$B$4,
'Coeff EC7'!$U$6:$X$6&amp;
'Coeff EC7'!$U$5:$X$5,0))</f>
        <v>1.4</v>
      </c>
      <c r="H207" s="91">
        <f t="array" ref="H207">INDEX('Coeff EC7'!$Y$7:$AB$27,
MATCH(Model0.1T!$B$3,'Coeff EC7'!$T$7:$T$27,0),
MATCH(Model0.1T!$D207&amp;Model0.1T!$B$4,
'Coeff EC7'!$Y$6:$AB$6&amp;
'Coeff EC7'!$Y$5:$AB$5,0))</f>
        <v>1.7</v>
      </c>
      <c r="I207" s="83">
        <v>0</v>
      </c>
      <c r="J207" s="91" t="e">
        <f t="array" ref="J207">INDEX('Coeff EC7'!$D$33:$Q$33,1,MATCH(D207&amp;E207,'Coeff EC7'!$D$31:$Q$31&amp;'Coeff EC7'!$D$32:$Q$32,0))</f>
        <v>#N/A</v>
      </c>
      <c r="K207" s="91" t="e">
        <f t="array" ref="K207">INDEX('Coeff EC7'!$D$34:$Q$34,1,MATCH(D207&amp;E207,'Coeff EC7'!$D$31:$Q$31&amp;'Coeff EC7'!$D$32:$Q$32,0))</f>
        <v>#N/A</v>
      </c>
      <c r="L207" s="91" t="e">
        <f t="array" ref="L207">INDEX('Coeff EC7'!$D$35:$Q$35,1,MATCH(D207&amp;E207,'Coeff EC7'!$D$31:$Q$31&amp;'Coeff EC7'!$D$32:$Q$32,0))</f>
        <v>#N/A</v>
      </c>
      <c r="M207" s="98" t="e">
        <f t="shared" si="331"/>
        <v>#N/A</v>
      </c>
      <c r="N207" s="99" t="e">
        <f t="array" ref="N207">INDEX('Coeff EC7'!$D$7:$Q$27,MATCH($B$3,'Coeff EC7'!$C$7:$C$27,0),MATCH(D207&amp;E207,'Coeff EC7'!$D$5:$Q$5&amp;'Coeff EC7'!$D$6:$Q$6,0))</f>
        <v>#N/A</v>
      </c>
      <c r="O207" s="99" t="e">
        <f t="array" ref="O207">INDEX('Coeff EC7'!$D$41:$Q$61,MATCH($B$3,'Coeff EC7'!$C$41:$C$61,0),MATCH(D207&amp;E207,'Coeff EC7'!$D$39:$Q$39&amp;'Coeff EC7'!$D$40:$Q$40,0))</f>
        <v>#N/A</v>
      </c>
      <c r="P207" s="30" t="e">
        <f t="shared" ref="P207:P270" si="366">N207*M207*1000</f>
        <v>#N/A</v>
      </c>
      <c r="Q207" s="100" t="e">
        <f t="shared" si="333"/>
        <v>#N/A</v>
      </c>
      <c r="R207" s="86" t="b">
        <f t="shared" si="334"/>
        <v>0</v>
      </c>
      <c r="S207" s="86">
        <f t="shared" si="332"/>
        <v>0.5</v>
      </c>
      <c r="T207" s="86">
        <f t="shared" si="335"/>
        <v>0.5</v>
      </c>
      <c r="U207" s="30" t="e">
        <f t="shared" ref="U207:U270" ca="1" si="367">AVERAGE(OFFSET($F207, -10*T207, 0,10*T207, 1), OFFSET($F207, 1, 0, 30*S207, 1))</f>
        <v>#DIV/0!</v>
      </c>
      <c r="V207" s="85" t="str">
        <f>IF(B207&lt;=Hypothèses!$V$7,Hypothèses!$W$7,IF(B207&lt;=Hypothèses!$V$8,Hypothèses!$W$8,IF(B207&lt;=Hypothèses!$V$9,Hypothèses!$W$9,IF(B207&lt;=Hypothèses!$V$10,Hypothèses!$W$10,IF(B207&lt;=Hypothèses!$V$11,Hypothèses!$W$11,IF(B207&lt;=Hypothèses!$V$12,Hypothèses!$W$12,IF(B207&lt;=Hypothèses!$V$13,Hypothèses!$W$13,IF(B207&lt;=Hypothèses!$V$14,Hypothèses!$W$14,IF(B207&lt;=Hypothèses!$V$15,Hypothèses!$W$15,IF(B207&lt;=Hypothèses!$V$16,Hypothèses!$W$16,IF(B207&lt;=Hypothèses!$V$17,Hypothèses!$W$17,IF(B207&lt;=Hypothèses!$V$18,Hypothèses!$W$18,""))))))))))))</f>
        <v/>
      </c>
      <c r="W207" s="87" t="e">
        <f t="shared" ca="1" si="316"/>
        <v>#DIV/0!</v>
      </c>
      <c r="X207" s="88" t="str">
        <f>IF(B207&lt;=Hypothèses!$V$7,Hypothèses!$X$7,IF(B207&lt;=Hypothèses!$V$8,Hypothèses!$X$8,IF(B207&lt;=Hypothèses!$V$9,Hypothèses!$X$9,IF(B207&lt;=Hypothèses!$V$10,Hypothèses!$X$10,IF(B207&lt;=Hypothèses!$V$11,Hypothèses!$X$11,IF(B207&lt;=Hypothèses!$V$12,Hypothèses!$X$12,IF(B207&lt;=Hypothèses!$V$13,Hypothèses!$X$13,IF(B207&lt;=Hypothèses!$V$14,Hypothèses!$X$14,IF(B207&lt;=Hypothèses!$V$15,Hypothèses!$X$15,IF(B207&lt;=Hypothèses!$V$16,Hypothèses!$X$16,IF(B207&lt;=Hypothèses!$U$17,Hypothèses!$W$17,IF(B207&lt;=Hypothèses!$U$18,Hypothèses!$W$18,""))))))))))))</f>
        <v/>
      </c>
      <c r="Y207" s="95" t="e">
        <f t="shared" ca="1" si="336"/>
        <v>#DIV/0!</v>
      </c>
      <c r="Z207" s="101">
        <f t="shared" si="337"/>
        <v>0</v>
      </c>
      <c r="AA207" s="91">
        <f t="shared" si="338"/>
        <v>0</v>
      </c>
      <c r="AB207" s="30" t="e">
        <f t="shared" si="300"/>
        <v>#N/A</v>
      </c>
      <c r="AC207" s="30" t="e">
        <f t="shared" si="301"/>
        <v>#N/A</v>
      </c>
      <c r="AD207" s="31" t="e">
        <f>IF(OR(Hypothèses!$B$4=17,Hypothèses!$B$4=18,Hypothèses!$B$4=19,Hypothèses!$B$4=20),
IF($D207="Pressio.",
IF(OR($E207=3,$E207=1,$E207=4),AC207,AB207),
IF($D207="Pénétro.",
IF(OR($E207=3,$E207=1,$E207=4),AC207,AB207))),IF($D207="Pressio.",
IF($E207=3,AC207,AB207),
IF($D207="Pénétro.",
IF($E207=4,AC207,AB207))))</f>
        <v>#N/A</v>
      </c>
      <c r="AE207" s="31">
        <v>0</v>
      </c>
      <c r="AF207" s="102" t="e">
        <f>IF(NDC!$H$10="Oui",(VLOOKUP($B$3,'Coeff EC7'!$T$39:$X$59,2,0)*AD207+VLOOKUP($B$3,'Coeff EC7'!$T$65:$X$85,2,0)*Model0.1T!AE207)/1.5,PI()*AB$12*$Q207*($B207-$B206)*0.15/10+AF206)</f>
        <v>#N/A</v>
      </c>
      <c r="AG207" s="102" t="e">
        <f>(VLOOKUP($B$3,'Coeff EC7'!$T$39:$X$59,3,0)*AD207+VLOOKUP($B$3,'Coeff EC7'!$T$65:$X$85,3,0)*Model0.1T!AE207)/1.1</f>
        <v>#N/A</v>
      </c>
      <c r="AH207" s="102" t="e">
        <f t="shared" ref="AH207:AH270" si="368">AD207/1.15+AE207/1.15</f>
        <v>#N/A</v>
      </c>
      <c r="AI207" s="102" t="e">
        <f t="shared" ref="AI207:AI270" si="369">(AD207+AE207)/1.05</f>
        <v>#N/A</v>
      </c>
      <c r="AJ207" s="414" t="e">
        <f>IF(AND(AF207&gt;NDC!$C$63,AG207&gt;NDC!$C$65,AH207&gt;NDC!$D$73,AI207&gt;NDC!$D$74,$B207&gt;NDC!$H$22-0.1+MIN(3*$AJ$12,1.5)),0,1)</f>
        <v>#N/A</v>
      </c>
      <c r="AK207" s="86" t="b">
        <f t="shared" si="339"/>
        <v>0</v>
      </c>
      <c r="AL207" s="86">
        <f t="shared" ref="AL207:AL270" si="370">MAX($AY$12/2,0.5)</f>
        <v>0.5</v>
      </c>
      <c r="AM207" s="86">
        <f t="shared" si="340"/>
        <v>0.5</v>
      </c>
      <c r="AN207" s="30" t="e">
        <f t="shared" ref="AN207:AN270" ca="1" si="371">AVERAGE(OFFSET($F207, -10*AM207, 0,10*AM207, 1), OFFSET($F207, 1, 0, 30*AL207, 1))</f>
        <v>#DIV/0!</v>
      </c>
      <c r="AO207" s="85" t="e">
        <f ca="1">IF(U207&lt;=Hypothèses!$V$7,Hypothèses!$W$7,IF(U207&lt;=Hypothèses!$V$8,Hypothèses!$W$8,IF(U207&lt;=Hypothèses!$V$9,Hypothèses!$W$9,IF(U207&lt;=Hypothèses!$V$10,Hypothèses!$W$10,IF(U207&lt;=Hypothèses!$V$11,Hypothèses!$W$11,IF(U207&lt;=Hypothèses!$V$12,Hypothèses!$W$12,IF(U207&lt;=Hypothèses!$V$13,Hypothèses!$W$13,IF(U207&lt;=Hypothèses!$V$14,Hypothèses!$W$14,IF(U207&lt;=Hypothèses!$V$15,Hypothèses!$W$15,IF(U207&lt;=Hypothèses!$V$16,Hypothèses!$W$16,IF(U207&lt;=Hypothèses!$V$17,Hypothèses!$W$17,IF(U207&lt;=Hypothèses!$V$18,Hypothèses!$W$18,""))))))))))))</f>
        <v>#DIV/0!</v>
      </c>
      <c r="AP207" s="87" t="e">
        <f t="shared" ca="1" si="317"/>
        <v>#DIV/0!</v>
      </c>
      <c r="AQ207" s="88" t="e">
        <f ca="1">IF(U207&lt;=Hypothèses!$V$7,Hypothèses!$X$7,IF(U207&lt;=Hypothèses!$V$8,Hypothèses!$X$8,IF(U207&lt;=Hypothèses!$V$9,Hypothèses!$X$9,IF(U207&lt;=Hypothèses!$V$10,Hypothèses!$X$10,IF(U207&lt;=Hypothèses!$V$11,Hypothèses!$X$11,IF(U207&lt;=Hypothèses!$V$12,Hypothèses!$X$12,IF(U207&lt;=Hypothèses!$V$13,Hypothèses!$X$13,IF(U207&lt;=Hypothèses!$V$14,Hypothèses!$X$14,IF(U207&lt;=Hypothèses!$V$15,Hypothèses!$X$15,IF(U207&lt;=Hypothèses!$V$16,Hypothèses!$X$16,IF(U207&lt;=Hypothèses!$U$17,Hypothèses!$W$17,IF(U207&lt;=Hypothèses!$U$18,Hypothèses!$W$18,""))))))))))))</f>
        <v>#DIV/0!</v>
      </c>
      <c r="AR207" s="95" t="e">
        <f t="shared" ref="AR207:AR270" ca="1" si="372">IF($B207&lt;10*$BB$12,0.1/AP207*SUM(OFFSET(F207,-10*$B207+1,0,10*$B207,1)),0.1/AP207*SUM(OFFSET(F207,-100*$BB$12+1,0,100*$BB$12,1)))</f>
        <v>#DIV/0!</v>
      </c>
      <c r="AS207" s="101">
        <f t="shared" si="324"/>
        <v>0</v>
      </c>
      <c r="AT207" s="91">
        <f t="shared" si="341"/>
        <v>0</v>
      </c>
      <c r="AU207" s="30" t="e">
        <f t="shared" si="302"/>
        <v>#N/A</v>
      </c>
      <c r="AV207" s="30" t="e">
        <f t="shared" si="303"/>
        <v>#N/A</v>
      </c>
      <c r="AW207" s="31" t="e">
        <f>IF(OR(Hypothèses!$B$4=17,Hypothèses!$B$4=18,Hypothèses!$B$4=19,Hypothèses!$B$4=20),
IF($D207="Pressio.",
IF(OR($E207=3,$E207=1,$E207=4),AV207,AU207),
IF($D207="Pénétro.",
IF(OR($E207=3,$E207=1,$E207=4),AV207,AU207))),IF($D207="Pressio.",
IF($E207=3,AV207,AU207),
IF($D207="Pénétro.",
IF($E207=4,AV207,AU207))))</f>
        <v>#N/A</v>
      </c>
      <c r="AX207" s="31">
        <v>0</v>
      </c>
      <c r="AY207" s="102" t="e">
        <f>IF(NDC!$H$10="Oui",(VLOOKUP($B$3,'Coeff EC7'!$T$39:$X$59,2,0)*AW207+VLOOKUP($B$3,'Coeff EC7'!$T$65:$X$85,2,0)*Model0.1T!AX207)/1.5,PI()*AU$12*$Q207*($B207-$B206)*0.15/10+AY206)</f>
        <v>#N/A</v>
      </c>
      <c r="AZ207" s="102" t="e">
        <f>(VLOOKUP($B$3,'Coeff EC7'!$T$39:$X$59,3,0)*AW207+VLOOKUP($B$3,'Coeff EC7'!$T$65:$X$85,3,0)*Model0.1T!AX207)/1.1</f>
        <v>#N/A</v>
      </c>
      <c r="BA207" s="102" t="e">
        <f t="shared" ref="BA207:BA270" si="373">AW207/1.15+AX207/1.15</f>
        <v>#N/A</v>
      </c>
      <c r="BB207" s="102" t="e">
        <f t="shared" ref="BB207:BB270" si="374">(AW207+AX207)/1.05</f>
        <v>#N/A</v>
      </c>
      <c r="BC207" s="414" t="e">
        <f>IF(AND(AY207&gt;NDC!$C$63,AZ207&gt;NDC!$C$65,BA207&gt;NDC!$D$73,BB207&gt;NDC!$D$74,$B207&gt;NDC!$H$22-0.1+MIN(3*BC$12,1.5)),0,1)</f>
        <v>#N/A</v>
      </c>
      <c r="BD207" s="86" t="b">
        <f t="shared" si="342"/>
        <v>0</v>
      </c>
      <c r="BE207" s="86">
        <f t="shared" ref="BE207:BE270" si="375">MAX($BR$12/2,0.5)</f>
        <v>0.5</v>
      </c>
      <c r="BF207" s="86">
        <f t="shared" si="343"/>
        <v>0.5</v>
      </c>
      <c r="BG207" s="30" t="e">
        <f t="shared" ref="BG207:BG270" ca="1" si="376">AVERAGE(OFFSET($F207, -10*BF207, 0,10*BF207, 1), OFFSET($F207, 1, 0, 30*BE207, 1))</f>
        <v>#DIV/0!</v>
      </c>
      <c r="BH207" s="85" t="e">
        <f ca="1">IF(AN207&lt;=Hypothèses!$V$7,Hypothèses!$W$7,IF(AN207&lt;=Hypothèses!$V$8,Hypothèses!$W$8,IF(AN207&lt;=Hypothèses!$V$9,Hypothèses!$W$9,IF(AN207&lt;=Hypothèses!$V$10,Hypothèses!$W$10,IF(AN207&lt;=Hypothèses!$V$11,Hypothèses!$W$11,IF(AN207&lt;=Hypothèses!$V$12,Hypothèses!$W$12,IF(AN207&lt;=Hypothèses!$V$13,Hypothèses!$W$13,IF(AN207&lt;=Hypothèses!$V$14,Hypothèses!$W$14,IF(AN207&lt;=Hypothèses!$V$15,Hypothèses!$W$15,IF(AN207&lt;=Hypothèses!$V$16,Hypothèses!$W$16,IF(AN207&lt;=Hypothèses!$V$17,Hypothèses!$W$17,IF(AN207&lt;=Hypothèses!$V$18,Hypothèses!$W$18,""))))))))))))</f>
        <v>#DIV/0!</v>
      </c>
      <c r="BI207" s="87" t="e">
        <f t="shared" ca="1" si="318"/>
        <v>#DIV/0!</v>
      </c>
      <c r="BJ207" s="88" t="e">
        <f ca="1">IF(AN207&lt;=Hypothèses!$V$7,Hypothèses!$X$7,IF(AN207&lt;=Hypothèses!$V$8,Hypothèses!$X$8,IF(AN207&lt;=Hypothèses!$V$9,Hypothèses!$X$9,IF(AN207&lt;=Hypothèses!$V$10,Hypothèses!$X$10,IF(AN207&lt;=Hypothèses!$V$11,Hypothèses!$X$11,IF(AN207&lt;=Hypothèses!$V$12,Hypothèses!$X$12,IF(AN207&lt;=Hypothèses!$V$13,Hypothèses!$X$13,IF(AN207&lt;=Hypothèses!$V$14,Hypothèses!$X$14,IF(AN207&lt;=Hypothèses!$V$15,Hypothèses!$X$15,IF(AN207&lt;=Hypothèses!$V$16,Hypothèses!$X$16,IF(AN207&lt;=Hypothèses!$U$17,Hypothèses!$W$17,IF(AN207&lt;=Hypothèses!$U$18,Hypothèses!$W$18,""))))))))))))</f>
        <v>#DIV/0!</v>
      </c>
      <c r="BK207" s="95" t="e">
        <f t="shared" ref="BK207:BK270" ca="1" si="377">IF($B207&lt;10*$BU$12,0.1/BI207*SUM(OFFSET(F207,-10*$B207+1,0,10*$B207,1)),0.1/BI207*SUM(OFFSET(F207,-100*$BU$12+1,0,100*$BU$12,1)))</f>
        <v>#DIV/0!</v>
      </c>
      <c r="BL207" s="101">
        <f t="shared" si="325"/>
        <v>0</v>
      </c>
      <c r="BM207" s="91">
        <f t="shared" si="344"/>
        <v>0</v>
      </c>
      <c r="BN207" s="30" t="e">
        <f t="shared" si="304"/>
        <v>#N/A</v>
      </c>
      <c r="BO207" s="30" t="e">
        <f t="shared" si="305"/>
        <v>#N/A</v>
      </c>
      <c r="BP207" s="31" t="e">
        <f>IF(OR(Hypothèses!$B$4=17,Hypothèses!$B$4=18,Hypothèses!$B$4=19,Hypothèses!$B$4=20),
IF($D207="Pressio.",
IF(OR($E207=3,$E207=1,$E207=4),BO207,BN207),
IF($D207="Pénétro.",
IF(OR($E207=3,$E207=1,$E207=4),BO207,BN207))),IF($D207="Pressio.",
IF($E207=3,BO207,BN207),
IF($D207="Pénétro.",
IF($E207=4,BO207,BN207))))</f>
        <v>#N/A</v>
      </c>
      <c r="BQ207" s="31">
        <v>0</v>
      </c>
      <c r="BR207" s="102" t="e">
        <f>IF(NDC!$H$10="Oui",(VLOOKUP($B$3,'Coeff EC7'!$T$39:$X$59,2,0)*BP207+VLOOKUP($B$3,'Coeff EC7'!$T$65:$X$85,2,0)*Model0.1T!BQ207)/1.5,PI()*BN$12*$Q207*($B207-$B206)*0.15/10+BR206)</f>
        <v>#N/A</v>
      </c>
      <c r="BS207" s="102" t="e">
        <f>(VLOOKUP($B$3,'Coeff EC7'!$T$39:$X$59,3,0)*BP207+VLOOKUP($B$3,'Coeff EC7'!$T$65:$X$85,3,0)*Model0.1T!BQ207)/1.1</f>
        <v>#N/A</v>
      </c>
      <c r="BT207" s="102" t="e">
        <f t="shared" ref="BT207:BT270" si="378">BP207/1.15+BQ207/1.15</f>
        <v>#N/A</v>
      </c>
      <c r="BU207" s="102" t="e">
        <f t="shared" ref="BU207:BU270" si="379">(BP207+BQ207)/1.05</f>
        <v>#N/A</v>
      </c>
      <c r="BV207" s="414" t="e">
        <f>IF(AND(BR207&gt;NDC!$C$63,BS207&gt;NDC!$C$65,BT207&gt;NDC!$D$73,BU207&gt;NDC!$D$74,$B207&gt;NDC!$H$22-0.1+MIN(3*BV$12,1.5)),0,1)</f>
        <v>#N/A</v>
      </c>
      <c r="BW207" s="86" t="b">
        <f t="shared" si="345"/>
        <v>0</v>
      </c>
      <c r="BX207" s="86">
        <f t="shared" si="346"/>
        <v>0.5</v>
      </c>
      <c r="BY207" s="86">
        <f t="shared" si="347"/>
        <v>0.5</v>
      </c>
      <c r="BZ207" s="30" t="e">
        <f t="shared" ref="BZ207:BZ270" ca="1" si="380">AVERAGE(OFFSET($F207, -10*BY207, 0,10*BY207, 1), OFFSET($F207, 1, 0, 30*BX207, 1))</f>
        <v>#DIV/0!</v>
      </c>
      <c r="CA207" s="85" t="e">
        <f ca="1">IF(BG207&lt;=Hypothèses!$V$7,Hypothèses!$W$7,IF(BG207&lt;=Hypothèses!$V$8,Hypothèses!$W$8,IF(BG207&lt;=Hypothèses!$V$9,Hypothèses!$W$9,IF(BG207&lt;=Hypothèses!$V$10,Hypothèses!$W$10,IF(BG207&lt;=Hypothèses!$V$11,Hypothèses!$W$11,IF(BG207&lt;=Hypothèses!$V$12,Hypothèses!$W$12,IF(BG207&lt;=Hypothèses!$V$13,Hypothèses!$W$13,IF(BG207&lt;=Hypothèses!$V$14,Hypothèses!$W$14,IF(BG207&lt;=Hypothèses!$V$15,Hypothèses!$W$15,IF(BG207&lt;=Hypothèses!$V$16,Hypothèses!$W$16,IF(BG207&lt;=Hypothèses!$V$17,Hypothèses!$W$17,IF(BG207&lt;=Hypothèses!$V$18,Hypothèses!$W$18,""))))))))))))</f>
        <v>#DIV/0!</v>
      </c>
      <c r="CB207" s="87" t="e">
        <f t="shared" ca="1" si="319"/>
        <v>#DIV/0!</v>
      </c>
      <c r="CC207" s="88" t="e">
        <f ca="1">IF(BG207&lt;=Hypothèses!$V$7,Hypothèses!$X$7,IF(BG207&lt;=Hypothèses!$V$8,Hypothèses!$X$8,IF(BG207&lt;=Hypothèses!$V$9,Hypothèses!$X$9,IF(BG207&lt;=Hypothèses!$V$10,Hypothèses!$X$10,IF(BG207&lt;=Hypothèses!$V$11,Hypothèses!$X$11,IF(BG207&lt;=Hypothèses!$V$12,Hypothèses!$X$12,IF(BG207&lt;=Hypothèses!$V$13,Hypothèses!$X$13,IF(BG207&lt;=Hypothèses!$V$14,Hypothèses!$X$14,IF(BG207&lt;=Hypothèses!$V$15,Hypothèses!$X$15,IF(BG207&lt;=Hypothèses!$V$16,Hypothèses!$X$16,IF(BG207&lt;=Hypothèses!$U$17,Hypothèses!$W$17,IF(BG207&lt;=Hypothèses!$U$18,Hypothèses!$W$18,""))))))))))))</f>
        <v>#DIV/0!</v>
      </c>
      <c r="CD207" s="95" t="e">
        <f t="shared" ref="CD207:CD270" ca="1" si="381">IF($B207&lt;10*$CN$12,0.1/CB207*SUM(OFFSET(F207,-10*$B207+1,0,10*$B207,1)),0.1/CB207*SUM(OFFSET(F207,-100*$CN$12+1,0,100*$CN$12,1)))</f>
        <v>#DIV/0!</v>
      </c>
      <c r="CE207" s="101">
        <f t="shared" si="326"/>
        <v>0</v>
      </c>
      <c r="CF207" s="91">
        <f t="shared" si="348"/>
        <v>0</v>
      </c>
      <c r="CG207" s="30" t="e">
        <f t="shared" si="306"/>
        <v>#N/A</v>
      </c>
      <c r="CH207" s="30" t="e">
        <f t="shared" si="307"/>
        <v>#N/A</v>
      </c>
      <c r="CI207" s="31" t="e">
        <f>IF(OR(Hypothèses!$B$4=17,Hypothèses!$B$4=18,Hypothèses!$B$4=19,Hypothèses!$B$4=20),
IF($D207="Pressio.",
IF(OR($E207=3,$E207=1,$E207=4),CH207,CG207),
IF($D207="Pénétro.",
IF(OR($E207=3,$E207=1,$E207=4),CH207,CG207))),IF($D207="Pressio.",
IF($E207=3,CH207,CG207),
IF($D207="Pénétro.",
IF($E207=4,CH207,CG207))))</f>
        <v>#N/A</v>
      </c>
      <c r="CJ207" s="31">
        <v>0</v>
      </c>
      <c r="CK207" s="102" t="e">
        <f>IF(NDC!$H$10="Oui",(VLOOKUP($B$3,'Coeff EC7'!$T$39:$X$59,2,0)*CI207+VLOOKUP($B$3,'Coeff EC7'!$T$65:$X$85,2,0)*Model0.1T!CJ207)/1.5,PI()*CG$12*$Q207*($B207-$B206)*0.15/10+CK206)</f>
        <v>#N/A</v>
      </c>
      <c r="CL207" s="102" t="e">
        <f>(VLOOKUP($B$3,'Coeff EC7'!$T$39:$X$59,3,0)*CI207+VLOOKUP($B$3,'Coeff EC7'!$T$65:$X$85,3,0)*Model0.1T!CJ207)/1.1</f>
        <v>#N/A</v>
      </c>
      <c r="CM207" s="102" t="e">
        <f t="shared" ref="CM207:CM270" si="382">CI207/1.15+CJ207/1.15</f>
        <v>#N/A</v>
      </c>
      <c r="CN207" s="102" t="e">
        <f t="shared" ref="CN207:CN270" si="383">(CI207+CJ207)/1.05</f>
        <v>#N/A</v>
      </c>
      <c r="CO207" s="414" t="e">
        <f>IF(AND(CK207&gt;NDC!$C$63,CL207&gt;NDC!$C$65,CM207&gt;NDC!$D$73,CN207&gt;NDC!$D$74,$B207&gt;NDC!$H$22-0.1+MIN(3*CO$12,1.5)),0,1)</f>
        <v>#N/A</v>
      </c>
      <c r="CP207" s="86" t="b">
        <f t="shared" si="349"/>
        <v>0</v>
      </c>
      <c r="CQ207" s="86">
        <f t="shared" si="350"/>
        <v>0.5</v>
      </c>
      <c r="CR207" s="86">
        <f t="shared" si="351"/>
        <v>0.5</v>
      </c>
      <c r="CS207" s="30" t="e">
        <f t="shared" ref="CS207:CS270" ca="1" si="384">AVERAGE(OFFSET($F207, -10*CR207, 0,10*CR207, 1), OFFSET($F207, 1, 0, 30*CQ207, 1))</f>
        <v>#DIV/0!</v>
      </c>
      <c r="CT207" s="85" t="e">
        <f ca="1">IF(BZ207&lt;=Hypothèses!$V$7,Hypothèses!$W$7,IF(BZ207&lt;=Hypothèses!$V$8,Hypothèses!$W$8,IF(BZ207&lt;=Hypothèses!$V$9,Hypothèses!$W$9,IF(BZ207&lt;=Hypothèses!$V$10,Hypothèses!$W$10,IF(BZ207&lt;=Hypothèses!$V$11,Hypothèses!$W$11,IF(BZ207&lt;=Hypothèses!$V$12,Hypothèses!$W$12,IF(BZ207&lt;=Hypothèses!$V$13,Hypothèses!$W$13,IF(BZ207&lt;=Hypothèses!$V$14,Hypothèses!$W$14,IF(BZ207&lt;=Hypothèses!$V$15,Hypothèses!$W$15,IF(BZ207&lt;=Hypothèses!$V$16,Hypothèses!$W$16,IF(BZ207&lt;=Hypothèses!$V$17,Hypothèses!$W$17,IF(BZ207&lt;=Hypothèses!$V$18,Hypothèses!$W$18,""))))))))))))</f>
        <v>#DIV/0!</v>
      </c>
      <c r="CU207" s="87" t="e">
        <f t="shared" ca="1" si="320"/>
        <v>#DIV/0!</v>
      </c>
      <c r="CV207" s="88" t="e">
        <f ca="1">IF(BZ207&lt;=Hypothèses!$V$7,Hypothèses!$X$7,IF(BZ207&lt;=Hypothèses!$V$8,Hypothèses!$X$8,IF(BZ207&lt;=Hypothèses!$V$9,Hypothèses!$X$9,IF(BZ207&lt;=Hypothèses!$V$10,Hypothèses!$X$10,IF(BZ207&lt;=Hypothèses!$V$11,Hypothèses!$X$11,IF(BZ207&lt;=Hypothèses!$V$12,Hypothèses!$X$12,IF(BZ207&lt;=Hypothèses!$V$13,Hypothèses!$X$13,IF(BZ207&lt;=Hypothèses!$V$14,Hypothèses!$X$14,IF(BZ207&lt;=Hypothèses!$V$15,Hypothèses!$X$15,IF(BZ207&lt;=Hypothèses!$V$16,Hypothèses!$X$16,IF(BZ207&lt;=Hypothèses!$U$17,Hypothèses!$W$17,IF(BZ207&lt;=Hypothèses!$U$18,Hypothèses!$W$18,""))))))))))))</f>
        <v>#DIV/0!</v>
      </c>
      <c r="CW207" s="95" t="e">
        <f t="shared" ref="CW207:CW270" ca="1" si="385">IF($B207&lt;10*$DG$12,0.1/CU207*SUM(OFFSET(F207,-10*$B207+1,0,10*$B207,1)),0.1/CU207*SUM(OFFSET(F207,-100*$DG$12+1,0,100*$DG$12,1)))</f>
        <v>#DIV/0!</v>
      </c>
      <c r="CX207" s="101">
        <f t="shared" si="327"/>
        <v>0</v>
      </c>
      <c r="CY207" s="91">
        <f t="shared" si="352"/>
        <v>0</v>
      </c>
      <c r="CZ207" s="30" t="e">
        <f t="shared" si="308"/>
        <v>#N/A</v>
      </c>
      <c r="DA207" s="30" t="e">
        <f t="shared" si="309"/>
        <v>#N/A</v>
      </c>
      <c r="DB207" s="31" t="e">
        <f>IF(OR(Hypothèses!$B$4=17,Hypothèses!$B$4=18,Hypothèses!$B$4=19,Hypothèses!$B$4=20),
IF($D207="Pressio.",
IF(OR($E207=3,$E207=1,$E207=4),DA207,CZ207),
IF($D207="Pénétro.",
IF(OR($E207=3,$E207=1,$E207=4),DA207,CZ207))),IF($D207="Pressio.",
IF($E207=3,DA207,CZ207),
IF($D207="Pénétro.",
IF($E207=4,DA207,CZ207))))</f>
        <v>#N/A</v>
      </c>
      <c r="DC207" s="31">
        <v>0</v>
      </c>
      <c r="DD207" s="102" t="e">
        <f>IF(NDC!$H$10="Oui",(VLOOKUP($B$3,'Coeff EC7'!$T$39:$X$59,2,0)*DB207+VLOOKUP($B$3,'Coeff EC7'!$T$65:$X$85,2,0)*Model0.1T!DC207)/1.5,PI()*CZ$12*$Q207*($B207-$B206)*0.15/10+DD206)</f>
        <v>#N/A</v>
      </c>
      <c r="DE207" s="102" t="e">
        <f>(VLOOKUP($B$3,'Coeff EC7'!$T$39:$X$59,3,0)*DB207+VLOOKUP($B$3,'Coeff EC7'!$T$65:$X$85,3,0)*Model0.1T!DC207)/1.1</f>
        <v>#N/A</v>
      </c>
      <c r="DF207" s="102" t="e">
        <f t="shared" ref="DF207:DF270" si="386">DB207/1.15+DC207/1.15</f>
        <v>#N/A</v>
      </c>
      <c r="DG207" s="102" t="e">
        <f t="shared" ref="DG207:DG270" si="387">(DB207+DC207)/1.05</f>
        <v>#N/A</v>
      </c>
      <c r="DH207" s="414" t="e">
        <f>IF(AND(DD207&gt;NDC!$C$63,DE207&gt;NDC!$C$65,DF207&gt;NDC!$D$73,DG207&gt;NDC!$D$74,$B207&gt;NDC!$H$22-0.1+MIN(3*DH$12,1.5)),0,1)</f>
        <v>#N/A</v>
      </c>
      <c r="DI207" s="86" t="b">
        <f t="shared" si="353"/>
        <v>0</v>
      </c>
      <c r="DJ207" s="86">
        <f t="shared" si="354"/>
        <v>0.5</v>
      </c>
      <c r="DK207" s="86">
        <f t="shared" si="355"/>
        <v>0.5</v>
      </c>
      <c r="DL207" s="30" t="e">
        <f t="shared" ref="DL207:DL270" ca="1" si="388">AVERAGE(OFFSET($F207, -10*DK207, 0,10*DK207, 1), OFFSET($F207, 1, 0, 30*DJ207, 1))</f>
        <v>#DIV/0!</v>
      </c>
      <c r="DM207" s="85" t="e">
        <f ca="1">IF(CS207&lt;=Hypothèses!$V$7,Hypothèses!$W$7,IF(CS207&lt;=Hypothèses!$V$8,Hypothèses!$W$8,IF(CS207&lt;=Hypothèses!$V$9,Hypothèses!$W$9,IF(CS207&lt;=Hypothèses!$V$10,Hypothèses!$W$10,IF(CS207&lt;=Hypothèses!$V$11,Hypothèses!$W$11,IF(CS207&lt;=Hypothèses!$V$12,Hypothèses!$W$12,IF(CS207&lt;=Hypothèses!$V$13,Hypothèses!$W$13,IF(CS207&lt;=Hypothèses!$V$14,Hypothèses!$W$14,IF(CS207&lt;=Hypothèses!$V$15,Hypothèses!$W$15,IF(CS207&lt;=Hypothèses!$V$16,Hypothèses!$W$16,IF(CS207&lt;=Hypothèses!$V$17,Hypothèses!$W$17,IF(CS207&lt;=Hypothèses!$V$18,Hypothèses!$W$18,""))))))))))))</f>
        <v>#DIV/0!</v>
      </c>
      <c r="DN207" s="87" t="e">
        <f t="shared" ca="1" si="321"/>
        <v>#DIV/0!</v>
      </c>
      <c r="DO207" s="88" t="e">
        <f ca="1">IF(CS207&lt;=Hypothèses!$V$7,Hypothèses!$X$7,IF(CS207&lt;=Hypothèses!$V$8,Hypothèses!$X$8,IF(CS207&lt;=Hypothèses!$V$9,Hypothèses!$X$9,IF(CS207&lt;=Hypothèses!$V$10,Hypothèses!$X$10,IF(CS207&lt;=Hypothèses!$V$11,Hypothèses!$X$11,IF(CS207&lt;=Hypothèses!$V$12,Hypothèses!$X$12,IF(CS207&lt;=Hypothèses!$V$13,Hypothèses!$X$13,IF(CS207&lt;=Hypothèses!$V$14,Hypothèses!$X$14,IF(CS207&lt;=Hypothèses!$V$15,Hypothèses!$X$15,IF(CS207&lt;=Hypothèses!$V$16,Hypothèses!$X$16,IF(CS207&lt;=Hypothèses!$U$17,Hypothèses!$W$17,IF(CS207&lt;=Hypothèses!$U$18,Hypothèses!$W$18,""))))))))))))</f>
        <v>#DIV/0!</v>
      </c>
      <c r="DP207" s="95" t="e">
        <f t="shared" ref="DP207:DP270" ca="1" si="389">IF($B207&lt;10*$DZ$12,0.1/DN207*SUM(OFFSET(F207,-10*$B207+1,0,10*$B207,1)),0.1/DN207*SUM(OFFSET(F207,-100*$DZ$12+1,0,100*$DZ$12,1)))</f>
        <v>#DIV/0!</v>
      </c>
      <c r="DQ207" s="101">
        <f t="shared" si="328"/>
        <v>0</v>
      </c>
      <c r="DR207" s="91">
        <f t="shared" si="356"/>
        <v>0</v>
      </c>
      <c r="DS207" s="30" t="e">
        <f t="shared" si="310"/>
        <v>#N/A</v>
      </c>
      <c r="DT207" s="30" t="e">
        <f t="shared" si="311"/>
        <v>#N/A</v>
      </c>
      <c r="DU207" s="31" t="e">
        <f>IF(OR(Hypothèses!$B$4=17,Hypothèses!$B$4=18,Hypothèses!$B$4=19,Hypothèses!$B$4=20),
IF($D207="Pressio.",
IF(OR($E207=3,$E207=1,$E207=4),DT207,DS207),
IF($D207="Pénétro.",
IF(OR($E207=3,$E207=1,$E207=4),DT207,DS207))),IF($D207="Pressio.",
IF($E207=3,DT207,DS207),
IF($D207="Pénétro.",
IF($E207=4,DT207,DS207))))</f>
        <v>#N/A</v>
      </c>
      <c r="DV207" s="31">
        <v>0</v>
      </c>
      <c r="DW207" s="102" t="e">
        <f>IF(NDC!$H$10="Oui",(VLOOKUP($B$3,'Coeff EC7'!$T$39:$X$59,2,0)*DU207+VLOOKUP($B$3,'Coeff EC7'!$T$65:$X$85,2,0)*Model0.1T!DV207)/1.5,PI()*DS$12*$Q207*($B207-$B206)*0.15/10+DW206)</f>
        <v>#N/A</v>
      </c>
      <c r="DX207" s="102" t="e">
        <f>(VLOOKUP($B$3,'Coeff EC7'!$T$39:$X$59,3,0)*DU207+VLOOKUP($B$3,'Coeff EC7'!$T$65:$X$85,3,0)*Model0.1T!DV207)/1.1</f>
        <v>#N/A</v>
      </c>
      <c r="DY207" s="102" t="e">
        <f t="shared" ref="DY207:DY270" si="390">DU207/1.15+DV207/1.15</f>
        <v>#N/A</v>
      </c>
      <c r="DZ207" s="102" t="e">
        <f t="shared" ref="DZ207:DZ270" si="391">(DU207+DV207)/1.05</f>
        <v>#N/A</v>
      </c>
      <c r="EA207" s="414" t="e">
        <f>IF(AND(DW207&gt;NDC!$C$63,DX207&gt;NDC!$C$65,DY207&gt;NDC!$D$73,DZ207&gt;NDC!$D$74,$B207&gt;NDC!$H$22-0.1+MIN(3*EA$12,1.5)),0,1)</f>
        <v>#N/A</v>
      </c>
      <c r="EB207" s="86" t="b">
        <f t="shared" si="357"/>
        <v>0</v>
      </c>
      <c r="EC207" s="418">
        <f t="shared" si="358"/>
        <v>0.51</v>
      </c>
      <c r="ED207" s="86">
        <f t="shared" si="359"/>
        <v>0.51</v>
      </c>
      <c r="EE207" s="30" t="e">
        <f t="shared" ref="EE207:EE270" ca="1" si="392">AVERAGE(OFFSET($F207, -10*ED207, 0,10*ED207, 1), OFFSET($F207, 1, 0, 30*EC207, 1))</f>
        <v>#DIV/0!</v>
      </c>
      <c r="EF207" s="85" t="e">
        <f ca="1">IF(DL207&lt;=Hypothèses!$V$7,Hypothèses!$W$7,IF(DL207&lt;=Hypothèses!$V$8,Hypothèses!$W$8,IF(DL207&lt;=Hypothèses!$V$9,Hypothèses!$W$9,IF(DL207&lt;=Hypothèses!$V$10,Hypothèses!$W$10,IF(DL207&lt;=Hypothèses!$V$11,Hypothèses!$W$11,IF(DL207&lt;=Hypothèses!$V$12,Hypothèses!$W$12,IF(DL207&lt;=Hypothèses!$V$13,Hypothèses!$W$13,IF(DL207&lt;=Hypothèses!$V$14,Hypothèses!$W$14,IF(DL207&lt;=Hypothèses!$V$15,Hypothèses!$W$15,IF(DL207&lt;=Hypothèses!$V$16,Hypothèses!$W$16,IF(DL207&lt;=Hypothèses!$V$17,Hypothèses!$W$17,IF(DL207&lt;=Hypothèses!$V$18,Hypothèses!$W$18,""))))))))))))</f>
        <v>#DIV/0!</v>
      </c>
      <c r="EG207" s="87" t="e">
        <f t="shared" ca="1" si="322"/>
        <v>#DIV/0!</v>
      </c>
      <c r="EH207" s="88" t="e">
        <f ca="1">IF(DL207&lt;=Hypothèses!$V$7,Hypothèses!$X$7,IF(DL207&lt;=Hypothèses!$V$8,Hypothèses!$X$8,IF(DL207&lt;=Hypothèses!$V$9,Hypothèses!$X$9,IF(DL207&lt;=Hypothèses!$V$10,Hypothèses!$X$10,IF(DL207&lt;=Hypothèses!$V$11,Hypothèses!$X$11,IF(DL207&lt;=Hypothèses!$V$12,Hypothèses!$X$12,IF(DL207&lt;=Hypothèses!$V$13,Hypothèses!$X$13,IF(DL207&lt;=Hypothèses!$V$14,Hypothèses!$X$14,IF(DL207&lt;=Hypothèses!$V$15,Hypothèses!$X$15,IF(DL207&lt;=Hypothèses!$V$16,Hypothèses!$X$16,IF(DL207&lt;=Hypothèses!$U$17,Hypothèses!$W$17,IF(DL207&lt;=Hypothèses!$U$18,Hypothèses!$W$18,""))))))))))))</f>
        <v>#DIV/0!</v>
      </c>
      <c r="EI207" s="95" t="e">
        <f t="shared" ref="EI207:EI270" ca="1" si="393">IF($B207&lt;10*$ES$12,0.1/EG207*SUM(OFFSET(F207,-10*$B207+1,0,10*$B207,1)),0.1/EG207*SUM(OFFSET(F207,-100*$ES$12+1,0,100*$ES$12,1)))</f>
        <v>#DIV/0!</v>
      </c>
      <c r="EJ207" s="101">
        <f t="shared" si="329"/>
        <v>0</v>
      </c>
      <c r="EK207" s="91">
        <f t="shared" si="360"/>
        <v>0</v>
      </c>
      <c r="EL207" s="30" t="e">
        <f t="shared" si="312"/>
        <v>#N/A</v>
      </c>
      <c r="EM207" s="30" t="e">
        <f t="shared" si="313"/>
        <v>#N/A</v>
      </c>
      <c r="EN207" s="31" t="e">
        <f>IF(OR(Hypothèses!$B$4=17,Hypothèses!$B$4=18,Hypothèses!$B$4=19,Hypothèses!$B$4=20),
IF($D207="Pressio.",
IF(OR($E207=3,$E207=1,$E207=4),EM207,EL207),
IF($D207="Pénétro.",
IF(OR($E207=3,$E207=1,$E207=4),EM207,EL207))),IF($D207="Pressio.",
IF($E207=3,EM207,EL207),
IF($D207="Pénétro.",
IF($E207=4,EM207,EL207))))</f>
        <v>#N/A</v>
      </c>
      <c r="EO207" s="31">
        <v>0</v>
      </c>
      <c r="EP207" s="102" t="e">
        <f>IF(NDC!$H$10="Oui",(VLOOKUP($B$3,'Coeff EC7'!$T$39:$X$59,2,0)*EN207+VLOOKUP($B$3,'Coeff EC7'!$T$65:$X$85,2,0)*Model0.1T!EO207)/1.5,PI()*EL$12*$Q207*($B207-$B206)*0.15/10+EP206)</f>
        <v>#N/A</v>
      </c>
      <c r="EQ207" s="102" t="e">
        <f>(VLOOKUP($B$3,'Coeff EC7'!$T$39:$X$59,3,0)*EN207+VLOOKUP($B$3,'Coeff EC7'!$T$65:$X$85,3,0)*Model0.1T!EO207)/1.1</f>
        <v>#N/A</v>
      </c>
      <c r="ER207" s="102" t="e">
        <f t="shared" ref="ER207:ER270" si="394">EN207/1.15+EO207/1.15</f>
        <v>#N/A</v>
      </c>
      <c r="ES207" s="102" t="e">
        <f t="shared" ref="ES207:ES270" si="395">(EN207+EO207)/1.05</f>
        <v>#N/A</v>
      </c>
      <c r="ET207" s="414" t="e">
        <f>IF(AND(EP207&gt;NDC!$C$63,EQ207&gt;NDC!$C$65,ER207&gt;NDC!$D$73,ES207&gt;NDC!$D$74,$B207&gt;NDC!$H$22-0.1+MIN(3*ET$12,1.5)),0,1)</f>
        <v>#N/A</v>
      </c>
      <c r="EU207" s="86" t="b">
        <f t="shared" si="361"/>
        <v>0</v>
      </c>
      <c r="EV207" s="86">
        <f t="shared" si="362"/>
        <v>0.61</v>
      </c>
      <c r="EW207" s="86">
        <f t="shared" si="363"/>
        <v>0.61</v>
      </c>
      <c r="EX207" s="30" t="e">
        <f t="shared" ref="EX207:EX270" ca="1" si="396">AVERAGE(OFFSET($F207, -10*EW207, 0,10*EW207, 1), OFFSET($F207, 1, 0, 30*EV207, 1))</f>
        <v>#DIV/0!</v>
      </c>
      <c r="EY207" s="85" t="e">
        <f ca="1">IF(EE207&lt;=Hypothèses!$V$7,Hypothèses!$W$7,IF(EE207&lt;=Hypothèses!$V$8,Hypothèses!$W$8,IF(EE207&lt;=Hypothèses!$V$9,Hypothèses!$W$9,IF(EE207&lt;=Hypothèses!$V$10,Hypothèses!$W$10,IF(EE207&lt;=Hypothèses!$V$11,Hypothèses!$W$11,IF(EE207&lt;=Hypothèses!$V$12,Hypothèses!$W$12,IF(EE207&lt;=Hypothèses!$V$13,Hypothèses!$W$13,IF(EE207&lt;=Hypothèses!$V$14,Hypothèses!$W$14,IF(EE207&lt;=Hypothèses!$V$15,Hypothèses!$W$15,IF(EE207&lt;=Hypothèses!$V$16,Hypothèses!$W$16,IF(EE207&lt;=Hypothèses!$V$17,Hypothèses!$W$17,IF(EE207&lt;=Hypothèses!$V$18,Hypothèses!$W$18,""))))))))))))</f>
        <v>#DIV/0!</v>
      </c>
      <c r="EZ207" s="87" t="e">
        <f t="shared" ca="1" si="323"/>
        <v>#DIV/0!</v>
      </c>
      <c r="FA207" s="88" t="e">
        <f ca="1">IF(EE207&lt;=Hypothèses!$V$7,Hypothèses!$X$7,IF(EE207&lt;=Hypothèses!$V$8,Hypothèses!$X$8,IF(EE207&lt;=Hypothèses!$V$9,Hypothèses!$X$9,IF(EE207&lt;=Hypothèses!$V$10,Hypothèses!$X$10,IF(EE207&lt;=Hypothèses!$V$11,Hypothèses!$X$11,IF(EE207&lt;=Hypothèses!$V$12,Hypothèses!$X$12,IF(EE207&lt;=Hypothèses!$V$13,Hypothèses!$X$13,IF(EE207&lt;=Hypothèses!$V$14,Hypothèses!$X$14,IF(EE207&lt;=Hypothèses!$V$15,Hypothèses!$X$15,IF(EE207&lt;=Hypothèses!$V$16,Hypothèses!$X$16,IF(EE207&lt;=Hypothèses!$U$17,Hypothèses!$W$17,IF(EE207&lt;=Hypothèses!$U$18,Hypothèses!$W$18,""))))))))))))</f>
        <v>#DIV/0!</v>
      </c>
      <c r="FB207" s="95" t="e">
        <f t="shared" ref="FB207:FB270" ca="1" si="397">IF($B207&lt;10*$FL$12,0.1/EZ207*SUM(OFFSET(F207,-10*$B207+1,0,10*$B207,1)),0.1/EZ207*SUM(OFFSET(F207,-100*$FL$12+1,0,100*$FL$12,1)))</f>
        <v>#DIV/0!</v>
      </c>
      <c r="FC207" s="101">
        <f t="shared" si="330"/>
        <v>0</v>
      </c>
      <c r="FD207" s="91">
        <f t="shared" si="364"/>
        <v>0</v>
      </c>
      <c r="FE207" s="30" t="e">
        <f t="shared" si="314"/>
        <v>#N/A</v>
      </c>
      <c r="FF207" s="30" t="e">
        <f t="shared" si="315"/>
        <v>#N/A</v>
      </c>
      <c r="FG207" s="31" t="e">
        <f>IF(OR(Hypothèses!$B$4=17,Hypothèses!$B$4=18,Hypothèses!$B$4=19,Hypothèses!$B$4=20),
IF($D207="Pressio.",
IF(OR($E207=3,$E207=1,$E207=4),FF207,FE207),
IF($D207="Pénétro.",
IF(OR($E207=3,$E207=1,$E207=4),FF207,FE207))),IF($D207="Pressio.",
IF($E207=3,FF207,FE207),
IF($D207="Pénétro.",
IF($E207=4,FF207,FE207))))</f>
        <v>#N/A</v>
      </c>
      <c r="FH207" s="31">
        <v>0</v>
      </c>
      <c r="FI207" s="102" t="e">
        <f>IF(NDC!$H$10="Oui",(VLOOKUP($B$3,'Coeff EC7'!$T$39:$X$59,2,0)*FG207+VLOOKUP($B$3,'Coeff EC7'!$T$65:$X$85,2,0)*Model0.1T!FH207)/1.5,PI()*FE$12*$Q207*($B207-$B206)*0.15/10+FI206)</f>
        <v>#N/A</v>
      </c>
      <c r="FJ207" s="102" t="e">
        <f>(VLOOKUP($B$3,'Coeff EC7'!$T$39:$X$59,3,0)*FG207+VLOOKUP($B$3,'Coeff EC7'!$T$65:$X$85,3,0)*Model0.1T!FH207)/1.1</f>
        <v>#N/A</v>
      </c>
      <c r="FK207" s="102" t="e">
        <f t="shared" ref="FK207:FK270" si="398">FG207/1.15+FH207/1.15</f>
        <v>#N/A</v>
      </c>
      <c r="FL207" s="102" t="e">
        <f t="shared" ref="FL207:FL270" si="399">(FG207+FH207)/1.05</f>
        <v>#N/A</v>
      </c>
      <c r="FM207" s="414" t="e">
        <f>IF(AND(FI207&gt;NDC!$C$63,FJ207&gt;NDC!$C$65,FK207&gt;NDC!$D$73,FL207&gt;NDC!$D$74,$B207&gt;NDC!$H$22-0.1+MIN(3*FM$12,1.5)),0,1)</f>
        <v>#N/A</v>
      </c>
    </row>
    <row r="208" spans="1:169">
      <c r="A208" s="96">
        <f t="shared" si="365"/>
        <v>80.500000000001108</v>
      </c>
      <c r="B208" s="97">
        <v>19.5</v>
      </c>
      <c r="C208" s="81">
        <f>IF(B208&lt;=Hypothèses!$C$7,Hypothèses!$A$7,IF(B208&lt;=Hypothèses!$C$8,Hypothèses!$A$8,IF(B208&lt;=Hypothèses!$C$9,Hypothèses!$A$9,IF(B208&lt;=Hypothèses!$C$10,Hypothèses!$A$10,IF(B208&lt;=Hypothèses!$C$11,Hypothèses!$A$11,IF(B208&lt;=Hypothèses!$C$12,Hypothèses!$A$12,IF(B208&lt;=Hypothèses!$C$13,Hypothèses!$A$13,IF(B208&lt;=Hypothèses!$C$14,Hypothèses!$A$14,IF(B208&lt;=Hypothèses!$C$15,Hypothèses!$A$15,IF(B208&lt;=Hypothèses!$C$16,Hypothèses!$A$16,IF(B208&lt;=Hypothèses!$C$17,Hypothèses!$A$17,IF(B208&lt;=Hypothèses!$C$18,Hypothèses!$A$18,C207))))))))))))</f>
        <v>11</v>
      </c>
      <c r="D208" s="82" t="str">
        <f>IF(B208&lt;=Hypothèses!$C$7,Hypothèses!$R$7,IF(B208&lt;=Hypothèses!$C$8,Hypothèses!$R$8,IF(B208&lt;=Hypothèses!$C$9,Hypothèses!$R$9,IF(B208&lt;=Hypothèses!$C$10,Hypothèses!$R$10,IF(B208&lt;=Hypothèses!$C$11,Hypothèses!$R$11,IF(B208&lt;=Hypothèses!$C$12,Hypothèses!$R$12,IF(B208&lt;=Hypothèses!$C$13,Hypothèses!$R$13,IF(B208&lt;=Hypothèses!$C$14,Hypothèses!$R$14,IF(B208&lt;=Hypothèses!$C$15,Hypothèses!$R$15,IF(B208&lt;=Hypothèses!$C$16,Hypothèses!$R$16,IF(B208&lt;=Hypothèses!$C$17,Hypothèses!$R$17,IF(B208&lt;=Hypothèses!$C$18,Hypothèses!$R$18,D207))))))))))))</f>
        <v>Pressio.</v>
      </c>
      <c r="E208" s="82" t="e">
        <f>IF(B208&lt;=Hypothèses!$C$7,Hypothèses!$G$7,IF(B208&lt;=Hypothèses!$C$8,Hypothèses!$G$8,IF(B208&lt;=Hypothèses!$C$9,Hypothèses!$G$9,IF(B208&lt;=Hypothèses!$C$10,Hypothèses!$G$10,IF(B208&lt;=Hypothèses!$C$11,Hypothèses!$G$11,IF(B208&lt;=Hypothèses!$C$12,Hypothèses!$G$12,IF(B208&lt;=Hypothèses!$C$13,Hypothèses!$G$13,IF(B208&lt;=Hypothèses!$C$14,Hypothèses!$G$14,IF(B208&lt;=Hypothèses!$C$15,Hypothèses!$G$15,IF(B208&lt;=Hypothèses!$C$16,Hypothèses!$G$16,IF(B208&lt;=Hypothèses!$C$17,Hypothèses!$G$17,IF(B208&lt;=Hypothèses!$C$18,Hypothèses!$G$18,E207))))))))))))</f>
        <v>#N/A</v>
      </c>
      <c r="F208" s="82" t="str">
        <f>IF(B208&lt;=Hypothèses!$C$7,Hypothèses!$F$7,IF(B208&lt;=Hypothèses!$C$8,Hypothèses!$F$8,IF(B208&lt;=Hypothèses!$C$9,Hypothèses!$F$9,IF(B208&lt;=Hypothèses!$C$10,Hypothèses!$F$10,IF(B208&lt;=Hypothèses!$C$11,Hypothèses!$F$11,IF(B208&lt;=Hypothèses!$C$12,Hypothèses!$F$12,IF(B208&lt;=Hypothèses!$C$13,Hypothèses!$F$13,IF(B208&lt;=Hypothèses!$C$14,Hypothèses!$F$14,IF(B208&lt;=Hypothèses!$C$15,Hypothèses!$F$15,IF(B208&lt;=Hypothèses!$C$16,Hypothèses!$F$16,IF(B208&lt;=Hypothèses!$C$17,Hypothèses!$F$17,IF(B208&lt;=Hypothèses!$C$18,Hypothèses!$F$18,F207))))))))))))</f>
        <v/>
      </c>
      <c r="G208" s="91">
        <f t="array" ref="G208">INDEX('Coeff EC7'!$U$7:$X$27,
MATCH(Model0.1T!$B$3,'Coeff EC7'!$T$7:$T$27,0),
MATCH(Model0.1T!$D208&amp;Model0.1T!$B$4,
'Coeff EC7'!$U$6:$X$6&amp;
'Coeff EC7'!$U$5:$X$5,0))</f>
        <v>1.4</v>
      </c>
      <c r="H208" s="91">
        <f t="array" ref="H208">INDEX('Coeff EC7'!$Y$7:$AB$27,
MATCH(Model0.1T!$B$3,'Coeff EC7'!$T$7:$T$27,0),
MATCH(Model0.1T!$D208&amp;Model0.1T!$B$4,
'Coeff EC7'!$Y$6:$AB$6&amp;
'Coeff EC7'!$Y$5:$AB$5,0))</f>
        <v>1.7</v>
      </c>
      <c r="I208" s="83">
        <v>0</v>
      </c>
      <c r="J208" s="91" t="e">
        <f t="array" ref="J208">INDEX('Coeff EC7'!$D$33:$Q$33,1,MATCH(D208&amp;E208,'Coeff EC7'!$D$31:$Q$31&amp;'Coeff EC7'!$D$32:$Q$32,0))</f>
        <v>#N/A</v>
      </c>
      <c r="K208" s="91" t="e">
        <f t="array" ref="K208">INDEX('Coeff EC7'!$D$34:$Q$34,1,MATCH(D208&amp;E208,'Coeff EC7'!$D$31:$Q$31&amp;'Coeff EC7'!$D$32:$Q$32,0))</f>
        <v>#N/A</v>
      </c>
      <c r="L208" s="91" t="e">
        <f t="array" ref="L208">INDEX('Coeff EC7'!$D$35:$Q$35,1,MATCH(D208&amp;E208,'Coeff EC7'!$D$31:$Q$31&amp;'Coeff EC7'!$D$32:$Q$32,0))</f>
        <v>#N/A</v>
      </c>
      <c r="M208" s="98" t="e">
        <f t="shared" si="331"/>
        <v>#N/A</v>
      </c>
      <c r="N208" s="99" t="e">
        <f t="array" ref="N208">INDEX('Coeff EC7'!$D$7:$Q$27,MATCH($B$3,'Coeff EC7'!$C$7:$C$27,0),MATCH(D208&amp;E208,'Coeff EC7'!$D$5:$Q$5&amp;'Coeff EC7'!$D$6:$Q$6,0))</f>
        <v>#N/A</v>
      </c>
      <c r="O208" s="99" t="e">
        <f t="array" ref="O208">INDEX('Coeff EC7'!$D$41:$Q$61,MATCH($B$3,'Coeff EC7'!$C$41:$C$61,0),MATCH(D208&amp;E208,'Coeff EC7'!$D$39:$Q$39&amp;'Coeff EC7'!$D$40:$Q$40,0))</f>
        <v>#N/A</v>
      </c>
      <c r="P208" s="30" t="e">
        <f t="shared" si="366"/>
        <v>#N/A</v>
      </c>
      <c r="Q208" s="100" t="e">
        <f t="shared" si="333"/>
        <v>#N/A</v>
      </c>
      <c r="R208" s="86" t="b">
        <f t="shared" si="334"/>
        <v>0</v>
      </c>
      <c r="S208" s="86">
        <f t="shared" si="332"/>
        <v>0.5</v>
      </c>
      <c r="T208" s="86">
        <f t="shared" si="335"/>
        <v>0.5</v>
      </c>
      <c r="U208" s="30" t="e">
        <f t="shared" ca="1" si="367"/>
        <v>#DIV/0!</v>
      </c>
      <c r="V208" s="85" t="str">
        <f>IF(B208&lt;=Hypothèses!$V$7,Hypothèses!$W$7,IF(B208&lt;=Hypothèses!$V$8,Hypothèses!$W$8,IF(B208&lt;=Hypothèses!$V$9,Hypothèses!$W$9,IF(B208&lt;=Hypothèses!$V$10,Hypothèses!$W$10,IF(B208&lt;=Hypothèses!$V$11,Hypothèses!$W$11,IF(B208&lt;=Hypothèses!$V$12,Hypothèses!$W$12,IF(B208&lt;=Hypothèses!$V$13,Hypothèses!$W$13,IF(B208&lt;=Hypothèses!$V$14,Hypothèses!$W$14,IF(B208&lt;=Hypothèses!$V$15,Hypothèses!$W$15,IF(B208&lt;=Hypothèses!$V$16,Hypothèses!$W$16,IF(B208&lt;=Hypothèses!$V$17,Hypothèses!$W$17,IF(B208&lt;=Hypothèses!$V$18,Hypothèses!$W$18,""))))))))))))</f>
        <v/>
      </c>
      <c r="W208" s="87" t="e">
        <f t="shared" ca="1" si="316"/>
        <v>#DIV/0!</v>
      </c>
      <c r="X208" s="88" t="str">
        <f>IF(B208&lt;=Hypothèses!$V$7,Hypothèses!$X$7,IF(B208&lt;=Hypothèses!$V$8,Hypothèses!$X$8,IF(B208&lt;=Hypothèses!$V$9,Hypothèses!$X$9,IF(B208&lt;=Hypothèses!$V$10,Hypothèses!$X$10,IF(B208&lt;=Hypothèses!$V$11,Hypothèses!$X$11,IF(B208&lt;=Hypothèses!$V$12,Hypothèses!$X$12,IF(B208&lt;=Hypothèses!$V$13,Hypothèses!$X$13,IF(B208&lt;=Hypothèses!$V$14,Hypothèses!$X$14,IF(B208&lt;=Hypothèses!$V$15,Hypothèses!$X$15,IF(B208&lt;=Hypothèses!$V$16,Hypothèses!$X$16,IF(B208&lt;=Hypothèses!$U$17,Hypothèses!$W$17,IF(B208&lt;=Hypothèses!$U$18,Hypothèses!$W$18,""))))))))))))</f>
        <v/>
      </c>
      <c r="Y208" s="95" t="e">
        <f t="shared" ca="1" si="336"/>
        <v>#DIV/0!</v>
      </c>
      <c r="Z208" s="101">
        <f t="shared" si="337"/>
        <v>0</v>
      </c>
      <c r="AA208" s="91">
        <f t="shared" si="338"/>
        <v>0</v>
      </c>
      <c r="AB208" s="30" t="e">
        <f t="shared" ref="AB208:AB271" si="400">PI()*AB$12*$Q208*($B208-$B207)/($G208*$B$5)/10+AD207</f>
        <v>#N/A</v>
      </c>
      <c r="AC208" s="30" t="e">
        <f t="shared" ref="AC208:AC271" si="401">(PI()*AC$12*$Q208*($B208-$B207))/($H208*$B$5)/10+AD207</f>
        <v>#N/A</v>
      </c>
      <c r="AD208" s="31" t="e">
        <f>IF(OR(Hypothèses!$B$4=17,Hypothèses!$B$4=18,Hypothèses!$B$4=19,Hypothèses!$B$4=20),
IF($D208="Pressio.",
IF(OR($E208=3,$E208=1,$E208=4),AC208,AB208),
IF($D208="Pénétro.",
IF(OR($E208=3,$E208=1,$E208=4),AC208,AB208))),IF($D208="Pressio.",
IF($E208=3,AC208,AB208),
IF($D208="Pénétro.",
IF($E208=4,AC208,AB208))))</f>
        <v>#N/A</v>
      </c>
      <c r="AE208" s="31">
        <v>0</v>
      </c>
      <c r="AF208" s="102" t="e">
        <f>IF(NDC!$H$10="Oui",(VLOOKUP($B$3,'Coeff EC7'!$T$39:$X$59,2,0)*AD208+VLOOKUP($B$3,'Coeff EC7'!$T$65:$X$85,2,0)*Model0.1T!AE208)/1.5,PI()*AB$12*$Q208*($B208-$B207)*0.15/10+AF207)</f>
        <v>#N/A</v>
      </c>
      <c r="AG208" s="102" t="e">
        <f>(VLOOKUP($B$3,'Coeff EC7'!$T$39:$X$59,3,0)*AD208+VLOOKUP($B$3,'Coeff EC7'!$T$65:$X$85,3,0)*Model0.1T!AE208)/1.1</f>
        <v>#N/A</v>
      </c>
      <c r="AH208" s="102" t="e">
        <f t="shared" si="368"/>
        <v>#N/A</v>
      </c>
      <c r="AI208" s="102" t="e">
        <f t="shared" si="369"/>
        <v>#N/A</v>
      </c>
      <c r="AJ208" s="414" t="e">
        <f>IF(AND(AF208&gt;NDC!$C$63,AG208&gt;NDC!$C$65,AH208&gt;NDC!$D$73,AI208&gt;NDC!$D$74,$B208&gt;NDC!$H$22-0.1+MIN(3*$AJ$12,1.5)),0,1)</f>
        <v>#N/A</v>
      </c>
      <c r="AK208" s="86" t="b">
        <f t="shared" si="339"/>
        <v>0</v>
      </c>
      <c r="AL208" s="86">
        <f t="shared" si="370"/>
        <v>0.5</v>
      </c>
      <c r="AM208" s="86">
        <f t="shared" si="340"/>
        <v>0.5</v>
      </c>
      <c r="AN208" s="30" t="e">
        <f t="shared" ca="1" si="371"/>
        <v>#DIV/0!</v>
      </c>
      <c r="AO208" s="85" t="e">
        <f ca="1">IF(U208&lt;=Hypothèses!$V$7,Hypothèses!$W$7,IF(U208&lt;=Hypothèses!$V$8,Hypothèses!$W$8,IF(U208&lt;=Hypothèses!$V$9,Hypothèses!$W$9,IF(U208&lt;=Hypothèses!$V$10,Hypothèses!$W$10,IF(U208&lt;=Hypothèses!$V$11,Hypothèses!$W$11,IF(U208&lt;=Hypothèses!$V$12,Hypothèses!$W$12,IF(U208&lt;=Hypothèses!$V$13,Hypothèses!$W$13,IF(U208&lt;=Hypothèses!$V$14,Hypothèses!$W$14,IF(U208&lt;=Hypothèses!$V$15,Hypothèses!$W$15,IF(U208&lt;=Hypothèses!$V$16,Hypothèses!$W$16,IF(U208&lt;=Hypothèses!$V$17,Hypothèses!$W$17,IF(U208&lt;=Hypothèses!$V$18,Hypothèses!$W$18,""))))))))))))</f>
        <v>#DIV/0!</v>
      </c>
      <c r="AP208" s="87" t="e">
        <f t="shared" ca="1" si="317"/>
        <v>#DIV/0!</v>
      </c>
      <c r="AQ208" s="88" t="e">
        <f ca="1">IF(U208&lt;=Hypothèses!$V$7,Hypothèses!$X$7,IF(U208&lt;=Hypothèses!$V$8,Hypothèses!$X$8,IF(U208&lt;=Hypothèses!$V$9,Hypothèses!$X$9,IF(U208&lt;=Hypothèses!$V$10,Hypothèses!$X$10,IF(U208&lt;=Hypothèses!$V$11,Hypothèses!$X$11,IF(U208&lt;=Hypothèses!$V$12,Hypothèses!$X$12,IF(U208&lt;=Hypothèses!$V$13,Hypothèses!$X$13,IF(U208&lt;=Hypothèses!$V$14,Hypothèses!$X$14,IF(U208&lt;=Hypothèses!$V$15,Hypothèses!$X$15,IF(U208&lt;=Hypothèses!$V$16,Hypothèses!$X$16,IF(U208&lt;=Hypothèses!$U$17,Hypothèses!$W$17,IF(U208&lt;=Hypothèses!$U$18,Hypothèses!$W$18,""))))))))))))</f>
        <v>#DIV/0!</v>
      </c>
      <c r="AR208" s="95" t="e">
        <f t="shared" ca="1" si="372"/>
        <v>#DIV/0!</v>
      </c>
      <c r="AS208" s="101">
        <f t="shared" si="324"/>
        <v>0</v>
      </c>
      <c r="AT208" s="91">
        <f t="shared" si="341"/>
        <v>0</v>
      </c>
      <c r="AU208" s="30" t="e">
        <f t="shared" ref="AU208:AU271" si="402">PI()*AU$12*$Q208*($B208-$B207)/($G208*$B$5)/10+AW207</f>
        <v>#N/A</v>
      </c>
      <c r="AV208" s="30" t="e">
        <f t="shared" ref="AV208:AV271" si="403">(PI()*AV$12*$Q208*($B208-$B207))/($H208*$B$5)/10+AW207</f>
        <v>#N/A</v>
      </c>
      <c r="AW208" s="31" t="e">
        <f>IF(OR(Hypothèses!$B$4=17,Hypothèses!$B$4=18,Hypothèses!$B$4=19,Hypothèses!$B$4=20),
IF($D208="Pressio.",
IF(OR($E208=3,$E208=1,$E208=4),AV208,AU208),
IF($D208="Pénétro.",
IF(OR($E208=3,$E208=1,$E208=4),AV208,AU208))),IF($D208="Pressio.",
IF($E208=3,AV208,AU208),
IF($D208="Pénétro.",
IF($E208=4,AV208,AU208))))</f>
        <v>#N/A</v>
      </c>
      <c r="AX208" s="31">
        <v>0</v>
      </c>
      <c r="AY208" s="102" t="e">
        <f>IF(NDC!$H$10="Oui",(VLOOKUP($B$3,'Coeff EC7'!$T$39:$X$59,2,0)*AW208+VLOOKUP($B$3,'Coeff EC7'!$T$65:$X$85,2,0)*Model0.1T!AX208)/1.5,PI()*AU$12*$Q208*($B208-$B207)*0.15/10+AY207)</f>
        <v>#N/A</v>
      </c>
      <c r="AZ208" s="102" t="e">
        <f>(VLOOKUP($B$3,'Coeff EC7'!$T$39:$X$59,3,0)*AW208+VLOOKUP($B$3,'Coeff EC7'!$T$65:$X$85,3,0)*Model0.1T!AX208)/1.1</f>
        <v>#N/A</v>
      </c>
      <c r="BA208" s="102" t="e">
        <f t="shared" si="373"/>
        <v>#N/A</v>
      </c>
      <c r="BB208" s="102" t="e">
        <f t="shared" si="374"/>
        <v>#N/A</v>
      </c>
      <c r="BC208" s="414" t="e">
        <f>IF(AND(AY208&gt;NDC!$C$63,AZ208&gt;NDC!$C$65,BA208&gt;NDC!$D$73,BB208&gt;NDC!$D$74,$B208&gt;NDC!$H$22-0.1+MIN(3*BC$12,1.5)),0,1)</f>
        <v>#N/A</v>
      </c>
      <c r="BD208" s="86" t="b">
        <f t="shared" si="342"/>
        <v>0</v>
      </c>
      <c r="BE208" s="86">
        <f t="shared" si="375"/>
        <v>0.5</v>
      </c>
      <c r="BF208" s="86">
        <f t="shared" si="343"/>
        <v>0.5</v>
      </c>
      <c r="BG208" s="30" t="e">
        <f t="shared" ca="1" si="376"/>
        <v>#DIV/0!</v>
      </c>
      <c r="BH208" s="85" t="e">
        <f ca="1">IF(AN208&lt;=Hypothèses!$V$7,Hypothèses!$W$7,IF(AN208&lt;=Hypothèses!$V$8,Hypothèses!$W$8,IF(AN208&lt;=Hypothèses!$V$9,Hypothèses!$W$9,IF(AN208&lt;=Hypothèses!$V$10,Hypothèses!$W$10,IF(AN208&lt;=Hypothèses!$V$11,Hypothèses!$W$11,IF(AN208&lt;=Hypothèses!$V$12,Hypothèses!$W$12,IF(AN208&lt;=Hypothèses!$V$13,Hypothèses!$W$13,IF(AN208&lt;=Hypothèses!$V$14,Hypothèses!$W$14,IF(AN208&lt;=Hypothèses!$V$15,Hypothèses!$W$15,IF(AN208&lt;=Hypothèses!$V$16,Hypothèses!$W$16,IF(AN208&lt;=Hypothèses!$V$17,Hypothèses!$W$17,IF(AN208&lt;=Hypothèses!$V$18,Hypothèses!$W$18,""))))))))))))</f>
        <v>#DIV/0!</v>
      </c>
      <c r="BI208" s="87" t="e">
        <f t="shared" ca="1" si="318"/>
        <v>#DIV/0!</v>
      </c>
      <c r="BJ208" s="88" t="e">
        <f ca="1">IF(AN208&lt;=Hypothèses!$V$7,Hypothèses!$X$7,IF(AN208&lt;=Hypothèses!$V$8,Hypothèses!$X$8,IF(AN208&lt;=Hypothèses!$V$9,Hypothèses!$X$9,IF(AN208&lt;=Hypothèses!$V$10,Hypothèses!$X$10,IF(AN208&lt;=Hypothèses!$V$11,Hypothèses!$X$11,IF(AN208&lt;=Hypothèses!$V$12,Hypothèses!$X$12,IF(AN208&lt;=Hypothèses!$V$13,Hypothèses!$X$13,IF(AN208&lt;=Hypothèses!$V$14,Hypothèses!$X$14,IF(AN208&lt;=Hypothèses!$V$15,Hypothèses!$X$15,IF(AN208&lt;=Hypothèses!$V$16,Hypothèses!$X$16,IF(AN208&lt;=Hypothèses!$U$17,Hypothèses!$W$17,IF(AN208&lt;=Hypothèses!$U$18,Hypothèses!$W$18,""))))))))))))</f>
        <v>#DIV/0!</v>
      </c>
      <c r="BK208" s="95" t="e">
        <f t="shared" ca="1" si="377"/>
        <v>#DIV/0!</v>
      </c>
      <c r="BL208" s="101">
        <f t="shared" si="325"/>
        <v>0</v>
      </c>
      <c r="BM208" s="91">
        <f t="shared" si="344"/>
        <v>0</v>
      </c>
      <c r="BN208" s="30" t="e">
        <f t="shared" ref="BN208:BN271" si="404">PI()*BN$12*$Q208*($B208-$B207)/($G208*$B$5)/10+BP207</f>
        <v>#N/A</v>
      </c>
      <c r="BO208" s="30" t="e">
        <f t="shared" ref="BO208:BO271" si="405">(PI()*BO$12*$Q208*($B208-$B207))/($H208*$B$5)/10+BP207</f>
        <v>#N/A</v>
      </c>
      <c r="BP208" s="31" t="e">
        <f>IF(OR(Hypothèses!$B$4=17,Hypothèses!$B$4=18,Hypothèses!$B$4=19,Hypothèses!$B$4=20),
IF($D208="Pressio.",
IF(OR($E208=3,$E208=1,$E208=4),BO208,BN208),
IF($D208="Pénétro.",
IF(OR($E208=3,$E208=1,$E208=4),BO208,BN208))),IF($D208="Pressio.",
IF($E208=3,BO208,BN208),
IF($D208="Pénétro.",
IF($E208=4,BO208,BN208))))</f>
        <v>#N/A</v>
      </c>
      <c r="BQ208" s="31">
        <v>0</v>
      </c>
      <c r="BR208" s="102" t="e">
        <f>IF(NDC!$H$10="Oui",(VLOOKUP($B$3,'Coeff EC7'!$T$39:$X$59,2,0)*BP208+VLOOKUP($B$3,'Coeff EC7'!$T$65:$X$85,2,0)*Model0.1T!BQ208)/1.5,PI()*BN$12*$Q208*($B208-$B207)*0.15/10+BR207)</f>
        <v>#N/A</v>
      </c>
      <c r="BS208" s="102" t="e">
        <f>(VLOOKUP($B$3,'Coeff EC7'!$T$39:$X$59,3,0)*BP208+VLOOKUP($B$3,'Coeff EC7'!$T$65:$X$85,3,0)*Model0.1T!BQ208)/1.1</f>
        <v>#N/A</v>
      </c>
      <c r="BT208" s="102" t="e">
        <f t="shared" si="378"/>
        <v>#N/A</v>
      </c>
      <c r="BU208" s="102" t="e">
        <f t="shared" si="379"/>
        <v>#N/A</v>
      </c>
      <c r="BV208" s="414" t="e">
        <f>IF(AND(BR208&gt;NDC!$C$63,BS208&gt;NDC!$C$65,BT208&gt;NDC!$D$73,BU208&gt;NDC!$D$74,$B208&gt;NDC!$H$22-0.1+MIN(3*BV$12,1.5)),0,1)</f>
        <v>#N/A</v>
      </c>
      <c r="BW208" s="86" t="b">
        <f t="shared" si="345"/>
        <v>0</v>
      </c>
      <c r="BX208" s="86">
        <f t="shared" si="346"/>
        <v>0.5</v>
      </c>
      <c r="BY208" s="86">
        <f t="shared" si="347"/>
        <v>0.5</v>
      </c>
      <c r="BZ208" s="30" t="e">
        <f t="shared" ca="1" si="380"/>
        <v>#DIV/0!</v>
      </c>
      <c r="CA208" s="85" t="e">
        <f ca="1">IF(BG208&lt;=Hypothèses!$V$7,Hypothèses!$W$7,IF(BG208&lt;=Hypothèses!$V$8,Hypothèses!$W$8,IF(BG208&lt;=Hypothèses!$V$9,Hypothèses!$W$9,IF(BG208&lt;=Hypothèses!$V$10,Hypothèses!$W$10,IF(BG208&lt;=Hypothèses!$V$11,Hypothèses!$W$11,IF(BG208&lt;=Hypothèses!$V$12,Hypothèses!$W$12,IF(BG208&lt;=Hypothèses!$V$13,Hypothèses!$W$13,IF(BG208&lt;=Hypothèses!$V$14,Hypothèses!$W$14,IF(BG208&lt;=Hypothèses!$V$15,Hypothèses!$W$15,IF(BG208&lt;=Hypothèses!$V$16,Hypothèses!$W$16,IF(BG208&lt;=Hypothèses!$V$17,Hypothèses!$W$17,IF(BG208&lt;=Hypothèses!$V$18,Hypothèses!$W$18,""))))))))))))</f>
        <v>#DIV/0!</v>
      </c>
      <c r="CB208" s="87" t="e">
        <f t="shared" ca="1" si="319"/>
        <v>#DIV/0!</v>
      </c>
      <c r="CC208" s="88" t="e">
        <f ca="1">IF(BG208&lt;=Hypothèses!$V$7,Hypothèses!$X$7,IF(BG208&lt;=Hypothèses!$V$8,Hypothèses!$X$8,IF(BG208&lt;=Hypothèses!$V$9,Hypothèses!$X$9,IF(BG208&lt;=Hypothèses!$V$10,Hypothèses!$X$10,IF(BG208&lt;=Hypothèses!$V$11,Hypothèses!$X$11,IF(BG208&lt;=Hypothèses!$V$12,Hypothèses!$X$12,IF(BG208&lt;=Hypothèses!$V$13,Hypothèses!$X$13,IF(BG208&lt;=Hypothèses!$V$14,Hypothèses!$X$14,IF(BG208&lt;=Hypothèses!$V$15,Hypothèses!$X$15,IF(BG208&lt;=Hypothèses!$V$16,Hypothèses!$X$16,IF(BG208&lt;=Hypothèses!$U$17,Hypothèses!$W$17,IF(BG208&lt;=Hypothèses!$U$18,Hypothèses!$W$18,""))))))))))))</f>
        <v>#DIV/0!</v>
      </c>
      <c r="CD208" s="95" t="e">
        <f t="shared" ca="1" si="381"/>
        <v>#DIV/0!</v>
      </c>
      <c r="CE208" s="101">
        <f t="shared" si="326"/>
        <v>0</v>
      </c>
      <c r="CF208" s="91">
        <f t="shared" si="348"/>
        <v>0</v>
      </c>
      <c r="CG208" s="30" t="e">
        <f t="shared" ref="CG208:CG271" si="406">PI()*CG$12*$Q208*($B208-$B207)/($G208*$B$5)/10+CI207</f>
        <v>#N/A</v>
      </c>
      <c r="CH208" s="30" t="e">
        <f t="shared" ref="CH208:CH271" si="407">(PI()*CH$12*$Q208*($B208-$B207))/($H208*$B$5)/10+CI207</f>
        <v>#N/A</v>
      </c>
      <c r="CI208" s="31" t="e">
        <f>IF(OR(Hypothèses!$B$4=17,Hypothèses!$B$4=18,Hypothèses!$B$4=19,Hypothèses!$B$4=20),
IF($D208="Pressio.",
IF(OR($E208=3,$E208=1,$E208=4),CH208,CG208),
IF($D208="Pénétro.",
IF(OR($E208=3,$E208=1,$E208=4),CH208,CG208))),IF($D208="Pressio.",
IF($E208=3,CH208,CG208),
IF($D208="Pénétro.",
IF($E208=4,CH208,CG208))))</f>
        <v>#N/A</v>
      </c>
      <c r="CJ208" s="31">
        <v>0</v>
      </c>
      <c r="CK208" s="102" t="e">
        <f>IF(NDC!$H$10="Oui",(VLOOKUP($B$3,'Coeff EC7'!$T$39:$X$59,2,0)*CI208+VLOOKUP($B$3,'Coeff EC7'!$T$65:$X$85,2,0)*Model0.1T!CJ208)/1.5,PI()*CG$12*$Q208*($B208-$B207)*0.15/10+CK207)</f>
        <v>#N/A</v>
      </c>
      <c r="CL208" s="102" t="e">
        <f>(VLOOKUP($B$3,'Coeff EC7'!$T$39:$X$59,3,0)*CI208+VLOOKUP($B$3,'Coeff EC7'!$T$65:$X$85,3,0)*Model0.1T!CJ208)/1.1</f>
        <v>#N/A</v>
      </c>
      <c r="CM208" s="102" t="e">
        <f t="shared" si="382"/>
        <v>#N/A</v>
      </c>
      <c r="CN208" s="102" t="e">
        <f t="shared" si="383"/>
        <v>#N/A</v>
      </c>
      <c r="CO208" s="414" t="e">
        <f>IF(AND(CK208&gt;NDC!$C$63,CL208&gt;NDC!$C$65,CM208&gt;NDC!$D$73,CN208&gt;NDC!$D$74,$B208&gt;NDC!$H$22-0.1+MIN(3*CO$12,1.5)),0,1)</f>
        <v>#N/A</v>
      </c>
      <c r="CP208" s="86" t="b">
        <f t="shared" si="349"/>
        <v>0</v>
      </c>
      <c r="CQ208" s="86">
        <f t="shared" si="350"/>
        <v>0.5</v>
      </c>
      <c r="CR208" s="86">
        <f t="shared" si="351"/>
        <v>0.5</v>
      </c>
      <c r="CS208" s="30" t="e">
        <f t="shared" ca="1" si="384"/>
        <v>#DIV/0!</v>
      </c>
      <c r="CT208" s="85" t="e">
        <f ca="1">IF(BZ208&lt;=Hypothèses!$V$7,Hypothèses!$W$7,IF(BZ208&lt;=Hypothèses!$V$8,Hypothèses!$W$8,IF(BZ208&lt;=Hypothèses!$V$9,Hypothèses!$W$9,IF(BZ208&lt;=Hypothèses!$V$10,Hypothèses!$W$10,IF(BZ208&lt;=Hypothèses!$V$11,Hypothèses!$W$11,IF(BZ208&lt;=Hypothèses!$V$12,Hypothèses!$W$12,IF(BZ208&lt;=Hypothèses!$V$13,Hypothèses!$W$13,IF(BZ208&lt;=Hypothèses!$V$14,Hypothèses!$W$14,IF(BZ208&lt;=Hypothèses!$V$15,Hypothèses!$W$15,IF(BZ208&lt;=Hypothèses!$V$16,Hypothèses!$W$16,IF(BZ208&lt;=Hypothèses!$V$17,Hypothèses!$W$17,IF(BZ208&lt;=Hypothèses!$V$18,Hypothèses!$W$18,""))))))))))))</f>
        <v>#DIV/0!</v>
      </c>
      <c r="CU208" s="87" t="e">
        <f t="shared" ca="1" si="320"/>
        <v>#DIV/0!</v>
      </c>
      <c r="CV208" s="88" t="e">
        <f ca="1">IF(BZ208&lt;=Hypothèses!$V$7,Hypothèses!$X$7,IF(BZ208&lt;=Hypothèses!$V$8,Hypothèses!$X$8,IF(BZ208&lt;=Hypothèses!$V$9,Hypothèses!$X$9,IF(BZ208&lt;=Hypothèses!$V$10,Hypothèses!$X$10,IF(BZ208&lt;=Hypothèses!$V$11,Hypothèses!$X$11,IF(BZ208&lt;=Hypothèses!$V$12,Hypothèses!$X$12,IF(BZ208&lt;=Hypothèses!$V$13,Hypothèses!$X$13,IF(BZ208&lt;=Hypothèses!$V$14,Hypothèses!$X$14,IF(BZ208&lt;=Hypothèses!$V$15,Hypothèses!$X$15,IF(BZ208&lt;=Hypothèses!$V$16,Hypothèses!$X$16,IF(BZ208&lt;=Hypothèses!$U$17,Hypothèses!$W$17,IF(BZ208&lt;=Hypothèses!$U$18,Hypothèses!$W$18,""))))))))))))</f>
        <v>#DIV/0!</v>
      </c>
      <c r="CW208" s="95" t="e">
        <f t="shared" ca="1" si="385"/>
        <v>#DIV/0!</v>
      </c>
      <c r="CX208" s="101">
        <f t="shared" si="327"/>
        <v>0</v>
      </c>
      <c r="CY208" s="91">
        <f t="shared" si="352"/>
        <v>0</v>
      </c>
      <c r="CZ208" s="30" t="e">
        <f t="shared" ref="CZ208:CZ271" si="408">PI()*CZ$12*$Q208*($B208-$B207)/($G208*$B$5)/10+DB207</f>
        <v>#N/A</v>
      </c>
      <c r="DA208" s="30" t="e">
        <f t="shared" ref="DA208:DA271" si="409">(PI()*DA$12*$Q208*($B208-$B207))/($H208*$B$5)/10+DB207</f>
        <v>#N/A</v>
      </c>
      <c r="DB208" s="31" t="e">
        <f>IF(OR(Hypothèses!$B$4=17,Hypothèses!$B$4=18,Hypothèses!$B$4=19,Hypothèses!$B$4=20),
IF($D208="Pressio.",
IF(OR($E208=3,$E208=1,$E208=4),DA208,CZ208),
IF($D208="Pénétro.",
IF(OR($E208=3,$E208=1,$E208=4),DA208,CZ208))),IF($D208="Pressio.",
IF($E208=3,DA208,CZ208),
IF($D208="Pénétro.",
IF($E208=4,DA208,CZ208))))</f>
        <v>#N/A</v>
      </c>
      <c r="DC208" s="31">
        <v>0</v>
      </c>
      <c r="DD208" s="102" t="e">
        <f>IF(NDC!$H$10="Oui",(VLOOKUP($B$3,'Coeff EC7'!$T$39:$X$59,2,0)*DB208+VLOOKUP($B$3,'Coeff EC7'!$T$65:$X$85,2,0)*Model0.1T!DC208)/1.5,PI()*CZ$12*$Q208*($B208-$B207)*0.15/10+DD207)</f>
        <v>#N/A</v>
      </c>
      <c r="DE208" s="102" t="e">
        <f>(VLOOKUP($B$3,'Coeff EC7'!$T$39:$X$59,3,0)*DB208+VLOOKUP($B$3,'Coeff EC7'!$T$65:$X$85,3,0)*Model0.1T!DC208)/1.1</f>
        <v>#N/A</v>
      </c>
      <c r="DF208" s="102" t="e">
        <f t="shared" si="386"/>
        <v>#N/A</v>
      </c>
      <c r="DG208" s="102" t="e">
        <f t="shared" si="387"/>
        <v>#N/A</v>
      </c>
      <c r="DH208" s="414" t="e">
        <f>IF(AND(DD208&gt;NDC!$C$63,DE208&gt;NDC!$C$65,DF208&gt;NDC!$D$73,DG208&gt;NDC!$D$74,$B208&gt;NDC!$H$22-0.1+MIN(3*DH$12,1.5)),0,1)</f>
        <v>#N/A</v>
      </c>
      <c r="DI208" s="86" t="b">
        <f t="shared" si="353"/>
        <v>0</v>
      </c>
      <c r="DJ208" s="86">
        <f t="shared" si="354"/>
        <v>0.5</v>
      </c>
      <c r="DK208" s="86">
        <f t="shared" si="355"/>
        <v>0.5</v>
      </c>
      <c r="DL208" s="30" t="e">
        <f t="shared" ca="1" si="388"/>
        <v>#DIV/0!</v>
      </c>
      <c r="DM208" s="85" t="e">
        <f ca="1">IF(CS208&lt;=Hypothèses!$V$7,Hypothèses!$W$7,IF(CS208&lt;=Hypothèses!$V$8,Hypothèses!$W$8,IF(CS208&lt;=Hypothèses!$V$9,Hypothèses!$W$9,IF(CS208&lt;=Hypothèses!$V$10,Hypothèses!$W$10,IF(CS208&lt;=Hypothèses!$V$11,Hypothèses!$W$11,IF(CS208&lt;=Hypothèses!$V$12,Hypothèses!$W$12,IF(CS208&lt;=Hypothèses!$V$13,Hypothèses!$W$13,IF(CS208&lt;=Hypothèses!$V$14,Hypothèses!$W$14,IF(CS208&lt;=Hypothèses!$V$15,Hypothèses!$W$15,IF(CS208&lt;=Hypothèses!$V$16,Hypothèses!$W$16,IF(CS208&lt;=Hypothèses!$V$17,Hypothèses!$W$17,IF(CS208&lt;=Hypothèses!$V$18,Hypothèses!$W$18,""))))))))))))</f>
        <v>#DIV/0!</v>
      </c>
      <c r="DN208" s="87" t="e">
        <f t="shared" ca="1" si="321"/>
        <v>#DIV/0!</v>
      </c>
      <c r="DO208" s="88" t="e">
        <f ca="1">IF(CS208&lt;=Hypothèses!$V$7,Hypothèses!$X$7,IF(CS208&lt;=Hypothèses!$V$8,Hypothèses!$X$8,IF(CS208&lt;=Hypothèses!$V$9,Hypothèses!$X$9,IF(CS208&lt;=Hypothèses!$V$10,Hypothèses!$X$10,IF(CS208&lt;=Hypothèses!$V$11,Hypothèses!$X$11,IF(CS208&lt;=Hypothèses!$V$12,Hypothèses!$X$12,IF(CS208&lt;=Hypothèses!$V$13,Hypothèses!$X$13,IF(CS208&lt;=Hypothèses!$V$14,Hypothèses!$X$14,IF(CS208&lt;=Hypothèses!$V$15,Hypothèses!$X$15,IF(CS208&lt;=Hypothèses!$V$16,Hypothèses!$X$16,IF(CS208&lt;=Hypothèses!$U$17,Hypothèses!$W$17,IF(CS208&lt;=Hypothèses!$U$18,Hypothèses!$W$18,""))))))))))))</f>
        <v>#DIV/0!</v>
      </c>
      <c r="DP208" s="95" t="e">
        <f t="shared" ca="1" si="389"/>
        <v>#DIV/0!</v>
      </c>
      <c r="DQ208" s="101">
        <f t="shared" si="328"/>
        <v>0</v>
      </c>
      <c r="DR208" s="91">
        <f t="shared" si="356"/>
        <v>0</v>
      </c>
      <c r="DS208" s="30" t="e">
        <f t="shared" ref="DS208:DS271" si="410">PI()*DS$12*$Q208*($B208-$B207)/($G208*$B$5)/10+DU207</f>
        <v>#N/A</v>
      </c>
      <c r="DT208" s="30" t="e">
        <f t="shared" ref="DT208:DT271" si="411">(PI()*DT$12*$Q208*($B208-$B207))/($H208*$B$5)/10+DU207</f>
        <v>#N/A</v>
      </c>
      <c r="DU208" s="31" t="e">
        <f>IF(OR(Hypothèses!$B$4=17,Hypothèses!$B$4=18,Hypothèses!$B$4=19,Hypothèses!$B$4=20),
IF($D208="Pressio.",
IF(OR($E208=3,$E208=1,$E208=4),DT208,DS208),
IF($D208="Pénétro.",
IF(OR($E208=3,$E208=1,$E208=4),DT208,DS208))),IF($D208="Pressio.",
IF($E208=3,DT208,DS208),
IF($D208="Pénétro.",
IF($E208=4,DT208,DS208))))</f>
        <v>#N/A</v>
      </c>
      <c r="DV208" s="31">
        <v>0</v>
      </c>
      <c r="DW208" s="102" t="e">
        <f>IF(NDC!$H$10="Oui",(VLOOKUP($B$3,'Coeff EC7'!$T$39:$X$59,2,0)*DU208+VLOOKUP($B$3,'Coeff EC7'!$T$65:$X$85,2,0)*Model0.1T!DV208)/1.5,PI()*DS$12*$Q208*($B208-$B207)*0.15/10+DW207)</f>
        <v>#N/A</v>
      </c>
      <c r="DX208" s="102" t="e">
        <f>(VLOOKUP($B$3,'Coeff EC7'!$T$39:$X$59,3,0)*DU208+VLOOKUP($B$3,'Coeff EC7'!$T$65:$X$85,3,0)*Model0.1T!DV208)/1.1</f>
        <v>#N/A</v>
      </c>
      <c r="DY208" s="102" t="e">
        <f t="shared" si="390"/>
        <v>#N/A</v>
      </c>
      <c r="DZ208" s="102" t="e">
        <f t="shared" si="391"/>
        <v>#N/A</v>
      </c>
      <c r="EA208" s="414" t="e">
        <f>IF(AND(DW208&gt;NDC!$C$63,DX208&gt;NDC!$C$65,DY208&gt;NDC!$D$73,DZ208&gt;NDC!$D$74,$B208&gt;NDC!$H$22-0.1+MIN(3*EA$12,1.5)),0,1)</f>
        <v>#N/A</v>
      </c>
      <c r="EB208" s="86" t="b">
        <f t="shared" si="357"/>
        <v>0</v>
      </c>
      <c r="EC208" s="418">
        <f t="shared" si="358"/>
        <v>0.51</v>
      </c>
      <c r="ED208" s="86">
        <f t="shared" si="359"/>
        <v>0.51</v>
      </c>
      <c r="EE208" s="30" t="e">
        <f t="shared" ca="1" si="392"/>
        <v>#DIV/0!</v>
      </c>
      <c r="EF208" s="85" t="e">
        <f ca="1">IF(DL208&lt;=Hypothèses!$V$7,Hypothèses!$W$7,IF(DL208&lt;=Hypothèses!$V$8,Hypothèses!$W$8,IF(DL208&lt;=Hypothèses!$V$9,Hypothèses!$W$9,IF(DL208&lt;=Hypothèses!$V$10,Hypothèses!$W$10,IF(DL208&lt;=Hypothèses!$V$11,Hypothèses!$W$11,IF(DL208&lt;=Hypothèses!$V$12,Hypothèses!$W$12,IF(DL208&lt;=Hypothèses!$V$13,Hypothèses!$W$13,IF(DL208&lt;=Hypothèses!$V$14,Hypothèses!$W$14,IF(DL208&lt;=Hypothèses!$V$15,Hypothèses!$W$15,IF(DL208&lt;=Hypothèses!$V$16,Hypothèses!$W$16,IF(DL208&lt;=Hypothèses!$V$17,Hypothèses!$W$17,IF(DL208&lt;=Hypothèses!$V$18,Hypothèses!$W$18,""))))))))))))</f>
        <v>#DIV/0!</v>
      </c>
      <c r="EG208" s="87" t="e">
        <f t="shared" ca="1" si="322"/>
        <v>#DIV/0!</v>
      </c>
      <c r="EH208" s="88" t="e">
        <f ca="1">IF(DL208&lt;=Hypothèses!$V$7,Hypothèses!$X$7,IF(DL208&lt;=Hypothèses!$V$8,Hypothèses!$X$8,IF(DL208&lt;=Hypothèses!$V$9,Hypothèses!$X$9,IF(DL208&lt;=Hypothèses!$V$10,Hypothèses!$X$10,IF(DL208&lt;=Hypothèses!$V$11,Hypothèses!$X$11,IF(DL208&lt;=Hypothèses!$V$12,Hypothèses!$X$12,IF(DL208&lt;=Hypothèses!$V$13,Hypothèses!$X$13,IF(DL208&lt;=Hypothèses!$V$14,Hypothèses!$X$14,IF(DL208&lt;=Hypothèses!$V$15,Hypothèses!$X$15,IF(DL208&lt;=Hypothèses!$V$16,Hypothèses!$X$16,IF(DL208&lt;=Hypothèses!$U$17,Hypothèses!$W$17,IF(DL208&lt;=Hypothèses!$U$18,Hypothèses!$W$18,""))))))))))))</f>
        <v>#DIV/0!</v>
      </c>
      <c r="EI208" s="95" t="e">
        <f t="shared" ca="1" si="393"/>
        <v>#DIV/0!</v>
      </c>
      <c r="EJ208" s="101">
        <f t="shared" si="329"/>
        <v>0</v>
      </c>
      <c r="EK208" s="91">
        <f t="shared" si="360"/>
        <v>0</v>
      </c>
      <c r="EL208" s="30" t="e">
        <f t="shared" ref="EL208:EL271" si="412">PI()*EL$12*$Q208*($B208-$B207)/($G208*$B$5)/10+EN207</f>
        <v>#N/A</v>
      </c>
      <c r="EM208" s="30" t="e">
        <f t="shared" ref="EM208:EM271" si="413">(PI()*EM$12*$Q208*($B208-$B207))/($H208*$B$5)/10+EN207</f>
        <v>#N/A</v>
      </c>
      <c r="EN208" s="31" t="e">
        <f>IF(OR(Hypothèses!$B$4=17,Hypothèses!$B$4=18,Hypothèses!$B$4=19,Hypothèses!$B$4=20),
IF($D208="Pressio.",
IF(OR($E208=3,$E208=1,$E208=4),EM208,EL208),
IF($D208="Pénétro.",
IF(OR($E208=3,$E208=1,$E208=4),EM208,EL208))),IF($D208="Pressio.",
IF($E208=3,EM208,EL208),
IF($D208="Pénétro.",
IF($E208=4,EM208,EL208))))</f>
        <v>#N/A</v>
      </c>
      <c r="EO208" s="31">
        <v>0</v>
      </c>
      <c r="EP208" s="102" t="e">
        <f>IF(NDC!$H$10="Oui",(VLOOKUP($B$3,'Coeff EC7'!$T$39:$X$59,2,0)*EN208+VLOOKUP($B$3,'Coeff EC7'!$T$65:$X$85,2,0)*Model0.1T!EO208)/1.5,PI()*EL$12*$Q208*($B208-$B207)*0.15/10+EP207)</f>
        <v>#N/A</v>
      </c>
      <c r="EQ208" s="102" t="e">
        <f>(VLOOKUP($B$3,'Coeff EC7'!$T$39:$X$59,3,0)*EN208+VLOOKUP($B$3,'Coeff EC7'!$T$65:$X$85,3,0)*Model0.1T!EO208)/1.1</f>
        <v>#N/A</v>
      </c>
      <c r="ER208" s="102" t="e">
        <f t="shared" si="394"/>
        <v>#N/A</v>
      </c>
      <c r="ES208" s="102" t="e">
        <f t="shared" si="395"/>
        <v>#N/A</v>
      </c>
      <c r="ET208" s="414" t="e">
        <f>IF(AND(EP208&gt;NDC!$C$63,EQ208&gt;NDC!$C$65,ER208&gt;NDC!$D$73,ES208&gt;NDC!$D$74,$B208&gt;NDC!$H$22-0.1+MIN(3*ET$12,1.5)),0,1)</f>
        <v>#N/A</v>
      </c>
      <c r="EU208" s="86" t="b">
        <f t="shared" si="361"/>
        <v>0</v>
      </c>
      <c r="EV208" s="86">
        <f t="shared" si="362"/>
        <v>0.61</v>
      </c>
      <c r="EW208" s="86">
        <f t="shared" si="363"/>
        <v>0.61</v>
      </c>
      <c r="EX208" s="30" t="e">
        <f t="shared" ca="1" si="396"/>
        <v>#DIV/0!</v>
      </c>
      <c r="EY208" s="85" t="e">
        <f ca="1">IF(EE208&lt;=Hypothèses!$V$7,Hypothèses!$W$7,IF(EE208&lt;=Hypothèses!$V$8,Hypothèses!$W$8,IF(EE208&lt;=Hypothèses!$V$9,Hypothèses!$W$9,IF(EE208&lt;=Hypothèses!$V$10,Hypothèses!$W$10,IF(EE208&lt;=Hypothèses!$V$11,Hypothèses!$W$11,IF(EE208&lt;=Hypothèses!$V$12,Hypothèses!$W$12,IF(EE208&lt;=Hypothèses!$V$13,Hypothèses!$W$13,IF(EE208&lt;=Hypothèses!$V$14,Hypothèses!$W$14,IF(EE208&lt;=Hypothèses!$V$15,Hypothèses!$W$15,IF(EE208&lt;=Hypothèses!$V$16,Hypothèses!$W$16,IF(EE208&lt;=Hypothèses!$V$17,Hypothèses!$W$17,IF(EE208&lt;=Hypothèses!$V$18,Hypothèses!$W$18,""))))))))))))</f>
        <v>#DIV/0!</v>
      </c>
      <c r="EZ208" s="87" t="e">
        <f t="shared" ca="1" si="323"/>
        <v>#DIV/0!</v>
      </c>
      <c r="FA208" s="88" t="e">
        <f ca="1">IF(EE208&lt;=Hypothèses!$V$7,Hypothèses!$X$7,IF(EE208&lt;=Hypothèses!$V$8,Hypothèses!$X$8,IF(EE208&lt;=Hypothèses!$V$9,Hypothèses!$X$9,IF(EE208&lt;=Hypothèses!$V$10,Hypothèses!$X$10,IF(EE208&lt;=Hypothèses!$V$11,Hypothèses!$X$11,IF(EE208&lt;=Hypothèses!$V$12,Hypothèses!$X$12,IF(EE208&lt;=Hypothèses!$V$13,Hypothèses!$X$13,IF(EE208&lt;=Hypothèses!$V$14,Hypothèses!$X$14,IF(EE208&lt;=Hypothèses!$V$15,Hypothèses!$X$15,IF(EE208&lt;=Hypothèses!$V$16,Hypothèses!$X$16,IF(EE208&lt;=Hypothèses!$U$17,Hypothèses!$W$17,IF(EE208&lt;=Hypothèses!$U$18,Hypothèses!$W$18,""))))))))))))</f>
        <v>#DIV/0!</v>
      </c>
      <c r="FB208" s="95" t="e">
        <f t="shared" ca="1" si="397"/>
        <v>#DIV/0!</v>
      </c>
      <c r="FC208" s="101">
        <f t="shared" si="330"/>
        <v>0</v>
      </c>
      <c r="FD208" s="91">
        <f t="shared" si="364"/>
        <v>0</v>
      </c>
      <c r="FE208" s="30" t="e">
        <f t="shared" ref="FE208:FE271" si="414">PI()*FE$12*$Q208*($B208-$B207)/($G208*$B$5)/10+FG207</f>
        <v>#N/A</v>
      </c>
      <c r="FF208" s="30" t="e">
        <f t="shared" ref="FF208:FF271" si="415">(PI()*FF$12*$Q208*($B208-$B207))/($H208*$B$5)/10+FG207</f>
        <v>#N/A</v>
      </c>
      <c r="FG208" s="31" t="e">
        <f>IF(OR(Hypothèses!$B$4=17,Hypothèses!$B$4=18,Hypothèses!$B$4=19,Hypothèses!$B$4=20),
IF($D208="Pressio.",
IF(OR($E208=3,$E208=1,$E208=4),FF208,FE208),
IF($D208="Pénétro.",
IF(OR($E208=3,$E208=1,$E208=4),FF208,FE208))),IF($D208="Pressio.",
IF($E208=3,FF208,FE208),
IF($D208="Pénétro.",
IF($E208=4,FF208,FE208))))</f>
        <v>#N/A</v>
      </c>
      <c r="FH208" s="31">
        <v>0</v>
      </c>
      <c r="FI208" s="102" t="e">
        <f>IF(NDC!$H$10="Oui",(VLOOKUP($B$3,'Coeff EC7'!$T$39:$X$59,2,0)*FG208+VLOOKUP($B$3,'Coeff EC7'!$T$65:$X$85,2,0)*Model0.1T!FH208)/1.5,PI()*FE$12*$Q208*($B208-$B207)*0.15/10+FI207)</f>
        <v>#N/A</v>
      </c>
      <c r="FJ208" s="102" t="e">
        <f>(VLOOKUP($B$3,'Coeff EC7'!$T$39:$X$59,3,0)*FG208+VLOOKUP($B$3,'Coeff EC7'!$T$65:$X$85,3,0)*Model0.1T!FH208)/1.1</f>
        <v>#N/A</v>
      </c>
      <c r="FK208" s="102" t="e">
        <f t="shared" si="398"/>
        <v>#N/A</v>
      </c>
      <c r="FL208" s="102" t="e">
        <f t="shared" si="399"/>
        <v>#N/A</v>
      </c>
      <c r="FM208" s="414" t="e">
        <f>IF(AND(FI208&gt;NDC!$C$63,FJ208&gt;NDC!$C$65,FK208&gt;NDC!$D$73,FL208&gt;NDC!$D$74,$B208&gt;NDC!$H$22-0.1+MIN(3*FM$12,1.5)),0,1)</f>
        <v>#N/A</v>
      </c>
    </row>
    <row r="209" spans="1:169">
      <c r="A209" s="96">
        <f t="shared" si="365"/>
        <v>80.400000000001114</v>
      </c>
      <c r="B209" s="97">
        <v>19.600000000000001</v>
      </c>
      <c r="C209" s="81">
        <f>IF(B209&lt;=Hypothèses!$C$7,Hypothèses!$A$7,IF(B209&lt;=Hypothèses!$C$8,Hypothèses!$A$8,IF(B209&lt;=Hypothèses!$C$9,Hypothèses!$A$9,IF(B209&lt;=Hypothèses!$C$10,Hypothèses!$A$10,IF(B209&lt;=Hypothèses!$C$11,Hypothèses!$A$11,IF(B209&lt;=Hypothèses!$C$12,Hypothèses!$A$12,IF(B209&lt;=Hypothèses!$C$13,Hypothèses!$A$13,IF(B209&lt;=Hypothèses!$C$14,Hypothèses!$A$14,IF(B209&lt;=Hypothèses!$C$15,Hypothèses!$A$15,IF(B209&lt;=Hypothèses!$C$16,Hypothèses!$A$16,IF(B209&lt;=Hypothèses!$C$17,Hypothèses!$A$17,IF(B209&lt;=Hypothèses!$C$18,Hypothèses!$A$18,C208))))))))))))</f>
        <v>11</v>
      </c>
      <c r="D209" s="82" t="str">
        <f>IF(B209&lt;=Hypothèses!$C$7,Hypothèses!$R$7,IF(B209&lt;=Hypothèses!$C$8,Hypothèses!$R$8,IF(B209&lt;=Hypothèses!$C$9,Hypothèses!$R$9,IF(B209&lt;=Hypothèses!$C$10,Hypothèses!$R$10,IF(B209&lt;=Hypothèses!$C$11,Hypothèses!$R$11,IF(B209&lt;=Hypothèses!$C$12,Hypothèses!$R$12,IF(B209&lt;=Hypothèses!$C$13,Hypothèses!$R$13,IF(B209&lt;=Hypothèses!$C$14,Hypothèses!$R$14,IF(B209&lt;=Hypothèses!$C$15,Hypothèses!$R$15,IF(B209&lt;=Hypothèses!$C$16,Hypothèses!$R$16,IF(B209&lt;=Hypothèses!$C$17,Hypothèses!$R$17,IF(B209&lt;=Hypothèses!$C$18,Hypothèses!$R$18,D208))))))))))))</f>
        <v>Pressio.</v>
      </c>
      <c r="E209" s="82" t="e">
        <f>IF(B209&lt;=Hypothèses!$C$7,Hypothèses!$G$7,IF(B209&lt;=Hypothèses!$C$8,Hypothèses!$G$8,IF(B209&lt;=Hypothèses!$C$9,Hypothèses!$G$9,IF(B209&lt;=Hypothèses!$C$10,Hypothèses!$G$10,IF(B209&lt;=Hypothèses!$C$11,Hypothèses!$G$11,IF(B209&lt;=Hypothèses!$C$12,Hypothèses!$G$12,IF(B209&lt;=Hypothèses!$C$13,Hypothèses!$G$13,IF(B209&lt;=Hypothèses!$C$14,Hypothèses!$G$14,IF(B209&lt;=Hypothèses!$C$15,Hypothèses!$G$15,IF(B209&lt;=Hypothèses!$C$16,Hypothèses!$G$16,IF(B209&lt;=Hypothèses!$C$17,Hypothèses!$G$17,IF(B209&lt;=Hypothèses!$C$18,Hypothèses!$G$18,E208))))))))))))</f>
        <v>#N/A</v>
      </c>
      <c r="F209" s="82" t="str">
        <f>IF(B209&lt;=Hypothèses!$C$7,Hypothèses!$F$7,IF(B209&lt;=Hypothèses!$C$8,Hypothèses!$F$8,IF(B209&lt;=Hypothèses!$C$9,Hypothèses!$F$9,IF(B209&lt;=Hypothèses!$C$10,Hypothèses!$F$10,IF(B209&lt;=Hypothèses!$C$11,Hypothèses!$F$11,IF(B209&lt;=Hypothèses!$C$12,Hypothèses!$F$12,IF(B209&lt;=Hypothèses!$C$13,Hypothèses!$F$13,IF(B209&lt;=Hypothèses!$C$14,Hypothèses!$F$14,IF(B209&lt;=Hypothèses!$C$15,Hypothèses!$F$15,IF(B209&lt;=Hypothèses!$C$16,Hypothèses!$F$16,IF(B209&lt;=Hypothèses!$C$17,Hypothèses!$F$17,IF(B209&lt;=Hypothèses!$C$18,Hypothèses!$F$18,F208))))))))))))</f>
        <v/>
      </c>
      <c r="G209" s="91">
        <f t="array" ref="G209">INDEX('Coeff EC7'!$U$7:$X$27,
MATCH(Model0.1T!$B$3,'Coeff EC7'!$T$7:$T$27,0),
MATCH(Model0.1T!$D209&amp;Model0.1T!$B$4,
'Coeff EC7'!$U$6:$X$6&amp;
'Coeff EC7'!$U$5:$X$5,0))</f>
        <v>1.4</v>
      </c>
      <c r="H209" s="91">
        <f t="array" ref="H209">INDEX('Coeff EC7'!$Y$7:$AB$27,
MATCH(Model0.1T!$B$3,'Coeff EC7'!$T$7:$T$27,0),
MATCH(Model0.1T!$D209&amp;Model0.1T!$B$4,
'Coeff EC7'!$Y$6:$AB$6&amp;
'Coeff EC7'!$Y$5:$AB$5,0))</f>
        <v>1.7</v>
      </c>
      <c r="I209" s="83">
        <v>0</v>
      </c>
      <c r="J209" s="91" t="e">
        <f t="array" ref="J209">INDEX('Coeff EC7'!$D$33:$Q$33,1,MATCH(D209&amp;E209,'Coeff EC7'!$D$31:$Q$31&amp;'Coeff EC7'!$D$32:$Q$32,0))</f>
        <v>#N/A</v>
      </c>
      <c r="K209" s="91" t="e">
        <f t="array" ref="K209">INDEX('Coeff EC7'!$D$34:$Q$34,1,MATCH(D209&amp;E209,'Coeff EC7'!$D$31:$Q$31&amp;'Coeff EC7'!$D$32:$Q$32,0))</f>
        <v>#N/A</v>
      </c>
      <c r="L209" s="91" t="e">
        <f t="array" ref="L209">INDEX('Coeff EC7'!$D$35:$Q$35,1,MATCH(D209&amp;E209,'Coeff EC7'!$D$31:$Q$31&amp;'Coeff EC7'!$D$32:$Q$32,0))</f>
        <v>#N/A</v>
      </c>
      <c r="M209" s="98" t="e">
        <f t="shared" si="331"/>
        <v>#N/A</v>
      </c>
      <c r="N209" s="99" t="e">
        <f t="array" ref="N209">INDEX('Coeff EC7'!$D$7:$Q$27,MATCH($B$3,'Coeff EC7'!$C$7:$C$27,0),MATCH(D209&amp;E209,'Coeff EC7'!$D$5:$Q$5&amp;'Coeff EC7'!$D$6:$Q$6,0))</f>
        <v>#N/A</v>
      </c>
      <c r="O209" s="99" t="e">
        <f t="array" ref="O209">INDEX('Coeff EC7'!$D$41:$Q$61,MATCH($B$3,'Coeff EC7'!$C$41:$C$61,0),MATCH(D209&amp;E209,'Coeff EC7'!$D$39:$Q$39&amp;'Coeff EC7'!$D$40:$Q$40,0))</f>
        <v>#N/A</v>
      </c>
      <c r="P209" s="30" t="e">
        <f t="shared" si="366"/>
        <v>#N/A</v>
      </c>
      <c r="Q209" s="100" t="e">
        <f t="shared" si="333"/>
        <v>#N/A</v>
      </c>
      <c r="R209" s="86" t="b">
        <f t="shared" si="334"/>
        <v>0</v>
      </c>
      <c r="S209" s="86">
        <f t="shared" si="332"/>
        <v>0.5</v>
      </c>
      <c r="T209" s="86">
        <f t="shared" si="335"/>
        <v>0.5</v>
      </c>
      <c r="U209" s="30" t="e">
        <f t="shared" ca="1" si="367"/>
        <v>#DIV/0!</v>
      </c>
      <c r="V209" s="85" t="str">
        <f>IF(B209&lt;=Hypothèses!$V$7,Hypothèses!$W$7,IF(B209&lt;=Hypothèses!$V$8,Hypothèses!$W$8,IF(B209&lt;=Hypothèses!$V$9,Hypothèses!$W$9,IF(B209&lt;=Hypothèses!$V$10,Hypothèses!$W$10,IF(B209&lt;=Hypothèses!$V$11,Hypothèses!$W$11,IF(B209&lt;=Hypothèses!$V$12,Hypothèses!$W$12,IF(B209&lt;=Hypothèses!$V$13,Hypothèses!$W$13,IF(B209&lt;=Hypothèses!$V$14,Hypothèses!$W$14,IF(B209&lt;=Hypothèses!$V$15,Hypothèses!$W$15,IF(B209&lt;=Hypothèses!$V$16,Hypothèses!$W$16,IF(B209&lt;=Hypothèses!$V$17,Hypothèses!$W$17,IF(B209&lt;=Hypothèses!$V$18,Hypothèses!$W$18,""))))))))))))</f>
        <v/>
      </c>
      <c r="W209" s="87" t="e">
        <f t="shared" ref="W209:W272" ca="1" si="416">IF(V209&lt;&gt;"",V209,U209)</f>
        <v>#DIV/0!</v>
      </c>
      <c r="X209" s="88" t="str">
        <f>IF(B209&lt;=Hypothèses!$V$7,Hypothèses!$X$7,IF(B209&lt;=Hypothèses!$V$8,Hypothèses!$X$8,IF(B209&lt;=Hypothèses!$V$9,Hypothèses!$X$9,IF(B209&lt;=Hypothèses!$V$10,Hypothèses!$X$10,IF(B209&lt;=Hypothèses!$V$11,Hypothèses!$X$11,IF(B209&lt;=Hypothèses!$V$12,Hypothèses!$X$12,IF(B209&lt;=Hypothèses!$V$13,Hypothèses!$X$13,IF(B209&lt;=Hypothèses!$V$14,Hypothèses!$X$14,IF(B209&lt;=Hypothèses!$V$15,Hypothèses!$X$15,IF(B209&lt;=Hypothèses!$V$16,Hypothèses!$X$16,IF(B209&lt;=Hypothèses!$U$17,Hypothèses!$W$17,IF(B209&lt;=Hypothèses!$U$18,Hypothèses!$W$18,""))))))))))))</f>
        <v/>
      </c>
      <c r="Y209" s="95" t="e">
        <f t="shared" ca="1" si="336"/>
        <v>#DIV/0!</v>
      </c>
      <c r="Z209" s="101">
        <f t="shared" si="337"/>
        <v>0</v>
      </c>
      <c r="AA209" s="91">
        <f t="shared" si="338"/>
        <v>0</v>
      </c>
      <c r="AB209" s="30" t="e">
        <f t="shared" si="400"/>
        <v>#N/A</v>
      </c>
      <c r="AC209" s="30" t="e">
        <f t="shared" si="401"/>
        <v>#N/A</v>
      </c>
      <c r="AD209" s="31" t="e">
        <f>IF(OR(Hypothèses!$B$4=17,Hypothèses!$B$4=18,Hypothèses!$B$4=19,Hypothèses!$B$4=20),
IF($D209="Pressio.",
IF(OR($E209=3,$E209=1,$E209=4),AC209,AB209),
IF($D209="Pénétro.",
IF(OR($E209=3,$E209=1,$E209=4),AC209,AB209))),IF($D209="Pressio.",
IF($E209=3,AC209,AB209),
IF($D209="Pénétro.",
IF($E209=4,AC209,AB209))))</f>
        <v>#N/A</v>
      </c>
      <c r="AE209" s="31">
        <v>0</v>
      </c>
      <c r="AF209" s="102" t="e">
        <f>IF(NDC!$H$10="Oui",(VLOOKUP($B$3,'Coeff EC7'!$T$39:$X$59,2,0)*AD209+VLOOKUP($B$3,'Coeff EC7'!$T$65:$X$85,2,0)*Model0.1T!AE209)/1.5,PI()*AB$12*$Q209*($B209-$B208)*0.15/10+AF208)</f>
        <v>#N/A</v>
      </c>
      <c r="AG209" s="102" t="e">
        <f>(VLOOKUP($B$3,'Coeff EC7'!$T$39:$X$59,3,0)*AD209+VLOOKUP($B$3,'Coeff EC7'!$T$65:$X$85,3,0)*Model0.1T!AE209)/1.1</f>
        <v>#N/A</v>
      </c>
      <c r="AH209" s="102" t="e">
        <f t="shared" si="368"/>
        <v>#N/A</v>
      </c>
      <c r="AI209" s="102" t="e">
        <f t="shared" si="369"/>
        <v>#N/A</v>
      </c>
      <c r="AJ209" s="414" t="e">
        <f>IF(AND(AF209&gt;NDC!$C$63,AG209&gt;NDC!$C$65,AH209&gt;NDC!$D$73,AI209&gt;NDC!$D$74,$B209&gt;NDC!$H$22-0.1+MIN(3*$AJ$12,1.5)),0,1)</f>
        <v>#N/A</v>
      </c>
      <c r="AK209" s="86" t="b">
        <f t="shared" si="339"/>
        <v>0</v>
      </c>
      <c r="AL209" s="86">
        <f t="shared" si="370"/>
        <v>0.5</v>
      </c>
      <c r="AM209" s="86">
        <f t="shared" si="340"/>
        <v>0.5</v>
      </c>
      <c r="AN209" s="30" t="e">
        <f t="shared" ca="1" si="371"/>
        <v>#DIV/0!</v>
      </c>
      <c r="AO209" s="85" t="e">
        <f ca="1">IF(U209&lt;=Hypothèses!$V$7,Hypothèses!$W$7,IF(U209&lt;=Hypothèses!$V$8,Hypothèses!$W$8,IF(U209&lt;=Hypothèses!$V$9,Hypothèses!$W$9,IF(U209&lt;=Hypothèses!$V$10,Hypothèses!$W$10,IF(U209&lt;=Hypothèses!$V$11,Hypothèses!$W$11,IF(U209&lt;=Hypothèses!$V$12,Hypothèses!$W$12,IF(U209&lt;=Hypothèses!$V$13,Hypothèses!$W$13,IF(U209&lt;=Hypothèses!$V$14,Hypothèses!$W$14,IF(U209&lt;=Hypothèses!$V$15,Hypothèses!$W$15,IF(U209&lt;=Hypothèses!$V$16,Hypothèses!$W$16,IF(U209&lt;=Hypothèses!$V$17,Hypothèses!$W$17,IF(U209&lt;=Hypothèses!$V$18,Hypothèses!$W$18,""))))))))))))</f>
        <v>#DIV/0!</v>
      </c>
      <c r="AP209" s="87" t="e">
        <f t="shared" ref="AP209:AP272" ca="1" si="417">IF(AO209&lt;&gt;"",AO209,AN209)</f>
        <v>#DIV/0!</v>
      </c>
      <c r="AQ209" s="88" t="e">
        <f ca="1">IF(U209&lt;=Hypothèses!$V$7,Hypothèses!$X$7,IF(U209&lt;=Hypothèses!$V$8,Hypothèses!$X$8,IF(U209&lt;=Hypothèses!$V$9,Hypothèses!$X$9,IF(U209&lt;=Hypothèses!$V$10,Hypothèses!$X$10,IF(U209&lt;=Hypothèses!$V$11,Hypothèses!$X$11,IF(U209&lt;=Hypothèses!$V$12,Hypothèses!$X$12,IF(U209&lt;=Hypothèses!$V$13,Hypothèses!$X$13,IF(U209&lt;=Hypothèses!$V$14,Hypothèses!$X$14,IF(U209&lt;=Hypothèses!$V$15,Hypothèses!$X$15,IF(U209&lt;=Hypothèses!$V$16,Hypothèses!$X$16,IF(U209&lt;=Hypothèses!$U$17,Hypothèses!$W$17,IF(U209&lt;=Hypothèses!$U$18,Hypothèses!$W$18,""))))))))))))</f>
        <v>#DIV/0!</v>
      </c>
      <c r="AR209" s="95" t="e">
        <f t="shared" ca="1" si="372"/>
        <v>#DIV/0!</v>
      </c>
      <c r="AS209" s="101">
        <f t="shared" si="324"/>
        <v>0</v>
      </c>
      <c r="AT209" s="91">
        <f t="shared" si="341"/>
        <v>0</v>
      </c>
      <c r="AU209" s="30" t="e">
        <f t="shared" si="402"/>
        <v>#N/A</v>
      </c>
      <c r="AV209" s="30" t="e">
        <f t="shared" si="403"/>
        <v>#N/A</v>
      </c>
      <c r="AW209" s="31" t="e">
        <f>IF(OR(Hypothèses!$B$4=17,Hypothèses!$B$4=18,Hypothèses!$B$4=19,Hypothèses!$B$4=20),
IF($D209="Pressio.",
IF(OR($E209=3,$E209=1,$E209=4),AV209,AU209),
IF($D209="Pénétro.",
IF(OR($E209=3,$E209=1,$E209=4),AV209,AU209))),IF($D209="Pressio.",
IF($E209=3,AV209,AU209),
IF($D209="Pénétro.",
IF($E209=4,AV209,AU209))))</f>
        <v>#N/A</v>
      </c>
      <c r="AX209" s="31">
        <v>0</v>
      </c>
      <c r="AY209" s="102" t="e">
        <f>IF(NDC!$H$10="Oui",(VLOOKUP($B$3,'Coeff EC7'!$T$39:$X$59,2,0)*AW209+VLOOKUP($B$3,'Coeff EC7'!$T$65:$X$85,2,0)*Model0.1T!AX209)/1.5,PI()*AU$12*$Q209*($B209-$B208)*0.15/10+AY208)</f>
        <v>#N/A</v>
      </c>
      <c r="AZ209" s="102" t="e">
        <f>(VLOOKUP($B$3,'Coeff EC7'!$T$39:$X$59,3,0)*AW209+VLOOKUP($B$3,'Coeff EC7'!$T$65:$X$85,3,0)*Model0.1T!AX209)/1.1</f>
        <v>#N/A</v>
      </c>
      <c r="BA209" s="102" t="e">
        <f t="shared" si="373"/>
        <v>#N/A</v>
      </c>
      <c r="BB209" s="102" t="e">
        <f t="shared" si="374"/>
        <v>#N/A</v>
      </c>
      <c r="BC209" s="414" t="e">
        <f>IF(AND(AY209&gt;NDC!$C$63,AZ209&gt;NDC!$C$65,BA209&gt;NDC!$D$73,BB209&gt;NDC!$D$74,$B209&gt;NDC!$H$22-0.1+MIN(3*BC$12,1.5)),0,1)</f>
        <v>#N/A</v>
      </c>
      <c r="BD209" s="86" t="b">
        <f t="shared" si="342"/>
        <v>0</v>
      </c>
      <c r="BE209" s="86">
        <f t="shared" si="375"/>
        <v>0.5</v>
      </c>
      <c r="BF209" s="86">
        <f t="shared" si="343"/>
        <v>0.5</v>
      </c>
      <c r="BG209" s="30" t="e">
        <f t="shared" ca="1" si="376"/>
        <v>#DIV/0!</v>
      </c>
      <c r="BH209" s="85" t="e">
        <f ca="1">IF(AN209&lt;=Hypothèses!$V$7,Hypothèses!$W$7,IF(AN209&lt;=Hypothèses!$V$8,Hypothèses!$W$8,IF(AN209&lt;=Hypothèses!$V$9,Hypothèses!$W$9,IF(AN209&lt;=Hypothèses!$V$10,Hypothèses!$W$10,IF(AN209&lt;=Hypothèses!$V$11,Hypothèses!$W$11,IF(AN209&lt;=Hypothèses!$V$12,Hypothèses!$W$12,IF(AN209&lt;=Hypothèses!$V$13,Hypothèses!$W$13,IF(AN209&lt;=Hypothèses!$V$14,Hypothèses!$W$14,IF(AN209&lt;=Hypothèses!$V$15,Hypothèses!$W$15,IF(AN209&lt;=Hypothèses!$V$16,Hypothèses!$W$16,IF(AN209&lt;=Hypothèses!$V$17,Hypothèses!$W$17,IF(AN209&lt;=Hypothèses!$V$18,Hypothèses!$W$18,""))))))))))))</f>
        <v>#DIV/0!</v>
      </c>
      <c r="BI209" s="87" t="e">
        <f t="shared" ref="BI209:BI272" ca="1" si="418">IF(BH209&lt;&gt;"",BH209,BG209)</f>
        <v>#DIV/0!</v>
      </c>
      <c r="BJ209" s="88" t="e">
        <f ca="1">IF(AN209&lt;=Hypothèses!$V$7,Hypothèses!$X$7,IF(AN209&lt;=Hypothèses!$V$8,Hypothèses!$X$8,IF(AN209&lt;=Hypothèses!$V$9,Hypothèses!$X$9,IF(AN209&lt;=Hypothèses!$V$10,Hypothèses!$X$10,IF(AN209&lt;=Hypothèses!$V$11,Hypothèses!$X$11,IF(AN209&lt;=Hypothèses!$V$12,Hypothèses!$X$12,IF(AN209&lt;=Hypothèses!$V$13,Hypothèses!$X$13,IF(AN209&lt;=Hypothèses!$V$14,Hypothèses!$X$14,IF(AN209&lt;=Hypothèses!$V$15,Hypothèses!$X$15,IF(AN209&lt;=Hypothèses!$V$16,Hypothèses!$X$16,IF(AN209&lt;=Hypothèses!$U$17,Hypothèses!$W$17,IF(AN209&lt;=Hypothèses!$U$18,Hypothèses!$W$18,""))))))))))))</f>
        <v>#DIV/0!</v>
      </c>
      <c r="BK209" s="95" t="e">
        <f t="shared" ca="1" si="377"/>
        <v>#DIV/0!</v>
      </c>
      <c r="BL209" s="101">
        <f t="shared" si="325"/>
        <v>0</v>
      </c>
      <c r="BM209" s="91">
        <f t="shared" si="344"/>
        <v>0</v>
      </c>
      <c r="BN209" s="30" t="e">
        <f t="shared" si="404"/>
        <v>#N/A</v>
      </c>
      <c r="BO209" s="30" t="e">
        <f t="shared" si="405"/>
        <v>#N/A</v>
      </c>
      <c r="BP209" s="31" t="e">
        <f>IF(OR(Hypothèses!$B$4=17,Hypothèses!$B$4=18,Hypothèses!$B$4=19,Hypothèses!$B$4=20),
IF($D209="Pressio.",
IF(OR($E209=3,$E209=1,$E209=4),BO209,BN209),
IF($D209="Pénétro.",
IF(OR($E209=3,$E209=1,$E209=4),BO209,BN209))),IF($D209="Pressio.",
IF($E209=3,BO209,BN209),
IF($D209="Pénétro.",
IF($E209=4,BO209,BN209))))</f>
        <v>#N/A</v>
      </c>
      <c r="BQ209" s="31">
        <v>0</v>
      </c>
      <c r="BR209" s="102" t="e">
        <f>IF(NDC!$H$10="Oui",(VLOOKUP($B$3,'Coeff EC7'!$T$39:$X$59,2,0)*BP209+VLOOKUP($B$3,'Coeff EC7'!$T$65:$X$85,2,0)*Model0.1T!BQ209)/1.5,PI()*BN$12*$Q209*($B209-$B208)*0.15/10+BR208)</f>
        <v>#N/A</v>
      </c>
      <c r="BS209" s="102" t="e">
        <f>(VLOOKUP($B$3,'Coeff EC7'!$T$39:$X$59,3,0)*BP209+VLOOKUP($B$3,'Coeff EC7'!$T$65:$X$85,3,0)*Model0.1T!BQ209)/1.1</f>
        <v>#N/A</v>
      </c>
      <c r="BT209" s="102" t="e">
        <f t="shared" si="378"/>
        <v>#N/A</v>
      </c>
      <c r="BU209" s="102" t="e">
        <f t="shared" si="379"/>
        <v>#N/A</v>
      </c>
      <c r="BV209" s="414" t="e">
        <f>IF(AND(BR209&gt;NDC!$C$63,BS209&gt;NDC!$C$65,BT209&gt;NDC!$D$73,BU209&gt;NDC!$D$74,$B209&gt;NDC!$H$22-0.1+MIN(3*BV$12,1.5)),0,1)</f>
        <v>#N/A</v>
      </c>
      <c r="BW209" s="86" t="b">
        <f t="shared" si="345"/>
        <v>0</v>
      </c>
      <c r="BX209" s="86">
        <f t="shared" si="346"/>
        <v>0.5</v>
      </c>
      <c r="BY209" s="86">
        <f t="shared" si="347"/>
        <v>0.5</v>
      </c>
      <c r="BZ209" s="30" t="e">
        <f t="shared" ca="1" si="380"/>
        <v>#DIV/0!</v>
      </c>
      <c r="CA209" s="85" t="e">
        <f ca="1">IF(BG209&lt;=Hypothèses!$V$7,Hypothèses!$W$7,IF(BG209&lt;=Hypothèses!$V$8,Hypothèses!$W$8,IF(BG209&lt;=Hypothèses!$V$9,Hypothèses!$W$9,IF(BG209&lt;=Hypothèses!$V$10,Hypothèses!$W$10,IF(BG209&lt;=Hypothèses!$V$11,Hypothèses!$W$11,IF(BG209&lt;=Hypothèses!$V$12,Hypothèses!$W$12,IF(BG209&lt;=Hypothèses!$V$13,Hypothèses!$W$13,IF(BG209&lt;=Hypothèses!$V$14,Hypothèses!$W$14,IF(BG209&lt;=Hypothèses!$V$15,Hypothèses!$W$15,IF(BG209&lt;=Hypothèses!$V$16,Hypothèses!$W$16,IF(BG209&lt;=Hypothèses!$V$17,Hypothèses!$W$17,IF(BG209&lt;=Hypothèses!$V$18,Hypothèses!$W$18,""))))))))))))</f>
        <v>#DIV/0!</v>
      </c>
      <c r="CB209" s="87" t="e">
        <f t="shared" ref="CB209:CB272" ca="1" si="419">IF(CA209&lt;&gt;"",CA209,BZ209)</f>
        <v>#DIV/0!</v>
      </c>
      <c r="CC209" s="88" t="e">
        <f ca="1">IF(BG209&lt;=Hypothèses!$V$7,Hypothèses!$X$7,IF(BG209&lt;=Hypothèses!$V$8,Hypothèses!$X$8,IF(BG209&lt;=Hypothèses!$V$9,Hypothèses!$X$9,IF(BG209&lt;=Hypothèses!$V$10,Hypothèses!$X$10,IF(BG209&lt;=Hypothèses!$V$11,Hypothèses!$X$11,IF(BG209&lt;=Hypothèses!$V$12,Hypothèses!$X$12,IF(BG209&lt;=Hypothèses!$V$13,Hypothèses!$X$13,IF(BG209&lt;=Hypothèses!$V$14,Hypothèses!$X$14,IF(BG209&lt;=Hypothèses!$V$15,Hypothèses!$X$15,IF(BG209&lt;=Hypothèses!$V$16,Hypothèses!$X$16,IF(BG209&lt;=Hypothèses!$U$17,Hypothèses!$W$17,IF(BG209&lt;=Hypothèses!$U$18,Hypothèses!$W$18,""))))))))))))</f>
        <v>#DIV/0!</v>
      </c>
      <c r="CD209" s="95" t="e">
        <f t="shared" ca="1" si="381"/>
        <v>#DIV/0!</v>
      </c>
      <c r="CE209" s="101">
        <f t="shared" si="326"/>
        <v>0</v>
      </c>
      <c r="CF209" s="91">
        <f t="shared" si="348"/>
        <v>0</v>
      </c>
      <c r="CG209" s="30" t="e">
        <f t="shared" si="406"/>
        <v>#N/A</v>
      </c>
      <c r="CH209" s="30" t="e">
        <f t="shared" si="407"/>
        <v>#N/A</v>
      </c>
      <c r="CI209" s="31" t="e">
        <f>IF(OR(Hypothèses!$B$4=17,Hypothèses!$B$4=18,Hypothèses!$B$4=19,Hypothèses!$B$4=20),
IF($D209="Pressio.",
IF(OR($E209=3,$E209=1,$E209=4),CH209,CG209),
IF($D209="Pénétro.",
IF(OR($E209=3,$E209=1,$E209=4),CH209,CG209))),IF($D209="Pressio.",
IF($E209=3,CH209,CG209),
IF($D209="Pénétro.",
IF($E209=4,CH209,CG209))))</f>
        <v>#N/A</v>
      </c>
      <c r="CJ209" s="31">
        <v>0</v>
      </c>
      <c r="CK209" s="102" t="e">
        <f>IF(NDC!$H$10="Oui",(VLOOKUP($B$3,'Coeff EC7'!$T$39:$X$59,2,0)*CI209+VLOOKUP($B$3,'Coeff EC7'!$T$65:$X$85,2,0)*Model0.1T!CJ209)/1.5,PI()*CG$12*$Q209*($B209-$B208)*0.15/10+CK208)</f>
        <v>#N/A</v>
      </c>
      <c r="CL209" s="102" t="e">
        <f>(VLOOKUP($B$3,'Coeff EC7'!$T$39:$X$59,3,0)*CI209+VLOOKUP($B$3,'Coeff EC7'!$T$65:$X$85,3,0)*Model0.1T!CJ209)/1.1</f>
        <v>#N/A</v>
      </c>
      <c r="CM209" s="102" t="e">
        <f t="shared" si="382"/>
        <v>#N/A</v>
      </c>
      <c r="CN209" s="102" t="e">
        <f t="shared" si="383"/>
        <v>#N/A</v>
      </c>
      <c r="CO209" s="414" t="e">
        <f>IF(AND(CK209&gt;NDC!$C$63,CL209&gt;NDC!$C$65,CM209&gt;NDC!$D$73,CN209&gt;NDC!$D$74,$B209&gt;NDC!$H$22-0.1+MIN(3*CO$12,1.5)),0,1)</f>
        <v>#N/A</v>
      </c>
      <c r="CP209" s="86" t="b">
        <f t="shared" si="349"/>
        <v>0</v>
      </c>
      <c r="CQ209" s="86">
        <f t="shared" si="350"/>
        <v>0.5</v>
      </c>
      <c r="CR209" s="86">
        <f t="shared" si="351"/>
        <v>0.5</v>
      </c>
      <c r="CS209" s="30" t="e">
        <f t="shared" ca="1" si="384"/>
        <v>#DIV/0!</v>
      </c>
      <c r="CT209" s="85" t="e">
        <f ca="1">IF(BZ209&lt;=Hypothèses!$V$7,Hypothèses!$W$7,IF(BZ209&lt;=Hypothèses!$V$8,Hypothèses!$W$8,IF(BZ209&lt;=Hypothèses!$V$9,Hypothèses!$W$9,IF(BZ209&lt;=Hypothèses!$V$10,Hypothèses!$W$10,IF(BZ209&lt;=Hypothèses!$V$11,Hypothèses!$W$11,IF(BZ209&lt;=Hypothèses!$V$12,Hypothèses!$W$12,IF(BZ209&lt;=Hypothèses!$V$13,Hypothèses!$W$13,IF(BZ209&lt;=Hypothèses!$V$14,Hypothèses!$W$14,IF(BZ209&lt;=Hypothèses!$V$15,Hypothèses!$W$15,IF(BZ209&lt;=Hypothèses!$V$16,Hypothèses!$W$16,IF(BZ209&lt;=Hypothèses!$V$17,Hypothèses!$W$17,IF(BZ209&lt;=Hypothèses!$V$18,Hypothèses!$W$18,""))))))))))))</f>
        <v>#DIV/0!</v>
      </c>
      <c r="CU209" s="87" t="e">
        <f t="shared" ref="CU209:CU272" ca="1" si="420">IF(CT209&lt;&gt;"",CT209,CS209)</f>
        <v>#DIV/0!</v>
      </c>
      <c r="CV209" s="88" t="e">
        <f ca="1">IF(BZ209&lt;=Hypothèses!$V$7,Hypothèses!$X$7,IF(BZ209&lt;=Hypothèses!$V$8,Hypothèses!$X$8,IF(BZ209&lt;=Hypothèses!$V$9,Hypothèses!$X$9,IF(BZ209&lt;=Hypothèses!$V$10,Hypothèses!$X$10,IF(BZ209&lt;=Hypothèses!$V$11,Hypothèses!$X$11,IF(BZ209&lt;=Hypothèses!$V$12,Hypothèses!$X$12,IF(BZ209&lt;=Hypothèses!$V$13,Hypothèses!$X$13,IF(BZ209&lt;=Hypothèses!$V$14,Hypothèses!$X$14,IF(BZ209&lt;=Hypothèses!$V$15,Hypothèses!$X$15,IF(BZ209&lt;=Hypothèses!$V$16,Hypothèses!$X$16,IF(BZ209&lt;=Hypothèses!$U$17,Hypothèses!$W$17,IF(BZ209&lt;=Hypothèses!$U$18,Hypothèses!$W$18,""))))))))))))</f>
        <v>#DIV/0!</v>
      </c>
      <c r="CW209" s="95" t="e">
        <f t="shared" ca="1" si="385"/>
        <v>#DIV/0!</v>
      </c>
      <c r="CX209" s="101">
        <f t="shared" si="327"/>
        <v>0</v>
      </c>
      <c r="CY209" s="91">
        <f t="shared" si="352"/>
        <v>0</v>
      </c>
      <c r="CZ209" s="30" t="e">
        <f t="shared" si="408"/>
        <v>#N/A</v>
      </c>
      <c r="DA209" s="30" t="e">
        <f t="shared" si="409"/>
        <v>#N/A</v>
      </c>
      <c r="DB209" s="31" t="e">
        <f>IF(OR(Hypothèses!$B$4=17,Hypothèses!$B$4=18,Hypothèses!$B$4=19,Hypothèses!$B$4=20),
IF($D209="Pressio.",
IF(OR($E209=3,$E209=1,$E209=4),DA209,CZ209),
IF($D209="Pénétro.",
IF(OR($E209=3,$E209=1,$E209=4),DA209,CZ209))),IF($D209="Pressio.",
IF($E209=3,DA209,CZ209),
IF($D209="Pénétro.",
IF($E209=4,DA209,CZ209))))</f>
        <v>#N/A</v>
      </c>
      <c r="DC209" s="31">
        <v>0</v>
      </c>
      <c r="DD209" s="102" t="e">
        <f>IF(NDC!$H$10="Oui",(VLOOKUP($B$3,'Coeff EC7'!$T$39:$X$59,2,0)*DB209+VLOOKUP($B$3,'Coeff EC7'!$T$65:$X$85,2,0)*Model0.1T!DC209)/1.5,PI()*CZ$12*$Q209*($B209-$B208)*0.15/10+DD208)</f>
        <v>#N/A</v>
      </c>
      <c r="DE209" s="102" t="e">
        <f>(VLOOKUP($B$3,'Coeff EC7'!$T$39:$X$59,3,0)*DB209+VLOOKUP($B$3,'Coeff EC7'!$T$65:$X$85,3,0)*Model0.1T!DC209)/1.1</f>
        <v>#N/A</v>
      </c>
      <c r="DF209" s="102" t="e">
        <f t="shared" si="386"/>
        <v>#N/A</v>
      </c>
      <c r="DG209" s="102" t="e">
        <f t="shared" si="387"/>
        <v>#N/A</v>
      </c>
      <c r="DH209" s="414" t="e">
        <f>IF(AND(DD209&gt;NDC!$C$63,DE209&gt;NDC!$C$65,DF209&gt;NDC!$D$73,DG209&gt;NDC!$D$74,$B209&gt;NDC!$H$22-0.1+MIN(3*DH$12,1.5)),0,1)</f>
        <v>#N/A</v>
      </c>
      <c r="DI209" s="86" t="b">
        <f t="shared" si="353"/>
        <v>0</v>
      </c>
      <c r="DJ209" s="86">
        <f t="shared" si="354"/>
        <v>0.5</v>
      </c>
      <c r="DK209" s="86">
        <f t="shared" si="355"/>
        <v>0.5</v>
      </c>
      <c r="DL209" s="30" t="e">
        <f t="shared" ca="1" si="388"/>
        <v>#DIV/0!</v>
      </c>
      <c r="DM209" s="85" t="e">
        <f ca="1">IF(CS209&lt;=Hypothèses!$V$7,Hypothèses!$W$7,IF(CS209&lt;=Hypothèses!$V$8,Hypothèses!$W$8,IF(CS209&lt;=Hypothèses!$V$9,Hypothèses!$W$9,IF(CS209&lt;=Hypothèses!$V$10,Hypothèses!$W$10,IF(CS209&lt;=Hypothèses!$V$11,Hypothèses!$W$11,IF(CS209&lt;=Hypothèses!$V$12,Hypothèses!$W$12,IF(CS209&lt;=Hypothèses!$V$13,Hypothèses!$W$13,IF(CS209&lt;=Hypothèses!$V$14,Hypothèses!$W$14,IF(CS209&lt;=Hypothèses!$V$15,Hypothèses!$W$15,IF(CS209&lt;=Hypothèses!$V$16,Hypothèses!$W$16,IF(CS209&lt;=Hypothèses!$V$17,Hypothèses!$W$17,IF(CS209&lt;=Hypothèses!$V$18,Hypothèses!$W$18,""))))))))))))</f>
        <v>#DIV/0!</v>
      </c>
      <c r="DN209" s="87" t="e">
        <f t="shared" ref="DN209:DN272" ca="1" si="421">IF(DM209&lt;&gt;"",DM209,DL209)</f>
        <v>#DIV/0!</v>
      </c>
      <c r="DO209" s="88" t="e">
        <f ca="1">IF(CS209&lt;=Hypothèses!$V$7,Hypothèses!$X$7,IF(CS209&lt;=Hypothèses!$V$8,Hypothèses!$X$8,IF(CS209&lt;=Hypothèses!$V$9,Hypothèses!$X$9,IF(CS209&lt;=Hypothèses!$V$10,Hypothèses!$X$10,IF(CS209&lt;=Hypothèses!$V$11,Hypothèses!$X$11,IF(CS209&lt;=Hypothèses!$V$12,Hypothèses!$X$12,IF(CS209&lt;=Hypothèses!$V$13,Hypothèses!$X$13,IF(CS209&lt;=Hypothèses!$V$14,Hypothèses!$X$14,IF(CS209&lt;=Hypothèses!$V$15,Hypothèses!$X$15,IF(CS209&lt;=Hypothèses!$V$16,Hypothèses!$X$16,IF(CS209&lt;=Hypothèses!$U$17,Hypothèses!$W$17,IF(CS209&lt;=Hypothèses!$U$18,Hypothèses!$W$18,""))))))))))))</f>
        <v>#DIV/0!</v>
      </c>
      <c r="DP209" s="95" t="e">
        <f t="shared" ca="1" si="389"/>
        <v>#DIV/0!</v>
      </c>
      <c r="DQ209" s="101">
        <f t="shared" si="328"/>
        <v>0</v>
      </c>
      <c r="DR209" s="91">
        <f t="shared" si="356"/>
        <v>0</v>
      </c>
      <c r="DS209" s="30" t="e">
        <f t="shared" si="410"/>
        <v>#N/A</v>
      </c>
      <c r="DT209" s="30" t="e">
        <f t="shared" si="411"/>
        <v>#N/A</v>
      </c>
      <c r="DU209" s="31" t="e">
        <f>IF(OR(Hypothèses!$B$4=17,Hypothèses!$B$4=18,Hypothèses!$B$4=19,Hypothèses!$B$4=20),
IF($D209="Pressio.",
IF(OR($E209=3,$E209=1,$E209=4),DT209,DS209),
IF($D209="Pénétro.",
IF(OR($E209=3,$E209=1,$E209=4),DT209,DS209))),IF($D209="Pressio.",
IF($E209=3,DT209,DS209),
IF($D209="Pénétro.",
IF($E209=4,DT209,DS209))))</f>
        <v>#N/A</v>
      </c>
      <c r="DV209" s="31">
        <v>0</v>
      </c>
      <c r="DW209" s="102" t="e">
        <f>IF(NDC!$H$10="Oui",(VLOOKUP($B$3,'Coeff EC7'!$T$39:$X$59,2,0)*DU209+VLOOKUP($B$3,'Coeff EC7'!$T$65:$X$85,2,0)*Model0.1T!DV209)/1.5,PI()*DS$12*$Q209*($B209-$B208)*0.15/10+DW208)</f>
        <v>#N/A</v>
      </c>
      <c r="DX209" s="102" t="e">
        <f>(VLOOKUP($B$3,'Coeff EC7'!$T$39:$X$59,3,0)*DU209+VLOOKUP($B$3,'Coeff EC7'!$T$65:$X$85,3,0)*Model0.1T!DV209)/1.1</f>
        <v>#N/A</v>
      </c>
      <c r="DY209" s="102" t="e">
        <f t="shared" si="390"/>
        <v>#N/A</v>
      </c>
      <c r="DZ209" s="102" t="e">
        <f t="shared" si="391"/>
        <v>#N/A</v>
      </c>
      <c r="EA209" s="414" t="e">
        <f>IF(AND(DW209&gt;NDC!$C$63,DX209&gt;NDC!$C$65,DY209&gt;NDC!$D$73,DZ209&gt;NDC!$D$74,$B209&gt;NDC!$H$22-0.1+MIN(3*EA$12,1.5)),0,1)</f>
        <v>#N/A</v>
      </c>
      <c r="EB209" s="86" t="b">
        <f t="shared" si="357"/>
        <v>0</v>
      </c>
      <c r="EC209" s="418">
        <f t="shared" si="358"/>
        <v>0.51</v>
      </c>
      <c r="ED209" s="86">
        <f t="shared" si="359"/>
        <v>0.51</v>
      </c>
      <c r="EE209" s="30" t="e">
        <f t="shared" ca="1" si="392"/>
        <v>#DIV/0!</v>
      </c>
      <c r="EF209" s="85" t="e">
        <f ca="1">IF(DL209&lt;=Hypothèses!$V$7,Hypothèses!$W$7,IF(DL209&lt;=Hypothèses!$V$8,Hypothèses!$W$8,IF(DL209&lt;=Hypothèses!$V$9,Hypothèses!$W$9,IF(DL209&lt;=Hypothèses!$V$10,Hypothèses!$W$10,IF(DL209&lt;=Hypothèses!$V$11,Hypothèses!$W$11,IF(DL209&lt;=Hypothèses!$V$12,Hypothèses!$W$12,IF(DL209&lt;=Hypothèses!$V$13,Hypothèses!$W$13,IF(DL209&lt;=Hypothèses!$V$14,Hypothèses!$W$14,IF(DL209&lt;=Hypothèses!$V$15,Hypothèses!$W$15,IF(DL209&lt;=Hypothèses!$V$16,Hypothèses!$W$16,IF(DL209&lt;=Hypothèses!$V$17,Hypothèses!$W$17,IF(DL209&lt;=Hypothèses!$V$18,Hypothèses!$W$18,""))))))))))))</f>
        <v>#DIV/0!</v>
      </c>
      <c r="EG209" s="87" t="e">
        <f t="shared" ref="EG209:EG272" ca="1" si="422">IF(EF209&lt;&gt;"",EF209,EE209)</f>
        <v>#DIV/0!</v>
      </c>
      <c r="EH209" s="88" t="e">
        <f ca="1">IF(DL209&lt;=Hypothèses!$V$7,Hypothèses!$X$7,IF(DL209&lt;=Hypothèses!$V$8,Hypothèses!$X$8,IF(DL209&lt;=Hypothèses!$V$9,Hypothèses!$X$9,IF(DL209&lt;=Hypothèses!$V$10,Hypothèses!$X$10,IF(DL209&lt;=Hypothèses!$V$11,Hypothèses!$X$11,IF(DL209&lt;=Hypothèses!$V$12,Hypothèses!$X$12,IF(DL209&lt;=Hypothèses!$V$13,Hypothèses!$X$13,IF(DL209&lt;=Hypothèses!$V$14,Hypothèses!$X$14,IF(DL209&lt;=Hypothèses!$V$15,Hypothèses!$X$15,IF(DL209&lt;=Hypothèses!$V$16,Hypothèses!$X$16,IF(DL209&lt;=Hypothèses!$U$17,Hypothèses!$W$17,IF(DL209&lt;=Hypothèses!$U$18,Hypothèses!$W$18,""))))))))))))</f>
        <v>#DIV/0!</v>
      </c>
      <c r="EI209" s="95" t="e">
        <f t="shared" ca="1" si="393"/>
        <v>#DIV/0!</v>
      </c>
      <c r="EJ209" s="101">
        <f t="shared" si="329"/>
        <v>0</v>
      </c>
      <c r="EK209" s="91">
        <f t="shared" si="360"/>
        <v>0</v>
      </c>
      <c r="EL209" s="30" t="e">
        <f t="shared" si="412"/>
        <v>#N/A</v>
      </c>
      <c r="EM209" s="30" t="e">
        <f t="shared" si="413"/>
        <v>#N/A</v>
      </c>
      <c r="EN209" s="31" t="e">
        <f>IF(OR(Hypothèses!$B$4=17,Hypothèses!$B$4=18,Hypothèses!$B$4=19,Hypothèses!$B$4=20),
IF($D209="Pressio.",
IF(OR($E209=3,$E209=1,$E209=4),EM209,EL209),
IF($D209="Pénétro.",
IF(OR($E209=3,$E209=1,$E209=4),EM209,EL209))),IF($D209="Pressio.",
IF($E209=3,EM209,EL209),
IF($D209="Pénétro.",
IF($E209=4,EM209,EL209))))</f>
        <v>#N/A</v>
      </c>
      <c r="EO209" s="31">
        <v>0</v>
      </c>
      <c r="EP209" s="102" t="e">
        <f>IF(NDC!$H$10="Oui",(VLOOKUP($B$3,'Coeff EC7'!$T$39:$X$59,2,0)*EN209+VLOOKUP($B$3,'Coeff EC7'!$T$65:$X$85,2,0)*Model0.1T!EO209)/1.5,PI()*EL$12*$Q209*($B209-$B208)*0.15/10+EP208)</f>
        <v>#N/A</v>
      </c>
      <c r="EQ209" s="102" t="e">
        <f>(VLOOKUP($B$3,'Coeff EC7'!$T$39:$X$59,3,0)*EN209+VLOOKUP($B$3,'Coeff EC7'!$T$65:$X$85,3,0)*Model0.1T!EO209)/1.1</f>
        <v>#N/A</v>
      </c>
      <c r="ER209" s="102" t="e">
        <f t="shared" si="394"/>
        <v>#N/A</v>
      </c>
      <c r="ES209" s="102" t="e">
        <f t="shared" si="395"/>
        <v>#N/A</v>
      </c>
      <c r="ET209" s="414" t="e">
        <f>IF(AND(EP209&gt;NDC!$C$63,EQ209&gt;NDC!$C$65,ER209&gt;NDC!$D$73,ES209&gt;NDC!$D$74,$B209&gt;NDC!$H$22-0.1+MIN(3*ET$12,1.5)),0,1)</f>
        <v>#N/A</v>
      </c>
      <c r="EU209" s="86" t="b">
        <f t="shared" si="361"/>
        <v>0</v>
      </c>
      <c r="EV209" s="86">
        <f t="shared" si="362"/>
        <v>0.61</v>
      </c>
      <c r="EW209" s="86">
        <f t="shared" si="363"/>
        <v>0.61</v>
      </c>
      <c r="EX209" s="30" t="e">
        <f t="shared" ca="1" si="396"/>
        <v>#DIV/0!</v>
      </c>
      <c r="EY209" s="85" t="e">
        <f ca="1">IF(EE209&lt;=Hypothèses!$V$7,Hypothèses!$W$7,IF(EE209&lt;=Hypothèses!$V$8,Hypothèses!$W$8,IF(EE209&lt;=Hypothèses!$V$9,Hypothèses!$W$9,IF(EE209&lt;=Hypothèses!$V$10,Hypothèses!$W$10,IF(EE209&lt;=Hypothèses!$V$11,Hypothèses!$W$11,IF(EE209&lt;=Hypothèses!$V$12,Hypothèses!$W$12,IF(EE209&lt;=Hypothèses!$V$13,Hypothèses!$W$13,IF(EE209&lt;=Hypothèses!$V$14,Hypothèses!$W$14,IF(EE209&lt;=Hypothèses!$V$15,Hypothèses!$W$15,IF(EE209&lt;=Hypothèses!$V$16,Hypothèses!$W$16,IF(EE209&lt;=Hypothèses!$V$17,Hypothèses!$W$17,IF(EE209&lt;=Hypothèses!$V$18,Hypothèses!$W$18,""))))))))))))</f>
        <v>#DIV/0!</v>
      </c>
      <c r="EZ209" s="87" t="e">
        <f t="shared" ref="EZ209:EZ272" ca="1" si="423">IF(EY209&lt;&gt;"",EY209,EX209)</f>
        <v>#DIV/0!</v>
      </c>
      <c r="FA209" s="88" t="e">
        <f ca="1">IF(EE209&lt;=Hypothèses!$V$7,Hypothèses!$X$7,IF(EE209&lt;=Hypothèses!$V$8,Hypothèses!$X$8,IF(EE209&lt;=Hypothèses!$V$9,Hypothèses!$X$9,IF(EE209&lt;=Hypothèses!$V$10,Hypothèses!$X$10,IF(EE209&lt;=Hypothèses!$V$11,Hypothèses!$X$11,IF(EE209&lt;=Hypothèses!$V$12,Hypothèses!$X$12,IF(EE209&lt;=Hypothèses!$V$13,Hypothèses!$X$13,IF(EE209&lt;=Hypothèses!$V$14,Hypothèses!$X$14,IF(EE209&lt;=Hypothèses!$V$15,Hypothèses!$X$15,IF(EE209&lt;=Hypothèses!$V$16,Hypothèses!$X$16,IF(EE209&lt;=Hypothèses!$U$17,Hypothèses!$W$17,IF(EE209&lt;=Hypothèses!$U$18,Hypothèses!$W$18,""))))))))))))</f>
        <v>#DIV/0!</v>
      </c>
      <c r="FB209" s="95" t="e">
        <f t="shared" ca="1" si="397"/>
        <v>#DIV/0!</v>
      </c>
      <c r="FC209" s="101">
        <f t="shared" si="330"/>
        <v>0</v>
      </c>
      <c r="FD209" s="91">
        <f t="shared" si="364"/>
        <v>0</v>
      </c>
      <c r="FE209" s="30" t="e">
        <f t="shared" si="414"/>
        <v>#N/A</v>
      </c>
      <c r="FF209" s="30" t="e">
        <f t="shared" si="415"/>
        <v>#N/A</v>
      </c>
      <c r="FG209" s="31" t="e">
        <f>IF(OR(Hypothèses!$B$4=17,Hypothèses!$B$4=18,Hypothèses!$B$4=19,Hypothèses!$B$4=20),
IF($D209="Pressio.",
IF(OR($E209=3,$E209=1,$E209=4),FF209,FE209),
IF($D209="Pénétro.",
IF(OR($E209=3,$E209=1,$E209=4),FF209,FE209))),IF($D209="Pressio.",
IF($E209=3,FF209,FE209),
IF($D209="Pénétro.",
IF($E209=4,FF209,FE209))))</f>
        <v>#N/A</v>
      </c>
      <c r="FH209" s="31">
        <v>0</v>
      </c>
      <c r="FI209" s="102" t="e">
        <f>IF(NDC!$H$10="Oui",(VLOOKUP($B$3,'Coeff EC7'!$T$39:$X$59,2,0)*FG209+VLOOKUP($B$3,'Coeff EC7'!$T$65:$X$85,2,0)*Model0.1T!FH209)/1.5,PI()*FE$12*$Q209*($B209-$B208)*0.15/10+FI208)</f>
        <v>#N/A</v>
      </c>
      <c r="FJ209" s="102" t="e">
        <f>(VLOOKUP($B$3,'Coeff EC7'!$T$39:$X$59,3,0)*FG209+VLOOKUP($B$3,'Coeff EC7'!$T$65:$X$85,3,0)*Model0.1T!FH209)/1.1</f>
        <v>#N/A</v>
      </c>
      <c r="FK209" s="102" t="e">
        <f t="shared" si="398"/>
        <v>#N/A</v>
      </c>
      <c r="FL209" s="102" t="e">
        <f t="shared" si="399"/>
        <v>#N/A</v>
      </c>
      <c r="FM209" s="414" t="e">
        <f>IF(AND(FI209&gt;NDC!$C$63,FJ209&gt;NDC!$C$65,FK209&gt;NDC!$D$73,FL209&gt;NDC!$D$74,$B209&gt;NDC!$H$22-0.1+MIN(3*FM$12,1.5)),0,1)</f>
        <v>#N/A</v>
      </c>
    </row>
    <row r="210" spans="1:169">
      <c r="A210" s="96">
        <f t="shared" si="365"/>
        <v>80.30000000000112</v>
      </c>
      <c r="B210" s="97">
        <v>19.7</v>
      </c>
      <c r="C210" s="81">
        <f>IF(B210&lt;=Hypothèses!$C$7,Hypothèses!$A$7,IF(B210&lt;=Hypothèses!$C$8,Hypothèses!$A$8,IF(B210&lt;=Hypothèses!$C$9,Hypothèses!$A$9,IF(B210&lt;=Hypothèses!$C$10,Hypothèses!$A$10,IF(B210&lt;=Hypothèses!$C$11,Hypothèses!$A$11,IF(B210&lt;=Hypothèses!$C$12,Hypothèses!$A$12,IF(B210&lt;=Hypothèses!$C$13,Hypothèses!$A$13,IF(B210&lt;=Hypothèses!$C$14,Hypothèses!$A$14,IF(B210&lt;=Hypothèses!$C$15,Hypothèses!$A$15,IF(B210&lt;=Hypothèses!$C$16,Hypothèses!$A$16,IF(B210&lt;=Hypothèses!$C$17,Hypothèses!$A$17,IF(B210&lt;=Hypothèses!$C$18,Hypothèses!$A$18,C209))))))))))))</f>
        <v>11</v>
      </c>
      <c r="D210" s="82" t="str">
        <f>IF(B210&lt;=Hypothèses!$C$7,Hypothèses!$R$7,IF(B210&lt;=Hypothèses!$C$8,Hypothèses!$R$8,IF(B210&lt;=Hypothèses!$C$9,Hypothèses!$R$9,IF(B210&lt;=Hypothèses!$C$10,Hypothèses!$R$10,IF(B210&lt;=Hypothèses!$C$11,Hypothèses!$R$11,IF(B210&lt;=Hypothèses!$C$12,Hypothèses!$R$12,IF(B210&lt;=Hypothèses!$C$13,Hypothèses!$R$13,IF(B210&lt;=Hypothèses!$C$14,Hypothèses!$R$14,IF(B210&lt;=Hypothèses!$C$15,Hypothèses!$R$15,IF(B210&lt;=Hypothèses!$C$16,Hypothèses!$R$16,IF(B210&lt;=Hypothèses!$C$17,Hypothèses!$R$17,IF(B210&lt;=Hypothèses!$C$18,Hypothèses!$R$18,D209))))))))))))</f>
        <v>Pressio.</v>
      </c>
      <c r="E210" s="82" t="e">
        <f>IF(B210&lt;=Hypothèses!$C$7,Hypothèses!$G$7,IF(B210&lt;=Hypothèses!$C$8,Hypothèses!$G$8,IF(B210&lt;=Hypothèses!$C$9,Hypothèses!$G$9,IF(B210&lt;=Hypothèses!$C$10,Hypothèses!$G$10,IF(B210&lt;=Hypothèses!$C$11,Hypothèses!$G$11,IF(B210&lt;=Hypothèses!$C$12,Hypothèses!$G$12,IF(B210&lt;=Hypothèses!$C$13,Hypothèses!$G$13,IF(B210&lt;=Hypothèses!$C$14,Hypothèses!$G$14,IF(B210&lt;=Hypothèses!$C$15,Hypothèses!$G$15,IF(B210&lt;=Hypothèses!$C$16,Hypothèses!$G$16,IF(B210&lt;=Hypothèses!$C$17,Hypothèses!$G$17,IF(B210&lt;=Hypothèses!$C$18,Hypothèses!$G$18,E209))))))))))))</f>
        <v>#N/A</v>
      </c>
      <c r="F210" s="82" t="str">
        <f>IF(B210&lt;=Hypothèses!$C$7,Hypothèses!$F$7,IF(B210&lt;=Hypothèses!$C$8,Hypothèses!$F$8,IF(B210&lt;=Hypothèses!$C$9,Hypothèses!$F$9,IF(B210&lt;=Hypothèses!$C$10,Hypothèses!$F$10,IF(B210&lt;=Hypothèses!$C$11,Hypothèses!$F$11,IF(B210&lt;=Hypothèses!$C$12,Hypothèses!$F$12,IF(B210&lt;=Hypothèses!$C$13,Hypothèses!$F$13,IF(B210&lt;=Hypothèses!$C$14,Hypothèses!$F$14,IF(B210&lt;=Hypothèses!$C$15,Hypothèses!$F$15,IF(B210&lt;=Hypothèses!$C$16,Hypothèses!$F$16,IF(B210&lt;=Hypothèses!$C$17,Hypothèses!$F$17,IF(B210&lt;=Hypothèses!$C$18,Hypothèses!$F$18,F209))))))))))))</f>
        <v/>
      </c>
      <c r="G210" s="91">
        <f t="array" ref="G210">INDEX('Coeff EC7'!$U$7:$X$27,
MATCH(Model0.1T!$B$3,'Coeff EC7'!$T$7:$T$27,0),
MATCH(Model0.1T!$D210&amp;Model0.1T!$B$4,
'Coeff EC7'!$U$6:$X$6&amp;
'Coeff EC7'!$U$5:$X$5,0))</f>
        <v>1.4</v>
      </c>
      <c r="H210" s="91">
        <f t="array" ref="H210">INDEX('Coeff EC7'!$Y$7:$AB$27,
MATCH(Model0.1T!$B$3,'Coeff EC7'!$T$7:$T$27,0),
MATCH(Model0.1T!$D210&amp;Model0.1T!$B$4,
'Coeff EC7'!$Y$6:$AB$6&amp;
'Coeff EC7'!$Y$5:$AB$5,0))</f>
        <v>1.7</v>
      </c>
      <c r="I210" s="83">
        <v>0</v>
      </c>
      <c r="J210" s="91" t="e">
        <f t="array" ref="J210">INDEX('Coeff EC7'!$D$33:$Q$33,1,MATCH(D210&amp;E210,'Coeff EC7'!$D$31:$Q$31&amp;'Coeff EC7'!$D$32:$Q$32,0))</f>
        <v>#N/A</v>
      </c>
      <c r="K210" s="91" t="e">
        <f t="array" ref="K210">INDEX('Coeff EC7'!$D$34:$Q$34,1,MATCH(D210&amp;E210,'Coeff EC7'!$D$31:$Q$31&amp;'Coeff EC7'!$D$32:$Q$32,0))</f>
        <v>#N/A</v>
      </c>
      <c r="L210" s="91" t="e">
        <f t="array" ref="L210">INDEX('Coeff EC7'!$D$35:$Q$35,1,MATCH(D210&amp;E210,'Coeff EC7'!$D$31:$Q$31&amp;'Coeff EC7'!$D$32:$Q$32,0))</f>
        <v>#N/A</v>
      </c>
      <c r="M210" s="98" t="e">
        <f t="shared" si="331"/>
        <v>#N/A</v>
      </c>
      <c r="N210" s="99" t="e">
        <f t="array" ref="N210">INDEX('Coeff EC7'!$D$7:$Q$27,MATCH($B$3,'Coeff EC7'!$C$7:$C$27,0),MATCH(D210&amp;E210,'Coeff EC7'!$D$5:$Q$5&amp;'Coeff EC7'!$D$6:$Q$6,0))</f>
        <v>#N/A</v>
      </c>
      <c r="O210" s="99" t="e">
        <f t="array" ref="O210">INDEX('Coeff EC7'!$D$41:$Q$61,MATCH($B$3,'Coeff EC7'!$C$41:$C$61,0),MATCH(D210&amp;E210,'Coeff EC7'!$D$39:$Q$39&amp;'Coeff EC7'!$D$40:$Q$40,0))</f>
        <v>#N/A</v>
      </c>
      <c r="P210" s="30" t="e">
        <f t="shared" si="366"/>
        <v>#N/A</v>
      </c>
      <c r="Q210" s="100" t="e">
        <f t="shared" si="333"/>
        <v>#N/A</v>
      </c>
      <c r="R210" s="86" t="b">
        <f t="shared" si="334"/>
        <v>0</v>
      </c>
      <c r="S210" s="86">
        <f t="shared" si="332"/>
        <v>0.5</v>
      </c>
      <c r="T210" s="86">
        <f t="shared" si="335"/>
        <v>0.5</v>
      </c>
      <c r="U210" s="30" t="e">
        <f t="shared" ca="1" si="367"/>
        <v>#DIV/0!</v>
      </c>
      <c r="V210" s="85" t="str">
        <f>IF(B210&lt;=Hypothèses!$V$7,Hypothèses!$W$7,IF(B210&lt;=Hypothèses!$V$8,Hypothèses!$W$8,IF(B210&lt;=Hypothèses!$V$9,Hypothèses!$W$9,IF(B210&lt;=Hypothèses!$V$10,Hypothèses!$W$10,IF(B210&lt;=Hypothèses!$V$11,Hypothèses!$W$11,IF(B210&lt;=Hypothèses!$V$12,Hypothèses!$W$12,IF(B210&lt;=Hypothèses!$V$13,Hypothèses!$W$13,IF(B210&lt;=Hypothèses!$V$14,Hypothèses!$W$14,IF(B210&lt;=Hypothèses!$V$15,Hypothèses!$W$15,IF(B210&lt;=Hypothèses!$V$16,Hypothèses!$W$16,IF(B210&lt;=Hypothèses!$V$17,Hypothèses!$W$17,IF(B210&lt;=Hypothèses!$V$18,Hypothèses!$W$18,""))))))))))))</f>
        <v/>
      </c>
      <c r="W210" s="87" t="e">
        <f t="shared" ca="1" si="416"/>
        <v>#DIV/0!</v>
      </c>
      <c r="X210" s="88" t="str">
        <f>IF(B210&lt;=Hypothèses!$V$7,Hypothèses!$X$7,IF(B210&lt;=Hypothèses!$V$8,Hypothèses!$X$8,IF(B210&lt;=Hypothèses!$V$9,Hypothèses!$X$9,IF(B210&lt;=Hypothèses!$V$10,Hypothèses!$X$10,IF(B210&lt;=Hypothèses!$V$11,Hypothèses!$X$11,IF(B210&lt;=Hypothèses!$V$12,Hypothèses!$X$12,IF(B210&lt;=Hypothèses!$V$13,Hypothèses!$X$13,IF(B210&lt;=Hypothèses!$V$14,Hypothèses!$X$14,IF(B210&lt;=Hypothèses!$V$15,Hypothèses!$X$15,IF(B210&lt;=Hypothèses!$V$16,Hypothèses!$X$16,IF(B210&lt;=Hypothèses!$U$17,Hypothèses!$W$17,IF(B210&lt;=Hypothèses!$U$18,Hypothèses!$W$18,""))))))))))))</f>
        <v/>
      </c>
      <c r="Y210" s="95" t="e">
        <f t="shared" ca="1" si="336"/>
        <v>#DIV/0!</v>
      </c>
      <c r="Z210" s="101">
        <f t="shared" si="337"/>
        <v>0</v>
      </c>
      <c r="AA210" s="91">
        <f t="shared" si="338"/>
        <v>0</v>
      </c>
      <c r="AB210" s="30" t="e">
        <f t="shared" si="400"/>
        <v>#N/A</v>
      </c>
      <c r="AC210" s="30" t="e">
        <f t="shared" si="401"/>
        <v>#N/A</v>
      </c>
      <c r="AD210" s="31" t="e">
        <f>IF(OR(Hypothèses!$B$4=17,Hypothèses!$B$4=18,Hypothèses!$B$4=19,Hypothèses!$B$4=20),
IF($D210="Pressio.",
IF(OR($E210=3,$E210=1,$E210=4),AC210,AB210),
IF($D210="Pénétro.",
IF(OR($E210=3,$E210=1,$E210=4),AC210,AB210))),IF($D210="Pressio.",
IF($E210=3,AC210,AB210),
IF($D210="Pénétro.",
IF($E210=4,AC210,AB210))))</f>
        <v>#N/A</v>
      </c>
      <c r="AE210" s="31">
        <v>0</v>
      </c>
      <c r="AF210" s="102" t="e">
        <f>IF(NDC!$H$10="Oui",(VLOOKUP($B$3,'Coeff EC7'!$T$39:$X$59,2,0)*AD210+VLOOKUP($B$3,'Coeff EC7'!$T$65:$X$85,2,0)*Model0.1T!AE210)/1.5,PI()*AB$12*$Q210*($B210-$B209)*0.15/10+AF209)</f>
        <v>#N/A</v>
      </c>
      <c r="AG210" s="102" t="e">
        <f>(VLOOKUP($B$3,'Coeff EC7'!$T$39:$X$59,3,0)*AD210+VLOOKUP($B$3,'Coeff EC7'!$T$65:$X$85,3,0)*Model0.1T!AE210)/1.1</f>
        <v>#N/A</v>
      </c>
      <c r="AH210" s="102" t="e">
        <f t="shared" si="368"/>
        <v>#N/A</v>
      </c>
      <c r="AI210" s="102" t="e">
        <f t="shared" si="369"/>
        <v>#N/A</v>
      </c>
      <c r="AJ210" s="414" t="e">
        <f>IF(AND(AF210&gt;NDC!$C$63,AG210&gt;NDC!$C$65,AH210&gt;NDC!$D$73,AI210&gt;NDC!$D$74,$B210&gt;NDC!$H$22-0.1+MIN(3*$AJ$12,1.5)),0,1)</f>
        <v>#N/A</v>
      </c>
      <c r="AK210" s="86" t="b">
        <f t="shared" si="339"/>
        <v>0</v>
      </c>
      <c r="AL210" s="86">
        <f t="shared" si="370"/>
        <v>0.5</v>
      </c>
      <c r="AM210" s="86">
        <f t="shared" si="340"/>
        <v>0.5</v>
      </c>
      <c r="AN210" s="30" t="e">
        <f t="shared" ca="1" si="371"/>
        <v>#DIV/0!</v>
      </c>
      <c r="AO210" s="85" t="e">
        <f ca="1">IF(U210&lt;=Hypothèses!$V$7,Hypothèses!$W$7,IF(U210&lt;=Hypothèses!$V$8,Hypothèses!$W$8,IF(U210&lt;=Hypothèses!$V$9,Hypothèses!$W$9,IF(U210&lt;=Hypothèses!$V$10,Hypothèses!$W$10,IF(U210&lt;=Hypothèses!$V$11,Hypothèses!$W$11,IF(U210&lt;=Hypothèses!$V$12,Hypothèses!$W$12,IF(U210&lt;=Hypothèses!$V$13,Hypothèses!$W$13,IF(U210&lt;=Hypothèses!$V$14,Hypothèses!$W$14,IF(U210&lt;=Hypothèses!$V$15,Hypothèses!$W$15,IF(U210&lt;=Hypothèses!$V$16,Hypothèses!$W$16,IF(U210&lt;=Hypothèses!$V$17,Hypothèses!$W$17,IF(U210&lt;=Hypothèses!$V$18,Hypothèses!$W$18,""))))))))))))</f>
        <v>#DIV/0!</v>
      </c>
      <c r="AP210" s="87" t="e">
        <f t="shared" ca="1" si="417"/>
        <v>#DIV/0!</v>
      </c>
      <c r="AQ210" s="88" t="e">
        <f ca="1">IF(U210&lt;=Hypothèses!$V$7,Hypothèses!$X$7,IF(U210&lt;=Hypothèses!$V$8,Hypothèses!$X$8,IF(U210&lt;=Hypothèses!$V$9,Hypothèses!$X$9,IF(U210&lt;=Hypothèses!$V$10,Hypothèses!$X$10,IF(U210&lt;=Hypothèses!$V$11,Hypothèses!$X$11,IF(U210&lt;=Hypothèses!$V$12,Hypothèses!$X$12,IF(U210&lt;=Hypothèses!$V$13,Hypothèses!$X$13,IF(U210&lt;=Hypothèses!$V$14,Hypothèses!$X$14,IF(U210&lt;=Hypothèses!$V$15,Hypothèses!$X$15,IF(U210&lt;=Hypothèses!$V$16,Hypothèses!$X$16,IF(U210&lt;=Hypothèses!$U$17,Hypothèses!$W$17,IF(U210&lt;=Hypothèses!$U$18,Hypothèses!$W$18,""))))))))))))</f>
        <v>#DIV/0!</v>
      </c>
      <c r="AR210" s="95" t="e">
        <f t="shared" ca="1" si="372"/>
        <v>#DIV/0!</v>
      </c>
      <c r="AS210" s="101">
        <f t="shared" ref="AS210:AS273" si="424">IF($I210=0,0,
IF(AR210&gt;5*AW$12,$I210,
IF($D210="Pressio.",1+($I210-1)*(AR210/AW$12)/5,
IF($D210="Pénétro.",IF($E210=1,0.3+($I210-0.3)*(AR210/AW$12)/5,
IF($E210=2,0.2+($I210-0.2)*(AR210/AW$12)/5,
IF($E210=3,0.1+($I210-0.1)*(AR210/AW$12)/5,
0.15+($I210-0.15)*(AR210/AW$12)/5)))))))</f>
        <v>0</v>
      </c>
      <c r="AT210" s="91">
        <f t="shared" si="341"/>
        <v>0</v>
      </c>
      <c r="AU210" s="30" t="e">
        <f t="shared" si="402"/>
        <v>#N/A</v>
      </c>
      <c r="AV210" s="30" t="e">
        <f t="shared" si="403"/>
        <v>#N/A</v>
      </c>
      <c r="AW210" s="31" t="e">
        <f>IF(OR(Hypothèses!$B$4=17,Hypothèses!$B$4=18,Hypothèses!$B$4=19,Hypothèses!$B$4=20),
IF($D210="Pressio.",
IF(OR($E210=3,$E210=1,$E210=4),AV210,AU210),
IF($D210="Pénétro.",
IF(OR($E210=3,$E210=1,$E210=4),AV210,AU210))),IF($D210="Pressio.",
IF($E210=3,AV210,AU210),
IF($D210="Pénétro.",
IF($E210=4,AV210,AU210))))</f>
        <v>#N/A</v>
      </c>
      <c r="AX210" s="31">
        <v>0</v>
      </c>
      <c r="AY210" s="102" t="e">
        <f>IF(NDC!$H$10="Oui",(VLOOKUP($B$3,'Coeff EC7'!$T$39:$X$59,2,0)*AW210+VLOOKUP($B$3,'Coeff EC7'!$T$65:$X$85,2,0)*Model0.1T!AX210)/1.5,PI()*AU$12*$Q210*($B210-$B209)*0.15/10+AY209)</f>
        <v>#N/A</v>
      </c>
      <c r="AZ210" s="102" t="e">
        <f>(VLOOKUP($B$3,'Coeff EC7'!$T$39:$X$59,3,0)*AW210+VLOOKUP($B$3,'Coeff EC7'!$T$65:$X$85,3,0)*Model0.1T!AX210)/1.1</f>
        <v>#N/A</v>
      </c>
      <c r="BA210" s="102" t="e">
        <f t="shared" si="373"/>
        <v>#N/A</v>
      </c>
      <c r="BB210" s="102" t="e">
        <f t="shared" si="374"/>
        <v>#N/A</v>
      </c>
      <c r="BC210" s="414" t="e">
        <f>IF(AND(AY210&gt;NDC!$C$63,AZ210&gt;NDC!$C$65,BA210&gt;NDC!$D$73,BB210&gt;NDC!$D$74,$B210&gt;NDC!$H$22-0.1+MIN(3*BC$12,1.5)),0,1)</f>
        <v>#N/A</v>
      </c>
      <c r="BD210" s="86" t="b">
        <f t="shared" si="342"/>
        <v>0</v>
      </c>
      <c r="BE210" s="86">
        <f t="shared" si="375"/>
        <v>0.5</v>
      </c>
      <c r="BF210" s="86">
        <f t="shared" si="343"/>
        <v>0.5</v>
      </c>
      <c r="BG210" s="30" t="e">
        <f t="shared" ca="1" si="376"/>
        <v>#DIV/0!</v>
      </c>
      <c r="BH210" s="85" t="e">
        <f ca="1">IF(AN210&lt;=Hypothèses!$V$7,Hypothèses!$W$7,IF(AN210&lt;=Hypothèses!$V$8,Hypothèses!$W$8,IF(AN210&lt;=Hypothèses!$V$9,Hypothèses!$W$9,IF(AN210&lt;=Hypothèses!$V$10,Hypothèses!$W$10,IF(AN210&lt;=Hypothèses!$V$11,Hypothèses!$W$11,IF(AN210&lt;=Hypothèses!$V$12,Hypothèses!$W$12,IF(AN210&lt;=Hypothèses!$V$13,Hypothèses!$W$13,IF(AN210&lt;=Hypothèses!$V$14,Hypothèses!$W$14,IF(AN210&lt;=Hypothèses!$V$15,Hypothèses!$W$15,IF(AN210&lt;=Hypothèses!$V$16,Hypothèses!$W$16,IF(AN210&lt;=Hypothèses!$V$17,Hypothèses!$W$17,IF(AN210&lt;=Hypothèses!$V$18,Hypothèses!$W$18,""))))))))))))</f>
        <v>#DIV/0!</v>
      </c>
      <c r="BI210" s="87" t="e">
        <f t="shared" ca="1" si="418"/>
        <v>#DIV/0!</v>
      </c>
      <c r="BJ210" s="88" t="e">
        <f ca="1">IF(AN210&lt;=Hypothèses!$V$7,Hypothèses!$X$7,IF(AN210&lt;=Hypothèses!$V$8,Hypothèses!$X$8,IF(AN210&lt;=Hypothèses!$V$9,Hypothèses!$X$9,IF(AN210&lt;=Hypothèses!$V$10,Hypothèses!$X$10,IF(AN210&lt;=Hypothèses!$V$11,Hypothèses!$X$11,IF(AN210&lt;=Hypothèses!$V$12,Hypothèses!$X$12,IF(AN210&lt;=Hypothèses!$V$13,Hypothèses!$X$13,IF(AN210&lt;=Hypothèses!$V$14,Hypothèses!$X$14,IF(AN210&lt;=Hypothèses!$V$15,Hypothèses!$X$15,IF(AN210&lt;=Hypothèses!$V$16,Hypothèses!$X$16,IF(AN210&lt;=Hypothèses!$U$17,Hypothèses!$W$17,IF(AN210&lt;=Hypothèses!$U$18,Hypothèses!$W$18,""))))))))))))</f>
        <v>#DIV/0!</v>
      </c>
      <c r="BK210" s="95" t="e">
        <f t="shared" ca="1" si="377"/>
        <v>#DIV/0!</v>
      </c>
      <c r="BL210" s="101">
        <f t="shared" ref="BL210:BL273" si="425">IF($I210=0,0,
IF(BK210&gt;5*BP$12,$I210,
IF($D210="Pressio.",1+($I210-1)*(BK210/BP$12)/5,
IF($D210="Pénétro.",IF($E210=1,0.3+($I210-0.3)*(BK210/BP$12)/5,
IF($E210=2,0.2+($I210-0.2)*(BK210/BP$12)/5,
IF($E210=3,0.1+($I210-0.1)*(BK210/BP$12)/5,
0.15+($I210-0.15)*(BK210/BP$12)/5)))))))</f>
        <v>0</v>
      </c>
      <c r="BM210" s="91">
        <f t="shared" si="344"/>
        <v>0</v>
      </c>
      <c r="BN210" s="30" t="e">
        <f t="shared" si="404"/>
        <v>#N/A</v>
      </c>
      <c r="BO210" s="30" t="e">
        <f t="shared" si="405"/>
        <v>#N/A</v>
      </c>
      <c r="BP210" s="31" t="e">
        <f>IF(OR(Hypothèses!$B$4=17,Hypothèses!$B$4=18,Hypothèses!$B$4=19,Hypothèses!$B$4=20),
IF($D210="Pressio.",
IF(OR($E210=3,$E210=1,$E210=4),BO210,BN210),
IF($D210="Pénétro.",
IF(OR($E210=3,$E210=1,$E210=4),BO210,BN210))),IF($D210="Pressio.",
IF($E210=3,BO210,BN210),
IF($D210="Pénétro.",
IF($E210=4,BO210,BN210))))</f>
        <v>#N/A</v>
      </c>
      <c r="BQ210" s="31">
        <v>0</v>
      </c>
      <c r="BR210" s="102" t="e">
        <f>IF(NDC!$H$10="Oui",(VLOOKUP($B$3,'Coeff EC7'!$T$39:$X$59,2,0)*BP210+VLOOKUP($B$3,'Coeff EC7'!$T$65:$X$85,2,0)*Model0.1T!BQ210)/1.5,PI()*BN$12*$Q210*($B210-$B209)*0.15/10+BR209)</f>
        <v>#N/A</v>
      </c>
      <c r="BS210" s="102" t="e">
        <f>(VLOOKUP($B$3,'Coeff EC7'!$T$39:$X$59,3,0)*BP210+VLOOKUP($B$3,'Coeff EC7'!$T$65:$X$85,3,0)*Model0.1T!BQ210)/1.1</f>
        <v>#N/A</v>
      </c>
      <c r="BT210" s="102" t="e">
        <f t="shared" si="378"/>
        <v>#N/A</v>
      </c>
      <c r="BU210" s="102" t="e">
        <f t="shared" si="379"/>
        <v>#N/A</v>
      </c>
      <c r="BV210" s="414" t="e">
        <f>IF(AND(BR210&gt;NDC!$C$63,BS210&gt;NDC!$C$65,BT210&gt;NDC!$D$73,BU210&gt;NDC!$D$74,$B210&gt;NDC!$H$22-0.1+MIN(3*BV$12,1.5)),0,1)</f>
        <v>#N/A</v>
      </c>
      <c r="BW210" s="86" t="b">
        <f t="shared" si="345"/>
        <v>0</v>
      </c>
      <c r="BX210" s="86">
        <f t="shared" si="346"/>
        <v>0.5</v>
      </c>
      <c r="BY210" s="86">
        <f t="shared" si="347"/>
        <v>0.5</v>
      </c>
      <c r="BZ210" s="30" t="e">
        <f t="shared" ca="1" si="380"/>
        <v>#DIV/0!</v>
      </c>
      <c r="CA210" s="85" t="e">
        <f ca="1">IF(BG210&lt;=Hypothèses!$V$7,Hypothèses!$W$7,IF(BG210&lt;=Hypothèses!$V$8,Hypothèses!$W$8,IF(BG210&lt;=Hypothèses!$V$9,Hypothèses!$W$9,IF(BG210&lt;=Hypothèses!$V$10,Hypothèses!$W$10,IF(BG210&lt;=Hypothèses!$V$11,Hypothèses!$W$11,IF(BG210&lt;=Hypothèses!$V$12,Hypothèses!$W$12,IF(BG210&lt;=Hypothèses!$V$13,Hypothèses!$W$13,IF(BG210&lt;=Hypothèses!$V$14,Hypothèses!$W$14,IF(BG210&lt;=Hypothèses!$V$15,Hypothèses!$W$15,IF(BG210&lt;=Hypothèses!$V$16,Hypothèses!$W$16,IF(BG210&lt;=Hypothèses!$V$17,Hypothèses!$W$17,IF(BG210&lt;=Hypothèses!$V$18,Hypothèses!$W$18,""))))))))))))</f>
        <v>#DIV/0!</v>
      </c>
      <c r="CB210" s="87" t="e">
        <f t="shared" ca="1" si="419"/>
        <v>#DIV/0!</v>
      </c>
      <c r="CC210" s="88" t="e">
        <f ca="1">IF(BG210&lt;=Hypothèses!$V$7,Hypothèses!$X$7,IF(BG210&lt;=Hypothèses!$V$8,Hypothèses!$X$8,IF(BG210&lt;=Hypothèses!$V$9,Hypothèses!$X$9,IF(BG210&lt;=Hypothèses!$V$10,Hypothèses!$X$10,IF(BG210&lt;=Hypothèses!$V$11,Hypothèses!$X$11,IF(BG210&lt;=Hypothèses!$V$12,Hypothèses!$X$12,IF(BG210&lt;=Hypothèses!$V$13,Hypothèses!$X$13,IF(BG210&lt;=Hypothèses!$V$14,Hypothèses!$X$14,IF(BG210&lt;=Hypothèses!$V$15,Hypothèses!$X$15,IF(BG210&lt;=Hypothèses!$V$16,Hypothèses!$X$16,IF(BG210&lt;=Hypothèses!$U$17,Hypothèses!$W$17,IF(BG210&lt;=Hypothèses!$U$18,Hypothèses!$W$18,""))))))))))))</f>
        <v>#DIV/0!</v>
      </c>
      <c r="CD210" s="95" t="e">
        <f t="shared" ca="1" si="381"/>
        <v>#DIV/0!</v>
      </c>
      <c r="CE210" s="101">
        <f t="shared" ref="CE210:CE273" si="426">IF($I210=0,0,
IF(CD210&gt;5*CI$12,$I210,
IF($D210="Pressio.",1+($I210-1)*(CD210/CI$12)/5,
IF($D210="Pénétro.",IF($E210=1,0.3+($I210-0.3)*(CD210/CI$12)/5,
IF($E210=2,0.2+($I210-0.2)*(CD210/CI$12)/5,
IF($E210=3,0.1+($I210-0.1)*(CD210/CI$12)/5,
0.15+($I210-0.15)*(CD210/CI$12)/5)))))))</f>
        <v>0</v>
      </c>
      <c r="CF210" s="91">
        <f t="shared" si="348"/>
        <v>0</v>
      </c>
      <c r="CG210" s="30" t="e">
        <f t="shared" si="406"/>
        <v>#N/A</v>
      </c>
      <c r="CH210" s="30" t="e">
        <f t="shared" si="407"/>
        <v>#N/A</v>
      </c>
      <c r="CI210" s="31" t="e">
        <f>IF(OR(Hypothèses!$B$4=17,Hypothèses!$B$4=18,Hypothèses!$B$4=19,Hypothèses!$B$4=20),
IF($D210="Pressio.",
IF(OR($E210=3,$E210=1,$E210=4),CH210,CG210),
IF($D210="Pénétro.",
IF(OR($E210=3,$E210=1,$E210=4),CH210,CG210))),IF($D210="Pressio.",
IF($E210=3,CH210,CG210),
IF($D210="Pénétro.",
IF($E210=4,CH210,CG210))))</f>
        <v>#N/A</v>
      </c>
      <c r="CJ210" s="31">
        <v>0</v>
      </c>
      <c r="CK210" s="102" t="e">
        <f>IF(NDC!$H$10="Oui",(VLOOKUP($B$3,'Coeff EC7'!$T$39:$X$59,2,0)*CI210+VLOOKUP($B$3,'Coeff EC7'!$T$65:$X$85,2,0)*Model0.1T!CJ210)/1.5,PI()*CG$12*$Q210*($B210-$B209)*0.15/10+CK209)</f>
        <v>#N/A</v>
      </c>
      <c r="CL210" s="102" t="e">
        <f>(VLOOKUP($B$3,'Coeff EC7'!$T$39:$X$59,3,0)*CI210+VLOOKUP($B$3,'Coeff EC7'!$T$65:$X$85,3,0)*Model0.1T!CJ210)/1.1</f>
        <v>#N/A</v>
      </c>
      <c r="CM210" s="102" t="e">
        <f t="shared" si="382"/>
        <v>#N/A</v>
      </c>
      <c r="CN210" s="102" t="e">
        <f t="shared" si="383"/>
        <v>#N/A</v>
      </c>
      <c r="CO210" s="414" t="e">
        <f>IF(AND(CK210&gt;NDC!$C$63,CL210&gt;NDC!$C$65,CM210&gt;NDC!$D$73,CN210&gt;NDC!$D$74,$B210&gt;NDC!$H$22-0.1+MIN(3*CO$12,1.5)),0,1)</f>
        <v>#N/A</v>
      </c>
      <c r="CP210" s="86" t="b">
        <f t="shared" si="349"/>
        <v>0</v>
      </c>
      <c r="CQ210" s="86">
        <f t="shared" si="350"/>
        <v>0.5</v>
      </c>
      <c r="CR210" s="86">
        <f t="shared" si="351"/>
        <v>0.5</v>
      </c>
      <c r="CS210" s="30" t="e">
        <f t="shared" ca="1" si="384"/>
        <v>#DIV/0!</v>
      </c>
      <c r="CT210" s="85" t="e">
        <f ca="1">IF(BZ210&lt;=Hypothèses!$V$7,Hypothèses!$W$7,IF(BZ210&lt;=Hypothèses!$V$8,Hypothèses!$W$8,IF(BZ210&lt;=Hypothèses!$V$9,Hypothèses!$W$9,IF(BZ210&lt;=Hypothèses!$V$10,Hypothèses!$W$10,IF(BZ210&lt;=Hypothèses!$V$11,Hypothèses!$W$11,IF(BZ210&lt;=Hypothèses!$V$12,Hypothèses!$W$12,IF(BZ210&lt;=Hypothèses!$V$13,Hypothèses!$W$13,IF(BZ210&lt;=Hypothèses!$V$14,Hypothèses!$W$14,IF(BZ210&lt;=Hypothèses!$V$15,Hypothèses!$W$15,IF(BZ210&lt;=Hypothèses!$V$16,Hypothèses!$W$16,IF(BZ210&lt;=Hypothèses!$V$17,Hypothèses!$W$17,IF(BZ210&lt;=Hypothèses!$V$18,Hypothèses!$W$18,""))))))))))))</f>
        <v>#DIV/0!</v>
      </c>
      <c r="CU210" s="87" t="e">
        <f t="shared" ca="1" si="420"/>
        <v>#DIV/0!</v>
      </c>
      <c r="CV210" s="88" t="e">
        <f ca="1">IF(BZ210&lt;=Hypothèses!$V$7,Hypothèses!$X$7,IF(BZ210&lt;=Hypothèses!$V$8,Hypothèses!$X$8,IF(BZ210&lt;=Hypothèses!$V$9,Hypothèses!$X$9,IF(BZ210&lt;=Hypothèses!$V$10,Hypothèses!$X$10,IF(BZ210&lt;=Hypothèses!$V$11,Hypothèses!$X$11,IF(BZ210&lt;=Hypothèses!$V$12,Hypothèses!$X$12,IF(BZ210&lt;=Hypothèses!$V$13,Hypothèses!$X$13,IF(BZ210&lt;=Hypothèses!$V$14,Hypothèses!$X$14,IF(BZ210&lt;=Hypothèses!$V$15,Hypothèses!$X$15,IF(BZ210&lt;=Hypothèses!$V$16,Hypothèses!$X$16,IF(BZ210&lt;=Hypothèses!$U$17,Hypothèses!$W$17,IF(BZ210&lt;=Hypothèses!$U$18,Hypothèses!$W$18,""))))))))))))</f>
        <v>#DIV/0!</v>
      </c>
      <c r="CW210" s="95" t="e">
        <f t="shared" ca="1" si="385"/>
        <v>#DIV/0!</v>
      </c>
      <c r="CX210" s="101">
        <f t="shared" ref="CX210:CX273" si="427">IF($I210=0,0,
IF(CW210&gt;5*DB$12,$I210,
IF($D210="Pressio.",1+($I210-1)*(CW210/DB$12)/5,
IF($D210="Pénétro.",IF($E210=1,0.3+($I210-0.3)*(CW210/DB$12)/5,
IF($E210=2,0.2+($I210-0.2)*(CW210/DB$12)/5,
IF($E210=3,0.1+($I210-0.1)*(CW210/DB$12)/5,
0.15+($I210-0.15)*(CW210/DB$12)/5)))))))</f>
        <v>0</v>
      </c>
      <c r="CY210" s="91">
        <f t="shared" si="352"/>
        <v>0</v>
      </c>
      <c r="CZ210" s="30" t="e">
        <f t="shared" si="408"/>
        <v>#N/A</v>
      </c>
      <c r="DA210" s="30" t="e">
        <f t="shared" si="409"/>
        <v>#N/A</v>
      </c>
      <c r="DB210" s="31" t="e">
        <f>IF(OR(Hypothèses!$B$4=17,Hypothèses!$B$4=18,Hypothèses!$B$4=19,Hypothèses!$B$4=20),
IF($D210="Pressio.",
IF(OR($E210=3,$E210=1,$E210=4),DA210,CZ210),
IF($D210="Pénétro.",
IF(OR($E210=3,$E210=1,$E210=4),DA210,CZ210))),IF($D210="Pressio.",
IF($E210=3,DA210,CZ210),
IF($D210="Pénétro.",
IF($E210=4,DA210,CZ210))))</f>
        <v>#N/A</v>
      </c>
      <c r="DC210" s="31">
        <v>0</v>
      </c>
      <c r="DD210" s="102" t="e">
        <f>IF(NDC!$H$10="Oui",(VLOOKUP($B$3,'Coeff EC7'!$T$39:$X$59,2,0)*DB210+VLOOKUP($B$3,'Coeff EC7'!$T$65:$X$85,2,0)*Model0.1T!DC210)/1.5,PI()*CZ$12*$Q210*($B210-$B209)*0.15/10+DD209)</f>
        <v>#N/A</v>
      </c>
      <c r="DE210" s="102" t="e">
        <f>(VLOOKUP($B$3,'Coeff EC7'!$T$39:$X$59,3,0)*DB210+VLOOKUP($B$3,'Coeff EC7'!$T$65:$X$85,3,0)*Model0.1T!DC210)/1.1</f>
        <v>#N/A</v>
      </c>
      <c r="DF210" s="102" t="e">
        <f t="shared" si="386"/>
        <v>#N/A</v>
      </c>
      <c r="DG210" s="102" t="e">
        <f t="shared" si="387"/>
        <v>#N/A</v>
      </c>
      <c r="DH210" s="414" t="e">
        <f>IF(AND(DD210&gt;NDC!$C$63,DE210&gt;NDC!$C$65,DF210&gt;NDC!$D$73,DG210&gt;NDC!$D$74,$B210&gt;NDC!$H$22-0.1+MIN(3*DH$12,1.5)),0,1)</f>
        <v>#N/A</v>
      </c>
      <c r="DI210" s="86" t="b">
        <f t="shared" si="353"/>
        <v>0</v>
      </c>
      <c r="DJ210" s="86">
        <f t="shared" si="354"/>
        <v>0.5</v>
      </c>
      <c r="DK210" s="86">
        <f t="shared" si="355"/>
        <v>0.5</v>
      </c>
      <c r="DL210" s="30" t="e">
        <f t="shared" ca="1" si="388"/>
        <v>#DIV/0!</v>
      </c>
      <c r="DM210" s="85" t="e">
        <f ca="1">IF(CS210&lt;=Hypothèses!$V$7,Hypothèses!$W$7,IF(CS210&lt;=Hypothèses!$V$8,Hypothèses!$W$8,IF(CS210&lt;=Hypothèses!$V$9,Hypothèses!$W$9,IF(CS210&lt;=Hypothèses!$V$10,Hypothèses!$W$10,IF(CS210&lt;=Hypothèses!$V$11,Hypothèses!$W$11,IF(CS210&lt;=Hypothèses!$V$12,Hypothèses!$W$12,IF(CS210&lt;=Hypothèses!$V$13,Hypothèses!$W$13,IF(CS210&lt;=Hypothèses!$V$14,Hypothèses!$W$14,IF(CS210&lt;=Hypothèses!$V$15,Hypothèses!$W$15,IF(CS210&lt;=Hypothèses!$V$16,Hypothèses!$W$16,IF(CS210&lt;=Hypothèses!$V$17,Hypothèses!$W$17,IF(CS210&lt;=Hypothèses!$V$18,Hypothèses!$W$18,""))))))))))))</f>
        <v>#DIV/0!</v>
      </c>
      <c r="DN210" s="87" t="e">
        <f t="shared" ca="1" si="421"/>
        <v>#DIV/0!</v>
      </c>
      <c r="DO210" s="88" t="e">
        <f ca="1">IF(CS210&lt;=Hypothèses!$V$7,Hypothèses!$X$7,IF(CS210&lt;=Hypothèses!$V$8,Hypothèses!$X$8,IF(CS210&lt;=Hypothèses!$V$9,Hypothèses!$X$9,IF(CS210&lt;=Hypothèses!$V$10,Hypothèses!$X$10,IF(CS210&lt;=Hypothèses!$V$11,Hypothèses!$X$11,IF(CS210&lt;=Hypothèses!$V$12,Hypothèses!$X$12,IF(CS210&lt;=Hypothèses!$V$13,Hypothèses!$X$13,IF(CS210&lt;=Hypothèses!$V$14,Hypothèses!$X$14,IF(CS210&lt;=Hypothèses!$V$15,Hypothèses!$X$15,IF(CS210&lt;=Hypothèses!$V$16,Hypothèses!$X$16,IF(CS210&lt;=Hypothèses!$U$17,Hypothèses!$W$17,IF(CS210&lt;=Hypothèses!$U$18,Hypothèses!$W$18,""))))))))))))</f>
        <v>#DIV/0!</v>
      </c>
      <c r="DP210" s="95" t="e">
        <f t="shared" ca="1" si="389"/>
        <v>#DIV/0!</v>
      </c>
      <c r="DQ210" s="101">
        <f t="shared" ref="DQ210:DQ273" si="428">IF($I210=0,0,
IF(DP210&gt;5*DU$12,$I210,
IF($D210="Pressio.",1+($I210-1)*(DP210/DU$12)/5,
IF($D210="Pénétro.",IF($E210=1,0.3+($I210-0.3)*(DP210/DU$12)/5,
IF($E210=2,0.2+($I210-0.2)*(DP210/DU$12)/5,
IF($E210=3,0.1+($I210-0.1)*(DP210/DU$12)/5,
0.15+($I210-0.15)*(DP210/DU$12)/5)))))))</f>
        <v>0</v>
      </c>
      <c r="DR210" s="91">
        <f t="shared" si="356"/>
        <v>0</v>
      </c>
      <c r="DS210" s="30" t="e">
        <f t="shared" si="410"/>
        <v>#N/A</v>
      </c>
      <c r="DT210" s="30" t="e">
        <f t="shared" si="411"/>
        <v>#N/A</v>
      </c>
      <c r="DU210" s="31" t="e">
        <f>IF(OR(Hypothèses!$B$4=17,Hypothèses!$B$4=18,Hypothèses!$B$4=19,Hypothèses!$B$4=20),
IF($D210="Pressio.",
IF(OR($E210=3,$E210=1,$E210=4),DT210,DS210),
IF($D210="Pénétro.",
IF(OR($E210=3,$E210=1,$E210=4),DT210,DS210))),IF($D210="Pressio.",
IF($E210=3,DT210,DS210),
IF($D210="Pénétro.",
IF($E210=4,DT210,DS210))))</f>
        <v>#N/A</v>
      </c>
      <c r="DV210" s="31">
        <v>0</v>
      </c>
      <c r="DW210" s="102" t="e">
        <f>IF(NDC!$H$10="Oui",(VLOOKUP($B$3,'Coeff EC7'!$T$39:$X$59,2,0)*DU210+VLOOKUP($B$3,'Coeff EC7'!$T$65:$X$85,2,0)*Model0.1T!DV210)/1.5,PI()*DS$12*$Q210*($B210-$B209)*0.15/10+DW209)</f>
        <v>#N/A</v>
      </c>
      <c r="DX210" s="102" t="e">
        <f>(VLOOKUP($B$3,'Coeff EC7'!$T$39:$X$59,3,0)*DU210+VLOOKUP($B$3,'Coeff EC7'!$T$65:$X$85,3,0)*Model0.1T!DV210)/1.1</f>
        <v>#N/A</v>
      </c>
      <c r="DY210" s="102" t="e">
        <f t="shared" si="390"/>
        <v>#N/A</v>
      </c>
      <c r="DZ210" s="102" t="e">
        <f t="shared" si="391"/>
        <v>#N/A</v>
      </c>
      <c r="EA210" s="414" t="e">
        <f>IF(AND(DW210&gt;NDC!$C$63,DX210&gt;NDC!$C$65,DY210&gt;NDC!$D$73,DZ210&gt;NDC!$D$74,$B210&gt;NDC!$H$22-0.1+MIN(3*EA$12,1.5)),0,1)</f>
        <v>#N/A</v>
      </c>
      <c r="EB210" s="86" t="b">
        <f t="shared" si="357"/>
        <v>0</v>
      </c>
      <c r="EC210" s="418">
        <f t="shared" si="358"/>
        <v>0.51</v>
      </c>
      <c r="ED210" s="86">
        <f t="shared" si="359"/>
        <v>0.51</v>
      </c>
      <c r="EE210" s="30" t="e">
        <f t="shared" ca="1" si="392"/>
        <v>#DIV/0!</v>
      </c>
      <c r="EF210" s="85" t="e">
        <f ca="1">IF(DL210&lt;=Hypothèses!$V$7,Hypothèses!$W$7,IF(DL210&lt;=Hypothèses!$V$8,Hypothèses!$W$8,IF(DL210&lt;=Hypothèses!$V$9,Hypothèses!$W$9,IF(DL210&lt;=Hypothèses!$V$10,Hypothèses!$W$10,IF(DL210&lt;=Hypothèses!$V$11,Hypothèses!$W$11,IF(DL210&lt;=Hypothèses!$V$12,Hypothèses!$W$12,IF(DL210&lt;=Hypothèses!$V$13,Hypothèses!$W$13,IF(DL210&lt;=Hypothèses!$V$14,Hypothèses!$W$14,IF(DL210&lt;=Hypothèses!$V$15,Hypothèses!$W$15,IF(DL210&lt;=Hypothèses!$V$16,Hypothèses!$W$16,IF(DL210&lt;=Hypothèses!$V$17,Hypothèses!$W$17,IF(DL210&lt;=Hypothèses!$V$18,Hypothèses!$W$18,""))))))))))))</f>
        <v>#DIV/0!</v>
      </c>
      <c r="EG210" s="87" t="e">
        <f t="shared" ca="1" si="422"/>
        <v>#DIV/0!</v>
      </c>
      <c r="EH210" s="88" t="e">
        <f ca="1">IF(DL210&lt;=Hypothèses!$V$7,Hypothèses!$X$7,IF(DL210&lt;=Hypothèses!$V$8,Hypothèses!$X$8,IF(DL210&lt;=Hypothèses!$V$9,Hypothèses!$X$9,IF(DL210&lt;=Hypothèses!$V$10,Hypothèses!$X$10,IF(DL210&lt;=Hypothèses!$V$11,Hypothèses!$X$11,IF(DL210&lt;=Hypothèses!$V$12,Hypothèses!$X$12,IF(DL210&lt;=Hypothèses!$V$13,Hypothèses!$X$13,IF(DL210&lt;=Hypothèses!$V$14,Hypothèses!$X$14,IF(DL210&lt;=Hypothèses!$V$15,Hypothèses!$X$15,IF(DL210&lt;=Hypothèses!$V$16,Hypothèses!$X$16,IF(DL210&lt;=Hypothèses!$U$17,Hypothèses!$W$17,IF(DL210&lt;=Hypothèses!$U$18,Hypothèses!$W$18,""))))))))))))</f>
        <v>#DIV/0!</v>
      </c>
      <c r="EI210" s="95" t="e">
        <f t="shared" ca="1" si="393"/>
        <v>#DIV/0!</v>
      </c>
      <c r="EJ210" s="101">
        <f t="shared" ref="EJ210:EJ273" si="429">IF($I210=0,0,
IF(EI210&gt;5*EN$12,$I210,
IF($D210="Pressio.",1+($I210-1)*(EI210/EN$12)/5,
IF($D210="Pénétro.",IF($E210=1,0.3+($I210-0.3)*(EI210/EN$12)/5,
IF($E210=2,0.2+($I210-0.2)*(EI210/EN$12)/5,
IF($E210=3,0.1+($I210-0.1)*(EI210/EN$12)/5,
0.15+($I210-0.15)*(EI210/EN$12)/5)))))))</f>
        <v>0</v>
      </c>
      <c r="EK210" s="91">
        <f t="shared" si="360"/>
        <v>0</v>
      </c>
      <c r="EL210" s="30" t="e">
        <f t="shared" si="412"/>
        <v>#N/A</v>
      </c>
      <c r="EM210" s="30" t="e">
        <f t="shared" si="413"/>
        <v>#N/A</v>
      </c>
      <c r="EN210" s="31" t="e">
        <f>IF(OR(Hypothèses!$B$4=17,Hypothèses!$B$4=18,Hypothèses!$B$4=19,Hypothèses!$B$4=20),
IF($D210="Pressio.",
IF(OR($E210=3,$E210=1,$E210=4),EM210,EL210),
IF($D210="Pénétro.",
IF(OR($E210=3,$E210=1,$E210=4),EM210,EL210))),IF($D210="Pressio.",
IF($E210=3,EM210,EL210),
IF($D210="Pénétro.",
IF($E210=4,EM210,EL210))))</f>
        <v>#N/A</v>
      </c>
      <c r="EO210" s="31">
        <v>0</v>
      </c>
      <c r="EP210" s="102" t="e">
        <f>IF(NDC!$H$10="Oui",(VLOOKUP($B$3,'Coeff EC7'!$T$39:$X$59,2,0)*EN210+VLOOKUP($B$3,'Coeff EC7'!$T$65:$X$85,2,0)*Model0.1T!EO210)/1.5,PI()*EL$12*$Q210*($B210-$B209)*0.15/10+EP209)</f>
        <v>#N/A</v>
      </c>
      <c r="EQ210" s="102" t="e">
        <f>(VLOOKUP($B$3,'Coeff EC7'!$T$39:$X$59,3,0)*EN210+VLOOKUP($B$3,'Coeff EC7'!$T$65:$X$85,3,0)*Model0.1T!EO210)/1.1</f>
        <v>#N/A</v>
      </c>
      <c r="ER210" s="102" t="e">
        <f t="shared" si="394"/>
        <v>#N/A</v>
      </c>
      <c r="ES210" s="102" t="e">
        <f t="shared" si="395"/>
        <v>#N/A</v>
      </c>
      <c r="ET210" s="414" t="e">
        <f>IF(AND(EP210&gt;NDC!$C$63,EQ210&gt;NDC!$C$65,ER210&gt;NDC!$D$73,ES210&gt;NDC!$D$74,$B210&gt;NDC!$H$22-0.1+MIN(3*ET$12,1.5)),0,1)</f>
        <v>#N/A</v>
      </c>
      <c r="EU210" s="86" t="b">
        <f t="shared" si="361"/>
        <v>0</v>
      </c>
      <c r="EV210" s="86">
        <f t="shared" si="362"/>
        <v>0.61</v>
      </c>
      <c r="EW210" s="86">
        <f t="shared" si="363"/>
        <v>0.61</v>
      </c>
      <c r="EX210" s="30" t="e">
        <f t="shared" ca="1" si="396"/>
        <v>#DIV/0!</v>
      </c>
      <c r="EY210" s="85" t="e">
        <f ca="1">IF(EE210&lt;=Hypothèses!$V$7,Hypothèses!$W$7,IF(EE210&lt;=Hypothèses!$V$8,Hypothèses!$W$8,IF(EE210&lt;=Hypothèses!$V$9,Hypothèses!$W$9,IF(EE210&lt;=Hypothèses!$V$10,Hypothèses!$W$10,IF(EE210&lt;=Hypothèses!$V$11,Hypothèses!$W$11,IF(EE210&lt;=Hypothèses!$V$12,Hypothèses!$W$12,IF(EE210&lt;=Hypothèses!$V$13,Hypothèses!$W$13,IF(EE210&lt;=Hypothèses!$V$14,Hypothèses!$W$14,IF(EE210&lt;=Hypothèses!$V$15,Hypothèses!$W$15,IF(EE210&lt;=Hypothèses!$V$16,Hypothèses!$W$16,IF(EE210&lt;=Hypothèses!$V$17,Hypothèses!$W$17,IF(EE210&lt;=Hypothèses!$V$18,Hypothèses!$W$18,""))))))))))))</f>
        <v>#DIV/0!</v>
      </c>
      <c r="EZ210" s="87" t="e">
        <f t="shared" ca="1" si="423"/>
        <v>#DIV/0!</v>
      </c>
      <c r="FA210" s="88" t="e">
        <f ca="1">IF(EE210&lt;=Hypothèses!$V$7,Hypothèses!$X$7,IF(EE210&lt;=Hypothèses!$V$8,Hypothèses!$X$8,IF(EE210&lt;=Hypothèses!$V$9,Hypothèses!$X$9,IF(EE210&lt;=Hypothèses!$V$10,Hypothèses!$X$10,IF(EE210&lt;=Hypothèses!$V$11,Hypothèses!$X$11,IF(EE210&lt;=Hypothèses!$V$12,Hypothèses!$X$12,IF(EE210&lt;=Hypothèses!$V$13,Hypothèses!$X$13,IF(EE210&lt;=Hypothèses!$V$14,Hypothèses!$X$14,IF(EE210&lt;=Hypothèses!$V$15,Hypothèses!$X$15,IF(EE210&lt;=Hypothèses!$V$16,Hypothèses!$X$16,IF(EE210&lt;=Hypothèses!$U$17,Hypothèses!$W$17,IF(EE210&lt;=Hypothèses!$U$18,Hypothèses!$W$18,""))))))))))))</f>
        <v>#DIV/0!</v>
      </c>
      <c r="FB210" s="95" t="e">
        <f t="shared" ca="1" si="397"/>
        <v>#DIV/0!</v>
      </c>
      <c r="FC210" s="101">
        <f t="shared" ref="FC210:FC273" si="430">IF($I210=0,0,
IF(FB210&gt;5*FG$12,$I210,
IF($D210="Pressio.",1+($I210-1)*(FB210/FG$12)/5,
IF($D210="Pénétro.",IF($E210=1,0.3+($I210-0.3)*(FB210/FG$12)/5,
IF($E210=2,0.2+($I210-0.2)*(FB210/FG$12)/5,
IF($E210=3,0.1+($I210-0.1)*(FB210/FG$12)/5,
0.15+($I210-0.15)*(FB210/FG$12)/5)))))))</f>
        <v>0</v>
      </c>
      <c r="FD210" s="91">
        <f t="shared" si="364"/>
        <v>0</v>
      </c>
      <c r="FE210" s="30" t="e">
        <f t="shared" si="414"/>
        <v>#N/A</v>
      </c>
      <c r="FF210" s="30" t="e">
        <f t="shared" si="415"/>
        <v>#N/A</v>
      </c>
      <c r="FG210" s="31" t="e">
        <f>IF(OR(Hypothèses!$B$4=17,Hypothèses!$B$4=18,Hypothèses!$B$4=19,Hypothèses!$B$4=20),
IF($D210="Pressio.",
IF(OR($E210=3,$E210=1,$E210=4),FF210,FE210),
IF($D210="Pénétro.",
IF(OR($E210=3,$E210=1,$E210=4),FF210,FE210))),IF($D210="Pressio.",
IF($E210=3,FF210,FE210),
IF($D210="Pénétro.",
IF($E210=4,FF210,FE210))))</f>
        <v>#N/A</v>
      </c>
      <c r="FH210" s="31">
        <v>0</v>
      </c>
      <c r="FI210" s="102" t="e">
        <f>IF(NDC!$H$10="Oui",(VLOOKUP($B$3,'Coeff EC7'!$T$39:$X$59,2,0)*FG210+VLOOKUP($B$3,'Coeff EC7'!$T$65:$X$85,2,0)*Model0.1T!FH210)/1.5,PI()*FE$12*$Q210*($B210-$B209)*0.15/10+FI209)</f>
        <v>#N/A</v>
      </c>
      <c r="FJ210" s="102" t="e">
        <f>(VLOOKUP($B$3,'Coeff EC7'!$T$39:$X$59,3,0)*FG210+VLOOKUP($B$3,'Coeff EC7'!$T$65:$X$85,3,0)*Model0.1T!FH210)/1.1</f>
        <v>#N/A</v>
      </c>
      <c r="FK210" s="102" t="e">
        <f t="shared" si="398"/>
        <v>#N/A</v>
      </c>
      <c r="FL210" s="102" t="e">
        <f t="shared" si="399"/>
        <v>#N/A</v>
      </c>
      <c r="FM210" s="414" t="e">
        <f>IF(AND(FI210&gt;NDC!$C$63,FJ210&gt;NDC!$C$65,FK210&gt;NDC!$D$73,FL210&gt;NDC!$D$74,$B210&gt;NDC!$H$22-0.1+MIN(3*FM$12,1.5)),0,1)</f>
        <v>#N/A</v>
      </c>
    </row>
    <row r="211" spans="1:169">
      <c r="A211" s="96">
        <f t="shared" si="365"/>
        <v>80.200000000001125</v>
      </c>
      <c r="B211" s="97">
        <v>19.8</v>
      </c>
      <c r="C211" s="81">
        <f>IF(B211&lt;=Hypothèses!$C$7,Hypothèses!$A$7,IF(B211&lt;=Hypothèses!$C$8,Hypothèses!$A$8,IF(B211&lt;=Hypothèses!$C$9,Hypothèses!$A$9,IF(B211&lt;=Hypothèses!$C$10,Hypothèses!$A$10,IF(B211&lt;=Hypothèses!$C$11,Hypothèses!$A$11,IF(B211&lt;=Hypothèses!$C$12,Hypothèses!$A$12,IF(B211&lt;=Hypothèses!$C$13,Hypothèses!$A$13,IF(B211&lt;=Hypothèses!$C$14,Hypothèses!$A$14,IF(B211&lt;=Hypothèses!$C$15,Hypothèses!$A$15,IF(B211&lt;=Hypothèses!$C$16,Hypothèses!$A$16,IF(B211&lt;=Hypothèses!$C$17,Hypothèses!$A$17,IF(B211&lt;=Hypothèses!$C$18,Hypothèses!$A$18,C210))))))))))))</f>
        <v>11</v>
      </c>
      <c r="D211" s="82" t="str">
        <f>IF(B211&lt;=Hypothèses!$C$7,Hypothèses!$R$7,IF(B211&lt;=Hypothèses!$C$8,Hypothèses!$R$8,IF(B211&lt;=Hypothèses!$C$9,Hypothèses!$R$9,IF(B211&lt;=Hypothèses!$C$10,Hypothèses!$R$10,IF(B211&lt;=Hypothèses!$C$11,Hypothèses!$R$11,IF(B211&lt;=Hypothèses!$C$12,Hypothèses!$R$12,IF(B211&lt;=Hypothèses!$C$13,Hypothèses!$R$13,IF(B211&lt;=Hypothèses!$C$14,Hypothèses!$R$14,IF(B211&lt;=Hypothèses!$C$15,Hypothèses!$R$15,IF(B211&lt;=Hypothèses!$C$16,Hypothèses!$R$16,IF(B211&lt;=Hypothèses!$C$17,Hypothèses!$R$17,IF(B211&lt;=Hypothèses!$C$18,Hypothèses!$R$18,D210))))))))))))</f>
        <v>Pressio.</v>
      </c>
      <c r="E211" s="82" t="e">
        <f>IF(B211&lt;=Hypothèses!$C$7,Hypothèses!$G$7,IF(B211&lt;=Hypothèses!$C$8,Hypothèses!$G$8,IF(B211&lt;=Hypothèses!$C$9,Hypothèses!$G$9,IF(B211&lt;=Hypothèses!$C$10,Hypothèses!$G$10,IF(B211&lt;=Hypothèses!$C$11,Hypothèses!$G$11,IF(B211&lt;=Hypothèses!$C$12,Hypothèses!$G$12,IF(B211&lt;=Hypothèses!$C$13,Hypothèses!$G$13,IF(B211&lt;=Hypothèses!$C$14,Hypothèses!$G$14,IF(B211&lt;=Hypothèses!$C$15,Hypothèses!$G$15,IF(B211&lt;=Hypothèses!$C$16,Hypothèses!$G$16,IF(B211&lt;=Hypothèses!$C$17,Hypothèses!$G$17,IF(B211&lt;=Hypothèses!$C$18,Hypothèses!$G$18,E210))))))))))))</f>
        <v>#N/A</v>
      </c>
      <c r="F211" s="82" t="str">
        <f>IF(B211&lt;=Hypothèses!$C$7,Hypothèses!$F$7,IF(B211&lt;=Hypothèses!$C$8,Hypothèses!$F$8,IF(B211&lt;=Hypothèses!$C$9,Hypothèses!$F$9,IF(B211&lt;=Hypothèses!$C$10,Hypothèses!$F$10,IF(B211&lt;=Hypothèses!$C$11,Hypothèses!$F$11,IF(B211&lt;=Hypothèses!$C$12,Hypothèses!$F$12,IF(B211&lt;=Hypothèses!$C$13,Hypothèses!$F$13,IF(B211&lt;=Hypothèses!$C$14,Hypothèses!$F$14,IF(B211&lt;=Hypothèses!$C$15,Hypothèses!$F$15,IF(B211&lt;=Hypothèses!$C$16,Hypothèses!$F$16,IF(B211&lt;=Hypothèses!$C$17,Hypothèses!$F$17,IF(B211&lt;=Hypothèses!$C$18,Hypothèses!$F$18,F210))))))))))))</f>
        <v/>
      </c>
      <c r="G211" s="91">
        <f t="array" ref="G211">INDEX('Coeff EC7'!$U$7:$X$27,
MATCH(Model0.1T!$B$3,'Coeff EC7'!$T$7:$T$27,0),
MATCH(Model0.1T!$D211&amp;Model0.1T!$B$4,
'Coeff EC7'!$U$6:$X$6&amp;
'Coeff EC7'!$U$5:$X$5,0))</f>
        <v>1.4</v>
      </c>
      <c r="H211" s="91">
        <f t="array" ref="H211">INDEX('Coeff EC7'!$Y$7:$AB$27,
MATCH(Model0.1T!$B$3,'Coeff EC7'!$T$7:$T$27,0),
MATCH(Model0.1T!$D211&amp;Model0.1T!$B$4,
'Coeff EC7'!$Y$6:$AB$6&amp;
'Coeff EC7'!$Y$5:$AB$5,0))</f>
        <v>1.7</v>
      </c>
      <c r="I211" s="83">
        <v>0</v>
      </c>
      <c r="J211" s="91" t="e">
        <f t="array" ref="J211">INDEX('Coeff EC7'!$D$33:$Q$33,1,MATCH(D211&amp;E211,'Coeff EC7'!$D$31:$Q$31&amp;'Coeff EC7'!$D$32:$Q$32,0))</f>
        <v>#N/A</v>
      </c>
      <c r="K211" s="91" t="e">
        <f t="array" ref="K211">INDEX('Coeff EC7'!$D$34:$Q$34,1,MATCH(D211&amp;E211,'Coeff EC7'!$D$31:$Q$31&amp;'Coeff EC7'!$D$32:$Q$32,0))</f>
        <v>#N/A</v>
      </c>
      <c r="L211" s="91" t="e">
        <f t="array" ref="L211">INDEX('Coeff EC7'!$D$35:$Q$35,1,MATCH(D211&amp;E211,'Coeff EC7'!$D$31:$Q$31&amp;'Coeff EC7'!$D$32:$Q$32,0))</f>
        <v>#N/A</v>
      </c>
      <c r="M211" s="98" t="e">
        <f t="shared" si="331"/>
        <v>#N/A</v>
      </c>
      <c r="N211" s="99" t="e">
        <f t="array" ref="N211">INDEX('Coeff EC7'!$D$7:$Q$27,MATCH($B$3,'Coeff EC7'!$C$7:$C$27,0),MATCH(D211&amp;E211,'Coeff EC7'!$D$5:$Q$5&amp;'Coeff EC7'!$D$6:$Q$6,0))</f>
        <v>#N/A</v>
      </c>
      <c r="O211" s="99" t="e">
        <f t="array" ref="O211">INDEX('Coeff EC7'!$D$41:$Q$61,MATCH($B$3,'Coeff EC7'!$C$41:$C$61,0),MATCH(D211&amp;E211,'Coeff EC7'!$D$39:$Q$39&amp;'Coeff EC7'!$D$40:$Q$40,0))</f>
        <v>#N/A</v>
      </c>
      <c r="P211" s="30" t="e">
        <f t="shared" si="366"/>
        <v>#N/A</v>
      </c>
      <c r="Q211" s="100" t="e">
        <f t="shared" si="333"/>
        <v>#N/A</v>
      </c>
      <c r="R211" s="86" t="b">
        <f t="shared" si="334"/>
        <v>0</v>
      </c>
      <c r="S211" s="86">
        <f t="shared" si="332"/>
        <v>0.5</v>
      </c>
      <c r="T211" s="86">
        <f t="shared" si="335"/>
        <v>0.5</v>
      </c>
      <c r="U211" s="30" t="e">
        <f t="shared" ca="1" si="367"/>
        <v>#DIV/0!</v>
      </c>
      <c r="V211" s="85" t="str">
        <f>IF(B211&lt;=Hypothèses!$V$7,Hypothèses!$W$7,IF(B211&lt;=Hypothèses!$V$8,Hypothèses!$W$8,IF(B211&lt;=Hypothèses!$V$9,Hypothèses!$W$9,IF(B211&lt;=Hypothèses!$V$10,Hypothèses!$W$10,IF(B211&lt;=Hypothèses!$V$11,Hypothèses!$W$11,IF(B211&lt;=Hypothèses!$V$12,Hypothèses!$W$12,IF(B211&lt;=Hypothèses!$V$13,Hypothèses!$W$13,IF(B211&lt;=Hypothèses!$V$14,Hypothèses!$W$14,IF(B211&lt;=Hypothèses!$V$15,Hypothèses!$W$15,IF(B211&lt;=Hypothèses!$V$16,Hypothèses!$W$16,IF(B211&lt;=Hypothèses!$V$17,Hypothèses!$W$17,IF(B211&lt;=Hypothèses!$V$18,Hypothèses!$W$18,""))))))))))))</f>
        <v/>
      </c>
      <c r="W211" s="87" t="e">
        <f t="shared" ca="1" si="416"/>
        <v>#DIV/0!</v>
      </c>
      <c r="X211" s="88" t="str">
        <f>IF(B211&lt;=Hypothèses!$V$7,Hypothèses!$X$7,IF(B211&lt;=Hypothèses!$V$8,Hypothèses!$X$8,IF(B211&lt;=Hypothèses!$V$9,Hypothèses!$X$9,IF(B211&lt;=Hypothèses!$V$10,Hypothèses!$X$10,IF(B211&lt;=Hypothèses!$V$11,Hypothèses!$X$11,IF(B211&lt;=Hypothèses!$V$12,Hypothèses!$X$12,IF(B211&lt;=Hypothèses!$V$13,Hypothèses!$X$13,IF(B211&lt;=Hypothèses!$V$14,Hypothèses!$X$14,IF(B211&lt;=Hypothèses!$V$15,Hypothèses!$X$15,IF(B211&lt;=Hypothèses!$V$16,Hypothèses!$X$16,IF(B211&lt;=Hypothèses!$U$17,Hypothèses!$W$17,IF(B211&lt;=Hypothèses!$U$18,Hypothèses!$W$18,""))))))))))))</f>
        <v/>
      </c>
      <c r="Y211" s="95" t="e">
        <f t="shared" ca="1" si="336"/>
        <v>#DIV/0!</v>
      </c>
      <c r="Z211" s="101">
        <f t="shared" si="337"/>
        <v>0</v>
      </c>
      <c r="AA211" s="91">
        <f t="shared" si="338"/>
        <v>0</v>
      </c>
      <c r="AB211" s="30" t="e">
        <f t="shared" si="400"/>
        <v>#N/A</v>
      </c>
      <c r="AC211" s="30" t="e">
        <f t="shared" si="401"/>
        <v>#N/A</v>
      </c>
      <c r="AD211" s="31" t="e">
        <f>IF(OR(Hypothèses!$B$4=17,Hypothèses!$B$4=18,Hypothèses!$B$4=19,Hypothèses!$B$4=20),
IF($D211="Pressio.",
IF(OR($E211=3,$E211=1,$E211=4),AC211,AB211),
IF($D211="Pénétro.",
IF(OR($E211=3,$E211=1,$E211=4),AC211,AB211))),IF($D211="Pressio.",
IF($E211=3,AC211,AB211),
IF($D211="Pénétro.",
IF($E211=4,AC211,AB211))))</f>
        <v>#N/A</v>
      </c>
      <c r="AE211" s="31">
        <v>0</v>
      </c>
      <c r="AF211" s="102" t="e">
        <f>IF(NDC!$H$10="Oui",(VLOOKUP($B$3,'Coeff EC7'!$T$39:$X$59,2,0)*AD211+VLOOKUP($B$3,'Coeff EC7'!$T$65:$X$85,2,0)*Model0.1T!AE211)/1.5,PI()*AB$12*$Q211*($B211-$B210)*0.15/10+AF210)</f>
        <v>#N/A</v>
      </c>
      <c r="AG211" s="102" t="e">
        <f>(VLOOKUP($B$3,'Coeff EC7'!$T$39:$X$59,3,0)*AD211+VLOOKUP($B$3,'Coeff EC7'!$T$65:$X$85,3,0)*Model0.1T!AE211)/1.1</f>
        <v>#N/A</v>
      </c>
      <c r="AH211" s="102" t="e">
        <f t="shared" si="368"/>
        <v>#N/A</v>
      </c>
      <c r="AI211" s="102" t="e">
        <f t="shared" si="369"/>
        <v>#N/A</v>
      </c>
      <c r="AJ211" s="414" t="e">
        <f>IF(AND(AF211&gt;NDC!$C$63,AG211&gt;NDC!$C$65,AH211&gt;NDC!$D$73,AI211&gt;NDC!$D$74,$B211&gt;NDC!$H$22-0.1+MIN(3*$AJ$12,1.5)),0,1)</f>
        <v>#N/A</v>
      </c>
      <c r="AK211" s="86" t="b">
        <f t="shared" si="339"/>
        <v>0</v>
      </c>
      <c r="AL211" s="86">
        <f t="shared" si="370"/>
        <v>0.5</v>
      </c>
      <c r="AM211" s="86">
        <f t="shared" si="340"/>
        <v>0.5</v>
      </c>
      <c r="AN211" s="30" t="e">
        <f t="shared" ca="1" si="371"/>
        <v>#DIV/0!</v>
      </c>
      <c r="AO211" s="85" t="e">
        <f ca="1">IF(U211&lt;=Hypothèses!$V$7,Hypothèses!$W$7,IF(U211&lt;=Hypothèses!$V$8,Hypothèses!$W$8,IF(U211&lt;=Hypothèses!$V$9,Hypothèses!$W$9,IF(U211&lt;=Hypothèses!$V$10,Hypothèses!$W$10,IF(U211&lt;=Hypothèses!$V$11,Hypothèses!$W$11,IF(U211&lt;=Hypothèses!$V$12,Hypothèses!$W$12,IF(U211&lt;=Hypothèses!$V$13,Hypothèses!$W$13,IF(U211&lt;=Hypothèses!$V$14,Hypothèses!$W$14,IF(U211&lt;=Hypothèses!$V$15,Hypothèses!$W$15,IF(U211&lt;=Hypothèses!$V$16,Hypothèses!$W$16,IF(U211&lt;=Hypothèses!$V$17,Hypothèses!$W$17,IF(U211&lt;=Hypothèses!$V$18,Hypothèses!$W$18,""))))))))))))</f>
        <v>#DIV/0!</v>
      </c>
      <c r="AP211" s="87" t="e">
        <f t="shared" ca="1" si="417"/>
        <v>#DIV/0!</v>
      </c>
      <c r="AQ211" s="88" t="e">
        <f ca="1">IF(U211&lt;=Hypothèses!$V$7,Hypothèses!$X$7,IF(U211&lt;=Hypothèses!$V$8,Hypothèses!$X$8,IF(U211&lt;=Hypothèses!$V$9,Hypothèses!$X$9,IF(U211&lt;=Hypothèses!$V$10,Hypothèses!$X$10,IF(U211&lt;=Hypothèses!$V$11,Hypothèses!$X$11,IF(U211&lt;=Hypothèses!$V$12,Hypothèses!$X$12,IF(U211&lt;=Hypothèses!$V$13,Hypothèses!$X$13,IF(U211&lt;=Hypothèses!$V$14,Hypothèses!$X$14,IF(U211&lt;=Hypothèses!$V$15,Hypothèses!$X$15,IF(U211&lt;=Hypothèses!$V$16,Hypothèses!$X$16,IF(U211&lt;=Hypothèses!$U$17,Hypothèses!$W$17,IF(U211&lt;=Hypothèses!$U$18,Hypothèses!$W$18,""))))))))))))</f>
        <v>#DIV/0!</v>
      </c>
      <c r="AR211" s="95" t="e">
        <f t="shared" ca="1" si="372"/>
        <v>#DIV/0!</v>
      </c>
      <c r="AS211" s="101">
        <f t="shared" si="424"/>
        <v>0</v>
      </c>
      <c r="AT211" s="91">
        <f t="shared" si="341"/>
        <v>0</v>
      </c>
      <c r="AU211" s="30" t="e">
        <f t="shared" si="402"/>
        <v>#N/A</v>
      </c>
      <c r="AV211" s="30" t="e">
        <f t="shared" si="403"/>
        <v>#N/A</v>
      </c>
      <c r="AW211" s="31" t="e">
        <f>IF(OR(Hypothèses!$B$4=17,Hypothèses!$B$4=18,Hypothèses!$B$4=19,Hypothèses!$B$4=20),
IF($D211="Pressio.",
IF(OR($E211=3,$E211=1,$E211=4),AV211,AU211),
IF($D211="Pénétro.",
IF(OR($E211=3,$E211=1,$E211=4),AV211,AU211))),IF($D211="Pressio.",
IF($E211=3,AV211,AU211),
IF($D211="Pénétro.",
IF($E211=4,AV211,AU211))))</f>
        <v>#N/A</v>
      </c>
      <c r="AX211" s="31">
        <v>0</v>
      </c>
      <c r="AY211" s="102" t="e">
        <f>IF(NDC!$H$10="Oui",(VLOOKUP($B$3,'Coeff EC7'!$T$39:$X$59,2,0)*AW211+VLOOKUP($B$3,'Coeff EC7'!$T$65:$X$85,2,0)*Model0.1T!AX211)/1.5,PI()*AU$12*$Q211*($B211-$B210)*0.15/10+AY210)</f>
        <v>#N/A</v>
      </c>
      <c r="AZ211" s="102" t="e">
        <f>(VLOOKUP($B$3,'Coeff EC7'!$T$39:$X$59,3,0)*AW211+VLOOKUP($B$3,'Coeff EC7'!$T$65:$X$85,3,0)*Model0.1T!AX211)/1.1</f>
        <v>#N/A</v>
      </c>
      <c r="BA211" s="102" t="e">
        <f t="shared" si="373"/>
        <v>#N/A</v>
      </c>
      <c r="BB211" s="102" t="e">
        <f t="shared" si="374"/>
        <v>#N/A</v>
      </c>
      <c r="BC211" s="414" t="e">
        <f>IF(AND(AY211&gt;NDC!$C$63,AZ211&gt;NDC!$C$65,BA211&gt;NDC!$D$73,BB211&gt;NDC!$D$74,$B211&gt;NDC!$H$22-0.1+MIN(3*BC$12,1.5)),0,1)</f>
        <v>#N/A</v>
      </c>
      <c r="BD211" s="86" t="b">
        <f t="shared" si="342"/>
        <v>0</v>
      </c>
      <c r="BE211" s="86">
        <f t="shared" si="375"/>
        <v>0.5</v>
      </c>
      <c r="BF211" s="86">
        <f t="shared" si="343"/>
        <v>0.5</v>
      </c>
      <c r="BG211" s="30" t="e">
        <f t="shared" ca="1" si="376"/>
        <v>#DIV/0!</v>
      </c>
      <c r="BH211" s="85" t="e">
        <f ca="1">IF(AN211&lt;=Hypothèses!$V$7,Hypothèses!$W$7,IF(AN211&lt;=Hypothèses!$V$8,Hypothèses!$W$8,IF(AN211&lt;=Hypothèses!$V$9,Hypothèses!$W$9,IF(AN211&lt;=Hypothèses!$V$10,Hypothèses!$W$10,IF(AN211&lt;=Hypothèses!$V$11,Hypothèses!$W$11,IF(AN211&lt;=Hypothèses!$V$12,Hypothèses!$W$12,IF(AN211&lt;=Hypothèses!$V$13,Hypothèses!$W$13,IF(AN211&lt;=Hypothèses!$V$14,Hypothèses!$W$14,IF(AN211&lt;=Hypothèses!$V$15,Hypothèses!$W$15,IF(AN211&lt;=Hypothèses!$V$16,Hypothèses!$W$16,IF(AN211&lt;=Hypothèses!$V$17,Hypothèses!$W$17,IF(AN211&lt;=Hypothèses!$V$18,Hypothèses!$W$18,""))))))))))))</f>
        <v>#DIV/0!</v>
      </c>
      <c r="BI211" s="87" t="e">
        <f t="shared" ca="1" si="418"/>
        <v>#DIV/0!</v>
      </c>
      <c r="BJ211" s="88" t="e">
        <f ca="1">IF(AN211&lt;=Hypothèses!$V$7,Hypothèses!$X$7,IF(AN211&lt;=Hypothèses!$V$8,Hypothèses!$X$8,IF(AN211&lt;=Hypothèses!$V$9,Hypothèses!$X$9,IF(AN211&lt;=Hypothèses!$V$10,Hypothèses!$X$10,IF(AN211&lt;=Hypothèses!$V$11,Hypothèses!$X$11,IF(AN211&lt;=Hypothèses!$V$12,Hypothèses!$X$12,IF(AN211&lt;=Hypothèses!$V$13,Hypothèses!$X$13,IF(AN211&lt;=Hypothèses!$V$14,Hypothèses!$X$14,IF(AN211&lt;=Hypothèses!$V$15,Hypothèses!$X$15,IF(AN211&lt;=Hypothèses!$V$16,Hypothèses!$X$16,IF(AN211&lt;=Hypothèses!$U$17,Hypothèses!$W$17,IF(AN211&lt;=Hypothèses!$U$18,Hypothèses!$W$18,""))))))))))))</f>
        <v>#DIV/0!</v>
      </c>
      <c r="BK211" s="95" t="e">
        <f t="shared" ca="1" si="377"/>
        <v>#DIV/0!</v>
      </c>
      <c r="BL211" s="101">
        <f t="shared" si="425"/>
        <v>0</v>
      </c>
      <c r="BM211" s="91">
        <f t="shared" si="344"/>
        <v>0</v>
      </c>
      <c r="BN211" s="30" t="e">
        <f t="shared" si="404"/>
        <v>#N/A</v>
      </c>
      <c r="BO211" s="30" t="e">
        <f t="shared" si="405"/>
        <v>#N/A</v>
      </c>
      <c r="BP211" s="31" t="e">
        <f>IF(OR(Hypothèses!$B$4=17,Hypothèses!$B$4=18,Hypothèses!$B$4=19,Hypothèses!$B$4=20),
IF($D211="Pressio.",
IF(OR($E211=3,$E211=1,$E211=4),BO211,BN211),
IF($D211="Pénétro.",
IF(OR($E211=3,$E211=1,$E211=4),BO211,BN211))),IF($D211="Pressio.",
IF($E211=3,BO211,BN211),
IF($D211="Pénétro.",
IF($E211=4,BO211,BN211))))</f>
        <v>#N/A</v>
      </c>
      <c r="BQ211" s="31">
        <v>0</v>
      </c>
      <c r="BR211" s="102" t="e">
        <f>IF(NDC!$H$10="Oui",(VLOOKUP($B$3,'Coeff EC7'!$T$39:$X$59,2,0)*BP211+VLOOKUP($B$3,'Coeff EC7'!$T$65:$X$85,2,0)*Model0.1T!BQ211)/1.5,PI()*BN$12*$Q211*($B211-$B210)*0.15/10+BR210)</f>
        <v>#N/A</v>
      </c>
      <c r="BS211" s="102" t="e">
        <f>(VLOOKUP($B$3,'Coeff EC7'!$T$39:$X$59,3,0)*BP211+VLOOKUP($B$3,'Coeff EC7'!$T$65:$X$85,3,0)*Model0.1T!BQ211)/1.1</f>
        <v>#N/A</v>
      </c>
      <c r="BT211" s="102" t="e">
        <f t="shared" si="378"/>
        <v>#N/A</v>
      </c>
      <c r="BU211" s="102" t="e">
        <f t="shared" si="379"/>
        <v>#N/A</v>
      </c>
      <c r="BV211" s="414" t="e">
        <f>IF(AND(BR211&gt;NDC!$C$63,BS211&gt;NDC!$C$65,BT211&gt;NDC!$D$73,BU211&gt;NDC!$D$74,$B211&gt;NDC!$H$22-0.1+MIN(3*BV$12,1.5)),0,1)</f>
        <v>#N/A</v>
      </c>
      <c r="BW211" s="86" t="b">
        <f t="shared" si="345"/>
        <v>0</v>
      </c>
      <c r="BX211" s="86">
        <f t="shared" si="346"/>
        <v>0.5</v>
      </c>
      <c r="BY211" s="86">
        <f t="shared" si="347"/>
        <v>0.5</v>
      </c>
      <c r="BZ211" s="30" t="e">
        <f t="shared" ca="1" si="380"/>
        <v>#DIV/0!</v>
      </c>
      <c r="CA211" s="85" t="e">
        <f ca="1">IF(BG211&lt;=Hypothèses!$V$7,Hypothèses!$W$7,IF(BG211&lt;=Hypothèses!$V$8,Hypothèses!$W$8,IF(BG211&lt;=Hypothèses!$V$9,Hypothèses!$W$9,IF(BG211&lt;=Hypothèses!$V$10,Hypothèses!$W$10,IF(BG211&lt;=Hypothèses!$V$11,Hypothèses!$W$11,IF(BG211&lt;=Hypothèses!$V$12,Hypothèses!$W$12,IF(BG211&lt;=Hypothèses!$V$13,Hypothèses!$W$13,IF(BG211&lt;=Hypothèses!$V$14,Hypothèses!$W$14,IF(BG211&lt;=Hypothèses!$V$15,Hypothèses!$W$15,IF(BG211&lt;=Hypothèses!$V$16,Hypothèses!$W$16,IF(BG211&lt;=Hypothèses!$V$17,Hypothèses!$W$17,IF(BG211&lt;=Hypothèses!$V$18,Hypothèses!$W$18,""))))))))))))</f>
        <v>#DIV/0!</v>
      </c>
      <c r="CB211" s="87" t="e">
        <f t="shared" ca="1" si="419"/>
        <v>#DIV/0!</v>
      </c>
      <c r="CC211" s="88" t="e">
        <f ca="1">IF(BG211&lt;=Hypothèses!$V$7,Hypothèses!$X$7,IF(BG211&lt;=Hypothèses!$V$8,Hypothèses!$X$8,IF(BG211&lt;=Hypothèses!$V$9,Hypothèses!$X$9,IF(BG211&lt;=Hypothèses!$V$10,Hypothèses!$X$10,IF(BG211&lt;=Hypothèses!$V$11,Hypothèses!$X$11,IF(BG211&lt;=Hypothèses!$V$12,Hypothèses!$X$12,IF(BG211&lt;=Hypothèses!$V$13,Hypothèses!$X$13,IF(BG211&lt;=Hypothèses!$V$14,Hypothèses!$X$14,IF(BG211&lt;=Hypothèses!$V$15,Hypothèses!$X$15,IF(BG211&lt;=Hypothèses!$V$16,Hypothèses!$X$16,IF(BG211&lt;=Hypothèses!$U$17,Hypothèses!$W$17,IF(BG211&lt;=Hypothèses!$U$18,Hypothèses!$W$18,""))))))))))))</f>
        <v>#DIV/0!</v>
      </c>
      <c r="CD211" s="95" t="e">
        <f t="shared" ca="1" si="381"/>
        <v>#DIV/0!</v>
      </c>
      <c r="CE211" s="101">
        <f t="shared" si="426"/>
        <v>0</v>
      </c>
      <c r="CF211" s="91">
        <f t="shared" si="348"/>
        <v>0</v>
      </c>
      <c r="CG211" s="30" t="e">
        <f t="shared" si="406"/>
        <v>#N/A</v>
      </c>
      <c r="CH211" s="30" t="e">
        <f t="shared" si="407"/>
        <v>#N/A</v>
      </c>
      <c r="CI211" s="31" t="e">
        <f>IF(OR(Hypothèses!$B$4=17,Hypothèses!$B$4=18,Hypothèses!$B$4=19,Hypothèses!$B$4=20),
IF($D211="Pressio.",
IF(OR($E211=3,$E211=1,$E211=4),CH211,CG211),
IF($D211="Pénétro.",
IF(OR($E211=3,$E211=1,$E211=4),CH211,CG211))),IF($D211="Pressio.",
IF($E211=3,CH211,CG211),
IF($D211="Pénétro.",
IF($E211=4,CH211,CG211))))</f>
        <v>#N/A</v>
      </c>
      <c r="CJ211" s="31">
        <v>0</v>
      </c>
      <c r="CK211" s="102" t="e">
        <f>IF(NDC!$H$10="Oui",(VLOOKUP($B$3,'Coeff EC7'!$T$39:$X$59,2,0)*CI211+VLOOKUP($B$3,'Coeff EC7'!$T$65:$X$85,2,0)*Model0.1T!CJ211)/1.5,PI()*CG$12*$Q211*($B211-$B210)*0.15/10+CK210)</f>
        <v>#N/A</v>
      </c>
      <c r="CL211" s="102" t="e">
        <f>(VLOOKUP($B$3,'Coeff EC7'!$T$39:$X$59,3,0)*CI211+VLOOKUP($B$3,'Coeff EC7'!$T$65:$X$85,3,0)*Model0.1T!CJ211)/1.1</f>
        <v>#N/A</v>
      </c>
      <c r="CM211" s="102" t="e">
        <f t="shared" si="382"/>
        <v>#N/A</v>
      </c>
      <c r="CN211" s="102" t="e">
        <f t="shared" si="383"/>
        <v>#N/A</v>
      </c>
      <c r="CO211" s="414" t="e">
        <f>IF(AND(CK211&gt;NDC!$C$63,CL211&gt;NDC!$C$65,CM211&gt;NDC!$D$73,CN211&gt;NDC!$D$74,$B211&gt;NDC!$H$22-0.1+MIN(3*CO$12,1.5)),0,1)</f>
        <v>#N/A</v>
      </c>
      <c r="CP211" s="86" t="b">
        <f t="shared" si="349"/>
        <v>0</v>
      </c>
      <c r="CQ211" s="86">
        <f t="shared" si="350"/>
        <v>0.5</v>
      </c>
      <c r="CR211" s="86">
        <f t="shared" si="351"/>
        <v>0.5</v>
      </c>
      <c r="CS211" s="30" t="e">
        <f t="shared" ca="1" si="384"/>
        <v>#DIV/0!</v>
      </c>
      <c r="CT211" s="85" t="e">
        <f ca="1">IF(BZ211&lt;=Hypothèses!$V$7,Hypothèses!$W$7,IF(BZ211&lt;=Hypothèses!$V$8,Hypothèses!$W$8,IF(BZ211&lt;=Hypothèses!$V$9,Hypothèses!$W$9,IF(BZ211&lt;=Hypothèses!$V$10,Hypothèses!$W$10,IF(BZ211&lt;=Hypothèses!$V$11,Hypothèses!$W$11,IF(BZ211&lt;=Hypothèses!$V$12,Hypothèses!$W$12,IF(BZ211&lt;=Hypothèses!$V$13,Hypothèses!$W$13,IF(BZ211&lt;=Hypothèses!$V$14,Hypothèses!$W$14,IF(BZ211&lt;=Hypothèses!$V$15,Hypothèses!$W$15,IF(BZ211&lt;=Hypothèses!$V$16,Hypothèses!$W$16,IF(BZ211&lt;=Hypothèses!$V$17,Hypothèses!$W$17,IF(BZ211&lt;=Hypothèses!$V$18,Hypothèses!$W$18,""))))))))))))</f>
        <v>#DIV/0!</v>
      </c>
      <c r="CU211" s="87" t="e">
        <f t="shared" ca="1" si="420"/>
        <v>#DIV/0!</v>
      </c>
      <c r="CV211" s="88" t="e">
        <f ca="1">IF(BZ211&lt;=Hypothèses!$V$7,Hypothèses!$X$7,IF(BZ211&lt;=Hypothèses!$V$8,Hypothèses!$X$8,IF(BZ211&lt;=Hypothèses!$V$9,Hypothèses!$X$9,IF(BZ211&lt;=Hypothèses!$V$10,Hypothèses!$X$10,IF(BZ211&lt;=Hypothèses!$V$11,Hypothèses!$X$11,IF(BZ211&lt;=Hypothèses!$V$12,Hypothèses!$X$12,IF(BZ211&lt;=Hypothèses!$V$13,Hypothèses!$X$13,IF(BZ211&lt;=Hypothèses!$V$14,Hypothèses!$X$14,IF(BZ211&lt;=Hypothèses!$V$15,Hypothèses!$X$15,IF(BZ211&lt;=Hypothèses!$V$16,Hypothèses!$X$16,IF(BZ211&lt;=Hypothèses!$U$17,Hypothèses!$W$17,IF(BZ211&lt;=Hypothèses!$U$18,Hypothèses!$W$18,""))))))))))))</f>
        <v>#DIV/0!</v>
      </c>
      <c r="CW211" s="95" t="e">
        <f t="shared" ca="1" si="385"/>
        <v>#DIV/0!</v>
      </c>
      <c r="CX211" s="101">
        <f t="shared" si="427"/>
        <v>0</v>
      </c>
      <c r="CY211" s="91">
        <f t="shared" si="352"/>
        <v>0</v>
      </c>
      <c r="CZ211" s="30" t="e">
        <f t="shared" si="408"/>
        <v>#N/A</v>
      </c>
      <c r="DA211" s="30" t="e">
        <f t="shared" si="409"/>
        <v>#N/A</v>
      </c>
      <c r="DB211" s="31" t="e">
        <f>IF(OR(Hypothèses!$B$4=17,Hypothèses!$B$4=18,Hypothèses!$B$4=19,Hypothèses!$B$4=20),
IF($D211="Pressio.",
IF(OR($E211=3,$E211=1,$E211=4),DA211,CZ211),
IF($D211="Pénétro.",
IF(OR($E211=3,$E211=1,$E211=4),DA211,CZ211))),IF($D211="Pressio.",
IF($E211=3,DA211,CZ211),
IF($D211="Pénétro.",
IF($E211=4,DA211,CZ211))))</f>
        <v>#N/A</v>
      </c>
      <c r="DC211" s="31">
        <v>0</v>
      </c>
      <c r="DD211" s="102" t="e">
        <f>IF(NDC!$H$10="Oui",(VLOOKUP($B$3,'Coeff EC7'!$T$39:$X$59,2,0)*DB211+VLOOKUP($B$3,'Coeff EC7'!$T$65:$X$85,2,0)*Model0.1T!DC211)/1.5,PI()*CZ$12*$Q211*($B211-$B210)*0.15/10+DD210)</f>
        <v>#N/A</v>
      </c>
      <c r="DE211" s="102" t="e">
        <f>(VLOOKUP($B$3,'Coeff EC7'!$T$39:$X$59,3,0)*DB211+VLOOKUP($B$3,'Coeff EC7'!$T$65:$X$85,3,0)*Model0.1T!DC211)/1.1</f>
        <v>#N/A</v>
      </c>
      <c r="DF211" s="102" t="e">
        <f t="shared" si="386"/>
        <v>#N/A</v>
      </c>
      <c r="DG211" s="102" t="e">
        <f t="shared" si="387"/>
        <v>#N/A</v>
      </c>
      <c r="DH211" s="414" t="e">
        <f>IF(AND(DD211&gt;NDC!$C$63,DE211&gt;NDC!$C$65,DF211&gt;NDC!$D$73,DG211&gt;NDC!$D$74,$B211&gt;NDC!$H$22-0.1+MIN(3*DH$12,1.5)),0,1)</f>
        <v>#N/A</v>
      </c>
      <c r="DI211" s="86" t="b">
        <f t="shared" si="353"/>
        <v>0</v>
      </c>
      <c r="DJ211" s="86">
        <f t="shared" si="354"/>
        <v>0.5</v>
      </c>
      <c r="DK211" s="86">
        <f t="shared" si="355"/>
        <v>0.5</v>
      </c>
      <c r="DL211" s="30" t="e">
        <f t="shared" ca="1" si="388"/>
        <v>#DIV/0!</v>
      </c>
      <c r="DM211" s="85" t="e">
        <f ca="1">IF(CS211&lt;=Hypothèses!$V$7,Hypothèses!$W$7,IF(CS211&lt;=Hypothèses!$V$8,Hypothèses!$W$8,IF(CS211&lt;=Hypothèses!$V$9,Hypothèses!$W$9,IF(CS211&lt;=Hypothèses!$V$10,Hypothèses!$W$10,IF(CS211&lt;=Hypothèses!$V$11,Hypothèses!$W$11,IF(CS211&lt;=Hypothèses!$V$12,Hypothèses!$W$12,IF(CS211&lt;=Hypothèses!$V$13,Hypothèses!$W$13,IF(CS211&lt;=Hypothèses!$V$14,Hypothèses!$W$14,IF(CS211&lt;=Hypothèses!$V$15,Hypothèses!$W$15,IF(CS211&lt;=Hypothèses!$V$16,Hypothèses!$W$16,IF(CS211&lt;=Hypothèses!$V$17,Hypothèses!$W$17,IF(CS211&lt;=Hypothèses!$V$18,Hypothèses!$W$18,""))))))))))))</f>
        <v>#DIV/0!</v>
      </c>
      <c r="DN211" s="87" t="e">
        <f t="shared" ca="1" si="421"/>
        <v>#DIV/0!</v>
      </c>
      <c r="DO211" s="88" t="e">
        <f ca="1">IF(CS211&lt;=Hypothèses!$V$7,Hypothèses!$X$7,IF(CS211&lt;=Hypothèses!$V$8,Hypothèses!$X$8,IF(CS211&lt;=Hypothèses!$V$9,Hypothèses!$X$9,IF(CS211&lt;=Hypothèses!$V$10,Hypothèses!$X$10,IF(CS211&lt;=Hypothèses!$V$11,Hypothèses!$X$11,IF(CS211&lt;=Hypothèses!$V$12,Hypothèses!$X$12,IF(CS211&lt;=Hypothèses!$V$13,Hypothèses!$X$13,IF(CS211&lt;=Hypothèses!$V$14,Hypothèses!$X$14,IF(CS211&lt;=Hypothèses!$V$15,Hypothèses!$X$15,IF(CS211&lt;=Hypothèses!$V$16,Hypothèses!$X$16,IF(CS211&lt;=Hypothèses!$U$17,Hypothèses!$W$17,IF(CS211&lt;=Hypothèses!$U$18,Hypothèses!$W$18,""))))))))))))</f>
        <v>#DIV/0!</v>
      </c>
      <c r="DP211" s="95" t="e">
        <f t="shared" ca="1" si="389"/>
        <v>#DIV/0!</v>
      </c>
      <c r="DQ211" s="101">
        <f t="shared" si="428"/>
        <v>0</v>
      </c>
      <c r="DR211" s="91">
        <f t="shared" si="356"/>
        <v>0</v>
      </c>
      <c r="DS211" s="30" t="e">
        <f t="shared" si="410"/>
        <v>#N/A</v>
      </c>
      <c r="DT211" s="30" t="e">
        <f t="shared" si="411"/>
        <v>#N/A</v>
      </c>
      <c r="DU211" s="31" t="e">
        <f>IF(OR(Hypothèses!$B$4=17,Hypothèses!$B$4=18,Hypothèses!$B$4=19,Hypothèses!$B$4=20),
IF($D211="Pressio.",
IF(OR($E211=3,$E211=1,$E211=4),DT211,DS211),
IF($D211="Pénétro.",
IF(OR($E211=3,$E211=1,$E211=4),DT211,DS211))),IF($D211="Pressio.",
IF($E211=3,DT211,DS211),
IF($D211="Pénétro.",
IF($E211=4,DT211,DS211))))</f>
        <v>#N/A</v>
      </c>
      <c r="DV211" s="31">
        <v>0</v>
      </c>
      <c r="DW211" s="102" t="e">
        <f>IF(NDC!$H$10="Oui",(VLOOKUP($B$3,'Coeff EC7'!$T$39:$X$59,2,0)*DU211+VLOOKUP($B$3,'Coeff EC7'!$T$65:$X$85,2,0)*Model0.1T!DV211)/1.5,PI()*DS$12*$Q211*($B211-$B210)*0.15/10+DW210)</f>
        <v>#N/A</v>
      </c>
      <c r="DX211" s="102" t="e">
        <f>(VLOOKUP($B$3,'Coeff EC7'!$T$39:$X$59,3,0)*DU211+VLOOKUP($B$3,'Coeff EC7'!$T$65:$X$85,3,0)*Model0.1T!DV211)/1.1</f>
        <v>#N/A</v>
      </c>
      <c r="DY211" s="102" t="e">
        <f t="shared" si="390"/>
        <v>#N/A</v>
      </c>
      <c r="DZ211" s="102" t="e">
        <f t="shared" si="391"/>
        <v>#N/A</v>
      </c>
      <c r="EA211" s="414" t="e">
        <f>IF(AND(DW211&gt;NDC!$C$63,DX211&gt;NDC!$C$65,DY211&gt;NDC!$D$73,DZ211&gt;NDC!$D$74,$B211&gt;NDC!$H$22-0.1+MIN(3*EA$12,1.5)),0,1)</f>
        <v>#N/A</v>
      </c>
      <c r="EB211" s="86" t="b">
        <f t="shared" si="357"/>
        <v>0</v>
      </c>
      <c r="EC211" s="418">
        <f t="shared" si="358"/>
        <v>0.51</v>
      </c>
      <c r="ED211" s="86">
        <f t="shared" si="359"/>
        <v>0.51</v>
      </c>
      <c r="EE211" s="30" t="e">
        <f t="shared" ca="1" si="392"/>
        <v>#DIV/0!</v>
      </c>
      <c r="EF211" s="85" t="e">
        <f ca="1">IF(DL211&lt;=Hypothèses!$V$7,Hypothèses!$W$7,IF(DL211&lt;=Hypothèses!$V$8,Hypothèses!$W$8,IF(DL211&lt;=Hypothèses!$V$9,Hypothèses!$W$9,IF(DL211&lt;=Hypothèses!$V$10,Hypothèses!$W$10,IF(DL211&lt;=Hypothèses!$V$11,Hypothèses!$W$11,IF(DL211&lt;=Hypothèses!$V$12,Hypothèses!$W$12,IF(DL211&lt;=Hypothèses!$V$13,Hypothèses!$W$13,IF(DL211&lt;=Hypothèses!$V$14,Hypothèses!$W$14,IF(DL211&lt;=Hypothèses!$V$15,Hypothèses!$W$15,IF(DL211&lt;=Hypothèses!$V$16,Hypothèses!$W$16,IF(DL211&lt;=Hypothèses!$V$17,Hypothèses!$W$17,IF(DL211&lt;=Hypothèses!$V$18,Hypothèses!$W$18,""))))))))))))</f>
        <v>#DIV/0!</v>
      </c>
      <c r="EG211" s="87" t="e">
        <f t="shared" ca="1" si="422"/>
        <v>#DIV/0!</v>
      </c>
      <c r="EH211" s="88" t="e">
        <f ca="1">IF(DL211&lt;=Hypothèses!$V$7,Hypothèses!$X$7,IF(DL211&lt;=Hypothèses!$V$8,Hypothèses!$X$8,IF(DL211&lt;=Hypothèses!$V$9,Hypothèses!$X$9,IF(DL211&lt;=Hypothèses!$V$10,Hypothèses!$X$10,IF(DL211&lt;=Hypothèses!$V$11,Hypothèses!$X$11,IF(DL211&lt;=Hypothèses!$V$12,Hypothèses!$X$12,IF(DL211&lt;=Hypothèses!$V$13,Hypothèses!$X$13,IF(DL211&lt;=Hypothèses!$V$14,Hypothèses!$X$14,IF(DL211&lt;=Hypothèses!$V$15,Hypothèses!$X$15,IF(DL211&lt;=Hypothèses!$V$16,Hypothèses!$X$16,IF(DL211&lt;=Hypothèses!$U$17,Hypothèses!$W$17,IF(DL211&lt;=Hypothèses!$U$18,Hypothèses!$W$18,""))))))))))))</f>
        <v>#DIV/0!</v>
      </c>
      <c r="EI211" s="95" t="e">
        <f t="shared" ca="1" si="393"/>
        <v>#DIV/0!</v>
      </c>
      <c r="EJ211" s="101">
        <f t="shared" si="429"/>
        <v>0</v>
      </c>
      <c r="EK211" s="91">
        <f t="shared" si="360"/>
        <v>0</v>
      </c>
      <c r="EL211" s="30" t="e">
        <f t="shared" si="412"/>
        <v>#N/A</v>
      </c>
      <c r="EM211" s="30" t="e">
        <f t="shared" si="413"/>
        <v>#N/A</v>
      </c>
      <c r="EN211" s="31" t="e">
        <f>IF(OR(Hypothèses!$B$4=17,Hypothèses!$B$4=18,Hypothèses!$B$4=19,Hypothèses!$B$4=20),
IF($D211="Pressio.",
IF(OR($E211=3,$E211=1,$E211=4),EM211,EL211),
IF($D211="Pénétro.",
IF(OR($E211=3,$E211=1,$E211=4),EM211,EL211))),IF($D211="Pressio.",
IF($E211=3,EM211,EL211),
IF($D211="Pénétro.",
IF($E211=4,EM211,EL211))))</f>
        <v>#N/A</v>
      </c>
      <c r="EO211" s="31">
        <v>0</v>
      </c>
      <c r="EP211" s="102" t="e">
        <f>IF(NDC!$H$10="Oui",(VLOOKUP($B$3,'Coeff EC7'!$T$39:$X$59,2,0)*EN211+VLOOKUP($B$3,'Coeff EC7'!$T$65:$X$85,2,0)*Model0.1T!EO211)/1.5,PI()*EL$12*$Q211*($B211-$B210)*0.15/10+EP210)</f>
        <v>#N/A</v>
      </c>
      <c r="EQ211" s="102" t="e">
        <f>(VLOOKUP($B$3,'Coeff EC7'!$T$39:$X$59,3,0)*EN211+VLOOKUP($B$3,'Coeff EC7'!$T$65:$X$85,3,0)*Model0.1T!EO211)/1.1</f>
        <v>#N/A</v>
      </c>
      <c r="ER211" s="102" t="e">
        <f t="shared" si="394"/>
        <v>#N/A</v>
      </c>
      <c r="ES211" s="102" t="e">
        <f t="shared" si="395"/>
        <v>#N/A</v>
      </c>
      <c r="ET211" s="414" t="e">
        <f>IF(AND(EP211&gt;NDC!$C$63,EQ211&gt;NDC!$C$65,ER211&gt;NDC!$D$73,ES211&gt;NDC!$D$74,$B211&gt;NDC!$H$22-0.1+MIN(3*ET$12,1.5)),0,1)</f>
        <v>#N/A</v>
      </c>
      <c r="EU211" s="86" t="b">
        <f t="shared" si="361"/>
        <v>0</v>
      </c>
      <c r="EV211" s="86">
        <f t="shared" si="362"/>
        <v>0.61</v>
      </c>
      <c r="EW211" s="86">
        <f t="shared" si="363"/>
        <v>0.61</v>
      </c>
      <c r="EX211" s="30" t="e">
        <f t="shared" ca="1" si="396"/>
        <v>#DIV/0!</v>
      </c>
      <c r="EY211" s="85" t="e">
        <f ca="1">IF(EE211&lt;=Hypothèses!$V$7,Hypothèses!$W$7,IF(EE211&lt;=Hypothèses!$V$8,Hypothèses!$W$8,IF(EE211&lt;=Hypothèses!$V$9,Hypothèses!$W$9,IF(EE211&lt;=Hypothèses!$V$10,Hypothèses!$W$10,IF(EE211&lt;=Hypothèses!$V$11,Hypothèses!$W$11,IF(EE211&lt;=Hypothèses!$V$12,Hypothèses!$W$12,IF(EE211&lt;=Hypothèses!$V$13,Hypothèses!$W$13,IF(EE211&lt;=Hypothèses!$V$14,Hypothèses!$W$14,IF(EE211&lt;=Hypothèses!$V$15,Hypothèses!$W$15,IF(EE211&lt;=Hypothèses!$V$16,Hypothèses!$W$16,IF(EE211&lt;=Hypothèses!$V$17,Hypothèses!$W$17,IF(EE211&lt;=Hypothèses!$V$18,Hypothèses!$W$18,""))))))))))))</f>
        <v>#DIV/0!</v>
      </c>
      <c r="EZ211" s="87" t="e">
        <f t="shared" ca="1" si="423"/>
        <v>#DIV/0!</v>
      </c>
      <c r="FA211" s="88" t="e">
        <f ca="1">IF(EE211&lt;=Hypothèses!$V$7,Hypothèses!$X$7,IF(EE211&lt;=Hypothèses!$V$8,Hypothèses!$X$8,IF(EE211&lt;=Hypothèses!$V$9,Hypothèses!$X$9,IF(EE211&lt;=Hypothèses!$V$10,Hypothèses!$X$10,IF(EE211&lt;=Hypothèses!$V$11,Hypothèses!$X$11,IF(EE211&lt;=Hypothèses!$V$12,Hypothèses!$X$12,IF(EE211&lt;=Hypothèses!$V$13,Hypothèses!$X$13,IF(EE211&lt;=Hypothèses!$V$14,Hypothèses!$X$14,IF(EE211&lt;=Hypothèses!$V$15,Hypothèses!$X$15,IF(EE211&lt;=Hypothèses!$V$16,Hypothèses!$X$16,IF(EE211&lt;=Hypothèses!$U$17,Hypothèses!$W$17,IF(EE211&lt;=Hypothèses!$U$18,Hypothèses!$W$18,""))))))))))))</f>
        <v>#DIV/0!</v>
      </c>
      <c r="FB211" s="95" t="e">
        <f t="shared" ca="1" si="397"/>
        <v>#DIV/0!</v>
      </c>
      <c r="FC211" s="101">
        <f t="shared" si="430"/>
        <v>0</v>
      </c>
      <c r="FD211" s="91">
        <f t="shared" si="364"/>
        <v>0</v>
      </c>
      <c r="FE211" s="30" t="e">
        <f t="shared" si="414"/>
        <v>#N/A</v>
      </c>
      <c r="FF211" s="30" t="e">
        <f t="shared" si="415"/>
        <v>#N/A</v>
      </c>
      <c r="FG211" s="31" t="e">
        <f>IF(OR(Hypothèses!$B$4=17,Hypothèses!$B$4=18,Hypothèses!$B$4=19,Hypothèses!$B$4=20),
IF($D211="Pressio.",
IF(OR($E211=3,$E211=1,$E211=4),FF211,FE211),
IF($D211="Pénétro.",
IF(OR($E211=3,$E211=1,$E211=4),FF211,FE211))),IF($D211="Pressio.",
IF($E211=3,FF211,FE211),
IF($D211="Pénétro.",
IF($E211=4,FF211,FE211))))</f>
        <v>#N/A</v>
      </c>
      <c r="FH211" s="31">
        <v>0</v>
      </c>
      <c r="FI211" s="102" t="e">
        <f>IF(NDC!$H$10="Oui",(VLOOKUP($B$3,'Coeff EC7'!$T$39:$X$59,2,0)*FG211+VLOOKUP($B$3,'Coeff EC7'!$T$65:$X$85,2,0)*Model0.1T!FH211)/1.5,PI()*FE$12*$Q211*($B211-$B210)*0.15/10+FI210)</f>
        <v>#N/A</v>
      </c>
      <c r="FJ211" s="102" t="e">
        <f>(VLOOKUP($B$3,'Coeff EC7'!$T$39:$X$59,3,0)*FG211+VLOOKUP($B$3,'Coeff EC7'!$T$65:$X$85,3,0)*Model0.1T!FH211)/1.1</f>
        <v>#N/A</v>
      </c>
      <c r="FK211" s="102" t="e">
        <f t="shared" si="398"/>
        <v>#N/A</v>
      </c>
      <c r="FL211" s="102" t="e">
        <f t="shared" si="399"/>
        <v>#N/A</v>
      </c>
      <c r="FM211" s="414" t="e">
        <f>IF(AND(FI211&gt;NDC!$C$63,FJ211&gt;NDC!$C$65,FK211&gt;NDC!$D$73,FL211&gt;NDC!$D$74,$B211&gt;NDC!$H$22-0.1+MIN(3*FM$12,1.5)),0,1)</f>
        <v>#N/A</v>
      </c>
    </row>
    <row r="212" spans="1:169">
      <c r="A212" s="96">
        <f t="shared" si="365"/>
        <v>80.100000000001131</v>
      </c>
      <c r="B212" s="97">
        <v>19.899999999999999</v>
      </c>
      <c r="C212" s="81">
        <f>IF(B212&lt;=Hypothèses!$C$7,Hypothèses!$A$7,IF(B212&lt;=Hypothèses!$C$8,Hypothèses!$A$8,IF(B212&lt;=Hypothèses!$C$9,Hypothèses!$A$9,IF(B212&lt;=Hypothèses!$C$10,Hypothèses!$A$10,IF(B212&lt;=Hypothèses!$C$11,Hypothèses!$A$11,IF(B212&lt;=Hypothèses!$C$12,Hypothèses!$A$12,IF(B212&lt;=Hypothèses!$C$13,Hypothèses!$A$13,IF(B212&lt;=Hypothèses!$C$14,Hypothèses!$A$14,IF(B212&lt;=Hypothèses!$C$15,Hypothèses!$A$15,IF(B212&lt;=Hypothèses!$C$16,Hypothèses!$A$16,IF(B212&lt;=Hypothèses!$C$17,Hypothèses!$A$17,IF(B212&lt;=Hypothèses!$C$18,Hypothèses!$A$18,C211))))))))))))</f>
        <v>11</v>
      </c>
      <c r="D212" s="82" t="str">
        <f>IF(B212&lt;=Hypothèses!$C$7,Hypothèses!$R$7,IF(B212&lt;=Hypothèses!$C$8,Hypothèses!$R$8,IF(B212&lt;=Hypothèses!$C$9,Hypothèses!$R$9,IF(B212&lt;=Hypothèses!$C$10,Hypothèses!$R$10,IF(B212&lt;=Hypothèses!$C$11,Hypothèses!$R$11,IF(B212&lt;=Hypothèses!$C$12,Hypothèses!$R$12,IF(B212&lt;=Hypothèses!$C$13,Hypothèses!$R$13,IF(B212&lt;=Hypothèses!$C$14,Hypothèses!$R$14,IF(B212&lt;=Hypothèses!$C$15,Hypothèses!$R$15,IF(B212&lt;=Hypothèses!$C$16,Hypothèses!$R$16,IF(B212&lt;=Hypothèses!$C$17,Hypothèses!$R$17,IF(B212&lt;=Hypothèses!$C$18,Hypothèses!$R$18,D211))))))))))))</f>
        <v>Pressio.</v>
      </c>
      <c r="E212" s="82" t="e">
        <f>IF(B212&lt;=Hypothèses!$C$7,Hypothèses!$G$7,IF(B212&lt;=Hypothèses!$C$8,Hypothèses!$G$8,IF(B212&lt;=Hypothèses!$C$9,Hypothèses!$G$9,IF(B212&lt;=Hypothèses!$C$10,Hypothèses!$G$10,IF(B212&lt;=Hypothèses!$C$11,Hypothèses!$G$11,IF(B212&lt;=Hypothèses!$C$12,Hypothèses!$G$12,IF(B212&lt;=Hypothèses!$C$13,Hypothèses!$G$13,IF(B212&lt;=Hypothèses!$C$14,Hypothèses!$G$14,IF(B212&lt;=Hypothèses!$C$15,Hypothèses!$G$15,IF(B212&lt;=Hypothèses!$C$16,Hypothèses!$G$16,IF(B212&lt;=Hypothèses!$C$17,Hypothèses!$G$17,IF(B212&lt;=Hypothèses!$C$18,Hypothèses!$G$18,E211))))))))))))</f>
        <v>#N/A</v>
      </c>
      <c r="F212" s="82" t="str">
        <f>IF(B212&lt;=Hypothèses!$C$7,Hypothèses!$F$7,IF(B212&lt;=Hypothèses!$C$8,Hypothèses!$F$8,IF(B212&lt;=Hypothèses!$C$9,Hypothèses!$F$9,IF(B212&lt;=Hypothèses!$C$10,Hypothèses!$F$10,IF(B212&lt;=Hypothèses!$C$11,Hypothèses!$F$11,IF(B212&lt;=Hypothèses!$C$12,Hypothèses!$F$12,IF(B212&lt;=Hypothèses!$C$13,Hypothèses!$F$13,IF(B212&lt;=Hypothèses!$C$14,Hypothèses!$F$14,IF(B212&lt;=Hypothèses!$C$15,Hypothèses!$F$15,IF(B212&lt;=Hypothèses!$C$16,Hypothèses!$F$16,IF(B212&lt;=Hypothèses!$C$17,Hypothèses!$F$17,IF(B212&lt;=Hypothèses!$C$18,Hypothèses!$F$18,F211))))))))))))</f>
        <v/>
      </c>
      <c r="G212" s="91">
        <f t="array" ref="G212">INDEX('Coeff EC7'!$U$7:$X$27,
MATCH(Model0.1T!$B$3,'Coeff EC7'!$T$7:$T$27,0),
MATCH(Model0.1T!$D212&amp;Model0.1T!$B$4,
'Coeff EC7'!$U$6:$X$6&amp;
'Coeff EC7'!$U$5:$X$5,0))</f>
        <v>1.4</v>
      </c>
      <c r="H212" s="91">
        <f t="array" ref="H212">INDEX('Coeff EC7'!$Y$7:$AB$27,
MATCH(Model0.1T!$B$3,'Coeff EC7'!$T$7:$T$27,0),
MATCH(Model0.1T!$D212&amp;Model0.1T!$B$4,
'Coeff EC7'!$Y$6:$AB$6&amp;
'Coeff EC7'!$Y$5:$AB$5,0))</f>
        <v>1.7</v>
      </c>
      <c r="I212" s="83">
        <v>0</v>
      </c>
      <c r="J212" s="91" t="e">
        <f t="array" ref="J212">INDEX('Coeff EC7'!$D$33:$Q$33,1,MATCH(D212&amp;E212,'Coeff EC7'!$D$31:$Q$31&amp;'Coeff EC7'!$D$32:$Q$32,0))</f>
        <v>#N/A</v>
      </c>
      <c r="K212" s="91" t="e">
        <f t="array" ref="K212">INDEX('Coeff EC7'!$D$34:$Q$34,1,MATCH(D212&amp;E212,'Coeff EC7'!$D$31:$Q$31&amp;'Coeff EC7'!$D$32:$Q$32,0))</f>
        <v>#N/A</v>
      </c>
      <c r="L212" s="91" t="e">
        <f t="array" ref="L212">INDEX('Coeff EC7'!$D$35:$Q$35,1,MATCH(D212&amp;E212,'Coeff EC7'!$D$31:$Q$31&amp;'Coeff EC7'!$D$32:$Q$32,0))</f>
        <v>#N/A</v>
      </c>
      <c r="M212" s="98" t="e">
        <f t="shared" si="331"/>
        <v>#N/A</v>
      </c>
      <c r="N212" s="99" t="e">
        <f t="array" ref="N212">INDEX('Coeff EC7'!$D$7:$Q$27,MATCH($B$3,'Coeff EC7'!$C$7:$C$27,0),MATCH(D212&amp;E212,'Coeff EC7'!$D$5:$Q$5&amp;'Coeff EC7'!$D$6:$Q$6,0))</f>
        <v>#N/A</v>
      </c>
      <c r="O212" s="99" t="e">
        <f t="array" ref="O212">INDEX('Coeff EC7'!$D$41:$Q$61,MATCH($B$3,'Coeff EC7'!$C$41:$C$61,0),MATCH(D212&amp;E212,'Coeff EC7'!$D$39:$Q$39&amp;'Coeff EC7'!$D$40:$Q$40,0))</f>
        <v>#N/A</v>
      </c>
      <c r="P212" s="30" t="e">
        <f t="shared" si="366"/>
        <v>#N/A</v>
      </c>
      <c r="Q212" s="100" t="e">
        <f t="shared" si="333"/>
        <v>#N/A</v>
      </c>
      <c r="R212" s="86" t="b">
        <f t="shared" si="334"/>
        <v>0</v>
      </c>
      <c r="S212" s="86">
        <f t="shared" si="332"/>
        <v>0.5</v>
      </c>
      <c r="T212" s="86">
        <f t="shared" si="335"/>
        <v>0.5</v>
      </c>
      <c r="U212" s="30" t="e">
        <f t="shared" ca="1" si="367"/>
        <v>#DIV/0!</v>
      </c>
      <c r="V212" s="85" t="str">
        <f>IF(B212&lt;=Hypothèses!$V$7,Hypothèses!$W$7,IF(B212&lt;=Hypothèses!$V$8,Hypothèses!$W$8,IF(B212&lt;=Hypothèses!$V$9,Hypothèses!$W$9,IF(B212&lt;=Hypothèses!$V$10,Hypothèses!$W$10,IF(B212&lt;=Hypothèses!$V$11,Hypothèses!$W$11,IF(B212&lt;=Hypothèses!$V$12,Hypothèses!$W$12,IF(B212&lt;=Hypothèses!$V$13,Hypothèses!$W$13,IF(B212&lt;=Hypothèses!$V$14,Hypothèses!$W$14,IF(B212&lt;=Hypothèses!$V$15,Hypothèses!$W$15,IF(B212&lt;=Hypothèses!$V$16,Hypothèses!$W$16,IF(B212&lt;=Hypothèses!$V$17,Hypothèses!$W$17,IF(B212&lt;=Hypothèses!$V$18,Hypothèses!$W$18,""))))))))))))</f>
        <v/>
      </c>
      <c r="W212" s="87" t="e">
        <f t="shared" ca="1" si="416"/>
        <v>#DIV/0!</v>
      </c>
      <c r="X212" s="88" t="str">
        <f>IF(B212&lt;=Hypothèses!$V$7,Hypothèses!$X$7,IF(B212&lt;=Hypothèses!$V$8,Hypothèses!$X$8,IF(B212&lt;=Hypothèses!$V$9,Hypothèses!$X$9,IF(B212&lt;=Hypothèses!$V$10,Hypothèses!$X$10,IF(B212&lt;=Hypothèses!$V$11,Hypothèses!$X$11,IF(B212&lt;=Hypothèses!$V$12,Hypothèses!$X$12,IF(B212&lt;=Hypothèses!$V$13,Hypothèses!$X$13,IF(B212&lt;=Hypothèses!$V$14,Hypothèses!$X$14,IF(B212&lt;=Hypothèses!$V$15,Hypothèses!$X$15,IF(B212&lt;=Hypothèses!$V$16,Hypothèses!$X$16,IF(B212&lt;=Hypothèses!$U$17,Hypothèses!$W$17,IF(B212&lt;=Hypothèses!$U$18,Hypothèses!$W$18,""))))))))))))</f>
        <v/>
      </c>
      <c r="Y212" s="95" t="e">
        <f t="shared" ca="1" si="336"/>
        <v>#DIV/0!</v>
      </c>
      <c r="Z212" s="101">
        <f t="shared" si="337"/>
        <v>0</v>
      </c>
      <c r="AA212" s="91">
        <f t="shared" si="338"/>
        <v>0</v>
      </c>
      <c r="AB212" s="30" t="e">
        <f t="shared" si="400"/>
        <v>#N/A</v>
      </c>
      <c r="AC212" s="30" t="e">
        <f t="shared" si="401"/>
        <v>#N/A</v>
      </c>
      <c r="AD212" s="31" t="e">
        <f>IF(OR(Hypothèses!$B$4=17,Hypothèses!$B$4=18,Hypothèses!$B$4=19,Hypothèses!$B$4=20),
IF($D212="Pressio.",
IF(OR($E212=3,$E212=1,$E212=4),AC212,AB212),
IF($D212="Pénétro.",
IF(OR($E212=3,$E212=1,$E212=4),AC212,AB212))),IF($D212="Pressio.",
IF($E212=3,AC212,AB212),
IF($D212="Pénétro.",
IF($E212=4,AC212,AB212))))</f>
        <v>#N/A</v>
      </c>
      <c r="AE212" s="31">
        <v>0</v>
      </c>
      <c r="AF212" s="102" t="e">
        <f>IF(NDC!$H$10="Oui",(VLOOKUP($B$3,'Coeff EC7'!$T$39:$X$59,2,0)*AD212+VLOOKUP($B$3,'Coeff EC7'!$T$65:$X$85,2,0)*Model0.1T!AE212)/1.5,PI()*AB$12*$Q212*($B212-$B211)*0.15/10+AF211)</f>
        <v>#N/A</v>
      </c>
      <c r="AG212" s="102" t="e">
        <f>(VLOOKUP($B$3,'Coeff EC7'!$T$39:$X$59,3,0)*AD212+VLOOKUP($B$3,'Coeff EC7'!$T$65:$X$85,3,0)*Model0.1T!AE212)/1.1</f>
        <v>#N/A</v>
      </c>
      <c r="AH212" s="102" t="e">
        <f t="shared" si="368"/>
        <v>#N/A</v>
      </c>
      <c r="AI212" s="102" t="e">
        <f t="shared" si="369"/>
        <v>#N/A</v>
      </c>
      <c r="AJ212" s="414" t="e">
        <f>IF(AND(AF212&gt;NDC!$C$63,AG212&gt;NDC!$C$65,AH212&gt;NDC!$D$73,AI212&gt;NDC!$D$74,$B212&gt;NDC!$H$22-0.1+MIN(3*$AJ$12,1.5)),0,1)</f>
        <v>#N/A</v>
      </c>
      <c r="AK212" s="86" t="b">
        <f t="shared" si="339"/>
        <v>0</v>
      </c>
      <c r="AL212" s="86">
        <f t="shared" si="370"/>
        <v>0.5</v>
      </c>
      <c r="AM212" s="86">
        <f t="shared" si="340"/>
        <v>0.5</v>
      </c>
      <c r="AN212" s="30" t="e">
        <f t="shared" ca="1" si="371"/>
        <v>#DIV/0!</v>
      </c>
      <c r="AO212" s="85" t="e">
        <f ca="1">IF(U212&lt;=Hypothèses!$V$7,Hypothèses!$W$7,IF(U212&lt;=Hypothèses!$V$8,Hypothèses!$W$8,IF(U212&lt;=Hypothèses!$V$9,Hypothèses!$W$9,IF(U212&lt;=Hypothèses!$V$10,Hypothèses!$W$10,IF(U212&lt;=Hypothèses!$V$11,Hypothèses!$W$11,IF(U212&lt;=Hypothèses!$V$12,Hypothèses!$W$12,IF(U212&lt;=Hypothèses!$V$13,Hypothèses!$W$13,IF(U212&lt;=Hypothèses!$V$14,Hypothèses!$W$14,IF(U212&lt;=Hypothèses!$V$15,Hypothèses!$W$15,IF(U212&lt;=Hypothèses!$V$16,Hypothèses!$W$16,IF(U212&lt;=Hypothèses!$V$17,Hypothèses!$W$17,IF(U212&lt;=Hypothèses!$V$18,Hypothèses!$W$18,""))))))))))))</f>
        <v>#DIV/0!</v>
      </c>
      <c r="AP212" s="87" t="e">
        <f t="shared" ca="1" si="417"/>
        <v>#DIV/0!</v>
      </c>
      <c r="AQ212" s="88" t="e">
        <f ca="1">IF(U212&lt;=Hypothèses!$V$7,Hypothèses!$X$7,IF(U212&lt;=Hypothèses!$V$8,Hypothèses!$X$8,IF(U212&lt;=Hypothèses!$V$9,Hypothèses!$X$9,IF(U212&lt;=Hypothèses!$V$10,Hypothèses!$X$10,IF(U212&lt;=Hypothèses!$V$11,Hypothèses!$X$11,IF(U212&lt;=Hypothèses!$V$12,Hypothèses!$X$12,IF(U212&lt;=Hypothèses!$V$13,Hypothèses!$X$13,IF(U212&lt;=Hypothèses!$V$14,Hypothèses!$X$14,IF(U212&lt;=Hypothèses!$V$15,Hypothèses!$X$15,IF(U212&lt;=Hypothèses!$V$16,Hypothèses!$X$16,IF(U212&lt;=Hypothèses!$U$17,Hypothèses!$W$17,IF(U212&lt;=Hypothèses!$U$18,Hypothèses!$W$18,""))))))))))))</f>
        <v>#DIV/0!</v>
      </c>
      <c r="AR212" s="95" t="e">
        <f t="shared" ca="1" si="372"/>
        <v>#DIV/0!</v>
      </c>
      <c r="AS212" s="101">
        <f t="shared" si="424"/>
        <v>0</v>
      </c>
      <c r="AT212" s="91">
        <f t="shared" si="341"/>
        <v>0</v>
      </c>
      <c r="AU212" s="30" t="e">
        <f t="shared" si="402"/>
        <v>#N/A</v>
      </c>
      <c r="AV212" s="30" t="e">
        <f t="shared" si="403"/>
        <v>#N/A</v>
      </c>
      <c r="AW212" s="31" t="e">
        <f>IF(OR(Hypothèses!$B$4=17,Hypothèses!$B$4=18,Hypothèses!$B$4=19,Hypothèses!$B$4=20),
IF($D212="Pressio.",
IF(OR($E212=3,$E212=1,$E212=4),AV212,AU212),
IF($D212="Pénétro.",
IF(OR($E212=3,$E212=1,$E212=4),AV212,AU212))),IF($D212="Pressio.",
IF($E212=3,AV212,AU212),
IF($D212="Pénétro.",
IF($E212=4,AV212,AU212))))</f>
        <v>#N/A</v>
      </c>
      <c r="AX212" s="31">
        <v>0</v>
      </c>
      <c r="AY212" s="102" t="e">
        <f>IF(NDC!$H$10="Oui",(VLOOKUP($B$3,'Coeff EC7'!$T$39:$X$59,2,0)*AW212+VLOOKUP($B$3,'Coeff EC7'!$T$65:$X$85,2,0)*Model0.1T!AX212)/1.5,PI()*AU$12*$Q212*($B212-$B211)*0.15/10+AY211)</f>
        <v>#N/A</v>
      </c>
      <c r="AZ212" s="102" t="e">
        <f>(VLOOKUP($B$3,'Coeff EC7'!$T$39:$X$59,3,0)*AW212+VLOOKUP($B$3,'Coeff EC7'!$T$65:$X$85,3,0)*Model0.1T!AX212)/1.1</f>
        <v>#N/A</v>
      </c>
      <c r="BA212" s="102" t="e">
        <f t="shared" si="373"/>
        <v>#N/A</v>
      </c>
      <c r="BB212" s="102" t="e">
        <f t="shared" si="374"/>
        <v>#N/A</v>
      </c>
      <c r="BC212" s="414" t="e">
        <f>IF(AND(AY212&gt;NDC!$C$63,AZ212&gt;NDC!$C$65,BA212&gt;NDC!$D$73,BB212&gt;NDC!$D$74,$B212&gt;NDC!$H$22-0.1+MIN(3*BC$12,1.5)),0,1)</f>
        <v>#N/A</v>
      </c>
      <c r="BD212" s="86" t="b">
        <f t="shared" si="342"/>
        <v>0</v>
      </c>
      <c r="BE212" s="86">
        <f t="shared" si="375"/>
        <v>0.5</v>
      </c>
      <c r="BF212" s="86">
        <f t="shared" si="343"/>
        <v>0.5</v>
      </c>
      <c r="BG212" s="30" t="e">
        <f t="shared" ca="1" si="376"/>
        <v>#DIV/0!</v>
      </c>
      <c r="BH212" s="85" t="e">
        <f ca="1">IF(AN212&lt;=Hypothèses!$V$7,Hypothèses!$W$7,IF(AN212&lt;=Hypothèses!$V$8,Hypothèses!$W$8,IF(AN212&lt;=Hypothèses!$V$9,Hypothèses!$W$9,IF(AN212&lt;=Hypothèses!$V$10,Hypothèses!$W$10,IF(AN212&lt;=Hypothèses!$V$11,Hypothèses!$W$11,IF(AN212&lt;=Hypothèses!$V$12,Hypothèses!$W$12,IF(AN212&lt;=Hypothèses!$V$13,Hypothèses!$W$13,IF(AN212&lt;=Hypothèses!$V$14,Hypothèses!$W$14,IF(AN212&lt;=Hypothèses!$V$15,Hypothèses!$W$15,IF(AN212&lt;=Hypothèses!$V$16,Hypothèses!$W$16,IF(AN212&lt;=Hypothèses!$V$17,Hypothèses!$W$17,IF(AN212&lt;=Hypothèses!$V$18,Hypothèses!$W$18,""))))))))))))</f>
        <v>#DIV/0!</v>
      </c>
      <c r="BI212" s="87" t="e">
        <f t="shared" ca="1" si="418"/>
        <v>#DIV/0!</v>
      </c>
      <c r="BJ212" s="88" t="e">
        <f ca="1">IF(AN212&lt;=Hypothèses!$V$7,Hypothèses!$X$7,IF(AN212&lt;=Hypothèses!$V$8,Hypothèses!$X$8,IF(AN212&lt;=Hypothèses!$V$9,Hypothèses!$X$9,IF(AN212&lt;=Hypothèses!$V$10,Hypothèses!$X$10,IF(AN212&lt;=Hypothèses!$V$11,Hypothèses!$X$11,IF(AN212&lt;=Hypothèses!$V$12,Hypothèses!$X$12,IF(AN212&lt;=Hypothèses!$V$13,Hypothèses!$X$13,IF(AN212&lt;=Hypothèses!$V$14,Hypothèses!$X$14,IF(AN212&lt;=Hypothèses!$V$15,Hypothèses!$X$15,IF(AN212&lt;=Hypothèses!$V$16,Hypothèses!$X$16,IF(AN212&lt;=Hypothèses!$U$17,Hypothèses!$W$17,IF(AN212&lt;=Hypothèses!$U$18,Hypothèses!$W$18,""))))))))))))</f>
        <v>#DIV/0!</v>
      </c>
      <c r="BK212" s="95" t="e">
        <f t="shared" ca="1" si="377"/>
        <v>#DIV/0!</v>
      </c>
      <c r="BL212" s="101">
        <f t="shared" si="425"/>
        <v>0</v>
      </c>
      <c r="BM212" s="91">
        <f t="shared" si="344"/>
        <v>0</v>
      </c>
      <c r="BN212" s="30" t="e">
        <f t="shared" si="404"/>
        <v>#N/A</v>
      </c>
      <c r="BO212" s="30" t="e">
        <f t="shared" si="405"/>
        <v>#N/A</v>
      </c>
      <c r="BP212" s="31" t="e">
        <f>IF(OR(Hypothèses!$B$4=17,Hypothèses!$B$4=18,Hypothèses!$B$4=19,Hypothèses!$B$4=20),
IF($D212="Pressio.",
IF(OR($E212=3,$E212=1,$E212=4),BO212,BN212),
IF($D212="Pénétro.",
IF(OR($E212=3,$E212=1,$E212=4),BO212,BN212))),IF($D212="Pressio.",
IF($E212=3,BO212,BN212),
IF($D212="Pénétro.",
IF($E212=4,BO212,BN212))))</f>
        <v>#N/A</v>
      </c>
      <c r="BQ212" s="31">
        <v>0</v>
      </c>
      <c r="BR212" s="102" t="e">
        <f>IF(NDC!$H$10="Oui",(VLOOKUP($B$3,'Coeff EC7'!$T$39:$X$59,2,0)*BP212+VLOOKUP($B$3,'Coeff EC7'!$T$65:$X$85,2,0)*Model0.1T!BQ212)/1.5,PI()*BN$12*$Q212*($B212-$B211)*0.15/10+BR211)</f>
        <v>#N/A</v>
      </c>
      <c r="BS212" s="102" t="e">
        <f>(VLOOKUP($B$3,'Coeff EC7'!$T$39:$X$59,3,0)*BP212+VLOOKUP($B$3,'Coeff EC7'!$T$65:$X$85,3,0)*Model0.1T!BQ212)/1.1</f>
        <v>#N/A</v>
      </c>
      <c r="BT212" s="102" t="e">
        <f t="shared" si="378"/>
        <v>#N/A</v>
      </c>
      <c r="BU212" s="102" t="e">
        <f t="shared" si="379"/>
        <v>#N/A</v>
      </c>
      <c r="BV212" s="414" t="e">
        <f>IF(AND(BR212&gt;NDC!$C$63,BS212&gt;NDC!$C$65,BT212&gt;NDC!$D$73,BU212&gt;NDC!$D$74,$B212&gt;NDC!$H$22-0.1+MIN(3*BV$12,1.5)),0,1)</f>
        <v>#N/A</v>
      </c>
      <c r="BW212" s="86" t="b">
        <f t="shared" si="345"/>
        <v>0</v>
      </c>
      <c r="BX212" s="86">
        <f t="shared" si="346"/>
        <v>0.5</v>
      </c>
      <c r="BY212" s="86">
        <f t="shared" si="347"/>
        <v>0.5</v>
      </c>
      <c r="BZ212" s="30" t="e">
        <f t="shared" ca="1" si="380"/>
        <v>#DIV/0!</v>
      </c>
      <c r="CA212" s="85" t="e">
        <f ca="1">IF(BG212&lt;=Hypothèses!$V$7,Hypothèses!$W$7,IF(BG212&lt;=Hypothèses!$V$8,Hypothèses!$W$8,IF(BG212&lt;=Hypothèses!$V$9,Hypothèses!$W$9,IF(BG212&lt;=Hypothèses!$V$10,Hypothèses!$W$10,IF(BG212&lt;=Hypothèses!$V$11,Hypothèses!$W$11,IF(BG212&lt;=Hypothèses!$V$12,Hypothèses!$W$12,IF(BG212&lt;=Hypothèses!$V$13,Hypothèses!$W$13,IF(BG212&lt;=Hypothèses!$V$14,Hypothèses!$W$14,IF(BG212&lt;=Hypothèses!$V$15,Hypothèses!$W$15,IF(BG212&lt;=Hypothèses!$V$16,Hypothèses!$W$16,IF(BG212&lt;=Hypothèses!$V$17,Hypothèses!$W$17,IF(BG212&lt;=Hypothèses!$V$18,Hypothèses!$W$18,""))))))))))))</f>
        <v>#DIV/0!</v>
      </c>
      <c r="CB212" s="87" t="e">
        <f t="shared" ca="1" si="419"/>
        <v>#DIV/0!</v>
      </c>
      <c r="CC212" s="88" t="e">
        <f ca="1">IF(BG212&lt;=Hypothèses!$V$7,Hypothèses!$X$7,IF(BG212&lt;=Hypothèses!$V$8,Hypothèses!$X$8,IF(BG212&lt;=Hypothèses!$V$9,Hypothèses!$X$9,IF(BG212&lt;=Hypothèses!$V$10,Hypothèses!$X$10,IF(BG212&lt;=Hypothèses!$V$11,Hypothèses!$X$11,IF(BG212&lt;=Hypothèses!$V$12,Hypothèses!$X$12,IF(BG212&lt;=Hypothèses!$V$13,Hypothèses!$X$13,IF(BG212&lt;=Hypothèses!$V$14,Hypothèses!$X$14,IF(BG212&lt;=Hypothèses!$V$15,Hypothèses!$X$15,IF(BG212&lt;=Hypothèses!$V$16,Hypothèses!$X$16,IF(BG212&lt;=Hypothèses!$U$17,Hypothèses!$W$17,IF(BG212&lt;=Hypothèses!$U$18,Hypothèses!$W$18,""))))))))))))</f>
        <v>#DIV/0!</v>
      </c>
      <c r="CD212" s="95" t="e">
        <f t="shared" ca="1" si="381"/>
        <v>#DIV/0!</v>
      </c>
      <c r="CE212" s="101">
        <f t="shared" si="426"/>
        <v>0</v>
      </c>
      <c r="CF212" s="91">
        <f t="shared" si="348"/>
        <v>0</v>
      </c>
      <c r="CG212" s="30" t="e">
        <f t="shared" si="406"/>
        <v>#N/A</v>
      </c>
      <c r="CH212" s="30" t="e">
        <f t="shared" si="407"/>
        <v>#N/A</v>
      </c>
      <c r="CI212" s="31" t="e">
        <f>IF(OR(Hypothèses!$B$4=17,Hypothèses!$B$4=18,Hypothèses!$B$4=19,Hypothèses!$B$4=20),
IF($D212="Pressio.",
IF(OR($E212=3,$E212=1,$E212=4),CH212,CG212),
IF($D212="Pénétro.",
IF(OR($E212=3,$E212=1,$E212=4),CH212,CG212))),IF($D212="Pressio.",
IF($E212=3,CH212,CG212),
IF($D212="Pénétro.",
IF($E212=4,CH212,CG212))))</f>
        <v>#N/A</v>
      </c>
      <c r="CJ212" s="31">
        <v>0</v>
      </c>
      <c r="CK212" s="102" t="e">
        <f>IF(NDC!$H$10="Oui",(VLOOKUP($B$3,'Coeff EC7'!$T$39:$X$59,2,0)*CI212+VLOOKUP($B$3,'Coeff EC7'!$T$65:$X$85,2,0)*Model0.1T!CJ212)/1.5,PI()*CG$12*$Q212*($B212-$B211)*0.15/10+CK211)</f>
        <v>#N/A</v>
      </c>
      <c r="CL212" s="102" t="e">
        <f>(VLOOKUP($B$3,'Coeff EC7'!$T$39:$X$59,3,0)*CI212+VLOOKUP($B$3,'Coeff EC7'!$T$65:$X$85,3,0)*Model0.1T!CJ212)/1.1</f>
        <v>#N/A</v>
      </c>
      <c r="CM212" s="102" t="e">
        <f t="shared" si="382"/>
        <v>#N/A</v>
      </c>
      <c r="CN212" s="102" t="e">
        <f t="shared" si="383"/>
        <v>#N/A</v>
      </c>
      <c r="CO212" s="414" t="e">
        <f>IF(AND(CK212&gt;NDC!$C$63,CL212&gt;NDC!$C$65,CM212&gt;NDC!$D$73,CN212&gt;NDC!$D$74,$B212&gt;NDC!$H$22-0.1+MIN(3*CO$12,1.5)),0,1)</f>
        <v>#N/A</v>
      </c>
      <c r="CP212" s="86" t="b">
        <f t="shared" si="349"/>
        <v>0</v>
      </c>
      <c r="CQ212" s="86">
        <f t="shared" si="350"/>
        <v>0.5</v>
      </c>
      <c r="CR212" s="86">
        <f t="shared" si="351"/>
        <v>0.5</v>
      </c>
      <c r="CS212" s="30" t="e">
        <f t="shared" ca="1" si="384"/>
        <v>#DIV/0!</v>
      </c>
      <c r="CT212" s="85" t="e">
        <f ca="1">IF(BZ212&lt;=Hypothèses!$V$7,Hypothèses!$W$7,IF(BZ212&lt;=Hypothèses!$V$8,Hypothèses!$W$8,IF(BZ212&lt;=Hypothèses!$V$9,Hypothèses!$W$9,IF(BZ212&lt;=Hypothèses!$V$10,Hypothèses!$W$10,IF(BZ212&lt;=Hypothèses!$V$11,Hypothèses!$W$11,IF(BZ212&lt;=Hypothèses!$V$12,Hypothèses!$W$12,IF(BZ212&lt;=Hypothèses!$V$13,Hypothèses!$W$13,IF(BZ212&lt;=Hypothèses!$V$14,Hypothèses!$W$14,IF(BZ212&lt;=Hypothèses!$V$15,Hypothèses!$W$15,IF(BZ212&lt;=Hypothèses!$V$16,Hypothèses!$W$16,IF(BZ212&lt;=Hypothèses!$V$17,Hypothèses!$W$17,IF(BZ212&lt;=Hypothèses!$V$18,Hypothèses!$W$18,""))))))))))))</f>
        <v>#DIV/0!</v>
      </c>
      <c r="CU212" s="87" t="e">
        <f t="shared" ca="1" si="420"/>
        <v>#DIV/0!</v>
      </c>
      <c r="CV212" s="88" t="e">
        <f ca="1">IF(BZ212&lt;=Hypothèses!$V$7,Hypothèses!$X$7,IF(BZ212&lt;=Hypothèses!$V$8,Hypothèses!$X$8,IF(BZ212&lt;=Hypothèses!$V$9,Hypothèses!$X$9,IF(BZ212&lt;=Hypothèses!$V$10,Hypothèses!$X$10,IF(BZ212&lt;=Hypothèses!$V$11,Hypothèses!$X$11,IF(BZ212&lt;=Hypothèses!$V$12,Hypothèses!$X$12,IF(BZ212&lt;=Hypothèses!$V$13,Hypothèses!$X$13,IF(BZ212&lt;=Hypothèses!$V$14,Hypothèses!$X$14,IF(BZ212&lt;=Hypothèses!$V$15,Hypothèses!$X$15,IF(BZ212&lt;=Hypothèses!$V$16,Hypothèses!$X$16,IF(BZ212&lt;=Hypothèses!$U$17,Hypothèses!$W$17,IF(BZ212&lt;=Hypothèses!$U$18,Hypothèses!$W$18,""))))))))))))</f>
        <v>#DIV/0!</v>
      </c>
      <c r="CW212" s="95" t="e">
        <f t="shared" ca="1" si="385"/>
        <v>#DIV/0!</v>
      </c>
      <c r="CX212" s="101">
        <f t="shared" si="427"/>
        <v>0</v>
      </c>
      <c r="CY212" s="91">
        <f t="shared" si="352"/>
        <v>0</v>
      </c>
      <c r="CZ212" s="30" t="e">
        <f t="shared" si="408"/>
        <v>#N/A</v>
      </c>
      <c r="DA212" s="30" t="e">
        <f t="shared" si="409"/>
        <v>#N/A</v>
      </c>
      <c r="DB212" s="31" t="e">
        <f>IF(OR(Hypothèses!$B$4=17,Hypothèses!$B$4=18,Hypothèses!$B$4=19,Hypothèses!$B$4=20),
IF($D212="Pressio.",
IF(OR($E212=3,$E212=1,$E212=4),DA212,CZ212),
IF($D212="Pénétro.",
IF(OR($E212=3,$E212=1,$E212=4),DA212,CZ212))),IF($D212="Pressio.",
IF($E212=3,DA212,CZ212),
IF($D212="Pénétro.",
IF($E212=4,DA212,CZ212))))</f>
        <v>#N/A</v>
      </c>
      <c r="DC212" s="31">
        <v>0</v>
      </c>
      <c r="DD212" s="102" t="e">
        <f>IF(NDC!$H$10="Oui",(VLOOKUP($B$3,'Coeff EC7'!$T$39:$X$59,2,0)*DB212+VLOOKUP($B$3,'Coeff EC7'!$T$65:$X$85,2,0)*Model0.1T!DC212)/1.5,PI()*CZ$12*$Q212*($B212-$B211)*0.15/10+DD211)</f>
        <v>#N/A</v>
      </c>
      <c r="DE212" s="102" t="e">
        <f>(VLOOKUP($B$3,'Coeff EC7'!$T$39:$X$59,3,0)*DB212+VLOOKUP($B$3,'Coeff EC7'!$T$65:$X$85,3,0)*Model0.1T!DC212)/1.1</f>
        <v>#N/A</v>
      </c>
      <c r="DF212" s="102" t="e">
        <f t="shared" si="386"/>
        <v>#N/A</v>
      </c>
      <c r="DG212" s="102" t="e">
        <f t="shared" si="387"/>
        <v>#N/A</v>
      </c>
      <c r="DH212" s="414" t="e">
        <f>IF(AND(DD212&gt;NDC!$C$63,DE212&gt;NDC!$C$65,DF212&gt;NDC!$D$73,DG212&gt;NDC!$D$74,$B212&gt;NDC!$H$22-0.1+MIN(3*DH$12,1.5)),0,1)</f>
        <v>#N/A</v>
      </c>
      <c r="DI212" s="86" t="b">
        <f t="shared" si="353"/>
        <v>0</v>
      </c>
      <c r="DJ212" s="86">
        <f t="shared" si="354"/>
        <v>0.5</v>
      </c>
      <c r="DK212" s="86">
        <f t="shared" si="355"/>
        <v>0.5</v>
      </c>
      <c r="DL212" s="30" t="e">
        <f t="shared" ca="1" si="388"/>
        <v>#DIV/0!</v>
      </c>
      <c r="DM212" s="85" t="e">
        <f ca="1">IF(CS212&lt;=Hypothèses!$V$7,Hypothèses!$W$7,IF(CS212&lt;=Hypothèses!$V$8,Hypothèses!$W$8,IF(CS212&lt;=Hypothèses!$V$9,Hypothèses!$W$9,IF(CS212&lt;=Hypothèses!$V$10,Hypothèses!$W$10,IF(CS212&lt;=Hypothèses!$V$11,Hypothèses!$W$11,IF(CS212&lt;=Hypothèses!$V$12,Hypothèses!$W$12,IF(CS212&lt;=Hypothèses!$V$13,Hypothèses!$W$13,IF(CS212&lt;=Hypothèses!$V$14,Hypothèses!$W$14,IF(CS212&lt;=Hypothèses!$V$15,Hypothèses!$W$15,IF(CS212&lt;=Hypothèses!$V$16,Hypothèses!$W$16,IF(CS212&lt;=Hypothèses!$V$17,Hypothèses!$W$17,IF(CS212&lt;=Hypothèses!$V$18,Hypothèses!$W$18,""))))))))))))</f>
        <v>#DIV/0!</v>
      </c>
      <c r="DN212" s="87" t="e">
        <f t="shared" ca="1" si="421"/>
        <v>#DIV/0!</v>
      </c>
      <c r="DO212" s="88" t="e">
        <f ca="1">IF(CS212&lt;=Hypothèses!$V$7,Hypothèses!$X$7,IF(CS212&lt;=Hypothèses!$V$8,Hypothèses!$X$8,IF(CS212&lt;=Hypothèses!$V$9,Hypothèses!$X$9,IF(CS212&lt;=Hypothèses!$V$10,Hypothèses!$X$10,IF(CS212&lt;=Hypothèses!$V$11,Hypothèses!$X$11,IF(CS212&lt;=Hypothèses!$V$12,Hypothèses!$X$12,IF(CS212&lt;=Hypothèses!$V$13,Hypothèses!$X$13,IF(CS212&lt;=Hypothèses!$V$14,Hypothèses!$X$14,IF(CS212&lt;=Hypothèses!$V$15,Hypothèses!$X$15,IF(CS212&lt;=Hypothèses!$V$16,Hypothèses!$X$16,IF(CS212&lt;=Hypothèses!$U$17,Hypothèses!$W$17,IF(CS212&lt;=Hypothèses!$U$18,Hypothèses!$W$18,""))))))))))))</f>
        <v>#DIV/0!</v>
      </c>
      <c r="DP212" s="95" t="e">
        <f t="shared" ca="1" si="389"/>
        <v>#DIV/0!</v>
      </c>
      <c r="DQ212" s="101">
        <f t="shared" si="428"/>
        <v>0</v>
      </c>
      <c r="DR212" s="91">
        <f t="shared" si="356"/>
        <v>0</v>
      </c>
      <c r="DS212" s="30" t="e">
        <f t="shared" si="410"/>
        <v>#N/A</v>
      </c>
      <c r="DT212" s="30" t="e">
        <f t="shared" si="411"/>
        <v>#N/A</v>
      </c>
      <c r="DU212" s="31" t="e">
        <f>IF(OR(Hypothèses!$B$4=17,Hypothèses!$B$4=18,Hypothèses!$B$4=19,Hypothèses!$B$4=20),
IF($D212="Pressio.",
IF(OR($E212=3,$E212=1,$E212=4),DT212,DS212),
IF($D212="Pénétro.",
IF(OR($E212=3,$E212=1,$E212=4),DT212,DS212))),IF($D212="Pressio.",
IF($E212=3,DT212,DS212),
IF($D212="Pénétro.",
IF($E212=4,DT212,DS212))))</f>
        <v>#N/A</v>
      </c>
      <c r="DV212" s="31">
        <v>0</v>
      </c>
      <c r="DW212" s="102" t="e">
        <f>IF(NDC!$H$10="Oui",(VLOOKUP($B$3,'Coeff EC7'!$T$39:$X$59,2,0)*DU212+VLOOKUP($B$3,'Coeff EC7'!$T$65:$X$85,2,0)*Model0.1T!DV212)/1.5,PI()*DS$12*$Q212*($B212-$B211)*0.15/10+DW211)</f>
        <v>#N/A</v>
      </c>
      <c r="DX212" s="102" t="e">
        <f>(VLOOKUP($B$3,'Coeff EC7'!$T$39:$X$59,3,0)*DU212+VLOOKUP($B$3,'Coeff EC7'!$T$65:$X$85,3,0)*Model0.1T!DV212)/1.1</f>
        <v>#N/A</v>
      </c>
      <c r="DY212" s="102" t="e">
        <f t="shared" si="390"/>
        <v>#N/A</v>
      </c>
      <c r="DZ212" s="102" t="e">
        <f t="shared" si="391"/>
        <v>#N/A</v>
      </c>
      <c r="EA212" s="414" t="e">
        <f>IF(AND(DW212&gt;NDC!$C$63,DX212&gt;NDC!$C$65,DY212&gt;NDC!$D$73,DZ212&gt;NDC!$D$74,$B212&gt;NDC!$H$22-0.1+MIN(3*EA$12,1.5)),0,1)</f>
        <v>#N/A</v>
      </c>
      <c r="EB212" s="86" t="b">
        <f t="shared" si="357"/>
        <v>0</v>
      </c>
      <c r="EC212" s="418">
        <f t="shared" si="358"/>
        <v>0.51</v>
      </c>
      <c r="ED212" s="86">
        <f t="shared" si="359"/>
        <v>0.51</v>
      </c>
      <c r="EE212" s="30" t="e">
        <f t="shared" ca="1" si="392"/>
        <v>#DIV/0!</v>
      </c>
      <c r="EF212" s="85" t="e">
        <f ca="1">IF(DL212&lt;=Hypothèses!$V$7,Hypothèses!$W$7,IF(DL212&lt;=Hypothèses!$V$8,Hypothèses!$W$8,IF(DL212&lt;=Hypothèses!$V$9,Hypothèses!$W$9,IF(DL212&lt;=Hypothèses!$V$10,Hypothèses!$W$10,IF(DL212&lt;=Hypothèses!$V$11,Hypothèses!$W$11,IF(DL212&lt;=Hypothèses!$V$12,Hypothèses!$W$12,IF(DL212&lt;=Hypothèses!$V$13,Hypothèses!$W$13,IF(DL212&lt;=Hypothèses!$V$14,Hypothèses!$W$14,IF(DL212&lt;=Hypothèses!$V$15,Hypothèses!$W$15,IF(DL212&lt;=Hypothèses!$V$16,Hypothèses!$W$16,IF(DL212&lt;=Hypothèses!$V$17,Hypothèses!$W$17,IF(DL212&lt;=Hypothèses!$V$18,Hypothèses!$W$18,""))))))))))))</f>
        <v>#DIV/0!</v>
      </c>
      <c r="EG212" s="87" t="e">
        <f t="shared" ca="1" si="422"/>
        <v>#DIV/0!</v>
      </c>
      <c r="EH212" s="88" t="e">
        <f ca="1">IF(DL212&lt;=Hypothèses!$V$7,Hypothèses!$X$7,IF(DL212&lt;=Hypothèses!$V$8,Hypothèses!$X$8,IF(DL212&lt;=Hypothèses!$V$9,Hypothèses!$X$9,IF(DL212&lt;=Hypothèses!$V$10,Hypothèses!$X$10,IF(DL212&lt;=Hypothèses!$V$11,Hypothèses!$X$11,IF(DL212&lt;=Hypothèses!$V$12,Hypothèses!$X$12,IF(DL212&lt;=Hypothèses!$V$13,Hypothèses!$X$13,IF(DL212&lt;=Hypothèses!$V$14,Hypothèses!$X$14,IF(DL212&lt;=Hypothèses!$V$15,Hypothèses!$X$15,IF(DL212&lt;=Hypothèses!$V$16,Hypothèses!$X$16,IF(DL212&lt;=Hypothèses!$U$17,Hypothèses!$W$17,IF(DL212&lt;=Hypothèses!$U$18,Hypothèses!$W$18,""))))))))))))</f>
        <v>#DIV/0!</v>
      </c>
      <c r="EI212" s="95" t="e">
        <f t="shared" ca="1" si="393"/>
        <v>#DIV/0!</v>
      </c>
      <c r="EJ212" s="101">
        <f t="shared" si="429"/>
        <v>0</v>
      </c>
      <c r="EK212" s="91">
        <f t="shared" si="360"/>
        <v>0</v>
      </c>
      <c r="EL212" s="30" t="e">
        <f t="shared" si="412"/>
        <v>#N/A</v>
      </c>
      <c r="EM212" s="30" t="e">
        <f t="shared" si="413"/>
        <v>#N/A</v>
      </c>
      <c r="EN212" s="31" t="e">
        <f>IF(OR(Hypothèses!$B$4=17,Hypothèses!$B$4=18,Hypothèses!$B$4=19,Hypothèses!$B$4=20),
IF($D212="Pressio.",
IF(OR($E212=3,$E212=1,$E212=4),EM212,EL212),
IF($D212="Pénétro.",
IF(OR($E212=3,$E212=1,$E212=4),EM212,EL212))),IF($D212="Pressio.",
IF($E212=3,EM212,EL212),
IF($D212="Pénétro.",
IF($E212=4,EM212,EL212))))</f>
        <v>#N/A</v>
      </c>
      <c r="EO212" s="31">
        <v>0</v>
      </c>
      <c r="EP212" s="102" t="e">
        <f>IF(NDC!$H$10="Oui",(VLOOKUP($B$3,'Coeff EC7'!$T$39:$X$59,2,0)*EN212+VLOOKUP($B$3,'Coeff EC7'!$T$65:$X$85,2,0)*Model0.1T!EO212)/1.5,PI()*EL$12*$Q212*($B212-$B211)*0.15/10+EP211)</f>
        <v>#N/A</v>
      </c>
      <c r="EQ212" s="102" t="e">
        <f>(VLOOKUP($B$3,'Coeff EC7'!$T$39:$X$59,3,0)*EN212+VLOOKUP($B$3,'Coeff EC7'!$T$65:$X$85,3,0)*Model0.1T!EO212)/1.1</f>
        <v>#N/A</v>
      </c>
      <c r="ER212" s="102" t="e">
        <f t="shared" si="394"/>
        <v>#N/A</v>
      </c>
      <c r="ES212" s="102" t="e">
        <f t="shared" si="395"/>
        <v>#N/A</v>
      </c>
      <c r="ET212" s="414" t="e">
        <f>IF(AND(EP212&gt;NDC!$C$63,EQ212&gt;NDC!$C$65,ER212&gt;NDC!$D$73,ES212&gt;NDC!$D$74,$B212&gt;NDC!$H$22-0.1+MIN(3*ET$12,1.5)),0,1)</f>
        <v>#N/A</v>
      </c>
      <c r="EU212" s="86" t="b">
        <f t="shared" si="361"/>
        <v>0</v>
      </c>
      <c r="EV212" s="86">
        <f t="shared" si="362"/>
        <v>0.61</v>
      </c>
      <c r="EW212" s="86">
        <f t="shared" si="363"/>
        <v>0.61</v>
      </c>
      <c r="EX212" s="30" t="e">
        <f t="shared" ca="1" si="396"/>
        <v>#DIV/0!</v>
      </c>
      <c r="EY212" s="85" t="e">
        <f ca="1">IF(EE212&lt;=Hypothèses!$V$7,Hypothèses!$W$7,IF(EE212&lt;=Hypothèses!$V$8,Hypothèses!$W$8,IF(EE212&lt;=Hypothèses!$V$9,Hypothèses!$W$9,IF(EE212&lt;=Hypothèses!$V$10,Hypothèses!$W$10,IF(EE212&lt;=Hypothèses!$V$11,Hypothèses!$W$11,IF(EE212&lt;=Hypothèses!$V$12,Hypothèses!$W$12,IF(EE212&lt;=Hypothèses!$V$13,Hypothèses!$W$13,IF(EE212&lt;=Hypothèses!$V$14,Hypothèses!$W$14,IF(EE212&lt;=Hypothèses!$V$15,Hypothèses!$W$15,IF(EE212&lt;=Hypothèses!$V$16,Hypothèses!$W$16,IF(EE212&lt;=Hypothèses!$V$17,Hypothèses!$W$17,IF(EE212&lt;=Hypothèses!$V$18,Hypothèses!$W$18,""))))))))))))</f>
        <v>#DIV/0!</v>
      </c>
      <c r="EZ212" s="87" t="e">
        <f t="shared" ca="1" si="423"/>
        <v>#DIV/0!</v>
      </c>
      <c r="FA212" s="88" t="e">
        <f ca="1">IF(EE212&lt;=Hypothèses!$V$7,Hypothèses!$X$7,IF(EE212&lt;=Hypothèses!$V$8,Hypothèses!$X$8,IF(EE212&lt;=Hypothèses!$V$9,Hypothèses!$X$9,IF(EE212&lt;=Hypothèses!$V$10,Hypothèses!$X$10,IF(EE212&lt;=Hypothèses!$V$11,Hypothèses!$X$11,IF(EE212&lt;=Hypothèses!$V$12,Hypothèses!$X$12,IF(EE212&lt;=Hypothèses!$V$13,Hypothèses!$X$13,IF(EE212&lt;=Hypothèses!$V$14,Hypothèses!$X$14,IF(EE212&lt;=Hypothèses!$V$15,Hypothèses!$X$15,IF(EE212&lt;=Hypothèses!$V$16,Hypothèses!$X$16,IF(EE212&lt;=Hypothèses!$U$17,Hypothèses!$W$17,IF(EE212&lt;=Hypothèses!$U$18,Hypothèses!$W$18,""))))))))))))</f>
        <v>#DIV/0!</v>
      </c>
      <c r="FB212" s="95" t="e">
        <f t="shared" ca="1" si="397"/>
        <v>#DIV/0!</v>
      </c>
      <c r="FC212" s="101">
        <f t="shared" si="430"/>
        <v>0</v>
      </c>
      <c r="FD212" s="91">
        <f t="shared" si="364"/>
        <v>0</v>
      </c>
      <c r="FE212" s="30" t="e">
        <f t="shared" si="414"/>
        <v>#N/A</v>
      </c>
      <c r="FF212" s="30" t="e">
        <f t="shared" si="415"/>
        <v>#N/A</v>
      </c>
      <c r="FG212" s="31" t="e">
        <f>IF(OR(Hypothèses!$B$4=17,Hypothèses!$B$4=18,Hypothèses!$B$4=19,Hypothèses!$B$4=20),
IF($D212="Pressio.",
IF(OR($E212=3,$E212=1,$E212=4),FF212,FE212),
IF($D212="Pénétro.",
IF(OR($E212=3,$E212=1,$E212=4),FF212,FE212))),IF($D212="Pressio.",
IF($E212=3,FF212,FE212),
IF($D212="Pénétro.",
IF($E212=4,FF212,FE212))))</f>
        <v>#N/A</v>
      </c>
      <c r="FH212" s="31">
        <v>0</v>
      </c>
      <c r="FI212" s="102" t="e">
        <f>IF(NDC!$H$10="Oui",(VLOOKUP($B$3,'Coeff EC7'!$T$39:$X$59,2,0)*FG212+VLOOKUP($B$3,'Coeff EC7'!$T$65:$X$85,2,0)*Model0.1T!FH212)/1.5,PI()*FE$12*$Q212*($B212-$B211)*0.15/10+FI211)</f>
        <v>#N/A</v>
      </c>
      <c r="FJ212" s="102" t="e">
        <f>(VLOOKUP($B$3,'Coeff EC7'!$T$39:$X$59,3,0)*FG212+VLOOKUP($B$3,'Coeff EC7'!$T$65:$X$85,3,0)*Model0.1T!FH212)/1.1</f>
        <v>#N/A</v>
      </c>
      <c r="FK212" s="102" t="e">
        <f t="shared" si="398"/>
        <v>#N/A</v>
      </c>
      <c r="FL212" s="102" t="e">
        <f t="shared" si="399"/>
        <v>#N/A</v>
      </c>
      <c r="FM212" s="414" t="e">
        <f>IF(AND(FI212&gt;NDC!$C$63,FJ212&gt;NDC!$C$65,FK212&gt;NDC!$D$73,FL212&gt;NDC!$D$74,$B212&gt;NDC!$H$22-0.1+MIN(3*FM$12,1.5)),0,1)</f>
        <v>#N/A</v>
      </c>
    </row>
    <row r="213" spans="1:169">
      <c r="A213" s="96">
        <f t="shared" si="365"/>
        <v>80.000000000001137</v>
      </c>
      <c r="B213" s="97">
        <v>20</v>
      </c>
      <c r="C213" s="81">
        <f>IF(B213&lt;=Hypothèses!$C$7,Hypothèses!$A$7,IF(B213&lt;=Hypothèses!$C$8,Hypothèses!$A$8,IF(B213&lt;=Hypothèses!$C$9,Hypothèses!$A$9,IF(B213&lt;=Hypothèses!$C$10,Hypothèses!$A$10,IF(B213&lt;=Hypothèses!$C$11,Hypothèses!$A$11,IF(B213&lt;=Hypothèses!$C$12,Hypothèses!$A$12,IF(B213&lt;=Hypothèses!$C$13,Hypothèses!$A$13,IF(B213&lt;=Hypothèses!$C$14,Hypothèses!$A$14,IF(B213&lt;=Hypothèses!$C$15,Hypothèses!$A$15,IF(B213&lt;=Hypothèses!$C$16,Hypothèses!$A$16,IF(B213&lt;=Hypothèses!$C$17,Hypothèses!$A$17,IF(B213&lt;=Hypothèses!$C$18,Hypothèses!$A$18,C212))))))))))))</f>
        <v>11</v>
      </c>
      <c r="D213" s="82" t="str">
        <f>IF(B213&lt;=Hypothèses!$C$7,Hypothèses!$R$7,IF(B213&lt;=Hypothèses!$C$8,Hypothèses!$R$8,IF(B213&lt;=Hypothèses!$C$9,Hypothèses!$R$9,IF(B213&lt;=Hypothèses!$C$10,Hypothèses!$R$10,IF(B213&lt;=Hypothèses!$C$11,Hypothèses!$R$11,IF(B213&lt;=Hypothèses!$C$12,Hypothèses!$R$12,IF(B213&lt;=Hypothèses!$C$13,Hypothèses!$R$13,IF(B213&lt;=Hypothèses!$C$14,Hypothèses!$R$14,IF(B213&lt;=Hypothèses!$C$15,Hypothèses!$R$15,IF(B213&lt;=Hypothèses!$C$16,Hypothèses!$R$16,IF(B213&lt;=Hypothèses!$C$17,Hypothèses!$R$17,IF(B213&lt;=Hypothèses!$C$18,Hypothèses!$R$18,D212))))))))))))</f>
        <v>Pressio.</v>
      </c>
      <c r="E213" s="82" t="e">
        <f>IF(B213&lt;=Hypothèses!$C$7,Hypothèses!$G$7,IF(B213&lt;=Hypothèses!$C$8,Hypothèses!$G$8,IF(B213&lt;=Hypothèses!$C$9,Hypothèses!$G$9,IF(B213&lt;=Hypothèses!$C$10,Hypothèses!$G$10,IF(B213&lt;=Hypothèses!$C$11,Hypothèses!$G$11,IF(B213&lt;=Hypothèses!$C$12,Hypothèses!$G$12,IF(B213&lt;=Hypothèses!$C$13,Hypothèses!$G$13,IF(B213&lt;=Hypothèses!$C$14,Hypothèses!$G$14,IF(B213&lt;=Hypothèses!$C$15,Hypothèses!$G$15,IF(B213&lt;=Hypothèses!$C$16,Hypothèses!$G$16,IF(B213&lt;=Hypothèses!$C$17,Hypothèses!$G$17,IF(B213&lt;=Hypothèses!$C$18,Hypothèses!$G$18,E212))))))))))))</f>
        <v>#N/A</v>
      </c>
      <c r="F213" s="82" t="str">
        <f>IF(B213&lt;=Hypothèses!$C$7,Hypothèses!$F$7,IF(B213&lt;=Hypothèses!$C$8,Hypothèses!$F$8,IF(B213&lt;=Hypothèses!$C$9,Hypothèses!$F$9,IF(B213&lt;=Hypothèses!$C$10,Hypothèses!$F$10,IF(B213&lt;=Hypothèses!$C$11,Hypothèses!$F$11,IF(B213&lt;=Hypothèses!$C$12,Hypothèses!$F$12,IF(B213&lt;=Hypothèses!$C$13,Hypothèses!$F$13,IF(B213&lt;=Hypothèses!$C$14,Hypothèses!$F$14,IF(B213&lt;=Hypothèses!$C$15,Hypothèses!$F$15,IF(B213&lt;=Hypothèses!$C$16,Hypothèses!$F$16,IF(B213&lt;=Hypothèses!$C$17,Hypothèses!$F$17,IF(B213&lt;=Hypothèses!$C$18,Hypothèses!$F$18,F212))))))))))))</f>
        <v/>
      </c>
      <c r="G213" s="91">
        <f t="array" ref="G213">INDEX('Coeff EC7'!$U$7:$X$27,
MATCH(Model0.1T!$B$3,'Coeff EC7'!$T$7:$T$27,0),
MATCH(Model0.1T!$D213&amp;Model0.1T!$B$4,
'Coeff EC7'!$U$6:$X$6&amp;
'Coeff EC7'!$U$5:$X$5,0))</f>
        <v>1.4</v>
      </c>
      <c r="H213" s="91">
        <f t="array" ref="H213">INDEX('Coeff EC7'!$Y$7:$AB$27,
MATCH(Model0.1T!$B$3,'Coeff EC7'!$T$7:$T$27,0),
MATCH(Model0.1T!$D213&amp;Model0.1T!$B$4,
'Coeff EC7'!$Y$6:$AB$6&amp;
'Coeff EC7'!$Y$5:$AB$5,0))</f>
        <v>1.7</v>
      </c>
      <c r="I213" s="83">
        <v>0</v>
      </c>
      <c r="J213" s="91" t="e">
        <f t="array" ref="J213">INDEX('Coeff EC7'!$D$33:$Q$33,1,MATCH(D213&amp;E213,'Coeff EC7'!$D$31:$Q$31&amp;'Coeff EC7'!$D$32:$Q$32,0))</f>
        <v>#N/A</v>
      </c>
      <c r="K213" s="91" t="e">
        <f t="array" ref="K213">INDEX('Coeff EC7'!$D$34:$Q$34,1,MATCH(D213&amp;E213,'Coeff EC7'!$D$31:$Q$31&amp;'Coeff EC7'!$D$32:$Q$32,0))</f>
        <v>#N/A</v>
      </c>
      <c r="L213" s="91" t="e">
        <f t="array" ref="L213">INDEX('Coeff EC7'!$D$35:$Q$35,1,MATCH(D213&amp;E213,'Coeff EC7'!$D$31:$Q$31&amp;'Coeff EC7'!$D$32:$Q$32,0))</f>
        <v>#N/A</v>
      </c>
      <c r="M213" s="98" t="e">
        <f t="shared" si="331"/>
        <v>#N/A</v>
      </c>
      <c r="N213" s="99" t="e">
        <f t="array" ref="N213">INDEX('Coeff EC7'!$D$7:$Q$27,MATCH($B$3,'Coeff EC7'!$C$7:$C$27,0),MATCH(D213&amp;E213,'Coeff EC7'!$D$5:$Q$5&amp;'Coeff EC7'!$D$6:$Q$6,0))</f>
        <v>#N/A</v>
      </c>
      <c r="O213" s="99" t="e">
        <f t="array" ref="O213">INDEX('Coeff EC7'!$D$41:$Q$61,MATCH($B$3,'Coeff EC7'!$C$41:$C$61,0),MATCH(D213&amp;E213,'Coeff EC7'!$D$39:$Q$39&amp;'Coeff EC7'!$D$40:$Q$40,0))</f>
        <v>#N/A</v>
      </c>
      <c r="P213" s="30" t="e">
        <f t="shared" si="366"/>
        <v>#N/A</v>
      </c>
      <c r="Q213" s="100" t="e">
        <f t="shared" si="333"/>
        <v>#N/A</v>
      </c>
      <c r="R213" s="86" t="b">
        <f t="shared" si="334"/>
        <v>0</v>
      </c>
      <c r="S213" s="86">
        <f t="shared" si="332"/>
        <v>0.5</v>
      </c>
      <c r="T213" s="86">
        <f t="shared" si="335"/>
        <v>0.5</v>
      </c>
      <c r="U213" s="30" t="e">
        <f t="shared" ca="1" si="367"/>
        <v>#DIV/0!</v>
      </c>
      <c r="V213" s="85" t="str">
        <f>IF(B213&lt;=Hypothèses!$V$7,Hypothèses!$W$7,IF(B213&lt;=Hypothèses!$V$8,Hypothèses!$W$8,IF(B213&lt;=Hypothèses!$V$9,Hypothèses!$W$9,IF(B213&lt;=Hypothèses!$V$10,Hypothèses!$W$10,IF(B213&lt;=Hypothèses!$V$11,Hypothèses!$W$11,IF(B213&lt;=Hypothèses!$V$12,Hypothèses!$W$12,IF(B213&lt;=Hypothèses!$V$13,Hypothèses!$W$13,IF(B213&lt;=Hypothèses!$V$14,Hypothèses!$W$14,IF(B213&lt;=Hypothèses!$V$15,Hypothèses!$W$15,IF(B213&lt;=Hypothèses!$V$16,Hypothèses!$W$16,IF(B213&lt;=Hypothèses!$V$17,Hypothèses!$W$17,IF(B213&lt;=Hypothèses!$V$18,Hypothèses!$W$18,""))))))))))))</f>
        <v/>
      </c>
      <c r="W213" s="87" t="e">
        <f t="shared" ca="1" si="416"/>
        <v>#DIV/0!</v>
      </c>
      <c r="X213" s="88" t="str">
        <f>IF(B213&lt;=Hypothèses!$V$7,Hypothèses!$X$7,IF(B213&lt;=Hypothèses!$V$8,Hypothèses!$X$8,IF(B213&lt;=Hypothèses!$V$9,Hypothèses!$X$9,IF(B213&lt;=Hypothèses!$V$10,Hypothèses!$X$10,IF(B213&lt;=Hypothèses!$V$11,Hypothèses!$X$11,IF(B213&lt;=Hypothèses!$V$12,Hypothèses!$X$12,IF(B213&lt;=Hypothèses!$V$13,Hypothèses!$X$13,IF(B213&lt;=Hypothèses!$V$14,Hypothèses!$X$14,IF(B213&lt;=Hypothèses!$V$15,Hypothèses!$X$15,IF(B213&lt;=Hypothèses!$V$16,Hypothèses!$X$16,IF(B213&lt;=Hypothèses!$U$17,Hypothèses!$W$17,IF(B213&lt;=Hypothèses!$U$18,Hypothèses!$W$18,""))))))))))))</f>
        <v/>
      </c>
      <c r="Y213" s="95" t="e">
        <f t="shared" ca="1" si="336"/>
        <v>#DIV/0!</v>
      </c>
      <c r="Z213" s="101">
        <f t="shared" si="337"/>
        <v>0</v>
      </c>
      <c r="AA213" s="91">
        <f t="shared" si="338"/>
        <v>0</v>
      </c>
      <c r="AB213" s="30" t="e">
        <f t="shared" si="400"/>
        <v>#N/A</v>
      </c>
      <c r="AC213" s="30" t="e">
        <f t="shared" si="401"/>
        <v>#N/A</v>
      </c>
      <c r="AD213" s="31" t="e">
        <f>IF(OR(Hypothèses!$B$4=17,Hypothèses!$B$4=18,Hypothèses!$B$4=19,Hypothèses!$B$4=20),
IF($D213="Pressio.",
IF(OR($E213=3,$E213=1,$E213=4),AC213,AB213),
IF($D213="Pénétro.",
IF(OR($E213=3,$E213=1,$E213=4),AC213,AB213))),IF($D213="Pressio.",
IF($E213=3,AC213,AB213),
IF($D213="Pénétro.",
IF($E213=4,AC213,AB213))))</f>
        <v>#N/A</v>
      </c>
      <c r="AE213" s="31">
        <v>0</v>
      </c>
      <c r="AF213" s="102" t="e">
        <f>IF(NDC!$H$10="Oui",(VLOOKUP($B$3,'Coeff EC7'!$T$39:$X$59,2,0)*AD213+VLOOKUP($B$3,'Coeff EC7'!$T$65:$X$85,2,0)*Model0.1T!AE213)/1.5,PI()*AB$12*$Q213*($B213-$B212)*0.15/10+AF212)</f>
        <v>#N/A</v>
      </c>
      <c r="AG213" s="102" t="e">
        <f>(VLOOKUP($B$3,'Coeff EC7'!$T$39:$X$59,3,0)*AD213+VLOOKUP($B$3,'Coeff EC7'!$T$65:$X$85,3,0)*Model0.1T!AE213)/1.1</f>
        <v>#N/A</v>
      </c>
      <c r="AH213" s="102" t="e">
        <f t="shared" si="368"/>
        <v>#N/A</v>
      </c>
      <c r="AI213" s="102" t="e">
        <f t="shared" si="369"/>
        <v>#N/A</v>
      </c>
      <c r="AJ213" s="414" t="e">
        <f>IF(AND(AF213&gt;NDC!$C$63,AG213&gt;NDC!$C$65,AH213&gt;NDC!$D$73,AI213&gt;NDC!$D$74,$B213&gt;NDC!$H$22-0.1+MIN(3*$AJ$12,1.5)),0,1)</f>
        <v>#N/A</v>
      </c>
      <c r="AK213" s="86" t="b">
        <f t="shared" si="339"/>
        <v>0</v>
      </c>
      <c r="AL213" s="86">
        <f t="shared" si="370"/>
        <v>0.5</v>
      </c>
      <c r="AM213" s="86">
        <f t="shared" si="340"/>
        <v>0.5</v>
      </c>
      <c r="AN213" s="30" t="e">
        <f t="shared" ca="1" si="371"/>
        <v>#DIV/0!</v>
      </c>
      <c r="AO213" s="85" t="e">
        <f ca="1">IF(U213&lt;=Hypothèses!$V$7,Hypothèses!$W$7,IF(U213&lt;=Hypothèses!$V$8,Hypothèses!$W$8,IF(U213&lt;=Hypothèses!$V$9,Hypothèses!$W$9,IF(U213&lt;=Hypothèses!$V$10,Hypothèses!$W$10,IF(U213&lt;=Hypothèses!$V$11,Hypothèses!$W$11,IF(U213&lt;=Hypothèses!$V$12,Hypothèses!$W$12,IF(U213&lt;=Hypothèses!$V$13,Hypothèses!$W$13,IF(U213&lt;=Hypothèses!$V$14,Hypothèses!$W$14,IF(U213&lt;=Hypothèses!$V$15,Hypothèses!$W$15,IF(U213&lt;=Hypothèses!$V$16,Hypothèses!$W$16,IF(U213&lt;=Hypothèses!$V$17,Hypothèses!$W$17,IF(U213&lt;=Hypothèses!$V$18,Hypothèses!$W$18,""))))))))))))</f>
        <v>#DIV/0!</v>
      </c>
      <c r="AP213" s="87" t="e">
        <f t="shared" ca="1" si="417"/>
        <v>#DIV/0!</v>
      </c>
      <c r="AQ213" s="88" t="e">
        <f ca="1">IF(U213&lt;=Hypothèses!$V$7,Hypothèses!$X$7,IF(U213&lt;=Hypothèses!$V$8,Hypothèses!$X$8,IF(U213&lt;=Hypothèses!$V$9,Hypothèses!$X$9,IF(U213&lt;=Hypothèses!$V$10,Hypothèses!$X$10,IF(U213&lt;=Hypothèses!$V$11,Hypothèses!$X$11,IF(U213&lt;=Hypothèses!$V$12,Hypothèses!$X$12,IF(U213&lt;=Hypothèses!$V$13,Hypothèses!$X$13,IF(U213&lt;=Hypothèses!$V$14,Hypothèses!$X$14,IF(U213&lt;=Hypothèses!$V$15,Hypothèses!$X$15,IF(U213&lt;=Hypothèses!$V$16,Hypothèses!$X$16,IF(U213&lt;=Hypothèses!$U$17,Hypothèses!$W$17,IF(U213&lt;=Hypothèses!$U$18,Hypothèses!$W$18,""))))))))))))</f>
        <v>#DIV/0!</v>
      </c>
      <c r="AR213" s="95" t="e">
        <f t="shared" ca="1" si="372"/>
        <v>#DIV/0!</v>
      </c>
      <c r="AS213" s="101">
        <f t="shared" si="424"/>
        <v>0</v>
      </c>
      <c r="AT213" s="91">
        <f t="shared" si="341"/>
        <v>0</v>
      </c>
      <c r="AU213" s="30" t="e">
        <f t="shared" si="402"/>
        <v>#N/A</v>
      </c>
      <c r="AV213" s="30" t="e">
        <f t="shared" si="403"/>
        <v>#N/A</v>
      </c>
      <c r="AW213" s="31" t="e">
        <f>IF(OR(Hypothèses!$B$4=17,Hypothèses!$B$4=18,Hypothèses!$B$4=19,Hypothèses!$B$4=20),
IF($D213="Pressio.",
IF(OR($E213=3,$E213=1,$E213=4),AV213,AU213),
IF($D213="Pénétro.",
IF(OR($E213=3,$E213=1,$E213=4),AV213,AU213))),IF($D213="Pressio.",
IF($E213=3,AV213,AU213),
IF($D213="Pénétro.",
IF($E213=4,AV213,AU213))))</f>
        <v>#N/A</v>
      </c>
      <c r="AX213" s="31">
        <v>0</v>
      </c>
      <c r="AY213" s="102" t="e">
        <f>IF(NDC!$H$10="Oui",(VLOOKUP($B$3,'Coeff EC7'!$T$39:$X$59,2,0)*AW213+VLOOKUP($B$3,'Coeff EC7'!$T$65:$X$85,2,0)*Model0.1T!AX213)/1.5,PI()*AU$12*$Q213*($B213-$B212)*0.15/10+AY212)</f>
        <v>#N/A</v>
      </c>
      <c r="AZ213" s="102" t="e">
        <f>(VLOOKUP($B$3,'Coeff EC7'!$T$39:$X$59,3,0)*AW213+VLOOKUP($B$3,'Coeff EC7'!$T$65:$X$85,3,0)*Model0.1T!AX213)/1.1</f>
        <v>#N/A</v>
      </c>
      <c r="BA213" s="102" t="e">
        <f t="shared" si="373"/>
        <v>#N/A</v>
      </c>
      <c r="BB213" s="102" t="e">
        <f t="shared" si="374"/>
        <v>#N/A</v>
      </c>
      <c r="BC213" s="414" t="e">
        <f>IF(AND(AY213&gt;NDC!$C$63,AZ213&gt;NDC!$C$65,BA213&gt;NDC!$D$73,BB213&gt;NDC!$D$74,$B213&gt;NDC!$H$22-0.1+MIN(3*BC$12,1.5)),0,1)</f>
        <v>#N/A</v>
      </c>
      <c r="BD213" s="86" t="b">
        <f t="shared" si="342"/>
        <v>0</v>
      </c>
      <c r="BE213" s="86">
        <f t="shared" si="375"/>
        <v>0.5</v>
      </c>
      <c r="BF213" s="86">
        <f t="shared" si="343"/>
        <v>0.5</v>
      </c>
      <c r="BG213" s="30" t="e">
        <f t="shared" ca="1" si="376"/>
        <v>#DIV/0!</v>
      </c>
      <c r="BH213" s="85" t="e">
        <f ca="1">IF(AN213&lt;=Hypothèses!$V$7,Hypothèses!$W$7,IF(AN213&lt;=Hypothèses!$V$8,Hypothèses!$W$8,IF(AN213&lt;=Hypothèses!$V$9,Hypothèses!$W$9,IF(AN213&lt;=Hypothèses!$V$10,Hypothèses!$W$10,IF(AN213&lt;=Hypothèses!$V$11,Hypothèses!$W$11,IF(AN213&lt;=Hypothèses!$V$12,Hypothèses!$W$12,IF(AN213&lt;=Hypothèses!$V$13,Hypothèses!$W$13,IF(AN213&lt;=Hypothèses!$V$14,Hypothèses!$W$14,IF(AN213&lt;=Hypothèses!$V$15,Hypothèses!$W$15,IF(AN213&lt;=Hypothèses!$V$16,Hypothèses!$W$16,IF(AN213&lt;=Hypothèses!$V$17,Hypothèses!$W$17,IF(AN213&lt;=Hypothèses!$V$18,Hypothèses!$W$18,""))))))))))))</f>
        <v>#DIV/0!</v>
      </c>
      <c r="BI213" s="87" t="e">
        <f t="shared" ca="1" si="418"/>
        <v>#DIV/0!</v>
      </c>
      <c r="BJ213" s="88" t="e">
        <f ca="1">IF(AN213&lt;=Hypothèses!$V$7,Hypothèses!$X$7,IF(AN213&lt;=Hypothèses!$V$8,Hypothèses!$X$8,IF(AN213&lt;=Hypothèses!$V$9,Hypothèses!$X$9,IF(AN213&lt;=Hypothèses!$V$10,Hypothèses!$X$10,IF(AN213&lt;=Hypothèses!$V$11,Hypothèses!$X$11,IF(AN213&lt;=Hypothèses!$V$12,Hypothèses!$X$12,IF(AN213&lt;=Hypothèses!$V$13,Hypothèses!$X$13,IF(AN213&lt;=Hypothèses!$V$14,Hypothèses!$X$14,IF(AN213&lt;=Hypothèses!$V$15,Hypothèses!$X$15,IF(AN213&lt;=Hypothèses!$V$16,Hypothèses!$X$16,IF(AN213&lt;=Hypothèses!$U$17,Hypothèses!$W$17,IF(AN213&lt;=Hypothèses!$U$18,Hypothèses!$W$18,""))))))))))))</f>
        <v>#DIV/0!</v>
      </c>
      <c r="BK213" s="95" t="e">
        <f t="shared" ca="1" si="377"/>
        <v>#DIV/0!</v>
      </c>
      <c r="BL213" s="101">
        <f t="shared" si="425"/>
        <v>0</v>
      </c>
      <c r="BM213" s="91">
        <f t="shared" si="344"/>
        <v>0</v>
      </c>
      <c r="BN213" s="30" t="e">
        <f t="shared" si="404"/>
        <v>#N/A</v>
      </c>
      <c r="BO213" s="30" t="e">
        <f t="shared" si="405"/>
        <v>#N/A</v>
      </c>
      <c r="BP213" s="31" t="e">
        <f>IF(OR(Hypothèses!$B$4=17,Hypothèses!$B$4=18,Hypothèses!$B$4=19,Hypothèses!$B$4=20),
IF($D213="Pressio.",
IF(OR($E213=3,$E213=1,$E213=4),BO213,BN213),
IF($D213="Pénétro.",
IF(OR($E213=3,$E213=1,$E213=4),BO213,BN213))),IF($D213="Pressio.",
IF($E213=3,BO213,BN213),
IF($D213="Pénétro.",
IF($E213=4,BO213,BN213))))</f>
        <v>#N/A</v>
      </c>
      <c r="BQ213" s="31">
        <v>0</v>
      </c>
      <c r="BR213" s="102" t="e">
        <f>IF(NDC!$H$10="Oui",(VLOOKUP($B$3,'Coeff EC7'!$T$39:$X$59,2,0)*BP213+VLOOKUP($B$3,'Coeff EC7'!$T$65:$X$85,2,0)*Model0.1T!BQ213)/1.5,PI()*BN$12*$Q213*($B213-$B212)*0.15/10+BR212)</f>
        <v>#N/A</v>
      </c>
      <c r="BS213" s="102" t="e">
        <f>(VLOOKUP($B$3,'Coeff EC7'!$T$39:$X$59,3,0)*BP213+VLOOKUP($B$3,'Coeff EC7'!$T$65:$X$85,3,0)*Model0.1T!BQ213)/1.1</f>
        <v>#N/A</v>
      </c>
      <c r="BT213" s="102" t="e">
        <f t="shared" si="378"/>
        <v>#N/A</v>
      </c>
      <c r="BU213" s="102" t="e">
        <f t="shared" si="379"/>
        <v>#N/A</v>
      </c>
      <c r="BV213" s="414" t="e">
        <f>IF(AND(BR213&gt;NDC!$C$63,BS213&gt;NDC!$C$65,BT213&gt;NDC!$D$73,BU213&gt;NDC!$D$74,$B213&gt;NDC!$H$22-0.1+MIN(3*BV$12,1.5)),0,1)</f>
        <v>#N/A</v>
      </c>
      <c r="BW213" s="86" t="b">
        <f t="shared" si="345"/>
        <v>0</v>
      </c>
      <c r="BX213" s="86">
        <f t="shared" si="346"/>
        <v>0.5</v>
      </c>
      <c r="BY213" s="86">
        <f t="shared" si="347"/>
        <v>0.5</v>
      </c>
      <c r="BZ213" s="30" t="e">
        <f t="shared" ca="1" si="380"/>
        <v>#DIV/0!</v>
      </c>
      <c r="CA213" s="85" t="e">
        <f ca="1">IF(BG213&lt;=Hypothèses!$V$7,Hypothèses!$W$7,IF(BG213&lt;=Hypothèses!$V$8,Hypothèses!$W$8,IF(BG213&lt;=Hypothèses!$V$9,Hypothèses!$W$9,IF(BG213&lt;=Hypothèses!$V$10,Hypothèses!$W$10,IF(BG213&lt;=Hypothèses!$V$11,Hypothèses!$W$11,IF(BG213&lt;=Hypothèses!$V$12,Hypothèses!$W$12,IF(BG213&lt;=Hypothèses!$V$13,Hypothèses!$W$13,IF(BG213&lt;=Hypothèses!$V$14,Hypothèses!$W$14,IF(BG213&lt;=Hypothèses!$V$15,Hypothèses!$W$15,IF(BG213&lt;=Hypothèses!$V$16,Hypothèses!$W$16,IF(BG213&lt;=Hypothèses!$V$17,Hypothèses!$W$17,IF(BG213&lt;=Hypothèses!$V$18,Hypothèses!$W$18,""))))))))))))</f>
        <v>#DIV/0!</v>
      </c>
      <c r="CB213" s="87" t="e">
        <f t="shared" ca="1" si="419"/>
        <v>#DIV/0!</v>
      </c>
      <c r="CC213" s="88" t="e">
        <f ca="1">IF(BG213&lt;=Hypothèses!$V$7,Hypothèses!$X$7,IF(BG213&lt;=Hypothèses!$V$8,Hypothèses!$X$8,IF(BG213&lt;=Hypothèses!$V$9,Hypothèses!$X$9,IF(BG213&lt;=Hypothèses!$V$10,Hypothèses!$X$10,IF(BG213&lt;=Hypothèses!$V$11,Hypothèses!$X$11,IF(BG213&lt;=Hypothèses!$V$12,Hypothèses!$X$12,IF(BG213&lt;=Hypothèses!$V$13,Hypothèses!$X$13,IF(BG213&lt;=Hypothèses!$V$14,Hypothèses!$X$14,IF(BG213&lt;=Hypothèses!$V$15,Hypothèses!$X$15,IF(BG213&lt;=Hypothèses!$V$16,Hypothèses!$X$16,IF(BG213&lt;=Hypothèses!$U$17,Hypothèses!$W$17,IF(BG213&lt;=Hypothèses!$U$18,Hypothèses!$W$18,""))))))))))))</f>
        <v>#DIV/0!</v>
      </c>
      <c r="CD213" s="95" t="e">
        <f t="shared" ca="1" si="381"/>
        <v>#DIV/0!</v>
      </c>
      <c r="CE213" s="101">
        <f t="shared" si="426"/>
        <v>0</v>
      </c>
      <c r="CF213" s="91">
        <f t="shared" si="348"/>
        <v>0</v>
      </c>
      <c r="CG213" s="30" t="e">
        <f t="shared" si="406"/>
        <v>#N/A</v>
      </c>
      <c r="CH213" s="30" t="e">
        <f t="shared" si="407"/>
        <v>#N/A</v>
      </c>
      <c r="CI213" s="31" t="e">
        <f>IF(OR(Hypothèses!$B$4=17,Hypothèses!$B$4=18,Hypothèses!$B$4=19,Hypothèses!$B$4=20),
IF($D213="Pressio.",
IF(OR($E213=3,$E213=1,$E213=4),CH213,CG213),
IF($D213="Pénétro.",
IF(OR($E213=3,$E213=1,$E213=4),CH213,CG213))),IF($D213="Pressio.",
IF($E213=3,CH213,CG213),
IF($D213="Pénétro.",
IF($E213=4,CH213,CG213))))</f>
        <v>#N/A</v>
      </c>
      <c r="CJ213" s="31">
        <v>0</v>
      </c>
      <c r="CK213" s="102" t="e">
        <f>IF(NDC!$H$10="Oui",(VLOOKUP($B$3,'Coeff EC7'!$T$39:$X$59,2,0)*CI213+VLOOKUP($B$3,'Coeff EC7'!$T$65:$X$85,2,0)*Model0.1T!CJ213)/1.5,PI()*CG$12*$Q213*($B213-$B212)*0.15/10+CK212)</f>
        <v>#N/A</v>
      </c>
      <c r="CL213" s="102" t="e">
        <f>(VLOOKUP($B$3,'Coeff EC7'!$T$39:$X$59,3,0)*CI213+VLOOKUP($B$3,'Coeff EC7'!$T$65:$X$85,3,0)*Model0.1T!CJ213)/1.1</f>
        <v>#N/A</v>
      </c>
      <c r="CM213" s="102" t="e">
        <f t="shared" si="382"/>
        <v>#N/A</v>
      </c>
      <c r="CN213" s="102" t="e">
        <f t="shared" si="383"/>
        <v>#N/A</v>
      </c>
      <c r="CO213" s="414" t="e">
        <f>IF(AND(CK213&gt;NDC!$C$63,CL213&gt;NDC!$C$65,CM213&gt;NDC!$D$73,CN213&gt;NDC!$D$74,$B213&gt;NDC!$H$22-0.1+MIN(3*CO$12,1.5)),0,1)</f>
        <v>#N/A</v>
      </c>
      <c r="CP213" s="86" t="b">
        <f t="shared" si="349"/>
        <v>0</v>
      </c>
      <c r="CQ213" s="86">
        <f t="shared" si="350"/>
        <v>0.5</v>
      </c>
      <c r="CR213" s="86">
        <f t="shared" si="351"/>
        <v>0.5</v>
      </c>
      <c r="CS213" s="30" t="e">
        <f t="shared" ca="1" si="384"/>
        <v>#DIV/0!</v>
      </c>
      <c r="CT213" s="85" t="e">
        <f ca="1">IF(BZ213&lt;=Hypothèses!$V$7,Hypothèses!$W$7,IF(BZ213&lt;=Hypothèses!$V$8,Hypothèses!$W$8,IF(BZ213&lt;=Hypothèses!$V$9,Hypothèses!$W$9,IF(BZ213&lt;=Hypothèses!$V$10,Hypothèses!$W$10,IF(BZ213&lt;=Hypothèses!$V$11,Hypothèses!$W$11,IF(BZ213&lt;=Hypothèses!$V$12,Hypothèses!$W$12,IF(BZ213&lt;=Hypothèses!$V$13,Hypothèses!$W$13,IF(BZ213&lt;=Hypothèses!$V$14,Hypothèses!$W$14,IF(BZ213&lt;=Hypothèses!$V$15,Hypothèses!$W$15,IF(BZ213&lt;=Hypothèses!$V$16,Hypothèses!$W$16,IF(BZ213&lt;=Hypothèses!$V$17,Hypothèses!$W$17,IF(BZ213&lt;=Hypothèses!$V$18,Hypothèses!$W$18,""))))))))))))</f>
        <v>#DIV/0!</v>
      </c>
      <c r="CU213" s="87" t="e">
        <f t="shared" ca="1" si="420"/>
        <v>#DIV/0!</v>
      </c>
      <c r="CV213" s="88" t="e">
        <f ca="1">IF(BZ213&lt;=Hypothèses!$V$7,Hypothèses!$X$7,IF(BZ213&lt;=Hypothèses!$V$8,Hypothèses!$X$8,IF(BZ213&lt;=Hypothèses!$V$9,Hypothèses!$X$9,IF(BZ213&lt;=Hypothèses!$V$10,Hypothèses!$X$10,IF(BZ213&lt;=Hypothèses!$V$11,Hypothèses!$X$11,IF(BZ213&lt;=Hypothèses!$V$12,Hypothèses!$X$12,IF(BZ213&lt;=Hypothèses!$V$13,Hypothèses!$X$13,IF(BZ213&lt;=Hypothèses!$V$14,Hypothèses!$X$14,IF(BZ213&lt;=Hypothèses!$V$15,Hypothèses!$X$15,IF(BZ213&lt;=Hypothèses!$V$16,Hypothèses!$X$16,IF(BZ213&lt;=Hypothèses!$U$17,Hypothèses!$W$17,IF(BZ213&lt;=Hypothèses!$U$18,Hypothèses!$W$18,""))))))))))))</f>
        <v>#DIV/0!</v>
      </c>
      <c r="CW213" s="95" t="e">
        <f t="shared" ca="1" si="385"/>
        <v>#DIV/0!</v>
      </c>
      <c r="CX213" s="101">
        <f t="shared" si="427"/>
        <v>0</v>
      </c>
      <c r="CY213" s="91">
        <f t="shared" si="352"/>
        <v>0</v>
      </c>
      <c r="CZ213" s="30" t="e">
        <f t="shared" si="408"/>
        <v>#N/A</v>
      </c>
      <c r="DA213" s="30" t="e">
        <f t="shared" si="409"/>
        <v>#N/A</v>
      </c>
      <c r="DB213" s="31" t="e">
        <f>IF(OR(Hypothèses!$B$4=17,Hypothèses!$B$4=18,Hypothèses!$B$4=19,Hypothèses!$B$4=20),
IF($D213="Pressio.",
IF(OR($E213=3,$E213=1,$E213=4),DA213,CZ213),
IF($D213="Pénétro.",
IF(OR($E213=3,$E213=1,$E213=4),DA213,CZ213))),IF($D213="Pressio.",
IF($E213=3,DA213,CZ213),
IF($D213="Pénétro.",
IF($E213=4,DA213,CZ213))))</f>
        <v>#N/A</v>
      </c>
      <c r="DC213" s="31">
        <v>0</v>
      </c>
      <c r="DD213" s="102" t="e">
        <f>IF(NDC!$H$10="Oui",(VLOOKUP($B$3,'Coeff EC7'!$T$39:$X$59,2,0)*DB213+VLOOKUP($B$3,'Coeff EC7'!$T$65:$X$85,2,0)*Model0.1T!DC213)/1.5,PI()*CZ$12*$Q213*($B213-$B212)*0.15/10+DD212)</f>
        <v>#N/A</v>
      </c>
      <c r="DE213" s="102" t="e">
        <f>(VLOOKUP($B$3,'Coeff EC7'!$T$39:$X$59,3,0)*DB213+VLOOKUP($B$3,'Coeff EC7'!$T$65:$X$85,3,0)*Model0.1T!DC213)/1.1</f>
        <v>#N/A</v>
      </c>
      <c r="DF213" s="102" t="e">
        <f t="shared" si="386"/>
        <v>#N/A</v>
      </c>
      <c r="DG213" s="102" t="e">
        <f t="shared" si="387"/>
        <v>#N/A</v>
      </c>
      <c r="DH213" s="414" t="e">
        <f>IF(AND(DD213&gt;NDC!$C$63,DE213&gt;NDC!$C$65,DF213&gt;NDC!$D$73,DG213&gt;NDC!$D$74,$B213&gt;NDC!$H$22-0.1+MIN(3*DH$12,1.5)),0,1)</f>
        <v>#N/A</v>
      </c>
      <c r="DI213" s="86" t="b">
        <f t="shared" si="353"/>
        <v>0</v>
      </c>
      <c r="DJ213" s="86">
        <f t="shared" si="354"/>
        <v>0.5</v>
      </c>
      <c r="DK213" s="86">
        <f t="shared" si="355"/>
        <v>0.5</v>
      </c>
      <c r="DL213" s="30" t="e">
        <f t="shared" ca="1" si="388"/>
        <v>#DIV/0!</v>
      </c>
      <c r="DM213" s="85" t="e">
        <f ca="1">IF(CS213&lt;=Hypothèses!$V$7,Hypothèses!$W$7,IF(CS213&lt;=Hypothèses!$V$8,Hypothèses!$W$8,IF(CS213&lt;=Hypothèses!$V$9,Hypothèses!$W$9,IF(CS213&lt;=Hypothèses!$V$10,Hypothèses!$W$10,IF(CS213&lt;=Hypothèses!$V$11,Hypothèses!$W$11,IF(CS213&lt;=Hypothèses!$V$12,Hypothèses!$W$12,IF(CS213&lt;=Hypothèses!$V$13,Hypothèses!$W$13,IF(CS213&lt;=Hypothèses!$V$14,Hypothèses!$W$14,IF(CS213&lt;=Hypothèses!$V$15,Hypothèses!$W$15,IF(CS213&lt;=Hypothèses!$V$16,Hypothèses!$W$16,IF(CS213&lt;=Hypothèses!$V$17,Hypothèses!$W$17,IF(CS213&lt;=Hypothèses!$V$18,Hypothèses!$W$18,""))))))))))))</f>
        <v>#DIV/0!</v>
      </c>
      <c r="DN213" s="87" t="e">
        <f t="shared" ca="1" si="421"/>
        <v>#DIV/0!</v>
      </c>
      <c r="DO213" s="88" t="e">
        <f ca="1">IF(CS213&lt;=Hypothèses!$V$7,Hypothèses!$X$7,IF(CS213&lt;=Hypothèses!$V$8,Hypothèses!$X$8,IF(CS213&lt;=Hypothèses!$V$9,Hypothèses!$X$9,IF(CS213&lt;=Hypothèses!$V$10,Hypothèses!$X$10,IF(CS213&lt;=Hypothèses!$V$11,Hypothèses!$X$11,IF(CS213&lt;=Hypothèses!$V$12,Hypothèses!$X$12,IF(CS213&lt;=Hypothèses!$V$13,Hypothèses!$X$13,IF(CS213&lt;=Hypothèses!$V$14,Hypothèses!$X$14,IF(CS213&lt;=Hypothèses!$V$15,Hypothèses!$X$15,IF(CS213&lt;=Hypothèses!$V$16,Hypothèses!$X$16,IF(CS213&lt;=Hypothèses!$U$17,Hypothèses!$W$17,IF(CS213&lt;=Hypothèses!$U$18,Hypothèses!$W$18,""))))))))))))</f>
        <v>#DIV/0!</v>
      </c>
      <c r="DP213" s="95" t="e">
        <f t="shared" ca="1" si="389"/>
        <v>#DIV/0!</v>
      </c>
      <c r="DQ213" s="101">
        <f t="shared" si="428"/>
        <v>0</v>
      </c>
      <c r="DR213" s="91">
        <f t="shared" si="356"/>
        <v>0</v>
      </c>
      <c r="DS213" s="30" t="e">
        <f t="shared" si="410"/>
        <v>#N/A</v>
      </c>
      <c r="DT213" s="30" t="e">
        <f t="shared" si="411"/>
        <v>#N/A</v>
      </c>
      <c r="DU213" s="31" t="e">
        <f>IF(OR(Hypothèses!$B$4=17,Hypothèses!$B$4=18,Hypothèses!$B$4=19,Hypothèses!$B$4=20),
IF($D213="Pressio.",
IF(OR($E213=3,$E213=1,$E213=4),DT213,DS213),
IF($D213="Pénétro.",
IF(OR($E213=3,$E213=1,$E213=4),DT213,DS213))),IF($D213="Pressio.",
IF($E213=3,DT213,DS213),
IF($D213="Pénétro.",
IF($E213=4,DT213,DS213))))</f>
        <v>#N/A</v>
      </c>
      <c r="DV213" s="31">
        <v>0</v>
      </c>
      <c r="DW213" s="102" t="e">
        <f>IF(NDC!$H$10="Oui",(VLOOKUP($B$3,'Coeff EC7'!$T$39:$X$59,2,0)*DU213+VLOOKUP($B$3,'Coeff EC7'!$T$65:$X$85,2,0)*Model0.1T!DV213)/1.5,PI()*DS$12*$Q213*($B213-$B212)*0.15/10+DW212)</f>
        <v>#N/A</v>
      </c>
      <c r="DX213" s="102" t="e">
        <f>(VLOOKUP($B$3,'Coeff EC7'!$T$39:$X$59,3,0)*DU213+VLOOKUP($B$3,'Coeff EC7'!$T$65:$X$85,3,0)*Model0.1T!DV213)/1.1</f>
        <v>#N/A</v>
      </c>
      <c r="DY213" s="102" t="e">
        <f t="shared" si="390"/>
        <v>#N/A</v>
      </c>
      <c r="DZ213" s="102" t="e">
        <f t="shared" si="391"/>
        <v>#N/A</v>
      </c>
      <c r="EA213" s="414" t="e">
        <f>IF(AND(DW213&gt;NDC!$C$63,DX213&gt;NDC!$C$65,DY213&gt;NDC!$D$73,DZ213&gt;NDC!$D$74,$B213&gt;NDC!$H$22-0.1+MIN(3*EA$12,1.5)),0,1)</f>
        <v>#N/A</v>
      </c>
      <c r="EB213" s="86" t="b">
        <f t="shared" si="357"/>
        <v>0</v>
      </c>
      <c r="EC213" s="418">
        <f t="shared" si="358"/>
        <v>0.51</v>
      </c>
      <c r="ED213" s="86">
        <f t="shared" si="359"/>
        <v>0.51</v>
      </c>
      <c r="EE213" s="30" t="e">
        <f t="shared" ca="1" si="392"/>
        <v>#DIV/0!</v>
      </c>
      <c r="EF213" s="85" t="e">
        <f ca="1">IF(DL213&lt;=Hypothèses!$V$7,Hypothèses!$W$7,IF(DL213&lt;=Hypothèses!$V$8,Hypothèses!$W$8,IF(DL213&lt;=Hypothèses!$V$9,Hypothèses!$W$9,IF(DL213&lt;=Hypothèses!$V$10,Hypothèses!$W$10,IF(DL213&lt;=Hypothèses!$V$11,Hypothèses!$W$11,IF(DL213&lt;=Hypothèses!$V$12,Hypothèses!$W$12,IF(DL213&lt;=Hypothèses!$V$13,Hypothèses!$W$13,IF(DL213&lt;=Hypothèses!$V$14,Hypothèses!$W$14,IF(DL213&lt;=Hypothèses!$V$15,Hypothèses!$W$15,IF(DL213&lt;=Hypothèses!$V$16,Hypothèses!$W$16,IF(DL213&lt;=Hypothèses!$V$17,Hypothèses!$W$17,IF(DL213&lt;=Hypothèses!$V$18,Hypothèses!$W$18,""))))))))))))</f>
        <v>#DIV/0!</v>
      </c>
      <c r="EG213" s="87" t="e">
        <f t="shared" ca="1" si="422"/>
        <v>#DIV/0!</v>
      </c>
      <c r="EH213" s="88" t="e">
        <f ca="1">IF(DL213&lt;=Hypothèses!$V$7,Hypothèses!$X$7,IF(DL213&lt;=Hypothèses!$V$8,Hypothèses!$X$8,IF(DL213&lt;=Hypothèses!$V$9,Hypothèses!$X$9,IF(DL213&lt;=Hypothèses!$V$10,Hypothèses!$X$10,IF(DL213&lt;=Hypothèses!$V$11,Hypothèses!$X$11,IF(DL213&lt;=Hypothèses!$V$12,Hypothèses!$X$12,IF(DL213&lt;=Hypothèses!$V$13,Hypothèses!$X$13,IF(DL213&lt;=Hypothèses!$V$14,Hypothèses!$X$14,IF(DL213&lt;=Hypothèses!$V$15,Hypothèses!$X$15,IF(DL213&lt;=Hypothèses!$V$16,Hypothèses!$X$16,IF(DL213&lt;=Hypothèses!$U$17,Hypothèses!$W$17,IF(DL213&lt;=Hypothèses!$U$18,Hypothèses!$W$18,""))))))))))))</f>
        <v>#DIV/0!</v>
      </c>
      <c r="EI213" s="95" t="e">
        <f t="shared" ca="1" si="393"/>
        <v>#DIV/0!</v>
      </c>
      <c r="EJ213" s="101">
        <f t="shared" si="429"/>
        <v>0</v>
      </c>
      <c r="EK213" s="91">
        <f t="shared" si="360"/>
        <v>0</v>
      </c>
      <c r="EL213" s="30" t="e">
        <f t="shared" si="412"/>
        <v>#N/A</v>
      </c>
      <c r="EM213" s="30" t="e">
        <f t="shared" si="413"/>
        <v>#N/A</v>
      </c>
      <c r="EN213" s="31" t="e">
        <f>IF(OR(Hypothèses!$B$4=17,Hypothèses!$B$4=18,Hypothèses!$B$4=19,Hypothèses!$B$4=20),
IF($D213="Pressio.",
IF(OR($E213=3,$E213=1,$E213=4),EM213,EL213),
IF($D213="Pénétro.",
IF(OR($E213=3,$E213=1,$E213=4),EM213,EL213))),IF($D213="Pressio.",
IF($E213=3,EM213,EL213),
IF($D213="Pénétro.",
IF($E213=4,EM213,EL213))))</f>
        <v>#N/A</v>
      </c>
      <c r="EO213" s="31">
        <v>0</v>
      </c>
      <c r="EP213" s="102" t="e">
        <f>IF(NDC!$H$10="Oui",(VLOOKUP($B$3,'Coeff EC7'!$T$39:$X$59,2,0)*EN213+VLOOKUP($B$3,'Coeff EC7'!$T$65:$X$85,2,0)*Model0.1T!EO213)/1.5,PI()*EL$12*$Q213*($B213-$B212)*0.15/10+EP212)</f>
        <v>#N/A</v>
      </c>
      <c r="EQ213" s="102" t="e">
        <f>(VLOOKUP($B$3,'Coeff EC7'!$T$39:$X$59,3,0)*EN213+VLOOKUP($B$3,'Coeff EC7'!$T$65:$X$85,3,0)*Model0.1T!EO213)/1.1</f>
        <v>#N/A</v>
      </c>
      <c r="ER213" s="102" t="e">
        <f t="shared" si="394"/>
        <v>#N/A</v>
      </c>
      <c r="ES213" s="102" t="e">
        <f t="shared" si="395"/>
        <v>#N/A</v>
      </c>
      <c r="ET213" s="414" t="e">
        <f>IF(AND(EP213&gt;NDC!$C$63,EQ213&gt;NDC!$C$65,ER213&gt;NDC!$D$73,ES213&gt;NDC!$D$74,$B213&gt;NDC!$H$22-0.1+MIN(3*ET$12,1.5)),0,1)</f>
        <v>#N/A</v>
      </c>
      <c r="EU213" s="86" t="b">
        <f t="shared" si="361"/>
        <v>0</v>
      </c>
      <c r="EV213" s="86">
        <f t="shared" si="362"/>
        <v>0.61</v>
      </c>
      <c r="EW213" s="86">
        <f t="shared" si="363"/>
        <v>0.61</v>
      </c>
      <c r="EX213" s="30" t="e">
        <f t="shared" ca="1" si="396"/>
        <v>#DIV/0!</v>
      </c>
      <c r="EY213" s="85" t="e">
        <f ca="1">IF(EE213&lt;=Hypothèses!$V$7,Hypothèses!$W$7,IF(EE213&lt;=Hypothèses!$V$8,Hypothèses!$W$8,IF(EE213&lt;=Hypothèses!$V$9,Hypothèses!$W$9,IF(EE213&lt;=Hypothèses!$V$10,Hypothèses!$W$10,IF(EE213&lt;=Hypothèses!$V$11,Hypothèses!$W$11,IF(EE213&lt;=Hypothèses!$V$12,Hypothèses!$W$12,IF(EE213&lt;=Hypothèses!$V$13,Hypothèses!$W$13,IF(EE213&lt;=Hypothèses!$V$14,Hypothèses!$W$14,IF(EE213&lt;=Hypothèses!$V$15,Hypothèses!$W$15,IF(EE213&lt;=Hypothèses!$V$16,Hypothèses!$W$16,IF(EE213&lt;=Hypothèses!$V$17,Hypothèses!$W$17,IF(EE213&lt;=Hypothèses!$V$18,Hypothèses!$W$18,""))))))))))))</f>
        <v>#DIV/0!</v>
      </c>
      <c r="EZ213" s="87" t="e">
        <f t="shared" ca="1" si="423"/>
        <v>#DIV/0!</v>
      </c>
      <c r="FA213" s="88" t="e">
        <f ca="1">IF(EE213&lt;=Hypothèses!$V$7,Hypothèses!$X$7,IF(EE213&lt;=Hypothèses!$V$8,Hypothèses!$X$8,IF(EE213&lt;=Hypothèses!$V$9,Hypothèses!$X$9,IF(EE213&lt;=Hypothèses!$V$10,Hypothèses!$X$10,IF(EE213&lt;=Hypothèses!$V$11,Hypothèses!$X$11,IF(EE213&lt;=Hypothèses!$V$12,Hypothèses!$X$12,IF(EE213&lt;=Hypothèses!$V$13,Hypothèses!$X$13,IF(EE213&lt;=Hypothèses!$V$14,Hypothèses!$X$14,IF(EE213&lt;=Hypothèses!$V$15,Hypothèses!$X$15,IF(EE213&lt;=Hypothèses!$V$16,Hypothèses!$X$16,IF(EE213&lt;=Hypothèses!$U$17,Hypothèses!$W$17,IF(EE213&lt;=Hypothèses!$U$18,Hypothèses!$W$18,""))))))))))))</f>
        <v>#DIV/0!</v>
      </c>
      <c r="FB213" s="95" t="e">
        <f t="shared" ca="1" si="397"/>
        <v>#DIV/0!</v>
      </c>
      <c r="FC213" s="101">
        <f t="shared" si="430"/>
        <v>0</v>
      </c>
      <c r="FD213" s="91">
        <f t="shared" si="364"/>
        <v>0</v>
      </c>
      <c r="FE213" s="30" t="e">
        <f t="shared" si="414"/>
        <v>#N/A</v>
      </c>
      <c r="FF213" s="30" t="e">
        <f t="shared" si="415"/>
        <v>#N/A</v>
      </c>
      <c r="FG213" s="31" t="e">
        <f>IF(OR(Hypothèses!$B$4=17,Hypothèses!$B$4=18,Hypothèses!$B$4=19,Hypothèses!$B$4=20),
IF($D213="Pressio.",
IF(OR($E213=3,$E213=1,$E213=4),FF213,FE213),
IF($D213="Pénétro.",
IF(OR($E213=3,$E213=1,$E213=4),FF213,FE213))),IF($D213="Pressio.",
IF($E213=3,FF213,FE213),
IF($D213="Pénétro.",
IF($E213=4,FF213,FE213))))</f>
        <v>#N/A</v>
      </c>
      <c r="FH213" s="31">
        <v>0</v>
      </c>
      <c r="FI213" s="102" t="e">
        <f>IF(NDC!$H$10="Oui",(VLOOKUP($B$3,'Coeff EC7'!$T$39:$X$59,2,0)*FG213+VLOOKUP($B$3,'Coeff EC7'!$T$65:$X$85,2,0)*Model0.1T!FH213)/1.5,PI()*FE$12*$Q213*($B213-$B212)*0.15/10+FI212)</f>
        <v>#N/A</v>
      </c>
      <c r="FJ213" s="102" t="e">
        <f>(VLOOKUP($B$3,'Coeff EC7'!$T$39:$X$59,3,0)*FG213+VLOOKUP($B$3,'Coeff EC7'!$T$65:$X$85,3,0)*Model0.1T!FH213)/1.1</f>
        <v>#N/A</v>
      </c>
      <c r="FK213" s="102" t="e">
        <f t="shared" si="398"/>
        <v>#N/A</v>
      </c>
      <c r="FL213" s="102" t="e">
        <f t="shared" si="399"/>
        <v>#N/A</v>
      </c>
      <c r="FM213" s="414" t="e">
        <f>IF(AND(FI213&gt;NDC!$C$63,FJ213&gt;NDC!$C$65,FK213&gt;NDC!$D$73,FL213&gt;NDC!$D$74,$B213&gt;NDC!$H$22-0.1+MIN(3*FM$12,1.5)),0,1)</f>
        <v>#N/A</v>
      </c>
    </row>
    <row r="214" spans="1:169">
      <c r="A214" s="96">
        <f t="shared" si="365"/>
        <v>79.900000000001143</v>
      </c>
      <c r="B214" s="97">
        <v>20.100000000000001</v>
      </c>
      <c r="C214" s="81">
        <f>IF(B214&lt;=Hypothèses!$C$7,Hypothèses!$A$7,IF(B214&lt;=Hypothèses!$C$8,Hypothèses!$A$8,IF(B214&lt;=Hypothèses!$C$9,Hypothèses!$A$9,IF(B214&lt;=Hypothèses!$C$10,Hypothèses!$A$10,IF(B214&lt;=Hypothèses!$C$11,Hypothèses!$A$11,IF(B214&lt;=Hypothèses!$C$12,Hypothèses!$A$12,IF(B214&lt;=Hypothèses!$C$13,Hypothèses!$A$13,IF(B214&lt;=Hypothèses!$C$14,Hypothèses!$A$14,IF(B214&lt;=Hypothèses!$C$15,Hypothèses!$A$15,IF(B214&lt;=Hypothèses!$C$16,Hypothèses!$A$16,IF(B214&lt;=Hypothèses!$C$17,Hypothèses!$A$17,IF(B214&lt;=Hypothèses!$C$18,Hypothèses!$A$18,C213))))))))))))</f>
        <v>11</v>
      </c>
      <c r="D214" s="82" t="str">
        <f>IF(B214&lt;=Hypothèses!$C$7,Hypothèses!$R$7,IF(B214&lt;=Hypothèses!$C$8,Hypothèses!$R$8,IF(B214&lt;=Hypothèses!$C$9,Hypothèses!$R$9,IF(B214&lt;=Hypothèses!$C$10,Hypothèses!$R$10,IF(B214&lt;=Hypothèses!$C$11,Hypothèses!$R$11,IF(B214&lt;=Hypothèses!$C$12,Hypothèses!$R$12,IF(B214&lt;=Hypothèses!$C$13,Hypothèses!$R$13,IF(B214&lt;=Hypothèses!$C$14,Hypothèses!$R$14,IF(B214&lt;=Hypothèses!$C$15,Hypothèses!$R$15,IF(B214&lt;=Hypothèses!$C$16,Hypothèses!$R$16,IF(B214&lt;=Hypothèses!$C$17,Hypothèses!$R$17,IF(B214&lt;=Hypothèses!$C$18,Hypothèses!$R$18,D213))))))))))))</f>
        <v>Pressio.</v>
      </c>
      <c r="E214" s="82" t="e">
        <f>IF(B214&lt;=Hypothèses!$C$7,Hypothèses!$G$7,IF(B214&lt;=Hypothèses!$C$8,Hypothèses!$G$8,IF(B214&lt;=Hypothèses!$C$9,Hypothèses!$G$9,IF(B214&lt;=Hypothèses!$C$10,Hypothèses!$G$10,IF(B214&lt;=Hypothèses!$C$11,Hypothèses!$G$11,IF(B214&lt;=Hypothèses!$C$12,Hypothèses!$G$12,IF(B214&lt;=Hypothèses!$C$13,Hypothèses!$G$13,IF(B214&lt;=Hypothèses!$C$14,Hypothèses!$G$14,IF(B214&lt;=Hypothèses!$C$15,Hypothèses!$G$15,IF(B214&lt;=Hypothèses!$C$16,Hypothèses!$G$16,IF(B214&lt;=Hypothèses!$C$17,Hypothèses!$G$17,IF(B214&lt;=Hypothèses!$C$18,Hypothèses!$G$18,E213))))))))))))</f>
        <v>#N/A</v>
      </c>
      <c r="F214" s="82" t="str">
        <f>IF(B214&lt;=Hypothèses!$C$7,Hypothèses!$F$7,IF(B214&lt;=Hypothèses!$C$8,Hypothèses!$F$8,IF(B214&lt;=Hypothèses!$C$9,Hypothèses!$F$9,IF(B214&lt;=Hypothèses!$C$10,Hypothèses!$F$10,IF(B214&lt;=Hypothèses!$C$11,Hypothèses!$F$11,IF(B214&lt;=Hypothèses!$C$12,Hypothèses!$F$12,IF(B214&lt;=Hypothèses!$C$13,Hypothèses!$F$13,IF(B214&lt;=Hypothèses!$C$14,Hypothèses!$F$14,IF(B214&lt;=Hypothèses!$C$15,Hypothèses!$F$15,IF(B214&lt;=Hypothèses!$C$16,Hypothèses!$F$16,IF(B214&lt;=Hypothèses!$C$17,Hypothèses!$F$17,IF(B214&lt;=Hypothèses!$C$18,Hypothèses!$F$18,F213))))))))))))</f>
        <v/>
      </c>
      <c r="G214" s="91">
        <f t="array" ref="G214">INDEX('Coeff EC7'!$U$7:$X$27,
MATCH(Model0.1T!$B$3,'Coeff EC7'!$T$7:$T$27,0),
MATCH(Model0.1T!$D214&amp;Model0.1T!$B$4,
'Coeff EC7'!$U$6:$X$6&amp;
'Coeff EC7'!$U$5:$X$5,0))</f>
        <v>1.4</v>
      </c>
      <c r="H214" s="91">
        <f t="array" ref="H214">INDEX('Coeff EC7'!$Y$7:$AB$27,
MATCH(Model0.1T!$B$3,'Coeff EC7'!$T$7:$T$27,0),
MATCH(Model0.1T!$D214&amp;Model0.1T!$B$4,
'Coeff EC7'!$Y$6:$AB$6&amp;
'Coeff EC7'!$Y$5:$AB$5,0))</f>
        <v>1.7</v>
      </c>
      <c r="I214" s="83">
        <v>0</v>
      </c>
      <c r="J214" s="91" t="e">
        <f t="array" ref="J214">INDEX('Coeff EC7'!$D$33:$Q$33,1,MATCH(D214&amp;E214,'Coeff EC7'!$D$31:$Q$31&amp;'Coeff EC7'!$D$32:$Q$32,0))</f>
        <v>#N/A</v>
      </c>
      <c r="K214" s="91" t="e">
        <f t="array" ref="K214">INDEX('Coeff EC7'!$D$34:$Q$34,1,MATCH(D214&amp;E214,'Coeff EC7'!$D$31:$Q$31&amp;'Coeff EC7'!$D$32:$Q$32,0))</f>
        <v>#N/A</v>
      </c>
      <c r="L214" s="91" t="e">
        <f t="array" ref="L214">INDEX('Coeff EC7'!$D$35:$Q$35,1,MATCH(D214&amp;E214,'Coeff EC7'!$D$31:$Q$31&amp;'Coeff EC7'!$D$32:$Q$32,0))</f>
        <v>#N/A</v>
      </c>
      <c r="M214" s="98" t="e">
        <f t="shared" si="331"/>
        <v>#N/A</v>
      </c>
      <c r="N214" s="99" t="e">
        <f t="array" ref="N214">INDEX('Coeff EC7'!$D$7:$Q$27,MATCH($B$3,'Coeff EC7'!$C$7:$C$27,0),MATCH(D214&amp;E214,'Coeff EC7'!$D$5:$Q$5&amp;'Coeff EC7'!$D$6:$Q$6,0))</f>
        <v>#N/A</v>
      </c>
      <c r="O214" s="99" t="e">
        <f t="array" ref="O214">INDEX('Coeff EC7'!$D$41:$Q$61,MATCH($B$3,'Coeff EC7'!$C$41:$C$61,0),MATCH(D214&amp;E214,'Coeff EC7'!$D$39:$Q$39&amp;'Coeff EC7'!$D$40:$Q$40,0))</f>
        <v>#N/A</v>
      </c>
      <c r="P214" s="30" t="e">
        <f t="shared" si="366"/>
        <v>#N/A</v>
      </c>
      <c r="Q214" s="100" t="e">
        <f t="shared" si="333"/>
        <v>#N/A</v>
      </c>
      <c r="R214" s="86" t="b">
        <f t="shared" si="334"/>
        <v>0</v>
      </c>
      <c r="S214" s="86">
        <f t="shared" si="332"/>
        <v>0.5</v>
      </c>
      <c r="T214" s="86">
        <f t="shared" si="335"/>
        <v>0.5</v>
      </c>
      <c r="U214" s="30" t="e">
        <f t="shared" ca="1" si="367"/>
        <v>#DIV/0!</v>
      </c>
      <c r="V214" s="85" t="str">
        <f>IF(B214&lt;=Hypothèses!$V$7,Hypothèses!$W$7,IF(B214&lt;=Hypothèses!$V$8,Hypothèses!$W$8,IF(B214&lt;=Hypothèses!$V$9,Hypothèses!$W$9,IF(B214&lt;=Hypothèses!$V$10,Hypothèses!$W$10,IF(B214&lt;=Hypothèses!$V$11,Hypothèses!$W$11,IF(B214&lt;=Hypothèses!$V$12,Hypothèses!$W$12,IF(B214&lt;=Hypothèses!$V$13,Hypothèses!$W$13,IF(B214&lt;=Hypothèses!$V$14,Hypothèses!$W$14,IF(B214&lt;=Hypothèses!$V$15,Hypothèses!$W$15,IF(B214&lt;=Hypothèses!$V$16,Hypothèses!$W$16,IF(B214&lt;=Hypothèses!$V$17,Hypothèses!$W$17,IF(B214&lt;=Hypothèses!$V$18,Hypothèses!$W$18,""))))))))))))</f>
        <v/>
      </c>
      <c r="W214" s="87" t="e">
        <f t="shared" ca="1" si="416"/>
        <v>#DIV/0!</v>
      </c>
      <c r="X214" s="88" t="str">
        <f>IF(B214&lt;=Hypothèses!$V$7,Hypothèses!$X$7,IF(B214&lt;=Hypothèses!$V$8,Hypothèses!$X$8,IF(B214&lt;=Hypothèses!$V$9,Hypothèses!$X$9,IF(B214&lt;=Hypothèses!$V$10,Hypothèses!$X$10,IF(B214&lt;=Hypothèses!$V$11,Hypothèses!$X$11,IF(B214&lt;=Hypothèses!$V$12,Hypothèses!$X$12,IF(B214&lt;=Hypothèses!$V$13,Hypothèses!$X$13,IF(B214&lt;=Hypothèses!$V$14,Hypothèses!$X$14,IF(B214&lt;=Hypothèses!$V$15,Hypothèses!$X$15,IF(B214&lt;=Hypothèses!$V$16,Hypothèses!$X$16,IF(B214&lt;=Hypothèses!$U$17,Hypothèses!$W$17,IF(B214&lt;=Hypothèses!$U$18,Hypothèses!$W$18,""))))))))))))</f>
        <v/>
      </c>
      <c r="Y214" s="95" t="e">
        <f t="shared" ca="1" si="336"/>
        <v>#DIV/0!</v>
      </c>
      <c r="Z214" s="101">
        <f t="shared" si="337"/>
        <v>0</v>
      </c>
      <c r="AA214" s="91">
        <f t="shared" si="338"/>
        <v>0</v>
      </c>
      <c r="AB214" s="30" t="e">
        <f t="shared" si="400"/>
        <v>#N/A</v>
      </c>
      <c r="AC214" s="30" t="e">
        <f t="shared" si="401"/>
        <v>#N/A</v>
      </c>
      <c r="AD214" s="31" t="e">
        <f>IF(OR(Hypothèses!$B$4=17,Hypothèses!$B$4=18,Hypothèses!$B$4=19,Hypothèses!$B$4=20),
IF($D214="Pressio.",
IF(OR($E214=3,$E214=1,$E214=4),AC214,AB214),
IF($D214="Pénétro.",
IF(OR($E214=3,$E214=1,$E214=4),AC214,AB214))),IF($D214="Pressio.",
IF($E214=3,AC214,AB214),
IF($D214="Pénétro.",
IF($E214=4,AC214,AB214))))</f>
        <v>#N/A</v>
      </c>
      <c r="AE214" s="31">
        <v>0</v>
      </c>
      <c r="AF214" s="102" t="e">
        <f>IF(NDC!$H$10="Oui",(VLOOKUP($B$3,'Coeff EC7'!$T$39:$X$59,2,0)*AD214+VLOOKUP($B$3,'Coeff EC7'!$T$65:$X$85,2,0)*Model0.1T!AE214)/1.5,PI()*AB$12*$Q214*($B214-$B213)*0.15/10+AF213)</f>
        <v>#N/A</v>
      </c>
      <c r="AG214" s="102" t="e">
        <f>(VLOOKUP($B$3,'Coeff EC7'!$T$39:$X$59,3,0)*AD214+VLOOKUP($B$3,'Coeff EC7'!$T$65:$X$85,3,0)*Model0.1T!AE214)/1.1</f>
        <v>#N/A</v>
      </c>
      <c r="AH214" s="102" t="e">
        <f t="shared" si="368"/>
        <v>#N/A</v>
      </c>
      <c r="AI214" s="102" t="e">
        <f t="shared" si="369"/>
        <v>#N/A</v>
      </c>
      <c r="AJ214" s="414" t="e">
        <f>IF(AND(AF214&gt;NDC!$C$63,AG214&gt;NDC!$C$65,AH214&gt;NDC!$D$73,AI214&gt;NDC!$D$74,$B214&gt;NDC!$H$22-0.1+MIN(3*$AJ$12,1.5)),0,1)</f>
        <v>#N/A</v>
      </c>
      <c r="AK214" s="86" t="b">
        <f t="shared" si="339"/>
        <v>0</v>
      </c>
      <c r="AL214" s="86">
        <f t="shared" si="370"/>
        <v>0.5</v>
      </c>
      <c r="AM214" s="86">
        <f t="shared" si="340"/>
        <v>0.5</v>
      </c>
      <c r="AN214" s="30" t="e">
        <f t="shared" ca="1" si="371"/>
        <v>#DIV/0!</v>
      </c>
      <c r="AO214" s="85" t="e">
        <f ca="1">IF(U214&lt;=Hypothèses!$V$7,Hypothèses!$W$7,IF(U214&lt;=Hypothèses!$V$8,Hypothèses!$W$8,IF(U214&lt;=Hypothèses!$V$9,Hypothèses!$W$9,IF(U214&lt;=Hypothèses!$V$10,Hypothèses!$W$10,IF(U214&lt;=Hypothèses!$V$11,Hypothèses!$W$11,IF(U214&lt;=Hypothèses!$V$12,Hypothèses!$W$12,IF(U214&lt;=Hypothèses!$V$13,Hypothèses!$W$13,IF(U214&lt;=Hypothèses!$V$14,Hypothèses!$W$14,IF(U214&lt;=Hypothèses!$V$15,Hypothèses!$W$15,IF(U214&lt;=Hypothèses!$V$16,Hypothèses!$W$16,IF(U214&lt;=Hypothèses!$V$17,Hypothèses!$W$17,IF(U214&lt;=Hypothèses!$V$18,Hypothèses!$W$18,""))))))))))))</f>
        <v>#DIV/0!</v>
      </c>
      <c r="AP214" s="87" t="e">
        <f t="shared" ca="1" si="417"/>
        <v>#DIV/0!</v>
      </c>
      <c r="AQ214" s="88" t="e">
        <f ca="1">IF(U214&lt;=Hypothèses!$V$7,Hypothèses!$X$7,IF(U214&lt;=Hypothèses!$V$8,Hypothèses!$X$8,IF(U214&lt;=Hypothèses!$V$9,Hypothèses!$X$9,IF(U214&lt;=Hypothèses!$V$10,Hypothèses!$X$10,IF(U214&lt;=Hypothèses!$V$11,Hypothèses!$X$11,IF(U214&lt;=Hypothèses!$V$12,Hypothèses!$X$12,IF(U214&lt;=Hypothèses!$V$13,Hypothèses!$X$13,IF(U214&lt;=Hypothèses!$V$14,Hypothèses!$X$14,IF(U214&lt;=Hypothèses!$V$15,Hypothèses!$X$15,IF(U214&lt;=Hypothèses!$V$16,Hypothèses!$X$16,IF(U214&lt;=Hypothèses!$U$17,Hypothèses!$W$17,IF(U214&lt;=Hypothèses!$U$18,Hypothèses!$W$18,""))))))))))))</f>
        <v>#DIV/0!</v>
      </c>
      <c r="AR214" s="95" t="e">
        <f t="shared" ca="1" si="372"/>
        <v>#DIV/0!</v>
      </c>
      <c r="AS214" s="101">
        <f t="shared" si="424"/>
        <v>0</v>
      </c>
      <c r="AT214" s="91">
        <f t="shared" si="341"/>
        <v>0</v>
      </c>
      <c r="AU214" s="30" t="e">
        <f t="shared" si="402"/>
        <v>#N/A</v>
      </c>
      <c r="AV214" s="30" t="e">
        <f t="shared" si="403"/>
        <v>#N/A</v>
      </c>
      <c r="AW214" s="31" t="e">
        <f>IF(OR(Hypothèses!$B$4=17,Hypothèses!$B$4=18,Hypothèses!$B$4=19,Hypothèses!$B$4=20),
IF($D214="Pressio.",
IF(OR($E214=3,$E214=1,$E214=4),AV214,AU214),
IF($D214="Pénétro.",
IF(OR($E214=3,$E214=1,$E214=4),AV214,AU214))),IF($D214="Pressio.",
IF($E214=3,AV214,AU214),
IF($D214="Pénétro.",
IF($E214=4,AV214,AU214))))</f>
        <v>#N/A</v>
      </c>
      <c r="AX214" s="31">
        <v>0</v>
      </c>
      <c r="AY214" s="102" t="e">
        <f>IF(NDC!$H$10="Oui",(VLOOKUP($B$3,'Coeff EC7'!$T$39:$X$59,2,0)*AW214+VLOOKUP($B$3,'Coeff EC7'!$T$65:$X$85,2,0)*Model0.1T!AX214)/1.5,PI()*AU$12*$Q214*($B214-$B213)*0.15/10+AY213)</f>
        <v>#N/A</v>
      </c>
      <c r="AZ214" s="102" t="e">
        <f>(VLOOKUP($B$3,'Coeff EC7'!$T$39:$X$59,3,0)*AW214+VLOOKUP($B$3,'Coeff EC7'!$T$65:$X$85,3,0)*Model0.1T!AX214)/1.1</f>
        <v>#N/A</v>
      </c>
      <c r="BA214" s="102" t="e">
        <f t="shared" si="373"/>
        <v>#N/A</v>
      </c>
      <c r="BB214" s="102" t="e">
        <f t="shared" si="374"/>
        <v>#N/A</v>
      </c>
      <c r="BC214" s="414" t="e">
        <f>IF(AND(AY214&gt;NDC!$C$63,AZ214&gt;NDC!$C$65,BA214&gt;NDC!$D$73,BB214&gt;NDC!$D$74,$B214&gt;NDC!$H$22-0.1+MIN(3*BC$12,1.5)),0,1)</f>
        <v>#N/A</v>
      </c>
      <c r="BD214" s="86" t="b">
        <f t="shared" si="342"/>
        <v>0</v>
      </c>
      <c r="BE214" s="86">
        <f t="shared" si="375"/>
        <v>0.5</v>
      </c>
      <c r="BF214" s="86">
        <f t="shared" si="343"/>
        <v>0.5</v>
      </c>
      <c r="BG214" s="30" t="e">
        <f t="shared" ca="1" si="376"/>
        <v>#DIV/0!</v>
      </c>
      <c r="BH214" s="85" t="e">
        <f ca="1">IF(AN214&lt;=Hypothèses!$V$7,Hypothèses!$W$7,IF(AN214&lt;=Hypothèses!$V$8,Hypothèses!$W$8,IF(AN214&lt;=Hypothèses!$V$9,Hypothèses!$W$9,IF(AN214&lt;=Hypothèses!$V$10,Hypothèses!$W$10,IF(AN214&lt;=Hypothèses!$V$11,Hypothèses!$W$11,IF(AN214&lt;=Hypothèses!$V$12,Hypothèses!$W$12,IF(AN214&lt;=Hypothèses!$V$13,Hypothèses!$W$13,IF(AN214&lt;=Hypothèses!$V$14,Hypothèses!$W$14,IF(AN214&lt;=Hypothèses!$V$15,Hypothèses!$W$15,IF(AN214&lt;=Hypothèses!$V$16,Hypothèses!$W$16,IF(AN214&lt;=Hypothèses!$V$17,Hypothèses!$W$17,IF(AN214&lt;=Hypothèses!$V$18,Hypothèses!$W$18,""))))))))))))</f>
        <v>#DIV/0!</v>
      </c>
      <c r="BI214" s="87" t="e">
        <f t="shared" ca="1" si="418"/>
        <v>#DIV/0!</v>
      </c>
      <c r="BJ214" s="88" t="e">
        <f ca="1">IF(AN214&lt;=Hypothèses!$V$7,Hypothèses!$X$7,IF(AN214&lt;=Hypothèses!$V$8,Hypothèses!$X$8,IF(AN214&lt;=Hypothèses!$V$9,Hypothèses!$X$9,IF(AN214&lt;=Hypothèses!$V$10,Hypothèses!$X$10,IF(AN214&lt;=Hypothèses!$V$11,Hypothèses!$X$11,IF(AN214&lt;=Hypothèses!$V$12,Hypothèses!$X$12,IF(AN214&lt;=Hypothèses!$V$13,Hypothèses!$X$13,IF(AN214&lt;=Hypothèses!$V$14,Hypothèses!$X$14,IF(AN214&lt;=Hypothèses!$V$15,Hypothèses!$X$15,IF(AN214&lt;=Hypothèses!$V$16,Hypothèses!$X$16,IF(AN214&lt;=Hypothèses!$U$17,Hypothèses!$W$17,IF(AN214&lt;=Hypothèses!$U$18,Hypothèses!$W$18,""))))))))))))</f>
        <v>#DIV/0!</v>
      </c>
      <c r="BK214" s="95" t="e">
        <f t="shared" ca="1" si="377"/>
        <v>#DIV/0!</v>
      </c>
      <c r="BL214" s="101">
        <f t="shared" si="425"/>
        <v>0</v>
      </c>
      <c r="BM214" s="91">
        <f t="shared" si="344"/>
        <v>0</v>
      </c>
      <c r="BN214" s="30" t="e">
        <f t="shared" si="404"/>
        <v>#N/A</v>
      </c>
      <c r="BO214" s="30" t="e">
        <f t="shared" si="405"/>
        <v>#N/A</v>
      </c>
      <c r="BP214" s="31" t="e">
        <f>IF(OR(Hypothèses!$B$4=17,Hypothèses!$B$4=18,Hypothèses!$B$4=19,Hypothèses!$B$4=20),
IF($D214="Pressio.",
IF(OR($E214=3,$E214=1,$E214=4),BO214,BN214),
IF($D214="Pénétro.",
IF(OR($E214=3,$E214=1,$E214=4),BO214,BN214))),IF($D214="Pressio.",
IF($E214=3,BO214,BN214),
IF($D214="Pénétro.",
IF($E214=4,BO214,BN214))))</f>
        <v>#N/A</v>
      </c>
      <c r="BQ214" s="31">
        <v>0</v>
      </c>
      <c r="BR214" s="102" t="e">
        <f>IF(NDC!$H$10="Oui",(VLOOKUP($B$3,'Coeff EC7'!$T$39:$X$59,2,0)*BP214+VLOOKUP($B$3,'Coeff EC7'!$T$65:$X$85,2,0)*Model0.1T!BQ214)/1.5,PI()*BN$12*$Q214*($B214-$B213)*0.15/10+BR213)</f>
        <v>#N/A</v>
      </c>
      <c r="BS214" s="102" t="e">
        <f>(VLOOKUP($B$3,'Coeff EC7'!$T$39:$X$59,3,0)*BP214+VLOOKUP($B$3,'Coeff EC7'!$T$65:$X$85,3,0)*Model0.1T!BQ214)/1.1</f>
        <v>#N/A</v>
      </c>
      <c r="BT214" s="102" t="e">
        <f t="shared" si="378"/>
        <v>#N/A</v>
      </c>
      <c r="BU214" s="102" t="e">
        <f t="shared" si="379"/>
        <v>#N/A</v>
      </c>
      <c r="BV214" s="414" t="e">
        <f>IF(AND(BR214&gt;NDC!$C$63,BS214&gt;NDC!$C$65,BT214&gt;NDC!$D$73,BU214&gt;NDC!$D$74,$B214&gt;NDC!$H$22-0.1+MIN(3*BV$12,1.5)),0,1)</f>
        <v>#N/A</v>
      </c>
      <c r="BW214" s="86" t="b">
        <f t="shared" si="345"/>
        <v>0</v>
      </c>
      <c r="BX214" s="86">
        <f t="shared" si="346"/>
        <v>0.5</v>
      </c>
      <c r="BY214" s="86">
        <f t="shared" si="347"/>
        <v>0.5</v>
      </c>
      <c r="BZ214" s="30" t="e">
        <f t="shared" ca="1" si="380"/>
        <v>#DIV/0!</v>
      </c>
      <c r="CA214" s="85" t="e">
        <f ca="1">IF(BG214&lt;=Hypothèses!$V$7,Hypothèses!$W$7,IF(BG214&lt;=Hypothèses!$V$8,Hypothèses!$W$8,IF(BG214&lt;=Hypothèses!$V$9,Hypothèses!$W$9,IF(BG214&lt;=Hypothèses!$V$10,Hypothèses!$W$10,IF(BG214&lt;=Hypothèses!$V$11,Hypothèses!$W$11,IF(BG214&lt;=Hypothèses!$V$12,Hypothèses!$W$12,IF(BG214&lt;=Hypothèses!$V$13,Hypothèses!$W$13,IF(BG214&lt;=Hypothèses!$V$14,Hypothèses!$W$14,IF(BG214&lt;=Hypothèses!$V$15,Hypothèses!$W$15,IF(BG214&lt;=Hypothèses!$V$16,Hypothèses!$W$16,IF(BG214&lt;=Hypothèses!$V$17,Hypothèses!$W$17,IF(BG214&lt;=Hypothèses!$V$18,Hypothèses!$W$18,""))))))))))))</f>
        <v>#DIV/0!</v>
      </c>
      <c r="CB214" s="87" t="e">
        <f t="shared" ca="1" si="419"/>
        <v>#DIV/0!</v>
      </c>
      <c r="CC214" s="88" t="e">
        <f ca="1">IF(BG214&lt;=Hypothèses!$V$7,Hypothèses!$X$7,IF(BG214&lt;=Hypothèses!$V$8,Hypothèses!$X$8,IF(BG214&lt;=Hypothèses!$V$9,Hypothèses!$X$9,IF(BG214&lt;=Hypothèses!$V$10,Hypothèses!$X$10,IF(BG214&lt;=Hypothèses!$V$11,Hypothèses!$X$11,IF(BG214&lt;=Hypothèses!$V$12,Hypothèses!$X$12,IF(BG214&lt;=Hypothèses!$V$13,Hypothèses!$X$13,IF(BG214&lt;=Hypothèses!$V$14,Hypothèses!$X$14,IF(BG214&lt;=Hypothèses!$V$15,Hypothèses!$X$15,IF(BG214&lt;=Hypothèses!$V$16,Hypothèses!$X$16,IF(BG214&lt;=Hypothèses!$U$17,Hypothèses!$W$17,IF(BG214&lt;=Hypothèses!$U$18,Hypothèses!$W$18,""))))))))))))</f>
        <v>#DIV/0!</v>
      </c>
      <c r="CD214" s="95" t="e">
        <f t="shared" ca="1" si="381"/>
        <v>#DIV/0!</v>
      </c>
      <c r="CE214" s="101">
        <f t="shared" si="426"/>
        <v>0</v>
      </c>
      <c r="CF214" s="91">
        <f t="shared" si="348"/>
        <v>0</v>
      </c>
      <c r="CG214" s="30" t="e">
        <f t="shared" si="406"/>
        <v>#N/A</v>
      </c>
      <c r="CH214" s="30" t="e">
        <f t="shared" si="407"/>
        <v>#N/A</v>
      </c>
      <c r="CI214" s="31" t="e">
        <f>IF(OR(Hypothèses!$B$4=17,Hypothèses!$B$4=18,Hypothèses!$B$4=19,Hypothèses!$B$4=20),
IF($D214="Pressio.",
IF(OR($E214=3,$E214=1,$E214=4),CH214,CG214),
IF($D214="Pénétro.",
IF(OR($E214=3,$E214=1,$E214=4),CH214,CG214))),IF($D214="Pressio.",
IF($E214=3,CH214,CG214),
IF($D214="Pénétro.",
IF($E214=4,CH214,CG214))))</f>
        <v>#N/A</v>
      </c>
      <c r="CJ214" s="31">
        <v>0</v>
      </c>
      <c r="CK214" s="102" t="e">
        <f>IF(NDC!$H$10="Oui",(VLOOKUP($B$3,'Coeff EC7'!$T$39:$X$59,2,0)*CI214+VLOOKUP($B$3,'Coeff EC7'!$T$65:$X$85,2,0)*Model0.1T!CJ214)/1.5,PI()*CG$12*$Q214*($B214-$B213)*0.15/10+CK213)</f>
        <v>#N/A</v>
      </c>
      <c r="CL214" s="102" t="e">
        <f>(VLOOKUP($B$3,'Coeff EC7'!$T$39:$X$59,3,0)*CI214+VLOOKUP($B$3,'Coeff EC7'!$T$65:$X$85,3,0)*Model0.1T!CJ214)/1.1</f>
        <v>#N/A</v>
      </c>
      <c r="CM214" s="102" t="e">
        <f t="shared" si="382"/>
        <v>#N/A</v>
      </c>
      <c r="CN214" s="102" t="e">
        <f t="shared" si="383"/>
        <v>#N/A</v>
      </c>
      <c r="CO214" s="414" t="e">
        <f>IF(AND(CK214&gt;NDC!$C$63,CL214&gt;NDC!$C$65,CM214&gt;NDC!$D$73,CN214&gt;NDC!$D$74,$B214&gt;NDC!$H$22-0.1+MIN(3*CO$12,1.5)),0,1)</f>
        <v>#N/A</v>
      </c>
      <c r="CP214" s="86" t="b">
        <f t="shared" si="349"/>
        <v>0</v>
      </c>
      <c r="CQ214" s="86">
        <f t="shared" si="350"/>
        <v>0.5</v>
      </c>
      <c r="CR214" s="86">
        <f t="shared" si="351"/>
        <v>0.5</v>
      </c>
      <c r="CS214" s="30" t="e">
        <f t="shared" ca="1" si="384"/>
        <v>#DIV/0!</v>
      </c>
      <c r="CT214" s="85" t="e">
        <f ca="1">IF(BZ214&lt;=Hypothèses!$V$7,Hypothèses!$W$7,IF(BZ214&lt;=Hypothèses!$V$8,Hypothèses!$W$8,IF(BZ214&lt;=Hypothèses!$V$9,Hypothèses!$W$9,IF(BZ214&lt;=Hypothèses!$V$10,Hypothèses!$W$10,IF(BZ214&lt;=Hypothèses!$V$11,Hypothèses!$W$11,IF(BZ214&lt;=Hypothèses!$V$12,Hypothèses!$W$12,IF(BZ214&lt;=Hypothèses!$V$13,Hypothèses!$W$13,IF(BZ214&lt;=Hypothèses!$V$14,Hypothèses!$W$14,IF(BZ214&lt;=Hypothèses!$V$15,Hypothèses!$W$15,IF(BZ214&lt;=Hypothèses!$V$16,Hypothèses!$W$16,IF(BZ214&lt;=Hypothèses!$V$17,Hypothèses!$W$17,IF(BZ214&lt;=Hypothèses!$V$18,Hypothèses!$W$18,""))))))))))))</f>
        <v>#DIV/0!</v>
      </c>
      <c r="CU214" s="87" t="e">
        <f t="shared" ca="1" si="420"/>
        <v>#DIV/0!</v>
      </c>
      <c r="CV214" s="88" t="e">
        <f ca="1">IF(BZ214&lt;=Hypothèses!$V$7,Hypothèses!$X$7,IF(BZ214&lt;=Hypothèses!$V$8,Hypothèses!$X$8,IF(BZ214&lt;=Hypothèses!$V$9,Hypothèses!$X$9,IF(BZ214&lt;=Hypothèses!$V$10,Hypothèses!$X$10,IF(BZ214&lt;=Hypothèses!$V$11,Hypothèses!$X$11,IF(BZ214&lt;=Hypothèses!$V$12,Hypothèses!$X$12,IF(BZ214&lt;=Hypothèses!$V$13,Hypothèses!$X$13,IF(BZ214&lt;=Hypothèses!$V$14,Hypothèses!$X$14,IF(BZ214&lt;=Hypothèses!$V$15,Hypothèses!$X$15,IF(BZ214&lt;=Hypothèses!$V$16,Hypothèses!$X$16,IF(BZ214&lt;=Hypothèses!$U$17,Hypothèses!$W$17,IF(BZ214&lt;=Hypothèses!$U$18,Hypothèses!$W$18,""))))))))))))</f>
        <v>#DIV/0!</v>
      </c>
      <c r="CW214" s="95" t="e">
        <f t="shared" ca="1" si="385"/>
        <v>#DIV/0!</v>
      </c>
      <c r="CX214" s="101">
        <f t="shared" si="427"/>
        <v>0</v>
      </c>
      <c r="CY214" s="91">
        <f t="shared" si="352"/>
        <v>0</v>
      </c>
      <c r="CZ214" s="30" t="e">
        <f t="shared" si="408"/>
        <v>#N/A</v>
      </c>
      <c r="DA214" s="30" t="e">
        <f t="shared" si="409"/>
        <v>#N/A</v>
      </c>
      <c r="DB214" s="31" t="e">
        <f>IF(OR(Hypothèses!$B$4=17,Hypothèses!$B$4=18,Hypothèses!$B$4=19,Hypothèses!$B$4=20),
IF($D214="Pressio.",
IF(OR($E214=3,$E214=1,$E214=4),DA214,CZ214),
IF($D214="Pénétro.",
IF(OR($E214=3,$E214=1,$E214=4),DA214,CZ214))),IF($D214="Pressio.",
IF($E214=3,DA214,CZ214),
IF($D214="Pénétro.",
IF($E214=4,DA214,CZ214))))</f>
        <v>#N/A</v>
      </c>
      <c r="DC214" s="31">
        <v>0</v>
      </c>
      <c r="DD214" s="102" t="e">
        <f>IF(NDC!$H$10="Oui",(VLOOKUP($B$3,'Coeff EC7'!$T$39:$X$59,2,0)*DB214+VLOOKUP($B$3,'Coeff EC7'!$T$65:$X$85,2,0)*Model0.1T!DC214)/1.5,PI()*CZ$12*$Q214*($B214-$B213)*0.15/10+DD213)</f>
        <v>#N/A</v>
      </c>
      <c r="DE214" s="102" t="e">
        <f>(VLOOKUP($B$3,'Coeff EC7'!$T$39:$X$59,3,0)*DB214+VLOOKUP($B$3,'Coeff EC7'!$T$65:$X$85,3,0)*Model0.1T!DC214)/1.1</f>
        <v>#N/A</v>
      </c>
      <c r="DF214" s="102" t="e">
        <f t="shared" si="386"/>
        <v>#N/A</v>
      </c>
      <c r="DG214" s="102" t="e">
        <f t="shared" si="387"/>
        <v>#N/A</v>
      </c>
      <c r="DH214" s="414" t="e">
        <f>IF(AND(DD214&gt;NDC!$C$63,DE214&gt;NDC!$C$65,DF214&gt;NDC!$D$73,DG214&gt;NDC!$D$74,$B214&gt;NDC!$H$22-0.1+MIN(3*DH$12,1.5)),0,1)</f>
        <v>#N/A</v>
      </c>
      <c r="DI214" s="86" t="b">
        <f t="shared" si="353"/>
        <v>0</v>
      </c>
      <c r="DJ214" s="86">
        <f t="shared" si="354"/>
        <v>0.5</v>
      </c>
      <c r="DK214" s="86">
        <f t="shared" si="355"/>
        <v>0.5</v>
      </c>
      <c r="DL214" s="30" t="e">
        <f t="shared" ca="1" si="388"/>
        <v>#DIV/0!</v>
      </c>
      <c r="DM214" s="85" t="e">
        <f ca="1">IF(CS214&lt;=Hypothèses!$V$7,Hypothèses!$W$7,IF(CS214&lt;=Hypothèses!$V$8,Hypothèses!$W$8,IF(CS214&lt;=Hypothèses!$V$9,Hypothèses!$W$9,IF(CS214&lt;=Hypothèses!$V$10,Hypothèses!$W$10,IF(CS214&lt;=Hypothèses!$V$11,Hypothèses!$W$11,IF(CS214&lt;=Hypothèses!$V$12,Hypothèses!$W$12,IF(CS214&lt;=Hypothèses!$V$13,Hypothèses!$W$13,IF(CS214&lt;=Hypothèses!$V$14,Hypothèses!$W$14,IF(CS214&lt;=Hypothèses!$V$15,Hypothèses!$W$15,IF(CS214&lt;=Hypothèses!$V$16,Hypothèses!$W$16,IF(CS214&lt;=Hypothèses!$V$17,Hypothèses!$W$17,IF(CS214&lt;=Hypothèses!$V$18,Hypothèses!$W$18,""))))))))))))</f>
        <v>#DIV/0!</v>
      </c>
      <c r="DN214" s="87" t="e">
        <f t="shared" ca="1" si="421"/>
        <v>#DIV/0!</v>
      </c>
      <c r="DO214" s="88" t="e">
        <f ca="1">IF(CS214&lt;=Hypothèses!$V$7,Hypothèses!$X$7,IF(CS214&lt;=Hypothèses!$V$8,Hypothèses!$X$8,IF(CS214&lt;=Hypothèses!$V$9,Hypothèses!$X$9,IF(CS214&lt;=Hypothèses!$V$10,Hypothèses!$X$10,IF(CS214&lt;=Hypothèses!$V$11,Hypothèses!$X$11,IF(CS214&lt;=Hypothèses!$V$12,Hypothèses!$X$12,IF(CS214&lt;=Hypothèses!$V$13,Hypothèses!$X$13,IF(CS214&lt;=Hypothèses!$V$14,Hypothèses!$X$14,IF(CS214&lt;=Hypothèses!$V$15,Hypothèses!$X$15,IF(CS214&lt;=Hypothèses!$V$16,Hypothèses!$X$16,IF(CS214&lt;=Hypothèses!$U$17,Hypothèses!$W$17,IF(CS214&lt;=Hypothèses!$U$18,Hypothèses!$W$18,""))))))))))))</f>
        <v>#DIV/0!</v>
      </c>
      <c r="DP214" s="95" t="e">
        <f t="shared" ca="1" si="389"/>
        <v>#DIV/0!</v>
      </c>
      <c r="DQ214" s="101">
        <f t="shared" si="428"/>
        <v>0</v>
      </c>
      <c r="DR214" s="91">
        <f t="shared" si="356"/>
        <v>0</v>
      </c>
      <c r="DS214" s="30" t="e">
        <f t="shared" si="410"/>
        <v>#N/A</v>
      </c>
      <c r="DT214" s="30" t="e">
        <f t="shared" si="411"/>
        <v>#N/A</v>
      </c>
      <c r="DU214" s="31" t="e">
        <f>IF(OR(Hypothèses!$B$4=17,Hypothèses!$B$4=18,Hypothèses!$B$4=19,Hypothèses!$B$4=20),
IF($D214="Pressio.",
IF(OR($E214=3,$E214=1,$E214=4),DT214,DS214),
IF($D214="Pénétro.",
IF(OR($E214=3,$E214=1,$E214=4),DT214,DS214))),IF($D214="Pressio.",
IF($E214=3,DT214,DS214),
IF($D214="Pénétro.",
IF($E214=4,DT214,DS214))))</f>
        <v>#N/A</v>
      </c>
      <c r="DV214" s="31">
        <v>0</v>
      </c>
      <c r="DW214" s="102" t="e">
        <f>IF(NDC!$H$10="Oui",(VLOOKUP($B$3,'Coeff EC7'!$T$39:$X$59,2,0)*DU214+VLOOKUP($B$3,'Coeff EC7'!$T$65:$X$85,2,0)*Model0.1T!DV214)/1.5,PI()*DS$12*$Q214*($B214-$B213)*0.15/10+DW213)</f>
        <v>#N/A</v>
      </c>
      <c r="DX214" s="102" t="e">
        <f>(VLOOKUP($B$3,'Coeff EC7'!$T$39:$X$59,3,0)*DU214+VLOOKUP($B$3,'Coeff EC7'!$T$65:$X$85,3,0)*Model0.1T!DV214)/1.1</f>
        <v>#N/A</v>
      </c>
      <c r="DY214" s="102" t="e">
        <f t="shared" si="390"/>
        <v>#N/A</v>
      </c>
      <c r="DZ214" s="102" t="e">
        <f t="shared" si="391"/>
        <v>#N/A</v>
      </c>
      <c r="EA214" s="414" t="e">
        <f>IF(AND(DW214&gt;NDC!$C$63,DX214&gt;NDC!$C$65,DY214&gt;NDC!$D$73,DZ214&gt;NDC!$D$74,$B214&gt;NDC!$H$22-0.1+MIN(3*EA$12,1.5)),0,1)</f>
        <v>#N/A</v>
      </c>
      <c r="EB214" s="86" t="b">
        <f t="shared" si="357"/>
        <v>0</v>
      </c>
      <c r="EC214" s="418">
        <f t="shared" si="358"/>
        <v>0.51</v>
      </c>
      <c r="ED214" s="86">
        <f t="shared" si="359"/>
        <v>0.51</v>
      </c>
      <c r="EE214" s="30" t="e">
        <f t="shared" ca="1" si="392"/>
        <v>#DIV/0!</v>
      </c>
      <c r="EF214" s="85" t="e">
        <f ca="1">IF(DL214&lt;=Hypothèses!$V$7,Hypothèses!$W$7,IF(DL214&lt;=Hypothèses!$V$8,Hypothèses!$W$8,IF(DL214&lt;=Hypothèses!$V$9,Hypothèses!$W$9,IF(DL214&lt;=Hypothèses!$V$10,Hypothèses!$W$10,IF(DL214&lt;=Hypothèses!$V$11,Hypothèses!$W$11,IF(DL214&lt;=Hypothèses!$V$12,Hypothèses!$W$12,IF(DL214&lt;=Hypothèses!$V$13,Hypothèses!$W$13,IF(DL214&lt;=Hypothèses!$V$14,Hypothèses!$W$14,IF(DL214&lt;=Hypothèses!$V$15,Hypothèses!$W$15,IF(DL214&lt;=Hypothèses!$V$16,Hypothèses!$W$16,IF(DL214&lt;=Hypothèses!$V$17,Hypothèses!$W$17,IF(DL214&lt;=Hypothèses!$V$18,Hypothèses!$W$18,""))))))))))))</f>
        <v>#DIV/0!</v>
      </c>
      <c r="EG214" s="87" t="e">
        <f t="shared" ca="1" si="422"/>
        <v>#DIV/0!</v>
      </c>
      <c r="EH214" s="88" t="e">
        <f ca="1">IF(DL214&lt;=Hypothèses!$V$7,Hypothèses!$X$7,IF(DL214&lt;=Hypothèses!$V$8,Hypothèses!$X$8,IF(DL214&lt;=Hypothèses!$V$9,Hypothèses!$X$9,IF(DL214&lt;=Hypothèses!$V$10,Hypothèses!$X$10,IF(DL214&lt;=Hypothèses!$V$11,Hypothèses!$X$11,IF(DL214&lt;=Hypothèses!$V$12,Hypothèses!$X$12,IF(DL214&lt;=Hypothèses!$V$13,Hypothèses!$X$13,IF(DL214&lt;=Hypothèses!$V$14,Hypothèses!$X$14,IF(DL214&lt;=Hypothèses!$V$15,Hypothèses!$X$15,IF(DL214&lt;=Hypothèses!$V$16,Hypothèses!$X$16,IF(DL214&lt;=Hypothèses!$U$17,Hypothèses!$W$17,IF(DL214&lt;=Hypothèses!$U$18,Hypothèses!$W$18,""))))))))))))</f>
        <v>#DIV/0!</v>
      </c>
      <c r="EI214" s="95" t="e">
        <f t="shared" ca="1" si="393"/>
        <v>#DIV/0!</v>
      </c>
      <c r="EJ214" s="101">
        <f t="shared" si="429"/>
        <v>0</v>
      </c>
      <c r="EK214" s="91">
        <f t="shared" si="360"/>
        <v>0</v>
      </c>
      <c r="EL214" s="30" t="e">
        <f t="shared" si="412"/>
        <v>#N/A</v>
      </c>
      <c r="EM214" s="30" t="e">
        <f t="shared" si="413"/>
        <v>#N/A</v>
      </c>
      <c r="EN214" s="31" t="e">
        <f>IF(OR(Hypothèses!$B$4=17,Hypothèses!$B$4=18,Hypothèses!$B$4=19,Hypothèses!$B$4=20),
IF($D214="Pressio.",
IF(OR($E214=3,$E214=1,$E214=4),EM214,EL214),
IF($D214="Pénétro.",
IF(OR($E214=3,$E214=1,$E214=4),EM214,EL214))),IF($D214="Pressio.",
IF($E214=3,EM214,EL214),
IF($D214="Pénétro.",
IF($E214=4,EM214,EL214))))</f>
        <v>#N/A</v>
      </c>
      <c r="EO214" s="31">
        <v>0</v>
      </c>
      <c r="EP214" s="102" t="e">
        <f>IF(NDC!$H$10="Oui",(VLOOKUP($B$3,'Coeff EC7'!$T$39:$X$59,2,0)*EN214+VLOOKUP($B$3,'Coeff EC7'!$T$65:$X$85,2,0)*Model0.1T!EO214)/1.5,PI()*EL$12*$Q214*($B214-$B213)*0.15/10+EP213)</f>
        <v>#N/A</v>
      </c>
      <c r="EQ214" s="102" t="e">
        <f>(VLOOKUP($B$3,'Coeff EC7'!$T$39:$X$59,3,0)*EN214+VLOOKUP($B$3,'Coeff EC7'!$T$65:$X$85,3,0)*Model0.1T!EO214)/1.1</f>
        <v>#N/A</v>
      </c>
      <c r="ER214" s="102" t="e">
        <f t="shared" si="394"/>
        <v>#N/A</v>
      </c>
      <c r="ES214" s="102" t="e">
        <f t="shared" si="395"/>
        <v>#N/A</v>
      </c>
      <c r="ET214" s="414" t="e">
        <f>IF(AND(EP214&gt;NDC!$C$63,EQ214&gt;NDC!$C$65,ER214&gt;NDC!$D$73,ES214&gt;NDC!$D$74,$B214&gt;NDC!$H$22-0.1+MIN(3*ET$12,1.5)),0,1)</f>
        <v>#N/A</v>
      </c>
      <c r="EU214" s="86" t="b">
        <f t="shared" si="361"/>
        <v>0</v>
      </c>
      <c r="EV214" s="86">
        <f t="shared" si="362"/>
        <v>0.61</v>
      </c>
      <c r="EW214" s="86">
        <f t="shared" si="363"/>
        <v>0.61</v>
      </c>
      <c r="EX214" s="30" t="e">
        <f t="shared" ca="1" si="396"/>
        <v>#DIV/0!</v>
      </c>
      <c r="EY214" s="85" t="e">
        <f ca="1">IF(EE214&lt;=Hypothèses!$V$7,Hypothèses!$W$7,IF(EE214&lt;=Hypothèses!$V$8,Hypothèses!$W$8,IF(EE214&lt;=Hypothèses!$V$9,Hypothèses!$W$9,IF(EE214&lt;=Hypothèses!$V$10,Hypothèses!$W$10,IF(EE214&lt;=Hypothèses!$V$11,Hypothèses!$W$11,IF(EE214&lt;=Hypothèses!$V$12,Hypothèses!$W$12,IF(EE214&lt;=Hypothèses!$V$13,Hypothèses!$W$13,IF(EE214&lt;=Hypothèses!$V$14,Hypothèses!$W$14,IF(EE214&lt;=Hypothèses!$V$15,Hypothèses!$W$15,IF(EE214&lt;=Hypothèses!$V$16,Hypothèses!$W$16,IF(EE214&lt;=Hypothèses!$V$17,Hypothèses!$W$17,IF(EE214&lt;=Hypothèses!$V$18,Hypothèses!$W$18,""))))))))))))</f>
        <v>#DIV/0!</v>
      </c>
      <c r="EZ214" s="87" t="e">
        <f t="shared" ca="1" si="423"/>
        <v>#DIV/0!</v>
      </c>
      <c r="FA214" s="88" t="e">
        <f ca="1">IF(EE214&lt;=Hypothèses!$V$7,Hypothèses!$X$7,IF(EE214&lt;=Hypothèses!$V$8,Hypothèses!$X$8,IF(EE214&lt;=Hypothèses!$V$9,Hypothèses!$X$9,IF(EE214&lt;=Hypothèses!$V$10,Hypothèses!$X$10,IF(EE214&lt;=Hypothèses!$V$11,Hypothèses!$X$11,IF(EE214&lt;=Hypothèses!$V$12,Hypothèses!$X$12,IF(EE214&lt;=Hypothèses!$V$13,Hypothèses!$X$13,IF(EE214&lt;=Hypothèses!$V$14,Hypothèses!$X$14,IF(EE214&lt;=Hypothèses!$V$15,Hypothèses!$X$15,IF(EE214&lt;=Hypothèses!$V$16,Hypothèses!$X$16,IF(EE214&lt;=Hypothèses!$U$17,Hypothèses!$W$17,IF(EE214&lt;=Hypothèses!$U$18,Hypothèses!$W$18,""))))))))))))</f>
        <v>#DIV/0!</v>
      </c>
      <c r="FB214" s="95" t="e">
        <f t="shared" ca="1" si="397"/>
        <v>#DIV/0!</v>
      </c>
      <c r="FC214" s="101">
        <f t="shared" si="430"/>
        <v>0</v>
      </c>
      <c r="FD214" s="91">
        <f t="shared" si="364"/>
        <v>0</v>
      </c>
      <c r="FE214" s="30" t="e">
        <f t="shared" si="414"/>
        <v>#N/A</v>
      </c>
      <c r="FF214" s="30" t="e">
        <f t="shared" si="415"/>
        <v>#N/A</v>
      </c>
      <c r="FG214" s="31" t="e">
        <f>IF(OR(Hypothèses!$B$4=17,Hypothèses!$B$4=18,Hypothèses!$B$4=19,Hypothèses!$B$4=20),
IF($D214="Pressio.",
IF(OR($E214=3,$E214=1,$E214=4),FF214,FE214),
IF($D214="Pénétro.",
IF(OR($E214=3,$E214=1,$E214=4),FF214,FE214))),IF($D214="Pressio.",
IF($E214=3,FF214,FE214),
IF($D214="Pénétro.",
IF($E214=4,FF214,FE214))))</f>
        <v>#N/A</v>
      </c>
      <c r="FH214" s="31">
        <v>0</v>
      </c>
      <c r="FI214" s="102" t="e">
        <f>IF(NDC!$H$10="Oui",(VLOOKUP($B$3,'Coeff EC7'!$T$39:$X$59,2,0)*FG214+VLOOKUP($B$3,'Coeff EC7'!$T$65:$X$85,2,0)*Model0.1T!FH214)/1.5,PI()*FE$12*$Q214*($B214-$B213)*0.15/10+FI213)</f>
        <v>#N/A</v>
      </c>
      <c r="FJ214" s="102" t="e">
        <f>(VLOOKUP($B$3,'Coeff EC7'!$T$39:$X$59,3,0)*FG214+VLOOKUP($B$3,'Coeff EC7'!$T$65:$X$85,3,0)*Model0.1T!FH214)/1.1</f>
        <v>#N/A</v>
      </c>
      <c r="FK214" s="102" t="e">
        <f t="shared" si="398"/>
        <v>#N/A</v>
      </c>
      <c r="FL214" s="102" t="e">
        <f t="shared" si="399"/>
        <v>#N/A</v>
      </c>
      <c r="FM214" s="414" t="e">
        <f>IF(AND(FI214&gt;NDC!$C$63,FJ214&gt;NDC!$C$65,FK214&gt;NDC!$D$73,FL214&gt;NDC!$D$74,$B214&gt;NDC!$H$22-0.1+MIN(3*FM$12,1.5)),0,1)</f>
        <v>#N/A</v>
      </c>
    </row>
    <row r="215" spans="1:169">
      <c r="A215" s="96">
        <f t="shared" si="365"/>
        <v>79.800000000001148</v>
      </c>
      <c r="B215" s="97">
        <v>20.2</v>
      </c>
      <c r="C215" s="81">
        <f>IF(B215&lt;=Hypothèses!$C$7,Hypothèses!$A$7,IF(B215&lt;=Hypothèses!$C$8,Hypothèses!$A$8,IF(B215&lt;=Hypothèses!$C$9,Hypothèses!$A$9,IF(B215&lt;=Hypothèses!$C$10,Hypothèses!$A$10,IF(B215&lt;=Hypothèses!$C$11,Hypothèses!$A$11,IF(B215&lt;=Hypothèses!$C$12,Hypothèses!$A$12,IF(B215&lt;=Hypothèses!$C$13,Hypothèses!$A$13,IF(B215&lt;=Hypothèses!$C$14,Hypothèses!$A$14,IF(B215&lt;=Hypothèses!$C$15,Hypothèses!$A$15,IF(B215&lt;=Hypothèses!$C$16,Hypothèses!$A$16,IF(B215&lt;=Hypothèses!$C$17,Hypothèses!$A$17,IF(B215&lt;=Hypothèses!$C$18,Hypothèses!$A$18,C214))))))))))))</f>
        <v>11</v>
      </c>
      <c r="D215" s="82" t="str">
        <f>IF(B215&lt;=Hypothèses!$C$7,Hypothèses!$R$7,IF(B215&lt;=Hypothèses!$C$8,Hypothèses!$R$8,IF(B215&lt;=Hypothèses!$C$9,Hypothèses!$R$9,IF(B215&lt;=Hypothèses!$C$10,Hypothèses!$R$10,IF(B215&lt;=Hypothèses!$C$11,Hypothèses!$R$11,IF(B215&lt;=Hypothèses!$C$12,Hypothèses!$R$12,IF(B215&lt;=Hypothèses!$C$13,Hypothèses!$R$13,IF(B215&lt;=Hypothèses!$C$14,Hypothèses!$R$14,IF(B215&lt;=Hypothèses!$C$15,Hypothèses!$R$15,IF(B215&lt;=Hypothèses!$C$16,Hypothèses!$R$16,IF(B215&lt;=Hypothèses!$C$17,Hypothèses!$R$17,IF(B215&lt;=Hypothèses!$C$18,Hypothèses!$R$18,D214))))))))))))</f>
        <v>Pressio.</v>
      </c>
      <c r="E215" s="82" t="e">
        <f>IF(B215&lt;=Hypothèses!$C$7,Hypothèses!$G$7,IF(B215&lt;=Hypothèses!$C$8,Hypothèses!$G$8,IF(B215&lt;=Hypothèses!$C$9,Hypothèses!$G$9,IF(B215&lt;=Hypothèses!$C$10,Hypothèses!$G$10,IF(B215&lt;=Hypothèses!$C$11,Hypothèses!$G$11,IF(B215&lt;=Hypothèses!$C$12,Hypothèses!$G$12,IF(B215&lt;=Hypothèses!$C$13,Hypothèses!$G$13,IF(B215&lt;=Hypothèses!$C$14,Hypothèses!$G$14,IF(B215&lt;=Hypothèses!$C$15,Hypothèses!$G$15,IF(B215&lt;=Hypothèses!$C$16,Hypothèses!$G$16,IF(B215&lt;=Hypothèses!$C$17,Hypothèses!$G$17,IF(B215&lt;=Hypothèses!$C$18,Hypothèses!$G$18,E214))))))))))))</f>
        <v>#N/A</v>
      </c>
      <c r="F215" s="82" t="str">
        <f>IF(B215&lt;=Hypothèses!$C$7,Hypothèses!$F$7,IF(B215&lt;=Hypothèses!$C$8,Hypothèses!$F$8,IF(B215&lt;=Hypothèses!$C$9,Hypothèses!$F$9,IF(B215&lt;=Hypothèses!$C$10,Hypothèses!$F$10,IF(B215&lt;=Hypothèses!$C$11,Hypothèses!$F$11,IF(B215&lt;=Hypothèses!$C$12,Hypothèses!$F$12,IF(B215&lt;=Hypothèses!$C$13,Hypothèses!$F$13,IF(B215&lt;=Hypothèses!$C$14,Hypothèses!$F$14,IF(B215&lt;=Hypothèses!$C$15,Hypothèses!$F$15,IF(B215&lt;=Hypothèses!$C$16,Hypothèses!$F$16,IF(B215&lt;=Hypothèses!$C$17,Hypothèses!$F$17,IF(B215&lt;=Hypothèses!$C$18,Hypothèses!$F$18,F214))))))))))))</f>
        <v/>
      </c>
      <c r="G215" s="91">
        <f t="array" ref="G215">INDEX('Coeff EC7'!$U$7:$X$27,
MATCH(Model0.1T!$B$3,'Coeff EC7'!$T$7:$T$27,0),
MATCH(Model0.1T!$D215&amp;Model0.1T!$B$4,
'Coeff EC7'!$U$6:$X$6&amp;
'Coeff EC7'!$U$5:$X$5,0))</f>
        <v>1.4</v>
      </c>
      <c r="H215" s="91">
        <f t="array" ref="H215">INDEX('Coeff EC7'!$Y$7:$AB$27,
MATCH(Model0.1T!$B$3,'Coeff EC7'!$T$7:$T$27,0),
MATCH(Model0.1T!$D215&amp;Model0.1T!$B$4,
'Coeff EC7'!$Y$6:$AB$6&amp;
'Coeff EC7'!$Y$5:$AB$5,0))</f>
        <v>1.7</v>
      </c>
      <c r="I215" s="83">
        <v>0</v>
      </c>
      <c r="J215" s="91" t="e">
        <f t="array" ref="J215">INDEX('Coeff EC7'!$D$33:$Q$33,1,MATCH(D215&amp;E215,'Coeff EC7'!$D$31:$Q$31&amp;'Coeff EC7'!$D$32:$Q$32,0))</f>
        <v>#N/A</v>
      </c>
      <c r="K215" s="91" t="e">
        <f t="array" ref="K215">INDEX('Coeff EC7'!$D$34:$Q$34,1,MATCH(D215&amp;E215,'Coeff EC7'!$D$31:$Q$31&amp;'Coeff EC7'!$D$32:$Q$32,0))</f>
        <v>#N/A</v>
      </c>
      <c r="L215" s="91" t="e">
        <f t="array" ref="L215">INDEX('Coeff EC7'!$D$35:$Q$35,1,MATCH(D215&amp;E215,'Coeff EC7'!$D$31:$Q$31&amp;'Coeff EC7'!$D$32:$Q$32,0))</f>
        <v>#N/A</v>
      </c>
      <c r="M215" s="98" t="e">
        <f t="shared" si="331"/>
        <v>#N/A</v>
      </c>
      <c r="N215" s="99" t="e">
        <f t="array" ref="N215">INDEX('Coeff EC7'!$D$7:$Q$27,MATCH($B$3,'Coeff EC7'!$C$7:$C$27,0),MATCH(D215&amp;E215,'Coeff EC7'!$D$5:$Q$5&amp;'Coeff EC7'!$D$6:$Q$6,0))</f>
        <v>#N/A</v>
      </c>
      <c r="O215" s="99" t="e">
        <f t="array" ref="O215">INDEX('Coeff EC7'!$D$41:$Q$61,MATCH($B$3,'Coeff EC7'!$C$41:$C$61,0),MATCH(D215&amp;E215,'Coeff EC7'!$D$39:$Q$39&amp;'Coeff EC7'!$D$40:$Q$40,0))</f>
        <v>#N/A</v>
      </c>
      <c r="P215" s="30" t="e">
        <f t="shared" si="366"/>
        <v>#N/A</v>
      </c>
      <c r="Q215" s="100" t="e">
        <f t="shared" si="333"/>
        <v>#N/A</v>
      </c>
      <c r="R215" s="86" t="b">
        <f t="shared" si="334"/>
        <v>0</v>
      </c>
      <c r="S215" s="86">
        <f t="shared" si="332"/>
        <v>0.5</v>
      </c>
      <c r="T215" s="86">
        <f t="shared" si="335"/>
        <v>0.5</v>
      </c>
      <c r="U215" s="30" t="e">
        <f t="shared" ca="1" si="367"/>
        <v>#DIV/0!</v>
      </c>
      <c r="V215" s="85" t="str">
        <f>IF(B215&lt;=Hypothèses!$V$7,Hypothèses!$W$7,IF(B215&lt;=Hypothèses!$V$8,Hypothèses!$W$8,IF(B215&lt;=Hypothèses!$V$9,Hypothèses!$W$9,IF(B215&lt;=Hypothèses!$V$10,Hypothèses!$W$10,IF(B215&lt;=Hypothèses!$V$11,Hypothèses!$W$11,IF(B215&lt;=Hypothèses!$V$12,Hypothèses!$W$12,IF(B215&lt;=Hypothèses!$V$13,Hypothèses!$W$13,IF(B215&lt;=Hypothèses!$V$14,Hypothèses!$W$14,IF(B215&lt;=Hypothèses!$V$15,Hypothèses!$W$15,IF(B215&lt;=Hypothèses!$V$16,Hypothèses!$W$16,IF(B215&lt;=Hypothèses!$V$17,Hypothèses!$W$17,IF(B215&lt;=Hypothèses!$V$18,Hypothèses!$W$18,""))))))))))))</f>
        <v/>
      </c>
      <c r="W215" s="87" t="e">
        <f t="shared" ca="1" si="416"/>
        <v>#DIV/0!</v>
      </c>
      <c r="X215" s="88" t="str">
        <f>IF(B215&lt;=Hypothèses!$V$7,Hypothèses!$X$7,IF(B215&lt;=Hypothèses!$V$8,Hypothèses!$X$8,IF(B215&lt;=Hypothèses!$V$9,Hypothèses!$X$9,IF(B215&lt;=Hypothèses!$V$10,Hypothèses!$X$10,IF(B215&lt;=Hypothèses!$V$11,Hypothèses!$X$11,IF(B215&lt;=Hypothèses!$V$12,Hypothèses!$X$12,IF(B215&lt;=Hypothèses!$V$13,Hypothèses!$X$13,IF(B215&lt;=Hypothèses!$V$14,Hypothèses!$X$14,IF(B215&lt;=Hypothèses!$V$15,Hypothèses!$X$15,IF(B215&lt;=Hypothèses!$V$16,Hypothèses!$X$16,IF(B215&lt;=Hypothèses!$U$17,Hypothèses!$W$17,IF(B215&lt;=Hypothèses!$U$18,Hypothèses!$W$18,""))))))))))))</f>
        <v/>
      </c>
      <c r="Y215" s="95" t="e">
        <f t="shared" ca="1" si="336"/>
        <v>#DIV/0!</v>
      </c>
      <c r="Z215" s="101">
        <f t="shared" si="337"/>
        <v>0</v>
      </c>
      <c r="AA215" s="91">
        <f t="shared" si="338"/>
        <v>0</v>
      </c>
      <c r="AB215" s="30" t="e">
        <f t="shared" si="400"/>
        <v>#N/A</v>
      </c>
      <c r="AC215" s="30" t="e">
        <f t="shared" si="401"/>
        <v>#N/A</v>
      </c>
      <c r="AD215" s="31" t="e">
        <f>IF(OR(Hypothèses!$B$4=17,Hypothèses!$B$4=18,Hypothèses!$B$4=19,Hypothèses!$B$4=20),
IF($D215="Pressio.",
IF(OR($E215=3,$E215=1,$E215=4),AC215,AB215),
IF($D215="Pénétro.",
IF(OR($E215=3,$E215=1,$E215=4),AC215,AB215))),IF($D215="Pressio.",
IF($E215=3,AC215,AB215),
IF($D215="Pénétro.",
IF($E215=4,AC215,AB215))))</f>
        <v>#N/A</v>
      </c>
      <c r="AE215" s="31">
        <v>0</v>
      </c>
      <c r="AF215" s="102" t="e">
        <f>IF(NDC!$H$10="Oui",(VLOOKUP($B$3,'Coeff EC7'!$T$39:$X$59,2,0)*AD215+VLOOKUP($B$3,'Coeff EC7'!$T$65:$X$85,2,0)*Model0.1T!AE215)/1.5,PI()*AB$12*$Q215*($B215-$B214)*0.15/10+AF214)</f>
        <v>#N/A</v>
      </c>
      <c r="AG215" s="102" t="e">
        <f>(VLOOKUP($B$3,'Coeff EC7'!$T$39:$X$59,3,0)*AD215+VLOOKUP($B$3,'Coeff EC7'!$T$65:$X$85,3,0)*Model0.1T!AE215)/1.1</f>
        <v>#N/A</v>
      </c>
      <c r="AH215" s="102" t="e">
        <f t="shared" si="368"/>
        <v>#N/A</v>
      </c>
      <c r="AI215" s="102" t="e">
        <f t="shared" si="369"/>
        <v>#N/A</v>
      </c>
      <c r="AJ215" s="414" t="e">
        <f>IF(AND(AF215&gt;NDC!$C$63,AG215&gt;NDC!$C$65,AH215&gt;NDC!$D$73,AI215&gt;NDC!$D$74,$B215&gt;NDC!$H$22-0.1+MIN(3*$AJ$12,1.5)),0,1)</f>
        <v>#N/A</v>
      </c>
      <c r="AK215" s="86" t="b">
        <f t="shared" si="339"/>
        <v>0</v>
      </c>
      <c r="AL215" s="86">
        <f t="shared" si="370"/>
        <v>0.5</v>
      </c>
      <c r="AM215" s="86">
        <f t="shared" si="340"/>
        <v>0.5</v>
      </c>
      <c r="AN215" s="30" t="e">
        <f t="shared" ca="1" si="371"/>
        <v>#DIV/0!</v>
      </c>
      <c r="AO215" s="85" t="e">
        <f ca="1">IF(U215&lt;=Hypothèses!$V$7,Hypothèses!$W$7,IF(U215&lt;=Hypothèses!$V$8,Hypothèses!$W$8,IF(U215&lt;=Hypothèses!$V$9,Hypothèses!$W$9,IF(U215&lt;=Hypothèses!$V$10,Hypothèses!$W$10,IF(U215&lt;=Hypothèses!$V$11,Hypothèses!$W$11,IF(U215&lt;=Hypothèses!$V$12,Hypothèses!$W$12,IF(U215&lt;=Hypothèses!$V$13,Hypothèses!$W$13,IF(U215&lt;=Hypothèses!$V$14,Hypothèses!$W$14,IF(U215&lt;=Hypothèses!$V$15,Hypothèses!$W$15,IF(U215&lt;=Hypothèses!$V$16,Hypothèses!$W$16,IF(U215&lt;=Hypothèses!$V$17,Hypothèses!$W$17,IF(U215&lt;=Hypothèses!$V$18,Hypothèses!$W$18,""))))))))))))</f>
        <v>#DIV/0!</v>
      </c>
      <c r="AP215" s="87" t="e">
        <f t="shared" ca="1" si="417"/>
        <v>#DIV/0!</v>
      </c>
      <c r="AQ215" s="88" t="e">
        <f ca="1">IF(U215&lt;=Hypothèses!$V$7,Hypothèses!$X$7,IF(U215&lt;=Hypothèses!$V$8,Hypothèses!$X$8,IF(U215&lt;=Hypothèses!$V$9,Hypothèses!$X$9,IF(U215&lt;=Hypothèses!$V$10,Hypothèses!$X$10,IF(U215&lt;=Hypothèses!$V$11,Hypothèses!$X$11,IF(U215&lt;=Hypothèses!$V$12,Hypothèses!$X$12,IF(U215&lt;=Hypothèses!$V$13,Hypothèses!$X$13,IF(U215&lt;=Hypothèses!$V$14,Hypothèses!$X$14,IF(U215&lt;=Hypothèses!$V$15,Hypothèses!$X$15,IF(U215&lt;=Hypothèses!$V$16,Hypothèses!$X$16,IF(U215&lt;=Hypothèses!$U$17,Hypothèses!$W$17,IF(U215&lt;=Hypothèses!$U$18,Hypothèses!$W$18,""))))))))))))</f>
        <v>#DIV/0!</v>
      </c>
      <c r="AR215" s="95" t="e">
        <f t="shared" ca="1" si="372"/>
        <v>#DIV/0!</v>
      </c>
      <c r="AS215" s="101">
        <f t="shared" si="424"/>
        <v>0</v>
      </c>
      <c r="AT215" s="91">
        <f t="shared" si="341"/>
        <v>0</v>
      </c>
      <c r="AU215" s="30" t="e">
        <f t="shared" si="402"/>
        <v>#N/A</v>
      </c>
      <c r="AV215" s="30" t="e">
        <f t="shared" si="403"/>
        <v>#N/A</v>
      </c>
      <c r="AW215" s="31" t="e">
        <f>IF(OR(Hypothèses!$B$4=17,Hypothèses!$B$4=18,Hypothèses!$B$4=19,Hypothèses!$B$4=20),
IF($D215="Pressio.",
IF(OR($E215=3,$E215=1,$E215=4),AV215,AU215),
IF($D215="Pénétro.",
IF(OR($E215=3,$E215=1,$E215=4),AV215,AU215))),IF($D215="Pressio.",
IF($E215=3,AV215,AU215),
IF($D215="Pénétro.",
IF($E215=4,AV215,AU215))))</f>
        <v>#N/A</v>
      </c>
      <c r="AX215" s="31">
        <v>0</v>
      </c>
      <c r="AY215" s="102" t="e">
        <f>IF(NDC!$H$10="Oui",(VLOOKUP($B$3,'Coeff EC7'!$T$39:$X$59,2,0)*AW215+VLOOKUP($B$3,'Coeff EC7'!$T$65:$X$85,2,0)*Model0.1T!AX215)/1.5,PI()*AU$12*$Q215*($B215-$B214)*0.15/10+AY214)</f>
        <v>#N/A</v>
      </c>
      <c r="AZ215" s="102" t="e">
        <f>(VLOOKUP($B$3,'Coeff EC7'!$T$39:$X$59,3,0)*AW215+VLOOKUP($B$3,'Coeff EC7'!$T$65:$X$85,3,0)*Model0.1T!AX215)/1.1</f>
        <v>#N/A</v>
      </c>
      <c r="BA215" s="102" t="e">
        <f t="shared" si="373"/>
        <v>#N/A</v>
      </c>
      <c r="BB215" s="102" t="e">
        <f t="shared" si="374"/>
        <v>#N/A</v>
      </c>
      <c r="BC215" s="414" t="e">
        <f>IF(AND(AY215&gt;NDC!$C$63,AZ215&gt;NDC!$C$65,BA215&gt;NDC!$D$73,BB215&gt;NDC!$D$74,$B215&gt;NDC!$H$22-0.1+MIN(3*BC$12,1.5)),0,1)</f>
        <v>#N/A</v>
      </c>
      <c r="BD215" s="86" t="b">
        <f t="shared" si="342"/>
        <v>0</v>
      </c>
      <c r="BE215" s="86">
        <f t="shared" si="375"/>
        <v>0.5</v>
      </c>
      <c r="BF215" s="86">
        <f t="shared" si="343"/>
        <v>0.5</v>
      </c>
      <c r="BG215" s="30" t="e">
        <f t="shared" ca="1" si="376"/>
        <v>#DIV/0!</v>
      </c>
      <c r="BH215" s="85" t="e">
        <f ca="1">IF(AN215&lt;=Hypothèses!$V$7,Hypothèses!$W$7,IF(AN215&lt;=Hypothèses!$V$8,Hypothèses!$W$8,IF(AN215&lt;=Hypothèses!$V$9,Hypothèses!$W$9,IF(AN215&lt;=Hypothèses!$V$10,Hypothèses!$W$10,IF(AN215&lt;=Hypothèses!$V$11,Hypothèses!$W$11,IF(AN215&lt;=Hypothèses!$V$12,Hypothèses!$W$12,IF(AN215&lt;=Hypothèses!$V$13,Hypothèses!$W$13,IF(AN215&lt;=Hypothèses!$V$14,Hypothèses!$W$14,IF(AN215&lt;=Hypothèses!$V$15,Hypothèses!$W$15,IF(AN215&lt;=Hypothèses!$V$16,Hypothèses!$W$16,IF(AN215&lt;=Hypothèses!$V$17,Hypothèses!$W$17,IF(AN215&lt;=Hypothèses!$V$18,Hypothèses!$W$18,""))))))))))))</f>
        <v>#DIV/0!</v>
      </c>
      <c r="BI215" s="87" t="e">
        <f t="shared" ca="1" si="418"/>
        <v>#DIV/0!</v>
      </c>
      <c r="BJ215" s="88" t="e">
        <f ca="1">IF(AN215&lt;=Hypothèses!$V$7,Hypothèses!$X$7,IF(AN215&lt;=Hypothèses!$V$8,Hypothèses!$X$8,IF(AN215&lt;=Hypothèses!$V$9,Hypothèses!$X$9,IF(AN215&lt;=Hypothèses!$V$10,Hypothèses!$X$10,IF(AN215&lt;=Hypothèses!$V$11,Hypothèses!$X$11,IF(AN215&lt;=Hypothèses!$V$12,Hypothèses!$X$12,IF(AN215&lt;=Hypothèses!$V$13,Hypothèses!$X$13,IF(AN215&lt;=Hypothèses!$V$14,Hypothèses!$X$14,IF(AN215&lt;=Hypothèses!$V$15,Hypothèses!$X$15,IF(AN215&lt;=Hypothèses!$V$16,Hypothèses!$X$16,IF(AN215&lt;=Hypothèses!$U$17,Hypothèses!$W$17,IF(AN215&lt;=Hypothèses!$U$18,Hypothèses!$W$18,""))))))))))))</f>
        <v>#DIV/0!</v>
      </c>
      <c r="BK215" s="95" t="e">
        <f t="shared" ca="1" si="377"/>
        <v>#DIV/0!</v>
      </c>
      <c r="BL215" s="101">
        <f t="shared" si="425"/>
        <v>0</v>
      </c>
      <c r="BM215" s="91">
        <f t="shared" si="344"/>
        <v>0</v>
      </c>
      <c r="BN215" s="30" t="e">
        <f t="shared" si="404"/>
        <v>#N/A</v>
      </c>
      <c r="BO215" s="30" t="e">
        <f t="shared" si="405"/>
        <v>#N/A</v>
      </c>
      <c r="BP215" s="31" t="e">
        <f>IF(OR(Hypothèses!$B$4=17,Hypothèses!$B$4=18,Hypothèses!$B$4=19,Hypothèses!$B$4=20),
IF($D215="Pressio.",
IF(OR($E215=3,$E215=1,$E215=4),BO215,BN215),
IF($D215="Pénétro.",
IF(OR($E215=3,$E215=1,$E215=4),BO215,BN215))),IF($D215="Pressio.",
IF($E215=3,BO215,BN215),
IF($D215="Pénétro.",
IF($E215=4,BO215,BN215))))</f>
        <v>#N/A</v>
      </c>
      <c r="BQ215" s="31">
        <v>0</v>
      </c>
      <c r="BR215" s="102" t="e">
        <f>IF(NDC!$H$10="Oui",(VLOOKUP($B$3,'Coeff EC7'!$T$39:$X$59,2,0)*BP215+VLOOKUP($B$3,'Coeff EC7'!$T$65:$X$85,2,0)*Model0.1T!BQ215)/1.5,PI()*BN$12*$Q215*($B215-$B214)*0.15/10+BR214)</f>
        <v>#N/A</v>
      </c>
      <c r="BS215" s="102" t="e">
        <f>(VLOOKUP($B$3,'Coeff EC7'!$T$39:$X$59,3,0)*BP215+VLOOKUP($B$3,'Coeff EC7'!$T$65:$X$85,3,0)*Model0.1T!BQ215)/1.1</f>
        <v>#N/A</v>
      </c>
      <c r="BT215" s="102" t="e">
        <f t="shared" si="378"/>
        <v>#N/A</v>
      </c>
      <c r="BU215" s="102" t="e">
        <f t="shared" si="379"/>
        <v>#N/A</v>
      </c>
      <c r="BV215" s="414" t="e">
        <f>IF(AND(BR215&gt;NDC!$C$63,BS215&gt;NDC!$C$65,BT215&gt;NDC!$D$73,BU215&gt;NDC!$D$74,$B215&gt;NDC!$H$22-0.1+MIN(3*BV$12,1.5)),0,1)</f>
        <v>#N/A</v>
      </c>
      <c r="BW215" s="86" t="b">
        <f t="shared" si="345"/>
        <v>0</v>
      </c>
      <c r="BX215" s="86">
        <f t="shared" si="346"/>
        <v>0.5</v>
      </c>
      <c r="BY215" s="86">
        <f t="shared" si="347"/>
        <v>0.5</v>
      </c>
      <c r="BZ215" s="30" t="e">
        <f t="shared" ca="1" si="380"/>
        <v>#DIV/0!</v>
      </c>
      <c r="CA215" s="85" t="e">
        <f ca="1">IF(BG215&lt;=Hypothèses!$V$7,Hypothèses!$W$7,IF(BG215&lt;=Hypothèses!$V$8,Hypothèses!$W$8,IF(BG215&lt;=Hypothèses!$V$9,Hypothèses!$W$9,IF(BG215&lt;=Hypothèses!$V$10,Hypothèses!$W$10,IF(BG215&lt;=Hypothèses!$V$11,Hypothèses!$W$11,IF(BG215&lt;=Hypothèses!$V$12,Hypothèses!$W$12,IF(BG215&lt;=Hypothèses!$V$13,Hypothèses!$W$13,IF(BG215&lt;=Hypothèses!$V$14,Hypothèses!$W$14,IF(BG215&lt;=Hypothèses!$V$15,Hypothèses!$W$15,IF(BG215&lt;=Hypothèses!$V$16,Hypothèses!$W$16,IF(BG215&lt;=Hypothèses!$V$17,Hypothèses!$W$17,IF(BG215&lt;=Hypothèses!$V$18,Hypothèses!$W$18,""))))))))))))</f>
        <v>#DIV/0!</v>
      </c>
      <c r="CB215" s="87" t="e">
        <f t="shared" ca="1" si="419"/>
        <v>#DIV/0!</v>
      </c>
      <c r="CC215" s="88" t="e">
        <f ca="1">IF(BG215&lt;=Hypothèses!$V$7,Hypothèses!$X$7,IF(BG215&lt;=Hypothèses!$V$8,Hypothèses!$X$8,IF(BG215&lt;=Hypothèses!$V$9,Hypothèses!$X$9,IF(BG215&lt;=Hypothèses!$V$10,Hypothèses!$X$10,IF(BG215&lt;=Hypothèses!$V$11,Hypothèses!$X$11,IF(BG215&lt;=Hypothèses!$V$12,Hypothèses!$X$12,IF(BG215&lt;=Hypothèses!$V$13,Hypothèses!$X$13,IF(BG215&lt;=Hypothèses!$V$14,Hypothèses!$X$14,IF(BG215&lt;=Hypothèses!$V$15,Hypothèses!$X$15,IF(BG215&lt;=Hypothèses!$V$16,Hypothèses!$X$16,IF(BG215&lt;=Hypothèses!$U$17,Hypothèses!$W$17,IF(BG215&lt;=Hypothèses!$U$18,Hypothèses!$W$18,""))))))))))))</f>
        <v>#DIV/0!</v>
      </c>
      <c r="CD215" s="95" t="e">
        <f t="shared" ca="1" si="381"/>
        <v>#DIV/0!</v>
      </c>
      <c r="CE215" s="101">
        <f t="shared" si="426"/>
        <v>0</v>
      </c>
      <c r="CF215" s="91">
        <f t="shared" si="348"/>
        <v>0</v>
      </c>
      <c r="CG215" s="30" t="e">
        <f t="shared" si="406"/>
        <v>#N/A</v>
      </c>
      <c r="CH215" s="30" t="e">
        <f t="shared" si="407"/>
        <v>#N/A</v>
      </c>
      <c r="CI215" s="31" t="e">
        <f>IF(OR(Hypothèses!$B$4=17,Hypothèses!$B$4=18,Hypothèses!$B$4=19,Hypothèses!$B$4=20),
IF($D215="Pressio.",
IF(OR($E215=3,$E215=1,$E215=4),CH215,CG215),
IF($D215="Pénétro.",
IF(OR($E215=3,$E215=1,$E215=4),CH215,CG215))),IF($D215="Pressio.",
IF($E215=3,CH215,CG215),
IF($D215="Pénétro.",
IF($E215=4,CH215,CG215))))</f>
        <v>#N/A</v>
      </c>
      <c r="CJ215" s="31">
        <v>0</v>
      </c>
      <c r="CK215" s="102" t="e">
        <f>IF(NDC!$H$10="Oui",(VLOOKUP($B$3,'Coeff EC7'!$T$39:$X$59,2,0)*CI215+VLOOKUP($B$3,'Coeff EC7'!$T$65:$X$85,2,0)*Model0.1T!CJ215)/1.5,PI()*CG$12*$Q215*($B215-$B214)*0.15/10+CK214)</f>
        <v>#N/A</v>
      </c>
      <c r="CL215" s="102" t="e">
        <f>(VLOOKUP($B$3,'Coeff EC7'!$T$39:$X$59,3,0)*CI215+VLOOKUP($B$3,'Coeff EC7'!$T$65:$X$85,3,0)*Model0.1T!CJ215)/1.1</f>
        <v>#N/A</v>
      </c>
      <c r="CM215" s="102" t="e">
        <f t="shared" si="382"/>
        <v>#N/A</v>
      </c>
      <c r="CN215" s="102" t="e">
        <f t="shared" si="383"/>
        <v>#N/A</v>
      </c>
      <c r="CO215" s="414" t="e">
        <f>IF(AND(CK215&gt;NDC!$C$63,CL215&gt;NDC!$C$65,CM215&gt;NDC!$D$73,CN215&gt;NDC!$D$74,$B215&gt;NDC!$H$22-0.1+MIN(3*CO$12,1.5)),0,1)</f>
        <v>#N/A</v>
      </c>
      <c r="CP215" s="86" t="b">
        <f t="shared" si="349"/>
        <v>0</v>
      </c>
      <c r="CQ215" s="86">
        <f t="shared" si="350"/>
        <v>0.5</v>
      </c>
      <c r="CR215" s="86">
        <f t="shared" si="351"/>
        <v>0.5</v>
      </c>
      <c r="CS215" s="30" t="e">
        <f t="shared" ca="1" si="384"/>
        <v>#DIV/0!</v>
      </c>
      <c r="CT215" s="85" t="e">
        <f ca="1">IF(BZ215&lt;=Hypothèses!$V$7,Hypothèses!$W$7,IF(BZ215&lt;=Hypothèses!$V$8,Hypothèses!$W$8,IF(BZ215&lt;=Hypothèses!$V$9,Hypothèses!$W$9,IF(BZ215&lt;=Hypothèses!$V$10,Hypothèses!$W$10,IF(BZ215&lt;=Hypothèses!$V$11,Hypothèses!$W$11,IF(BZ215&lt;=Hypothèses!$V$12,Hypothèses!$W$12,IF(BZ215&lt;=Hypothèses!$V$13,Hypothèses!$W$13,IF(BZ215&lt;=Hypothèses!$V$14,Hypothèses!$W$14,IF(BZ215&lt;=Hypothèses!$V$15,Hypothèses!$W$15,IF(BZ215&lt;=Hypothèses!$V$16,Hypothèses!$W$16,IF(BZ215&lt;=Hypothèses!$V$17,Hypothèses!$W$17,IF(BZ215&lt;=Hypothèses!$V$18,Hypothèses!$W$18,""))))))))))))</f>
        <v>#DIV/0!</v>
      </c>
      <c r="CU215" s="87" t="e">
        <f t="shared" ca="1" si="420"/>
        <v>#DIV/0!</v>
      </c>
      <c r="CV215" s="88" t="e">
        <f ca="1">IF(BZ215&lt;=Hypothèses!$V$7,Hypothèses!$X$7,IF(BZ215&lt;=Hypothèses!$V$8,Hypothèses!$X$8,IF(BZ215&lt;=Hypothèses!$V$9,Hypothèses!$X$9,IF(BZ215&lt;=Hypothèses!$V$10,Hypothèses!$X$10,IF(BZ215&lt;=Hypothèses!$V$11,Hypothèses!$X$11,IF(BZ215&lt;=Hypothèses!$V$12,Hypothèses!$X$12,IF(BZ215&lt;=Hypothèses!$V$13,Hypothèses!$X$13,IF(BZ215&lt;=Hypothèses!$V$14,Hypothèses!$X$14,IF(BZ215&lt;=Hypothèses!$V$15,Hypothèses!$X$15,IF(BZ215&lt;=Hypothèses!$V$16,Hypothèses!$X$16,IF(BZ215&lt;=Hypothèses!$U$17,Hypothèses!$W$17,IF(BZ215&lt;=Hypothèses!$U$18,Hypothèses!$W$18,""))))))))))))</f>
        <v>#DIV/0!</v>
      </c>
      <c r="CW215" s="95" t="e">
        <f t="shared" ca="1" si="385"/>
        <v>#DIV/0!</v>
      </c>
      <c r="CX215" s="101">
        <f t="shared" si="427"/>
        <v>0</v>
      </c>
      <c r="CY215" s="91">
        <f t="shared" si="352"/>
        <v>0</v>
      </c>
      <c r="CZ215" s="30" t="e">
        <f t="shared" si="408"/>
        <v>#N/A</v>
      </c>
      <c r="DA215" s="30" t="e">
        <f t="shared" si="409"/>
        <v>#N/A</v>
      </c>
      <c r="DB215" s="31" t="e">
        <f>IF(OR(Hypothèses!$B$4=17,Hypothèses!$B$4=18,Hypothèses!$B$4=19,Hypothèses!$B$4=20),
IF($D215="Pressio.",
IF(OR($E215=3,$E215=1,$E215=4),DA215,CZ215),
IF($D215="Pénétro.",
IF(OR($E215=3,$E215=1,$E215=4),DA215,CZ215))),IF($D215="Pressio.",
IF($E215=3,DA215,CZ215),
IF($D215="Pénétro.",
IF($E215=4,DA215,CZ215))))</f>
        <v>#N/A</v>
      </c>
      <c r="DC215" s="31">
        <v>0</v>
      </c>
      <c r="DD215" s="102" t="e">
        <f>IF(NDC!$H$10="Oui",(VLOOKUP($B$3,'Coeff EC7'!$T$39:$X$59,2,0)*DB215+VLOOKUP($B$3,'Coeff EC7'!$T$65:$X$85,2,0)*Model0.1T!DC215)/1.5,PI()*CZ$12*$Q215*($B215-$B214)*0.15/10+DD214)</f>
        <v>#N/A</v>
      </c>
      <c r="DE215" s="102" t="e">
        <f>(VLOOKUP($B$3,'Coeff EC7'!$T$39:$X$59,3,0)*DB215+VLOOKUP($B$3,'Coeff EC7'!$T$65:$X$85,3,0)*Model0.1T!DC215)/1.1</f>
        <v>#N/A</v>
      </c>
      <c r="DF215" s="102" t="e">
        <f t="shared" si="386"/>
        <v>#N/A</v>
      </c>
      <c r="DG215" s="102" t="e">
        <f t="shared" si="387"/>
        <v>#N/A</v>
      </c>
      <c r="DH215" s="414" t="e">
        <f>IF(AND(DD215&gt;NDC!$C$63,DE215&gt;NDC!$C$65,DF215&gt;NDC!$D$73,DG215&gt;NDC!$D$74,$B215&gt;NDC!$H$22-0.1+MIN(3*DH$12,1.5)),0,1)</f>
        <v>#N/A</v>
      </c>
      <c r="DI215" s="86" t="b">
        <f t="shared" si="353"/>
        <v>0</v>
      </c>
      <c r="DJ215" s="86">
        <f t="shared" si="354"/>
        <v>0.5</v>
      </c>
      <c r="DK215" s="86">
        <f t="shared" si="355"/>
        <v>0.5</v>
      </c>
      <c r="DL215" s="30" t="e">
        <f t="shared" ca="1" si="388"/>
        <v>#DIV/0!</v>
      </c>
      <c r="DM215" s="85" t="e">
        <f ca="1">IF(CS215&lt;=Hypothèses!$V$7,Hypothèses!$W$7,IF(CS215&lt;=Hypothèses!$V$8,Hypothèses!$W$8,IF(CS215&lt;=Hypothèses!$V$9,Hypothèses!$W$9,IF(CS215&lt;=Hypothèses!$V$10,Hypothèses!$W$10,IF(CS215&lt;=Hypothèses!$V$11,Hypothèses!$W$11,IF(CS215&lt;=Hypothèses!$V$12,Hypothèses!$W$12,IF(CS215&lt;=Hypothèses!$V$13,Hypothèses!$W$13,IF(CS215&lt;=Hypothèses!$V$14,Hypothèses!$W$14,IF(CS215&lt;=Hypothèses!$V$15,Hypothèses!$W$15,IF(CS215&lt;=Hypothèses!$V$16,Hypothèses!$W$16,IF(CS215&lt;=Hypothèses!$V$17,Hypothèses!$W$17,IF(CS215&lt;=Hypothèses!$V$18,Hypothèses!$W$18,""))))))))))))</f>
        <v>#DIV/0!</v>
      </c>
      <c r="DN215" s="87" t="e">
        <f t="shared" ca="1" si="421"/>
        <v>#DIV/0!</v>
      </c>
      <c r="DO215" s="88" t="e">
        <f ca="1">IF(CS215&lt;=Hypothèses!$V$7,Hypothèses!$X$7,IF(CS215&lt;=Hypothèses!$V$8,Hypothèses!$X$8,IF(CS215&lt;=Hypothèses!$V$9,Hypothèses!$X$9,IF(CS215&lt;=Hypothèses!$V$10,Hypothèses!$X$10,IF(CS215&lt;=Hypothèses!$V$11,Hypothèses!$X$11,IF(CS215&lt;=Hypothèses!$V$12,Hypothèses!$X$12,IF(CS215&lt;=Hypothèses!$V$13,Hypothèses!$X$13,IF(CS215&lt;=Hypothèses!$V$14,Hypothèses!$X$14,IF(CS215&lt;=Hypothèses!$V$15,Hypothèses!$X$15,IF(CS215&lt;=Hypothèses!$V$16,Hypothèses!$X$16,IF(CS215&lt;=Hypothèses!$U$17,Hypothèses!$W$17,IF(CS215&lt;=Hypothèses!$U$18,Hypothèses!$W$18,""))))))))))))</f>
        <v>#DIV/0!</v>
      </c>
      <c r="DP215" s="95" t="e">
        <f t="shared" ca="1" si="389"/>
        <v>#DIV/0!</v>
      </c>
      <c r="DQ215" s="101">
        <f t="shared" si="428"/>
        <v>0</v>
      </c>
      <c r="DR215" s="91">
        <f t="shared" si="356"/>
        <v>0</v>
      </c>
      <c r="DS215" s="30" t="e">
        <f t="shared" si="410"/>
        <v>#N/A</v>
      </c>
      <c r="DT215" s="30" t="e">
        <f t="shared" si="411"/>
        <v>#N/A</v>
      </c>
      <c r="DU215" s="31" t="e">
        <f>IF(OR(Hypothèses!$B$4=17,Hypothèses!$B$4=18,Hypothèses!$B$4=19,Hypothèses!$B$4=20),
IF($D215="Pressio.",
IF(OR($E215=3,$E215=1,$E215=4),DT215,DS215),
IF($D215="Pénétro.",
IF(OR($E215=3,$E215=1,$E215=4),DT215,DS215))),IF($D215="Pressio.",
IF($E215=3,DT215,DS215),
IF($D215="Pénétro.",
IF($E215=4,DT215,DS215))))</f>
        <v>#N/A</v>
      </c>
      <c r="DV215" s="31">
        <v>0</v>
      </c>
      <c r="DW215" s="102" t="e">
        <f>IF(NDC!$H$10="Oui",(VLOOKUP($B$3,'Coeff EC7'!$T$39:$X$59,2,0)*DU215+VLOOKUP($B$3,'Coeff EC7'!$T$65:$X$85,2,0)*Model0.1T!DV215)/1.5,PI()*DS$12*$Q215*($B215-$B214)*0.15/10+DW214)</f>
        <v>#N/A</v>
      </c>
      <c r="DX215" s="102" t="e">
        <f>(VLOOKUP($B$3,'Coeff EC7'!$T$39:$X$59,3,0)*DU215+VLOOKUP($B$3,'Coeff EC7'!$T$65:$X$85,3,0)*Model0.1T!DV215)/1.1</f>
        <v>#N/A</v>
      </c>
      <c r="DY215" s="102" t="e">
        <f t="shared" si="390"/>
        <v>#N/A</v>
      </c>
      <c r="DZ215" s="102" t="e">
        <f t="shared" si="391"/>
        <v>#N/A</v>
      </c>
      <c r="EA215" s="414" t="e">
        <f>IF(AND(DW215&gt;NDC!$C$63,DX215&gt;NDC!$C$65,DY215&gt;NDC!$D$73,DZ215&gt;NDC!$D$74,$B215&gt;NDC!$H$22-0.1+MIN(3*EA$12,1.5)),0,1)</f>
        <v>#N/A</v>
      </c>
      <c r="EB215" s="86" t="b">
        <f t="shared" si="357"/>
        <v>0</v>
      </c>
      <c r="EC215" s="418">
        <f t="shared" si="358"/>
        <v>0.51</v>
      </c>
      <c r="ED215" s="86">
        <f t="shared" si="359"/>
        <v>0.51</v>
      </c>
      <c r="EE215" s="30" t="e">
        <f t="shared" ca="1" si="392"/>
        <v>#DIV/0!</v>
      </c>
      <c r="EF215" s="85" t="e">
        <f ca="1">IF(DL215&lt;=Hypothèses!$V$7,Hypothèses!$W$7,IF(DL215&lt;=Hypothèses!$V$8,Hypothèses!$W$8,IF(DL215&lt;=Hypothèses!$V$9,Hypothèses!$W$9,IF(DL215&lt;=Hypothèses!$V$10,Hypothèses!$W$10,IF(DL215&lt;=Hypothèses!$V$11,Hypothèses!$W$11,IF(DL215&lt;=Hypothèses!$V$12,Hypothèses!$W$12,IF(DL215&lt;=Hypothèses!$V$13,Hypothèses!$W$13,IF(DL215&lt;=Hypothèses!$V$14,Hypothèses!$W$14,IF(DL215&lt;=Hypothèses!$V$15,Hypothèses!$W$15,IF(DL215&lt;=Hypothèses!$V$16,Hypothèses!$W$16,IF(DL215&lt;=Hypothèses!$V$17,Hypothèses!$W$17,IF(DL215&lt;=Hypothèses!$V$18,Hypothèses!$W$18,""))))))))))))</f>
        <v>#DIV/0!</v>
      </c>
      <c r="EG215" s="87" t="e">
        <f t="shared" ca="1" si="422"/>
        <v>#DIV/0!</v>
      </c>
      <c r="EH215" s="88" t="e">
        <f ca="1">IF(DL215&lt;=Hypothèses!$V$7,Hypothèses!$X$7,IF(DL215&lt;=Hypothèses!$V$8,Hypothèses!$X$8,IF(DL215&lt;=Hypothèses!$V$9,Hypothèses!$X$9,IF(DL215&lt;=Hypothèses!$V$10,Hypothèses!$X$10,IF(DL215&lt;=Hypothèses!$V$11,Hypothèses!$X$11,IF(DL215&lt;=Hypothèses!$V$12,Hypothèses!$X$12,IF(DL215&lt;=Hypothèses!$V$13,Hypothèses!$X$13,IF(DL215&lt;=Hypothèses!$V$14,Hypothèses!$X$14,IF(DL215&lt;=Hypothèses!$V$15,Hypothèses!$X$15,IF(DL215&lt;=Hypothèses!$V$16,Hypothèses!$X$16,IF(DL215&lt;=Hypothèses!$U$17,Hypothèses!$W$17,IF(DL215&lt;=Hypothèses!$U$18,Hypothèses!$W$18,""))))))))))))</f>
        <v>#DIV/0!</v>
      </c>
      <c r="EI215" s="95" t="e">
        <f t="shared" ca="1" si="393"/>
        <v>#DIV/0!</v>
      </c>
      <c r="EJ215" s="101">
        <f t="shared" si="429"/>
        <v>0</v>
      </c>
      <c r="EK215" s="91">
        <f t="shared" si="360"/>
        <v>0</v>
      </c>
      <c r="EL215" s="30" t="e">
        <f t="shared" si="412"/>
        <v>#N/A</v>
      </c>
      <c r="EM215" s="30" t="e">
        <f t="shared" si="413"/>
        <v>#N/A</v>
      </c>
      <c r="EN215" s="31" t="e">
        <f>IF(OR(Hypothèses!$B$4=17,Hypothèses!$B$4=18,Hypothèses!$B$4=19,Hypothèses!$B$4=20),
IF($D215="Pressio.",
IF(OR($E215=3,$E215=1,$E215=4),EM215,EL215),
IF($D215="Pénétro.",
IF(OR($E215=3,$E215=1,$E215=4),EM215,EL215))),IF($D215="Pressio.",
IF($E215=3,EM215,EL215),
IF($D215="Pénétro.",
IF($E215=4,EM215,EL215))))</f>
        <v>#N/A</v>
      </c>
      <c r="EO215" s="31">
        <v>0</v>
      </c>
      <c r="EP215" s="102" t="e">
        <f>IF(NDC!$H$10="Oui",(VLOOKUP($B$3,'Coeff EC7'!$T$39:$X$59,2,0)*EN215+VLOOKUP($B$3,'Coeff EC7'!$T$65:$X$85,2,0)*Model0.1T!EO215)/1.5,PI()*EL$12*$Q215*($B215-$B214)*0.15/10+EP214)</f>
        <v>#N/A</v>
      </c>
      <c r="EQ215" s="102" t="e">
        <f>(VLOOKUP($B$3,'Coeff EC7'!$T$39:$X$59,3,0)*EN215+VLOOKUP($B$3,'Coeff EC7'!$T$65:$X$85,3,0)*Model0.1T!EO215)/1.1</f>
        <v>#N/A</v>
      </c>
      <c r="ER215" s="102" t="e">
        <f t="shared" si="394"/>
        <v>#N/A</v>
      </c>
      <c r="ES215" s="102" t="e">
        <f t="shared" si="395"/>
        <v>#N/A</v>
      </c>
      <c r="ET215" s="414" t="e">
        <f>IF(AND(EP215&gt;NDC!$C$63,EQ215&gt;NDC!$C$65,ER215&gt;NDC!$D$73,ES215&gt;NDC!$D$74,$B215&gt;NDC!$H$22-0.1+MIN(3*ET$12,1.5)),0,1)</f>
        <v>#N/A</v>
      </c>
      <c r="EU215" s="86" t="b">
        <f t="shared" si="361"/>
        <v>0</v>
      </c>
      <c r="EV215" s="86">
        <f t="shared" si="362"/>
        <v>0.61</v>
      </c>
      <c r="EW215" s="86">
        <f t="shared" si="363"/>
        <v>0.61</v>
      </c>
      <c r="EX215" s="30" t="e">
        <f t="shared" ca="1" si="396"/>
        <v>#DIV/0!</v>
      </c>
      <c r="EY215" s="85" t="e">
        <f ca="1">IF(EE215&lt;=Hypothèses!$V$7,Hypothèses!$W$7,IF(EE215&lt;=Hypothèses!$V$8,Hypothèses!$W$8,IF(EE215&lt;=Hypothèses!$V$9,Hypothèses!$W$9,IF(EE215&lt;=Hypothèses!$V$10,Hypothèses!$W$10,IF(EE215&lt;=Hypothèses!$V$11,Hypothèses!$W$11,IF(EE215&lt;=Hypothèses!$V$12,Hypothèses!$W$12,IF(EE215&lt;=Hypothèses!$V$13,Hypothèses!$W$13,IF(EE215&lt;=Hypothèses!$V$14,Hypothèses!$W$14,IF(EE215&lt;=Hypothèses!$V$15,Hypothèses!$W$15,IF(EE215&lt;=Hypothèses!$V$16,Hypothèses!$W$16,IF(EE215&lt;=Hypothèses!$V$17,Hypothèses!$W$17,IF(EE215&lt;=Hypothèses!$V$18,Hypothèses!$W$18,""))))))))))))</f>
        <v>#DIV/0!</v>
      </c>
      <c r="EZ215" s="87" t="e">
        <f t="shared" ca="1" si="423"/>
        <v>#DIV/0!</v>
      </c>
      <c r="FA215" s="88" t="e">
        <f ca="1">IF(EE215&lt;=Hypothèses!$V$7,Hypothèses!$X$7,IF(EE215&lt;=Hypothèses!$V$8,Hypothèses!$X$8,IF(EE215&lt;=Hypothèses!$V$9,Hypothèses!$X$9,IF(EE215&lt;=Hypothèses!$V$10,Hypothèses!$X$10,IF(EE215&lt;=Hypothèses!$V$11,Hypothèses!$X$11,IF(EE215&lt;=Hypothèses!$V$12,Hypothèses!$X$12,IF(EE215&lt;=Hypothèses!$V$13,Hypothèses!$X$13,IF(EE215&lt;=Hypothèses!$V$14,Hypothèses!$X$14,IF(EE215&lt;=Hypothèses!$V$15,Hypothèses!$X$15,IF(EE215&lt;=Hypothèses!$V$16,Hypothèses!$X$16,IF(EE215&lt;=Hypothèses!$U$17,Hypothèses!$W$17,IF(EE215&lt;=Hypothèses!$U$18,Hypothèses!$W$18,""))))))))))))</f>
        <v>#DIV/0!</v>
      </c>
      <c r="FB215" s="95" t="e">
        <f t="shared" ca="1" si="397"/>
        <v>#DIV/0!</v>
      </c>
      <c r="FC215" s="101">
        <f t="shared" si="430"/>
        <v>0</v>
      </c>
      <c r="FD215" s="91">
        <f t="shared" si="364"/>
        <v>0</v>
      </c>
      <c r="FE215" s="30" t="e">
        <f t="shared" si="414"/>
        <v>#N/A</v>
      </c>
      <c r="FF215" s="30" t="e">
        <f t="shared" si="415"/>
        <v>#N/A</v>
      </c>
      <c r="FG215" s="31" t="e">
        <f>IF(OR(Hypothèses!$B$4=17,Hypothèses!$B$4=18,Hypothèses!$B$4=19,Hypothèses!$B$4=20),
IF($D215="Pressio.",
IF(OR($E215=3,$E215=1,$E215=4),FF215,FE215),
IF($D215="Pénétro.",
IF(OR($E215=3,$E215=1,$E215=4),FF215,FE215))),IF($D215="Pressio.",
IF($E215=3,FF215,FE215),
IF($D215="Pénétro.",
IF($E215=4,FF215,FE215))))</f>
        <v>#N/A</v>
      </c>
      <c r="FH215" s="31">
        <v>0</v>
      </c>
      <c r="FI215" s="102" t="e">
        <f>IF(NDC!$H$10="Oui",(VLOOKUP($B$3,'Coeff EC7'!$T$39:$X$59,2,0)*FG215+VLOOKUP($B$3,'Coeff EC7'!$T$65:$X$85,2,0)*Model0.1T!FH215)/1.5,PI()*FE$12*$Q215*($B215-$B214)*0.15/10+FI214)</f>
        <v>#N/A</v>
      </c>
      <c r="FJ215" s="102" t="e">
        <f>(VLOOKUP($B$3,'Coeff EC7'!$T$39:$X$59,3,0)*FG215+VLOOKUP($B$3,'Coeff EC7'!$T$65:$X$85,3,0)*Model0.1T!FH215)/1.1</f>
        <v>#N/A</v>
      </c>
      <c r="FK215" s="102" t="e">
        <f t="shared" si="398"/>
        <v>#N/A</v>
      </c>
      <c r="FL215" s="102" t="e">
        <f t="shared" si="399"/>
        <v>#N/A</v>
      </c>
      <c r="FM215" s="414" t="e">
        <f>IF(AND(FI215&gt;NDC!$C$63,FJ215&gt;NDC!$C$65,FK215&gt;NDC!$D$73,FL215&gt;NDC!$D$74,$B215&gt;NDC!$H$22-0.1+MIN(3*FM$12,1.5)),0,1)</f>
        <v>#N/A</v>
      </c>
    </row>
    <row r="216" spans="1:169">
      <c r="A216" s="96">
        <f t="shared" si="365"/>
        <v>79.700000000001154</v>
      </c>
      <c r="B216" s="97">
        <v>20.3</v>
      </c>
      <c r="C216" s="81">
        <f>IF(B216&lt;=Hypothèses!$C$7,Hypothèses!$A$7,IF(B216&lt;=Hypothèses!$C$8,Hypothèses!$A$8,IF(B216&lt;=Hypothèses!$C$9,Hypothèses!$A$9,IF(B216&lt;=Hypothèses!$C$10,Hypothèses!$A$10,IF(B216&lt;=Hypothèses!$C$11,Hypothèses!$A$11,IF(B216&lt;=Hypothèses!$C$12,Hypothèses!$A$12,IF(B216&lt;=Hypothèses!$C$13,Hypothèses!$A$13,IF(B216&lt;=Hypothèses!$C$14,Hypothèses!$A$14,IF(B216&lt;=Hypothèses!$C$15,Hypothèses!$A$15,IF(B216&lt;=Hypothèses!$C$16,Hypothèses!$A$16,IF(B216&lt;=Hypothèses!$C$17,Hypothèses!$A$17,IF(B216&lt;=Hypothèses!$C$18,Hypothèses!$A$18,C215))))))))))))</f>
        <v>11</v>
      </c>
      <c r="D216" s="82" t="str">
        <f>IF(B216&lt;=Hypothèses!$C$7,Hypothèses!$R$7,IF(B216&lt;=Hypothèses!$C$8,Hypothèses!$R$8,IF(B216&lt;=Hypothèses!$C$9,Hypothèses!$R$9,IF(B216&lt;=Hypothèses!$C$10,Hypothèses!$R$10,IF(B216&lt;=Hypothèses!$C$11,Hypothèses!$R$11,IF(B216&lt;=Hypothèses!$C$12,Hypothèses!$R$12,IF(B216&lt;=Hypothèses!$C$13,Hypothèses!$R$13,IF(B216&lt;=Hypothèses!$C$14,Hypothèses!$R$14,IF(B216&lt;=Hypothèses!$C$15,Hypothèses!$R$15,IF(B216&lt;=Hypothèses!$C$16,Hypothèses!$R$16,IF(B216&lt;=Hypothèses!$C$17,Hypothèses!$R$17,IF(B216&lt;=Hypothèses!$C$18,Hypothèses!$R$18,D215))))))))))))</f>
        <v>Pressio.</v>
      </c>
      <c r="E216" s="82" t="e">
        <f>IF(B216&lt;=Hypothèses!$C$7,Hypothèses!$G$7,IF(B216&lt;=Hypothèses!$C$8,Hypothèses!$G$8,IF(B216&lt;=Hypothèses!$C$9,Hypothèses!$G$9,IF(B216&lt;=Hypothèses!$C$10,Hypothèses!$G$10,IF(B216&lt;=Hypothèses!$C$11,Hypothèses!$G$11,IF(B216&lt;=Hypothèses!$C$12,Hypothèses!$G$12,IF(B216&lt;=Hypothèses!$C$13,Hypothèses!$G$13,IF(B216&lt;=Hypothèses!$C$14,Hypothèses!$G$14,IF(B216&lt;=Hypothèses!$C$15,Hypothèses!$G$15,IF(B216&lt;=Hypothèses!$C$16,Hypothèses!$G$16,IF(B216&lt;=Hypothèses!$C$17,Hypothèses!$G$17,IF(B216&lt;=Hypothèses!$C$18,Hypothèses!$G$18,E215))))))))))))</f>
        <v>#N/A</v>
      </c>
      <c r="F216" s="82" t="str">
        <f>IF(B216&lt;=Hypothèses!$C$7,Hypothèses!$F$7,IF(B216&lt;=Hypothèses!$C$8,Hypothèses!$F$8,IF(B216&lt;=Hypothèses!$C$9,Hypothèses!$F$9,IF(B216&lt;=Hypothèses!$C$10,Hypothèses!$F$10,IF(B216&lt;=Hypothèses!$C$11,Hypothèses!$F$11,IF(B216&lt;=Hypothèses!$C$12,Hypothèses!$F$12,IF(B216&lt;=Hypothèses!$C$13,Hypothèses!$F$13,IF(B216&lt;=Hypothèses!$C$14,Hypothèses!$F$14,IF(B216&lt;=Hypothèses!$C$15,Hypothèses!$F$15,IF(B216&lt;=Hypothèses!$C$16,Hypothèses!$F$16,IF(B216&lt;=Hypothèses!$C$17,Hypothèses!$F$17,IF(B216&lt;=Hypothèses!$C$18,Hypothèses!$F$18,F215))))))))))))</f>
        <v/>
      </c>
      <c r="G216" s="91">
        <f t="array" ref="G216">INDEX('Coeff EC7'!$U$7:$X$27,
MATCH(Model0.1T!$B$3,'Coeff EC7'!$T$7:$T$27,0),
MATCH(Model0.1T!$D216&amp;Model0.1T!$B$4,
'Coeff EC7'!$U$6:$X$6&amp;
'Coeff EC7'!$U$5:$X$5,0))</f>
        <v>1.4</v>
      </c>
      <c r="H216" s="91">
        <f t="array" ref="H216">INDEX('Coeff EC7'!$Y$7:$AB$27,
MATCH(Model0.1T!$B$3,'Coeff EC7'!$T$7:$T$27,0),
MATCH(Model0.1T!$D216&amp;Model0.1T!$B$4,
'Coeff EC7'!$Y$6:$AB$6&amp;
'Coeff EC7'!$Y$5:$AB$5,0))</f>
        <v>1.7</v>
      </c>
      <c r="I216" s="83">
        <v>0</v>
      </c>
      <c r="J216" s="91" t="e">
        <f t="array" ref="J216">INDEX('Coeff EC7'!$D$33:$Q$33,1,MATCH(D216&amp;E216,'Coeff EC7'!$D$31:$Q$31&amp;'Coeff EC7'!$D$32:$Q$32,0))</f>
        <v>#N/A</v>
      </c>
      <c r="K216" s="91" t="e">
        <f t="array" ref="K216">INDEX('Coeff EC7'!$D$34:$Q$34,1,MATCH(D216&amp;E216,'Coeff EC7'!$D$31:$Q$31&amp;'Coeff EC7'!$D$32:$Q$32,0))</f>
        <v>#N/A</v>
      </c>
      <c r="L216" s="91" t="e">
        <f t="array" ref="L216">INDEX('Coeff EC7'!$D$35:$Q$35,1,MATCH(D216&amp;E216,'Coeff EC7'!$D$31:$Q$31&amp;'Coeff EC7'!$D$32:$Q$32,0))</f>
        <v>#N/A</v>
      </c>
      <c r="M216" s="98" t="e">
        <f t="shared" si="331"/>
        <v>#N/A</v>
      </c>
      <c r="N216" s="99" t="e">
        <f t="array" ref="N216">INDEX('Coeff EC7'!$D$7:$Q$27,MATCH($B$3,'Coeff EC7'!$C$7:$C$27,0),MATCH(D216&amp;E216,'Coeff EC7'!$D$5:$Q$5&amp;'Coeff EC7'!$D$6:$Q$6,0))</f>
        <v>#N/A</v>
      </c>
      <c r="O216" s="99" t="e">
        <f t="array" ref="O216">INDEX('Coeff EC7'!$D$41:$Q$61,MATCH($B$3,'Coeff EC7'!$C$41:$C$61,0),MATCH(D216&amp;E216,'Coeff EC7'!$D$39:$Q$39&amp;'Coeff EC7'!$D$40:$Q$40,0))</f>
        <v>#N/A</v>
      </c>
      <c r="P216" s="30" t="e">
        <f t="shared" si="366"/>
        <v>#N/A</v>
      </c>
      <c r="Q216" s="100" t="e">
        <f t="shared" si="333"/>
        <v>#N/A</v>
      </c>
      <c r="R216" s="86" t="b">
        <f t="shared" si="334"/>
        <v>0</v>
      </c>
      <c r="S216" s="86">
        <f t="shared" si="332"/>
        <v>0.5</v>
      </c>
      <c r="T216" s="86">
        <f t="shared" si="335"/>
        <v>0.5</v>
      </c>
      <c r="U216" s="30" t="e">
        <f t="shared" ca="1" si="367"/>
        <v>#DIV/0!</v>
      </c>
      <c r="V216" s="85" t="str">
        <f>IF(B216&lt;=Hypothèses!$V$7,Hypothèses!$W$7,IF(B216&lt;=Hypothèses!$V$8,Hypothèses!$W$8,IF(B216&lt;=Hypothèses!$V$9,Hypothèses!$W$9,IF(B216&lt;=Hypothèses!$V$10,Hypothèses!$W$10,IF(B216&lt;=Hypothèses!$V$11,Hypothèses!$W$11,IF(B216&lt;=Hypothèses!$V$12,Hypothèses!$W$12,IF(B216&lt;=Hypothèses!$V$13,Hypothèses!$W$13,IF(B216&lt;=Hypothèses!$V$14,Hypothèses!$W$14,IF(B216&lt;=Hypothèses!$V$15,Hypothèses!$W$15,IF(B216&lt;=Hypothèses!$V$16,Hypothèses!$W$16,IF(B216&lt;=Hypothèses!$V$17,Hypothèses!$W$17,IF(B216&lt;=Hypothèses!$V$18,Hypothèses!$W$18,""))))))))))))</f>
        <v/>
      </c>
      <c r="W216" s="87" t="e">
        <f t="shared" ca="1" si="416"/>
        <v>#DIV/0!</v>
      </c>
      <c r="X216" s="88" t="str">
        <f>IF(B216&lt;=Hypothèses!$V$7,Hypothèses!$X$7,IF(B216&lt;=Hypothèses!$V$8,Hypothèses!$X$8,IF(B216&lt;=Hypothèses!$V$9,Hypothèses!$X$9,IF(B216&lt;=Hypothèses!$V$10,Hypothèses!$X$10,IF(B216&lt;=Hypothèses!$V$11,Hypothèses!$X$11,IF(B216&lt;=Hypothèses!$V$12,Hypothèses!$X$12,IF(B216&lt;=Hypothèses!$V$13,Hypothèses!$X$13,IF(B216&lt;=Hypothèses!$V$14,Hypothèses!$X$14,IF(B216&lt;=Hypothèses!$V$15,Hypothèses!$X$15,IF(B216&lt;=Hypothèses!$V$16,Hypothèses!$X$16,IF(B216&lt;=Hypothèses!$U$17,Hypothèses!$W$17,IF(B216&lt;=Hypothèses!$U$18,Hypothèses!$W$18,""))))))))))))</f>
        <v/>
      </c>
      <c r="Y216" s="95" t="e">
        <f t="shared" ca="1" si="336"/>
        <v>#DIV/0!</v>
      </c>
      <c r="Z216" s="101">
        <f t="shared" si="337"/>
        <v>0</v>
      </c>
      <c r="AA216" s="91">
        <f t="shared" si="338"/>
        <v>0</v>
      </c>
      <c r="AB216" s="30" t="e">
        <f t="shared" si="400"/>
        <v>#N/A</v>
      </c>
      <c r="AC216" s="30" t="e">
        <f t="shared" si="401"/>
        <v>#N/A</v>
      </c>
      <c r="AD216" s="31" t="e">
        <f>IF(OR(Hypothèses!$B$4=17,Hypothèses!$B$4=18,Hypothèses!$B$4=19,Hypothèses!$B$4=20),
IF($D216="Pressio.",
IF(OR($E216=3,$E216=1,$E216=4),AC216,AB216),
IF($D216="Pénétro.",
IF(OR($E216=3,$E216=1,$E216=4),AC216,AB216))),IF($D216="Pressio.",
IF($E216=3,AC216,AB216),
IF($D216="Pénétro.",
IF($E216=4,AC216,AB216))))</f>
        <v>#N/A</v>
      </c>
      <c r="AE216" s="31">
        <v>0</v>
      </c>
      <c r="AF216" s="102" t="e">
        <f>IF(NDC!$H$10="Oui",(VLOOKUP($B$3,'Coeff EC7'!$T$39:$X$59,2,0)*AD216+VLOOKUP($B$3,'Coeff EC7'!$T$65:$X$85,2,0)*Model0.1T!AE216)/1.5,PI()*AB$12*$Q216*($B216-$B215)*0.15/10+AF215)</f>
        <v>#N/A</v>
      </c>
      <c r="AG216" s="102" t="e">
        <f>(VLOOKUP($B$3,'Coeff EC7'!$T$39:$X$59,3,0)*AD216+VLOOKUP($B$3,'Coeff EC7'!$T$65:$X$85,3,0)*Model0.1T!AE216)/1.1</f>
        <v>#N/A</v>
      </c>
      <c r="AH216" s="102" t="e">
        <f t="shared" si="368"/>
        <v>#N/A</v>
      </c>
      <c r="AI216" s="102" t="e">
        <f t="shared" si="369"/>
        <v>#N/A</v>
      </c>
      <c r="AJ216" s="414" t="e">
        <f>IF(AND(AF216&gt;NDC!$C$63,AG216&gt;NDC!$C$65,AH216&gt;NDC!$D$73,AI216&gt;NDC!$D$74,$B216&gt;NDC!$H$22-0.1+MIN(3*$AJ$12,1.5)),0,1)</f>
        <v>#N/A</v>
      </c>
      <c r="AK216" s="86" t="b">
        <f t="shared" si="339"/>
        <v>0</v>
      </c>
      <c r="AL216" s="86">
        <f t="shared" si="370"/>
        <v>0.5</v>
      </c>
      <c r="AM216" s="86">
        <f t="shared" si="340"/>
        <v>0.5</v>
      </c>
      <c r="AN216" s="30" t="e">
        <f t="shared" ca="1" si="371"/>
        <v>#DIV/0!</v>
      </c>
      <c r="AO216" s="85" t="e">
        <f ca="1">IF(U216&lt;=Hypothèses!$V$7,Hypothèses!$W$7,IF(U216&lt;=Hypothèses!$V$8,Hypothèses!$W$8,IF(U216&lt;=Hypothèses!$V$9,Hypothèses!$W$9,IF(U216&lt;=Hypothèses!$V$10,Hypothèses!$W$10,IF(U216&lt;=Hypothèses!$V$11,Hypothèses!$W$11,IF(U216&lt;=Hypothèses!$V$12,Hypothèses!$W$12,IF(U216&lt;=Hypothèses!$V$13,Hypothèses!$W$13,IF(U216&lt;=Hypothèses!$V$14,Hypothèses!$W$14,IF(U216&lt;=Hypothèses!$V$15,Hypothèses!$W$15,IF(U216&lt;=Hypothèses!$V$16,Hypothèses!$W$16,IF(U216&lt;=Hypothèses!$V$17,Hypothèses!$W$17,IF(U216&lt;=Hypothèses!$V$18,Hypothèses!$W$18,""))))))))))))</f>
        <v>#DIV/0!</v>
      </c>
      <c r="AP216" s="87" t="e">
        <f t="shared" ca="1" si="417"/>
        <v>#DIV/0!</v>
      </c>
      <c r="AQ216" s="88" t="e">
        <f ca="1">IF(U216&lt;=Hypothèses!$V$7,Hypothèses!$X$7,IF(U216&lt;=Hypothèses!$V$8,Hypothèses!$X$8,IF(U216&lt;=Hypothèses!$V$9,Hypothèses!$X$9,IF(U216&lt;=Hypothèses!$V$10,Hypothèses!$X$10,IF(U216&lt;=Hypothèses!$V$11,Hypothèses!$X$11,IF(U216&lt;=Hypothèses!$V$12,Hypothèses!$X$12,IF(U216&lt;=Hypothèses!$V$13,Hypothèses!$X$13,IF(U216&lt;=Hypothèses!$V$14,Hypothèses!$X$14,IF(U216&lt;=Hypothèses!$V$15,Hypothèses!$X$15,IF(U216&lt;=Hypothèses!$V$16,Hypothèses!$X$16,IF(U216&lt;=Hypothèses!$U$17,Hypothèses!$W$17,IF(U216&lt;=Hypothèses!$U$18,Hypothèses!$W$18,""))))))))))))</f>
        <v>#DIV/0!</v>
      </c>
      <c r="AR216" s="95" t="e">
        <f t="shared" ca="1" si="372"/>
        <v>#DIV/0!</v>
      </c>
      <c r="AS216" s="101">
        <f t="shared" si="424"/>
        <v>0</v>
      </c>
      <c r="AT216" s="91">
        <f t="shared" si="341"/>
        <v>0</v>
      </c>
      <c r="AU216" s="30" t="e">
        <f t="shared" si="402"/>
        <v>#N/A</v>
      </c>
      <c r="AV216" s="30" t="e">
        <f t="shared" si="403"/>
        <v>#N/A</v>
      </c>
      <c r="AW216" s="31" t="e">
        <f>IF(OR(Hypothèses!$B$4=17,Hypothèses!$B$4=18,Hypothèses!$B$4=19,Hypothèses!$B$4=20),
IF($D216="Pressio.",
IF(OR($E216=3,$E216=1,$E216=4),AV216,AU216),
IF($D216="Pénétro.",
IF(OR($E216=3,$E216=1,$E216=4),AV216,AU216))),IF($D216="Pressio.",
IF($E216=3,AV216,AU216),
IF($D216="Pénétro.",
IF($E216=4,AV216,AU216))))</f>
        <v>#N/A</v>
      </c>
      <c r="AX216" s="31">
        <v>0</v>
      </c>
      <c r="AY216" s="102" t="e">
        <f>IF(NDC!$H$10="Oui",(VLOOKUP($B$3,'Coeff EC7'!$T$39:$X$59,2,0)*AW216+VLOOKUP($B$3,'Coeff EC7'!$T$65:$X$85,2,0)*Model0.1T!AX216)/1.5,PI()*AU$12*$Q216*($B216-$B215)*0.15/10+AY215)</f>
        <v>#N/A</v>
      </c>
      <c r="AZ216" s="102" t="e">
        <f>(VLOOKUP($B$3,'Coeff EC7'!$T$39:$X$59,3,0)*AW216+VLOOKUP($B$3,'Coeff EC7'!$T$65:$X$85,3,0)*Model0.1T!AX216)/1.1</f>
        <v>#N/A</v>
      </c>
      <c r="BA216" s="102" t="e">
        <f t="shared" si="373"/>
        <v>#N/A</v>
      </c>
      <c r="BB216" s="102" t="e">
        <f t="shared" si="374"/>
        <v>#N/A</v>
      </c>
      <c r="BC216" s="414" t="e">
        <f>IF(AND(AY216&gt;NDC!$C$63,AZ216&gt;NDC!$C$65,BA216&gt;NDC!$D$73,BB216&gt;NDC!$D$74,$B216&gt;NDC!$H$22-0.1+MIN(3*BC$12,1.5)),0,1)</f>
        <v>#N/A</v>
      </c>
      <c r="BD216" s="86" t="b">
        <f t="shared" si="342"/>
        <v>0</v>
      </c>
      <c r="BE216" s="86">
        <f t="shared" si="375"/>
        <v>0.5</v>
      </c>
      <c r="BF216" s="86">
        <f t="shared" si="343"/>
        <v>0.5</v>
      </c>
      <c r="BG216" s="30" t="e">
        <f t="shared" ca="1" si="376"/>
        <v>#DIV/0!</v>
      </c>
      <c r="BH216" s="85" t="e">
        <f ca="1">IF(AN216&lt;=Hypothèses!$V$7,Hypothèses!$W$7,IF(AN216&lt;=Hypothèses!$V$8,Hypothèses!$W$8,IF(AN216&lt;=Hypothèses!$V$9,Hypothèses!$W$9,IF(AN216&lt;=Hypothèses!$V$10,Hypothèses!$W$10,IF(AN216&lt;=Hypothèses!$V$11,Hypothèses!$W$11,IF(AN216&lt;=Hypothèses!$V$12,Hypothèses!$W$12,IF(AN216&lt;=Hypothèses!$V$13,Hypothèses!$W$13,IF(AN216&lt;=Hypothèses!$V$14,Hypothèses!$W$14,IF(AN216&lt;=Hypothèses!$V$15,Hypothèses!$W$15,IF(AN216&lt;=Hypothèses!$V$16,Hypothèses!$W$16,IF(AN216&lt;=Hypothèses!$V$17,Hypothèses!$W$17,IF(AN216&lt;=Hypothèses!$V$18,Hypothèses!$W$18,""))))))))))))</f>
        <v>#DIV/0!</v>
      </c>
      <c r="BI216" s="87" t="e">
        <f t="shared" ca="1" si="418"/>
        <v>#DIV/0!</v>
      </c>
      <c r="BJ216" s="88" t="e">
        <f ca="1">IF(AN216&lt;=Hypothèses!$V$7,Hypothèses!$X$7,IF(AN216&lt;=Hypothèses!$V$8,Hypothèses!$X$8,IF(AN216&lt;=Hypothèses!$V$9,Hypothèses!$X$9,IF(AN216&lt;=Hypothèses!$V$10,Hypothèses!$X$10,IF(AN216&lt;=Hypothèses!$V$11,Hypothèses!$X$11,IF(AN216&lt;=Hypothèses!$V$12,Hypothèses!$X$12,IF(AN216&lt;=Hypothèses!$V$13,Hypothèses!$X$13,IF(AN216&lt;=Hypothèses!$V$14,Hypothèses!$X$14,IF(AN216&lt;=Hypothèses!$V$15,Hypothèses!$X$15,IF(AN216&lt;=Hypothèses!$V$16,Hypothèses!$X$16,IF(AN216&lt;=Hypothèses!$U$17,Hypothèses!$W$17,IF(AN216&lt;=Hypothèses!$U$18,Hypothèses!$W$18,""))))))))))))</f>
        <v>#DIV/0!</v>
      </c>
      <c r="BK216" s="95" t="e">
        <f t="shared" ca="1" si="377"/>
        <v>#DIV/0!</v>
      </c>
      <c r="BL216" s="101">
        <f t="shared" si="425"/>
        <v>0</v>
      </c>
      <c r="BM216" s="91">
        <f t="shared" si="344"/>
        <v>0</v>
      </c>
      <c r="BN216" s="30" t="e">
        <f t="shared" si="404"/>
        <v>#N/A</v>
      </c>
      <c r="BO216" s="30" t="e">
        <f t="shared" si="405"/>
        <v>#N/A</v>
      </c>
      <c r="BP216" s="31" t="e">
        <f>IF(OR(Hypothèses!$B$4=17,Hypothèses!$B$4=18,Hypothèses!$B$4=19,Hypothèses!$B$4=20),
IF($D216="Pressio.",
IF(OR($E216=3,$E216=1,$E216=4),BO216,BN216),
IF($D216="Pénétro.",
IF(OR($E216=3,$E216=1,$E216=4),BO216,BN216))),IF($D216="Pressio.",
IF($E216=3,BO216,BN216),
IF($D216="Pénétro.",
IF($E216=4,BO216,BN216))))</f>
        <v>#N/A</v>
      </c>
      <c r="BQ216" s="31">
        <v>0</v>
      </c>
      <c r="BR216" s="102" t="e">
        <f>IF(NDC!$H$10="Oui",(VLOOKUP($B$3,'Coeff EC7'!$T$39:$X$59,2,0)*BP216+VLOOKUP($B$3,'Coeff EC7'!$T$65:$X$85,2,0)*Model0.1T!BQ216)/1.5,PI()*BN$12*$Q216*($B216-$B215)*0.15/10+BR215)</f>
        <v>#N/A</v>
      </c>
      <c r="BS216" s="102" t="e">
        <f>(VLOOKUP($B$3,'Coeff EC7'!$T$39:$X$59,3,0)*BP216+VLOOKUP($B$3,'Coeff EC7'!$T$65:$X$85,3,0)*Model0.1T!BQ216)/1.1</f>
        <v>#N/A</v>
      </c>
      <c r="BT216" s="102" t="e">
        <f t="shared" si="378"/>
        <v>#N/A</v>
      </c>
      <c r="BU216" s="102" t="e">
        <f t="shared" si="379"/>
        <v>#N/A</v>
      </c>
      <c r="BV216" s="414" t="e">
        <f>IF(AND(BR216&gt;NDC!$C$63,BS216&gt;NDC!$C$65,BT216&gt;NDC!$D$73,BU216&gt;NDC!$D$74,$B216&gt;NDC!$H$22-0.1+MIN(3*BV$12,1.5)),0,1)</f>
        <v>#N/A</v>
      </c>
      <c r="BW216" s="86" t="b">
        <f t="shared" si="345"/>
        <v>0</v>
      </c>
      <c r="BX216" s="86">
        <f t="shared" si="346"/>
        <v>0.5</v>
      </c>
      <c r="BY216" s="86">
        <f t="shared" si="347"/>
        <v>0.5</v>
      </c>
      <c r="BZ216" s="30" t="e">
        <f t="shared" ca="1" si="380"/>
        <v>#DIV/0!</v>
      </c>
      <c r="CA216" s="85" t="e">
        <f ca="1">IF(BG216&lt;=Hypothèses!$V$7,Hypothèses!$W$7,IF(BG216&lt;=Hypothèses!$V$8,Hypothèses!$W$8,IF(BG216&lt;=Hypothèses!$V$9,Hypothèses!$W$9,IF(BG216&lt;=Hypothèses!$V$10,Hypothèses!$W$10,IF(BG216&lt;=Hypothèses!$V$11,Hypothèses!$W$11,IF(BG216&lt;=Hypothèses!$V$12,Hypothèses!$W$12,IF(BG216&lt;=Hypothèses!$V$13,Hypothèses!$W$13,IF(BG216&lt;=Hypothèses!$V$14,Hypothèses!$W$14,IF(BG216&lt;=Hypothèses!$V$15,Hypothèses!$W$15,IF(BG216&lt;=Hypothèses!$V$16,Hypothèses!$W$16,IF(BG216&lt;=Hypothèses!$V$17,Hypothèses!$W$17,IF(BG216&lt;=Hypothèses!$V$18,Hypothèses!$W$18,""))))))))))))</f>
        <v>#DIV/0!</v>
      </c>
      <c r="CB216" s="87" t="e">
        <f t="shared" ca="1" si="419"/>
        <v>#DIV/0!</v>
      </c>
      <c r="CC216" s="88" t="e">
        <f ca="1">IF(BG216&lt;=Hypothèses!$V$7,Hypothèses!$X$7,IF(BG216&lt;=Hypothèses!$V$8,Hypothèses!$X$8,IF(BG216&lt;=Hypothèses!$V$9,Hypothèses!$X$9,IF(BG216&lt;=Hypothèses!$V$10,Hypothèses!$X$10,IF(BG216&lt;=Hypothèses!$V$11,Hypothèses!$X$11,IF(BG216&lt;=Hypothèses!$V$12,Hypothèses!$X$12,IF(BG216&lt;=Hypothèses!$V$13,Hypothèses!$X$13,IF(BG216&lt;=Hypothèses!$V$14,Hypothèses!$X$14,IF(BG216&lt;=Hypothèses!$V$15,Hypothèses!$X$15,IF(BG216&lt;=Hypothèses!$V$16,Hypothèses!$X$16,IF(BG216&lt;=Hypothèses!$U$17,Hypothèses!$W$17,IF(BG216&lt;=Hypothèses!$U$18,Hypothèses!$W$18,""))))))))))))</f>
        <v>#DIV/0!</v>
      </c>
      <c r="CD216" s="95" t="e">
        <f t="shared" ca="1" si="381"/>
        <v>#DIV/0!</v>
      </c>
      <c r="CE216" s="101">
        <f t="shared" si="426"/>
        <v>0</v>
      </c>
      <c r="CF216" s="91">
        <f t="shared" si="348"/>
        <v>0</v>
      </c>
      <c r="CG216" s="30" t="e">
        <f t="shared" si="406"/>
        <v>#N/A</v>
      </c>
      <c r="CH216" s="30" t="e">
        <f t="shared" si="407"/>
        <v>#N/A</v>
      </c>
      <c r="CI216" s="31" t="e">
        <f>IF(OR(Hypothèses!$B$4=17,Hypothèses!$B$4=18,Hypothèses!$B$4=19,Hypothèses!$B$4=20),
IF($D216="Pressio.",
IF(OR($E216=3,$E216=1,$E216=4),CH216,CG216),
IF($D216="Pénétro.",
IF(OR($E216=3,$E216=1,$E216=4),CH216,CG216))),IF($D216="Pressio.",
IF($E216=3,CH216,CG216),
IF($D216="Pénétro.",
IF($E216=4,CH216,CG216))))</f>
        <v>#N/A</v>
      </c>
      <c r="CJ216" s="31">
        <v>0</v>
      </c>
      <c r="CK216" s="102" t="e">
        <f>IF(NDC!$H$10="Oui",(VLOOKUP($B$3,'Coeff EC7'!$T$39:$X$59,2,0)*CI216+VLOOKUP($B$3,'Coeff EC7'!$T$65:$X$85,2,0)*Model0.1T!CJ216)/1.5,PI()*CG$12*$Q216*($B216-$B215)*0.15/10+CK215)</f>
        <v>#N/A</v>
      </c>
      <c r="CL216" s="102" t="e">
        <f>(VLOOKUP($B$3,'Coeff EC7'!$T$39:$X$59,3,0)*CI216+VLOOKUP($B$3,'Coeff EC7'!$T$65:$X$85,3,0)*Model0.1T!CJ216)/1.1</f>
        <v>#N/A</v>
      </c>
      <c r="CM216" s="102" t="e">
        <f t="shared" si="382"/>
        <v>#N/A</v>
      </c>
      <c r="CN216" s="102" t="e">
        <f t="shared" si="383"/>
        <v>#N/A</v>
      </c>
      <c r="CO216" s="414" t="e">
        <f>IF(AND(CK216&gt;NDC!$C$63,CL216&gt;NDC!$C$65,CM216&gt;NDC!$D$73,CN216&gt;NDC!$D$74,$B216&gt;NDC!$H$22-0.1+MIN(3*CO$12,1.5)),0,1)</f>
        <v>#N/A</v>
      </c>
      <c r="CP216" s="86" t="b">
        <f t="shared" si="349"/>
        <v>0</v>
      </c>
      <c r="CQ216" s="86">
        <f t="shared" si="350"/>
        <v>0.5</v>
      </c>
      <c r="CR216" s="86">
        <f t="shared" si="351"/>
        <v>0.5</v>
      </c>
      <c r="CS216" s="30" t="e">
        <f t="shared" ca="1" si="384"/>
        <v>#DIV/0!</v>
      </c>
      <c r="CT216" s="85" t="e">
        <f ca="1">IF(BZ216&lt;=Hypothèses!$V$7,Hypothèses!$W$7,IF(BZ216&lt;=Hypothèses!$V$8,Hypothèses!$W$8,IF(BZ216&lt;=Hypothèses!$V$9,Hypothèses!$W$9,IF(BZ216&lt;=Hypothèses!$V$10,Hypothèses!$W$10,IF(BZ216&lt;=Hypothèses!$V$11,Hypothèses!$W$11,IF(BZ216&lt;=Hypothèses!$V$12,Hypothèses!$W$12,IF(BZ216&lt;=Hypothèses!$V$13,Hypothèses!$W$13,IF(BZ216&lt;=Hypothèses!$V$14,Hypothèses!$W$14,IF(BZ216&lt;=Hypothèses!$V$15,Hypothèses!$W$15,IF(BZ216&lt;=Hypothèses!$V$16,Hypothèses!$W$16,IF(BZ216&lt;=Hypothèses!$V$17,Hypothèses!$W$17,IF(BZ216&lt;=Hypothèses!$V$18,Hypothèses!$W$18,""))))))))))))</f>
        <v>#DIV/0!</v>
      </c>
      <c r="CU216" s="87" t="e">
        <f t="shared" ca="1" si="420"/>
        <v>#DIV/0!</v>
      </c>
      <c r="CV216" s="88" t="e">
        <f ca="1">IF(BZ216&lt;=Hypothèses!$V$7,Hypothèses!$X$7,IF(BZ216&lt;=Hypothèses!$V$8,Hypothèses!$X$8,IF(BZ216&lt;=Hypothèses!$V$9,Hypothèses!$X$9,IF(BZ216&lt;=Hypothèses!$V$10,Hypothèses!$X$10,IF(BZ216&lt;=Hypothèses!$V$11,Hypothèses!$X$11,IF(BZ216&lt;=Hypothèses!$V$12,Hypothèses!$X$12,IF(BZ216&lt;=Hypothèses!$V$13,Hypothèses!$X$13,IF(BZ216&lt;=Hypothèses!$V$14,Hypothèses!$X$14,IF(BZ216&lt;=Hypothèses!$V$15,Hypothèses!$X$15,IF(BZ216&lt;=Hypothèses!$V$16,Hypothèses!$X$16,IF(BZ216&lt;=Hypothèses!$U$17,Hypothèses!$W$17,IF(BZ216&lt;=Hypothèses!$U$18,Hypothèses!$W$18,""))))))))))))</f>
        <v>#DIV/0!</v>
      </c>
      <c r="CW216" s="95" t="e">
        <f t="shared" ca="1" si="385"/>
        <v>#DIV/0!</v>
      </c>
      <c r="CX216" s="101">
        <f t="shared" si="427"/>
        <v>0</v>
      </c>
      <c r="CY216" s="91">
        <f t="shared" si="352"/>
        <v>0</v>
      </c>
      <c r="CZ216" s="30" t="e">
        <f t="shared" si="408"/>
        <v>#N/A</v>
      </c>
      <c r="DA216" s="30" t="e">
        <f t="shared" si="409"/>
        <v>#N/A</v>
      </c>
      <c r="DB216" s="31" t="e">
        <f>IF(OR(Hypothèses!$B$4=17,Hypothèses!$B$4=18,Hypothèses!$B$4=19,Hypothèses!$B$4=20),
IF($D216="Pressio.",
IF(OR($E216=3,$E216=1,$E216=4),DA216,CZ216),
IF($D216="Pénétro.",
IF(OR($E216=3,$E216=1,$E216=4),DA216,CZ216))),IF($D216="Pressio.",
IF($E216=3,DA216,CZ216),
IF($D216="Pénétro.",
IF($E216=4,DA216,CZ216))))</f>
        <v>#N/A</v>
      </c>
      <c r="DC216" s="31">
        <v>0</v>
      </c>
      <c r="DD216" s="102" t="e">
        <f>IF(NDC!$H$10="Oui",(VLOOKUP($B$3,'Coeff EC7'!$T$39:$X$59,2,0)*DB216+VLOOKUP($B$3,'Coeff EC7'!$T$65:$X$85,2,0)*Model0.1T!DC216)/1.5,PI()*CZ$12*$Q216*($B216-$B215)*0.15/10+DD215)</f>
        <v>#N/A</v>
      </c>
      <c r="DE216" s="102" t="e">
        <f>(VLOOKUP($B$3,'Coeff EC7'!$T$39:$X$59,3,0)*DB216+VLOOKUP($B$3,'Coeff EC7'!$T$65:$X$85,3,0)*Model0.1T!DC216)/1.1</f>
        <v>#N/A</v>
      </c>
      <c r="DF216" s="102" t="e">
        <f t="shared" si="386"/>
        <v>#N/A</v>
      </c>
      <c r="DG216" s="102" t="e">
        <f t="shared" si="387"/>
        <v>#N/A</v>
      </c>
      <c r="DH216" s="414" t="e">
        <f>IF(AND(DD216&gt;NDC!$C$63,DE216&gt;NDC!$C$65,DF216&gt;NDC!$D$73,DG216&gt;NDC!$D$74,$B216&gt;NDC!$H$22-0.1+MIN(3*DH$12,1.5)),0,1)</f>
        <v>#N/A</v>
      </c>
      <c r="DI216" s="86" t="b">
        <f t="shared" si="353"/>
        <v>0</v>
      </c>
      <c r="DJ216" s="86">
        <f t="shared" si="354"/>
        <v>0.5</v>
      </c>
      <c r="DK216" s="86">
        <f t="shared" si="355"/>
        <v>0.5</v>
      </c>
      <c r="DL216" s="30" t="e">
        <f t="shared" ca="1" si="388"/>
        <v>#DIV/0!</v>
      </c>
      <c r="DM216" s="85" t="e">
        <f ca="1">IF(CS216&lt;=Hypothèses!$V$7,Hypothèses!$W$7,IF(CS216&lt;=Hypothèses!$V$8,Hypothèses!$W$8,IF(CS216&lt;=Hypothèses!$V$9,Hypothèses!$W$9,IF(CS216&lt;=Hypothèses!$V$10,Hypothèses!$W$10,IF(CS216&lt;=Hypothèses!$V$11,Hypothèses!$W$11,IF(CS216&lt;=Hypothèses!$V$12,Hypothèses!$W$12,IF(CS216&lt;=Hypothèses!$V$13,Hypothèses!$W$13,IF(CS216&lt;=Hypothèses!$V$14,Hypothèses!$W$14,IF(CS216&lt;=Hypothèses!$V$15,Hypothèses!$W$15,IF(CS216&lt;=Hypothèses!$V$16,Hypothèses!$W$16,IF(CS216&lt;=Hypothèses!$V$17,Hypothèses!$W$17,IF(CS216&lt;=Hypothèses!$V$18,Hypothèses!$W$18,""))))))))))))</f>
        <v>#DIV/0!</v>
      </c>
      <c r="DN216" s="87" t="e">
        <f t="shared" ca="1" si="421"/>
        <v>#DIV/0!</v>
      </c>
      <c r="DO216" s="88" t="e">
        <f ca="1">IF(CS216&lt;=Hypothèses!$V$7,Hypothèses!$X$7,IF(CS216&lt;=Hypothèses!$V$8,Hypothèses!$X$8,IF(CS216&lt;=Hypothèses!$V$9,Hypothèses!$X$9,IF(CS216&lt;=Hypothèses!$V$10,Hypothèses!$X$10,IF(CS216&lt;=Hypothèses!$V$11,Hypothèses!$X$11,IF(CS216&lt;=Hypothèses!$V$12,Hypothèses!$X$12,IF(CS216&lt;=Hypothèses!$V$13,Hypothèses!$X$13,IF(CS216&lt;=Hypothèses!$V$14,Hypothèses!$X$14,IF(CS216&lt;=Hypothèses!$V$15,Hypothèses!$X$15,IF(CS216&lt;=Hypothèses!$V$16,Hypothèses!$X$16,IF(CS216&lt;=Hypothèses!$U$17,Hypothèses!$W$17,IF(CS216&lt;=Hypothèses!$U$18,Hypothèses!$W$18,""))))))))))))</f>
        <v>#DIV/0!</v>
      </c>
      <c r="DP216" s="95" t="e">
        <f t="shared" ca="1" si="389"/>
        <v>#DIV/0!</v>
      </c>
      <c r="DQ216" s="101">
        <f t="shared" si="428"/>
        <v>0</v>
      </c>
      <c r="DR216" s="91">
        <f t="shared" si="356"/>
        <v>0</v>
      </c>
      <c r="DS216" s="30" t="e">
        <f t="shared" si="410"/>
        <v>#N/A</v>
      </c>
      <c r="DT216" s="30" t="e">
        <f t="shared" si="411"/>
        <v>#N/A</v>
      </c>
      <c r="DU216" s="31" t="e">
        <f>IF(OR(Hypothèses!$B$4=17,Hypothèses!$B$4=18,Hypothèses!$B$4=19,Hypothèses!$B$4=20),
IF($D216="Pressio.",
IF(OR($E216=3,$E216=1,$E216=4),DT216,DS216),
IF($D216="Pénétro.",
IF(OR($E216=3,$E216=1,$E216=4),DT216,DS216))),IF($D216="Pressio.",
IF($E216=3,DT216,DS216),
IF($D216="Pénétro.",
IF($E216=4,DT216,DS216))))</f>
        <v>#N/A</v>
      </c>
      <c r="DV216" s="31">
        <v>0</v>
      </c>
      <c r="DW216" s="102" t="e">
        <f>IF(NDC!$H$10="Oui",(VLOOKUP($B$3,'Coeff EC7'!$T$39:$X$59,2,0)*DU216+VLOOKUP($B$3,'Coeff EC7'!$T$65:$X$85,2,0)*Model0.1T!DV216)/1.5,PI()*DS$12*$Q216*($B216-$B215)*0.15/10+DW215)</f>
        <v>#N/A</v>
      </c>
      <c r="DX216" s="102" t="e">
        <f>(VLOOKUP($B$3,'Coeff EC7'!$T$39:$X$59,3,0)*DU216+VLOOKUP($B$3,'Coeff EC7'!$T$65:$X$85,3,0)*Model0.1T!DV216)/1.1</f>
        <v>#N/A</v>
      </c>
      <c r="DY216" s="102" t="e">
        <f t="shared" si="390"/>
        <v>#N/A</v>
      </c>
      <c r="DZ216" s="102" t="e">
        <f t="shared" si="391"/>
        <v>#N/A</v>
      </c>
      <c r="EA216" s="414" t="e">
        <f>IF(AND(DW216&gt;NDC!$C$63,DX216&gt;NDC!$C$65,DY216&gt;NDC!$D$73,DZ216&gt;NDC!$D$74,$B216&gt;NDC!$H$22-0.1+MIN(3*EA$12,1.5)),0,1)</f>
        <v>#N/A</v>
      </c>
      <c r="EB216" s="86" t="b">
        <f t="shared" si="357"/>
        <v>0</v>
      </c>
      <c r="EC216" s="418">
        <f t="shared" si="358"/>
        <v>0.51</v>
      </c>
      <c r="ED216" s="86">
        <f t="shared" si="359"/>
        <v>0.51</v>
      </c>
      <c r="EE216" s="30" t="e">
        <f t="shared" ca="1" si="392"/>
        <v>#DIV/0!</v>
      </c>
      <c r="EF216" s="85" t="e">
        <f ca="1">IF(DL216&lt;=Hypothèses!$V$7,Hypothèses!$W$7,IF(DL216&lt;=Hypothèses!$V$8,Hypothèses!$W$8,IF(DL216&lt;=Hypothèses!$V$9,Hypothèses!$W$9,IF(DL216&lt;=Hypothèses!$V$10,Hypothèses!$W$10,IF(DL216&lt;=Hypothèses!$V$11,Hypothèses!$W$11,IF(DL216&lt;=Hypothèses!$V$12,Hypothèses!$W$12,IF(DL216&lt;=Hypothèses!$V$13,Hypothèses!$W$13,IF(DL216&lt;=Hypothèses!$V$14,Hypothèses!$W$14,IF(DL216&lt;=Hypothèses!$V$15,Hypothèses!$W$15,IF(DL216&lt;=Hypothèses!$V$16,Hypothèses!$W$16,IF(DL216&lt;=Hypothèses!$V$17,Hypothèses!$W$17,IF(DL216&lt;=Hypothèses!$V$18,Hypothèses!$W$18,""))))))))))))</f>
        <v>#DIV/0!</v>
      </c>
      <c r="EG216" s="87" t="e">
        <f t="shared" ca="1" si="422"/>
        <v>#DIV/0!</v>
      </c>
      <c r="EH216" s="88" t="e">
        <f ca="1">IF(DL216&lt;=Hypothèses!$V$7,Hypothèses!$X$7,IF(DL216&lt;=Hypothèses!$V$8,Hypothèses!$X$8,IF(DL216&lt;=Hypothèses!$V$9,Hypothèses!$X$9,IF(DL216&lt;=Hypothèses!$V$10,Hypothèses!$X$10,IF(DL216&lt;=Hypothèses!$V$11,Hypothèses!$X$11,IF(DL216&lt;=Hypothèses!$V$12,Hypothèses!$X$12,IF(DL216&lt;=Hypothèses!$V$13,Hypothèses!$X$13,IF(DL216&lt;=Hypothèses!$V$14,Hypothèses!$X$14,IF(DL216&lt;=Hypothèses!$V$15,Hypothèses!$X$15,IF(DL216&lt;=Hypothèses!$V$16,Hypothèses!$X$16,IF(DL216&lt;=Hypothèses!$U$17,Hypothèses!$W$17,IF(DL216&lt;=Hypothèses!$U$18,Hypothèses!$W$18,""))))))))))))</f>
        <v>#DIV/0!</v>
      </c>
      <c r="EI216" s="95" t="e">
        <f t="shared" ca="1" si="393"/>
        <v>#DIV/0!</v>
      </c>
      <c r="EJ216" s="101">
        <f t="shared" si="429"/>
        <v>0</v>
      </c>
      <c r="EK216" s="91">
        <f t="shared" si="360"/>
        <v>0</v>
      </c>
      <c r="EL216" s="30" t="e">
        <f t="shared" si="412"/>
        <v>#N/A</v>
      </c>
      <c r="EM216" s="30" t="e">
        <f t="shared" si="413"/>
        <v>#N/A</v>
      </c>
      <c r="EN216" s="31" t="e">
        <f>IF(OR(Hypothèses!$B$4=17,Hypothèses!$B$4=18,Hypothèses!$B$4=19,Hypothèses!$B$4=20),
IF($D216="Pressio.",
IF(OR($E216=3,$E216=1,$E216=4),EM216,EL216),
IF($D216="Pénétro.",
IF(OR($E216=3,$E216=1,$E216=4),EM216,EL216))),IF($D216="Pressio.",
IF($E216=3,EM216,EL216),
IF($D216="Pénétro.",
IF($E216=4,EM216,EL216))))</f>
        <v>#N/A</v>
      </c>
      <c r="EO216" s="31">
        <v>0</v>
      </c>
      <c r="EP216" s="102" t="e">
        <f>IF(NDC!$H$10="Oui",(VLOOKUP($B$3,'Coeff EC7'!$T$39:$X$59,2,0)*EN216+VLOOKUP($B$3,'Coeff EC7'!$T$65:$X$85,2,0)*Model0.1T!EO216)/1.5,PI()*EL$12*$Q216*($B216-$B215)*0.15/10+EP215)</f>
        <v>#N/A</v>
      </c>
      <c r="EQ216" s="102" t="e">
        <f>(VLOOKUP($B$3,'Coeff EC7'!$T$39:$X$59,3,0)*EN216+VLOOKUP($B$3,'Coeff EC7'!$T$65:$X$85,3,0)*Model0.1T!EO216)/1.1</f>
        <v>#N/A</v>
      </c>
      <c r="ER216" s="102" t="e">
        <f t="shared" si="394"/>
        <v>#N/A</v>
      </c>
      <c r="ES216" s="102" t="e">
        <f t="shared" si="395"/>
        <v>#N/A</v>
      </c>
      <c r="ET216" s="414" t="e">
        <f>IF(AND(EP216&gt;NDC!$C$63,EQ216&gt;NDC!$C$65,ER216&gt;NDC!$D$73,ES216&gt;NDC!$D$74,$B216&gt;NDC!$H$22-0.1+MIN(3*ET$12,1.5)),0,1)</f>
        <v>#N/A</v>
      </c>
      <c r="EU216" s="86" t="b">
        <f t="shared" si="361"/>
        <v>0</v>
      </c>
      <c r="EV216" s="86">
        <f t="shared" si="362"/>
        <v>0.61</v>
      </c>
      <c r="EW216" s="86">
        <f t="shared" si="363"/>
        <v>0.61</v>
      </c>
      <c r="EX216" s="30" t="e">
        <f t="shared" ca="1" si="396"/>
        <v>#DIV/0!</v>
      </c>
      <c r="EY216" s="85" t="e">
        <f ca="1">IF(EE216&lt;=Hypothèses!$V$7,Hypothèses!$W$7,IF(EE216&lt;=Hypothèses!$V$8,Hypothèses!$W$8,IF(EE216&lt;=Hypothèses!$V$9,Hypothèses!$W$9,IF(EE216&lt;=Hypothèses!$V$10,Hypothèses!$W$10,IF(EE216&lt;=Hypothèses!$V$11,Hypothèses!$W$11,IF(EE216&lt;=Hypothèses!$V$12,Hypothèses!$W$12,IF(EE216&lt;=Hypothèses!$V$13,Hypothèses!$W$13,IF(EE216&lt;=Hypothèses!$V$14,Hypothèses!$W$14,IF(EE216&lt;=Hypothèses!$V$15,Hypothèses!$W$15,IF(EE216&lt;=Hypothèses!$V$16,Hypothèses!$W$16,IF(EE216&lt;=Hypothèses!$V$17,Hypothèses!$W$17,IF(EE216&lt;=Hypothèses!$V$18,Hypothèses!$W$18,""))))))))))))</f>
        <v>#DIV/0!</v>
      </c>
      <c r="EZ216" s="87" t="e">
        <f t="shared" ca="1" si="423"/>
        <v>#DIV/0!</v>
      </c>
      <c r="FA216" s="88" t="e">
        <f ca="1">IF(EE216&lt;=Hypothèses!$V$7,Hypothèses!$X$7,IF(EE216&lt;=Hypothèses!$V$8,Hypothèses!$X$8,IF(EE216&lt;=Hypothèses!$V$9,Hypothèses!$X$9,IF(EE216&lt;=Hypothèses!$V$10,Hypothèses!$X$10,IF(EE216&lt;=Hypothèses!$V$11,Hypothèses!$X$11,IF(EE216&lt;=Hypothèses!$V$12,Hypothèses!$X$12,IF(EE216&lt;=Hypothèses!$V$13,Hypothèses!$X$13,IF(EE216&lt;=Hypothèses!$V$14,Hypothèses!$X$14,IF(EE216&lt;=Hypothèses!$V$15,Hypothèses!$X$15,IF(EE216&lt;=Hypothèses!$V$16,Hypothèses!$X$16,IF(EE216&lt;=Hypothèses!$U$17,Hypothèses!$W$17,IF(EE216&lt;=Hypothèses!$U$18,Hypothèses!$W$18,""))))))))))))</f>
        <v>#DIV/0!</v>
      </c>
      <c r="FB216" s="95" t="e">
        <f t="shared" ca="1" si="397"/>
        <v>#DIV/0!</v>
      </c>
      <c r="FC216" s="101">
        <f t="shared" si="430"/>
        <v>0</v>
      </c>
      <c r="FD216" s="91">
        <f t="shared" si="364"/>
        <v>0</v>
      </c>
      <c r="FE216" s="30" t="e">
        <f t="shared" si="414"/>
        <v>#N/A</v>
      </c>
      <c r="FF216" s="30" t="e">
        <f t="shared" si="415"/>
        <v>#N/A</v>
      </c>
      <c r="FG216" s="31" t="e">
        <f>IF(OR(Hypothèses!$B$4=17,Hypothèses!$B$4=18,Hypothèses!$B$4=19,Hypothèses!$B$4=20),
IF($D216="Pressio.",
IF(OR($E216=3,$E216=1,$E216=4),FF216,FE216),
IF($D216="Pénétro.",
IF(OR($E216=3,$E216=1,$E216=4),FF216,FE216))),IF($D216="Pressio.",
IF($E216=3,FF216,FE216),
IF($D216="Pénétro.",
IF($E216=4,FF216,FE216))))</f>
        <v>#N/A</v>
      </c>
      <c r="FH216" s="31">
        <v>0</v>
      </c>
      <c r="FI216" s="102" t="e">
        <f>IF(NDC!$H$10="Oui",(VLOOKUP($B$3,'Coeff EC7'!$T$39:$X$59,2,0)*FG216+VLOOKUP($B$3,'Coeff EC7'!$T$65:$X$85,2,0)*Model0.1T!FH216)/1.5,PI()*FE$12*$Q216*($B216-$B215)*0.15/10+FI215)</f>
        <v>#N/A</v>
      </c>
      <c r="FJ216" s="102" t="e">
        <f>(VLOOKUP($B$3,'Coeff EC7'!$T$39:$X$59,3,0)*FG216+VLOOKUP($B$3,'Coeff EC7'!$T$65:$X$85,3,0)*Model0.1T!FH216)/1.1</f>
        <v>#N/A</v>
      </c>
      <c r="FK216" s="102" t="e">
        <f t="shared" si="398"/>
        <v>#N/A</v>
      </c>
      <c r="FL216" s="102" t="e">
        <f t="shared" si="399"/>
        <v>#N/A</v>
      </c>
      <c r="FM216" s="414" t="e">
        <f>IF(AND(FI216&gt;NDC!$C$63,FJ216&gt;NDC!$C$65,FK216&gt;NDC!$D$73,FL216&gt;NDC!$D$74,$B216&gt;NDC!$H$22-0.1+MIN(3*FM$12,1.5)),0,1)</f>
        <v>#N/A</v>
      </c>
    </row>
    <row r="217" spans="1:169">
      <c r="A217" s="96">
        <f t="shared" si="365"/>
        <v>79.60000000000116</v>
      </c>
      <c r="B217" s="97">
        <v>20.399999999999999</v>
      </c>
      <c r="C217" s="81">
        <f>IF(B217&lt;=Hypothèses!$C$7,Hypothèses!$A$7,IF(B217&lt;=Hypothèses!$C$8,Hypothèses!$A$8,IF(B217&lt;=Hypothèses!$C$9,Hypothèses!$A$9,IF(B217&lt;=Hypothèses!$C$10,Hypothèses!$A$10,IF(B217&lt;=Hypothèses!$C$11,Hypothèses!$A$11,IF(B217&lt;=Hypothèses!$C$12,Hypothèses!$A$12,IF(B217&lt;=Hypothèses!$C$13,Hypothèses!$A$13,IF(B217&lt;=Hypothèses!$C$14,Hypothèses!$A$14,IF(B217&lt;=Hypothèses!$C$15,Hypothèses!$A$15,IF(B217&lt;=Hypothèses!$C$16,Hypothèses!$A$16,IF(B217&lt;=Hypothèses!$C$17,Hypothèses!$A$17,IF(B217&lt;=Hypothèses!$C$18,Hypothèses!$A$18,C216))))))))))))</f>
        <v>11</v>
      </c>
      <c r="D217" s="82" t="str">
        <f>IF(B217&lt;=Hypothèses!$C$7,Hypothèses!$R$7,IF(B217&lt;=Hypothèses!$C$8,Hypothèses!$R$8,IF(B217&lt;=Hypothèses!$C$9,Hypothèses!$R$9,IF(B217&lt;=Hypothèses!$C$10,Hypothèses!$R$10,IF(B217&lt;=Hypothèses!$C$11,Hypothèses!$R$11,IF(B217&lt;=Hypothèses!$C$12,Hypothèses!$R$12,IF(B217&lt;=Hypothèses!$C$13,Hypothèses!$R$13,IF(B217&lt;=Hypothèses!$C$14,Hypothèses!$R$14,IF(B217&lt;=Hypothèses!$C$15,Hypothèses!$R$15,IF(B217&lt;=Hypothèses!$C$16,Hypothèses!$R$16,IF(B217&lt;=Hypothèses!$C$17,Hypothèses!$R$17,IF(B217&lt;=Hypothèses!$C$18,Hypothèses!$R$18,D216))))))))))))</f>
        <v>Pressio.</v>
      </c>
      <c r="E217" s="82" t="e">
        <f>IF(B217&lt;=Hypothèses!$C$7,Hypothèses!$G$7,IF(B217&lt;=Hypothèses!$C$8,Hypothèses!$G$8,IF(B217&lt;=Hypothèses!$C$9,Hypothèses!$G$9,IF(B217&lt;=Hypothèses!$C$10,Hypothèses!$G$10,IF(B217&lt;=Hypothèses!$C$11,Hypothèses!$G$11,IF(B217&lt;=Hypothèses!$C$12,Hypothèses!$G$12,IF(B217&lt;=Hypothèses!$C$13,Hypothèses!$G$13,IF(B217&lt;=Hypothèses!$C$14,Hypothèses!$G$14,IF(B217&lt;=Hypothèses!$C$15,Hypothèses!$G$15,IF(B217&lt;=Hypothèses!$C$16,Hypothèses!$G$16,IF(B217&lt;=Hypothèses!$C$17,Hypothèses!$G$17,IF(B217&lt;=Hypothèses!$C$18,Hypothèses!$G$18,E216))))))))))))</f>
        <v>#N/A</v>
      </c>
      <c r="F217" s="82" t="str">
        <f>IF(B217&lt;=Hypothèses!$C$7,Hypothèses!$F$7,IF(B217&lt;=Hypothèses!$C$8,Hypothèses!$F$8,IF(B217&lt;=Hypothèses!$C$9,Hypothèses!$F$9,IF(B217&lt;=Hypothèses!$C$10,Hypothèses!$F$10,IF(B217&lt;=Hypothèses!$C$11,Hypothèses!$F$11,IF(B217&lt;=Hypothèses!$C$12,Hypothèses!$F$12,IF(B217&lt;=Hypothèses!$C$13,Hypothèses!$F$13,IF(B217&lt;=Hypothèses!$C$14,Hypothèses!$F$14,IF(B217&lt;=Hypothèses!$C$15,Hypothèses!$F$15,IF(B217&lt;=Hypothèses!$C$16,Hypothèses!$F$16,IF(B217&lt;=Hypothèses!$C$17,Hypothèses!$F$17,IF(B217&lt;=Hypothèses!$C$18,Hypothèses!$F$18,F216))))))))))))</f>
        <v/>
      </c>
      <c r="G217" s="91">
        <f t="array" ref="G217">INDEX('Coeff EC7'!$U$7:$X$27,
MATCH(Model0.1T!$B$3,'Coeff EC7'!$T$7:$T$27,0),
MATCH(Model0.1T!$D217&amp;Model0.1T!$B$4,
'Coeff EC7'!$U$6:$X$6&amp;
'Coeff EC7'!$U$5:$X$5,0))</f>
        <v>1.4</v>
      </c>
      <c r="H217" s="91">
        <f t="array" ref="H217">INDEX('Coeff EC7'!$Y$7:$AB$27,
MATCH(Model0.1T!$B$3,'Coeff EC7'!$T$7:$T$27,0),
MATCH(Model0.1T!$D217&amp;Model0.1T!$B$4,
'Coeff EC7'!$Y$6:$AB$6&amp;
'Coeff EC7'!$Y$5:$AB$5,0))</f>
        <v>1.7</v>
      </c>
      <c r="I217" s="83">
        <v>0</v>
      </c>
      <c r="J217" s="91" t="e">
        <f t="array" ref="J217">INDEX('Coeff EC7'!$D$33:$Q$33,1,MATCH(D217&amp;E217,'Coeff EC7'!$D$31:$Q$31&amp;'Coeff EC7'!$D$32:$Q$32,0))</f>
        <v>#N/A</v>
      </c>
      <c r="K217" s="91" t="e">
        <f t="array" ref="K217">INDEX('Coeff EC7'!$D$34:$Q$34,1,MATCH(D217&amp;E217,'Coeff EC7'!$D$31:$Q$31&amp;'Coeff EC7'!$D$32:$Q$32,0))</f>
        <v>#N/A</v>
      </c>
      <c r="L217" s="91" t="e">
        <f t="array" ref="L217">INDEX('Coeff EC7'!$D$35:$Q$35,1,MATCH(D217&amp;E217,'Coeff EC7'!$D$31:$Q$31&amp;'Coeff EC7'!$D$32:$Q$32,0))</f>
        <v>#N/A</v>
      </c>
      <c r="M217" s="98" t="e">
        <f t="shared" si="331"/>
        <v>#N/A</v>
      </c>
      <c r="N217" s="99" t="e">
        <f t="array" ref="N217">INDEX('Coeff EC7'!$D$7:$Q$27,MATCH($B$3,'Coeff EC7'!$C$7:$C$27,0),MATCH(D217&amp;E217,'Coeff EC7'!$D$5:$Q$5&amp;'Coeff EC7'!$D$6:$Q$6,0))</f>
        <v>#N/A</v>
      </c>
      <c r="O217" s="99" t="e">
        <f t="array" ref="O217">INDEX('Coeff EC7'!$D$41:$Q$61,MATCH($B$3,'Coeff EC7'!$C$41:$C$61,0),MATCH(D217&amp;E217,'Coeff EC7'!$D$39:$Q$39&amp;'Coeff EC7'!$D$40:$Q$40,0))</f>
        <v>#N/A</v>
      </c>
      <c r="P217" s="30" t="e">
        <f t="shared" si="366"/>
        <v>#N/A</v>
      </c>
      <c r="Q217" s="100" t="e">
        <f t="shared" si="333"/>
        <v>#N/A</v>
      </c>
      <c r="R217" s="86" t="b">
        <f t="shared" si="334"/>
        <v>0</v>
      </c>
      <c r="S217" s="86">
        <f t="shared" si="332"/>
        <v>0.5</v>
      </c>
      <c r="T217" s="86">
        <f t="shared" si="335"/>
        <v>0.5</v>
      </c>
      <c r="U217" s="30" t="e">
        <f t="shared" ca="1" si="367"/>
        <v>#DIV/0!</v>
      </c>
      <c r="V217" s="85" t="str">
        <f>IF(B217&lt;=Hypothèses!$V$7,Hypothèses!$W$7,IF(B217&lt;=Hypothèses!$V$8,Hypothèses!$W$8,IF(B217&lt;=Hypothèses!$V$9,Hypothèses!$W$9,IF(B217&lt;=Hypothèses!$V$10,Hypothèses!$W$10,IF(B217&lt;=Hypothèses!$V$11,Hypothèses!$W$11,IF(B217&lt;=Hypothèses!$V$12,Hypothèses!$W$12,IF(B217&lt;=Hypothèses!$V$13,Hypothèses!$W$13,IF(B217&lt;=Hypothèses!$V$14,Hypothèses!$W$14,IF(B217&lt;=Hypothèses!$V$15,Hypothèses!$W$15,IF(B217&lt;=Hypothèses!$V$16,Hypothèses!$W$16,IF(B217&lt;=Hypothèses!$V$17,Hypothèses!$W$17,IF(B217&lt;=Hypothèses!$V$18,Hypothèses!$W$18,""))))))))))))</f>
        <v/>
      </c>
      <c r="W217" s="87" t="e">
        <f t="shared" ca="1" si="416"/>
        <v>#DIV/0!</v>
      </c>
      <c r="X217" s="88" t="str">
        <f>IF(B217&lt;=Hypothèses!$V$7,Hypothèses!$X$7,IF(B217&lt;=Hypothèses!$V$8,Hypothèses!$X$8,IF(B217&lt;=Hypothèses!$V$9,Hypothèses!$X$9,IF(B217&lt;=Hypothèses!$V$10,Hypothèses!$X$10,IF(B217&lt;=Hypothèses!$V$11,Hypothèses!$X$11,IF(B217&lt;=Hypothèses!$V$12,Hypothèses!$X$12,IF(B217&lt;=Hypothèses!$V$13,Hypothèses!$X$13,IF(B217&lt;=Hypothèses!$V$14,Hypothèses!$X$14,IF(B217&lt;=Hypothèses!$V$15,Hypothèses!$X$15,IF(B217&lt;=Hypothèses!$V$16,Hypothèses!$X$16,IF(B217&lt;=Hypothèses!$U$17,Hypothèses!$W$17,IF(B217&lt;=Hypothèses!$U$18,Hypothèses!$W$18,""))))))))))))</f>
        <v/>
      </c>
      <c r="Y217" s="95" t="e">
        <f t="shared" ca="1" si="336"/>
        <v>#DIV/0!</v>
      </c>
      <c r="Z217" s="101">
        <f t="shared" si="337"/>
        <v>0</v>
      </c>
      <c r="AA217" s="91">
        <f t="shared" si="338"/>
        <v>0</v>
      </c>
      <c r="AB217" s="30" t="e">
        <f t="shared" si="400"/>
        <v>#N/A</v>
      </c>
      <c r="AC217" s="30" t="e">
        <f t="shared" si="401"/>
        <v>#N/A</v>
      </c>
      <c r="AD217" s="31" t="e">
        <f>IF(OR(Hypothèses!$B$4=17,Hypothèses!$B$4=18,Hypothèses!$B$4=19,Hypothèses!$B$4=20),
IF($D217="Pressio.",
IF(OR($E217=3,$E217=1,$E217=4),AC217,AB217),
IF($D217="Pénétro.",
IF(OR($E217=3,$E217=1,$E217=4),AC217,AB217))),IF($D217="Pressio.",
IF($E217=3,AC217,AB217),
IF($D217="Pénétro.",
IF($E217=4,AC217,AB217))))</f>
        <v>#N/A</v>
      </c>
      <c r="AE217" s="31">
        <v>0</v>
      </c>
      <c r="AF217" s="102" t="e">
        <f>IF(NDC!$H$10="Oui",(VLOOKUP($B$3,'Coeff EC7'!$T$39:$X$59,2,0)*AD217+VLOOKUP($B$3,'Coeff EC7'!$T$65:$X$85,2,0)*Model0.1T!AE217)/1.5,PI()*AB$12*$Q217*($B217-$B216)*0.15/10+AF216)</f>
        <v>#N/A</v>
      </c>
      <c r="AG217" s="102" t="e">
        <f>(VLOOKUP($B$3,'Coeff EC7'!$T$39:$X$59,3,0)*AD217+VLOOKUP($B$3,'Coeff EC7'!$T$65:$X$85,3,0)*Model0.1T!AE217)/1.1</f>
        <v>#N/A</v>
      </c>
      <c r="AH217" s="102" t="e">
        <f t="shared" si="368"/>
        <v>#N/A</v>
      </c>
      <c r="AI217" s="102" t="e">
        <f t="shared" si="369"/>
        <v>#N/A</v>
      </c>
      <c r="AJ217" s="414" t="e">
        <f>IF(AND(AF217&gt;NDC!$C$63,AG217&gt;NDC!$C$65,AH217&gt;NDC!$D$73,AI217&gt;NDC!$D$74,$B217&gt;NDC!$H$22-0.1+MIN(3*$AJ$12,1.5)),0,1)</f>
        <v>#N/A</v>
      </c>
      <c r="AK217" s="86" t="b">
        <f t="shared" si="339"/>
        <v>0</v>
      </c>
      <c r="AL217" s="86">
        <f t="shared" si="370"/>
        <v>0.5</v>
      </c>
      <c r="AM217" s="86">
        <f t="shared" si="340"/>
        <v>0.5</v>
      </c>
      <c r="AN217" s="30" t="e">
        <f t="shared" ca="1" si="371"/>
        <v>#DIV/0!</v>
      </c>
      <c r="AO217" s="85" t="e">
        <f ca="1">IF(U217&lt;=Hypothèses!$V$7,Hypothèses!$W$7,IF(U217&lt;=Hypothèses!$V$8,Hypothèses!$W$8,IF(U217&lt;=Hypothèses!$V$9,Hypothèses!$W$9,IF(U217&lt;=Hypothèses!$V$10,Hypothèses!$W$10,IF(U217&lt;=Hypothèses!$V$11,Hypothèses!$W$11,IF(U217&lt;=Hypothèses!$V$12,Hypothèses!$W$12,IF(U217&lt;=Hypothèses!$V$13,Hypothèses!$W$13,IF(U217&lt;=Hypothèses!$V$14,Hypothèses!$W$14,IF(U217&lt;=Hypothèses!$V$15,Hypothèses!$W$15,IF(U217&lt;=Hypothèses!$V$16,Hypothèses!$W$16,IF(U217&lt;=Hypothèses!$V$17,Hypothèses!$W$17,IF(U217&lt;=Hypothèses!$V$18,Hypothèses!$W$18,""))))))))))))</f>
        <v>#DIV/0!</v>
      </c>
      <c r="AP217" s="87" t="e">
        <f t="shared" ca="1" si="417"/>
        <v>#DIV/0!</v>
      </c>
      <c r="AQ217" s="88" t="e">
        <f ca="1">IF(U217&lt;=Hypothèses!$V$7,Hypothèses!$X$7,IF(U217&lt;=Hypothèses!$V$8,Hypothèses!$X$8,IF(U217&lt;=Hypothèses!$V$9,Hypothèses!$X$9,IF(U217&lt;=Hypothèses!$V$10,Hypothèses!$X$10,IF(U217&lt;=Hypothèses!$V$11,Hypothèses!$X$11,IF(U217&lt;=Hypothèses!$V$12,Hypothèses!$X$12,IF(U217&lt;=Hypothèses!$V$13,Hypothèses!$X$13,IF(U217&lt;=Hypothèses!$V$14,Hypothèses!$X$14,IF(U217&lt;=Hypothèses!$V$15,Hypothèses!$X$15,IF(U217&lt;=Hypothèses!$V$16,Hypothèses!$X$16,IF(U217&lt;=Hypothèses!$U$17,Hypothèses!$W$17,IF(U217&lt;=Hypothèses!$U$18,Hypothèses!$W$18,""))))))))))))</f>
        <v>#DIV/0!</v>
      </c>
      <c r="AR217" s="95" t="e">
        <f t="shared" ca="1" si="372"/>
        <v>#DIV/0!</v>
      </c>
      <c r="AS217" s="101">
        <f t="shared" si="424"/>
        <v>0</v>
      </c>
      <c r="AT217" s="91">
        <f t="shared" si="341"/>
        <v>0</v>
      </c>
      <c r="AU217" s="30" t="e">
        <f t="shared" si="402"/>
        <v>#N/A</v>
      </c>
      <c r="AV217" s="30" t="e">
        <f t="shared" si="403"/>
        <v>#N/A</v>
      </c>
      <c r="AW217" s="31" t="e">
        <f>IF(OR(Hypothèses!$B$4=17,Hypothèses!$B$4=18,Hypothèses!$B$4=19,Hypothèses!$B$4=20),
IF($D217="Pressio.",
IF(OR($E217=3,$E217=1,$E217=4),AV217,AU217),
IF($D217="Pénétro.",
IF(OR($E217=3,$E217=1,$E217=4),AV217,AU217))),IF($D217="Pressio.",
IF($E217=3,AV217,AU217),
IF($D217="Pénétro.",
IF($E217=4,AV217,AU217))))</f>
        <v>#N/A</v>
      </c>
      <c r="AX217" s="31">
        <v>0</v>
      </c>
      <c r="AY217" s="102" t="e">
        <f>IF(NDC!$H$10="Oui",(VLOOKUP($B$3,'Coeff EC7'!$T$39:$X$59,2,0)*AW217+VLOOKUP($B$3,'Coeff EC7'!$T$65:$X$85,2,0)*Model0.1T!AX217)/1.5,PI()*AU$12*$Q217*($B217-$B216)*0.15/10+AY216)</f>
        <v>#N/A</v>
      </c>
      <c r="AZ217" s="102" t="e">
        <f>(VLOOKUP($B$3,'Coeff EC7'!$T$39:$X$59,3,0)*AW217+VLOOKUP($B$3,'Coeff EC7'!$T$65:$X$85,3,0)*Model0.1T!AX217)/1.1</f>
        <v>#N/A</v>
      </c>
      <c r="BA217" s="102" t="e">
        <f t="shared" si="373"/>
        <v>#N/A</v>
      </c>
      <c r="BB217" s="102" t="e">
        <f t="shared" si="374"/>
        <v>#N/A</v>
      </c>
      <c r="BC217" s="414" t="e">
        <f>IF(AND(AY217&gt;NDC!$C$63,AZ217&gt;NDC!$C$65,BA217&gt;NDC!$D$73,BB217&gt;NDC!$D$74,$B217&gt;NDC!$H$22-0.1+MIN(3*BC$12,1.5)),0,1)</f>
        <v>#N/A</v>
      </c>
      <c r="BD217" s="86" t="b">
        <f t="shared" si="342"/>
        <v>0</v>
      </c>
      <c r="BE217" s="86">
        <f t="shared" si="375"/>
        <v>0.5</v>
      </c>
      <c r="BF217" s="86">
        <f t="shared" si="343"/>
        <v>0.5</v>
      </c>
      <c r="BG217" s="30" t="e">
        <f t="shared" ca="1" si="376"/>
        <v>#DIV/0!</v>
      </c>
      <c r="BH217" s="85" t="e">
        <f ca="1">IF(AN217&lt;=Hypothèses!$V$7,Hypothèses!$W$7,IF(AN217&lt;=Hypothèses!$V$8,Hypothèses!$W$8,IF(AN217&lt;=Hypothèses!$V$9,Hypothèses!$W$9,IF(AN217&lt;=Hypothèses!$V$10,Hypothèses!$W$10,IF(AN217&lt;=Hypothèses!$V$11,Hypothèses!$W$11,IF(AN217&lt;=Hypothèses!$V$12,Hypothèses!$W$12,IF(AN217&lt;=Hypothèses!$V$13,Hypothèses!$W$13,IF(AN217&lt;=Hypothèses!$V$14,Hypothèses!$W$14,IF(AN217&lt;=Hypothèses!$V$15,Hypothèses!$W$15,IF(AN217&lt;=Hypothèses!$V$16,Hypothèses!$W$16,IF(AN217&lt;=Hypothèses!$V$17,Hypothèses!$W$17,IF(AN217&lt;=Hypothèses!$V$18,Hypothèses!$W$18,""))))))))))))</f>
        <v>#DIV/0!</v>
      </c>
      <c r="BI217" s="87" t="e">
        <f t="shared" ca="1" si="418"/>
        <v>#DIV/0!</v>
      </c>
      <c r="BJ217" s="88" t="e">
        <f ca="1">IF(AN217&lt;=Hypothèses!$V$7,Hypothèses!$X$7,IF(AN217&lt;=Hypothèses!$V$8,Hypothèses!$X$8,IF(AN217&lt;=Hypothèses!$V$9,Hypothèses!$X$9,IF(AN217&lt;=Hypothèses!$V$10,Hypothèses!$X$10,IF(AN217&lt;=Hypothèses!$V$11,Hypothèses!$X$11,IF(AN217&lt;=Hypothèses!$V$12,Hypothèses!$X$12,IF(AN217&lt;=Hypothèses!$V$13,Hypothèses!$X$13,IF(AN217&lt;=Hypothèses!$V$14,Hypothèses!$X$14,IF(AN217&lt;=Hypothèses!$V$15,Hypothèses!$X$15,IF(AN217&lt;=Hypothèses!$V$16,Hypothèses!$X$16,IF(AN217&lt;=Hypothèses!$U$17,Hypothèses!$W$17,IF(AN217&lt;=Hypothèses!$U$18,Hypothèses!$W$18,""))))))))))))</f>
        <v>#DIV/0!</v>
      </c>
      <c r="BK217" s="95" t="e">
        <f t="shared" ca="1" si="377"/>
        <v>#DIV/0!</v>
      </c>
      <c r="BL217" s="101">
        <f t="shared" si="425"/>
        <v>0</v>
      </c>
      <c r="BM217" s="91">
        <f t="shared" si="344"/>
        <v>0</v>
      </c>
      <c r="BN217" s="30" t="e">
        <f t="shared" si="404"/>
        <v>#N/A</v>
      </c>
      <c r="BO217" s="30" t="e">
        <f t="shared" si="405"/>
        <v>#N/A</v>
      </c>
      <c r="BP217" s="31" t="e">
        <f>IF(OR(Hypothèses!$B$4=17,Hypothèses!$B$4=18,Hypothèses!$B$4=19,Hypothèses!$B$4=20),
IF($D217="Pressio.",
IF(OR($E217=3,$E217=1,$E217=4),BO217,BN217),
IF($D217="Pénétro.",
IF(OR($E217=3,$E217=1,$E217=4),BO217,BN217))),IF($D217="Pressio.",
IF($E217=3,BO217,BN217),
IF($D217="Pénétro.",
IF($E217=4,BO217,BN217))))</f>
        <v>#N/A</v>
      </c>
      <c r="BQ217" s="31">
        <v>0</v>
      </c>
      <c r="BR217" s="102" t="e">
        <f>IF(NDC!$H$10="Oui",(VLOOKUP($B$3,'Coeff EC7'!$T$39:$X$59,2,0)*BP217+VLOOKUP($B$3,'Coeff EC7'!$T$65:$X$85,2,0)*Model0.1T!BQ217)/1.5,PI()*BN$12*$Q217*($B217-$B216)*0.15/10+BR216)</f>
        <v>#N/A</v>
      </c>
      <c r="BS217" s="102" t="e">
        <f>(VLOOKUP($B$3,'Coeff EC7'!$T$39:$X$59,3,0)*BP217+VLOOKUP($B$3,'Coeff EC7'!$T$65:$X$85,3,0)*Model0.1T!BQ217)/1.1</f>
        <v>#N/A</v>
      </c>
      <c r="BT217" s="102" t="e">
        <f t="shared" si="378"/>
        <v>#N/A</v>
      </c>
      <c r="BU217" s="102" t="e">
        <f t="shared" si="379"/>
        <v>#N/A</v>
      </c>
      <c r="BV217" s="414" t="e">
        <f>IF(AND(BR217&gt;NDC!$C$63,BS217&gt;NDC!$C$65,BT217&gt;NDC!$D$73,BU217&gt;NDC!$D$74,$B217&gt;NDC!$H$22-0.1+MIN(3*BV$12,1.5)),0,1)</f>
        <v>#N/A</v>
      </c>
      <c r="BW217" s="86" t="b">
        <f t="shared" si="345"/>
        <v>0</v>
      </c>
      <c r="BX217" s="86">
        <f t="shared" si="346"/>
        <v>0.5</v>
      </c>
      <c r="BY217" s="86">
        <f t="shared" si="347"/>
        <v>0.5</v>
      </c>
      <c r="BZ217" s="30" t="e">
        <f t="shared" ca="1" si="380"/>
        <v>#DIV/0!</v>
      </c>
      <c r="CA217" s="85" t="e">
        <f ca="1">IF(BG217&lt;=Hypothèses!$V$7,Hypothèses!$W$7,IF(BG217&lt;=Hypothèses!$V$8,Hypothèses!$W$8,IF(BG217&lt;=Hypothèses!$V$9,Hypothèses!$W$9,IF(BG217&lt;=Hypothèses!$V$10,Hypothèses!$W$10,IF(BG217&lt;=Hypothèses!$V$11,Hypothèses!$W$11,IF(BG217&lt;=Hypothèses!$V$12,Hypothèses!$W$12,IF(BG217&lt;=Hypothèses!$V$13,Hypothèses!$W$13,IF(BG217&lt;=Hypothèses!$V$14,Hypothèses!$W$14,IF(BG217&lt;=Hypothèses!$V$15,Hypothèses!$W$15,IF(BG217&lt;=Hypothèses!$V$16,Hypothèses!$W$16,IF(BG217&lt;=Hypothèses!$V$17,Hypothèses!$W$17,IF(BG217&lt;=Hypothèses!$V$18,Hypothèses!$W$18,""))))))))))))</f>
        <v>#DIV/0!</v>
      </c>
      <c r="CB217" s="87" t="e">
        <f t="shared" ca="1" si="419"/>
        <v>#DIV/0!</v>
      </c>
      <c r="CC217" s="88" t="e">
        <f ca="1">IF(BG217&lt;=Hypothèses!$V$7,Hypothèses!$X$7,IF(BG217&lt;=Hypothèses!$V$8,Hypothèses!$X$8,IF(BG217&lt;=Hypothèses!$V$9,Hypothèses!$X$9,IF(BG217&lt;=Hypothèses!$V$10,Hypothèses!$X$10,IF(BG217&lt;=Hypothèses!$V$11,Hypothèses!$X$11,IF(BG217&lt;=Hypothèses!$V$12,Hypothèses!$X$12,IF(BG217&lt;=Hypothèses!$V$13,Hypothèses!$X$13,IF(BG217&lt;=Hypothèses!$V$14,Hypothèses!$X$14,IF(BG217&lt;=Hypothèses!$V$15,Hypothèses!$X$15,IF(BG217&lt;=Hypothèses!$V$16,Hypothèses!$X$16,IF(BG217&lt;=Hypothèses!$U$17,Hypothèses!$W$17,IF(BG217&lt;=Hypothèses!$U$18,Hypothèses!$W$18,""))))))))))))</f>
        <v>#DIV/0!</v>
      </c>
      <c r="CD217" s="95" t="e">
        <f t="shared" ca="1" si="381"/>
        <v>#DIV/0!</v>
      </c>
      <c r="CE217" s="101">
        <f t="shared" si="426"/>
        <v>0</v>
      </c>
      <c r="CF217" s="91">
        <f t="shared" si="348"/>
        <v>0</v>
      </c>
      <c r="CG217" s="30" t="e">
        <f t="shared" si="406"/>
        <v>#N/A</v>
      </c>
      <c r="CH217" s="30" t="e">
        <f t="shared" si="407"/>
        <v>#N/A</v>
      </c>
      <c r="CI217" s="31" t="e">
        <f>IF(OR(Hypothèses!$B$4=17,Hypothèses!$B$4=18,Hypothèses!$B$4=19,Hypothèses!$B$4=20),
IF($D217="Pressio.",
IF(OR($E217=3,$E217=1,$E217=4),CH217,CG217),
IF($D217="Pénétro.",
IF(OR($E217=3,$E217=1,$E217=4),CH217,CG217))),IF($D217="Pressio.",
IF($E217=3,CH217,CG217),
IF($D217="Pénétro.",
IF($E217=4,CH217,CG217))))</f>
        <v>#N/A</v>
      </c>
      <c r="CJ217" s="31">
        <v>0</v>
      </c>
      <c r="CK217" s="102" t="e">
        <f>IF(NDC!$H$10="Oui",(VLOOKUP($B$3,'Coeff EC7'!$T$39:$X$59,2,0)*CI217+VLOOKUP($B$3,'Coeff EC7'!$T$65:$X$85,2,0)*Model0.1T!CJ217)/1.5,PI()*CG$12*$Q217*($B217-$B216)*0.15/10+CK216)</f>
        <v>#N/A</v>
      </c>
      <c r="CL217" s="102" t="e">
        <f>(VLOOKUP($B$3,'Coeff EC7'!$T$39:$X$59,3,0)*CI217+VLOOKUP($B$3,'Coeff EC7'!$T$65:$X$85,3,0)*Model0.1T!CJ217)/1.1</f>
        <v>#N/A</v>
      </c>
      <c r="CM217" s="102" t="e">
        <f t="shared" si="382"/>
        <v>#N/A</v>
      </c>
      <c r="CN217" s="102" t="e">
        <f t="shared" si="383"/>
        <v>#N/A</v>
      </c>
      <c r="CO217" s="414" t="e">
        <f>IF(AND(CK217&gt;NDC!$C$63,CL217&gt;NDC!$C$65,CM217&gt;NDC!$D$73,CN217&gt;NDC!$D$74,$B217&gt;NDC!$H$22-0.1+MIN(3*CO$12,1.5)),0,1)</f>
        <v>#N/A</v>
      </c>
      <c r="CP217" s="86" t="b">
        <f t="shared" si="349"/>
        <v>0</v>
      </c>
      <c r="CQ217" s="86">
        <f t="shared" si="350"/>
        <v>0.5</v>
      </c>
      <c r="CR217" s="86">
        <f t="shared" si="351"/>
        <v>0.5</v>
      </c>
      <c r="CS217" s="30" t="e">
        <f t="shared" ca="1" si="384"/>
        <v>#DIV/0!</v>
      </c>
      <c r="CT217" s="85" t="e">
        <f ca="1">IF(BZ217&lt;=Hypothèses!$V$7,Hypothèses!$W$7,IF(BZ217&lt;=Hypothèses!$V$8,Hypothèses!$W$8,IF(BZ217&lt;=Hypothèses!$V$9,Hypothèses!$W$9,IF(BZ217&lt;=Hypothèses!$V$10,Hypothèses!$W$10,IF(BZ217&lt;=Hypothèses!$V$11,Hypothèses!$W$11,IF(BZ217&lt;=Hypothèses!$V$12,Hypothèses!$W$12,IF(BZ217&lt;=Hypothèses!$V$13,Hypothèses!$W$13,IF(BZ217&lt;=Hypothèses!$V$14,Hypothèses!$W$14,IF(BZ217&lt;=Hypothèses!$V$15,Hypothèses!$W$15,IF(BZ217&lt;=Hypothèses!$V$16,Hypothèses!$W$16,IF(BZ217&lt;=Hypothèses!$V$17,Hypothèses!$W$17,IF(BZ217&lt;=Hypothèses!$V$18,Hypothèses!$W$18,""))))))))))))</f>
        <v>#DIV/0!</v>
      </c>
      <c r="CU217" s="87" t="e">
        <f t="shared" ca="1" si="420"/>
        <v>#DIV/0!</v>
      </c>
      <c r="CV217" s="88" t="e">
        <f ca="1">IF(BZ217&lt;=Hypothèses!$V$7,Hypothèses!$X$7,IF(BZ217&lt;=Hypothèses!$V$8,Hypothèses!$X$8,IF(BZ217&lt;=Hypothèses!$V$9,Hypothèses!$X$9,IF(BZ217&lt;=Hypothèses!$V$10,Hypothèses!$X$10,IF(BZ217&lt;=Hypothèses!$V$11,Hypothèses!$X$11,IF(BZ217&lt;=Hypothèses!$V$12,Hypothèses!$X$12,IF(BZ217&lt;=Hypothèses!$V$13,Hypothèses!$X$13,IF(BZ217&lt;=Hypothèses!$V$14,Hypothèses!$X$14,IF(BZ217&lt;=Hypothèses!$V$15,Hypothèses!$X$15,IF(BZ217&lt;=Hypothèses!$V$16,Hypothèses!$X$16,IF(BZ217&lt;=Hypothèses!$U$17,Hypothèses!$W$17,IF(BZ217&lt;=Hypothèses!$U$18,Hypothèses!$W$18,""))))))))))))</f>
        <v>#DIV/0!</v>
      </c>
      <c r="CW217" s="95" t="e">
        <f t="shared" ca="1" si="385"/>
        <v>#DIV/0!</v>
      </c>
      <c r="CX217" s="101">
        <f t="shared" si="427"/>
        <v>0</v>
      </c>
      <c r="CY217" s="91">
        <f t="shared" si="352"/>
        <v>0</v>
      </c>
      <c r="CZ217" s="30" t="e">
        <f t="shared" si="408"/>
        <v>#N/A</v>
      </c>
      <c r="DA217" s="30" t="e">
        <f t="shared" si="409"/>
        <v>#N/A</v>
      </c>
      <c r="DB217" s="31" t="e">
        <f>IF(OR(Hypothèses!$B$4=17,Hypothèses!$B$4=18,Hypothèses!$B$4=19,Hypothèses!$B$4=20),
IF($D217="Pressio.",
IF(OR($E217=3,$E217=1,$E217=4),DA217,CZ217),
IF($D217="Pénétro.",
IF(OR($E217=3,$E217=1,$E217=4),DA217,CZ217))),IF($D217="Pressio.",
IF($E217=3,DA217,CZ217),
IF($D217="Pénétro.",
IF($E217=4,DA217,CZ217))))</f>
        <v>#N/A</v>
      </c>
      <c r="DC217" s="31">
        <v>0</v>
      </c>
      <c r="DD217" s="102" t="e">
        <f>IF(NDC!$H$10="Oui",(VLOOKUP($B$3,'Coeff EC7'!$T$39:$X$59,2,0)*DB217+VLOOKUP($B$3,'Coeff EC7'!$T$65:$X$85,2,0)*Model0.1T!DC217)/1.5,PI()*CZ$12*$Q217*($B217-$B216)*0.15/10+DD216)</f>
        <v>#N/A</v>
      </c>
      <c r="DE217" s="102" t="e">
        <f>(VLOOKUP($B$3,'Coeff EC7'!$T$39:$X$59,3,0)*DB217+VLOOKUP($B$3,'Coeff EC7'!$T$65:$X$85,3,0)*Model0.1T!DC217)/1.1</f>
        <v>#N/A</v>
      </c>
      <c r="DF217" s="102" t="e">
        <f t="shared" si="386"/>
        <v>#N/A</v>
      </c>
      <c r="DG217" s="102" t="e">
        <f t="shared" si="387"/>
        <v>#N/A</v>
      </c>
      <c r="DH217" s="414" t="e">
        <f>IF(AND(DD217&gt;NDC!$C$63,DE217&gt;NDC!$C$65,DF217&gt;NDC!$D$73,DG217&gt;NDC!$D$74,$B217&gt;NDC!$H$22-0.1+MIN(3*DH$12,1.5)),0,1)</f>
        <v>#N/A</v>
      </c>
      <c r="DI217" s="86" t="b">
        <f t="shared" si="353"/>
        <v>0</v>
      </c>
      <c r="DJ217" s="86">
        <f t="shared" si="354"/>
        <v>0.5</v>
      </c>
      <c r="DK217" s="86">
        <f t="shared" si="355"/>
        <v>0.5</v>
      </c>
      <c r="DL217" s="30" t="e">
        <f t="shared" ca="1" si="388"/>
        <v>#DIV/0!</v>
      </c>
      <c r="DM217" s="85" t="e">
        <f ca="1">IF(CS217&lt;=Hypothèses!$V$7,Hypothèses!$W$7,IF(CS217&lt;=Hypothèses!$V$8,Hypothèses!$W$8,IF(CS217&lt;=Hypothèses!$V$9,Hypothèses!$W$9,IF(CS217&lt;=Hypothèses!$V$10,Hypothèses!$W$10,IF(CS217&lt;=Hypothèses!$V$11,Hypothèses!$W$11,IF(CS217&lt;=Hypothèses!$V$12,Hypothèses!$W$12,IF(CS217&lt;=Hypothèses!$V$13,Hypothèses!$W$13,IF(CS217&lt;=Hypothèses!$V$14,Hypothèses!$W$14,IF(CS217&lt;=Hypothèses!$V$15,Hypothèses!$W$15,IF(CS217&lt;=Hypothèses!$V$16,Hypothèses!$W$16,IF(CS217&lt;=Hypothèses!$V$17,Hypothèses!$W$17,IF(CS217&lt;=Hypothèses!$V$18,Hypothèses!$W$18,""))))))))))))</f>
        <v>#DIV/0!</v>
      </c>
      <c r="DN217" s="87" t="e">
        <f t="shared" ca="1" si="421"/>
        <v>#DIV/0!</v>
      </c>
      <c r="DO217" s="88" t="e">
        <f ca="1">IF(CS217&lt;=Hypothèses!$V$7,Hypothèses!$X$7,IF(CS217&lt;=Hypothèses!$V$8,Hypothèses!$X$8,IF(CS217&lt;=Hypothèses!$V$9,Hypothèses!$X$9,IF(CS217&lt;=Hypothèses!$V$10,Hypothèses!$X$10,IF(CS217&lt;=Hypothèses!$V$11,Hypothèses!$X$11,IF(CS217&lt;=Hypothèses!$V$12,Hypothèses!$X$12,IF(CS217&lt;=Hypothèses!$V$13,Hypothèses!$X$13,IF(CS217&lt;=Hypothèses!$V$14,Hypothèses!$X$14,IF(CS217&lt;=Hypothèses!$V$15,Hypothèses!$X$15,IF(CS217&lt;=Hypothèses!$V$16,Hypothèses!$X$16,IF(CS217&lt;=Hypothèses!$U$17,Hypothèses!$W$17,IF(CS217&lt;=Hypothèses!$U$18,Hypothèses!$W$18,""))))))))))))</f>
        <v>#DIV/0!</v>
      </c>
      <c r="DP217" s="95" t="e">
        <f t="shared" ca="1" si="389"/>
        <v>#DIV/0!</v>
      </c>
      <c r="DQ217" s="101">
        <f t="shared" si="428"/>
        <v>0</v>
      </c>
      <c r="DR217" s="91">
        <f t="shared" si="356"/>
        <v>0</v>
      </c>
      <c r="DS217" s="30" t="e">
        <f t="shared" si="410"/>
        <v>#N/A</v>
      </c>
      <c r="DT217" s="30" t="e">
        <f t="shared" si="411"/>
        <v>#N/A</v>
      </c>
      <c r="DU217" s="31" t="e">
        <f>IF(OR(Hypothèses!$B$4=17,Hypothèses!$B$4=18,Hypothèses!$B$4=19,Hypothèses!$B$4=20),
IF($D217="Pressio.",
IF(OR($E217=3,$E217=1,$E217=4),DT217,DS217),
IF($D217="Pénétro.",
IF(OR($E217=3,$E217=1,$E217=4),DT217,DS217))),IF($D217="Pressio.",
IF($E217=3,DT217,DS217),
IF($D217="Pénétro.",
IF($E217=4,DT217,DS217))))</f>
        <v>#N/A</v>
      </c>
      <c r="DV217" s="31">
        <v>0</v>
      </c>
      <c r="DW217" s="102" t="e">
        <f>IF(NDC!$H$10="Oui",(VLOOKUP($B$3,'Coeff EC7'!$T$39:$X$59,2,0)*DU217+VLOOKUP($B$3,'Coeff EC7'!$T$65:$X$85,2,0)*Model0.1T!DV217)/1.5,PI()*DS$12*$Q217*($B217-$B216)*0.15/10+DW216)</f>
        <v>#N/A</v>
      </c>
      <c r="DX217" s="102" t="e">
        <f>(VLOOKUP($B$3,'Coeff EC7'!$T$39:$X$59,3,0)*DU217+VLOOKUP($B$3,'Coeff EC7'!$T$65:$X$85,3,0)*Model0.1T!DV217)/1.1</f>
        <v>#N/A</v>
      </c>
      <c r="DY217" s="102" t="e">
        <f t="shared" si="390"/>
        <v>#N/A</v>
      </c>
      <c r="DZ217" s="102" t="e">
        <f t="shared" si="391"/>
        <v>#N/A</v>
      </c>
      <c r="EA217" s="414" t="e">
        <f>IF(AND(DW217&gt;NDC!$C$63,DX217&gt;NDC!$C$65,DY217&gt;NDC!$D$73,DZ217&gt;NDC!$D$74,$B217&gt;NDC!$H$22-0.1+MIN(3*EA$12,1.5)),0,1)</f>
        <v>#N/A</v>
      </c>
      <c r="EB217" s="86" t="b">
        <f t="shared" si="357"/>
        <v>0</v>
      </c>
      <c r="EC217" s="418">
        <f t="shared" si="358"/>
        <v>0.51</v>
      </c>
      <c r="ED217" s="86">
        <f t="shared" si="359"/>
        <v>0.51</v>
      </c>
      <c r="EE217" s="30" t="e">
        <f t="shared" ca="1" si="392"/>
        <v>#DIV/0!</v>
      </c>
      <c r="EF217" s="85" t="e">
        <f ca="1">IF(DL217&lt;=Hypothèses!$V$7,Hypothèses!$W$7,IF(DL217&lt;=Hypothèses!$V$8,Hypothèses!$W$8,IF(DL217&lt;=Hypothèses!$V$9,Hypothèses!$W$9,IF(DL217&lt;=Hypothèses!$V$10,Hypothèses!$W$10,IF(DL217&lt;=Hypothèses!$V$11,Hypothèses!$W$11,IF(DL217&lt;=Hypothèses!$V$12,Hypothèses!$W$12,IF(DL217&lt;=Hypothèses!$V$13,Hypothèses!$W$13,IF(DL217&lt;=Hypothèses!$V$14,Hypothèses!$W$14,IF(DL217&lt;=Hypothèses!$V$15,Hypothèses!$W$15,IF(DL217&lt;=Hypothèses!$V$16,Hypothèses!$W$16,IF(DL217&lt;=Hypothèses!$V$17,Hypothèses!$W$17,IF(DL217&lt;=Hypothèses!$V$18,Hypothèses!$W$18,""))))))))))))</f>
        <v>#DIV/0!</v>
      </c>
      <c r="EG217" s="87" t="e">
        <f t="shared" ca="1" si="422"/>
        <v>#DIV/0!</v>
      </c>
      <c r="EH217" s="88" t="e">
        <f ca="1">IF(DL217&lt;=Hypothèses!$V$7,Hypothèses!$X$7,IF(DL217&lt;=Hypothèses!$V$8,Hypothèses!$X$8,IF(DL217&lt;=Hypothèses!$V$9,Hypothèses!$X$9,IF(DL217&lt;=Hypothèses!$V$10,Hypothèses!$X$10,IF(DL217&lt;=Hypothèses!$V$11,Hypothèses!$X$11,IF(DL217&lt;=Hypothèses!$V$12,Hypothèses!$X$12,IF(DL217&lt;=Hypothèses!$V$13,Hypothèses!$X$13,IF(DL217&lt;=Hypothèses!$V$14,Hypothèses!$X$14,IF(DL217&lt;=Hypothèses!$V$15,Hypothèses!$X$15,IF(DL217&lt;=Hypothèses!$V$16,Hypothèses!$X$16,IF(DL217&lt;=Hypothèses!$U$17,Hypothèses!$W$17,IF(DL217&lt;=Hypothèses!$U$18,Hypothèses!$W$18,""))))))))))))</f>
        <v>#DIV/0!</v>
      </c>
      <c r="EI217" s="95" t="e">
        <f t="shared" ca="1" si="393"/>
        <v>#DIV/0!</v>
      </c>
      <c r="EJ217" s="101">
        <f t="shared" si="429"/>
        <v>0</v>
      </c>
      <c r="EK217" s="91">
        <f t="shared" si="360"/>
        <v>0</v>
      </c>
      <c r="EL217" s="30" t="e">
        <f t="shared" si="412"/>
        <v>#N/A</v>
      </c>
      <c r="EM217" s="30" t="e">
        <f t="shared" si="413"/>
        <v>#N/A</v>
      </c>
      <c r="EN217" s="31" t="e">
        <f>IF(OR(Hypothèses!$B$4=17,Hypothèses!$B$4=18,Hypothèses!$B$4=19,Hypothèses!$B$4=20),
IF($D217="Pressio.",
IF(OR($E217=3,$E217=1,$E217=4),EM217,EL217),
IF($D217="Pénétro.",
IF(OR($E217=3,$E217=1,$E217=4),EM217,EL217))),IF($D217="Pressio.",
IF($E217=3,EM217,EL217),
IF($D217="Pénétro.",
IF($E217=4,EM217,EL217))))</f>
        <v>#N/A</v>
      </c>
      <c r="EO217" s="31">
        <v>0</v>
      </c>
      <c r="EP217" s="102" t="e">
        <f>IF(NDC!$H$10="Oui",(VLOOKUP($B$3,'Coeff EC7'!$T$39:$X$59,2,0)*EN217+VLOOKUP($B$3,'Coeff EC7'!$T$65:$X$85,2,0)*Model0.1T!EO217)/1.5,PI()*EL$12*$Q217*($B217-$B216)*0.15/10+EP216)</f>
        <v>#N/A</v>
      </c>
      <c r="EQ217" s="102" t="e">
        <f>(VLOOKUP($B$3,'Coeff EC7'!$T$39:$X$59,3,0)*EN217+VLOOKUP($B$3,'Coeff EC7'!$T$65:$X$85,3,0)*Model0.1T!EO217)/1.1</f>
        <v>#N/A</v>
      </c>
      <c r="ER217" s="102" t="e">
        <f t="shared" si="394"/>
        <v>#N/A</v>
      </c>
      <c r="ES217" s="102" t="e">
        <f t="shared" si="395"/>
        <v>#N/A</v>
      </c>
      <c r="ET217" s="414" t="e">
        <f>IF(AND(EP217&gt;NDC!$C$63,EQ217&gt;NDC!$C$65,ER217&gt;NDC!$D$73,ES217&gt;NDC!$D$74,$B217&gt;NDC!$H$22-0.1+MIN(3*ET$12,1.5)),0,1)</f>
        <v>#N/A</v>
      </c>
      <c r="EU217" s="86" t="b">
        <f t="shared" si="361"/>
        <v>0</v>
      </c>
      <c r="EV217" s="86">
        <f t="shared" si="362"/>
        <v>0.61</v>
      </c>
      <c r="EW217" s="86">
        <f t="shared" si="363"/>
        <v>0.61</v>
      </c>
      <c r="EX217" s="30" t="e">
        <f t="shared" ca="1" si="396"/>
        <v>#DIV/0!</v>
      </c>
      <c r="EY217" s="85" t="e">
        <f ca="1">IF(EE217&lt;=Hypothèses!$V$7,Hypothèses!$W$7,IF(EE217&lt;=Hypothèses!$V$8,Hypothèses!$W$8,IF(EE217&lt;=Hypothèses!$V$9,Hypothèses!$W$9,IF(EE217&lt;=Hypothèses!$V$10,Hypothèses!$W$10,IF(EE217&lt;=Hypothèses!$V$11,Hypothèses!$W$11,IF(EE217&lt;=Hypothèses!$V$12,Hypothèses!$W$12,IF(EE217&lt;=Hypothèses!$V$13,Hypothèses!$W$13,IF(EE217&lt;=Hypothèses!$V$14,Hypothèses!$W$14,IF(EE217&lt;=Hypothèses!$V$15,Hypothèses!$W$15,IF(EE217&lt;=Hypothèses!$V$16,Hypothèses!$W$16,IF(EE217&lt;=Hypothèses!$V$17,Hypothèses!$W$17,IF(EE217&lt;=Hypothèses!$V$18,Hypothèses!$W$18,""))))))))))))</f>
        <v>#DIV/0!</v>
      </c>
      <c r="EZ217" s="87" t="e">
        <f t="shared" ca="1" si="423"/>
        <v>#DIV/0!</v>
      </c>
      <c r="FA217" s="88" t="e">
        <f ca="1">IF(EE217&lt;=Hypothèses!$V$7,Hypothèses!$X$7,IF(EE217&lt;=Hypothèses!$V$8,Hypothèses!$X$8,IF(EE217&lt;=Hypothèses!$V$9,Hypothèses!$X$9,IF(EE217&lt;=Hypothèses!$V$10,Hypothèses!$X$10,IF(EE217&lt;=Hypothèses!$V$11,Hypothèses!$X$11,IF(EE217&lt;=Hypothèses!$V$12,Hypothèses!$X$12,IF(EE217&lt;=Hypothèses!$V$13,Hypothèses!$X$13,IF(EE217&lt;=Hypothèses!$V$14,Hypothèses!$X$14,IF(EE217&lt;=Hypothèses!$V$15,Hypothèses!$X$15,IF(EE217&lt;=Hypothèses!$V$16,Hypothèses!$X$16,IF(EE217&lt;=Hypothèses!$U$17,Hypothèses!$W$17,IF(EE217&lt;=Hypothèses!$U$18,Hypothèses!$W$18,""))))))))))))</f>
        <v>#DIV/0!</v>
      </c>
      <c r="FB217" s="95" t="e">
        <f t="shared" ca="1" si="397"/>
        <v>#DIV/0!</v>
      </c>
      <c r="FC217" s="101">
        <f t="shared" si="430"/>
        <v>0</v>
      </c>
      <c r="FD217" s="91">
        <f t="shared" si="364"/>
        <v>0</v>
      </c>
      <c r="FE217" s="30" t="e">
        <f t="shared" si="414"/>
        <v>#N/A</v>
      </c>
      <c r="FF217" s="30" t="e">
        <f t="shared" si="415"/>
        <v>#N/A</v>
      </c>
      <c r="FG217" s="31" t="e">
        <f>IF(OR(Hypothèses!$B$4=17,Hypothèses!$B$4=18,Hypothèses!$B$4=19,Hypothèses!$B$4=20),
IF($D217="Pressio.",
IF(OR($E217=3,$E217=1,$E217=4),FF217,FE217),
IF($D217="Pénétro.",
IF(OR($E217=3,$E217=1,$E217=4),FF217,FE217))),IF($D217="Pressio.",
IF($E217=3,FF217,FE217),
IF($D217="Pénétro.",
IF($E217=4,FF217,FE217))))</f>
        <v>#N/A</v>
      </c>
      <c r="FH217" s="31">
        <v>0</v>
      </c>
      <c r="FI217" s="102" t="e">
        <f>IF(NDC!$H$10="Oui",(VLOOKUP($B$3,'Coeff EC7'!$T$39:$X$59,2,0)*FG217+VLOOKUP($B$3,'Coeff EC7'!$T$65:$X$85,2,0)*Model0.1T!FH217)/1.5,PI()*FE$12*$Q217*($B217-$B216)*0.15/10+FI216)</f>
        <v>#N/A</v>
      </c>
      <c r="FJ217" s="102" t="e">
        <f>(VLOOKUP($B$3,'Coeff EC7'!$T$39:$X$59,3,0)*FG217+VLOOKUP($B$3,'Coeff EC7'!$T$65:$X$85,3,0)*Model0.1T!FH217)/1.1</f>
        <v>#N/A</v>
      </c>
      <c r="FK217" s="102" t="e">
        <f t="shared" si="398"/>
        <v>#N/A</v>
      </c>
      <c r="FL217" s="102" t="e">
        <f t="shared" si="399"/>
        <v>#N/A</v>
      </c>
      <c r="FM217" s="414" t="e">
        <f>IF(AND(FI217&gt;NDC!$C$63,FJ217&gt;NDC!$C$65,FK217&gt;NDC!$D$73,FL217&gt;NDC!$D$74,$B217&gt;NDC!$H$22-0.1+MIN(3*FM$12,1.5)),0,1)</f>
        <v>#N/A</v>
      </c>
    </row>
    <row r="218" spans="1:169">
      <c r="A218" s="96">
        <f t="shared" si="365"/>
        <v>79.500000000001165</v>
      </c>
      <c r="B218" s="97">
        <v>20.5</v>
      </c>
      <c r="C218" s="81">
        <f>IF(B218&lt;=Hypothèses!$C$7,Hypothèses!$A$7,IF(B218&lt;=Hypothèses!$C$8,Hypothèses!$A$8,IF(B218&lt;=Hypothèses!$C$9,Hypothèses!$A$9,IF(B218&lt;=Hypothèses!$C$10,Hypothèses!$A$10,IF(B218&lt;=Hypothèses!$C$11,Hypothèses!$A$11,IF(B218&lt;=Hypothèses!$C$12,Hypothèses!$A$12,IF(B218&lt;=Hypothèses!$C$13,Hypothèses!$A$13,IF(B218&lt;=Hypothèses!$C$14,Hypothèses!$A$14,IF(B218&lt;=Hypothèses!$C$15,Hypothèses!$A$15,IF(B218&lt;=Hypothèses!$C$16,Hypothèses!$A$16,IF(B218&lt;=Hypothèses!$C$17,Hypothèses!$A$17,IF(B218&lt;=Hypothèses!$C$18,Hypothèses!$A$18,C217))))))))))))</f>
        <v>11</v>
      </c>
      <c r="D218" s="82" t="str">
        <f>IF(B218&lt;=Hypothèses!$C$7,Hypothèses!$R$7,IF(B218&lt;=Hypothèses!$C$8,Hypothèses!$R$8,IF(B218&lt;=Hypothèses!$C$9,Hypothèses!$R$9,IF(B218&lt;=Hypothèses!$C$10,Hypothèses!$R$10,IF(B218&lt;=Hypothèses!$C$11,Hypothèses!$R$11,IF(B218&lt;=Hypothèses!$C$12,Hypothèses!$R$12,IF(B218&lt;=Hypothèses!$C$13,Hypothèses!$R$13,IF(B218&lt;=Hypothèses!$C$14,Hypothèses!$R$14,IF(B218&lt;=Hypothèses!$C$15,Hypothèses!$R$15,IF(B218&lt;=Hypothèses!$C$16,Hypothèses!$R$16,IF(B218&lt;=Hypothèses!$C$17,Hypothèses!$R$17,IF(B218&lt;=Hypothèses!$C$18,Hypothèses!$R$18,D217))))))))))))</f>
        <v>Pressio.</v>
      </c>
      <c r="E218" s="82" t="e">
        <f>IF(B218&lt;=Hypothèses!$C$7,Hypothèses!$G$7,IF(B218&lt;=Hypothèses!$C$8,Hypothèses!$G$8,IF(B218&lt;=Hypothèses!$C$9,Hypothèses!$G$9,IF(B218&lt;=Hypothèses!$C$10,Hypothèses!$G$10,IF(B218&lt;=Hypothèses!$C$11,Hypothèses!$G$11,IF(B218&lt;=Hypothèses!$C$12,Hypothèses!$G$12,IF(B218&lt;=Hypothèses!$C$13,Hypothèses!$G$13,IF(B218&lt;=Hypothèses!$C$14,Hypothèses!$G$14,IF(B218&lt;=Hypothèses!$C$15,Hypothèses!$G$15,IF(B218&lt;=Hypothèses!$C$16,Hypothèses!$G$16,IF(B218&lt;=Hypothèses!$C$17,Hypothèses!$G$17,IF(B218&lt;=Hypothèses!$C$18,Hypothèses!$G$18,E217))))))))))))</f>
        <v>#N/A</v>
      </c>
      <c r="F218" s="82" t="str">
        <f>IF(B218&lt;=Hypothèses!$C$7,Hypothèses!$F$7,IF(B218&lt;=Hypothèses!$C$8,Hypothèses!$F$8,IF(B218&lt;=Hypothèses!$C$9,Hypothèses!$F$9,IF(B218&lt;=Hypothèses!$C$10,Hypothèses!$F$10,IF(B218&lt;=Hypothèses!$C$11,Hypothèses!$F$11,IF(B218&lt;=Hypothèses!$C$12,Hypothèses!$F$12,IF(B218&lt;=Hypothèses!$C$13,Hypothèses!$F$13,IF(B218&lt;=Hypothèses!$C$14,Hypothèses!$F$14,IF(B218&lt;=Hypothèses!$C$15,Hypothèses!$F$15,IF(B218&lt;=Hypothèses!$C$16,Hypothèses!$F$16,IF(B218&lt;=Hypothèses!$C$17,Hypothèses!$F$17,IF(B218&lt;=Hypothèses!$C$18,Hypothèses!$F$18,F217))))))))))))</f>
        <v/>
      </c>
      <c r="G218" s="91">
        <f t="array" ref="G218">INDEX('Coeff EC7'!$U$7:$X$27,
MATCH(Model0.1T!$B$3,'Coeff EC7'!$T$7:$T$27,0),
MATCH(Model0.1T!$D218&amp;Model0.1T!$B$4,
'Coeff EC7'!$U$6:$X$6&amp;
'Coeff EC7'!$U$5:$X$5,0))</f>
        <v>1.4</v>
      </c>
      <c r="H218" s="91">
        <f t="array" ref="H218">INDEX('Coeff EC7'!$Y$7:$AB$27,
MATCH(Model0.1T!$B$3,'Coeff EC7'!$T$7:$T$27,0),
MATCH(Model0.1T!$D218&amp;Model0.1T!$B$4,
'Coeff EC7'!$Y$6:$AB$6&amp;
'Coeff EC7'!$Y$5:$AB$5,0))</f>
        <v>1.7</v>
      </c>
      <c r="I218" s="83">
        <v>0</v>
      </c>
      <c r="J218" s="91" t="e">
        <f t="array" ref="J218">INDEX('Coeff EC7'!$D$33:$Q$33,1,MATCH(D218&amp;E218,'Coeff EC7'!$D$31:$Q$31&amp;'Coeff EC7'!$D$32:$Q$32,0))</f>
        <v>#N/A</v>
      </c>
      <c r="K218" s="91" t="e">
        <f t="array" ref="K218">INDEX('Coeff EC7'!$D$34:$Q$34,1,MATCH(D218&amp;E218,'Coeff EC7'!$D$31:$Q$31&amp;'Coeff EC7'!$D$32:$Q$32,0))</f>
        <v>#N/A</v>
      </c>
      <c r="L218" s="91" t="e">
        <f t="array" ref="L218">INDEX('Coeff EC7'!$D$35:$Q$35,1,MATCH(D218&amp;E218,'Coeff EC7'!$D$31:$Q$31&amp;'Coeff EC7'!$D$32:$Q$32,0))</f>
        <v>#N/A</v>
      </c>
      <c r="M218" s="98" t="e">
        <f t="shared" si="331"/>
        <v>#N/A</v>
      </c>
      <c r="N218" s="99" t="e">
        <f t="array" ref="N218">INDEX('Coeff EC7'!$D$7:$Q$27,MATCH($B$3,'Coeff EC7'!$C$7:$C$27,0),MATCH(D218&amp;E218,'Coeff EC7'!$D$5:$Q$5&amp;'Coeff EC7'!$D$6:$Q$6,0))</f>
        <v>#N/A</v>
      </c>
      <c r="O218" s="99" t="e">
        <f t="array" ref="O218">INDEX('Coeff EC7'!$D$41:$Q$61,MATCH($B$3,'Coeff EC7'!$C$41:$C$61,0),MATCH(D218&amp;E218,'Coeff EC7'!$D$39:$Q$39&amp;'Coeff EC7'!$D$40:$Q$40,0))</f>
        <v>#N/A</v>
      </c>
      <c r="P218" s="30" t="e">
        <f t="shared" si="366"/>
        <v>#N/A</v>
      </c>
      <c r="Q218" s="100" t="e">
        <f t="shared" si="333"/>
        <v>#N/A</v>
      </c>
      <c r="R218" s="86" t="b">
        <f t="shared" si="334"/>
        <v>0</v>
      </c>
      <c r="S218" s="86">
        <f t="shared" si="332"/>
        <v>0.5</v>
      </c>
      <c r="T218" s="86">
        <f t="shared" si="335"/>
        <v>0.5</v>
      </c>
      <c r="U218" s="30" t="e">
        <f t="shared" ca="1" si="367"/>
        <v>#DIV/0!</v>
      </c>
      <c r="V218" s="85" t="str">
        <f>IF(B218&lt;=Hypothèses!$V$7,Hypothèses!$W$7,IF(B218&lt;=Hypothèses!$V$8,Hypothèses!$W$8,IF(B218&lt;=Hypothèses!$V$9,Hypothèses!$W$9,IF(B218&lt;=Hypothèses!$V$10,Hypothèses!$W$10,IF(B218&lt;=Hypothèses!$V$11,Hypothèses!$W$11,IF(B218&lt;=Hypothèses!$V$12,Hypothèses!$W$12,IF(B218&lt;=Hypothèses!$V$13,Hypothèses!$W$13,IF(B218&lt;=Hypothèses!$V$14,Hypothèses!$W$14,IF(B218&lt;=Hypothèses!$V$15,Hypothèses!$W$15,IF(B218&lt;=Hypothèses!$V$16,Hypothèses!$W$16,IF(B218&lt;=Hypothèses!$V$17,Hypothèses!$W$17,IF(B218&lt;=Hypothèses!$V$18,Hypothèses!$W$18,""))))))))))))</f>
        <v/>
      </c>
      <c r="W218" s="87" t="e">
        <f t="shared" ca="1" si="416"/>
        <v>#DIV/0!</v>
      </c>
      <c r="X218" s="88" t="str">
        <f>IF(B218&lt;=Hypothèses!$V$7,Hypothèses!$X$7,IF(B218&lt;=Hypothèses!$V$8,Hypothèses!$X$8,IF(B218&lt;=Hypothèses!$V$9,Hypothèses!$X$9,IF(B218&lt;=Hypothèses!$V$10,Hypothèses!$X$10,IF(B218&lt;=Hypothèses!$V$11,Hypothèses!$X$11,IF(B218&lt;=Hypothèses!$V$12,Hypothèses!$X$12,IF(B218&lt;=Hypothèses!$V$13,Hypothèses!$X$13,IF(B218&lt;=Hypothèses!$V$14,Hypothèses!$X$14,IF(B218&lt;=Hypothèses!$V$15,Hypothèses!$X$15,IF(B218&lt;=Hypothèses!$V$16,Hypothèses!$X$16,IF(B218&lt;=Hypothèses!$U$17,Hypothèses!$W$17,IF(B218&lt;=Hypothèses!$U$18,Hypothèses!$W$18,""))))))))))))</f>
        <v/>
      </c>
      <c r="Y218" s="95" t="e">
        <f t="shared" ca="1" si="336"/>
        <v>#DIV/0!</v>
      </c>
      <c r="Z218" s="101">
        <f t="shared" si="337"/>
        <v>0</v>
      </c>
      <c r="AA218" s="91">
        <f t="shared" si="338"/>
        <v>0</v>
      </c>
      <c r="AB218" s="30" t="e">
        <f t="shared" si="400"/>
        <v>#N/A</v>
      </c>
      <c r="AC218" s="30" t="e">
        <f t="shared" si="401"/>
        <v>#N/A</v>
      </c>
      <c r="AD218" s="31" t="e">
        <f>IF(OR(Hypothèses!$B$4=17,Hypothèses!$B$4=18,Hypothèses!$B$4=19,Hypothèses!$B$4=20),
IF($D218="Pressio.",
IF(OR($E218=3,$E218=1,$E218=4),AC218,AB218),
IF($D218="Pénétro.",
IF(OR($E218=3,$E218=1,$E218=4),AC218,AB218))),IF($D218="Pressio.",
IF($E218=3,AC218,AB218),
IF($D218="Pénétro.",
IF($E218=4,AC218,AB218))))</f>
        <v>#N/A</v>
      </c>
      <c r="AE218" s="31">
        <v>0</v>
      </c>
      <c r="AF218" s="102" t="e">
        <f>IF(NDC!$H$10="Oui",(VLOOKUP($B$3,'Coeff EC7'!$T$39:$X$59,2,0)*AD218+VLOOKUP($B$3,'Coeff EC7'!$T$65:$X$85,2,0)*Model0.1T!AE218)/1.5,PI()*AB$12*$Q218*($B218-$B217)*0.15/10+AF217)</f>
        <v>#N/A</v>
      </c>
      <c r="AG218" s="102" t="e">
        <f>(VLOOKUP($B$3,'Coeff EC7'!$T$39:$X$59,3,0)*AD218+VLOOKUP($B$3,'Coeff EC7'!$T$65:$X$85,3,0)*Model0.1T!AE218)/1.1</f>
        <v>#N/A</v>
      </c>
      <c r="AH218" s="102" t="e">
        <f t="shared" si="368"/>
        <v>#N/A</v>
      </c>
      <c r="AI218" s="102" t="e">
        <f t="shared" si="369"/>
        <v>#N/A</v>
      </c>
      <c r="AJ218" s="414" t="e">
        <f>IF(AND(AF218&gt;NDC!$C$63,AG218&gt;NDC!$C$65,AH218&gt;NDC!$D$73,AI218&gt;NDC!$D$74,$B218&gt;NDC!$H$22-0.1+MIN(3*$AJ$12,1.5)),0,1)</f>
        <v>#N/A</v>
      </c>
      <c r="AK218" s="86" t="b">
        <f t="shared" si="339"/>
        <v>0</v>
      </c>
      <c r="AL218" s="86">
        <f t="shared" si="370"/>
        <v>0.5</v>
      </c>
      <c r="AM218" s="86">
        <f t="shared" si="340"/>
        <v>0.5</v>
      </c>
      <c r="AN218" s="30" t="e">
        <f t="shared" ca="1" si="371"/>
        <v>#DIV/0!</v>
      </c>
      <c r="AO218" s="85" t="e">
        <f ca="1">IF(U218&lt;=Hypothèses!$V$7,Hypothèses!$W$7,IF(U218&lt;=Hypothèses!$V$8,Hypothèses!$W$8,IF(U218&lt;=Hypothèses!$V$9,Hypothèses!$W$9,IF(U218&lt;=Hypothèses!$V$10,Hypothèses!$W$10,IF(U218&lt;=Hypothèses!$V$11,Hypothèses!$W$11,IF(U218&lt;=Hypothèses!$V$12,Hypothèses!$W$12,IF(U218&lt;=Hypothèses!$V$13,Hypothèses!$W$13,IF(U218&lt;=Hypothèses!$V$14,Hypothèses!$W$14,IF(U218&lt;=Hypothèses!$V$15,Hypothèses!$W$15,IF(U218&lt;=Hypothèses!$V$16,Hypothèses!$W$16,IF(U218&lt;=Hypothèses!$V$17,Hypothèses!$W$17,IF(U218&lt;=Hypothèses!$V$18,Hypothèses!$W$18,""))))))))))))</f>
        <v>#DIV/0!</v>
      </c>
      <c r="AP218" s="87" t="e">
        <f t="shared" ca="1" si="417"/>
        <v>#DIV/0!</v>
      </c>
      <c r="AQ218" s="88" t="e">
        <f ca="1">IF(U218&lt;=Hypothèses!$V$7,Hypothèses!$X$7,IF(U218&lt;=Hypothèses!$V$8,Hypothèses!$X$8,IF(U218&lt;=Hypothèses!$V$9,Hypothèses!$X$9,IF(U218&lt;=Hypothèses!$V$10,Hypothèses!$X$10,IF(U218&lt;=Hypothèses!$V$11,Hypothèses!$X$11,IF(U218&lt;=Hypothèses!$V$12,Hypothèses!$X$12,IF(U218&lt;=Hypothèses!$V$13,Hypothèses!$X$13,IF(U218&lt;=Hypothèses!$V$14,Hypothèses!$X$14,IF(U218&lt;=Hypothèses!$V$15,Hypothèses!$X$15,IF(U218&lt;=Hypothèses!$V$16,Hypothèses!$X$16,IF(U218&lt;=Hypothèses!$U$17,Hypothèses!$W$17,IF(U218&lt;=Hypothèses!$U$18,Hypothèses!$W$18,""))))))))))))</f>
        <v>#DIV/0!</v>
      </c>
      <c r="AR218" s="95" t="e">
        <f t="shared" ca="1" si="372"/>
        <v>#DIV/0!</v>
      </c>
      <c r="AS218" s="101">
        <f t="shared" si="424"/>
        <v>0</v>
      </c>
      <c r="AT218" s="91">
        <f t="shared" si="341"/>
        <v>0</v>
      </c>
      <c r="AU218" s="30" t="e">
        <f t="shared" si="402"/>
        <v>#N/A</v>
      </c>
      <c r="AV218" s="30" t="e">
        <f t="shared" si="403"/>
        <v>#N/A</v>
      </c>
      <c r="AW218" s="31" t="e">
        <f>IF(OR(Hypothèses!$B$4=17,Hypothèses!$B$4=18,Hypothèses!$B$4=19,Hypothèses!$B$4=20),
IF($D218="Pressio.",
IF(OR($E218=3,$E218=1,$E218=4),AV218,AU218),
IF($D218="Pénétro.",
IF(OR($E218=3,$E218=1,$E218=4),AV218,AU218))),IF($D218="Pressio.",
IF($E218=3,AV218,AU218),
IF($D218="Pénétro.",
IF($E218=4,AV218,AU218))))</f>
        <v>#N/A</v>
      </c>
      <c r="AX218" s="31">
        <v>0</v>
      </c>
      <c r="AY218" s="102" t="e">
        <f>IF(NDC!$H$10="Oui",(VLOOKUP($B$3,'Coeff EC7'!$T$39:$X$59,2,0)*AW218+VLOOKUP($B$3,'Coeff EC7'!$T$65:$X$85,2,0)*Model0.1T!AX218)/1.5,PI()*AU$12*$Q218*($B218-$B217)*0.15/10+AY217)</f>
        <v>#N/A</v>
      </c>
      <c r="AZ218" s="102" t="e">
        <f>(VLOOKUP($B$3,'Coeff EC7'!$T$39:$X$59,3,0)*AW218+VLOOKUP($B$3,'Coeff EC7'!$T$65:$X$85,3,0)*Model0.1T!AX218)/1.1</f>
        <v>#N/A</v>
      </c>
      <c r="BA218" s="102" t="e">
        <f t="shared" si="373"/>
        <v>#N/A</v>
      </c>
      <c r="BB218" s="102" t="e">
        <f t="shared" si="374"/>
        <v>#N/A</v>
      </c>
      <c r="BC218" s="414" t="e">
        <f>IF(AND(AY218&gt;NDC!$C$63,AZ218&gt;NDC!$C$65,BA218&gt;NDC!$D$73,BB218&gt;NDC!$D$74,$B218&gt;NDC!$H$22-0.1+MIN(3*BC$12,1.5)),0,1)</f>
        <v>#N/A</v>
      </c>
      <c r="BD218" s="86" t="b">
        <f t="shared" si="342"/>
        <v>0</v>
      </c>
      <c r="BE218" s="86">
        <f t="shared" si="375"/>
        <v>0.5</v>
      </c>
      <c r="BF218" s="86">
        <f t="shared" si="343"/>
        <v>0.5</v>
      </c>
      <c r="BG218" s="30" t="e">
        <f t="shared" ca="1" si="376"/>
        <v>#DIV/0!</v>
      </c>
      <c r="BH218" s="85" t="e">
        <f ca="1">IF(AN218&lt;=Hypothèses!$V$7,Hypothèses!$W$7,IF(AN218&lt;=Hypothèses!$V$8,Hypothèses!$W$8,IF(AN218&lt;=Hypothèses!$V$9,Hypothèses!$W$9,IF(AN218&lt;=Hypothèses!$V$10,Hypothèses!$W$10,IF(AN218&lt;=Hypothèses!$V$11,Hypothèses!$W$11,IF(AN218&lt;=Hypothèses!$V$12,Hypothèses!$W$12,IF(AN218&lt;=Hypothèses!$V$13,Hypothèses!$W$13,IF(AN218&lt;=Hypothèses!$V$14,Hypothèses!$W$14,IF(AN218&lt;=Hypothèses!$V$15,Hypothèses!$W$15,IF(AN218&lt;=Hypothèses!$V$16,Hypothèses!$W$16,IF(AN218&lt;=Hypothèses!$V$17,Hypothèses!$W$17,IF(AN218&lt;=Hypothèses!$V$18,Hypothèses!$W$18,""))))))))))))</f>
        <v>#DIV/0!</v>
      </c>
      <c r="BI218" s="87" t="e">
        <f t="shared" ca="1" si="418"/>
        <v>#DIV/0!</v>
      </c>
      <c r="BJ218" s="88" t="e">
        <f ca="1">IF(AN218&lt;=Hypothèses!$V$7,Hypothèses!$X$7,IF(AN218&lt;=Hypothèses!$V$8,Hypothèses!$X$8,IF(AN218&lt;=Hypothèses!$V$9,Hypothèses!$X$9,IF(AN218&lt;=Hypothèses!$V$10,Hypothèses!$X$10,IF(AN218&lt;=Hypothèses!$V$11,Hypothèses!$X$11,IF(AN218&lt;=Hypothèses!$V$12,Hypothèses!$X$12,IF(AN218&lt;=Hypothèses!$V$13,Hypothèses!$X$13,IF(AN218&lt;=Hypothèses!$V$14,Hypothèses!$X$14,IF(AN218&lt;=Hypothèses!$V$15,Hypothèses!$X$15,IF(AN218&lt;=Hypothèses!$V$16,Hypothèses!$X$16,IF(AN218&lt;=Hypothèses!$U$17,Hypothèses!$W$17,IF(AN218&lt;=Hypothèses!$U$18,Hypothèses!$W$18,""))))))))))))</f>
        <v>#DIV/0!</v>
      </c>
      <c r="BK218" s="95" t="e">
        <f t="shared" ca="1" si="377"/>
        <v>#DIV/0!</v>
      </c>
      <c r="BL218" s="101">
        <f t="shared" si="425"/>
        <v>0</v>
      </c>
      <c r="BM218" s="91">
        <f t="shared" si="344"/>
        <v>0</v>
      </c>
      <c r="BN218" s="30" t="e">
        <f t="shared" si="404"/>
        <v>#N/A</v>
      </c>
      <c r="BO218" s="30" t="e">
        <f t="shared" si="405"/>
        <v>#N/A</v>
      </c>
      <c r="BP218" s="31" t="e">
        <f>IF(OR(Hypothèses!$B$4=17,Hypothèses!$B$4=18,Hypothèses!$B$4=19,Hypothèses!$B$4=20),
IF($D218="Pressio.",
IF(OR($E218=3,$E218=1,$E218=4),BO218,BN218),
IF($D218="Pénétro.",
IF(OR($E218=3,$E218=1,$E218=4),BO218,BN218))),IF($D218="Pressio.",
IF($E218=3,BO218,BN218),
IF($D218="Pénétro.",
IF($E218=4,BO218,BN218))))</f>
        <v>#N/A</v>
      </c>
      <c r="BQ218" s="31">
        <v>0</v>
      </c>
      <c r="BR218" s="102" t="e">
        <f>IF(NDC!$H$10="Oui",(VLOOKUP($B$3,'Coeff EC7'!$T$39:$X$59,2,0)*BP218+VLOOKUP($B$3,'Coeff EC7'!$T$65:$X$85,2,0)*Model0.1T!BQ218)/1.5,PI()*BN$12*$Q218*($B218-$B217)*0.15/10+BR217)</f>
        <v>#N/A</v>
      </c>
      <c r="BS218" s="102" t="e">
        <f>(VLOOKUP($B$3,'Coeff EC7'!$T$39:$X$59,3,0)*BP218+VLOOKUP($B$3,'Coeff EC7'!$T$65:$X$85,3,0)*Model0.1T!BQ218)/1.1</f>
        <v>#N/A</v>
      </c>
      <c r="BT218" s="102" t="e">
        <f t="shared" si="378"/>
        <v>#N/A</v>
      </c>
      <c r="BU218" s="102" t="e">
        <f t="shared" si="379"/>
        <v>#N/A</v>
      </c>
      <c r="BV218" s="414" t="e">
        <f>IF(AND(BR218&gt;NDC!$C$63,BS218&gt;NDC!$C$65,BT218&gt;NDC!$D$73,BU218&gt;NDC!$D$74,$B218&gt;NDC!$H$22-0.1+MIN(3*BV$12,1.5)),0,1)</f>
        <v>#N/A</v>
      </c>
      <c r="BW218" s="86" t="b">
        <f t="shared" si="345"/>
        <v>0</v>
      </c>
      <c r="BX218" s="86">
        <f t="shared" si="346"/>
        <v>0.5</v>
      </c>
      <c r="BY218" s="86">
        <f t="shared" si="347"/>
        <v>0.5</v>
      </c>
      <c r="BZ218" s="30" t="e">
        <f t="shared" ca="1" si="380"/>
        <v>#DIV/0!</v>
      </c>
      <c r="CA218" s="85" t="e">
        <f ca="1">IF(BG218&lt;=Hypothèses!$V$7,Hypothèses!$W$7,IF(BG218&lt;=Hypothèses!$V$8,Hypothèses!$W$8,IF(BG218&lt;=Hypothèses!$V$9,Hypothèses!$W$9,IF(BG218&lt;=Hypothèses!$V$10,Hypothèses!$W$10,IF(BG218&lt;=Hypothèses!$V$11,Hypothèses!$W$11,IF(BG218&lt;=Hypothèses!$V$12,Hypothèses!$W$12,IF(BG218&lt;=Hypothèses!$V$13,Hypothèses!$W$13,IF(BG218&lt;=Hypothèses!$V$14,Hypothèses!$W$14,IF(BG218&lt;=Hypothèses!$V$15,Hypothèses!$W$15,IF(BG218&lt;=Hypothèses!$V$16,Hypothèses!$W$16,IF(BG218&lt;=Hypothèses!$V$17,Hypothèses!$W$17,IF(BG218&lt;=Hypothèses!$V$18,Hypothèses!$W$18,""))))))))))))</f>
        <v>#DIV/0!</v>
      </c>
      <c r="CB218" s="87" t="e">
        <f t="shared" ca="1" si="419"/>
        <v>#DIV/0!</v>
      </c>
      <c r="CC218" s="88" t="e">
        <f ca="1">IF(BG218&lt;=Hypothèses!$V$7,Hypothèses!$X$7,IF(BG218&lt;=Hypothèses!$V$8,Hypothèses!$X$8,IF(BG218&lt;=Hypothèses!$V$9,Hypothèses!$X$9,IF(BG218&lt;=Hypothèses!$V$10,Hypothèses!$X$10,IF(BG218&lt;=Hypothèses!$V$11,Hypothèses!$X$11,IF(BG218&lt;=Hypothèses!$V$12,Hypothèses!$X$12,IF(BG218&lt;=Hypothèses!$V$13,Hypothèses!$X$13,IF(BG218&lt;=Hypothèses!$V$14,Hypothèses!$X$14,IF(BG218&lt;=Hypothèses!$V$15,Hypothèses!$X$15,IF(BG218&lt;=Hypothèses!$V$16,Hypothèses!$X$16,IF(BG218&lt;=Hypothèses!$U$17,Hypothèses!$W$17,IF(BG218&lt;=Hypothèses!$U$18,Hypothèses!$W$18,""))))))))))))</f>
        <v>#DIV/0!</v>
      </c>
      <c r="CD218" s="95" t="e">
        <f t="shared" ca="1" si="381"/>
        <v>#DIV/0!</v>
      </c>
      <c r="CE218" s="101">
        <f t="shared" si="426"/>
        <v>0</v>
      </c>
      <c r="CF218" s="91">
        <f t="shared" si="348"/>
        <v>0</v>
      </c>
      <c r="CG218" s="30" t="e">
        <f t="shared" si="406"/>
        <v>#N/A</v>
      </c>
      <c r="CH218" s="30" t="e">
        <f t="shared" si="407"/>
        <v>#N/A</v>
      </c>
      <c r="CI218" s="31" t="e">
        <f>IF(OR(Hypothèses!$B$4=17,Hypothèses!$B$4=18,Hypothèses!$B$4=19,Hypothèses!$B$4=20),
IF($D218="Pressio.",
IF(OR($E218=3,$E218=1,$E218=4),CH218,CG218),
IF($D218="Pénétro.",
IF(OR($E218=3,$E218=1,$E218=4),CH218,CG218))),IF($D218="Pressio.",
IF($E218=3,CH218,CG218),
IF($D218="Pénétro.",
IF($E218=4,CH218,CG218))))</f>
        <v>#N/A</v>
      </c>
      <c r="CJ218" s="31">
        <v>0</v>
      </c>
      <c r="CK218" s="102" t="e">
        <f>IF(NDC!$H$10="Oui",(VLOOKUP($B$3,'Coeff EC7'!$T$39:$X$59,2,0)*CI218+VLOOKUP($B$3,'Coeff EC7'!$T$65:$X$85,2,0)*Model0.1T!CJ218)/1.5,PI()*CG$12*$Q218*($B218-$B217)*0.15/10+CK217)</f>
        <v>#N/A</v>
      </c>
      <c r="CL218" s="102" t="e">
        <f>(VLOOKUP($B$3,'Coeff EC7'!$T$39:$X$59,3,0)*CI218+VLOOKUP($B$3,'Coeff EC7'!$T$65:$X$85,3,0)*Model0.1T!CJ218)/1.1</f>
        <v>#N/A</v>
      </c>
      <c r="CM218" s="102" t="e">
        <f t="shared" si="382"/>
        <v>#N/A</v>
      </c>
      <c r="CN218" s="102" t="e">
        <f t="shared" si="383"/>
        <v>#N/A</v>
      </c>
      <c r="CO218" s="414" t="e">
        <f>IF(AND(CK218&gt;NDC!$C$63,CL218&gt;NDC!$C$65,CM218&gt;NDC!$D$73,CN218&gt;NDC!$D$74,$B218&gt;NDC!$H$22-0.1+MIN(3*CO$12,1.5)),0,1)</f>
        <v>#N/A</v>
      </c>
      <c r="CP218" s="86" t="b">
        <f t="shared" si="349"/>
        <v>0</v>
      </c>
      <c r="CQ218" s="86">
        <f t="shared" si="350"/>
        <v>0.5</v>
      </c>
      <c r="CR218" s="86">
        <f t="shared" si="351"/>
        <v>0.5</v>
      </c>
      <c r="CS218" s="30" t="e">
        <f t="shared" ca="1" si="384"/>
        <v>#DIV/0!</v>
      </c>
      <c r="CT218" s="85" t="e">
        <f ca="1">IF(BZ218&lt;=Hypothèses!$V$7,Hypothèses!$W$7,IF(BZ218&lt;=Hypothèses!$V$8,Hypothèses!$W$8,IF(BZ218&lt;=Hypothèses!$V$9,Hypothèses!$W$9,IF(BZ218&lt;=Hypothèses!$V$10,Hypothèses!$W$10,IF(BZ218&lt;=Hypothèses!$V$11,Hypothèses!$W$11,IF(BZ218&lt;=Hypothèses!$V$12,Hypothèses!$W$12,IF(BZ218&lt;=Hypothèses!$V$13,Hypothèses!$W$13,IF(BZ218&lt;=Hypothèses!$V$14,Hypothèses!$W$14,IF(BZ218&lt;=Hypothèses!$V$15,Hypothèses!$W$15,IF(BZ218&lt;=Hypothèses!$V$16,Hypothèses!$W$16,IF(BZ218&lt;=Hypothèses!$V$17,Hypothèses!$W$17,IF(BZ218&lt;=Hypothèses!$V$18,Hypothèses!$W$18,""))))))))))))</f>
        <v>#DIV/0!</v>
      </c>
      <c r="CU218" s="87" t="e">
        <f t="shared" ca="1" si="420"/>
        <v>#DIV/0!</v>
      </c>
      <c r="CV218" s="88" t="e">
        <f ca="1">IF(BZ218&lt;=Hypothèses!$V$7,Hypothèses!$X$7,IF(BZ218&lt;=Hypothèses!$V$8,Hypothèses!$X$8,IF(BZ218&lt;=Hypothèses!$V$9,Hypothèses!$X$9,IF(BZ218&lt;=Hypothèses!$V$10,Hypothèses!$X$10,IF(BZ218&lt;=Hypothèses!$V$11,Hypothèses!$X$11,IF(BZ218&lt;=Hypothèses!$V$12,Hypothèses!$X$12,IF(BZ218&lt;=Hypothèses!$V$13,Hypothèses!$X$13,IF(BZ218&lt;=Hypothèses!$V$14,Hypothèses!$X$14,IF(BZ218&lt;=Hypothèses!$V$15,Hypothèses!$X$15,IF(BZ218&lt;=Hypothèses!$V$16,Hypothèses!$X$16,IF(BZ218&lt;=Hypothèses!$U$17,Hypothèses!$W$17,IF(BZ218&lt;=Hypothèses!$U$18,Hypothèses!$W$18,""))))))))))))</f>
        <v>#DIV/0!</v>
      </c>
      <c r="CW218" s="95" t="e">
        <f t="shared" ca="1" si="385"/>
        <v>#DIV/0!</v>
      </c>
      <c r="CX218" s="101">
        <f t="shared" si="427"/>
        <v>0</v>
      </c>
      <c r="CY218" s="91">
        <f t="shared" si="352"/>
        <v>0</v>
      </c>
      <c r="CZ218" s="30" t="e">
        <f t="shared" si="408"/>
        <v>#N/A</v>
      </c>
      <c r="DA218" s="30" t="e">
        <f t="shared" si="409"/>
        <v>#N/A</v>
      </c>
      <c r="DB218" s="31" t="e">
        <f>IF(OR(Hypothèses!$B$4=17,Hypothèses!$B$4=18,Hypothèses!$B$4=19,Hypothèses!$B$4=20),
IF($D218="Pressio.",
IF(OR($E218=3,$E218=1,$E218=4),DA218,CZ218),
IF($D218="Pénétro.",
IF(OR($E218=3,$E218=1,$E218=4),DA218,CZ218))),IF($D218="Pressio.",
IF($E218=3,DA218,CZ218),
IF($D218="Pénétro.",
IF($E218=4,DA218,CZ218))))</f>
        <v>#N/A</v>
      </c>
      <c r="DC218" s="31">
        <v>0</v>
      </c>
      <c r="DD218" s="102" t="e">
        <f>IF(NDC!$H$10="Oui",(VLOOKUP($B$3,'Coeff EC7'!$T$39:$X$59,2,0)*DB218+VLOOKUP($B$3,'Coeff EC7'!$T$65:$X$85,2,0)*Model0.1T!DC218)/1.5,PI()*CZ$12*$Q218*($B218-$B217)*0.15/10+DD217)</f>
        <v>#N/A</v>
      </c>
      <c r="DE218" s="102" t="e">
        <f>(VLOOKUP($B$3,'Coeff EC7'!$T$39:$X$59,3,0)*DB218+VLOOKUP($B$3,'Coeff EC7'!$T$65:$X$85,3,0)*Model0.1T!DC218)/1.1</f>
        <v>#N/A</v>
      </c>
      <c r="DF218" s="102" t="e">
        <f t="shared" si="386"/>
        <v>#N/A</v>
      </c>
      <c r="DG218" s="102" t="e">
        <f t="shared" si="387"/>
        <v>#N/A</v>
      </c>
      <c r="DH218" s="414" t="e">
        <f>IF(AND(DD218&gt;NDC!$C$63,DE218&gt;NDC!$C$65,DF218&gt;NDC!$D$73,DG218&gt;NDC!$D$74,$B218&gt;NDC!$H$22-0.1+MIN(3*DH$12,1.5)),0,1)</f>
        <v>#N/A</v>
      </c>
      <c r="DI218" s="86" t="b">
        <f t="shared" si="353"/>
        <v>0</v>
      </c>
      <c r="DJ218" s="86">
        <f t="shared" si="354"/>
        <v>0.5</v>
      </c>
      <c r="DK218" s="86">
        <f t="shared" si="355"/>
        <v>0.5</v>
      </c>
      <c r="DL218" s="30" t="e">
        <f t="shared" ca="1" si="388"/>
        <v>#DIV/0!</v>
      </c>
      <c r="DM218" s="85" t="e">
        <f ca="1">IF(CS218&lt;=Hypothèses!$V$7,Hypothèses!$W$7,IF(CS218&lt;=Hypothèses!$V$8,Hypothèses!$W$8,IF(CS218&lt;=Hypothèses!$V$9,Hypothèses!$W$9,IF(CS218&lt;=Hypothèses!$V$10,Hypothèses!$W$10,IF(CS218&lt;=Hypothèses!$V$11,Hypothèses!$W$11,IF(CS218&lt;=Hypothèses!$V$12,Hypothèses!$W$12,IF(CS218&lt;=Hypothèses!$V$13,Hypothèses!$W$13,IF(CS218&lt;=Hypothèses!$V$14,Hypothèses!$W$14,IF(CS218&lt;=Hypothèses!$V$15,Hypothèses!$W$15,IF(CS218&lt;=Hypothèses!$V$16,Hypothèses!$W$16,IF(CS218&lt;=Hypothèses!$V$17,Hypothèses!$W$17,IF(CS218&lt;=Hypothèses!$V$18,Hypothèses!$W$18,""))))))))))))</f>
        <v>#DIV/0!</v>
      </c>
      <c r="DN218" s="87" t="e">
        <f t="shared" ca="1" si="421"/>
        <v>#DIV/0!</v>
      </c>
      <c r="DO218" s="88" t="e">
        <f ca="1">IF(CS218&lt;=Hypothèses!$V$7,Hypothèses!$X$7,IF(CS218&lt;=Hypothèses!$V$8,Hypothèses!$X$8,IF(CS218&lt;=Hypothèses!$V$9,Hypothèses!$X$9,IF(CS218&lt;=Hypothèses!$V$10,Hypothèses!$X$10,IF(CS218&lt;=Hypothèses!$V$11,Hypothèses!$X$11,IF(CS218&lt;=Hypothèses!$V$12,Hypothèses!$X$12,IF(CS218&lt;=Hypothèses!$V$13,Hypothèses!$X$13,IF(CS218&lt;=Hypothèses!$V$14,Hypothèses!$X$14,IF(CS218&lt;=Hypothèses!$V$15,Hypothèses!$X$15,IF(CS218&lt;=Hypothèses!$V$16,Hypothèses!$X$16,IF(CS218&lt;=Hypothèses!$U$17,Hypothèses!$W$17,IF(CS218&lt;=Hypothèses!$U$18,Hypothèses!$W$18,""))))))))))))</f>
        <v>#DIV/0!</v>
      </c>
      <c r="DP218" s="95" t="e">
        <f t="shared" ca="1" si="389"/>
        <v>#DIV/0!</v>
      </c>
      <c r="DQ218" s="101">
        <f t="shared" si="428"/>
        <v>0</v>
      </c>
      <c r="DR218" s="91">
        <f t="shared" si="356"/>
        <v>0</v>
      </c>
      <c r="DS218" s="30" t="e">
        <f t="shared" si="410"/>
        <v>#N/A</v>
      </c>
      <c r="DT218" s="30" t="e">
        <f t="shared" si="411"/>
        <v>#N/A</v>
      </c>
      <c r="DU218" s="31" t="e">
        <f>IF(OR(Hypothèses!$B$4=17,Hypothèses!$B$4=18,Hypothèses!$B$4=19,Hypothèses!$B$4=20),
IF($D218="Pressio.",
IF(OR($E218=3,$E218=1,$E218=4),DT218,DS218),
IF($D218="Pénétro.",
IF(OR($E218=3,$E218=1,$E218=4),DT218,DS218))),IF($D218="Pressio.",
IF($E218=3,DT218,DS218),
IF($D218="Pénétro.",
IF($E218=4,DT218,DS218))))</f>
        <v>#N/A</v>
      </c>
      <c r="DV218" s="31">
        <v>0</v>
      </c>
      <c r="DW218" s="102" t="e">
        <f>IF(NDC!$H$10="Oui",(VLOOKUP($B$3,'Coeff EC7'!$T$39:$X$59,2,0)*DU218+VLOOKUP($B$3,'Coeff EC7'!$T$65:$X$85,2,0)*Model0.1T!DV218)/1.5,PI()*DS$12*$Q218*($B218-$B217)*0.15/10+DW217)</f>
        <v>#N/A</v>
      </c>
      <c r="DX218" s="102" t="e">
        <f>(VLOOKUP($B$3,'Coeff EC7'!$T$39:$X$59,3,0)*DU218+VLOOKUP($B$3,'Coeff EC7'!$T$65:$X$85,3,0)*Model0.1T!DV218)/1.1</f>
        <v>#N/A</v>
      </c>
      <c r="DY218" s="102" t="e">
        <f t="shared" si="390"/>
        <v>#N/A</v>
      </c>
      <c r="DZ218" s="102" t="e">
        <f t="shared" si="391"/>
        <v>#N/A</v>
      </c>
      <c r="EA218" s="414" t="e">
        <f>IF(AND(DW218&gt;NDC!$C$63,DX218&gt;NDC!$C$65,DY218&gt;NDC!$D$73,DZ218&gt;NDC!$D$74,$B218&gt;NDC!$H$22-0.1+MIN(3*EA$12,1.5)),0,1)</f>
        <v>#N/A</v>
      </c>
      <c r="EB218" s="86" t="b">
        <f t="shared" si="357"/>
        <v>0</v>
      </c>
      <c r="EC218" s="418">
        <f t="shared" si="358"/>
        <v>0.51</v>
      </c>
      <c r="ED218" s="86">
        <f t="shared" si="359"/>
        <v>0.51</v>
      </c>
      <c r="EE218" s="30" t="e">
        <f t="shared" ca="1" si="392"/>
        <v>#DIV/0!</v>
      </c>
      <c r="EF218" s="85" t="e">
        <f ca="1">IF(DL218&lt;=Hypothèses!$V$7,Hypothèses!$W$7,IF(DL218&lt;=Hypothèses!$V$8,Hypothèses!$W$8,IF(DL218&lt;=Hypothèses!$V$9,Hypothèses!$W$9,IF(DL218&lt;=Hypothèses!$V$10,Hypothèses!$W$10,IF(DL218&lt;=Hypothèses!$V$11,Hypothèses!$W$11,IF(DL218&lt;=Hypothèses!$V$12,Hypothèses!$W$12,IF(DL218&lt;=Hypothèses!$V$13,Hypothèses!$W$13,IF(DL218&lt;=Hypothèses!$V$14,Hypothèses!$W$14,IF(DL218&lt;=Hypothèses!$V$15,Hypothèses!$W$15,IF(DL218&lt;=Hypothèses!$V$16,Hypothèses!$W$16,IF(DL218&lt;=Hypothèses!$V$17,Hypothèses!$W$17,IF(DL218&lt;=Hypothèses!$V$18,Hypothèses!$W$18,""))))))))))))</f>
        <v>#DIV/0!</v>
      </c>
      <c r="EG218" s="87" t="e">
        <f t="shared" ca="1" si="422"/>
        <v>#DIV/0!</v>
      </c>
      <c r="EH218" s="88" t="e">
        <f ca="1">IF(DL218&lt;=Hypothèses!$V$7,Hypothèses!$X$7,IF(DL218&lt;=Hypothèses!$V$8,Hypothèses!$X$8,IF(DL218&lt;=Hypothèses!$V$9,Hypothèses!$X$9,IF(DL218&lt;=Hypothèses!$V$10,Hypothèses!$X$10,IF(DL218&lt;=Hypothèses!$V$11,Hypothèses!$X$11,IF(DL218&lt;=Hypothèses!$V$12,Hypothèses!$X$12,IF(DL218&lt;=Hypothèses!$V$13,Hypothèses!$X$13,IF(DL218&lt;=Hypothèses!$V$14,Hypothèses!$X$14,IF(DL218&lt;=Hypothèses!$V$15,Hypothèses!$X$15,IF(DL218&lt;=Hypothèses!$V$16,Hypothèses!$X$16,IF(DL218&lt;=Hypothèses!$U$17,Hypothèses!$W$17,IF(DL218&lt;=Hypothèses!$U$18,Hypothèses!$W$18,""))))))))))))</f>
        <v>#DIV/0!</v>
      </c>
      <c r="EI218" s="95" t="e">
        <f t="shared" ca="1" si="393"/>
        <v>#DIV/0!</v>
      </c>
      <c r="EJ218" s="101">
        <f t="shared" si="429"/>
        <v>0</v>
      </c>
      <c r="EK218" s="91">
        <f t="shared" si="360"/>
        <v>0</v>
      </c>
      <c r="EL218" s="30" t="e">
        <f t="shared" si="412"/>
        <v>#N/A</v>
      </c>
      <c r="EM218" s="30" t="e">
        <f t="shared" si="413"/>
        <v>#N/A</v>
      </c>
      <c r="EN218" s="31" t="e">
        <f>IF(OR(Hypothèses!$B$4=17,Hypothèses!$B$4=18,Hypothèses!$B$4=19,Hypothèses!$B$4=20),
IF($D218="Pressio.",
IF(OR($E218=3,$E218=1,$E218=4),EM218,EL218),
IF($D218="Pénétro.",
IF(OR($E218=3,$E218=1,$E218=4),EM218,EL218))),IF($D218="Pressio.",
IF($E218=3,EM218,EL218),
IF($D218="Pénétro.",
IF($E218=4,EM218,EL218))))</f>
        <v>#N/A</v>
      </c>
      <c r="EO218" s="31">
        <v>0</v>
      </c>
      <c r="EP218" s="102" t="e">
        <f>IF(NDC!$H$10="Oui",(VLOOKUP($B$3,'Coeff EC7'!$T$39:$X$59,2,0)*EN218+VLOOKUP($B$3,'Coeff EC7'!$T$65:$X$85,2,0)*Model0.1T!EO218)/1.5,PI()*EL$12*$Q218*($B218-$B217)*0.15/10+EP217)</f>
        <v>#N/A</v>
      </c>
      <c r="EQ218" s="102" t="e">
        <f>(VLOOKUP($B$3,'Coeff EC7'!$T$39:$X$59,3,0)*EN218+VLOOKUP($B$3,'Coeff EC7'!$T$65:$X$85,3,0)*Model0.1T!EO218)/1.1</f>
        <v>#N/A</v>
      </c>
      <c r="ER218" s="102" t="e">
        <f t="shared" si="394"/>
        <v>#N/A</v>
      </c>
      <c r="ES218" s="102" t="e">
        <f t="shared" si="395"/>
        <v>#N/A</v>
      </c>
      <c r="ET218" s="414" t="e">
        <f>IF(AND(EP218&gt;NDC!$C$63,EQ218&gt;NDC!$C$65,ER218&gt;NDC!$D$73,ES218&gt;NDC!$D$74,$B218&gt;NDC!$H$22-0.1+MIN(3*ET$12,1.5)),0,1)</f>
        <v>#N/A</v>
      </c>
      <c r="EU218" s="86" t="b">
        <f t="shared" si="361"/>
        <v>0</v>
      </c>
      <c r="EV218" s="86">
        <f t="shared" si="362"/>
        <v>0.61</v>
      </c>
      <c r="EW218" s="86">
        <f t="shared" si="363"/>
        <v>0.61</v>
      </c>
      <c r="EX218" s="30" t="e">
        <f t="shared" ca="1" si="396"/>
        <v>#DIV/0!</v>
      </c>
      <c r="EY218" s="85" t="e">
        <f ca="1">IF(EE218&lt;=Hypothèses!$V$7,Hypothèses!$W$7,IF(EE218&lt;=Hypothèses!$V$8,Hypothèses!$W$8,IF(EE218&lt;=Hypothèses!$V$9,Hypothèses!$W$9,IF(EE218&lt;=Hypothèses!$V$10,Hypothèses!$W$10,IF(EE218&lt;=Hypothèses!$V$11,Hypothèses!$W$11,IF(EE218&lt;=Hypothèses!$V$12,Hypothèses!$W$12,IF(EE218&lt;=Hypothèses!$V$13,Hypothèses!$W$13,IF(EE218&lt;=Hypothèses!$V$14,Hypothèses!$W$14,IF(EE218&lt;=Hypothèses!$V$15,Hypothèses!$W$15,IF(EE218&lt;=Hypothèses!$V$16,Hypothèses!$W$16,IF(EE218&lt;=Hypothèses!$V$17,Hypothèses!$W$17,IF(EE218&lt;=Hypothèses!$V$18,Hypothèses!$W$18,""))))))))))))</f>
        <v>#DIV/0!</v>
      </c>
      <c r="EZ218" s="87" t="e">
        <f t="shared" ca="1" si="423"/>
        <v>#DIV/0!</v>
      </c>
      <c r="FA218" s="88" t="e">
        <f ca="1">IF(EE218&lt;=Hypothèses!$V$7,Hypothèses!$X$7,IF(EE218&lt;=Hypothèses!$V$8,Hypothèses!$X$8,IF(EE218&lt;=Hypothèses!$V$9,Hypothèses!$X$9,IF(EE218&lt;=Hypothèses!$V$10,Hypothèses!$X$10,IF(EE218&lt;=Hypothèses!$V$11,Hypothèses!$X$11,IF(EE218&lt;=Hypothèses!$V$12,Hypothèses!$X$12,IF(EE218&lt;=Hypothèses!$V$13,Hypothèses!$X$13,IF(EE218&lt;=Hypothèses!$V$14,Hypothèses!$X$14,IF(EE218&lt;=Hypothèses!$V$15,Hypothèses!$X$15,IF(EE218&lt;=Hypothèses!$V$16,Hypothèses!$X$16,IF(EE218&lt;=Hypothèses!$U$17,Hypothèses!$W$17,IF(EE218&lt;=Hypothèses!$U$18,Hypothèses!$W$18,""))))))))))))</f>
        <v>#DIV/0!</v>
      </c>
      <c r="FB218" s="95" t="e">
        <f t="shared" ca="1" si="397"/>
        <v>#DIV/0!</v>
      </c>
      <c r="FC218" s="101">
        <f t="shared" si="430"/>
        <v>0</v>
      </c>
      <c r="FD218" s="91">
        <f t="shared" si="364"/>
        <v>0</v>
      </c>
      <c r="FE218" s="30" t="e">
        <f t="shared" si="414"/>
        <v>#N/A</v>
      </c>
      <c r="FF218" s="30" t="e">
        <f t="shared" si="415"/>
        <v>#N/A</v>
      </c>
      <c r="FG218" s="31" t="e">
        <f>IF(OR(Hypothèses!$B$4=17,Hypothèses!$B$4=18,Hypothèses!$B$4=19,Hypothèses!$B$4=20),
IF($D218="Pressio.",
IF(OR($E218=3,$E218=1,$E218=4),FF218,FE218),
IF($D218="Pénétro.",
IF(OR($E218=3,$E218=1,$E218=4),FF218,FE218))),IF($D218="Pressio.",
IF($E218=3,FF218,FE218),
IF($D218="Pénétro.",
IF($E218=4,FF218,FE218))))</f>
        <v>#N/A</v>
      </c>
      <c r="FH218" s="31">
        <v>0</v>
      </c>
      <c r="FI218" s="102" t="e">
        <f>IF(NDC!$H$10="Oui",(VLOOKUP($B$3,'Coeff EC7'!$T$39:$X$59,2,0)*FG218+VLOOKUP($B$3,'Coeff EC7'!$T$65:$X$85,2,0)*Model0.1T!FH218)/1.5,PI()*FE$12*$Q218*($B218-$B217)*0.15/10+FI217)</f>
        <v>#N/A</v>
      </c>
      <c r="FJ218" s="102" t="e">
        <f>(VLOOKUP($B$3,'Coeff EC7'!$T$39:$X$59,3,0)*FG218+VLOOKUP($B$3,'Coeff EC7'!$T$65:$X$85,3,0)*Model0.1T!FH218)/1.1</f>
        <v>#N/A</v>
      </c>
      <c r="FK218" s="102" t="e">
        <f t="shared" si="398"/>
        <v>#N/A</v>
      </c>
      <c r="FL218" s="102" t="e">
        <f t="shared" si="399"/>
        <v>#N/A</v>
      </c>
      <c r="FM218" s="414" t="e">
        <f>IF(AND(FI218&gt;NDC!$C$63,FJ218&gt;NDC!$C$65,FK218&gt;NDC!$D$73,FL218&gt;NDC!$D$74,$B218&gt;NDC!$H$22-0.1+MIN(3*FM$12,1.5)),0,1)</f>
        <v>#N/A</v>
      </c>
    </row>
    <row r="219" spans="1:169">
      <c r="A219" s="96">
        <f t="shared" si="365"/>
        <v>79.400000000001171</v>
      </c>
      <c r="B219" s="97">
        <v>20.6</v>
      </c>
      <c r="C219" s="81">
        <f>IF(B219&lt;=Hypothèses!$C$7,Hypothèses!$A$7,IF(B219&lt;=Hypothèses!$C$8,Hypothèses!$A$8,IF(B219&lt;=Hypothèses!$C$9,Hypothèses!$A$9,IF(B219&lt;=Hypothèses!$C$10,Hypothèses!$A$10,IF(B219&lt;=Hypothèses!$C$11,Hypothèses!$A$11,IF(B219&lt;=Hypothèses!$C$12,Hypothèses!$A$12,IF(B219&lt;=Hypothèses!$C$13,Hypothèses!$A$13,IF(B219&lt;=Hypothèses!$C$14,Hypothèses!$A$14,IF(B219&lt;=Hypothèses!$C$15,Hypothèses!$A$15,IF(B219&lt;=Hypothèses!$C$16,Hypothèses!$A$16,IF(B219&lt;=Hypothèses!$C$17,Hypothèses!$A$17,IF(B219&lt;=Hypothèses!$C$18,Hypothèses!$A$18,C218))))))))))))</f>
        <v>11</v>
      </c>
      <c r="D219" s="82" t="str">
        <f>IF(B219&lt;=Hypothèses!$C$7,Hypothèses!$R$7,IF(B219&lt;=Hypothèses!$C$8,Hypothèses!$R$8,IF(B219&lt;=Hypothèses!$C$9,Hypothèses!$R$9,IF(B219&lt;=Hypothèses!$C$10,Hypothèses!$R$10,IF(B219&lt;=Hypothèses!$C$11,Hypothèses!$R$11,IF(B219&lt;=Hypothèses!$C$12,Hypothèses!$R$12,IF(B219&lt;=Hypothèses!$C$13,Hypothèses!$R$13,IF(B219&lt;=Hypothèses!$C$14,Hypothèses!$R$14,IF(B219&lt;=Hypothèses!$C$15,Hypothèses!$R$15,IF(B219&lt;=Hypothèses!$C$16,Hypothèses!$R$16,IF(B219&lt;=Hypothèses!$C$17,Hypothèses!$R$17,IF(B219&lt;=Hypothèses!$C$18,Hypothèses!$R$18,D218))))))))))))</f>
        <v>Pressio.</v>
      </c>
      <c r="E219" s="82" t="e">
        <f>IF(B219&lt;=Hypothèses!$C$7,Hypothèses!$G$7,IF(B219&lt;=Hypothèses!$C$8,Hypothèses!$G$8,IF(B219&lt;=Hypothèses!$C$9,Hypothèses!$G$9,IF(B219&lt;=Hypothèses!$C$10,Hypothèses!$G$10,IF(B219&lt;=Hypothèses!$C$11,Hypothèses!$G$11,IF(B219&lt;=Hypothèses!$C$12,Hypothèses!$G$12,IF(B219&lt;=Hypothèses!$C$13,Hypothèses!$G$13,IF(B219&lt;=Hypothèses!$C$14,Hypothèses!$G$14,IF(B219&lt;=Hypothèses!$C$15,Hypothèses!$G$15,IF(B219&lt;=Hypothèses!$C$16,Hypothèses!$G$16,IF(B219&lt;=Hypothèses!$C$17,Hypothèses!$G$17,IF(B219&lt;=Hypothèses!$C$18,Hypothèses!$G$18,E218))))))))))))</f>
        <v>#N/A</v>
      </c>
      <c r="F219" s="82" t="str">
        <f>IF(B219&lt;=Hypothèses!$C$7,Hypothèses!$F$7,IF(B219&lt;=Hypothèses!$C$8,Hypothèses!$F$8,IF(B219&lt;=Hypothèses!$C$9,Hypothèses!$F$9,IF(B219&lt;=Hypothèses!$C$10,Hypothèses!$F$10,IF(B219&lt;=Hypothèses!$C$11,Hypothèses!$F$11,IF(B219&lt;=Hypothèses!$C$12,Hypothèses!$F$12,IF(B219&lt;=Hypothèses!$C$13,Hypothèses!$F$13,IF(B219&lt;=Hypothèses!$C$14,Hypothèses!$F$14,IF(B219&lt;=Hypothèses!$C$15,Hypothèses!$F$15,IF(B219&lt;=Hypothèses!$C$16,Hypothèses!$F$16,IF(B219&lt;=Hypothèses!$C$17,Hypothèses!$F$17,IF(B219&lt;=Hypothèses!$C$18,Hypothèses!$F$18,F218))))))))))))</f>
        <v/>
      </c>
      <c r="G219" s="91">
        <f t="array" ref="G219">INDEX('Coeff EC7'!$U$7:$X$27,
MATCH(Model0.1T!$B$3,'Coeff EC7'!$T$7:$T$27,0),
MATCH(Model0.1T!$D219&amp;Model0.1T!$B$4,
'Coeff EC7'!$U$6:$X$6&amp;
'Coeff EC7'!$U$5:$X$5,0))</f>
        <v>1.4</v>
      </c>
      <c r="H219" s="91">
        <f t="array" ref="H219">INDEX('Coeff EC7'!$Y$7:$AB$27,
MATCH(Model0.1T!$B$3,'Coeff EC7'!$T$7:$T$27,0),
MATCH(Model0.1T!$D219&amp;Model0.1T!$B$4,
'Coeff EC7'!$Y$6:$AB$6&amp;
'Coeff EC7'!$Y$5:$AB$5,0))</f>
        <v>1.7</v>
      </c>
      <c r="I219" s="83">
        <v>0</v>
      </c>
      <c r="J219" s="91" t="e">
        <f t="array" ref="J219">INDEX('Coeff EC7'!$D$33:$Q$33,1,MATCH(D219&amp;E219,'Coeff EC7'!$D$31:$Q$31&amp;'Coeff EC7'!$D$32:$Q$32,0))</f>
        <v>#N/A</v>
      </c>
      <c r="K219" s="91" t="e">
        <f t="array" ref="K219">INDEX('Coeff EC7'!$D$34:$Q$34,1,MATCH(D219&amp;E219,'Coeff EC7'!$D$31:$Q$31&amp;'Coeff EC7'!$D$32:$Q$32,0))</f>
        <v>#N/A</v>
      </c>
      <c r="L219" s="91" t="e">
        <f t="array" ref="L219">INDEX('Coeff EC7'!$D$35:$Q$35,1,MATCH(D219&amp;E219,'Coeff EC7'!$D$31:$Q$31&amp;'Coeff EC7'!$D$32:$Q$32,0))</f>
        <v>#N/A</v>
      </c>
      <c r="M219" s="98" t="e">
        <f t="shared" si="331"/>
        <v>#N/A</v>
      </c>
      <c r="N219" s="99" t="e">
        <f t="array" ref="N219">INDEX('Coeff EC7'!$D$7:$Q$27,MATCH($B$3,'Coeff EC7'!$C$7:$C$27,0),MATCH(D219&amp;E219,'Coeff EC7'!$D$5:$Q$5&amp;'Coeff EC7'!$D$6:$Q$6,0))</f>
        <v>#N/A</v>
      </c>
      <c r="O219" s="99" t="e">
        <f t="array" ref="O219">INDEX('Coeff EC7'!$D$41:$Q$61,MATCH($B$3,'Coeff EC7'!$C$41:$C$61,0),MATCH(D219&amp;E219,'Coeff EC7'!$D$39:$Q$39&amp;'Coeff EC7'!$D$40:$Q$40,0))</f>
        <v>#N/A</v>
      </c>
      <c r="P219" s="30" t="e">
        <f t="shared" si="366"/>
        <v>#N/A</v>
      </c>
      <c r="Q219" s="100" t="e">
        <f t="shared" si="333"/>
        <v>#N/A</v>
      </c>
      <c r="R219" s="86" t="b">
        <f t="shared" si="334"/>
        <v>0</v>
      </c>
      <c r="S219" s="86">
        <f t="shared" si="332"/>
        <v>0.5</v>
      </c>
      <c r="T219" s="86">
        <f t="shared" si="335"/>
        <v>0.5</v>
      </c>
      <c r="U219" s="30" t="e">
        <f t="shared" ca="1" si="367"/>
        <v>#DIV/0!</v>
      </c>
      <c r="V219" s="85" t="str">
        <f>IF(B219&lt;=Hypothèses!$V$7,Hypothèses!$W$7,IF(B219&lt;=Hypothèses!$V$8,Hypothèses!$W$8,IF(B219&lt;=Hypothèses!$V$9,Hypothèses!$W$9,IF(B219&lt;=Hypothèses!$V$10,Hypothèses!$W$10,IF(B219&lt;=Hypothèses!$V$11,Hypothèses!$W$11,IF(B219&lt;=Hypothèses!$V$12,Hypothèses!$W$12,IF(B219&lt;=Hypothèses!$V$13,Hypothèses!$W$13,IF(B219&lt;=Hypothèses!$V$14,Hypothèses!$W$14,IF(B219&lt;=Hypothèses!$V$15,Hypothèses!$W$15,IF(B219&lt;=Hypothèses!$V$16,Hypothèses!$W$16,IF(B219&lt;=Hypothèses!$V$17,Hypothèses!$W$17,IF(B219&lt;=Hypothèses!$V$18,Hypothèses!$W$18,""))))))))))))</f>
        <v/>
      </c>
      <c r="W219" s="87" t="e">
        <f t="shared" ca="1" si="416"/>
        <v>#DIV/0!</v>
      </c>
      <c r="X219" s="88" t="str">
        <f>IF(B219&lt;=Hypothèses!$V$7,Hypothèses!$X$7,IF(B219&lt;=Hypothèses!$V$8,Hypothèses!$X$8,IF(B219&lt;=Hypothèses!$V$9,Hypothèses!$X$9,IF(B219&lt;=Hypothèses!$V$10,Hypothèses!$X$10,IF(B219&lt;=Hypothèses!$V$11,Hypothèses!$X$11,IF(B219&lt;=Hypothèses!$V$12,Hypothèses!$X$12,IF(B219&lt;=Hypothèses!$V$13,Hypothèses!$X$13,IF(B219&lt;=Hypothèses!$V$14,Hypothèses!$X$14,IF(B219&lt;=Hypothèses!$V$15,Hypothèses!$X$15,IF(B219&lt;=Hypothèses!$V$16,Hypothèses!$X$16,IF(B219&lt;=Hypothèses!$U$17,Hypothèses!$W$17,IF(B219&lt;=Hypothèses!$U$18,Hypothèses!$W$18,""))))))))))))</f>
        <v/>
      </c>
      <c r="Y219" s="95" t="e">
        <f t="shared" ca="1" si="336"/>
        <v>#DIV/0!</v>
      </c>
      <c r="Z219" s="101">
        <f t="shared" si="337"/>
        <v>0</v>
      </c>
      <c r="AA219" s="91">
        <f t="shared" si="338"/>
        <v>0</v>
      </c>
      <c r="AB219" s="30" t="e">
        <f t="shared" si="400"/>
        <v>#N/A</v>
      </c>
      <c r="AC219" s="30" t="e">
        <f t="shared" si="401"/>
        <v>#N/A</v>
      </c>
      <c r="AD219" s="31" t="e">
        <f>IF(OR(Hypothèses!$B$4=17,Hypothèses!$B$4=18,Hypothèses!$B$4=19,Hypothèses!$B$4=20),
IF($D219="Pressio.",
IF(OR($E219=3,$E219=1,$E219=4),AC219,AB219),
IF($D219="Pénétro.",
IF(OR($E219=3,$E219=1,$E219=4),AC219,AB219))),IF($D219="Pressio.",
IF($E219=3,AC219,AB219),
IF($D219="Pénétro.",
IF($E219=4,AC219,AB219))))</f>
        <v>#N/A</v>
      </c>
      <c r="AE219" s="31">
        <v>0</v>
      </c>
      <c r="AF219" s="102" t="e">
        <f>IF(NDC!$H$10="Oui",(VLOOKUP($B$3,'Coeff EC7'!$T$39:$X$59,2,0)*AD219+VLOOKUP($B$3,'Coeff EC7'!$T$65:$X$85,2,0)*Model0.1T!AE219)/1.5,PI()*AB$12*$Q219*($B219-$B218)*0.15/10+AF218)</f>
        <v>#N/A</v>
      </c>
      <c r="AG219" s="102" t="e">
        <f>(VLOOKUP($B$3,'Coeff EC7'!$T$39:$X$59,3,0)*AD219+VLOOKUP($B$3,'Coeff EC7'!$T$65:$X$85,3,0)*Model0.1T!AE219)/1.1</f>
        <v>#N/A</v>
      </c>
      <c r="AH219" s="102" t="e">
        <f t="shared" si="368"/>
        <v>#N/A</v>
      </c>
      <c r="AI219" s="102" t="e">
        <f t="shared" si="369"/>
        <v>#N/A</v>
      </c>
      <c r="AJ219" s="414" t="e">
        <f>IF(AND(AF219&gt;NDC!$C$63,AG219&gt;NDC!$C$65,AH219&gt;NDC!$D$73,AI219&gt;NDC!$D$74,$B219&gt;NDC!$H$22-0.1+MIN(3*$AJ$12,1.5)),0,1)</f>
        <v>#N/A</v>
      </c>
      <c r="AK219" s="86" t="b">
        <f t="shared" si="339"/>
        <v>0</v>
      </c>
      <c r="AL219" s="86">
        <f t="shared" si="370"/>
        <v>0.5</v>
      </c>
      <c r="AM219" s="86">
        <f t="shared" si="340"/>
        <v>0.5</v>
      </c>
      <c r="AN219" s="30" t="e">
        <f t="shared" ca="1" si="371"/>
        <v>#DIV/0!</v>
      </c>
      <c r="AO219" s="85" t="e">
        <f ca="1">IF(U219&lt;=Hypothèses!$V$7,Hypothèses!$W$7,IF(U219&lt;=Hypothèses!$V$8,Hypothèses!$W$8,IF(U219&lt;=Hypothèses!$V$9,Hypothèses!$W$9,IF(U219&lt;=Hypothèses!$V$10,Hypothèses!$W$10,IF(U219&lt;=Hypothèses!$V$11,Hypothèses!$W$11,IF(U219&lt;=Hypothèses!$V$12,Hypothèses!$W$12,IF(U219&lt;=Hypothèses!$V$13,Hypothèses!$W$13,IF(U219&lt;=Hypothèses!$V$14,Hypothèses!$W$14,IF(U219&lt;=Hypothèses!$V$15,Hypothèses!$W$15,IF(U219&lt;=Hypothèses!$V$16,Hypothèses!$W$16,IF(U219&lt;=Hypothèses!$V$17,Hypothèses!$W$17,IF(U219&lt;=Hypothèses!$V$18,Hypothèses!$W$18,""))))))))))))</f>
        <v>#DIV/0!</v>
      </c>
      <c r="AP219" s="87" t="e">
        <f t="shared" ca="1" si="417"/>
        <v>#DIV/0!</v>
      </c>
      <c r="AQ219" s="88" t="e">
        <f ca="1">IF(U219&lt;=Hypothèses!$V$7,Hypothèses!$X$7,IF(U219&lt;=Hypothèses!$V$8,Hypothèses!$X$8,IF(U219&lt;=Hypothèses!$V$9,Hypothèses!$X$9,IF(U219&lt;=Hypothèses!$V$10,Hypothèses!$X$10,IF(U219&lt;=Hypothèses!$V$11,Hypothèses!$X$11,IF(U219&lt;=Hypothèses!$V$12,Hypothèses!$X$12,IF(U219&lt;=Hypothèses!$V$13,Hypothèses!$X$13,IF(U219&lt;=Hypothèses!$V$14,Hypothèses!$X$14,IF(U219&lt;=Hypothèses!$V$15,Hypothèses!$X$15,IF(U219&lt;=Hypothèses!$V$16,Hypothèses!$X$16,IF(U219&lt;=Hypothèses!$U$17,Hypothèses!$W$17,IF(U219&lt;=Hypothèses!$U$18,Hypothèses!$W$18,""))))))))))))</f>
        <v>#DIV/0!</v>
      </c>
      <c r="AR219" s="95" t="e">
        <f t="shared" ca="1" si="372"/>
        <v>#DIV/0!</v>
      </c>
      <c r="AS219" s="101">
        <f t="shared" si="424"/>
        <v>0</v>
      </c>
      <c r="AT219" s="91">
        <f t="shared" si="341"/>
        <v>0</v>
      </c>
      <c r="AU219" s="30" t="e">
        <f t="shared" si="402"/>
        <v>#N/A</v>
      </c>
      <c r="AV219" s="30" t="e">
        <f t="shared" si="403"/>
        <v>#N/A</v>
      </c>
      <c r="AW219" s="31" t="e">
        <f>IF(OR(Hypothèses!$B$4=17,Hypothèses!$B$4=18,Hypothèses!$B$4=19,Hypothèses!$B$4=20),
IF($D219="Pressio.",
IF(OR($E219=3,$E219=1,$E219=4),AV219,AU219),
IF($D219="Pénétro.",
IF(OR($E219=3,$E219=1,$E219=4),AV219,AU219))),IF($D219="Pressio.",
IF($E219=3,AV219,AU219),
IF($D219="Pénétro.",
IF($E219=4,AV219,AU219))))</f>
        <v>#N/A</v>
      </c>
      <c r="AX219" s="31">
        <v>0</v>
      </c>
      <c r="AY219" s="102" t="e">
        <f>IF(NDC!$H$10="Oui",(VLOOKUP($B$3,'Coeff EC7'!$T$39:$X$59,2,0)*AW219+VLOOKUP($B$3,'Coeff EC7'!$T$65:$X$85,2,0)*Model0.1T!AX219)/1.5,PI()*AU$12*$Q219*($B219-$B218)*0.15/10+AY218)</f>
        <v>#N/A</v>
      </c>
      <c r="AZ219" s="102" t="e">
        <f>(VLOOKUP($B$3,'Coeff EC7'!$T$39:$X$59,3,0)*AW219+VLOOKUP($B$3,'Coeff EC7'!$T$65:$X$85,3,0)*Model0.1T!AX219)/1.1</f>
        <v>#N/A</v>
      </c>
      <c r="BA219" s="102" t="e">
        <f t="shared" si="373"/>
        <v>#N/A</v>
      </c>
      <c r="BB219" s="102" t="e">
        <f t="shared" si="374"/>
        <v>#N/A</v>
      </c>
      <c r="BC219" s="414" t="e">
        <f>IF(AND(AY219&gt;NDC!$C$63,AZ219&gt;NDC!$C$65,BA219&gt;NDC!$D$73,BB219&gt;NDC!$D$74,$B219&gt;NDC!$H$22-0.1+MIN(3*BC$12,1.5)),0,1)</f>
        <v>#N/A</v>
      </c>
      <c r="BD219" s="86" t="b">
        <f t="shared" si="342"/>
        <v>0</v>
      </c>
      <c r="BE219" s="86">
        <f t="shared" si="375"/>
        <v>0.5</v>
      </c>
      <c r="BF219" s="86">
        <f t="shared" si="343"/>
        <v>0.5</v>
      </c>
      <c r="BG219" s="30" t="e">
        <f t="shared" ca="1" si="376"/>
        <v>#DIV/0!</v>
      </c>
      <c r="BH219" s="85" t="e">
        <f ca="1">IF(AN219&lt;=Hypothèses!$V$7,Hypothèses!$W$7,IF(AN219&lt;=Hypothèses!$V$8,Hypothèses!$W$8,IF(AN219&lt;=Hypothèses!$V$9,Hypothèses!$W$9,IF(AN219&lt;=Hypothèses!$V$10,Hypothèses!$W$10,IF(AN219&lt;=Hypothèses!$V$11,Hypothèses!$W$11,IF(AN219&lt;=Hypothèses!$V$12,Hypothèses!$W$12,IF(AN219&lt;=Hypothèses!$V$13,Hypothèses!$W$13,IF(AN219&lt;=Hypothèses!$V$14,Hypothèses!$W$14,IF(AN219&lt;=Hypothèses!$V$15,Hypothèses!$W$15,IF(AN219&lt;=Hypothèses!$V$16,Hypothèses!$W$16,IF(AN219&lt;=Hypothèses!$V$17,Hypothèses!$W$17,IF(AN219&lt;=Hypothèses!$V$18,Hypothèses!$W$18,""))))))))))))</f>
        <v>#DIV/0!</v>
      </c>
      <c r="BI219" s="87" t="e">
        <f t="shared" ca="1" si="418"/>
        <v>#DIV/0!</v>
      </c>
      <c r="BJ219" s="88" t="e">
        <f ca="1">IF(AN219&lt;=Hypothèses!$V$7,Hypothèses!$X$7,IF(AN219&lt;=Hypothèses!$V$8,Hypothèses!$X$8,IF(AN219&lt;=Hypothèses!$V$9,Hypothèses!$X$9,IF(AN219&lt;=Hypothèses!$V$10,Hypothèses!$X$10,IF(AN219&lt;=Hypothèses!$V$11,Hypothèses!$X$11,IF(AN219&lt;=Hypothèses!$V$12,Hypothèses!$X$12,IF(AN219&lt;=Hypothèses!$V$13,Hypothèses!$X$13,IF(AN219&lt;=Hypothèses!$V$14,Hypothèses!$X$14,IF(AN219&lt;=Hypothèses!$V$15,Hypothèses!$X$15,IF(AN219&lt;=Hypothèses!$V$16,Hypothèses!$X$16,IF(AN219&lt;=Hypothèses!$U$17,Hypothèses!$W$17,IF(AN219&lt;=Hypothèses!$U$18,Hypothèses!$W$18,""))))))))))))</f>
        <v>#DIV/0!</v>
      </c>
      <c r="BK219" s="95" t="e">
        <f t="shared" ca="1" si="377"/>
        <v>#DIV/0!</v>
      </c>
      <c r="BL219" s="101">
        <f t="shared" si="425"/>
        <v>0</v>
      </c>
      <c r="BM219" s="91">
        <f t="shared" si="344"/>
        <v>0</v>
      </c>
      <c r="BN219" s="30" t="e">
        <f t="shared" si="404"/>
        <v>#N/A</v>
      </c>
      <c r="BO219" s="30" t="e">
        <f t="shared" si="405"/>
        <v>#N/A</v>
      </c>
      <c r="BP219" s="31" t="e">
        <f>IF(OR(Hypothèses!$B$4=17,Hypothèses!$B$4=18,Hypothèses!$B$4=19,Hypothèses!$B$4=20),
IF($D219="Pressio.",
IF(OR($E219=3,$E219=1,$E219=4),BO219,BN219),
IF($D219="Pénétro.",
IF(OR($E219=3,$E219=1,$E219=4),BO219,BN219))),IF($D219="Pressio.",
IF($E219=3,BO219,BN219),
IF($D219="Pénétro.",
IF($E219=4,BO219,BN219))))</f>
        <v>#N/A</v>
      </c>
      <c r="BQ219" s="31">
        <v>0</v>
      </c>
      <c r="BR219" s="102" t="e">
        <f>IF(NDC!$H$10="Oui",(VLOOKUP($B$3,'Coeff EC7'!$T$39:$X$59,2,0)*BP219+VLOOKUP($B$3,'Coeff EC7'!$T$65:$X$85,2,0)*Model0.1T!BQ219)/1.5,PI()*BN$12*$Q219*($B219-$B218)*0.15/10+BR218)</f>
        <v>#N/A</v>
      </c>
      <c r="BS219" s="102" t="e">
        <f>(VLOOKUP($B$3,'Coeff EC7'!$T$39:$X$59,3,0)*BP219+VLOOKUP($B$3,'Coeff EC7'!$T$65:$X$85,3,0)*Model0.1T!BQ219)/1.1</f>
        <v>#N/A</v>
      </c>
      <c r="BT219" s="102" t="e">
        <f t="shared" si="378"/>
        <v>#N/A</v>
      </c>
      <c r="BU219" s="102" t="e">
        <f t="shared" si="379"/>
        <v>#N/A</v>
      </c>
      <c r="BV219" s="414" t="e">
        <f>IF(AND(BR219&gt;NDC!$C$63,BS219&gt;NDC!$C$65,BT219&gt;NDC!$D$73,BU219&gt;NDC!$D$74,$B219&gt;NDC!$H$22-0.1+MIN(3*BV$12,1.5)),0,1)</f>
        <v>#N/A</v>
      </c>
      <c r="BW219" s="86" t="b">
        <f t="shared" si="345"/>
        <v>0</v>
      </c>
      <c r="BX219" s="86">
        <f t="shared" si="346"/>
        <v>0.5</v>
      </c>
      <c r="BY219" s="86">
        <f t="shared" si="347"/>
        <v>0.5</v>
      </c>
      <c r="BZ219" s="30" t="e">
        <f t="shared" ca="1" si="380"/>
        <v>#DIV/0!</v>
      </c>
      <c r="CA219" s="85" t="e">
        <f ca="1">IF(BG219&lt;=Hypothèses!$V$7,Hypothèses!$W$7,IF(BG219&lt;=Hypothèses!$V$8,Hypothèses!$W$8,IF(BG219&lt;=Hypothèses!$V$9,Hypothèses!$W$9,IF(BG219&lt;=Hypothèses!$V$10,Hypothèses!$W$10,IF(BG219&lt;=Hypothèses!$V$11,Hypothèses!$W$11,IF(BG219&lt;=Hypothèses!$V$12,Hypothèses!$W$12,IF(BG219&lt;=Hypothèses!$V$13,Hypothèses!$W$13,IF(BG219&lt;=Hypothèses!$V$14,Hypothèses!$W$14,IF(BG219&lt;=Hypothèses!$V$15,Hypothèses!$W$15,IF(BG219&lt;=Hypothèses!$V$16,Hypothèses!$W$16,IF(BG219&lt;=Hypothèses!$V$17,Hypothèses!$W$17,IF(BG219&lt;=Hypothèses!$V$18,Hypothèses!$W$18,""))))))))))))</f>
        <v>#DIV/0!</v>
      </c>
      <c r="CB219" s="87" t="e">
        <f t="shared" ca="1" si="419"/>
        <v>#DIV/0!</v>
      </c>
      <c r="CC219" s="88" t="e">
        <f ca="1">IF(BG219&lt;=Hypothèses!$V$7,Hypothèses!$X$7,IF(BG219&lt;=Hypothèses!$V$8,Hypothèses!$X$8,IF(BG219&lt;=Hypothèses!$V$9,Hypothèses!$X$9,IF(BG219&lt;=Hypothèses!$V$10,Hypothèses!$X$10,IF(BG219&lt;=Hypothèses!$V$11,Hypothèses!$X$11,IF(BG219&lt;=Hypothèses!$V$12,Hypothèses!$X$12,IF(BG219&lt;=Hypothèses!$V$13,Hypothèses!$X$13,IF(BG219&lt;=Hypothèses!$V$14,Hypothèses!$X$14,IF(BG219&lt;=Hypothèses!$V$15,Hypothèses!$X$15,IF(BG219&lt;=Hypothèses!$V$16,Hypothèses!$X$16,IF(BG219&lt;=Hypothèses!$U$17,Hypothèses!$W$17,IF(BG219&lt;=Hypothèses!$U$18,Hypothèses!$W$18,""))))))))))))</f>
        <v>#DIV/0!</v>
      </c>
      <c r="CD219" s="95" t="e">
        <f t="shared" ca="1" si="381"/>
        <v>#DIV/0!</v>
      </c>
      <c r="CE219" s="101">
        <f t="shared" si="426"/>
        <v>0</v>
      </c>
      <c r="CF219" s="91">
        <f t="shared" si="348"/>
        <v>0</v>
      </c>
      <c r="CG219" s="30" t="e">
        <f t="shared" si="406"/>
        <v>#N/A</v>
      </c>
      <c r="CH219" s="30" t="e">
        <f t="shared" si="407"/>
        <v>#N/A</v>
      </c>
      <c r="CI219" s="31" t="e">
        <f>IF(OR(Hypothèses!$B$4=17,Hypothèses!$B$4=18,Hypothèses!$B$4=19,Hypothèses!$B$4=20),
IF($D219="Pressio.",
IF(OR($E219=3,$E219=1,$E219=4),CH219,CG219),
IF($D219="Pénétro.",
IF(OR($E219=3,$E219=1,$E219=4),CH219,CG219))),IF($D219="Pressio.",
IF($E219=3,CH219,CG219),
IF($D219="Pénétro.",
IF($E219=4,CH219,CG219))))</f>
        <v>#N/A</v>
      </c>
      <c r="CJ219" s="31">
        <v>0</v>
      </c>
      <c r="CK219" s="102" t="e">
        <f>IF(NDC!$H$10="Oui",(VLOOKUP($B$3,'Coeff EC7'!$T$39:$X$59,2,0)*CI219+VLOOKUP($B$3,'Coeff EC7'!$T$65:$X$85,2,0)*Model0.1T!CJ219)/1.5,PI()*CG$12*$Q219*($B219-$B218)*0.15/10+CK218)</f>
        <v>#N/A</v>
      </c>
      <c r="CL219" s="102" t="e">
        <f>(VLOOKUP($B$3,'Coeff EC7'!$T$39:$X$59,3,0)*CI219+VLOOKUP($B$3,'Coeff EC7'!$T$65:$X$85,3,0)*Model0.1T!CJ219)/1.1</f>
        <v>#N/A</v>
      </c>
      <c r="CM219" s="102" t="e">
        <f t="shared" si="382"/>
        <v>#N/A</v>
      </c>
      <c r="CN219" s="102" t="e">
        <f t="shared" si="383"/>
        <v>#N/A</v>
      </c>
      <c r="CO219" s="414" t="e">
        <f>IF(AND(CK219&gt;NDC!$C$63,CL219&gt;NDC!$C$65,CM219&gt;NDC!$D$73,CN219&gt;NDC!$D$74,$B219&gt;NDC!$H$22-0.1+MIN(3*CO$12,1.5)),0,1)</f>
        <v>#N/A</v>
      </c>
      <c r="CP219" s="86" t="b">
        <f t="shared" si="349"/>
        <v>0</v>
      </c>
      <c r="CQ219" s="86">
        <f t="shared" si="350"/>
        <v>0.5</v>
      </c>
      <c r="CR219" s="86">
        <f t="shared" si="351"/>
        <v>0.5</v>
      </c>
      <c r="CS219" s="30" t="e">
        <f t="shared" ca="1" si="384"/>
        <v>#DIV/0!</v>
      </c>
      <c r="CT219" s="85" t="e">
        <f ca="1">IF(BZ219&lt;=Hypothèses!$V$7,Hypothèses!$W$7,IF(BZ219&lt;=Hypothèses!$V$8,Hypothèses!$W$8,IF(BZ219&lt;=Hypothèses!$V$9,Hypothèses!$W$9,IF(BZ219&lt;=Hypothèses!$V$10,Hypothèses!$W$10,IF(BZ219&lt;=Hypothèses!$V$11,Hypothèses!$W$11,IF(BZ219&lt;=Hypothèses!$V$12,Hypothèses!$W$12,IF(BZ219&lt;=Hypothèses!$V$13,Hypothèses!$W$13,IF(BZ219&lt;=Hypothèses!$V$14,Hypothèses!$W$14,IF(BZ219&lt;=Hypothèses!$V$15,Hypothèses!$W$15,IF(BZ219&lt;=Hypothèses!$V$16,Hypothèses!$W$16,IF(BZ219&lt;=Hypothèses!$V$17,Hypothèses!$W$17,IF(BZ219&lt;=Hypothèses!$V$18,Hypothèses!$W$18,""))))))))))))</f>
        <v>#DIV/0!</v>
      </c>
      <c r="CU219" s="87" t="e">
        <f t="shared" ca="1" si="420"/>
        <v>#DIV/0!</v>
      </c>
      <c r="CV219" s="88" t="e">
        <f ca="1">IF(BZ219&lt;=Hypothèses!$V$7,Hypothèses!$X$7,IF(BZ219&lt;=Hypothèses!$V$8,Hypothèses!$X$8,IF(BZ219&lt;=Hypothèses!$V$9,Hypothèses!$X$9,IF(BZ219&lt;=Hypothèses!$V$10,Hypothèses!$X$10,IF(BZ219&lt;=Hypothèses!$V$11,Hypothèses!$X$11,IF(BZ219&lt;=Hypothèses!$V$12,Hypothèses!$X$12,IF(BZ219&lt;=Hypothèses!$V$13,Hypothèses!$X$13,IF(BZ219&lt;=Hypothèses!$V$14,Hypothèses!$X$14,IF(BZ219&lt;=Hypothèses!$V$15,Hypothèses!$X$15,IF(BZ219&lt;=Hypothèses!$V$16,Hypothèses!$X$16,IF(BZ219&lt;=Hypothèses!$U$17,Hypothèses!$W$17,IF(BZ219&lt;=Hypothèses!$U$18,Hypothèses!$W$18,""))))))))))))</f>
        <v>#DIV/0!</v>
      </c>
      <c r="CW219" s="95" t="e">
        <f t="shared" ca="1" si="385"/>
        <v>#DIV/0!</v>
      </c>
      <c r="CX219" s="101">
        <f t="shared" si="427"/>
        <v>0</v>
      </c>
      <c r="CY219" s="91">
        <f t="shared" si="352"/>
        <v>0</v>
      </c>
      <c r="CZ219" s="30" t="e">
        <f t="shared" si="408"/>
        <v>#N/A</v>
      </c>
      <c r="DA219" s="30" t="e">
        <f t="shared" si="409"/>
        <v>#N/A</v>
      </c>
      <c r="DB219" s="31" t="e">
        <f>IF(OR(Hypothèses!$B$4=17,Hypothèses!$B$4=18,Hypothèses!$B$4=19,Hypothèses!$B$4=20),
IF($D219="Pressio.",
IF(OR($E219=3,$E219=1,$E219=4),DA219,CZ219),
IF($D219="Pénétro.",
IF(OR($E219=3,$E219=1,$E219=4),DA219,CZ219))),IF($D219="Pressio.",
IF($E219=3,DA219,CZ219),
IF($D219="Pénétro.",
IF($E219=4,DA219,CZ219))))</f>
        <v>#N/A</v>
      </c>
      <c r="DC219" s="31">
        <v>0</v>
      </c>
      <c r="DD219" s="102" t="e">
        <f>IF(NDC!$H$10="Oui",(VLOOKUP($B$3,'Coeff EC7'!$T$39:$X$59,2,0)*DB219+VLOOKUP($B$3,'Coeff EC7'!$T$65:$X$85,2,0)*Model0.1T!DC219)/1.5,PI()*CZ$12*$Q219*($B219-$B218)*0.15/10+DD218)</f>
        <v>#N/A</v>
      </c>
      <c r="DE219" s="102" t="e">
        <f>(VLOOKUP($B$3,'Coeff EC7'!$T$39:$X$59,3,0)*DB219+VLOOKUP($B$3,'Coeff EC7'!$T$65:$X$85,3,0)*Model0.1T!DC219)/1.1</f>
        <v>#N/A</v>
      </c>
      <c r="DF219" s="102" t="e">
        <f t="shared" si="386"/>
        <v>#N/A</v>
      </c>
      <c r="DG219" s="102" t="e">
        <f t="shared" si="387"/>
        <v>#N/A</v>
      </c>
      <c r="DH219" s="414" t="e">
        <f>IF(AND(DD219&gt;NDC!$C$63,DE219&gt;NDC!$C$65,DF219&gt;NDC!$D$73,DG219&gt;NDC!$D$74,$B219&gt;NDC!$H$22-0.1+MIN(3*DH$12,1.5)),0,1)</f>
        <v>#N/A</v>
      </c>
      <c r="DI219" s="86" t="b">
        <f t="shared" si="353"/>
        <v>0</v>
      </c>
      <c r="DJ219" s="86">
        <f t="shared" si="354"/>
        <v>0.5</v>
      </c>
      <c r="DK219" s="86">
        <f t="shared" si="355"/>
        <v>0.5</v>
      </c>
      <c r="DL219" s="30" t="e">
        <f t="shared" ca="1" si="388"/>
        <v>#DIV/0!</v>
      </c>
      <c r="DM219" s="85" t="e">
        <f ca="1">IF(CS219&lt;=Hypothèses!$V$7,Hypothèses!$W$7,IF(CS219&lt;=Hypothèses!$V$8,Hypothèses!$W$8,IF(CS219&lt;=Hypothèses!$V$9,Hypothèses!$W$9,IF(CS219&lt;=Hypothèses!$V$10,Hypothèses!$W$10,IF(CS219&lt;=Hypothèses!$V$11,Hypothèses!$W$11,IF(CS219&lt;=Hypothèses!$V$12,Hypothèses!$W$12,IF(CS219&lt;=Hypothèses!$V$13,Hypothèses!$W$13,IF(CS219&lt;=Hypothèses!$V$14,Hypothèses!$W$14,IF(CS219&lt;=Hypothèses!$V$15,Hypothèses!$W$15,IF(CS219&lt;=Hypothèses!$V$16,Hypothèses!$W$16,IF(CS219&lt;=Hypothèses!$V$17,Hypothèses!$W$17,IF(CS219&lt;=Hypothèses!$V$18,Hypothèses!$W$18,""))))))))))))</f>
        <v>#DIV/0!</v>
      </c>
      <c r="DN219" s="87" t="e">
        <f t="shared" ca="1" si="421"/>
        <v>#DIV/0!</v>
      </c>
      <c r="DO219" s="88" t="e">
        <f ca="1">IF(CS219&lt;=Hypothèses!$V$7,Hypothèses!$X$7,IF(CS219&lt;=Hypothèses!$V$8,Hypothèses!$X$8,IF(CS219&lt;=Hypothèses!$V$9,Hypothèses!$X$9,IF(CS219&lt;=Hypothèses!$V$10,Hypothèses!$X$10,IF(CS219&lt;=Hypothèses!$V$11,Hypothèses!$X$11,IF(CS219&lt;=Hypothèses!$V$12,Hypothèses!$X$12,IF(CS219&lt;=Hypothèses!$V$13,Hypothèses!$X$13,IF(CS219&lt;=Hypothèses!$V$14,Hypothèses!$X$14,IF(CS219&lt;=Hypothèses!$V$15,Hypothèses!$X$15,IF(CS219&lt;=Hypothèses!$V$16,Hypothèses!$X$16,IF(CS219&lt;=Hypothèses!$U$17,Hypothèses!$W$17,IF(CS219&lt;=Hypothèses!$U$18,Hypothèses!$W$18,""))))))))))))</f>
        <v>#DIV/0!</v>
      </c>
      <c r="DP219" s="95" t="e">
        <f t="shared" ca="1" si="389"/>
        <v>#DIV/0!</v>
      </c>
      <c r="DQ219" s="101">
        <f t="shared" si="428"/>
        <v>0</v>
      </c>
      <c r="DR219" s="91">
        <f t="shared" si="356"/>
        <v>0</v>
      </c>
      <c r="DS219" s="30" t="e">
        <f t="shared" si="410"/>
        <v>#N/A</v>
      </c>
      <c r="DT219" s="30" t="e">
        <f t="shared" si="411"/>
        <v>#N/A</v>
      </c>
      <c r="DU219" s="31" t="e">
        <f>IF(OR(Hypothèses!$B$4=17,Hypothèses!$B$4=18,Hypothèses!$B$4=19,Hypothèses!$B$4=20),
IF($D219="Pressio.",
IF(OR($E219=3,$E219=1,$E219=4),DT219,DS219),
IF($D219="Pénétro.",
IF(OR($E219=3,$E219=1,$E219=4),DT219,DS219))),IF($D219="Pressio.",
IF($E219=3,DT219,DS219),
IF($D219="Pénétro.",
IF($E219=4,DT219,DS219))))</f>
        <v>#N/A</v>
      </c>
      <c r="DV219" s="31">
        <v>0</v>
      </c>
      <c r="DW219" s="102" t="e">
        <f>IF(NDC!$H$10="Oui",(VLOOKUP($B$3,'Coeff EC7'!$T$39:$X$59,2,0)*DU219+VLOOKUP($B$3,'Coeff EC7'!$T$65:$X$85,2,0)*Model0.1T!DV219)/1.5,PI()*DS$12*$Q219*($B219-$B218)*0.15/10+DW218)</f>
        <v>#N/A</v>
      </c>
      <c r="DX219" s="102" t="e">
        <f>(VLOOKUP($B$3,'Coeff EC7'!$T$39:$X$59,3,0)*DU219+VLOOKUP($B$3,'Coeff EC7'!$T$65:$X$85,3,0)*Model0.1T!DV219)/1.1</f>
        <v>#N/A</v>
      </c>
      <c r="DY219" s="102" t="e">
        <f t="shared" si="390"/>
        <v>#N/A</v>
      </c>
      <c r="DZ219" s="102" t="e">
        <f t="shared" si="391"/>
        <v>#N/A</v>
      </c>
      <c r="EA219" s="414" t="e">
        <f>IF(AND(DW219&gt;NDC!$C$63,DX219&gt;NDC!$C$65,DY219&gt;NDC!$D$73,DZ219&gt;NDC!$D$74,$B219&gt;NDC!$H$22-0.1+MIN(3*EA$12,1.5)),0,1)</f>
        <v>#N/A</v>
      </c>
      <c r="EB219" s="86" t="b">
        <f t="shared" si="357"/>
        <v>0</v>
      </c>
      <c r="EC219" s="418">
        <f t="shared" si="358"/>
        <v>0.51</v>
      </c>
      <c r="ED219" s="86">
        <f t="shared" si="359"/>
        <v>0.51</v>
      </c>
      <c r="EE219" s="30" t="e">
        <f t="shared" ca="1" si="392"/>
        <v>#DIV/0!</v>
      </c>
      <c r="EF219" s="85" t="e">
        <f ca="1">IF(DL219&lt;=Hypothèses!$V$7,Hypothèses!$W$7,IF(DL219&lt;=Hypothèses!$V$8,Hypothèses!$W$8,IF(DL219&lt;=Hypothèses!$V$9,Hypothèses!$W$9,IF(DL219&lt;=Hypothèses!$V$10,Hypothèses!$W$10,IF(DL219&lt;=Hypothèses!$V$11,Hypothèses!$W$11,IF(DL219&lt;=Hypothèses!$V$12,Hypothèses!$W$12,IF(DL219&lt;=Hypothèses!$V$13,Hypothèses!$W$13,IF(DL219&lt;=Hypothèses!$V$14,Hypothèses!$W$14,IF(DL219&lt;=Hypothèses!$V$15,Hypothèses!$W$15,IF(DL219&lt;=Hypothèses!$V$16,Hypothèses!$W$16,IF(DL219&lt;=Hypothèses!$V$17,Hypothèses!$W$17,IF(DL219&lt;=Hypothèses!$V$18,Hypothèses!$W$18,""))))))))))))</f>
        <v>#DIV/0!</v>
      </c>
      <c r="EG219" s="87" t="e">
        <f t="shared" ca="1" si="422"/>
        <v>#DIV/0!</v>
      </c>
      <c r="EH219" s="88" t="e">
        <f ca="1">IF(DL219&lt;=Hypothèses!$V$7,Hypothèses!$X$7,IF(DL219&lt;=Hypothèses!$V$8,Hypothèses!$X$8,IF(DL219&lt;=Hypothèses!$V$9,Hypothèses!$X$9,IF(DL219&lt;=Hypothèses!$V$10,Hypothèses!$X$10,IF(DL219&lt;=Hypothèses!$V$11,Hypothèses!$X$11,IF(DL219&lt;=Hypothèses!$V$12,Hypothèses!$X$12,IF(DL219&lt;=Hypothèses!$V$13,Hypothèses!$X$13,IF(DL219&lt;=Hypothèses!$V$14,Hypothèses!$X$14,IF(DL219&lt;=Hypothèses!$V$15,Hypothèses!$X$15,IF(DL219&lt;=Hypothèses!$V$16,Hypothèses!$X$16,IF(DL219&lt;=Hypothèses!$U$17,Hypothèses!$W$17,IF(DL219&lt;=Hypothèses!$U$18,Hypothèses!$W$18,""))))))))))))</f>
        <v>#DIV/0!</v>
      </c>
      <c r="EI219" s="95" t="e">
        <f t="shared" ca="1" si="393"/>
        <v>#DIV/0!</v>
      </c>
      <c r="EJ219" s="101">
        <f t="shared" si="429"/>
        <v>0</v>
      </c>
      <c r="EK219" s="91">
        <f t="shared" si="360"/>
        <v>0</v>
      </c>
      <c r="EL219" s="30" t="e">
        <f t="shared" si="412"/>
        <v>#N/A</v>
      </c>
      <c r="EM219" s="30" t="e">
        <f t="shared" si="413"/>
        <v>#N/A</v>
      </c>
      <c r="EN219" s="31" t="e">
        <f>IF(OR(Hypothèses!$B$4=17,Hypothèses!$B$4=18,Hypothèses!$B$4=19,Hypothèses!$B$4=20),
IF($D219="Pressio.",
IF(OR($E219=3,$E219=1,$E219=4),EM219,EL219),
IF($D219="Pénétro.",
IF(OR($E219=3,$E219=1,$E219=4),EM219,EL219))),IF($D219="Pressio.",
IF($E219=3,EM219,EL219),
IF($D219="Pénétro.",
IF($E219=4,EM219,EL219))))</f>
        <v>#N/A</v>
      </c>
      <c r="EO219" s="31">
        <v>0</v>
      </c>
      <c r="EP219" s="102" t="e">
        <f>IF(NDC!$H$10="Oui",(VLOOKUP($B$3,'Coeff EC7'!$T$39:$X$59,2,0)*EN219+VLOOKUP($B$3,'Coeff EC7'!$T$65:$X$85,2,0)*Model0.1T!EO219)/1.5,PI()*EL$12*$Q219*($B219-$B218)*0.15/10+EP218)</f>
        <v>#N/A</v>
      </c>
      <c r="EQ219" s="102" t="e">
        <f>(VLOOKUP($B$3,'Coeff EC7'!$T$39:$X$59,3,0)*EN219+VLOOKUP($B$3,'Coeff EC7'!$T$65:$X$85,3,0)*Model0.1T!EO219)/1.1</f>
        <v>#N/A</v>
      </c>
      <c r="ER219" s="102" t="e">
        <f t="shared" si="394"/>
        <v>#N/A</v>
      </c>
      <c r="ES219" s="102" t="e">
        <f t="shared" si="395"/>
        <v>#N/A</v>
      </c>
      <c r="ET219" s="414" t="e">
        <f>IF(AND(EP219&gt;NDC!$C$63,EQ219&gt;NDC!$C$65,ER219&gt;NDC!$D$73,ES219&gt;NDC!$D$74,$B219&gt;NDC!$H$22-0.1+MIN(3*ET$12,1.5)),0,1)</f>
        <v>#N/A</v>
      </c>
      <c r="EU219" s="86" t="b">
        <f t="shared" si="361"/>
        <v>0</v>
      </c>
      <c r="EV219" s="86">
        <f t="shared" si="362"/>
        <v>0.61</v>
      </c>
      <c r="EW219" s="86">
        <f t="shared" si="363"/>
        <v>0.61</v>
      </c>
      <c r="EX219" s="30" t="e">
        <f t="shared" ca="1" si="396"/>
        <v>#DIV/0!</v>
      </c>
      <c r="EY219" s="85" t="e">
        <f ca="1">IF(EE219&lt;=Hypothèses!$V$7,Hypothèses!$W$7,IF(EE219&lt;=Hypothèses!$V$8,Hypothèses!$W$8,IF(EE219&lt;=Hypothèses!$V$9,Hypothèses!$W$9,IF(EE219&lt;=Hypothèses!$V$10,Hypothèses!$W$10,IF(EE219&lt;=Hypothèses!$V$11,Hypothèses!$W$11,IF(EE219&lt;=Hypothèses!$V$12,Hypothèses!$W$12,IF(EE219&lt;=Hypothèses!$V$13,Hypothèses!$W$13,IF(EE219&lt;=Hypothèses!$V$14,Hypothèses!$W$14,IF(EE219&lt;=Hypothèses!$V$15,Hypothèses!$W$15,IF(EE219&lt;=Hypothèses!$V$16,Hypothèses!$W$16,IF(EE219&lt;=Hypothèses!$V$17,Hypothèses!$W$17,IF(EE219&lt;=Hypothèses!$V$18,Hypothèses!$W$18,""))))))))))))</f>
        <v>#DIV/0!</v>
      </c>
      <c r="EZ219" s="87" t="e">
        <f t="shared" ca="1" si="423"/>
        <v>#DIV/0!</v>
      </c>
      <c r="FA219" s="88" t="e">
        <f ca="1">IF(EE219&lt;=Hypothèses!$V$7,Hypothèses!$X$7,IF(EE219&lt;=Hypothèses!$V$8,Hypothèses!$X$8,IF(EE219&lt;=Hypothèses!$V$9,Hypothèses!$X$9,IF(EE219&lt;=Hypothèses!$V$10,Hypothèses!$X$10,IF(EE219&lt;=Hypothèses!$V$11,Hypothèses!$X$11,IF(EE219&lt;=Hypothèses!$V$12,Hypothèses!$X$12,IF(EE219&lt;=Hypothèses!$V$13,Hypothèses!$X$13,IF(EE219&lt;=Hypothèses!$V$14,Hypothèses!$X$14,IF(EE219&lt;=Hypothèses!$V$15,Hypothèses!$X$15,IF(EE219&lt;=Hypothèses!$V$16,Hypothèses!$X$16,IF(EE219&lt;=Hypothèses!$U$17,Hypothèses!$W$17,IF(EE219&lt;=Hypothèses!$U$18,Hypothèses!$W$18,""))))))))))))</f>
        <v>#DIV/0!</v>
      </c>
      <c r="FB219" s="95" t="e">
        <f t="shared" ca="1" si="397"/>
        <v>#DIV/0!</v>
      </c>
      <c r="FC219" s="101">
        <f t="shared" si="430"/>
        <v>0</v>
      </c>
      <c r="FD219" s="91">
        <f t="shared" si="364"/>
        <v>0</v>
      </c>
      <c r="FE219" s="30" t="e">
        <f t="shared" si="414"/>
        <v>#N/A</v>
      </c>
      <c r="FF219" s="30" t="e">
        <f t="shared" si="415"/>
        <v>#N/A</v>
      </c>
      <c r="FG219" s="31" t="e">
        <f>IF(OR(Hypothèses!$B$4=17,Hypothèses!$B$4=18,Hypothèses!$B$4=19,Hypothèses!$B$4=20),
IF($D219="Pressio.",
IF(OR($E219=3,$E219=1,$E219=4),FF219,FE219),
IF($D219="Pénétro.",
IF(OR($E219=3,$E219=1,$E219=4),FF219,FE219))),IF($D219="Pressio.",
IF($E219=3,FF219,FE219),
IF($D219="Pénétro.",
IF($E219=4,FF219,FE219))))</f>
        <v>#N/A</v>
      </c>
      <c r="FH219" s="31">
        <v>0</v>
      </c>
      <c r="FI219" s="102" t="e">
        <f>IF(NDC!$H$10="Oui",(VLOOKUP($B$3,'Coeff EC7'!$T$39:$X$59,2,0)*FG219+VLOOKUP($B$3,'Coeff EC7'!$T$65:$X$85,2,0)*Model0.1T!FH219)/1.5,PI()*FE$12*$Q219*($B219-$B218)*0.15/10+FI218)</f>
        <v>#N/A</v>
      </c>
      <c r="FJ219" s="102" t="e">
        <f>(VLOOKUP($B$3,'Coeff EC7'!$T$39:$X$59,3,0)*FG219+VLOOKUP($B$3,'Coeff EC7'!$T$65:$X$85,3,0)*Model0.1T!FH219)/1.1</f>
        <v>#N/A</v>
      </c>
      <c r="FK219" s="102" t="e">
        <f t="shared" si="398"/>
        <v>#N/A</v>
      </c>
      <c r="FL219" s="102" t="e">
        <f t="shared" si="399"/>
        <v>#N/A</v>
      </c>
      <c r="FM219" s="414" t="e">
        <f>IF(AND(FI219&gt;NDC!$C$63,FJ219&gt;NDC!$C$65,FK219&gt;NDC!$D$73,FL219&gt;NDC!$D$74,$B219&gt;NDC!$H$22-0.1+MIN(3*FM$12,1.5)),0,1)</f>
        <v>#N/A</v>
      </c>
    </row>
    <row r="220" spans="1:169">
      <c r="A220" s="96">
        <f t="shared" si="365"/>
        <v>79.300000000001177</v>
      </c>
      <c r="B220" s="97">
        <v>20.7</v>
      </c>
      <c r="C220" s="81">
        <f>IF(B220&lt;=Hypothèses!$C$7,Hypothèses!$A$7,IF(B220&lt;=Hypothèses!$C$8,Hypothèses!$A$8,IF(B220&lt;=Hypothèses!$C$9,Hypothèses!$A$9,IF(B220&lt;=Hypothèses!$C$10,Hypothèses!$A$10,IF(B220&lt;=Hypothèses!$C$11,Hypothèses!$A$11,IF(B220&lt;=Hypothèses!$C$12,Hypothèses!$A$12,IF(B220&lt;=Hypothèses!$C$13,Hypothèses!$A$13,IF(B220&lt;=Hypothèses!$C$14,Hypothèses!$A$14,IF(B220&lt;=Hypothèses!$C$15,Hypothèses!$A$15,IF(B220&lt;=Hypothèses!$C$16,Hypothèses!$A$16,IF(B220&lt;=Hypothèses!$C$17,Hypothèses!$A$17,IF(B220&lt;=Hypothèses!$C$18,Hypothèses!$A$18,C219))))))))))))</f>
        <v>11</v>
      </c>
      <c r="D220" s="82" t="str">
        <f>IF(B220&lt;=Hypothèses!$C$7,Hypothèses!$R$7,IF(B220&lt;=Hypothèses!$C$8,Hypothèses!$R$8,IF(B220&lt;=Hypothèses!$C$9,Hypothèses!$R$9,IF(B220&lt;=Hypothèses!$C$10,Hypothèses!$R$10,IF(B220&lt;=Hypothèses!$C$11,Hypothèses!$R$11,IF(B220&lt;=Hypothèses!$C$12,Hypothèses!$R$12,IF(B220&lt;=Hypothèses!$C$13,Hypothèses!$R$13,IF(B220&lt;=Hypothèses!$C$14,Hypothèses!$R$14,IF(B220&lt;=Hypothèses!$C$15,Hypothèses!$R$15,IF(B220&lt;=Hypothèses!$C$16,Hypothèses!$R$16,IF(B220&lt;=Hypothèses!$C$17,Hypothèses!$R$17,IF(B220&lt;=Hypothèses!$C$18,Hypothèses!$R$18,D219))))))))))))</f>
        <v>Pressio.</v>
      </c>
      <c r="E220" s="82" t="e">
        <f>IF(B220&lt;=Hypothèses!$C$7,Hypothèses!$G$7,IF(B220&lt;=Hypothèses!$C$8,Hypothèses!$G$8,IF(B220&lt;=Hypothèses!$C$9,Hypothèses!$G$9,IF(B220&lt;=Hypothèses!$C$10,Hypothèses!$G$10,IF(B220&lt;=Hypothèses!$C$11,Hypothèses!$G$11,IF(B220&lt;=Hypothèses!$C$12,Hypothèses!$G$12,IF(B220&lt;=Hypothèses!$C$13,Hypothèses!$G$13,IF(B220&lt;=Hypothèses!$C$14,Hypothèses!$G$14,IF(B220&lt;=Hypothèses!$C$15,Hypothèses!$G$15,IF(B220&lt;=Hypothèses!$C$16,Hypothèses!$G$16,IF(B220&lt;=Hypothèses!$C$17,Hypothèses!$G$17,IF(B220&lt;=Hypothèses!$C$18,Hypothèses!$G$18,E219))))))))))))</f>
        <v>#N/A</v>
      </c>
      <c r="F220" s="82" t="str">
        <f>IF(B220&lt;=Hypothèses!$C$7,Hypothèses!$F$7,IF(B220&lt;=Hypothèses!$C$8,Hypothèses!$F$8,IF(B220&lt;=Hypothèses!$C$9,Hypothèses!$F$9,IF(B220&lt;=Hypothèses!$C$10,Hypothèses!$F$10,IF(B220&lt;=Hypothèses!$C$11,Hypothèses!$F$11,IF(B220&lt;=Hypothèses!$C$12,Hypothèses!$F$12,IF(B220&lt;=Hypothèses!$C$13,Hypothèses!$F$13,IF(B220&lt;=Hypothèses!$C$14,Hypothèses!$F$14,IF(B220&lt;=Hypothèses!$C$15,Hypothèses!$F$15,IF(B220&lt;=Hypothèses!$C$16,Hypothèses!$F$16,IF(B220&lt;=Hypothèses!$C$17,Hypothèses!$F$17,IF(B220&lt;=Hypothèses!$C$18,Hypothèses!$F$18,F219))))))))))))</f>
        <v/>
      </c>
      <c r="G220" s="91">
        <f t="array" ref="G220">INDEX('Coeff EC7'!$U$7:$X$27,
MATCH(Model0.1T!$B$3,'Coeff EC7'!$T$7:$T$27,0),
MATCH(Model0.1T!$D220&amp;Model0.1T!$B$4,
'Coeff EC7'!$U$6:$X$6&amp;
'Coeff EC7'!$U$5:$X$5,0))</f>
        <v>1.4</v>
      </c>
      <c r="H220" s="91">
        <f t="array" ref="H220">INDEX('Coeff EC7'!$Y$7:$AB$27,
MATCH(Model0.1T!$B$3,'Coeff EC7'!$T$7:$T$27,0),
MATCH(Model0.1T!$D220&amp;Model0.1T!$B$4,
'Coeff EC7'!$Y$6:$AB$6&amp;
'Coeff EC7'!$Y$5:$AB$5,0))</f>
        <v>1.7</v>
      </c>
      <c r="I220" s="83">
        <v>0</v>
      </c>
      <c r="J220" s="91" t="e">
        <f t="array" ref="J220">INDEX('Coeff EC7'!$D$33:$Q$33,1,MATCH(D220&amp;E220,'Coeff EC7'!$D$31:$Q$31&amp;'Coeff EC7'!$D$32:$Q$32,0))</f>
        <v>#N/A</v>
      </c>
      <c r="K220" s="91" t="e">
        <f t="array" ref="K220">INDEX('Coeff EC7'!$D$34:$Q$34,1,MATCH(D220&amp;E220,'Coeff EC7'!$D$31:$Q$31&amp;'Coeff EC7'!$D$32:$Q$32,0))</f>
        <v>#N/A</v>
      </c>
      <c r="L220" s="91" t="e">
        <f t="array" ref="L220">INDEX('Coeff EC7'!$D$35:$Q$35,1,MATCH(D220&amp;E220,'Coeff EC7'!$D$31:$Q$31&amp;'Coeff EC7'!$D$32:$Q$32,0))</f>
        <v>#N/A</v>
      </c>
      <c r="M220" s="98" t="e">
        <f t="shared" si="331"/>
        <v>#N/A</v>
      </c>
      <c r="N220" s="99" t="e">
        <f t="array" ref="N220">INDEX('Coeff EC7'!$D$7:$Q$27,MATCH($B$3,'Coeff EC7'!$C$7:$C$27,0),MATCH(D220&amp;E220,'Coeff EC7'!$D$5:$Q$5&amp;'Coeff EC7'!$D$6:$Q$6,0))</f>
        <v>#N/A</v>
      </c>
      <c r="O220" s="99" t="e">
        <f t="array" ref="O220">INDEX('Coeff EC7'!$D$41:$Q$61,MATCH($B$3,'Coeff EC7'!$C$41:$C$61,0),MATCH(D220&amp;E220,'Coeff EC7'!$D$39:$Q$39&amp;'Coeff EC7'!$D$40:$Q$40,0))</f>
        <v>#N/A</v>
      </c>
      <c r="P220" s="30" t="e">
        <f t="shared" si="366"/>
        <v>#N/A</v>
      </c>
      <c r="Q220" s="100" t="e">
        <f t="shared" si="333"/>
        <v>#N/A</v>
      </c>
      <c r="R220" s="86" t="b">
        <f t="shared" si="334"/>
        <v>0</v>
      </c>
      <c r="S220" s="86">
        <f t="shared" si="332"/>
        <v>0.5</v>
      </c>
      <c r="T220" s="86">
        <f t="shared" si="335"/>
        <v>0.5</v>
      </c>
      <c r="U220" s="30" t="e">
        <f t="shared" ca="1" si="367"/>
        <v>#DIV/0!</v>
      </c>
      <c r="V220" s="85" t="str">
        <f>IF(B220&lt;=Hypothèses!$V$7,Hypothèses!$W$7,IF(B220&lt;=Hypothèses!$V$8,Hypothèses!$W$8,IF(B220&lt;=Hypothèses!$V$9,Hypothèses!$W$9,IF(B220&lt;=Hypothèses!$V$10,Hypothèses!$W$10,IF(B220&lt;=Hypothèses!$V$11,Hypothèses!$W$11,IF(B220&lt;=Hypothèses!$V$12,Hypothèses!$W$12,IF(B220&lt;=Hypothèses!$V$13,Hypothèses!$W$13,IF(B220&lt;=Hypothèses!$V$14,Hypothèses!$W$14,IF(B220&lt;=Hypothèses!$V$15,Hypothèses!$W$15,IF(B220&lt;=Hypothèses!$V$16,Hypothèses!$W$16,IF(B220&lt;=Hypothèses!$V$17,Hypothèses!$W$17,IF(B220&lt;=Hypothèses!$V$18,Hypothèses!$W$18,""))))))))))))</f>
        <v/>
      </c>
      <c r="W220" s="87" t="e">
        <f t="shared" ca="1" si="416"/>
        <v>#DIV/0!</v>
      </c>
      <c r="X220" s="88" t="str">
        <f>IF(B220&lt;=Hypothèses!$V$7,Hypothèses!$X$7,IF(B220&lt;=Hypothèses!$V$8,Hypothèses!$X$8,IF(B220&lt;=Hypothèses!$V$9,Hypothèses!$X$9,IF(B220&lt;=Hypothèses!$V$10,Hypothèses!$X$10,IF(B220&lt;=Hypothèses!$V$11,Hypothèses!$X$11,IF(B220&lt;=Hypothèses!$V$12,Hypothèses!$X$12,IF(B220&lt;=Hypothèses!$V$13,Hypothèses!$X$13,IF(B220&lt;=Hypothèses!$V$14,Hypothèses!$X$14,IF(B220&lt;=Hypothèses!$V$15,Hypothèses!$X$15,IF(B220&lt;=Hypothèses!$V$16,Hypothèses!$X$16,IF(B220&lt;=Hypothèses!$U$17,Hypothèses!$W$17,IF(B220&lt;=Hypothèses!$U$18,Hypothèses!$W$18,""))))))))))))</f>
        <v/>
      </c>
      <c r="Y220" s="95" t="e">
        <f t="shared" ca="1" si="336"/>
        <v>#DIV/0!</v>
      </c>
      <c r="Z220" s="101">
        <f t="shared" si="337"/>
        <v>0</v>
      </c>
      <c r="AA220" s="91">
        <f t="shared" si="338"/>
        <v>0</v>
      </c>
      <c r="AB220" s="30" t="e">
        <f t="shared" si="400"/>
        <v>#N/A</v>
      </c>
      <c r="AC220" s="30" t="e">
        <f t="shared" si="401"/>
        <v>#N/A</v>
      </c>
      <c r="AD220" s="31" t="e">
        <f>IF(OR(Hypothèses!$B$4=17,Hypothèses!$B$4=18,Hypothèses!$B$4=19,Hypothèses!$B$4=20),
IF($D220="Pressio.",
IF(OR($E220=3,$E220=1,$E220=4),AC220,AB220),
IF($D220="Pénétro.",
IF(OR($E220=3,$E220=1,$E220=4),AC220,AB220))),IF($D220="Pressio.",
IF($E220=3,AC220,AB220),
IF($D220="Pénétro.",
IF($E220=4,AC220,AB220))))</f>
        <v>#N/A</v>
      </c>
      <c r="AE220" s="31">
        <v>0</v>
      </c>
      <c r="AF220" s="102" t="e">
        <f>IF(NDC!$H$10="Oui",(VLOOKUP($B$3,'Coeff EC7'!$T$39:$X$59,2,0)*AD220+VLOOKUP($B$3,'Coeff EC7'!$T$65:$X$85,2,0)*Model0.1T!AE220)/1.5,PI()*AB$12*$Q220*($B220-$B219)*0.15/10+AF219)</f>
        <v>#N/A</v>
      </c>
      <c r="AG220" s="102" t="e">
        <f>(VLOOKUP($B$3,'Coeff EC7'!$T$39:$X$59,3,0)*AD220+VLOOKUP($B$3,'Coeff EC7'!$T$65:$X$85,3,0)*Model0.1T!AE220)/1.1</f>
        <v>#N/A</v>
      </c>
      <c r="AH220" s="102" t="e">
        <f t="shared" si="368"/>
        <v>#N/A</v>
      </c>
      <c r="AI220" s="102" t="e">
        <f t="shared" si="369"/>
        <v>#N/A</v>
      </c>
      <c r="AJ220" s="414" t="e">
        <f>IF(AND(AF220&gt;NDC!$C$63,AG220&gt;NDC!$C$65,AH220&gt;NDC!$D$73,AI220&gt;NDC!$D$74,$B220&gt;NDC!$H$22-0.1+MIN(3*$AJ$12,1.5)),0,1)</f>
        <v>#N/A</v>
      </c>
      <c r="AK220" s="86" t="b">
        <f t="shared" si="339"/>
        <v>0</v>
      </c>
      <c r="AL220" s="86">
        <f t="shared" si="370"/>
        <v>0.5</v>
      </c>
      <c r="AM220" s="86">
        <f t="shared" si="340"/>
        <v>0.5</v>
      </c>
      <c r="AN220" s="30" t="e">
        <f t="shared" ca="1" si="371"/>
        <v>#DIV/0!</v>
      </c>
      <c r="AO220" s="85" t="e">
        <f ca="1">IF(U220&lt;=Hypothèses!$V$7,Hypothèses!$W$7,IF(U220&lt;=Hypothèses!$V$8,Hypothèses!$W$8,IF(U220&lt;=Hypothèses!$V$9,Hypothèses!$W$9,IF(U220&lt;=Hypothèses!$V$10,Hypothèses!$W$10,IF(U220&lt;=Hypothèses!$V$11,Hypothèses!$W$11,IF(U220&lt;=Hypothèses!$V$12,Hypothèses!$W$12,IF(U220&lt;=Hypothèses!$V$13,Hypothèses!$W$13,IF(U220&lt;=Hypothèses!$V$14,Hypothèses!$W$14,IF(U220&lt;=Hypothèses!$V$15,Hypothèses!$W$15,IF(U220&lt;=Hypothèses!$V$16,Hypothèses!$W$16,IF(U220&lt;=Hypothèses!$V$17,Hypothèses!$W$17,IF(U220&lt;=Hypothèses!$V$18,Hypothèses!$W$18,""))))))))))))</f>
        <v>#DIV/0!</v>
      </c>
      <c r="AP220" s="87" t="e">
        <f t="shared" ca="1" si="417"/>
        <v>#DIV/0!</v>
      </c>
      <c r="AQ220" s="88" t="e">
        <f ca="1">IF(U220&lt;=Hypothèses!$V$7,Hypothèses!$X$7,IF(U220&lt;=Hypothèses!$V$8,Hypothèses!$X$8,IF(U220&lt;=Hypothèses!$V$9,Hypothèses!$X$9,IF(U220&lt;=Hypothèses!$V$10,Hypothèses!$X$10,IF(U220&lt;=Hypothèses!$V$11,Hypothèses!$X$11,IF(U220&lt;=Hypothèses!$V$12,Hypothèses!$X$12,IF(U220&lt;=Hypothèses!$V$13,Hypothèses!$X$13,IF(U220&lt;=Hypothèses!$V$14,Hypothèses!$X$14,IF(U220&lt;=Hypothèses!$V$15,Hypothèses!$X$15,IF(U220&lt;=Hypothèses!$V$16,Hypothèses!$X$16,IF(U220&lt;=Hypothèses!$U$17,Hypothèses!$W$17,IF(U220&lt;=Hypothèses!$U$18,Hypothèses!$W$18,""))))))))))))</f>
        <v>#DIV/0!</v>
      </c>
      <c r="AR220" s="95" t="e">
        <f t="shared" ca="1" si="372"/>
        <v>#DIV/0!</v>
      </c>
      <c r="AS220" s="101">
        <f t="shared" si="424"/>
        <v>0</v>
      </c>
      <c r="AT220" s="91">
        <f t="shared" si="341"/>
        <v>0</v>
      </c>
      <c r="AU220" s="30" t="e">
        <f t="shared" si="402"/>
        <v>#N/A</v>
      </c>
      <c r="AV220" s="30" t="e">
        <f t="shared" si="403"/>
        <v>#N/A</v>
      </c>
      <c r="AW220" s="31" t="e">
        <f>IF(OR(Hypothèses!$B$4=17,Hypothèses!$B$4=18,Hypothèses!$B$4=19,Hypothèses!$B$4=20),
IF($D220="Pressio.",
IF(OR($E220=3,$E220=1,$E220=4),AV220,AU220),
IF($D220="Pénétro.",
IF(OR($E220=3,$E220=1,$E220=4),AV220,AU220))),IF($D220="Pressio.",
IF($E220=3,AV220,AU220),
IF($D220="Pénétro.",
IF($E220=4,AV220,AU220))))</f>
        <v>#N/A</v>
      </c>
      <c r="AX220" s="31">
        <v>0</v>
      </c>
      <c r="AY220" s="102" t="e">
        <f>IF(NDC!$H$10="Oui",(VLOOKUP($B$3,'Coeff EC7'!$T$39:$X$59,2,0)*AW220+VLOOKUP($B$3,'Coeff EC7'!$T$65:$X$85,2,0)*Model0.1T!AX220)/1.5,PI()*AU$12*$Q220*($B220-$B219)*0.15/10+AY219)</f>
        <v>#N/A</v>
      </c>
      <c r="AZ220" s="102" t="e">
        <f>(VLOOKUP($B$3,'Coeff EC7'!$T$39:$X$59,3,0)*AW220+VLOOKUP($B$3,'Coeff EC7'!$T$65:$X$85,3,0)*Model0.1T!AX220)/1.1</f>
        <v>#N/A</v>
      </c>
      <c r="BA220" s="102" t="e">
        <f t="shared" si="373"/>
        <v>#N/A</v>
      </c>
      <c r="BB220" s="102" t="e">
        <f t="shared" si="374"/>
        <v>#N/A</v>
      </c>
      <c r="BC220" s="414" t="e">
        <f>IF(AND(AY220&gt;NDC!$C$63,AZ220&gt;NDC!$C$65,BA220&gt;NDC!$D$73,BB220&gt;NDC!$D$74,$B220&gt;NDC!$H$22-0.1+MIN(3*BC$12,1.5)),0,1)</f>
        <v>#N/A</v>
      </c>
      <c r="BD220" s="86" t="b">
        <f t="shared" si="342"/>
        <v>0</v>
      </c>
      <c r="BE220" s="86">
        <f t="shared" si="375"/>
        <v>0.5</v>
      </c>
      <c r="BF220" s="86">
        <f t="shared" si="343"/>
        <v>0.5</v>
      </c>
      <c r="BG220" s="30" t="e">
        <f t="shared" ca="1" si="376"/>
        <v>#DIV/0!</v>
      </c>
      <c r="BH220" s="85" t="e">
        <f ca="1">IF(AN220&lt;=Hypothèses!$V$7,Hypothèses!$W$7,IF(AN220&lt;=Hypothèses!$V$8,Hypothèses!$W$8,IF(AN220&lt;=Hypothèses!$V$9,Hypothèses!$W$9,IF(AN220&lt;=Hypothèses!$V$10,Hypothèses!$W$10,IF(AN220&lt;=Hypothèses!$V$11,Hypothèses!$W$11,IF(AN220&lt;=Hypothèses!$V$12,Hypothèses!$W$12,IF(AN220&lt;=Hypothèses!$V$13,Hypothèses!$W$13,IF(AN220&lt;=Hypothèses!$V$14,Hypothèses!$W$14,IF(AN220&lt;=Hypothèses!$V$15,Hypothèses!$W$15,IF(AN220&lt;=Hypothèses!$V$16,Hypothèses!$W$16,IF(AN220&lt;=Hypothèses!$V$17,Hypothèses!$W$17,IF(AN220&lt;=Hypothèses!$V$18,Hypothèses!$W$18,""))))))))))))</f>
        <v>#DIV/0!</v>
      </c>
      <c r="BI220" s="87" t="e">
        <f t="shared" ca="1" si="418"/>
        <v>#DIV/0!</v>
      </c>
      <c r="BJ220" s="88" t="e">
        <f ca="1">IF(AN220&lt;=Hypothèses!$V$7,Hypothèses!$X$7,IF(AN220&lt;=Hypothèses!$V$8,Hypothèses!$X$8,IF(AN220&lt;=Hypothèses!$V$9,Hypothèses!$X$9,IF(AN220&lt;=Hypothèses!$V$10,Hypothèses!$X$10,IF(AN220&lt;=Hypothèses!$V$11,Hypothèses!$X$11,IF(AN220&lt;=Hypothèses!$V$12,Hypothèses!$X$12,IF(AN220&lt;=Hypothèses!$V$13,Hypothèses!$X$13,IF(AN220&lt;=Hypothèses!$V$14,Hypothèses!$X$14,IF(AN220&lt;=Hypothèses!$V$15,Hypothèses!$X$15,IF(AN220&lt;=Hypothèses!$V$16,Hypothèses!$X$16,IF(AN220&lt;=Hypothèses!$U$17,Hypothèses!$W$17,IF(AN220&lt;=Hypothèses!$U$18,Hypothèses!$W$18,""))))))))))))</f>
        <v>#DIV/0!</v>
      </c>
      <c r="BK220" s="95" t="e">
        <f t="shared" ca="1" si="377"/>
        <v>#DIV/0!</v>
      </c>
      <c r="BL220" s="101">
        <f t="shared" si="425"/>
        <v>0</v>
      </c>
      <c r="BM220" s="91">
        <f t="shared" si="344"/>
        <v>0</v>
      </c>
      <c r="BN220" s="30" t="e">
        <f t="shared" si="404"/>
        <v>#N/A</v>
      </c>
      <c r="BO220" s="30" t="e">
        <f t="shared" si="405"/>
        <v>#N/A</v>
      </c>
      <c r="BP220" s="31" t="e">
        <f>IF(OR(Hypothèses!$B$4=17,Hypothèses!$B$4=18,Hypothèses!$B$4=19,Hypothèses!$B$4=20),
IF($D220="Pressio.",
IF(OR($E220=3,$E220=1,$E220=4),BO220,BN220),
IF($D220="Pénétro.",
IF(OR($E220=3,$E220=1,$E220=4),BO220,BN220))),IF($D220="Pressio.",
IF($E220=3,BO220,BN220),
IF($D220="Pénétro.",
IF($E220=4,BO220,BN220))))</f>
        <v>#N/A</v>
      </c>
      <c r="BQ220" s="31">
        <v>0</v>
      </c>
      <c r="BR220" s="102" t="e">
        <f>IF(NDC!$H$10="Oui",(VLOOKUP($B$3,'Coeff EC7'!$T$39:$X$59,2,0)*BP220+VLOOKUP($B$3,'Coeff EC7'!$T$65:$X$85,2,0)*Model0.1T!BQ220)/1.5,PI()*BN$12*$Q220*($B220-$B219)*0.15/10+BR219)</f>
        <v>#N/A</v>
      </c>
      <c r="BS220" s="102" t="e">
        <f>(VLOOKUP($B$3,'Coeff EC7'!$T$39:$X$59,3,0)*BP220+VLOOKUP($B$3,'Coeff EC7'!$T$65:$X$85,3,0)*Model0.1T!BQ220)/1.1</f>
        <v>#N/A</v>
      </c>
      <c r="BT220" s="102" t="e">
        <f t="shared" si="378"/>
        <v>#N/A</v>
      </c>
      <c r="BU220" s="102" t="e">
        <f t="shared" si="379"/>
        <v>#N/A</v>
      </c>
      <c r="BV220" s="414" t="e">
        <f>IF(AND(BR220&gt;NDC!$C$63,BS220&gt;NDC!$C$65,BT220&gt;NDC!$D$73,BU220&gt;NDC!$D$74,$B220&gt;NDC!$H$22-0.1+MIN(3*BV$12,1.5)),0,1)</f>
        <v>#N/A</v>
      </c>
      <c r="BW220" s="86" t="b">
        <f t="shared" si="345"/>
        <v>0</v>
      </c>
      <c r="BX220" s="86">
        <f t="shared" si="346"/>
        <v>0.5</v>
      </c>
      <c r="BY220" s="86">
        <f t="shared" si="347"/>
        <v>0.5</v>
      </c>
      <c r="BZ220" s="30" t="e">
        <f t="shared" ca="1" si="380"/>
        <v>#DIV/0!</v>
      </c>
      <c r="CA220" s="85" t="e">
        <f ca="1">IF(BG220&lt;=Hypothèses!$V$7,Hypothèses!$W$7,IF(BG220&lt;=Hypothèses!$V$8,Hypothèses!$W$8,IF(BG220&lt;=Hypothèses!$V$9,Hypothèses!$W$9,IF(BG220&lt;=Hypothèses!$V$10,Hypothèses!$W$10,IF(BG220&lt;=Hypothèses!$V$11,Hypothèses!$W$11,IF(BG220&lt;=Hypothèses!$V$12,Hypothèses!$W$12,IF(BG220&lt;=Hypothèses!$V$13,Hypothèses!$W$13,IF(BG220&lt;=Hypothèses!$V$14,Hypothèses!$W$14,IF(BG220&lt;=Hypothèses!$V$15,Hypothèses!$W$15,IF(BG220&lt;=Hypothèses!$V$16,Hypothèses!$W$16,IF(BG220&lt;=Hypothèses!$V$17,Hypothèses!$W$17,IF(BG220&lt;=Hypothèses!$V$18,Hypothèses!$W$18,""))))))))))))</f>
        <v>#DIV/0!</v>
      </c>
      <c r="CB220" s="87" t="e">
        <f t="shared" ca="1" si="419"/>
        <v>#DIV/0!</v>
      </c>
      <c r="CC220" s="88" t="e">
        <f ca="1">IF(BG220&lt;=Hypothèses!$V$7,Hypothèses!$X$7,IF(BG220&lt;=Hypothèses!$V$8,Hypothèses!$X$8,IF(BG220&lt;=Hypothèses!$V$9,Hypothèses!$X$9,IF(BG220&lt;=Hypothèses!$V$10,Hypothèses!$X$10,IF(BG220&lt;=Hypothèses!$V$11,Hypothèses!$X$11,IF(BG220&lt;=Hypothèses!$V$12,Hypothèses!$X$12,IF(BG220&lt;=Hypothèses!$V$13,Hypothèses!$X$13,IF(BG220&lt;=Hypothèses!$V$14,Hypothèses!$X$14,IF(BG220&lt;=Hypothèses!$V$15,Hypothèses!$X$15,IF(BG220&lt;=Hypothèses!$V$16,Hypothèses!$X$16,IF(BG220&lt;=Hypothèses!$U$17,Hypothèses!$W$17,IF(BG220&lt;=Hypothèses!$U$18,Hypothèses!$W$18,""))))))))))))</f>
        <v>#DIV/0!</v>
      </c>
      <c r="CD220" s="95" t="e">
        <f t="shared" ca="1" si="381"/>
        <v>#DIV/0!</v>
      </c>
      <c r="CE220" s="101">
        <f t="shared" si="426"/>
        <v>0</v>
      </c>
      <c r="CF220" s="91">
        <f t="shared" si="348"/>
        <v>0</v>
      </c>
      <c r="CG220" s="30" t="e">
        <f t="shared" si="406"/>
        <v>#N/A</v>
      </c>
      <c r="CH220" s="30" t="e">
        <f t="shared" si="407"/>
        <v>#N/A</v>
      </c>
      <c r="CI220" s="31" t="e">
        <f>IF(OR(Hypothèses!$B$4=17,Hypothèses!$B$4=18,Hypothèses!$B$4=19,Hypothèses!$B$4=20),
IF($D220="Pressio.",
IF(OR($E220=3,$E220=1,$E220=4),CH220,CG220),
IF($D220="Pénétro.",
IF(OR($E220=3,$E220=1,$E220=4),CH220,CG220))),IF($D220="Pressio.",
IF($E220=3,CH220,CG220),
IF($D220="Pénétro.",
IF($E220=4,CH220,CG220))))</f>
        <v>#N/A</v>
      </c>
      <c r="CJ220" s="31">
        <v>0</v>
      </c>
      <c r="CK220" s="102" t="e">
        <f>IF(NDC!$H$10="Oui",(VLOOKUP($B$3,'Coeff EC7'!$T$39:$X$59,2,0)*CI220+VLOOKUP($B$3,'Coeff EC7'!$T$65:$X$85,2,0)*Model0.1T!CJ220)/1.5,PI()*CG$12*$Q220*($B220-$B219)*0.15/10+CK219)</f>
        <v>#N/A</v>
      </c>
      <c r="CL220" s="102" t="e">
        <f>(VLOOKUP($B$3,'Coeff EC7'!$T$39:$X$59,3,0)*CI220+VLOOKUP($B$3,'Coeff EC7'!$T$65:$X$85,3,0)*Model0.1T!CJ220)/1.1</f>
        <v>#N/A</v>
      </c>
      <c r="CM220" s="102" t="e">
        <f t="shared" si="382"/>
        <v>#N/A</v>
      </c>
      <c r="CN220" s="102" t="e">
        <f t="shared" si="383"/>
        <v>#N/A</v>
      </c>
      <c r="CO220" s="414" t="e">
        <f>IF(AND(CK220&gt;NDC!$C$63,CL220&gt;NDC!$C$65,CM220&gt;NDC!$D$73,CN220&gt;NDC!$D$74,$B220&gt;NDC!$H$22-0.1+MIN(3*CO$12,1.5)),0,1)</f>
        <v>#N/A</v>
      </c>
      <c r="CP220" s="86" t="b">
        <f t="shared" si="349"/>
        <v>0</v>
      </c>
      <c r="CQ220" s="86">
        <f t="shared" si="350"/>
        <v>0.5</v>
      </c>
      <c r="CR220" s="86">
        <f t="shared" si="351"/>
        <v>0.5</v>
      </c>
      <c r="CS220" s="30" t="e">
        <f t="shared" ca="1" si="384"/>
        <v>#DIV/0!</v>
      </c>
      <c r="CT220" s="85" t="e">
        <f ca="1">IF(BZ220&lt;=Hypothèses!$V$7,Hypothèses!$W$7,IF(BZ220&lt;=Hypothèses!$V$8,Hypothèses!$W$8,IF(BZ220&lt;=Hypothèses!$V$9,Hypothèses!$W$9,IF(BZ220&lt;=Hypothèses!$V$10,Hypothèses!$W$10,IF(BZ220&lt;=Hypothèses!$V$11,Hypothèses!$W$11,IF(BZ220&lt;=Hypothèses!$V$12,Hypothèses!$W$12,IF(BZ220&lt;=Hypothèses!$V$13,Hypothèses!$W$13,IF(BZ220&lt;=Hypothèses!$V$14,Hypothèses!$W$14,IF(BZ220&lt;=Hypothèses!$V$15,Hypothèses!$W$15,IF(BZ220&lt;=Hypothèses!$V$16,Hypothèses!$W$16,IF(BZ220&lt;=Hypothèses!$V$17,Hypothèses!$W$17,IF(BZ220&lt;=Hypothèses!$V$18,Hypothèses!$W$18,""))))))))))))</f>
        <v>#DIV/0!</v>
      </c>
      <c r="CU220" s="87" t="e">
        <f t="shared" ca="1" si="420"/>
        <v>#DIV/0!</v>
      </c>
      <c r="CV220" s="88" t="e">
        <f ca="1">IF(BZ220&lt;=Hypothèses!$V$7,Hypothèses!$X$7,IF(BZ220&lt;=Hypothèses!$V$8,Hypothèses!$X$8,IF(BZ220&lt;=Hypothèses!$V$9,Hypothèses!$X$9,IF(BZ220&lt;=Hypothèses!$V$10,Hypothèses!$X$10,IF(BZ220&lt;=Hypothèses!$V$11,Hypothèses!$X$11,IF(BZ220&lt;=Hypothèses!$V$12,Hypothèses!$X$12,IF(BZ220&lt;=Hypothèses!$V$13,Hypothèses!$X$13,IF(BZ220&lt;=Hypothèses!$V$14,Hypothèses!$X$14,IF(BZ220&lt;=Hypothèses!$V$15,Hypothèses!$X$15,IF(BZ220&lt;=Hypothèses!$V$16,Hypothèses!$X$16,IF(BZ220&lt;=Hypothèses!$U$17,Hypothèses!$W$17,IF(BZ220&lt;=Hypothèses!$U$18,Hypothèses!$W$18,""))))))))))))</f>
        <v>#DIV/0!</v>
      </c>
      <c r="CW220" s="95" t="e">
        <f t="shared" ca="1" si="385"/>
        <v>#DIV/0!</v>
      </c>
      <c r="CX220" s="101">
        <f t="shared" si="427"/>
        <v>0</v>
      </c>
      <c r="CY220" s="91">
        <f t="shared" si="352"/>
        <v>0</v>
      </c>
      <c r="CZ220" s="30" t="e">
        <f t="shared" si="408"/>
        <v>#N/A</v>
      </c>
      <c r="DA220" s="30" t="e">
        <f t="shared" si="409"/>
        <v>#N/A</v>
      </c>
      <c r="DB220" s="31" t="e">
        <f>IF(OR(Hypothèses!$B$4=17,Hypothèses!$B$4=18,Hypothèses!$B$4=19,Hypothèses!$B$4=20),
IF($D220="Pressio.",
IF(OR($E220=3,$E220=1,$E220=4),DA220,CZ220),
IF($D220="Pénétro.",
IF(OR($E220=3,$E220=1,$E220=4),DA220,CZ220))),IF($D220="Pressio.",
IF($E220=3,DA220,CZ220),
IF($D220="Pénétro.",
IF($E220=4,DA220,CZ220))))</f>
        <v>#N/A</v>
      </c>
      <c r="DC220" s="31">
        <v>0</v>
      </c>
      <c r="DD220" s="102" t="e">
        <f>IF(NDC!$H$10="Oui",(VLOOKUP($B$3,'Coeff EC7'!$T$39:$X$59,2,0)*DB220+VLOOKUP($B$3,'Coeff EC7'!$T$65:$X$85,2,0)*Model0.1T!DC220)/1.5,PI()*CZ$12*$Q220*($B220-$B219)*0.15/10+DD219)</f>
        <v>#N/A</v>
      </c>
      <c r="DE220" s="102" t="e">
        <f>(VLOOKUP($B$3,'Coeff EC7'!$T$39:$X$59,3,0)*DB220+VLOOKUP($B$3,'Coeff EC7'!$T$65:$X$85,3,0)*Model0.1T!DC220)/1.1</f>
        <v>#N/A</v>
      </c>
      <c r="DF220" s="102" t="e">
        <f t="shared" si="386"/>
        <v>#N/A</v>
      </c>
      <c r="DG220" s="102" t="e">
        <f t="shared" si="387"/>
        <v>#N/A</v>
      </c>
      <c r="DH220" s="414" t="e">
        <f>IF(AND(DD220&gt;NDC!$C$63,DE220&gt;NDC!$C$65,DF220&gt;NDC!$D$73,DG220&gt;NDC!$D$74,$B220&gt;NDC!$H$22-0.1+MIN(3*DH$12,1.5)),0,1)</f>
        <v>#N/A</v>
      </c>
      <c r="DI220" s="86" t="b">
        <f t="shared" si="353"/>
        <v>0</v>
      </c>
      <c r="DJ220" s="86">
        <f t="shared" si="354"/>
        <v>0.5</v>
      </c>
      <c r="DK220" s="86">
        <f t="shared" si="355"/>
        <v>0.5</v>
      </c>
      <c r="DL220" s="30" t="e">
        <f t="shared" ca="1" si="388"/>
        <v>#DIV/0!</v>
      </c>
      <c r="DM220" s="85" t="e">
        <f ca="1">IF(CS220&lt;=Hypothèses!$V$7,Hypothèses!$W$7,IF(CS220&lt;=Hypothèses!$V$8,Hypothèses!$W$8,IF(CS220&lt;=Hypothèses!$V$9,Hypothèses!$W$9,IF(CS220&lt;=Hypothèses!$V$10,Hypothèses!$W$10,IF(CS220&lt;=Hypothèses!$V$11,Hypothèses!$W$11,IF(CS220&lt;=Hypothèses!$V$12,Hypothèses!$W$12,IF(CS220&lt;=Hypothèses!$V$13,Hypothèses!$W$13,IF(CS220&lt;=Hypothèses!$V$14,Hypothèses!$W$14,IF(CS220&lt;=Hypothèses!$V$15,Hypothèses!$W$15,IF(CS220&lt;=Hypothèses!$V$16,Hypothèses!$W$16,IF(CS220&lt;=Hypothèses!$V$17,Hypothèses!$W$17,IF(CS220&lt;=Hypothèses!$V$18,Hypothèses!$W$18,""))))))))))))</f>
        <v>#DIV/0!</v>
      </c>
      <c r="DN220" s="87" t="e">
        <f t="shared" ca="1" si="421"/>
        <v>#DIV/0!</v>
      </c>
      <c r="DO220" s="88" t="e">
        <f ca="1">IF(CS220&lt;=Hypothèses!$V$7,Hypothèses!$X$7,IF(CS220&lt;=Hypothèses!$V$8,Hypothèses!$X$8,IF(CS220&lt;=Hypothèses!$V$9,Hypothèses!$X$9,IF(CS220&lt;=Hypothèses!$V$10,Hypothèses!$X$10,IF(CS220&lt;=Hypothèses!$V$11,Hypothèses!$X$11,IF(CS220&lt;=Hypothèses!$V$12,Hypothèses!$X$12,IF(CS220&lt;=Hypothèses!$V$13,Hypothèses!$X$13,IF(CS220&lt;=Hypothèses!$V$14,Hypothèses!$X$14,IF(CS220&lt;=Hypothèses!$V$15,Hypothèses!$X$15,IF(CS220&lt;=Hypothèses!$V$16,Hypothèses!$X$16,IF(CS220&lt;=Hypothèses!$U$17,Hypothèses!$W$17,IF(CS220&lt;=Hypothèses!$U$18,Hypothèses!$W$18,""))))))))))))</f>
        <v>#DIV/0!</v>
      </c>
      <c r="DP220" s="95" t="e">
        <f t="shared" ca="1" si="389"/>
        <v>#DIV/0!</v>
      </c>
      <c r="DQ220" s="101">
        <f t="shared" si="428"/>
        <v>0</v>
      </c>
      <c r="DR220" s="91">
        <f t="shared" si="356"/>
        <v>0</v>
      </c>
      <c r="DS220" s="30" t="e">
        <f t="shared" si="410"/>
        <v>#N/A</v>
      </c>
      <c r="DT220" s="30" t="e">
        <f t="shared" si="411"/>
        <v>#N/A</v>
      </c>
      <c r="DU220" s="31" t="e">
        <f>IF(OR(Hypothèses!$B$4=17,Hypothèses!$B$4=18,Hypothèses!$B$4=19,Hypothèses!$B$4=20),
IF($D220="Pressio.",
IF(OR($E220=3,$E220=1,$E220=4),DT220,DS220),
IF($D220="Pénétro.",
IF(OR($E220=3,$E220=1,$E220=4),DT220,DS220))),IF($D220="Pressio.",
IF($E220=3,DT220,DS220),
IF($D220="Pénétro.",
IF($E220=4,DT220,DS220))))</f>
        <v>#N/A</v>
      </c>
      <c r="DV220" s="31">
        <v>0</v>
      </c>
      <c r="DW220" s="102" t="e">
        <f>IF(NDC!$H$10="Oui",(VLOOKUP($B$3,'Coeff EC7'!$T$39:$X$59,2,0)*DU220+VLOOKUP($B$3,'Coeff EC7'!$T$65:$X$85,2,0)*Model0.1T!DV220)/1.5,PI()*DS$12*$Q220*($B220-$B219)*0.15/10+DW219)</f>
        <v>#N/A</v>
      </c>
      <c r="DX220" s="102" t="e">
        <f>(VLOOKUP($B$3,'Coeff EC7'!$T$39:$X$59,3,0)*DU220+VLOOKUP($B$3,'Coeff EC7'!$T$65:$X$85,3,0)*Model0.1T!DV220)/1.1</f>
        <v>#N/A</v>
      </c>
      <c r="DY220" s="102" t="e">
        <f t="shared" si="390"/>
        <v>#N/A</v>
      </c>
      <c r="DZ220" s="102" t="e">
        <f t="shared" si="391"/>
        <v>#N/A</v>
      </c>
      <c r="EA220" s="414" t="e">
        <f>IF(AND(DW220&gt;NDC!$C$63,DX220&gt;NDC!$C$65,DY220&gt;NDC!$D$73,DZ220&gt;NDC!$D$74,$B220&gt;NDC!$H$22-0.1+MIN(3*EA$12,1.5)),0,1)</f>
        <v>#N/A</v>
      </c>
      <c r="EB220" s="86" t="b">
        <f t="shared" si="357"/>
        <v>0</v>
      </c>
      <c r="EC220" s="418">
        <f t="shared" si="358"/>
        <v>0.51</v>
      </c>
      <c r="ED220" s="86">
        <f t="shared" si="359"/>
        <v>0.51</v>
      </c>
      <c r="EE220" s="30" t="e">
        <f t="shared" ca="1" si="392"/>
        <v>#DIV/0!</v>
      </c>
      <c r="EF220" s="85" t="e">
        <f ca="1">IF(DL220&lt;=Hypothèses!$V$7,Hypothèses!$W$7,IF(DL220&lt;=Hypothèses!$V$8,Hypothèses!$W$8,IF(DL220&lt;=Hypothèses!$V$9,Hypothèses!$W$9,IF(DL220&lt;=Hypothèses!$V$10,Hypothèses!$W$10,IF(DL220&lt;=Hypothèses!$V$11,Hypothèses!$W$11,IF(DL220&lt;=Hypothèses!$V$12,Hypothèses!$W$12,IF(DL220&lt;=Hypothèses!$V$13,Hypothèses!$W$13,IF(DL220&lt;=Hypothèses!$V$14,Hypothèses!$W$14,IF(DL220&lt;=Hypothèses!$V$15,Hypothèses!$W$15,IF(DL220&lt;=Hypothèses!$V$16,Hypothèses!$W$16,IF(DL220&lt;=Hypothèses!$V$17,Hypothèses!$W$17,IF(DL220&lt;=Hypothèses!$V$18,Hypothèses!$W$18,""))))))))))))</f>
        <v>#DIV/0!</v>
      </c>
      <c r="EG220" s="87" t="e">
        <f t="shared" ca="1" si="422"/>
        <v>#DIV/0!</v>
      </c>
      <c r="EH220" s="88" t="e">
        <f ca="1">IF(DL220&lt;=Hypothèses!$V$7,Hypothèses!$X$7,IF(DL220&lt;=Hypothèses!$V$8,Hypothèses!$X$8,IF(DL220&lt;=Hypothèses!$V$9,Hypothèses!$X$9,IF(DL220&lt;=Hypothèses!$V$10,Hypothèses!$X$10,IF(DL220&lt;=Hypothèses!$V$11,Hypothèses!$X$11,IF(DL220&lt;=Hypothèses!$V$12,Hypothèses!$X$12,IF(DL220&lt;=Hypothèses!$V$13,Hypothèses!$X$13,IF(DL220&lt;=Hypothèses!$V$14,Hypothèses!$X$14,IF(DL220&lt;=Hypothèses!$V$15,Hypothèses!$X$15,IF(DL220&lt;=Hypothèses!$V$16,Hypothèses!$X$16,IF(DL220&lt;=Hypothèses!$U$17,Hypothèses!$W$17,IF(DL220&lt;=Hypothèses!$U$18,Hypothèses!$W$18,""))))))))))))</f>
        <v>#DIV/0!</v>
      </c>
      <c r="EI220" s="95" t="e">
        <f t="shared" ca="1" si="393"/>
        <v>#DIV/0!</v>
      </c>
      <c r="EJ220" s="101">
        <f t="shared" si="429"/>
        <v>0</v>
      </c>
      <c r="EK220" s="91">
        <f t="shared" si="360"/>
        <v>0</v>
      </c>
      <c r="EL220" s="30" t="e">
        <f t="shared" si="412"/>
        <v>#N/A</v>
      </c>
      <c r="EM220" s="30" t="e">
        <f t="shared" si="413"/>
        <v>#N/A</v>
      </c>
      <c r="EN220" s="31" t="e">
        <f>IF(OR(Hypothèses!$B$4=17,Hypothèses!$B$4=18,Hypothèses!$B$4=19,Hypothèses!$B$4=20),
IF($D220="Pressio.",
IF(OR($E220=3,$E220=1,$E220=4),EM220,EL220),
IF($D220="Pénétro.",
IF(OR($E220=3,$E220=1,$E220=4),EM220,EL220))),IF($D220="Pressio.",
IF($E220=3,EM220,EL220),
IF($D220="Pénétro.",
IF($E220=4,EM220,EL220))))</f>
        <v>#N/A</v>
      </c>
      <c r="EO220" s="31">
        <v>0</v>
      </c>
      <c r="EP220" s="102" t="e">
        <f>IF(NDC!$H$10="Oui",(VLOOKUP($B$3,'Coeff EC7'!$T$39:$X$59,2,0)*EN220+VLOOKUP($B$3,'Coeff EC7'!$T$65:$X$85,2,0)*Model0.1T!EO220)/1.5,PI()*EL$12*$Q220*($B220-$B219)*0.15/10+EP219)</f>
        <v>#N/A</v>
      </c>
      <c r="EQ220" s="102" t="e">
        <f>(VLOOKUP($B$3,'Coeff EC7'!$T$39:$X$59,3,0)*EN220+VLOOKUP($B$3,'Coeff EC7'!$T$65:$X$85,3,0)*Model0.1T!EO220)/1.1</f>
        <v>#N/A</v>
      </c>
      <c r="ER220" s="102" t="e">
        <f t="shared" si="394"/>
        <v>#N/A</v>
      </c>
      <c r="ES220" s="102" t="e">
        <f t="shared" si="395"/>
        <v>#N/A</v>
      </c>
      <c r="ET220" s="414" t="e">
        <f>IF(AND(EP220&gt;NDC!$C$63,EQ220&gt;NDC!$C$65,ER220&gt;NDC!$D$73,ES220&gt;NDC!$D$74,$B220&gt;NDC!$H$22-0.1+MIN(3*ET$12,1.5)),0,1)</f>
        <v>#N/A</v>
      </c>
      <c r="EU220" s="86" t="b">
        <f t="shared" si="361"/>
        <v>0</v>
      </c>
      <c r="EV220" s="86">
        <f t="shared" si="362"/>
        <v>0.61</v>
      </c>
      <c r="EW220" s="86">
        <f t="shared" si="363"/>
        <v>0.61</v>
      </c>
      <c r="EX220" s="30" t="e">
        <f t="shared" ca="1" si="396"/>
        <v>#DIV/0!</v>
      </c>
      <c r="EY220" s="85" t="e">
        <f ca="1">IF(EE220&lt;=Hypothèses!$V$7,Hypothèses!$W$7,IF(EE220&lt;=Hypothèses!$V$8,Hypothèses!$W$8,IF(EE220&lt;=Hypothèses!$V$9,Hypothèses!$W$9,IF(EE220&lt;=Hypothèses!$V$10,Hypothèses!$W$10,IF(EE220&lt;=Hypothèses!$V$11,Hypothèses!$W$11,IF(EE220&lt;=Hypothèses!$V$12,Hypothèses!$W$12,IF(EE220&lt;=Hypothèses!$V$13,Hypothèses!$W$13,IF(EE220&lt;=Hypothèses!$V$14,Hypothèses!$W$14,IF(EE220&lt;=Hypothèses!$V$15,Hypothèses!$W$15,IF(EE220&lt;=Hypothèses!$V$16,Hypothèses!$W$16,IF(EE220&lt;=Hypothèses!$V$17,Hypothèses!$W$17,IF(EE220&lt;=Hypothèses!$V$18,Hypothèses!$W$18,""))))))))))))</f>
        <v>#DIV/0!</v>
      </c>
      <c r="EZ220" s="87" t="e">
        <f t="shared" ca="1" si="423"/>
        <v>#DIV/0!</v>
      </c>
      <c r="FA220" s="88" t="e">
        <f ca="1">IF(EE220&lt;=Hypothèses!$V$7,Hypothèses!$X$7,IF(EE220&lt;=Hypothèses!$V$8,Hypothèses!$X$8,IF(EE220&lt;=Hypothèses!$V$9,Hypothèses!$X$9,IF(EE220&lt;=Hypothèses!$V$10,Hypothèses!$X$10,IF(EE220&lt;=Hypothèses!$V$11,Hypothèses!$X$11,IF(EE220&lt;=Hypothèses!$V$12,Hypothèses!$X$12,IF(EE220&lt;=Hypothèses!$V$13,Hypothèses!$X$13,IF(EE220&lt;=Hypothèses!$V$14,Hypothèses!$X$14,IF(EE220&lt;=Hypothèses!$V$15,Hypothèses!$X$15,IF(EE220&lt;=Hypothèses!$V$16,Hypothèses!$X$16,IF(EE220&lt;=Hypothèses!$U$17,Hypothèses!$W$17,IF(EE220&lt;=Hypothèses!$U$18,Hypothèses!$W$18,""))))))))))))</f>
        <v>#DIV/0!</v>
      </c>
      <c r="FB220" s="95" t="e">
        <f t="shared" ca="1" si="397"/>
        <v>#DIV/0!</v>
      </c>
      <c r="FC220" s="101">
        <f t="shared" si="430"/>
        <v>0</v>
      </c>
      <c r="FD220" s="91">
        <f t="shared" si="364"/>
        <v>0</v>
      </c>
      <c r="FE220" s="30" t="e">
        <f t="shared" si="414"/>
        <v>#N/A</v>
      </c>
      <c r="FF220" s="30" t="e">
        <f t="shared" si="415"/>
        <v>#N/A</v>
      </c>
      <c r="FG220" s="31" t="e">
        <f>IF(OR(Hypothèses!$B$4=17,Hypothèses!$B$4=18,Hypothèses!$B$4=19,Hypothèses!$B$4=20),
IF($D220="Pressio.",
IF(OR($E220=3,$E220=1,$E220=4),FF220,FE220),
IF($D220="Pénétro.",
IF(OR($E220=3,$E220=1,$E220=4),FF220,FE220))),IF($D220="Pressio.",
IF($E220=3,FF220,FE220),
IF($D220="Pénétro.",
IF($E220=4,FF220,FE220))))</f>
        <v>#N/A</v>
      </c>
      <c r="FH220" s="31">
        <v>0</v>
      </c>
      <c r="FI220" s="102" t="e">
        <f>IF(NDC!$H$10="Oui",(VLOOKUP($B$3,'Coeff EC7'!$T$39:$X$59,2,0)*FG220+VLOOKUP($B$3,'Coeff EC7'!$T$65:$X$85,2,0)*Model0.1T!FH220)/1.5,PI()*FE$12*$Q220*($B220-$B219)*0.15/10+FI219)</f>
        <v>#N/A</v>
      </c>
      <c r="FJ220" s="102" t="e">
        <f>(VLOOKUP($B$3,'Coeff EC7'!$T$39:$X$59,3,0)*FG220+VLOOKUP($B$3,'Coeff EC7'!$T$65:$X$85,3,0)*Model0.1T!FH220)/1.1</f>
        <v>#N/A</v>
      </c>
      <c r="FK220" s="102" t="e">
        <f t="shared" si="398"/>
        <v>#N/A</v>
      </c>
      <c r="FL220" s="102" t="e">
        <f t="shared" si="399"/>
        <v>#N/A</v>
      </c>
      <c r="FM220" s="414" t="e">
        <f>IF(AND(FI220&gt;NDC!$C$63,FJ220&gt;NDC!$C$65,FK220&gt;NDC!$D$73,FL220&gt;NDC!$D$74,$B220&gt;NDC!$H$22-0.1+MIN(3*FM$12,1.5)),0,1)</f>
        <v>#N/A</v>
      </c>
    </row>
    <row r="221" spans="1:169">
      <c r="A221" s="96">
        <f t="shared" si="365"/>
        <v>79.200000000001182</v>
      </c>
      <c r="B221" s="97">
        <v>20.8</v>
      </c>
      <c r="C221" s="81">
        <f>IF(B221&lt;=Hypothèses!$C$7,Hypothèses!$A$7,IF(B221&lt;=Hypothèses!$C$8,Hypothèses!$A$8,IF(B221&lt;=Hypothèses!$C$9,Hypothèses!$A$9,IF(B221&lt;=Hypothèses!$C$10,Hypothèses!$A$10,IF(B221&lt;=Hypothèses!$C$11,Hypothèses!$A$11,IF(B221&lt;=Hypothèses!$C$12,Hypothèses!$A$12,IF(B221&lt;=Hypothèses!$C$13,Hypothèses!$A$13,IF(B221&lt;=Hypothèses!$C$14,Hypothèses!$A$14,IF(B221&lt;=Hypothèses!$C$15,Hypothèses!$A$15,IF(B221&lt;=Hypothèses!$C$16,Hypothèses!$A$16,IF(B221&lt;=Hypothèses!$C$17,Hypothèses!$A$17,IF(B221&lt;=Hypothèses!$C$18,Hypothèses!$A$18,C220))))))))))))</f>
        <v>11</v>
      </c>
      <c r="D221" s="82" t="str">
        <f>IF(B221&lt;=Hypothèses!$C$7,Hypothèses!$R$7,IF(B221&lt;=Hypothèses!$C$8,Hypothèses!$R$8,IF(B221&lt;=Hypothèses!$C$9,Hypothèses!$R$9,IF(B221&lt;=Hypothèses!$C$10,Hypothèses!$R$10,IF(B221&lt;=Hypothèses!$C$11,Hypothèses!$R$11,IF(B221&lt;=Hypothèses!$C$12,Hypothèses!$R$12,IF(B221&lt;=Hypothèses!$C$13,Hypothèses!$R$13,IF(B221&lt;=Hypothèses!$C$14,Hypothèses!$R$14,IF(B221&lt;=Hypothèses!$C$15,Hypothèses!$R$15,IF(B221&lt;=Hypothèses!$C$16,Hypothèses!$R$16,IF(B221&lt;=Hypothèses!$C$17,Hypothèses!$R$17,IF(B221&lt;=Hypothèses!$C$18,Hypothèses!$R$18,D220))))))))))))</f>
        <v>Pressio.</v>
      </c>
      <c r="E221" s="82" t="e">
        <f>IF(B221&lt;=Hypothèses!$C$7,Hypothèses!$G$7,IF(B221&lt;=Hypothèses!$C$8,Hypothèses!$G$8,IF(B221&lt;=Hypothèses!$C$9,Hypothèses!$G$9,IF(B221&lt;=Hypothèses!$C$10,Hypothèses!$G$10,IF(B221&lt;=Hypothèses!$C$11,Hypothèses!$G$11,IF(B221&lt;=Hypothèses!$C$12,Hypothèses!$G$12,IF(B221&lt;=Hypothèses!$C$13,Hypothèses!$G$13,IF(B221&lt;=Hypothèses!$C$14,Hypothèses!$G$14,IF(B221&lt;=Hypothèses!$C$15,Hypothèses!$G$15,IF(B221&lt;=Hypothèses!$C$16,Hypothèses!$G$16,IF(B221&lt;=Hypothèses!$C$17,Hypothèses!$G$17,IF(B221&lt;=Hypothèses!$C$18,Hypothèses!$G$18,E220))))))))))))</f>
        <v>#N/A</v>
      </c>
      <c r="F221" s="82" t="str">
        <f>IF(B221&lt;=Hypothèses!$C$7,Hypothèses!$F$7,IF(B221&lt;=Hypothèses!$C$8,Hypothèses!$F$8,IF(B221&lt;=Hypothèses!$C$9,Hypothèses!$F$9,IF(B221&lt;=Hypothèses!$C$10,Hypothèses!$F$10,IF(B221&lt;=Hypothèses!$C$11,Hypothèses!$F$11,IF(B221&lt;=Hypothèses!$C$12,Hypothèses!$F$12,IF(B221&lt;=Hypothèses!$C$13,Hypothèses!$F$13,IF(B221&lt;=Hypothèses!$C$14,Hypothèses!$F$14,IF(B221&lt;=Hypothèses!$C$15,Hypothèses!$F$15,IF(B221&lt;=Hypothèses!$C$16,Hypothèses!$F$16,IF(B221&lt;=Hypothèses!$C$17,Hypothèses!$F$17,IF(B221&lt;=Hypothèses!$C$18,Hypothèses!$F$18,F220))))))))))))</f>
        <v/>
      </c>
      <c r="G221" s="91">
        <f t="array" ref="G221">INDEX('Coeff EC7'!$U$7:$X$27,
MATCH(Model0.1T!$B$3,'Coeff EC7'!$T$7:$T$27,0),
MATCH(Model0.1T!$D221&amp;Model0.1T!$B$4,
'Coeff EC7'!$U$6:$X$6&amp;
'Coeff EC7'!$U$5:$X$5,0))</f>
        <v>1.4</v>
      </c>
      <c r="H221" s="91">
        <f t="array" ref="H221">INDEX('Coeff EC7'!$Y$7:$AB$27,
MATCH(Model0.1T!$B$3,'Coeff EC7'!$T$7:$T$27,0),
MATCH(Model0.1T!$D221&amp;Model0.1T!$B$4,
'Coeff EC7'!$Y$6:$AB$6&amp;
'Coeff EC7'!$Y$5:$AB$5,0))</f>
        <v>1.7</v>
      </c>
      <c r="I221" s="83">
        <v>0</v>
      </c>
      <c r="J221" s="91" t="e">
        <f t="array" ref="J221">INDEX('Coeff EC7'!$D$33:$Q$33,1,MATCH(D221&amp;E221,'Coeff EC7'!$D$31:$Q$31&amp;'Coeff EC7'!$D$32:$Q$32,0))</f>
        <v>#N/A</v>
      </c>
      <c r="K221" s="91" t="e">
        <f t="array" ref="K221">INDEX('Coeff EC7'!$D$34:$Q$34,1,MATCH(D221&amp;E221,'Coeff EC7'!$D$31:$Q$31&amp;'Coeff EC7'!$D$32:$Q$32,0))</f>
        <v>#N/A</v>
      </c>
      <c r="L221" s="91" t="e">
        <f t="array" ref="L221">INDEX('Coeff EC7'!$D$35:$Q$35,1,MATCH(D221&amp;E221,'Coeff EC7'!$D$31:$Q$31&amp;'Coeff EC7'!$D$32:$Q$32,0))</f>
        <v>#N/A</v>
      </c>
      <c r="M221" s="98" t="e">
        <f t="shared" si="331"/>
        <v>#N/A</v>
      </c>
      <c r="N221" s="99" t="e">
        <f t="array" ref="N221">INDEX('Coeff EC7'!$D$7:$Q$27,MATCH($B$3,'Coeff EC7'!$C$7:$C$27,0),MATCH(D221&amp;E221,'Coeff EC7'!$D$5:$Q$5&amp;'Coeff EC7'!$D$6:$Q$6,0))</f>
        <v>#N/A</v>
      </c>
      <c r="O221" s="99" t="e">
        <f t="array" ref="O221">INDEX('Coeff EC7'!$D$41:$Q$61,MATCH($B$3,'Coeff EC7'!$C$41:$C$61,0),MATCH(D221&amp;E221,'Coeff EC7'!$D$39:$Q$39&amp;'Coeff EC7'!$D$40:$Q$40,0))</f>
        <v>#N/A</v>
      </c>
      <c r="P221" s="30" t="e">
        <f t="shared" si="366"/>
        <v>#N/A</v>
      </c>
      <c r="Q221" s="100" t="e">
        <f t="shared" si="333"/>
        <v>#N/A</v>
      </c>
      <c r="R221" s="86" t="b">
        <f t="shared" si="334"/>
        <v>0</v>
      </c>
      <c r="S221" s="86">
        <f t="shared" si="332"/>
        <v>0.5</v>
      </c>
      <c r="T221" s="86">
        <f t="shared" si="335"/>
        <v>0.5</v>
      </c>
      <c r="U221" s="30" t="e">
        <f t="shared" ca="1" si="367"/>
        <v>#DIV/0!</v>
      </c>
      <c r="V221" s="85" t="str">
        <f>IF(B221&lt;=Hypothèses!$V$7,Hypothèses!$W$7,IF(B221&lt;=Hypothèses!$V$8,Hypothèses!$W$8,IF(B221&lt;=Hypothèses!$V$9,Hypothèses!$W$9,IF(B221&lt;=Hypothèses!$V$10,Hypothèses!$W$10,IF(B221&lt;=Hypothèses!$V$11,Hypothèses!$W$11,IF(B221&lt;=Hypothèses!$V$12,Hypothèses!$W$12,IF(B221&lt;=Hypothèses!$V$13,Hypothèses!$W$13,IF(B221&lt;=Hypothèses!$V$14,Hypothèses!$W$14,IF(B221&lt;=Hypothèses!$V$15,Hypothèses!$W$15,IF(B221&lt;=Hypothèses!$V$16,Hypothèses!$W$16,IF(B221&lt;=Hypothèses!$V$17,Hypothèses!$W$17,IF(B221&lt;=Hypothèses!$V$18,Hypothèses!$W$18,""))))))))))))</f>
        <v/>
      </c>
      <c r="W221" s="87" t="e">
        <f t="shared" ca="1" si="416"/>
        <v>#DIV/0!</v>
      </c>
      <c r="X221" s="88" t="str">
        <f>IF(B221&lt;=Hypothèses!$V$7,Hypothèses!$X$7,IF(B221&lt;=Hypothèses!$V$8,Hypothèses!$X$8,IF(B221&lt;=Hypothèses!$V$9,Hypothèses!$X$9,IF(B221&lt;=Hypothèses!$V$10,Hypothèses!$X$10,IF(B221&lt;=Hypothèses!$V$11,Hypothèses!$X$11,IF(B221&lt;=Hypothèses!$V$12,Hypothèses!$X$12,IF(B221&lt;=Hypothèses!$V$13,Hypothèses!$X$13,IF(B221&lt;=Hypothèses!$V$14,Hypothèses!$X$14,IF(B221&lt;=Hypothèses!$V$15,Hypothèses!$X$15,IF(B221&lt;=Hypothèses!$V$16,Hypothèses!$X$16,IF(B221&lt;=Hypothèses!$U$17,Hypothèses!$W$17,IF(B221&lt;=Hypothèses!$U$18,Hypothèses!$W$18,""))))))))))))</f>
        <v/>
      </c>
      <c r="Y221" s="95" t="e">
        <f t="shared" ca="1" si="336"/>
        <v>#DIV/0!</v>
      </c>
      <c r="Z221" s="101">
        <f t="shared" si="337"/>
        <v>0</v>
      </c>
      <c r="AA221" s="91">
        <f t="shared" si="338"/>
        <v>0</v>
      </c>
      <c r="AB221" s="30" t="e">
        <f t="shared" si="400"/>
        <v>#N/A</v>
      </c>
      <c r="AC221" s="30" t="e">
        <f t="shared" si="401"/>
        <v>#N/A</v>
      </c>
      <c r="AD221" s="31" t="e">
        <f>IF(OR(Hypothèses!$B$4=17,Hypothèses!$B$4=18,Hypothèses!$B$4=19,Hypothèses!$B$4=20),
IF($D221="Pressio.",
IF(OR($E221=3,$E221=1,$E221=4),AC221,AB221),
IF($D221="Pénétro.",
IF(OR($E221=3,$E221=1,$E221=4),AC221,AB221))),IF($D221="Pressio.",
IF($E221=3,AC221,AB221),
IF($D221="Pénétro.",
IF($E221=4,AC221,AB221))))</f>
        <v>#N/A</v>
      </c>
      <c r="AE221" s="31">
        <v>0</v>
      </c>
      <c r="AF221" s="102" t="e">
        <f>IF(NDC!$H$10="Oui",(VLOOKUP($B$3,'Coeff EC7'!$T$39:$X$59,2,0)*AD221+VLOOKUP($B$3,'Coeff EC7'!$T$65:$X$85,2,0)*Model0.1T!AE221)/1.5,PI()*AB$12*$Q221*($B221-$B220)*0.15/10+AF220)</f>
        <v>#N/A</v>
      </c>
      <c r="AG221" s="102" t="e">
        <f>(VLOOKUP($B$3,'Coeff EC7'!$T$39:$X$59,3,0)*AD221+VLOOKUP($B$3,'Coeff EC7'!$T$65:$X$85,3,0)*Model0.1T!AE221)/1.1</f>
        <v>#N/A</v>
      </c>
      <c r="AH221" s="102" t="e">
        <f t="shared" si="368"/>
        <v>#N/A</v>
      </c>
      <c r="AI221" s="102" t="e">
        <f t="shared" si="369"/>
        <v>#N/A</v>
      </c>
      <c r="AJ221" s="414" t="e">
        <f>IF(AND(AF221&gt;NDC!$C$63,AG221&gt;NDC!$C$65,AH221&gt;NDC!$D$73,AI221&gt;NDC!$D$74,$B221&gt;NDC!$H$22-0.1+MIN(3*$AJ$12,1.5)),0,1)</f>
        <v>#N/A</v>
      </c>
      <c r="AK221" s="86" t="b">
        <f t="shared" si="339"/>
        <v>0</v>
      </c>
      <c r="AL221" s="86">
        <f t="shared" si="370"/>
        <v>0.5</v>
      </c>
      <c r="AM221" s="86">
        <f t="shared" si="340"/>
        <v>0.5</v>
      </c>
      <c r="AN221" s="30" t="e">
        <f t="shared" ca="1" si="371"/>
        <v>#DIV/0!</v>
      </c>
      <c r="AO221" s="85" t="e">
        <f ca="1">IF(U221&lt;=Hypothèses!$V$7,Hypothèses!$W$7,IF(U221&lt;=Hypothèses!$V$8,Hypothèses!$W$8,IF(U221&lt;=Hypothèses!$V$9,Hypothèses!$W$9,IF(U221&lt;=Hypothèses!$V$10,Hypothèses!$W$10,IF(U221&lt;=Hypothèses!$V$11,Hypothèses!$W$11,IF(U221&lt;=Hypothèses!$V$12,Hypothèses!$W$12,IF(U221&lt;=Hypothèses!$V$13,Hypothèses!$W$13,IF(U221&lt;=Hypothèses!$V$14,Hypothèses!$W$14,IF(U221&lt;=Hypothèses!$V$15,Hypothèses!$W$15,IF(U221&lt;=Hypothèses!$V$16,Hypothèses!$W$16,IF(U221&lt;=Hypothèses!$V$17,Hypothèses!$W$17,IF(U221&lt;=Hypothèses!$V$18,Hypothèses!$W$18,""))))))))))))</f>
        <v>#DIV/0!</v>
      </c>
      <c r="AP221" s="87" t="e">
        <f t="shared" ca="1" si="417"/>
        <v>#DIV/0!</v>
      </c>
      <c r="AQ221" s="88" t="e">
        <f ca="1">IF(U221&lt;=Hypothèses!$V$7,Hypothèses!$X$7,IF(U221&lt;=Hypothèses!$V$8,Hypothèses!$X$8,IF(U221&lt;=Hypothèses!$V$9,Hypothèses!$X$9,IF(U221&lt;=Hypothèses!$V$10,Hypothèses!$X$10,IF(U221&lt;=Hypothèses!$V$11,Hypothèses!$X$11,IF(U221&lt;=Hypothèses!$V$12,Hypothèses!$X$12,IF(U221&lt;=Hypothèses!$V$13,Hypothèses!$X$13,IF(U221&lt;=Hypothèses!$V$14,Hypothèses!$X$14,IF(U221&lt;=Hypothèses!$V$15,Hypothèses!$X$15,IF(U221&lt;=Hypothèses!$V$16,Hypothèses!$X$16,IF(U221&lt;=Hypothèses!$U$17,Hypothèses!$W$17,IF(U221&lt;=Hypothèses!$U$18,Hypothèses!$W$18,""))))))))))))</f>
        <v>#DIV/0!</v>
      </c>
      <c r="AR221" s="95" t="e">
        <f t="shared" ca="1" si="372"/>
        <v>#DIV/0!</v>
      </c>
      <c r="AS221" s="101">
        <f t="shared" si="424"/>
        <v>0</v>
      </c>
      <c r="AT221" s="91">
        <f t="shared" si="341"/>
        <v>0</v>
      </c>
      <c r="AU221" s="30" t="e">
        <f t="shared" si="402"/>
        <v>#N/A</v>
      </c>
      <c r="AV221" s="30" t="e">
        <f t="shared" si="403"/>
        <v>#N/A</v>
      </c>
      <c r="AW221" s="31" t="e">
        <f>IF(OR(Hypothèses!$B$4=17,Hypothèses!$B$4=18,Hypothèses!$B$4=19,Hypothèses!$B$4=20),
IF($D221="Pressio.",
IF(OR($E221=3,$E221=1,$E221=4),AV221,AU221),
IF($D221="Pénétro.",
IF(OR($E221=3,$E221=1,$E221=4),AV221,AU221))),IF($D221="Pressio.",
IF($E221=3,AV221,AU221),
IF($D221="Pénétro.",
IF($E221=4,AV221,AU221))))</f>
        <v>#N/A</v>
      </c>
      <c r="AX221" s="31">
        <v>0</v>
      </c>
      <c r="AY221" s="102" t="e">
        <f>IF(NDC!$H$10="Oui",(VLOOKUP($B$3,'Coeff EC7'!$T$39:$X$59,2,0)*AW221+VLOOKUP($B$3,'Coeff EC7'!$T$65:$X$85,2,0)*Model0.1T!AX221)/1.5,PI()*AU$12*$Q221*($B221-$B220)*0.15/10+AY220)</f>
        <v>#N/A</v>
      </c>
      <c r="AZ221" s="102" t="e">
        <f>(VLOOKUP($B$3,'Coeff EC7'!$T$39:$X$59,3,0)*AW221+VLOOKUP($B$3,'Coeff EC7'!$T$65:$X$85,3,0)*Model0.1T!AX221)/1.1</f>
        <v>#N/A</v>
      </c>
      <c r="BA221" s="102" t="e">
        <f t="shared" si="373"/>
        <v>#N/A</v>
      </c>
      <c r="BB221" s="102" t="e">
        <f t="shared" si="374"/>
        <v>#N/A</v>
      </c>
      <c r="BC221" s="414" t="e">
        <f>IF(AND(AY221&gt;NDC!$C$63,AZ221&gt;NDC!$C$65,BA221&gt;NDC!$D$73,BB221&gt;NDC!$D$74,$B221&gt;NDC!$H$22-0.1+MIN(3*BC$12,1.5)),0,1)</f>
        <v>#N/A</v>
      </c>
      <c r="BD221" s="86" t="b">
        <f t="shared" si="342"/>
        <v>0</v>
      </c>
      <c r="BE221" s="86">
        <f t="shared" si="375"/>
        <v>0.5</v>
      </c>
      <c r="BF221" s="86">
        <f t="shared" si="343"/>
        <v>0.5</v>
      </c>
      <c r="BG221" s="30" t="e">
        <f t="shared" ca="1" si="376"/>
        <v>#DIV/0!</v>
      </c>
      <c r="BH221" s="85" t="e">
        <f ca="1">IF(AN221&lt;=Hypothèses!$V$7,Hypothèses!$W$7,IF(AN221&lt;=Hypothèses!$V$8,Hypothèses!$W$8,IF(AN221&lt;=Hypothèses!$V$9,Hypothèses!$W$9,IF(AN221&lt;=Hypothèses!$V$10,Hypothèses!$W$10,IF(AN221&lt;=Hypothèses!$V$11,Hypothèses!$W$11,IF(AN221&lt;=Hypothèses!$V$12,Hypothèses!$W$12,IF(AN221&lt;=Hypothèses!$V$13,Hypothèses!$W$13,IF(AN221&lt;=Hypothèses!$V$14,Hypothèses!$W$14,IF(AN221&lt;=Hypothèses!$V$15,Hypothèses!$W$15,IF(AN221&lt;=Hypothèses!$V$16,Hypothèses!$W$16,IF(AN221&lt;=Hypothèses!$V$17,Hypothèses!$W$17,IF(AN221&lt;=Hypothèses!$V$18,Hypothèses!$W$18,""))))))))))))</f>
        <v>#DIV/0!</v>
      </c>
      <c r="BI221" s="87" t="e">
        <f t="shared" ca="1" si="418"/>
        <v>#DIV/0!</v>
      </c>
      <c r="BJ221" s="88" t="e">
        <f ca="1">IF(AN221&lt;=Hypothèses!$V$7,Hypothèses!$X$7,IF(AN221&lt;=Hypothèses!$V$8,Hypothèses!$X$8,IF(AN221&lt;=Hypothèses!$V$9,Hypothèses!$X$9,IF(AN221&lt;=Hypothèses!$V$10,Hypothèses!$X$10,IF(AN221&lt;=Hypothèses!$V$11,Hypothèses!$X$11,IF(AN221&lt;=Hypothèses!$V$12,Hypothèses!$X$12,IF(AN221&lt;=Hypothèses!$V$13,Hypothèses!$X$13,IF(AN221&lt;=Hypothèses!$V$14,Hypothèses!$X$14,IF(AN221&lt;=Hypothèses!$V$15,Hypothèses!$X$15,IF(AN221&lt;=Hypothèses!$V$16,Hypothèses!$X$16,IF(AN221&lt;=Hypothèses!$U$17,Hypothèses!$W$17,IF(AN221&lt;=Hypothèses!$U$18,Hypothèses!$W$18,""))))))))))))</f>
        <v>#DIV/0!</v>
      </c>
      <c r="BK221" s="95" t="e">
        <f t="shared" ca="1" si="377"/>
        <v>#DIV/0!</v>
      </c>
      <c r="BL221" s="101">
        <f t="shared" si="425"/>
        <v>0</v>
      </c>
      <c r="BM221" s="91">
        <f t="shared" si="344"/>
        <v>0</v>
      </c>
      <c r="BN221" s="30" t="e">
        <f t="shared" si="404"/>
        <v>#N/A</v>
      </c>
      <c r="BO221" s="30" t="e">
        <f t="shared" si="405"/>
        <v>#N/A</v>
      </c>
      <c r="BP221" s="31" t="e">
        <f>IF(OR(Hypothèses!$B$4=17,Hypothèses!$B$4=18,Hypothèses!$B$4=19,Hypothèses!$B$4=20),
IF($D221="Pressio.",
IF(OR($E221=3,$E221=1,$E221=4),BO221,BN221),
IF($D221="Pénétro.",
IF(OR($E221=3,$E221=1,$E221=4),BO221,BN221))),IF($D221="Pressio.",
IF($E221=3,BO221,BN221),
IF($D221="Pénétro.",
IF($E221=4,BO221,BN221))))</f>
        <v>#N/A</v>
      </c>
      <c r="BQ221" s="31">
        <v>0</v>
      </c>
      <c r="BR221" s="102" t="e">
        <f>IF(NDC!$H$10="Oui",(VLOOKUP($B$3,'Coeff EC7'!$T$39:$X$59,2,0)*BP221+VLOOKUP($B$3,'Coeff EC7'!$T$65:$X$85,2,0)*Model0.1T!BQ221)/1.5,PI()*BN$12*$Q221*($B221-$B220)*0.15/10+BR220)</f>
        <v>#N/A</v>
      </c>
      <c r="BS221" s="102" t="e">
        <f>(VLOOKUP($B$3,'Coeff EC7'!$T$39:$X$59,3,0)*BP221+VLOOKUP($B$3,'Coeff EC7'!$T$65:$X$85,3,0)*Model0.1T!BQ221)/1.1</f>
        <v>#N/A</v>
      </c>
      <c r="BT221" s="102" t="e">
        <f t="shared" si="378"/>
        <v>#N/A</v>
      </c>
      <c r="BU221" s="102" t="e">
        <f t="shared" si="379"/>
        <v>#N/A</v>
      </c>
      <c r="BV221" s="414" t="e">
        <f>IF(AND(BR221&gt;NDC!$C$63,BS221&gt;NDC!$C$65,BT221&gt;NDC!$D$73,BU221&gt;NDC!$D$74,$B221&gt;NDC!$H$22-0.1+MIN(3*BV$12,1.5)),0,1)</f>
        <v>#N/A</v>
      </c>
      <c r="BW221" s="86" t="b">
        <f t="shared" si="345"/>
        <v>0</v>
      </c>
      <c r="BX221" s="86">
        <f t="shared" si="346"/>
        <v>0.5</v>
      </c>
      <c r="BY221" s="86">
        <f t="shared" si="347"/>
        <v>0.5</v>
      </c>
      <c r="BZ221" s="30" t="e">
        <f t="shared" ca="1" si="380"/>
        <v>#DIV/0!</v>
      </c>
      <c r="CA221" s="85" t="e">
        <f ca="1">IF(BG221&lt;=Hypothèses!$V$7,Hypothèses!$W$7,IF(BG221&lt;=Hypothèses!$V$8,Hypothèses!$W$8,IF(BG221&lt;=Hypothèses!$V$9,Hypothèses!$W$9,IF(BG221&lt;=Hypothèses!$V$10,Hypothèses!$W$10,IF(BG221&lt;=Hypothèses!$V$11,Hypothèses!$W$11,IF(BG221&lt;=Hypothèses!$V$12,Hypothèses!$W$12,IF(BG221&lt;=Hypothèses!$V$13,Hypothèses!$W$13,IF(BG221&lt;=Hypothèses!$V$14,Hypothèses!$W$14,IF(BG221&lt;=Hypothèses!$V$15,Hypothèses!$W$15,IF(BG221&lt;=Hypothèses!$V$16,Hypothèses!$W$16,IF(BG221&lt;=Hypothèses!$V$17,Hypothèses!$W$17,IF(BG221&lt;=Hypothèses!$V$18,Hypothèses!$W$18,""))))))))))))</f>
        <v>#DIV/0!</v>
      </c>
      <c r="CB221" s="87" t="e">
        <f t="shared" ca="1" si="419"/>
        <v>#DIV/0!</v>
      </c>
      <c r="CC221" s="88" t="e">
        <f ca="1">IF(BG221&lt;=Hypothèses!$V$7,Hypothèses!$X$7,IF(BG221&lt;=Hypothèses!$V$8,Hypothèses!$X$8,IF(BG221&lt;=Hypothèses!$V$9,Hypothèses!$X$9,IF(BG221&lt;=Hypothèses!$V$10,Hypothèses!$X$10,IF(BG221&lt;=Hypothèses!$V$11,Hypothèses!$X$11,IF(BG221&lt;=Hypothèses!$V$12,Hypothèses!$X$12,IF(BG221&lt;=Hypothèses!$V$13,Hypothèses!$X$13,IF(BG221&lt;=Hypothèses!$V$14,Hypothèses!$X$14,IF(BG221&lt;=Hypothèses!$V$15,Hypothèses!$X$15,IF(BG221&lt;=Hypothèses!$V$16,Hypothèses!$X$16,IF(BG221&lt;=Hypothèses!$U$17,Hypothèses!$W$17,IF(BG221&lt;=Hypothèses!$U$18,Hypothèses!$W$18,""))))))))))))</f>
        <v>#DIV/0!</v>
      </c>
      <c r="CD221" s="95" t="e">
        <f t="shared" ca="1" si="381"/>
        <v>#DIV/0!</v>
      </c>
      <c r="CE221" s="101">
        <f t="shared" si="426"/>
        <v>0</v>
      </c>
      <c r="CF221" s="91">
        <f t="shared" si="348"/>
        <v>0</v>
      </c>
      <c r="CG221" s="30" t="e">
        <f t="shared" si="406"/>
        <v>#N/A</v>
      </c>
      <c r="CH221" s="30" t="e">
        <f t="shared" si="407"/>
        <v>#N/A</v>
      </c>
      <c r="CI221" s="31" t="e">
        <f>IF(OR(Hypothèses!$B$4=17,Hypothèses!$B$4=18,Hypothèses!$B$4=19,Hypothèses!$B$4=20),
IF($D221="Pressio.",
IF(OR($E221=3,$E221=1,$E221=4),CH221,CG221),
IF($D221="Pénétro.",
IF(OR($E221=3,$E221=1,$E221=4),CH221,CG221))),IF($D221="Pressio.",
IF($E221=3,CH221,CG221),
IF($D221="Pénétro.",
IF($E221=4,CH221,CG221))))</f>
        <v>#N/A</v>
      </c>
      <c r="CJ221" s="31">
        <v>0</v>
      </c>
      <c r="CK221" s="102" t="e">
        <f>IF(NDC!$H$10="Oui",(VLOOKUP($B$3,'Coeff EC7'!$T$39:$X$59,2,0)*CI221+VLOOKUP($B$3,'Coeff EC7'!$T$65:$X$85,2,0)*Model0.1T!CJ221)/1.5,PI()*CG$12*$Q221*($B221-$B220)*0.15/10+CK220)</f>
        <v>#N/A</v>
      </c>
      <c r="CL221" s="102" t="e">
        <f>(VLOOKUP($B$3,'Coeff EC7'!$T$39:$X$59,3,0)*CI221+VLOOKUP($B$3,'Coeff EC7'!$T$65:$X$85,3,0)*Model0.1T!CJ221)/1.1</f>
        <v>#N/A</v>
      </c>
      <c r="CM221" s="102" t="e">
        <f t="shared" si="382"/>
        <v>#N/A</v>
      </c>
      <c r="CN221" s="102" t="e">
        <f t="shared" si="383"/>
        <v>#N/A</v>
      </c>
      <c r="CO221" s="414" t="e">
        <f>IF(AND(CK221&gt;NDC!$C$63,CL221&gt;NDC!$C$65,CM221&gt;NDC!$D$73,CN221&gt;NDC!$D$74,$B221&gt;NDC!$H$22-0.1+MIN(3*CO$12,1.5)),0,1)</f>
        <v>#N/A</v>
      </c>
      <c r="CP221" s="86" t="b">
        <f t="shared" si="349"/>
        <v>0</v>
      </c>
      <c r="CQ221" s="86">
        <f t="shared" si="350"/>
        <v>0.5</v>
      </c>
      <c r="CR221" s="86">
        <f t="shared" si="351"/>
        <v>0.5</v>
      </c>
      <c r="CS221" s="30" t="e">
        <f t="shared" ca="1" si="384"/>
        <v>#DIV/0!</v>
      </c>
      <c r="CT221" s="85" t="e">
        <f ca="1">IF(BZ221&lt;=Hypothèses!$V$7,Hypothèses!$W$7,IF(BZ221&lt;=Hypothèses!$V$8,Hypothèses!$W$8,IF(BZ221&lt;=Hypothèses!$V$9,Hypothèses!$W$9,IF(BZ221&lt;=Hypothèses!$V$10,Hypothèses!$W$10,IF(BZ221&lt;=Hypothèses!$V$11,Hypothèses!$W$11,IF(BZ221&lt;=Hypothèses!$V$12,Hypothèses!$W$12,IF(BZ221&lt;=Hypothèses!$V$13,Hypothèses!$W$13,IF(BZ221&lt;=Hypothèses!$V$14,Hypothèses!$W$14,IF(BZ221&lt;=Hypothèses!$V$15,Hypothèses!$W$15,IF(BZ221&lt;=Hypothèses!$V$16,Hypothèses!$W$16,IF(BZ221&lt;=Hypothèses!$V$17,Hypothèses!$W$17,IF(BZ221&lt;=Hypothèses!$V$18,Hypothèses!$W$18,""))))))))))))</f>
        <v>#DIV/0!</v>
      </c>
      <c r="CU221" s="87" t="e">
        <f t="shared" ca="1" si="420"/>
        <v>#DIV/0!</v>
      </c>
      <c r="CV221" s="88" t="e">
        <f ca="1">IF(BZ221&lt;=Hypothèses!$V$7,Hypothèses!$X$7,IF(BZ221&lt;=Hypothèses!$V$8,Hypothèses!$X$8,IF(BZ221&lt;=Hypothèses!$V$9,Hypothèses!$X$9,IF(BZ221&lt;=Hypothèses!$V$10,Hypothèses!$X$10,IF(BZ221&lt;=Hypothèses!$V$11,Hypothèses!$X$11,IF(BZ221&lt;=Hypothèses!$V$12,Hypothèses!$X$12,IF(BZ221&lt;=Hypothèses!$V$13,Hypothèses!$X$13,IF(BZ221&lt;=Hypothèses!$V$14,Hypothèses!$X$14,IF(BZ221&lt;=Hypothèses!$V$15,Hypothèses!$X$15,IF(BZ221&lt;=Hypothèses!$V$16,Hypothèses!$X$16,IF(BZ221&lt;=Hypothèses!$U$17,Hypothèses!$W$17,IF(BZ221&lt;=Hypothèses!$U$18,Hypothèses!$W$18,""))))))))))))</f>
        <v>#DIV/0!</v>
      </c>
      <c r="CW221" s="95" t="e">
        <f t="shared" ca="1" si="385"/>
        <v>#DIV/0!</v>
      </c>
      <c r="CX221" s="101">
        <f t="shared" si="427"/>
        <v>0</v>
      </c>
      <c r="CY221" s="91">
        <f t="shared" si="352"/>
        <v>0</v>
      </c>
      <c r="CZ221" s="30" t="e">
        <f t="shared" si="408"/>
        <v>#N/A</v>
      </c>
      <c r="DA221" s="30" t="e">
        <f t="shared" si="409"/>
        <v>#N/A</v>
      </c>
      <c r="DB221" s="31" t="e">
        <f>IF(OR(Hypothèses!$B$4=17,Hypothèses!$B$4=18,Hypothèses!$B$4=19,Hypothèses!$B$4=20),
IF($D221="Pressio.",
IF(OR($E221=3,$E221=1,$E221=4),DA221,CZ221),
IF($D221="Pénétro.",
IF(OR($E221=3,$E221=1,$E221=4),DA221,CZ221))),IF($D221="Pressio.",
IF($E221=3,DA221,CZ221),
IF($D221="Pénétro.",
IF($E221=4,DA221,CZ221))))</f>
        <v>#N/A</v>
      </c>
      <c r="DC221" s="31">
        <v>0</v>
      </c>
      <c r="DD221" s="102" t="e">
        <f>IF(NDC!$H$10="Oui",(VLOOKUP($B$3,'Coeff EC7'!$T$39:$X$59,2,0)*DB221+VLOOKUP($B$3,'Coeff EC7'!$T$65:$X$85,2,0)*Model0.1T!DC221)/1.5,PI()*CZ$12*$Q221*($B221-$B220)*0.15/10+DD220)</f>
        <v>#N/A</v>
      </c>
      <c r="DE221" s="102" t="e">
        <f>(VLOOKUP($B$3,'Coeff EC7'!$T$39:$X$59,3,0)*DB221+VLOOKUP($B$3,'Coeff EC7'!$T$65:$X$85,3,0)*Model0.1T!DC221)/1.1</f>
        <v>#N/A</v>
      </c>
      <c r="DF221" s="102" t="e">
        <f t="shared" si="386"/>
        <v>#N/A</v>
      </c>
      <c r="DG221" s="102" t="e">
        <f t="shared" si="387"/>
        <v>#N/A</v>
      </c>
      <c r="DH221" s="414" t="e">
        <f>IF(AND(DD221&gt;NDC!$C$63,DE221&gt;NDC!$C$65,DF221&gt;NDC!$D$73,DG221&gt;NDC!$D$74,$B221&gt;NDC!$H$22-0.1+MIN(3*DH$12,1.5)),0,1)</f>
        <v>#N/A</v>
      </c>
      <c r="DI221" s="86" t="b">
        <f t="shared" si="353"/>
        <v>0</v>
      </c>
      <c r="DJ221" s="86">
        <f t="shared" si="354"/>
        <v>0.5</v>
      </c>
      <c r="DK221" s="86">
        <f t="shared" si="355"/>
        <v>0.5</v>
      </c>
      <c r="DL221" s="30" t="e">
        <f t="shared" ca="1" si="388"/>
        <v>#DIV/0!</v>
      </c>
      <c r="DM221" s="85" t="e">
        <f ca="1">IF(CS221&lt;=Hypothèses!$V$7,Hypothèses!$W$7,IF(CS221&lt;=Hypothèses!$V$8,Hypothèses!$W$8,IF(CS221&lt;=Hypothèses!$V$9,Hypothèses!$W$9,IF(CS221&lt;=Hypothèses!$V$10,Hypothèses!$W$10,IF(CS221&lt;=Hypothèses!$V$11,Hypothèses!$W$11,IF(CS221&lt;=Hypothèses!$V$12,Hypothèses!$W$12,IF(CS221&lt;=Hypothèses!$V$13,Hypothèses!$W$13,IF(CS221&lt;=Hypothèses!$V$14,Hypothèses!$W$14,IF(CS221&lt;=Hypothèses!$V$15,Hypothèses!$W$15,IF(CS221&lt;=Hypothèses!$V$16,Hypothèses!$W$16,IF(CS221&lt;=Hypothèses!$V$17,Hypothèses!$W$17,IF(CS221&lt;=Hypothèses!$V$18,Hypothèses!$W$18,""))))))))))))</f>
        <v>#DIV/0!</v>
      </c>
      <c r="DN221" s="87" t="e">
        <f t="shared" ca="1" si="421"/>
        <v>#DIV/0!</v>
      </c>
      <c r="DO221" s="88" t="e">
        <f ca="1">IF(CS221&lt;=Hypothèses!$V$7,Hypothèses!$X$7,IF(CS221&lt;=Hypothèses!$V$8,Hypothèses!$X$8,IF(CS221&lt;=Hypothèses!$V$9,Hypothèses!$X$9,IF(CS221&lt;=Hypothèses!$V$10,Hypothèses!$X$10,IF(CS221&lt;=Hypothèses!$V$11,Hypothèses!$X$11,IF(CS221&lt;=Hypothèses!$V$12,Hypothèses!$X$12,IF(CS221&lt;=Hypothèses!$V$13,Hypothèses!$X$13,IF(CS221&lt;=Hypothèses!$V$14,Hypothèses!$X$14,IF(CS221&lt;=Hypothèses!$V$15,Hypothèses!$X$15,IF(CS221&lt;=Hypothèses!$V$16,Hypothèses!$X$16,IF(CS221&lt;=Hypothèses!$U$17,Hypothèses!$W$17,IF(CS221&lt;=Hypothèses!$U$18,Hypothèses!$W$18,""))))))))))))</f>
        <v>#DIV/0!</v>
      </c>
      <c r="DP221" s="95" t="e">
        <f t="shared" ca="1" si="389"/>
        <v>#DIV/0!</v>
      </c>
      <c r="DQ221" s="101">
        <f t="shared" si="428"/>
        <v>0</v>
      </c>
      <c r="DR221" s="91">
        <f t="shared" si="356"/>
        <v>0</v>
      </c>
      <c r="DS221" s="30" t="e">
        <f t="shared" si="410"/>
        <v>#N/A</v>
      </c>
      <c r="DT221" s="30" t="e">
        <f t="shared" si="411"/>
        <v>#N/A</v>
      </c>
      <c r="DU221" s="31" t="e">
        <f>IF(OR(Hypothèses!$B$4=17,Hypothèses!$B$4=18,Hypothèses!$B$4=19,Hypothèses!$B$4=20),
IF($D221="Pressio.",
IF(OR($E221=3,$E221=1,$E221=4),DT221,DS221),
IF($D221="Pénétro.",
IF(OR($E221=3,$E221=1,$E221=4),DT221,DS221))),IF($D221="Pressio.",
IF($E221=3,DT221,DS221),
IF($D221="Pénétro.",
IF($E221=4,DT221,DS221))))</f>
        <v>#N/A</v>
      </c>
      <c r="DV221" s="31">
        <v>0</v>
      </c>
      <c r="DW221" s="102" t="e">
        <f>IF(NDC!$H$10="Oui",(VLOOKUP($B$3,'Coeff EC7'!$T$39:$X$59,2,0)*DU221+VLOOKUP($B$3,'Coeff EC7'!$T$65:$X$85,2,0)*Model0.1T!DV221)/1.5,PI()*DS$12*$Q221*($B221-$B220)*0.15/10+DW220)</f>
        <v>#N/A</v>
      </c>
      <c r="DX221" s="102" t="e">
        <f>(VLOOKUP($B$3,'Coeff EC7'!$T$39:$X$59,3,0)*DU221+VLOOKUP($B$3,'Coeff EC7'!$T$65:$X$85,3,0)*Model0.1T!DV221)/1.1</f>
        <v>#N/A</v>
      </c>
      <c r="DY221" s="102" t="e">
        <f t="shared" si="390"/>
        <v>#N/A</v>
      </c>
      <c r="DZ221" s="102" t="e">
        <f t="shared" si="391"/>
        <v>#N/A</v>
      </c>
      <c r="EA221" s="414" t="e">
        <f>IF(AND(DW221&gt;NDC!$C$63,DX221&gt;NDC!$C$65,DY221&gt;NDC!$D$73,DZ221&gt;NDC!$D$74,$B221&gt;NDC!$H$22-0.1+MIN(3*EA$12,1.5)),0,1)</f>
        <v>#N/A</v>
      </c>
      <c r="EB221" s="86" t="b">
        <f t="shared" si="357"/>
        <v>0</v>
      </c>
      <c r="EC221" s="418">
        <f t="shared" si="358"/>
        <v>0.51</v>
      </c>
      <c r="ED221" s="86">
        <f t="shared" si="359"/>
        <v>0.51</v>
      </c>
      <c r="EE221" s="30" t="e">
        <f t="shared" ca="1" si="392"/>
        <v>#DIV/0!</v>
      </c>
      <c r="EF221" s="85" t="e">
        <f ca="1">IF(DL221&lt;=Hypothèses!$V$7,Hypothèses!$W$7,IF(DL221&lt;=Hypothèses!$V$8,Hypothèses!$W$8,IF(DL221&lt;=Hypothèses!$V$9,Hypothèses!$W$9,IF(DL221&lt;=Hypothèses!$V$10,Hypothèses!$W$10,IF(DL221&lt;=Hypothèses!$V$11,Hypothèses!$W$11,IF(DL221&lt;=Hypothèses!$V$12,Hypothèses!$W$12,IF(DL221&lt;=Hypothèses!$V$13,Hypothèses!$W$13,IF(DL221&lt;=Hypothèses!$V$14,Hypothèses!$W$14,IF(DL221&lt;=Hypothèses!$V$15,Hypothèses!$W$15,IF(DL221&lt;=Hypothèses!$V$16,Hypothèses!$W$16,IF(DL221&lt;=Hypothèses!$V$17,Hypothèses!$W$17,IF(DL221&lt;=Hypothèses!$V$18,Hypothèses!$W$18,""))))))))))))</f>
        <v>#DIV/0!</v>
      </c>
      <c r="EG221" s="87" t="e">
        <f t="shared" ca="1" si="422"/>
        <v>#DIV/0!</v>
      </c>
      <c r="EH221" s="88" t="e">
        <f ca="1">IF(DL221&lt;=Hypothèses!$V$7,Hypothèses!$X$7,IF(DL221&lt;=Hypothèses!$V$8,Hypothèses!$X$8,IF(DL221&lt;=Hypothèses!$V$9,Hypothèses!$X$9,IF(DL221&lt;=Hypothèses!$V$10,Hypothèses!$X$10,IF(DL221&lt;=Hypothèses!$V$11,Hypothèses!$X$11,IF(DL221&lt;=Hypothèses!$V$12,Hypothèses!$X$12,IF(DL221&lt;=Hypothèses!$V$13,Hypothèses!$X$13,IF(DL221&lt;=Hypothèses!$V$14,Hypothèses!$X$14,IF(DL221&lt;=Hypothèses!$V$15,Hypothèses!$X$15,IF(DL221&lt;=Hypothèses!$V$16,Hypothèses!$X$16,IF(DL221&lt;=Hypothèses!$U$17,Hypothèses!$W$17,IF(DL221&lt;=Hypothèses!$U$18,Hypothèses!$W$18,""))))))))))))</f>
        <v>#DIV/0!</v>
      </c>
      <c r="EI221" s="95" t="e">
        <f t="shared" ca="1" si="393"/>
        <v>#DIV/0!</v>
      </c>
      <c r="EJ221" s="101">
        <f t="shared" si="429"/>
        <v>0</v>
      </c>
      <c r="EK221" s="91">
        <f t="shared" si="360"/>
        <v>0</v>
      </c>
      <c r="EL221" s="30" t="e">
        <f t="shared" si="412"/>
        <v>#N/A</v>
      </c>
      <c r="EM221" s="30" t="e">
        <f t="shared" si="413"/>
        <v>#N/A</v>
      </c>
      <c r="EN221" s="31" t="e">
        <f>IF(OR(Hypothèses!$B$4=17,Hypothèses!$B$4=18,Hypothèses!$B$4=19,Hypothèses!$B$4=20),
IF($D221="Pressio.",
IF(OR($E221=3,$E221=1,$E221=4),EM221,EL221),
IF($D221="Pénétro.",
IF(OR($E221=3,$E221=1,$E221=4),EM221,EL221))),IF($D221="Pressio.",
IF($E221=3,EM221,EL221),
IF($D221="Pénétro.",
IF($E221=4,EM221,EL221))))</f>
        <v>#N/A</v>
      </c>
      <c r="EO221" s="31">
        <v>0</v>
      </c>
      <c r="EP221" s="102" t="e">
        <f>IF(NDC!$H$10="Oui",(VLOOKUP($B$3,'Coeff EC7'!$T$39:$X$59,2,0)*EN221+VLOOKUP($B$3,'Coeff EC7'!$T$65:$X$85,2,0)*Model0.1T!EO221)/1.5,PI()*EL$12*$Q221*($B221-$B220)*0.15/10+EP220)</f>
        <v>#N/A</v>
      </c>
      <c r="EQ221" s="102" t="e">
        <f>(VLOOKUP($B$3,'Coeff EC7'!$T$39:$X$59,3,0)*EN221+VLOOKUP($B$3,'Coeff EC7'!$T$65:$X$85,3,0)*Model0.1T!EO221)/1.1</f>
        <v>#N/A</v>
      </c>
      <c r="ER221" s="102" t="e">
        <f t="shared" si="394"/>
        <v>#N/A</v>
      </c>
      <c r="ES221" s="102" t="e">
        <f t="shared" si="395"/>
        <v>#N/A</v>
      </c>
      <c r="ET221" s="414" t="e">
        <f>IF(AND(EP221&gt;NDC!$C$63,EQ221&gt;NDC!$C$65,ER221&gt;NDC!$D$73,ES221&gt;NDC!$D$74,$B221&gt;NDC!$H$22-0.1+MIN(3*ET$12,1.5)),0,1)</f>
        <v>#N/A</v>
      </c>
      <c r="EU221" s="86" t="b">
        <f t="shared" si="361"/>
        <v>0</v>
      </c>
      <c r="EV221" s="86">
        <f t="shared" si="362"/>
        <v>0.61</v>
      </c>
      <c r="EW221" s="86">
        <f t="shared" si="363"/>
        <v>0.61</v>
      </c>
      <c r="EX221" s="30" t="e">
        <f t="shared" ca="1" si="396"/>
        <v>#DIV/0!</v>
      </c>
      <c r="EY221" s="85" t="e">
        <f ca="1">IF(EE221&lt;=Hypothèses!$V$7,Hypothèses!$W$7,IF(EE221&lt;=Hypothèses!$V$8,Hypothèses!$W$8,IF(EE221&lt;=Hypothèses!$V$9,Hypothèses!$W$9,IF(EE221&lt;=Hypothèses!$V$10,Hypothèses!$W$10,IF(EE221&lt;=Hypothèses!$V$11,Hypothèses!$W$11,IF(EE221&lt;=Hypothèses!$V$12,Hypothèses!$W$12,IF(EE221&lt;=Hypothèses!$V$13,Hypothèses!$W$13,IF(EE221&lt;=Hypothèses!$V$14,Hypothèses!$W$14,IF(EE221&lt;=Hypothèses!$V$15,Hypothèses!$W$15,IF(EE221&lt;=Hypothèses!$V$16,Hypothèses!$W$16,IF(EE221&lt;=Hypothèses!$V$17,Hypothèses!$W$17,IF(EE221&lt;=Hypothèses!$V$18,Hypothèses!$W$18,""))))))))))))</f>
        <v>#DIV/0!</v>
      </c>
      <c r="EZ221" s="87" t="e">
        <f t="shared" ca="1" si="423"/>
        <v>#DIV/0!</v>
      </c>
      <c r="FA221" s="88" t="e">
        <f ca="1">IF(EE221&lt;=Hypothèses!$V$7,Hypothèses!$X$7,IF(EE221&lt;=Hypothèses!$V$8,Hypothèses!$X$8,IF(EE221&lt;=Hypothèses!$V$9,Hypothèses!$X$9,IF(EE221&lt;=Hypothèses!$V$10,Hypothèses!$X$10,IF(EE221&lt;=Hypothèses!$V$11,Hypothèses!$X$11,IF(EE221&lt;=Hypothèses!$V$12,Hypothèses!$X$12,IF(EE221&lt;=Hypothèses!$V$13,Hypothèses!$X$13,IF(EE221&lt;=Hypothèses!$V$14,Hypothèses!$X$14,IF(EE221&lt;=Hypothèses!$V$15,Hypothèses!$X$15,IF(EE221&lt;=Hypothèses!$V$16,Hypothèses!$X$16,IF(EE221&lt;=Hypothèses!$U$17,Hypothèses!$W$17,IF(EE221&lt;=Hypothèses!$U$18,Hypothèses!$W$18,""))))))))))))</f>
        <v>#DIV/0!</v>
      </c>
      <c r="FB221" s="95" t="e">
        <f t="shared" ca="1" si="397"/>
        <v>#DIV/0!</v>
      </c>
      <c r="FC221" s="101">
        <f t="shared" si="430"/>
        <v>0</v>
      </c>
      <c r="FD221" s="91">
        <f t="shared" si="364"/>
        <v>0</v>
      </c>
      <c r="FE221" s="30" t="e">
        <f t="shared" si="414"/>
        <v>#N/A</v>
      </c>
      <c r="FF221" s="30" t="e">
        <f t="shared" si="415"/>
        <v>#N/A</v>
      </c>
      <c r="FG221" s="31" t="e">
        <f>IF(OR(Hypothèses!$B$4=17,Hypothèses!$B$4=18,Hypothèses!$B$4=19,Hypothèses!$B$4=20),
IF($D221="Pressio.",
IF(OR($E221=3,$E221=1,$E221=4),FF221,FE221),
IF($D221="Pénétro.",
IF(OR($E221=3,$E221=1,$E221=4),FF221,FE221))),IF($D221="Pressio.",
IF($E221=3,FF221,FE221),
IF($D221="Pénétro.",
IF($E221=4,FF221,FE221))))</f>
        <v>#N/A</v>
      </c>
      <c r="FH221" s="31">
        <v>0</v>
      </c>
      <c r="FI221" s="102" t="e">
        <f>IF(NDC!$H$10="Oui",(VLOOKUP($B$3,'Coeff EC7'!$T$39:$X$59,2,0)*FG221+VLOOKUP($B$3,'Coeff EC7'!$T$65:$X$85,2,0)*Model0.1T!FH221)/1.5,PI()*FE$12*$Q221*($B221-$B220)*0.15/10+FI220)</f>
        <v>#N/A</v>
      </c>
      <c r="FJ221" s="102" t="e">
        <f>(VLOOKUP($B$3,'Coeff EC7'!$T$39:$X$59,3,0)*FG221+VLOOKUP($B$3,'Coeff EC7'!$T$65:$X$85,3,0)*Model0.1T!FH221)/1.1</f>
        <v>#N/A</v>
      </c>
      <c r="FK221" s="102" t="e">
        <f t="shared" si="398"/>
        <v>#N/A</v>
      </c>
      <c r="FL221" s="102" t="e">
        <f t="shared" si="399"/>
        <v>#N/A</v>
      </c>
      <c r="FM221" s="414" t="e">
        <f>IF(AND(FI221&gt;NDC!$C$63,FJ221&gt;NDC!$C$65,FK221&gt;NDC!$D$73,FL221&gt;NDC!$D$74,$B221&gt;NDC!$H$22-0.1+MIN(3*FM$12,1.5)),0,1)</f>
        <v>#N/A</v>
      </c>
    </row>
    <row r="222" spans="1:169">
      <c r="A222" s="96">
        <f t="shared" si="365"/>
        <v>79.100000000001188</v>
      </c>
      <c r="B222" s="97">
        <v>20.9</v>
      </c>
      <c r="C222" s="81">
        <f>IF(B222&lt;=Hypothèses!$C$7,Hypothèses!$A$7,IF(B222&lt;=Hypothèses!$C$8,Hypothèses!$A$8,IF(B222&lt;=Hypothèses!$C$9,Hypothèses!$A$9,IF(B222&lt;=Hypothèses!$C$10,Hypothèses!$A$10,IF(B222&lt;=Hypothèses!$C$11,Hypothèses!$A$11,IF(B222&lt;=Hypothèses!$C$12,Hypothèses!$A$12,IF(B222&lt;=Hypothèses!$C$13,Hypothèses!$A$13,IF(B222&lt;=Hypothèses!$C$14,Hypothèses!$A$14,IF(B222&lt;=Hypothèses!$C$15,Hypothèses!$A$15,IF(B222&lt;=Hypothèses!$C$16,Hypothèses!$A$16,IF(B222&lt;=Hypothèses!$C$17,Hypothèses!$A$17,IF(B222&lt;=Hypothèses!$C$18,Hypothèses!$A$18,C221))))))))))))</f>
        <v>11</v>
      </c>
      <c r="D222" s="82" t="str">
        <f>IF(B222&lt;=Hypothèses!$C$7,Hypothèses!$R$7,IF(B222&lt;=Hypothèses!$C$8,Hypothèses!$R$8,IF(B222&lt;=Hypothèses!$C$9,Hypothèses!$R$9,IF(B222&lt;=Hypothèses!$C$10,Hypothèses!$R$10,IF(B222&lt;=Hypothèses!$C$11,Hypothèses!$R$11,IF(B222&lt;=Hypothèses!$C$12,Hypothèses!$R$12,IF(B222&lt;=Hypothèses!$C$13,Hypothèses!$R$13,IF(B222&lt;=Hypothèses!$C$14,Hypothèses!$R$14,IF(B222&lt;=Hypothèses!$C$15,Hypothèses!$R$15,IF(B222&lt;=Hypothèses!$C$16,Hypothèses!$R$16,IF(B222&lt;=Hypothèses!$C$17,Hypothèses!$R$17,IF(B222&lt;=Hypothèses!$C$18,Hypothèses!$R$18,D221))))))))))))</f>
        <v>Pressio.</v>
      </c>
      <c r="E222" s="82" t="e">
        <f>IF(B222&lt;=Hypothèses!$C$7,Hypothèses!$G$7,IF(B222&lt;=Hypothèses!$C$8,Hypothèses!$G$8,IF(B222&lt;=Hypothèses!$C$9,Hypothèses!$G$9,IF(B222&lt;=Hypothèses!$C$10,Hypothèses!$G$10,IF(B222&lt;=Hypothèses!$C$11,Hypothèses!$G$11,IF(B222&lt;=Hypothèses!$C$12,Hypothèses!$G$12,IF(B222&lt;=Hypothèses!$C$13,Hypothèses!$G$13,IF(B222&lt;=Hypothèses!$C$14,Hypothèses!$G$14,IF(B222&lt;=Hypothèses!$C$15,Hypothèses!$G$15,IF(B222&lt;=Hypothèses!$C$16,Hypothèses!$G$16,IF(B222&lt;=Hypothèses!$C$17,Hypothèses!$G$17,IF(B222&lt;=Hypothèses!$C$18,Hypothèses!$G$18,E221))))))))))))</f>
        <v>#N/A</v>
      </c>
      <c r="F222" s="82" t="str">
        <f>IF(B222&lt;=Hypothèses!$C$7,Hypothèses!$F$7,IF(B222&lt;=Hypothèses!$C$8,Hypothèses!$F$8,IF(B222&lt;=Hypothèses!$C$9,Hypothèses!$F$9,IF(B222&lt;=Hypothèses!$C$10,Hypothèses!$F$10,IF(B222&lt;=Hypothèses!$C$11,Hypothèses!$F$11,IF(B222&lt;=Hypothèses!$C$12,Hypothèses!$F$12,IF(B222&lt;=Hypothèses!$C$13,Hypothèses!$F$13,IF(B222&lt;=Hypothèses!$C$14,Hypothèses!$F$14,IF(B222&lt;=Hypothèses!$C$15,Hypothèses!$F$15,IF(B222&lt;=Hypothèses!$C$16,Hypothèses!$F$16,IF(B222&lt;=Hypothèses!$C$17,Hypothèses!$F$17,IF(B222&lt;=Hypothèses!$C$18,Hypothèses!$F$18,F221))))))))))))</f>
        <v/>
      </c>
      <c r="G222" s="91">
        <f t="array" ref="G222">INDEX('Coeff EC7'!$U$7:$X$27,
MATCH(Model0.1T!$B$3,'Coeff EC7'!$T$7:$T$27,0),
MATCH(Model0.1T!$D222&amp;Model0.1T!$B$4,
'Coeff EC7'!$U$6:$X$6&amp;
'Coeff EC7'!$U$5:$X$5,0))</f>
        <v>1.4</v>
      </c>
      <c r="H222" s="91">
        <f t="array" ref="H222">INDEX('Coeff EC7'!$Y$7:$AB$27,
MATCH(Model0.1T!$B$3,'Coeff EC7'!$T$7:$T$27,0),
MATCH(Model0.1T!$D222&amp;Model0.1T!$B$4,
'Coeff EC7'!$Y$6:$AB$6&amp;
'Coeff EC7'!$Y$5:$AB$5,0))</f>
        <v>1.7</v>
      </c>
      <c r="I222" s="83">
        <v>0</v>
      </c>
      <c r="J222" s="91" t="e">
        <f t="array" ref="J222">INDEX('Coeff EC7'!$D$33:$Q$33,1,MATCH(D222&amp;E222,'Coeff EC7'!$D$31:$Q$31&amp;'Coeff EC7'!$D$32:$Q$32,0))</f>
        <v>#N/A</v>
      </c>
      <c r="K222" s="91" t="e">
        <f t="array" ref="K222">INDEX('Coeff EC7'!$D$34:$Q$34,1,MATCH(D222&amp;E222,'Coeff EC7'!$D$31:$Q$31&amp;'Coeff EC7'!$D$32:$Q$32,0))</f>
        <v>#N/A</v>
      </c>
      <c r="L222" s="91" t="e">
        <f t="array" ref="L222">INDEX('Coeff EC7'!$D$35:$Q$35,1,MATCH(D222&amp;E222,'Coeff EC7'!$D$31:$Q$31&amp;'Coeff EC7'!$D$32:$Q$32,0))</f>
        <v>#N/A</v>
      </c>
      <c r="M222" s="98" t="e">
        <f t="shared" si="331"/>
        <v>#N/A</v>
      </c>
      <c r="N222" s="99" t="e">
        <f t="array" ref="N222">INDEX('Coeff EC7'!$D$7:$Q$27,MATCH($B$3,'Coeff EC7'!$C$7:$C$27,0),MATCH(D222&amp;E222,'Coeff EC7'!$D$5:$Q$5&amp;'Coeff EC7'!$D$6:$Q$6,0))</f>
        <v>#N/A</v>
      </c>
      <c r="O222" s="99" t="e">
        <f t="array" ref="O222">INDEX('Coeff EC7'!$D$41:$Q$61,MATCH($B$3,'Coeff EC7'!$C$41:$C$61,0),MATCH(D222&amp;E222,'Coeff EC7'!$D$39:$Q$39&amp;'Coeff EC7'!$D$40:$Q$40,0))</f>
        <v>#N/A</v>
      </c>
      <c r="P222" s="30" t="e">
        <f t="shared" si="366"/>
        <v>#N/A</v>
      </c>
      <c r="Q222" s="100" t="e">
        <f t="shared" si="333"/>
        <v>#N/A</v>
      </c>
      <c r="R222" s="86" t="b">
        <f t="shared" si="334"/>
        <v>0</v>
      </c>
      <c r="S222" s="86">
        <f t="shared" si="332"/>
        <v>0.5</v>
      </c>
      <c r="T222" s="86">
        <f t="shared" si="335"/>
        <v>0.5</v>
      </c>
      <c r="U222" s="30" t="e">
        <f t="shared" ca="1" si="367"/>
        <v>#DIV/0!</v>
      </c>
      <c r="V222" s="85" t="str">
        <f>IF(B222&lt;=Hypothèses!$V$7,Hypothèses!$W$7,IF(B222&lt;=Hypothèses!$V$8,Hypothèses!$W$8,IF(B222&lt;=Hypothèses!$V$9,Hypothèses!$W$9,IF(B222&lt;=Hypothèses!$V$10,Hypothèses!$W$10,IF(B222&lt;=Hypothèses!$V$11,Hypothèses!$W$11,IF(B222&lt;=Hypothèses!$V$12,Hypothèses!$W$12,IF(B222&lt;=Hypothèses!$V$13,Hypothèses!$W$13,IF(B222&lt;=Hypothèses!$V$14,Hypothèses!$W$14,IF(B222&lt;=Hypothèses!$V$15,Hypothèses!$W$15,IF(B222&lt;=Hypothèses!$V$16,Hypothèses!$W$16,IF(B222&lt;=Hypothèses!$V$17,Hypothèses!$W$17,IF(B222&lt;=Hypothèses!$V$18,Hypothèses!$W$18,""))))))))))))</f>
        <v/>
      </c>
      <c r="W222" s="87" t="e">
        <f t="shared" ca="1" si="416"/>
        <v>#DIV/0!</v>
      </c>
      <c r="X222" s="88" t="str">
        <f>IF(B222&lt;=Hypothèses!$V$7,Hypothèses!$X$7,IF(B222&lt;=Hypothèses!$V$8,Hypothèses!$X$8,IF(B222&lt;=Hypothèses!$V$9,Hypothèses!$X$9,IF(B222&lt;=Hypothèses!$V$10,Hypothèses!$X$10,IF(B222&lt;=Hypothèses!$V$11,Hypothèses!$X$11,IF(B222&lt;=Hypothèses!$V$12,Hypothèses!$X$12,IF(B222&lt;=Hypothèses!$V$13,Hypothèses!$X$13,IF(B222&lt;=Hypothèses!$V$14,Hypothèses!$X$14,IF(B222&lt;=Hypothèses!$V$15,Hypothèses!$X$15,IF(B222&lt;=Hypothèses!$V$16,Hypothèses!$X$16,IF(B222&lt;=Hypothèses!$U$17,Hypothèses!$W$17,IF(B222&lt;=Hypothèses!$U$18,Hypothèses!$W$18,""))))))))))))</f>
        <v/>
      </c>
      <c r="Y222" s="95" t="e">
        <f t="shared" ca="1" si="336"/>
        <v>#DIV/0!</v>
      </c>
      <c r="Z222" s="101">
        <f t="shared" si="337"/>
        <v>0</v>
      </c>
      <c r="AA222" s="91">
        <f t="shared" si="338"/>
        <v>0</v>
      </c>
      <c r="AB222" s="30" t="e">
        <f t="shared" si="400"/>
        <v>#N/A</v>
      </c>
      <c r="AC222" s="30" t="e">
        <f t="shared" si="401"/>
        <v>#N/A</v>
      </c>
      <c r="AD222" s="31" t="e">
        <f>IF(OR(Hypothèses!$B$4=17,Hypothèses!$B$4=18,Hypothèses!$B$4=19,Hypothèses!$B$4=20),
IF($D222="Pressio.",
IF(OR($E222=3,$E222=1,$E222=4),AC222,AB222),
IF($D222="Pénétro.",
IF(OR($E222=3,$E222=1,$E222=4),AC222,AB222))),IF($D222="Pressio.",
IF($E222=3,AC222,AB222),
IF($D222="Pénétro.",
IF($E222=4,AC222,AB222))))</f>
        <v>#N/A</v>
      </c>
      <c r="AE222" s="31">
        <v>0</v>
      </c>
      <c r="AF222" s="102" t="e">
        <f>IF(NDC!$H$10="Oui",(VLOOKUP($B$3,'Coeff EC7'!$T$39:$X$59,2,0)*AD222+VLOOKUP($B$3,'Coeff EC7'!$T$65:$X$85,2,0)*Model0.1T!AE222)/1.5,PI()*AB$12*$Q222*($B222-$B221)*0.15/10+AF221)</f>
        <v>#N/A</v>
      </c>
      <c r="AG222" s="102" t="e">
        <f>(VLOOKUP($B$3,'Coeff EC7'!$T$39:$X$59,3,0)*AD222+VLOOKUP($B$3,'Coeff EC7'!$T$65:$X$85,3,0)*Model0.1T!AE222)/1.1</f>
        <v>#N/A</v>
      </c>
      <c r="AH222" s="102" t="e">
        <f t="shared" si="368"/>
        <v>#N/A</v>
      </c>
      <c r="AI222" s="102" t="e">
        <f t="shared" si="369"/>
        <v>#N/A</v>
      </c>
      <c r="AJ222" s="414" t="e">
        <f>IF(AND(AF222&gt;NDC!$C$63,AG222&gt;NDC!$C$65,AH222&gt;NDC!$D$73,AI222&gt;NDC!$D$74,$B222&gt;NDC!$H$22-0.1+MIN(3*$AJ$12,1.5)),0,1)</f>
        <v>#N/A</v>
      </c>
      <c r="AK222" s="86" t="b">
        <f t="shared" si="339"/>
        <v>0</v>
      </c>
      <c r="AL222" s="86">
        <f t="shared" si="370"/>
        <v>0.5</v>
      </c>
      <c r="AM222" s="86">
        <f t="shared" si="340"/>
        <v>0.5</v>
      </c>
      <c r="AN222" s="30" t="e">
        <f t="shared" ca="1" si="371"/>
        <v>#DIV/0!</v>
      </c>
      <c r="AO222" s="85" t="e">
        <f ca="1">IF(U222&lt;=Hypothèses!$V$7,Hypothèses!$W$7,IF(U222&lt;=Hypothèses!$V$8,Hypothèses!$W$8,IF(U222&lt;=Hypothèses!$V$9,Hypothèses!$W$9,IF(U222&lt;=Hypothèses!$V$10,Hypothèses!$W$10,IF(U222&lt;=Hypothèses!$V$11,Hypothèses!$W$11,IF(U222&lt;=Hypothèses!$V$12,Hypothèses!$W$12,IF(U222&lt;=Hypothèses!$V$13,Hypothèses!$W$13,IF(U222&lt;=Hypothèses!$V$14,Hypothèses!$W$14,IF(U222&lt;=Hypothèses!$V$15,Hypothèses!$W$15,IF(U222&lt;=Hypothèses!$V$16,Hypothèses!$W$16,IF(U222&lt;=Hypothèses!$V$17,Hypothèses!$W$17,IF(U222&lt;=Hypothèses!$V$18,Hypothèses!$W$18,""))))))))))))</f>
        <v>#DIV/0!</v>
      </c>
      <c r="AP222" s="87" t="e">
        <f t="shared" ca="1" si="417"/>
        <v>#DIV/0!</v>
      </c>
      <c r="AQ222" s="88" t="e">
        <f ca="1">IF(U222&lt;=Hypothèses!$V$7,Hypothèses!$X$7,IF(U222&lt;=Hypothèses!$V$8,Hypothèses!$X$8,IF(U222&lt;=Hypothèses!$V$9,Hypothèses!$X$9,IF(U222&lt;=Hypothèses!$V$10,Hypothèses!$X$10,IF(U222&lt;=Hypothèses!$V$11,Hypothèses!$X$11,IF(U222&lt;=Hypothèses!$V$12,Hypothèses!$X$12,IF(U222&lt;=Hypothèses!$V$13,Hypothèses!$X$13,IF(U222&lt;=Hypothèses!$V$14,Hypothèses!$X$14,IF(U222&lt;=Hypothèses!$V$15,Hypothèses!$X$15,IF(U222&lt;=Hypothèses!$V$16,Hypothèses!$X$16,IF(U222&lt;=Hypothèses!$U$17,Hypothèses!$W$17,IF(U222&lt;=Hypothèses!$U$18,Hypothèses!$W$18,""))))))))))))</f>
        <v>#DIV/0!</v>
      </c>
      <c r="AR222" s="95" t="e">
        <f t="shared" ca="1" si="372"/>
        <v>#DIV/0!</v>
      </c>
      <c r="AS222" s="101">
        <f t="shared" si="424"/>
        <v>0</v>
      </c>
      <c r="AT222" s="91">
        <f t="shared" si="341"/>
        <v>0</v>
      </c>
      <c r="AU222" s="30" t="e">
        <f t="shared" si="402"/>
        <v>#N/A</v>
      </c>
      <c r="AV222" s="30" t="e">
        <f t="shared" si="403"/>
        <v>#N/A</v>
      </c>
      <c r="AW222" s="31" t="e">
        <f>IF(OR(Hypothèses!$B$4=17,Hypothèses!$B$4=18,Hypothèses!$B$4=19,Hypothèses!$B$4=20),
IF($D222="Pressio.",
IF(OR($E222=3,$E222=1,$E222=4),AV222,AU222),
IF($D222="Pénétro.",
IF(OR($E222=3,$E222=1,$E222=4),AV222,AU222))),IF($D222="Pressio.",
IF($E222=3,AV222,AU222),
IF($D222="Pénétro.",
IF($E222=4,AV222,AU222))))</f>
        <v>#N/A</v>
      </c>
      <c r="AX222" s="31">
        <v>0</v>
      </c>
      <c r="AY222" s="102" t="e">
        <f>IF(NDC!$H$10="Oui",(VLOOKUP($B$3,'Coeff EC7'!$T$39:$X$59,2,0)*AW222+VLOOKUP($B$3,'Coeff EC7'!$T$65:$X$85,2,0)*Model0.1T!AX222)/1.5,PI()*AU$12*$Q222*($B222-$B221)*0.15/10+AY221)</f>
        <v>#N/A</v>
      </c>
      <c r="AZ222" s="102" t="e">
        <f>(VLOOKUP($B$3,'Coeff EC7'!$T$39:$X$59,3,0)*AW222+VLOOKUP($B$3,'Coeff EC7'!$T$65:$X$85,3,0)*Model0.1T!AX222)/1.1</f>
        <v>#N/A</v>
      </c>
      <c r="BA222" s="102" t="e">
        <f t="shared" si="373"/>
        <v>#N/A</v>
      </c>
      <c r="BB222" s="102" t="e">
        <f t="shared" si="374"/>
        <v>#N/A</v>
      </c>
      <c r="BC222" s="414" t="e">
        <f>IF(AND(AY222&gt;NDC!$C$63,AZ222&gt;NDC!$C$65,BA222&gt;NDC!$D$73,BB222&gt;NDC!$D$74,$B222&gt;NDC!$H$22-0.1+MIN(3*BC$12,1.5)),0,1)</f>
        <v>#N/A</v>
      </c>
      <c r="BD222" s="86" t="b">
        <f t="shared" si="342"/>
        <v>0</v>
      </c>
      <c r="BE222" s="86">
        <f t="shared" si="375"/>
        <v>0.5</v>
      </c>
      <c r="BF222" s="86">
        <f t="shared" si="343"/>
        <v>0.5</v>
      </c>
      <c r="BG222" s="30" t="e">
        <f t="shared" ca="1" si="376"/>
        <v>#DIV/0!</v>
      </c>
      <c r="BH222" s="85" t="e">
        <f ca="1">IF(AN222&lt;=Hypothèses!$V$7,Hypothèses!$W$7,IF(AN222&lt;=Hypothèses!$V$8,Hypothèses!$W$8,IF(AN222&lt;=Hypothèses!$V$9,Hypothèses!$W$9,IF(AN222&lt;=Hypothèses!$V$10,Hypothèses!$W$10,IF(AN222&lt;=Hypothèses!$V$11,Hypothèses!$W$11,IF(AN222&lt;=Hypothèses!$V$12,Hypothèses!$W$12,IF(AN222&lt;=Hypothèses!$V$13,Hypothèses!$W$13,IF(AN222&lt;=Hypothèses!$V$14,Hypothèses!$W$14,IF(AN222&lt;=Hypothèses!$V$15,Hypothèses!$W$15,IF(AN222&lt;=Hypothèses!$V$16,Hypothèses!$W$16,IF(AN222&lt;=Hypothèses!$V$17,Hypothèses!$W$17,IF(AN222&lt;=Hypothèses!$V$18,Hypothèses!$W$18,""))))))))))))</f>
        <v>#DIV/0!</v>
      </c>
      <c r="BI222" s="87" t="e">
        <f t="shared" ca="1" si="418"/>
        <v>#DIV/0!</v>
      </c>
      <c r="BJ222" s="88" t="e">
        <f ca="1">IF(AN222&lt;=Hypothèses!$V$7,Hypothèses!$X$7,IF(AN222&lt;=Hypothèses!$V$8,Hypothèses!$X$8,IF(AN222&lt;=Hypothèses!$V$9,Hypothèses!$X$9,IF(AN222&lt;=Hypothèses!$V$10,Hypothèses!$X$10,IF(AN222&lt;=Hypothèses!$V$11,Hypothèses!$X$11,IF(AN222&lt;=Hypothèses!$V$12,Hypothèses!$X$12,IF(AN222&lt;=Hypothèses!$V$13,Hypothèses!$X$13,IF(AN222&lt;=Hypothèses!$V$14,Hypothèses!$X$14,IF(AN222&lt;=Hypothèses!$V$15,Hypothèses!$X$15,IF(AN222&lt;=Hypothèses!$V$16,Hypothèses!$X$16,IF(AN222&lt;=Hypothèses!$U$17,Hypothèses!$W$17,IF(AN222&lt;=Hypothèses!$U$18,Hypothèses!$W$18,""))))))))))))</f>
        <v>#DIV/0!</v>
      </c>
      <c r="BK222" s="95" t="e">
        <f t="shared" ca="1" si="377"/>
        <v>#DIV/0!</v>
      </c>
      <c r="BL222" s="101">
        <f t="shared" si="425"/>
        <v>0</v>
      </c>
      <c r="BM222" s="91">
        <f t="shared" si="344"/>
        <v>0</v>
      </c>
      <c r="BN222" s="30" t="e">
        <f t="shared" si="404"/>
        <v>#N/A</v>
      </c>
      <c r="BO222" s="30" t="e">
        <f t="shared" si="405"/>
        <v>#N/A</v>
      </c>
      <c r="BP222" s="31" t="e">
        <f>IF(OR(Hypothèses!$B$4=17,Hypothèses!$B$4=18,Hypothèses!$B$4=19,Hypothèses!$B$4=20),
IF($D222="Pressio.",
IF(OR($E222=3,$E222=1,$E222=4),BO222,BN222),
IF($D222="Pénétro.",
IF(OR($E222=3,$E222=1,$E222=4),BO222,BN222))),IF($D222="Pressio.",
IF($E222=3,BO222,BN222),
IF($D222="Pénétro.",
IF($E222=4,BO222,BN222))))</f>
        <v>#N/A</v>
      </c>
      <c r="BQ222" s="31">
        <v>0</v>
      </c>
      <c r="BR222" s="102" t="e">
        <f>IF(NDC!$H$10="Oui",(VLOOKUP($B$3,'Coeff EC7'!$T$39:$X$59,2,0)*BP222+VLOOKUP($B$3,'Coeff EC7'!$T$65:$X$85,2,0)*Model0.1T!BQ222)/1.5,PI()*BN$12*$Q222*($B222-$B221)*0.15/10+BR221)</f>
        <v>#N/A</v>
      </c>
      <c r="BS222" s="102" t="e">
        <f>(VLOOKUP($B$3,'Coeff EC7'!$T$39:$X$59,3,0)*BP222+VLOOKUP($B$3,'Coeff EC7'!$T$65:$X$85,3,0)*Model0.1T!BQ222)/1.1</f>
        <v>#N/A</v>
      </c>
      <c r="BT222" s="102" t="e">
        <f t="shared" si="378"/>
        <v>#N/A</v>
      </c>
      <c r="BU222" s="102" t="e">
        <f t="shared" si="379"/>
        <v>#N/A</v>
      </c>
      <c r="BV222" s="414" t="e">
        <f>IF(AND(BR222&gt;NDC!$C$63,BS222&gt;NDC!$C$65,BT222&gt;NDC!$D$73,BU222&gt;NDC!$D$74,$B222&gt;NDC!$H$22-0.1+MIN(3*BV$12,1.5)),0,1)</f>
        <v>#N/A</v>
      </c>
      <c r="BW222" s="86" t="b">
        <f t="shared" si="345"/>
        <v>0</v>
      </c>
      <c r="BX222" s="86">
        <f t="shared" si="346"/>
        <v>0.5</v>
      </c>
      <c r="BY222" s="86">
        <f t="shared" si="347"/>
        <v>0.5</v>
      </c>
      <c r="BZ222" s="30" t="e">
        <f t="shared" ca="1" si="380"/>
        <v>#DIV/0!</v>
      </c>
      <c r="CA222" s="85" t="e">
        <f ca="1">IF(BG222&lt;=Hypothèses!$V$7,Hypothèses!$W$7,IF(BG222&lt;=Hypothèses!$V$8,Hypothèses!$W$8,IF(BG222&lt;=Hypothèses!$V$9,Hypothèses!$W$9,IF(BG222&lt;=Hypothèses!$V$10,Hypothèses!$W$10,IF(BG222&lt;=Hypothèses!$V$11,Hypothèses!$W$11,IF(BG222&lt;=Hypothèses!$V$12,Hypothèses!$W$12,IF(BG222&lt;=Hypothèses!$V$13,Hypothèses!$W$13,IF(BG222&lt;=Hypothèses!$V$14,Hypothèses!$W$14,IF(BG222&lt;=Hypothèses!$V$15,Hypothèses!$W$15,IF(BG222&lt;=Hypothèses!$V$16,Hypothèses!$W$16,IF(BG222&lt;=Hypothèses!$V$17,Hypothèses!$W$17,IF(BG222&lt;=Hypothèses!$V$18,Hypothèses!$W$18,""))))))))))))</f>
        <v>#DIV/0!</v>
      </c>
      <c r="CB222" s="87" t="e">
        <f t="shared" ca="1" si="419"/>
        <v>#DIV/0!</v>
      </c>
      <c r="CC222" s="88" t="e">
        <f ca="1">IF(BG222&lt;=Hypothèses!$V$7,Hypothèses!$X$7,IF(BG222&lt;=Hypothèses!$V$8,Hypothèses!$X$8,IF(BG222&lt;=Hypothèses!$V$9,Hypothèses!$X$9,IF(BG222&lt;=Hypothèses!$V$10,Hypothèses!$X$10,IF(BG222&lt;=Hypothèses!$V$11,Hypothèses!$X$11,IF(BG222&lt;=Hypothèses!$V$12,Hypothèses!$X$12,IF(BG222&lt;=Hypothèses!$V$13,Hypothèses!$X$13,IF(BG222&lt;=Hypothèses!$V$14,Hypothèses!$X$14,IF(BG222&lt;=Hypothèses!$V$15,Hypothèses!$X$15,IF(BG222&lt;=Hypothèses!$V$16,Hypothèses!$X$16,IF(BG222&lt;=Hypothèses!$U$17,Hypothèses!$W$17,IF(BG222&lt;=Hypothèses!$U$18,Hypothèses!$W$18,""))))))))))))</f>
        <v>#DIV/0!</v>
      </c>
      <c r="CD222" s="95" t="e">
        <f t="shared" ca="1" si="381"/>
        <v>#DIV/0!</v>
      </c>
      <c r="CE222" s="101">
        <f t="shared" si="426"/>
        <v>0</v>
      </c>
      <c r="CF222" s="91">
        <f t="shared" si="348"/>
        <v>0</v>
      </c>
      <c r="CG222" s="30" t="e">
        <f t="shared" si="406"/>
        <v>#N/A</v>
      </c>
      <c r="CH222" s="30" t="e">
        <f t="shared" si="407"/>
        <v>#N/A</v>
      </c>
      <c r="CI222" s="31" t="e">
        <f>IF(OR(Hypothèses!$B$4=17,Hypothèses!$B$4=18,Hypothèses!$B$4=19,Hypothèses!$B$4=20),
IF($D222="Pressio.",
IF(OR($E222=3,$E222=1,$E222=4),CH222,CG222),
IF($D222="Pénétro.",
IF(OR($E222=3,$E222=1,$E222=4),CH222,CG222))),IF($D222="Pressio.",
IF($E222=3,CH222,CG222),
IF($D222="Pénétro.",
IF($E222=4,CH222,CG222))))</f>
        <v>#N/A</v>
      </c>
      <c r="CJ222" s="31">
        <v>0</v>
      </c>
      <c r="CK222" s="102" t="e">
        <f>IF(NDC!$H$10="Oui",(VLOOKUP($B$3,'Coeff EC7'!$T$39:$X$59,2,0)*CI222+VLOOKUP($B$3,'Coeff EC7'!$T$65:$X$85,2,0)*Model0.1T!CJ222)/1.5,PI()*CG$12*$Q222*($B222-$B221)*0.15/10+CK221)</f>
        <v>#N/A</v>
      </c>
      <c r="CL222" s="102" t="e">
        <f>(VLOOKUP($B$3,'Coeff EC7'!$T$39:$X$59,3,0)*CI222+VLOOKUP($B$3,'Coeff EC7'!$T$65:$X$85,3,0)*Model0.1T!CJ222)/1.1</f>
        <v>#N/A</v>
      </c>
      <c r="CM222" s="102" t="e">
        <f t="shared" si="382"/>
        <v>#N/A</v>
      </c>
      <c r="CN222" s="102" t="e">
        <f t="shared" si="383"/>
        <v>#N/A</v>
      </c>
      <c r="CO222" s="414" t="e">
        <f>IF(AND(CK222&gt;NDC!$C$63,CL222&gt;NDC!$C$65,CM222&gt;NDC!$D$73,CN222&gt;NDC!$D$74,$B222&gt;NDC!$H$22-0.1+MIN(3*CO$12,1.5)),0,1)</f>
        <v>#N/A</v>
      </c>
      <c r="CP222" s="86" t="b">
        <f t="shared" si="349"/>
        <v>0</v>
      </c>
      <c r="CQ222" s="86">
        <f t="shared" si="350"/>
        <v>0.5</v>
      </c>
      <c r="CR222" s="86">
        <f t="shared" si="351"/>
        <v>0.5</v>
      </c>
      <c r="CS222" s="30" t="e">
        <f t="shared" ca="1" si="384"/>
        <v>#DIV/0!</v>
      </c>
      <c r="CT222" s="85" t="e">
        <f ca="1">IF(BZ222&lt;=Hypothèses!$V$7,Hypothèses!$W$7,IF(BZ222&lt;=Hypothèses!$V$8,Hypothèses!$W$8,IF(BZ222&lt;=Hypothèses!$V$9,Hypothèses!$W$9,IF(BZ222&lt;=Hypothèses!$V$10,Hypothèses!$W$10,IF(BZ222&lt;=Hypothèses!$V$11,Hypothèses!$W$11,IF(BZ222&lt;=Hypothèses!$V$12,Hypothèses!$W$12,IF(BZ222&lt;=Hypothèses!$V$13,Hypothèses!$W$13,IF(BZ222&lt;=Hypothèses!$V$14,Hypothèses!$W$14,IF(BZ222&lt;=Hypothèses!$V$15,Hypothèses!$W$15,IF(BZ222&lt;=Hypothèses!$V$16,Hypothèses!$W$16,IF(BZ222&lt;=Hypothèses!$V$17,Hypothèses!$W$17,IF(BZ222&lt;=Hypothèses!$V$18,Hypothèses!$W$18,""))))))))))))</f>
        <v>#DIV/0!</v>
      </c>
      <c r="CU222" s="87" t="e">
        <f t="shared" ca="1" si="420"/>
        <v>#DIV/0!</v>
      </c>
      <c r="CV222" s="88" t="e">
        <f ca="1">IF(BZ222&lt;=Hypothèses!$V$7,Hypothèses!$X$7,IF(BZ222&lt;=Hypothèses!$V$8,Hypothèses!$X$8,IF(BZ222&lt;=Hypothèses!$V$9,Hypothèses!$X$9,IF(BZ222&lt;=Hypothèses!$V$10,Hypothèses!$X$10,IF(BZ222&lt;=Hypothèses!$V$11,Hypothèses!$X$11,IF(BZ222&lt;=Hypothèses!$V$12,Hypothèses!$X$12,IF(BZ222&lt;=Hypothèses!$V$13,Hypothèses!$X$13,IF(BZ222&lt;=Hypothèses!$V$14,Hypothèses!$X$14,IF(BZ222&lt;=Hypothèses!$V$15,Hypothèses!$X$15,IF(BZ222&lt;=Hypothèses!$V$16,Hypothèses!$X$16,IF(BZ222&lt;=Hypothèses!$U$17,Hypothèses!$W$17,IF(BZ222&lt;=Hypothèses!$U$18,Hypothèses!$W$18,""))))))))))))</f>
        <v>#DIV/0!</v>
      </c>
      <c r="CW222" s="95" t="e">
        <f t="shared" ca="1" si="385"/>
        <v>#DIV/0!</v>
      </c>
      <c r="CX222" s="101">
        <f t="shared" si="427"/>
        <v>0</v>
      </c>
      <c r="CY222" s="91">
        <f t="shared" si="352"/>
        <v>0</v>
      </c>
      <c r="CZ222" s="30" t="e">
        <f t="shared" si="408"/>
        <v>#N/A</v>
      </c>
      <c r="DA222" s="30" t="e">
        <f t="shared" si="409"/>
        <v>#N/A</v>
      </c>
      <c r="DB222" s="31" t="e">
        <f>IF(OR(Hypothèses!$B$4=17,Hypothèses!$B$4=18,Hypothèses!$B$4=19,Hypothèses!$B$4=20),
IF($D222="Pressio.",
IF(OR($E222=3,$E222=1,$E222=4),DA222,CZ222),
IF($D222="Pénétro.",
IF(OR($E222=3,$E222=1,$E222=4),DA222,CZ222))),IF($D222="Pressio.",
IF($E222=3,DA222,CZ222),
IF($D222="Pénétro.",
IF($E222=4,DA222,CZ222))))</f>
        <v>#N/A</v>
      </c>
      <c r="DC222" s="31">
        <v>0</v>
      </c>
      <c r="DD222" s="102" t="e">
        <f>IF(NDC!$H$10="Oui",(VLOOKUP($B$3,'Coeff EC7'!$T$39:$X$59,2,0)*DB222+VLOOKUP($B$3,'Coeff EC7'!$T$65:$X$85,2,0)*Model0.1T!DC222)/1.5,PI()*CZ$12*$Q222*($B222-$B221)*0.15/10+DD221)</f>
        <v>#N/A</v>
      </c>
      <c r="DE222" s="102" t="e">
        <f>(VLOOKUP($B$3,'Coeff EC7'!$T$39:$X$59,3,0)*DB222+VLOOKUP($B$3,'Coeff EC7'!$T$65:$X$85,3,0)*Model0.1T!DC222)/1.1</f>
        <v>#N/A</v>
      </c>
      <c r="DF222" s="102" t="e">
        <f t="shared" si="386"/>
        <v>#N/A</v>
      </c>
      <c r="DG222" s="102" t="e">
        <f t="shared" si="387"/>
        <v>#N/A</v>
      </c>
      <c r="DH222" s="414" t="e">
        <f>IF(AND(DD222&gt;NDC!$C$63,DE222&gt;NDC!$C$65,DF222&gt;NDC!$D$73,DG222&gt;NDC!$D$74,$B222&gt;NDC!$H$22-0.1+MIN(3*DH$12,1.5)),0,1)</f>
        <v>#N/A</v>
      </c>
      <c r="DI222" s="86" t="b">
        <f t="shared" si="353"/>
        <v>0</v>
      </c>
      <c r="DJ222" s="86">
        <f t="shared" si="354"/>
        <v>0.5</v>
      </c>
      <c r="DK222" s="86">
        <f t="shared" si="355"/>
        <v>0.5</v>
      </c>
      <c r="DL222" s="30" t="e">
        <f t="shared" ca="1" si="388"/>
        <v>#DIV/0!</v>
      </c>
      <c r="DM222" s="85" t="e">
        <f ca="1">IF(CS222&lt;=Hypothèses!$V$7,Hypothèses!$W$7,IF(CS222&lt;=Hypothèses!$V$8,Hypothèses!$W$8,IF(CS222&lt;=Hypothèses!$V$9,Hypothèses!$W$9,IF(CS222&lt;=Hypothèses!$V$10,Hypothèses!$W$10,IF(CS222&lt;=Hypothèses!$V$11,Hypothèses!$W$11,IF(CS222&lt;=Hypothèses!$V$12,Hypothèses!$W$12,IF(CS222&lt;=Hypothèses!$V$13,Hypothèses!$W$13,IF(CS222&lt;=Hypothèses!$V$14,Hypothèses!$W$14,IF(CS222&lt;=Hypothèses!$V$15,Hypothèses!$W$15,IF(CS222&lt;=Hypothèses!$V$16,Hypothèses!$W$16,IF(CS222&lt;=Hypothèses!$V$17,Hypothèses!$W$17,IF(CS222&lt;=Hypothèses!$V$18,Hypothèses!$W$18,""))))))))))))</f>
        <v>#DIV/0!</v>
      </c>
      <c r="DN222" s="87" t="e">
        <f t="shared" ca="1" si="421"/>
        <v>#DIV/0!</v>
      </c>
      <c r="DO222" s="88" t="e">
        <f ca="1">IF(CS222&lt;=Hypothèses!$V$7,Hypothèses!$X$7,IF(CS222&lt;=Hypothèses!$V$8,Hypothèses!$X$8,IF(CS222&lt;=Hypothèses!$V$9,Hypothèses!$X$9,IF(CS222&lt;=Hypothèses!$V$10,Hypothèses!$X$10,IF(CS222&lt;=Hypothèses!$V$11,Hypothèses!$X$11,IF(CS222&lt;=Hypothèses!$V$12,Hypothèses!$X$12,IF(CS222&lt;=Hypothèses!$V$13,Hypothèses!$X$13,IF(CS222&lt;=Hypothèses!$V$14,Hypothèses!$X$14,IF(CS222&lt;=Hypothèses!$V$15,Hypothèses!$X$15,IF(CS222&lt;=Hypothèses!$V$16,Hypothèses!$X$16,IF(CS222&lt;=Hypothèses!$U$17,Hypothèses!$W$17,IF(CS222&lt;=Hypothèses!$U$18,Hypothèses!$W$18,""))))))))))))</f>
        <v>#DIV/0!</v>
      </c>
      <c r="DP222" s="95" t="e">
        <f t="shared" ca="1" si="389"/>
        <v>#DIV/0!</v>
      </c>
      <c r="DQ222" s="101">
        <f t="shared" si="428"/>
        <v>0</v>
      </c>
      <c r="DR222" s="91">
        <f t="shared" si="356"/>
        <v>0</v>
      </c>
      <c r="DS222" s="30" t="e">
        <f t="shared" si="410"/>
        <v>#N/A</v>
      </c>
      <c r="DT222" s="30" t="e">
        <f t="shared" si="411"/>
        <v>#N/A</v>
      </c>
      <c r="DU222" s="31" t="e">
        <f>IF(OR(Hypothèses!$B$4=17,Hypothèses!$B$4=18,Hypothèses!$B$4=19,Hypothèses!$B$4=20),
IF($D222="Pressio.",
IF(OR($E222=3,$E222=1,$E222=4),DT222,DS222),
IF($D222="Pénétro.",
IF(OR($E222=3,$E222=1,$E222=4),DT222,DS222))),IF($D222="Pressio.",
IF($E222=3,DT222,DS222),
IF($D222="Pénétro.",
IF($E222=4,DT222,DS222))))</f>
        <v>#N/A</v>
      </c>
      <c r="DV222" s="31">
        <v>0</v>
      </c>
      <c r="DW222" s="102" t="e">
        <f>IF(NDC!$H$10="Oui",(VLOOKUP($B$3,'Coeff EC7'!$T$39:$X$59,2,0)*DU222+VLOOKUP($B$3,'Coeff EC7'!$T$65:$X$85,2,0)*Model0.1T!DV222)/1.5,PI()*DS$12*$Q222*($B222-$B221)*0.15/10+DW221)</f>
        <v>#N/A</v>
      </c>
      <c r="DX222" s="102" t="e">
        <f>(VLOOKUP($B$3,'Coeff EC7'!$T$39:$X$59,3,0)*DU222+VLOOKUP($B$3,'Coeff EC7'!$T$65:$X$85,3,0)*Model0.1T!DV222)/1.1</f>
        <v>#N/A</v>
      </c>
      <c r="DY222" s="102" t="e">
        <f t="shared" si="390"/>
        <v>#N/A</v>
      </c>
      <c r="DZ222" s="102" t="e">
        <f t="shared" si="391"/>
        <v>#N/A</v>
      </c>
      <c r="EA222" s="414" t="e">
        <f>IF(AND(DW222&gt;NDC!$C$63,DX222&gt;NDC!$C$65,DY222&gt;NDC!$D$73,DZ222&gt;NDC!$D$74,$B222&gt;NDC!$H$22-0.1+MIN(3*EA$12,1.5)),0,1)</f>
        <v>#N/A</v>
      </c>
      <c r="EB222" s="86" t="b">
        <f t="shared" si="357"/>
        <v>0</v>
      </c>
      <c r="EC222" s="418">
        <f t="shared" si="358"/>
        <v>0.51</v>
      </c>
      <c r="ED222" s="86">
        <f t="shared" si="359"/>
        <v>0.51</v>
      </c>
      <c r="EE222" s="30" t="e">
        <f t="shared" ca="1" si="392"/>
        <v>#DIV/0!</v>
      </c>
      <c r="EF222" s="85" t="e">
        <f ca="1">IF(DL222&lt;=Hypothèses!$V$7,Hypothèses!$W$7,IF(DL222&lt;=Hypothèses!$V$8,Hypothèses!$W$8,IF(DL222&lt;=Hypothèses!$V$9,Hypothèses!$W$9,IF(DL222&lt;=Hypothèses!$V$10,Hypothèses!$W$10,IF(DL222&lt;=Hypothèses!$V$11,Hypothèses!$W$11,IF(DL222&lt;=Hypothèses!$V$12,Hypothèses!$W$12,IF(DL222&lt;=Hypothèses!$V$13,Hypothèses!$W$13,IF(DL222&lt;=Hypothèses!$V$14,Hypothèses!$W$14,IF(DL222&lt;=Hypothèses!$V$15,Hypothèses!$W$15,IF(DL222&lt;=Hypothèses!$V$16,Hypothèses!$W$16,IF(DL222&lt;=Hypothèses!$V$17,Hypothèses!$W$17,IF(DL222&lt;=Hypothèses!$V$18,Hypothèses!$W$18,""))))))))))))</f>
        <v>#DIV/0!</v>
      </c>
      <c r="EG222" s="87" t="e">
        <f t="shared" ca="1" si="422"/>
        <v>#DIV/0!</v>
      </c>
      <c r="EH222" s="88" t="e">
        <f ca="1">IF(DL222&lt;=Hypothèses!$V$7,Hypothèses!$X$7,IF(DL222&lt;=Hypothèses!$V$8,Hypothèses!$X$8,IF(DL222&lt;=Hypothèses!$V$9,Hypothèses!$X$9,IF(DL222&lt;=Hypothèses!$V$10,Hypothèses!$X$10,IF(DL222&lt;=Hypothèses!$V$11,Hypothèses!$X$11,IF(DL222&lt;=Hypothèses!$V$12,Hypothèses!$X$12,IF(DL222&lt;=Hypothèses!$V$13,Hypothèses!$X$13,IF(DL222&lt;=Hypothèses!$V$14,Hypothèses!$X$14,IF(DL222&lt;=Hypothèses!$V$15,Hypothèses!$X$15,IF(DL222&lt;=Hypothèses!$V$16,Hypothèses!$X$16,IF(DL222&lt;=Hypothèses!$U$17,Hypothèses!$W$17,IF(DL222&lt;=Hypothèses!$U$18,Hypothèses!$W$18,""))))))))))))</f>
        <v>#DIV/0!</v>
      </c>
      <c r="EI222" s="95" t="e">
        <f t="shared" ca="1" si="393"/>
        <v>#DIV/0!</v>
      </c>
      <c r="EJ222" s="101">
        <f t="shared" si="429"/>
        <v>0</v>
      </c>
      <c r="EK222" s="91">
        <f t="shared" si="360"/>
        <v>0</v>
      </c>
      <c r="EL222" s="30" t="e">
        <f t="shared" si="412"/>
        <v>#N/A</v>
      </c>
      <c r="EM222" s="30" t="e">
        <f t="shared" si="413"/>
        <v>#N/A</v>
      </c>
      <c r="EN222" s="31" t="e">
        <f>IF(OR(Hypothèses!$B$4=17,Hypothèses!$B$4=18,Hypothèses!$B$4=19,Hypothèses!$B$4=20),
IF($D222="Pressio.",
IF(OR($E222=3,$E222=1,$E222=4),EM222,EL222),
IF($D222="Pénétro.",
IF(OR($E222=3,$E222=1,$E222=4),EM222,EL222))),IF($D222="Pressio.",
IF($E222=3,EM222,EL222),
IF($D222="Pénétro.",
IF($E222=4,EM222,EL222))))</f>
        <v>#N/A</v>
      </c>
      <c r="EO222" s="31">
        <v>0</v>
      </c>
      <c r="EP222" s="102" t="e">
        <f>IF(NDC!$H$10="Oui",(VLOOKUP($B$3,'Coeff EC7'!$T$39:$X$59,2,0)*EN222+VLOOKUP($B$3,'Coeff EC7'!$T$65:$X$85,2,0)*Model0.1T!EO222)/1.5,PI()*EL$12*$Q222*($B222-$B221)*0.15/10+EP221)</f>
        <v>#N/A</v>
      </c>
      <c r="EQ222" s="102" t="e">
        <f>(VLOOKUP($B$3,'Coeff EC7'!$T$39:$X$59,3,0)*EN222+VLOOKUP($B$3,'Coeff EC7'!$T$65:$X$85,3,0)*Model0.1T!EO222)/1.1</f>
        <v>#N/A</v>
      </c>
      <c r="ER222" s="102" t="e">
        <f t="shared" si="394"/>
        <v>#N/A</v>
      </c>
      <c r="ES222" s="102" t="e">
        <f t="shared" si="395"/>
        <v>#N/A</v>
      </c>
      <c r="ET222" s="414" t="e">
        <f>IF(AND(EP222&gt;NDC!$C$63,EQ222&gt;NDC!$C$65,ER222&gt;NDC!$D$73,ES222&gt;NDC!$D$74,$B222&gt;NDC!$H$22-0.1+MIN(3*ET$12,1.5)),0,1)</f>
        <v>#N/A</v>
      </c>
      <c r="EU222" s="86" t="b">
        <f t="shared" si="361"/>
        <v>0</v>
      </c>
      <c r="EV222" s="86">
        <f t="shared" si="362"/>
        <v>0.61</v>
      </c>
      <c r="EW222" s="86">
        <f t="shared" si="363"/>
        <v>0.61</v>
      </c>
      <c r="EX222" s="30" t="e">
        <f t="shared" ca="1" si="396"/>
        <v>#DIV/0!</v>
      </c>
      <c r="EY222" s="85" t="e">
        <f ca="1">IF(EE222&lt;=Hypothèses!$V$7,Hypothèses!$W$7,IF(EE222&lt;=Hypothèses!$V$8,Hypothèses!$W$8,IF(EE222&lt;=Hypothèses!$V$9,Hypothèses!$W$9,IF(EE222&lt;=Hypothèses!$V$10,Hypothèses!$W$10,IF(EE222&lt;=Hypothèses!$V$11,Hypothèses!$W$11,IF(EE222&lt;=Hypothèses!$V$12,Hypothèses!$W$12,IF(EE222&lt;=Hypothèses!$V$13,Hypothèses!$W$13,IF(EE222&lt;=Hypothèses!$V$14,Hypothèses!$W$14,IF(EE222&lt;=Hypothèses!$V$15,Hypothèses!$W$15,IF(EE222&lt;=Hypothèses!$V$16,Hypothèses!$W$16,IF(EE222&lt;=Hypothèses!$V$17,Hypothèses!$W$17,IF(EE222&lt;=Hypothèses!$V$18,Hypothèses!$W$18,""))))))))))))</f>
        <v>#DIV/0!</v>
      </c>
      <c r="EZ222" s="87" t="e">
        <f t="shared" ca="1" si="423"/>
        <v>#DIV/0!</v>
      </c>
      <c r="FA222" s="88" t="e">
        <f ca="1">IF(EE222&lt;=Hypothèses!$V$7,Hypothèses!$X$7,IF(EE222&lt;=Hypothèses!$V$8,Hypothèses!$X$8,IF(EE222&lt;=Hypothèses!$V$9,Hypothèses!$X$9,IF(EE222&lt;=Hypothèses!$V$10,Hypothèses!$X$10,IF(EE222&lt;=Hypothèses!$V$11,Hypothèses!$X$11,IF(EE222&lt;=Hypothèses!$V$12,Hypothèses!$X$12,IF(EE222&lt;=Hypothèses!$V$13,Hypothèses!$X$13,IF(EE222&lt;=Hypothèses!$V$14,Hypothèses!$X$14,IF(EE222&lt;=Hypothèses!$V$15,Hypothèses!$X$15,IF(EE222&lt;=Hypothèses!$V$16,Hypothèses!$X$16,IF(EE222&lt;=Hypothèses!$U$17,Hypothèses!$W$17,IF(EE222&lt;=Hypothèses!$U$18,Hypothèses!$W$18,""))))))))))))</f>
        <v>#DIV/0!</v>
      </c>
      <c r="FB222" s="95" t="e">
        <f t="shared" ca="1" si="397"/>
        <v>#DIV/0!</v>
      </c>
      <c r="FC222" s="101">
        <f t="shared" si="430"/>
        <v>0</v>
      </c>
      <c r="FD222" s="91">
        <f t="shared" si="364"/>
        <v>0</v>
      </c>
      <c r="FE222" s="30" t="e">
        <f t="shared" si="414"/>
        <v>#N/A</v>
      </c>
      <c r="FF222" s="30" t="e">
        <f t="shared" si="415"/>
        <v>#N/A</v>
      </c>
      <c r="FG222" s="31" t="e">
        <f>IF(OR(Hypothèses!$B$4=17,Hypothèses!$B$4=18,Hypothèses!$B$4=19,Hypothèses!$B$4=20),
IF($D222="Pressio.",
IF(OR($E222=3,$E222=1,$E222=4),FF222,FE222),
IF($D222="Pénétro.",
IF(OR($E222=3,$E222=1,$E222=4),FF222,FE222))),IF($D222="Pressio.",
IF($E222=3,FF222,FE222),
IF($D222="Pénétro.",
IF($E222=4,FF222,FE222))))</f>
        <v>#N/A</v>
      </c>
      <c r="FH222" s="31">
        <v>0</v>
      </c>
      <c r="FI222" s="102" t="e">
        <f>IF(NDC!$H$10="Oui",(VLOOKUP($B$3,'Coeff EC7'!$T$39:$X$59,2,0)*FG222+VLOOKUP($B$3,'Coeff EC7'!$T$65:$X$85,2,0)*Model0.1T!FH222)/1.5,PI()*FE$12*$Q222*($B222-$B221)*0.15/10+FI221)</f>
        <v>#N/A</v>
      </c>
      <c r="FJ222" s="102" t="e">
        <f>(VLOOKUP($B$3,'Coeff EC7'!$T$39:$X$59,3,0)*FG222+VLOOKUP($B$3,'Coeff EC7'!$T$65:$X$85,3,0)*Model0.1T!FH222)/1.1</f>
        <v>#N/A</v>
      </c>
      <c r="FK222" s="102" t="e">
        <f t="shared" si="398"/>
        <v>#N/A</v>
      </c>
      <c r="FL222" s="102" t="e">
        <f t="shared" si="399"/>
        <v>#N/A</v>
      </c>
      <c r="FM222" s="414" t="e">
        <f>IF(AND(FI222&gt;NDC!$C$63,FJ222&gt;NDC!$C$65,FK222&gt;NDC!$D$73,FL222&gt;NDC!$D$74,$B222&gt;NDC!$H$22-0.1+MIN(3*FM$12,1.5)),0,1)</f>
        <v>#N/A</v>
      </c>
    </row>
    <row r="223" spans="1:169">
      <c r="A223" s="96">
        <f t="shared" si="365"/>
        <v>79.000000000001194</v>
      </c>
      <c r="B223" s="97">
        <v>21</v>
      </c>
      <c r="C223" s="81">
        <f>IF(B223&lt;=Hypothèses!$C$7,Hypothèses!$A$7,IF(B223&lt;=Hypothèses!$C$8,Hypothèses!$A$8,IF(B223&lt;=Hypothèses!$C$9,Hypothèses!$A$9,IF(B223&lt;=Hypothèses!$C$10,Hypothèses!$A$10,IF(B223&lt;=Hypothèses!$C$11,Hypothèses!$A$11,IF(B223&lt;=Hypothèses!$C$12,Hypothèses!$A$12,IF(B223&lt;=Hypothèses!$C$13,Hypothèses!$A$13,IF(B223&lt;=Hypothèses!$C$14,Hypothèses!$A$14,IF(B223&lt;=Hypothèses!$C$15,Hypothèses!$A$15,IF(B223&lt;=Hypothèses!$C$16,Hypothèses!$A$16,IF(B223&lt;=Hypothèses!$C$17,Hypothèses!$A$17,IF(B223&lt;=Hypothèses!$C$18,Hypothèses!$A$18,C222))))))))))))</f>
        <v>11</v>
      </c>
      <c r="D223" s="82" t="str">
        <f>IF(B223&lt;=Hypothèses!$C$7,Hypothèses!$R$7,IF(B223&lt;=Hypothèses!$C$8,Hypothèses!$R$8,IF(B223&lt;=Hypothèses!$C$9,Hypothèses!$R$9,IF(B223&lt;=Hypothèses!$C$10,Hypothèses!$R$10,IF(B223&lt;=Hypothèses!$C$11,Hypothèses!$R$11,IF(B223&lt;=Hypothèses!$C$12,Hypothèses!$R$12,IF(B223&lt;=Hypothèses!$C$13,Hypothèses!$R$13,IF(B223&lt;=Hypothèses!$C$14,Hypothèses!$R$14,IF(B223&lt;=Hypothèses!$C$15,Hypothèses!$R$15,IF(B223&lt;=Hypothèses!$C$16,Hypothèses!$R$16,IF(B223&lt;=Hypothèses!$C$17,Hypothèses!$R$17,IF(B223&lt;=Hypothèses!$C$18,Hypothèses!$R$18,D222))))))))))))</f>
        <v>Pressio.</v>
      </c>
      <c r="E223" s="82" t="e">
        <f>IF(B223&lt;=Hypothèses!$C$7,Hypothèses!$G$7,IF(B223&lt;=Hypothèses!$C$8,Hypothèses!$G$8,IF(B223&lt;=Hypothèses!$C$9,Hypothèses!$G$9,IF(B223&lt;=Hypothèses!$C$10,Hypothèses!$G$10,IF(B223&lt;=Hypothèses!$C$11,Hypothèses!$G$11,IF(B223&lt;=Hypothèses!$C$12,Hypothèses!$G$12,IF(B223&lt;=Hypothèses!$C$13,Hypothèses!$G$13,IF(B223&lt;=Hypothèses!$C$14,Hypothèses!$G$14,IF(B223&lt;=Hypothèses!$C$15,Hypothèses!$G$15,IF(B223&lt;=Hypothèses!$C$16,Hypothèses!$G$16,IF(B223&lt;=Hypothèses!$C$17,Hypothèses!$G$17,IF(B223&lt;=Hypothèses!$C$18,Hypothèses!$G$18,E222))))))))))))</f>
        <v>#N/A</v>
      </c>
      <c r="F223" s="82" t="str">
        <f>IF(B223&lt;=Hypothèses!$C$7,Hypothèses!$F$7,IF(B223&lt;=Hypothèses!$C$8,Hypothèses!$F$8,IF(B223&lt;=Hypothèses!$C$9,Hypothèses!$F$9,IF(B223&lt;=Hypothèses!$C$10,Hypothèses!$F$10,IF(B223&lt;=Hypothèses!$C$11,Hypothèses!$F$11,IF(B223&lt;=Hypothèses!$C$12,Hypothèses!$F$12,IF(B223&lt;=Hypothèses!$C$13,Hypothèses!$F$13,IF(B223&lt;=Hypothèses!$C$14,Hypothèses!$F$14,IF(B223&lt;=Hypothèses!$C$15,Hypothèses!$F$15,IF(B223&lt;=Hypothèses!$C$16,Hypothèses!$F$16,IF(B223&lt;=Hypothèses!$C$17,Hypothèses!$F$17,IF(B223&lt;=Hypothèses!$C$18,Hypothèses!$F$18,F222))))))))))))</f>
        <v/>
      </c>
      <c r="G223" s="91">
        <f t="array" ref="G223">INDEX('Coeff EC7'!$U$7:$X$27,
MATCH(Model0.1T!$B$3,'Coeff EC7'!$T$7:$T$27,0),
MATCH(Model0.1T!$D223&amp;Model0.1T!$B$4,
'Coeff EC7'!$U$6:$X$6&amp;
'Coeff EC7'!$U$5:$X$5,0))</f>
        <v>1.4</v>
      </c>
      <c r="H223" s="91">
        <f t="array" ref="H223">INDEX('Coeff EC7'!$Y$7:$AB$27,
MATCH(Model0.1T!$B$3,'Coeff EC7'!$T$7:$T$27,0),
MATCH(Model0.1T!$D223&amp;Model0.1T!$B$4,
'Coeff EC7'!$Y$6:$AB$6&amp;
'Coeff EC7'!$Y$5:$AB$5,0))</f>
        <v>1.7</v>
      </c>
      <c r="I223" s="83">
        <v>0</v>
      </c>
      <c r="J223" s="91" t="e">
        <f t="array" ref="J223">INDEX('Coeff EC7'!$D$33:$Q$33,1,MATCH(D223&amp;E223,'Coeff EC7'!$D$31:$Q$31&amp;'Coeff EC7'!$D$32:$Q$32,0))</f>
        <v>#N/A</v>
      </c>
      <c r="K223" s="91" t="e">
        <f t="array" ref="K223">INDEX('Coeff EC7'!$D$34:$Q$34,1,MATCH(D223&amp;E223,'Coeff EC7'!$D$31:$Q$31&amp;'Coeff EC7'!$D$32:$Q$32,0))</f>
        <v>#N/A</v>
      </c>
      <c r="L223" s="91" t="e">
        <f t="array" ref="L223">INDEX('Coeff EC7'!$D$35:$Q$35,1,MATCH(D223&amp;E223,'Coeff EC7'!$D$31:$Q$31&amp;'Coeff EC7'!$D$32:$Q$32,0))</f>
        <v>#N/A</v>
      </c>
      <c r="M223" s="98" t="e">
        <f t="shared" si="331"/>
        <v>#N/A</v>
      </c>
      <c r="N223" s="99" t="e">
        <f t="array" ref="N223">INDEX('Coeff EC7'!$D$7:$Q$27,MATCH($B$3,'Coeff EC7'!$C$7:$C$27,0),MATCH(D223&amp;E223,'Coeff EC7'!$D$5:$Q$5&amp;'Coeff EC7'!$D$6:$Q$6,0))</f>
        <v>#N/A</v>
      </c>
      <c r="O223" s="99" t="e">
        <f t="array" ref="O223">INDEX('Coeff EC7'!$D$41:$Q$61,MATCH($B$3,'Coeff EC7'!$C$41:$C$61,0),MATCH(D223&amp;E223,'Coeff EC7'!$D$39:$Q$39&amp;'Coeff EC7'!$D$40:$Q$40,0))</f>
        <v>#N/A</v>
      </c>
      <c r="P223" s="30" t="e">
        <f t="shared" si="366"/>
        <v>#N/A</v>
      </c>
      <c r="Q223" s="100" t="e">
        <f t="shared" si="333"/>
        <v>#N/A</v>
      </c>
      <c r="R223" s="86" t="b">
        <f t="shared" si="334"/>
        <v>0</v>
      </c>
      <c r="S223" s="86">
        <f t="shared" si="332"/>
        <v>0.5</v>
      </c>
      <c r="T223" s="86">
        <f t="shared" si="335"/>
        <v>0.5</v>
      </c>
      <c r="U223" s="30" t="e">
        <f t="shared" ca="1" si="367"/>
        <v>#DIV/0!</v>
      </c>
      <c r="V223" s="85" t="str">
        <f>IF(B223&lt;=Hypothèses!$V$7,Hypothèses!$W$7,IF(B223&lt;=Hypothèses!$V$8,Hypothèses!$W$8,IF(B223&lt;=Hypothèses!$V$9,Hypothèses!$W$9,IF(B223&lt;=Hypothèses!$V$10,Hypothèses!$W$10,IF(B223&lt;=Hypothèses!$V$11,Hypothèses!$W$11,IF(B223&lt;=Hypothèses!$V$12,Hypothèses!$W$12,IF(B223&lt;=Hypothèses!$V$13,Hypothèses!$W$13,IF(B223&lt;=Hypothèses!$V$14,Hypothèses!$W$14,IF(B223&lt;=Hypothèses!$V$15,Hypothèses!$W$15,IF(B223&lt;=Hypothèses!$V$16,Hypothèses!$W$16,IF(B223&lt;=Hypothèses!$V$17,Hypothèses!$W$17,IF(B223&lt;=Hypothèses!$V$18,Hypothèses!$W$18,""))))))))))))</f>
        <v/>
      </c>
      <c r="W223" s="87" t="e">
        <f t="shared" ca="1" si="416"/>
        <v>#DIV/0!</v>
      </c>
      <c r="X223" s="88" t="str">
        <f>IF(B223&lt;=Hypothèses!$V$7,Hypothèses!$X$7,IF(B223&lt;=Hypothèses!$V$8,Hypothèses!$X$8,IF(B223&lt;=Hypothèses!$V$9,Hypothèses!$X$9,IF(B223&lt;=Hypothèses!$V$10,Hypothèses!$X$10,IF(B223&lt;=Hypothèses!$V$11,Hypothèses!$X$11,IF(B223&lt;=Hypothèses!$V$12,Hypothèses!$X$12,IF(B223&lt;=Hypothèses!$V$13,Hypothèses!$X$13,IF(B223&lt;=Hypothèses!$V$14,Hypothèses!$X$14,IF(B223&lt;=Hypothèses!$V$15,Hypothèses!$X$15,IF(B223&lt;=Hypothèses!$V$16,Hypothèses!$X$16,IF(B223&lt;=Hypothèses!$U$17,Hypothèses!$W$17,IF(B223&lt;=Hypothèses!$U$18,Hypothèses!$W$18,""))))))))))))</f>
        <v/>
      </c>
      <c r="Y223" s="95" t="e">
        <f t="shared" ca="1" si="336"/>
        <v>#DIV/0!</v>
      </c>
      <c r="Z223" s="101">
        <f t="shared" si="337"/>
        <v>0</v>
      </c>
      <c r="AA223" s="91">
        <f t="shared" si="338"/>
        <v>0</v>
      </c>
      <c r="AB223" s="30" t="e">
        <f t="shared" si="400"/>
        <v>#N/A</v>
      </c>
      <c r="AC223" s="30" t="e">
        <f t="shared" si="401"/>
        <v>#N/A</v>
      </c>
      <c r="AD223" s="31" t="e">
        <f>IF(OR(Hypothèses!$B$4=17,Hypothèses!$B$4=18,Hypothèses!$B$4=19,Hypothèses!$B$4=20),
IF($D223="Pressio.",
IF(OR($E223=3,$E223=1,$E223=4),AC223,AB223),
IF($D223="Pénétro.",
IF(OR($E223=3,$E223=1,$E223=4),AC223,AB223))),IF($D223="Pressio.",
IF($E223=3,AC223,AB223),
IF($D223="Pénétro.",
IF($E223=4,AC223,AB223))))</f>
        <v>#N/A</v>
      </c>
      <c r="AE223" s="31">
        <v>0</v>
      </c>
      <c r="AF223" s="102" t="e">
        <f>IF(NDC!$H$10="Oui",(VLOOKUP($B$3,'Coeff EC7'!$T$39:$X$59,2,0)*AD223+VLOOKUP($B$3,'Coeff EC7'!$T$65:$X$85,2,0)*Model0.1T!AE223)/1.5,PI()*AB$12*$Q223*($B223-$B222)*0.15/10+AF222)</f>
        <v>#N/A</v>
      </c>
      <c r="AG223" s="102" t="e">
        <f>(VLOOKUP($B$3,'Coeff EC7'!$T$39:$X$59,3,0)*AD223+VLOOKUP($B$3,'Coeff EC7'!$T$65:$X$85,3,0)*Model0.1T!AE223)/1.1</f>
        <v>#N/A</v>
      </c>
      <c r="AH223" s="102" t="e">
        <f t="shared" si="368"/>
        <v>#N/A</v>
      </c>
      <c r="AI223" s="102" t="e">
        <f t="shared" si="369"/>
        <v>#N/A</v>
      </c>
      <c r="AJ223" s="414" t="e">
        <f>IF(AND(AF223&gt;NDC!$C$63,AG223&gt;NDC!$C$65,AH223&gt;NDC!$D$73,AI223&gt;NDC!$D$74,$B223&gt;NDC!$H$22-0.1+MIN(3*$AJ$12,1.5)),0,1)</f>
        <v>#N/A</v>
      </c>
      <c r="AK223" s="86" t="b">
        <f t="shared" si="339"/>
        <v>0</v>
      </c>
      <c r="AL223" s="86">
        <f t="shared" si="370"/>
        <v>0.5</v>
      </c>
      <c r="AM223" s="86">
        <f t="shared" si="340"/>
        <v>0.5</v>
      </c>
      <c r="AN223" s="30" t="e">
        <f t="shared" ca="1" si="371"/>
        <v>#DIV/0!</v>
      </c>
      <c r="AO223" s="85" t="e">
        <f ca="1">IF(U223&lt;=Hypothèses!$V$7,Hypothèses!$W$7,IF(U223&lt;=Hypothèses!$V$8,Hypothèses!$W$8,IF(U223&lt;=Hypothèses!$V$9,Hypothèses!$W$9,IF(U223&lt;=Hypothèses!$V$10,Hypothèses!$W$10,IF(U223&lt;=Hypothèses!$V$11,Hypothèses!$W$11,IF(U223&lt;=Hypothèses!$V$12,Hypothèses!$W$12,IF(U223&lt;=Hypothèses!$V$13,Hypothèses!$W$13,IF(U223&lt;=Hypothèses!$V$14,Hypothèses!$W$14,IF(U223&lt;=Hypothèses!$V$15,Hypothèses!$W$15,IF(U223&lt;=Hypothèses!$V$16,Hypothèses!$W$16,IF(U223&lt;=Hypothèses!$V$17,Hypothèses!$W$17,IF(U223&lt;=Hypothèses!$V$18,Hypothèses!$W$18,""))))))))))))</f>
        <v>#DIV/0!</v>
      </c>
      <c r="AP223" s="87" t="e">
        <f t="shared" ca="1" si="417"/>
        <v>#DIV/0!</v>
      </c>
      <c r="AQ223" s="88" t="e">
        <f ca="1">IF(U223&lt;=Hypothèses!$V$7,Hypothèses!$X$7,IF(U223&lt;=Hypothèses!$V$8,Hypothèses!$X$8,IF(U223&lt;=Hypothèses!$V$9,Hypothèses!$X$9,IF(U223&lt;=Hypothèses!$V$10,Hypothèses!$X$10,IF(U223&lt;=Hypothèses!$V$11,Hypothèses!$X$11,IF(U223&lt;=Hypothèses!$V$12,Hypothèses!$X$12,IF(U223&lt;=Hypothèses!$V$13,Hypothèses!$X$13,IF(U223&lt;=Hypothèses!$V$14,Hypothèses!$X$14,IF(U223&lt;=Hypothèses!$V$15,Hypothèses!$X$15,IF(U223&lt;=Hypothèses!$V$16,Hypothèses!$X$16,IF(U223&lt;=Hypothèses!$U$17,Hypothèses!$W$17,IF(U223&lt;=Hypothèses!$U$18,Hypothèses!$W$18,""))))))))))))</f>
        <v>#DIV/0!</v>
      </c>
      <c r="AR223" s="95" t="e">
        <f t="shared" ca="1" si="372"/>
        <v>#DIV/0!</v>
      </c>
      <c r="AS223" s="101">
        <f t="shared" si="424"/>
        <v>0</v>
      </c>
      <c r="AT223" s="91">
        <f t="shared" si="341"/>
        <v>0</v>
      </c>
      <c r="AU223" s="30" t="e">
        <f t="shared" si="402"/>
        <v>#N/A</v>
      </c>
      <c r="AV223" s="30" t="e">
        <f t="shared" si="403"/>
        <v>#N/A</v>
      </c>
      <c r="AW223" s="31" t="e">
        <f>IF(OR(Hypothèses!$B$4=17,Hypothèses!$B$4=18,Hypothèses!$B$4=19,Hypothèses!$B$4=20),
IF($D223="Pressio.",
IF(OR($E223=3,$E223=1,$E223=4),AV223,AU223),
IF($D223="Pénétro.",
IF(OR($E223=3,$E223=1,$E223=4),AV223,AU223))),IF($D223="Pressio.",
IF($E223=3,AV223,AU223),
IF($D223="Pénétro.",
IF($E223=4,AV223,AU223))))</f>
        <v>#N/A</v>
      </c>
      <c r="AX223" s="31">
        <v>0</v>
      </c>
      <c r="AY223" s="102" t="e">
        <f>IF(NDC!$H$10="Oui",(VLOOKUP($B$3,'Coeff EC7'!$T$39:$X$59,2,0)*AW223+VLOOKUP($B$3,'Coeff EC7'!$T$65:$X$85,2,0)*Model0.1T!AX223)/1.5,PI()*AU$12*$Q223*($B223-$B222)*0.15/10+AY222)</f>
        <v>#N/A</v>
      </c>
      <c r="AZ223" s="102" t="e">
        <f>(VLOOKUP($B$3,'Coeff EC7'!$T$39:$X$59,3,0)*AW223+VLOOKUP($B$3,'Coeff EC7'!$T$65:$X$85,3,0)*Model0.1T!AX223)/1.1</f>
        <v>#N/A</v>
      </c>
      <c r="BA223" s="102" t="e">
        <f t="shared" si="373"/>
        <v>#N/A</v>
      </c>
      <c r="BB223" s="102" t="e">
        <f t="shared" si="374"/>
        <v>#N/A</v>
      </c>
      <c r="BC223" s="414" t="e">
        <f>IF(AND(AY223&gt;NDC!$C$63,AZ223&gt;NDC!$C$65,BA223&gt;NDC!$D$73,BB223&gt;NDC!$D$74,$B223&gt;NDC!$H$22-0.1+MIN(3*BC$12,1.5)),0,1)</f>
        <v>#N/A</v>
      </c>
      <c r="BD223" s="86" t="b">
        <f t="shared" si="342"/>
        <v>0</v>
      </c>
      <c r="BE223" s="86">
        <f t="shared" si="375"/>
        <v>0.5</v>
      </c>
      <c r="BF223" s="86">
        <f t="shared" si="343"/>
        <v>0.5</v>
      </c>
      <c r="BG223" s="30" t="e">
        <f t="shared" ca="1" si="376"/>
        <v>#DIV/0!</v>
      </c>
      <c r="BH223" s="85" t="e">
        <f ca="1">IF(AN223&lt;=Hypothèses!$V$7,Hypothèses!$W$7,IF(AN223&lt;=Hypothèses!$V$8,Hypothèses!$W$8,IF(AN223&lt;=Hypothèses!$V$9,Hypothèses!$W$9,IF(AN223&lt;=Hypothèses!$V$10,Hypothèses!$W$10,IF(AN223&lt;=Hypothèses!$V$11,Hypothèses!$W$11,IF(AN223&lt;=Hypothèses!$V$12,Hypothèses!$W$12,IF(AN223&lt;=Hypothèses!$V$13,Hypothèses!$W$13,IF(AN223&lt;=Hypothèses!$V$14,Hypothèses!$W$14,IF(AN223&lt;=Hypothèses!$V$15,Hypothèses!$W$15,IF(AN223&lt;=Hypothèses!$V$16,Hypothèses!$W$16,IF(AN223&lt;=Hypothèses!$V$17,Hypothèses!$W$17,IF(AN223&lt;=Hypothèses!$V$18,Hypothèses!$W$18,""))))))))))))</f>
        <v>#DIV/0!</v>
      </c>
      <c r="BI223" s="87" t="e">
        <f t="shared" ca="1" si="418"/>
        <v>#DIV/0!</v>
      </c>
      <c r="BJ223" s="88" t="e">
        <f ca="1">IF(AN223&lt;=Hypothèses!$V$7,Hypothèses!$X$7,IF(AN223&lt;=Hypothèses!$V$8,Hypothèses!$X$8,IF(AN223&lt;=Hypothèses!$V$9,Hypothèses!$X$9,IF(AN223&lt;=Hypothèses!$V$10,Hypothèses!$X$10,IF(AN223&lt;=Hypothèses!$V$11,Hypothèses!$X$11,IF(AN223&lt;=Hypothèses!$V$12,Hypothèses!$X$12,IF(AN223&lt;=Hypothèses!$V$13,Hypothèses!$X$13,IF(AN223&lt;=Hypothèses!$V$14,Hypothèses!$X$14,IF(AN223&lt;=Hypothèses!$V$15,Hypothèses!$X$15,IF(AN223&lt;=Hypothèses!$V$16,Hypothèses!$X$16,IF(AN223&lt;=Hypothèses!$U$17,Hypothèses!$W$17,IF(AN223&lt;=Hypothèses!$U$18,Hypothèses!$W$18,""))))))))))))</f>
        <v>#DIV/0!</v>
      </c>
      <c r="BK223" s="95" t="e">
        <f t="shared" ca="1" si="377"/>
        <v>#DIV/0!</v>
      </c>
      <c r="BL223" s="101">
        <f t="shared" si="425"/>
        <v>0</v>
      </c>
      <c r="BM223" s="91">
        <f t="shared" si="344"/>
        <v>0</v>
      </c>
      <c r="BN223" s="30" t="e">
        <f t="shared" si="404"/>
        <v>#N/A</v>
      </c>
      <c r="BO223" s="30" t="e">
        <f t="shared" si="405"/>
        <v>#N/A</v>
      </c>
      <c r="BP223" s="31" t="e">
        <f>IF(OR(Hypothèses!$B$4=17,Hypothèses!$B$4=18,Hypothèses!$B$4=19,Hypothèses!$B$4=20),
IF($D223="Pressio.",
IF(OR($E223=3,$E223=1,$E223=4),BO223,BN223),
IF($D223="Pénétro.",
IF(OR($E223=3,$E223=1,$E223=4),BO223,BN223))),IF($D223="Pressio.",
IF($E223=3,BO223,BN223),
IF($D223="Pénétro.",
IF($E223=4,BO223,BN223))))</f>
        <v>#N/A</v>
      </c>
      <c r="BQ223" s="31">
        <v>0</v>
      </c>
      <c r="BR223" s="102" t="e">
        <f>IF(NDC!$H$10="Oui",(VLOOKUP($B$3,'Coeff EC7'!$T$39:$X$59,2,0)*BP223+VLOOKUP($B$3,'Coeff EC7'!$T$65:$X$85,2,0)*Model0.1T!BQ223)/1.5,PI()*BN$12*$Q223*($B223-$B222)*0.15/10+BR222)</f>
        <v>#N/A</v>
      </c>
      <c r="BS223" s="102" t="e">
        <f>(VLOOKUP($B$3,'Coeff EC7'!$T$39:$X$59,3,0)*BP223+VLOOKUP($B$3,'Coeff EC7'!$T$65:$X$85,3,0)*Model0.1T!BQ223)/1.1</f>
        <v>#N/A</v>
      </c>
      <c r="BT223" s="102" t="e">
        <f t="shared" si="378"/>
        <v>#N/A</v>
      </c>
      <c r="BU223" s="102" t="e">
        <f t="shared" si="379"/>
        <v>#N/A</v>
      </c>
      <c r="BV223" s="414" t="e">
        <f>IF(AND(BR223&gt;NDC!$C$63,BS223&gt;NDC!$C$65,BT223&gt;NDC!$D$73,BU223&gt;NDC!$D$74,$B223&gt;NDC!$H$22-0.1+MIN(3*BV$12,1.5)),0,1)</f>
        <v>#N/A</v>
      </c>
      <c r="BW223" s="86" t="b">
        <f t="shared" si="345"/>
        <v>0</v>
      </c>
      <c r="BX223" s="86">
        <f t="shared" si="346"/>
        <v>0.5</v>
      </c>
      <c r="BY223" s="86">
        <f t="shared" si="347"/>
        <v>0.5</v>
      </c>
      <c r="BZ223" s="30" t="e">
        <f t="shared" ca="1" si="380"/>
        <v>#DIV/0!</v>
      </c>
      <c r="CA223" s="85" t="e">
        <f ca="1">IF(BG223&lt;=Hypothèses!$V$7,Hypothèses!$W$7,IF(BG223&lt;=Hypothèses!$V$8,Hypothèses!$W$8,IF(BG223&lt;=Hypothèses!$V$9,Hypothèses!$W$9,IF(BG223&lt;=Hypothèses!$V$10,Hypothèses!$W$10,IF(BG223&lt;=Hypothèses!$V$11,Hypothèses!$W$11,IF(BG223&lt;=Hypothèses!$V$12,Hypothèses!$W$12,IF(BG223&lt;=Hypothèses!$V$13,Hypothèses!$W$13,IF(BG223&lt;=Hypothèses!$V$14,Hypothèses!$W$14,IF(BG223&lt;=Hypothèses!$V$15,Hypothèses!$W$15,IF(BG223&lt;=Hypothèses!$V$16,Hypothèses!$W$16,IF(BG223&lt;=Hypothèses!$V$17,Hypothèses!$W$17,IF(BG223&lt;=Hypothèses!$V$18,Hypothèses!$W$18,""))))))))))))</f>
        <v>#DIV/0!</v>
      </c>
      <c r="CB223" s="87" t="e">
        <f t="shared" ca="1" si="419"/>
        <v>#DIV/0!</v>
      </c>
      <c r="CC223" s="88" t="e">
        <f ca="1">IF(BG223&lt;=Hypothèses!$V$7,Hypothèses!$X$7,IF(BG223&lt;=Hypothèses!$V$8,Hypothèses!$X$8,IF(BG223&lt;=Hypothèses!$V$9,Hypothèses!$X$9,IF(BG223&lt;=Hypothèses!$V$10,Hypothèses!$X$10,IF(BG223&lt;=Hypothèses!$V$11,Hypothèses!$X$11,IF(BG223&lt;=Hypothèses!$V$12,Hypothèses!$X$12,IF(BG223&lt;=Hypothèses!$V$13,Hypothèses!$X$13,IF(BG223&lt;=Hypothèses!$V$14,Hypothèses!$X$14,IF(BG223&lt;=Hypothèses!$V$15,Hypothèses!$X$15,IF(BG223&lt;=Hypothèses!$V$16,Hypothèses!$X$16,IF(BG223&lt;=Hypothèses!$U$17,Hypothèses!$W$17,IF(BG223&lt;=Hypothèses!$U$18,Hypothèses!$W$18,""))))))))))))</f>
        <v>#DIV/0!</v>
      </c>
      <c r="CD223" s="95" t="e">
        <f t="shared" ca="1" si="381"/>
        <v>#DIV/0!</v>
      </c>
      <c r="CE223" s="101">
        <f t="shared" si="426"/>
        <v>0</v>
      </c>
      <c r="CF223" s="91">
        <f t="shared" si="348"/>
        <v>0</v>
      </c>
      <c r="CG223" s="30" t="e">
        <f t="shared" si="406"/>
        <v>#N/A</v>
      </c>
      <c r="CH223" s="30" t="e">
        <f t="shared" si="407"/>
        <v>#N/A</v>
      </c>
      <c r="CI223" s="31" t="e">
        <f>IF(OR(Hypothèses!$B$4=17,Hypothèses!$B$4=18,Hypothèses!$B$4=19,Hypothèses!$B$4=20),
IF($D223="Pressio.",
IF(OR($E223=3,$E223=1,$E223=4),CH223,CG223),
IF($D223="Pénétro.",
IF(OR($E223=3,$E223=1,$E223=4),CH223,CG223))),IF($D223="Pressio.",
IF($E223=3,CH223,CG223),
IF($D223="Pénétro.",
IF($E223=4,CH223,CG223))))</f>
        <v>#N/A</v>
      </c>
      <c r="CJ223" s="31">
        <v>0</v>
      </c>
      <c r="CK223" s="102" t="e">
        <f>IF(NDC!$H$10="Oui",(VLOOKUP($B$3,'Coeff EC7'!$T$39:$X$59,2,0)*CI223+VLOOKUP($B$3,'Coeff EC7'!$T$65:$X$85,2,0)*Model0.1T!CJ223)/1.5,PI()*CG$12*$Q223*($B223-$B222)*0.15/10+CK222)</f>
        <v>#N/A</v>
      </c>
      <c r="CL223" s="102" t="e">
        <f>(VLOOKUP($B$3,'Coeff EC7'!$T$39:$X$59,3,0)*CI223+VLOOKUP($B$3,'Coeff EC7'!$T$65:$X$85,3,0)*Model0.1T!CJ223)/1.1</f>
        <v>#N/A</v>
      </c>
      <c r="CM223" s="102" t="e">
        <f t="shared" si="382"/>
        <v>#N/A</v>
      </c>
      <c r="CN223" s="102" t="e">
        <f t="shared" si="383"/>
        <v>#N/A</v>
      </c>
      <c r="CO223" s="414" t="e">
        <f>IF(AND(CK223&gt;NDC!$C$63,CL223&gt;NDC!$C$65,CM223&gt;NDC!$D$73,CN223&gt;NDC!$D$74,$B223&gt;NDC!$H$22-0.1+MIN(3*CO$12,1.5)),0,1)</f>
        <v>#N/A</v>
      </c>
      <c r="CP223" s="86" t="b">
        <f t="shared" si="349"/>
        <v>0</v>
      </c>
      <c r="CQ223" s="86">
        <f t="shared" si="350"/>
        <v>0.5</v>
      </c>
      <c r="CR223" s="86">
        <f t="shared" si="351"/>
        <v>0.5</v>
      </c>
      <c r="CS223" s="30" t="e">
        <f t="shared" ca="1" si="384"/>
        <v>#DIV/0!</v>
      </c>
      <c r="CT223" s="85" t="e">
        <f ca="1">IF(BZ223&lt;=Hypothèses!$V$7,Hypothèses!$W$7,IF(BZ223&lt;=Hypothèses!$V$8,Hypothèses!$W$8,IF(BZ223&lt;=Hypothèses!$V$9,Hypothèses!$W$9,IF(BZ223&lt;=Hypothèses!$V$10,Hypothèses!$W$10,IF(BZ223&lt;=Hypothèses!$V$11,Hypothèses!$W$11,IF(BZ223&lt;=Hypothèses!$V$12,Hypothèses!$W$12,IF(BZ223&lt;=Hypothèses!$V$13,Hypothèses!$W$13,IF(BZ223&lt;=Hypothèses!$V$14,Hypothèses!$W$14,IF(BZ223&lt;=Hypothèses!$V$15,Hypothèses!$W$15,IF(BZ223&lt;=Hypothèses!$V$16,Hypothèses!$W$16,IF(BZ223&lt;=Hypothèses!$V$17,Hypothèses!$W$17,IF(BZ223&lt;=Hypothèses!$V$18,Hypothèses!$W$18,""))))))))))))</f>
        <v>#DIV/0!</v>
      </c>
      <c r="CU223" s="87" t="e">
        <f t="shared" ca="1" si="420"/>
        <v>#DIV/0!</v>
      </c>
      <c r="CV223" s="88" t="e">
        <f ca="1">IF(BZ223&lt;=Hypothèses!$V$7,Hypothèses!$X$7,IF(BZ223&lt;=Hypothèses!$V$8,Hypothèses!$X$8,IF(BZ223&lt;=Hypothèses!$V$9,Hypothèses!$X$9,IF(BZ223&lt;=Hypothèses!$V$10,Hypothèses!$X$10,IF(BZ223&lt;=Hypothèses!$V$11,Hypothèses!$X$11,IF(BZ223&lt;=Hypothèses!$V$12,Hypothèses!$X$12,IF(BZ223&lt;=Hypothèses!$V$13,Hypothèses!$X$13,IF(BZ223&lt;=Hypothèses!$V$14,Hypothèses!$X$14,IF(BZ223&lt;=Hypothèses!$V$15,Hypothèses!$X$15,IF(BZ223&lt;=Hypothèses!$V$16,Hypothèses!$X$16,IF(BZ223&lt;=Hypothèses!$U$17,Hypothèses!$W$17,IF(BZ223&lt;=Hypothèses!$U$18,Hypothèses!$W$18,""))))))))))))</f>
        <v>#DIV/0!</v>
      </c>
      <c r="CW223" s="95" t="e">
        <f t="shared" ca="1" si="385"/>
        <v>#DIV/0!</v>
      </c>
      <c r="CX223" s="101">
        <f t="shared" si="427"/>
        <v>0</v>
      </c>
      <c r="CY223" s="91">
        <f t="shared" si="352"/>
        <v>0</v>
      </c>
      <c r="CZ223" s="30" t="e">
        <f t="shared" si="408"/>
        <v>#N/A</v>
      </c>
      <c r="DA223" s="30" t="e">
        <f t="shared" si="409"/>
        <v>#N/A</v>
      </c>
      <c r="DB223" s="31" t="e">
        <f>IF(OR(Hypothèses!$B$4=17,Hypothèses!$B$4=18,Hypothèses!$B$4=19,Hypothèses!$B$4=20),
IF($D223="Pressio.",
IF(OR($E223=3,$E223=1,$E223=4),DA223,CZ223),
IF($D223="Pénétro.",
IF(OR($E223=3,$E223=1,$E223=4),DA223,CZ223))),IF($D223="Pressio.",
IF($E223=3,DA223,CZ223),
IF($D223="Pénétro.",
IF($E223=4,DA223,CZ223))))</f>
        <v>#N/A</v>
      </c>
      <c r="DC223" s="31">
        <v>0</v>
      </c>
      <c r="DD223" s="102" t="e">
        <f>IF(NDC!$H$10="Oui",(VLOOKUP($B$3,'Coeff EC7'!$T$39:$X$59,2,0)*DB223+VLOOKUP($B$3,'Coeff EC7'!$T$65:$X$85,2,0)*Model0.1T!DC223)/1.5,PI()*CZ$12*$Q223*($B223-$B222)*0.15/10+DD222)</f>
        <v>#N/A</v>
      </c>
      <c r="DE223" s="102" t="e">
        <f>(VLOOKUP($B$3,'Coeff EC7'!$T$39:$X$59,3,0)*DB223+VLOOKUP($B$3,'Coeff EC7'!$T$65:$X$85,3,0)*Model0.1T!DC223)/1.1</f>
        <v>#N/A</v>
      </c>
      <c r="DF223" s="102" t="e">
        <f t="shared" si="386"/>
        <v>#N/A</v>
      </c>
      <c r="DG223" s="102" t="e">
        <f t="shared" si="387"/>
        <v>#N/A</v>
      </c>
      <c r="DH223" s="414" t="e">
        <f>IF(AND(DD223&gt;NDC!$C$63,DE223&gt;NDC!$C$65,DF223&gt;NDC!$D$73,DG223&gt;NDC!$D$74,$B223&gt;NDC!$H$22-0.1+MIN(3*DH$12,1.5)),0,1)</f>
        <v>#N/A</v>
      </c>
      <c r="DI223" s="86" t="b">
        <f t="shared" si="353"/>
        <v>0</v>
      </c>
      <c r="DJ223" s="86">
        <f t="shared" si="354"/>
        <v>0.5</v>
      </c>
      <c r="DK223" s="86">
        <f t="shared" si="355"/>
        <v>0.5</v>
      </c>
      <c r="DL223" s="30" t="e">
        <f t="shared" ca="1" si="388"/>
        <v>#DIV/0!</v>
      </c>
      <c r="DM223" s="85" t="e">
        <f ca="1">IF(CS223&lt;=Hypothèses!$V$7,Hypothèses!$W$7,IF(CS223&lt;=Hypothèses!$V$8,Hypothèses!$W$8,IF(CS223&lt;=Hypothèses!$V$9,Hypothèses!$W$9,IF(CS223&lt;=Hypothèses!$V$10,Hypothèses!$W$10,IF(CS223&lt;=Hypothèses!$V$11,Hypothèses!$W$11,IF(CS223&lt;=Hypothèses!$V$12,Hypothèses!$W$12,IF(CS223&lt;=Hypothèses!$V$13,Hypothèses!$W$13,IF(CS223&lt;=Hypothèses!$V$14,Hypothèses!$W$14,IF(CS223&lt;=Hypothèses!$V$15,Hypothèses!$W$15,IF(CS223&lt;=Hypothèses!$V$16,Hypothèses!$W$16,IF(CS223&lt;=Hypothèses!$V$17,Hypothèses!$W$17,IF(CS223&lt;=Hypothèses!$V$18,Hypothèses!$W$18,""))))))))))))</f>
        <v>#DIV/0!</v>
      </c>
      <c r="DN223" s="87" t="e">
        <f t="shared" ca="1" si="421"/>
        <v>#DIV/0!</v>
      </c>
      <c r="DO223" s="88" t="e">
        <f ca="1">IF(CS223&lt;=Hypothèses!$V$7,Hypothèses!$X$7,IF(CS223&lt;=Hypothèses!$V$8,Hypothèses!$X$8,IF(CS223&lt;=Hypothèses!$V$9,Hypothèses!$X$9,IF(CS223&lt;=Hypothèses!$V$10,Hypothèses!$X$10,IF(CS223&lt;=Hypothèses!$V$11,Hypothèses!$X$11,IF(CS223&lt;=Hypothèses!$V$12,Hypothèses!$X$12,IF(CS223&lt;=Hypothèses!$V$13,Hypothèses!$X$13,IF(CS223&lt;=Hypothèses!$V$14,Hypothèses!$X$14,IF(CS223&lt;=Hypothèses!$V$15,Hypothèses!$X$15,IF(CS223&lt;=Hypothèses!$V$16,Hypothèses!$X$16,IF(CS223&lt;=Hypothèses!$U$17,Hypothèses!$W$17,IF(CS223&lt;=Hypothèses!$U$18,Hypothèses!$W$18,""))))))))))))</f>
        <v>#DIV/0!</v>
      </c>
      <c r="DP223" s="95" t="e">
        <f t="shared" ca="1" si="389"/>
        <v>#DIV/0!</v>
      </c>
      <c r="DQ223" s="101">
        <f t="shared" si="428"/>
        <v>0</v>
      </c>
      <c r="DR223" s="91">
        <f t="shared" si="356"/>
        <v>0</v>
      </c>
      <c r="DS223" s="30" t="e">
        <f t="shared" si="410"/>
        <v>#N/A</v>
      </c>
      <c r="DT223" s="30" t="e">
        <f t="shared" si="411"/>
        <v>#N/A</v>
      </c>
      <c r="DU223" s="31" t="e">
        <f>IF(OR(Hypothèses!$B$4=17,Hypothèses!$B$4=18,Hypothèses!$B$4=19,Hypothèses!$B$4=20),
IF($D223="Pressio.",
IF(OR($E223=3,$E223=1,$E223=4),DT223,DS223),
IF($D223="Pénétro.",
IF(OR($E223=3,$E223=1,$E223=4),DT223,DS223))),IF($D223="Pressio.",
IF($E223=3,DT223,DS223),
IF($D223="Pénétro.",
IF($E223=4,DT223,DS223))))</f>
        <v>#N/A</v>
      </c>
      <c r="DV223" s="31">
        <v>0</v>
      </c>
      <c r="DW223" s="102" t="e">
        <f>IF(NDC!$H$10="Oui",(VLOOKUP($B$3,'Coeff EC7'!$T$39:$X$59,2,0)*DU223+VLOOKUP($B$3,'Coeff EC7'!$T$65:$X$85,2,0)*Model0.1T!DV223)/1.5,PI()*DS$12*$Q223*($B223-$B222)*0.15/10+DW222)</f>
        <v>#N/A</v>
      </c>
      <c r="DX223" s="102" t="e">
        <f>(VLOOKUP($B$3,'Coeff EC7'!$T$39:$X$59,3,0)*DU223+VLOOKUP($B$3,'Coeff EC7'!$T$65:$X$85,3,0)*Model0.1T!DV223)/1.1</f>
        <v>#N/A</v>
      </c>
      <c r="DY223" s="102" t="e">
        <f t="shared" si="390"/>
        <v>#N/A</v>
      </c>
      <c r="DZ223" s="102" t="e">
        <f t="shared" si="391"/>
        <v>#N/A</v>
      </c>
      <c r="EA223" s="414" t="e">
        <f>IF(AND(DW223&gt;NDC!$C$63,DX223&gt;NDC!$C$65,DY223&gt;NDC!$D$73,DZ223&gt;NDC!$D$74,$B223&gt;NDC!$H$22-0.1+MIN(3*EA$12,1.5)),0,1)</f>
        <v>#N/A</v>
      </c>
      <c r="EB223" s="86" t="b">
        <f t="shared" si="357"/>
        <v>0</v>
      </c>
      <c r="EC223" s="418">
        <f t="shared" si="358"/>
        <v>0.51</v>
      </c>
      <c r="ED223" s="86">
        <f t="shared" si="359"/>
        <v>0.51</v>
      </c>
      <c r="EE223" s="30" t="e">
        <f t="shared" ca="1" si="392"/>
        <v>#DIV/0!</v>
      </c>
      <c r="EF223" s="85" t="e">
        <f ca="1">IF(DL223&lt;=Hypothèses!$V$7,Hypothèses!$W$7,IF(DL223&lt;=Hypothèses!$V$8,Hypothèses!$W$8,IF(DL223&lt;=Hypothèses!$V$9,Hypothèses!$W$9,IF(DL223&lt;=Hypothèses!$V$10,Hypothèses!$W$10,IF(DL223&lt;=Hypothèses!$V$11,Hypothèses!$W$11,IF(DL223&lt;=Hypothèses!$V$12,Hypothèses!$W$12,IF(DL223&lt;=Hypothèses!$V$13,Hypothèses!$W$13,IF(DL223&lt;=Hypothèses!$V$14,Hypothèses!$W$14,IF(DL223&lt;=Hypothèses!$V$15,Hypothèses!$W$15,IF(DL223&lt;=Hypothèses!$V$16,Hypothèses!$W$16,IF(DL223&lt;=Hypothèses!$V$17,Hypothèses!$W$17,IF(DL223&lt;=Hypothèses!$V$18,Hypothèses!$W$18,""))))))))))))</f>
        <v>#DIV/0!</v>
      </c>
      <c r="EG223" s="87" t="e">
        <f t="shared" ca="1" si="422"/>
        <v>#DIV/0!</v>
      </c>
      <c r="EH223" s="88" t="e">
        <f ca="1">IF(DL223&lt;=Hypothèses!$V$7,Hypothèses!$X$7,IF(DL223&lt;=Hypothèses!$V$8,Hypothèses!$X$8,IF(DL223&lt;=Hypothèses!$V$9,Hypothèses!$X$9,IF(DL223&lt;=Hypothèses!$V$10,Hypothèses!$X$10,IF(DL223&lt;=Hypothèses!$V$11,Hypothèses!$X$11,IF(DL223&lt;=Hypothèses!$V$12,Hypothèses!$X$12,IF(DL223&lt;=Hypothèses!$V$13,Hypothèses!$X$13,IF(DL223&lt;=Hypothèses!$V$14,Hypothèses!$X$14,IF(DL223&lt;=Hypothèses!$V$15,Hypothèses!$X$15,IF(DL223&lt;=Hypothèses!$V$16,Hypothèses!$X$16,IF(DL223&lt;=Hypothèses!$U$17,Hypothèses!$W$17,IF(DL223&lt;=Hypothèses!$U$18,Hypothèses!$W$18,""))))))))))))</f>
        <v>#DIV/0!</v>
      </c>
      <c r="EI223" s="95" t="e">
        <f t="shared" ca="1" si="393"/>
        <v>#DIV/0!</v>
      </c>
      <c r="EJ223" s="101">
        <f t="shared" si="429"/>
        <v>0</v>
      </c>
      <c r="EK223" s="91">
        <f t="shared" si="360"/>
        <v>0</v>
      </c>
      <c r="EL223" s="30" t="e">
        <f t="shared" si="412"/>
        <v>#N/A</v>
      </c>
      <c r="EM223" s="30" t="e">
        <f t="shared" si="413"/>
        <v>#N/A</v>
      </c>
      <c r="EN223" s="31" t="e">
        <f>IF(OR(Hypothèses!$B$4=17,Hypothèses!$B$4=18,Hypothèses!$B$4=19,Hypothèses!$B$4=20),
IF($D223="Pressio.",
IF(OR($E223=3,$E223=1,$E223=4),EM223,EL223),
IF($D223="Pénétro.",
IF(OR($E223=3,$E223=1,$E223=4),EM223,EL223))),IF($D223="Pressio.",
IF($E223=3,EM223,EL223),
IF($D223="Pénétro.",
IF($E223=4,EM223,EL223))))</f>
        <v>#N/A</v>
      </c>
      <c r="EO223" s="31">
        <v>0</v>
      </c>
      <c r="EP223" s="102" t="e">
        <f>IF(NDC!$H$10="Oui",(VLOOKUP($B$3,'Coeff EC7'!$T$39:$X$59,2,0)*EN223+VLOOKUP($B$3,'Coeff EC7'!$T$65:$X$85,2,0)*Model0.1T!EO223)/1.5,PI()*EL$12*$Q223*($B223-$B222)*0.15/10+EP222)</f>
        <v>#N/A</v>
      </c>
      <c r="EQ223" s="102" t="e">
        <f>(VLOOKUP($B$3,'Coeff EC7'!$T$39:$X$59,3,0)*EN223+VLOOKUP($B$3,'Coeff EC7'!$T$65:$X$85,3,0)*Model0.1T!EO223)/1.1</f>
        <v>#N/A</v>
      </c>
      <c r="ER223" s="102" t="e">
        <f t="shared" si="394"/>
        <v>#N/A</v>
      </c>
      <c r="ES223" s="102" t="e">
        <f t="shared" si="395"/>
        <v>#N/A</v>
      </c>
      <c r="ET223" s="414" t="e">
        <f>IF(AND(EP223&gt;NDC!$C$63,EQ223&gt;NDC!$C$65,ER223&gt;NDC!$D$73,ES223&gt;NDC!$D$74,$B223&gt;NDC!$H$22-0.1+MIN(3*ET$12,1.5)),0,1)</f>
        <v>#N/A</v>
      </c>
      <c r="EU223" s="86" t="b">
        <f t="shared" si="361"/>
        <v>0</v>
      </c>
      <c r="EV223" s="86">
        <f t="shared" si="362"/>
        <v>0.61</v>
      </c>
      <c r="EW223" s="86">
        <f t="shared" si="363"/>
        <v>0.61</v>
      </c>
      <c r="EX223" s="30" t="e">
        <f t="shared" ca="1" si="396"/>
        <v>#DIV/0!</v>
      </c>
      <c r="EY223" s="85" t="e">
        <f ca="1">IF(EE223&lt;=Hypothèses!$V$7,Hypothèses!$W$7,IF(EE223&lt;=Hypothèses!$V$8,Hypothèses!$W$8,IF(EE223&lt;=Hypothèses!$V$9,Hypothèses!$W$9,IF(EE223&lt;=Hypothèses!$V$10,Hypothèses!$W$10,IF(EE223&lt;=Hypothèses!$V$11,Hypothèses!$W$11,IF(EE223&lt;=Hypothèses!$V$12,Hypothèses!$W$12,IF(EE223&lt;=Hypothèses!$V$13,Hypothèses!$W$13,IF(EE223&lt;=Hypothèses!$V$14,Hypothèses!$W$14,IF(EE223&lt;=Hypothèses!$V$15,Hypothèses!$W$15,IF(EE223&lt;=Hypothèses!$V$16,Hypothèses!$W$16,IF(EE223&lt;=Hypothèses!$V$17,Hypothèses!$W$17,IF(EE223&lt;=Hypothèses!$V$18,Hypothèses!$W$18,""))))))))))))</f>
        <v>#DIV/0!</v>
      </c>
      <c r="EZ223" s="87" t="e">
        <f t="shared" ca="1" si="423"/>
        <v>#DIV/0!</v>
      </c>
      <c r="FA223" s="88" t="e">
        <f ca="1">IF(EE223&lt;=Hypothèses!$V$7,Hypothèses!$X$7,IF(EE223&lt;=Hypothèses!$V$8,Hypothèses!$X$8,IF(EE223&lt;=Hypothèses!$V$9,Hypothèses!$X$9,IF(EE223&lt;=Hypothèses!$V$10,Hypothèses!$X$10,IF(EE223&lt;=Hypothèses!$V$11,Hypothèses!$X$11,IF(EE223&lt;=Hypothèses!$V$12,Hypothèses!$X$12,IF(EE223&lt;=Hypothèses!$V$13,Hypothèses!$X$13,IF(EE223&lt;=Hypothèses!$V$14,Hypothèses!$X$14,IF(EE223&lt;=Hypothèses!$V$15,Hypothèses!$X$15,IF(EE223&lt;=Hypothèses!$V$16,Hypothèses!$X$16,IF(EE223&lt;=Hypothèses!$U$17,Hypothèses!$W$17,IF(EE223&lt;=Hypothèses!$U$18,Hypothèses!$W$18,""))))))))))))</f>
        <v>#DIV/0!</v>
      </c>
      <c r="FB223" s="95" t="e">
        <f t="shared" ca="1" si="397"/>
        <v>#DIV/0!</v>
      </c>
      <c r="FC223" s="101">
        <f t="shared" si="430"/>
        <v>0</v>
      </c>
      <c r="FD223" s="91">
        <f t="shared" si="364"/>
        <v>0</v>
      </c>
      <c r="FE223" s="30" t="e">
        <f t="shared" si="414"/>
        <v>#N/A</v>
      </c>
      <c r="FF223" s="30" t="e">
        <f t="shared" si="415"/>
        <v>#N/A</v>
      </c>
      <c r="FG223" s="31" t="e">
        <f>IF(OR(Hypothèses!$B$4=17,Hypothèses!$B$4=18,Hypothèses!$B$4=19,Hypothèses!$B$4=20),
IF($D223="Pressio.",
IF(OR($E223=3,$E223=1,$E223=4),FF223,FE223),
IF($D223="Pénétro.",
IF(OR($E223=3,$E223=1,$E223=4),FF223,FE223))),IF($D223="Pressio.",
IF($E223=3,FF223,FE223),
IF($D223="Pénétro.",
IF($E223=4,FF223,FE223))))</f>
        <v>#N/A</v>
      </c>
      <c r="FH223" s="31">
        <v>0</v>
      </c>
      <c r="FI223" s="102" t="e">
        <f>IF(NDC!$H$10="Oui",(VLOOKUP($B$3,'Coeff EC7'!$T$39:$X$59,2,0)*FG223+VLOOKUP($B$3,'Coeff EC7'!$T$65:$X$85,2,0)*Model0.1T!FH223)/1.5,PI()*FE$12*$Q223*($B223-$B222)*0.15/10+FI222)</f>
        <v>#N/A</v>
      </c>
      <c r="FJ223" s="102" t="e">
        <f>(VLOOKUP($B$3,'Coeff EC7'!$T$39:$X$59,3,0)*FG223+VLOOKUP($B$3,'Coeff EC7'!$T$65:$X$85,3,0)*Model0.1T!FH223)/1.1</f>
        <v>#N/A</v>
      </c>
      <c r="FK223" s="102" t="e">
        <f t="shared" si="398"/>
        <v>#N/A</v>
      </c>
      <c r="FL223" s="102" t="e">
        <f t="shared" si="399"/>
        <v>#N/A</v>
      </c>
      <c r="FM223" s="414" t="e">
        <f>IF(AND(FI223&gt;NDC!$C$63,FJ223&gt;NDC!$C$65,FK223&gt;NDC!$D$73,FL223&gt;NDC!$D$74,$B223&gt;NDC!$H$22-0.1+MIN(3*FM$12,1.5)),0,1)</f>
        <v>#N/A</v>
      </c>
    </row>
    <row r="224" spans="1:169">
      <c r="A224" s="96">
        <f t="shared" si="365"/>
        <v>78.900000000001199</v>
      </c>
      <c r="B224" s="97">
        <v>21.1</v>
      </c>
      <c r="C224" s="81">
        <f>IF(B224&lt;=Hypothèses!$C$7,Hypothèses!$A$7,IF(B224&lt;=Hypothèses!$C$8,Hypothèses!$A$8,IF(B224&lt;=Hypothèses!$C$9,Hypothèses!$A$9,IF(B224&lt;=Hypothèses!$C$10,Hypothèses!$A$10,IF(B224&lt;=Hypothèses!$C$11,Hypothèses!$A$11,IF(B224&lt;=Hypothèses!$C$12,Hypothèses!$A$12,IF(B224&lt;=Hypothèses!$C$13,Hypothèses!$A$13,IF(B224&lt;=Hypothèses!$C$14,Hypothèses!$A$14,IF(B224&lt;=Hypothèses!$C$15,Hypothèses!$A$15,IF(B224&lt;=Hypothèses!$C$16,Hypothèses!$A$16,IF(B224&lt;=Hypothèses!$C$17,Hypothèses!$A$17,IF(B224&lt;=Hypothèses!$C$18,Hypothèses!$A$18,C223))))))))))))</f>
        <v>11</v>
      </c>
      <c r="D224" s="82" t="str">
        <f>IF(B224&lt;=Hypothèses!$C$7,Hypothèses!$R$7,IF(B224&lt;=Hypothèses!$C$8,Hypothèses!$R$8,IF(B224&lt;=Hypothèses!$C$9,Hypothèses!$R$9,IF(B224&lt;=Hypothèses!$C$10,Hypothèses!$R$10,IF(B224&lt;=Hypothèses!$C$11,Hypothèses!$R$11,IF(B224&lt;=Hypothèses!$C$12,Hypothèses!$R$12,IF(B224&lt;=Hypothèses!$C$13,Hypothèses!$R$13,IF(B224&lt;=Hypothèses!$C$14,Hypothèses!$R$14,IF(B224&lt;=Hypothèses!$C$15,Hypothèses!$R$15,IF(B224&lt;=Hypothèses!$C$16,Hypothèses!$R$16,IF(B224&lt;=Hypothèses!$C$17,Hypothèses!$R$17,IF(B224&lt;=Hypothèses!$C$18,Hypothèses!$R$18,D223))))))))))))</f>
        <v>Pressio.</v>
      </c>
      <c r="E224" s="82" t="e">
        <f>IF(B224&lt;=Hypothèses!$C$7,Hypothèses!$G$7,IF(B224&lt;=Hypothèses!$C$8,Hypothèses!$G$8,IF(B224&lt;=Hypothèses!$C$9,Hypothèses!$G$9,IF(B224&lt;=Hypothèses!$C$10,Hypothèses!$G$10,IF(B224&lt;=Hypothèses!$C$11,Hypothèses!$G$11,IF(B224&lt;=Hypothèses!$C$12,Hypothèses!$G$12,IF(B224&lt;=Hypothèses!$C$13,Hypothèses!$G$13,IF(B224&lt;=Hypothèses!$C$14,Hypothèses!$G$14,IF(B224&lt;=Hypothèses!$C$15,Hypothèses!$G$15,IF(B224&lt;=Hypothèses!$C$16,Hypothèses!$G$16,IF(B224&lt;=Hypothèses!$C$17,Hypothèses!$G$17,IF(B224&lt;=Hypothèses!$C$18,Hypothèses!$G$18,E223))))))))))))</f>
        <v>#N/A</v>
      </c>
      <c r="F224" s="82" t="str">
        <f>IF(B224&lt;=Hypothèses!$C$7,Hypothèses!$F$7,IF(B224&lt;=Hypothèses!$C$8,Hypothèses!$F$8,IF(B224&lt;=Hypothèses!$C$9,Hypothèses!$F$9,IF(B224&lt;=Hypothèses!$C$10,Hypothèses!$F$10,IF(B224&lt;=Hypothèses!$C$11,Hypothèses!$F$11,IF(B224&lt;=Hypothèses!$C$12,Hypothèses!$F$12,IF(B224&lt;=Hypothèses!$C$13,Hypothèses!$F$13,IF(B224&lt;=Hypothèses!$C$14,Hypothèses!$F$14,IF(B224&lt;=Hypothèses!$C$15,Hypothèses!$F$15,IF(B224&lt;=Hypothèses!$C$16,Hypothèses!$F$16,IF(B224&lt;=Hypothèses!$C$17,Hypothèses!$F$17,IF(B224&lt;=Hypothèses!$C$18,Hypothèses!$F$18,F223))))))))))))</f>
        <v/>
      </c>
      <c r="G224" s="91">
        <f t="array" ref="G224">INDEX('Coeff EC7'!$U$7:$X$27,
MATCH(Model0.1T!$B$3,'Coeff EC7'!$T$7:$T$27,0),
MATCH(Model0.1T!$D224&amp;Model0.1T!$B$4,
'Coeff EC7'!$U$6:$X$6&amp;
'Coeff EC7'!$U$5:$X$5,0))</f>
        <v>1.4</v>
      </c>
      <c r="H224" s="91">
        <f t="array" ref="H224">INDEX('Coeff EC7'!$Y$7:$AB$27,
MATCH(Model0.1T!$B$3,'Coeff EC7'!$T$7:$T$27,0),
MATCH(Model0.1T!$D224&amp;Model0.1T!$B$4,
'Coeff EC7'!$Y$6:$AB$6&amp;
'Coeff EC7'!$Y$5:$AB$5,0))</f>
        <v>1.7</v>
      </c>
      <c r="I224" s="83">
        <v>0</v>
      </c>
      <c r="J224" s="91" t="e">
        <f t="array" ref="J224">INDEX('Coeff EC7'!$D$33:$Q$33,1,MATCH(D224&amp;E224,'Coeff EC7'!$D$31:$Q$31&amp;'Coeff EC7'!$D$32:$Q$32,0))</f>
        <v>#N/A</v>
      </c>
      <c r="K224" s="91" t="e">
        <f t="array" ref="K224">INDEX('Coeff EC7'!$D$34:$Q$34,1,MATCH(D224&amp;E224,'Coeff EC7'!$D$31:$Q$31&amp;'Coeff EC7'!$D$32:$Q$32,0))</f>
        <v>#N/A</v>
      </c>
      <c r="L224" s="91" t="e">
        <f t="array" ref="L224">INDEX('Coeff EC7'!$D$35:$Q$35,1,MATCH(D224&amp;E224,'Coeff EC7'!$D$31:$Q$31&amp;'Coeff EC7'!$D$32:$Q$32,0))</f>
        <v>#N/A</v>
      </c>
      <c r="M224" s="98" t="e">
        <f t="shared" si="331"/>
        <v>#N/A</v>
      </c>
      <c r="N224" s="99" t="e">
        <f t="array" ref="N224">INDEX('Coeff EC7'!$D$7:$Q$27,MATCH($B$3,'Coeff EC7'!$C$7:$C$27,0),MATCH(D224&amp;E224,'Coeff EC7'!$D$5:$Q$5&amp;'Coeff EC7'!$D$6:$Q$6,0))</f>
        <v>#N/A</v>
      </c>
      <c r="O224" s="99" t="e">
        <f t="array" ref="O224">INDEX('Coeff EC7'!$D$41:$Q$61,MATCH($B$3,'Coeff EC7'!$C$41:$C$61,0),MATCH(D224&amp;E224,'Coeff EC7'!$D$39:$Q$39&amp;'Coeff EC7'!$D$40:$Q$40,0))</f>
        <v>#N/A</v>
      </c>
      <c r="P224" s="30" t="e">
        <f t="shared" si="366"/>
        <v>#N/A</v>
      </c>
      <c r="Q224" s="100" t="e">
        <f t="shared" si="333"/>
        <v>#N/A</v>
      </c>
      <c r="R224" s="86" t="b">
        <f t="shared" si="334"/>
        <v>0</v>
      </c>
      <c r="S224" s="86">
        <f t="shared" si="332"/>
        <v>0.5</v>
      </c>
      <c r="T224" s="86">
        <f t="shared" si="335"/>
        <v>0.5</v>
      </c>
      <c r="U224" s="30" t="e">
        <f t="shared" ca="1" si="367"/>
        <v>#DIV/0!</v>
      </c>
      <c r="V224" s="85" t="str">
        <f>IF(B224&lt;=Hypothèses!$V$7,Hypothèses!$W$7,IF(B224&lt;=Hypothèses!$V$8,Hypothèses!$W$8,IF(B224&lt;=Hypothèses!$V$9,Hypothèses!$W$9,IF(B224&lt;=Hypothèses!$V$10,Hypothèses!$W$10,IF(B224&lt;=Hypothèses!$V$11,Hypothèses!$W$11,IF(B224&lt;=Hypothèses!$V$12,Hypothèses!$W$12,IF(B224&lt;=Hypothèses!$V$13,Hypothèses!$W$13,IF(B224&lt;=Hypothèses!$V$14,Hypothèses!$W$14,IF(B224&lt;=Hypothèses!$V$15,Hypothèses!$W$15,IF(B224&lt;=Hypothèses!$V$16,Hypothèses!$W$16,IF(B224&lt;=Hypothèses!$V$17,Hypothèses!$W$17,IF(B224&lt;=Hypothèses!$V$18,Hypothèses!$W$18,""))))))))))))</f>
        <v/>
      </c>
      <c r="W224" s="87" t="e">
        <f t="shared" ca="1" si="416"/>
        <v>#DIV/0!</v>
      </c>
      <c r="X224" s="88" t="str">
        <f>IF(B224&lt;=Hypothèses!$V$7,Hypothèses!$X$7,IF(B224&lt;=Hypothèses!$V$8,Hypothèses!$X$8,IF(B224&lt;=Hypothèses!$V$9,Hypothèses!$X$9,IF(B224&lt;=Hypothèses!$V$10,Hypothèses!$X$10,IF(B224&lt;=Hypothèses!$V$11,Hypothèses!$X$11,IF(B224&lt;=Hypothèses!$V$12,Hypothèses!$X$12,IF(B224&lt;=Hypothèses!$V$13,Hypothèses!$X$13,IF(B224&lt;=Hypothèses!$V$14,Hypothèses!$X$14,IF(B224&lt;=Hypothèses!$V$15,Hypothèses!$X$15,IF(B224&lt;=Hypothèses!$V$16,Hypothèses!$X$16,IF(B224&lt;=Hypothèses!$U$17,Hypothèses!$W$17,IF(B224&lt;=Hypothèses!$U$18,Hypothèses!$W$18,""))))))))))))</f>
        <v/>
      </c>
      <c r="Y224" s="95" t="e">
        <f t="shared" ca="1" si="336"/>
        <v>#DIV/0!</v>
      </c>
      <c r="Z224" s="101">
        <f t="shared" si="337"/>
        <v>0</v>
      </c>
      <c r="AA224" s="91">
        <f t="shared" si="338"/>
        <v>0</v>
      </c>
      <c r="AB224" s="30" t="e">
        <f t="shared" si="400"/>
        <v>#N/A</v>
      </c>
      <c r="AC224" s="30" t="e">
        <f t="shared" si="401"/>
        <v>#N/A</v>
      </c>
      <c r="AD224" s="31" t="e">
        <f>IF(OR(Hypothèses!$B$4=17,Hypothèses!$B$4=18,Hypothèses!$B$4=19,Hypothèses!$B$4=20),
IF($D224="Pressio.",
IF(OR($E224=3,$E224=1,$E224=4),AC224,AB224),
IF($D224="Pénétro.",
IF(OR($E224=3,$E224=1,$E224=4),AC224,AB224))),IF($D224="Pressio.",
IF($E224=3,AC224,AB224),
IF($D224="Pénétro.",
IF($E224=4,AC224,AB224))))</f>
        <v>#N/A</v>
      </c>
      <c r="AE224" s="31">
        <v>0</v>
      </c>
      <c r="AF224" s="102" t="e">
        <f>IF(NDC!$H$10="Oui",(VLOOKUP($B$3,'Coeff EC7'!$T$39:$X$59,2,0)*AD224+VLOOKUP($B$3,'Coeff EC7'!$T$65:$X$85,2,0)*Model0.1T!AE224)/1.5,PI()*AB$12*$Q224*($B224-$B223)*0.15/10+AF223)</f>
        <v>#N/A</v>
      </c>
      <c r="AG224" s="102" t="e">
        <f>(VLOOKUP($B$3,'Coeff EC7'!$T$39:$X$59,3,0)*AD224+VLOOKUP($B$3,'Coeff EC7'!$T$65:$X$85,3,0)*Model0.1T!AE224)/1.1</f>
        <v>#N/A</v>
      </c>
      <c r="AH224" s="102" t="e">
        <f t="shared" si="368"/>
        <v>#N/A</v>
      </c>
      <c r="AI224" s="102" t="e">
        <f t="shared" si="369"/>
        <v>#N/A</v>
      </c>
      <c r="AJ224" s="414" t="e">
        <f>IF(AND(AF224&gt;NDC!$C$63,AG224&gt;NDC!$C$65,AH224&gt;NDC!$D$73,AI224&gt;NDC!$D$74,$B224&gt;NDC!$H$22-0.1+MIN(3*$AJ$12,1.5)),0,1)</f>
        <v>#N/A</v>
      </c>
      <c r="AK224" s="86" t="b">
        <f t="shared" si="339"/>
        <v>0</v>
      </c>
      <c r="AL224" s="86">
        <f t="shared" si="370"/>
        <v>0.5</v>
      </c>
      <c r="AM224" s="86">
        <f t="shared" si="340"/>
        <v>0.5</v>
      </c>
      <c r="AN224" s="30" t="e">
        <f t="shared" ca="1" si="371"/>
        <v>#DIV/0!</v>
      </c>
      <c r="AO224" s="85" t="e">
        <f ca="1">IF(U224&lt;=Hypothèses!$V$7,Hypothèses!$W$7,IF(U224&lt;=Hypothèses!$V$8,Hypothèses!$W$8,IF(U224&lt;=Hypothèses!$V$9,Hypothèses!$W$9,IF(U224&lt;=Hypothèses!$V$10,Hypothèses!$W$10,IF(U224&lt;=Hypothèses!$V$11,Hypothèses!$W$11,IF(U224&lt;=Hypothèses!$V$12,Hypothèses!$W$12,IF(U224&lt;=Hypothèses!$V$13,Hypothèses!$W$13,IF(U224&lt;=Hypothèses!$V$14,Hypothèses!$W$14,IF(U224&lt;=Hypothèses!$V$15,Hypothèses!$W$15,IF(U224&lt;=Hypothèses!$V$16,Hypothèses!$W$16,IF(U224&lt;=Hypothèses!$V$17,Hypothèses!$W$17,IF(U224&lt;=Hypothèses!$V$18,Hypothèses!$W$18,""))))))))))))</f>
        <v>#DIV/0!</v>
      </c>
      <c r="AP224" s="87" t="e">
        <f t="shared" ca="1" si="417"/>
        <v>#DIV/0!</v>
      </c>
      <c r="AQ224" s="88" t="e">
        <f ca="1">IF(U224&lt;=Hypothèses!$V$7,Hypothèses!$X$7,IF(U224&lt;=Hypothèses!$V$8,Hypothèses!$X$8,IF(U224&lt;=Hypothèses!$V$9,Hypothèses!$X$9,IF(U224&lt;=Hypothèses!$V$10,Hypothèses!$X$10,IF(U224&lt;=Hypothèses!$V$11,Hypothèses!$X$11,IF(U224&lt;=Hypothèses!$V$12,Hypothèses!$X$12,IF(U224&lt;=Hypothèses!$V$13,Hypothèses!$X$13,IF(U224&lt;=Hypothèses!$V$14,Hypothèses!$X$14,IF(U224&lt;=Hypothèses!$V$15,Hypothèses!$X$15,IF(U224&lt;=Hypothèses!$V$16,Hypothèses!$X$16,IF(U224&lt;=Hypothèses!$U$17,Hypothèses!$W$17,IF(U224&lt;=Hypothèses!$U$18,Hypothèses!$W$18,""))))))))))))</f>
        <v>#DIV/0!</v>
      </c>
      <c r="AR224" s="95" t="e">
        <f t="shared" ca="1" si="372"/>
        <v>#DIV/0!</v>
      </c>
      <c r="AS224" s="101">
        <f t="shared" si="424"/>
        <v>0</v>
      </c>
      <c r="AT224" s="91">
        <f t="shared" si="341"/>
        <v>0</v>
      </c>
      <c r="AU224" s="30" t="e">
        <f t="shared" si="402"/>
        <v>#N/A</v>
      </c>
      <c r="AV224" s="30" t="e">
        <f t="shared" si="403"/>
        <v>#N/A</v>
      </c>
      <c r="AW224" s="31" t="e">
        <f>IF(OR(Hypothèses!$B$4=17,Hypothèses!$B$4=18,Hypothèses!$B$4=19,Hypothèses!$B$4=20),
IF($D224="Pressio.",
IF(OR($E224=3,$E224=1,$E224=4),AV224,AU224),
IF($D224="Pénétro.",
IF(OR($E224=3,$E224=1,$E224=4),AV224,AU224))),IF($D224="Pressio.",
IF($E224=3,AV224,AU224),
IF($D224="Pénétro.",
IF($E224=4,AV224,AU224))))</f>
        <v>#N/A</v>
      </c>
      <c r="AX224" s="31">
        <v>0</v>
      </c>
      <c r="AY224" s="102" t="e">
        <f>IF(NDC!$H$10="Oui",(VLOOKUP($B$3,'Coeff EC7'!$T$39:$X$59,2,0)*AW224+VLOOKUP($B$3,'Coeff EC7'!$T$65:$X$85,2,0)*Model0.1T!AX224)/1.5,PI()*AU$12*$Q224*($B224-$B223)*0.15/10+AY223)</f>
        <v>#N/A</v>
      </c>
      <c r="AZ224" s="102" t="e">
        <f>(VLOOKUP($B$3,'Coeff EC7'!$T$39:$X$59,3,0)*AW224+VLOOKUP($B$3,'Coeff EC7'!$T$65:$X$85,3,0)*Model0.1T!AX224)/1.1</f>
        <v>#N/A</v>
      </c>
      <c r="BA224" s="102" t="e">
        <f t="shared" si="373"/>
        <v>#N/A</v>
      </c>
      <c r="BB224" s="102" t="e">
        <f t="shared" si="374"/>
        <v>#N/A</v>
      </c>
      <c r="BC224" s="414" t="e">
        <f>IF(AND(AY224&gt;NDC!$C$63,AZ224&gt;NDC!$C$65,BA224&gt;NDC!$D$73,BB224&gt;NDC!$D$74,$B224&gt;NDC!$H$22-0.1+MIN(3*BC$12,1.5)),0,1)</f>
        <v>#N/A</v>
      </c>
      <c r="BD224" s="86" t="b">
        <f t="shared" si="342"/>
        <v>0</v>
      </c>
      <c r="BE224" s="86">
        <f t="shared" si="375"/>
        <v>0.5</v>
      </c>
      <c r="BF224" s="86">
        <f t="shared" si="343"/>
        <v>0.5</v>
      </c>
      <c r="BG224" s="30" t="e">
        <f t="shared" ca="1" si="376"/>
        <v>#DIV/0!</v>
      </c>
      <c r="BH224" s="85" t="e">
        <f ca="1">IF(AN224&lt;=Hypothèses!$V$7,Hypothèses!$W$7,IF(AN224&lt;=Hypothèses!$V$8,Hypothèses!$W$8,IF(AN224&lt;=Hypothèses!$V$9,Hypothèses!$W$9,IF(AN224&lt;=Hypothèses!$V$10,Hypothèses!$W$10,IF(AN224&lt;=Hypothèses!$V$11,Hypothèses!$W$11,IF(AN224&lt;=Hypothèses!$V$12,Hypothèses!$W$12,IF(AN224&lt;=Hypothèses!$V$13,Hypothèses!$W$13,IF(AN224&lt;=Hypothèses!$V$14,Hypothèses!$W$14,IF(AN224&lt;=Hypothèses!$V$15,Hypothèses!$W$15,IF(AN224&lt;=Hypothèses!$V$16,Hypothèses!$W$16,IF(AN224&lt;=Hypothèses!$V$17,Hypothèses!$W$17,IF(AN224&lt;=Hypothèses!$V$18,Hypothèses!$W$18,""))))))))))))</f>
        <v>#DIV/0!</v>
      </c>
      <c r="BI224" s="87" t="e">
        <f t="shared" ca="1" si="418"/>
        <v>#DIV/0!</v>
      </c>
      <c r="BJ224" s="88" t="e">
        <f ca="1">IF(AN224&lt;=Hypothèses!$V$7,Hypothèses!$X$7,IF(AN224&lt;=Hypothèses!$V$8,Hypothèses!$X$8,IF(AN224&lt;=Hypothèses!$V$9,Hypothèses!$X$9,IF(AN224&lt;=Hypothèses!$V$10,Hypothèses!$X$10,IF(AN224&lt;=Hypothèses!$V$11,Hypothèses!$X$11,IF(AN224&lt;=Hypothèses!$V$12,Hypothèses!$X$12,IF(AN224&lt;=Hypothèses!$V$13,Hypothèses!$X$13,IF(AN224&lt;=Hypothèses!$V$14,Hypothèses!$X$14,IF(AN224&lt;=Hypothèses!$V$15,Hypothèses!$X$15,IF(AN224&lt;=Hypothèses!$V$16,Hypothèses!$X$16,IF(AN224&lt;=Hypothèses!$U$17,Hypothèses!$W$17,IF(AN224&lt;=Hypothèses!$U$18,Hypothèses!$W$18,""))))))))))))</f>
        <v>#DIV/0!</v>
      </c>
      <c r="BK224" s="95" t="e">
        <f t="shared" ca="1" si="377"/>
        <v>#DIV/0!</v>
      </c>
      <c r="BL224" s="101">
        <f t="shared" si="425"/>
        <v>0</v>
      </c>
      <c r="BM224" s="91">
        <f t="shared" si="344"/>
        <v>0</v>
      </c>
      <c r="BN224" s="30" t="e">
        <f t="shared" si="404"/>
        <v>#N/A</v>
      </c>
      <c r="BO224" s="30" t="e">
        <f t="shared" si="405"/>
        <v>#N/A</v>
      </c>
      <c r="BP224" s="31" t="e">
        <f>IF(OR(Hypothèses!$B$4=17,Hypothèses!$B$4=18,Hypothèses!$B$4=19,Hypothèses!$B$4=20),
IF($D224="Pressio.",
IF(OR($E224=3,$E224=1,$E224=4),BO224,BN224),
IF($D224="Pénétro.",
IF(OR($E224=3,$E224=1,$E224=4),BO224,BN224))),IF($D224="Pressio.",
IF($E224=3,BO224,BN224),
IF($D224="Pénétro.",
IF($E224=4,BO224,BN224))))</f>
        <v>#N/A</v>
      </c>
      <c r="BQ224" s="31">
        <v>0</v>
      </c>
      <c r="BR224" s="102" t="e">
        <f>IF(NDC!$H$10="Oui",(VLOOKUP($B$3,'Coeff EC7'!$T$39:$X$59,2,0)*BP224+VLOOKUP($B$3,'Coeff EC7'!$T$65:$X$85,2,0)*Model0.1T!BQ224)/1.5,PI()*BN$12*$Q224*($B224-$B223)*0.15/10+BR223)</f>
        <v>#N/A</v>
      </c>
      <c r="BS224" s="102" t="e">
        <f>(VLOOKUP($B$3,'Coeff EC7'!$T$39:$X$59,3,0)*BP224+VLOOKUP($B$3,'Coeff EC7'!$T$65:$X$85,3,0)*Model0.1T!BQ224)/1.1</f>
        <v>#N/A</v>
      </c>
      <c r="BT224" s="102" t="e">
        <f t="shared" si="378"/>
        <v>#N/A</v>
      </c>
      <c r="BU224" s="102" t="e">
        <f t="shared" si="379"/>
        <v>#N/A</v>
      </c>
      <c r="BV224" s="414" t="e">
        <f>IF(AND(BR224&gt;NDC!$C$63,BS224&gt;NDC!$C$65,BT224&gt;NDC!$D$73,BU224&gt;NDC!$D$74,$B224&gt;NDC!$H$22-0.1+MIN(3*BV$12,1.5)),0,1)</f>
        <v>#N/A</v>
      </c>
      <c r="BW224" s="86" t="b">
        <f t="shared" si="345"/>
        <v>0</v>
      </c>
      <c r="BX224" s="86">
        <f t="shared" si="346"/>
        <v>0.5</v>
      </c>
      <c r="BY224" s="86">
        <f t="shared" si="347"/>
        <v>0.5</v>
      </c>
      <c r="BZ224" s="30" t="e">
        <f t="shared" ca="1" si="380"/>
        <v>#DIV/0!</v>
      </c>
      <c r="CA224" s="85" t="e">
        <f ca="1">IF(BG224&lt;=Hypothèses!$V$7,Hypothèses!$W$7,IF(BG224&lt;=Hypothèses!$V$8,Hypothèses!$W$8,IF(BG224&lt;=Hypothèses!$V$9,Hypothèses!$W$9,IF(BG224&lt;=Hypothèses!$V$10,Hypothèses!$W$10,IF(BG224&lt;=Hypothèses!$V$11,Hypothèses!$W$11,IF(BG224&lt;=Hypothèses!$V$12,Hypothèses!$W$12,IF(BG224&lt;=Hypothèses!$V$13,Hypothèses!$W$13,IF(BG224&lt;=Hypothèses!$V$14,Hypothèses!$W$14,IF(BG224&lt;=Hypothèses!$V$15,Hypothèses!$W$15,IF(BG224&lt;=Hypothèses!$V$16,Hypothèses!$W$16,IF(BG224&lt;=Hypothèses!$V$17,Hypothèses!$W$17,IF(BG224&lt;=Hypothèses!$V$18,Hypothèses!$W$18,""))))))))))))</f>
        <v>#DIV/0!</v>
      </c>
      <c r="CB224" s="87" t="e">
        <f t="shared" ca="1" si="419"/>
        <v>#DIV/0!</v>
      </c>
      <c r="CC224" s="88" t="e">
        <f ca="1">IF(BG224&lt;=Hypothèses!$V$7,Hypothèses!$X$7,IF(BG224&lt;=Hypothèses!$V$8,Hypothèses!$X$8,IF(BG224&lt;=Hypothèses!$V$9,Hypothèses!$X$9,IF(BG224&lt;=Hypothèses!$V$10,Hypothèses!$X$10,IF(BG224&lt;=Hypothèses!$V$11,Hypothèses!$X$11,IF(BG224&lt;=Hypothèses!$V$12,Hypothèses!$X$12,IF(BG224&lt;=Hypothèses!$V$13,Hypothèses!$X$13,IF(BG224&lt;=Hypothèses!$V$14,Hypothèses!$X$14,IF(BG224&lt;=Hypothèses!$V$15,Hypothèses!$X$15,IF(BG224&lt;=Hypothèses!$V$16,Hypothèses!$X$16,IF(BG224&lt;=Hypothèses!$U$17,Hypothèses!$W$17,IF(BG224&lt;=Hypothèses!$U$18,Hypothèses!$W$18,""))))))))))))</f>
        <v>#DIV/0!</v>
      </c>
      <c r="CD224" s="95" t="e">
        <f t="shared" ca="1" si="381"/>
        <v>#DIV/0!</v>
      </c>
      <c r="CE224" s="101">
        <f t="shared" si="426"/>
        <v>0</v>
      </c>
      <c r="CF224" s="91">
        <f t="shared" si="348"/>
        <v>0</v>
      </c>
      <c r="CG224" s="30" t="e">
        <f t="shared" si="406"/>
        <v>#N/A</v>
      </c>
      <c r="CH224" s="30" t="e">
        <f t="shared" si="407"/>
        <v>#N/A</v>
      </c>
      <c r="CI224" s="31" t="e">
        <f>IF(OR(Hypothèses!$B$4=17,Hypothèses!$B$4=18,Hypothèses!$B$4=19,Hypothèses!$B$4=20),
IF($D224="Pressio.",
IF(OR($E224=3,$E224=1,$E224=4),CH224,CG224),
IF($D224="Pénétro.",
IF(OR($E224=3,$E224=1,$E224=4),CH224,CG224))),IF($D224="Pressio.",
IF($E224=3,CH224,CG224),
IF($D224="Pénétro.",
IF($E224=4,CH224,CG224))))</f>
        <v>#N/A</v>
      </c>
      <c r="CJ224" s="31">
        <v>0</v>
      </c>
      <c r="CK224" s="102" t="e">
        <f>IF(NDC!$H$10="Oui",(VLOOKUP($B$3,'Coeff EC7'!$T$39:$X$59,2,0)*CI224+VLOOKUP($B$3,'Coeff EC7'!$T$65:$X$85,2,0)*Model0.1T!CJ224)/1.5,PI()*CG$12*$Q224*($B224-$B223)*0.15/10+CK223)</f>
        <v>#N/A</v>
      </c>
      <c r="CL224" s="102" t="e">
        <f>(VLOOKUP($B$3,'Coeff EC7'!$T$39:$X$59,3,0)*CI224+VLOOKUP($B$3,'Coeff EC7'!$T$65:$X$85,3,0)*Model0.1T!CJ224)/1.1</f>
        <v>#N/A</v>
      </c>
      <c r="CM224" s="102" t="e">
        <f t="shared" si="382"/>
        <v>#N/A</v>
      </c>
      <c r="CN224" s="102" t="e">
        <f t="shared" si="383"/>
        <v>#N/A</v>
      </c>
      <c r="CO224" s="414" t="e">
        <f>IF(AND(CK224&gt;NDC!$C$63,CL224&gt;NDC!$C$65,CM224&gt;NDC!$D$73,CN224&gt;NDC!$D$74,$B224&gt;NDC!$H$22-0.1+MIN(3*CO$12,1.5)),0,1)</f>
        <v>#N/A</v>
      </c>
      <c r="CP224" s="86" t="b">
        <f t="shared" si="349"/>
        <v>0</v>
      </c>
      <c r="CQ224" s="86">
        <f t="shared" si="350"/>
        <v>0.5</v>
      </c>
      <c r="CR224" s="86">
        <f t="shared" si="351"/>
        <v>0.5</v>
      </c>
      <c r="CS224" s="30" t="e">
        <f t="shared" ca="1" si="384"/>
        <v>#DIV/0!</v>
      </c>
      <c r="CT224" s="85" t="e">
        <f ca="1">IF(BZ224&lt;=Hypothèses!$V$7,Hypothèses!$W$7,IF(BZ224&lt;=Hypothèses!$V$8,Hypothèses!$W$8,IF(BZ224&lt;=Hypothèses!$V$9,Hypothèses!$W$9,IF(BZ224&lt;=Hypothèses!$V$10,Hypothèses!$W$10,IF(BZ224&lt;=Hypothèses!$V$11,Hypothèses!$W$11,IF(BZ224&lt;=Hypothèses!$V$12,Hypothèses!$W$12,IF(BZ224&lt;=Hypothèses!$V$13,Hypothèses!$W$13,IF(BZ224&lt;=Hypothèses!$V$14,Hypothèses!$W$14,IF(BZ224&lt;=Hypothèses!$V$15,Hypothèses!$W$15,IF(BZ224&lt;=Hypothèses!$V$16,Hypothèses!$W$16,IF(BZ224&lt;=Hypothèses!$V$17,Hypothèses!$W$17,IF(BZ224&lt;=Hypothèses!$V$18,Hypothèses!$W$18,""))))))))))))</f>
        <v>#DIV/0!</v>
      </c>
      <c r="CU224" s="87" t="e">
        <f t="shared" ca="1" si="420"/>
        <v>#DIV/0!</v>
      </c>
      <c r="CV224" s="88" t="e">
        <f ca="1">IF(BZ224&lt;=Hypothèses!$V$7,Hypothèses!$X$7,IF(BZ224&lt;=Hypothèses!$V$8,Hypothèses!$X$8,IF(BZ224&lt;=Hypothèses!$V$9,Hypothèses!$X$9,IF(BZ224&lt;=Hypothèses!$V$10,Hypothèses!$X$10,IF(BZ224&lt;=Hypothèses!$V$11,Hypothèses!$X$11,IF(BZ224&lt;=Hypothèses!$V$12,Hypothèses!$X$12,IF(BZ224&lt;=Hypothèses!$V$13,Hypothèses!$X$13,IF(BZ224&lt;=Hypothèses!$V$14,Hypothèses!$X$14,IF(BZ224&lt;=Hypothèses!$V$15,Hypothèses!$X$15,IF(BZ224&lt;=Hypothèses!$V$16,Hypothèses!$X$16,IF(BZ224&lt;=Hypothèses!$U$17,Hypothèses!$W$17,IF(BZ224&lt;=Hypothèses!$U$18,Hypothèses!$W$18,""))))))))))))</f>
        <v>#DIV/0!</v>
      </c>
      <c r="CW224" s="95" t="e">
        <f t="shared" ca="1" si="385"/>
        <v>#DIV/0!</v>
      </c>
      <c r="CX224" s="101">
        <f t="shared" si="427"/>
        <v>0</v>
      </c>
      <c r="CY224" s="91">
        <f t="shared" si="352"/>
        <v>0</v>
      </c>
      <c r="CZ224" s="30" t="e">
        <f t="shared" si="408"/>
        <v>#N/A</v>
      </c>
      <c r="DA224" s="30" t="e">
        <f t="shared" si="409"/>
        <v>#N/A</v>
      </c>
      <c r="DB224" s="31" t="e">
        <f>IF(OR(Hypothèses!$B$4=17,Hypothèses!$B$4=18,Hypothèses!$B$4=19,Hypothèses!$B$4=20),
IF($D224="Pressio.",
IF(OR($E224=3,$E224=1,$E224=4),DA224,CZ224),
IF($D224="Pénétro.",
IF(OR($E224=3,$E224=1,$E224=4),DA224,CZ224))),IF($D224="Pressio.",
IF($E224=3,DA224,CZ224),
IF($D224="Pénétro.",
IF($E224=4,DA224,CZ224))))</f>
        <v>#N/A</v>
      </c>
      <c r="DC224" s="31">
        <v>0</v>
      </c>
      <c r="DD224" s="102" t="e">
        <f>IF(NDC!$H$10="Oui",(VLOOKUP($B$3,'Coeff EC7'!$T$39:$X$59,2,0)*DB224+VLOOKUP($B$3,'Coeff EC7'!$T$65:$X$85,2,0)*Model0.1T!DC224)/1.5,PI()*CZ$12*$Q224*($B224-$B223)*0.15/10+DD223)</f>
        <v>#N/A</v>
      </c>
      <c r="DE224" s="102" t="e">
        <f>(VLOOKUP($B$3,'Coeff EC7'!$T$39:$X$59,3,0)*DB224+VLOOKUP($B$3,'Coeff EC7'!$T$65:$X$85,3,0)*Model0.1T!DC224)/1.1</f>
        <v>#N/A</v>
      </c>
      <c r="DF224" s="102" t="e">
        <f t="shared" si="386"/>
        <v>#N/A</v>
      </c>
      <c r="DG224" s="102" t="e">
        <f t="shared" si="387"/>
        <v>#N/A</v>
      </c>
      <c r="DH224" s="414" t="e">
        <f>IF(AND(DD224&gt;NDC!$C$63,DE224&gt;NDC!$C$65,DF224&gt;NDC!$D$73,DG224&gt;NDC!$D$74,$B224&gt;NDC!$H$22-0.1+MIN(3*DH$12,1.5)),0,1)</f>
        <v>#N/A</v>
      </c>
      <c r="DI224" s="86" t="b">
        <f t="shared" si="353"/>
        <v>0</v>
      </c>
      <c r="DJ224" s="86">
        <f t="shared" si="354"/>
        <v>0.5</v>
      </c>
      <c r="DK224" s="86">
        <f t="shared" si="355"/>
        <v>0.5</v>
      </c>
      <c r="DL224" s="30" t="e">
        <f t="shared" ca="1" si="388"/>
        <v>#DIV/0!</v>
      </c>
      <c r="DM224" s="85" t="e">
        <f ca="1">IF(CS224&lt;=Hypothèses!$V$7,Hypothèses!$W$7,IF(CS224&lt;=Hypothèses!$V$8,Hypothèses!$W$8,IF(CS224&lt;=Hypothèses!$V$9,Hypothèses!$W$9,IF(CS224&lt;=Hypothèses!$V$10,Hypothèses!$W$10,IF(CS224&lt;=Hypothèses!$V$11,Hypothèses!$W$11,IF(CS224&lt;=Hypothèses!$V$12,Hypothèses!$W$12,IF(CS224&lt;=Hypothèses!$V$13,Hypothèses!$W$13,IF(CS224&lt;=Hypothèses!$V$14,Hypothèses!$W$14,IF(CS224&lt;=Hypothèses!$V$15,Hypothèses!$W$15,IF(CS224&lt;=Hypothèses!$V$16,Hypothèses!$W$16,IF(CS224&lt;=Hypothèses!$V$17,Hypothèses!$W$17,IF(CS224&lt;=Hypothèses!$V$18,Hypothèses!$W$18,""))))))))))))</f>
        <v>#DIV/0!</v>
      </c>
      <c r="DN224" s="87" t="e">
        <f t="shared" ca="1" si="421"/>
        <v>#DIV/0!</v>
      </c>
      <c r="DO224" s="88" t="e">
        <f ca="1">IF(CS224&lt;=Hypothèses!$V$7,Hypothèses!$X$7,IF(CS224&lt;=Hypothèses!$V$8,Hypothèses!$X$8,IF(CS224&lt;=Hypothèses!$V$9,Hypothèses!$X$9,IF(CS224&lt;=Hypothèses!$V$10,Hypothèses!$X$10,IF(CS224&lt;=Hypothèses!$V$11,Hypothèses!$X$11,IF(CS224&lt;=Hypothèses!$V$12,Hypothèses!$X$12,IF(CS224&lt;=Hypothèses!$V$13,Hypothèses!$X$13,IF(CS224&lt;=Hypothèses!$V$14,Hypothèses!$X$14,IF(CS224&lt;=Hypothèses!$V$15,Hypothèses!$X$15,IF(CS224&lt;=Hypothèses!$V$16,Hypothèses!$X$16,IF(CS224&lt;=Hypothèses!$U$17,Hypothèses!$W$17,IF(CS224&lt;=Hypothèses!$U$18,Hypothèses!$W$18,""))))))))))))</f>
        <v>#DIV/0!</v>
      </c>
      <c r="DP224" s="95" t="e">
        <f t="shared" ca="1" si="389"/>
        <v>#DIV/0!</v>
      </c>
      <c r="DQ224" s="101">
        <f t="shared" si="428"/>
        <v>0</v>
      </c>
      <c r="DR224" s="91">
        <f t="shared" si="356"/>
        <v>0</v>
      </c>
      <c r="DS224" s="30" t="e">
        <f t="shared" si="410"/>
        <v>#N/A</v>
      </c>
      <c r="DT224" s="30" t="e">
        <f t="shared" si="411"/>
        <v>#N/A</v>
      </c>
      <c r="DU224" s="31" t="e">
        <f>IF(OR(Hypothèses!$B$4=17,Hypothèses!$B$4=18,Hypothèses!$B$4=19,Hypothèses!$B$4=20),
IF($D224="Pressio.",
IF(OR($E224=3,$E224=1,$E224=4),DT224,DS224),
IF($D224="Pénétro.",
IF(OR($E224=3,$E224=1,$E224=4),DT224,DS224))),IF($D224="Pressio.",
IF($E224=3,DT224,DS224),
IF($D224="Pénétro.",
IF($E224=4,DT224,DS224))))</f>
        <v>#N/A</v>
      </c>
      <c r="DV224" s="31">
        <v>0</v>
      </c>
      <c r="DW224" s="102" t="e">
        <f>IF(NDC!$H$10="Oui",(VLOOKUP($B$3,'Coeff EC7'!$T$39:$X$59,2,0)*DU224+VLOOKUP($B$3,'Coeff EC7'!$T$65:$X$85,2,0)*Model0.1T!DV224)/1.5,PI()*DS$12*$Q224*($B224-$B223)*0.15/10+DW223)</f>
        <v>#N/A</v>
      </c>
      <c r="DX224" s="102" t="e">
        <f>(VLOOKUP($B$3,'Coeff EC7'!$T$39:$X$59,3,0)*DU224+VLOOKUP($B$3,'Coeff EC7'!$T$65:$X$85,3,0)*Model0.1T!DV224)/1.1</f>
        <v>#N/A</v>
      </c>
      <c r="DY224" s="102" t="e">
        <f t="shared" si="390"/>
        <v>#N/A</v>
      </c>
      <c r="DZ224" s="102" t="e">
        <f t="shared" si="391"/>
        <v>#N/A</v>
      </c>
      <c r="EA224" s="414" t="e">
        <f>IF(AND(DW224&gt;NDC!$C$63,DX224&gt;NDC!$C$65,DY224&gt;NDC!$D$73,DZ224&gt;NDC!$D$74,$B224&gt;NDC!$H$22-0.1+MIN(3*EA$12,1.5)),0,1)</f>
        <v>#N/A</v>
      </c>
      <c r="EB224" s="86" t="b">
        <f t="shared" si="357"/>
        <v>0</v>
      </c>
      <c r="EC224" s="418">
        <f t="shared" si="358"/>
        <v>0.51</v>
      </c>
      <c r="ED224" s="86">
        <f t="shared" si="359"/>
        <v>0.51</v>
      </c>
      <c r="EE224" s="30" t="e">
        <f t="shared" ca="1" si="392"/>
        <v>#DIV/0!</v>
      </c>
      <c r="EF224" s="85" t="e">
        <f ca="1">IF(DL224&lt;=Hypothèses!$V$7,Hypothèses!$W$7,IF(DL224&lt;=Hypothèses!$V$8,Hypothèses!$W$8,IF(DL224&lt;=Hypothèses!$V$9,Hypothèses!$W$9,IF(DL224&lt;=Hypothèses!$V$10,Hypothèses!$W$10,IF(DL224&lt;=Hypothèses!$V$11,Hypothèses!$W$11,IF(DL224&lt;=Hypothèses!$V$12,Hypothèses!$W$12,IF(DL224&lt;=Hypothèses!$V$13,Hypothèses!$W$13,IF(DL224&lt;=Hypothèses!$V$14,Hypothèses!$W$14,IF(DL224&lt;=Hypothèses!$V$15,Hypothèses!$W$15,IF(DL224&lt;=Hypothèses!$V$16,Hypothèses!$W$16,IF(DL224&lt;=Hypothèses!$V$17,Hypothèses!$W$17,IF(DL224&lt;=Hypothèses!$V$18,Hypothèses!$W$18,""))))))))))))</f>
        <v>#DIV/0!</v>
      </c>
      <c r="EG224" s="87" t="e">
        <f t="shared" ca="1" si="422"/>
        <v>#DIV/0!</v>
      </c>
      <c r="EH224" s="88" t="e">
        <f ca="1">IF(DL224&lt;=Hypothèses!$V$7,Hypothèses!$X$7,IF(DL224&lt;=Hypothèses!$V$8,Hypothèses!$X$8,IF(DL224&lt;=Hypothèses!$V$9,Hypothèses!$X$9,IF(DL224&lt;=Hypothèses!$V$10,Hypothèses!$X$10,IF(DL224&lt;=Hypothèses!$V$11,Hypothèses!$X$11,IF(DL224&lt;=Hypothèses!$V$12,Hypothèses!$X$12,IF(DL224&lt;=Hypothèses!$V$13,Hypothèses!$X$13,IF(DL224&lt;=Hypothèses!$V$14,Hypothèses!$X$14,IF(DL224&lt;=Hypothèses!$V$15,Hypothèses!$X$15,IF(DL224&lt;=Hypothèses!$V$16,Hypothèses!$X$16,IF(DL224&lt;=Hypothèses!$U$17,Hypothèses!$W$17,IF(DL224&lt;=Hypothèses!$U$18,Hypothèses!$W$18,""))))))))))))</f>
        <v>#DIV/0!</v>
      </c>
      <c r="EI224" s="95" t="e">
        <f t="shared" ca="1" si="393"/>
        <v>#DIV/0!</v>
      </c>
      <c r="EJ224" s="101">
        <f t="shared" si="429"/>
        <v>0</v>
      </c>
      <c r="EK224" s="91">
        <f t="shared" si="360"/>
        <v>0</v>
      </c>
      <c r="EL224" s="30" t="e">
        <f t="shared" si="412"/>
        <v>#N/A</v>
      </c>
      <c r="EM224" s="30" t="e">
        <f t="shared" si="413"/>
        <v>#N/A</v>
      </c>
      <c r="EN224" s="31" t="e">
        <f>IF(OR(Hypothèses!$B$4=17,Hypothèses!$B$4=18,Hypothèses!$B$4=19,Hypothèses!$B$4=20),
IF($D224="Pressio.",
IF(OR($E224=3,$E224=1,$E224=4),EM224,EL224),
IF($D224="Pénétro.",
IF(OR($E224=3,$E224=1,$E224=4),EM224,EL224))),IF($D224="Pressio.",
IF($E224=3,EM224,EL224),
IF($D224="Pénétro.",
IF($E224=4,EM224,EL224))))</f>
        <v>#N/A</v>
      </c>
      <c r="EO224" s="31">
        <v>0</v>
      </c>
      <c r="EP224" s="102" t="e">
        <f>IF(NDC!$H$10="Oui",(VLOOKUP($B$3,'Coeff EC7'!$T$39:$X$59,2,0)*EN224+VLOOKUP($B$3,'Coeff EC7'!$T$65:$X$85,2,0)*Model0.1T!EO224)/1.5,PI()*EL$12*$Q224*($B224-$B223)*0.15/10+EP223)</f>
        <v>#N/A</v>
      </c>
      <c r="EQ224" s="102" t="e">
        <f>(VLOOKUP($B$3,'Coeff EC7'!$T$39:$X$59,3,0)*EN224+VLOOKUP($B$3,'Coeff EC7'!$T$65:$X$85,3,0)*Model0.1T!EO224)/1.1</f>
        <v>#N/A</v>
      </c>
      <c r="ER224" s="102" t="e">
        <f t="shared" si="394"/>
        <v>#N/A</v>
      </c>
      <c r="ES224" s="102" t="e">
        <f t="shared" si="395"/>
        <v>#N/A</v>
      </c>
      <c r="ET224" s="414" t="e">
        <f>IF(AND(EP224&gt;NDC!$C$63,EQ224&gt;NDC!$C$65,ER224&gt;NDC!$D$73,ES224&gt;NDC!$D$74,$B224&gt;NDC!$H$22-0.1+MIN(3*ET$12,1.5)),0,1)</f>
        <v>#N/A</v>
      </c>
      <c r="EU224" s="86" t="b">
        <f t="shared" si="361"/>
        <v>0</v>
      </c>
      <c r="EV224" s="86">
        <f t="shared" si="362"/>
        <v>0.61</v>
      </c>
      <c r="EW224" s="86">
        <f t="shared" si="363"/>
        <v>0.61</v>
      </c>
      <c r="EX224" s="30" t="e">
        <f t="shared" ca="1" si="396"/>
        <v>#DIV/0!</v>
      </c>
      <c r="EY224" s="85" t="e">
        <f ca="1">IF(EE224&lt;=Hypothèses!$V$7,Hypothèses!$W$7,IF(EE224&lt;=Hypothèses!$V$8,Hypothèses!$W$8,IF(EE224&lt;=Hypothèses!$V$9,Hypothèses!$W$9,IF(EE224&lt;=Hypothèses!$V$10,Hypothèses!$W$10,IF(EE224&lt;=Hypothèses!$V$11,Hypothèses!$W$11,IF(EE224&lt;=Hypothèses!$V$12,Hypothèses!$W$12,IF(EE224&lt;=Hypothèses!$V$13,Hypothèses!$W$13,IF(EE224&lt;=Hypothèses!$V$14,Hypothèses!$W$14,IF(EE224&lt;=Hypothèses!$V$15,Hypothèses!$W$15,IF(EE224&lt;=Hypothèses!$V$16,Hypothèses!$W$16,IF(EE224&lt;=Hypothèses!$V$17,Hypothèses!$W$17,IF(EE224&lt;=Hypothèses!$V$18,Hypothèses!$W$18,""))))))))))))</f>
        <v>#DIV/0!</v>
      </c>
      <c r="EZ224" s="87" t="e">
        <f t="shared" ca="1" si="423"/>
        <v>#DIV/0!</v>
      </c>
      <c r="FA224" s="88" t="e">
        <f ca="1">IF(EE224&lt;=Hypothèses!$V$7,Hypothèses!$X$7,IF(EE224&lt;=Hypothèses!$V$8,Hypothèses!$X$8,IF(EE224&lt;=Hypothèses!$V$9,Hypothèses!$X$9,IF(EE224&lt;=Hypothèses!$V$10,Hypothèses!$X$10,IF(EE224&lt;=Hypothèses!$V$11,Hypothèses!$X$11,IF(EE224&lt;=Hypothèses!$V$12,Hypothèses!$X$12,IF(EE224&lt;=Hypothèses!$V$13,Hypothèses!$X$13,IF(EE224&lt;=Hypothèses!$V$14,Hypothèses!$X$14,IF(EE224&lt;=Hypothèses!$V$15,Hypothèses!$X$15,IF(EE224&lt;=Hypothèses!$V$16,Hypothèses!$X$16,IF(EE224&lt;=Hypothèses!$U$17,Hypothèses!$W$17,IF(EE224&lt;=Hypothèses!$U$18,Hypothèses!$W$18,""))))))))))))</f>
        <v>#DIV/0!</v>
      </c>
      <c r="FB224" s="95" t="e">
        <f t="shared" ca="1" si="397"/>
        <v>#DIV/0!</v>
      </c>
      <c r="FC224" s="101">
        <f t="shared" si="430"/>
        <v>0</v>
      </c>
      <c r="FD224" s="91">
        <f t="shared" si="364"/>
        <v>0</v>
      </c>
      <c r="FE224" s="30" t="e">
        <f t="shared" si="414"/>
        <v>#N/A</v>
      </c>
      <c r="FF224" s="30" t="e">
        <f t="shared" si="415"/>
        <v>#N/A</v>
      </c>
      <c r="FG224" s="31" t="e">
        <f>IF(OR(Hypothèses!$B$4=17,Hypothèses!$B$4=18,Hypothèses!$B$4=19,Hypothèses!$B$4=20),
IF($D224="Pressio.",
IF(OR($E224=3,$E224=1,$E224=4),FF224,FE224),
IF($D224="Pénétro.",
IF(OR($E224=3,$E224=1,$E224=4),FF224,FE224))),IF($D224="Pressio.",
IF($E224=3,FF224,FE224),
IF($D224="Pénétro.",
IF($E224=4,FF224,FE224))))</f>
        <v>#N/A</v>
      </c>
      <c r="FH224" s="31">
        <v>0</v>
      </c>
      <c r="FI224" s="102" t="e">
        <f>IF(NDC!$H$10="Oui",(VLOOKUP($B$3,'Coeff EC7'!$T$39:$X$59,2,0)*FG224+VLOOKUP($B$3,'Coeff EC7'!$T$65:$X$85,2,0)*Model0.1T!FH224)/1.5,PI()*FE$12*$Q224*($B224-$B223)*0.15/10+FI223)</f>
        <v>#N/A</v>
      </c>
      <c r="FJ224" s="102" t="e">
        <f>(VLOOKUP($B$3,'Coeff EC7'!$T$39:$X$59,3,0)*FG224+VLOOKUP($B$3,'Coeff EC7'!$T$65:$X$85,3,0)*Model0.1T!FH224)/1.1</f>
        <v>#N/A</v>
      </c>
      <c r="FK224" s="102" t="e">
        <f t="shared" si="398"/>
        <v>#N/A</v>
      </c>
      <c r="FL224" s="102" t="e">
        <f t="shared" si="399"/>
        <v>#N/A</v>
      </c>
      <c r="FM224" s="414" t="e">
        <f>IF(AND(FI224&gt;NDC!$C$63,FJ224&gt;NDC!$C$65,FK224&gt;NDC!$D$73,FL224&gt;NDC!$D$74,$B224&gt;NDC!$H$22-0.1+MIN(3*FM$12,1.5)),0,1)</f>
        <v>#N/A</v>
      </c>
    </row>
    <row r="225" spans="1:169">
      <c r="A225" s="96">
        <f t="shared" si="365"/>
        <v>78.800000000001205</v>
      </c>
      <c r="B225" s="97">
        <v>21.2</v>
      </c>
      <c r="C225" s="81">
        <f>IF(B225&lt;=Hypothèses!$C$7,Hypothèses!$A$7,IF(B225&lt;=Hypothèses!$C$8,Hypothèses!$A$8,IF(B225&lt;=Hypothèses!$C$9,Hypothèses!$A$9,IF(B225&lt;=Hypothèses!$C$10,Hypothèses!$A$10,IF(B225&lt;=Hypothèses!$C$11,Hypothèses!$A$11,IF(B225&lt;=Hypothèses!$C$12,Hypothèses!$A$12,IF(B225&lt;=Hypothèses!$C$13,Hypothèses!$A$13,IF(B225&lt;=Hypothèses!$C$14,Hypothèses!$A$14,IF(B225&lt;=Hypothèses!$C$15,Hypothèses!$A$15,IF(B225&lt;=Hypothèses!$C$16,Hypothèses!$A$16,IF(B225&lt;=Hypothèses!$C$17,Hypothèses!$A$17,IF(B225&lt;=Hypothèses!$C$18,Hypothèses!$A$18,C224))))))))))))</f>
        <v>11</v>
      </c>
      <c r="D225" s="82" t="str">
        <f>IF(B225&lt;=Hypothèses!$C$7,Hypothèses!$R$7,IF(B225&lt;=Hypothèses!$C$8,Hypothèses!$R$8,IF(B225&lt;=Hypothèses!$C$9,Hypothèses!$R$9,IF(B225&lt;=Hypothèses!$C$10,Hypothèses!$R$10,IF(B225&lt;=Hypothèses!$C$11,Hypothèses!$R$11,IF(B225&lt;=Hypothèses!$C$12,Hypothèses!$R$12,IF(B225&lt;=Hypothèses!$C$13,Hypothèses!$R$13,IF(B225&lt;=Hypothèses!$C$14,Hypothèses!$R$14,IF(B225&lt;=Hypothèses!$C$15,Hypothèses!$R$15,IF(B225&lt;=Hypothèses!$C$16,Hypothèses!$R$16,IF(B225&lt;=Hypothèses!$C$17,Hypothèses!$R$17,IF(B225&lt;=Hypothèses!$C$18,Hypothèses!$R$18,D224))))))))))))</f>
        <v>Pressio.</v>
      </c>
      <c r="E225" s="82" t="e">
        <f>IF(B225&lt;=Hypothèses!$C$7,Hypothèses!$G$7,IF(B225&lt;=Hypothèses!$C$8,Hypothèses!$G$8,IF(B225&lt;=Hypothèses!$C$9,Hypothèses!$G$9,IF(B225&lt;=Hypothèses!$C$10,Hypothèses!$G$10,IF(B225&lt;=Hypothèses!$C$11,Hypothèses!$G$11,IF(B225&lt;=Hypothèses!$C$12,Hypothèses!$G$12,IF(B225&lt;=Hypothèses!$C$13,Hypothèses!$G$13,IF(B225&lt;=Hypothèses!$C$14,Hypothèses!$G$14,IF(B225&lt;=Hypothèses!$C$15,Hypothèses!$G$15,IF(B225&lt;=Hypothèses!$C$16,Hypothèses!$G$16,IF(B225&lt;=Hypothèses!$C$17,Hypothèses!$G$17,IF(B225&lt;=Hypothèses!$C$18,Hypothèses!$G$18,E224))))))))))))</f>
        <v>#N/A</v>
      </c>
      <c r="F225" s="82" t="str">
        <f>IF(B225&lt;=Hypothèses!$C$7,Hypothèses!$F$7,IF(B225&lt;=Hypothèses!$C$8,Hypothèses!$F$8,IF(B225&lt;=Hypothèses!$C$9,Hypothèses!$F$9,IF(B225&lt;=Hypothèses!$C$10,Hypothèses!$F$10,IF(B225&lt;=Hypothèses!$C$11,Hypothèses!$F$11,IF(B225&lt;=Hypothèses!$C$12,Hypothèses!$F$12,IF(B225&lt;=Hypothèses!$C$13,Hypothèses!$F$13,IF(B225&lt;=Hypothèses!$C$14,Hypothèses!$F$14,IF(B225&lt;=Hypothèses!$C$15,Hypothèses!$F$15,IF(B225&lt;=Hypothèses!$C$16,Hypothèses!$F$16,IF(B225&lt;=Hypothèses!$C$17,Hypothèses!$F$17,IF(B225&lt;=Hypothèses!$C$18,Hypothèses!$F$18,F224))))))))))))</f>
        <v/>
      </c>
      <c r="G225" s="91">
        <f t="array" ref="G225">INDEX('Coeff EC7'!$U$7:$X$27,
MATCH(Model0.1T!$B$3,'Coeff EC7'!$T$7:$T$27,0),
MATCH(Model0.1T!$D225&amp;Model0.1T!$B$4,
'Coeff EC7'!$U$6:$X$6&amp;
'Coeff EC7'!$U$5:$X$5,0))</f>
        <v>1.4</v>
      </c>
      <c r="H225" s="91">
        <f t="array" ref="H225">INDEX('Coeff EC7'!$Y$7:$AB$27,
MATCH(Model0.1T!$B$3,'Coeff EC7'!$T$7:$T$27,0),
MATCH(Model0.1T!$D225&amp;Model0.1T!$B$4,
'Coeff EC7'!$Y$6:$AB$6&amp;
'Coeff EC7'!$Y$5:$AB$5,0))</f>
        <v>1.7</v>
      </c>
      <c r="I225" s="83">
        <v>0</v>
      </c>
      <c r="J225" s="91" t="e">
        <f t="array" ref="J225">INDEX('Coeff EC7'!$D$33:$Q$33,1,MATCH(D225&amp;E225,'Coeff EC7'!$D$31:$Q$31&amp;'Coeff EC7'!$D$32:$Q$32,0))</f>
        <v>#N/A</v>
      </c>
      <c r="K225" s="91" t="e">
        <f t="array" ref="K225">INDEX('Coeff EC7'!$D$34:$Q$34,1,MATCH(D225&amp;E225,'Coeff EC7'!$D$31:$Q$31&amp;'Coeff EC7'!$D$32:$Q$32,0))</f>
        <v>#N/A</v>
      </c>
      <c r="L225" s="91" t="e">
        <f t="array" ref="L225">INDEX('Coeff EC7'!$D$35:$Q$35,1,MATCH(D225&amp;E225,'Coeff EC7'!$D$31:$Q$31&amp;'Coeff EC7'!$D$32:$Q$32,0))</f>
        <v>#N/A</v>
      </c>
      <c r="M225" s="98" t="e">
        <f t="shared" si="331"/>
        <v>#N/A</v>
      </c>
      <c r="N225" s="99" t="e">
        <f t="array" ref="N225">INDEX('Coeff EC7'!$D$7:$Q$27,MATCH($B$3,'Coeff EC7'!$C$7:$C$27,0),MATCH(D225&amp;E225,'Coeff EC7'!$D$5:$Q$5&amp;'Coeff EC7'!$D$6:$Q$6,0))</f>
        <v>#N/A</v>
      </c>
      <c r="O225" s="99" t="e">
        <f t="array" ref="O225">INDEX('Coeff EC7'!$D$41:$Q$61,MATCH($B$3,'Coeff EC7'!$C$41:$C$61,0),MATCH(D225&amp;E225,'Coeff EC7'!$D$39:$Q$39&amp;'Coeff EC7'!$D$40:$Q$40,0))</f>
        <v>#N/A</v>
      </c>
      <c r="P225" s="30" t="e">
        <f t="shared" si="366"/>
        <v>#N/A</v>
      </c>
      <c r="Q225" s="100" t="e">
        <f t="shared" si="333"/>
        <v>#N/A</v>
      </c>
      <c r="R225" s="86" t="b">
        <f t="shared" si="334"/>
        <v>0</v>
      </c>
      <c r="S225" s="86">
        <f t="shared" si="332"/>
        <v>0.5</v>
      </c>
      <c r="T225" s="86">
        <f t="shared" si="335"/>
        <v>0.5</v>
      </c>
      <c r="U225" s="30" t="e">
        <f t="shared" ca="1" si="367"/>
        <v>#DIV/0!</v>
      </c>
      <c r="V225" s="85" t="str">
        <f>IF(B225&lt;=Hypothèses!$V$7,Hypothèses!$W$7,IF(B225&lt;=Hypothèses!$V$8,Hypothèses!$W$8,IF(B225&lt;=Hypothèses!$V$9,Hypothèses!$W$9,IF(B225&lt;=Hypothèses!$V$10,Hypothèses!$W$10,IF(B225&lt;=Hypothèses!$V$11,Hypothèses!$W$11,IF(B225&lt;=Hypothèses!$V$12,Hypothèses!$W$12,IF(B225&lt;=Hypothèses!$V$13,Hypothèses!$W$13,IF(B225&lt;=Hypothèses!$V$14,Hypothèses!$W$14,IF(B225&lt;=Hypothèses!$V$15,Hypothèses!$W$15,IF(B225&lt;=Hypothèses!$V$16,Hypothèses!$W$16,IF(B225&lt;=Hypothèses!$V$17,Hypothèses!$W$17,IF(B225&lt;=Hypothèses!$V$18,Hypothèses!$W$18,""))))))))))))</f>
        <v/>
      </c>
      <c r="W225" s="87" t="e">
        <f t="shared" ca="1" si="416"/>
        <v>#DIV/0!</v>
      </c>
      <c r="X225" s="88" t="str">
        <f>IF(B225&lt;=Hypothèses!$V$7,Hypothèses!$X$7,IF(B225&lt;=Hypothèses!$V$8,Hypothèses!$X$8,IF(B225&lt;=Hypothèses!$V$9,Hypothèses!$X$9,IF(B225&lt;=Hypothèses!$V$10,Hypothèses!$X$10,IF(B225&lt;=Hypothèses!$V$11,Hypothèses!$X$11,IF(B225&lt;=Hypothèses!$V$12,Hypothèses!$X$12,IF(B225&lt;=Hypothèses!$V$13,Hypothèses!$X$13,IF(B225&lt;=Hypothèses!$V$14,Hypothèses!$X$14,IF(B225&lt;=Hypothèses!$V$15,Hypothèses!$X$15,IF(B225&lt;=Hypothèses!$V$16,Hypothèses!$X$16,IF(B225&lt;=Hypothèses!$U$17,Hypothèses!$W$17,IF(B225&lt;=Hypothèses!$U$18,Hypothèses!$W$18,""))))))))))))</f>
        <v/>
      </c>
      <c r="Y225" s="95" t="e">
        <f t="shared" ca="1" si="336"/>
        <v>#DIV/0!</v>
      </c>
      <c r="Z225" s="101">
        <f t="shared" si="337"/>
        <v>0</v>
      </c>
      <c r="AA225" s="91">
        <f t="shared" si="338"/>
        <v>0</v>
      </c>
      <c r="AB225" s="30" t="e">
        <f t="shared" si="400"/>
        <v>#N/A</v>
      </c>
      <c r="AC225" s="30" t="e">
        <f t="shared" si="401"/>
        <v>#N/A</v>
      </c>
      <c r="AD225" s="31" t="e">
        <f>IF(OR(Hypothèses!$B$4=17,Hypothèses!$B$4=18,Hypothèses!$B$4=19,Hypothèses!$B$4=20),
IF($D225="Pressio.",
IF(OR($E225=3,$E225=1,$E225=4),AC225,AB225),
IF($D225="Pénétro.",
IF(OR($E225=3,$E225=1,$E225=4),AC225,AB225))),IF($D225="Pressio.",
IF($E225=3,AC225,AB225),
IF($D225="Pénétro.",
IF($E225=4,AC225,AB225))))</f>
        <v>#N/A</v>
      </c>
      <c r="AE225" s="31">
        <v>0</v>
      </c>
      <c r="AF225" s="102" t="e">
        <f>IF(NDC!$H$10="Oui",(VLOOKUP($B$3,'Coeff EC7'!$T$39:$X$59,2,0)*AD225+VLOOKUP($B$3,'Coeff EC7'!$T$65:$X$85,2,0)*Model0.1T!AE225)/1.5,PI()*AB$12*$Q225*($B225-$B224)*0.15/10+AF224)</f>
        <v>#N/A</v>
      </c>
      <c r="AG225" s="102" t="e">
        <f>(VLOOKUP($B$3,'Coeff EC7'!$T$39:$X$59,3,0)*AD225+VLOOKUP($B$3,'Coeff EC7'!$T$65:$X$85,3,0)*Model0.1T!AE225)/1.1</f>
        <v>#N/A</v>
      </c>
      <c r="AH225" s="102" t="e">
        <f t="shared" si="368"/>
        <v>#N/A</v>
      </c>
      <c r="AI225" s="102" t="e">
        <f t="shared" si="369"/>
        <v>#N/A</v>
      </c>
      <c r="AJ225" s="414" t="e">
        <f>IF(AND(AF225&gt;NDC!$C$63,AG225&gt;NDC!$C$65,AH225&gt;NDC!$D$73,AI225&gt;NDC!$D$74,$B225&gt;NDC!$H$22-0.1+MIN(3*$AJ$12,1.5)),0,1)</f>
        <v>#N/A</v>
      </c>
      <c r="AK225" s="86" t="b">
        <f t="shared" si="339"/>
        <v>0</v>
      </c>
      <c r="AL225" s="86">
        <f t="shared" si="370"/>
        <v>0.5</v>
      </c>
      <c r="AM225" s="86">
        <f t="shared" si="340"/>
        <v>0.5</v>
      </c>
      <c r="AN225" s="30" t="e">
        <f t="shared" ca="1" si="371"/>
        <v>#DIV/0!</v>
      </c>
      <c r="AO225" s="85" t="e">
        <f ca="1">IF(U225&lt;=Hypothèses!$V$7,Hypothèses!$W$7,IF(U225&lt;=Hypothèses!$V$8,Hypothèses!$W$8,IF(U225&lt;=Hypothèses!$V$9,Hypothèses!$W$9,IF(U225&lt;=Hypothèses!$V$10,Hypothèses!$W$10,IF(U225&lt;=Hypothèses!$V$11,Hypothèses!$W$11,IF(U225&lt;=Hypothèses!$V$12,Hypothèses!$W$12,IF(U225&lt;=Hypothèses!$V$13,Hypothèses!$W$13,IF(U225&lt;=Hypothèses!$V$14,Hypothèses!$W$14,IF(U225&lt;=Hypothèses!$V$15,Hypothèses!$W$15,IF(U225&lt;=Hypothèses!$V$16,Hypothèses!$W$16,IF(U225&lt;=Hypothèses!$V$17,Hypothèses!$W$17,IF(U225&lt;=Hypothèses!$V$18,Hypothèses!$W$18,""))))))))))))</f>
        <v>#DIV/0!</v>
      </c>
      <c r="AP225" s="87" t="e">
        <f t="shared" ca="1" si="417"/>
        <v>#DIV/0!</v>
      </c>
      <c r="AQ225" s="88" t="e">
        <f ca="1">IF(U225&lt;=Hypothèses!$V$7,Hypothèses!$X$7,IF(U225&lt;=Hypothèses!$V$8,Hypothèses!$X$8,IF(U225&lt;=Hypothèses!$V$9,Hypothèses!$X$9,IF(U225&lt;=Hypothèses!$V$10,Hypothèses!$X$10,IF(U225&lt;=Hypothèses!$V$11,Hypothèses!$X$11,IF(U225&lt;=Hypothèses!$V$12,Hypothèses!$X$12,IF(U225&lt;=Hypothèses!$V$13,Hypothèses!$X$13,IF(U225&lt;=Hypothèses!$V$14,Hypothèses!$X$14,IF(U225&lt;=Hypothèses!$V$15,Hypothèses!$X$15,IF(U225&lt;=Hypothèses!$V$16,Hypothèses!$X$16,IF(U225&lt;=Hypothèses!$U$17,Hypothèses!$W$17,IF(U225&lt;=Hypothèses!$U$18,Hypothèses!$W$18,""))))))))))))</f>
        <v>#DIV/0!</v>
      </c>
      <c r="AR225" s="95" t="e">
        <f t="shared" ca="1" si="372"/>
        <v>#DIV/0!</v>
      </c>
      <c r="AS225" s="101">
        <f t="shared" si="424"/>
        <v>0</v>
      </c>
      <c r="AT225" s="91">
        <f t="shared" si="341"/>
        <v>0</v>
      </c>
      <c r="AU225" s="30" t="e">
        <f t="shared" si="402"/>
        <v>#N/A</v>
      </c>
      <c r="AV225" s="30" t="e">
        <f t="shared" si="403"/>
        <v>#N/A</v>
      </c>
      <c r="AW225" s="31" t="e">
        <f>IF(OR(Hypothèses!$B$4=17,Hypothèses!$B$4=18,Hypothèses!$B$4=19,Hypothèses!$B$4=20),
IF($D225="Pressio.",
IF(OR($E225=3,$E225=1,$E225=4),AV225,AU225),
IF($D225="Pénétro.",
IF(OR($E225=3,$E225=1,$E225=4),AV225,AU225))),IF($D225="Pressio.",
IF($E225=3,AV225,AU225),
IF($D225="Pénétro.",
IF($E225=4,AV225,AU225))))</f>
        <v>#N/A</v>
      </c>
      <c r="AX225" s="31">
        <v>0</v>
      </c>
      <c r="AY225" s="102" t="e">
        <f>IF(NDC!$H$10="Oui",(VLOOKUP($B$3,'Coeff EC7'!$T$39:$X$59,2,0)*AW225+VLOOKUP($B$3,'Coeff EC7'!$T$65:$X$85,2,0)*Model0.1T!AX225)/1.5,PI()*AU$12*$Q225*($B225-$B224)*0.15/10+AY224)</f>
        <v>#N/A</v>
      </c>
      <c r="AZ225" s="102" t="e">
        <f>(VLOOKUP($B$3,'Coeff EC7'!$T$39:$X$59,3,0)*AW225+VLOOKUP($B$3,'Coeff EC7'!$T$65:$X$85,3,0)*Model0.1T!AX225)/1.1</f>
        <v>#N/A</v>
      </c>
      <c r="BA225" s="102" t="e">
        <f t="shared" si="373"/>
        <v>#N/A</v>
      </c>
      <c r="BB225" s="102" t="e">
        <f t="shared" si="374"/>
        <v>#N/A</v>
      </c>
      <c r="BC225" s="414" t="e">
        <f>IF(AND(AY225&gt;NDC!$C$63,AZ225&gt;NDC!$C$65,BA225&gt;NDC!$D$73,BB225&gt;NDC!$D$74,$B225&gt;NDC!$H$22-0.1+MIN(3*BC$12,1.5)),0,1)</f>
        <v>#N/A</v>
      </c>
      <c r="BD225" s="86" t="b">
        <f t="shared" si="342"/>
        <v>0</v>
      </c>
      <c r="BE225" s="86">
        <f t="shared" si="375"/>
        <v>0.5</v>
      </c>
      <c r="BF225" s="86">
        <f t="shared" si="343"/>
        <v>0.5</v>
      </c>
      <c r="BG225" s="30" t="e">
        <f t="shared" ca="1" si="376"/>
        <v>#DIV/0!</v>
      </c>
      <c r="BH225" s="85" t="e">
        <f ca="1">IF(AN225&lt;=Hypothèses!$V$7,Hypothèses!$W$7,IF(AN225&lt;=Hypothèses!$V$8,Hypothèses!$W$8,IF(AN225&lt;=Hypothèses!$V$9,Hypothèses!$W$9,IF(AN225&lt;=Hypothèses!$V$10,Hypothèses!$W$10,IF(AN225&lt;=Hypothèses!$V$11,Hypothèses!$W$11,IF(AN225&lt;=Hypothèses!$V$12,Hypothèses!$W$12,IF(AN225&lt;=Hypothèses!$V$13,Hypothèses!$W$13,IF(AN225&lt;=Hypothèses!$V$14,Hypothèses!$W$14,IF(AN225&lt;=Hypothèses!$V$15,Hypothèses!$W$15,IF(AN225&lt;=Hypothèses!$V$16,Hypothèses!$W$16,IF(AN225&lt;=Hypothèses!$V$17,Hypothèses!$W$17,IF(AN225&lt;=Hypothèses!$V$18,Hypothèses!$W$18,""))))))))))))</f>
        <v>#DIV/0!</v>
      </c>
      <c r="BI225" s="87" t="e">
        <f t="shared" ca="1" si="418"/>
        <v>#DIV/0!</v>
      </c>
      <c r="BJ225" s="88" t="e">
        <f ca="1">IF(AN225&lt;=Hypothèses!$V$7,Hypothèses!$X$7,IF(AN225&lt;=Hypothèses!$V$8,Hypothèses!$X$8,IF(AN225&lt;=Hypothèses!$V$9,Hypothèses!$X$9,IF(AN225&lt;=Hypothèses!$V$10,Hypothèses!$X$10,IF(AN225&lt;=Hypothèses!$V$11,Hypothèses!$X$11,IF(AN225&lt;=Hypothèses!$V$12,Hypothèses!$X$12,IF(AN225&lt;=Hypothèses!$V$13,Hypothèses!$X$13,IF(AN225&lt;=Hypothèses!$V$14,Hypothèses!$X$14,IF(AN225&lt;=Hypothèses!$V$15,Hypothèses!$X$15,IF(AN225&lt;=Hypothèses!$V$16,Hypothèses!$X$16,IF(AN225&lt;=Hypothèses!$U$17,Hypothèses!$W$17,IF(AN225&lt;=Hypothèses!$U$18,Hypothèses!$W$18,""))))))))))))</f>
        <v>#DIV/0!</v>
      </c>
      <c r="BK225" s="95" t="e">
        <f t="shared" ca="1" si="377"/>
        <v>#DIV/0!</v>
      </c>
      <c r="BL225" s="101">
        <f t="shared" si="425"/>
        <v>0</v>
      </c>
      <c r="BM225" s="91">
        <f t="shared" si="344"/>
        <v>0</v>
      </c>
      <c r="BN225" s="30" t="e">
        <f t="shared" si="404"/>
        <v>#N/A</v>
      </c>
      <c r="BO225" s="30" t="e">
        <f t="shared" si="405"/>
        <v>#N/A</v>
      </c>
      <c r="BP225" s="31" t="e">
        <f>IF(OR(Hypothèses!$B$4=17,Hypothèses!$B$4=18,Hypothèses!$B$4=19,Hypothèses!$B$4=20),
IF($D225="Pressio.",
IF(OR($E225=3,$E225=1,$E225=4),BO225,BN225),
IF($D225="Pénétro.",
IF(OR($E225=3,$E225=1,$E225=4),BO225,BN225))),IF($D225="Pressio.",
IF($E225=3,BO225,BN225),
IF($D225="Pénétro.",
IF($E225=4,BO225,BN225))))</f>
        <v>#N/A</v>
      </c>
      <c r="BQ225" s="31">
        <v>0</v>
      </c>
      <c r="BR225" s="102" t="e">
        <f>IF(NDC!$H$10="Oui",(VLOOKUP($B$3,'Coeff EC7'!$T$39:$X$59,2,0)*BP225+VLOOKUP($B$3,'Coeff EC7'!$T$65:$X$85,2,0)*Model0.1T!BQ225)/1.5,PI()*BN$12*$Q225*($B225-$B224)*0.15/10+BR224)</f>
        <v>#N/A</v>
      </c>
      <c r="BS225" s="102" t="e">
        <f>(VLOOKUP($B$3,'Coeff EC7'!$T$39:$X$59,3,0)*BP225+VLOOKUP($B$3,'Coeff EC7'!$T$65:$X$85,3,0)*Model0.1T!BQ225)/1.1</f>
        <v>#N/A</v>
      </c>
      <c r="BT225" s="102" t="e">
        <f t="shared" si="378"/>
        <v>#N/A</v>
      </c>
      <c r="BU225" s="102" t="e">
        <f t="shared" si="379"/>
        <v>#N/A</v>
      </c>
      <c r="BV225" s="414" t="e">
        <f>IF(AND(BR225&gt;NDC!$C$63,BS225&gt;NDC!$C$65,BT225&gt;NDC!$D$73,BU225&gt;NDC!$D$74,$B225&gt;NDC!$H$22-0.1+MIN(3*BV$12,1.5)),0,1)</f>
        <v>#N/A</v>
      </c>
      <c r="BW225" s="86" t="b">
        <f t="shared" si="345"/>
        <v>0</v>
      </c>
      <c r="BX225" s="86">
        <f t="shared" si="346"/>
        <v>0.5</v>
      </c>
      <c r="BY225" s="86">
        <f t="shared" si="347"/>
        <v>0.5</v>
      </c>
      <c r="BZ225" s="30" t="e">
        <f t="shared" ca="1" si="380"/>
        <v>#DIV/0!</v>
      </c>
      <c r="CA225" s="85" t="e">
        <f ca="1">IF(BG225&lt;=Hypothèses!$V$7,Hypothèses!$W$7,IF(BG225&lt;=Hypothèses!$V$8,Hypothèses!$W$8,IF(BG225&lt;=Hypothèses!$V$9,Hypothèses!$W$9,IF(BG225&lt;=Hypothèses!$V$10,Hypothèses!$W$10,IF(BG225&lt;=Hypothèses!$V$11,Hypothèses!$W$11,IF(BG225&lt;=Hypothèses!$V$12,Hypothèses!$W$12,IF(BG225&lt;=Hypothèses!$V$13,Hypothèses!$W$13,IF(BG225&lt;=Hypothèses!$V$14,Hypothèses!$W$14,IF(BG225&lt;=Hypothèses!$V$15,Hypothèses!$W$15,IF(BG225&lt;=Hypothèses!$V$16,Hypothèses!$W$16,IF(BG225&lt;=Hypothèses!$V$17,Hypothèses!$W$17,IF(BG225&lt;=Hypothèses!$V$18,Hypothèses!$W$18,""))))))))))))</f>
        <v>#DIV/0!</v>
      </c>
      <c r="CB225" s="87" t="e">
        <f t="shared" ca="1" si="419"/>
        <v>#DIV/0!</v>
      </c>
      <c r="CC225" s="88" t="e">
        <f ca="1">IF(BG225&lt;=Hypothèses!$V$7,Hypothèses!$X$7,IF(BG225&lt;=Hypothèses!$V$8,Hypothèses!$X$8,IF(BG225&lt;=Hypothèses!$V$9,Hypothèses!$X$9,IF(BG225&lt;=Hypothèses!$V$10,Hypothèses!$X$10,IF(BG225&lt;=Hypothèses!$V$11,Hypothèses!$X$11,IF(BG225&lt;=Hypothèses!$V$12,Hypothèses!$X$12,IF(BG225&lt;=Hypothèses!$V$13,Hypothèses!$X$13,IF(BG225&lt;=Hypothèses!$V$14,Hypothèses!$X$14,IF(BG225&lt;=Hypothèses!$V$15,Hypothèses!$X$15,IF(BG225&lt;=Hypothèses!$V$16,Hypothèses!$X$16,IF(BG225&lt;=Hypothèses!$U$17,Hypothèses!$W$17,IF(BG225&lt;=Hypothèses!$U$18,Hypothèses!$W$18,""))))))))))))</f>
        <v>#DIV/0!</v>
      </c>
      <c r="CD225" s="95" t="e">
        <f t="shared" ca="1" si="381"/>
        <v>#DIV/0!</v>
      </c>
      <c r="CE225" s="101">
        <f t="shared" si="426"/>
        <v>0</v>
      </c>
      <c r="CF225" s="91">
        <f t="shared" si="348"/>
        <v>0</v>
      </c>
      <c r="CG225" s="30" t="e">
        <f t="shared" si="406"/>
        <v>#N/A</v>
      </c>
      <c r="CH225" s="30" t="e">
        <f t="shared" si="407"/>
        <v>#N/A</v>
      </c>
      <c r="CI225" s="31" t="e">
        <f>IF(OR(Hypothèses!$B$4=17,Hypothèses!$B$4=18,Hypothèses!$B$4=19,Hypothèses!$B$4=20),
IF($D225="Pressio.",
IF(OR($E225=3,$E225=1,$E225=4),CH225,CG225),
IF($D225="Pénétro.",
IF(OR($E225=3,$E225=1,$E225=4),CH225,CG225))),IF($D225="Pressio.",
IF($E225=3,CH225,CG225),
IF($D225="Pénétro.",
IF($E225=4,CH225,CG225))))</f>
        <v>#N/A</v>
      </c>
      <c r="CJ225" s="31">
        <v>0</v>
      </c>
      <c r="CK225" s="102" t="e">
        <f>IF(NDC!$H$10="Oui",(VLOOKUP($B$3,'Coeff EC7'!$T$39:$X$59,2,0)*CI225+VLOOKUP($B$3,'Coeff EC7'!$T$65:$X$85,2,0)*Model0.1T!CJ225)/1.5,PI()*CG$12*$Q225*($B225-$B224)*0.15/10+CK224)</f>
        <v>#N/A</v>
      </c>
      <c r="CL225" s="102" t="e">
        <f>(VLOOKUP($B$3,'Coeff EC7'!$T$39:$X$59,3,0)*CI225+VLOOKUP($B$3,'Coeff EC7'!$T$65:$X$85,3,0)*Model0.1T!CJ225)/1.1</f>
        <v>#N/A</v>
      </c>
      <c r="CM225" s="102" t="e">
        <f t="shared" si="382"/>
        <v>#N/A</v>
      </c>
      <c r="CN225" s="102" t="e">
        <f t="shared" si="383"/>
        <v>#N/A</v>
      </c>
      <c r="CO225" s="414" t="e">
        <f>IF(AND(CK225&gt;NDC!$C$63,CL225&gt;NDC!$C$65,CM225&gt;NDC!$D$73,CN225&gt;NDC!$D$74,$B225&gt;NDC!$H$22-0.1+MIN(3*CO$12,1.5)),0,1)</f>
        <v>#N/A</v>
      </c>
      <c r="CP225" s="86" t="b">
        <f t="shared" si="349"/>
        <v>0</v>
      </c>
      <c r="CQ225" s="86">
        <f t="shared" si="350"/>
        <v>0.5</v>
      </c>
      <c r="CR225" s="86">
        <f t="shared" si="351"/>
        <v>0.5</v>
      </c>
      <c r="CS225" s="30" t="e">
        <f t="shared" ca="1" si="384"/>
        <v>#DIV/0!</v>
      </c>
      <c r="CT225" s="85" t="e">
        <f ca="1">IF(BZ225&lt;=Hypothèses!$V$7,Hypothèses!$W$7,IF(BZ225&lt;=Hypothèses!$V$8,Hypothèses!$W$8,IF(BZ225&lt;=Hypothèses!$V$9,Hypothèses!$W$9,IF(BZ225&lt;=Hypothèses!$V$10,Hypothèses!$W$10,IF(BZ225&lt;=Hypothèses!$V$11,Hypothèses!$W$11,IF(BZ225&lt;=Hypothèses!$V$12,Hypothèses!$W$12,IF(BZ225&lt;=Hypothèses!$V$13,Hypothèses!$W$13,IF(BZ225&lt;=Hypothèses!$V$14,Hypothèses!$W$14,IF(BZ225&lt;=Hypothèses!$V$15,Hypothèses!$W$15,IF(BZ225&lt;=Hypothèses!$V$16,Hypothèses!$W$16,IF(BZ225&lt;=Hypothèses!$V$17,Hypothèses!$W$17,IF(BZ225&lt;=Hypothèses!$V$18,Hypothèses!$W$18,""))))))))))))</f>
        <v>#DIV/0!</v>
      </c>
      <c r="CU225" s="87" t="e">
        <f t="shared" ca="1" si="420"/>
        <v>#DIV/0!</v>
      </c>
      <c r="CV225" s="88" t="e">
        <f ca="1">IF(BZ225&lt;=Hypothèses!$V$7,Hypothèses!$X$7,IF(BZ225&lt;=Hypothèses!$V$8,Hypothèses!$X$8,IF(BZ225&lt;=Hypothèses!$V$9,Hypothèses!$X$9,IF(BZ225&lt;=Hypothèses!$V$10,Hypothèses!$X$10,IF(BZ225&lt;=Hypothèses!$V$11,Hypothèses!$X$11,IF(BZ225&lt;=Hypothèses!$V$12,Hypothèses!$X$12,IF(BZ225&lt;=Hypothèses!$V$13,Hypothèses!$X$13,IF(BZ225&lt;=Hypothèses!$V$14,Hypothèses!$X$14,IF(BZ225&lt;=Hypothèses!$V$15,Hypothèses!$X$15,IF(BZ225&lt;=Hypothèses!$V$16,Hypothèses!$X$16,IF(BZ225&lt;=Hypothèses!$U$17,Hypothèses!$W$17,IF(BZ225&lt;=Hypothèses!$U$18,Hypothèses!$W$18,""))))))))))))</f>
        <v>#DIV/0!</v>
      </c>
      <c r="CW225" s="95" t="e">
        <f t="shared" ca="1" si="385"/>
        <v>#DIV/0!</v>
      </c>
      <c r="CX225" s="101">
        <f t="shared" si="427"/>
        <v>0</v>
      </c>
      <c r="CY225" s="91">
        <f t="shared" si="352"/>
        <v>0</v>
      </c>
      <c r="CZ225" s="30" t="e">
        <f t="shared" si="408"/>
        <v>#N/A</v>
      </c>
      <c r="DA225" s="30" t="e">
        <f t="shared" si="409"/>
        <v>#N/A</v>
      </c>
      <c r="DB225" s="31" t="e">
        <f>IF(OR(Hypothèses!$B$4=17,Hypothèses!$B$4=18,Hypothèses!$B$4=19,Hypothèses!$B$4=20),
IF($D225="Pressio.",
IF(OR($E225=3,$E225=1,$E225=4),DA225,CZ225),
IF($D225="Pénétro.",
IF(OR($E225=3,$E225=1,$E225=4),DA225,CZ225))),IF($D225="Pressio.",
IF($E225=3,DA225,CZ225),
IF($D225="Pénétro.",
IF($E225=4,DA225,CZ225))))</f>
        <v>#N/A</v>
      </c>
      <c r="DC225" s="31">
        <v>0</v>
      </c>
      <c r="DD225" s="102" t="e">
        <f>IF(NDC!$H$10="Oui",(VLOOKUP($B$3,'Coeff EC7'!$T$39:$X$59,2,0)*DB225+VLOOKUP($B$3,'Coeff EC7'!$T$65:$X$85,2,0)*Model0.1T!DC225)/1.5,PI()*CZ$12*$Q225*($B225-$B224)*0.15/10+DD224)</f>
        <v>#N/A</v>
      </c>
      <c r="DE225" s="102" t="e">
        <f>(VLOOKUP($B$3,'Coeff EC7'!$T$39:$X$59,3,0)*DB225+VLOOKUP($B$3,'Coeff EC7'!$T$65:$X$85,3,0)*Model0.1T!DC225)/1.1</f>
        <v>#N/A</v>
      </c>
      <c r="DF225" s="102" t="e">
        <f t="shared" si="386"/>
        <v>#N/A</v>
      </c>
      <c r="DG225" s="102" t="e">
        <f t="shared" si="387"/>
        <v>#N/A</v>
      </c>
      <c r="DH225" s="414" t="e">
        <f>IF(AND(DD225&gt;NDC!$C$63,DE225&gt;NDC!$C$65,DF225&gt;NDC!$D$73,DG225&gt;NDC!$D$74,$B225&gt;NDC!$H$22-0.1+MIN(3*DH$12,1.5)),0,1)</f>
        <v>#N/A</v>
      </c>
      <c r="DI225" s="86" t="b">
        <f t="shared" si="353"/>
        <v>0</v>
      </c>
      <c r="DJ225" s="86">
        <f t="shared" si="354"/>
        <v>0.5</v>
      </c>
      <c r="DK225" s="86">
        <f t="shared" si="355"/>
        <v>0.5</v>
      </c>
      <c r="DL225" s="30" t="e">
        <f t="shared" ca="1" si="388"/>
        <v>#DIV/0!</v>
      </c>
      <c r="DM225" s="85" t="e">
        <f ca="1">IF(CS225&lt;=Hypothèses!$V$7,Hypothèses!$W$7,IF(CS225&lt;=Hypothèses!$V$8,Hypothèses!$W$8,IF(CS225&lt;=Hypothèses!$V$9,Hypothèses!$W$9,IF(CS225&lt;=Hypothèses!$V$10,Hypothèses!$W$10,IF(CS225&lt;=Hypothèses!$V$11,Hypothèses!$W$11,IF(CS225&lt;=Hypothèses!$V$12,Hypothèses!$W$12,IF(CS225&lt;=Hypothèses!$V$13,Hypothèses!$W$13,IF(CS225&lt;=Hypothèses!$V$14,Hypothèses!$W$14,IF(CS225&lt;=Hypothèses!$V$15,Hypothèses!$W$15,IF(CS225&lt;=Hypothèses!$V$16,Hypothèses!$W$16,IF(CS225&lt;=Hypothèses!$V$17,Hypothèses!$W$17,IF(CS225&lt;=Hypothèses!$V$18,Hypothèses!$W$18,""))))))))))))</f>
        <v>#DIV/0!</v>
      </c>
      <c r="DN225" s="87" t="e">
        <f t="shared" ca="1" si="421"/>
        <v>#DIV/0!</v>
      </c>
      <c r="DO225" s="88" t="e">
        <f ca="1">IF(CS225&lt;=Hypothèses!$V$7,Hypothèses!$X$7,IF(CS225&lt;=Hypothèses!$V$8,Hypothèses!$X$8,IF(CS225&lt;=Hypothèses!$V$9,Hypothèses!$X$9,IF(CS225&lt;=Hypothèses!$V$10,Hypothèses!$X$10,IF(CS225&lt;=Hypothèses!$V$11,Hypothèses!$X$11,IF(CS225&lt;=Hypothèses!$V$12,Hypothèses!$X$12,IF(CS225&lt;=Hypothèses!$V$13,Hypothèses!$X$13,IF(CS225&lt;=Hypothèses!$V$14,Hypothèses!$X$14,IF(CS225&lt;=Hypothèses!$V$15,Hypothèses!$X$15,IF(CS225&lt;=Hypothèses!$V$16,Hypothèses!$X$16,IF(CS225&lt;=Hypothèses!$U$17,Hypothèses!$W$17,IF(CS225&lt;=Hypothèses!$U$18,Hypothèses!$W$18,""))))))))))))</f>
        <v>#DIV/0!</v>
      </c>
      <c r="DP225" s="95" t="e">
        <f t="shared" ca="1" si="389"/>
        <v>#DIV/0!</v>
      </c>
      <c r="DQ225" s="101">
        <f t="shared" si="428"/>
        <v>0</v>
      </c>
      <c r="DR225" s="91">
        <f t="shared" si="356"/>
        <v>0</v>
      </c>
      <c r="DS225" s="30" t="e">
        <f t="shared" si="410"/>
        <v>#N/A</v>
      </c>
      <c r="DT225" s="30" t="e">
        <f t="shared" si="411"/>
        <v>#N/A</v>
      </c>
      <c r="DU225" s="31" t="e">
        <f>IF(OR(Hypothèses!$B$4=17,Hypothèses!$B$4=18,Hypothèses!$B$4=19,Hypothèses!$B$4=20),
IF($D225="Pressio.",
IF(OR($E225=3,$E225=1,$E225=4),DT225,DS225),
IF($D225="Pénétro.",
IF(OR($E225=3,$E225=1,$E225=4),DT225,DS225))),IF($D225="Pressio.",
IF($E225=3,DT225,DS225),
IF($D225="Pénétro.",
IF($E225=4,DT225,DS225))))</f>
        <v>#N/A</v>
      </c>
      <c r="DV225" s="31">
        <v>0</v>
      </c>
      <c r="DW225" s="102" t="e">
        <f>IF(NDC!$H$10="Oui",(VLOOKUP($B$3,'Coeff EC7'!$T$39:$X$59,2,0)*DU225+VLOOKUP($B$3,'Coeff EC7'!$T$65:$X$85,2,0)*Model0.1T!DV225)/1.5,PI()*DS$12*$Q225*($B225-$B224)*0.15/10+DW224)</f>
        <v>#N/A</v>
      </c>
      <c r="DX225" s="102" t="e">
        <f>(VLOOKUP($B$3,'Coeff EC7'!$T$39:$X$59,3,0)*DU225+VLOOKUP($B$3,'Coeff EC7'!$T$65:$X$85,3,0)*Model0.1T!DV225)/1.1</f>
        <v>#N/A</v>
      </c>
      <c r="DY225" s="102" t="e">
        <f t="shared" si="390"/>
        <v>#N/A</v>
      </c>
      <c r="DZ225" s="102" t="e">
        <f t="shared" si="391"/>
        <v>#N/A</v>
      </c>
      <c r="EA225" s="414" t="e">
        <f>IF(AND(DW225&gt;NDC!$C$63,DX225&gt;NDC!$C$65,DY225&gt;NDC!$D$73,DZ225&gt;NDC!$D$74,$B225&gt;NDC!$H$22-0.1+MIN(3*EA$12,1.5)),0,1)</f>
        <v>#N/A</v>
      </c>
      <c r="EB225" s="86" t="b">
        <f t="shared" si="357"/>
        <v>0</v>
      </c>
      <c r="EC225" s="418">
        <f t="shared" si="358"/>
        <v>0.51</v>
      </c>
      <c r="ED225" s="86">
        <f t="shared" si="359"/>
        <v>0.51</v>
      </c>
      <c r="EE225" s="30" t="e">
        <f t="shared" ca="1" si="392"/>
        <v>#DIV/0!</v>
      </c>
      <c r="EF225" s="85" t="e">
        <f ca="1">IF(DL225&lt;=Hypothèses!$V$7,Hypothèses!$W$7,IF(DL225&lt;=Hypothèses!$V$8,Hypothèses!$W$8,IF(DL225&lt;=Hypothèses!$V$9,Hypothèses!$W$9,IF(DL225&lt;=Hypothèses!$V$10,Hypothèses!$W$10,IF(DL225&lt;=Hypothèses!$V$11,Hypothèses!$W$11,IF(DL225&lt;=Hypothèses!$V$12,Hypothèses!$W$12,IF(DL225&lt;=Hypothèses!$V$13,Hypothèses!$W$13,IF(DL225&lt;=Hypothèses!$V$14,Hypothèses!$W$14,IF(DL225&lt;=Hypothèses!$V$15,Hypothèses!$W$15,IF(DL225&lt;=Hypothèses!$V$16,Hypothèses!$W$16,IF(DL225&lt;=Hypothèses!$V$17,Hypothèses!$W$17,IF(DL225&lt;=Hypothèses!$V$18,Hypothèses!$W$18,""))))))))))))</f>
        <v>#DIV/0!</v>
      </c>
      <c r="EG225" s="87" t="e">
        <f t="shared" ca="1" si="422"/>
        <v>#DIV/0!</v>
      </c>
      <c r="EH225" s="88" t="e">
        <f ca="1">IF(DL225&lt;=Hypothèses!$V$7,Hypothèses!$X$7,IF(DL225&lt;=Hypothèses!$V$8,Hypothèses!$X$8,IF(DL225&lt;=Hypothèses!$V$9,Hypothèses!$X$9,IF(DL225&lt;=Hypothèses!$V$10,Hypothèses!$X$10,IF(DL225&lt;=Hypothèses!$V$11,Hypothèses!$X$11,IF(DL225&lt;=Hypothèses!$V$12,Hypothèses!$X$12,IF(DL225&lt;=Hypothèses!$V$13,Hypothèses!$X$13,IF(DL225&lt;=Hypothèses!$V$14,Hypothèses!$X$14,IF(DL225&lt;=Hypothèses!$V$15,Hypothèses!$X$15,IF(DL225&lt;=Hypothèses!$V$16,Hypothèses!$X$16,IF(DL225&lt;=Hypothèses!$U$17,Hypothèses!$W$17,IF(DL225&lt;=Hypothèses!$U$18,Hypothèses!$W$18,""))))))))))))</f>
        <v>#DIV/0!</v>
      </c>
      <c r="EI225" s="95" t="e">
        <f t="shared" ca="1" si="393"/>
        <v>#DIV/0!</v>
      </c>
      <c r="EJ225" s="101">
        <f t="shared" si="429"/>
        <v>0</v>
      </c>
      <c r="EK225" s="91">
        <f t="shared" si="360"/>
        <v>0</v>
      </c>
      <c r="EL225" s="30" t="e">
        <f t="shared" si="412"/>
        <v>#N/A</v>
      </c>
      <c r="EM225" s="30" t="e">
        <f t="shared" si="413"/>
        <v>#N/A</v>
      </c>
      <c r="EN225" s="31" t="e">
        <f>IF(OR(Hypothèses!$B$4=17,Hypothèses!$B$4=18,Hypothèses!$B$4=19,Hypothèses!$B$4=20),
IF($D225="Pressio.",
IF(OR($E225=3,$E225=1,$E225=4),EM225,EL225),
IF($D225="Pénétro.",
IF(OR($E225=3,$E225=1,$E225=4),EM225,EL225))),IF($D225="Pressio.",
IF($E225=3,EM225,EL225),
IF($D225="Pénétro.",
IF($E225=4,EM225,EL225))))</f>
        <v>#N/A</v>
      </c>
      <c r="EO225" s="31">
        <v>0</v>
      </c>
      <c r="EP225" s="102" t="e">
        <f>IF(NDC!$H$10="Oui",(VLOOKUP($B$3,'Coeff EC7'!$T$39:$X$59,2,0)*EN225+VLOOKUP($B$3,'Coeff EC7'!$T$65:$X$85,2,0)*Model0.1T!EO225)/1.5,PI()*EL$12*$Q225*($B225-$B224)*0.15/10+EP224)</f>
        <v>#N/A</v>
      </c>
      <c r="EQ225" s="102" t="e">
        <f>(VLOOKUP($B$3,'Coeff EC7'!$T$39:$X$59,3,0)*EN225+VLOOKUP($B$3,'Coeff EC7'!$T$65:$X$85,3,0)*Model0.1T!EO225)/1.1</f>
        <v>#N/A</v>
      </c>
      <c r="ER225" s="102" t="e">
        <f t="shared" si="394"/>
        <v>#N/A</v>
      </c>
      <c r="ES225" s="102" t="e">
        <f t="shared" si="395"/>
        <v>#N/A</v>
      </c>
      <c r="ET225" s="414" t="e">
        <f>IF(AND(EP225&gt;NDC!$C$63,EQ225&gt;NDC!$C$65,ER225&gt;NDC!$D$73,ES225&gt;NDC!$D$74,$B225&gt;NDC!$H$22-0.1+MIN(3*ET$12,1.5)),0,1)</f>
        <v>#N/A</v>
      </c>
      <c r="EU225" s="86" t="b">
        <f t="shared" si="361"/>
        <v>0</v>
      </c>
      <c r="EV225" s="86">
        <f t="shared" si="362"/>
        <v>0.61</v>
      </c>
      <c r="EW225" s="86">
        <f t="shared" si="363"/>
        <v>0.61</v>
      </c>
      <c r="EX225" s="30" t="e">
        <f t="shared" ca="1" si="396"/>
        <v>#DIV/0!</v>
      </c>
      <c r="EY225" s="85" t="e">
        <f ca="1">IF(EE225&lt;=Hypothèses!$V$7,Hypothèses!$W$7,IF(EE225&lt;=Hypothèses!$V$8,Hypothèses!$W$8,IF(EE225&lt;=Hypothèses!$V$9,Hypothèses!$W$9,IF(EE225&lt;=Hypothèses!$V$10,Hypothèses!$W$10,IF(EE225&lt;=Hypothèses!$V$11,Hypothèses!$W$11,IF(EE225&lt;=Hypothèses!$V$12,Hypothèses!$W$12,IF(EE225&lt;=Hypothèses!$V$13,Hypothèses!$W$13,IF(EE225&lt;=Hypothèses!$V$14,Hypothèses!$W$14,IF(EE225&lt;=Hypothèses!$V$15,Hypothèses!$W$15,IF(EE225&lt;=Hypothèses!$V$16,Hypothèses!$W$16,IF(EE225&lt;=Hypothèses!$V$17,Hypothèses!$W$17,IF(EE225&lt;=Hypothèses!$V$18,Hypothèses!$W$18,""))))))))))))</f>
        <v>#DIV/0!</v>
      </c>
      <c r="EZ225" s="87" t="e">
        <f t="shared" ca="1" si="423"/>
        <v>#DIV/0!</v>
      </c>
      <c r="FA225" s="88" t="e">
        <f ca="1">IF(EE225&lt;=Hypothèses!$V$7,Hypothèses!$X$7,IF(EE225&lt;=Hypothèses!$V$8,Hypothèses!$X$8,IF(EE225&lt;=Hypothèses!$V$9,Hypothèses!$X$9,IF(EE225&lt;=Hypothèses!$V$10,Hypothèses!$X$10,IF(EE225&lt;=Hypothèses!$V$11,Hypothèses!$X$11,IF(EE225&lt;=Hypothèses!$V$12,Hypothèses!$X$12,IF(EE225&lt;=Hypothèses!$V$13,Hypothèses!$X$13,IF(EE225&lt;=Hypothèses!$V$14,Hypothèses!$X$14,IF(EE225&lt;=Hypothèses!$V$15,Hypothèses!$X$15,IF(EE225&lt;=Hypothèses!$V$16,Hypothèses!$X$16,IF(EE225&lt;=Hypothèses!$U$17,Hypothèses!$W$17,IF(EE225&lt;=Hypothèses!$U$18,Hypothèses!$W$18,""))))))))))))</f>
        <v>#DIV/0!</v>
      </c>
      <c r="FB225" s="95" t="e">
        <f t="shared" ca="1" si="397"/>
        <v>#DIV/0!</v>
      </c>
      <c r="FC225" s="101">
        <f t="shared" si="430"/>
        <v>0</v>
      </c>
      <c r="FD225" s="91">
        <f t="shared" si="364"/>
        <v>0</v>
      </c>
      <c r="FE225" s="30" t="e">
        <f t="shared" si="414"/>
        <v>#N/A</v>
      </c>
      <c r="FF225" s="30" t="e">
        <f t="shared" si="415"/>
        <v>#N/A</v>
      </c>
      <c r="FG225" s="31" t="e">
        <f>IF(OR(Hypothèses!$B$4=17,Hypothèses!$B$4=18,Hypothèses!$B$4=19,Hypothèses!$B$4=20),
IF($D225="Pressio.",
IF(OR($E225=3,$E225=1,$E225=4),FF225,FE225),
IF($D225="Pénétro.",
IF(OR($E225=3,$E225=1,$E225=4),FF225,FE225))),IF($D225="Pressio.",
IF($E225=3,FF225,FE225),
IF($D225="Pénétro.",
IF($E225=4,FF225,FE225))))</f>
        <v>#N/A</v>
      </c>
      <c r="FH225" s="31">
        <v>0</v>
      </c>
      <c r="FI225" s="102" t="e">
        <f>IF(NDC!$H$10="Oui",(VLOOKUP($B$3,'Coeff EC7'!$T$39:$X$59,2,0)*FG225+VLOOKUP($B$3,'Coeff EC7'!$T$65:$X$85,2,0)*Model0.1T!FH225)/1.5,PI()*FE$12*$Q225*($B225-$B224)*0.15/10+FI224)</f>
        <v>#N/A</v>
      </c>
      <c r="FJ225" s="102" t="e">
        <f>(VLOOKUP($B$3,'Coeff EC7'!$T$39:$X$59,3,0)*FG225+VLOOKUP($B$3,'Coeff EC7'!$T$65:$X$85,3,0)*Model0.1T!FH225)/1.1</f>
        <v>#N/A</v>
      </c>
      <c r="FK225" s="102" t="e">
        <f t="shared" si="398"/>
        <v>#N/A</v>
      </c>
      <c r="FL225" s="102" t="e">
        <f t="shared" si="399"/>
        <v>#N/A</v>
      </c>
      <c r="FM225" s="414" t="e">
        <f>IF(AND(FI225&gt;NDC!$C$63,FJ225&gt;NDC!$C$65,FK225&gt;NDC!$D$73,FL225&gt;NDC!$D$74,$B225&gt;NDC!$H$22-0.1+MIN(3*FM$12,1.5)),0,1)</f>
        <v>#N/A</v>
      </c>
    </row>
    <row r="226" spans="1:169">
      <c r="A226" s="96">
        <f t="shared" si="365"/>
        <v>78.700000000001211</v>
      </c>
      <c r="B226" s="97">
        <v>21.3</v>
      </c>
      <c r="C226" s="81">
        <f>IF(B226&lt;=Hypothèses!$C$7,Hypothèses!$A$7,IF(B226&lt;=Hypothèses!$C$8,Hypothèses!$A$8,IF(B226&lt;=Hypothèses!$C$9,Hypothèses!$A$9,IF(B226&lt;=Hypothèses!$C$10,Hypothèses!$A$10,IF(B226&lt;=Hypothèses!$C$11,Hypothèses!$A$11,IF(B226&lt;=Hypothèses!$C$12,Hypothèses!$A$12,IF(B226&lt;=Hypothèses!$C$13,Hypothèses!$A$13,IF(B226&lt;=Hypothèses!$C$14,Hypothèses!$A$14,IF(B226&lt;=Hypothèses!$C$15,Hypothèses!$A$15,IF(B226&lt;=Hypothèses!$C$16,Hypothèses!$A$16,IF(B226&lt;=Hypothèses!$C$17,Hypothèses!$A$17,IF(B226&lt;=Hypothèses!$C$18,Hypothèses!$A$18,C225))))))))))))</f>
        <v>11</v>
      </c>
      <c r="D226" s="82" t="str">
        <f>IF(B226&lt;=Hypothèses!$C$7,Hypothèses!$R$7,IF(B226&lt;=Hypothèses!$C$8,Hypothèses!$R$8,IF(B226&lt;=Hypothèses!$C$9,Hypothèses!$R$9,IF(B226&lt;=Hypothèses!$C$10,Hypothèses!$R$10,IF(B226&lt;=Hypothèses!$C$11,Hypothèses!$R$11,IF(B226&lt;=Hypothèses!$C$12,Hypothèses!$R$12,IF(B226&lt;=Hypothèses!$C$13,Hypothèses!$R$13,IF(B226&lt;=Hypothèses!$C$14,Hypothèses!$R$14,IF(B226&lt;=Hypothèses!$C$15,Hypothèses!$R$15,IF(B226&lt;=Hypothèses!$C$16,Hypothèses!$R$16,IF(B226&lt;=Hypothèses!$C$17,Hypothèses!$R$17,IF(B226&lt;=Hypothèses!$C$18,Hypothèses!$R$18,D225))))))))))))</f>
        <v>Pressio.</v>
      </c>
      <c r="E226" s="82" t="e">
        <f>IF(B226&lt;=Hypothèses!$C$7,Hypothèses!$G$7,IF(B226&lt;=Hypothèses!$C$8,Hypothèses!$G$8,IF(B226&lt;=Hypothèses!$C$9,Hypothèses!$G$9,IF(B226&lt;=Hypothèses!$C$10,Hypothèses!$G$10,IF(B226&lt;=Hypothèses!$C$11,Hypothèses!$G$11,IF(B226&lt;=Hypothèses!$C$12,Hypothèses!$G$12,IF(B226&lt;=Hypothèses!$C$13,Hypothèses!$G$13,IF(B226&lt;=Hypothèses!$C$14,Hypothèses!$G$14,IF(B226&lt;=Hypothèses!$C$15,Hypothèses!$G$15,IF(B226&lt;=Hypothèses!$C$16,Hypothèses!$G$16,IF(B226&lt;=Hypothèses!$C$17,Hypothèses!$G$17,IF(B226&lt;=Hypothèses!$C$18,Hypothèses!$G$18,E225))))))))))))</f>
        <v>#N/A</v>
      </c>
      <c r="F226" s="82" t="str">
        <f>IF(B226&lt;=Hypothèses!$C$7,Hypothèses!$F$7,IF(B226&lt;=Hypothèses!$C$8,Hypothèses!$F$8,IF(B226&lt;=Hypothèses!$C$9,Hypothèses!$F$9,IF(B226&lt;=Hypothèses!$C$10,Hypothèses!$F$10,IF(B226&lt;=Hypothèses!$C$11,Hypothèses!$F$11,IF(B226&lt;=Hypothèses!$C$12,Hypothèses!$F$12,IF(B226&lt;=Hypothèses!$C$13,Hypothèses!$F$13,IF(B226&lt;=Hypothèses!$C$14,Hypothèses!$F$14,IF(B226&lt;=Hypothèses!$C$15,Hypothèses!$F$15,IF(B226&lt;=Hypothèses!$C$16,Hypothèses!$F$16,IF(B226&lt;=Hypothèses!$C$17,Hypothèses!$F$17,IF(B226&lt;=Hypothèses!$C$18,Hypothèses!$F$18,F225))))))))))))</f>
        <v/>
      </c>
      <c r="G226" s="91">
        <f t="array" ref="G226">INDEX('Coeff EC7'!$U$7:$X$27,
MATCH(Model0.1T!$B$3,'Coeff EC7'!$T$7:$T$27,0),
MATCH(Model0.1T!$D226&amp;Model0.1T!$B$4,
'Coeff EC7'!$U$6:$X$6&amp;
'Coeff EC7'!$U$5:$X$5,0))</f>
        <v>1.4</v>
      </c>
      <c r="H226" s="91">
        <f t="array" ref="H226">INDEX('Coeff EC7'!$Y$7:$AB$27,
MATCH(Model0.1T!$B$3,'Coeff EC7'!$T$7:$T$27,0),
MATCH(Model0.1T!$D226&amp;Model0.1T!$B$4,
'Coeff EC7'!$Y$6:$AB$6&amp;
'Coeff EC7'!$Y$5:$AB$5,0))</f>
        <v>1.7</v>
      </c>
      <c r="I226" s="83">
        <v>0</v>
      </c>
      <c r="J226" s="91" t="e">
        <f t="array" ref="J226">INDEX('Coeff EC7'!$D$33:$Q$33,1,MATCH(D226&amp;E226,'Coeff EC7'!$D$31:$Q$31&amp;'Coeff EC7'!$D$32:$Q$32,0))</f>
        <v>#N/A</v>
      </c>
      <c r="K226" s="91" t="e">
        <f t="array" ref="K226">INDEX('Coeff EC7'!$D$34:$Q$34,1,MATCH(D226&amp;E226,'Coeff EC7'!$D$31:$Q$31&amp;'Coeff EC7'!$D$32:$Q$32,0))</f>
        <v>#N/A</v>
      </c>
      <c r="L226" s="91" t="e">
        <f t="array" ref="L226">INDEX('Coeff EC7'!$D$35:$Q$35,1,MATCH(D226&amp;E226,'Coeff EC7'!$D$31:$Q$31&amp;'Coeff EC7'!$D$32:$Q$32,0))</f>
        <v>#N/A</v>
      </c>
      <c r="M226" s="98" t="e">
        <f t="shared" si="331"/>
        <v>#N/A</v>
      </c>
      <c r="N226" s="99" t="e">
        <f t="array" ref="N226">INDEX('Coeff EC7'!$D$7:$Q$27,MATCH($B$3,'Coeff EC7'!$C$7:$C$27,0),MATCH(D226&amp;E226,'Coeff EC7'!$D$5:$Q$5&amp;'Coeff EC7'!$D$6:$Q$6,0))</f>
        <v>#N/A</v>
      </c>
      <c r="O226" s="99" t="e">
        <f t="array" ref="O226">INDEX('Coeff EC7'!$D$41:$Q$61,MATCH($B$3,'Coeff EC7'!$C$41:$C$61,0),MATCH(D226&amp;E226,'Coeff EC7'!$D$39:$Q$39&amp;'Coeff EC7'!$D$40:$Q$40,0))</f>
        <v>#N/A</v>
      </c>
      <c r="P226" s="30" t="e">
        <f t="shared" si="366"/>
        <v>#N/A</v>
      </c>
      <c r="Q226" s="100" t="e">
        <f t="shared" si="333"/>
        <v>#N/A</v>
      </c>
      <c r="R226" s="86" t="b">
        <f t="shared" si="334"/>
        <v>0</v>
      </c>
      <c r="S226" s="86">
        <f t="shared" si="332"/>
        <v>0.5</v>
      </c>
      <c r="T226" s="86">
        <f t="shared" si="335"/>
        <v>0.5</v>
      </c>
      <c r="U226" s="30" t="e">
        <f t="shared" ca="1" si="367"/>
        <v>#DIV/0!</v>
      </c>
      <c r="V226" s="85" t="str">
        <f>IF(B226&lt;=Hypothèses!$V$7,Hypothèses!$W$7,IF(B226&lt;=Hypothèses!$V$8,Hypothèses!$W$8,IF(B226&lt;=Hypothèses!$V$9,Hypothèses!$W$9,IF(B226&lt;=Hypothèses!$V$10,Hypothèses!$W$10,IF(B226&lt;=Hypothèses!$V$11,Hypothèses!$W$11,IF(B226&lt;=Hypothèses!$V$12,Hypothèses!$W$12,IF(B226&lt;=Hypothèses!$V$13,Hypothèses!$W$13,IF(B226&lt;=Hypothèses!$V$14,Hypothèses!$W$14,IF(B226&lt;=Hypothèses!$V$15,Hypothèses!$W$15,IF(B226&lt;=Hypothèses!$V$16,Hypothèses!$W$16,IF(B226&lt;=Hypothèses!$V$17,Hypothèses!$W$17,IF(B226&lt;=Hypothèses!$V$18,Hypothèses!$W$18,""))))))))))))</f>
        <v/>
      </c>
      <c r="W226" s="87" t="e">
        <f t="shared" ca="1" si="416"/>
        <v>#DIV/0!</v>
      </c>
      <c r="X226" s="88" t="str">
        <f>IF(B226&lt;=Hypothèses!$V$7,Hypothèses!$X$7,IF(B226&lt;=Hypothèses!$V$8,Hypothèses!$X$8,IF(B226&lt;=Hypothèses!$V$9,Hypothèses!$X$9,IF(B226&lt;=Hypothèses!$V$10,Hypothèses!$X$10,IF(B226&lt;=Hypothèses!$V$11,Hypothèses!$X$11,IF(B226&lt;=Hypothèses!$V$12,Hypothèses!$X$12,IF(B226&lt;=Hypothèses!$V$13,Hypothèses!$X$13,IF(B226&lt;=Hypothèses!$V$14,Hypothèses!$X$14,IF(B226&lt;=Hypothèses!$V$15,Hypothèses!$X$15,IF(B226&lt;=Hypothèses!$V$16,Hypothèses!$X$16,IF(B226&lt;=Hypothèses!$U$17,Hypothèses!$W$17,IF(B226&lt;=Hypothèses!$U$18,Hypothèses!$W$18,""))))))))))))</f>
        <v/>
      </c>
      <c r="Y226" s="95" t="e">
        <f t="shared" ca="1" si="336"/>
        <v>#DIV/0!</v>
      </c>
      <c r="Z226" s="101">
        <f t="shared" si="337"/>
        <v>0</v>
      </c>
      <c r="AA226" s="91">
        <f t="shared" si="338"/>
        <v>0</v>
      </c>
      <c r="AB226" s="30" t="e">
        <f t="shared" si="400"/>
        <v>#N/A</v>
      </c>
      <c r="AC226" s="30" t="e">
        <f t="shared" si="401"/>
        <v>#N/A</v>
      </c>
      <c r="AD226" s="31" t="e">
        <f>IF(OR(Hypothèses!$B$4=17,Hypothèses!$B$4=18,Hypothèses!$B$4=19,Hypothèses!$B$4=20),
IF($D226="Pressio.",
IF(OR($E226=3,$E226=1,$E226=4),AC226,AB226),
IF($D226="Pénétro.",
IF(OR($E226=3,$E226=1,$E226=4),AC226,AB226))),IF($D226="Pressio.",
IF($E226=3,AC226,AB226),
IF($D226="Pénétro.",
IF($E226=4,AC226,AB226))))</f>
        <v>#N/A</v>
      </c>
      <c r="AE226" s="31">
        <v>0</v>
      </c>
      <c r="AF226" s="102" t="e">
        <f>IF(NDC!$H$10="Oui",(VLOOKUP($B$3,'Coeff EC7'!$T$39:$X$59,2,0)*AD226+VLOOKUP($B$3,'Coeff EC7'!$T$65:$X$85,2,0)*Model0.1T!AE226)/1.5,PI()*AB$12*$Q226*($B226-$B225)*0.15/10+AF225)</f>
        <v>#N/A</v>
      </c>
      <c r="AG226" s="102" t="e">
        <f>(VLOOKUP($B$3,'Coeff EC7'!$T$39:$X$59,3,0)*AD226+VLOOKUP($B$3,'Coeff EC7'!$T$65:$X$85,3,0)*Model0.1T!AE226)/1.1</f>
        <v>#N/A</v>
      </c>
      <c r="AH226" s="102" t="e">
        <f t="shared" si="368"/>
        <v>#N/A</v>
      </c>
      <c r="AI226" s="102" t="e">
        <f t="shared" si="369"/>
        <v>#N/A</v>
      </c>
      <c r="AJ226" s="414" t="e">
        <f>IF(AND(AF226&gt;NDC!$C$63,AG226&gt;NDC!$C$65,AH226&gt;NDC!$D$73,AI226&gt;NDC!$D$74,$B226&gt;NDC!$H$22-0.1+MIN(3*$AJ$12,1.5)),0,1)</f>
        <v>#N/A</v>
      </c>
      <c r="AK226" s="86" t="b">
        <f t="shared" si="339"/>
        <v>0</v>
      </c>
      <c r="AL226" s="86">
        <f t="shared" si="370"/>
        <v>0.5</v>
      </c>
      <c r="AM226" s="86">
        <f t="shared" si="340"/>
        <v>0.5</v>
      </c>
      <c r="AN226" s="30" t="e">
        <f t="shared" ca="1" si="371"/>
        <v>#DIV/0!</v>
      </c>
      <c r="AO226" s="85" t="e">
        <f ca="1">IF(U226&lt;=Hypothèses!$V$7,Hypothèses!$W$7,IF(U226&lt;=Hypothèses!$V$8,Hypothèses!$W$8,IF(U226&lt;=Hypothèses!$V$9,Hypothèses!$W$9,IF(U226&lt;=Hypothèses!$V$10,Hypothèses!$W$10,IF(U226&lt;=Hypothèses!$V$11,Hypothèses!$W$11,IF(U226&lt;=Hypothèses!$V$12,Hypothèses!$W$12,IF(U226&lt;=Hypothèses!$V$13,Hypothèses!$W$13,IF(U226&lt;=Hypothèses!$V$14,Hypothèses!$W$14,IF(U226&lt;=Hypothèses!$V$15,Hypothèses!$W$15,IF(U226&lt;=Hypothèses!$V$16,Hypothèses!$W$16,IF(U226&lt;=Hypothèses!$V$17,Hypothèses!$W$17,IF(U226&lt;=Hypothèses!$V$18,Hypothèses!$W$18,""))))))))))))</f>
        <v>#DIV/0!</v>
      </c>
      <c r="AP226" s="87" t="e">
        <f t="shared" ca="1" si="417"/>
        <v>#DIV/0!</v>
      </c>
      <c r="AQ226" s="88" t="e">
        <f ca="1">IF(U226&lt;=Hypothèses!$V$7,Hypothèses!$X$7,IF(U226&lt;=Hypothèses!$V$8,Hypothèses!$X$8,IF(U226&lt;=Hypothèses!$V$9,Hypothèses!$X$9,IF(U226&lt;=Hypothèses!$V$10,Hypothèses!$X$10,IF(U226&lt;=Hypothèses!$V$11,Hypothèses!$X$11,IF(U226&lt;=Hypothèses!$V$12,Hypothèses!$X$12,IF(U226&lt;=Hypothèses!$V$13,Hypothèses!$X$13,IF(U226&lt;=Hypothèses!$V$14,Hypothèses!$X$14,IF(U226&lt;=Hypothèses!$V$15,Hypothèses!$X$15,IF(U226&lt;=Hypothèses!$V$16,Hypothèses!$X$16,IF(U226&lt;=Hypothèses!$U$17,Hypothèses!$W$17,IF(U226&lt;=Hypothèses!$U$18,Hypothèses!$W$18,""))))))))))))</f>
        <v>#DIV/0!</v>
      </c>
      <c r="AR226" s="95" t="e">
        <f t="shared" ca="1" si="372"/>
        <v>#DIV/0!</v>
      </c>
      <c r="AS226" s="101">
        <f t="shared" si="424"/>
        <v>0</v>
      </c>
      <c r="AT226" s="91">
        <f t="shared" si="341"/>
        <v>0</v>
      </c>
      <c r="AU226" s="30" t="e">
        <f t="shared" si="402"/>
        <v>#N/A</v>
      </c>
      <c r="AV226" s="30" t="e">
        <f t="shared" si="403"/>
        <v>#N/A</v>
      </c>
      <c r="AW226" s="31" t="e">
        <f>IF(OR(Hypothèses!$B$4=17,Hypothèses!$B$4=18,Hypothèses!$B$4=19,Hypothèses!$B$4=20),
IF($D226="Pressio.",
IF(OR($E226=3,$E226=1,$E226=4),AV226,AU226),
IF($D226="Pénétro.",
IF(OR($E226=3,$E226=1,$E226=4),AV226,AU226))),IF($D226="Pressio.",
IF($E226=3,AV226,AU226),
IF($D226="Pénétro.",
IF($E226=4,AV226,AU226))))</f>
        <v>#N/A</v>
      </c>
      <c r="AX226" s="31">
        <v>0</v>
      </c>
      <c r="AY226" s="102" t="e">
        <f>IF(NDC!$H$10="Oui",(VLOOKUP($B$3,'Coeff EC7'!$T$39:$X$59,2,0)*AW226+VLOOKUP($B$3,'Coeff EC7'!$T$65:$X$85,2,0)*Model0.1T!AX226)/1.5,PI()*AU$12*$Q226*($B226-$B225)*0.15/10+AY225)</f>
        <v>#N/A</v>
      </c>
      <c r="AZ226" s="102" t="e">
        <f>(VLOOKUP($B$3,'Coeff EC7'!$T$39:$X$59,3,0)*AW226+VLOOKUP($B$3,'Coeff EC7'!$T$65:$X$85,3,0)*Model0.1T!AX226)/1.1</f>
        <v>#N/A</v>
      </c>
      <c r="BA226" s="102" t="e">
        <f t="shared" si="373"/>
        <v>#N/A</v>
      </c>
      <c r="BB226" s="102" t="e">
        <f t="shared" si="374"/>
        <v>#N/A</v>
      </c>
      <c r="BC226" s="414" t="e">
        <f>IF(AND(AY226&gt;NDC!$C$63,AZ226&gt;NDC!$C$65,BA226&gt;NDC!$D$73,BB226&gt;NDC!$D$74,$B226&gt;NDC!$H$22-0.1+MIN(3*BC$12,1.5)),0,1)</f>
        <v>#N/A</v>
      </c>
      <c r="BD226" s="86" t="b">
        <f t="shared" si="342"/>
        <v>0</v>
      </c>
      <c r="BE226" s="86">
        <f t="shared" si="375"/>
        <v>0.5</v>
      </c>
      <c r="BF226" s="86">
        <f t="shared" si="343"/>
        <v>0.5</v>
      </c>
      <c r="BG226" s="30" t="e">
        <f t="shared" ca="1" si="376"/>
        <v>#DIV/0!</v>
      </c>
      <c r="BH226" s="85" t="e">
        <f ca="1">IF(AN226&lt;=Hypothèses!$V$7,Hypothèses!$W$7,IF(AN226&lt;=Hypothèses!$V$8,Hypothèses!$W$8,IF(AN226&lt;=Hypothèses!$V$9,Hypothèses!$W$9,IF(AN226&lt;=Hypothèses!$V$10,Hypothèses!$W$10,IF(AN226&lt;=Hypothèses!$V$11,Hypothèses!$W$11,IF(AN226&lt;=Hypothèses!$V$12,Hypothèses!$W$12,IF(AN226&lt;=Hypothèses!$V$13,Hypothèses!$W$13,IF(AN226&lt;=Hypothèses!$V$14,Hypothèses!$W$14,IF(AN226&lt;=Hypothèses!$V$15,Hypothèses!$W$15,IF(AN226&lt;=Hypothèses!$V$16,Hypothèses!$W$16,IF(AN226&lt;=Hypothèses!$V$17,Hypothèses!$W$17,IF(AN226&lt;=Hypothèses!$V$18,Hypothèses!$W$18,""))))))))))))</f>
        <v>#DIV/0!</v>
      </c>
      <c r="BI226" s="87" t="e">
        <f t="shared" ca="1" si="418"/>
        <v>#DIV/0!</v>
      </c>
      <c r="BJ226" s="88" t="e">
        <f ca="1">IF(AN226&lt;=Hypothèses!$V$7,Hypothèses!$X$7,IF(AN226&lt;=Hypothèses!$V$8,Hypothèses!$X$8,IF(AN226&lt;=Hypothèses!$V$9,Hypothèses!$X$9,IF(AN226&lt;=Hypothèses!$V$10,Hypothèses!$X$10,IF(AN226&lt;=Hypothèses!$V$11,Hypothèses!$X$11,IF(AN226&lt;=Hypothèses!$V$12,Hypothèses!$X$12,IF(AN226&lt;=Hypothèses!$V$13,Hypothèses!$X$13,IF(AN226&lt;=Hypothèses!$V$14,Hypothèses!$X$14,IF(AN226&lt;=Hypothèses!$V$15,Hypothèses!$X$15,IF(AN226&lt;=Hypothèses!$V$16,Hypothèses!$X$16,IF(AN226&lt;=Hypothèses!$U$17,Hypothèses!$W$17,IF(AN226&lt;=Hypothèses!$U$18,Hypothèses!$W$18,""))))))))))))</f>
        <v>#DIV/0!</v>
      </c>
      <c r="BK226" s="95" t="e">
        <f t="shared" ca="1" si="377"/>
        <v>#DIV/0!</v>
      </c>
      <c r="BL226" s="101">
        <f t="shared" si="425"/>
        <v>0</v>
      </c>
      <c r="BM226" s="91">
        <f t="shared" si="344"/>
        <v>0</v>
      </c>
      <c r="BN226" s="30" t="e">
        <f t="shared" si="404"/>
        <v>#N/A</v>
      </c>
      <c r="BO226" s="30" t="e">
        <f t="shared" si="405"/>
        <v>#N/A</v>
      </c>
      <c r="BP226" s="31" t="e">
        <f>IF(OR(Hypothèses!$B$4=17,Hypothèses!$B$4=18,Hypothèses!$B$4=19,Hypothèses!$B$4=20),
IF($D226="Pressio.",
IF(OR($E226=3,$E226=1,$E226=4),BO226,BN226),
IF($D226="Pénétro.",
IF(OR($E226=3,$E226=1,$E226=4),BO226,BN226))),IF($D226="Pressio.",
IF($E226=3,BO226,BN226),
IF($D226="Pénétro.",
IF($E226=4,BO226,BN226))))</f>
        <v>#N/A</v>
      </c>
      <c r="BQ226" s="31">
        <v>0</v>
      </c>
      <c r="BR226" s="102" t="e">
        <f>IF(NDC!$H$10="Oui",(VLOOKUP($B$3,'Coeff EC7'!$T$39:$X$59,2,0)*BP226+VLOOKUP($B$3,'Coeff EC7'!$T$65:$X$85,2,0)*Model0.1T!BQ226)/1.5,PI()*BN$12*$Q226*($B226-$B225)*0.15/10+BR225)</f>
        <v>#N/A</v>
      </c>
      <c r="BS226" s="102" t="e">
        <f>(VLOOKUP($B$3,'Coeff EC7'!$T$39:$X$59,3,0)*BP226+VLOOKUP($B$3,'Coeff EC7'!$T$65:$X$85,3,0)*Model0.1T!BQ226)/1.1</f>
        <v>#N/A</v>
      </c>
      <c r="BT226" s="102" t="e">
        <f t="shared" si="378"/>
        <v>#N/A</v>
      </c>
      <c r="BU226" s="102" t="e">
        <f t="shared" si="379"/>
        <v>#N/A</v>
      </c>
      <c r="BV226" s="414" t="e">
        <f>IF(AND(BR226&gt;NDC!$C$63,BS226&gt;NDC!$C$65,BT226&gt;NDC!$D$73,BU226&gt;NDC!$D$74,$B226&gt;NDC!$H$22-0.1+MIN(3*BV$12,1.5)),0,1)</f>
        <v>#N/A</v>
      </c>
      <c r="BW226" s="86" t="b">
        <f t="shared" si="345"/>
        <v>0</v>
      </c>
      <c r="BX226" s="86">
        <f t="shared" si="346"/>
        <v>0.5</v>
      </c>
      <c r="BY226" s="86">
        <f t="shared" si="347"/>
        <v>0.5</v>
      </c>
      <c r="BZ226" s="30" t="e">
        <f t="shared" ca="1" si="380"/>
        <v>#DIV/0!</v>
      </c>
      <c r="CA226" s="85" t="e">
        <f ca="1">IF(BG226&lt;=Hypothèses!$V$7,Hypothèses!$W$7,IF(BG226&lt;=Hypothèses!$V$8,Hypothèses!$W$8,IF(BG226&lt;=Hypothèses!$V$9,Hypothèses!$W$9,IF(BG226&lt;=Hypothèses!$V$10,Hypothèses!$W$10,IF(BG226&lt;=Hypothèses!$V$11,Hypothèses!$W$11,IF(BG226&lt;=Hypothèses!$V$12,Hypothèses!$W$12,IF(BG226&lt;=Hypothèses!$V$13,Hypothèses!$W$13,IF(BG226&lt;=Hypothèses!$V$14,Hypothèses!$W$14,IF(BG226&lt;=Hypothèses!$V$15,Hypothèses!$W$15,IF(BG226&lt;=Hypothèses!$V$16,Hypothèses!$W$16,IF(BG226&lt;=Hypothèses!$V$17,Hypothèses!$W$17,IF(BG226&lt;=Hypothèses!$V$18,Hypothèses!$W$18,""))))))))))))</f>
        <v>#DIV/0!</v>
      </c>
      <c r="CB226" s="87" t="e">
        <f t="shared" ca="1" si="419"/>
        <v>#DIV/0!</v>
      </c>
      <c r="CC226" s="88" t="e">
        <f ca="1">IF(BG226&lt;=Hypothèses!$V$7,Hypothèses!$X$7,IF(BG226&lt;=Hypothèses!$V$8,Hypothèses!$X$8,IF(BG226&lt;=Hypothèses!$V$9,Hypothèses!$X$9,IF(BG226&lt;=Hypothèses!$V$10,Hypothèses!$X$10,IF(BG226&lt;=Hypothèses!$V$11,Hypothèses!$X$11,IF(BG226&lt;=Hypothèses!$V$12,Hypothèses!$X$12,IF(BG226&lt;=Hypothèses!$V$13,Hypothèses!$X$13,IF(BG226&lt;=Hypothèses!$V$14,Hypothèses!$X$14,IF(BG226&lt;=Hypothèses!$V$15,Hypothèses!$X$15,IF(BG226&lt;=Hypothèses!$V$16,Hypothèses!$X$16,IF(BG226&lt;=Hypothèses!$U$17,Hypothèses!$W$17,IF(BG226&lt;=Hypothèses!$U$18,Hypothèses!$W$18,""))))))))))))</f>
        <v>#DIV/0!</v>
      </c>
      <c r="CD226" s="95" t="e">
        <f t="shared" ca="1" si="381"/>
        <v>#DIV/0!</v>
      </c>
      <c r="CE226" s="101">
        <f t="shared" si="426"/>
        <v>0</v>
      </c>
      <c r="CF226" s="91">
        <f t="shared" si="348"/>
        <v>0</v>
      </c>
      <c r="CG226" s="30" t="e">
        <f t="shared" si="406"/>
        <v>#N/A</v>
      </c>
      <c r="CH226" s="30" t="e">
        <f t="shared" si="407"/>
        <v>#N/A</v>
      </c>
      <c r="CI226" s="31" t="e">
        <f>IF(OR(Hypothèses!$B$4=17,Hypothèses!$B$4=18,Hypothèses!$B$4=19,Hypothèses!$B$4=20),
IF($D226="Pressio.",
IF(OR($E226=3,$E226=1,$E226=4),CH226,CG226),
IF($D226="Pénétro.",
IF(OR($E226=3,$E226=1,$E226=4),CH226,CG226))),IF($D226="Pressio.",
IF($E226=3,CH226,CG226),
IF($D226="Pénétro.",
IF($E226=4,CH226,CG226))))</f>
        <v>#N/A</v>
      </c>
      <c r="CJ226" s="31">
        <v>0</v>
      </c>
      <c r="CK226" s="102" t="e">
        <f>IF(NDC!$H$10="Oui",(VLOOKUP($B$3,'Coeff EC7'!$T$39:$X$59,2,0)*CI226+VLOOKUP($B$3,'Coeff EC7'!$T$65:$X$85,2,0)*Model0.1T!CJ226)/1.5,PI()*CG$12*$Q226*($B226-$B225)*0.15/10+CK225)</f>
        <v>#N/A</v>
      </c>
      <c r="CL226" s="102" t="e">
        <f>(VLOOKUP($B$3,'Coeff EC7'!$T$39:$X$59,3,0)*CI226+VLOOKUP($B$3,'Coeff EC7'!$T$65:$X$85,3,0)*Model0.1T!CJ226)/1.1</f>
        <v>#N/A</v>
      </c>
      <c r="CM226" s="102" t="e">
        <f t="shared" si="382"/>
        <v>#N/A</v>
      </c>
      <c r="CN226" s="102" t="e">
        <f t="shared" si="383"/>
        <v>#N/A</v>
      </c>
      <c r="CO226" s="414" t="e">
        <f>IF(AND(CK226&gt;NDC!$C$63,CL226&gt;NDC!$C$65,CM226&gt;NDC!$D$73,CN226&gt;NDC!$D$74,$B226&gt;NDC!$H$22-0.1+MIN(3*CO$12,1.5)),0,1)</f>
        <v>#N/A</v>
      </c>
      <c r="CP226" s="86" t="b">
        <f t="shared" si="349"/>
        <v>0</v>
      </c>
      <c r="CQ226" s="86">
        <f t="shared" si="350"/>
        <v>0.5</v>
      </c>
      <c r="CR226" s="86">
        <f t="shared" si="351"/>
        <v>0.5</v>
      </c>
      <c r="CS226" s="30" t="e">
        <f t="shared" ca="1" si="384"/>
        <v>#DIV/0!</v>
      </c>
      <c r="CT226" s="85" t="e">
        <f ca="1">IF(BZ226&lt;=Hypothèses!$V$7,Hypothèses!$W$7,IF(BZ226&lt;=Hypothèses!$V$8,Hypothèses!$W$8,IF(BZ226&lt;=Hypothèses!$V$9,Hypothèses!$W$9,IF(BZ226&lt;=Hypothèses!$V$10,Hypothèses!$W$10,IF(BZ226&lt;=Hypothèses!$V$11,Hypothèses!$W$11,IF(BZ226&lt;=Hypothèses!$V$12,Hypothèses!$W$12,IF(BZ226&lt;=Hypothèses!$V$13,Hypothèses!$W$13,IF(BZ226&lt;=Hypothèses!$V$14,Hypothèses!$W$14,IF(BZ226&lt;=Hypothèses!$V$15,Hypothèses!$W$15,IF(BZ226&lt;=Hypothèses!$V$16,Hypothèses!$W$16,IF(BZ226&lt;=Hypothèses!$V$17,Hypothèses!$W$17,IF(BZ226&lt;=Hypothèses!$V$18,Hypothèses!$W$18,""))))))))))))</f>
        <v>#DIV/0!</v>
      </c>
      <c r="CU226" s="87" t="e">
        <f t="shared" ca="1" si="420"/>
        <v>#DIV/0!</v>
      </c>
      <c r="CV226" s="88" t="e">
        <f ca="1">IF(BZ226&lt;=Hypothèses!$V$7,Hypothèses!$X$7,IF(BZ226&lt;=Hypothèses!$V$8,Hypothèses!$X$8,IF(BZ226&lt;=Hypothèses!$V$9,Hypothèses!$X$9,IF(BZ226&lt;=Hypothèses!$V$10,Hypothèses!$X$10,IF(BZ226&lt;=Hypothèses!$V$11,Hypothèses!$X$11,IF(BZ226&lt;=Hypothèses!$V$12,Hypothèses!$X$12,IF(BZ226&lt;=Hypothèses!$V$13,Hypothèses!$X$13,IF(BZ226&lt;=Hypothèses!$V$14,Hypothèses!$X$14,IF(BZ226&lt;=Hypothèses!$V$15,Hypothèses!$X$15,IF(BZ226&lt;=Hypothèses!$V$16,Hypothèses!$X$16,IF(BZ226&lt;=Hypothèses!$U$17,Hypothèses!$W$17,IF(BZ226&lt;=Hypothèses!$U$18,Hypothèses!$W$18,""))))))))))))</f>
        <v>#DIV/0!</v>
      </c>
      <c r="CW226" s="95" t="e">
        <f t="shared" ca="1" si="385"/>
        <v>#DIV/0!</v>
      </c>
      <c r="CX226" s="101">
        <f t="shared" si="427"/>
        <v>0</v>
      </c>
      <c r="CY226" s="91">
        <f t="shared" si="352"/>
        <v>0</v>
      </c>
      <c r="CZ226" s="30" t="e">
        <f t="shared" si="408"/>
        <v>#N/A</v>
      </c>
      <c r="DA226" s="30" t="e">
        <f t="shared" si="409"/>
        <v>#N/A</v>
      </c>
      <c r="DB226" s="31" t="e">
        <f>IF(OR(Hypothèses!$B$4=17,Hypothèses!$B$4=18,Hypothèses!$B$4=19,Hypothèses!$B$4=20),
IF($D226="Pressio.",
IF(OR($E226=3,$E226=1,$E226=4),DA226,CZ226),
IF($D226="Pénétro.",
IF(OR($E226=3,$E226=1,$E226=4),DA226,CZ226))),IF($D226="Pressio.",
IF($E226=3,DA226,CZ226),
IF($D226="Pénétro.",
IF($E226=4,DA226,CZ226))))</f>
        <v>#N/A</v>
      </c>
      <c r="DC226" s="31">
        <v>0</v>
      </c>
      <c r="DD226" s="102" t="e">
        <f>IF(NDC!$H$10="Oui",(VLOOKUP($B$3,'Coeff EC7'!$T$39:$X$59,2,0)*DB226+VLOOKUP($B$3,'Coeff EC7'!$T$65:$X$85,2,0)*Model0.1T!DC226)/1.5,PI()*CZ$12*$Q226*($B226-$B225)*0.15/10+DD225)</f>
        <v>#N/A</v>
      </c>
      <c r="DE226" s="102" t="e">
        <f>(VLOOKUP($B$3,'Coeff EC7'!$T$39:$X$59,3,0)*DB226+VLOOKUP($B$3,'Coeff EC7'!$T$65:$X$85,3,0)*Model0.1T!DC226)/1.1</f>
        <v>#N/A</v>
      </c>
      <c r="DF226" s="102" t="e">
        <f t="shared" si="386"/>
        <v>#N/A</v>
      </c>
      <c r="DG226" s="102" t="e">
        <f t="shared" si="387"/>
        <v>#N/A</v>
      </c>
      <c r="DH226" s="414" t="e">
        <f>IF(AND(DD226&gt;NDC!$C$63,DE226&gt;NDC!$C$65,DF226&gt;NDC!$D$73,DG226&gt;NDC!$D$74,$B226&gt;NDC!$H$22-0.1+MIN(3*DH$12,1.5)),0,1)</f>
        <v>#N/A</v>
      </c>
      <c r="DI226" s="86" t="b">
        <f t="shared" si="353"/>
        <v>0</v>
      </c>
      <c r="DJ226" s="86">
        <f t="shared" si="354"/>
        <v>0.5</v>
      </c>
      <c r="DK226" s="86">
        <f t="shared" si="355"/>
        <v>0.5</v>
      </c>
      <c r="DL226" s="30" t="e">
        <f t="shared" ca="1" si="388"/>
        <v>#DIV/0!</v>
      </c>
      <c r="DM226" s="85" t="e">
        <f ca="1">IF(CS226&lt;=Hypothèses!$V$7,Hypothèses!$W$7,IF(CS226&lt;=Hypothèses!$V$8,Hypothèses!$W$8,IF(CS226&lt;=Hypothèses!$V$9,Hypothèses!$W$9,IF(CS226&lt;=Hypothèses!$V$10,Hypothèses!$W$10,IF(CS226&lt;=Hypothèses!$V$11,Hypothèses!$W$11,IF(CS226&lt;=Hypothèses!$V$12,Hypothèses!$W$12,IF(CS226&lt;=Hypothèses!$V$13,Hypothèses!$W$13,IF(CS226&lt;=Hypothèses!$V$14,Hypothèses!$W$14,IF(CS226&lt;=Hypothèses!$V$15,Hypothèses!$W$15,IF(CS226&lt;=Hypothèses!$V$16,Hypothèses!$W$16,IF(CS226&lt;=Hypothèses!$V$17,Hypothèses!$W$17,IF(CS226&lt;=Hypothèses!$V$18,Hypothèses!$W$18,""))))))))))))</f>
        <v>#DIV/0!</v>
      </c>
      <c r="DN226" s="87" t="e">
        <f t="shared" ca="1" si="421"/>
        <v>#DIV/0!</v>
      </c>
      <c r="DO226" s="88" t="e">
        <f ca="1">IF(CS226&lt;=Hypothèses!$V$7,Hypothèses!$X$7,IF(CS226&lt;=Hypothèses!$V$8,Hypothèses!$X$8,IF(CS226&lt;=Hypothèses!$V$9,Hypothèses!$X$9,IF(CS226&lt;=Hypothèses!$V$10,Hypothèses!$X$10,IF(CS226&lt;=Hypothèses!$V$11,Hypothèses!$X$11,IF(CS226&lt;=Hypothèses!$V$12,Hypothèses!$X$12,IF(CS226&lt;=Hypothèses!$V$13,Hypothèses!$X$13,IF(CS226&lt;=Hypothèses!$V$14,Hypothèses!$X$14,IF(CS226&lt;=Hypothèses!$V$15,Hypothèses!$X$15,IF(CS226&lt;=Hypothèses!$V$16,Hypothèses!$X$16,IF(CS226&lt;=Hypothèses!$U$17,Hypothèses!$W$17,IF(CS226&lt;=Hypothèses!$U$18,Hypothèses!$W$18,""))))))))))))</f>
        <v>#DIV/0!</v>
      </c>
      <c r="DP226" s="95" t="e">
        <f t="shared" ca="1" si="389"/>
        <v>#DIV/0!</v>
      </c>
      <c r="DQ226" s="101">
        <f t="shared" si="428"/>
        <v>0</v>
      </c>
      <c r="DR226" s="91">
        <f t="shared" si="356"/>
        <v>0</v>
      </c>
      <c r="DS226" s="30" t="e">
        <f t="shared" si="410"/>
        <v>#N/A</v>
      </c>
      <c r="DT226" s="30" t="e">
        <f t="shared" si="411"/>
        <v>#N/A</v>
      </c>
      <c r="DU226" s="31" t="e">
        <f>IF(OR(Hypothèses!$B$4=17,Hypothèses!$B$4=18,Hypothèses!$B$4=19,Hypothèses!$B$4=20),
IF($D226="Pressio.",
IF(OR($E226=3,$E226=1,$E226=4),DT226,DS226),
IF($D226="Pénétro.",
IF(OR($E226=3,$E226=1,$E226=4),DT226,DS226))),IF($D226="Pressio.",
IF($E226=3,DT226,DS226),
IF($D226="Pénétro.",
IF($E226=4,DT226,DS226))))</f>
        <v>#N/A</v>
      </c>
      <c r="DV226" s="31">
        <v>0</v>
      </c>
      <c r="DW226" s="102" t="e">
        <f>IF(NDC!$H$10="Oui",(VLOOKUP($B$3,'Coeff EC7'!$T$39:$X$59,2,0)*DU226+VLOOKUP($B$3,'Coeff EC7'!$T$65:$X$85,2,0)*Model0.1T!DV226)/1.5,PI()*DS$12*$Q226*($B226-$B225)*0.15/10+DW225)</f>
        <v>#N/A</v>
      </c>
      <c r="DX226" s="102" t="e">
        <f>(VLOOKUP($B$3,'Coeff EC7'!$T$39:$X$59,3,0)*DU226+VLOOKUP($B$3,'Coeff EC7'!$T$65:$X$85,3,0)*Model0.1T!DV226)/1.1</f>
        <v>#N/A</v>
      </c>
      <c r="DY226" s="102" t="e">
        <f t="shared" si="390"/>
        <v>#N/A</v>
      </c>
      <c r="DZ226" s="102" t="e">
        <f t="shared" si="391"/>
        <v>#N/A</v>
      </c>
      <c r="EA226" s="414" t="e">
        <f>IF(AND(DW226&gt;NDC!$C$63,DX226&gt;NDC!$C$65,DY226&gt;NDC!$D$73,DZ226&gt;NDC!$D$74,$B226&gt;NDC!$H$22-0.1+MIN(3*EA$12,1.5)),0,1)</f>
        <v>#N/A</v>
      </c>
      <c r="EB226" s="86" t="b">
        <f t="shared" si="357"/>
        <v>0</v>
      </c>
      <c r="EC226" s="418">
        <f t="shared" si="358"/>
        <v>0.51</v>
      </c>
      <c r="ED226" s="86">
        <f t="shared" si="359"/>
        <v>0.51</v>
      </c>
      <c r="EE226" s="30" t="e">
        <f t="shared" ca="1" si="392"/>
        <v>#DIV/0!</v>
      </c>
      <c r="EF226" s="85" t="e">
        <f ca="1">IF(DL226&lt;=Hypothèses!$V$7,Hypothèses!$W$7,IF(DL226&lt;=Hypothèses!$V$8,Hypothèses!$W$8,IF(DL226&lt;=Hypothèses!$V$9,Hypothèses!$W$9,IF(DL226&lt;=Hypothèses!$V$10,Hypothèses!$W$10,IF(DL226&lt;=Hypothèses!$V$11,Hypothèses!$W$11,IF(DL226&lt;=Hypothèses!$V$12,Hypothèses!$W$12,IF(DL226&lt;=Hypothèses!$V$13,Hypothèses!$W$13,IF(DL226&lt;=Hypothèses!$V$14,Hypothèses!$W$14,IF(DL226&lt;=Hypothèses!$V$15,Hypothèses!$W$15,IF(DL226&lt;=Hypothèses!$V$16,Hypothèses!$W$16,IF(DL226&lt;=Hypothèses!$V$17,Hypothèses!$W$17,IF(DL226&lt;=Hypothèses!$V$18,Hypothèses!$W$18,""))))))))))))</f>
        <v>#DIV/0!</v>
      </c>
      <c r="EG226" s="87" t="e">
        <f t="shared" ca="1" si="422"/>
        <v>#DIV/0!</v>
      </c>
      <c r="EH226" s="88" t="e">
        <f ca="1">IF(DL226&lt;=Hypothèses!$V$7,Hypothèses!$X$7,IF(DL226&lt;=Hypothèses!$V$8,Hypothèses!$X$8,IF(DL226&lt;=Hypothèses!$V$9,Hypothèses!$X$9,IF(DL226&lt;=Hypothèses!$V$10,Hypothèses!$X$10,IF(DL226&lt;=Hypothèses!$V$11,Hypothèses!$X$11,IF(DL226&lt;=Hypothèses!$V$12,Hypothèses!$X$12,IF(DL226&lt;=Hypothèses!$V$13,Hypothèses!$X$13,IF(DL226&lt;=Hypothèses!$V$14,Hypothèses!$X$14,IF(DL226&lt;=Hypothèses!$V$15,Hypothèses!$X$15,IF(DL226&lt;=Hypothèses!$V$16,Hypothèses!$X$16,IF(DL226&lt;=Hypothèses!$U$17,Hypothèses!$W$17,IF(DL226&lt;=Hypothèses!$U$18,Hypothèses!$W$18,""))))))))))))</f>
        <v>#DIV/0!</v>
      </c>
      <c r="EI226" s="95" t="e">
        <f t="shared" ca="1" si="393"/>
        <v>#DIV/0!</v>
      </c>
      <c r="EJ226" s="101">
        <f t="shared" si="429"/>
        <v>0</v>
      </c>
      <c r="EK226" s="91">
        <f t="shared" si="360"/>
        <v>0</v>
      </c>
      <c r="EL226" s="30" t="e">
        <f t="shared" si="412"/>
        <v>#N/A</v>
      </c>
      <c r="EM226" s="30" t="e">
        <f t="shared" si="413"/>
        <v>#N/A</v>
      </c>
      <c r="EN226" s="31" t="e">
        <f>IF(OR(Hypothèses!$B$4=17,Hypothèses!$B$4=18,Hypothèses!$B$4=19,Hypothèses!$B$4=20),
IF($D226="Pressio.",
IF(OR($E226=3,$E226=1,$E226=4),EM226,EL226),
IF($D226="Pénétro.",
IF(OR($E226=3,$E226=1,$E226=4),EM226,EL226))),IF($D226="Pressio.",
IF($E226=3,EM226,EL226),
IF($D226="Pénétro.",
IF($E226=4,EM226,EL226))))</f>
        <v>#N/A</v>
      </c>
      <c r="EO226" s="31">
        <v>0</v>
      </c>
      <c r="EP226" s="102" t="e">
        <f>IF(NDC!$H$10="Oui",(VLOOKUP($B$3,'Coeff EC7'!$T$39:$X$59,2,0)*EN226+VLOOKUP($B$3,'Coeff EC7'!$T$65:$X$85,2,0)*Model0.1T!EO226)/1.5,PI()*EL$12*$Q226*($B226-$B225)*0.15/10+EP225)</f>
        <v>#N/A</v>
      </c>
      <c r="EQ226" s="102" t="e">
        <f>(VLOOKUP($B$3,'Coeff EC7'!$T$39:$X$59,3,0)*EN226+VLOOKUP($B$3,'Coeff EC7'!$T$65:$X$85,3,0)*Model0.1T!EO226)/1.1</f>
        <v>#N/A</v>
      </c>
      <c r="ER226" s="102" t="e">
        <f t="shared" si="394"/>
        <v>#N/A</v>
      </c>
      <c r="ES226" s="102" t="e">
        <f t="shared" si="395"/>
        <v>#N/A</v>
      </c>
      <c r="ET226" s="414" t="e">
        <f>IF(AND(EP226&gt;NDC!$C$63,EQ226&gt;NDC!$C$65,ER226&gt;NDC!$D$73,ES226&gt;NDC!$D$74,$B226&gt;NDC!$H$22-0.1+MIN(3*ET$12,1.5)),0,1)</f>
        <v>#N/A</v>
      </c>
      <c r="EU226" s="86" t="b">
        <f t="shared" si="361"/>
        <v>0</v>
      </c>
      <c r="EV226" s="86">
        <f t="shared" si="362"/>
        <v>0.61</v>
      </c>
      <c r="EW226" s="86">
        <f t="shared" si="363"/>
        <v>0.61</v>
      </c>
      <c r="EX226" s="30" t="e">
        <f t="shared" ca="1" si="396"/>
        <v>#DIV/0!</v>
      </c>
      <c r="EY226" s="85" t="e">
        <f ca="1">IF(EE226&lt;=Hypothèses!$V$7,Hypothèses!$W$7,IF(EE226&lt;=Hypothèses!$V$8,Hypothèses!$W$8,IF(EE226&lt;=Hypothèses!$V$9,Hypothèses!$W$9,IF(EE226&lt;=Hypothèses!$V$10,Hypothèses!$W$10,IF(EE226&lt;=Hypothèses!$V$11,Hypothèses!$W$11,IF(EE226&lt;=Hypothèses!$V$12,Hypothèses!$W$12,IF(EE226&lt;=Hypothèses!$V$13,Hypothèses!$W$13,IF(EE226&lt;=Hypothèses!$V$14,Hypothèses!$W$14,IF(EE226&lt;=Hypothèses!$V$15,Hypothèses!$W$15,IF(EE226&lt;=Hypothèses!$V$16,Hypothèses!$W$16,IF(EE226&lt;=Hypothèses!$V$17,Hypothèses!$W$17,IF(EE226&lt;=Hypothèses!$V$18,Hypothèses!$W$18,""))))))))))))</f>
        <v>#DIV/0!</v>
      </c>
      <c r="EZ226" s="87" t="e">
        <f t="shared" ca="1" si="423"/>
        <v>#DIV/0!</v>
      </c>
      <c r="FA226" s="88" t="e">
        <f ca="1">IF(EE226&lt;=Hypothèses!$V$7,Hypothèses!$X$7,IF(EE226&lt;=Hypothèses!$V$8,Hypothèses!$X$8,IF(EE226&lt;=Hypothèses!$V$9,Hypothèses!$X$9,IF(EE226&lt;=Hypothèses!$V$10,Hypothèses!$X$10,IF(EE226&lt;=Hypothèses!$V$11,Hypothèses!$X$11,IF(EE226&lt;=Hypothèses!$V$12,Hypothèses!$X$12,IF(EE226&lt;=Hypothèses!$V$13,Hypothèses!$X$13,IF(EE226&lt;=Hypothèses!$V$14,Hypothèses!$X$14,IF(EE226&lt;=Hypothèses!$V$15,Hypothèses!$X$15,IF(EE226&lt;=Hypothèses!$V$16,Hypothèses!$X$16,IF(EE226&lt;=Hypothèses!$U$17,Hypothèses!$W$17,IF(EE226&lt;=Hypothèses!$U$18,Hypothèses!$W$18,""))))))))))))</f>
        <v>#DIV/0!</v>
      </c>
      <c r="FB226" s="95" t="e">
        <f t="shared" ca="1" si="397"/>
        <v>#DIV/0!</v>
      </c>
      <c r="FC226" s="101">
        <f t="shared" si="430"/>
        <v>0</v>
      </c>
      <c r="FD226" s="91">
        <f t="shared" si="364"/>
        <v>0</v>
      </c>
      <c r="FE226" s="30" t="e">
        <f t="shared" si="414"/>
        <v>#N/A</v>
      </c>
      <c r="FF226" s="30" t="e">
        <f t="shared" si="415"/>
        <v>#N/A</v>
      </c>
      <c r="FG226" s="31" t="e">
        <f>IF(OR(Hypothèses!$B$4=17,Hypothèses!$B$4=18,Hypothèses!$B$4=19,Hypothèses!$B$4=20),
IF($D226="Pressio.",
IF(OR($E226=3,$E226=1,$E226=4),FF226,FE226),
IF($D226="Pénétro.",
IF(OR($E226=3,$E226=1,$E226=4),FF226,FE226))),IF($D226="Pressio.",
IF($E226=3,FF226,FE226),
IF($D226="Pénétro.",
IF($E226=4,FF226,FE226))))</f>
        <v>#N/A</v>
      </c>
      <c r="FH226" s="31">
        <v>0</v>
      </c>
      <c r="FI226" s="102" t="e">
        <f>IF(NDC!$H$10="Oui",(VLOOKUP($B$3,'Coeff EC7'!$T$39:$X$59,2,0)*FG226+VLOOKUP($B$3,'Coeff EC7'!$T$65:$X$85,2,0)*Model0.1T!FH226)/1.5,PI()*FE$12*$Q226*($B226-$B225)*0.15/10+FI225)</f>
        <v>#N/A</v>
      </c>
      <c r="FJ226" s="102" t="e">
        <f>(VLOOKUP($B$3,'Coeff EC7'!$T$39:$X$59,3,0)*FG226+VLOOKUP($B$3,'Coeff EC7'!$T$65:$X$85,3,0)*Model0.1T!FH226)/1.1</f>
        <v>#N/A</v>
      </c>
      <c r="FK226" s="102" t="e">
        <f t="shared" si="398"/>
        <v>#N/A</v>
      </c>
      <c r="FL226" s="102" t="e">
        <f t="shared" si="399"/>
        <v>#N/A</v>
      </c>
      <c r="FM226" s="414" t="e">
        <f>IF(AND(FI226&gt;NDC!$C$63,FJ226&gt;NDC!$C$65,FK226&gt;NDC!$D$73,FL226&gt;NDC!$D$74,$B226&gt;NDC!$H$22-0.1+MIN(3*FM$12,1.5)),0,1)</f>
        <v>#N/A</v>
      </c>
    </row>
    <row r="227" spans="1:169">
      <c r="A227" s="96">
        <f t="shared" si="365"/>
        <v>78.600000000001216</v>
      </c>
      <c r="B227" s="97">
        <v>21.4</v>
      </c>
      <c r="C227" s="81">
        <f>IF(B227&lt;=Hypothèses!$C$7,Hypothèses!$A$7,IF(B227&lt;=Hypothèses!$C$8,Hypothèses!$A$8,IF(B227&lt;=Hypothèses!$C$9,Hypothèses!$A$9,IF(B227&lt;=Hypothèses!$C$10,Hypothèses!$A$10,IF(B227&lt;=Hypothèses!$C$11,Hypothèses!$A$11,IF(B227&lt;=Hypothèses!$C$12,Hypothèses!$A$12,IF(B227&lt;=Hypothèses!$C$13,Hypothèses!$A$13,IF(B227&lt;=Hypothèses!$C$14,Hypothèses!$A$14,IF(B227&lt;=Hypothèses!$C$15,Hypothèses!$A$15,IF(B227&lt;=Hypothèses!$C$16,Hypothèses!$A$16,IF(B227&lt;=Hypothèses!$C$17,Hypothèses!$A$17,IF(B227&lt;=Hypothèses!$C$18,Hypothèses!$A$18,C226))))))))))))</f>
        <v>11</v>
      </c>
      <c r="D227" s="82" t="str">
        <f>IF(B227&lt;=Hypothèses!$C$7,Hypothèses!$R$7,IF(B227&lt;=Hypothèses!$C$8,Hypothèses!$R$8,IF(B227&lt;=Hypothèses!$C$9,Hypothèses!$R$9,IF(B227&lt;=Hypothèses!$C$10,Hypothèses!$R$10,IF(B227&lt;=Hypothèses!$C$11,Hypothèses!$R$11,IF(B227&lt;=Hypothèses!$C$12,Hypothèses!$R$12,IF(B227&lt;=Hypothèses!$C$13,Hypothèses!$R$13,IF(B227&lt;=Hypothèses!$C$14,Hypothèses!$R$14,IF(B227&lt;=Hypothèses!$C$15,Hypothèses!$R$15,IF(B227&lt;=Hypothèses!$C$16,Hypothèses!$R$16,IF(B227&lt;=Hypothèses!$C$17,Hypothèses!$R$17,IF(B227&lt;=Hypothèses!$C$18,Hypothèses!$R$18,D226))))))))))))</f>
        <v>Pressio.</v>
      </c>
      <c r="E227" s="82" t="e">
        <f>IF(B227&lt;=Hypothèses!$C$7,Hypothèses!$G$7,IF(B227&lt;=Hypothèses!$C$8,Hypothèses!$G$8,IF(B227&lt;=Hypothèses!$C$9,Hypothèses!$G$9,IF(B227&lt;=Hypothèses!$C$10,Hypothèses!$G$10,IF(B227&lt;=Hypothèses!$C$11,Hypothèses!$G$11,IF(B227&lt;=Hypothèses!$C$12,Hypothèses!$G$12,IF(B227&lt;=Hypothèses!$C$13,Hypothèses!$G$13,IF(B227&lt;=Hypothèses!$C$14,Hypothèses!$G$14,IF(B227&lt;=Hypothèses!$C$15,Hypothèses!$G$15,IF(B227&lt;=Hypothèses!$C$16,Hypothèses!$G$16,IF(B227&lt;=Hypothèses!$C$17,Hypothèses!$G$17,IF(B227&lt;=Hypothèses!$C$18,Hypothèses!$G$18,E226))))))))))))</f>
        <v>#N/A</v>
      </c>
      <c r="F227" s="82" t="str">
        <f>IF(B227&lt;=Hypothèses!$C$7,Hypothèses!$F$7,IF(B227&lt;=Hypothèses!$C$8,Hypothèses!$F$8,IF(B227&lt;=Hypothèses!$C$9,Hypothèses!$F$9,IF(B227&lt;=Hypothèses!$C$10,Hypothèses!$F$10,IF(B227&lt;=Hypothèses!$C$11,Hypothèses!$F$11,IF(B227&lt;=Hypothèses!$C$12,Hypothèses!$F$12,IF(B227&lt;=Hypothèses!$C$13,Hypothèses!$F$13,IF(B227&lt;=Hypothèses!$C$14,Hypothèses!$F$14,IF(B227&lt;=Hypothèses!$C$15,Hypothèses!$F$15,IF(B227&lt;=Hypothèses!$C$16,Hypothèses!$F$16,IF(B227&lt;=Hypothèses!$C$17,Hypothèses!$F$17,IF(B227&lt;=Hypothèses!$C$18,Hypothèses!$F$18,F226))))))))))))</f>
        <v/>
      </c>
      <c r="G227" s="91">
        <f t="array" ref="G227">INDEX('Coeff EC7'!$U$7:$X$27,
MATCH(Model0.1T!$B$3,'Coeff EC7'!$T$7:$T$27,0),
MATCH(Model0.1T!$D227&amp;Model0.1T!$B$4,
'Coeff EC7'!$U$6:$X$6&amp;
'Coeff EC7'!$U$5:$X$5,0))</f>
        <v>1.4</v>
      </c>
      <c r="H227" s="91">
        <f t="array" ref="H227">INDEX('Coeff EC7'!$Y$7:$AB$27,
MATCH(Model0.1T!$B$3,'Coeff EC7'!$T$7:$T$27,0),
MATCH(Model0.1T!$D227&amp;Model0.1T!$B$4,
'Coeff EC7'!$Y$6:$AB$6&amp;
'Coeff EC7'!$Y$5:$AB$5,0))</f>
        <v>1.7</v>
      </c>
      <c r="I227" s="83">
        <v>0</v>
      </c>
      <c r="J227" s="91" t="e">
        <f t="array" ref="J227">INDEX('Coeff EC7'!$D$33:$Q$33,1,MATCH(D227&amp;E227,'Coeff EC7'!$D$31:$Q$31&amp;'Coeff EC7'!$D$32:$Q$32,0))</f>
        <v>#N/A</v>
      </c>
      <c r="K227" s="91" t="e">
        <f t="array" ref="K227">INDEX('Coeff EC7'!$D$34:$Q$34,1,MATCH(D227&amp;E227,'Coeff EC7'!$D$31:$Q$31&amp;'Coeff EC7'!$D$32:$Q$32,0))</f>
        <v>#N/A</v>
      </c>
      <c r="L227" s="91" t="e">
        <f t="array" ref="L227">INDEX('Coeff EC7'!$D$35:$Q$35,1,MATCH(D227&amp;E227,'Coeff EC7'!$D$31:$Q$31&amp;'Coeff EC7'!$D$32:$Q$32,0))</f>
        <v>#N/A</v>
      </c>
      <c r="M227" s="98" t="e">
        <f t="shared" si="331"/>
        <v>#N/A</v>
      </c>
      <c r="N227" s="99" t="e">
        <f t="array" ref="N227">INDEX('Coeff EC7'!$D$7:$Q$27,MATCH($B$3,'Coeff EC7'!$C$7:$C$27,0),MATCH(D227&amp;E227,'Coeff EC7'!$D$5:$Q$5&amp;'Coeff EC7'!$D$6:$Q$6,0))</f>
        <v>#N/A</v>
      </c>
      <c r="O227" s="99" t="e">
        <f t="array" ref="O227">INDEX('Coeff EC7'!$D$41:$Q$61,MATCH($B$3,'Coeff EC7'!$C$41:$C$61,0),MATCH(D227&amp;E227,'Coeff EC7'!$D$39:$Q$39&amp;'Coeff EC7'!$D$40:$Q$40,0))</f>
        <v>#N/A</v>
      </c>
      <c r="P227" s="30" t="e">
        <f t="shared" si="366"/>
        <v>#N/A</v>
      </c>
      <c r="Q227" s="100" t="e">
        <f t="shared" si="333"/>
        <v>#N/A</v>
      </c>
      <c r="R227" s="86" t="b">
        <f t="shared" si="334"/>
        <v>0</v>
      </c>
      <c r="S227" s="86">
        <f t="shared" si="332"/>
        <v>0.5</v>
      </c>
      <c r="T227" s="86">
        <f t="shared" si="335"/>
        <v>0.5</v>
      </c>
      <c r="U227" s="30" t="e">
        <f t="shared" ca="1" si="367"/>
        <v>#DIV/0!</v>
      </c>
      <c r="V227" s="85" t="str">
        <f>IF(B227&lt;=Hypothèses!$V$7,Hypothèses!$W$7,IF(B227&lt;=Hypothèses!$V$8,Hypothèses!$W$8,IF(B227&lt;=Hypothèses!$V$9,Hypothèses!$W$9,IF(B227&lt;=Hypothèses!$V$10,Hypothèses!$W$10,IF(B227&lt;=Hypothèses!$V$11,Hypothèses!$W$11,IF(B227&lt;=Hypothèses!$V$12,Hypothèses!$W$12,IF(B227&lt;=Hypothèses!$V$13,Hypothèses!$W$13,IF(B227&lt;=Hypothèses!$V$14,Hypothèses!$W$14,IF(B227&lt;=Hypothèses!$V$15,Hypothèses!$W$15,IF(B227&lt;=Hypothèses!$V$16,Hypothèses!$W$16,IF(B227&lt;=Hypothèses!$V$17,Hypothèses!$W$17,IF(B227&lt;=Hypothèses!$V$18,Hypothèses!$W$18,""))))))))))))</f>
        <v/>
      </c>
      <c r="W227" s="87" t="e">
        <f t="shared" ca="1" si="416"/>
        <v>#DIV/0!</v>
      </c>
      <c r="X227" s="88" t="str">
        <f>IF(B227&lt;=Hypothèses!$V$7,Hypothèses!$X$7,IF(B227&lt;=Hypothèses!$V$8,Hypothèses!$X$8,IF(B227&lt;=Hypothèses!$V$9,Hypothèses!$X$9,IF(B227&lt;=Hypothèses!$V$10,Hypothèses!$X$10,IF(B227&lt;=Hypothèses!$V$11,Hypothèses!$X$11,IF(B227&lt;=Hypothèses!$V$12,Hypothèses!$X$12,IF(B227&lt;=Hypothèses!$V$13,Hypothèses!$X$13,IF(B227&lt;=Hypothèses!$V$14,Hypothèses!$X$14,IF(B227&lt;=Hypothèses!$V$15,Hypothèses!$X$15,IF(B227&lt;=Hypothèses!$V$16,Hypothèses!$X$16,IF(B227&lt;=Hypothèses!$U$17,Hypothèses!$W$17,IF(B227&lt;=Hypothèses!$U$18,Hypothèses!$W$18,""))))))))))))</f>
        <v/>
      </c>
      <c r="Y227" s="95" t="e">
        <f t="shared" ca="1" si="336"/>
        <v>#DIV/0!</v>
      </c>
      <c r="Z227" s="101">
        <f t="shared" si="337"/>
        <v>0</v>
      </c>
      <c r="AA227" s="91">
        <f t="shared" si="338"/>
        <v>0</v>
      </c>
      <c r="AB227" s="30" t="e">
        <f t="shared" si="400"/>
        <v>#N/A</v>
      </c>
      <c r="AC227" s="30" t="e">
        <f t="shared" si="401"/>
        <v>#N/A</v>
      </c>
      <c r="AD227" s="31" t="e">
        <f>IF(OR(Hypothèses!$B$4=17,Hypothèses!$B$4=18,Hypothèses!$B$4=19,Hypothèses!$B$4=20),
IF($D227="Pressio.",
IF(OR($E227=3,$E227=1,$E227=4),AC227,AB227),
IF($D227="Pénétro.",
IF(OR($E227=3,$E227=1,$E227=4),AC227,AB227))),IF($D227="Pressio.",
IF($E227=3,AC227,AB227),
IF($D227="Pénétro.",
IF($E227=4,AC227,AB227))))</f>
        <v>#N/A</v>
      </c>
      <c r="AE227" s="31">
        <v>0</v>
      </c>
      <c r="AF227" s="102" t="e">
        <f>IF(NDC!$H$10="Oui",(VLOOKUP($B$3,'Coeff EC7'!$T$39:$X$59,2,0)*AD227+VLOOKUP($B$3,'Coeff EC7'!$T$65:$X$85,2,0)*Model0.1T!AE227)/1.5,PI()*AB$12*$Q227*($B227-$B226)*0.15/10+AF226)</f>
        <v>#N/A</v>
      </c>
      <c r="AG227" s="102" t="e">
        <f>(VLOOKUP($B$3,'Coeff EC7'!$T$39:$X$59,3,0)*AD227+VLOOKUP($B$3,'Coeff EC7'!$T$65:$X$85,3,0)*Model0.1T!AE227)/1.1</f>
        <v>#N/A</v>
      </c>
      <c r="AH227" s="102" t="e">
        <f t="shared" si="368"/>
        <v>#N/A</v>
      </c>
      <c r="AI227" s="102" t="e">
        <f t="shared" si="369"/>
        <v>#N/A</v>
      </c>
      <c r="AJ227" s="414" t="e">
        <f>IF(AND(AF227&gt;NDC!$C$63,AG227&gt;NDC!$C$65,AH227&gt;NDC!$D$73,AI227&gt;NDC!$D$74,$B227&gt;NDC!$H$22-0.1+MIN(3*$AJ$12,1.5)),0,1)</f>
        <v>#N/A</v>
      </c>
      <c r="AK227" s="86" t="b">
        <f t="shared" si="339"/>
        <v>0</v>
      </c>
      <c r="AL227" s="86">
        <f t="shared" si="370"/>
        <v>0.5</v>
      </c>
      <c r="AM227" s="86">
        <f t="shared" si="340"/>
        <v>0.5</v>
      </c>
      <c r="AN227" s="30" t="e">
        <f t="shared" ca="1" si="371"/>
        <v>#DIV/0!</v>
      </c>
      <c r="AO227" s="85" t="e">
        <f ca="1">IF(U227&lt;=Hypothèses!$V$7,Hypothèses!$W$7,IF(U227&lt;=Hypothèses!$V$8,Hypothèses!$W$8,IF(U227&lt;=Hypothèses!$V$9,Hypothèses!$W$9,IF(U227&lt;=Hypothèses!$V$10,Hypothèses!$W$10,IF(U227&lt;=Hypothèses!$V$11,Hypothèses!$W$11,IF(U227&lt;=Hypothèses!$V$12,Hypothèses!$W$12,IF(U227&lt;=Hypothèses!$V$13,Hypothèses!$W$13,IF(U227&lt;=Hypothèses!$V$14,Hypothèses!$W$14,IF(U227&lt;=Hypothèses!$V$15,Hypothèses!$W$15,IF(U227&lt;=Hypothèses!$V$16,Hypothèses!$W$16,IF(U227&lt;=Hypothèses!$V$17,Hypothèses!$W$17,IF(U227&lt;=Hypothèses!$V$18,Hypothèses!$W$18,""))))))))))))</f>
        <v>#DIV/0!</v>
      </c>
      <c r="AP227" s="87" t="e">
        <f t="shared" ca="1" si="417"/>
        <v>#DIV/0!</v>
      </c>
      <c r="AQ227" s="88" t="e">
        <f ca="1">IF(U227&lt;=Hypothèses!$V$7,Hypothèses!$X$7,IF(U227&lt;=Hypothèses!$V$8,Hypothèses!$X$8,IF(U227&lt;=Hypothèses!$V$9,Hypothèses!$X$9,IF(U227&lt;=Hypothèses!$V$10,Hypothèses!$X$10,IF(U227&lt;=Hypothèses!$V$11,Hypothèses!$X$11,IF(U227&lt;=Hypothèses!$V$12,Hypothèses!$X$12,IF(U227&lt;=Hypothèses!$V$13,Hypothèses!$X$13,IF(U227&lt;=Hypothèses!$V$14,Hypothèses!$X$14,IF(U227&lt;=Hypothèses!$V$15,Hypothèses!$X$15,IF(U227&lt;=Hypothèses!$V$16,Hypothèses!$X$16,IF(U227&lt;=Hypothèses!$U$17,Hypothèses!$W$17,IF(U227&lt;=Hypothèses!$U$18,Hypothèses!$W$18,""))))))))))))</f>
        <v>#DIV/0!</v>
      </c>
      <c r="AR227" s="95" t="e">
        <f t="shared" ca="1" si="372"/>
        <v>#DIV/0!</v>
      </c>
      <c r="AS227" s="101">
        <f t="shared" si="424"/>
        <v>0</v>
      </c>
      <c r="AT227" s="91">
        <f t="shared" si="341"/>
        <v>0</v>
      </c>
      <c r="AU227" s="30" t="e">
        <f t="shared" si="402"/>
        <v>#N/A</v>
      </c>
      <c r="AV227" s="30" t="e">
        <f t="shared" si="403"/>
        <v>#N/A</v>
      </c>
      <c r="AW227" s="31" t="e">
        <f>IF(OR(Hypothèses!$B$4=17,Hypothèses!$B$4=18,Hypothèses!$B$4=19,Hypothèses!$B$4=20),
IF($D227="Pressio.",
IF(OR($E227=3,$E227=1,$E227=4),AV227,AU227),
IF($D227="Pénétro.",
IF(OR($E227=3,$E227=1,$E227=4),AV227,AU227))),IF($D227="Pressio.",
IF($E227=3,AV227,AU227),
IF($D227="Pénétro.",
IF($E227=4,AV227,AU227))))</f>
        <v>#N/A</v>
      </c>
      <c r="AX227" s="31">
        <v>0</v>
      </c>
      <c r="AY227" s="102" t="e">
        <f>IF(NDC!$H$10="Oui",(VLOOKUP($B$3,'Coeff EC7'!$T$39:$X$59,2,0)*AW227+VLOOKUP($B$3,'Coeff EC7'!$T$65:$X$85,2,0)*Model0.1T!AX227)/1.5,PI()*AU$12*$Q227*($B227-$B226)*0.15/10+AY226)</f>
        <v>#N/A</v>
      </c>
      <c r="AZ227" s="102" t="e">
        <f>(VLOOKUP($B$3,'Coeff EC7'!$T$39:$X$59,3,0)*AW227+VLOOKUP($B$3,'Coeff EC7'!$T$65:$X$85,3,0)*Model0.1T!AX227)/1.1</f>
        <v>#N/A</v>
      </c>
      <c r="BA227" s="102" t="e">
        <f t="shared" si="373"/>
        <v>#N/A</v>
      </c>
      <c r="BB227" s="102" t="e">
        <f t="shared" si="374"/>
        <v>#N/A</v>
      </c>
      <c r="BC227" s="414" t="e">
        <f>IF(AND(AY227&gt;NDC!$C$63,AZ227&gt;NDC!$C$65,BA227&gt;NDC!$D$73,BB227&gt;NDC!$D$74,$B227&gt;NDC!$H$22-0.1+MIN(3*BC$12,1.5)),0,1)</f>
        <v>#N/A</v>
      </c>
      <c r="BD227" s="86" t="b">
        <f t="shared" si="342"/>
        <v>0</v>
      </c>
      <c r="BE227" s="86">
        <f t="shared" si="375"/>
        <v>0.5</v>
      </c>
      <c r="BF227" s="86">
        <f t="shared" si="343"/>
        <v>0.5</v>
      </c>
      <c r="BG227" s="30" t="e">
        <f t="shared" ca="1" si="376"/>
        <v>#DIV/0!</v>
      </c>
      <c r="BH227" s="85" t="e">
        <f ca="1">IF(AN227&lt;=Hypothèses!$V$7,Hypothèses!$W$7,IF(AN227&lt;=Hypothèses!$V$8,Hypothèses!$W$8,IF(AN227&lt;=Hypothèses!$V$9,Hypothèses!$W$9,IF(AN227&lt;=Hypothèses!$V$10,Hypothèses!$W$10,IF(AN227&lt;=Hypothèses!$V$11,Hypothèses!$W$11,IF(AN227&lt;=Hypothèses!$V$12,Hypothèses!$W$12,IF(AN227&lt;=Hypothèses!$V$13,Hypothèses!$W$13,IF(AN227&lt;=Hypothèses!$V$14,Hypothèses!$W$14,IF(AN227&lt;=Hypothèses!$V$15,Hypothèses!$W$15,IF(AN227&lt;=Hypothèses!$V$16,Hypothèses!$W$16,IF(AN227&lt;=Hypothèses!$V$17,Hypothèses!$W$17,IF(AN227&lt;=Hypothèses!$V$18,Hypothèses!$W$18,""))))))))))))</f>
        <v>#DIV/0!</v>
      </c>
      <c r="BI227" s="87" t="e">
        <f t="shared" ca="1" si="418"/>
        <v>#DIV/0!</v>
      </c>
      <c r="BJ227" s="88" t="e">
        <f ca="1">IF(AN227&lt;=Hypothèses!$V$7,Hypothèses!$X$7,IF(AN227&lt;=Hypothèses!$V$8,Hypothèses!$X$8,IF(AN227&lt;=Hypothèses!$V$9,Hypothèses!$X$9,IF(AN227&lt;=Hypothèses!$V$10,Hypothèses!$X$10,IF(AN227&lt;=Hypothèses!$V$11,Hypothèses!$X$11,IF(AN227&lt;=Hypothèses!$V$12,Hypothèses!$X$12,IF(AN227&lt;=Hypothèses!$V$13,Hypothèses!$X$13,IF(AN227&lt;=Hypothèses!$V$14,Hypothèses!$X$14,IF(AN227&lt;=Hypothèses!$V$15,Hypothèses!$X$15,IF(AN227&lt;=Hypothèses!$V$16,Hypothèses!$X$16,IF(AN227&lt;=Hypothèses!$U$17,Hypothèses!$W$17,IF(AN227&lt;=Hypothèses!$U$18,Hypothèses!$W$18,""))))))))))))</f>
        <v>#DIV/0!</v>
      </c>
      <c r="BK227" s="95" t="e">
        <f t="shared" ca="1" si="377"/>
        <v>#DIV/0!</v>
      </c>
      <c r="BL227" s="101">
        <f t="shared" si="425"/>
        <v>0</v>
      </c>
      <c r="BM227" s="91">
        <f t="shared" si="344"/>
        <v>0</v>
      </c>
      <c r="BN227" s="30" t="e">
        <f t="shared" si="404"/>
        <v>#N/A</v>
      </c>
      <c r="BO227" s="30" t="e">
        <f t="shared" si="405"/>
        <v>#N/A</v>
      </c>
      <c r="BP227" s="31" t="e">
        <f>IF(OR(Hypothèses!$B$4=17,Hypothèses!$B$4=18,Hypothèses!$B$4=19,Hypothèses!$B$4=20),
IF($D227="Pressio.",
IF(OR($E227=3,$E227=1,$E227=4),BO227,BN227),
IF($D227="Pénétro.",
IF(OR($E227=3,$E227=1,$E227=4),BO227,BN227))),IF($D227="Pressio.",
IF($E227=3,BO227,BN227),
IF($D227="Pénétro.",
IF($E227=4,BO227,BN227))))</f>
        <v>#N/A</v>
      </c>
      <c r="BQ227" s="31">
        <v>0</v>
      </c>
      <c r="BR227" s="102" t="e">
        <f>IF(NDC!$H$10="Oui",(VLOOKUP($B$3,'Coeff EC7'!$T$39:$X$59,2,0)*BP227+VLOOKUP($B$3,'Coeff EC7'!$T$65:$X$85,2,0)*Model0.1T!BQ227)/1.5,PI()*BN$12*$Q227*($B227-$B226)*0.15/10+BR226)</f>
        <v>#N/A</v>
      </c>
      <c r="BS227" s="102" t="e">
        <f>(VLOOKUP($B$3,'Coeff EC7'!$T$39:$X$59,3,0)*BP227+VLOOKUP($B$3,'Coeff EC7'!$T$65:$X$85,3,0)*Model0.1T!BQ227)/1.1</f>
        <v>#N/A</v>
      </c>
      <c r="BT227" s="102" t="e">
        <f t="shared" si="378"/>
        <v>#N/A</v>
      </c>
      <c r="BU227" s="102" t="e">
        <f t="shared" si="379"/>
        <v>#N/A</v>
      </c>
      <c r="BV227" s="414" t="e">
        <f>IF(AND(BR227&gt;NDC!$C$63,BS227&gt;NDC!$C$65,BT227&gt;NDC!$D$73,BU227&gt;NDC!$D$74,$B227&gt;NDC!$H$22-0.1+MIN(3*BV$12,1.5)),0,1)</f>
        <v>#N/A</v>
      </c>
      <c r="BW227" s="86" t="b">
        <f t="shared" si="345"/>
        <v>0</v>
      </c>
      <c r="BX227" s="86">
        <f t="shared" si="346"/>
        <v>0.5</v>
      </c>
      <c r="BY227" s="86">
        <f t="shared" si="347"/>
        <v>0.5</v>
      </c>
      <c r="BZ227" s="30" t="e">
        <f t="shared" ca="1" si="380"/>
        <v>#DIV/0!</v>
      </c>
      <c r="CA227" s="85" t="e">
        <f ca="1">IF(BG227&lt;=Hypothèses!$V$7,Hypothèses!$W$7,IF(BG227&lt;=Hypothèses!$V$8,Hypothèses!$W$8,IF(BG227&lt;=Hypothèses!$V$9,Hypothèses!$W$9,IF(BG227&lt;=Hypothèses!$V$10,Hypothèses!$W$10,IF(BG227&lt;=Hypothèses!$V$11,Hypothèses!$W$11,IF(BG227&lt;=Hypothèses!$V$12,Hypothèses!$W$12,IF(BG227&lt;=Hypothèses!$V$13,Hypothèses!$W$13,IF(BG227&lt;=Hypothèses!$V$14,Hypothèses!$W$14,IF(BG227&lt;=Hypothèses!$V$15,Hypothèses!$W$15,IF(BG227&lt;=Hypothèses!$V$16,Hypothèses!$W$16,IF(BG227&lt;=Hypothèses!$V$17,Hypothèses!$W$17,IF(BG227&lt;=Hypothèses!$V$18,Hypothèses!$W$18,""))))))))))))</f>
        <v>#DIV/0!</v>
      </c>
      <c r="CB227" s="87" t="e">
        <f t="shared" ca="1" si="419"/>
        <v>#DIV/0!</v>
      </c>
      <c r="CC227" s="88" t="e">
        <f ca="1">IF(BG227&lt;=Hypothèses!$V$7,Hypothèses!$X$7,IF(BG227&lt;=Hypothèses!$V$8,Hypothèses!$X$8,IF(BG227&lt;=Hypothèses!$V$9,Hypothèses!$X$9,IF(BG227&lt;=Hypothèses!$V$10,Hypothèses!$X$10,IF(BG227&lt;=Hypothèses!$V$11,Hypothèses!$X$11,IF(BG227&lt;=Hypothèses!$V$12,Hypothèses!$X$12,IF(BG227&lt;=Hypothèses!$V$13,Hypothèses!$X$13,IF(BG227&lt;=Hypothèses!$V$14,Hypothèses!$X$14,IF(BG227&lt;=Hypothèses!$V$15,Hypothèses!$X$15,IF(BG227&lt;=Hypothèses!$V$16,Hypothèses!$X$16,IF(BG227&lt;=Hypothèses!$U$17,Hypothèses!$W$17,IF(BG227&lt;=Hypothèses!$U$18,Hypothèses!$W$18,""))))))))))))</f>
        <v>#DIV/0!</v>
      </c>
      <c r="CD227" s="95" t="e">
        <f t="shared" ca="1" si="381"/>
        <v>#DIV/0!</v>
      </c>
      <c r="CE227" s="101">
        <f t="shared" si="426"/>
        <v>0</v>
      </c>
      <c r="CF227" s="91">
        <f t="shared" si="348"/>
        <v>0</v>
      </c>
      <c r="CG227" s="30" t="e">
        <f t="shared" si="406"/>
        <v>#N/A</v>
      </c>
      <c r="CH227" s="30" t="e">
        <f t="shared" si="407"/>
        <v>#N/A</v>
      </c>
      <c r="CI227" s="31" t="e">
        <f>IF(OR(Hypothèses!$B$4=17,Hypothèses!$B$4=18,Hypothèses!$B$4=19,Hypothèses!$B$4=20),
IF($D227="Pressio.",
IF(OR($E227=3,$E227=1,$E227=4),CH227,CG227),
IF($D227="Pénétro.",
IF(OR($E227=3,$E227=1,$E227=4),CH227,CG227))),IF($D227="Pressio.",
IF($E227=3,CH227,CG227),
IF($D227="Pénétro.",
IF($E227=4,CH227,CG227))))</f>
        <v>#N/A</v>
      </c>
      <c r="CJ227" s="31">
        <v>0</v>
      </c>
      <c r="CK227" s="102" t="e">
        <f>IF(NDC!$H$10="Oui",(VLOOKUP($B$3,'Coeff EC7'!$T$39:$X$59,2,0)*CI227+VLOOKUP($B$3,'Coeff EC7'!$T$65:$X$85,2,0)*Model0.1T!CJ227)/1.5,PI()*CG$12*$Q227*($B227-$B226)*0.15/10+CK226)</f>
        <v>#N/A</v>
      </c>
      <c r="CL227" s="102" t="e">
        <f>(VLOOKUP($B$3,'Coeff EC7'!$T$39:$X$59,3,0)*CI227+VLOOKUP($B$3,'Coeff EC7'!$T$65:$X$85,3,0)*Model0.1T!CJ227)/1.1</f>
        <v>#N/A</v>
      </c>
      <c r="CM227" s="102" t="e">
        <f t="shared" si="382"/>
        <v>#N/A</v>
      </c>
      <c r="CN227" s="102" t="e">
        <f t="shared" si="383"/>
        <v>#N/A</v>
      </c>
      <c r="CO227" s="414" t="e">
        <f>IF(AND(CK227&gt;NDC!$C$63,CL227&gt;NDC!$C$65,CM227&gt;NDC!$D$73,CN227&gt;NDC!$D$74,$B227&gt;NDC!$H$22-0.1+MIN(3*CO$12,1.5)),0,1)</f>
        <v>#N/A</v>
      </c>
      <c r="CP227" s="86" t="b">
        <f t="shared" si="349"/>
        <v>0</v>
      </c>
      <c r="CQ227" s="86">
        <f t="shared" si="350"/>
        <v>0.5</v>
      </c>
      <c r="CR227" s="86">
        <f t="shared" si="351"/>
        <v>0.5</v>
      </c>
      <c r="CS227" s="30" t="e">
        <f t="shared" ca="1" si="384"/>
        <v>#DIV/0!</v>
      </c>
      <c r="CT227" s="85" t="e">
        <f ca="1">IF(BZ227&lt;=Hypothèses!$V$7,Hypothèses!$W$7,IF(BZ227&lt;=Hypothèses!$V$8,Hypothèses!$W$8,IF(BZ227&lt;=Hypothèses!$V$9,Hypothèses!$W$9,IF(BZ227&lt;=Hypothèses!$V$10,Hypothèses!$W$10,IF(BZ227&lt;=Hypothèses!$V$11,Hypothèses!$W$11,IF(BZ227&lt;=Hypothèses!$V$12,Hypothèses!$W$12,IF(BZ227&lt;=Hypothèses!$V$13,Hypothèses!$W$13,IF(BZ227&lt;=Hypothèses!$V$14,Hypothèses!$W$14,IF(BZ227&lt;=Hypothèses!$V$15,Hypothèses!$W$15,IF(BZ227&lt;=Hypothèses!$V$16,Hypothèses!$W$16,IF(BZ227&lt;=Hypothèses!$V$17,Hypothèses!$W$17,IF(BZ227&lt;=Hypothèses!$V$18,Hypothèses!$W$18,""))))))))))))</f>
        <v>#DIV/0!</v>
      </c>
      <c r="CU227" s="87" t="e">
        <f t="shared" ca="1" si="420"/>
        <v>#DIV/0!</v>
      </c>
      <c r="CV227" s="88" t="e">
        <f ca="1">IF(BZ227&lt;=Hypothèses!$V$7,Hypothèses!$X$7,IF(BZ227&lt;=Hypothèses!$V$8,Hypothèses!$X$8,IF(BZ227&lt;=Hypothèses!$V$9,Hypothèses!$X$9,IF(BZ227&lt;=Hypothèses!$V$10,Hypothèses!$X$10,IF(BZ227&lt;=Hypothèses!$V$11,Hypothèses!$X$11,IF(BZ227&lt;=Hypothèses!$V$12,Hypothèses!$X$12,IF(BZ227&lt;=Hypothèses!$V$13,Hypothèses!$X$13,IF(BZ227&lt;=Hypothèses!$V$14,Hypothèses!$X$14,IF(BZ227&lt;=Hypothèses!$V$15,Hypothèses!$X$15,IF(BZ227&lt;=Hypothèses!$V$16,Hypothèses!$X$16,IF(BZ227&lt;=Hypothèses!$U$17,Hypothèses!$W$17,IF(BZ227&lt;=Hypothèses!$U$18,Hypothèses!$W$18,""))))))))))))</f>
        <v>#DIV/0!</v>
      </c>
      <c r="CW227" s="95" t="e">
        <f t="shared" ca="1" si="385"/>
        <v>#DIV/0!</v>
      </c>
      <c r="CX227" s="101">
        <f t="shared" si="427"/>
        <v>0</v>
      </c>
      <c r="CY227" s="91">
        <f t="shared" si="352"/>
        <v>0</v>
      </c>
      <c r="CZ227" s="30" t="e">
        <f t="shared" si="408"/>
        <v>#N/A</v>
      </c>
      <c r="DA227" s="30" t="e">
        <f t="shared" si="409"/>
        <v>#N/A</v>
      </c>
      <c r="DB227" s="31" t="e">
        <f>IF(OR(Hypothèses!$B$4=17,Hypothèses!$B$4=18,Hypothèses!$B$4=19,Hypothèses!$B$4=20),
IF($D227="Pressio.",
IF(OR($E227=3,$E227=1,$E227=4),DA227,CZ227),
IF($D227="Pénétro.",
IF(OR($E227=3,$E227=1,$E227=4),DA227,CZ227))),IF($D227="Pressio.",
IF($E227=3,DA227,CZ227),
IF($D227="Pénétro.",
IF($E227=4,DA227,CZ227))))</f>
        <v>#N/A</v>
      </c>
      <c r="DC227" s="31">
        <v>0</v>
      </c>
      <c r="DD227" s="102" t="e">
        <f>IF(NDC!$H$10="Oui",(VLOOKUP($B$3,'Coeff EC7'!$T$39:$X$59,2,0)*DB227+VLOOKUP($B$3,'Coeff EC7'!$T$65:$X$85,2,0)*Model0.1T!DC227)/1.5,PI()*CZ$12*$Q227*($B227-$B226)*0.15/10+DD226)</f>
        <v>#N/A</v>
      </c>
      <c r="DE227" s="102" t="e">
        <f>(VLOOKUP($B$3,'Coeff EC7'!$T$39:$X$59,3,0)*DB227+VLOOKUP($B$3,'Coeff EC7'!$T$65:$X$85,3,0)*Model0.1T!DC227)/1.1</f>
        <v>#N/A</v>
      </c>
      <c r="DF227" s="102" t="e">
        <f t="shared" si="386"/>
        <v>#N/A</v>
      </c>
      <c r="DG227" s="102" t="e">
        <f t="shared" si="387"/>
        <v>#N/A</v>
      </c>
      <c r="DH227" s="414" t="e">
        <f>IF(AND(DD227&gt;NDC!$C$63,DE227&gt;NDC!$C$65,DF227&gt;NDC!$D$73,DG227&gt;NDC!$D$74,$B227&gt;NDC!$H$22-0.1+MIN(3*DH$12,1.5)),0,1)</f>
        <v>#N/A</v>
      </c>
      <c r="DI227" s="86" t="b">
        <f t="shared" si="353"/>
        <v>0</v>
      </c>
      <c r="DJ227" s="86">
        <f t="shared" si="354"/>
        <v>0.5</v>
      </c>
      <c r="DK227" s="86">
        <f t="shared" si="355"/>
        <v>0.5</v>
      </c>
      <c r="DL227" s="30" t="e">
        <f t="shared" ca="1" si="388"/>
        <v>#DIV/0!</v>
      </c>
      <c r="DM227" s="85" t="e">
        <f ca="1">IF(CS227&lt;=Hypothèses!$V$7,Hypothèses!$W$7,IF(CS227&lt;=Hypothèses!$V$8,Hypothèses!$W$8,IF(CS227&lt;=Hypothèses!$V$9,Hypothèses!$W$9,IF(CS227&lt;=Hypothèses!$V$10,Hypothèses!$W$10,IF(CS227&lt;=Hypothèses!$V$11,Hypothèses!$W$11,IF(CS227&lt;=Hypothèses!$V$12,Hypothèses!$W$12,IF(CS227&lt;=Hypothèses!$V$13,Hypothèses!$W$13,IF(CS227&lt;=Hypothèses!$V$14,Hypothèses!$W$14,IF(CS227&lt;=Hypothèses!$V$15,Hypothèses!$W$15,IF(CS227&lt;=Hypothèses!$V$16,Hypothèses!$W$16,IF(CS227&lt;=Hypothèses!$V$17,Hypothèses!$W$17,IF(CS227&lt;=Hypothèses!$V$18,Hypothèses!$W$18,""))))))))))))</f>
        <v>#DIV/0!</v>
      </c>
      <c r="DN227" s="87" t="e">
        <f t="shared" ca="1" si="421"/>
        <v>#DIV/0!</v>
      </c>
      <c r="DO227" s="88" t="e">
        <f ca="1">IF(CS227&lt;=Hypothèses!$V$7,Hypothèses!$X$7,IF(CS227&lt;=Hypothèses!$V$8,Hypothèses!$X$8,IF(CS227&lt;=Hypothèses!$V$9,Hypothèses!$X$9,IF(CS227&lt;=Hypothèses!$V$10,Hypothèses!$X$10,IF(CS227&lt;=Hypothèses!$V$11,Hypothèses!$X$11,IF(CS227&lt;=Hypothèses!$V$12,Hypothèses!$X$12,IF(CS227&lt;=Hypothèses!$V$13,Hypothèses!$X$13,IF(CS227&lt;=Hypothèses!$V$14,Hypothèses!$X$14,IF(CS227&lt;=Hypothèses!$V$15,Hypothèses!$X$15,IF(CS227&lt;=Hypothèses!$V$16,Hypothèses!$X$16,IF(CS227&lt;=Hypothèses!$U$17,Hypothèses!$W$17,IF(CS227&lt;=Hypothèses!$U$18,Hypothèses!$W$18,""))))))))))))</f>
        <v>#DIV/0!</v>
      </c>
      <c r="DP227" s="95" t="e">
        <f t="shared" ca="1" si="389"/>
        <v>#DIV/0!</v>
      </c>
      <c r="DQ227" s="101">
        <f t="shared" si="428"/>
        <v>0</v>
      </c>
      <c r="DR227" s="91">
        <f t="shared" si="356"/>
        <v>0</v>
      </c>
      <c r="DS227" s="30" t="e">
        <f t="shared" si="410"/>
        <v>#N/A</v>
      </c>
      <c r="DT227" s="30" t="e">
        <f t="shared" si="411"/>
        <v>#N/A</v>
      </c>
      <c r="DU227" s="31" t="e">
        <f>IF(OR(Hypothèses!$B$4=17,Hypothèses!$B$4=18,Hypothèses!$B$4=19,Hypothèses!$B$4=20),
IF($D227="Pressio.",
IF(OR($E227=3,$E227=1,$E227=4),DT227,DS227),
IF($D227="Pénétro.",
IF(OR($E227=3,$E227=1,$E227=4),DT227,DS227))),IF($D227="Pressio.",
IF($E227=3,DT227,DS227),
IF($D227="Pénétro.",
IF($E227=4,DT227,DS227))))</f>
        <v>#N/A</v>
      </c>
      <c r="DV227" s="31">
        <v>0</v>
      </c>
      <c r="DW227" s="102" t="e">
        <f>IF(NDC!$H$10="Oui",(VLOOKUP($B$3,'Coeff EC7'!$T$39:$X$59,2,0)*DU227+VLOOKUP($B$3,'Coeff EC7'!$T$65:$X$85,2,0)*Model0.1T!DV227)/1.5,PI()*DS$12*$Q227*($B227-$B226)*0.15/10+DW226)</f>
        <v>#N/A</v>
      </c>
      <c r="DX227" s="102" t="e">
        <f>(VLOOKUP($B$3,'Coeff EC7'!$T$39:$X$59,3,0)*DU227+VLOOKUP($B$3,'Coeff EC7'!$T$65:$X$85,3,0)*Model0.1T!DV227)/1.1</f>
        <v>#N/A</v>
      </c>
      <c r="DY227" s="102" t="e">
        <f t="shared" si="390"/>
        <v>#N/A</v>
      </c>
      <c r="DZ227" s="102" t="e">
        <f t="shared" si="391"/>
        <v>#N/A</v>
      </c>
      <c r="EA227" s="414" t="e">
        <f>IF(AND(DW227&gt;NDC!$C$63,DX227&gt;NDC!$C$65,DY227&gt;NDC!$D$73,DZ227&gt;NDC!$D$74,$B227&gt;NDC!$H$22-0.1+MIN(3*EA$12,1.5)),0,1)</f>
        <v>#N/A</v>
      </c>
      <c r="EB227" s="86" t="b">
        <f t="shared" si="357"/>
        <v>0</v>
      </c>
      <c r="EC227" s="418">
        <f t="shared" si="358"/>
        <v>0.51</v>
      </c>
      <c r="ED227" s="86">
        <f t="shared" si="359"/>
        <v>0.51</v>
      </c>
      <c r="EE227" s="30" t="e">
        <f t="shared" ca="1" si="392"/>
        <v>#DIV/0!</v>
      </c>
      <c r="EF227" s="85" t="e">
        <f ca="1">IF(DL227&lt;=Hypothèses!$V$7,Hypothèses!$W$7,IF(DL227&lt;=Hypothèses!$V$8,Hypothèses!$W$8,IF(DL227&lt;=Hypothèses!$V$9,Hypothèses!$W$9,IF(DL227&lt;=Hypothèses!$V$10,Hypothèses!$W$10,IF(DL227&lt;=Hypothèses!$V$11,Hypothèses!$W$11,IF(DL227&lt;=Hypothèses!$V$12,Hypothèses!$W$12,IF(DL227&lt;=Hypothèses!$V$13,Hypothèses!$W$13,IF(DL227&lt;=Hypothèses!$V$14,Hypothèses!$W$14,IF(DL227&lt;=Hypothèses!$V$15,Hypothèses!$W$15,IF(DL227&lt;=Hypothèses!$V$16,Hypothèses!$W$16,IF(DL227&lt;=Hypothèses!$V$17,Hypothèses!$W$17,IF(DL227&lt;=Hypothèses!$V$18,Hypothèses!$W$18,""))))))))))))</f>
        <v>#DIV/0!</v>
      </c>
      <c r="EG227" s="87" t="e">
        <f t="shared" ca="1" si="422"/>
        <v>#DIV/0!</v>
      </c>
      <c r="EH227" s="88" t="e">
        <f ca="1">IF(DL227&lt;=Hypothèses!$V$7,Hypothèses!$X$7,IF(DL227&lt;=Hypothèses!$V$8,Hypothèses!$X$8,IF(DL227&lt;=Hypothèses!$V$9,Hypothèses!$X$9,IF(DL227&lt;=Hypothèses!$V$10,Hypothèses!$X$10,IF(DL227&lt;=Hypothèses!$V$11,Hypothèses!$X$11,IF(DL227&lt;=Hypothèses!$V$12,Hypothèses!$X$12,IF(DL227&lt;=Hypothèses!$V$13,Hypothèses!$X$13,IF(DL227&lt;=Hypothèses!$V$14,Hypothèses!$X$14,IF(DL227&lt;=Hypothèses!$V$15,Hypothèses!$X$15,IF(DL227&lt;=Hypothèses!$V$16,Hypothèses!$X$16,IF(DL227&lt;=Hypothèses!$U$17,Hypothèses!$W$17,IF(DL227&lt;=Hypothèses!$U$18,Hypothèses!$W$18,""))))))))))))</f>
        <v>#DIV/0!</v>
      </c>
      <c r="EI227" s="95" t="e">
        <f t="shared" ca="1" si="393"/>
        <v>#DIV/0!</v>
      </c>
      <c r="EJ227" s="101">
        <f t="shared" si="429"/>
        <v>0</v>
      </c>
      <c r="EK227" s="91">
        <f t="shared" si="360"/>
        <v>0</v>
      </c>
      <c r="EL227" s="30" t="e">
        <f t="shared" si="412"/>
        <v>#N/A</v>
      </c>
      <c r="EM227" s="30" t="e">
        <f t="shared" si="413"/>
        <v>#N/A</v>
      </c>
      <c r="EN227" s="31" t="e">
        <f>IF(OR(Hypothèses!$B$4=17,Hypothèses!$B$4=18,Hypothèses!$B$4=19,Hypothèses!$B$4=20),
IF($D227="Pressio.",
IF(OR($E227=3,$E227=1,$E227=4),EM227,EL227),
IF($D227="Pénétro.",
IF(OR($E227=3,$E227=1,$E227=4),EM227,EL227))),IF($D227="Pressio.",
IF($E227=3,EM227,EL227),
IF($D227="Pénétro.",
IF($E227=4,EM227,EL227))))</f>
        <v>#N/A</v>
      </c>
      <c r="EO227" s="31">
        <v>0</v>
      </c>
      <c r="EP227" s="102" t="e">
        <f>IF(NDC!$H$10="Oui",(VLOOKUP($B$3,'Coeff EC7'!$T$39:$X$59,2,0)*EN227+VLOOKUP($B$3,'Coeff EC7'!$T$65:$X$85,2,0)*Model0.1T!EO227)/1.5,PI()*EL$12*$Q227*($B227-$B226)*0.15/10+EP226)</f>
        <v>#N/A</v>
      </c>
      <c r="EQ227" s="102" t="e">
        <f>(VLOOKUP($B$3,'Coeff EC7'!$T$39:$X$59,3,0)*EN227+VLOOKUP($B$3,'Coeff EC7'!$T$65:$X$85,3,0)*Model0.1T!EO227)/1.1</f>
        <v>#N/A</v>
      </c>
      <c r="ER227" s="102" t="e">
        <f t="shared" si="394"/>
        <v>#N/A</v>
      </c>
      <c r="ES227" s="102" t="e">
        <f t="shared" si="395"/>
        <v>#N/A</v>
      </c>
      <c r="ET227" s="414" t="e">
        <f>IF(AND(EP227&gt;NDC!$C$63,EQ227&gt;NDC!$C$65,ER227&gt;NDC!$D$73,ES227&gt;NDC!$D$74,$B227&gt;NDC!$H$22-0.1+MIN(3*ET$12,1.5)),0,1)</f>
        <v>#N/A</v>
      </c>
      <c r="EU227" s="86" t="b">
        <f t="shared" si="361"/>
        <v>0</v>
      </c>
      <c r="EV227" s="86">
        <f t="shared" si="362"/>
        <v>0.61</v>
      </c>
      <c r="EW227" s="86">
        <f t="shared" si="363"/>
        <v>0.61</v>
      </c>
      <c r="EX227" s="30" t="e">
        <f t="shared" ca="1" si="396"/>
        <v>#DIV/0!</v>
      </c>
      <c r="EY227" s="85" t="e">
        <f ca="1">IF(EE227&lt;=Hypothèses!$V$7,Hypothèses!$W$7,IF(EE227&lt;=Hypothèses!$V$8,Hypothèses!$W$8,IF(EE227&lt;=Hypothèses!$V$9,Hypothèses!$W$9,IF(EE227&lt;=Hypothèses!$V$10,Hypothèses!$W$10,IF(EE227&lt;=Hypothèses!$V$11,Hypothèses!$W$11,IF(EE227&lt;=Hypothèses!$V$12,Hypothèses!$W$12,IF(EE227&lt;=Hypothèses!$V$13,Hypothèses!$W$13,IF(EE227&lt;=Hypothèses!$V$14,Hypothèses!$W$14,IF(EE227&lt;=Hypothèses!$V$15,Hypothèses!$W$15,IF(EE227&lt;=Hypothèses!$V$16,Hypothèses!$W$16,IF(EE227&lt;=Hypothèses!$V$17,Hypothèses!$W$17,IF(EE227&lt;=Hypothèses!$V$18,Hypothèses!$W$18,""))))))))))))</f>
        <v>#DIV/0!</v>
      </c>
      <c r="EZ227" s="87" t="e">
        <f t="shared" ca="1" si="423"/>
        <v>#DIV/0!</v>
      </c>
      <c r="FA227" s="88" t="e">
        <f ca="1">IF(EE227&lt;=Hypothèses!$V$7,Hypothèses!$X$7,IF(EE227&lt;=Hypothèses!$V$8,Hypothèses!$X$8,IF(EE227&lt;=Hypothèses!$V$9,Hypothèses!$X$9,IF(EE227&lt;=Hypothèses!$V$10,Hypothèses!$X$10,IF(EE227&lt;=Hypothèses!$V$11,Hypothèses!$X$11,IF(EE227&lt;=Hypothèses!$V$12,Hypothèses!$X$12,IF(EE227&lt;=Hypothèses!$V$13,Hypothèses!$X$13,IF(EE227&lt;=Hypothèses!$V$14,Hypothèses!$X$14,IF(EE227&lt;=Hypothèses!$V$15,Hypothèses!$X$15,IF(EE227&lt;=Hypothèses!$V$16,Hypothèses!$X$16,IF(EE227&lt;=Hypothèses!$U$17,Hypothèses!$W$17,IF(EE227&lt;=Hypothèses!$U$18,Hypothèses!$W$18,""))))))))))))</f>
        <v>#DIV/0!</v>
      </c>
      <c r="FB227" s="95" t="e">
        <f t="shared" ca="1" si="397"/>
        <v>#DIV/0!</v>
      </c>
      <c r="FC227" s="101">
        <f t="shared" si="430"/>
        <v>0</v>
      </c>
      <c r="FD227" s="91">
        <f t="shared" si="364"/>
        <v>0</v>
      </c>
      <c r="FE227" s="30" t="e">
        <f t="shared" si="414"/>
        <v>#N/A</v>
      </c>
      <c r="FF227" s="30" t="e">
        <f t="shared" si="415"/>
        <v>#N/A</v>
      </c>
      <c r="FG227" s="31" t="e">
        <f>IF(OR(Hypothèses!$B$4=17,Hypothèses!$B$4=18,Hypothèses!$B$4=19,Hypothèses!$B$4=20),
IF($D227="Pressio.",
IF(OR($E227=3,$E227=1,$E227=4),FF227,FE227),
IF($D227="Pénétro.",
IF(OR($E227=3,$E227=1,$E227=4),FF227,FE227))),IF($D227="Pressio.",
IF($E227=3,FF227,FE227),
IF($D227="Pénétro.",
IF($E227=4,FF227,FE227))))</f>
        <v>#N/A</v>
      </c>
      <c r="FH227" s="31">
        <v>0</v>
      </c>
      <c r="FI227" s="102" t="e">
        <f>IF(NDC!$H$10="Oui",(VLOOKUP($B$3,'Coeff EC7'!$T$39:$X$59,2,0)*FG227+VLOOKUP($B$3,'Coeff EC7'!$T$65:$X$85,2,0)*Model0.1T!FH227)/1.5,PI()*FE$12*$Q227*($B227-$B226)*0.15/10+FI226)</f>
        <v>#N/A</v>
      </c>
      <c r="FJ227" s="102" t="e">
        <f>(VLOOKUP($B$3,'Coeff EC7'!$T$39:$X$59,3,0)*FG227+VLOOKUP($B$3,'Coeff EC7'!$T$65:$X$85,3,0)*Model0.1T!FH227)/1.1</f>
        <v>#N/A</v>
      </c>
      <c r="FK227" s="102" t="e">
        <f t="shared" si="398"/>
        <v>#N/A</v>
      </c>
      <c r="FL227" s="102" t="e">
        <f t="shared" si="399"/>
        <v>#N/A</v>
      </c>
      <c r="FM227" s="414" t="e">
        <f>IF(AND(FI227&gt;NDC!$C$63,FJ227&gt;NDC!$C$65,FK227&gt;NDC!$D$73,FL227&gt;NDC!$D$74,$B227&gt;NDC!$H$22-0.1+MIN(3*FM$12,1.5)),0,1)</f>
        <v>#N/A</v>
      </c>
    </row>
    <row r="228" spans="1:169">
      <c r="A228" s="96">
        <f t="shared" si="365"/>
        <v>78.500000000001222</v>
      </c>
      <c r="B228" s="97">
        <v>21.5</v>
      </c>
      <c r="C228" s="81">
        <f>IF(B228&lt;=Hypothèses!$C$7,Hypothèses!$A$7,IF(B228&lt;=Hypothèses!$C$8,Hypothèses!$A$8,IF(B228&lt;=Hypothèses!$C$9,Hypothèses!$A$9,IF(B228&lt;=Hypothèses!$C$10,Hypothèses!$A$10,IF(B228&lt;=Hypothèses!$C$11,Hypothèses!$A$11,IF(B228&lt;=Hypothèses!$C$12,Hypothèses!$A$12,IF(B228&lt;=Hypothèses!$C$13,Hypothèses!$A$13,IF(B228&lt;=Hypothèses!$C$14,Hypothèses!$A$14,IF(B228&lt;=Hypothèses!$C$15,Hypothèses!$A$15,IF(B228&lt;=Hypothèses!$C$16,Hypothèses!$A$16,IF(B228&lt;=Hypothèses!$C$17,Hypothèses!$A$17,IF(B228&lt;=Hypothèses!$C$18,Hypothèses!$A$18,C227))))))))))))</f>
        <v>11</v>
      </c>
      <c r="D228" s="82" t="str">
        <f>IF(B228&lt;=Hypothèses!$C$7,Hypothèses!$R$7,IF(B228&lt;=Hypothèses!$C$8,Hypothèses!$R$8,IF(B228&lt;=Hypothèses!$C$9,Hypothèses!$R$9,IF(B228&lt;=Hypothèses!$C$10,Hypothèses!$R$10,IF(B228&lt;=Hypothèses!$C$11,Hypothèses!$R$11,IF(B228&lt;=Hypothèses!$C$12,Hypothèses!$R$12,IF(B228&lt;=Hypothèses!$C$13,Hypothèses!$R$13,IF(B228&lt;=Hypothèses!$C$14,Hypothèses!$R$14,IF(B228&lt;=Hypothèses!$C$15,Hypothèses!$R$15,IF(B228&lt;=Hypothèses!$C$16,Hypothèses!$R$16,IF(B228&lt;=Hypothèses!$C$17,Hypothèses!$R$17,IF(B228&lt;=Hypothèses!$C$18,Hypothèses!$R$18,D227))))))))))))</f>
        <v>Pressio.</v>
      </c>
      <c r="E228" s="82" t="e">
        <f>IF(B228&lt;=Hypothèses!$C$7,Hypothèses!$G$7,IF(B228&lt;=Hypothèses!$C$8,Hypothèses!$G$8,IF(B228&lt;=Hypothèses!$C$9,Hypothèses!$G$9,IF(B228&lt;=Hypothèses!$C$10,Hypothèses!$G$10,IF(B228&lt;=Hypothèses!$C$11,Hypothèses!$G$11,IF(B228&lt;=Hypothèses!$C$12,Hypothèses!$G$12,IF(B228&lt;=Hypothèses!$C$13,Hypothèses!$G$13,IF(B228&lt;=Hypothèses!$C$14,Hypothèses!$G$14,IF(B228&lt;=Hypothèses!$C$15,Hypothèses!$G$15,IF(B228&lt;=Hypothèses!$C$16,Hypothèses!$G$16,IF(B228&lt;=Hypothèses!$C$17,Hypothèses!$G$17,IF(B228&lt;=Hypothèses!$C$18,Hypothèses!$G$18,E227))))))))))))</f>
        <v>#N/A</v>
      </c>
      <c r="F228" s="82" t="str">
        <f>IF(B228&lt;=Hypothèses!$C$7,Hypothèses!$F$7,IF(B228&lt;=Hypothèses!$C$8,Hypothèses!$F$8,IF(B228&lt;=Hypothèses!$C$9,Hypothèses!$F$9,IF(B228&lt;=Hypothèses!$C$10,Hypothèses!$F$10,IF(B228&lt;=Hypothèses!$C$11,Hypothèses!$F$11,IF(B228&lt;=Hypothèses!$C$12,Hypothèses!$F$12,IF(B228&lt;=Hypothèses!$C$13,Hypothèses!$F$13,IF(B228&lt;=Hypothèses!$C$14,Hypothèses!$F$14,IF(B228&lt;=Hypothèses!$C$15,Hypothèses!$F$15,IF(B228&lt;=Hypothèses!$C$16,Hypothèses!$F$16,IF(B228&lt;=Hypothèses!$C$17,Hypothèses!$F$17,IF(B228&lt;=Hypothèses!$C$18,Hypothèses!$F$18,F227))))))))))))</f>
        <v/>
      </c>
      <c r="G228" s="91">
        <f t="array" ref="G228">INDEX('Coeff EC7'!$U$7:$X$27,
MATCH(Model0.1T!$B$3,'Coeff EC7'!$T$7:$T$27,0),
MATCH(Model0.1T!$D228&amp;Model0.1T!$B$4,
'Coeff EC7'!$U$6:$X$6&amp;
'Coeff EC7'!$U$5:$X$5,0))</f>
        <v>1.4</v>
      </c>
      <c r="H228" s="91">
        <f t="array" ref="H228">INDEX('Coeff EC7'!$Y$7:$AB$27,
MATCH(Model0.1T!$B$3,'Coeff EC7'!$T$7:$T$27,0),
MATCH(Model0.1T!$D228&amp;Model0.1T!$B$4,
'Coeff EC7'!$Y$6:$AB$6&amp;
'Coeff EC7'!$Y$5:$AB$5,0))</f>
        <v>1.7</v>
      </c>
      <c r="I228" s="83">
        <v>0</v>
      </c>
      <c r="J228" s="91" t="e">
        <f t="array" ref="J228">INDEX('Coeff EC7'!$D$33:$Q$33,1,MATCH(D228&amp;E228,'Coeff EC7'!$D$31:$Q$31&amp;'Coeff EC7'!$D$32:$Q$32,0))</f>
        <v>#N/A</v>
      </c>
      <c r="K228" s="91" t="e">
        <f t="array" ref="K228">INDEX('Coeff EC7'!$D$34:$Q$34,1,MATCH(D228&amp;E228,'Coeff EC7'!$D$31:$Q$31&amp;'Coeff EC7'!$D$32:$Q$32,0))</f>
        <v>#N/A</v>
      </c>
      <c r="L228" s="91" t="e">
        <f t="array" ref="L228">INDEX('Coeff EC7'!$D$35:$Q$35,1,MATCH(D228&amp;E228,'Coeff EC7'!$D$31:$Q$31&amp;'Coeff EC7'!$D$32:$Q$32,0))</f>
        <v>#N/A</v>
      </c>
      <c r="M228" s="98" t="e">
        <f t="shared" si="331"/>
        <v>#N/A</v>
      </c>
      <c r="N228" s="99" t="e">
        <f t="array" ref="N228">INDEX('Coeff EC7'!$D$7:$Q$27,MATCH($B$3,'Coeff EC7'!$C$7:$C$27,0),MATCH(D228&amp;E228,'Coeff EC7'!$D$5:$Q$5&amp;'Coeff EC7'!$D$6:$Q$6,0))</f>
        <v>#N/A</v>
      </c>
      <c r="O228" s="99" t="e">
        <f t="array" ref="O228">INDEX('Coeff EC7'!$D$41:$Q$61,MATCH($B$3,'Coeff EC7'!$C$41:$C$61,0),MATCH(D228&amp;E228,'Coeff EC7'!$D$39:$Q$39&amp;'Coeff EC7'!$D$40:$Q$40,0))</f>
        <v>#N/A</v>
      </c>
      <c r="P228" s="30" t="e">
        <f t="shared" si="366"/>
        <v>#N/A</v>
      </c>
      <c r="Q228" s="100" t="e">
        <f t="shared" si="333"/>
        <v>#N/A</v>
      </c>
      <c r="R228" s="86" t="b">
        <f t="shared" si="334"/>
        <v>0</v>
      </c>
      <c r="S228" s="86">
        <f t="shared" si="332"/>
        <v>0.5</v>
      </c>
      <c r="T228" s="86">
        <f t="shared" si="335"/>
        <v>0.5</v>
      </c>
      <c r="U228" s="30" t="e">
        <f t="shared" ca="1" si="367"/>
        <v>#DIV/0!</v>
      </c>
      <c r="V228" s="85" t="str">
        <f>IF(B228&lt;=Hypothèses!$V$7,Hypothèses!$W$7,IF(B228&lt;=Hypothèses!$V$8,Hypothèses!$W$8,IF(B228&lt;=Hypothèses!$V$9,Hypothèses!$W$9,IF(B228&lt;=Hypothèses!$V$10,Hypothèses!$W$10,IF(B228&lt;=Hypothèses!$V$11,Hypothèses!$W$11,IF(B228&lt;=Hypothèses!$V$12,Hypothèses!$W$12,IF(B228&lt;=Hypothèses!$V$13,Hypothèses!$W$13,IF(B228&lt;=Hypothèses!$V$14,Hypothèses!$W$14,IF(B228&lt;=Hypothèses!$V$15,Hypothèses!$W$15,IF(B228&lt;=Hypothèses!$V$16,Hypothèses!$W$16,IF(B228&lt;=Hypothèses!$V$17,Hypothèses!$W$17,IF(B228&lt;=Hypothèses!$V$18,Hypothèses!$W$18,""))))))))))))</f>
        <v/>
      </c>
      <c r="W228" s="87" t="e">
        <f t="shared" ca="1" si="416"/>
        <v>#DIV/0!</v>
      </c>
      <c r="X228" s="88" t="str">
        <f>IF(B228&lt;=Hypothèses!$V$7,Hypothèses!$X$7,IF(B228&lt;=Hypothèses!$V$8,Hypothèses!$X$8,IF(B228&lt;=Hypothèses!$V$9,Hypothèses!$X$9,IF(B228&lt;=Hypothèses!$V$10,Hypothèses!$X$10,IF(B228&lt;=Hypothèses!$V$11,Hypothèses!$X$11,IF(B228&lt;=Hypothèses!$V$12,Hypothèses!$X$12,IF(B228&lt;=Hypothèses!$V$13,Hypothèses!$X$13,IF(B228&lt;=Hypothèses!$V$14,Hypothèses!$X$14,IF(B228&lt;=Hypothèses!$V$15,Hypothèses!$X$15,IF(B228&lt;=Hypothèses!$V$16,Hypothèses!$X$16,IF(B228&lt;=Hypothèses!$U$17,Hypothèses!$W$17,IF(B228&lt;=Hypothèses!$U$18,Hypothèses!$W$18,""))))))))))))</f>
        <v/>
      </c>
      <c r="Y228" s="95" t="e">
        <f t="shared" ca="1" si="336"/>
        <v>#DIV/0!</v>
      </c>
      <c r="Z228" s="101">
        <f t="shared" si="337"/>
        <v>0</v>
      </c>
      <c r="AA228" s="91">
        <f t="shared" si="338"/>
        <v>0</v>
      </c>
      <c r="AB228" s="30" t="e">
        <f t="shared" si="400"/>
        <v>#N/A</v>
      </c>
      <c r="AC228" s="30" t="e">
        <f t="shared" si="401"/>
        <v>#N/A</v>
      </c>
      <c r="AD228" s="31" t="e">
        <f>IF(OR(Hypothèses!$B$4=17,Hypothèses!$B$4=18,Hypothèses!$B$4=19,Hypothèses!$B$4=20),
IF($D228="Pressio.",
IF(OR($E228=3,$E228=1,$E228=4),AC228,AB228),
IF($D228="Pénétro.",
IF(OR($E228=3,$E228=1,$E228=4),AC228,AB228))),IF($D228="Pressio.",
IF($E228=3,AC228,AB228),
IF($D228="Pénétro.",
IF($E228=4,AC228,AB228))))</f>
        <v>#N/A</v>
      </c>
      <c r="AE228" s="31">
        <v>0</v>
      </c>
      <c r="AF228" s="102" t="e">
        <f>IF(NDC!$H$10="Oui",(VLOOKUP($B$3,'Coeff EC7'!$T$39:$X$59,2,0)*AD228+VLOOKUP($B$3,'Coeff EC7'!$T$65:$X$85,2,0)*Model0.1T!AE228)/1.5,PI()*AB$12*$Q228*($B228-$B227)*0.15/10+AF227)</f>
        <v>#N/A</v>
      </c>
      <c r="AG228" s="102" t="e">
        <f>(VLOOKUP($B$3,'Coeff EC7'!$T$39:$X$59,3,0)*AD228+VLOOKUP($B$3,'Coeff EC7'!$T$65:$X$85,3,0)*Model0.1T!AE228)/1.1</f>
        <v>#N/A</v>
      </c>
      <c r="AH228" s="102" t="e">
        <f t="shared" si="368"/>
        <v>#N/A</v>
      </c>
      <c r="AI228" s="102" t="e">
        <f t="shared" si="369"/>
        <v>#N/A</v>
      </c>
      <c r="AJ228" s="414" t="e">
        <f>IF(AND(AF228&gt;NDC!$C$63,AG228&gt;NDC!$C$65,AH228&gt;NDC!$D$73,AI228&gt;NDC!$D$74,$B228&gt;NDC!$H$22-0.1+MIN(3*$AJ$12,1.5)),0,1)</f>
        <v>#N/A</v>
      </c>
      <c r="AK228" s="86" t="b">
        <f t="shared" si="339"/>
        <v>0</v>
      </c>
      <c r="AL228" s="86">
        <f t="shared" si="370"/>
        <v>0.5</v>
      </c>
      <c r="AM228" s="86">
        <f t="shared" si="340"/>
        <v>0.5</v>
      </c>
      <c r="AN228" s="30" t="e">
        <f t="shared" ca="1" si="371"/>
        <v>#DIV/0!</v>
      </c>
      <c r="AO228" s="85" t="e">
        <f ca="1">IF(U228&lt;=Hypothèses!$V$7,Hypothèses!$W$7,IF(U228&lt;=Hypothèses!$V$8,Hypothèses!$W$8,IF(U228&lt;=Hypothèses!$V$9,Hypothèses!$W$9,IF(U228&lt;=Hypothèses!$V$10,Hypothèses!$W$10,IF(U228&lt;=Hypothèses!$V$11,Hypothèses!$W$11,IF(U228&lt;=Hypothèses!$V$12,Hypothèses!$W$12,IF(U228&lt;=Hypothèses!$V$13,Hypothèses!$W$13,IF(U228&lt;=Hypothèses!$V$14,Hypothèses!$W$14,IF(U228&lt;=Hypothèses!$V$15,Hypothèses!$W$15,IF(U228&lt;=Hypothèses!$V$16,Hypothèses!$W$16,IF(U228&lt;=Hypothèses!$V$17,Hypothèses!$W$17,IF(U228&lt;=Hypothèses!$V$18,Hypothèses!$W$18,""))))))))))))</f>
        <v>#DIV/0!</v>
      </c>
      <c r="AP228" s="87" t="e">
        <f t="shared" ca="1" si="417"/>
        <v>#DIV/0!</v>
      </c>
      <c r="AQ228" s="88" t="e">
        <f ca="1">IF(U228&lt;=Hypothèses!$V$7,Hypothèses!$X$7,IF(U228&lt;=Hypothèses!$V$8,Hypothèses!$X$8,IF(U228&lt;=Hypothèses!$V$9,Hypothèses!$X$9,IF(U228&lt;=Hypothèses!$V$10,Hypothèses!$X$10,IF(U228&lt;=Hypothèses!$V$11,Hypothèses!$X$11,IF(U228&lt;=Hypothèses!$V$12,Hypothèses!$X$12,IF(U228&lt;=Hypothèses!$V$13,Hypothèses!$X$13,IF(U228&lt;=Hypothèses!$V$14,Hypothèses!$X$14,IF(U228&lt;=Hypothèses!$V$15,Hypothèses!$X$15,IF(U228&lt;=Hypothèses!$V$16,Hypothèses!$X$16,IF(U228&lt;=Hypothèses!$U$17,Hypothèses!$W$17,IF(U228&lt;=Hypothèses!$U$18,Hypothèses!$W$18,""))))))))))))</f>
        <v>#DIV/0!</v>
      </c>
      <c r="AR228" s="95" t="e">
        <f t="shared" ca="1" si="372"/>
        <v>#DIV/0!</v>
      </c>
      <c r="AS228" s="101">
        <f t="shared" si="424"/>
        <v>0</v>
      </c>
      <c r="AT228" s="91">
        <f t="shared" si="341"/>
        <v>0</v>
      </c>
      <c r="AU228" s="30" t="e">
        <f t="shared" si="402"/>
        <v>#N/A</v>
      </c>
      <c r="AV228" s="30" t="e">
        <f t="shared" si="403"/>
        <v>#N/A</v>
      </c>
      <c r="AW228" s="31" t="e">
        <f>IF(OR(Hypothèses!$B$4=17,Hypothèses!$B$4=18,Hypothèses!$B$4=19,Hypothèses!$B$4=20),
IF($D228="Pressio.",
IF(OR($E228=3,$E228=1,$E228=4),AV228,AU228),
IF($D228="Pénétro.",
IF(OR($E228=3,$E228=1,$E228=4),AV228,AU228))),IF($D228="Pressio.",
IF($E228=3,AV228,AU228),
IF($D228="Pénétro.",
IF($E228=4,AV228,AU228))))</f>
        <v>#N/A</v>
      </c>
      <c r="AX228" s="31">
        <v>0</v>
      </c>
      <c r="AY228" s="102" t="e">
        <f>IF(NDC!$H$10="Oui",(VLOOKUP($B$3,'Coeff EC7'!$T$39:$X$59,2,0)*AW228+VLOOKUP($B$3,'Coeff EC7'!$T$65:$X$85,2,0)*Model0.1T!AX228)/1.5,PI()*AU$12*$Q228*($B228-$B227)*0.15/10+AY227)</f>
        <v>#N/A</v>
      </c>
      <c r="AZ228" s="102" t="e">
        <f>(VLOOKUP($B$3,'Coeff EC7'!$T$39:$X$59,3,0)*AW228+VLOOKUP($B$3,'Coeff EC7'!$T$65:$X$85,3,0)*Model0.1T!AX228)/1.1</f>
        <v>#N/A</v>
      </c>
      <c r="BA228" s="102" t="e">
        <f t="shared" si="373"/>
        <v>#N/A</v>
      </c>
      <c r="BB228" s="102" t="e">
        <f t="shared" si="374"/>
        <v>#N/A</v>
      </c>
      <c r="BC228" s="414" t="e">
        <f>IF(AND(AY228&gt;NDC!$C$63,AZ228&gt;NDC!$C$65,BA228&gt;NDC!$D$73,BB228&gt;NDC!$D$74,$B228&gt;NDC!$H$22-0.1+MIN(3*BC$12,1.5)),0,1)</f>
        <v>#N/A</v>
      </c>
      <c r="BD228" s="86" t="b">
        <f t="shared" si="342"/>
        <v>0</v>
      </c>
      <c r="BE228" s="86">
        <f t="shared" si="375"/>
        <v>0.5</v>
      </c>
      <c r="BF228" s="86">
        <f t="shared" si="343"/>
        <v>0.5</v>
      </c>
      <c r="BG228" s="30" t="e">
        <f t="shared" ca="1" si="376"/>
        <v>#DIV/0!</v>
      </c>
      <c r="BH228" s="85" t="e">
        <f ca="1">IF(AN228&lt;=Hypothèses!$V$7,Hypothèses!$W$7,IF(AN228&lt;=Hypothèses!$V$8,Hypothèses!$W$8,IF(AN228&lt;=Hypothèses!$V$9,Hypothèses!$W$9,IF(AN228&lt;=Hypothèses!$V$10,Hypothèses!$W$10,IF(AN228&lt;=Hypothèses!$V$11,Hypothèses!$W$11,IF(AN228&lt;=Hypothèses!$V$12,Hypothèses!$W$12,IF(AN228&lt;=Hypothèses!$V$13,Hypothèses!$W$13,IF(AN228&lt;=Hypothèses!$V$14,Hypothèses!$W$14,IF(AN228&lt;=Hypothèses!$V$15,Hypothèses!$W$15,IF(AN228&lt;=Hypothèses!$V$16,Hypothèses!$W$16,IF(AN228&lt;=Hypothèses!$V$17,Hypothèses!$W$17,IF(AN228&lt;=Hypothèses!$V$18,Hypothèses!$W$18,""))))))))))))</f>
        <v>#DIV/0!</v>
      </c>
      <c r="BI228" s="87" t="e">
        <f t="shared" ca="1" si="418"/>
        <v>#DIV/0!</v>
      </c>
      <c r="BJ228" s="88" t="e">
        <f ca="1">IF(AN228&lt;=Hypothèses!$V$7,Hypothèses!$X$7,IF(AN228&lt;=Hypothèses!$V$8,Hypothèses!$X$8,IF(AN228&lt;=Hypothèses!$V$9,Hypothèses!$X$9,IF(AN228&lt;=Hypothèses!$V$10,Hypothèses!$X$10,IF(AN228&lt;=Hypothèses!$V$11,Hypothèses!$X$11,IF(AN228&lt;=Hypothèses!$V$12,Hypothèses!$X$12,IF(AN228&lt;=Hypothèses!$V$13,Hypothèses!$X$13,IF(AN228&lt;=Hypothèses!$V$14,Hypothèses!$X$14,IF(AN228&lt;=Hypothèses!$V$15,Hypothèses!$X$15,IF(AN228&lt;=Hypothèses!$V$16,Hypothèses!$X$16,IF(AN228&lt;=Hypothèses!$U$17,Hypothèses!$W$17,IF(AN228&lt;=Hypothèses!$U$18,Hypothèses!$W$18,""))))))))))))</f>
        <v>#DIV/0!</v>
      </c>
      <c r="BK228" s="95" t="e">
        <f t="shared" ca="1" si="377"/>
        <v>#DIV/0!</v>
      </c>
      <c r="BL228" s="101">
        <f t="shared" si="425"/>
        <v>0</v>
      </c>
      <c r="BM228" s="91">
        <f t="shared" si="344"/>
        <v>0</v>
      </c>
      <c r="BN228" s="30" t="e">
        <f t="shared" si="404"/>
        <v>#N/A</v>
      </c>
      <c r="BO228" s="30" t="e">
        <f t="shared" si="405"/>
        <v>#N/A</v>
      </c>
      <c r="BP228" s="31" t="e">
        <f>IF(OR(Hypothèses!$B$4=17,Hypothèses!$B$4=18,Hypothèses!$B$4=19,Hypothèses!$B$4=20),
IF($D228="Pressio.",
IF(OR($E228=3,$E228=1,$E228=4),BO228,BN228),
IF($D228="Pénétro.",
IF(OR($E228=3,$E228=1,$E228=4),BO228,BN228))),IF($D228="Pressio.",
IF($E228=3,BO228,BN228),
IF($D228="Pénétro.",
IF($E228=4,BO228,BN228))))</f>
        <v>#N/A</v>
      </c>
      <c r="BQ228" s="31">
        <v>0</v>
      </c>
      <c r="BR228" s="102" t="e">
        <f>IF(NDC!$H$10="Oui",(VLOOKUP($B$3,'Coeff EC7'!$T$39:$X$59,2,0)*BP228+VLOOKUP($B$3,'Coeff EC7'!$T$65:$X$85,2,0)*Model0.1T!BQ228)/1.5,PI()*BN$12*$Q228*($B228-$B227)*0.15/10+BR227)</f>
        <v>#N/A</v>
      </c>
      <c r="BS228" s="102" t="e">
        <f>(VLOOKUP($B$3,'Coeff EC7'!$T$39:$X$59,3,0)*BP228+VLOOKUP($B$3,'Coeff EC7'!$T$65:$X$85,3,0)*Model0.1T!BQ228)/1.1</f>
        <v>#N/A</v>
      </c>
      <c r="BT228" s="102" t="e">
        <f t="shared" si="378"/>
        <v>#N/A</v>
      </c>
      <c r="BU228" s="102" t="e">
        <f t="shared" si="379"/>
        <v>#N/A</v>
      </c>
      <c r="BV228" s="414" t="e">
        <f>IF(AND(BR228&gt;NDC!$C$63,BS228&gt;NDC!$C$65,BT228&gt;NDC!$D$73,BU228&gt;NDC!$D$74,$B228&gt;NDC!$H$22-0.1+MIN(3*BV$12,1.5)),0,1)</f>
        <v>#N/A</v>
      </c>
      <c r="BW228" s="86" t="b">
        <f t="shared" si="345"/>
        <v>0</v>
      </c>
      <c r="BX228" s="86">
        <f t="shared" si="346"/>
        <v>0.5</v>
      </c>
      <c r="BY228" s="86">
        <f t="shared" si="347"/>
        <v>0.5</v>
      </c>
      <c r="BZ228" s="30" t="e">
        <f t="shared" ca="1" si="380"/>
        <v>#DIV/0!</v>
      </c>
      <c r="CA228" s="85" t="e">
        <f ca="1">IF(BG228&lt;=Hypothèses!$V$7,Hypothèses!$W$7,IF(BG228&lt;=Hypothèses!$V$8,Hypothèses!$W$8,IF(BG228&lt;=Hypothèses!$V$9,Hypothèses!$W$9,IF(BG228&lt;=Hypothèses!$V$10,Hypothèses!$W$10,IF(BG228&lt;=Hypothèses!$V$11,Hypothèses!$W$11,IF(BG228&lt;=Hypothèses!$V$12,Hypothèses!$W$12,IF(BG228&lt;=Hypothèses!$V$13,Hypothèses!$W$13,IF(BG228&lt;=Hypothèses!$V$14,Hypothèses!$W$14,IF(BG228&lt;=Hypothèses!$V$15,Hypothèses!$W$15,IF(BG228&lt;=Hypothèses!$V$16,Hypothèses!$W$16,IF(BG228&lt;=Hypothèses!$V$17,Hypothèses!$W$17,IF(BG228&lt;=Hypothèses!$V$18,Hypothèses!$W$18,""))))))))))))</f>
        <v>#DIV/0!</v>
      </c>
      <c r="CB228" s="87" t="e">
        <f t="shared" ca="1" si="419"/>
        <v>#DIV/0!</v>
      </c>
      <c r="CC228" s="88" t="e">
        <f ca="1">IF(BG228&lt;=Hypothèses!$V$7,Hypothèses!$X$7,IF(BG228&lt;=Hypothèses!$V$8,Hypothèses!$X$8,IF(BG228&lt;=Hypothèses!$V$9,Hypothèses!$X$9,IF(BG228&lt;=Hypothèses!$V$10,Hypothèses!$X$10,IF(BG228&lt;=Hypothèses!$V$11,Hypothèses!$X$11,IF(BG228&lt;=Hypothèses!$V$12,Hypothèses!$X$12,IF(BG228&lt;=Hypothèses!$V$13,Hypothèses!$X$13,IF(BG228&lt;=Hypothèses!$V$14,Hypothèses!$X$14,IF(BG228&lt;=Hypothèses!$V$15,Hypothèses!$X$15,IF(BG228&lt;=Hypothèses!$V$16,Hypothèses!$X$16,IF(BG228&lt;=Hypothèses!$U$17,Hypothèses!$W$17,IF(BG228&lt;=Hypothèses!$U$18,Hypothèses!$W$18,""))))))))))))</f>
        <v>#DIV/0!</v>
      </c>
      <c r="CD228" s="95" t="e">
        <f t="shared" ca="1" si="381"/>
        <v>#DIV/0!</v>
      </c>
      <c r="CE228" s="101">
        <f t="shared" si="426"/>
        <v>0</v>
      </c>
      <c r="CF228" s="91">
        <f t="shared" si="348"/>
        <v>0</v>
      </c>
      <c r="CG228" s="30" t="e">
        <f t="shared" si="406"/>
        <v>#N/A</v>
      </c>
      <c r="CH228" s="30" t="e">
        <f t="shared" si="407"/>
        <v>#N/A</v>
      </c>
      <c r="CI228" s="31" t="e">
        <f>IF(OR(Hypothèses!$B$4=17,Hypothèses!$B$4=18,Hypothèses!$B$4=19,Hypothèses!$B$4=20),
IF($D228="Pressio.",
IF(OR($E228=3,$E228=1,$E228=4),CH228,CG228),
IF($D228="Pénétro.",
IF(OR($E228=3,$E228=1,$E228=4),CH228,CG228))),IF($D228="Pressio.",
IF($E228=3,CH228,CG228),
IF($D228="Pénétro.",
IF($E228=4,CH228,CG228))))</f>
        <v>#N/A</v>
      </c>
      <c r="CJ228" s="31">
        <v>0</v>
      </c>
      <c r="CK228" s="102" t="e">
        <f>IF(NDC!$H$10="Oui",(VLOOKUP($B$3,'Coeff EC7'!$T$39:$X$59,2,0)*CI228+VLOOKUP($B$3,'Coeff EC7'!$T$65:$X$85,2,0)*Model0.1T!CJ228)/1.5,PI()*CG$12*$Q228*($B228-$B227)*0.15/10+CK227)</f>
        <v>#N/A</v>
      </c>
      <c r="CL228" s="102" t="e">
        <f>(VLOOKUP($B$3,'Coeff EC7'!$T$39:$X$59,3,0)*CI228+VLOOKUP($B$3,'Coeff EC7'!$T$65:$X$85,3,0)*Model0.1T!CJ228)/1.1</f>
        <v>#N/A</v>
      </c>
      <c r="CM228" s="102" t="e">
        <f t="shared" si="382"/>
        <v>#N/A</v>
      </c>
      <c r="CN228" s="102" t="e">
        <f t="shared" si="383"/>
        <v>#N/A</v>
      </c>
      <c r="CO228" s="414" t="e">
        <f>IF(AND(CK228&gt;NDC!$C$63,CL228&gt;NDC!$C$65,CM228&gt;NDC!$D$73,CN228&gt;NDC!$D$74,$B228&gt;NDC!$H$22-0.1+MIN(3*CO$12,1.5)),0,1)</f>
        <v>#N/A</v>
      </c>
      <c r="CP228" s="86" t="b">
        <f t="shared" si="349"/>
        <v>0</v>
      </c>
      <c r="CQ228" s="86">
        <f t="shared" si="350"/>
        <v>0.5</v>
      </c>
      <c r="CR228" s="86">
        <f t="shared" si="351"/>
        <v>0.5</v>
      </c>
      <c r="CS228" s="30" t="e">
        <f t="shared" ca="1" si="384"/>
        <v>#DIV/0!</v>
      </c>
      <c r="CT228" s="85" t="e">
        <f ca="1">IF(BZ228&lt;=Hypothèses!$V$7,Hypothèses!$W$7,IF(BZ228&lt;=Hypothèses!$V$8,Hypothèses!$W$8,IF(BZ228&lt;=Hypothèses!$V$9,Hypothèses!$W$9,IF(BZ228&lt;=Hypothèses!$V$10,Hypothèses!$W$10,IF(BZ228&lt;=Hypothèses!$V$11,Hypothèses!$W$11,IF(BZ228&lt;=Hypothèses!$V$12,Hypothèses!$W$12,IF(BZ228&lt;=Hypothèses!$V$13,Hypothèses!$W$13,IF(BZ228&lt;=Hypothèses!$V$14,Hypothèses!$W$14,IF(BZ228&lt;=Hypothèses!$V$15,Hypothèses!$W$15,IF(BZ228&lt;=Hypothèses!$V$16,Hypothèses!$W$16,IF(BZ228&lt;=Hypothèses!$V$17,Hypothèses!$W$17,IF(BZ228&lt;=Hypothèses!$V$18,Hypothèses!$W$18,""))))))))))))</f>
        <v>#DIV/0!</v>
      </c>
      <c r="CU228" s="87" t="e">
        <f t="shared" ca="1" si="420"/>
        <v>#DIV/0!</v>
      </c>
      <c r="CV228" s="88" t="e">
        <f ca="1">IF(BZ228&lt;=Hypothèses!$V$7,Hypothèses!$X$7,IF(BZ228&lt;=Hypothèses!$V$8,Hypothèses!$X$8,IF(BZ228&lt;=Hypothèses!$V$9,Hypothèses!$X$9,IF(BZ228&lt;=Hypothèses!$V$10,Hypothèses!$X$10,IF(BZ228&lt;=Hypothèses!$V$11,Hypothèses!$X$11,IF(BZ228&lt;=Hypothèses!$V$12,Hypothèses!$X$12,IF(BZ228&lt;=Hypothèses!$V$13,Hypothèses!$X$13,IF(BZ228&lt;=Hypothèses!$V$14,Hypothèses!$X$14,IF(BZ228&lt;=Hypothèses!$V$15,Hypothèses!$X$15,IF(BZ228&lt;=Hypothèses!$V$16,Hypothèses!$X$16,IF(BZ228&lt;=Hypothèses!$U$17,Hypothèses!$W$17,IF(BZ228&lt;=Hypothèses!$U$18,Hypothèses!$W$18,""))))))))))))</f>
        <v>#DIV/0!</v>
      </c>
      <c r="CW228" s="95" t="e">
        <f t="shared" ca="1" si="385"/>
        <v>#DIV/0!</v>
      </c>
      <c r="CX228" s="101">
        <f t="shared" si="427"/>
        <v>0</v>
      </c>
      <c r="CY228" s="91">
        <f t="shared" si="352"/>
        <v>0</v>
      </c>
      <c r="CZ228" s="30" t="e">
        <f t="shared" si="408"/>
        <v>#N/A</v>
      </c>
      <c r="DA228" s="30" t="e">
        <f t="shared" si="409"/>
        <v>#N/A</v>
      </c>
      <c r="DB228" s="31" t="e">
        <f>IF(OR(Hypothèses!$B$4=17,Hypothèses!$B$4=18,Hypothèses!$B$4=19,Hypothèses!$B$4=20),
IF($D228="Pressio.",
IF(OR($E228=3,$E228=1,$E228=4),DA228,CZ228),
IF($D228="Pénétro.",
IF(OR($E228=3,$E228=1,$E228=4),DA228,CZ228))),IF($D228="Pressio.",
IF($E228=3,DA228,CZ228),
IF($D228="Pénétro.",
IF($E228=4,DA228,CZ228))))</f>
        <v>#N/A</v>
      </c>
      <c r="DC228" s="31">
        <v>0</v>
      </c>
      <c r="DD228" s="102" t="e">
        <f>IF(NDC!$H$10="Oui",(VLOOKUP($B$3,'Coeff EC7'!$T$39:$X$59,2,0)*DB228+VLOOKUP($B$3,'Coeff EC7'!$T$65:$X$85,2,0)*Model0.1T!DC228)/1.5,PI()*CZ$12*$Q228*($B228-$B227)*0.15/10+DD227)</f>
        <v>#N/A</v>
      </c>
      <c r="DE228" s="102" t="e">
        <f>(VLOOKUP($B$3,'Coeff EC7'!$T$39:$X$59,3,0)*DB228+VLOOKUP($B$3,'Coeff EC7'!$T$65:$X$85,3,0)*Model0.1T!DC228)/1.1</f>
        <v>#N/A</v>
      </c>
      <c r="DF228" s="102" t="e">
        <f t="shared" si="386"/>
        <v>#N/A</v>
      </c>
      <c r="DG228" s="102" t="e">
        <f t="shared" si="387"/>
        <v>#N/A</v>
      </c>
      <c r="DH228" s="414" t="e">
        <f>IF(AND(DD228&gt;NDC!$C$63,DE228&gt;NDC!$C$65,DF228&gt;NDC!$D$73,DG228&gt;NDC!$D$74,$B228&gt;NDC!$H$22-0.1+MIN(3*DH$12,1.5)),0,1)</f>
        <v>#N/A</v>
      </c>
      <c r="DI228" s="86" t="b">
        <f t="shared" si="353"/>
        <v>0</v>
      </c>
      <c r="DJ228" s="86">
        <f t="shared" si="354"/>
        <v>0.5</v>
      </c>
      <c r="DK228" s="86">
        <f t="shared" si="355"/>
        <v>0.5</v>
      </c>
      <c r="DL228" s="30" t="e">
        <f t="shared" ca="1" si="388"/>
        <v>#DIV/0!</v>
      </c>
      <c r="DM228" s="85" t="e">
        <f ca="1">IF(CS228&lt;=Hypothèses!$V$7,Hypothèses!$W$7,IF(CS228&lt;=Hypothèses!$V$8,Hypothèses!$W$8,IF(CS228&lt;=Hypothèses!$V$9,Hypothèses!$W$9,IF(CS228&lt;=Hypothèses!$V$10,Hypothèses!$W$10,IF(CS228&lt;=Hypothèses!$V$11,Hypothèses!$W$11,IF(CS228&lt;=Hypothèses!$V$12,Hypothèses!$W$12,IF(CS228&lt;=Hypothèses!$V$13,Hypothèses!$W$13,IF(CS228&lt;=Hypothèses!$V$14,Hypothèses!$W$14,IF(CS228&lt;=Hypothèses!$V$15,Hypothèses!$W$15,IF(CS228&lt;=Hypothèses!$V$16,Hypothèses!$W$16,IF(CS228&lt;=Hypothèses!$V$17,Hypothèses!$W$17,IF(CS228&lt;=Hypothèses!$V$18,Hypothèses!$W$18,""))))))))))))</f>
        <v>#DIV/0!</v>
      </c>
      <c r="DN228" s="87" t="e">
        <f t="shared" ca="1" si="421"/>
        <v>#DIV/0!</v>
      </c>
      <c r="DO228" s="88" t="e">
        <f ca="1">IF(CS228&lt;=Hypothèses!$V$7,Hypothèses!$X$7,IF(CS228&lt;=Hypothèses!$V$8,Hypothèses!$X$8,IF(CS228&lt;=Hypothèses!$V$9,Hypothèses!$X$9,IF(CS228&lt;=Hypothèses!$V$10,Hypothèses!$X$10,IF(CS228&lt;=Hypothèses!$V$11,Hypothèses!$X$11,IF(CS228&lt;=Hypothèses!$V$12,Hypothèses!$X$12,IF(CS228&lt;=Hypothèses!$V$13,Hypothèses!$X$13,IF(CS228&lt;=Hypothèses!$V$14,Hypothèses!$X$14,IF(CS228&lt;=Hypothèses!$V$15,Hypothèses!$X$15,IF(CS228&lt;=Hypothèses!$V$16,Hypothèses!$X$16,IF(CS228&lt;=Hypothèses!$U$17,Hypothèses!$W$17,IF(CS228&lt;=Hypothèses!$U$18,Hypothèses!$W$18,""))))))))))))</f>
        <v>#DIV/0!</v>
      </c>
      <c r="DP228" s="95" t="e">
        <f t="shared" ca="1" si="389"/>
        <v>#DIV/0!</v>
      </c>
      <c r="DQ228" s="101">
        <f t="shared" si="428"/>
        <v>0</v>
      </c>
      <c r="DR228" s="91">
        <f t="shared" si="356"/>
        <v>0</v>
      </c>
      <c r="DS228" s="30" t="e">
        <f t="shared" si="410"/>
        <v>#N/A</v>
      </c>
      <c r="DT228" s="30" t="e">
        <f t="shared" si="411"/>
        <v>#N/A</v>
      </c>
      <c r="DU228" s="31" t="e">
        <f>IF(OR(Hypothèses!$B$4=17,Hypothèses!$B$4=18,Hypothèses!$B$4=19,Hypothèses!$B$4=20),
IF($D228="Pressio.",
IF(OR($E228=3,$E228=1,$E228=4),DT228,DS228),
IF($D228="Pénétro.",
IF(OR($E228=3,$E228=1,$E228=4),DT228,DS228))),IF($D228="Pressio.",
IF($E228=3,DT228,DS228),
IF($D228="Pénétro.",
IF($E228=4,DT228,DS228))))</f>
        <v>#N/A</v>
      </c>
      <c r="DV228" s="31">
        <v>0</v>
      </c>
      <c r="DW228" s="102" t="e">
        <f>IF(NDC!$H$10="Oui",(VLOOKUP($B$3,'Coeff EC7'!$T$39:$X$59,2,0)*DU228+VLOOKUP($B$3,'Coeff EC7'!$T$65:$X$85,2,0)*Model0.1T!DV228)/1.5,PI()*DS$12*$Q228*($B228-$B227)*0.15/10+DW227)</f>
        <v>#N/A</v>
      </c>
      <c r="DX228" s="102" t="e">
        <f>(VLOOKUP($B$3,'Coeff EC7'!$T$39:$X$59,3,0)*DU228+VLOOKUP($B$3,'Coeff EC7'!$T$65:$X$85,3,0)*Model0.1T!DV228)/1.1</f>
        <v>#N/A</v>
      </c>
      <c r="DY228" s="102" t="e">
        <f t="shared" si="390"/>
        <v>#N/A</v>
      </c>
      <c r="DZ228" s="102" t="e">
        <f t="shared" si="391"/>
        <v>#N/A</v>
      </c>
      <c r="EA228" s="414" t="e">
        <f>IF(AND(DW228&gt;NDC!$C$63,DX228&gt;NDC!$C$65,DY228&gt;NDC!$D$73,DZ228&gt;NDC!$D$74,$B228&gt;NDC!$H$22-0.1+MIN(3*EA$12,1.5)),0,1)</f>
        <v>#N/A</v>
      </c>
      <c r="EB228" s="86" t="b">
        <f t="shared" si="357"/>
        <v>0</v>
      </c>
      <c r="EC228" s="418">
        <f t="shared" si="358"/>
        <v>0.51</v>
      </c>
      <c r="ED228" s="86">
        <f t="shared" si="359"/>
        <v>0.51</v>
      </c>
      <c r="EE228" s="30" t="e">
        <f t="shared" ca="1" si="392"/>
        <v>#DIV/0!</v>
      </c>
      <c r="EF228" s="85" t="e">
        <f ca="1">IF(DL228&lt;=Hypothèses!$V$7,Hypothèses!$W$7,IF(DL228&lt;=Hypothèses!$V$8,Hypothèses!$W$8,IF(DL228&lt;=Hypothèses!$V$9,Hypothèses!$W$9,IF(DL228&lt;=Hypothèses!$V$10,Hypothèses!$W$10,IF(DL228&lt;=Hypothèses!$V$11,Hypothèses!$W$11,IF(DL228&lt;=Hypothèses!$V$12,Hypothèses!$W$12,IF(DL228&lt;=Hypothèses!$V$13,Hypothèses!$W$13,IF(DL228&lt;=Hypothèses!$V$14,Hypothèses!$W$14,IF(DL228&lt;=Hypothèses!$V$15,Hypothèses!$W$15,IF(DL228&lt;=Hypothèses!$V$16,Hypothèses!$W$16,IF(DL228&lt;=Hypothèses!$V$17,Hypothèses!$W$17,IF(DL228&lt;=Hypothèses!$V$18,Hypothèses!$W$18,""))))))))))))</f>
        <v>#DIV/0!</v>
      </c>
      <c r="EG228" s="87" t="e">
        <f t="shared" ca="1" si="422"/>
        <v>#DIV/0!</v>
      </c>
      <c r="EH228" s="88" t="e">
        <f ca="1">IF(DL228&lt;=Hypothèses!$V$7,Hypothèses!$X$7,IF(DL228&lt;=Hypothèses!$V$8,Hypothèses!$X$8,IF(DL228&lt;=Hypothèses!$V$9,Hypothèses!$X$9,IF(DL228&lt;=Hypothèses!$V$10,Hypothèses!$X$10,IF(DL228&lt;=Hypothèses!$V$11,Hypothèses!$X$11,IF(DL228&lt;=Hypothèses!$V$12,Hypothèses!$X$12,IF(DL228&lt;=Hypothèses!$V$13,Hypothèses!$X$13,IF(DL228&lt;=Hypothèses!$V$14,Hypothèses!$X$14,IF(DL228&lt;=Hypothèses!$V$15,Hypothèses!$X$15,IF(DL228&lt;=Hypothèses!$V$16,Hypothèses!$X$16,IF(DL228&lt;=Hypothèses!$U$17,Hypothèses!$W$17,IF(DL228&lt;=Hypothèses!$U$18,Hypothèses!$W$18,""))))))))))))</f>
        <v>#DIV/0!</v>
      </c>
      <c r="EI228" s="95" t="e">
        <f t="shared" ca="1" si="393"/>
        <v>#DIV/0!</v>
      </c>
      <c r="EJ228" s="101">
        <f t="shared" si="429"/>
        <v>0</v>
      </c>
      <c r="EK228" s="91">
        <f t="shared" si="360"/>
        <v>0</v>
      </c>
      <c r="EL228" s="30" t="e">
        <f t="shared" si="412"/>
        <v>#N/A</v>
      </c>
      <c r="EM228" s="30" t="e">
        <f t="shared" si="413"/>
        <v>#N/A</v>
      </c>
      <c r="EN228" s="31" t="e">
        <f>IF(OR(Hypothèses!$B$4=17,Hypothèses!$B$4=18,Hypothèses!$B$4=19,Hypothèses!$B$4=20),
IF($D228="Pressio.",
IF(OR($E228=3,$E228=1,$E228=4),EM228,EL228),
IF($D228="Pénétro.",
IF(OR($E228=3,$E228=1,$E228=4),EM228,EL228))),IF($D228="Pressio.",
IF($E228=3,EM228,EL228),
IF($D228="Pénétro.",
IF($E228=4,EM228,EL228))))</f>
        <v>#N/A</v>
      </c>
      <c r="EO228" s="31">
        <v>0</v>
      </c>
      <c r="EP228" s="102" t="e">
        <f>IF(NDC!$H$10="Oui",(VLOOKUP($B$3,'Coeff EC7'!$T$39:$X$59,2,0)*EN228+VLOOKUP($B$3,'Coeff EC7'!$T$65:$X$85,2,0)*Model0.1T!EO228)/1.5,PI()*EL$12*$Q228*($B228-$B227)*0.15/10+EP227)</f>
        <v>#N/A</v>
      </c>
      <c r="EQ228" s="102" t="e">
        <f>(VLOOKUP($B$3,'Coeff EC7'!$T$39:$X$59,3,0)*EN228+VLOOKUP($B$3,'Coeff EC7'!$T$65:$X$85,3,0)*Model0.1T!EO228)/1.1</f>
        <v>#N/A</v>
      </c>
      <c r="ER228" s="102" t="e">
        <f t="shared" si="394"/>
        <v>#N/A</v>
      </c>
      <c r="ES228" s="102" t="e">
        <f t="shared" si="395"/>
        <v>#N/A</v>
      </c>
      <c r="ET228" s="414" t="e">
        <f>IF(AND(EP228&gt;NDC!$C$63,EQ228&gt;NDC!$C$65,ER228&gt;NDC!$D$73,ES228&gt;NDC!$D$74,$B228&gt;NDC!$H$22-0.1+MIN(3*ET$12,1.5)),0,1)</f>
        <v>#N/A</v>
      </c>
      <c r="EU228" s="86" t="b">
        <f t="shared" si="361"/>
        <v>0</v>
      </c>
      <c r="EV228" s="86">
        <f t="shared" si="362"/>
        <v>0.61</v>
      </c>
      <c r="EW228" s="86">
        <f t="shared" si="363"/>
        <v>0.61</v>
      </c>
      <c r="EX228" s="30" t="e">
        <f t="shared" ca="1" si="396"/>
        <v>#DIV/0!</v>
      </c>
      <c r="EY228" s="85" t="e">
        <f ca="1">IF(EE228&lt;=Hypothèses!$V$7,Hypothèses!$W$7,IF(EE228&lt;=Hypothèses!$V$8,Hypothèses!$W$8,IF(EE228&lt;=Hypothèses!$V$9,Hypothèses!$W$9,IF(EE228&lt;=Hypothèses!$V$10,Hypothèses!$W$10,IF(EE228&lt;=Hypothèses!$V$11,Hypothèses!$W$11,IF(EE228&lt;=Hypothèses!$V$12,Hypothèses!$W$12,IF(EE228&lt;=Hypothèses!$V$13,Hypothèses!$W$13,IF(EE228&lt;=Hypothèses!$V$14,Hypothèses!$W$14,IF(EE228&lt;=Hypothèses!$V$15,Hypothèses!$W$15,IF(EE228&lt;=Hypothèses!$V$16,Hypothèses!$W$16,IF(EE228&lt;=Hypothèses!$V$17,Hypothèses!$W$17,IF(EE228&lt;=Hypothèses!$V$18,Hypothèses!$W$18,""))))))))))))</f>
        <v>#DIV/0!</v>
      </c>
      <c r="EZ228" s="87" t="e">
        <f t="shared" ca="1" si="423"/>
        <v>#DIV/0!</v>
      </c>
      <c r="FA228" s="88" t="e">
        <f ca="1">IF(EE228&lt;=Hypothèses!$V$7,Hypothèses!$X$7,IF(EE228&lt;=Hypothèses!$V$8,Hypothèses!$X$8,IF(EE228&lt;=Hypothèses!$V$9,Hypothèses!$X$9,IF(EE228&lt;=Hypothèses!$V$10,Hypothèses!$X$10,IF(EE228&lt;=Hypothèses!$V$11,Hypothèses!$X$11,IF(EE228&lt;=Hypothèses!$V$12,Hypothèses!$X$12,IF(EE228&lt;=Hypothèses!$V$13,Hypothèses!$X$13,IF(EE228&lt;=Hypothèses!$V$14,Hypothèses!$X$14,IF(EE228&lt;=Hypothèses!$V$15,Hypothèses!$X$15,IF(EE228&lt;=Hypothèses!$V$16,Hypothèses!$X$16,IF(EE228&lt;=Hypothèses!$U$17,Hypothèses!$W$17,IF(EE228&lt;=Hypothèses!$U$18,Hypothèses!$W$18,""))))))))))))</f>
        <v>#DIV/0!</v>
      </c>
      <c r="FB228" s="95" t="e">
        <f t="shared" ca="1" si="397"/>
        <v>#DIV/0!</v>
      </c>
      <c r="FC228" s="101">
        <f t="shared" si="430"/>
        <v>0</v>
      </c>
      <c r="FD228" s="91">
        <f t="shared" si="364"/>
        <v>0</v>
      </c>
      <c r="FE228" s="30" t="e">
        <f t="shared" si="414"/>
        <v>#N/A</v>
      </c>
      <c r="FF228" s="30" t="e">
        <f t="shared" si="415"/>
        <v>#N/A</v>
      </c>
      <c r="FG228" s="31" t="e">
        <f>IF(OR(Hypothèses!$B$4=17,Hypothèses!$B$4=18,Hypothèses!$B$4=19,Hypothèses!$B$4=20),
IF($D228="Pressio.",
IF(OR($E228=3,$E228=1,$E228=4),FF228,FE228),
IF($D228="Pénétro.",
IF(OR($E228=3,$E228=1,$E228=4),FF228,FE228))),IF($D228="Pressio.",
IF($E228=3,FF228,FE228),
IF($D228="Pénétro.",
IF($E228=4,FF228,FE228))))</f>
        <v>#N/A</v>
      </c>
      <c r="FH228" s="31">
        <v>0</v>
      </c>
      <c r="FI228" s="102" t="e">
        <f>IF(NDC!$H$10="Oui",(VLOOKUP($B$3,'Coeff EC7'!$T$39:$X$59,2,0)*FG228+VLOOKUP($B$3,'Coeff EC7'!$T$65:$X$85,2,0)*Model0.1T!FH228)/1.5,PI()*FE$12*$Q228*($B228-$B227)*0.15/10+FI227)</f>
        <v>#N/A</v>
      </c>
      <c r="FJ228" s="102" t="e">
        <f>(VLOOKUP($B$3,'Coeff EC7'!$T$39:$X$59,3,0)*FG228+VLOOKUP($B$3,'Coeff EC7'!$T$65:$X$85,3,0)*Model0.1T!FH228)/1.1</f>
        <v>#N/A</v>
      </c>
      <c r="FK228" s="102" t="e">
        <f t="shared" si="398"/>
        <v>#N/A</v>
      </c>
      <c r="FL228" s="102" t="e">
        <f t="shared" si="399"/>
        <v>#N/A</v>
      </c>
      <c r="FM228" s="414" t="e">
        <f>IF(AND(FI228&gt;NDC!$C$63,FJ228&gt;NDC!$C$65,FK228&gt;NDC!$D$73,FL228&gt;NDC!$D$74,$B228&gt;NDC!$H$22-0.1+MIN(3*FM$12,1.5)),0,1)</f>
        <v>#N/A</v>
      </c>
    </row>
    <row r="229" spans="1:169">
      <c r="A229" s="96">
        <f t="shared" si="365"/>
        <v>78.400000000001228</v>
      </c>
      <c r="B229" s="97">
        <v>21.6</v>
      </c>
      <c r="C229" s="81">
        <f>IF(B229&lt;=Hypothèses!$C$7,Hypothèses!$A$7,IF(B229&lt;=Hypothèses!$C$8,Hypothèses!$A$8,IF(B229&lt;=Hypothèses!$C$9,Hypothèses!$A$9,IF(B229&lt;=Hypothèses!$C$10,Hypothèses!$A$10,IF(B229&lt;=Hypothèses!$C$11,Hypothèses!$A$11,IF(B229&lt;=Hypothèses!$C$12,Hypothèses!$A$12,IF(B229&lt;=Hypothèses!$C$13,Hypothèses!$A$13,IF(B229&lt;=Hypothèses!$C$14,Hypothèses!$A$14,IF(B229&lt;=Hypothèses!$C$15,Hypothèses!$A$15,IF(B229&lt;=Hypothèses!$C$16,Hypothèses!$A$16,IF(B229&lt;=Hypothèses!$C$17,Hypothèses!$A$17,IF(B229&lt;=Hypothèses!$C$18,Hypothèses!$A$18,C228))))))))))))</f>
        <v>11</v>
      </c>
      <c r="D229" s="82" t="str">
        <f>IF(B229&lt;=Hypothèses!$C$7,Hypothèses!$R$7,IF(B229&lt;=Hypothèses!$C$8,Hypothèses!$R$8,IF(B229&lt;=Hypothèses!$C$9,Hypothèses!$R$9,IF(B229&lt;=Hypothèses!$C$10,Hypothèses!$R$10,IF(B229&lt;=Hypothèses!$C$11,Hypothèses!$R$11,IF(B229&lt;=Hypothèses!$C$12,Hypothèses!$R$12,IF(B229&lt;=Hypothèses!$C$13,Hypothèses!$R$13,IF(B229&lt;=Hypothèses!$C$14,Hypothèses!$R$14,IF(B229&lt;=Hypothèses!$C$15,Hypothèses!$R$15,IF(B229&lt;=Hypothèses!$C$16,Hypothèses!$R$16,IF(B229&lt;=Hypothèses!$C$17,Hypothèses!$R$17,IF(B229&lt;=Hypothèses!$C$18,Hypothèses!$R$18,D228))))))))))))</f>
        <v>Pressio.</v>
      </c>
      <c r="E229" s="82" t="e">
        <f>IF(B229&lt;=Hypothèses!$C$7,Hypothèses!$G$7,IF(B229&lt;=Hypothèses!$C$8,Hypothèses!$G$8,IF(B229&lt;=Hypothèses!$C$9,Hypothèses!$G$9,IF(B229&lt;=Hypothèses!$C$10,Hypothèses!$G$10,IF(B229&lt;=Hypothèses!$C$11,Hypothèses!$G$11,IF(B229&lt;=Hypothèses!$C$12,Hypothèses!$G$12,IF(B229&lt;=Hypothèses!$C$13,Hypothèses!$G$13,IF(B229&lt;=Hypothèses!$C$14,Hypothèses!$G$14,IF(B229&lt;=Hypothèses!$C$15,Hypothèses!$G$15,IF(B229&lt;=Hypothèses!$C$16,Hypothèses!$G$16,IF(B229&lt;=Hypothèses!$C$17,Hypothèses!$G$17,IF(B229&lt;=Hypothèses!$C$18,Hypothèses!$G$18,E228))))))))))))</f>
        <v>#N/A</v>
      </c>
      <c r="F229" s="82" t="str">
        <f>IF(B229&lt;=Hypothèses!$C$7,Hypothèses!$F$7,IF(B229&lt;=Hypothèses!$C$8,Hypothèses!$F$8,IF(B229&lt;=Hypothèses!$C$9,Hypothèses!$F$9,IF(B229&lt;=Hypothèses!$C$10,Hypothèses!$F$10,IF(B229&lt;=Hypothèses!$C$11,Hypothèses!$F$11,IF(B229&lt;=Hypothèses!$C$12,Hypothèses!$F$12,IF(B229&lt;=Hypothèses!$C$13,Hypothèses!$F$13,IF(B229&lt;=Hypothèses!$C$14,Hypothèses!$F$14,IF(B229&lt;=Hypothèses!$C$15,Hypothèses!$F$15,IF(B229&lt;=Hypothèses!$C$16,Hypothèses!$F$16,IF(B229&lt;=Hypothèses!$C$17,Hypothèses!$F$17,IF(B229&lt;=Hypothèses!$C$18,Hypothèses!$F$18,F228))))))))))))</f>
        <v/>
      </c>
      <c r="G229" s="91">
        <f t="array" ref="G229">INDEX('Coeff EC7'!$U$7:$X$27,
MATCH(Model0.1T!$B$3,'Coeff EC7'!$T$7:$T$27,0),
MATCH(Model0.1T!$D229&amp;Model0.1T!$B$4,
'Coeff EC7'!$U$6:$X$6&amp;
'Coeff EC7'!$U$5:$X$5,0))</f>
        <v>1.4</v>
      </c>
      <c r="H229" s="91">
        <f t="array" ref="H229">INDEX('Coeff EC7'!$Y$7:$AB$27,
MATCH(Model0.1T!$B$3,'Coeff EC7'!$T$7:$T$27,0),
MATCH(Model0.1T!$D229&amp;Model0.1T!$B$4,
'Coeff EC7'!$Y$6:$AB$6&amp;
'Coeff EC7'!$Y$5:$AB$5,0))</f>
        <v>1.7</v>
      </c>
      <c r="I229" s="83">
        <v>0</v>
      </c>
      <c r="J229" s="91" t="e">
        <f t="array" ref="J229">INDEX('Coeff EC7'!$D$33:$Q$33,1,MATCH(D229&amp;E229,'Coeff EC7'!$D$31:$Q$31&amp;'Coeff EC7'!$D$32:$Q$32,0))</f>
        <v>#N/A</v>
      </c>
      <c r="K229" s="91" t="e">
        <f t="array" ref="K229">INDEX('Coeff EC7'!$D$34:$Q$34,1,MATCH(D229&amp;E229,'Coeff EC7'!$D$31:$Q$31&amp;'Coeff EC7'!$D$32:$Q$32,0))</f>
        <v>#N/A</v>
      </c>
      <c r="L229" s="91" t="e">
        <f t="array" ref="L229">INDEX('Coeff EC7'!$D$35:$Q$35,1,MATCH(D229&amp;E229,'Coeff EC7'!$D$31:$Q$31&amp;'Coeff EC7'!$D$32:$Q$32,0))</f>
        <v>#N/A</v>
      </c>
      <c r="M229" s="98" t="e">
        <f t="shared" si="331"/>
        <v>#N/A</v>
      </c>
      <c r="N229" s="99" t="e">
        <f t="array" ref="N229">INDEX('Coeff EC7'!$D$7:$Q$27,MATCH($B$3,'Coeff EC7'!$C$7:$C$27,0),MATCH(D229&amp;E229,'Coeff EC7'!$D$5:$Q$5&amp;'Coeff EC7'!$D$6:$Q$6,0))</f>
        <v>#N/A</v>
      </c>
      <c r="O229" s="99" t="e">
        <f t="array" ref="O229">INDEX('Coeff EC7'!$D$41:$Q$61,MATCH($B$3,'Coeff EC7'!$C$41:$C$61,0),MATCH(D229&amp;E229,'Coeff EC7'!$D$39:$Q$39&amp;'Coeff EC7'!$D$40:$Q$40,0))</f>
        <v>#N/A</v>
      </c>
      <c r="P229" s="30" t="e">
        <f t="shared" si="366"/>
        <v>#N/A</v>
      </c>
      <c r="Q229" s="100" t="e">
        <f t="shared" si="333"/>
        <v>#N/A</v>
      </c>
      <c r="R229" s="86" t="b">
        <f t="shared" si="334"/>
        <v>0</v>
      </c>
      <c r="S229" s="86">
        <f t="shared" si="332"/>
        <v>0.5</v>
      </c>
      <c r="T229" s="86">
        <f t="shared" si="335"/>
        <v>0.5</v>
      </c>
      <c r="U229" s="30" t="e">
        <f t="shared" ca="1" si="367"/>
        <v>#DIV/0!</v>
      </c>
      <c r="V229" s="85" t="str">
        <f>IF(B229&lt;=Hypothèses!$V$7,Hypothèses!$W$7,IF(B229&lt;=Hypothèses!$V$8,Hypothèses!$W$8,IF(B229&lt;=Hypothèses!$V$9,Hypothèses!$W$9,IF(B229&lt;=Hypothèses!$V$10,Hypothèses!$W$10,IF(B229&lt;=Hypothèses!$V$11,Hypothèses!$W$11,IF(B229&lt;=Hypothèses!$V$12,Hypothèses!$W$12,IF(B229&lt;=Hypothèses!$V$13,Hypothèses!$W$13,IF(B229&lt;=Hypothèses!$V$14,Hypothèses!$W$14,IF(B229&lt;=Hypothèses!$V$15,Hypothèses!$W$15,IF(B229&lt;=Hypothèses!$V$16,Hypothèses!$W$16,IF(B229&lt;=Hypothèses!$V$17,Hypothèses!$W$17,IF(B229&lt;=Hypothèses!$V$18,Hypothèses!$W$18,""))))))))))))</f>
        <v/>
      </c>
      <c r="W229" s="87" t="e">
        <f t="shared" ca="1" si="416"/>
        <v>#DIV/0!</v>
      </c>
      <c r="X229" s="88" t="str">
        <f>IF(B229&lt;=Hypothèses!$V$7,Hypothèses!$X$7,IF(B229&lt;=Hypothèses!$V$8,Hypothèses!$X$8,IF(B229&lt;=Hypothèses!$V$9,Hypothèses!$X$9,IF(B229&lt;=Hypothèses!$V$10,Hypothèses!$X$10,IF(B229&lt;=Hypothèses!$V$11,Hypothèses!$X$11,IF(B229&lt;=Hypothèses!$V$12,Hypothèses!$X$12,IF(B229&lt;=Hypothèses!$V$13,Hypothèses!$X$13,IF(B229&lt;=Hypothèses!$V$14,Hypothèses!$X$14,IF(B229&lt;=Hypothèses!$V$15,Hypothèses!$X$15,IF(B229&lt;=Hypothèses!$V$16,Hypothèses!$X$16,IF(B229&lt;=Hypothèses!$U$17,Hypothèses!$W$17,IF(B229&lt;=Hypothèses!$U$18,Hypothèses!$W$18,""))))))))))))</f>
        <v/>
      </c>
      <c r="Y229" s="95" t="e">
        <f t="shared" ca="1" si="336"/>
        <v>#DIV/0!</v>
      </c>
      <c r="Z229" s="101">
        <f t="shared" si="337"/>
        <v>0</v>
      </c>
      <c r="AA229" s="91">
        <f t="shared" si="338"/>
        <v>0</v>
      </c>
      <c r="AB229" s="30" t="e">
        <f t="shared" si="400"/>
        <v>#N/A</v>
      </c>
      <c r="AC229" s="30" t="e">
        <f t="shared" si="401"/>
        <v>#N/A</v>
      </c>
      <c r="AD229" s="31" t="e">
        <f>IF(OR(Hypothèses!$B$4=17,Hypothèses!$B$4=18,Hypothèses!$B$4=19,Hypothèses!$B$4=20),
IF($D229="Pressio.",
IF(OR($E229=3,$E229=1,$E229=4),AC229,AB229),
IF($D229="Pénétro.",
IF(OR($E229=3,$E229=1,$E229=4),AC229,AB229))),IF($D229="Pressio.",
IF($E229=3,AC229,AB229),
IF($D229="Pénétro.",
IF($E229=4,AC229,AB229))))</f>
        <v>#N/A</v>
      </c>
      <c r="AE229" s="31">
        <v>0</v>
      </c>
      <c r="AF229" s="102" t="e">
        <f>IF(NDC!$H$10="Oui",(VLOOKUP($B$3,'Coeff EC7'!$T$39:$X$59,2,0)*AD229+VLOOKUP($B$3,'Coeff EC7'!$T$65:$X$85,2,0)*Model0.1T!AE229)/1.5,PI()*AB$12*$Q229*($B229-$B228)*0.15/10+AF228)</f>
        <v>#N/A</v>
      </c>
      <c r="AG229" s="102" t="e">
        <f>(VLOOKUP($B$3,'Coeff EC7'!$T$39:$X$59,3,0)*AD229+VLOOKUP($B$3,'Coeff EC7'!$T$65:$X$85,3,0)*Model0.1T!AE229)/1.1</f>
        <v>#N/A</v>
      </c>
      <c r="AH229" s="102" t="e">
        <f t="shared" si="368"/>
        <v>#N/A</v>
      </c>
      <c r="AI229" s="102" t="e">
        <f t="shared" si="369"/>
        <v>#N/A</v>
      </c>
      <c r="AJ229" s="414" t="e">
        <f>IF(AND(AF229&gt;NDC!$C$63,AG229&gt;NDC!$C$65,AH229&gt;NDC!$D$73,AI229&gt;NDC!$D$74,$B229&gt;NDC!$H$22-0.1+MIN(3*$AJ$12,1.5)),0,1)</f>
        <v>#N/A</v>
      </c>
      <c r="AK229" s="86" t="b">
        <f t="shared" si="339"/>
        <v>0</v>
      </c>
      <c r="AL229" s="86">
        <f t="shared" si="370"/>
        <v>0.5</v>
      </c>
      <c r="AM229" s="86">
        <f t="shared" si="340"/>
        <v>0.5</v>
      </c>
      <c r="AN229" s="30" t="e">
        <f t="shared" ca="1" si="371"/>
        <v>#DIV/0!</v>
      </c>
      <c r="AO229" s="85" t="e">
        <f ca="1">IF(U229&lt;=Hypothèses!$V$7,Hypothèses!$W$7,IF(U229&lt;=Hypothèses!$V$8,Hypothèses!$W$8,IF(U229&lt;=Hypothèses!$V$9,Hypothèses!$W$9,IF(U229&lt;=Hypothèses!$V$10,Hypothèses!$W$10,IF(U229&lt;=Hypothèses!$V$11,Hypothèses!$W$11,IF(U229&lt;=Hypothèses!$V$12,Hypothèses!$W$12,IF(U229&lt;=Hypothèses!$V$13,Hypothèses!$W$13,IF(U229&lt;=Hypothèses!$V$14,Hypothèses!$W$14,IF(U229&lt;=Hypothèses!$V$15,Hypothèses!$W$15,IF(U229&lt;=Hypothèses!$V$16,Hypothèses!$W$16,IF(U229&lt;=Hypothèses!$V$17,Hypothèses!$W$17,IF(U229&lt;=Hypothèses!$V$18,Hypothèses!$W$18,""))))))))))))</f>
        <v>#DIV/0!</v>
      </c>
      <c r="AP229" s="87" t="e">
        <f t="shared" ca="1" si="417"/>
        <v>#DIV/0!</v>
      </c>
      <c r="AQ229" s="88" t="e">
        <f ca="1">IF(U229&lt;=Hypothèses!$V$7,Hypothèses!$X$7,IF(U229&lt;=Hypothèses!$V$8,Hypothèses!$X$8,IF(U229&lt;=Hypothèses!$V$9,Hypothèses!$X$9,IF(U229&lt;=Hypothèses!$V$10,Hypothèses!$X$10,IF(U229&lt;=Hypothèses!$V$11,Hypothèses!$X$11,IF(U229&lt;=Hypothèses!$V$12,Hypothèses!$X$12,IF(U229&lt;=Hypothèses!$V$13,Hypothèses!$X$13,IF(U229&lt;=Hypothèses!$V$14,Hypothèses!$X$14,IF(U229&lt;=Hypothèses!$V$15,Hypothèses!$X$15,IF(U229&lt;=Hypothèses!$V$16,Hypothèses!$X$16,IF(U229&lt;=Hypothèses!$U$17,Hypothèses!$W$17,IF(U229&lt;=Hypothèses!$U$18,Hypothèses!$W$18,""))))))))))))</f>
        <v>#DIV/0!</v>
      </c>
      <c r="AR229" s="95" t="e">
        <f t="shared" ca="1" si="372"/>
        <v>#DIV/0!</v>
      </c>
      <c r="AS229" s="101">
        <f t="shared" si="424"/>
        <v>0</v>
      </c>
      <c r="AT229" s="91">
        <f t="shared" si="341"/>
        <v>0</v>
      </c>
      <c r="AU229" s="30" t="e">
        <f t="shared" si="402"/>
        <v>#N/A</v>
      </c>
      <c r="AV229" s="30" t="e">
        <f t="shared" si="403"/>
        <v>#N/A</v>
      </c>
      <c r="AW229" s="31" t="e">
        <f>IF(OR(Hypothèses!$B$4=17,Hypothèses!$B$4=18,Hypothèses!$B$4=19,Hypothèses!$B$4=20),
IF($D229="Pressio.",
IF(OR($E229=3,$E229=1,$E229=4),AV229,AU229),
IF($D229="Pénétro.",
IF(OR($E229=3,$E229=1,$E229=4),AV229,AU229))),IF($D229="Pressio.",
IF($E229=3,AV229,AU229),
IF($D229="Pénétro.",
IF($E229=4,AV229,AU229))))</f>
        <v>#N/A</v>
      </c>
      <c r="AX229" s="31">
        <v>0</v>
      </c>
      <c r="AY229" s="102" t="e">
        <f>IF(NDC!$H$10="Oui",(VLOOKUP($B$3,'Coeff EC7'!$T$39:$X$59,2,0)*AW229+VLOOKUP($B$3,'Coeff EC7'!$T$65:$X$85,2,0)*Model0.1T!AX229)/1.5,PI()*AU$12*$Q229*($B229-$B228)*0.15/10+AY228)</f>
        <v>#N/A</v>
      </c>
      <c r="AZ229" s="102" t="e">
        <f>(VLOOKUP($B$3,'Coeff EC7'!$T$39:$X$59,3,0)*AW229+VLOOKUP($B$3,'Coeff EC7'!$T$65:$X$85,3,0)*Model0.1T!AX229)/1.1</f>
        <v>#N/A</v>
      </c>
      <c r="BA229" s="102" t="e">
        <f t="shared" si="373"/>
        <v>#N/A</v>
      </c>
      <c r="BB229" s="102" t="e">
        <f t="shared" si="374"/>
        <v>#N/A</v>
      </c>
      <c r="BC229" s="414" t="e">
        <f>IF(AND(AY229&gt;NDC!$C$63,AZ229&gt;NDC!$C$65,BA229&gt;NDC!$D$73,BB229&gt;NDC!$D$74,$B229&gt;NDC!$H$22-0.1+MIN(3*BC$12,1.5)),0,1)</f>
        <v>#N/A</v>
      </c>
      <c r="BD229" s="86" t="b">
        <f t="shared" si="342"/>
        <v>0</v>
      </c>
      <c r="BE229" s="86">
        <f t="shared" si="375"/>
        <v>0.5</v>
      </c>
      <c r="BF229" s="86">
        <f t="shared" si="343"/>
        <v>0.5</v>
      </c>
      <c r="BG229" s="30" t="e">
        <f t="shared" ca="1" si="376"/>
        <v>#DIV/0!</v>
      </c>
      <c r="BH229" s="85" t="e">
        <f ca="1">IF(AN229&lt;=Hypothèses!$V$7,Hypothèses!$W$7,IF(AN229&lt;=Hypothèses!$V$8,Hypothèses!$W$8,IF(AN229&lt;=Hypothèses!$V$9,Hypothèses!$W$9,IF(AN229&lt;=Hypothèses!$V$10,Hypothèses!$W$10,IF(AN229&lt;=Hypothèses!$V$11,Hypothèses!$W$11,IF(AN229&lt;=Hypothèses!$V$12,Hypothèses!$W$12,IF(AN229&lt;=Hypothèses!$V$13,Hypothèses!$W$13,IF(AN229&lt;=Hypothèses!$V$14,Hypothèses!$W$14,IF(AN229&lt;=Hypothèses!$V$15,Hypothèses!$W$15,IF(AN229&lt;=Hypothèses!$V$16,Hypothèses!$W$16,IF(AN229&lt;=Hypothèses!$V$17,Hypothèses!$W$17,IF(AN229&lt;=Hypothèses!$V$18,Hypothèses!$W$18,""))))))))))))</f>
        <v>#DIV/0!</v>
      </c>
      <c r="BI229" s="87" t="e">
        <f t="shared" ca="1" si="418"/>
        <v>#DIV/0!</v>
      </c>
      <c r="BJ229" s="88" t="e">
        <f ca="1">IF(AN229&lt;=Hypothèses!$V$7,Hypothèses!$X$7,IF(AN229&lt;=Hypothèses!$V$8,Hypothèses!$X$8,IF(AN229&lt;=Hypothèses!$V$9,Hypothèses!$X$9,IF(AN229&lt;=Hypothèses!$V$10,Hypothèses!$X$10,IF(AN229&lt;=Hypothèses!$V$11,Hypothèses!$X$11,IF(AN229&lt;=Hypothèses!$V$12,Hypothèses!$X$12,IF(AN229&lt;=Hypothèses!$V$13,Hypothèses!$X$13,IF(AN229&lt;=Hypothèses!$V$14,Hypothèses!$X$14,IF(AN229&lt;=Hypothèses!$V$15,Hypothèses!$X$15,IF(AN229&lt;=Hypothèses!$V$16,Hypothèses!$X$16,IF(AN229&lt;=Hypothèses!$U$17,Hypothèses!$W$17,IF(AN229&lt;=Hypothèses!$U$18,Hypothèses!$W$18,""))))))))))))</f>
        <v>#DIV/0!</v>
      </c>
      <c r="BK229" s="95" t="e">
        <f t="shared" ca="1" si="377"/>
        <v>#DIV/0!</v>
      </c>
      <c r="BL229" s="101">
        <f t="shared" si="425"/>
        <v>0</v>
      </c>
      <c r="BM229" s="91">
        <f t="shared" si="344"/>
        <v>0</v>
      </c>
      <c r="BN229" s="30" t="e">
        <f t="shared" si="404"/>
        <v>#N/A</v>
      </c>
      <c r="BO229" s="30" t="e">
        <f t="shared" si="405"/>
        <v>#N/A</v>
      </c>
      <c r="BP229" s="31" t="e">
        <f>IF(OR(Hypothèses!$B$4=17,Hypothèses!$B$4=18,Hypothèses!$B$4=19,Hypothèses!$B$4=20),
IF($D229="Pressio.",
IF(OR($E229=3,$E229=1,$E229=4),BO229,BN229),
IF($D229="Pénétro.",
IF(OR($E229=3,$E229=1,$E229=4),BO229,BN229))),IF($D229="Pressio.",
IF($E229=3,BO229,BN229),
IF($D229="Pénétro.",
IF($E229=4,BO229,BN229))))</f>
        <v>#N/A</v>
      </c>
      <c r="BQ229" s="31">
        <v>0</v>
      </c>
      <c r="BR229" s="102" t="e">
        <f>IF(NDC!$H$10="Oui",(VLOOKUP($B$3,'Coeff EC7'!$T$39:$X$59,2,0)*BP229+VLOOKUP($B$3,'Coeff EC7'!$T$65:$X$85,2,0)*Model0.1T!BQ229)/1.5,PI()*BN$12*$Q229*($B229-$B228)*0.15/10+BR228)</f>
        <v>#N/A</v>
      </c>
      <c r="BS229" s="102" t="e">
        <f>(VLOOKUP($B$3,'Coeff EC7'!$T$39:$X$59,3,0)*BP229+VLOOKUP($B$3,'Coeff EC7'!$T$65:$X$85,3,0)*Model0.1T!BQ229)/1.1</f>
        <v>#N/A</v>
      </c>
      <c r="BT229" s="102" t="e">
        <f t="shared" si="378"/>
        <v>#N/A</v>
      </c>
      <c r="BU229" s="102" t="e">
        <f t="shared" si="379"/>
        <v>#N/A</v>
      </c>
      <c r="BV229" s="414" t="e">
        <f>IF(AND(BR229&gt;NDC!$C$63,BS229&gt;NDC!$C$65,BT229&gt;NDC!$D$73,BU229&gt;NDC!$D$74,$B229&gt;NDC!$H$22-0.1+MIN(3*BV$12,1.5)),0,1)</f>
        <v>#N/A</v>
      </c>
      <c r="BW229" s="86" t="b">
        <f t="shared" si="345"/>
        <v>0</v>
      </c>
      <c r="BX229" s="86">
        <f t="shared" si="346"/>
        <v>0.5</v>
      </c>
      <c r="BY229" s="86">
        <f t="shared" si="347"/>
        <v>0.5</v>
      </c>
      <c r="BZ229" s="30" t="e">
        <f t="shared" ca="1" si="380"/>
        <v>#DIV/0!</v>
      </c>
      <c r="CA229" s="85" t="e">
        <f ca="1">IF(BG229&lt;=Hypothèses!$V$7,Hypothèses!$W$7,IF(BG229&lt;=Hypothèses!$V$8,Hypothèses!$W$8,IF(BG229&lt;=Hypothèses!$V$9,Hypothèses!$W$9,IF(BG229&lt;=Hypothèses!$V$10,Hypothèses!$W$10,IF(BG229&lt;=Hypothèses!$V$11,Hypothèses!$W$11,IF(BG229&lt;=Hypothèses!$V$12,Hypothèses!$W$12,IF(BG229&lt;=Hypothèses!$V$13,Hypothèses!$W$13,IF(BG229&lt;=Hypothèses!$V$14,Hypothèses!$W$14,IF(BG229&lt;=Hypothèses!$V$15,Hypothèses!$W$15,IF(BG229&lt;=Hypothèses!$V$16,Hypothèses!$W$16,IF(BG229&lt;=Hypothèses!$V$17,Hypothèses!$W$17,IF(BG229&lt;=Hypothèses!$V$18,Hypothèses!$W$18,""))))))))))))</f>
        <v>#DIV/0!</v>
      </c>
      <c r="CB229" s="87" t="e">
        <f t="shared" ca="1" si="419"/>
        <v>#DIV/0!</v>
      </c>
      <c r="CC229" s="88" t="e">
        <f ca="1">IF(BG229&lt;=Hypothèses!$V$7,Hypothèses!$X$7,IF(BG229&lt;=Hypothèses!$V$8,Hypothèses!$X$8,IF(BG229&lt;=Hypothèses!$V$9,Hypothèses!$X$9,IF(BG229&lt;=Hypothèses!$V$10,Hypothèses!$X$10,IF(BG229&lt;=Hypothèses!$V$11,Hypothèses!$X$11,IF(BG229&lt;=Hypothèses!$V$12,Hypothèses!$X$12,IF(BG229&lt;=Hypothèses!$V$13,Hypothèses!$X$13,IF(BG229&lt;=Hypothèses!$V$14,Hypothèses!$X$14,IF(BG229&lt;=Hypothèses!$V$15,Hypothèses!$X$15,IF(BG229&lt;=Hypothèses!$V$16,Hypothèses!$X$16,IF(BG229&lt;=Hypothèses!$U$17,Hypothèses!$W$17,IF(BG229&lt;=Hypothèses!$U$18,Hypothèses!$W$18,""))))))))))))</f>
        <v>#DIV/0!</v>
      </c>
      <c r="CD229" s="95" t="e">
        <f t="shared" ca="1" si="381"/>
        <v>#DIV/0!</v>
      </c>
      <c r="CE229" s="101">
        <f t="shared" si="426"/>
        <v>0</v>
      </c>
      <c r="CF229" s="91">
        <f t="shared" si="348"/>
        <v>0</v>
      </c>
      <c r="CG229" s="30" t="e">
        <f t="shared" si="406"/>
        <v>#N/A</v>
      </c>
      <c r="CH229" s="30" t="e">
        <f t="shared" si="407"/>
        <v>#N/A</v>
      </c>
      <c r="CI229" s="31" t="e">
        <f>IF(OR(Hypothèses!$B$4=17,Hypothèses!$B$4=18,Hypothèses!$B$4=19,Hypothèses!$B$4=20),
IF($D229="Pressio.",
IF(OR($E229=3,$E229=1,$E229=4),CH229,CG229),
IF($D229="Pénétro.",
IF(OR($E229=3,$E229=1,$E229=4),CH229,CG229))),IF($D229="Pressio.",
IF($E229=3,CH229,CG229),
IF($D229="Pénétro.",
IF($E229=4,CH229,CG229))))</f>
        <v>#N/A</v>
      </c>
      <c r="CJ229" s="31">
        <v>0</v>
      </c>
      <c r="CK229" s="102" t="e">
        <f>IF(NDC!$H$10="Oui",(VLOOKUP($B$3,'Coeff EC7'!$T$39:$X$59,2,0)*CI229+VLOOKUP($B$3,'Coeff EC7'!$T$65:$X$85,2,0)*Model0.1T!CJ229)/1.5,PI()*CG$12*$Q229*($B229-$B228)*0.15/10+CK228)</f>
        <v>#N/A</v>
      </c>
      <c r="CL229" s="102" t="e">
        <f>(VLOOKUP($B$3,'Coeff EC7'!$T$39:$X$59,3,0)*CI229+VLOOKUP($B$3,'Coeff EC7'!$T$65:$X$85,3,0)*Model0.1T!CJ229)/1.1</f>
        <v>#N/A</v>
      </c>
      <c r="CM229" s="102" t="e">
        <f t="shared" si="382"/>
        <v>#N/A</v>
      </c>
      <c r="CN229" s="102" t="e">
        <f t="shared" si="383"/>
        <v>#N/A</v>
      </c>
      <c r="CO229" s="414" t="e">
        <f>IF(AND(CK229&gt;NDC!$C$63,CL229&gt;NDC!$C$65,CM229&gt;NDC!$D$73,CN229&gt;NDC!$D$74,$B229&gt;NDC!$H$22-0.1+MIN(3*CO$12,1.5)),0,1)</f>
        <v>#N/A</v>
      </c>
      <c r="CP229" s="86" t="b">
        <f t="shared" si="349"/>
        <v>0</v>
      </c>
      <c r="CQ229" s="86">
        <f t="shared" si="350"/>
        <v>0.5</v>
      </c>
      <c r="CR229" s="86">
        <f t="shared" si="351"/>
        <v>0.5</v>
      </c>
      <c r="CS229" s="30" t="e">
        <f t="shared" ca="1" si="384"/>
        <v>#DIV/0!</v>
      </c>
      <c r="CT229" s="85" t="e">
        <f ca="1">IF(BZ229&lt;=Hypothèses!$V$7,Hypothèses!$W$7,IF(BZ229&lt;=Hypothèses!$V$8,Hypothèses!$W$8,IF(BZ229&lt;=Hypothèses!$V$9,Hypothèses!$W$9,IF(BZ229&lt;=Hypothèses!$V$10,Hypothèses!$W$10,IF(BZ229&lt;=Hypothèses!$V$11,Hypothèses!$W$11,IF(BZ229&lt;=Hypothèses!$V$12,Hypothèses!$W$12,IF(BZ229&lt;=Hypothèses!$V$13,Hypothèses!$W$13,IF(BZ229&lt;=Hypothèses!$V$14,Hypothèses!$W$14,IF(BZ229&lt;=Hypothèses!$V$15,Hypothèses!$W$15,IF(BZ229&lt;=Hypothèses!$V$16,Hypothèses!$W$16,IF(BZ229&lt;=Hypothèses!$V$17,Hypothèses!$W$17,IF(BZ229&lt;=Hypothèses!$V$18,Hypothèses!$W$18,""))))))))))))</f>
        <v>#DIV/0!</v>
      </c>
      <c r="CU229" s="87" t="e">
        <f t="shared" ca="1" si="420"/>
        <v>#DIV/0!</v>
      </c>
      <c r="CV229" s="88" t="e">
        <f ca="1">IF(BZ229&lt;=Hypothèses!$V$7,Hypothèses!$X$7,IF(BZ229&lt;=Hypothèses!$V$8,Hypothèses!$X$8,IF(BZ229&lt;=Hypothèses!$V$9,Hypothèses!$X$9,IF(BZ229&lt;=Hypothèses!$V$10,Hypothèses!$X$10,IF(BZ229&lt;=Hypothèses!$V$11,Hypothèses!$X$11,IF(BZ229&lt;=Hypothèses!$V$12,Hypothèses!$X$12,IF(BZ229&lt;=Hypothèses!$V$13,Hypothèses!$X$13,IF(BZ229&lt;=Hypothèses!$V$14,Hypothèses!$X$14,IF(BZ229&lt;=Hypothèses!$V$15,Hypothèses!$X$15,IF(BZ229&lt;=Hypothèses!$V$16,Hypothèses!$X$16,IF(BZ229&lt;=Hypothèses!$U$17,Hypothèses!$W$17,IF(BZ229&lt;=Hypothèses!$U$18,Hypothèses!$W$18,""))))))))))))</f>
        <v>#DIV/0!</v>
      </c>
      <c r="CW229" s="95" t="e">
        <f t="shared" ca="1" si="385"/>
        <v>#DIV/0!</v>
      </c>
      <c r="CX229" s="101">
        <f t="shared" si="427"/>
        <v>0</v>
      </c>
      <c r="CY229" s="91">
        <f t="shared" si="352"/>
        <v>0</v>
      </c>
      <c r="CZ229" s="30" t="e">
        <f t="shared" si="408"/>
        <v>#N/A</v>
      </c>
      <c r="DA229" s="30" t="e">
        <f t="shared" si="409"/>
        <v>#N/A</v>
      </c>
      <c r="DB229" s="31" t="e">
        <f>IF(OR(Hypothèses!$B$4=17,Hypothèses!$B$4=18,Hypothèses!$B$4=19,Hypothèses!$B$4=20),
IF($D229="Pressio.",
IF(OR($E229=3,$E229=1,$E229=4),DA229,CZ229),
IF($D229="Pénétro.",
IF(OR($E229=3,$E229=1,$E229=4),DA229,CZ229))),IF($D229="Pressio.",
IF($E229=3,DA229,CZ229),
IF($D229="Pénétro.",
IF($E229=4,DA229,CZ229))))</f>
        <v>#N/A</v>
      </c>
      <c r="DC229" s="31">
        <v>0</v>
      </c>
      <c r="DD229" s="102" t="e">
        <f>IF(NDC!$H$10="Oui",(VLOOKUP($B$3,'Coeff EC7'!$T$39:$X$59,2,0)*DB229+VLOOKUP($B$3,'Coeff EC7'!$T$65:$X$85,2,0)*Model0.1T!DC229)/1.5,PI()*CZ$12*$Q229*($B229-$B228)*0.15/10+DD228)</f>
        <v>#N/A</v>
      </c>
      <c r="DE229" s="102" t="e">
        <f>(VLOOKUP($B$3,'Coeff EC7'!$T$39:$X$59,3,0)*DB229+VLOOKUP($B$3,'Coeff EC7'!$T$65:$X$85,3,0)*Model0.1T!DC229)/1.1</f>
        <v>#N/A</v>
      </c>
      <c r="DF229" s="102" t="e">
        <f t="shared" si="386"/>
        <v>#N/A</v>
      </c>
      <c r="DG229" s="102" t="e">
        <f t="shared" si="387"/>
        <v>#N/A</v>
      </c>
      <c r="DH229" s="414" t="e">
        <f>IF(AND(DD229&gt;NDC!$C$63,DE229&gt;NDC!$C$65,DF229&gt;NDC!$D$73,DG229&gt;NDC!$D$74,$B229&gt;NDC!$H$22-0.1+MIN(3*DH$12,1.5)),0,1)</f>
        <v>#N/A</v>
      </c>
      <c r="DI229" s="86" t="b">
        <f t="shared" si="353"/>
        <v>0</v>
      </c>
      <c r="DJ229" s="86">
        <f t="shared" si="354"/>
        <v>0.5</v>
      </c>
      <c r="DK229" s="86">
        <f t="shared" si="355"/>
        <v>0.5</v>
      </c>
      <c r="DL229" s="30" t="e">
        <f t="shared" ca="1" si="388"/>
        <v>#DIV/0!</v>
      </c>
      <c r="DM229" s="85" t="e">
        <f ca="1">IF(CS229&lt;=Hypothèses!$V$7,Hypothèses!$W$7,IF(CS229&lt;=Hypothèses!$V$8,Hypothèses!$W$8,IF(CS229&lt;=Hypothèses!$V$9,Hypothèses!$W$9,IF(CS229&lt;=Hypothèses!$V$10,Hypothèses!$W$10,IF(CS229&lt;=Hypothèses!$V$11,Hypothèses!$W$11,IF(CS229&lt;=Hypothèses!$V$12,Hypothèses!$W$12,IF(CS229&lt;=Hypothèses!$V$13,Hypothèses!$W$13,IF(CS229&lt;=Hypothèses!$V$14,Hypothèses!$W$14,IF(CS229&lt;=Hypothèses!$V$15,Hypothèses!$W$15,IF(CS229&lt;=Hypothèses!$V$16,Hypothèses!$W$16,IF(CS229&lt;=Hypothèses!$V$17,Hypothèses!$W$17,IF(CS229&lt;=Hypothèses!$V$18,Hypothèses!$W$18,""))))))))))))</f>
        <v>#DIV/0!</v>
      </c>
      <c r="DN229" s="87" t="e">
        <f t="shared" ca="1" si="421"/>
        <v>#DIV/0!</v>
      </c>
      <c r="DO229" s="88" t="e">
        <f ca="1">IF(CS229&lt;=Hypothèses!$V$7,Hypothèses!$X$7,IF(CS229&lt;=Hypothèses!$V$8,Hypothèses!$X$8,IF(CS229&lt;=Hypothèses!$V$9,Hypothèses!$X$9,IF(CS229&lt;=Hypothèses!$V$10,Hypothèses!$X$10,IF(CS229&lt;=Hypothèses!$V$11,Hypothèses!$X$11,IF(CS229&lt;=Hypothèses!$V$12,Hypothèses!$X$12,IF(CS229&lt;=Hypothèses!$V$13,Hypothèses!$X$13,IF(CS229&lt;=Hypothèses!$V$14,Hypothèses!$X$14,IF(CS229&lt;=Hypothèses!$V$15,Hypothèses!$X$15,IF(CS229&lt;=Hypothèses!$V$16,Hypothèses!$X$16,IF(CS229&lt;=Hypothèses!$U$17,Hypothèses!$W$17,IF(CS229&lt;=Hypothèses!$U$18,Hypothèses!$W$18,""))))))))))))</f>
        <v>#DIV/0!</v>
      </c>
      <c r="DP229" s="95" t="e">
        <f t="shared" ca="1" si="389"/>
        <v>#DIV/0!</v>
      </c>
      <c r="DQ229" s="101">
        <f t="shared" si="428"/>
        <v>0</v>
      </c>
      <c r="DR229" s="91">
        <f t="shared" si="356"/>
        <v>0</v>
      </c>
      <c r="DS229" s="30" t="e">
        <f t="shared" si="410"/>
        <v>#N/A</v>
      </c>
      <c r="DT229" s="30" t="e">
        <f t="shared" si="411"/>
        <v>#N/A</v>
      </c>
      <c r="DU229" s="31" t="e">
        <f>IF(OR(Hypothèses!$B$4=17,Hypothèses!$B$4=18,Hypothèses!$B$4=19,Hypothèses!$B$4=20),
IF($D229="Pressio.",
IF(OR($E229=3,$E229=1,$E229=4),DT229,DS229),
IF($D229="Pénétro.",
IF(OR($E229=3,$E229=1,$E229=4),DT229,DS229))),IF($D229="Pressio.",
IF($E229=3,DT229,DS229),
IF($D229="Pénétro.",
IF($E229=4,DT229,DS229))))</f>
        <v>#N/A</v>
      </c>
      <c r="DV229" s="31">
        <v>0</v>
      </c>
      <c r="DW229" s="102" t="e">
        <f>IF(NDC!$H$10="Oui",(VLOOKUP($B$3,'Coeff EC7'!$T$39:$X$59,2,0)*DU229+VLOOKUP($B$3,'Coeff EC7'!$T$65:$X$85,2,0)*Model0.1T!DV229)/1.5,PI()*DS$12*$Q229*($B229-$B228)*0.15/10+DW228)</f>
        <v>#N/A</v>
      </c>
      <c r="DX229" s="102" t="e">
        <f>(VLOOKUP($B$3,'Coeff EC7'!$T$39:$X$59,3,0)*DU229+VLOOKUP($B$3,'Coeff EC7'!$T$65:$X$85,3,0)*Model0.1T!DV229)/1.1</f>
        <v>#N/A</v>
      </c>
      <c r="DY229" s="102" t="e">
        <f t="shared" si="390"/>
        <v>#N/A</v>
      </c>
      <c r="DZ229" s="102" t="e">
        <f t="shared" si="391"/>
        <v>#N/A</v>
      </c>
      <c r="EA229" s="414" t="e">
        <f>IF(AND(DW229&gt;NDC!$C$63,DX229&gt;NDC!$C$65,DY229&gt;NDC!$D$73,DZ229&gt;NDC!$D$74,$B229&gt;NDC!$H$22-0.1+MIN(3*EA$12,1.5)),0,1)</f>
        <v>#N/A</v>
      </c>
      <c r="EB229" s="86" t="b">
        <f t="shared" si="357"/>
        <v>0</v>
      </c>
      <c r="EC229" s="418">
        <f t="shared" si="358"/>
        <v>0.51</v>
      </c>
      <c r="ED229" s="86">
        <f t="shared" si="359"/>
        <v>0.51</v>
      </c>
      <c r="EE229" s="30" t="e">
        <f t="shared" ca="1" si="392"/>
        <v>#DIV/0!</v>
      </c>
      <c r="EF229" s="85" t="e">
        <f ca="1">IF(DL229&lt;=Hypothèses!$V$7,Hypothèses!$W$7,IF(DL229&lt;=Hypothèses!$V$8,Hypothèses!$W$8,IF(DL229&lt;=Hypothèses!$V$9,Hypothèses!$W$9,IF(DL229&lt;=Hypothèses!$V$10,Hypothèses!$W$10,IF(DL229&lt;=Hypothèses!$V$11,Hypothèses!$W$11,IF(DL229&lt;=Hypothèses!$V$12,Hypothèses!$W$12,IF(DL229&lt;=Hypothèses!$V$13,Hypothèses!$W$13,IF(DL229&lt;=Hypothèses!$V$14,Hypothèses!$W$14,IF(DL229&lt;=Hypothèses!$V$15,Hypothèses!$W$15,IF(DL229&lt;=Hypothèses!$V$16,Hypothèses!$W$16,IF(DL229&lt;=Hypothèses!$V$17,Hypothèses!$W$17,IF(DL229&lt;=Hypothèses!$V$18,Hypothèses!$W$18,""))))))))))))</f>
        <v>#DIV/0!</v>
      </c>
      <c r="EG229" s="87" t="e">
        <f t="shared" ca="1" si="422"/>
        <v>#DIV/0!</v>
      </c>
      <c r="EH229" s="88" t="e">
        <f ca="1">IF(DL229&lt;=Hypothèses!$V$7,Hypothèses!$X$7,IF(DL229&lt;=Hypothèses!$V$8,Hypothèses!$X$8,IF(DL229&lt;=Hypothèses!$V$9,Hypothèses!$X$9,IF(DL229&lt;=Hypothèses!$V$10,Hypothèses!$X$10,IF(DL229&lt;=Hypothèses!$V$11,Hypothèses!$X$11,IF(DL229&lt;=Hypothèses!$V$12,Hypothèses!$X$12,IF(DL229&lt;=Hypothèses!$V$13,Hypothèses!$X$13,IF(DL229&lt;=Hypothèses!$V$14,Hypothèses!$X$14,IF(DL229&lt;=Hypothèses!$V$15,Hypothèses!$X$15,IF(DL229&lt;=Hypothèses!$V$16,Hypothèses!$X$16,IF(DL229&lt;=Hypothèses!$U$17,Hypothèses!$W$17,IF(DL229&lt;=Hypothèses!$U$18,Hypothèses!$W$18,""))))))))))))</f>
        <v>#DIV/0!</v>
      </c>
      <c r="EI229" s="95" t="e">
        <f t="shared" ca="1" si="393"/>
        <v>#DIV/0!</v>
      </c>
      <c r="EJ229" s="101">
        <f t="shared" si="429"/>
        <v>0</v>
      </c>
      <c r="EK229" s="91">
        <f t="shared" si="360"/>
        <v>0</v>
      </c>
      <c r="EL229" s="30" t="e">
        <f t="shared" si="412"/>
        <v>#N/A</v>
      </c>
      <c r="EM229" s="30" t="e">
        <f t="shared" si="413"/>
        <v>#N/A</v>
      </c>
      <c r="EN229" s="31" t="e">
        <f>IF(OR(Hypothèses!$B$4=17,Hypothèses!$B$4=18,Hypothèses!$B$4=19,Hypothèses!$B$4=20),
IF($D229="Pressio.",
IF(OR($E229=3,$E229=1,$E229=4),EM229,EL229),
IF($D229="Pénétro.",
IF(OR($E229=3,$E229=1,$E229=4),EM229,EL229))),IF($D229="Pressio.",
IF($E229=3,EM229,EL229),
IF($D229="Pénétro.",
IF($E229=4,EM229,EL229))))</f>
        <v>#N/A</v>
      </c>
      <c r="EO229" s="31">
        <v>0</v>
      </c>
      <c r="EP229" s="102" t="e">
        <f>IF(NDC!$H$10="Oui",(VLOOKUP($B$3,'Coeff EC7'!$T$39:$X$59,2,0)*EN229+VLOOKUP($B$3,'Coeff EC7'!$T$65:$X$85,2,0)*Model0.1T!EO229)/1.5,PI()*EL$12*$Q229*($B229-$B228)*0.15/10+EP228)</f>
        <v>#N/A</v>
      </c>
      <c r="EQ229" s="102" t="e">
        <f>(VLOOKUP($B$3,'Coeff EC7'!$T$39:$X$59,3,0)*EN229+VLOOKUP($B$3,'Coeff EC7'!$T$65:$X$85,3,0)*Model0.1T!EO229)/1.1</f>
        <v>#N/A</v>
      </c>
      <c r="ER229" s="102" t="e">
        <f t="shared" si="394"/>
        <v>#N/A</v>
      </c>
      <c r="ES229" s="102" t="e">
        <f t="shared" si="395"/>
        <v>#N/A</v>
      </c>
      <c r="ET229" s="414" t="e">
        <f>IF(AND(EP229&gt;NDC!$C$63,EQ229&gt;NDC!$C$65,ER229&gt;NDC!$D$73,ES229&gt;NDC!$D$74,$B229&gt;NDC!$H$22-0.1+MIN(3*ET$12,1.5)),0,1)</f>
        <v>#N/A</v>
      </c>
      <c r="EU229" s="86" t="b">
        <f t="shared" si="361"/>
        <v>0</v>
      </c>
      <c r="EV229" s="86">
        <f t="shared" si="362"/>
        <v>0.61</v>
      </c>
      <c r="EW229" s="86">
        <f t="shared" si="363"/>
        <v>0.61</v>
      </c>
      <c r="EX229" s="30" t="e">
        <f t="shared" ca="1" si="396"/>
        <v>#DIV/0!</v>
      </c>
      <c r="EY229" s="85" t="e">
        <f ca="1">IF(EE229&lt;=Hypothèses!$V$7,Hypothèses!$W$7,IF(EE229&lt;=Hypothèses!$V$8,Hypothèses!$W$8,IF(EE229&lt;=Hypothèses!$V$9,Hypothèses!$W$9,IF(EE229&lt;=Hypothèses!$V$10,Hypothèses!$W$10,IF(EE229&lt;=Hypothèses!$V$11,Hypothèses!$W$11,IF(EE229&lt;=Hypothèses!$V$12,Hypothèses!$W$12,IF(EE229&lt;=Hypothèses!$V$13,Hypothèses!$W$13,IF(EE229&lt;=Hypothèses!$V$14,Hypothèses!$W$14,IF(EE229&lt;=Hypothèses!$V$15,Hypothèses!$W$15,IF(EE229&lt;=Hypothèses!$V$16,Hypothèses!$W$16,IF(EE229&lt;=Hypothèses!$V$17,Hypothèses!$W$17,IF(EE229&lt;=Hypothèses!$V$18,Hypothèses!$W$18,""))))))))))))</f>
        <v>#DIV/0!</v>
      </c>
      <c r="EZ229" s="87" t="e">
        <f t="shared" ca="1" si="423"/>
        <v>#DIV/0!</v>
      </c>
      <c r="FA229" s="88" t="e">
        <f ca="1">IF(EE229&lt;=Hypothèses!$V$7,Hypothèses!$X$7,IF(EE229&lt;=Hypothèses!$V$8,Hypothèses!$X$8,IF(EE229&lt;=Hypothèses!$V$9,Hypothèses!$X$9,IF(EE229&lt;=Hypothèses!$V$10,Hypothèses!$X$10,IF(EE229&lt;=Hypothèses!$V$11,Hypothèses!$X$11,IF(EE229&lt;=Hypothèses!$V$12,Hypothèses!$X$12,IF(EE229&lt;=Hypothèses!$V$13,Hypothèses!$X$13,IF(EE229&lt;=Hypothèses!$V$14,Hypothèses!$X$14,IF(EE229&lt;=Hypothèses!$V$15,Hypothèses!$X$15,IF(EE229&lt;=Hypothèses!$V$16,Hypothèses!$X$16,IF(EE229&lt;=Hypothèses!$U$17,Hypothèses!$W$17,IF(EE229&lt;=Hypothèses!$U$18,Hypothèses!$W$18,""))))))))))))</f>
        <v>#DIV/0!</v>
      </c>
      <c r="FB229" s="95" t="e">
        <f t="shared" ca="1" si="397"/>
        <v>#DIV/0!</v>
      </c>
      <c r="FC229" s="101">
        <f t="shared" si="430"/>
        <v>0</v>
      </c>
      <c r="FD229" s="91">
        <f t="shared" si="364"/>
        <v>0</v>
      </c>
      <c r="FE229" s="30" t="e">
        <f t="shared" si="414"/>
        <v>#N/A</v>
      </c>
      <c r="FF229" s="30" t="e">
        <f t="shared" si="415"/>
        <v>#N/A</v>
      </c>
      <c r="FG229" s="31" t="e">
        <f>IF(OR(Hypothèses!$B$4=17,Hypothèses!$B$4=18,Hypothèses!$B$4=19,Hypothèses!$B$4=20),
IF($D229="Pressio.",
IF(OR($E229=3,$E229=1,$E229=4),FF229,FE229),
IF($D229="Pénétro.",
IF(OR($E229=3,$E229=1,$E229=4),FF229,FE229))),IF($D229="Pressio.",
IF($E229=3,FF229,FE229),
IF($D229="Pénétro.",
IF($E229=4,FF229,FE229))))</f>
        <v>#N/A</v>
      </c>
      <c r="FH229" s="31">
        <v>0</v>
      </c>
      <c r="FI229" s="102" t="e">
        <f>IF(NDC!$H$10="Oui",(VLOOKUP($B$3,'Coeff EC7'!$T$39:$X$59,2,0)*FG229+VLOOKUP($B$3,'Coeff EC7'!$T$65:$X$85,2,0)*Model0.1T!FH229)/1.5,PI()*FE$12*$Q229*($B229-$B228)*0.15/10+FI228)</f>
        <v>#N/A</v>
      </c>
      <c r="FJ229" s="102" t="e">
        <f>(VLOOKUP($B$3,'Coeff EC7'!$T$39:$X$59,3,0)*FG229+VLOOKUP($B$3,'Coeff EC7'!$T$65:$X$85,3,0)*Model0.1T!FH229)/1.1</f>
        <v>#N/A</v>
      </c>
      <c r="FK229" s="102" t="e">
        <f t="shared" si="398"/>
        <v>#N/A</v>
      </c>
      <c r="FL229" s="102" t="e">
        <f t="shared" si="399"/>
        <v>#N/A</v>
      </c>
      <c r="FM229" s="414" t="e">
        <f>IF(AND(FI229&gt;NDC!$C$63,FJ229&gt;NDC!$C$65,FK229&gt;NDC!$D$73,FL229&gt;NDC!$D$74,$B229&gt;NDC!$H$22-0.1+MIN(3*FM$12,1.5)),0,1)</f>
        <v>#N/A</v>
      </c>
    </row>
    <row r="230" spans="1:169">
      <c r="A230" s="96">
        <f t="shared" si="365"/>
        <v>78.300000000001234</v>
      </c>
      <c r="B230" s="97">
        <v>21.7</v>
      </c>
      <c r="C230" s="81">
        <f>IF(B230&lt;=Hypothèses!$C$7,Hypothèses!$A$7,IF(B230&lt;=Hypothèses!$C$8,Hypothèses!$A$8,IF(B230&lt;=Hypothèses!$C$9,Hypothèses!$A$9,IF(B230&lt;=Hypothèses!$C$10,Hypothèses!$A$10,IF(B230&lt;=Hypothèses!$C$11,Hypothèses!$A$11,IF(B230&lt;=Hypothèses!$C$12,Hypothèses!$A$12,IF(B230&lt;=Hypothèses!$C$13,Hypothèses!$A$13,IF(B230&lt;=Hypothèses!$C$14,Hypothèses!$A$14,IF(B230&lt;=Hypothèses!$C$15,Hypothèses!$A$15,IF(B230&lt;=Hypothèses!$C$16,Hypothèses!$A$16,IF(B230&lt;=Hypothèses!$C$17,Hypothèses!$A$17,IF(B230&lt;=Hypothèses!$C$18,Hypothèses!$A$18,C229))))))))))))</f>
        <v>11</v>
      </c>
      <c r="D230" s="82" t="str">
        <f>IF(B230&lt;=Hypothèses!$C$7,Hypothèses!$R$7,IF(B230&lt;=Hypothèses!$C$8,Hypothèses!$R$8,IF(B230&lt;=Hypothèses!$C$9,Hypothèses!$R$9,IF(B230&lt;=Hypothèses!$C$10,Hypothèses!$R$10,IF(B230&lt;=Hypothèses!$C$11,Hypothèses!$R$11,IF(B230&lt;=Hypothèses!$C$12,Hypothèses!$R$12,IF(B230&lt;=Hypothèses!$C$13,Hypothèses!$R$13,IF(B230&lt;=Hypothèses!$C$14,Hypothèses!$R$14,IF(B230&lt;=Hypothèses!$C$15,Hypothèses!$R$15,IF(B230&lt;=Hypothèses!$C$16,Hypothèses!$R$16,IF(B230&lt;=Hypothèses!$C$17,Hypothèses!$R$17,IF(B230&lt;=Hypothèses!$C$18,Hypothèses!$R$18,D229))))))))))))</f>
        <v>Pressio.</v>
      </c>
      <c r="E230" s="82" t="e">
        <f>IF(B230&lt;=Hypothèses!$C$7,Hypothèses!$G$7,IF(B230&lt;=Hypothèses!$C$8,Hypothèses!$G$8,IF(B230&lt;=Hypothèses!$C$9,Hypothèses!$G$9,IF(B230&lt;=Hypothèses!$C$10,Hypothèses!$G$10,IF(B230&lt;=Hypothèses!$C$11,Hypothèses!$G$11,IF(B230&lt;=Hypothèses!$C$12,Hypothèses!$G$12,IF(B230&lt;=Hypothèses!$C$13,Hypothèses!$G$13,IF(B230&lt;=Hypothèses!$C$14,Hypothèses!$G$14,IF(B230&lt;=Hypothèses!$C$15,Hypothèses!$G$15,IF(B230&lt;=Hypothèses!$C$16,Hypothèses!$G$16,IF(B230&lt;=Hypothèses!$C$17,Hypothèses!$G$17,IF(B230&lt;=Hypothèses!$C$18,Hypothèses!$G$18,E229))))))))))))</f>
        <v>#N/A</v>
      </c>
      <c r="F230" s="82" t="str">
        <f>IF(B230&lt;=Hypothèses!$C$7,Hypothèses!$F$7,IF(B230&lt;=Hypothèses!$C$8,Hypothèses!$F$8,IF(B230&lt;=Hypothèses!$C$9,Hypothèses!$F$9,IF(B230&lt;=Hypothèses!$C$10,Hypothèses!$F$10,IF(B230&lt;=Hypothèses!$C$11,Hypothèses!$F$11,IF(B230&lt;=Hypothèses!$C$12,Hypothèses!$F$12,IF(B230&lt;=Hypothèses!$C$13,Hypothèses!$F$13,IF(B230&lt;=Hypothèses!$C$14,Hypothèses!$F$14,IF(B230&lt;=Hypothèses!$C$15,Hypothèses!$F$15,IF(B230&lt;=Hypothèses!$C$16,Hypothèses!$F$16,IF(B230&lt;=Hypothèses!$C$17,Hypothèses!$F$17,IF(B230&lt;=Hypothèses!$C$18,Hypothèses!$F$18,F229))))))))))))</f>
        <v/>
      </c>
      <c r="G230" s="91">
        <f t="array" ref="G230">INDEX('Coeff EC7'!$U$7:$X$27,
MATCH(Model0.1T!$B$3,'Coeff EC7'!$T$7:$T$27,0),
MATCH(Model0.1T!$D230&amp;Model0.1T!$B$4,
'Coeff EC7'!$U$6:$X$6&amp;
'Coeff EC7'!$U$5:$X$5,0))</f>
        <v>1.4</v>
      </c>
      <c r="H230" s="91">
        <f t="array" ref="H230">INDEX('Coeff EC7'!$Y$7:$AB$27,
MATCH(Model0.1T!$B$3,'Coeff EC7'!$T$7:$T$27,0),
MATCH(Model0.1T!$D230&amp;Model0.1T!$B$4,
'Coeff EC7'!$Y$6:$AB$6&amp;
'Coeff EC7'!$Y$5:$AB$5,0))</f>
        <v>1.7</v>
      </c>
      <c r="I230" s="83">
        <v>0</v>
      </c>
      <c r="J230" s="91" t="e">
        <f t="array" ref="J230">INDEX('Coeff EC7'!$D$33:$Q$33,1,MATCH(D230&amp;E230,'Coeff EC7'!$D$31:$Q$31&amp;'Coeff EC7'!$D$32:$Q$32,0))</f>
        <v>#N/A</v>
      </c>
      <c r="K230" s="91" t="e">
        <f t="array" ref="K230">INDEX('Coeff EC7'!$D$34:$Q$34,1,MATCH(D230&amp;E230,'Coeff EC7'!$D$31:$Q$31&amp;'Coeff EC7'!$D$32:$Q$32,0))</f>
        <v>#N/A</v>
      </c>
      <c r="L230" s="91" t="e">
        <f t="array" ref="L230">INDEX('Coeff EC7'!$D$35:$Q$35,1,MATCH(D230&amp;E230,'Coeff EC7'!$D$31:$Q$31&amp;'Coeff EC7'!$D$32:$Q$32,0))</f>
        <v>#N/A</v>
      </c>
      <c r="M230" s="98" t="e">
        <f t="shared" si="331"/>
        <v>#N/A</v>
      </c>
      <c r="N230" s="99" t="e">
        <f t="array" ref="N230">INDEX('Coeff EC7'!$D$7:$Q$27,MATCH($B$3,'Coeff EC7'!$C$7:$C$27,0),MATCH(D230&amp;E230,'Coeff EC7'!$D$5:$Q$5&amp;'Coeff EC7'!$D$6:$Q$6,0))</f>
        <v>#N/A</v>
      </c>
      <c r="O230" s="99" t="e">
        <f t="array" ref="O230">INDEX('Coeff EC7'!$D$41:$Q$61,MATCH($B$3,'Coeff EC7'!$C$41:$C$61,0),MATCH(D230&amp;E230,'Coeff EC7'!$D$39:$Q$39&amp;'Coeff EC7'!$D$40:$Q$40,0))</f>
        <v>#N/A</v>
      </c>
      <c r="P230" s="30" t="e">
        <f t="shared" si="366"/>
        <v>#N/A</v>
      </c>
      <c r="Q230" s="100" t="e">
        <f t="shared" si="333"/>
        <v>#N/A</v>
      </c>
      <c r="R230" s="86" t="b">
        <f t="shared" si="334"/>
        <v>0</v>
      </c>
      <c r="S230" s="86">
        <f t="shared" si="332"/>
        <v>0.5</v>
      </c>
      <c r="T230" s="86">
        <f t="shared" si="335"/>
        <v>0.5</v>
      </c>
      <c r="U230" s="30" t="e">
        <f t="shared" ca="1" si="367"/>
        <v>#DIV/0!</v>
      </c>
      <c r="V230" s="85" t="str">
        <f>IF(B230&lt;=Hypothèses!$V$7,Hypothèses!$W$7,IF(B230&lt;=Hypothèses!$V$8,Hypothèses!$W$8,IF(B230&lt;=Hypothèses!$V$9,Hypothèses!$W$9,IF(B230&lt;=Hypothèses!$V$10,Hypothèses!$W$10,IF(B230&lt;=Hypothèses!$V$11,Hypothèses!$W$11,IF(B230&lt;=Hypothèses!$V$12,Hypothèses!$W$12,IF(B230&lt;=Hypothèses!$V$13,Hypothèses!$W$13,IF(B230&lt;=Hypothèses!$V$14,Hypothèses!$W$14,IF(B230&lt;=Hypothèses!$V$15,Hypothèses!$W$15,IF(B230&lt;=Hypothèses!$V$16,Hypothèses!$W$16,IF(B230&lt;=Hypothèses!$V$17,Hypothèses!$W$17,IF(B230&lt;=Hypothèses!$V$18,Hypothèses!$W$18,""))))))))))))</f>
        <v/>
      </c>
      <c r="W230" s="87" t="e">
        <f t="shared" ca="1" si="416"/>
        <v>#DIV/0!</v>
      </c>
      <c r="X230" s="88" t="str">
        <f>IF(B230&lt;=Hypothèses!$V$7,Hypothèses!$X$7,IF(B230&lt;=Hypothèses!$V$8,Hypothèses!$X$8,IF(B230&lt;=Hypothèses!$V$9,Hypothèses!$X$9,IF(B230&lt;=Hypothèses!$V$10,Hypothèses!$X$10,IF(B230&lt;=Hypothèses!$V$11,Hypothèses!$X$11,IF(B230&lt;=Hypothèses!$V$12,Hypothèses!$X$12,IF(B230&lt;=Hypothèses!$V$13,Hypothèses!$X$13,IF(B230&lt;=Hypothèses!$V$14,Hypothèses!$X$14,IF(B230&lt;=Hypothèses!$V$15,Hypothèses!$X$15,IF(B230&lt;=Hypothèses!$V$16,Hypothèses!$X$16,IF(B230&lt;=Hypothèses!$U$17,Hypothèses!$W$17,IF(B230&lt;=Hypothèses!$U$18,Hypothèses!$W$18,""))))))))))))</f>
        <v/>
      </c>
      <c r="Y230" s="95" t="e">
        <f t="shared" ca="1" si="336"/>
        <v>#DIV/0!</v>
      </c>
      <c r="Z230" s="101">
        <f t="shared" si="337"/>
        <v>0</v>
      </c>
      <c r="AA230" s="91">
        <f t="shared" si="338"/>
        <v>0</v>
      </c>
      <c r="AB230" s="30" t="e">
        <f t="shared" si="400"/>
        <v>#N/A</v>
      </c>
      <c r="AC230" s="30" t="e">
        <f t="shared" si="401"/>
        <v>#N/A</v>
      </c>
      <c r="AD230" s="31" t="e">
        <f>IF(OR(Hypothèses!$B$4=17,Hypothèses!$B$4=18,Hypothèses!$B$4=19,Hypothèses!$B$4=20),
IF($D230="Pressio.",
IF(OR($E230=3,$E230=1,$E230=4),AC230,AB230),
IF($D230="Pénétro.",
IF(OR($E230=3,$E230=1,$E230=4),AC230,AB230))),IF($D230="Pressio.",
IF($E230=3,AC230,AB230),
IF($D230="Pénétro.",
IF($E230=4,AC230,AB230))))</f>
        <v>#N/A</v>
      </c>
      <c r="AE230" s="31">
        <v>0</v>
      </c>
      <c r="AF230" s="102" t="e">
        <f>IF(NDC!$H$10="Oui",(VLOOKUP($B$3,'Coeff EC7'!$T$39:$X$59,2,0)*AD230+VLOOKUP($B$3,'Coeff EC7'!$T$65:$X$85,2,0)*Model0.1T!AE230)/1.5,PI()*AB$12*$Q230*($B230-$B229)*0.15/10+AF229)</f>
        <v>#N/A</v>
      </c>
      <c r="AG230" s="102" t="e">
        <f>(VLOOKUP($B$3,'Coeff EC7'!$T$39:$X$59,3,0)*AD230+VLOOKUP($B$3,'Coeff EC7'!$T$65:$X$85,3,0)*Model0.1T!AE230)/1.1</f>
        <v>#N/A</v>
      </c>
      <c r="AH230" s="102" t="e">
        <f t="shared" si="368"/>
        <v>#N/A</v>
      </c>
      <c r="AI230" s="102" t="e">
        <f t="shared" si="369"/>
        <v>#N/A</v>
      </c>
      <c r="AJ230" s="414" t="e">
        <f>IF(AND(AF230&gt;NDC!$C$63,AG230&gt;NDC!$C$65,AH230&gt;NDC!$D$73,AI230&gt;NDC!$D$74,$B230&gt;NDC!$H$22-0.1+MIN(3*$AJ$12,1.5)),0,1)</f>
        <v>#N/A</v>
      </c>
      <c r="AK230" s="86" t="b">
        <f t="shared" si="339"/>
        <v>0</v>
      </c>
      <c r="AL230" s="86">
        <f t="shared" si="370"/>
        <v>0.5</v>
      </c>
      <c r="AM230" s="86">
        <f t="shared" si="340"/>
        <v>0.5</v>
      </c>
      <c r="AN230" s="30" t="e">
        <f t="shared" ca="1" si="371"/>
        <v>#DIV/0!</v>
      </c>
      <c r="AO230" s="85" t="e">
        <f ca="1">IF(U230&lt;=Hypothèses!$V$7,Hypothèses!$W$7,IF(U230&lt;=Hypothèses!$V$8,Hypothèses!$W$8,IF(U230&lt;=Hypothèses!$V$9,Hypothèses!$W$9,IF(U230&lt;=Hypothèses!$V$10,Hypothèses!$W$10,IF(U230&lt;=Hypothèses!$V$11,Hypothèses!$W$11,IF(U230&lt;=Hypothèses!$V$12,Hypothèses!$W$12,IF(U230&lt;=Hypothèses!$V$13,Hypothèses!$W$13,IF(U230&lt;=Hypothèses!$V$14,Hypothèses!$W$14,IF(U230&lt;=Hypothèses!$V$15,Hypothèses!$W$15,IF(U230&lt;=Hypothèses!$V$16,Hypothèses!$W$16,IF(U230&lt;=Hypothèses!$V$17,Hypothèses!$W$17,IF(U230&lt;=Hypothèses!$V$18,Hypothèses!$W$18,""))))))))))))</f>
        <v>#DIV/0!</v>
      </c>
      <c r="AP230" s="87" t="e">
        <f t="shared" ca="1" si="417"/>
        <v>#DIV/0!</v>
      </c>
      <c r="AQ230" s="88" t="e">
        <f ca="1">IF(U230&lt;=Hypothèses!$V$7,Hypothèses!$X$7,IF(U230&lt;=Hypothèses!$V$8,Hypothèses!$X$8,IF(U230&lt;=Hypothèses!$V$9,Hypothèses!$X$9,IF(U230&lt;=Hypothèses!$V$10,Hypothèses!$X$10,IF(U230&lt;=Hypothèses!$V$11,Hypothèses!$X$11,IF(U230&lt;=Hypothèses!$V$12,Hypothèses!$X$12,IF(U230&lt;=Hypothèses!$V$13,Hypothèses!$X$13,IF(U230&lt;=Hypothèses!$V$14,Hypothèses!$X$14,IF(U230&lt;=Hypothèses!$V$15,Hypothèses!$X$15,IF(U230&lt;=Hypothèses!$V$16,Hypothèses!$X$16,IF(U230&lt;=Hypothèses!$U$17,Hypothèses!$W$17,IF(U230&lt;=Hypothèses!$U$18,Hypothèses!$W$18,""))))))))))))</f>
        <v>#DIV/0!</v>
      </c>
      <c r="AR230" s="95" t="e">
        <f t="shared" ca="1" si="372"/>
        <v>#DIV/0!</v>
      </c>
      <c r="AS230" s="101">
        <f t="shared" si="424"/>
        <v>0</v>
      </c>
      <c r="AT230" s="91">
        <f t="shared" si="341"/>
        <v>0</v>
      </c>
      <c r="AU230" s="30" t="e">
        <f t="shared" si="402"/>
        <v>#N/A</v>
      </c>
      <c r="AV230" s="30" t="e">
        <f t="shared" si="403"/>
        <v>#N/A</v>
      </c>
      <c r="AW230" s="31" t="e">
        <f>IF(OR(Hypothèses!$B$4=17,Hypothèses!$B$4=18,Hypothèses!$B$4=19,Hypothèses!$B$4=20),
IF($D230="Pressio.",
IF(OR($E230=3,$E230=1,$E230=4),AV230,AU230),
IF($D230="Pénétro.",
IF(OR($E230=3,$E230=1,$E230=4),AV230,AU230))),IF($D230="Pressio.",
IF($E230=3,AV230,AU230),
IF($D230="Pénétro.",
IF($E230=4,AV230,AU230))))</f>
        <v>#N/A</v>
      </c>
      <c r="AX230" s="31">
        <v>0</v>
      </c>
      <c r="AY230" s="102" t="e">
        <f>IF(NDC!$H$10="Oui",(VLOOKUP($B$3,'Coeff EC7'!$T$39:$X$59,2,0)*AW230+VLOOKUP($B$3,'Coeff EC7'!$T$65:$X$85,2,0)*Model0.1T!AX230)/1.5,PI()*AU$12*$Q230*($B230-$B229)*0.15/10+AY229)</f>
        <v>#N/A</v>
      </c>
      <c r="AZ230" s="102" t="e">
        <f>(VLOOKUP($B$3,'Coeff EC7'!$T$39:$X$59,3,0)*AW230+VLOOKUP($B$3,'Coeff EC7'!$T$65:$X$85,3,0)*Model0.1T!AX230)/1.1</f>
        <v>#N/A</v>
      </c>
      <c r="BA230" s="102" t="e">
        <f t="shared" si="373"/>
        <v>#N/A</v>
      </c>
      <c r="BB230" s="102" t="e">
        <f t="shared" si="374"/>
        <v>#N/A</v>
      </c>
      <c r="BC230" s="414" t="e">
        <f>IF(AND(AY230&gt;NDC!$C$63,AZ230&gt;NDC!$C$65,BA230&gt;NDC!$D$73,BB230&gt;NDC!$D$74,$B230&gt;NDC!$H$22-0.1+MIN(3*BC$12,1.5)),0,1)</f>
        <v>#N/A</v>
      </c>
      <c r="BD230" s="86" t="b">
        <f t="shared" si="342"/>
        <v>0</v>
      </c>
      <c r="BE230" s="86">
        <f t="shared" si="375"/>
        <v>0.5</v>
      </c>
      <c r="BF230" s="86">
        <f t="shared" si="343"/>
        <v>0.5</v>
      </c>
      <c r="BG230" s="30" t="e">
        <f t="shared" ca="1" si="376"/>
        <v>#DIV/0!</v>
      </c>
      <c r="BH230" s="85" t="e">
        <f ca="1">IF(AN230&lt;=Hypothèses!$V$7,Hypothèses!$W$7,IF(AN230&lt;=Hypothèses!$V$8,Hypothèses!$W$8,IF(AN230&lt;=Hypothèses!$V$9,Hypothèses!$W$9,IF(AN230&lt;=Hypothèses!$V$10,Hypothèses!$W$10,IF(AN230&lt;=Hypothèses!$V$11,Hypothèses!$W$11,IF(AN230&lt;=Hypothèses!$V$12,Hypothèses!$W$12,IF(AN230&lt;=Hypothèses!$V$13,Hypothèses!$W$13,IF(AN230&lt;=Hypothèses!$V$14,Hypothèses!$W$14,IF(AN230&lt;=Hypothèses!$V$15,Hypothèses!$W$15,IF(AN230&lt;=Hypothèses!$V$16,Hypothèses!$W$16,IF(AN230&lt;=Hypothèses!$V$17,Hypothèses!$W$17,IF(AN230&lt;=Hypothèses!$V$18,Hypothèses!$W$18,""))))))))))))</f>
        <v>#DIV/0!</v>
      </c>
      <c r="BI230" s="87" t="e">
        <f t="shared" ca="1" si="418"/>
        <v>#DIV/0!</v>
      </c>
      <c r="BJ230" s="88" t="e">
        <f ca="1">IF(AN230&lt;=Hypothèses!$V$7,Hypothèses!$X$7,IF(AN230&lt;=Hypothèses!$V$8,Hypothèses!$X$8,IF(AN230&lt;=Hypothèses!$V$9,Hypothèses!$X$9,IF(AN230&lt;=Hypothèses!$V$10,Hypothèses!$X$10,IF(AN230&lt;=Hypothèses!$V$11,Hypothèses!$X$11,IF(AN230&lt;=Hypothèses!$V$12,Hypothèses!$X$12,IF(AN230&lt;=Hypothèses!$V$13,Hypothèses!$X$13,IF(AN230&lt;=Hypothèses!$V$14,Hypothèses!$X$14,IF(AN230&lt;=Hypothèses!$V$15,Hypothèses!$X$15,IF(AN230&lt;=Hypothèses!$V$16,Hypothèses!$X$16,IF(AN230&lt;=Hypothèses!$U$17,Hypothèses!$W$17,IF(AN230&lt;=Hypothèses!$U$18,Hypothèses!$W$18,""))))))))))))</f>
        <v>#DIV/0!</v>
      </c>
      <c r="BK230" s="95" t="e">
        <f t="shared" ca="1" si="377"/>
        <v>#DIV/0!</v>
      </c>
      <c r="BL230" s="101">
        <f t="shared" si="425"/>
        <v>0</v>
      </c>
      <c r="BM230" s="91">
        <f t="shared" si="344"/>
        <v>0</v>
      </c>
      <c r="BN230" s="30" t="e">
        <f t="shared" si="404"/>
        <v>#N/A</v>
      </c>
      <c r="BO230" s="30" t="e">
        <f t="shared" si="405"/>
        <v>#N/A</v>
      </c>
      <c r="BP230" s="31" t="e">
        <f>IF(OR(Hypothèses!$B$4=17,Hypothèses!$B$4=18,Hypothèses!$B$4=19,Hypothèses!$B$4=20),
IF($D230="Pressio.",
IF(OR($E230=3,$E230=1,$E230=4),BO230,BN230),
IF($D230="Pénétro.",
IF(OR($E230=3,$E230=1,$E230=4),BO230,BN230))),IF($D230="Pressio.",
IF($E230=3,BO230,BN230),
IF($D230="Pénétro.",
IF($E230=4,BO230,BN230))))</f>
        <v>#N/A</v>
      </c>
      <c r="BQ230" s="31">
        <v>0</v>
      </c>
      <c r="BR230" s="102" t="e">
        <f>IF(NDC!$H$10="Oui",(VLOOKUP($B$3,'Coeff EC7'!$T$39:$X$59,2,0)*BP230+VLOOKUP($B$3,'Coeff EC7'!$T$65:$X$85,2,0)*Model0.1T!BQ230)/1.5,PI()*BN$12*$Q230*($B230-$B229)*0.15/10+BR229)</f>
        <v>#N/A</v>
      </c>
      <c r="BS230" s="102" t="e">
        <f>(VLOOKUP($B$3,'Coeff EC7'!$T$39:$X$59,3,0)*BP230+VLOOKUP($B$3,'Coeff EC7'!$T$65:$X$85,3,0)*Model0.1T!BQ230)/1.1</f>
        <v>#N/A</v>
      </c>
      <c r="BT230" s="102" t="e">
        <f t="shared" si="378"/>
        <v>#N/A</v>
      </c>
      <c r="BU230" s="102" t="e">
        <f t="shared" si="379"/>
        <v>#N/A</v>
      </c>
      <c r="BV230" s="414" t="e">
        <f>IF(AND(BR230&gt;NDC!$C$63,BS230&gt;NDC!$C$65,BT230&gt;NDC!$D$73,BU230&gt;NDC!$D$74,$B230&gt;NDC!$H$22-0.1+MIN(3*BV$12,1.5)),0,1)</f>
        <v>#N/A</v>
      </c>
      <c r="BW230" s="86" t="b">
        <f t="shared" si="345"/>
        <v>0</v>
      </c>
      <c r="BX230" s="86">
        <f t="shared" si="346"/>
        <v>0.5</v>
      </c>
      <c r="BY230" s="86">
        <f t="shared" si="347"/>
        <v>0.5</v>
      </c>
      <c r="BZ230" s="30" t="e">
        <f t="shared" ca="1" si="380"/>
        <v>#DIV/0!</v>
      </c>
      <c r="CA230" s="85" t="e">
        <f ca="1">IF(BG230&lt;=Hypothèses!$V$7,Hypothèses!$W$7,IF(BG230&lt;=Hypothèses!$V$8,Hypothèses!$W$8,IF(BG230&lt;=Hypothèses!$V$9,Hypothèses!$W$9,IF(BG230&lt;=Hypothèses!$V$10,Hypothèses!$W$10,IF(BG230&lt;=Hypothèses!$V$11,Hypothèses!$W$11,IF(BG230&lt;=Hypothèses!$V$12,Hypothèses!$W$12,IF(BG230&lt;=Hypothèses!$V$13,Hypothèses!$W$13,IF(BG230&lt;=Hypothèses!$V$14,Hypothèses!$W$14,IF(BG230&lt;=Hypothèses!$V$15,Hypothèses!$W$15,IF(BG230&lt;=Hypothèses!$V$16,Hypothèses!$W$16,IF(BG230&lt;=Hypothèses!$V$17,Hypothèses!$W$17,IF(BG230&lt;=Hypothèses!$V$18,Hypothèses!$W$18,""))))))))))))</f>
        <v>#DIV/0!</v>
      </c>
      <c r="CB230" s="87" t="e">
        <f t="shared" ca="1" si="419"/>
        <v>#DIV/0!</v>
      </c>
      <c r="CC230" s="88" t="e">
        <f ca="1">IF(BG230&lt;=Hypothèses!$V$7,Hypothèses!$X$7,IF(BG230&lt;=Hypothèses!$V$8,Hypothèses!$X$8,IF(BG230&lt;=Hypothèses!$V$9,Hypothèses!$X$9,IF(BG230&lt;=Hypothèses!$V$10,Hypothèses!$X$10,IF(BG230&lt;=Hypothèses!$V$11,Hypothèses!$X$11,IF(BG230&lt;=Hypothèses!$V$12,Hypothèses!$X$12,IF(BG230&lt;=Hypothèses!$V$13,Hypothèses!$X$13,IF(BG230&lt;=Hypothèses!$V$14,Hypothèses!$X$14,IF(BG230&lt;=Hypothèses!$V$15,Hypothèses!$X$15,IF(BG230&lt;=Hypothèses!$V$16,Hypothèses!$X$16,IF(BG230&lt;=Hypothèses!$U$17,Hypothèses!$W$17,IF(BG230&lt;=Hypothèses!$U$18,Hypothèses!$W$18,""))))))))))))</f>
        <v>#DIV/0!</v>
      </c>
      <c r="CD230" s="95" t="e">
        <f t="shared" ca="1" si="381"/>
        <v>#DIV/0!</v>
      </c>
      <c r="CE230" s="101">
        <f t="shared" si="426"/>
        <v>0</v>
      </c>
      <c r="CF230" s="91">
        <f t="shared" si="348"/>
        <v>0</v>
      </c>
      <c r="CG230" s="30" t="e">
        <f t="shared" si="406"/>
        <v>#N/A</v>
      </c>
      <c r="CH230" s="30" t="e">
        <f t="shared" si="407"/>
        <v>#N/A</v>
      </c>
      <c r="CI230" s="31" t="e">
        <f>IF(OR(Hypothèses!$B$4=17,Hypothèses!$B$4=18,Hypothèses!$B$4=19,Hypothèses!$B$4=20),
IF($D230="Pressio.",
IF(OR($E230=3,$E230=1,$E230=4),CH230,CG230),
IF($D230="Pénétro.",
IF(OR($E230=3,$E230=1,$E230=4),CH230,CG230))),IF($D230="Pressio.",
IF($E230=3,CH230,CG230),
IF($D230="Pénétro.",
IF($E230=4,CH230,CG230))))</f>
        <v>#N/A</v>
      </c>
      <c r="CJ230" s="31">
        <v>0</v>
      </c>
      <c r="CK230" s="102" t="e">
        <f>IF(NDC!$H$10="Oui",(VLOOKUP($B$3,'Coeff EC7'!$T$39:$X$59,2,0)*CI230+VLOOKUP($B$3,'Coeff EC7'!$T$65:$X$85,2,0)*Model0.1T!CJ230)/1.5,PI()*CG$12*$Q230*($B230-$B229)*0.15/10+CK229)</f>
        <v>#N/A</v>
      </c>
      <c r="CL230" s="102" t="e">
        <f>(VLOOKUP($B$3,'Coeff EC7'!$T$39:$X$59,3,0)*CI230+VLOOKUP($B$3,'Coeff EC7'!$T$65:$X$85,3,0)*Model0.1T!CJ230)/1.1</f>
        <v>#N/A</v>
      </c>
      <c r="CM230" s="102" t="e">
        <f t="shared" si="382"/>
        <v>#N/A</v>
      </c>
      <c r="CN230" s="102" t="e">
        <f t="shared" si="383"/>
        <v>#N/A</v>
      </c>
      <c r="CO230" s="414" t="e">
        <f>IF(AND(CK230&gt;NDC!$C$63,CL230&gt;NDC!$C$65,CM230&gt;NDC!$D$73,CN230&gt;NDC!$D$74,$B230&gt;NDC!$H$22-0.1+MIN(3*CO$12,1.5)),0,1)</f>
        <v>#N/A</v>
      </c>
      <c r="CP230" s="86" t="b">
        <f t="shared" si="349"/>
        <v>0</v>
      </c>
      <c r="CQ230" s="86">
        <f t="shared" si="350"/>
        <v>0.5</v>
      </c>
      <c r="CR230" s="86">
        <f t="shared" si="351"/>
        <v>0.5</v>
      </c>
      <c r="CS230" s="30" t="e">
        <f t="shared" ca="1" si="384"/>
        <v>#DIV/0!</v>
      </c>
      <c r="CT230" s="85" t="e">
        <f ca="1">IF(BZ230&lt;=Hypothèses!$V$7,Hypothèses!$W$7,IF(BZ230&lt;=Hypothèses!$V$8,Hypothèses!$W$8,IF(BZ230&lt;=Hypothèses!$V$9,Hypothèses!$W$9,IF(BZ230&lt;=Hypothèses!$V$10,Hypothèses!$W$10,IF(BZ230&lt;=Hypothèses!$V$11,Hypothèses!$W$11,IF(BZ230&lt;=Hypothèses!$V$12,Hypothèses!$W$12,IF(BZ230&lt;=Hypothèses!$V$13,Hypothèses!$W$13,IF(BZ230&lt;=Hypothèses!$V$14,Hypothèses!$W$14,IF(BZ230&lt;=Hypothèses!$V$15,Hypothèses!$W$15,IF(BZ230&lt;=Hypothèses!$V$16,Hypothèses!$W$16,IF(BZ230&lt;=Hypothèses!$V$17,Hypothèses!$W$17,IF(BZ230&lt;=Hypothèses!$V$18,Hypothèses!$W$18,""))))))))))))</f>
        <v>#DIV/0!</v>
      </c>
      <c r="CU230" s="87" t="e">
        <f t="shared" ca="1" si="420"/>
        <v>#DIV/0!</v>
      </c>
      <c r="CV230" s="88" t="e">
        <f ca="1">IF(BZ230&lt;=Hypothèses!$V$7,Hypothèses!$X$7,IF(BZ230&lt;=Hypothèses!$V$8,Hypothèses!$X$8,IF(BZ230&lt;=Hypothèses!$V$9,Hypothèses!$X$9,IF(BZ230&lt;=Hypothèses!$V$10,Hypothèses!$X$10,IF(BZ230&lt;=Hypothèses!$V$11,Hypothèses!$X$11,IF(BZ230&lt;=Hypothèses!$V$12,Hypothèses!$X$12,IF(BZ230&lt;=Hypothèses!$V$13,Hypothèses!$X$13,IF(BZ230&lt;=Hypothèses!$V$14,Hypothèses!$X$14,IF(BZ230&lt;=Hypothèses!$V$15,Hypothèses!$X$15,IF(BZ230&lt;=Hypothèses!$V$16,Hypothèses!$X$16,IF(BZ230&lt;=Hypothèses!$U$17,Hypothèses!$W$17,IF(BZ230&lt;=Hypothèses!$U$18,Hypothèses!$W$18,""))))))))))))</f>
        <v>#DIV/0!</v>
      </c>
      <c r="CW230" s="95" t="e">
        <f t="shared" ca="1" si="385"/>
        <v>#DIV/0!</v>
      </c>
      <c r="CX230" s="101">
        <f t="shared" si="427"/>
        <v>0</v>
      </c>
      <c r="CY230" s="91">
        <f t="shared" si="352"/>
        <v>0</v>
      </c>
      <c r="CZ230" s="30" t="e">
        <f t="shared" si="408"/>
        <v>#N/A</v>
      </c>
      <c r="DA230" s="30" t="e">
        <f t="shared" si="409"/>
        <v>#N/A</v>
      </c>
      <c r="DB230" s="31" t="e">
        <f>IF(OR(Hypothèses!$B$4=17,Hypothèses!$B$4=18,Hypothèses!$B$4=19,Hypothèses!$B$4=20),
IF($D230="Pressio.",
IF(OR($E230=3,$E230=1,$E230=4),DA230,CZ230),
IF($D230="Pénétro.",
IF(OR($E230=3,$E230=1,$E230=4),DA230,CZ230))),IF($D230="Pressio.",
IF($E230=3,DA230,CZ230),
IF($D230="Pénétro.",
IF($E230=4,DA230,CZ230))))</f>
        <v>#N/A</v>
      </c>
      <c r="DC230" s="31">
        <v>0</v>
      </c>
      <c r="DD230" s="102" t="e">
        <f>IF(NDC!$H$10="Oui",(VLOOKUP($B$3,'Coeff EC7'!$T$39:$X$59,2,0)*DB230+VLOOKUP($B$3,'Coeff EC7'!$T$65:$X$85,2,0)*Model0.1T!DC230)/1.5,PI()*CZ$12*$Q230*($B230-$B229)*0.15/10+DD229)</f>
        <v>#N/A</v>
      </c>
      <c r="DE230" s="102" t="e">
        <f>(VLOOKUP($B$3,'Coeff EC7'!$T$39:$X$59,3,0)*DB230+VLOOKUP($B$3,'Coeff EC7'!$T$65:$X$85,3,0)*Model0.1T!DC230)/1.1</f>
        <v>#N/A</v>
      </c>
      <c r="DF230" s="102" t="e">
        <f t="shared" si="386"/>
        <v>#N/A</v>
      </c>
      <c r="DG230" s="102" t="e">
        <f t="shared" si="387"/>
        <v>#N/A</v>
      </c>
      <c r="DH230" s="414" t="e">
        <f>IF(AND(DD230&gt;NDC!$C$63,DE230&gt;NDC!$C$65,DF230&gt;NDC!$D$73,DG230&gt;NDC!$D$74,$B230&gt;NDC!$H$22-0.1+MIN(3*DH$12,1.5)),0,1)</f>
        <v>#N/A</v>
      </c>
      <c r="DI230" s="86" t="b">
        <f t="shared" si="353"/>
        <v>0</v>
      </c>
      <c r="DJ230" s="86">
        <f t="shared" si="354"/>
        <v>0.5</v>
      </c>
      <c r="DK230" s="86">
        <f t="shared" si="355"/>
        <v>0.5</v>
      </c>
      <c r="DL230" s="30" t="e">
        <f t="shared" ca="1" si="388"/>
        <v>#DIV/0!</v>
      </c>
      <c r="DM230" s="85" t="e">
        <f ca="1">IF(CS230&lt;=Hypothèses!$V$7,Hypothèses!$W$7,IF(CS230&lt;=Hypothèses!$V$8,Hypothèses!$W$8,IF(CS230&lt;=Hypothèses!$V$9,Hypothèses!$W$9,IF(CS230&lt;=Hypothèses!$V$10,Hypothèses!$W$10,IF(CS230&lt;=Hypothèses!$V$11,Hypothèses!$W$11,IF(CS230&lt;=Hypothèses!$V$12,Hypothèses!$W$12,IF(CS230&lt;=Hypothèses!$V$13,Hypothèses!$W$13,IF(CS230&lt;=Hypothèses!$V$14,Hypothèses!$W$14,IF(CS230&lt;=Hypothèses!$V$15,Hypothèses!$W$15,IF(CS230&lt;=Hypothèses!$V$16,Hypothèses!$W$16,IF(CS230&lt;=Hypothèses!$V$17,Hypothèses!$W$17,IF(CS230&lt;=Hypothèses!$V$18,Hypothèses!$W$18,""))))))))))))</f>
        <v>#DIV/0!</v>
      </c>
      <c r="DN230" s="87" t="e">
        <f t="shared" ca="1" si="421"/>
        <v>#DIV/0!</v>
      </c>
      <c r="DO230" s="88" t="e">
        <f ca="1">IF(CS230&lt;=Hypothèses!$V$7,Hypothèses!$X$7,IF(CS230&lt;=Hypothèses!$V$8,Hypothèses!$X$8,IF(CS230&lt;=Hypothèses!$V$9,Hypothèses!$X$9,IF(CS230&lt;=Hypothèses!$V$10,Hypothèses!$X$10,IF(CS230&lt;=Hypothèses!$V$11,Hypothèses!$X$11,IF(CS230&lt;=Hypothèses!$V$12,Hypothèses!$X$12,IF(CS230&lt;=Hypothèses!$V$13,Hypothèses!$X$13,IF(CS230&lt;=Hypothèses!$V$14,Hypothèses!$X$14,IF(CS230&lt;=Hypothèses!$V$15,Hypothèses!$X$15,IF(CS230&lt;=Hypothèses!$V$16,Hypothèses!$X$16,IF(CS230&lt;=Hypothèses!$U$17,Hypothèses!$W$17,IF(CS230&lt;=Hypothèses!$U$18,Hypothèses!$W$18,""))))))))))))</f>
        <v>#DIV/0!</v>
      </c>
      <c r="DP230" s="95" t="e">
        <f t="shared" ca="1" si="389"/>
        <v>#DIV/0!</v>
      </c>
      <c r="DQ230" s="101">
        <f t="shared" si="428"/>
        <v>0</v>
      </c>
      <c r="DR230" s="91">
        <f t="shared" si="356"/>
        <v>0</v>
      </c>
      <c r="DS230" s="30" t="e">
        <f t="shared" si="410"/>
        <v>#N/A</v>
      </c>
      <c r="DT230" s="30" t="e">
        <f t="shared" si="411"/>
        <v>#N/A</v>
      </c>
      <c r="DU230" s="31" t="e">
        <f>IF(OR(Hypothèses!$B$4=17,Hypothèses!$B$4=18,Hypothèses!$B$4=19,Hypothèses!$B$4=20),
IF($D230="Pressio.",
IF(OR($E230=3,$E230=1,$E230=4),DT230,DS230),
IF($D230="Pénétro.",
IF(OR($E230=3,$E230=1,$E230=4),DT230,DS230))),IF($D230="Pressio.",
IF($E230=3,DT230,DS230),
IF($D230="Pénétro.",
IF($E230=4,DT230,DS230))))</f>
        <v>#N/A</v>
      </c>
      <c r="DV230" s="31">
        <v>0</v>
      </c>
      <c r="DW230" s="102" t="e">
        <f>IF(NDC!$H$10="Oui",(VLOOKUP($B$3,'Coeff EC7'!$T$39:$X$59,2,0)*DU230+VLOOKUP($B$3,'Coeff EC7'!$T$65:$X$85,2,0)*Model0.1T!DV230)/1.5,PI()*DS$12*$Q230*($B230-$B229)*0.15/10+DW229)</f>
        <v>#N/A</v>
      </c>
      <c r="DX230" s="102" t="e">
        <f>(VLOOKUP($B$3,'Coeff EC7'!$T$39:$X$59,3,0)*DU230+VLOOKUP($B$3,'Coeff EC7'!$T$65:$X$85,3,0)*Model0.1T!DV230)/1.1</f>
        <v>#N/A</v>
      </c>
      <c r="DY230" s="102" t="e">
        <f t="shared" si="390"/>
        <v>#N/A</v>
      </c>
      <c r="DZ230" s="102" t="e">
        <f t="shared" si="391"/>
        <v>#N/A</v>
      </c>
      <c r="EA230" s="414" t="e">
        <f>IF(AND(DW230&gt;NDC!$C$63,DX230&gt;NDC!$C$65,DY230&gt;NDC!$D$73,DZ230&gt;NDC!$D$74,$B230&gt;NDC!$H$22-0.1+MIN(3*EA$12,1.5)),0,1)</f>
        <v>#N/A</v>
      </c>
      <c r="EB230" s="86" t="b">
        <f t="shared" si="357"/>
        <v>0</v>
      </c>
      <c r="EC230" s="418">
        <f t="shared" si="358"/>
        <v>0.51</v>
      </c>
      <c r="ED230" s="86">
        <f t="shared" si="359"/>
        <v>0.51</v>
      </c>
      <c r="EE230" s="30" t="e">
        <f t="shared" ca="1" si="392"/>
        <v>#DIV/0!</v>
      </c>
      <c r="EF230" s="85" t="e">
        <f ca="1">IF(DL230&lt;=Hypothèses!$V$7,Hypothèses!$W$7,IF(DL230&lt;=Hypothèses!$V$8,Hypothèses!$W$8,IF(DL230&lt;=Hypothèses!$V$9,Hypothèses!$W$9,IF(DL230&lt;=Hypothèses!$V$10,Hypothèses!$W$10,IF(DL230&lt;=Hypothèses!$V$11,Hypothèses!$W$11,IF(DL230&lt;=Hypothèses!$V$12,Hypothèses!$W$12,IF(DL230&lt;=Hypothèses!$V$13,Hypothèses!$W$13,IF(DL230&lt;=Hypothèses!$V$14,Hypothèses!$W$14,IF(DL230&lt;=Hypothèses!$V$15,Hypothèses!$W$15,IF(DL230&lt;=Hypothèses!$V$16,Hypothèses!$W$16,IF(DL230&lt;=Hypothèses!$V$17,Hypothèses!$W$17,IF(DL230&lt;=Hypothèses!$V$18,Hypothèses!$W$18,""))))))))))))</f>
        <v>#DIV/0!</v>
      </c>
      <c r="EG230" s="87" t="e">
        <f t="shared" ca="1" si="422"/>
        <v>#DIV/0!</v>
      </c>
      <c r="EH230" s="88" t="e">
        <f ca="1">IF(DL230&lt;=Hypothèses!$V$7,Hypothèses!$X$7,IF(DL230&lt;=Hypothèses!$V$8,Hypothèses!$X$8,IF(DL230&lt;=Hypothèses!$V$9,Hypothèses!$X$9,IF(DL230&lt;=Hypothèses!$V$10,Hypothèses!$X$10,IF(DL230&lt;=Hypothèses!$V$11,Hypothèses!$X$11,IF(DL230&lt;=Hypothèses!$V$12,Hypothèses!$X$12,IF(DL230&lt;=Hypothèses!$V$13,Hypothèses!$X$13,IF(DL230&lt;=Hypothèses!$V$14,Hypothèses!$X$14,IF(DL230&lt;=Hypothèses!$V$15,Hypothèses!$X$15,IF(DL230&lt;=Hypothèses!$V$16,Hypothèses!$X$16,IF(DL230&lt;=Hypothèses!$U$17,Hypothèses!$W$17,IF(DL230&lt;=Hypothèses!$U$18,Hypothèses!$W$18,""))))))))))))</f>
        <v>#DIV/0!</v>
      </c>
      <c r="EI230" s="95" t="e">
        <f t="shared" ca="1" si="393"/>
        <v>#DIV/0!</v>
      </c>
      <c r="EJ230" s="101">
        <f t="shared" si="429"/>
        <v>0</v>
      </c>
      <c r="EK230" s="91">
        <f t="shared" si="360"/>
        <v>0</v>
      </c>
      <c r="EL230" s="30" t="e">
        <f t="shared" si="412"/>
        <v>#N/A</v>
      </c>
      <c r="EM230" s="30" t="e">
        <f t="shared" si="413"/>
        <v>#N/A</v>
      </c>
      <c r="EN230" s="31" t="e">
        <f>IF(OR(Hypothèses!$B$4=17,Hypothèses!$B$4=18,Hypothèses!$B$4=19,Hypothèses!$B$4=20),
IF($D230="Pressio.",
IF(OR($E230=3,$E230=1,$E230=4),EM230,EL230),
IF($D230="Pénétro.",
IF(OR($E230=3,$E230=1,$E230=4),EM230,EL230))),IF($D230="Pressio.",
IF($E230=3,EM230,EL230),
IF($D230="Pénétro.",
IF($E230=4,EM230,EL230))))</f>
        <v>#N/A</v>
      </c>
      <c r="EO230" s="31">
        <v>0</v>
      </c>
      <c r="EP230" s="102" t="e">
        <f>IF(NDC!$H$10="Oui",(VLOOKUP($B$3,'Coeff EC7'!$T$39:$X$59,2,0)*EN230+VLOOKUP($B$3,'Coeff EC7'!$T$65:$X$85,2,0)*Model0.1T!EO230)/1.5,PI()*EL$12*$Q230*($B230-$B229)*0.15/10+EP229)</f>
        <v>#N/A</v>
      </c>
      <c r="EQ230" s="102" t="e">
        <f>(VLOOKUP($B$3,'Coeff EC7'!$T$39:$X$59,3,0)*EN230+VLOOKUP($B$3,'Coeff EC7'!$T$65:$X$85,3,0)*Model0.1T!EO230)/1.1</f>
        <v>#N/A</v>
      </c>
      <c r="ER230" s="102" t="e">
        <f t="shared" si="394"/>
        <v>#N/A</v>
      </c>
      <c r="ES230" s="102" t="e">
        <f t="shared" si="395"/>
        <v>#N/A</v>
      </c>
      <c r="ET230" s="414" t="e">
        <f>IF(AND(EP230&gt;NDC!$C$63,EQ230&gt;NDC!$C$65,ER230&gt;NDC!$D$73,ES230&gt;NDC!$D$74,$B230&gt;NDC!$H$22-0.1+MIN(3*ET$12,1.5)),0,1)</f>
        <v>#N/A</v>
      </c>
      <c r="EU230" s="86" t="b">
        <f t="shared" si="361"/>
        <v>0</v>
      </c>
      <c r="EV230" s="86">
        <f t="shared" si="362"/>
        <v>0.61</v>
      </c>
      <c r="EW230" s="86">
        <f t="shared" si="363"/>
        <v>0.61</v>
      </c>
      <c r="EX230" s="30" t="e">
        <f t="shared" ca="1" si="396"/>
        <v>#DIV/0!</v>
      </c>
      <c r="EY230" s="85" t="e">
        <f ca="1">IF(EE230&lt;=Hypothèses!$V$7,Hypothèses!$W$7,IF(EE230&lt;=Hypothèses!$V$8,Hypothèses!$W$8,IF(EE230&lt;=Hypothèses!$V$9,Hypothèses!$W$9,IF(EE230&lt;=Hypothèses!$V$10,Hypothèses!$W$10,IF(EE230&lt;=Hypothèses!$V$11,Hypothèses!$W$11,IF(EE230&lt;=Hypothèses!$V$12,Hypothèses!$W$12,IF(EE230&lt;=Hypothèses!$V$13,Hypothèses!$W$13,IF(EE230&lt;=Hypothèses!$V$14,Hypothèses!$W$14,IF(EE230&lt;=Hypothèses!$V$15,Hypothèses!$W$15,IF(EE230&lt;=Hypothèses!$V$16,Hypothèses!$W$16,IF(EE230&lt;=Hypothèses!$V$17,Hypothèses!$W$17,IF(EE230&lt;=Hypothèses!$V$18,Hypothèses!$W$18,""))))))))))))</f>
        <v>#DIV/0!</v>
      </c>
      <c r="EZ230" s="87" t="e">
        <f t="shared" ca="1" si="423"/>
        <v>#DIV/0!</v>
      </c>
      <c r="FA230" s="88" t="e">
        <f ca="1">IF(EE230&lt;=Hypothèses!$V$7,Hypothèses!$X$7,IF(EE230&lt;=Hypothèses!$V$8,Hypothèses!$X$8,IF(EE230&lt;=Hypothèses!$V$9,Hypothèses!$X$9,IF(EE230&lt;=Hypothèses!$V$10,Hypothèses!$X$10,IF(EE230&lt;=Hypothèses!$V$11,Hypothèses!$X$11,IF(EE230&lt;=Hypothèses!$V$12,Hypothèses!$X$12,IF(EE230&lt;=Hypothèses!$V$13,Hypothèses!$X$13,IF(EE230&lt;=Hypothèses!$V$14,Hypothèses!$X$14,IF(EE230&lt;=Hypothèses!$V$15,Hypothèses!$X$15,IF(EE230&lt;=Hypothèses!$V$16,Hypothèses!$X$16,IF(EE230&lt;=Hypothèses!$U$17,Hypothèses!$W$17,IF(EE230&lt;=Hypothèses!$U$18,Hypothèses!$W$18,""))))))))))))</f>
        <v>#DIV/0!</v>
      </c>
      <c r="FB230" s="95" t="e">
        <f t="shared" ca="1" si="397"/>
        <v>#DIV/0!</v>
      </c>
      <c r="FC230" s="101">
        <f t="shared" si="430"/>
        <v>0</v>
      </c>
      <c r="FD230" s="91">
        <f t="shared" si="364"/>
        <v>0</v>
      </c>
      <c r="FE230" s="30" t="e">
        <f t="shared" si="414"/>
        <v>#N/A</v>
      </c>
      <c r="FF230" s="30" t="e">
        <f t="shared" si="415"/>
        <v>#N/A</v>
      </c>
      <c r="FG230" s="31" t="e">
        <f>IF(OR(Hypothèses!$B$4=17,Hypothèses!$B$4=18,Hypothèses!$B$4=19,Hypothèses!$B$4=20),
IF($D230="Pressio.",
IF(OR($E230=3,$E230=1,$E230=4),FF230,FE230),
IF($D230="Pénétro.",
IF(OR($E230=3,$E230=1,$E230=4),FF230,FE230))),IF($D230="Pressio.",
IF($E230=3,FF230,FE230),
IF($D230="Pénétro.",
IF($E230=4,FF230,FE230))))</f>
        <v>#N/A</v>
      </c>
      <c r="FH230" s="31">
        <v>0</v>
      </c>
      <c r="FI230" s="102" t="e">
        <f>IF(NDC!$H$10="Oui",(VLOOKUP($B$3,'Coeff EC7'!$T$39:$X$59,2,0)*FG230+VLOOKUP($B$3,'Coeff EC7'!$T$65:$X$85,2,0)*Model0.1T!FH230)/1.5,PI()*FE$12*$Q230*($B230-$B229)*0.15/10+FI229)</f>
        <v>#N/A</v>
      </c>
      <c r="FJ230" s="102" t="e">
        <f>(VLOOKUP($B$3,'Coeff EC7'!$T$39:$X$59,3,0)*FG230+VLOOKUP($B$3,'Coeff EC7'!$T$65:$X$85,3,0)*Model0.1T!FH230)/1.1</f>
        <v>#N/A</v>
      </c>
      <c r="FK230" s="102" t="e">
        <f t="shared" si="398"/>
        <v>#N/A</v>
      </c>
      <c r="FL230" s="102" t="e">
        <f t="shared" si="399"/>
        <v>#N/A</v>
      </c>
      <c r="FM230" s="414" t="e">
        <f>IF(AND(FI230&gt;NDC!$C$63,FJ230&gt;NDC!$C$65,FK230&gt;NDC!$D$73,FL230&gt;NDC!$D$74,$B230&gt;NDC!$H$22-0.1+MIN(3*FM$12,1.5)),0,1)</f>
        <v>#N/A</v>
      </c>
    </row>
    <row r="231" spans="1:169">
      <c r="A231" s="96">
        <f t="shared" si="365"/>
        <v>78.200000000001239</v>
      </c>
      <c r="B231" s="97">
        <v>21.8</v>
      </c>
      <c r="C231" s="81">
        <f>IF(B231&lt;=Hypothèses!$C$7,Hypothèses!$A$7,IF(B231&lt;=Hypothèses!$C$8,Hypothèses!$A$8,IF(B231&lt;=Hypothèses!$C$9,Hypothèses!$A$9,IF(B231&lt;=Hypothèses!$C$10,Hypothèses!$A$10,IF(B231&lt;=Hypothèses!$C$11,Hypothèses!$A$11,IF(B231&lt;=Hypothèses!$C$12,Hypothèses!$A$12,IF(B231&lt;=Hypothèses!$C$13,Hypothèses!$A$13,IF(B231&lt;=Hypothèses!$C$14,Hypothèses!$A$14,IF(B231&lt;=Hypothèses!$C$15,Hypothèses!$A$15,IF(B231&lt;=Hypothèses!$C$16,Hypothèses!$A$16,IF(B231&lt;=Hypothèses!$C$17,Hypothèses!$A$17,IF(B231&lt;=Hypothèses!$C$18,Hypothèses!$A$18,C230))))))))))))</f>
        <v>11</v>
      </c>
      <c r="D231" s="82" t="str">
        <f>IF(B231&lt;=Hypothèses!$C$7,Hypothèses!$R$7,IF(B231&lt;=Hypothèses!$C$8,Hypothèses!$R$8,IF(B231&lt;=Hypothèses!$C$9,Hypothèses!$R$9,IF(B231&lt;=Hypothèses!$C$10,Hypothèses!$R$10,IF(B231&lt;=Hypothèses!$C$11,Hypothèses!$R$11,IF(B231&lt;=Hypothèses!$C$12,Hypothèses!$R$12,IF(B231&lt;=Hypothèses!$C$13,Hypothèses!$R$13,IF(B231&lt;=Hypothèses!$C$14,Hypothèses!$R$14,IF(B231&lt;=Hypothèses!$C$15,Hypothèses!$R$15,IF(B231&lt;=Hypothèses!$C$16,Hypothèses!$R$16,IF(B231&lt;=Hypothèses!$C$17,Hypothèses!$R$17,IF(B231&lt;=Hypothèses!$C$18,Hypothèses!$R$18,D230))))))))))))</f>
        <v>Pressio.</v>
      </c>
      <c r="E231" s="82" t="e">
        <f>IF(B231&lt;=Hypothèses!$C$7,Hypothèses!$G$7,IF(B231&lt;=Hypothèses!$C$8,Hypothèses!$G$8,IF(B231&lt;=Hypothèses!$C$9,Hypothèses!$G$9,IF(B231&lt;=Hypothèses!$C$10,Hypothèses!$G$10,IF(B231&lt;=Hypothèses!$C$11,Hypothèses!$G$11,IF(B231&lt;=Hypothèses!$C$12,Hypothèses!$G$12,IF(B231&lt;=Hypothèses!$C$13,Hypothèses!$G$13,IF(B231&lt;=Hypothèses!$C$14,Hypothèses!$G$14,IF(B231&lt;=Hypothèses!$C$15,Hypothèses!$G$15,IF(B231&lt;=Hypothèses!$C$16,Hypothèses!$G$16,IF(B231&lt;=Hypothèses!$C$17,Hypothèses!$G$17,IF(B231&lt;=Hypothèses!$C$18,Hypothèses!$G$18,E230))))))))))))</f>
        <v>#N/A</v>
      </c>
      <c r="F231" s="82" t="str">
        <f>IF(B231&lt;=Hypothèses!$C$7,Hypothèses!$F$7,IF(B231&lt;=Hypothèses!$C$8,Hypothèses!$F$8,IF(B231&lt;=Hypothèses!$C$9,Hypothèses!$F$9,IF(B231&lt;=Hypothèses!$C$10,Hypothèses!$F$10,IF(B231&lt;=Hypothèses!$C$11,Hypothèses!$F$11,IF(B231&lt;=Hypothèses!$C$12,Hypothèses!$F$12,IF(B231&lt;=Hypothèses!$C$13,Hypothèses!$F$13,IF(B231&lt;=Hypothèses!$C$14,Hypothèses!$F$14,IF(B231&lt;=Hypothèses!$C$15,Hypothèses!$F$15,IF(B231&lt;=Hypothèses!$C$16,Hypothèses!$F$16,IF(B231&lt;=Hypothèses!$C$17,Hypothèses!$F$17,IF(B231&lt;=Hypothèses!$C$18,Hypothèses!$F$18,F230))))))))))))</f>
        <v/>
      </c>
      <c r="G231" s="91">
        <f t="array" ref="G231">INDEX('Coeff EC7'!$U$7:$X$27,
MATCH(Model0.1T!$B$3,'Coeff EC7'!$T$7:$T$27,0),
MATCH(Model0.1T!$D231&amp;Model0.1T!$B$4,
'Coeff EC7'!$U$6:$X$6&amp;
'Coeff EC7'!$U$5:$X$5,0))</f>
        <v>1.4</v>
      </c>
      <c r="H231" s="91">
        <f t="array" ref="H231">INDEX('Coeff EC7'!$Y$7:$AB$27,
MATCH(Model0.1T!$B$3,'Coeff EC7'!$T$7:$T$27,0),
MATCH(Model0.1T!$D231&amp;Model0.1T!$B$4,
'Coeff EC7'!$Y$6:$AB$6&amp;
'Coeff EC7'!$Y$5:$AB$5,0))</f>
        <v>1.7</v>
      </c>
      <c r="I231" s="83">
        <v>0</v>
      </c>
      <c r="J231" s="91" t="e">
        <f t="array" ref="J231">INDEX('Coeff EC7'!$D$33:$Q$33,1,MATCH(D231&amp;E231,'Coeff EC7'!$D$31:$Q$31&amp;'Coeff EC7'!$D$32:$Q$32,0))</f>
        <v>#N/A</v>
      </c>
      <c r="K231" s="91" t="e">
        <f t="array" ref="K231">INDEX('Coeff EC7'!$D$34:$Q$34,1,MATCH(D231&amp;E231,'Coeff EC7'!$D$31:$Q$31&amp;'Coeff EC7'!$D$32:$Q$32,0))</f>
        <v>#N/A</v>
      </c>
      <c r="L231" s="91" t="e">
        <f t="array" ref="L231">INDEX('Coeff EC7'!$D$35:$Q$35,1,MATCH(D231&amp;E231,'Coeff EC7'!$D$31:$Q$31&amp;'Coeff EC7'!$D$32:$Q$32,0))</f>
        <v>#N/A</v>
      </c>
      <c r="M231" s="98" t="e">
        <f t="shared" si="331"/>
        <v>#N/A</v>
      </c>
      <c r="N231" s="99" t="e">
        <f t="array" ref="N231">INDEX('Coeff EC7'!$D$7:$Q$27,MATCH($B$3,'Coeff EC7'!$C$7:$C$27,0),MATCH(D231&amp;E231,'Coeff EC7'!$D$5:$Q$5&amp;'Coeff EC7'!$D$6:$Q$6,0))</f>
        <v>#N/A</v>
      </c>
      <c r="O231" s="99" t="e">
        <f t="array" ref="O231">INDEX('Coeff EC7'!$D$41:$Q$61,MATCH($B$3,'Coeff EC7'!$C$41:$C$61,0),MATCH(D231&amp;E231,'Coeff EC7'!$D$39:$Q$39&amp;'Coeff EC7'!$D$40:$Q$40,0))</f>
        <v>#N/A</v>
      </c>
      <c r="P231" s="30" t="e">
        <f t="shared" si="366"/>
        <v>#N/A</v>
      </c>
      <c r="Q231" s="100" t="e">
        <f t="shared" si="333"/>
        <v>#N/A</v>
      </c>
      <c r="R231" s="86" t="b">
        <f t="shared" si="334"/>
        <v>0</v>
      </c>
      <c r="S231" s="86">
        <f t="shared" si="332"/>
        <v>0.5</v>
      </c>
      <c r="T231" s="86">
        <f t="shared" si="335"/>
        <v>0.5</v>
      </c>
      <c r="U231" s="30" t="e">
        <f t="shared" ca="1" si="367"/>
        <v>#DIV/0!</v>
      </c>
      <c r="V231" s="85" t="str">
        <f>IF(B231&lt;=Hypothèses!$V$7,Hypothèses!$W$7,IF(B231&lt;=Hypothèses!$V$8,Hypothèses!$W$8,IF(B231&lt;=Hypothèses!$V$9,Hypothèses!$W$9,IF(B231&lt;=Hypothèses!$V$10,Hypothèses!$W$10,IF(B231&lt;=Hypothèses!$V$11,Hypothèses!$W$11,IF(B231&lt;=Hypothèses!$V$12,Hypothèses!$W$12,IF(B231&lt;=Hypothèses!$V$13,Hypothèses!$W$13,IF(B231&lt;=Hypothèses!$V$14,Hypothèses!$W$14,IF(B231&lt;=Hypothèses!$V$15,Hypothèses!$W$15,IF(B231&lt;=Hypothèses!$V$16,Hypothèses!$W$16,IF(B231&lt;=Hypothèses!$V$17,Hypothèses!$W$17,IF(B231&lt;=Hypothèses!$V$18,Hypothèses!$W$18,""))))))))))))</f>
        <v/>
      </c>
      <c r="W231" s="87" t="e">
        <f t="shared" ca="1" si="416"/>
        <v>#DIV/0!</v>
      </c>
      <c r="X231" s="88" t="str">
        <f>IF(B231&lt;=Hypothèses!$V$7,Hypothèses!$X$7,IF(B231&lt;=Hypothèses!$V$8,Hypothèses!$X$8,IF(B231&lt;=Hypothèses!$V$9,Hypothèses!$X$9,IF(B231&lt;=Hypothèses!$V$10,Hypothèses!$X$10,IF(B231&lt;=Hypothèses!$V$11,Hypothèses!$X$11,IF(B231&lt;=Hypothèses!$V$12,Hypothèses!$X$12,IF(B231&lt;=Hypothèses!$V$13,Hypothèses!$X$13,IF(B231&lt;=Hypothèses!$V$14,Hypothèses!$X$14,IF(B231&lt;=Hypothèses!$V$15,Hypothèses!$X$15,IF(B231&lt;=Hypothèses!$V$16,Hypothèses!$X$16,IF(B231&lt;=Hypothèses!$U$17,Hypothèses!$W$17,IF(B231&lt;=Hypothèses!$U$18,Hypothèses!$W$18,""))))))))))))</f>
        <v/>
      </c>
      <c r="Y231" s="95" t="e">
        <f t="shared" ca="1" si="336"/>
        <v>#DIV/0!</v>
      </c>
      <c r="Z231" s="101">
        <f t="shared" si="337"/>
        <v>0</v>
      </c>
      <c r="AA231" s="91">
        <f t="shared" si="338"/>
        <v>0</v>
      </c>
      <c r="AB231" s="30" t="e">
        <f t="shared" si="400"/>
        <v>#N/A</v>
      </c>
      <c r="AC231" s="30" t="e">
        <f t="shared" si="401"/>
        <v>#N/A</v>
      </c>
      <c r="AD231" s="31" t="e">
        <f>IF(OR(Hypothèses!$B$4=17,Hypothèses!$B$4=18,Hypothèses!$B$4=19,Hypothèses!$B$4=20),
IF($D231="Pressio.",
IF(OR($E231=3,$E231=1,$E231=4),AC231,AB231),
IF($D231="Pénétro.",
IF(OR($E231=3,$E231=1,$E231=4),AC231,AB231))),IF($D231="Pressio.",
IF($E231=3,AC231,AB231),
IF($D231="Pénétro.",
IF($E231=4,AC231,AB231))))</f>
        <v>#N/A</v>
      </c>
      <c r="AE231" s="31">
        <v>0</v>
      </c>
      <c r="AF231" s="102" t="e">
        <f>IF(NDC!$H$10="Oui",(VLOOKUP($B$3,'Coeff EC7'!$T$39:$X$59,2,0)*AD231+VLOOKUP($B$3,'Coeff EC7'!$T$65:$X$85,2,0)*Model0.1T!AE231)/1.5,PI()*AB$12*$Q231*($B231-$B230)*0.15/10+AF230)</f>
        <v>#N/A</v>
      </c>
      <c r="AG231" s="102" t="e">
        <f>(VLOOKUP($B$3,'Coeff EC7'!$T$39:$X$59,3,0)*AD231+VLOOKUP($B$3,'Coeff EC7'!$T$65:$X$85,3,0)*Model0.1T!AE231)/1.1</f>
        <v>#N/A</v>
      </c>
      <c r="AH231" s="102" t="e">
        <f t="shared" si="368"/>
        <v>#N/A</v>
      </c>
      <c r="AI231" s="102" t="e">
        <f t="shared" si="369"/>
        <v>#N/A</v>
      </c>
      <c r="AJ231" s="414" t="e">
        <f>IF(AND(AF231&gt;NDC!$C$63,AG231&gt;NDC!$C$65,AH231&gt;NDC!$D$73,AI231&gt;NDC!$D$74,$B231&gt;NDC!$H$22-0.1+MIN(3*$AJ$12,1.5)),0,1)</f>
        <v>#N/A</v>
      </c>
      <c r="AK231" s="86" t="b">
        <f t="shared" si="339"/>
        <v>0</v>
      </c>
      <c r="AL231" s="86">
        <f t="shared" si="370"/>
        <v>0.5</v>
      </c>
      <c r="AM231" s="86">
        <f t="shared" si="340"/>
        <v>0.5</v>
      </c>
      <c r="AN231" s="30" t="e">
        <f t="shared" ca="1" si="371"/>
        <v>#DIV/0!</v>
      </c>
      <c r="AO231" s="85" t="e">
        <f ca="1">IF(U231&lt;=Hypothèses!$V$7,Hypothèses!$W$7,IF(U231&lt;=Hypothèses!$V$8,Hypothèses!$W$8,IF(U231&lt;=Hypothèses!$V$9,Hypothèses!$W$9,IF(U231&lt;=Hypothèses!$V$10,Hypothèses!$W$10,IF(U231&lt;=Hypothèses!$V$11,Hypothèses!$W$11,IF(U231&lt;=Hypothèses!$V$12,Hypothèses!$W$12,IF(U231&lt;=Hypothèses!$V$13,Hypothèses!$W$13,IF(U231&lt;=Hypothèses!$V$14,Hypothèses!$W$14,IF(U231&lt;=Hypothèses!$V$15,Hypothèses!$W$15,IF(U231&lt;=Hypothèses!$V$16,Hypothèses!$W$16,IF(U231&lt;=Hypothèses!$V$17,Hypothèses!$W$17,IF(U231&lt;=Hypothèses!$V$18,Hypothèses!$W$18,""))))))))))))</f>
        <v>#DIV/0!</v>
      </c>
      <c r="AP231" s="87" t="e">
        <f t="shared" ca="1" si="417"/>
        <v>#DIV/0!</v>
      </c>
      <c r="AQ231" s="88" t="e">
        <f ca="1">IF(U231&lt;=Hypothèses!$V$7,Hypothèses!$X$7,IF(U231&lt;=Hypothèses!$V$8,Hypothèses!$X$8,IF(U231&lt;=Hypothèses!$V$9,Hypothèses!$X$9,IF(U231&lt;=Hypothèses!$V$10,Hypothèses!$X$10,IF(U231&lt;=Hypothèses!$V$11,Hypothèses!$X$11,IF(U231&lt;=Hypothèses!$V$12,Hypothèses!$X$12,IF(U231&lt;=Hypothèses!$V$13,Hypothèses!$X$13,IF(U231&lt;=Hypothèses!$V$14,Hypothèses!$X$14,IF(U231&lt;=Hypothèses!$V$15,Hypothèses!$X$15,IF(U231&lt;=Hypothèses!$V$16,Hypothèses!$X$16,IF(U231&lt;=Hypothèses!$U$17,Hypothèses!$W$17,IF(U231&lt;=Hypothèses!$U$18,Hypothèses!$W$18,""))))))))))))</f>
        <v>#DIV/0!</v>
      </c>
      <c r="AR231" s="95" t="e">
        <f t="shared" ca="1" si="372"/>
        <v>#DIV/0!</v>
      </c>
      <c r="AS231" s="101">
        <f t="shared" si="424"/>
        <v>0</v>
      </c>
      <c r="AT231" s="91">
        <f t="shared" si="341"/>
        <v>0</v>
      </c>
      <c r="AU231" s="30" t="e">
        <f t="shared" si="402"/>
        <v>#N/A</v>
      </c>
      <c r="AV231" s="30" t="e">
        <f t="shared" si="403"/>
        <v>#N/A</v>
      </c>
      <c r="AW231" s="31" t="e">
        <f>IF(OR(Hypothèses!$B$4=17,Hypothèses!$B$4=18,Hypothèses!$B$4=19,Hypothèses!$B$4=20),
IF($D231="Pressio.",
IF(OR($E231=3,$E231=1,$E231=4),AV231,AU231),
IF($D231="Pénétro.",
IF(OR($E231=3,$E231=1,$E231=4),AV231,AU231))),IF($D231="Pressio.",
IF($E231=3,AV231,AU231),
IF($D231="Pénétro.",
IF($E231=4,AV231,AU231))))</f>
        <v>#N/A</v>
      </c>
      <c r="AX231" s="31">
        <v>0</v>
      </c>
      <c r="AY231" s="102" t="e">
        <f>IF(NDC!$H$10="Oui",(VLOOKUP($B$3,'Coeff EC7'!$T$39:$X$59,2,0)*AW231+VLOOKUP($B$3,'Coeff EC7'!$T$65:$X$85,2,0)*Model0.1T!AX231)/1.5,PI()*AU$12*$Q231*($B231-$B230)*0.15/10+AY230)</f>
        <v>#N/A</v>
      </c>
      <c r="AZ231" s="102" t="e">
        <f>(VLOOKUP($B$3,'Coeff EC7'!$T$39:$X$59,3,0)*AW231+VLOOKUP($B$3,'Coeff EC7'!$T$65:$X$85,3,0)*Model0.1T!AX231)/1.1</f>
        <v>#N/A</v>
      </c>
      <c r="BA231" s="102" t="e">
        <f t="shared" si="373"/>
        <v>#N/A</v>
      </c>
      <c r="BB231" s="102" t="e">
        <f t="shared" si="374"/>
        <v>#N/A</v>
      </c>
      <c r="BC231" s="414" t="e">
        <f>IF(AND(AY231&gt;NDC!$C$63,AZ231&gt;NDC!$C$65,BA231&gt;NDC!$D$73,BB231&gt;NDC!$D$74,$B231&gt;NDC!$H$22-0.1+MIN(3*BC$12,1.5)),0,1)</f>
        <v>#N/A</v>
      </c>
      <c r="BD231" s="86" t="b">
        <f t="shared" si="342"/>
        <v>0</v>
      </c>
      <c r="BE231" s="86">
        <f t="shared" si="375"/>
        <v>0.5</v>
      </c>
      <c r="BF231" s="86">
        <f t="shared" si="343"/>
        <v>0.5</v>
      </c>
      <c r="BG231" s="30" t="e">
        <f t="shared" ca="1" si="376"/>
        <v>#DIV/0!</v>
      </c>
      <c r="BH231" s="85" t="e">
        <f ca="1">IF(AN231&lt;=Hypothèses!$V$7,Hypothèses!$W$7,IF(AN231&lt;=Hypothèses!$V$8,Hypothèses!$W$8,IF(AN231&lt;=Hypothèses!$V$9,Hypothèses!$W$9,IF(AN231&lt;=Hypothèses!$V$10,Hypothèses!$W$10,IF(AN231&lt;=Hypothèses!$V$11,Hypothèses!$W$11,IF(AN231&lt;=Hypothèses!$V$12,Hypothèses!$W$12,IF(AN231&lt;=Hypothèses!$V$13,Hypothèses!$W$13,IF(AN231&lt;=Hypothèses!$V$14,Hypothèses!$W$14,IF(AN231&lt;=Hypothèses!$V$15,Hypothèses!$W$15,IF(AN231&lt;=Hypothèses!$V$16,Hypothèses!$W$16,IF(AN231&lt;=Hypothèses!$V$17,Hypothèses!$W$17,IF(AN231&lt;=Hypothèses!$V$18,Hypothèses!$W$18,""))))))))))))</f>
        <v>#DIV/0!</v>
      </c>
      <c r="BI231" s="87" t="e">
        <f t="shared" ca="1" si="418"/>
        <v>#DIV/0!</v>
      </c>
      <c r="BJ231" s="88" t="e">
        <f ca="1">IF(AN231&lt;=Hypothèses!$V$7,Hypothèses!$X$7,IF(AN231&lt;=Hypothèses!$V$8,Hypothèses!$X$8,IF(AN231&lt;=Hypothèses!$V$9,Hypothèses!$X$9,IF(AN231&lt;=Hypothèses!$V$10,Hypothèses!$X$10,IF(AN231&lt;=Hypothèses!$V$11,Hypothèses!$X$11,IF(AN231&lt;=Hypothèses!$V$12,Hypothèses!$X$12,IF(AN231&lt;=Hypothèses!$V$13,Hypothèses!$X$13,IF(AN231&lt;=Hypothèses!$V$14,Hypothèses!$X$14,IF(AN231&lt;=Hypothèses!$V$15,Hypothèses!$X$15,IF(AN231&lt;=Hypothèses!$V$16,Hypothèses!$X$16,IF(AN231&lt;=Hypothèses!$U$17,Hypothèses!$W$17,IF(AN231&lt;=Hypothèses!$U$18,Hypothèses!$W$18,""))))))))))))</f>
        <v>#DIV/0!</v>
      </c>
      <c r="BK231" s="95" t="e">
        <f t="shared" ca="1" si="377"/>
        <v>#DIV/0!</v>
      </c>
      <c r="BL231" s="101">
        <f t="shared" si="425"/>
        <v>0</v>
      </c>
      <c r="BM231" s="91">
        <f t="shared" si="344"/>
        <v>0</v>
      </c>
      <c r="BN231" s="30" t="e">
        <f t="shared" si="404"/>
        <v>#N/A</v>
      </c>
      <c r="BO231" s="30" t="e">
        <f t="shared" si="405"/>
        <v>#N/A</v>
      </c>
      <c r="BP231" s="31" t="e">
        <f>IF(OR(Hypothèses!$B$4=17,Hypothèses!$B$4=18,Hypothèses!$B$4=19,Hypothèses!$B$4=20),
IF($D231="Pressio.",
IF(OR($E231=3,$E231=1,$E231=4),BO231,BN231),
IF($D231="Pénétro.",
IF(OR($E231=3,$E231=1,$E231=4),BO231,BN231))),IF($D231="Pressio.",
IF($E231=3,BO231,BN231),
IF($D231="Pénétro.",
IF($E231=4,BO231,BN231))))</f>
        <v>#N/A</v>
      </c>
      <c r="BQ231" s="31">
        <v>0</v>
      </c>
      <c r="BR231" s="102" t="e">
        <f>IF(NDC!$H$10="Oui",(VLOOKUP($B$3,'Coeff EC7'!$T$39:$X$59,2,0)*BP231+VLOOKUP($B$3,'Coeff EC7'!$T$65:$X$85,2,0)*Model0.1T!BQ231)/1.5,PI()*BN$12*$Q231*($B231-$B230)*0.15/10+BR230)</f>
        <v>#N/A</v>
      </c>
      <c r="BS231" s="102" t="e">
        <f>(VLOOKUP($B$3,'Coeff EC7'!$T$39:$X$59,3,0)*BP231+VLOOKUP($B$3,'Coeff EC7'!$T$65:$X$85,3,0)*Model0.1T!BQ231)/1.1</f>
        <v>#N/A</v>
      </c>
      <c r="BT231" s="102" t="e">
        <f t="shared" si="378"/>
        <v>#N/A</v>
      </c>
      <c r="BU231" s="102" t="e">
        <f t="shared" si="379"/>
        <v>#N/A</v>
      </c>
      <c r="BV231" s="414" t="e">
        <f>IF(AND(BR231&gt;NDC!$C$63,BS231&gt;NDC!$C$65,BT231&gt;NDC!$D$73,BU231&gt;NDC!$D$74,$B231&gt;NDC!$H$22-0.1+MIN(3*BV$12,1.5)),0,1)</f>
        <v>#N/A</v>
      </c>
      <c r="BW231" s="86" t="b">
        <f t="shared" si="345"/>
        <v>0</v>
      </c>
      <c r="BX231" s="86">
        <f t="shared" si="346"/>
        <v>0.5</v>
      </c>
      <c r="BY231" s="86">
        <f t="shared" si="347"/>
        <v>0.5</v>
      </c>
      <c r="BZ231" s="30" t="e">
        <f t="shared" ca="1" si="380"/>
        <v>#DIV/0!</v>
      </c>
      <c r="CA231" s="85" t="e">
        <f ca="1">IF(BG231&lt;=Hypothèses!$V$7,Hypothèses!$W$7,IF(BG231&lt;=Hypothèses!$V$8,Hypothèses!$W$8,IF(BG231&lt;=Hypothèses!$V$9,Hypothèses!$W$9,IF(BG231&lt;=Hypothèses!$V$10,Hypothèses!$W$10,IF(BG231&lt;=Hypothèses!$V$11,Hypothèses!$W$11,IF(BG231&lt;=Hypothèses!$V$12,Hypothèses!$W$12,IF(BG231&lt;=Hypothèses!$V$13,Hypothèses!$W$13,IF(BG231&lt;=Hypothèses!$V$14,Hypothèses!$W$14,IF(BG231&lt;=Hypothèses!$V$15,Hypothèses!$W$15,IF(BG231&lt;=Hypothèses!$V$16,Hypothèses!$W$16,IF(BG231&lt;=Hypothèses!$V$17,Hypothèses!$W$17,IF(BG231&lt;=Hypothèses!$V$18,Hypothèses!$W$18,""))))))))))))</f>
        <v>#DIV/0!</v>
      </c>
      <c r="CB231" s="87" t="e">
        <f t="shared" ca="1" si="419"/>
        <v>#DIV/0!</v>
      </c>
      <c r="CC231" s="88" t="e">
        <f ca="1">IF(BG231&lt;=Hypothèses!$V$7,Hypothèses!$X$7,IF(BG231&lt;=Hypothèses!$V$8,Hypothèses!$X$8,IF(BG231&lt;=Hypothèses!$V$9,Hypothèses!$X$9,IF(BG231&lt;=Hypothèses!$V$10,Hypothèses!$X$10,IF(BG231&lt;=Hypothèses!$V$11,Hypothèses!$X$11,IF(BG231&lt;=Hypothèses!$V$12,Hypothèses!$X$12,IF(BG231&lt;=Hypothèses!$V$13,Hypothèses!$X$13,IF(BG231&lt;=Hypothèses!$V$14,Hypothèses!$X$14,IF(BG231&lt;=Hypothèses!$V$15,Hypothèses!$X$15,IF(BG231&lt;=Hypothèses!$V$16,Hypothèses!$X$16,IF(BG231&lt;=Hypothèses!$U$17,Hypothèses!$W$17,IF(BG231&lt;=Hypothèses!$U$18,Hypothèses!$W$18,""))))))))))))</f>
        <v>#DIV/0!</v>
      </c>
      <c r="CD231" s="95" t="e">
        <f t="shared" ca="1" si="381"/>
        <v>#DIV/0!</v>
      </c>
      <c r="CE231" s="101">
        <f t="shared" si="426"/>
        <v>0</v>
      </c>
      <c r="CF231" s="91">
        <f t="shared" si="348"/>
        <v>0</v>
      </c>
      <c r="CG231" s="30" t="e">
        <f t="shared" si="406"/>
        <v>#N/A</v>
      </c>
      <c r="CH231" s="30" t="e">
        <f t="shared" si="407"/>
        <v>#N/A</v>
      </c>
      <c r="CI231" s="31" t="e">
        <f>IF(OR(Hypothèses!$B$4=17,Hypothèses!$B$4=18,Hypothèses!$B$4=19,Hypothèses!$B$4=20),
IF($D231="Pressio.",
IF(OR($E231=3,$E231=1,$E231=4),CH231,CG231),
IF($D231="Pénétro.",
IF(OR($E231=3,$E231=1,$E231=4),CH231,CG231))),IF($D231="Pressio.",
IF($E231=3,CH231,CG231),
IF($D231="Pénétro.",
IF($E231=4,CH231,CG231))))</f>
        <v>#N/A</v>
      </c>
      <c r="CJ231" s="31">
        <v>0</v>
      </c>
      <c r="CK231" s="102" t="e">
        <f>IF(NDC!$H$10="Oui",(VLOOKUP($B$3,'Coeff EC7'!$T$39:$X$59,2,0)*CI231+VLOOKUP($B$3,'Coeff EC7'!$T$65:$X$85,2,0)*Model0.1T!CJ231)/1.5,PI()*CG$12*$Q231*($B231-$B230)*0.15/10+CK230)</f>
        <v>#N/A</v>
      </c>
      <c r="CL231" s="102" t="e">
        <f>(VLOOKUP($B$3,'Coeff EC7'!$T$39:$X$59,3,0)*CI231+VLOOKUP($B$3,'Coeff EC7'!$T$65:$X$85,3,0)*Model0.1T!CJ231)/1.1</f>
        <v>#N/A</v>
      </c>
      <c r="CM231" s="102" t="e">
        <f t="shared" si="382"/>
        <v>#N/A</v>
      </c>
      <c r="CN231" s="102" t="e">
        <f t="shared" si="383"/>
        <v>#N/A</v>
      </c>
      <c r="CO231" s="414" t="e">
        <f>IF(AND(CK231&gt;NDC!$C$63,CL231&gt;NDC!$C$65,CM231&gt;NDC!$D$73,CN231&gt;NDC!$D$74,$B231&gt;NDC!$H$22-0.1+MIN(3*CO$12,1.5)),0,1)</f>
        <v>#N/A</v>
      </c>
      <c r="CP231" s="86" t="b">
        <f t="shared" si="349"/>
        <v>0</v>
      </c>
      <c r="CQ231" s="86">
        <f t="shared" si="350"/>
        <v>0.5</v>
      </c>
      <c r="CR231" s="86">
        <f t="shared" si="351"/>
        <v>0.5</v>
      </c>
      <c r="CS231" s="30" t="e">
        <f t="shared" ca="1" si="384"/>
        <v>#DIV/0!</v>
      </c>
      <c r="CT231" s="85" t="e">
        <f ca="1">IF(BZ231&lt;=Hypothèses!$V$7,Hypothèses!$W$7,IF(BZ231&lt;=Hypothèses!$V$8,Hypothèses!$W$8,IF(BZ231&lt;=Hypothèses!$V$9,Hypothèses!$W$9,IF(BZ231&lt;=Hypothèses!$V$10,Hypothèses!$W$10,IF(BZ231&lt;=Hypothèses!$V$11,Hypothèses!$W$11,IF(BZ231&lt;=Hypothèses!$V$12,Hypothèses!$W$12,IF(BZ231&lt;=Hypothèses!$V$13,Hypothèses!$W$13,IF(BZ231&lt;=Hypothèses!$V$14,Hypothèses!$W$14,IF(BZ231&lt;=Hypothèses!$V$15,Hypothèses!$W$15,IF(BZ231&lt;=Hypothèses!$V$16,Hypothèses!$W$16,IF(BZ231&lt;=Hypothèses!$V$17,Hypothèses!$W$17,IF(BZ231&lt;=Hypothèses!$V$18,Hypothèses!$W$18,""))))))))))))</f>
        <v>#DIV/0!</v>
      </c>
      <c r="CU231" s="87" t="e">
        <f t="shared" ca="1" si="420"/>
        <v>#DIV/0!</v>
      </c>
      <c r="CV231" s="88" t="e">
        <f ca="1">IF(BZ231&lt;=Hypothèses!$V$7,Hypothèses!$X$7,IF(BZ231&lt;=Hypothèses!$V$8,Hypothèses!$X$8,IF(BZ231&lt;=Hypothèses!$V$9,Hypothèses!$X$9,IF(BZ231&lt;=Hypothèses!$V$10,Hypothèses!$X$10,IF(BZ231&lt;=Hypothèses!$V$11,Hypothèses!$X$11,IF(BZ231&lt;=Hypothèses!$V$12,Hypothèses!$X$12,IF(BZ231&lt;=Hypothèses!$V$13,Hypothèses!$X$13,IF(BZ231&lt;=Hypothèses!$V$14,Hypothèses!$X$14,IF(BZ231&lt;=Hypothèses!$V$15,Hypothèses!$X$15,IF(BZ231&lt;=Hypothèses!$V$16,Hypothèses!$X$16,IF(BZ231&lt;=Hypothèses!$U$17,Hypothèses!$W$17,IF(BZ231&lt;=Hypothèses!$U$18,Hypothèses!$W$18,""))))))))))))</f>
        <v>#DIV/0!</v>
      </c>
      <c r="CW231" s="95" t="e">
        <f t="shared" ca="1" si="385"/>
        <v>#DIV/0!</v>
      </c>
      <c r="CX231" s="101">
        <f t="shared" si="427"/>
        <v>0</v>
      </c>
      <c r="CY231" s="91">
        <f t="shared" si="352"/>
        <v>0</v>
      </c>
      <c r="CZ231" s="30" t="e">
        <f t="shared" si="408"/>
        <v>#N/A</v>
      </c>
      <c r="DA231" s="30" t="e">
        <f t="shared" si="409"/>
        <v>#N/A</v>
      </c>
      <c r="DB231" s="31" t="e">
        <f>IF(OR(Hypothèses!$B$4=17,Hypothèses!$B$4=18,Hypothèses!$B$4=19,Hypothèses!$B$4=20),
IF($D231="Pressio.",
IF(OR($E231=3,$E231=1,$E231=4),DA231,CZ231),
IF($D231="Pénétro.",
IF(OR($E231=3,$E231=1,$E231=4),DA231,CZ231))),IF($D231="Pressio.",
IF($E231=3,DA231,CZ231),
IF($D231="Pénétro.",
IF($E231=4,DA231,CZ231))))</f>
        <v>#N/A</v>
      </c>
      <c r="DC231" s="31">
        <v>0</v>
      </c>
      <c r="DD231" s="102" t="e">
        <f>IF(NDC!$H$10="Oui",(VLOOKUP($B$3,'Coeff EC7'!$T$39:$X$59,2,0)*DB231+VLOOKUP($B$3,'Coeff EC7'!$T$65:$X$85,2,0)*Model0.1T!DC231)/1.5,PI()*CZ$12*$Q231*($B231-$B230)*0.15/10+DD230)</f>
        <v>#N/A</v>
      </c>
      <c r="DE231" s="102" t="e">
        <f>(VLOOKUP($B$3,'Coeff EC7'!$T$39:$X$59,3,0)*DB231+VLOOKUP($B$3,'Coeff EC7'!$T$65:$X$85,3,0)*Model0.1T!DC231)/1.1</f>
        <v>#N/A</v>
      </c>
      <c r="DF231" s="102" t="e">
        <f t="shared" si="386"/>
        <v>#N/A</v>
      </c>
      <c r="DG231" s="102" t="e">
        <f t="shared" si="387"/>
        <v>#N/A</v>
      </c>
      <c r="DH231" s="414" t="e">
        <f>IF(AND(DD231&gt;NDC!$C$63,DE231&gt;NDC!$C$65,DF231&gt;NDC!$D$73,DG231&gt;NDC!$D$74,$B231&gt;NDC!$H$22-0.1+MIN(3*DH$12,1.5)),0,1)</f>
        <v>#N/A</v>
      </c>
      <c r="DI231" s="86" t="b">
        <f t="shared" si="353"/>
        <v>0</v>
      </c>
      <c r="DJ231" s="86">
        <f t="shared" si="354"/>
        <v>0.5</v>
      </c>
      <c r="DK231" s="86">
        <f t="shared" si="355"/>
        <v>0.5</v>
      </c>
      <c r="DL231" s="30" t="e">
        <f t="shared" ca="1" si="388"/>
        <v>#DIV/0!</v>
      </c>
      <c r="DM231" s="85" t="e">
        <f ca="1">IF(CS231&lt;=Hypothèses!$V$7,Hypothèses!$W$7,IF(CS231&lt;=Hypothèses!$V$8,Hypothèses!$W$8,IF(CS231&lt;=Hypothèses!$V$9,Hypothèses!$W$9,IF(CS231&lt;=Hypothèses!$V$10,Hypothèses!$W$10,IF(CS231&lt;=Hypothèses!$V$11,Hypothèses!$W$11,IF(CS231&lt;=Hypothèses!$V$12,Hypothèses!$W$12,IF(CS231&lt;=Hypothèses!$V$13,Hypothèses!$W$13,IF(CS231&lt;=Hypothèses!$V$14,Hypothèses!$W$14,IF(CS231&lt;=Hypothèses!$V$15,Hypothèses!$W$15,IF(CS231&lt;=Hypothèses!$V$16,Hypothèses!$W$16,IF(CS231&lt;=Hypothèses!$V$17,Hypothèses!$W$17,IF(CS231&lt;=Hypothèses!$V$18,Hypothèses!$W$18,""))))))))))))</f>
        <v>#DIV/0!</v>
      </c>
      <c r="DN231" s="87" t="e">
        <f t="shared" ca="1" si="421"/>
        <v>#DIV/0!</v>
      </c>
      <c r="DO231" s="88" t="e">
        <f ca="1">IF(CS231&lt;=Hypothèses!$V$7,Hypothèses!$X$7,IF(CS231&lt;=Hypothèses!$V$8,Hypothèses!$X$8,IF(CS231&lt;=Hypothèses!$V$9,Hypothèses!$X$9,IF(CS231&lt;=Hypothèses!$V$10,Hypothèses!$X$10,IF(CS231&lt;=Hypothèses!$V$11,Hypothèses!$X$11,IF(CS231&lt;=Hypothèses!$V$12,Hypothèses!$X$12,IF(CS231&lt;=Hypothèses!$V$13,Hypothèses!$X$13,IF(CS231&lt;=Hypothèses!$V$14,Hypothèses!$X$14,IF(CS231&lt;=Hypothèses!$V$15,Hypothèses!$X$15,IF(CS231&lt;=Hypothèses!$V$16,Hypothèses!$X$16,IF(CS231&lt;=Hypothèses!$U$17,Hypothèses!$W$17,IF(CS231&lt;=Hypothèses!$U$18,Hypothèses!$W$18,""))))))))))))</f>
        <v>#DIV/0!</v>
      </c>
      <c r="DP231" s="95" t="e">
        <f t="shared" ca="1" si="389"/>
        <v>#DIV/0!</v>
      </c>
      <c r="DQ231" s="101">
        <f t="shared" si="428"/>
        <v>0</v>
      </c>
      <c r="DR231" s="91">
        <f t="shared" si="356"/>
        <v>0</v>
      </c>
      <c r="DS231" s="30" t="e">
        <f t="shared" si="410"/>
        <v>#N/A</v>
      </c>
      <c r="DT231" s="30" t="e">
        <f t="shared" si="411"/>
        <v>#N/A</v>
      </c>
      <c r="DU231" s="31" t="e">
        <f>IF(OR(Hypothèses!$B$4=17,Hypothèses!$B$4=18,Hypothèses!$B$4=19,Hypothèses!$B$4=20),
IF($D231="Pressio.",
IF(OR($E231=3,$E231=1,$E231=4),DT231,DS231),
IF($D231="Pénétro.",
IF(OR($E231=3,$E231=1,$E231=4),DT231,DS231))),IF($D231="Pressio.",
IF($E231=3,DT231,DS231),
IF($D231="Pénétro.",
IF($E231=4,DT231,DS231))))</f>
        <v>#N/A</v>
      </c>
      <c r="DV231" s="31">
        <v>0</v>
      </c>
      <c r="DW231" s="102" t="e">
        <f>IF(NDC!$H$10="Oui",(VLOOKUP($B$3,'Coeff EC7'!$T$39:$X$59,2,0)*DU231+VLOOKUP($B$3,'Coeff EC7'!$T$65:$X$85,2,0)*Model0.1T!DV231)/1.5,PI()*DS$12*$Q231*($B231-$B230)*0.15/10+DW230)</f>
        <v>#N/A</v>
      </c>
      <c r="DX231" s="102" t="e">
        <f>(VLOOKUP($B$3,'Coeff EC7'!$T$39:$X$59,3,0)*DU231+VLOOKUP($B$3,'Coeff EC7'!$T$65:$X$85,3,0)*Model0.1T!DV231)/1.1</f>
        <v>#N/A</v>
      </c>
      <c r="DY231" s="102" t="e">
        <f t="shared" si="390"/>
        <v>#N/A</v>
      </c>
      <c r="DZ231" s="102" t="e">
        <f t="shared" si="391"/>
        <v>#N/A</v>
      </c>
      <c r="EA231" s="414" t="e">
        <f>IF(AND(DW231&gt;NDC!$C$63,DX231&gt;NDC!$C$65,DY231&gt;NDC!$D$73,DZ231&gt;NDC!$D$74,$B231&gt;NDC!$H$22-0.1+MIN(3*EA$12,1.5)),0,1)</f>
        <v>#N/A</v>
      </c>
      <c r="EB231" s="86" t="b">
        <f t="shared" si="357"/>
        <v>0</v>
      </c>
      <c r="EC231" s="418">
        <f t="shared" si="358"/>
        <v>0.51</v>
      </c>
      <c r="ED231" s="86">
        <f t="shared" si="359"/>
        <v>0.51</v>
      </c>
      <c r="EE231" s="30" t="e">
        <f t="shared" ca="1" si="392"/>
        <v>#DIV/0!</v>
      </c>
      <c r="EF231" s="85" t="e">
        <f ca="1">IF(DL231&lt;=Hypothèses!$V$7,Hypothèses!$W$7,IF(DL231&lt;=Hypothèses!$V$8,Hypothèses!$W$8,IF(DL231&lt;=Hypothèses!$V$9,Hypothèses!$W$9,IF(DL231&lt;=Hypothèses!$V$10,Hypothèses!$W$10,IF(DL231&lt;=Hypothèses!$V$11,Hypothèses!$W$11,IF(DL231&lt;=Hypothèses!$V$12,Hypothèses!$W$12,IF(DL231&lt;=Hypothèses!$V$13,Hypothèses!$W$13,IF(DL231&lt;=Hypothèses!$V$14,Hypothèses!$W$14,IF(DL231&lt;=Hypothèses!$V$15,Hypothèses!$W$15,IF(DL231&lt;=Hypothèses!$V$16,Hypothèses!$W$16,IF(DL231&lt;=Hypothèses!$V$17,Hypothèses!$W$17,IF(DL231&lt;=Hypothèses!$V$18,Hypothèses!$W$18,""))))))))))))</f>
        <v>#DIV/0!</v>
      </c>
      <c r="EG231" s="87" t="e">
        <f t="shared" ca="1" si="422"/>
        <v>#DIV/0!</v>
      </c>
      <c r="EH231" s="88" t="e">
        <f ca="1">IF(DL231&lt;=Hypothèses!$V$7,Hypothèses!$X$7,IF(DL231&lt;=Hypothèses!$V$8,Hypothèses!$X$8,IF(DL231&lt;=Hypothèses!$V$9,Hypothèses!$X$9,IF(DL231&lt;=Hypothèses!$V$10,Hypothèses!$X$10,IF(DL231&lt;=Hypothèses!$V$11,Hypothèses!$X$11,IF(DL231&lt;=Hypothèses!$V$12,Hypothèses!$X$12,IF(DL231&lt;=Hypothèses!$V$13,Hypothèses!$X$13,IF(DL231&lt;=Hypothèses!$V$14,Hypothèses!$X$14,IF(DL231&lt;=Hypothèses!$V$15,Hypothèses!$X$15,IF(DL231&lt;=Hypothèses!$V$16,Hypothèses!$X$16,IF(DL231&lt;=Hypothèses!$U$17,Hypothèses!$W$17,IF(DL231&lt;=Hypothèses!$U$18,Hypothèses!$W$18,""))))))))))))</f>
        <v>#DIV/0!</v>
      </c>
      <c r="EI231" s="95" t="e">
        <f t="shared" ca="1" si="393"/>
        <v>#DIV/0!</v>
      </c>
      <c r="EJ231" s="101">
        <f t="shared" si="429"/>
        <v>0</v>
      </c>
      <c r="EK231" s="91">
        <f t="shared" si="360"/>
        <v>0</v>
      </c>
      <c r="EL231" s="30" t="e">
        <f t="shared" si="412"/>
        <v>#N/A</v>
      </c>
      <c r="EM231" s="30" t="e">
        <f t="shared" si="413"/>
        <v>#N/A</v>
      </c>
      <c r="EN231" s="31" t="e">
        <f>IF(OR(Hypothèses!$B$4=17,Hypothèses!$B$4=18,Hypothèses!$B$4=19,Hypothèses!$B$4=20),
IF($D231="Pressio.",
IF(OR($E231=3,$E231=1,$E231=4),EM231,EL231),
IF($D231="Pénétro.",
IF(OR($E231=3,$E231=1,$E231=4),EM231,EL231))),IF($D231="Pressio.",
IF($E231=3,EM231,EL231),
IF($D231="Pénétro.",
IF($E231=4,EM231,EL231))))</f>
        <v>#N/A</v>
      </c>
      <c r="EO231" s="31">
        <v>0</v>
      </c>
      <c r="EP231" s="102" t="e">
        <f>IF(NDC!$H$10="Oui",(VLOOKUP($B$3,'Coeff EC7'!$T$39:$X$59,2,0)*EN231+VLOOKUP($B$3,'Coeff EC7'!$T$65:$X$85,2,0)*Model0.1T!EO231)/1.5,PI()*EL$12*$Q231*($B231-$B230)*0.15/10+EP230)</f>
        <v>#N/A</v>
      </c>
      <c r="EQ231" s="102" t="e">
        <f>(VLOOKUP($B$3,'Coeff EC7'!$T$39:$X$59,3,0)*EN231+VLOOKUP($B$3,'Coeff EC7'!$T$65:$X$85,3,0)*Model0.1T!EO231)/1.1</f>
        <v>#N/A</v>
      </c>
      <c r="ER231" s="102" t="e">
        <f t="shared" si="394"/>
        <v>#N/A</v>
      </c>
      <c r="ES231" s="102" t="e">
        <f t="shared" si="395"/>
        <v>#N/A</v>
      </c>
      <c r="ET231" s="414" t="e">
        <f>IF(AND(EP231&gt;NDC!$C$63,EQ231&gt;NDC!$C$65,ER231&gt;NDC!$D$73,ES231&gt;NDC!$D$74,$B231&gt;NDC!$H$22-0.1+MIN(3*ET$12,1.5)),0,1)</f>
        <v>#N/A</v>
      </c>
      <c r="EU231" s="86" t="b">
        <f t="shared" si="361"/>
        <v>0</v>
      </c>
      <c r="EV231" s="86">
        <f t="shared" si="362"/>
        <v>0.61</v>
      </c>
      <c r="EW231" s="86">
        <f t="shared" si="363"/>
        <v>0.61</v>
      </c>
      <c r="EX231" s="30" t="e">
        <f t="shared" ca="1" si="396"/>
        <v>#DIV/0!</v>
      </c>
      <c r="EY231" s="85" t="e">
        <f ca="1">IF(EE231&lt;=Hypothèses!$V$7,Hypothèses!$W$7,IF(EE231&lt;=Hypothèses!$V$8,Hypothèses!$W$8,IF(EE231&lt;=Hypothèses!$V$9,Hypothèses!$W$9,IF(EE231&lt;=Hypothèses!$V$10,Hypothèses!$W$10,IF(EE231&lt;=Hypothèses!$V$11,Hypothèses!$W$11,IF(EE231&lt;=Hypothèses!$V$12,Hypothèses!$W$12,IF(EE231&lt;=Hypothèses!$V$13,Hypothèses!$W$13,IF(EE231&lt;=Hypothèses!$V$14,Hypothèses!$W$14,IF(EE231&lt;=Hypothèses!$V$15,Hypothèses!$W$15,IF(EE231&lt;=Hypothèses!$V$16,Hypothèses!$W$16,IF(EE231&lt;=Hypothèses!$V$17,Hypothèses!$W$17,IF(EE231&lt;=Hypothèses!$V$18,Hypothèses!$W$18,""))))))))))))</f>
        <v>#DIV/0!</v>
      </c>
      <c r="EZ231" s="87" t="e">
        <f t="shared" ca="1" si="423"/>
        <v>#DIV/0!</v>
      </c>
      <c r="FA231" s="88" t="e">
        <f ca="1">IF(EE231&lt;=Hypothèses!$V$7,Hypothèses!$X$7,IF(EE231&lt;=Hypothèses!$V$8,Hypothèses!$X$8,IF(EE231&lt;=Hypothèses!$V$9,Hypothèses!$X$9,IF(EE231&lt;=Hypothèses!$V$10,Hypothèses!$X$10,IF(EE231&lt;=Hypothèses!$V$11,Hypothèses!$X$11,IF(EE231&lt;=Hypothèses!$V$12,Hypothèses!$X$12,IF(EE231&lt;=Hypothèses!$V$13,Hypothèses!$X$13,IF(EE231&lt;=Hypothèses!$V$14,Hypothèses!$X$14,IF(EE231&lt;=Hypothèses!$V$15,Hypothèses!$X$15,IF(EE231&lt;=Hypothèses!$V$16,Hypothèses!$X$16,IF(EE231&lt;=Hypothèses!$U$17,Hypothèses!$W$17,IF(EE231&lt;=Hypothèses!$U$18,Hypothèses!$W$18,""))))))))))))</f>
        <v>#DIV/0!</v>
      </c>
      <c r="FB231" s="95" t="e">
        <f t="shared" ca="1" si="397"/>
        <v>#DIV/0!</v>
      </c>
      <c r="FC231" s="101">
        <f t="shared" si="430"/>
        <v>0</v>
      </c>
      <c r="FD231" s="91">
        <f t="shared" si="364"/>
        <v>0</v>
      </c>
      <c r="FE231" s="30" t="e">
        <f t="shared" si="414"/>
        <v>#N/A</v>
      </c>
      <c r="FF231" s="30" t="e">
        <f t="shared" si="415"/>
        <v>#N/A</v>
      </c>
      <c r="FG231" s="31" t="e">
        <f>IF(OR(Hypothèses!$B$4=17,Hypothèses!$B$4=18,Hypothèses!$B$4=19,Hypothèses!$B$4=20),
IF($D231="Pressio.",
IF(OR($E231=3,$E231=1,$E231=4),FF231,FE231),
IF($D231="Pénétro.",
IF(OR($E231=3,$E231=1,$E231=4),FF231,FE231))),IF($D231="Pressio.",
IF($E231=3,FF231,FE231),
IF($D231="Pénétro.",
IF($E231=4,FF231,FE231))))</f>
        <v>#N/A</v>
      </c>
      <c r="FH231" s="31">
        <v>0</v>
      </c>
      <c r="FI231" s="102" t="e">
        <f>IF(NDC!$H$10="Oui",(VLOOKUP($B$3,'Coeff EC7'!$T$39:$X$59,2,0)*FG231+VLOOKUP($B$3,'Coeff EC7'!$T$65:$X$85,2,0)*Model0.1T!FH231)/1.5,PI()*FE$12*$Q231*($B231-$B230)*0.15/10+FI230)</f>
        <v>#N/A</v>
      </c>
      <c r="FJ231" s="102" t="e">
        <f>(VLOOKUP($B$3,'Coeff EC7'!$T$39:$X$59,3,0)*FG231+VLOOKUP($B$3,'Coeff EC7'!$T$65:$X$85,3,0)*Model0.1T!FH231)/1.1</f>
        <v>#N/A</v>
      </c>
      <c r="FK231" s="102" t="e">
        <f t="shared" si="398"/>
        <v>#N/A</v>
      </c>
      <c r="FL231" s="102" t="e">
        <f t="shared" si="399"/>
        <v>#N/A</v>
      </c>
      <c r="FM231" s="414" t="e">
        <f>IF(AND(FI231&gt;NDC!$C$63,FJ231&gt;NDC!$C$65,FK231&gt;NDC!$D$73,FL231&gt;NDC!$D$74,$B231&gt;NDC!$H$22-0.1+MIN(3*FM$12,1.5)),0,1)</f>
        <v>#N/A</v>
      </c>
    </row>
    <row r="232" spans="1:169">
      <c r="A232" s="96">
        <f t="shared" si="365"/>
        <v>78.100000000001245</v>
      </c>
      <c r="B232" s="97">
        <v>21.9</v>
      </c>
      <c r="C232" s="81">
        <f>IF(B232&lt;=Hypothèses!$C$7,Hypothèses!$A$7,IF(B232&lt;=Hypothèses!$C$8,Hypothèses!$A$8,IF(B232&lt;=Hypothèses!$C$9,Hypothèses!$A$9,IF(B232&lt;=Hypothèses!$C$10,Hypothèses!$A$10,IF(B232&lt;=Hypothèses!$C$11,Hypothèses!$A$11,IF(B232&lt;=Hypothèses!$C$12,Hypothèses!$A$12,IF(B232&lt;=Hypothèses!$C$13,Hypothèses!$A$13,IF(B232&lt;=Hypothèses!$C$14,Hypothèses!$A$14,IF(B232&lt;=Hypothèses!$C$15,Hypothèses!$A$15,IF(B232&lt;=Hypothèses!$C$16,Hypothèses!$A$16,IF(B232&lt;=Hypothèses!$C$17,Hypothèses!$A$17,IF(B232&lt;=Hypothèses!$C$18,Hypothèses!$A$18,C231))))))))))))</f>
        <v>11</v>
      </c>
      <c r="D232" s="82" t="str">
        <f>IF(B232&lt;=Hypothèses!$C$7,Hypothèses!$R$7,IF(B232&lt;=Hypothèses!$C$8,Hypothèses!$R$8,IF(B232&lt;=Hypothèses!$C$9,Hypothèses!$R$9,IF(B232&lt;=Hypothèses!$C$10,Hypothèses!$R$10,IF(B232&lt;=Hypothèses!$C$11,Hypothèses!$R$11,IF(B232&lt;=Hypothèses!$C$12,Hypothèses!$R$12,IF(B232&lt;=Hypothèses!$C$13,Hypothèses!$R$13,IF(B232&lt;=Hypothèses!$C$14,Hypothèses!$R$14,IF(B232&lt;=Hypothèses!$C$15,Hypothèses!$R$15,IF(B232&lt;=Hypothèses!$C$16,Hypothèses!$R$16,IF(B232&lt;=Hypothèses!$C$17,Hypothèses!$R$17,IF(B232&lt;=Hypothèses!$C$18,Hypothèses!$R$18,D231))))))))))))</f>
        <v>Pressio.</v>
      </c>
      <c r="E232" s="82" t="e">
        <f>IF(B232&lt;=Hypothèses!$C$7,Hypothèses!$G$7,IF(B232&lt;=Hypothèses!$C$8,Hypothèses!$G$8,IF(B232&lt;=Hypothèses!$C$9,Hypothèses!$G$9,IF(B232&lt;=Hypothèses!$C$10,Hypothèses!$G$10,IF(B232&lt;=Hypothèses!$C$11,Hypothèses!$G$11,IF(B232&lt;=Hypothèses!$C$12,Hypothèses!$G$12,IF(B232&lt;=Hypothèses!$C$13,Hypothèses!$G$13,IF(B232&lt;=Hypothèses!$C$14,Hypothèses!$G$14,IF(B232&lt;=Hypothèses!$C$15,Hypothèses!$G$15,IF(B232&lt;=Hypothèses!$C$16,Hypothèses!$G$16,IF(B232&lt;=Hypothèses!$C$17,Hypothèses!$G$17,IF(B232&lt;=Hypothèses!$C$18,Hypothèses!$G$18,E231))))))))))))</f>
        <v>#N/A</v>
      </c>
      <c r="F232" s="82" t="str">
        <f>IF(B232&lt;=Hypothèses!$C$7,Hypothèses!$F$7,IF(B232&lt;=Hypothèses!$C$8,Hypothèses!$F$8,IF(B232&lt;=Hypothèses!$C$9,Hypothèses!$F$9,IF(B232&lt;=Hypothèses!$C$10,Hypothèses!$F$10,IF(B232&lt;=Hypothèses!$C$11,Hypothèses!$F$11,IF(B232&lt;=Hypothèses!$C$12,Hypothèses!$F$12,IF(B232&lt;=Hypothèses!$C$13,Hypothèses!$F$13,IF(B232&lt;=Hypothèses!$C$14,Hypothèses!$F$14,IF(B232&lt;=Hypothèses!$C$15,Hypothèses!$F$15,IF(B232&lt;=Hypothèses!$C$16,Hypothèses!$F$16,IF(B232&lt;=Hypothèses!$C$17,Hypothèses!$F$17,IF(B232&lt;=Hypothèses!$C$18,Hypothèses!$F$18,F231))))))))))))</f>
        <v/>
      </c>
      <c r="G232" s="91">
        <f t="array" ref="G232">INDEX('Coeff EC7'!$U$7:$X$27,
MATCH(Model0.1T!$B$3,'Coeff EC7'!$T$7:$T$27,0),
MATCH(Model0.1T!$D232&amp;Model0.1T!$B$4,
'Coeff EC7'!$U$6:$X$6&amp;
'Coeff EC7'!$U$5:$X$5,0))</f>
        <v>1.4</v>
      </c>
      <c r="H232" s="91">
        <f t="array" ref="H232">INDEX('Coeff EC7'!$Y$7:$AB$27,
MATCH(Model0.1T!$B$3,'Coeff EC7'!$T$7:$T$27,0),
MATCH(Model0.1T!$D232&amp;Model0.1T!$B$4,
'Coeff EC7'!$Y$6:$AB$6&amp;
'Coeff EC7'!$Y$5:$AB$5,0))</f>
        <v>1.7</v>
      </c>
      <c r="I232" s="83">
        <v>0</v>
      </c>
      <c r="J232" s="91" t="e">
        <f t="array" ref="J232">INDEX('Coeff EC7'!$D$33:$Q$33,1,MATCH(D232&amp;E232,'Coeff EC7'!$D$31:$Q$31&amp;'Coeff EC7'!$D$32:$Q$32,0))</f>
        <v>#N/A</v>
      </c>
      <c r="K232" s="91" t="e">
        <f t="array" ref="K232">INDEX('Coeff EC7'!$D$34:$Q$34,1,MATCH(D232&amp;E232,'Coeff EC7'!$D$31:$Q$31&amp;'Coeff EC7'!$D$32:$Q$32,0))</f>
        <v>#N/A</v>
      </c>
      <c r="L232" s="91" t="e">
        <f t="array" ref="L232">INDEX('Coeff EC7'!$D$35:$Q$35,1,MATCH(D232&amp;E232,'Coeff EC7'!$D$31:$Q$31&amp;'Coeff EC7'!$D$32:$Q$32,0))</f>
        <v>#N/A</v>
      </c>
      <c r="M232" s="98" t="e">
        <f t="shared" si="331"/>
        <v>#N/A</v>
      </c>
      <c r="N232" s="99" t="e">
        <f t="array" ref="N232">INDEX('Coeff EC7'!$D$7:$Q$27,MATCH($B$3,'Coeff EC7'!$C$7:$C$27,0),MATCH(D232&amp;E232,'Coeff EC7'!$D$5:$Q$5&amp;'Coeff EC7'!$D$6:$Q$6,0))</f>
        <v>#N/A</v>
      </c>
      <c r="O232" s="99" t="e">
        <f t="array" ref="O232">INDEX('Coeff EC7'!$D$41:$Q$61,MATCH($B$3,'Coeff EC7'!$C$41:$C$61,0),MATCH(D232&amp;E232,'Coeff EC7'!$D$39:$Q$39&amp;'Coeff EC7'!$D$40:$Q$40,0))</f>
        <v>#N/A</v>
      </c>
      <c r="P232" s="30" t="e">
        <f t="shared" si="366"/>
        <v>#N/A</v>
      </c>
      <c r="Q232" s="100" t="e">
        <f t="shared" si="333"/>
        <v>#N/A</v>
      </c>
      <c r="R232" s="86" t="b">
        <f t="shared" si="334"/>
        <v>0</v>
      </c>
      <c r="S232" s="86">
        <f t="shared" si="332"/>
        <v>0.5</v>
      </c>
      <c r="T232" s="86">
        <f t="shared" si="335"/>
        <v>0.5</v>
      </c>
      <c r="U232" s="30" t="e">
        <f t="shared" ca="1" si="367"/>
        <v>#DIV/0!</v>
      </c>
      <c r="V232" s="85" t="str">
        <f>IF(B232&lt;=Hypothèses!$V$7,Hypothèses!$W$7,IF(B232&lt;=Hypothèses!$V$8,Hypothèses!$W$8,IF(B232&lt;=Hypothèses!$V$9,Hypothèses!$W$9,IF(B232&lt;=Hypothèses!$V$10,Hypothèses!$W$10,IF(B232&lt;=Hypothèses!$V$11,Hypothèses!$W$11,IF(B232&lt;=Hypothèses!$V$12,Hypothèses!$W$12,IF(B232&lt;=Hypothèses!$V$13,Hypothèses!$W$13,IF(B232&lt;=Hypothèses!$V$14,Hypothèses!$W$14,IF(B232&lt;=Hypothèses!$V$15,Hypothèses!$W$15,IF(B232&lt;=Hypothèses!$V$16,Hypothèses!$W$16,IF(B232&lt;=Hypothèses!$V$17,Hypothèses!$W$17,IF(B232&lt;=Hypothèses!$V$18,Hypothèses!$W$18,""))))))))))))</f>
        <v/>
      </c>
      <c r="W232" s="87" t="e">
        <f t="shared" ca="1" si="416"/>
        <v>#DIV/0!</v>
      </c>
      <c r="X232" s="88" t="str">
        <f>IF(B232&lt;=Hypothèses!$V$7,Hypothèses!$X$7,IF(B232&lt;=Hypothèses!$V$8,Hypothèses!$X$8,IF(B232&lt;=Hypothèses!$V$9,Hypothèses!$X$9,IF(B232&lt;=Hypothèses!$V$10,Hypothèses!$X$10,IF(B232&lt;=Hypothèses!$V$11,Hypothèses!$X$11,IF(B232&lt;=Hypothèses!$V$12,Hypothèses!$X$12,IF(B232&lt;=Hypothèses!$V$13,Hypothèses!$X$13,IF(B232&lt;=Hypothèses!$V$14,Hypothèses!$X$14,IF(B232&lt;=Hypothèses!$V$15,Hypothèses!$X$15,IF(B232&lt;=Hypothèses!$V$16,Hypothèses!$X$16,IF(B232&lt;=Hypothèses!$U$17,Hypothèses!$W$17,IF(B232&lt;=Hypothèses!$U$18,Hypothèses!$W$18,""))))))))))))</f>
        <v/>
      </c>
      <c r="Y232" s="95" t="e">
        <f t="shared" ca="1" si="336"/>
        <v>#DIV/0!</v>
      </c>
      <c r="Z232" s="101">
        <f t="shared" si="337"/>
        <v>0</v>
      </c>
      <c r="AA232" s="91">
        <f t="shared" si="338"/>
        <v>0</v>
      </c>
      <c r="AB232" s="30" t="e">
        <f t="shared" si="400"/>
        <v>#N/A</v>
      </c>
      <c r="AC232" s="30" t="e">
        <f t="shared" si="401"/>
        <v>#N/A</v>
      </c>
      <c r="AD232" s="31" t="e">
        <f>IF(OR(Hypothèses!$B$4=17,Hypothèses!$B$4=18,Hypothèses!$B$4=19,Hypothèses!$B$4=20),
IF($D232="Pressio.",
IF(OR($E232=3,$E232=1,$E232=4),AC232,AB232),
IF($D232="Pénétro.",
IF(OR($E232=3,$E232=1,$E232=4),AC232,AB232))),IF($D232="Pressio.",
IF($E232=3,AC232,AB232),
IF($D232="Pénétro.",
IF($E232=4,AC232,AB232))))</f>
        <v>#N/A</v>
      </c>
      <c r="AE232" s="31">
        <v>0</v>
      </c>
      <c r="AF232" s="102" t="e">
        <f>IF(NDC!$H$10="Oui",(VLOOKUP($B$3,'Coeff EC7'!$T$39:$X$59,2,0)*AD232+VLOOKUP($B$3,'Coeff EC7'!$T$65:$X$85,2,0)*Model0.1T!AE232)/1.5,PI()*AB$12*$Q232*($B232-$B231)*0.15/10+AF231)</f>
        <v>#N/A</v>
      </c>
      <c r="AG232" s="102" t="e">
        <f>(VLOOKUP($B$3,'Coeff EC7'!$T$39:$X$59,3,0)*AD232+VLOOKUP($B$3,'Coeff EC7'!$T$65:$X$85,3,0)*Model0.1T!AE232)/1.1</f>
        <v>#N/A</v>
      </c>
      <c r="AH232" s="102" t="e">
        <f t="shared" si="368"/>
        <v>#N/A</v>
      </c>
      <c r="AI232" s="102" t="e">
        <f t="shared" si="369"/>
        <v>#N/A</v>
      </c>
      <c r="AJ232" s="414" t="e">
        <f>IF(AND(AF232&gt;NDC!$C$63,AG232&gt;NDC!$C$65,AH232&gt;NDC!$D$73,AI232&gt;NDC!$D$74,$B232&gt;NDC!$H$22-0.1+MIN(3*$AJ$12,1.5)),0,1)</f>
        <v>#N/A</v>
      </c>
      <c r="AK232" s="86" t="b">
        <f t="shared" si="339"/>
        <v>0</v>
      </c>
      <c r="AL232" s="86">
        <f t="shared" si="370"/>
        <v>0.5</v>
      </c>
      <c r="AM232" s="86">
        <f t="shared" si="340"/>
        <v>0.5</v>
      </c>
      <c r="AN232" s="30" t="e">
        <f t="shared" ca="1" si="371"/>
        <v>#DIV/0!</v>
      </c>
      <c r="AO232" s="85" t="e">
        <f ca="1">IF(U232&lt;=Hypothèses!$V$7,Hypothèses!$W$7,IF(U232&lt;=Hypothèses!$V$8,Hypothèses!$W$8,IF(U232&lt;=Hypothèses!$V$9,Hypothèses!$W$9,IF(U232&lt;=Hypothèses!$V$10,Hypothèses!$W$10,IF(U232&lt;=Hypothèses!$V$11,Hypothèses!$W$11,IF(U232&lt;=Hypothèses!$V$12,Hypothèses!$W$12,IF(U232&lt;=Hypothèses!$V$13,Hypothèses!$W$13,IF(U232&lt;=Hypothèses!$V$14,Hypothèses!$W$14,IF(U232&lt;=Hypothèses!$V$15,Hypothèses!$W$15,IF(U232&lt;=Hypothèses!$V$16,Hypothèses!$W$16,IF(U232&lt;=Hypothèses!$V$17,Hypothèses!$W$17,IF(U232&lt;=Hypothèses!$V$18,Hypothèses!$W$18,""))))))))))))</f>
        <v>#DIV/0!</v>
      </c>
      <c r="AP232" s="87" t="e">
        <f t="shared" ca="1" si="417"/>
        <v>#DIV/0!</v>
      </c>
      <c r="AQ232" s="88" t="e">
        <f ca="1">IF(U232&lt;=Hypothèses!$V$7,Hypothèses!$X$7,IF(U232&lt;=Hypothèses!$V$8,Hypothèses!$X$8,IF(U232&lt;=Hypothèses!$V$9,Hypothèses!$X$9,IF(U232&lt;=Hypothèses!$V$10,Hypothèses!$X$10,IF(U232&lt;=Hypothèses!$V$11,Hypothèses!$X$11,IF(U232&lt;=Hypothèses!$V$12,Hypothèses!$X$12,IF(U232&lt;=Hypothèses!$V$13,Hypothèses!$X$13,IF(U232&lt;=Hypothèses!$V$14,Hypothèses!$X$14,IF(U232&lt;=Hypothèses!$V$15,Hypothèses!$X$15,IF(U232&lt;=Hypothèses!$V$16,Hypothèses!$X$16,IF(U232&lt;=Hypothèses!$U$17,Hypothèses!$W$17,IF(U232&lt;=Hypothèses!$U$18,Hypothèses!$W$18,""))))))))))))</f>
        <v>#DIV/0!</v>
      </c>
      <c r="AR232" s="95" t="e">
        <f t="shared" ca="1" si="372"/>
        <v>#DIV/0!</v>
      </c>
      <c r="AS232" s="101">
        <f t="shared" si="424"/>
        <v>0</v>
      </c>
      <c r="AT232" s="91">
        <f t="shared" si="341"/>
        <v>0</v>
      </c>
      <c r="AU232" s="30" t="e">
        <f t="shared" si="402"/>
        <v>#N/A</v>
      </c>
      <c r="AV232" s="30" t="e">
        <f t="shared" si="403"/>
        <v>#N/A</v>
      </c>
      <c r="AW232" s="31" t="e">
        <f>IF(OR(Hypothèses!$B$4=17,Hypothèses!$B$4=18,Hypothèses!$B$4=19,Hypothèses!$B$4=20),
IF($D232="Pressio.",
IF(OR($E232=3,$E232=1,$E232=4),AV232,AU232),
IF($D232="Pénétro.",
IF(OR($E232=3,$E232=1,$E232=4),AV232,AU232))),IF($D232="Pressio.",
IF($E232=3,AV232,AU232),
IF($D232="Pénétro.",
IF($E232=4,AV232,AU232))))</f>
        <v>#N/A</v>
      </c>
      <c r="AX232" s="31">
        <v>0</v>
      </c>
      <c r="AY232" s="102" t="e">
        <f>IF(NDC!$H$10="Oui",(VLOOKUP($B$3,'Coeff EC7'!$T$39:$X$59,2,0)*AW232+VLOOKUP($B$3,'Coeff EC7'!$T$65:$X$85,2,0)*Model0.1T!AX232)/1.5,PI()*AU$12*$Q232*($B232-$B231)*0.15/10+AY231)</f>
        <v>#N/A</v>
      </c>
      <c r="AZ232" s="102" t="e">
        <f>(VLOOKUP($B$3,'Coeff EC7'!$T$39:$X$59,3,0)*AW232+VLOOKUP($B$3,'Coeff EC7'!$T$65:$X$85,3,0)*Model0.1T!AX232)/1.1</f>
        <v>#N/A</v>
      </c>
      <c r="BA232" s="102" t="e">
        <f t="shared" si="373"/>
        <v>#N/A</v>
      </c>
      <c r="BB232" s="102" t="e">
        <f t="shared" si="374"/>
        <v>#N/A</v>
      </c>
      <c r="BC232" s="414" t="e">
        <f>IF(AND(AY232&gt;NDC!$C$63,AZ232&gt;NDC!$C$65,BA232&gt;NDC!$D$73,BB232&gt;NDC!$D$74,$B232&gt;NDC!$H$22-0.1+MIN(3*BC$12,1.5)),0,1)</f>
        <v>#N/A</v>
      </c>
      <c r="BD232" s="86" t="b">
        <f t="shared" si="342"/>
        <v>0</v>
      </c>
      <c r="BE232" s="86">
        <f t="shared" si="375"/>
        <v>0.5</v>
      </c>
      <c r="BF232" s="86">
        <f t="shared" si="343"/>
        <v>0.5</v>
      </c>
      <c r="BG232" s="30" t="e">
        <f t="shared" ca="1" si="376"/>
        <v>#DIV/0!</v>
      </c>
      <c r="BH232" s="85" t="e">
        <f ca="1">IF(AN232&lt;=Hypothèses!$V$7,Hypothèses!$W$7,IF(AN232&lt;=Hypothèses!$V$8,Hypothèses!$W$8,IF(AN232&lt;=Hypothèses!$V$9,Hypothèses!$W$9,IF(AN232&lt;=Hypothèses!$V$10,Hypothèses!$W$10,IF(AN232&lt;=Hypothèses!$V$11,Hypothèses!$W$11,IF(AN232&lt;=Hypothèses!$V$12,Hypothèses!$W$12,IF(AN232&lt;=Hypothèses!$V$13,Hypothèses!$W$13,IF(AN232&lt;=Hypothèses!$V$14,Hypothèses!$W$14,IF(AN232&lt;=Hypothèses!$V$15,Hypothèses!$W$15,IF(AN232&lt;=Hypothèses!$V$16,Hypothèses!$W$16,IF(AN232&lt;=Hypothèses!$V$17,Hypothèses!$W$17,IF(AN232&lt;=Hypothèses!$V$18,Hypothèses!$W$18,""))))))))))))</f>
        <v>#DIV/0!</v>
      </c>
      <c r="BI232" s="87" t="e">
        <f t="shared" ca="1" si="418"/>
        <v>#DIV/0!</v>
      </c>
      <c r="BJ232" s="88" t="e">
        <f ca="1">IF(AN232&lt;=Hypothèses!$V$7,Hypothèses!$X$7,IF(AN232&lt;=Hypothèses!$V$8,Hypothèses!$X$8,IF(AN232&lt;=Hypothèses!$V$9,Hypothèses!$X$9,IF(AN232&lt;=Hypothèses!$V$10,Hypothèses!$X$10,IF(AN232&lt;=Hypothèses!$V$11,Hypothèses!$X$11,IF(AN232&lt;=Hypothèses!$V$12,Hypothèses!$X$12,IF(AN232&lt;=Hypothèses!$V$13,Hypothèses!$X$13,IF(AN232&lt;=Hypothèses!$V$14,Hypothèses!$X$14,IF(AN232&lt;=Hypothèses!$V$15,Hypothèses!$X$15,IF(AN232&lt;=Hypothèses!$V$16,Hypothèses!$X$16,IF(AN232&lt;=Hypothèses!$U$17,Hypothèses!$W$17,IF(AN232&lt;=Hypothèses!$U$18,Hypothèses!$W$18,""))))))))))))</f>
        <v>#DIV/0!</v>
      </c>
      <c r="BK232" s="95" t="e">
        <f t="shared" ca="1" si="377"/>
        <v>#DIV/0!</v>
      </c>
      <c r="BL232" s="101">
        <f t="shared" si="425"/>
        <v>0</v>
      </c>
      <c r="BM232" s="91">
        <f t="shared" si="344"/>
        <v>0</v>
      </c>
      <c r="BN232" s="30" t="e">
        <f t="shared" si="404"/>
        <v>#N/A</v>
      </c>
      <c r="BO232" s="30" t="e">
        <f t="shared" si="405"/>
        <v>#N/A</v>
      </c>
      <c r="BP232" s="31" t="e">
        <f>IF(OR(Hypothèses!$B$4=17,Hypothèses!$B$4=18,Hypothèses!$B$4=19,Hypothèses!$B$4=20),
IF($D232="Pressio.",
IF(OR($E232=3,$E232=1,$E232=4),BO232,BN232),
IF($D232="Pénétro.",
IF(OR($E232=3,$E232=1,$E232=4),BO232,BN232))),IF($D232="Pressio.",
IF($E232=3,BO232,BN232),
IF($D232="Pénétro.",
IF($E232=4,BO232,BN232))))</f>
        <v>#N/A</v>
      </c>
      <c r="BQ232" s="31">
        <v>0</v>
      </c>
      <c r="BR232" s="102" t="e">
        <f>IF(NDC!$H$10="Oui",(VLOOKUP($B$3,'Coeff EC7'!$T$39:$X$59,2,0)*BP232+VLOOKUP($B$3,'Coeff EC7'!$T$65:$X$85,2,0)*Model0.1T!BQ232)/1.5,PI()*BN$12*$Q232*($B232-$B231)*0.15/10+BR231)</f>
        <v>#N/A</v>
      </c>
      <c r="BS232" s="102" t="e">
        <f>(VLOOKUP($B$3,'Coeff EC7'!$T$39:$X$59,3,0)*BP232+VLOOKUP($B$3,'Coeff EC7'!$T$65:$X$85,3,0)*Model0.1T!BQ232)/1.1</f>
        <v>#N/A</v>
      </c>
      <c r="BT232" s="102" t="e">
        <f t="shared" si="378"/>
        <v>#N/A</v>
      </c>
      <c r="BU232" s="102" t="e">
        <f t="shared" si="379"/>
        <v>#N/A</v>
      </c>
      <c r="BV232" s="414" t="e">
        <f>IF(AND(BR232&gt;NDC!$C$63,BS232&gt;NDC!$C$65,BT232&gt;NDC!$D$73,BU232&gt;NDC!$D$74,$B232&gt;NDC!$H$22-0.1+MIN(3*BV$12,1.5)),0,1)</f>
        <v>#N/A</v>
      </c>
      <c r="BW232" s="86" t="b">
        <f t="shared" si="345"/>
        <v>0</v>
      </c>
      <c r="BX232" s="86">
        <f t="shared" si="346"/>
        <v>0.5</v>
      </c>
      <c r="BY232" s="86">
        <f t="shared" si="347"/>
        <v>0.5</v>
      </c>
      <c r="BZ232" s="30" t="e">
        <f t="shared" ca="1" si="380"/>
        <v>#DIV/0!</v>
      </c>
      <c r="CA232" s="85" t="e">
        <f ca="1">IF(BG232&lt;=Hypothèses!$V$7,Hypothèses!$W$7,IF(BG232&lt;=Hypothèses!$V$8,Hypothèses!$W$8,IF(BG232&lt;=Hypothèses!$V$9,Hypothèses!$W$9,IF(BG232&lt;=Hypothèses!$V$10,Hypothèses!$W$10,IF(BG232&lt;=Hypothèses!$V$11,Hypothèses!$W$11,IF(BG232&lt;=Hypothèses!$V$12,Hypothèses!$W$12,IF(BG232&lt;=Hypothèses!$V$13,Hypothèses!$W$13,IF(BG232&lt;=Hypothèses!$V$14,Hypothèses!$W$14,IF(BG232&lt;=Hypothèses!$V$15,Hypothèses!$W$15,IF(BG232&lt;=Hypothèses!$V$16,Hypothèses!$W$16,IF(BG232&lt;=Hypothèses!$V$17,Hypothèses!$W$17,IF(BG232&lt;=Hypothèses!$V$18,Hypothèses!$W$18,""))))))))))))</f>
        <v>#DIV/0!</v>
      </c>
      <c r="CB232" s="87" t="e">
        <f t="shared" ca="1" si="419"/>
        <v>#DIV/0!</v>
      </c>
      <c r="CC232" s="88" t="e">
        <f ca="1">IF(BG232&lt;=Hypothèses!$V$7,Hypothèses!$X$7,IF(BG232&lt;=Hypothèses!$V$8,Hypothèses!$X$8,IF(BG232&lt;=Hypothèses!$V$9,Hypothèses!$X$9,IF(BG232&lt;=Hypothèses!$V$10,Hypothèses!$X$10,IF(BG232&lt;=Hypothèses!$V$11,Hypothèses!$X$11,IF(BG232&lt;=Hypothèses!$V$12,Hypothèses!$X$12,IF(BG232&lt;=Hypothèses!$V$13,Hypothèses!$X$13,IF(BG232&lt;=Hypothèses!$V$14,Hypothèses!$X$14,IF(BG232&lt;=Hypothèses!$V$15,Hypothèses!$X$15,IF(BG232&lt;=Hypothèses!$V$16,Hypothèses!$X$16,IF(BG232&lt;=Hypothèses!$U$17,Hypothèses!$W$17,IF(BG232&lt;=Hypothèses!$U$18,Hypothèses!$W$18,""))))))))))))</f>
        <v>#DIV/0!</v>
      </c>
      <c r="CD232" s="95" t="e">
        <f t="shared" ca="1" si="381"/>
        <v>#DIV/0!</v>
      </c>
      <c r="CE232" s="101">
        <f t="shared" si="426"/>
        <v>0</v>
      </c>
      <c r="CF232" s="91">
        <f t="shared" si="348"/>
        <v>0</v>
      </c>
      <c r="CG232" s="30" t="e">
        <f t="shared" si="406"/>
        <v>#N/A</v>
      </c>
      <c r="CH232" s="30" t="e">
        <f t="shared" si="407"/>
        <v>#N/A</v>
      </c>
      <c r="CI232" s="31" t="e">
        <f>IF(OR(Hypothèses!$B$4=17,Hypothèses!$B$4=18,Hypothèses!$B$4=19,Hypothèses!$B$4=20),
IF($D232="Pressio.",
IF(OR($E232=3,$E232=1,$E232=4),CH232,CG232),
IF($D232="Pénétro.",
IF(OR($E232=3,$E232=1,$E232=4),CH232,CG232))),IF($D232="Pressio.",
IF($E232=3,CH232,CG232),
IF($D232="Pénétro.",
IF($E232=4,CH232,CG232))))</f>
        <v>#N/A</v>
      </c>
      <c r="CJ232" s="31">
        <v>0</v>
      </c>
      <c r="CK232" s="102" t="e">
        <f>IF(NDC!$H$10="Oui",(VLOOKUP($B$3,'Coeff EC7'!$T$39:$X$59,2,0)*CI232+VLOOKUP($B$3,'Coeff EC7'!$T$65:$X$85,2,0)*Model0.1T!CJ232)/1.5,PI()*CG$12*$Q232*($B232-$B231)*0.15/10+CK231)</f>
        <v>#N/A</v>
      </c>
      <c r="CL232" s="102" t="e">
        <f>(VLOOKUP($B$3,'Coeff EC7'!$T$39:$X$59,3,0)*CI232+VLOOKUP($B$3,'Coeff EC7'!$T$65:$X$85,3,0)*Model0.1T!CJ232)/1.1</f>
        <v>#N/A</v>
      </c>
      <c r="CM232" s="102" t="e">
        <f t="shared" si="382"/>
        <v>#N/A</v>
      </c>
      <c r="CN232" s="102" t="e">
        <f t="shared" si="383"/>
        <v>#N/A</v>
      </c>
      <c r="CO232" s="414" t="e">
        <f>IF(AND(CK232&gt;NDC!$C$63,CL232&gt;NDC!$C$65,CM232&gt;NDC!$D$73,CN232&gt;NDC!$D$74,$B232&gt;NDC!$H$22-0.1+MIN(3*CO$12,1.5)),0,1)</f>
        <v>#N/A</v>
      </c>
      <c r="CP232" s="86" t="b">
        <f t="shared" si="349"/>
        <v>0</v>
      </c>
      <c r="CQ232" s="86">
        <f t="shared" si="350"/>
        <v>0.5</v>
      </c>
      <c r="CR232" s="86">
        <f t="shared" si="351"/>
        <v>0.5</v>
      </c>
      <c r="CS232" s="30" t="e">
        <f t="shared" ca="1" si="384"/>
        <v>#DIV/0!</v>
      </c>
      <c r="CT232" s="85" t="e">
        <f ca="1">IF(BZ232&lt;=Hypothèses!$V$7,Hypothèses!$W$7,IF(BZ232&lt;=Hypothèses!$V$8,Hypothèses!$W$8,IF(BZ232&lt;=Hypothèses!$V$9,Hypothèses!$W$9,IF(BZ232&lt;=Hypothèses!$V$10,Hypothèses!$W$10,IF(BZ232&lt;=Hypothèses!$V$11,Hypothèses!$W$11,IF(BZ232&lt;=Hypothèses!$V$12,Hypothèses!$W$12,IF(BZ232&lt;=Hypothèses!$V$13,Hypothèses!$W$13,IF(BZ232&lt;=Hypothèses!$V$14,Hypothèses!$W$14,IF(BZ232&lt;=Hypothèses!$V$15,Hypothèses!$W$15,IF(BZ232&lt;=Hypothèses!$V$16,Hypothèses!$W$16,IF(BZ232&lt;=Hypothèses!$V$17,Hypothèses!$W$17,IF(BZ232&lt;=Hypothèses!$V$18,Hypothèses!$W$18,""))))))))))))</f>
        <v>#DIV/0!</v>
      </c>
      <c r="CU232" s="87" t="e">
        <f t="shared" ca="1" si="420"/>
        <v>#DIV/0!</v>
      </c>
      <c r="CV232" s="88" t="e">
        <f ca="1">IF(BZ232&lt;=Hypothèses!$V$7,Hypothèses!$X$7,IF(BZ232&lt;=Hypothèses!$V$8,Hypothèses!$X$8,IF(BZ232&lt;=Hypothèses!$V$9,Hypothèses!$X$9,IF(BZ232&lt;=Hypothèses!$V$10,Hypothèses!$X$10,IF(BZ232&lt;=Hypothèses!$V$11,Hypothèses!$X$11,IF(BZ232&lt;=Hypothèses!$V$12,Hypothèses!$X$12,IF(BZ232&lt;=Hypothèses!$V$13,Hypothèses!$X$13,IF(BZ232&lt;=Hypothèses!$V$14,Hypothèses!$X$14,IF(BZ232&lt;=Hypothèses!$V$15,Hypothèses!$X$15,IF(BZ232&lt;=Hypothèses!$V$16,Hypothèses!$X$16,IF(BZ232&lt;=Hypothèses!$U$17,Hypothèses!$W$17,IF(BZ232&lt;=Hypothèses!$U$18,Hypothèses!$W$18,""))))))))))))</f>
        <v>#DIV/0!</v>
      </c>
      <c r="CW232" s="95" t="e">
        <f t="shared" ca="1" si="385"/>
        <v>#DIV/0!</v>
      </c>
      <c r="CX232" s="101">
        <f t="shared" si="427"/>
        <v>0</v>
      </c>
      <c r="CY232" s="91">
        <f t="shared" si="352"/>
        <v>0</v>
      </c>
      <c r="CZ232" s="30" t="e">
        <f t="shared" si="408"/>
        <v>#N/A</v>
      </c>
      <c r="DA232" s="30" t="e">
        <f t="shared" si="409"/>
        <v>#N/A</v>
      </c>
      <c r="DB232" s="31" t="e">
        <f>IF(OR(Hypothèses!$B$4=17,Hypothèses!$B$4=18,Hypothèses!$B$4=19,Hypothèses!$B$4=20),
IF($D232="Pressio.",
IF(OR($E232=3,$E232=1,$E232=4),DA232,CZ232),
IF($D232="Pénétro.",
IF(OR($E232=3,$E232=1,$E232=4),DA232,CZ232))),IF($D232="Pressio.",
IF($E232=3,DA232,CZ232),
IF($D232="Pénétro.",
IF($E232=4,DA232,CZ232))))</f>
        <v>#N/A</v>
      </c>
      <c r="DC232" s="31">
        <v>0</v>
      </c>
      <c r="DD232" s="102" t="e">
        <f>IF(NDC!$H$10="Oui",(VLOOKUP($B$3,'Coeff EC7'!$T$39:$X$59,2,0)*DB232+VLOOKUP($B$3,'Coeff EC7'!$T$65:$X$85,2,0)*Model0.1T!DC232)/1.5,PI()*CZ$12*$Q232*($B232-$B231)*0.15/10+DD231)</f>
        <v>#N/A</v>
      </c>
      <c r="DE232" s="102" t="e">
        <f>(VLOOKUP($B$3,'Coeff EC7'!$T$39:$X$59,3,0)*DB232+VLOOKUP($B$3,'Coeff EC7'!$T$65:$X$85,3,0)*Model0.1T!DC232)/1.1</f>
        <v>#N/A</v>
      </c>
      <c r="DF232" s="102" t="e">
        <f t="shared" si="386"/>
        <v>#N/A</v>
      </c>
      <c r="DG232" s="102" t="e">
        <f t="shared" si="387"/>
        <v>#N/A</v>
      </c>
      <c r="DH232" s="414" t="e">
        <f>IF(AND(DD232&gt;NDC!$C$63,DE232&gt;NDC!$C$65,DF232&gt;NDC!$D$73,DG232&gt;NDC!$D$74,$B232&gt;NDC!$H$22-0.1+MIN(3*DH$12,1.5)),0,1)</f>
        <v>#N/A</v>
      </c>
      <c r="DI232" s="86" t="b">
        <f t="shared" si="353"/>
        <v>0</v>
      </c>
      <c r="DJ232" s="86">
        <f t="shared" si="354"/>
        <v>0.5</v>
      </c>
      <c r="DK232" s="86">
        <f t="shared" si="355"/>
        <v>0.5</v>
      </c>
      <c r="DL232" s="30" t="e">
        <f t="shared" ca="1" si="388"/>
        <v>#DIV/0!</v>
      </c>
      <c r="DM232" s="85" t="e">
        <f ca="1">IF(CS232&lt;=Hypothèses!$V$7,Hypothèses!$W$7,IF(CS232&lt;=Hypothèses!$V$8,Hypothèses!$W$8,IF(CS232&lt;=Hypothèses!$V$9,Hypothèses!$W$9,IF(CS232&lt;=Hypothèses!$V$10,Hypothèses!$W$10,IF(CS232&lt;=Hypothèses!$V$11,Hypothèses!$W$11,IF(CS232&lt;=Hypothèses!$V$12,Hypothèses!$W$12,IF(CS232&lt;=Hypothèses!$V$13,Hypothèses!$W$13,IF(CS232&lt;=Hypothèses!$V$14,Hypothèses!$W$14,IF(CS232&lt;=Hypothèses!$V$15,Hypothèses!$W$15,IF(CS232&lt;=Hypothèses!$V$16,Hypothèses!$W$16,IF(CS232&lt;=Hypothèses!$V$17,Hypothèses!$W$17,IF(CS232&lt;=Hypothèses!$V$18,Hypothèses!$W$18,""))))))))))))</f>
        <v>#DIV/0!</v>
      </c>
      <c r="DN232" s="87" t="e">
        <f t="shared" ca="1" si="421"/>
        <v>#DIV/0!</v>
      </c>
      <c r="DO232" s="88" t="e">
        <f ca="1">IF(CS232&lt;=Hypothèses!$V$7,Hypothèses!$X$7,IF(CS232&lt;=Hypothèses!$V$8,Hypothèses!$X$8,IF(CS232&lt;=Hypothèses!$V$9,Hypothèses!$X$9,IF(CS232&lt;=Hypothèses!$V$10,Hypothèses!$X$10,IF(CS232&lt;=Hypothèses!$V$11,Hypothèses!$X$11,IF(CS232&lt;=Hypothèses!$V$12,Hypothèses!$X$12,IF(CS232&lt;=Hypothèses!$V$13,Hypothèses!$X$13,IF(CS232&lt;=Hypothèses!$V$14,Hypothèses!$X$14,IF(CS232&lt;=Hypothèses!$V$15,Hypothèses!$X$15,IF(CS232&lt;=Hypothèses!$V$16,Hypothèses!$X$16,IF(CS232&lt;=Hypothèses!$U$17,Hypothèses!$W$17,IF(CS232&lt;=Hypothèses!$U$18,Hypothèses!$W$18,""))))))))))))</f>
        <v>#DIV/0!</v>
      </c>
      <c r="DP232" s="95" t="e">
        <f t="shared" ca="1" si="389"/>
        <v>#DIV/0!</v>
      </c>
      <c r="DQ232" s="101">
        <f t="shared" si="428"/>
        <v>0</v>
      </c>
      <c r="DR232" s="91">
        <f t="shared" si="356"/>
        <v>0</v>
      </c>
      <c r="DS232" s="30" t="e">
        <f t="shared" si="410"/>
        <v>#N/A</v>
      </c>
      <c r="DT232" s="30" t="e">
        <f t="shared" si="411"/>
        <v>#N/A</v>
      </c>
      <c r="DU232" s="31" t="e">
        <f>IF(OR(Hypothèses!$B$4=17,Hypothèses!$B$4=18,Hypothèses!$B$4=19,Hypothèses!$B$4=20),
IF($D232="Pressio.",
IF(OR($E232=3,$E232=1,$E232=4),DT232,DS232),
IF($D232="Pénétro.",
IF(OR($E232=3,$E232=1,$E232=4),DT232,DS232))),IF($D232="Pressio.",
IF($E232=3,DT232,DS232),
IF($D232="Pénétro.",
IF($E232=4,DT232,DS232))))</f>
        <v>#N/A</v>
      </c>
      <c r="DV232" s="31">
        <v>0</v>
      </c>
      <c r="DW232" s="102" t="e">
        <f>IF(NDC!$H$10="Oui",(VLOOKUP($B$3,'Coeff EC7'!$T$39:$X$59,2,0)*DU232+VLOOKUP($B$3,'Coeff EC7'!$T$65:$X$85,2,0)*Model0.1T!DV232)/1.5,PI()*DS$12*$Q232*($B232-$B231)*0.15/10+DW231)</f>
        <v>#N/A</v>
      </c>
      <c r="DX232" s="102" t="e">
        <f>(VLOOKUP($B$3,'Coeff EC7'!$T$39:$X$59,3,0)*DU232+VLOOKUP($B$3,'Coeff EC7'!$T$65:$X$85,3,0)*Model0.1T!DV232)/1.1</f>
        <v>#N/A</v>
      </c>
      <c r="DY232" s="102" t="e">
        <f t="shared" si="390"/>
        <v>#N/A</v>
      </c>
      <c r="DZ232" s="102" t="e">
        <f t="shared" si="391"/>
        <v>#N/A</v>
      </c>
      <c r="EA232" s="414" t="e">
        <f>IF(AND(DW232&gt;NDC!$C$63,DX232&gt;NDC!$C$65,DY232&gt;NDC!$D$73,DZ232&gt;NDC!$D$74,$B232&gt;NDC!$H$22-0.1+MIN(3*EA$12,1.5)),0,1)</f>
        <v>#N/A</v>
      </c>
      <c r="EB232" s="86" t="b">
        <f t="shared" si="357"/>
        <v>0</v>
      </c>
      <c r="EC232" s="418">
        <f t="shared" si="358"/>
        <v>0.51</v>
      </c>
      <c r="ED232" s="86">
        <f t="shared" si="359"/>
        <v>0.51</v>
      </c>
      <c r="EE232" s="30" t="e">
        <f t="shared" ca="1" si="392"/>
        <v>#DIV/0!</v>
      </c>
      <c r="EF232" s="85" t="e">
        <f ca="1">IF(DL232&lt;=Hypothèses!$V$7,Hypothèses!$W$7,IF(DL232&lt;=Hypothèses!$V$8,Hypothèses!$W$8,IF(DL232&lt;=Hypothèses!$V$9,Hypothèses!$W$9,IF(DL232&lt;=Hypothèses!$V$10,Hypothèses!$W$10,IF(DL232&lt;=Hypothèses!$V$11,Hypothèses!$W$11,IF(DL232&lt;=Hypothèses!$V$12,Hypothèses!$W$12,IF(DL232&lt;=Hypothèses!$V$13,Hypothèses!$W$13,IF(DL232&lt;=Hypothèses!$V$14,Hypothèses!$W$14,IF(DL232&lt;=Hypothèses!$V$15,Hypothèses!$W$15,IF(DL232&lt;=Hypothèses!$V$16,Hypothèses!$W$16,IF(DL232&lt;=Hypothèses!$V$17,Hypothèses!$W$17,IF(DL232&lt;=Hypothèses!$V$18,Hypothèses!$W$18,""))))))))))))</f>
        <v>#DIV/0!</v>
      </c>
      <c r="EG232" s="87" t="e">
        <f t="shared" ca="1" si="422"/>
        <v>#DIV/0!</v>
      </c>
      <c r="EH232" s="88" t="e">
        <f ca="1">IF(DL232&lt;=Hypothèses!$V$7,Hypothèses!$X$7,IF(DL232&lt;=Hypothèses!$V$8,Hypothèses!$X$8,IF(DL232&lt;=Hypothèses!$V$9,Hypothèses!$X$9,IF(DL232&lt;=Hypothèses!$V$10,Hypothèses!$X$10,IF(DL232&lt;=Hypothèses!$V$11,Hypothèses!$X$11,IF(DL232&lt;=Hypothèses!$V$12,Hypothèses!$X$12,IF(DL232&lt;=Hypothèses!$V$13,Hypothèses!$X$13,IF(DL232&lt;=Hypothèses!$V$14,Hypothèses!$X$14,IF(DL232&lt;=Hypothèses!$V$15,Hypothèses!$X$15,IF(DL232&lt;=Hypothèses!$V$16,Hypothèses!$X$16,IF(DL232&lt;=Hypothèses!$U$17,Hypothèses!$W$17,IF(DL232&lt;=Hypothèses!$U$18,Hypothèses!$W$18,""))))))))))))</f>
        <v>#DIV/0!</v>
      </c>
      <c r="EI232" s="95" t="e">
        <f t="shared" ca="1" si="393"/>
        <v>#DIV/0!</v>
      </c>
      <c r="EJ232" s="101">
        <f t="shared" si="429"/>
        <v>0</v>
      </c>
      <c r="EK232" s="91">
        <f t="shared" si="360"/>
        <v>0</v>
      </c>
      <c r="EL232" s="30" t="e">
        <f t="shared" si="412"/>
        <v>#N/A</v>
      </c>
      <c r="EM232" s="30" t="e">
        <f t="shared" si="413"/>
        <v>#N/A</v>
      </c>
      <c r="EN232" s="31" t="e">
        <f>IF(OR(Hypothèses!$B$4=17,Hypothèses!$B$4=18,Hypothèses!$B$4=19,Hypothèses!$B$4=20),
IF($D232="Pressio.",
IF(OR($E232=3,$E232=1,$E232=4),EM232,EL232),
IF($D232="Pénétro.",
IF(OR($E232=3,$E232=1,$E232=4),EM232,EL232))),IF($D232="Pressio.",
IF($E232=3,EM232,EL232),
IF($D232="Pénétro.",
IF($E232=4,EM232,EL232))))</f>
        <v>#N/A</v>
      </c>
      <c r="EO232" s="31">
        <v>0</v>
      </c>
      <c r="EP232" s="102" t="e">
        <f>IF(NDC!$H$10="Oui",(VLOOKUP($B$3,'Coeff EC7'!$T$39:$X$59,2,0)*EN232+VLOOKUP($B$3,'Coeff EC7'!$T$65:$X$85,2,0)*Model0.1T!EO232)/1.5,PI()*EL$12*$Q232*($B232-$B231)*0.15/10+EP231)</f>
        <v>#N/A</v>
      </c>
      <c r="EQ232" s="102" t="e">
        <f>(VLOOKUP($B$3,'Coeff EC7'!$T$39:$X$59,3,0)*EN232+VLOOKUP($B$3,'Coeff EC7'!$T$65:$X$85,3,0)*Model0.1T!EO232)/1.1</f>
        <v>#N/A</v>
      </c>
      <c r="ER232" s="102" t="e">
        <f t="shared" si="394"/>
        <v>#N/A</v>
      </c>
      <c r="ES232" s="102" t="e">
        <f t="shared" si="395"/>
        <v>#N/A</v>
      </c>
      <c r="ET232" s="414" t="e">
        <f>IF(AND(EP232&gt;NDC!$C$63,EQ232&gt;NDC!$C$65,ER232&gt;NDC!$D$73,ES232&gt;NDC!$D$74,$B232&gt;NDC!$H$22-0.1+MIN(3*ET$12,1.5)),0,1)</f>
        <v>#N/A</v>
      </c>
      <c r="EU232" s="86" t="b">
        <f t="shared" si="361"/>
        <v>0</v>
      </c>
      <c r="EV232" s="86">
        <f t="shared" si="362"/>
        <v>0.61</v>
      </c>
      <c r="EW232" s="86">
        <f t="shared" si="363"/>
        <v>0.61</v>
      </c>
      <c r="EX232" s="30" t="e">
        <f t="shared" ca="1" si="396"/>
        <v>#DIV/0!</v>
      </c>
      <c r="EY232" s="85" t="e">
        <f ca="1">IF(EE232&lt;=Hypothèses!$V$7,Hypothèses!$W$7,IF(EE232&lt;=Hypothèses!$V$8,Hypothèses!$W$8,IF(EE232&lt;=Hypothèses!$V$9,Hypothèses!$W$9,IF(EE232&lt;=Hypothèses!$V$10,Hypothèses!$W$10,IF(EE232&lt;=Hypothèses!$V$11,Hypothèses!$W$11,IF(EE232&lt;=Hypothèses!$V$12,Hypothèses!$W$12,IF(EE232&lt;=Hypothèses!$V$13,Hypothèses!$W$13,IF(EE232&lt;=Hypothèses!$V$14,Hypothèses!$W$14,IF(EE232&lt;=Hypothèses!$V$15,Hypothèses!$W$15,IF(EE232&lt;=Hypothèses!$V$16,Hypothèses!$W$16,IF(EE232&lt;=Hypothèses!$V$17,Hypothèses!$W$17,IF(EE232&lt;=Hypothèses!$V$18,Hypothèses!$W$18,""))))))))))))</f>
        <v>#DIV/0!</v>
      </c>
      <c r="EZ232" s="87" t="e">
        <f t="shared" ca="1" si="423"/>
        <v>#DIV/0!</v>
      </c>
      <c r="FA232" s="88" t="e">
        <f ca="1">IF(EE232&lt;=Hypothèses!$V$7,Hypothèses!$X$7,IF(EE232&lt;=Hypothèses!$V$8,Hypothèses!$X$8,IF(EE232&lt;=Hypothèses!$V$9,Hypothèses!$X$9,IF(EE232&lt;=Hypothèses!$V$10,Hypothèses!$X$10,IF(EE232&lt;=Hypothèses!$V$11,Hypothèses!$X$11,IF(EE232&lt;=Hypothèses!$V$12,Hypothèses!$X$12,IF(EE232&lt;=Hypothèses!$V$13,Hypothèses!$X$13,IF(EE232&lt;=Hypothèses!$V$14,Hypothèses!$X$14,IF(EE232&lt;=Hypothèses!$V$15,Hypothèses!$X$15,IF(EE232&lt;=Hypothèses!$V$16,Hypothèses!$X$16,IF(EE232&lt;=Hypothèses!$U$17,Hypothèses!$W$17,IF(EE232&lt;=Hypothèses!$U$18,Hypothèses!$W$18,""))))))))))))</f>
        <v>#DIV/0!</v>
      </c>
      <c r="FB232" s="95" t="e">
        <f t="shared" ca="1" si="397"/>
        <v>#DIV/0!</v>
      </c>
      <c r="FC232" s="101">
        <f t="shared" si="430"/>
        <v>0</v>
      </c>
      <c r="FD232" s="91">
        <f t="shared" si="364"/>
        <v>0</v>
      </c>
      <c r="FE232" s="30" t="e">
        <f t="shared" si="414"/>
        <v>#N/A</v>
      </c>
      <c r="FF232" s="30" t="e">
        <f t="shared" si="415"/>
        <v>#N/A</v>
      </c>
      <c r="FG232" s="31" t="e">
        <f>IF(OR(Hypothèses!$B$4=17,Hypothèses!$B$4=18,Hypothèses!$B$4=19,Hypothèses!$B$4=20),
IF($D232="Pressio.",
IF(OR($E232=3,$E232=1,$E232=4),FF232,FE232),
IF($D232="Pénétro.",
IF(OR($E232=3,$E232=1,$E232=4),FF232,FE232))),IF($D232="Pressio.",
IF($E232=3,FF232,FE232),
IF($D232="Pénétro.",
IF($E232=4,FF232,FE232))))</f>
        <v>#N/A</v>
      </c>
      <c r="FH232" s="31">
        <v>0</v>
      </c>
      <c r="FI232" s="102" t="e">
        <f>IF(NDC!$H$10="Oui",(VLOOKUP($B$3,'Coeff EC7'!$T$39:$X$59,2,0)*FG232+VLOOKUP($B$3,'Coeff EC7'!$T$65:$X$85,2,0)*Model0.1T!FH232)/1.5,PI()*FE$12*$Q232*($B232-$B231)*0.15/10+FI231)</f>
        <v>#N/A</v>
      </c>
      <c r="FJ232" s="102" t="e">
        <f>(VLOOKUP($B$3,'Coeff EC7'!$T$39:$X$59,3,0)*FG232+VLOOKUP($B$3,'Coeff EC7'!$T$65:$X$85,3,0)*Model0.1T!FH232)/1.1</f>
        <v>#N/A</v>
      </c>
      <c r="FK232" s="102" t="e">
        <f t="shared" si="398"/>
        <v>#N/A</v>
      </c>
      <c r="FL232" s="102" t="e">
        <f t="shared" si="399"/>
        <v>#N/A</v>
      </c>
      <c r="FM232" s="414" t="e">
        <f>IF(AND(FI232&gt;NDC!$C$63,FJ232&gt;NDC!$C$65,FK232&gt;NDC!$D$73,FL232&gt;NDC!$D$74,$B232&gt;NDC!$H$22-0.1+MIN(3*FM$12,1.5)),0,1)</f>
        <v>#N/A</v>
      </c>
    </row>
    <row r="233" spans="1:169">
      <c r="A233" s="96">
        <f t="shared" si="365"/>
        <v>78.000000000001251</v>
      </c>
      <c r="B233" s="97">
        <v>22</v>
      </c>
      <c r="C233" s="81">
        <f>IF(B233&lt;=Hypothèses!$C$7,Hypothèses!$A$7,IF(B233&lt;=Hypothèses!$C$8,Hypothèses!$A$8,IF(B233&lt;=Hypothèses!$C$9,Hypothèses!$A$9,IF(B233&lt;=Hypothèses!$C$10,Hypothèses!$A$10,IF(B233&lt;=Hypothèses!$C$11,Hypothèses!$A$11,IF(B233&lt;=Hypothèses!$C$12,Hypothèses!$A$12,IF(B233&lt;=Hypothèses!$C$13,Hypothèses!$A$13,IF(B233&lt;=Hypothèses!$C$14,Hypothèses!$A$14,IF(B233&lt;=Hypothèses!$C$15,Hypothèses!$A$15,IF(B233&lt;=Hypothèses!$C$16,Hypothèses!$A$16,IF(B233&lt;=Hypothèses!$C$17,Hypothèses!$A$17,IF(B233&lt;=Hypothèses!$C$18,Hypothèses!$A$18,C232))))))))))))</f>
        <v>11</v>
      </c>
      <c r="D233" s="82" t="str">
        <f>IF(B233&lt;=Hypothèses!$C$7,Hypothèses!$R$7,IF(B233&lt;=Hypothèses!$C$8,Hypothèses!$R$8,IF(B233&lt;=Hypothèses!$C$9,Hypothèses!$R$9,IF(B233&lt;=Hypothèses!$C$10,Hypothèses!$R$10,IF(B233&lt;=Hypothèses!$C$11,Hypothèses!$R$11,IF(B233&lt;=Hypothèses!$C$12,Hypothèses!$R$12,IF(B233&lt;=Hypothèses!$C$13,Hypothèses!$R$13,IF(B233&lt;=Hypothèses!$C$14,Hypothèses!$R$14,IF(B233&lt;=Hypothèses!$C$15,Hypothèses!$R$15,IF(B233&lt;=Hypothèses!$C$16,Hypothèses!$R$16,IF(B233&lt;=Hypothèses!$C$17,Hypothèses!$R$17,IF(B233&lt;=Hypothèses!$C$18,Hypothèses!$R$18,D232))))))))))))</f>
        <v>Pressio.</v>
      </c>
      <c r="E233" s="82" t="e">
        <f>IF(B233&lt;=Hypothèses!$C$7,Hypothèses!$G$7,IF(B233&lt;=Hypothèses!$C$8,Hypothèses!$G$8,IF(B233&lt;=Hypothèses!$C$9,Hypothèses!$G$9,IF(B233&lt;=Hypothèses!$C$10,Hypothèses!$G$10,IF(B233&lt;=Hypothèses!$C$11,Hypothèses!$G$11,IF(B233&lt;=Hypothèses!$C$12,Hypothèses!$G$12,IF(B233&lt;=Hypothèses!$C$13,Hypothèses!$G$13,IF(B233&lt;=Hypothèses!$C$14,Hypothèses!$G$14,IF(B233&lt;=Hypothèses!$C$15,Hypothèses!$G$15,IF(B233&lt;=Hypothèses!$C$16,Hypothèses!$G$16,IF(B233&lt;=Hypothèses!$C$17,Hypothèses!$G$17,IF(B233&lt;=Hypothèses!$C$18,Hypothèses!$G$18,E232))))))))))))</f>
        <v>#N/A</v>
      </c>
      <c r="F233" s="82" t="str">
        <f>IF(B233&lt;=Hypothèses!$C$7,Hypothèses!$F$7,IF(B233&lt;=Hypothèses!$C$8,Hypothèses!$F$8,IF(B233&lt;=Hypothèses!$C$9,Hypothèses!$F$9,IF(B233&lt;=Hypothèses!$C$10,Hypothèses!$F$10,IF(B233&lt;=Hypothèses!$C$11,Hypothèses!$F$11,IF(B233&lt;=Hypothèses!$C$12,Hypothèses!$F$12,IF(B233&lt;=Hypothèses!$C$13,Hypothèses!$F$13,IF(B233&lt;=Hypothèses!$C$14,Hypothèses!$F$14,IF(B233&lt;=Hypothèses!$C$15,Hypothèses!$F$15,IF(B233&lt;=Hypothèses!$C$16,Hypothèses!$F$16,IF(B233&lt;=Hypothèses!$C$17,Hypothèses!$F$17,IF(B233&lt;=Hypothèses!$C$18,Hypothèses!$F$18,F232))))))))))))</f>
        <v/>
      </c>
      <c r="G233" s="91">
        <f t="array" ref="G233">INDEX('Coeff EC7'!$U$7:$X$27,
MATCH(Model0.1T!$B$3,'Coeff EC7'!$T$7:$T$27,0),
MATCH(Model0.1T!$D233&amp;Model0.1T!$B$4,
'Coeff EC7'!$U$6:$X$6&amp;
'Coeff EC7'!$U$5:$X$5,0))</f>
        <v>1.4</v>
      </c>
      <c r="H233" s="91">
        <f t="array" ref="H233">INDEX('Coeff EC7'!$Y$7:$AB$27,
MATCH(Model0.1T!$B$3,'Coeff EC7'!$T$7:$T$27,0),
MATCH(Model0.1T!$D233&amp;Model0.1T!$B$4,
'Coeff EC7'!$Y$6:$AB$6&amp;
'Coeff EC7'!$Y$5:$AB$5,0))</f>
        <v>1.7</v>
      </c>
      <c r="I233" s="83">
        <v>0</v>
      </c>
      <c r="J233" s="91" t="e">
        <f t="array" ref="J233">INDEX('Coeff EC7'!$D$33:$Q$33,1,MATCH(D233&amp;E233,'Coeff EC7'!$D$31:$Q$31&amp;'Coeff EC7'!$D$32:$Q$32,0))</f>
        <v>#N/A</v>
      </c>
      <c r="K233" s="91" t="e">
        <f t="array" ref="K233">INDEX('Coeff EC7'!$D$34:$Q$34,1,MATCH(D233&amp;E233,'Coeff EC7'!$D$31:$Q$31&amp;'Coeff EC7'!$D$32:$Q$32,0))</f>
        <v>#N/A</v>
      </c>
      <c r="L233" s="91" t="e">
        <f t="array" ref="L233">INDEX('Coeff EC7'!$D$35:$Q$35,1,MATCH(D233&amp;E233,'Coeff EC7'!$D$31:$Q$31&amp;'Coeff EC7'!$D$32:$Q$32,0))</f>
        <v>#N/A</v>
      </c>
      <c r="M233" s="98" t="e">
        <f t="shared" si="331"/>
        <v>#N/A</v>
      </c>
      <c r="N233" s="99" t="e">
        <f t="array" ref="N233">INDEX('Coeff EC7'!$D$7:$Q$27,MATCH($B$3,'Coeff EC7'!$C$7:$C$27,0),MATCH(D233&amp;E233,'Coeff EC7'!$D$5:$Q$5&amp;'Coeff EC7'!$D$6:$Q$6,0))</f>
        <v>#N/A</v>
      </c>
      <c r="O233" s="99" t="e">
        <f t="array" ref="O233">INDEX('Coeff EC7'!$D$41:$Q$61,MATCH($B$3,'Coeff EC7'!$C$41:$C$61,0),MATCH(D233&amp;E233,'Coeff EC7'!$D$39:$Q$39&amp;'Coeff EC7'!$D$40:$Q$40,0))</f>
        <v>#N/A</v>
      </c>
      <c r="P233" s="30" t="e">
        <f t="shared" si="366"/>
        <v>#N/A</v>
      </c>
      <c r="Q233" s="100" t="e">
        <f t="shared" si="333"/>
        <v>#N/A</v>
      </c>
      <c r="R233" s="86" t="b">
        <f t="shared" si="334"/>
        <v>0</v>
      </c>
      <c r="S233" s="86">
        <f t="shared" si="332"/>
        <v>0.5</v>
      </c>
      <c r="T233" s="86">
        <f t="shared" si="335"/>
        <v>0.5</v>
      </c>
      <c r="U233" s="30" t="e">
        <f t="shared" ca="1" si="367"/>
        <v>#DIV/0!</v>
      </c>
      <c r="V233" s="85" t="str">
        <f>IF(B233&lt;=Hypothèses!$V$7,Hypothèses!$W$7,IF(B233&lt;=Hypothèses!$V$8,Hypothèses!$W$8,IF(B233&lt;=Hypothèses!$V$9,Hypothèses!$W$9,IF(B233&lt;=Hypothèses!$V$10,Hypothèses!$W$10,IF(B233&lt;=Hypothèses!$V$11,Hypothèses!$W$11,IF(B233&lt;=Hypothèses!$V$12,Hypothèses!$W$12,IF(B233&lt;=Hypothèses!$V$13,Hypothèses!$W$13,IF(B233&lt;=Hypothèses!$V$14,Hypothèses!$W$14,IF(B233&lt;=Hypothèses!$V$15,Hypothèses!$W$15,IF(B233&lt;=Hypothèses!$V$16,Hypothèses!$W$16,IF(B233&lt;=Hypothèses!$V$17,Hypothèses!$W$17,IF(B233&lt;=Hypothèses!$V$18,Hypothèses!$W$18,""))))))))))))</f>
        <v/>
      </c>
      <c r="W233" s="87" t="e">
        <f t="shared" ca="1" si="416"/>
        <v>#DIV/0!</v>
      </c>
      <c r="X233" s="88" t="str">
        <f>IF(B233&lt;=Hypothèses!$V$7,Hypothèses!$X$7,IF(B233&lt;=Hypothèses!$V$8,Hypothèses!$X$8,IF(B233&lt;=Hypothèses!$V$9,Hypothèses!$X$9,IF(B233&lt;=Hypothèses!$V$10,Hypothèses!$X$10,IF(B233&lt;=Hypothèses!$V$11,Hypothèses!$X$11,IF(B233&lt;=Hypothèses!$V$12,Hypothèses!$X$12,IF(B233&lt;=Hypothèses!$V$13,Hypothèses!$X$13,IF(B233&lt;=Hypothèses!$V$14,Hypothèses!$X$14,IF(B233&lt;=Hypothèses!$V$15,Hypothèses!$X$15,IF(B233&lt;=Hypothèses!$V$16,Hypothèses!$X$16,IF(B233&lt;=Hypothèses!$U$17,Hypothèses!$W$17,IF(B233&lt;=Hypothèses!$U$18,Hypothèses!$W$18,""))))))))))))</f>
        <v/>
      </c>
      <c r="Y233" s="95" t="e">
        <f t="shared" ca="1" si="336"/>
        <v>#DIV/0!</v>
      </c>
      <c r="Z233" s="101">
        <f t="shared" si="337"/>
        <v>0</v>
      </c>
      <c r="AA233" s="91">
        <f t="shared" si="338"/>
        <v>0</v>
      </c>
      <c r="AB233" s="30" t="e">
        <f t="shared" si="400"/>
        <v>#N/A</v>
      </c>
      <c r="AC233" s="30" t="e">
        <f t="shared" si="401"/>
        <v>#N/A</v>
      </c>
      <c r="AD233" s="31" t="e">
        <f>IF(OR(Hypothèses!$B$4=17,Hypothèses!$B$4=18,Hypothèses!$B$4=19,Hypothèses!$B$4=20),
IF($D233="Pressio.",
IF(OR($E233=3,$E233=1,$E233=4),AC233,AB233),
IF($D233="Pénétro.",
IF(OR($E233=3,$E233=1,$E233=4),AC233,AB233))),IF($D233="Pressio.",
IF($E233=3,AC233,AB233),
IF($D233="Pénétro.",
IF($E233=4,AC233,AB233))))</f>
        <v>#N/A</v>
      </c>
      <c r="AE233" s="31">
        <v>0</v>
      </c>
      <c r="AF233" s="102" t="e">
        <f>IF(NDC!$H$10="Oui",(VLOOKUP($B$3,'Coeff EC7'!$T$39:$X$59,2,0)*AD233+VLOOKUP($B$3,'Coeff EC7'!$T$65:$X$85,2,0)*Model0.1T!AE233)/1.5,PI()*AB$12*$Q233*($B233-$B232)*0.15/10+AF232)</f>
        <v>#N/A</v>
      </c>
      <c r="AG233" s="102" t="e">
        <f>(VLOOKUP($B$3,'Coeff EC7'!$T$39:$X$59,3,0)*AD233+VLOOKUP($B$3,'Coeff EC7'!$T$65:$X$85,3,0)*Model0.1T!AE233)/1.1</f>
        <v>#N/A</v>
      </c>
      <c r="AH233" s="102" t="e">
        <f t="shared" si="368"/>
        <v>#N/A</v>
      </c>
      <c r="AI233" s="102" t="e">
        <f t="shared" si="369"/>
        <v>#N/A</v>
      </c>
      <c r="AJ233" s="414" t="e">
        <f>IF(AND(AF233&gt;NDC!$C$63,AG233&gt;NDC!$C$65,AH233&gt;NDC!$D$73,AI233&gt;NDC!$D$74,$B233&gt;NDC!$H$22-0.1+MIN(3*$AJ$12,1.5)),0,1)</f>
        <v>#N/A</v>
      </c>
      <c r="AK233" s="86" t="b">
        <f t="shared" si="339"/>
        <v>0</v>
      </c>
      <c r="AL233" s="86">
        <f t="shared" si="370"/>
        <v>0.5</v>
      </c>
      <c r="AM233" s="86">
        <f t="shared" si="340"/>
        <v>0.5</v>
      </c>
      <c r="AN233" s="30" t="e">
        <f t="shared" ca="1" si="371"/>
        <v>#DIV/0!</v>
      </c>
      <c r="AO233" s="85" t="e">
        <f ca="1">IF(U233&lt;=Hypothèses!$V$7,Hypothèses!$W$7,IF(U233&lt;=Hypothèses!$V$8,Hypothèses!$W$8,IF(U233&lt;=Hypothèses!$V$9,Hypothèses!$W$9,IF(U233&lt;=Hypothèses!$V$10,Hypothèses!$W$10,IF(U233&lt;=Hypothèses!$V$11,Hypothèses!$W$11,IF(U233&lt;=Hypothèses!$V$12,Hypothèses!$W$12,IF(U233&lt;=Hypothèses!$V$13,Hypothèses!$W$13,IF(U233&lt;=Hypothèses!$V$14,Hypothèses!$W$14,IF(U233&lt;=Hypothèses!$V$15,Hypothèses!$W$15,IF(U233&lt;=Hypothèses!$V$16,Hypothèses!$W$16,IF(U233&lt;=Hypothèses!$V$17,Hypothèses!$W$17,IF(U233&lt;=Hypothèses!$V$18,Hypothèses!$W$18,""))))))))))))</f>
        <v>#DIV/0!</v>
      </c>
      <c r="AP233" s="87" t="e">
        <f t="shared" ca="1" si="417"/>
        <v>#DIV/0!</v>
      </c>
      <c r="AQ233" s="88" t="e">
        <f ca="1">IF(U233&lt;=Hypothèses!$V$7,Hypothèses!$X$7,IF(U233&lt;=Hypothèses!$V$8,Hypothèses!$X$8,IF(U233&lt;=Hypothèses!$V$9,Hypothèses!$X$9,IF(U233&lt;=Hypothèses!$V$10,Hypothèses!$X$10,IF(U233&lt;=Hypothèses!$V$11,Hypothèses!$X$11,IF(U233&lt;=Hypothèses!$V$12,Hypothèses!$X$12,IF(U233&lt;=Hypothèses!$V$13,Hypothèses!$X$13,IF(U233&lt;=Hypothèses!$V$14,Hypothèses!$X$14,IF(U233&lt;=Hypothèses!$V$15,Hypothèses!$X$15,IF(U233&lt;=Hypothèses!$V$16,Hypothèses!$X$16,IF(U233&lt;=Hypothèses!$U$17,Hypothèses!$W$17,IF(U233&lt;=Hypothèses!$U$18,Hypothèses!$W$18,""))))))))))))</f>
        <v>#DIV/0!</v>
      </c>
      <c r="AR233" s="95" t="e">
        <f t="shared" ca="1" si="372"/>
        <v>#DIV/0!</v>
      </c>
      <c r="AS233" s="101">
        <f t="shared" si="424"/>
        <v>0</v>
      </c>
      <c r="AT233" s="91">
        <f t="shared" si="341"/>
        <v>0</v>
      </c>
      <c r="AU233" s="30" t="e">
        <f t="shared" si="402"/>
        <v>#N/A</v>
      </c>
      <c r="AV233" s="30" t="e">
        <f t="shared" si="403"/>
        <v>#N/A</v>
      </c>
      <c r="AW233" s="31" t="e">
        <f>IF(OR(Hypothèses!$B$4=17,Hypothèses!$B$4=18,Hypothèses!$B$4=19,Hypothèses!$B$4=20),
IF($D233="Pressio.",
IF(OR($E233=3,$E233=1,$E233=4),AV233,AU233),
IF($D233="Pénétro.",
IF(OR($E233=3,$E233=1,$E233=4),AV233,AU233))),IF($D233="Pressio.",
IF($E233=3,AV233,AU233),
IF($D233="Pénétro.",
IF($E233=4,AV233,AU233))))</f>
        <v>#N/A</v>
      </c>
      <c r="AX233" s="31">
        <v>0</v>
      </c>
      <c r="AY233" s="102" t="e">
        <f>IF(NDC!$H$10="Oui",(VLOOKUP($B$3,'Coeff EC7'!$T$39:$X$59,2,0)*AW233+VLOOKUP($B$3,'Coeff EC7'!$T$65:$X$85,2,0)*Model0.1T!AX233)/1.5,PI()*AU$12*$Q233*($B233-$B232)*0.15/10+AY232)</f>
        <v>#N/A</v>
      </c>
      <c r="AZ233" s="102" t="e">
        <f>(VLOOKUP($B$3,'Coeff EC7'!$T$39:$X$59,3,0)*AW233+VLOOKUP($B$3,'Coeff EC7'!$T$65:$X$85,3,0)*Model0.1T!AX233)/1.1</f>
        <v>#N/A</v>
      </c>
      <c r="BA233" s="102" t="e">
        <f t="shared" si="373"/>
        <v>#N/A</v>
      </c>
      <c r="BB233" s="102" t="e">
        <f t="shared" si="374"/>
        <v>#N/A</v>
      </c>
      <c r="BC233" s="414" t="e">
        <f>IF(AND(AY233&gt;NDC!$C$63,AZ233&gt;NDC!$C$65,BA233&gt;NDC!$D$73,BB233&gt;NDC!$D$74,$B233&gt;NDC!$H$22-0.1+MIN(3*BC$12,1.5)),0,1)</f>
        <v>#N/A</v>
      </c>
      <c r="BD233" s="86" t="b">
        <f t="shared" si="342"/>
        <v>0</v>
      </c>
      <c r="BE233" s="86">
        <f t="shared" si="375"/>
        <v>0.5</v>
      </c>
      <c r="BF233" s="86">
        <f t="shared" si="343"/>
        <v>0.5</v>
      </c>
      <c r="BG233" s="30" t="e">
        <f t="shared" ca="1" si="376"/>
        <v>#DIV/0!</v>
      </c>
      <c r="BH233" s="85" t="e">
        <f ca="1">IF(AN233&lt;=Hypothèses!$V$7,Hypothèses!$W$7,IF(AN233&lt;=Hypothèses!$V$8,Hypothèses!$W$8,IF(AN233&lt;=Hypothèses!$V$9,Hypothèses!$W$9,IF(AN233&lt;=Hypothèses!$V$10,Hypothèses!$W$10,IF(AN233&lt;=Hypothèses!$V$11,Hypothèses!$W$11,IF(AN233&lt;=Hypothèses!$V$12,Hypothèses!$W$12,IF(AN233&lt;=Hypothèses!$V$13,Hypothèses!$W$13,IF(AN233&lt;=Hypothèses!$V$14,Hypothèses!$W$14,IF(AN233&lt;=Hypothèses!$V$15,Hypothèses!$W$15,IF(AN233&lt;=Hypothèses!$V$16,Hypothèses!$W$16,IF(AN233&lt;=Hypothèses!$V$17,Hypothèses!$W$17,IF(AN233&lt;=Hypothèses!$V$18,Hypothèses!$W$18,""))))))))))))</f>
        <v>#DIV/0!</v>
      </c>
      <c r="BI233" s="87" t="e">
        <f t="shared" ca="1" si="418"/>
        <v>#DIV/0!</v>
      </c>
      <c r="BJ233" s="88" t="e">
        <f ca="1">IF(AN233&lt;=Hypothèses!$V$7,Hypothèses!$X$7,IF(AN233&lt;=Hypothèses!$V$8,Hypothèses!$X$8,IF(AN233&lt;=Hypothèses!$V$9,Hypothèses!$X$9,IF(AN233&lt;=Hypothèses!$V$10,Hypothèses!$X$10,IF(AN233&lt;=Hypothèses!$V$11,Hypothèses!$X$11,IF(AN233&lt;=Hypothèses!$V$12,Hypothèses!$X$12,IF(AN233&lt;=Hypothèses!$V$13,Hypothèses!$X$13,IF(AN233&lt;=Hypothèses!$V$14,Hypothèses!$X$14,IF(AN233&lt;=Hypothèses!$V$15,Hypothèses!$X$15,IF(AN233&lt;=Hypothèses!$V$16,Hypothèses!$X$16,IF(AN233&lt;=Hypothèses!$U$17,Hypothèses!$W$17,IF(AN233&lt;=Hypothèses!$U$18,Hypothèses!$W$18,""))))))))))))</f>
        <v>#DIV/0!</v>
      </c>
      <c r="BK233" s="95" t="e">
        <f t="shared" ca="1" si="377"/>
        <v>#DIV/0!</v>
      </c>
      <c r="BL233" s="101">
        <f t="shared" si="425"/>
        <v>0</v>
      </c>
      <c r="BM233" s="91">
        <f t="shared" si="344"/>
        <v>0</v>
      </c>
      <c r="BN233" s="30" t="e">
        <f t="shared" si="404"/>
        <v>#N/A</v>
      </c>
      <c r="BO233" s="30" t="e">
        <f t="shared" si="405"/>
        <v>#N/A</v>
      </c>
      <c r="BP233" s="31" t="e">
        <f>IF(OR(Hypothèses!$B$4=17,Hypothèses!$B$4=18,Hypothèses!$B$4=19,Hypothèses!$B$4=20),
IF($D233="Pressio.",
IF(OR($E233=3,$E233=1,$E233=4),BO233,BN233),
IF($D233="Pénétro.",
IF(OR($E233=3,$E233=1,$E233=4),BO233,BN233))),IF($D233="Pressio.",
IF($E233=3,BO233,BN233),
IF($D233="Pénétro.",
IF($E233=4,BO233,BN233))))</f>
        <v>#N/A</v>
      </c>
      <c r="BQ233" s="31">
        <v>0</v>
      </c>
      <c r="BR233" s="102" t="e">
        <f>IF(NDC!$H$10="Oui",(VLOOKUP($B$3,'Coeff EC7'!$T$39:$X$59,2,0)*BP233+VLOOKUP($B$3,'Coeff EC7'!$T$65:$X$85,2,0)*Model0.1T!BQ233)/1.5,PI()*BN$12*$Q233*($B233-$B232)*0.15/10+BR232)</f>
        <v>#N/A</v>
      </c>
      <c r="BS233" s="102" t="e">
        <f>(VLOOKUP($B$3,'Coeff EC7'!$T$39:$X$59,3,0)*BP233+VLOOKUP($B$3,'Coeff EC7'!$T$65:$X$85,3,0)*Model0.1T!BQ233)/1.1</f>
        <v>#N/A</v>
      </c>
      <c r="BT233" s="102" t="e">
        <f t="shared" si="378"/>
        <v>#N/A</v>
      </c>
      <c r="BU233" s="102" t="e">
        <f t="shared" si="379"/>
        <v>#N/A</v>
      </c>
      <c r="BV233" s="414" t="e">
        <f>IF(AND(BR233&gt;NDC!$C$63,BS233&gt;NDC!$C$65,BT233&gt;NDC!$D$73,BU233&gt;NDC!$D$74,$B233&gt;NDC!$H$22-0.1+MIN(3*BV$12,1.5)),0,1)</f>
        <v>#N/A</v>
      </c>
      <c r="BW233" s="86" t="b">
        <f t="shared" si="345"/>
        <v>0</v>
      </c>
      <c r="BX233" s="86">
        <f t="shared" si="346"/>
        <v>0.5</v>
      </c>
      <c r="BY233" s="86">
        <f t="shared" si="347"/>
        <v>0.5</v>
      </c>
      <c r="BZ233" s="30" t="e">
        <f t="shared" ca="1" si="380"/>
        <v>#DIV/0!</v>
      </c>
      <c r="CA233" s="85" t="e">
        <f ca="1">IF(BG233&lt;=Hypothèses!$V$7,Hypothèses!$W$7,IF(BG233&lt;=Hypothèses!$V$8,Hypothèses!$W$8,IF(BG233&lt;=Hypothèses!$V$9,Hypothèses!$W$9,IF(BG233&lt;=Hypothèses!$V$10,Hypothèses!$W$10,IF(BG233&lt;=Hypothèses!$V$11,Hypothèses!$W$11,IF(BG233&lt;=Hypothèses!$V$12,Hypothèses!$W$12,IF(BG233&lt;=Hypothèses!$V$13,Hypothèses!$W$13,IF(BG233&lt;=Hypothèses!$V$14,Hypothèses!$W$14,IF(BG233&lt;=Hypothèses!$V$15,Hypothèses!$W$15,IF(BG233&lt;=Hypothèses!$V$16,Hypothèses!$W$16,IF(BG233&lt;=Hypothèses!$V$17,Hypothèses!$W$17,IF(BG233&lt;=Hypothèses!$V$18,Hypothèses!$W$18,""))))))))))))</f>
        <v>#DIV/0!</v>
      </c>
      <c r="CB233" s="87" t="e">
        <f t="shared" ca="1" si="419"/>
        <v>#DIV/0!</v>
      </c>
      <c r="CC233" s="88" t="e">
        <f ca="1">IF(BG233&lt;=Hypothèses!$V$7,Hypothèses!$X$7,IF(BG233&lt;=Hypothèses!$V$8,Hypothèses!$X$8,IF(BG233&lt;=Hypothèses!$V$9,Hypothèses!$X$9,IF(BG233&lt;=Hypothèses!$V$10,Hypothèses!$X$10,IF(BG233&lt;=Hypothèses!$V$11,Hypothèses!$X$11,IF(BG233&lt;=Hypothèses!$V$12,Hypothèses!$X$12,IF(BG233&lt;=Hypothèses!$V$13,Hypothèses!$X$13,IF(BG233&lt;=Hypothèses!$V$14,Hypothèses!$X$14,IF(BG233&lt;=Hypothèses!$V$15,Hypothèses!$X$15,IF(BG233&lt;=Hypothèses!$V$16,Hypothèses!$X$16,IF(BG233&lt;=Hypothèses!$U$17,Hypothèses!$W$17,IF(BG233&lt;=Hypothèses!$U$18,Hypothèses!$W$18,""))))))))))))</f>
        <v>#DIV/0!</v>
      </c>
      <c r="CD233" s="95" t="e">
        <f t="shared" ca="1" si="381"/>
        <v>#DIV/0!</v>
      </c>
      <c r="CE233" s="101">
        <f t="shared" si="426"/>
        <v>0</v>
      </c>
      <c r="CF233" s="91">
        <f t="shared" si="348"/>
        <v>0</v>
      </c>
      <c r="CG233" s="30" t="e">
        <f t="shared" si="406"/>
        <v>#N/A</v>
      </c>
      <c r="CH233" s="30" t="e">
        <f t="shared" si="407"/>
        <v>#N/A</v>
      </c>
      <c r="CI233" s="31" t="e">
        <f>IF(OR(Hypothèses!$B$4=17,Hypothèses!$B$4=18,Hypothèses!$B$4=19,Hypothèses!$B$4=20),
IF($D233="Pressio.",
IF(OR($E233=3,$E233=1,$E233=4),CH233,CG233),
IF($D233="Pénétro.",
IF(OR($E233=3,$E233=1,$E233=4),CH233,CG233))),IF($D233="Pressio.",
IF($E233=3,CH233,CG233),
IF($D233="Pénétro.",
IF($E233=4,CH233,CG233))))</f>
        <v>#N/A</v>
      </c>
      <c r="CJ233" s="31">
        <v>0</v>
      </c>
      <c r="CK233" s="102" t="e">
        <f>IF(NDC!$H$10="Oui",(VLOOKUP($B$3,'Coeff EC7'!$T$39:$X$59,2,0)*CI233+VLOOKUP($B$3,'Coeff EC7'!$T$65:$X$85,2,0)*Model0.1T!CJ233)/1.5,PI()*CG$12*$Q233*($B233-$B232)*0.15/10+CK232)</f>
        <v>#N/A</v>
      </c>
      <c r="CL233" s="102" t="e">
        <f>(VLOOKUP($B$3,'Coeff EC7'!$T$39:$X$59,3,0)*CI233+VLOOKUP($B$3,'Coeff EC7'!$T$65:$X$85,3,0)*Model0.1T!CJ233)/1.1</f>
        <v>#N/A</v>
      </c>
      <c r="CM233" s="102" t="e">
        <f t="shared" si="382"/>
        <v>#N/A</v>
      </c>
      <c r="CN233" s="102" t="e">
        <f t="shared" si="383"/>
        <v>#N/A</v>
      </c>
      <c r="CO233" s="414" t="e">
        <f>IF(AND(CK233&gt;NDC!$C$63,CL233&gt;NDC!$C$65,CM233&gt;NDC!$D$73,CN233&gt;NDC!$D$74,$B233&gt;NDC!$H$22-0.1+MIN(3*CO$12,1.5)),0,1)</f>
        <v>#N/A</v>
      </c>
      <c r="CP233" s="86" t="b">
        <f t="shared" si="349"/>
        <v>0</v>
      </c>
      <c r="CQ233" s="86">
        <f t="shared" si="350"/>
        <v>0.5</v>
      </c>
      <c r="CR233" s="86">
        <f t="shared" si="351"/>
        <v>0.5</v>
      </c>
      <c r="CS233" s="30" t="e">
        <f t="shared" ca="1" si="384"/>
        <v>#DIV/0!</v>
      </c>
      <c r="CT233" s="85" t="e">
        <f ca="1">IF(BZ233&lt;=Hypothèses!$V$7,Hypothèses!$W$7,IF(BZ233&lt;=Hypothèses!$V$8,Hypothèses!$W$8,IF(BZ233&lt;=Hypothèses!$V$9,Hypothèses!$W$9,IF(BZ233&lt;=Hypothèses!$V$10,Hypothèses!$W$10,IF(BZ233&lt;=Hypothèses!$V$11,Hypothèses!$W$11,IF(BZ233&lt;=Hypothèses!$V$12,Hypothèses!$W$12,IF(BZ233&lt;=Hypothèses!$V$13,Hypothèses!$W$13,IF(BZ233&lt;=Hypothèses!$V$14,Hypothèses!$W$14,IF(BZ233&lt;=Hypothèses!$V$15,Hypothèses!$W$15,IF(BZ233&lt;=Hypothèses!$V$16,Hypothèses!$W$16,IF(BZ233&lt;=Hypothèses!$V$17,Hypothèses!$W$17,IF(BZ233&lt;=Hypothèses!$V$18,Hypothèses!$W$18,""))))))))))))</f>
        <v>#DIV/0!</v>
      </c>
      <c r="CU233" s="87" t="e">
        <f t="shared" ca="1" si="420"/>
        <v>#DIV/0!</v>
      </c>
      <c r="CV233" s="88" t="e">
        <f ca="1">IF(BZ233&lt;=Hypothèses!$V$7,Hypothèses!$X$7,IF(BZ233&lt;=Hypothèses!$V$8,Hypothèses!$X$8,IF(BZ233&lt;=Hypothèses!$V$9,Hypothèses!$X$9,IF(BZ233&lt;=Hypothèses!$V$10,Hypothèses!$X$10,IF(BZ233&lt;=Hypothèses!$V$11,Hypothèses!$X$11,IF(BZ233&lt;=Hypothèses!$V$12,Hypothèses!$X$12,IF(BZ233&lt;=Hypothèses!$V$13,Hypothèses!$X$13,IF(BZ233&lt;=Hypothèses!$V$14,Hypothèses!$X$14,IF(BZ233&lt;=Hypothèses!$V$15,Hypothèses!$X$15,IF(BZ233&lt;=Hypothèses!$V$16,Hypothèses!$X$16,IF(BZ233&lt;=Hypothèses!$U$17,Hypothèses!$W$17,IF(BZ233&lt;=Hypothèses!$U$18,Hypothèses!$W$18,""))))))))))))</f>
        <v>#DIV/0!</v>
      </c>
      <c r="CW233" s="95" t="e">
        <f t="shared" ca="1" si="385"/>
        <v>#DIV/0!</v>
      </c>
      <c r="CX233" s="101">
        <f t="shared" si="427"/>
        <v>0</v>
      </c>
      <c r="CY233" s="91">
        <f t="shared" si="352"/>
        <v>0</v>
      </c>
      <c r="CZ233" s="30" t="e">
        <f t="shared" si="408"/>
        <v>#N/A</v>
      </c>
      <c r="DA233" s="30" t="e">
        <f t="shared" si="409"/>
        <v>#N/A</v>
      </c>
      <c r="DB233" s="31" t="e">
        <f>IF(OR(Hypothèses!$B$4=17,Hypothèses!$B$4=18,Hypothèses!$B$4=19,Hypothèses!$B$4=20),
IF($D233="Pressio.",
IF(OR($E233=3,$E233=1,$E233=4),DA233,CZ233),
IF($D233="Pénétro.",
IF(OR($E233=3,$E233=1,$E233=4),DA233,CZ233))),IF($D233="Pressio.",
IF($E233=3,DA233,CZ233),
IF($D233="Pénétro.",
IF($E233=4,DA233,CZ233))))</f>
        <v>#N/A</v>
      </c>
      <c r="DC233" s="31">
        <v>0</v>
      </c>
      <c r="DD233" s="102" t="e">
        <f>IF(NDC!$H$10="Oui",(VLOOKUP($B$3,'Coeff EC7'!$T$39:$X$59,2,0)*DB233+VLOOKUP($B$3,'Coeff EC7'!$T$65:$X$85,2,0)*Model0.1T!DC233)/1.5,PI()*CZ$12*$Q233*($B233-$B232)*0.15/10+DD232)</f>
        <v>#N/A</v>
      </c>
      <c r="DE233" s="102" t="e">
        <f>(VLOOKUP($B$3,'Coeff EC7'!$T$39:$X$59,3,0)*DB233+VLOOKUP($B$3,'Coeff EC7'!$T$65:$X$85,3,0)*Model0.1T!DC233)/1.1</f>
        <v>#N/A</v>
      </c>
      <c r="DF233" s="102" t="e">
        <f t="shared" si="386"/>
        <v>#N/A</v>
      </c>
      <c r="DG233" s="102" t="e">
        <f t="shared" si="387"/>
        <v>#N/A</v>
      </c>
      <c r="DH233" s="414" t="e">
        <f>IF(AND(DD233&gt;NDC!$C$63,DE233&gt;NDC!$C$65,DF233&gt;NDC!$D$73,DG233&gt;NDC!$D$74,$B233&gt;NDC!$H$22-0.1+MIN(3*DH$12,1.5)),0,1)</f>
        <v>#N/A</v>
      </c>
      <c r="DI233" s="86" t="b">
        <f t="shared" si="353"/>
        <v>0</v>
      </c>
      <c r="DJ233" s="86">
        <f t="shared" si="354"/>
        <v>0.5</v>
      </c>
      <c r="DK233" s="86">
        <f t="shared" si="355"/>
        <v>0.5</v>
      </c>
      <c r="DL233" s="30" t="e">
        <f t="shared" ca="1" si="388"/>
        <v>#DIV/0!</v>
      </c>
      <c r="DM233" s="85" t="e">
        <f ca="1">IF(CS233&lt;=Hypothèses!$V$7,Hypothèses!$W$7,IF(CS233&lt;=Hypothèses!$V$8,Hypothèses!$W$8,IF(CS233&lt;=Hypothèses!$V$9,Hypothèses!$W$9,IF(CS233&lt;=Hypothèses!$V$10,Hypothèses!$W$10,IF(CS233&lt;=Hypothèses!$V$11,Hypothèses!$W$11,IF(CS233&lt;=Hypothèses!$V$12,Hypothèses!$W$12,IF(CS233&lt;=Hypothèses!$V$13,Hypothèses!$W$13,IF(CS233&lt;=Hypothèses!$V$14,Hypothèses!$W$14,IF(CS233&lt;=Hypothèses!$V$15,Hypothèses!$W$15,IF(CS233&lt;=Hypothèses!$V$16,Hypothèses!$W$16,IF(CS233&lt;=Hypothèses!$V$17,Hypothèses!$W$17,IF(CS233&lt;=Hypothèses!$V$18,Hypothèses!$W$18,""))))))))))))</f>
        <v>#DIV/0!</v>
      </c>
      <c r="DN233" s="87" t="e">
        <f t="shared" ca="1" si="421"/>
        <v>#DIV/0!</v>
      </c>
      <c r="DO233" s="88" t="e">
        <f ca="1">IF(CS233&lt;=Hypothèses!$V$7,Hypothèses!$X$7,IF(CS233&lt;=Hypothèses!$V$8,Hypothèses!$X$8,IF(CS233&lt;=Hypothèses!$V$9,Hypothèses!$X$9,IF(CS233&lt;=Hypothèses!$V$10,Hypothèses!$X$10,IF(CS233&lt;=Hypothèses!$V$11,Hypothèses!$X$11,IF(CS233&lt;=Hypothèses!$V$12,Hypothèses!$X$12,IF(CS233&lt;=Hypothèses!$V$13,Hypothèses!$X$13,IF(CS233&lt;=Hypothèses!$V$14,Hypothèses!$X$14,IF(CS233&lt;=Hypothèses!$V$15,Hypothèses!$X$15,IF(CS233&lt;=Hypothèses!$V$16,Hypothèses!$X$16,IF(CS233&lt;=Hypothèses!$U$17,Hypothèses!$W$17,IF(CS233&lt;=Hypothèses!$U$18,Hypothèses!$W$18,""))))))))))))</f>
        <v>#DIV/0!</v>
      </c>
      <c r="DP233" s="95" t="e">
        <f t="shared" ca="1" si="389"/>
        <v>#DIV/0!</v>
      </c>
      <c r="DQ233" s="101">
        <f t="shared" si="428"/>
        <v>0</v>
      </c>
      <c r="DR233" s="91">
        <f t="shared" si="356"/>
        <v>0</v>
      </c>
      <c r="DS233" s="30" t="e">
        <f t="shared" si="410"/>
        <v>#N/A</v>
      </c>
      <c r="DT233" s="30" t="e">
        <f t="shared" si="411"/>
        <v>#N/A</v>
      </c>
      <c r="DU233" s="31" t="e">
        <f>IF(OR(Hypothèses!$B$4=17,Hypothèses!$B$4=18,Hypothèses!$B$4=19,Hypothèses!$B$4=20),
IF($D233="Pressio.",
IF(OR($E233=3,$E233=1,$E233=4),DT233,DS233),
IF($D233="Pénétro.",
IF(OR($E233=3,$E233=1,$E233=4),DT233,DS233))),IF($D233="Pressio.",
IF($E233=3,DT233,DS233),
IF($D233="Pénétro.",
IF($E233=4,DT233,DS233))))</f>
        <v>#N/A</v>
      </c>
      <c r="DV233" s="31">
        <v>0</v>
      </c>
      <c r="DW233" s="102" t="e">
        <f>IF(NDC!$H$10="Oui",(VLOOKUP($B$3,'Coeff EC7'!$T$39:$X$59,2,0)*DU233+VLOOKUP($B$3,'Coeff EC7'!$T$65:$X$85,2,0)*Model0.1T!DV233)/1.5,PI()*DS$12*$Q233*($B233-$B232)*0.15/10+DW232)</f>
        <v>#N/A</v>
      </c>
      <c r="DX233" s="102" t="e">
        <f>(VLOOKUP($B$3,'Coeff EC7'!$T$39:$X$59,3,0)*DU233+VLOOKUP($B$3,'Coeff EC7'!$T$65:$X$85,3,0)*Model0.1T!DV233)/1.1</f>
        <v>#N/A</v>
      </c>
      <c r="DY233" s="102" t="e">
        <f t="shared" si="390"/>
        <v>#N/A</v>
      </c>
      <c r="DZ233" s="102" t="e">
        <f t="shared" si="391"/>
        <v>#N/A</v>
      </c>
      <c r="EA233" s="414" t="e">
        <f>IF(AND(DW233&gt;NDC!$C$63,DX233&gt;NDC!$C$65,DY233&gt;NDC!$D$73,DZ233&gt;NDC!$D$74,$B233&gt;NDC!$H$22-0.1+MIN(3*EA$12,1.5)),0,1)</f>
        <v>#N/A</v>
      </c>
      <c r="EB233" s="86" t="b">
        <f t="shared" si="357"/>
        <v>0</v>
      </c>
      <c r="EC233" s="418">
        <f t="shared" si="358"/>
        <v>0.51</v>
      </c>
      <c r="ED233" s="86">
        <f t="shared" si="359"/>
        <v>0.51</v>
      </c>
      <c r="EE233" s="30" t="e">
        <f t="shared" ca="1" si="392"/>
        <v>#DIV/0!</v>
      </c>
      <c r="EF233" s="85" t="e">
        <f ca="1">IF(DL233&lt;=Hypothèses!$V$7,Hypothèses!$W$7,IF(DL233&lt;=Hypothèses!$V$8,Hypothèses!$W$8,IF(DL233&lt;=Hypothèses!$V$9,Hypothèses!$W$9,IF(DL233&lt;=Hypothèses!$V$10,Hypothèses!$W$10,IF(DL233&lt;=Hypothèses!$V$11,Hypothèses!$W$11,IF(DL233&lt;=Hypothèses!$V$12,Hypothèses!$W$12,IF(DL233&lt;=Hypothèses!$V$13,Hypothèses!$W$13,IF(DL233&lt;=Hypothèses!$V$14,Hypothèses!$W$14,IF(DL233&lt;=Hypothèses!$V$15,Hypothèses!$W$15,IF(DL233&lt;=Hypothèses!$V$16,Hypothèses!$W$16,IF(DL233&lt;=Hypothèses!$V$17,Hypothèses!$W$17,IF(DL233&lt;=Hypothèses!$V$18,Hypothèses!$W$18,""))))))))))))</f>
        <v>#DIV/0!</v>
      </c>
      <c r="EG233" s="87" t="e">
        <f t="shared" ca="1" si="422"/>
        <v>#DIV/0!</v>
      </c>
      <c r="EH233" s="88" t="e">
        <f ca="1">IF(DL233&lt;=Hypothèses!$V$7,Hypothèses!$X$7,IF(DL233&lt;=Hypothèses!$V$8,Hypothèses!$X$8,IF(DL233&lt;=Hypothèses!$V$9,Hypothèses!$X$9,IF(DL233&lt;=Hypothèses!$V$10,Hypothèses!$X$10,IF(DL233&lt;=Hypothèses!$V$11,Hypothèses!$X$11,IF(DL233&lt;=Hypothèses!$V$12,Hypothèses!$X$12,IF(DL233&lt;=Hypothèses!$V$13,Hypothèses!$X$13,IF(DL233&lt;=Hypothèses!$V$14,Hypothèses!$X$14,IF(DL233&lt;=Hypothèses!$V$15,Hypothèses!$X$15,IF(DL233&lt;=Hypothèses!$V$16,Hypothèses!$X$16,IF(DL233&lt;=Hypothèses!$U$17,Hypothèses!$W$17,IF(DL233&lt;=Hypothèses!$U$18,Hypothèses!$W$18,""))))))))))))</f>
        <v>#DIV/0!</v>
      </c>
      <c r="EI233" s="95" t="e">
        <f t="shared" ca="1" si="393"/>
        <v>#DIV/0!</v>
      </c>
      <c r="EJ233" s="101">
        <f t="shared" si="429"/>
        <v>0</v>
      </c>
      <c r="EK233" s="91">
        <f t="shared" si="360"/>
        <v>0</v>
      </c>
      <c r="EL233" s="30" t="e">
        <f t="shared" si="412"/>
        <v>#N/A</v>
      </c>
      <c r="EM233" s="30" t="e">
        <f t="shared" si="413"/>
        <v>#N/A</v>
      </c>
      <c r="EN233" s="31" t="e">
        <f>IF(OR(Hypothèses!$B$4=17,Hypothèses!$B$4=18,Hypothèses!$B$4=19,Hypothèses!$B$4=20),
IF($D233="Pressio.",
IF(OR($E233=3,$E233=1,$E233=4),EM233,EL233),
IF($D233="Pénétro.",
IF(OR($E233=3,$E233=1,$E233=4),EM233,EL233))),IF($D233="Pressio.",
IF($E233=3,EM233,EL233),
IF($D233="Pénétro.",
IF($E233=4,EM233,EL233))))</f>
        <v>#N/A</v>
      </c>
      <c r="EO233" s="31">
        <v>0</v>
      </c>
      <c r="EP233" s="102" t="e">
        <f>IF(NDC!$H$10="Oui",(VLOOKUP($B$3,'Coeff EC7'!$T$39:$X$59,2,0)*EN233+VLOOKUP($B$3,'Coeff EC7'!$T$65:$X$85,2,0)*Model0.1T!EO233)/1.5,PI()*EL$12*$Q233*($B233-$B232)*0.15/10+EP232)</f>
        <v>#N/A</v>
      </c>
      <c r="EQ233" s="102" t="e">
        <f>(VLOOKUP($B$3,'Coeff EC7'!$T$39:$X$59,3,0)*EN233+VLOOKUP($B$3,'Coeff EC7'!$T$65:$X$85,3,0)*Model0.1T!EO233)/1.1</f>
        <v>#N/A</v>
      </c>
      <c r="ER233" s="102" t="e">
        <f t="shared" si="394"/>
        <v>#N/A</v>
      </c>
      <c r="ES233" s="102" t="e">
        <f t="shared" si="395"/>
        <v>#N/A</v>
      </c>
      <c r="ET233" s="414" t="e">
        <f>IF(AND(EP233&gt;NDC!$C$63,EQ233&gt;NDC!$C$65,ER233&gt;NDC!$D$73,ES233&gt;NDC!$D$74,$B233&gt;NDC!$H$22-0.1+MIN(3*ET$12,1.5)),0,1)</f>
        <v>#N/A</v>
      </c>
      <c r="EU233" s="86" t="b">
        <f t="shared" si="361"/>
        <v>0</v>
      </c>
      <c r="EV233" s="86">
        <f t="shared" si="362"/>
        <v>0.61</v>
      </c>
      <c r="EW233" s="86">
        <f t="shared" si="363"/>
        <v>0.61</v>
      </c>
      <c r="EX233" s="30" t="e">
        <f t="shared" ca="1" si="396"/>
        <v>#DIV/0!</v>
      </c>
      <c r="EY233" s="85" t="e">
        <f ca="1">IF(EE233&lt;=Hypothèses!$V$7,Hypothèses!$W$7,IF(EE233&lt;=Hypothèses!$V$8,Hypothèses!$W$8,IF(EE233&lt;=Hypothèses!$V$9,Hypothèses!$W$9,IF(EE233&lt;=Hypothèses!$V$10,Hypothèses!$W$10,IF(EE233&lt;=Hypothèses!$V$11,Hypothèses!$W$11,IF(EE233&lt;=Hypothèses!$V$12,Hypothèses!$W$12,IF(EE233&lt;=Hypothèses!$V$13,Hypothèses!$W$13,IF(EE233&lt;=Hypothèses!$V$14,Hypothèses!$W$14,IF(EE233&lt;=Hypothèses!$V$15,Hypothèses!$W$15,IF(EE233&lt;=Hypothèses!$V$16,Hypothèses!$W$16,IF(EE233&lt;=Hypothèses!$V$17,Hypothèses!$W$17,IF(EE233&lt;=Hypothèses!$V$18,Hypothèses!$W$18,""))))))))))))</f>
        <v>#DIV/0!</v>
      </c>
      <c r="EZ233" s="87" t="e">
        <f t="shared" ca="1" si="423"/>
        <v>#DIV/0!</v>
      </c>
      <c r="FA233" s="88" t="e">
        <f ca="1">IF(EE233&lt;=Hypothèses!$V$7,Hypothèses!$X$7,IF(EE233&lt;=Hypothèses!$V$8,Hypothèses!$X$8,IF(EE233&lt;=Hypothèses!$V$9,Hypothèses!$X$9,IF(EE233&lt;=Hypothèses!$V$10,Hypothèses!$X$10,IF(EE233&lt;=Hypothèses!$V$11,Hypothèses!$X$11,IF(EE233&lt;=Hypothèses!$V$12,Hypothèses!$X$12,IF(EE233&lt;=Hypothèses!$V$13,Hypothèses!$X$13,IF(EE233&lt;=Hypothèses!$V$14,Hypothèses!$X$14,IF(EE233&lt;=Hypothèses!$V$15,Hypothèses!$X$15,IF(EE233&lt;=Hypothèses!$V$16,Hypothèses!$X$16,IF(EE233&lt;=Hypothèses!$U$17,Hypothèses!$W$17,IF(EE233&lt;=Hypothèses!$U$18,Hypothèses!$W$18,""))))))))))))</f>
        <v>#DIV/0!</v>
      </c>
      <c r="FB233" s="95" t="e">
        <f t="shared" ca="1" si="397"/>
        <v>#DIV/0!</v>
      </c>
      <c r="FC233" s="101">
        <f t="shared" si="430"/>
        <v>0</v>
      </c>
      <c r="FD233" s="91">
        <f t="shared" si="364"/>
        <v>0</v>
      </c>
      <c r="FE233" s="30" t="e">
        <f t="shared" si="414"/>
        <v>#N/A</v>
      </c>
      <c r="FF233" s="30" t="e">
        <f t="shared" si="415"/>
        <v>#N/A</v>
      </c>
      <c r="FG233" s="31" t="e">
        <f>IF(OR(Hypothèses!$B$4=17,Hypothèses!$B$4=18,Hypothèses!$B$4=19,Hypothèses!$B$4=20),
IF($D233="Pressio.",
IF(OR($E233=3,$E233=1,$E233=4),FF233,FE233),
IF($D233="Pénétro.",
IF(OR($E233=3,$E233=1,$E233=4),FF233,FE233))),IF($D233="Pressio.",
IF($E233=3,FF233,FE233),
IF($D233="Pénétro.",
IF($E233=4,FF233,FE233))))</f>
        <v>#N/A</v>
      </c>
      <c r="FH233" s="31">
        <v>0</v>
      </c>
      <c r="FI233" s="102" t="e">
        <f>IF(NDC!$H$10="Oui",(VLOOKUP($B$3,'Coeff EC7'!$T$39:$X$59,2,0)*FG233+VLOOKUP($B$3,'Coeff EC7'!$T$65:$X$85,2,0)*Model0.1T!FH233)/1.5,PI()*FE$12*$Q233*($B233-$B232)*0.15/10+FI232)</f>
        <v>#N/A</v>
      </c>
      <c r="FJ233" s="102" t="e">
        <f>(VLOOKUP($B$3,'Coeff EC7'!$T$39:$X$59,3,0)*FG233+VLOOKUP($B$3,'Coeff EC7'!$T$65:$X$85,3,0)*Model0.1T!FH233)/1.1</f>
        <v>#N/A</v>
      </c>
      <c r="FK233" s="102" t="e">
        <f t="shared" si="398"/>
        <v>#N/A</v>
      </c>
      <c r="FL233" s="102" t="e">
        <f t="shared" si="399"/>
        <v>#N/A</v>
      </c>
      <c r="FM233" s="414" t="e">
        <f>IF(AND(FI233&gt;NDC!$C$63,FJ233&gt;NDC!$C$65,FK233&gt;NDC!$D$73,FL233&gt;NDC!$D$74,$B233&gt;NDC!$H$22-0.1+MIN(3*FM$12,1.5)),0,1)</f>
        <v>#N/A</v>
      </c>
    </row>
    <row r="234" spans="1:169">
      <c r="A234" s="96">
        <f t="shared" si="365"/>
        <v>77.900000000001256</v>
      </c>
      <c r="B234" s="97">
        <v>22.1</v>
      </c>
      <c r="C234" s="81">
        <f>IF(B234&lt;=Hypothèses!$C$7,Hypothèses!$A$7,IF(B234&lt;=Hypothèses!$C$8,Hypothèses!$A$8,IF(B234&lt;=Hypothèses!$C$9,Hypothèses!$A$9,IF(B234&lt;=Hypothèses!$C$10,Hypothèses!$A$10,IF(B234&lt;=Hypothèses!$C$11,Hypothèses!$A$11,IF(B234&lt;=Hypothèses!$C$12,Hypothèses!$A$12,IF(B234&lt;=Hypothèses!$C$13,Hypothèses!$A$13,IF(B234&lt;=Hypothèses!$C$14,Hypothèses!$A$14,IF(B234&lt;=Hypothèses!$C$15,Hypothèses!$A$15,IF(B234&lt;=Hypothèses!$C$16,Hypothèses!$A$16,IF(B234&lt;=Hypothèses!$C$17,Hypothèses!$A$17,IF(B234&lt;=Hypothèses!$C$18,Hypothèses!$A$18,C233))))))))))))</f>
        <v>11</v>
      </c>
      <c r="D234" s="82" t="str">
        <f>IF(B234&lt;=Hypothèses!$C$7,Hypothèses!$R$7,IF(B234&lt;=Hypothèses!$C$8,Hypothèses!$R$8,IF(B234&lt;=Hypothèses!$C$9,Hypothèses!$R$9,IF(B234&lt;=Hypothèses!$C$10,Hypothèses!$R$10,IF(B234&lt;=Hypothèses!$C$11,Hypothèses!$R$11,IF(B234&lt;=Hypothèses!$C$12,Hypothèses!$R$12,IF(B234&lt;=Hypothèses!$C$13,Hypothèses!$R$13,IF(B234&lt;=Hypothèses!$C$14,Hypothèses!$R$14,IF(B234&lt;=Hypothèses!$C$15,Hypothèses!$R$15,IF(B234&lt;=Hypothèses!$C$16,Hypothèses!$R$16,IF(B234&lt;=Hypothèses!$C$17,Hypothèses!$R$17,IF(B234&lt;=Hypothèses!$C$18,Hypothèses!$R$18,D233))))))))))))</f>
        <v>Pressio.</v>
      </c>
      <c r="E234" s="82" t="e">
        <f>IF(B234&lt;=Hypothèses!$C$7,Hypothèses!$G$7,IF(B234&lt;=Hypothèses!$C$8,Hypothèses!$G$8,IF(B234&lt;=Hypothèses!$C$9,Hypothèses!$G$9,IF(B234&lt;=Hypothèses!$C$10,Hypothèses!$G$10,IF(B234&lt;=Hypothèses!$C$11,Hypothèses!$G$11,IF(B234&lt;=Hypothèses!$C$12,Hypothèses!$G$12,IF(B234&lt;=Hypothèses!$C$13,Hypothèses!$G$13,IF(B234&lt;=Hypothèses!$C$14,Hypothèses!$G$14,IF(B234&lt;=Hypothèses!$C$15,Hypothèses!$G$15,IF(B234&lt;=Hypothèses!$C$16,Hypothèses!$G$16,IF(B234&lt;=Hypothèses!$C$17,Hypothèses!$G$17,IF(B234&lt;=Hypothèses!$C$18,Hypothèses!$G$18,E233))))))))))))</f>
        <v>#N/A</v>
      </c>
      <c r="F234" s="82" t="str">
        <f>IF(B234&lt;=Hypothèses!$C$7,Hypothèses!$F$7,IF(B234&lt;=Hypothèses!$C$8,Hypothèses!$F$8,IF(B234&lt;=Hypothèses!$C$9,Hypothèses!$F$9,IF(B234&lt;=Hypothèses!$C$10,Hypothèses!$F$10,IF(B234&lt;=Hypothèses!$C$11,Hypothèses!$F$11,IF(B234&lt;=Hypothèses!$C$12,Hypothèses!$F$12,IF(B234&lt;=Hypothèses!$C$13,Hypothèses!$F$13,IF(B234&lt;=Hypothèses!$C$14,Hypothèses!$F$14,IF(B234&lt;=Hypothèses!$C$15,Hypothèses!$F$15,IF(B234&lt;=Hypothèses!$C$16,Hypothèses!$F$16,IF(B234&lt;=Hypothèses!$C$17,Hypothèses!$F$17,IF(B234&lt;=Hypothèses!$C$18,Hypothèses!$F$18,F233))))))))))))</f>
        <v/>
      </c>
      <c r="G234" s="91">
        <f t="array" ref="G234">INDEX('Coeff EC7'!$U$7:$X$27,
MATCH(Model0.1T!$B$3,'Coeff EC7'!$T$7:$T$27,0),
MATCH(Model0.1T!$D234&amp;Model0.1T!$B$4,
'Coeff EC7'!$U$6:$X$6&amp;
'Coeff EC7'!$U$5:$X$5,0))</f>
        <v>1.4</v>
      </c>
      <c r="H234" s="91">
        <f t="array" ref="H234">INDEX('Coeff EC7'!$Y$7:$AB$27,
MATCH(Model0.1T!$B$3,'Coeff EC7'!$T$7:$T$27,0),
MATCH(Model0.1T!$D234&amp;Model0.1T!$B$4,
'Coeff EC7'!$Y$6:$AB$6&amp;
'Coeff EC7'!$Y$5:$AB$5,0))</f>
        <v>1.7</v>
      </c>
      <c r="I234" s="83">
        <v>0</v>
      </c>
      <c r="J234" s="91" t="e">
        <f t="array" ref="J234">INDEX('Coeff EC7'!$D$33:$Q$33,1,MATCH(D234&amp;E234,'Coeff EC7'!$D$31:$Q$31&amp;'Coeff EC7'!$D$32:$Q$32,0))</f>
        <v>#N/A</v>
      </c>
      <c r="K234" s="91" t="e">
        <f t="array" ref="K234">INDEX('Coeff EC7'!$D$34:$Q$34,1,MATCH(D234&amp;E234,'Coeff EC7'!$D$31:$Q$31&amp;'Coeff EC7'!$D$32:$Q$32,0))</f>
        <v>#N/A</v>
      </c>
      <c r="L234" s="91" t="e">
        <f t="array" ref="L234">INDEX('Coeff EC7'!$D$35:$Q$35,1,MATCH(D234&amp;E234,'Coeff EC7'!$D$31:$Q$31&amp;'Coeff EC7'!$D$32:$Q$32,0))</f>
        <v>#N/A</v>
      </c>
      <c r="M234" s="98" t="e">
        <f t="shared" si="331"/>
        <v>#N/A</v>
      </c>
      <c r="N234" s="99" t="e">
        <f t="array" ref="N234">INDEX('Coeff EC7'!$D$7:$Q$27,MATCH($B$3,'Coeff EC7'!$C$7:$C$27,0),MATCH(D234&amp;E234,'Coeff EC7'!$D$5:$Q$5&amp;'Coeff EC7'!$D$6:$Q$6,0))</f>
        <v>#N/A</v>
      </c>
      <c r="O234" s="99" t="e">
        <f t="array" ref="O234">INDEX('Coeff EC7'!$D$41:$Q$61,MATCH($B$3,'Coeff EC7'!$C$41:$C$61,0),MATCH(D234&amp;E234,'Coeff EC7'!$D$39:$Q$39&amp;'Coeff EC7'!$D$40:$Q$40,0))</f>
        <v>#N/A</v>
      </c>
      <c r="P234" s="30" t="e">
        <f t="shared" si="366"/>
        <v>#N/A</v>
      </c>
      <c r="Q234" s="100" t="e">
        <f t="shared" si="333"/>
        <v>#N/A</v>
      </c>
      <c r="R234" s="86" t="b">
        <f t="shared" si="334"/>
        <v>0</v>
      </c>
      <c r="S234" s="86">
        <f t="shared" si="332"/>
        <v>0.5</v>
      </c>
      <c r="T234" s="86">
        <f t="shared" si="335"/>
        <v>0.5</v>
      </c>
      <c r="U234" s="30" t="e">
        <f t="shared" ca="1" si="367"/>
        <v>#DIV/0!</v>
      </c>
      <c r="V234" s="85" t="str">
        <f>IF(B234&lt;=Hypothèses!$V$7,Hypothèses!$W$7,IF(B234&lt;=Hypothèses!$V$8,Hypothèses!$W$8,IF(B234&lt;=Hypothèses!$V$9,Hypothèses!$W$9,IF(B234&lt;=Hypothèses!$V$10,Hypothèses!$W$10,IF(B234&lt;=Hypothèses!$V$11,Hypothèses!$W$11,IF(B234&lt;=Hypothèses!$V$12,Hypothèses!$W$12,IF(B234&lt;=Hypothèses!$V$13,Hypothèses!$W$13,IF(B234&lt;=Hypothèses!$V$14,Hypothèses!$W$14,IF(B234&lt;=Hypothèses!$V$15,Hypothèses!$W$15,IF(B234&lt;=Hypothèses!$V$16,Hypothèses!$W$16,IF(B234&lt;=Hypothèses!$V$17,Hypothèses!$W$17,IF(B234&lt;=Hypothèses!$V$18,Hypothèses!$W$18,""))))))))))))</f>
        <v/>
      </c>
      <c r="W234" s="87" t="e">
        <f t="shared" ca="1" si="416"/>
        <v>#DIV/0!</v>
      </c>
      <c r="X234" s="88" t="str">
        <f>IF(B234&lt;=Hypothèses!$V$7,Hypothèses!$X$7,IF(B234&lt;=Hypothèses!$V$8,Hypothèses!$X$8,IF(B234&lt;=Hypothèses!$V$9,Hypothèses!$X$9,IF(B234&lt;=Hypothèses!$V$10,Hypothèses!$X$10,IF(B234&lt;=Hypothèses!$V$11,Hypothèses!$X$11,IF(B234&lt;=Hypothèses!$V$12,Hypothèses!$X$12,IF(B234&lt;=Hypothèses!$V$13,Hypothèses!$X$13,IF(B234&lt;=Hypothèses!$V$14,Hypothèses!$X$14,IF(B234&lt;=Hypothèses!$V$15,Hypothèses!$X$15,IF(B234&lt;=Hypothèses!$V$16,Hypothèses!$X$16,IF(B234&lt;=Hypothèses!$U$17,Hypothèses!$W$17,IF(B234&lt;=Hypothèses!$U$18,Hypothèses!$W$18,""))))))))))))</f>
        <v/>
      </c>
      <c r="Y234" s="95" t="e">
        <f t="shared" ca="1" si="336"/>
        <v>#DIV/0!</v>
      </c>
      <c r="Z234" s="101">
        <f t="shared" si="337"/>
        <v>0</v>
      </c>
      <c r="AA234" s="91">
        <f t="shared" si="338"/>
        <v>0</v>
      </c>
      <c r="AB234" s="30" t="e">
        <f t="shared" si="400"/>
        <v>#N/A</v>
      </c>
      <c r="AC234" s="30" t="e">
        <f t="shared" si="401"/>
        <v>#N/A</v>
      </c>
      <c r="AD234" s="31" t="e">
        <f>IF(OR(Hypothèses!$B$4=17,Hypothèses!$B$4=18,Hypothèses!$B$4=19,Hypothèses!$B$4=20),
IF($D234="Pressio.",
IF(OR($E234=3,$E234=1,$E234=4),AC234,AB234),
IF($D234="Pénétro.",
IF(OR($E234=3,$E234=1,$E234=4),AC234,AB234))),IF($D234="Pressio.",
IF($E234=3,AC234,AB234),
IF($D234="Pénétro.",
IF($E234=4,AC234,AB234))))</f>
        <v>#N/A</v>
      </c>
      <c r="AE234" s="31">
        <v>0</v>
      </c>
      <c r="AF234" s="102" t="e">
        <f>IF(NDC!$H$10="Oui",(VLOOKUP($B$3,'Coeff EC7'!$T$39:$X$59,2,0)*AD234+VLOOKUP($B$3,'Coeff EC7'!$T$65:$X$85,2,0)*Model0.1T!AE234)/1.5,PI()*AB$12*$Q234*($B234-$B233)*0.15/10+AF233)</f>
        <v>#N/A</v>
      </c>
      <c r="AG234" s="102" t="e">
        <f>(VLOOKUP($B$3,'Coeff EC7'!$T$39:$X$59,3,0)*AD234+VLOOKUP($B$3,'Coeff EC7'!$T$65:$X$85,3,0)*Model0.1T!AE234)/1.1</f>
        <v>#N/A</v>
      </c>
      <c r="AH234" s="102" t="e">
        <f t="shared" si="368"/>
        <v>#N/A</v>
      </c>
      <c r="AI234" s="102" t="e">
        <f t="shared" si="369"/>
        <v>#N/A</v>
      </c>
      <c r="AJ234" s="414" t="e">
        <f>IF(AND(AF234&gt;NDC!$C$63,AG234&gt;NDC!$C$65,AH234&gt;NDC!$D$73,AI234&gt;NDC!$D$74,$B234&gt;NDC!$H$22-0.1+MIN(3*$AJ$12,1.5)),0,1)</f>
        <v>#N/A</v>
      </c>
      <c r="AK234" s="86" t="b">
        <f t="shared" si="339"/>
        <v>0</v>
      </c>
      <c r="AL234" s="86">
        <f t="shared" si="370"/>
        <v>0.5</v>
      </c>
      <c r="AM234" s="86">
        <f t="shared" si="340"/>
        <v>0.5</v>
      </c>
      <c r="AN234" s="30" t="e">
        <f t="shared" ca="1" si="371"/>
        <v>#DIV/0!</v>
      </c>
      <c r="AO234" s="85" t="e">
        <f ca="1">IF(U234&lt;=Hypothèses!$V$7,Hypothèses!$W$7,IF(U234&lt;=Hypothèses!$V$8,Hypothèses!$W$8,IF(U234&lt;=Hypothèses!$V$9,Hypothèses!$W$9,IF(U234&lt;=Hypothèses!$V$10,Hypothèses!$W$10,IF(U234&lt;=Hypothèses!$V$11,Hypothèses!$W$11,IF(U234&lt;=Hypothèses!$V$12,Hypothèses!$W$12,IF(U234&lt;=Hypothèses!$V$13,Hypothèses!$W$13,IF(U234&lt;=Hypothèses!$V$14,Hypothèses!$W$14,IF(U234&lt;=Hypothèses!$V$15,Hypothèses!$W$15,IF(U234&lt;=Hypothèses!$V$16,Hypothèses!$W$16,IF(U234&lt;=Hypothèses!$V$17,Hypothèses!$W$17,IF(U234&lt;=Hypothèses!$V$18,Hypothèses!$W$18,""))))))))))))</f>
        <v>#DIV/0!</v>
      </c>
      <c r="AP234" s="87" t="e">
        <f t="shared" ca="1" si="417"/>
        <v>#DIV/0!</v>
      </c>
      <c r="AQ234" s="88" t="e">
        <f ca="1">IF(U234&lt;=Hypothèses!$V$7,Hypothèses!$X$7,IF(U234&lt;=Hypothèses!$V$8,Hypothèses!$X$8,IF(U234&lt;=Hypothèses!$V$9,Hypothèses!$X$9,IF(U234&lt;=Hypothèses!$V$10,Hypothèses!$X$10,IF(U234&lt;=Hypothèses!$V$11,Hypothèses!$X$11,IF(U234&lt;=Hypothèses!$V$12,Hypothèses!$X$12,IF(U234&lt;=Hypothèses!$V$13,Hypothèses!$X$13,IF(U234&lt;=Hypothèses!$V$14,Hypothèses!$X$14,IF(U234&lt;=Hypothèses!$V$15,Hypothèses!$X$15,IF(U234&lt;=Hypothèses!$V$16,Hypothèses!$X$16,IF(U234&lt;=Hypothèses!$U$17,Hypothèses!$W$17,IF(U234&lt;=Hypothèses!$U$18,Hypothèses!$W$18,""))))))))))))</f>
        <v>#DIV/0!</v>
      </c>
      <c r="AR234" s="95" t="e">
        <f t="shared" ca="1" si="372"/>
        <v>#DIV/0!</v>
      </c>
      <c r="AS234" s="101">
        <f t="shared" si="424"/>
        <v>0</v>
      </c>
      <c r="AT234" s="91">
        <f t="shared" si="341"/>
        <v>0</v>
      </c>
      <c r="AU234" s="30" t="e">
        <f t="shared" si="402"/>
        <v>#N/A</v>
      </c>
      <c r="AV234" s="30" t="e">
        <f t="shared" si="403"/>
        <v>#N/A</v>
      </c>
      <c r="AW234" s="31" t="e">
        <f>IF(OR(Hypothèses!$B$4=17,Hypothèses!$B$4=18,Hypothèses!$B$4=19,Hypothèses!$B$4=20),
IF($D234="Pressio.",
IF(OR($E234=3,$E234=1,$E234=4),AV234,AU234),
IF($D234="Pénétro.",
IF(OR($E234=3,$E234=1,$E234=4),AV234,AU234))),IF($D234="Pressio.",
IF($E234=3,AV234,AU234),
IF($D234="Pénétro.",
IF($E234=4,AV234,AU234))))</f>
        <v>#N/A</v>
      </c>
      <c r="AX234" s="31">
        <v>0</v>
      </c>
      <c r="AY234" s="102" t="e">
        <f>IF(NDC!$H$10="Oui",(VLOOKUP($B$3,'Coeff EC7'!$T$39:$X$59,2,0)*AW234+VLOOKUP($B$3,'Coeff EC7'!$T$65:$X$85,2,0)*Model0.1T!AX234)/1.5,PI()*AU$12*$Q234*($B234-$B233)*0.15/10+AY233)</f>
        <v>#N/A</v>
      </c>
      <c r="AZ234" s="102" t="e">
        <f>(VLOOKUP($B$3,'Coeff EC7'!$T$39:$X$59,3,0)*AW234+VLOOKUP($B$3,'Coeff EC7'!$T$65:$X$85,3,0)*Model0.1T!AX234)/1.1</f>
        <v>#N/A</v>
      </c>
      <c r="BA234" s="102" t="e">
        <f t="shared" si="373"/>
        <v>#N/A</v>
      </c>
      <c r="BB234" s="102" t="e">
        <f t="shared" si="374"/>
        <v>#N/A</v>
      </c>
      <c r="BC234" s="414" t="e">
        <f>IF(AND(AY234&gt;NDC!$C$63,AZ234&gt;NDC!$C$65,BA234&gt;NDC!$D$73,BB234&gt;NDC!$D$74,$B234&gt;NDC!$H$22-0.1+MIN(3*BC$12,1.5)),0,1)</f>
        <v>#N/A</v>
      </c>
      <c r="BD234" s="86" t="b">
        <f t="shared" si="342"/>
        <v>0</v>
      </c>
      <c r="BE234" s="86">
        <f t="shared" si="375"/>
        <v>0.5</v>
      </c>
      <c r="BF234" s="86">
        <f t="shared" si="343"/>
        <v>0.5</v>
      </c>
      <c r="BG234" s="30" t="e">
        <f t="shared" ca="1" si="376"/>
        <v>#DIV/0!</v>
      </c>
      <c r="BH234" s="85" t="e">
        <f ca="1">IF(AN234&lt;=Hypothèses!$V$7,Hypothèses!$W$7,IF(AN234&lt;=Hypothèses!$V$8,Hypothèses!$W$8,IF(AN234&lt;=Hypothèses!$V$9,Hypothèses!$W$9,IF(AN234&lt;=Hypothèses!$V$10,Hypothèses!$W$10,IF(AN234&lt;=Hypothèses!$V$11,Hypothèses!$W$11,IF(AN234&lt;=Hypothèses!$V$12,Hypothèses!$W$12,IF(AN234&lt;=Hypothèses!$V$13,Hypothèses!$W$13,IF(AN234&lt;=Hypothèses!$V$14,Hypothèses!$W$14,IF(AN234&lt;=Hypothèses!$V$15,Hypothèses!$W$15,IF(AN234&lt;=Hypothèses!$V$16,Hypothèses!$W$16,IF(AN234&lt;=Hypothèses!$V$17,Hypothèses!$W$17,IF(AN234&lt;=Hypothèses!$V$18,Hypothèses!$W$18,""))))))))))))</f>
        <v>#DIV/0!</v>
      </c>
      <c r="BI234" s="87" t="e">
        <f t="shared" ca="1" si="418"/>
        <v>#DIV/0!</v>
      </c>
      <c r="BJ234" s="88" t="e">
        <f ca="1">IF(AN234&lt;=Hypothèses!$V$7,Hypothèses!$X$7,IF(AN234&lt;=Hypothèses!$V$8,Hypothèses!$X$8,IF(AN234&lt;=Hypothèses!$V$9,Hypothèses!$X$9,IF(AN234&lt;=Hypothèses!$V$10,Hypothèses!$X$10,IF(AN234&lt;=Hypothèses!$V$11,Hypothèses!$X$11,IF(AN234&lt;=Hypothèses!$V$12,Hypothèses!$X$12,IF(AN234&lt;=Hypothèses!$V$13,Hypothèses!$X$13,IF(AN234&lt;=Hypothèses!$V$14,Hypothèses!$X$14,IF(AN234&lt;=Hypothèses!$V$15,Hypothèses!$X$15,IF(AN234&lt;=Hypothèses!$V$16,Hypothèses!$X$16,IF(AN234&lt;=Hypothèses!$U$17,Hypothèses!$W$17,IF(AN234&lt;=Hypothèses!$U$18,Hypothèses!$W$18,""))))))))))))</f>
        <v>#DIV/0!</v>
      </c>
      <c r="BK234" s="95" t="e">
        <f t="shared" ca="1" si="377"/>
        <v>#DIV/0!</v>
      </c>
      <c r="BL234" s="101">
        <f t="shared" si="425"/>
        <v>0</v>
      </c>
      <c r="BM234" s="91">
        <f t="shared" si="344"/>
        <v>0</v>
      </c>
      <c r="BN234" s="30" t="e">
        <f t="shared" si="404"/>
        <v>#N/A</v>
      </c>
      <c r="BO234" s="30" t="e">
        <f t="shared" si="405"/>
        <v>#N/A</v>
      </c>
      <c r="BP234" s="31" t="e">
        <f>IF(OR(Hypothèses!$B$4=17,Hypothèses!$B$4=18,Hypothèses!$B$4=19,Hypothèses!$B$4=20),
IF($D234="Pressio.",
IF(OR($E234=3,$E234=1,$E234=4),BO234,BN234),
IF($D234="Pénétro.",
IF(OR($E234=3,$E234=1,$E234=4),BO234,BN234))),IF($D234="Pressio.",
IF($E234=3,BO234,BN234),
IF($D234="Pénétro.",
IF($E234=4,BO234,BN234))))</f>
        <v>#N/A</v>
      </c>
      <c r="BQ234" s="31">
        <v>0</v>
      </c>
      <c r="BR234" s="102" t="e">
        <f>IF(NDC!$H$10="Oui",(VLOOKUP($B$3,'Coeff EC7'!$T$39:$X$59,2,0)*BP234+VLOOKUP($B$3,'Coeff EC7'!$T$65:$X$85,2,0)*Model0.1T!BQ234)/1.5,PI()*BN$12*$Q234*($B234-$B233)*0.15/10+BR233)</f>
        <v>#N/A</v>
      </c>
      <c r="BS234" s="102" t="e">
        <f>(VLOOKUP($B$3,'Coeff EC7'!$T$39:$X$59,3,0)*BP234+VLOOKUP($B$3,'Coeff EC7'!$T$65:$X$85,3,0)*Model0.1T!BQ234)/1.1</f>
        <v>#N/A</v>
      </c>
      <c r="BT234" s="102" t="e">
        <f t="shared" si="378"/>
        <v>#N/A</v>
      </c>
      <c r="BU234" s="102" t="e">
        <f t="shared" si="379"/>
        <v>#N/A</v>
      </c>
      <c r="BV234" s="414" t="e">
        <f>IF(AND(BR234&gt;NDC!$C$63,BS234&gt;NDC!$C$65,BT234&gt;NDC!$D$73,BU234&gt;NDC!$D$74,$B234&gt;NDC!$H$22-0.1+MIN(3*BV$12,1.5)),0,1)</f>
        <v>#N/A</v>
      </c>
      <c r="BW234" s="86" t="b">
        <f t="shared" si="345"/>
        <v>0</v>
      </c>
      <c r="BX234" s="86">
        <f t="shared" si="346"/>
        <v>0.5</v>
      </c>
      <c r="BY234" s="86">
        <f t="shared" si="347"/>
        <v>0.5</v>
      </c>
      <c r="BZ234" s="30" t="e">
        <f t="shared" ca="1" si="380"/>
        <v>#DIV/0!</v>
      </c>
      <c r="CA234" s="85" t="e">
        <f ca="1">IF(BG234&lt;=Hypothèses!$V$7,Hypothèses!$W$7,IF(BG234&lt;=Hypothèses!$V$8,Hypothèses!$W$8,IF(BG234&lt;=Hypothèses!$V$9,Hypothèses!$W$9,IF(BG234&lt;=Hypothèses!$V$10,Hypothèses!$W$10,IF(BG234&lt;=Hypothèses!$V$11,Hypothèses!$W$11,IF(BG234&lt;=Hypothèses!$V$12,Hypothèses!$W$12,IF(BG234&lt;=Hypothèses!$V$13,Hypothèses!$W$13,IF(BG234&lt;=Hypothèses!$V$14,Hypothèses!$W$14,IF(BG234&lt;=Hypothèses!$V$15,Hypothèses!$W$15,IF(BG234&lt;=Hypothèses!$V$16,Hypothèses!$W$16,IF(BG234&lt;=Hypothèses!$V$17,Hypothèses!$W$17,IF(BG234&lt;=Hypothèses!$V$18,Hypothèses!$W$18,""))))))))))))</f>
        <v>#DIV/0!</v>
      </c>
      <c r="CB234" s="87" t="e">
        <f t="shared" ca="1" si="419"/>
        <v>#DIV/0!</v>
      </c>
      <c r="CC234" s="88" t="e">
        <f ca="1">IF(BG234&lt;=Hypothèses!$V$7,Hypothèses!$X$7,IF(BG234&lt;=Hypothèses!$V$8,Hypothèses!$X$8,IF(BG234&lt;=Hypothèses!$V$9,Hypothèses!$X$9,IF(BG234&lt;=Hypothèses!$V$10,Hypothèses!$X$10,IF(BG234&lt;=Hypothèses!$V$11,Hypothèses!$X$11,IF(BG234&lt;=Hypothèses!$V$12,Hypothèses!$X$12,IF(BG234&lt;=Hypothèses!$V$13,Hypothèses!$X$13,IF(BG234&lt;=Hypothèses!$V$14,Hypothèses!$X$14,IF(BG234&lt;=Hypothèses!$V$15,Hypothèses!$X$15,IF(BG234&lt;=Hypothèses!$V$16,Hypothèses!$X$16,IF(BG234&lt;=Hypothèses!$U$17,Hypothèses!$W$17,IF(BG234&lt;=Hypothèses!$U$18,Hypothèses!$W$18,""))))))))))))</f>
        <v>#DIV/0!</v>
      </c>
      <c r="CD234" s="95" t="e">
        <f t="shared" ca="1" si="381"/>
        <v>#DIV/0!</v>
      </c>
      <c r="CE234" s="101">
        <f t="shared" si="426"/>
        <v>0</v>
      </c>
      <c r="CF234" s="91">
        <f t="shared" si="348"/>
        <v>0</v>
      </c>
      <c r="CG234" s="30" t="e">
        <f t="shared" si="406"/>
        <v>#N/A</v>
      </c>
      <c r="CH234" s="30" t="e">
        <f t="shared" si="407"/>
        <v>#N/A</v>
      </c>
      <c r="CI234" s="31" t="e">
        <f>IF(OR(Hypothèses!$B$4=17,Hypothèses!$B$4=18,Hypothèses!$B$4=19,Hypothèses!$B$4=20),
IF($D234="Pressio.",
IF(OR($E234=3,$E234=1,$E234=4),CH234,CG234),
IF($D234="Pénétro.",
IF(OR($E234=3,$E234=1,$E234=4),CH234,CG234))),IF($D234="Pressio.",
IF($E234=3,CH234,CG234),
IF($D234="Pénétro.",
IF($E234=4,CH234,CG234))))</f>
        <v>#N/A</v>
      </c>
      <c r="CJ234" s="31">
        <v>0</v>
      </c>
      <c r="CK234" s="102" t="e">
        <f>IF(NDC!$H$10="Oui",(VLOOKUP($B$3,'Coeff EC7'!$T$39:$X$59,2,0)*CI234+VLOOKUP($B$3,'Coeff EC7'!$T$65:$X$85,2,0)*Model0.1T!CJ234)/1.5,PI()*CG$12*$Q234*($B234-$B233)*0.15/10+CK233)</f>
        <v>#N/A</v>
      </c>
      <c r="CL234" s="102" t="e">
        <f>(VLOOKUP($B$3,'Coeff EC7'!$T$39:$X$59,3,0)*CI234+VLOOKUP($B$3,'Coeff EC7'!$T$65:$X$85,3,0)*Model0.1T!CJ234)/1.1</f>
        <v>#N/A</v>
      </c>
      <c r="CM234" s="102" t="e">
        <f t="shared" si="382"/>
        <v>#N/A</v>
      </c>
      <c r="CN234" s="102" t="e">
        <f t="shared" si="383"/>
        <v>#N/A</v>
      </c>
      <c r="CO234" s="414" t="e">
        <f>IF(AND(CK234&gt;NDC!$C$63,CL234&gt;NDC!$C$65,CM234&gt;NDC!$D$73,CN234&gt;NDC!$D$74,$B234&gt;NDC!$H$22-0.1+MIN(3*CO$12,1.5)),0,1)</f>
        <v>#N/A</v>
      </c>
      <c r="CP234" s="86" t="b">
        <f t="shared" si="349"/>
        <v>0</v>
      </c>
      <c r="CQ234" s="86">
        <f t="shared" si="350"/>
        <v>0.5</v>
      </c>
      <c r="CR234" s="86">
        <f t="shared" si="351"/>
        <v>0.5</v>
      </c>
      <c r="CS234" s="30" t="e">
        <f t="shared" ca="1" si="384"/>
        <v>#DIV/0!</v>
      </c>
      <c r="CT234" s="85" t="e">
        <f ca="1">IF(BZ234&lt;=Hypothèses!$V$7,Hypothèses!$W$7,IF(BZ234&lt;=Hypothèses!$V$8,Hypothèses!$W$8,IF(BZ234&lt;=Hypothèses!$V$9,Hypothèses!$W$9,IF(BZ234&lt;=Hypothèses!$V$10,Hypothèses!$W$10,IF(BZ234&lt;=Hypothèses!$V$11,Hypothèses!$W$11,IF(BZ234&lt;=Hypothèses!$V$12,Hypothèses!$W$12,IF(BZ234&lt;=Hypothèses!$V$13,Hypothèses!$W$13,IF(BZ234&lt;=Hypothèses!$V$14,Hypothèses!$W$14,IF(BZ234&lt;=Hypothèses!$V$15,Hypothèses!$W$15,IF(BZ234&lt;=Hypothèses!$V$16,Hypothèses!$W$16,IF(BZ234&lt;=Hypothèses!$V$17,Hypothèses!$W$17,IF(BZ234&lt;=Hypothèses!$V$18,Hypothèses!$W$18,""))))))))))))</f>
        <v>#DIV/0!</v>
      </c>
      <c r="CU234" s="87" t="e">
        <f t="shared" ca="1" si="420"/>
        <v>#DIV/0!</v>
      </c>
      <c r="CV234" s="88" t="e">
        <f ca="1">IF(BZ234&lt;=Hypothèses!$V$7,Hypothèses!$X$7,IF(BZ234&lt;=Hypothèses!$V$8,Hypothèses!$X$8,IF(BZ234&lt;=Hypothèses!$V$9,Hypothèses!$X$9,IF(BZ234&lt;=Hypothèses!$V$10,Hypothèses!$X$10,IF(BZ234&lt;=Hypothèses!$V$11,Hypothèses!$X$11,IF(BZ234&lt;=Hypothèses!$V$12,Hypothèses!$X$12,IF(BZ234&lt;=Hypothèses!$V$13,Hypothèses!$X$13,IF(BZ234&lt;=Hypothèses!$V$14,Hypothèses!$X$14,IF(BZ234&lt;=Hypothèses!$V$15,Hypothèses!$X$15,IF(BZ234&lt;=Hypothèses!$V$16,Hypothèses!$X$16,IF(BZ234&lt;=Hypothèses!$U$17,Hypothèses!$W$17,IF(BZ234&lt;=Hypothèses!$U$18,Hypothèses!$W$18,""))))))))))))</f>
        <v>#DIV/0!</v>
      </c>
      <c r="CW234" s="95" t="e">
        <f t="shared" ca="1" si="385"/>
        <v>#DIV/0!</v>
      </c>
      <c r="CX234" s="101">
        <f t="shared" si="427"/>
        <v>0</v>
      </c>
      <c r="CY234" s="91">
        <f t="shared" si="352"/>
        <v>0</v>
      </c>
      <c r="CZ234" s="30" t="e">
        <f t="shared" si="408"/>
        <v>#N/A</v>
      </c>
      <c r="DA234" s="30" t="e">
        <f t="shared" si="409"/>
        <v>#N/A</v>
      </c>
      <c r="DB234" s="31" t="e">
        <f>IF(OR(Hypothèses!$B$4=17,Hypothèses!$B$4=18,Hypothèses!$B$4=19,Hypothèses!$B$4=20),
IF($D234="Pressio.",
IF(OR($E234=3,$E234=1,$E234=4),DA234,CZ234),
IF($D234="Pénétro.",
IF(OR($E234=3,$E234=1,$E234=4),DA234,CZ234))),IF($D234="Pressio.",
IF($E234=3,DA234,CZ234),
IF($D234="Pénétro.",
IF($E234=4,DA234,CZ234))))</f>
        <v>#N/A</v>
      </c>
      <c r="DC234" s="31">
        <v>0</v>
      </c>
      <c r="DD234" s="102" t="e">
        <f>IF(NDC!$H$10="Oui",(VLOOKUP($B$3,'Coeff EC7'!$T$39:$X$59,2,0)*DB234+VLOOKUP($B$3,'Coeff EC7'!$T$65:$X$85,2,0)*Model0.1T!DC234)/1.5,PI()*CZ$12*$Q234*($B234-$B233)*0.15/10+DD233)</f>
        <v>#N/A</v>
      </c>
      <c r="DE234" s="102" t="e">
        <f>(VLOOKUP($B$3,'Coeff EC7'!$T$39:$X$59,3,0)*DB234+VLOOKUP($B$3,'Coeff EC7'!$T$65:$X$85,3,0)*Model0.1T!DC234)/1.1</f>
        <v>#N/A</v>
      </c>
      <c r="DF234" s="102" t="e">
        <f t="shared" si="386"/>
        <v>#N/A</v>
      </c>
      <c r="DG234" s="102" t="e">
        <f t="shared" si="387"/>
        <v>#N/A</v>
      </c>
      <c r="DH234" s="414" t="e">
        <f>IF(AND(DD234&gt;NDC!$C$63,DE234&gt;NDC!$C$65,DF234&gt;NDC!$D$73,DG234&gt;NDC!$D$74,$B234&gt;NDC!$H$22-0.1+MIN(3*DH$12,1.5)),0,1)</f>
        <v>#N/A</v>
      </c>
      <c r="DI234" s="86" t="b">
        <f t="shared" si="353"/>
        <v>0</v>
      </c>
      <c r="DJ234" s="86">
        <f t="shared" si="354"/>
        <v>0.5</v>
      </c>
      <c r="DK234" s="86">
        <f t="shared" si="355"/>
        <v>0.5</v>
      </c>
      <c r="DL234" s="30" t="e">
        <f t="shared" ca="1" si="388"/>
        <v>#DIV/0!</v>
      </c>
      <c r="DM234" s="85" t="e">
        <f ca="1">IF(CS234&lt;=Hypothèses!$V$7,Hypothèses!$W$7,IF(CS234&lt;=Hypothèses!$V$8,Hypothèses!$W$8,IF(CS234&lt;=Hypothèses!$V$9,Hypothèses!$W$9,IF(CS234&lt;=Hypothèses!$V$10,Hypothèses!$W$10,IF(CS234&lt;=Hypothèses!$V$11,Hypothèses!$W$11,IF(CS234&lt;=Hypothèses!$V$12,Hypothèses!$W$12,IF(CS234&lt;=Hypothèses!$V$13,Hypothèses!$W$13,IF(CS234&lt;=Hypothèses!$V$14,Hypothèses!$W$14,IF(CS234&lt;=Hypothèses!$V$15,Hypothèses!$W$15,IF(CS234&lt;=Hypothèses!$V$16,Hypothèses!$W$16,IF(CS234&lt;=Hypothèses!$V$17,Hypothèses!$W$17,IF(CS234&lt;=Hypothèses!$V$18,Hypothèses!$W$18,""))))))))))))</f>
        <v>#DIV/0!</v>
      </c>
      <c r="DN234" s="87" t="e">
        <f t="shared" ca="1" si="421"/>
        <v>#DIV/0!</v>
      </c>
      <c r="DO234" s="88" t="e">
        <f ca="1">IF(CS234&lt;=Hypothèses!$V$7,Hypothèses!$X$7,IF(CS234&lt;=Hypothèses!$V$8,Hypothèses!$X$8,IF(CS234&lt;=Hypothèses!$V$9,Hypothèses!$X$9,IF(CS234&lt;=Hypothèses!$V$10,Hypothèses!$X$10,IF(CS234&lt;=Hypothèses!$V$11,Hypothèses!$X$11,IF(CS234&lt;=Hypothèses!$V$12,Hypothèses!$X$12,IF(CS234&lt;=Hypothèses!$V$13,Hypothèses!$X$13,IF(CS234&lt;=Hypothèses!$V$14,Hypothèses!$X$14,IF(CS234&lt;=Hypothèses!$V$15,Hypothèses!$X$15,IF(CS234&lt;=Hypothèses!$V$16,Hypothèses!$X$16,IF(CS234&lt;=Hypothèses!$U$17,Hypothèses!$W$17,IF(CS234&lt;=Hypothèses!$U$18,Hypothèses!$W$18,""))))))))))))</f>
        <v>#DIV/0!</v>
      </c>
      <c r="DP234" s="95" t="e">
        <f t="shared" ca="1" si="389"/>
        <v>#DIV/0!</v>
      </c>
      <c r="DQ234" s="101">
        <f t="shared" si="428"/>
        <v>0</v>
      </c>
      <c r="DR234" s="91">
        <f t="shared" si="356"/>
        <v>0</v>
      </c>
      <c r="DS234" s="30" t="e">
        <f t="shared" si="410"/>
        <v>#N/A</v>
      </c>
      <c r="DT234" s="30" t="e">
        <f t="shared" si="411"/>
        <v>#N/A</v>
      </c>
      <c r="DU234" s="31" t="e">
        <f>IF(OR(Hypothèses!$B$4=17,Hypothèses!$B$4=18,Hypothèses!$B$4=19,Hypothèses!$B$4=20),
IF($D234="Pressio.",
IF(OR($E234=3,$E234=1,$E234=4),DT234,DS234),
IF($D234="Pénétro.",
IF(OR($E234=3,$E234=1,$E234=4),DT234,DS234))),IF($D234="Pressio.",
IF($E234=3,DT234,DS234),
IF($D234="Pénétro.",
IF($E234=4,DT234,DS234))))</f>
        <v>#N/A</v>
      </c>
      <c r="DV234" s="31">
        <v>0</v>
      </c>
      <c r="DW234" s="102" t="e">
        <f>IF(NDC!$H$10="Oui",(VLOOKUP($B$3,'Coeff EC7'!$T$39:$X$59,2,0)*DU234+VLOOKUP($B$3,'Coeff EC7'!$T$65:$X$85,2,0)*Model0.1T!DV234)/1.5,PI()*DS$12*$Q234*($B234-$B233)*0.15/10+DW233)</f>
        <v>#N/A</v>
      </c>
      <c r="DX234" s="102" t="e">
        <f>(VLOOKUP($B$3,'Coeff EC7'!$T$39:$X$59,3,0)*DU234+VLOOKUP($B$3,'Coeff EC7'!$T$65:$X$85,3,0)*Model0.1T!DV234)/1.1</f>
        <v>#N/A</v>
      </c>
      <c r="DY234" s="102" t="e">
        <f t="shared" si="390"/>
        <v>#N/A</v>
      </c>
      <c r="DZ234" s="102" t="e">
        <f t="shared" si="391"/>
        <v>#N/A</v>
      </c>
      <c r="EA234" s="414" t="e">
        <f>IF(AND(DW234&gt;NDC!$C$63,DX234&gt;NDC!$C$65,DY234&gt;NDC!$D$73,DZ234&gt;NDC!$D$74,$B234&gt;NDC!$H$22-0.1+MIN(3*EA$12,1.5)),0,1)</f>
        <v>#N/A</v>
      </c>
      <c r="EB234" s="86" t="b">
        <f t="shared" si="357"/>
        <v>0</v>
      </c>
      <c r="EC234" s="418">
        <f t="shared" si="358"/>
        <v>0.51</v>
      </c>
      <c r="ED234" s="86">
        <f t="shared" si="359"/>
        <v>0.51</v>
      </c>
      <c r="EE234" s="30" t="e">
        <f t="shared" ca="1" si="392"/>
        <v>#DIV/0!</v>
      </c>
      <c r="EF234" s="85" t="e">
        <f ca="1">IF(DL234&lt;=Hypothèses!$V$7,Hypothèses!$W$7,IF(DL234&lt;=Hypothèses!$V$8,Hypothèses!$W$8,IF(DL234&lt;=Hypothèses!$V$9,Hypothèses!$W$9,IF(DL234&lt;=Hypothèses!$V$10,Hypothèses!$W$10,IF(DL234&lt;=Hypothèses!$V$11,Hypothèses!$W$11,IF(DL234&lt;=Hypothèses!$V$12,Hypothèses!$W$12,IF(DL234&lt;=Hypothèses!$V$13,Hypothèses!$W$13,IF(DL234&lt;=Hypothèses!$V$14,Hypothèses!$W$14,IF(DL234&lt;=Hypothèses!$V$15,Hypothèses!$W$15,IF(DL234&lt;=Hypothèses!$V$16,Hypothèses!$W$16,IF(DL234&lt;=Hypothèses!$V$17,Hypothèses!$W$17,IF(DL234&lt;=Hypothèses!$V$18,Hypothèses!$W$18,""))))))))))))</f>
        <v>#DIV/0!</v>
      </c>
      <c r="EG234" s="87" t="e">
        <f t="shared" ca="1" si="422"/>
        <v>#DIV/0!</v>
      </c>
      <c r="EH234" s="88" t="e">
        <f ca="1">IF(DL234&lt;=Hypothèses!$V$7,Hypothèses!$X$7,IF(DL234&lt;=Hypothèses!$V$8,Hypothèses!$X$8,IF(DL234&lt;=Hypothèses!$V$9,Hypothèses!$X$9,IF(DL234&lt;=Hypothèses!$V$10,Hypothèses!$X$10,IF(DL234&lt;=Hypothèses!$V$11,Hypothèses!$X$11,IF(DL234&lt;=Hypothèses!$V$12,Hypothèses!$X$12,IF(DL234&lt;=Hypothèses!$V$13,Hypothèses!$X$13,IF(DL234&lt;=Hypothèses!$V$14,Hypothèses!$X$14,IF(DL234&lt;=Hypothèses!$V$15,Hypothèses!$X$15,IF(DL234&lt;=Hypothèses!$V$16,Hypothèses!$X$16,IF(DL234&lt;=Hypothèses!$U$17,Hypothèses!$W$17,IF(DL234&lt;=Hypothèses!$U$18,Hypothèses!$W$18,""))))))))))))</f>
        <v>#DIV/0!</v>
      </c>
      <c r="EI234" s="95" t="e">
        <f t="shared" ca="1" si="393"/>
        <v>#DIV/0!</v>
      </c>
      <c r="EJ234" s="101">
        <f t="shared" si="429"/>
        <v>0</v>
      </c>
      <c r="EK234" s="91">
        <f t="shared" si="360"/>
        <v>0</v>
      </c>
      <c r="EL234" s="30" t="e">
        <f t="shared" si="412"/>
        <v>#N/A</v>
      </c>
      <c r="EM234" s="30" t="e">
        <f t="shared" si="413"/>
        <v>#N/A</v>
      </c>
      <c r="EN234" s="31" t="e">
        <f>IF(OR(Hypothèses!$B$4=17,Hypothèses!$B$4=18,Hypothèses!$B$4=19,Hypothèses!$B$4=20),
IF($D234="Pressio.",
IF(OR($E234=3,$E234=1,$E234=4),EM234,EL234),
IF($D234="Pénétro.",
IF(OR($E234=3,$E234=1,$E234=4),EM234,EL234))),IF($D234="Pressio.",
IF($E234=3,EM234,EL234),
IF($D234="Pénétro.",
IF($E234=4,EM234,EL234))))</f>
        <v>#N/A</v>
      </c>
      <c r="EO234" s="31">
        <v>0</v>
      </c>
      <c r="EP234" s="102" t="e">
        <f>IF(NDC!$H$10="Oui",(VLOOKUP($B$3,'Coeff EC7'!$T$39:$X$59,2,0)*EN234+VLOOKUP($B$3,'Coeff EC7'!$T$65:$X$85,2,0)*Model0.1T!EO234)/1.5,PI()*EL$12*$Q234*($B234-$B233)*0.15/10+EP233)</f>
        <v>#N/A</v>
      </c>
      <c r="EQ234" s="102" t="e">
        <f>(VLOOKUP($B$3,'Coeff EC7'!$T$39:$X$59,3,0)*EN234+VLOOKUP($B$3,'Coeff EC7'!$T$65:$X$85,3,0)*Model0.1T!EO234)/1.1</f>
        <v>#N/A</v>
      </c>
      <c r="ER234" s="102" t="e">
        <f t="shared" si="394"/>
        <v>#N/A</v>
      </c>
      <c r="ES234" s="102" t="e">
        <f t="shared" si="395"/>
        <v>#N/A</v>
      </c>
      <c r="ET234" s="414" t="e">
        <f>IF(AND(EP234&gt;NDC!$C$63,EQ234&gt;NDC!$C$65,ER234&gt;NDC!$D$73,ES234&gt;NDC!$D$74,$B234&gt;NDC!$H$22-0.1+MIN(3*ET$12,1.5)),0,1)</f>
        <v>#N/A</v>
      </c>
      <c r="EU234" s="86" t="b">
        <f t="shared" si="361"/>
        <v>0</v>
      </c>
      <c r="EV234" s="86">
        <f t="shared" si="362"/>
        <v>0.61</v>
      </c>
      <c r="EW234" s="86">
        <f t="shared" si="363"/>
        <v>0.61</v>
      </c>
      <c r="EX234" s="30" t="e">
        <f t="shared" ca="1" si="396"/>
        <v>#DIV/0!</v>
      </c>
      <c r="EY234" s="85" t="e">
        <f ca="1">IF(EE234&lt;=Hypothèses!$V$7,Hypothèses!$W$7,IF(EE234&lt;=Hypothèses!$V$8,Hypothèses!$W$8,IF(EE234&lt;=Hypothèses!$V$9,Hypothèses!$W$9,IF(EE234&lt;=Hypothèses!$V$10,Hypothèses!$W$10,IF(EE234&lt;=Hypothèses!$V$11,Hypothèses!$W$11,IF(EE234&lt;=Hypothèses!$V$12,Hypothèses!$W$12,IF(EE234&lt;=Hypothèses!$V$13,Hypothèses!$W$13,IF(EE234&lt;=Hypothèses!$V$14,Hypothèses!$W$14,IF(EE234&lt;=Hypothèses!$V$15,Hypothèses!$W$15,IF(EE234&lt;=Hypothèses!$V$16,Hypothèses!$W$16,IF(EE234&lt;=Hypothèses!$V$17,Hypothèses!$W$17,IF(EE234&lt;=Hypothèses!$V$18,Hypothèses!$W$18,""))))))))))))</f>
        <v>#DIV/0!</v>
      </c>
      <c r="EZ234" s="87" t="e">
        <f t="shared" ca="1" si="423"/>
        <v>#DIV/0!</v>
      </c>
      <c r="FA234" s="88" t="e">
        <f ca="1">IF(EE234&lt;=Hypothèses!$V$7,Hypothèses!$X$7,IF(EE234&lt;=Hypothèses!$V$8,Hypothèses!$X$8,IF(EE234&lt;=Hypothèses!$V$9,Hypothèses!$X$9,IF(EE234&lt;=Hypothèses!$V$10,Hypothèses!$X$10,IF(EE234&lt;=Hypothèses!$V$11,Hypothèses!$X$11,IF(EE234&lt;=Hypothèses!$V$12,Hypothèses!$X$12,IF(EE234&lt;=Hypothèses!$V$13,Hypothèses!$X$13,IF(EE234&lt;=Hypothèses!$V$14,Hypothèses!$X$14,IF(EE234&lt;=Hypothèses!$V$15,Hypothèses!$X$15,IF(EE234&lt;=Hypothèses!$V$16,Hypothèses!$X$16,IF(EE234&lt;=Hypothèses!$U$17,Hypothèses!$W$17,IF(EE234&lt;=Hypothèses!$U$18,Hypothèses!$W$18,""))))))))))))</f>
        <v>#DIV/0!</v>
      </c>
      <c r="FB234" s="95" t="e">
        <f t="shared" ca="1" si="397"/>
        <v>#DIV/0!</v>
      </c>
      <c r="FC234" s="101">
        <f t="shared" si="430"/>
        <v>0</v>
      </c>
      <c r="FD234" s="91">
        <f t="shared" si="364"/>
        <v>0</v>
      </c>
      <c r="FE234" s="30" t="e">
        <f t="shared" si="414"/>
        <v>#N/A</v>
      </c>
      <c r="FF234" s="30" t="e">
        <f t="shared" si="415"/>
        <v>#N/A</v>
      </c>
      <c r="FG234" s="31" t="e">
        <f>IF(OR(Hypothèses!$B$4=17,Hypothèses!$B$4=18,Hypothèses!$B$4=19,Hypothèses!$B$4=20),
IF($D234="Pressio.",
IF(OR($E234=3,$E234=1,$E234=4),FF234,FE234),
IF($D234="Pénétro.",
IF(OR($E234=3,$E234=1,$E234=4),FF234,FE234))),IF($D234="Pressio.",
IF($E234=3,FF234,FE234),
IF($D234="Pénétro.",
IF($E234=4,FF234,FE234))))</f>
        <v>#N/A</v>
      </c>
      <c r="FH234" s="31">
        <v>0</v>
      </c>
      <c r="FI234" s="102" t="e">
        <f>IF(NDC!$H$10="Oui",(VLOOKUP($B$3,'Coeff EC7'!$T$39:$X$59,2,0)*FG234+VLOOKUP($B$3,'Coeff EC7'!$T$65:$X$85,2,0)*Model0.1T!FH234)/1.5,PI()*FE$12*$Q234*($B234-$B233)*0.15/10+FI233)</f>
        <v>#N/A</v>
      </c>
      <c r="FJ234" s="102" t="e">
        <f>(VLOOKUP($B$3,'Coeff EC7'!$T$39:$X$59,3,0)*FG234+VLOOKUP($B$3,'Coeff EC7'!$T$65:$X$85,3,0)*Model0.1T!FH234)/1.1</f>
        <v>#N/A</v>
      </c>
      <c r="FK234" s="102" t="e">
        <f t="shared" si="398"/>
        <v>#N/A</v>
      </c>
      <c r="FL234" s="102" t="e">
        <f t="shared" si="399"/>
        <v>#N/A</v>
      </c>
      <c r="FM234" s="414" t="e">
        <f>IF(AND(FI234&gt;NDC!$C$63,FJ234&gt;NDC!$C$65,FK234&gt;NDC!$D$73,FL234&gt;NDC!$D$74,$B234&gt;NDC!$H$22-0.1+MIN(3*FM$12,1.5)),0,1)</f>
        <v>#N/A</v>
      </c>
    </row>
    <row r="235" spans="1:169">
      <c r="A235" s="96">
        <f t="shared" si="365"/>
        <v>77.800000000001262</v>
      </c>
      <c r="B235" s="97">
        <v>22.2</v>
      </c>
      <c r="C235" s="81">
        <f>IF(B235&lt;=Hypothèses!$C$7,Hypothèses!$A$7,IF(B235&lt;=Hypothèses!$C$8,Hypothèses!$A$8,IF(B235&lt;=Hypothèses!$C$9,Hypothèses!$A$9,IF(B235&lt;=Hypothèses!$C$10,Hypothèses!$A$10,IF(B235&lt;=Hypothèses!$C$11,Hypothèses!$A$11,IF(B235&lt;=Hypothèses!$C$12,Hypothèses!$A$12,IF(B235&lt;=Hypothèses!$C$13,Hypothèses!$A$13,IF(B235&lt;=Hypothèses!$C$14,Hypothèses!$A$14,IF(B235&lt;=Hypothèses!$C$15,Hypothèses!$A$15,IF(B235&lt;=Hypothèses!$C$16,Hypothèses!$A$16,IF(B235&lt;=Hypothèses!$C$17,Hypothèses!$A$17,IF(B235&lt;=Hypothèses!$C$18,Hypothèses!$A$18,C234))))))))))))</f>
        <v>11</v>
      </c>
      <c r="D235" s="82" t="str">
        <f>IF(B235&lt;=Hypothèses!$C$7,Hypothèses!$R$7,IF(B235&lt;=Hypothèses!$C$8,Hypothèses!$R$8,IF(B235&lt;=Hypothèses!$C$9,Hypothèses!$R$9,IF(B235&lt;=Hypothèses!$C$10,Hypothèses!$R$10,IF(B235&lt;=Hypothèses!$C$11,Hypothèses!$R$11,IF(B235&lt;=Hypothèses!$C$12,Hypothèses!$R$12,IF(B235&lt;=Hypothèses!$C$13,Hypothèses!$R$13,IF(B235&lt;=Hypothèses!$C$14,Hypothèses!$R$14,IF(B235&lt;=Hypothèses!$C$15,Hypothèses!$R$15,IF(B235&lt;=Hypothèses!$C$16,Hypothèses!$R$16,IF(B235&lt;=Hypothèses!$C$17,Hypothèses!$R$17,IF(B235&lt;=Hypothèses!$C$18,Hypothèses!$R$18,D234))))))))))))</f>
        <v>Pressio.</v>
      </c>
      <c r="E235" s="82" t="e">
        <f>IF(B235&lt;=Hypothèses!$C$7,Hypothèses!$G$7,IF(B235&lt;=Hypothèses!$C$8,Hypothèses!$G$8,IF(B235&lt;=Hypothèses!$C$9,Hypothèses!$G$9,IF(B235&lt;=Hypothèses!$C$10,Hypothèses!$G$10,IF(B235&lt;=Hypothèses!$C$11,Hypothèses!$G$11,IF(B235&lt;=Hypothèses!$C$12,Hypothèses!$G$12,IF(B235&lt;=Hypothèses!$C$13,Hypothèses!$G$13,IF(B235&lt;=Hypothèses!$C$14,Hypothèses!$G$14,IF(B235&lt;=Hypothèses!$C$15,Hypothèses!$G$15,IF(B235&lt;=Hypothèses!$C$16,Hypothèses!$G$16,IF(B235&lt;=Hypothèses!$C$17,Hypothèses!$G$17,IF(B235&lt;=Hypothèses!$C$18,Hypothèses!$G$18,E234))))))))))))</f>
        <v>#N/A</v>
      </c>
      <c r="F235" s="82" t="str">
        <f>IF(B235&lt;=Hypothèses!$C$7,Hypothèses!$F$7,IF(B235&lt;=Hypothèses!$C$8,Hypothèses!$F$8,IF(B235&lt;=Hypothèses!$C$9,Hypothèses!$F$9,IF(B235&lt;=Hypothèses!$C$10,Hypothèses!$F$10,IF(B235&lt;=Hypothèses!$C$11,Hypothèses!$F$11,IF(B235&lt;=Hypothèses!$C$12,Hypothèses!$F$12,IF(B235&lt;=Hypothèses!$C$13,Hypothèses!$F$13,IF(B235&lt;=Hypothèses!$C$14,Hypothèses!$F$14,IF(B235&lt;=Hypothèses!$C$15,Hypothèses!$F$15,IF(B235&lt;=Hypothèses!$C$16,Hypothèses!$F$16,IF(B235&lt;=Hypothèses!$C$17,Hypothèses!$F$17,IF(B235&lt;=Hypothèses!$C$18,Hypothèses!$F$18,F234))))))))))))</f>
        <v/>
      </c>
      <c r="G235" s="91">
        <f t="array" ref="G235">INDEX('Coeff EC7'!$U$7:$X$27,
MATCH(Model0.1T!$B$3,'Coeff EC7'!$T$7:$T$27,0),
MATCH(Model0.1T!$D235&amp;Model0.1T!$B$4,
'Coeff EC7'!$U$6:$X$6&amp;
'Coeff EC7'!$U$5:$X$5,0))</f>
        <v>1.4</v>
      </c>
      <c r="H235" s="91">
        <f t="array" ref="H235">INDEX('Coeff EC7'!$Y$7:$AB$27,
MATCH(Model0.1T!$B$3,'Coeff EC7'!$T$7:$T$27,0),
MATCH(Model0.1T!$D235&amp;Model0.1T!$B$4,
'Coeff EC7'!$Y$6:$AB$6&amp;
'Coeff EC7'!$Y$5:$AB$5,0))</f>
        <v>1.7</v>
      </c>
      <c r="I235" s="83">
        <v>0</v>
      </c>
      <c r="J235" s="91" t="e">
        <f t="array" ref="J235">INDEX('Coeff EC7'!$D$33:$Q$33,1,MATCH(D235&amp;E235,'Coeff EC7'!$D$31:$Q$31&amp;'Coeff EC7'!$D$32:$Q$32,0))</f>
        <v>#N/A</v>
      </c>
      <c r="K235" s="91" t="e">
        <f t="array" ref="K235">INDEX('Coeff EC7'!$D$34:$Q$34,1,MATCH(D235&amp;E235,'Coeff EC7'!$D$31:$Q$31&amp;'Coeff EC7'!$D$32:$Q$32,0))</f>
        <v>#N/A</v>
      </c>
      <c r="L235" s="91" t="e">
        <f t="array" ref="L235">INDEX('Coeff EC7'!$D$35:$Q$35,1,MATCH(D235&amp;E235,'Coeff EC7'!$D$31:$Q$31&amp;'Coeff EC7'!$D$32:$Q$32,0))</f>
        <v>#N/A</v>
      </c>
      <c r="M235" s="98" t="e">
        <f t="shared" si="331"/>
        <v>#N/A</v>
      </c>
      <c r="N235" s="99" t="e">
        <f t="array" ref="N235">INDEX('Coeff EC7'!$D$7:$Q$27,MATCH($B$3,'Coeff EC7'!$C$7:$C$27,0),MATCH(D235&amp;E235,'Coeff EC7'!$D$5:$Q$5&amp;'Coeff EC7'!$D$6:$Q$6,0))</f>
        <v>#N/A</v>
      </c>
      <c r="O235" s="99" t="e">
        <f t="array" ref="O235">INDEX('Coeff EC7'!$D$41:$Q$61,MATCH($B$3,'Coeff EC7'!$C$41:$C$61,0),MATCH(D235&amp;E235,'Coeff EC7'!$D$39:$Q$39&amp;'Coeff EC7'!$D$40:$Q$40,0))</f>
        <v>#N/A</v>
      </c>
      <c r="P235" s="30" t="e">
        <f t="shared" si="366"/>
        <v>#N/A</v>
      </c>
      <c r="Q235" s="100" t="e">
        <f t="shared" si="333"/>
        <v>#N/A</v>
      </c>
      <c r="R235" s="86" t="b">
        <f t="shared" si="334"/>
        <v>0</v>
      </c>
      <c r="S235" s="86">
        <f t="shared" si="332"/>
        <v>0.5</v>
      </c>
      <c r="T235" s="86">
        <f t="shared" si="335"/>
        <v>0.5</v>
      </c>
      <c r="U235" s="30" t="e">
        <f t="shared" ca="1" si="367"/>
        <v>#DIV/0!</v>
      </c>
      <c r="V235" s="85" t="str">
        <f>IF(B235&lt;=Hypothèses!$V$7,Hypothèses!$W$7,IF(B235&lt;=Hypothèses!$V$8,Hypothèses!$W$8,IF(B235&lt;=Hypothèses!$V$9,Hypothèses!$W$9,IF(B235&lt;=Hypothèses!$V$10,Hypothèses!$W$10,IF(B235&lt;=Hypothèses!$V$11,Hypothèses!$W$11,IF(B235&lt;=Hypothèses!$V$12,Hypothèses!$W$12,IF(B235&lt;=Hypothèses!$V$13,Hypothèses!$W$13,IF(B235&lt;=Hypothèses!$V$14,Hypothèses!$W$14,IF(B235&lt;=Hypothèses!$V$15,Hypothèses!$W$15,IF(B235&lt;=Hypothèses!$V$16,Hypothèses!$W$16,IF(B235&lt;=Hypothèses!$V$17,Hypothèses!$W$17,IF(B235&lt;=Hypothèses!$V$18,Hypothèses!$W$18,""))))))))))))</f>
        <v/>
      </c>
      <c r="W235" s="87" t="e">
        <f t="shared" ca="1" si="416"/>
        <v>#DIV/0!</v>
      </c>
      <c r="X235" s="88" t="str">
        <f>IF(B235&lt;=Hypothèses!$V$7,Hypothèses!$X$7,IF(B235&lt;=Hypothèses!$V$8,Hypothèses!$X$8,IF(B235&lt;=Hypothèses!$V$9,Hypothèses!$X$9,IF(B235&lt;=Hypothèses!$V$10,Hypothèses!$X$10,IF(B235&lt;=Hypothèses!$V$11,Hypothèses!$X$11,IF(B235&lt;=Hypothèses!$V$12,Hypothèses!$X$12,IF(B235&lt;=Hypothèses!$V$13,Hypothèses!$X$13,IF(B235&lt;=Hypothèses!$V$14,Hypothèses!$X$14,IF(B235&lt;=Hypothèses!$V$15,Hypothèses!$X$15,IF(B235&lt;=Hypothèses!$V$16,Hypothèses!$X$16,IF(B235&lt;=Hypothèses!$U$17,Hypothèses!$W$17,IF(B235&lt;=Hypothèses!$U$18,Hypothèses!$W$18,""))))))))))))</f>
        <v/>
      </c>
      <c r="Y235" s="95" t="e">
        <f t="shared" ca="1" si="336"/>
        <v>#DIV/0!</v>
      </c>
      <c r="Z235" s="101">
        <f t="shared" si="337"/>
        <v>0</v>
      </c>
      <c r="AA235" s="91">
        <f t="shared" si="338"/>
        <v>0</v>
      </c>
      <c r="AB235" s="30" t="e">
        <f t="shared" si="400"/>
        <v>#N/A</v>
      </c>
      <c r="AC235" s="30" t="e">
        <f t="shared" si="401"/>
        <v>#N/A</v>
      </c>
      <c r="AD235" s="31" t="e">
        <f>IF(OR(Hypothèses!$B$4=17,Hypothèses!$B$4=18,Hypothèses!$B$4=19,Hypothèses!$B$4=20),
IF($D235="Pressio.",
IF(OR($E235=3,$E235=1,$E235=4),AC235,AB235),
IF($D235="Pénétro.",
IF(OR($E235=3,$E235=1,$E235=4),AC235,AB235))),IF($D235="Pressio.",
IF($E235=3,AC235,AB235),
IF($D235="Pénétro.",
IF($E235=4,AC235,AB235))))</f>
        <v>#N/A</v>
      </c>
      <c r="AE235" s="31">
        <v>0</v>
      </c>
      <c r="AF235" s="102" t="e">
        <f>IF(NDC!$H$10="Oui",(VLOOKUP($B$3,'Coeff EC7'!$T$39:$X$59,2,0)*AD235+VLOOKUP($B$3,'Coeff EC7'!$T$65:$X$85,2,0)*Model0.1T!AE235)/1.5,PI()*AB$12*$Q235*($B235-$B234)*0.15/10+AF234)</f>
        <v>#N/A</v>
      </c>
      <c r="AG235" s="102" t="e">
        <f>(VLOOKUP($B$3,'Coeff EC7'!$T$39:$X$59,3,0)*AD235+VLOOKUP($B$3,'Coeff EC7'!$T$65:$X$85,3,0)*Model0.1T!AE235)/1.1</f>
        <v>#N/A</v>
      </c>
      <c r="AH235" s="102" t="e">
        <f t="shared" si="368"/>
        <v>#N/A</v>
      </c>
      <c r="AI235" s="102" t="e">
        <f t="shared" si="369"/>
        <v>#N/A</v>
      </c>
      <c r="AJ235" s="414" t="e">
        <f>IF(AND(AF235&gt;NDC!$C$63,AG235&gt;NDC!$C$65,AH235&gt;NDC!$D$73,AI235&gt;NDC!$D$74,$B235&gt;NDC!$H$22-0.1+MIN(3*$AJ$12,1.5)),0,1)</f>
        <v>#N/A</v>
      </c>
      <c r="AK235" s="86" t="b">
        <f t="shared" si="339"/>
        <v>0</v>
      </c>
      <c r="AL235" s="86">
        <f t="shared" si="370"/>
        <v>0.5</v>
      </c>
      <c r="AM235" s="86">
        <f t="shared" si="340"/>
        <v>0.5</v>
      </c>
      <c r="AN235" s="30" t="e">
        <f t="shared" ca="1" si="371"/>
        <v>#DIV/0!</v>
      </c>
      <c r="AO235" s="85" t="e">
        <f ca="1">IF(U235&lt;=Hypothèses!$V$7,Hypothèses!$W$7,IF(U235&lt;=Hypothèses!$V$8,Hypothèses!$W$8,IF(U235&lt;=Hypothèses!$V$9,Hypothèses!$W$9,IF(U235&lt;=Hypothèses!$V$10,Hypothèses!$W$10,IF(U235&lt;=Hypothèses!$V$11,Hypothèses!$W$11,IF(U235&lt;=Hypothèses!$V$12,Hypothèses!$W$12,IF(U235&lt;=Hypothèses!$V$13,Hypothèses!$W$13,IF(U235&lt;=Hypothèses!$V$14,Hypothèses!$W$14,IF(U235&lt;=Hypothèses!$V$15,Hypothèses!$W$15,IF(U235&lt;=Hypothèses!$V$16,Hypothèses!$W$16,IF(U235&lt;=Hypothèses!$V$17,Hypothèses!$W$17,IF(U235&lt;=Hypothèses!$V$18,Hypothèses!$W$18,""))))))))))))</f>
        <v>#DIV/0!</v>
      </c>
      <c r="AP235" s="87" t="e">
        <f t="shared" ca="1" si="417"/>
        <v>#DIV/0!</v>
      </c>
      <c r="AQ235" s="88" t="e">
        <f ca="1">IF(U235&lt;=Hypothèses!$V$7,Hypothèses!$X$7,IF(U235&lt;=Hypothèses!$V$8,Hypothèses!$X$8,IF(U235&lt;=Hypothèses!$V$9,Hypothèses!$X$9,IF(U235&lt;=Hypothèses!$V$10,Hypothèses!$X$10,IF(U235&lt;=Hypothèses!$V$11,Hypothèses!$X$11,IF(U235&lt;=Hypothèses!$V$12,Hypothèses!$X$12,IF(U235&lt;=Hypothèses!$V$13,Hypothèses!$X$13,IF(U235&lt;=Hypothèses!$V$14,Hypothèses!$X$14,IF(U235&lt;=Hypothèses!$V$15,Hypothèses!$X$15,IF(U235&lt;=Hypothèses!$V$16,Hypothèses!$X$16,IF(U235&lt;=Hypothèses!$U$17,Hypothèses!$W$17,IF(U235&lt;=Hypothèses!$U$18,Hypothèses!$W$18,""))))))))))))</f>
        <v>#DIV/0!</v>
      </c>
      <c r="AR235" s="95" t="e">
        <f t="shared" ca="1" si="372"/>
        <v>#DIV/0!</v>
      </c>
      <c r="AS235" s="101">
        <f t="shared" si="424"/>
        <v>0</v>
      </c>
      <c r="AT235" s="91">
        <f t="shared" si="341"/>
        <v>0</v>
      </c>
      <c r="AU235" s="30" t="e">
        <f t="shared" si="402"/>
        <v>#N/A</v>
      </c>
      <c r="AV235" s="30" t="e">
        <f t="shared" si="403"/>
        <v>#N/A</v>
      </c>
      <c r="AW235" s="31" t="e">
        <f>IF(OR(Hypothèses!$B$4=17,Hypothèses!$B$4=18,Hypothèses!$B$4=19,Hypothèses!$B$4=20),
IF($D235="Pressio.",
IF(OR($E235=3,$E235=1,$E235=4),AV235,AU235),
IF($D235="Pénétro.",
IF(OR($E235=3,$E235=1,$E235=4),AV235,AU235))),IF($D235="Pressio.",
IF($E235=3,AV235,AU235),
IF($D235="Pénétro.",
IF($E235=4,AV235,AU235))))</f>
        <v>#N/A</v>
      </c>
      <c r="AX235" s="31">
        <v>0</v>
      </c>
      <c r="AY235" s="102" t="e">
        <f>IF(NDC!$H$10="Oui",(VLOOKUP($B$3,'Coeff EC7'!$T$39:$X$59,2,0)*AW235+VLOOKUP($B$3,'Coeff EC7'!$T$65:$X$85,2,0)*Model0.1T!AX235)/1.5,PI()*AU$12*$Q235*($B235-$B234)*0.15/10+AY234)</f>
        <v>#N/A</v>
      </c>
      <c r="AZ235" s="102" t="e">
        <f>(VLOOKUP($B$3,'Coeff EC7'!$T$39:$X$59,3,0)*AW235+VLOOKUP($B$3,'Coeff EC7'!$T$65:$X$85,3,0)*Model0.1T!AX235)/1.1</f>
        <v>#N/A</v>
      </c>
      <c r="BA235" s="102" t="e">
        <f t="shared" si="373"/>
        <v>#N/A</v>
      </c>
      <c r="BB235" s="102" t="e">
        <f t="shared" si="374"/>
        <v>#N/A</v>
      </c>
      <c r="BC235" s="414" t="e">
        <f>IF(AND(AY235&gt;NDC!$C$63,AZ235&gt;NDC!$C$65,BA235&gt;NDC!$D$73,BB235&gt;NDC!$D$74,$B235&gt;NDC!$H$22-0.1+MIN(3*BC$12,1.5)),0,1)</f>
        <v>#N/A</v>
      </c>
      <c r="BD235" s="86" t="b">
        <f t="shared" si="342"/>
        <v>0</v>
      </c>
      <c r="BE235" s="86">
        <f t="shared" si="375"/>
        <v>0.5</v>
      </c>
      <c r="BF235" s="86">
        <f t="shared" si="343"/>
        <v>0.5</v>
      </c>
      <c r="BG235" s="30" t="e">
        <f t="shared" ca="1" si="376"/>
        <v>#DIV/0!</v>
      </c>
      <c r="BH235" s="85" t="e">
        <f ca="1">IF(AN235&lt;=Hypothèses!$V$7,Hypothèses!$W$7,IF(AN235&lt;=Hypothèses!$V$8,Hypothèses!$W$8,IF(AN235&lt;=Hypothèses!$V$9,Hypothèses!$W$9,IF(AN235&lt;=Hypothèses!$V$10,Hypothèses!$W$10,IF(AN235&lt;=Hypothèses!$V$11,Hypothèses!$W$11,IF(AN235&lt;=Hypothèses!$V$12,Hypothèses!$W$12,IF(AN235&lt;=Hypothèses!$V$13,Hypothèses!$W$13,IF(AN235&lt;=Hypothèses!$V$14,Hypothèses!$W$14,IF(AN235&lt;=Hypothèses!$V$15,Hypothèses!$W$15,IF(AN235&lt;=Hypothèses!$V$16,Hypothèses!$W$16,IF(AN235&lt;=Hypothèses!$V$17,Hypothèses!$W$17,IF(AN235&lt;=Hypothèses!$V$18,Hypothèses!$W$18,""))))))))))))</f>
        <v>#DIV/0!</v>
      </c>
      <c r="BI235" s="87" t="e">
        <f t="shared" ca="1" si="418"/>
        <v>#DIV/0!</v>
      </c>
      <c r="BJ235" s="88" t="e">
        <f ca="1">IF(AN235&lt;=Hypothèses!$V$7,Hypothèses!$X$7,IF(AN235&lt;=Hypothèses!$V$8,Hypothèses!$X$8,IF(AN235&lt;=Hypothèses!$V$9,Hypothèses!$X$9,IF(AN235&lt;=Hypothèses!$V$10,Hypothèses!$X$10,IF(AN235&lt;=Hypothèses!$V$11,Hypothèses!$X$11,IF(AN235&lt;=Hypothèses!$V$12,Hypothèses!$X$12,IF(AN235&lt;=Hypothèses!$V$13,Hypothèses!$X$13,IF(AN235&lt;=Hypothèses!$V$14,Hypothèses!$X$14,IF(AN235&lt;=Hypothèses!$V$15,Hypothèses!$X$15,IF(AN235&lt;=Hypothèses!$V$16,Hypothèses!$X$16,IF(AN235&lt;=Hypothèses!$U$17,Hypothèses!$W$17,IF(AN235&lt;=Hypothèses!$U$18,Hypothèses!$W$18,""))))))))))))</f>
        <v>#DIV/0!</v>
      </c>
      <c r="BK235" s="95" t="e">
        <f t="shared" ca="1" si="377"/>
        <v>#DIV/0!</v>
      </c>
      <c r="BL235" s="101">
        <f t="shared" si="425"/>
        <v>0</v>
      </c>
      <c r="BM235" s="91">
        <f t="shared" si="344"/>
        <v>0</v>
      </c>
      <c r="BN235" s="30" t="e">
        <f t="shared" si="404"/>
        <v>#N/A</v>
      </c>
      <c r="BO235" s="30" t="e">
        <f t="shared" si="405"/>
        <v>#N/A</v>
      </c>
      <c r="BP235" s="31" t="e">
        <f>IF(OR(Hypothèses!$B$4=17,Hypothèses!$B$4=18,Hypothèses!$B$4=19,Hypothèses!$B$4=20),
IF($D235="Pressio.",
IF(OR($E235=3,$E235=1,$E235=4),BO235,BN235),
IF($D235="Pénétro.",
IF(OR($E235=3,$E235=1,$E235=4),BO235,BN235))),IF($D235="Pressio.",
IF($E235=3,BO235,BN235),
IF($D235="Pénétro.",
IF($E235=4,BO235,BN235))))</f>
        <v>#N/A</v>
      </c>
      <c r="BQ235" s="31">
        <v>0</v>
      </c>
      <c r="BR235" s="102" t="e">
        <f>IF(NDC!$H$10="Oui",(VLOOKUP($B$3,'Coeff EC7'!$T$39:$X$59,2,0)*BP235+VLOOKUP($B$3,'Coeff EC7'!$T$65:$X$85,2,0)*Model0.1T!BQ235)/1.5,PI()*BN$12*$Q235*($B235-$B234)*0.15/10+BR234)</f>
        <v>#N/A</v>
      </c>
      <c r="BS235" s="102" t="e">
        <f>(VLOOKUP($B$3,'Coeff EC7'!$T$39:$X$59,3,0)*BP235+VLOOKUP($B$3,'Coeff EC7'!$T$65:$X$85,3,0)*Model0.1T!BQ235)/1.1</f>
        <v>#N/A</v>
      </c>
      <c r="BT235" s="102" t="e">
        <f t="shared" si="378"/>
        <v>#N/A</v>
      </c>
      <c r="BU235" s="102" t="e">
        <f t="shared" si="379"/>
        <v>#N/A</v>
      </c>
      <c r="BV235" s="414" t="e">
        <f>IF(AND(BR235&gt;NDC!$C$63,BS235&gt;NDC!$C$65,BT235&gt;NDC!$D$73,BU235&gt;NDC!$D$74,$B235&gt;NDC!$H$22-0.1+MIN(3*BV$12,1.5)),0,1)</f>
        <v>#N/A</v>
      </c>
      <c r="BW235" s="86" t="b">
        <f t="shared" si="345"/>
        <v>0</v>
      </c>
      <c r="BX235" s="86">
        <f t="shared" si="346"/>
        <v>0.5</v>
      </c>
      <c r="BY235" s="86">
        <f t="shared" si="347"/>
        <v>0.5</v>
      </c>
      <c r="BZ235" s="30" t="e">
        <f t="shared" ca="1" si="380"/>
        <v>#DIV/0!</v>
      </c>
      <c r="CA235" s="85" t="e">
        <f ca="1">IF(BG235&lt;=Hypothèses!$V$7,Hypothèses!$W$7,IF(BG235&lt;=Hypothèses!$V$8,Hypothèses!$W$8,IF(BG235&lt;=Hypothèses!$V$9,Hypothèses!$W$9,IF(BG235&lt;=Hypothèses!$V$10,Hypothèses!$W$10,IF(BG235&lt;=Hypothèses!$V$11,Hypothèses!$W$11,IF(BG235&lt;=Hypothèses!$V$12,Hypothèses!$W$12,IF(BG235&lt;=Hypothèses!$V$13,Hypothèses!$W$13,IF(BG235&lt;=Hypothèses!$V$14,Hypothèses!$W$14,IF(BG235&lt;=Hypothèses!$V$15,Hypothèses!$W$15,IF(BG235&lt;=Hypothèses!$V$16,Hypothèses!$W$16,IF(BG235&lt;=Hypothèses!$V$17,Hypothèses!$W$17,IF(BG235&lt;=Hypothèses!$V$18,Hypothèses!$W$18,""))))))))))))</f>
        <v>#DIV/0!</v>
      </c>
      <c r="CB235" s="87" t="e">
        <f t="shared" ca="1" si="419"/>
        <v>#DIV/0!</v>
      </c>
      <c r="CC235" s="88" t="e">
        <f ca="1">IF(BG235&lt;=Hypothèses!$V$7,Hypothèses!$X$7,IF(BG235&lt;=Hypothèses!$V$8,Hypothèses!$X$8,IF(BG235&lt;=Hypothèses!$V$9,Hypothèses!$X$9,IF(BG235&lt;=Hypothèses!$V$10,Hypothèses!$X$10,IF(BG235&lt;=Hypothèses!$V$11,Hypothèses!$X$11,IF(BG235&lt;=Hypothèses!$V$12,Hypothèses!$X$12,IF(BG235&lt;=Hypothèses!$V$13,Hypothèses!$X$13,IF(BG235&lt;=Hypothèses!$V$14,Hypothèses!$X$14,IF(BG235&lt;=Hypothèses!$V$15,Hypothèses!$X$15,IF(BG235&lt;=Hypothèses!$V$16,Hypothèses!$X$16,IF(BG235&lt;=Hypothèses!$U$17,Hypothèses!$W$17,IF(BG235&lt;=Hypothèses!$U$18,Hypothèses!$W$18,""))))))))))))</f>
        <v>#DIV/0!</v>
      </c>
      <c r="CD235" s="95" t="e">
        <f t="shared" ca="1" si="381"/>
        <v>#DIV/0!</v>
      </c>
      <c r="CE235" s="101">
        <f t="shared" si="426"/>
        <v>0</v>
      </c>
      <c r="CF235" s="91">
        <f t="shared" si="348"/>
        <v>0</v>
      </c>
      <c r="CG235" s="30" t="e">
        <f t="shared" si="406"/>
        <v>#N/A</v>
      </c>
      <c r="CH235" s="30" t="e">
        <f t="shared" si="407"/>
        <v>#N/A</v>
      </c>
      <c r="CI235" s="31" t="e">
        <f>IF(OR(Hypothèses!$B$4=17,Hypothèses!$B$4=18,Hypothèses!$B$4=19,Hypothèses!$B$4=20),
IF($D235="Pressio.",
IF(OR($E235=3,$E235=1,$E235=4),CH235,CG235),
IF($D235="Pénétro.",
IF(OR($E235=3,$E235=1,$E235=4),CH235,CG235))),IF($D235="Pressio.",
IF($E235=3,CH235,CG235),
IF($D235="Pénétro.",
IF($E235=4,CH235,CG235))))</f>
        <v>#N/A</v>
      </c>
      <c r="CJ235" s="31">
        <v>0</v>
      </c>
      <c r="CK235" s="102" t="e">
        <f>IF(NDC!$H$10="Oui",(VLOOKUP($B$3,'Coeff EC7'!$T$39:$X$59,2,0)*CI235+VLOOKUP($B$3,'Coeff EC7'!$T$65:$X$85,2,0)*Model0.1T!CJ235)/1.5,PI()*CG$12*$Q235*($B235-$B234)*0.15/10+CK234)</f>
        <v>#N/A</v>
      </c>
      <c r="CL235" s="102" t="e">
        <f>(VLOOKUP($B$3,'Coeff EC7'!$T$39:$X$59,3,0)*CI235+VLOOKUP($B$3,'Coeff EC7'!$T$65:$X$85,3,0)*Model0.1T!CJ235)/1.1</f>
        <v>#N/A</v>
      </c>
      <c r="CM235" s="102" t="e">
        <f t="shared" si="382"/>
        <v>#N/A</v>
      </c>
      <c r="CN235" s="102" t="e">
        <f t="shared" si="383"/>
        <v>#N/A</v>
      </c>
      <c r="CO235" s="414" t="e">
        <f>IF(AND(CK235&gt;NDC!$C$63,CL235&gt;NDC!$C$65,CM235&gt;NDC!$D$73,CN235&gt;NDC!$D$74,$B235&gt;NDC!$H$22-0.1+MIN(3*CO$12,1.5)),0,1)</f>
        <v>#N/A</v>
      </c>
      <c r="CP235" s="86" t="b">
        <f t="shared" si="349"/>
        <v>0</v>
      </c>
      <c r="CQ235" s="86">
        <f t="shared" si="350"/>
        <v>0.5</v>
      </c>
      <c r="CR235" s="86">
        <f t="shared" si="351"/>
        <v>0.5</v>
      </c>
      <c r="CS235" s="30" t="e">
        <f t="shared" ca="1" si="384"/>
        <v>#DIV/0!</v>
      </c>
      <c r="CT235" s="85" t="e">
        <f ca="1">IF(BZ235&lt;=Hypothèses!$V$7,Hypothèses!$W$7,IF(BZ235&lt;=Hypothèses!$V$8,Hypothèses!$W$8,IF(BZ235&lt;=Hypothèses!$V$9,Hypothèses!$W$9,IF(BZ235&lt;=Hypothèses!$V$10,Hypothèses!$W$10,IF(BZ235&lt;=Hypothèses!$V$11,Hypothèses!$W$11,IF(BZ235&lt;=Hypothèses!$V$12,Hypothèses!$W$12,IF(BZ235&lt;=Hypothèses!$V$13,Hypothèses!$W$13,IF(BZ235&lt;=Hypothèses!$V$14,Hypothèses!$W$14,IF(BZ235&lt;=Hypothèses!$V$15,Hypothèses!$W$15,IF(BZ235&lt;=Hypothèses!$V$16,Hypothèses!$W$16,IF(BZ235&lt;=Hypothèses!$V$17,Hypothèses!$W$17,IF(BZ235&lt;=Hypothèses!$V$18,Hypothèses!$W$18,""))))))))))))</f>
        <v>#DIV/0!</v>
      </c>
      <c r="CU235" s="87" t="e">
        <f t="shared" ca="1" si="420"/>
        <v>#DIV/0!</v>
      </c>
      <c r="CV235" s="88" t="e">
        <f ca="1">IF(BZ235&lt;=Hypothèses!$V$7,Hypothèses!$X$7,IF(BZ235&lt;=Hypothèses!$V$8,Hypothèses!$X$8,IF(BZ235&lt;=Hypothèses!$V$9,Hypothèses!$X$9,IF(BZ235&lt;=Hypothèses!$V$10,Hypothèses!$X$10,IF(BZ235&lt;=Hypothèses!$V$11,Hypothèses!$X$11,IF(BZ235&lt;=Hypothèses!$V$12,Hypothèses!$X$12,IF(BZ235&lt;=Hypothèses!$V$13,Hypothèses!$X$13,IF(BZ235&lt;=Hypothèses!$V$14,Hypothèses!$X$14,IF(BZ235&lt;=Hypothèses!$V$15,Hypothèses!$X$15,IF(BZ235&lt;=Hypothèses!$V$16,Hypothèses!$X$16,IF(BZ235&lt;=Hypothèses!$U$17,Hypothèses!$W$17,IF(BZ235&lt;=Hypothèses!$U$18,Hypothèses!$W$18,""))))))))))))</f>
        <v>#DIV/0!</v>
      </c>
      <c r="CW235" s="95" t="e">
        <f t="shared" ca="1" si="385"/>
        <v>#DIV/0!</v>
      </c>
      <c r="CX235" s="101">
        <f t="shared" si="427"/>
        <v>0</v>
      </c>
      <c r="CY235" s="91">
        <f t="shared" si="352"/>
        <v>0</v>
      </c>
      <c r="CZ235" s="30" t="e">
        <f t="shared" si="408"/>
        <v>#N/A</v>
      </c>
      <c r="DA235" s="30" t="e">
        <f t="shared" si="409"/>
        <v>#N/A</v>
      </c>
      <c r="DB235" s="31" t="e">
        <f>IF(OR(Hypothèses!$B$4=17,Hypothèses!$B$4=18,Hypothèses!$B$4=19,Hypothèses!$B$4=20),
IF($D235="Pressio.",
IF(OR($E235=3,$E235=1,$E235=4),DA235,CZ235),
IF($D235="Pénétro.",
IF(OR($E235=3,$E235=1,$E235=4),DA235,CZ235))),IF($D235="Pressio.",
IF($E235=3,DA235,CZ235),
IF($D235="Pénétro.",
IF($E235=4,DA235,CZ235))))</f>
        <v>#N/A</v>
      </c>
      <c r="DC235" s="31">
        <v>0</v>
      </c>
      <c r="DD235" s="102" t="e">
        <f>IF(NDC!$H$10="Oui",(VLOOKUP($B$3,'Coeff EC7'!$T$39:$X$59,2,0)*DB235+VLOOKUP($B$3,'Coeff EC7'!$T$65:$X$85,2,0)*Model0.1T!DC235)/1.5,PI()*CZ$12*$Q235*($B235-$B234)*0.15/10+DD234)</f>
        <v>#N/A</v>
      </c>
      <c r="DE235" s="102" t="e">
        <f>(VLOOKUP($B$3,'Coeff EC7'!$T$39:$X$59,3,0)*DB235+VLOOKUP($B$3,'Coeff EC7'!$T$65:$X$85,3,0)*Model0.1T!DC235)/1.1</f>
        <v>#N/A</v>
      </c>
      <c r="DF235" s="102" t="e">
        <f t="shared" si="386"/>
        <v>#N/A</v>
      </c>
      <c r="DG235" s="102" t="e">
        <f t="shared" si="387"/>
        <v>#N/A</v>
      </c>
      <c r="DH235" s="414" t="e">
        <f>IF(AND(DD235&gt;NDC!$C$63,DE235&gt;NDC!$C$65,DF235&gt;NDC!$D$73,DG235&gt;NDC!$D$74,$B235&gt;NDC!$H$22-0.1+MIN(3*DH$12,1.5)),0,1)</f>
        <v>#N/A</v>
      </c>
      <c r="DI235" s="86" t="b">
        <f t="shared" si="353"/>
        <v>0</v>
      </c>
      <c r="DJ235" s="86">
        <f t="shared" si="354"/>
        <v>0.5</v>
      </c>
      <c r="DK235" s="86">
        <f t="shared" si="355"/>
        <v>0.5</v>
      </c>
      <c r="DL235" s="30" t="e">
        <f t="shared" ca="1" si="388"/>
        <v>#DIV/0!</v>
      </c>
      <c r="DM235" s="85" t="e">
        <f ca="1">IF(CS235&lt;=Hypothèses!$V$7,Hypothèses!$W$7,IF(CS235&lt;=Hypothèses!$V$8,Hypothèses!$W$8,IF(CS235&lt;=Hypothèses!$V$9,Hypothèses!$W$9,IF(CS235&lt;=Hypothèses!$V$10,Hypothèses!$W$10,IF(CS235&lt;=Hypothèses!$V$11,Hypothèses!$W$11,IF(CS235&lt;=Hypothèses!$V$12,Hypothèses!$W$12,IF(CS235&lt;=Hypothèses!$V$13,Hypothèses!$W$13,IF(CS235&lt;=Hypothèses!$V$14,Hypothèses!$W$14,IF(CS235&lt;=Hypothèses!$V$15,Hypothèses!$W$15,IF(CS235&lt;=Hypothèses!$V$16,Hypothèses!$W$16,IF(CS235&lt;=Hypothèses!$V$17,Hypothèses!$W$17,IF(CS235&lt;=Hypothèses!$V$18,Hypothèses!$W$18,""))))))))))))</f>
        <v>#DIV/0!</v>
      </c>
      <c r="DN235" s="87" t="e">
        <f t="shared" ca="1" si="421"/>
        <v>#DIV/0!</v>
      </c>
      <c r="DO235" s="88" t="e">
        <f ca="1">IF(CS235&lt;=Hypothèses!$V$7,Hypothèses!$X$7,IF(CS235&lt;=Hypothèses!$V$8,Hypothèses!$X$8,IF(CS235&lt;=Hypothèses!$V$9,Hypothèses!$X$9,IF(CS235&lt;=Hypothèses!$V$10,Hypothèses!$X$10,IF(CS235&lt;=Hypothèses!$V$11,Hypothèses!$X$11,IF(CS235&lt;=Hypothèses!$V$12,Hypothèses!$X$12,IF(CS235&lt;=Hypothèses!$V$13,Hypothèses!$X$13,IF(CS235&lt;=Hypothèses!$V$14,Hypothèses!$X$14,IF(CS235&lt;=Hypothèses!$V$15,Hypothèses!$X$15,IF(CS235&lt;=Hypothèses!$V$16,Hypothèses!$X$16,IF(CS235&lt;=Hypothèses!$U$17,Hypothèses!$W$17,IF(CS235&lt;=Hypothèses!$U$18,Hypothèses!$W$18,""))))))))))))</f>
        <v>#DIV/0!</v>
      </c>
      <c r="DP235" s="95" t="e">
        <f t="shared" ca="1" si="389"/>
        <v>#DIV/0!</v>
      </c>
      <c r="DQ235" s="101">
        <f t="shared" si="428"/>
        <v>0</v>
      </c>
      <c r="DR235" s="91">
        <f t="shared" si="356"/>
        <v>0</v>
      </c>
      <c r="DS235" s="30" t="e">
        <f t="shared" si="410"/>
        <v>#N/A</v>
      </c>
      <c r="DT235" s="30" t="e">
        <f t="shared" si="411"/>
        <v>#N/A</v>
      </c>
      <c r="DU235" s="31" t="e">
        <f>IF(OR(Hypothèses!$B$4=17,Hypothèses!$B$4=18,Hypothèses!$B$4=19,Hypothèses!$B$4=20),
IF($D235="Pressio.",
IF(OR($E235=3,$E235=1,$E235=4),DT235,DS235),
IF($D235="Pénétro.",
IF(OR($E235=3,$E235=1,$E235=4),DT235,DS235))),IF($D235="Pressio.",
IF($E235=3,DT235,DS235),
IF($D235="Pénétro.",
IF($E235=4,DT235,DS235))))</f>
        <v>#N/A</v>
      </c>
      <c r="DV235" s="31">
        <v>0</v>
      </c>
      <c r="DW235" s="102" t="e">
        <f>IF(NDC!$H$10="Oui",(VLOOKUP($B$3,'Coeff EC7'!$T$39:$X$59,2,0)*DU235+VLOOKUP($B$3,'Coeff EC7'!$T$65:$X$85,2,0)*Model0.1T!DV235)/1.5,PI()*DS$12*$Q235*($B235-$B234)*0.15/10+DW234)</f>
        <v>#N/A</v>
      </c>
      <c r="DX235" s="102" t="e">
        <f>(VLOOKUP($B$3,'Coeff EC7'!$T$39:$X$59,3,0)*DU235+VLOOKUP($B$3,'Coeff EC7'!$T$65:$X$85,3,0)*Model0.1T!DV235)/1.1</f>
        <v>#N/A</v>
      </c>
      <c r="DY235" s="102" t="e">
        <f t="shared" si="390"/>
        <v>#N/A</v>
      </c>
      <c r="DZ235" s="102" t="e">
        <f t="shared" si="391"/>
        <v>#N/A</v>
      </c>
      <c r="EA235" s="414" t="e">
        <f>IF(AND(DW235&gt;NDC!$C$63,DX235&gt;NDC!$C$65,DY235&gt;NDC!$D$73,DZ235&gt;NDC!$D$74,$B235&gt;NDC!$H$22-0.1+MIN(3*EA$12,1.5)),0,1)</f>
        <v>#N/A</v>
      </c>
      <c r="EB235" s="86" t="b">
        <f t="shared" si="357"/>
        <v>0</v>
      </c>
      <c r="EC235" s="418">
        <f t="shared" si="358"/>
        <v>0.51</v>
      </c>
      <c r="ED235" s="86">
        <f t="shared" si="359"/>
        <v>0.51</v>
      </c>
      <c r="EE235" s="30" t="e">
        <f t="shared" ca="1" si="392"/>
        <v>#DIV/0!</v>
      </c>
      <c r="EF235" s="85" t="e">
        <f ca="1">IF(DL235&lt;=Hypothèses!$V$7,Hypothèses!$W$7,IF(DL235&lt;=Hypothèses!$V$8,Hypothèses!$W$8,IF(DL235&lt;=Hypothèses!$V$9,Hypothèses!$W$9,IF(DL235&lt;=Hypothèses!$V$10,Hypothèses!$W$10,IF(DL235&lt;=Hypothèses!$V$11,Hypothèses!$W$11,IF(DL235&lt;=Hypothèses!$V$12,Hypothèses!$W$12,IF(DL235&lt;=Hypothèses!$V$13,Hypothèses!$W$13,IF(DL235&lt;=Hypothèses!$V$14,Hypothèses!$W$14,IF(DL235&lt;=Hypothèses!$V$15,Hypothèses!$W$15,IF(DL235&lt;=Hypothèses!$V$16,Hypothèses!$W$16,IF(DL235&lt;=Hypothèses!$V$17,Hypothèses!$W$17,IF(DL235&lt;=Hypothèses!$V$18,Hypothèses!$W$18,""))))))))))))</f>
        <v>#DIV/0!</v>
      </c>
      <c r="EG235" s="87" t="e">
        <f t="shared" ca="1" si="422"/>
        <v>#DIV/0!</v>
      </c>
      <c r="EH235" s="88" t="e">
        <f ca="1">IF(DL235&lt;=Hypothèses!$V$7,Hypothèses!$X$7,IF(DL235&lt;=Hypothèses!$V$8,Hypothèses!$X$8,IF(DL235&lt;=Hypothèses!$V$9,Hypothèses!$X$9,IF(DL235&lt;=Hypothèses!$V$10,Hypothèses!$X$10,IF(DL235&lt;=Hypothèses!$V$11,Hypothèses!$X$11,IF(DL235&lt;=Hypothèses!$V$12,Hypothèses!$X$12,IF(DL235&lt;=Hypothèses!$V$13,Hypothèses!$X$13,IF(DL235&lt;=Hypothèses!$V$14,Hypothèses!$X$14,IF(DL235&lt;=Hypothèses!$V$15,Hypothèses!$X$15,IF(DL235&lt;=Hypothèses!$V$16,Hypothèses!$X$16,IF(DL235&lt;=Hypothèses!$U$17,Hypothèses!$W$17,IF(DL235&lt;=Hypothèses!$U$18,Hypothèses!$W$18,""))))))))))))</f>
        <v>#DIV/0!</v>
      </c>
      <c r="EI235" s="95" t="e">
        <f t="shared" ca="1" si="393"/>
        <v>#DIV/0!</v>
      </c>
      <c r="EJ235" s="101">
        <f t="shared" si="429"/>
        <v>0</v>
      </c>
      <c r="EK235" s="91">
        <f t="shared" si="360"/>
        <v>0</v>
      </c>
      <c r="EL235" s="30" t="e">
        <f t="shared" si="412"/>
        <v>#N/A</v>
      </c>
      <c r="EM235" s="30" t="e">
        <f t="shared" si="413"/>
        <v>#N/A</v>
      </c>
      <c r="EN235" s="31" t="e">
        <f>IF(OR(Hypothèses!$B$4=17,Hypothèses!$B$4=18,Hypothèses!$B$4=19,Hypothèses!$B$4=20),
IF($D235="Pressio.",
IF(OR($E235=3,$E235=1,$E235=4),EM235,EL235),
IF($D235="Pénétro.",
IF(OR($E235=3,$E235=1,$E235=4),EM235,EL235))),IF($D235="Pressio.",
IF($E235=3,EM235,EL235),
IF($D235="Pénétro.",
IF($E235=4,EM235,EL235))))</f>
        <v>#N/A</v>
      </c>
      <c r="EO235" s="31">
        <v>0</v>
      </c>
      <c r="EP235" s="102" t="e">
        <f>IF(NDC!$H$10="Oui",(VLOOKUP($B$3,'Coeff EC7'!$T$39:$X$59,2,0)*EN235+VLOOKUP($B$3,'Coeff EC7'!$T$65:$X$85,2,0)*Model0.1T!EO235)/1.5,PI()*EL$12*$Q235*($B235-$B234)*0.15/10+EP234)</f>
        <v>#N/A</v>
      </c>
      <c r="EQ235" s="102" t="e">
        <f>(VLOOKUP($B$3,'Coeff EC7'!$T$39:$X$59,3,0)*EN235+VLOOKUP($B$3,'Coeff EC7'!$T$65:$X$85,3,0)*Model0.1T!EO235)/1.1</f>
        <v>#N/A</v>
      </c>
      <c r="ER235" s="102" t="e">
        <f t="shared" si="394"/>
        <v>#N/A</v>
      </c>
      <c r="ES235" s="102" t="e">
        <f t="shared" si="395"/>
        <v>#N/A</v>
      </c>
      <c r="ET235" s="414" t="e">
        <f>IF(AND(EP235&gt;NDC!$C$63,EQ235&gt;NDC!$C$65,ER235&gt;NDC!$D$73,ES235&gt;NDC!$D$74,$B235&gt;NDC!$H$22-0.1+MIN(3*ET$12,1.5)),0,1)</f>
        <v>#N/A</v>
      </c>
      <c r="EU235" s="86" t="b">
        <f t="shared" si="361"/>
        <v>0</v>
      </c>
      <c r="EV235" s="86">
        <f t="shared" si="362"/>
        <v>0.61</v>
      </c>
      <c r="EW235" s="86">
        <f t="shared" si="363"/>
        <v>0.61</v>
      </c>
      <c r="EX235" s="30" t="e">
        <f t="shared" ca="1" si="396"/>
        <v>#DIV/0!</v>
      </c>
      <c r="EY235" s="85" t="e">
        <f ca="1">IF(EE235&lt;=Hypothèses!$V$7,Hypothèses!$W$7,IF(EE235&lt;=Hypothèses!$V$8,Hypothèses!$W$8,IF(EE235&lt;=Hypothèses!$V$9,Hypothèses!$W$9,IF(EE235&lt;=Hypothèses!$V$10,Hypothèses!$W$10,IF(EE235&lt;=Hypothèses!$V$11,Hypothèses!$W$11,IF(EE235&lt;=Hypothèses!$V$12,Hypothèses!$W$12,IF(EE235&lt;=Hypothèses!$V$13,Hypothèses!$W$13,IF(EE235&lt;=Hypothèses!$V$14,Hypothèses!$W$14,IF(EE235&lt;=Hypothèses!$V$15,Hypothèses!$W$15,IF(EE235&lt;=Hypothèses!$V$16,Hypothèses!$W$16,IF(EE235&lt;=Hypothèses!$V$17,Hypothèses!$W$17,IF(EE235&lt;=Hypothèses!$V$18,Hypothèses!$W$18,""))))))))))))</f>
        <v>#DIV/0!</v>
      </c>
      <c r="EZ235" s="87" t="e">
        <f t="shared" ca="1" si="423"/>
        <v>#DIV/0!</v>
      </c>
      <c r="FA235" s="88" t="e">
        <f ca="1">IF(EE235&lt;=Hypothèses!$V$7,Hypothèses!$X$7,IF(EE235&lt;=Hypothèses!$V$8,Hypothèses!$X$8,IF(EE235&lt;=Hypothèses!$V$9,Hypothèses!$X$9,IF(EE235&lt;=Hypothèses!$V$10,Hypothèses!$X$10,IF(EE235&lt;=Hypothèses!$V$11,Hypothèses!$X$11,IF(EE235&lt;=Hypothèses!$V$12,Hypothèses!$X$12,IF(EE235&lt;=Hypothèses!$V$13,Hypothèses!$X$13,IF(EE235&lt;=Hypothèses!$V$14,Hypothèses!$X$14,IF(EE235&lt;=Hypothèses!$V$15,Hypothèses!$X$15,IF(EE235&lt;=Hypothèses!$V$16,Hypothèses!$X$16,IF(EE235&lt;=Hypothèses!$U$17,Hypothèses!$W$17,IF(EE235&lt;=Hypothèses!$U$18,Hypothèses!$W$18,""))))))))))))</f>
        <v>#DIV/0!</v>
      </c>
      <c r="FB235" s="95" t="e">
        <f t="shared" ca="1" si="397"/>
        <v>#DIV/0!</v>
      </c>
      <c r="FC235" s="101">
        <f t="shared" si="430"/>
        <v>0</v>
      </c>
      <c r="FD235" s="91">
        <f t="shared" si="364"/>
        <v>0</v>
      </c>
      <c r="FE235" s="30" t="e">
        <f t="shared" si="414"/>
        <v>#N/A</v>
      </c>
      <c r="FF235" s="30" t="e">
        <f t="shared" si="415"/>
        <v>#N/A</v>
      </c>
      <c r="FG235" s="31" t="e">
        <f>IF(OR(Hypothèses!$B$4=17,Hypothèses!$B$4=18,Hypothèses!$B$4=19,Hypothèses!$B$4=20),
IF($D235="Pressio.",
IF(OR($E235=3,$E235=1,$E235=4),FF235,FE235),
IF($D235="Pénétro.",
IF(OR($E235=3,$E235=1,$E235=4),FF235,FE235))),IF($D235="Pressio.",
IF($E235=3,FF235,FE235),
IF($D235="Pénétro.",
IF($E235=4,FF235,FE235))))</f>
        <v>#N/A</v>
      </c>
      <c r="FH235" s="31">
        <v>0</v>
      </c>
      <c r="FI235" s="102" t="e">
        <f>IF(NDC!$H$10="Oui",(VLOOKUP($B$3,'Coeff EC7'!$T$39:$X$59,2,0)*FG235+VLOOKUP($B$3,'Coeff EC7'!$T$65:$X$85,2,0)*Model0.1T!FH235)/1.5,PI()*FE$12*$Q235*($B235-$B234)*0.15/10+FI234)</f>
        <v>#N/A</v>
      </c>
      <c r="FJ235" s="102" t="e">
        <f>(VLOOKUP($B$3,'Coeff EC7'!$T$39:$X$59,3,0)*FG235+VLOOKUP($B$3,'Coeff EC7'!$T$65:$X$85,3,0)*Model0.1T!FH235)/1.1</f>
        <v>#N/A</v>
      </c>
      <c r="FK235" s="102" t="e">
        <f t="shared" si="398"/>
        <v>#N/A</v>
      </c>
      <c r="FL235" s="102" t="e">
        <f t="shared" si="399"/>
        <v>#N/A</v>
      </c>
      <c r="FM235" s="414" t="e">
        <f>IF(AND(FI235&gt;NDC!$C$63,FJ235&gt;NDC!$C$65,FK235&gt;NDC!$D$73,FL235&gt;NDC!$D$74,$B235&gt;NDC!$H$22-0.1+MIN(3*FM$12,1.5)),0,1)</f>
        <v>#N/A</v>
      </c>
    </row>
    <row r="236" spans="1:169">
      <c r="A236" s="96">
        <f t="shared" si="365"/>
        <v>77.700000000001268</v>
      </c>
      <c r="B236" s="97">
        <v>22.3</v>
      </c>
      <c r="C236" s="81">
        <f>IF(B236&lt;=Hypothèses!$C$7,Hypothèses!$A$7,IF(B236&lt;=Hypothèses!$C$8,Hypothèses!$A$8,IF(B236&lt;=Hypothèses!$C$9,Hypothèses!$A$9,IF(B236&lt;=Hypothèses!$C$10,Hypothèses!$A$10,IF(B236&lt;=Hypothèses!$C$11,Hypothèses!$A$11,IF(B236&lt;=Hypothèses!$C$12,Hypothèses!$A$12,IF(B236&lt;=Hypothèses!$C$13,Hypothèses!$A$13,IF(B236&lt;=Hypothèses!$C$14,Hypothèses!$A$14,IF(B236&lt;=Hypothèses!$C$15,Hypothèses!$A$15,IF(B236&lt;=Hypothèses!$C$16,Hypothèses!$A$16,IF(B236&lt;=Hypothèses!$C$17,Hypothèses!$A$17,IF(B236&lt;=Hypothèses!$C$18,Hypothèses!$A$18,C235))))))))))))</f>
        <v>11</v>
      </c>
      <c r="D236" s="82" t="str">
        <f>IF(B236&lt;=Hypothèses!$C$7,Hypothèses!$R$7,IF(B236&lt;=Hypothèses!$C$8,Hypothèses!$R$8,IF(B236&lt;=Hypothèses!$C$9,Hypothèses!$R$9,IF(B236&lt;=Hypothèses!$C$10,Hypothèses!$R$10,IF(B236&lt;=Hypothèses!$C$11,Hypothèses!$R$11,IF(B236&lt;=Hypothèses!$C$12,Hypothèses!$R$12,IF(B236&lt;=Hypothèses!$C$13,Hypothèses!$R$13,IF(B236&lt;=Hypothèses!$C$14,Hypothèses!$R$14,IF(B236&lt;=Hypothèses!$C$15,Hypothèses!$R$15,IF(B236&lt;=Hypothèses!$C$16,Hypothèses!$R$16,IF(B236&lt;=Hypothèses!$C$17,Hypothèses!$R$17,IF(B236&lt;=Hypothèses!$C$18,Hypothèses!$R$18,D235))))))))))))</f>
        <v>Pressio.</v>
      </c>
      <c r="E236" s="82" t="e">
        <f>IF(B236&lt;=Hypothèses!$C$7,Hypothèses!$G$7,IF(B236&lt;=Hypothèses!$C$8,Hypothèses!$G$8,IF(B236&lt;=Hypothèses!$C$9,Hypothèses!$G$9,IF(B236&lt;=Hypothèses!$C$10,Hypothèses!$G$10,IF(B236&lt;=Hypothèses!$C$11,Hypothèses!$G$11,IF(B236&lt;=Hypothèses!$C$12,Hypothèses!$G$12,IF(B236&lt;=Hypothèses!$C$13,Hypothèses!$G$13,IF(B236&lt;=Hypothèses!$C$14,Hypothèses!$G$14,IF(B236&lt;=Hypothèses!$C$15,Hypothèses!$G$15,IF(B236&lt;=Hypothèses!$C$16,Hypothèses!$G$16,IF(B236&lt;=Hypothèses!$C$17,Hypothèses!$G$17,IF(B236&lt;=Hypothèses!$C$18,Hypothèses!$G$18,E235))))))))))))</f>
        <v>#N/A</v>
      </c>
      <c r="F236" s="82" t="str">
        <f>IF(B236&lt;=Hypothèses!$C$7,Hypothèses!$F$7,IF(B236&lt;=Hypothèses!$C$8,Hypothèses!$F$8,IF(B236&lt;=Hypothèses!$C$9,Hypothèses!$F$9,IF(B236&lt;=Hypothèses!$C$10,Hypothèses!$F$10,IF(B236&lt;=Hypothèses!$C$11,Hypothèses!$F$11,IF(B236&lt;=Hypothèses!$C$12,Hypothèses!$F$12,IF(B236&lt;=Hypothèses!$C$13,Hypothèses!$F$13,IF(B236&lt;=Hypothèses!$C$14,Hypothèses!$F$14,IF(B236&lt;=Hypothèses!$C$15,Hypothèses!$F$15,IF(B236&lt;=Hypothèses!$C$16,Hypothèses!$F$16,IF(B236&lt;=Hypothèses!$C$17,Hypothèses!$F$17,IF(B236&lt;=Hypothèses!$C$18,Hypothèses!$F$18,F235))))))))))))</f>
        <v/>
      </c>
      <c r="G236" s="91">
        <f t="array" ref="G236">INDEX('Coeff EC7'!$U$7:$X$27,
MATCH(Model0.1T!$B$3,'Coeff EC7'!$T$7:$T$27,0),
MATCH(Model0.1T!$D236&amp;Model0.1T!$B$4,
'Coeff EC7'!$U$6:$X$6&amp;
'Coeff EC7'!$U$5:$X$5,0))</f>
        <v>1.4</v>
      </c>
      <c r="H236" s="91">
        <f t="array" ref="H236">INDEX('Coeff EC7'!$Y$7:$AB$27,
MATCH(Model0.1T!$B$3,'Coeff EC7'!$T$7:$T$27,0),
MATCH(Model0.1T!$D236&amp;Model0.1T!$B$4,
'Coeff EC7'!$Y$6:$AB$6&amp;
'Coeff EC7'!$Y$5:$AB$5,0))</f>
        <v>1.7</v>
      </c>
      <c r="I236" s="83">
        <v>0</v>
      </c>
      <c r="J236" s="91" t="e">
        <f t="array" ref="J236">INDEX('Coeff EC7'!$D$33:$Q$33,1,MATCH(D236&amp;E236,'Coeff EC7'!$D$31:$Q$31&amp;'Coeff EC7'!$D$32:$Q$32,0))</f>
        <v>#N/A</v>
      </c>
      <c r="K236" s="91" t="e">
        <f t="array" ref="K236">INDEX('Coeff EC7'!$D$34:$Q$34,1,MATCH(D236&amp;E236,'Coeff EC7'!$D$31:$Q$31&amp;'Coeff EC7'!$D$32:$Q$32,0))</f>
        <v>#N/A</v>
      </c>
      <c r="L236" s="91" t="e">
        <f t="array" ref="L236">INDEX('Coeff EC7'!$D$35:$Q$35,1,MATCH(D236&amp;E236,'Coeff EC7'!$D$31:$Q$31&amp;'Coeff EC7'!$D$32:$Q$32,0))</f>
        <v>#N/A</v>
      </c>
      <c r="M236" s="98" t="e">
        <f t="shared" si="331"/>
        <v>#N/A</v>
      </c>
      <c r="N236" s="99" t="e">
        <f t="array" ref="N236">INDEX('Coeff EC7'!$D$7:$Q$27,MATCH($B$3,'Coeff EC7'!$C$7:$C$27,0),MATCH(D236&amp;E236,'Coeff EC7'!$D$5:$Q$5&amp;'Coeff EC7'!$D$6:$Q$6,0))</f>
        <v>#N/A</v>
      </c>
      <c r="O236" s="99" t="e">
        <f t="array" ref="O236">INDEX('Coeff EC7'!$D$41:$Q$61,MATCH($B$3,'Coeff EC7'!$C$41:$C$61,0),MATCH(D236&amp;E236,'Coeff EC7'!$D$39:$Q$39&amp;'Coeff EC7'!$D$40:$Q$40,0))</f>
        <v>#N/A</v>
      </c>
      <c r="P236" s="30" t="e">
        <f t="shared" si="366"/>
        <v>#N/A</v>
      </c>
      <c r="Q236" s="100" t="e">
        <f t="shared" si="333"/>
        <v>#N/A</v>
      </c>
      <c r="R236" s="86" t="b">
        <f t="shared" si="334"/>
        <v>0</v>
      </c>
      <c r="S236" s="86">
        <f t="shared" si="332"/>
        <v>0.5</v>
      </c>
      <c r="T236" s="86">
        <f t="shared" si="335"/>
        <v>0.5</v>
      </c>
      <c r="U236" s="30" t="e">
        <f t="shared" ca="1" si="367"/>
        <v>#DIV/0!</v>
      </c>
      <c r="V236" s="85" t="str">
        <f>IF(B236&lt;=Hypothèses!$V$7,Hypothèses!$W$7,IF(B236&lt;=Hypothèses!$V$8,Hypothèses!$W$8,IF(B236&lt;=Hypothèses!$V$9,Hypothèses!$W$9,IF(B236&lt;=Hypothèses!$V$10,Hypothèses!$W$10,IF(B236&lt;=Hypothèses!$V$11,Hypothèses!$W$11,IF(B236&lt;=Hypothèses!$V$12,Hypothèses!$W$12,IF(B236&lt;=Hypothèses!$V$13,Hypothèses!$W$13,IF(B236&lt;=Hypothèses!$V$14,Hypothèses!$W$14,IF(B236&lt;=Hypothèses!$V$15,Hypothèses!$W$15,IF(B236&lt;=Hypothèses!$V$16,Hypothèses!$W$16,IF(B236&lt;=Hypothèses!$V$17,Hypothèses!$W$17,IF(B236&lt;=Hypothèses!$V$18,Hypothèses!$W$18,""))))))))))))</f>
        <v/>
      </c>
      <c r="W236" s="87" t="e">
        <f t="shared" ca="1" si="416"/>
        <v>#DIV/0!</v>
      </c>
      <c r="X236" s="88" t="str">
        <f>IF(B236&lt;=Hypothèses!$V$7,Hypothèses!$X$7,IF(B236&lt;=Hypothèses!$V$8,Hypothèses!$X$8,IF(B236&lt;=Hypothèses!$V$9,Hypothèses!$X$9,IF(B236&lt;=Hypothèses!$V$10,Hypothèses!$X$10,IF(B236&lt;=Hypothèses!$V$11,Hypothèses!$X$11,IF(B236&lt;=Hypothèses!$V$12,Hypothèses!$X$12,IF(B236&lt;=Hypothèses!$V$13,Hypothèses!$X$13,IF(B236&lt;=Hypothèses!$V$14,Hypothèses!$X$14,IF(B236&lt;=Hypothèses!$V$15,Hypothèses!$X$15,IF(B236&lt;=Hypothèses!$V$16,Hypothèses!$X$16,IF(B236&lt;=Hypothèses!$U$17,Hypothèses!$W$17,IF(B236&lt;=Hypothèses!$U$18,Hypothèses!$W$18,""))))))))))))</f>
        <v/>
      </c>
      <c r="Y236" s="95" t="e">
        <f t="shared" ca="1" si="336"/>
        <v>#DIV/0!</v>
      </c>
      <c r="Z236" s="101">
        <f t="shared" si="337"/>
        <v>0</v>
      </c>
      <c r="AA236" s="91">
        <f t="shared" si="338"/>
        <v>0</v>
      </c>
      <c r="AB236" s="30" t="e">
        <f t="shared" si="400"/>
        <v>#N/A</v>
      </c>
      <c r="AC236" s="30" t="e">
        <f t="shared" si="401"/>
        <v>#N/A</v>
      </c>
      <c r="AD236" s="31" t="e">
        <f>IF(OR(Hypothèses!$B$4=17,Hypothèses!$B$4=18,Hypothèses!$B$4=19,Hypothèses!$B$4=20),
IF($D236="Pressio.",
IF(OR($E236=3,$E236=1,$E236=4),AC236,AB236),
IF($D236="Pénétro.",
IF(OR($E236=3,$E236=1,$E236=4),AC236,AB236))),IF($D236="Pressio.",
IF($E236=3,AC236,AB236),
IF($D236="Pénétro.",
IF($E236=4,AC236,AB236))))</f>
        <v>#N/A</v>
      </c>
      <c r="AE236" s="31">
        <v>0</v>
      </c>
      <c r="AF236" s="102" t="e">
        <f>IF(NDC!$H$10="Oui",(VLOOKUP($B$3,'Coeff EC7'!$T$39:$X$59,2,0)*AD236+VLOOKUP($B$3,'Coeff EC7'!$T$65:$X$85,2,0)*Model0.1T!AE236)/1.5,PI()*AB$12*$Q236*($B236-$B235)*0.15/10+AF235)</f>
        <v>#N/A</v>
      </c>
      <c r="AG236" s="102" t="e">
        <f>(VLOOKUP($B$3,'Coeff EC7'!$T$39:$X$59,3,0)*AD236+VLOOKUP($B$3,'Coeff EC7'!$T$65:$X$85,3,0)*Model0.1T!AE236)/1.1</f>
        <v>#N/A</v>
      </c>
      <c r="AH236" s="102" t="e">
        <f t="shared" si="368"/>
        <v>#N/A</v>
      </c>
      <c r="AI236" s="102" t="e">
        <f t="shared" si="369"/>
        <v>#N/A</v>
      </c>
      <c r="AJ236" s="414" t="e">
        <f>IF(AND(AF236&gt;NDC!$C$63,AG236&gt;NDC!$C$65,AH236&gt;NDC!$D$73,AI236&gt;NDC!$D$74,$B236&gt;NDC!$H$22-0.1+MIN(3*$AJ$12,1.5)),0,1)</f>
        <v>#N/A</v>
      </c>
      <c r="AK236" s="86" t="b">
        <f t="shared" si="339"/>
        <v>0</v>
      </c>
      <c r="AL236" s="86">
        <f t="shared" si="370"/>
        <v>0.5</v>
      </c>
      <c r="AM236" s="86">
        <f t="shared" si="340"/>
        <v>0.5</v>
      </c>
      <c r="AN236" s="30" t="e">
        <f t="shared" ca="1" si="371"/>
        <v>#DIV/0!</v>
      </c>
      <c r="AO236" s="85" t="e">
        <f ca="1">IF(U236&lt;=Hypothèses!$V$7,Hypothèses!$W$7,IF(U236&lt;=Hypothèses!$V$8,Hypothèses!$W$8,IF(U236&lt;=Hypothèses!$V$9,Hypothèses!$W$9,IF(U236&lt;=Hypothèses!$V$10,Hypothèses!$W$10,IF(U236&lt;=Hypothèses!$V$11,Hypothèses!$W$11,IF(U236&lt;=Hypothèses!$V$12,Hypothèses!$W$12,IF(U236&lt;=Hypothèses!$V$13,Hypothèses!$W$13,IF(U236&lt;=Hypothèses!$V$14,Hypothèses!$W$14,IF(U236&lt;=Hypothèses!$V$15,Hypothèses!$W$15,IF(U236&lt;=Hypothèses!$V$16,Hypothèses!$W$16,IF(U236&lt;=Hypothèses!$V$17,Hypothèses!$W$17,IF(U236&lt;=Hypothèses!$V$18,Hypothèses!$W$18,""))))))))))))</f>
        <v>#DIV/0!</v>
      </c>
      <c r="AP236" s="87" t="e">
        <f t="shared" ca="1" si="417"/>
        <v>#DIV/0!</v>
      </c>
      <c r="AQ236" s="88" t="e">
        <f ca="1">IF(U236&lt;=Hypothèses!$V$7,Hypothèses!$X$7,IF(U236&lt;=Hypothèses!$V$8,Hypothèses!$X$8,IF(U236&lt;=Hypothèses!$V$9,Hypothèses!$X$9,IF(U236&lt;=Hypothèses!$V$10,Hypothèses!$X$10,IF(U236&lt;=Hypothèses!$V$11,Hypothèses!$X$11,IF(U236&lt;=Hypothèses!$V$12,Hypothèses!$X$12,IF(U236&lt;=Hypothèses!$V$13,Hypothèses!$X$13,IF(U236&lt;=Hypothèses!$V$14,Hypothèses!$X$14,IF(U236&lt;=Hypothèses!$V$15,Hypothèses!$X$15,IF(U236&lt;=Hypothèses!$V$16,Hypothèses!$X$16,IF(U236&lt;=Hypothèses!$U$17,Hypothèses!$W$17,IF(U236&lt;=Hypothèses!$U$18,Hypothèses!$W$18,""))))))))))))</f>
        <v>#DIV/0!</v>
      </c>
      <c r="AR236" s="95" t="e">
        <f t="shared" ca="1" si="372"/>
        <v>#DIV/0!</v>
      </c>
      <c r="AS236" s="101">
        <f t="shared" si="424"/>
        <v>0</v>
      </c>
      <c r="AT236" s="91">
        <f t="shared" si="341"/>
        <v>0</v>
      </c>
      <c r="AU236" s="30" t="e">
        <f t="shared" si="402"/>
        <v>#N/A</v>
      </c>
      <c r="AV236" s="30" t="e">
        <f t="shared" si="403"/>
        <v>#N/A</v>
      </c>
      <c r="AW236" s="31" t="e">
        <f>IF(OR(Hypothèses!$B$4=17,Hypothèses!$B$4=18,Hypothèses!$B$4=19,Hypothèses!$B$4=20),
IF($D236="Pressio.",
IF(OR($E236=3,$E236=1,$E236=4),AV236,AU236),
IF($D236="Pénétro.",
IF(OR($E236=3,$E236=1,$E236=4),AV236,AU236))),IF($D236="Pressio.",
IF($E236=3,AV236,AU236),
IF($D236="Pénétro.",
IF($E236=4,AV236,AU236))))</f>
        <v>#N/A</v>
      </c>
      <c r="AX236" s="31">
        <v>0</v>
      </c>
      <c r="AY236" s="102" t="e">
        <f>IF(NDC!$H$10="Oui",(VLOOKUP($B$3,'Coeff EC7'!$T$39:$X$59,2,0)*AW236+VLOOKUP($B$3,'Coeff EC7'!$T$65:$X$85,2,0)*Model0.1T!AX236)/1.5,PI()*AU$12*$Q236*($B236-$B235)*0.15/10+AY235)</f>
        <v>#N/A</v>
      </c>
      <c r="AZ236" s="102" t="e">
        <f>(VLOOKUP($B$3,'Coeff EC7'!$T$39:$X$59,3,0)*AW236+VLOOKUP($B$3,'Coeff EC7'!$T$65:$X$85,3,0)*Model0.1T!AX236)/1.1</f>
        <v>#N/A</v>
      </c>
      <c r="BA236" s="102" t="e">
        <f t="shared" si="373"/>
        <v>#N/A</v>
      </c>
      <c r="BB236" s="102" t="e">
        <f t="shared" si="374"/>
        <v>#N/A</v>
      </c>
      <c r="BC236" s="414" t="e">
        <f>IF(AND(AY236&gt;NDC!$C$63,AZ236&gt;NDC!$C$65,BA236&gt;NDC!$D$73,BB236&gt;NDC!$D$74,$B236&gt;NDC!$H$22-0.1+MIN(3*BC$12,1.5)),0,1)</f>
        <v>#N/A</v>
      </c>
      <c r="BD236" s="86" t="b">
        <f t="shared" si="342"/>
        <v>0</v>
      </c>
      <c r="BE236" s="86">
        <f t="shared" si="375"/>
        <v>0.5</v>
      </c>
      <c r="BF236" s="86">
        <f t="shared" si="343"/>
        <v>0.5</v>
      </c>
      <c r="BG236" s="30" t="e">
        <f t="shared" ca="1" si="376"/>
        <v>#DIV/0!</v>
      </c>
      <c r="BH236" s="85" t="e">
        <f ca="1">IF(AN236&lt;=Hypothèses!$V$7,Hypothèses!$W$7,IF(AN236&lt;=Hypothèses!$V$8,Hypothèses!$W$8,IF(AN236&lt;=Hypothèses!$V$9,Hypothèses!$W$9,IF(AN236&lt;=Hypothèses!$V$10,Hypothèses!$W$10,IF(AN236&lt;=Hypothèses!$V$11,Hypothèses!$W$11,IF(AN236&lt;=Hypothèses!$V$12,Hypothèses!$W$12,IF(AN236&lt;=Hypothèses!$V$13,Hypothèses!$W$13,IF(AN236&lt;=Hypothèses!$V$14,Hypothèses!$W$14,IF(AN236&lt;=Hypothèses!$V$15,Hypothèses!$W$15,IF(AN236&lt;=Hypothèses!$V$16,Hypothèses!$W$16,IF(AN236&lt;=Hypothèses!$V$17,Hypothèses!$W$17,IF(AN236&lt;=Hypothèses!$V$18,Hypothèses!$W$18,""))))))))))))</f>
        <v>#DIV/0!</v>
      </c>
      <c r="BI236" s="87" t="e">
        <f t="shared" ca="1" si="418"/>
        <v>#DIV/0!</v>
      </c>
      <c r="BJ236" s="88" t="e">
        <f ca="1">IF(AN236&lt;=Hypothèses!$V$7,Hypothèses!$X$7,IF(AN236&lt;=Hypothèses!$V$8,Hypothèses!$X$8,IF(AN236&lt;=Hypothèses!$V$9,Hypothèses!$X$9,IF(AN236&lt;=Hypothèses!$V$10,Hypothèses!$X$10,IF(AN236&lt;=Hypothèses!$V$11,Hypothèses!$X$11,IF(AN236&lt;=Hypothèses!$V$12,Hypothèses!$X$12,IF(AN236&lt;=Hypothèses!$V$13,Hypothèses!$X$13,IF(AN236&lt;=Hypothèses!$V$14,Hypothèses!$X$14,IF(AN236&lt;=Hypothèses!$V$15,Hypothèses!$X$15,IF(AN236&lt;=Hypothèses!$V$16,Hypothèses!$X$16,IF(AN236&lt;=Hypothèses!$U$17,Hypothèses!$W$17,IF(AN236&lt;=Hypothèses!$U$18,Hypothèses!$W$18,""))))))))))))</f>
        <v>#DIV/0!</v>
      </c>
      <c r="BK236" s="95" t="e">
        <f t="shared" ca="1" si="377"/>
        <v>#DIV/0!</v>
      </c>
      <c r="BL236" s="101">
        <f t="shared" si="425"/>
        <v>0</v>
      </c>
      <c r="BM236" s="91">
        <f t="shared" si="344"/>
        <v>0</v>
      </c>
      <c r="BN236" s="30" t="e">
        <f t="shared" si="404"/>
        <v>#N/A</v>
      </c>
      <c r="BO236" s="30" t="e">
        <f t="shared" si="405"/>
        <v>#N/A</v>
      </c>
      <c r="BP236" s="31" t="e">
        <f>IF(OR(Hypothèses!$B$4=17,Hypothèses!$B$4=18,Hypothèses!$B$4=19,Hypothèses!$B$4=20),
IF($D236="Pressio.",
IF(OR($E236=3,$E236=1,$E236=4),BO236,BN236),
IF($D236="Pénétro.",
IF(OR($E236=3,$E236=1,$E236=4),BO236,BN236))),IF($D236="Pressio.",
IF($E236=3,BO236,BN236),
IF($D236="Pénétro.",
IF($E236=4,BO236,BN236))))</f>
        <v>#N/A</v>
      </c>
      <c r="BQ236" s="31">
        <v>0</v>
      </c>
      <c r="BR236" s="102" t="e">
        <f>IF(NDC!$H$10="Oui",(VLOOKUP($B$3,'Coeff EC7'!$T$39:$X$59,2,0)*BP236+VLOOKUP($B$3,'Coeff EC7'!$T$65:$X$85,2,0)*Model0.1T!BQ236)/1.5,PI()*BN$12*$Q236*($B236-$B235)*0.15/10+BR235)</f>
        <v>#N/A</v>
      </c>
      <c r="BS236" s="102" t="e">
        <f>(VLOOKUP($B$3,'Coeff EC7'!$T$39:$X$59,3,0)*BP236+VLOOKUP($B$3,'Coeff EC7'!$T$65:$X$85,3,0)*Model0.1T!BQ236)/1.1</f>
        <v>#N/A</v>
      </c>
      <c r="BT236" s="102" t="e">
        <f t="shared" si="378"/>
        <v>#N/A</v>
      </c>
      <c r="BU236" s="102" t="e">
        <f t="shared" si="379"/>
        <v>#N/A</v>
      </c>
      <c r="BV236" s="414" t="e">
        <f>IF(AND(BR236&gt;NDC!$C$63,BS236&gt;NDC!$C$65,BT236&gt;NDC!$D$73,BU236&gt;NDC!$D$74,$B236&gt;NDC!$H$22-0.1+MIN(3*BV$12,1.5)),0,1)</f>
        <v>#N/A</v>
      </c>
      <c r="BW236" s="86" t="b">
        <f t="shared" si="345"/>
        <v>0</v>
      </c>
      <c r="BX236" s="86">
        <f t="shared" si="346"/>
        <v>0.5</v>
      </c>
      <c r="BY236" s="86">
        <f t="shared" si="347"/>
        <v>0.5</v>
      </c>
      <c r="BZ236" s="30" t="e">
        <f t="shared" ca="1" si="380"/>
        <v>#DIV/0!</v>
      </c>
      <c r="CA236" s="85" t="e">
        <f ca="1">IF(BG236&lt;=Hypothèses!$V$7,Hypothèses!$W$7,IF(BG236&lt;=Hypothèses!$V$8,Hypothèses!$W$8,IF(BG236&lt;=Hypothèses!$V$9,Hypothèses!$W$9,IF(BG236&lt;=Hypothèses!$V$10,Hypothèses!$W$10,IF(BG236&lt;=Hypothèses!$V$11,Hypothèses!$W$11,IF(BG236&lt;=Hypothèses!$V$12,Hypothèses!$W$12,IF(BG236&lt;=Hypothèses!$V$13,Hypothèses!$W$13,IF(BG236&lt;=Hypothèses!$V$14,Hypothèses!$W$14,IF(BG236&lt;=Hypothèses!$V$15,Hypothèses!$W$15,IF(BG236&lt;=Hypothèses!$V$16,Hypothèses!$W$16,IF(BG236&lt;=Hypothèses!$V$17,Hypothèses!$W$17,IF(BG236&lt;=Hypothèses!$V$18,Hypothèses!$W$18,""))))))))))))</f>
        <v>#DIV/0!</v>
      </c>
      <c r="CB236" s="87" t="e">
        <f t="shared" ca="1" si="419"/>
        <v>#DIV/0!</v>
      </c>
      <c r="CC236" s="88" t="e">
        <f ca="1">IF(BG236&lt;=Hypothèses!$V$7,Hypothèses!$X$7,IF(BG236&lt;=Hypothèses!$V$8,Hypothèses!$X$8,IF(BG236&lt;=Hypothèses!$V$9,Hypothèses!$X$9,IF(BG236&lt;=Hypothèses!$V$10,Hypothèses!$X$10,IF(BG236&lt;=Hypothèses!$V$11,Hypothèses!$X$11,IF(BG236&lt;=Hypothèses!$V$12,Hypothèses!$X$12,IF(BG236&lt;=Hypothèses!$V$13,Hypothèses!$X$13,IF(BG236&lt;=Hypothèses!$V$14,Hypothèses!$X$14,IF(BG236&lt;=Hypothèses!$V$15,Hypothèses!$X$15,IF(BG236&lt;=Hypothèses!$V$16,Hypothèses!$X$16,IF(BG236&lt;=Hypothèses!$U$17,Hypothèses!$W$17,IF(BG236&lt;=Hypothèses!$U$18,Hypothèses!$W$18,""))))))))))))</f>
        <v>#DIV/0!</v>
      </c>
      <c r="CD236" s="95" t="e">
        <f t="shared" ca="1" si="381"/>
        <v>#DIV/0!</v>
      </c>
      <c r="CE236" s="101">
        <f t="shared" si="426"/>
        <v>0</v>
      </c>
      <c r="CF236" s="91">
        <f t="shared" si="348"/>
        <v>0</v>
      </c>
      <c r="CG236" s="30" t="e">
        <f t="shared" si="406"/>
        <v>#N/A</v>
      </c>
      <c r="CH236" s="30" t="e">
        <f t="shared" si="407"/>
        <v>#N/A</v>
      </c>
      <c r="CI236" s="31" t="e">
        <f>IF(OR(Hypothèses!$B$4=17,Hypothèses!$B$4=18,Hypothèses!$B$4=19,Hypothèses!$B$4=20),
IF($D236="Pressio.",
IF(OR($E236=3,$E236=1,$E236=4),CH236,CG236),
IF($D236="Pénétro.",
IF(OR($E236=3,$E236=1,$E236=4),CH236,CG236))),IF($D236="Pressio.",
IF($E236=3,CH236,CG236),
IF($D236="Pénétro.",
IF($E236=4,CH236,CG236))))</f>
        <v>#N/A</v>
      </c>
      <c r="CJ236" s="31">
        <v>0</v>
      </c>
      <c r="CK236" s="102" t="e">
        <f>IF(NDC!$H$10="Oui",(VLOOKUP($B$3,'Coeff EC7'!$T$39:$X$59,2,0)*CI236+VLOOKUP($B$3,'Coeff EC7'!$T$65:$X$85,2,0)*Model0.1T!CJ236)/1.5,PI()*CG$12*$Q236*($B236-$B235)*0.15/10+CK235)</f>
        <v>#N/A</v>
      </c>
      <c r="CL236" s="102" t="e">
        <f>(VLOOKUP($B$3,'Coeff EC7'!$T$39:$X$59,3,0)*CI236+VLOOKUP($B$3,'Coeff EC7'!$T$65:$X$85,3,0)*Model0.1T!CJ236)/1.1</f>
        <v>#N/A</v>
      </c>
      <c r="CM236" s="102" t="e">
        <f t="shared" si="382"/>
        <v>#N/A</v>
      </c>
      <c r="CN236" s="102" t="e">
        <f t="shared" si="383"/>
        <v>#N/A</v>
      </c>
      <c r="CO236" s="414" t="e">
        <f>IF(AND(CK236&gt;NDC!$C$63,CL236&gt;NDC!$C$65,CM236&gt;NDC!$D$73,CN236&gt;NDC!$D$74,$B236&gt;NDC!$H$22-0.1+MIN(3*CO$12,1.5)),0,1)</f>
        <v>#N/A</v>
      </c>
      <c r="CP236" s="86" t="b">
        <f t="shared" si="349"/>
        <v>0</v>
      </c>
      <c r="CQ236" s="86">
        <f t="shared" si="350"/>
        <v>0.5</v>
      </c>
      <c r="CR236" s="86">
        <f t="shared" si="351"/>
        <v>0.5</v>
      </c>
      <c r="CS236" s="30" t="e">
        <f t="shared" ca="1" si="384"/>
        <v>#DIV/0!</v>
      </c>
      <c r="CT236" s="85" t="e">
        <f ca="1">IF(BZ236&lt;=Hypothèses!$V$7,Hypothèses!$W$7,IF(BZ236&lt;=Hypothèses!$V$8,Hypothèses!$W$8,IF(BZ236&lt;=Hypothèses!$V$9,Hypothèses!$W$9,IF(BZ236&lt;=Hypothèses!$V$10,Hypothèses!$W$10,IF(BZ236&lt;=Hypothèses!$V$11,Hypothèses!$W$11,IF(BZ236&lt;=Hypothèses!$V$12,Hypothèses!$W$12,IF(BZ236&lt;=Hypothèses!$V$13,Hypothèses!$W$13,IF(BZ236&lt;=Hypothèses!$V$14,Hypothèses!$W$14,IF(BZ236&lt;=Hypothèses!$V$15,Hypothèses!$W$15,IF(BZ236&lt;=Hypothèses!$V$16,Hypothèses!$W$16,IF(BZ236&lt;=Hypothèses!$V$17,Hypothèses!$W$17,IF(BZ236&lt;=Hypothèses!$V$18,Hypothèses!$W$18,""))))))))))))</f>
        <v>#DIV/0!</v>
      </c>
      <c r="CU236" s="87" t="e">
        <f t="shared" ca="1" si="420"/>
        <v>#DIV/0!</v>
      </c>
      <c r="CV236" s="88" t="e">
        <f ca="1">IF(BZ236&lt;=Hypothèses!$V$7,Hypothèses!$X$7,IF(BZ236&lt;=Hypothèses!$V$8,Hypothèses!$X$8,IF(BZ236&lt;=Hypothèses!$V$9,Hypothèses!$X$9,IF(BZ236&lt;=Hypothèses!$V$10,Hypothèses!$X$10,IF(BZ236&lt;=Hypothèses!$V$11,Hypothèses!$X$11,IF(BZ236&lt;=Hypothèses!$V$12,Hypothèses!$X$12,IF(BZ236&lt;=Hypothèses!$V$13,Hypothèses!$X$13,IF(BZ236&lt;=Hypothèses!$V$14,Hypothèses!$X$14,IF(BZ236&lt;=Hypothèses!$V$15,Hypothèses!$X$15,IF(BZ236&lt;=Hypothèses!$V$16,Hypothèses!$X$16,IF(BZ236&lt;=Hypothèses!$U$17,Hypothèses!$W$17,IF(BZ236&lt;=Hypothèses!$U$18,Hypothèses!$W$18,""))))))))))))</f>
        <v>#DIV/0!</v>
      </c>
      <c r="CW236" s="95" t="e">
        <f t="shared" ca="1" si="385"/>
        <v>#DIV/0!</v>
      </c>
      <c r="CX236" s="101">
        <f t="shared" si="427"/>
        <v>0</v>
      </c>
      <c r="CY236" s="91">
        <f t="shared" si="352"/>
        <v>0</v>
      </c>
      <c r="CZ236" s="30" t="e">
        <f t="shared" si="408"/>
        <v>#N/A</v>
      </c>
      <c r="DA236" s="30" t="e">
        <f t="shared" si="409"/>
        <v>#N/A</v>
      </c>
      <c r="DB236" s="31" t="e">
        <f>IF(OR(Hypothèses!$B$4=17,Hypothèses!$B$4=18,Hypothèses!$B$4=19,Hypothèses!$B$4=20),
IF($D236="Pressio.",
IF(OR($E236=3,$E236=1,$E236=4),DA236,CZ236),
IF($D236="Pénétro.",
IF(OR($E236=3,$E236=1,$E236=4),DA236,CZ236))),IF($D236="Pressio.",
IF($E236=3,DA236,CZ236),
IF($D236="Pénétro.",
IF($E236=4,DA236,CZ236))))</f>
        <v>#N/A</v>
      </c>
      <c r="DC236" s="31">
        <v>0</v>
      </c>
      <c r="DD236" s="102" t="e">
        <f>IF(NDC!$H$10="Oui",(VLOOKUP($B$3,'Coeff EC7'!$T$39:$X$59,2,0)*DB236+VLOOKUP($B$3,'Coeff EC7'!$T$65:$X$85,2,0)*Model0.1T!DC236)/1.5,PI()*CZ$12*$Q236*($B236-$B235)*0.15/10+DD235)</f>
        <v>#N/A</v>
      </c>
      <c r="DE236" s="102" t="e">
        <f>(VLOOKUP($B$3,'Coeff EC7'!$T$39:$X$59,3,0)*DB236+VLOOKUP($B$3,'Coeff EC7'!$T$65:$X$85,3,0)*Model0.1T!DC236)/1.1</f>
        <v>#N/A</v>
      </c>
      <c r="DF236" s="102" t="e">
        <f t="shared" si="386"/>
        <v>#N/A</v>
      </c>
      <c r="DG236" s="102" t="e">
        <f t="shared" si="387"/>
        <v>#N/A</v>
      </c>
      <c r="DH236" s="414" t="e">
        <f>IF(AND(DD236&gt;NDC!$C$63,DE236&gt;NDC!$C$65,DF236&gt;NDC!$D$73,DG236&gt;NDC!$D$74,$B236&gt;NDC!$H$22-0.1+MIN(3*DH$12,1.5)),0,1)</f>
        <v>#N/A</v>
      </c>
      <c r="DI236" s="86" t="b">
        <f t="shared" si="353"/>
        <v>0</v>
      </c>
      <c r="DJ236" s="86">
        <f t="shared" si="354"/>
        <v>0.5</v>
      </c>
      <c r="DK236" s="86">
        <f t="shared" si="355"/>
        <v>0.5</v>
      </c>
      <c r="DL236" s="30" t="e">
        <f t="shared" ca="1" si="388"/>
        <v>#DIV/0!</v>
      </c>
      <c r="DM236" s="85" t="e">
        <f ca="1">IF(CS236&lt;=Hypothèses!$V$7,Hypothèses!$W$7,IF(CS236&lt;=Hypothèses!$V$8,Hypothèses!$W$8,IF(CS236&lt;=Hypothèses!$V$9,Hypothèses!$W$9,IF(CS236&lt;=Hypothèses!$V$10,Hypothèses!$W$10,IF(CS236&lt;=Hypothèses!$V$11,Hypothèses!$W$11,IF(CS236&lt;=Hypothèses!$V$12,Hypothèses!$W$12,IF(CS236&lt;=Hypothèses!$V$13,Hypothèses!$W$13,IF(CS236&lt;=Hypothèses!$V$14,Hypothèses!$W$14,IF(CS236&lt;=Hypothèses!$V$15,Hypothèses!$W$15,IF(CS236&lt;=Hypothèses!$V$16,Hypothèses!$W$16,IF(CS236&lt;=Hypothèses!$V$17,Hypothèses!$W$17,IF(CS236&lt;=Hypothèses!$V$18,Hypothèses!$W$18,""))))))))))))</f>
        <v>#DIV/0!</v>
      </c>
      <c r="DN236" s="87" t="e">
        <f t="shared" ca="1" si="421"/>
        <v>#DIV/0!</v>
      </c>
      <c r="DO236" s="88" t="e">
        <f ca="1">IF(CS236&lt;=Hypothèses!$V$7,Hypothèses!$X$7,IF(CS236&lt;=Hypothèses!$V$8,Hypothèses!$X$8,IF(CS236&lt;=Hypothèses!$V$9,Hypothèses!$X$9,IF(CS236&lt;=Hypothèses!$V$10,Hypothèses!$X$10,IF(CS236&lt;=Hypothèses!$V$11,Hypothèses!$X$11,IF(CS236&lt;=Hypothèses!$V$12,Hypothèses!$X$12,IF(CS236&lt;=Hypothèses!$V$13,Hypothèses!$X$13,IF(CS236&lt;=Hypothèses!$V$14,Hypothèses!$X$14,IF(CS236&lt;=Hypothèses!$V$15,Hypothèses!$X$15,IF(CS236&lt;=Hypothèses!$V$16,Hypothèses!$X$16,IF(CS236&lt;=Hypothèses!$U$17,Hypothèses!$W$17,IF(CS236&lt;=Hypothèses!$U$18,Hypothèses!$W$18,""))))))))))))</f>
        <v>#DIV/0!</v>
      </c>
      <c r="DP236" s="95" t="e">
        <f t="shared" ca="1" si="389"/>
        <v>#DIV/0!</v>
      </c>
      <c r="DQ236" s="101">
        <f t="shared" si="428"/>
        <v>0</v>
      </c>
      <c r="DR236" s="91">
        <f t="shared" si="356"/>
        <v>0</v>
      </c>
      <c r="DS236" s="30" t="e">
        <f t="shared" si="410"/>
        <v>#N/A</v>
      </c>
      <c r="DT236" s="30" t="e">
        <f t="shared" si="411"/>
        <v>#N/A</v>
      </c>
      <c r="DU236" s="31" t="e">
        <f>IF(OR(Hypothèses!$B$4=17,Hypothèses!$B$4=18,Hypothèses!$B$4=19,Hypothèses!$B$4=20),
IF($D236="Pressio.",
IF(OR($E236=3,$E236=1,$E236=4),DT236,DS236),
IF($D236="Pénétro.",
IF(OR($E236=3,$E236=1,$E236=4),DT236,DS236))),IF($D236="Pressio.",
IF($E236=3,DT236,DS236),
IF($D236="Pénétro.",
IF($E236=4,DT236,DS236))))</f>
        <v>#N/A</v>
      </c>
      <c r="DV236" s="31">
        <v>0</v>
      </c>
      <c r="DW236" s="102" t="e">
        <f>IF(NDC!$H$10="Oui",(VLOOKUP($B$3,'Coeff EC7'!$T$39:$X$59,2,0)*DU236+VLOOKUP($B$3,'Coeff EC7'!$T$65:$X$85,2,0)*Model0.1T!DV236)/1.5,PI()*DS$12*$Q236*($B236-$B235)*0.15/10+DW235)</f>
        <v>#N/A</v>
      </c>
      <c r="DX236" s="102" t="e">
        <f>(VLOOKUP($B$3,'Coeff EC7'!$T$39:$X$59,3,0)*DU236+VLOOKUP($B$3,'Coeff EC7'!$T$65:$X$85,3,0)*Model0.1T!DV236)/1.1</f>
        <v>#N/A</v>
      </c>
      <c r="DY236" s="102" t="e">
        <f t="shared" si="390"/>
        <v>#N/A</v>
      </c>
      <c r="DZ236" s="102" t="e">
        <f t="shared" si="391"/>
        <v>#N/A</v>
      </c>
      <c r="EA236" s="414" t="e">
        <f>IF(AND(DW236&gt;NDC!$C$63,DX236&gt;NDC!$C$65,DY236&gt;NDC!$D$73,DZ236&gt;NDC!$D$74,$B236&gt;NDC!$H$22-0.1+MIN(3*EA$12,1.5)),0,1)</f>
        <v>#N/A</v>
      </c>
      <c r="EB236" s="86" t="b">
        <f t="shared" si="357"/>
        <v>0</v>
      </c>
      <c r="EC236" s="418">
        <f t="shared" si="358"/>
        <v>0.51</v>
      </c>
      <c r="ED236" s="86">
        <f t="shared" si="359"/>
        <v>0.51</v>
      </c>
      <c r="EE236" s="30" t="e">
        <f t="shared" ca="1" si="392"/>
        <v>#DIV/0!</v>
      </c>
      <c r="EF236" s="85" t="e">
        <f ca="1">IF(DL236&lt;=Hypothèses!$V$7,Hypothèses!$W$7,IF(DL236&lt;=Hypothèses!$V$8,Hypothèses!$W$8,IF(DL236&lt;=Hypothèses!$V$9,Hypothèses!$W$9,IF(DL236&lt;=Hypothèses!$V$10,Hypothèses!$W$10,IF(DL236&lt;=Hypothèses!$V$11,Hypothèses!$W$11,IF(DL236&lt;=Hypothèses!$V$12,Hypothèses!$W$12,IF(DL236&lt;=Hypothèses!$V$13,Hypothèses!$W$13,IF(DL236&lt;=Hypothèses!$V$14,Hypothèses!$W$14,IF(DL236&lt;=Hypothèses!$V$15,Hypothèses!$W$15,IF(DL236&lt;=Hypothèses!$V$16,Hypothèses!$W$16,IF(DL236&lt;=Hypothèses!$V$17,Hypothèses!$W$17,IF(DL236&lt;=Hypothèses!$V$18,Hypothèses!$W$18,""))))))))))))</f>
        <v>#DIV/0!</v>
      </c>
      <c r="EG236" s="87" t="e">
        <f t="shared" ca="1" si="422"/>
        <v>#DIV/0!</v>
      </c>
      <c r="EH236" s="88" t="e">
        <f ca="1">IF(DL236&lt;=Hypothèses!$V$7,Hypothèses!$X$7,IF(DL236&lt;=Hypothèses!$V$8,Hypothèses!$X$8,IF(DL236&lt;=Hypothèses!$V$9,Hypothèses!$X$9,IF(DL236&lt;=Hypothèses!$V$10,Hypothèses!$X$10,IF(DL236&lt;=Hypothèses!$V$11,Hypothèses!$X$11,IF(DL236&lt;=Hypothèses!$V$12,Hypothèses!$X$12,IF(DL236&lt;=Hypothèses!$V$13,Hypothèses!$X$13,IF(DL236&lt;=Hypothèses!$V$14,Hypothèses!$X$14,IF(DL236&lt;=Hypothèses!$V$15,Hypothèses!$X$15,IF(DL236&lt;=Hypothèses!$V$16,Hypothèses!$X$16,IF(DL236&lt;=Hypothèses!$U$17,Hypothèses!$W$17,IF(DL236&lt;=Hypothèses!$U$18,Hypothèses!$W$18,""))))))))))))</f>
        <v>#DIV/0!</v>
      </c>
      <c r="EI236" s="95" t="e">
        <f t="shared" ca="1" si="393"/>
        <v>#DIV/0!</v>
      </c>
      <c r="EJ236" s="101">
        <f t="shared" si="429"/>
        <v>0</v>
      </c>
      <c r="EK236" s="91">
        <f t="shared" si="360"/>
        <v>0</v>
      </c>
      <c r="EL236" s="30" t="e">
        <f t="shared" si="412"/>
        <v>#N/A</v>
      </c>
      <c r="EM236" s="30" t="e">
        <f t="shared" si="413"/>
        <v>#N/A</v>
      </c>
      <c r="EN236" s="31" t="e">
        <f>IF(OR(Hypothèses!$B$4=17,Hypothèses!$B$4=18,Hypothèses!$B$4=19,Hypothèses!$B$4=20),
IF($D236="Pressio.",
IF(OR($E236=3,$E236=1,$E236=4),EM236,EL236),
IF($D236="Pénétro.",
IF(OR($E236=3,$E236=1,$E236=4),EM236,EL236))),IF($D236="Pressio.",
IF($E236=3,EM236,EL236),
IF($D236="Pénétro.",
IF($E236=4,EM236,EL236))))</f>
        <v>#N/A</v>
      </c>
      <c r="EO236" s="31">
        <v>0</v>
      </c>
      <c r="EP236" s="102" t="e">
        <f>IF(NDC!$H$10="Oui",(VLOOKUP($B$3,'Coeff EC7'!$T$39:$X$59,2,0)*EN236+VLOOKUP($B$3,'Coeff EC7'!$T$65:$X$85,2,0)*Model0.1T!EO236)/1.5,PI()*EL$12*$Q236*($B236-$B235)*0.15/10+EP235)</f>
        <v>#N/A</v>
      </c>
      <c r="EQ236" s="102" t="e">
        <f>(VLOOKUP($B$3,'Coeff EC7'!$T$39:$X$59,3,0)*EN236+VLOOKUP($B$3,'Coeff EC7'!$T$65:$X$85,3,0)*Model0.1T!EO236)/1.1</f>
        <v>#N/A</v>
      </c>
      <c r="ER236" s="102" t="e">
        <f t="shared" si="394"/>
        <v>#N/A</v>
      </c>
      <c r="ES236" s="102" t="e">
        <f t="shared" si="395"/>
        <v>#N/A</v>
      </c>
      <c r="ET236" s="414" t="e">
        <f>IF(AND(EP236&gt;NDC!$C$63,EQ236&gt;NDC!$C$65,ER236&gt;NDC!$D$73,ES236&gt;NDC!$D$74,$B236&gt;NDC!$H$22-0.1+MIN(3*ET$12,1.5)),0,1)</f>
        <v>#N/A</v>
      </c>
      <c r="EU236" s="86" t="b">
        <f t="shared" si="361"/>
        <v>0</v>
      </c>
      <c r="EV236" s="86">
        <f t="shared" si="362"/>
        <v>0.61</v>
      </c>
      <c r="EW236" s="86">
        <f t="shared" si="363"/>
        <v>0.61</v>
      </c>
      <c r="EX236" s="30" t="e">
        <f t="shared" ca="1" si="396"/>
        <v>#DIV/0!</v>
      </c>
      <c r="EY236" s="85" t="e">
        <f ca="1">IF(EE236&lt;=Hypothèses!$V$7,Hypothèses!$W$7,IF(EE236&lt;=Hypothèses!$V$8,Hypothèses!$W$8,IF(EE236&lt;=Hypothèses!$V$9,Hypothèses!$W$9,IF(EE236&lt;=Hypothèses!$V$10,Hypothèses!$W$10,IF(EE236&lt;=Hypothèses!$V$11,Hypothèses!$W$11,IF(EE236&lt;=Hypothèses!$V$12,Hypothèses!$W$12,IF(EE236&lt;=Hypothèses!$V$13,Hypothèses!$W$13,IF(EE236&lt;=Hypothèses!$V$14,Hypothèses!$W$14,IF(EE236&lt;=Hypothèses!$V$15,Hypothèses!$W$15,IF(EE236&lt;=Hypothèses!$V$16,Hypothèses!$W$16,IF(EE236&lt;=Hypothèses!$V$17,Hypothèses!$W$17,IF(EE236&lt;=Hypothèses!$V$18,Hypothèses!$W$18,""))))))))))))</f>
        <v>#DIV/0!</v>
      </c>
      <c r="EZ236" s="87" t="e">
        <f t="shared" ca="1" si="423"/>
        <v>#DIV/0!</v>
      </c>
      <c r="FA236" s="88" t="e">
        <f ca="1">IF(EE236&lt;=Hypothèses!$V$7,Hypothèses!$X$7,IF(EE236&lt;=Hypothèses!$V$8,Hypothèses!$X$8,IF(EE236&lt;=Hypothèses!$V$9,Hypothèses!$X$9,IF(EE236&lt;=Hypothèses!$V$10,Hypothèses!$X$10,IF(EE236&lt;=Hypothèses!$V$11,Hypothèses!$X$11,IF(EE236&lt;=Hypothèses!$V$12,Hypothèses!$X$12,IF(EE236&lt;=Hypothèses!$V$13,Hypothèses!$X$13,IF(EE236&lt;=Hypothèses!$V$14,Hypothèses!$X$14,IF(EE236&lt;=Hypothèses!$V$15,Hypothèses!$X$15,IF(EE236&lt;=Hypothèses!$V$16,Hypothèses!$X$16,IF(EE236&lt;=Hypothèses!$U$17,Hypothèses!$W$17,IF(EE236&lt;=Hypothèses!$U$18,Hypothèses!$W$18,""))))))))))))</f>
        <v>#DIV/0!</v>
      </c>
      <c r="FB236" s="95" t="e">
        <f t="shared" ca="1" si="397"/>
        <v>#DIV/0!</v>
      </c>
      <c r="FC236" s="101">
        <f t="shared" si="430"/>
        <v>0</v>
      </c>
      <c r="FD236" s="91">
        <f t="shared" si="364"/>
        <v>0</v>
      </c>
      <c r="FE236" s="30" t="e">
        <f t="shared" si="414"/>
        <v>#N/A</v>
      </c>
      <c r="FF236" s="30" t="e">
        <f t="shared" si="415"/>
        <v>#N/A</v>
      </c>
      <c r="FG236" s="31" t="e">
        <f>IF(OR(Hypothèses!$B$4=17,Hypothèses!$B$4=18,Hypothèses!$B$4=19,Hypothèses!$B$4=20),
IF($D236="Pressio.",
IF(OR($E236=3,$E236=1,$E236=4),FF236,FE236),
IF($D236="Pénétro.",
IF(OR($E236=3,$E236=1,$E236=4),FF236,FE236))),IF($D236="Pressio.",
IF($E236=3,FF236,FE236),
IF($D236="Pénétro.",
IF($E236=4,FF236,FE236))))</f>
        <v>#N/A</v>
      </c>
      <c r="FH236" s="31">
        <v>0</v>
      </c>
      <c r="FI236" s="102" t="e">
        <f>IF(NDC!$H$10="Oui",(VLOOKUP($B$3,'Coeff EC7'!$T$39:$X$59,2,0)*FG236+VLOOKUP($B$3,'Coeff EC7'!$T$65:$X$85,2,0)*Model0.1T!FH236)/1.5,PI()*FE$12*$Q236*($B236-$B235)*0.15/10+FI235)</f>
        <v>#N/A</v>
      </c>
      <c r="FJ236" s="102" t="e">
        <f>(VLOOKUP($B$3,'Coeff EC7'!$T$39:$X$59,3,0)*FG236+VLOOKUP($B$3,'Coeff EC7'!$T$65:$X$85,3,0)*Model0.1T!FH236)/1.1</f>
        <v>#N/A</v>
      </c>
      <c r="FK236" s="102" t="e">
        <f t="shared" si="398"/>
        <v>#N/A</v>
      </c>
      <c r="FL236" s="102" t="e">
        <f t="shared" si="399"/>
        <v>#N/A</v>
      </c>
      <c r="FM236" s="414" t="e">
        <f>IF(AND(FI236&gt;NDC!$C$63,FJ236&gt;NDC!$C$65,FK236&gt;NDC!$D$73,FL236&gt;NDC!$D$74,$B236&gt;NDC!$H$22-0.1+MIN(3*FM$12,1.5)),0,1)</f>
        <v>#N/A</v>
      </c>
    </row>
    <row r="237" spans="1:169">
      <c r="A237" s="96">
        <f t="shared" si="365"/>
        <v>77.600000000001273</v>
      </c>
      <c r="B237" s="97">
        <v>22.4</v>
      </c>
      <c r="C237" s="81">
        <f>IF(B237&lt;=Hypothèses!$C$7,Hypothèses!$A$7,IF(B237&lt;=Hypothèses!$C$8,Hypothèses!$A$8,IF(B237&lt;=Hypothèses!$C$9,Hypothèses!$A$9,IF(B237&lt;=Hypothèses!$C$10,Hypothèses!$A$10,IF(B237&lt;=Hypothèses!$C$11,Hypothèses!$A$11,IF(B237&lt;=Hypothèses!$C$12,Hypothèses!$A$12,IF(B237&lt;=Hypothèses!$C$13,Hypothèses!$A$13,IF(B237&lt;=Hypothèses!$C$14,Hypothèses!$A$14,IF(B237&lt;=Hypothèses!$C$15,Hypothèses!$A$15,IF(B237&lt;=Hypothèses!$C$16,Hypothèses!$A$16,IF(B237&lt;=Hypothèses!$C$17,Hypothèses!$A$17,IF(B237&lt;=Hypothèses!$C$18,Hypothèses!$A$18,C236))))))))))))</f>
        <v>11</v>
      </c>
      <c r="D237" s="82" t="str">
        <f>IF(B237&lt;=Hypothèses!$C$7,Hypothèses!$R$7,IF(B237&lt;=Hypothèses!$C$8,Hypothèses!$R$8,IF(B237&lt;=Hypothèses!$C$9,Hypothèses!$R$9,IF(B237&lt;=Hypothèses!$C$10,Hypothèses!$R$10,IF(B237&lt;=Hypothèses!$C$11,Hypothèses!$R$11,IF(B237&lt;=Hypothèses!$C$12,Hypothèses!$R$12,IF(B237&lt;=Hypothèses!$C$13,Hypothèses!$R$13,IF(B237&lt;=Hypothèses!$C$14,Hypothèses!$R$14,IF(B237&lt;=Hypothèses!$C$15,Hypothèses!$R$15,IF(B237&lt;=Hypothèses!$C$16,Hypothèses!$R$16,IF(B237&lt;=Hypothèses!$C$17,Hypothèses!$R$17,IF(B237&lt;=Hypothèses!$C$18,Hypothèses!$R$18,D236))))))))))))</f>
        <v>Pressio.</v>
      </c>
      <c r="E237" s="82" t="e">
        <f>IF(B237&lt;=Hypothèses!$C$7,Hypothèses!$G$7,IF(B237&lt;=Hypothèses!$C$8,Hypothèses!$G$8,IF(B237&lt;=Hypothèses!$C$9,Hypothèses!$G$9,IF(B237&lt;=Hypothèses!$C$10,Hypothèses!$G$10,IF(B237&lt;=Hypothèses!$C$11,Hypothèses!$G$11,IF(B237&lt;=Hypothèses!$C$12,Hypothèses!$G$12,IF(B237&lt;=Hypothèses!$C$13,Hypothèses!$G$13,IF(B237&lt;=Hypothèses!$C$14,Hypothèses!$G$14,IF(B237&lt;=Hypothèses!$C$15,Hypothèses!$G$15,IF(B237&lt;=Hypothèses!$C$16,Hypothèses!$G$16,IF(B237&lt;=Hypothèses!$C$17,Hypothèses!$G$17,IF(B237&lt;=Hypothèses!$C$18,Hypothèses!$G$18,E236))))))))))))</f>
        <v>#N/A</v>
      </c>
      <c r="F237" s="82" t="str">
        <f>IF(B237&lt;=Hypothèses!$C$7,Hypothèses!$F$7,IF(B237&lt;=Hypothèses!$C$8,Hypothèses!$F$8,IF(B237&lt;=Hypothèses!$C$9,Hypothèses!$F$9,IF(B237&lt;=Hypothèses!$C$10,Hypothèses!$F$10,IF(B237&lt;=Hypothèses!$C$11,Hypothèses!$F$11,IF(B237&lt;=Hypothèses!$C$12,Hypothèses!$F$12,IF(B237&lt;=Hypothèses!$C$13,Hypothèses!$F$13,IF(B237&lt;=Hypothèses!$C$14,Hypothèses!$F$14,IF(B237&lt;=Hypothèses!$C$15,Hypothèses!$F$15,IF(B237&lt;=Hypothèses!$C$16,Hypothèses!$F$16,IF(B237&lt;=Hypothèses!$C$17,Hypothèses!$F$17,IF(B237&lt;=Hypothèses!$C$18,Hypothèses!$F$18,F236))))))))))))</f>
        <v/>
      </c>
      <c r="G237" s="91">
        <f t="array" ref="G237">INDEX('Coeff EC7'!$U$7:$X$27,
MATCH(Model0.1T!$B$3,'Coeff EC7'!$T$7:$T$27,0),
MATCH(Model0.1T!$D237&amp;Model0.1T!$B$4,
'Coeff EC7'!$U$6:$X$6&amp;
'Coeff EC7'!$U$5:$X$5,0))</f>
        <v>1.4</v>
      </c>
      <c r="H237" s="91">
        <f t="array" ref="H237">INDEX('Coeff EC7'!$Y$7:$AB$27,
MATCH(Model0.1T!$B$3,'Coeff EC7'!$T$7:$T$27,0),
MATCH(Model0.1T!$D237&amp;Model0.1T!$B$4,
'Coeff EC7'!$Y$6:$AB$6&amp;
'Coeff EC7'!$Y$5:$AB$5,0))</f>
        <v>1.7</v>
      </c>
      <c r="I237" s="83">
        <v>0</v>
      </c>
      <c r="J237" s="91" t="e">
        <f t="array" ref="J237">INDEX('Coeff EC7'!$D$33:$Q$33,1,MATCH(D237&amp;E237,'Coeff EC7'!$D$31:$Q$31&amp;'Coeff EC7'!$D$32:$Q$32,0))</f>
        <v>#N/A</v>
      </c>
      <c r="K237" s="91" t="e">
        <f t="array" ref="K237">INDEX('Coeff EC7'!$D$34:$Q$34,1,MATCH(D237&amp;E237,'Coeff EC7'!$D$31:$Q$31&amp;'Coeff EC7'!$D$32:$Q$32,0))</f>
        <v>#N/A</v>
      </c>
      <c r="L237" s="91" t="e">
        <f t="array" ref="L237">INDEX('Coeff EC7'!$D$35:$Q$35,1,MATCH(D237&amp;E237,'Coeff EC7'!$D$31:$Q$31&amp;'Coeff EC7'!$D$32:$Q$32,0))</f>
        <v>#N/A</v>
      </c>
      <c r="M237" s="98" t="e">
        <f t="shared" si="331"/>
        <v>#N/A</v>
      </c>
      <c r="N237" s="99" t="e">
        <f t="array" ref="N237">INDEX('Coeff EC7'!$D$7:$Q$27,MATCH($B$3,'Coeff EC7'!$C$7:$C$27,0),MATCH(D237&amp;E237,'Coeff EC7'!$D$5:$Q$5&amp;'Coeff EC7'!$D$6:$Q$6,0))</f>
        <v>#N/A</v>
      </c>
      <c r="O237" s="99" t="e">
        <f t="array" ref="O237">INDEX('Coeff EC7'!$D$41:$Q$61,MATCH($B$3,'Coeff EC7'!$C$41:$C$61,0),MATCH(D237&amp;E237,'Coeff EC7'!$D$39:$Q$39&amp;'Coeff EC7'!$D$40:$Q$40,0))</f>
        <v>#N/A</v>
      </c>
      <c r="P237" s="30" t="e">
        <f t="shared" si="366"/>
        <v>#N/A</v>
      </c>
      <c r="Q237" s="100" t="e">
        <f t="shared" si="333"/>
        <v>#N/A</v>
      </c>
      <c r="R237" s="86" t="b">
        <f t="shared" si="334"/>
        <v>0</v>
      </c>
      <c r="S237" s="86">
        <f t="shared" si="332"/>
        <v>0.5</v>
      </c>
      <c r="T237" s="86">
        <f t="shared" si="335"/>
        <v>0.5</v>
      </c>
      <c r="U237" s="30" t="e">
        <f t="shared" ca="1" si="367"/>
        <v>#DIV/0!</v>
      </c>
      <c r="V237" s="85" t="str">
        <f>IF(B237&lt;=Hypothèses!$V$7,Hypothèses!$W$7,IF(B237&lt;=Hypothèses!$V$8,Hypothèses!$W$8,IF(B237&lt;=Hypothèses!$V$9,Hypothèses!$W$9,IF(B237&lt;=Hypothèses!$V$10,Hypothèses!$W$10,IF(B237&lt;=Hypothèses!$V$11,Hypothèses!$W$11,IF(B237&lt;=Hypothèses!$V$12,Hypothèses!$W$12,IF(B237&lt;=Hypothèses!$V$13,Hypothèses!$W$13,IF(B237&lt;=Hypothèses!$V$14,Hypothèses!$W$14,IF(B237&lt;=Hypothèses!$V$15,Hypothèses!$W$15,IF(B237&lt;=Hypothèses!$V$16,Hypothèses!$W$16,IF(B237&lt;=Hypothèses!$V$17,Hypothèses!$W$17,IF(B237&lt;=Hypothèses!$V$18,Hypothèses!$W$18,""))))))))))))</f>
        <v/>
      </c>
      <c r="W237" s="87" t="e">
        <f t="shared" ca="1" si="416"/>
        <v>#DIV/0!</v>
      </c>
      <c r="X237" s="88" t="str">
        <f>IF(B237&lt;=Hypothèses!$V$7,Hypothèses!$X$7,IF(B237&lt;=Hypothèses!$V$8,Hypothèses!$X$8,IF(B237&lt;=Hypothèses!$V$9,Hypothèses!$X$9,IF(B237&lt;=Hypothèses!$V$10,Hypothèses!$X$10,IF(B237&lt;=Hypothèses!$V$11,Hypothèses!$X$11,IF(B237&lt;=Hypothèses!$V$12,Hypothèses!$X$12,IF(B237&lt;=Hypothèses!$V$13,Hypothèses!$X$13,IF(B237&lt;=Hypothèses!$V$14,Hypothèses!$X$14,IF(B237&lt;=Hypothèses!$V$15,Hypothèses!$X$15,IF(B237&lt;=Hypothèses!$V$16,Hypothèses!$X$16,IF(B237&lt;=Hypothèses!$U$17,Hypothèses!$W$17,IF(B237&lt;=Hypothèses!$U$18,Hypothèses!$W$18,""))))))))))))</f>
        <v/>
      </c>
      <c r="Y237" s="95" t="e">
        <f t="shared" ca="1" si="336"/>
        <v>#DIV/0!</v>
      </c>
      <c r="Z237" s="101">
        <f t="shared" si="337"/>
        <v>0</v>
      </c>
      <c r="AA237" s="91">
        <f t="shared" si="338"/>
        <v>0</v>
      </c>
      <c r="AB237" s="30" t="e">
        <f t="shared" si="400"/>
        <v>#N/A</v>
      </c>
      <c r="AC237" s="30" t="e">
        <f t="shared" si="401"/>
        <v>#N/A</v>
      </c>
      <c r="AD237" s="31" t="e">
        <f>IF(OR(Hypothèses!$B$4=17,Hypothèses!$B$4=18,Hypothèses!$B$4=19,Hypothèses!$B$4=20),
IF($D237="Pressio.",
IF(OR($E237=3,$E237=1,$E237=4),AC237,AB237),
IF($D237="Pénétro.",
IF(OR($E237=3,$E237=1,$E237=4),AC237,AB237))),IF($D237="Pressio.",
IF($E237=3,AC237,AB237),
IF($D237="Pénétro.",
IF($E237=4,AC237,AB237))))</f>
        <v>#N/A</v>
      </c>
      <c r="AE237" s="31">
        <v>0</v>
      </c>
      <c r="AF237" s="102" t="e">
        <f>IF(NDC!$H$10="Oui",(VLOOKUP($B$3,'Coeff EC7'!$T$39:$X$59,2,0)*AD237+VLOOKUP($B$3,'Coeff EC7'!$T$65:$X$85,2,0)*Model0.1T!AE237)/1.5,PI()*AB$12*$Q237*($B237-$B236)*0.15/10+AF236)</f>
        <v>#N/A</v>
      </c>
      <c r="AG237" s="102" t="e">
        <f>(VLOOKUP($B$3,'Coeff EC7'!$T$39:$X$59,3,0)*AD237+VLOOKUP($B$3,'Coeff EC7'!$T$65:$X$85,3,0)*Model0.1T!AE237)/1.1</f>
        <v>#N/A</v>
      </c>
      <c r="AH237" s="102" t="e">
        <f t="shared" si="368"/>
        <v>#N/A</v>
      </c>
      <c r="AI237" s="102" t="e">
        <f t="shared" si="369"/>
        <v>#N/A</v>
      </c>
      <c r="AJ237" s="414" t="e">
        <f>IF(AND(AF237&gt;NDC!$C$63,AG237&gt;NDC!$C$65,AH237&gt;NDC!$D$73,AI237&gt;NDC!$D$74,$B237&gt;NDC!$H$22-0.1+MIN(3*$AJ$12,1.5)),0,1)</f>
        <v>#N/A</v>
      </c>
      <c r="AK237" s="86" t="b">
        <f t="shared" si="339"/>
        <v>0</v>
      </c>
      <c r="AL237" s="86">
        <f t="shared" si="370"/>
        <v>0.5</v>
      </c>
      <c r="AM237" s="86">
        <f t="shared" si="340"/>
        <v>0.5</v>
      </c>
      <c r="AN237" s="30" t="e">
        <f t="shared" ca="1" si="371"/>
        <v>#DIV/0!</v>
      </c>
      <c r="AO237" s="85" t="e">
        <f ca="1">IF(U237&lt;=Hypothèses!$V$7,Hypothèses!$W$7,IF(U237&lt;=Hypothèses!$V$8,Hypothèses!$W$8,IF(U237&lt;=Hypothèses!$V$9,Hypothèses!$W$9,IF(U237&lt;=Hypothèses!$V$10,Hypothèses!$W$10,IF(U237&lt;=Hypothèses!$V$11,Hypothèses!$W$11,IF(U237&lt;=Hypothèses!$V$12,Hypothèses!$W$12,IF(U237&lt;=Hypothèses!$V$13,Hypothèses!$W$13,IF(U237&lt;=Hypothèses!$V$14,Hypothèses!$W$14,IF(U237&lt;=Hypothèses!$V$15,Hypothèses!$W$15,IF(U237&lt;=Hypothèses!$V$16,Hypothèses!$W$16,IF(U237&lt;=Hypothèses!$V$17,Hypothèses!$W$17,IF(U237&lt;=Hypothèses!$V$18,Hypothèses!$W$18,""))))))))))))</f>
        <v>#DIV/0!</v>
      </c>
      <c r="AP237" s="87" t="e">
        <f t="shared" ca="1" si="417"/>
        <v>#DIV/0!</v>
      </c>
      <c r="AQ237" s="88" t="e">
        <f ca="1">IF(U237&lt;=Hypothèses!$V$7,Hypothèses!$X$7,IF(U237&lt;=Hypothèses!$V$8,Hypothèses!$X$8,IF(U237&lt;=Hypothèses!$V$9,Hypothèses!$X$9,IF(U237&lt;=Hypothèses!$V$10,Hypothèses!$X$10,IF(U237&lt;=Hypothèses!$V$11,Hypothèses!$X$11,IF(U237&lt;=Hypothèses!$V$12,Hypothèses!$X$12,IF(U237&lt;=Hypothèses!$V$13,Hypothèses!$X$13,IF(U237&lt;=Hypothèses!$V$14,Hypothèses!$X$14,IF(U237&lt;=Hypothèses!$V$15,Hypothèses!$X$15,IF(U237&lt;=Hypothèses!$V$16,Hypothèses!$X$16,IF(U237&lt;=Hypothèses!$U$17,Hypothèses!$W$17,IF(U237&lt;=Hypothèses!$U$18,Hypothèses!$W$18,""))))))))))))</f>
        <v>#DIV/0!</v>
      </c>
      <c r="AR237" s="95" t="e">
        <f t="shared" ca="1" si="372"/>
        <v>#DIV/0!</v>
      </c>
      <c r="AS237" s="101">
        <f t="shared" si="424"/>
        <v>0</v>
      </c>
      <c r="AT237" s="91">
        <f t="shared" si="341"/>
        <v>0</v>
      </c>
      <c r="AU237" s="30" t="e">
        <f t="shared" si="402"/>
        <v>#N/A</v>
      </c>
      <c r="AV237" s="30" t="e">
        <f t="shared" si="403"/>
        <v>#N/A</v>
      </c>
      <c r="AW237" s="31" t="e">
        <f>IF(OR(Hypothèses!$B$4=17,Hypothèses!$B$4=18,Hypothèses!$B$4=19,Hypothèses!$B$4=20),
IF($D237="Pressio.",
IF(OR($E237=3,$E237=1,$E237=4),AV237,AU237),
IF($D237="Pénétro.",
IF(OR($E237=3,$E237=1,$E237=4),AV237,AU237))),IF($D237="Pressio.",
IF($E237=3,AV237,AU237),
IF($D237="Pénétro.",
IF($E237=4,AV237,AU237))))</f>
        <v>#N/A</v>
      </c>
      <c r="AX237" s="31">
        <v>0</v>
      </c>
      <c r="AY237" s="102" t="e">
        <f>IF(NDC!$H$10="Oui",(VLOOKUP($B$3,'Coeff EC7'!$T$39:$X$59,2,0)*AW237+VLOOKUP($B$3,'Coeff EC7'!$T$65:$X$85,2,0)*Model0.1T!AX237)/1.5,PI()*AU$12*$Q237*($B237-$B236)*0.15/10+AY236)</f>
        <v>#N/A</v>
      </c>
      <c r="AZ237" s="102" t="e">
        <f>(VLOOKUP($B$3,'Coeff EC7'!$T$39:$X$59,3,0)*AW237+VLOOKUP($B$3,'Coeff EC7'!$T$65:$X$85,3,0)*Model0.1T!AX237)/1.1</f>
        <v>#N/A</v>
      </c>
      <c r="BA237" s="102" t="e">
        <f t="shared" si="373"/>
        <v>#N/A</v>
      </c>
      <c r="BB237" s="102" t="e">
        <f t="shared" si="374"/>
        <v>#N/A</v>
      </c>
      <c r="BC237" s="414" t="e">
        <f>IF(AND(AY237&gt;NDC!$C$63,AZ237&gt;NDC!$C$65,BA237&gt;NDC!$D$73,BB237&gt;NDC!$D$74,$B237&gt;NDC!$H$22-0.1+MIN(3*BC$12,1.5)),0,1)</f>
        <v>#N/A</v>
      </c>
      <c r="BD237" s="86" t="b">
        <f t="shared" si="342"/>
        <v>0</v>
      </c>
      <c r="BE237" s="86">
        <f t="shared" si="375"/>
        <v>0.5</v>
      </c>
      <c r="BF237" s="86">
        <f t="shared" si="343"/>
        <v>0.5</v>
      </c>
      <c r="BG237" s="30" t="e">
        <f t="shared" ca="1" si="376"/>
        <v>#DIV/0!</v>
      </c>
      <c r="BH237" s="85" t="e">
        <f ca="1">IF(AN237&lt;=Hypothèses!$V$7,Hypothèses!$W$7,IF(AN237&lt;=Hypothèses!$V$8,Hypothèses!$W$8,IF(AN237&lt;=Hypothèses!$V$9,Hypothèses!$W$9,IF(AN237&lt;=Hypothèses!$V$10,Hypothèses!$W$10,IF(AN237&lt;=Hypothèses!$V$11,Hypothèses!$W$11,IF(AN237&lt;=Hypothèses!$V$12,Hypothèses!$W$12,IF(AN237&lt;=Hypothèses!$V$13,Hypothèses!$W$13,IF(AN237&lt;=Hypothèses!$V$14,Hypothèses!$W$14,IF(AN237&lt;=Hypothèses!$V$15,Hypothèses!$W$15,IF(AN237&lt;=Hypothèses!$V$16,Hypothèses!$W$16,IF(AN237&lt;=Hypothèses!$V$17,Hypothèses!$W$17,IF(AN237&lt;=Hypothèses!$V$18,Hypothèses!$W$18,""))))))))))))</f>
        <v>#DIV/0!</v>
      </c>
      <c r="BI237" s="87" t="e">
        <f t="shared" ca="1" si="418"/>
        <v>#DIV/0!</v>
      </c>
      <c r="BJ237" s="88" t="e">
        <f ca="1">IF(AN237&lt;=Hypothèses!$V$7,Hypothèses!$X$7,IF(AN237&lt;=Hypothèses!$V$8,Hypothèses!$X$8,IF(AN237&lt;=Hypothèses!$V$9,Hypothèses!$X$9,IF(AN237&lt;=Hypothèses!$V$10,Hypothèses!$X$10,IF(AN237&lt;=Hypothèses!$V$11,Hypothèses!$X$11,IF(AN237&lt;=Hypothèses!$V$12,Hypothèses!$X$12,IF(AN237&lt;=Hypothèses!$V$13,Hypothèses!$X$13,IF(AN237&lt;=Hypothèses!$V$14,Hypothèses!$X$14,IF(AN237&lt;=Hypothèses!$V$15,Hypothèses!$X$15,IF(AN237&lt;=Hypothèses!$V$16,Hypothèses!$X$16,IF(AN237&lt;=Hypothèses!$U$17,Hypothèses!$W$17,IF(AN237&lt;=Hypothèses!$U$18,Hypothèses!$W$18,""))))))))))))</f>
        <v>#DIV/0!</v>
      </c>
      <c r="BK237" s="95" t="e">
        <f t="shared" ca="1" si="377"/>
        <v>#DIV/0!</v>
      </c>
      <c r="BL237" s="101">
        <f t="shared" si="425"/>
        <v>0</v>
      </c>
      <c r="BM237" s="91">
        <f t="shared" si="344"/>
        <v>0</v>
      </c>
      <c r="BN237" s="30" t="e">
        <f t="shared" si="404"/>
        <v>#N/A</v>
      </c>
      <c r="BO237" s="30" t="e">
        <f t="shared" si="405"/>
        <v>#N/A</v>
      </c>
      <c r="BP237" s="31" t="e">
        <f>IF(OR(Hypothèses!$B$4=17,Hypothèses!$B$4=18,Hypothèses!$B$4=19,Hypothèses!$B$4=20),
IF($D237="Pressio.",
IF(OR($E237=3,$E237=1,$E237=4),BO237,BN237),
IF($D237="Pénétro.",
IF(OR($E237=3,$E237=1,$E237=4),BO237,BN237))),IF($D237="Pressio.",
IF($E237=3,BO237,BN237),
IF($D237="Pénétro.",
IF($E237=4,BO237,BN237))))</f>
        <v>#N/A</v>
      </c>
      <c r="BQ237" s="31">
        <v>0</v>
      </c>
      <c r="BR237" s="102" t="e">
        <f>IF(NDC!$H$10="Oui",(VLOOKUP($B$3,'Coeff EC7'!$T$39:$X$59,2,0)*BP237+VLOOKUP($B$3,'Coeff EC7'!$T$65:$X$85,2,0)*Model0.1T!BQ237)/1.5,PI()*BN$12*$Q237*($B237-$B236)*0.15/10+BR236)</f>
        <v>#N/A</v>
      </c>
      <c r="BS237" s="102" t="e">
        <f>(VLOOKUP($B$3,'Coeff EC7'!$T$39:$X$59,3,0)*BP237+VLOOKUP($B$3,'Coeff EC7'!$T$65:$X$85,3,0)*Model0.1T!BQ237)/1.1</f>
        <v>#N/A</v>
      </c>
      <c r="BT237" s="102" t="e">
        <f t="shared" si="378"/>
        <v>#N/A</v>
      </c>
      <c r="BU237" s="102" t="e">
        <f t="shared" si="379"/>
        <v>#N/A</v>
      </c>
      <c r="BV237" s="414" t="e">
        <f>IF(AND(BR237&gt;NDC!$C$63,BS237&gt;NDC!$C$65,BT237&gt;NDC!$D$73,BU237&gt;NDC!$D$74,$B237&gt;NDC!$H$22-0.1+MIN(3*BV$12,1.5)),0,1)</f>
        <v>#N/A</v>
      </c>
      <c r="BW237" s="86" t="b">
        <f t="shared" si="345"/>
        <v>0</v>
      </c>
      <c r="BX237" s="86">
        <f t="shared" si="346"/>
        <v>0.5</v>
      </c>
      <c r="BY237" s="86">
        <f t="shared" si="347"/>
        <v>0.5</v>
      </c>
      <c r="BZ237" s="30" t="e">
        <f t="shared" ca="1" si="380"/>
        <v>#DIV/0!</v>
      </c>
      <c r="CA237" s="85" t="e">
        <f ca="1">IF(BG237&lt;=Hypothèses!$V$7,Hypothèses!$W$7,IF(BG237&lt;=Hypothèses!$V$8,Hypothèses!$W$8,IF(BG237&lt;=Hypothèses!$V$9,Hypothèses!$W$9,IF(BG237&lt;=Hypothèses!$V$10,Hypothèses!$W$10,IF(BG237&lt;=Hypothèses!$V$11,Hypothèses!$W$11,IF(BG237&lt;=Hypothèses!$V$12,Hypothèses!$W$12,IF(BG237&lt;=Hypothèses!$V$13,Hypothèses!$W$13,IF(BG237&lt;=Hypothèses!$V$14,Hypothèses!$W$14,IF(BG237&lt;=Hypothèses!$V$15,Hypothèses!$W$15,IF(BG237&lt;=Hypothèses!$V$16,Hypothèses!$W$16,IF(BG237&lt;=Hypothèses!$V$17,Hypothèses!$W$17,IF(BG237&lt;=Hypothèses!$V$18,Hypothèses!$W$18,""))))))))))))</f>
        <v>#DIV/0!</v>
      </c>
      <c r="CB237" s="87" t="e">
        <f t="shared" ca="1" si="419"/>
        <v>#DIV/0!</v>
      </c>
      <c r="CC237" s="88" t="e">
        <f ca="1">IF(BG237&lt;=Hypothèses!$V$7,Hypothèses!$X$7,IF(BG237&lt;=Hypothèses!$V$8,Hypothèses!$X$8,IF(BG237&lt;=Hypothèses!$V$9,Hypothèses!$X$9,IF(BG237&lt;=Hypothèses!$V$10,Hypothèses!$X$10,IF(BG237&lt;=Hypothèses!$V$11,Hypothèses!$X$11,IF(BG237&lt;=Hypothèses!$V$12,Hypothèses!$X$12,IF(BG237&lt;=Hypothèses!$V$13,Hypothèses!$X$13,IF(BG237&lt;=Hypothèses!$V$14,Hypothèses!$X$14,IF(BG237&lt;=Hypothèses!$V$15,Hypothèses!$X$15,IF(BG237&lt;=Hypothèses!$V$16,Hypothèses!$X$16,IF(BG237&lt;=Hypothèses!$U$17,Hypothèses!$W$17,IF(BG237&lt;=Hypothèses!$U$18,Hypothèses!$W$18,""))))))))))))</f>
        <v>#DIV/0!</v>
      </c>
      <c r="CD237" s="95" t="e">
        <f t="shared" ca="1" si="381"/>
        <v>#DIV/0!</v>
      </c>
      <c r="CE237" s="101">
        <f t="shared" si="426"/>
        <v>0</v>
      </c>
      <c r="CF237" s="91">
        <f t="shared" si="348"/>
        <v>0</v>
      </c>
      <c r="CG237" s="30" t="e">
        <f t="shared" si="406"/>
        <v>#N/A</v>
      </c>
      <c r="CH237" s="30" t="e">
        <f t="shared" si="407"/>
        <v>#N/A</v>
      </c>
      <c r="CI237" s="31" t="e">
        <f>IF(OR(Hypothèses!$B$4=17,Hypothèses!$B$4=18,Hypothèses!$B$4=19,Hypothèses!$B$4=20),
IF($D237="Pressio.",
IF(OR($E237=3,$E237=1,$E237=4),CH237,CG237),
IF($D237="Pénétro.",
IF(OR($E237=3,$E237=1,$E237=4),CH237,CG237))),IF($D237="Pressio.",
IF($E237=3,CH237,CG237),
IF($D237="Pénétro.",
IF($E237=4,CH237,CG237))))</f>
        <v>#N/A</v>
      </c>
      <c r="CJ237" s="31">
        <v>0</v>
      </c>
      <c r="CK237" s="102" t="e">
        <f>IF(NDC!$H$10="Oui",(VLOOKUP($B$3,'Coeff EC7'!$T$39:$X$59,2,0)*CI237+VLOOKUP($B$3,'Coeff EC7'!$T$65:$X$85,2,0)*Model0.1T!CJ237)/1.5,PI()*CG$12*$Q237*($B237-$B236)*0.15/10+CK236)</f>
        <v>#N/A</v>
      </c>
      <c r="CL237" s="102" t="e">
        <f>(VLOOKUP($B$3,'Coeff EC7'!$T$39:$X$59,3,0)*CI237+VLOOKUP($B$3,'Coeff EC7'!$T$65:$X$85,3,0)*Model0.1T!CJ237)/1.1</f>
        <v>#N/A</v>
      </c>
      <c r="CM237" s="102" t="e">
        <f t="shared" si="382"/>
        <v>#N/A</v>
      </c>
      <c r="CN237" s="102" t="e">
        <f t="shared" si="383"/>
        <v>#N/A</v>
      </c>
      <c r="CO237" s="414" t="e">
        <f>IF(AND(CK237&gt;NDC!$C$63,CL237&gt;NDC!$C$65,CM237&gt;NDC!$D$73,CN237&gt;NDC!$D$74,$B237&gt;NDC!$H$22-0.1+MIN(3*CO$12,1.5)),0,1)</f>
        <v>#N/A</v>
      </c>
      <c r="CP237" s="86" t="b">
        <f t="shared" si="349"/>
        <v>0</v>
      </c>
      <c r="CQ237" s="86">
        <f t="shared" si="350"/>
        <v>0.5</v>
      </c>
      <c r="CR237" s="86">
        <f t="shared" si="351"/>
        <v>0.5</v>
      </c>
      <c r="CS237" s="30" t="e">
        <f t="shared" ca="1" si="384"/>
        <v>#DIV/0!</v>
      </c>
      <c r="CT237" s="85" t="e">
        <f ca="1">IF(BZ237&lt;=Hypothèses!$V$7,Hypothèses!$W$7,IF(BZ237&lt;=Hypothèses!$V$8,Hypothèses!$W$8,IF(BZ237&lt;=Hypothèses!$V$9,Hypothèses!$W$9,IF(BZ237&lt;=Hypothèses!$V$10,Hypothèses!$W$10,IF(BZ237&lt;=Hypothèses!$V$11,Hypothèses!$W$11,IF(BZ237&lt;=Hypothèses!$V$12,Hypothèses!$W$12,IF(BZ237&lt;=Hypothèses!$V$13,Hypothèses!$W$13,IF(BZ237&lt;=Hypothèses!$V$14,Hypothèses!$W$14,IF(BZ237&lt;=Hypothèses!$V$15,Hypothèses!$W$15,IF(BZ237&lt;=Hypothèses!$V$16,Hypothèses!$W$16,IF(BZ237&lt;=Hypothèses!$V$17,Hypothèses!$W$17,IF(BZ237&lt;=Hypothèses!$V$18,Hypothèses!$W$18,""))))))))))))</f>
        <v>#DIV/0!</v>
      </c>
      <c r="CU237" s="87" t="e">
        <f t="shared" ca="1" si="420"/>
        <v>#DIV/0!</v>
      </c>
      <c r="CV237" s="88" t="e">
        <f ca="1">IF(BZ237&lt;=Hypothèses!$V$7,Hypothèses!$X$7,IF(BZ237&lt;=Hypothèses!$V$8,Hypothèses!$X$8,IF(BZ237&lt;=Hypothèses!$V$9,Hypothèses!$X$9,IF(BZ237&lt;=Hypothèses!$V$10,Hypothèses!$X$10,IF(BZ237&lt;=Hypothèses!$V$11,Hypothèses!$X$11,IF(BZ237&lt;=Hypothèses!$V$12,Hypothèses!$X$12,IF(BZ237&lt;=Hypothèses!$V$13,Hypothèses!$X$13,IF(BZ237&lt;=Hypothèses!$V$14,Hypothèses!$X$14,IF(BZ237&lt;=Hypothèses!$V$15,Hypothèses!$X$15,IF(BZ237&lt;=Hypothèses!$V$16,Hypothèses!$X$16,IF(BZ237&lt;=Hypothèses!$U$17,Hypothèses!$W$17,IF(BZ237&lt;=Hypothèses!$U$18,Hypothèses!$W$18,""))))))))))))</f>
        <v>#DIV/0!</v>
      </c>
      <c r="CW237" s="95" t="e">
        <f t="shared" ca="1" si="385"/>
        <v>#DIV/0!</v>
      </c>
      <c r="CX237" s="101">
        <f t="shared" si="427"/>
        <v>0</v>
      </c>
      <c r="CY237" s="91">
        <f t="shared" si="352"/>
        <v>0</v>
      </c>
      <c r="CZ237" s="30" t="e">
        <f t="shared" si="408"/>
        <v>#N/A</v>
      </c>
      <c r="DA237" s="30" t="e">
        <f t="shared" si="409"/>
        <v>#N/A</v>
      </c>
      <c r="DB237" s="31" t="e">
        <f>IF(OR(Hypothèses!$B$4=17,Hypothèses!$B$4=18,Hypothèses!$B$4=19,Hypothèses!$B$4=20),
IF($D237="Pressio.",
IF(OR($E237=3,$E237=1,$E237=4),DA237,CZ237),
IF($D237="Pénétro.",
IF(OR($E237=3,$E237=1,$E237=4),DA237,CZ237))),IF($D237="Pressio.",
IF($E237=3,DA237,CZ237),
IF($D237="Pénétro.",
IF($E237=4,DA237,CZ237))))</f>
        <v>#N/A</v>
      </c>
      <c r="DC237" s="31">
        <v>0</v>
      </c>
      <c r="DD237" s="102" t="e">
        <f>IF(NDC!$H$10="Oui",(VLOOKUP($B$3,'Coeff EC7'!$T$39:$X$59,2,0)*DB237+VLOOKUP($B$3,'Coeff EC7'!$T$65:$X$85,2,0)*Model0.1T!DC237)/1.5,PI()*CZ$12*$Q237*($B237-$B236)*0.15/10+DD236)</f>
        <v>#N/A</v>
      </c>
      <c r="DE237" s="102" t="e">
        <f>(VLOOKUP($B$3,'Coeff EC7'!$T$39:$X$59,3,0)*DB237+VLOOKUP($B$3,'Coeff EC7'!$T$65:$X$85,3,0)*Model0.1T!DC237)/1.1</f>
        <v>#N/A</v>
      </c>
      <c r="DF237" s="102" t="e">
        <f t="shared" si="386"/>
        <v>#N/A</v>
      </c>
      <c r="DG237" s="102" t="e">
        <f t="shared" si="387"/>
        <v>#N/A</v>
      </c>
      <c r="DH237" s="414" t="e">
        <f>IF(AND(DD237&gt;NDC!$C$63,DE237&gt;NDC!$C$65,DF237&gt;NDC!$D$73,DG237&gt;NDC!$D$74,$B237&gt;NDC!$H$22-0.1+MIN(3*DH$12,1.5)),0,1)</f>
        <v>#N/A</v>
      </c>
      <c r="DI237" s="86" t="b">
        <f t="shared" si="353"/>
        <v>0</v>
      </c>
      <c r="DJ237" s="86">
        <f t="shared" si="354"/>
        <v>0.5</v>
      </c>
      <c r="DK237" s="86">
        <f t="shared" si="355"/>
        <v>0.5</v>
      </c>
      <c r="DL237" s="30" t="e">
        <f t="shared" ca="1" si="388"/>
        <v>#DIV/0!</v>
      </c>
      <c r="DM237" s="85" t="e">
        <f ca="1">IF(CS237&lt;=Hypothèses!$V$7,Hypothèses!$W$7,IF(CS237&lt;=Hypothèses!$V$8,Hypothèses!$W$8,IF(CS237&lt;=Hypothèses!$V$9,Hypothèses!$W$9,IF(CS237&lt;=Hypothèses!$V$10,Hypothèses!$W$10,IF(CS237&lt;=Hypothèses!$V$11,Hypothèses!$W$11,IF(CS237&lt;=Hypothèses!$V$12,Hypothèses!$W$12,IF(CS237&lt;=Hypothèses!$V$13,Hypothèses!$W$13,IF(CS237&lt;=Hypothèses!$V$14,Hypothèses!$W$14,IF(CS237&lt;=Hypothèses!$V$15,Hypothèses!$W$15,IF(CS237&lt;=Hypothèses!$V$16,Hypothèses!$W$16,IF(CS237&lt;=Hypothèses!$V$17,Hypothèses!$W$17,IF(CS237&lt;=Hypothèses!$V$18,Hypothèses!$W$18,""))))))))))))</f>
        <v>#DIV/0!</v>
      </c>
      <c r="DN237" s="87" t="e">
        <f t="shared" ca="1" si="421"/>
        <v>#DIV/0!</v>
      </c>
      <c r="DO237" s="88" t="e">
        <f ca="1">IF(CS237&lt;=Hypothèses!$V$7,Hypothèses!$X$7,IF(CS237&lt;=Hypothèses!$V$8,Hypothèses!$X$8,IF(CS237&lt;=Hypothèses!$V$9,Hypothèses!$X$9,IF(CS237&lt;=Hypothèses!$V$10,Hypothèses!$X$10,IF(CS237&lt;=Hypothèses!$V$11,Hypothèses!$X$11,IF(CS237&lt;=Hypothèses!$V$12,Hypothèses!$X$12,IF(CS237&lt;=Hypothèses!$V$13,Hypothèses!$X$13,IF(CS237&lt;=Hypothèses!$V$14,Hypothèses!$X$14,IF(CS237&lt;=Hypothèses!$V$15,Hypothèses!$X$15,IF(CS237&lt;=Hypothèses!$V$16,Hypothèses!$X$16,IF(CS237&lt;=Hypothèses!$U$17,Hypothèses!$W$17,IF(CS237&lt;=Hypothèses!$U$18,Hypothèses!$W$18,""))))))))))))</f>
        <v>#DIV/0!</v>
      </c>
      <c r="DP237" s="95" t="e">
        <f t="shared" ca="1" si="389"/>
        <v>#DIV/0!</v>
      </c>
      <c r="DQ237" s="101">
        <f t="shared" si="428"/>
        <v>0</v>
      </c>
      <c r="DR237" s="91">
        <f t="shared" si="356"/>
        <v>0</v>
      </c>
      <c r="DS237" s="30" t="e">
        <f t="shared" si="410"/>
        <v>#N/A</v>
      </c>
      <c r="DT237" s="30" t="e">
        <f t="shared" si="411"/>
        <v>#N/A</v>
      </c>
      <c r="DU237" s="31" t="e">
        <f>IF(OR(Hypothèses!$B$4=17,Hypothèses!$B$4=18,Hypothèses!$B$4=19,Hypothèses!$B$4=20),
IF($D237="Pressio.",
IF(OR($E237=3,$E237=1,$E237=4),DT237,DS237),
IF($D237="Pénétro.",
IF(OR($E237=3,$E237=1,$E237=4),DT237,DS237))),IF($D237="Pressio.",
IF($E237=3,DT237,DS237),
IF($D237="Pénétro.",
IF($E237=4,DT237,DS237))))</f>
        <v>#N/A</v>
      </c>
      <c r="DV237" s="31">
        <v>0</v>
      </c>
      <c r="DW237" s="102" t="e">
        <f>IF(NDC!$H$10="Oui",(VLOOKUP($B$3,'Coeff EC7'!$T$39:$X$59,2,0)*DU237+VLOOKUP($B$3,'Coeff EC7'!$T$65:$X$85,2,0)*Model0.1T!DV237)/1.5,PI()*DS$12*$Q237*($B237-$B236)*0.15/10+DW236)</f>
        <v>#N/A</v>
      </c>
      <c r="DX237" s="102" t="e">
        <f>(VLOOKUP($B$3,'Coeff EC7'!$T$39:$X$59,3,0)*DU237+VLOOKUP($B$3,'Coeff EC7'!$T$65:$X$85,3,0)*Model0.1T!DV237)/1.1</f>
        <v>#N/A</v>
      </c>
      <c r="DY237" s="102" t="e">
        <f t="shared" si="390"/>
        <v>#N/A</v>
      </c>
      <c r="DZ237" s="102" t="e">
        <f t="shared" si="391"/>
        <v>#N/A</v>
      </c>
      <c r="EA237" s="414" t="e">
        <f>IF(AND(DW237&gt;NDC!$C$63,DX237&gt;NDC!$C$65,DY237&gt;NDC!$D$73,DZ237&gt;NDC!$D$74,$B237&gt;NDC!$H$22-0.1+MIN(3*EA$12,1.5)),0,1)</f>
        <v>#N/A</v>
      </c>
      <c r="EB237" s="86" t="b">
        <f t="shared" si="357"/>
        <v>0</v>
      </c>
      <c r="EC237" s="418">
        <f t="shared" si="358"/>
        <v>0.51</v>
      </c>
      <c r="ED237" s="86">
        <f t="shared" si="359"/>
        <v>0.51</v>
      </c>
      <c r="EE237" s="30" t="e">
        <f t="shared" ca="1" si="392"/>
        <v>#DIV/0!</v>
      </c>
      <c r="EF237" s="85" t="e">
        <f ca="1">IF(DL237&lt;=Hypothèses!$V$7,Hypothèses!$W$7,IF(DL237&lt;=Hypothèses!$V$8,Hypothèses!$W$8,IF(DL237&lt;=Hypothèses!$V$9,Hypothèses!$W$9,IF(DL237&lt;=Hypothèses!$V$10,Hypothèses!$W$10,IF(DL237&lt;=Hypothèses!$V$11,Hypothèses!$W$11,IF(DL237&lt;=Hypothèses!$V$12,Hypothèses!$W$12,IF(DL237&lt;=Hypothèses!$V$13,Hypothèses!$W$13,IF(DL237&lt;=Hypothèses!$V$14,Hypothèses!$W$14,IF(DL237&lt;=Hypothèses!$V$15,Hypothèses!$W$15,IF(DL237&lt;=Hypothèses!$V$16,Hypothèses!$W$16,IF(DL237&lt;=Hypothèses!$V$17,Hypothèses!$W$17,IF(DL237&lt;=Hypothèses!$V$18,Hypothèses!$W$18,""))))))))))))</f>
        <v>#DIV/0!</v>
      </c>
      <c r="EG237" s="87" t="e">
        <f t="shared" ca="1" si="422"/>
        <v>#DIV/0!</v>
      </c>
      <c r="EH237" s="88" t="e">
        <f ca="1">IF(DL237&lt;=Hypothèses!$V$7,Hypothèses!$X$7,IF(DL237&lt;=Hypothèses!$V$8,Hypothèses!$X$8,IF(DL237&lt;=Hypothèses!$V$9,Hypothèses!$X$9,IF(DL237&lt;=Hypothèses!$V$10,Hypothèses!$X$10,IF(DL237&lt;=Hypothèses!$V$11,Hypothèses!$X$11,IF(DL237&lt;=Hypothèses!$V$12,Hypothèses!$X$12,IF(DL237&lt;=Hypothèses!$V$13,Hypothèses!$X$13,IF(DL237&lt;=Hypothèses!$V$14,Hypothèses!$X$14,IF(DL237&lt;=Hypothèses!$V$15,Hypothèses!$X$15,IF(DL237&lt;=Hypothèses!$V$16,Hypothèses!$X$16,IF(DL237&lt;=Hypothèses!$U$17,Hypothèses!$W$17,IF(DL237&lt;=Hypothèses!$U$18,Hypothèses!$W$18,""))))))))))))</f>
        <v>#DIV/0!</v>
      </c>
      <c r="EI237" s="95" t="e">
        <f t="shared" ca="1" si="393"/>
        <v>#DIV/0!</v>
      </c>
      <c r="EJ237" s="101">
        <f t="shared" si="429"/>
        <v>0</v>
      </c>
      <c r="EK237" s="91">
        <f t="shared" si="360"/>
        <v>0</v>
      </c>
      <c r="EL237" s="30" t="e">
        <f t="shared" si="412"/>
        <v>#N/A</v>
      </c>
      <c r="EM237" s="30" t="e">
        <f t="shared" si="413"/>
        <v>#N/A</v>
      </c>
      <c r="EN237" s="31" t="e">
        <f>IF(OR(Hypothèses!$B$4=17,Hypothèses!$B$4=18,Hypothèses!$B$4=19,Hypothèses!$B$4=20),
IF($D237="Pressio.",
IF(OR($E237=3,$E237=1,$E237=4),EM237,EL237),
IF($D237="Pénétro.",
IF(OR($E237=3,$E237=1,$E237=4),EM237,EL237))),IF($D237="Pressio.",
IF($E237=3,EM237,EL237),
IF($D237="Pénétro.",
IF($E237=4,EM237,EL237))))</f>
        <v>#N/A</v>
      </c>
      <c r="EO237" s="31">
        <v>0</v>
      </c>
      <c r="EP237" s="102" t="e">
        <f>IF(NDC!$H$10="Oui",(VLOOKUP($B$3,'Coeff EC7'!$T$39:$X$59,2,0)*EN237+VLOOKUP($B$3,'Coeff EC7'!$T$65:$X$85,2,0)*Model0.1T!EO237)/1.5,PI()*EL$12*$Q237*($B237-$B236)*0.15/10+EP236)</f>
        <v>#N/A</v>
      </c>
      <c r="EQ237" s="102" t="e">
        <f>(VLOOKUP($B$3,'Coeff EC7'!$T$39:$X$59,3,0)*EN237+VLOOKUP($B$3,'Coeff EC7'!$T$65:$X$85,3,0)*Model0.1T!EO237)/1.1</f>
        <v>#N/A</v>
      </c>
      <c r="ER237" s="102" t="e">
        <f t="shared" si="394"/>
        <v>#N/A</v>
      </c>
      <c r="ES237" s="102" t="e">
        <f t="shared" si="395"/>
        <v>#N/A</v>
      </c>
      <c r="ET237" s="414" t="e">
        <f>IF(AND(EP237&gt;NDC!$C$63,EQ237&gt;NDC!$C$65,ER237&gt;NDC!$D$73,ES237&gt;NDC!$D$74,$B237&gt;NDC!$H$22-0.1+MIN(3*ET$12,1.5)),0,1)</f>
        <v>#N/A</v>
      </c>
      <c r="EU237" s="86" t="b">
        <f t="shared" si="361"/>
        <v>0</v>
      </c>
      <c r="EV237" s="86">
        <f t="shared" si="362"/>
        <v>0.61</v>
      </c>
      <c r="EW237" s="86">
        <f t="shared" si="363"/>
        <v>0.61</v>
      </c>
      <c r="EX237" s="30" t="e">
        <f t="shared" ca="1" si="396"/>
        <v>#DIV/0!</v>
      </c>
      <c r="EY237" s="85" t="e">
        <f ca="1">IF(EE237&lt;=Hypothèses!$V$7,Hypothèses!$W$7,IF(EE237&lt;=Hypothèses!$V$8,Hypothèses!$W$8,IF(EE237&lt;=Hypothèses!$V$9,Hypothèses!$W$9,IF(EE237&lt;=Hypothèses!$V$10,Hypothèses!$W$10,IF(EE237&lt;=Hypothèses!$V$11,Hypothèses!$W$11,IF(EE237&lt;=Hypothèses!$V$12,Hypothèses!$W$12,IF(EE237&lt;=Hypothèses!$V$13,Hypothèses!$W$13,IF(EE237&lt;=Hypothèses!$V$14,Hypothèses!$W$14,IF(EE237&lt;=Hypothèses!$V$15,Hypothèses!$W$15,IF(EE237&lt;=Hypothèses!$V$16,Hypothèses!$W$16,IF(EE237&lt;=Hypothèses!$V$17,Hypothèses!$W$17,IF(EE237&lt;=Hypothèses!$V$18,Hypothèses!$W$18,""))))))))))))</f>
        <v>#DIV/0!</v>
      </c>
      <c r="EZ237" s="87" t="e">
        <f t="shared" ca="1" si="423"/>
        <v>#DIV/0!</v>
      </c>
      <c r="FA237" s="88" t="e">
        <f ca="1">IF(EE237&lt;=Hypothèses!$V$7,Hypothèses!$X$7,IF(EE237&lt;=Hypothèses!$V$8,Hypothèses!$X$8,IF(EE237&lt;=Hypothèses!$V$9,Hypothèses!$X$9,IF(EE237&lt;=Hypothèses!$V$10,Hypothèses!$X$10,IF(EE237&lt;=Hypothèses!$V$11,Hypothèses!$X$11,IF(EE237&lt;=Hypothèses!$V$12,Hypothèses!$X$12,IF(EE237&lt;=Hypothèses!$V$13,Hypothèses!$X$13,IF(EE237&lt;=Hypothèses!$V$14,Hypothèses!$X$14,IF(EE237&lt;=Hypothèses!$V$15,Hypothèses!$X$15,IF(EE237&lt;=Hypothèses!$V$16,Hypothèses!$X$16,IF(EE237&lt;=Hypothèses!$U$17,Hypothèses!$W$17,IF(EE237&lt;=Hypothèses!$U$18,Hypothèses!$W$18,""))))))))))))</f>
        <v>#DIV/0!</v>
      </c>
      <c r="FB237" s="95" t="e">
        <f t="shared" ca="1" si="397"/>
        <v>#DIV/0!</v>
      </c>
      <c r="FC237" s="101">
        <f t="shared" si="430"/>
        <v>0</v>
      </c>
      <c r="FD237" s="91">
        <f t="shared" si="364"/>
        <v>0</v>
      </c>
      <c r="FE237" s="30" t="e">
        <f t="shared" si="414"/>
        <v>#N/A</v>
      </c>
      <c r="FF237" s="30" t="e">
        <f t="shared" si="415"/>
        <v>#N/A</v>
      </c>
      <c r="FG237" s="31" t="e">
        <f>IF(OR(Hypothèses!$B$4=17,Hypothèses!$B$4=18,Hypothèses!$B$4=19,Hypothèses!$B$4=20),
IF($D237="Pressio.",
IF(OR($E237=3,$E237=1,$E237=4),FF237,FE237),
IF($D237="Pénétro.",
IF(OR($E237=3,$E237=1,$E237=4),FF237,FE237))),IF($D237="Pressio.",
IF($E237=3,FF237,FE237),
IF($D237="Pénétro.",
IF($E237=4,FF237,FE237))))</f>
        <v>#N/A</v>
      </c>
      <c r="FH237" s="31">
        <v>0</v>
      </c>
      <c r="FI237" s="102" t="e">
        <f>IF(NDC!$H$10="Oui",(VLOOKUP($B$3,'Coeff EC7'!$T$39:$X$59,2,0)*FG237+VLOOKUP($B$3,'Coeff EC7'!$T$65:$X$85,2,0)*Model0.1T!FH237)/1.5,PI()*FE$12*$Q237*($B237-$B236)*0.15/10+FI236)</f>
        <v>#N/A</v>
      </c>
      <c r="FJ237" s="102" t="e">
        <f>(VLOOKUP($B$3,'Coeff EC7'!$T$39:$X$59,3,0)*FG237+VLOOKUP($B$3,'Coeff EC7'!$T$65:$X$85,3,0)*Model0.1T!FH237)/1.1</f>
        <v>#N/A</v>
      </c>
      <c r="FK237" s="102" t="e">
        <f t="shared" si="398"/>
        <v>#N/A</v>
      </c>
      <c r="FL237" s="102" t="e">
        <f t="shared" si="399"/>
        <v>#N/A</v>
      </c>
      <c r="FM237" s="414" t="e">
        <f>IF(AND(FI237&gt;NDC!$C$63,FJ237&gt;NDC!$C$65,FK237&gt;NDC!$D$73,FL237&gt;NDC!$D$74,$B237&gt;NDC!$H$22-0.1+MIN(3*FM$12,1.5)),0,1)</f>
        <v>#N/A</v>
      </c>
    </row>
    <row r="238" spans="1:169">
      <c r="A238" s="96">
        <f t="shared" si="365"/>
        <v>77.500000000001279</v>
      </c>
      <c r="B238" s="97">
        <v>22.5</v>
      </c>
      <c r="C238" s="81">
        <f>IF(B238&lt;=Hypothèses!$C$7,Hypothèses!$A$7,IF(B238&lt;=Hypothèses!$C$8,Hypothèses!$A$8,IF(B238&lt;=Hypothèses!$C$9,Hypothèses!$A$9,IF(B238&lt;=Hypothèses!$C$10,Hypothèses!$A$10,IF(B238&lt;=Hypothèses!$C$11,Hypothèses!$A$11,IF(B238&lt;=Hypothèses!$C$12,Hypothèses!$A$12,IF(B238&lt;=Hypothèses!$C$13,Hypothèses!$A$13,IF(B238&lt;=Hypothèses!$C$14,Hypothèses!$A$14,IF(B238&lt;=Hypothèses!$C$15,Hypothèses!$A$15,IF(B238&lt;=Hypothèses!$C$16,Hypothèses!$A$16,IF(B238&lt;=Hypothèses!$C$17,Hypothèses!$A$17,IF(B238&lt;=Hypothèses!$C$18,Hypothèses!$A$18,C237))))))))))))</f>
        <v>11</v>
      </c>
      <c r="D238" s="82" t="str">
        <f>IF(B238&lt;=Hypothèses!$C$7,Hypothèses!$R$7,IF(B238&lt;=Hypothèses!$C$8,Hypothèses!$R$8,IF(B238&lt;=Hypothèses!$C$9,Hypothèses!$R$9,IF(B238&lt;=Hypothèses!$C$10,Hypothèses!$R$10,IF(B238&lt;=Hypothèses!$C$11,Hypothèses!$R$11,IF(B238&lt;=Hypothèses!$C$12,Hypothèses!$R$12,IF(B238&lt;=Hypothèses!$C$13,Hypothèses!$R$13,IF(B238&lt;=Hypothèses!$C$14,Hypothèses!$R$14,IF(B238&lt;=Hypothèses!$C$15,Hypothèses!$R$15,IF(B238&lt;=Hypothèses!$C$16,Hypothèses!$R$16,IF(B238&lt;=Hypothèses!$C$17,Hypothèses!$R$17,IF(B238&lt;=Hypothèses!$C$18,Hypothèses!$R$18,D237))))))))))))</f>
        <v>Pressio.</v>
      </c>
      <c r="E238" s="82" t="e">
        <f>IF(B238&lt;=Hypothèses!$C$7,Hypothèses!$G$7,IF(B238&lt;=Hypothèses!$C$8,Hypothèses!$G$8,IF(B238&lt;=Hypothèses!$C$9,Hypothèses!$G$9,IF(B238&lt;=Hypothèses!$C$10,Hypothèses!$G$10,IF(B238&lt;=Hypothèses!$C$11,Hypothèses!$G$11,IF(B238&lt;=Hypothèses!$C$12,Hypothèses!$G$12,IF(B238&lt;=Hypothèses!$C$13,Hypothèses!$G$13,IF(B238&lt;=Hypothèses!$C$14,Hypothèses!$G$14,IF(B238&lt;=Hypothèses!$C$15,Hypothèses!$G$15,IF(B238&lt;=Hypothèses!$C$16,Hypothèses!$G$16,IF(B238&lt;=Hypothèses!$C$17,Hypothèses!$G$17,IF(B238&lt;=Hypothèses!$C$18,Hypothèses!$G$18,E237))))))))))))</f>
        <v>#N/A</v>
      </c>
      <c r="F238" s="82" t="str">
        <f>IF(B238&lt;=Hypothèses!$C$7,Hypothèses!$F$7,IF(B238&lt;=Hypothèses!$C$8,Hypothèses!$F$8,IF(B238&lt;=Hypothèses!$C$9,Hypothèses!$F$9,IF(B238&lt;=Hypothèses!$C$10,Hypothèses!$F$10,IF(B238&lt;=Hypothèses!$C$11,Hypothèses!$F$11,IF(B238&lt;=Hypothèses!$C$12,Hypothèses!$F$12,IF(B238&lt;=Hypothèses!$C$13,Hypothèses!$F$13,IF(B238&lt;=Hypothèses!$C$14,Hypothèses!$F$14,IF(B238&lt;=Hypothèses!$C$15,Hypothèses!$F$15,IF(B238&lt;=Hypothèses!$C$16,Hypothèses!$F$16,IF(B238&lt;=Hypothèses!$C$17,Hypothèses!$F$17,IF(B238&lt;=Hypothèses!$C$18,Hypothèses!$F$18,F237))))))))))))</f>
        <v/>
      </c>
      <c r="G238" s="91">
        <f t="array" ref="G238">INDEX('Coeff EC7'!$U$7:$X$27,
MATCH(Model0.1T!$B$3,'Coeff EC7'!$T$7:$T$27,0),
MATCH(Model0.1T!$D238&amp;Model0.1T!$B$4,
'Coeff EC7'!$U$6:$X$6&amp;
'Coeff EC7'!$U$5:$X$5,0))</f>
        <v>1.4</v>
      </c>
      <c r="H238" s="91">
        <f t="array" ref="H238">INDEX('Coeff EC7'!$Y$7:$AB$27,
MATCH(Model0.1T!$B$3,'Coeff EC7'!$T$7:$T$27,0),
MATCH(Model0.1T!$D238&amp;Model0.1T!$B$4,
'Coeff EC7'!$Y$6:$AB$6&amp;
'Coeff EC7'!$Y$5:$AB$5,0))</f>
        <v>1.7</v>
      </c>
      <c r="I238" s="83">
        <v>0</v>
      </c>
      <c r="J238" s="91" t="e">
        <f t="array" ref="J238">INDEX('Coeff EC7'!$D$33:$Q$33,1,MATCH(D238&amp;E238,'Coeff EC7'!$D$31:$Q$31&amp;'Coeff EC7'!$D$32:$Q$32,0))</f>
        <v>#N/A</v>
      </c>
      <c r="K238" s="91" t="e">
        <f t="array" ref="K238">INDEX('Coeff EC7'!$D$34:$Q$34,1,MATCH(D238&amp;E238,'Coeff EC7'!$D$31:$Q$31&amp;'Coeff EC7'!$D$32:$Q$32,0))</f>
        <v>#N/A</v>
      </c>
      <c r="L238" s="91" t="e">
        <f t="array" ref="L238">INDEX('Coeff EC7'!$D$35:$Q$35,1,MATCH(D238&amp;E238,'Coeff EC7'!$D$31:$Q$31&amp;'Coeff EC7'!$D$32:$Q$32,0))</f>
        <v>#N/A</v>
      </c>
      <c r="M238" s="98" t="e">
        <f t="shared" si="331"/>
        <v>#N/A</v>
      </c>
      <c r="N238" s="99" t="e">
        <f t="array" ref="N238">INDEX('Coeff EC7'!$D$7:$Q$27,MATCH($B$3,'Coeff EC7'!$C$7:$C$27,0),MATCH(D238&amp;E238,'Coeff EC7'!$D$5:$Q$5&amp;'Coeff EC7'!$D$6:$Q$6,0))</f>
        <v>#N/A</v>
      </c>
      <c r="O238" s="99" t="e">
        <f t="array" ref="O238">INDEX('Coeff EC7'!$D$41:$Q$61,MATCH($B$3,'Coeff EC7'!$C$41:$C$61,0),MATCH(D238&amp;E238,'Coeff EC7'!$D$39:$Q$39&amp;'Coeff EC7'!$D$40:$Q$40,0))</f>
        <v>#N/A</v>
      </c>
      <c r="P238" s="30" t="e">
        <f t="shared" si="366"/>
        <v>#N/A</v>
      </c>
      <c r="Q238" s="100" t="e">
        <f t="shared" si="333"/>
        <v>#N/A</v>
      </c>
      <c r="R238" s="86" t="b">
        <f t="shared" si="334"/>
        <v>0</v>
      </c>
      <c r="S238" s="86">
        <f t="shared" si="332"/>
        <v>0.5</v>
      </c>
      <c r="T238" s="86">
        <f t="shared" si="335"/>
        <v>0.5</v>
      </c>
      <c r="U238" s="30" t="e">
        <f t="shared" ca="1" si="367"/>
        <v>#DIV/0!</v>
      </c>
      <c r="V238" s="85" t="str">
        <f>IF(B238&lt;=Hypothèses!$V$7,Hypothèses!$W$7,IF(B238&lt;=Hypothèses!$V$8,Hypothèses!$W$8,IF(B238&lt;=Hypothèses!$V$9,Hypothèses!$W$9,IF(B238&lt;=Hypothèses!$V$10,Hypothèses!$W$10,IF(B238&lt;=Hypothèses!$V$11,Hypothèses!$W$11,IF(B238&lt;=Hypothèses!$V$12,Hypothèses!$W$12,IF(B238&lt;=Hypothèses!$V$13,Hypothèses!$W$13,IF(B238&lt;=Hypothèses!$V$14,Hypothèses!$W$14,IF(B238&lt;=Hypothèses!$V$15,Hypothèses!$W$15,IF(B238&lt;=Hypothèses!$V$16,Hypothèses!$W$16,IF(B238&lt;=Hypothèses!$V$17,Hypothèses!$W$17,IF(B238&lt;=Hypothèses!$V$18,Hypothèses!$W$18,""))))))))))))</f>
        <v/>
      </c>
      <c r="W238" s="87" t="e">
        <f t="shared" ca="1" si="416"/>
        <v>#DIV/0!</v>
      </c>
      <c r="X238" s="88" t="str">
        <f>IF(B238&lt;=Hypothèses!$V$7,Hypothèses!$X$7,IF(B238&lt;=Hypothèses!$V$8,Hypothèses!$X$8,IF(B238&lt;=Hypothèses!$V$9,Hypothèses!$X$9,IF(B238&lt;=Hypothèses!$V$10,Hypothèses!$X$10,IF(B238&lt;=Hypothèses!$V$11,Hypothèses!$X$11,IF(B238&lt;=Hypothèses!$V$12,Hypothèses!$X$12,IF(B238&lt;=Hypothèses!$V$13,Hypothèses!$X$13,IF(B238&lt;=Hypothèses!$V$14,Hypothèses!$X$14,IF(B238&lt;=Hypothèses!$V$15,Hypothèses!$X$15,IF(B238&lt;=Hypothèses!$V$16,Hypothèses!$X$16,IF(B238&lt;=Hypothèses!$U$17,Hypothèses!$W$17,IF(B238&lt;=Hypothèses!$U$18,Hypothèses!$W$18,""))))))))))))</f>
        <v/>
      </c>
      <c r="Y238" s="95" t="e">
        <f t="shared" ca="1" si="336"/>
        <v>#DIV/0!</v>
      </c>
      <c r="Z238" s="101">
        <f t="shared" si="337"/>
        <v>0</v>
      </c>
      <c r="AA238" s="91">
        <f t="shared" si="338"/>
        <v>0</v>
      </c>
      <c r="AB238" s="30" t="e">
        <f t="shared" si="400"/>
        <v>#N/A</v>
      </c>
      <c r="AC238" s="30" t="e">
        <f t="shared" si="401"/>
        <v>#N/A</v>
      </c>
      <c r="AD238" s="31" t="e">
        <f>IF(OR(Hypothèses!$B$4=17,Hypothèses!$B$4=18,Hypothèses!$B$4=19,Hypothèses!$B$4=20),
IF($D238="Pressio.",
IF(OR($E238=3,$E238=1,$E238=4),AC238,AB238),
IF($D238="Pénétro.",
IF(OR($E238=3,$E238=1,$E238=4),AC238,AB238))),IF($D238="Pressio.",
IF($E238=3,AC238,AB238),
IF($D238="Pénétro.",
IF($E238=4,AC238,AB238))))</f>
        <v>#N/A</v>
      </c>
      <c r="AE238" s="31">
        <v>0</v>
      </c>
      <c r="AF238" s="102" t="e">
        <f>IF(NDC!$H$10="Oui",(VLOOKUP($B$3,'Coeff EC7'!$T$39:$X$59,2,0)*AD238+VLOOKUP($B$3,'Coeff EC7'!$T$65:$X$85,2,0)*Model0.1T!AE238)/1.5,PI()*AB$12*$Q238*($B238-$B237)*0.15/10+AF237)</f>
        <v>#N/A</v>
      </c>
      <c r="AG238" s="102" t="e">
        <f>(VLOOKUP($B$3,'Coeff EC7'!$T$39:$X$59,3,0)*AD238+VLOOKUP($B$3,'Coeff EC7'!$T$65:$X$85,3,0)*Model0.1T!AE238)/1.1</f>
        <v>#N/A</v>
      </c>
      <c r="AH238" s="102" t="e">
        <f t="shared" si="368"/>
        <v>#N/A</v>
      </c>
      <c r="AI238" s="102" t="e">
        <f t="shared" si="369"/>
        <v>#N/A</v>
      </c>
      <c r="AJ238" s="414" t="e">
        <f>IF(AND(AF238&gt;NDC!$C$63,AG238&gt;NDC!$C$65,AH238&gt;NDC!$D$73,AI238&gt;NDC!$D$74,$B238&gt;NDC!$H$22-0.1+MIN(3*$AJ$12,1.5)),0,1)</f>
        <v>#N/A</v>
      </c>
      <c r="AK238" s="86" t="b">
        <f t="shared" si="339"/>
        <v>0</v>
      </c>
      <c r="AL238" s="86">
        <f t="shared" si="370"/>
        <v>0.5</v>
      </c>
      <c r="AM238" s="86">
        <f t="shared" si="340"/>
        <v>0.5</v>
      </c>
      <c r="AN238" s="30" t="e">
        <f t="shared" ca="1" si="371"/>
        <v>#DIV/0!</v>
      </c>
      <c r="AO238" s="85" t="e">
        <f ca="1">IF(U238&lt;=Hypothèses!$V$7,Hypothèses!$W$7,IF(U238&lt;=Hypothèses!$V$8,Hypothèses!$W$8,IF(U238&lt;=Hypothèses!$V$9,Hypothèses!$W$9,IF(U238&lt;=Hypothèses!$V$10,Hypothèses!$W$10,IF(U238&lt;=Hypothèses!$V$11,Hypothèses!$W$11,IF(U238&lt;=Hypothèses!$V$12,Hypothèses!$W$12,IF(U238&lt;=Hypothèses!$V$13,Hypothèses!$W$13,IF(U238&lt;=Hypothèses!$V$14,Hypothèses!$W$14,IF(U238&lt;=Hypothèses!$V$15,Hypothèses!$W$15,IF(U238&lt;=Hypothèses!$V$16,Hypothèses!$W$16,IF(U238&lt;=Hypothèses!$V$17,Hypothèses!$W$17,IF(U238&lt;=Hypothèses!$V$18,Hypothèses!$W$18,""))))))))))))</f>
        <v>#DIV/0!</v>
      </c>
      <c r="AP238" s="87" t="e">
        <f t="shared" ca="1" si="417"/>
        <v>#DIV/0!</v>
      </c>
      <c r="AQ238" s="88" t="e">
        <f ca="1">IF(U238&lt;=Hypothèses!$V$7,Hypothèses!$X$7,IF(U238&lt;=Hypothèses!$V$8,Hypothèses!$X$8,IF(U238&lt;=Hypothèses!$V$9,Hypothèses!$X$9,IF(U238&lt;=Hypothèses!$V$10,Hypothèses!$X$10,IF(U238&lt;=Hypothèses!$V$11,Hypothèses!$X$11,IF(U238&lt;=Hypothèses!$V$12,Hypothèses!$X$12,IF(U238&lt;=Hypothèses!$V$13,Hypothèses!$X$13,IF(U238&lt;=Hypothèses!$V$14,Hypothèses!$X$14,IF(U238&lt;=Hypothèses!$V$15,Hypothèses!$X$15,IF(U238&lt;=Hypothèses!$V$16,Hypothèses!$X$16,IF(U238&lt;=Hypothèses!$U$17,Hypothèses!$W$17,IF(U238&lt;=Hypothèses!$U$18,Hypothèses!$W$18,""))))))))))))</f>
        <v>#DIV/0!</v>
      </c>
      <c r="AR238" s="95" t="e">
        <f t="shared" ca="1" si="372"/>
        <v>#DIV/0!</v>
      </c>
      <c r="AS238" s="101">
        <f t="shared" si="424"/>
        <v>0</v>
      </c>
      <c r="AT238" s="91">
        <f t="shared" si="341"/>
        <v>0</v>
      </c>
      <c r="AU238" s="30" t="e">
        <f t="shared" si="402"/>
        <v>#N/A</v>
      </c>
      <c r="AV238" s="30" t="e">
        <f t="shared" si="403"/>
        <v>#N/A</v>
      </c>
      <c r="AW238" s="31" t="e">
        <f>IF(OR(Hypothèses!$B$4=17,Hypothèses!$B$4=18,Hypothèses!$B$4=19,Hypothèses!$B$4=20),
IF($D238="Pressio.",
IF(OR($E238=3,$E238=1,$E238=4),AV238,AU238),
IF($D238="Pénétro.",
IF(OR($E238=3,$E238=1,$E238=4),AV238,AU238))),IF($D238="Pressio.",
IF($E238=3,AV238,AU238),
IF($D238="Pénétro.",
IF($E238=4,AV238,AU238))))</f>
        <v>#N/A</v>
      </c>
      <c r="AX238" s="31">
        <v>0</v>
      </c>
      <c r="AY238" s="102" t="e">
        <f>IF(NDC!$H$10="Oui",(VLOOKUP($B$3,'Coeff EC7'!$T$39:$X$59,2,0)*AW238+VLOOKUP($B$3,'Coeff EC7'!$T$65:$X$85,2,0)*Model0.1T!AX238)/1.5,PI()*AU$12*$Q238*($B238-$B237)*0.15/10+AY237)</f>
        <v>#N/A</v>
      </c>
      <c r="AZ238" s="102" t="e">
        <f>(VLOOKUP($B$3,'Coeff EC7'!$T$39:$X$59,3,0)*AW238+VLOOKUP($B$3,'Coeff EC7'!$T$65:$X$85,3,0)*Model0.1T!AX238)/1.1</f>
        <v>#N/A</v>
      </c>
      <c r="BA238" s="102" t="e">
        <f t="shared" si="373"/>
        <v>#N/A</v>
      </c>
      <c r="BB238" s="102" t="e">
        <f t="shared" si="374"/>
        <v>#N/A</v>
      </c>
      <c r="BC238" s="414" t="e">
        <f>IF(AND(AY238&gt;NDC!$C$63,AZ238&gt;NDC!$C$65,BA238&gt;NDC!$D$73,BB238&gt;NDC!$D$74,$B238&gt;NDC!$H$22-0.1+MIN(3*BC$12,1.5)),0,1)</f>
        <v>#N/A</v>
      </c>
      <c r="BD238" s="86" t="b">
        <f t="shared" si="342"/>
        <v>0</v>
      </c>
      <c r="BE238" s="86">
        <f t="shared" si="375"/>
        <v>0.5</v>
      </c>
      <c r="BF238" s="86">
        <f t="shared" si="343"/>
        <v>0.5</v>
      </c>
      <c r="BG238" s="30" t="e">
        <f t="shared" ca="1" si="376"/>
        <v>#DIV/0!</v>
      </c>
      <c r="BH238" s="85" t="e">
        <f ca="1">IF(AN238&lt;=Hypothèses!$V$7,Hypothèses!$W$7,IF(AN238&lt;=Hypothèses!$V$8,Hypothèses!$W$8,IF(AN238&lt;=Hypothèses!$V$9,Hypothèses!$W$9,IF(AN238&lt;=Hypothèses!$V$10,Hypothèses!$W$10,IF(AN238&lt;=Hypothèses!$V$11,Hypothèses!$W$11,IF(AN238&lt;=Hypothèses!$V$12,Hypothèses!$W$12,IF(AN238&lt;=Hypothèses!$V$13,Hypothèses!$W$13,IF(AN238&lt;=Hypothèses!$V$14,Hypothèses!$W$14,IF(AN238&lt;=Hypothèses!$V$15,Hypothèses!$W$15,IF(AN238&lt;=Hypothèses!$V$16,Hypothèses!$W$16,IF(AN238&lt;=Hypothèses!$V$17,Hypothèses!$W$17,IF(AN238&lt;=Hypothèses!$V$18,Hypothèses!$W$18,""))))))))))))</f>
        <v>#DIV/0!</v>
      </c>
      <c r="BI238" s="87" t="e">
        <f t="shared" ca="1" si="418"/>
        <v>#DIV/0!</v>
      </c>
      <c r="BJ238" s="88" t="e">
        <f ca="1">IF(AN238&lt;=Hypothèses!$V$7,Hypothèses!$X$7,IF(AN238&lt;=Hypothèses!$V$8,Hypothèses!$X$8,IF(AN238&lt;=Hypothèses!$V$9,Hypothèses!$X$9,IF(AN238&lt;=Hypothèses!$V$10,Hypothèses!$X$10,IF(AN238&lt;=Hypothèses!$V$11,Hypothèses!$X$11,IF(AN238&lt;=Hypothèses!$V$12,Hypothèses!$X$12,IF(AN238&lt;=Hypothèses!$V$13,Hypothèses!$X$13,IF(AN238&lt;=Hypothèses!$V$14,Hypothèses!$X$14,IF(AN238&lt;=Hypothèses!$V$15,Hypothèses!$X$15,IF(AN238&lt;=Hypothèses!$V$16,Hypothèses!$X$16,IF(AN238&lt;=Hypothèses!$U$17,Hypothèses!$W$17,IF(AN238&lt;=Hypothèses!$U$18,Hypothèses!$W$18,""))))))))))))</f>
        <v>#DIV/0!</v>
      </c>
      <c r="BK238" s="95" t="e">
        <f t="shared" ca="1" si="377"/>
        <v>#DIV/0!</v>
      </c>
      <c r="BL238" s="101">
        <f t="shared" si="425"/>
        <v>0</v>
      </c>
      <c r="BM238" s="91">
        <f t="shared" si="344"/>
        <v>0</v>
      </c>
      <c r="BN238" s="30" t="e">
        <f t="shared" si="404"/>
        <v>#N/A</v>
      </c>
      <c r="BO238" s="30" t="e">
        <f t="shared" si="405"/>
        <v>#N/A</v>
      </c>
      <c r="BP238" s="31" t="e">
        <f>IF(OR(Hypothèses!$B$4=17,Hypothèses!$B$4=18,Hypothèses!$B$4=19,Hypothèses!$B$4=20),
IF($D238="Pressio.",
IF(OR($E238=3,$E238=1,$E238=4),BO238,BN238),
IF($D238="Pénétro.",
IF(OR($E238=3,$E238=1,$E238=4),BO238,BN238))),IF($D238="Pressio.",
IF($E238=3,BO238,BN238),
IF($D238="Pénétro.",
IF($E238=4,BO238,BN238))))</f>
        <v>#N/A</v>
      </c>
      <c r="BQ238" s="31">
        <v>0</v>
      </c>
      <c r="BR238" s="102" t="e">
        <f>IF(NDC!$H$10="Oui",(VLOOKUP($B$3,'Coeff EC7'!$T$39:$X$59,2,0)*BP238+VLOOKUP($B$3,'Coeff EC7'!$T$65:$X$85,2,0)*Model0.1T!BQ238)/1.5,PI()*BN$12*$Q238*($B238-$B237)*0.15/10+BR237)</f>
        <v>#N/A</v>
      </c>
      <c r="BS238" s="102" t="e">
        <f>(VLOOKUP($B$3,'Coeff EC7'!$T$39:$X$59,3,0)*BP238+VLOOKUP($B$3,'Coeff EC7'!$T$65:$X$85,3,0)*Model0.1T!BQ238)/1.1</f>
        <v>#N/A</v>
      </c>
      <c r="BT238" s="102" t="e">
        <f t="shared" si="378"/>
        <v>#N/A</v>
      </c>
      <c r="BU238" s="102" t="e">
        <f t="shared" si="379"/>
        <v>#N/A</v>
      </c>
      <c r="BV238" s="414" t="e">
        <f>IF(AND(BR238&gt;NDC!$C$63,BS238&gt;NDC!$C$65,BT238&gt;NDC!$D$73,BU238&gt;NDC!$D$74,$B238&gt;NDC!$H$22-0.1+MIN(3*BV$12,1.5)),0,1)</f>
        <v>#N/A</v>
      </c>
      <c r="BW238" s="86" t="b">
        <f t="shared" si="345"/>
        <v>0</v>
      </c>
      <c r="BX238" s="86">
        <f t="shared" si="346"/>
        <v>0.5</v>
      </c>
      <c r="BY238" s="86">
        <f t="shared" si="347"/>
        <v>0.5</v>
      </c>
      <c r="BZ238" s="30" t="e">
        <f t="shared" ca="1" si="380"/>
        <v>#DIV/0!</v>
      </c>
      <c r="CA238" s="85" t="e">
        <f ca="1">IF(BG238&lt;=Hypothèses!$V$7,Hypothèses!$W$7,IF(BG238&lt;=Hypothèses!$V$8,Hypothèses!$W$8,IF(BG238&lt;=Hypothèses!$V$9,Hypothèses!$W$9,IF(BG238&lt;=Hypothèses!$V$10,Hypothèses!$W$10,IF(BG238&lt;=Hypothèses!$V$11,Hypothèses!$W$11,IF(BG238&lt;=Hypothèses!$V$12,Hypothèses!$W$12,IF(BG238&lt;=Hypothèses!$V$13,Hypothèses!$W$13,IF(BG238&lt;=Hypothèses!$V$14,Hypothèses!$W$14,IF(BG238&lt;=Hypothèses!$V$15,Hypothèses!$W$15,IF(BG238&lt;=Hypothèses!$V$16,Hypothèses!$W$16,IF(BG238&lt;=Hypothèses!$V$17,Hypothèses!$W$17,IF(BG238&lt;=Hypothèses!$V$18,Hypothèses!$W$18,""))))))))))))</f>
        <v>#DIV/0!</v>
      </c>
      <c r="CB238" s="87" t="e">
        <f t="shared" ca="1" si="419"/>
        <v>#DIV/0!</v>
      </c>
      <c r="CC238" s="88" t="e">
        <f ca="1">IF(BG238&lt;=Hypothèses!$V$7,Hypothèses!$X$7,IF(BG238&lt;=Hypothèses!$V$8,Hypothèses!$X$8,IF(BG238&lt;=Hypothèses!$V$9,Hypothèses!$X$9,IF(BG238&lt;=Hypothèses!$V$10,Hypothèses!$X$10,IF(BG238&lt;=Hypothèses!$V$11,Hypothèses!$X$11,IF(BG238&lt;=Hypothèses!$V$12,Hypothèses!$X$12,IF(BG238&lt;=Hypothèses!$V$13,Hypothèses!$X$13,IF(BG238&lt;=Hypothèses!$V$14,Hypothèses!$X$14,IF(BG238&lt;=Hypothèses!$V$15,Hypothèses!$X$15,IF(BG238&lt;=Hypothèses!$V$16,Hypothèses!$X$16,IF(BG238&lt;=Hypothèses!$U$17,Hypothèses!$W$17,IF(BG238&lt;=Hypothèses!$U$18,Hypothèses!$W$18,""))))))))))))</f>
        <v>#DIV/0!</v>
      </c>
      <c r="CD238" s="95" t="e">
        <f t="shared" ca="1" si="381"/>
        <v>#DIV/0!</v>
      </c>
      <c r="CE238" s="101">
        <f t="shared" si="426"/>
        <v>0</v>
      </c>
      <c r="CF238" s="91">
        <f t="shared" si="348"/>
        <v>0</v>
      </c>
      <c r="CG238" s="30" t="e">
        <f t="shared" si="406"/>
        <v>#N/A</v>
      </c>
      <c r="CH238" s="30" t="e">
        <f t="shared" si="407"/>
        <v>#N/A</v>
      </c>
      <c r="CI238" s="31" t="e">
        <f>IF(OR(Hypothèses!$B$4=17,Hypothèses!$B$4=18,Hypothèses!$B$4=19,Hypothèses!$B$4=20),
IF($D238="Pressio.",
IF(OR($E238=3,$E238=1,$E238=4),CH238,CG238),
IF($D238="Pénétro.",
IF(OR($E238=3,$E238=1,$E238=4),CH238,CG238))),IF($D238="Pressio.",
IF($E238=3,CH238,CG238),
IF($D238="Pénétro.",
IF($E238=4,CH238,CG238))))</f>
        <v>#N/A</v>
      </c>
      <c r="CJ238" s="31">
        <v>0</v>
      </c>
      <c r="CK238" s="102" t="e">
        <f>IF(NDC!$H$10="Oui",(VLOOKUP($B$3,'Coeff EC7'!$T$39:$X$59,2,0)*CI238+VLOOKUP($B$3,'Coeff EC7'!$T$65:$X$85,2,0)*Model0.1T!CJ238)/1.5,PI()*CG$12*$Q238*($B238-$B237)*0.15/10+CK237)</f>
        <v>#N/A</v>
      </c>
      <c r="CL238" s="102" t="e">
        <f>(VLOOKUP($B$3,'Coeff EC7'!$T$39:$X$59,3,0)*CI238+VLOOKUP($B$3,'Coeff EC7'!$T$65:$X$85,3,0)*Model0.1T!CJ238)/1.1</f>
        <v>#N/A</v>
      </c>
      <c r="CM238" s="102" t="e">
        <f t="shared" si="382"/>
        <v>#N/A</v>
      </c>
      <c r="CN238" s="102" t="e">
        <f t="shared" si="383"/>
        <v>#N/A</v>
      </c>
      <c r="CO238" s="414" t="e">
        <f>IF(AND(CK238&gt;NDC!$C$63,CL238&gt;NDC!$C$65,CM238&gt;NDC!$D$73,CN238&gt;NDC!$D$74,$B238&gt;NDC!$H$22-0.1+MIN(3*CO$12,1.5)),0,1)</f>
        <v>#N/A</v>
      </c>
      <c r="CP238" s="86" t="b">
        <f t="shared" si="349"/>
        <v>0</v>
      </c>
      <c r="CQ238" s="86">
        <f t="shared" si="350"/>
        <v>0.5</v>
      </c>
      <c r="CR238" s="86">
        <f t="shared" si="351"/>
        <v>0.5</v>
      </c>
      <c r="CS238" s="30" t="e">
        <f t="shared" ca="1" si="384"/>
        <v>#DIV/0!</v>
      </c>
      <c r="CT238" s="85" t="e">
        <f ca="1">IF(BZ238&lt;=Hypothèses!$V$7,Hypothèses!$W$7,IF(BZ238&lt;=Hypothèses!$V$8,Hypothèses!$W$8,IF(BZ238&lt;=Hypothèses!$V$9,Hypothèses!$W$9,IF(BZ238&lt;=Hypothèses!$V$10,Hypothèses!$W$10,IF(BZ238&lt;=Hypothèses!$V$11,Hypothèses!$W$11,IF(BZ238&lt;=Hypothèses!$V$12,Hypothèses!$W$12,IF(BZ238&lt;=Hypothèses!$V$13,Hypothèses!$W$13,IF(BZ238&lt;=Hypothèses!$V$14,Hypothèses!$W$14,IF(BZ238&lt;=Hypothèses!$V$15,Hypothèses!$W$15,IF(BZ238&lt;=Hypothèses!$V$16,Hypothèses!$W$16,IF(BZ238&lt;=Hypothèses!$V$17,Hypothèses!$W$17,IF(BZ238&lt;=Hypothèses!$V$18,Hypothèses!$W$18,""))))))))))))</f>
        <v>#DIV/0!</v>
      </c>
      <c r="CU238" s="87" t="e">
        <f t="shared" ca="1" si="420"/>
        <v>#DIV/0!</v>
      </c>
      <c r="CV238" s="88" t="e">
        <f ca="1">IF(BZ238&lt;=Hypothèses!$V$7,Hypothèses!$X$7,IF(BZ238&lt;=Hypothèses!$V$8,Hypothèses!$X$8,IF(BZ238&lt;=Hypothèses!$V$9,Hypothèses!$X$9,IF(BZ238&lt;=Hypothèses!$V$10,Hypothèses!$X$10,IF(BZ238&lt;=Hypothèses!$V$11,Hypothèses!$X$11,IF(BZ238&lt;=Hypothèses!$V$12,Hypothèses!$X$12,IF(BZ238&lt;=Hypothèses!$V$13,Hypothèses!$X$13,IF(BZ238&lt;=Hypothèses!$V$14,Hypothèses!$X$14,IF(BZ238&lt;=Hypothèses!$V$15,Hypothèses!$X$15,IF(BZ238&lt;=Hypothèses!$V$16,Hypothèses!$X$16,IF(BZ238&lt;=Hypothèses!$U$17,Hypothèses!$W$17,IF(BZ238&lt;=Hypothèses!$U$18,Hypothèses!$W$18,""))))))))))))</f>
        <v>#DIV/0!</v>
      </c>
      <c r="CW238" s="95" t="e">
        <f t="shared" ca="1" si="385"/>
        <v>#DIV/0!</v>
      </c>
      <c r="CX238" s="101">
        <f t="shared" si="427"/>
        <v>0</v>
      </c>
      <c r="CY238" s="91">
        <f t="shared" si="352"/>
        <v>0</v>
      </c>
      <c r="CZ238" s="30" t="e">
        <f t="shared" si="408"/>
        <v>#N/A</v>
      </c>
      <c r="DA238" s="30" t="e">
        <f t="shared" si="409"/>
        <v>#N/A</v>
      </c>
      <c r="DB238" s="31" t="e">
        <f>IF(OR(Hypothèses!$B$4=17,Hypothèses!$B$4=18,Hypothèses!$B$4=19,Hypothèses!$B$4=20),
IF($D238="Pressio.",
IF(OR($E238=3,$E238=1,$E238=4),DA238,CZ238),
IF($D238="Pénétro.",
IF(OR($E238=3,$E238=1,$E238=4),DA238,CZ238))),IF($D238="Pressio.",
IF($E238=3,DA238,CZ238),
IF($D238="Pénétro.",
IF($E238=4,DA238,CZ238))))</f>
        <v>#N/A</v>
      </c>
      <c r="DC238" s="31">
        <v>0</v>
      </c>
      <c r="DD238" s="102" t="e">
        <f>IF(NDC!$H$10="Oui",(VLOOKUP($B$3,'Coeff EC7'!$T$39:$X$59,2,0)*DB238+VLOOKUP($B$3,'Coeff EC7'!$T$65:$X$85,2,0)*Model0.1T!DC238)/1.5,PI()*CZ$12*$Q238*($B238-$B237)*0.15/10+DD237)</f>
        <v>#N/A</v>
      </c>
      <c r="DE238" s="102" t="e">
        <f>(VLOOKUP($B$3,'Coeff EC7'!$T$39:$X$59,3,0)*DB238+VLOOKUP($B$3,'Coeff EC7'!$T$65:$X$85,3,0)*Model0.1T!DC238)/1.1</f>
        <v>#N/A</v>
      </c>
      <c r="DF238" s="102" t="e">
        <f t="shared" si="386"/>
        <v>#N/A</v>
      </c>
      <c r="DG238" s="102" t="e">
        <f t="shared" si="387"/>
        <v>#N/A</v>
      </c>
      <c r="DH238" s="414" t="e">
        <f>IF(AND(DD238&gt;NDC!$C$63,DE238&gt;NDC!$C$65,DF238&gt;NDC!$D$73,DG238&gt;NDC!$D$74,$B238&gt;NDC!$H$22-0.1+MIN(3*DH$12,1.5)),0,1)</f>
        <v>#N/A</v>
      </c>
      <c r="DI238" s="86" t="b">
        <f t="shared" si="353"/>
        <v>0</v>
      </c>
      <c r="DJ238" s="86">
        <f t="shared" si="354"/>
        <v>0.5</v>
      </c>
      <c r="DK238" s="86">
        <f t="shared" si="355"/>
        <v>0.5</v>
      </c>
      <c r="DL238" s="30" t="e">
        <f t="shared" ca="1" si="388"/>
        <v>#DIV/0!</v>
      </c>
      <c r="DM238" s="85" t="e">
        <f ca="1">IF(CS238&lt;=Hypothèses!$V$7,Hypothèses!$W$7,IF(CS238&lt;=Hypothèses!$V$8,Hypothèses!$W$8,IF(CS238&lt;=Hypothèses!$V$9,Hypothèses!$W$9,IF(CS238&lt;=Hypothèses!$V$10,Hypothèses!$W$10,IF(CS238&lt;=Hypothèses!$V$11,Hypothèses!$W$11,IF(CS238&lt;=Hypothèses!$V$12,Hypothèses!$W$12,IF(CS238&lt;=Hypothèses!$V$13,Hypothèses!$W$13,IF(CS238&lt;=Hypothèses!$V$14,Hypothèses!$W$14,IF(CS238&lt;=Hypothèses!$V$15,Hypothèses!$W$15,IF(CS238&lt;=Hypothèses!$V$16,Hypothèses!$W$16,IF(CS238&lt;=Hypothèses!$V$17,Hypothèses!$W$17,IF(CS238&lt;=Hypothèses!$V$18,Hypothèses!$W$18,""))))))))))))</f>
        <v>#DIV/0!</v>
      </c>
      <c r="DN238" s="87" t="e">
        <f t="shared" ca="1" si="421"/>
        <v>#DIV/0!</v>
      </c>
      <c r="DO238" s="88" t="e">
        <f ca="1">IF(CS238&lt;=Hypothèses!$V$7,Hypothèses!$X$7,IF(CS238&lt;=Hypothèses!$V$8,Hypothèses!$X$8,IF(CS238&lt;=Hypothèses!$V$9,Hypothèses!$X$9,IF(CS238&lt;=Hypothèses!$V$10,Hypothèses!$X$10,IF(CS238&lt;=Hypothèses!$V$11,Hypothèses!$X$11,IF(CS238&lt;=Hypothèses!$V$12,Hypothèses!$X$12,IF(CS238&lt;=Hypothèses!$V$13,Hypothèses!$X$13,IF(CS238&lt;=Hypothèses!$V$14,Hypothèses!$X$14,IF(CS238&lt;=Hypothèses!$V$15,Hypothèses!$X$15,IF(CS238&lt;=Hypothèses!$V$16,Hypothèses!$X$16,IF(CS238&lt;=Hypothèses!$U$17,Hypothèses!$W$17,IF(CS238&lt;=Hypothèses!$U$18,Hypothèses!$W$18,""))))))))))))</f>
        <v>#DIV/0!</v>
      </c>
      <c r="DP238" s="95" t="e">
        <f t="shared" ca="1" si="389"/>
        <v>#DIV/0!</v>
      </c>
      <c r="DQ238" s="101">
        <f t="shared" si="428"/>
        <v>0</v>
      </c>
      <c r="DR238" s="91">
        <f t="shared" si="356"/>
        <v>0</v>
      </c>
      <c r="DS238" s="30" t="e">
        <f t="shared" si="410"/>
        <v>#N/A</v>
      </c>
      <c r="DT238" s="30" t="e">
        <f t="shared" si="411"/>
        <v>#N/A</v>
      </c>
      <c r="DU238" s="31" t="e">
        <f>IF(OR(Hypothèses!$B$4=17,Hypothèses!$B$4=18,Hypothèses!$B$4=19,Hypothèses!$B$4=20),
IF($D238="Pressio.",
IF(OR($E238=3,$E238=1,$E238=4),DT238,DS238),
IF($D238="Pénétro.",
IF(OR($E238=3,$E238=1,$E238=4),DT238,DS238))),IF($D238="Pressio.",
IF($E238=3,DT238,DS238),
IF($D238="Pénétro.",
IF($E238=4,DT238,DS238))))</f>
        <v>#N/A</v>
      </c>
      <c r="DV238" s="31">
        <v>0</v>
      </c>
      <c r="DW238" s="102" t="e">
        <f>IF(NDC!$H$10="Oui",(VLOOKUP($B$3,'Coeff EC7'!$T$39:$X$59,2,0)*DU238+VLOOKUP($B$3,'Coeff EC7'!$T$65:$X$85,2,0)*Model0.1T!DV238)/1.5,PI()*DS$12*$Q238*($B238-$B237)*0.15/10+DW237)</f>
        <v>#N/A</v>
      </c>
      <c r="DX238" s="102" t="e">
        <f>(VLOOKUP($B$3,'Coeff EC7'!$T$39:$X$59,3,0)*DU238+VLOOKUP($B$3,'Coeff EC7'!$T$65:$X$85,3,0)*Model0.1T!DV238)/1.1</f>
        <v>#N/A</v>
      </c>
      <c r="DY238" s="102" t="e">
        <f t="shared" si="390"/>
        <v>#N/A</v>
      </c>
      <c r="DZ238" s="102" t="e">
        <f t="shared" si="391"/>
        <v>#N/A</v>
      </c>
      <c r="EA238" s="414" t="e">
        <f>IF(AND(DW238&gt;NDC!$C$63,DX238&gt;NDC!$C$65,DY238&gt;NDC!$D$73,DZ238&gt;NDC!$D$74,$B238&gt;NDC!$H$22-0.1+MIN(3*EA$12,1.5)),0,1)</f>
        <v>#N/A</v>
      </c>
      <c r="EB238" s="86" t="b">
        <f t="shared" si="357"/>
        <v>0</v>
      </c>
      <c r="EC238" s="418">
        <f t="shared" si="358"/>
        <v>0.51</v>
      </c>
      <c r="ED238" s="86">
        <f t="shared" si="359"/>
        <v>0.51</v>
      </c>
      <c r="EE238" s="30" t="e">
        <f t="shared" ca="1" si="392"/>
        <v>#DIV/0!</v>
      </c>
      <c r="EF238" s="85" t="e">
        <f ca="1">IF(DL238&lt;=Hypothèses!$V$7,Hypothèses!$W$7,IF(DL238&lt;=Hypothèses!$V$8,Hypothèses!$W$8,IF(DL238&lt;=Hypothèses!$V$9,Hypothèses!$W$9,IF(DL238&lt;=Hypothèses!$V$10,Hypothèses!$W$10,IF(DL238&lt;=Hypothèses!$V$11,Hypothèses!$W$11,IF(DL238&lt;=Hypothèses!$V$12,Hypothèses!$W$12,IF(DL238&lt;=Hypothèses!$V$13,Hypothèses!$W$13,IF(DL238&lt;=Hypothèses!$V$14,Hypothèses!$W$14,IF(DL238&lt;=Hypothèses!$V$15,Hypothèses!$W$15,IF(DL238&lt;=Hypothèses!$V$16,Hypothèses!$W$16,IF(DL238&lt;=Hypothèses!$V$17,Hypothèses!$W$17,IF(DL238&lt;=Hypothèses!$V$18,Hypothèses!$W$18,""))))))))))))</f>
        <v>#DIV/0!</v>
      </c>
      <c r="EG238" s="87" t="e">
        <f t="shared" ca="1" si="422"/>
        <v>#DIV/0!</v>
      </c>
      <c r="EH238" s="88" t="e">
        <f ca="1">IF(DL238&lt;=Hypothèses!$V$7,Hypothèses!$X$7,IF(DL238&lt;=Hypothèses!$V$8,Hypothèses!$X$8,IF(DL238&lt;=Hypothèses!$V$9,Hypothèses!$X$9,IF(DL238&lt;=Hypothèses!$V$10,Hypothèses!$X$10,IF(DL238&lt;=Hypothèses!$V$11,Hypothèses!$X$11,IF(DL238&lt;=Hypothèses!$V$12,Hypothèses!$X$12,IF(DL238&lt;=Hypothèses!$V$13,Hypothèses!$X$13,IF(DL238&lt;=Hypothèses!$V$14,Hypothèses!$X$14,IF(DL238&lt;=Hypothèses!$V$15,Hypothèses!$X$15,IF(DL238&lt;=Hypothèses!$V$16,Hypothèses!$X$16,IF(DL238&lt;=Hypothèses!$U$17,Hypothèses!$W$17,IF(DL238&lt;=Hypothèses!$U$18,Hypothèses!$W$18,""))))))))))))</f>
        <v>#DIV/0!</v>
      </c>
      <c r="EI238" s="95" t="e">
        <f t="shared" ca="1" si="393"/>
        <v>#DIV/0!</v>
      </c>
      <c r="EJ238" s="101">
        <f t="shared" si="429"/>
        <v>0</v>
      </c>
      <c r="EK238" s="91">
        <f t="shared" si="360"/>
        <v>0</v>
      </c>
      <c r="EL238" s="30" t="e">
        <f t="shared" si="412"/>
        <v>#N/A</v>
      </c>
      <c r="EM238" s="30" t="e">
        <f t="shared" si="413"/>
        <v>#N/A</v>
      </c>
      <c r="EN238" s="31" t="e">
        <f>IF(OR(Hypothèses!$B$4=17,Hypothèses!$B$4=18,Hypothèses!$B$4=19,Hypothèses!$B$4=20),
IF($D238="Pressio.",
IF(OR($E238=3,$E238=1,$E238=4),EM238,EL238),
IF($D238="Pénétro.",
IF(OR($E238=3,$E238=1,$E238=4),EM238,EL238))),IF($D238="Pressio.",
IF($E238=3,EM238,EL238),
IF($D238="Pénétro.",
IF($E238=4,EM238,EL238))))</f>
        <v>#N/A</v>
      </c>
      <c r="EO238" s="31">
        <v>0</v>
      </c>
      <c r="EP238" s="102" t="e">
        <f>IF(NDC!$H$10="Oui",(VLOOKUP($B$3,'Coeff EC7'!$T$39:$X$59,2,0)*EN238+VLOOKUP($B$3,'Coeff EC7'!$T$65:$X$85,2,0)*Model0.1T!EO238)/1.5,PI()*EL$12*$Q238*($B238-$B237)*0.15/10+EP237)</f>
        <v>#N/A</v>
      </c>
      <c r="EQ238" s="102" t="e">
        <f>(VLOOKUP($B$3,'Coeff EC7'!$T$39:$X$59,3,0)*EN238+VLOOKUP($B$3,'Coeff EC7'!$T$65:$X$85,3,0)*Model0.1T!EO238)/1.1</f>
        <v>#N/A</v>
      </c>
      <c r="ER238" s="102" t="e">
        <f t="shared" si="394"/>
        <v>#N/A</v>
      </c>
      <c r="ES238" s="102" t="e">
        <f t="shared" si="395"/>
        <v>#N/A</v>
      </c>
      <c r="ET238" s="414" t="e">
        <f>IF(AND(EP238&gt;NDC!$C$63,EQ238&gt;NDC!$C$65,ER238&gt;NDC!$D$73,ES238&gt;NDC!$D$74,$B238&gt;NDC!$H$22-0.1+MIN(3*ET$12,1.5)),0,1)</f>
        <v>#N/A</v>
      </c>
      <c r="EU238" s="86" t="b">
        <f t="shared" si="361"/>
        <v>0</v>
      </c>
      <c r="EV238" s="86">
        <f t="shared" si="362"/>
        <v>0.61</v>
      </c>
      <c r="EW238" s="86">
        <f t="shared" si="363"/>
        <v>0.61</v>
      </c>
      <c r="EX238" s="30" t="e">
        <f t="shared" ca="1" si="396"/>
        <v>#DIV/0!</v>
      </c>
      <c r="EY238" s="85" t="e">
        <f ca="1">IF(EE238&lt;=Hypothèses!$V$7,Hypothèses!$W$7,IF(EE238&lt;=Hypothèses!$V$8,Hypothèses!$W$8,IF(EE238&lt;=Hypothèses!$V$9,Hypothèses!$W$9,IF(EE238&lt;=Hypothèses!$V$10,Hypothèses!$W$10,IF(EE238&lt;=Hypothèses!$V$11,Hypothèses!$W$11,IF(EE238&lt;=Hypothèses!$V$12,Hypothèses!$W$12,IF(EE238&lt;=Hypothèses!$V$13,Hypothèses!$W$13,IF(EE238&lt;=Hypothèses!$V$14,Hypothèses!$W$14,IF(EE238&lt;=Hypothèses!$V$15,Hypothèses!$W$15,IF(EE238&lt;=Hypothèses!$V$16,Hypothèses!$W$16,IF(EE238&lt;=Hypothèses!$V$17,Hypothèses!$W$17,IF(EE238&lt;=Hypothèses!$V$18,Hypothèses!$W$18,""))))))))))))</f>
        <v>#DIV/0!</v>
      </c>
      <c r="EZ238" s="87" t="e">
        <f t="shared" ca="1" si="423"/>
        <v>#DIV/0!</v>
      </c>
      <c r="FA238" s="88" t="e">
        <f ca="1">IF(EE238&lt;=Hypothèses!$V$7,Hypothèses!$X$7,IF(EE238&lt;=Hypothèses!$V$8,Hypothèses!$X$8,IF(EE238&lt;=Hypothèses!$V$9,Hypothèses!$X$9,IF(EE238&lt;=Hypothèses!$V$10,Hypothèses!$X$10,IF(EE238&lt;=Hypothèses!$V$11,Hypothèses!$X$11,IF(EE238&lt;=Hypothèses!$V$12,Hypothèses!$X$12,IF(EE238&lt;=Hypothèses!$V$13,Hypothèses!$X$13,IF(EE238&lt;=Hypothèses!$V$14,Hypothèses!$X$14,IF(EE238&lt;=Hypothèses!$V$15,Hypothèses!$X$15,IF(EE238&lt;=Hypothèses!$V$16,Hypothèses!$X$16,IF(EE238&lt;=Hypothèses!$U$17,Hypothèses!$W$17,IF(EE238&lt;=Hypothèses!$U$18,Hypothèses!$W$18,""))))))))))))</f>
        <v>#DIV/0!</v>
      </c>
      <c r="FB238" s="95" t="e">
        <f t="shared" ca="1" si="397"/>
        <v>#DIV/0!</v>
      </c>
      <c r="FC238" s="101">
        <f t="shared" si="430"/>
        <v>0</v>
      </c>
      <c r="FD238" s="91">
        <f t="shared" si="364"/>
        <v>0</v>
      </c>
      <c r="FE238" s="30" t="e">
        <f t="shared" si="414"/>
        <v>#N/A</v>
      </c>
      <c r="FF238" s="30" t="e">
        <f t="shared" si="415"/>
        <v>#N/A</v>
      </c>
      <c r="FG238" s="31" t="e">
        <f>IF(OR(Hypothèses!$B$4=17,Hypothèses!$B$4=18,Hypothèses!$B$4=19,Hypothèses!$B$4=20),
IF($D238="Pressio.",
IF(OR($E238=3,$E238=1,$E238=4),FF238,FE238),
IF($D238="Pénétro.",
IF(OR($E238=3,$E238=1,$E238=4),FF238,FE238))),IF($D238="Pressio.",
IF($E238=3,FF238,FE238),
IF($D238="Pénétro.",
IF($E238=4,FF238,FE238))))</f>
        <v>#N/A</v>
      </c>
      <c r="FH238" s="31">
        <v>0</v>
      </c>
      <c r="FI238" s="102" t="e">
        <f>IF(NDC!$H$10="Oui",(VLOOKUP($B$3,'Coeff EC7'!$T$39:$X$59,2,0)*FG238+VLOOKUP($B$3,'Coeff EC7'!$T$65:$X$85,2,0)*Model0.1T!FH238)/1.5,PI()*FE$12*$Q238*($B238-$B237)*0.15/10+FI237)</f>
        <v>#N/A</v>
      </c>
      <c r="FJ238" s="102" t="e">
        <f>(VLOOKUP($B$3,'Coeff EC7'!$T$39:$X$59,3,0)*FG238+VLOOKUP($B$3,'Coeff EC7'!$T$65:$X$85,3,0)*Model0.1T!FH238)/1.1</f>
        <v>#N/A</v>
      </c>
      <c r="FK238" s="102" t="e">
        <f t="shared" si="398"/>
        <v>#N/A</v>
      </c>
      <c r="FL238" s="102" t="e">
        <f t="shared" si="399"/>
        <v>#N/A</v>
      </c>
      <c r="FM238" s="414" t="e">
        <f>IF(AND(FI238&gt;NDC!$C$63,FJ238&gt;NDC!$C$65,FK238&gt;NDC!$D$73,FL238&gt;NDC!$D$74,$B238&gt;NDC!$H$22-0.1+MIN(3*FM$12,1.5)),0,1)</f>
        <v>#N/A</v>
      </c>
    </row>
    <row r="239" spans="1:169">
      <c r="A239" s="96">
        <f t="shared" si="365"/>
        <v>77.400000000001285</v>
      </c>
      <c r="B239" s="97">
        <v>22.6</v>
      </c>
      <c r="C239" s="81">
        <f>IF(B239&lt;=Hypothèses!$C$7,Hypothèses!$A$7,IF(B239&lt;=Hypothèses!$C$8,Hypothèses!$A$8,IF(B239&lt;=Hypothèses!$C$9,Hypothèses!$A$9,IF(B239&lt;=Hypothèses!$C$10,Hypothèses!$A$10,IF(B239&lt;=Hypothèses!$C$11,Hypothèses!$A$11,IF(B239&lt;=Hypothèses!$C$12,Hypothèses!$A$12,IF(B239&lt;=Hypothèses!$C$13,Hypothèses!$A$13,IF(B239&lt;=Hypothèses!$C$14,Hypothèses!$A$14,IF(B239&lt;=Hypothèses!$C$15,Hypothèses!$A$15,IF(B239&lt;=Hypothèses!$C$16,Hypothèses!$A$16,IF(B239&lt;=Hypothèses!$C$17,Hypothèses!$A$17,IF(B239&lt;=Hypothèses!$C$18,Hypothèses!$A$18,C238))))))))))))</f>
        <v>11</v>
      </c>
      <c r="D239" s="82" t="str">
        <f>IF(B239&lt;=Hypothèses!$C$7,Hypothèses!$R$7,IF(B239&lt;=Hypothèses!$C$8,Hypothèses!$R$8,IF(B239&lt;=Hypothèses!$C$9,Hypothèses!$R$9,IF(B239&lt;=Hypothèses!$C$10,Hypothèses!$R$10,IF(B239&lt;=Hypothèses!$C$11,Hypothèses!$R$11,IF(B239&lt;=Hypothèses!$C$12,Hypothèses!$R$12,IF(B239&lt;=Hypothèses!$C$13,Hypothèses!$R$13,IF(B239&lt;=Hypothèses!$C$14,Hypothèses!$R$14,IF(B239&lt;=Hypothèses!$C$15,Hypothèses!$R$15,IF(B239&lt;=Hypothèses!$C$16,Hypothèses!$R$16,IF(B239&lt;=Hypothèses!$C$17,Hypothèses!$R$17,IF(B239&lt;=Hypothèses!$C$18,Hypothèses!$R$18,D238))))))))))))</f>
        <v>Pressio.</v>
      </c>
      <c r="E239" s="82" t="e">
        <f>IF(B239&lt;=Hypothèses!$C$7,Hypothèses!$G$7,IF(B239&lt;=Hypothèses!$C$8,Hypothèses!$G$8,IF(B239&lt;=Hypothèses!$C$9,Hypothèses!$G$9,IF(B239&lt;=Hypothèses!$C$10,Hypothèses!$G$10,IF(B239&lt;=Hypothèses!$C$11,Hypothèses!$G$11,IF(B239&lt;=Hypothèses!$C$12,Hypothèses!$G$12,IF(B239&lt;=Hypothèses!$C$13,Hypothèses!$G$13,IF(B239&lt;=Hypothèses!$C$14,Hypothèses!$G$14,IF(B239&lt;=Hypothèses!$C$15,Hypothèses!$G$15,IF(B239&lt;=Hypothèses!$C$16,Hypothèses!$G$16,IF(B239&lt;=Hypothèses!$C$17,Hypothèses!$G$17,IF(B239&lt;=Hypothèses!$C$18,Hypothèses!$G$18,E238))))))))))))</f>
        <v>#N/A</v>
      </c>
      <c r="F239" s="82" t="str">
        <f>IF(B239&lt;=Hypothèses!$C$7,Hypothèses!$F$7,IF(B239&lt;=Hypothèses!$C$8,Hypothèses!$F$8,IF(B239&lt;=Hypothèses!$C$9,Hypothèses!$F$9,IF(B239&lt;=Hypothèses!$C$10,Hypothèses!$F$10,IF(B239&lt;=Hypothèses!$C$11,Hypothèses!$F$11,IF(B239&lt;=Hypothèses!$C$12,Hypothèses!$F$12,IF(B239&lt;=Hypothèses!$C$13,Hypothèses!$F$13,IF(B239&lt;=Hypothèses!$C$14,Hypothèses!$F$14,IF(B239&lt;=Hypothèses!$C$15,Hypothèses!$F$15,IF(B239&lt;=Hypothèses!$C$16,Hypothèses!$F$16,IF(B239&lt;=Hypothèses!$C$17,Hypothèses!$F$17,IF(B239&lt;=Hypothèses!$C$18,Hypothèses!$F$18,F238))))))))))))</f>
        <v/>
      </c>
      <c r="G239" s="91">
        <f t="array" ref="G239">INDEX('Coeff EC7'!$U$7:$X$27,
MATCH(Model0.1T!$B$3,'Coeff EC7'!$T$7:$T$27,0),
MATCH(Model0.1T!$D239&amp;Model0.1T!$B$4,
'Coeff EC7'!$U$6:$X$6&amp;
'Coeff EC7'!$U$5:$X$5,0))</f>
        <v>1.4</v>
      </c>
      <c r="H239" s="91">
        <f t="array" ref="H239">INDEX('Coeff EC7'!$Y$7:$AB$27,
MATCH(Model0.1T!$B$3,'Coeff EC7'!$T$7:$T$27,0),
MATCH(Model0.1T!$D239&amp;Model0.1T!$B$4,
'Coeff EC7'!$Y$6:$AB$6&amp;
'Coeff EC7'!$Y$5:$AB$5,0))</f>
        <v>1.7</v>
      </c>
      <c r="I239" s="83">
        <v>0</v>
      </c>
      <c r="J239" s="91" t="e">
        <f t="array" ref="J239">INDEX('Coeff EC7'!$D$33:$Q$33,1,MATCH(D239&amp;E239,'Coeff EC7'!$D$31:$Q$31&amp;'Coeff EC7'!$D$32:$Q$32,0))</f>
        <v>#N/A</v>
      </c>
      <c r="K239" s="91" t="e">
        <f t="array" ref="K239">INDEX('Coeff EC7'!$D$34:$Q$34,1,MATCH(D239&amp;E239,'Coeff EC7'!$D$31:$Q$31&amp;'Coeff EC7'!$D$32:$Q$32,0))</f>
        <v>#N/A</v>
      </c>
      <c r="L239" s="91" t="e">
        <f t="array" ref="L239">INDEX('Coeff EC7'!$D$35:$Q$35,1,MATCH(D239&amp;E239,'Coeff EC7'!$D$31:$Q$31&amp;'Coeff EC7'!$D$32:$Q$32,0))</f>
        <v>#N/A</v>
      </c>
      <c r="M239" s="98" t="e">
        <f t="shared" si="331"/>
        <v>#N/A</v>
      </c>
      <c r="N239" s="99" t="e">
        <f t="array" ref="N239">INDEX('Coeff EC7'!$D$7:$Q$27,MATCH($B$3,'Coeff EC7'!$C$7:$C$27,0),MATCH(D239&amp;E239,'Coeff EC7'!$D$5:$Q$5&amp;'Coeff EC7'!$D$6:$Q$6,0))</f>
        <v>#N/A</v>
      </c>
      <c r="O239" s="99" t="e">
        <f t="array" ref="O239">INDEX('Coeff EC7'!$D$41:$Q$61,MATCH($B$3,'Coeff EC7'!$C$41:$C$61,0),MATCH(D239&amp;E239,'Coeff EC7'!$D$39:$Q$39&amp;'Coeff EC7'!$D$40:$Q$40,0))</f>
        <v>#N/A</v>
      </c>
      <c r="P239" s="30" t="e">
        <f t="shared" si="366"/>
        <v>#N/A</v>
      </c>
      <c r="Q239" s="100" t="e">
        <f t="shared" si="333"/>
        <v>#N/A</v>
      </c>
      <c r="R239" s="86" t="b">
        <f t="shared" si="334"/>
        <v>0</v>
      </c>
      <c r="S239" s="86">
        <f t="shared" si="332"/>
        <v>0.5</v>
      </c>
      <c r="T239" s="86">
        <f t="shared" si="335"/>
        <v>0.5</v>
      </c>
      <c r="U239" s="30" t="e">
        <f t="shared" ca="1" si="367"/>
        <v>#DIV/0!</v>
      </c>
      <c r="V239" s="85" t="str">
        <f>IF(B239&lt;=Hypothèses!$V$7,Hypothèses!$W$7,IF(B239&lt;=Hypothèses!$V$8,Hypothèses!$W$8,IF(B239&lt;=Hypothèses!$V$9,Hypothèses!$W$9,IF(B239&lt;=Hypothèses!$V$10,Hypothèses!$W$10,IF(B239&lt;=Hypothèses!$V$11,Hypothèses!$W$11,IF(B239&lt;=Hypothèses!$V$12,Hypothèses!$W$12,IF(B239&lt;=Hypothèses!$V$13,Hypothèses!$W$13,IF(B239&lt;=Hypothèses!$V$14,Hypothèses!$W$14,IF(B239&lt;=Hypothèses!$V$15,Hypothèses!$W$15,IF(B239&lt;=Hypothèses!$V$16,Hypothèses!$W$16,IF(B239&lt;=Hypothèses!$V$17,Hypothèses!$W$17,IF(B239&lt;=Hypothèses!$V$18,Hypothèses!$W$18,""))))))))))))</f>
        <v/>
      </c>
      <c r="W239" s="87" t="e">
        <f t="shared" ca="1" si="416"/>
        <v>#DIV/0!</v>
      </c>
      <c r="X239" s="88" t="str">
        <f>IF(B239&lt;=Hypothèses!$V$7,Hypothèses!$X$7,IF(B239&lt;=Hypothèses!$V$8,Hypothèses!$X$8,IF(B239&lt;=Hypothèses!$V$9,Hypothèses!$X$9,IF(B239&lt;=Hypothèses!$V$10,Hypothèses!$X$10,IF(B239&lt;=Hypothèses!$V$11,Hypothèses!$X$11,IF(B239&lt;=Hypothèses!$V$12,Hypothèses!$X$12,IF(B239&lt;=Hypothèses!$V$13,Hypothèses!$X$13,IF(B239&lt;=Hypothèses!$V$14,Hypothèses!$X$14,IF(B239&lt;=Hypothèses!$V$15,Hypothèses!$X$15,IF(B239&lt;=Hypothèses!$V$16,Hypothèses!$X$16,IF(B239&lt;=Hypothèses!$U$17,Hypothèses!$W$17,IF(B239&lt;=Hypothèses!$U$18,Hypothèses!$W$18,""))))))))))))</f>
        <v/>
      </c>
      <c r="Y239" s="95" t="e">
        <f t="shared" ca="1" si="336"/>
        <v>#DIV/0!</v>
      </c>
      <c r="Z239" s="101">
        <f t="shared" si="337"/>
        <v>0</v>
      </c>
      <c r="AA239" s="91">
        <f t="shared" si="338"/>
        <v>0</v>
      </c>
      <c r="AB239" s="30" t="e">
        <f t="shared" si="400"/>
        <v>#N/A</v>
      </c>
      <c r="AC239" s="30" t="e">
        <f t="shared" si="401"/>
        <v>#N/A</v>
      </c>
      <c r="AD239" s="31" t="e">
        <f>IF(OR(Hypothèses!$B$4=17,Hypothèses!$B$4=18,Hypothèses!$B$4=19,Hypothèses!$B$4=20),
IF($D239="Pressio.",
IF(OR($E239=3,$E239=1,$E239=4),AC239,AB239),
IF($D239="Pénétro.",
IF(OR($E239=3,$E239=1,$E239=4),AC239,AB239))),IF($D239="Pressio.",
IF($E239=3,AC239,AB239),
IF($D239="Pénétro.",
IF($E239=4,AC239,AB239))))</f>
        <v>#N/A</v>
      </c>
      <c r="AE239" s="31">
        <v>0</v>
      </c>
      <c r="AF239" s="102" t="e">
        <f>IF(NDC!$H$10="Oui",(VLOOKUP($B$3,'Coeff EC7'!$T$39:$X$59,2,0)*AD239+VLOOKUP($B$3,'Coeff EC7'!$T$65:$X$85,2,0)*Model0.1T!AE239)/1.5,PI()*AB$12*$Q239*($B239-$B238)*0.15/10+AF238)</f>
        <v>#N/A</v>
      </c>
      <c r="AG239" s="102" t="e">
        <f>(VLOOKUP($B$3,'Coeff EC7'!$T$39:$X$59,3,0)*AD239+VLOOKUP($B$3,'Coeff EC7'!$T$65:$X$85,3,0)*Model0.1T!AE239)/1.1</f>
        <v>#N/A</v>
      </c>
      <c r="AH239" s="102" t="e">
        <f t="shared" si="368"/>
        <v>#N/A</v>
      </c>
      <c r="AI239" s="102" t="e">
        <f t="shared" si="369"/>
        <v>#N/A</v>
      </c>
      <c r="AJ239" s="414" t="e">
        <f>IF(AND(AF239&gt;NDC!$C$63,AG239&gt;NDC!$C$65,AH239&gt;NDC!$D$73,AI239&gt;NDC!$D$74,$B239&gt;NDC!$H$22-0.1+MIN(3*$AJ$12,1.5)),0,1)</f>
        <v>#N/A</v>
      </c>
      <c r="AK239" s="86" t="b">
        <f t="shared" si="339"/>
        <v>0</v>
      </c>
      <c r="AL239" s="86">
        <f t="shared" si="370"/>
        <v>0.5</v>
      </c>
      <c r="AM239" s="86">
        <f t="shared" si="340"/>
        <v>0.5</v>
      </c>
      <c r="AN239" s="30" t="e">
        <f t="shared" ca="1" si="371"/>
        <v>#DIV/0!</v>
      </c>
      <c r="AO239" s="85" t="e">
        <f ca="1">IF(U239&lt;=Hypothèses!$V$7,Hypothèses!$W$7,IF(U239&lt;=Hypothèses!$V$8,Hypothèses!$W$8,IF(U239&lt;=Hypothèses!$V$9,Hypothèses!$W$9,IF(U239&lt;=Hypothèses!$V$10,Hypothèses!$W$10,IF(U239&lt;=Hypothèses!$V$11,Hypothèses!$W$11,IF(U239&lt;=Hypothèses!$V$12,Hypothèses!$W$12,IF(U239&lt;=Hypothèses!$V$13,Hypothèses!$W$13,IF(U239&lt;=Hypothèses!$V$14,Hypothèses!$W$14,IF(U239&lt;=Hypothèses!$V$15,Hypothèses!$W$15,IF(U239&lt;=Hypothèses!$V$16,Hypothèses!$W$16,IF(U239&lt;=Hypothèses!$V$17,Hypothèses!$W$17,IF(U239&lt;=Hypothèses!$V$18,Hypothèses!$W$18,""))))))))))))</f>
        <v>#DIV/0!</v>
      </c>
      <c r="AP239" s="87" t="e">
        <f t="shared" ca="1" si="417"/>
        <v>#DIV/0!</v>
      </c>
      <c r="AQ239" s="88" t="e">
        <f ca="1">IF(U239&lt;=Hypothèses!$V$7,Hypothèses!$X$7,IF(U239&lt;=Hypothèses!$V$8,Hypothèses!$X$8,IF(U239&lt;=Hypothèses!$V$9,Hypothèses!$X$9,IF(U239&lt;=Hypothèses!$V$10,Hypothèses!$X$10,IF(U239&lt;=Hypothèses!$V$11,Hypothèses!$X$11,IF(U239&lt;=Hypothèses!$V$12,Hypothèses!$X$12,IF(U239&lt;=Hypothèses!$V$13,Hypothèses!$X$13,IF(U239&lt;=Hypothèses!$V$14,Hypothèses!$X$14,IF(U239&lt;=Hypothèses!$V$15,Hypothèses!$X$15,IF(U239&lt;=Hypothèses!$V$16,Hypothèses!$X$16,IF(U239&lt;=Hypothèses!$U$17,Hypothèses!$W$17,IF(U239&lt;=Hypothèses!$U$18,Hypothèses!$W$18,""))))))))))))</f>
        <v>#DIV/0!</v>
      </c>
      <c r="AR239" s="95" t="e">
        <f t="shared" ca="1" si="372"/>
        <v>#DIV/0!</v>
      </c>
      <c r="AS239" s="101">
        <f t="shared" si="424"/>
        <v>0</v>
      </c>
      <c r="AT239" s="91">
        <f t="shared" si="341"/>
        <v>0</v>
      </c>
      <c r="AU239" s="30" t="e">
        <f t="shared" si="402"/>
        <v>#N/A</v>
      </c>
      <c r="AV239" s="30" t="e">
        <f t="shared" si="403"/>
        <v>#N/A</v>
      </c>
      <c r="AW239" s="31" t="e">
        <f>IF(OR(Hypothèses!$B$4=17,Hypothèses!$B$4=18,Hypothèses!$B$4=19,Hypothèses!$B$4=20),
IF($D239="Pressio.",
IF(OR($E239=3,$E239=1,$E239=4),AV239,AU239),
IF($D239="Pénétro.",
IF(OR($E239=3,$E239=1,$E239=4),AV239,AU239))),IF($D239="Pressio.",
IF($E239=3,AV239,AU239),
IF($D239="Pénétro.",
IF($E239=4,AV239,AU239))))</f>
        <v>#N/A</v>
      </c>
      <c r="AX239" s="31">
        <v>0</v>
      </c>
      <c r="AY239" s="102" t="e">
        <f>IF(NDC!$H$10="Oui",(VLOOKUP($B$3,'Coeff EC7'!$T$39:$X$59,2,0)*AW239+VLOOKUP($B$3,'Coeff EC7'!$T$65:$X$85,2,0)*Model0.1T!AX239)/1.5,PI()*AU$12*$Q239*($B239-$B238)*0.15/10+AY238)</f>
        <v>#N/A</v>
      </c>
      <c r="AZ239" s="102" t="e">
        <f>(VLOOKUP($B$3,'Coeff EC7'!$T$39:$X$59,3,0)*AW239+VLOOKUP($B$3,'Coeff EC7'!$T$65:$X$85,3,0)*Model0.1T!AX239)/1.1</f>
        <v>#N/A</v>
      </c>
      <c r="BA239" s="102" t="e">
        <f t="shared" si="373"/>
        <v>#N/A</v>
      </c>
      <c r="BB239" s="102" t="e">
        <f t="shared" si="374"/>
        <v>#N/A</v>
      </c>
      <c r="BC239" s="414" t="e">
        <f>IF(AND(AY239&gt;NDC!$C$63,AZ239&gt;NDC!$C$65,BA239&gt;NDC!$D$73,BB239&gt;NDC!$D$74,$B239&gt;NDC!$H$22-0.1+MIN(3*BC$12,1.5)),0,1)</f>
        <v>#N/A</v>
      </c>
      <c r="BD239" s="86" t="b">
        <f t="shared" si="342"/>
        <v>0</v>
      </c>
      <c r="BE239" s="86">
        <f t="shared" si="375"/>
        <v>0.5</v>
      </c>
      <c r="BF239" s="86">
        <f t="shared" si="343"/>
        <v>0.5</v>
      </c>
      <c r="BG239" s="30" t="e">
        <f t="shared" ca="1" si="376"/>
        <v>#DIV/0!</v>
      </c>
      <c r="BH239" s="85" t="e">
        <f ca="1">IF(AN239&lt;=Hypothèses!$V$7,Hypothèses!$W$7,IF(AN239&lt;=Hypothèses!$V$8,Hypothèses!$W$8,IF(AN239&lt;=Hypothèses!$V$9,Hypothèses!$W$9,IF(AN239&lt;=Hypothèses!$V$10,Hypothèses!$W$10,IF(AN239&lt;=Hypothèses!$V$11,Hypothèses!$W$11,IF(AN239&lt;=Hypothèses!$V$12,Hypothèses!$W$12,IF(AN239&lt;=Hypothèses!$V$13,Hypothèses!$W$13,IF(AN239&lt;=Hypothèses!$V$14,Hypothèses!$W$14,IF(AN239&lt;=Hypothèses!$V$15,Hypothèses!$W$15,IF(AN239&lt;=Hypothèses!$V$16,Hypothèses!$W$16,IF(AN239&lt;=Hypothèses!$V$17,Hypothèses!$W$17,IF(AN239&lt;=Hypothèses!$V$18,Hypothèses!$W$18,""))))))))))))</f>
        <v>#DIV/0!</v>
      </c>
      <c r="BI239" s="87" t="e">
        <f t="shared" ca="1" si="418"/>
        <v>#DIV/0!</v>
      </c>
      <c r="BJ239" s="88" t="e">
        <f ca="1">IF(AN239&lt;=Hypothèses!$V$7,Hypothèses!$X$7,IF(AN239&lt;=Hypothèses!$V$8,Hypothèses!$X$8,IF(AN239&lt;=Hypothèses!$V$9,Hypothèses!$X$9,IF(AN239&lt;=Hypothèses!$V$10,Hypothèses!$X$10,IF(AN239&lt;=Hypothèses!$V$11,Hypothèses!$X$11,IF(AN239&lt;=Hypothèses!$V$12,Hypothèses!$X$12,IF(AN239&lt;=Hypothèses!$V$13,Hypothèses!$X$13,IF(AN239&lt;=Hypothèses!$V$14,Hypothèses!$X$14,IF(AN239&lt;=Hypothèses!$V$15,Hypothèses!$X$15,IF(AN239&lt;=Hypothèses!$V$16,Hypothèses!$X$16,IF(AN239&lt;=Hypothèses!$U$17,Hypothèses!$W$17,IF(AN239&lt;=Hypothèses!$U$18,Hypothèses!$W$18,""))))))))))))</f>
        <v>#DIV/0!</v>
      </c>
      <c r="BK239" s="95" t="e">
        <f t="shared" ca="1" si="377"/>
        <v>#DIV/0!</v>
      </c>
      <c r="BL239" s="101">
        <f t="shared" si="425"/>
        <v>0</v>
      </c>
      <c r="BM239" s="91">
        <f t="shared" si="344"/>
        <v>0</v>
      </c>
      <c r="BN239" s="30" t="e">
        <f t="shared" si="404"/>
        <v>#N/A</v>
      </c>
      <c r="BO239" s="30" t="e">
        <f t="shared" si="405"/>
        <v>#N/A</v>
      </c>
      <c r="BP239" s="31" t="e">
        <f>IF(OR(Hypothèses!$B$4=17,Hypothèses!$B$4=18,Hypothèses!$B$4=19,Hypothèses!$B$4=20),
IF($D239="Pressio.",
IF(OR($E239=3,$E239=1,$E239=4),BO239,BN239),
IF($D239="Pénétro.",
IF(OR($E239=3,$E239=1,$E239=4),BO239,BN239))),IF($D239="Pressio.",
IF($E239=3,BO239,BN239),
IF($D239="Pénétro.",
IF($E239=4,BO239,BN239))))</f>
        <v>#N/A</v>
      </c>
      <c r="BQ239" s="31">
        <v>0</v>
      </c>
      <c r="BR239" s="102" t="e">
        <f>IF(NDC!$H$10="Oui",(VLOOKUP($B$3,'Coeff EC7'!$T$39:$X$59,2,0)*BP239+VLOOKUP($B$3,'Coeff EC7'!$T$65:$X$85,2,0)*Model0.1T!BQ239)/1.5,PI()*BN$12*$Q239*($B239-$B238)*0.15/10+BR238)</f>
        <v>#N/A</v>
      </c>
      <c r="BS239" s="102" t="e">
        <f>(VLOOKUP($B$3,'Coeff EC7'!$T$39:$X$59,3,0)*BP239+VLOOKUP($B$3,'Coeff EC7'!$T$65:$X$85,3,0)*Model0.1T!BQ239)/1.1</f>
        <v>#N/A</v>
      </c>
      <c r="BT239" s="102" t="e">
        <f t="shared" si="378"/>
        <v>#N/A</v>
      </c>
      <c r="BU239" s="102" t="e">
        <f t="shared" si="379"/>
        <v>#N/A</v>
      </c>
      <c r="BV239" s="414" t="e">
        <f>IF(AND(BR239&gt;NDC!$C$63,BS239&gt;NDC!$C$65,BT239&gt;NDC!$D$73,BU239&gt;NDC!$D$74,$B239&gt;NDC!$H$22-0.1+MIN(3*BV$12,1.5)),0,1)</f>
        <v>#N/A</v>
      </c>
      <c r="BW239" s="86" t="b">
        <f t="shared" si="345"/>
        <v>0</v>
      </c>
      <c r="BX239" s="86">
        <f t="shared" si="346"/>
        <v>0.5</v>
      </c>
      <c r="BY239" s="86">
        <f t="shared" si="347"/>
        <v>0.5</v>
      </c>
      <c r="BZ239" s="30" t="e">
        <f t="shared" ca="1" si="380"/>
        <v>#DIV/0!</v>
      </c>
      <c r="CA239" s="85" t="e">
        <f ca="1">IF(BG239&lt;=Hypothèses!$V$7,Hypothèses!$W$7,IF(BG239&lt;=Hypothèses!$V$8,Hypothèses!$W$8,IF(BG239&lt;=Hypothèses!$V$9,Hypothèses!$W$9,IF(BG239&lt;=Hypothèses!$V$10,Hypothèses!$W$10,IF(BG239&lt;=Hypothèses!$V$11,Hypothèses!$W$11,IF(BG239&lt;=Hypothèses!$V$12,Hypothèses!$W$12,IF(BG239&lt;=Hypothèses!$V$13,Hypothèses!$W$13,IF(BG239&lt;=Hypothèses!$V$14,Hypothèses!$W$14,IF(BG239&lt;=Hypothèses!$V$15,Hypothèses!$W$15,IF(BG239&lt;=Hypothèses!$V$16,Hypothèses!$W$16,IF(BG239&lt;=Hypothèses!$V$17,Hypothèses!$W$17,IF(BG239&lt;=Hypothèses!$V$18,Hypothèses!$W$18,""))))))))))))</f>
        <v>#DIV/0!</v>
      </c>
      <c r="CB239" s="87" t="e">
        <f t="shared" ca="1" si="419"/>
        <v>#DIV/0!</v>
      </c>
      <c r="CC239" s="88" t="e">
        <f ca="1">IF(BG239&lt;=Hypothèses!$V$7,Hypothèses!$X$7,IF(BG239&lt;=Hypothèses!$V$8,Hypothèses!$X$8,IF(BG239&lt;=Hypothèses!$V$9,Hypothèses!$X$9,IF(BG239&lt;=Hypothèses!$V$10,Hypothèses!$X$10,IF(BG239&lt;=Hypothèses!$V$11,Hypothèses!$X$11,IF(BG239&lt;=Hypothèses!$V$12,Hypothèses!$X$12,IF(BG239&lt;=Hypothèses!$V$13,Hypothèses!$X$13,IF(BG239&lt;=Hypothèses!$V$14,Hypothèses!$X$14,IF(BG239&lt;=Hypothèses!$V$15,Hypothèses!$X$15,IF(BG239&lt;=Hypothèses!$V$16,Hypothèses!$X$16,IF(BG239&lt;=Hypothèses!$U$17,Hypothèses!$W$17,IF(BG239&lt;=Hypothèses!$U$18,Hypothèses!$W$18,""))))))))))))</f>
        <v>#DIV/0!</v>
      </c>
      <c r="CD239" s="95" t="e">
        <f t="shared" ca="1" si="381"/>
        <v>#DIV/0!</v>
      </c>
      <c r="CE239" s="101">
        <f t="shared" si="426"/>
        <v>0</v>
      </c>
      <c r="CF239" s="91">
        <f t="shared" si="348"/>
        <v>0</v>
      </c>
      <c r="CG239" s="30" t="e">
        <f t="shared" si="406"/>
        <v>#N/A</v>
      </c>
      <c r="CH239" s="30" t="e">
        <f t="shared" si="407"/>
        <v>#N/A</v>
      </c>
      <c r="CI239" s="31" t="e">
        <f>IF(OR(Hypothèses!$B$4=17,Hypothèses!$B$4=18,Hypothèses!$B$4=19,Hypothèses!$B$4=20),
IF($D239="Pressio.",
IF(OR($E239=3,$E239=1,$E239=4),CH239,CG239),
IF($D239="Pénétro.",
IF(OR($E239=3,$E239=1,$E239=4),CH239,CG239))),IF($D239="Pressio.",
IF($E239=3,CH239,CG239),
IF($D239="Pénétro.",
IF($E239=4,CH239,CG239))))</f>
        <v>#N/A</v>
      </c>
      <c r="CJ239" s="31">
        <v>0</v>
      </c>
      <c r="CK239" s="102" t="e">
        <f>IF(NDC!$H$10="Oui",(VLOOKUP($B$3,'Coeff EC7'!$T$39:$X$59,2,0)*CI239+VLOOKUP($B$3,'Coeff EC7'!$T$65:$X$85,2,0)*Model0.1T!CJ239)/1.5,PI()*CG$12*$Q239*($B239-$B238)*0.15/10+CK238)</f>
        <v>#N/A</v>
      </c>
      <c r="CL239" s="102" t="e">
        <f>(VLOOKUP($B$3,'Coeff EC7'!$T$39:$X$59,3,0)*CI239+VLOOKUP($B$3,'Coeff EC7'!$T$65:$X$85,3,0)*Model0.1T!CJ239)/1.1</f>
        <v>#N/A</v>
      </c>
      <c r="CM239" s="102" t="e">
        <f t="shared" si="382"/>
        <v>#N/A</v>
      </c>
      <c r="CN239" s="102" t="e">
        <f t="shared" si="383"/>
        <v>#N/A</v>
      </c>
      <c r="CO239" s="414" t="e">
        <f>IF(AND(CK239&gt;NDC!$C$63,CL239&gt;NDC!$C$65,CM239&gt;NDC!$D$73,CN239&gt;NDC!$D$74,$B239&gt;NDC!$H$22-0.1+MIN(3*CO$12,1.5)),0,1)</f>
        <v>#N/A</v>
      </c>
      <c r="CP239" s="86" t="b">
        <f t="shared" si="349"/>
        <v>0</v>
      </c>
      <c r="CQ239" s="86">
        <f t="shared" si="350"/>
        <v>0.5</v>
      </c>
      <c r="CR239" s="86">
        <f t="shared" si="351"/>
        <v>0.5</v>
      </c>
      <c r="CS239" s="30" t="e">
        <f t="shared" ca="1" si="384"/>
        <v>#DIV/0!</v>
      </c>
      <c r="CT239" s="85" t="e">
        <f ca="1">IF(BZ239&lt;=Hypothèses!$V$7,Hypothèses!$W$7,IF(BZ239&lt;=Hypothèses!$V$8,Hypothèses!$W$8,IF(BZ239&lt;=Hypothèses!$V$9,Hypothèses!$W$9,IF(BZ239&lt;=Hypothèses!$V$10,Hypothèses!$W$10,IF(BZ239&lt;=Hypothèses!$V$11,Hypothèses!$W$11,IF(BZ239&lt;=Hypothèses!$V$12,Hypothèses!$W$12,IF(BZ239&lt;=Hypothèses!$V$13,Hypothèses!$W$13,IF(BZ239&lt;=Hypothèses!$V$14,Hypothèses!$W$14,IF(BZ239&lt;=Hypothèses!$V$15,Hypothèses!$W$15,IF(BZ239&lt;=Hypothèses!$V$16,Hypothèses!$W$16,IF(BZ239&lt;=Hypothèses!$V$17,Hypothèses!$W$17,IF(BZ239&lt;=Hypothèses!$V$18,Hypothèses!$W$18,""))))))))))))</f>
        <v>#DIV/0!</v>
      </c>
      <c r="CU239" s="87" t="e">
        <f t="shared" ca="1" si="420"/>
        <v>#DIV/0!</v>
      </c>
      <c r="CV239" s="88" t="e">
        <f ca="1">IF(BZ239&lt;=Hypothèses!$V$7,Hypothèses!$X$7,IF(BZ239&lt;=Hypothèses!$V$8,Hypothèses!$X$8,IF(BZ239&lt;=Hypothèses!$V$9,Hypothèses!$X$9,IF(BZ239&lt;=Hypothèses!$V$10,Hypothèses!$X$10,IF(BZ239&lt;=Hypothèses!$V$11,Hypothèses!$X$11,IF(BZ239&lt;=Hypothèses!$V$12,Hypothèses!$X$12,IF(BZ239&lt;=Hypothèses!$V$13,Hypothèses!$X$13,IF(BZ239&lt;=Hypothèses!$V$14,Hypothèses!$X$14,IF(BZ239&lt;=Hypothèses!$V$15,Hypothèses!$X$15,IF(BZ239&lt;=Hypothèses!$V$16,Hypothèses!$X$16,IF(BZ239&lt;=Hypothèses!$U$17,Hypothèses!$W$17,IF(BZ239&lt;=Hypothèses!$U$18,Hypothèses!$W$18,""))))))))))))</f>
        <v>#DIV/0!</v>
      </c>
      <c r="CW239" s="95" t="e">
        <f t="shared" ca="1" si="385"/>
        <v>#DIV/0!</v>
      </c>
      <c r="CX239" s="101">
        <f t="shared" si="427"/>
        <v>0</v>
      </c>
      <c r="CY239" s="91">
        <f t="shared" si="352"/>
        <v>0</v>
      </c>
      <c r="CZ239" s="30" t="e">
        <f t="shared" si="408"/>
        <v>#N/A</v>
      </c>
      <c r="DA239" s="30" t="e">
        <f t="shared" si="409"/>
        <v>#N/A</v>
      </c>
      <c r="DB239" s="31" t="e">
        <f>IF(OR(Hypothèses!$B$4=17,Hypothèses!$B$4=18,Hypothèses!$B$4=19,Hypothèses!$B$4=20),
IF($D239="Pressio.",
IF(OR($E239=3,$E239=1,$E239=4),DA239,CZ239),
IF($D239="Pénétro.",
IF(OR($E239=3,$E239=1,$E239=4),DA239,CZ239))),IF($D239="Pressio.",
IF($E239=3,DA239,CZ239),
IF($D239="Pénétro.",
IF($E239=4,DA239,CZ239))))</f>
        <v>#N/A</v>
      </c>
      <c r="DC239" s="31">
        <v>0</v>
      </c>
      <c r="DD239" s="102" t="e">
        <f>IF(NDC!$H$10="Oui",(VLOOKUP($B$3,'Coeff EC7'!$T$39:$X$59,2,0)*DB239+VLOOKUP($B$3,'Coeff EC7'!$T$65:$X$85,2,0)*Model0.1T!DC239)/1.5,PI()*CZ$12*$Q239*($B239-$B238)*0.15/10+DD238)</f>
        <v>#N/A</v>
      </c>
      <c r="DE239" s="102" t="e">
        <f>(VLOOKUP($B$3,'Coeff EC7'!$T$39:$X$59,3,0)*DB239+VLOOKUP($B$3,'Coeff EC7'!$T$65:$X$85,3,0)*Model0.1T!DC239)/1.1</f>
        <v>#N/A</v>
      </c>
      <c r="DF239" s="102" t="e">
        <f t="shared" si="386"/>
        <v>#N/A</v>
      </c>
      <c r="DG239" s="102" t="e">
        <f t="shared" si="387"/>
        <v>#N/A</v>
      </c>
      <c r="DH239" s="414" t="e">
        <f>IF(AND(DD239&gt;NDC!$C$63,DE239&gt;NDC!$C$65,DF239&gt;NDC!$D$73,DG239&gt;NDC!$D$74,$B239&gt;NDC!$H$22-0.1+MIN(3*DH$12,1.5)),0,1)</f>
        <v>#N/A</v>
      </c>
      <c r="DI239" s="86" t="b">
        <f t="shared" si="353"/>
        <v>0</v>
      </c>
      <c r="DJ239" s="86">
        <f t="shared" si="354"/>
        <v>0.5</v>
      </c>
      <c r="DK239" s="86">
        <f t="shared" si="355"/>
        <v>0.5</v>
      </c>
      <c r="DL239" s="30" t="e">
        <f t="shared" ca="1" si="388"/>
        <v>#DIV/0!</v>
      </c>
      <c r="DM239" s="85" t="e">
        <f ca="1">IF(CS239&lt;=Hypothèses!$V$7,Hypothèses!$W$7,IF(CS239&lt;=Hypothèses!$V$8,Hypothèses!$W$8,IF(CS239&lt;=Hypothèses!$V$9,Hypothèses!$W$9,IF(CS239&lt;=Hypothèses!$V$10,Hypothèses!$W$10,IF(CS239&lt;=Hypothèses!$V$11,Hypothèses!$W$11,IF(CS239&lt;=Hypothèses!$V$12,Hypothèses!$W$12,IF(CS239&lt;=Hypothèses!$V$13,Hypothèses!$W$13,IF(CS239&lt;=Hypothèses!$V$14,Hypothèses!$W$14,IF(CS239&lt;=Hypothèses!$V$15,Hypothèses!$W$15,IF(CS239&lt;=Hypothèses!$V$16,Hypothèses!$W$16,IF(CS239&lt;=Hypothèses!$V$17,Hypothèses!$W$17,IF(CS239&lt;=Hypothèses!$V$18,Hypothèses!$W$18,""))))))))))))</f>
        <v>#DIV/0!</v>
      </c>
      <c r="DN239" s="87" t="e">
        <f t="shared" ca="1" si="421"/>
        <v>#DIV/0!</v>
      </c>
      <c r="DO239" s="88" t="e">
        <f ca="1">IF(CS239&lt;=Hypothèses!$V$7,Hypothèses!$X$7,IF(CS239&lt;=Hypothèses!$V$8,Hypothèses!$X$8,IF(CS239&lt;=Hypothèses!$V$9,Hypothèses!$X$9,IF(CS239&lt;=Hypothèses!$V$10,Hypothèses!$X$10,IF(CS239&lt;=Hypothèses!$V$11,Hypothèses!$X$11,IF(CS239&lt;=Hypothèses!$V$12,Hypothèses!$X$12,IF(CS239&lt;=Hypothèses!$V$13,Hypothèses!$X$13,IF(CS239&lt;=Hypothèses!$V$14,Hypothèses!$X$14,IF(CS239&lt;=Hypothèses!$V$15,Hypothèses!$X$15,IF(CS239&lt;=Hypothèses!$V$16,Hypothèses!$X$16,IF(CS239&lt;=Hypothèses!$U$17,Hypothèses!$W$17,IF(CS239&lt;=Hypothèses!$U$18,Hypothèses!$W$18,""))))))))))))</f>
        <v>#DIV/0!</v>
      </c>
      <c r="DP239" s="95" t="e">
        <f t="shared" ca="1" si="389"/>
        <v>#DIV/0!</v>
      </c>
      <c r="DQ239" s="101">
        <f t="shared" si="428"/>
        <v>0</v>
      </c>
      <c r="DR239" s="91">
        <f t="shared" si="356"/>
        <v>0</v>
      </c>
      <c r="DS239" s="30" t="e">
        <f t="shared" si="410"/>
        <v>#N/A</v>
      </c>
      <c r="DT239" s="30" t="e">
        <f t="shared" si="411"/>
        <v>#N/A</v>
      </c>
      <c r="DU239" s="31" t="e">
        <f>IF(OR(Hypothèses!$B$4=17,Hypothèses!$B$4=18,Hypothèses!$B$4=19,Hypothèses!$B$4=20),
IF($D239="Pressio.",
IF(OR($E239=3,$E239=1,$E239=4),DT239,DS239),
IF($D239="Pénétro.",
IF(OR($E239=3,$E239=1,$E239=4),DT239,DS239))),IF($D239="Pressio.",
IF($E239=3,DT239,DS239),
IF($D239="Pénétro.",
IF($E239=4,DT239,DS239))))</f>
        <v>#N/A</v>
      </c>
      <c r="DV239" s="31">
        <v>0</v>
      </c>
      <c r="DW239" s="102" t="e">
        <f>IF(NDC!$H$10="Oui",(VLOOKUP($B$3,'Coeff EC7'!$T$39:$X$59,2,0)*DU239+VLOOKUP($B$3,'Coeff EC7'!$T$65:$X$85,2,0)*Model0.1T!DV239)/1.5,PI()*DS$12*$Q239*($B239-$B238)*0.15/10+DW238)</f>
        <v>#N/A</v>
      </c>
      <c r="DX239" s="102" t="e">
        <f>(VLOOKUP($B$3,'Coeff EC7'!$T$39:$X$59,3,0)*DU239+VLOOKUP($B$3,'Coeff EC7'!$T$65:$X$85,3,0)*Model0.1T!DV239)/1.1</f>
        <v>#N/A</v>
      </c>
      <c r="DY239" s="102" t="e">
        <f t="shared" si="390"/>
        <v>#N/A</v>
      </c>
      <c r="DZ239" s="102" t="e">
        <f t="shared" si="391"/>
        <v>#N/A</v>
      </c>
      <c r="EA239" s="414" t="e">
        <f>IF(AND(DW239&gt;NDC!$C$63,DX239&gt;NDC!$C$65,DY239&gt;NDC!$D$73,DZ239&gt;NDC!$D$74,$B239&gt;NDC!$H$22-0.1+MIN(3*EA$12,1.5)),0,1)</f>
        <v>#N/A</v>
      </c>
      <c r="EB239" s="86" t="b">
        <f t="shared" si="357"/>
        <v>0</v>
      </c>
      <c r="EC239" s="418">
        <f t="shared" si="358"/>
        <v>0.51</v>
      </c>
      <c r="ED239" s="86">
        <f t="shared" si="359"/>
        <v>0.51</v>
      </c>
      <c r="EE239" s="30" t="e">
        <f t="shared" ca="1" si="392"/>
        <v>#DIV/0!</v>
      </c>
      <c r="EF239" s="85" t="e">
        <f ca="1">IF(DL239&lt;=Hypothèses!$V$7,Hypothèses!$W$7,IF(DL239&lt;=Hypothèses!$V$8,Hypothèses!$W$8,IF(DL239&lt;=Hypothèses!$V$9,Hypothèses!$W$9,IF(DL239&lt;=Hypothèses!$V$10,Hypothèses!$W$10,IF(DL239&lt;=Hypothèses!$V$11,Hypothèses!$W$11,IF(DL239&lt;=Hypothèses!$V$12,Hypothèses!$W$12,IF(DL239&lt;=Hypothèses!$V$13,Hypothèses!$W$13,IF(DL239&lt;=Hypothèses!$V$14,Hypothèses!$W$14,IF(DL239&lt;=Hypothèses!$V$15,Hypothèses!$W$15,IF(DL239&lt;=Hypothèses!$V$16,Hypothèses!$W$16,IF(DL239&lt;=Hypothèses!$V$17,Hypothèses!$W$17,IF(DL239&lt;=Hypothèses!$V$18,Hypothèses!$W$18,""))))))))))))</f>
        <v>#DIV/0!</v>
      </c>
      <c r="EG239" s="87" t="e">
        <f t="shared" ca="1" si="422"/>
        <v>#DIV/0!</v>
      </c>
      <c r="EH239" s="88" t="e">
        <f ca="1">IF(DL239&lt;=Hypothèses!$V$7,Hypothèses!$X$7,IF(DL239&lt;=Hypothèses!$V$8,Hypothèses!$X$8,IF(DL239&lt;=Hypothèses!$V$9,Hypothèses!$X$9,IF(DL239&lt;=Hypothèses!$V$10,Hypothèses!$X$10,IF(DL239&lt;=Hypothèses!$V$11,Hypothèses!$X$11,IF(DL239&lt;=Hypothèses!$V$12,Hypothèses!$X$12,IF(DL239&lt;=Hypothèses!$V$13,Hypothèses!$X$13,IF(DL239&lt;=Hypothèses!$V$14,Hypothèses!$X$14,IF(DL239&lt;=Hypothèses!$V$15,Hypothèses!$X$15,IF(DL239&lt;=Hypothèses!$V$16,Hypothèses!$X$16,IF(DL239&lt;=Hypothèses!$U$17,Hypothèses!$W$17,IF(DL239&lt;=Hypothèses!$U$18,Hypothèses!$W$18,""))))))))))))</f>
        <v>#DIV/0!</v>
      </c>
      <c r="EI239" s="95" t="e">
        <f t="shared" ca="1" si="393"/>
        <v>#DIV/0!</v>
      </c>
      <c r="EJ239" s="101">
        <f t="shared" si="429"/>
        <v>0</v>
      </c>
      <c r="EK239" s="91">
        <f t="shared" si="360"/>
        <v>0</v>
      </c>
      <c r="EL239" s="30" t="e">
        <f t="shared" si="412"/>
        <v>#N/A</v>
      </c>
      <c r="EM239" s="30" t="e">
        <f t="shared" si="413"/>
        <v>#N/A</v>
      </c>
      <c r="EN239" s="31" t="e">
        <f>IF(OR(Hypothèses!$B$4=17,Hypothèses!$B$4=18,Hypothèses!$B$4=19,Hypothèses!$B$4=20),
IF($D239="Pressio.",
IF(OR($E239=3,$E239=1,$E239=4),EM239,EL239),
IF($D239="Pénétro.",
IF(OR($E239=3,$E239=1,$E239=4),EM239,EL239))),IF($D239="Pressio.",
IF($E239=3,EM239,EL239),
IF($D239="Pénétro.",
IF($E239=4,EM239,EL239))))</f>
        <v>#N/A</v>
      </c>
      <c r="EO239" s="31">
        <v>0</v>
      </c>
      <c r="EP239" s="102" t="e">
        <f>IF(NDC!$H$10="Oui",(VLOOKUP($B$3,'Coeff EC7'!$T$39:$X$59,2,0)*EN239+VLOOKUP($B$3,'Coeff EC7'!$T$65:$X$85,2,0)*Model0.1T!EO239)/1.5,PI()*EL$12*$Q239*($B239-$B238)*0.15/10+EP238)</f>
        <v>#N/A</v>
      </c>
      <c r="EQ239" s="102" t="e">
        <f>(VLOOKUP($B$3,'Coeff EC7'!$T$39:$X$59,3,0)*EN239+VLOOKUP($B$3,'Coeff EC7'!$T$65:$X$85,3,0)*Model0.1T!EO239)/1.1</f>
        <v>#N/A</v>
      </c>
      <c r="ER239" s="102" t="e">
        <f t="shared" si="394"/>
        <v>#N/A</v>
      </c>
      <c r="ES239" s="102" t="e">
        <f t="shared" si="395"/>
        <v>#N/A</v>
      </c>
      <c r="ET239" s="414" t="e">
        <f>IF(AND(EP239&gt;NDC!$C$63,EQ239&gt;NDC!$C$65,ER239&gt;NDC!$D$73,ES239&gt;NDC!$D$74,$B239&gt;NDC!$H$22-0.1+MIN(3*ET$12,1.5)),0,1)</f>
        <v>#N/A</v>
      </c>
      <c r="EU239" s="86" t="b">
        <f t="shared" si="361"/>
        <v>0</v>
      </c>
      <c r="EV239" s="86">
        <f t="shared" si="362"/>
        <v>0.61</v>
      </c>
      <c r="EW239" s="86">
        <f t="shared" si="363"/>
        <v>0.61</v>
      </c>
      <c r="EX239" s="30" t="e">
        <f t="shared" ca="1" si="396"/>
        <v>#DIV/0!</v>
      </c>
      <c r="EY239" s="85" t="e">
        <f ca="1">IF(EE239&lt;=Hypothèses!$V$7,Hypothèses!$W$7,IF(EE239&lt;=Hypothèses!$V$8,Hypothèses!$W$8,IF(EE239&lt;=Hypothèses!$V$9,Hypothèses!$W$9,IF(EE239&lt;=Hypothèses!$V$10,Hypothèses!$W$10,IF(EE239&lt;=Hypothèses!$V$11,Hypothèses!$W$11,IF(EE239&lt;=Hypothèses!$V$12,Hypothèses!$W$12,IF(EE239&lt;=Hypothèses!$V$13,Hypothèses!$W$13,IF(EE239&lt;=Hypothèses!$V$14,Hypothèses!$W$14,IF(EE239&lt;=Hypothèses!$V$15,Hypothèses!$W$15,IF(EE239&lt;=Hypothèses!$V$16,Hypothèses!$W$16,IF(EE239&lt;=Hypothèses!$V$17,Hypothèses!$W$17,IF(EE239&lt;=Hypothèses!$V$18,Hypothèses!$W$18,""))))))))))))</f>
        <v>#DIV/0!</v>
      </c>
      <c r="EZ239" s="87" t="e">
        <f t="shared" ca="1" si="423"/>
        <v>#DIV/0!</v>
      </c>
      <c r="FA239" s="88" t="e">
        <f ca="1">IF(EE239&lt;=Hypothèses!$V$7,Hypothèses!$X$7,IF(EE239&lt;=Hypothèses!$V$8,Hypothèses!$X$8,IF(EE239&lt;=Hypothèses!$V$9,Hypothèses!$X$9,IF(EE239&lt;=Hypothèses!$V$10,Hypothèses!$X$10,IF(EE239&lt;=Hypothèses!$V$11,Hypothèses!$X$11,IF(EE239&lt;=Hypothèses!$V$12,Hypothèses!$X$12,IF(EE239&lt;=Hypothèses!$V$13,Hypothèses!$X$13,IF(EE239&lt;=Hypothèses!$V$14,Hypothèses!$X$14,IF(EE239&lt;=Hypothèses!$V$15,Hypothèses!$X$15,IF(EE239&lt;=Hypothèses!$V$16,Hypothèses!$X$16,IF(EE239&lt;=Hypothèses!$U$17,Hypothèses!$W$17,IF(EE239&lt;=Hypothèses!$U$18,Hypothèses!$W$18,""))))))))))))</f>
        <v>#DIV/0!</v>
      </c>
      <c r="FB239" s="95" t="e">
        <f t="shared" ca="1" si="397"/>
        <v>#DIV/0!</v>
      </c>
      <c r="FC239" s="101">
        <f t="shared" si="430"/>
        <v>0</v>
      </c>
      <c r="FD239" s="91">
        <f t="shared" si="364"/>
        <v>0</v>
      </c>
      <c r="FE239" s="30" t="e">
        <f t="shared" si="414"/>
        <v>#N/A</v>
      </c>
      <c r="FF239" s="30" t="e">
        <f t="shared" si="415"/>
        <v>#N/A</v>
      </c>
      <c r="FG239" s="31" t="e">
        <f>IF(OR(Hypothèses!$B$4=17,Hypothèses!$B$4=18,Hypothèses!$B$4=19,Hypothèses!$B$4=20),
IF($D239="Pressio.",
IF(OR($E239=3,$E239=1,$E239=4),FF239,FE239),
IF($D239="Pénétro.",
IF(OR($E239=3,$E239=1,$E239=4),FF239,FE239))),IF($D239="Pressio.",
IF($E239=3,FF239,FE239),
IF($D239="Pénétro.",
IF($E239=4,FF239,FE239))))</f>
        <v>#N/A</v>
      </c>
      <c r="FH239" s="31">
        <v>0</v>
      </c>
      <c r="FI239" s="102" t="e">
        <f>IF(NDC!$H$10="Oui",(VLOOKUP($B$3,'Coeff EC7'!$T$39:$X$59,2,0)*FG239+VLOOKUP($B$3,'Coeff EC7'!$T$65:$X$85,2,0)*Model0.1T!FH239)/1.5,PI()*FE$12*$Q239*($B239-$B238)*0.15/10+FI238)</f>
        <v>#N/A</v>
      </c>
      <c r="FJ239" s="102" t="e">
        <f>(VLOOKUP($B$3,'Coeff EC7'!$T$39:$X$59,3,0)*FG239+VLOOKUP($B$3,'Coeff EC7'!$T$65:$X$85,3,0)*Model0.1T!FH239)/1.1</f>
        <v>#N/A</v>
      </c>
      <c r="FK239" s="102" t="e">
        <f t="shared" si="398"/>
        <v>#N/A</v>
      </c>
      <c r="FL239" s="102" t="e">
        <f t="shared" si="399"/>
        <v>#N/A</v>
      </c>
      <c r="FM239" s="414" t="e">
        <f>IF(AND(FI239&gt;NDC!$C$63,FJ239&gt;NDC!$C$65,FK239&gt;NDC!$D$73,FL239&gt;NDC!$D$74,$B239&gt;NDC!$H$22-0.1+MIN(3*FM$12,1.5)),0,1)</f>
        <v>#N/A</v>
      </c>
    </row>
    <row r="240" spans="1:169">
      <c r="A240" s="96">
        <f t="shared" si="365"/>
        <v>77.30000000000129</v>
      </c>
      <c r="B240" s="97">
        <v>22.7</v>
      </c>
      <c r="C240" s="81">
        <f>IF(B240&lt;=Hypothèses!$C$7,Hypothèses!$A$7,IF(B240&lt;=Hypothèses!$C$8,Hypothèses!$A$8,IF(B240&lt;=Hypothèses!$C$9,Hypothèses!$A$9,IF(B240&lt;=Hypothèses!$C$10,Hypothèses!$A$10,IF(B240&lt;=Hypothèses!$C$11,Hypothèses!$A$11,IF(B240&lt;=Hypothèses!$C$12,Hypothèses!$A$12,IF(B240&lt;=Hypothèses!$C$13,Hypothèses!$A$13,IF(B240&lt;=Hypothèses!$C$14,Hypothèses!$A$14,IF(B240&lt;=Hypothèses!$C$15,Hypothèses!$A$15,IF(B240&lt;=Hypothèses!$C$16,Hypothèses!$A$16,IF(B240&lt;=Hypothèses!$C$17,Hypothèses!$A$17,IF(B240&lt;=Hypothèses!$C$18,Hypothèses!$A$18,C239))))))))))))</f>
        <v>11</v>
      </c>
      <c r="D240" s="82" t="str">
        <f>IF(B240&lt;=Hypothèses!$C$7,Hypothèses!$R$7,IF(B240&lt;=Hypothèses!$C$8,Hypothèses!$R$8,IF(B240&lt;=Hypothèses!$C$9,Hypothèses!$R$9,IF(B240&lt;=Hypothèses!$C$10,Hypothèses!$R$10,IF(B240&lt;=Hypothèses!$C$11,Hypothèses!$R$11,IF(B240&lt;=Hypothèses!$C$12,Hypothèses!$R$12,IF(B240&lt;=Hypothèses!$C$13,Hypothèses!$R$13,IF(B240&lt;=Hypothèses!$C$14,Hypothèses!$R$14,IF(B240&lt;=Hypothèses!$C$15,Hypothèses!$R$15,IF(B240&lt;=Hypothèses!$C$16,Hypothèses!$R$16,IF(B240&lt;=Hypothèses!$C$17,Hypothèses!$R$17,IF(B240&lt;=Hypothèses!$C$18,Hypothèses!$R$18,D239))))))))))))</f>
        <v>Pressio.</v>
      </c>
      <c r="E240" s="82" t="e">
        <f>IF(B240&lt;=Hypothèses!$C$7,Hypothèses!$G$7,IF(B240&lt;=Hypothèses!$C$8,Hypothèses!$G$8,IF(B240&lt;=Hypothèses!$C$9,Hypothèses!$G$9,IF(B240&lt;=Hypothèses!$C$10,Hypothèses!$G$10,IF(B240&lt;=Hypothèses!$C$11,Hypothèses!$G$11,IF(B240&lt;=Hypothèses!$C$12,Hypothèses!$G$12,IF(B240&lt;=Hypothèses!$C$13,Hypothèses!$G$13,IF(B240&lt;=Hypothèses!$C$14,Hypothèses!$G$14,IF(B240&lt;=Hypothèses!$C$15,Hypothèses!$G$15,IF(B240&lt;=Hypothèses!$C$16,Hypothèses!$G$16,IF(B240&lt;=Hypothèses!$C$17,Hypothèses!$G$17,IF(B240&lt;=Hypothèses!$C$18,Hypothèses!$G$18,E239))))))))))))</f>
        <v>#N/A</v>
      </c>
      <c r="F240" s="82" t="str">
        <f>IF(B240&lt;=Hypothèses!$C$7,Hypothèses!$F$7,IF(B240&lt;=Hypothèses!$C$8,Hypothèses!$F$8,IF(B240&lt;=Hypothèses!$C$9,Hypothèses!$F$9,IF(B240&lt;=Hypothèses!$C$10,Hypothèses!$F$10,IF(B240&lt;=Hypothèses!$C$11,Hypothèses!$F$11,IF(B240&lt;=Hypothèses!$C$12,Hypothèses!$F$12,IF(B240&lt;=Hypothèses!$C$13,Hypothèses!$F$13,IF(B240&lt;=Hypothèses!$C$14,Hypothèses!$F$14,IF(B240&lt;=Hypothèses!$C$15,Hypothèses!$F$15,IF(B240&lt;=Hypothèses!$C$16,Hypothèses!$F$16,IF(B240&lt;=Hypothèses!$C$17,Hypothèses!$F$17,IF(B240&lt;=Hypothèses!$C$18,Hypothèses!$F$18,F239))))))))))))</f>
        <v/>
      </c>
      <c r="G240" s="91">
        <f t="array" ref="G240">INDEX('Coeff EC7'!$U$7:$X$27,
MATCH(Model0.1T!$B$3,'Coeff EC7'!$T$7:$T$27,0),
MATCH(Model0.1T!$D240&amp;Model0.1T!$B$4,
'Coeff EC7'!$U$6:$X$6&amp;
'Coeff EC7'!$U$5:$X$5,0))</f>
        <v>1.4</v>
      </c>
      <c r="H240" s="91">
        <f t="array" ref="H240">INDEX('Coeff EC7'!$Y$7:$AB$27,
MATCH(Model0.1T!$B$3,'Coeff EC7'!$T$7:$T$27,0),
MATCH(Model0.1T!$D240&amp;Model0.1T!$B$4,
'Coeff EC7'!$Y$6:$AB$6&amp;
'Coeff EC7'!$Y$5:$AB$5,0))</f>
        <v>1.7</v>
      </c>
      <c r="I240" s="83">
        <v>0</v>
      </c>
      <c r="J240" s="91" t="e">
        <f t="array" ref="J240">INDEX('Coeff EC7'!$D$33:$Q$33,1,MATCH(D240&amp;E240,'Coeff EC7'!$D$31:$Q$31&amp;'Coeff EC7'!$D$32:$Q$32,0))</f>
        <v>#N/A</v>
      </c>
      <c r="K240" s="91" t="e">
        <f t="array" ref="K240">INDEX('Coeff EC7'!$D$34:$Q$34,1,MATCH(D240&amp;E240,'Coeff EC7'!$D$31:$Q$31&amp;'Coeff EC7'!$D$32:$Q$32,0))</f>
        <v>#N/A</v>
      </c>
      <c r="L240" s="91" t="e">
        <f t="array" ref="L240">INDEX('Coeff EC7'!$D$35:$Q$35,1,MATCH(D240&amp;E240,'Coeff EC7'!$D$31:$Q$31&amp;'Coeff EC7'!$D$32:$Q$32,0))</f>
        <v>#N/A</v>
      </c>
      <c r="M240" s="98" t="e">
        <f t="shared" si="331"/>
        <v>#N/A</v>
      </c>
      <c r="N240" s="99" t="e">
        <f t="array" ref="N240">INDEX('Coeff EC7'!$D$7:$Q$27,MATCH($B$3,'Coeff EC7'!$C$7:$C$27,0),MATCH(D240&amp;E240,'Coeff EC7'!$D$5:$Q$5&amp;'Coeff EC7'!$D$6:$Q$6,0))</f>
        <v>#N/A</v>
      </c>
      <c r="O240" s="99" t="e">
        <f t="array" ref="O240">INDEX('Coeff EC7'!$D$41:$Q$61,MATCH($B$3,'Coeff EC7'!$C$41:$C$61,0),MATCH(D240&amp;E240,'Coeff EC7'!$D$39:$Q$39&amp;'Coeff EC7'!$D$40:$Q$40,0))</f>
        <v>#N/A</v>
      </c>
      <c r="P240" s="30" t="e">
        <f t="shared" si="366"/>
        <v>#N/A</v>
      </c>
      <c r="Q240" s="100" t="e">
        <f t="shared" si="333"/>
        <v>#N/A</v>
      </c>
      <c r="R240" s="86" t="b">
        <f t="shared" si="334"/>
        <v>0</v>
      </c>
      <c r="S240" s="86">
        <f t="shared" si="332"/>
        <v>0.5</v>
      </c>
      <c r="T240" s="86">
        <f t="shared" si="335"/>
        <v>0.5</v>
      </c>
      <c r="U240" s="30" t="e">
        <f t="shared" ca="1" si="367"/>
        <v>#DIV/0!</v>
      </c>
      <c r="V240" s="85" t="str">
        <f>IF(B240&lt;=Hypothèses!$V$7,Hypothèses!$W$7,IF(B240&lt;=Hypothèses!$V$8,Hypothèses!$W$8,IF(B240&lt;=Hypothèses!$V$9,Hypothèses!$W$9,IF(B240&lt;=Hypothèses!$V$10,Hypothèses!$W$10,IF(B240&lt;=Hypothèses!$V$11,Hypothèses!$W$11,IF(B240&lt;=Hypothèses!$V$12,Hypothèses!$W$12,IF(B240&lt;=Hypothèses!$V$13,Hypothèses!$W$13,IF(B240&lt;=Hypothèses!$V$14,Hypothèses!$W$14,IF(B240&lt;=Hypothèses!$V$15,Hypothèses!$W$15,IF(B240&lt;=Hypothèses!$V$16,Hypothèses!$W$16,IF(B240&lt;=Hypothèses!$V$17,Hypothèses!$W$17,IF(B240&lt;=Hypothèses!$V$18,Hypothèses!$W$18,""))))))))))))</f>
        <v/>
      </c>
      <c r="W240" s="87" t="e">
        <f t="shared" ca="1" si="416"/>
        <v>#DIV/0!</v>
      </c>
      <c r="X240" s="88" t="str">
        <f>IF(B240&lt;=Hypothèses!$V$7,Hypothèses!$X$7,IF(B240&lt;=Hypothèses!$V$8,Hypothèses!$X$8,IF(B240&lt;=Hypothèses!$V$9,Hypothèses!$X$9,IF(B240&lt;=Hypothèses!$V$10,Hypothèses!$X$10,IF(B240&lt;=Hypothèses!$V$11,Hypothèses!$X$11,IF(B240&lt;=Hypothèses!$V$12,Hypothèses!$X$12,IF(B240&lt;=Hypothèses!$V$13,Hypothèses!$X$13,IF(B240&lt;=Hypothèses!$V$14,Hypothèses!$X$14,IF(B240&lt;=Hypothèses!$V$15,Hypothèses!$X$15,IF(B240&lt;=Hypothèses!$V$16,Hypothèses!$X$16,IF(B240&lt;=Hypothèses!$U$17,Hypothèses!$W$17,IF(B240&lt;=Hypothèses!$U$18,Hypothèses!$W$18,""))))))))))))</f>
        <v/>
      </c>
      <c r="Y240" s="95" t="e">
        <f t="shared" ca="1" si="336"/>
        <v>#DIV/0!</v>
      </c>
      <c r="Z240" s="101">
        <f t="shared" si="337"/>
        <v>0</v>
      </c>
      <c r="AA240" s="91">
        <f t="shared" si="338"/>
        <v>0</v>
      </c>
      <c r="AB240" s="30" t="e">
        <f t="shared" si="400"/>
        <v>#N/A</v>
      </c>
      <c r="AC240" s="30" t="e">
        <f t="shared" si="401"/>
        <v>#N/A</v>
      </c>
      <c r="AD240" s="31" t="e">
        <f>IF(OR(Hypothèses!$B$4=17,Hypothèses!$B$4=18,Hypothèses!$B$4=19,Hypothèses!$B$4=20),
IF($D240="Pressio.",
IF(OR($E240=3,$E240=1,$E240=4),AC240,AB240),
IF($D240="Pénétro.",
IF(OR($E240=3,$E240=1,$E240=4),AC240,AB240))),IF($D240="Pressio.",
IF($E240=3,AC240,AB240),
IF($D240="Pénétro.",
IF($E240=4,AC240,AB240))))</f>
        <v>#N/A</v>
      </c>
      <c r="AE240" s="31">
        <v>0</v>
      </c>
      <c r="AF240" s="102" t="e">
        <f>IF(NDC!$H$10="Oui",(VLOOKUP($B$3,'Coeff EC7'!$T$39:$X$59,2,0)*AD240+VLOOKUP($B$3,'Coeff EC7'!$T$65:$X$85,2,0)*Model0.1T!AE240)/1.5,PI()*AB$12*$Q240*($B240-$B239)*0.15/10+AF239)</f>
        <v>#N/A</v>
      </c>
      <c r="AG240" s="102" t="e">
        <f>(VLOOKUP($B$3,'Coeff EC7'!$T$39:$X$59,3,0)*AD240+VLOOKUP($B$3,'Coeff EC7'!$T$65:$X$85,3,0)*Model0.1T!AE240)/1.1</f>
        <v>#N/A</v>
      </c>
      <c r="AH240" s="102" t="e">
        <f t="shared" si="368"/>
        <v>#N/A</v>
      </c>
      <c r="AI240" s="102" t="e">
        <f t="shared" si="369"/>
        <v>#N/A</v>
      </c>
      <c r="AJ240" s="414" t="e">
        <f>IF(AND(AF240&gt;NDC!$C$63,AG240&gt;NDC!$C$65,AH240&gt;NDC!$D$73,AI240&gt;NDC!$D$74,$B240&gt;NDC!$H$22-0.1+MIN(3*$AJ$12,1.5)),0,1)</f>
        <v>#N/A</v>
      </c>
      <c r="AK240" s="86" t="b">
        <f t="shared" si="339"/>
        <v>0</v>
      </c>
      <c r="AL240" s="86">
        <f t="shared" si="370"/>
        <v>0.5</v>
      </c>
      <c r="AM240" s="86">
        <f t="shared" si="340"/>
        <v>0.5</v>
      </c>
      <c r="AN240" s="30" t="e">
        <f t="shared" ca="1" si="371"/>
        <v>#DIV/0!</v>
      </c>
      <c r="AO240" s="85" t="e">
        <f ca="1">IF(U240&lt;=Hypothèses!$V$7,Hypothèses!$W$7,IF(U240&lt;=Hypothèses!$V$8,Hypothèses!$W$8,IF(U240&lt;=Hypothèses!$V$9,Hypothèses!$W$9,IF(U240&lt;=Hypothèses!$V$10,Hypothèses!$W$10,IF(U240&lt;=Hypothèses!$V$11,Hypothèses!$W$11,IF(U240&lt;=Hypothèses!$V$12,Hypothèses!$W$12,IF(U240&lt;=Hypothèses!$V$13,Hypothèses!$W$13,IF(U240&lt;=Hypothèses!$V$14,Hypothèses!$W$14,IF(U240&lt;=Hypothèses!$V$15,Hypothèses!$W$15,IF(U240&lt;=Hypothèses!$V$16,Hypothèses!$W$16,IF(U240&lt;=Hypothèses!$V$17,Hypothèses!$W$17,IF(U240&lt;=Hypothèses!$V$18,Hypothèses!$W$18,""))))))))))))</f>
        <v>#DIV/0!</v>
      </c>
      <c r="AP240" s="87" t="e">
        <f t="shared" ca="1" si="417"/>
        <v>#DIV/0!</v>
      </c>
      <c r="AQ240" s="88" t="e">
        <f ca="1">IF(U240&lt;=Hypothèses!$V$7,Hypothèses!$X$7,IF(U240&lt;=Hypothèses!$V$8,Hypothèses!$X$8,IF(U240&lt;=Hypothèses!$V$9,Hypothèses!$X$9,IF(U240&lt;=Hypothèses!$V$10,Hypothèses!$X$10,IF(U240&lt;=Hypothèses!$V$11,Hypothèses!$X$11,IF(U240&lt;=Hypothèses!$V$12,Hypothèses!$X$12,IF(U240&lt;=Hypothèses!$V$13,Hypothèses!$X$13,IF(U240&lt;=Hypothèses!$V$14,Hypothèses!$X$14,IF(U240&lt;=Hypothèses!$V$15,Hypothèses!$X$15,IF(U240&lt;=Hypothèses!$V$16,Hypothèses!$X$16,IF(U240&lt;=Hypothèses!$U$17,Hypothèses!$W$17,IF(U240&lt;=Hypothèses!$U$18,Hypothèses!$W$18,""))))))))))))</f>
        <v>#DIV/0!</v>
      </c>
      <c r="AR240" s="95" t="e">
        <f t="shared" ca="1" si="372"/>
        <v>#DIV/0!</v>
      </c>
      <c r="AS240" s="101">
        <f t="shared" si="424"/>
        <v>0</v>
      </c>
      <c r="AT240" s="91">
        <f t="shared" si="341"/>
        <v>0</v>
      </c>
      <c r="AU240" s="30" t="e">
        <f t="shared" si="402"/>
        <v>#N/A</v>
      </c>
      <c r="AV240" s="30" t="e">
        <f t="shared" si="403"/>
        <v>#N/A</v>
      </c>
      <c r="AW240" s="31" t="e">
        <f>IF(OR(Hypothèses!$B$4=17,Hypothèses!$B$4=18,Hypothèses!$B$4=19,Hypothèses!$B$4=20),
IF($D240="Pressio.",
IF(OR($E240=3,$E240=1,$E240=4),AV240,AU240),
IF($D240="Pénétro.",
IF(OR($E240=3,$E240=1,$E240=4),AV240,AU240))),IF($D240="Pressio.",
IF($E240=3,AV240,AU240),
IF($D240="Pénétro.",
IF($E240=4,AV240,AU240))))</f>
        <v>#N/A</v>
      </c>
      <c r="AX240" s="31">
        <v>0</v>
      </c>
      <c r="AY240" s="102" t="e">
        <f>IF(NDC!$H$10="Oui",(VLOOKUP($B$3,'Coeff EC7'!$T$39:$X$59,2,0)*AW240+VLOOKUP($B$3,'Coeff EC7'!$T$65:$X$85,2,0)*Model0.1T!AX240)/1.5,PI()*AU$12*$Q240*($B240-$B239)*0.15/10+AY239)</f>
        <v>#N/A</v>
      </c>
      <c r="AZ240" s="102" t="e">
        <f>(VLOOKUP($B$3,'Coeff EC7'!$T$39:$X$59,3,0)*AW240+VLOOKUP($B$3,'Coeff EC7'!$T$65:$X$85,3,0)*Model0.1T!AX240)/1.1</f>
        <v>#N/A</v>
      </c>
      <c r="BA240" s="102" t="e">
        <f t="shared" si="373"/>
        <v>#N/A</v>
      </c>
      <c r="BB240" s="102" t="e">
        <f t="shared" si="374"/>
        <v>#N/A</v>
      </c>
      <c r="BC240" s="414" t="e">
        <f>IF(AND(AY240&gt;NDC!$C$63,AZ240&gt;NDC!$C$65,BA240&gt;NDC!$D$73,BB240&gt;NDC!$D$74,$B240&gt;NDC!$H$22-0.1+MIN(3*BC$12,1.5)),0,1)</f>
        <v>#N/A</v>
      </c>
      <c r="BD240" s="86" t="b">
        <f t="shared" si="342"/>
        <v>0</v>
      </c>
      <c r="BE240" s="86">
        <f t="shared" si="375"/>
        <v>0.5</v>
      </c>
      <c r="BF240" s="86">
        <f t="shared" si="343"/>
        <v>0.5</v>
      </c>
      <c r="BG240" s="30" t="e">
        <f t="shared" ca="1" si="376"/>
        <v>#DIV/0!</v>
      </c>
      <c r="BH240" s="85" t="e">
        <f ca="1">IF(AN240&lt;=Hypothèses!$V$7,Hypothèses!$W$7,IF(AN240&lt;=Hypothèses!$V$8,Hypothèses!$W$8,IF(AN240&lt;=Hypothèses!$V$9,Hypothèses!$W$9,IF(AN240&lt;=Hypothèses!$V$10,Hypothèses!$W$10,IF(AN240&lt;=Hypothèses!$V$11,Hypothèses!$W$11,IF(AN240&lt;=Hypothèses!$V$12,Hypothèses!$W$12,IF(AN240&lt;=Hypothèses!$V$13,Hypothèses!$W$13,IF(AN240&lt;=Hypothèses!$V$14,Hypothèses!$W$14,IF(AN240&lt;=Hypothèses!$V$15,Hypothèses!$W$15,IF(AN240&lt;=Hypothèses!$V$16,Hypothèses!$W$16,IF(AN240&lt;=Hypothèses!$V$17,Hypothèses!$W$17,IF(AN240&lt;=Hypothèses!$V$18,Hypothèses!$W$18,""))))))))))))</f>
        <v>#DIV/0!</v>
      </c>
      <c r="BI240" s="87" t="e">
        <f t="shared" ca="1" si="418"/>
        <v>#DIV/0!</v>
      </c>
      <c r="BJ240" s="88" t="e">
        <f ca="1">IF(AN240&lt;=Hypothèses!$V$7,Hypothèses!$X$7,IF(AN240&lt;=Hypothèses!$V$8,Hypothèses!$X$8,IF(AN240&lt;=Hypothèses!$V$9,Hypothèses!$X$9,IF(AN240&lt;=Hypothèses!$V$10,Hypothèses!$X$10,IF(AN240&lt;=Hypothèses!$V$11,Hypothèses!$X$11,IF(AN240&lt;=Hypothèses!$V$12,Hypothèses!$X$12,IF(AN240&lt;=Hypothèses!$V$13,Hypothèses!$X$13,IF(AN240&lt;=Hypothèses!$V$14,Hypothèses!$X$14,IF(AN240&lt;=Hypothèses!$V$15,Hypothèses!$X$15,IF(AN240&lt;=Hypothèses!$V$16,Hypothèses!$X$16,IF(AN240&lt;=Hypothèses!$U$17,Hypothèses!$W$17,IF(AN240&lt;=Hypothèses!$U$18,Hypothèses!$W$18,""))))))))))))</f>
        <v>#DIV/0!</v>
      </c>
      <c r="BK240" s="95" t="e">
        <f t="shared" ca="1" si="377"/>
        <v>#DIV/0!</v>
      </c>
      <c r="BL240" s="101">
        <f t="shared" si="425"/>
        <v>0</v>
      </c>
      <c r="BM240" s="91">
        <f t="shared" si="344"/>
        <v>0</v>
      </c>
      <c r="BN240" s="30" t="e">
        <f t="shared" si="404"/>
        <v>#N/A</v>
      </c>
      <c r="BO240" s="30" t="e">
        <f t="shared" si="405"/>
        <v>#N/A</v>
      </c>
      <c r="BP240" s="31" t="e">
        <f>IF(OR(Hypothèses!$B$4=17,Hypothèses!$B$4=18,Hypothèses!$B$4=19,Hypothèses!$B$4=20),
IF($D240="Pressio.",
IF(OR($E240=3,$E240=1,$E240=4),BO240,BN240),
IF($D240="Pénétro.",
IF(OR($E240=3,$E240=1,$E240=4),BO240,BN240))),IF($D240="Pressio.",
IF($E240=3,BO240,BN240),
IF($D240="Pénétro.",
IF($E240=4,BO240,BN240))))</f>
        <v>#N/A</v>
      </c>
      <c r="BQ240" s="31">
        <v>0</v>
      </c>
      <c r="BR240" s="102" t="e">
        <f>IF(NDC!$H$10="Oui",(VLOOKUP($B$3,'Coeff EC7'!$T$39:$X$59,2,0)*BP240+VLOOKUP($B$3,'Coeff EC7'!$T$65:$X$85,2,0)*Model0.1T!BQ240)/1.5,PI()*BN$12*$Q240*($B240-$B239)*0.15/10+BR239)</f>
        <v>#N/A</v>
      </c>
      <c r="BS240" s="102" t="e">
        <f>(VLOOKUP($B$3,'Coeff EC7'!$T$39:$X$59,3,0)*BP240+VLOOKUP($B$3,'Coeff EC7'!$T$65:$X$85,3,0)*Model0.1T!BQ240)/1.1</f>
        <v>#N/A</v>
      </c>
      <c r="BT240" s="102" t="e">
        <f t="shared" si="378"/>
        <v>#N/A</v>
      </c>
      <c r="BU240" s="102" t="e">
        <f t="shared" si="379"/>
        <v>#N/A</v>
      </c>
      <c r="BV240" s="414" t="e">
        <f>IF(AND(BR240&gt;NDC!$C$63,BS240&gt;NDC!$C$65,BT240&gt;NDC!$D$73,BU240&gt;NDC!$D$74,$B240&gt;NDC!$H$22-0.1+MIN(3*BV$12,1.5)),0,1)</f>
        <v>#N/A</v>
      </c>
      <c r="BW240" s="86" t="b">
        <f t="shared" si="345"/>
        <v>0</v>
      </c>
      <c r="BX240" s="86">
        <f t="shared" si="346"/>
        <v>0.5</v>
      </c>
      <c r="BY240" s="86">
        <f t="shared" si="347"/>
        <v>0.5</v>
      </c>
      <c r="BZ240" s="30" t="e">
        <f t="shared" ca="1" si="380"/>
        <v>#DIV/0!</v>
      </c>
      <c r="CA240" s="85" t="e">
        <f ca="1">IF(BG240&lt;=Hypothèses!$V$7,Hypothèses!$W$7,IF(BG240&lt;=Hypothèses!$V$8,Hypothèses!$W$8,IF(BG240&lt;=Hypothèses!$V$9,Hypothèses!$W$9,IF(BG240&lt;=Hypothèses!$V$10,Hypothèses!$W$10,IF(BG240&lt;=Hypothèses!$V$11,Hypothèses!$W$11,IF(BG240&lt;=Hypothèses!$V$12,Hypothèses!$W$12,IF(BG240&lt;=Hypothèses!$V$13,Hypothèses!$W$13,IF(BG240&lt;=Hypothèses!$V$14,Hypothèses!$W$14,IF(BG240&lt;=Hypothèses!$V$15,Hypothèses!$W$15,IF(BG240&lt;=Hypothèses!$V$16,Hypothèses!$W$16,IF(BG240&lt;=Hypothèses!$V$17,Hypothèses!$W$17,IF(BG240&lt;=Hypothèses!$V$18,Hypothèses!$W$18,""))))))))))))</f>
        <v>#DIV/0!</v>
      </c>
      <c r="CB240" s="87" t="e">
        <f t="shared" ca="1" si="419"/>
        <v>#DIV/0!</v>
      </c>
      <c r="CC240" s="88" t="e">
        <f ca="1">IF(BG240&lt;=Hypothèses!$V$7,Hypothèses!$X$7,IF(BG240&lt;=Hypothèses!$V$8,Hypothèses!$X$8,IF(BG240&lt;=Hypothèses!$V$9,Hypothèses!$X$9,IF(BG240&lt;=Hypothèses!$V$10,Hypothèses!$X$10,IF(BG240&lt;=Hypothèses!$V$11,Hypothèses!$X$11,IF(BG240&lt;=Hypothèses!$V$12,Hypothèses!$X$12,IF(BG240&lt;=Hypothèses!$V$13,Hypothèses!$X$13,IF(BG240&lt;=Hypothèses!$V$14,Hypothèses!$X$14,IF(BG240&lt;=Hypothèses!$V$15,Hypothèses!$X$15,IF(BG240&lt;=Hypothèses!$V$16,Hypothèses!$X$16,IF(BG240&lt;=Hypothèses!$U$17,Hypothèses!$W$17,IF(BG240&lt;=Hypothèses!$U$18,Hypothèses!$W$18,""))))))))))))</f>
        <v>#DIV/0!</v>
      </c>
      <c r="CD240" s="95" t="e">
        <f t="shared" ca="1" si="381"/>
        <v>#DIV/0!</v>
      </c>
      <c r="CE240" s="101">
        <f t="shared" si="426"/>
        <v>0</v>
      </c>
      <c r="CF240" s="91">
        <f t="shared" si="348"/>
        <v>0</v>
      </c>
      <c r="CG240" s="30" t="e">
        <f t="shared" si="406"/>
        <v>#N/A</v>
      </c>
      <c r="CH240" s="30" t="e">
        <f t="shared" si="407"/>
        <v>#N/A</v>
      </c>
      <c r="CI240" s="31" t="e">
        <f>IF(OR(Hypothèses!$B$4=17,Hypothèses!$B$4=18,Hypothèses!$B$4=19,Hypothèses!$B$4=20),
IF($D240="Pressio.",
IF(OR($E240=3,$E240=1,$E240=4),CH240,CG240),
IF($D240="Pénétro.",
IF(OR($E240=3,$E240=1,$E240=4),CH240,CG240))),IF($D240="Pressio.",
IF($E240=3,CH240,CG240),
IF($D240="Pénétro.",
IF($E240=4,CH240,CG240))))</f>
        <v>#N/A</v>
      </c>
      <c r="CJ240" s="31">
        <v>0</v>
      </c>
      <c r="CK240" s="102" t="e">
        <f>IF(NDC!$H$10="Oui",(VLOOKUP($B$3,'Coeff EC7'!$T$39:$X$59,2,0)*CI240+VLOOKUP($B$3,'Coeff EC7'!$T$65:$X$85,2,0)*Model0.1T!CJ240)/1.5,PI()*CG$12*$Q240*($B240-$B239)*0.15/10+CK239)</f>
        <v>#N/A</v>
      </c>
      <c r="CL240" s="102" t="e">
        <f>(VLOOKUP($B$3,'Coeff EC7'!$T$39:$X$59,3,0)*CI240+VLOOKUP($B$3,'Coeff EC7'!$T$65:$X$85,3,0)*Model0.1T!CJ240)/1.1</f>
        <v>#N/A</v>
      </c>
      <c r="CM240" s="102" t="e">
        <f t="shared" si="382"/>
        <v>#N/A</v>
      </c>
      <c r="CN240" s="102" t="e">
        <f t="shared" si="383"/>
        <v>#N/A</v>
      </c>
      <c r="CO240" s="414" t="e">
        <f>IF(AND(CK240&gt;NDC!$C$63,CL240&gt;NDC!$C$65,CM240&gt;NDC!$D$73,CN240&gt;NDC!$D$74,$B240&gt;NDC!$H$22-0.1+MIN(3*CO$12,1.5)),0,1)</f>
        <v>#N/A</v>
      </c>
      <c r="CP240" s="86" t="b">
        <f t="shared" si="349"/>
        <v>0</v>
      </c>
      <c r="CQ240" s="86">
        <f t="shared" si="350"/>
        <v>0.5</v>
      </c>
      <c r="CR240" s="86">
        <f t="shared" si="351"/>
        <v>0.5</v>
      </c>
      <c r="CS240" s="30" t="e">
        <f t="shared" ca="1" si="384"/>
        <v>#DIV/0!</v>
      </c>
      <c r="CT240" s="85" t="e">
        <f ca="1">IF(BZ240&lt;=Hypothèses!$V$7,Hypothèses!$W$7,IF(BZ240&lt;=Hypothèses!$V$8,Hypothèses!$W$8,IF(BZ240&lt;=Hypothèses!$V$9,Hypothèses!$W$9,IF(BZ240&lt;=Hypothèses!$V$10,Hypothèses!$W$10,IF(BZ240&lt;=Hypothèses!$V$11,Hypothèses!$W$11,IF(BZ240&lt;=Hypothèses!$V$12,Hypothèses!$W$12,IF(BZ240&lt;=Hypothèses!$V$13,Hypothèses!$W$13,IF(BZ240&lt;=Hypothèses!$V$14,Hypothèses!$W$14,IF(BZ240&lt;=Hypothèses!$V$15,Hypothèses!$W$15,IF(BZ240&lt;=Hypothèses!$V$16,Hypothèses!$W$16,IF(BZ240&lt;=Hypothèses!$V$17,Hypothèses!$W$17,IF(BZ240&lt;=Hypothèses!$V$18,Hypothèses!$W$18,""))))))))))))</f>
        <v>#DIV/0!</v>
      </c>
      <c r="CU240" s="87" t="e">
        <f t="shared" ca="1" si="420"/>
        <v>#DIV/0!</v>
      </c>
      <c r="CV240" s="88" t="e">
        <f ca="1">IF(BZ240&lt;=Hypothèses!$V$7,Hypothèses!$X$7,IF(BZ240&lt;=Hypothèses!$V$8,Hypothèses!$X$8,IF(BZ240&lt;=Hypothèses!$V$9,Hypothèses!$X$9,IF(BZ240&lt;=Hypothèses!$V$10,Hypothèses!$X$10,IF(BZ240&lt;=Hypothèses!$V$11,Hypothèses!$X$11,IF(BZ240&lt;=Hypothèses!$V$12,Hypothèses!$X$12,IF(BZ240&lt;=Hypothèses!$V$13,Hypothèses!$X$13,IF(BZ240&lt;=Hypothèses!$V$14,Hypothèses!$X$14,IF(BZ240&lt;=Hypothèses!$V$15,Hypothèses!$X$15,IF(BZ240&lt;=Hypothèses!$V$16,Hypothèses!$X$16,IF(BZ240&lt;=Hypothèses!$U$17,Hypothèses!$W$17,IF(BZ240&lt;=Hypothèses!$U$18,Hypothèses!$W$18,""))))))))))))</f>
        <v>#DIV/0!</v>
      </c>
      <c r="CW240" s="95" t="e">
        <f t="shared" ca="1" si="385"/>
        <v>#DIV/0!</v>
      </c>
      <c r="CX240" s="101">
        <f t="shared" si="427"/>
        <v>0</v>
      </c>
      <c r="CY240" s="91">
        <f t="shared" si="352"/>
        <v>0</v>
      </c>
      <c r="CZ240" s="30" t="e">
        <f t="shared" si="408"/>
        <v>#N/A</v>
      </c>
      <c r="DA240" s="30" t="e">
        <f t="shared" si="409"/>
        <v>#N/A</v>
      </c>
      <c r="DB240" s="31" t="e">
        <f>IF(OR(Hypothèses!$B$4=17,Hypothèses!$B$4=18,Hypothèses!$B$4=19,Hypothèses!$B$4=20),
IF($D240="Pressio.",
IF(OR($E240=3,$E240=1,$E240=4),DA240,CZ240),
IF($D240="Pénétro.",
IF(OR($E240=3,$E240=1,$E240=4),DA240,CZ240))),IF($D240="Pressio.",
IF($E240=3,DA240,CZ240),
IF($D240="Pénétro.",
IF($E240=4,DA240,CZ240))))</f>
        <v>#N/A</v>
      </c>
      <c r="DC240" s="31">
        <v>0</v>
      </c>
      <c r="DD240" s="102" t="e">
        <f>IF(NDC!$H$10="Oui",(VLOOKUP($B$3,'Coeff EC7'!$T$39:$X$59,2,0)*DB240+VLOOKUP($B$3,'Coeff EC7'!$T$65:$X$85,2,0)*Model0.1T!DC240)/1.5,PI()*CZ$12*$Q240*($B240-$B239)*0.15/10+DD239)</f>
        <v>#N/A</v>
      </c>
      <c r="DE240" s="102" t="e">
        <f>(VLOOKUP($B$3,'Coeff EC7'!$T$39:$X$59,3,0)*DB240+VLOOKUP($B$3,'Coeff EC7'!$T$65:$X$85,3,0)*Model0.1T!DC240)/1.1</f>
        <v>#N/A</v>
      </c>
      <c r="DF240" s="102" t="e">
        <f t="shared" si="386"/>
        <v>#N/A</v>
      </c>
      <c r="DG240" s="102" t="e">
        <f t="shared" si="387"/>
        <v>#N/A</v>
      </c>
      <c r="DH240" s="414" t="e">
        <f>IF(AND(DD240&gt;NDC!$C$63,DE240&gt;NDC!$C$65,DF240&gt;NDC!$D$73,DG240&gt;NDC!$D$74,$B240&gt;NDC!$H$22-0.1+MIN(3*DH$12,1.5)),0,1)</f>
        <v>#N/A</v>
      </c>
      <c r="DI240" s="86" t="b">
        <f t="shared" si="353"/>
        <v>0</v>
      </c>
      <c r="DJ240" s="86">
        <f t="shared" si="354"/>
        <v>0.5</v>
      </c>
      <c r="DK240" s="86">
        <f t="shared" si="355"/>
        <v>0.5</v>
      </c>
      <c r="DL240" s="30" t="e">
        <f t="shared" ca="1" si="388"/>
        <v>#DIV/0!</v>
      </c>
      <c r="DM240" s="85" t="e">
        <f ca="1">IF(CS240&lt;=Hypothèses!$V$7,Hypothèses!$W$7,IF(CS240&lt;=Hypothèses!$V$8,Hypothèses!$W$8,IF(CS240&lt;=Hypothèses!$V$9,Hypothèses!$W$9,IF(CS240&lt;=Hypothèses!$V$10,Hypothèses!$W$10,IF(CS240&lt;=Hypothèses!$V$11,Hypothèses!$W$11,IF(CS240&lt;=Hypothèses!$V$12,Hypothèses!$W$12,IF(CS240&lt;=Hypothèses!$V$13,Hypothèses!$W$13,IF(CS240&lt;=Hypothèses!$V$14,Hypothèses!$W$14,IF(CS240&lt;=Hypothèses!$V$15,Hypothèses!$W$15,IF(CS240&lt;=Hypothèses!$V$16,Hypothèses!$W$16,IF(CS240&lt;=Hypothèses!$V$17,Hypothèses!$W$17,IF(CS240&lt;=Hypothèses!$V$18,Hypothèses!$W$18,""))))))))))))</f>
        <v>#DIV/0!</v>
      </c>
      <c r="DN240" s="87" t="e">
        <f t="shared" ca="1" si="421"/>
        <v>#DIV/0!</v>
      </c>
      <c r="DO240" s="88" t="e">
        <f ca="1">IF(CS240&lt;=Hypothèses!$V$7,Hypothèses!$X$7,IF(CS240&lt;=Hypothèses!$V$8,Hypothèses!$X$8,IF(CS240&lt;=Hypothèses!$V$9,Hypothèses!$X$9,IF(CS240&lt;=Hypothèses!$V$10,Hypothèses!$X$10,IF(CS240&lt;=Hypothèses!$V$11,Hypothèses!$X$11,IF(CS240&lt;=Hypothèses!$V$12,Hypothèses!$X$12,IF(CS240&lt;=Hypothèses!$V$13,Hypothèses!$X$13,IF(CS240&lt;=Hypothèses!$V$14,Hypothèses!$X$14,IF(CS240&lt;=Hypothèses!$V$15,Hypothèses!$X$15,IF(CS240&lt;=Hypothèses!$V$16,Hypothèses!$X$16,IF(CS240&lt;=Hypothèses!$U$17,Hypothèses!$W$17,IF(CS240&lt;=Hypothèses!$U$18,Hypothèses!$W$18,""))))))))))))</f>
        <v>#DIV/0!</v>
      </c>
      <c r="DP240" s="95" t="e">
        <f t="shared" ca="1" si="389"/>
        <v>#DIV/0!</v>
      </c>
      <c r="DQ240" s="101">
        <f t="shared" si="428"/>
        <v>0</v>
      </c>
      <c r="DR240" s="91">
        <f t="shared" si="356"/>
        <v>0</v>
      </c>
      <c r="DS240" s="30" t="e">
        <f t="shared" si="410"/>
        <v>#N/A</v>
      </c>
      <c r="DT240" s="30" t="e">
        <f t="shared" si="411"/>
        <v>#N/A</v>
      </c>
      <c r="DU240" s="31" t="e">
        <f>IF(OR(Hypothèses!$B$4=17,Hypothèses!$B$4=18,Hypothèses!$B$4=19,Hypothèses!$B$4=20),
IF($D240="Pressio.",
IF(OR($E240=3,$E240=1,$E240=4),DT240,DS240),
IF($D240="Pénétro.",
IF(OR($E240=3,$E240=1,$E240=4),DT240,DS240))),IF($D240="Pressio.",
IF($E240=3,DT240,DS240),
IF($D240="Pénétro.",
IF($E240=4,DT240,DS240))))</f>
        <v>#N/A</v>
      </c>
      <c r="DV240" s="31">
        <v>0</v>
      </c>
      <c r="DW240" s="102" t="e">
        <f>IF(NDC!$H$10="Oui",(VLOOKUP($B$3,'Coeff EC7'!$T$39:$X$59,2,0)*DU240+VLOOKUP($B$3,'Coeff EC7'!$T$65:$X$85,2,0)*Model0.1T!DV240)/1.5,PI()*DS$12*$Q240*($B240-$B239)*0.15/10+DW239)</f>
        <v>#N/A</v>
      </c>
      <c r="DX240" s="102" t="e">
        <f>(VLOOKUP($B$3,'Coeff EC7'!$T$39:$X$59,3,0)*DU240+VLOOKUP($B$3,'Coeff EC7'!$T$65:$X$85,3,0)*Model0.1T!DV240)/1.1</f>
        <v>#N/A</v>
      </c>
      <c r="DY240" s="102" t="e">
        <f t="shared" si="390"/>
        <v>#N/A</v>
      </c>
      <c r="DZ240" s="102" t="e">
        <f t="shared" si="391"/>
        <v>#N/A</v>
      </c>
      <c r="EA240" s="414" t="e">
        <f>IF(AND(DW240&gt;NDC!$C$63,DX240&gt;NDC!$C$65,DY240&gt;NDC!$D$73,DZ240&gt;NDC!$D$74,$B240&gt;NDC!$H$22-0.1+MIN(3*EA$12,1.5)),0,1)</f>
        <v>#N/A</v>
      </c>
      <c r="EB240" s="86" t="b">
        <f t="shared" si="357"/>
        <v>0</v>
      </c>
      <c r="EC240" s="418">
        <f t="shared" si="358"/>
        <v>0.51</v>
      </c>
      <c r="ED240" s="86">
        <f t="shared" si="359"/>
        <v>0.51</v>
      </c>
      <c r="EE240" s="30" t="e">
        <f t="shared" ca="1" si="392"/>
        <v>#DIV/0!</v>
      </c>
      <c r="EF240" s="85" t="e">
        <f ca="1">IF(DL240&lt;=Hypothèses!$V$7,Hypothèses!$W$7,IF(DL240&lt;=Hypothèses!$V$8,Hypothèses!$W$8,IF(DL240&lt;=Hypothèses!$V$9,Hypothèses!$W$9,IF(DL240&lt;=Hypothèses!$V$10,Hypothèses!$W$10,IF(DL240&lt;=Hypothèses!$V$11,Hypothèses!$W$11,IF(DL240&lt;=Hypothèses!$V$12,Hypothèses!$W$12,IF(DL240&lt;=Hypothèses!$V$13,Hypothèses!$W$13,IF(DL240&lt;=Hypothèses!$V$14,Hypothèses!$W$14,IF(DL240&lt;=Hypothèses!$V$15,Hypothèses!$W$15,IF(DL240&lt;=Hypothèses!$V$16,Hypothèses!$W$16,IF(DL240&lt;=Hypothèses!$V$17,Hypothèses!$W$17,IF(DL240&lt;=Hypothèses!$V$18,Hypothèses!$W$18,""))))))))))))</f>
        <v>#DIV/0!</v>
      </c>
      <c r="EG240" s="87" t="e">
        <f t="shared" ca="1" si="422"/>
        <v>#DIV/0!</v>
      </c>
      <c r="EH240" s="88" t="e">
        <f ca="1">IF(DL240&lt;=Hypothèses!$V$7,Hypothèses!$X$7,IF(DL240&lt;=Hypothèses!$V$8,Hypothèses!$X$8,IF(DL240&lt;=Hypothèses!$V$9,Hypothèses!$X$9,IF(DL240&lt;=Hypothèses!$V$10,Hypothèses!$X$10,IF(DL240&lt;=Hypothèses!$V$11,Hypothèses!$X$11,IF(DL240&lt;=Hypothèses!$V$12,Hypothèses!$X$12,IF(DL240&lt;=Hypothèses!$V$13,Hypothèses!$X$13,IF(DL240&lt;=Hypothèses!$V$14,Hypothèses!$X$14,IF(DL240&lt;=Hypothèses!$V$15,Hypothèses!$X$15,IF(DL240&lt;=Hypothèses!$V$16,Hypothèses!$X$16,IF(DL240&lt;=Hypothèses!$U$17,Hypothèses!$W$17,IF(DL240&lt;=Hypothèses!$U$18,Hypothèses!$W$18,""))))))))))))</f>
        <v>#DIV/0!</v>
      </c>
      <c r="EI240" s="95" t="e">
        <f t="shared" ca="1" si="393"/>
        <v>#DIV/0!</v>
      </c>
      <c r="EJ240" s="101">
        <f t="shared" si="429"/>
        <v>0</v>
      </c>
      <c r="EK240" s="91">
        <f t="shared" si="360"/>
        <v>0</v>
      </c>
      <c r="EL240" s="30" t="e">
        <f t="shared" si="412"/>
        <v>#N/A</v>
      </c>
      <c r="EM240" s="30" t="e">
        <f t="shared" si="413"/>
        <v>#N/A</v>
      </c>
      <c r="EN240" s="31" t="e">
        <f>IF(OR(Hypothèses!$B$4=17,Hypothèses!$B$4=18,Hypothèses!$B$4=19,Hypothèses!$B$4=20),
IF($D240="Pressio.",
IF(OR($E240=3,$E240=1,$E240=4),EM240,EL240),
IF($D240="Pénétro.",
IF(OR($E240=3,$E240=1,$E240=4),EM240,EL240))),IF($D240="Pressio.",
IF($E240=3,EM240,EL240),
IF($D240="Pénétro.",
IF($E240=4,EM240,EL240))))</f>
        <v>#N/A</v>
      </c>
      <c r="EO240" s="31">
        <v>0</v>
      </c>
      <c r="EP240" s="102" t="e">
        <f>IF(NDC!$H$10="Oui",(VLOOKUP($B$3,'Coeff EC7'!$T$39:$X$59,2,0)*EN240+VLOOKUP($B$3,'Coeff EC7'!$T$65:$X$85,2,0)*Model0.1T!EO240)/1.5,PI()*EL$12*$Q240*($B240-$B239)*0.15/10+EP239)</f>
        <v>#N/A</v>
      </c>
      <c r="EQ240" s="102" t="e">
        <f>(VLOOKUP($B$3,'Coeff EC7'!$T$39:$X$59,3,0)*EN240+VLOOKUP($B$3,'Coeff EC7'!$T$65:$X$85,3,0)*Model0.1T!EO240)/1.1</f>
        <v>#N/A</v>
      </c>
      <c r="ER240" s="102" t="e">
        <f t="shared" si="394"/>
        <v>#N/A</v>
      </c>
      <c r="ES240" s="102" t="e">
        <f t="shared" si="395"/>
        <v>#N/A</v>
      </c>
      <c r="ET240" s="414" t="e">
        <f>IF(AND(EP240&gt;NDC!$C$63,EQ240&gt;NDC!$C$65,ER240&gt;NDC!$D$73,ES240&gt;NDC!$D$74,$B240&gt;NDC!$H$22-0.1+MIN(3*ET$12,1.5)),0,1)</f>
        <v>#N/A</v>
      </c>
      <c r="EU240" s="86" t="b">
        <f t="shared" si="361"/>
        <v>0</v>
      </c>
      <c r="EV240" s="86">
        <f t="shared" si="362"/>
        <v>0.61</v>
      </c>
      <c r="EW240" s="86">
        <f t="shared" si="363"/>
        <v>0.61</v>
      </c>
      <c r="EX240" s="30" t="e">
        <f t="shared" ca="1" si="396"/>
        <v>#DIV/0!</v>
      </c>
      <c r="EY240" s="85" t="e">
        <f ca="1">IF(EE240&lt;=Hypothèses!$V$7,Hypothèses!$W$7,IF(EE240&lt;=Hypothèses!$V$8,Hypothèses!$W$8,IF(EE240&lt;=Hypothèses!$V$9,Hypothèses!$W$9,IF(EE240&lt;=Hypothèses!$V$10,Hypothèses!$W$10,IF(EE240&lt;=Hypothèses!$V$11,Hypothèses!$W$11,IF(EE240&lt;=Hypothèses!$V$12,Hypothèses!$W$12,IF(EE240&lt;=Hypothèses!$V$13,Hypothèses!$W$13,IF(EE240&lt;=Hypothèses!$V$14,Hypothèses!$W$14,IF(EE240&lt;=Hypothèses!$V$15,Hypothèses!$W$15,IF(EE240&lt;=Hypothèses!$V$16,Hypothèses!$W$16,IF(EE240&lt;=Hypothèses!$V$17,Hypothèses!$W$17,IF(EE240&lt;=Hypothèses!$V$18,Hypothèses!$W$18,""))))))))))))</f>
        <v>#DIV/0!</v>
      </c>
      <c r="EZ240" s="87" t="e">
        <f t="shared" ca="1" si="423"/>
        <v>#DIV/0!</v>
      </c>
      <c r="FA240" s="88" t="e">
        <f ca="1">IF(EE240&lt;=Hypothèses!$V$7,Hypothèses!$X$7,IF(EE240&lt;=Hypothèses!$V$8,Hypothèses!$X$8,IF(EE240&lt;=Hypothèses!$V$9,Hypothèses!$X$9,IF(EE240&lt;=Hypothèses!$V$10,Hypothèses!$X$10,IF(EE240&lt;=Hypothèses!$V$11,Hypothèses!$X$11,IF(EE240&lt;=Hypothèses!$V$12,Hypothèses!$X$12,IF(EE240&lt;=Hypothèses!$V$13,Hypothèses!$X$13,IF(EE240&lt;=Hypothèses!$V$14,Hypothèses!$X$14,IF(EE240&lt;=Hypothèses!$V$15,Hypothèses!$X$15,IF(EE240&lt;=Hypothèses!$V$16,Hypothèses!$X$16,IF(EE240&lt;=Hypothèses!$U$17,Hypothèses!$W$17,IF(EE240&lt;=Hypothèses!$U$18,Hypothèses!$W$18,""))))))))))))</f>
        <v>#DIV/0!</v>
      </c>
      <c r="FB240" s="95" t="e">
        <f t="shared" ca="1" si="397"/>
        <v>#DIV/0!</v>
      </c>
      <c r="FC240" s="101">
        <f t="shared" si="430"/>
        <v>0</v>
      </c>
      <c r="FD240" s="91">
        <f t="shared" si="364"/>
        <v>0</v>
      </c>
      <c r="FE240" s="30" t="e">
        <f t="shared" si="414"/>
        <v>#N/A</v>
      </c>
      <c r="FF240" s="30" t="e">
        <f t="shared" si="415"/>
        <v>#N/A</v>
      </c>
      <c r="FG240" s="31" t="e">
        <f>IF(OR(Hypothèses!$B$4=17,Hypothèses!$B$4=18,Hypothèses!$B$4=19,Hypothèses!$B$4=20),
IF($D240="Pressio.",
IF(OR($E240=3,$E240=1,$E240=4),FF240,FE240),
IF($D240="Pénétro.",
IF(OR($E240=3,$E240=1,$E240=4),FF240,FE240))),IF($D240="Pressio.",
IF($E240=3,FF240,FE240),
IF($D240="Pénétro.",
IF($E240=4,FF240,FE240))))</f>
        <v>#N/A</v>
      </c>
      <c r="FH240" s="31">
        <v>0</v>
      </c>
      <c r="FI240" s="102" t="e">
        <f>IF(NDC!$H$10="Oui",(VLOOKUP($B$3,'Coeff EC7'!$T$39:$X$59,2,0)*FG240+VLOOKUP($B$3,'Coeff EC7'!$T$65:$X$85,2,0)*Model0.1T!FH240)/1.5,PI()*FE$12*$Q240*($B240-$B239)*0.15/10+FI239)</f>
        <v>#N/A</v>
      </c>
      <c r="FJ240" s="102" t="e">
        <f>(VLOOKUP($B$3,'Coeff EC7'!$T$39:$X$59,3,0)*FG240+VLOOKUP($B$3,'Coeff EC7'!$T$65:$X$85,3,0)*Model0.1T!FH240)/1.1</f>
        <v>#N/A</v>
      </c>
      <c r="FK240" s="102" t="e">
        <f t="shared" si="398"/>
        <v>#N/A</v>
      </c>
      <c r="FL240" s="102" t="e">
        <f t="shared" si="399"/>
        <v>#N/A</v>
      </c>
      <c r="FM240" s="414" t="e">
        <f>IF(AND(FI240&gt;NDC!$C$63,FJ240&gt;NDC!$C$65,FK240&gt;NDC!$D$73,FL240&gt;NDC!$D$74,$B240&gt;NDC!$H$22-0.1+MIN(3*FM$12,1.5)),0,1)</f>
        <v>#N/A</v>
      </c>
    </row>
    <row r="241" spans="1:169">
      <c r="A241" s="96">
        <f t="shared" si="365"/>
        <v>77.200000000001296</v>
      </c>
      <c r="B241" s="97">
        <v>22.8</v>
      </c>
      <c r="C241" s="81">
        <f>IF(B241&lt;=Hypothèses!$C$7,Hypothèses!$A$7,IF(B241&lt;=Hypothèses!$C$8,Hypothèses!$A$8,IF(B241&lt;=Hypothèses!$C$9,Hypothèses!$A$9,IF(B241&lt;=Hypothèses!$C$10,Hypothèses!$A$10,IF(B241&lt;=Hypothèses!$C$11,Hypothèses!$A$11,IF(B241&lt;=Hypothèses!$C$12,Hypothèses!$A$12,IF(B241&lt;=Hypothèses!$C$13,Hypothèses!$A$13,IF(B241&lt;=Hypothèses!$C$14,Hypothèses!$A$14,IF(B241&lt;=Hypothèses!$C$15,Hypothèses!$A$15,IF(B241&lt;=Hypothèses!$C$16,Hypothèses!$A$16,IF(B241&lt;=Hypothèses!$C$17,Hypothèses!$A$17,IF(B241&lt;=Hypothèses!$C$18,Hypothèses!$A$18,C240))))))))))))</f>
        <v>11</v>
      </c>
      <c r="D241" s="82" t="str">
        <f>IF(B241&lt;=Hypothèses!$C$7,Hypothèses!$R$7,IF(B241&lt;=Hypothèses!$C$8,Hypothèses!$R$8,IF(B241&lt;=Hypothèses!$C$9,Hypothèses!$R$9,IF(B241&lt;=Hypothèses!$C$10,Hypothèses!$R$10,IF(B241&lt;=Hypothèses!$C$11,Hypothèses!$R$11,IF(B241&lt;=Hypothèses!$C$12,Hypothèses!$R$12,IF(B241&lt;=Hypothèses!$C$13,Hypothèses!$R$13,IF(B241&lt;=Hypothèses!$C$14,Hypothèses!$R$14,IF(B241&lt;=Hypothèses!$C$15,Hypothèses!$R$15,IF(B241&lt;=Hypothèses!$C$16,Hypothèses!$R$16,IF(B241&lt;=Hypothèses!$C$17,Hypothèses!$R$17,IF(B241&lt;=Hypothèses!$C$18,Hypothèses!$R$18,D240))))))))))))</f>
        <v>Pressio.</v>
      </c>
      <c r="E241" s="82" t="e">
        <f>IF(B241&lt;=Hypothèses!$C$7,Hypothèses!$G$7,IF(B241&lt;=Hypothèses!$C$8,Hypothèses!$G$8,IF(B241&lt;=Hypothèses!$C$9,Hypothèses!$G$9,IF(B241&lt;=Hypothèses!$C$10,Hypothèses!$G$10,IF(B241&lt;=Hypothèses!$C$11,Hypothèses!$G$11,IF(B241&lt;=Hypothèses!$C$12,Hypothèses!$G$12,IF(B241&lt;=Hypothèses!$C$13,Hypothèses!$G$13,IF(B241&lt;=Hypothèses!$C$14,Hypothèses!$G$14,IF(B241&lt;=Hypothèses!$C$15,Hypothèses!$G$15,IF(B241&lt;=Hypothèses!$C$16,Hypothèses!$G$16,IF(B241&lt;=Hypothèses!$C$17,Hypothèses!$G$17,IF(B241&lt;=Hypothèses!$C$18,Hypothèses!$G$18,E240))))))))))))</f>
        <v>#N/A</v>
      </c>
      <c r="F241" s="82" t="str">
        <f>IF(B241&lt;=Hypothèses!$C$7,Hypothèses!$F$7,IF(B241&lt;=Hypothèses!$C$8,Hypothèses!$F$8,IF(B241&lt;=Hypothèses!$C$9,Hypothèses!$F$9,IF(B241&lt;=Hypothèses!$C$10,Hypothèses!$F$10,IF(B241&lt;=Hypothèses!$C$11,Hypothèses!$F$11,IF(B241&lt;=Hypothèses!$C$12,Hypothèses!$F$12,IF(B241&lt;=Hypothèses!$C$13,Hypothèses!$F$13,IF(B241&lt;=Hypothèses!$C$14,Hypothèses!$F$14,IF(B241&lt;=Hypothèses!$C$15,Hypothèses!$F$15,IF(B241&lt;=Hypothèses!$C$16,Hypothèses!$F$16,IF(B241&lt;=Hypothèses!$C$17,Hypothèses!$F$17,IF(B241&lt;=Hypothèses!$C$18,Hypothèses!$F$18,F240))))))))))))</f>
        <v/>
      </c>
      <c r="G241" s="91">
        <f t="array" ref="G241">INDEX('Coeff EC7'!$U$7:$X$27,
MATCH(Model0.1T!$B$3,'Coeff EC7'!$T$7:$T$27,0),
MATCH(Model0.1T!$D241&amp;Model0.1T!$B$4,
'Coeff EC7'!$U$6:$X$6&amp;
'Coeff EC7'!$U$5:$X$5,0))</f>
        <v>1.4</v>
      </c>
      <c r="H241" s="91">
        <f t="array" ref="H241">INDEX('Coeff EC7'!$Y$7:$AB$27,
MATCH(Model0.1T!$B$3,'Coeff EC7'!$T$7:$T$27,0),
MATCH(Model0.1T!$D241&amp;Model0.1T!$B$4,
'Coeff EC7'!$Y$6:$AB$6&amp;
'Coeff EC7'!$Y$5:$AB$5,0))</f>
        <v>1.7</v>
      </c>
      <c r="I241" s="83">
        <v>0</v>
      </c>
      <c r="J241" s="91" t="e">
        <f t="array" ref="J241">INDEX('Coeff EC7'!$D$33:$Q$33,1,MATCH(D241&amp;E241,'Coeff EC7'!$D$31:$Q$31&amp;'Coeff EC7'!$D$32:$Q$32,0))</f>
        <v>#N/A</v>
      </c>
      <c r="K241" s="91" t="e">
        <f t="array" ref="K241">INDEX('Coeff EC7'!$D$34:$Q$34,1,MATCH(D241&amp;E241,'Coeff EC7'!$D$31:$Q$31&amp;'Coeff EC7'!$D$32:$Q$32,0))</f>
        <v>#N/A</v>
      </c>
      <c r="L241" s="91" t="e">
        <f t="array" ref="L241">INDEX('Coeff EC7'!$D$35:$Q$35,1,MATCH(D241&amp;E241,'Coeff EC7'!$D$31:$Q$31&amp;'Coeff EC7'!$D$32:$Q$32,0))</f>
        <v>#N/A</v>
      </c>
      <c r="M241" s="98" t="e">
        <f t="shared" si="331"/>
        <v>#N/A</v>
      </c>
      <c r="N241" s="99" t="e">
        <f t="array" ref="N241">INDEX('Coeff EC7'!$D$7:$Q$27,MATCH($B$3,'Coeff EC7'!$C$7:$C$27,0),MATCH(D241&amp;E241,'Coeff EC7'!$D$5:$Q$5&amp;'Coeff EC7'!$D$6:$Q$6,0))</f>
        <v>#N/A</v>
      </c>
      <c r="O241" s="99" t="e">
        <f t="array" ref="O241">INDEX('Coeff EC7'!$D$41:$Q$61,MATCH($B$3,'Coeff EC7'!$C$41:$C$61,0),MATCH(D241&amp;E241,'Coeff EC7'!$D$39:$Q$39&amp;'Coeff EC7'!$D$40:$Q$40,0))</f>
        <v>#N/A</v>
      </c>
      <c r="P241" s="30" t="e">
        <f t="shared" si="366"/>
        <v>#N/A</v>
      </c>
      <c r="Q241" s="100" t="e">
        <f t="shared" si="333"/>
        <v>#N/A</v>
      </c>
      <c r="R241" s="86" t="b">
        <f t="shared" si="334"/>
        <v>0</v>
      </c>
      <c r="S241" s="86">
        <f t="shared" si="332"/>
        <v>0.5</v>
      </c>
      <c r="T241" s="86">
        <f t="shared" si="335"/>
        <v>0.5</v>
      </c>
      <c r="U241" s="30" t="e">
        <f t="shared" ca="1" si="367"/>
        <v>#DIV/0!</v>
      </c>
      <c r="V241" s="85" t="str">
        <f>IF(B241&lt;=Hypothèses!$V$7,Hypothèses!$W$7,IF(B241&lt;=Hypothèses!$V$8,Hypothèses!$W$8,IF(B241&lt;=Hypothèses!$V$9,Hypothèses!$W$9,IF(B241&lt;=Hypothèses!$V$10,Hypothèses!$W$10,IF(B241&lt;=Hypothèses!$V$11,Hypothèses!$W$11,IF(B241&lt;=Hypothèses!$V$12,Hypothèses!$W$12,IF(B241&lt;=Hypothèses!$V$13,Hypothèses!$W$13,IF(B241&lt;=Hypothèses!$V$14,Hypothèses!$W$14,IF(B241&lt;=Hypothèses!$V$15,Hypothèses!$W$15,IF(B241&lt;=Hypothèses!$V$16,Hypothèses!$W$16,IF(B241&lt;=Hypothèses!$V$17,Hypothèses!$W$17,IF(B241&lt;=Hypothèses!$V$18,Hypothèses!$W$18,""))))))))))))</f>
        <v/>
      </c>
      <c r="W241" s="87" t="e">
        <f t="shared" ca="1" si="416"/>
        <v>#DIV/0!</v>
      </c>
      <c r="X241" s="88" t="str">
        <f>IF(B241&lt;=Hypothèses!$V$7,Hypothèses!$X$7,IF(B241&lt;=Hypothèses!$V$8,Hypothèses!$X$8,IF(B241&lt;=Hypothèses!$V$9,Hypothèses!$X$9,IF(B241&lt;=Hypothèses!$V$10,Hypothèses!$X$10,IF(B241&lt;=Hypothèses!$V$11,Hypothèses!$X$11,IF(B241&lt;=Hypothèses!$V$12,Hypothèses!$X$12,IF(B241&lt;=Hypothèses!$V$13,Hypothèses!$X$13,IF(B241&lt;=Hypothèses!$V$14,Hypothèses!$X$14,IF(B241&lt;=Hypothèses!$V$15,Hypothèses!$X$15,IF(B241&lt;=Hypothèses!$V$16,Hypothèses!$X$16,IF(B241&lt;=Hypothèses!$U$17,Hypothèses!$W$17,IF(B241&lt;=Hypothèses!$U$18,Hypothèses!$W$18,""))))))))))))</f>
        <v/>
      </c>
      <c r="Y241" s="95" t="e">
        <f t="shared" ca="1" si="336"/>
        <v>#DIV/0!</v>
      </c>
      <c r="Z241" s="101">
        <f t="shared" si="337"/>
        <v>0</v>
      </c>
      <c r="AA241" s="91">
        <f t="shared" si="338"/>
        <v>0</v>
      </c>
      <c r="AB241" s="30" t="e">
        <f t="shared" si="400"/>
        <v>#N/A</v>
      </c>
      <c r="AC241" s="30" t="e">
        <f t="shared" si="401"/>
        <v>#N/A</v>
      </c>
      <c r="AD241" s="31" t="e">
        <f>IF(OR(Hypothèses!$B$4=17,Hypothèses!$B$4=18,Hypothèses!$B$4=19,Hypothèses!$B$4=20),
IF($D241="Pressio.",
IF(OR($E241=3,$E241=1,$E241=4),AC241,AB241),
IF($D241="Pénétro.",
IF(OR($E241=3,$E241=1,$E241=4),AC241,AB241))),IF($D241="Pressio.",
IF($E241=3,AC241,AB241),
IF($D241="Pénétro.",
IF($E241=4,AC241,AB241))))</f>
        <v>#N/A</v>
      </c>
      <c r="AE241" s="31">
        <v>0</v>
      </c>
      <c r="AF241" s="102" t="e">
        <f>IF(NDC!$H$10="Oui",(VLOOKUP($B$3,'Coeff EC7'!$T$39:$X$59,2,0)*AD241+VLOOKUP($B$3,'Coeff EC7'!$T$65:$X$85,2,0)*Model0.1T!AE241)/1.5,PI()*AB$12*$Q241*($B241-$B240)*0.15/10+AF240)</f>
        <v>#N/A</v>
      </c>
      <c r="AG241" s="102" t="e">
        <f>(VLOOKUP($B$3,'Coeff EC7'!$T$39:$X$59,3,0)*AD241+VLOOKUP($B$3,'Coeff EC7'!$T$65:$X$85,3,0)*Model0.1T!AE241)/1.1</f>
        <v>#N/A</v>
      </c>
      <c r="AH241" s="102" t="e">
        <f t="shared" si="368"/>
        <v>#N/A</v>
      </c>
      <c r="AI241" s="102" t="e">
        <f t="shared" si="369"/>
        <v>#N/A</v>
      </c>
      <c r="AJ241" s="414" t="e">
        <f>IF(AND(AF241&gt;NDC!$C$63,AG241&gt;NDC!$C$65,AH241&gt;NDC!$D$73,AI241&gt;NDC!$D$74,$B241&gt;NDC!$H$22-0.1+MIN(3*$AJ$12,1.5)),0,1)</f>
        <v>#N/A</v>
      </c>
      <c r="AK241" s="86" t="b">
        <f t="shared" si="339"/>
        <v>0</v>
      </c>
      <c r="AL241" s="86">
        <f t="shared" si="370"/>
        <v>0.5</v>
      </c>
      <c r="AM241" s="86">
        <f t="shared" si="340"/>
        <v>0.5</v>
      </c>
      <c r="AN241" s="30" t="e">
        <f t="shared" ca="1" si="371"/>
        <v>#DIV/0!</v>
      </c>
      <c r="AO241" s="85" t="e">
        <f ca="1">IF(U241&lt;=Hypothèses!$V$7,Hypothèses!$W$7,IF(U241&lt;=Hypothèses!$V$8,Hypothèses!$W$8,IF(U241&lt;=Hypothèses!$V$9,Hypothèses!$W$9,IF(U241&lt;=Hypothèses!$V$10,Hypothèses!$W$10,IF(U241&lt;=Hypothèses!$V$11,Hypothèses!$W$11,IF(U241&lt;=Hypothèses!$V$12,Hypothèses!$W$12,IF(U241&lt;=Hypothèses!$V$13,Hypothèses!$W$13,IF(U241&lt;=Hypothèses!$V$14,Hypothèses!$W$14,IF(U241&lt;=Hypothèses!$V$15,Hypothèses!$W$15,IF(U241&lt;=Hypothèses!$V$16,Hypothèses!$W$16,IF(U241&lt;=Hypothèses!$V$17,Hypothèses!$W$17,IF(U241&lt;=Hypothèses!$V$18,Hypothèses!$W$18,""))))))))))))</f>
        <v>#DIV/0!</v>
      </c>
      <c r="AP241" s="87" t="e">
        <f t="shared" ca="1" si="417"/>
        <v>#DIV/0!</v>
      </c>
      <c r="AQ241" s="88" t="e">
        <f ca="1">IF(U241&lt;=Hypothèses!$V$7,Hypothèses!$X$7,IF(U241&lt;=Hypothèses!$V$8,Hypothèses!$X$8,IF(U241&lt;=Hypothèses!$V$9,Hypothèses!$X$9,IF(U241&lt;=Hypothèses!$V$10,Hypothèses!$X$10,IF(U241&lt;=Hypothèses!$V$11,Hypothèses!$X$11,IF(U241&lt;=Hypothèses!$V$12,Hypothèses!$X$12,IF(U241&lt;=Hypothèses!$V$13,Hypothèses!$X$13,IF(U241&lt;=Hypothèses!$V$14,Hypothèses!$X$14,IF(U241&lt;=Hypothèses!$V$15,Hypothèses!$X$15,IF(U241&lt;=Hypothèses!$V$16,Hypothèses!$X$16,IF(U241&lt;=Hypothèses!$U$17,Hypothèses!$W$17,IF(U241&lt;=Hypothèses!$U$18,Hypothèses!$W$18,""))))))))))))</f>
        <v>#DIV/0!</v>
      </c>
      <c r="AR241" s="95" t="e">
        <f t="shared" ca="1" si="372"/>
        <v>#DIV/0!</v>
      </c>
      <c r="AS241" s="101">
        <f t="shared" si="424"/>
        <v>0</v>
      </c>
      <c r="AT241" s="91">
        <f t="shared" si="341"/>
        <v>0</v>
      </c>
      <c r="AU241" s="30" t="e">
        <f t="shared" si="402"/>
        <v>#N/A</v>
      </c>
      <c r="AV241" s="30" t="e">
        <f t="shared" si="403"/>
        <v>#N/A</v>
      </c>
      <c r="AW241" s="31" t="e">
        <f>IF(OR(Hypothèses!$B$4=17,Hypothèses!$B$4=18,Hypothèses!$B$4=19,Hypothèses!$B$4=20),
IF($D241="Pressio.",
IF(OR($E241=3,$E241=1,$E241=4),AV241,AU241),
IF($D241="Pénétro.",
IF(OR($E241=3,$E241=1,$E241=4),AV241,AU241))),IF($D241="Pressio.",
IF($E241=3,AV241,AU241),
IF($D241="Pénétro.",
IF($E241=4,AV241,AU241))))</f>
        <v>#N/A</v>
      </c>
      <c r="AX241" s="31">
        <v>0</v>
      </c>
      <c r="AY241" s="102" t="e">
        <f>IF(NDC!$H$10="Oui",(VLOOKUP($B$3,'Coeff EC7'!$T$39:$X$59,2,0)*AW241+VLOOKUP($B$3,'Coeff EC7'!$T$65:$X$85,2,0)*Model0.1T!AX241)/1.5,PI()*AU$12*$Q241*($B241-$B240)*0.15/10+AY240)</f>
        <v>#N/A</v>
      </c>
      <c r="AZ241" s="102" t="e">
        <f>(VLOOKUP($B$3,'Coeff EC7'!$T$39:$X$59,3,0)*AW241+VLOOKUP($B$3,'Coeff EC7'!$T$65:$X$85,3,0)*Model0.1T!AX241)/1.1</f>
        <v>#N/A</v>
      </c>
      <c r="BA241" s="102" t="e">
        <f t="shared" si="373"/>
        <v>#N/A</v>
      </c>
      <c r="BB241" s="102" t="e">
        <f t="shared" si="374"/>
        <v>#N/A</v>
      </c>
      <c r="BC241" s="414" t="e">
        <f>IF(AND(AY241&gt;NDC!$C$63,AZ241&gt;NDC!$C$65,BA241&gt;NDC!$D$73,BB241&gt;NDC!$D$74,$B241&gt;NDC!$H$22-0.1+MIN(3*BC$12,1.5)),0,1)</f>
        <v>#N/A</v>
      </c>
      <c r="BD241" s="86" t="b">
        <f t="shared" si="342"/>
        <v>0</v>
      </c>
      <c r="BE241" s="86">
        <f t="shared" si="375"/>
        <v>0.5</v>
      </c>
      <c r="BF241" s="86">
        <f t="shared" si="343"/>
        <v>0.5</v>
      </c>
      <c r="BG241" s="30" t="e">
        <f t="shared" ca="1" si="376"/>
        <v>#DIV/0!</v>
      </c>
      <c r="BH241" s="85" t="e">
        <f ca="1">IF(AN241&lt;=Hypothèses!$V$7,Hypothèses!$W$7,IF(AN241&lt;=Hypothèses!$V$8,Hypothèses!$W$8,IF(AN241&lt;=Hypothèses!$V$9,Hypothèses!$W$9,IF(AN241&lt;=Hypothèses!$V$10,Hypothèses!$W$10,IF(AN241&lt;=Hypothèses!$V$11,Hypothèses!$W$11,IF(AN241&lt;=Hypothèses!$V$12,Hypothèses!$W$12,IF(AN241&lt;=Hypothèses!$V$13,Hypothèses!$W$13,IF(AN241&lt;=Hypothèses!$V$14,Hypothèses!$W$14,IF(AN241&lt;=Hypothèses!$V$15,Hypothèses!$W$15,IF(AN241&lt;=Hypothèses!$V$16,Hypothèses!$W$16,IF(AN241&lt;=Hypothèses!$V$17,Hypothèses!$W$17,IF(AN241&lt;=Hypothèses!$V$18,Hypothèses!$W$18,""))))))))))))</f>
        <v>#DIV/0!</v>
      </c>
      <c r="BI241" s="87" t="e">
        <f t="shared" ca="1" si="418"/>
        <v>#DIV/0!</v>
      </c>
      <c r="BJ241" s="88" t="e">
        <f ca="1">IF(AN241&lt;=Hypothèses!$V$7,Hypothèses!$X$7,IF(AN241&lt;=Hypothèses!$V$8,Hypothèses!$X$8,IF(AN241&lt;=Hypothèses!$V$9,Hypothèses!$X$9,IF(AN241&lt;=Hypothèses!$V$10,Hypothèses!$X$10,IF(AN241&lt;=Hypothèses!$V$11,Hypothèses!$X$11,IF(AN241&lt;=Hypothèses!$V$12,Hypothèses!$X$12,IF(AN241&lt;=Hypothèses!$V$13,Hypothèses!$X$13,IF(AN241&lt;=Hypothèses!$V$14,Hypothèses!$X$14,IF(AN241&lt;=Hypothèses!$V$15,Hypothèses!$X$15,IF(AN241&lt;=Hypothèses!$V$16,Hypothèses!$X$16,IF(AN241&lt;=Hypothèses!$U$17,Hypothèses!$W$17,IF(AN241&lt;=Hypothèses!$U$18,Hypothèses!$W$18,""))))))))))))</f>
        <v>#DIV/0!</v>
      </c>
      <c r="BK241" s="95" t="e">
        <f t="shared" ca="1" si="377"/>
        <v>#DIV/0!</v>
      </c>
      <c r="BL241" s="101">
        <f t="shared" si="425"/>
        <v>0</v>
      </c>
      <c r="BM241" s="91">
        <f t="shared" si="344"/>
        <v>0</v>
      </c>
      <c r="BN241" s="30" t="e">
        <f t="shared" si="404"/>
        <v>#N/A</v>
      </c>
      <c r="BO241" s="30" t="e">
        <f t="shared" si="405"/>
        <v>#N/A</v>
      </c>
      <c r="BP241" s="31" t="e">
        <f>IF(OR(Hypothèses!$B$4=17,Hypothèses!$B$4=18,Hypothèses!$B$4=19,Hypothèses!$B$4=20),
IF($D241="Pressio.",
IF(OR($E241=3,$E241=1,$E241=4),BO241,BN241),
IF($D241="Pénétro.",
IF(OR($E241=3,$E241=1,$E241=4),BO241,BN241))),IF($D241="Pressio.",
IF($E241=3,BO241,BN241),
IF($D241="Pénétro.",
IF($E241=4,BO241,BN241))))</f>
        <v>#N/A</v>
      </c>
      <c r="BQ241" s="31">
        <v>0</v>
      </c>
      <c r="BR241" s="102" t="e">
        <f>IF(NDC!$H$10="Oui",(VLOOKUP($B$3,'Coeff EC7'!$T$39:$X$59,2,0)*BP241+VLOOKUP($B$3,'Coeff EC7'!$T$65:$X$85,2,0)*Model0.1T!BQ241)/1.5,PI()*BN$12*$Q241*($B241-$B240)*0.15/10+BR240)</f>
        <v>#N/A</v>
      </c>
      <c r="BS241" s="102" t="e">
        <f>(VLOOKUP($B$3,'Coeff EC7'!$T$39:$X$59,3,0)*BP241+VLOOKUP($B$3,'Coeff EC7'!$T$65:$X$85,3,0)*Model0.1T!BQ241)/1.1</f>
        <v>#N/A</v>
      </c>
      <c r="BT241" s="102" t="e">
        <f t="shared" si="378"/>
        <v>#N/A</v>
      </c>
      <c r="BU241" s="102" t="e">
        <f t="shared" si="379"/>
        <v>#N/A</v>
      </c>
      <c r="BV241" s="414" t="e">
        <f>IF(AND(BR241&gt;NDC!$C$63,BS241&gt;NDC!$C$65,BT241&gt;NDC!$D$73,BU241&gt;NDC!$D$74,$B241&gt;NDC!$H$22-0.1+MIN(3*BV$12,1.5)),0,1)</f>
        <v>#N/A</v>
      </c>
      <c r="BW241" s="86" t="b">
        <f t="shared" si="345"/>
        <v>0</v>
      </c>
      <c r="BX241" s="86">
        <f t="shared" si="346"/>
        <v>0.5</v>
      </c>
      <c r="BY241" s="86">
        <f t="shared" si="347"/>
        <v>0.5</v>
      </c>
      <c r="BZ241" s="30" t="e">
        <f t="shared" ca="1" si="380"/>
        <v>#DIV/0!</v>
      </c>
      <c r="CA241" s="85" t="e">
        <f ca="1">IF(BG241&lt;=Hypothèses!$V$7,Hypothèses!$W$7,IF(BG241&lt;=Hypothèses!$V$8,Hypothèses!$W$8,IF(BG241&lt;=Hypothèses!$V$9,Hypothèses!$W$9,IF(BG241&lt;=Hypothèses!$V$10,Hypothèses!$W$10,IF(BG241&lt;=Hypothèses!$V$11,Hypothèses!$W$11,IF(BG241&lt;=Hypothèses!$V$12,Hypothèses!$W$12,IF(BG241&lt;=Hypothèses!$V$13,Hypothèses!$W$13,IF(BG241&lt;=Hypothèses!$V$14,Hypothèses!$W$14,IF(BG241&lt;=Hypothèses!$V$15,Hypothèses!$W$15,IF(BG241&lt;=Hypothèses!$V$16,Hypothèses!$W$16,IF(BG241&lt;=Hypothèses!$V$17,Hypothèses!$W$17,IF(BG241&lt;=Hypothèses!$V$18,Hypothèses!$W$18,""))))))))))))</f>
        <v>#DIV/0!</v>
      </c>
      <c r="CB241" s="87" t="e">
        <f t="shared" ca="1" si="419"/>
        <v>#DIV/0!</v>
      </c>
      <c r="CC241" s="88" t="e">
        <f ca="1">IF(BG241&lt;=Hypothèses!$V$7,Hypothèses!$X$7,IF(BG241&lt;=Hypothèses!$V$8,Hypothèses!$X$8,IF(BG241&lt;=Hypothèses!$V$9,Hypothèses!$X$9,IF(BG241&lt;=Hypothèses!$V$10,Hypothèses!$X$10,IF(BG241&lt;=Hypothèses!$V$11,Hypothèses!$X$11,IF(BG241&lt;=Hypothèses!$V$12,Hypothèses!$X$12,IF(BG241&lt;=Hypothèses!$V$13,Hypothèses!$X$13,IF(BG241&lt;=Hypothèses!$V$14,Hypothèses!$X$14,IF(BG241&lt;=Hypothèses!$V$15,Hypothèses!$X$15,IF(BG241&lt;=Hypothèses!$V$16,Hypothèses!$X$16,IF(BG241&lt;=Hypothèses!$U$17,Hypothèses!$W$17,IF(BG241&lt;=Hypothèses!$U$18,Hypothèses!$W$18,""))))))))))))</f>
        <v>#DIV/0!</v>
      </c>
      <c r="CD241" s="95" t="e">
        <f t="shared" ca="1" si="381"/>
        <v>#DIV/0!</v>
      </c>
      <c r="CE241" s="101">
        <f t="shared" si="426"/>
        <v>0</v>
      </c>
      <c r="CF241" s="91">
        <f t="shared" si="348"/>
        <v>0</v>
      </c>
      <c r="CG241" s="30" t="e">
        <f t="shared" si="406"/>
        <v>#N/A</v>
      </c>
      <c r="CH241" s="30" t="e">
        <f t="shared" si="407"/>
        <v>#N/A</v>
      </c>
      <c r="CI241" s="31" t="e">
        <f>IF(OR(Hypothèses!$B$4=17,Hypothèses!$B$4=18,Hypothèses!$B$4=19,Hypothèses!$B$4=20),
IF($D241="Pressio.",
IF(OR($E241=3,$E241=1,$E241=4),CH241,CG241),
IF($D241="Pénétro.",
IF(OR($E241=3,$E241=1,$E241=4),CH241,CG241))),IF($D241="Pressio.",
IF($E241=3,CH241,CG241),
IF($D241="Pénétro.",
IF($E241=4,CH241,CG241))))</f>
        <v>#N/A</v>
      </c>
      <c r="CJ241" s="31">
        <v>0</v>
      </c>
      <c r="CK241" s="102" t="e">
        <f>IF(NDC!$H$10="Oui",(VLOOKUP($B$3,'Coeff EC7'!$T$39:$X$59,2,0)*CI241+VLOOKUP($B$3,'Coeff EC7'!$T$65:$X$85,2,0)*Model0.1T!CJ241)/1.5,PI()*CG$12*$Q241*($B241-$B240)*0.15/10+CK240)</f>
        <v>#N/A</v>
      </c>
      <c r="CL241" s="102" t="e">
        <f>(VLOOKUP($B$3,'Coeff EC7'!$T$39:$X$59,3,0)*CI241+VLOOKUP($B$3,'Coeff EC7'!$T$65:$X$85,3,0)*Model0.1T!CJ241)/1.1</f>
        <v>#N/A</v>
      </c>
      <c r="CM241" s="102" t="e">
        <f t="shared" si="382"/>
        <v>#N/A</v>
      </c>
      <c r="CN241" s="102" t="e">
        <f t="shared" si="383"/>
        <v>#N/A</v>
      </c>
      <c r="CO241" s="414" t="e">
        <f>IF(AND(CK241&gt;NDC!$C$63,CL241&gt;NDC!$C$65,CM241&gt;NDC!$D$73,CN241&gt;NDC!$D$74,$B241&gt;NDC!$H$22-0.1+MIN(3*CO$12,1.5)),0,1)</f>
        <v>#N/A</v>
      </c>
      <c r="CP241" s="86" t="b">
        <f t="shared" si="349"/>
        <v>0</v>
      </c>
      <c r="CQ241" s="86">
        <f t="shared" si="350"/>
        <v>0.5</v>
      </c>
      <c r="CR241" s="86">
        <f t="shared" si="351"/>
        <v>0.5</v>
      </c>
      <c r="CS241" s="30" t="e">
        <f t="shared" ca="1" si="384"/>
        <v>#DIV/0!</v>
      </c>
      <c r="CT241" s="85" t="e">
        <f ca="1">IF(BZ241&lt;=Hypothèses!$V$7,Hypothèses!$W$7,IF(BZ241&lt;=Hypothèses!$V$8,Hypothèses!$W$8,IF(BZ241&lt;=Hypothèses!$V$9,Hypothèses!$W$9,IF(BZ241&lt;=Hypothèses!$V$10,Hypothèses!$W$10,IF(BZ241&lt;=Hypothèses!$V$11,Hypothèses!$W$11,IF(BZ241&lt;=Hypothèses!$V$12,Hypothèses!$W$12,IF(BZ241&lt;=Hypothèses!$V$13,Hypothèses!$W$13,IF(BZ241&lt;=Hypothèses!$V$14,Hypothèses!$W$14,IF(BZ241&lt;=Hypothèses!$V$15,Hypothèses!$W$15,IF(BZ241&lt;=Hypothèses!$V$16,Hypothèses!$W$16,IF(BZ241&lt;=Hypothèses!$V$17,Hypothèses!$W$17,IF(BZ241&lt;=Hypothèses!$V$18,Hypothèses!$W$18,""))))))))))))</f>
        <v>#DIV/0!</v>
      </c>
      <c r="CU241" s="87" t="e">
        <f t="shared" ca="1" si="420"/>
        <v>#DIV/0!</v>
      </c>
      <c r="CV241" s="88" t="e">
        <f ca="1">IF(BZ241&lt;=Hypothèses!$V$7,Hypothèses!$X$7,IF(BZ241&lt;=Hypothèses!$V$8,Hypothèses!$X$8,IF(BZ241&lt;=Hypothèses!$V$9,Hypothèses!$X$9,IF(BZ241&lt;=Hypothèses!$V$10,Hypothèses!$X$10,IF(BZ241&lt;=Hypothèses!$V$11,Hypothèses!$X$11,IF(BZ241&lt;=Hypothèses!$V$12,Hypothèses!$X$12,IF(BZ241&lt;=Hypothèses!$V$13,Hypothèses!$X$13,IF(BZ241&lt;=Hypothèses!$V$14,Hypothèses!$X$14,IF(BZ241&lt;=Hypothèses!$V$15,Hypothèses!$X$15,IF(BZ241&lt;=Hypothèses!$V$16,Hypothèses!$X$16,IF(BZ241&lt;=Hypothèses!$U$17,Hypothèses!$W$17,IF(BZ241&lt;=Hypothèses!$U$18,Hypothèses!$W$18,""))))))))))))</f>
        <v>#DIV/0!</v>
      </c>
      <c r="CW241" s="95" t="e">
        <f t="shared" ca="1" si="385"/>
        <v>#DIV/0!</v>
      </c>
      <c r="CX241" s="101">
        <f t="shared" si="427"/>
        <v>0</v>
      </c>
      <c r="CY241" s="91">
        <f t="shared" si="352"/>
        <v>0</v>
      </c>
      <c r="CZ241" s="30" t="e">
        <f t="shared" si="408"/>
        <v>#N/A</v>
      </c>
      <c r="DA241" s="30" t="e">
        <f t="shared" si="409"/>
        <v>#N/A</v>
      </c>
      <c r="DB241" s="31" t="e">
        <f>IF(OR(Hypothèses!$B$4=17,Hypothèses!$B$4=18,Hypothèses!$B$4=19,Hypothèses!$B$4=20),
IF($D241="Pressio.",
IF(OR($E241=3,$E241=1,$E241=4),DA241,CZ241),
IF($D241="Pénétro.",
IF(OR($E241=3,$E241=1,$E241=4),DA241,CZ241))),IF($D241="Pressio.",
IF($E241=3,DA241,CZ241),
IF($D241="Pénétro.",
IF($E241=4,DA241,CZ241))))</f>
        <v>#N/A</v>
      </c>
      <c r="DC241" s="31">
        <v>0</v>
      </c>
      <c r="DD241" s="102" t="e">
        <f>IF(NDC!$H$10="Oui",(VLOOKUP($B$3,'Coeff EC7'!$T$39:$X$59,2,0)*DB241+VLOOKUP($B$3,'Coeff EC7'!$T$65:$X$85,2,0)*Model0.1T!DC241)/1.5,PI()*CZ$12*$Q241*($B241-$B240)*0.15/10+DD240)</f>
        <v>#N/A</v>
      </c>
      <c r="DE241" s="102" t="e">
        <f>(VLOOKUP($B$3,'Coeff EC7'!$T$39:$X$59,3,0)*DB241+VLOOKUP($B$3,'Coeff EC7'!$T$65:$X$85,3,0)*Model0.1T!DC241)/1.1</f>
        <v>#N/A</v>
      </c>
      <c r="DF241" s="102" t="e">
        <f t="shared" si="386"/>
        <v>#N/A</v>
      </c>
      <c r="DG241" s="102" t="e">
        <f t="shared" si="387"/>
        <v>#N/A</v>
      </c>
      <c r="DH241" s="414" t="e">
        <f>IF(AND(DD241&gt;NDC!$C$63,DE241&gt;NDC!$C$65,DF241&gt;NDC!$D$73,DG241&gt;NDC!$D$74,$B241&gt;NDC!$H$22-0.1+MIN(3*DH$12,1.5)),0,1)</f>
        <v>#N/A</v>
      </c>
      <c r="DI241" s="86" t="b">
        <f t="shared" si="353"/>
        <v>0</v>
      </c>
      <c r="DJ241" s="86">
        <f t="shared" si="354"/>
        <v>0.5</v>
      </c>
      <c r="DK241" s="86">
        <f t="shared" si="355"/>
        <v>0.5</v>
      </c>
      <c r="DL241" s="30" t="e">
        <f t="shared" ca="1" si="388"/>
        <v>#DIV/0!</v>
      </c>
      <c r="DM241" s="85" t="e">
        <f ca="1">IF(CS241&lt;=Hypothèses!$V$7,Hypothèses!$W$7,IF(CS241&lt;=Hypothèses!$V$8,Hypothèses!$W$8,IF(CS241&lt;=Hypothèses!$V$9,Hypothèses!$W$9,IF(CS241&lt;=Hypothèses!$V$10,Hypothèses!$W$10,IF(CS241&lt;=Hypothèses!$V$11,Hypothèses!$W$11,IF(CS241&lt;=Hypothèses!$V$12,Hypothèses!$W$12,IF(CS241&lt;=Hypothèses!$V$13,Hypothèses!$W$13,IF(CS241&lt;=Hypothèses!$V$14,Hypothèses!$W$14,IF(CS241&lt;=Hypothèses!$V$15,Hypothèses!$W$15,IF(CS241&lt;=Hypothèses!$V$16,Hypothèses!$W$16,IF(CS241&lt;=Hypothèses!$V$17,Hypothèses!$W$17,IF(CS241&lt;=Hypothèses!$V$18,Hypothèses!$W$18,""))))))))))))</f>
        <v>#DIV/0!</v>
      </c>
      <c r="DN241" s="87" t="e">
        <f t="shared" ca="1" si="421"/>
        <v>#DIV/0!</v>
      </c>
      <c r="DO241" s="88" t="e">
        <f ca="1">IF(CS241&lt;=Hypothèses!$V$7,Hypothèses!$X$7,IF(CS241&lt;=Hypothèses!$V$8,Hypothèses!$X$8,IF(CS241&lt;=Hypothèses!$V$9,Hypothèses!$X$9,IF(CS241&lt;=Hypothèses!$V$10,Hypothèses!$X$10,IF(CS241&lt;=Hypothèses!$V$11,Hypothèses!$X$11,IF(CS241&lt;=Hypothèses!$V$12,Hypothèses!$X$12,IF(CS241&lt;=Hypothèses!$V$13,Hypothèses!$X$13,IF(CS241&lt;=Hypothèses!$V$14,Hypothèses!$X$14,IF(CS241&lt;=Hypothèses!$V$15,Hypothèses!$X$15,IF(CS241&lt;=Hypothèses!$V$16,Hypothèses!$X$16,IF(CS241&lt;=Hypothèses!$U$17,Hypothèses!$W$17,IF(CS241&lt;=Hypothèses!$U$18,Hypothèses!$W$18,""))))))))))))</f>
        <v>#DIV/0!</v>
      </c>
      <c r="DP241" s="95" t="e">
        <f t="shared" ca="1" si="389"/>
        <v>#DIV/0!</v>
      </c>
      <c r="DQ241" s="101">
        <f t="shared" si="428"/>
        <v>0</v>
      </c>
      <c r="DR241" s="91">
        <f t="shared" si="356"/>
        <v>0</v>
      </c>
      <c r="DS241" s="30" t="e">
        <f t="shared" si="410"/>
        <v>#N/A</v>
      </c>
      <c r="DT241" s="30" t="e">
        <f t="shared" si="411"/>
        <v>#N/A</v>
      </c>
      <c r="DU241" s="31" t="e">
        <f>IF(OR(Hypothèses!$B$4=17,Hypothèses!$B$4=18,Hypothèses!$B$4=19,Hypothèses!$B$4=20),
IF($D241="Pressio.",
IF(OR($E241=3,$E241=1,$E241=4),DT241,DS241),
IF($D241="Pénétro.",
IF(OR($E241=3,$E241=1,$E241=4),DT241,DS241))),IF($D241="Pressio.",
IF($E241=3,DT241,DS241),
IF($D241="Pénétro.",
IF($E241=4,DT241,DS241))))</f>
        <v>#N/A</v>
      </c>
      <c r="DV241" s="31">
        <v>0</v>
      </c>
      <c r="DW241" s="102" t="e">
        <f>IF(NDC!$H$10="Oui",(VLOOKUP($B$3,'Coeff EC7'!$T$39:$X$59,2,0)*DU241+VLOOKUP($B$3,'Coeff EC7'!$T$65:$X$85,2,0)*Model0.1T!DV241)/1.5,PI()*DS$12*$Q241*($B241-$B240)*0.15/10+DW240)</f>
        <v>#N/A</v>
      </c>
      <c r="DX241" s="102" t="e">
        <f>(VLOOKUP($B$3,'Coeff EC7'!$T$39:$X$59,3,0)*DU241+VLOOKUP($B$3,'Coeff EC7'!$T$65:$X$85,3,0)*Model0.1T!DV241)/1.1</f>
        <v>#N/A</v>
      </c>
      <c r="DY241" s="102" t="e">
        <f t="shared" si="390"/>
        <v>#N/A</v>
      </c>
      <c r="DZ241" s="102" t="e">
        <f t="shared" si="391"/>
        <v>#N/A</v>
      </c>
      <c r="EA241" s="414" t="e">
        <f>IF(AND(DW241&gt;NDC!$C$63,DX241&gt;NDC!$C$65,DY241&gt;NDC!$D$73,DZ241&gt;NDC!$D$74,$B241&gt;NDC!$H$22-0.1+MIN(3*EA$12,1.5)),0,1)</f>
        <v>#N/A</v>
      </c>
      <c r="EB241" s="86" t="b">
        <f t="shared" si="357"/>
        <v>0</v>
      </c>
      <c r="EC241" s="418">
        <f t="shared" si="358"/>
        <v>0.51</v>
      </c>
      <c r="ED241" s="86">
        <f t="shared" si="359"/>
        <v>0.51</v>
      </c>
      <c r="EE241" s="30" t="e">
        <f t="shared" ca="1" si="392"/>
        <v>#DIV/0!</v>
      </c>
      <c r="EF241" s="85" t="e">
        <f ca="1">IF(DL241&lt;=Hypothèses!$V$7,Hypothèses!$W$7,IF(DL241&lt;=Hypothèses!$V$8,Hypothèses!$W$8,IF(DL241&lt;=Hypothèses!$V$9,Hypothèses!$W$9,IF(DL241&lt;=Hypothèses!$V$10,Hypothèses!$W$10,IF(DL241&lt;=Hypothèses!$V$11,Hypothèses!$W$11,IF(DL241&lt;=Hypothèses!$V$12,Hypothèses!$W$12,IF(DL241&lt;=Hypothèses!$V$13,Hypothèses!$W$13,IF(DL241&lt;=Hypothèses!$V$14,Hypothèses!$W$14,IF(DL241&lt;=Hypothèses!$V$15,Hypothèses!$W$15,IF(DL241&lt;=Hypothèses!$V$16,Hypothèses!$W$16,IF(DL241&lt;=Hypothèses!$V$17,Hypothèses!$W$17,IF(DL241&lt;=Hypothèses!$V$18,Hypothèses!$W$18,""))))))))))))</f>
        <v>#DIV/0!</v>
      </c>
      <c r="EG241" s="87" t="e">
        <f t="shared" ca="1" si="422"/>
        <v>#DIV/0!</v>
      </c>
      <c r="EH241" s="88" t="e">
        <f ca="1">IF(DL241&lt;=Hypothèses!$V$7,Hypothèses!$X$7,IF(DL241&lt;=Hypothèses!$V$8,Hypothèses!$X$8,IF(DL241&lt;=Hypothèses!$V$9,Hypothèses!$X$9,IF(DL241&lt;=Hypothèses!$V$10,Hypothèses!$X$10,IF(DL241&lt;=Hypothèses!$V$11,Hypothèses!$X$11,IF(DL241&lt;=Hypothèses!$V$12,Hypothèses!$X$12,IF(DL241&lt;=Hypothèses!$V$13,Hypothèses!$X$13,IF(DL241&lt;=Hypothèses!$V$14,Hypothèses!$X$14,IF(DL241&lt;=Hypothèses!$V$15,Hypothèses!$X$15,IF(DL241&lt;=Hypothèses!$V$16,Hypothèses!$X$16,IF(DL241&lt;=Hypothèses!$U$17,Hypothèses!$W$17,IF(DL241&lt;=Hypothèses!$U$18,Hypothèses!$W$18,""))))))))))))</f>
        <v>#DIV/0!</v>
      </c>
      <c r="EI241" s="95" t="e">
        <f t="shared" ca="1" si="393"/>
        <v>#DIV/0!</v>
      </c>
      <c r="EJ241" s="101">
        <f t="shared" si="429"/>
        <v>0</v>
      </c>
      <c r="EK241" s="91">
        <f t="shared" si="360"/>
        <v>0</v>
      </c>
      <c r="EL241" s="30" t="e">
        <f t="shared" si="412"/>
        <v>#N/A</v>
      </c>
      <c r="EM241" s="30" t="e">
        <f t="shared" si="413"/>
        <v>#N/A</v>
      </c>
      <c r="EN241" s="31" t="e">
        <f>IF(OR(Hypothèses!$B$4=17,Hypothèses!$B$4=18,Hypothèses!$B$4=19,Hypothèses!$B$4=20),
IF($D241="Pressio.",
IF(OR($E241=3,$E241=1,$E241=4),EM241,EL241),
IF($D241="Pénétro.",
IF(OR($E241=3,$E241=1,$E241=4),EM241,EL241))),IF($D241="Pressio.",
IF($E241=3,EM241,EL241),
IF($D241="Pénétro.",
IF($E241=4,EM241,EL241))))</f>
        <v>#N/A</v>
      </c>
      <c r="EO241" s="31">
        <v>0</v>
      </c>
      <c r="EP241" s="102" t="e">
        <f>IF(NDC!$H$10="Oui",(VLOOKUP($B$3,'Coeff EC7'!$T$39:$X$59,2,0)*EN241+VLOOKUP($B$3,'Coeff EC7'!$T$65:$X$85,2,0)*Model0.1T!EO241)/1.5,PI()*EL$12*$Q241*($B241-$B240)*0.15/10+EP240)</f>
        <v>#N/A</v>
      </c>
      <c r="EQ241" s="102" t="e">
        <f>(VLOOKUP($B$3,'Coeff EC7'!$T$39:$X$59,3,0)*EN241+VLOOKUP($B$3,'Coeff EC7'!$T$65:$X$85,3,0)*Model0.1T!EO241)/1.1</f>
        <v>#N/A</v>
      </c>
      <c r="ER241" s="102" t="e">
        <f t="shared" si="394"/>
        <v>#N/A</v>
      </c>
      <c r="ES241" s="102" t="e">
        <f t="shared" si="395"/>
        <v>#N/A</v>
      </c>
      <c r="ET241" s="414" t="e">
        <f>IF(AND(EP241&gt;NDC!$C$63,EQ241&gt;NDC!$C$65,ER241&gt;NDC!$D$73,ES241&gt;NDC!$D$74,$B241&gt;NDC!$H$22-0.1+MIN(3*ET$12,1.5)),0,1)</f>
        <v>#N/A</v>
      </c>
      <c r="EU241" s="86" t="b">
        <f t="shared" si="361"/>
        <v>0</v>
      </c>
      <c r="EV241" s="86">
        <f t="shared" si="362"/>
        <v>0.61</v>
      </c>
      <c r="EW241" s="86">
        <f t="shared" si="363"/>
        <v>0.61</v>
      </c>
      <c r="EX241" s="30" t="e">
        <f t="shared" ca="1" si="396"/>
        <v>#DIV/0!</v>
      </c>
      <c r="EY241" s="85" t="e">
        <f ca="1">IF(EE241&lt;=Hypothèses!$V$7,Hypothèses!$W$7,IF(EE241&lt;=Hypothèses!$V$8,Hypothèses!$W$8,IF(EE241&lt;=Hypothèses!$V$9,Hypothèses!$W$9,IF(EE241&lt;=Hypothèses!$V$10,Hypothèses!$W$10,IF(EE241&lt;=Hypothèses!$V$11,Hypothèses!$W$11,IF(EE241&lt;=Hypothèses!$V$12,Hypothèses!$W$12,IF(EE241&lt;=Hypothèses!$V$13,Hypothèses!$W$13,IF(EE241&lt;=Hypothèses!$V$14,Hypothèses!$W$14,IF(EE241&lt;=Hypothèses!$V$15,Hypothèses!$W$15,IF(EE241&lt;=Hypothèses!$V$16,Hypothèses!$W$16,IF(EE241&lt;=Hypothèses!$V$17,Hypothèses!$W$17,IF(EE241&lt;=Hypothèses!$V$18,Hypothèses!$W$18,""))))))))))))</f>
        <v>#DIV/0!</v>
      </c>
      <c r="EZ241" s="87" t="e">
        <f t="shared" ca="1" si="423"/>
        <v>#DIV/0!</v>
      </c>
      <c r="FA241" s="88" t="e">
        <f ca="1">IF(EE241&lt;=Hypothèses!$V$7,Hypothèses!$X$7,IF(EE241&lt;=Hypothèses!$V$8,Hypothèses!$X$8,IF(EE241&lt;=Hypothèses!$V$9,Hypothèses!$X$9,IF(EE241&lt;=Hypothèses!$V$10,Hypothèses!$X$10,IF(EE241&lt;=Hypothèses!$V$11,Hypothèses!$X$11,IF(EE241&lt;=Hypothèses!$V$12,Hypothèses!$X$12,IF(EE241&lt;=Hypothèses!$V$13,Hypothèses!$X$13,IF(EE241&lt;=Hypothèses!$V$14,Hypothèses!$X$14,IF(EE241&lt;=Hypothèses!$V$15,Hypothèses!$X$15,IF(EE241&lt;=Hypothèses!$V$16,Hypothèses!$X$16,IF(EE241&lt;=Hypothèses!$U$17,Hypothèses!$W$17,IF(EE241&lt;=Hypothèses!$U$18,Hypothèses!$W$18,""))))))))))))</f>
        <v>#DIV/0!</v>
      </c>
      <c r="FB241" s="95" t="e">
        <f t="shared" ca="1" si="397"/>
        <v>#DIV/0!</v>
      </c>
      <c r="FC241" s="101">
        <f t="shared" si="430"/>
        <v>0</v>
      </c>
      <c r="FD241" s="91">
        <f t="shared" si="364"/>
        <v>0</v>
      </c>
      <c r="FE241" s="30" t="e">
        <f t="shared" si="414"/>
        <v>#N/A</v>
      </c>
      <c r="FF241" s="30" t="e">
        <f t="shared" si="415"/>
        <v>#N/A</v>
      </c>
      <c r="FG241" s="31" t="e">
        <f>IF(OR(Hypothèses!$B$4=17,Hypothèses!$B$4=18,Hypothèses!$B$4=19,Hypothèses!$B$4=20),
IF($D241="Pressio.",
IF(OR($E241=3,$E241=1,$E241=4),FF241,FE241),
IF($D241="Pénétro.",
IF(OR($E241=3,$E241=1,$E241=4),FF241,FE241))),IF($D241="Pressio.",
IF($E241=3,FF241,FE241),
IF($D241="Pénétro.",
IF($E241=4,FF241,FE241))))</f>
        <v>#N/A</v>
      </c>
      <c r="FH241" s="31">
        <v>0</v>
      </c>
      <c r="FI241" s="102" t="e">
        <f>IF(NDC!$H$10="Oui",(VLOOKUP($B$3,'Coeff EC7'!$T$39:$X$59,2,0)*FG241+VLOOKUP($B$3,'Coeff EC7'!$T$65:$X$85,2,0)*Model0.1T!FH241)/1.5,PI()*FE$12*$Q241*($B241-$B240)*0.15/10+FI240)</f>
        <v>#N/A</v>
      </c>
      <c r="FJ241" s="102" t="e">
        <f>(VLOOKUP($B$3,'Coeff EC7'!$T$39:$X$59,3,0)*FG241+VLOOKUP($B$3,'Coeff EC7'!$T$65:$X$85,3,0)*Model0.1T!FH241)/1.1</f>
        <v>#N/A</v>
      </c>
      <c r="FK241" s="102" t="e">
        <f t="shared" si="398"/>
        <v>#N/A</v>
      </c>
      <c r="FL241" s="102" t="e">
        <f t="shared" si="399"/>
        <v>#N/A</v>
      </c>
      <c r="FM241" s="414" t="e">
        <f>IF(AND(FI241&gt;NDC!$C$63,FJ241&gt;NDC!$C$65,FK241&gt;NDC!$D$73,FL241&gt;NDC!$D$74,$B241&gt;NDC!$H$22-0.1+MIN(3*FM$12,1.5)),0,1)</f>
        <v>#N/A</v>
      </c>
    </row>
    <row r="242" spans="1:169">
      <c r="A242" s="96">
        <f t="shared" si="365"/>
        <v>77.100000000001302</v>
      </c>
      <c r="B242" s="97">
        <v>22.9</v>
      </c>
      <c r="C242" s="81">
        <f>IF(B242&lt;=Hypothèses!$C$7,Hypothèses!$A$7,IF(B242&lt;=Hypothèses!$C$8,Hypothèses!$A$8,IF(B242&lt;=Hypothèses!$C$9,Hypothèses!$A$9,IF(B242&lt;=Hypothèses!$C$10,Hypothèses!$A$10,IF(B242&lt;=Hypothèses!$C$11,Hypothèses!$A$11,IF(B242&lt;=Hypothèses!$C$12,Hypothèses!$A$12,IF(B242&lt;=Hypothèses!$C$13,Hypothèses!$A$13,IF(B242&lt;=Hypothèses!$C$14,Hypothèses!$A$14,IF(B242&lt;=Hypothèses!$C$15,Hypothèses!$A$15,IF(B242&lt;=Hypothèses!$C$16,Hypothèses!$A$16,IF(B242&lt;=Hypothèses!$C$17,Hypothèses!$A$17,IF(B242&lt;=Hypothèses!$C$18,Hypothèses!$A$18,C241))))))))))))</f>
        <v>11</v>
      </c>
      <c r="D242" s="82" t="str">
        <f>IF(B242&lt;=Hypothèses!$C$7,Hypothèses!$R$7,IF(B242&lt;=Hypothèses!$C$8,Hypothèses!$R$8,IF(B242&lt;=Hypothèses!$C$9,Hypothèses!$R$9,IF(B242&lt;=Hypothèses!$C$10,Hypothèses!$R$10,IF(B242&lt;=Hypothèses!$C$11,Hypothèses!$R$11,IF(B242&lt;=Hypothèses!$C$12,Hypothèses!$R$12,IF(B242&lt;=Hypothèses!$C$13,Hypothèses!$R$13,IF(B242&lt;=Hypothèses!$C$14,Hypothèses!$R$14,IF(B242&lt;=Hypothèses!$C$15,Hypothèses!$R$15,IF(B242&lt;=Hypothèses!$C$16,Hypothèses!$R$16,IF(B242&lt;=Hypothèses!$C$17,Hypothèses!$R$17,IF(B242&lt;=Hypothèses!$C$18,Hypothèses!$R$18,D241))))))))))))</f>
        <v>Pressio.</v>
      </c>
      <c r="E242" s="82" t="e">
        <f>IF(B242&lt;=Hypothèses!$C$7,Hypothèses!$G$7,IF(B242&lt;=Hypothèses!$C$8,Hypothèses!$G$8,IF(B242&lt;=Hypothèses!$C$9,Hypothèses!$G$9,IF(B242&lt;=Hypothèses!$C$10,Hypothèses!$G$10,IF(B242&lt;=Hypothèses!$C$11,Hypothèses!$G$11,IF(B242&lt;=Hypothèses!$C$12,Hypothèses!$G$12,IF(B242&lt;=Hypothèses!$C$13,Hypothèses!$G$13,IF(B242&lt;=Hypothèses!$C$14,Hypothèses!$G$14,IF(B242&lt;=Hypothèses!$C$15,Hypothèses!$G$15,IF(B242&lt;=Hypothèses!$C$16,Hypothèses!$G$16,IF(B242&lt;=Hypothèses!$C$17,Hypothèses!$G$17,IF(B242&lt;=Hypothèses!$C$18,Hypothèses!$G$18,E241))))))))))))</f>
        <v>#N/A</v>
      </c>
      <c r="F242" s="82" t="str">
        <f>IF(B242&lt;=Hypothèses!$C$7,Hypothèses!$F$7,IF(B242&lt;=Hypothèses!$C$8,Hypothèses!$F$8,IF(B242&lt;=Hypothèses!$C$9,Hypothèses!$F$9,IF(B242&lt;=Hypothèses!$C$10,Hypothèses!$F$10,IF(B242&lt;=Hypothèses!$C$11,Hypothèses!$F$11,IF(B242&lt;=Hypothèses!$C$12,Hypothèses!$F$12,IF(B242&lt;=Hypothèses!$C$13,Hypothèses!$F$13,IF(B242&lt;=Hypothèses!$C$14,Hypothèses!$F$14,IF(B242&lt;=Hypothèses!$C$15,Hypothèses!$F$15,IF(B242&lt;=Hypothèses!$C$16,Hypothèses!$F$16,IF(B242&lt;=Hypothèses!$C$17,Hypothèses!$F$17,IF(B242&lt;=Hypothèses!$C$18,Hypothèses!$F$18,F241))))))))))))</f>
        <v/>
      </c>
      <c r="G242" s="91">
        <f t="array" ref="G242">INDEX('Coeff EC7'!$U$7:$X$27,
MATCH(Model0.1T!$B$3,'Coeff EC7'!$T$7:$T$27,0),
MATCH(Model0.1T!$D242&amp;Model0.1T!$B$4,
'Coeff EC7'!$U$6:$X$6&amp;
'Coeff EC7'!$U$5:$X$5,0))</f>
        <v>1.4</v>
      </c>
      <c r="H242" s="91">
        <f t="array" ref="H242">INDEX('Coeff EC7'!$Y$7:$AB$27,
MATCH(Model0.1T!$B$3,'Coeff EC7'!$T$7:$T$27,0),
MATCH(Model0.1T!$D242&amp;Model0.1T!$B$4,
'Coeff EC7'!$Y$6:$AB$6&amp;
'Coeff EC7'!$Y$5:$AB$5,0))</f>
        <v>1.7</v>
      </c>
      <c r="I242" s="83">
        <v>0</v>
      </c>
      <c r="J242" s="91" t="e">
        <f t="array" ref="J242">INDEX('Coeff EC7'!$D$33:$Q$33,1,MATCH(D242&amp;E242,'Coeff EC7'!$D$31:$Q$31&amp;'Coeff EC7'!$D$32:$Q$32,0))</f>
        <v>#N/A</v>
      </c>
      <c r="K242" s="91" t="e">
        <f t="array" ref="K242">INDEX('Coeff EC7'!$D$34:$Q$34,1,MATCH(D242&amp;E242,'Coeff EC7'!$D$31:$Q$31&amp;'Coeff EC7'!$D$32:$Q$32,0))</f>
        <v>#N/A</v>
      </c>
      <c r="L242" s="91" t="e">
        <f t="array" ref="L242">INDEX('Coeff EC7'!$D$35:$Q$35,1,MATCH(D242&amp;E242,'Coeff EC7'!$D$31:$Q$31&amp;'Coeff EC7'!$D$32:$Q$32,0))</f>
        <v>#N/A</v>
      </c>
      <c r="M242" s="98" t="e">
        <f t="shared" si="331"/>
        <v>#N/A</v>
      </c>
      <c r="N242" s="99" t="e">
        <f t="array" ref="N242">INDEX('Coeff EC7'!$D$7:$Q$27,MATCH($B$3,'Coeff EC7'!$C$7:$C$27,0),MATCH(D242&amp;E242,'Coeff EC7'!$D$5:$Q$5&amp;'Coeff EC7'!$D$6:$Q$6,0))</f>
        <v>#N/A</v>
      </c>
      <c r="O242" s="99" t="e">
        <f t="array" ref="O242">INDEX('Coeff EC7'!$D$41:$Q$61,MATCH($B$3,'Coeff EC7'!$C$41:$C$61,0),MATCH(D242&amp;E242,'Coeff EC7'!$D$39:$Q$39&amp;'Coeff EC7'!$D$40:$Q$40,0))</f>
        <v>#N/A</v>
      </c>
      <c r="P242" s="30" t="e">
        <f t="shared" si="366"/>
        <v>#N/A</v>
      </c>
      <c r="Q242" s="100" t="e">
        <f t="shared" si="333"/>
        <v>#N/A</v>
      </c>
      <c r="R242" s="86" t="b">
        <f t="shared" si="334"/>
        <v>0</v>
      </c>
      <c r="S242" s="86">
        <f t="shared" si="332"/>
        <v>0.5</v>
      </c>
      <c r="T242" s="86">
        <f t="shared" si="335"/>
        <v>0.5</v>
      </c>
      <c r="U242" s="30" t="e">
        <f t="shared" ca="1" si="367"/>
        <v>#DIV/0!</v>
      </c>
      <c r="V242" s="85" t="str">
        <f>IF(B242&lt;=Hypothèses!$V$7,Hypothèses!$W$7,IF(B242&lt;=Hypothèses!$V$8,Hypothèses!$W$8,IF(B242&lt;=Hypothèses!$V$9,Hypothèses!$W$9,IF(B242&lt;=Hypothèses!$V$10,Hypothèses!$W$10,IF(B242&lt;=Hypothèses!$V$11,Hypothèses!$W$11,IF(B242&lt;=Hypothèses!$V$12,Hypothèses!$W$12,IF(B242&lt;=Hypothèses!$V$13,Hypothèses!$W$13,IF(B242&lt;=Hypothèses!$V$14,Hypothèses!$W$14,IF(B242&lt;=Hypothèses!$V$15,Hypothèses!$W$15,IF(B242&lt;=Hypothèses!$V$16,Hypothèses!$W$16,IF(B242&lt;=Hypothèses!$V$17,Hypothèses!$W$17,IF(B242&lt;=Hypothèses!$V$18,Hypothèses!$W$18,""))))))))))))</f>
        <v/>
      </c>
      <c r="W242" s="87" t="e">
        <f t="shared" ca="1" si="416"/>
        <v>#DIV/0!</v>
      </c>
      <c r="X242" s="88" t="str">
        <f>IF(B242&lt;=Hypothèses!$V$7,Hypothèses!$X$7,IF(B242&lt;=Hypothèses!$V$8,Hypothèses!$X$8,IF(B242&lt;=Hypothèses!$V$9,Hypothèses!$X$9,IF(B242&lt;=Hypothèses!$V$10,Hypothèses!$X$10,IF(B242&lt;=Hypothèses!$V$11,Hypothèses!$X$11,IF(B242&lt;=Hypothèses!$V$12,Hypothèses!$X$12,IF(B242&lt;=Hypothèses!$V$13,Hypothèses!$X$13,IF(B242&lt;=Hypothèses!$V$14,Hypothèses!$X$14,IF(B242&lt;=Hypothèses!$V$15,Hypothèses!$X$15,IF(B242&lt;=Hypothèses!$V$16,Hypothèses!$X$16,IF(B242&lt;=Hypothèses!$U$17,Hypothèses!$W$17,IF(B242&lt;=Hypothèses!$U$18,Hypothèses!$W$18,""))))))))))))</f>
        <v/>
      </c>
      <c r="Y242" s="95" t="e">
        <f t="shared" ca="1" si="336"/>
        <v>#DIV/0!</v>
      </c>
      <c r="Z242" s="101">
        <f t="shared" si="337"/>
        <v>0</v>
      </c>
      <c r="AA242" s="91">
        <f t="shared" si="338"/>
        <v>0</v>
      </c>
      <c r="AB242" s="30" t="e">
        <f t="shared" si="400"/>
        <v>#N/A</v>
      </c>
      <c r="AC242" s="30" t="e">
        <f t="shared" si="401"/>
        <v>#N/A</v>
      </c>
      <c r="AD242" s="31" t="e">
        <f>IF(OR(Hypothèses!$B$4=17,Hypothèses!$B$4=18,Hypothèses!$B$4=19,Hypothèses!$B$4=20),
IF($D242="Pressio.",
IF(OR($E242=3,$E242=1,$E242=4),AC242,AB242),
IF($D242="Pénétro.",
IF(OR($E242=3,$E242=1,$E242=4),AC242,AB242))),IF($D242="Pressio.",
IF($E242=3,AC242,AB242),
IF($D242="Pénétro.",
IF($E242=4,AC242,AB242))))</f>
        <v>#N/A</v>
      </c>
      <c r="AE242" s="31">
        <v>0</v>
      </c>
      <c r="AF242" s="102" t="e">
        <f>IF(NDC!$H$10="Oui",(VLOOKUP($B$3,'Coeff EC7'!$T$39:$X$59,2,0)*AD242+VLOOKUP($B$3,'Coeff EC7'!$T$65:$X$85,2,0)*Model0.1T!AE242)/1.5,PI()*AB$12*$Q242*($B242-$B241)*0.15/10+AF241)</f>
        <v>#N/A</v>
      </c>
      <c r="AG242" s="102" t="e">
        <f>(VLOOKUP($B$3,'Coeff EC7'!$T$39:$X$59,3,0)*AD242+VLOOKUP($B$3,'Coeff EC7'!$T$65:$X$85,3,0)*Model0.1T!AE242)/1.1</f>
        <v>#N/A</v>
      </c>
      <c r="AH242" s="102" t="e">
        <f t="shared" si="368"/>
        <v>#N/A</v>
      </c>
      <c r="AI242" s="102" t="e">
        <f t="shared" si="369"/>
        <v>#N/A</v>
      </c>
      <c r="AJ242" s="414" t="e">
        <f>IF(AND(AF242&gt;NDC!$C$63,AG242&gt;NDC!$C$65,AH242&gt;NDC!$D$73,AI242&gt;NDC!$D$74,$B242&gt;NDC!$H$22-0.1+MIN(3*$AJ$12,1.5)),0,1)</f>
        <v>#N/A</v>
      </c>
      <c r="AK242" s="86" t="b">
        <f t="shared" si="339"/>
        <v>0</v>
      </c>
      <c r="AL242" s="86">
        <f t="shared" si="370"/>
        <v>0.5</v>
      </c>
      <c r="AM242" s="86">
        <f t="shared" si="340"/>
        <v>0.5</v>
      </c>
      <c r="AN242" s="30" t="e">
        <f t="shared" ca="1" si="371"/>
        <v>#DIV/0!</v>
      </c>
      <c r="AO242" s="85" t="e">
        <f ca="1">IF(U242&lt;=Hypothèses!$V$7,Hypothèses!$W$7,IF(U242&lt;=Hypothèses!$V$8,Hypothèses!$W$8,IF(U242&lt;=Hypothèses!$V$9,Hypothèses!$W$9,IF(U242&lt;=Hypothèses!$V$10,Hypothèses!$W$10,IF(U242&lt;=Hypothèses!$V$11,Hypothèses!$W$11,IF(U242&lt;=Hypothèses!$V$12,Hypothèses!$W$12,IF(U242&lt;=Hypothèses!$V$13,Hypothèses!$W$13,IF(U242&lt;=Hypothèses!$V$14,Hypothèses!$W$14,IF(U242&lt;=Hypothèses!$V$15,Hypothèses!$W$15,IF(U242&lt;=Hypothèses!$V$16,Hypothèses!$W$16,IF(U242&lt;=Hypothèses!$V$17,Hypothèses!$W$17,IF(U242&lt;=Hypothèses!$V$18,Hypothèses!$W$18,""))))))))))))</f>
        <v>#DIV/0!</v>
      </c>
      <c r="AP242" s="87" t="e">
        <f t="shared" ca="1" si="417"/>
        <v>#DIV/0!</v>
      </c>
      <c r="AQ242" s="88" t="e">
        <f ca="1">IF(U242&lt;=Hypothèses!$V$7,Hypothèses!$X$7,IF(U242&lt;=Hypothèses!$V$8,Hypothèses!$X$8,IF(U242&lt;=Hypothèses!$V$9,Hypothèses!$X$9,IF(U242&lt;=Hypothèses!$V$10,Hypothèses!$X$10,IF(U242&lt;=Hypothèses!$V$11,Hypothèses!$X$11,IF(U242&lt;=Hypothèses!$V$12,Hypothèses!$X$12,IF(U242&lt;=Hypothèses!$V$13,Hypothèses!$X$13,IF(U242&lt;=Hypothèses!$V$14,Hypothèses!$X$14,IF(U242&lt;=Hypothèses!$V$15,Hypothèses!$X$15,IF(U242&lt;=Hypothèses!$V$16,Hypothèses!$X$16,IF(U242&lt;=Hypothèses!$U$17,Hypothèses!$W$17,IF(U242&lt;=Hypothèses!$U$18,Hypothèses!$W$18,""))))))))))))</f>
        <v>#DIV/0!</v>
      </c>
      <c r="AR242" s="95" t="e">
        <f t="shared" ca="1" si="372"/>
        <v>#DIV/0!</v>
      </c>
      <c r="AS242" s="101">
        <f t="shared" si="424"/>
        <v>0</v>
      </c>
      <c r="AT242" s="91">
        <f t="shared" si="341"/>
        <v>0</v>
      </c>
      <c r="AU242" s="30" t="e">
        <f t="shared" si="402"/>
        <v>#N/A</v>
      </c>
      <c r="AV242" s="30" t="e">
        <f t="shared" si="403"/>
        <v>#N/A</v>
      </c>
      <c r="AW242" s="31" t="e">
        <f>IF(OR(Hypothèses!$B$4=17,Hypothèses!$B$4=18,Hypothèses!$B$4=19,Hypothèses!$B$4=20),
IF($D242="Pressio.",
IF(OR($E242=3,$E242=1,$E242=4),AV242,AU242),
IF($D242="Pénétro.",
IF(OR($E242=3,$E242=1,$E242=4),AV242,AU242))),IF($D242="Pressio.",
IF($E242=3,AV242,AU242),
IF($D242="Pénétro.",
IF($E242=4,AV242,AU242))))</f>
        <v>#N/A</v>
      </c>
      <c r="AX242" s="31">
        <v>0</v>
      </c>
      <c r="AY242" s="102" t="e">
        <f>IF(NDC!$H$10="Oui",(VLOOKUP($B$3,'Coeff EC7'!$T$39:$X$59,2,0)*AW242+VLOOKUP($B$3,'Coeff EC7'!$T$65:$X$85,2,0)*Model0.1T!AX242)/1.5,PI()*AU$12*$Q242*($B242-$B241)*0.15/10+AY241)</f>
        <v>#N/A</v>
      </c>
      <c r="AZ242" s="102" t="e">
        <f>(VLOOKUP($B$3,'Coeff EC7'!$T$39:$X$59,3,0)*AW242+VLOOKUP($B$3,'Coeff EC7'!$T$65:$X$85,3,0)*Model0.1T!AX242)/1.1</f>
        <v>#N/A</v>
      </c>
      <c r="BA242" s="102" t="e">
        <f t="shared" si="373"/>
        <v>#N/A</v>
      </c>
      <c r="BB242" s="102" t="e">
        <f t="shared" si="374"/>
        <v>#N/A</v>
      </c>
      <c r="BC242" s="414" t="e">
        <f>IF(AND(AY242&gt;NDC!$C$63,AZ242&gt;NDC!$C$65,BA242&gt;NDC!$D$73,BB242&gt;NDC!$D$74,$B242&gt;NDC!$H$22-0.1+MIN(3*BC$12,1.5)),0,1)</f>
        <v>#N/A</v>
      </c>
      <c r="BD242" s="86" t="b">
        <f t="shared" si="342"/>
        <v>0</v>
      </c>
      <c r="BE242" s="86">
        <f t="shared" si="375"/>
        <v>0.5</v>
      </c>
      <c r="BF242" s="86">
        <f t="shared" si="343"/>
        <v>0.5</v>
      </c>
      <c r="BG242" s="30" t="e">
        <f t="shared" ca="1" si="376"/>
        <v>#DIV/0!</v>
      </c>
      <c r="BH242" s="85" t="e">
        <f ca="1">IF(AN242&lt;=Hypothèses!$V$7,Hypothèses!$W$7,IF(AN242&lt;=Hypothèses!$V$8,Hypothèses!$W$8,IF(AN242&lt;=Hypothèses!$V$9,Hypothèses!$W$9,IF(AN242&lt;=Hypothèses!$V$10,Hypothèses!$W$10,IF(AN242&lt;=Hypothèses!$V$11,Hypothèses!$W$11,IF(AN242&lt;=Hypothèses!$V$12,Hypothèses!$W$12,IF(AN242&lt;=Hypothèses!$V$13,Hypothèses!$W$13,IF(AN242&lt;=Hypothèses!$V$14,Hypothèses!$W$14,IF(AN242&lt;=Hypothèses!$V$15,Hypothèses!$W$15,IF(AN242&lt;=Hypothèses!$V$16,Hypothèses!$W$16,IF(AN242&lt;=Hypothèses!$V$17,Hypothèses!$W$17,IF(AN242&lt;=Hypothèses!$V$18,Hypothèses!$W$18,""))))))))))))</f>
        <v>#DIV/0!</v>
      </c>
      <c r="BI242" s="87" t="e">
        <f t="shared" ca="1" si="418"/>
        <v>#DIV/0!</v>
      </c>
      <c r="BJ242" s="88" t="e">
        <f ca="1">IF(AN242&lt;=Hypothèses!$V$7,Hypothèses!$X$7,IF(AN242&lt;=Hypothèses!$V$8,Hypothèses!$X$8,IF(AN242&lt;=Hypothèses!$V$9,Hypothèses!$X$9,IF(AN242&lt;=Hypothèses!$V$10,Hypothèses!$X$10,IF(AN242&lt;=Hypothèses!$V$11,Hypothèses!$X$11,IF(AN242&lt;=Hypothèses!$V$12,Hypothèses!$X$12,IF(AN242&lt;=Hypothèses!$V$13,Hypothèses!$X$13,IF(AN242&lt;=Hypothèses!$V$14,Hypothèses!$X$14,IF(AN242&lt;=Hypothèses!$V$15,Hypothèses!$X$15,IF(AN242&lt;=Hypothèses!$V$16,Hypothèses!$X$16,IF(AN242&lt;=Hypothèses!$U$17,Hypothèses!$W$17,IF(AN242&lt;=Hypothèses!$U$18,Hypothèses!$W$18,""))))))))))))</f>
        <v>#DIV/0!</v>
      </c>
      <c r="BK242" s="95" t="e">
        <f t="shared" ca="1" si="377"/>
        <v>#DIV/0!</v>
      </c>
      <c r="BL242" s="101">
        <f t="shared" si="425"/>
        <v>0</v>
      </c>
      <c r="BM242" s="91">
        <f t="shared" si="344"/>
        <v>0</v>
      </c>
      <c r="BN242" s="30" t="e">
        <f t="shared" si="404"/>
        <v>#N/A</v>
      </c>
      <c r="BO242" s="30" t="e">
        <f t="shared" si="405"/>
        <v>#N/A</v>
      </c>
      <c r="BP242" s="31" t="e">
        <f>IF(OR(Hypothèses!$B$4=17,Hypothèses!$B$4=18,Hypothèses!$B$4=19,Hypothèses!$B$4=20),
IF($D242="Pressio.",
IF(OR($E242=3,$E242=1,$E242=4),BO242,BN242),
IF($D242="Pénétro.",
IF(OR($E242=3,$E242=1,$E242=4),BO242,BN242))),IF($D242="Pressio.",
IF($E242=3,BO242,BN242),
IF($D242="Pénétro.",
IF($E242=4,BO242,BN242))))</f>
        <v>#N/A</v>
      </c>
      <c r="BQ242" s="31">
        <v>0</v>
      </c>
      <c r="BR242" s="102" t="e">
        <f>IF(NDC!$H$10="Oui",(VLOOKUP($B$3,'Coeff EC7'!$T$39:$X$59,2,0)*BP242+VLOOKUP($B$3,'Coeff EC7'!$T$65:$X$85,2,0)*Model0.1T!BQ242)/1.5,PI()*BN$12*$Q242*($B242-$B241)*0.15/10+BR241)</f>
        <v>#N/A</v>
      </c>
      <c r="BS242" s="102" t="e">
        <f>(VLOOKUP($B$3,'Coeff EC7'!$T$39:$X$59,3,0)*BP242+VLOOKUP($B$3,'Coeff EC7'!$T$65:$X$85,3,0)*Model0.1T!BQ242)/1.1</f>
        <v>#N/A</v>
      </c>
      <c r="BT242" s="102" t="e">
        <f t="shared" si="378"/>
        <v>#N/A</v>
      </c>
      <c r="BU242" s="102" t="e">
        <f t="shared" si="379"/>
        <v>#N/A</v>
      </c>
      <c r="BV242" s="414" t="e">
        <f>IF(AND(BR242&gt;NDC!$C$63,BS242&gt;NDC!$C$65,BT242&gt;NDC!$D$73,BU242&gt;NDC!$D$74,$B242&gt;NDC!$H$22-0.1+MIN(3*BV$12,1.5)),0,1)</f>
        <v>#N/A</v>
      </c>
      <c r="BW242" s="86" t="b">
        <f t="shared" si="345"/>
        <v>0</v>
      </c>
      <c r="BX242" s="86">
        <f t="shared" si="346"/>
        <v>0.5</v>
      </c>
      <c r="BY242" s="86">
        <f t="shared" si="347"/>
        <v>0.5</v>
      </c>
      <c r="BZ242" s="30" t="e">
        <f t="shared" ca="1" si="380"/>
        <v>#DIV/0!</v>
      </c>
      <c r="CA242" s="85" t="e">
        <f ca="1">IF(BG242&lt;=Hypothèses!$V$7,Hypothèses!$W$7,IF(BG242&lt;=Hypothèses!$V$8,Hypothèses!$W$8,IF(BG242&lt;=Hypothèses!$V$9,Hypothèses!$W$9,IF(BG242&lt;=Hypothèses!$V$10,Hypothèses!$W$10,IF(BG242&lt;=Hypothèses!$V$11,Hypothèses!$W$11,IF(BG242&lt;=Hypothèses!$V$12,Hypothèses!$W$12,IF(BG242&lt;=Hypothèses!$V$13,Hypothèses!$W$13,IF(BG242&lt;=Hypothèses!$V$14,Hypothèses!$W$14,IF(BG242&lt;=Hypothèses!$V$15,Hypothèses!$W$15,IF(BG242&lt;=Hypothèses!$V$16,Hypothèses!$W$16,IF(BG242&lt;=Hypothèses!$V$17,Hypothèses!$W$17,IF(BG242&lt;=Hypothèses!$V$18,Hypothèses!$W$18,""))))))))))))</f>
        <v>#DIV/0!</v>
      </c>
      <c r="CB242" s="87" t="e">
        <f t="shared" ca="1" si="419"/>
        <v>#DIV/0!</v>
      </c>
      <c r="CC242" s="88" t="e">
        <f ca="1">IF(BG242&lt;=Hypothèses!$V$7,Hypothèses!$X$7,IF(BG242&lt;=Hypothèses!$V$8,Hypothèses!$X$8,IF(BG242&lt;=Hypothèses!$V$9,Hypothèses!$X$9,IF(BG242&lt;=Hypothèses!$V$10,Hypothèses!$X$10,IF(BG242&lt;=Hypothèses!$V$11,Hypothèses!$X$11,IF(BG242&lt;=Hypothèses!$V$12,Hypothèses!$X$12,IF(BG242&lt;=Hypothèses!$V$13,Hypothèses!$X$13,IF(BG242&lt;=Hypothèses!$V$14,Hypothèses!$X$14,IF(BG242&lt;=Hypothèses!$V$15,Hypothèses!$X$15,IF(BG242&lt;=Hypothèses!$V$16,Hypothèses!$X$16,IF(BG242&lt;=Hypothèses!$U$17,Hypothèses!$W$17,IF(BG242&lt;=Hypothèses!$U$18,Hypothèses!$W$18,""))))))))))))</f>
        <v>#DIV/0!</v>
      </c>
      <c r="CD242" s="95" t="e">
        <f t="shared" ca="1" si="381"/>
        <v>#DIV/0!</v>
      </c>
      <c r="CE242" s="101">
        <f t="shared" si="426"/>
        <v>0</v>
      </c>
      <c r="CF242" s="91">
        <f t="shared" si="348"/>
        <v>0</v>
      </c>
      <c r="CG242" s="30" t="e">
        <f t="shared" si="406"/>
        <v>#N/A</v>
      </c>
      <c r="CH242" s="30" t="e">
        <f t="shared" si="407"/>
        <v>#N/A</v>
      </c>
      <c r="CI242" s="31" t="e">
        <f>IF(OR(Hypothèses!$B$4=17,Hypothèses!$B$4=18,Hypothèses!$B$4=19,Hypothèses!$B$4=20),
IF($D242="Pressio.",
IF(OR($E242=3,$E242=1,$E242=4),CH242,CG242),
IF($D242="Pénétro.",
IF(OR($E242=3,$E242=1,$E242=4),CH242,CG242))),IF($D242="Pressio.",
IF($E242=3,CH242,CG242),
IF($D242="Pénétro.",
IF($E242=4,CH242,CG242))))</f>
        <v>#N/A</v>
      </c>
      <c r="CJ242" s="31">
        <v>0</v>
      </c>
      <c r="CK242" s="102" t="e">
        <f>IF(NDC!$H$10="Oui",(VLOOKUP($B$3,'Coeff EC7'!$T$39:$X$59,2,0)*CI242+VLOOKUP($B$3,'Coeff EC7'!$T$65:$X$85,2,0)*Model0.1T!CJ242)/1.5,PI()*CG$12*$Q242*($B242-$B241)*0.15/10+CK241)</f>
        <v>#N/A</v>
      </c>
      <c r="CL242" s="102" t="e">
        <f>(VLOOKUP($B$3,'Coeff EC7'!$T$39:$X$59,3,0)*CI242+VLOOKUP($B$3,'Coeff EC7'!$T$65:$X$85,3,0)*Model0.1T!CJ242)/1.1</f>
        <v>#N/A</v>
      </c>
      <c r="CM242" s="102" t="e">
        <f t="shared" si="382"/>
        <v>#N/A</v>
      </c>
      <c r="CN242" s="102" t="e">
        <f t="shared" si="383"/>
        <v>#N/A</v>
      </c>
      <c r="CO242" s="414" t="e">
        <f>IF(AND(CK242&gt;NDC!$C$63,CL242&gt;NDC!$C$65,CM242&gt;NDC!$D$73,CN242&gt;NDC!$D$74,$B242&gt;NDC!$H$22-0.1+MIN(3*CO$12,1.5)),0,1)</f>
        <v>#N/A</v>
      </c>
      <c r="CP242" s="86" t="b">
        <f t="shared" si="349"/>
        <v>0</v>
      </c>
      <c r="CQ242" s="86">
        <f t="shared" si="350"/>
        <v>0.5</v>
      </c>
      <c r="CR242" s="86">
        <f t="shared" si="351"/>
        <v>0.5</v>
      </c>
      <c r="CS242" s="30" t="e">
        <f t="shared" ca="1" si="384"/>
        <v>#DIV/0!</v>
      </c>
      <c r="CT242" s="85" t="e">
        <f ca="1">IF(BZ242&lt;=Hypothèses!$V$7,Hypothèses!$W$7,IF(BZ242&lt;=Hypothèses!$V$8,Hypothèses!$W$8,IF(BZ242&lt;=Hypothèses!$V$9,Hypothèses!$W$9,IF(BZ242&lt;=Hypothèses!$V$10,Hypothèses!$W$10,IF(BZ242&lt;=Hypothèses!$V$11,Hypothèses!$W$11,IF(BZ242&lt;=Hypothèses!$V$12,Hypothèses!$W$12,IF(BZ242&lt;=Hypothèses!$V$13,Hypothèses!$W$13,IF(BZ242&lt;=Hypothèses!$V$14,Hypothèses!$W$14,IF(BZ242&lt;=Hypothèses!$V$15,Hypothèses!$W$15,IF(BZ242&lt;=Hypothèses!$V$16,Hypothèses!$W$16,IF(BZ242&lt;=Hypothèses!$V$17,Hypothèses!$W$17,IF(BZ242&lt;=Hypothèses!$V$18,Hypothèses!$W$18,""))))))))))))</f>
        <v>#DIV/0!</v>
      </c>
      <c r="CU242" s="87" t="e">
        <f t="shared" ca="1" si="420"/>
        <v>#DIV/0!</v>
      </c>
      <c r="CV242" s="88" t="e">
        <f ca="1">IF(BZ242&lt;=Hypothèses!$V$7,Hypothèses!$X$7,IF(BZ242&lt;=Hypothèses!$V$8,Hypothèses!$X$8,IF(BZ242&lt;=Hypothèses!$V$9,Hypothèses!$X$9,IF(BZ242&lt;=Hypothèses!$V$10,Hypothèses!$X$10,IF(BZ242&lt;=Hypothèses!$V$11,Hypothèses!$X$11,IF(BZ242&lt;=Hypothèses!$V$12,Hypothèses!$X$12,IF(BZ242&lt;=Hypothèses!$V$13,Hypothèses!$X$13,IF(BZ242&lt;=Hypothèses!$V$14,Hypothèses!$X$14,IF(BZ242&lt;=Hypothèses!$V$15,Hypothèses!$X$15,IF(BZ242&lt;=Hypothèses!$V$16,Hypothèses!$X$16,IF(BZ242&lt;=Hypothèses!$U$17,Hypothèses!$W$17,IF(BZ242&lt;=Hypothèses!$U$18,Hypothèses!$W$18,""))))))))))))</f>
        <v>#DIV/0!</v>
      </c>
      <c r="CW242" s="95" t="e">
        <f t="shared" ca="1" si="385"/>
        <v>#DIV/0!</v>
      </c>
      <c r="CX242" s="101">
        <f t="shared" si="427"/>
        <v>0</v>
      </c>
      <c r="CY242" s="91">
        <f t="shared" si="352"/>
        <v>0</v>
      </c>
      <c r="CZ242" s="30" t="e">
        <f t="shared" si="408"/>
        <v>#N/A</v>
      </c>
      <c r="DA242" s="30" t="e">
        <f t="shared" si="409"/>
        <v>#N/A</v>
      </c>
      <c r="DB242" s="31" t="e">
        <f>IF(OR(Hypothèses!$B$4=17,Hypothèses!$B$4=18,Hypothèses!$B$4=19,Hypothèses!$B$4=20),
IF($D242="Pressio.",
IF(OR($E242=3,$E242=1,$E242=4),DA242,CZ242),
IF($D242="Pénétro.",
IF(OR($E242=3,$E242=1,$E242=4),DA242,CZ242))),IF($D242="Pressio.",
IF($E242=3,DA242,CZ242),
IF($D242="Pénétro.",
IF($E242=4,DA242,CZ242))))</f>
        <v>#N/A</v>
      </c>
      <c r="DC242" s="31">
        <v>0</v>
      </c>
      <c r="DD242" s="102" t="e">
        <f>IF(NDC!$H$10="Oui",(VLOOKUP($B$3,'Coeff EC7'!$T$39:$X$59,2,0)*DB242+VLOOKUP($B$3,'Coeff EC7'!$T$65:$X$85,2,0)*Model0.1T!DC242)/1.5,PI()*CZ$12*$Q242*($B242-$B241)*0.15/10+DD241)</f>
        <v>#N/A</v>
      </c>
      <c r="DE242" s="102" t="e">
        <f>(VLOOKUP($B$3,'Coeff EC7'!$T$39:$X$59,3,0)*DB242+VLOOKUP($B$3,'Coeff EC7'!$T$65:$X$85,3,0)*Model0.1T!DC242)/1.1</f>
        <v>#N/A</v>
      </c>
      <c r="DF242" s="102" t="e">
        <f t="shared" si="386"/>
        <v>#N/A</v>
      </c>
      <c r="DG242" s="102" t="e">
        <f t="shared" si="387"/>
        <v>#N/A</v>
      </c>
      <c r="DH242" s="414" t="e">
        <f>IF(AND(DD242&gt;NDC!$C$63,DE242&gt;NDC!$C$65,DF242&gt;NDC!$D$73,DG242&gt;NDC!$D$74,$B242&gt;NDC!$H$22-0.1+MIN(3*DH$12,1.5)),0,1)</f>
        <v>#N/A</v>
      </c>
      <c r="DI242" s="86" t="b">
        <f t="shared" si="353"/>
        <v>0</v>
      </c>
      <c r="DJ242" s="86">
        <f t="shared" si="354"/>
        <v>0.5</v>
      </c>
      <c r="DK242" s="86">
        <f t="shared" si="355"/>
        <v>0.5</v>
      </c>
      <c r="DL242" s="30" t="e">
        <f t="shared" ca="1" si="388"/>
        <v>#DIV/0!</v>
      </c>
      <c r="DM242" s="85" t="e">
        <f ca="1">IF(CS242&lt;=Hypothèses!$V$7,Hypothèses!$W$7,IF(CS242&lt;=Hypothèses!$V$8,Hypothèses!$W$8,IF(CS242&lt;=Hypothèses!$V$9,Hypothèses!$W$9,IF(CS242&lt;=Hypothèses!$V$10,Hypothèses!$W$10,IF(CS242&lt;=Hypothèses!$V$11,Hypothèses!$W$11,IF(CS242&lt;=Hypothèses!$V$12,Hypothèses!$W$12,IF(CS242&lt;=Hypothèses!$V$13,Hypothèses!$W$13,IF(CS242&lt;=Hypothèses!$V$14,Hypothèses!$W$14,IF(CS242&lt;=Hypothèses!$V$15,Hypothèses!$W$15,IF(CS242&lt;=Hypothèses!$V$16,Hypothèses!$W$16,IF(CS242&lt;=Hypothèses!$V$17,Hypothèses!$W$17,IF(CS242&lt;=Hypothèses!$V$18,Hypothèses!$W$18,""))))))))))))</f>
        <v>#DIV/0!</v>
      </c>
      <c r="DN242" s="87" t="e">
        <f t="shared" ca="1" si="421"/>
        <v>#DIV/0!</v>
      </c>
      <c r="DO242" s="88" t="e">
        <f ca="1">IF(CS242&lt;=Hypothèses!$V$7,Hypothèses!$X$7,IF(CS242&lt;=Hypothèses!$V$8,Hypothèses!$X$8,IF(CS242&lt;=Hypothèses!$V$9,Hypothèses!$X$9,IF(CS242&lt;=Hypothèses!$V$10,Hypothèses!$X$10,IF(CS242&lt;=Hypothèses!$V$11,Hypothèses!$X$11,IF(CS242&lt;=Hypothèses!$V$12,Hypothèses!$X$12,IF(CS242&lt;=Hypothèses!$V$13,Hypothèses!$X$13,IF(CS242&lt;=Hypothèses!$V$14,Hypothèses!$X$14,IF(CS242&lt;=Hypothèses!$V$15,Hypothèses!$X$15,IF(CS242&lt;=Hypothèses!$V$16,Hypothèses!$X$16,IF(CS242&lt;=Hypothèses!$U$17,Hypothèses!$W$17,IF(CS242&lt;=Hypothèses!$U$18,Hypothèses!$W$18,""))))))))))))</f>
        <v>#DIV/0!</v>
      </c>
      <c r="DP242" s="95" t="e">
        <f t="shared" ca="1" si="389"/>
        <v>#DIV/0!</v>
      </c>
      <c r="DQ242" s="101">
        <f t="shared" si="428"/>
        <v>0</v>
      </c>
      <c r="DR242" s="91">
        <f t="shared" si="356"/>
        <v>0</v>
      </c>
      <c r="DS242" s="30" t="e">
        <f t="shared" si="410"/>
        <v>#N/A</v>
      </c>
      <c r="DT242" s="30" t="e">
        <f t="shared" si="411"/>
        <v>#N/A</v>
      </c>
      <c r="DU242" s="31" t="e">
        <f>IF(OR(Hypothèses!$B$4=17,Hypothèses!$B$4=18,Hypothèses!$B$4=19,Hypothèses!$B$4=20),
IF($D242="Pressio.",
IF(OR($E242=3,$E242=1,$E242=4),DT242,DS242),
IF($D242="Pénétro.",
IF(OR($E242=3,$E242=1,$E242=4),DT242,DS242))),IF($D242="Pressio.",
IF($E242=3,DT242,DS242),
IF($D242="Pénétro.",
IF($E242=4,DT242,DS242))))</f>
        <v>#N/A</v>
      </c>
      <c r="DV242" s="31">
        <v>0</v>
      </c>
      <c r="DW242" s="102" t="e">
        <f>IF(NDC!$H$10="Oui",(VLOOKUP($B$3,'Coeff EC7'!$T$39:$X$59,2,0)*DU242+VLOOKUP($B$3,'Coeff EC7'!$T$65:$X$85,2,0)*Model0.1T!DV242)/1.5,PI()*DS$12*$Q242*($B242-$B241)*0.15/10+DW241)</f>
        <v>#N/A</v>
      </c>
      <c r="DX242" s="102" t="e">
        <f>(VLOOKUP($B$3,'Coeff EC7'!$T$39:$X$59,3,0)*DU242+VLOOKUP($B$3,'Coeff EC7'!$T$65:$X$85,3,0)*Model0.1T!DV242)/1.1</f>
        <v>#N/A</v>
      </c>
      <c r="DY242" s="102" t="e">
        <f t="shared" si="390"/>
        <v>#N/A</v>
      </c>
      <c r="DZ242" s="102" t="e">
        <f t="shared" si="391"/>
        <v>#N/A</v>
      </c>
      <c r="EA242" s="414" t="e">
        <f>IF(AND(DW242&gt;NDC!$C$63,DX242&gt;NDC!$C$65,DY242&gt;NDC!$D$73,DZ242&gt;NDC!$D$74,$B242&gt;NDC!$H$22-0.1+MIN(3*EA$12,1.5)),0,1)</f>
        <v>#N/A</v>
      </c>
      <c r="EB242" s="86" t="b">
        <f t="shared" si="357"/>
        <v>0</v>
      </c>
      <c r="EC242" s="418">
        <f t="shared" si="358"/>
        <v>0.51</v>
      </c>
      <c r="ED242" s="86">
        <f t="shared" si="359"/>
        <v>0.51</v>
      </c>
      <c r="EE242" s="30" t="e">
        <f t="shared" ca="1" si="392"/>
        <v>#DIV/0!</v>
      </c>
      <c r="EF242" s="85" t="e">
        <f ca="1">IF(DL242&lt;=Hypothèses!$V$7,Hypothèses!$W$7,IF(DL242&lt;=Hypothèses!$V$8,Hypothèses!$W$8,IF(DL242&lt;=Hypothèses!$V$9,Hypothèses!$W$9,IF(DL242&lt;=Hypothèses!$V$10,Hypothèses!$W$10,IF(DL242&lt;=Hypothèses!$V$11,Hypothèses!$W$11,IF(DL242&lt;=Hypothèses!$V$12,Hypothèses!$W$12,IF(DL242&lt;=Hypothèses!$V$13,Hypothèses!$W$13,IF(DL242&lt;=Hypothèses!$V$14,Hypothèses!$W$14,IF(DL242&lt;=Hypothèses!$V$15,Hypothèses!$W$15,IF(DL242&lt;=Hypothèses!$V$16,Hypothèses!$W$16,IF(DL242&lt;=Hypothèses!$V$17,Hypothèses!$W$17,IF(DL242&lt;=Hypothèses!$V$18,Hypothèses!$W$18,""))))))))))))</f>
        <v>#DIV/0!</v>
      </c>
      <c r="EG242" s="87" t="e">
        <f t="shared" ca="1" si="422"/>
        <v>#DIV/0!</v>
      </c>
      <c r="EH242" s="88" t="e">
        <f ca="1">IF(DL242&lt;=Hypothèses!$V$7,Hypothèses!$X$7,IF(DL242&lt;=Hypothèses!$V$8,Hypothèses!$X$8,IF(DL242&lt;=Hypothèses!$V$9,Hypothèses!$X$9,IF(DL242&lt;=Hypothèses!$V$10,Hypothèses!$X$10,IF(DL242&lt;=Hypothèses!$V$11,Hypothèses!$X$11,IF(DL242&lt;=Hypothèses!$V$12,Hypothèses!$X$12,IF(DL242&lt;=Hypothèses!$V$13,Hypothèses!$X$13,IF(DL242&lt;=Hypothèses!$V$14,Hypothèses!$X$14,IF(DL242&lt;=Hypothèses!$V$15,Hypothèses!$X$15,IF(DL242&lt;=Hypothèses!$V$16,Hypothèses!$X$16,IF(DL242&lt;=Hypothèses!$U$17,Hypothèses!$W$17,IF(DL242&lt;=Hypothèses!$U$18,Hypothèses!$W$18,""))))))))))))</f>
        <v>#DIV/0!</v>
      </c>
      <c r="EI242" s="95" t="e">
        <f t="shared" ca="1" si="393"/>
        <v>#DIV/0!</v>
      </c>
      <c r="EJ242" s="101">
        <f t="shared" si="429"/>
        <v>0</v>
      </c>
      <c r="EK242" s="91">
        <f t="shared" si="360"/>
        <v>0</v>
      </c>
      <c r="EL242" s="30" t="e">
        <f t="shared" si="412"/>
        <v>#N/A</v>
      </c>
      <c r="EM242" s="30" t="e">
        <f t="shared" si="413"/>
        <v>#N/A</v>
      </c>
      <c r="EN242" s="31" t="e">
        <f>IF(OR(Hypothèses!$B$4=17,Hypothèses!$B$4=18,Hypothèses!$B$4=19,Hypothèses!$B$4=20),
IF($D242="Pressio.",
IF(OR($E242=3,$E242=1,$E242=4),EM242,EL242),
IF($D242="Pénétro.",
IF(OR($E242=3,$E242=1,$E242=4),EM242,EL242))),IF($D242="Pressio.",
IF($E242=3,EM242,EL242),
IF($D242="Pénétro.",
IF($E242=4,EM242,EL242))))</f>
        <v>#N/A</v>
      </c>
      <c r="EO242" s="31">
        <v>0</v>
      </c>
      <c r="EP242" s="102" t="e">
        <f>IF(NDC!$H$10="Oui",(VLOOKUP($B$3,'Coeff EC7'!$T$39:$X$59,2,0)*EN242+VLOOKUP($B$3,'Coeff EC7'!$T$65:$X$85,2,0)*Model0.1T!EO242)/1.5,PI()*EL$12*$Q242*($B242-$B241)*0.15/10+EP241)</f>
        <v>#N/A</v>
      </c>
      <c r="EQ242" s="102" t="e">
        <f>(VLOOKUP($B$3,'Coeff EC7'!$T$39:$X$59,3,0)*EN242+VLOOKUP($B$3,'Coeff EC7'!$T$65:$X$85,3,0)*Model0.1T!EO242)/1.1</f>
        <v>#N/A</v>
      </c>
      <c r="ER242" s="102" t="e">
        <f t="shared" si="394"/>
        <v>#N/A</v>
      </c>
      <c r="ES242" s="102" t="e">
        <f t="shared" si="395"/>
        <v>#N/A</v>
      </c>
      <c r="ET242" s="414" t="e">
        <f>IF(AND(EP242&gt;NDC!$C$63,EQ242&gt;NDC!$C$65,ER242&gt;NDC!$D$73,ES242&gt;NDC!$D$74,$B242&gt;NDC!$H$22-0.1+MIN(3*ET$12,1.5)),0,1)</f>
        <v>#N/A</v>
      </c>
      <c r="EU242" s="86" t="b">
        <f t="shared" si="361"/>
        <v>0</v>
      </c>
      <c r="EV242" s="86">
        <f t="shared" si="362"/>
        <v>0.61</v>
      </c>
      <c r="EW242" s="86">
        <f t="shared" si="363"/>
        <v>0.61</v>
      </c>
      <c r="EX242" s="30" t="e">
        <f t="shared" ca="1" si="396"/>
        <v>#DIV/0!</v>
      </c>
      <c r="EY242" s="85" t="e">
        <f ca="1">IF(EE242&lt;=Hypothèses!$V$7,Hypothèses!$W$7,IF(EE242&lt;=Hypothèses!$V$8,Hypothèses!$W$8,IF(EE242&lt;=Hypothèses!$V$9,Hypothèses!$W$9,IF(EE242&lt;=Hypothèses!$V$10,Hypothèses!$W$10,IF(EE242&lt;=Hypothèses!$V$11,Hypothèses!$W$11,IF(EE242&lt;=Hypothèses!$V$12,Hypothèses!$W$12,IF(EE242&lt;=Hypothèses!$V$13,Hypothèses!$W$13,IF(EE242&lt;=Hypothèses!$V$14,Hypothèses!$W$14,IF(EE242&lt;=Hypothèses!$V$15,Hypothèses!$W$15,IF(EE242&lt;=Hypothèses!$V$16,Hypothèses!$W$16,IF(EE242&lt;=Hypothèses!$V$17,Hypothèses!$W$17,IF(EE242&lt;=Hypothèses!$V$18,Hypothèses!$W$18,""))))))))))))</f>
        <v>#DIV/0!</v>
      </c>
      <c r="EZ242" s="87" t="e">
        <f t="shared" ca="1" si="423"/>
        <v>#DIV/0!</v>
      </c>
      <c r="FA242" s="88" t="e">
        <f ca="1">IF(EE242&lt;=Hypothèses!$V$7,Hypothèses!$X$7,IF(EE242&lt;=Hypothèses!$V$8,Hypothèses!$X$8,IF(EE242&lt;=Hypothèses!$V$9,Hypothèses!$X$9,IF(EE242&lt;=Hypothèses!$V$10,Hypothèses!$X$10,IF(EE242&lt;=Hypothèses!$V$11,Hypothèses!$X$11,IF(EE242&lt;=Hypothèses!$V$12,Hypothèses!$X$12,IF(EE242&lt;=Hypothèses!$V$13,Hypothèses!$X$13,IF(EE242&lt;=Hypothèses!$V$14,Hypothèses!$X$14,IF(EE242&lt;=Hypothèses!$V$15,Hypothèses!$X$15,IF(EE242&lt;=Hypothèses!$V$16,Hypothèses!$X$16,IF(EE242&lt;=Hypothèses!$U$17,Hypothèses!$W$17,IF(EE242&lt;=Hypothèses!$U$18,Hypothèses!$W$18,""))))))))))))</f>
        <v>#DIV/0!</v>
      </c>
      <c r="FB242" s="95" t="e">
        <f t="shared" ca="1" si="397"/>
        <v>#DIV/0!</v>
      </c>
      <c r="FC242" s="101">
        <f t="shared" si="430"/>
        <v>0</v>
      </c>
      <c r="FD242" s="91">
        <f t="shared" si="364"/>
        <v>0</v>
      </c>
      <c r="FE242" s="30" t="e">
        <f t="shared" si="414"/>
        <v>#N/A</v>
      </c>
      <c r="FF242" s="30" t="e">
        <f t="shared" si="415"/>
        <v>#N/A</v>
      </c>
      <c r="FG242" s="31" t="e">
        <f>IF(OR(Hypothèses!$B$4=17,Hypothèses!$B$4=18,Hypothèses!$B$4=19,Hypothèses!$B$4=20),
IF($D242="Pressio.",
IF(OR($E242=3,$E242=1,$E242=4),FF242,FE242),
IF($D242="Pénétro.",
IF(OR($E242=3,$E242=1,$E242=4),FF242,FE242))),IF($D242="Pressio.",
IF($E242=3,FF242,FE242),
IF($D242="Pénétro.",
IF($E242=4,FF242,FE242))))</f>
        <v>#N/A</v>
      </c>
      <c r="FH242" s="31">
        <v>0</v>
      </c>
      <c r="FI242" s="102" t="e">
        <f>IF(NDC!$H$10="Oui",(VLOOKUP($B$3,'Coeff EC7'!$T$39:$X$59,2,0)*FG242+VLOOKUP($B$3,'Coeff EC7'!$T$65:$X$85,2,0)*Model0.1T!FH242)/1.5,PI()*FE$12*$Q242*($B242-$B241)*0.15/10+FI241)</f>
        <v>#N/A</v>
      </c>
      <c r="FJ242" s="102" t="e">
        <f>(VLOOKUP($B$3,'Coeff EC7'!$T$39:$X$59,3,0)*FG242+VLOOKUP($B$3,'Coeff EC7'!$T$65:$X$85,3,0)*Model0.1T!FH242)/1.1</f>
        <v>#N/A</v>
      </c>
      <c r="FK242" s="102" t="e">
        <f t="shared" si="398"/>
        <v>#N/A</v>
      </c>
      <c r="FL242" s="102" t="e">
        <f t="shared" si="399"/>
        <v>#N/A</v>
      </c>
      <c r="FM242" s="414" t="e">
        <f>IF(AND(FI242&gt;NDC!$C$63,FJ242&gt;NDC!$C$65,FK242&gt;NDC!$D$73,FL242&gt;NDC!$D$74,$B242&gt;NDC!$H$22-0.1+MIN(3*FM$12,1.5)),0,1)</f>
        <v>#N/A</v>
      </c>
    </row>
    <row r="243" spans="1:169">
      <c r="A243" s="96">
        <f t="shared" si="365"/>
        <v>77.000000000001307</v>
      </c>
      <c r="B243" s="97">
        <v>23</v>
      </c>
      <c r="C243" s="81">
        <f>IF(B243&lt;=Hypothèses!$C$7,Hypothèses!$A$7,IF(B243&lt;=Hypothèses!$C$8,Hypothèses!$A$8,IF(B243&lt;=Hypothèses!$C$9,Hypothèses!$A$9,IF(B243&lt;=Hypothèses!$C$10,Hypothèses!$A$10,IF(B243&lt;=Hypothèses!$C$11,Hypothèses!$A$11,IF(B243&lt;=Hypothèses!$C$12,Hypothèses!$A$12,IF(B243&lt;=Hypothèses!$C$13,Hypothèses!$A$13,IF(B243&lt;=Hypothèses!$C$14,Hypothèses!$A$14,IF(B243&lt;=Hypothèses!$C$15,Hypothèses!$A$15,IF(B243&lt;=Hypothèses!$C$16,Hypothèses!$A$16,IF(B243&lt;=Hypothèses!$C$17,Hypothèses!$A$17,IF(B243&lt;=Hypothèses!$C$18,Hypothèses!$A$18,C242))))))))))))</f>
        <v>11</v>
      </c>
      <c r="D243" s="82" t="str">
        <f>IF(B243&lt;=Hypothèses!$C$7,Hypothèses!$R$7,IF(B243&lt;=Hypothèses!$C$8,Hypothèses!$R$8,IF(B243&lt;=Hypothèses!$C$9,Hypothèses!$R$9,IF(B243&lt;=Hypothèses!$C$10,Hypothèses!$R$10,IF(B243&lt;=Hypothèses!$C$11,Hypothèses!$R$11,IF(B243&lt;=Hypothèses!$C$12,Hypothèses!$R$12,IF(B243&lt;=Hypothèses!$C$13,Hypothèses!$R$13,IF(B243&lt;=Hypothèses!$C$14,Hypothèses!$R$14,IF(B243&lt;=Hypothèses!$C$15,Hypothèses!$R$15,IF(B243&lt;=Hypothèses!$C$16,Hypothèses!$R$16,IF(B243&lt;=Hypothèses!$C$17,Hypothèses!$R$17,IF(B243&lt;=Hypothèses!$C$18,Hypothèses!$R$18,D242))))))))))))</f>
        <v>Pressio.</v>
      </c>
      <c r="E243" s="82" t="e">
        <f>IF(B243&lt;=Hypothèses!$C$7,Hypothèses!$G$7,IF(B243&lt;=Hypothèses!$C$8,Hypothèses!$G$8,IF(B243&lt;=Hypothèses!$C$9,Hypothèses!$G$9,IF(B243&lt;=Hypothèses!$C$10,Hypothèses!$G$10,IF(B243&lt;=Hypothèses!$C$11,Hypothèses!$G$11,IF(B243&lt;=Hypothèses!$C$12,Hypothèses!$G$12,IF(B243&lt;=Hypothèses!$C$13,Hypothèses!$G$13,IF(B243&lt;=Hypothèses!$C$14,Hypothèses!$G$14,IF(B243&lt;=Hypothèses!$C$15,Hypothèses!$G$15,IF(B243&lt;=Hypothèses!$C$16,Hypothèses!$G$16,IF(B243&lt;=Hypothèses!$C$17,Hypothèses!$G$17,IF(B243&lt;=Hypothèses!$C$18,Hypothèses!$G$18,E242))))))))))))</f>
        <v>#N/A</v>
      </c>
      <c r="F243" s="82" t="str">
        <f>IF(B243&lt;=Hypothèses!$C$7,Hypothèses!$F$7,IF(B243&lt;=Hypothèses!$C$8,Hypothèses!$F$8,IF(B243&lt;=Hypothèses!$C$9,Hypothèses!$F$9,IF(B243&lt;=Hypothèses!$C$10,Hypothèses!$F$10,IF(B243&lt;=Hypothèses!$C$11,Hypothèses!$F$11,IF(B243&lt;=Hypothèses!$C$12,Hypothèses!$F$12,IF(B243&lt;=Hypothèses!$C$13,Hypothèses!$F$13,IF(B243&lt;=Hypothèses!$C$14,Hypothèses!$F$14,IF(B243&lt;=Hypothèses!$C$15,Hypothèses!$F$15,IF(B243&lt;=Hypothèses!$C$16,Hypothèses!$F$16,IF(B243&lt;=Hypothèses!$C$17,Hypothèses!$F$17,IF(B243&lt;=Hypothèses!$C$18,Hypothèses!$F$18,F242))))))))))))</f>
        <v/>
      </c>
      <c r="G243" s="91">
        <f t="array" ref="G243">INDEX('Coeff EC7'!$U$7:$X$27,
MATCH(Model0.1T!$B$3,'Coeff EC7'!$T$7:$T$27,0),
MATCH(Model0.1T!$D243&amp;Model0.1T!$B$4,
'Coeff EC7'!$U$6:$X$6&amp;
'Coeff EC7'!$U$5:$X$5,0))</f>
        <v>1.4</v>
      </c>
      <c r="H243" s="91">
        <f t="array" ref="H243">INDEX('Coeff EC7'!$Y$7:$AB$27,
MATCH(Model0.1T!$B$3,'Coeff EC7'!$T$7:$T$27,0),
MATCH(Model0.1T!$D243&amp;Model0.1T!$B$4,
'Coeff EC7'!$Y$6:$AB$6&amp;
'Coeff EC7'!$Y$5:$AB$5,0))</f>
        <v>1.7</v>
      </c>
      <c r="I243" s="83">
        <v>0</v>
      </c>
      <c r="J243" s="91" t="e">
        <f t="array" ref="J243">INDEX('Coeff EC7'!$D$33:$Q$33,1,MATCH(D243&amp;E243,'Coeff EC7'!$D$31:$Q$31&amp;'Coeff EC7'!$D$32:$Q$32,0))</f>
        <v>#N/A</v>
      </c>
      <c r="K243" s="91" t="e">
        <f t="array" ref="K243">INDEX('Coeff EC7'!$D$34:$Q$34,1,MATCH(D243&amp;E243,'Coeff EC7'!$D$31:$Q$31&amp;'Coeff EC7'!$D$32:$Q$32,0))</f>
        <v>#N/A</v>
      </c>
      <c r="L243" s="91" t="e">
        <f t="array" ref="L243">INDEX('Coeff EC7'!$D$35:$Q$35,1,MATCH(D243&amp;E243,'Coeff EC7'!$D$31:$Q$31&amp;'Coeff EC7'!$D$32:$Q$32,0))</f>
        <v>#N/A</v>
      </c>
      <c r="M243" s="98" t="e">
        <f t="shared" si="331"/>
        <v>#N/A</v>
      </c>
      <c r="N243" s="99" t="e">
        <f t="array" ref="N243">INDEX('Coeff EC7'!$D$7:$Q$27,MATCH($B$3,'Coeff EC7'!$C$7:$C$27,0),MATCH(D243&amp;E243,'Coeff EC7'!$D$5:$Q$5&amp;'Coeff EC7'!$D$6:$Q$6,0))</f>
        <v>#N/A</v>
      </c>
      <c r="O243" s="99" t="e">
        <f t="array" ref="O243">INDEX('Coeff EC7'!$D$41:$Q$61,MATCH($B$3,'Coeff EC7'!$C$41:$C$61,0),MATCH(D243&amp;E243,'Coeff EC7'!$D$39:$Q$39&amp;'Coeff EC7'!$D$40:$Q$40,0))</f>
        <v>#N/A</v>
      </c>
      <c r="P243" s="30" t="e">
        <f t="shared" si="366"/>
        <v>#N/A</v>
      </c>
      <c r="Q243" s="100" t="e">
        <f t="shared" si="333"/>
        <v>#N/A</v>
      </c>
      <c r="R243" s="86" t="b">
        <f t="shared" si="334"/>
        <v>0</v>
      </c>
      <c r="S243" s="86">
        <f t="shared" si="332"/>
        <v>0.5</v>
      </c>
      <c r="T243" s="86">
        <f t="shared" si="335"/>
        <v>0.5</v>
      </c>
      <c r="U243" s="30" t="e">
        <f t="shared" ca="1" si="367"/>
        <v>#DIV/0!</v>
      </c>
      <c r="V243" s="85" t="str">
        <f>IF(B243&lt;=Hypothèses!$V$7,Hypothèses!$W$7,IF(B243&lt;=Hypothèses!$V$8,Hypothèses!$W$8,IF(B243&lt;=Hypothèses!$V$9,Hypothèses!$W$9,IF(B243&lt;=Hypothèses!$V$10,Hypothèses!$W$10,IF(B243&lt;=Hypothèses!$V$11,Hypothèses!$W$11,IF(B243&lt;=Hypothèses!$V$12,Hypothèses!$W$12,IF(B243&lt;=Hypothèses!$V$13,Hypothèses!$W$13,IF(B243&lt;=Hypothèses!$V$14,Hypothèses!$W$14,IF(B243&lt;=Hypothèses!$V$15,Hypothèses!$W$15,IF(B243&lt;=Hypothèses!$V$16,Hypothèses!$W$16,IF(B243&lt;=Hypothèses!$V$17,Hypothèses!$W$17,IF(B243&lt;=Hypothèses!$V$18,Hypothèses!$W$18,""))))))))))))</f>
        <v/>
      </c>
      <c r="W243" s="87" t="e">
        <f t="shared" ca="1" si="416"/>
        <v>#DIV/0!</v>
      </c>
      <c r="X243" s="88" t="str">
        <f>IF(B243&lt;=Hypothèses!$V$7,Hypothèses!$X$7,IF(B243&lt;=Hypothèses!$V$8,Hypothèses!$X$8,IF(B243&lt;=Hypothèses!$V$9,Hypothèses!$X$9,IF(B243&lt;=Hypothèses!$V$10,Hypothèses!$X$10,IF(B243&lt;=Hypothèses!$V$11,Hypothèses!$X$11,IF(B243&lt;=Hypothèses!$V$12,Hypothèses!$X$12,IF(B243&lt;=Hypothèses!$V$13,Hypothèses!$X$13,IF(B243&lt;=Hypothèses!$V$14,Hypothèses!$X$14,IF(B243&lt;=Hypothèses!$V$15,Hypothèses!$X$15,IF(B243&lt;=Hypothèses!$V$16,Hypothèses!$X$16,IF(B243&lt;=Hypothèses!$U$17,Hypothèses!$W$17,IF(B243&lt;=Hypothèses!$U$18,Hypothèses!$W$18,""))))))))))))</f>
        <v/>
      </c>
      <c r="Y243" s="95" t="e">
        <f t="shared" ca="1" si="336"/>
        <v>#DIV/0!</v>
      </c>
      <c r="Z243" s="101">
        <f t="shared" si="337"/>
        <v>0</v>
      </c>
      <c r="AA243" s="91">
        <f t="shared" si="338"/>
        <v>0</v>
      </c>
      <c r="AB243" s="30" t="e">
        <f t="shared" si="400"/>
        <v>#N/A</v>
      </c>
      <c r="AC243" s="30" t="e">
        <f t="shared" si="401"/>
        <v>#N/A</v>
      </c>
      <c r="AD243" s="31" t="e">
        <f>IF(OR(Hypothèses!$B$4=17,Hypothèses!$B$4=18,Hypothèses!$B$4=19,Hypothèses!$B$4=20),
IF($D243="Pressio.",
IF(OR($E243=3,$E243=1,$E243=4),AC243,AB243),
IF($D243="Pénétro.",
IF(OR($E243=3,$E243=1,$E243=4),AC243,AB243))),IF($D243="Pressio.",
IF($E243=3,AC243,AB243),
IF($D243="Pénétro.",
IF($E243=4,AC243,AB243))))</f>
        <v>#N/A</v>
      </c>
      <c r="AE243" s="31">
        <v>0</v>
      </c>
      <c r="AF243" s="102" t="e">
        <f>IF(NDC!$H$10="Oui",(VLOOKUP($B$3,'Coeff EC7'!$T$39:$X$59,2,0)*AD243+VLOOKUP($B$3,'Coeff EC7'!$T$65:$X$85,2,0)*Model0.1T!AE243)/1.5,PI()*AB$12*$Q243*($B243-$B242)*0.15/10+AF242)</f>
        <v>#N/A</v>
      </c>
      <c r="AG243" s="102" t="e">
        <f>(VLOOKUP($B$3,'Coeff EC7'!$T$39:$X$59,3,0)*AD243+VLOOKUP($B$3,'Coeff EC7'!$T$65:$X$85,3,0)*Model0.1T!AE243)/1.1</f>
        <v>#N/A</v>
      </c>
      <c r="AH243" s="102" t="e">
        <f t="shared" si="368"/>
        <v>#N/A</v>
      </c>
      <c r="AI243" s="102" t="e">
        <f t="shared" si="369"/>
        <v>#N/A</v>
      </c>
      <c r="AJ243" s="414" t="e">
        <f>IF(AND(AF243&gt;NDC!$C$63,AG243&gt;NDC!$C$65,AH243&gt;NDC!$D$73,AI243&gt;NDC!$D$74,$B243&gt;NDC!$H$22-0.1+MIN(3*$AJ$12,1.5)),0,1)</f>
        <v>#N/A</v>
      </c>
      <c r="AK243" s="86" t="b">
        <f t="shared" si="339"/>
        <v>0</v>
      </c>
      <c r="AL243" s="86">
        <f t="shared" si="370"/>
        <v>0.5</v>
      </c>
      <c r="AM243" s="86">
        <f t="shared" si="340"/>
        <v>0.5</v>
      </c>
      <c r="AN243" s="30" t="e">
        <f t="shared" ca="1" si="371"/>
        <v>#DIV/0!</v>
      </c>
      <c r="AO243" s="85" t="e">
        <f ca="1">IF(U243&lt;=Hypothèses!$V$7,Hypothèses!$W$7,IF(U243&lt;=Hypothèses!$V$8,Hypothèses!$W$8,IF(U243&lt;=Hypothèses!$V$9,Hypothèses!$W$9,IF(U243&lt;=Hypothèses!$V$10,Hypothèses!$W$10,IF(U243&lt;=Hypothèses!$V$11,Hypothèses!$W$11,IF(U243&lt;=Hypothèses!$V$12,Hypothèses!$W$12,IF(U243&lt;=Hypothèses!$V$13,Hypothèses!$W$13,IF(U243&lt;=Hypothèses!$V$14,Hypothèses!$W$14,IF(U243&lt;=Hypothèses!$V$15,Hypothèses!$W$15,IF(U243&lt;=Hypothèses!$V$16,Hypothèses!$W$16,IF(U243&lt;=Hypothèses!$V$17,Hypothèses!$W$17,IF(U243&lt;=Hypothèses!$V$18,Hypothèses!$W$18,""))))))))))))</f>
        <v>#DIV/0!</v>
      </c>
      <c r="AP243" s="87" t="e">
        <f t="shared" ca="1" si="417"/>
        <v>#DIV/0!</v>
      </c>
      <c r="AQ243" s="88" t="e">
        <f ca="1">IF(U243&lt;=Hypothèses!$V$7,Hypothèses!$X$7,IF(U243&lt;=Hypothèses!$V$8,Hypothèses!$X$8,IF(U243&lt;=Hypothèses!$V$9,Hypothèses!$X$9,IF(U243&lt;=Hypothèses!$V$10,Hypothèses!$X$10,IF(U243&lt;=Hypothèses!$V$11,Hypothèses!$X$11,IF(U243&lt;=Hypothèses!$V$12,Hypothèses!$X$12,IF(U243&lt;=Hypothèses!$V$13,Hypothèses!$X$13,IF(U243&lt;=Hypothèses!$V$14,Hypothèses!$X$14,IF(U243&lt;=Hypothèses!$V$15,Hypothèses!$X$15,IF(U243&lt;=Hypothèses!$V$16,Hypothèses!$X$16,IF(U243&lt;=Hypothèses!$U$17,Hypothèses!$W$17,IF(U243&lt;=Hypothèses!$U$18,Hypothèses!$W$18,""))))))))))))</f>
        <v>#DIV/0!</v>
      </c>
      <c r="AR243" s="95" t="e">
        <f t="shared" ca="1" si="372"/>
        <v>#DIV/0!</v>
      </c>
      <c r="AS243" s="101">
        <f t="shared" si="424"/>
        <v>0</v>
      </c>
      <c r="AT243" s="91">
        <f t="shared" si="341"/>
        <v>0</v>
      </c>
      <c r="AU243" s="30" t="e">
        <f t="shared" si="402"/>
        <v>#N/A</v>
      </c>
      <c r="AV243" s="30" t="e">
        <f t="shared" si="403"/>
        <v>#N/A</v>
      </c>
      <c r="AW243" s="31" t="e">
        <f>IF(OR(Hypothèses!$B$4=17,Hypothèses!$B$4=18,Hypothèses!$B$4=19,Hypothèses!$B$4=20),
IF($D243="Pressio.",
IF(OR($E243=3,$E243=1,$E243=4),AV243,AU243),
IF($D243="Pénétro.",
IF(OR($E243=3,$E243=1,$E243=4),AV243,AU243))),IF($D243="Pressio.",
IF($E243=3,AV243,AU243),
IF($D243="Pénétro.",
IF($E243=4,AV243,AU243))))</f>
        <v>#N/A</v>
      </c>
      <c r="AX243" s="31">
        <v>0</v>
      </c>
      <c r="AY243" s="102" t="e">
        <f>IF(NDC!$H$10="Oui",(VLOOKUP($B$3,'Coeff EC7'!$T$39:$X$59,2,0)*AW243+VLOOKUP($B$3,'Coeff EC7'!$T$65:$X$85,2,0)*Model0.1T!AX243)/1.5,PI()*AU$12*$Q243*($B243-$B242)*0.15/10+AY242)</f>
        <v>#N/A</v>
      </c>
      <c r="AZ243" s="102" t="e">
        <f>(VLOOKUP($B$3,'Coeff EC7'!$T$39:$X$59,3,0)*AW243+VLOOKUP($B$3,'Coeff EC7'!$T$65:$X$85,3,0)*Model0.1T!AX243)/1.1</f>
        <v>#N/A</v>
      </c>
      <c r="BA243" s="102" t="e">
        <f t="shared" si="373"/>
        <v>#N/A</v>
      </c>
      <c r="BB243" s="102" t="e">
        <f t="shared" si="374"/>
        <v>#N/A</v>
      </c>
      <c r="BC243" s="414" t="e">
        <f>IF(AND(AY243&gt;NDC!$C$63,AZ243&gt;NDC!$C$65,BA243&gt;NDC!$D$73,BB243&gt;NDC!$D$74,$B243&gt;NDC!$H$22-0.1+MIN(3*BC$12,1.5)),0,1)</f>
        <v>#N/A</v>
      </c>
      <c r="BD243" s="86" t="b">
        <f t="shared" si="342"/>
        <v>0</v>
      </c>
      <c r="BE243" s="86">
        <f t="shared" si="375"/>
        <v>0.5</v>
      </c>
      <c r="BF243" s="86">
        <f t="shared" si="343"/>
        <v>0.5</v>
      </c>
      <c r="BG243" s="30" t="e">
        <f t="shared" ca="1" si="376"/>
        <v>#DIV/0!</v>
      </c>
      <c r="BH243" s="85" t="e">
        <f ca="1">IF(AN243&lt;=Hypothèses!$V$7,Hypothèses!$W$7,IF(AN243&lt;=Hypothèses!$V$8,Hypothèses!$W$8,IF(AN243&lt;=Hypothèses!$V$9,Hypothèses!$W$9,IF(AN243&lt;=Hypothèses!$V$10,Hypothèses!$W$10,IF(AN243&lt;=Hypothèses!$V$11,Hypothèses!$W$11,IF(AN243&lt;=Hypothèses!$V$12,Hypothèses!$W$12,IF(AN243&lt;=Hypothèses!$V$13,Hypothèses!$W$13,IF(AN243&lt;=Hypothèses!$V$14,Hypothèses!$W$14,IF(AN243&lt;=Hypothèses!$V$15,Hypothèses!$W$15,IF(AN243&lt;=Hypothèses!$V$16,Hypothèses!$W$16,IF(AN243&lt;=Hypothèses!$V$17,Hypothèses!$W$17,IF(AN243&lt;=Hypothèses!$V$18,Hypothèses!$W$18,""))))))))))))</f>
        <v>#DIV/0!</v>
      </c>
      <c r="BI243" s="87" t="e">
        <f t="shared" ca="1" si="418"/>
        <v>#DIV/0!</v>
      </c>
      <c r="BJ243" s="88" t="e">
        <f ca="1">IF(AN243&lt;=Hypothèses!$V$7,Hypothèses!$X$7,IF(AN243&lt;=Hypothèses!$V$8,Hypothèses!$X$8,IF(AN243&lt;=Hypothèses!$V$9,Hypothèses!$X$9,IF(AN243&lt;=Hypothèses!$V$10,Hypothèses!$X$10,IF(AN243&lt;=Hypothèses!$V$11,Hypothèses!$X$11,IF(AN243&lt;=Hypothèses!$V$12,Hypothèses!$X$12,IF(AN243&lt;=Hypothèses!$V$13,Hypothèses!$X$13,IF(AN243&lt;=Hypothèses!$V$14,Hypothèses!$X$14,IF(AN243&lt;=Hypothèses!$V$15,Hypothèses!$X$15,IF(AN243&lt;=Hypothèses!$V$16,Hypothèses!$X$16,IF(AN243&lt;=Hypothèses!$U$17,Hypothèses!$W$17,IF(AN243&lt;=Hypothèses!$U$18,Hypothèses!$W$18,""))))))))))))</f>
        <v>#DIV/0!</v>
      </c>
      <c r="BK243" s="95" t="e">
        <f t="shared" ca="1" si="377"/>
        <v>#DIV/0!</v>
      </c>
      <c r="BL243" s="101">
        <f t="shared" si="425"/>
        <v>0</v>
      </c>
      <c r="BM243" s="91">
        <f t="shared" si="344"/>
        <v>0</v>
      </c>
      <c r="BN243" s="30" t="e">
        <f t="shared" si="404"/>
        <v>#N/A</v>
      </c>
      <c r="BO243" s="30" t="e">
        <f t="shared" si="405"/>
        <v>#N/A</v>
      </c>
      <c r="BP243" s="31" t="e">
        <f>IF(OR(Hypothèses!$B$4=17,Hypothèses!$B$4=18,Hypothèses!$B$4=19,Hypothèses!$B$4=20),
IF($D243="Pressio.",
IF(OR($E243=3,$E243=1,$E243=4),BO243,BN243),
IF($D243="Pénétro.",
IF(OR($E243=3,$E243=1,$E243=4),BO243,BN243))),IF($D243="Pressio.",
IF($E243=3,BO243,BN243),
IF($D243="Pénétro.",
IF($E243=4,BO243,BN243))))</f>
        <v>#N/A</v>
      </c>
      <c r="BQ243" s="31">
        <v>0</v>
      </c>
      <c r="BR243" s="102" t="e">
        <f>IF(NDC!$H$10="Oui",(VLOOKUP($B$3,'Coeff EC7'!$T$39:$X$59,2,0)*BP243+VLOOKUP($B$3,'Coeff EC7'!$T$65:$X$85,2,0)*Model0.1T!BQ243)/1.5,PI()*BN$12*$Q243*($B243-$B242)*0.15/10+BR242)</f>
        <v>#N/A</v>
      </c>
      <c r="BS243" s="102" t="e">
        <f>(VLOOKUP($B$3,'Coeff EC7'!$T$39:$X$59,3,0)*BP243+VLOOKUP($B$3,'Coeff EC7'!$T$65:$X$85,3,0)*Model0.1T!BQ243)/1.1</f>
        <v>#N/A</v>
      </c>
      <c r="BT243" s="102" t="e">
        <f t="shared" si="378"/>
        <v>#N/A</v>
      </c>
      <c r="BU243" s="102" t="e">
        <f t="shared" si="379"/>
        <v>#N/A</v>
      </c>
      <c r="BV243" s="414" t="e">
        <f>IF(AND(BR243&gt;NDC!$C$63,BS243&gt;NDC!$C$65,BT243&gt;NDC!$D$73,BU243&gt;NDC!$D$74,$B243&gt;NDC!$H$22-0.1+MIN(3*BV$12,1.5)),0,1)</f>
        <v>#N/A</v>
      </c>
      <c r="BW243" s="86" t="b">
        <f t="shared" si="345"/>
        <v>0</v>
      </c>
      <c r="BX243" s="86">
        <f t="shared" si="346"/>
        <v>0.5</v>
      </c>
      <c r="BY243" s="86">
        <f t="shared" si="347"/>
        <v>0.5</v>
      </c>
      <c r="BZ243" s="30" t="e">
        <f t="shared" ca="1" si="380"/>
        <v>#DIV/0!</v>
      </c>
      <c r="CA243" s="85" t="e">
        <f ca="1">IF(BG243&lt;=Hypothèses!$V$7,Hypothèses!$W$7,IF(BG243&lt;=Hypothèses!$V$8,Hypothèses!$W$8,IF(BG243&lt;=Hypothèses!$V$9,Hypothèses!$W$9,IF(BG243&lt;=Hypothèses!$V$10,Hypothèses!$W$10,IF(BG243&lt;=Hypothèses!$V$11,Hypothèses!$W$11,IF(BG243&lt;=Hypothèses!$V$12,Hypothèses!$W$12,IF(BG243&lt;=Hypothèses!$V$13,Hypothèses!$W$13,IF(BG243&lt;=Hypothèses!$V$14,Hypothèses!$W$14,IF(BG243&lt;=Hypothèses!$V$15,Hypothèses!$W$15,IF(BG243&lt;=Hypothèses!$V$16,Hypothèses!$W$16,IF(BG243&lt;=Hypothèses!$V$17,Hypothèses!$W$17,IF(BG243&lt;=Hypothèses!$V$18,Hypothèses!$W$18,""))))))))))))</f>
        <v>#DIV/0!</v>
      </c>
      <c r="CB243" s="87" t="e">
        <f t="shared" ca="1" si="419"/>
        <v>#DIV/0!</v>
      </c>
      <c r="CC243" s="88" t="e">
        <f ca="1">IF(BG243&lt;=Hypothèses!$V$7,Hypothèses!$X$7,IF(BG243&lt;=Hypothèses!$V$8,Hypothèses!$X$8,IF(BG243&lt;=Hypothèses!$V$9,Hypothèses!$X$9,IF(BG243&lt;=Hypothèses!$V$10,Hypothèses!$X$10,IF(BG243&lt;=Hypothèses!$V$11,Hypothèses!$X$11,IF(BG243&lt;=Hypothèses!$V$12,Hypothèses!$X$12,IF(BG243&lt;=Hypothèses!$V$13,Hypothèses!$X$13,IF(BG243&lt;=Hypothèses!$V$14,Hypothèses!$X$14,IF(BG243&lt;=Hypothèses!$V$15,Hypothèses!$X$15,IF(BG243&lt;=Hypothèses!$V$16,Hypothèses!$X$16,IF(BG243&lt;=Hypothèses!$U$17,Hypothèses!$W$17,IF(BG243&lt;=Hypothèses!$U$18,Hypothèses!$W$18,""))))))))))))</f>
        <v>#DIV/0!</v>
      </c>
      <c r="CD243" s="95" t="e">
        <f t="shared" ca="1" si="381"/>
        <v>#DIV/0!</v>
      </c>
      <c r="CE243" s="101">
        <f t="shared" si="426"/>
        <v>0</v>
      </c>
      <c r="CF243" s="91">
        <f t="shared" si="348"/>
        <v>0</v>
      </c>
      <c r="CG243" s="30" t="e">
        <f t="shared" si="406"/>
        <v>#N/A</v>
      </c>
      <c r="CH243" s="30" t="e">
        <f t="shared" si="407"/>
        <v>#N/A</v>
      </c>
      <c r="CI243" s="31" t="e">
        <f>IF(OR(Hypothèses!$B$4=17,Hypothèses!$B$4=18,Hypothèses!$B$4=19,Hypothèses!$B$4=20),
IF($D243="Pressio.",
IF(OR($E243=3,$E243=1,$E243=4),CH243,CG243),
IF($D243="Pénétro.",
IF(OR($E243=3,$E243=1,$E243=4),CH243,CG243))),IF($D243="Pressio.",
IF($E243=3,CH243,CG243),
IF($D243="Pénétro.",
IF($E243=4,CH243,CG243))))</f>
        <v>#N/A</v>
      </c>
      <c r="CJ243" s="31">
        <v>0</v>
      </c>
      <c r="CK243" s="102" t="e">
        <f>IF(NDC!$H$10="Oui",(VLOOKUP($B$3,'Coeff EC7'!$T$39:$X$59,2,0)*CI243+VLOOKUP($B$3,'Coeff EC7'!$T$65:$X$85,2,0)*Model0.1T!CJ243)/1.5,PI()*CG$12*$Q243*($B243-$B242)*0.15/10+CK242)</f>
        <v>#N/A</v>
      </c>
      <c r="CL243" s="102" t="e">
        <f>(VLOOKUP($B$3,'Coeff EC7'!$T$39:$X$59,3,0)*CI243+VLOOKUP($B$3,'Coeff EC7'!$T$65:$X$85,3,0)*Model0.1T!CJ243)/1.1</f>
        <v>#N/A</v>
      </c>
      <c r="CM243" s="102" t="e">
        <f t="shared" si="382"/>
        <v>#N/A</v>
      </c>
      <c r="CN243" s="102" t="e">
        <f t="shared" si="383"/>
        <v>#N/A</v>
      </c>
      <c r="CO243" s="414" t="e">
        <f>IF(AND(CK243&gt;NDC!$C$63,CL243&gt;NDC!$C$65,CM243&gt;NDC!$D$73,CN243&gt;NDC!$D$74,$B243&gt;NDC!$H$22-0.1+MIN(3*CO$12,1.5)),0,1)</f>
        <v>#N/A</v>
      </c>
      <c r="CP243" s="86" t="b">
        <f t="shared" si="349"/>
        <v>0</v>
      </c>
      <c r="CQ243" s="86">
        <f t="shared" si="350"/>
        <v>0.5</v>
      </c>
      <c r="CR243" s="86">
        <f t="shared" si="351"/>
        <v>0.5</v>
      </c>
      <c r="CS243" s="30" t="e">
        <f t="shared" ca="1" si="384"/>
        <v>#DIV/0!</v>
      </c>
      <c r="CT243" s="85" t="e">
        <f ca="1">IF(BZ243&lt;=Hypothèses!$V$7,Hypothèses!$W$7,IF(BZ243&lt;=Hypothèses!$V$8,Hypothèses!$W$8,IF(BZ243&lt;=Hypothèses!$V$9,Hypothèses!$W$9,IF(BZ243&lt;=Hypothèses!$V$10,Hypothèses!$W$10,IF(BZ243&lt;=Hypothèses!$V$11,Hypothèses!$W$11,IF(BZ243&lt;=Hypothèses!$V$12,Hypothèses!$W$12,IF(BZ243&lt;=Hypothèses!$V$13,Hypothèses!$W$13,IF(BZ243&lt;=Hypothèses!$V$14,Hypothèses!$W$14,IF(BZ243&lt;=Hypothèses!$V$15,Hypothèses!$W$15,IF(BZ243&lt;=Hypothèses!$V$16,Hypothèses!$W$16,IF(BZ243&lt;=Hypothèses!$V$17,Hypothèses!$W$17,IF(BZ243&lt;=Hypothèses!$V$18,Hypothèses!$W$18,""))))))))))))</f>
        <v>#DIV/0!</v>
      </c>
      <c r="CU243" s="87" t="e">
        <f t="shared" ca="1" si="420"/>
        <v>#DIV/0!</v>
      </c>
      <c r="CV243" s="88" t="e">
        <f ca="1">IF(BZ243&lt;=Hypothèses!$V$7,Hypothèses!$X$7,IF(BZ243&lt;=Hypothèses!$V$8,Hypothèses!$X$8,IF(BZ243&lt;=Hypothèses!$V$9,Hypothèses!$X$9,IF(BZ243&lt;=Hypothèses!$V$10,Hypothèses!$X$10,IF(BZ243&lt;=Hypothèses!$V$11,Hypothèses!$X$11,IF(BZ243&lt;=Hypothèses!$V$12,Hypothèses!$X$12,IF(BZ243&lt;=Hypothèses!$V$13,Hypothèses!$X$13,IF(BZ243&lt;=Hypothèses!$V$14,Hypothèses!$X$14,IF(BZ243&lt;=Hypothèses!$V$15,Hypothèses!$X$15,IF(BZ243&lt;=Hypothèses!$V$16,Hypothèses!$X$16,IF(BZ243&lt;=Hypothèses!$U$17,Hypothèses!$W$17,IF(BZ243&lt;=Hypothèses!$U$18,Hypothèses!$W$18,""))))))))))))</f>
        <v>#DIV/0!</v>
      </c>
      <c r="CW243" s="95" t="e">
        <f t="shared" ca="1" si="385"/>
        <v>#DIV/0!</v>
      </c>
      <c r="CX243" s="101">
        <f t="shared" si="427"/>
        <v>0</v>
      </c>
      <c r="CY243" s="91">
        <f t="shared" si="352"/>
        <v>0</v>
      </c>
      <c r="CZ243" s="30" t="e">
        <f t="shared" si="408"/>
        <v>#N/A</v>
      </c>
      <c r="DA243" s="30" t="e">
        <f t="shared" si="409"/>
        <v>#N/A</v>
      </c>
      <c r="DB243" s="31" t="e">
        <f>IF(OR(Hypothèses!$B$4=17,Hypothèses!$B$4=18,Hypothèses!$B$4=19,Hypothèses!$B$4=20),
IF($D243="Pressio.",
IF(OR($E243=3,$E243=1,$E243=4),DA243,CZ243),
IF($D243="Pénétro.",
IF(OR($E243=3,$E243=1,$E243=4),DA243,CZ243))),IF($D243="Pressio.",
IF($E243=3,DA243,CZ243),
IF($D243="Pénétro.",
IF($E243=4,DA243,CZ243))))</f>
        <v>#N/A</v>
      </c>
      <c r="DC243" s="31">
        <v>0</v>
      </c>
      <c r="DD243" s="102" t="e">
        <f>IF(NDC!$H$10="Oui",(VLOOKUP($B$3,'Coeff EC7'!$T$39:$X$59,2,0)*DB243+VLOOKUP($B$3,'Coeff EC7'!$T$65:$X$85,2,0)*Model0.1T!DC243)/1.5,PI()*CZ$12*$Q243*($B243-$B242)*0.15/10+DD242)</f>
        <v>#N/A</v>
      </c>
      <c r="DE243" s="102" t="e">
        <f>(VLOOKUP($B$3,'Coeff EC7'!$T$39:$X$59,3,0)*DB243+VLOOKUP($B$3,'Coeff EC7'!$T$65:$X$85,3,0)*Model0.1T!DC243)/1.1</f>
        <v>#N/A</v>
      </c>
      <c r="DF243" s="102" t="e">
        <f t="shared" si="386"/>
        <v>#N/A</v>
      </c>
      <c r="DG243" s="102" t="e">
        <f t="shared" si="387"/>
        <v>#N/A</v>
      </c>
      <c r="DH243" s="414" t="e">
        <f>IF(AND(DD243&gt;NDC!$C$63,DE243&gt;NDC!$C$65,DF243&gt;NDC!$D$73,DG243&gt;NDC!$D$74,$B243&gt;NDC!$H$22-0.1+MIN(3*DH$12,1.5)),0,1)</f>
        <v>#N/A</v>
      </c>
      <c r="DI243" s="86" t="b">
        <f t="shared" si="353"/>
        <v>0</v>
      </c>
      <c r="DJ243" s="86">
        <f t="shared" si="354"/>
        <v>0.5</v>
      </c>
      <c r="DK243" s="86">
        <f t="shared" si="355"/>
        <v>0.5</v>
      </c>
      <c r="DL243" s="30" t="e">
        <f t="shared" ca="1" si="388"/>
        <v>#DIV/0!</v>
      </c>
      <c r="DM243" s="85" t="e">
        <f ca="1">IF(CS243&lt;=Hypothèses!$V$7,Hypothèses!$W$7,IF(CS243&lt;=Hypothèses!$V$8,Hypothèses!$W$8,IF(CS243&lt;=Hypothèses!$V$9,Hypothèses!$W$9,IF(CS243&lt;=Hypothèses!$V$10,Hypothèses!$W$10,IF(CS243&lt;=Hypothèses!$V$11,Hypothèses!$W$11,IF(CS243&lt;=Hypothèses!$V$12,Hypothèses!$W$12,IF(CS243&lt;=Hypothèses!$V$13,Hypothèses!$W$13,IF(CS243&lt;=Hypothèses!$V$14,Hypothèses!$W$14,IF(CS243&lt;=Hypothèses!$V$15,Hypothèses!$W$15,IF(CS243&lt;=Hypothèses!$V$16,Hypothèses!$W$16,IF(CS243&lt;=Hypothèses!$V$17,Hypothèses!$W$17,IF(CS243&lt;=Hypothèses!$V$18,Hypothèses!$W$18,""))))))))))))</f>
        <v>#DIV/0!</v>
      </c>
      <c r="DN243" s="87" t="e">
        <f t="shared" ca="1" si="421"/>
        <v>#DIV/0!</v>
      </c>
      <c r="DO243" s="88" t="e">
        <f ca="1">IF(CS243&lt;=Hypothèses!$V$7,Hypothèses!$X$7,IF(CS243&lt;=Hypothèses!$V$8,Hypothèses!$X$8,IF(CS243&lt;=Hypothèses!$V$9,Hypothèses!$X$9,IF(CS243&lt;=Hypothèses!$V$10,Hypothèses!$X$10,IF(CS243&lt;=Hypothèses!$V$11,Hypothèses!$X$11,IF(CS243&lt;=Hypothèses!$V$12,Hypothèses!$X$12,IF(CS243&lt;=Hypothèses!$V$13,Hypothèses!$X$13,IF(CS243&lt;=Hypothèses!$V$14,Hypothèses!$X$14,IF(CS243&lt;=Hypothèses!$V$15,Hypothèses!$X$15,IF(CS243&lt;=Hypothèses!$V$16,Hypothèses!$X$16,IF(CS243&lt;=Hypothèses!$U$17,Hypothèses!$W$17,IF(CS243&lt;=Hypothèses!$U$18,Hypothèses!$W$18,""))))))))))))</f>
        <v>#DIV/0!</v>
      </c>
      <c r="DP243" s="95" t="e">
        <f t="shared" ca="1" si="389"/>
        <v>#DIV/0!</v>
      </c>
      <c r="DQ243" s="101">
        <f t="shared" si="428"/>
        <v>0</v>
      </c>
      <c r="DR243" s="91">
        <f t="shared" si="356"/>
        <v>0</v>
      </c>
      <c r="DS243" s="30" t="e">
        <f t="shared" si="410"/>
        <v>#N/A</v>
      </c>
      <c r="DT243" s="30" t="e">
        <f t="shared" si="411"/>
        <v>#N/A</v>
      </c>
      <c r="DU243" s="31" t="e">
        <f>IF(OR(Hypothèses!$B$4=17,Hypothèses!$B$4=18,Hypothèses!$B$4=19,Hypothèses!$B$4=20),
IF($D243="Pressio.",
IF(OR($E243=3,$E243=1,$E243=4),DT243,DS243),
IF($D243="Pénétro.",
IF(OR($E243=3,$E243=1,$E243=4),DT243,DS243))),IF($D243="Pressio.",
IF($E243=3,DT243,DS243),
IF($D243="Pénétro.",
IF($E243=4,DT243,DS243))))</f>
        <v>#N/A</v>
      </c>
      <c r="DV243" s="31">
        <v>0</v>
      </c>
      <c r="DW243" s="102" t="e">
        <f>IF(NDC!$H$10="Oui",(VLOOKUP($B$3,'Coeff EC7'!$T$39:$X$59,2,0)*DU243+VLOOKUP($B$3,'Coeff EC7'!$T$65:$X$85,2,0)*Model0.1T!DV243)/1.5,PI()*DS$12*$Q243*($B243-$B242)*0.15/10+DW242)</f>
        <v>#N/A</v>
      </c>
      <c r="DX243" s="102" t="e">
        <f>(VLOOKUP($B$3,'Coeff EC7'!$T$39:$X$59,3,0)*DU243+VLOOKUP($B$3,'Coeff EC7'!$T$65:$X$85,3,0)*Model0.1T!DV243)/1.1</f>
        <v>#N/A</v>
      </c>
      <c r="DY243" s="102" t="e">
        <f t="shared" si="390"/>
        <v>#N/A</v>
      </c>
      <c r="DZ243" s="102" t="e">
        <f t="shared" si="391"/>
        <v>#N/A</v>
      </c>
      <c r="EA243" s="414" t="e">
        <f>IF(AND(DW243&gt;NDC!$C$63,DX243&gt;NDC!$C$65,DY243&gt;NDC!$D$73,DZ243&gt;NDC!$D$74,$B243&gt;NDC!$H$22-0.1+MIN(3*EA$12,1.5)),0,1)</f>
        <v>#N/A</v>
      </c>
      <c r="EB243" s="86" t="b">
        <f t="shared" si="357"/>
        <v>0</v>
      </c>
      <c r="EC243" s="418">
        <f t="shared" si="358"/>
        <v>0.51</v>
      </c>
      <c r="ED243" s="86">
        <f t="shared" si="359"/>
        <v>0.51</v>
      </c>
      <c r="EE243" s="30" t="e">
        <f t="shared" ca="1" si="392"/>
        <v>#DIV/0!</v>
      </c>
      <c r="EF243" s="85" t="e">
        <f ca="1">IF(DL243&lt;=Hypothèses!$V$7,Hypothèses!$W$7,IF(DL243&lt;=Hypothèses!$V$8,Hypothèses!$W$8,IF(DL243&lt;=Hypothèses!$V$9,Hypothèses!$W$9,IF(DL243&lt;=Hypothèses!$V$10,Hypothèses!$W$10,IF(DL243&lt;=Hypothèses!$V$11,Hypothèses!$W$11,IF(DL243&lt;=Hypothèses!$V$12,Hypothèses!$W$12,IF(DL243&lt;=Hypothèses!$V$13,Hypothèses!$W$13,IF(DL243&lt;=Hypothèses!$V$14,Hypothèses!$W$14,IF(DL243&lt;=Hypothèses!$V$15,Hypothèses!$W$15,IF(DL243&lt;=Hypothèses!$V$16,Hypothèses!$W$16,IF(DL243&lt;=Hypothèses!$V$17,Hypothèses!$W$17,IF(DL243&lt;=Hypothèses!$V$18,Hypothèses!$W$18,""))))))))))))</f>
        <v>#DIV/0!</v>
      </c>
      <c r="EG243" s="87" t="e">
        <f t="shared" ca="1" si="422"/>
        <v>#DIV/0!</v>
      </c>
      <c r="EH243" s="88" t="e">
        <f ca="1">IF(DL243&lt;=Hypothèses!$V$7,Hypothèses!$X$7,IF(DL243&lt;=Hypothèses!$V$8,Hypothèses!$X$8,IF(DL243&lt;=Hypothèses!$V$9,Hypothèses!$X$9,IF(DL243&lt;=Hypothèses!$V$10,Hypothèses!$X$10,IF(DL243&lt;=Hypothèses!$V$11,Hypothèses!$X$11,IF(DL243&lt;=Hypothèses!$V$12,Hypothèses!$X$12,IF(DL243&lt;=Hypothèses!$V$13,Hypothèses!$X$13,IF(DL243&lt;=Hypothèses!$V$14,Hypothèses!$X$14,IF(DL243&lt;=Hypothèses!$V$15,Hypothèses!$X$15,IF(DL243&lt;=Hypothèses!$V$16,Hypothèses!$X$16,IF(DL243&lt;=Hypothèses!$U$17,Hypothèses!$W$17,IF(DL243&lt;=Hypothèses!$U$18,Hypothèses!$W$18,""))))))))))))</f>
        <v>#DIV/0!</v>
      </c>
      <c r="EI243" s="95" t="e">
        <f t="shared" ca="1" si="393"/>
        <v>#DIV/0!</v>
      </c>
      <c r="EJ243" s="101">
        <f t="shared" si="429"/>
        <v>0</v>
      </c>
      <c r="EK243" s="91">
        <f t="shared" si="360"/>
        <v>0</v>
      </c>
      <c r="EL243" s="30" t="e">
        <f t="shared" si="412"/>
        <v>#N/A</v>
      </c>
      <c r="EM243" s="30" t="e">
        <f t="shared" si="413"/>
        <v>#N/A</v>
      </c>
      <c r="EN243" s="31" t="e">
        <f>IF(OR(Hypothèses!$B$4=17,Hypothèses!$B$4=18,Hypothèses!$B$4=19,Hypothèses!$B$4=20),
IF($D243="Pressio.",
IF(OR($E243=3,$E243=1,$E243=4),EM243,EL243),
IF($D243="Pénétro.",
IF(OR($E243=3,$E243=1,$E243=4),EM243,EL243))),IF($D243="Pressio.",
IF($E243=3,EM243,EL243),
IF($D243="Pénétro.",
IF($E243=4,EM243,EL243))))</f>
        <v>#N/A</v>
      </c>
      <c r="EO243" s="31">
        <v>0</v>
      </c>
      <c r="EP243" s="102" t="e">
        <f>IF(NDC!$H$10="Oui",(VLOOKUP($B$3,'Coeff EC7'!$T$39:$X$59,2,0)*EN243+VLOOKUP($B$3,'Coeff EC7'!$T$65:$X$85,2,0)*Model0.1T!EO243)/1.5,PI()*EL$12*$Q243*($B243-$B242)*0.15/10+EP242)</f>
        <v>#N/A</v>
      </c>
      <c r="EQ243" s="102" t="e">
        <f>(VLOOKUP($B$3,'Coeff EC7'!$T$39:$X$59,3,0)*EN243+VLOOKUP($B$3,'Coeff EC7'!$T$65:$X$85,3,0)*Model0.1T!EO243)/1.1</f>
        <v>#N/A</v>
      </c>
      <c r="ER243" s="102" t="e">
        <f t="shared" si="394"/>
        <v>#N/A</v>
      </c>
      <c r="ES243" s="102" t="e">
        <f t="shared" si="395"/>
        <v>#N/A</v>
      </c>
      <c r="ET243" s="414" t="e">
        <f>IF(AND(EP243&gt;NDC!$C$63,EQ243&gt;NDC!$C$65,ER243&gt;NDC!$D$73,ES243&gt;NDC!$D$74,$B243&gt;NDC!$H$22-0.1+MIN(3*ET$12,1.5)),0,1)</f>
        <v>#N/A</v>
      </c>
      <c r="EU243" s="86" t="b">
        <f t="shared" si="361"/>
        <v>0</v>
      </c>
      <c r="EV243" s="86">
        <f t="shared" si="362"/>
        <v>0.61</v>
      </c>
      <c r="EW243" s="86">
        <f t="shared" si="363"/>
        <v>0.61</v>
      </c>
      <c r="EX243" s="30" t="e">
        <f t="shared" ca="1" si="396"/>
        <v>#DIV/0!</v>
      </c>
      <c r="EY243" s="85" t="e">
        <f ca="1">IF(EE243&lt;=Hypothèses!$V$7,Hypothèses!$W$7,IF(EE243&lt;=Hypothèses!$V$8,Hypothèses!$W$8,IF(EE243&lt;=Hypothèses!$V$9,Hypothèses!$W$9,IF(EE243&lt;=Hypothèses!$V$10,Hypothèses!$W$10,IF(EE243&lt;=Hypothèses!$V$11,Hypothèses!$W$11,IF(EE243&lt;=Hypothèses!$V$12,Hypothèses!$W$12,IF(EE243&lt;=Hypothèses!$V$13,Hypothèses!$W$13,IF(EE243&lt;=Hypothèses!$V$14,Hypothèses!$W$14,IF(EE243&lt;=Hypothèses!$V$15,Hypothèses!$W$15,IF(EE243&lt;=Hypothèses!$V$16,Hypothèses!$W$16,IF(EE243&lt;=Hypothèses!$V$17,Hypothèses!$W$17,IF(EE243&lt;=Hypothèses!$V$18,Hypothèses!$W$18,""))))))))))))</f>
        <v>#DIV/0!</v>
      </c>
      <c r="EZ243" s="87" t="e">
        <f t="shared" ca="1" si="423"/>
        <v>#DIV/0!</v>
      </c>
      <c r="FA243" s="88" t="e">
        <f ca="1">IF(EE243&lt;=Hypothèses!$V$7,Hypothèses!$X$7,IF(EE243&lt;=Hypothèses!$V$8,Hypothèses!$X$8,IF(EE243&lt;=Hypothèses!$V$9,Hypothèses!$X$9,IF(EE243&lt;=Hypothèses!$V$10,Hypothèses!$X$10,IF(EE243&lt;=Hypothèses!$V$11,Hypothèses!$X$11,IF(EE243&lt;=Hypothèses!$V$12,Hypothèses!$X$12,IF(EE243&lt;=Hypothèses!$V$13,Hypothèses!$X$13,IF(EE243&lt;=Hypothèses!$V$14,Hypothèses!$X$14,IF(EE243&lt;=Hypothèses!$V$15,Hypothèses!$X$15,IF(EE243&lt;=Hypothèses!$V$16,Hypothèses!$X$16,IF(EE243&lt;=Hypothèses!$U$17,Hypothèses!$W$17,IF(EE243&lt;=Hypothèses!$U$18,Hypothèses!$W$18,""))))))))))))</f>
        <v>#DIV/0!</v>
      </c>
      <c r="FB243" s="95" t="e">
        <f t="shared" ca="1" si="397"/>
        <v>#DIV/0!</v>
      </c>
      <c r="FC243" s="101">
        <f t="shared" si="430"/>
        <v>0</v>
      </c>
      <c r="FD243" s="91">
        <f t="shared" si="364"/>
        <v>0</v>
      </c>
      <c r="FE243" s="30" t="e">
        <f t="shared" si="414"/>
        <v>#N/A</v>
      </c>
      <c r="FF243" s="30" t="e">
        <f t="shared" si="415"/>
        <v>#N/A</v>
      </c>
      <c r="FG243" s="31" t="e">
        <f>IF(OR(Hypothèses!$B$4=17,Hypothèses!$B$4=18,Hypothèses!$B$4=19,Hypothèses!$B$4=20),
IF($D243="Pressio.",
IF(OR($E243=3,$E243=1,$E243=4),FF243,FE243),
IF($D243="Pénétro.",
IF(OR($E243=3,$E243=1,$E243=4),FF243,FE243))),IF($D243="Pressio.",
IF($E243=3,FF243,FE243),
IF($D243="Pénétro.",
IF($E243=4,FF243,FE243))))</f>
        <v>#N/A</v>
      </c>
      <c r="FH243" s="31">
        <v>0</v>
      </c>
      <c r="FI243" s="102" t="e">
        <f>IF(NDC!$H$10="Oui",(VLOOKUP($B$3,'Coeff EC7'!$T$39:$X$59,2,0)*FG243+VLOOKUP($B$3,'Coeff EC7'!$T$65:$X$85,2,0)*Model0.1T!FH243)/1.5,PI()*FE$12*$Q243*($B243-$B242)*0.15/10+FI242)</f>
        <v>#N/A</v>
      </c>
      <c r="FJ243" s="102" t="e">
        <f>(VLOOKUP($B$3,'Coeff EC7'!$T$39:$X$59,3,0)*FG243+VLOOKUP($B$3,'Coeff EC7'!$T$65:$X$85,3,0)*Model0.1T!FH243)/1.1</f>
        <v>#N/A</v>
      </c>
      <c r="FK243" s="102" t="e">
        <f t="shared" si="398"/>
        <v>#N/A</v>
      </c>
      <c r="FL243" s="102" t="e">
        <f t="shared" si="399"/>
        <v>#N/A</v>
      </c>
      <c r="FM243" s="414" t="e">
        <f>IF(AND(FI243&gt;NDC!$C$63,FJ243&gt;NDC!$C$65,FK243&gt;NDC!$D$73,FL243&gt;NDC!$D$74,$B243&gt;NDC!$H$22-0.1+MIN(3*FM$12,1.5)),0,1)</f>
        <v>#N/A</v>
      </c>
    </row>
    <row r="244" spans="1:169">
      <c r="A244" s="96">
        <f t="shared" si="365"/>
        <v>76.900000000001313</v>
      </c>
      <c r="B244" s="97">
        <v>23.1</v>
      </c>
      <c r="C244" s="81">
        <f>IF(B244&lt;=Hypothèses!$C$7,Hypothèses!$A$7,IF(B244&lt;=Hypothèses!$C$8,Hypothèses!$A$8,IF(B244&lt;=Hypothèses!$C$9,Hypothèses!$A$9,IF(B244&lt;=Hypothèses!$C$10,Hypothèses!$A$10,IF(B244&lt;=Hypothèses!$C$11,Hypothèses!$A$11,IF(B244&lt;=Hypothèses!$C$12,Hypothèses!$A$12,IF(B244&lt;=Hypothèses!$C$13,Hypothèses!$A$13,IF(B244&lt;=Hypothèses!$C$14,Hypothèses!$A$14,IF(B244&lt;=Hypothèses!$C$15,Hypothèses!$A$15,IF(B244&lt;=Hypothèses!$C$16,Hypothèses!$A$16,IF(B244&lt;=Hypothèses!$C$17,Hypothèses!$A$17,IF(B244&lt;=Hypothèses!$C$18,Hypothèses!$A$18,C243))))))))))))</f>
        <v>11</v>
      </c>
      <c r="D244" s="82" t="str">
        <f>IF(B244&lt;=Hypothèses!$C$7,Hypothèses!$R$7,IF(B244&lt;=Hypothèses!$C$8,Hypothèses!$R$8,IF(B244&lt;=Hypothèses!$C$9,Hypothèses!$R$9,IF(B244&lt;=Hypothèses!$C$10,Hypothèses!$R$10,IF(B244&lt;=Hypothèses!$C$11,Hypothèses!$R$11,IF(B244&lt;=Hypothèses!$C$12,Hypothèses!$R$12,IF(B244&lt;=Hypothèses!$C$13,Hypothèses!$R$13,IF(B244&lt;=Hypothèses!$C$14,Hypothèses!$R$14,IF(B244&lt;=Hypothèses!$C$15,Hypothèses!$R$15,IF(B244&lt;=Hypothèses!$C$16,Hypothèses!$R$16,IF(B244&lt;=Hypothèses!$C$17,Hypothèses!$R$17,IF(B244&lt;=Hypothèses!$C$18,Hypothèses!$R$18,D243))))))))))))</f>
        <v>Pressio.</v>
      </c>
      <c r="E244" s="82" t="e">
        <f>IF(B244&lt;=Hypothèses!$C$7,Hypothèses!$G$7,IF(B244&lt;=Hypothèses!$C$8,Hypothèses!$G$8,IF(B244&lt;=Hypothèses!$C$9,Hypothèses!$G$9,IF(B244&lt;=Hypothèses!$C$10,Hypothèses!$G$10,IF(B244&lt;=Hypothèses!$C$11,Hypothèses!$G$11,IF(B244&lt;=Hypothèses!$C$12,Hypothèses!$G$12,IF(B244&lt;=Hypothèses!$C$13,Hypothèses!$G$13,IF(B244&lt;=Hypothèses!$C$14,Hypothèses!$G$14,IF(B244&lt;=Hypothèses!$C$15,Hypothèses!$G$15,IF(B244&lt;=Hypothèses!$C$16,Hypothèses!$G$16,IF(B244&lt;=Hypothèses!$C$17,Hypothèses!$G$17,IF(B244&lt;=Hypothèses!$C$18,Hypothèses!$G$18,E243))))))))))))</f>
        <v>#N/A</v>
      </c>
      <c r="F244" s="82" t="str">
        <f>IF(B244&lt;=Hypothèses!$C$7,Hypothèses!$F$7,IF(B244&lt;=Hypothèses!$C$8,Hypothèses!$F$8,IF(B244&lt;=Hypothèses!$C$9,Hypothèses!$F$9,IF(B244&lt;=Hypothèses!$C$10,Hypothèses!$F$10,IF(B244&lt;=Hypothèses!$C$11,Hypothèses!$F$11,IF(B244&lt;=Hypothèses!$C$12,Hypothèses!$F$12,IF(B244&lt;=Hypothèses!$C$13,Hypothèses!$F$13,IF(B244&lt;=Hypothèses!$C$14,Hypothèses!$F$14,IF(B244&lt;=Hypothèses!$C$15,Hypothèses!$F$15,IF(B244&lt;=Hypothèses!$C$16,Hypothèses!$F$16,IF(B244&lt;=Hypothèses!$C$17,Hypothèses!$F$17,IF(B244&lt;=Hypothèses!$C$18,Hypothèses!$F$18,F243))))))))))))</f>
        <v/>
      </c>
      <c r="G244" s="91">
        <f t="array" ref="G244">INDEX('Coeff EC7'!$U$7:$X$27,
MATCH(Model0.1T!$B$3,'Coeff EC7'!$T$7:$T$27,0),
MATCH(Model0.1T!$D244&amp;Model0.1T!$B$4,
'Coeff EC7'!$U$6:$X$6&amp;
'Coeff EC7'!$U$5:$X$5,0))</f>
        <v>1.4</v>
      </c>
      <c r="H244" s="91">
        <f t="array" ref="H244">INDEX('Coeff EC7'!$Y$7:$AB$27,
MATCH(Model0.1T!$B$3,'Coeff EC7'!$T$7:$T$27,0),
MATCH(Model0.1T!$D244&amp;Model0.1T!$B$4,
'Coeff EC7'!$Y$6:$AB$6&amp;
'Coeff EC7'!$Y$5:$AB$5,0))</f>
        <v>1.7</v>
      </c>
      <c r="I244" s="83">
        <v>0</v>
      </c>
      <c r="J244" s="91" t="e">
        <f t="array" ref="J244">INDEX('Coeff EC7'!$D$33:$Q$33,1,MATCH(D244&amp;E244,'Coeff EC7'!$D$31:$Q$31&amp;'Coeff EC7'!$D$32:$Q$32,0))</f>
        <v>#N/A</v>
      </c>
      <c r="K244" s="91" t="e">
        <f t="array" ref="K244">INDEX('Coeff EC7'!$D$34:$Q$34,1,MATCH(D244&amp;E244,'Coeff EC7'!$D$31:$Q$31&amp;'Coeff EC7'!$D$32:$Q$32,0))</f>
        <v>#N/A</v>
      </c>
      <c r="L244" s="91" t="e">
        <f t="array" ref="L244">INDEX('Coeff EC7'!$D$35:$Q$35,1,MATCH(D244&amp;E244,'Coeff EC7'!$D$31:$Q$31&amp;'Coeff EC7'!$D$32:$Q$32,0))</f>
        <v>#N/A</v>
      </c>
      <c r="M244" s="98" t="e">
        <f t="shared" si="331"/>
        <v>#N/A</v>
      </c>
      <c r="N244" s="99" t="e">
        <f t="array" ref="N244">INDEX('Coeff EC7'!$D$7:$Q$27,MATCH($B$3,'Coeff EC7'!$C$7:$C$27,0),MATCH(D244&amp;E244,'Coeff EC7'!$D$5:$Q$5&amp;'Coeff EC7'!$D$6:$Q$6,0))</f>
        <v>#N/A</v>
      </c>
      <c r="O244" s="99" t="e">
        <f t="array" ref="O244">INDEX('Coeff EC7'!$D$41:$Q$61,MATCH($B$3,'Coeff EC7'!$C$41:$C$61,0),MATCH(D244&amp;E244,'Coeff EC7'!$D$39:$Q$39&amp;'Coeff EC7'!$D$40:$Q$40,0))</f>
        <v>#N/A</v>
      </c>
      <c r="P244" s="30" t="e">
        <f t="shared" si="366"/>
        <v>#N/A</v>
      </c>
      <c r="Q244" s="100" t="e">
        <f t="shared" si="333"/>
        <v>#N/A</v>
      </c>
      <c r="R244" s="86" t="b">
        <f t="shared" si="334"/>
        <v>0</v>
      </c>
      <c r="S244" s="86">
        <f t="shared" si="332"/>
        <v>0.5</v>
      </c>
      <c r="T244" s="86">
        <f t="shared" si="335"/>
        <v>0.5</v>
      </c>
      <c r="U244" s="30" t="e">
        <f t="shared" ca="1" si="367"/>
        <v>#DIV/0!</v>
      </c>
      <c r="V244" s="85" t="str">
        <f>IF(B244&lt;=Hypothèses!$V$7,Hypothèses!$W$7,IF(B244&lt;=Hypothèses!$V$8,Hypothèses!$W$8,IF(B244&lt;=Hypothèses!$V$9,Hypothèses!$W$9,IF(B244&lt;=Hypothèses!$V$10,Hypothèses!$W$10,IF(B244&lt;=Hypothèses!$V$11,Hypothèses!$W$11,IF(B244&lt;=Hypothèses!$V$12,Hypothèses!$W$12,IF(B244&lt;=Hypothèses!$V$13,Hypothèses!$W$13,IF(B244&lt;=Hypothèses!$V$14,Hypothèses!$W$14,IF(B244&lt;=Hypothèses!$V$15,Hypothèses!$W$15,IF(B244&lt;=Hypothèses!$V$16,Hypothèses!$W$16,IF(B244&lt;=Hypothèses!$V$17,Hypothèses!$W$17,IF(B244&lt;=Hypothèses!$V$18,Hypothèses!$W$18,""))))))))))))</f>
        <v/>
      </c>
      <c r="W244" s="87" t="e">
        <f t="shared" ca="1" si="416"/>
        <v>#DIV/0!</v>
      </c>
      <c r="X244" s="88" t="str">
        <f>IF(B244&lt;=Hypothèses!$V$7,Hypothèses!$X$7,IF(B244&lt;=Hypothèses!$V$8,Hypothèses!$X$8,IF(B244&lt;=Hypothèses!$V$9,Hypothèses!$X$9,IF(B244&lt;=Hypothèses!$V$10,Hypothèses!$X$10,IF(B244&lt;=Hypothèses!$V$11,Hypothèses!$X$11,IF(B244&lt;=Hypothèses!$V$12,Hypothèses!$X$12,IF(B244&lt;=Hypothèses!$V$13,Hypothèses!$X$13,IF(B244&lt;=Hypothèses!$V$14,Hypothèses!$X$14,IF(B244&lt;=Hypothèses!$V$15,Hypothèses!$X$15,IF(B244&lt;=Hypothèses!$V$16,Hypothèses!$X$16,IF(B244&lt;=Hypothèses!$U$17,Hypothèses!$W$17,IF(B244&lt;=Hypothèses!$U$18,Hypothèses!$W$18,""))))))))))))</f>
        <v/>
      </c>
      <c r="Y244" s="95" t="e">
        <f t="shared" ca="1" si="336"/>
        <v>#DIV/0!</v>
      </c>
      <c r="Z244" s="101">
        <f t="shared" si="337"/>
        <v>0</v>
      </c>
      <c r="AA244" s="91">
        <f t="shared" si="338"/>
        <v>0</v>
      </c>
      <c r="AB244" s="30" t="e">
        <f t="shared" si="400"/>
        <v>#N/A</v>
      </c>
      <c r="AC244" s="30" t="e">
        <f t="shared" si="401"/>
        <v>#N/A</v>
      </c>
      <c r="AD244" s="31" t="e">
        <f>IF(OR(Hypothèses!$B$4=17,Hypothèses!$B$4=18,Hypothèses!$B$4=19,Hypothèses!$B$4=20),
IF($D244="Pressio.",
IF(OR($E244=3,$E244=1,$E244=4),AC244,AB244),
IF($D244="Pénétro.",
IF(OR($E244=3,$E244=1,$E244=4),AC244,AB244))),IF($D244="Pressio.",
IF($E244=3,AC244,AB244),
IF($D244="Pénétro.",
IF($E244=4,AC244,AB244))))</f>
        <v>#N/A</v>
      </c>
      <c r="AE244" s="31">
        <v>0</v>
      </c>
      <c r="AF244" s="102" t="e">
        <f>IF(NDC!$H$10="Oui",(VLOOKUP($B$3,'Coeff EC7'!$T$39:$X$59,2,0)*AD244+VLOOKUP($B$3,'Coeff EC7'!$T$65:$X$85,2,0)*Model0.1T!AE244)/1.5,PI()*AB$12*$Q244*($B244-$B243)*0.15/10+AF243)</f>
        <v>#N/A</v>
      </c>
      <c r="AG244" s="102" t="e">
        <f>(VLOOKUP($B$3,'Coeff EC7'!$T$39:$X$59,3,0)*AD244+VLOOKUP($B$3,'Coeff EC7'!$T$65:$X$85,3,0)*Model0.1T!AE244)/1.1</f>
        <v>#N/A</v>
      </c>
      <c r="AH244" s="102" t="e">
        <f t="shared" si="368"/>
        <v>#N/A</v>
      </c>
      <c r="AI244" s="102" t="e">
        <f t="shared" si="369"/>
        <v>#N/A</v>
      </c>
      <c r="AJ244" s="414" t="e">
        <f>IF(AND(AF244&gt;NDC!$C$63,AG244&gt;NDC!$C$65,AH244&gt;NDC!$D$73,AI244&gt;NDC!$D$74,$B244&gt;NDC!$H$22-0.1+MIN(3*$AJ$12,1.5)),0,1)</f>
        <v>#N/A</v>
      </c>
      <c r="AK244" s="86" t="b">
        <f t="shared" si="339"/>
        <v>0</v>
      </c>
      <c r="AL244" s="86">
        <f t="shared" si="370"/>
        <v>0.5</v>
      </c>
      <c r="AM244" s="86">
        <f t="shared" si="340"/>
        <v>0.5</v>
      </c>
      <c r="AN244" s="30" t="e">
        <f t="shared" ca="1" si="371"/>
        <v>#DIV/0!</v>
      </c>
      <c r="AO244" s="85" t="e">
        <f ca="1">IF(U244&lt;=Hypothèses!$V$7,Hypothèses!$W$7,IF(U244&lt;=Hypothèses!$V$8,Hypothèses!$W$8,IF(U244&lt;=Hypothèses!$V$9,Hypothèses!$W$9,IF(U244&lt;=Hypothèses!$V$10,Hypothèses!$W$10,IF(U244&lt;=Hypothèses!$V$11,Hypothèses!$W$11,IF(U244&lt;=Hypothèses!$V$12,Hypothèses!$W$12,IF(U244&lt;=Hypothèses!$V$13,Hypothèses!$W$13,IF(U244&lt;=Hypothèses!$V$14,Hypothèses!$W$14,IF(U244&lt;=Hypothèses!$V$15,Hypothèses!$W$15,IF(U244&lt;=Hypothèses!$V$16,Hypothèses!$W$16,IF(U244&lt;=Hypothèses!$V$17,Hypothèses!$W$17,IF(U244&lt;=Hypothèses!$V$18,Hypothèses!$W$18,""))))))))))))</f>
        <v>#DIV/0!</v>
      </c>
      <c r="AP244" s="87" t="e">
        <f t="shared" ca="1" si="417"/>
        <v>#DIV/0!</v>
      </c>
      <c r="AQ244" s="88" t="e">
        <f ca="1">IF(U244&lt;=Hypothèses!$V$7,Hypothèses!$X$7,IF(U244&lt;=Hypothèses!$V$8,Hypothèses!$X$8,IF(U244&lt;=Hypothèses!$V$9,Hypothèses!$X$9,IF(U244&lt;=Hypothèses!$V$10,Hypothèses!$X$10,IF(U244&lt;=Hypothèses!$V$11,Hypothèses!$X$11,IF(U244&lt;=Hypothèses!$V$12,Hypothèses!$X$12,IF(U244&lt;=Hypothèses!$V$13,Hypothèses!$X$13,IF(U244&lt;=Hypothèses!$V$14,Hypothèses!$X$14,IF(U244&lt;=Hypothèses!$V$15,Hypothèses!$X$15,IF(U244&lt;=Hypothèses!$V$16,Hypothèses!$X$16,IF(U244&lt;=Hypothèses!$U$17,Hypothèses!$W$17,IF(U244&lt;=Hypothèses!$U$18,Hypothèses!$W$18,""))))))))))))</f>
        <v>#DIV/0!</v>
      </c>
      <c r="AR244" s="95" t="e">
        <f t="shared" ca="1" si="372"/>
        <v>#DIV/0!</v>
      </c>
      <c r="AS244" s="101">
        <f t="shared" si="424"/>
        <v>0</v>
      </c>
      <c r="AT244" s="91">
        <f t="shared" si="341"/>
        <v>0</v>
      </c>
      <c r="AU244" s="30" t="e">
        <f t="shared" si="402"/>
        <v>#N/A</v>
      </c>
      <c r="AV244" s="30" t="e">
        <f t="shared" si="403"/>
        <v>#N/A</v>
      </c>
      <c r="AW244" s="31" t="e">
        <f>IF(OR(Hypothèses!$B$4=17,Hypothèses!$B$4=18,Hypothèses!$B$4=19,Hypothèses!$B$4=20),
IF($D244="Pressio.",
IF(OR($E244=3,$E244=1,$E244=4),AV244,AU244),
IF($D244="Pénétro.",
IF(OR($E244=3,$E244=1,$E244=4),AV244,AU244))),IF($D244="Pressio.",
IF($E244=3,AV244,AU244),
IF($D244="Pénétro.",
IF($E244=4,AV244,AU244))))</f>
        <v>#N/A</v>
      </c>
      <c r="AX244" s="31">
        <v>0</v>
      </c>
      <c r="AY244" s="102" t="e">
        <f>IF(NDC!$H$10="Oui",(VLOOKUP($B$3,'Coeff EC7'!$T$39:$X$59,2,0)*AW244+VLOOKUP($B$3,'Coeff EC7'!$T$65:$X$85,2,0)*Model0.1T!AX244)/1.5,PI()*AU$12*$Q244*($B244-$B243)*0.15/10+AY243)</f>
        <v>#N/A</v>
      </c>
      <c r="AZ244" s="102" t="e">
        <f>(VLOOKUP($B$3,'Coeff EC7'!$T$39:$X$59,3,0)*AW244+VLOOKUP($B$3,'Coeff EC7'!$T$65:$X$85,3,0)*Model0.1T!AX244)/1.1</f>
        <v>#N/A</v>
      </c>
      <c r="BA244" s="102" t="e">
        <f t="shared" si="373"/>
        <v>#N/A</v>
      </c>
      <c r="BB244" s="102" t="e">
        <f t="shared" si="374"/>
        <v>#N/A</v>
      </c>
      <c r="BC244" s="414" t="e">
        <f>IF(AND(AY244&gt;NDC!$C$63,AZ244&gt;NDC!$C$65,BA244&gt;NDC!$D$73,BB244&gt;NDC!$D$74,$B244&gt;NDC!$H$22-0.1+MIN(3*BC$12,1.5)),0,1)</f>
        <v>#N/A</v>
      </c>
      <c r="BD244" s="86" t="b">
        <f t="shared" si="342"/>
        <v>0</v>
      </c>
      <c r="BE244" s="86">
        <f t="shared" si="375"/>
        <v>0.5</v>
      </c>
      <c r="BF244" s="86">
        <f t="shared" si="343"/>
        <v>0.5</v>
      </c>
      <c r="BG244" s="30" t="e">
        <f t="shared" ca="1" si="376"/>
        <v>#DIV/0!</v>
      </c>
      <c r="BH244" s="85" t="e">
        <f ca="1">IF(AN244&lt;=Hypothèses!$V$7,Hypothèses!$W$7,IF(AN244&lt;=Hypothèses!$V$8,Hypothèses!$W$8,IF(AN244&lt;=Hypothèses!$V$9,Hypothèses!$W$9,IF(AN244&lt;=Hypothèses!$V$10,Hypothèses!$W$10,IF(AN244&lt;=Hypothèses!$V$11,Hypothèses!$W$11,IF(AN244&lt;=Hypothèses!$V$12,Hypothèses!$W$12,IF(AN244&lt;=Hypothèses!$V$13,Hypothèses!$W$13,IF(AN244&lt;=Hypothèses!$V$14,Hypothèses!$W$14,IF(AN244&lt;=Hypothèses!$V$15,Hypothèses!$W$15,IF(AN244&lt;=Hypothèses!$V$16,Hypothèses!$W$16,IF(AN244&lt;=Hypothèses!$V$17,Hypothèses!$W$17,IF(AN244&lt;=Hypothèses!$V$18,Hypothèses!$W$18,""))))))))))))</f>
        <v>#DIV/0!</v>
      </c>
      <c r="BI244" s="87" t="e">
        <f t="shared" ca="1" si="418"/>
        <v>#DIV/0!</v>
      </c>
      <c r="BJ244" s="88" t="e">
        <f ca="1">IF(AN244&lt;=Hypothèses!$V$7,Hypothèses!$X$7,IF(AN244&lt;=Hypothèses!$V$8,Hypothèses!$X$8,IF(AN244&lt;=Hypothèses!$V$9,Hypothèses!$X$9,IF(AN244&lt;=Hypothèses!$V$10,Hypothèses!$X$10,IF(AN244&lt;=Hypothèses!$V$11,Hypothèses!$X$11,IF(AN244&lt;=Hypothèses!$V$12,Hypothèses!$X$12,IF(AN244&lt;=Hypothèses!$V$13,Hypothèses!$X$13,IF(AN244&lt;=Hypothèses!$V$14,Hypothèses!$X$14,IF(AN244&lt;=Hypothèses!$V$15,Hypothèses!$X$15,IF(AN244&lt;=Hypothèses!$V$16,Hypothèses!$X$16,IF(AN244&lt;=Hypothèses!$U$17,Hypothèses!$W$17,IF(AN244&lt;=Hypothèses!$U$18,Hypothèses!$W$18,""))))))))))))</f>
        <v>#DIV/0!</v>
      </c>
      <c r="BK244" s="95" t="e">
        <f t="shared" ca="1" si="377"/>
        <v>#DIV/0!</v>
      </c>
      <c r="BL244" s="101">
        <f t="shared" si="425"/>
        <v>0</v>
      </c>
      <c r="BM244" s="91">
        <f t="shared" si="344"/>
        <v>0</v>
      </c>
      <c r="BN244" s="30" t="e">
        <f t="shared" si="404"/>
        <v>#N/A</v>
      </c>
      <c r="BO244" s="30" t="e">
        <f t="shared" si="405"/>
        <v>#N/A</v>
      </c>
      <c r="BP244" s="31" t="e">
        <f>IF(OR(Hypothèses!$B$4=17,Hypothèses!$B$4=18,Hypothèses!$B$4=19,Hypothèses!$B$4=20),
IF($D244="Pressio.",
IF(OR($E244=3,$E244=1,$E244=4),BO244,BN244),
IF($D244="Pénétro.",
IF(OR($E244=3,$E244=1,$E244=4),BO244,BN244))),IF($D244="Pressio.",
IF($E244=3,BO244,BN244),
IF($D244="Pénétro.",
IF($E244=4,BO244,BN244))))</f>
        <v>#N/A</v>
      </c>
      <c r="BQ244" s="31">
        <v>0</v>
      </c>
      <c r="BR244" s="102" t="e">
        <f>IF(NDC!$H$10="Oui",(VLOOKUP($B$3,'Coeff EC7'!$T$39:$X$59,2,0)*BP244+VLOOKUP($B$3,'Coeff EC7'!$T$65:$X$85,2,0)*Model0.1T!BQ244)/1.5,PI()*BN$12*$Q244*($B244-$B243)*0.15/10+BR243)</f>
        <v>#N/A</v>
      </c>
      <c r="BS244" s="102" t="e">
        <f>(VLOOKUP($B$3,'Coeff EC7'!$T$39:$X$59,3,0)*BP244+VLOOKUP($B$3,'Coeff EC7'!$T$65:$X$85,3,0)*Model0.1T!BQ244)/1.1</f>
        <v>#N/A</v>
      </c>
      <c r="BT244" s="102" t="e">
        <f t="shared" si="378"/>
        <v>#N/A</v>
      </c>
      <c r="BU244" s="102" t="e">
        <f t="shared" si="379"/>
        <v>#N/A</v>
      </c>
      <c r="BV244" s="414" t="e">
        <f>IF(AND(BR244&gt;NDC!$C$63,BS244&gt;NDC!$C$65,BT244&gt;NDC!$D$73,BU244&gt;NDC!$D$74,$B244&gt;NDC!$H$22-0.1+MIN(3*BV$12,1.5)),0,1)</f>
        <v>#N/A</v>
      </c>
      <c r="BW244" s="86" t="b">
        <f t="shared" si="345"/>
        <v>0</v>
      </c>
      <c r="BX244" s="86">
        <f t="shared" si="346"/>
        <v>0.5</v>
      </c>
      <c r="BY244" s="86">
        <f t="shared" si="347"/>
        <v>0.5</v>
      </c>
      <c r="BZ244" s="30" t="e">
        <f t="shared" ca="1" si="380"/>
        <v>#DIV/0!</v>
      </c>
      <c r="CA244" s="85" t="e">
        <f ca="1">IF(BG244&lt;=Hypothèses!$V$7,Hypothèses!$W$7,IF(BG244&lt;=Hypothèses!$V$8,Hypothèses!$W$8,IF(BG244&lt;=Hypothèses!$V$9,Hypothèses!$W$9,IF(BG244&lt;=Hypothèses!$V$10,Hypothèses!$W$10,IF(BG244&lt;=Hypothèses!$V$11,Hypothèses!$W$11,IF(BG244&lt;=Hypothèses!$V$12,Hypothèses!$W$12,IF(BG244&lt;=Hypothèses!$V$13,Hypothèses!$W$13,IF(BG244&lt;=Hypothèses!$V$14,Hypothèses!$W$14,IF(BG244&lt;=Hypothèses!$V$15,Hypothèses!$W$15,IF(BG244&lt;=Hypothèses!$V$16,Hypothèses!$W$16,IF(BG244&lt;=Hypothèses!$V$17,Hypothèses!$W$17,IF(BG244&lt;=Hypothèses!$V$18,Hypothèses!$W$18,""))))))))))))</f>
        <v>#DIV/0!</v>
      </c>
      <c r="CB244" s="87" t="e">
        <f t="shared" ca="1" si="419"/>
        <v>#DIV/0!</v>
      </c>
      <c r="CC244" s="88" t="e">
        <f ca="1">IF(BG244&lt;=Hypothèses!$V$7,Hypothèses!$X$7,IF(BG244&lt;=Hypothèses!$V$8,Hypothèses!$X$8,IF(BG244&lt;=Hypothèses!$V$9,Hypothèses!$X$9,IF(BG244&lt;=Hypothèses!$V$10,Hypothèses!$X$10,IF(BG244&lt;=Hypothèses!$V$11,Hypothèses!$X$11,IF(BG244&lt;=Hypothèses!$V$12,Hypothèses!$X$12,IF(BG244&lt;=Hypothèses!$V$13,Hypothèses!$X$13,IF(BG244&lt;=Hypothèses!$V$14,Hypothèses!$X$14,IF(BG244&lt;=Hypothèses!$V$15,Hypothèses!$X$15,IF(BG244&lt;=Hypothèses!$V$16,Hypothèses!$X$16,IF(BG244&lt;=Hypothèses!$U$17,Hypothèses!$W$17,IF(BG244&lt;=Hypothèses!$U$18,Hypothèses!$W$18,""))))))))))))</f>
        <v>#DIV/0!</v>
      </c>
      <c r="CD244" s="95" t="e">
        <f t="shared" ca="1" si="381"/>
        <v>#DIV/0!</v>
      </c>
      <c r="CE244" s="101">
        <f t="shared" si="426"/>
        <v>0</v>
      </c>
      <c r="CF244" s="91">
        <f t="shared" si="348"/>
        <v>0</v>
      </c>
      <c r="CG244" s="30" t="e">
        <f t="shared" si="406"/>
        <v>#N/A</v>
      </c>
      <c r="CH244" s="30" t="e">
        <f t="shared" si="407"/>
        <v>#N/A</v>
      </c>
      <c r="CI244" s="31" t="e">
        <f>IF(OR(Hypothèses!$B$4=17,Hypothèses!$B$4=18,Hypothèses!$B$4=19,Hypothèses!$B$4=20),
IF($D244="Pressio.",
IF(OR($E244=3,$E244=1,$E244=4),CH244,CG244),
IF($D244="Pénétro.",
IF(OR($E244=3,$E244=1,$E244=4),CH244,CG244))),IF($D244="Pressio.",
IF($E244=3,CH244,CG244),
IF($D244="Pénétro.",
IF($E244=4,CH244,CG244))))</f>
        <v>#N/A</v>
      </c>
      <c r="CJ244" s="31">
        <v>0</v>
      </c>
      <c r="CK244" s="102" t="e">
        <f>IF(NDC!$H$10="Oui",(VLOOKUP($B$3,'Coeff EC7'!$T$39:$X$59,2,0)*CI244+VLOOKUP($B$3,'Coeff EC7'!$T$65:$X$85,2,0)*Model0.1T!CJ244)/1.5,PI()*CG$12*$Q244*($B244-$B243)*0.15/10+CK243)</f>
        <v>#N/A</v>
      </c>
      <c r="CL244" s="102" t="e">
        <f>(VLOOKUP($B$3,'Coeff EC7'!$T$39:$X$59,3,0)*CI244+VLOOKUP($B$3,'Coeff EC7'!$T$65:$X$85,3,0)*Model0.1T!CJ244)/1.1</f>
        <v>#N/A</v>
      </c>
      <c r="CM244" s="102" t="e">
        <f t="shared" si="382"/>
        <v>#N/A</v>
      </c>
      <c r="CN244" s="102" t="e">
        <f t="shared" si="383"/>
        <v>#N/A</v>
      </c>
      <c r="CO244" s="414" t="e">
        <f>IF(AND(CK244&gt;NDC!$C$63,CL244&gt;NDC!$C$65,CM244&gt;NDC!$D$73,CN244&gt;NDC!$D$74,$B244&gt;NDC!$H$22-0.1+MIN(3*CO$12,1.5)),0,1)</f>
        <v>#N/A</v>
      </c>
      <c r="CP244" s="86" t="b">
        <f t="shared" si="349"/>
        <v>0</v>
      </c>
      <c r="CQ244" s="86">
        <f t="shared" si="350"/>
        <v>0.5</v>
      </c>
      <c r="CR244" s="86">
        <f t="shared" si="351"/>
        <v>0.5</v>
      </c>
      <c r="CS244" s="30" t="e">
        <f t="shared" ca="1" si="384"/>
        <v>#DIV/0!</v>
      </c>
      <c r="CT244" s="85" t="e">
        <f ca="1">IF(BZ244&lt;=Hypothèses!$V$7,Hypothèses!$W$7,IF(BZ244&lt;=Hypothèses!$V$8,Hypothèses!$W$8,IF(BZ244&lt;=Hypothèses!$V$9,Hypothèses!$W$9,IF(BZ244&lt;=Hypothèses!$V$10,Hypothèses!$W$10,IF(BZ244&lt;=Hypothèses!$V$11,Hypothèses!$W$11,IF(BZ244&lt;=Hypothèses!$V$12,Hypothèses!$W$12,IF(BZ244&lt;=Hypothèses!$V$13,Hypothèses!$W$13,IF(BZ244&lt;=Hypothèses!$V$14,Hypothèses!$W$14,IF(BZ244&lt;=Hypothèses!$V$15,Hypothèses!$W$15,IF(BZ244&lt;=Hypothèses!$V$16,Hypothèses!$W$16,IF(BZ244&lt;=Hypothèses!$V$17,Hypothèses!$W$17,IF(BZ244&lt;=Hypothèses!$V$18,Hypothèses!$W$18,""))))))))))))</f>
        <v>#DIV/0!</v>
      </c>
      <c r="CU244" s="87" t="e">
        <f t="shared" ca="1" si="420"/>
        <v>#DIV/0!</v>
      </c>
      <c r="CV244" s="88" t="e">
        <f ca="1">IF(BZ244&lt;=Hypothèses!$V$7,Hypothèses!$X$7,IF(BZ244&lt;=Hypothèses!$V$8,Hypothèses!$X$8,IF(BZ244&lt;=Hypothèses!$V$9,Hypothèses!$X$9,IF(BZ244&lt;=Hypothèses!$V$10,Hypothèses!$X$10,IF(BZ244&lt;=Hypothèses!$V$11,Hypothèses!$X$11,IF(BZ244&lt;=Hypothèses!$V$12,Hypothèses!$X$12,IF(BZ244&lt;=Hypothèses!$V$13,Hypothèses!$X$13,IF(BZ244&lt;=Hypothèses!$V$14,Hypothèses!$X$14,IF(BZ244&lt;=Hypothèses!$V$15,Hypothèses!$X$15,IF(BZ244&lt;=Hypothèses!$V$16,Hypothèses!$X$16,IF(BZ244&lt;=Hypothèses!$U$17,Hypothèses!$W$17,IF(BZ244&lt;=Hypothèses!$U$18,Hypothèses!$W$18,""))))))))))))</f>
        <v>#DIV/0!</v>
      </c>
      <c r="CW244" s="95" t="e">
        <f t="shared" ca="1" si="385"/>
        <v>#DIV/0!</v>
      </c>
      <c r="CX244" s="101">
        <f t="shared" si="427"/>
        <v>0</v>
      </c>
      <c r="CY244" s="91">
        <f t="shared" si="352"/>
        <v>0</v>
      </c>
      <c r="CZ244" s="30" t="e">
        <f t="shared" si="408"/>
        <v>#N/A</v>
      </c>
      <c r="DA244" s="30" t="e">
        <f t="shared" si="409"/>
        <v>#N/A</v>
      </c>
      <c r="DB244" s="31" t="e">
        <f>IF(OR(Hypothèses!$B$4=17,Hypothèses!$B$4=18,Hypothèses!$B$4=19,Hypothèses!$B$4=20),
IF($D244="Pressio.",
IF(OR($E244=3,$E244=1,$E244=4),DA244,CZ244),
IF($D244="Pénétro.",
IF(OR($E244=3,$E244=1,$E244=4),DA244,CZ244))),IF($D244="Pressio.",
IF($E244=3,DA244,CZ244),
IF($D244="Pénétro.",
IF($E244=4,DA244,CZ244))))</f>
        <v>#N/A</v>
      </c>
      <c r="DC244" s="31">
        <v>0</v>
      </c>
      <c r="DD244" s="102" t="e">
        <f>IF(NDC!$H$10="Oui",(VLOOKUP($B$3,'Coeff EC7'!$T$39:$X$59,2,0)*DB244+VLOOKUP($B$3,'Coeff EC7'!$T$65:$X$85,2,0)*Model0.1T!DC244)/1.5,PI()*CZ$12*$Q244*($B244-$B243)*0.15/10+DD243)</f>
        <v>#N/A</v>
      </c>
      <c r="DE244" s="102" t="e">
        <f>(VLOOKUP($B$3,'Coeff EC7'!$T$39:$X$59,3,0)*DB244+VLOOKUP($B$3,'Coeff EC7'!$T$65:$X$85,3,0)*Model0.1T!DC244)/1.1</f>
        <v>#N/A</v>
      </c>
      <c r="DF244" s="102" t="e">
        <f t="shared" si="386"/>
        <v>#N/A</v>
      </c>
      <c r="DG244" s="102" t="e">
        <f t="shared" si="387"/>
        <v>#N/A</v>
      </c>
      <c r="DH244" s="414" t="e">
        <f>IF(AND(DD244&gt;NDC!$C$63,DE244&gt;NDC!$C$65,DF244&gt;NDC!$D$73,DG244&gt;NDC!$D$74,$B244&gt;NDC!$H$22-0.1+MIN(3*DH$12,1.5)),0,1)</f>
        <v>#N/A</v>
      </c>
      <c r="DI244" s="86" t="b">
        <f t="shared" si="353"/>
        <v>0</v>
      </c>
      <c r="DJ244" s="86">
        <f t="shared" si="354"/>
        <v>0.5</v>
      </c>
      <c r="DK244" s="86">
        <f t="shared" si="355"/>
        <v>0.5</v>
      </c>
      <c r="DL244" s="30" t="e">
        <f t="shared" ca="1" si="388"/>
        <v>#DIV/0!</v>
      </c>
      <c r="DM244" s="85" t="e">
        <f ca="1">IF(CS244&lt;=Hypothèses!$V$7,Hypothèses!$W$7,IF(CS244&lt;=Hypothèses!$V$8,Hypothèses!$W$8,IF(CS244&lt;=Hypothèses!$V$9,Hypothèses!$W$9,IF(CS244&lt;=Hypothèses!$V$10,Hypothèses!$W$10,IF(CS244&lt;=Hypothèses!$V$11,Hypothèses!$W$11,IF(CS244&lt;=Hypothèses!$V$12,Hypothèses!$W$12,IF(CS244&lt;=Hypothèses!$V$13,Hypothèses!$W$13,IF(CS244&lt;=Hypothèses!$V$14,Hypothèses!$W$14,IF(CS244&lt;=Hypothèses!$V$15,Hypothèses!$W$15,IF(CS244&lt;=Hypothèses!$V$16,Hypothèses!$W$16,IF(CS244&lt;=Hypothèses!$V$17,Hypothèses!$W$17,IF(CS244&lt;=Hypothèses!$V$18,Hypothèses!$W$18,""))))))))))))</f>
        <v>#DIV/0!</v>
      </c>
      <c r="DN244" s="87" t="e">
        <f t="shared" ca="1" si="421"/>
        <v>#DIV/0!</v>
      </c>
      <c r="DO244" s="88" t="e">
        <f ca="1">IF(CS244&lt;=Hypothèses!$V$7,Hypothèses!$X$7,IF(CS244&lt;=Hypothèses!$V$8,Hypothèses!$X$8,IF(CS244&lt;=Hypothèses!$V$9,Hypothèses!$X$9,IF(CS244&lt;=Hypothèses!$V$10,Hypothèses!$X$10,IF(CS244&lt;=Hypothèses!$V$11,Hypothèses!$X$11,IF(CS244&lt;=Hypothèses!$V$12,Hypothèses!$X$12,IF(CS244&lt;=Hypothèses!$V$13,Hypothèses!$X$13,IF(CS244&lt;=Hypothèses!$V$14,Hypothèses!$X$14,IF(CS244&lt;=Hypothèses!$V$15,Hypothèses!$X$15,IF(CS244&lt;=Hypothèses!$V$16,Hypothèses!$X$16,IF(CS244&lt;=Hypothèses!$U$17,Hypothèses!$W$17,IF(CS244&lt;=Hypothèses!$U$18,Hypothèses!$W$18,""))))))))))))</f>
        <v>#DIV/0!</v>
      </c>
      <c r="DP244" s="95" t="e">
        <f t="shared" ca="1" si="389"/>
        <v>#DIV/0!</v>
      </c>
      <c r="DQ244" s="101">
        <f t="shared" si="428"/>
        <v>0</v>
      </c>
      <c r="DR244" s="91">
        <f t="shared" si="356"/>
        <v>0</v>
      </c>
      <c r="DS244" s="30" t="e">
        <f t="shared" si="410"/>
        <v>#N/A</v>
      </c>
      <c r="DT244" s="30" t="e">
        <f t="shared" si="411"/>
        <v>#N/A</v>
      </c>
      <c r="DU244" s="31" t="e">
        <f>IF(OR(Hypothèses!$B$4=17,Hypothèses!$B$4=18,Hypothèses!$B$4=19,Hypothèses!$B$4=20),
IF($D244="Pressio.",
IF(OR($E244=3,$E244=1,$E244=4),DT244,DS244),
IF($D244="Pénétro.",
IF(OR($E244=3,$E244=1,$E244=4),DT244,DS244))),IF($D244="Pressio.",
IF($E244=3,DT244,DS244),
IF($D244="Pénétro.",
IF($E244=4,DT244,DS244))))</f>
        <v>#N/A</v>
      </c>
      <c r="DV244" s="31">
        <v>0</v>
      </c>
      <c r="DW244" s="102" t="e">
        <f>IF(NDC!$H$10="Oui",(VLOOKUP($B$3,'Coeff EC7'!$T$39:$X$59,2,0)*DU244+VLOOKUP($B$3,'Coeff EC7'!$T$65:$X$85,2,0)*Model0.1T!DV244)/1.5,PI()*DS$12*$Q244*($B244-$B243)*0.15/10+DW243)</f>
        <v>#N/A</v>
      </c>
      <c r="DX244" s="102" t="e">
        <f>(VLOOKUP($B$3,'Coeff EC7'!$T$39:$X$59,3,0)*DU244+VLOOKUP($B$3,'Coeff EC7'!$T$65:$X$85,3,0)*Model0.1T!DV244)/1.1</f>
        <v>#N/A</v>
      </c>
      <c r="DY244" s="102" t="e">
        <f t="shared" si="390"/>
        <v>#N/A</v>
      </c>
      <c r="DZ244" s="102" t="e">
        <f t="shared" si="391"/>
        <v>#N/A</v>
      </c>
      <c r="EA244" s="414" t="e">
        <f>IF(AND(DW244&gt;NDC!$C$63,DX244&gt;NDC!$C$65,DY244&gt;NDC!$D$73,DZ244&gt;NDC!$D$74,$B244&gt;NDC!$H$22-0.1+MIN(3*EA$12,1.5)),0,1)</f>
        <v>#N/A</v>
      </c>
      <c r="EB244" s="86" t="b">
        <f t="shared" si="357"/>
        <v>0</v>
      </c>
      <c r="EC244" s="418">
        <f t="shared" si="358"/>
        <v>0.51</v>
      </c>
      <c r="ED244" s="86">
        <f t="shared" si="359"/>
        <v>0.51</v>
      </c>
      <c r="EE244" s="30" t="e">
        <f t="shared" ca="1" si="392"/>
        <v>#DIV/0!</v>
      </c>
      <c r="EF244" s="85" t="e">
        <f ca="1">IF(DL244&lt;=Hypothèses!$V$7,Hypothèses!$W$7,IF(DL244&lt;=Hypothèses!$V$8,Hypothèses!$W$8,IF(DL244&lt;=Hypothèses!$V$9,Hypothèses!$W$9,IF(DL244&lt;=Hypothèses!$V$10,Hypothèses!$W$10,IF(DL244&lt;=Hypothèses!$V$11,Hypothèses!$W$11,IF(DL244&lt;=Hypothèses!$V$12,Hypothèses!$W$12,IF(DL244&lt;=Hypothèses!$V$13,Hypothèses!$W$13,IF(DL244&lt;=Hypothèses!$V$14,Hypothèses!$W$14,IF(DL244&lt;=Hypothèses!$V$15,Hypothèses!$W$15,IF(DL244&lt;=Hypothèses!$V$16,Hypothèses!$W$16,IF(DL244&lt;=Hypothèses!$V$17,Hypothèses!$W$17,IF(DL244&lt;=Hypothèses!$V$18,Hypothèses!$W$18,""))))))))))))</f>
        <v>#DIV/0!</v>
      </c>
      <c r="EG244" s="87" t="e">
        <f t="shared" ca="1" si="422"/>
        <v>#DIV/0!</v>
      </c>
      <c r="EH244" s="88" t="e">
        <f ca="1">IF(DL244&lt;=Hypothèses!$V$7,Hypothèses!$X$7,IF(DL244&lt;=Hypothèses!$V$8,Hypothèses!$X$8,IF(DL244&lt;=Hypothèses!$V$9,Hypothèses!$X$9,IF(DL244&lt;=Hypothèses!$V$10,Hypothèses!$X$10,IF(DL244&lt;=Hypothèses!$V$11,Hypothèses!$X$11,IF(DL244&lt;=Hypothèses!$V$12,Hypothèses!$X$12,IF(DL244&lt;=Hypothèses!$V$13,Hypothèses!$X$13,IF(DL244&lt;=Hypothèses!$V$14,Hypothèses!$X$14,IF(DL244&lt;=Hypothèses!$V$15,Hypothèses!$X$15,IF(DL244&lt;=Hypothèses!$V$16,Hypothèses!$X$16,IF(DL244&lt;=Hypothèses!$U$17,Hypothèses!$W$17,IF(DL244&lt;=Hypothèses!$U$18,Hypothèses!$W$18,""))))))))))))</f>
        <v>#DIV/0!</v>
      </c>
      <c r="EI244" s="95" t="e">
        <f t="shared" ca="1" si="393"/>
        <v>#DIV/0!</v>
      </c>
      <c r="EJ244" s="101">
        <f t="shared" si="429"/>
        <v>0</v>
      </c>
      <c r="EK244" s="91">
        <f t="shared" si="360"/>
        <v>0</v>
      </c>
      <c r="EL244" s="30" t="e">
        <f t="shared" si="412"/>
        <v>#N/A</v>
      </c>
      <c r="EM244" s="30" t="e">
        <f t="shared" si="413"/>
        <v>#N/A</v>
      </c>
      <c r="EN244" s="31" t="e">
        <f>IF(OR(Hypothèses!$B$4=17,Hypothèses!$B$4=18,Hypothèses!$B$4=19,Hypothèses!$B$4=20),
IF($D244="Pressio.",
IF(OR($E244=3,$E244=1,$E244=4),EM244,EL244),
IF($D244="Pénétro.",
IF(OR($E244=3,$E244=1,$E244=4),EM244,EL244))),IF($D244="Pressio.",
IF($E244=3,EM244,EL244),
IF($D244="Pénétro.",
IF($E244=4,EM244,EL244))))</f>
        <v>#N/A</v>
      </c>
      <c r="EO244" s="31">
        <v>0</v>
      </c>
      <c r="EP244" s="102" t="e">
        <f>IF(NDC!$H$10="Oui",(VLOOKUP($B$3,'Coeff EC7'!$T$39:$X$59,2,0)*EN244+VLOOKUP($B$3,'Coeff EC7'!$T$65:$X$85,2,0)*Model0.1T!EO244)/1.5,PI()*EL$12*$Q244*($B244-$B243)*0.15/10+EP243)</f>
        <v>#N/A</v>
      </c>
      <c r="EQ244" s="102" t="e">
        <f>(VLOOKUP($B$3,'Coeff EC7'!$T$39:$X$59,3,0)*EN244+VLOOKUP($B$3,'Coeff EC7'!$T$65:$X$85,3,0)*Model0.1T!EO244)/1.1</f>
        <v>#N/A</v>
      </c>
      <c r="ER244" s="102" t="e">
        <f t="shared" si="394"/>
        <v>#N/A</v>
      </c>
      <c r="ES244" s="102" t="e">
        <f t="shared" si="395"/>
        <v>#N/A</v>
      </c>
      <c r="ET244" s="414" t="e">
        <f>IF(AND(EP244&gt;NDC!$C$63,EQ244&gt;NDC!$C$65,ER244&gt;NDC!$D$73,ES244&gt;NDC!$D$74,$B244&gt;NDC!$H$22-0.1+MIN(3*ET$12,1.5)),0,1)</f>
        <v>#N/A</v>
      </c>
      <c r="EU244" s="86" t="b">
        <f t="shared" si="361"/>
        <v>0</v>
      </c>
      <c r="EV244" s="86">
        <f t="shared" si="362"/>
        <v>0.61</v>
      </c>
      <c r="EW244" s="86">
        <f t="shared" si="363"/>
        <v>0.61</v>
      </c>
      <c r="EX244" s="30" t="e">
        <f t="shared" ca="1" si="396"/>
        <v>#DIV/0!</v>
      </c>
      <c r="EY244" s="85" t="e">
        <f ca="1">IF(EE244&lt;=Hypothèses!$V$7,Hypothèses!$W$7,IF(EE244&lt;=Hypothèses!$V$8,Hypothèses!$W$8,IF(EE244&lt;=Hypothèses!$V$9,Hypothèses!$W$9,IF(EE244&lt;=Hypothèses!$V$10,Hypothèses!$W$10,IF(EE244&lt;=Hypothèses!$V$11,Hypothèses!$W$11,IF(EE244&lt;=Hypothèses!$V$12,Hypothèses!$W$12,IF(EE244&lt;=Hypothèses!$V$13,Hypothèses!$W$13,IF(EE244&lt;=Hypothèses!$V$14,Hypothèses!$W$14,IF(EE244&lt;=Hypothèses!$V$15,Hypothèses!$W$15,IF(EE244&lt;=Hypothèses!$V$16,Hypothèses!$W$16,IF(EE244&lt;=Hypothèses!$V$17,Hypothèses!$W$17,IF(EE244&lt;=Hypothèses!$V$18,Hypothèses!$W$18,""))))))))))))</f>
        <v>#DIV/0!</v>
      </c>
      <c r="EZ244" s="87" t="e">
        <f t="shared" ca="1" si="423"/>
        <v>#DIV/0!</v>
      </c>
      <c r="FA244" s="88" t="e">
        <f ca="1">IF(EE244&lt;=Hypothèses!$V$7,Hypothèses!$X$7,IF(EE244&lt;=Hypothèses!$V$8,Hypothèses!$X$8,IF(EE244&lt;=Hypothèses!$V$9,Hypothèses!$X$9,IF(EE244&lt;=Hypothèses!$V$10,Hypothèses!$X$10,IF(EE244&lt;=Hypothèses!$V$11,Hypothèses!$X$11,IF(EE244&lt;=Hypothèses!$V$12,Hypothèses!$X$12,IF(EE244&lt;=Hypothèses!$V$13,Hypothèses!$X$13,IF(EE244&lt;=Hypothèses!$V$14,Hypothèses!$X$14,IF(EE244&lt;=Hypothèses!$V$15,Hypothèses!$X$15,IF(EE244&lt;=Hypothèses!$V$16,Hypothèses!$X$16,IF(EE244&lt;=Hypothèses!$U$17,Hypothèses!$W$17,IF(EE244&lt;=Hypothèses!$U$18,Hypothèses!$W$18,""))))))))))))</f>
        <v>#DIV/0!</v>
      </c>
      <c r="FB244" s="95" t="e">
        <f t="shared" ca="1" si="397"/>
        <v>#DIV/0!</v>
      </c>
      <c r="FC244" s="101">
        <f t="shared" si="430"/>
        <v>0</v>
      </c>
      <c r="FD244" s="91">
        <f t="shared" si="364"/>
        <v>0</v>
      </c>
      <c r="FE244" s="30" t="e">
        <f t="shared" si="414"/>
        <v>#N/A</v>
      </c>
      <c r="FF244" s="30" t="e">
        <f t="shared" si="415"/>
        <v>#N/A</v>
      </c>
      <c r="FG244" s="31" t="e">
        <f>IF(OR(Hypothèses!$B$4=17,Hypothèses!$B$4=18,Hypothèses!$B$4=19,Hypothèses!$B$4=20),
IF($D244="Pressio.",
IF(OR($E244=3,$E244=1,$E244=4),FF244,FE244),
IF($D244="Pénétro.",
IF(OR($E244=3,$E244=1,$E244=4),FF244,FE244))),IF($D244="Pressio.",
IF($E244=3,FF244,FE244),
IF($D244="Pénétro.",
IF($E244=4,FF244,FE244))))</f>
        <v>#N/A</v>
      </c>
      <c r="FH244" s="31">
        <v>0</v>
      </c>
      <c r="FI244" s="102" t="e">
        <f>IF(NDC!$H$10="Oui",(VLOOKUP($B$3,'Coeff EC7'!$T$39:$X$59,2,0)*FG244+VLOOKUP($B$3,'Coeff EC7'!$T$65:$X$85,2,0)*Model0.1T!FH244)/1.5,PI()*FE$12*$Q244*($B244-$B243)*0.15/10+FI243)</f>
        <v>#N/A</v>
      </c>
      <c r="FJ244" s="102" t="e">
        <f>(VLOOKUP($B$3,'Coeff EC7'!$T$39:$X$59,3,0)*FG244+VLOOKUP($B$3,'Coeff EC7'!$T$65:$X$85,3,0)*Model0.1T!FH244)/1.1</f>
        <v>#N/A</v>
      </c>
      <c r="FK244" s="102" t="e">
        <f t="shared" si="398"/>
        <v>#N/A</v>
      </c>
      <c r="FL244" s="102" t="e">
        <f t="shared" si="399"/>
        <v>#N/A</v>
      </c>
      <c r="FM244" s="414" t="e">
        <f>IF(AND(FI244&gt;NDC!$C$63,FJ244&gt;NDC!$C$65,FK244&gt;NDC!$D$73,FL244&gt;NDC!$D$74,$B244&gt;NDC!$H$22-0.1+MIN(3*FM$12,1.5)),0,1)</f>
        <v>#N/A</v>
      </c>
    </row>
    <row r="245" spans="1:169">
      <c r="A245" s="96">
        <f t="shared" si="365"/>
        <v>76.800000000001319</v>
      </c>
      <c r="B245" s="97">
        <v>23.2</v>
      </c>
      <c r="C245" s="81">
        <f>IF(B245&lt;=Hypothèses!$C$7,Hypothèses!$A$7,IF(B245&lt;=Hypothèses!$C$8,Hypothèses!$A$8,IF(B245&lt;=Hypothèses!$C$9,Hypothèses!$A$9,IF(B245&lt;=Hypothèses!$C$10,Hypothèses!$A$10,IF(B245&lt;=Hypothèses!$C$11,Hypothèses!$A$11,IF(B245&lt;=Hypothèses!$C$12,Hypothèses!$A$12,IF(B245&lt;=Hypothèses!$C$13,Hypothèses!$A$13,IF(B245&lt;=Hypothèses!$C$14,Hypothèses!$A$14,IF(B245&lt;=Hypothèses!$C$15,Hypothèses!$A$15,IF(B245&lt;=Hypothèses!$C$16,Hypothèses!$A$16,IF(B245&lt;=Hypothèses!$C$17,Hypothèses!$A$17,IF(B245&lt;=Hypothèses!$C$18,Hypothèses!$A$18,C244))))))))))))</f>
        <v>11</v>
      </c>
      <c r="D245" s="82" t="str">
        <f>IF(B245&lt;=Hypothèses!$C$7,Hypothèses!$R$7,IF(B245&lt;=Hypothèses!$C$8,Hypothèses!$R$8,IF(B245&lt;=Hypothèses!$C$9,Hypothèses!$R$9,IF(B245&lt;=Hypothèses!$C$10,Hypothèses!$R$10,IF(B245&lt;=Hypothèses!$C$11,Hypothèses!$R$11,IF(B245&lt;=Hypothèses!$C$12,Hypothèses!$R$12,IF(B245&lt;=Hypothèses!$C$13,Hypothèses!$R$13,IF(B245&lt;=Hypothèses!$C$14,Hypothèses!$R$14,IF(B245&lt;=Hypothèses!$C$15,Hypothèses!$R$15,IF(B245&lt;=Hypothèses!$C$16,Hypothèses!$R$16,IF(B245&lt;=Hypothèses!$C$17,Hypothèses!$R$17,IF(B245&lt;=Hypothèses!$C$18,Hypothèses!$R$18,D244))))))))))))</f>
        <v>Pressio.</v>
      </c>
      <c r="E245" s="82" t="e">
        <f>IF(B245&lt;=Hypothèses!$C$7,Hypothèses!$G$7,IF(B245&lt;=Hypothèses!$C$8,Hypothèses!$G$8,IF(B245&lt;=Hypothèses!$C$9,Hypothèses!$G$9,IF(B245&lt;=Hypothèses!$C$10,Hypothèses!$G$10,IF(B245&lt;=Hypothèses!$C$11,Hypothèses!$G$11,IF(B245&lt;=Hypothèses!$C$12,Hypothèses!$G$12,IF(B245&lt;=Hypothèses!$C$13,Hypothèses!$G$13,IF(B245&lt;=Hypothèses!$C$14,Hypothèses!$G$14,IF(B245&lt;=Hypothèses!$C$15,Hypothèses!$G$15,IF(B245&lt;=Hypothèses!$C$16,Hypothèses!$G$16,IF(B245&lt;=Hypothèses!$C$17,Hypothèses!$G$17,IF(B245&lt;=Hypothèses!$C$18,Hypothèses!$G$18,E244))))))))))))</f>
        <v>#N/A</v>
      </c>
      <c r="F245" s="82" t="str">
        <f>IF(B245&lt;=Hypothèses!$C$7,Hypothèses!$F$7,IF(B245&lt;=Hypothèses!$C$8,Hypothèses!$F$8,IF(B245&lt;=Hypothèses!$C$9,Hypothèses!$F$9,IF(B245&lt;=Hypothèses!$C$10,Hypothèses!$F$10,IF(B245&lt;=Hypothèses!$C$11,Hypothèses!$F$11,IF(B245&lt;=Hypothèses!$C$12,Hypothèses!$F$12,IF(B245&lt;=Hypothèses!$C$13,Hypothèses!$F$13,IF(B245&lt;=Hypothèses!$C$14,Hypothèses!$F$14,IF(B245&lt;=Hypothèses!$C$15,Hypothèses!$F$15,IF(B245&lt;=Hypothèses!$C$16,Hypothèses!$F$16,IF(B245&lt;=Hypothèses!$C$17,Hypothèses!$F$17,IF(B245&lt;=Hypothèses!$C$18,Hypothèses!$F$18,F244))))))))))))</f>
        <v/>
      </c>
      <c r="G245" s="91">
        <f t="array" ref="G245">INDEX('Coeff EC7'!$U$7:$X$27,
MATCH(Model0.1T!$B$3,'Coeff EC7'!$T$7:$T$27,0),
MATCH(Model0.1T!$D245&amp;Model0.1T!$B$4,
'Coeff EC7'!$U$6:$X$6&amp;
'Coeff EC7'!$U$5:$X$5,0))</f>
        <v>1.4</v>
      </c>
      <c r="H245" s="91">
        <f t="array" ref="H245">INDEX('Coeff EC7'!$Y$7:$AB$27,
MATCH(Model0.1T!$B$3,'Coeff EC7'!$T$7:$T$27,0),
MATCH(Model0.1T!$D245&amp;Model0.1T!$B$4,
'Coeff EC7'!$Y$6:$AB$6&amp;
'Coeff EC7'!$Y$5:$AB$5,0))</f>
        <v>1.7</v>
      </c>
      <c r="I245" s="83">
        <v>0</v>
      </c>
      <c r="J245" s="91" t="e">
        <f t="array" ref="J245">INDEX('Coeff EC7'!$D$33:$Q$33,1,MATCH(D245&amp;E245,'Coeff EC7'!$D$31:$Q$31&amp;'Coeff EC7'!$D$32:$Q$32,0))</f>
        <v>#N/A</v>
      </c>
      <c r="K245" s="91" t="e">
        <f t="array" ref="K245">INDEX('Coeff EC7'!$D$34:$Q$34,1,MATCH(D245&amp;E245,'Coeff EC7'!$D$31:$Q$31&amp;'Coeff EC7'!$D$32:$Q$32,0))</f>
        <v>#N/A</v>
      </c>
      <c r="L245" s="91" t="e">
        <f t="array" ref="L245">INDEX('Coeff EC7'!$D$35:$Q$35,1,MATCH(D245&amp;E245,'Coeff EC7'!$D$31:$Q$31&amp;'Coeff EC7'!$D$32:$Q$32,0))</f>
        <v>#N/A</v>
      </c>
      <c r="M245" s="98" t="e">
        <f t="shared" si="331"/>
        <v>#N/A</v>
      </c>
      <c r="N245" s="99" t="e">
        <f t="array" ref="N245">INDEX('Coeff EC7'!$D$7:$Q$27,MATCH($B$3,'Coeff EC7'!$C$7:$C$27,0),MATCH(D245&amp;E245,'Coeff EC7'!$D$5:$Q$5&amp;'Coeff EC7'!$D$6:$Q$6,0))</f>
        <v>#N/A</v>
      </c>
      <c r="O245" s="99" t="e">
        <f t="array" ref="O245">INDEX('Coeff EC7'!$D$41:$Q$61,MATCH($B$3,'Coeff EC7'!$C$41:$C$61,0),MATCH(D245&amp;E245,'Coeff EC7'!$D$39:$Q$39&amp;'Coeff EC7'!$D$40:$Q$40,0))</f>
        <v>#N/A</v>
      </c>
      <c r="P245" s="30" t="e">
        <f t="shared" si="366"/>
        <v>#N/A</v>
      </c>
      <c r="Q245" s="100" t="e">
        <f t="shared" si="333"/>
        <v>#N/A</v>
      </c>
      <c r="R245" s="86" t="b">
        <f t="shared" si="334"/>
        <v>0</v>
      </c>
      <c r="S245" s="86">
        <f t="shared" si="332"/>
        <v>0.5</v>
      </c>
      <c r="T245" s="86">
        <f t="shared" si="335"/>
        <v>0.5</v>
      </c>
      <c r="U245" s="30" t="e">
        <f t="shared" ca="1" si="367"/>
        <v>#DIV/0!</v>
      </c>
      <c r="V245" s="85" t="str">
        <f>IF(B245&lt;=Hypothèses!$V$7,Hypothèses!$W$7,IF(B245&lt;=Hypothèses!$V$8,Hypothèses!$W$8,IF(B245&lt;=Hypothèses!$V$9,Hypothèses!$W$9,IF(B245&lt;=Hypothèses!$V$10,Hypothèses!$W$10,IF(B245&lt;=Hypothèses!$V$11,Hypothèses!$W$11,IF(B245&lt;=Hypothèses!$V$12,Hypothèses!$W$12,IF(B245&lt;=Hypothèses!$V$13,Hypothèses!$W$13,IF(B245&lt;=Hypothèses!$V$14,Hypothèses!$W$14,IF(B245&lt;=Hypothèses!$V$15,Hypothèses!$W$15,IF(B245&lt;=Hypothèses!$V$16,Hypothèses!$W$16,IF(B245&lt;=Hypothèses!$V$17,Hypothèses!$W$17,IF(B245&lt;=Hypothèses!$V$18,Hypothèses!$W$18,""))))))))))))</f>
        <v/>
      </c>
      <c r="W245" s="87" t="e">
        <f t="shared" ca="1" si="416"/>
        <v>#DIV/0!</v>
      </c>
      <c r="X245" s="88" t="str">
        <f>IF(B245&lt;=Hypothèses!$V$7,Hypothèses!$X$7,IF(B245&lt;=Hypothèses!$V$8,Hypothèses!$X$8,IF(B245&lt;=Hypothèses!$V$9,Hypothèses!$X$9,IF(B245&lt;=Hypothèses!$V$10,Hypothèses!$X$10,IF(B245&lt;=Hypothèses!$V$11,Hypothèses!$X$11,IF(B245&lt;=Hypothèses!$V$12,Hypothèses!$X$12,IF(B245&lt;=Hypothèses!$V$13,Hypothèses!$X$13,IF(B245&lt;=Hypothèses!$V$14,Hypothèses!$X$14,IF(B245&lt;=Hypothèses!$V$15,Hypothèses!$X$15,IF(B245&lt;=Hypothèses!$V$16,Hypothèses!$X$16,IF(B245&lt;=Hypothèses!$U$17,Hypothèses!$W$17,IF(B245&lt;=Hypothèses!$U$18,Hypothèses!$W$18,""))))))))))))</f>
        <v/>
      </c>
      <c r="Y245" s="95" t="e">
        <f t="shared" ca="1" si="336"/>
        <v>#DIV/0!</v>
      </c>
      <c r="Z245" s="101">
        <f t="shared" si="337"/>
        <v>0</v>
      </c>
      <c r="AA245" s="91">
        <f t="shared" si="338"/>
        <v>0</v>
      </c>
      <c r="AB245" s="30" t="e">
        <f t="shared" si="400"/>
        <v>#N/A</v>
      </c>
      <c r="AC245" s="30" t="e">
        <f t="shared" si="401"/>
        <v>#N/A</v>
      </c>
      <c r="AD245" s="31" t="e">
        <f>IF(OR(Hypothèses!$B$4=17,Hypothèses!$B$4=18,Hypothèses!$B$4=19,Hypothèses!$B$4=20),
IF($D245="Pressio.",
IF(OR($E245=3,$E245=1,$E245=4),AC245,AB245),
IF($D245="Pénétro.",
IF(OR($E245=3,$E245=1,$E245=4),AC245,AB245))),IF($D245="Pressio.",
IF($E245=3,AC245,AB245),
IF($D245="Pénétro.",
IF($E245=4,AC245,AB245))))</f>
        <v>#N/A</v>
      </c>
      <c r="AE245" s="31">
        <v>0</v>
      </c>
      <c r="AF245" s="102" t="e">
        <f>IF(NDC!$H$10="Oui",(VLOOKUP($B$3,'Coeff EC7'!$T$39:$X$59,2,0)*AD245+VLOOKUP($B$3,'Coeff EC7'!$T$65:$X$85,2,0)*Model0.1T!AE245)/1.5,PI()*AB$12*$Q245*($B245-$B244)*0.15/10+AF244)</f>
        <v>#N/A</v>
      </c>
      <c r="AG245" s="102" t="e">
        <f>(VLOOKUP($B$3,'Coeff EC7'!$T$39:$X$59,3,0)*AD245+VLOOKUP($B$3,'Coeff EC7'!$T$65:$X$85,3,0)*Model0.1T!AE245)/1.1</f>
        <v>#N/A</v>
      </c>
      <c r="AH245" s="102" t="e">
        <f t="shared" si="368"/>
        <v>#N/A</v>
      </c>
      <c r="AI245" s="102" t="e">
        <f t="shared" si="369"/>
        <v>#N/A</v>
      </c>
      <c r="AJ245" s="414" t="e">
        <f>IF(AND(AF245&gt;NDC!$C$63,AG245&gt;NDC!$C$65,AH245&gt;NDC!$D$73,AI245&gt;NDC!$D$74,$B245&gt;NDC!$H$22-0.1+MIN(3*$AJ$12,1.5)),0,1)</f>
        <v>#N/A</v>
      </c>
      <c r="AK245" s="86" t="b">
        <f t="shared" si="339"/>
        <v>0</v>
      </c>
      <c r="AL245" s="86">
        <f t="shared" si="370"/>
        <v>0.5</v>
      </c>
      <c r="AM245" s="86">
        <f t="shared" si="340"/>
        <v>0.5</v>
      </c>
      <c r="AN245" s="30" t="e">
        <f t="shared" ca="1" si="371"/>
        <v>#DIV/0!</v>
      </c>
      <c r="AO245" s="85" t="e">
        <f ca="1">IF(U245&lt;=Hypothèses!$V$7,Hypothèses!$W$7,IF(U245&lt;=Hypothèses!$V$8,Hypothèses!$W$8,IF(U245&lt;=Hypothèses!$V$9,Hypothèses!$W$9,IF(U245&lt;=Hypothèses!$V$10,Hypothèses!$W$10,IF(U245&lt;=Hypothèses!$V$11,Hypothèses!$W$11,IF(U245&lt;=Hypothèses!$V$12,Hypothèses!$W$12,IF(U245&lt;=Hypothèses!$V$13,Hypothèses!$W$13,IF(U245&lt;=Hypothèses!$V$14,Hypothèses!$W$14,IF(U245&lt;=Hypothèses!$V$15,Hypothèses!$W$15,IF(U245&lt;=Hypothèses!$V$16,Hypothèses!$W$16,IF(U245&lt;=Hypothèses!$V$17,Hypothèses!$W$17,IF(U245&lt;=Hypothèses!$V$18,Hypothèses!$W$18,""))))))))))))</f>
        <v>#DIV/0!</v>
      </c>
      <c r="AP245" s="87" t="e">
        <f t="shared" ca="1" si="417"/>
        <v>#DIV/0!</v>
      </c>
      <c r="AQ245" s="88" t="e">
        <f ca="1">IF(U245&lt;=Hypothèses!$V$7,Hypothèses!$X$7,IF(U245&lt;=Hypothèses!$V$8,Hypothèses!$X$8,IF(U245&lt;=Hypothèses!$V$9,Hypothèses!$X$9,IF(U245&lt;=Hypothèses!$V$10,Hypothèses!$X$10,IF(U245&lt;=Hypothèses!$V$11,Hypothèses!$X$11,IF(U245&lt;=Hypothèses!$V$12,Hypothèses!$X$12,IF(U245&lt;=Hypothèses!$V$13,Hypothèses!$X$13,IF(U245&lt;=Hypothèses!$V$14,Hypothèses!$X$14,IF(U245&lt;=Hypothèses!$V$15,Hypothèses!$X$15,IF(U245&lt;=Hypothèses!$V$16,Hypothèses!$X$16,IF(U245&lt;=Hypothèses!$U$17,Hypothèses!$W$17,IF(U245&lt;=Hypothèses!$U$18,Hypothèses!$W$18,""))))))))))))</f>
        <v>#DIV/0!</v>
      </c>
      <c r="AR245" s="95" t="e">
        <f t="shared" ca="1" si="372"/>
        <v>#DIV/0!</v>
      </c>
      <c r="AS245" s="101">
        <f t="shared" si="424"/>
        <v>0</v>
      </c>
      <c r="AT245" s="91">
        <f t="shared" si="341"/>
        <v>0</v>
      </c>
      <c r="AU245" s="30" t="e">
        <f t="shared" si="402"/>
        <v>#N/A</v>
      </c>
      <c r="AV245" s="30" t="e">
        <f t="shared" si="403"/>
        <v>#N/A</v>
      </c>
      <c r="AW245" s="31" t="e">
        <f>IF(OR(Hypothèses!$B$4=17,Hypothèses!$B$4=18,Hypothèses!$B$4=19,Hypothèses!$B$4=20),
IF($D245="Pressio.",
IF(OR($E245=3,$E245=1,$E245=4),AV245,AU245),
IF($D245="Pénétro.",
IF(OR($E245=3,$E245=1,$E245=4),AV245,AU245))),IF($D245="Pressio.",
IF($E245=3,AV245,AU245),
IF($D245="Pénétro.",
IF($E245=4,AV245,AU245))))</f>
        <v>#N/A</v>
      </c>
      <c r="AX245" s="31">
        <v>0</v>
      </c>
      <c r="AY245" s="102" t="e">
        <f>IF(NDC!$H$10="Oui",(VLOOKUP($B$3,'Coeff EC7'!$T$39:$X$59,2,0)*AW245+VLOOKUP($B$3,'Coeff EC7'!$T$65:$X$85,2,0)*Model0.1T!AX245)/1.5,PI()*AU$12*$Q245*($B245-$B244)*0.15/10+AY244)</f>
        <v>#N/A</v>
      </c>
      <c r="AZ245" s="102" t="e">
        <f>(VLOOKUP($B$3,'Coeff EC7'!$T$39:$X$59,3,0)*AW245+VLOOKUP($B$3,'Coeff EC7'!$T$65:$X$85,3,0)*Model0.1T!AX245)/1.1</f>
        <v>#N/A</v>
      </c>
      <c r="BA245" s="102" t="e">
        <f t="shared" si="373"/>
        <v>#N/A</v>
      </c>
      <c r="BB245" s="102" t="e">
        <f t="shared" si="374"/>
        <v>#N/A</v>
      </c>
      <c r="BC245" s="414" t="e">
        <f>IF(AND(AY245&gt;NDC!$C$63,AZ245&gt;NDC!$C$65,BA245&gt;NDC!$D$73,BB245&gt;NDC!$D$74,$B245&gt;NDC!$H$22-0.1+MIN(3*BC$12,1.5)),0,1)</f>
        <v>#N/A</v>
      </c>
      <c r="BD245" s="86" t="b">
        <f t="shared" si="342"/>
        <v>0</v>
      </c>
      <c r="BE245" s="86">
        <f t="shared" si="375"/>
        <v>0.5</v>
      </c>
      <c r="BF245" s="86">
        <f t="shared" si="343"/>
        <v>0.5</v>
      </c>
      <c r="BG245" s="30" t="e">
        <f t="shared" ca="1" si="376"/>
        <v>#DIV/0!</v>
      </c>
      <c r="BH245" s="85" t="e">
        <f ca="1">IF(AN245&lt;=Hypothèses!$V$7,Hypothèses!$W$7,IF(AN245&lt;=Hypothèses!$V$8,Hypothèses!$W$8,IF(AN245&lt;=Hypothèses!$V$9,Hypothèses!$W$9,IF(AN245&lt;=Hypothèses!$V$10,Hypothèses!$W$10,IF(AN245&lt;=Hypothèses!$V$11,Hypothèses!$W$11,IF(AN245&lt;=Hypothèses!$V$12,Hypothèses!$W$12,IF(AN245&lt;=Hypothèses!$V$13,Hypothèses!$W$13,IF(AN245&lt;=Hypothèses!$V$14,Hypothèses!$W$14,IF(AN245&lt;=Hypothèses!$V$15,Hypothèses!$W$15,IF(AN245&lt;=Hypothèses!$V$16,Hypothèses!$W$16,IF(AN245&lt;=Hypothèses!$V$17,Hypothèses!$W$17,IF(AN245&lt;=Hypothèses!$V$18,Hypothèses!$W$18,""))))))))))))</f>
        <v>#DIV/0!</v>
      </c>
      <c r="BI245" s="87" t="e">
        <f t="shared" ca="1" si="418"/>
        <v>#DIV/0!</v>
      </c>
      <c r="BJ245" s="88" t="e">
        <f ca="1">IF(AN245&lt;=Hypothèses!$V$7,Hypothèses!$X$7,IF(AN245&lt;=Hypothèses!$V$8,Hypothèses!$X$8,IF(AN245&lt;=Hypothèses!$V$9,Hypothèses!$X$9,IF(AN245&lt;=Hypothèses!$V$10,Hypothèses!$X$10,IF(AN245&lt;=Hypothèses!$V$11,Hypothèses!$X$11,IF(AN245&lt;=Hypothèses!$V$12,Hypothèses!$X$12,IF(AN245&lt;=Hypothèses!$V$13,Hypothèses!$X$13,IF(AN245&lt;=Hypothèses!$V$14,Hypothèses!$X$14,IF(AN245&lt;=Hypothèses!$V$15,Hypothèses!$X$15,IF(AN245&lt;=Hypothèses!$V$16,Hypothèses!$X$16,IF(AN245&lt;=Hypothèses!$U$17,Hypothèses!$W$17,IF(AN245&lt;=Hypothèses!$U$18,Hypothèses!$W$18,""))))))))))))</f>
        <v>#DIV/0!</v>
      </c>
      <c r="BK245" s="95" t="e">
        <f t="shared" ca="1" si="377"/>
        <v>#DIV/0!</v>
      </c>
      <c r="BL245" s="101">
        <f t="shared" si="425"/>
        <v>0</v>
      </c>
      <c r="BM245" s="91">
        <f t="shared" si="344"/>
        <v>0</v>
      </c>
      <c r="BN245" s="30" t="e">
        <f t="shared" si="404"/>
        <v>#N/A</v>
      </c>
      <c r="BO245" s="30" t="e">
        <f t="shared" si="405"/>
        <v>#N/A</v>
      </c>
      <c r="BP245" s="31" t="e">
        <f>IF(OR(Hypothèses!$B$4=17,Hypothèses!$B$4=18,Hypothèses!$B$4=19,Hypothèses!$B$4=20),
IF($D245="Pressio.",
IF(OR($E245=3,$E245=1,$E245=4),BO245,BN245),
IF($D245="Pénétro.",
IF(OR($E245=3,$E245=1,$E245=4),BO245,BN245))),IF($D245="Pressio.",
IF($E245=3,BO245,BN245),
IF($D245="Pénétro.",
IF($E245=4,BO245,BN245))))</f>
        <v>#N/A</v>
      </c>
      <c r="BQ245" s="31">
        <v>0</v>
      </c>
      <c r="BR245" s="102" t="e">
        <f>IF(NDC!$H$10="Oui",(VLOOKUP($B$3,'Coeff EC7'!$T$39:$X$59,2,0)*BP245+VLOOKUP($B$3,'Coeff EC7'!$T$65:$X$85,2,0)*Model0.1T!BQ245)/1.5,PI()*BN$12*$Q245*($B245-$B244)*0.15/10+BR244)</f>
        <v>#N/A</v>
      </c>
      <c r="BS245" s="102" t="e">
        <f>(VLOOKUP($B$3,'Coeff EC7'!$T$39:$X$59,3,0)*BP245+VLOOKUP($B$3,'Coeff EC7'!$T$65:$X$85,3,0)*Model0.1T!BQ245)/1.1</f>
        <v>#N/A</v>
      </c>
      <c r="BT245" s="102" t="e">
        <f t="shared" si="378"/>
        <v>#N/A</v>
      </c>
      <c r="BU245" s="102" t="e">
        <f t="shared" si="379"/>
        <v>#N/A</v>
      </c>
      <c r="BV245" s="414" t="e">
        <f>IF(AND(BR245&gt;NDC!$C$63,BS245&gt;NDC!$C$65,BT245&gt;NDC!$D$73,BU245&gt;NDC!$D$74,$B245&gt;NDC!$H$22-0.1+MIN(3*BV$12,1.5)),0,1)</f>
        <v>#N/A</v>
      </c>
      <c r="BW245" s="86" t="b">
        <f t="shared" si="345"/>
        <v>0</v>
      </c>
      <c r="BX245" s="86">
        <f t="shared" si="346"/>
        <v>0.5</v>
      </c>
      <c r="BY245" s="86">
        <f t="shared" si="347"/>
        <v>0.5</v>
      </c>
      <c r="BZ245" s="30" t="e">
        <f t="shared" ca="1" si="380"/>
        <v>#DIV/0!</v>
      </c>
      <c r="CA245" s="85" t="e">
        <f ca="1">IF(BG245&lt;=Hypothèses!$V$7,Hypothèses!$W$7,IF(BG245&lt;=Hypothèses!$V$8,Hypothèses!$W$8,IF(BG245&lt;=Hypothèses!$V$9,Hypothèses!$W$9,IF(BG245&lt;=Hypothèses!$V$10,Hypothèses!$W$10,IF(BG245&lt;=Hypothèses!$V$11,Hypothèses!$W$11,IF(BG245&lt;=Hypothèses!$V$12,Hypothèses!$W$12,IF(BG245&lt;=Hypothèses!$V$13,Hypothèses!$W$13,IF(BG245&lt;=Hypothèses!$V$14,Hypothèses!$W$14,IF(BG245&lt;=Hypothèses!$V$15,Hypothèses!$W$15,IF(BG245&lt;=Hypothèses!$V$16,Hypothèses!$W$16,IF(BG245&lt;=Hypothèses!$V$17,Hypothèses!$W$17,IF(BG245&lt;=Hypothèses!$V$18,Hypothèses!$W$18,""))))))))))))</f>
        <v>#DIV/0!</v>
      </c>
      <c r="CB245" s="87" t="e">
        <f t="shared" ca="1" si="419"/>
        <v>#DIV/0!</v>
      </c>
      <c r="CC245" s="88" t="e">
        <f ca="1">IF(BG245&lt;=Hypothèses!$V$7,Hypothèses!$X$7,IF(BG245&lt;=Hypothèses!$V$8,Hypothèses!$X$8,IF(BG245&lt;=Hypothèses!$V$9,Hypothèses!$X$9,IF(BG245&lt;=Hypothèses!$V$10,Hypothèses!$X$10,IF(BG245&lt;=Hypothèses!$V$11,Hypothèses!$X$11,IF(BG245&lt;=Hypothèses!$V$12,Hypothèses!$X$12,IF(BG245&lt;=Hypothèses!$V$13,Hypothèses!$X$13,IF(BG245&lt;=Hypothèses!$V$14,Hypothèses!$X$14,IF(BG245&lt;=Hypothèses!$V$15,Hypothèses!$X$15,IF(BG245&lt;=Hypothèses!$V$16,Hypothèses!$X$16,IF(BG245&lt;=Hypothèses!$U$17,Hypothèses!$W$17,IF(BG245&lt;=Hypothèses!$U$18,Hypothèses!$W$18,""))))))))))))</f>
        <v>#DIV/0!</v>
      </c>
      <c r="CD245" s="95" t="e">
        <f t="shared" ca="1" si="381"/>
        <v>#DIV/0!</v>
      </c>
      <c r="CE245" s="101">
        <f t="shared" si="426"/>
        <v>0</v>
      </c>
      <c r="CF245" s="91">
        <f t="shared" si="348"/>
        <v>0</v>
      </c>
      <c r="CG245" s="30" t="e">
        <f t="shared" si="406"/>
        <v>#N/A</v>
      </c>
      <c r="CH245" s="30" t="e">
        <f t="shared" si="407"/>
        <v>#N/A</v>
      </c>
      <c r="CI245" s="31" t="e">
        <f>IF(OR(Hypothèses!$B$4=17,Hypothèses!$B$4=18,Hypothèses!$B$4=19,Hypothèses!$B$4=20),
IF($D245="Pressio.",
IF(OR($E245=3,$E245=1,$E245=4),CH245,CG245),
IF($D245="Pénétro.",
IF(OR($E245=3,$E245=1,$E245=4),CH245,CG245))),IF($D245="Pressio.",
IF($E245=3,CH245,CG245),
IF($D245="Pénétro.",
IF($E245=4,CH245,CG245))))</f>
        <v>#N/A</v>
      </c>
      <c r="CJ245" s="31">
        <v>0</v>
      </c>
      <c r="CK245" s="102" t="e">
        <f>IF(NDC!$H$10="Oui",(VLOOKUP($B$3,'Coeff EC7'!$T$39:$X$59,2,0)*CI245+VLOOKUP($B$3,'Coeff EC7'!$T$65:$X$85,2,0)*Model0.1T!CJ245)/1.5,PI()*CG$12*$Q245*($B245-$B244)*0.15/10+CK244)</f>
        <v>#N/A</v>
      </c>
      <c r="CL245" s="102" t="e">
        <f>(VLOOKUP($B$3,'Coeff EC7'!$T$39:$X$59,3,0)*CI245+VLOOKUP($B$3,'Coeff EC7'!$T$65:$X$85,3,0)*Model0.1T!CJ245)/1.1</f>
        <v>#N/A</v>
      </c>
      <c r="CM245" s="102" t="e">
        <f t="shared" si="382"/>
        <v>#N/A</v>
      </c>
      <c r="CN245" s="102" t="e">
        <f t="shared" si="383"/>
        <v>#N/A</v>
      </c>
      <c r="CO245" s="414" t="e">
        <f>IF(AND(CK245&gt;NDC!$C$63,CL245&gt;NDC!$C$65,CM245&gt;NDC!$D$73,CN245&gt;NDC!$D$74,$B245&gt;NDC!$H$22-0.1+MIN(3*CO$12,1.5)),0,1)</f>
        <v>#N/A</v>
      </c>
      <c r="CP245" s="86" t="b">
        <f t="shared" si="349"/>
        <v>0</v>
      </c>
      <c r="CQ245" s="86">
        <f t="shared" si="350"/>
        <v>0.5</v>
      </c>
      <c r="CR245" s="86">
        <f t="shared" si="351"/>
        <v>0.5</v>
      </c>
      <c r="CS245" s="30" t="e">
        <f t="shared" ca="1" si="384"/>
        <v>#DIV/0!</v>
      </c>
      <c r="CT245" s="85" t="e">
        <f ca="1">IF(BZ245&lt;=Hypothèses!$V$7,Hypothèses!$W$7,IF(BZ245&lt;=Hypothèses!$V$8,Hypothèses!$W$8,IF(BZ245&lt;=Hypothèses!$V$9,Hypothèses!$W$9,IF(BZ245&lt;=Hypothèses!$V$10,Hypothèses!$W$10,IF(BZ245&lt;=Hypothèses!$V$11,Hypothèses!$W$11,IF(BZ245&lt;=Hypothèses!$V$12,Hypothèses!$W$12,IF(BZ245&lt;=Hypothèses!$V$13,Hypothèses!$W$13,IF(BZ245&lt;=Hypothèses!$V$14,Hypothèses!$W$14,IF(BZ245&lt;=Hypothèses!$V$15,Hypothèses!$W$15,IF(BZ245&lt;=Hypothèses!$V$16,Hypothèses!$W$16,IF(BZ245&lt;=Hypothèses!$V$17,Hypothèses!$W$17,IF(BZ245&lt;=Hypothèses!$V$18,Hypothèses!$W$18,""))))))))))))</f>
        <v>#DIV/0!</v>
      </c>
      <c r="CU245" s="87" t="e">
        <f t="shared" ca="1" si="420"/>
        <v>#DIV/0!</v>
      </c>
      <c r="CV245" s="88" t="e">
        <f ca="1">IF(BZ245&lt;=Hypothèses!$V$7,Hypothèses!$X$7,IF(BZ245&lt;=Hypothèses!$V$8,Hypothèses!$X$8,IF(BZ245&lt;=Hypothèses!$V$9,Hypothèses!$X$9,IF(BZ245&lt;=Hypothèses!$V$10,Hypothèses!$X$10,IF(BZ245&lt;=Hypothèses!$V$11,Hypothèses!$X$11,IF(BZ245&lt;=Hypothèses!$V$12,Hypothèses!$X$12,IF(BZ245&lt;=Hypothèses!$V$13,Hypothèses!$X$13,IF(BZ245&lt;=Hypothèses!$V$14,Hypothèses!$X$14,IF(BZ245&lt;=Hypothèses!$V$15,Hypothèses!$X$15,IF(BZ245&lt;=Hypothèses!$V$16,Hypothèses!$X$16,IF(BZ245&lt;=Hypothèses!$U$17,Hypothèses!$W$17,IF(BZ245&lt;=Hypothèses!$U$18,Hypothèses!$W$18,""))))))))))))</f>
        <v>#DIV/0!</v>
      </c>
      <c r="CW245" s="95" t="e">
        <f t="shared" ca="1" si="385"/>
        <v>#DIV/0!</v>
      </c>
      <c r="CX245" s="101">
        <f t="shared" si="427"/>
        <v>0</v>
      </c>
      <c r="CY245" s="91">
        <f t="shared" si="352"/>
        <v>0</v>
      </c>
      <c r="CZ245" s="30" t="e">
        <f t="shared" si="408"/>
        <v>#N/A</v>
      </c>
      <c r="DA245" s="30" t="e">
        <f t="shared" si="409"/>
        <v>#N/A</v>
      </c>
      <c r="DB245" s="31" t="e">
        <f>IF(OR(Hypothèses!$B$4=17,Hypothèses!$B$4=18,Hypothèses!$B$4=19,Hypothèses!$B$4=20),
IF($D245="Pressio.",
IF(OR($E245=3,$E245=1,$E245=4),DA245,CZ245),
IF($D245="Pénétro.",
IF(OR($E245=3,$E245=1,$E245=4),DA245,CZ245))),IF($D245="Pressio.",
IF($E245=3,DA245,CZ245),
IF($D245="Pénétro.",
IF($E245=4,DA245,CZ245))))</f>
        <v>#N/A</v>
      </c>
      <c r="DC245" s="31">
        <v>0</v>
      </c>
      <c r="DD245" s="102" t="e">
        <f>IF(NDC!$H$10="Oui",(VLOOKUP($B$3,'Coeff EC7'!$T$39:$X$59,2,0)*DB245+VLOOKUP($B$3,'Coeff EC7'!$T$65:$X$85,2,0)*Model0.1T!DC245)/1.5,PI()*CZ$12*$Q245*($B245-$B244)*0.15/10+DD244)</f>
        <v>#N/A</v>
      </c>
      <c r="DE245" s="102" t="e">
        <f>(VLOOKUP($B$3,'Coeff EC7'!$T$39:$X$59,3,0)*DB245+VLOOKUP($B$3,'Coeff EC7'!$T$65:$X$85,3,0)*Model0.1T!DC245)/1.1</f>
        <v>#N/A</v>
      </c>
      <c r="DF245" s="102" t="e">
        <f t="shared" si="386"/>
        <v>#N/A</v>
      </c>
      <c r="DG245" s="102" t="e">
        <f t="shared" si="387"/>
        <v>#N/A</v>
      </c>
      <c r="DH245" s="414" t="e">
        <f>IF(AND(DD245&gt;NDC!$C$63,DE245&gt;NDC!$C$65,DF245&gt;NDC!$D$73,DG245&gt;NDC!$D$74,$B245&gt;NDC!$H$22-0.1+MIN(3*DH$12,1.5)),0,1)</f>
        <v>#N/A</v>
      </c>
      <c r="DI245" s="86" t="b">
        <f t="shared" si="353"/>
        <v>0</v>
      </c>
      <c r="DJ245" s="86">
        <f t="shared" si="354"/>
        <v>0.5</v>
      </c>
      <c r="DK245" s="86">
        <f t="shared" si="355"/>
        <v>0.5</v>
      </c>
      <c r="DL245" s="30" t="e">
        <f t="shared" ca="1" si="388"/>
        <v>#DIV/0!</v>
      </c>
      <c r="DM245" s="85" t="e">
        <f ca="1">IF(CS245&lt;=Hypothèses!$V$7,Hypothèses!$W$7,IF(CS245&lt;=Hypothèses!$V$8,Hypothèses!$W$8,IF(CS245&lt;=Hypothèses!$V$9,Hypothèses!$W$9,IF(CS245&lt;=Hypothèses!$V$10,Hypothèses!$W$10,IF(CS245&lt;=Hypothèses!$V$11,Hypothèses!$W$11,IF(CS245&lt;=Hypothèses!$V$12,Hypothèses!$W$12,IF(CS245&lt;=Hypothèses!$V$13,Hypothèses!$W$13,IF(CS245&lt;=Hypothèses!$V$14,Hypothèses!$W$14,IF(CS245&lt;=Hypothèses!$V$15,Hypothèses!$W$15,IF(CS245&lt;=Hypothèses!$V$16,Hypothèses!$W$16,IF(CS245&lt;=Hypothèses!$V$17,Hypothèses!$W$17,IF(CS245&lt;=Hypothèses!$V$18,Hypothèses!$W$18,""))))))))))))</f>
        <v>#DIV/0!</v>
      </c>
      <c r="DN245" s="87" t="e">
        <f t="shared" ca="1" si="421"/>
        <v>#DIV/0!</v>
      </c>
      <c r="DO245" s="88" t="e">
        <f ca="1">IF(CS245&lt;=Hypothèses!$V$7,Hypothèses!$X$7,IF(CS245&lt;=Hypothèses!$V$8,Hypothèses!$X$8,IF(CS245&lt;=Hypothèses!$V$9,Hypothèses!$X$9,IF(CS245&lt;=Hypothèses!$V$10,Hypothèses!$X$10,IF(CS245&lt;=Hypothèses!$V$11,Hypothèses!$X$11,IF(CS245&lt;=Hypothèses!$V$12,Hypothèses!$X$12,IF(CS245&lt;=Hypothèses!$V$13,Hypothèses!$X$13,IF(CS245&lt;=Hypothèses!$V$14,Hypothèses!$X$14,IF(CS245&lt;=Hypothèses!$V$15,Hypothèses!$X$15,IF(CS245&lt;=Hypothèses!$V$16,Hypothèses!$X$16,IF(CS245&lt;=Hypothèses!$U$17,Hypothèses!$W$17,IF(CS245&lt;=Hypothèses!$U$18,Hypothèses!$W$18,""))))))))))))</f>
        <v>#DIV/0!</v>
      </c>
      <c r="DP245" s="95" t="e">
        <f t="shared" ca="1" si="389"/>
        <v>#DIV/0!</v>
      </c>
      <c r="DQ245" s="101">
        <f t="shared" si="428"/>
        <v>0</v>
      </c>
      <c r="DR245" s="91">
        <f t="shared" si="356"/>
        <v>0</v>
      </c>
      <c r="DS245" s="30" t="e">
        <f t="shared" si="410"/>
        <v>#N/A</v>
      </c>
      <c r="DT245" s="30" t="e">
        <f t="shared" si="411"/>
        <v>#N/A</v>
      </c>
      <c r="DU245" s="31" t="e">
        <f>IF(OR(Hypothèses!$B$4=17,Hypothèses!$B$4=18,Hypothèses!$B$4=19,Hypothèses!$B$4=20),
IF($D245="Pressio.",
IF(OR($E245=3,$E245=1,$E245=4),DT245,DS245),
IF($D245="Pénétro.",
IF(OR($E245=3,$E245=1,$E245=4),DT245,DS245))),IF($D245="Pressio.",
IF($E245=3,DT245,DS245),
IF($D245="Pénétro.",
IF($E245=4,DT245,DS245))))</f>
        <v>#N/A</v>
      </c>
      <c r="DV245" s="31">
        <v>0</v>
      </c>
      <c r="DW245" s="102" t="e">
        <f>IF(NDC!$H$10="Oui",(VLOOKUP($B$3,'Coeff EC7'!$T$39:$X$59,2,0)*DU245+VLOOKUP($B$3,'Coeff EC7'!$T$65:$X$85,2,0)*Model0.1T!DV245)/1.5,PI()*DS$12*$Q245*($B245-$B244)*0.15/10+DW244)</f>
        <v>#N/A</v>
      </c>
      <c r="DX245" s="102" t="e">
        <f>(VLOOKUP($B$3,'Coeff EC7'!$T$39:$X$59,3,0)*DU245+VLOOKUP($B$3,'Coeff EC7'!$T$65:$X$85,3,0)*Model0.1T!DV245)/1.1</f>
        <v>#N/A</v>
      </c>
      <c r="DY245" s="102" t="e">
        <f t="shared" si="390"/>
        <v>#N/A</v>
      </c>
      <c r="DZ245" s="102" t="e">
        <f t="shared" si="391"/>
        <v>#N/A</v>
      </c>
      <c r="EA245" s="414" t="e">
        <f>IF(AND(DW245&gt;NDC!$C$63,DX245&gt;NDC!$C$65,DY245&gt;NDC!$D$73,DZ245&gt;NDC!$D$74,$B245&gt;NDC!$H$22-0.1+MIN(3*EA$12,1.5)),0,1)</f>
        <v>#N/A</v>
      </c>
      <c r="EB245" s="86" t="b">
        <f t="shared" si="357"/>
        <v>0</v>
      </c>
      <c r="EC245" s="418">
        <f t="shared" si="358"/>
        <v>0.51</v>
      </c>
      <c r="ED245" s="86">
        <f t="shared" si="359"/>
        <v>0.51</v>
      </c>
      <c r="EE245" s="30" t="e">
        <f t="shared" ca="1" si="392"/>
        <v>#DIV/0!</v>
      </c>
      <c r="EF245" s="85" t="e">
        <f ca="1">IF(DL245&lt;=Hypothèses!$V$7,Hypothèses!$W$7,IF(DL245&lt;=Hypothèses!$V$8,Hypothèses!$W$8,IF(DL245&lt;=Hypothèses!$V$9,Hypothèses!$W$9,IF(DL245&lt;=Hypothèses!$V$10,Hypothèses!$W$10,IF(DL245&lt;=Hypothèses!$V$11,Hypothèses!$W$11,IF(DL245&lt;=Hypothèses!$V$12,Hypothèses!$W$12,IF(DL245&lt;=Hypothèses!$V$13,Hypothèses!$W$13,IF(DL245&lt;=Hypothèses!$V$14,Hypothèses!$W$14,IF(DL245&lt;=Hypothèses!$V$15,Hypothèses!$W$15,IF(DL245&lt;=Hypothèses!$V$16,Hypothèses!$W$16,IF(DL245&lt;=Hypothèses!$V$17,Hypothèses!$W$17,IF(DL245&lt;=Hypothèses!$V$18,Hypothèses!$W$18,""))))))))))))</f>
        <v>#DIV/0!</v>
      </c>
      <c r="EG245" s="87" t="e">
        <f t="shared" ca="1" si="422"/>
        <v>#DIV/0!</v>
      </c>
      <c r="EH245" s="88" t="e">
        <f ca="1">IF(DL245&lt;=Hypothèses!$V$7,Hypothèses!$X$7,IF(DL245&lt;=Hypothèses!$V$8,Hypothèses!$X$8,IF(DL245&lt;=Hypothèses!$V$9,Hypothèses!$X$9,IF(DL245&lt;=Hypothèses!$V$10,Hypothèses!$X$10,IF(DL245&lt;=Hypothèses!$V$11,Hypothèses!$X$11,IF(DL245&lt;=Hypothèses!$V$12,Hypothèses!$X$12,IF(DL245&lt;=Hypothèses!$V$13,Hypothèses!$X$13,IF(DL245&lt;=Hypothèses!$V$14,Hypothèses!$X$14,IF(DL245&lt;=Hypothèses!$V$15,Hypothèses!$X$15,IF(DL245&lt;=Hypothèses!$V$16,Hypothèses!$X$16,IF(DL245&lt;=Hypothèses!$U$17,Hypothèses!$W$17,IF(DL245&lt;=Hypothèses!$U$18,Hypothèses!$W$18,""))))))))))))</f>
        <v>#DIV/0!</v>
      </c>
      <c r="EI245" s="95" t="e">
        <f t="shared" ca="1" si="393"/>
        <v>#DIV/0!</v>
      </c>
      <c r="EJ245" s="101">
        <f t="shared" si="429"/>
        <v>0</v>
      </c>
      <c r="EK245" s="91">
        <f t="shared" si="360"/>
        <v>0</v>
      </c>
      <c r="EL245" s="30" t="e">
        <f t="shared" si="412"/>
        <v>#N/A</v>
      </c>
      <c r="EM245" s="30" t="e">
        <f t="shared" si="413"/>
        <v>#N/A</v>
      </c>
      <c r="EN245" s="31" t="e">
        <f>IF(OR(Hypothèses!$B$4=17,Hypothèses!$B$4=18,Hypothèses!$B$4=19,Hypothèses!$B$4=20),
IF($D245="Pressio.",
IF(OR($E245=3,$E245=1,$E245=4),EM245,EL245),
IF($D245="Pénétro.",
IF(OR($E245=3,$E245=1,$E245=4),EM245,EL245))),IF($D245="Pressio.",
IF($E245=3,EM245,EL245),
IF($D245="Pénétro.",
IF($E245=4,EM245,EL245))))</f>
        <v>#N/A</v>
      </c>
      <c r="EO245" s="31">
        <v>0</v>
      </c>
      <c r="EP245" s="102" t="e">
        <f>IF(NDC!$H$10="Oui",(VLOOKUP($B$3,'Coeff EC7'!$T$39:$X$59,2,0)*EN245+VLOOKUP($B$3,'Coeff EC7'!$T$65:$X$85,2,0)*Model0.1T!EO245)/1.5,PI()*EL$12*$Q245*($B245-$B244)*0.15/10+EP244)</f>
        <v>#N/A</v>
      </c>
      <c r="EQ245" s="102" t="e">
        <f>(VLOOKUP($B$3,'Coeff EC7'!$T$39:$X$59,3,0)*EN245+VLOOKUP($B$3,'Coeff EC7'!$T$65:$X$85,3,0)*Model0.1T!EO245)/1.1</f>
        <v>#N/A</v>
      </c>
      <c r="ER245" s="102" t="e">
        <f t="shared" si="394"/>
        <v>#N/A</v>
      </c>
      <c r="ES245" s="102" t="e">
        <f t="shared" si="395"/>
        <v>#N/A</v>
      </c>
      <c r="ET245" s="414" t="e">
        <f>IF(AND(EP245&gt;NDC!$C$63,EQ245&gt;NDC!$C$65,ER245&gt;NDC!$D$73,ES245&gt;NDC!$D$74,$B245&gt;NDC!$H$22-0.1+MIN(3*ET$12,1.5)),0,1)</f>
        <v>#N/A</v>
      </c>
      <c r="EU245" s="86" t="b">
        <f t="shared" si="361"/>
        <v>0</v>
      </c>
      <c r="EV245" s="86">
        <f t="shared" si="362"/>
        <v>0.61</v>
      </c>
      <c r="EW245" s="86">
        <f t="shared" si="363"/>
        <v>0.61</v>
      </c>
      <c r="EX245" s="30" t="e">
        <f t="shared" ca="1" si="396"/>
        <v>#DIV/0!</v>
      </c>
      <c r="EY245" s="85" t="e">
        <f ca="1">IF(EE245&lt;=Hypothèses!$V$7,Hypothèses!$W$7,IF(EE245&lt;=Hypothèses!$V$8,Hypothèses!$W$8,IF(EE245&lt;=Hypothèses!$V$9,Hypothèses!$W$9,IF(EE245&lt;=Hypothèses!$V$10,Hypothèses!$W$10,IF(EE245&lt;=Hypothèses!$V$11,Hypothèses!$W$11,IF(EE245&lt;=Hypothèses!$V$12,Hypothèses!$W$12,IF(EE245&lt;=Hypothèses!$V$13,Hypothèses!$W$13,IF(EE245&lt;=Hypothèses!$V$14,Hypothèses!$W$14,IF(EE245&lt;=Hypothèses!$V$15,Hypothèses!$W$15,IF(EE245&lt;=Hypothèses!$V$16,Hypothèses!$W$16,IF(EE245&lt;=Hypothèses!$V$17,Hypothèses!$W$17,IF(EE245&lt;=Hypothèses!$V$18,Hypothèses!$W$18,""))))))))))))</f>
        <v>#DIV/0!</v>
      </c>
      <c r="EZ245" s="87" t="e">
        <f t="shared" ca="1" si="423"/>
        <v>#DIV/0!</v>
      </c>
      <c r="FA245" s="88" t="e">
        <f ca="1">IF(EE245&lt;=Hypothèses!$V$7,Hypothèses!$X$7,IF(EE245&lt;=Hypothèses!$V$8,Hypothèses!$X$8,IF(EE245&lt;=Hypothèses!$V$9,Hypothèses!$X$9,IF(EE245&lt;=Hypothèses!$V$10,Hypothèses!$X$10,IF(EE245&lt;=Hypothèses!$V$11,Hypothèses!$X$11,IF(EE245&lt;=Hypothèses!$V$12,Hypothèses!$X$12,IF(EE245&lt;=Hypothèses!$V$13,Hypothèses!$X$13,IF(EE245&lt;=Hypothèses!$V$14,Hypothèses!$X$14,IF(EE245&lt;=Hypothèses!$V$15,Hypothèses!$X$15,IF(EE245&lt;=Hypothèses!$V$16,Hypothèses!$X$16,IF(EE245&lt;=Hypothèses!$U$17,Hypothèses!$W$17,IF(EE245&lt;=Hypothèses!$U$18,Hypothèses!$W$18,""))))))))))))</f>
        <v>#DIV/0!</v>
      </c>
      <c r="FB245" s="95" t="e">
        <f t="shared" ca="1" si="397"/>
        <v>#DIV/0!</v>
      </c>
      <c r="FC245" s="101">
        <f t="shared" si="430"/>
        <v>0</v>
      </c>
      <c r="FD245" s="91">
        <f t="shared" si="364"/>
        <v>0</v>
      </c>
      <c r="FE245" s="30" t="e">
        <f t="shared" si="414"/>
        <v>#N/A</v>
      </c>
      <c r="FF245" s="30" t="e">
        <f t="shared" si="415"/>
        <v>#N/A</v>
      </c>
      <c r="FG245" s="31" t="e">
        <f>IF(OR(Hypothèses!$B$4=17,Hypothèses!$B$4=18,Hypothèses!$B$4=19,Hypothèses!$B$4=20),
IF($D245="Pressio.",
IF(OR($E245=3,$E245=1,$E245=4),FF245,FE245),
IF($D245="Pénétro.",
IF(OR($E245=3,$E245=1,$E245=4),FF245,FE245))),IF($D245="Pressio.",
IF($E245=3,FF245,FE245),
IF($D245="Pénétro.",
IF($E245=4,FF245,FE245))))</f>
        <v>#N/A</v>
      </c>
      <c r="FH245" s="31">
        <v>0</v>
      </c>
      <c r="FI245" s="102" t="e">
        <f>IF(NDC!$H$10="Oui",(VLOOKUP($B$3,'Coeff EC7'!$T$39:$X$59,2,0)*FG245+VLOOKUP($B$3,'Coeff EC7'!$T$65:$X$85,2,0)*Model0.1T!FH245)/1.5,PI()*FE$12*$Q245*($B245-$B244)*0.15/10+FI244)</f>
        <v>#N/A</v>
      </c>
      <c r="FJ245" s="102" t="e">
        <f>(VLOOKUP($B$3,'Coeff EC7'!$T$39:$X$59,3,0)*FG245+VLOOKUP($B$3,'Coeff EC7'!$T$65:$X$85,3,0)*Model0.1T!FH245)/1.1</f>
        <v>#N/A</v>
      </c>
      <c r="FK245" s="102" t="e">
        <f t="shared" si="398"/>
        <v>#N/A</v>
      </c>
      <c r="FL245" s="102" t="e">
        <f t="shared" si="399"/>
        <v>#N/A</v>
      </c>
      <c r="FM245" s="414" t="e">
        <f>IF(AND(FI245&gt;NDC!$C$63,FJ245&gt;NDC!$C$65,FK245&gt;NDC!$D$73,FL245&gt;NDC!$D$74,$B245&gt;NDC!$H$22-0.1+MIN(3*FM$12,1.5)),0,1)</f>
        <v>#N/A</v>
      </c>
    </row>
    <row r="246" spans="1:169">
      <c r="A246" s="96">
        <f t="shared" si="365"/>
        <v>76.700000000001324</v>
      </c>
      <c r="B246" s="97">
        <v>23.3</v>
      </c>
      <c r="C246" s="81">
        <f>IF(B246&lt;=Hypothèses!$C$7,Hypothèses!$A$7,IF(B246&lt;=Hypothèses!$C$8,Hypothèses!$A$8,IF(B246&lt;=Hypothèses!$C$9,Hypothèses!$A$9,IF(B246&lt;=Hypothèses!$C$10,Hypothèses!$A$10,IF(B246&lt;=Hypothèses!$C$11,Hypothèses!$A$11,IF(B246&lt;=Hypothèses!$C$12,Hypothèses!$A$12,IF(B246&lt;=Hypothèses!$C$13,Hypothèses!$A$13,IF(B246&lt;=Hypothèses!$C$14,Hypothèses!$A$14,IF(B246&lt;=Hypothèses!$C$15,Hypothèses!$A$15,IF(B246&lt;=Hypothèses!$C$16,Hypothèses!$A$16,IF(B246&lt;=Hypothèses!$C$17,Hypothèses!$A$17,IF(B246&lt;=Hypothèses!$C$18,Hypothèses!$A$18,C245))))))))))))</f>
        <v>11</v>
      </c>
      <c r="D246" s="82" t="str">
        <f>IF(B246&lt;=Hypothèses!$C$7,Hypothèses!$R$7,IF(B246&lt;=Hypothèses!$C$8,Hypothèses!$R$8,IF(B246&lt;=Hypothèses!$C$9,Hypothèses!$R$9,IF(B246&lt;=Hypothèses!$C$10,Hypothèses!$R$10,IF(B246&lt;=Hypothèses!$C$11,Hypothèses!$R$11,IF(B246&lt;=Hypothèses!$C$12,Hypothèses!$R$12,IF(B246&lt;=Hypothèses!$C$13,Hypothèses!$R$13,IF(B246&lt;=Hypothèses!$C$14,Hypothèses!$R$14,IF(B246&lt;=Hypothèses!$C$15,Hypothèses!$R$15,IF(B246&lt;=Hypothèses!$C$16,Hypothèses!$R$16,IF(B246&lt;=Hypothèses!$C$17,Hypothèses!$R$17,IF(B246&lt;=Hypothèses!$C$18,Hypothèses!$R$18,D245))))))))))))</f>
        <v>Pressio.</v>
      </c>
      <c r="E246" s="82" t="e">
        <f>IF(B246&lt;=Hypothèses!$C$7,Hypothèses!$G$7,IF(B246&lt;=Hypothèses!$C$8,Hypothèses!$G$8,IF(B246&lt;=Hypothèses!$C$9,Hypothèses!$G$9,IF(B246&lt;=Hypothèses!$C$10,Hypothèses!$G$10,IF(B246&lt;=Hypothèses!$C$11,Hypothèses!$G$11,IF(B246&lt;=Hypothèses!$C$12,Hypothèses!$G$12,IF(B246&lt;=Hypothèses!$C$13,Hypothèses!$G$13,IF(B246&lt;=Hypothèses!$C$14,Hypothèses!$G$14,IF(B246&lt;=Hypothèses!$C$15,Hypothèses!$G$15,IF(B246&lt;=Hypothèses!$C$16,Hypothèses!$G$16,IF(B246&lt;=Hypothèses!$C$17,Hypothèses!$G$17,IF(B246&lt;=Hypothèses!$C$18,Hypothèses!$G$18,E245))))))))))))</f>
        <v>#N/A</v>
      </c>
      <c r="F246" s="82" t="str">
        <f>IF(B246&lt;=Hypothèses!$C$7,Hypothèses!$F$7,IF(B246&lt;=Hypothèses!$C$8,Hypothèses!$F$8,IF(B246&lt;=Hypothèses!$C$9,Hypothèses!$F$9,IF(B246&lt;=Hypothèses!$C$10,Hypothèses!$F$10,IF(B246&lt;=Hypothèses!$C$11,Hypothèses!$F$11,IF(B246&lt;=Hypothèses!$C$12,Hypothèses!$F$12,IF(B246&lt;=Hypothèses!$C$13,Hypothèses!$F$13,IF(B246&lt;=Hypothèses!$C$14,Hypothèses!$F$14,IF(B246&lt;=Hypothèses!$C$15,Hypothèses!$F$15,IF(B246&lt;=Hypothèses!$C$16,Hypothèses!$F$16,IF(B246&lt;=Hypothèses!$C$17,Hypothèses!$F$17,IF(B246&lt;=Hypothèses!$C$18,Hypothèses!$F$18,F245))))))))))))</f>
        <v/>
      </c>
      <c r="G246" s="91">
        <f t="array" ref="G246">INDEX('Coeff EC7'!$U$7:$X$27,
MATCH(Model0.1T!$B$3,'Coeff EC7'!$T$7:$T$27,0),
MATCH(Model0.1T!$D246&amp;Model0.1T!$B$4,
'Coeff EC7'!$U$6:$X$6&amp;
'Coeff EC7'!$U$5:$X$5,0))</f>
        <v>1.4</v>
      </c>
      <c r="H246" s="91">
        <f t="array" ref="H246">INDEX('Coeff EC7'!$Y$7:$AB$27,
MATCH(Model0.1T!$B$3,'Coeff EC7'!$T$7:$T$27,0),
MATCH(Model0.1T!$D246&amp;Model0.1T!$B$4,
'Coeff EC7'!$Y$6:$AB$6&amp;
'Coeff EC7'!$Y$5:$AB$5,0))</f>
        <v>1.7</v>
      </c>
      <c r="I246" s="83">
        <v>0</v>
      </c>
      <c r="J246" s="91" t="e">
        <f t="array" ref="J246">INDEX('Coeff EC7'!$D$33:$Q$33,1,MATCH(D246&amp;E246,'Coeff EC7'!$D$31:$Q$31&amp;'Coeff EC7'!$D$32:$Q$32,0))</f>
        <v>#N/A</v>
      </c>
      <c r="K246" s="91" t="e">
        <f t="array" ref="K246">INDEX('Coeff EC7'!$D$34:$Q$34,1,MATCH(D246&amp;E246,'Coeff EC7'!$D$31:$Q$31&amp;'Coeff EC7'!$D$32:$Q$32,0))</f>
        <v>#N/A</v>
      </c>
      <c r="L246" s="91" t="e">
        <f t="array" ref="L246">INDEX('Coeff EC7'!$D$35:$Q$35,1,MATCH(D246&amp;E246,'Coeff EC7'!$D$31:$Q$31&amp;'Coeff EC7'!$D$32:$Q$32,0))</f>
        <v>#N/A</v>
      </c>
      <c r="M246" s="98" t="e">
        <f t="shared" si="331"/>
        <v>#N/A</v>
      </c>
      <c r="N246" s="99" t="e">
        <f t="array" ref="N246">INDEX('Coeff EC7'!$D$7:$Q$27,MATCH($B$3,'Coeff EC7'!$C$7:$C$27,0),MATCH(D246&amp;E246,'Coeff EC7'!$D$5:$Q$5&amp;'Coeff EC7'!$D$6:$Q$6,0))</f>
        <v>#N/A</v>
      </c>
      <c r="O246" s="99" t="e">
        <f t="array" ref="O246">INDEX('Coeff EC7'!$D$41:$Q$61,MATCH($B$3,'Coeff EC7'!$C$41:$C$61,0),MATCH(D246&amp;E246,'Coeff EC7'!$D$39:$Q$39&amp;'Coeff EC7'!$D$40:$Q$40,0))</f>
        <v>#N/A</v>
      </c>
      <c r="P246" s="30" t="e">
        <f t="shared" si="366"/>
        <v>#N/A</v>
      </c>
      <c r="Q246" s="100" t="e">
        <f t="shared" si="333"/>
        <v>#N/A</v>
      </c>
      <c r="R246" s="86" t="b">
        <f t="shared" si="334"/>
        <v>0</v>
      </c>
      <c r="S246" s="86">
        <f t="shared" si="332"/>
        <v>0.5</v>
      </c>
      <c r="T246" s="86">
        <f t="shared" si="335"/>
        <v>0.5</v>
      </c>
      <c r="U246" s="30" t="e">
        <f t="shared" ca="1" si="367"/>
        <v>#DIV/0!</v>
      </c>
      <c r="V246" s="85" t="str">
        <f>IF(B246&lt;=Hypothèses!$V$7,Hypothèses!$W$7,IF(B246&lt;=Hypothèses!$V$8,Hypothèses!$W$8,IF(B246&lt;=Hypothèses!$V$9,Hypothèses!$W$9,IF(B246&lt;=Hypothèses!$V$10,Hypothèses!$W$10,IF(B246&lt;=Hypothèses!$V$11,Hypothèses!$W$11,IF(B246&lt;=Hypothèses!$V$12,Hypothèses!$W$12,IF(B246&lt;=Hypothèses!$V$13,Hypothèses!$W$13,IF(B246&lt;=Hypothèses!$V$14,Hypothèses!$W$14,IF(B246&lt;=Hypothèses!$V$15,Hypothèses!$W$15,IF(B246&lt;=Hypothèses!$V$16,Hypothèses!$W$16,IF(B246&lt;=Hypothèses!$V$17,Hypothèses!$W$17,IF(B246&lt;=Hypothèses!$V$18,Hypothèses!$W$18,""))))))))))))</f>
        <v/>
      </c>
      <c r="W246" s="87" t="e">
        <f t="shared" ca="1" si="416"/>
        <v>#DIV/0!</v>
      </c>
      <c r="X246" s="88" t="str">
        <f>IF(B246&lt;=Hypothèses!$V$7,Hypothèses!$X$7,IF(B246&lt;=Hypothèses!$V$8,Hypothèses!$X$8,IF(B246&lt;=Hypothèses!$V$9,Hypothèses!$X$9,IF(B246&lt;=Hypothèses!$V$10,Hypothèses!$X$10,IF(B246&lt;=Hypothèses!$V$11,Hypothèses!$X$11,IF(B246&lt;=Hypothèses!$V$12,Hypothèses!$X$12,IF(B246&lt;=Hypothèses!$V$13,Hypothèses!$X$13,IF(B246&lt;=Hypothèses!$V$14,Hypothèses!$X$14,IF(B246&lt;=Hypothèses!$V$15,Hypothèses!$X$15,IF(B246&lt;=Hypothèses!$V$16,Hypothèses!$X$16,IF(B246&lt;=Hypothèses!$U$17,Hypothèses!$W$17,IF(B246&lt;=Hypothèses!$U$18,Hypothèses!$W$18,""))))))))))))</f>
        <v/>
      </c>
      <c r="Y246" s="95" t="e">
        <f t="shared" ca="1" si="336"/>
        <v>#DIV/0!</v>
      </c>
      <c r="Z246" s="101">
        <f t="shared" si="337"/>
        <v>0</v>
      </c>
      <c r="AA246" s="91">
        <f t="shared" si="338"/>
        <v>0</v>
      </c>
      <c r="AB246" s="30" t="e">
        <f t="shared" si="400"/>
        <v>#N/A</v>
      </c>
      <c r="AC246" s="30" t="e">
        <f t="shared" si="401"/>
        <v>#N/A</v>
      </c>
      <c r="AD246" s="31" t="e">
        <f>IF(OR(Hypothèses!$B$4=17,Hypothèses!$B$4=18,Hypothèses!$B$4=19,Hypothèses!$B$4=20),
IF($D246="Pressio.",
IF(OR($E246=3,$E246=1,$E246=4),AC246,AB246),
IF($D246="Pénétro.",
IF(OR($E246=3,$E246=1,$E246=4),AC246,AB246))),IF($D246="Pressio.",
IF($E246=3,AC246,AB246),
IF($D246="Pénétro.",
IF($E246=4,AC246,AB246))))</f>
        <v>#N/A</v>
      </c>
      <c r="AE246" s="31">
        <v>0</v>
      </c>
      <c r="AF246" s="102" t="e">
        <f>IF(NDC!$H$10="Oui",(VLOOKUP($B$3,'Coeff EC7'!$T$39:$X$59,2,0)*AD246+VLOOKUP($B$3,'Coeff EC7'!$T$65:$X$85,2,0)*Model0.1T!AE246)/1.5,PI()*AB$12*$Q246*($B246-$B245)*0.15/10+AF245)</f>
        <v>#N/A</v>
      </c>
      <c r="AG246" s="102" t="e">
        <f>(VLOOKUP($B$3,'Coeff EC7'!$T$39:$X$59,3,0)*AD246+VLOOKUP($B$3,'Coeff EC7'!$T$65:$X$85,3,0)*Model0.1T!AE246)/1.1</f>
        <v>#N/A</v>
      </c>
      <c r="AH246" s="102" t="e">
        <f t="shared" si="368"/>
        <v>#N/A</v>
      </c>
      <c r="AI246" s="102" t="e">
        <f t="shared" si="369"/>
        <v>#N/A</v>
      </c>
      <c r="AJ246" s="414" t="e">
        <f>IF(AND(AF246&gt;NDC!$C$63,AG246&gt;NDC!$C$65,AH246&gt;NDC!$D$73,AI246&gt;NDC!$D$74,$B246&gt;NDC!$H$22-0.1+MIN(3*$AJ$12,1.5)),0,1)</f>
        <v>#N/A</v>
      </c>
      <c r="AK246" s="86" t="b">
        <f t="shared" si="339"/>
        <v>0</v>
      </c>
      <c r="AL246" s="86">
        <f t="shared" si="370"/>
        <v>0.5</v>
      </c>
      <c r="AM246" s="86">
        <f t="shared" si="340"/>
        <v>0.5</v>
      </c>
      <c r="AN246" s="30" t="e">
        <f t="shared" ca="1" si="371"/>
        <v>#DIV/0!</v>
      </c>
      <c r="AO246" s="85" t="e">
        <f ca="1">IF(U246&lt;=Hypothèses!$V$7,Hypothèses!$W$7,IF(U246&lt;=Hypothèses!$V$8,Hypothèses!$W$8,IF(U246&lt;=Hypothèses!$V$9,Hypothèses!$W$9,IF(U246&lt;=Hypothèses!$V$10,Hypothèses!$W$10,IF(U246&lt;=Hypothèses!$V$11,Hypothèses!$W$11,IF(U246&lt;=Hypothèses!$V$12,Hypothèses!$W$12,IF(U246&lt;=Hypothèses!$V$13,Hypothèses!$W$13,IF(U246&lt;=Hypothèses!$V$14,Hypothèses!$W$14,IF(U246&lt;=Hypothèses!$V$15,Hypothèses!$W$15,IF(U246&lt;=Hypothèses!$V$16,Hypothèses!$W$16,IF(U246&lt;=Hypothèses!$V$17,Hypothèses!$W$17,IF(U246&lt;=Hypothèses!$V$18,Hypothèses!$W$18,""))))))))))))</f>
        <v>#DIV/0!</v>
      </c>
      <c r="AP246" s="87" t="e">
        <f t="shared" ca="1" si="417"/>
        <v>#DIV/0!</v>
      </c>
      <c r="AQ246" s="88" t="e">
        <f ca="1">IF(U246&lt;=Hypothèses!$V$7,Hypothèses!$X$7,IF(U246&lt;=Hypothèses!$V$8,Hypothèses!$X$8,IF(U246&lt;=Hypothèses!$V$9,Hypothèses!$X$9,IF(U246&lt;=Hypothèses!$V$10,Hypothèses!$X$10,IF(U246&lt;=Hypothèses!$V$11,Hypothèses!$X$11,IF(U246&lt;=Hypothèses!$V$12,Hypothèses!$X$12,IF(U246&lt;=Hypothèses!$V$13,Hypothèses!$X$13,IF(U246&lt;=Hypothèses!$V$14,Hypothèses!$X$14,IF(U246&lt;=Hypothèses!$V$15,Hypothèses!$X$15,IF(U246&lt;=Hypothèses!$V$16,Hypothèses!$X$16,IF(U246&lt;=Hypothèses!$U$17,Hypothèses!$W$17,IF(U246&lt;=Hypothèses!$U$18,Hypothèses!$W$18,""))))))))))))</f>
        <v>#DIV/0!</v>
      </c>
      <c r="AR246" s="95" t="e">
        <f t="shared" ca="1" si="372"/>
        <v>#DIV/0!</v>
      </c>
      <c r="AS246" s="101">
        <f t="shared" si="424"/>
        <v>0</v>
      </c>
      <c r="AT246" s="91">
        <f t="shared" si="341"/>
        <v>0</v>
      </c>
      <c r="AU246" s="30" t="e">
        <f t="shared" si="402"/>
        <v>#N/A</v>
      </c>
      <c r="AV246" s="30" t="e">
        <f t="shared" si="403"/>
        <v>#N/A</v>
      </c>
      <c r="AW246" s="31" t="e">
        <f>IF(OR(Hypothèses!$B$4=17,Hypothèses!$B$4=18,Hypothèses!$B$4=19,Hypothèses!$B$4=20),
IF($D246="Pressio.",
IF(OR($E246=3,$E246=1,$E246=4),AV246,AU246),
IF($D246="Pénétro.",
IF(OR($E246=3,$E246=1,$E246=4),AV246,AU246))),IF($D246="Pressio.",
IF($E246=3,AV246,AU246),
IF($D246="Pénétro.",
IF($E246=4,AV246,AU246))))</f>
        <v>#N/A</v>
      </c>
      <c r="AX246" s="31">
        <v>0</v>
      </c>
      <c r="AY246" s="102" t="e">
        <f>IF(NDC!$H$10="Oui",(VLOOKUP($B$3,'Coeff EC7'!$T$39:$X$59,2,0)*AW246+VLOOKUP($B$3,'Coeff EC7'!$T$65:$X$85,2,0)*Model0.1T!AX246)/1.5,PI()*AU$12*$Q246*($B246-$B245)*0.15/10+AY245)</f>
        <v>#N/A</v>
      </c>
      <c r="AZ246" s="102" t="e">
        <f>(VLOOKUP($B$3,'Coeff EC7'!$T$39:$X$59,3,0)*AW246+VLOOKUP($B$3,'Coeff EC7'!$T$65:$X$85,3,0)*Model0.1T!AX246)/1.1</f>
        <v>#N/A</v>
      </c>
      <c r="BA246" s="102" t="e">
        <f t="shared" si="373"/>
        <v>#N/A</v>
      </c>
      <c r="BB246" s="102" t="e">
        <f t="shared" si="374"/>
        <v>#N/A</v>
      </c>
      <c r="BC246" s="414" t="e">
        <f>IF(AND(AY246&gt;NDC!$C$63,AZ246&gt;NDC!$C$65,BA246&gt;NDC!$D$73,BB246&gt;NDC!$D$74,$B246&gt;NDC!$H$22-0.1+MIN(3*BC$12,1.5)),0,1)</f>
        <v>#N/A</v>
      </c>
      <c r="BD246" s="86" t="b">
        <f t="shared" si="342"/>
        <v>0</v>
      </c>
      <c r="BE246" s="86">
        <f t="shared" si="375"/>
        <v>0.5</v>
      </c>
      <c r="BF246" s="86">
        <f t="shared" si="343"/>
        <v>0.5</v>
      </c>
      <c r="BG246" s="30" t="e">
        <f t="shared" ca="1" si="376"/>
        <v>#DIV/0!</v>
      </c>
      <c r="BH246" s="85" t="e">
        <f ca="1">IF(AN246&lt;=Hypothèses!$V$7,Hypothèses!$W$7,IF(AN246&lt;=Hypothèses!$V$8,Hypothèses!$W$8,IF(AN246&lt;=Hypothèses!$V$9,Hypothèses!$W$9,IF(AN246&lt;=Hypothèses!$V$10,Hypothèses!$W$10,IF(AN246&lt;=Hypothèses!$V$11,Hypothèses!$W$11,IF(AN246&lt;=Hypothèses!$V$12,Hypothèses!$W$12,IF(AN246&lt;=Hypothèses!$V$13,Hypothèses!$W$13,IF(AN246&lt;=Hypothèses!$V$14,Hypothèses!$W$14,IF(AN246&lt;=Hypothèses!$V$15,Hypothèses!$W$15,IF(AN246&lt;=Hypothèses!$V$16,Hypothèses!$W$16,IF(AN246&lt;=Hypothèses!$V$17,Hypothèses!$W$17,IF(AN246&lt;=Hypothèses!$V$18,Hypothèses!$W$18,""))))))))))))</f>
        <v>#DIV/0!</v>
      </c>
      <c r="BI246" s="87" t="e">
        <f t="shared" ca="1" si="418"/>
        <v>#DIV/0!</v>
      </c>
      <c r="BJ246" s="88" t="e">
        <f ca="1">IF(AN246&lt;=Hypothèses!$V$7,Hypothèses!$X$7,IF(AN246&lt;=Hypothèses!$V$8,Hypothèses!$X$8,IF(AN246&lt;=Hypothèses!$V$9,Hypothèses!$X$9,IF(AN246&lt;=Hypothèses!$V$10,Hypothèses!$X$10,IF(AN246&lt;=Hypothèses!$V$11,Hypothèses!$X$11,IF(AN246&lt;=Hypothèses!$V$12,Hypothèses!$X$12,IF(AN246&lt;=Hypothèses!$V$13,Hypothèses!$X$13,IF(AN246&lt;=Hypothèses!$V$14,Hypothèses!$X$14,IF(AN246&lt;=Hypothèses!$V$15,Hypothèses!$X$15,IF(AN246&lt;=Hypothèses!$V$16,Hypothèses!$X$16,IF(AN246&lt;=Hypothèses!$U$17,Hypothèses!$W$17,IF(AN246&lt;=Hypothèses!$U$18,Hypothèses!$W$18,""))))))))))))</f>
        <v>#DIV/0!</v>
      </c>
      <c r="BK246" s="95" t="e">
        <f t="shared" ca="1" si="377"/>
        <v>#DIV/0!</v>
      </c>
      <c r="BL246" s="101">
        <f t="shared" si="425"/>
        <v>0</v>
      </c>
      <c r="BM246" s="91">
        <f t="shared" si="344"/>
        <v>0</v>
      </c>
      <c r="BN246" s="30" t="e">
        <f t="shared" si="404"/>
        <v>#N/A</v>
      </c>
      <c r="BO246" s="30" t="e">
        <f t="shared" si="405"/>
        <v>#N/A</v>
      </c>
      <c r="BP246" s="31" t="e">
        <f>IF(OR(Hypothèses!$B$4=17,Hypothèses!$B$4=18,Hypothèses!$B$4=19,Hypothèses!$B$4=20),
IF($D246="Pressio.",
IF(OR($E246=3,$E246=1,$E246=4),BO246,BN246),
IF($D246="Pénétro.",
IF(OR($E246=3,$E246=1,$E246=4),BO246,BN246))),IF($D246="Pressio.",
IF($E246=3,BO246,BN246),
IF($D246="Pénétro.",
IF($E246=4,BO246,BN246))))</f>
        <v>#N/A</v>
      </c>
      <c r="BQ246" s="31">
        <v>0</v>
      </c>
      <c r="BR246" s="102" t="e">
        <f>IF(NDC!$H$10="Oui",(VLOOKUP($B$3,'Coeff EC7'!$T$39:$X$59,2,0)*BP246+VLOOKUP($B$3,'Coeff EC7'!$T$65:$X$85,2,0)*Model0.1T!BQ246)/1.5,PI()*BN$12*$Q246*($B246-$B245)*0.15/10+BR245)</f>
        <v>#N/A</v>
      </c>
      <c r="BS246" s="102" t="e">
        <f>(VLOOKUP($B$3,'Coeff EC7'!$T$39:$X$59,3,0)*BP246+VLOOKUP($B$3,'Coeff EC7'!$T$65:$X$85,3,0)*Model0.1T!BQ246)/1.1</f>
        <v>#N/A</v>
      </c>
      <c r="BT246" s="102" t="e">
        <f t="shared" si="378"/>
        <v>#N/A</v>
      </c>
      <c r="BU246" s="102" t="e">
        <f t="shared" si="379"/>
        <v>#N/A</v>
      </c>
      <c r="BV246" s="414" t="e">
        <f>IF(AND(BR246&gt;NDC!$C$63,BS246&gt;NDC!$C$65,BT246&gt;NDC!$D$73,BU246&gt;NDC!$D$74,$B246&gt;NDC!$H$22-0.1+MIN(3*BV$12,1.5)),0,1)</f>
        <v>#N/A</v>
      </c>
      <c r="BW246" s="86" t="b">
        <f t="shared" si="345"/>
        <v>0</v>
      </c>
      <c r="BX246" s="86">
        <f t="shared" si="346"/>
        <v>0.5</v>
      </c>
      <c r="BY246" s="86">
        <f t="shared" si="347"/>
        <v>0.5</v>
      </c>
      <c r="BZ246" s="30" t="e">
        <f t="shared" ca="1" si="380"/>
        <v>#DIV/0!</v>
      </c>
      <c r="CA246" s="85" t="e">
        <f ca="1">IF(BG246&lt;=Hypothèses!$V$7,Hypothèses!$W$7,IF(BG246&lt;=Hypothèses!$V$8,Hypothèses!$W$8,IF(BG246&lt;=Hypothèses!$V$9,Hypothèses!$W$9,IF(BG246&lt;=Hypothèses!$V$10,Hypothèses!$W$10,IF(BG246&lt;=Hypothèses!$V$11,Hypothèses!$W$11,IF(BG246&lt;=Hypothèses!$V$12,Hypothèses!$W$12,IF(BG246&lt;=Hypothèses!$V$13,Hypothèses!$W$13,IF(BG246&lt;=Hypothèses!$V$14,Hypothèses!$W$14,IF(BG246&lt;=Hypothèses!$V$15,Hypothèses!$W$15,IF(BG246&lt;=Hypothèses!$V$16,Hypothèses!$W$16,IF(BG246&lt;=Hypothèses!$V$17,Hypothèses!$W$17,IF(BG246&lt;=Hypothèses!$V$18,Hypothèses!$W$18,""))))))))))))</f>
        <v>#DIV/0!</v>
      </c>
      <c r="CB246" s="87" t="e">
        <f t="shared" ca="1" si="419"/>
        <v>#DIV/0!</v>
      </c>
      <c r="CC246" s="88" t="e">
        <f ca="1">IF(BG246&lt;=Hypothèses!$V$7,Hypothèses!$X$7,IF(BG246&lt;=Hypothèses!$V$8,Hypothèses!$X$8,IF(BG246&lt;=Hypothèses!$V$9,Hypothèses!$X$9,IF(BG246&lt;=Hypothèses!$V$10,Hypothèses!$X$10,IF(BG246&lt;=Hypothèses!$V$11,Hypothèses!$X$11,IF(BG246&lt;=Hypothèses!$V$12,Hypothèses!$X$12,IF(BG246&lt;=Hypothèses!$V$13,Hypothèses!$X$13,IF(BG246&lt;=Hypothèses!$V$14,Hypothèses!$X$14,IF(BG246&lt;=Hypothèses!$V$15,Hypothèses!$X$15,IF(BG246&lt;=Hypothèses!$V$16,Hypothèses!$X$16,IF(BG246&lt;=Hypothèses!$U$17,Hypothèses!$W$17,IF(BG246&lt;=Hypothèses!$U$18,Hypothèses!$W$18,""))))))))))))</f>
        <v>#DIV/0!</v>
      </c>
      <c r="CD246" s="95" t="e">
        <f t="shared" ca="1" si="381"/>
        <v>#DIV/0!</v>
      </c>
      <c r="CE246" s="101">
        <f t="shared" si="426"/>
        <v>0</v>
      </c>
      <c r="CF246" s="91">
        <f t="shared" si="348"/>
        <v>0</v>
      </c>
      <c r="CG246" s="30" t="e">
        <f t="shared" si="406"/>
        <v>#N/A</v>
      </c>
      <c r="CH246" s="30" t="e">
        <f t="shared" si="407"/>
        <v>#N/A</v>
      </c>
      <c r="CI246" s="31" t="e">
        <f>IF(OR(Hypothèses!$B$4=17,Hypothèses!$B$4=18,Hypothèses!$B$4=19,Hypothèses!$B$4=20),
IF($D246="Pressio.",
IF(OR($E246=3,$E246=1,$E246=4),CH246,CG246),
IF($D246="Pénétro.",
IF(OR($E246=3,$E246=1,$E246=4),CH246,CG246))),IF($D246="Pressio.",
IF($E246=3,CH246,CG246),
IF($D246="Pénétro.",
IF($E246=4,CH246,CG246))))</f>
        <v>#N/A</v>
      </c>
      <c r="CJ246" s="31">
        <v>0</v>
      </c>
      <c r="CK246" s="102" t="e">
        <f>IF(NDC!$H$10="Oui",(VLOOKUP($B$3,'Coeff EC7'!$T$39:$X$59,2,0)*CI246+VLOOKUP($B$3,'Coeff EC7'!$T$65:$X$85,2,0)*Model0.1T!CJ246)/1.5,PI()*CG$12*$Q246*($B246-$B245)*0.15/10+CK245)</f>
        <v>#N/A</v>
      </c>
      <c r="CL246" s="102" t="e">
        <f>(VLOOKUP($B$3,'Coeff EC7'!$T$39:$X$59,3,0)*CI246+VLOOKUP($B$3,'Coeff EC7'!$T$65:$X$85,3,0)*Model0.1T!CJ246)/1.1</f>
        <v>#N/A</v>
      </c>
      <c r="CM246" s="102" t="e">
        <f t="shared" si="382"/>
        <v>#N/A</v>
      </c>
      <c r="CN246" s="102" t="e">
        <f t="shared" si="383"/>
        <v>#N/A</v>
      </c>
      <c r="CO246" s="414" t="e">
        <f>IF(AND(CK246&gt;NDC!$C$63,CL246&gt;NDC!$C$65,CM246&gt;NDC!$D$73,CN246&gt;NDC!$D$74,$B246&gt;NDC!$H$22-0.1+MIN(3*CO$12,1.5)),0,1)</f>
        <v>#N/A</v>
      </c>
      <c r="CP246" s="86" t="b">
        <f t="shared" si="349"/>
        <v>0</v>
      </c>
      <c r="CQ246" s="86">
        <f t="shared" si="350"/>
        <v>0.5</v>
      </c>
      <c r="CR246" s="86">
        <f t="shared" si="351"/>
        <v>0.5</v>
      </c>
      <c r="CS246" s="30" t="e">
        <f t="shared" ca="1" si="384"/>
        <v>#DIV/0!</v>
      </c>
      <c r="CT246" s="85" t="e">
        <f ca="1">IF(BZ246&lt;=Hypothèses!$V$7,Hypothèses!$W$7,IF(BZ246&lt;=Hypothèses!$V$8,Hypothèses!$W$8,IF(BZ246&lt;=Hypothèses!$V$9,Hypothèses!$W$9,IF(BZ246&lt;=Hypothèses!$V$10,Hypothèses!$W$10,IF(BZ246&lt;=Hypothèses!$V$11,Hypothèses!$W$11,IF(BZ246&lt;=Hypothèses!$V$12,Hypothèses!$W$12,IF(BZ246&lt;=Hypothèses!$V$13,Hypothèses!$W$13,IF(BZ246&lt;=Hypothèses!$V$14,Hypothèses!$W$14,IF(BZ246&lt;=Hypothèses!$V$15,Hypothèses!$W$15,IF(BZ246&lt;=Hypothèses!$V$16,Hypothèses!$W$16,IF(BZ246&lt;=Hypothèses!$V$17,Hypothèses!$W$17,IF(BZ246&lt;=Hypothèses!$V$18,Hypothèses!$W$18,""))))))))))))</f>
        <v>#DIV/0!</v>
      </c>
      <c r="CU246" s="87" t="e">
        <f t="shared" ca="1" si="420"/>
        <v>#DIV/0!</v>
      </c>
      <c r="CV246" s="88" t="e">
        <f ca="1">IF(BZ246&lt;=Hypothèses!$V$7,Hypothèses!$X$7,IF(BZ246&lt;=Hypothèses!$V$8,Hypothèses!$X$8,IF(BZ246&lt;=Hypothèses!$V$9,Hypothèses!$X$9,IF(BZ246&lt;=Hypothèses!$V$10,Hypothèses!$X$10,IF(BZ246&lt;=Hypothèses!$V$11,Hypothèses!$X$11,IF(BZ246&lt;=Hypothèses!$V$12,Hypothèses!$X$12,IF(BZ246&lt;=Hypothèses!$V$13,Hypothèses!$X$13,IF(BZ246&lt;=Hypothèses!$V$14,Hypothèses!$X$14,IF(BZ246&lt;=Hypothèses!$V$15,Hypothèses!$X$15,IF(BZ246&lt;=Hypothèses!$V$16,Hypothèses!$X$16,IF(BZ246&lt;=Hypothèses!$U$17,Hypothèses!$W$17,IF(BZ246&lt;=Hypothèses!$U$18,Hypothèses!$W$18,""))))))))))))</f>
        <v>#DIV/0!</v>
      </c>
      <c r="CW246" s="95" t="e">
        <f t="shared" ca="1" si="385"/>
        <v>#DIV/0!</v>
      </c>
      <c r="CX246" s="101">
        <f t="shared" si="427"/>
        <v>0</v>
      </c>
      <c r="CY246" s="91">
        <f t="shared" si="352"/>
        <v>0</v>
      </c>
      <c r="CZ246" s="30" t="e">
        <f t="shared" si="408"/>
        <v>#N/A</v>
      </c>
      <c r="DA246" s="30" t="e">
        <f t="shared" si="409"/>
        <v>#N/A</v>
      </c>
      <c r="DB246" s="31" t="e">
        <f>IF(OR(Hypothèses!$B$4=17,Hypothèses!$B$4=18,Hypothèses!$B$4=19,Hypothèses!$B$4=20),
IF($D246="Pressio.",
IF(OR($E246=3,$E246=1,$E246=4),DA246,CZ246),
IF($D246="Pénétro.",
IF(OR($E246=3,$E246=1,$E246=4),DA246,CZ246))),IF($D246="Pressio.",
IF($E246=3,DA246,CZ246),
IF($D246="Pénétro.",
IF($E246=4,DA246,CZ246))))</f>
        <v>#N/A</v>
      </c>
      <c r="DC246" s="31">
        <v>0</v>
      </c>
      <c r="DD246" s="102" t="e">
        <f>IF(NDC!$H$10="Oui",(VLOOKUP($B$3,'Coeff EC7'!$T$39:$X$59,2,0)*DB246+VLOOKUP($B$3,'Coeff EC7'!$T$65:$X$85,2,0)*Model0.1T!DC246)/1.5,PI()*CZ$12*$Q246*($B246-$B245)*0.15/10+DD245)</f>
        <v>#N/A</v>
      </c>
      <c r="DE246" s="102" t="e">
        <f>(VLOOKUP($B$3,'Coeff EC7'!$T$39:$X$59,3,0)*DB246+VLOOKUP($B$3,'Coeff EC7'!$T$65:$X$85,3,0)*Model0.1T!DC246)/1.1</f>
        <v>#N/A</v>
      </c>
      <c r="DF246" s="102" t="e">
        <f t="shared" si="386"/>
        <v>#N/A</v>
      </c>
      <c r="DG246" s="102" t="e">
        <f t="shared" si="387"/>
        <v>#N/A</v>
      </c>
      <c r="DH246" s="414" t="e">
        <f>IF(AND(DD246&gt;NDC!$C$63,DE246&gt;NDC!$C$65,DF246&gt;NDC!$D$73,DG246&gt;NDC!$D$74,$B246&gt;NDC!$H$22-0.1+MIN(3*DH$12,1.5)),0,1)</f>
        <v>#N/A</v>
      </c>
      <c r="DI246" s="86" t="b">
        <f t="shared" si="353"/>
        <v>0</v>
      </c>
      <c r="DJ246" s="86">
        <f t="shared" si="354"/>
        <v>0.5</v>
      </c>
      <c r="DK246" s="86">
        <f t="shared" si="355"/>
        <v>0.5</v>
      </c>
      <c r="DL246" s="30" t="e">
        <f t="shared" ca="1" si="388"/>
        <v>#DIV/0!</v>
      </c>
      <c r="DM246" s="85" t="e">
        <f ca="1">IF(CS246&lt;=Hypothèses!$V$7,Hypothèses!$W$7,IF(CS246&lt;=Hypothèses!$V$8,Hypothèses!$W$8,IF(CS246&lt;=Hypothèses!$V$9,Hypothèses!$W$9,IF(CS246&lt;=Hypothèses!$V$10,Hypothèses!$W$10,IF(CS246&lt;=Hypothèses!$V$11,Hypothèses!$W$11,IF(CS246&lt;=Hypothèses!$V$12,Hypothèses!$W$12,IF(CS246&lt;=Hypothèses!$V$13,Hypothèses!$W$13,IF(CS246&lt;=Hypothèses!$V$14,Hypothèses!$W$14,IF(CS246&lt;=Hypothèses!$V$15,Hypothèses!$W$15,IF(CS246&lt;=Hypothèses!$V$16,Hypothèses!$W$16,IF(CS246&lt;=Hypothèses!$V$17,Hypothèses!$W$17,IF(CS246&lt;=Hypothèses!$V$18,Hypothèses!$W$18,""))))))))))))</f>
        <v>#DIV/0!</v>
      </c>
      <c r="DN246" s="87" t="e">
        <f t="shared" ca="1" si="421"/>
        <v>#DIV/0!</v>
      </c>
      <c r="DO246" s="88" t="e">
        <f ca="1">IF(CS246&lt;=Hypothèses!$V$7,Hypothèses!$X$7,IF(CS246&lt;=Hypothèses!$V$8,Hypothèses!$X$8,IF(CS246&lt;=Hypothèses!$V$9,Hypothèses!$X$9,IF(CS246&lt;=Hypothèses!$V$10,Hypothèses!$X$10,IF(CS246&lt;=Hypothèses!$V$11,Hypothèses!$X$11,IF(CS246&lt;=Hypothèses!$V$12,Hypothèses!$X$12,IF(CS246&lt;=Hypothèses!$V$13,Hypothèses!$X$13,IF(CS246&lt;=Hypothèses!$V$14,Hypothèses!$X$14,IF(CS246&lt;=Hypothèses!$V$15,Hypothèses!$X$15,IF(CS246&lt;=Hypothèses!$V$16,Hypothèses!$X$16,IF(CS246&lt;=Hypothèses!$U$17,Hypothèses!$W$17,IF(CS246&lt;=Hypothèses!$U$18,Hypothèses!$W$18,""))))))))))))</f>
        <v>#DIV/0!</v>
      </c>
      <c r="DP246" s="95" t="e">
        <f t="shared" ca="1" si="389"/>
        <v>#DIV/0!</v>
      </c>
      <c r="DQ246" s="101">
        <f t="shared" si="428"/>
        <v>0</v>
      </c>
      <c r="DR246" s="91">
        <f t="shared" si="356"/>
        <v>0</v>
      </c>
      <c r="DS246" s="30" t="e">
        <f t="shared" si="410"/>
        <v>#N/A</v>
      </c>
      <c r="DT246" s="30" t="e">
        <f t="shared" si="411"/>
        <v>#N/A</v>
      </c>
      <c r="DU246" s="31" t="e">
        <f>IF(OR(Hypothèses!$B$4=17,Hypothèses!$B$4=18,Hypothèses!$B$4=19,Hypothèses!$B$4=20),
IF($D246="Pressio.",
IF(OR($E246=3,$E246=1,$E246=4),DT246,DS246),
IF($D246="Pénétro.",
IF(OR($E246=3,$E246=1,$E246=4),DT246,DS246))),IF($D246="Pressio.",
IF($E246=3,DT246,DS246),
IF($D246="Pénétro.",
IF($E246=4,DT246,DS246))))</f>
        <v>#N/A</v>
      </c>
      <c r="DV246" s="31">
        <v>0</v>
      </c>
      <c r="DW246" s="102" t="e">
        <f>IF(NDC!$H$10="Oui",(VLOOKUP($B$3,'Coeff EC7'!$T$39:$X$59,2,0)*DU246+VLOOKUP($B$3,'Coeff EC7'!$T$65:$X$85,2,0)*Model0.1T!DV246)/1.5,PI()*DS$12*$Q246*($B246-$B245)*0.15/10+DW245)</f>
        <v>#N/A</v>
      </c>
      <c r="DX246" s="102" t="e">
        <f>(VLOOKUP($B$3,'Coeff EC7'!$T$39:$X$59,3,0)*DU246+VLOOKUP($B$3,'Coeff EC7'!$T$65:$X$85,3,0)*Model0.1T!DV246)/1.1</f>
        <v>#N/A</v>
      </c>
      <c r="DY246" s="102" t="e">
        <f t="shared" si="390"/>
        <v>#N/A</v>
      </c>
      <c r="DZ246" s="102" t="e">
        <f t="shared" si="391"/>
        <v>#N/A</v>
      </c>
      <c r="EA246" s="414" t="e">
        <f>IF(AND(DW246&gt;NDC!$C$63,DX246&gt;NDC!$C$65,DY246&gt;NDC!$D$73,DZ246&gt;NDC!$D$74,$B246&gt;NDC!$H$22-0.1+MIN(3*EA$12,1.5)),0,1)</f>
        <v>#N/A</v>
      </c>
      <c r="EB246" s="86" t="b">
        <f t="shared" si="357"/>
        <v>0</v>
      </c>
      <c r="EC246" s="418">
        <f t="shared" si="358"/>
        <v>0.51</v>
      </c>
      <c r="ED246" s="86">
        <f t="shared" si="359"/>
        <v>0.51</v>
      </c>
      <c r="EE246" s="30" t="e">
        <f t="shared" ca="1" si="392"/>
        <v>#DIV/0!</v>
      </c>
      <c r="EF246" s="85" t="e">
        <f ca="1">IF(DL246&lt;=Hypothèses!$V$7,Hypothèses!$W$7,IF(DL246&lt;=Hypothèses!$V$8,Hypothèses!$W$8,IF(DL246&lt;=Hypothèses!$V$9,Hypothèses!$W$9,IF(DL246&lt;=Hypothèses!$V$10,Hypothèses!$W$10,IF(DL246&lt;=Hypothèses!$V$11,Hypothèses!$W$11,IF(DL246&lt;=Hypothèses!$V$12,Hypothèses!$W$12,IF(DL246&lt;=Hypothèses!$V$13,Hypothèses!$W$13,IF(DL246&lt;=Hypothèses!$V$14,Hypothèses!$W$14,IF(DL246&lt;=Hypothèses!$V$15,Hypothèses!$W$15,IF(DL246&lt;=Hypothèses!$V$16,Hypothèses!$W$16,IF(DL246&lt;=Hypothèses!$V$17,Hypothèses!$W$17,IF(DL246&lt;=Hypothèses!$V$18,Hypothèses!$W$18,""))))))))))))</f>
        <v>#DIV/0!</v>
      </c>
      <c r="EG246" s="87" t="e">
        <f t="shared" ca="1" si="422"/>
        <v>#DIV/0!</v>
      </c>
      <c r="EH246" s="88" t="e">
        <f ca="1">IF(DL246&lt;=Hypothèses!$V$7,Hypothèses!$X$7,IF(DL246&lt;=Hypothèses!$V$8,Hypothèses!$X$8,IF(DL246&lt;=Hypothèses!$V$9,Hypothèses!$X$9,IF(DL246&lt;=Hypothèses!$V$10,Hypothèses!$X$10,IF(DL246&lt;=Hypothèses!$V$11,Hypothèses!$X$11,IF(DL246&lt;=Hypothèses!$V$12,Hypothèses!$X$12,IF(DL246&lt;=Hypothèses!$V$13,Hypothèses!$X$13,IF(DL246&lt;=Hypothèses!$V$14,Hypothèses!$X$14,IF(DL246&lt;=Hypothèses!$V$15,Hypothèses!$X$15,IF(DL246&lt;=Hypothèses!$V$16,Hypothèses!$X$16,IF(DL246&lt;=Hypothèses!$U$17,Hypothèses!$W$17,IF(DL246&lt;=Hypothèses!$U$18,Hypothèses!$W$18,""))))))))))))</f>
        <v>#DIV/0!</v>
      </c>
      <c r="EI246" s="95" t="e">
        <f t="shared" ca="1" si="393"/>
        <v>#DIV/0!</v>
      </c>
      <c r="EJ246" s="101">
        <f t="shared" si="429"/>
        <v>0</v>
      </c>
      <c r="EK246" s="91">
        <f t="shared" si="360"/>
        <v>0</v>
      </c>
      <c r="EL246" s="30" t="e">
        <f t="shared" si="412"/>
        <v>#N/A</v>
      </c>
      <c r="EM246" s="30" t="e">
        <f t="shared" si="413"/>
        <v>#N/A</v>
      </c>
      <c r="EN246" s="31" t="e">
        <f>IF(OR(Hypothèses!$B$4=17,Hypothèses!$B$4=18,Hypothèses!$B$4=19,Hypothèses!$B$4=20),
IF($D246="Pressio.",
IF(OR($E246=3,$E246=1,$E246=4),EM246,EL246),
IF($D246="Pénétro.",
IF(OR($E246=3,$E246=1,$E246=4),EM246,EL246))),IF($D246="Pressio.",
IF($E246=3,EM246,EL246),
IF($D246="Pénétro.",
IF($E246=4,EM246,EL246))))</f>
        <v>#N/A</v>
      </c>
      <c r="EO246" s="31">
        <v>0</v>
      </c>
      <c r="EP246" s="102" t="e">
        <f>IF(NDC!$H$10="Oui",(VLOOKUP($B$3,'Coeff EC7'!$T$39:$X$59,2,0)*EN246+VLOOKUP($B$3,'Coeff EC7'!$T$65:$X$85,2,0)*Model0.1T!EO246)/1.5,PI()*EL$12*$Q246*($B246-$B245)*0.15/10+EP245)</f>
        <v>#N/A</v>
      </c>
      <c r="EQ246" s="102" t="e">
        <f>(VLOOKUP($B$3,'Coeff EC7'!$T$39:$X$59,3,0)*EN246+VLOOKUP($B$3,'Coeff EC7'!$T$65:$X$85,3,0)*Model0.1T!EO246)/1.1</f>
        <v>#N/A</v>
      </c>
      <c r="ER246" s="102" t="e">
        <f t="shared" si="394"/>
        <v>#N/A</v>
      </c>
      <c r="ES246" s="102" t="e">
        <f t="shared" si="395"/>
        <v>#N/A</v>
      </c>
      <c r="ET246" s="414" t="e">
        <f>IF(AND(EP246&gt;NDC!$C$63,EQ246&gt;NDC!$C$65,ER246&gt;NDC!$D$73,ES246&gt;NDC!$D$74,$B246&gt;NDC!$H$22-0.1+MIN(3*ET$12,1.5)),0,1)</f>
        <v>#N/A</v>
      </c>
      <c r="EU246" s="86" t="b">
        <f t="shared" si="361"/>
        <v>0</v>
      </c>
      <c r="EV246" s="86">
        <f t="shared" si="362"/>
        <v>0.61</v>
      </c>
      <c r="EW246" s="86">
        <f t="shared" si="363"/>
        <v>0.61</v>
      </c>
      <c r="EX246" s="30" t="e">
        <f t="shared" ca="1" si="396"/>
        <v>#DIV/0!</v>
      </c>
      <c r="EY246" s="85" t="e">
        <f ca="1">IF(EE246&lt;=Hypothèses!$V$7,Hypothèses!$W$7,IF(EE246&lt;=Hypothèses!$V$8,Hypothèses!$W$8,IF(EE246&lt;=Hypothèses!$V$9,Hypothèses!$W$9,IF(EE246&lt;=Hypothèses!$V$10,Hypothèses!$W$10,IF(EE246&lt;=Hypothèses!$V$11,Hypothèses!$W$11,IF(EE246&lt;=Hypothèses!$V$12,Hypothèses!$W$12,IF(EE246&lt;=Hypothèses!$V$13,Hypothèses!$W$13,IF(EE246&lt;=Hypothèses!$V$14,Hypothèses!$W$14,IF(EE246&lt;=Hypothèses!$V$15,Hypothèses!$W$15,IF(EE246&lt;=Hypothèses!$V$16,Hypothèses!$W$16,IF(EE246&lt;=Hypothèses!$V$17,Hypothèses!$W$17,IF(EE246&lt;=Hypothèses!$V$18,Hypothèses!$W$18,""))))))))))))</f>
        <v>#DIV/0!</v>
      </c>
      <c r="EZ246" s="87" t="e">
        <f t="shared" ca="1" si="423"/>
        <v>#DIV/0!</v>
      </c>
      <c r="FA246" s="88" t="e">
        <f ca="1">IF(EE246&lt;=Hypothèses!$V$7,Hypothèses!$X$7,IF(EE246&lt;=Hypothèses!$V$8,Hypothèses!$X$8,IF(EE246&lt;=Hypothèses!$V$9,Hypothèses!$X$9,IF(EE246&lt;=Hypothèses!$V$10,Hypothèses!$X$10,IF(EE246&lt;=Hypothèses!$V$11,Hypothèses!$X$11,IF(EE246&lt;=Hypothèses!$V$12,Hypothèses!$X$12,IF(EE246&lt;=Hypothèses!$V$13,Hypothèses!$X$13,IF(EE246&lt;=Hypothèses!$V$14,Hypothèses!$X$14,IF(EE246&lt;=Hypothèses!$V$15,Hypothèses!$X$15,IF(EE246&lt;=Hypothèses!$V$16,Hypothèses!$X$16,IF(EE246&lt;=Hypothèses!$U$17,Hypothèses!$W$17,IF(EE246&lt;=Hypothèses!$U$18,Hypothèses!$W$18,""))))))))))))</f>
        <v>#DIV/0!</v>
      </c>
      <c r="FB246" s="95" t="e">
        <f t="shared" ca="1" si="397"/>
        <v>#DIV/0!</v>
      </c>
      <c r="FC246" s="101">
        <f t="shared" si="430"/>
        <v>0</v>
      </c>
      <c r="FD246" s="91">
        <f t="shared" si="364"/>
        <v>0</v>
      </c>
      <c r="FE246" s="30" t="e">
        <f t="shared" si="414"/>
        <v>#N/A</v>
      </c>
      <c r="FF246" s="30" t="e">
        <f t="shared" si="415"/>
        <v>#N/A</v>
      </c>
      <c r="FG246" s="31" t="e">
        <f>IF(OR(Hypothèses!$B$4=17,Hypothèses!$B$4=18,Hypothèses!$B$4=19,Hypothèses!$B$4=20),
IF($D246="Pressio.",
IF(OR($E246=3,$E246=1,$E246=4),FF246,FE246),
IF($D246="Pénétro.",
IF(OR($E246=3,$E246=1,$E246=4),FF246,FE246))),IF($D246="Pressio.",
IF($E246=3,FF246,FE246),
IF($D246="Pénétro.",
IF($E246=4,FF246,FE246))))</f>
        <v>#N/A</v>
      </c>
      <c r="FH246" s="31">
        <v>0</v>
      </c>
      <c r="FI246" s="102" t="e">
        <f>IF(NDC!$H$10="Oui",(VLOOKUP($B$3,'Coeff EC7'!$T$39:$X$59,2,0)*FG246+VLOOKUP($B$3,'Coeff EC7'!$T$65:$X$85,2,0)*Model0.1T!FH246)/1.5,PI()*FE$12*$Q246*($B246-$B245)*0.15/10+FI245)</f>
        <v>#N/A</v>
      </c>
      <c r="FJ246" s="102" t="e">
        <f>(VLOOKUP($B$3,'Coeff EC7'!$T$39:$X$59,3,0)*FG246+VLOOKUP($B$3,'Coeff EC7'!$T$65:$X$85,3,0)*Model0.1T!FH246)/1.1</f>
        <v>#N/A</v>
      </c>
      <c r="FK246" s="102" t="e">
        <f t="shared" si="398"/>
        <v>#N/A</v>
      </c>
      <c r="FL246" s="102" t="e">
        <f t="shared" si="399"/>
        <v>#N/A</v>
      </c>
      <c r="FM246" s="414" t="e">
        <f>IF(AND(FI246&gt;NDC!$C$63,FJ246&gt;NDC!$C$65,FK246&gt;NDC!$D$73,FL246&gt;NDC!$D$74,$B246&gt;NDC!$H$22-0.1+MIN(3*FM$12,1.5)),0,1)</f>
        <v>#N/A</v>
      </c>
    </row>
    <row r="247" spans="1:169">
      <c r="A247" s="96">
        <f t="shared" si="365"/>
        <v>76.60000000000133</v>
      </c>
      <c r="B247" s="97">
        <v>23.4</v>
      </c>
      <c r="C247" s="81">
        <f>IF(B247&lt;=Hypothèses!$C$7,Hypothèses!$A$7,IF(B247&lt;=Hypothèses!$C$8,Hypothèses!$A$8,IF(B247&lt;=Hypothèses!$C$9,Hypothèses!$A$9,IF(B247&lt;=Hypothèses!$C$10,Hypothèses!$A$10,IF(B247&lt;=Hypothèses!$C$11,Hypothèses!$A$11,IF(B247&lt;=Hypothèses!$C$12,Hypothèses!$A$12,IF(B247&lt;=Hypothèses!$C$13,Hypothèses!$A$13,IF(B247&lt;=Hypothèses!$C$14,Hypothèses!$A$14,IF(B247&lt;=Hypothèses!$C$15,Hypothèses!$A$15,IF(B247&lt;=Hypothèses!$C$16,Hypothèses!$A$16,IF(B247&lt;=Hypothèses!$C$17,Hypothèses!$A$17,IF(B247&lt;=Hypothèses!$C$18,Hypothèses!$A$18,C246))))))))))))</f>
        <v>11</v>
      </c>
      <c r="D247" s="82" t="str">
        <f>IF(B247&lt;=Hypothèses!$C$7,Hypothèses!$R$7,IF(B247&lt;=Hypothèses!$C$8,Hypothèses!$R$8,IF(B247&lt;=Hypothèses!$C$9,Hypothèses!$R$9,IF(B247&lt;=Hypothèses!$C$10,Hypothèses!$R$10,IF(B247&lt;=Hypothèses!$C$11,Hypothèses!$R$11,IF(B247&lt;=Hypothèses!$C$12,Hypothèses!$R$12,IF(B247&lt;=Hypothèses!$C$13,Hypothèses!$R$13,IF(B247&lt;=Hypothèses!$C$14,Hypothèses!$R$14,IF(B247&lt;=Hypothèses!$C$15,Hypothèses!$R$15,IF(B247&lt;=Hypothèses!$C$16,Hypothèses!$R$16,IF(B247&lt;=Hypothèses!$C$17,Hypothèses!$R$17,IF(B247&lt;=Hypothèses!$C$18,Hypothèses!$R$18,D246))))))))))))</f>
        <v>Pressio.</v>
      </c>
      <c r="E247" s="82" t="e">
        <f>IF(B247&lt;=Hypothèses!$C$7,Hypothèses!$G$7,IF(B247&lt;=Hypothèses!$C$8,Hypothèses!$G$8,IF(B247&lt;=Hypothèses!$C$9,Hypothèses!$G$9,IF(B247&lt;=Hypothèses!$C$10,Hypothèses!$G$10,IF(B247&lt;=Hypothèses!$C$11,Hypothèses!$G$11,IF(B247&lt;=Hypothèses!$C$12,Hypothèses!$G$12,IF(B247&lt;=Hypothèses!$C$13,Hypothèses!$G$13,IF(B247&lt;=Hypothèses!$C$14,Hypothèses!$G$14,IF(B247&lt;=Hypothèses!$C$15,Hypothèses!$G$15,IF(B247&lt;=Hypothèses!$C$16,Hypothèses!$G$16,IF(B247&lt;=Hypothèses!$C$17,Hypothèses!$G$17,IF(B247&lt;=Hypothèses!$C$18,Hypothèses!$G$18,E246))))))))))))</f>
        <v>#N/A</v>
      </c>
      <c r="F247" s="82" t="str">
        <f>IF(B247&lt;=Hypothèses!$C$7,Hypothèses!$F$7,IF(B247&lt;=Hypothèses!$C$8,Hypothèses!$F$8,IF(B247&lt;=Hypothèses!$C$9,Hypothèses!$F$9,IF(B247&lt;=Hypothèses!$C$10,Hypothèses!$F$10,IF(B247&lt;=Hypothèses!$C$11,Hypothèses!$F$11,IF(B247&lt;=Hypothèses!$C$12,Hypothèses!$F$12,IF(B247&lt;=Hypothèses!$C$13,Hypothèses!$F$13,IF(B247&lt;=Hypothèses!$C$14,Hypothèses!$F$14,IF(B247&lt;=Hypothèses!$C$15,Hypothèses!$F$15,IF(B247&lt;=Hypothèses!$C$16,Hypothèses!$F$16,IF(B247&lt;=Hypothèses!$C$17,Hypothèses!$F$17,IF(B247&lt;=Hypothèses!$C$18,Hypothèses!$F$18,F246))))))))))))</f>
        <v/>
      </c>
      <c r="G247" s="91">
        <f t="array" ref="G247">INDEX('Coeff EC7'!$U$7:$X$27,
MATCH(Model0.1T!$B$3,'Coeff EC7'!$T$7:$T$27,0),
MATCH(Model0.1T!$D247&amp;Model0.1T!$B$4,
'Coeff EC7'!$U$6:$X$6&amp;
'Coeff EC7'!$U$5:$X$5,0))</f>
        <v>1.4</v>
      </c>
      <c r="H247" s="91">
        <f t="array" ref="H247">INDEX('Coeff EC7'!$Y$7:$AB$27,
MATCH(Model0.1T!$B$3,'Coeff EC7'!$T$7:$T$27,0),
MATCH(Model0.1T!$D247&amp;Model0.1T!$B$4,
'Coeff EC7'!$Y$6:$AB$6&amp;
'Coeff EC7'!$Y$5:$AB$5,0))</f>
        <v>1.7</v>
      </c>
      <c r="I247" s="83">
        <v>0</v>
      </c>
      <c r="J247" s="91" t="e">
        <f t="array" ref="J247">INDEX('Coeff EC7'!$D$33:$Q$33,1,MATCH(D247&amp;E247,'Coeff EC7'!$D$31:$Q$31&amp;'Coeff EC7'!$D$32:$Q$32,0))</f>
        <v>#N/A</v>
      </c>
      <c r="K247" s="91" t="e">
        <f t="array" ref="K247">INDEX('Coeff EC7'!$D$34:$Q$34,1,MATCH(D247&amp;E247,'Coeff EC7'!$D$31:$Q$31&amp;'Coeff EC7'!$D$32:$Q$32,0))</f>
        <v>#N/A</v>
      </c>
      <c r="L247" s="91" t="e">
        <f t="array" ref="L247">INDEX('Coeff EC7'!$D$35:$Q$35,1,MATCH(D247&amp;E247,'Coeff EC7'!$D$31:$Q$31&amp;'Coeff EC7'!$D$32:$Q$32,0))</f>
        <v>#N/A</v>
      </c>
      <c r="M247" s="98" t="e">
        <f t="shared" si="331"/>
        <v>#N/A</v>
      </c>
      <c r="N247" s="99" t="e">
        <f t="array" ref="N247">INDEX('Coeff EC7'!$D$7:$Q$27,MATCH($B$3,'Coeff EC7'!$C$7:$C$27,0),MATCH(D247&amp;E247,'Coeff EC7'!$D$5:$Q$5&amp;'Coeff EC7'!$D$6:$Q$6,0))</f>
        <v>#N/A</v>
      </c>
      <c r="O247" s="99" t="e">
        <f t="array" ref="O247">INDEX('Coeff EC7'!$D$41:$Q$61,MATCH($B$3,'Coeff EC7'!$C$41:$C$61,0),MATCH(D247&amp;E247,'Coeff EC7'!$D$39:$Q$39&amp;'Coeff EC7'!$D$40:$Q$40,0))</f>
        <v>#N/A</v>
      </c>
      <c r="P247" s="30" t="e">
        <f t="shared" si="366"/>
        <v>#N/A</v>
      </c>
      <c r="Q247" s="100" t="e">
        <f t="shared" si="333"/>
        <v>#N/A</v>
      </c>
      <c r="R247" s="86" t="b">
        <f t="shared" si="334"/>
        <v>0</v>
      </c>
      <c r="S247" s="86">
        <f t="shared" si="332"/>
        <v>0.5</v>
      </c>
      <c r="T247" s="86">
        <f t="shared" si="335"/>
        <v>0.5</v>
      </c>
      <c r="U247" s="30" t="e">
        <f t="shared" ca="1" si="367"/>
        <v>#DIV/0!</v>
      </c>
      <c r="V247" s="85" t="str">
        <f>IF(B247&lt;=Hypothèses!$V$7,Hypothèses!$W$7,IF(B247&lt;=Hypothèses!$V$8,Hypothèses!$W$8,IF(B247&lt;=Hypothèses!$V$9,Hypothèses!$W$9,IF(B247&lt;=Hypothèses!$V$10,Hypothèses!$W$10,IF(B247&lt;=Hypothèses!$V$11,Hypothèses!$W$11,IF(B247&lt;=Hypothèses!$V$12,Hypothèses!$W$12,IF(B247&lt;=Hypothèses!$V$13,Hypothèses!$W$13,IF(B247&lt;=Hypothèses!$V$14,Hypothèses!$W$14,IF(B247&lt;=Hypothèses!$V$15,Hypothèses!$W$15,IF(B247&lt;=Hypothèses!$V$16,Hypothèses!$W$16,IF(B247&lt;=Hypothèses!$V$17,Hypothèses!$W$17,IF(B247&lt;=Hypothèses!$V$18,Hypothèses!$W$18,""))))))))))))</f>
        <v/>
      </c>
      <c r="W247" s="87" t="e">
        <f t="shared" ca="1" si="416"/>
        <v>#DIV/0!</v>
      </c>
      <c r="X247" s="88" t="str">
        <f>IF(B247&lt;=Hypothèses!$V$7,Hypothèses!$X$7,IF(B247&lt;=Hypothèses!$V$8,Hypothèses!$X$8,IF(B247&lt;=Hypothèses!$V$9,Hypothèses!$X$9,IF(B247&lt;=Hypothèses!$V$10,Hypothèses!$X$10,IF(B247&lt;=Hypothèses!$V$11,Hypothèses!$X$11,IF(B247&lt;=Hypothèses!$V$12,Hypothèses!$X$12,IF(B247&lt;=Hypothèses!$V$13,Hypothèses!$X$13,IF(B247&lt;=Hypothèses!$V$14,Hypothèses!$X$14,IF(B247&lt;=Hypothèses!$V$15,Hypothèses!$X$15,IF(B247&lt;=Hypothèses!$V$16,Hypothèses!$X$16,IF(B247&lt;=Hypothèses!$U$17,Hypothèses!$W$17,IF(B247&lt;=Hypothèses!$U$18,Hypothèses!$W$18,""))))))))))))</f>
        <v/>
      </c>
      <c r="Y247" s="95" t="e">
        <f t="shared" ca="1" si="336"/>
        <v>#DIV/0!</v>
      </c>
      <c r="Z247" s="101">
        <f t="shared" si="337"/>
        <v>0</v>
      </c>
      <c r="AA247" s="91">
        <f t="shared" si="338"/>
        <v>0</v>
      </c>
      <c r="AB247" s="30" t="e">
        <f t="shared" si="400"/>
        <v>#N/A</v>
      </c>
      <c r="AC247" s="30" t="e">
        <f t="shared" si="401"/>
        <v>#N/A</v>
      </c>
      <c r="AD247" s="31" t="e">
        <f>IF(OR(Hypothèses!$B$4=17,Hypothèses!$B$4=18,Hypothèses!$B$4=19,Hypothèses!$B$4=20),
IF($D247="Pressio.",
IF(OR($E247=3,$E247=1,$E247=4),AC247,AB247),
IF($D247="Pénétro.",
IF(OR($E247=3,$E247=1,$E247=4),AC247,AB247))),IF($D247="Pressio.",
IF($E247=3,AC247,AB247),
IF($D247="Pénétro.",
IF($E247=4,AC247,AB247))))</f>
        <v>#N/A</v>
      </c>
      <c r="AE247" s="31">
        <v>0</v>
      </c>
      <c r="AF247" s="102" t="e">
        <f>IF(NDC!$H$10="Oui",(VLOOKUP($B$3,'Coeff EC7'!$T$39:$X$59,2,0)*AD247+VLOOKUP($B$3,'Coeff EC7'!$T$65:$X$85,2,0)*Model0.1T!AE247)/1.5,PI()*AB$12*$Q247*($B247-$B246)*0.15/10+AF246)</f>
        <v>#N/A</v>
      </c>
      <c r="AG247" s="102" t="e">
        <f>(VLOOKUP($B$3,'Coeff EC7'!$T$39:$X$59,3,0)*AD247+VLOOKUP($B$3,'Coeff EC7'!$T$65:$X$85,3,0)*Model0.1T!AE247)/1.1</f>
        <v>#N/A</v>
      </c>
      <c r="AH247" s="102" t="e">
        <f t="shared" si="368"/>
        <v>#N/A</v>
      </c>
      <c r="AI247" s="102" t="e">
        <f t="shared" si="369"/>
        <v>#N/A</v>
      </c>
      <c r="AJ247" s="414" t="e">
        <f>IF(AND(AF247&gt;NDC!$C$63,AG247&gt;NDC!$C$65,AH247&gt;NDC!$D$73,AI247&gt;NDC!$D$74,$B247&gt;NDC!$H$22-0.1+MIN(3*$AJ$12,1.5)),0,1)</f>
        <v>#N/A</v>
      </c>
      <c r="AK247" s="86" t="b">
        <f t="shared" si="339"/>
        <v>0</v>
      </c>
      <c r="AL247" s="86">
        <f t="shared" si="370"/>
        <v>0.5</v>
      </c>
      <c r="AM247" s="86">
        <f t="shared" si="340"/>
        <v>0.5</v>
      </c>
      <c r="AN247" s="30" t="e">
        <f t="shared" ca="1" si="371"/>
        <v>#DIV/0!</v>
      </c>
      <c r="AO247" s="85" t="e">
        <f ca="1">IF(U247&lt;=Hypothèses!$V$7,Hypothèses!$W$7,IF(U247&lt;=Hypothèses!$V$8,Hypothèses!$W$8,IF(U247&lt;=Hypothèses!$V$9,Hypothèses!$W$9,IF(U247&lt;=Hypothèses!$V$10,Hypothèses!$W$10,IF(U247&lt;=Hypothèses!$V$11,Hypothèses!$W$11,IF(U247&lt;=Hypothèses!$V$12,Hypothèses!$W$12,IF(U247&lt;=Hypothèses!$V$13,Hypothèses!$W$13,IF(U247&lt;=Hypothèses!$V$14,Hypothèses!$W$14,IF(U247&lt;=Hypothèses!$V$15,Hypothèses!$W$15,IF(U247&lt;=Hypothèses!$V$16,Hypothèses!$W$16,IF(U247&lt;=Hypothèses!$V$17,Hypothèses!$W$17,IF(U247&lt;=Hypothèses!$V$18,Hypothèses!$W$18,""))))))))))))</f>
        <v>#DIV/0!</v>
      </c>
      <c r="AP247" s="87" t="e">
        <f t="shared" ca="1" si="417"/>
        <v>#DIV/0!</v>
      </c>
      <c r="AQ247" s="88" t="e">
        <f ca="1">IF(U247&lt;=Hypothèses!$V$7,Hypothèses!$X$7,IF(U247&lt;=Hypothèses!$V$8,Hypothèses!$X$8,IF(U247&lt;=Hypothèses!$V$9,Hypothèses!$X$9,IF(U247&lt;=Hypothèses!$V$10,Hypothèses!$X$10,IF(U247&lt;=Hypothèses!$V$11,Hypothèses!$X$11,IF(U247&lt;=Hypothèses!$V$12,Hypothèses!$X$12,IF(U247&lt;=Hypothèses!$V$13,Hypothèses!$X$13,IF(U247&lt;=Hypothèses!$V$14,Hypothèses!$X$14,IF(U247&lt;=Hypothèses!$V$15,Hypothèses!$X$15,IF(U247&lt;=Hypothèses!$V$16,Hypothèses!$X$16,IF(U247&lt;=Hypothèses!$U$17,Hypothèses!$W$17,IF(U247&lt;=Hypothèses!$U$18,Hypothèses!$W$18,""))))))))))))</f>
        <v>#DIV/0!</v>
      </c>
      <c r="AR247" s="95" t="e">
        <f t="shared" ca="1" si="372"/>
        <v>#DIV/0!</v>
      </c>
      <c r="AS247" s="101">
        <f t="shared" si="424"/>
        <v>0</v>
      </c>
      <c r="AT247" s="91">
        <f t="shared" si="341"/>
        <v>0</v>
      </c>
      <c r="AU247" s="30" t="e">
        <f t="shared" si="402"/>
        <v>#N/A</v>
      </c>
      <c r="AV247" s="30" t="e">
        <f t="shared" si="403"/>
        <v>#N/A</v>
      </c>
      <c r="AW247" s="31" t="e">
        <f>IF(OR(Hypothèses!$B$4=17,Hypothèses!$B$4=18,Hypothèses!$B$4=19,Hypothèses!$B$4=20),
IF($D247="Pressio.",
IF(OR($E247=3,$E247=1,$E247=4),AV247,AU247),
IF($D247="Pénétro.",
IF(OR($E247=3,$E247=1,$E247=4),AV247,AU247))),IF($D247="Pressio.",
IF($E247=3,AV247,AU247),
IF($D247="Pénétro.",
IF($E247=4,AV247,AU247))))</f>
        <v>#N/A</v>
      </c>
      <c r="AX247" s="31">
        <v>0</v>
      </c>
      <c r="AY247" s="102" t="e">
        <f>IF(NDC!$H$10="Oui",(VLOOKUP($B$3,'Coeff EC7'!$T$39:$X$59,2,0)*AW247+VLOOKUP($B$3,'Coeff EC7'!$T$65:$X$85,2,0)*Model0.1T!AX247)/1.5,PI()*AU$12*$Q247*($B247-$B246)*0.15/10+AY246)</f>
        <v>#N/A</v>
      </c>
      <c r="AZ247" s="102" t="e">
        <f>(VLOOKUP($B$3,'Coeff EC7'!$T$39:$X$59,3,0)*AW247+VLOOKUP($B$3,'Coeff EC7'!$T$65:$X$85,3,0)*Model0.1T!AX247)/1.1</f>
        <v>#N/A</v>
      </c>
      <c r="BA247" s="102" t="e">
        <f t="shared" si="373"/>
        <v>#N/A</v>
      </c>
      <c r="BB247" s="102" t="e">
        <f t="shared" si="374"/>
        <v>#N/A</v>
      </c>
      <c r="BC247" s="414" t="e">
        <f>IF(AND(AY247&gt;NDC!$C$63,AZ247&gt;NDC!$C$65,BA247&gt;NDC!$D$73,BB247&gt;NDC!$D$74,$B247&gt;NDC!$H$22-0.1+MIN(3*BC$12,1.5)),0,1)</f>
        <v>#N/A</v>
      </c>
      <c r="BD247" s="86" t="b">
        <f t="shared" si="342"/>
        <v>0</v>
      </c>
      <c r="BE247" s="86">
        <f t="shared" si="375"/>
        <v>0.5</v>
      </c>
      <c r="BF247" s="86">
        <f t="shared" si="343"/>
        <v>0.5</v>
      </c>
      <c r="BG247" s="30" t="e">
        <f t="shared" ca="1" si="376"/>
        <v>#DIV/0!</v>
      </c>
      <c r="BH247" s="85" t="e">
        <f ca="1">IF(AN247&lt;=Hypothèses!$V$7,Hypothèses!$W$7,IF(AN247&lt;=Hypothèses!$V$8,Hypothèses!$W$8,IF(AN247&lt;=Hypothèses!$V$9,Hypothèses!$W$9,IF(AN247&lt;=Hypothèses!$V$10,Hypothèses!$W$10,IF(AN247&lt;=Hypothèses!$V$11,Hypothèses!$W$11,IF(AN247&lt;=Hypothèses!$V$12,Hypothèses!$W$12,IF(AN247&lt;=Hypothèses!$V$13,Hypothèses!$W$13,IF(AN247&lt;=Hypothèses!$V$14,Hypothèses!$W$14,IF(AN247&lt;=Hypothèses!$V$15,Hypothèses!$W$15,IF(AN247&lt;=Hypothèses!$V$16,Hypothèses!$W$16,IF(AN247&lt;=Hypothèses!$V$17,Hypothèses!$W$17,IF(AN247&lt;=Hypothèses!$V$18,Hypothèses!$W$18,""))))))))))))</f>
        <v>#DIV/0!</v>
      </c>
      <c r="BI247" s="87" t="e">
        <f t="shared" ca="1" si="418"/>
        <v>#DIV/0!</v>
      </c>
      <c r="BJ247" s="88" t="e">
        <f ca="1">IF(AN247&lt;=Hypothèses!$V$7,Hypothèses!$X$7,IF(AN247&lt;=Hypothèses!$V$8,Hypothèses!$X$8,IF(AN247&lt;=Hypothèses!$V$9,Hypothèses!$X$9,IF(AN247&lt;=Hypothèses!$V$10,Hypothèses!$X$10,IF(AN247&lt;=Hypothèses!$V$11,Hypothèses!$X$11,IF(AN247&lt;=Hypothèses!$V$12,Hypothèses!$X$12,IF(AN247&lt;=Hypothèses!$V$13,Hypothèses!$X$13,IF(AN247&lt;=Hypothèses!$V$14,Hypothèses!$X$14,IF(AN247&lt;=Hypothèses!$V$15,Hypothèses!$X$15,IF(AN247&lt;=Hypothèses!$V$16,Hypothèses!$X$16,IF(AN247&lt;=Hypothèses!$U$17,Hypothèses!$W$17,IF(AN247&lt;=Hypothèses!$U$18,Hypothèses!$W$18,""))))))))))))</f>
        <v>#DIV/0!</v>
      </c>
      <c r="BK247" s="95" t="e">
        <f t="shared" ca="1" si="377"/>
        <v>#DIV/0!</v>
      </c>
      <c r="BL247" s="101">
        <f t="shared" si="425"/>
        <v>0</v>
      </c>
      <c r="BM247" s="91">
        <f t="shared" si="344"/>
        <v>0</v>
      </c>
      <c r="BN247" s="30" t="e">
        <f t="shared" si="404"/>
        <v>#N/A</v>
      </c>
      <c r="BO247" s="30" t="e">
        <f t="shared" si="405"/>
        <v>#N/A</v>
      </c>
      <c r="BP247" s="31" t="e">
        <f>IF(OR(Hypothèses!$B$4=17,Hypothèses!$B$4=18,Hypothèses!$B$4=19,Hypothèses!$B$4=20),
IF($D247="Pressio.",
IF(OR($E247=3,$E247=1,$E247=4),BO247,BN247),
IF($D247="Pénétro.",
IF(OR($E247=3,$E247=1,$E247=4),BO247,BN247))),IF($D247="Pressio.",
IF($E247=3,BO247,BN247),
IF($D247="Pénétro.",
IF($E247=4,BO247,BN247))))</f>
        <v>#N/A</v>
      </c>
      <c r="BQ247" s="31">
        <v>0</v>
      </c>
      <c r="BR247" s="102" t="e">
        <f>IF(NDC!$H$10="Oui",(VLOOKUP($B$3,'Coeff EC7'!$T$39:$X$59,2,0)*BP247+VLOOKUP($B$3,'Coeff EC7'!$T$65:$X$85,2,0)*Model0.1T!BQ247)/1.5,PI()*BN$12*$Q247*($B247-$B246)*0.15/10+BR246)</f>
        <v>#N/A</v>
      </c>
      <c r="BS247" s="102" t="e">
        <f>(VLOOKUP($B$3,'Coeff EC7'!$T$39:$X$59,3,0)*BP247+VLOOKUP($B$3,'Coeff EC7'!$T$65:$X$85,3,0)*Model0.1T!BQ247)/1.1</f>
        <v>#N/A</v>
      </c>
      <c r="BT247" s="102" t="e">
        <f t="shared" si="378"/>
        <v>#N/A</v>
      </c>
      <c r="BU247" s="102" t="e">
        <f t="shared" si="379"/>
        <v>#N/A</v>
      </c>
      <c r="BV247" s="414" t="e">
        <f>IF(AND(BR247&gt;NDC!$C$63,BS247&gt;NDC!$C$65,BT247&gt;NDC!$D$73,BU247&gt;NDC!$D$74,$B247&gt;NDC!$H$22-0.1+MIN(3*BV$12,1.5)),0,1)</f>
        <v>#N/A</v>
      </c>
      <c r="BW247" s="86" t="b">
        <f t="shared" si="345"/>
        <v>0</v>
      </c>
      <c r="BX247" s="86">
        <f t="shared" si="346"/>
        <v>0.5</v>
      </c>
      <c r="BY247" s="86">
        <f t="shared" si="347"/>
        <v>0.5</v>
      </c>
      <c r="BZ247" s="30" t="e">
        <f t="shared" ca="1" si="380"/>
        <v>#DIV/0!</v>
      </c>
      <c r="CA247" s="85" t="e">
        <f ca="1">IF(BG247&lt;=Hypothèses!$V$7,Hypothèses!$W$7,IF(BG247&lt;=Hypothèses!$V$8,Hypothèses!$W$8,IF(BG247&lt;=Hypothèses!$V$9,Hypothèses!$W$9,IF(BG247&lt;=Hypothèses!$V$10,Hypothèses!$W$10,IF(BG247&lt;=Hypothèses!$V$11,Hypothèses!$W$11,IF(BG247&lt;=Hypothèses!$V$12,Hypothèses!$W$12,IF(BG247&lt;=Hypothèses!$V$13,Hypothèses!$W$13,IF(BG247&lt;=Hypothèses!$V$14,Hypothèses!$W$14,IF(BG247&lt;=Hypothèses!$V$15,Hypothèses!$W$15,IF(BG247&lt;=Hypothèses!$V$16,Hypothèses!$W$16,IF(BG247&lt;=Hypothèses!$V$17,Hypothèses!$W$17,IF(BG247&lt;=Hypothèses!$V$18,Hypothèses!$W$18,""))))))))))))</f>
        <v>#DIV/0!</v>
      </c>
      <c r="CB247" s="87" t="e">
        <f t="shared" ca="1" si="419"/>
        <v>#DIV/0!</v>
      </c>
      <c r="CC247" s="88" t="e">
        <f ca="1">IF(BG247&lt;=Hypothèses!$V$7,Hypothèses!$X$7,IF(BG247&lt;=Hypothèses!$V$8,Hypothèses!$X$8,IF(BG247&lt;=Hypothèses!$V$9,Hypothèses!$X$9,IF(BG247&lt;=Hypothèses!$V$10,Hypothèses!$X$10,IF(BG247&lt;=Hypothèses!$V$11,Hypothèses!$X$11,IF(BG247&lt;=Hypothèses!$V$12,Hypothèses!$X$12,IF(BG247&lt;=Hypothèses!$V$13,Hypothèses!$X$13,IF(BG247&lt;=Hypothèses!$V$14,Hypothèses!$X$14,IF(BG247&lt;=Hypothèses!$V$15,Hypothèses!$X$15,IF(BG247&lt;=Hypothèses!$V$16,Hypothèses!$X$16,IF(BG247&lt;=Hypothèses!$U$17,Hypothèses!$W$17,IF(BG247&lt;=Hypothèses!$U$18,Hypothèses!$W$18,""))))))))))))</f>
        <v>#DIV/0!</v>
      </c>
      <c r="CD247" s="95" t="e">
        <f t="shared" ca="1" si="381"/>
        <v>#DIV/0!</v>
      </c>
      <c r="CE247" s="101">
        <f t="shared" si="426"/>
        <v>0</v>
      </c>
      <c r="CF247" s="91">
        <f t="shared" si="348"/>
        <v>0</v>
      </c>
      <c r="CG247" s="30" t="e">
        <f t="shared" si="406"/>
        <v>#N/A</v>
      </c>
      <c r="CH247" s="30" t="e">
        <f t="shared" si="407"/>
        <v>#N/A</v>
      </c>
      <c r="CI247" s="31" t="e">
        <f>IF(OR(Hypothèses!$B$4=17,Hypothèses!$B$4=18,Hypothèses!$B$4=19,Hypothèses!$B$4=20),
IF($D247="Pressio.",
IF(OR($E247=3,$E247=1,$E247=4),CH247,CG247),
IF($D247="Pénétro.",
IF(OR($E247=3,$E247=1,$E247=4),CH247,CG247))),IF($D247="Pressio.",
IF($E247=3,CH247,CG247),
IF($D247="Pénétro.",
IF($E247=4,CH247,CG247))))</f>
        <v>#N/A</v>
      </c>
      <c r="CJ247" s="31">
        <v>0</v>
      </c>
      <c r="CK247" s="102" t="e">
        <f>IF(NDC!$H$10="Oui",(VLOOKUP($B$3,'Coeff EC7'!$T$39:$X$59,2,0)*CI247+VLOOKUP($B$3,'Coeff EC7'!$T$65:$X$85,2,0)*Model0.1T!CJ247)/1.5,PI()*CG$12*$Q247*($B247-$B246)*0.15/10+CK246)</f>
        <v>#N/A</v>
      </c>
      <c r="CL247" s="102" t="e">
        <f>(VLOOKUP($B$3,'Coeff EC7'!$T$39:$X$59,3,0)*CI247+VLOOKUP($B$3,'Coeff EC7'!$T$65:$X$85,3,0)*Model0.1T!CJ247)/1.1</f>
        <v>#N/A</v>
      </c>
      <c r="CM247" s="102" t="e">
        <f t="shared" si="382"/>
        <v>#N/A</v>
      </c>
      <c r="CN247" s="102" t="e">
        <f t="shared" si="383"/>
        <v>#N/A</v>
      </c>
      <c r="CO247" s="414" t="e">
        <f>IF(AND(CK247&gt;NDC!$C$63,CL247&gt;NDC!$C$65,CM247&gt;NDC!$D$73,CN247&gt;NDC!$D$74,$B247&gt;NDC!$H$22-0.1+MIN(3*CO$12,1.5)),0,1)</f>
        <v>#N/A</v>
      </c>
      <c r="CP247" s="86" t="b">
        <f t="shared" si="349"/>
        <v>0</v>
      </c>
      <c r="CQ247" s="86">
        <f t="shared" si="350"/>
        <v>0.5</v>
      </c>
      <c r="CR247" s="86">
        <f t="shared" si="351"/>
        <v>0.5</v>
      </c>
      <c r="CS247" s="30" t="e">
        <f t="shared" ca="1" si="384"/>
        <v>#DIV/0!</v>
      </c>
      <c r="CT247" s="85" t="e">
        <f ca="1">IF(BZ247&lt;=Hypothèses!$V$7,Hypothèses!$W$7,IF(BZ247&lt;=Hypothèses!$V$8,Hypothèses!$W$8,IF(BZ247&lt;=Hypothèses!$V$9,Hypothèses!$W$9,IF(BZ247&lt;=Hypothèses!$V$10,Hypothèses!$W$10,IF(BZ247&lt;=Hypothèses!$V$11,Hypothèses!$W$11,IF(BZ247&lt;=Hypothèses!$V$12,Hypothèses!$W$12,IF(BZ247&lt;=Hypothèses!$V$13,Hypothèses!$W$13,IF(BZ247&lt;=Hypothèses!$V$14,Hypothèses!$W$14,IF(BZ247&lt;=Hypothèses!$V$15,Hypothèses!$W$15,IF(BZ247&lt;=Hypothèses!$V$16,Hypothèses!$W$16,IF(BZ247&lt;=Hypothèses!$V$17,Hypothèses!$W$17,IF(BZ247&lt;=Hypothèses!$V$18,Hypothèses!$W$18,""))))))))))))</f>
        <v>#DIV/0!</v>
      </c>
      <c r="CU247" s="87" t="e">
        <f t="shared" ca="1" si="420"/>
        <v>#DIV/0!</v>
      </c>
      <c r="CV247" s="88" t="e">
        <f ca="1">IF(BZ247&lt;=Hypothèses!$V$7,Hypothèses!$X$7,IF(BZ247&lt;=Hypothèses!$V$8,Hypothèses!$X$8,IF(BZ247&lt;=Hypothèses!$V$9,Hypothèses!$X$9,IF(BZ247&lt;=Hypothèses!$V$10,Hypothèses!$X$10,IF(BZ247&lt;=Hypothèses!$V$11,Hypothèses!$X$11,IF(BZ247&lt;=Hypothèses!$V$12,Hypothèses!$X$12,IF(BZ247&lt;=Hypothèses!$V$13,Hypothèses!$X$13,IF(BZ247&lt;=Hypothèses!$V$14,Hypothèses!$X$14,IF(BZ247&lt;=Hypothèses!$V$15,Hypothèses!$X$15,IF(BZ247&lt;=Hypothèses!$V$16,Hypothèses!$X$16,IF(BZ247&lt;=Hypothèses!$U$17,Hypothèses!$W$17,IF(BZ247&lt;=Hypothèses!$U$18,Hypothèses!$W$18,""))))))))))))</f>
        <v>#DIV/0!</v>
      </c>
      <c r="CW247" s="95" t="e">
        <f t="shared" ca="1" si="385"/>
        <v>#DIV/0!</v>
      </c>
      <c r="CX247" s="101">
        <f t="shared" si="427"/>
        <v>0</v>
      </c>
      <c r="CY247" s="91">
        <f t="shared" si="352"/>
        <v>0</v>
      </c>
      <c r="CZ247" s="30" t="e">
        <f t="shared" si="408"/>
        <v>#N/A</v>
      </c>
      <c r="DA247" s="30" t="e">
        <f t="shared" si="409"/>
        <v>#N/A</v>
      </c>
      <c r="DB247" s="31" t="e">
        <f>IF(OR(Hypothèses!$B$4=17,Hypothèses!$B$4=18,Hypothèses!$B$4=19,Hypothèses!$B$4=20),
IF($D247="Pressio.",
IF(OR($E247=3,$E247=1,$E247=4),DA247,CZ247),
IF($D247="Pénétro.",
IF(OR($E247=3,$E247=1,$E247=4),DA247,CZ247))),IF($D247="Pressio.",
IF($E247=3,DA247,CZ247),
IF($D247="Pénétro.",
IF($E247=4,DA247,CZ247))))</f>
        <v>#N/A</v>
      </c>
      <c r="DC247" s="31">
        <v>0</v>
      </c>
      <c r="DD247" s="102" t="e">
        <f>IF(NDC!$H$10="Oui",(VLOOKUP($B$3,'Coeff EC7'!$T$39:$X$59,2,0)*DB247+VLOOKUP($B$3,'Coeff EC7'!$T$65:$X$85,2,0)*Model0.1T!DC247)/1.5,PI()*CZ$12*$Q247*($B247-$B246)*0.15/10+DD246)</f>
        <v>#N/A</v>
      </c>
      <c r="DE247" s="102" t="e">
        <f>(VLOOKUP($B$3,'Coeff EC7'!$T$39:$X$59,3,0)*DB247+VLOOKUP($B$3,'Coeff EC7'!$T$65:$X$85,3,0)*Model0.1T!DC247)/1.1</f>
        <v>#N/A</v>
      </c>
      <c r="DF247" s="102" t="e">
        <f t="shared" si="386"/>
        <v>#N/A</v>
      </c>
      <c r="DG247" s="102" t="e">
        <f t="shared" si="387"/>
        <v>#N/A</v>
      </c>
      <c r="DH247" s="414" t="e">
        <f>IF(AND(DD247&gt;NDC!$C$63,DE247&gt;NDC!$C$65,DF247&gt;NDC!$D$73,DG247&gt;NDC!$D$74,$B247&gt;NDC!$H$22-0.1+MIN(3*DH$12,1.5)),0,1)</f>
        <v>#N/A</v>
      </c>
      <c r="DI247" s="86" t="b">
        <f t="shared" si="353"/>
        <v>0</v>
      </c>
      <c r="DJ247" s="86">
        <f t="shared" si="354"/>
        <v>0.5</v>
      </c>
      <c r="DK247" s="86">
        <f t="shared" si="355"/>
        <v>0.5</v>
      </c>
      <c r="DL247" s="30" t="e">
        <f t="shared" ca="1" si="388"/>
        <v>#DIV/0!</v>
      </c>
      <c r="DM247" s="85" t="e">
        <f ca="1">IF(CS247&lt;=Hypothèses!$V$7,Hypothèses!$W$7,IF(CS247&lt;=Hypothèses!$V$8,Hypothèses!$W$8,IF(CS247&lt;=Hypothèses!$V$9,Hypothèses!$W$9,IF(CS247&lt;=Hypothèses!$V$10,Hypothèses!$W$10,IF(CS247&lt;=Hypothèses!$V$11,Hypothèses!$W$11,IF(CS247&lt;=Hypothèses!$V$12,Hypothèses!$W$12,IF(CS247&lt;=Hypothèses!$V$13,Hypothèses!$W$13,IF(CS247&lt;=Hypothèses!$V$14,Hypothèses!$W$14,IF(CS247&lt;=Hypothèses!$V$15,Hypothèses!$W$15,IF(CS247&lt;=Hypothèses!$V$16,Hypothèses!$W$16,IF(CS247&lt;=Hypothèses!$V$17,Hypothèses!$W$17,IF(CS247&lt;=Hypothèses!$V$18,Hypothèses!$W$18,""))))))))))))</f>
        <v>#DIV/0!</v>
      </c>
      <c r="DN247" s="87" t="e">
        <f t="shared" ca="1" si="421"/>
        <v>#DIV/0!</v>
      </c>
      <c r="DO247" s="88" t="e">
        <f ca="1">IF(CS247&lt;=Hypothèses!$V$7,Hypothèses!$X$7,IF(CS247&lt;=Hypothèses!$V$8,Hypothèses!$X$8,IF(CS247&lt;=Hypothèses!$V$9,Hypothèses!$X$9,IF(CS247&lt;=Hypothèses!$V$10,Hypothèses!$X$10,IF(CS247&lt;=Hypothèses!$V$11,Hypothèses!$X$11,IF(CS247&lt;=Hypothèses!$V$12,Hypothèses!$X$12,IF(CS247&lt;=Hypothèses!$V$13,Hypothèses!$X$13,IF(CS247&lt;=Hypothèses!$V$14,Hypothèses!$X$14,IF(CS247&lt;=Hypothèses!$V$15,Hypothèses!$X$15,IF(CS247&lt;=Hypothèses!$V$16,Hypothèses!$X$16,IF(CS247&lt;=Hypothèses!$U$17,Hypothèses!$W$17,IF(CS247&lt;=Hypothèses!$U$18,Hypothèses!$W$18,""))))))))))))</f>
        <v>#DIV/0!</v>
      </c>
      <c r="DP247" s="95" t="e">
        <f t="shared" ca="1" si="389"/>
        <v>#DIV/0!</v>
      </c>
      <c r="DQ247" s="101">
        <f t="shared" si="428"/>
        <v>0</v>
      </c>
      <c r="DR247" s="91">
        <f t="shared" si="356"/>
        <v>0</v>
      </c>
      <c r="DS247" s="30" t="e">
        <f t="shared" si="410"/>
        <v>#N/A</v>
      </c>
      <c r="DT247" s="30" t="e">
        <f t="shared" si="411"/>
        <v>#N/A</v>
      </c>
      <c r="DU247" s="31" t="e">
        <f>IF(OR(Hypothèses!$B$4=17,Hypothèses!$B$4=18,Hypothèses!$B$4=19,Hypothèses!$B$4=20),
IF($D247="Pressio.",
IF(OR($E247=3,$E247=1,$E247=4),DT247,DS247),
IF($D247="Pénétro.",
IF(OR($E247=3,$E247=1,$E247=4),DT247,DS247))),IF($D247="Pressio.",
IF($E247=3,DT247,DS247),
IF($D247="Pénétro.",
IF($E247=4,DT247,DS247))))</f>
        <v>#N/A</v>
      </c>
      <c r="DV247" s="31">
        <v>0</v>
      </c>
      <c r="DW247" s="102" t="e">
        <f>IF(NDC!$H$10="Oui",(VLOOKUP($B$3,'Coeff EC7'!$T$39:$X$59,2,0)*DU247+VLOOKUP($B$3,'Coeff EC7'!$T$65:$X$85,2,0)*Model0.1T!DV247)/1.5,PI()*DS$12*$Q247*($B247-$B246)*0.15/10+DW246)</f>
        <v>#N/A</v>
      </c>
      <c r="DX247" s="102" t="e">
        <f>(VLOOKUP($B$3,'Coeff EC7'!$T$39:$X$59,3,0)*DU247+VLOOKUP($B$3,'Coeff EC7'!$T$65:$X$85,3,0)*Model0.1T!DV247)/1.1</f>
        <v>#N/A</v>
      </c>
      <c r="DY247" s="102" t="e">
        <f t="shared" si="390"/>
        <v>#N/A</v>
      </c>
      <c r="DZ247" s="102" t="e">
        <f t="shared" si="391"/>
        <v>#N/A</v>
      </c>
      <c r="EA247" s="414" t="e">
        <f>IF(AND(DW247&gt;NDC!$C$63,DX247&gt;NDC!$C$65,DY247&gt;NDC!$D$73,DZ247&gt;NDC!$D$74,$B247&gt;NDC!$H$22-0.1+MIN(3*EA$12,1.5)),0,1)</f>
        <v>#N/A</v>
      </c>
      <c r="EB247" s="86" t="b">
        <f t="shared" si="357"/>
        <v>0</v>
      </c>
      <c r="EC247" s="418">
        <f t="shared" si="358"/>
        <v>0.51</v>
      </c>
      <c r="ED247" s="86">
        <f t="shared" si="359"/>
        <v>0.51</v>
      </c>
      <c r="EE247" s="30" t="e">
        <f t="shared" ca="1" si="392"/>
        <v>#DIV/0!</v>
      </c>
      <c r="EF247" s="85" t="e">
        <f ca="1">IF(DL247&lt;=Hypothèses!$V$7,Hypothèses!$W$7,IF(DL247&lt;=Hypothèses!$V$8,Hypothèses!$W$8,IF(DL247&lt;=Hypothèses!$V$9,Hypothèses!$W$9,IF(DL247&lt;=Hypothèses!$V$10,Hypothèses!$W$10,IF(DL247&lt;=Hypothèses!$V$11,Hypothèses!$W$11,IF(DL247&lt;=Hypothèses!$V$12,Hypothèses!$W$12,IF(DL247&lt;=Hypothèses!$V$13,Hypothèses!$W$13,IF(DL247&lt;=Hypothèses!$V$14,Hypothèses!$W$14,IF(DL247&lt;=Hypothèses!$V$15,Hypothèses!$W$15,IF(DL247&lt;=Hypothèses!$V$16,Hypothèses!$W$16,IF(DL247&lt;=Hypothèses!$V$17,Hypothèses!$W$17,IF(DL247&lt;=Hypothèses!$V$18,Hypothèses!$W$18,""))))))))))))</f>
        <v>#DIV/0!</v>
      </c>
      <c r="EG247" s="87" t="e">
        <f t="shared" ca="1" si="422"/>
        <v>#DIV/0!</v>
      </c>
      <c r="EH247" s="88" t="e">
        <f ca="1">IF(DL247&lt;=Hypothèses!$V$7,Hypothèses!$X$7,IF(DL247&lt;=Hypothèses!$V$8,Hypothèses!$X$8,IF(DL247&lt;=Hypothèses!$V$9,Hypothèses!$X$9,IF(DL247&lt;=Hypothèses!$V$10,Hypothèses!$X$10,IF(DL247&lt;=Hypothèses!$V$11,Hypothèses!$X$11,IF(DL247&lt;=Hypothèses!$V$12,Hypothèses!$X$12,IF(DL247&lt;=Hypothèses!$V$13,Hypothèses!$X$13,IF(DL247&lt;=Hypothèses!$V$14,Hypothèses!$X$14,IF(DL247&lt;=Hypothèses!$V$15,Hypothèses!$X$15,IF(DL247&lt;=Hypothèses!$V$16,Hypothèses!$X$16,IF(DL247&lt;=Hypothèses!$U$17,Hypothèses!$W$17,IF(DL247&lt;=Hypothèses!$U$18,Hypothèses!$W$18,""))))))))))))</f>
        <v>#DIV/0!</v>
      </c>
      <c r="EI247" s="95" t="e">
        <f t="shared" ca="1" si="393"/>
        <v>#DIV/0!</v>
      </c>
      <c r="EJ247" s="101">
        <f t="shared" si="429"/>
        <v>0</v>
      </c>
      <c r="EK247" s="91">
        <f t="shared" si="360"/>
        <v>0</v>
      </c>
      <c r="EL247" s="30" t="e">
        <f t="shared" si="412"/>
        <v>#N/A</v>
      </c>
      <c r="EM247" s="30" t="e">
        <f t="shared" si="413"/>
        <v>#N/A</v>
      </c>
      <c r="EN247" s="31" t="e">
        <f>IF(OR(Hypothèses!$B$4=17,Hypothèses!$B$4=18,Hypothèses!$B$4=19,Hypothèses!$B$4=20),
IF($D247="Pressio.",
IF(OR($E247=3,$E247=1,$E247=4),EM247,EL247),
IF($D247="Pénétro.",
IF(OR($E247=3,$E247=1,$E247=4),EM247,EL247))),IF($D247="Pressio.",
IF($E247=3,EM247,EL247),
IF($D247="Pénétro.",
IF($E247=4,EM247,EL247))))</f>
        <v>#N/A</v>
      </c>
      <c r="EO247" s="31">
        <v>0</v>
      </c>
      <c r="EP247" s="102" t="e">
        <f>IF(NDC!$H$10="Oui",(VLOOKUP($B$3,'Coeff EC7'!$T$39:$X$59,2,0)*EN247+VLOOKUP($B$3,'Coeff EC7'!$T$65:$X$85,2,0)*Model0.1T!EO247)/1.5,PI()*EL$12*$Q247*($B247-$B246)*0.15/10+EP246)</f>
        <v>#N/A</v>
      </c>
      <c r="EQ247" s="102" t="e">
        <f>(VLOOKUP($B$3,'Coeff EC7'!$T$39:$X$59,3,0)*EN247+VLOOKUP($B$3,'Coeff EC7'!$T$65:$X$85,3,0)*Model0.1T!EO247)/1.1</f>
        <v>#N/A</v>
      </c>
      <c r="ER247" s="102" t="e">
        <f t="shared" si="394"/>
        <v>#N/A</v>
      </c>
      <c r="ES247" s="102" t="e">
        <f t="shared" si="395"/>
        <v>#N/A</v>
      </c>
      <c r="ET247" s="414" t="e">
        <f>IF(AND(EP247&gt;NDC!$C$63,EQ247&gt;NDC!$C$65,ER247&gt;NDC!$D$73,ES247&gt;NDC!$D$74,$B247&gt;NDC!$H$22-0.1+MIN(3*ET$12,1.5)),0,1)</f>
        <v>#N/A</v>
      </c>
      <c r="EU247" s="86" t="b">
        <f t="shared" si="361"/>
        <v>0</v>
      </c>
      <c r="EV247" s="86">
        <f t="shared" si="362"/>
        <v>0.61</v>
      </c>
      <c r="EW247" s="86">
        <f t="shared" si="363"/>
        <v>0.61</v>
      </c>
      <c r="EX247" s="30" t="e">
        <f t="shared" ca="1" si="396"/>
        <v>#DIV/0!</v>
      </c>
      <c r="EY247" s="85" t="e">
        <f ca="1">IF(EE247&lt;=Hypothèses!$V$7,Hypothèses!$W$7,IF(EE247&lt;=Hypothèses!$V$8,Hypothèses!$W$8,IF(EE247&lt;=Hypothèses!$V$9,Hypothèses!$W$9,IF(EE247&lt;=Hypothèses!$V$10,Hypothèses!$W$10,IF(EE247&lt;=Hypothèses!$V$11,Hypothèses!$W$11,IF(EE247&lt;=Hypothèses!$V$12,Hypothèses!$W$12,IF(EE247&lt;=Hypothèses!$V$13,Hypothèses!$W$13,IF(EE247&lt;=Hypothèses!$V$14,Hypothèses!$W$14,IF(EE247&lt;=Hypothèses!$V$15,Hypothèses!$W$15,IF(EE247&lt;=Hypothèses!$V$16,Hypothèses!$W$16,IF(EE247&lt;=Hypothèses!$V$17,Hypothèses!$W$17,IF(EE247&lt;=Hypothèses!$V$18,Hypothèses!$W$18,""))))))))))))</f>
        <v>#DIV/0!</v>
      </c>
      <c r="EZ247" s="87" t="e">
        <f t="shared" ca="1" si="423"/>
        <v>#DIV/0!</v>
      </c>
      <c r="FA247" s="88" t="e">
        <f ca="1">IF(EE247&lt;=Hypothèses!$V$7,Hypothèses!$X$7,IF(EE247&lt;=Hypothèses!$V$8,Hypothèses!$X$8,IF(EE247&lt;=Hypothèses!$V$9,Hypothèses!$X$9,IF(EE247&lt;=Hypothèses!$V$10,Hypothèses!$X$10,IF(EE247&lt;=Hypothèses!$V$11,Hypothèses!$X$11,IF(EE247&lt;=Hypothèses!$V$12,Hypothèses!$X$12,IF(EE247&lt;=Hypothèses!$V$13,Hypothèses!$X$13,IF(EE247&lt;=Hypothèses!$V$14,Hypothèses!$X$14,IF(EE247&lt;=Hypothèses!$V$15,Hypothèses!$X$15,IF(EE247&lt;=Hypothèses!$V$16,Hypothèses!$X$16,IF(EE247&lt;=Hypothèses!$U$17,Hypothèses!$W$17,IF(EE247&lt;=Hypothèses!$U$18,Hypothèses!$W$18,""))))))))))))</f>
        <v>#DIV/0!</v>
      </c>
      <c r="FB247" s="95" t="e">
        <f t="shared" ca="1" si="397"/>
        <v>#DIV/0!</v>
      </c>
      <c r="FC247" s="101">
        <f t="shared" si="430"/>
        <v>0</v>
      </c>
      <c r="FD247" s="91">
        <f t="shared" si="364"/>
        <v>0</v>
      </c>
      <c r="FE247" s="30" t="e">
        <f t="shared" si="414"/>
        <v>#N/A</v>
      </c>
      <c r="FF247" s="30" t="e">
        <f t="shared" si="415"/>
        <v>#N/A</v>
      </c>
      <c r="FG247" s="31" t="e">
        <f>IF(OR(Hypothèses!$B$4=17,Hypothèses!$B$4=18,Hypothèses!$B$4=19,Hypothèses!$B$4=20),
IF($D247="Pressio.",
IF(OR($E247=3,$E247=1,$E247=4),FF247,FE247),
IF($D247="Pénétro.",
IF(OR($E247=3,$E247=1,$E247=4),FF247,FE247))),IF($D247="Pressio.",
IF($E247=3,FF247,FE247),
IF($D247="Pénétro.",
IF($E247=4,FF247,FE247))))</f>
        <v>#N/A</v>
      </c>
      <c r="FH247" s="31">
        <v>0</v>
      </c>
      <c r="FI247" s="102" t="e">
        <f>IF(NDC!$H$10="Oui",(VLOOKUP($B$3,'Coeff EC7'!$T$39:$X$59,2,0)*FG247+VLOOKUP($B$3,'Coeff EC7'!$T$65:$X$85,2,0)*Model0.1T!FH247)/1.5,PI()*FE$12*$Q247*($B247-$B246)*0.15/10+FI246)</f>
        <v>#N/A</v>
      </c>
      <c r="FJ247" s="102" t="e">
        <f>(VLOOKUP($B$3,'Coeff EC7'!$T$39:$X$59,3,0)*FG247+VLOOKUP($B$3,'Coeff EC7'!$T$65:$X$85,3,0)*Model0.1T!FH247)/1.1</f>
        <v>#N/A</v>
      </c>
      <c r="FK247" s="102" t="e">
        <f t="shared" si="398"/>
        <v>#N/A</v>
      </c>
      <c r="FL247" s="102" t="e">
        <f t="shared" si="399"/>
        <v>#N/A</v>
      </c>
      <c r="FM247" s="414" t="e">
        <f>IF(AND(FI247&gt;NDC!$C$63,FJ247&gt;NDC!$C$65,FK247&gt;NDC!$D$73,FL247&gt;NDC!$D$74,$B247&gt;NDC!$H$22-0.1+MIN(3*FM$12,1.5)),0,1)</f>
        <v>#N/A</v>
      </c>
    </row>
    <row r="248" spans="1:169">
      <c r="A248" s="96">
        <f t="shared" si="365"/>
        <v>76.500000000001336</v>
      </c>
      <c r="B248" s="97">
        <v>23.5</v>
      </c>
      <c r="C248" s="81">
        <f>IF(B248&lt;=Hypothèses!$C$7,Hypothèses!$A$7,IF(B248&lt;=Hypothèses!$C$8,Hypothèses!$A$8,IF(B248&lt;=Hypothèses!$C$9,Hypothèses!$A$9,IF(B248&lt;=Hypothèses!$C$10,Hypothèses!$A$10,IF(B248&lt;=Hypothèses!$C$11,Hypothèses!$A$11,IF(B248&lt;=Hypothèses!$C$12,Hypothèses!$A$12,IF(B248&lt;=Hypothèses!$C$13,Hypothèses!$A$13,IF(B248&lt;=Hypothèses!$C$14,Hypothèses!$A$14,IF(B248&lt;=Hypothèses!$C$15,Hypothèses!$A$15,IF(B248&lt;=Hypothèses!$C$16,Hypothèses!$A$16,IF(B248&lt;=Hypothèses!$C$17,Hypothèses!$A$17,IF(B248&lt;=Hypothèses!$C$18,Hypothèses!$A$18,C247))))))))))))</f>
        <v>11</v>
      </c>
      <c r="D248" s="82" t="str">
        <f>IF(B248&lt;=Hypothèses!$C$7,Hypothèses!$R$7,IF(B248&lt;=Hypothèses!$C$8,Hypothèses!$R$8,IF(B248&lt;=Hypothèses!$C$9,Hypothèses!$R$9,IF(B248&lt;=Hypothèses!$C$10,Hypothèses!$R$10,IF(B248&lt;=Hypothèses!$C$11,Hypothèses!$R$11,IF(B248&lt;=Hypothèses!$C$12,Hypothèses!$R$12,IF(B248&lt;=Hypothèses!$C$13,Hypothèses!$R$13,IF(B248&lt;=Hypothèses!$C$14,Hypothèses!$R$14,IF(B248&lt;=Hypothèses!$C$15,Hypothèses!$R$15,IF(B248&lt;=Hypothèses!$C$16,Hypothèses!$R$16,IF(B248&lt;=Hypothèses!$C$17,Hypothèses!$R$17,IF(B248&lt;=Hypothèses!$C$18,Hypothèses!$R$18,D247))))))))))))</f>
        <v>Pressio.</v>
      </c>
      <c r="E248" s="82" t="e">
        <f>IF(B248&lt;=Hypothèses!$C$7,Hypothèses!$G$7,IF(B248&lt;=Hypothèses!$C$8,Hypothèses!$G$8,IF(B248&lt;=Hypothèses!$C$9,Hypothèses!$G$9,IF(B248&lt;=Hypothèses!$C$10,Hypothèses!$G$10,IF(B248&lt;=Hypothèses!$C$11,Hypothèses!$G$11,IF(B248&lt;=Hypothèses!$C$12,Hypothèses!$G$12,IF(B248&lt;=Hypothèses!$C$13,Hypothèses!$G$13,IF(B248&lt;=Hypothèses!$C$14,Hypothèses!$G$14,IF(B248&lt;=Hypothèses!$C$15,Hypothèses!$G$15,IF(B248&lt;=Hypothèses!$C$16,Hypothèses!$G$16,IF(B248&lt;=Hypothèses!$C$17,Hypothèses!$G$17,IF(B248&lt;=Hypothèses!$C$18,Hypothèses!$G$18,E247))))))))))))</f>
        <v>#N/A</v>
      </c>
      <c r="F248" s="82" t="str">
        <f>IF(B248&lt;=Hypothèses!$C$7,Hypothèses!$F$7,IF(B248&lt;=Hypothèses!$C$8,Hypothèses!$F$8,IF(B248&lt;=Hypothèses!$C$9,Hypothèses!$F$9,IF(B248&lt;=Hypothèses!$C$10,Hypothèses!$F$10,IF(B248&lt;=Hypothèses!$C$11,Hypothèses!$F$11,IF(B248&lt;=Hypothèses!$C$12,Hypothèses!$F$12,IF(B248&lt;=Hypothèses!$C$13,Hypothèses!$F$13,IF(B248&lt;=Hypothèses!$C$14,Hypothèses!$F$14,IF(B248&lt;=Hypothèses!$C$15,Hypothèses!$F$15,IF(B248&lt;=Hypothèses!$C$16,Hypothèses!$F$16,IF(B248&lt;=Hypothèses!$C$17,Hypothèses!$F$17,IF(B248&lt;=Hypothèses!$C$18,Hypothèses!$F$18,F247))))))))))))</f>
        <v/>
      </c>
      <c r="G248" s="91">
        <f t="array" ref="G248">INDEX('Coeff EC7'!$U$7:$X$27,
MATCH(Model0.1T!$B$3,'Coeff EC7'!$T$7:$T$27,0),
MATCH(Model0.1T!$D248&amp;Model0.1T!$B$4,
'Coeff EC7'!$U$6:$X$6&amp;
'Coeff EC7'!$U$5:$X$5,0))</f>
        <v>1.4</v>
      </c>
      <c r="H248" s="91">
        <f t="array" ref="H248">INDEX('Coeff EC7'!$Y$7:$AB$27,
MATCH(Model0.1T!$B$3,'Coeff EC7'!$T$7:$T$27,0),
MATCH(Model0.1T!$D248&amp;Model0.1T!$B$4,
'Coeff EC7'!$Y$6:$AB$6&amp;
'Coeff EC7'!$Y$5:$AB$5,0))</f>
        <v>1.7</v>
      </c>
      <c r="I248" s="83">
        <v>0</v>
      </c>
      <c r="J248" s="91" t="e">
        <f t="array" ref="J248">INDEX('Coeff EC7'!$D$33:$Q$33,1,MATCH(D248&amp;E248,'Coeff EC7'!$D$31:$Q$31&amp;'Coeff EC7'!$D$32:$Q$32,0))</f>
        <v>#N/A</v>
      </c>
      <c r="K248" s="91" t="e">
        <f t="array" ref="K248">INDEX('Coeff EC7'!$D$34:$Q$34,1,MATCH(D248&amp;E248,'Coeff EC7'!$D$31:$Q$31&amp;'Coeff EC7'!$D$32:$Q$32,0))</f>
        <v>#N/A</v>
      </c>
      <c r="L248" s="91" t="e">
        <f t="array" ref="L248">INDEX('Coeff EC7'!$D$35:$Q$35,1,MATCH(D248&amp;E248,'Coeff EC7'!$D$31:$Q$31&amp;'Coeff EC7'!$D$32:$Q$32,0))</f>
        <v>#N/A</v>
      </c>
      <c r="M248" s="98" t="e">
        <f t="shared" si="331"/>
        <v>#N/A</v>
      </c>
      <c r="N248" s="99" t="e">
        <f t="array" ref="N248">INDEX('Coeff EC7'!$D$7:$Q$27,MATCH($B$3,'Coeff EC7'!$C$7:$C$27,0),MATCH(D248&amp;E248,'Coeff EC7'!$D$5:$Q$5&amp;'Coeff EC7'!$D$6:$Q$6,0))</f>
        <v>#N/A</v>
      </c>
      <c r="O248" s="99" t="e">
        <f t="array" ref="O248">INDEX('Coeff EC7'!$D$41:$Q$61,MATCH($B$3,'Coeff EC7'!$C$41:$C$61,0),MATCH(D248&amp;E248,'Coeff EC7'!$D$39:$Q$39&amp;'Coeff EC7'!$D$40:$Q$40,0))</f>
        <v>#N/A</v>
      </c>
      <c r="P248" s="30" t="e">
        <f t="shared" si="366"/>
        <v>#N/A</v>
      </c>
      <c r="Q248" s="100" t="e">
        <f t="shared" si="333"/>
        <v>#N/A</v>
      </c>
      <c r="R248" s="86" t="b">
        <f t="shared" si="334"/>
        <v>0</v>
      </c>
      <c r="S248" s="86">
        <f t="shared" si="332"/>
        <v>0.5</v>
      </c>
      <c r="T248" s="86">
        <f t="shared" si="335"/>
        <v>0.5</v>
      </c>
      <c r="U248" s="30" t="e">
        <f t="shared" ca="1" si="367"/>
        <v>#DIV/0!</v>
      </c>
      <c r="V248" s="85" t="str">
        <f>IF(B248&lt;=Hypothèses!$V$7,Hypothèses!$W$7,IF(B248&lt;=Hypothèses!$V$8,Hypothèses!$W$8,IF(B248&lt;=Hypothèses!$V$9,Hypothèses!$W$9,IF(B248&lt;=Hypothèses!$V$10,Hypothèses!$W$10,IF(B248&lt;=Hypothèses!$V$11,Hypothèses!$W$11,IF(B248&lt;=Hypothèses!$V$12,Hypothèses!$W$12,IF(B248&lt;=Hypothèses!$V$13,Hypothèses!$W$13,IF(B248&lt;=Hypothèses!$V$14,Hypothèses!$W$14,IF(B248&lt;=Hypothèses!$V$15,Hypothèses!$W$15,IF(B248&lt;=Hypothèses!$V$16,Hypothèses!$W$16,IF(B248&lt;=Hypothèses!$V$17,Hypothèses!$W$17,IF(B248&lt;=Hypothèses!$V$18,Hypothèses!$W$18,""))))))))))))</f>
        <v/>
      </c>
      <c r="W248" s="87" t="e">
        <f t="shared" ca="1" si="416"/>
        <v>#DIV/0!</v>
      </c>
      <c r="X248" s="88" t="str">
        <f>IF(B248&lt;=Hypothèses!$V$7,Hypothèses!$X$7,IF(B248&lt;=Hypothèses!$V$8,Hypothèses!$X$8,IF(B248&lt;=Hypothèses!$V$9,Hypothèses!$X$9,IF(B248&lt;=Hypothèses!$V$10,Hypothèses!$X$10,IF(B248&lt;=Hypothèses!$V$11,Hypothèses!$X$11,IF(B248&lt;=Hypothèses!$V$12,Hypothèses!$X$12,IF(B248&lt;=Hypothèses!$V$13,Hypothèses!$X$13,IF(B248&lt;=Hypothèses!$V$14,Hypothèses!$X$14,IF(B248&lt;=Hypothèses!$V$15,Hypothèses!$X$15,IF(B248&lt;=Hypothèses!$V$16,Hypothèses!$X$16,IF(B248&lt;=Hypothèses!$U$17,Hypothèses!$W$17,IF(B248&lt;=Hypothèses!$U$18,Hypothèses!$W$18,""))))))))))))</f>
        <v/>
      </c>
      <c r="Y248" s="95" t="e">
        <f t="shared" ca="1" si="336"/>
        <v>#DIV/0!</v>
      </c>
      <c r="Z248" s="101">
        <f t="shared" si="337"/>
        <v>0</v>
      </c>
      <c r="AA248" s="91">
        <f t="shared" si="338"/>
        <v>0</v>
      </c>
      <c r="AB248" s="30" t="e">
        <f t="shared" si="400"/>
        <v>#N/A</v>
      </c>
      <c r="AC248" s="30" t="e">
        <f t="shared" si="401"/>
        <v>#N/A</v>
      </c>
      <c r="AD248" s="31" t="e">
        <f>IF(OR(Hypothèses!$B$4=17,Hypothèses!$B$4=18,Hypothèses!$B$4=19,Hypothèses!$B$4=20),
IF($D248="Pressio.",
IF(OR($E248=3,$E248=1,$E248=4),AC248,AB248),
IF($D248="Pénétro.",
IF(OR($E248=3,$E248=1,$E248=4),AC248,AB248))),IF($D248="Pressio.",
IF($E248=3,AC248,AB248),
IF($D248="Pénétro.",
IF($E248=4,AC248,AB248))))</f>
        <v>#N/A</v>
      </c>
      <c r="AE248" s="31">
        <v>0</v>
      </c>
      <c r="AF248" s="102" t="e">
        <f>IF(NDC!$H$10="Oui",(VLOOKUP($B$3,'Coeff EC7'!$T$39:$X$59,2,0)*AD248+VLOOKUP($B$3,'Coeff EC7'!$T$65:$X$85,2,0)*Model0.1T!AE248)/1.5,PI()*AB$12*$Q248*($B248-$B247)*0.15/10+AF247)</f>
        <v>#N/A</v>
      </c>
      <c r="AG248" s="102" t="e">
        <f>(VLOOKUP($B$3,'Coeff EC7'!$T$39:$X$59,3,0)*AD248+VLOOKUP($B$3,'Coeff EC7'!$T$65:$X$85,3,0)*Model0.1T!AE248)/1.1</f>
        <v>#N/A</v>
      </c>
      <c r="AH248" s="102" t="e">
        <f t="shared" si="368"/>
        <v>#N/A</v>
      </c>
      <c r="AI248" s="102" t="e">
        <f t="shared" si="369"/>
        <v>#N/A</v>
      </c>
      <c r="AJ248" s="414" t="e">
        <f>IF(AND(AF248&gt;NDC!$C$63,AG248&gt;NDC!$C$65,AH248&gt;NDC!$D$73,AI248&gt;NDC!$D$74,$B248&gt;NDC!$H$22-0.1+MIN(3*$AJ$12,1.5)),0,1)</f>
        <v>#N/A</v>
      </c>
      <c r="AK248" s="86" t="b">
        <f t="shared" si="339"/>
        <v>0</v>
      </c>
      <c r="AL248" s="86">
        <f t="shared" si="370"/>
        <v>0.5</v>
      </c>
      <c r="AM248" s="86">
        <f t="shared" si="340"/>
        <v>0.5</v>
      </c>
      <c r="AN248" s="30" t="e">
        <f t="shared" ca="1" si="371"/>
        <v>#DIV/0!</v>
      </c>
      <c r="AO248" s="85" t="e">
        <f ca="1">IF(U248&lt;=Hypothèses!$V$7,Hypothèses!$W$7,IF(U248&lt;=Hypothèses!$V$8,Hypothèses!$W$8,IF(U248&lt;=Hypothèses!$V$9,Hypothèses!$W$9,IF(U248&lt;=Hypothèses!$V$10,Hypothèses!$W$10,IF(U248&lt;=Hypothèses!$V$11,Hypothèses!$W$11,IF(U248&lt;=Hypothèses!$V$12,Hypothèses!$W$12,IF(U248&lt;=Hypothèses!$V$13,Hypothèses!$W$13,IF(U248&lt;=Hypothèses!$V$14,Hypothèses!$W$14,IF(U248&lt;=Hypothèses!$V$15,Hypothèses!$W$15,IF(U248&lt;=Hypothèses!$V$16,Hypothèses!$W$16,IF(U248&lt;=Hypothèses!$V$17,Hypothèses!$W$17,IF(U248&lt;=Hypothèses!$V$18,Hypothèses!$W$18,""))))))))))))</f>
        <v>#DIV/0!</v>
      </c>
      <c r="AP248" s="87" t="e">
        <f t="shared" ca="1" si="417"/>
        <v>#DIV/0!</v>
      </c>
      <c r="AQ248" s="88" t="e">
        <f ca="1">IF(U248&lt;=Hypothèses!$V$7,Hypothèses!$X$7,IF(U248&lt;=Hypothèses!$V$8,Hypothèses!$X$8,IF(U248&lt;=Hypothèses!$V$9,Hypothèses!$X$9,IF(U248&lt;=Hypothèses!$V$10,Hypothèses!$X$10,IF(U248&lt;=Hypothèses!$V$11,Hypothèses!$X$11,IF(U248&lt;=Hypothèses!$V$12,Hypothèses!$X$12,IF(U248&lt;=Hypothèses!$V$13,Hypothèses!$X$13,IF(U248&lt;=Hypothèses!$V$14,Hypothèses!$X$14,IF(U248&lt;=Hypothèses!$V$15,Hypothèses!$X$15,IF(U248&lt;=Hypothèses!$V$16,Hypothèses!$X$16,IF(U248&lt;=Hypothèses!$U$17,Hypothèses!$W$17,IF(U248&lt;=Hypothèses!$U$18,Hypothèses!$W$18,""))))))))))))</f>
        <v>#DIV/0!</v>
      </c>
      <c r="AR248" s="95" t="e">
        <f t="shared" ca="1" si="372"/>
        <v>#DIV/0!</v>
      </c>
      <c r="AS248" s="101">
        <f t="shared" si="424"/>
        <v>0</v>
      </c>
      <c r="AT248" s="91">
        <f t="shared" si="341"/>
        <v>0</v>
      </c>
      <c r="AU248" s="30" t="e">
        <f t="shared" si="402"/>
        <v>#N/A</v>
      </c>
      <c r="AV248" s="30" t="e">
        <f t="shared" si="403"/>
        <v>#N/A</v>
      </c>
      <c r="AW248" s="31" t="e">
        <f>IF(OR(Hypothèses!$B$4=17,Hypothèses!$B$4=18,Hypothèses!$B$4=19,Hypothèses!$B$4=20),
IF($D248="Pressio.",
IF(OR($E248=3,$E248=1,$E248=4),AV248,AU248),
IF($D248="Pénétro.",
IF(OR($E248=3,$E248=1,$E248=4),AV248,AU248))),IF($D248="Pressio.",
IF($E248=3,AV248,AU248),
IF($D248="Pénétro.",
IF($E248=4,AV248,AU248))))</f>
        <v>#N/A</v>
      </c>
      <c r="AX248" s="31">
        <v>0</v>
      </c>
      <c r="AY248" s="102" t="e">
        <f>IF(NDC!$H$10="Oui",(VLOOKUP($B$3,'Coeff EC7'!$T$39:$X$59,2,0)*AW248+VLOOKUP($B$3,'Coeff EC7'!$T$65:$X$85,2,0)*Model0.1T!AX248)/1.5,PI()*AU$12*$Q248*($B248-$B247)*0.15/10+AY247)</f>
        <v>#N/A</v>
      </c>
      <c r="AZ248" s="102" t="e">
        <f>(VLOOKUP($B$3,'Coeff EC7'!$T$39:$X$59,3,0)*AW248+VLOOKUP($B$3,'Coeff EC7'!$T$65:$X$85,3,0)*Model0.1T!AX248)/1.1</f>
        <v>#N/A</v>
      </c>
      <c r="BA248" s="102" t="e">
        <f t="shared" si="373"/>
        <v>#N/A</v>
      </c>
      <c r="BB248" s="102" t="e">
        <f t="shared" si="374"/>
        <v>#N/A</v>
      </c>
      <c r="BC248" s="414" t="e">
        <f>IF(AND(AY248&gt;NDC!$C$63,AZ248&gt;NDC!$C$65,BA248&gt;NDC!$D$73,BB248&gt;NDC!$D$74,$B248&gt;NDC!$H$22-0.1+MIN(3*BC$12,1.5)),0,1)</f>
        <v>#N/A</v>
      </c>
      <c r="BD248" s="86" t="b">
        <f t="shared" si="342"/>
        <v>0</v>
      </c>
      <c r="BE248" s="86">
        <f t="shared" si="375"/>
        <v>0.5</v>
      </c>
      <c r="BF248" s="86">
        <f t="shared" si="343"/>
        <v>0.5</v>
      </c>
      <c r="BG248" s="30" t="e">
        <f t="shared" ca="1" si="376"/>
        <v>#DIV/0!</v>
      </c>
      <c r="BH248" s="85" t="e">
        <f ca="1">IF(AN248&lt;=Hypothèses!$V$7,Hypothèses!$W$7,IF(AN248&lt;=Hypothèses!$V$8,Hypothèses!$W$8,IF(AN248&lt;=Hypothèses!$V$9,Hypothèses!$W$9,IF(AN248&lt;=Hypothèses!$V$10,Hypothèses!$W$10,IF(AN248&lt;=Hypothèses!$V$11,Hypothèses!$W$11,IF(AN248&lt;=Hypothèses!$V$12,Hypothèses!$W$12,IF(AN248&lt;=Hypothèses!$V$13,Hypothèses!$W$13,IF(AN248&lt;=Hypothèses!$V$14,Hypothèses!$W$14,IF(AN248&lt;=Hypothèses!$V$15,Hypothèses!$W$15,IF(AN248&lt;=Hypothèses!$V$16,Hypothèses!$W$16,IF(AN248&lt;=Hypothèses!$V$17,Hypothèses!$W$17,IF(AN248&lt;=Hypothèses!$V$18,Hypothèses!$W$18,""))))))))))))</f>
        <v>#DIV/0!</v>
      </c>
      <c r="BI248" s="87" t="e">
        <f t="shared" ca="1" si="418"/>
        <v>#DIV/0!</v>
      </c>
      <c r="BJ248" s="88" t="e">
        <f ca="1">IF(AN248&lt;=Hypothèses!$V$7,Hypothèses!$X$7,IF(AN248&lt;=Hypothèses!$V$8,Hypothèses!$X$8,IF(AN248&lt;=Hypothèses!$V$9,Hypothèses!$X$9,IF(AN248&lt;=Hypothèses!$V$10,Hypothèses!$X$10,IF(AN248&lt;=Hypothèses!$V$11,Hypothèses!$X$11,IF(AN248&lt;=Hypothèses!$V$12,Hypothèses!$X$12,IF(AN248&lt;=Hypothèses!$V$13,Hypothèses!$X$13,IF(AN248&lt;=Hypothèses!$V$14,Hypothèses!$X$14,IF(AN248&lt;=Hypothèses!$V$15,Hypothèses!$X$15,IF(AN248&lt;=Hypothèses!$V$16,Hypothèses!$X$16,IF(AN248&lt;=Hypothèses!$U$17,Hypothèses!$W$17,IF(AN248&lt;=Hypothèses!$U$18,Hypothèses!$W$18,""))))))))))))</f>
        <v>#DIV/0!</v>
      </c>
      <c r="BK248" s="95" t="e">
        <f t="shared" ca="1" si="377"/>
        <v>#DIV/0!</v>
      </c>
      <c r="BL248" s="101">
        <f t="shared" si="425"/>
        <v>0</v>
      </c>
      <c r="BM248" s="91">
        <f t="shared" si="344"/>
        <v>0</v>
      </c>
      <c r="BN248" s="30" t="e">
        <f t="shared" si="404"/>
        <v>#N/A</v>
      </c>
      <c r="BO248" s="30" t="e">
        <f t="shared" si="405"/>
        <v>#N/A</v>
      </c>
      <c r="BP248" s="31" t="e">
        <f>IF(OR(Hypothèses!$B$4=17,Hypothèses!$B$4=18,Hypothèses!$B$4=19,Hypothèses!$B$4=20),
IF($D248="Pressio.",
IF(OR($E248=3,$E248=1,$E248=4),BO248,BN248),
IF($D248="Pénétro.",
IF(OR($E248=3,$E248=1,$E248=4),BO248,BN248))),IF($D248="Pressio.",
IF($E248=3,BO248,BN248),
IF($D248="Pénétro.",
IF($E248=4,BO248,BN248))))</f>
        <v>#N/A</v>
      </c>
      <c r="BQ248" s="31">
        <v>0</v>
      </c>
      <c r="BR248" s="102" t="e">
        <f>IF(NDC!$H$10="Oui",(VLOOKUP($B$3,'Coeff EC7'!$T$39:$X$59,2,0)*BP248+VLOOKUP($B$3,'Coeff EC7'!$T$65:$X$85,2,0)*Model0.1T!BQ248)/1.5,PI()*BN$12*$Q248*($B248-$B247)*0.15/10+BR247)</f>
        <v>#N/A</v>
      </c>
      <c r="BS248" s="102" t="e">
        <f>(VLOOKUP($B$3,'Coeff EC7'!$T$39:$X$59,3,0)*BP248+VLOOKUP($B$3,'Coeff EC7'!$T$65:$X$85,3,0)*Model0.1T!BQ248)/1.1</f>
        <v>#N/A</v>
      </c>
      <c r="BT248" s="102" t="e">
        <f t="shared" si="378"/>
        <v>#N/A</v>
      </c>
      <c r="BU248" s="102" t="e">
        <f t="shared" si="379"/>
        <v>#N/A</v>
      </c>
      <c r="BV248" s="414" t="e">
        <f>IF(AND(BR248&gt;NDC!$C$63,BS248&gt;NDC!$C$65,BT248&gt;NDC!$D$73,BU248&gt;NDC!$D$74,$B248&gt;NDC!$H$22-0.1+MIN(3*BV$12,1.5)),0,1)</f>
        <v>#N/A</v>
      </c>
      <c r="BW248" s="86" t="b">
        <f t="shared" si="345"/>
        <v>0</v>
      </c>
      <c r="BX248" s="86">
        <f t="shared" si="346"/>
        <v>0.5</v>
      </c>
      <c r="BY248" s="86">
        <f t="shared" si="347"/>
        <v>0.5</v>
      </c>
      <c r="BZ248" s="30" t="e">
        <f t="shared" ca="1" si="380"/>
        <v>#DIV/0!</v>
      </c>
      <c r="CA248" s="85" t="e">
        <f ca="1">IF(BG248&lt;=Hypothèses!$V$7,Hypothèses!$W$7,IF(BG248&lt;=Hypothèses!$V$8,Hypothèses!$W$8,IF(BG248&lt;=Hypothèses!$V$9,Hypothèses!$W$9,IF(BG248&lt;=Hypothèses!$V$10,Hypothèses!$W$10,IF(BG248&lt;=Hypothèses!$V$11,Hypothèses!$W$11,IF(BG248&lt;=Hypothèses!$V$12,Hypothèses!$W$12,IF(BG248&lt;=Hypothèses!$V$13,Hypothèses!$W$13,IF(BG248&lt;=Hypothèses!$V$14,Hypothèses!$W$14,IF(BG248&lt;=Hypothèses!$V$15,Hypothèses!$W$15,IF(BG248&lt;=Hypothèses!$V$16,Hypothèses!$W$16,IF(BG248&lt;=Hypothèses!$V$17,Hypothèses!$W$17,IF(BG248&lt;=Hypothèses!$V$18,Hypothèses!$W$18,""))))))))))))</f>
        <v>#DIV/0!</v>
      </c>
      <c r="CB248" s="87" t="e">
        <f t="shared" ca="1" si="419"/>
        <v>#DIV/0!</v>
      </c>
      <c r="CC248" s="88" t="e">
        <f ca="1">IF(BG248&lt;=Hypothèses!$V$7,Hypothèses!$X$7,IF(BG248&lt;=Hypothèses!$V$8,Hypothèses!$X$8,IF(BG248&lt;=Hypothèses!$V$9,Hypothèses!$X$9,IF(BG248&lt;=Hypothèses!$V$10,Hypothèses!$X$10,IF(BG248&lt;=Hypothèses!$V$11,Hypothèses!$X$11,IF(BG248&lt;=Hypothèses!$V$12,Hypothèses!$X$12,IF(BG248&lt;=Hypothèses!$V$13,Hypothèses!$X$13,IF(BG248&lt;=Hypothèses!$V$14,Hypothèses!$X$14,IF(BG248&lt;=Hypothèses!$V$15,Hypothèses!$X$15,IF(BG248&lt;=Hypothèses!$V$16,Hypothèses!$X$16,IF(BG248&lt;=Hypothèses!$U$17,Hypothèses!$W$17,IF(BG248&lt;=Hypothèses!$U$18,Hypothèses!$W$18,""))))))))))))</f>
        <v>#DIV/0!</v>
      </c>
      <c r="CD248" s="95" t="e">
        <f t="shared" ca="1" si="381"/>
        <v>#DIV/0!</v>
      </c>
      <c r="CE248" s="101">
        <f t="shared" si="426"/>
        <v>0</v>
      </c>
      <c r="CF248" s="91">
        <f t="shared" si="348"/>
        <v>0</v>
      </c>
      <c r="CG248" s="30" t="e">
        <f t="shared" si="406"/>
        <v>#N/A</v>
      </c>
      <c r="CH248" s="30" t="e">
        <f t="shared" si="407"/>
        <v>#N/A</v>
      </c>
      <c r="CI248" s="31" t="e">
        <f>IF(OR(Hypothèses!$B$4=17,Hypothèses!$B$4=18,Hypothèses!$B$4=19,Hypothèses!$B$4=20),
IF($D248="Pressio.",
IF(OR($E248=3,$E248=1,$E248=4),CH248,CG248),
IF($D248="Pénétro.",
IF(OR($E248=3,$E248=1,$E248=4),CH248,CG248))),IF($D248="Pressio.",
IF($E248=3,CH248,CG248),
IF($D248="Pénétro.",
IF($E248=4,CH248,CG248))))</f>
        <v>#N/A</v>
      </c>
      <c r="CJ248" s="31">
        <v>0</v>
      </c>
      <c r="CK248" s="102" t="e">
        <f>IF(NDC!$H$10="Oui",(VLOOKUP($B$3,'Coeff EC7'!$T$39:$X$59,2,0)*CI248+VLOOKUP($B$3,'Coeff EC7'!$T$65:$X$85,2,0)*Model0.1T!CJ248)/1.5,PI()*CG$12*$Q248*($B248-$B247)*0.15/10+CK247)</f>
        <v>#N/A</v>
      </c>
      <c r="CL248" s="102" t="e">
        <f>(VLOOKUP($B$3,'Coeff EC7'!$T$39:$X$59,3,0)*CI248+VLOOKUP($B$3,'Coeff EC7'!$T$65:$X$85,3,0)*Model0.1T!CJ248)/1.1</f>
        <v>#N/A</v>
      </c>
      <c r="CM248" s="102" t="e">
        <f t="shared" si="382"/>
        <v>#N/A</v>
      </c>
      <c r="CN248" s="102" t="e">
        <f t="shared" si="383"/>
        <v>#N/A</v>
      </c>
      <c r="CO248" s="414" t="e">
        <f>IF(AND(CK248&gt;NDC!$C$63,CL248&gt;NDC!$C$65,CM248&gt;NDC!$D$73,CN248&gt;NDC!$D$74,$B248&gt;NDC!$H$22-0.1+MIN(3*CO$12,1.5)),0,1)</f>
        <v>#N/A</v>
      </c>
      <c r="CP248" s="86" t="b">
        <f t="shared" si="349"/>
        <v>0</v>
      </c>
      <c r="CQ248" s="86">
        <f t="shared" si="350"/>
        <v>0.5</v>
      </c>
      <c r="CR248" s="86">
        <f t="shared" si="351"/>
        <v>0.5</v>
      </c>
      <c r="CS248" s="30" t="e">
        <f t="shared" ca="1" si="384"/>
        <v>#DIV/0!</v>
      </c>
      <c r="CT248" s="85" t="e">
        <f ca="1">IF(BZ248&lt;=Hypothèses!$V$7,Hypothèses!$W$7,IF(BZ248&lt;=Hypothèses!$V$8,Hypothèses!$W$8,IF(BZ248&lt;=Hypothèses!$V$9,Hypothèses!$W$9,IF(BZ248&lt;=Hypothèses!$V$10,Hypothèses!$W$10,IF(BZ248&lt;=Hypothèses!$V$11,Hypothèses!$W$11,IF(BZ248&lt;=Hypothèses!$V$12,Hypothèses!$W$12,IF(BZ248&lt;=Hypothèses!$V$13,Hypothèses!$W$13,IF(BZ248&lt;=Hypothèses!$V$14,Hypothèses!$W$14,IF(BZ248&lt;=Hypothèses!$V$15,Hypothèses!$W$15,IF(BZ248&lt;=Hypothèses!$V$16,Hypothèses!$W$16,IF(BZ248&lt;=Hypothèses!$V$17,Hypothèses!$W$17,IF(BZ248&lt;=Hypothèses!$V$18,Hypothèses!$W$18,""))))))))))))</f>
        <v>#DIV/0!</v>
      </c>
      <c r="CU248" s="87" t="e">
        <f t="shared" ca="1" si="420"/>
        <v>#DIV/0!</v>
      </c>
      <c r="CV248" s="88" t="e">
        <f ca="1">IF(BZ248&lt;=Hypothèses!$V$7,Hypothèses!$X$7,IF(BZ248&lt;=Hypothèses!$V$8,Hypothèses!$X$8,IF(BZ248&lt;=Hypothèses!$V$9,Hypothèses!$X$9,IF(BZ248&lt;=Hypothèses!$V$10,Hypothèses!$X$10,IF(BZ248&lt;=Hypothèses!$V$11,Hypothèses!$X$11,IF(BZ248&lt;=Hypothèses!$V$12,Hypothèses!$X$12,IF(BZ248&lt;=Hypothèses!$V$13,Hypothèses!$X$13,IF(BZ248&lt;=Hypothèses!$V$14,Hypothèses!$X$14,IF(BZ248&lt;=Hypothèses!$V$15,Hypothèses!$X$15,IF(BZ248&lt;=Hypothèses!$V$16,Hypothèses!$X$16,IF(BZ248&lt;=Hypothèses!$U$17,Hypothèses!$W$17,IF(BZ248&lt;=Hypothèses!$U$18,Hypothèses!$W$18,""))))))))))))</f>
        <v>#DIV/0!</v>
      </c>
      <c r="CW248" s="95" t="e">
        <f t="shared" ca="1" si="385"/>
        <v>#DIV/0!</v>
      </c>
      <c r="CX248" s="101">
        <f t="shared" si="427"/>
        <v>0</v>
      </c>
      <c r="CY248" s="91">
        <f t="shared" si="352"/>
        <v>0</v>
      </c>
      <c r="CZ248" s="30" t="e">
        <f t="shared" si="408"/>
        <v>#N/A</v>
      </c>
      <c r="DA248" s="30" t="e">
        <f t="shared" si="409"/>
        <v>#N/A</v>
      </c>
      <c r="DB248" s="31" t="e">
        <f>IF(OR(Hypothèses!$B$4=17,Hypothèses!$B$4=18,Hypothèses!$B$4=19,Hypothèses!$B$4=20),
IF($D248="Pressio.",
IF(OR($E248=3,$E248=1,$E248=4),DA248,CZ248),
IF($D248="Pénétro.",
IF(OR($E248=3,$E248=1,$E248=4),DA248,CZ248))),IF($D248="Pressio.",
IF($E248=3,DA248,CZ248),
IF($D248="Pénétro.",
IF($E248=4,DA248,CZ248))))</f>
        <v>#N/A</v>
      </c>
      <c r="DC248" s="31">
        <v>0</v>
      </c>
      <c r="DD248" s="102" t="e">
        <f>IF(NDC!$H$10="Oui",(VLOOKUP($B$3,'Coeff EC7'!$T$39:$X$59,2,0)*DB248+VLOOKUP($B$3,'Coeff EC7'!$T$65:$X$85,2,0)*Model0.1T!DC248)/1.5,PI()*CZ$12*$Q248*($B248-$B247)*0.15/10+DD247)</f>
        <v>#N/A</v>
      </c>
      <c r="DE248" s="102" t="e">
        <f>(VLOOKUP($B$3,'Coeff EC7'!$T$39:$X$59,3,0)*DB248+VLOOKUP($B$3,'Coeff EC7'!$T$65:$X$85,3,0)*Model0.1T!DC248)/1.1</f>
        <v>#N/A</v>
      </c>
      <c r="DF248" s="102" t="e">
        <f t="shared" si="386"/>
        <v>#N/A</v>
      </c>
      <c r="DG248" s="102" t="e">
        <f t="shared" si="387"/>
        <v>#N/A</v>
      </c>
      <c r="DH248" s="414" t="e">
        <f>IF(AND(DD248&gt;NDC!$C$63,DE248&gt;NDC!$C$65,DF248&gt;NDC!$D$73,DG248&gt;NDC!$D$74,$B248&gt;NDC!$H$22-0.1+MIN(3*DH$12,1.5)),0,1)</f>
        <v>#N/A</v>
      </c>
      <c r="DI248" s="86" t="b">
        <f t="shared" si="353"/>
        <v>0</v>
      </c>
      <c r="DJ248" s="86">
        <f t="shared" si="354"/>
        <v>0.5</v>
      </c>
      <c r="DK248" s="86">
        <f t="shared" si="355"/>
        <v>0.5</v>
      </c>
      <c r="DL248" s="30" t="e">
        <f t="shared" ca="1" si="388"/>
        <v>#DIV/0!</v>
      </c>
      <c r="DM248" s="85" t="e">
        <f ca="1">IF(CS248&lt;=Hypothèses!$V$7,Hypothèses!$W$7,IF(CS248&lt;=Hypothèses!$V$8,Hypothèses!$W$8,IF(CS248&lt;=Hypothèses!$V$9,Hypothèses!$W$9,IF(CS248&lt;=Hypothèses!$V$10,Hypothèses!$W$10,IF(CS248&lt;=Hypothèses!$V$11,Hypothèses!$W$11,IF(CS248&lt;=Hypothèses!$V$12,Hypothèses!$W$12,IF(CS248&lt;=Hypothèses!$V$13,Hypothèses!$W$13,IF(CS248&lt;=Hypothèses!$V$14,Hypothèses!$W$14,IF(CS248&lt;=Hypothèses!$V$15,Hypothèses!$W$15,IF(CS248&lt;=Hypothèses!$V$16,Hypothèses!$W$16,IF(CS248&lt;=Hypothèses!$V$17,Hypothèses!$W$17,IF(CS248&lt;=Hypothèses!$V$18,Hypothèses!$W$18,""))))))))))))</f>
        <v>#DIV/0!</v>
      </c>
      <c r="DN248" s="87" t="e">
        <f t="shared" ca="1" si="421"/>
        <v>#DIV/0!</v>
      </c>
      <c r="DO248" s="88" t="e">
        <f ca="1">IF(CS248&lt;=Hypothèses!$V$7,Hypothèses!$X$7,IF(CS248&lt;=Hypothèses!$V$8,Hypothèses!$X$8,IF(CS248&lt;=Hypothèses!$V$9,Hypothèses!$X$9,IF(CS248&lt;=Hypothèses!$V$10,Hypothèses!$X$10,IF(CS248&lt;=Hypothèses!$V$11,Hypothèses!$X$11,IF(CS248&lt;=Hypothèses!$V$12,Hypothèses!$X$12,IF(CS248&lt;=Hypothèses!$V$13,Hypothèses!$X$13,IF(CS248&lt;=Hypothèses!$V$14,Hypothèses!$X$14,IF(CS248&lt;=Hypothèses!$V$15,Hypothèses!$X$15,IF(CS248&lt;=Hypothèses!$V$16,Hypothèses!$X$16,IF(CS248&lt;=Hypothèses!$U$17,Hypothèses!$W$17,IF(CS248&lt;=Hypothèses!$U$18,Hypothèses!$W$18,""))))))))))))</f>
        <v>#DIV/0!</v>
      </c>
      <c r="DP248" s="95" t="e">
        <f t="shared" ca="1" si="389"/>
        <v>#DIV/0!</v>
      </c>
      <c r="DQ248" s="101">
        <f t="shared" si="428"/>
        <v>0</v>
      </c>
      <c r="DR248" s="91">
        <f t="shared" si="356"/>
        <v>0</v>
      </c>
      <c r="DS248" s="30" t="e">
        <f t="shared" si="410"/>
        <v>#N/A</v>
      </c>
      <c r="DT248" s="30" t="e">
        <f t="shared" si="411"/>
        <v>#N/A</v>
      </c>
      <c r="DU248" s="31" t="e">
        <f>IF(OR(Hypothèses!$B$4=17,Hypothèses!$B$4=18,Hypothèses!$B$4=19,Hypothèses!$B$4=20),
IF($D248="Pressio.",
IF(OR($E248=3,$E248=1,$E248=4),DT248,DS248),
IF($D248="Pénétro.",
IF(OR($E248=3,$E248=1,$E248=4),DT248,DS248))),IF($D248="Pressio.",
IF($E248=3,DT248,DS248),
IF($D248="Pénétro.",
IF($E248=4,DT248,DS248))))</f>
        <v>#N/A</v>
      </c>
      <c r="DV248" s="31">
        <v>0</v>
      </c>
      <c r="DW248" s="102" t="e">
        <f>IF(NDC!$H$10="Oui",(VLOOKUP($B$3,'Coeff EC7'!$T$39:$X$59,2,0)*DU248+VLOOKUP($B$3,'Coeff EC7'!$T$65:$X$85,2,0)*Model0.1T!DV248)/1.5,PI()*DS$12*$Q248*($B248-$B247)*0.15/10+DW247)</f>
        <v>#N/A</v>
      </c>
      <c r="DX248" s="102" t="e">
        <f>(VLOOKUP($B$3,'Coeff EC7'!$T$39:$X$59,3,0)*DU248+VLOOKUP($B$3,'Coeff EC7'!$T$65:$X$85,3,0)*Model0.1T!DV248)/1.1</f>
        <v>#N/A</v>
      </c>
      <c r="DY248" s="102" t="e">
        <f t="shared" si="390"/>
        <v>#N/A</v>
      </c>
      <c r="DZ248" s="102" t="e">
        <f t="shared" si="391"/>
        <v>#N/A</v>
      </c>
      <c r="EA248" s="414" t="e">
        <f>IF(AND(DW248&gt;NDC!$C$63,DX248&gt;NDC!$C$65,DY248&gt;NDC!$D$73,DZ248&gt;NDC!$D$74,$B248&gt;NDC!$H$22-0.1+MIN(3*EA$12,1.5)),0,1)</f>
        <v>#N/A</v>
      </c>
      <c r="EB248" s="86" t="b">
        <f t="shared" si="357"/>
        <v>0</v>
      </c>
      <c r="EC248" s="418">
        <f t="shared" si="358"/>
        <v>0.51</v>
      </c>
      <c r="ED248" s="86">
        <f t="shared" si="359"/>
        <v>0.51</v>
      </c>
      <c r="EE248" s="30" t="e">
        <f t="shared" ca="1" si="392"/>
        <v>#DIV/0!</v>
      </c>
      <c r="EF248" s="85" t="e">
        <f ca="1">IF(DL248&lt;=Hypothèses!$V$7,Hypothèses!$W$7,IF(DL248&lt;=Hypothèses!$V$8,Hypothèses!$W$8,IF(DL248&lt;=Hypothèses!$V$9,Hypothèses!$W$9,IF(DL248&lt;=Hypothèses!$V$10,Hypothèses!$W$10,IF(DL248&lt;=Hypothèses!$V$11,Hypothèses!$W$11,IF(DL248&lt;=Hypothèses!$V$12,Hypothèses!$W$12,IF(DL248&lt;=Hypothèses!$V$13,Hypothèses!$W$13,IF(DL248&lt;=Hypothèses!$V$14,Hypothèses!$W$14,IF(DL248&lt;=Hypothèses!$V$15,Hypothèses!$W$15,IF(DL248&lt;=Hypothèses!$V$16,Hypothèses!$W$16,IF(DL248&lt;=Hypothèses!$V$17,Hypothèses!$W$17,IF(DL248&lt;=Hypothèses!$V$18,Hypothèses!$W$18,""))))))))))))</f>
        <v>#DIV/0!</v>
      </c>
      <c r="EG248" s="87" t="e">
        <f t="shared" ca="1" si="422"/>
        <v>#DIV/0!</v>
      </c>
      <c r="EH248" s="88" t="e">
        <f ca="1">IF(DL248&lt;=Hypothèses!$V$7,Hypothèses!$X$7,IF(DL248&lt;=Hypothèses!$V$8,Hypothèses!$X$8,IF(DL248&lt;=Hypothèses!$V$9,Hypothèses!$X$9,IF(DL248&lt;=Hypothèses!$V$10,Hypothèses!$X$10,IF(DL248&lt;=Hypothèses!$V$11,Hypothèses!$X$11,IF(DL248&lt;=Hypothèses!$V$12,Hypothèses!$X$12,IF(DL248&lt;=Hypothèses!$V$13,Hypothèses!$X$13,IF(DL248&lt;=Hypothèses!$V$14,Hypothèses!$X$14,IF(DL248&lt;=Hypothèses!$V$15,Hypothèses!$X$15,IF(DL248&lt;=Hypothèses!$V$16,Hypothèses!$X$16,IF(DL248&lt;=Hypothèses!$U$17,Hypothèses!$W$17,IF(DL248&lt;=Hypothèses!$U$18,Hypothèses!$W$18,""))))))))))))</f>
        <v>#DIV/0!</v>
      </c>
      <c r="EI248" s="95" t="e">
        <f t="shared" ca="1" si="393"/>
        <v>#DIV/0!</v>
      </c>
      <c r="EJ248" s="101">
        <f t="shared" si="429"/>
        <v>0</v>
      </c>
      <c r="EK248" s="91">
        <f t="shared" si="360"/>
        <v>0</v>
      </c>
      <c r="EL248" s="30" t="e">
        <f t="shared" si="412"/>
        <v>#N/A</v>
      </c>
      <c r="EM248" s="30" t="e">
        <f t="shared" si="413"/>
        <v>#N/A</v>
      </c>
      <c r="EN248" s="31" t="e">
        <f>IF(OR(Hypothèses!$B$4=17,Hypothèses!$B$4=18,Hypothèses!$B$4=19,Hypothèses!$B$4=20),
IF($D248="Pressio.",
IF(OR($E248=3,$E248=1,$E248=4),EM248,EL248),
IF($D248="Pénétro.",
IF(OR($E248=3,$E248=1,$E248=4),EM248,EL248))),IF($D248="Pressio.",
IF($E248=3,EM248,EL248),
IF($D248="Pénétro.",
IF($E248=4,EM248,EL248))))</f>
        <v>#N/A</v>
      </c>
      <c r="EO248" s="31">
        <v>0</v>
      </c>
      <c r="EP248" s="102" t="e">
        <f>IF(NDC!$H$10="Oui",(VLOOKUP($B$3,'Coeff EC7'!$T$39:$X$59,2,0)*EN248+VLOOKUP($B$3,'Coeff EC7'!$T$65:$X$85,2,0)*Model0.1T!EO248)/1.5,PI()*EL$12*$Q248*($B248-$B247)*0.15/10+EP247)</f>
        <v>#N/A</v>
      </c>
      <c r="EQ248" s="102" t="e">
        <f>(VLOOKUP($B$3,'Coeff EC7'!$T$39:$X$59,3,0)*EN248+VLOOKUP($B$3,'Coeff EC7'!$T$65:$X$85,3,0)*Model0.1T!EO248)/1.1</f>
        <v>#N/A</v>
      </c>
      <c r="ER248" s="102" t="e">
        <f t="shared" si="394"/>
        <v>#N/A</v>
      </c>
      <c r="ES248" s="102" t="e">
        <f t="shared" si="395"/>
        <v>#N/A</v>
      </c>
      <c r="ET248" s="414" t="e">
        <f>IF(AND(EP248&gt;NDC!$C$63,EQ248&gt;NDC!$C$65,ER248&gt;NDC!$D$73,ES248&gt;NDC!$D$74,$B248&gt;NDC!$H$22-0.1+MIN(3*ET$12,1.5)),0,1)</f>
        <v>#N/A</v>
      </c>
      <c r="EU248" s="86" t="b">
        <f t="shared" si="361"/>
        <v>0</v>
      </c>
      <c r="EV248" s="86">
        <f t="shared" si="362"/>
        <v>0.61</v>
      </c>
      <c r="EW248" s="86">
        <f t="shared" si="363"/>
        <v>0.61</v>
      </c>
      <c r="EX248" s="30" t="e">
        <f t="shared" ca="1" si="396"/>
        <v>#DIV/0!</v>
      </c>
      <c r="EY248" s="85" t="e">
        <f ca="1">IF(EE248&lt;=Hypothèses!$V$7,Hypothèses!$W$7,IF(EE248&lt;=Hypothèses!$V$8,Hypothèses!$W$8,IF(EE248&lt;=Hypothèses!$V$9,Hypothèses!$W$9,IF(EE248&lt;=Hypothèses!$V$10,Hypothèses!$W$10,IF(EE248&lt;=Hypothèses!$V$11,Hypothèses!$W$11,IF(EE248&lt;=Hypothèses!$V$12,Hypothèses!$W$12,IF(EE248&lt;=Hypothèses!$V$13,Hypothèses!$W$13,IF(EE248&lt;=Hypothèses!$V$14,Hypothèses!$W$14,IF(EE248&lt;=Hypothèses!$V$15,Hypothèses!$W$15,IF(EE248&lt;=Hypothèses!$V$16,Hypothèses!$W$16,IF(EE248&lt;=Hypothèses!$V$17,Hypothèses!$W$17,IF(EE248&lt;=Hypothèses!$V$18,Hypothèses!$W$18,""))))))))))))</f>
        <v>#DIV/0!</v>
      </c>
      <c r="EZ248" s="87" t="e">
        <f t="shared" ca="1" si="423"/>
        <v>#DIV/0!</v>
      </c>
      <c r="FA248" s="88" t="e">
        <f ca="1">IF(EE248&lt;=Hypothèses!$V$7,Hypothèses!$X$7,IF(EE248&lt;=Hypothèses!$V$8,Hypothèses!$X$8,IF(EE248&lt;=Hypothèses!$V$9,Hypothèses!$X$9,IF(EE248&lt;=Hypothèses!$V$10,Hypothèses!$X$10,IF(EE248&lt;=Hypothèses!$V$11,Hypothèses!$X$11,IF(EE248&lt;=Hypothèses!$V$12,Hypothèses!$X$12,IF(EE248&lt;=Hypothèses!$V$13,Hypothèses!$X$13,IF(EE248&lt;=Hypothèses!$V$14,Hypothèses!$X$14,IF(EE248&lt;=Hypothèses!$V$15,Hypothèses!$X$15,IF(EE248&lt;=Hypothèses!$V$16,Hypothèses!$X$16,IF(EE248&lt;=Hypothèses!$U$17,Hypothèses!$W$17,IF(EE248&lt;=Hypothèses!$U$18,Hypothèses!$W$18,""))))))))))))</f>
        <v>#DIV/0!</v>
      </c>
      <c r="FB248" s="95" t="e">
        <f t="shared" ca="1" si="397"/>
        <v>#DIV/0!</v>
      </c>
      <c r="FC248" s="101">
        <f t="shared" si="430"/>
        <v>0</v>
      </c>
      <c r="FD248" s="91">
        <f t="shared" si="364"/>
        <v>0</v>
      </c>
      <c r="FE248" s="30" t="e">
        <f t="shared" si="414"/>
        <v>#N/A</v>
      </c>
      <c r="FF248" s="30" t="e">
        <f t="shared" si="415"/>
        <v>#N/A</v>
      </c>
      <c r="FG248" s="31" t="e">
        <f>IF(OR(Hypothèses!$B$4=17,Hypothèses!$B$4=18,Hypothèses!$B$4=19,Hypothèses!$B$4=20),
IF($D248="Pressio.",
IF(OR($E248=3,$E248=1,$E248=4),FF248,FE248),
IF($D248="Pénétro.",
IF(OR($E248=3,$E248=1,$E248=4),FF248,FE248))),IF($D248="Pressio.",
IF($E248=3,FF248,FE248),
IF($D248="Pénétro.",
IF($E248=4,FF248,FE248))))</f>
        <v>#N/A</v>
      </c>
      <c r="FH248" s="31">
        <v>0</v>
      </c>
      <c r="FI248" s="102" t="e">
        <f>IF(NDC!$H$10="Oui",(VLOOKUP($B$3,'Coeff EC7'!$T$39:$X$59,2,0)*FG248+VLOOKUP($B$3,'Coeff EC7'!$T$65:$X$85,2,0)*Model0.1T!FH248)/1.5,PI()*FE$12*$Q248*($B248-$B247)*0.15/10+FI247)</f>
        <v>#N/A</v>
      </c>
      <c r="FJ248" s="102" t="e">
        <f>(VLOOKUP($B$3,'Coeff EC7'!$T$39:$X$59,3,0)*FG248+VLOOKUP($B$3,'Coeff EC7'!$T$65:$X$85,3,0)*Model0.1T!FH248)/1.1</f>
        <v>#N/A</v>
      </c>
      <c r="FK248" s="102" t="e">
        <f t="shared" si="398"/>
        <v>#N/A</v>
      </c>
      <c r="FL248" s="102" t="e">
        <f t="shared" si="399"/>
        <v>#N/A</v>
      </c>
      <c r="FM248" s="414" t="e">
        <f>IF(AND(FI248&gt;NDC!$C$63,FJ248&gt;NDC!$C$65,FK248&gt;NDC!$D$73,FL248&gt;NDC!$D$74,$B248&gt;NDC!$H$22-0.1+MIN(3*FM$12,1.5)),0,1)</f>
        <v>#N/A</v>
      </c>
    </row>
    <row r="249" spans="1:169">
      <c r="A249" s="96">
        <f t="shared" si="365"/>
        <v>76.400000000001342</v>
      </c>
      <c r="B249" s="97">
        <v>23.6</v>
      </c>
      <c r="C249" s="81">
        <f>IF(B249&lt;=Hypothèses!$C$7,Hypothèses!$A$7,IF(B249&lt;=Hypothèses!$C$8,Hypothèses!$A$8,IF(B249&lt;=Hypothèses!$C$9,Hypothèses!$A$9,IF(B249&lt;=Hypothèses!$C$10,Hypothèses!$A$10,IF(B249&lt;=Hypothèses!$C$11,Hypothèses!$A$11,IF(B249&lt;=Hypothèses!$C$12,Hypothèses!$A$12,IF(B249&lt;=Hypothèses!$C$13,Hypothèses!$A$13,IF(B249&lt;=Hypothèses!$C$14,Hypothèses!$A$14,IF(B249&lt;=Hypothèses!$C$15,Hypothèses!$A$15,IF(B249&lt;=Hypothèses!$C$16,Hypothèses!$A$16,IF(B249&lt;=Hypothèses!$C$17,Hypothèses!$A$17,IF(B249&lt;=Hypothèses!$C$18,Hypothèses!$A$18,C248))))))))))))</f>
        <v>11</v>
      </c>
      <c r="D249" s="82" t="str">
        <f>IF(B249&lt;=Hypothèses!$C$7,Hypothèses!$R$7,IF(B249&lt;=Hypothèses!$C$8,Hypothèses!$R$8,IF(B249&lt;=Hypothèses!$C$9,Hypothèses!$R$9,IF(B249&lt;=Hypothèses!$C$10,Hypothèses!$R$10,IF(B249&lt;=Hypothèses!$C$11,Hypothèses!$R$11,IF(B249&lt;=Hypothèses!$C$12,Hypothèses!$R$12,IF(B249&lt;=Hypothèses!$C$13,Hypothèses!$R$13,IF(B249&lt;=Hypothèses!$C$14,Hypothèses!$R$14,IF(B249&lt;=Hypothèses!$C$15,Hypothèses!$R$15,IF(B249&lt;=Hypothèses!$C$16,Hypothèses!$R$16,IF(B249&lt;=Hypothèses!$C$17,Hypothèses!$R$17,IF(B249&lt;=Hypothèses!$C$18,Hypothèses!$R$18,D248))))))))))))</f>
        <v>Pressio.</v>
      </c>
      <c r="E249" s="82" t="e">
        <f>IF(B249&lt;=Hypothèses!$C$7,Hypothèses!$G$7,IF(B249&lt;=Hypothèses!$C$8,Hypothèses!$G$8,IF(B249&lt;=Hypothèses!$C$9,Hypothèses!$G$9,IF(B249&lt;=Hypothèses!$C$10,Hypothèses!$G$10,IF(B249&lt;=Hypothèses!$C$11,Hypothèses!$G$11,IF(B249&lt;=Hypothèses!$C$12,Hypothèses!$G$12,IF(B249&lt;=Hypothèses!$C$13,Hypothèses!$G$13,IF(B249&lt;=Hypothèses!$C$14,Hypothèses!$G$14,IF(B249&lt;=Hypothèses!$C$15,Hypothèses!$G$15,IF(B249&lt;=Hypothèses!$C$16,Hypothèses!$G$16,IF(B249&lt;=Hypothèses!$C$17,Hypothèses!$G$17,IF(B249&lt;=Hypothèses!$C$18,Hypothèses!$G$18,E248))))))))))))</f>
        <v>#N/A</v>
      </c>
      <c r="F249" s="82" t="str">
        <f>IF(B249&lt;=Hypothèses!$C$7,Hypothèses!$F$7,IF(B249&lt;=Hypothèses!$C$8,Hypothèses!$F$8,IF(B249&lt;=Hypothèses!$C$9,Hypothèses!$F$9,IF(B249&lt;=Hypothèses!$C$10,Hypothèses!$F$10,IF(B249&lt;=Hypothèses!$C$11,Hypothèses!$F$11,IF(B249&lt;=Hypothèses!$C$12,Hypothèses!$F$12,IF(B249&lt;=Hypothèses!$C$13,Hypothèses!$F$13,IF(B249&lt;=Hypothèses!$C$14,Hypothèses!$F$14,IF(B249&lt;=Hypothèses!$C$15,Hypothèses!$F$15,IF(B249&lt;=Hypothèses!$C$16,Hypothèses!$F$16,IF(B249&lt;=Hypothèses!$C$17,Hypothèses!$F$17,IF(B249&lt;=Hypothèses!$C$18,Hypothèses!$F$18,F248))))))))))))</f>
        <v/>
      </c>
      <c r="G249" s="91">
        <f t="array" ref="G249">INDEX('Coeff EC7'!$U$7:$X$27,
MATCH(Model0.1T!$B$3,'Coeff EC7'!$T$7:$T$27,0),
MATCH(Model0.1T!$D249&amp;Model0.1T!$B$4,
'Coeff EC7'!$U$6:$X$6&amp;
'Coeff EC7'!$U$5:$X$5,0))</f>
        <v>1.4</v>
      </c>
      <c r="H249" s="91">
        <f t="array" ref="H249">INDEX('Coeff EC7'!$Y$7:$AB$27,
MATCH(Model0.1T!$B$3,'Coeff EC7'!$T$7:$T$27,0),
MATCH(Model0.1T!$D249&amp;Model0.1T!$B$4,
'Coeff EC7'!$Y$6:$AB$6&amp;
'Coeff EC7'!$Y$5:$AB$5,0))</f>
        <v>1.7</v>
      </c>
      <c r="I249" s="83">
        <v>0</v>
      </c>
      <c r="J249" s="91" t="e">
        <f t="array" ref="J249">INDEX('Coeff EC7'!$D$33:$Q$33,1,MATCH(D249&amp;E249,'Coeff EC7'!$D$31:$Q$31&amp;'Coeff EC7'!$D$32:$Q$32,0))</f>
        <v>#N/A</v>
      </c>
      <c r="K249" s="91" t="e">
        <f t="array" ref="K249">INDEX('Coeff EC7'!$D$34:$Q$34,1,MATCH(D249&amp;E249,'Coeff EC7'!$D$31:$Q$31&amp;'Coeff EC7'!$D$32:$Q$32,0))</f>
        <v>#N/A</v>
      </c>
      <c r="L249" s="91" t="e">
        <f t="array" ref="L249">INDEX('Coeff EC7'!$D$35:$Q$35,1,MATCH(D249&amp;E249,'Coeff EC7'!$D$31:$Q$31&amp;'Coeff EC7'!$D$32:$Q$32,0))</f>
        <v>#N/A</v>
      </c>
      <c r="M249" s="98" t="e">
        <f t="shared" si="331"/>
        <v>#N/A</v>
      </c>
      <c r="N249" s="99" t="e">
        <f t="array" ref="N249">INDEX('Coeff EC7'!$D$7:$Q$27,MATCH($B$3,'Coeff EC7'!$C$7:$C$27,0),MATCH(D249&amp;E249,'Coeff EC7'!$D$5:$Q$5&amp;'Coeff EC7'!$D$6:$Q$6,0))</f>
        <v>#N/A</v>
      </c>
      <c r="O249" s="99" t="e">
        <f t="array" ref="O249">INDEX('Coeff EC7'!$D$41:$Q$61,MATCH($B$3,'Coeff EC7'!$C$41:$C$61,0),MATCH(D249&amp;E249,'Coeff EC7'!$D$39:$Q$39&amp;'Coeff EC7'!$D$40:$Q$40,0))</f>
        <v>#N/A</v>
      </c>
      <c r="P249" s="30" t="e">
        <f t="shared" si="366"/>
        <v>#N/A</v>
      </c>
      <c r="Q249" s="100" t="e">
        <f t="shared" si="333"/>
        <v>#N/A</v>
      </c>
      <c r="R249" s="86" t="b">
        <f t="shared" si="334"/>
        <v>0</v>
      </c>
      <c r="S249" s="86">
        <f t="shared" si="332"/>
        <v>0.5</v>
      </c>
      <c r="T249" s="86">
        <f t="shared" si="335"/>
        <v>0.5</v>
      </c>
      <c r="U249" s="30" t="e">
        <f t="shared" ca="1" si="367"/>
        <v>#DIV/0!</v>
      </c>
      <c r="V249" s="85" t="str">
        <f>IF(B249&lt;=Hypothèses!$V$7,Hypothèses!$W$7,IF(B249&lt;=Hypothèses!$V$8,Hypothèses!$W$8,IF(B249&lt;=Hypothèses!$V$9,Hypothèses!$W$9,IF(B249&lt;=Hypothèses!$V$10,Hypothèses!$W$10,IF(B249&lt;=Hypothèses!$V$11,Hypothèses!$W$11,IF(B249&lt;=Hypothèses!$V$12,Hypothèses!$W$12,IF(B249&lt;=Hypothèses!$V$13,Hypothèses!$W$13,IF(B249&lt;=Hypothèses!$V$14,Hypothèses!$W$14,IF(B249&lt;=Hypothèses!$V$15,Hypothèses!$W$15,IF(B249&lt;=Hypothèses!$V$16,Hypothèses!$W$16,IF(B249&lt;=Hypothèses!$V$17,Hypothèses!$W$17,IF(B249&lt;=Hypothèses!$V$18,Hypothèses!$W$18,""))))))))))))</f>
        <v/>
      </c>
      <c r="W249" s="87" t="e">
        <f t="shared" ca="1" si="416"/>
        <v>#DIV/0!</v>
      </c>
      <c r="X249" s="88" t="str">
        <f>IF(B249&lt;=Hypothèses!$V$7,Hypothèses!$X$7,IF(B249&lt;=Hypothèses!$V$8,Hypothèses!$X$8,IF(B249&lt;=Hypothèses!$V$9,Hypothèses!$X$9,IF(B249&lt;=Hypothèses!$V$10,Hypothèses!$X$10,IF(B249&lt;=Hypothèses!$V$11,Hypothèses!$X$11,IF(B249&lt;=Hypothèses!$V$12,Hypothèses!$X$12,IF(B249&lt;=Hypothèses!$V$13,Hypothèses!$X$13,IF(B249&lt;=Hypothèses!$V$14,Hypothèses!$X$14,IF(B249&lt;=Hypothèses!$V$15,Hypothèses!$X$15,IF(B249&lt;=Hypothèses!$V$16,Hypothèses!$X$16,IF(B249&lt;=Hypothèses!$U$17,Hypothèses!$W$17,IF(B249&lt;=Hypothèses!$U$18,Hypothèses!$W$18,""))))))))))))</f>
        <v/>
      </c>
      <c r="Y249" s="95" t="e">
        <f t="shared" ca="1" si="336"/>
        <v>#DIV/0!</v>
      </c>
      <c r="Z249" s="101">
        <f t="shared" si="337"/>
        <v>0</v>
      </c>
      <c r="AA249" s="91">
        <f t="shared" si="338"/>
        <v>0</v>
      </c>
      <c r="AB249" s="30" t="e">
        <f t="shared" si="400"/>
        <v>#N/A</v>
      </c>
      <c r="AC249" s="30" t="e">
        <f t="shared" si="401"/>
        <v>#N/A</v>
      </c>
      <c r="AD249" s="31" t="e">
        <f>IF(OR(Hypothèses!$B$4=17,Hypothèses!$B$4=18,Hypothèses!$B$4=19,Hypothèses!$B$4=20),
IF($D249="Pressio.",
IF(OR($E249=3,$E249=1,$E249=4),AC249,AB249),
IF($D249="Pénétro.",
IF(OR($E249=3,$E249=1,$E249=4),AC249,AB249))),IF($D249="Pressio.",
IF($E249=3,AC249,AB249),
IF($D249="Pénétro.",
IF($E249=4,AC249,AB249))))</f>
        <v>#N/A</v>
      </c>
      <c r="AE249" s="31">
        <v>0</v>
      </c>
      <c r="AF249" s="102" t="e">
        <f>IF(NDC!$H$10="Oui",(VLOOKUP($B$3,'Coeff EC7'!$T$39:$X$59,2,0)*AD249+VLOOKUP($B$3,'Coeff EC7'!$T$65:$X$85,2,0)*Model0.1T!AE249)/1.5,PI()*AB$12*$Q249*($B249-$B248)*0.15/10+AF248)</f>
        <v>#N/A</v>
      </c>
      <c r="AG249" s="102" t="e">
        <f>(VLOOKUP($B$3,'Coeff EC7'!$T$39:$X$59,3,0)*AD249+VLOOKUP($B$3,'Coeff EC7'!$T$65:$X$85,3,0)*Model0.1T!AE249)/1.1</f>
        <v>#N/A</v>
      </c>
      <c r="AH249" s="102" t="e">
        <f t="shared" si="368"/>
        <v>#N/A</v>
      </c>
      <c r="AI249" s="102" t="e">
        <f t="shared" si="369"/>
        <v>#N/A</v>
      </c>
      <c r="AJ249" s="414" t="e">
        <f>IF(AND(AF249&gt;NDC!$C$63,AG249&gt;NDC!$C$65,AH249&gt;NDC!$D$73,AI249&gt;NDC!$D$74,$B249&gt;NDC!$H$22-0.1+MIN(3*$AJ$12,1.5)),0,1)</f>
        <v>#N/A</v>
      </c>
      <c r="AK249" s="86" t="b">
        <f t="shared" si="339"/>
        <v>0</v>
      </c>
      <c r="AL249" s="86">
        <f t="shared" si="370"/>
        <v>0.5</v>
      </c>
      <c r="AM249" s="86">
        <f t="shared" si="340"/>
        <v>0.5</v>
      </c>
      <c r="AN249" s="30" t="e">
        <f t="shared" ca="1" si="371"/>
        <v>#DIV/0!</v>
      </c>
      <c r="AO249" s="85" t="e">
        <f ca="1">IF(U249&lt;=Hypothèses!$V$7,Hypothèses!$W$7,IF(U249&lt;=Hypothèses!$V$8,Hypothèses!$W$8,IF(U249&lt;=Hypothèses!$V$9,Hypothèses!$W$9,IF(U249&lt;=Hypothèses!$V$10,Hypothèses!$W$10,IF(U249&lt;=Hypothèses!$V$11,Hypothèses!$W$11,IF(U249&lt;=Hypothèses!$V$12,Hypothèses!$W$12,IF(U249&lt;=Hypothèses!$V$13,Hypothèses!$W$13,IF(U249&lt;=Hypothèses!$V$14,Hypothèses!$W$14,IF(U249&lt;=Hypothèses!$V$15,Hypothèses!$W$15,IF(U249&lt;=Hypothèses!$V$16,Hypothèses!$W$16,IF(U249&lt;=Hypothèses!$V$17,Hypothèses!$W$17,IF(U249&lt;=Hypothèses!$V$18,Hypothèses!$W$18,""))))))))))))</f>
        <v>#DIV/0!</v>
      </c>
      <c r="AP249" s="87" t="e">
        <f t="shared" ca="1" si="417"/>
        <v>#DIV/0!</v>
      </c>
      <c r="AQ249" s="88" t="e">
        <f ca="1">IF(U249&lt;=Hypothèses!$V$7,Hypothèses!$X$7,IF(U249&lt;=Hypothèses!$V$8,Hypothèses!$X$8,IF(U249&lt;=Hypothèses!$V$9,Hypothèses!$X$9,IF(U249&lt;=Hypothèses!$V$10,Hypothèses!$X$10,IF(U249&lt;=Hypothèses!$V$11,Hypothèses!$X$11,IF(U249&lt;=Hypothèses!$V$12,Hypothèses!$X$12,IF(U249&lt;=Hypothèses!$V$13,Hypothèses!$X$13,IF(U249&lt;=Hypothèses!$V$14,Hypothèses!$X$14,IF(U249&lt;=Hypothèses!$V$15,Hypothèses!$X$15,IF(U249&lt;=Hypothèses!$V$16,Hypothèses!$X$16,IF(U249&lt;=Hypothèses!$U$17,Hypothèses!$W$17,IF(U249&lt;=Hypothèses!$U$18,Hypothèses!$W$18,""))))))))))))</f>
        <v>#DIV/0!</v>
      </c>
      <c r="AR249" s="95" t="e">
        <f t="shared" ca="1" si="372"/>
        <v>#DIV/0!</v>
      </c>
      <c r="AS249" s="101">
        <f t="shared" si="424"/>
        <v>0</v>
      </c>
      <c r="AT249" s="91">
        <f t="shared" si="341"/>
        <v>0</v>
      </c>
      <c r="AU249" s="30" t="e">
        <f t="shared" si="402"/>
        <v>#N/A</v>
      </c>
      <c r="AV249" s="30" t="e">
        <f t="shared" si="403"/>
        <v>#N/A</v>
      </c>
      <c r="AW249" s="31" t="e">
        <f>IF(OR(Hypothèses!$B$4=17,Hypothèses!$B$4=18,Hypothèses!$B$4=19,Hypothèses!$B$4=20),
IF($D249="Pressio.",
IF(OR($E249=3,$E249=1,$E249=4),AV249,AU249),
IF($D249="Pénétro.",
IF(OR($E249=3,$E249=1,$E249=4),AV249,AU249))),IF($D249="Pressio.",
IF($E249=3,AV249,AU249),
IF($D249="Pénétro.",
IF($E249=4,AV249,AU249))))</f>
        <v>#N/A</v>
      </c>
      <c r="AX249" s="31">
        <v>0</v>
      </c>
      <c r="AY249" s="102" t="e">
        <f>IF(NDC!$H$10="Oui",(VLOOKUP($B$3,'Coeff EC7'!$T$39:$X$59,2,0)*AW249+VLOOKUP($B$3,'Coeff EC7'!$T$65:$X$85,2,0)*Model0.1T!AX249)/1.5,PI()*AU$12*$Q249*($B249-$B248)*0.15/10+AY248)</f>
        <v>#N/A</v>
      </c>
      <c r="AZ249" s="102" t="e">
        <f>(VLOOKUP($B$3,'Coeff EC7'!$T$39:$X$59,3,0)*AW249+VLOOKUP($B$3,'Coeff EC7'!$T$65:$X$85,3,0)*Model0.1T!AX249)/1.1</f>
        <v>#N/A</v>
      </c>
      <c r="BA249" s="102" t="e">
        <f t="shared" si="373"/>
        <v>#N/A</v>
      </c>
      <c r="BB249" s="102" t="e">
        <f t="shared" si="374"/>
        <v>#N/A</v>
      </c>
      <c r="BC249" s="414" t="e">
        <f>IF(AND(AY249&gt;NDC!$C$63,AZ249&gt;NDC!$C$65,BA249&gt;NDC!$D$73,BB249&gt;NDC!$D$74,$B249&gt;NDC!$H$22-0.1+MIN(3*BC$12,1.5)),0,1)</f>
        <v>#N/A</v>
      </c>
      <c r="BD249" s="86" t="b">
        <f t="shared" si="342"/>
        <v>0</v>
      </c>
      <c r="BE249" s="86">
        <f t="shared" si="375"/>
        <v>0.5</v>
      </c>
      <c r="BF249" s="86">
        <f t="shared" si="343"/>
        <v>0.5</v>
      </c>
      <c r="BG249" s="30" t="e">
        <f t="shared" ca="1" si="376"/>
        <v>#DIV/0!</v>
      </c>
      <c r="BH249" s="85" t="e">
        <f ca="1">IF(AN249&lt;=Hypothèses!$V$7,Hypothèses!$W$7,IF(AN249&lt;=Hypothèses!$V$8,Hypothèses!$W$8,IF(AN249&lt;=Hypothèses!$V$9,Hypothèses!$W$9,IF(AN249&lt;=Hypothèses!$V$10,Hypothèses!$W$10,IF(AN249&lt;=Hypothèses!$V$11,Hypothèses!$W$11,IF(AN249&lt;=Hypothèses!$V$12,Hypothèses!$W$12,IF(AN249&lt;=Hypothèses!$V$13,Hypothèses!$W$13,IF(AN249&lt;=Hypothèses!$V$14,Hypothèses!$W$14,IF(AN249&lt;=Hypothèses!$V$15,Hypothèses!$W$15,IF(AN249&lt;=Hypothèses!$V$16,Hypothèses!$W$16,IF(AN249&lt;=Hypothèses!$V$17,Hypothèses!$W$17,IF(AN249&lt;=Hypothèses!$V$18,Hypothèses!$W$18,""))))))))))))</f>
        <v>#DIV/0!</v>
      </c>
      <c r="BI249" s="87" t="e">
        <f t="shared" ca="1" si="418"/>
        <v>#DIV/0!</v>
      </c>
      <c r="BJ249" s="88" t="e">
        <f ca="1">IF(AN249&lt;=Hypothèses!$V$7,Hypothèses!$X$7,IF(AN249&lt;=Hypothèses!$V$8,Hypothèses!$X$8,IF(AN249&lt;=Hypothèses!$V$9,Hypothèses!$X$9,IF(AN249&lt;=Hypothèses!$V$10,Hypothèses!$X$10,IF(AN249&lt;=Hypothèses!$V$11,Hypothèses!$X$11,IF(AN249&lt;=Hypothèses!$V$12,Hypothèses!$X$12,IF(AN249&lt;=Hypothèses!$V$13,Hypothèses!$X$13,IF(AN249&lt;=Hypothèses!$V$14,Hypothèses!$X$14,IF(AN249&lt;=Hypothèses!$V$15,Hypothèses!$X$15,IF(AN249&lt;=Hypothèses!$V$16,Hypothèses!$X$16,IF(AN249&lt;=Hypothèses!$U$17,Hypothèses!$W$17,IF(AN249&lt;=Hypothèses!$U$18,Hypothèses!$W$18,""))))))))))))</f>
        <v>#DIV/0!</v>
      </c>
      <c r="BK249" s="95" t="e">
        <f t="shared" ca="1" si="377"/>
        <v>#DIV/0!</v>
      </c>
      <c r="BL249" s="101">
        <f t="shared" si="425"/>
        <v>0</v>
      </c>
      <c r="BM249" s="91">
        <f t="shared" si="344"/>
        <v>0</v>
      </c>
      <c r="BN249" s="30" t="e">
        <f t="shared" si="404"/>
        <v>#N/A</v>
      </c>
      <c r="BO249" s="30" t="e">
        <f t="shared" si="405"/>
        <v>#N/A</v>
      </c>
      <c r="BP249" s="31" t="e">
        <f>IF(OR(Hypothèses!$B$4=17,Hypothèses!$B$4=18,Hypothèses!$B$4=19,Hypothèses!$B$4=20),
IF($D249="Pressio.",
IF(OR($E249=3,$E249=1,$E249=4),BO249,BN249),
IF($D249="Pénétro.",
IF(OR($E249=3,$E249=1,$E249=4),BO249,BN249))),IF($D249="Pressio.",
IF($E249=3,BO249,BN249),
IF($D249="Pénétro.",
IF($E249=4,BO249,BN249))))</f>
        <v>#N/A</v>
      </c>
      <c r="BQ249" s="31">
        <v>0</v>
      </c>
      <c r="BR249" s="102" t="e">
        <f>IF(NDC!$H$10="Oui",(VLOOKUP($B$3,'Coeff EC7'!$T$39:$X$59,2,0)*BP249+VLOOKUP($B$3,'Coeff EC7'!$T$65:$X$85,2,0)*Model0.1T!BQ249)/1.5,PI()*BN$12*$Q249*($B249-$B248)*0.15/10+BR248)</f>
        <v>#N/A</v>
      </c>
      <c r="BS249" s="102" t="e">
        <f>(VLOOKUP($B$3,'Coeff EC7'!$T$39:$X$59,3,0)*BP249+VLOOKUP($B$3,'Coeff EC7'!$T$65:$X$85,3,0)*Model0.1T!BQ249)/1.1</f>
        <v>#N/A</v>
      </c>
      <c r="BT249" s="102" t="e">
        <f t="shared" si="378"/>
        <v>#N/A</v>
      </c>
      <c r="BU249" s="102" t="e">
        <f t="shared" si="379"/>
        <v>#N/A</v>
      </c>
      <c r="BV249" s="414" t="e">
        <f>IF(AND(BR249&gt;NDC!$C$63,BS249&gt;NDC!$C$65,BT249&gt;NDC!$D$73,BU249&gt;NDC!$D$74,$B249&gt;NDC!$H$22-0.1+MIN(3*BV$12,1.5)),0,1)</f>
        <v>#N/A</v>
      </c>
      <c r="BW249" s="86" t="b">
        <f t="shared" si="345"/>
        <v>0</v>
      </c>
      <c r="BX249" s="86">
        <f t="shared" si="346"/>
        <v>0.5</v>
      </c>
      <c r="BY249" s="86">
        <f t="shared" si="347"/>
        <v>0.5</v>
      </c>
      <c r="BZ249" s="30" t="e">
        <f t="shared" ca="1" si="380"/>
        <v>#DIV/0!</v>
      </c>
      <c r="CA249" s="85" t="e">
        <f ca="1">IF(BG249&lt;=Hypothèses!$V$7,Hypothèses!$W$7,IF(BG249&lt;=Hypothèses!$V$8,Hypothèses!$W$8,IF(BG249&lt;=Hypothèses!$V$9,Hypothèses!$W$9,IF(BG249&lt;=Hypothèses!$V$10,Hypothèses!$W$10,IF(BG249&lt;=Hypothèses!$V$11,Hypothèses!$W$11,IF(BG249&lt;=Hypothèses!$V$12,Hypothèses!$W$12,IF(BG249&lt;=Hypothèses!$V$13,Hypothèses!$W$13,IF(BG249&lt;=Hypothèses!$V$14,Hypothèses!$W$14,IF(BG249&lt;=Hypothèses!$V$15,Hypothèses!$W$15,IF(BG249&lt;=Hypothèses!$V$16,Hypothèses!$W$16,IF(BG249&lt;=Hypothèses!$V$17,Hypothèses!$W$17,IF(BG249&lt;=Hypothèses!$V$18,Hypothèses!$W$18,""))))))))))))</f>
        <v>#DIV/0!</v>
      </c>
      <c r="CB249" s="87" t="e">
        <f t="shared" ca="1" si="419"/>
        <v>#DIV/0!</v>
      </c>
      <c r="CC249" s="88" t="e">
        <f ca="1">IF(BG249&lt;=Hypothèses!$V$7,Hypothèses!$X$7,IF(BG249&lt;=Hypothèses!$V$8,Hypothèses!$X$8,IF(BG249&lt;=Hypothèses!$V$9,Hypothèses!$X$9,IF(BG249&lt;=Hypothèses!$V$10,Hypothèses!$X$10,IF(BG249&lt;=Hypothèses!$V$11,Hypothèses!$X$11,IF(BG249&lt;=Hypothèses!$V$12,Hypothèses!$X$12,IF(BG249&lt;=Hypothèses!$V$13,Hypothèses!$X$13,IF(BG249&lt;=Hypothèses!$V$14,Hypothèses!$X$14,IF(BG249&lt;=Hypothèses!$V$15,Hypothèses!$X$15,IF(BG249&lt;=Hypothèses!$V$16,Hypothèses!$X$16,IF(BG249&lt;=Hypothèses!$U$17,Hypothèses!$W$17,IF(BG249&lt;=Hypothèses!$U$18,Hypothèses!$W$18,""))))))))))))</f>
        <v>#DIV/0!</v>
      </c>
      <c r="CD249" s="95" t="e">
        <f t="shared" ca="1" si="381"/>
        <v>#DIV/0!</v>
      </c>
      <c r="CE249" s="101">
        <f t="shared" si="426"/>
        <v>0</v>
      </c>
      <c r="CF249" s="91">
        <f t="shared" si="348"/>
        <v>0</v>
      </c>
      <c r="CG249" s="30" t="e">
        <f t="shared" si="406"/>
        <v>#N/A</v>
      </c>
      <c r="CH249" s="30" t="e">
        <f t="shared" si="407"/>
        <v>#N/A</v>
      </c>
      <c r="CI249" s="31" t="e">
        <f>IF(OR(Hypothèses!$B$4=17,Hypothèses!$B$4=18,Hypothèses!$B$4=19,Hypothèses!$B$4=20),
IF($D249="Pressio.",
IF(OR($E249=3,$E249=1,$E249=4),CH249,CG249),
IF($D249="Pénétro.",
IF(OR($E249=3,$E249=1,$E249=4),CH249,CG249))),IF($D249="Pressio.",
IF($E249=3,CH249,CG249),
IF($D249="Pénétro.",
IF($E249=4,CH249,CG249))))</f>
        <v>#N/A</v>
      </c>
      <c r="CJ249" s="31">
        <v>0</v>
      </c>
      <c r="CK249" s="102" t="e">
        <f>IF(NDC!$H$10="Oui",(VLOOKUP($B$3,'Coeff EC7'!$T$39:$X$59,2,0)*CI249+VLOOKUP($B$3,'Coeff EC7'!$T$65:$X$85,2,0)*Model0.1T!CJ249)/1.5,PI()*CG$12*$Q249*($B249-$B248)*0.15/10+CK248)</f>
        <v>#N/A</v>
      </c>
      <c r="CL249" s="102" t="e">
        <f>(VLOOKUP($B$3,'Coeff EC7'!$T$39:$X$59,3,0)*CI249+VLOOKUP($B$3,'Coeff EC7'!$T$65:$X$85,3,0)*Model0.1T!CJ249)/1.1</f>
        <v>#N/A</v>
      </c>
      <c r="CM249" s="102" t="e">
        <f t="shared" si="382"/>
        <v>#N/A</v>
      </c>
      <c r="CN249" s="102" t="e">
        <f t="shared" si="383"/>
        <v>#N/A</v>
      </c>
      <c r="CO249" s="414" t="e">
        <f>IF(AND(CK249&gt;NDC!$C$63,CL249&gt;NDC!$C$65,CM249&gt;NDC!$D$73,CN249&gt;NDC!$D$74,$B249&gt;NDC!$H$22-0.1+MIN(3*CO$12,1.5)),0,1)</f>
        <v>#N/A</v>
      </c>
      <c r="CP249" s="86" t="b">
        <f t="shared" si="349"/>
        <v>0</v>
      </c>
      <c r="CQ249" s="86">
        <f t="shared" si="350"/>
        <v>0.5</v>
      </c>
      <c r="CR249" s="86">
        <f t="shared" si="351"/>
        <v>0.5</v>
      </c>
      <c r="CS249" s="30" t="e">
        <f t="shared" ca="1" si="384"/>
        <v>#DIV/0!</v>
      </c>
      <c r="CT249" s="85" t="e">
        <f ca="1">IF(BZ249&lt;=Hypothèses!$V$7,Hypothèses!$W$7,IF(BZ249&lt;=Hypothèses!$V$8,Hypothèses!$W$8,IF(BZ249&lt;=Hypothèses!$V$9,Hypothèses!$W$9,IF(BZ249&lt;=Hypothèses!$V$10,Hypothèses!$W$10,IF(BZ249&lt;=Hypothèses!$V$11,Hypothèses!$W$11,IF(BZ249&lt;=Hypothèses!$V$12,Hypothèses!$W$12,IF(BZ249&lt;=Hypothèses!$V$13,Hypothèses!$W$13,IF(BZ249&lt;=Hypothèses!$V$14,Hypothèses!$W$14,IF(BZ249&lt;=Hypothèses!$V$15,Hypothèses!$W$15,IF(BZ249&lt;=Hypothèses!$V$16,Hypothèses!$W$16,IF(BZ249&lt;=Hypothèses!$V$17,Hypothèses!$W$17,IF(BZ249&lt;=Hypothèses!$V$18,Hypothèses!$W$18,""))))))))))))</f>
        <v>#DIV/0!</v>
      </c>
      <c r="CU249" s="87" t="e">
        <f t="shared" ca="1" si="420"/>
        <v>#DIV/0!</v>
      </c>
      <c r="CV249" s="88" t="e">
        <f ca="1">IF(BZ249&lt;=Hypothèses!$V$7,Hypothèses!$X$7,IF(BZ249&lt;=Hypothèses!$V$8,Hypothèses!$X$8,IF(BZ249&lt;=Hypothèses!$V$9,Hypothèses!$X$9,IF(BZ249&lt;=Hypothèses!$V$10,Hypothèses!$X$10,IF(BZ249&lt;=Hypothèses!$V$11,Hypothèses!$X$11,IF(BZ249&lt;=Hypothèses!$V$12,Hypothèses!$X$12,IF(BZ249&lt;=Hypothèses!$V$13,Hypothèses!$X$13,IF(BZ249&lt;=Hypothèses!$V$14,Hypothèses!$X$14,IF(BZ249&lt;=Hypothèses!$V$15,Hypothèses!$X$15,IF(BZ249&lt;=Hypothèses!$V$16,Hypothèses!$X$16,IF(BZ249&lt;=Hypothèses!$U$17,Hypothèses!$W$17,IF(BZ249&lt;=Hypothèses!$U$18,Hypothèses!$W$18,""))))))))))))</f>
        <v>#DIV/0!</v>
      </c>
      <c r="CW249" s="95" t="e">
        <f t="shared" ca="1" si="385"/>
        <v>#DIV/0!</v>
      </c>
      <c r="CX249" s="101">
        <f t="shared" si="427"/>
        <v>0</v>
      </c>
      <c r="CY249" s="91">
        <f t="shared" si="352"/>
        <v>0</v>
      </c>
      <c r="CZ249" s="30" t="e">
        <f t="shared" si="408"/>
        <v>#N/A</v>
      </c>
      <c r="DA249" s="30" t="e">
        <f t="shared" si="409"/>
        <v>#N/A</v>
      </c>
      <c r="DB249" s="31" t="e">
        <f>IF(OR(Hypothèses!$B$4=17,Hypothèses!$B$4=18,Hypothèses!$B$4=19,Hypothèses!$B$4=20),
IF($D249="Pressio.",
IF(OR($E249=3,$E249=1,$E249=4),DA249,CZ249),
IF($D249="Pénétro.",
IF(OR($E249=3,$E249=1,$E249=4),DA249,CZ249))),IF($D249="Pressio.",
IF($E249=3,DA249,CZ249),
IF($D249="Pénétro.",
IF($E249=4,DA249,CZ249))))</f>
        <v>#N/A</v>
      </c>
      <c r="DC249" s="31">
        <v>0</v>
      </c>
      <c r="DD249" s="102" t="e">
        <f>IF(NDC!$H$10="Oui",(VLOOKUP($B$3,'Coeff EC7'!$T$39:$X$59,2,0)*DB249+VLOOKUP($B$3,'Coeff EC7'!$T$65:$X$85,2,0)*Model0.1T!DC249)/1.5,PI()*CZ$12*$Q249*($B249-$B248)*0.15/10+DD248)</f>
        <v>#N/A</v>
      </c>
      <c r="DE249" s="102" t="e">
        <f>(VLOOKUP($B$3,'Coeff EC7'!$T$39:$X$59,3,0)*DB249+VLOOKUP($B$3,'Coeff EC7'!$T$65:$X$85,3,0)*Model0.1T!DC249)/1.1</f>
        <v>#N/A</v>
      </c>
      <c r="DF249" s="102" t="e">
        <f t="shared" si="386"/>
        <v>#N/A</v>
      </c>
      <c r="DG249" s="102" t="e">
        <f t="shared" si="387"/>
        <v>#N/A</v>
      </c>
      <c r="DH249" s="414" t="e">
        <f>IF(AND(DD249&gt;NDC!$C$63,DE249&gt;NDC!$C$65,DF249&gt;NDC!$D$73,DG249&gt;NDC!$D$74,$B249&gt;NDC!$H$22-0.1+MIN(3*DH$12,1.5)),0,1)</f>
        <v>#N/A</v>
      </c>
      <c r="DI249" s="86" t="b">
        <f t="shared" si="353"/>
        <v>0</v>
      </c>
      <c r="DJ249" s="86">
        <f t="shared" si="354"/>
        <v>0.5</v>
      </c>
      <c r="DK249" s="86">
        <f t="shared" si="355"/>
        <v>0.5</v>
      </c>
      <c r="DL249" s="30" t="e">
        <f t="shared" ca="1" si="388"/>
        <v>#DIV/0!</v>
      </c>
      <c r="DM249" s="85" t="e">
        <f ca="1">IF(CS249&lt;=Hypothèses!$V$7,Hypothèses!$W$7,IF(CS249&lt;=Hypothèses!$V$8,Hypothèses!$W$8,IF(CS249&lt;=Hypothèses!$V$9,Hypothèses!$W$9,IF(CS249&lt;=Hypothèses!$V$10,Hypothèses!$W$10,IF(CS249&lt;=Hypothèses!$V$11,Hypothèses!$W$11,IF(CS249&lt;=Hypothèses!$V$12,Hypothèses!$W$12,IF(CS249&lt;=Hypothèses!$V$13,Hypothèses!$W$13,IF(CS249&lt;=Hypothèses!$V$14,Hypothèses!$W$14,IF(CS249&lt;=Hypothèses!$V$15,Hypothèses!$W$15,IF(CS249&lt;=Hypothèses!$V$16,Hypothèses!$W$16,IF(CS249&lt;=Hypothèses!$V$17,Hypothèses!$W$17,IF(CS249&lt;=Hypothèses!$V$18,Hypothèses!$W$18,""))))))))))))</f>
        <v>#DIV/0!</v>
      </c>
      <c r="DN249" s="87" t="e">
        <f t="shared" ca="1" si="421"/>
        <v>#DIV/0!</v>
      </c>
      <c r="DO249" s="88" t="e">
        <f ca="1">IF(CS249&lt;=Hypothèses!$V$7,Hypothèses!$X$7,IF(CS249&lt;=Hypothèses!$V$8,Hypothèses!$X$8,IF(CS249&lt;=Hypothèses!$V$9,Hypothèses!$X$9,IF(CS249&lt;=Hypothèses!$V$10,Hypothèses!$X$10,IF(CS249&lt;=Hypothèses!$V$11,Hypothèses!$X$11,IF(CS249&lt;=Hypothèses!$V$12,Hypothèses!$X$12,IF(CS249&lt;=Hypothèses!$V$13,Hypothèses!$X$13,IF(CS249&lt;=Hypothèses!$V$14,Hypothèses!$X$14,IF(CS249&lt;=Hypothèses!$V$15,Hypothèses!$X$15,IF(CS249&lt;=Hypothèses!$V$16,Hypothèses!$X$16,IF(CS249&lt;=Hypothèses!$U$17,Hypothèses!$W$17,IF(CS249&lt;=Hypothèses!$U$18,Hypothèses!$W$18,""))))))))))))</f>
        <v>#DIV/0!</v>
      </c>
      <c r="DP249" s="95" t="e">
        <f t="shared" ca="1" si="389"/>
        <v>#DIV/0!</v>
      </c>
      <c r="DQ249" s="101">
        <f t="shared" si="428"/>
        <v>0</v>
      </c>
      <c r="DR249" s="91">
        <f t="shared" si="356"/>
        <v>0</v>
      </c>
      <c r="DS249" s="30" t="e">
        <f t="shared" si="410"/>
        <v>#N/A</v>
      </c>
      <c r="DT249" s="30" t="e">
        <f t="shared" si="411"/>
        <v>#N/A</v>
      </c>
      <c r="DU249" s="31" t="e">
        <f>IF(OR(Hypothèses!$B$4=17,Hypothèses!$B$4=18,Hypothèses!$B$4=19,Hypothèses!$B$4=20),
IF($D249="Pressio.",
IF(OR($E249=3,$E249=1,$E249=4),DT249,DS249),
IF($D249="Pénétro.",
IF(OR($E249=3,$E249=1,$E249=4),DT249,DS249))),IF($D249="Pressio.",
IF($E249=3,DT249,DS249),
IF($D249="Pénétro.",
IF($E249=4,DT249,DS249))))</f>
        <v>#N/A</v>
      </c>
      <c r="DV249" s="31">
        <v>0</v>
      </c>
      <c r="DW249" s="102" t="e">
        <f>IF(NDC!$H$10="Oui",(VLOOKUP($B$3,'Coeff EC7'!$T$39:$X$59,2,0)*DU249+VLOOKUP($B$3,'Coeff EC7'!$T$65:$X$85,2,0)*Model0.1T!DV249)/1.5,PI()*DS$12*$Q249*($B249-$B248)*0.15/10+DW248)</f>
        <v>#N/A</v>
      </c>
      <c r="DX249" s="102" t="e">
        <f>(VLOOKUP($B$3,'Coeff EC7'!$T$39:$X$59,3,0)*DU249+VLOOKUP($B$3,'Coeff EC7'!$T$65:$X$85,3,0)*Model0.1T!DV249)/1.1</f>
        <v>#N/A</v>
      </c>
      <c r="DY249" s="102" t="e">
        <f t="shared" si="390"/>
        <v>#N/A</v>
      </c>
      <c r="DZ249" s="102" t="e">
        <f t="shared" si="391"/>
        <v>#N/A</v>
      </c>
      <c r="EA249" s="414" t="e">
        <f>IF(AND(DW249&gt;NDC!$C$63,DX249&gt;NDC!$C$65,DY249&gt;NDC!$D$73,DZ249&gt;NDC!$D$74,$B249&gt;NDC!$H$22-0.1+MIN(3*EA$12,1.5)),0,1)</f>
        <v>#N/A</v>
      </c>
      <c r="EB249" s="86" t="b">
        <f t="shared" si="357"/>
        <v>0</v>
      </c>
      <c r="EC249" s="418">
        <f t="shared" si="358"/>
        <v>0.51</v>
      </c>
      <c r="ED249" s="86">
        <f t="shared" si="359"/>
        <v>0.51</v>
      </c>
      <c r="EE249" s="30" t="e">
        <f t="shared" ca="1" si="392"/>
        <v>#DIV/0!</v>
      </c>
      <c r="EF249" s="85" t="e">
        <f ca="1">IF(DL249&lt;=Hypothèses!$V$7,Hypothèses!$W$7,IF(DL249&lt;=Hypothèses!$V$8,Hypothèses!$W$8,IF(DL249&lt;=Hypothèses!$V$9,Hypothèses!$W$9,IF(DL249&lt;=Hypothèses!$V$10,Hypothèses!$W$10,IF(DL249&lt;=Hypothèses!$V$11,Hypothèses!$W$11,IF(DL249&lt;=Hypothèses!$V$12,Hypothèses!$W$12,IF(DL249&lt;=Hypothèses!$V$13,Hypothèses!$W$13,IF(DL249&lt;=Hypothèses!$V$14,Hypothèses!$W$14,IF(DL249&lt;=Hypothèses!$V$15,Hypothèses!$W$15,IF(DL249&lt;=Hypothèses!$V$16,Hypothèses!$W$16,IF(DL249&lt;=Hypothèses!$V$17,Hypothèses!$W$17,IF(DL249&lt;=Hypothèses!$V$18,Hypothèses!$W$18,""))))))))))))</f>
        <v>#DIV/0!</v>
      </c>
      <c r="EG249" s="87" t="e">
        <f t="shared" ca="1" si="422"/>
        <v>#DIV/0!</v>
      </c>
      <c r="EH249" s="88" t="e">
        <f ca="1">IF(DL249&lt;=Hypothèses!$V$7,Hypothèses!$X$7,IF(DL249&lt;=Hypothèses!$V$8,Hypothèses!$X$8,IF(DL249&lt;=Hypothèses!$V$9,Hypothèses!$X$9,IF(DL249&lt;=Hypothèses!$V$10,Hypothèses!$X$10,IF(DL249&lt;=Hypothèses!$V$11,Hypothèses!$X$11,IF(DL249&lt;=Hypothèses!$V$12,Hypothèses!$X$12,IF(DL249&lt;=Hypothèses!$V$13,Hypothèses!$X$13,IF(DL249&lt;=Hypothèses!$V$14,Hypothèses!$X$14,IF(DL249&lt;=Hypothèses!$V$15,Hypothèses!$X$15,IF(DL249&lt;=Hypothèses!$V$16,Hypothèses!$X$16,IF(DL249&lt;=Hypothèses!$U$17,Hypothèses!$W$17,IF(DL249&lt;=Hypothèses!$U$18,Hypothèses!$W$18,""))))))))))))</f>
        <v>#DIV/0!</v>
      </c>
      <c r="EI249" s="95" t="e">
        <f t="shared" ca="1" si="393"/>
        <v>#DIV/0!</v>
      </c>
      <c r="EJ249" s="101">
        <f t="shared" si="429"/>
        <v>0</v>
      </c>
      <c r="EK249" s="91">
        <f t="shared" si="360"/>
        <v>0</v>
      </c>
      <c r="EL249" s="30" t="e">
        <f t="shared" si="412"/>
        <v>#N/A</v>
      </c>
      <c r="EM249" s="30" t="e">
        <f t="shared" si="413"/>
        <v>#N/A</v>
      </c>
      <c r="EN249" s="31" t="e">
        <f>IF(OR(Hypothèses!$B$4=17,Hypothèses!$B$4=18,Hypothèses!$B$4=19,Hypothèses!$B$4=20),
IF($D249="Pressio.",
IF(OR($E249=3,$E249=1,$E249=4),EM249,EL249),
IF($D249="Pénétro.",
IF(OR($E249=3,$E249=1,$E249=4),EM249,EL249))),IF($D249="Pressio.",
IF($E249=3,EM249,EL249),
IF($D249="Pénétro.",
IF($E249=4,EM249,EL249))))</f>
        <v>#N/A</v>
      </c>
      <c r="EO249" s="31">
        <v>0</v>
      </c>
      <c r="EP249" s="102" t="e">
        <f>IF(NDC!$H$10="Oui",(VLOOKUP($B$3,'Coeff EC7'!$T$39:$X$59,2,0)*EN249+VLOOKUP($B$3,'Coeff EC7'!$T$65:$X$85,2,0)*Model0.1T!EO249)/1.5,PI()*EL$12*$Q249*($B249-$B248)*0.15/10+EP248)</f>
        <v>#N/A</v>
      </c>
      <c r="EQ249" s="102" t="e">
        <f>(VLOOKUP($B$3,'Coeff EC7'!$T$39:$X$59,3,0)*EN249+VLOOKUP($B$3,'Coeff EC7'!$T$65:$X$85,3,0)*Model0.1T!EO249)/1.1</f>
        <v>#N/A</v>
      </c>
      <c r="ER249" s="102" t="e">
        <f t="shared" si="394"/>
        <v>#N/A</v>
      </c>
      <c r="ES249" s="102" t="e">
        <f t="shared" si="395"/>
        <v>#N/A</v>
      </c>
      <c r="ET249" s="414" t="e">
        <f>IF(AND(EP249&gt;NDC!$C$63,EQ249&gt;NDC!$C$65,ER249&gt;NDC!$D$73,ES249&gt;NDC!$D$74,$B249&gt;NDC!$H$22-0.1+MIN(3*ET$12,1.5)),0,1)</f>
        <v>#N/A</v>
      </c>
      <c r="EU249" s="86" t="b">
        <f t="shared" si="361"/>
        <v>0</v>
      </c>
      <c r="EV249" s="86">
        <f t="shared" si="362"/>
        <v>0.61</v>
      </c>
      <c r="EW249" s="86">
        <f t="shared" si="363"/>
        <v>0.61</v>
      </c>
      <c r="EX249" s="30" t="e">
        <f t="shared" ca="1" si="396"/>
        <v>#DIV/0!</v>
      </c>
      <c r="EY249" s="85" t="e">
        <f ca="1">IF(EE249&lt;=Hypothèses!$V$7,Hypothèses!$W$7,IF(EE249&lt;=Hypothèses!$V$8,Hypothèses!$W$8,IF(EE249&lt;=Hypothèses!$V$9,Hypothèses!$W$9,IF(EE249&lt;=Hypothèses!$V$10,Hypothèses!$W$10,IF(EE249&lt;=Hypothèses!$V$11,Hypothèses!$W$11,IF(EE249&lt;=Hypothèses!$V$12,Hypothèses!$W$12,IF(EE249&lt;=Hypothèses!$V$13,Hypothèses!$W$13,IF(EE249&lt;=Hypothèses!$V$14,Hypothèses!$W$14,IF(EE249&lt;=Hypothèses!$V$15,Hypothèses!$W$15,IF(EE249&lt;=Hypothèses!$V$16,Hypothèses!$W$16,IF(EE249&lt;=Hypothèses!$V$17,Hypothèses!$W$17,IF(EE249&lt;=Hypothèses!$V$18,Hypothèses!$W$18,""))))))))))))</f>
        <v>#DIV/0!</v>
      </c>
      <c r="EZ249" s="87" t="e">
        <f t="shared" ca="1" si="423"/>
        <v>#DIV/0!</v>
      </c>
      <c r="FA249" s="88" t="e">
        <f ca="1">IF(EE249&lt;=Hypothèses!$V$7,Hypothèses!$X$7,IF(EE249&lt;=Hypothèses!$V$8,Hypothèses!$X$8,IF(EE249&lt;=Hypothèses!$V$9,Hypothèses!$X$9,IF(EE249&lt;=Hypothèses!$V$10,Hypothèses!$X$10,IF(EE249&lt;=Hypothèses!$V$11,Hypothèses!$X$11,IF(EE249&lt;=Hypothèses!$V$12,Hypothèses!$X$12,IF(EE249&lt;=Hypothèses!$V$13,Hypothèses!$X$13,IF(EE249&lt;=Hypothèses!$V$14,Hypothèses!$X$14,IF(EE249&lt;=Hypothèses!$V$15,Hypothèses!$X$15,IF(EE249&lt;=Hypothèses!$V$16,Hypothèses!$X$16,IF(EE249&lt;=Hypothèses!$U$17,Hypothèses!$W$17,IF(EE249&lt;=Hypothèses!$U$18,Hypothèses!$W$18,""))))))))))))</f>
        <v>#DIV/0!</v>
      </c>
      <c r="FB249" s="95" t="e">
        <f t="shared" ca="1" si="397"/>
        <v>#DIV/0!</v>
      </c>
      <c r="FC249" s="101">
        <f t="shared" si="430"/>
        <v>0</v>
      </c>
      <c r="FD249" s="91">
        <f t="shared" si="364"/>
        <v>0</v>
      </c>
      <c r="FE249" s="30" t="e">
        <f t="shared" si="414"/>
        <v>#N/A</v>
      </c>
      <c r="FF249" s="30" t="e">
        <f t="shared" si="415"/>
        <v>#N/A</v>
      </c>
      <c r="FG249" s="31" t="e">
        <f>IF(OR(Hypothèses!$B$4=17,Hypothèses!$B$4=18,Hypothèses!$B$4=19,Hypothèses!$B$4=20),
IF($D249="Pressio.",
IF(OR($E249=3,$E249=1,$E249=4),FF249,FE249),
IF($D249="Pénétro.",
IF(OR($E249=3,$E249=1,$E249=4),FF249,FE249))),IF($D249="Pressio.",
IF($E249=3,FF249,FE249),
IF($D249="Pénétro.",
IF($E249=4,FF249,FE249))))</f>
        <v>#N/A</v>
      </c>
      <c r="FH249" s="31">
        <v>0</v>
      </c>
      <c r="FI249" s="102" t="e">
        <f>IF(NDC!$H$10="Oui",(VLOOKUP($B$3,'Coeff EC7'!$T$39:$X$59,2,0)*FG249+VLOOKUP($B$3,'Coeff EC7'!$T$65:$X$85,2,0)*Model0.1T!FH249)/1.5,PI()*FE$12*$Q249*($B249-$B248)*0.15/10+FI248)</f>
        <v>#N/A</v>
      </c>
      <c r="FJ249" s="102" t="e">
        <f>(VLOOKUP($B$3,'Coeff EC7'!$T$39:$X$59,3,0)*FG249+VLOOKUP($B$3,'Coeff EC7'!$T$65:$X$85,3,0)*Model0.1T!FH249)/1.1</f>
        <v>#N/A</v>
      </c>
      <c r="FK249" s="102" t="e">
        <f t="shared" si="398"/>
        <v>#N/A</v>
      </c>
      <c r="FL249" s="102" t="e">
        <f t="shared" si="399"/>
        <v>#N/A</v>
      </c>
      <c r="FM249" s="414" t="e">
        <f>IF(AND(FI249&gt;NDC!$C$63,FJ249&gt;NDC!$C$65,FK249&gt;NDC!$D$73,FL249&gt;NDC!$D$74,$B249&gt;NDC!$H$22-0.1+MIN(3*FM$12,1.5)),0,1)</f>
        <v>#N/A</v>
      </c>
    </row>
    <row r="250" spans="1:169">
      <c r="A250" s="96">
        <f t="shared" si="365"/>
        <v>76.300000000001347</v>
      </c>
      <c r="B250" s="97">
        <v>23.7</v>
      </c>
      <c r="C250" s="81">
        <f>IF(B250&lt;=Hypothèses!$C$7,Hypothèses!$A$7,IF(B250&lt;=Hypothèses!$C$8,Hypothèses!$A$8,IF(B250&lt;=Hypothèses!$C$9,Hypothèses!$A$9,IF(B250&lt;=Hypothèses!$C$10,Hypothèses!$A$10,IF(B250&lt;=Hypothèses!$C$11,Hypothèses!$A$11,IF(B250&lt;=Hypothèses!$C$12,Hypothèses!$A$12,IF(B250&lt;=Hypothèses!$C$13,Hypothèses!$A$13,IF(B250&lt;=Hypothèses!$C$14,Hypothèses!$A$14,IF(B250&lt;=Hypothèses!$C$15,Hypothèses!$A$15,IF(B250&lt;=Hypothèses!$C$16,Hypothèses!$A$16,IF(B250&lt;=Hypothèses!$C$17,Hypothèses!$A$17,IF(B250&lt;=Hypothèses!$C$18,Hypothèses!$A$18,C249))))))))))))</f>
        <v>11</v>
      </c>
      <c r="D250" s="82" t="str">
        <f>IF(B250&lt;=Hypothèses!$C$7,Hypothèses!$R$7,IF(B250&lt;=Hypothèses!$C$8,Hypothèses!$R$8,IF(B250&lt;=Hypothèses!$C$9,Hypothèses!$R$9,IF(B250&lt;=Hypothèses!$C$10,Hypothèses!$R$10,IF(B250&lt;=Hypothèses!$C$11,Hypothèses!$R$11,IF(B250&lt;=Hypothèses!$C$12,Hypothèses!$R$12,IF(B250&lt;=Hypothèses!$C$13,Hypothèses!$R$13,IF(B250&lt;=Hypothèses!$C$14,Hypothèses!$R$14,IF(B250&lt;=Hypothèses!$C$15,Hypothèses!$R$15,IF(B250&lt;=Hypothèses!$C$16,Hypothèses!$R$16,IF(B250&lt;=Hypothèses!$C$17,Hypothèses!$R$17,IF(B250&lt;=Hypothèses!$C$18,Hypothèses!$R$18,D249))))))))))))</f>
        <v>Pressio.</v>
      </c>
      <c r="E250" s="82" t="e">
        <f>IF(B250&lt;=Hypothèses!$C$7,Hypothèses!$G$7,IF(B250&lt;=Hypothèses!$C$8,Hypothèses!$G$8,IF(B250&lt;=Hypothèses!$C$9,Hypothèses!$G$9,IF(B250&lt;=Hypothèses!$C$10,Hypothèses!$G$10,IF(B250&lt;=Hypothèses!$C$11,Hypothèses!$G$11,IF(B250&lt;=Hypothèses!$C$12,Hypothèses!$G$12,IF(B250&lt;=Hypothèses!$C$13,Hypothèses!$G$13,IF(B250&lt;=Hypothèses!$C$14,Hypothèses!$G$14,IF(B250&lt;=Hypothèses!$C$15,Hypothèses!$G$15,IF(B250&lt;=Hypothèses!$C$16,Hypothèses!$G$16,IF(B250&lt;=Hypothèses!$C$17,Hypothèses!$G$17,IF(B250&lt;=Hypothèses!$C$18,Hypothèses!$G$18,E249))))))))))))</f>
        <v>#N/A</v>
      </c>
      <c r="F250" s="82" t="str">
        <f>IF(B250&lt;=Hypothèses!$C$7,Hypothèses!$F$7,IF(B250&lt;=Hypothèses!$C$8,Hypothèses!$F$8,IF(B250&lt;=Hypothèses!$C$9,Hypothèses!$F$9,IF(B250&lt;=Hypothèses!$C$10,Hypothèses!$F$10,IF(B250&lt;=Hypothèses!$C$11,Hypothèses!$F$11,IF(B250&lt;=Hypothèses!$C$12,Hypothèses!$F$12,IF(B250&lt;=Hypothèses!$C$13,Hypothèses!$F$13,IF(B250&lt;=Hypothèses!$C$14,Hypothèses!$F$14,IF(B250&lt;=Hypothèses!$C$15,Hypothèses!$F$15,IF(B250&lt;=Hypothèses!$C$16,Hypothèses!$F$16,IF(B250&lt;=Hypothèses!$C$17,Hypothèses!$F$17,IF(B250&lt;=Hypothèses!$C$18,Hypothèses!$F$18,F249))))))))))))</f>
        <v/>
      </c>
      <c r="G250" s="91">
        <f t="array" ref="G250">INDEX('Coeff EC7'!$U$7:$X$27,
MATCH(Model0.1T!$B$3,'Coeff EC7'!$T$7:$T$27,0),
MATCH(Model0.1T!$D250&amp;Model0.1T!$B$4,
'Coeff EC7'!$U$6:$X$6&amp;
'Coeff EC7'!$U$5:$X$5,0))</f>
        <v>1.4</v>
      </c>
      <c r="H250" s="91">
        <f t="array" ref="H250">INDEX('Coeff EC7'!$Y$7:$AB$27,
MATCH(Model0.1T!$B$3,'Coeff EC7'!$T$7:$T$27,0),
MATCH(Model0.1T!$D250&amp;Model0.1T!$B$4,
'Coeff EC7'!$Y$6:$AB$6&amp;
'Coeff EC7'!$Y$5:$AB$5,0))</f>
        <v>1.7</v>
      </c>
      <c r="I250" s="83">
        <v>0</v>
      </c>
      <c r="J250" s="91" t="e">
        <f t="array" ref="J250">INDEX('Coeff EC7'!$D$33:$Q$33,1,MATCH(D250&amp;E250,'Coeff EC7'!$D$31:$Q$31&amp;'Coeff EC7'!$D$32:$Q$32,0))</f>
        <v>#N/A</v>
      </c>
      <c r="K250" s="91" t="e">
        <f t="array" ref="K250">INDEX('Coeff EC7'!$D$34:$Q$34,1,MATCH(D250&amp;E250,'Coeff EC7'!$D$31:$Q$31&amp;'Coeff EC7'!$D$32:$Q$32,0))</f>
        <v>#N/A</v>
      </c>
      <c r="L250" s="91" t="e">
        <f t="array" ref="L250">INDEX('Coeff EC7'!$D$35:$Q$35,1,MATCH(D250&amp;E250,'Coeff EC7'!$D$31:$Q$31&amp;'Coeff EC7'!$D$32:$Q$32,0))</f>
        <v>#N/A</v>
      </c>
      <c r="M250" s="98" t="e">
        <f t="shared" si="331"/>
        <v>#N/A</v>
      </c>
      <c r="N250" s="99" t="e">
        <f t="array" ref="N250">INDEX('Coeff EC7'!$D$7:$Q$27,MATCH($B$3,'Coeff EC7'!$C$7:$C$27,0),MATCH(D250&amp;E250,'Coeff EC7'!$D$5:$Q$5&amp;'Coeff EC7'!$D$6:$Q$6,0))</f>
        <v>#N/A</v>
      </c>
      <c r="O250" s="99" t="e">
        <f t="array" ref="O250">INDEX('Coeff EC7'!$D$41:$Q$61,MATCH($B$3,'Coeff EC7'!$C$41:$C$61,0),MATCH(D250&amp;E250,'Coeff EC7'!$D$39:$Q$39&amp;'Coeff EC7'!$D$40:$Q$40,0))</f>
        <v>#N/A</v>
      </c>
      <c r="P250" s="30" t="e">
        <f t="shared" si="366"/>
        <v>#N/A</v>
      </c>
      <c r="Q250" s="100" t="e">
        <f t="shared" si="333"/>
        <v>#N/A</v>
      </c>
      <c r="R250" s="86" t="b">
        <f t="shared" si="334"/>
        <v>0</v>
      </c>
      <c r="S250" s="86">
        <f t="shared" si="332"/>
        <v>0.5</v>
      </c>
      <c r="T250" s="86">
        <f t="shared" si="335"/>
        <v>0.5</v>
      </c>
      <c r="U250" s="30" t="e">
        <f t="shared" ca="1" si="367"/>
        <v>#DIV/0!</v>
      </c>
      <c r="V250" s="85" t="str">
        <f>IF(B250&lt;=Hypothèses!$V$7,Hypothèses!$W$7,IF(B250&lt;=Hypothèses!$V$8,Hypothèses!$W$8,IF(B250&lt;=Hypothèses!$V$9,Hypothèses!$W$9,IF(B250&lt;=Hypothèses!$V$10,Hypothèses!$W$10,IF(B250&lt;=Hypothèses!$V$11,Hypothèses!$W$11,IF(B250&lt;=Hypothèses!$V$12,Hypothèses!$W$12,IF(B250&lt;=Hypothèses!$V$13,Hypothèses!$W$13,IF(B250&lt;=Hypothèses!$V$14,Hypothèses!$W$14,IF(B250&lt;=Hypothèses!$V$15,Hypothèses!$W$15,IF(B250&lt;=Hypothèses!$V$16,Hypothèses!$W$16,IF(B250&lt;=Hypothèses!$V$17,Hypothèses!$W$17,IF(B250&lt;=Hypothèses!$V$18,Hypothèses!$W$18,""))))))))))))</f>
        <v/>
      </c>
      <c r="W250" s="87" t="e">
        <f t="shared" ca="1" si="416"/>
        <v>#DIV/0!</v>
      </c>
      <c r="X250" s="88" t="str">
        <f>IF(B250&lt;=Hypothèses!$V$7,Hypothèses!$X$7,IF(B250&lt;=Hypothèses!$V$8,Hypothèses!$X$8,IF(B250&lt;=Hypothèses!$V$9,Hypothèses!$X$9,IF(B250&lt;=Hypothèses!$V$10,Hypothèses!$X$10,IF(B250&lt;=Hypothèses!$V$11,Hypothèses!$X$11,IF(B250&lt;=Hypothèses!$V$12,Hypothèses!$X$12,IF(B250&lt;=Hypothèses!$V$13,Hypothèses!$X$13,IF(B250&lt;=Hypothèses!$V$14,Hypothèses!$X$14,IF(B250&lt;=Hypothèses!$V$15,Hypothèses!$X$15,IF(B250&lt;=Hypothèses!$V$16,Hypothèses!$X$16,IF(B250&lt;=Hypothèses!$U$17,Hypothèses!$W$17,IF(B250&lt;=Hypothèses!$U$18,Hypothèses!$W$18,""))))))))))))</f>
        <v/>
      </c>
      <c r="Y250" s="95" t="e">
        <f t="shared" ca="1" si="336"/>
        <v>#DIV/0!</v>
      </c>
      <c r="Z250" s="101">
        <f t="shared" si="337"/>
        <v>0</v>
      </c>
      <c r="AA250" s="91">
        <f t="shared" si="338"/>
        <v>0</v>
      </c>
      <c r="AB250" s="30" t="e">
        <f t="shared" si="400"/>
        <v>#N/A</v>
      </c>
      <c r="AC250" s="30" t="e">
        <f t="shared" si="401"/>
        <v>#N/A</v>
      </c>
      <c r="AD250" s="31" t="e">
        <f>IF(OR(Hypothèses!$B$4=17,Hypothèses!$B$4=18,Hypothèses!$B$4=19,Hypothèses!$B$4=20),
IF($D250="Pressio.",
IF(OR($E250=3,$E250=1,$E250=4),AC250,AB250),
IF($D250="Pénétro.",
IF(OR($E250=3,$E250=1,$E250=4),AC250,AB250))),IF($D250="Pressio.",
IF($E250=3,AC250,AB250),
IF($D250="Pénétro.",
IF($E250=4,AC250,AB250))))</f>
        <v>#N/A</v>
      </c>
      <c r="AE250" s="31">
        <v>0</v>
      </c>
      <c r="AF250" s="102" t="e">
        <f>IF(NDC!$H$10="Oui",(VLOOKUP($B$3,'Coeff EC7'!$T$39:$X$59,2,0)*AD250+VLOOKUP($B$3,'Coeff EC7'!$T$65:$X$85,2,0)*Model0.1T!AE250)/1.5,PI()*AB$12*$Q250*($B250-$B249)*0.15/10+AF249)</f>
        <v>#N/A</v>
      </c>
      <c r="AG250" s="102" t="e">
        <f>(VLOOKUP($B$3,'Coeff EC7'!$T$39:$X$59,3,0)*AD250+VLOOKUP($B$3,'Coeff EC7'!$T$65:$X$85,3,0)*Model0.1T!AE250)/1.1</f>
        <v>#N/A</v>
      </c>
      <c r="AH250" s="102" t="e">
        <f t="shared" si="368"/>
        <v>#N/A</v>
      </c>
      <c r="AI250" s="102" t="e">
        <f t="shared" si="369"/>
        <v>#N/A</v>
      </c>
      <c r="AJ250" s="414" t="e">
        <f>IF(AND(AF250&gt;NDC!$C$63,AG250&gt;NDC!$C$65,AH250&gt;NDC!$D$73,AI250&gt;NDC!$D$74,$B250&gt;NDC!$H$22-0.1+MIN(3*$AJ$12,1.5)),0,1)</f>
        <v>#N/A</v>
      </c>
      <c r="AK250" s="86" t="b">
        <f t="shared" si="339"/>
        <v>0</v>
      </c>
      <c r="AL250" s="86">
        <f t="shared" si="370"/>
        <v>0.5</v>
      </c>
      <c r="AM250" s="86">
        <f t="shared" si="340"/>
        <v>0.5</v>
      </c>
      <c r="AN250" s="30" t="e">
        <f t="shared" ca="1" si="371"/>
        <v>#DIV/0!</v>
      </c>
      <c r="AO250" s="85" t="e">
        <f ca="1">IF(U250&lt;=Hypothèses!$V$7,Hypothèses!$W$7,IF(U250&lt;=Hypothèses!$V$8,Hypothèses!$W$8,IF(U250&lt;=Hypothèses!$V$9,Hypothèses!$W$9,IF(U250&lt;=Hypothèses!$V$10,Hypothèses!$W$10,IF(U250&lt;=Hypothèses!$V$11,Hypothèses!$W$11,IF(U250&lt;=Hypothèses!$V$12,Hypothèses!$W$12,IF(U250&lt;=Hypothèses!$V$13,Hypothèses!$W$13,IF(U250&lt;=Hypothèses!$V$14,Hypothèses!$W$14,IF(U250&lt;=Hypothèses!$V$15,Hypothèses!$W$15,IF(U250&lt;=Hypothèses!$V$16,Hypothèses!$W$16,IF(U250&lt;=Hypothèses!$V$17,Hypothèses!$W$17,IF(U250&lt;=Hypothèses!$V$18,Hypothèses!$W$18,""))))))))))))</f>
        <v>#DIV/0!</v>
      </c>
      <c r="AP250" s="87" t="e">
        <f t="shared" ca="1" si="417"/>
        <v>#DIV/0!</v>
      </c>
      <c r="AQ250" s="88" t="e">
        <f ca="1">IF(U250&lt;=Hypothèses!$V$7,Hypothèses!$X$7,IF(U250&lt;=Hypothèses!$V$8,Hypothèses!$X$8,IF(U250&lt;=Hypothèses!$V$9,Hypothèses!$X$9,IF(U250&lt;=Hypothèses!$V$10,Hypothèses!$X$10,IF(U250&lt;=Hypothèses!$V$11,Hypothèses!$X$11,IF(U250&lt;=Hypothèses!$V$12,Hypothèses!$X$12,IF(U250&lt;=Hypothèses!$V$13,Hypothèses!$X$13,IF(U250&lt;=Hypothèses!$V$14,Hypothèses!$X$14,IF(U250&lt;=Hypothèses!$V$15,Hypothèses!$X$15,IF(U250&lt;=Hypothèses!$V$16,Hypothèses!$X$16,IF(U250&lt;=Hypothèses!$U$17,Hypothèses!$W$17,IF(U250&lt;=Hypothèses!$U$18,Hypothèses!$W$18,""))))))))))))</f>
        <v>#DIV/0!</v>
      </c>
      <c r="AR250" s="95" t="e">
        <f t="shared" ca="1" si="372"/>
        <v>#DIV/0!</v>
      </c>
      <c r="AS250" s="101">
        <f t="shared" si="424"/>
        <v>0</v>
      </c>
      <c r="AT250" s="91">
        <f t="shared" si="341"/>
        <v>0</v>
      </c>
      <c r="AU250" s="30" t="e">
        <f t="shared" si="402"/>
        <v>#N/A</v>
      </c>
      <c r="AV250" s="30" t="e">
        <f t="shared" si="403"/>
        <v>#N/A</v>
      </c>
      <c r="AW250" s="31" t="e">
        <f>IF(OR(Hypothèses!$B$4=17,Hypothèses!$B$4=18,Hypothèses!$B$4=19,Hypothèses!$B$4=20),
IF($D250="Pressio.",
IF(OR($E250=3,$E250=1,$E250=4),AV250,AU250),
IF($D250="Pénétro.",
IF(OR($E250=3,$E250=1,$E250=4),AV250,AU250))),IF($D250="Pressio.",
IF($E250=3,AV250,AU250),
IF($D250="Pénétro.",
IF($E250=4,AV250,AU250))))</f>
        <v>#N/A</v>
      </c>
      <c r="AX250" s="31">
        <v>0</v>
      </c>
      <c r="AY250" s="102" t="e">
        <f>IF(NDC!$H$10="Oui",(VLOOKUP($B$3,'Coeff EC7'!$T$39:$X$59,2,0)*AW250+VLOOKUP($B$3,'Coeff EC7'!$T$65:$X$85,2,0)*Model0.1T!AX250)/1.5,PI()*AU$12*$Q250*($B250-$B249)*0.15/10+AY249)</f>
        <v>#N/A</v>
      </c>
      <c r="AZ250" s="102" t="e">
        <f>(VLOOKUP($B$3,'Coeff EC7'!$T$39:$X$59,3,0)*AW250+VLOOKUP($B$3,'Coeff EC7'!$T$65:$X$85,3,0)*Model0.1T!AX250)/1.1</f>
        <v>#N/A</v>
      </c>
      <c r="BA250" s="102" t="e">
        <f t="shared" si="373"/>
        <v>#N/A</v>
      </c>
      <c r="BB250" s="102" t="e">
        <f t="shared" si="374"/>
        <v>#N/A</v>
      </c>
      <c r="BC250" s="414" t="e">
        <f>IF(AND(AY250&gt;NDC!$C$63,AZ250&gt;NDC!$C$65,BA250&gt;NDC!$D$73,BB250&gt;NDC!$D$74,$B250&gt;NDC!$H$22-0.1+MIN(3*BC$12,1.5)),0,1)</f>
        <v>#N/A</v>
      </c>
      <c r="BD250" s="86" t="b">
        <f t="shared" si="342"/>
        <v>0</v>
      </c>
      <c r="BE250" s="86">
        <f t="shared" si="375"/>
        <v>0.5</v>
      </c>
      <c r="BF250" s="86">
        <f t="shared" si="343"/>
        <v>0.5</v>
      </c>
      <c r="BG250" s="30" t="e">
        <f t="shared" ca="1" si="376"/>
        <v>#DIV/0!</v>
      </c>
      <c r="BH250" s="85" t="e">
        <f ca="1">IF(AN250&lt;=Hypothèses!$V$7,Hypothèses!$W$7,IF(AN250&lt;=Hypothèses!$V$8,Hypothèses!$W$8,IF(AN250&lt;=Hypothèses!$V$9,Hypothèses!$W$9,IF(AN250&lt;=Hypothèses!$V$10,Hypothèses!$W$10,IF(AN250&lt;=Hypothèses!$V$11,Hypothèses!$W$11,IF(AN250&lt;=Hypothèses!$V$12,Hypothèses!$W$12,IF(AN250&lt;=Hypothèses!$V$13,Hypothèses!$W$13,IF(AN250&lt;=Hypothèses!$V$14,Hypothèses!$W$14,IF(AN250&lt;=Hypothèses!$V$15,Hypothèses!$W$15,IF(AN250&lt;=Hypothèses!$V$16,Hypothèses!$W$16,IF(AN250&lt;=Hypothèses!$V$17,Hypothèses!$W$17,IF(AN250&lt;=Hypothèses!$V$18,Hypothèses!$W$18,""))))))))))))</f>
        <v>#DIV/0!</v>
      </c>
      <c r="BI250" s="87" t="e">
        <f t="shared" ca="1" si="418"/>
        <v>#DIV/0!</v>
      </c>
      <c r="BJ250" s="88" t="e">
        <f ca="1">IF(AN250&lt;=Hypothèses!$V$7,Hypothèses!$X$7,IF(AN250&lt;=Hypothèses!$V$8,Hypothèses!$X$8,IF(AN250&lt;=Hypothèses!$V$9,Hypothèses!$X$9,IF(AN250&lt;=Hypothèses!$V$10,Hypothèses!$X$10,IF(AN250&lt;=Hypothèses!$V$11,Hypothèses!$X$11,IF(AN250&lt;=Hypothèses!$V$12,Hypothèses!$X$12,IF(AN250&lt;=Hypothèses!$V$13,Hypothèses!$X$13,IF(AN250&lt;=Hypothèses!$V$14,Hypothèses!$X$14,IF(AN250&lt;=Hypothèses!$V$15,Hypothèses!$X$15,IF(AN250&lt;=Hypothèses!$V$16,Hypothèses!$X$16,IF(AN250&lt;=Hypothèses!$U$17,Hypothèses!$W$17,IF(AN250&lt;=Hypothèses!$U$18,Hypothèses!$W$18,""))))))))))))</f>
        <v>#DIV/0!</v>
      </c>
      <c r="BK250" s="95" t="e">
        <f t="shared" ca="1" si="377"/>
        <v>#DIV/0!</v>
      </c>
      <c r="BL250" s="101">
        <f t="shared" si="425"/>
        <v>0</v>
      </c>
      <c r="BM250" s="91">
        <f t="shared" si="344"/>
        <v>0</v>
      </c>
      <c r="BN250" s="30" t="e">
        <f t="shared" si="404"/>
        <v>#N/A</v>
      </c>
      <c r="BO250" s="30" t="e">
        <f t="shared" si="405"/>
        <v>#N/A</v>
      </c>
      <c r="BP250" s="31" t="e">
        <f>IF(OR(Hypothèses!$B$4=17,Hypothèses!$B$4=18,Hypothèses!$B$4=19,Hypothèses!$B$4=20),
IF($D250="Pressio.",
IF(OR($E250=3,$E250=1,$E250=4),BO250,BN250),
IF($D250="Pénétro.",
IF(OR($E250=3,$E250=1,$E250=4),BO250,BN250))),IF($D250="Pressio.",
IF($E250=3,BO250,BN250),
IF($D250="Pénétro.",
IF($E250=4,BO250,BN250))))</f>
        <v>#N/A</v>
      </c>
      <c r="BQ250" s="31">
        <v>0</v>
      </c>
      <c r="BR250" s="102" t="e">
        <f>IF(NDC!$H$10="Oui",(VLOOKUP($B$3,'Coeff EC7'!$T$39:$X$59,2,0)*BP250+VLOOKUP($B$3,'Coeff EC7'!$T$65:$X$85,2,0)*Model0.1T!BQ250)/1.5,PI()*BN$12*$Q250*($B250-$B249)*0.15/10+BR249)</f>
        <v>#N/A</v>
      </c>
      <c r="BS250" s="102" t="e">
        <f>(VLOOKUP($B$3,'Coeff EC7'!$T$39:$X$59,3,0)*BP250+VLOOKUP($B$3,'Coeff EC7'!$T$65:$X$85,3,0)*Model0.1T!BQ250)/1.1</f>
        <v>#N/A</v>
      </c>
      <c r="BT250" s="102" t="e">
        <f t="shared" si="378"/>
        <v>#N/A</v>
      </c>
      <c r="BU250" s="102" t="e">
        <f t="shared" si="379"/>
        <v>#N/A</v>
      </c>
      <c r="BV250" s="414" t="e">
        <f>IF(AND(BR250&gt;NDC!$C$63,BS250&gt;NDC!$C$65,BT250&gt;NDC!$D$73,BU250&gt;NDC!$D$74,$B250&gt;NDC!$H$22-0.1+MIN(3*BV$12,1.5)),0,1)</f>
        <v>#N/A</v>
      </c>
      <c r="BW250" s="86" t="b">
        <f t="shared" si="345"/>
        <v>0</v>
      </c>
      <c r="BX250" s="86">
        <f t="shared" si="346"/>
        <v>0.5</v>
      </c>
      <c r="BY250" s="86">
        <f t="shared" si="347"/>
        <v>0.5</v>
      </c>
      <c r="BZ250" s="30" t="e">
        <f t="shared" ca="1" si="380"/>
        <v>#DIV/0!</v>
      </c>
      <c r="CA250" s="85" t="e">
        <f ca="1">IF(BG250&lt;=Hypothèses!$V$7,Hypothèses!$W$7,IF(BG250&lt;=Hypothèses!$V$8,Hypothèses!$W$8,IF(BG250&lt;=Hypothèses!$V$9,Hypothèses!$W$9,IF(BG250&lt;=Hypothèses!$V$10,Hypothèses!$W$10,IF(BG250&lt;=Hypothèses!$V$11,Hypothèses!$W$11,IF(BG250&lt;=Hypothèses!$V$12,Hypothèses!$W$12,IF(BG250&lt;=Hypothèses!$V$13,Hypothèses!$W$13,IF(BG250&lt;=Hypothèses!$V$14,Hypothèses!$W$14,IF(BG250&lt;=Hypothèses!$V$15,Hypothèses!$W$15,IF(BG250&lt;=Hypothèses!$V$16,Hypothèses!$W$16,IF(BG250&lt;=Hypothèses!$V$17,Hypothèses!$W$17,IF(BG250&lt;=Hypothèses!$V$18,Hypothèses!$W$18,""))))))))))))</f>
        <v>#DIV/0!</v>
      </c>
      <c r="CB250" s="87" t="e">
        <f t="shared" ca="1" si="419"/>
        <v>#DIV/0!</v>
      </c>
      <c r="CC250" s="88" t="e">
        <f ca="1">IF(BG250&lt;=Hypothèses!$V$7,Hypothèses!$X$7,IF(BG250&lt;=Hypothèses!$V$8,Hypothèses!$X$8,IF(BG250&lt;=Hypothèses!$V$9,Hypothèses!$X$9,IF(BG250&lt;=Hypothèses!$V$10,Hypothèses!$X$10,IF(BG250&lt;=Hypothèses!$V$11,Hypothèses!$X$11,IF(BG250&lt;=Hypothèses!$V$12,Hypothèses!$X$12,IF(BG250&lt;=Hypothèses!$V$13,Hypothèses!$X$13,IF(BG250&lt;=Hypothèses!$V$14,Hypothèses!$X$14,IF(BG250&lt;=Hypothèses!$V$15,Hypothèses!$X$15,IF(BG250&lt;=Hypothèses!$V$16,Hypothèses!$X$16,IF(BG250&lt;=Hypothèses!$U$17,Hypothèses!$W$17,IF(BG250&lt;=Hypothèses!$U$18,Hypothèses!$W$18,""))))))))))))</f>
        <v>#DIV/0!</v>
      </c>
      <c r="CD250" s="95" t="e">
        <f t="shared" ca="1" si="381"/>
        <v>#DIV/0!</v>
      </c>
      <c r="CE250" s="101">
        <f t="shared" si="426"/>
        <v>0</v>
      </c>
      <c r="CF250" s="91">
        <f t="shared" si="348"/>
        <v>0</v>
      </c>
      <c r="CG250" s="30" t="e">
        <f t="shared" si="406"/>
        <v>#N/A</v>
      </c>
      <c r="CH250" s="30" t="e">
        <f t="shared" si="407"/>
        <v>#N/A</v>
      </c>
      <c r="CI250" s="31" t="e">
        <f>IF(OR(Hypothèses!$B$4=17,Hypothèses!$B$4=18,Hypothèses!$B$4=19,Hypothèses!$B$4=20),
IF($D250="Pressio.",
IF(OR($E250=3,$E250=1,$E250=4),CH250,CG250),
IF($D250="Pénétro.",
IF(OR($E250=3,$E250=1,$E250=4),CH250,CG250))),IF($D250="Pressio.",
IF($E250=3,CH250,CG250),
IF($D250="Pénétro.",
IF($E250=4,CH250,CG250))))</f>
        <v>#N/A</v>
      </c>
      <c r="CJ250" s="31">
        <v>0</v>
      </c>
      <c r="CK250" s="102" t="e">
        <f>IF(NDC!$H$10="Oui",(VLOOKUP($B$3,'Coeff EC7'!$T$39:$X$59,2,0)*CI250+VLOOKUP($B$3,'Coeff EC7'!$T$65:$X$85,2,0)*Model0.1T!CJ250)/1.5,PI()*CG$12*$Q250*($B250-$B249)*0.15/10+CK249)</f>
        <v>#N/A</v>
      </c>
      <c r="CL250" s="102" t="e">
        <f>(VLOOKUP($B$3,'Coeff EC7'!$T$39:$X$59,3,0)*CI250+VLOOKUP($B$3,'Coeff EC7'!$T$65:$X$85,3,0)*Model0.1T!CJ250)/1.1</f>
        <v>#N/A</v>
      </c>
      <c r="CM250" s="102" t="e">
        <f t="shared" si="382"/>
        <v>#N/A</v>
      </c>
      <c r="CN250" s="102" t="e">
        <f t="shared" si="383"/>
        <v>#N/A</v>
      </c>
      <c r="CO250" s="414" t="e">
        <f>IF(AND(CK250&gt;NDC!$C$63,CL250&gt;NDC!$C$65,CM250&gt;NDC!$D$73,CN250&gt;NDC!$D$74,$B250&gt;NDC!$H$22-0.1+MIN(3*CO$12,1.5)),0,1)</f>
        <v>#N/A</v>
      </c>
      <c r="CP250" s="86" t="b">
        <f t="shared" si="349"/>
        <v>0</v>
      </c>
      <c r="CQ250" s="86">
        <f t="shared" si="350"/>
        <v>0.5</v>
      </c>
      <c r="CR250" s="86">
        <f t="shared" si="351"/>
        <v>0.5</v>
      </c>
      <c r="CS250" s="30" t="e">
        <f t="shared" ca="1" si="384"/>
        <v>#DIV/0!</v>
      </c>
      <c r="CT250" s="85" t="e">
        <f ca="1">IF(BZ250&lt;=Hypothèses!$V$7,Hypothèses!$W$7,IF(BZ250&lt;=Hypothèses!$V$8,Hypothèses!$W$8,IF(BZ250&lt;=Hypothèses!$V$9,Hypothèses!$W$9,IF(BZ250&lt;=Hypothèses!$V$10,Hypothèses!$W$10,IF(BZ250&lt;=Hypothèses!$V$11,Hypothèses!$W$11,IF(BZ250&lt;=Hypothèses!$V$12,Hypothèses!$W$12,IF(BZ250&lt;=Hypothèses!$V$13,Hypothèses!$W$13,IF(BZ250&lt;=Hypothèses!$V$14,Hypothèses!$W$14,IF(BZ250&lt;=Hypothèses!$V$15,Hypothèses!$W$15,IF(BZ250&lt;=Hypothèses!$V$16,Hypothèses!$W$16,IF(BZ250&lt;=Hypothèses!$V$17,Hypothèses!$W$17,IF(BZ250&lt;=Hypothèses!$V$18,Hypothèses!$W$18,""))))))))))))</f>
        <v>#DIV/0!</v>
      </c>
      <c r="CU250" s="87" t="e">
        <f t="shared" ca="1" si="420"/>
        <v>#DIV/0!</v>
      </c>
      <c r="CV250" s="88" t="e">
        <f ca="1">IF(BZ250&lt;=Hypothèses!$V$7,Hypothèses!$X$7,IF(BZ250&lt;=Hypothèses!$V$8,Hypothèses!$X$8,IF(BZ250&lt;=Hypothèses!$V$9,Hypothèses!$X$9,IF(BZ250&lt;=Hypothèses!$V$10,Hypothèses!$X$10,IF(BZ250&lt;=Hypothèses!$V$11,Hypothèses!$X$11,IF(BZ250&lt;=Hypothèses!$V$12,Hypothèses!$X$12,IF(BZ250&lt;=Hypothèses!$V$13,Hypothèses!$X$13,IF(BZ250&lt;=Hypothèses!$V$14,Hypothèses!$X$14,IF(BZ250&lt;=Hypothèses!$V$15,Hypothèses!$X$15,IF(BZ250&lt;=Hypothèses!$V$16,Hypothèses!$X$16,IF(BZ250&lt;=Hypothèses!$U$17,Hypothèses!$W$17,IF(BZ250&lt;=Hypothèses!$U$18,Hypothèses!$W$18,""))))))))))))</f>
        <v>#DIV/0!</v>
      </c>
      <c r="CW250" s="95" t="e">
        <f t="shared" ca="1" si="385"/>
        <v>#DIV/0!</v>
      </c>
      <c r="CX250" s="101">
        <f t="shared" si="427"/>
        <v>0</v>
      </c>
      <c r="CY250" s="91">
        <f t="shared" si="352"/>
        <v>0</v>
      </c>
      <c r="CZ250" s="30" t="e">
        <f t="shared" si="408"/>
        <v>#N/A</v>
      </c>
      <c r="DA250" s="30" t="e">
        <f t="shared" si="409"/>
        <v>#N/A</v>
      </c>
      <c r="DB250" s="31" t="e">
        <f>IF(OR(Hypothèses!$B$4=17,Hypothèses!$B$4=18,Hypothèses!$B$4=19,Hypothèses!$B$4=20),
IF($D250="Pressio.",
IF(OR($E250=3,$E250=1,$E250=4),DA250,CZ250),
IF($D250="Pénétro.",
IF(OR($E250=3,$E250=1,$E250=4),DA250,CZ250))),IF($D250="Pressio.",
IF($E250=3,DA250,CZ250),
IF($D250="Pénétro.",
IF($E250=4,DA250,CZ250))))</f>
        <v>#N/A</v>
      </c>
      <c r="DC250" s="31">
        <v>0</v>
      </c>
      <c r="DD250" s="102" t="e">
        <f>IF(NDC!$H$10="Oui",(VLOOKUP($B$3,'Coeff EC7'!$T$39:$X$59,2,0)*DB250+VLOOKUP($B$3,'Coeff EC7'!$T$65:$X$85,2,0)*Model0.1T!DC250)/1.5,PI()*CZ$12*$Q250*($B250-$B249)*0.15/10+DD249)</f>
        <v>#N/A</v>
      </c>
      <c r="DE250" s="102" t="e">
        <f>(VLOOKUP($B$3,'Coeff EC7'!$T$39:$X$59,3,0)*DB250+VLOOKUP($B$3,'Coeff EC7'!$T$65:$X$85,3,0)*Model0.1T!DC250)/1.1</f>
        <v>#N/A</v>
      </c>
      <c r="DF250" s="102" t="e">
        <f t="shared" si="386"/>
        <v>#N/A</v>
      </c>
      <c r="DG250" s="102" t="e">
        <f t="shared" si="387"/>
        <v>#N/A</v>
      </c>
      <c r="DH250" s="414" t="e">
        <f>IF(AND(DD250&gt;NDC!$C$63,DE250&gt;NDC!$C$65,DF250&gt;NDC!$D$73,DG250&gt;NDC!$D$74,$B250&gt;NDC!$H$22-0.1+MIN(3*DH$12,1.5)),0,1)</f>
        <v>#N/A</v>
      </c>
      <c r="DI250" s="86" t="b">
        <f t="shared" si="353"/>
        <v>0</v>
      </c>
      <c r="DJ250" s="86">
        <f t="shared" si="354"/>
        <v>0.5</v>
      </c>
      <c r="DK250" s="86">
        <f t="shared" si="355"/>
        <v>0.5</v>
      </c>
      <c r="DL250" s="30" t="e">
        <f t="shared" ca="1" si="388"/>
        <v>#DIV/0!</v>
      </c>
      <c r="DM250" s="85" t="e">
        <f ca="1">IF(CS250&lt;=Hypothèses!$V$7,Hypothèses!$W$7,IF(CS250&lt;=Hypothèses!$V$8,Hypothèses!$W$8,IF(CS250&lt;=Hypothèses!$V$9,Hypothèses!$W$9,IF(CS250&lt;=Hypothèses!$V$10,Hypothèses!$W$10,IF(CS250&lt;=Hypothèses!$V$11,Hypothèses!$W$11,IF(CS250&lt;=Hypothèses!$V$12,Hypothèses!$W$12,IF(CS250&lt;=Hypothèses!$V$13,Hypothèses!$W$13,IF(CS250&lt;=Hypothèses!$V$14,Hypothèses!$W$14,IF(CS250&lt;=Hypothèses!$V$15,Hypothèses!$W$15,IF(CS250&lt;=Hypothèses!$V$16,Hypothèses!$W$16,IF(CS250&lt;=Hypothèses!$V$17,Hypothèses!$W$17,IF(CS250&lt;=Hypothèses!$V$18,Hypothèses!$W$18,""))))))))))))</f>
        <v>#DIV/0!</v>
      </c>
      <c r="DN250" s="87" t="e">
        <f t="shared" ca="1" si="421"/>
        <v>#DIV/0!</v>
      </c>
      <c r="DO250" s="88" t="e">
        <f ca="1">IF(CS250&lt;=Hypothèses!$V$7,Hypothèses!$X$7,IF(CS250&lt;=Hypothèses!$V$8,Hypothèses!$X$8,IF(CS250&lt;=Hypothèses!$V$9,Hypothèses!$X$9,IF(CS250&lt;=Hypothèses!$V$10,Hypothèses!$X$10,IF(CS250&lt;=Hypothèses!$V$11,Hypothèses!$X$11,IF(CS250&lt;=Hypothèses!$V$12,Hypothèses!$X$12,IF(CS250&lt;=Hypothèses!$V$13,Hypothèses!$X$13,IF(CS250&lt;=Hypothèses!$V$14,Hypothèses!$X$14,IF(CS250&lt;=Hypothèses!$V$15,Hypothèses!$X$15,IF(CS250&lt;=Hypothèses!$V$16,Hypothèses!$X$16,IF(CS250&lt;=Hypothèses!$U$17,Hypothèses!$W$17,IF(CS250&lt;=Hypothèses!$U$18,Hypothèses!$W$18,""))))))))))))</f>
        <v>#DIV/0!</v>
      </c>
      <c r="DP250" s="95" t="e">
        <f t="shared" ca="1" si="389"/>
        <v>#DIV/0!</v>
      </c>
      <c r="DQ250" s="101">
        <f t="shared" si="428"/>
        <v>0</v>
      </c>
      <c r="DR250" s="91">
        <f t="shared" si="356"/>
        <v>0</v>
      </c>
      <c r="DS250" s="30" t="e">
        <f t="shared" si="410"/>
        <v>#N/A</v>
      </c>
      <c r="DT250" s="30" t="e">
        <f t="shared" si="411"/>
        <v>#N/A</v>
      </c>
      <c r="DU250" s="31" t="e">
        <f>IF(OR(Hypothèses!$B$4=17,Hypothèses!$B$4=18,Hypothèses!$B$4=19,Hypothèses!$B$4=20),
IF($D250="Pressio.",
IF(OR($E250=3,$E250=1,$E250=4),DT250,DS250),
IF($D250="Pénétro.",
IF(OR($E250=3,$E250=1,$E250=4),DT250,DS250))),IF($D250="Pressio.",
IF($E250=3,DT250,DS250),
IF($D250="Pénétro.",
IF($E250=4,DT250,DS250))))</f>
        <v>#N/A</v>
      </c>
      <c r="DV250" s="31">
        <v>0</v>
      </c>
      <c r="DW250" s="102" t="e">
        <f>IF(NDC!$H$10="Oui",(VLOOKUP($B$3,'Coeff EC7'!$T$39:$X$59,2,0)*DU250+VLOOKUP($B$3,'Coeff EC7'!$T$65:$X$85,2,0)*Model0.1T!DV250)/1.5,PI()*DS$12*$Q250*($B250-$B249)*0.15/10+DW249)</f>
        <v>#N/A</v>
      </c>
      <c r="DX250" s="102" t="e">
        <f>(VLOOKUP($B$3,'Coeff EC7'!$T$39:$X$59,3,0)*DU250+VLOOKUP($B$3,'Coeff EC7'!$T$65:$X$85,3,0)*Model0.1T!DV250)/1.1</f>
        <v>#N/A</v>
      </c>
      <c r="DY250" s="102" t="e">
        <f t="shared" si="390"/>
        <v>#N/A</v>
      </c>
      <c r="DZ250" s="102" t="e">
        <f t="shared" si="391"/>
        <v>#N/A</v>
      </c>
      <c r="EA250" s="414" t="e">
        <f>IF(AND(DW250&gt;NDC!$C$63,DX250&gt;NDC!$C$65,DY250&gt;NDC!$D$73,DZ250&gt;NDC!$D$74,$B250&gt;NDC!$H$22-0.1+MIN(3*EA$12,1.5)),0,1)</f>
        <v>#N/A</v>
      </c>
      <c r="EB250" s="86" t="b">
        <f t="shared" si="357"/>
        <v>0</v>
      </c>
      <c r="EC250" s="418">
        <f t="shared" si="358"/>
        <v>0.51</v>
      </c>
      <c r="ED250" s="86">
        <f t="shared" si="359"/>
        <v>0.51</v>
      </c>
      <c r="EE250" s="30" t="e">
        <f t="shared" ca="1" si="392"/>
        <v>#DIV/0!</v>
      </c>
      <c r="EF250" s="85" t="e">
        <f ca="1">IF(DL250&lt;=Hypothèses!$V$7,Hypothèses!$W$7,IF(DL250&lt;=Hypothèses!$V$8,Hypothèses!$W$8,IF(DL250&lt;=Hypothèses!$V$9,Hypothèses!$W$9,IF(DL250&lt;=Hypothèses!$V$10,Hypothèses!$W$10,IF(DL250&lt;=Hypothèses!$V$11,Hypothèses!$W$11,IF(DL250&lt;=Hypothèses!$V$12,Hypothèses!$W$12,IF(DL250&lt;=Hypothèses!$V$13,Hypothèses!$W$13,IF(DL250&lt;=Hypothèses!$V$14,Hypothèses!$W$14,IF(DL250&lt;=Hypothèses!$V$15,Hypothèses!$W$15,IF(DL250&lt;=Hypothèses!$V$16,Hypothèses!$W$16,IF(DL250&lt;=Hypothèses!$V$17,Hypothèses!$W$17,IF(DL250&lt;=Hypothèses!$V$18,Hypothèses!$W$18,""))))))))))))</f>
        <v>#DIV/0!</v>
      </c>
      <c r="EG250" s="87" t="e">
        <f t="shared" ca="1" si="422"/>
        <v>#DIV/0!</v>
      </c>
      <c r="EH250" s="88" t="e">
        <f ca="1">IF(DL250&lt;=Hypothèses!$V$7,Hypothèses!$X$7,IF(DL250&lt;=Hypothèses!$V$8,Hypothèses!$X$8,IF(DL250&lt;=Hypothèses!$V$9,Hypothèses!$X$9,IF(DL250&lt;=Hypothèses!$V$10,Hypothèses!$X$10,IF(DL250&lt;=Hypothèses!$V$11,Hypothèses!$X$11,IF(DL250&lt;=Hypothèses!$V$12,Hypothèses!$X$12,IF(DL250&lt;=Hypothèses!$V$13,Hypothèses!$X$13,IF(DL250&lt;=Hypothèses!$V$14,Hypothèses!$X$14,IF(DL250&lt;=Hypothèses!$V$15,Hypothèses!$X$15,IF(DL250&lt;=Hypothèses!$V$16,Hypothèses!$X$16,IF(DL250&lt;=Hypothèses!$U$17,Hypothèses!$W$17,IF(DL250&lt;=Hypothèses!$U$18,Hypothèses!$W$18,""))))))))))))</f>
        <v>#DIV/0!</v>
      </c>
      <c r="EI250" s="95" t="e">
        <f t="shared" ca="1" si="393"/>
        <v>#DIV/0!</v>
      </c>
      <c r="EJ250" s="101">
        <f t="shared" si="429"/>
        <v>0</v>
      </c>
      <c r="EK250" s="91">
        <f t="shared" si="360"/>
        <v>0</v>
      </c>
      <c r="EL250" s="30" t="e">
        <f t="shared" si="412"/>
        <v>#N/A</v>
      </c>
      <c r="EM250" s="30" t="e">
        <f t="shared" si="413"/>
        <v>#N/A</v>
      </c>
      <c r="EN250" s="31" t="e">
        <f>IF(OR(Hypothèses!$B$4=17,Hypothèses!$B$4=18,Hypothèses!$B$4=19,Hypothèses!$B$4=20),
IF($D250="Pressio.",
IF(OR($E250=3,$E250=1,$E250=4),EM250,EL250),
IF($D250="Pénétro.",
IF(OR($E250=3,$E250=1,$E250=4),EM250,EL250))),IF($D250="Pressio.",
IF($E250=3,EM250,EL250),
IF($D250="Pénétro.",
IF($E250=4,EM250,EL250))))</f>
        <v>#N/A</v>
      </c>
      <c r="EO250" s="31">
        <v>0</v>
      </c>
      <c r="EP250" s="102" t="e">
        <f>IF(NDC!$H$10="Oui",(VLOOKUP($B$3,'Coeff EC7'!$T$39:$X$59,2,0)*EN250+VLOOKUP($B$3,'Coeff EC7'!$T$65:$X$85,2,0)*Model0.1T!EO250)/1.5,PI()*EL$12*$Q250*($B250-$B249)*0.15/10+EP249)</f>
        <v>#N/A</v>
      </c>
      <c r="EQ250" s="102" t="e">
        <f>(VLOOKUP($B$3,'Coeff EC7'!$T$39:$X$59,3,0)*EN250+VLOOKUP($B$3,'Coeff EC7'!$T$65:$X$85,3,0)*Model0.1T!EO250)/1.1</f>
        <v>#N/A</v>
      </c>
      <c r="ER250" s="102" t="e">
        <f t="shared" si="394"/>
        <v>#N/A</v>
      </c>
      <c r="ES250" s="102" t="e">
        <f t="shared" si="395"/>
        <v>#N/A</v>
      </c>
      <c r="ET250" s="414" t="e">
        <f>IF(AND(EP250&gt;NDC!$C$63,EQ250&gt;NDC!$C$65,ER250&gt;NDC!$D$73,ES250&gt;NDC!$D$74,$B250&gt;NDC!$H$22-0.1+MIN(3*ET$12,1.5)),0,1)</f>
        <v>#N/A</v>
      </c>
      <c r="EU250" s="86" t="b">
        <f t="shared" si="361"/>
        <v>0</v>
      </c>
      <c r="EV250" s="86">
        <f t="shared" si="362"/>
        <v>0.61</v>
      </c>
      <c r="EW250" s="86">
        <f t="shared" si="363"/>
        <v>0.61</v>
      </c>
      <c r="EX250" s="30" t="e">
        <f t="shared" ca="1" si="396"/>
        <v>#DIV/0!</v>
      </c>
      <c r="EY250" s="85" t="e">
        <f ca="1">IF(EE250&lt;=Hypothèses!$V$7,Hypothèses!$W$7,IF(EE250&lt;=Hypothèses!$V$8,Hypothèses!$W$8,IF(EE250&lt;=Hypothèses!$V$9,Hypothèses!$W$9,IF(EE250&lt;=Hypothèses!$V$10,Hypothèses!$W$10,IF(EE250&lt;=Hypothèses!$V$11,Hypothèses!$W$11,IF(EE250&lt;=Hypothèses!$V$12,Hypothèses!$W$12,IF(EE250&lt;=Hypothèses!$V$13,Hypothèses!$W$13,IF(EE250&lt;=Hypothèses!$V$14,Hypothèses!$W$14,IF(EE250&lt;=Hypothèses!$V$15,Hypothèses!$W$15,IF(EE250&lt;=Hypothèses!$V$16,Hypothèses!$W$16,IF(EE250&lt;=Hypothèses!$V$17,Hypothèses!$W$17,IF(EE250&lt;=Hypothèses!$V$18,Hypothèses!$W$18,""))))))))))))</f>
        <v>#DIV/0!</v>
      </c>
      <c r="EZ250" s="87" t="e">
        <f t="shared" ca="1" si="423"/>
        <v>#DIV/0!</v>
      </c>
      <c r="FA250" s="88" t="e">
        <f ca="1">IF(EE250&lt;=Hypothèses!$V$7,Hypothèses!$X$7,IF(EE250&lt;=Hypothèses!$V$8,Hypothèses!$X$8,IF(EE250&lt;=Hypothèses!$V$9,Hypothèses!$X$9,IF(EE250&lt;=Hypothèses!$V$10,Hypothèses!$X$10,IF(EE250&lt;=Hypothèses!$V$11,Hypothèses!$X$11,IF(EE250&lt;=Hypothèses!$V$12,Hypothèses!$X$12,IF(EE250&lt;=Hypothèses!$V$13,Hypothèses!$X$13,IF(EE250&lt;=Hypothèses!$V$14,Hypothèses!$X$14,IF(EE250&lt;=Hypothèses!$V$15,Hypothèses!$X$15,IF(EE250&lt;=Hypothèses!$V$16,Hypothèses!$X$16,IF(EE250&lt;=Hypothèses!$U$17,Hypothèses!$W$17,IF(EE250&lt;=Hypothèses!$U$18,Hypothèses!$W$18,""))))))))))))</f>
        <v>#DIV/0!</v>
      </c>
      <c r="FB250" s="95" t="e">
        <f t="shared" ca="1" si="397"/>
        <v>#DIV/0!</v>
      </c>
      <c r="FC250" s="101">
        <f t="shared" si="430"/>
        <v>0</v>
      </c>
      <c r="FD250" s="91">
        <f t="shared" si="364"/>
        <v>0</v>
      </c>
      <c r="FE250" s="30" t="e">
        <f t="shared" si="414"/>
        <v>#N/A</v>
      </c>
      <c r="FF250" s="30" t="e">
        <f t="shared" si="415"/>
        <v>#N/A</v>
      </c>
      <c r="FG250" s="31" t="e">
        <f>IF(OR(Hypothèses!$B$4=17,Hypothèses!$B$4=18,Hypothèses!$B$4=19,Hypothèses!$B$4=20),
IF($D250="Pressio.",
IF(OR($E250=3,$E250=1,$E250=4),FF250,FE250),
IF($D250="Pénétro.",
IF(OR($E250=3,$E250=1,$E250=4),FF250,FE250))),IF($D250="Pressio.",
IF($E250=3,FF250,FE250),
IF($D250="Pénétro.",
IF($E250=4,FF250,FE250))))</f>
        <v>#N/A</v>
      </c>
      <c r="FH250" s="31">
        <v>0</v>
      </c>
      <c r="FI250" s="102" t="e">
        <f>IF(NDC!$H$10="Oui",(VLOOKUP($B$3,'Coeff EC7'!$T$39:$X$59,2,0)*FG250+VLOOKUP($B$3,'Coeff EC7'!$T$65:$X$85,2,0)*Model0.1T!FH250)/1.5,PI()*FE$12*$Q250*($B250-$B249)*0.15/10+FI249)</f>
        <v>#N/A</v>
      </c>
      <c r="FJ250" s="102" t="e">
        <f>(VLOOKUP($B$3,'Coeff EC7'!$T$39:$X$59,3,0)*FG250+VLOOKUP($B$3,'Coeff EC7'!$T$65:$X$85,3,0)*Model0.1T!FH250)/1.1</f>
        <v>#N/A</v>
      </c>
      <c r="FK250" s="102" t="e">
        <f t="shared" si="398"/>
        <v>#N/A</v>
      </c>
      <c r="FL250" s="102" t="e">
        <f t="shared" si="399"/>
        <v>#N/A</v>
      </c>
      <c r="FM250" s="414" t="e">
        <f>IF(AND(FI250&gt;NDC!$C$63,FJ250&gt;NDC!$C$65,FK250&gt;NDC!$D$73,FL250&gt;NDC!$D$74,$B250&gt;NDC!$H$22-0.1+MIN(3*FM$12,1.5)),0,1)</f>
        <v>#N/A</v>
      </c>
    </row>
    <row r="251" spans="1:169">
      <c r="A251" s="96">
        <f t="shared" si="365"/>
        <v>76.200000000001353</v>
      </c>
      <c r="B251" s="97">
        <v>23.8</v>
      </c>
      <c r="C251" s="81">
        <f>IF(B251&lt;=Hypothèses!$C$7,Hypothèses!$A$7,IF(B251&lt;=Hypothèses!$C$8,Hypothèses!$A$8,IF(B251&lt;=Hypothèses!$C$9,Hypothèses!$A$9,IF(B251&lt;=Hypothèses!$C$10,Hypothèses!$A$10,IF(B251&lt;=Hypothèses!$C$11,Hypothèses!$A$11,IF(B251&lt;=Hypothèses!$C$12,Hypothèses!$A$12,IF(B251&lt;=Hypothèses!$C$13,Hypothèses!$A$13,IF(B251&lt;=Hypothèses!$C$14,Hypothèses!$A$14,IF(B251&lt;=Hypothèses!$C$15,Hypothèses!$A$15,IF(B251&lt;=Hypothèses!$C$16,Hypothèses!$A$16,IF(B251&lt;=Hypothèses!$C$17,Hypothèses!$A$17,IF(B251&lt;=Hypothèses!$C$18,Hypothèses!$A$18,C250))))))))))))</f>
        <v>11</v>
      </c>
      <c r="D251" s="82" t="str">
        <f>IF(B251&lt;=Hypothèses!$C$7,Hypothèses!$R$7,IF(B251&lt;=Hypothèses!$C$8,Hypothèses!$R$8,IF(B251&lt;=Hypothèses!$C$9,Hypothèses!$R$9,IF(B251&lt;=Hypothèses!$C$10,Hypothèses!$R$10,IF(B251&lt;=Hypothèses!$C$11,Hypothèses!$R$11,IF(B251&lt;=Hypothèses!$C$12,Hypothèses!$R$12,IF(B251&lt;=Hypothèses!$C$13,Hypothèses!$R$13,IF(B251&lt;=Hypothèses!$C$14,Hypothèses!$R$14,IF(B251&lt;=Hypothèses!$C$15,Hypothèses!$R$15,IF(B251&lt;=Hypothèses!$C$16,Hypothèses!$R$16,IF(B251&lt;=Hypothèses!$C$17,Hypothèses!$R$17,IF(B251&lt;=Hypothèses!$C$18,Hypothèses!$R$18,D250))))))))))))</f>
        <v>Pressio.</v>
      </c>
      <c r="E251" s="82" t="e">
        <f>IF(B251&lt;=Hypothèses!$C$7,Hypothèses!$G$7,IF(B251&lt;=Hypothèses!$C$8,Hypothèses!$G$8,IF(B251&lt;=Hypothèses!$C$9,Hypothèses!$G$9,IF(B251&lt;=Hypothèses!$C$10,Hypothèses!$G$10,IF(B251&lt;=Hypothèses!$C$11,Hypothèses!$G$11,IF(B251&lt;=Hypothèses!$C$12,Hypothèses!$G$12,IF(B251&lt;=Hypothèses!$C$13,Hypothèses!$G$13,IF(B251&lt;=Hypothèses!$C$14,Hypothèses!$G$14,IF(B251&lt;=Hypothèses!$C$15,Hypothèses!$G$15,IF(B251&lt;=Hypothèses!$C$16,Hypothèses!$G$16,IF(B251&lt;=Hypothèses!$C$17,Hypothèses!$G$17,IF(B251&lt;=Hypothèses!$C$18,Hypothèses!$G$18,E250))))))))))))</f>
        <v>#N/A</v>
      </c>
      <c r="F251" s="82" t="str">
        <f>IF(B251&lt;=Hypothèses!$C$7,Hypothèses!$F$7,IF(B251&lt;=Hypothèses!$C$8,Hypothèses!$F$8,IF(B251&lt;=Hypothèses!$C$9,Hypothèses!$F$9,IF(B251&lt;=Hypothèses!$C$10,Hypothèses!$F$10,IF(B251&lt;=Hypothèses!$C$11,Hypothèses!$F$11,IF(B251&lt;=Hypothèses!$C$12,Hypothèses!$F$12,IF(B251&lt;=Hypothèses!$C$13,Hypothèses!$F$13,IF(B251&lt;=Hypothèses!$C$14,Hypothèses!$F$14,IF(B251&lt;=Hypothèses!$C$15,Hypothèses!$F$15,IF(B251&lt;=Hypothèses!$C$16,Hypothèses!$F$16,IF(B251&lt;=Hypothèses!$C$17,Hypothèses!$F$17,IF(B251&lt;=Hypothèses!$C$18,Hypothèses!$F$18,F250))))))))))))</f>
        <v/>
      </c>
      <c r="G251" s="91">
        <f t="array" ref="G251">INDEX('Coeff EC7'!$U$7:$X$27,
MATCH(Model0.1T!$B$3,'Coeff EC7'!$T$7:$T$27,0),
MATCH(Model0.1T!$D251&amp;Model0.1T!$B$4,
'Coeff EC7'!$U$6:$X$6&amp;
'Coeff EC7'!$U$5:$X$5,0))</f>
        <v>1.4</v>
      </c>
      <c r="H251" s="91">
        <f t="array" ref="H251">INDEX('Coeff EC7'!$Y$7:$AB$27,
MATCH(Model0.1T!$B$3,'Coeff EC7'!$T$7:$T$27,0),
MATCH(Model0.1T!$D251&amp;Model0.1T!$B$4,
'Coeff EC7'!$Y$6:$AB$6&amp;
'Coeff EC7'!$Y$5:$AB$5,0))</f>
        <v>1.7</v>
      </c>
      <c r="I251" s="83">
        <v>0</v>
      </c>
      <c r="J251" s="91" t="e">
        <f t="array" ref="J251">INDEX('Coeff EC7'!$D$33:$Q$33,1,MATCH(D251&amp;E251,'Coeff EC7'!$D$31:$Q$31&amp;'Coeff EC7'!$D$32:$Q$32,0))</f>
        <v>#N/A</v>
      </c>
      <c r="K251" s="91" t="e">
        <f t="array" ref="K251">INDEX('Coeff EC7'!$D$34:$Q$34,1,MATCH(D251&amp;E251,'Coeff EC7'!$D$31:$Q$31&amp;'Coeff EC7'!$D$32:$Q$32,0))</f>
        <v>#N/A</v>
      </c>
      <c r="L251" s="91" t="e">
        <f t="array" ref="L251">INDEX('Coeff EC7'!$D$35:$Q$35,1,MATCH(D251&amp;E251,'Coeff EC7'!$D$31:$Q$31&amp;'Coeff EC7'!$D$32:$Q$32,0))</f>
        <v>#N/A</v>
      </c>
      <c r="M251" s="98" t="e">
        <f t="shared" si="331"/>
        <v>#N/A</v>
      </c>
      <c r="N251" s="99" t="e">
        <f t="array" ref="N251">INDEX('Coeff EC7'!$D$7:$Q$27,MATCH($B$3,'Coeff EC7'!$C$7:$C$27,0),MATCH(D251&amp;E251,'Coeff EC7'!$D$5:$Q$5&amp;'Coeff EC7'!$D$6:$Q$6,0))</f>
        <v>#N/A</v>
      </c>
      <c r="O251" s="99" t="e">
        <f t="array" ref="O251">INDEX('Coeff EC7'!$D$41:$Q$61,MATCH($B$3,'Coeff EC7'!$C$41:$C$61,0),MATCH(D251&amp;E251,'Coeff EC7'!$D$39:$Q$39&amp;'Coeff EC7'!$D$40:$Q$40,0))</f>
        <v>#N/A</v>
      </c>
      <c r="P251" s="30" t="e">
        <f t="shared" si="366"/>
        <v>#N/A</v>
      </c>
      <c r="Q251" s="100" t="e">
        <f t="shared" si="333"/>
        <v>#N/A</v>
      </c>
      <c r="R251" s="86" t="b">
        <f t="shared" si="334"/>
        <v>0</v>
      </c>
      <c r="S251" s="86">
        <f t="shared" si="332"/>
        <v>0.5</v>
      </c>
      <c r="T251" s="86">
        <f t="shared" si="335"/>
        <v>0.5</v>
      </c>
      <c r="U251" s="30" t="e">
        <f t="shared" ca="1" si="367"/>
        <v>#DIV/0!</v>
      </c>
      <c r="V251" s="85" t="str">
        <f>IF(B251&lt;=Hypothèses!$V$7,Hypothèses!$W$7,IF(B251&lt;=Hypothèses!$V$8,Hypothèses!$W$8,IF(B251&lt;=Hypothèses!$V$9,Hypothèses!$W$9,IF(B251&lt;=Hypothèses!$V$10,Hypothèses!$W$10,IF(B251&lt;=Hypothèses!$V$11,Hypothèses!$W$11,IF(B251&lt;=Hypothèses!$V$12,Hypothèses!$W$12,IF(B251&lt;=Hypothèses!$V$13,Hypothèses!$W$13,IF(B251&lt;=Hypothèses!$V$14,Hypothèses!$W$14,IF(B251&lt;=Hypothèses!$V$15,Hypothèses!$W$15,IF(B251&lt;=Hypothèses!$V$16,Hypothèses!$W$16,IF(B251&lt;=Hypothèses!$V$17,Hypothèses!$W$17,IF(B251&lt;=Hypothèses!$V$18,Hypothèses!$W$18,""))))))))))))</f>
        <v/>
      </c>
      <c r="W251" s="87" t="e">
        <f t="shared" ca="1" si="416"/>
        <v>#DIV/0!</v>
      </c>
      <c r="X251" s="88" t="str">
        <f>IF(B251&lt;=Hypothèses!$V$7,Hypothèses!$X$7,IF(B251&lt;=Hypothèses!$V$8,Hypothèses!$X$8,IF(B251&lt;=Hypothèses!$V$9,Hypothèses!$X$9,IF(B251&lt;=Hypothèses!$V$10,Hypothèses!$X$10,IF(B251&lt;=Hypothèses!$V$11,Hypothèses!$X$11,IF(B251&lt;=Hypothèses!$V$12,Hypothèses!$X$12,IF(B251&lt;=Hypothèses!$V$13,Hypothèses!$X$13,IF(B251&lt;=Hypothèses!$V$14,Hypothèses!$X$14,IF(B251&lt;=Hypothèses!$V$15,Hypothèses!$X$15,IF(B251&lt;=Hypothèses!$V$16,Hypothèses!$X$16,IF(B251&lt;=Hypothèses!$U$17,Hypothèses!$W$17,IF(B251&lt;=Hypothèses!$U$18,Hypothèses!$W$18,""))))))))))))</f>
        <v/>
      </c>
      <c r="Y251" s="95" t="e">
        <f t="shared" ca="1" si="336"/>
        <v>#DIV/0!</v>
      </c>
      <c r="Z251" s="101">
        <f t="shared" si="337"/>
        <v>0</v>
      </c>
      <c r="AA251" s="91">
        <f t="shared" si="338"/>
        <v>0</v>
      </c>
      <c r="AB251" s="30" t="e">
        <f t="shared" si="400"/>
        <v>#N/A</v>
      </c>
      <c r="AC251" s="30" t="e">
        <f t="shared" si="401"/>
        <v>#N/A</v>
      </c>
      <c r="AD251" s="31" t="e">
        <f>IF(OR(Hypothèses!$B$4=17,Hypothèses!$B$4=18,Hypothèses!$B$4=19,Hypothèses!$B$4=20),
IF($D251="Pressio.",
IF(OR($E251=3,$E251=1,$E251=4),AC251,AB251),
IF($D251="Pénétro.",
IF(OR($E251=3,$E251=1,$E251=4),AC251,AB251))),IF($D251="Pressio.",
IF($E251=3,AC251,AB251),
IF($D251="Pénétro.",
IF($E251=4,AC251,AB251))))</f>
        <v>#N/A</v>
      </c>
      <c r="AE251" s="31">
        <v>0</v>
      </c>
      <c r="AF251" s="102" t="e">
        <f>IF(NDC!$H$10="Oui",(VLOOKUP($B$3,'Coeff EC7'!$T$39:$X$59,2,0)*AD251+VLOOKUP($B$3,'Coeff EC7'!$T$65:$X$85,2,0)*Model0.1T!AE251)/1.5,PI()*AB$12*$Q251*($B251-$B250)*0.15/10+AF250)</f>
        <v>#N/A</v>
      </c>
      <c r="AG251" s="102" t="e">
        <f>(VLOOKUP($B$3,'Coeff EC7'!$T$39:$X$59,3,0)*AD251+VLOOKUP($B$3,'Coeff EC7'!$T$65:$X$85,3,0)*Model0.1T!AE251)/1.1</f>
        <v>#N/A</v>
      </c>
      <c r="AH251" s="102" t="e">
        <f t="shared" si="368"/>
        <v>#N/A</v>
      </c>
      <c r="AI251" s="102" t="e">
        <f t="shared" si="369"/>
        <v>#N/A</v>
      </c>
      <c r="AJ251" s="414" t="e">
        <f>IF(AND(AF251&gt;NDC!$C$63,AG251&gt;NDC!$C$65,AH251&gt;NDC!$D$73,AI251&gt;NDC!$D$74,$B251&gt;NDC!$H$22-0.1+MIN(3*$AJ$12,1.5)),0,1)</f>
        <v>#N/A</v>
      </c>
      <c r="AK251" s="86" t="b">
        <f t="shared" si="339"/>
        <v>0</v>
      </c>
      <c r="AL251" s="86">
        <f t="shared" si="370"/>
        <v>0.5</v>
      </c>
      <c r="AM251" s="86">
        <f t="shared" si="340"/>
        <v>0.5</v>
      </c>
      <c r="AN251" s="30" t="e">
        <f t="shared" ca="1" si="371"/>
        <v>#DIV/0!</v>
      </c>
      <c r="AO251" s="85" t="e">
        <f ca="1">IF(U251&lt;=Hypothèses!$V$7,Hypothèses!$W$7,IF(U251&lt;=Hypothèses!$V$8,Hypothèses!$W$8,IF(U251&lt;=Hypothèses!$V$9,Hypothèses!$W$9,IF(U251&lt;=Hypothèses!$V$10,Hypothèses!$W$10,IF(U251&lt;=Hypothèses!$V$11,Hypothèses!$W$11,IF(U251&lt;=Hypothèses!$V$12,Hypothèses!$W$12,IF(U251&lt;=Hypothèses!$V$13,Hypothèses!$W$13,IF(U251&lt;=Hypothèses!$V$14,Hypothèses!$W$14,IF(U251&lt;=Hypothèses!$V$15,Hypothèses!$W$15,IF(U251&lt;=Hypothèses!$V$16,Hypothèses!$W$16,IF(U251&lt;=Hypothèses!$V$17,Hypothèses!$W$17,IF(U251&lt;=Hypothèses!$V$18,Hypothèses!$W$18,""))))))))))))</f>
        <v>#DIV/0!</v>
      </c>
      <c r="AP251" s="87" t="e">
        <f t="shared" ca="1" si="417"/>
        <v>#DIV/0!</v>
      </c>
      <c r="AQ251" s="88" t="e">
        <f ca="1">IF(U251&lt;=Hypothèses!$V$7,Hypothèses!$X$7,IF(U251&lt;=Hypothèses!$V$8,Hypothèses!$X$8,IF(U251&lt;=Hypothèses!$V$9,Hypothèses!$X$9,IF(U251&lt;=Hypothèses!$V$10,Hypothèses!$X$10,IF(U251&lt;=Hypothèses!$V$11,Hypothèses!$X$11,IF(U251&lt;=Hypothèses!$V$12,Hypothèses!$X$12,IF(U251&lt;=Hypothèses!$V$13,Hypothèses!$X$13,IF(U251&lt;=Hypothèses!$V$14,Hypothèses!$X$14,IF(U251&lt;=Hypothèses!$V$15,Hypothèses!$X$15,IF(U251&lt;=Hypothèses!$V$16,Hypothèses!$X$16,IF(U251&lt;=Hypothèses!$U$17,Hypothèses!$W$17,IF(U251&lt;=Hypothèses!$U$18,Hypothèses!$W$18,""))))))))))))</f>
        <v>#DIV/0!</v>
      </c>
      <c r="AR251" s="95" t="e">
        <f t="shared" ca="1" si="372"/>
        <v>#DIV/0!</v>
      </c>
      <c r="AS251" s="101">
        <f t="shared" si="424"/>
        <v>0</v>
      </c>
      <c r="AT251" s="91">
        <f t="shared" si="341"/>
        <v>0</v>
      </c>
      <c r="AU251" s="30" t="e">
        <f t="shared" si="402"/>
        <v>#N/A</v>
      </c>
      <c r="AV251" s="30" t="e">
        <f t="shared" si="403"/>
        <v>#N/A</v>
      </c>
      <c r="AW251" s="31" t="e">
        <f>IF(OR(Hypothèses!$B$4=17,Hypothèses!$B$4=18,Hypothèses!$B$4=19,Hypothèses!$B$4=20),
IF($D251="Pressio.",
IF(OR($E251=3,$E251=1,$E251=4),AV251,AU251),
IF($D251="Pénétro.",
IF(OR($E251=3,$E251=1,$E251=4),AV251,AU251))),IF($D251="Pressio.",
IF($E251=3,AV251,AU251),
IF($D251="Pénétro.",
IF($E251=4,AV251,AU251))))</f>
        <v>#N/A</v>
      </c>
      <c r="AX251" s="31">
        <v>0</v>
      </c>
      <c r="AY251" s="102" t="e">
        <f>IF(NDC!$H$10="Oui",(VLOOKUP($B$3,'Coeff EC7'!$T$39:$X$59,2,0)*AW251+VLOOKUP($B$3,'Coeff EC7'!$T$65:$X$85,2,0)*Model0.1T!AX251)/1.5,PI()*AU$12*$Q251*($B251-$B250)*0.15/10+AY250)</f>
        <v>#N/A</v>
      </c>
      <c r="AZ251" s="102" t="e">
        <f>(VLOOKUP($B$3,'Coeff EC7'!$T$39:$X$59,3,0)*AW251+VLOOKUP($B$3,'Coeff EC7'!$T$65:$X$85,3,0)*Model0.1T!AX251)/1.1</f>
        <v>#N/A</v>
      </c>
      <c r="BA251" s="102" t="e">
        <f t="shared" si="373"/>
        <v>#N/A</v>
      </c>
      <c r="BB251" s="102" t="e">
        <f t="shared" si="374"/>
        <v>#N/A</v>
      </c>
      <c r="BC251" s="414" t="e">
        <f>IF(AND(AY251&gt;NDC!$C$63,AZ251&gt;NDC!$C$65,BA251&gt;NDC!$D$73,BB251&gt;NDC!$D$74,$B251&gt;NDC!$H$22-0.1+MIN(3*BC$12,1.5)),0,1)</f>
        <v>#N/A</v>
      </c>
      <c r="BD251" s="86" t="b">
        <f t="shared" si="342"/>
        <v>0</v>
      </c>
      <c r="BE251" s="86">
        <f t="shared" si="375"/>
        <v>0.5</v>
      </c>
      <c r="BF251" s="86">
        <f t="shared" si="343"/>
        <v>0.5</v>
      </c>
      <c r="BG251" s="30" t="e">
        <f t="shared" ca="1" si="376"/>
        <v>#DIV/0!</v>
      </c>
      <c r="BH251" s="85" t="e">
        <f ca="1">IF(AN251&lt;=Hypothèses!$V$7,Hypothèses!$W$7,IF(AN251&lt;=Hypothèses!$V$8,Hypothèses!$W$8,IF(AN251&lt;=Hypothèses!$V$9,Hypothèses!$W$9,IF(AN251&lt;=Hypothèses!$V$10,Hypothèses!$W$10,IF(AN251&lt;=Hypothèses!$V$11,Hypothèses!$W$11,IF(AN251&lt;=Hypothèses!$V$12,Hypothèses!$W$12,IF(AN251&lt;=Hypothèses!$V$13,Hypothèses!$W$13,IF(AN251&lt;=Hypothèses!$V$14,Hypothèses!$W$14,IF(AN251&lt;=Hypothèses!$V$15,Hypothèses!$W$15,IF(AN251&lt;=Hypothèses!$V$16,Hypothèses!$W$16,IF(AN251&lt;=Hypothèses!$V$17,Hypothèses!$W$17,IF(AN251&lt;=Hypothèses!$V$18,Hypothèses!$W$18,""))))))))))))</f>
        <v>#DIV/0!</v>
      </c>
      <c r="BI251" s="87" t="e">
        <f t="shared" ca="1" si="418"/>
        <v>#DIV/0!</v>
      </c>
      <c r="BJ251" s="88" t="e">
        <f ca="1">IF(AN251&lt;=Hypothèses!$V$7,Hypothèses!$X$7,IF(AN251&lt;=Hypothèses!$V$8,Hypothèses!$X$8,IF(AN251&lt;=Hypothèses!$V$9,Hypothèses!$X$9,IF(AN251&lt;=Hypothèses!$V$10,Hypothèses!$X$10,IF(AN251&lt;=Hypothèses!$V$11,Hypothèses!$X$11,IF(AN251&lt;=Hypothèses!$V$12,Hypothèses!$X$12,IF(AN251&lt;=Hypothèses!$V$13,Hypothèses!$X$13,IF(AN251&lt;=Hypothèses!$V$14,Hypothèses!$X$14,IF(AN251&lt;=Hypothèses!$V$15,Hypothèses!$X$15,IF(AN251&lt;=Hypothèses!$V$16,Hypothèses!$X$16,IF(AN251&lt;=Hypothèses!$U$17,Hypothèses!$W$17,IF(AN251&lt;=Hypothèses!$U$18,Hypothèses!$W$18,""))))))))))))</f>
        <v>#DIV/0!</v>
      </c>
      <c r="BK251" s="95" t="e">
        <f t="shared" ca="1" si="377"/>
        <v>#DIV/0!</v>
      </c>
      <c r="BL251" s="101">
        <f t="shared" si="425"/>
        <v>0</v>
      </c>
      <c r="BM251" s="91">
        <f t="shared" si="344"/>
        <v>0</v>
      </c>
      <c r="BN251" s="30" t="e">
        <f t="shared" si="404"/>
        <v>#N/A</v>
      </c>
      <c r="BO251" s="30" t="e">
        <f t="shared" si="405"/>
        <v>#N/A</v>
      </c>
      <c r="BP251" s="31" t="e">
        <f>IF(OR(Hypothèses!$B$4=17,Hypothèses!$B$4=18,Hypothèses!$B$4=19,Hypothèses!$B$4=20),
IF($D251="Pressio.",
IF(OR($E251=3,$E251=1,$E251=4),BO251,BN251),
IF($D251="Pénétro.",
IF(OR($E251=3,$E251=1,$E251=4),BO251,BN251))),IF($D251="Pressio.",
IF($E251=3,BO251,BN251),
IF($D251="Pénétro.",
IF($E251=4,BO251,BN251))))</f>
        <v>#N/A</v>
      </c>
      <c r="BQ251" s="31">
        <v>0</v>
      </c>
      <c r="BR251" s="102" t="e">
        <f>IF(NDC!$H$10="Oui",(VLOOKUP($B$3,'Coeff EC7'!$T$39:$X$59,2,0)*BP251+VLOOKUP($B$3,'Coeff EC7'!$T$65:$X$85,2,0)*Model0.1T!BQ251)/1.5,PI()*BN$12*$Q251*($B251-$B250)*0.15/10+BR250)</f>
        <v>#N/A</v>
      </c>
      <c r="BS251" s="102" t="e">
        <f>(VLOOKUP($B$3,'Coeff EC7'!$T$39:$X$59,3,0)*BP251+VLOOKUP($B$3,'Coeff EC7'!$T$65:$X$85,3,0)*Model0.1T!BQ251)/1.1</f>
        <v>#N/A</v>
      </c>
      <c r="BT251" s="102" t="e">
        <f t="shared" si="378"/>
        <v>#N/A</v>
      </c>
      <c r="BU251" s="102" t="e">
        <f t="shared" si="379"/>
        <v>#N/A</v>
      </c>
      <c r="BV251" s="414" t="e">
        <f>IF(AND(BR251&gt;NDC!$C$63,BS251&gt;NDC!$C$65,BT251&gt;NDC!$D$73,BU251&gt;NDC!$D$74,$B251&gt;NDC!$H$22-0.1+MIN(3*BV$12,1.5)),0,1)</f>
        <v>#N/A</v>
      </c>
      <c r="BW251" s="86" t="b">
        <f t="shared" si="345"/>
        <v>0</v>
      </c>
      <c r="BX251" s="86">
        <f t="shared" si="346"/>
        <v>0.5</v>
      </c>
      <c r="BY251" s="86">
        <f t="shared" si="347"/>
        <v>0.5</v>
      </c>
      <c r="BZ251" s="30" t="e">
        <f t="shared" ca="1" si="380"/>
        <v>#DIV/0!</v>
      </c>
      <c r="CA251" s="85" t="e">
        <f ca="1">IF(BG251&lt;=Hypothèses!$V$7,Hypothèses!$W$7,IF(BG251&lt;=Hypothèses!$V$8,Hypothèses!$W$8,IF(BG251&lt;=Hypothèses!$V$9,Hypothèses!$W$9,IF(BG251&lt;=Hypothèses!$V$10,Hypothèses!$W$10,IF(BG251&lt;=Hypothèses!$V$11,Hypothèses!$W$11,IF(BG251&lt;=Hypothèses!$V$12,Hypothèses!$W$12,IF(BG251&lt;=Hypothèses!$V$13,Hypothèses!$W$13,IF(BG251&lt;=Hypothèses!$V$14,Hypothèses!$W$14,IF(BG251&lt;=Hypothèses!$V$15,Hypothèses!$W$15,IF(BG251&lt;=Hypothèses!$V$16,Hypothèses!$W$16,IF(BG251&lt;=Hypothèses!$V$17,Hypothèses!$W$17,IF(BG251&lt;=Hypothèses!$V$18,Hypothèses!$W$18,""))))))))))))</f>
        <v>#DIV/0!</v>
      </c>
      <c r="CB251" s="87" t="e">
        <f t="shared" ca="1" si="419"/>
        <v>#DIV/0!</v>
      </c>
      <c r="CC251" s="88" t="e">
        <f ca="1">IF(BG251&lt;=Hypothèses!$V$7,Hypothèses!$X$7,IF(BG251&lt;=Hypothèses!$V$8,Hypothèses!$X$8,IF(BG251&lt;=Hypothèses!$V$9,Hypothèses!$X$9,IF(BG251&lt;=Hypothèses!$V$10,Hypothèses!$X$10,IF(BG251&lt;=Hypothèses!$V$11,Hypothèses!$X$11,IF(BG251&lt;=Hypothèses!$V$12,Hypothèses!$X$12,IF(BG251&lt;=Hypothèses!$V$13,Hypothèses!$X$13,IF(BG251&lt;=Hypothèses!$V$14,Hypothèses!$X$14,IF(BG251&lt;=Hypothèses!$V$15,Hypothèses!$X$15,IF(BG251&lt;=Hypothèses!$V$16,Hypothèses!$X$16,IF(BG251&lt;=Hypothèses!$U$17,Hypothèses!$W$17,IF(BG251&lt;=Hypothèses!$U$18,Hypothèses!$W$18,""))))))))))))</f>
        <v>#DIV/0!</v>
      </c>
      <c r="CD251" s="95" t="e">
        <f t="shared" ca="1" si="381"/>
        <v>#DIV/0!</v>
      </c>
      <c r="CE251" s="101">
        <f t="shared" si="426"/>
        <v>0</v>
      </c>
      <c r="CF251" s="91">
        <f t="shared" si="348"/>
        <v>0</v>
      </c>
      <c r="CG251" s="30" t="e">
        <f t="shared" si="406"/>
        <v>#N/A</v>
      </c>
      <c r="CH251" s="30" t="e">
        <f t="shared" si="407"/>
        <v>#N/A</v>
      </c>
      <c r="CI251" s="31" t="e">
        <f>IF(OR(Hypothèses!$B$4=17,Hypothèses!$B$4=18,Hypothèses!$B$4=19,Hypothèses!$B$4=20),
IF($D251="Pressio.",
IF(OR($E251=3,$E251=1,$E251=4),CH251,CG251),
IF($D251="Pénétro.",
IF(OR($E251=3,$E251=1,$E251=4),CH251,CG251))),IF($D251="Pressio.",
IF($E251=3,CH251,CG251),
IF($D251="Pénétro.",
IF($E251=4,CH251,CG251))))</f>
        <v>#N/A</v>
      </c>
      <c r="CJ251" s="31">
        <v>0</v>
      </c>
      <c r="CK251" s="102" t="e">
        <f>IF(NDC!$H$10="Oui",(VLOOKUP($B$3,'Coeff EC7'!$T$39:$X$59,2,0)*CI251+VLOOKUP($B$3,'Coeff EC7'!$T$65:$X$85,2,0)*Model0.1T!CJ251)/1.5,PI()*CG$12*$Q251*($B251-$B250)*0.15/10+CK250)</f>
        <v>#N/A</v>
      </c>
      <c r="CL251" s="102" t="e">
        <f>(VLOOKUP($B$3,'Coeff EC7'!$T$39:$X$59,3,0)*CI251+VLOOKUP($B$3,'Coeff EC7'!$T$65:$X$85,3,0)*Model0.1T!CJ251)/1.1</f>
        <v>#N/A</v>
      </c>
      <c r="CM251" s="102" t="e">
        <f t="shared" si="382"/>
        <v>#N/A</v>
      </c>
      <c r="CN251" s="102" t="e">
        <f t="shared" si="383"/>
        <v>#N/A</v>
      </c>
      <c r="CO251" s="414" t="e">
        <f>IF(AND(CK251&gt;NDC!$C$63,CL251&gt;NDC!$C$65,CM251&gt;NDC!$D$73,CN251&gt;NDC!$D$74,$B251&gt;NDC!$H$22-0.1+MIN(3*CO$12,1.5)),0,1)</f>
        <v>#N/A</v>
      </c>
      <c r="CP251" s="86" t="b">
        <f t="shared" si="349"/>
        <v>0</v>
      </c>
      <c r="CQ251" s="86">
        <f t="shared" si="350"/>
        <v>0.5</v>
      </c>
      <c r="CR251" s="86">
        <f t="shared" si="351"/>
        <v>0.5</v>
      </c>
      <c r="CS251" s="30" t="e">
        <f t="shared" ca="1" si="384"/>
        <v>#DIV/0!</v>
      </c>
      <c r="CT251" s="85" t="e">
        <f ca="1">IF(BZ251&lt;=Hypothèses!$V$7,Hypothèses!$W$7,IF(BZ251&lt;=Hypothèses!$V$8,Hypothèses!$W$8,IF(BZ251&lt;=Hypothèses!$V$9,Hypothèses!$W$9,IF(BZ251&lt;=Hypothèses!$V$10,Hypothèses!$W$10,IF(BZ251&lt;=Hypothèses!$V$11,Hypothèses!$W$11,IF(BZ251&lt;=Hypothèses!$V$12,Hypothèses!$W$12,IF(BZ251&lt;=Hypothèses!$V$13,Hypothèses!$W$13,IF(BZ251&lt;=Hypothèses!$V$14,Hypothèses!$W$14,IF(BZ251&lt;=Hypothèses!$V$15,Hypothèses!$W$15,IF(BZ251&lt;=Hypothèses!$V$16,Hypothèses!$W$16,IF(BZ251&lt;=Hypothèses!$V$17,Hypothèses!$W$17,IF(BZ251&lt;=Hypothèses!$V$18,Hypothèses!$W$18,""))))))))))))</f>
        <v>#DIV/0!</v>
      </c>
      <c r="CU251" s="87" t="e">
        <f t="shared" ca="1" si="420"/>
        <v>#DIV/0!</v>
      </c>
      <c r="CV251" s="88" t="e">
        <f ca="1">IF(BZ251&lt;=Hypothèses!$V$7,Hypothèses!$X$7,IF(BZ251&lt;=Hypothèses!$V$8,Hypothèses!$X$8,IF(BZ251&lt;=Hypothèses!$V$9,Hypothèses!$X$9,IF(BZ251&lt;=Hypothèses!$V$10,Hypothèses!$X$10,IF(BZ251&lt;=Hypothèses!$V$11,Hypothèses!$X$11,IF(BZ251&lt;=Hypothèses!$V$12,Hypothèses!$X$12,IF(BZ251&lt;=Hypothèses!$V$13,Hypothèses!$X$13,IF(BZ251&lt;=Hypothèses!$V$14,Hypothèses!$X$14,IF(BZ251&lt;=Hypothèses!$V$15,Hypothèses!$X$15,IF(BZ251&lt;=Hypothèses!$V$16,Hypothèses!$X$16,IF(BZ251&lt;=Hypothèses!$U$17,Hypothèses!$W$17,IF(BZ251&lt;=Hypothèses!$U$18,Hypothèses!$W$18,""))))))))))))</f>
        <v>#DIV/0!</v>
      </c>
      <c r="CW251" s="95" t="e">
        <f t="shared" ca="1" si="385"/>
        <v>#DIV/0!</v>
      </c>
      <c r="CX251" s="101">
        <f t="shared" si="427"/>
        <v>0</v>
      </c>
      <c r="CY251" s="91">
        <f t="shared" si="352"/>
        <v>0</v>
      </c>
      <c r="CZ251" s="30" t="e">
        <f t="shared" si="408"/>
        <v>#N/A</v>
      </c>
      <c r="DA251" s="30" t="e">
        <f t="shared" si="409"/>
        <v>#N/A</v>
      </c>
      <c r="DB251" s="31" t="e">
        <f>IF(OR(Hypothèses!$B$4=17,Hypothèses!$B$4=18,Hypothèses!$B$4=19,Hypothèses!$B$4=20),
IF($D251="Pressio.",
IF(OR($E251=3,$E251=1,$E251=4),DA251,CZ251),
IF($D251="Pénétro.",
IF(OR($E251=3,$E251=1,$E251=4),DA251,CZ251))),IF($D251="Pressio.",
IF($E251=3,DA251,CZ251),
IF($D251="Pénétro.",
IF($E251=4,DA251,CZ251))))</f>
        <v>#N/A</v>
      </c>
      <c r="DC251" s="31">
        <v>0</v>
      </c>
      <c r="DD251" s="102" t="e">
        <f>IF(NDC!$H$10="Oui",(VLOOKUP($B$3,'Coeff EC7'!$T$39:$X$59,2,0)*DB251+VLOOKUP($B$3,'Coeff EC7'!$T$65:$X$85,2,0)*Model0.1T!DC251)/1.5,PI()*CZ$12*$Q251*($B251-$B250)*0.15/10+DD250)</f>
        <v>#N/A</v>
      </c>
      <c r="DE251" s="102" t="e">
        <f>(VLOOKUP($B$3,'Coeff EC7'!$T$39:$X$59,3,0)*DB251+VLOOKUP($B$3,'Coeff EC7'!$T$65:$X$85,3,0)*Model0.1T!DC251)/1.1</f>
        <v>#N/A</v>
      </c>
      <c r="DF251" s="102" t="e">
        <f t="shared" si="386"/>
        <v>#N/A</v>
      </c>
      <c r="DG251" s="102" t="e">
        <f t="shared" si="387"/>
        <v>#N/A</v>
      </c>
      <c r="DH251" s="414" t="e">
        <f>IF(AND(DD251&gt;NDC!$C$63,DE251&gt;NDC!$C$65,DF251&gt;NDC!$D$73,DG251&gt;NDC!$D$74,$B251&gt;NDC!$H$22-0.1+MIN(3*DH$12,1.5)),0,1)</f>
        <v>#N/A</v>
      </c>
      <c r="DI251" s="86" t="b">
        <f t="shared" si="353"/>
        <v>0</v>
      </c>
      <c r="DJ251" s="86">
        <f t="shared" si="354"/>
        <v>0.5</v>
      </c>
      <c r="DK251" s="86">
        <f t="shared" si="355"/>
        <v>0.5</v>
      </c>
      <c r="DL251" s="30" t="e">
        <f t="shared" ca="1" si="388"/>
        <v>#DIV/0!</v>
      </c>
      <c r="DM251" s="85" t="e">
        <f ca="1">IF(CS251&lt;=Hypothèses!$V$7,Hypothèses!$W$7,IF(CS251&lt;=Hypothèses!$V$8,Hypothèses!$W$8,IF(CS251&lt;=Hypothèses!$V$9,Hypothèses!$W$9,IF(CS251&lt;=Hypothèses!$V$10,Hypothèses!$W$10,IF(CS251&lt;=Hypothèses!$V$11,Hypothèses!$W$11,IF(CS251&lt;=Hypothèses!$V$12,Hypothèses!$W$12,IF(CS251&lt;=Hypothèses!$V$13,Hypothèses!$W$13,IF(CS251&lt;=Hypothèses!$V$14,Hypothèses!$W$14,IF(CS251&lt;=Hypothèses!$V$15,Hypothèses!$W$15,IF(CS251&lt;=Hypothèses!$V$16,Hypothèses!$W$16,IF(CS251&lt;=Hypothèses!$V$17,Hypothèses!$W$17,IF(CS251&lt;=Hypothèses!$V$18,Hypothèses!$W$18,""))))))))))))</f>
        <v>#DIV/0!</v>
      </c>
      <c r="DN251" s="87" t="e">
        <f t="shared" ca="1" si="421"/>
        <v>#DIV/0!</v>
      </c>
      <c r="DO251" s="88" t="e">
        <f ca="1">IF(CS251&lt;=Hypothèses!$V$7,Hypothèses!$X$7,IF(CS251&lt;=Hypothèses!$V$8,Hypothèses!$X$8,IF(CS251&lt;=Hypothèses!$V$9,Hypothèses!$X$9,IF(CS251&lt;=Hypothèses!$V$10,Hypothèses!$X$10,IF(CS251&lt;=Hypothèses!$V$11,Hypothèses!$X$11,IF(CS251&lt;=Hypothèses!$V$12,Hypothèses!$X$12,IF(CS251&lt;=Hypothèses!$V$13,Hypothèses!$X$13,IF(CS251&lt;=Hypothèses!$V$14,Hypothèses!$X$14,IF(CS251&lt;=Hypothèses!$V$15,Hypothèses!$X$15,IF(CS251&lt;=Hypothèses!$V$16,Hypothèses!$X$16,IF(CS251&lt;=Hypothèses!$U$17,Hypothèses!$W$17,IF(CS251&lt;=Hypothèses!$U$18,Hypothèses!$W$18,""))))))))))))</f>
        <v>#DIV/0!</v>
      </c>
      <c r="DP251" s="95" t="e">
        <f t="shared" ca="1" si="389"/>
        <v>#DIV/0!</v>
      </c>
      <c r="DQ251" s="101">
        <f t="shared" si="428"/>
        <v>0</v>
      </c>
      <c r="DR251" s="91">
        <f t="shared" si="356"/>
        <v>0</v>
      </c>
      <c r="DS251" s="30" t="e">
        <f t="shared" si="410"/>
        <v>#N/A</v>
      </c>
      <c r="DT251" s="30" t="e">
        <f t="shared" si="411"/>
        <v>#N/A</v>
      </c>
      <c r="DU251" s="31" t="e">
        <f>IF(OR(Hypothèses!$B$4=17,Hypothèses!$B$4=18,Hypothèses!$B$4=19,Hypothèses!$B$4=20),
IF($D251="Pressio.",
IF(OR($E251=3,$E251=1,$E251=4),DT251,DS251),
IF($D251="Pénétro.",
IF(OR($E251=3,$E251=1,$E251=4),DT251,DS251))),IF($D251="Pressio.",
IF($E251=3,DT251,DS251),
IF($D251="Pénétro.",
IF($E251=4,DT251,DS251))))</f>
        <v>#N/A</v>
      </c>
      <c r="DV251" s="31">
        <v>0</v>
      </c>
      <c r="DW251" s="102" t="e">
        <f>IF(NDC!$H$10="Oui",(VLOOKUP($B$3,'Coeff EC7'!$T$39:$X$59,2,0)*DU251+VLOOKUP($B$3,'Coeff EC7'!$T$65:$X$85,2,0)*Model0.1T!DV251)/1.5,PI()*DS$12*$Q251*($B251-$B250)*0.15/10+DW250)</f>
        <v>#N/A</v>
      </c>
      <c r="DX251" s="102" t="e">
        <f>(VLOOKUP($B$3,'Coeff EC7'!$T$39:$X$59,3,0)*DU251+VLOOKUP($B$3,'Coeff EC7'!$T$65:$X$85,3,0)*Model0.1T!DV251)/1.1</f>
        <v>#N/A</v>
      </c>
      <c r="DY251" s="102" t="e">
        <f t="shared" si="390"/>
        <v>#N/A</v>
      </c>
      <c r="DZ251" s="102" t="e">
        <f t="shared" si="391"/>
        <v>#N/A</v>
      </c>
      <c r="EA251" s="414" t="e">
        <f>IF(AND(DW251&gt;NDC!$C$63,DX251&gt;NDC!$C$65,DY251&gt;NDC!$D$73,DZ251&gt;NDC!$D$74,$B251&gt;NDC!$H$22-0.1+MIN(3*EA$12,1.5)),0,1)</f>
        <v>#N/A</v>
      </c>
      <c r="EB251" s="86" t="b">
        <f t="shared" si="357"/>
        <v>0</v>
      </c>
      <c r="EC251" s="418">
        <f t="shared" si="358"/>
        <v>0.51</v>
      </c>
      <c r="ED251" s="86">
        <f t="shared" si="359"/>
        <v>0.51</v>
      </c>
      <c r="EE251" s="30" t="e">
        <f t="shared" ca="1" si="392"/>
        <v>#DIV/0!</v>
      </c>
      <c r="EF251" s="85" t="e">
        <f ca="1">IF(DL251&lt;=Hypothèses!$V$7,Hypothèses!$W$7,IF(DL251&lt;=Hypothèses!$V$8,Hypothèses!$W$8,IF(DL251&lt;=Hypothèses!$V$9,Hypothèses!$W$9,IF(DL251&lt;=Hypothèses!$V$10,Hypothèses!$W$10,IF(DL251&lt;=Hypothèses!$V$11,Hypothèses!$W$11,IF(DL251&lt;=Hypothèses!$V$12,Hypothèses!$W$12,IF(DL251&lt;=Hypothèses!$V$13,Hypothèses!$W$13,IF(DL251&lt;=Hypothèses!$V$14,Hypothèses!$W$14,IF(DL251&lt;=Hypothèses!$V$15,Hypothèses!$W$15,IF(DL251&lt;=Hypothèses!$V$16,Hypothèses!$W$16,IF(DL251&lt;=Hypothèses!$V$17,Hypothèses!$W$17,IF(DL251&lt;=Hypothèses!$V$18,Hypothèses!$W$18,""))))))))))))</f>
        <v>#DIV/0!</v>
      </c>
      <c r="EG251" s="87" t="e">
        <f t="shared" ca="1" si="422"/>
        <v>#DIV/0!</v>
      </c>
      <c r="EH251" s="88" t="e">
        <f ca="1">IF(DL251&lt;=Hypothèses!$V$7,Hypothèses!$X$7,IF(DL251&lt;=Hypothèses!$V$8,Hypothèses!$X$8,IF(DL251&lt;=Hypothèses!$V$9,Hypothèses!$X$9,IF(DL251&lt;=Hypothèses!$V$10,Hypothèses!$X$10,IF(DL251&lt;=Hypothèses!$V$11,Hypothèses!$X$11,IF(DL251&lt;=Hypothèses!$V$12,Hypothèses!$X$12,IF(DL251&lt;=Hypothèses!$V$13,Hypothèses!$X$13,IF(DL251&lt;=Hypothèses!$V$14,Hypothèses!$X$14,IF(DL251&lt;=Hypothèses!$V$15,Hypothèses!$X$15,IF(DL251&lt;=Hypothèses!$V$16,Hypothèses!$X$16,IF(DL251&lt;=Hypothèses!$U$17,Hypothèses!$W$17,IF(DL251&lt;=Hypothèses!$U$18,Hypothèses!$W$18,""))))))))))))</f>
        <v>#DIV/0!</v>
      </c>
      <c r="EI251" s="95" t="e">
        <f t="shared" ca="1" si="393"/>
        <v>#DIV/0!</v>
      </c>
      <c r="EJ251" s="101">
        <f t="shared" si="429"/>
        <v>0</v>
      </c>
      <c r="EK251" s="91">
        <f t="shared" si="360"/>
        <v>0</v>
      </c>
      <c r="EL251" s="30" t="e">
        <f t="shared" si="412"/>
        <v>#N/A</v>
      </c>
      <c r="EM251" s="30" t="e">
        <f t="shared" si="413"/>
        <v>#N/A</v>
      </c>
      <c r="EN251" s="31" t="e">
        <f>IF(OR(Hypothèses!$B$4=17,Hypothèses!$B$4=18,Hypothèses!$B$4=19,Hypothèses!$B$4=20),
IF($D251="Pressio.",
IF(OR($E251=3,$E251=1,$E251=4),EM251,EL251),
IF($D251="Pénétro.",
IF(OR($E251=3,$E251=1,$E251=4),EM251,EL251))),IF($D251="Pressio.",
IF($E251=3,EM251,EL251),
IF($D251="Pénétro.",
IF($E251=4,EM251,EL251))))</f>
        <v>#N/A</v>
      </c>
      <c r="EO251" s="31">
        <v>0</v>
      </c>
      <c r="EP251" s="102" t="e">
        <f>IF(NDC!$H$10="Oui",(VLOOKUP($B$3,'Coeff EC7'!$T$39:$X$59,2,0)*EN251+VLOOKUP($B$3,'Coeff EC7'!$T$65:$X$85,2,0)*Model0.1T!EO251)/1.5,PI()*EL$12*$Q251*($B251-$B250)*0.15/10+EP250)</f>
        <v>#N/A</v>
      </c>
      <c r="EQ251" s="102" t="e">
        <f>(VLOOKUP($B$3,'Coeff EC7'!$T$39:$X$59,3,0)*EN251+VLOOKUP($B$3,'Coeff EC7'!$T$65:$X$85,3,0)*Model0.1T!EO251)/1.1</f>
        <v>#N/A</v>
      </c>
      <c r="ER251" s="102" t="e">
        <f t="shared" si="394"/>
        <v>#N/A</v>
      </c>
      <c r="ES251" s="102" t="e">
        <f t="shared" si="395"/>
        <v>#N/A</v>
      </c>
      <c r="ET251" s="414" t="e">
        <f>IF(AND(EP251&gt;NDC!$C$63,EQ251&gt;NDC!$C$65,ER251&gt;NDC!$D$73,ES251&gt;NDC!$D$74,$B251&gt;NDC!$H$22-0.1+MIN(3*ET$12,1.5)),0,1)</f>
        <v>#N/A</v>
      </c>
      <c r="EU251" s="86" t="b">
        <f t="shared" si="361"/>
        <v>0</v>
      </c>
      <c r="EV251" s="86">
        <f t="shared" si="362"/>
        <v>0.61</v>
      </c>
      <c r="EW251" s="86">
        <f t="shared" si="363"/>
        <v>0.61</v>
      </c>
      <c r="EX251" s="30" t="e">
        <f t="shared" ca="1" si="396"/>
        <v>#DIV/0!</v>
      </c>
      <c r="EY251" s="85" t="e">
        <f ca="1">IF(EE251&lt;=Hypothèses!$V$7,Hypothèses!$W$7,IF(EE251&lt;=Hypothèses!$V$8,Hypothèses!$W$8,IF(EE251&lt;=Hypothèses!$V$9,Hypothèses!$W$9,IF(EE251&lt;=Hypothèses!$V$10,Hypothèses!$W$10,IF(EE251&lt;=Hypothèses!$V$11,Hypothèses!$W$11,IF(EE251&lt;=Hypothèses!$V$12,Hypothèses!$W$12,IF(EE251&lt;=Hypothèses!$V$13,Hypothèses!$W$13,IF(EE251&lt;=Hypothèses!$V$14,Hypothèses!$W$14,IF(EE251&lt;=Hypothèses!$V$15,Hypothèses!$W$15,IF(EE251&lt;=Hypothèses!$V$16,Hypothèses!$W$16,IF(EE251&lt;=Hypothèses!$V$17,Hypothèses!$W$17,IF(EE251&lt;=Hypothèses!$V$18,Hypothèses!$W$18,""))))))))))))</f>
        <v>#DIV/0!</v>
      </c>
      <c r="EZ251" s="87" t="e">
        <f t="shared" ca="1" si="423"/>
        <v>#DIV/0!</v>
      </c>
      <c r="FA251" s="88" t="e">
        <f ca="1">IF(EE251&lt;=Hypothèses!$V$7,Hypothèses!$X$7,IF(EE251&lt;=Hypothèses!$V$8,Hypothèses!$X$8,IF(EE251&lt;=Hypothèses!$V$9,Hypothèses!$X$9,IF(EE251&lt;=Hypothèses!$V$10,Hypothèses!$X$10,IF(EE251&lt;=Hypothèses!$V$11,Hypothèses!$X$11,IF(EE251&lt;=Hypothèses!$V$12,Hypothèses!$X$12,IF(EE251&lt;=Hypothèses!$V$13,Hypothèses!$X$13,IF(EE251&lt;=Hypothèses!$V$14,Hypothèses!$X$14,IF(EE251&lt;=Hypothèses!$V$15,Hypothèses!$X$15,IF(EE251&lt;=Hypothèses!$V$16,Hypothèses!$X$16,IF(EE251&lt;=Hypothèses!$U$17,Hypothèses!$W$17,IF(EE251&lt;=Hypothèses!$U$18,Hypothèses!$W$18,""))))))))))))</f>
        <v>#DIV/0!</v>
      </c>
      <c r="FB251" s="95" t="e">
        <f t="shared" ca="1" si="397"/>
        <v>#DIV/0!</v>
      </c>
      <c r="FC251" s="101">
        <f t="shared" si="430"/>
        <v>0</v>
      </c>
      <c r="FD251" s="91">
        <f t="shared" si="364"/>
        <v>0</v>
      </c>
      <c r="FE251" s="30" t="e">
        <f t="shared" si="414"/>
        <v>#N/A</v>
      </c>
      <c r="FF251" s="30" t="e">
        <f t="shared" si="415"/>
        <v>#N/A</v>
      </c>
      <c r="FG251" s="31" t="e">
        <f>IF(OR(Hypothèses!$B$4=17,Hypothèses!$B$4=18,Hypothèses!$B$4=19,Hypothèses!$B$4=20),
IF($D251="Pressio.",
IF(OR($E251=3,$E251=1,$E251=4),FF251,FE251),
IF($D251="Pénétro.",
IF(OR($E251=3,$E251=1,$E251=4),FF251,FE251))),IF($D251="Pressio.",
IF($E251=3,FF251,FE251),
IF($D251="Pénétro.",
IF($E251=4,FF251,FE251))))</f>
        <v>#N/A</v>
      </c>
      <c r="FH251" s="31">
        <v>0</v>
      </c>
      <c r="FI251" s="102" t="e">
        <f>IF(NDC!$H$10="Oui",(VLOOKUP($B$3,'Coeff EC7'!$T$39:$X$59,2,0)*FG251+VLOOKUP($B$3,'Coeff EC7'!$T$65:$X$85,2,0)*Model0.1T!FH251)/1.5,PI()*FE$12*$Q251*($B251-$B250)*0.15/10+FI250)</f>
        <v>#N/A</v>
      </c>
      <c r="FJ251" s="102" t="e">
        <f>(VLOOKUP($B$3,'Coeff EC7'!$T$39:$X$59,3,0)*FG251+VLOOKUP($B$3,'Coeff EC7'!$T$65:$X$85,3,0)*Model0.1T!FH251)/1.1</f>
        <v>#N/A</v>
      </c>
      <c r="FK251" s="102" t="e">
        <f t="shared" si="398"/>
        <v>#N/A</v>
      </c>
      <c r="FL251" s="102" t="e">
        <f t="shared" si="399"/>
        <v>#N/A</v>
      </c>
      <c r="FM251" s="414" t="e">
        <f>IF(AND(FI251&gt;NDC!$C$63,FJ251&gt;NDC!$C$65,FK251&gt;NDC!$D$73,FL251&gt;NDC!$D$74,$B251&gt;NDC!$H$22-0.1+MIN(3*FM$12,1.5)),0,1)</f>
        <v>#N/A</v>
      </c>
    </row>
    <row r="252" spans="1:169">
      <c r="A252" s="96">
        <f t="shared" si="365"/>
        <v>76.100000000001359</v>
      </c>
      <c r="B252" s="97">
        <v>23.9</v>
      </c>
      <c r="C252" s="81">
        <f>IF(B252&lt;=Hypothèses!$C$7,Hypothèses!$A$7,IF(B252&lt;=Hypothèses!$C$8,Hypothèses!$A$8,IF(B252&lt;=Hypothèses!$C$9,Hypothèses!$A$9,IF(B252&lt;=Hypothèses!$C$10,Hypothèses!$A$10,IF(B252&lt;=Hypothèses!$C$11,Hypothèses!$A$11,IF(B252&lt;=Hypothèses!$C$12,Hypothèses!$A$12,IF(B252&lt;=Hypothèses!$C$13,Hypothèses!$A$13,IF(B252&lt;=Hypothèses!$C$14,Hypothèses!$A$14,IF(B252&lt;=Hypothèses!$C$15,Hypothèses!$A$15,IF(B252&lt;=Hypothèses!$C$16,Hypothèses!$A$16,IF(B252&lt;=Hypothèses!$C$17,Hypothèses!$A$17,IF(B252&lt;=Hypothèses!$C$18,Hypothèses!$A$18,C251))))))))))))</f>
        <v>11</v>
      </c>
      <c r="D252" s="82" t="str">
        <f>IF(B252&lt;=Hypothèses!$C$7,Hypothèses!$R$7,IF(B252&lt;=Hypothèses!$C$8,Hypothèses!$R$8,IF(B252&lt;=Hypothèses!$C$9,Hypothèses!$R$9,IF(B252&lt;=Hypothèses!$C$10,Hypothèses!$R$10,IF(B252&lt;=Hypothèses!$C$11,Hypothèses!$R$11,IF(B252&lt;=Hypothèses!$C$12,Hypothèses!$R$12,IF(B252&lt;=Hypothèses!$C$13,Hypothèses!$R$13,IF(B252&lt;=Hypothèses!$C$14,Hypothèses!$R$14,IF(B252&lt;=Hypothèses!$C$15,Hypothèses!$R$15,IF(B252&lt;=Hypothèses!$C$16,Hypothèses!$R$16,IF(B252&lt;=Hypothèses!$C$17,Hypothèses!$R$17,IF(B252&lt;=Hypothèses!$C$18,Hypothèses!$R$18,D251))))))))))))</f>
        <v>Pressio.</v>
      </c>
      <c r="E252" s="82" t="e">
        <f>IF(B252&lt;=Hypothèses!$C$7,Hypothèses!$G$7,IF(B252&lt;=Hypothèses!$C$8,Hypothèses!$G$8,IF(B252&lt;=Hypothèses!$C$9,Hypothèses!$G$9,IF(B252&lt;=Hypothèses!$C$10,Hypothèses!$G$10,IF(B252&lt;=Hypothèses!$C$11,Hypothèses!$G$11,IF(B252&lt;=Hypothèses!$C$12,Hypothèses!$G$12,IF(B252&lt;=Hypothèses!$C$13,Hypothèses!$G$13,IF(B252&lt;=Hypothèses!$C$14,Hypothèses!$G$14,IF(B252&lt;=Hypothèses!$C$15,Hypothèses!$G$15,IF(B252&lt;=Hypothèses!$C$16,Hypothèses!$G$16,IF(B252&lt;=Hypothèses!$C$17,Hypothèses!$G$17,IF(B252&lt;=Hypothèses!$C$18,Hypothèses!$G$18,E251))))))))))))</f>
        <v>#N/A</v>
      </c>
      <c r="F252" s="82" t="str">
        <f>IF(B252&lt;=Hypothèses!$C$7,Hypothèses!$F$7,IF(B252&lt;=Hypothèses!$C$8,Hypothèses!$F$8,IF(B252&lt;=Hypothèses!$C$9,Hypothèses!$F$9,IF(B252&lt;=Hypothèses!$C$10,Hypothèses!$F$10,IF(B252&lt;=Hypothèses!$C$11,Hypothèses!$F$11,IF(B252&lt;=Hypothèses!$C$12,Hypothèses!$F$12,IF(B252&lt;=Hypothèses!$C$13,Hypothèses!$F$13,IF(B252&lt;=Hypothèses!$C$14,Hypothèses!$F$14,IF(B252&lt;=Hypothèses!$C$15,Hypothèses!$F$15,IF(B252&lt;=Hypothèses!$C$16,Hypothèses!$F$16,IF(B252&lt;=Hypothèses!$C$17,Hypothèses!$F$17,IF(B252&lt;=Hypothèses!$C$18,Hypothèses!$F$18,F251))))))))))))</f>
        <v/>
      </c>
      <c r="G252" s="91">
        <f t="array" ref="G252">INDEX('Coeff EC7'!$U$7:$X$27,
MATCH(Model0.1T!$B$3,'Coeff EC7'!$T$7:$T$27,0),
MATCH(Model0.1T!$D252&amp;Model0.1T!$B$4,
'Coeff EC7'!$U$6:$X$6&amp;
'Coeff EC7'!$U$5:$X$5,0))</f>
        <v>1.4</v>
      </c>
      <c r="H252" s="91">
        <f t="array" ref="H252">INDEX('Coeff EC7'!$Y$7:$AB$27,
MATCH(Model0.1T!$B$3,'Coeff EC7'!$T$7:$T$27,0),
MATCH(Model0.1T!$D252&amp;Model0.1T!$B$4,
'Coeff EC7'!$Y$6:$AB$6&amp;
'Coeff EC7'!$Y$5:$AB$5,0))</f>
        <v>1.7</v>
      </c>
      <c r="I252" s="83">
        <v>0</v>
      </c>
      <c r="J252" s="91" t="e">
        <f t="array" ref="J252">INDEX('Coeff EC7'!$D$33:$Q$33,1,MATCH(D252&amp;E252,'Coeff EC7'!$D$31:$Q$31&amp;'Coeff EC7'!$D$32:$Q$32,0))</f>
        <v>#N/A</v>
      </c>
      <c r="K252" s="91" t="e">
        <f t="array" ref="K252">INDEX('Coeff EC7'!$D$34:$Q$34,1,MATCH(D252&amp;E252,'Coeff EC7'!$D$31:$Q$31&amp;'Coeff EC7'!$D$32:$Q$32,0))</f>
        <v>#N/A</v>
      </c>
      <c r="L252" s="91" t="e">
        <f t="array" ref="L252">INDEX('Coeff EC7'!$D$35:$Q$35,1,MATCH(D252&amp;E252,'Coeff EC7'!$D$31:$Q$31&amp;'Coeff EC7'!$D$32:$Q$32,0))</f>
        <v>#N/A</v>
      </c>
      <c r="M252" s="98" t="e">
        <f t="shared" si="331"/>
        <v>#N/A</v>
      </c>
      <c r="N252" s="99" t="e">
        <f t="array" ref="N252">INDEX('Coeff EC7'!$D$7:$Q$27,MATCH($B$3,'Coeff EC7'!$C$7:$C$27,0),MATCH(D252&amp;E252,'Coeff EC7'!$D$5:$Q$5&amp;'Coeff EC7'!$D$6:$Q$6,0))</f>
        <v>#N/A</v>
      </c>
      <c r="O252" s="99" t="e">
        <f t="array" ref="O252">INDEX('Coeff EC7'!$D$41:$Q$61,MATCH($B$3,'Coeff EC7'!$C$41:$C$61,0),MATCH(D252&amp;E252,'Coeff EC7'!$D$39:$Q$39&amp;'Coeff EC7'!$D$40:$Q$40,0))</f>
        <v>#N/A</v>
      </c>
      <c r="P252" s="30" t="e">
        <f t="shared" si="366"/>
        <v>#N/A</v>
      </c>
      <c r="Q252" s="100" t="e">
        <f t="shared" si="333"/>
        <v>#N/A</v>
      </c>
      <c r="R252" s="86" t="b">
        <f t="shared" si="334"/>
        <v>0</v>
      </c>
      <c r="S252" s="86">
        <f t="shared" si="332"/>
        <v>0.5</v>
      </c>
      <c r="T252" s="86">
        <f t="shared" si="335"/>
        <v>0.5</v>
      </c>
      <c r="U252" s="30" t="e">
        <f t="shared" ca="1" si="367"/>
        <v>#DIV/0!</v>
      </c>
      <c r="V252" s="85" t="str">
        <f>IF(B252&lt;=Hypothèses!$V$7,Hypothèses!$W$7,IF(B252&lt;=Hypothèses!$V$8,Hypothèses!$W$8,IF(B252&lt;=Hypothèses!$V$9,Hypothèses!$W$9,IF(B252&lt;=Hypothèses!$V$10,Hypothèses!$W$10,IF(B252&lt;=Hypothèses!$V$11,Hypothèses!$W$11,IF(B252&lt;=Hypothèses!$V$12,Hypothèses!$W$12,IF(B252&lt;=Hypothèses!$V$13,Hypothèses!$W$13,IF(B252&lt;=Hypothèses!$V$14,Hypothèses!$W$14,IF(B252&lt;=Hypothèses!$V$15,Hypothèses!$W$15,IF(B252&lt;=Hypothèses!$V$16,Hypothèses!$W$16,IF(B252&lt;=Hypothèses!$V$17,Hypothèses!$W$17,IF(B252&lt;=Hypothèses!$V$18,Hypothèses!$W$18,""))))))))))))</f>
        <v/>
      </c>
      <c r="W252" s="87" t="e">
        <f t="shared" ca="1" si="416"/>
        <v>#DIV/0!</v>
      </c>
      <c r="X252" s="88" t="str">
        <f>IF(B252&lt;=Hypothèses!$V$7,Hypothèses!$X$7,IF(B252&lt;=Hypothèses!$V$8,Hypothèses!$X$8,IF(B252&lt;=Hypothèses!$V$9,Hypothèses!$X$9,IF(B252&lt;=Hypothèses!$V$10,Hypothèses!$X$10,IF(B252&lt;=Hypothèses!$V$11,Hypothèses!$X$11,IF(B252&lt;=Hypothèses!$V$12,Hypothèses!$X$12,IF(B252&lt;=Hypothèses!$V$13,Hypothèses!$X$13,IF(B252&lt;=Hypothèses!$V$14,Hypothèses!$X$14,IF(B252&lt;=Hypothèses!$V$15,Hypothèses!$X$15,IF(B252&lt;=Hypothèses!$V$16,Hypothèses!$X$16,IF(B252&lt;=Hypothèses!$U$17,Hypothèses!$W$17,IF(B252&lt;=Hypothèses!$U$18,Hypothèses!$W$18,""))))))))))))</f>
        <v/>
      </c>
      <c r="Y252" s="95" t="e">
        <f t="shared" ca="1" si="336"/>
        <v>#DIV/0!</v>
      </c>
      <c r="Z252" s="101">
        <f t="shared" si="337"/>
        <v>0</v>
      </c>
      <c r="AA252" s="91">
        <f t="shared" si="338"/>
        <v>0</v>
      </c>
      <c r="AB252" s="30" t="e">
        <f t="shared" si="400"/>
        <v>#N/A</v>
      </c>
      <c r="AC252" s="30" t="e">
        <f t="shared" si="401"/>
        <v>#N/A</v>
      </c>
      <c r="AD252" s="31" t="e">
        <f>IF(OR(Hypothèses!$B$4=17,Hypothèses!$B$4=18,Hypothèses!$B$4=19,Hypothèses!$B$4=20),
IF($D252="Pressio.",
IF(OR($E252=3,$E252=1,$E252=4),AC252,AB252),
IF($D252="Pénétro.",
IF(OR($E252=3,$E252=1,$E252=4),AC252,AB252))),IF($D252="Pressio.",
IF($E252=3,AC252,AB252),
IF($D252="Pénétro.",
IF($E252=4,AC252,AB252))))</f>
        <v>#N/A</v>
      </c>
      <c r="AE252" s="31">
        <v>0</v>
      </c>
      <c r="AF252" s="102" t="e">
        <f>IF(NDC!$H$10="Oui",(VLOOKUP($B$3,'Coeff EC7'!$T$39:$X$59,2,0)*AD252+VLOOKUP($B$3,'Coeff EC7'!$T$65:$X$85,2,0)*Model0.1T!AE252)/1.5,PI()*AB$12*$Q252*($B252-$B251)*0.15/10+AF251)</f>
        <v>#N/A</v>
      </c>
      <c r="AG252" s="102" t="e">
        <f>(VLOOKUP($B$3,'Coeff EC7'!$T$39:$X$59,3,0)*AD252+VLOOKUP($B$3,'Coeff EC7'!$T$65:$X$85,3,0)*Model0.1T!AE252)/1.1</f>
        <v>#N/A</v>
      </c>
      <c r="AH252" s="102" t="e">
        <f t="shared" si="368"/>
        <v>#N/A</v>
      </c>
      <c r="AI252" s="102" t="e">
        <f t="shared" si="369"/>
        <v>#N/A</v>
      </c>
      <c r="AJ252" s="414" t="e">
        <f>IF(AND(AF252&gt;NDC!$C$63,AG252&gt;NDC!$C$65,AH252&gt;NDC!$D$73,AI252&gt;NDC!$D$74,$B252&gt;NDC!$H$22-0.1+MIN(3*$AJ$12,1.5)),0,1)</f>
        <v>#N/A</v>
      </c>
      <c r="AK252" s="86" t="b">
        <f t="shared" si="339"/>
        <v>0</v>
      </c>
      <c r="AL252" s="86">
        <f t="shared" si="370"/>
        <v>0.5</v>
      </c>
      <c r="AM252" s="86">
        <f t="shared" si="340"/>
        <v>0.5</v>
      </c>
      <c r="AN252" s="30" t="e">
        <f t="shared" ca="1" si="371"/>
        <v>#DIV/0!</v>
      </c>
      <c r="AO252" s="85" t="e">
        <f ca="1">IF(U252&lt;=Hypothèses!$V$7,Hypothèses!$W$7,IF(U252&lt;=Hypothèses!$V$8,Hypothèses!$W$8,IF(U252&lt;=Hypothèses!$V$9,Hypothèses!$W$9,IF(U252&lt;=Hypothèses!$V$10,Hypothèses!$W$10,IF(U252&lt;=Hypothèses!$V$11,Hypothèses!$W$11,IF(U252&lt;=Hypothèses!$V$12,Hypothèses!$W$12,IF(U252&lt;=Hypothèses!$V$13,Hypothèses!$W$13,IF(U252&lt;=Hypothèses!$V$14,Hypothèses!$W$14,IF(U252&lt;=Hypothèses!$V$15,Hypothèses!$W$15,IF(U252&lt;=Hypothèses!$V$16,Hypothèses!$W$16,IF(U252&lt;=Hypothèses!$V$17,Hypothèses!$W$17,IF(U252&lt;=Hypothèses!$V$18,Hypothèses!$W$18,""))))))))))))</f>
        <v>#DIV/0!</v>
      </c>
      <c r="AP252" s="87" t="e">
        <f t="shared" ca="1" si="417"/>
        <v>#DIV/0!</v>
      </c>
      <c r="AQ252" s="88" t="e">
        <f ca="1">IF(U252&lt;=Hypothèses!$V$7,Hypothèses!$X$7,IF(U252&lt;=Hypothèses!$V$8,Hypothèses!$X$8,IF(U252&lt;=Hypothèses!$V$9,Hypothèses!$X$9,IF(U252&lt;=Hypothèses!$V$10,Hypothèses!$X$10,IF(U252&lt;=Hypothèses!$V$11,Hypothèses!$X$11,IF(U252&lt;=Hypothèses!$V$12,Hypothèses!$X$12,IF(U252&lt;=Hypothèses!$V$13,Hypothèses!$X$13,IF(U252&lt;=Hypothèses!$V$14,Hypothèses!$X$14,IF(U252&lt;=Hypothèses!$V$15,Hypothèses!$X$15,IF(U252&lt;=Hypothèses!$V$16,Hypothèses!$X$16,IF(U252&lt;=Hypothèses!$U$17,Hypothèses!$W$17,IF(U252&lt;=Hypothèses!$U$18,Hypothèses!$W$18,""))))))))))))</f>
        <v>#DIV/0!</v>
      </c>
      <c r="AR252" s="95" t="e">
        <f t="shared" ca="1" si="372"/>
        <v>#DIV/0!</v>
      </c>
      <c r="AS252" s="101">
        <f t="shared" si="424"/>
        <v>0</v>
      </c>
      <c r="AT252" s="91">
        <f t="shared" si="341"/>
        <v>0</v>
      </c>
      <c r="AU252" s="30" t="e">
        <f t="shared" si="402"/>
        <v>#N/A</v>
      </c>
      <c r="AV252" s="30" t="e">
        <f t="shared" si="403"/>
        <v>#N/A</v>
      </c>
      <c r="AW252" s="31" t="e">
        <f>IF(OR(Hypothèses!$B$4=17,Hypothèses!$B$4=18,Hypothèses!$B$4=19,Hypothèses!$B$4=20),
IF($D252="Pressio.",
IF(OR($E252=3,$E252=1,$E252=4),AV252,AU252),
IF($D252="Pénétro.",
IF(OR($E252=3,$E252=1,$E252=4),AV252,AU252))),IF($D252="Pressio.",
IF($E252=3,AV252,AU252),
IF($D252="Pénétro.",
IF($E252=4,AV252,AU252))))</f>
        <v>#N/A</v>
      </c>
      <c r="AX252" s="31">
        <v>0</v>
      </c>
      <c r="AY252" s="102" t="e">
        <f>IF(NDC!$H$10="Oui",(VLOOKUP($B$3,'Coeff EC7'!$T$39:$X$59,2,0)*AW252+VLOOKUP($B$3,'Coeff EC7'!$T$65:$X$85,2,0)*Model0.1T!AX252)/1.5,PI()*AU$12*$Q252*($B252-$B251)*0.15/10+AY251)</f>
        <v>#N/A</v>
      </c>
      <c r="AZ252" s="102" t="e">
        <f>(VLOOKUP($B$3,'Coeff EC7'!$T$39:$X$59,3,0)*AW252+VLOOKUP($B$3,'Coeff EC7'!$T$65:$X$85,3,0)*Model0.1T!AX252)/1.1</f>
        <v>#N/A</v>
      </c>
      <c r="BA252" s="102" t="e">
        <f t="shared" si="373"/>
        <v>#N/A</v>
      </c>
      <c r="BB252" s="102" t="e">
        <f t="shared" si="374"/>
        <v>#N/A</v>
      </c>
      <c r="BC252" s="414" t="e">
        <f>IF(AND(AY252&gt;NDC!$C$63,AZ252&gt;NDC!$C$65,BA252&gt;NDC!$D$73,BB252&gt;NDC!$D$74,$B252&gt;NDC!$H$22-0.1+MIN(3*BC$12,1.5)),0,1)</f>
        <v>#N/A</v>
      </c>
      <c r="BD252" s="86" t="b">
        <f t="shared" si="342"/>
        <v>0</v>
      </c>
      <c r="BE252" s="86">
        <f t="shared" si="375"/>
        <v>0.5</v>
      </c>
      <c r="BF252" s="86">
        <f t="shared" si="343"/>
        <v>0.5</v>
      </c>
      <c r="BG252" s="30" t="e">
        <f t="shared" ca="1" si="376"/>
        <v>#DIV/0!</v>
      </c>
      <c r="BH252" s="85" t="e">
        <f ca="1">IF(AN252&lt;=Hypothèses!$V$7,Hypothèses!$W$7,IF(AN252&lt;=Hypothèses!$V$8,Hypothèses!$W$8,IF(AN252&lt;=Hypothèses!$V$9,Hypothèses!$W$9,IF(AN252&lt;=Hypothèses!$V$10,Hypothèses!$W$10,IF(AN252&lt;=Hypothèses!$V$11,Hypothèses!$W$11,IF(AN252&lt;=Hypothèses!$V$12,Hypothèses!$W$12,IF(AN252&lt;=Hypothèses!$V$13,Hypothèses!$W$13,IF(AN252&lt;=Hypothèses!$V$14,Hypothèses!$W$14,IF(AN252&lt;=Hypothèses!$V$15,Hypothèses!$W$15,IF(AN252&lt;=Hypothèses!$V$16,Hypothèses!$W$16,IF(AN252&lt;=Hypothèses!$V$17,Hypothèses!$W$17,IF(AN252&lt;=Hypothèses!$V$18,Hypothèses!$W$18,""))))))))))))</f>
        <v>#DIV/0!</v>
      </c>
      <c r="BI252" s="87" t="e">
        <f t="shared" ca="1" si="418"/>
        <v>#DIV/0!</v>
      </c>
      <c r="BJ252" s="88" t="e">
        <f ca="1">IF(AN252&lt;=Hypothèses!$V$7,Hypothèses!$X$7,IF(AN252&lt;=Hypothèses!$V$8,Hypothèses!$X$8,IF(AN252&lt;=Hypothèses!$V$9,Hypothèses!$X$9,IF(AN252&lt;=Hypothèses!$V$10,Hypothèses!$X$10,IF(AN252&lt;=Hypothèses!$V$11,Hypothèses!$X$11,IF(AN252&lt;=Hypothèses!$V$12,Hypothèses!$X$12,IF(AN252&lt;=Hypothèses!$V$13,Hypothèses!$X$13,IF(AN252&lt;=Hypothèses!$V$14,Hypothèses!$X$14,IF(AN252&lt;=Hypothèses!$V$15,Hypothèses!$X$15,IF(AN252&lt;=Hypothèses!$V$16,Hypothèses!$X$16,IF(AN252&lt;=Hypothèses!$U$17,Hypothèses!$W$17,IF(AN252&lt;=Hypothèses!$U$18,Hypothèses!$W$18,""))))))))))))</f>
        <v>#DIV/0!</v>
      </c>
      <c r="BK252" s="95" t="e">
        <f t="shared" ca="1" si="377"/>
        <v>#DIV/0!</v>
      </c>
      <c r="BL252" s="101">
        <f t="shared" si="425"/>
        <v>0</v>
      </c>
      <c r="BM252" s="91">
        <f t="shared" si="344"/>
        <v>0</v>
      </c>
      <c r="BN252" s="30" t="e">
        <f t="shared" si="404"/>
        <v>#N/A</v>
      </c>
      <c r="BO252" s="30" t="e">
        <f t="shared" si="405"/>
        <v>#N/A</v>
      </c>
      <c r="BP252" s="31" t="e">
        <f>IF(OR(Hypothèses!$B$4=17,Hypothèses!$B$4=18,Hypothèses!$B$4=19,Hypothèses!$B$4=20),
IF($D252="Pressio.",
IF(OR($E252=3,$E252=1,$E252=4),BO252,BN252),
IF($D252="Pénétro.",
IF(OR($E252=3,$E252=1,$E252=4),BO252,BN252))),IF($D252="Pressio.",
IF($E252=3,BO252,BN252),
IF($D252="Pénétro.",
IF($E252=4,BO252,BN252))))</f>
        <v>#N/A</v>
      </c>
      <c r="BQ252" s="31">
        <v>0</v>
      </c>
      <c r="BR252" s="102" t="e">
        <f>IF(NDC!$H$10="Oui",(VLOOKUP($B$3,'Coeff EC7'!$T$39:$X$59,2,0)*BP252+VLOOKUP($B$3,'Coeff EC7'!$T$65:$X$85,2,0)*Model0.1T!BQ252)/1.5,PI()*BN$12*$Q252*($B252-$B251)*0.15/10+BR251)</f>
        <v>#N/A</v>
      </c>
      <c r="BS252" s="102" t="e">
        <f>(VLOOKUP($B$3,'Coeff EC7'!$T$39:$X$59,3,0)*BP252+VLOOKUP($B$3,'Coeff EC7'!$T$65:$X$85,3,0)*Model0.1T!BQ252)/1.1</f>
        <v>#N/A</v>
      </c>
      <c r="BT252" s="102" t="e">
        <f t="shared" si="378"/>
        <v>#N/A</v>
      </c>
      <c r="BU252" s="102" t="e">
        <f t="shared" si="379"/>
        <v>#N/A</v>
      </c>
      <c r="BV252" s="414" t="e">
        <f>IF(AND(BR252&gt;NDC!$C$63,BS252&gt;NDC!$C$65,BT252&gt;NDC!$D$73,BU252&gt;NDC!$D$74,$B252&gt;NDC!$H$22-0.1+MIN(3*BV$12,1.5)),0,1)</f>
        <v>#N/A</v>
      </c>
      <c r="BW252" s="86" t="b">
        <f t="shared" si="345"/>
        <v>0</v>
      </c>
      <c r="BX252" s="86">
        <f t="shared" si="346"/>
        <v>0.5</v>
      </c>
      <c r="BY252" s="86">
        <f t="shared" si="347"/>
        <v>0.5</v>
      </c>
      <c r="BZ252" s="30" t="e">
        <f t="shared" ca="1" si="380"/>
        <v>#DIV/0!</v>
      </c>
      <c r="CA252" s="85" t="e">
        <f ca="1">IF(BG252&lt;=Hypothèses!$V$7,Hypothèses!$W$7,IF(BG252&lt;=Hypothèses!$V$8,Hypothèses!$W$8,IF(BG252&lt;=Hypothèses!$V$9,Hypothèses!$W$9,IF(BG252&lt;=Hypothèses!$V$10,Hypothèses!$W$10,IF(BG252&lt;=Hypothèses!$V$11,Hypothèses!$W$11,IF(BG252&lt;=Hypothèses!$V$12,Hypothèses!$W$12,IF(BG252&lt;=Hypothèses!$V$13,Hypothèses!$W$13,IF(BG252&lt;=Hypothèses!$V$14,Hypothèses!$W$14,IF(BG252&lt;=Hypothèses!$V$15,Hypothèses!$W$15,IF(BG252&lt;=Hypothèses!$V$16,Hypothèses!$W$16,IF(BG252&lt;=Hypothèses!$V$17,Hypothèses!$W$17,IF(BG252&lt;=Hypothèses!$V$18,Hypothèses!$W$18,""))))))))))))</f>
        <v>#DIV/0!</v>
      </c>
      <c r="CB252" s="87" t="e">
        <f t="shared" ca="1" si="419"/>
        <v>#DIV/0!</v>
      </c>
      <c r="CC252" s="88" t="e">
        <f ca="1">IF(BG252&lt;=Hypothèses!$V$7,Hypothèses!$X$7,IF(BG252&lt;=Hypothèses!$V$8,Hypothèses!$X$8,IF(BG252&lt;=Hypothèses!$V$9,Hypothèses!$X$9,IF(BG252&lt;=Hypothèses!$V$10,Hypothèses!$X$10,IF(BG252&lt;=Hypothèses!$V$11,Hypothèses!$X$11,IF(BG252&lt;=Hypothèses!$V$12,Hypothèses!$X$12,IF(BG252&lt;=Hypothèses!$V$13,Hypothèses!$X$13,IF(BG252&lt;=Hypothèses!$V$14,Hypothèses!$X$14,IF(BG252&lt;=Hypothèses!$V$15,Hypothèses!$X$15,IF(BG252&lt;=Hypothèses!$V$16,Hypothèses!$X$16,IF(BG252&lt;=Hypothèses!$U$17,Hypothèses!$W$17,IF(BG252&lt;=Hypothèses!$U$18,Hypothèses!$W$18,""))))))))))))</f>
        <v>#DIV/0!</v>
      </c>
      <c r="CD252" s="95" t="e">
        <f t="shared" ca="1" si="381"/>
        <v>#DIV/0!</v>
      </c>
      <c r="CE252" s="101">
        <f t="shared" si="426"/>
        <v>0</v>
      </c>
      <c r="CF252" s="91">
        <f t="shared" si="348"/>
        <v>0</v>
      </c>
      <c r="CG252" s="30" t="e">
        <f t="shared" si="406"/>
        <v>#N/A</v>
      </c>
      <c r="CH252" s="30" t="e">
        <f t="shared" si="407"/>
        <v>#N/A</v>
      </c>
      <c r="CI252" s="31" t="e">
        <f>IF(OR(Hypothèses!$B$4=17,Hypothèses!$B$4=18,Hypothèses!$B$4=19,Hypothèses!$B$4=20),
IF($D252="Pressio.",
IF(OR($E252=3,$E252=1,$E252=4),CH252,CG252),
IF($D252="Pénétro.",
IF(OR($E252=3,$E252=1,$E252=4),CH252,CG252))),IF($D252="Pressio.",
IF($E252=3,CH252,CG252),
IF($D252="Pénétro.",
IF($E252=4,CH252,CG252))))</f>
        <v>#N/A</v>
      </c>
      <c r="CJ252" s="31">
        <v>0</v>
      </c>
      <c r="CK252" s="102" t="e">
        <f>IF(NDC!$H$10="Oui",(VLOOKUP($B$3,'Coeff EC7'!$T$39:$X$59,2,0)*CI252+VLOOKUP($B$3,'Coeff EC7'!$T$65:$X$85,2,0)*Model0.1T!CJ252)/1.5,PI()*CG$12*$Q252*($B252-$B251)*0.15/10+CK251)</f>
        <v>#N/A</v>
      </c>
      <c r="CL252" s="102" t="e">
        <f>(VLOOKUP($B$3,'Coeff EC7'!$T$39:$X$59,3,0)*CI252+VLOOKUP($B$3,'Coeff EC7'!$T$65:$X$85,3,0)*Model0.1T!CJ252)/1.1</f>
        <v>#N/A</v>
      </c>
      <c r="CM252" s="102" t="e">
        <f t="shared" si="382"/>
        <v>#N/A</v>
      </c>
      <c r="CN252" s="102" t="e">
        <f t="shared" si="383"/>
        <v>#N/A</v>
      </c>
      <c r="CO252" s="414" t="e">
        <f>IF(AND(CK252&gt;NDC!$C$63,CL252&gt;NDC!$C$65,CM252&gt;NDC!$D$73,CN252&gt;NDC!$D$74,$B252&gt;NDC!$H$22-0.1+MIN(3*CO$12,1.5)),0,1)</f>
        <v>#N/A</v>
      </c>
      <c r="CP252" s="86" t="b">
        <f t="shared" si="349"/>
        <v>0</v>
      </c>
      <c r="CQ252" s="86">
        <f t="shared" si="350"/>
        <v>0.5</v>
      </c>
      <c r="CR252" s="86">
        <f t="shared" si="351"/>
        <v>0.5</v>
      </c>
      <c r="CS252" s="30" t="e">
        <f t="shared" ca="1" si="384"/>
        <v>#DIV/0!</v>
      </c>
      <c r="CT252" s="85" t="e">
        <f ca="1">IF(BZ252&lt;=Hypothèses!$V$7,Hypothèses!$W$7,IF(BZ252&lt;=Hypothèses!$V$8,Hypothèses!$W$8,IF(BZ252&lt;=Hypothèses!$V$9,Hypothèses!$W$9,IF(BZ252&lt;=Hypothèses!$V$10,Hypothèses!$W$10,IF(BZ252&lt;=Hypothèses!$V$11,Hypothèses!$W$11,IF(BZ252&lt;=Hypothèses!$V$12,Hypothèses!$W$12,IF(BZ252&lt;=Hypothèses!$V$13,Hypothèses!$W$13,IF(BZ252&lt;=Hypothèses!$V$14,Hypothèses!$W$14,IF(BZ252&lt;=Hypothèses!$V$15,Hypothèses!$W$15,IF(BZ252&lt;=Hypothèses!$V$16,Hypothèses!$W$16,IF(BZ252&lt;=Hypothèses!$V$17,Hypothèses!$W$17,IF(BZ252&lt;=Hypothèses!$V$18,Hypothèses!$W$18,""))))))))))))</f>
        <v>#DIV/0!</v>
      </c>
      <c r="CU252" s="87" t="e">
        <f t="shared" ca="1" si="420"/>
        <v>#DIV/0!</v>
      </c>
      <c r="CV252" s="88" t="e">
        <f ca="1">IF(BZ252&lt;=Hypothèses!$V$7,Hypothèses!$X$7,IF(BZ252&lt;=Hypothèses!$V$8,Hypothèses!$X$8,IF(BZ252&lt;=Hypothèses!$V$9,Hypothèses!$X$9,IF(BZ252&lt;=Hypothèses!$V$10,Hypothèses!$X$10,IF(BZ252&lt;=Hypothèses!$V$11,Hypothèses!$X$11,IF(BZ252&lt;=Hypothèses!$V$12,Hypothèses!$X$12,IF(BZ252&lt;=Hypothèses!$V$13,Hypothèses!$X$13,IF(BZ252&lt;=Hypothèses!$V$14,Hypothèses!$X$14,IF(BZ252&lt;=Hypothèses!$V$15,Hypothèses!$X$15,IF(BZ252&lt;=Hypothèses!$V$16,Hypothèses!$X$16,IF(BZ252&lt;=Hypothèses!$U$17,Hypothèses!$W$17,IF(BZ252&lt;=Hypothèses!$U$18,Hypothèses!$W$18,""))))))))))))</f>
        <v>#DIV/0!</v>
      </c>
      <c r="CW252" s="95" t="e">
        <f t="shared" ca="1" si="385"/>
        <v>#DIV/0!</v>
      </c>
      <c r="CX252" s="101">
        <f t="shared" si="427"/>
        <v>0</v>
      </c>
      <c r="CY252" s="91">
        <f t="shared" si="352"/>
        <v>0</v>
      </c>
      <c r="CZ252" s="30" t="e">
        <f t="shared" si="408"/>
        <v>#N/A</v>
      </c>
      <c r="DA252" s="30" t="e">
        <f t="shared" si="409"/>
        <v>#N/A</v>
      </c>
      <c r="DB252" s="31" t="e">
        <f>IF(OR(Hypothèses!$B$4=17,Hypothèses!$B$4=18,Hypothèses!$B$4=19,Hypothèses!$B$4=20),
IF($D252="Pressio.",
IF(OR($E252=3,$E252=1,$E252=4),DA252,CZ252),
IF($D252="Pénétro.",
IF(OR($E252=3,$E252=1,$E252=4),DA252,CZ252))),IF($D252="Pressio.",
IF($E252=3,DA252,CZ252),
IF($D252="Pénétro.",
IF($E252=4,DA252,CZ252))))</f>
        <v>#N/A</v>
      </c>
      <c r="DC252" s="31">
        <v>0</v>
      </c>
      <c r="DD252" s="102" t="e">
        <f>IF(NDC!$H$10="Oui",(VLOOKUP($B$3,'Coeff EC7'!$T$39:$X$59,2,0)*DB252+VLOOKUP($B$3,'Coeff EC7'!$T$65:$X$85,2,0)*Model0.1T!DC252)/1.5,PI()*CZ$12*$Q252*($B252-$B251)*0.15/10+DD251)</f>
        <v>#N/A</v>
      </c>
      <c r="DE252" s="102" t="e">
        <f>(VLOOKUP($B$3,'Coeff EC7'!$T$39:$X$59,3,0)*DB252+VLOOKUP($B$3,'Coeff EC7'!$T$65:$X$85,3,0)*Model0.1T!DC252)/1.1</f>
        <v>#N/A</v>
      </c>
      <c r="DF252" s="102" t="e">
        <f t="shared" si="386"/>
        <v>#N/A</v>
      </c>
      <c r="DG252" s="102" t="e">
        <f t="shared" si="387"/>
        <v>#N/A</v>
      </c>
      <c r="DH252" s="414" t="e">
        <f>IF(AND(DD252&gt;NDC!$C$63,DE252&gt;NDC!$C$65,DF252&gt;NDC!$D$73,DG252&gt;NDC!$D$74,$B252&gt;NDC!$H$22-0.1+MIN(3*DH$12,1.5)),0,1)</f>
        <v>#N/A</v>
      </c>
      <c r="DI252" s="86" t="b">
        <f t="shared" si="353"/>
        <v>0</v>
      </c>
      <c r="DJ252" s="86">
        <f t="shared" si="354"/>
        <v>0.5</v>
      </c>
      <c r="DK252" s="86">
        <f t="shared" si="355"/>
        <v>0.5</v>
      </c>
      <c r="DL252" s="30" t="e">
        <f t="shared" ca="1" si="388"/>
        <v>#DIV/0!</v>
      </c>
      <c r="DM252" s="85" t="e">
        <f ca="1">IF(CS252&lt;=Hypothèses!$V$7,Hypothèses!$W$7,IF(CS252&lt;=Hypothèses!$V$8,Hypothèses!$W$8,IF(CS252&lt;=Hypothèses!$V$9,Hypothèses!$W$9,IF(CS252&lt;=Hypothèses!$V$10,Hypothèses!$W$10,IF(CS252&lt;=Hypothèses!$V$11,Hypothèses!$W$11,IF(CS252&lt;=Hypothèses!$V$12,Hypothèses!$W$12,IF(CS252&lt;=Hypothèses!$V$13,Hypothèses!$W$13,IF(CS252&lt;=Hypothèses!$V$14,Hypothèses!$W$14,IF(CS252&lt;=Hypothèses!$V$15,Hypothèses!$W$15,IF(CS252&lt;=Hypothèses!$V$16,Hypothèses!$W$16,IF(CS252&lt;=Hypothèses!$V$17,Hypothèses!$W$17,IF(CS252&lt;=Hypothèses!$V$18,Hypothèses!$W$18,""))))))))))))</f>
        <v>#DIV/0!</v>
      </c>
      <c r="DN252" s="87" t="e">
        <f t="shared" ca="1" si="421"/>
        <v>#DIV/0!</v>
      </c>
      <c r="DO252" s="88" t="e">
        <f ca="1">IF(CS252&lt;=Hypothèses!$V$7,Hypothèses!$X$7,IF(CS252&lt;=Hypothèses!$V$8,Hypothèses!$X$8,IF(CS252&lt;=Hypothèses!$V$9,Hypothèses!$X$9,IF(CS252&lt;=Hypothèses!$V$10,Hypothèses!$X$10,IF(CS252&lt;=Hypothèses!$V$11,Hypothèses!$X$11,IF(CS252&lt;=Hypothèses!$V$12,Hypothèses!$X$12,IF(CS252&lt;=Hypothèses!$V$13,Hypothèses!$X$13,IF(CS252&lt;=Hypothèses!$V$14,Hypothèses!$X$14,IF(CS252&lt;=Hypothèses!$V$15,Hypothèses!$X$15,IF(CS252&lt;=Hypothèses!$V$16,Hypothèses!$X$16,IF(CS252&lt;=Hypothèses!$U$17,Hypothèses!$W$17,IF(CS252&lt;=Hypothèses!$U$18,Hypothèses!$W$18,""))))))))))))</f>
        <v>#DIV/0!</v>
      </c>
      <c r="DP252" s="95" t="e">
        <f t="shared" ca="1" si="389"/>
        <v>#DIV/0!</v>
      </c>
      <c r="DQ252" s="101">
        <f t="shared" si="428"/>
        <v>0</v>
      </c>
      <c r="DR252" s="91">
        <f t="shared" si="356"/>
        <v>0</v>
      </c>
      <c r="DS252" s="30" t="e">
        <f t="shared" si="410"/>
        <v>#N/A</v>
      </c>
      <c r="DT252" s="30" t="e">
        <f t="shared" si="411"/>
        <v>#N/A</v>
      </c>
      <c r="DU252" s="31" t="e">
        <f>IF(OR(Hypothèses!$B$4=17,Hypothèses!$B$4=18,Hypothèses!$B$4=19,Hypothèses!$B$4=20),
IF($D252="Pressio.",
IF(OR($E252=3,$E252=1,$E252=4),DT252,DS252),
IF($D252="Pénétro.",
IF(OR($E252=3,$E252=1,$E252=4),DT252,DS252))),IF($D252="Pressio.",
IF($E252=3,DT252,DS252),
IF($D252="Pénétro.",
IF($E252=4,DT252,DS252))))</f>
        <v>#N/A</v>
      </c>
      <c r="DV252" s="31">
        <v>0</v>
      </c>
      <c r="DW252" s="102" t="e">
        <f>IF(NDC!$H$10="Oui",(VLOOKUP($B$3,'Coeff EC7'!$T$39:$X$59,2,0)*DU252+VLOOKUP($B$3,'Coeff EC7'!$T$65:$X$85,2,0)*Model0.1T!DV252)/1.5,PI()*DS$12*$Q252*($B252-$B251)*0.15/10+DW251)</f>
        <v>#N/A</v>
      </c>
      <c r="DX252" s="102" t="e">
        <f>(VLOOKUP($B$3,'Coeff EC7'!$T$39:$X$59,3,0)*DU252+VLOOKUP($B$3,'Coeff EC7'!$T$65:$X$85,3,0)*Model0.1T!DV252)/1.1</f>
        <v>#N/A</v>
      </c>
      <c r="DY252" s="102" t="e">
        <f t="shared" si="390"/>
        <v>#N/A</v>
      </c>
      <c r="DZ252" s="102" t="e">
        <f t="shared" si="391"/>
        <v>#N/A</v>
      </c>
      <c r="EA252" s="414" t="e">
        <f>IF(AND(DW252&gt;NDC!$C$63,DX252&gt;NDC!$C$65,DY252&gt;NDC!$D$73,DZ252&gt;NDC!$D$74,$B252&gt;NDC!$H$22-0.1+MIN(3*EA$12,1.5)),0,1)</f>
        <v>#N/A</v>
      </c>
      <c r="EB252" s="86" t="b">
        <f t="shared" si="357"/>
        <v>0</v>
      </c>
      <c r="EC252" s="418">
        <f t="shared" si="358"/>
        <v>0.51</v>
      </c>
      <c r="ED252" s="86">
        <f t="shared" si="359"/>
        <v>0.51</v>
      </c>
      <c r="EE252" s="30" t="e">
        <f t="shared" ca="1" si="392"/>
        <v>#DIV/0!</v>
      </c>
      <c r="EF252" s="85" t="e">
        <f ca="1">IF(DL252&lt;=Hypothèses!$V$7,Hypothèses!$W$7,IF(DL252&lt;=Hypothèses!$V$8,Hypothèses!$W$8,IF(DL252&lt;=Hypothèses!$V$9,Hypothèses!$W$9,IF(DL252&lt;=Hypothèses!$V$10,Hypothèses!$W$10,IF(DL252&lt;=Hypothèses!$V$11,Hypothèses!$W$11,IF(DL252&lt;=Hypothèses!$V$12,Hypothèses!$W$12,IF(DL252&lt;=Hypothèses!$V$13,Hypothèses!$W$13,IF(DL252&lt;=Hypothèses!$V$14,Hypothèses!$W$14,IF(DL252&lt;=Hypothèses!$V$15,Hypothèses!$W$15,IF(DL252&lt;=Hypothèses!$V$16,Hypothèses!$W$16,IF(DL252&lt;=Hypothèses!$V$17,Hypothèses!$W$17,IF(DL252&lt;=Hypothèses!$V$18,Hypothèses!$W$18,""))))))))))))</f>
        <v>#DIV/0!</v>
      </c>
      <c r="EG252" s="87" t="e">
        <f t="shared" ca="1" si="422"/>
        <v>#DIV/0!</v>
      </c>
      <c r="EH252" s="88" t="e">
        <f ca="1">IF(DL252&lt;=Hypothèses!$V$7,Hypothèses!$X$7,IF(DL252&lt;=Hypothèses!$V$8,Hypothèses!$X$8,IF(DL252&lt;=Hypothèses!$V$9,Hypothèses!$X$9,IF(DL252&lt;=Hypothèses!$V$10,Hypothèses!$X$10,IF(DL252&lt;=Hypothèses!$V$11,Hypothèses!$X$11,IF(DL252&lt;=Hypothèses!$V$12,Hypothèses!$X$12,IF(DL252&lt;=Hypothèses!$V$13,Hypothèses!$X$13,IF(DL252&lt;=Hypothèses!$V$14,Hypothèses!$X$14,IF(DL252&lt;=Hypothèses!$V$15,Hypothèses!$X$15,IF(DL252&lt;=Hypothèses!$V$16,Hypothèses!$X$16,IF(DL252&lt;=Hypothèses!$U$17,Hypothèses!$W$17,IF(DL252&lt;=Hypothèses!$U$18,Hypothèses!$W$18,""))))))))))))</f>
        <v>#DIV/0!</v>
      </c>
      <c r="EI252" s="95" t="e">
        <f t="shared" ca="1" si="393"/>
        <v>#DIV/0!</v>
      </c>
      <c r="EJ252" s="101">
        <f t="shared" si="429"/>
        <v>0</v>
      </c>
      <c r="EK252" s="91">
        <f t="shared" si="360"/>
        <v>0</v>
      </c>
      <c r="EL252" s="30" t="e">
        <f t="shared" si="412"/>
        <v>#N/A</v>
      </c>
      <c r="EM252" s="30" t="e">
        <f t="shared" si="413"/>
        <v>#N/A</v>
      </c>
      <c r="EN252" s="31" t="e">
        <f>IF(OR(Hypothèses!$B$4=17,Hypothèses!$B$4=18,Hypothèses!$B$4=19,Hypothèses!$B$4=20),
IF($D252="Pressio.",
IF(OR($E252=3,$E252=1,$E252=4),EM252,EL252),
IF($D252="Pénétro.",
IF(OR($E252=3,$E252=1,$E252=4),EM252,EL252))),IF($D252="Pressio.",
IF($E252=3,EM252,EL252),
IF($D252="Pénétro.",
IF($E252=4,EM252,EL252))))</f>
        <v>#N/A</v>
      </c>
      <c r="EO252" s="31">
        <v>0</v>
      </c>
      <c r="EP252" s="102" t="e">
        <f>IF(NDC!$H$10="Oui",(VLOOKUP($B$3,'Coeff EC7'!$T$39:$X$59,2,0)*EN252+VLOOKUP($B$3,'Coeff EC7'!$T$65:$X$85,2,0)*Model0.1T!EO252)/1.5,PI()*EL$12*$Q252*($B252-$B251)*0.15/10+EP251)</f>
        <v>#N/A</v>
      </c>
      <c r="EQ252" s="102" t="e">
        <f>(VLOOKUP($B$3,'Coeff EC7'!$T$39:$X$59,3,0)*EN252+VLOOKUP($B$3,'Coeff EC7'!$T$65:$X$85,3,0)*Model0.1T!EO252)/1.1</f>
        <v>#N/A</v>
      </c>
      <c r="ER252" s="102" t="e">
        <f t="shared" si="394"/>
        <v>#N/A</v>
      </c>
      <c r="ES252" s="102" t="e">
        <f t="shared" si="395"/>
        <v>#N/A</v>
      </c>
      <c r="ET252" s="414" t="e">
        <f>IF(AND(EP252&gt;NDC!$C$63,EQ252&gt;NDC!$C$65,ER252&gt;NDC!$D$73,ES252&gt;NDC!$D$74,$B252&gt;NDC!$H$22-0.1+MIN(3*ET$12,1.5)),0,1)</f>
        <v>#N/A</v>
      </c>
      <c r="EU252" s="86" t="b">
        <f t="shared" si="361"/>
        <v>0</v>
      </c>
      <c r="EV252" s="86">
        <f t="shared" si="362"/>
        <v>0.61</v>
      </c>
      <c r="EW252" s="86">
        <f t="shared" si="363"/>
        <v>0.61</v>
      </c>
      <c r="EX252" s="30" t="e">
        <f t="shared" ca="1" si="396"/>
        <v>#DIV/0!</v>
      </c>
      <c r="EY252" s="85" t="e">
        <f ca="1">IF(EE252&lt;=Hypothèses!$V$7,Hypothèses!$W$7,IF(EE252&lt;=Hypothèses!$V$8,Hypothèses!$W$8,IF(EE252&lt;=Hypothèses!$V$9,Hypothèses!$W$9,IF(EE252&lt;=Hypothèses!$V$10,Hypothèses!$W$10,IF(EE252&lt;=Hypothèses!$V$11,Hypothèses!$W$11,IF(EE252&lt;=Hypothèses!$V$12,Hypothèses!$W$12,IF(EE252&lt;=Hypothèses!$V$13,Hypothèses!$W$13,IF(EE252&lt;=Hypothèses!$V$14,Hypothèses!$W$14,IF(EE252&lt;=Hypothèses!$V$15,Hypothèses!$W$15,IF(EE252&lt;=Hypothèses!$V$16,Hypothèses!$W$16,IF(EE252&lt;=Hypothèses!$V$17,Hypothèses!$W$17,IF(EE252&lt;=Hypothèses!$V$18,Hypothèses!$W$18,""))))))))))))</f>
        <v>#DIV/0!</v>
      </c>
      <c r="EZ252" s="87" t="e">
        <f t="shared" ca="1" si="423"/>
        <v>#DIV/0!</v>
      </c>
      <c r="FA252" s="88" t="e">
        <f ca="1">IF(EE252&lt;=Hypothèses!$V$7,Hypothèses!$X$7,IF(EE252&lt;=Hypothèses!$V$8,Hypothèses!$X$8,IF(EE252&lt;=Hypothèses!$V$9,Hypothèses!$X$9,IF(EE252&lt;=Hypothèses!$V$10,Hypothèses!$X$10,IF(EE252&lt;=Hypothèses!$V$11,Hypothèses!$X$11,IF(EE252&lt;=Hypothèses!$V$12,Hypothèses!$X$12,IF(EE252&lt;=Hypothèses!$V$13,Hypothèses!$X$13,IF(EE252&lt;=Hypothèses!$V$14,Hypothèses!$X$14,IF(EE252&lt;=Hypothèses!$V$15,Hypothèses!$X$15,IF(EE252&lt;=Hypothèses!$V$16,Hypothèses!$X$16,IF(EE252&lt;=Hypothèses!$U$17,Hypothèses!$W$17,IF(EE252&lt;=Hypothèses!$U$18,Hypothèses!$W$18,""))))))))))))</f>
        <v>#DIV/0!</v>
      </c>
      <c r="FB252" s="95" t="e">
        <f t="shared" ca="1" si="397"/>
        <v>#DIV/0!</v>
      </c>
      <c r="FC252" s="101">
        <f t="shared" si="430"/>
        <v>0</v>
      </c>
      <c r="FD252" s="91">
        <f t="shared" si="364"/>
        <v>0</v>
      </c>
      <c r="FE252" s="30" t="e">
        <f t="shared" si="414"/>
        <v>#N/A</v>
      </c>
      <c r="FF252" s="30" t="e">
        <f t="shared" si="415"/>
        <v>#N/A</v>
      </c>
      <c r="FG252" s="31" t="e">
        <f>IF(OR(Hypothèses!$B$4=17,Hypothèses!$B$4=18,Hypothèses!$B$4=19,Hypothèses!$B$4=20),
IF($D252="Pressio.",
IF(OR($E252=3,$E252=1,$E252=4),FF252,FE252),
IF($D252="Pénétro.",
IF(OR($E252=3,$E252=1,$E252=4),FF252,FE252))),IF($D252="Pressio.",
IF($E252=3,FF252,FE252),
IF($D252="Pénétro.",
IF($E252=4,FF252,FE252))))</f>
        <v>#N/A</v>
      </c>
      <c r="FH252" s="31">
        <v>0</v>
      </c>
      <c r="FI252" s="102" t="e">
        <f>IF(NDC!$H$10="Oui",(VLOOKUP($B$3,'Coeff EC7'!$T$39:$X$59,2,0)*FG252+VLOOKUP($B$3,'Coeff EC7'!$T$65:$X$85,2,0)*Model0.1T!FH252)/1.5,PI()*FE$12*$Q252*($B252-$B251)*0.15/10+FI251)</f>
        <v>#N/A</v>
      </c>
      <c r="FJ252" s="102" t="e">
        <f>(VLOOKUP($B$3,'Coeff EC7'!$T$39:$X$59,3,0)*FG252+VLOOKUP($B$3,'Coeff EC7'!$T$65:$X$85,3,0)*Model0.1T!FH252)/1.1</f>
        <v>#N/A</v>
      </c>
      <c r="FK252" s="102" t="e">
        <f t="shared" si="398"/>
        <v>#N/A</v>
      </c>
      <c r="FL252" s="102" t="e">
        <f t="shared" si="399"/>
        <v>#N/A</v>
      </c>
      <c r="FM252" s="414" t="e">
        <f>IF(AND(FI252&gt;NDC!$C$63,FJ252&gt;NDC!$C$65,FK252&gt;NDC!$D$73,FL252&gt;NDC!$D$74,$B252&gt;NDC!$H$22-0.1+MIN(3*FM$12,1.5)),0,1)</f>
        <v>#N/A</v>
      </c>
    </row>
    <row r="253" spans="1:169">
      <c r="A253" s="96">
        <f t="shared" si="365"/>
        <v>76.000000000001364</v>
      </c>
      <c r="B253" s="97">
        <v>24</v>
      </c>
      <c r="C253" s="81">
        <f>IF(B253&lt;=Hypothèses!$C$7,Hypothèses!$A$7,IF(B253&lt;=Hypothèses!$C$8,Hypothèses!$A$8,IF(B253&lt;=Hypothèses!$C$9,Hypothèses!$A$9,IF(B253&lt;=Hypothèses!$C$10,Hypothèses!$A$10,IF(B253&lt;=Hypothèses!$C$11,Hypothèses!$A$11,IF(B253&lt;=Hypothèses!$C$12,Hypothèses!$A$12,IF(B253&lt;=Hypothèses!$C$13,Hypothèses!$A$13,IF(B253&lt;=Hypothèses!$C$14,Hypothèses!$A$14,IF(B253&lt;=Hypothèses!$C$15,Hypothèses!$A$15,IF(B253&lt;=Hypothèses!$C$16,Hypothèses!$A$16,IF(B253&lt;=Hypothèses!$C$17,Hypothèses!$A$17,IF(B253&lt;=Hypothèses!$C$18,Hypothèses!$A$18,C252))))))))))))</f>
        <v>11</v>
      </c>
      <c r="D253" s="82" t="str">
        <f>IF(B253&lt;=Hypothèses!$C$7,Hypothèses!$R$7,IF(B253&lt;=Hypothèses!$C$8,Hypothèses!$R$8,IF(B253&lt;=Hypothèses!$C$9,Hypothèses!$R$9,IF(B253&lt;=Hypothèses!$C$10,Hypothèses!$R$10,IF(B253&lt;=Hypothèses!$C$11,Hypothèses!$R$11,IF(B253&lt;=Hypothèses!$C$12,Hypothèses!$R$12,IF(B253&lt;=Hypothèses!$C$13,Hypothèses!$R$13,IF(B253&lt;=Hypothèses!$C$14,Hypothèses!$R$14,IF(B253&lt;=Hypothèses!$C$15,Hypothèses!$R$15,IF(B253&lt;=Hypothèses!$C$16,Hypothèses!$R$16,IF(B253&lt;=Hypothèses!$C$17,Hypothèses!$R$17,IF(B253&lt;=Hypothèses!$C$18,Hypothèses!$R$18,D252))))))))))))</f>
        <v>Pressio.</v>
      </c>
      <c r="E253" s="82" t="e">
        <f>IF(B253&lt;=Hypothèses!$C$7,Hypothèses!$G$7,IF(B253&lt;=Hypothèses!$C$8,Hypothèses!$G$8,IF(B253&lt;=Hypothèses!$C$9,Hypothèses!$G$9,IF(B253&lt;=Hypothèses!$C$10,Hypothèses!$G$10,IF(B253&lt;=Hypothèses!$C$11,Hypothèses!$G$11,IF(B253&lt;=Hypothèses!$C$12,Hypothèses!$G$12,IF(B253&lt;=Hypothèses!$C$13,Hypothèses!$G$13,IF(B253&lt;=Hypothèses!$C$14,Hypothèses!$G$14,IF(B253&lt;=Hypothèses!$C$15,Hypothèses!$G$15,IF(B253&lt;=Hypothèses!$C$16,Hypothèses!$G$16,IF(B253&lt;=Hypothèses!$C$17,Hypothèses!$G$17,IF(B253&lt;=Hypothèses!$C$18,Hypothèses!$G$18,E252))))))))))))</f>
        <v>#N/A</v>
      </c>
      <c r="F253" s="82" t="str">
        <f>IF(B253&lt;=Hypothèses!$C$7,Hypothèses!$F$7,IF(B253&lt;=Hypothèses!$C$8,Hypothèses!$F$8,IF(B253&lt;=Hypothèses!$C$9,Hypothèses!$F$9,IF(B253&lt;=Hypothèses!$C$10,Hypothèses!$F$10,IF(B253&lt;=Hypothèses!$C$11,Hypothèses!$F$11,IF(B253&lt;=Hypothèses!$C$12,Hypothèses!$F$12,IF(B253&lt;=Hypothèses!$C$13,Hypothèses!$F$13,IF(B253&lt;=Hypothèses!$C$14,Hypothèses!$F$14,IF(B253&lt;=Hypothèses!$C$15,Hypothèses!$F$15,IF(B253&lt;=Hypothèses!$C$16,Hypothèses!$F$16,IF(B253&lt;=Hypothèses!$C$17,Hypothèses!$F$17,IF(B253&lt;=Hypothèses!$C$18,Hypothèses!$F$18,F252))))))))))))</f>
        <v/>
      </c>
      <c r="G253" s="91">
        <f t="array" ref="G253">INDEX('Coeff EC7'!$U$7:$X$27,
MATCH(Model0.1T!$B$3,'Coeff EC7'!$T$7:$T$27,0),
MATCH(Model0.1T!$D253&amp;Model0.1T!$B$4,
'Coeff EC7'!$U$6:$X$6&amp;
'Coeff EC7'!$U$5:$X$5,0))</f>
        <v>1.4</v>
      </c>
      <c r="H253" s="91">
        <f t="array" ref="H253">INDEX('Coeff EC7'!$Y$7:$AB$27,
MATCH(Model0.1T!$B$3,'Coeff EC7'!$T$7:$T$27,0),
MATCH(Model0.1T!$D253&amp;Model0.1T!$B$4,
'Coeff EC7'!$Y$6:$AB$6&amp;
'Coeff EC7'!$Y$5:$AB$5,0))</f>
        <v>1.7</v>
      </c>
      <c r="I253" s="83">
        <v>0</v>
      </c>
      <c r="J253" s="91" t="e">
        <f t="array" ref="J253">INDEX('Coeff EC7'!$D$33:$Q$33,1,MATCH(D253&amp;E253,'Coeff EC7'!$D$31:$Q$31&amp;'Coeff EC7'!$D$32:$Q$32,0))</f>
        <v>#N/A</v>
      </c>
      <c r="K253" s="91" t="e">
        <f t="array" ref="K253">INDEX('Coeff EC7'!$D$34:$Q$34,1,MATCH(D253&amp;E253,'Coeff EC7'!$D$31:$Q$31&amp;'Coeff EC7'!$D$32:$Q$32,0))</f>
        <v>#N/A</v>
      </c>
      <c r="L253" s="91" t="e">
        <f t="array" ref="L253">INDEX('Coeff EC7'!$D$35:$Q$35,1,MATCH(D253&amp;E253,'Coeff EC7'!$D$31:$Q$31&amp;'Coeff EC7'!$D$32:$Q$32,0))</f>
        <v>#N/A</v>
      </c>
      <c r="M253" s="98" t="e">
        <f t="shared" si="331"/>
        <v>#N/A</v>
      </c>
      <c r="N253" s="99" t="e">
        <f t="array" ref="N253">INDEX('Coeff EC7'!$D$7:$Q$27,MATCH($B$3,'Coeff EC7'!$C$7:$C$27,0),MATCH(D253&amp;E253,'Coeff EC7'!$D$5:$Q$5&amp;'Coeff EC7'!$D$6:$Q$6,0))</f>
        <v>#N/A</v>
      </c>
      <c r="O253" s="99" t="e">
        <f t="array" ref="O253">INDEX('Coeff EC7'!$D$41:$Q$61,MATCH($B$3,'Coeff EC7'!$C$41:$C$61,0),MATCH(D253&amp;E253,'Coeff EC7'!$D$39:$Q$39&amp;'Coeff EC7'!$D$40:$Q$40,0))</f>
        <v>#N/A</v>
      </c>
      <c r="P253" s="30" t="e">
        <f t="shared" si="366"/>
        <v>#N/A</v>
      </c>
      <c r="Q253" s="100" t="e">
        <f t="shared" si="333"/>
        <v>#N/A</v>
      </c>
      <c r="R253" s="86" t="b">
        <f t="shared" si="334"/>
        <v>0</v>
      </c>
      <c r="S253" s="86">
        <f t="shared" si="332"/>
        <v>0.5</v>
      </c>
      <c r="T253" s="86">
        <f t="shared" si="335"/>
        <v>0.5</v>
      </c>
      <c r="U253" s="30" t="e">
        <f t="shared" ca="1" si="367"/>
        <v>#DIV/0!</v>
      </c>
      <c r="V253" s="85" t="str">
        <f>IF(B253&lt;=Hypothèses!$V$7,Hypothèses!$W$7,IF(B253&lt;=Hypothèses!$V$8,Hypothèses!$W$8,IF(B253&lt;=Hypothèses!$V$9,Hypothèses!$W$9,IF(B253&lt;=Hypothèses!$V$10,Hypothèses!$W$10,IF(B253&lt;=Hypothèses!$V$11,Hypothèses!$W$11,IF(B253&lt;=Hypothèses!$V$12,Hypothèses!$W$12,IF(B253&lt;=Hypothèses!$V$13,Hypothèses!$W$13,IF(B253&lt;=Hypothèses!$V$14,Hypothèses!$W$14,IF(B253&lt;=Hypothèses!$V$15,Hypothèses!$W$15,IF(B253&lt;=Hypothèses!$V$16,Hypothèses!$W$16,IF(B253&lt;=Hypothèses!$V$17,Hypothèses!$W$17,IF(B253&lt;=Hypothèses!$V$18,Hypothèses!$W$18,""))))))))))))</f>
        <v/>
      </c>
      <c r="W253" s="87" t="e">
        <f t="shared" ca="1" si="416"/>
        <v>#DIV/0!</v>
      </c>
      <c r="X253" s="88" t="str">
        <f>IF(B253&lt;=Hypothèses!$V$7,Hypothèses!$X$7,IF(B253&lt;=Hypothèses!$V$8,Hypothèses!$X$8,IF(B253&lt;=Hypothèses!$V$9,Hypothèses!$X$9,IF(B253&lt;=Hypothèses!$V$10,Hypothèses!$X$10,IF(B253&lt;=Hypothèses!$V$11,Hypothèses!$X$11,IF(B253&lt;=Hypothèses!$V$12,Hypothèses!$X$12,IF(B253&lt;=Hypothèses!$V$13,Hypothèses!$X$13,IF(B253&lt;=Hypothèses!$V$14,Hypothèses!$X$14,IF(B253&lt;=Hypothèses!$V$15,Hypothèses!$X$15,IF(B253&lt;=Hypothèses!$V$16,Hypothèses!$X$16,IF(B253&lt;=Hypothèses!$U$17,Hypothèses!$W$17,IF(B253&lt;=Hypothèses!$U$18,Hypothèses!$W$18,""))))))))))))</f>
        <v/>
      </c>
      <c r="Y253" s="95" t="e">
        <f t="shared" ca="1" si="336"/>
        <v>#DIV/0!</v>
      </c>
      <c r="Z253" s="101">
        <f t="shared" si="337"/>
        <v>0</v>
      </c>
      <c r="AA253" s="91">
        <f t="shared" si="338"/>
        <v>0</v>
      </c>
      <c r="AB253" s="30" t="e">
        <f t="shared" si="400"/>
        <v>#N/A</v>
      </c>
      <c r="AC253" s="30" t="e">
        <f t="shared" si="401"/>
        <v>#N/A</v>
      </c>
      <c r="AD253" s="31" t="e">
        <f>IF(OR(Hypothèses!$B$4=17,Hypothèses!$B$4=18,Hypothèses!$B$4=19,Hypothèses!$B$4=20),
IF($D253="Pressio.",
IF(OR($E253=3,$E253=1,$E253=4),AC253,AB253),
IF($D253="Pénétro.",
IF(OR($E253=3,$E253=1,$E253=4),AC253,AB253))),IF($D253="Pressio.",
IF($E253=3,AC253,AB253),
IF($D253="Pénétro.",
IF($E253=4,AC253,AB253))))</f>
        <v>#N/A</v>
      </c>
      <c r="AE253" s="31">
        <v>0</v>
      </c>
      <c r="AF253" s="102" t="e">
        <f>IF(NDC!$H$10="Oui",(VLOOKUP($B$3,'Coeff EC7'!$T$39:$X$59,2,0)*AD253+VLOOKUP($B$3,'Coeff EC7'!$T$65:$X$85,2,0)*Model0.1T!AE253)/1.5,PI()*AB$12*$Q253*($B253-$B252)*0.15/10+AF252)</f>
        <v>#N/A</v>
      </c>
      <c r="AG253" s="102" t="e">
        <f>(VLOOKUP($B$3,'Coeff EC7'!$T$39:$X$59,3,0)*AD253+VLOOKUP($B$3,'Coeff EC7'!$T$65:$X$85,3,0)*Model0.1T!AE253)/1.1</f>
        <v>#N/A</v>
      </c>
      <c r="AH253" s="102" t="e">
        <f t="shared" si="368"/>
        <v>#N/A</v>
      </c>
      <c r="AI253" s="102" t="e">
        <f t="shared" si="369"/>
        <v>#N/A</v>
      </c>
      <c r="AJ253" s="414" t="e">
        <f>IF(AND(AF253&gt;NDC!$C$63,AG253&gt;NDC!$C$65,AH253&gt;NDC!$D$73,AI253&gt;NDC!$D$74,$B253&gt;NDC!$H$22-0.1+MIN(3*$AJ$12,1.5)),0,1)</f>
        <v>#N/A</v>
      </c>
      <c r="AK253" s="86" t="b">
        <f t="shared" si="339"/>
        <v>0</v>
      </c>
      <c r="AL253" s="86">
        <f t="shared" si="370"/>
        <v>0.5</v>
      </c>
      <c r="AM253" s="86">
        <f t="shared" si="340"/>
        <v>0.5</v>
      </c>
      <c r="AN253" s="30" t="e">
        <f t="shared" ca="1" si="371"/>
        <v>#DIV/0!</v>
      </c>
      <c r="AO253" s="85" t="e">
        <f ca="1">IF(U253&lt;=Hypothèses!$V$7,Hypothèses!$W$7,IF(U253&lt;=Hypothèses!$V$8,Hypothèses!$W$8,IF(U253&lt;=Hypothèses!$V$9,Hypothèses!$W$9,IF(U253&lt;=Hypothèses!$V$10,Hypothèses!$W$10,IF(U253&lt;=Hypothèses!$V$11,Hypothèses!$W$11,IF(U253&lt;=Hypothèses!$V$12,Hypothèses!$W$12,IF(U253&lt;=Hypothèses!$V$13,Hypothèses!$W$13,IF(U253&lt;=Hypothèses!$V$14,Hypothèses!$W$14,IF(U253&lt;=Hypothèses!$V$15,Hypothèses!$W$15,IF(U253&lt;=Hypothèses!$V$16,Hypothèses!$W$16,IF(U253&lt;=Hypothèses!$V$17,Hypothèses!$W$17,IF(U253&lt;=Hypothèses!$V$18,Hypothèses!$W$18,""))))))))))))</f>
        <v>#DIV/0!</v>
      </c>
      <c r="AP253" s="87" t="e">
        <f t="shared" ca="1" si="417"/>
        <v>#DIV/0!</v>
      </c>
      <c r="AQ253" s="88" t="e">
        <f ca="1">IF(U253&lt;=Hypothèses!$V$7,Hypothèses!$X$7,IF(U253&lt;=Hypothèses!$V$8,Hypothèses!$X$8,IF(U253&lt;=Hypothèses!$V$9,Hypothèses!$X$9,IF(U253&lt;=Hypothèses!$V$10,Hypothèses!$X$10,IF(U253&lt;=Hypothèses!$V$11,Hypothèses!$X$11,IF(U253&lt;=Hypothèses!$V$12,Hypothèses!$X$12,IF(U253&lt;=Hypothèses!$V$13,Hypothèses!$X$13,IF(U253&lt;=Hypothèses!$V$14,Hypothèses!$X$14,IF(U253&lt;=Hypothèses!$V$15,Hypothèses!$X$15,IF(U253&lt;=Hypothèses!$V$16,Hypothèses!$X$16,IF(U253&lt;=Hypothèses!$U$17,Hypothèses!$W$17,IF(U253&lt;=Hypothèses!$U$18,Hypothèses!$W$18,""))))))))))))</f>
        <v>#DIV/0!</v>
      </c>
      <c r="AR253" s="95" t="e">
        <f t="shared" ca="1" si="372"/>
        <v>#DIV/0!</v>
      </c>
      <c r="AS253" s="101">
        <f t="shared" si="424"/>
        <v>0</v>
      </c>
      <c r="AT253" s="91">
        <f t="shared" si="341"/>
        <v>0</v>
      </c>
      <c r="AU253" s="30" t="e">
        <f t="shared" si="402"/>
        <v>#N/A</v>
      </c>
      <c r="AV253" s="30" t="e">
        <f t="shared" si="403"/>
        <v>#N/A</v>
      </c>
      <c r="AW253" s="31" t="e">
        <f>IF(OR(Hypothèses!$B$4=17,Hypothèses!$B$4=18,Hypothèses!$B$4=19,Hypothèses!$B$4=20),
IF($D253="Pressio.",
IF(OR($E253=3,$E253=1,$E253=4),AV253,AU253),
IF($D253="Pénétro.",
IF(OR($E253=3,$E253=1,$E253=4),AV253,AU253))),IF($D253="Pressio.",
IF($E253=3,AV253,AU253),
IF($D253="Pénétro.",
IF($E253=4,AV253,AU253))))</f>
        <v>#N/A</v>
      </c>
      <c r="AX253" s="31">
        <v>0</v>
      </c>
      <c r="AY253" s="102" t="e">
        <f>IF(NDC!$H$10="Oui",(VLOOKUP($B$3,'Coeff EC7'!$T$39:$X$59,2,0)*AW253+VLOOKUP($B$3,'Coeff EC7'!$T$65:$X$85,2,0)*Model0.1T!AX253)/1.5,PI()*AU$12*$Q253*($B253-$B252)*0.15/10+AY252)</f>
        <v>#N/A</v>
      </c>
      <c r="AZ253" s="102" t="e">
        <f>(VLOOKUP($B$3,'Coeff EC7'!$T$39:$X$59,3,0)*AW253+VLOOKUP($B$3,'Coeff EC7'!$T$65:$X$85,3,0)*Model0.1T!AX253)/1.1</f>
        <v>#N/A</v>
      </c>
      <c r="BA253" s="102" t="e">
        <f t="shared" si="373"/>
        <v>#N/A</v>
      </c>
      <c r="BB253" s="102" t="e">
        <f t="shared" si="374"/>
        <v>#N/A</v>
      </c>
      <c r="BC253" s="414" t="e">
        <f>IF(AND(AY253&gt;NDC!$C$63,AZ253&gt;NDC!$C$65,BA253&gt;NDC!$D$73,BB253&gt;NDC!$D$74,$B253&gt;NDC!$H$22-0.1+MIN(3*BC$12,1.5)),0,1)</f>
        <v>#N/A</v>
      </c>
      <c r="BD253" s="86" t="b">
        <f t="shared" si="342"/>
        <v>0</v>
      </c>
      <c r="BE253" s="86">
        <f t="shared" si="375"/>
        <v>0.5</v>
      </c>
      <c r="BF253" s="86">
        <f t="shared" si="343"/>
        <v>0.5</v>
      </c>
      <c r="BG253" s="30" t="e">
        <f t="shared" ca="1" si="376"/>
        <v>#DIV/0!</v>
      </c>
      <c r="BH253" s="85" t="e">
        <f ca="1">IF(AN253&lt;=Hypothèses!$V$7,Hypothèses!$W$7,IF(AN253&lt;=Hypothèses!$V$8,Hypothèses!$W$8,IF(AN253&lt;=Hypothèses!$V$9,Hypothèses!$W$9,IF(AN253&lt;=Hypothèses!$V$10,Hypothèses!$W$10,IF(AN253&lt;=Hypothèses!$V$11,Hypothèses!$W$11,IF(AN253&lt;=Hypothèses!$V$12,Hypothèses!$W$12,IF(AN253&lt;=Hypothèses!$V$13,Hypothèses!$W$13,IF(AN253&lt;=Hypothèses!$V$14,Hypothèses!$W$14,IF(AN253&lt;=Hypothèses!$V$15,Hypothèses!$W$15,IF(AN253&lt;=Hypothèses!$V$16,Hypothèses!$W$16,IF(AN253&lt;=Hypothèses!$V$17,Hypothèses!$W$17,IF(AN253&lt;=Hypothèses!$V$18,Hypothèses!$W$18,""))))))))))))</f>
        <v>#DIV/0!</v>
      </c>
      <c r="BI253" s="87" t="e">
        <f t="shared" ca="1" si="418"/>
        <v>#DIV/0!</v>
      </c>
      <c r="BJ253" s="88" t="e">
        <f ca="1">IF(AN253&lt;=Hypothèses!$V$7,Hypothèses!$X$7,IF(AN253&lt;=Hypothèses!$V$8,Hypothèses!$X$8,IF(AN253&lt;=Hypothèses!$V$9,Hypothèses!$X$9,IF(AN253&lt;=Hypothèses!$V$10,Hypothèses!$X$10,IF(AN253&lt;=Hypothèses!$V$11,Hypothèses!$X$11,IF(AN253&lt;=Hypothèses!$V$12,Hypothèses!$X$12,IF(AN253&lt;=Hypothèses!$V$13,Hypothèses!$X$13,IF(AN253&lt;=Hypothèses!$V$14,Hypothèses!$X$14,IF(AN253&lt;=Hypothèses!$V$15,Hypothèses!$X$15,IF(AN253&lt;=Hypothèses!$V$16,Hypothèses!$X$16,IF(AN253&lt;=Hypothèses!$U$17,Hypothèses!$W$17,IF(AN253&lt;=Hypothèses!$U$18,Hypothèses!$W$18,""))))))))))))</f>
        <v>#DIV/0!</v>
      </c>
      <c r="BK253" s="95" t="e">
        <f t="shared" ca="1" si="377"/>
        <v>#DIV/0!</v>
      </c>
      <c r="BL253" s="101">
        <f t="shared" si="425"/>
        <v>0</v>
      </c>
      <c r="BM253" s="91">
        <f t="shared" si="344"/>
        <v>0</v>
      </c>
      <c r="BN253" s="30" t="e">
        <f t="shared" si="404"/>
        <v>#N/A</v>
      </c>
      <c r="BO253" s="30" t="e">
        <f t="shared" si="405"/>
        <v>#N/A</v>
      </c>
      <c r="BP253" s="31" t="e">
        <f>IF(OR(Hypothèses!$B$4=17,Hypothèses!$B$4=18,Hypothèses!$B$4=19,Hypothèses!$B$4=20),
IF($D253="Pressio.",
IF(OR($E253=3,$E253=1,$E253=4),BO253,BN253),
IF($D253="Pénétro.",
IF(OR($E253=3,$E253=1,$E253=4),BO253,BN253))),IF($D253="Pressio.",
IF($E253=3,BO253,BN253),
IF($D253="Pénétro.",
IF($E253=4,BO253,BN253))))</f>
        <v>#N/A</v>
      </c>
      <c r="BQ253" s="31">
        <v>0</v>
      </c>
      <c r="BR253" s="102" t="e">
        <f>IF(NDC!$H$10="Oui",(VLOOKUP($B$3,'Coeff EC7'!$T$39:$X$59,2,0)*BP253+VLOOKUP($B$3,'Coeff EC7'!$T$65:$X$85,2,0)*Model0.1T!BQ253)/1.5,PI()*BN$12*$Q253*($B253-$B252)*0.15/10+BR252)</f>
        <v>#N/A</v>
      </c>
      <c r="BS253" s="102" t="e">
        <f>(VLOOKUP($B$3,'Coeff EC7'!$T$39:$X$59,3,0)*BP253+VLOOKUP($B$3,'Coeff EC7'!$T$65:$X$85,3,0)*Model0.1T!BQ253)/1.1</f>
        <v>#N/A</v>
      </c>
      <c r="BT253" s="102" t="e">
        <f t="shared" si="378"/>
        <v>#N/A</v>
      </c>
      <c r="BU253" s="102" t="e">
        <f t="shared" si="379"/>
        <v>#N/A</v>
      </c>
      <c r="BV253" s="414" t="e">
        <f>IF(AND(BR253&gt;NDC!$C$63,BS253&gt;NDC!$C$65,BT253&gt;NDC!$D$73,BU253&gt;NDC!$D$74,$B253&gt;NDC!$H$22-0.1+MIN(3*BV$12,1.5)),0,1)</f>
        <v>#N/A</v>
      </c>
      <c r="BW253" s="86" t="b">
        <f t="shared" si="345"/>
        <v>0</v>
      </c>
      <c r="BX253" s="86">
        <f t="shared" si="346"/>
        <v>0.5</v>
      </c>
      <c r="BY253" s="86">
        <f t="shared" si="347"/>
        <v>0.5</v>
      </c>
      <c r="BZ253" s="30" t="e">
        <f t="shared" ca="1" si="380"/>
        <v>#DIV/0!</v>
      </c>
      <c r="CA253" s="85" t="e">
        <f ca="1">IF(BG253&lt;=Hypothèses!$V$7,Hypothèses!$W$7,IF(BG253&lt;=Hypothèses!$V$8,Hypothèses!$W$8,IF(BG253&lt;=Hypothèses!$V$9,Hypothèses!$W$9,IF(BG253&lt;=Hypothèses!$V$10,Hypothèses!$W$10,IF(BG253&lt;=Hypothèses!$V$11,Hypothèses!$W$11,IF(BG253&lt;=Hypothèses!$V$12,Hypothèses!$W$12,IF(BG253&lt;=Hypothèses!$V$13,Hypothèses!$W$13,IF(BG253&lt;=Hypothèses!$V$14,Hypothèses!$W$14,IF(BG253&lt;=Hypothèses!$V$15,Hypothèses!$W$15,IF(BG253&lt;=Hypothèses!$V$16,Hypothèses!$W$16,IF(BG253&lt;=Hypothèses!$V$17,Hypothèses!$W$17,IF(BG253&lt;=Hypothèses!$V$18,Hypothèses!$W$18,""))))))))))))</f>
        <v>#DIV/0!</v>
      </c>
      <c r="CB253" s="87" t="e">
        <f t="shared" ca="1" si="419"/>
        <v>#DIV/0!</v>
      </c>
      <c r="CC253" s="88" t="e">
        <f ca="1">IF(BG253&lt;=Hypothèses!$V$7,Hypothèses!$X$7,IF(BG253&lt;=Hypothèses!$V$8,Hypothèses!$X$8,IF(BG253&lt;=Hypothèses!$V$9,Hypothèses!$X$9,IF(BG253&lt;=Hypothèses!$V$10,Hypothèses!$X$10,IF(BG253&lt;=Hypothèses!$V$11,Hypothèses!$X$11,IF(BG253&lt;=Hypothèses!$V$12,Hypothèses!$X$12,IF(BG253&lt;=Hypothèses!$V$13,Hypothèses!$X$13,IF(BG253&lt;=Hypothèses!$V$14,Hypothèses!$X$14,IF(BG253&lt;=Hypothèses!$V$15,Hypothèses!$X$15,IF(BG253&lt;=Hypothèses!$V$16,Hypothèses!$X$16,IF(BG253&lt;=Hypothèses!$U$17,Hypothèses!$W$17,IF(BG253&lt;=Hypothèses!$U$18,Hypothèses!$W$18,""))))))))))))</f>
        <v>#DIV/0!</v>
      </c>
      <c r="CD253" s="95" t="e">
        <f t="shared" ca="1" si="381"/>
        <v>#DIV/0!</v>
      </c>
      <c r="CE253" s="101">
        <f t="shared" si="426"/>
        <v>0</v>
      </c>
      <c r="CF253" s="91">
        <f t="shared" si="348"/>
        <v>0</v>
      </c>
      <c r="CG253" s="30" t="e">
        <f t="shared" si="406"/>
        <v>#N/A</v>
      </c>
      <c r="CH253" s="30" t="e">
        <f t="shared" si="407"/>
        <v>#N/A</v>
      </c>
      <c r="CI253" s="31" t="e">
        <f>IF(OR(Hypothèses!$B$4=17,Hypothèses!$B$4=18,Hypothèses!$B$4=19,Hypothèses!$B$4=20),
IF($D253="Pressio.",
IF(OR($E253=3,$E253=1,$E253=4),CH253,CG253),
IF($D253="Pénétro.",
IF(OR($E253=3,$E253=1,$E253=4),CH253,CG253))),IF($D253="Pressio.",
IF($E253=3,CH253,CG253),
IF($D253="Pénétro.",
IF($E253=4,CH253,CG253))))</f>
        <v>#N/A</v>
      </c>
      <c r="CJ253" s="31">
        <v>0</v>
      </c>
      <c r="CK253" s="102" t="e">
        <f>IF(NDC!$H$10="Oui",(VLOOKUP($B$3,'Coeff EC7'!$T$39:$X$59,2,0)*CI253+VLOOKUP($B$3,'Coeff EC7'!$T$65:$X$85,2,0)*Model0.1T!CJ253)/1.5,PI()*CG$12*$Q253*($B253-$B252)*0.15/10+CK252)</f>
        <v>#N/A</v>
      </c>
      <c r="CL253" s="102" t="e">
        <f>(VLOOKUP($B$3,'Coeff EC7'!$T$39:$X$59,3,0)*CI253+VLOOKUP($B$3,'Coeff EC7'!$T$65:$X$85,3,0)*Model0.1T!CJ253)/1.1</f>
        <v>#N/A</v>
      </c>
      <c r="CM253" s="102" t="e">
        <f t="shared" si="382"/>
        <v>#N/A</v>
      </c>
      <c r="CN253" s="102" t="e">
        <f t="shared" si="383"/>
        <v>#N/A</v>
      </c>
      <c r="CO253" s="414" t="e">
        <f>IF(AND(CK253&gt;NDC!$C$63,CL253&gt;NDC!$C$65,CM253&gt;NDC!$D$73,CN253&gt;NDC!$D$74,$B253&gt;NDC!$H$22-0.1+MIN(3*CO$12,1.5)),0,1)</f>
        <v>#N/A</v>
      </c>
      <c r="CP253" s="86" t="b">
        <f t="shared" si="349"/>
        <v>0</v>
      </c>
      <c r="CQ253" s="86">
        <f t="shared" si="350"/>
        <v>0.5</v>
      </c>
      <c r="CR253" s="86">
        <f t="shared" si="351"/>
        <v>0.5</v>
      </c>
      <c r="CS253" s="30" t="e">
        <f t="shared" ca="1" si="384"/>
        <v>#DIV/0!</v>
      </c>
      <c r="CT253" s="85" t="e">
        <f ca="1">IF(BZ253&lt;=Hypothèses!$V$7,Hypothèses!$W$7,IF(BZ253&lt;=Hypothèses!$V$8,Hypothèses!$W$8,IF(BZ253&lt;=Hypothèses!$V$9,Hypothèses!$W$9,IF(BZ253&lt;=Hypothèses!$V$10,Hypothèses!$W$10,IF(BZ253&lt;=Hypothèses!$V$11,Hypothèses!$W$11,IF(BZ253&lt;=Hypothèses!$V$12,Hypothèses!$W$12,IF(BZ253&lt;=Hypothèses!$V$13,Hypothèses!$W$13,IF(BZ253&lt;=Hypothèses!$V$14,Hypothèses!$W$14,IF(BZ253&lt;=Hypothèses!$V$15,Hypothèses!$W$15,IF(BZ253&lt;=Hypothèses!$V$16,Hypothèses!$W$16,IF(BZ253&lt;=Hypothèses!$V$17,Hypothèses!$W$17,IF(BZ253&lt;=Hypothèses!$V$18,Hypothèses!$W$18,""))))))))))))</f>
        <v>#DIV/0!</v>
      </c>
      <c r="CU253" s="87" t="e">
        <f t="shared" ca="1" si="420"/>
        <v>#DIV/0!</v>
      </c>
      <c r="CV253" s="88" t="e">
        <f ca="1">IF(BZ253&lt;=Hypothèses!$V$7,Hypothèses!$X$7,IF(BZ253&lt;=Hypothèses!$V$8,Hypothèses!$X$8,IF(BZ253&lt;=Hypothèses!$V$9,Hypothèses!$X$9,IF(BZ253&lt;=Hypothèses!$V$10,Hypothèses!$X$10,IF(BZ253&lt;=Hypothèses!$V$11,Hypothèses!$X$11,IF(BZ253&lt;=Hypothèses!$V$12,Hypothèses!$X$12,IF(BZ253&lt;=Hypothèses!$V$13,Hypothèses!$X$13,IF(BZ253&lt;=Hypothèses!$V$14,Hypothèses!$X$14,IF(BZ253&lt;=Hypothèses!$V$15,Hypothèses!$X$15,IF(BZ253&lt;=Hypothèses!$V$16,Hypothèses!$X$16,IF(BZ253&lt;=Hypothèses!$U$17,Hypothèses!$W$17,IF(BZ253&lt;=Hypothèses!$U$18,Hypothèses!$W$18,""))))))))))))</f>
        <v>#DIV/0!</v>
      </c>
      <c r="CW253" s="95" t="e">
        <f t="shared" ca="1" si="385"/>
        <v>#DIV/0!</v>
      </c>
      <c r="CX253" s="101">
        <f t="shared" si="427"/>
        <v>0</v>
      </c>
      <c r="CY253" s="91">
        <f t="shared" si="352"/>
        <v>0</v>
      </c>
      <c r="CZ253" s="30" t="e">
        <f t="shared" si="408"/>
        <v>#N/A</v>
      </c>
      <c r="DA253" s="30" t="e">
        <f t="shared" si="409"/>
        <v>#N/A</v>
      </c>
      <c r="DB253" s="31" t="e">
        <f>IF(OR(Hypothèses!$B$4=17,Hypothèses!$B$4=18,Hypothèses!$B$4=19,Hypothèses!$B$4=20),
IF($D253="Pressio.",
IF(OR($E253=3,$E253=1,$E253=4),DA253,CZ253),
IF($D253="Pénétro.",
IF(OR($E253=3,$E253=1,$E253=4),DA253,CZ253))),IF($D253="Pressio.",
IF($E253=3,DA253,CZ253),
IF($D253="Pénétro.",
IF($E253=4,DA253,CZ253))))</f>
        <v>#N/A</v>
      </c>
      <c r="DC253" s="31">
        <v>0</v>
      </c>
      <c r="DD253" s="102" t="e">
        <f>IF(NDC!$H$10="Oui",(VLOOKUP($B$3,'Coeff EC7'!$T$39:$X$59,2,0)*DB253+VLOOKUP($B$3,'Coeff EC7'!$T$65:$X$85,2,0)*Model0.1T!DC253)/1.5,PI()*CZ$12*$Q253*($B253-$B252)*0.15/10+DD252)</f>
        <v>#N/A</v>
      </c>
      <c r="DE253" s="102" t="e">
        <f>(VLOOKUP($B$3,'Coeff EC7'!$T$39:$X$59,3,0)*DB253+VLOOKUP($B$3,'Coeff EC7'!$T$65:$X$85,3,0)*Model0.1T!DC253)/1.1</f>
        <v>#N/A</v>
      </c>
      <c r="DF253" s="102" t="e">
        <f t="shared" si="386"/>
        <v>#N/A</v>
      </c>
      <c r="DG253" s="102" t="e">
        <f t="shared" si="387"/>
        <v>#N/A</v>
      </c>
      <c r="DH253" s="414" t="e">
        <f>IF(AND(DD253&gt;NDC!$C$63,DE253&gt;NDC!$C$65,DF253&gt;NDC!$D$73,DG253&gt;NDC!$D$74,$B253&gt;NDC!$H$22-0.1+MIN(3*DH$12,1.5)),0,1)</f>
        <v>#N/A</v>
      </c>
      <c r="DI253" s="86" t="b">
        <f t="shared" si="353"/>
        <v>0</v>
      </c>
      <c r="DJ253" s="86">
        <f t="shared" si="354"/>
        <v>0.5</v>
      </c>
      <c r="DK253" s="86">
        <f t="shared" si="355"/>
        <v>0.5</v>
      </c>
      <c r="DL253" s="30" t="e">
        <f t="shared" ca="1" si="388"/>
        <v>#DIV/0!</v>
      </c>
      <c r="DM253" s="85" t="e">
        <f ca="1">IF(CS253&lt;=Hypothèses!$V$7,Hypothèses!$W$7,IF(CS253&lt;=Hypothèses!$V$8,Hypothèses!$W$8,IF(CS253&lt;=Hypothèses!$V$9,Hypothèses!$W$9,IF(CS253&lt;=Hypothèses!$V$10,Hypothèses!$W$10,IF(CS253&lt;=Hypothèses!$V$11,Hypothèses!$W$11,IF(CS253&lt;=Hypothèses!$V$12,Hypothèses!$W$12,IF(CS253&lt;=Hypothèses!$V$13,Hypothèses!$W$13,IF(CS253&lt;=Hypothèses!$V$14,Hypothèses!$W$14,IF(CS253&lt;=Hypothèses!$V$15,Hypothèses!$W$15,IF(CS253&lt;=Hypothèses!$V$16,Hypothèses!$W$16,IF(CS253&lt;=Hypothèses!$V$17,Hypothèses!$W$17,IF(CS253&lt;=Hypothèses!$V$18,Hypothèses!$W$18,""))))))))))))</f>
        <v>#DIV/0!</v>
      </c>
      <c r="DN253" s="87" t="e">
        <f t="shared" ca="1" si="421"/>
        <v>#DIV/0!</v>
      </c>
      <c r="DO253" s="88" t="e">
        <f ca="1">IF(CS253&lt;=Hypothèses!$V$7,Hypothèses!$X$7,IF(CS253&lt;=Hypothèses!$V$8,Hypothèses!$X$8,IF(CS253&lt;=Hypothèses!$V$9,Hypothèses!$X$9,IF(CS253&lt;=Hypothèses!$V$10,Hypothèses!$X$10,IF(CS253&lt;=Hypothèses!$V$11,Hypothèses!$X$11,IF(CS253&lt;=Hypothèses!$V$12,Hypothèses!$X$12,IF(CS253&lt;=Hypothèses!$V$13,Hypothèses!$X$13,IF(CS253&lt;=Hypothèses!$V$14,Hypothèses!$X$14,IF(CS253&lt;=Hypothèses!$V$15,Hypothèses!$X$15,IF(CS253&lt;=Hypothèses!$V$16,Hypothèses!$X$16,IF(CS253&lt;=Hypothèses!$U$17,Hypothèses!$W$17,IF(CS253&lt;=Hypothèses!$U$18,Hypothèses!$W$18,""))))))))))))</f>
        <v>#DIV/0!</v>
      </c>
      <c r="DP253" s="95" t="e">
        <f t="shared" ca="1" si="389"/>
        <v>#DIV/0!</v>
      </c>
      <c r="DQ253" s="101">
        <f t="shared" si="428"/>
        <v>0</v>
      </c>
      <c r="DR253" s="91">
        <f t="shared" si="356"/>
        <v>0</v>
      </c>
      <c r="DS253" s="30" t="e">
        <f t="shared" si="410"/>
        <v>#N/A</v>
      </c>
      <c r="DT253" s="30" t="e">
        <f t="shared" si="411"/>
        <v>#N/A</v>
      </c>
      <c r="DU253" s="31" t="e">
        <f>IF(OR(Hypothèses!$B$4=17,Hypothèses!$B$4=18,Hypothèses!$B$4=19,Hypothèses!$B$4=20),
IF($D253="Pressio.",
IF(OR($E253=3,$E253=1,$E253=4),DT253,DS253),
IF($D253="Pénétro.",
IF(OR($E253=3,$E253=1,$E253=4),DT253,DS253))),IF($D253="Pressio.",
IF($E253=3,DT253,DS253),
IF($D253="Pénétro.",
IF($E253=4,DT253,DS253))))</f>
        <v>#N/A</v>
      </c>
      <c r="DV253" s="31">
        <v>0</v>
      </c>
      <c r="DW253" s="102" t="e">
        <f>IF(NDC!$H$10="Oui",(VLOOKUP($B$3,'Coeff EC7'!$T$39:$X$59,2,0)*DU253+VLOOKUP($B$3,'Coeff EC7'!$T$65:$X$85,2,0)*Model0.1T!DV253)/1.5,PI()*DS$12*$Q253*($B253-$B252)*0.15/10+DW252)</f>
        <v>#N/A</v>
      </c>
      <c r="DX253" s="102" t="e">
        <f>(VLOOKUP($B$3,'Coeff EC7'!$T$39:$X$59,3,0)*DU253+VLOOKUP($B$3,'Coeff EC7'!$T$65:$X$85,3,0)*Model0.1T!DV253)/1.1</f>
        <v>#N/A</v>
      </c>
      <c r="DY253" s="102" t="e">
        <f t="shared" si="390"/>
        <v>#N/A</v>
      </c>
      <c r="DZ253" s="102" t="e">
        <f t="shared" si="391"/>
        <v>#N/A</v>
      </c>
      <c r="EA253" s="414" t="e">
        <f>IF(AND(DW253&gt;NDC!$C$63,DX253&gt;NDC!$C$65,DY253&gt;NDC!$D$73,DZ253&gt;NDC!$D$74,$B253&gt;NDC!$H$22-0.1+MIN(3*EA$12,1.5)),0,1)</f>
        <v>#N/A</v>
      </c>
      <c r="EB253" s="86" t="b">
        <f t="shared" si="357"/>
        <v>0</v>
      </c>
      <c r="EC253" s="418">
        <f t="shared" si="358"/>
        <v>0.51</v>
      </c>
      <c r="ED253" s="86">
        <f t="shared" si="359"/>
        <v>0.51</v>
      </c>
      <c r="EE253" s="30" t="e">
        <f t="shared" ca="1" si="392"/>
        <v>#DIV/0!</v>
      </c>
      <c r="EF253" s="85" t="e">
        <f ca="1">IF(DL253&lt;=Hypothèses!$V$7,Hypothèses!$W$7,IF(DL253&lt;=Hypothèses!$V$8,Hypothèses!$W$8,IF(DL253&lt;=Hypothèses!$V$9,Hypothèses!$W$9,IF(DL253&lt;=Hypothèses!$V$10,Hypothèses!$W$10,IF(DL253&lt;=Hypothèses!$V$11,Hypothèses!$W$11,IF(DL253&lt;=Hypothèses!$V$12,Hypothèses!$W$12,IF(DL253&lt;=Hypothèses!$V$13,Hypothèses!$W$13,IF(DL253&lt;=Hypothèses!$V$14,Hypothèses!$W$14,IF(DL253&lt;=Hypothèses!$V$15,Hypothèses!$W$15,IF(DL253&lt;=Hypothèses!$V$16,Hypothèses!$W$16,IF(DL253&lt;=Hypothèses!$V$17,Hypothèses!$W$17,IF(DL253&lt;=Hypothèses!$V$18,Hypothèses!$W$18,""))))))))))))</f>
        <v>#DIV/0!</v>
      </c>
      <c r="EG253" s="87" t="e">
        <f t="shared" ca="1" si="422"/>
        <v>#DIV/0!</v>
      </c>
      <c r="EH253" s="88" t="e">
        <f ca="1">IF(DL253&lt;=Hypothèses!$V$7,Hypothèses!$X$7,IF(DL253&lt;=Hypothèses!$V$8,Hypothèses!$X$8,IF(DL253&lt;=Hypothèses!$V$9,Hypothèses!$X$9,IF(DL253&lt;=Hypothèses!$V$10,Hypothèses!$X$10,IF(DL253&lt;=Hypothèses!$V$11,Hypothèses!$X$11,IF(DL253&lt;=Hypothèses!$V$12,Hypothèses!$X$12,IF(DL253&lt;=Hypothèses!$V$13,Hypothèses!$X$13,IF(DL253&lt;=Hypothèses!$V$14,Hypothèses!$X$14,IF(DL253&lt;=Hypothèses!$V$15,Hypothèses!$X$15,IF(DL253&lt;=Hypothèses!$V$16,Hypothèses!$X$16,IF(DL253&lt;=Hypothèses!$U$17,Hypothèses!$W$17,IF(DL253&lt;=Hypothèses!$U$18,Hypothèses!$W$18,""))))))))))))</f>
        <v>#DIV/0!</v>
      </c>
      <c r="EI253" s="95" t="e">
        <f t="shared" ca="1" si="393"/>
        <v>#DIV/0!</v>
      </c>
      <c r="EJ253" s="101">
        <f t="shared" si="429"/>
        <v>0</v>
      </c>
      <c r="EK253" s="91">
        <f t="shared" si="360"/>
        <v>0</v>
      </c>
      <c r="EL253" s="30" t="e">
        <f t="shared" si="412"/>
        <v>#N/A</v>
      </c>
      <c r="EM253" s="30" t="e">
        <f t="shared" si="413"/>
        <v>#N/A</v>
      </c>
      <c r="EN253" s="31" t="e">
        <f>IF(OR(Hypothèses!$B$4=17,Hypothèses!$B$4=18,Hypothèses!$B$4=19,Hypothèses!$B$4=20),
IF($D253="Pressio.",
IF(OR($E253=3,$E253=1,$E253=4),EM253,EL253),
IF($D253="Pénétro.",
IF(OR($E253=3,$E253=1,$E253=4),EM253,EL253))),IF($D253="Pressio.",
IF($E253=3,EM253,EL253),
IF($D253="Pénétro.",
IF($E253=4,EM253,EL253))))</f>
        <v>#N/A</v>
      </c>
      <c r="EO253" s="31">
        <v>0</v>
      </c>
      <c r="EP253" s="102" t="e">
        <f>IF(NDC!$H$10="Oui",(VLOOKUP($B$3,'Coeff EC7'!$T$39:$X$59,2,0)*EN253+VLOOKUP($B$3,'Coeff EC7'!$T$65:$X$85,2,0)*Model0.1T!EO253)/1.5,PI()*EL$12*$Q253*($B253-$B252)*0.15/10+EP252)</f>
        <v>#N/A</v>
      </c>
      <c r="EQ253" s="102" t="e">
        <f>(VLOOKUP($B$3,'Coeff EC7'!$T$39:$X$59,3,0)*EN253+VLOOKUP($B$3,'Coeff EC7'!$T$65:$X$85,3,0)*Model0.1T!EO253)/1.1</f>
        <v>#N/A</v>
      </c>
      <c r="ER253" s="102" t="e">
        <f t="shared" si="394"/>
        <v>#N/A</v>
      </c>
      <c r="ES253" s="102" t="e">
        <f t="shared" si="395"/>
        <v>#N/A</v>
      </c>
      <c r="ET253" s="414" t="e">
        <f>IF(AND(EP253&gt;NDC!$C$63,EQ253&gt;NDC!$C$65,ER253&gt;NDC!$D$73,ES253&gt;NDC!$D$74,$B253&gt;NDC!$H$22-0.1+MIN(3*ET$12,1.5)),0,1)</f>
        <v>#N/A</v>
      </c>
      <c r="EU253" s="86" t="b">
        <f t="shared" si="361"/>
        <v>0</v>
      </c>
      <c r="EV253" s="86">
        <f t="shared" si="362"/>
        <v>0.61</v>
      </c>
      <c r="EW253" s="86">
        <f t="shared" si="363"/>
        <v>0.61</v>
      </c>
      <c r="EX253" s="30" t="e">
        <f t="shared" ca="1" si="396"/>
        <v>#DIV/0!</v>
      </c>
      <c r="EY253" s="85" t="e">
        <f ca="1">IF(EE253&lt;=Hypothèses!$V$7,Hypothèses!$W$7,IF(EE253&lt;=Hypothèses!$V$8,Hypothèses!$W$8,IF(EE253&lt;=Hypothèses!$V$9,Hypothèses!$W$9,IF(EE253&lt;=Hypothèses!$V$10,Hypothèses!$W$10,IF(EE253&lt;=Hypothèses!$V$11,Hypothèses!$W$11,IF(EE253&lt;=Hypothèses!$V$12,Hypothèses!$W$12,IF(EE253&lt;=Hypothèses!$V$13,Hypothèses!$W$13,IF(EE253&lt;=Hypothèses!$V$14,Hypothèses!$W$14,IF(EE253&lt;=Hypothèses!$V$15,Hypothèses!$W$15,IF(EE253&lt;=Hypothèses!$V$16,Hypothèses!$W$16,IF(EE253&lt;=Hypothèses!$V$17,Hypothèses!$W$17,IF(EE253&lt;=Hypothèses!$V$18,Hypothèses!$W$18,""))))))))))))</f>
        <v>#DIV/0!</v>
      </c>
      <c r="EZ253" s="87" t="e">
        <f t="shared" ca="1" si="423"/>
        <v>#DIV/0!</v>
      </c>
      <c r="FA253" s="88" t="e">
        <f ca="1">IF(EE253&lt;=Hypothèses!$V$7,Hypothèses!$X$7,IF(EE253&lt;=Hypothèses!$V$8,Hypothèses!$X$8,IF(EE253&lt;=Hypothèses!$V$9,Hypothèses!$X$9,IF(EE253&lt;=Hypothèses!$V$10,Hypothèses!$X$10,IF(EE253&lt;=Hypothèses!$V$11,Hypothèses!$X$11,IF(EE253&lt;=Hypothèses!$V$12,Hypothèses!$X$12,IF(EE253&lt;=Hypothèses!$V$13,Hypothèses!$X$13,IF(EE253&lt;=Hypothèses!$V$14,Hypothèses!$X$14,IF(EE253&lt;=Hypothèses!$V$15,Hypothèses!$X$15,IF(EE253&lt;=Hypothèses!$V$16,Hypothèses!$X$16,IF(EE253&lt;=Hypothèses!$U$17,Hypothèses!$W$17,IF(EE253&lt;=Hypothèses!$U$18,Hypothèses!$W$18,""))))))))))))</f>
        <v>#DIV/0!</v>
      </c>
      <c r="FB253" s="95" t="e">
        <f t="shared" ca="1" si="397"/>
        <v>#DIV/0!</v>
      </c>
      <c r="FC253" s="101">
        <f t="shared" si="430"/>
        <v>0</v>
      </c>
      <c r="FD253" s="91">
        <f t="shared" si="364"/>
        <v>0</v>
      </c>
      <c r="FE253" s="30" t="e">
        <f t="shared" si="414"/>
        <v>#N/A</v>
      </c>
      <c r="FF253" s="30" t="e">
        <f t="shared" si="415"/>
        <v>#N/A</v>
      </c>
      <c r="FG253" s="31" t="e">
        <f>IF(OR(Hypothèses!$B$4=17,Hypothèses!$B$4=18,Hypothèses!$B$4=19,Hypothèses!$B$4=20),
IF($D253="Pressio.",
IF(OR($E253=3,$E253=1,$E253=4),FF253,FE253),
IF($D253="Pénétro.",
IF(OR($E253=3,$E253=1,$E253=4),FF253,FE253))),IF($D253="Pressio.",
IF($E253=3,FF253,FE253),
IF($D253="Pénétro.",
IF($E253=4,FF253,FE253))))</f>
        <v>#N/A</v>
      </c>
      <c r="FH253" s="31">
        <v>0</v>
      </c>
      <c r="FI253" s="102" t="e">
        <f>IF(NDC!$H$10="Oui",(VLOOKUP($B$3,'Coeff EC7'!$T$39:$X$59,2,0)*FG253+VLOOKUP($B$3,'Coeff EC7'!$T$65:$X$85,2,0)*Model0.1T!FH253)/1.5,PI()*FE$12*$Q253*($B253-$B252)*0.15/10+FI252)</f>
        <v>#N/A</v>
      </c>
      <c r="FJ253" s="102" t="e">
        <f>(VLOOKUP($B$3,'Coeff EC7'!$T$39:$X$59,3,0)*FG253+VLOOKUP($B$3,'Coeff EC7'!$T$65:$X$85,3,0)*Model0.1T!FH253)/1.1</f>
        <v>#N/A</v>
      </c>
      <c r="FK253" s="102" t="e">
        <f t="shared" si="398"/>
        <v>#N/A</v>
      </c>
      <c r="FL253" s="102" t="e">
        <f t="shared" si="399"/>
        <v>#N/A</v>
      </c>
      <c r="FM253" s="414" t="e">
        <f>IF(AND(FI253&gt;NDC!$C$63,FJ253&gt;NDC!$C$65,FK253&gt;NDC!$D$73,FL253&gt;NDC!$D$74,$B253&gt;NDC!$H$22-0.1+MIN(3*FM$12,1.5)),0,1)</f>
        <v>#N/A</v>
      </c>
    </row>
    <row r="254" spans="1:169">
      <c r="A254" s="96">
        <f t="shared" si="365"/>
        <v>75.90000000000137</v>
      </c>
      <c r="B254" s="97">
        <v>24.1</v>
      </c>
      <c r="C254" s="81">
        <f>IF(B254&lt;=Hypothèses!$C$7,Hypothèses!$A$7,IF(B254&lt;=Hypothèses!$C$8,Hypothèses!$A$8,IF(B254&lt;=Hypothèses!$C$9,Hypothèses!$A$9,IF(B254&lt;=Hypothèses!$C$10,Hypothèses!$A$10,IF(B254&lt;=Hypothèses!$C$11,Hypothèses!$A$11,IF(B254&lt;=Hypothèses!$C$12,Hypothèses!$A$12,IF(B254&lt;=Hypothèses!$C$13,Hypothèses!$A$13,IF(B254&lt;=Hypothèses!$C$14,Hypothèses!$A$14,IF(B254&lt;=Hypothèses!$C$15,Hypothèses!$A$15,IF(B254&lt;=Hypothèses!$C$16,Hypothèses!$A$16,IF(B254&lt;=Hypothèses!$C$17,Hypothèses!$A$17,IF(B254&lt;=Hypothèses!$C$18,Hypothèses!$A$18,C253))))))))))))</f>
        <v>11</v>
      </c>
      <c r="D254" s="82" t="str">
        <f>IF(B254&lt;=Hypothèses!$C$7,Hypothèses!$R$7,IF(B254&lt;=Hypothèses!$C$8,Hypothèses!$R$8,IF(B254&lt;=Hypothèses!$C$9,Hypothèses!$R$9,IF(B254&lt;=Hypothèses!$C$10,Hypothèses!$R$10,IF(B254&lt;=Hypothèses!$C$11,Hypothèses!$R$11,IF(B254&lt;=Hypothèses!$C$12,Hypothèses!$R$12,IF(B254&lt;=Hypothèses!$C$13,Hypothèses!$R$13,IF(B254&lt;=Hypothèses!$C$14,Hypothèses!$R$14,IF(B254&lt;=Hypothèses!$C$15,Hypothèses!$R$15,IF(B254&lt;=Hypothèses!$C$16,Hypothèses!$R$16,IF(B254&lt;=Hypothèses!$C$17,Hypothèses!$R$17,IF(B254&lt;=Hypothèses!$C$18,Hypothèses!$R$18,D253))))))))))))</f>
        <v>Pressio.</v>
      </c>
      <c r="E254" s="82" t="e">
        <f>IF(B254&lt;=Hypothèses!$C$7,Hypothèses!$G$7,IF(B254&lt;=Hypothèses!$C$8,Hypothèses!$G$8,IF(B254&lt;=Hypothèses!$C$9,Hypothèses!$G$9,IF(B254&lt;=Hypothèses!$C$10,Hypothèses!$G$10,IF(B254&lt;=Hypothèses!$C$11,Hypothèses!$G$11,IF(B254&lt;=Hypothèses!$C$12,Hypothèses!$G$12,IF(B254&lt;=Hypothèses!$C$13,Hypothèses!$G$13,IF(B254&lt;=Hypothèses!$C$14,Hypothèses!$G$14,IF(B254&lt;=Hypothèses!$C$15,Hypothèses!$G$15,IF(B254&lt;=Hypothèses!$C$16,Hypothèses!$G$16,IF(B254&lt;=Hypothèses!$C$17,Hypothèses!$G$17,IF(B254&lt;=Hypothèses!$C$18,Hypothèses!$G$18,E253))))))))))))</f>
        <v>#N/A</v>
      </c>
      <c r="F254" s="82" t="str">
        <f>IF(B254&lt;=Hypothèses!$C$7,Hypothèses!$F$7,IF(B254&lt;=Hypothèses!$C$8,Hypothèses!$F$8,IF(B254&lt;=Hypothèses!$C$9,Hypothèses!$F$9,IF(B254&lt;=Hypothèses!$C$10,Hypothèses!$F$10,IF(B254&lt;=Hypothèses!$C$11,Hypothèses!$F$11,IF(B254&lt;=Hypothèses!$C$12,Hypothèses!$F$12,IF(B254&lt;=Hypothèses!$C$13,Hypothèses!$F$13,IF(B254&lt;=Hypothèses!$C$14,Hypothèses!$F$14,IF(B254&lt;=Hypothèses!$C$15,Hypothèses!$F$15,IF(B254&lt;=Hypothèses!$C$16,Hypothèses!$F$16,IF(B254&lt;=Hypothèses!$C$17,Hypothèses!$F$17,IF(B254&lt;=Hypothèses!$C$18,Hypothèses!$F$18,F253))))))))))))</f>
        <v/>
      </c>
      <c r="G254" s="91">
        <f t="array" ref="G254">INDEX('Coeff EC7'!$U$7:$X$27,
MATCH(Model0.1T!$B$3,'Coeff EC7'!$T$7:$T$27,0),
MATCH(Model0.1T!$D254&amp;Model0.1T!$B$4,
'Coeff EC7'!$U$6:$X$6&amp;
'Coeff EC7'!$U$5:$X$5,0))</f>
        <v>1.4</v>
      </c>
      <c r="H254" s="91">
        <f t="array" ref="H254">INDEX('Coeff EC7'!$Y$7:$AB$27,
MATCH(Model0.1T!$B$3,'Coeff EC7'!$T$7:$T$27,0),
MATCH(Model0.1T!$D254&amp;Model0.1T!$B$4,
'Coeff EC7'!$Y$6:$AB$6&amp;
'Coeff EC7'!$Y$5:$AB$5,0))</f>
        <v>1.7</v>
      </c>
      <c r="I254" s="83">
        <v>0</v>
      </c>
      <c r="J254" s="91" t="e">
        <f t="array" ref="J254">INDEX('Coeff EC7'!$D$33:$Q$33,1,MATCH(D254&amp;E254,'Coeff EC7'!$D$31:$Q$31&amp;'Coeff EC7'!$D$32:$Q$32,0))</f>
        <v>#N/A</v>
      </c>
      <c r="K254" s="91" t="e">
        <f t="array" ref="K254">INDEX('Coeff EC7'!$D$34:$Q$34,1,MATCH(D254&amp;E254,'Coeff EC7'!$D$31:$Q$31&amp;'Coeff EC7'!$D$32:$Q$32,0))</f>
        <v>#N/A</v>
      </c>
      <c r="L254" s="91" t="e">
        <f t="array" ref="L254">INDEX('Coeff EC7'!$D$35:$Q$35,1,MATCH(D254&amp;E254,'Coeff EC7'!$D$31:$Q$31&amp;'Coeff EC7'!$D$32:$Q$32,0))</f>
        <v>#N/A</v>
      </c>
      <c r="M254" s="98" t="e">
        <f t="shared" si="331"/>
        <v>#N/A</v>
      </c>
      <c r="N254" s="99" t="e">
        <f t="array" ref="N254">INDEX('Coeff EC7'!$D$7:$Q$27,MATCH($B$3,'Coeff EC7'!$C$7:$C$27,0),MATCH(D254&amp;E254,'Coeff EC7'!$D$5:$Q$5&amp;'Coeff EC7'!$D$6:$Q$6,0))</f>
        <v>#N/A</v>
      </c>
      <c r="O254" s="99" t="e">
        <f t="array" ref="O254">INDEX('Coeff EC7'!$D$41:$Q$61,MATCH($B$3,'Coeff EC7'!$C$41:$C$61,0),MATCH(D254&amp;E254,'Coeff EC7'!$D$39:$Q$39&amp;'Coeff EC7'!$D$40:$Q$40,0))</f>
        <v>#N/A</v>
      </c>
      <c r="P254" s="30" t="e">
        <f t="shared" si="366"/>
        <v>#N/A</v>
      </c>
      <c r="Q254" s="100" t="e">
        <f t="shared" si="333"/>
        <v>#N/A</v>
      </c>
      <c r="R254" s="86" t="b">
        <f t="shared" si="334"/>
        <v>0</v>
      </c>
      <c r="S254" s="86">
        <f t="shared" si="332"/>
        <v>0.5</v>
      </c>
      <c r="T254" s="86">
        <f t="shared" si="335"/>
        <v>0.5</v>
      </c>
      <c r="U254" s="30" t="e">
        <f t="shared" ca="1" si="367"/>
        <v>#DIV/0!</v>
      </c>
      <c r="V254" s="85" t="str">
        <f>IF(B254&lt;=Hypothèses!$V$7,Hypothèses!$W$7,IF(B254&lt;=Hypothèses!$V$8,Hypothèses!$W$8,IF(B254&lt;=Hypothèses!$V$9,Hypothèses!$W$9,IF(B254&lt;=Hypothèses!$V$10,Hypothèses!$W$10,IF(B254&lt;=Hypothèses!$V$11,Hypothèses!$W$11,IF(B254&lt;=Hypothèses!$V$12,Hypothèses!$W$12,IF(B254&lt;=Hypothèses!$V$13,Hypothèses!$W$13,IF(B254&lt;=Hypothèses!$V$14,Hypothèses!$W$14,IF(B254&lt;=Hypothèses!$V$15,Hypothèses!$W$15,IF(B254&lt;=Hypothèses!$V$16,Hypothèses!$W$16,IF(B254&lt;=Hypothèses!$V$17,Hypothèses!$W$17,IF(B254&lt;=Hypothèses!$V$18,Hypothèses!$W$18,""))))))))))))</f>
        <v/>
      </c>
      <c r="W254" s="87" t="e">
        <f t="shared" ca="1" si="416"/>
        <v>#DIV/0!</v>
      </c>
      <c r="X254" s="88" t="str">
        <f>IF(B254&lt;=Hypothèses!$V$7,Hypothèses!$X$7,IF(B254&lt;=Hypothèses!$V$8,Hypothèses!$X$8,IF(B254&lt;=Hypothèses!$V$9,Hypothèses!$X$9,IF(B254&lt;=Hypothèses!$V$10,Hypothèses!$X$10,IF(B254&lt;=Hypothèses!$V$11,Hypothèses!$X$11,IF(B254&lt;=Hypothèses!$V$12,Hypothèses!$X$12,IF(B254&lt;=Hypothèses!$V$13,Hypothèses!$X$13,IF(B254&lt;=Hypothèses!$V$14,Hypothèses!$X$14,IF(B254&lt;=Hypothèses!$V$15,Hypothèses!$X$15,IF(B254&lt;=Hypothèses!$V$16,Hypothèses!$X$16,IF(B254&lt;=Hypothèses!$U$17,Hypothèses!$W$17,IF(B254&lt;=Hypothèses!$U$18,Hypothèses!$W$18,""))))))))))))</f>
        <v/>
      </c>
      <c r="Y254" s="95" t="e">
        <f t="shared" ca="1" si="336"/>
        <v>#DIV/0!</v>
      </c>
      <c r="Z254" s="101">
        <f t="shared" si="337"/>
        <v>0</v>
      </c>
      <c r="AA254" s="91">
        <f t="shared" si="338"/>
        <v>0</v>
      </c>
      <c r="AB254" s="30" t="e">
        <f t="shared" si="400"/>
        <v>#N/A</v>
      </c>
      <c r="AC254" s="30" t="e">
        <f t="shared" si="401"/>
        <v>#N/A</v>
      </c>
      <c r="AD254" s="31" t="e">
        <f>IF(OR(Hypothèses!$B$4=17,Hypothèses!$B$4=18,Hypothèses!$B$4=19,Hypothèses!$B$4=20),
IF($D254="Pressio.",
IF(OR($E254=3,$E254=1,$E254=4),AC254,AB254),
IF($D254="Pénétro.",
IF(OR($E254=3,$E254=1,$E254=4),AC254,AB254))),IF($D254="Pressio.",
IF($E254=3,AC254,AB254),
IF($D254="Pénétro.",
IF($E254=4,AC254,AB254))))</f>
        <v>#N/A</v>
      </c>
      <c r="AE254" s="31">
        <v>0</v>
      </c>
      <c r="AF254" s="102" t="e">
        <f>IF(NDC!$H$10="Oui",(VLOOKUP($B$3,'Coeff EC7'!$T$39:$X$59,2,0)*AD254+VLOOKUP($B$3,'Coeff EC7'!$T$65:$X$85,2,0)*Model0.1T!AE254)/1.5,PI()*AB$12*$Q254*($B254-$B253)*0.15/10+AF253)</f>
        <v>#N/A</v>
      </c>
      <c r="AG254" s="102" t="e">
        <f>(VLOOKUP($B$3,'Coeff EC7'!$T$39:$X$59,3,0)*AD254+VLOOKUP($B$3,'Coeff EC7'!$T$65:$X$85,3,0)*Model0.1T!AE254)/1.1</f>
        <v>#N/A</v>
      </c>
      <c r="AH254" s="102" t="e">
        <f t="shared" si="368"/>
        <v>#N/A</v>
      </c>
      <c r="AI254" s="102" t="e">
        <f t="shared" si="369"/>
        <v>#N/A</v>
      </c>
      <c r="AJ254" s="414" t="e">
        <f>IF(AND(AF254&gt;NDC!$C$63,AG254&gt;NDC!$C$65,AH254&gt;NDC!$D$73,AI254&gt;NDC!$D$74,$B254&gt;NDC!$H$22-0.1+MIN(3*$AJ$12,1.5)),0,1)</f>
        <v>#N/A</v>
      </c>
      <c r="AK254" s="86" t="b">
        <f t="shared" si="339"/>
        <v>0</v>
      </c>
      <c r="AL254" s="86">
        <f t="shared" si="370"/>
        <v>0.5</v>
      </c>
      <c r="AM254" s="86">
        <f t="shared" si="340"/>
        <v>0.5</v>
      </c>
      <c r="AN254" s="30" t="e">
        <f t="shared" ca="1" si="371"/>
        <v>#DIV/0!</v>
      </c>
      <c r="AO254" s="85" t="e">
        <f ca="1">IF(U254&lt;=Hypothèses!$V$7,Hypothèses!$W$7,IF(U254&lt;=Hypothèses!$V$8,Hypothèses!$W$8,IF(U254&lt;=Hypothèses!$V$9,Hypothèses!$W$9,IF(U254&lt;=Hypothèses!$V$10,Hypothèses!$W$10,IF(U254&lt;=Hypothèses!$V$11,Hypothèses!$W$11,IF(U254&lt;=Hypothèses!$V$12,Hypothèses!$W$12,IF(U254&lt;=Hypothèses!$V$13,Hypothèses!$W$13,IF(U254&lt;=Hypothèses!$V$14,Hypothèses!$W$14,IF(U254&lt;=Hypothèses!$V$15,Hypothèses!$W$15,IF(U254&lt;=Hypothèses!$V$16,Hypothèses!$W$16,IF(U254&lt;=Hypothèses!$V$17,Hypothèses!$W$17,IF(U254&lt;=Hypothèses!$V$18,Hypothèses!$W$18,""))))))))))))</f>
        <v>#DIV/0!</v>
      </c>
      <c r="AP254" s="87" t="e">
        <f t="shared" ca="1" si="417"/>
        <v>#DIV/0!</v>
      </c>
      <c r="AQ254" s="88" t="e">
        <f ca="1">IF(U254&lt;=Hypothèses!$V$7,Hypothèses!$X$7,IF(U254&lt;=Hypothèses!$V$8,Hypothèses!$X$8,IF(U254&lt;=Hypothèses!$V$9,Hypothèses!$X$9,IF(U254&lt;=Hypothèses!$V$10,Hypothèses!$X$10,IF(U254&lt;=Hypothèses!$V$11,Hypothèses!$X$11,IF(U254&lt;=Hypothèses!$V$12,Hypothèses!$X$12,IF(U254&lt;=Hypothèses!$V$13,Hypothèses!$X$13,IF(U254&lt;=Hypothèses!$V$14,Hypothèses!$X$14,IF(U254&lt;=Hypothèses!$V$15,Hypothèses!$X$15,IF(U254&lt;=Hypothèses!$V$16,Hypothèses!$X$16,IF(U254&lt;=Hypothèses!$U$17,Hypothèses!$W$17,IF(U254&lt;=Hypothèses!$U$18,Hypothèses!$W$18,""))))))))))))</f>
        <v>#DIV/0!</v>
      </c>
      <c r="AR254" s="95" t="e">
        <f t="shared" ca="1" si="372"/>
        <v>#DIV/0!</v>
      </c>
      <c r="AS254" s="101">
        <f t="shared" si="424"/>
        <v>0</v>
      </c>
      <c r="AT254" s="91">
        <f t="shared" si="341"/>
        <v>0</v>
      </c>
      <c r="AU254" s="30" t="e">
        <f t="shared" si="402"/>
        <v>#N/A</v>
      </c>
      <c r="AV254" s="30" t="e">
        <f t="shared" si="403"/>
        <v>#N/A</v>
      </c>
      <c r="AW254" s="31" t="e">
        <f>IF(OR(Hypothèses!$B$4=17,Hypothèses!$B$4=18,Hypothèses!$B$4=19,Hypothèses!$B$4=20),
IF($D254="Pressio.",
IF(OR($E254=3,$E254=1,$E254=4),AV254,AU254),
IF($D254="Pénétro.",
IF(OR($E254=3,$E254=1,$E254=4),AV254,AU254))),IF($D254="Pressio.",
IF($E254=3,AV254,AU254),
IF($D254="Pénétro.",
IF($E254=4,AV254,AU254))))</f>
        <v>#N/A</v>
      </c>
      <c r="AX254" s="31">
        <v>0</v>
      </c>
      <c r="AY254" s="102" t="e">
        <f>IF(NDC!$H$10="Oui",(VLOOKUP($B$3,'Coeff EC7'!$T$39:$X$59,2,0)*AW254+VLOOKUP($B$3,'Coeff EC7'!$T$65:$X$85,2,0)*Model0.1T!AX254)/1.5,PI()*AU$12*$Q254*($B254-$B253)*0.15/10+AY253)</f>
        <v>#N/A</v>
      </c>
      <c r="AZ254" s="102" t="e">
        <f>(VLOOKUP($B$3,'Coeff EC7'!$T$39:$X$59,3,0)*AW254+VLOOKUP($B$3,'Coeff EC7'!$T$65:$X$85,3,0)*Model0.1T!AX254)/1.1</f>
        <v>#N/A</v>
      </c>
      <c r="BA254" s="102" t="e">
        <f t="shared" si="373"/>
        <v>#N/A</v>
      </c>
      <c r="BB254" s="102" t="e">
        <f t="shared" si="374"/>
        <v>#N/A</v>
      </c>
      <c r="BC254" s="414" t="e">
        <f>IF(AND(AY254&gt;NDC!$C$63,AZ254&gt;NDC!$C$65,BA254&gt;NDC!$D$73,BB254&gt;NDC!$D$74,$B254&gt;NDC!$H$22-0.1+MIN(3*BC$12,1.5)),0,1)</f>
        <v>#N/A</v>
      </c>
      <c r="BD254" s="86" t="b">
        <f t="shared" si="342"/>
        <v>0</v>
      </c>
      <c r="BE254" s="86">
        <f t="shared" si="375"/>
        <v>0.5</v>
      </c>
      <c r="BF254" s="86">
        <f t="shared" si="343"/>
        <v>0.5</v>
      </c>
      <c r="BG254" s="30" t="e">
        <f t="shared" ca="1" si="376"/>
        <v>#DIV/0!</v>
      </c>
      <c r="BH254" s="85" t="e">
        <f ca="1">IF(AN254&lt;=Hypothèses!$V$7,Hypothèses!$W$7,IF(AN254&lt;=Hypothèses!$V$8,Hypothèses!$W$8,IF(AN254&lt;=Hypothèses!$V$9,Hypothèses!$W$9,IF(AN254&lt;=Hypothèses!$V$10,Hypothèses!$W$10,IF(AN254&lt;=Hypothèses!$V$11,Hypothèses!$W$11,IF(AN254&lt;=Hypothèses!$V$12,Hypothèses!$W$12,IF(AN254&lt;=Hypothèses!$V$13,Hypothèses!$W$13,IF(AN254&lt;=Hypothèses!$V$14,Hypothèses!$W$14,IF(AN254&lt;=Hypothèses!$V$15,Hypothèses!$W$15,IF(AN254&lt;=Hypothèses!$V$16,Hypothèses!$W$16,IF(AN254&lt;=Hypothèses!$V$17,Hypothèses!$W$17,IF(AN254&lt;=Hypothèses!$V$18,Hypothèses!$W$18,""))))))))))))</f>
        <v>#DIV/0!</v>
      </c>
      <c r="BI254" s="87" t="e">
        <f t="shared" ca="1" si="418"/>
        <v>#DIV/0!</v>
      </c>
      <c r="BJ254" s="88" t="e">
        <f ca="1">IF(AN254&lt;=Hypothèses!$V$7,Hypothèses!$X$7,IF(AN254&lt;=Hypothèses!$V$8,Hypothèses!$X$8,IF(AN254&lt;=Hypothèses!$V$9,Hypothèses!$X$9,IF(AN254&lt;=Hypothèses!$V$10,Hypothèses!$X$10,IF(AN254&lt;=Hypothèses!$V$11,Hypothèses!$X$11,IF(AN254&lt;=Hypothèses!$V$12,Hypothèses!$X$12,IF(AN254&lt;=Hypothèses!$V$13,Hypothèses!$X$13,IF(AN254&lt;=Hypothèses!$V$14,Hypothèses!$X$14,IF(AN254&lt;=Hypothèses!$V$15,Hypothèses!$X$15,IF(AN254&lt;=Hypothèses!$V$16,Hypothèses!$X$16,IF(AN254&lt;=Hypothèses!$U$17,Hypothèses!$W$17,IF(AN254&lt;=Hypothèses!$U$18,Hypothèses!$W$18,""))))))))))))</f>
        <v>#DIV/0!</v>
      </c>
      <c r="BK254" s="95" t="e">
        <f t="shared" ca="1" si="377"/>
        <v>#DIV/0!</v>
      </c>
      <c r="BL254" s="101">
        <f t="shared" si="425"/>
        <v>0</v>
      </c>
      <c r="BM254" s="91">
        <f t="shared" si="344"/>
        <v>0</v>
      </c>
      <c r="BN254" s="30" t="e">
        <f t="shared" si="404"/>
        <v>#N/A</v>
      </c>
      <c r="BO254" s="30" t="e">
        <f t="shared" si="405"/>
        <v>#N/A</v>
      </c>
      <c r="BP254" s="31" t="e">
        <f>IF(OR(Hypothèses!$B$4=17,Hypothèses!$B$4=18,Hypothèses!$B$4=19,Hypothèses!$B$4=20),
IF($D254="Pressio.",
IF(OR($E254=3,$E254=1,$E254=4),BO254,BN254),
IF($D254="Pénétro.",
IF(OR($E254=3,$E254=1,$E254=4),BO254,BN254))),IF($D254="Pressio.",
IF($E254=3,BO254,BN254),
IF($D254="Pénétro.",
IF($E254=4,BO254,BN254))))</f>
        <v>#N/A</v>
      </c>
      <c r="BQ254" s="31">
        <v>0</v>
      </c>
      <c r="BR254" s="102" t="e">
        <f>IF(NDC!$H$10="Oui",(VLOOKUP($B$3,'Coeff EC7'!$T$39:$X$59,2,0)*BP254+VLOOKUP($B$3,'Coeff EC7'!$T$65:$X$85,2,0)*Model0.1T!BQ254)/1.5,PI()*BN$12*$Q254*($B254-$B253)*0.15/10+BR253)</f>
        <v>#N/A</v>
      </c>
      <c r="BS254" s="102" t="e">
        <f>(VLOOKUP($B$3,'Coeff EC7'!$T$39:$X$59,3,0)*BP254+VLOOKUP($B$3,'Coeff EC7'!$T$65:$X$85,3,0)*Model0.1T!BQ254)/1.1</f>
        <v>#N/A</v>
      </c>
      <c r="BT254" s="102" t="e">
        <f t="shared" si="378"/>
        <v>#N/A</v>
      </c>
      <c r="BU254" s="102" t="e">
        <f t="shared" si="379"/>
        <v>#N/A</v>
      </c>
      <c r="BV254" s="414" t="e">
        <f>IF(AND(BR254&gt;NDC!$C$63,BS254&gt;NDC!$C$65,BT254&gt;NDC!$D$73,BU254&gt;NDC!$D$74,$B254&gt;NDC!$H$22-0.1+MIN(3*BV$12,1.5)),0,1)</f>
        <v>#N/A</v>
      </c>
      <c r="BW254" s="86" t="b">
        <f t="shared" si="345"/>
        <v>0</v>
      </c>
      <c r="BX254" s="86">
        <f t="shared" si="346"/>
        <v>0.5</v>
      </c>
      <c r="BY254" s="86">
        <f t="shared" si="347"/>
        <v>0.5</v>
      </c>
      <c r="BZ254" s="30" t="e">
        <f t="shared" ca="1" si="380"/>
        <v>#DIV/0!</v>
      </c>
      <c r="CA254" s="85" t="e">
        <f ca="1">IF(BG254&lt;=Hypothèses!$V$7,Hypothèses!$W$7,IF(BG254&lt;=Hypothèses!$V$8,Hypothèses!$W$8,IF(BG254&lt;=Hypothèses!$V$9,Hypothèses!$W$9,IF(BG254&lt;=Hypothèses!$V$10,Hypothèses!$W$10,IF(BG254&lt;=Hypothèses!$V$11,Hypothèses!$W$11,IF(BG254&lt;=Hypothèses!$V$12,Hypothèses!$W$12,IF(BG254&lt;=Hypothèses!$V$13,Hypothèses!$W$13,IF(BG254&lt;=Hypothèses!$V$14,Hypothèses!$W$14,IF(BG254&lt;=Hypothèses!$V$15,Hypothèses!$W$15,IF(BG254&lt;=Hypothèses!$V$16,Hypothèses!$W$16,IF(BG254&lt;=Hypothèses!$V$17,Hypothèses!$W$17,IF(BG254&lt;=Hypothèses!$V$18,Hypothèses!$W$18,""))))))))))))</f>
        <v>#DIV/0!</v>
      </c>
      <c r="CB254" s="87" t="e">
        <f t="shared" ca="1" si="419"/>
        <v>#DIV/0!</v>
      </c>
      <c r="CC254" s="88" t="e">
        <f ca="1">IF(BG254&lt;=Hypothèses!$V$7,Hypothèses!$X$7,IF(BG254&lt;=Hypothèses!$V$8,Hypothèses!$X$8,IF(BG254&lt;=Hypothèses!$V$9,Hypothèses!$X$9,IF(BG254&lt;=Hypothèses!$V$10,Hypothèses!$X$10,IF(BG254&lt;=Hypothèses!$V$11,Hypothèses!$X$11,IF(BG254&lt;=Hypothèses!$V$12,Hypothèses!$X$12,IF(BG254&lt;=Hypothèses!$V$13,Hypothèses!$X$13,IF(BG254&lt;=Hypothèses!$V$14,Hypothèses!$X$14,IF(BG254&lt;=Hypothèses!$V$15,Hypothèses!$X$15,IF(BG254&lt;=Hypothèses!$V$16,Hypothèses!$X$16,IF(BG254&lt;=Hypothèses!$U$17,Hypothèses!$W$17,IF(BG254&lt;=Hypothèses!$U$18,Hypothèses!$W$18,""))))))))))))</f>
        <v>#DIV/0!</v>
      </c>
      <c r="CD254" s="95" t="e">
        <f t="shared" ca="1" si="381"/>
        <v>#DIV/0!</v>
      </c>
      <c r="CE254" s="101">
        <f t="shared" si="426"/>
        <v>0</v>
      </c>
      <c r="CF254" s="91">
        <f t="shared" si="348"/>
        <v>0</v>
      </c>
      <c r="CG254" s="30" t="e">
        <f t="shared" si="406"/>
        <v>#N/A</v>
      </c>
      <c r="CH254" s="30" t="e">
        <f t="shared" si="407"/>
        <v>#N/A</v>
      </c>
      <c r="CI254" s="31" t="e">
        <f>IF(OR(Hypothèses!$B$4=17,Hypothèses!$B$4=18,Hypothèses!$B$4=19,Hypothèses!$B$4=20),
IF($D254="Pressio.",
IF(OR($E254=3,$E254=1,$E254=4),CH254,CG254),
IF($D254="Pénétro.",
IF(OR($E254=3,$E254=1,$E254=4),CH254,CG254))),IF($D254="Pressio.",
IF($E254=3,CH254,CG254),
IF($D254="Pénétro.",
IF($E254=4,CH254,CG254))))</f>
        <v>#N/A</v>
      </c>
      <c r="CJ254" s="31">
        <v>0</v>
      </c>
      <c r="CK254" s="102" t="e">
        <f>IF(NDC!$H$10="Oui",(VLOOKUP($B$3,'Coeff EC7'!$T$39:$X$59,2,0)*CI254+VLOOKUP($B$3,'Coeff EC7'!$T$65:$X$85,2,0)*Model0.1T!CJ254)/1.5,PI()*CG$12*$Q254*($B254-$B253)*0.15/10+CK253)</f>
        <v>#N/A</v>
      </c>
      <c r="CL254" s="102" t="e">
        <f>(VLOOKUP($B$3,'Coeff EC7'!$T$39:$X$59,3,0)*CI254+VLOOKUP($B$3,'Coeff EC7'!$T$65:$X$85,3,0)*Model0.1T!CJ254)/1.1</f>
        <v>#N/A</v>
      </c>
      <c r="CM254" s="102" t="e">
        <f t="shared" si="382"/>
        <v>#N/A</v>
      </c>
      <c r="CN254" s="102" t="e">
        <f t="shared" si="383"/>
        <v>#N/A</v>
      </c>
      <c r="CO254" s="414" t="e">
        <f>IF(AND(CK254&gt;NDC!$C$63,CL254&gt;NDC!$C$65,CM254&gt;NDC!$D$73,CN254&gt;NDC!$D$74,$B254&gt;NDC!$H$22-0.1+MIN(3*CO$12,1.5)),0,1)</f>
        <v>#N/A</v>
      </c>
      <c r="CP254" s="86" t="b">
        <f t="shared" si="349"/>
        <v>0</v>
      </c>
      <c r="CQ254" s="86">
        <f t="shared" si="350"/>
        <v>0.5</v>
      </c>
      <c r="CR254" s="86">
        <f t="shared" si="351"/>
        <v>0.5</v>
      </c>
      <c r="CS254" s="30" t="e">
        <f t="shared" ca="1" si="384"/>
        <v>#DIV/0!</v>
      </c>
      <c r="CT254" s="85" t="e">
        <f ca="1">IF(BZ254&lt;=Hypothèses!$V$7,Hypothèses!$W$7,IF(BZ254&lt;=Hypothèses!$V$8,Hypothèses!$W$8,IF(BZ254&lt;=Hypothèses!$V$9,Hypothèses!$W$9,IF(BZ254&lt;=Hypothèses!$V$10,Hypothèses!$W$10,IF(BZ254&lt;=Hypothèses!$V$11,Hypothèses!$W$11,IF(BZ254&lt;=Hypothèses!$V$12,Hypothèses!$W$12,IF(BZ254&lt;=Hypothèses!$V$13,Hypothèses!$W$13,IF(BZ254&lt;=Hypothèses!$V$14,Hypothèses!$W$14,IF(BZ254&lt;=Hypothèses!$V$15,Hypothèses!$W$15,IF(BZ254&lt;=Hypothèses!$V$16,Hypothèses!$W$16,IF(BZ254&lt;=Hypothèses!$V$17,Hypothèses!$W$17,IF(BZ254&lt;=Hypothèses!$V$18,Hypothèses!$W$18,""))))))))))))</f>
        <v>#DIV/0!</v>
      </c>
      <c r="CU254" s="87" t="e">
        <f t="shared" ca="1" si="420"/>
        <v>#DIV/0!</v>
      </c>
      <c r="CV254" s="88" t="e">
        <f ca="1">IF(BZ254&lt;=Hypothèses!$V$7,Hypothèses!$X$7,IF(BZ254&lt;=Hypothèses!$V$8,Hypothèses!$X$8,IF(BZ254&lt;=Hypothèses!$V$9,Hypothèses!$X$9,IF(BZ254&lt;=Hypothèses!$V$10,Hypothèses!$X$10,IF(BZ254&lt;=Hypothèses!$V$11,Hypothèses!$X$11,IF(BZ254&lt;=Hypothèses!$V$12,Hypothèses!$X$12,IF(BZ254&lt;=Hypothèses!$V$13,Hypothèses!$X$13,IF(BZ254&lt;=Hypothèses!$V$14,Hypothèses!$X$14,IF(BZ254&lt;=Hypothèses!$V$15,Hypothèses!$X$15,IF(BZ254&lt;=Hypothèses!$V$16,Hypothèses!$X$16,IF(BZ254&lt;=Hypothèses!$U$17,Hypothèses!$W$17,IF(BZ254&lt;=Hypothèses!$U$18,Hypothèses!$W$18,""))))))))))))</f>
        <v>#DIV/0!</v>
      </c>
      <c r="CW254" s="95" t="e">
        <f t="shared" ca="1" si="385"/>
        <v>#DIV/0!</v>
      </c>
      <c r="CX254" s="101">
        <f t="shared" si="427"/>
        <v>0</v>
      </c>
      <c r="CY254" s="91">
        <f t="shared" si="352"/>
        <v>0</v>
      </c>
      <c r="CZ254" s="30" t="e">
        <f t="shared" si="408"/>
        <v>#N/A</v>
      </c>
      <c r="DA254" s="30" t="e">
        <f t="shared" si="409"/>
        <v>#N/A</v>
      </c>
      <c r="DB254" s="31" t="e">
        <f>IF(OR(Hypothèses!$B$4=17,Hypothèses!$B$4=18,Hypothèses!$B$4=19,Hypothèses!$B$4=20),
IF($D254="Pressio.",
IF(OR($E254=3,$E254=1,$E254=4),DA254,CZ254),
IF($D254="Pénétro.",
IF(OR($E254=3,$E254=1,$E254=4),DA254,CZ254))),IF($D254="Pressio.",
IF($E254=3,DA254,CZ254),
IF($D254="Pénétro.",
IF($E254=4,DA254,CZ254))))</f>
        <v>#N/A</v>
      </c>
      <c r="DC254" s="31">
        <v>0</v>
      </c>
      <c r="DD254" s="102" t="e">
        <f>IF(NDC!$H$10="Oui",(VLOOKUP($B$3,'Coeff EC7'!$T$39:$X$59,2,0)*DB254+VLOOKUP($B$3,'Coeff EC7'!$T$65:$X$85,2,0)*Model0.1T!DC254)/1.5,PI()*CZ$12*$Q254*($B254-$B253)*0.15/10+DD253)</f>
        <v>#N/A</v>
      </c>
      <c r="DE254" s="102" t="e">
        <f>(VLOOKUP($B$3,'Coeff EC7'!$T$39:$X$59,3,0)*DB254+VLOOKUP($B$3,'Coeff EC7'!$T$65:$X$85,3,0)*Model0.1T!DC254)/1.1</f>
        <v>#N/A</v>
      </c>
      <c r="DF254" s="102" t="e">
        <f t="shared" si="386"/>
        <v>#N/A</v>
      </c>
      <c r="DG254" s="102" t="e">
        <f t="shared" si="387"/>
        <v>#N/A</v>
      </c>
      <c r="DH254" s="414" t="e">
        <f>IF(AND(DD254&gt;NDC!$C$63,DE254&gt;NDC!$C$65,DF254&gt;NDC!$D$73,DG254&gt;NDC!$D$74,$B254&gt;NDC!$H$22-0.1+MIN(3*DH$12,1.5)),0,1)</f>
        <v>#N/A</v>
      </c>
      <c r="DI254" s="86" t="b">
        <f t="shared" si="353"/>
        <v>0</v>
      </c>
      <c r="DJ254" s="86">
        <f t="shared" si="354"/>
        <v>0.5</v>
      </c>
      <c r="DK254" s="86">
        <f t="shared" si="355"/>
        <v>0.5</v>
      </c>
      <c r="DL254" s="30" t="e">
        <f t="shared" ca="1" si="388"/>
        <v>#DIV/0!</v>
      </c>
      <c r="DM254" s="85" t="e">
        <f ca="1">IF(CS254&lt;=Hypothèses!$V$7,Hypothèses!$W$7,IF(CS254&lt;=Hypothèses!$V$8,Hypothèses!$W$8,IF(CS254&lt;=Hypothèses!$V$9,Hypothèses!$W$9,IF(CS254&lt;=Hypothèses!$V$10,Hypothèses!$W$10,IF(CS254&lt;=Hypothèses!$V$11,Hypothèses!$W$11,IF(CS254&lt;=Hypothèses!$V$12,Hypothèses!$W$12,IF(CS254&lt;=Hypothèses!$V$13,Hypothèses!$W$13,IF(CS254&lt;=Hypothèses!$V$14,Hypothèses!$W$14,IF(CS254&lt;=Hypothèses!$V$15,Hypothèses!$W$15,IF(CS254&lt;=Hypothèses!$V$16,Hypothèses!$W$16,IF(CS254&lt;=Hypothèses!$V$17,Hypothèses!$W$17,IF(CS254&lt;=Hypothèses!$V$18,Hypothèses!$W$18,""))))))))))))</f>
        <v>#DIV/0!</v>
      </c>
      <c r="DN254" s="87" t="e">
        <f t="shared" ca="1" si="421"/>
        <v>#DIV/0!</v>
      </c>
      <c r="DO254" s="88" t="e">
        <f ca="1">IF(CS254&lt;=Hypothèses!$V$7,Hypothèses!$X$7,IF(CS254&lt;=Hypothèses!$V$8,Hypothèses!$X$8,IF(CS254&lt;=Hypothèses!$V$9,Hypothèses!$X$9,IF(CS254&lt;=Hypothèses!$V$10,Hypothèses!$X$10,IF(CS254&lt;=Hypothèses!$V$11,Hypothèses!$X$11,IF(CS254&lt;=Hypothèses!$V$12,Hypothèses!$X$12,IF(CS254&lt;=Hypothèses!$V$13,Hypothèses!$X$13,IF(CS254&lt;=Hypothèses!$V$14,Hypothèses!$X$14,IF(CS254&lt;=Hypothèses!$V$15,Hypothèses!$X$15,IF(CS254&lt;=Hypothèses!$V$16,Hypothèses!$X$16,IF(CS254&lt;=Hypothèses!$U$17,Hypothèses!$W$17,IF(CS254&lt;=Hypothèses!$U$18,Hypothèses!$W$18,""))))))))))))</f>
        <v>#DIV/0!</v>
      </c>
      <c r="DP254" s="95" t="e">
        <f t="shared" ca="1" si="389"/>
        <v>#DIV/0!</v>
      </c>
      <c r="DQ254" s="101">
        <f t="shared" si="428"/>
        <v>0</v>
      </c>
      <c r="DR254" s="91">
        <f t="shared" si="356"/>
        <v>0</v>
      </c>
      <c r="DS254" s="30" t="e">
        <f t="shared" si="410"/>
        <v>#N/A</v>
      </c>
      <c r="DT254" s="30" t="e">
        <f t="shared" si="411"/>
        <v>#N/A</v>
      </c>
      <c r="DU254" s="31" t="e">
        <f>IF(OR(Hypothèses!$B$4=17,Hypothèses!$B$4=18,Hypothèses!$B$4=19,Hypothèses!$B$4=20),
IF($D254="Pressio.",
IF(OR($E254=3,$E254=1,$E254=4),DT254,DS254),
IF($D254="Pénétro.",
IF(OR($E254=3,$E254=1,$E254=4),DT254,DS254))),IF($D254="Pressio.",
IF($E254=3,DT254,DS254),
IF($D254="Pénétro.",
IF($E254=4,DT254,DS254))))</f>
        <v>#N/A</v>
      </c>
      <c r="DV254" s="31">
        <v>0</v>
      </c>
      <c r="DW254" s="102" t="e">
        <f>IF(NDC!$H$10="Oui",(VLOOKUP($B$3,'Coeff EC7'!$T$39:$X$59,2,0)*DU254+VLOOKUP($B$3,'Coeff EC7'!$T$65:$X$85,2,0)*Model0.1T!DV254)/1.5,PI()*DS$12*$Q254*($B254-$B253)*0.15/10+DW253)</f>
        <v>#N/A</v>
      </c>
      <c r="DX254" s="102" t="e">
        <f>(VLOOKUP($B$3,'Coeff EC7'!$T$39:$X$59,3,0)*DU254+VLOOKUP($B$3,'Coeff EC7'!$T$65:$X$85,3,0)*Model0.1T!DV254)/1.1</f>
        <v>#N/A</v>
      </c>
      <c r="DY254" s="102" t="e">
        <f t="shared" si="390"/>
        <v>#N/A</v>
      </c>
      <c r="DZ254" s="102" t="e">
        <f t="shared" si="391"/>
        <v>#N/A</v>
      </c>
      <c r="EA254" s="414" t="e">
        <f>IF(AND(DW254&gt;NDC!$C$63,DX254&gt;NDC!$C$65,DY254&gt;NDC!$D$73,DZ254&gt;NDC!$D$74,$B254&gt;NDC!$H$22-0.1+MIN(3*EA$12,1.5)),0,1)</f>
        <v>#N/A</v>
      </c>
      <c r="EB254" s="86" t="b">
        <f t="shared" si="357"/>
        <v>0</v>
      </c>
      <c r="EC254" s="418">
        <f t="shared" si="358"/>
        <v>0.51</v>
      </c>
      <c r="ED254" s="86">
        <f t="shared" si="359"/>
        <v>0.51</v>
      </c>
      <c r="EE254" s="30" t="e">
        <f t="shared" ca="1" si="392"/>
        <v>#DIV/0!</v>
      </c>
      <c r="EF254" s="85" t="e">
        <f ca="1">IF(DL254&lt;=Hypothèses!$V$7,Hypothèses!$W$7,IF(DL254&lt;=Hypothèses!$V$8,Hypothèses!$W$8,IF(DL254&lt;=Hypothèses!$V$9,Hypothèses!$W$9,IF(DL254&lt;=Hypothèses!$V$10,Hypothèses!$W$10,IF(DL254&lt;=Hypothèses!$V$11,Hypothèses!$W$11,IF(DL254&lt;=Hypothèses!$V$12,Hypothèses!$W$12,IF(DL254&lt;=Hypothèses!$V$13,Hypothèses!$W$13,IF(DL254&lt;=Hypothèses!$V$14,Hypothèses!$W$14,IF(DL254&lt;=Hypothèses!$V$15,Hypothèses!$W$15,IF(DL254&lt;=Hypothèses!$V$16,Hypothèses!$W$16,IF(DL254&lt;=Hypothèses!$V$17,Hypothèses!$W$17,IF(DL254&lt;=Hypothèses!$V$18,Hypothèses!$W$18,""))))))))))))</f>
        <v>#DIV/0!</v>
      </c>
      <c r="EG254" s="87" t="e">
        <f t="shared" ca="1" si="422"/>
        <v>#DIV/0!</v>
      </c>
      <c r="EH254" s="88" t="e">
        <f ca="1">IF(DL254&lt;=Hypothèses!$V$7,Hypothèses!$X$7,IF(DL254&lt;=Hypothèses!$V$8,Hypothèses!$X$8,IF(DL254&lt;=Hypothèses!$V$9,Hypothèses!$X$9,IF(DL254&lt;=Hypothèses!$V$10,Hypothèses!$X$10,IF(DL254&lt;=Hypothèses!$V$11,Hypothèses!$X$11,IF(DL254&lt;=Hypothèses!$V$12,Hypothèses!$X$12,IF(DL254&lt;=Hypothèses!$V$13,Hypothèses!$X$13,IF(DL254&lt;=Hypothèses!$V$14,Hypothèses!$X$14,IF(DL254&lt;=Hypothèses!$V$15,Hypothèses!$X$15,IF(DL254&lt;=Hypothèses!$V$16,Hypothèses!$X$16,IF(DL254&lt;=Hypothèses!$U$17,Hypothèses!$W$17,IF(DL254&lt;=Hypothèses!$U$18,Hypothèses!$W$18,""))))))))))))</f>
        <v>#DIV/0!</v>
      </c>
      <c r="EI254" s="95" t="e">
        <f t="shared" ca="1" si="393"/>
        <v>#DIV/0!</v>
      </c>
      <c r="EJ254" s="101">
        <f t="shared" si="429"/>
        <v>0</v>
      </c>
      <c r="EK254" s="91">
        <f t="shared" si="360"/>
        <v>0</v>
      </c>
      <c r="EL254" s="30" t="e">
        <f t="shared" si="412"/>
        <v>#N/A</v>
      </c>
      <c r="EM254" s="30" t="e">
        <f t="shared" si="413"/>
        <v>#N/A</v>
      </c>
      <c r="EN254" s="31" t="e">
        <f>IF(OR(Hypothèses!$B$4=17,Hypothèses!$B$4=18,Hypothèses!$B$4=19,Hypothèses!$B$4=20),
IF($D254="Pressio.",
IF(OR($E254=3,$E254=1,$E254=4),EM254,EL254),
IF($D254="Pénétro.",
IF(OR($E254=3,$E254=1,$E254=4),EM254,EL254))),IF($D254="Pressio.",
IF($E254=3,EM254,EL254),
IF($D254="Pénétro.",
IF($E254=4,EM254,EL254))))</f>
        <v>#N/A</v>
      </c>
      <c r="EO254" s="31">
        <v>0</v>
      </c>
      <c r="EP254" s="102" t="e">
        <f>IF(NDC!$H$10="Oui",(VLOOKUP($B$3,'Coeff EC7'!$T$39:$X$59,2,0)*EN254+VLOOKUP($B$3,'Coeff EC7'!$T$65:$X$85,2,0)*Model0.1T!EO254)/1.5,PI()*EL$12*$Q254*($B254-$B253)*0.15/10+EP253)</f>
        <v>#N/A</v>
      </c>
      <c r="EQ254" s="102" t="e">
        <f>(VLOOKUP($B$3,'Coeff EC7'!$T$39:$X$59,3,0)*EN254+VLOOKUP($B$3,'Coeff EC7'!$T$65:$X$85,3,0)*Model0.1T!EO254)/1.1</f>
        <v>#N/A</v>
      </c>
      <c r="ER254" s="102" t="e">
        <f t="shared" si="394"/>
        <v>#N/A</v>
      </c>
      <c r="ES254" s="102" t="e">
        <f t="shared" si="395"/>
        <v>#N/A</v>
      </c>
      <c r="ET254" s="414" t="e">
        <f>IF(AND(EP254&gt;NDC!$C$63,EQ254&gt;NDC!$C$65,ER254&gt;NDC!$D$73,ES254&gt;NDC!$D$74,$B254&gt;NDC!$H$22-0.1+MIN(3*ET$12,1.5)),0,1)</f>
        <v>#N/A</v>
      </c>
      <c r="EU254" s="86" t="b">
        <f t="shared" si="361"/>
        <v>0</v>
      </c>
      <c r="EV254" s="86">
        <f t="shared" si="362"/>
        <v>0.61</v>
      </c>
      <c r="EW254" s="86">
        <f t="shared" si="363"/>
        <v>0.61</v>
      </c>
      <c r="EX254" s="30" t="e">
        <f t="shared" ca="1" si="396"/>
        <v>#DIV/0!</v>
      </c>
      <c r="EY254" s="85" t="e">
        <f ca="1">IF(EE254&lt;=Hypothèses!$V$7,Hypothèses!$W$7,IF(EE254&lt;=Hypothèses!$V$8,Hypothèses!$W$8,IF(EE254&lt;=Hypothèses!$V$9,Hypothèses!$W$9,IF(EE254&lt;=Hypothèses!$V$10,Hypothèses!$W$10,IF(EE254&lt;=Hypothèses!$V$11,Hypothèses!$W$11,IF(EE254&lt;=Hypothèses!$V$12,Hypothèses!$W$12,IF(EE254&lt;=Hypothèses!$V$13,Hypothèses!$W$13,IF(EE254&lt;=Hypothèses!$V$14,Hypothèses!$W$14,IF(EE254&lt;=Hypothèses!$V$15,Hypothèses!$W$15,IF(EE254&lt;=Hypothèses!$V$16,Hypothèses!$W$16,IF(EE254&lt;=Hypothèses!$V$17,Hypothèses!$W$17,IF(EE254&lt;=Hypothèses!$V$18,Hypothèses!$W$18,""))))))))))))</f>
        <v>#DIV/0!</v>
      </c>
      <c r="EZ254" s="87" t="e">
        <f t="shared" ca="1" si="423"/>
        <v>#DIV/0!</v>
      </c>
      <c r="FA254" s="88" t="e">
        <f ca="1">IF(EE254&lt;=Hypothèses!$V$7,Hypothèses!$X$7,IF(EE254&lt;=Hypothèses!$V$8,Hypothèses!$X$8,IF(EE254&lt;=Hypothèses!$V$9,Hypothèses!$X$9,IF(EE254&lt;=Hypothèses!$V$10,Hypothèses!$X$10,IF(EE254&lt;=Hypothèses!$V$11,Hypothèses!$X$11,IF(EE254&lt;=Hypothèses!$V$12,Hypothèses!$X$12,IF(EE254&lt;=Hypothèses!$V$13,Hypothèses!$X$13,IF(EE254&lt;=Hypothèses!$V$14,Hypothèses!$X$14,IF(EE254&lt;=Hypothèses!$V$15,Hypothèses!$X$15,IF(EE254&lt;=Hypothèses!$V$16,Hypothèses!$X$16,IF(EE254&lt;=Hypothèses!$U$17,Hypothèses!$W$17,IF(EE254&lt;=Hypothèses!$U$18,Hypothèses!$W$18,""))))))))))))</f>
        <v>#DIV/0!</v>
      </c>
      <c r="FB254" s="95" t="e">
        <f t="shared" ca="1" si="397"/>
        <v>#DIV/0!</v>
      </c>
      <c r="FC254" s="101">
        <f t="shared" si="430"/>
        <v>0</v>
      </c>
      <c r="FD254" s="91">
        <f t="shared" si="364"/>
        <v>0</v>
      </c>
      <c r="FE254" s="30" t="e">
        <f t="shared" si="414"/>
        <v>#N/A</v>
      </c>
      <c r="FF254" s="30" t="e">
        <f t="shared" si="415"/>
        <v>#N/A</v>
      </c>
      <c r="FG254" s="31" t="e">
        <f>IF(OR(Hypothèses!$B$4=17,Hypothèses!$B$4=18,Hypothèses!$B$4=19,Hypothèses!$B$4=20),
IF($D254="Pressio.",
IF(OR($E254=3,$E254=1,$E254=4),FF254,FE254),
IF($D254="Pénétro.",
IF(OR($E254=3,$E254=1,$E254=4),FF254,FE254))),IF($D254="Pressio.",
IF($E254=3,FF254,FE254),
IF($D254="Pénétro.",
IF($E254=4,FF254,FE254))))</f>
        <v>#N/A</v>
      </c>
      <c r="FH254" s="31">
        <v>0</v>
      </c>
      <c r="FI254" s="102" t="e">
        <f>IF(NDC!$H$10="Oui",(VLOOKUP($B$3,'Coeff EC7'!$T$39:$X$59,2,0)*FG254+VLOOKUP($B$3,'Coeff EC7'!$T$65:$X$85,2,0)*Model0.1T!FH254)/1.5,PI()*FE$12*$Q254*($B254-$B253)*0.15/10+FI253)</f>
        <v>#N/A</v>
      </c>
      <c r="FJ254" s="102" t="e">
        <f>(VLOOKUP($B$3,'Coeff EC7'!$T$39:$X$59,3,0)*FG254+VLOOKUP($B$3,'Coeff EC7'!$T$65:$X$85,3,0)*Model0.1T!FH254)/1.1</f>
        <v>#N/A</v>
      </c>
      <c r="FK254" s="102" t="e">
        <f t="shared" si="398"/>
        <v>#N/A</v>
      </c>
      <c r="FL254" s="102" t="e">
        <f t="shared" si="399"/>
        <v>#N/A</v>
      </c>
      <c r="FM254" s="414" t="e">
        <f>IF(AND(FI254&gt;NDC!$C$63,FJ254&gt;NDC!$C$65,FK254&gt;NDC!$D$73,FL254&gt;NDC!$D$74,$B254&gt;NDC!$H$22-0.1+MIN(3*FM$12,1.5)),0,1)</f>
        <v>#N/A</v>
      </c>
    </row>
    <row r="255" spans="1:169">
      <c r="A255" s="96">
        <f t="shared" si="365"/>
        <v>75.800000000001376</v>
      </c>
      <c r="B255" s="97">
        <v>24.2</v>
      </c>
      <c r="C255" s="81">
        <f>IF(B255&lt;=Hypothèses!$C$7,Hypothèses!$A$7,IF(B255&lt;=Hypothèses!$C$8,Hypothèses!$A$8,IF(B255&lt;=Hypothèses!$C$9,Hypothèses!$A$9,IF(B255&lt;=Hypothèses!$C$10,Hypothèses!$A$10,IF(B255&lt;=Hypothèses!$C$11,Hypothèses!$A$11,IF(B255&lt;=Hypothèses!$C$12,Hypothèses!$A$12,IF(B255&lt;=Hypothèses!$C$13,Hypothèses!$A$13,IF(B255&lt;=Hypothèses!$C$14,Hypothèses!$A$14,IF(B255&lt;=Hypothèses!$C$15,Hypothèses!$A$15,IF(B255&lt;=Hypothèses!$C$16,Hypothèses!$A$16,IF(B255&lt;=Hypothèses!$C$17,Hypothèses!$A$17,IF(B255&lt;=Hypothèses!$C$18,Hypothèses!$A$18,C254))))))))))))</f>
        <v>11</v>
      </c>
      <c r="D255" s="82" t="str">
        <f>IF(B255&lt;=Hypothèses!$C$7,Hypothèses!$R$7,IF(B255&lt;=Hypothèses!$C$8,Hypothèses!$R$8,IF(B255&lt;=Hypothèses!$C$9,Hypothèses!$R$9,IF(B255&lt;=Hypothèses!$C$10,Hypothèses!$R$10,IF(B255&lt;=Hypothèses!$C$11,Hypothèses!$R$11,IF(B255&lt;=Hypothèses!$C$12,Hypothèses!$R$12,IF(B255&lt;=Hypothèses!$C$13,Hypothèses!$R$13,IF(B255&lt;=Hypothèses!$C$14,Hypothèses!$R$14,IF(B255&lt;=Hypothèses!$C$15,Hypothèses!$R$15,IF(B255&lt;=Hypothèses!$C$16,Hypothèses!$R$16,IF(B255&lt;=Hypothèses!$C$17,Hypothèses!$R$17,IF(B255&lt;=Hypothèses!$C$18,Hypothèses!$R$18,D254))))))))))))</f>
        <v>Pressio.</v>
      </c>
      <c r="E255" s="82" t="e">
        <f>IF(B255&lt;=Hypothèses!$C$7,Hypothèses!$G$7,IF(B255&lt;=Hypothèses!$C$8,Hypothèses!$G$8,IF(B255&lt;=Hypothèses!$C$9,Hypothèses!$G$9,IF(B255&lt;=Hypothèses!$C$10,Hypothèses!$G$10,IF(B255&lt;=Hypothèses!$C$11,Hypothèses!$G$11,IF(B255&lt;=Hypothèses!$C$12,Hypothèses!$G$12,IF(B255&lt;=Hypothèses!$C$13,Hypothèses!$G$13,IF(B255&lt;=Hypothèses!$C$14,Hypothèses!$G$14,IF(B255&lt;=Hypothèses!$C$15,Hypothèses!$G$15,IF(B255&lt;=Hypothèses!$C$16,Hypothèses!$G$16,IF(B255&lt;=Hypothèses!$C$17,Hypothèses!$G$17,IF(B255&lt;=Hypothèses!$C$18,Hypothèses!$G$18,E254))))))))))))</f>
        <v>#N/A</v>
      </c>
      <c r="F255" s="82" t="str">
        <f>IF(B255&lt;=Hypothèses!$C$7,Hypothèses!$F$7,IF(B255&lt;=Hypothèses!$C$8,Hypothèses!$F$8,IF(B255&lt;=Hypothèses!$C$9,Hypothèses!$F$9,IF(B255&lt;=Hypothèses!$C$10,Hypothèses!$F$10,IF(B255&lt;=Hypothèses!$C$11,Hypothèses!$F$11,IF(B255&lt;=Hypothèses!$C$12,Hypothèses!$F$12,IF(B255&lt;=Hypothèses!$C$13,Hypothèses!$F$13,IF(B255&lt;=Hypothèses!$C$14,Hypothèses!$F$14,IF(B255&lt;=Hypothèses!$C$15,Hypothèses!$F$15,IF(B255&lt;=Hypothèses!$C$16,Hypothèses!$F$16,IF(B255&lt;=Hypothèses!$C$17,Hypothèses!$F$17,IF(B255&lt;=Hypothèses!$C$18,Hypothèses!$F$18,F254))))))))))))</f>
        <v/>
      </c>
      <c r="G255" s="91">
        <f t="array" ref="G255">INDEX('Coeff EC7'!$U$7:$X$27,
MATCH(Model0.1T!$B$3,'Coeff EC7'!$T$7:$T$27,0),
MATCH(Model0.1T!$D255&amp;Model0.1T!$B$4,
'Coeff EC7'!$U$6:$X$6&amp;
'Coeff EC7'!$U$5:$X$5,0))</f>
        <v>1.4</v>
      </c>
      <c r="H255" s="91">
        <f t="array" ref="H255">INDEX('Coeff EC7'!$Y$7:$AB$27,
MATCH(Model0.1T!$B$3,'Coeff EC7'!$T$7:$T$27,0),
MATCH(Model0.1T!$D255&amp;Model0.1T!$B$4,
'Coeff EC7'!$Y$6:$AB$6&amp;
'Coeff EC7'!$Y$5:$AB$5,0))</f>
        <v>1.7</v>
      </c>
      <c r="I255" s="83">
        <v>0</v>
      </c>
      <c r="J255" s="91" t="e">
        <f t="array" ref="J255">INDEX('Coeff EC7'!$D$33:$Q$33,1,MATCH(D255&amp;E255,'Coeff EC7'!$D$31:$Q$31&amp;'Coeff EC7'!$D$32:$Q$32,0))</f>
        <v>#N/A</v>
      </c>
      <c r="K255" s="91" t="e">
        <f t="array" ref="K255">INDEX('Coeff EC7'!$D$34:$Q$34,1,MATCH(D255&amp;E255,'Coeff EC7'!$D$31:$Q$31&amp;'Coeff EC7'!$D$32:$Q$32,0))</f>
        <v>#N/A</v>
      </c>
      <c r="L255" s="91" t="e">
        <f t="array" ref="L255">INDEX('Coeff EC7'!$D$35:$Q$35,1,MATCH(D255&amp;E255,'Coeff EC7'!$D$31:$Q$31&amp;'Coeff EC7'!$D$32:$Q$32,0))</f>
        <v>#N/A</v>
      </c>
      <c r="M255" s="98" t="e">
        <f t="shared" si="331"/>
        <v>#N/A</v>
      </c>
      <c r="N255" s="99" t="e">
        <f t="array" ref="N255">INDEX('Coeff EC7'!$D$7:$Q$27,MATCH($B$3,'Coeff EC7'!$C$7:$C$27,0),MATCH(D255&amp;E255,'Coeff EC7'!$D$5:$Q$5&amp;'Coeff EC7'!$D$6:$Q$6,0))</f>
        <v>#N/A</v>
      </c>
      <c r="O255" s="99" t="e">
        <f t="array" ref="O255">INDEX('Coeff EC7'!$D$41:$Q$61,MATCH($B$3,'Coeff EC7'!$C$41:$C$61,0),MATCH(D255&amp;E255,'Coeff EC7'!$D$39:$Q$39&amp;'Coeff EC7'!$D$40:$Q$40,0))</f>
        <v>#N/A</v>
      </c>
      <c r="P255" s="30" t="e">
        <f t="shared" si="366"/>
        <v>#N/A</v>
      </c>
      <c r="Q255" s="100" t="e">
        <f t="shared" si="333"/>
        <v>#N/A</v>
      </c>
      <c r="R255" s="86" t="b">
        <f t="shared" si="334"/>
        <v>0</v>
      </c>
      <c r="S255" s="86">
        <f t="shared" si="332"/>
        <v>0.5</v>
      </c>
      <c r="T255" s="86">
        <f t="shared" si="335"/>
        <v>0.5</v>
      </c>
      <c r="U255" s="30" t="e">
        <f t="shared" ca="1" si="367"/>
        <v>#DIV/0!</v>
      </c>
      <c r="V255" s="85" t="str">
        <f>IF(B255&lt;=Hypothèses!$V$7,Hypothèses!$W$7,IF(B255&lt;=Hypothèses!$V$8,Hypothèses!$W$8,IF(B255&lt;=Hypothèses!$V$9,Hypothèses!$W$9,IF(B255&lt;=Hypothèses!$V$10,Hypothèses!$W$10,IF(B255&lt;=Hypothèses!$V$11,Hypothèses!$W$11,IF(B255&lt;=Hypothèses!$V$12,Hypothèses!$W$12,IF(B255&lt;=Hypothèses!$V$13,Hypothèses!$W$13,IF(B255&lt;=Hypothèses!$V$14,Hypothèses!$W$14,IF(B255&lt;=Hypothèses!$V$15,Hypothèses!$W$15,IF(B255&lt;=Hypothèses!$V$16,Hypothèses!$W$16,IF(B255&lt;=Hypothèses!$V$17,Hypothèses!$W$17,IF(B255&lt;=Hypothèses!$V$18,Hypothèses!$W$18,""))))))))))))</f>
        <v/>
      </c>
      <c r="W255" s="87" t="e">
        <f t="shared" ca="1" si="416"/>
        <v>#DIV/0!</v>
      </c>
      <c r="X255" s="88" t="str">
        <f>IF(B255&lt;=Hypothèses!$V$7,Hypothèses!$X$7,IF(B255&lt;=Hypothèses!$V$8,Hypothèses!$X$8,IF(B255&lt;=Hypothèses!$V$9,Hypothèses!$X$9,IF(B255&lt;=Hypothèses!$V$10,Hypothèses!$X$10,IF(B255&lt;=Hypothèses!$V$11,Hypothèses!$X$11,IF(B255&lt;=Hypothèses!$V$12,Hypothèses!$X$12,IF(B255&lt;=Hypothèses!$V$13,Hypothèses!$X$13,IF(B255&lt;=Hypothèses!$V$14,Hypothèses!$X$14,IF(B255&lt;=Hypothèses!$V$15,Hypothèses!$X$15,IF(B255&lt;=Hypothèses!$V$16,Hypothèses!$X$16,IF(B255&lt;=Hypothèses!$U$17,Hypothèses!$W$17,IF(B255&lt;=Hypothèses!$U$18,Hypothèses!$W$18,""))))))))))))</f>
        <v/>
      </c>
      <c r="Y255" s="95" t="e">
        <f t="shared" ca="1" si="336"/>
        <v>#DIV/0!</v>
      </c>
      <c r="Z255" s="101">
        <f t="shared" si="337"/>
        <v>0</v>
      </c>
      <c r="AA255" s="91">
        <f t="shared" si="338"/>
        <v>0</v>
      </c>
      <c r="AB255" s="30" t="e">
        <f t="shared" si="400"/>
        <v>#N/A</v>
      </c>
      <c r="AC255" s="30" t="e">
        <f t="shared" si="401"/>
        <v>#N/A</v>
      </c>
      <c r="AD255" s="31" t="e">
        <f>IF(OR(Hypothèses!$B$4=17,Hypothèses!$B$4=18,Hypothèses!$B$4=19,Hypothèses!$B$4=20),
IF($D255="Pressio.",
IF(OR($E255=3,$E255=1,$E255=4),AC255,AB255),
IF($D255="Pénétro.",
IF(OR($E255=3,$E255=1,$E255=4),AC255,AB255))),IF($D255="Pressio.",
IF($E255=3,AC255,AB255),
IF($D255="Pénétro.",
IF($E255=4,AC255,AB255))))</f>
        <v>#N/A</v>
      </c>
      <c r="AE255" s="31">
        <v>0</v>
      </c>
      <c r="AF255" s="102" t="e">
        <f>IF(NDC!$H$10="Oui",(VLOOKUP($B$3,'Coeff EC7'!$T$39:$X$59,2,0)*AD255+VLOOKUP($B$3,'Coeff EC7'!$T$65:$X$85,2,0)*Model0.1T!AE255)/1.5,PI()*AB$12*$Q255*($B255-$B254)*0.15/10+AF254)</f>
        <v>#N/A</v>
      </c>
      <c r="AG255" s="102" t="e">
        <f>(VLOOKUP($B$3,'Coeff EC7'!$T$39:$X$59,3,0)*AD255+VLOOKUP($B$3,'Coeff EC7'!$T$65:$X$85,3,0)*Model0.1T!AE255)/1.1</f>
        <v>#N/A</v>
      </c>
      <c r="AH255" s="102" t="e">
        <f t="shared" si="368"/>
        <v>#N/A</v>
      </c>
      <c r="AI255" s="102" t="e">
        <f t="shared" si="369"/>
        <v>#N/A</v>
      </c>
      <c r="AJ255" s="414" t="e">
        <f>IF(AND(AF255&gt;NDC!$C$63,AG255&gt;NDC!$C$65,AH255&gt;NDC!$D$73,AI255&gt;NDC!$D$74,$B255&gt;NDC!$H$22-0.1+MIN(3*$AJ$12,1.5)),0,1)</f>
        <v>#N/A</v>
      </c>
      <c r="AK255" s="86" t="b">
        <f t="shared" si="339"/>
        <v>0</v>
      </c>
      <c r="AL255" s="86">
        <f t="shared" si="370"/>
        <v>0.5</v>
      </c>
      <c r="AM255" s="86">
        <f t="shared" si="340"/>
        <v>0.5</v>
      </c>
      <c r="AN255" s="30" t="e">
        <f t="shared" ca="1" si="371"/>
        <v>#DIV/0!</v>
      </c>
      <c r="AO255" s="85" t="e">
        <f ca="1">IF(U255&lt;=Hypothèses!$V$7,Hypothèses!$W$7,IF(U255&lt;=Hypothèses!$V$8,Hypothèses!$W$8,IF(U255&lt;=Hypothèses!$V$9,Hypothèses!$W$9,IF(U255&lt;=Hypothèses!$V$10,Hypothèses!$W$10,IF(U255&lt;=Hypothèses!$V$11,Hypothèses!$W$11,IF(U255&lt;=Hypothèses!$V$12,Hypothèses!$W$12,IF(U255&lt;=Hypothèses!$V$13,Hypothèses!$W$13,IF(U255&lt;=Hypothèses!$V$14,Hypothèses!$W$14,IF(U255&lt;=Hypothèses!$V$15,Hypothèses!$W$15,IF(U255&lt;=Hypothèses!$V$16,Hypothèses!$W$16,IF(U255&lt;=Hypothèses!$V$17,Hypothèses!$W$17,IF(U255&lt;=Hypothèses!$V$18,Hypothèses!$W$18,""))))))))))))</f>
        <v>#DIV/0!</v>
      </c>
      <c r="AP255" s="87" t="e">
        <f t="shared" ca="1" si="417"/>
        <v>#DIV/0!</v>
      </c>
      <c r="AQ255" s="88" t="e">
        <f ca="1">IF(U255&lt;=Hypothèses!$V$7,Hypothèses!$X$7,IF(U255&lt;=Hypothèses!$V$8,Hypothèses!$X$8,IF(U255&lt;=Hypothèses!$V$9,Hypothèses!$X$9,IF(U255&lt;=Hypothèses!$V$10,Hypothèses!$X$10,IF(U255&lt;=Hypothèses!$V$11,Hypothèses!$X$11,IF(U255&lt;=Hypothèses!$V$12,Hypothèses!$X$12,IF(U255&lt;=Hypothèses!$V$13,Hypothèses!$X$13,IF(U255&lt;=Hypothèses!$V$14,Hypothèses!$X$14,IF(U255&lt;=Hypothèses!$V$15,Hypothèses!$X$15,IF(U255&lt;=Hypothèses!$V$16,Hypothèses!$X$16,IF(U255&lt;=Hypothèses!$U$17,Hypothèses!$W$17,IF(U255&lt;=Hypothèses!$U$18,Hypothèses!$W$18,""))))))))))))</f>
        <v>#DIV/0!</v>
      </c>
      <c r="AR255" s="95" t="e">
        <f t="shared" ca="1" si="372"/>
        <v>#DIV/0!</v>
      </c>
      <c r="AS255" s="101">
        <f t="shared" si="424"/>
        <v>0</v>
      </c>
      <c r="AT255" s="91">
        <f t="shared" si="341"/>
        <v>0</v>
      </c>
      <c r="AU255" s="30" t="e">
        <f t="shared" si="402"/>
        <v>#N/A</v>
      </c>
      <c r="AV255" s="30" t="e">
        <f t="shared" si="403"/>
        <v>#N/A</v>
      </c>
      <c r="AW255" s="31" t="e">
        <f>IF(OR(Hypothèses!$B$4=17,Hypothèses!$B$4=18,Hypothèses!$B$4=19,Hypothèses!$B$4=20),
IF($D255="Pressio.",
IF(OR($E255=3,$E255=1,$E255=4),AV255,AU255),
IF($D255="Pénétro.",
IF(OR($E255=3,$E255=1,$E255=4),AV255,AU255))),IF($D255="Pressio.",
IF($E255=3,AV255,AU255),
IF($D255="Pénétro.",
IF($E255=4,AV255,AU255))))</f>
        <v>#N/A</v>
      </c>
      <c r="AX255" s="31">
        <v>0</v>
      </c>
      <c r="AY255" s="102" t="e">
        <f>IF(NDC!$H$10="Oui",(VLOOKUP($B$3,'Coeff EC7'!$T$39:$X$59,2,0)*AW255+VLOOKUP($B$3,'Coeff EC7'!$T$65:$X$85,2,0)*Model0.1T!AX255)/1.5,PI()*AU$12*$Q255*($B255-$B254)*0.15/10+AY254)</f>
        <v>#N/A</v>
      </c>
      <c r="AZ255" s="102" t="e">
        <f>(VLOOKUP($B$3,'Coeff EC7'!$T$39:$X$59,3,0)*AW255+VLOOKUP($B$3,'Coeff EC7'!$T$65:$X$85,3,0)*Model0.1T!AX255)/1.1</f>
        <v>#N/A</v>
      </c>
      <c r="BA255" s="102" t="e">
        <f t="shared" si="373"/>
        <v>#N/A</v>
      </c>
      <c r="BB255" s="102" t="e">
        <f t="shared" si="374"/>
        <v>#N/A</v>
      </c>
      <c r="BC255" s="414" t="e">
        <f>IF(AND(AY255&gt;NDC!$C$63,AZ255&gt;NDC!$C$65,BA255&gt;NDC!$D$73,BB255&gt;NDC!$D$74,$B255&gt;NDC!$H$22-0.1+MIN(3*BC$12,1.5)),0,1)</f>
        <v>#N/A</v>
      </c>
      <c r="BD255" s="86" t="b">
        <f t="shared" si="342"/>
        <v>0</v>
      </c>
      <c r="BE255" s="86">
        <f t="shared" si="375"/>
        <v>0.5</v>
      </c>
      <c r="BF255" s="86">
        <f t="shared" si="343"/>
        <v>0.5</v>
      </c>
      <c r="BG255" s="30" t="e">
        <f t="shared" ca="1" si="376"/>
        <v>#DIV/0!</v>
      </c>
      <c r="BH255" s="85" t="e">
        <f ca="1">IF(AN255&lt;=Hypothèses!$V$7,Hypothèses!$W$7,IF(AN255&lt;=Hypothèses!$V$8,Hypothèses!$W$8,IF(AN255&lt;=Hypothèses!$V$9,Hypothèses!$W$9,IF(AN255&lt;=Hypothèses!$V$10,Hypothèses!$W$10,IF(AN255&lt;=Hypothèses!$V$11,Hypothèses!$W$11,IF(AN255&lt;=Hypothèses!$V$12,Hypothèses!$W$12,IF(AN255&lt;=Hypothèses!$V$13,Hypothèses!$W$13,IF(AN255&lt;=Hypothèses!$V$14,Hypothèses!$W$14,IF(AN255&lt;=Hypothèses!$V$15,Hypothèses!$W$15,IF(AN255&lt;=Hypothèses!$V$16,Hypothèses!$W$16,IF(AN255&lt;=Hypothèses!$V$17,Hypothèses!$W$17,IF(AN255&lt;=Hypothèses!$V$18,Hypothèses!$W$18,""))))))))))))</f>
        <v>#DIV/0!</v>
      </c>
      <c r="BI255" s="87" t="e">
        <f t="shared" ca="1" si="418"/>
        <v>#DIV/0!</v>
      </c>
      <c r="BJ255" s="88" t="e">
        <f ca="1">IF(AN255&lt;=Hypothèses!$V$7,Hypothèses!$X$7,IF(AN255&lt;=Hypothèses!$V$8,Hypothèses!$X$8,IF(AN255&lt;=Hypothèses!$V$9,Hypothèses!$X$9,IF(AN255&lt;=Hypothèses!$V$10,Hypothèses!$X$10,IF(AN255&lt;=Hypothèses!$V$11,Hypothèses!$X$11,IF(AN255&lt;=Hypothèses!$V$12,Hypothèses!$X$12,IF(AN255&lt;=Hypothèses!$V$13,Hypothèses!$X$13,IF(AN255&lt;=Hypothèses!$V$14,Hypothèses!$X$14,IF(AN255&lt;=Hypothèses!$V$15,Hypothèses!$X$15,IF(AN255&lt;=Hypothèses!$V$16,Hypothèses!$X$16,IF(AN255&lt;=Hypothèses!$U$17,Hypothèses!$W$17,IF(AN255&lt;=Hypothèses!$U$18,Hypothèses!$W$18,""))))))))))))</f>
        <v>#DIV/0!</v>
      </c>
      <c r="BK255" s="95" t="e">
        <f t="shared" ca="1" si="377"/>
        <v>#DIV/0!</v>
      </c>
      <c r="BL255" s="101">
        <f t="shared" si="425"/>
        <v>0</v>
      </c>
      <c r="BM255" s="91">
        <f t="shared" si="344"/>
        <v>0</v>
      </c>
      <c r="BN255" s="30" t="e">
        <f t="shared" si="404"/>
        <v>#N/A</v>
      </c>
      <c r="BO255" s="30" t="e">
        <f t="shared" si="405"/>
        <v>#N/A</v>
      </c>
      <c r="BP255" s="31" t="e">
        <f>IF(OR(Hypothèses!$B$4=17,Hypothèses!$B$4=18,Hypothèses!$B$4=19,Hypothèses!$B$4=20),
IF($D255="Pressio.",
IF(OR($E255=3,$E255=1,$E255=4),BO255,BN255),
IF($D255="Pénétro.",
IF(OR($E255=3,$E255=1,$E255=4),BO255,BN255))),IF($D255="Pressio.",
IF($E255=3,BO255,BN255),
IF($D255="Pénétro.",
IF($E255=4,BO255,BN255))))</f>
        <v>#N/A</v>
      </c>
      <c r="BQ255" s="31">
        <v>0</v>
      </c>
      <c r="BR255" s="102" t="e">
        <f>IF(NDC!$H$10="Oui",(VLOOKUP($B$3,'Coeff EC7'!$T$39:$X$59,2,0)*BP255+VLOOKUP($B$3,'Coeff EC7'!$T$65:$X$85,2,0)*Model0.1T!BQ255)/1.5,PI()*BN$12*$Q255*($B255-$B254)*0.15/10+BR254)</f>
        <v>#N/A</v>
      </c>
      <c r="BS255" s="102" t="e">
        <f>(VLOOKUP($B$3,'Coeff EC7'!$T$39:$X$59,3,0)*BP255+VLOOKUP($B$3,'Coeff EC7'!$T$65:$X$85,3,0)*Model0.1T!BQ255)/1.1</f>
        <v>#N/A</v>
      </c>
      <c r="BT255" s="102" t="e">
        <f t="shared" si="378"/>
        <v>#N/A</v>
      </c>
      <c r="BU255" s="102" t="e">
        <f t="shared" si="379"/>
        <v>#N/A</v>
      </c>
      <c r="BV255" s="414" t="e">
        <f>IF(AND(BR255&gt;NDC!$C$63,BS255&gt;NDC!$C$65,BT255&gt;NDC!$D$73,BU255&gt;NDC!$D$74,$B255&gt;NDC!$H$22-0.1+MIN(3*BV$12,1.5)),0,1)</f>
        <v>#N/A</v>
      </c>
      <c r="BW255" s="86" t="b">
        <f t="shared" si="345"/>
        <v>0</v>
      </c>
      <c r="BX255" s="86">
        <f t="shared" si="346"/>
        <v>0.5</v>
      </c>
      <c r="BY255" s="86">
        <f t="shared" si="347"/>
        <v>0.5</v>
      </c>
      <c r="BZ255" s="30" t="e">
        <f t="shared" ca="1" si="380"/>
        <v>#DIV/0!</v>
      </c>
      <c r="CA255" s="85" t="e">
        <f ca="1">IF(BG255&lt;=Hypothèses!$V$7,Hypothèses!$W$7,IF(BG255&lt;=Hypothèses!$V$8,Hypothèses!$W$8,IF(BG255&lt;=Hypothèses!$V$9,Hypothèses!$W$9,IF(BG255&lt;=Hypothèses!$V$10,Hypothèses!$W$10,IF(BG255&lt;=Hypothèses!$V$11,Hypothèses!$W$11,IF(BG255&lt;=Hypothèses!$V$12,Hypothèses!$W$12,IF(BG255&lt;=Hypothèses!$V$13,Hypothèses!$W$13,IF(BG255&lt;=Hypothèses!$V$14,Hypothèses!$W$14,IF(BG255&lt;=Hypothèses!$V$15,Hypothèses!$W$15,IF(BG255&lt;=Hypothèses!$V$16,Hypothèses!$W$16,IF(BG255&lt;=Hypothèses!$V$17,Hypothèses!$W$17,IF(BG255&lt;=Hypothèses!$V$18,Hypothèses!$W$18,""))))))))))))</f>
        <v>#DIV/0!</v>
      </c>
      <c r="CB255" s="87" t="e">
        <f t="shared" ca="1" si="419"/>
        <v>#DIV/0!</v>
      </c>
      <c r="CC255" s="88" t="e">
        <f ca="1">IF(BG255&lt;=Hypothèses!$V$7,Hypothèses!$X$7,IF(BG255&lt;=Hypothèses!$V$8,Hypothèses!$X$8,IF(BG255&lt;=Hypothèses!$V$9,Hypothèses!$X$9,IF(BG255&lt;=Hypothèses!$V$10,Hypothèses!$X$10,IF(BG255&lt;=Hypothèses!$V$11,Hypothèses!$X$11,IF(BG255&lt;=Hypothèses!$V$12,Hypothèses!$X$12,IF(BG255&lt;=Hypothèses!$V$13,Hypothèses!$X$13,IF(BG255&lt;=Hypothèses!$V$14,Hypothèses!$X$14,IF(BG255&lt;=Hypothèses!$V$15,Hypothèses!$X$15,IF(BG255&lt;=Hypothèses!$V$16,Hypothèses!$X$16,IF(BG255&lt;=Hypothèses!$U$17,Hypothèses!$W$17,IF(BG255&lt;=Hypothèses!$U$18,Hypothèses!$W$18,""))))))))))))</f>
        <v>#DIV/0!</v>
      </c>
      <c r="CD255" s="95" t="e">
        <f t="shared" ca="1" si="381"/>
        <v>#DIV/0!</v>
      </c>
      <c r="CE255" s="101">
        <f t="shared" si="426"/>
        <v>0</v>
      </c>
      <c r="CF255" s="91">
        <f t="shared" si="348"/>
        <v>0</v>
      </c>
      <c r="CG255" s="30" t="e">
        <f t="shared" si="406"/>
        <v>#N/A</v>
      </c>
      <c r="CH255" s="30" t="e">
        <f t="shared" si="407"/>
        <v>#N/A</v>
      </c>
      <c r="CI255" s="31" t="e">
        <f>IF(OR(Hypothèses!$B$4=17,Hypothèses!$B$4=18,Hypothèses!$B$4=19,Hypothèses!$B$4=20),
IF($D255="Pressio.",
IF(OR($E255=3,$E255=1,$E255=4),CH255,CG255),
IF($D255="Pénétro.",
IF(OR($E255=3,$E255=1,$E255=4),CH255,CG255))),IF($D255="Pressio.",
IF($E255=3,CH255,CG255),
IF($D255="Pénétro.",
IF($E255=4,CH255,CG255))))</f>
        <v>#N/A</v>
      </c>
      <c r="CJ255" s="31">
        <v>0</v>
      </c>
      <c r="CK255" s="102" t="e">
        <f>IF(NDC!$H$10="Oui",(VLOOKUP($B$3,'Coeff EC7'!$T$39:$X$59,2,0)*CI255+VLOOKUP($B$3,'Coeff EC7'!$T$65:$X$85,2,0)*Model0.1T!CJ255)/1.5,PI()*CG$12*$Q255*($B255-$B254)*0.15/10+CK254)</f>
        <v>#N/A</v>
      </c>
      <c r="CL255" s="102" t="e">
        <f>(VLOOKUP($B$3,'Coeff EC7'!$T$39:$X$59,3,0)*CI255+VLOOKUP($B$3,'Coeff EC7'!$T$65:$X$85,3,0)*Model0.1T!CJ255)/1.1</f>
        <v>#N/A</v>
      </c>
      <c r="CM255" s="102" t="e">
        <f t="shared" si="382"/>
        <v>#N/A</v>
      </c>
      <c r="CN255" s="102" t="e">
        <f t="shared" si="383"/>
        <v>#N/A</v>
      </c>
      <c r="CO255" s="414" t="e">
        <f>IF(AND(CK255&gt;NDC!$C$63,CL255&gt;NDC!$C$65,CM255&gt;NDC!$D$73,CN255&gt;NDC!$D$74,$B255&gt;NDC!$H$22-0.1+MIN(3*CO$12,1.5)),0,1)</f>
        <v>#N/A</v>
      </c>
      <c r="CP255" s="86" t="b">
        <f t="shared" si="349"/>
        <v>0</v>
      </c>
      <c r="CQ255" s="86">
        <f t="shared" si="350"/>
        <v>0.5</v>
      </c>
      <c r="CR255" s="86">
        <f t="shared" si="351"/>
        <v>0.5</v>
      </c>
      <c r="CS255" s="30" t="e">
        <f t="shared" ca="1" si="384"/>
        <v>#DIV/0!</v>
      </c>
      <c r="CT255" s="85" t="e">
        <f ca="1">IF(BZ255&lt;=Hypothèses!$V$7,Hypothèses!$W$7,IF(BZ255&lt;=Hypothèses!$V$8,Hypothèses!$W$8,IF(BZ255&lt;=Hypothèses!$V$9,Hypothèses!$W$9,IF(BZ255&lt;=Hypothèses!$V$10,Hypothèses!$W$10,IF(BZ255&lt;=Hypothèses!$V$11,Hypothèses!$W$11,IF(BZ255&lt;=Hypothèses!$V$12,Hypothèses!$W$12,IF(BZ255&lt;=Hypothèses!$V$13,Hypothèses!$W$13,IF(BZ255&lt;=Hypothèses!$V$14,Hypothèses!$W$14,IF(BZ255&lt;=Hypothèses!$V$15,Hypothèses!$W$15,IF(BZ255&lt;=Hypothèses!$V$16,Hypothèses!$W$16,IF(BZ255&lt;=Hypothèses!$V$17,Hypothèses!$W$17,IF(BZ255&lt;=Hypothèses!$V$18,Hypothèses!$W$18,""))))))))))))</f>
        <v>#DIV/0!</v>
      </c>
      <c r="CU255" s="87" t="e">
        <f t="shared" ca="1" si="420"/>
        <v>#DIV/0!</v>
      </c>
      <c r="CV255" s="88" t="e">
        <f ca="1">IF(BZ255&lt;=Hypothèses!$V$7,Hypothèses!$X$7,IF(BZ255&lt;=Hypothèses!$V$8,Hypothèses!$X$8,IF(BZ255&lt;=Hypothèses!$V$9,Hypothèses!$X$9,IF(BZ255&lt;=Hypothèses!$V$10,Hypothèses!$X$10,IF(BZ255&lt;=Hypothèses!$V$11,Hypothèses!$X$11,IF(BZ255&lt;=Hypothèses!$V$12,Hypothèses!$X$12,IF(BZ255&lt;=Hypothèses!$V$13,Hypothèses!$X$13,IF(BZ255&lt;=Hypothèses!$V$14,Hypothèses!$X$14,IF(BZ255&lt;=Hypothèses!$V$15,Hypothèses!$X$15,IF(BZ255&lt;=Hypothèses!$V$16,Hypothèses!$X$16,IF(BZ255&lt;=Hypothèses!$U$17,Hypothèses!$W$17,IF(BZ255&lt;=Hypothèses!$U$18,Hypothèses!$W$18,""))))))))))))</f>
        <v>#DIV/0!</v>
      </c>
      <c r="CW255" s="95" t="e">
        <f t="shared" ca="1" si="385"/>
        <v>#DIV/0!</v>
      </c>
      <c r="CX255" s="101">
        <f t="shared" si="427"/>
        <v>0</v>
      </c>
      <c r="CY255" s="91">
        <f t="shared" si="352"/>
        <v>0</v>
      </c>
      <c r="CZ255" s="30" t="e">
        <f t="shared" si="408"/>
        <v>#N/A</v>
      </c>
      <c r="DA255" s="30" t="e">
        <f t="shared" si="409"/>
        <v>#N/A</v>
      </c>
      <c r="DB255" s="31" t="e">
        <f>IF(OR(Hypothèses!$B$4=17,Hypothèses!$B$4=18,Hypothèses!$B$4=19,Hypothèses!$B$4=20),
IF($D255="Pressio.",
IF(OR($E255=3,$E255=1,$E255=4),DA255,CZ255),
IF($D255="Pénétro.",
IF(OR($E255=3,$E255=1,$E255=4),DA255,CZ255))),IF($D255="Pressio.",
IF($E255=3,DA255,CZ255),
IF($D255="Pénétro.",
IF($E255=4,DA255,CZ255))))</f>
        <v>#N/A</v>
      </c>
      <c r="DC255" s="31">
        <v>0</v>
      </c>
      <c r="DD255" s="102" t="e">
        <f>IF(NDC!$H$10="Oui",(VLOOKUP($B$3,'Coeff EC7'!$T$39:$X$59,2,0)*DB255+VLOOKUP($B$3,'Coeff EC7'!$T$65:$X$85,2,0)*Model0.1T!DC255)/1.5,PI()*CZ$12*$Q255*($B255-$B254)*0.15/10+DD254)</f>
        <v>#N/A</v>
      </c>
      <c r="DE255" s="102" t="e">
        <f>(VLOOKUP($B$3,'Coeff EC7'!$T$39:$X$59,3,0)*DB255+VLOOKUP($B$3,'Coeff EC7'!$T$65:$X$85,3,0)*Model0.1T!DC255)/1.1</f>
        <v>#N/A</v>
      </c>
      <c r="DF255" s="102" t="e">
        <f t="shared" si="386"/>
        <v>#N/A</v>
      </c>
      <c r="DG255" s="102" t="e">
        <f t="shared" si="387"/>
        <v>#N/A</v>
      </c>
      <c r="DH255" s="414" t="e">
        <f>IF(AND(DD255&gt;NDC!$C$63,DE255&gt;NDC!$C$65,DF255&gt;NDC!$D$73,DG255&gt;NDC!$D$74,$B255&gt;NDC!$H$22-0.1+MIN(3*DH$12,1.5)),0,1)</f>
        <v>#N/A</v>
      </c>
      <c r="DI255" s="86" t="b">
        <f t="shared" si="353"/>
        <v>0</v>
      </c>
      <c r="DJ255" s="86">
        <f t="shared" si="354"/>
        <v>0.5</v>
      </c>
      <c r="DK255" s="86">
        <f t="shared" si="355"/>
        <v>0.5</v>
      </c>
      <c r="DL255" s="30" t="e">
        <f t="shared" ca="1" si="388"/>
        <v>#DIV/0!</v>
      </c>
      <c r="DM255" s="85" t="e">
        <f ca="1">IF(CS255&lt;=Hypothèses!$V$7,Hypothèses!$W$7,IF(CS255&lt;=Hypothèses!$V$8,Hypothèses!$W$8,IF(CS255&lt;=Hypothèses!$V$9,Hypothèses!$W$9,IF(CS255&lt;=Hypothèses!$V$10,Hypothèses!$W$10,IF(CS255&lt;=Hypothèses!$V$11,Hypothèses!$W$11,IF(CS255&lt;=Hypothèses!$V$12,Hypothèses!$W$12,IF(CS255&lt;=Hypothèses!$V$13,Hypothèses!$W$13,IF(CS255&lt;=Hypothèses!$V$14,Hypothèses!$W$14,IF(CS255&lt;=Hypothèses!$V$15,Hypothèses!$W$15,IF(CS255&lt;=Hypothèses!$V$16,Hypothèses!$W$16,IF(CS255&lt;=Hypothèses!$V$17,Hypothèses!$W$17,IF(CS255&lt;=Hypothèses!$V$18,Hypothèses!$W$18,""))))))))))))</f>
        <v>#DIV/0!</v>
      </c>
      <c r="DN255" s="87" t="e">
        <f t="shared" ca="1" si="421"/>
        <v>#DIV/0!</v>
      </c>
      <c r="DO255" s="88" t="e">
        <f ca="1">IF(CS255&lt;=Hypothèses!$V$7,Hypothèses!$X$7,IF(CS255&lt;=Hypothèses!$V$8,Hypothèses!$X$8,IF(CS255&lt;=Hypothèses!$V$9,Hypothèses!$X$9,IF(CS255&lt;=Hypothèses!$V$10,Hypothèses!$X$10,IF(CS255&lt;=Hypothèses!$V$11,Hypothèses!$X$11,IF(CS255&lt;=Hypothèses!$V$12,Hypothèses!$X$12,IF(CS255&lt;=Hypothèses!$V$13,Hypothèses!$X$13,IF(CS255&lt;=Hypothèses!$V$14,Hypothèses!$X$14,IF(CS255&lt;=Hypothèses!$V$15,Hypothèses!$X$15,IF(CS255&lt;=Hypothèses!$V$16,Hypothèses!$X$16,IF(CS255&lt;=Hypothèses!$U$17,Hypothèses!$W$17,IF(CS255&lt;=Hypothèses!$U$18,Hypothèses!$W$18,""))))))))))))</f>
        <v>#DIV/0!</v>
      </c>
      <c r="DP255" s="95" t="e">
        <f t="shared" ca="1" si="389"/>
        <v>#DIV/0!</v>
      </c>
      <c r="DQ255" s="101">
        <f t="shared" si="428"/>
        <v>0</v>
      </c>
      <c r="DR255" s="91">
        <f t="shared" si="356"/>
        <v>0</v>
      </c>
      <c r="DS255" s="30" t="e">
        <f t="shared" si="410"/>
        <v>#N/A</v>
      </c>
      <c r="DT255" s="30" t="e">
        <f t="shared" si="411"/>
        <v>#N/A</v>
      </c>
      <c r="DU255" s="31" t="e">
        <f>IF(OR(Hypothèses!$B$4=17,Hypothèses!$B$4=18,Hypothèses!$B$4=19,Hypothèses!$B$4=20),
IF($D255="Pressio.",
IF(OR($E255=3,$E255=1,$E255=4),DT255,DS255),
IF($D255="Pénétro.",
IF(OR($E255=3,$E255=1,$E255=4),DT255,DS255))),IF($D255="Pressio.",
IF($E255=3,DT255,DS255),
IF($D255="Pénétro.",
IF($E255=4,DT255,DS255))))</f>
        <v>#N/A</v>
      </c>
      <c r="DV255" s="31">
        <v>0</v>
      </c>
      <c r="DW255" s="102" t="e">
        <f>IF(NDC!$H$10="Oui",(VLOOKUP($B$3,'Coeff EC7'!$T$39:$X$59,2,0)*DU255+VLOOKUP($B$3,'Coeff EC7'!$T$65:$X$85,2,0)*Model0.1T!DV255)/1.5,PI()*DS$12*$Q255*($B255-$B254)*0.15/10+DW254)</f>
        <v>#N/A</v>
      </c>
      <c r="DX255" s="102" t="e">
        <f>(VLOOKUP($B$3,'Coeff EC7'!$T$39:$X$59,3,0)*DU255+VLOOKUP($B$3,'Coeff EC7'!$T$65:$X$85,3,0)*Model0.1T!DV255)/1.1</f>
        <v>#N/A</v>
      </c>
      <c r="DY255" s="102" t="e">
        <f t="shared" si="390"/>
        <v>#N/A</v>
      </c>
      <c r="DZ255" s="102" t="e">
        <f t="shared" si="391"/>
        <v>#N/A</v>
      </c>
      <c r="EA255" s="414" t="e">
        <f>IF(AND(DW255&gt;NDC!$C$63,DX255&gt;NDC!$C$65,DY255&gt;NDC!$D$73,DZ255&gt;NDC!$D$74,$B255&gt;NDC!$H$22-0.1+MIN(3*EA$12,1.5)),0,1)</f>
        <v>#N/A</v>
      </c>
      <c r="EB255" s="86" t="b">
        <f t="shared" si="357"/>
        <v>0</v>
      </c>
      <c r="EC255" s="418">
        <f t="shared" si="358"/>
        <v>0.51</v>
      </c>
      <c r="ED255" s="86">
        <f t="shared" si="359"/>
        <v>0.51</v>
      </c>
      <c r="EE255" s="30" t="e">
        <f t="shared" ca="1" si="392"/>
        <v>#DIV/0!</v>
      </c>
      <c r="EF255" s="85" t="e">
        <f ca="1">IF(DL255&lt;=Hypothèses!$V$7,Hypothèses!$W$7,IF(DL255&lt;=Hypothèses!$V$8,Hypothèses!$W$8,IF(DL255&lt;=Hypothèses!$V$9,Hypothèses!$W$9,IF(DL255&lt;=Hypothèses!$V$10,Hypothèses!$W$10,IF(DL255&lt;=Hypothèses!$V$11,Hypothèses!$W$11,IF(DL255&lt;=Hypothèses!$V$12,Hypothèses!$W$12,IF(DL255&lt;=Hypothèses!$V$13,Hypothèses!$W$13,IF(DL255&lt;=Hypothèses!$V$14,Hypothèses!$W$14,IF(DL255&lt;=Hypothèses!$V$15,Hypothèses!$W$15,IF(DL255&lt;=Hypothèses!$V$16,Hypothèses!$W$16,IF(DL255&lt;=Hypothèses!$V$17,Hypothèses!$W$17,IF(DL255&lt;=Hypothèses!$V$18,Hypothèses!$W$18,""))))))))))))</f>
        <v>#DIV/0!</v>
      </c>
      <c r="EG255" s="87" t="e">
        <f t="shared" ca="1" si="422"/>
        <v>#DIV/0!</v>
      </c>
      <c r="EH255" s="88" t="e">
        <f ca="1">IF(DL255&lt;=Hypothèses!$V$7,Hypothèses!$X$7,IF(DL255&lt;=Hypothèses!$V$8,Hypothèses!$X$8,IF(DL255&lt;=Hypothèses!$V$9,Hypothèses!$X$9,IF(DL255&lt;=Hypothèses!$V$10,Hypothèses!$X$10,IF(DL255&lt;=Hypothèses!$V$11,Hypothèses!$X$11,IF(DL255&lt;=Hypothèses!$V$12,Hypothèses!$X$12,IF(DL255&lt;=Hypothèses!$V$13,Hypothèses!$X$13,IF(DL255&lt;=Hypothèses!$V$14,Hypothèses!$X$14,IF(DL255&lt;=Hypothèses!$V$15,Hypothèses!$X$15,IF(DL255&lt;=Hypothèses!$V$16,Hypothèses!$X$16,IF(DL255&lt;=Hypothèses!$U$17,Hypothèses!$W$17,IF(DL255&lt;=Hypothèses!$U$18,Hypothèses!$W$18,""))))))))))))</f>
        <v>#DIV/0!</v>
      </c>
      <c r="EI255" s="95" t="e">
        <f t="shared" ca="1" si="393"/>
        <v>#DIV/0!</v>
      </c>
      <c r="EJ255" s="101">
        <f t="shared" si="429"/>
        <v>0</v>
      </c>
      <c r="EK255" s="91">
        <f t="shared" si="360"/>
        <v>0</v>
      </c>
      <c r="EL255" s="30" t="e">
        <f t="shared" si="412"/>
        <v>#N/A</v>
      </c>
      <c r="EM255" s="30" t="e">
        <f t="shared" si="413"/>
        <v>#N/A</v>
      </c>
      <c r="EN255" s="31" t="e">
        <f>IF(OR(Hypothèses!$B$4=17,Hypothèses!$B$4=18,Hypothèses!$B$4=19,Hypothèses!$B$4=20),
IF($D255="Pressio.",
IF(OR($E255=3,$E255=1,$E255=4),EM255,EL255),
IF($D255="Pénétro.",
IF(OR($E255=3,$E255=1,$E255=4),EM255,EL255))),IF($D255="Pressio.",
IF($E255=3,EM255,EL255),
IF($D255="Pénétro.",
IF($E255=4,EM255,EL255))))</f>
        <v>#N/A</v>
      </c>
      <c r="EO255" s="31">
        <v>0</v>
      </c>
      <c r="EP255" s="102" t="e">
        <f>IF(NDC!$H$10="Oui",(VLOOKUP($B$3,'Coeff EC7'!$T$39:$X$59,2,0)*EN255+VLOOKUP($B$3,'Coeff EC7'!$T$65:$X$85,2,0)*Model0.1T!EO255)/1.5,PI()*EL$12*$Q255*($B255-$B254)*0.15/10+EP254)</f>
        <v>#N/A</v>
      </c>
      <c r="EQ255" s="102" t="e">
        <f>(VLOOKUP($B$3,'Coeff EC7'!$T$39:$X$59,3,0)*EN255+VLOOKUP($B$3,'Coeff EC7'!$T$65:$X$85,3,0)*Model0.1T!EO255)/1.1</f>
        <v>#N/A</v>
      </c>
      <c r="ER255" s="102" t="e">
        <f t="shared" si="394"/>
        <v>#N/A</v>
      </c>
      <c r="ES255" s="102" t="e">
        <f t="shared" si="395"/>
        <v>#N/A</v>
      </c>
      <c r="ET255" s="414" t="e">
        <f>IF(AND(EP255&gt;NDC!$C$63,EQ255&gt;NDC!$C$65,ER255&gt;NDC!$D$73,ES255&gt;NDC!$D$74,$B255&gt;NDC!$H$22-0.1+MIN(3*ET$12,1.5)),0,1)</f>
        <v>#N/A</v>
      </c>
      <c r="EU255" s="86" t="b">
        <f t="shared" si="361"/>
        <v>0</v>
      </c>
      <c r="EV255" s="86">
        <f t="shared" si="362"/>
        <v>0.61</v>
      </c>
      <c r="EW255" s="86">
        <f t="shared" si="363"/>
        <v>0.61</v>
      </c>
      <c r="EX255" s="30" t="e">
        <f t="shared" ca="1" si="396"/>
        <v>#DIV/0!</v>
      </c>
      <c r="EY255" s="85" t="e">
        <f ca="1">IF(EE255&lt;=Hypothèses!$V$7,Hypothèses!$W$7,IF(EE255&lt;=Hypothèses!$V$8,Hypothèses!$W$8,IF(EE255&lt;=Hypothèses!$V$9,Hypothèses!$W$9,IF(EE255&lt;=Hypothèses!$V$10,Hypothèses!$W$10,IF(EE255&lt;=Hypothèses!$V$11,Hypothèses!$W$11,IF(EE255&lt;=Hypothèses!$V$12,Hypothèses!$W$12,IF(EE255&lt;=Hypothèses!$V$13,Hypothèses!$W$13,IF(EE255&lt;=Hypothèses!$V$14,Hypothèses!$W$14,IF(EE255&lt;=Hypothèses!$V$15,Hypothèses!$W$15,IF(EE255&lt;=Hypothèses!$V$16,Hypothèses!$W$16,IF(EE255&lt;=Hypothèses!$V$17,Hypothèses!$W$17,IF(EE255&lt;=Hypothèses!$V$18,Hypothèses!$W$18,""))))))))))))</f>
        <v>#DIV/0!</v>
      </c>
      <c r="EZ255" s="87" t="e">
        <f t="shared" ca="1" si="423"/>
        <v>#DIV/0!</v>
      </c>
      <c r="FA255" s="88" t="e">
        <f ca="1">IF(EE255&lt;=Hypothèses!$V$7,Hypothèses!$X$7,IF(EE255&lt;=Hypothèses!$V$8,Hypothèses!$X$8,IF(EE255&lt;=Hypothèses!$V$9,Hypothèses!$X$9,IF(EE255&lt;=Hypothèses!$V$10,Hypothèses!$X$10,IF(EE255&lt;=Hypothèses!$V$11,Hypothèses!$X$11,IF(EE255&lt;=Hypothèses!$V$12,Hypothèses!$X$12,IF(EE255&lt;=Hypothèses!$V$13,Hypothèses!$X$13,IF(EE255&lt;=Hypothèses!$V$14,Hypothèses!$X$14,IF(EE255&lt;=Hypothèses!$V$15,Hypothèses!$X$15,IF(EE255&lt;=Hypothèses!$V$16,Hypothèses!$X$16,IF(EE255&lt;=Hypothèses!$U$17,Hypothèses!$W$17,IF(EE255&lt;=Hypothèses!$U$18,Hypothèses!$W$18,""))))))))))))</f>
        <v>#DIV/0!</v>
      </c>
      <c r="FB255" s="95" t="e">
        <f t="shared" ca="1" si="397"/>
        <v>#DIV/0!</v>
      </c>
      <c r="FC255" s="101">
        <f t="shared" si="430"/>
        <v>0</v>
      </c>
      <c r="FD255" s="91">
        <f t="shared" si="364"/>
        <v>0</v>
      </c>
      <c r="FE255" s="30" t="e">
        <f t="shared" si="414"/>
        <v>#N/A</v>
      </c>
      <c r="FF255" s="30" t="e">
        <f t="shared" si="415"/>
        <v>#N/A</v>
      </c>
      <c r="FG255" s="31" t="e">
        <f>IF(OR(Hypothèses!$B$4=17,Hypothèses!$B$4=18,Hypothèses!$B$4=19,Hypothèses!$B$4=20),
IF($D255="Pressio.",
IF(OR($E255=3,$E255=1,$E255=4),FF255,FE255),
IF($D255="Pénétro.",
IF(OR($E255=3,$E255=1,$E255=4),FF255,FE255))),IF($D255="Pressio.",
IF($E255=3,FF255,FE255),
IF($D255="Pénétro.",
IF($E255=4,FF255,FE255))))</f>
        <v>#N/A</v>
      </c>
      <c r="FH255" s="31">
        <v>0</v>
      </c>
      <c r="FI255" s="102" t="e">
        <f>IF(NDC!$H$10="Oui",(VLOOKUP($B$3,'Coeff EC7'!$T$39:$X$59,2,0)*FG255+VLOOKUP($B$3,'Coeff EC7'!$T$65:$X$85,2,0)*Model0.1T!FH255)/1.5,PI()*FE$12*$Q255*($B255-$B254)*0.15/10+FI254)</f>
        <v>#N/A</v>
      </c>
      <c r="FJ255" s="102" t="e">
        <f>(VLOOKUP($B$3,'Coeff EC7'!$T$39:$X$59,3,0)*FG255+VLOOKUP($B$3,'Coeff EC7'!$T$65:$X$85,3,0)*Model0.1T!FH255)/1.1</f>
        <v>#N/A</v>
      </c>
      <c r="FK255" s="102" t="e">
        <f t="shared" si="398"/>
        <v>#N/A</v>
      </c>
      <c r="FL255" s="102" t="e">
        <f t="shared" si="399"/>
        <v>#N/A</v>
      </c>
      <c r="FM255" s="414" t="e">
        <f>IF(AND(FI255&gt;NDC!$C$63,FJ255&gt;NDC!$C$65,FK255&gt;NDC!$D$73,FL255&gt;NDC!$D$74,$B255&gt;NDC!$H$22-0.1+MIN(3*FM$12,1.5)),0,1)</f>
        <v>#N/A</v>
      </c>
    </row>
    <row r="256" spans="1:169">
      <c r="A256" s="96">
        <f t="shared" si="365"/>
        <v>75.700000000001381</v>
      </c>
      <c r="B256" s="97">
        <v>24.3</v>
      </c>
      <c r="C256" s="81">
        <f>IF(B256&lt;=Hypothèses!$C$7,Hypothèses!$A$7,IF(B256&lt;=Hypothèses!$C$8,Hypothèses!$A$8,IF(B256&lt;=Hypothèses!$C$9,Hypothèses!$A$9,IF(B256&lt;=Hypothèses!$C$10,Hypothèses!$A$10,IF(B256&lt;=Hypothèses!$C$11,Hypothèses!$A$11,IF(B256&lt;=Hypothèses!$C$12,Hypothèses!$A$12,IF(B256&lt;=Hypothèses!$C$13,Hypothèses!$A$13,IF(B256&lt;=Hypothèses!$C$14,Hypothèses!$A$14,IF(B256&lt;=Hypothèses!$C$15,Hypothèses!$A$15,IF(B256&lt;=Hypothèses!$C$16,Hypothèses!$A$16,IF(B256&lt;=Hypothèses!$C$17,Hypothèses!$A$17,IF(B256&lt;=Hypothèses!$C$18,Hypothèses!$A$18,C255))))))))))))</f>
        <v>11</v>
      </c>
      <c r="D256" s="82" t="str">
        <f>IF(B256&lt;=Hypothèses!$C$7,Hypothèses!$R$7,IF(B256&lt;=Hypothèses!$C$8,Hypothèses!$R$8,IF(B256&lt;=Hypothèses!$C$9,Hypothèses!$R$9,IF(B256&lt;=Hypothèses!$C$10,Hypothèses!$R$10,IF(B256&lt;=Hypothèses!$C$11,Hypothèses!$R$11,IF(B256&lt;=Hypothèses!$C$12,Hypothèses!$R$12,IF(B256&lt;=Hypothèses!$C$13,Hypothèses!$R$13,IF(B256&lt;=Hypothèses!$C$14,Hypothèses!$R$14,IF(B256&lt;=Hypothèses!$C$15,Hypothèses!$R$15,IF(B256&lt;=Hypothèses!$C$16,Hypothèses!$R$16,IF(B256&lt;=Hypothèses!$C$17,Hypothèses!$R$17,IF(B256&lt;=Hypothèses!$C$18,Hypothèses!$R$18,D255))))))))))))</f>
        <v>Pressio.</v>
      </c>
      <c r="E256" s="82" t="e">
        <f>IF(B256&lt;=Hypothèses!$C$7,Hypothèses!$G$7,IF(B256&lt;=Hypothèses!$C$8,Hypothèses!$G$8,IF(B256&lt;=Hypothèses!$C$9,Hypothèses!$G$9,IF(B256&lt;=Hypothèses!$C$10,Hypothèses!$G$10,IF(B256&lt;=Hypothèses!$C$11,Hypothèses!$G$11,IF(B256&lt;=Hypothèses!$C$12,Hypothèses!$G$12,IF(B256&lt;=Hypothèses!$C$13,Hypothèses!$G$13,IF(B256&lt;=Hypothèses!$C$14,Hypothèses!$G$14,IF(B256&lt;=Hypothèses!$C$15,Hypothèses!$G$15,IF(B256&lt;=Hypothèses!$C$16,Hypothèses!$G$16,IF(B256&lt;=Hypothèses!$C$17,Hypothèses!$G$17,IF(B256&lt;=Hypothèses!$C$18,Hypothèses!$G$18,E255))))))))))))</f>
        <v>#N/A</v>
      </c>
      <c r="F256" s="82" t="str">
        <f>IF(B256&lt;=Hypothèses!$C$7,Hypothèses!$F$7,IF(B256&lt;=Hypothèses!$C$8,Hypothèses!$F$8,IF(B256&lt;=Hypothèses!$C$9,Hypothèses!$F$9,IF(B256&lt;=Hypothèses!$C$10,Hypothèses!$F$10,IF(B256&lt;=Hypothèses!$C$11,Hypothèses!$F$11,IF(B256&lt;=Hypothèses!$C$12,Hypothèses!$F$12,IF(B256&lt;=Hypothèses!$C$13,Hypothèses!$F$13,IF(B256&lt;=Hypothèses!$C$14,Hypothèses!$F$14,IF(B256&lt;=Hypothèses!$C$15,Hypothèses!$F$15,IF(B256&lt;=Hypothèses!$C$16,Hypothèses!$F$16,IF(B256&lt;=Hypothèses!$C$17,Hypothèses!$F$17,IF(B256&lt;=Hypothèses!$C$18,Hypothèses!$F$18,F255))))))))))))</f>
        <v/>
      </c>
      <c r="G256" s="91">
        <f t="array" ref="G256">INDEX('Coeff EC7'!$U$7:$X$27,
MATCH(Model0.1T!$B$3,'Coeff EC7'!$T$7:$T$27,0),
MATCH(Model0.1T!$D256&amp;Model0.1T!$B$4,
'Coeff EC7'!$U$6:$X$6&amp;
'Coeff EC7'!$U$5:$X$5,0))</f>
        <v>1.4</v>
      </c>
      <c r="H256" s="91">
        <f t="array" ref="H256">INDEX('Coeff EC7'!$Y$7:$AB$27,
MATCH(Model0.1T!$B$3,'Coeff EC7'!$T$7:$T$27,0),
MATCH(Model0.1T!$D256&amp;Model0.1T!$B$4,
'Coeff EC7'!$Y$6:$AB$6&amp;
'Coeff EC7'!$Y$5:$AB$5,0))</f>
        <v>1.7</v>
      </c>
      <c r="I256" s="83">
        <v>0</v>
      </c>
      <c r="J256" s="91" t="e">
        <f t="array" ref="J256">INDEX('Coeff EC7'!$D$33:$Q$33,1,MATCH(D256&amp;E256,'Coeff EC7'!$D$31:$Q$31&amp;'Coeff EC7'!$D$32:$Q$32,0))</f>
        <v>#N/A</v>
      </c>
      <c r="K256" s="91" t="e">
        <f t="array" ref="K256">INDEX('Coeff EC7'!$D$34:$Q$34,1,MATCH(D256&amp;E256,'Coeff EC7'!$D$31:$Q$31&amp;'Coeff EC7'!$D$32:$Q$32,0))</f>
        <v>#N/A</v>
      </c>
      <c r="L256" s="91" t="e">
        <f t="array" ref="L256">INDEX('Coeff EC7'!$D$35:$Q$35,1,MATCH(D256&amp;E256,'Coeff EC7'!$D$31:$Q$31&amp;'Coeff EC7'!$D$32:$Q$32,0))</f>
        <v>#N/A</v>
      </c>
      <c r="M256" s="98" t="e">
        <f t="shared" si="331"/>
        <v>#N/A</v>
      </c>
      <c r="N256" s="99" t="e">
        <f t="array" ref="N256">INDEX('Coeff EC7'!$D$7:$Q$27,MATCH($B$3,'Coeff EC7'!$C$7:$C$27,0),MATCH(D256&amp;E256,'Coeff EC7'!$D$5:$Q$5&amp;'Coeff EC7'!$D$6:$Q$6,0))</f>
        <v>#N/A</v>
      </c>
      <c r="O256" s="99" t="e">
        <f t="array" ref="O256">INDEX('Coeff EC7'!$D$41:$Q$61,MATCH($B$3,'Coeff EC7'!$C$41:$C$61,0),MATCH(D256&amp;E256,'Coeff EC7'!$D$39:$Q$39&amp;'Coeff EC7'!$D$40:$Q$40,0))</f>
        <v>#N/A</v>
      </c>
      <c r="P256" s="30" t="e">
        <f t="shared" si="366"/>
        <v>#N/A</v>
      </c>
      <c r="Q256" s="100" t="e">
        <f t="shared" si="333"/>
        <v>#N/A</v>
      </c>
      <c r="R256" s="86" t="b">
        <f t="shared" si="334"/>
        <v>0</v>
      </c>
      <c r="S256" s="86">
        <f t="shared" si="332"/>
        <v>0.5</v>
      </c>
      <c r="T256" s="86">
        <f t="shared" si="335"/>
        <v>0.5</v>
      </c>
      <c r="U256" s="30" t="e">
        <f t="shared" ca="1" si="367"/>
        <v>#DIV/0!</v>
      </c>
      <c r="V256" s="85" t="str">
        <f>IF(B256&lt;=Hypothèses!$V$7,Hypothèses!$W$7,IF(B256&lt;=Hypothèses!$V$8,Hypothèses!$W$8,IF(B256&lt;=Hypothèses!$V$9,Hypothèses!$W$9,IF(B256&lt;=Hypothèses!$V$10,Hypothèses!$W$10,IF(B256&lt;=Hypothèses!$V$11,Hypothèses!$W$11,IF(B256&lt;=Hypothèses!$V$12,Hypothèses!$W$12,IF(B256&lt;=Hypothèses!$V$13,Hypothèses!$W$13,IF(B256&lt;=Hypothèses!$V$14,Hypothèses!$W$14,IF(B256&lt;=Hypothèses!$V$15,Hypothèses!$W$15,IF(B256&lt;=Hypothèses!$V$16,Hypothèses!$W$16,IF(B256&lt;=Hypothèses!$V$17,Hypothèses!$W$17,IF(B256&lt;=Hypothèses!$V$18,Hypothèses!$W$18,""))))))))))))</f>
        <v/>
      </c>
      <c r="W256" s="87" t="e">
        <f t="shared" ca="1" si="416"/>
        <v>#DIV/0!</v>
      </c>
      <c r="X256" s="88" t="str">
        <f>IF(B256&lt;=Hypothèses!$V$7,Hypothèses!$X$7,IF(B256&lt;=Hypothèses!$V$8,Hypothèses!$X$8,IF(B256&lt;=Hypothèses!$V$9,Hypothèses!$X$9,IF(B256&lt;=Hypothèses!$V$10,Hypothèses!$X$10,IF(B256&lt;=Hypothèses!$V$11,Hypothèses!$X$11,IF(B256&lt;=Hypothèses!$V$12,Hypothèses!$X$12,IF(B256&lt;=Hypothèses!$V$13,Hypothèses!$X$13,IF(B256&lt;=Hypothèses!$V$14,Hypothèses!$X$14,IF(B256&lt;=Hypothèses!$V$15,Hypothèses!$X$15,IF(B256&lt;=Hypothèses!$V$16,Hypothèses!$X$16,IF(B256&lt;=Hypothèses!$U$17,Hypothèses!$W$17,IF(B256&lt;=Hypothèses!$U$18,Hypothèses!$W$18,""))))))))))))</f>
        <v/>
      </c>
      <c r="Y256" s="95" t="e">
        <f t="shared" ca="1" si="336"/>
        <v>#DIV/0!</v>
      </c>
      <c r="Z256" s="101">
        <f t="shared" si="337"/>
        <v>0</v>
      </c>
      <c r="AA256" s="91">
        <f t="shared" si="338"/>
        <v>0</v>
      </c>
      <c r="AB256" s="30" t="e">
        <f t="shared" si="400"/>
        <v>#N/A</v>
      </c>
      <c r="AC256" s="30" t="e">
        <f t="shared" si="401"/>
        <v>#N/A</v>
      </c>
      <c r="AD256" s="31" t="e">
        <f>IF(OR(Hypothèses!$B$4=17,Hypothèses!$B$4=18,Hypothèses!$B$4=19,Hypothèses!$B$4=20),
IF($D256="Pressio.",
IF(OR($E256=3,$E256=1,$E256=4),AC256,AB256),
IF($D256="Pénétro.",
IF(OR($E256=3,$E256=1,$E256=4),AC256,AB256))),IF($D256="Pressio.",
IF($E256=3,AC256,AB256),
IF($D256="Pénétro.",
IF($E256=4,AC256,AB256))))</f>
        <v>#N/A</v>
      </c>
      <c r="AE256" s="31">
        <v>0</v>
      </c>
      <c r="AF256" s="102" t="e">
        <f>IF(NDC!$H$10="Oui",(VLOOKUP($B$3,'Coeff EC7'!$T$39:$X$59,2,0)*AD256+VLOOKUP($B$3,'Coeff EC7'!$T$65:$X$85,2,0)*Model0.1T!AE256)/1.5,PI()*AB$12*$Q256*($B256-$B255)*0.15/10+AF255)</f>
        <v>#N/A</v>
      </c>
      <c r="AG256" s="102" t="e">
        <f>(VLOOKUP($B$3,'Coeff EC7'!$T$39:$X$59,3,0)*AD256+VLOOKUP($B$3,'Coeff EC7'!$T$65:$X$85,3,0)*Model0.1T!AE256)/1.1</f>
        <v>#N/A</v>
      </c>
      <c r="AH256" s="102" t="e">
        <f t="shared" si="368"/>
        <v>#N/A</v>
      </c>
      <c r="AI256" s="102" t="e">
        <f t="shared" si="369"/>
        <v>#N/A</v>
      </c>
      <c r="AJ256" s="414" t="e">
        <f>IF(AND(AF256&gt;NDC!$C$63,AG256&gt;NDC!$C$65,AH256&gt;NDC!$D$73,AI256&gt;NDC!$D$74,$B256&gt;NDC!$H$22-0.1+MIN(3*$AJ$12,1.5)),0,1)</f>
        <v>#N/A</v>
      </c>
      <c r="AK256" s="86" t="b">
        <f t="shared" si="339"/>
        <v>0</v>
      </c>
      <c r="AL256" s="86">
        <f t="shared" si="370"/>
        <v>0.5</v>
      </c>
      <c r="AM256" s="86">
        <f t="shared" si="340"/>
        <v>0.5</v>
      </c>
      <c r="AN256" s="30" t="e">
        <f t="shared" ca="1" si="371"/>
        <v>#DIV/0!</v>
      </c>
      <c r="AO256" s="85" t="e">
        <f ca="1">IF(U256&lt;=Hypothèses!$V$7,Hypothèses!$W$7,IF(U256&lt;=Hypothèses!$V$8,Hypothèses!$W$8,IF(U256&lt;=Hypothèses!$V$9,Hypothèses!$W$9,IF(U256&lt;=Hypothèses!$V$10,Hypothèses!$W$10,IF(U256&lt;=Hypothèses!$V$11,Hypothèses!$W$11,IF(U256&lt;=Hypothèses!$V$12,Hypothèses!$W$12,IF(U256&lt;=Hypothèses!$V$13,Hypothèses!$W$13,IF(U256&lt;=Hypothèses!$V$14,Hypothèses!$W$14,IF(U256&lt;=Hypothèses!$V$15,Hypothèses!$W$15,IF(U256&lt;=Hypothèses!$V$16,Hypothèses!$W$16,IF(U256&lt;=Hypothèses!$V$17,Hypothèses!$W$17,IF(U256&lt;=Hypothèses!$V$18,Hypothèses!$W$18,""))))))))))))</f>
        <v>#DIV/0!</v>
      </c>
      <c r="AP256" s="87" t="e">
        <f t="shared" ca="1" si="417"/>
        <v>#DIV/0!</v>
      </c>
      <c r="AQ256" s="88" t="e">
        <f ca="1">IF(U256&lt;=Hypothèses!$V$7,Hypothèses!$X$7,IF(U256&lt;=Hypothèses!$V$8,Hypothèses!$X$8,IF(U256&lt;=Hypothèses!$V$9,Hypothèses!$X$9,IF(U256&lt;=Hypothèses!$V$10,Hypothèses!$X$10,IF(U256&lt;=Hypothèses!$V$11,Hypothèses!$X$11,IF(U256&lt;=Hypothèses!$V$12,Hypothèses!$X$12,IF(U256&lt;=Hypothèses!$V$13,Hypothèses!$X$13,IF(U256&lt;=Hypothèses!$V$14,Hypothèses!$X$14,IF(U256&lt;=Hypothèses!$V$15,Hypothèses!$X$15,IF(U256&lt;=Hypothèses!$V$16,Hypothèses!$X$16,IF(U256&lt;=Hypothèses!$U$17,Hypothèses!$W$17,IF(U256&lt;=Hypothèses!$U$18,Hypothèses!$W$18,""))))))))))))</f>
        <v>#DIV/0!</v>
      </c>
      <c r="AR256" s="95" t="e">
        <f t="shared" ca="1" si="372"/>
        <v>#DIV/0!</v>
      </c>
      <c r="AS256" s="101">
        <f t="shared" si="424"/>
        <v>0</v>
      </c>
      <c r="AT256" s="91">
        <f t="shared" si="341"/>
        <v>0</v>
      </c>
      <c r="AU256" s="30" t="e">
        <f t="shared" si="402"/>
        <v>#N/A</v>
      </c>
      <c r="AV256" s="30" t="e">
        <f t="shared" si="403"/>
        <v>#N/A</v>
      </c>
      <c r="AW256" s="31" t="e">
        <f>IF(OR(Hypothèses!$B$4=17,Hypothèses!$B$4=18,Hypothèses!$B$4=19,Hypothèses!$B$4=20),
IF($D256="Pressio.",
IF(OR($E256=3,$E256=1,$E256=4),AV256,AU256),
IF($D256="Pénétro.",
IF(OR($E256=3,$E256=1,$E256=4),AV256,AU256))),IF($D256="Pressio.",
IF($E256=3,AV256,AU256),
IF($D256="Pénétro.",
IF($E256=4,AV256,AU256))))</f>
        <v>#N/A</v>
      </c>
      <c r="AX256" s="31">
        <v>0</v>
      </c>
      <c r="AY256" s="102" t="e">
        <f>IF(NDC!$H$10="Oui",(VLOOKUP($B$3,'Coeff EC7'!$T$39:$X$59,2,0)*AW256+VLOOKUP($B$3,'Coeff EC7'!$T$65:$X$85,2,0)*Model0.1T!AX256)/1.5,PI()*AU$12*$Q256*($B256-$B255)*0.15/10+AY255)</f>
        <v>#N/A</v>
      </c>
      <c r="AZ256" s="102" t="e">
        <f>(VLOOKUP($B$3,'Coeff EC7'!$T$39:$X$59,3,0)*AW256+VLOOKUP($B$3,'Coeff EC7'!$T$65:$X$85,3,0)*Model0.1T!AX256)/1.1</f>
        <v>#N/A</v>
      </c>
      <c r="BA256" s="102" t="e">
        <f t="shared" si="373"/>
        <v>#N/A</v>
      </c>
      <c r="BB256" s="102" t="e">
        <f t="shared" si="374"/>
        <v>#N/A</v>
      </c>
      <c r="BC256" s="414" t="e">
        <f>IF(AND(AY256&gt;NDC!$C$63,AZ256&gt;NDC!$C$65,BA256&gt;NDC!$D$73,BB256&gt;NDC!$D$74,$B256&gt;NDC!$H$22-0.1+MIN(3*BC$12,1.5)),0,1)</f>
        <v>#N/A</v>
      </c>
      <c r="BD256" s="86" t="b">
        <f t="shared" si="342"/>
        <v>0</v>
      </c>
      <c r="BE256" s="86">
        <f t="shared" si="375"/>
        <v>0.5</v>
      </c>
      <c r="BF256" s="86">
        <f t="shared" si="343"/>
        <v>0.5</v>
      </c>
      <c r="BG256" s="30" t="e">
        <f t="shared" ca="1" si="376"/>
        <v>#DIV/0!</v>
      </c>
      <c r="BH256" s="85" t="e">
        <f ca="1">IF(AN256&lt;=Hypothèses!$V$7,Hypothèses!$W$7,IF(AN256&lt;=Hypothèses!$V$8,Hypothèses!$W$8,IF(AN256&lt;=Hypothèses!$V$9,Hypothèses!$W$9,IF(AN256&lt;=Hypothèses!$V$10,Hypothèses!$W$10,IF(AN256&lt;=Hypothèses!$V$11,Hypothèses!$W$11,IF(AN256&lt;=Hypothèses!$V$12,Hypothèses!$W$12,IF(AN256&lt;=Hypothèses!$V$13,Hypothèses!$W$13,IF(AN256&lt;=Hypothèses!$V$14,Hypothèses!$W$14,IF(AN256&lt;=Hypothèses!$V$15,Hypothèses!$W$15,IF(AN256&lt;=Hypothèses!$V$16,Hypothèses!$W$16,IF(AN256&lt;=Hypothèses!$V$17,Hypothèses!$W$17,IF(AN256&lt;=Hypothèses!$V$18,Hypothèses!$W$18,""))))))))))))</f>
        <v>#DIV/0!</v>
      </c>
      <c r="BI256" s="87" t="e">
        <f t="shared" ca="1" si="418"/>
        <v>#DIV/0!</v>
      </c>
      <c r="BJ256" s="88" t="e">
        <f ca="1">IF(AN256&lt;=Hypothèses!$V$7,Hypothèses!$X$7,IF(AN256&lt;=Hypothèses!$V$8,Hypothèses!$X$8,IF(AN256&lt;=Hypothèses!$V$9,Hypothèses!$X$9,IF(AN256&lt;=Hypothèses!$V$10,Hypothèses!$X$10,IF(AN256&lt;=Hypothèses!$V$11,Hypothèses!$X$11,IF(AN256&lt;=Hypothèses!$V$12,Hypothèses!$X$12,IF(AN256&lt;=Hypothèses!$V$13,Hypothèses!$X$13,IF(AN256&lt;=Hypothèses!$V$14,Hypothèses!$X$14,IF(AN256&lt;=Hypothèses!$V$15,Hypothèses!$X$15,IF(AN256&lt;=Hypothèses!$V$16,Hypothèses!$X$16,IF(AN256&lt;=Hypothèses!$U$17,Hypothèses!$W$17,IF(AN256&lt;=Hypothèses!$U$18,Hypothèses!$W$18,""))))))))))))</f>
        <v>#DIV/0!</v>
      </c>
      <c r="BK256" s="95" t="e">
        <f t="shared" ca="1" si="377"/>
        <v>#DIV/0!</v>
      </c>
      <c r="BL256" s="101">
        <f t="shared" si="425"/>
        <v>0</v>
      </c>
      <c r="BM256" s="91">
        <f t="shared" si="344"/>
        <v>0</v>
      </c>
      <c r="BN256" s="30" t="e">
        <f t="shared" si="404"/>
        <v>#N/A</v>
      </c>
      <c r="BO256" s="30" t="e">
        <f t="shared" si="405"/>
        <v>#N/A</v>
      </c>
      <c r="BP256" s="31" t="e">
        <f>IF(OR(Hypothèses!$B$4=17,Hypothèses!$B$4=18,Hypothèses!$B$4=19,Hypothèses!$B$4=20),
IF($D256="Pressio.",
IF(OR($E256=3,$E256=1,$E256=4),BO256,BN256),
IF($D256="Pénétro.",
IF(OR($E256=3,$E256=1,$E256=4),BO256,BN256))),IF($D256="Pressio.",
IF($E256=3,BO256,BN256),
IF($D256="Pénétro.",
IF($E256=4,BO256,BN256))))</f>
        <v>#N/A</v>
      </c>
      <c r="BQ256" s="31">
        <v>0</v>
      </c>
      <c r="BR256" s="102" t="e">
        <f>IF(NDC!$H$10="Oui",(VLOOKUP($B$3,'Coeff EC7'!$T$39:$X$59,2,0)*BP256+VLOOKUP($B$3,'Coeff EC7'!$T$65:$X$85,2,0)*Model0.1T!BQ256)/1.5,PI()*BN$12*$Q256*($B256-$B255)*0.15/10+BR255)</f>
        <v>#N/A</v>
      </c>
      <c r="BS256" s="102" t="e">
        <f>(VLOOKUP($B$3,'Coeff EC7'!$T$39:$X$59,3,0)*BP256+VLOOKUP($B$3,'Coeff EC7'!$T$65:$X$85,3,0)*Model0.1T!BQ256)/1.1</f>
        <v>#N/A</v>
      </c>
      <c r="BT256" s="102" t="e">
        <f t="shared" si="378"/>
        <v>#N/A</v>
      </c>
      <c r="BU256" s="102" t="e">
        <f t="shared" si="379"/>
        <v>#N/A</v>
      </c>
      <c r="BV256" s="414" t="e">
        <f>IF(AND(BR256&gt;NDC!$C$63,BS256&gt;NDC!$C$65,BT256&gt;NDC!$D$73,BU256&gt;NDC!$D$74,$B256&gt;NDC!$H$22-0.1+MIN(3*BV$12,1.5)),0,1)</f>
        <v>#N/A</v>
      </c>
      <c r="BW256" s="86" t="b">
        <f t="shared" si="345"/>
        <v>0</v>
      </c>
      <c r="BX256" s="86">
        <f t="shared" si="346"/>
        <v>0.5</v>
      </c>
      <c r="BY256" s="86">
        <f t="shared" si="347"/>
        <v>0.5</v>
      </c>
      <c r="BZ256" s="30" t="e">
        <f t="shared" ca="1" si="380"/>
        <v>#DIV/0!</v>
      </c>
      <c r="CA256" s="85" t="e">
        <f ca="1">IF(BG256&lt;=Hypothèses!$V$7,Hypothèses!$W$7,IF(BG256&lt;=Hypothèses!$V$8,Hypothèses!$W$8,IF(BG256&lt;=Hypothèses!$V$9,Hypothèses!$W$9,IF(BG256&lt;=Hypothèses!$V$10,Hypothèses!$W$10,IF(BG256&lt;=Hypothèses!$V$11,Hypothèses!$W$11,IF(BG256&lt;=Hypothèses!$V$12,Hypothèses!$W$12,IF(BG256&lt;=Hypothèses!$V$13,Hypothèses!$W$13,IF(BG256&lt;=Hypothèses!$V$14,Hypothèses!$W$14,IF(BG256&lt;=Hypothèses!$V$15,Hypothèses!$W$15,IF(BG256&lt;=Hypothèses!$V$16,Hypothèses!$W$16,IF(BG256&lt;=Hypothèses!$V$17,Hypothèses!$W$17,IF(BG256&lt;=Hypothèses!$V$18,Hypothèses!$W$18,""))))))))))))</f>
        <v>#DIV/0!</v>
      </c>
      <c r="CB256" s="87" t="e">
        <f t="shared" ca="1" si="419"/>
        <v>#DIV/0!</v>
      </c>
      <c r="CC256" s="88" t="e">
        <f ca="1">IF(BG256&lt;=Hypothèses!$V$7,Hypothèses!$X$7,IF(BG256&lt;=Hypothèses!$V$8,Hypothèses!$X$8,IF(BG256&lt;=Hypothèses!$V$9,Hypothèses!$X$9,IF(BG256&lt;=Hypothèses!$V$10,Hypothèses!$X$10,IF(BG256&lt;=Hypothèses!$V$11,Hypothèses!$X$11,IF(BG256&lt;=Hypothèses!$V$12,Hypothèses!$X$12,IF(BG256&lt;=Hypothèses!$V$13,Hypothèses!$X$13,IF(BG256&lt;=Hypothèses!$V$14,Hypothèses!$X$14,IF(BG256&lt;=Hypothèses!$V$15,Hypothèses!$X$15,IF(BG256&lt;=Hypothèses!$V$16,Hypothèses!$X$16,IF(BG256&lt;=Hypothèses!$U$17,Hypothèses!$W$17,IF(BG256&lt;=Hypothèses!$U$18,Hypothèses!$W$18,""))))))))))))</f>
        <v>#DIV/0!</v>
      </c>
      <c r="CD256" s="95" t="e">
        <f t="shared" ca="1" si="381"/>
        <v>#DIV/0!</v>
      </c>
      <c r="CE256" s="101">
        <f t="shared" si="426"/>
        <v>0</v>
      </c>
      <c r="CF256" s="91">
        <f t="shared" si="348"/>
        <v>0</v>
      </c>
      <c r="CG256" s="30" t="e">
        <f t="shared" si="406"/>
        <v>#N/A</v>
      </c>
      <c r="CH256" s="30" t="e">
        <f t="shared" si="407"/>
        <v>#N/A</v>
      </c>
      <c r="CI256" s="31" t="e">
        <f>IF(OR(Hypothèses!$B$4=17,Hypothèses!$B$4=18,Hypothèses!$B$4=19,Hypothèses!$B$4=20),
IF($D256="Pressio.",
IF(OR($E256=3,$E256=1,$E256=4),CH256,CG256),
IF($D256="Pénétro.",
IF(OR($E256=3,$E256=1,$E256=4),CH256,CG256))),IF($D256="Pressio.",
IF($E256=3,CH256,CG256),
IF($D256="Pénétro.",
IF($E256=4,CH256,CG256))))</f>
        <v>#N/A</v>
      </c>
      <c r="CJ256" s="31">
        <v>0</v>
      </c>
      <c r="CK256" s="102" t="e">
        <f>IF(NDC!$H$10="Oui",(VLOOKUP($B$3,'Coeff EC7'!$T$39:$X$59,2,0)*CI256+VLOOKUP($B$3,'Coeff EC7'!$T$65:$X$85,2,0)*Model0.1T!CJ256)/1.5,PI()*CG$12*$Q256*($B256-$B255)*0.15/10+CK255)</f>
        <v>#N/A</v>
      </c>
      <c r="CL256" s="102" t="e">
        <f>(VLOOKUP($B$3,'Coeff EC7'!$T$39:$X$59,3,0)*CI256+VLOOKUP($B$3,'Coeff EC7'!$T$65:$X$85,3,0)*Model0.1T!CJ256)/1.1</f>
        <v>#N/A</v>
      </c>
      <c r="CM256" s="102" t="e">
        <f t="shared" si="382"/>
        <v>#N/A</v>
      </c>
      <c r="CN256" s="102" t="e">
        <f t="shared" si="383"/>
        <v>#N/A</v>
      </c>
      <c r="CO256" s="414" t="e">
        <f>IF(AND(CK256&gt;NDC!$C$63,CL256&gt;NDC!$C$65,CM256&gt;NDC!$D$73,CN256&gt;NDC!$D$74,$B256&gt;NDC!$H$22-0.1+MIN(3*CO$12,1.5)),0,1)</f>
        <v>#N/A</v>
      </c>
      <c r="CP256" s="86" t="b">
        <f t="shared" si="349"/>
        <v>0</v>
      </c>
      <c r="CQ256" s="86">
        <f t="shared" si="350"/>
        <v>0.5</v>
      </c>
      <c r="CR256" s="86">
        <f t="shared" si="351"/>
        <v>0.5</v>
      </c>
      <c r="CS256" s="30" t="e">
        <f t="shared" ca="1" si="384"/>
        <v>#DIV/0!</v>
      </c>
      <c r="CT256" s="85" t="e">
        <f ca="1">IF(BZ256&lt;=Hypothèses!$V$7,Hypothèses!$W$7,IF(BZ256&lt;=Hypothèses!$V$8,Hypothèses!$W$8,IF(BZ256&lt;=Hypothèses!$V$9,Hypothèses!$W$9,IF(BZ256&lt;=Hypothèses!$V$10,Hypothèses!$W$10,IF(BZ256&lt;=Hypothèses!$V$11,Hypothèses!$W$11,IF(BZ256&lt;=Hypothèses!$V$12,Hypothèses!$W$12,IF(BZ256&lt;=Hypothèses!$V$13,Hypothèses!$W$13,IF(BZ256&lt;=Hypothèses!$V$14,Hypothèses!$W$14,IF(BZ256&lt;=Hypothèses!$V$15,Hypothèses!$W$15,IF(BZ256&lt;=Hypothèses!$V$16,Hypothèses!$W$16,IF(BZ256&lt;=Hypothèses!$V$17,Hypothèses!$W$17,IF(BZ256&lt;=Hypothèses!$V$18,Hypothèses!$W$18,""))))))))))))</f>
        <v>#DIV/0!</v>
      </c>
      <c r="CU256" s="87" t="e">
        <f t="shared" ca="1" si="420"/>
        <v>#DIV/0!</v>
      </c>
      <c r="CV256" s="88" t="e">
        <f ca="1">IF(BZ256&lt;=Hypothèses!$V$7,Hypothèses!$X$7,IF(BZ256&lt;=Hypothèses!$V$8,Hypothèses!$X$8,IF(BZ256&lt;=Hypothèses!$V$9,Hypothèses!$X$9,IF(BZ256&lt;=Hypothèses!$V$10,Hypothèses!$X$10,IF(BZ256&lt;=Hypothèses!$V$11,Hypothèses!$X$11,IF(BZ256&lt;=Hypothèses!$V$12,Hypothèses!$X$12,IF(BZ256&lt;=Hypothèses!$V$13,Hypothèses!$X$13,IF(BZ256&lt;=Hypothèses!$V$14,Hypothèses!$X$14,IF(BZ256&lt;=Hypothèses!$V$15,Hypothèses!$X$15,IF(BZ256&lt;=Hypothèses!$V$16,Hypothèses!$X$16,IF(BZ256&lt;=Hypothèses!$U$17,Hypothèses!$W$17,IF(BZ256&lt;=Hypothèses!$U$18,Hypothèses!$W$18,""))))))))))))</f>
        <v>#DIV/0!</v>
      </c>
      <c r="CW256" s="95" t="e">
        <f t="shared" ca="1" si="385"/>
        <v>#DIV/0!</v>
      </c>
      <c r="CX256" s="101">
        <f t="shared" si="427"/>
        <v>0</v>
      </c>
      <c r="CY256" s="91">
        <f t="shared" si="352"/>
        <v>0</v>
      </c>
      <c r="CZ256" s="30" t="e">
        <f t="shared" si="408"/>
        <v>#N/A</v>
      </c>
      <c r="DA256" s="30" t="e">
        <f t="shared" si="409"/>
        <v>#N/A</v>
      </c>
      <c r="DB256" s="31" t="e">
        <f>IF(OR(Hypothèses!$B$4=17,Hypothèses!$B$4=18,Hypothèses!$B$4=19,Hypothèses!$B$4=20),
IF($D256="Pressio.",
IF(OR($E256=3,$E256=1,$E256=4),DA256,CZ256),
IF($D256="Pénétro.",
IF(OR($E256=3,$E256=1,$E256=4),DA256,CZ256))),IF($D256="Pressio.",
IF($E256=3,DA256,CZ256),
IF($D256="Pénétro.",
IF($E256=4,DA256,CZ256))))</f>
        <v>#N/A</v>
      </c>
      <c r="DC256" s="31">
        <v>0</v>
      </c>
      <c r="DD256" s="102" t="e">
        <f>IF(NDC!$H$10="Oui",(VLOOKUP($B$3,'Coeff EC7'!$T$39:$X$59,2,0)*DB256+VLOOKUP($B$3,'Coeff EC7'!$T$65:$X$85,2,0)*Model0.1T!DC256)/1.5,PI()*CZ$12*$Q256*($B256-$B255)*0.15/10+DD255)</f>
        <v>#N/A</v>
      </c>
      <c r="DE256" s="102" t="e">
        <f>(VLOOKUP($B$3,'Coeff EC7'!$T$39:$X$59,3,0)*DB256+VLOOKUP($B$3,'Coeff EC7'!$T$65:$X$85,3,0)*Model0.1T!DC256)/1.1</f>
        <v>#N/A</v>
      </c>
      <c r="DF256" s="102" t="e">
        <f t="shared" si="386"/>
        <v>#N/A</v>
      </c>
      <c r="DG256" s="102" t="e">
        <f t="shared" si="387"/>
        <v>#N/A</v>
      </c>
      <c r="DH256" s="414" t="e">
        <f>IF(AND(DD256&gt;NDC!$C$63,DE256&gt;NDC!$C$65,DF256&gt;NDC!$D$73,DG256&gt;NDC!$D$74,$B256&gt;NDC!$H$22-0.1+MIN(3*DH$12,1.5)),0,1)</f>
        <v>#N/A</v>
      </c>
      <c r="DI256" s="86" t="b">
        <f t="shared" si="353"/>
        <v>0</v>
      </c>
      <c r="DJ256" s="86">
        <f t="shared" si="354"/>
        <v>0.5</v>
      </c>
      <c r="DK256" s="86">
        <f t="shared" si="355"/>
        <v>0.5</v>
      </c>
      <c r="DL256" s="30" t="e">
        <f t="shared" ca="1" si="388"/>
        <v>#DIV/0!</v>
      </c>
      <c r="DM256" s="85" t="e">
        <f ca="1">IF(CS256&lt;=Hypothèses!$V$7,Hypothèses!$W$7,IF(CS256&lt;=Hypothèses!$V$8,Hypothèses!$W$8,IF(CS256&lt;=Hypothèses!$V$9,Hypothèses!$W$9,IF(CS256&lt;=Hypothèses!$V$10,Hypothèses!$W$10,IF(CS256&lt;=Hypothèses!$V$11,Hypothèses!$W$11,IF(CS256&lt;=Hypothèses!$V$12,Hypothèses!$W$12,IF(CS256&lt;=Hypothèses!$V$13,Hypothèses!$W$13,IF(CS256&lt;=Hypothèses!$V$14,Hypothèses!$W$14,IF(CS256&lt;=Hypothèses!$V$15,Hypothèses!$W$15,IF(CS256&lt;=Hypothèses!$V$16,Hypothèses!$W$16,IF(CS256&lt;=Hypothèses!$V$17,Hypothèses!$W$17,IF(CS256&lt;=Hypothèses!$V$18,Hypothèses!$W$18,""))))))))))))</f>
        <v>#DIV/0!</v>
      </c>
      <c r="DN256" s="87" t="e">
        <f t="shared" ca="1" si="421"/>
        <v>#DIV/0!</v>
      </c>
      <c r="DO256" s="88" t="e">
        <f ca="1">IF(CS256&lt;=Hypothèses!$V$7,Hypothèses!$X$7,IF(CS256&lt;=Hypothèses!$V$8,Hypothèses!$X$8,IF(CS256&lt;=Hypothèses!$V$9,Hypothèses!$X$9,IF(CS256&lt;=Hypothèses!$V$10,Hypothèses!$X$10,IF(CS256&lt;=Hypothèses!$V$11,Hypothèses!$X$11,IF(CS256&lt;=Hypothèses!$V$12,Hypothèses!$X$12,IF(CS256&lt;=Hypothèses!$V$13,Hypothèses!$X$13,IF(CS256&lt;=Hypothèses!$V$14,Hypothèses!$X$14,IF(CS256&lt;=Hypothèses!$V$15,Hypothèses!$X$15,IF(CS256&lt;=Hypothèses!$V$16,Hypothèses!$X$16,IF(CS256&lt;=Hypothèses!$U$17,Hypothèses!$W$17,IF(CS256&lt;=Hypothèses!$U$18,Hypothèses!$W$18,""))))))))))))</f>
        <v>#DIV/0!</v>
      </c>
      <c r="DP256" s="95" t="e">
        <f t="shared" ca="1" si="389"/>
        <v>#DIV/0!</v>
      </c>
      <c r="DQ256" s="101">
        <f t="shared" si="428"/>
        <v>0</v>
      </c>
      <c r="DR256" s="91">
        <f t="shared" si="356"/>
        <v>0</v>
      </c>
      <c r="DS256" s="30" t="e">
        <f t="shared" si="410"/>
        <v>#N/A</v>
      </c>
      <c r="DT256" s="30" t="e">
        <f t="shared" si="411"/>
        <v>#N/A</v>
      </c>
      <c r="DU256" s="31" t="e">
        <f>IF(OR(Hypothèses!$B$4=17,Hypothèses!$B$4=18,Hypothèses!$B$4=19,Hypothèses!$B$4=20),
IF($D256="Pressio.",
IF(OR($E256=3,$E256=1,$E256=4),DT256,DS256),
IF($D256="Pénétro.",
IF(OR($E256=3,$E256=1,$E256=4),DT256,DS256))),IF($D256="Pressio.",
IF($E256=3,DT256,DS256),
IF($D256="Pénétro.",
IF($E256=4,DT256,DS256))))</f>
        <v>#N/A</v>
      </c>
      <c r="DV256" s="31">
        <v>0</v>
      </c>
      <c r="DW256" s="102" t="e">
        <f>IF(NDC!$H$10="Oui",(VLOOKUP($B$3,'Coeff EC7'!$T$39:$X$59,2,0)*DU256+VLOOKUP($B$3,'Coeff EC7'!$T$65:$X$85,2,0)*Model0.1T!DV256)/1.5,PI()*DS$12*$Q256*($B256-$B255)*0.15/10+DW255)</f>
        <v>#N/A</v>
      </c>
      <c r="DX256" s="102" t="e">
        <f>(VLOOKUP($B$3,'Coeff EC7'!$T$39:$X$59,3,0)*DU256+VLOOKUP($B$3,'Coeff EC7'!$T$65:$X$85,3,0)*Model0.1T!DV256)/1.1</f>
        <v>#N/A</v>
      </c>
      <c r="DY256" s="102" t="e">
        <f t="shared" si="390"/>
        <v>#N/A</v>
      </c>
      <c r="DZ256" s="102" t="e">
        <f t="shared" si="391"/>
        <v>#N/A</v>
      </c>
      <c r="EA256" s="414" t="e">
        <f>IF(AND(DW256&gt;NDC!$C$63,DX256&gt;NDC!$C$65,DY256&gt;NDC!$D$73,DZ256&gt;NDC!$D$74,$B256&gt;NDC!$H$22-0.1+MIN(3*EA$12,1.5)),0,1)</f>
        <v>#N/A</v>
      </c>
      <c r="EB256" s="86" t="b">
        <f t="shared" si="357"/>
        <v>0</v>
      </c>
      <c r="EC256" s="418">
        <f t="shared" si="358"/>
        <v>0.51</v>
      </c>
      <c r="ED256" s="86">
        <f t="shared" si="359"/>
        <v>0.51</v>
      </c>
      <c r="EE256" s="30" t="e">
        <f t="shared" ca="1" si="392"/>
        <v>#DIV/0!</v>
      </c>
      <c r="EF256" s="85" t="e">
        <f ca="1">IF(DL256&lt;=Hypothèses!$V$7,Hypothèses!$W$7,IF(DL256&lt;=Hypothèses!$V$8,Hypothèses!$W$8,IF(DL256&lt;=Hypothèses!$V$9,Hypothèses!$W$9,IF(DL256&lt;=Hypothèses!$V$10,Hypothèses!$W$10,IF(DL256&lt;=Hypothèses!$V$11,Hypothèses!$W$11,IF(DL256&lt;=Hypothèses!$V$12,Hypothèses!$W$12,IF(DL256&lt;=Hypothèses!$V$13,Hypothèses!$W$13,IF(DL256&lt;=Hypothèses!$V$14,Hypothèses!$W$14,IF(DL256&lt;=Hypothèses!$V$15,Hypothèses!$W$15,IF(DL256&lt;=Hypothèses!$V$16,Hypothèses!$W$16,IF(DL256&lt;=Hypothèses!$V$17,Hypothèses!$W$17,IF(DL256&lt;=Hypothèses!$V$18,Hypothèses!$W$18,""))))))))))))</f>
        <v>#DIV/0!</v>
      </c>
      <c r="EG256" s="87" t="e">
        <f t="shared" ca="1" si="422"/>
        <v>#DIV/0!</v>
      </c>
      <c r="EH256" s="88" t="e">
        <f ca="1">IF(DL256&lt;=Hypothèses!$V$7,Hypothèses!$X$7,IF(DL256&lt;=Hypothèses!$V$8,Hypothèses!$X$8,IF(DL256&lt;=Hypothèses!$V$9,Hypothèses!$X$9,IF(DL256&lt;=Hypothèses!$V$10,Hypothèses!$X$10,IF(DL256&lt;=Hypothèses!$V$11,Hypothèses!$X$11,IF(DL256&lt;=Hypothèses!$V$12,Hypothèses!$X$12,IF(DL256&lt;=Hypothèses!$V$13,Hypothèses!$X$13,IF(DL256&lt;=Hypothèses!$V$14,Hypothèses!$X$14,IF(DL256&lt;=Hypothèses!$V$15,Hypothèses!$X$15,IF(DL256&lt;=Hypothèses!$V$16,Hypothèses!$X$16,IF(DL256&lt;=Hypothèses!$U$17,Hypothèses!$W$17,IF(DL256&lt;=Hypothèses!$U$18,Hypothèses!$W$18,""))))))))))))</f>
        <v>#DIV/0!</v>
      </c>
      <c r="EI256" s="95" t="e">
        <f t="shared" ca="1" si="393"/>
        <v>#DIV/0!</v>
      </c>
      <c r="EJ256" s="101">
        <f t="shared" si="429"/>
        <v>0</v>
      </c>
      <c r="EK256" s="91">
        <f t="shared" si="360"/>
        <v>0</v>
      </c>
      <c r="EL256" s="30" t="e">
        <f t="shared" si="412"/>
        <v>#N/A</v>
      </c>
      <c r="EM256" s="30" t="e">
        <f t="shared" si="413"/>
        <v>#N/A</v>
      </c>
      <c r="EN256" s="31" t="e">
        <f>IF(OR(Hypothèses!$B$4=17,Hypothèses!$B$4=18,Hypothèses!$B$4=19,Hypothèses!$B$4=20),
IF($D256="Pressio.",
IF(OR($E256=3,$E256=1,$E256=4),EM256,EL256),
IF($D256="Pénétro.",
IF(OR($E256=3,$E256=1,$E256=4),EM256,EL256))),IF($D256="Pressio.",
IF($E256=3,EM256,EL256),
IF($D256="Pénétro.",
IF($E256=4,EM256,EL256))))</f>
        <v>#N/A</v>
      </c>
      <c r="EO256" s="31">
        <v>0</v>
      </c>
      <c r="EP256" s="102" t="e">
        <f>IF(NDC!$H$10="Oui",(VLOOKUP($B$3,'Coeff EC7'!$T$39:$X$59,2,0)*EN256+VLOOKUP($B$3,'Coeff EC7'!$T$65:$X$85,2,0)*Model0.1T!EO256)/1.5,PI()*EL$12*$Q256*($B256-$B255)*0.15/10+EP255)</f>
        <v>#N/A</v>
      </c>
      <c r="EQ256" s="102" t="e">
        <f>(VLOOKUP($B$3,'Coeff EC7'!$T$39:$X$59,3,0)*EN256+VLOOKUP($B$3,'Coeff EC7'!$T$65:$X$85,3,0)*Model0.1T!EO256)/1.1</f>
        <v>#N/A</v>
      </c>
      <c r="ER256" s="102" t="e">
        <f t="shared" si="394"/>
        <v>#N/A</v>
      </c>
      <c r="ES256" s="102" t="e">
        <f t="shared" si="395"/>
        <v>#N/A</v>
      </c>
      <c r="ET256" s="414" t="e">
        <f>IF(AND(EP256&gt;NDC!$C$63,EQ256&gt;NDC!$C$65,ER256&gt;NDC!$D$73,ES256&gt;NDC!$D$74,$B256&gt;NDC!$H$22-0.1+MIN(3*ET$12,1.5)),0,1)</f>
        <v>#N/A</v>
      </c>
      <c r="EU256" s="86" t="b">
        <f t="shared" si="361"/>
        <v>0</v>
      </c>
      <c r="EV256" s="86">
        <f t="shared" si="362"/>
        <v>0.61</v>
      </c>
      <c r="EW256" s="86">
        <f t="shared" si="363"/>
        <v>0.61</v>
      </c>
      <c r="EX256" s="30" t="e">
        <f t="shared" ca="1" si="396"/>
        <v>#DIV/0!</v>
      </c>
      <c r="EY256" s="85" t="e">
        <f ca="1">IF(EE256&lt;=Hypothèses!$V$7,Hypothèses!$W$7,IF(EE256&lt;=Hypothèses!$V$8,Hypothèses!$W$8,IF(EE256&lt;=Hypothèses!$V$9,Hypothèses!$W$9,IF(EE256&lt;=Hypothèses!$V$10,Hypothèses!$W$10,IF(EE256&lt;=Hypothèses!$V$11,Hypothèses!$W$11,IF(EE256&lt;=Hypothèses!$V$12,Hypothèses!$W$12,IF(EE256&lt;=Hypothèses!$V$13,Hypothèses!$W$13,IF(EE256&lt;=Hypothèses!$V$14,Hypothèses!$W$14,IF(EE256&lt;=Hypothèses!$V$15,Hypothèses!$W$15,IF(EE256&lt;=Hypothèses!$V$16,Hypothèses!$W$16,IF(EE256&lt;=Hypothèses!$V$17,Hypothèses!$W$17,IF(EE256&lt;=Hypothèses!$V$18,Hypothèses!$W$18,""))))))))))))</f>
        <v>#DIV/0!</v>
      </c>
      <c r="EZ256" s="87" t="e">
        <f t="shared" ca="1" si="423"/>
        <v>#DIV/0!</v>
      </c>
      <c r="FA256" s="88" t="e">
        <f ca="1">IF(EE256&lt;=Hypothèses!$V$7,Hypothèses!$X$7,IF(EE256&lt;=Hypothèses!$V$8,Hypothèses!$X$8,IF(EE256&lt;=Hypothèses!$V$9,Hypothèses!$X$9,IF(EE256&lt;=Hypothèses!$V$10,Hypothèses!$X$10,IF(EE256&lt;=Hypothèses!$V$11,Hypothèses!$X$11,IF(EE256&lt;=Hypothèses!$V$12,Hypothèses!$X$12,IF(EE256&lt;=Hypothèses!$V$13,Hypothèses!$X$13,IF(EE256&lt;=Hypothèses!$V$14,Hypothèses!$X$14,IF(EE256&lt;=Hypothèses!$V$15,Hypothèses!$X$15,IF(EE256&lt;=Hypothèses!$V$16,Hypothèses!$X$16,IF(EE256&lt;=Hypothèses!$U$17,Hypothèses!$W$17,IF(EE256&lt;=Hypothèses!$U$18,Hypothèses!$W$18,""))))))))))))</f>
        <v>#DIV/0!</v>
      </c>
      <c r="FB256" s="95" t="e">
        <f t="shared" ca="1" si="397"/>
        <v>#DIV/0!</v>
      </c>
      <c r="FC256" s="101">
        <f t="shared" si="430"/>
        <v>0</v>
      </c>
      <c r="FD256" s="91">
        <f t="shared" si="364"/>
        <v>0</v>
      </c>
      <c r="FE256" s="30" t="e">
        <f t="shared" si="414"/>
        <v>#N/A</v>
      </c>
      <c r="FF256" s="30" t="e">
        <f t="shared" si="415"/>
        <v>#N/A</v>
      </c>
      <c r="FG256" s="31" t="e">
        <f>IF(OR(Hypothèses!$B$4=17,Hypothèses!$B$4=18,Hypothèses!$B$4=19,Hypothèses!$B$4=20),
IF($D256="Pressio.",
IF(OR($E256=3,$E256=1,$E256=4),FF256,FE256),
IF($D256="Pénétro.",
IF(OR($E256=3,$E256=1,$E256=4),FF256,FE256))),IF($D256="Pressio.",
IF($E256=3,FF256,FE256),
IF($D256="Pénétro.",
IF($E256=4,FF256,FE256))))</f>
        <v>#N/A</v>
      </c>
      <c r="FH256" s="31">
        <v>0</v>
      </c>
      <c r="FI256" s="102" t="e">
        <f>IF(NDC!$H$10="Oui",(VLOOKUP($B$3,'Coeff EC7'!$T$39:$X$59,2,0)*FG256+VLOOKUP($B$3,'Coeff EC7'!$T$65:$X$85,2,0)*Model0.1T!FH256)/1.5,PI()*FE$12*$Q256*($B256-$B255)*0.15/10+FI255)</f>
        <v>#N/A</v>
      </c>
      <c r="FJ256" s="102" t="e">
        <f>(VLOOKUP($B$3,'Coeff EC7'!$T$39:$X$59,3,0)*FG256+VLOOKUP($B$3,'Coeff EC7'!$T$65:$X$85,3,0)*Model0.1T!FH256)/1.1</f>
        <v>#N/A</v>
      </c>
      <c r="FK256" s="102" t="e">
        <f t="shared" si="398"/>
        <v>#N/A</v>
      </c>
      <c r="FL256" s="102" t="e">
        <f t="shared" si="399"/>
        <v>#N/A</v>
      </c>
      <c r="FM256" s="414" t="e">
        <f>IF(AND(FI256&gt;NDC!$C$63,FJ256&gt;NDC!$C$65,FK256&gt;NDC!$D$73,FL256&gt;NDC!$D$74,$B256&gt;NDC!$H$22-0.1+MIN(3*FM$12,1.5)),0,1)</f>
        <v>#N/A</v>
      </c>
    </row>
    <row r="257" spans="1:169">
      <c r="A257" s="96">
        <f t="shared" si="365"/>
        <v>75.600000000001387</v>
      </c>
      <c r="B257" s="97">
        <v>24.4</v>
      </c>
      <c r="C257" s="81">
        <f>IF(B257&lt;=Hypothèses!$C$7,Hypothèses!$A$7,IF(B257&lt;=Hypothèses!$C$8,Hypothèses!$A$8,IF(B257&lt;=Hypothèses!$C$9,Hypothèses!$A$9,IF(B257&lt;=Hypothèses!$C$10,Hypothèses!$A$10,IF(B257&lt;=Hypothèses!$C$11,Hypothèses!$A$11,IF(B257&lt;=Hypothèses!$C$12,Hypothèses!$A$12,IF(B257&lt;=Hypothèses!$C$13,Hypothèses!$A$13,IF(B257&lt;=Hypothèses!$C$14,Hypothèses!$A$14,IF(B257&lt;=Hypothèses!$C$15,Hypothèses!$A$15,IF(B257&lt;=Hypothèses!$C$16,Hypothèses!$A$16,IF(B257&lt;=Hypothèses!$C$17,Hypothèses!$A$17,IF(B257&lt;=Hypothèses!$C$18,Hypothèses!$A$18,C256))))))))))))</f>
        <v>11</v>
      </c>
      <c r="D257" s="82" t="str">
        <f>IF(B257&lt;=Hypothèses!$C$7,Hypothèses!$R$7,IF(B257&lt;=Hypothèses!$C$8,Hypothèses!$R$8,IF(B257&lt;=Hypothèses!$C$9,Hypothèses!$R$9,IF(B257&lt;=Hypothèses!$C$10,Hypothèses!$R$10,IF(B257&lt;=Hypothèses!$C$11,Hypothèses!$R$11,IF(B257&lt;=Hypothèses!$C$12,Hypothèses!$R$12,IF(B257&lt;=Hypothèses!$C$13,Hypothèses!$R$13,IF(B257&lt;=Hypothèses!$C$14,Hypothèses!$R$14,IF(B257&lt;=Hypothèses!$C$15,Hypothèses!$R$15,IF(B257&lt;=Hypothèses!$C$16,Hypothèses!$R$16,IF(B257&lt;=Hypothèses!$C$17,Hypothèses!$R$17,IF(B257&lt;=Hypothèses!$C$18,Hypothèses!$R$18,D256))))))))))))</f>
        <v>Pressio.</v>
      </c>
      <c r="E257" s="82" t="e">
        <f>IF(B257&lt;=Hypothèses!$C$7,Hypothèses!$G$7,IF(B257&lt;=Hypothèses!$C$8,Hypothèses!$G$8,IF(B257&lt;=Hypothèses!$C$9,Hypothèses!$G$9,IF(B257&lt;=Hypothèses!$C$10,Hypothèses!$G$10,IF(B257&lt;=Hypothèses!$C$11,Hypothèses!$G$11,IF(B257&lt;=Hypothèses!$C$12,Hypothèses!$G$12,IF(B257&lt;=Hypothèses!$C$13,Hypothèses!$G$13,IF(B257&lt;=Hypothèses!$C$14,Hypothèses!$G$14,IF(B257&lt;=Hypothèses!$C$15,Hypothèses!$G$15,IF(B257&lt;=Hypothèses!$C$16,Hypothèses!$G$16,IF(B257&lt;=Hypothèses!$C$17,Hypothèses!$G$17,IF(B257&lt;=Hypothèses!$C$18,Hypothèses!$G$18,E256))))))))))))</f>
        <v>#N/A</v>
      </c>
      <c r="F257" s="82" t="str">
        <f>IF(B257&lt;=Hypothèses!$C$7,Hypothèses!$F$7,IF(B257&lt;=Hypothèses!$C$8,Hypothèses!$F$8,IF(B257&lt;=Hypothèses!$C$9,Hypothèses!$F$9,IF(B257&lt;=Hypothèses!$C$10,Hypothèses!$F$10,IF(B257&lt;=Hypothèses!$C$11,Hypothèses!$F$11,IF(B257&lt;=Hypothèses!$C$12,Hypothèses!$F$12,IF(B257&lt;=Hypothèses!$C$13,Hypothèses!$F$13,IF(B257&lt;=Hypothèses!$C$14,Hypothèses!$F$14,IF(B257&lt;=Hypothèses!$C$15,Hypothèses!$F$15,IF(B257&lt;=Hypothèses!$C$16,Hypothèses!$F$16,IF(B257&lt;=Hypothèses!$C$17,Hypothèses!$F$17,IF(B257&lt;=Hypothèses!$C$18,Hypothèses!$F$18,F256))))))))))))</f>
        <v/>
      </c>
      <c r="G257" s="91">
        <f t="array" ref="G257">INDEX('Coeff EC7'!$U$7:$X$27,
MATCH(Model0.1T!$B$3,'Coeff EC7'!$T$7:$T$27,0),
MATCH(Model0.1T!$D257&amp;Model0.1T!$B$4,
'Coeff EC7'!$U$6:$X$6&amp;
'Coeff EC7'!$U$5:$X$5,0))</f>
        <v>1.4</v>
      </c>
      <c r="H257" s="91">
        <f t="array" ref="H257">INDEX('Coeff EC7'!$Y$7:$AB$27,
MATCH(Model0.1T!$B$3,'Coeff EC7'!$T$7:$T$27,0),
MATCH(Model0.1T!$D257&amp;Model0.1T!$B$4,
'Coeff EC7'!$Y$6:$AB$6&amp;
'Coeff EC7'!$Y$5:$AB$5,0))</f>
        <v>1.7</v>
      </c>
      <c r="I257" s="83">
        <v>0</v>
      </c>
      <c r="J257" s="91" t="e">
        <f t="array" ref="J257">INDEX('Coeff EC7'!$D$33:$Q$33,1,MATCH(D257&amp;E257,'Coeff EC7'!$D$31:$Q$31&amp;'Coeff EC7'!$D$32:$Q$32,0))</f>
        <v>#N/A</v>
      </c>
      <c r="K257" s="91" t="e">
        <f t="array" ref="K257">INDEX('Coeff EC7'!$D$34:$Q$34,1,MATCH(D257&amp;E257,'Coeff EC7'!$D$31:$Q$31&amp;'Coeff EC7'!$D$32:$Q$32,0))</f>
        <v>#N/A</v>
      </c>
      <c r="L257" s="91" t="e">
        <f t="array" ref="L257">INDEX('Coeff EC7'!$D$35:$Q$35,1,MATCH(D257&amp;E257,'Coeff EC7'!$D$31:$Q$31&amp;'Coeff EC7'!$D$32:$Q$32,0))</f>
        <v>#N/A</v>
      </c>
      <c r="M257" s="98" t="e">
        <f t="shared" si="331"/>
        <v>#N/A</v>
      </c>
      <c r="N257" s="99" t="e">
        <f t="array" ref="N257">INDEX('Coeff EC7'!$D$7:$Q$27,MATCH($B$3,'Coeff EC7'!$C$7:$C$27,0),MATCH(D257&amp;E257,'Coeff EC7'!$D$5:$Q$5&amp;'Coeff EC7'!$D$6:$Q$6,0))</f>
        <v>#N/A</v>
      </c>
      <c r="O257" s="99" t="e">
        <f t="array" ref="O257">INDEX('Coeff EC7'!$D$41:$Q$61,MATCH($B$3,'Coeff EC7'!$C$41:$C$61,0),MATCH(D257&amp;E257,'Coeff EC7'!$D$39:$Q$39&amp;'Coeff EC7'!$D$40:$Q$40,0))</f>
        <v>#N/A</v>
      </c>
      <c r="P257" s="30" t="e">
        <f t="shared" si="366"/>
        <v>#N/A</v>
      </c>
      <c r="Q257" s="100" t="e">
        <f t="shared" si="333"/>
        <v>#N/A</v>
      </c>
      <c r="R257" s="86" t="b">
        <f t="shared" si="334"/>
        <v>0</v>
      </c>
      <c r="S257" s="86">
        <f t="shared" si="332"/>
        <v>0.5</v>
      </c>
      <c r="T257" s="86">
        <f t="shared" si="335"/>
        <v>0.5</v>
      </c>
      <c r="U257" s="30" t="e">
        <f t="shared" ca="1" si="367"/>
        <v>#DIV/0!</v>
      </c>
      <c r="V257" s="85" t="str">
        <f>IF(B257&lt;=Hypothèses!$V$7,Hypothèses!$W$7,IF(B257&lt;=Hypothèses!$V$8,Hypothèses!$W$8,IF(B257&lt;=Hypothèses!$V$9,Hypothèses!$W$9,IF(B257&lt;=Hypothèses!$V$10,Hypothèses!$W$10,IF(B257&lt;=Hypothèses!$V$11,Hypothèses!$W$11,IF(B257&lt;=Hypothèses!$V$12,Hypothèses!$W$12,IF(B257&lt;=Hypothèses!$V$13,Hypothèses!$W$13,IF(B257&lt;=Hypothèses!$V$14,Hypothèses!$W$14,IF(B257&lt;=Hypothèses!$V$15,Hypothèses!$W$15,IF(B257&lt;=Hypothèses!$V$16,Hypothèses!$W$16,IF(B257&lt;=Hypothèses!$V$17,Hypothèses!$W$17,IF(B257&lt;=Hypothèses!$V$18,Hypothèses!$W$18,""))))))))))))</f>
        <v/>
      </c>
      <c r="W257" s="87" t="e">
        <f t="shared" ca="1" si="416"/>
        <v>#DIV/0!</v>
      </c>
      <c r="X257" s="88" t="str">
        <f>IF(B257&lt;=Hypothèses!$V$7,Hypothèses!$X$7,IF(B257&lt;=Hypothèses!$V$8,Hypothèses!$X$8,IF(B257&lt;=Hypothèses!$V$9,Hypothèses!$X$9,IF(B257&lt;=Hypothèses!$V$10,Hypothèses!$X$10,IF(B257&lt;=Hypothèses!$V$11,Hypothèses!$X$11,IF(B257&lt;=Hypothèses!$V$12,Hypothèses!$X$12,IF(B257&lt;=Hypothèses!$V$13,Hypothèses!$X$13,IF(B257&lt;=Hypothèses!$V$14,Hypothèses!$X$14,IF(B257&lt;=Hypothèses!$V$15,Hypothèses!$X$15,IF(B257&lt;=Hypothèses!$V$16,Hypothèses!$X$16,IF(B257&lt;=Hypothèses!$U$17,Hypothèses!$W$17,IF(B257&lt;=Hypothèses!$U$18,Hypothèses!$W$18,""))))))))))))</f>
        <v/>
      </c>
      <c r="Y257" s="95" t="e">
        <f t="shared" ca="1" si="336"/>
        <v>#DIV/0!</v>
      </c>
      <c r="Z257" s="101">
        <f t="shared" si="337"/>
        <v>0</v>
      </c>
      <c r="AA257" s="91">
        <f t="shared" si="338"/>
        <v>0</v>
      </c>
      <c r="AB257" s="30" t="e">
        <f t="shared" si="400"/>
        <v>#N/A</v>
      </c>
      <c r="AC257" s="30" t="e">
        <f t="shared" si="401"/>
        <v>#N/A</v>
      </c>
      <c r="AD257" s="31" t="e">
        <f>IF(OR(Hypothèses!$B$4=17,Hypothèses!$B$4=18,Hypothèses!$B$4=19,Hypothèses!$B$4=20),
IF($D257="Pressio.",
IF(OR($E257=3,$E257=1,$E257=4),AC257,AB257),
IF($D257="Pénétro.",
IF(OR($E257=3,$E257=1,$E257=4),AC257,AB257))),IF($D257="Pressio.",
IF($E257=3,AC257,AB257),
IF($D257="Pénétro.",
IF($E257=4,AC257,AB257))))</f>
        <v>#N/A</v>
      </c>
      <c r="AE257" s="31">
        <v>0</v>
      </c>
      <c r="AF257" s="102" t="e">
        <f>IF(NDC!$H$10="Oui",(VLOOKUP($B$3,'Coeff EC7'!$T$39:$X$59,2,0)*AD257+VLOOKUP($B$3,'Coeff EC7'!$T$65:$X$85,2,0)*Model0.1T!AE257)/1.5,PI()*AB$12*$Q257*($B257-$B256)*0.15/10+AF256)</f>
        <v>#N/A</v>
      </c>
      <c r="AG257" s="102" t="e">
        <f>(VLOOKUP($B$3,'Coeff EC7'!$T$39:$X$59,3,0)*AD257+VLOOKUP($B$3,'Coeff EC7'!$T$65:$X$85,3,0)*Model0.1T!AE257)/1.1</f>
        <v>#N/A</v>
      </c>
      <c r="AH257" s="102" t="e">
        <f t="shared" si="368"/>
        <v>#N/A</v>
      </c>
      <c r="AI257" s="102" t="e">
        <f t="shared" si="369"/>
        <v>#N/A</v>
      </c>
      <c r="AJ257" s="414" t="e">
        <f>IF(AND(AF257&gt;NDC!$C$63,AG257&gt;NDC!$C$65,AH257&gt;NDC!$D$73,AI257&gt;NDC!$D$74,$B257&gt;NDC!$H$22-0.1+MIN(3*$AJ$12,1.5)),0,1)</f>
        <v>#N/A</v>
      </c>
      <c r="AK257" s="86" t="b">
        <f t="shared" si="339"/>
        <v>0</v>
      </c>
      <c r="AL257" s="86">
        <f t="shared" si="370"/>
        <v>0.5</v>
      </c>
      <c r="AM257" s="86">
        <f t="shared" si="340"/>
        <v>0.5</v>
      </c>
      <c r="AN257" s="30" t="e">
        <f t="shared" ca="1" si="371"/>
        <v>#DIV/0!</v>
      </c>
      <c r="AO257" s="85" t="e">
        <f ca="1">IF(U257&lt;=Hypothèses!$V$7,Hypothèses!$W$7,IF(U257&lt;=Hypothèses!$V$8,Hypothèses!$W$8,IF(U257&lt;=Hypothèses!$V$9,Hypothèses!$W$9,IF(U257&lt;=Hypothèses!$V$10,Hypothèses!$W$10,IF(U257&lt;=Hypothèses!$V$11,Hypothèses!$W$11,IF(U257&lt;=Hypothèses!$V$12,Hypothèses!$W$12,IF(U257&lt;=Hypothèses!$V$13,Hypothèses!$W$13,IF(U257&lt;=Hypothèses!$V$14,Hypothèses!$W$14,IF(U257&lt;=Hypothèses!$V$15,Hypothèses!$W$15,IF(U257&lt;=Hypothèses!$V$16,Hypothèses!$W$16,IF(U257&lt;=Hypothèses!$V$17,Hypothèses!$W$17,IF(U257&lt;=Hypothèses!$V$18,Hypothèses!$W$18,""))))))))))))</f>
        <v>#DIV/0!</v>
      </c>
      <c r="AP257" s="87" t="e">
        <f t="shared" ca="1" si="417"/>
        <v>#DIV/0!</v>
      </c>
      <c r="AQ257" s="88" t="e">
        <f ca="1">IF(U257&lt;=Hypothèses!$V$7,Hypothèses!$X$7,IF(U257&lt;=Hypothèses!$V$8,Hypothèses!$X$8,IF(U257&lt;=Hypothèses!$V$9,Hypothèses!$X$9,IF(U257&lt;=Hypothèses!$V$10,Hypothèses!$X$10,IF(U257&lt;=Hypothèses!$V$11,Hypothèses!$X$11,IF(U257&lt;=Hypothèses!$V$12,Hypothèses!$X$12,IF(U257&lt;=Hypothèses!$V$13,Hypothèses!$X$13,IF(U257&lt;=Hypothèses!$V$14,Hypothèses!$X$14,IF(U257&lt;=Hypothèses!$V$15,Hypothèses!$X$15,IF(U257&lt;=Hypothèses!$V$16,Hypothèses!$X$16,IF(U257&lt;=Hypothèses!$U$17,Hypothèses!$W$17,IF(U257&lt;=Hypothèses!$U$18,Hypothèses!$W$18,""))))))))))))</f>
        <v>#DIV/0!</v>
      </c>
      <c r="AR257" s="95" t="e">
        <f t="shared" ca="1" si="372"/>
        <v>#DIV/0!</v>
      </c>
      <c r="AS257" s="101">
        <f t="shared" si="424"/>
        <v>0</v>
      </c>
      <c r="AT257" s="91">
        <f t="shared" si="341"/>
        <v>0</v>
      </c>
      <c r="AU257" s="30" t="e">
        <f t="shared" si="402"/>
        <v>#N/A</v>
      </c>
      <c r="AV257" s="30" t="e">
        <f t="shared" si="403"/>
        <v>#N/A</v>
      </c>
      <c r="AW257" s="31" t="e">
        <f>IF(OR(Hypothèses!$B$4=17,Hypothèses!$B$4=18,Hypothèses!$B$4=19,Hypothèses!$B$4=20),
IF($D257="Pressio.",
IF(OR($E257=3,$E257=1,$E257=4),AV257,AU257),
IF($D257="Pénétro.",
IF(OR($E257=3,$E257=1,$E257=4),AV257,AU257))),IF($D257="Pressio.",
IF($E257=3,AV257,AU257),
IF($D257="Pénétro.",
IF($E257=4,AV257,AU257))))</f>
        <v>#N/A</v>
      </c>
      <c r="AX257" s="31">
        <v>0</v>
      </c>
      <c r="AY257" s="102" t="e">
        <f>IF(NDC!$H$10="Oui",(VLOOKUP($B$3,'Coeff EC7'!$T$39:$X$59,2,0)*AW257+VLOOKUP($B$3,'Coeff EC7'!$T$65:$X$85,2,0)*Model0.1T!AX257)/1.5,PI()*AU$12*$Q257*($B257-$B256)*0.15/10+AY256)</f>
        <v>#N/A</v>
      </c>
      <c r="AZ257" s="102" t="e">
        <f>(VLOOKUP($B$3,'Coeff EC7'!$T$39:$X$59,3,0)*AW257+VLOOKUP($B$3,'Coeff EC7'!$T$65:$X$85,3,0)*Model0.1T!AX257)/1.1</f>
        <v>#N/A</v>
      </c>
      <c r="BA257" s="102" t="e">
        <f t="shared" si="373"/>
        <v>#N/A</v>
      </c>
      <c r="BB257" s="102" t="e">
        <f t="shared" si="374"/>
        <v>#N/A</v>
      </c>
      <c r="BC257" s="414" t="e">
        <f>IF(AND(AY257&gt;NDC!$C$63,AZ257&gt;NDC!$C$65,BA257&gt;NDC!$D$73,BB257&gt;NDC!$D$74,$B257&gt;NDC!$H$22-0.1+MIN(3*BC$12,1.5)),0,1)</f>
        <v>#N/A</v>
      </c>
      <c r="BD257" s="86" t="b">
        <f t="shared" si="342"/>
        <v>0</v>
      </c>
      <c r="BE257" s="86">
        <f t="shared" si="375"/>
        <v>0.5</v>
      </c>
      <c r="BF257" s="86">
        <f t="shared" si="343"/>
        <v>0.5</v>
      </c>
      <c r="BG257" s="30" t="e">
        <f t="shared" ca="1" si="376"/>
        <v>#DIV/0!</v>
      </c>
      <c r="BH257" s="85" t="e">
        <f ca="1">IF(AN257&lt;=Hypothèses!$V$7,Hypothèses!$W$7,IF(AN257&lt;=Hypothèses!$V$8,Hypothèses!$W$8,IF(AN257&lt;=Hypothèses!$V$9,Hypothèses!$W$9,IF(AN257&lt;=Hypothèses!$V$10,Hypothèses!$W$10,IF(AN257&lt;=Hypothèses!$V$11,Hypothèses!$W$11,IF(AN257&lt;=Hypothèses!$V$12,Hypothèses!$W$12,IF(AN257&lt;=Hypothèses!$V$13,Hypothèses!$W$13,IF(AN257&lt;=Hypothèses!$V$14,Hypothèses!$W$14,IF(AN257&lt;=Hypothèses!$V$15,Hypothèses!$W$15,IF(AN257&lt;=Hypothèses!$V$16,Hypothèses!$W$16,IF(AN257&lt;=Hypothèses!$V$17,Hypothèses!$W$17,IF(AN257&lt;=Hypothèses!$V$18,Hypothèses!$W$18,""))))))))))))</f>
        <v>#DIV/0!</v>
      </c>
      <c r="BI257" s="87" t="e">
        <f t="shared" ca="1" si="418"/>
        <v>#DIV/0!</v>
      </c>
      <c r="BJ257" s="88" t="e">
        <f ca="1">IF(AN257&lt;=Hypothèses!$V$7,Hypothèses!$X$7,IF(AN257&lt;=Hypothèses!$V$8,Hypothèses!$X$8,IF(AN257&lt;=Hypothèses!$V$9,Hypothèses!$X$9,IF(AN257&lt;=Hypothèses!$V$10,Hypothèses!$X$10,IF(AN257&lt;=Hypothèses!$V$11,Hypothèses!$X$11,IF(AN257&lt;=Hypothèses!$V$12,Hypothèses!$X$12,IF(AN257&lt;=Hypothèses!$V$13,Hypothèses!$X$13,IF(AN257&lt;=Hypothèses!$V$14,Hypothèses!$X$14,IF(AN257&lt;=Hypothèses!$V$15,Hypothèses!$X$15,IF(AN257&lt;=Hypothèses!$V$16,Hypothèses!$X$16,IF(AN257&lt;=Hypothèses!$U$17,Hypothèses!$W$17,IF(AN257&lt;=Hypothèses!$U$18,Hypothèses!$W$18,""))))))))))))</f>
        <v>#DIV/0!</v>
      </c>
      <c r="BK257" s="95" t="e">
        <f t="shared" ca="1" si="377"/>
        <v>#DIV/0!</v>
      </c>
      <c r="BL257" s="101">
        <f t="shared" si="425"/>
        <v>0</v>
      </c>
      <c r="BM257" s="91">
        <f t="shared" si="344"/>
        <v>0</v>
      </c>
      <c r="BN257" s="30" t="e">
        <f t="shared" si="404"/>
        <v>#N/A</v>
      </c>
      <c r="BO257" s="30" t="e">
        <f t="shared" si="405"/>
        <v>#N/A</v>
      </c>
      <c r="BP257" s="31" t="e">
        <f>IF(OR(Hypothèses!$B$4=17,Hypothèses!$B$4=18,Hypothèses!$B$4=19,Hypothèses!$B$4=20),
IF($D257="Pressio.",
IF(OR($E257=3,$E257=1,$E257=4),BO257,BN257),
IF($D257="Pénétro.",
IF(OR($E257=3,$E257=1,$E257=4),BO257,BN257))),IF($D257="Pressio.",
IF($E257=3,BO257,BN257),
IF($D257="Pénétro.",
IF($E257=4,BO257,BN257))))</f>
        <v>#N/A</v>
      </c>
      <c r="BQ257" s="31">
        <v>0</v>
      </c>
      <c r="BR257" s="102" t="e">
        <f>IF(NDC!$H$10="Oui",(VLOOKUP($B$3,'Coeff EC7'!$T$39:$X$59,2,0)*BP257+VLOOKUP($B$3,'Coeff EC7'!$T$65:$X$85,2,0)*Model0.1T!BQ257)/1.5,PI()*BN$12*$Q257*($B257-$B256)*0.15/10+BR256)</f>
        <v>#N/A</v>
      </c>
      <c r="BS257" s="102" t="e">
        <f>(VLOOKUP($B$3,'Coeff EC7'!$T$39:$X$59,3,0)*BP257+VLOOKUP($B$3,'Coeff EC7'!$T$65:$X$85,3,0)*Model0.1T!BQ257)/1.1</f>
        <v>#N/A</v>
      </c>
      <c r="BT257" s="102" t="e">
        <f t="shared" si="378"/>
        <v>#N/A</v>
      </c>
      <c r="BU257" s="102" t="e">
        <f t="shared" si="379"/>
        <v>#N/A</v>
      </c>
      <c r="BV257" s="414" t="e">
        <f>IF(AND(BR257&gt;NDC!$C$63,BS257&gt;NDC!$C$65,BT257&gt;NDC!$D$73,BU257&gt;NDC!$D$74,$B257&gt;NDC!$H$22-0.1+MIN(3*BV$12,1.5)),0,1)</f>
        <v>#N/A</v>
      </c>
      <c r="BW257" s="86" t="b">
        <f t="shared" si="345"/>
        <v>0</v>
      </c>
      <c r="BX257" s="86">
        <f t="shared" si="346"/>
        <v>0.5</v>
      </c>
      <c r="BY257" s="86">
        <f t="shared" si="347"/>
        <v>0.5</v>
      </c>
      <c r="BZ257" s="30" t="e">
        <f t="shared" ca="1" si="380"/>
        <v>#DIV/0!</v>
      </c>
      <c r="CA257" s="85" t="e">
        <f ca="1">IF(BG257&lt;=Hypothèses!$V$7,Hypothèses!$W$7,IF(BG257&lt;=Hypothèses!$V$8,Hypothèses!$W$8,IF(BG257&lt;=Hypothèses!$V$9,Hypothèses!$W$9,IF(BG257&lt;=Hypothèses!$V$10,Hypothèses!$W$10,IF(BG257&lt;=Hypothèses!$V$11,Hypothèses!$W$11,IF(BG257&lt;=Hypothèses!$V$12,Hypothèses!$W$12,IF(BG257&lt;=Hypothèses!$V$13,Hypothèses!$W$13,IF(BG257&lt;=Hypothèses!$V$14,Hypothèses!$W$14,IF(BG257&lt;=Hypothèses!$V$15,Hypothèses!$W$15,IF(BG257&lt;=Hypothèses!$V$16,Hypothèses!$W$16,IF(BG257&lt;=Hypothèses!$V$17,Hypothèses!$W$17,IF(BG257&lt;=Hypothèses!$V$18,Hypothèses!$W$18,""))))))))))))</f>
        <v>#DIV/0!</v>
      </c>
      <c r="CB257" s="87" t="e">
        <f t="shared" ca="1" si="419"/>
        <v>#DIV/0!</v>
      </c>
      <c r="CC257" s="88" t="e">
        <f ca="1">IF(BG257&lt;=Hypothèses!$V$7,Hypothèses!$X$7,IF(BG257&lt;=Hypothèses!$V$8,Hypothèses!$X$8,IF(BG257&lt;=Hypothèses!$V$9,Hypothèses!$X$9,IF(BG257&lt;=Hypothèses!$V$10,Hypothèses!$X$10,IF(BG257&lt;=Hypothèses!$V$11,Hypothèses!$X$11,IF(BG257&lt;=Hypothèses!$V$12,Hypothèses!$X$12,IF(BG257&lt;=Hypothèses!$V$13,Hypothèses!$X$13,IF(BG257&lt;=Hypothèses!$V$14,Hypothèses!$X$14,IF(BG257&lt;=Hypothèses!$V$15,Hypothèses!$X$15,IF(BG257&lt;=Hypothèses!$V$16,Hypothèses!$X$16,IF(BG257&lt;=Hypothèses!$U$17,Hypothèses!$W$17,IF(BG257&lt;=Hypothèses!$U$18,Hypothèses!$W$18,""))))))))))))</f>
        <v>#DIV/0!</v>
      </c>
      <c r="CD257" s="95" t="e">
        <f t="shared" ca="1" si="381"/>
        <v>#DIV/0!</v>
      </c>
      <c r="CE257" s="101">
        <f t="shared" si="426"/>
        <v>0</v>
      </c>
      <c r="CF257" s="91">
        <f t="shared" si="348"/>
        <v>0</v>
      </c>
      <c r="CG257" s="30" t="e">
        <f t="shared" si="406"/>
        <v>#N/A</v>
      </c>
      <c r="CH257" s="30" t="e">
        <f t="shared" si="407"/>
        <v>#N/A</v>
      </c>
      <c r="CI257" s="31" t="e">
        <f>IF(OR(Hypothèses!$B$4=17,Hypothèses!$B$4=18,Hypothèses!$B$4=19,Hypothèses!$B$4=20),
IF($D257="Pressio.",
IF(OR($E257=3,$E257=1,$E257=4),CH257,CG257),
IF($D257="Pénétro.",
IF(OR($E257=3,$E257=1,$E257=4),CH257,CG257))),IF($D257="Pressio.",
IF($E257=3,CH257,CG257),
IF($D257="Pénétro.",
IF($E257=4,CH257,CG257))))</f>
        <v>#N/A</v>
      </c>
      <c r="CJ257" s="31">
        <v>0</v>
      </c>
      <c r="CK257" s="102" t="e">
        <f>IF(NDC!$H$10="Oui",(VLOOKUP($B$3,'Coeff EC7'!$T$39:$X$59,2,0)*CI257+VLOOKUP($B$3,'Coeff EC7'!$T$65:$X$85,2,0)*Model0.1T!CJ257)/1.5,PI()*CG$12*$Q257*($B257-$B256)*0.15/10+CK256)</f>
        <v>#N/A</v>
      </c>
      <c r="CL257" s="102" t="e">
        <f>(VLOOKUP($B$3,'Coeff EC7'!$T$39:$X$59,3,0)*CI257+VLOOKUP($B$3,'Coeff EC7'!$T$65:$X$85,3,0)*Model0.1T!CJ257)/1.1</f>
        <v>#N/A</v>
      </c>
      <c r="CM257" s="102" t="e">
        <f t="shared" si="382"/>
        <v>#N/A</v>
      </c>
      <c r="CN257" s="102" t="e">
        <f t="shared" si="383"/>
        <v>#N/A</v>
      </c>
      <c r="CO257" s="414" t="e">
        <f>IF(AND(CK257&gt;NDC!$C$63,CL257&gt;NDC!$C$65,CM257&gt;NDC!$D$73,CN257&gt;NDC!$D$74,$B257&gt;NDC!$H$22-0.1+MIN(3*CO$12,1.5)),0,1)</f>
        <v>#N/A</v>
      </c>
      <c r="CP257" s="86" t="b">
        <f t="shared" si="349"/>
        <v>0</v>
      </c>
      <c r="CQ257" s="86">
        <f t="shared" si="350"/>
        <v>0.5</v>
      </c>
      <c r="CR257" s="86">
        <f t="shared" si="351"/>
        <v>0.5</v>
      </c>
      <c r="CS257" s="30" t="e">
        <f t="shared" ca="1" si="384"/>
        <v>#DIV/0!</v>
      </c>
      <c r="CT257" s="85" t="e">
        <f ca="1">IF(BZ257&lt;=Hypothèses!$V$7,Hypothèses!$W$7,IF(BZ257&lt;=Hypothèses!$V$8,Hypothèses!$W$8,IF(BZ257&lt;=Hypothèses!$V$9,Hypothèses!$W$9,IF(BZ257&lt;=Hypothèses!$V$10,Hypothèses!$W$10,IF(BZ257&lt;=Hypothèses!$V$11,Hypothèses!$W$11,IF(BZ257&lt;=Hypothèses!$V$12,Hypothèses!$W$12,IF(BZ257&lt;=Hypothèses!$V$13,Hypothèses!$W$13,IF(BZ257&lt;=Hypothèses!$V$14,Hypothèses!$W$14,IF(BZ257&lt;=Hypothèses!$V$15,Hypothèses!$W$15,IF(BZ257&lt;=Hypothèses!$V$16,Hypothèses!$W$16,IF(BZ257&lt;=Hypothèses!$V$17,Hypothèses!$W$17,IF(BZ257&lt;=Hypothèses!$V$18,Hypothèses!$W$18,""))))))))))))</f>
        <v>#DIV/0!</v>
      </c>
      <c r="CU257" s="87" t="e">
        <f t="shared" ca="1" si="420"/>
        <v>#DIV/0!</v>
      </c>
      <c r="CV257" s="88" t="e">
        <f ca="1">IF(BZ257&lt;=Hypothèses!$V$7,Hypothèses!$X$7,IF(BZ257&lt;=Hypothèses!$V$8,Hypothèses!$X$8,IF(BZ257&lt;=Hypothèses!$V$9,Hypothèses!$X$9,IF(BZ257&lt;=Hypothèses!$V$10,Hypothèses!$X$10,IF(BZ257&lt;=Hypothèses!$V$11,Hypothèses!$X$11,IF(BZ257&lt;=Hypothèses!$V$12,Hypothèses!$X$12,IF(BZ257&lt;=Hypothèses!$V$13,Hypothèses!$X$13,IF(BZ257&lt;=Hypothèses!$V$14,Hypothèses!$X$14,IF(BZ257&lt;=Hypothèses!$V$15,Hypothèses!$X$15,IF(BZ257&lt;=Hypothèses!$V$16,Hypothèses!$X$16,IF(BZ257&lt;=Hypothèses!$U$17,Hypothèses!$W$17,IF(BZ257&lt;=Hypothèses!$U$18,Hypothèses!$W$18,""))))))))))))</f>
        <v>#DIV/0!</v>
      </c>
      <c r="CW257" s="95" t="e">
        <f t="shared" ca="1" si="385"/>
        <v>#DIV/0!</v>
      </c>
      <c r="CX257" s="101">
        <f t="shared" si="427"/>
        <v>0</v>
      </c>
      <c r="CY257" s="91">
        <f t="shared" si="352"/>
        <v>0</v>
      </c>
      <c r="CZ257" s="30" t="e">
        <f t="shared" si="408"/>
        <v>#N/A</v>
      </c>
      <c r="DA257" s="30" t="e">
        <f t="shared" si="409"/>
        <v>#N/A</v>
      </c>
      <c r="DB257" s="31" t="e">
        <f>IF(OR(Hypothèses!$B$4=17,Hypothèses!$B$4=18,Hypothèses!$B$4=19,Hypothèses!$B$4=20),
IF($D257="Pressio.",
IF(OR($E257=3,$E257=1,$E257=4),DA257,CZ257),
IF($D257="Pénétro.",
IF(OR($E257=3,$E257=1,$E257=4),DA257,CZ257))),IF($D257="Pressio.",
IF($E257=3,DA257,CZ257),
IF($D257="Pénétro.",
IF($E257=4,DA257,CZ257))))</f>
        <v>#N/A</v>
      </c>
      <c r="DC257" s="31">
        <v>0</v>
      </c>
      <c r="DD257" s="102" t="e">
        <f>IF(NDC!$H$10="Oui",(VLOOKUP($B$3,'Coeff EC7'!$T$39:$X$59,2,0)*DB257+VLOOKUP($B$3,'Coeff EC7'!$T$65:$X$85,2,0)*Model0.1T!DC257)/1.5,PI()*CZ$12*$Q257*($B257-$B256)*0.15/10+DD256)</f>
        <v>#N/A</v>
      </c>
      <c r="DE257" s="102" t="e">
        <f>(VLOOKUP($B$3,'Coeff EC7'!$T$39:$X$59,3,0)*DB257+VLOOKUP($B$3,'Coeff EC7'!$T$65:$X$85,3,0)*Model0.1T!DC257)/1.1</f>
        <v>#N/A</v>
      </c>
      <c r="DF257" s="102" t="e">
        <f t="shared" si="386"/>
        <v>#N/A</v>
      </c>
      <c r="DG257" s="102" t="e">
        <f t="shared" si="387"/>
        <v>#N/A</v>
      </c>
      <c r="DH257" s="414" t="e">
        <f>IF(AND(DD257&gt;NDC!$C$63,DE257&gt;NDC!$C$65,DF257&gt;NDC!$D$73,DG257&gt;NDC!$D$74,$B257&gt;NDC!$H$22-0.1+MIN(3*DH$12,1.5)),0,1)</f>
        <v>#N/A</v>
      </c>
      <c r="DI257" s="86" t="b">
        <f t="shared" si="353"/>
        <v>0</v>
      </c>
      <c r="DJ257" s="86">
        <f t="shared" si="354"/>
        <v>0.5</v>
      </c>
      <c r="DK257" s="86">
        <f t="shared" si="355"/>
        <v>0.5</v>
      </c>
      <c r="DL257" s="30" t="e">
        <f t="shared" ca="1" si="388"/>
        <v>#DIV/0!</v>
      </c>
      <c r="DM257" s="85" t="e">
        <f ca="1">IF(CS257&lt;=Hypothèses!$V$7,Hypothèses!$W$7,IF(CS257&lt;=Hypothèses!$V$8,Hypothèses!$W$8,IF(CS257&lt;=Hypothèses!$V$9,Hypothèses!$W$9,IF(CS257&lt;=Hypothèses!$V$10,Hypothèses!$W$10,IF(CS257&lt;=Hypothèses!$V$11,Hypothèses!$W$11,IF(CS257&lt;=Hypothèses!$V$12,Hypothèses!$W$12,IF(CS257&lt;=Hypothèses!$V$13,Hypothèses!$W$13,IF(CS257&lt;=Hypothèses!$V$14,Hypothèses!$W$14,IF(CS257&lt;=Hypothèses!$V$15,Hypothèses!$W$15,IF(CS257&lt;=Hypothèses!$V$16,Hypothèses!$W$16,IF(CS257&lt;=Hypothèses!$V$17,Hypothèses!$W$17,IF(CS257&lt;=Hypothèses!$V$18,Hypothèses!$W$18,""))))))))))))</f>
        <v>#DIV/0!</v>
      </c>
      <c r="DN257" s="87" t="e">
        <f t="shared" ca="1" si="421"/>
        <v>#DIV/0!</v>
      </c>
      <c r="DO257" s="88" t="e">
        <f ca="1">IF(CS257&lt;=Hypothèses!$V$7,Hypothèses!$X$7,IF(CS257&lt;=Hypothèses!$V$8,Hypothèses!$X$8,IF(CS257&lt;=Hypothèses!$V$9,Hypothèses!$X$9,IF(CS257&lt;=Hypothèses!$V$10,Hypothèses!$X$10,IF(CS257&lt;=Hypothèses!$V$11,Hypothèses!$X$11,IF(CS257&lt;=Hypothèses!$V$12,Hypothèses!$X$12,IF(CS257&lt;=Hypothèses!$V$13,Hypothèses!$X$13,IF(CS257&lt;=Hypothèses!$V$14,Hypothèses!$X$14,IF(CS257&lt;=Hypothèses!$V$15,Hypothèses!$X$15,IF(CS257&lt;=Hypothèses!$V$16,Hypothèses!$X$16,IF(CS257&lt;=Hypothèses!$U$17,Hypothèses!$W$17,IF(CS257&lt;=Hypothèses!$U$18,Hypothèses!$W$18,""))))))))))))</f>
        <v>#DIV/0!</v>
      </c>
      <c r="DP257" s="95" t="e">
        <f t="shared" ca="1" si="389"/>
        <v>#DIV/0!</v>
      </c>
      <c r="DQ257" s="101">
        <f t="shared" si="428"/>
        <v>0</v>
      </c>
      <c r="DR257" s="91">
        <f t="shared" si="356"/>
        <v>0</v>
      </c>
      <c r="DS257" s="30" t="e">
        <f t="shared" si="410"/>
        <v>#N/A</v>
      </c>
      <c r="DT257" s="30" t="e">
        <f t="shared" si="411"/>
        <v>#N/A</v>
      </c>
      <c r="DU257" s="31" t="e">
        <f>IF(OR(Hypothèses!$B$4=17,Hypothèses!$B$4=18,Hypothèses!$B$4=19,Hypothèses!$B$4=20),
IF($D257="Pressio.",
IF(OR($E257=3,$E257=1,$E257=4),DT257,DS257),
IF($D257="Pénétro.",
IF(OR($E257=3,$E257=1,$E257=4),DT257,DS257))),IF($D257="Pressio.",
IF($E257=3,DT257,DS257),
IF($D257="Pénétro.",
IF($E257=4,DT257,DS257))))</f>
        <v>#N/A</v>
      </c>
      <c r="DV257" s="31">
        <v>0</v>
      </c>
      <c r="DW257" s="102" t="e">
        <f>IF(NDC!$H$10="Oui",(VLOOKUP($B$3,'Coeff EC7'!$T$39:$X$59,2,0)*DU257+VLOOKUP($B$3,'Coeff EC7'!$T$65:$X$85,2,0)*Model0.1T!DV257)/1.5,PI()*DS$12*$Q257*($B257-$B256)*0.15/10+DW256)</f>
        <v>#N/A</v>
      </c>
      <c r="DX257" s="102" t="e">
        <f>(VLOOKUP($B$3,'Coeff EC7'!$T$39:$X$59,3,0)*DU257+VLOOKUP($B$3,'Coeff EC7'!$T$65:$X$85,3,0)*Model0.1T!DV257)/1.1</f>
        <v>#N/A</v>
      </c>
      <c r="DY257" s="102" t="e">
        <f t="shared" si="390"/>
        <v>#N/A</v>
      </c>
      <c r="DZ257" s="102" t="e">
        <f t="shared" si="391"/>
        <v>#N/A</v>
      </c>
      <c r="EA257" s="414" t="e">
        <f>IF(AND(DW257&gt;NDC!$C$63,DX257&gt;NDC!$C$65,DY257&gt;NDC!$D$73,DZ257&gt;NDC!$D$74,$B257&gt;NDC!$H$22-0.1+MIN(3*EA$12,1.5)),0,1)</f>
        <v>#N/A</v>
      </c>
      <c r="EB257" s="86" t="b">
        <f t="shared" si="357"/>
        <v>0</v>
      </c>
      <c r="EC257" s="418">
        <f t="shared" si="358"/>
        <v>0.51</v>
      </c>
      <c r="ED257" s="86">
        <f t="shared" si="359"/>
        <v>0.51</v>
      </c>
      <c r="EE257" s="30" t="e">
        <f t="shared" ca="1" si="392"/>
        <v>#DIV/0!</v>
      </c>
      <c r="EF257" s="85" t="e">
        <f ca="1">IF(DL257&lt;=Hypothèses!$V$7,Hypothèses!$W$7,IF(DL257&lt;=Hypothèses!$V$8,Hypothèses!$W$8,IF(DL257&lt;=Hypothèses!$V$9,Hypothèses!$W$9,IF(DL257&lt;=Hypothèses!$V$10,Hypothèses!$W$10,IF(DL257&lt;=Hypothèses!$V$11,Hypothèses!$W$11,IF(DL257&lt;=Hypothèses!$V$12,Hypothèses!$W$12,IF(DL257&lt;=Hypothèses!$V$13,Hypothèses!$W$13,IF(DL257&lt;=Hypothèses!$V$14,Hypothèses!$W$14,IF(DL257&lt;=Hypothèses!$V$15,Hypothèses!$W$15,IF(DL257&lt;=Hypothèses!$V$16,Hypothèses!$W$16,IF(DL257&lt;=Hypothèses!$V$17,Hypothèses!$W$17,IF(DL257&lt;=Hypothèses!$V$18,Hypothèses!$W$18,""))))))))))))</f>
        <v>#DIV/0!</v>
      </c>
      <c r="EG257" s="87" t="e">
        <f t="shared" ca="1" si="422"/>
        <v>#DIV/0!</v>
      </c>
      <c r="EH257" s="88" t="e">
        <f ca="1">IF(DL257&lt;=Hypothèses!$V$7,Hypothèses!$X$7,IF(DL257&lt;=Hypothèses!$V$8,Hypothèses!$X$8,IF(DL257&lt;=Hypothèses!$V$9,Hypothèses!$X$9,IF(DL257&lt;=Hypothèses!$V$10,Hypothèses!$X$10,IF(DL257&lt;=Hypothèses!$V$11,Hypothèses!$X$11,IF(DL257&lt;=Hypothèses!$V$12,Hypothèses!$X$12,IF(DL257&lt;=Hypothèses!$V$13,Hypothèses!$X$13,IF(DL257&lt;=Hypothèses!$V$14,Hypothèses!$X$14,IF(DL257&lt;=Hypothèses!$V$15,Hypothèses!$X$15,IF(DL257&lt;=Hypothèses!$V$16,Hypothèses!$X$16,IF(DL257&lt;=Hypothèses!$U$17,Hypothèses!$W$17,IF(DL257&lt;=Hypothèses!$U$18,Hypothèses!$W$18,""))))))))))))</f>
        <v>#DIV/0!</v>
      </c>
      <c r="EI257" s="95" t="e">
        <f t="shared" ca="1" si="393"/>
        <v>#DIV/0!</v>
      </c>
      <c r="EJ257" s="101">
        <f t="shared" si="429"/>
        <v>0</v>
      </c>
      <c r="EK257" s="91">
        <f t="shared" si="360"/>
        <v>0</v>
      </c>
      <c r="EL257" s="30" t="e">
        <f t="shared" si="412"/>
        <v>#N/A</v>
      </c>
      <c r="EM257" s="30" t="e">
        <f t="shared" si="413"/>
        <v>#N/A</v>
      </c>
      <c r="EN257" s="31" t="e">
        <f>IF(OR(Hypothèses!$B$4=17,Hypothèses!$B$4=18,Hypothèses!$B$4=19,Hypothèses!$B$4=20),
IF($D257="Pressio.",
IF(OR($E257=3,$E257=1,$E257=4),EM257,EL257),
IF($D257="Pénétro.",
IF(OR($E257=3,$E257=1,$E257=4),EM257,EL257))),IF($D257="Pressio.",
IF($E257=3,EM257,EL257),
IF($D257="Pénétro.",
IF($E257=4,EM257,EL257))))</f>
        <v>#N/A</v>
      </c>
      <c r="EO257" s="31">
        <v>0</v>
      </c>
      <c r="EP257" s="102" t="e">
        <f>IF(NDC!$H$10="Oui",(VLOOKUP($B$3,'Coeff EC7'!$T$39:$X$59,2,0)*EN257+VLOOKUP($B$3,'Coeff EC7'!$T$65:$X$85,2,0)*Model0.1T!EO257)/1.5,PI()*EL$12*$Q257*($B257-$B256)*0.15/10+EP256)</f>
        <v>#N/A</v>
      </c>
      <c r="EQ257" s="102" t="e">
        <f>(VLOOKUP($B$3,'Coeff EC7'!$T$39:$X$59,3,0)*EN257+VLOOKUP($B$3,'Coeff EC7'!$T$65:$X$85,3,0)*Model0.1T!EO257)/1.1</f>
        <v>#N/A</v>
      </c>
      <c r="ER257" s="102" t="e">
        <f t="shared" si="394"/>
        <v>#N/A</v>
      </c>
      <c r="ES257" s="102" t="e">
        <f t="shared" si="395"/>
        <v>#N/A</v>
      </c>
      <c r="ET257" s="414" t="e">
        <f>IF(AND(EP257&gt;NDC!$C$63,EQ257&gt;NDC!$C$65,ER257&gt;NDC!$D$73,ES257&gt;NDC!$D$74,$B257&gt;NDC!$H$22-0.1+MIN(3*ET$12,1.5)),0,1)</f>
        <v>#N/A</v>
      </c>
      <c r="EU257" s="86" t="b">
        <f t="shared" si="361"/>
        <v>0</v>
      </c>
      <c r="EV257" s="86">
        <f t="shared" si="362"/>
        <v>0.61</v>
      </c>
      <c r="EW257" s="86">
        <f t="shared" si="363"/>
        <v>0.61</v>
      </c>
      <c r="EX257" s="30" t="e">
        <f t="shared" ca="1" si="396"/>
        <v>#DIV/0!</v>
      </c>
      <c r="EY257" s="85" t="e">
        <f ca="1">IF(EE257&lt;=Hypothèses!$V$7,Hypothèses!$W$7,IF(EE257&lt;=Hypothèses!$V$8,Hypothèses!$W$8,IF(EE257&lt;=Hypothèses!$V$9,Hypothèses!$W$9,IF(EE257&lt;=Hypothèses!$V$10,Hypothèses!$W$10,IF(EE257&lt;=Hypothèses!$V$11,Hypothèses!$W$11,IF(EE257&lt;=Hypothèses!$V$12,Hypothèses!$W$12,IF(EE257&lt;=Hypothèses!$V$13,Hypothèses!$W$13,IF(EE257&lt;=Hypothèses!$V$14,Hypothèses!$W$14,IF(EE257&lt;=Hypothèses!$V$15,Hypothèses!$W$15,IF(EE257&lt;=Hypothèses!$V$16,Hypothèses!$W$16,IF(EE257&lt;=Hypothèses!$V$17,Hypothèses!$W$17,IF(EE257&lt;=Hypothèses!$V$18,Hypothèses!$W$18,""))))))))))))</f>
        <v>#DIV/0!</v>
      </c>
      <c r="EZ257" s="87" t="e">
        <f t="shared" ca="1" si="423"/>
        <v>#DIV/0!</v>
      </c>
      <c r="FA257" s="88" t="e">
        <f ca="1">IF(EE257&lt;=Hypothèses!$V$7,Hypothèses!$X$7,IF(EE257&lt;=Hypothèses!$V$8,Hypothèses!$X$8,IF(EE257&lt;=Hypothèses!$V$9,Hypothèses!$X$9,IF(EE257&lt;=Hypothèses!$V$10,Hypothèses!$X$10,IF(EE257&lt;=Hypothèses!$V$11,Hypothèses!$X$11,IF(EE257&lt;=Hypothèses!$V$12,Hypothèses!$X$12,IF(EE257&lt;=Hypothèses!$V$13,Hypothèses!$X$13,IF(EE257&lt;=Hypothèses!$V$14,Hypothèses!$X$14,IF(EE257&lt;=Hypothèses!$V$15,Hypothèses!$X$15,IF(EE257&lt;=Hypothèses!$V$16,Hypothèses!$X$16,IF(EE257&lt;=Hypothèses!$U$17,Hypothèses!$W$17,IF(EE257&lt;=Hypothèses!$U$18,Hypothèses!$W$18,""))))))))))))</f>
        <v>#DIV/0!</v>
      </c>
      <c r="FB257" s="95" t="e">
        <f t="shared" ca="1" si="397"/>
        <v>#DIV/0!</v>
      </c>
      <c r="FC257" s="101">
        <f t="shared" si="430"/>
        <v>0</v>
      </c>
      <c r="FD257" s="91">
        <f t="shared" si="364"/>
        <v>0</v>
      </c>
      <c r="FE257" s="30" t="e">
        <f t="shared" si="414"/>
        <v>#N/A</v>
      </c>
      <c r="FF257" s="30" t="e">
        <f t="shared" si="415"/>
        <v>#N/A</v>
      </c>
      <c r="FG257" s="31" t="e">
        <f>IF(OR(Hypothèses!$B$4=17,Hypothèses!$B$4=18,Hypothèses!$B$4=19,Hypothèses!$B$4=20),
IF($D257="Pressio.",
IF(OR($E257=3,$E257=1,$E257=4),FF257,FE257),
IF($D257="Pénétro.",
IF(OR($E257=3,$E257=1,$E257=4),FF257,FE257))),IF($D257="Pressio.",
IF($E257=3,FF257,FE257),
IF($D257="Pénétro.",
IF($E257=4,FF257,FE257))))</f>
        <v>#N/A</v>
      </c>
      <c r="FH257" s="31">
        <v>0</v>
      </c>
      <c r="FI257" s="102" t="e">
        <f>IF(NDC!$H$10="Oui",(VLOOKUP($B$3,'Coeff EC7'!$T$39:$X$59,2,0)*FG257+VLOOKUP($B$3,'Coeff EC7'!$T$65:$X$85,2,0)*Model0.1T!FH257)/1.5,PI()*FE$12*$Q257*($B257-$B256)*0.15/10+FI256)</f>
        <v>#N/A</v>
      </c>
      <c r="FJ257" s="102" t="e">
        <f>(VLOOKUP($B$3,'Coeff EC7'!$T$39:$X$59,3,0)*FG257+VLOOKUP($B$3,'Coeff EC7'!$T$65:$X$85,3,0)*Model0.1T!FH257)/1.1</f>
        <v>#N/A</v>
      </c>
      <c r="FK257" s="102" t="e">
        <f t="shared" si="398"/>
        <v>#N/A</v>
      </c>
      <c r="FL257" s="102" t="e">
        <f t="shared" si="399"/>
        <v>#N/A</v>
      </c>
      <c r="FM257" s="414" t="e">
        <f>IF(AND(FI257&gt;NDC!$C$63,FJ257&gt;NDC!$C$65,FK257&gt;NDC!$D$73,FL257&gt;NDC!$D$74,$B257&gt;NDC!$H$22-0.1+MIN(3*FM$12,1.5)),0,1)</f>
        <v>#N/A</v>
      </c>
    </row>
    <row r="258" spans="1:169">
      <c r="A258" s="96">
        <f t="shared" si="365"/>
        <v>75.500000000001393</v>
      </c>
      <c r="B258" s="97">
        <v>24.5</v>
      </c>
      <c r="C258" s="81">
        <f>IF(B258&lt;=Hypothèses!$C$7,Hypothèses!$A$7,IF(B258&lt;=Hypothèses!$C$8,Hypothèses!$A$8,IF(B258&lt;=Hypothèses!$C$9,Hypothèses!$A$9,IF(B258&lt;=Hypothèses!$C$10,Hypothèses!$A$10,IF(B258&lt;=Hypothèses!$C$11,Hypothèses!$A$11,IF(B258&lt;=Hypothèses!$C$12,Hypothèses!$A$12,IF(B258&lt;=Hypothèses!$C$13,Hypothèses!$A$13,IF(B258&lt;=Hypothèses!$C$14,Hypothèses!$A$14,IF(B258&lt;=Hypothèses!$C$15,Hypothèses!$A$15,IF(B258&lt;=Hypothèses!$C$16,Hypothèses!$A$16,IF(B258&lt;=Hypothèses!$C$17,Hypothèses!$A$17,IF(B258&lt;=Hypothèses!$C$18,Hypothèses!$A$18,C257))))))))))))</f>
        <v>11</v>
      </c>
      <c r="D258" s="82" t="str">
        <f>IF(B258&lt;=Hypothèses!$C$7,Hypothèses!$R$7,IF(B258&lt;=Hypothèses!$C$8,Hypothèses!$R$8,IF(B258&lt;=Hypothèses!$C$9,Hypothèses!$R$9,IF(B258&lt;=Hypothèses!$C$10,Hypothèses!$R$10,IF(B258&lt;=Hypothèses!$C$11,Hypothèses!$R$11,IF(B258&lt;=Hypothèses!$C$12,Hypothèses!$R$12,IF(B258&lt;=Hypothèses!$C$13,Hypothèses!$R$13,IF(B258&lt;=Hypothèses!$C$14,Hypothèses!$R$14,IF(B258&lt;=Hypothèses!$C$15,Hypothèses!$R$15,IF(B258&lt;=Hypothèses!$C$16,Hypothèses!$R$16,IF(B258&lt;=Hypothèses!$C$17,Hypothèses!$R$17,IF(B258&lt;=Hypothèses!$C$18,Hypothèses!$R$18,D257))))))))))))</f>
        <v>Pressio.</v>
      </c>
      <c r="E258" s="82" t="e">
        <f>IF(B258&lt;=Hypothèses!$C$7,Hypothèses!$G$7,IF(B258&lt;=Hypothèses!$C$8,Hypothèses!$G$8,IF(B258&lt;=Hypothèses!$C$9,Hypothèses!$G$9,IF(B258&lt;=Hypothèses!$C$10,Hypothèses!$G$10,IF(B258&lt;=Hypothèses!$C$11,Hypothèses!$G$11,IF(B258&lt;=Hypothèses!$C$12,Hypothèses!$G$12,IF(B258&lt;=Hypothèses!$C$13,Hypothèses!$G$13,IF(B258&lt;=Hypothèses!$C$14,Hypothèses!$G$14,IF(B258&lt;=Hypothèses!$C$15,Hypothèses!$G$15,IF(B258&lt;=Hypothèses!$C$16,Hypothèses!$G$16,IF(B258&lt;=Hypothèses!$C$17,Hypothèses!$G$17,IF(B258&lt;=Hypothèses!$C$18,Hypothèses!$G$18,E257))))))))))))</f>
        <v>#N/A</v>
      </c>
      <c r="F258" s="82" t="str">
        <f>IF(B258&lt;=Hypothèses!$C$7,Hypothèses!$F$7,IF(B258&lt;=Hypothèses!$C$8,Hypothèses!$F$8,IF(B258&lt;=Hypothèses!$C$9,Hypothèses!$F$9,IF(B258&lt;=Hypothèses!$C$10,Hypothèses!$F$10,IF(B258&lt;=Hypothèses!$C$11,Hypothèses!$F$11,IF(B258&lt;=Hypothèses!$C$12,Hypothèses!$F$12,IF(B258&lt;=Hypothèses!$C$13,Hypothèses!$F$13,IF(B258&lt;=Hypothèses!$C$14,Hypothèses!$F$14,IF(B258&lt;=Hypothèses!$C$15,Hypothèses!$F$15,IF(B258&lt;=Hypothèses!$C$16,Hypothèses!$F$16,IF(B258&lt;=Hypothèses!$C$17,Hypothèses!$F$17,IF(B258&lt;=Hypothèses!$C$18,Hypothèses!$F$18,F257))))))))))))</f>
        <v/>
      </c>
      <c r="G258" s="91">
        <f t="array" ref="G258">INDEX('Coeff EC7'!$U$7:$X$27,
MATCH(Model0.1T!$B$3,'Coeff EC7'!$T$7:$T$27,0),
MATCH(Model0.1T!$D258&amp;Model0.1T!$B$4,
'Coeff EC7'!$U$6:$X$6&amp;
'Coeff EC7'!$U$5:$X$5,0))</f>
        <v>1.4</v>
      </c>
      <c r="H258" s="91">
        <f t="array" ref="H258">INDEX('Coeff EC7'!$Y$7:$AB$27,
MATCH(Model0.1T!$B$3,'Coeff EC7'!$T$7:$T$27,0),
MATCH(Model0.1T!$D258&amp;Model0.1T!$B$4,
'Coeff EC7'!$Y$6:$AB$6&amp;
'Coeff EC7'!$Y$5:$AB$5,0))</f>
        <v>1.7</v>
      </c>
      <c r="I258" s="83">
        <v>0</v>
      </c>
      <c r="J258" s="91" t="e">
        <f t="array" ref="J258">INDEX('Coeff EC7'!$D$33:$Q$33,1,MATCH(D258&amp;E258,'Coeff EC7'!$D$31:$Q$31&amp;'Coeff EC7'!$D$32:$Q$32,0))</f>
        <v>#N/A</v>
      </c>
      <c r="K258" s="91" t="e">
        <f t="array" ref="K258">INDEX('Coeff EC7'!$D$34:$Q$34,1,MATCH(D258&amp;E258,'Coeff EC7'!$D$31:$Q$31&amp;'Coeff EC7'!$D$32:$Q$32,0))</f>
        <v>#N/A</v>
      </c>
      <c r="L258" s="91" t="e">
        <f t="array" ref="L258">INDEX('Coeff EC7'!$D$35:$Q$35,1,MATCH(D258&amp;E258,'Coeff EC7'!$D$31:$Q$31&amp;'Coeff EC7'!$D$32:$Q$32,0))</f>
        <v>#N/A</v>
      </c>
      <c r="M258" s="98" t="e">
        <f t="shared" si="331"/>
        <v>#N/A</v>
      </c>
      <c r="N258" s="99" t="e">
        <f t="array" ref="N258">INDEX('Coeff EC7'!$D$7:$Q$27,MATCH($B$3,'Coeff EC7'!$C$7:$C$27,0),MATCH(D258&amp;E258,'Coeff EC7'!$D$5:$Q$5&amp;'Coeff EC7'!$D$6:$Q$6,0))</f>
        <v>#N/A</v>
      </c>
      <c r="O258" s="99" t="e">
        <f t="array" ref="O258">INDEX('Coeff EC7'!$D$41:$Q$61,MATCH($B$3,'Coeff EC7'!$C$41:$C$61,0),MATCH(D258&amp;E258,'Coeff EC7'!$D$39:$Q$39&amp;'Coeff EC7'!$D$40:$Q$40,0))</f>
        <v>#N/A</v>
      </c>
      <c r="P258" s="30" t="e">
        <f t="shared" si="366"/>
        <v>#N/A</v>
      </c>
      <c r="Q258" s="100" t="e">
        <f t="shared" si="333"/>
        <v>#N/A</v>
      </c>
      <c r="R258" s="86" t="b">
        <f t="shared" si="334"/>
        <v>0</v>
      </c>
      <c r="S258" s="86">
        <f t="shared" si="332"/>
        <v>0.5</v>
      </c>
      <c r="T258" s="86">
        <f t="shared" si="335"/>
        <v>0.5</v>
      </c>
      <c r="U258" s="30" t="e">
        <f t="shared" ca="1" si="367"/>
        <v>#DIV/0!</v>
      </c>
      <c r="V258" s="85" t="str">
        <f>IF(B258&lt;=Hypothèses!$V$7,Hypothèses!$W$7,IF(B258&lt;=Hypothèses!$V$8,Hypothèses!$W$8,IF(B258&lt;=Hypothèses!$V$9,Hypothèses!$W$9,IF(B258&lt;=Hypothèses!$V$10,Hypothèses!$W$10,IF(B258&lt;=Hypothèses!$V$11,Hypothèses!$W$11,IF(B258&lt;=Hypothèses!$V$12,Hypothèses!$W$12,IF(B258&lt;=Hypothèses!$V$13,Hypothèses!$W$13,IF(B258&lt;=Hypothèses!$V$14,Hypothèses!$W$14,IF(B258&lt;=Hypothèses!$V$15,Hypothèses!$W$15,IF(B258&lt;=Hypothèses!$V$16,Hypothèses!$W$16,IF(B258&lt;=Hypothèses!$V$17,Hypothèses!$W$17,IF(B258&lt;=Hypothèses!$V$18,Hypothèses!$W$18,""))))))))))))</f>
        <v/>
      </c>
      <c r="W258" s="87" t="e">
        <f t="shared" ca="1" si="416"/>
        <v>#DIV/0!</v>
      </c>
      <c r="X258" s="88" t="str">
        <f>IF(B258&lt;=Hypothèses!$V$7,Hypothèses!$X$7,IF(B258&lt;=Hypothèses!$V$8,Hypothèses!$X$8,IF(B258&lt;=Hypothèses!$V$9,Hypothèses!$X$9,IF(B258&lt;=Hypothèses!$V$10,Hypothèses!$X$10,IF(B258&lt;=Hypothèses!$V$11,Hypothèses!$X$11,IF(B258&lt;=Hypothèses!$V$12,Hypothèses!$X$12,IF(B258&lt;=Hypothèses!$V$13,Hypothèses!$X$13,IF(B258&lt;=Hypothèses!$V$14,Hypothèses!$X$14,IF(B258&lt;=Hypothèses!$V$15,Hypothèses!$X$15,IF(B258&lt;=Hypothèses!$V$16,Hypothèses!$X$16,IF(B258&lt;=Hypothèses!$U$17,Hypothèses!$W$17,IF(B258&lt;=Hypothèses!$U$18,Hypothèses!$W$18,""))))))))))))</f>
        <v/>
      </c>
      <c r="Y258" s="95" t="e">
        <f t="shared" ca="1" si="336"/>
        <v>#DIV/0!</v>
      </c>
      <c r="Z258" s="101">
        <f t="shared" si="337"/>
        <v>0</v>
      </c>
      <c r="AA258" s="91">
        <f t="shared" si="338"/>
        <v>0</v>
      </c>
      <c r="AB258" s="30" t="e">
        <f t="shared" si="400"/>
        <v>#N/A</v>
      </c>
      <c r="AC258" s="30" t="e">
        <f t="shared" si="401"/>
        <v>#N/A</v>
      </c>
      <c r="AD258" s="31" t="e">
        <f>IF(OR(Hypothèses!$B$4=17,Hypothèses!$B$4=18,Hypothèses!$B$4=19,Hypothèses!$B$4=20),
IF($D258="Pressio.",
IF(OR($E258=3,$E258=1,$E258=4),AC258,AB258),
IF($D258="Pénétro.",
IF(OR($E258=3,$E258=1,$E258=4),AC258,AB258))),IF($D258="Pressio.",
IF($E258=3,AC258,AB258),
IF($D258="Pénétro.",
IF($E258=4,AC258,AB258))))</f>
        <v>#N/A</v>
      </c>
      <c r="AE258" s="31">
        <v>0</v>
      </c>
      <c r="AF258" s="102" t="e">
        <f>IF(NDC!$H$10="Oui",(VLOOKUP($B$3,'Coeff EC7'!$T$39:$X$59,2,0)*AD258+VLOOKUP($B$3,'Coeff EC7'!$T$65:$X$85,2,0)*Model0.1T!AE258)/1.5,PI()*AB$12*$Q258*($B258-$B257)*0.15/10+AF257)</f>
        <v>#N/A</v>
      </c>
      <c r="AG258" s="102" t="e">
        <f>(VLOOKUP($B$3,'Coeff EC7'!$T$39:$X$59,3,0)*AD258+VLOOKUP($B$3,'Coeff EC7'!$T$65:$X$85,3,0)*Model0.1T!AE258)/1.1</f>
        <v>#N/A</v>
      </c>
      <c r="AH258" s="102" t="e">
        <f t="shared" si="368"/>
        <v>#N/A</v>
      </c>
      <c r="AI258" s="102" t="e">
        <f t="shared" si="369"/>
        <v>#N/A</v>
      </c>
      <c r="AJ258" s="414" t="e">
        <f>IF(AND(AF258&gt;NDC!$C$63,AG258&gt;NDC!$C$65,AH258&gt;NDC!$D$73,AI258&gt;NDC!$D$74,$B258&gt;NDC!$H$22-0.1+MIN(3*$AJ$12,1.5)),0,1)</f>
        <v>#N/A</v>
      </c>
      <c r="AK258" s="86" t="b">
        <f t="shared" si="339"/>
        <v>0</v>
      </c>
      <c r="AL258" s="86">
        <f t="shared" si="370"/>
        <v>0.5</v>
      </c>
      <c r="AM258" s="86">
        <f t="shared" si="340"/>
        <v>0.5</v>
      </c>
      <c r="AN258" s="30" t="e">
        <f t="shared" ca="1" si="371"/>
        <v>#DIV/0!</v>
      </c>
      <c r="AO258" s="85" t="e">
        <f ca="1">IF(U258&lt;=Hypothèses!$V$7,Hypothèses!$W$7,IF(U258&lt;=Hypothèses!$V$8,Hypothèses!$W$8,IF(U258&lt;=Hypothèses!$V$9,Hypothèses!$W$9,IF(U258&lt;=Hypothèses!$V$10,Hypothèses!$W$10,IF(U258&lt;=Hypothèses!$V$11,Hypothèses!$W$11,IF(U258&lt;=Hypothèses!$V$12,Hypothèses!$W$12,IF(U258&lt;=Hypothèses!$V$13,Hypothèses!$W$13,IF(U258&lt;=Hypothèses!$V$14,Hypothèses!$W$14,IF(U258&lt;=Hypothèses!$V$15,Hypothèses!$W$15,IF(U258&lt;=Hypothèses!$V$16,Hypothèses!$W$16,IF(U258&lt;=Hypothèses!$V$17,Hypothèses!$W$17,IF(U258&lt;=Hypothèses!$V$18,Hypothèses!$W$18,""))))))))))))</f>
        <v>#DIV/0!</v>
      </c>
      <c r="AP258" s="87" t="e">
        <f t="shared" ca="1" si="417"/>
        <v>#DIV/0!</v>
      </c>
      <c r="AQ258" s="88" t="e">
        <f ca="1">IF(U258&lt;=Hypothèses!$V$7,Hypothèses!$X$7,IF(U258&lt;=Hypothèses!$V$8,Hypothèses!$X$8,IF(U258&lt;=Hypothèses!$V$9,Hypothèses!$X$9,IF(U258&lt;=Hypothèses!$V$10,Hypothèses!$X$10,IF(U258&lt;=Hypothèses!$V$11,Hypothèses!$X$11,IF(U258&lt;=Hypothèses!$V$12,Hypothèses!$X$12,IF(U258&lt;=Hypothèses!$V$13,Hypothèses!$X$13,IF(U258&lt;=Hypothèses!$V$14,Hypothèses!$X$14,IF(U258&lt;=Hypothèses!$V$15,Hypothèses!$X$15,IF(U258&lt;=Hypothèses!$V$16,Hypothèses!$X$16,IF(U258&lt;=Hypothèses!$U$17,Hypothèses!$W$17,IF(U258&lt;=Hypothèses!$U$18,Hypothèses!$W$18,""))))))))))))</f>
        <v>#DIV/0!</v>
      </c>
      <c r="AR258" s="95" t="e">
        <f t="shared" ca="1" si="372"/>
        <v>#DIV/0!</v>
      </c>
      <c r="AS258" s="101">
        <f t="shared" si="424"/>
        <v>0</v>
      </c>
      <c r="AT258" s="91">
        <f t="shared" si="341"/>
        <v>0</v>
      </c>
      <c r="AU258" s="30" t="e">
        <f t="shared" si="402"/>
        <v>#N/A</v>
      </c>
      <c r="AV258" s="30" t="e">
        <f t="shared" si="403"/>
        <v>#N/A</v>
      </c>
      <c r="AW258" s="31" t="e">
        <f>IF(OR(Hypothèses!$B$4=17,Hypothèses!$B$4=18,Hypothèses!$B$4=19,Hypothèses!$B$4=20),
IF($D258="Pressio.",
IF(OR($E258=3,$E258=1,$E258=4),AV258,AU258),
IF($D258="Pénétro.",
IF(OR($E258=3,$E258=1,$E258=4),AV258,AU258))),IF($D258="Pressio.",
IF($E258=3,AV258,AU258),
IF($D258="Pénétro.",
IF($E258=4,AV258,AU258))))</f>
        <v>#N/A</v>
      </c>
      <c r="AX258" s="31">
        <v>0</v>
      </c>
      <c r="AY258" s="102" t="e">
        <f>IF(NDC!$H$10="Oui",(VLOOKUP($B$3,'Coeff EC7'!$T$39:$X$59,2,0)*AW258+VLOOKUP($B$3,'Coeff EC7'!$T$65:$X$85,2,0)*Model0.1T!AX258)/1.5,PI()*AU$12*$Q258*($B258-$B257)*0.15/10+AY257)</f>
        <v>#N/A</v>
      </c>
      <c r="AZ258" s="102" t="e">
        <f>(VLOOKUP($B$3,'Coeff EC7'!$T$39:$X$59,3,0)*AW258+VLOOKUP($B$3,'Coeff EC7'!$T$65:$X$85,3,0)*Model0.1T!AX258)/1.1</f>
        <v>#N/A</v>
      </c>
      <c r="BA258" s="102" t="e">
        <f t="shared" si="373"/>
        <v>#N/A</v>
      </c>
      <c r="BB258" s="102" t="e">
        <f t="shared" si="374"/>
        <v>#N/A</v>
      </c>
      <c r="BC258" s="414" t="e">
        <f>IF(AND(AY258&gt;NDC!$C$63,AZ258&gt;NDC!$C$65,BA258&gt;NDC!$D$73,BB258&gt;NDC!$D$74,$B258&gt;NDC!$H$22-0.1+MIN(3*BC$12,1.5)),0,1)</f>
        <v>#N/A</v>
      </c>
      <c r="BD258" s="86" t="b">
        <f t="shared" si="342"/>
        <v>0</v>
      </c>
      <c r="BE258" s="86">
        <f t="shared" si="375"/>
        <v>0.5</v>
      </c>
      <c r="BF258" s="86">
        <f t="shared" si="343"/>
        <v>0.5</v>
      </c>
      <c r="BG258" s="30" t="e">
        <f t="shared" ca="1" si="376"/>
        <v>#DIV/0!</v>
      </c>
      <c r="BH258" s="85" t="e">
        <f ca="1">IF(AN258&lt;=Hypothèses!$V$7,Hypothèses!$W$7,IF(AN258&lt;=Hypothèses!$V$8,Hypothèses!$W$8,IF(AN258&lt;=Hypothèses!$V$9,Hypothèses!$W$9,IF(AN258&lt;=Hypothèses!$V$10,Hypothèses!$W$10,IF(AN258&lt;=Hypothèses!$V$11,Hypothèses!$W$11,IF(AN258&lt;=Hypothèses!$V$12,Hypothèses!$W$12,IF(AN258&lt;=Hypothèses!$V$13,Hypothèses!$W$13,IF(AN258&lt;=Hypothèses!$V$14,Hypothèses!$W$14,IF(AN258&lt;=Hypothèses!$V$15,Hypothèses!$W$15,IF(AN258&lt;=Hypothèses!$V$16,Hypothèses!$W$16,IF(AN258&lt;=Hypothèses!$V$17,Hypothèses!$W$17,IF(AN258&lt;=Hypothèses!$V$18,Hypothèses!$W$18,""))))))))))))</f>
        <v>#DIV/0!</v>
      </c>
      <c r="BI258" s="87" t="e">
        <f t="shared" ca="1" si="418"/>
        <v>#DIV/0!</v>
      </c>
      <c r="BJ258" s="88" t="e">
        <f ca="1">IF(AN258&lt;=Hypothèses!$V$7,Hypothèses!$X$7,IF(AN258&lt;=Hypothèses!$V$8,Hypothèses!$X$8,IF(AN258&lt;=Hypothèses!$V$9,Hypothèses!$X$9,IF(AN258&lt;=Hypothèses!$V$10,Hypothèses!$X$10,IF(AN258&lt;=Hypothèses!$V$11,Hypothèses!$X$11,IF(AN258&lt;=Hypothèses!$V$12,Hypothèses!$X$12,IF(AN258&lt;=Hypothèses!$V$13,Hypothèses!$X$13,IF(AN258&lt;=Hypothèses!$V$14,Hypothèses!$X$14,IF(AN258&lt;=Hypothèses!$V$15,Hypothèses!$X$15,IF(AN258&lt;=Hypothèses!$V$16,Hypothèses!$X$16,IF(AN258&lt;=Hypothèses!$U$17,Hypothèses!$W$17,IF(AN258&lt;=Hypothèses!$U$18,Hypothèses!$W$18,""))))))))))))</f>
        <v>#DIV/0!</v>
      </c>
      <c r="BK258" s="95" t="e">
        <f t="shared" ca="1" si="377"/>
        <v>#DIV/0!</v>
      </c>
      <c r="BL258" s="101">
        <f t="shared" si="425"/>
        <v>0</v>
      </c>
      <c r="BM258" s="91">
        <f t="shared" si="344"/>
        <v>0</v>
      </c>
      <c r="BN258" s="30" t="e">
        <f t="shared" si="404"/>
        <v>#N/A</v>
      </c>
      <c r="BO258" s="30" t="e">
        <f t="shared" si="405"/>
        <v>#N/A</v>
      </c>
      <c r="BP258" s="31" t="e">
        <f>IF(OR(Hypothèses!$B$4=17,Hypothèses!$B$4=18,Hypothèses!$B$4=19,Hypothèses!$B$4=20),
IF($D258="Pressio.",
IF(OR($E258=3,$E258=1,$E258=4),BO258,BN258),
IF($D258="Pénétro.",
IF(OR($E258=3,$E258=1,$E258=4),BO258,BN258))),IF($D258="Pressio.",
IF($E258=3,BO258,BN258),
IF($D258="Pénétro.",
IF($E258=4,BO258,BN258))))</f>
        <v>#N/A</v>
      </c>
      <c r="BQ258" s="31">
        <v>0</v>
      </c>
      <c r="BR258" s="102" t="e">
        <f>IF(NDC!$H$10="Oui",(VLOOKUP($B$3,'Coeff EC7'!$T$39:$X$59,2,0)*BP258+VLOOKUP($B$3,'Coeff EC7'!$T$65:$X$85,2,0)*Model0.1T!BQ258)/1.5,PI()*BN$12*$Q258*($B258-$B257)*0.15/10+BR257)</f>
        <v>#N/A</v>
      </c>
      <c r="BS258" s="102" t="e">
        <f>(VLOOKUP($B$3,'Coeff EC7'!$T$39:$X$59,3,0)*BP258+VLOOKUP($B$3,'Coeff EC7'!$T$65:$X$85,3,0)*Model0.1T!BQ258)/1.1</f>
        <v>#N/A</v>
      </c>
      <c r="BT258" s="102" t="e">
        <f t="shared" si="378"/>
        <v>#N/A</v>
      </c>
      <c r="BU258" s="102" t="e">
        <f t="shared" si="379"/>
        <v>#N/A</v>
      </c>
      <c r="BV258" s="414" t="e">
        <f>IF(AND(BR258&gt;NDC!$C$63,BS258&gt;NDC!$C$65,BT258&gt;NDC!$D$73,BU258&gt;NDC!$D$74,$B258&gt;NDC!$H$22-0.1+MIN(3*BV$12,1.5)),0,1)</f>
        <v>#N/A</v>
      </c>
      <c r="BW258" s="86" t="b">
        <f t="shared" si="345"/>
        <v>0</v>
      </c>
      <c r="BX258" s="86">
        <f t="shared" si="346"/>
        <v>0.5</v>
      </c>
      <c r="BY258" s="86">
        <f t="shared" si="347"/>
        <v>0.5</v>
      </c>
      <c r="BZ258" s="30" t="e">
        <f t="shared" ca="1" si="380"/>
        <v>#DIV/0!</v>
      </c>
      <c r="CA258" s="85" t="e">
        <f ca="1">IF(BG258&lt;=Hypothèses!$V$7,Hypothèses!$W$7,IF(BG258&lt;=Hypothèses!$V$8,Hypothèses!$W$8,IF(BG258&lt;=Hypothèses!$V$9,Hypothèses!$W$9,IF(BG258&lt;=Hypothèses!$V$10,Hypothèses!$W$10,IF(BG258&lt;=Hypothèses!$V$11,Hypothèses!$W$11,IF(BG258&lt;=Hypothèses!$V$12,Hypothèses!$W$12,IF(BG258&lt;=Hypothèses!$V$13,Hypothèses!$W$13,IF(BG258&lt;=Hypothèses!$V$14,Hypothèses!$W$14,IF(BG258&lt;=Hypothèses!$V$15,Hypothèses!$W$15,IF(BG258&lt;=Hypothèses!$V$16,Hypothèses!$W$16,IF(BG258&lt;=Hypothèses!$V$17,Hypothèses!$W$17,IF(BG258&lt;=Hypothèses!$V$18,Hypothèses!$W$18,""))))))))))))</f>
        <v>#DIV/0!</v>
      </c>
      <c r="CB258" s="87" t="e">
        <f t="shared" ca="1" si="419"/>
        <v>#DIV/0!</v>
      </c>
      <c r="CC258" s="88" t="e">
        <f ca="1">IF(BG258&lt;=Hypothèses!$V$7,Hypothèses!$X$7,IF(BG258&lt;=Hypothèses!$V$8,Hypothèses!$X$8,IF(BG258&lt;=Hypothèses!$V$9,Hypothèses!$X$9,IF(BG258&lt;=Hypothèses!$V$10,Hypothèses!$X$10,IF(BG258&lt;=Hypothèses!$V$11,Hypothèses!$X$11,IF(BG258&lt;=Hypothèses!$V$12,Hypothèses!$X$12,IF(BG258&lt;=Hypothèses!$V$13,Hypothèses!$X$13,IF(BG258&lt;=Hypothèses!$V$14,Hypothèses!$X$14,IF(BG258&lt;=Hypothèses!$V$15,Hypothèses!$X$15,IF(BG258&lt;=Hypothèses!$V$16,Hypothèses!$X$16,IF(BG258&lt;=Hypothèses!$U$17,Hypothèses!$W$17,IF(BG258&lt;=Hypothèses!$U$18,Hypothèses!$W$18,""))))))))))))</f>
        <v>#DIV/0!</v>
      </c>
      <c r="CD258" s="95" t="e">
        <f t="shared" ca="1" si="381"/>
        <v>#DIV/0!</v>
      </c>
      <c r="CE258" s="101">
        <f t="shared" si="426"/>
        <v>0</v>
      </c>
      <c r="CF258" s="91">
        <f t="shared" si="348"/>
        <v>0</v>
      </c>
      <c r="CG258" s="30" t="e">
        <f t="shared" si="406"/>
        <v>#N/A</v>
      </c>
      <c r="CH258" s="30" t="e">
        <f t="shared" si="407"/>
        <v>#N/A</v>
      </c>
      <c r="CI258" s="31" t="e">
        <f>IF(OR(Hypothèses!$B$4=17,Hypothèses!$B$4=18,Hypothèses!$B$4=19,Hypothèses!$B$4=20),
IF($D258="Pressio.",
IF(OR($E258=3,$E258=1,$E258=4),CH258,CG258),
IF($D258="Pénétro.",
IF(OR($E258=3,$E258=1,$E258=4),CH258,CG258))),IF($D258="Pressio.",
IF($E258=3,CH258,CG258),
IF($D258="Pénétro.",
IF($E258=4,CH258,CG258))))</f>
        <v>#N/A</v>
      </c>
      <c r="CJ258" s="31">
        <v>0</v>
      </c>
      <c r="CK258" s="102" t="e">
        <f>IF(NDC!$H$10="Oui",(VLOOKUP($B$3,'Coeff EC7'!$T$39:$X$59,2,0)*CI258+VLOOKUP($B$3,'Coeff EC7'!$T$65:$X$85,2,0)*Model0.1T!CJ258)/1.5,PI()*CG$12*$Q258*($B258-$B257)*0.15/10+CK257)</f>
        <v>#N/A</v>
      </c>
      <c r="CL258" s="102" t="e">
        <f>(VLOOKUP($B$3,'Coeff EC7'!$T$39:$X$59,3,0)*CI258+VLOOKUP($B$3,'Coeff EC7'!$T$65:$X$85,3,0)*Model0.1T!CJ258)/1.1</f>
        <v>#N/A</v>
      </c>
      <c r="CM258" s="102" t="e">
        <f t="shared" si="382"/>
        <v>#N/A</v>
      </c>
      <c r="CN258" s="102" t="e">
        <f t="shared" si="383"/>
        <v>#N/A</v>
      </c>
      <c r="CO258" s="414" t="e">
        <f>IF(AND(CK258&gt;NDC!$C$63,CL258&gt;NDC!$C$65,CM258&gt;NDC!$D$73,CN258&gt;NDC!$D$74,$B258&gt;NDC!$H$22-0.1+MIN(3*CO$12,1.5)),0,1)</f>
        <v>#N/A</v>
      </c>
      <c r="CP258" s="86" t="b">
        <f t="shared" si="349"/>
        <v>0</v>
      </c>
      <c r="CQ258" s="86">
        <f t="shared" si="350"/>
        <v>0.5</v>
      </c>
      <c r="CR258" s="86">
        <f t="shared" si="351"/>
        <v>0.5</v>
      </c>
      <c r="CS258" s="30" t="e">
        <f t="shared" ca="1" si="384"/>
        <v>#DIV/0!</v>
      </c>
      <c r="CT258" s="85" t="e">
        <f ca="1">IF(BZ258&lt;=Hypothèses!$V$7,Hypothèses!$W$7,IF(BZ258&lt;=Hypothèses!$V$8,Hypothèses!$W$8,IF(BZ258&lt;=Hypothèses!$V$9,Hypothèses!$W$9,IF(BZ258&lt;=Hypothèses!$V$10,Hypothèses!$W$10,IF(BZ258&lt;=Hypothèses!$V$11,Hypothèses!$W$11,IF(BZ258&lt;=Hypothèses!$V$12,Hypothèses!$W$12,IF(BZ258&lt;=Hypothèses!$V$13,Hypothèses!$W$13,IF(BZ258&lt;=Hypothèses!$V$14,Hypothèses!$W$14,IF(BZ258&lt;=Hypothèses!$V$15,Hypothèses!$W$15,IF(BZ258&lt;=Hypothèses!$V$16,Hypothèses!$W$16,IF(BZ258&lt;=Hypothèses!$V$17,Hypothèses!$W$17,IF(BZ258&lt;=Hypothèses!$V$18,Hypothèses!$W$18,""))))))))))))</f>
        <v>#DIV/0!</v>
      </c>
      <c r="CU258" s="87" t="e">
        <f t="shared" ca="1" si="420"/>
        <v>#DIV/0!</v>
      </c>
      <c r="CV258" s="88" t="e">
        <f ca="1">IF(BZ258&lt;=Hypothèses!$V$7,Hypothèses!$X$7,IF(BZ258&lt;=Hypothèses!$V$8,Hypothèses!$X$8,IF(BZ258&lt;=Hypothèses!$V$9,Hypothèses!$X$9,IF(BZ258&lt;=Hypothèses!$V$10,Hypothèses!$X$10,IF(BZ258&lt;=Hypothèses!$V$11,Hypothèses!$X$11,IF(BZ258&lt;=Hypothèses!$V$12,Hypothèses!$X$12,IF(BZ258&lt;=Hypothèses!$V$13,Hypothèses!$X$13,IF(BZ258&lt;=Hypothèses!$V$14,Hypothèses!$X$14,IF(BZ258&lt;=Hypothèses!$V$15,Hypothèses!$X$15,IF(BZ258&lt;=Hypothèses!$V$16,Hypothèses!$X$16,IF(BZ258&lt;=Hypothèses!$U$17,Hypothèses!$W$17,IF(BZ258&lt;=Hypothèses!$U$18,Hypothèses!$W$18,""))))))))))))</f>
        <v>#DIV/0!</v>
      </c>
      <c r="CW258" s="95" t="e">
        <f t="shared" ca="1" si="385"/>
        <v>#DIV/0!</v>
      </c>
      <c r="CX258" s="101">
        <f t="shared" si="427"/>
        <v>0</v>
      </c>
      <c r="CY258" s="91">
        <f t="shared" si="352"/>
        <v>0</v>
      </c>
      <c r="CZ258" s="30" t="e">
        <f t="shared" si="408"/>
        <v>#N/A</v>
      </c>
      <c r="DA258" s="30" t="e">
        <f t="shared" si="409"/>
        <v>#N/A</v>
      </c>
      <c r="DB258" s="31" t="e">
        <f>IF(OR(Hypothèses!$B$4=17,Hypothèses!$B$4=18,Hypothèses!$B$4=19,Hypothèses!$B$4=20),
IF($D258="Pressio.",
IF(OR($E258=3,$E258=1,$E258=4),DA258,CZ258),
IF($D258="Pénétro.",
IF(OR($E258=3,$E258=1,$E258=4),DA258,CZ258))),IF($D258="Pressio.",
IF($E258=3,DA258,CZ258),
IF($D258="Pénétro.",
IF($E258=4,DA258,CZ258))))</f>
        <v>#N/A</v>
      </c>
      <c r="DC258" s="31">
        <v>0</v>
      </c>
      <c r="DD258" s="102" t="e">
        <f>IF(NDC!$H$10="Oui",(VLOOKUP($B$3,'Coeff EC7'!$T$39:$X$59,2,0)*DB258+VLOOKUP($B$3,'Coeff EC7'!$T$65:$X$85,2,0)*Model0.1T!DC258)/1.5,PI()*CZ$12*$Q258*($B258-$B257)*0.15/10+DD257)</f>
        <v>#N/A</v>
      </c>
      <c r="DE258" s="102" t="e">
        <f>(VLOOKUP($B$3,'Coeff EC7'!$T$39:$X$59,3,0)*DB258+VLOOKUP($B$3,'Coeff EC7'!$T$65:$X$85,3,0)*Model0.1T!DC258)/1.1</f>
        <v>#N/A</v>
      </c>
      <c r="DF258" s="102" t="e">
        <f t="shared" si="386"/>
        <v>#N/A</v>
      </c>
      <c r="DG258" s="102" t="e">
        <f t="shared" si="387"/>
        <v>#N/A</v>
      </c>
      <c r="DH258" s="414" t="e">
        <f>IF(AND(DD258&gt;NDC!$C$63,DE258&gt;NDC!$C$65,DF258&gt;NDC!$D$73,DG258&gt;NDC!$D$74,$B258&gt;NDC!$H$22-0.1+MIN(3*DH$12,1.5)),0,1)</f>
        <v>#N/A</v>
      </c>
      <c r="DI258" s="86" t="b">
        <f t="shared" si="353"/>
        <v>0</v>
      </c>
      <c r="DJ258" s="86">
        <f t="shared" si="354"/>
        <v>0.5</v>
      </c>
      <c r="DK258" s="86">
        <f t="shared" si="355"/>
        <v>0.5</v>
      </c>
      <c r="DL258" s="30" t="e">
        <f t="shared" ca="1" si="388"/>
        <v>#DIV/0!</v>
      </c>
      <c r="DM258" s="85" t="e">
        <f ca="1">IF(CS258&lt;=Hypothèses!$V$7,Hypothèses!$W$7,IF(CS258&lt;=Hypothèses!$V$8,Hypothèses!$W$8,IF(CS258&lt;=Hypothèses!$V$9,Hypothèses!$W$9,IF(CS258&lt;=Hypothèses!$V$10,Hypothèses!$W$10,IF(CS258&lt;=Hypothèses!$V$11,Hypothèses!$W$11,IF(CS258&lt;=Hypothèses!$V$12,Hypothèses!$W$12,IF(CS258&lt;=Hypothèses!$V$13,Hypothèses!$W$13,IF(CS258&lt;=Hypothèses!$V$14,Hypothèses!$W$14,IF(CS258&lt;=Hypothèses!$V$15,Hypothèses!$W$15,IF(CS258&lt;=Hypothèses!$V$16,Hypothèses!$W$16,IF(CS258&lt;=Hypothèses!$V$17,Hypothèses!$W$17,IF(CS258&lt;=Hypothèses!$V$18,Hypothèses!$W$18,""))))))))))))</f>
        <v>#DIV/0!</v>
      </c>
      <c r="DN258" s="87" t="e">
        <f t="shared" ca="1" si="421"/>
        <v>#DIV/0!</v>
      </c>
      <c r="DO258" s="88" t="e">
        <f ca="1">IF(CS258&lt;=Hypothèses!$V$7,Hypothèses!$X$7,IF(CS258&lt;=Hypothèses!$V$8,Hypothèses!$X$8,IF(CS258&lt;=Hypothèses!$V$9,Hypothèses!$X$9,IF(CS258&lt;=Hypothèses!$V$10,Hypothèses!$X$10,IF(CS258&lt;=Hypothèses!$V$11,Hypothèses!$X$11,IF(CS258&lt;=Hypothèses!$V$12,Hypothèses!$X$12,IF(CS258&lt;=Hypothèses!$V$13,Hypothèses!$X$13,IF(CS258&lt;=Hypothèses!$V$14,Hypothèses!$X$14,IF(CS258&lt;=Hypothèses!$V$15,Hypothèses!$X$15,IF(CS258&lt;=Hypothèses!$V$16,Hypothèses!$X$16,IF(CS258&lt;=Hypothèses!$U$17,Hypothèses!$W$17,IF(CS258&lt;=Hypothèses!$U$18,Hypothèses!$W$18,""))))))))))))</f>
        <v>#DIV/0!</v>
      </c>
      <c r="DP258" s="95" t="e">
        <f t="shared" ca="1" si="389"/>
        <v>#DIV/0!</v>
      </c>
      <c r="DQ258" s="101">
        <f t="shared" si="428"/>
        <v>0</v>
      </c>
      <c r="DR258" s="91">
        <f t="shared" si="356"/>
        <v>0</v>
      </c>
      <c r="DS258" s="30" t="e">
        <f t="shared" si="410"/>
        <v>#N/A</v>
      </c>
      <c r="DT258" s="30" t="e">
        <f t="shared" si="411"/>
        <v>#N/A</v>
      </c>
      <c r="DU258" s="31" t="e">
        <f>IF(OR(Hypothèses!$B$4=17,Hypothèses!$B$4=18,Hypothèses!$B$4=19,Hypothèses!$B$4=20),
IF($D258="Pressio.",
IF(OR($E258=3,$E258=1,$E258=4),DT258,DS258),
IF($D258="Pénétro.",
IF(OR($E258=3,$E258=1,$E258=4),DT258,DS258))),IF($D258="Pressio.",
IF($E258=3,DT258,DS258),
IF($D258="Pénétro.",
IF($E258=4,DT258,DS258))))</f>
        <v>#N/A</v>
      </c>
      <c r="DV258" s="31">
        <v>0</v>
      </c>
      <c r="DW258" s="102" t="e">
        <f>IF(NDC!$H$10="Oui",(VLOOKUP($B$3,'Coeff EC7'!$T$39:$X$59,2,0)*DU258+VLOOKUP($B$3,'Coeff EC7'!$T$65:$X$85,2,0)*Model0.1T!DV258)/1.5,PI()*DS$12*$Q258*($B258-$B257)*0.15/10+DW257)</f>
        <v>#N/A</v>
      </c>
      <c r="DX258" s="102" t="e">
        <f>(VLOOKUP($B$3,'Coeff EC7'!$T$39:$X$59,3,0)*DU258+VLOOKUP($B$3,'Coeff EC7'!$T$65:$X$85,3,0)*Model0.1T!DV258)/1.1</f>
        <v>#N/A</v>
      </c>
      <c r="DY258" s="102" t="e">
        <f t="shared" si="390"/>
        <v>#N/A</v>
      </c>
      <c r="DZ258" s="102" t="e">
        <f t="shared" si="391"/>
        <v>#N/A</v>
      </c>
      <c r="EA258" s="414" t="e">
        <f>IF(AND(DW258&gt;NDC!$C$63,DX258&gt;NDC!$C$65,DY258&gt;NDC!$D$73,DZ258&gt;NDC!$D$74,$B258&gt;NDC!$H$22-0.1+MIN(3*EA$12,1.5)),0,1)</f>
        <v>#N/A</v>
      </c>
      <c r="EB258" s="86" t="b">
        <f t="shared" si="357"/>
        <v>0</v>
      </c>
      <c r="EC258" s="418">
        <f t="shared" si="358"/>
        <v>0.51</v>
      </c>
      <c r="ED258" s="86">
        <f t="shared" si="359"/>
        <v>0.51</v>
      </c>
      <c r="EE258" s="30" t="e">
        <f t="shared" ca="1" si="392"/>
        <v>#DIV/0!</v>
      </c>
      <c r="EF258" s="85" t="e">
        <f ca="1">IF(DL258&lt;=Hypothèses!$V$7,Hypothèses!$W$7,IF(DL258&lt;=Hypothèses!$V$8,Hypothèses!$W$8,IF(DL258&lt;=Hypothèses!$V$9,Hypothèses!$W$9,IF(DL258&lt;=Hypothèses!$V$10,Hypothèses!$W$10,IF(DL258&lt;=Hypothèses!$V$11,Hypothèses!$W$11,IF(DL258&lt;=Hypothèses!$V$12,Hypothèses!$W$12,IF(DL258&lt;=Hypothèses!$V$13,Hypothèses!$W$13,IF(DL258&lt;=Hypothèses!$V$14,Hypothèses!$W$14,IF(DL258&lt;=Hypothèses!$V$15,Hypothèses!$W$15,IF(DL258&lt;=Hypothèses!$V$16,Hypothèses!$W$16,IF(DL258&lt;=Hypothèses!$V$17,Hypothèses!$W$17,IF(DL258&lt;=Hypothèses!$V$18,Hypothèses!$W$18,""))))))))))))</f>
        <v>#DIV/0!</v>
      </c>
      <c r="EG258" s="87" t="e">
        <f t="shared" ca="1" si="422"/>
        <v>#DIV/0!</v>
      </c>
      <c r="EH258" s="88" t="e">
        <f ca="1">IF(DL258&lt;=Hypothèses!$V$7,Hypothèses!$X$7,IF(DL258&lt;=Hypothèses!$V$8,Hypothèses!$X$8,IF(DL258&lt;=Hypothèses!$V$9,Hypothèses!$X$9,IF(DL258&lt;=Hypothèses!$V$10,Hypothèses!$X$10,IF(DL258&lt;=Hypothèses!$V$11,Hypothèses!$X$11,IF(DL258&lt;=Hypothèses!$V$12,Hypothèses!$X$12,IF(DL258&lt;=Hypothèses!$V$13,Hypothèses!$X$13,IF(DL258&lt;=Hypothèses!$V$14,Hypothèses!$X$14,IF(DL258&lt;=Hypothèses!$V$15,Hypothèses!$X$15,IF(DL258&lt;=Hypothèses!$V$16,Hypothèses!$X$16,IF(DL258&lt;=Hypothèses!$U$17,Hypothèses!$W$17,IF(DL258&lt;=Hypothèses!$U$18,Hypothèses!$W$18,""))))))))))))</f>
        <v>#DIV/0!</v>
      </c>
      <c r="EI258" s="95" t="e">
        <f t="shared" ca="1" si="393"/>
        <v>#DIV/0!</v>
      </c>
      <c r="EJ258" s="101">
        <f t="shared" si="429"/>
        <v>0</v>
      </c>
      <c r="EK258" s="91">
        <f t="shared" si="360"/>
        <v>0</v>
      </c>
      <c r="EL258" s="30" t="e">
        <f t="shared" si="412"/>
        <v>#N/A</v>
      </c>
      <c r="EM258" s="30" t="e">
        <f t="shared" si="413"/>
        <v>#N/A</v>
      </c>
      <c r="EN258" s="31" t="e">
        <f>IF(OR(Hypothèses!$B$4=17,Hypothèses!$B$4=18,Hypothèses!$B$4=19,Hypothèses!$B$4=20),
IF($D258="Pressio.",
IF(OR($E258=3,$E258=1,$E258=4),EM258,EL258),
IF($D258="Pénétro.",
IF(OR($E258=3,$E258=1,$E258=4),EM258,EL258))),IF($D258="Pressio.",
IF($E258=3,EM258,EL258),
IF($D258="Pénétro.",
IF($E258=4,EM258,EL258))))</f>
        <v>#N/A</v>
      </c>
      <c r="EO258" s="31">
        <v>0</v>
      </c>
      <c r="EP258" s="102" t="e">
        <f>IF(NDC!$H$10="Oui",(VLOOKUP($B$3,'Coeff EC7'!$T$39:$X$59,2,0)*EN258+VLOOKUP($B$3,'Coeff EC7'!$T$65:$X$85,2,0)*Model0.1T!EO258)/1.5,PI()*EL$12*$Q258*($B258-$B257)*0.15/10+EP257)</f>
        <v>#N/A</v>
      </c>
      <c r="EQ258" s="102" t="e">
        <f>(VLOOKUP($B$3,'Coeff EC7'!$T$39:$X$59,3,0)*EN258+VLOOKUP($B$3,'Coeff EC7'!$T$65:$X$85,3,0)*Model0.1T!EO258)/1.1</f>
        <v>#N/A</v>
      </c>
      <c r="ER258" s="102" t="e">
        <f t="shared" si="394"/>
        <v>#N/A</v>
      </c>
      <c r="ES258" s="102" t="e">
        <f t="shared" si="395"/>
        <v>#N/A</v>
      </c>
      <c r="ET258" s="414" t="e">
        <f>IF(AND(EP258&gt;NDC!$C$63,EQ258&gt;NDC!$C$65,ER258&gt;NDC!$D$73,ES258&gt;NDC!$D$74,$B258&gt;NDC!$H$22-0.1+MIN(3*ET$12,1.5)),0,1)</f>
        <v>#N/A</v>
      </c>
      <c r="EU258" s="86" t="b">
        <f t="shared" si="361"/>
        <v>0</v>
      </c>
      <c r="EV258" s="86">
        <f t="shared" si="362"/>
        <v>0.61</v>
      </c>
      <c r="EW258" s="86">
        <f t="shared" si="363"/>
        <v>0.61</v>
      </c>
      <c r="EX258" s="30" t="e">
        <f t="shared" ca="1" si="396"/>
        <v>#DIV/0!</v>
      </c>
      <c r="EY258" s="85" t="e">
        <f ca="1">IF(EE258&lt;=Hypothèses!$V$7,Hypothèses!$W$7,IF(EE258&lt;=Hypothèses!$V$8,Hypothèses!$W$8,IF(EE258&lt;=Hypothèses!$V$9,Hypothèses!$W$9,IF(EE258&lt;=Hypothèses!$V$10,Hypothèses!$W$10,IF(EE258&lt;=Hypothèses!$V$11,Hypothèses!$W$11,IF(EE258&lt;=Hypothèses!$V$12,Hypothèses!$W$12,IF(EE258&lt;=Hypothèses!$V$13,Hypothèses!$W$13,IF(EE258&lt;=Hypothèses!$V$14,Hypothèses!$W$14,IF(EE258&lt;=Hypothèses!$V$15,Hypothèses!$W$15,IF(EE258&lt;=Hypothèses!$V$16,Hypothèses!$W$16,IF(EE258&lt;=Hypothèses!$V$17,Hypothèses!$W$17,IF(EE258&lt;=Hypothèses!$V$18,Hypothèses!$W$18,""))))))))))))</f>
        <v>#DIV/0!</v>
      </c>
      <c r="EZ258" s="87" t="e">
        <f t="shared" ca="1" si="423"/>
        <v>#DIV/0!</v>
      </c>
      <c r="FA258" s="88" t="e">
        <f ca="1">IF(EE258&lt;=Hypothèses!$V$7,Hypothèses!$X$7,IF(EE258&lt;=Hypothèses!$V$8,Hypothèses!$X$8,IF(EE258&lt;=Hypothèses!$V$9,Hypothèses!$X$9,IF(EE258&lt;=Hypothèses!$V$10,Hypothèses!$X$10,IF(EE258&lt;=Hypothèses!$V$11,Hypothèses!$X$11,IF(EE258&lt;=Hypothèses!$V$12,Hypothèses!$X$12,IF(EE258&lt;=Hypothèses!$V$13,Hypothèses!$X$13,IF(EE258&lt;=Hypothèses!$V$14,Hypothèses!$X$14,IF(EE258&lt;=Hypothèses!$V$15,Hypothèses!$X$15,IF(EE258&lt;=Hypothèses!$V$16,Hypothèses!$X$16,IF(EE258&lt;=Hypothèses!$U$17,Hypothèses!$W$17,IF(EE258&lt;=Hypothèses!$U$18,Hypothèses!$W$18,""))))))))))))</f>
        <v>#DIV/0!</v>
      </c>
      <c r="FB258" s="95" t="e">
        <f t="shared" ca="1" si="397"/>
        <v>#DIV/0!</v>
      </c>
      <c r="FC258" s="101">
        <f t="shared" si="430"/>
        <v>0</v>
      </c>
      <c r="FD258" s="91">
        <f t="shared" si="364"/>
        <v>0</v>
      </c>
      <c r="FE258" s="30" t="e">
        <f t="shared" si="414"/>
        <v>#N/A</v>
      </c>
      <c r="FF258" s="30" t="e">
        <f t="shared" si="415"/>
        <v>#N/A</v>
      </c>
      <c r="FG258" s="31" t="e">
        <f>IF(OR(Hypothèses!$B$4=17,Hypothèses!$B$4=18,Hypothèses!$B$4=19,Hypothèses!$B$4=20),
IF($D258="Pressio.",
IF(OR($E258=3,$E258=1,$E258=4),FF258,FE258),
IF($D258="Pénétro.",
IF(OR($E258=3,$E258=1,$E258=4),FF258,FE258))),IF($D258="Pressio.",
IF($E258=3,FF258,FE258),
IF($D258="Pénétro.",
IF($E258=4,FF258,FE258))))</f>
        <v>#N/A</v>
      </c>
      <c r="FH258" s="31">
        <v>0</v>
      </c>
      <c r="FI258" s="102" t="e">
        <f>IF(NDC!$H$10="Oui",(VLOOKUP($B$3,'Coeff EC7'!$T$39:$X$59,2,0)*FG258+VLOOKUP($B$3,'Coeff EC7'!$T$65:$X$85,2,0)*Model0.1T!FH258)/1.5,PI()*FE$12*$Q258*($B258-$B257)*0.15/10+FI257)</f>
        <v>#N/A</v>
      </c>
      <c r="FJ258" s="102" t="e">
        <f>(VLOOKUP($B$3,'Coeff EC7'!$T$39:$X$59,3,0)*FG258+VLOOKUP($B$3,'Coeff EC7'!$T$65:$X$85,3,0)*Model0.1T!FH258)/1.1</f>
        <v>#N/A</v>
      </c>
      <c r="FK258" s="102" t="e">
        <f t="shared" si="398"/>
        <v>#N/A</v>
      </c>
      <c r="FL258" s="102" t="e">
        <f t="shared" si="399"/>
        <v>#N/A</v>
      </c>
      <c r="FM258" s="414" t="e">
        <f>IF(AND(FI258&gt;NDC!$C$63,FJ258&gt;NDC!$C$65,FK258&gt;NDC!$D$73,FL258&gt;NDC!$D$74,$B258&gt;NDC!$H$22-0.1+MIN(3*FM$12,1.5)),0,1)</f>
        <v>#N/A</v>
      </c>
    </row>
    <row r="259" spans="1:169">
      <c r="A259" s="96">
        <f t="shared" si="365"/>
        <v>75.400000000001398</v>
      </c>
      <c r="B259" s="97">
        <v>24.6</v>
      </c>
      <c r="C259" s="81">
        <f>IF(B259&lt;=Hypothèses!$C$7,Hypothèses!$A$7,IF(B259&lt;=Hypothèses!$C$8,Hypothèses!$A$8,IF(B259&lt;=Hypothèses!$C$9,Hypothèses!$A$9,IF(B259&lt;=Hypothèses!$C$10,Hypothèses!$A$10,IF(B259&lt;=Hypothèses!$C$11,Hypothèses!$A$11,IF(B259&lt;=Hypothèses!$C$12,Hypothèses!$A$12,IF(B259&lt;=Hypothèses!$C$13,Hypothèses!$A$13,IF(B259&lt;=Hypothèses!$C$14,Hypothèses!$A$14,IF(B259&lt;=Hypothèses!$C$15,Hypothèses!$A$15,IF(B259&lt;=Hypothèses!$C$16,Hypothèses!$A$16,IF(B259&lt;=Hypothèses!$C$17,Hypothèses!$A$17,IF(B259&lt;=Hypothèses!$C$18,Hypothèses!$A$18,C258))))))))))))</f>
        <v>11</v>
      </c>
      <c r="D259" s="82" t="str">
        <f>IF(B259&lt;=Hypothèses!$C$7,Hypothèses!$R$7,IF(B259&lt;=Hypothèses!$C$8,Hypothèses!$R$8,IF(B259&lt;=Hypothèses!$C$9,Hypothèses!$R$9,IF(B259&lt;=Hypothèses!$C$10,Hypothèses!$R$10,IF(B259&lt;=Hypothèses!$C$11,Hypothèses!$R$11,IF(B259&lt;=Hypothèses!$C$12,Hypothèses!$R$12,IF(B259&lt;=Hypothèses!$C$13,Hypothèses!$R$13,IF(B259&lt;=Hypothèses!$C$14,Hypothèses!$R$14,IF(B259&lt;=Hypothèses!$C$15,Hypothèses!$R$15,IF(B259&lt;=Hypothèses!$C$16,Hypothèses!$R$16,IF(B259&lt;=Hypothèses!$C$17,Hypothèses!$R$17,IF(B259&lt;=Hypothèses!$C$18,Hypothèses!$R$18,D258))))))))))))</f>
        <v>Pressio.</v>
      </c>
      <c r="E259" s="82" t="e">
        <f>IF(B259&lt;=Hypothèses!$C$7,Hypothèses!$G$7,IF(B259&lt;=Hypothèses!$C$8,Hypothèses!$G$8,IF(B259&lt;=Hypothèses!$C$9,Hypothèses!$G$9,IF(B259&lt;=Hypothèses!$C$10,Hypothèses!$G$10,IF(B259&lt;=Hypothèses!$C$11,Hypothèses!$G$11,IF(B259&lt;=Hypothèses!$C$12,Hypothèses!$G$12,IF(B259&lt;=Hypothèses!$C$13,Hypothèses!$G$13,IF(B259&lt;=Hypothèses!$C$14,Hypothèses!$G$14,IF(B259&lt;=Hypothèses!$C$15,Hypothèses!$G$15,IF(B259&lt;=Hypothèses!$C$16,Hypothèses!$G$16,IF(B259&lt;=Hypothèses!$C$17,Hypothèses!$G$17,IF(B259&lt;=Hypothèses!$C$18,Hypothèses!$G$18,E258))))))))))))</f>
        <v>#N/A</v>
      </c>
      <c r="F259" s="82" t="str">
        <f>IF(B259&lt;=Hypothèses!$C$7,Hypothèses!$F$7,IF(B259&lt;=Hypothèses!$C$8,Hypothèses!$F$8,IF(B259&lt;=Hypothèses!$C$9,Hypothèses!$F$9,IF(B259&lt;=Hypothèses!$C$10,Hypothèses!$F$10,IF(B259&lt;=Hypothèses!$C$11,Hypothèses!$F$11,IF(B259&lt;=Hypothèses!$C$12,Hypothèses!$F$12,IF(B259&lt;=Hypothèses!$C$13,Hypothèses!$F$13,IF(B259&lt;=Hypothèses!$C$14,Hypothèses!$F$14,IF(B259&lt;=Hypothèses!$C$15,Hypothèses!$F$15,IF(B259&lt;=Hypothèses!$C$16,Hypothèses!$F$16,IF(B259&lt;=Hypothèses!$C$17,Hypothèses!$F$17,IF(B259&lt;=Hypothèses!$C$18,Hypothèses!$F$18,F258))))))))))))</f>
        <v/>
      </c>
      <c r="G259" s="91">
        <f t="array" ref="G259">INDEX('Coeff EC7'!$U$7:$X$27,
MATCH(Model0.1T!$B$3,'Coeff EC7'!$T$7:$T$27,0),
MATCH(Model0.1T!$D259&amp;Model0.1T!$B$4,
'Coeff EC7'!$U$6:$X$6&amp;
'Coeff EC7'!$U$5:$X$5,0))</f>
        <v>1.4</v>
      </c>
      <c r="H259" s="91">
        <f t="array" ref="H259">INDEX('Coeff EC7'!$Y$7:$AB$27,
MATCH(Model0.1T!$B$3,'Coeff EC7'!$T$7:$T$27,0),
MATCH(Model0.1T!$D259&amp;Model0.1T!$B$4,
'Coeff EC7'!$Y$6:$AB$6&amp;
'Coeff EC7'!$Y$5:$AB$5,0))</f>
        <v>1.7</v>
      </c>
      <c r="I259" s="83">
        <v>0</v>
      </c>
      <c r="J259" s="91" t="e">
        <f t="array" ref="J259">INDEX('Coeff EC7'!$D$33:$Q$33,1,MATCH(D259&amp;E259,'Coeff EC7'!$D$31:$Q$31&amp;'Coeff EC7'!$D$32:$Q$32,0))</f>
        <v>#N/A</v>
      </c>
      <c r="K259" s="91" t="e">
        <f t="array" ref="K259">INDEX('Coeff EC7'!$D$34:$Q$34,1,MATCH(D259&amp;E259,'Coeff EC7'!$D$31:$Q$31&amp;'Coeff EC7'!$D$32:$Q$32,0))</f>
        <v>#N/A</v>
      </c>
      <c r="L259" s="91" t="e">
        <f t="array" ref="L259">INDEX('Coeff EC7'!$D$35:$Q$35,1,MATCH(D259&amp;E259,'Coeff EC7'!$D$31:$Q$31&amp;'Coeff EC7'!$D$32:$Q$32,0))</f>
        <v>#N/A</v>
      </c>
      <c r="M259" s="98" t="e">
        <f t="shared" si="331"/>
        <v>#N/A</v>
      </c>
      <c r="N259" s="99" t="e">
        <f t="array" ref="N259">INDEX('Coeff EC7'!$D$7:$Q$27,MATCH($B$3,'Coeff EC7'!$C$7:$C$27,0),MATCH(D259&amp;E259,'Coeff EC7'!$D$5:$Q$5&amp;'Coeff EC7'!$D$6:$Q$6,0))</f>
        <v>#N/A</v>
      </c>
      <c r="O259" s="99" t="e">
        <f t="array" ref="O259">INDEX('Coeff EC7'!$D$41:$Q$61,MATCH($B$3,'Coeff EC7'!$C$41:$C$61,0),MATCH(D259&amp;E259,'Coeff EC7'!$D$39:$Q$39&amp;'Coeff EC7'!$D$40:$Q$40,0))</f>
        <v>#N/A</v>
      </c>
      <c r="P259" s="30" t="e">
        <f t="shared" si="366"/>
        <v>#N/A</v>
      </c>
      <c r="Q259" s="100" t="e">
        <f t="shared" si="333"/>
        <v>#N/A</v>
      </c>
      <c r="R259" s="86" t="b">
        <f t="shared" si="334"/>
        <v>0</v>
      </c>
      <c r="S259" s="86">
        <f t="shared" si="332"/>
        <v>0.5</v>
      </c>
      <c r="T259" s="86">
        <f t="shared" si="335"/>
        <v>0.5</v>
      </c>
      <c r="U259" s="30" t="e">
        <f t="shared" ca="1" si="367"/>
        <v>#DIV/0!</v>
      </c>
      <c r="V259" s="85" t="str">
        <f>IF(B259&lt;=Hypothèses!$V$7,Hypothèses!$W$7,IF(B259&lt;=Hypothèses!$V$8,Hypothèses!$W$8,IF(B259&lt;=Hypothèses!$V$9,Hypothèses!$W$9,IF(B259&lt;=Hypothèses!$V$10,Hypothèses!$W$10,IF(B259&lt;=Hypothèses!$V$11,Hypothèses!$W$11,IF(B259&lt;=Hypothèses!$V$12,Hypothèses!$W$12,IF(B259&lt;=Hypothèses!$V$13,Hypothèses!$W$13,IF(B259&lt;=Hypothèses!$V$14,Hypothèses!$W$14,IF(B259&lt;=Hypothèses!$V$15,Hypothèses!$W$15,IF(B259&lt;=Hypothèses!$V$16,Hypothèses!$W$16,IF(B259&lt;=Hypothèses!$V$17,Hypothèses!$W$17,IF(B259&lt;=Hypothèses!$V$18,Hypothèses!$W$18,""))))))))))))</f>
        <v/>
      </c>
      <c r="W259" s="87" t="e">
        <f t="shared" ca="1" si="416"/>
        <v>#DIV/0!</v>
      </c>
      <c r="X259" s="88" t="str">
        <f>IF(B259&lt;=Hypothèses!$V$7,Hypothèses!$X$7,IF(B259&lt;=Hypothèses!$V$8,Hypothèses!$X$8,IF(B259&lt;=Hypothèses!$V$9,Hypothèses!$X$9,IF(B259&lt;=Hypothèses!$V$10,Hypothèses!$X$10,IF(B259&lt;=Hypothèses!$V$11,Hypothèses!$X$11,IF(B259&lt;=Hypothèses!$V$12,Hypothèses!$X$12,IF(B259&lt;=Hypothèses!$V$13,Hypothèses!$X$13,IF(B259&lt;=Hypothèses!$V$14,Hypothèses!$X$14,IF(B259&lt;=Hypothèses!$V$15,Hypothèses!$X$15,IF(B259&lt;=Hypothèses!$V$16,Hypothèses!$X$16,IF(B259&lt;=Hypothèses!$U$17,Hypothèses!$W$17,IF(B259&lt;=Hypothèses!$U$18,Hypothèses!$W$18,""))))))))))))</f>
        <v/>
      </c>
      <c r="Y259" s="95" t="e">
        <f t="shared" ca="1" si="336"/>
        <v>#DIV/0!</v>
      </c>
      <c r="Z259" s="101">
        <f t="shared" si="337"/>
        <v>0</v>
      </c>
      <c r="AA259" s="91">
        <f t="shared" si="338"/>
        <v>0</v>
      </c>
      <c r="AB259" s="30" t="e">
        <f t="shared" si="400"/>
        <v>#N/A</v>
      </c>
      <c r="AC259" s="30" t="e">
        <f t="shared" si="401"/>
        <v>#N/A</v>
      </c>
      <c r="AD259" s="31" t="e">
        <f>IF(OR(Hypothèses!$B$4=17,Hypothèses!$B$4=18,Hypothèses!$B$4=19,Hypothèses!$B$4=20),
IF($D259="Pressio.",
IF(OR($E259=3,$E259=1,$E259=4),AC259,AB259),
IF($D259="Pénétro.",
IF(OR($E259=3,$E259=1,$E259=4),AC259,AB259))),IF($D259="Pressio.",
IF($E259=3,AC259,AB259),
IF($D259="Pénétro.",
IF($E259=4,AC259,AB259))))</f>
        <v>#N/A</v>
      </c>
      <c r="AE259" s="31">
        <v>0</v>
      </c>
      <c r="AF259" s="102" t="e">
        <f>IF(NDC!$H$10="Oui",(VLOOKUP($B$3,'Coeff EC7'!$T$39:$X$59,2,0)*AD259+VLOOKUP($B$3,'Coeff EC7'!$T$65:$X$85,2,0)*Model0.1T!AE259)/1.5,PI()*AB$12*$Q259*($B259-$B258)*0.15/10+AF258)</f>
        <v>#N/A</v>
      </c>
      <c r="AG259" s="102" t="e">
        <f>(VLOOKUP($B$3,'Coeff EC7'!$T$39:$X$59,3,0)*AD259+VLOOKUP($B$3,'Coeff EC7'!$T$65:$X$85,3,0)*Model0.1T!AE259)/1.1</f>
        <v>#N/A</v>
      </c>
      <c r="AH259" s="102" t="e">
        <f t="shared" si="368"/>
        <v>#N/A</v>
      </c>
      <c r="AI259" s="102" t="e">
        <f t="shared" si="369"/>
        <v>#N/A</v>
      </c>
      <c r="AJ259" s="414" t="e">
        <f>IF(AND(AF259&gt;NDC!$C$63,AG259&gt;NDC!$C$65,AH259&gt;NDC!$D$73,AI259&gt;NDC!$D$74,$B259&gt;NDC!$H$22-0.1+MIN(3*$AJ$12,1.5)),0,1)</f>
        <v>#N/A</v>
      </c>
      <c r="AK259" s="86" t="b">
        <f t="shared" si="339"/>
        <v>0</v>
      </c>
      <c r="AL259" s="86">
        <f t="shared" si="370"/>
        <v>0.5</v>
      </c>
      <c r="AM259" s="86">
        <f t="shared" si="340"/>
        <v>0.5</v>
      </c>
      <c r="AN259" s="30" t="e">
        <f t="shared" ca="1" si="371"/>
        <v>#DIV/0!</v>
      </c>
      <c r="AO259" s="85" t="e">
        <f ca="1">IF(U259&lt;=Hypothèses!$V$7,Hypothèses!$W$7,IF(U259&lt;=Hypothèses!$V$8,Hypothèses!$W$8,IF(U259&lt;=Hypothèses!$V$9,Hypothèses!$W$9,IF(U259&lt;=Hypothèses!$V$10,Hypothèses!$W$10,IF(U259&lt;=Hypothèses!$V$11,Hypothèses!$W$11,IF(U259&lt;=Hypothèses!$V$12,Hypothèses!$W$12,IF(U259&lt;=Hypothèses!$V$13,Hypothèses!$W$13,IF(U259&lt;=Hypothèses!$V$14,Hypothèses!$W$14,IF(U259&lt;=Hypothèses!$V$15,Hypothèses!$W$15,IF(U259&lt;=Hypothèses!$V$16,Hypothèses!$W$16,IF(U259&lt;=Hypothèses!$V$17,Hypothèses!$W$17,IF(U259&lt;=Hypothèses!$V$18,Hypothèses!$W$18,""))))))))))))</f>
        <v>#DIV/0!</v>
      </c>
      <c r="AP259" s="87" t="e">
        <f t="shared" ca="1" si="417"/>
        <v>#DIV/0!</v>
      </c>
      <c r="AQ259" s="88" t="e">
        <f ca="1">IF(U259&lt;=Hypothèses!$V$7,Hypothèses!$X$7,IF(U259&lt;=Hypothèses!$V$8,Hypothèses!$X$8,IF(U259&lt;=Hypothèses!$V$9,Hypothèses!$X$9,IF(U259&lt;=Hypothèses!$V$10,Hypothèses!$X$10,IF(U259&lt;=Hypothèses!$V$11,Hypothèses!$X$11,IF(U259&lt;=Hypothèses!$V$12,Hypothèses!$X$12,IF(U259&lt;=Hypothèses!$V$13,Hypothèses!$X$13,IF(U259&lt;=Hypothèses!$V$14,Hypothèses!$X$14,IF(U259&lt;=Hypothèses!$V$15,Hypothèses!$X$15,IF(U259&lt;=Hypothèses!$V$16,Hypothèses!$X$16,IF(U259&lt;=Hypothèses!$U$17,Hypothèses!$W$17,IF(U259&lt;=Hypothèses!$U$18,Hypothèses!$W$18,""))))))))))))</f>
        <v>#DIV/0!</v>
      </c>
      <c r="AR259" s="95" t="e">
        <f t="shared" ca="1" si="372"/>
        <v>#DIV/0!</v>
      </c>
      <c r="AS259" s="101">
        <f t="shared" si="424"/>
        <v>0</v>
      </c>
      <c r="AT259" s="91">
        <f t="shared" si="341"/>
        <v>0</v>
      </c>
      <c r="AU259" s="30" t="e">
        <f t="shared" si="402"/>
        <v>#N/A</v>
      </c>
      <c r="AV259" s="30" t="e">
        <f t="shared" si="403"/>
        <v>#N/A</v>
      </c>
      <c r="AW259" s="31" t="e">
        <f>IF(OR(Hypothèses!$B$4=17,Hypothèses!$B$4=18,Hypothèses!$B$4=19,Hypothèses!$B$4=20),
IF($D259="Pressio.",
IF(OR($E259=3,$E259=1,$E259=4),AV259,AU259),
IF($D259="Pénétro.",
IF(OR($E259=3,$E259=1,$E259=4),AV259,AU259))),IF($D259="Pressio.",
IF($E259=3,AV259,AU259),
IF($D259="Pénétro.",
IF($E259=4,AV259,AU259))))</f>
        <v>#N/A</v>
      </c>
      <c r="AX259" s="31">
        <v>0</v>
      </c>
      <c r="AY259" s="102" t="e">
        <f>IF(NDC!$H$10="Oui",(VLOOKUP($B$3,'Coeff EC7'!$T$39:$X$59,2,0)*AW259+VLOOKUP($B$3,'Coeff EC7'!$T$65:$X$85,2,0)*Model0.1T!AX259)/1.5,PI()*AU$12*$Q259*($B259-$B258)*0.15/10+AY258)</f>
        <v>#N/A</v>
      </c>
      <c r="AZ259" s="102" t="e">
        <f>(VLOOKUP($B$3,'Coeff EC7'!$T$39:$X$59,3,0)*AW259+VLOOKUP($B$3,'Coeff EC7'!$T$65:$X$85,3,0)*Model0.1T!AX259)/1.1</f>
        <v>#N/A</v>
      </c>
      <c r="BA259" s="102" t="e">
        <f t="shared" si="373"/>
        <v>#N/A</v>
      </c>
      <c r="BB259" s="102" t="e">
        <f t="shared" si="374"/>
        <v>#N/A</v>
      </c>
      <c r="BC259" s="414" t="e">
        <f>IF(AND(AY259&gt;NDC!$C$63,AZ259&gt;NDC!$C$65,BA259&gt;NDC!$D$73,BB259&gt;NDC!$D$74,$B259&gt;NDC!$H$22-0.1+MIN(3*BC$12,1.5)),0,1)</f>
        <v>#N/A</v>
      </c>
      <c r="BD259" s="86" t="b">
        <f t="shared" si="342"/>
        <v>0</v>
      </c>
      <c r="BE259" s="86">
        <f t="shared" si="375"/>
        <v>0.5</v>
      </c>
      <c r="BF259" s="86">
        <f t="shared" si="343"/>
        <v>0.5</v>
      </c>
      <c r="BG259" s="30" t="e">
        <f t="shared" ca="1" si="376"/>
        <v>#DIV/0!</v>
      </c>
      <c r="BH259" s="85" t="e">
        <f ca="1">IF(AN259&lt;=Hypothèses!$V$7,Hypothèses!$W$7,IF(AN259&lt;=Hypothèses!$V$8,Hypothèses!$W$8,IF(AN259&lt;=Hypothèses!$V$9,Hypothèses!$W$9,IF(AN259&lt;=Hypothèses!$V$10,Hypothèses!$W$10,IF(AN259&lt;=Hypothèses!$V$11,Hypothèses!$W$11,IF(AN259&lt;=Hypothèses!$V$12,Hypothèses!$W$12,IF(AN259&lt;=Hypothèses!$V$13,Hypothèses!$W$13,IF(AN259&lt;=Hypothèses!$V$14,Hypothèses!$W$14,IF(AN259&lt;=Hypothèses!$V$15,Hypothèses!$W$15,IF(AN259&lt;=Hypothèses!$V$16,Hypothèses!$W$16,IF(AN259&lt;=Hypothèses!$V$17,Hypothèses!$W$17,IF(AN259&lt;=Hypothèses!$V$18,Hypothèses!$W$18,""))))))))))))</f>
        <v>#DIV/0!</v>
      </c>
      <c r="BI259" s="87" t="e">
        <f t="shared" ca="1" si="418"/>
        <v>#DIV/0!</v>
      </c>
      <c r="BJ259" s="88" t="e">
        <f ca="1">IF(AN259&lt;=Hypothèses!$V$7,Hypothèses!$X$7,IF(AN259&lt;=Hypothèses!$V$8,Hypothèses!$X$8,IF(AN259&lt;=Hypothèses!$V$9,Hypothèses!$X$9,IF(AN259&lt;=Hypothèses!$V$10,Hypothèses!$X$10,IF(AN259&lt;=Hypothèses!$V$11,Hypothèses!$X$11,IF(AN259&lt;=Hypothèses!$V$12,Hypothèses!$X$12,IF(AN259&lt;=Hypothèses!$V$13,Hypothèses!$X$13,IF(AN259&lt;=Hypothèses!$V$14,Hypothèses!$X$14,IF(AN259&lt;=Hypothèses!$V$15,Hypothèses!$X$15,IF(AN259&lt;=Hypothèses!$V$16,Hypothèses!$X$16,IF(AN259&lt;=Hypothèses!$U$17,Hypothèses!$W$17,IF(AN259&lt;=Hypothèses!$U$18,Hypothèses!$W$18,""))))))))))))</f>
        <v>#DIV/0!</v>
      </c>
      <c r="BK259" s="95" t="e">
        <f t="shared" ca="1" si="377"/>
        <v>#DIV/0!</v>
      </c>
      <c r="BL259" s="101">
        <f t="shared" si="425"/>
        <v>0</v>
      </c>
      <c r="BM259" s="91">
        <f t="shared" si="344"/>
        <v>0</v>
      </c>
      <c r="BN259" s="30" t="e">
        <f t="shared" si="404"/>
        <v>#N/A</v>
      </c>
      <c r="BO259" s="30" t="e">
        <f t="shared" si="405"/>
        <v>#N/A</v>
      </c>
      <c r="BP259" s="31" t="e">
        <f>IF(OR(Hypothèses!$B$4=17,Hypothèses!$B$4=18,Hypothèses!$B$4=19,Hypothèses!$B$4=20),
IF($D259="Pressio.",
IF(OR($E259=3,$E259=1,$E259=4),BO259,BN259),
IF($D259="Pénétro.",
IF(OR($E259=3,$E259=1,$E259=4),BO259,BN259))),IF($D259="Pressio.",
IF($E259=3,BO259,BN259),
IF($D259="Pénétro.",
IF($E259=4,BO259,BN259))))</f>
        <v>#N/A</v>
      </c>
      <c r="BQ259" s="31">
        <v>0</v>
      </c>
      <c r="BR259" s="102" t="e">
        <f>IF(NDC!$H$10="Oui",(VLOOKUP($B$3,'Coeff EC7'!$T$39:$X$59,2,0)*BP259+VLOOKUP($B$3,'Coeff EC7'!$T$65:$X$85,2,0)*Model0.1T!BQ259)/1.5,PI()*BN$12*$Q259*($B259-$B258)*0.15/10+BR258)</f>
        <v>#N/A</v>
      </c>
      <c r="BS259" s="102" t="e">
        <f>(VLOOKUP($B$3,'Coeff EC7'!$T$39:$X$59,3,0)*BP259+VLOOKUP($B$3,'Coeff EC7'!$T$65:$X$85,3,0)*Model0.1T!BQ259)/1.1</f>
        <v>#N/A</v>
      </c>
      <c r="BT259" s="102" t="e">
        <f t="shared" si="378"/>
        <v>#N/A</v>
      </c>
      <c r="BU259" s="102" t="e">
        <f t="shared" si="379"/>
        <v>#N/A</v>
      </c>
      <c r="BV259" s="414" t="e">
        <f>IF(AND(BR259&gt;NDC!$C$63,BS259&gt;NDC!$C$65,BT259&gt;NDC!$D$73,BU259&gt;NDC!$D$74,$B259&gt;NDC!$H$22-0.1+MIN(3*BV$12,1.5)),0,1)</f>
        <v>#N/A</v>
      </c>
      <c r="BW259" s="86" t="b">
        <f t="shared" si="345"/>
        <v>0</v>
      </c>
      <c r="BX259" s="86">
        <f t="shared" si="346"/>
        <v>0.5</v>
      </c>
      <c r="BY259" s="86">
        <f t="shared" si="347"/>
        <v>0.5</v>
      </c>
      <c r="BZ259" s="30" t="e">
        <f t="shared" ca="1" si="380"/>
        <v>#DIV/0!</v>
      </c>
      <c r="CA259" s="85" t="e">
        <f ca="1">IF(BG259&lt;=Hypothèses!$V$7,Hypothèses!$W$7,IF(BG259&lt;=Hypothèses!$V$8,Hypothèses!$W$8,IF(BG259&lt;=Hypothèses!$V$9,Hypothèses!$W$9,IF(BG259&lt;=Hypothèses!$V$10,Hypothèses!$W$10,IF(BG259&lt;=Hypothèses!$V$11,Hypothèses!$W$11,IF(BG259&lt;=Hypothèses!$V$12,Hypothèses!$W$12,IF(BG259&lt;=Hypothèses!$V$13,Hypothèses!$W$13,IF(BG259&lt;=Hypothèses!$V$14,Hypothèses!$W$14,IF(BG259&lt;=Hypothèses!$V$15,Hypothèses!$W$15,IF(BG259&lt;=Hypothèses!$V$16,Hypothèses!$W$16,IF(BG259&lt;=Hypothèses!$V$17,Hypothèses!$W$17,IF(BG259&lt;=Hypothèses!$V$18,Hypothèses!$W$18,""))))))))))))</f>
        <v>#DIV/0!</v>
      </c>
      <c r="CB259" s="87" t="e">
        <f t="shared" ca="1" si="419"/>
        <v>#DIV/0!</v>
      </c>
      <c r="CC259" s="88" t="e">
        <f ca="1">IF(BG259&lt;=Hypothèses!$V$7,Hypothèses!$X$7,IF(BG259&lt;=Hypothèses!$V$8,Hypothèses!$X$8,IF(BG259&lt;=Hypothèses!$V$9,Hypothèses!$X$9,IF(BG259&lt;=Hypothèses!$V$10,Hypothèses!$X$10,IF(BG259&lt;=Hypothèses!$V$11,Hypothèses!$X$11,IF(BG259&lt;=Hypothèses!$V$12,Hypothèses!$X$12,IF(BG259&lt;=Hypothèses!$V$13,Hypothèses!$X$13,IF(BG259&lt;=Hypothèses!$V$14,Hypothèses!$X$14,IF(BG259&lt;=Hypothèses!$V$15,Hypothèses!$X$15,IF(BG259&lt;=Hypothèses!$V$16,Hypothèses!$X$16,IF(BG259&lt;=Hypothèses!$U$17,Hypothèses!$W$17,IF(BG259&lt;=Hypothèses!$U$18,Hypothèses!$W$18,""))))))))))))</f>
        <v>#DIV/0!</v>
      </c>
      <c r="CD259" s="95" t="e">
        <f t="shared" ca="1" si="381"/>
        <v>#DIV/0!</v>
      </c>
      <c r="CE259" s="101">
        <f t="shared" si="426"/>
        <v>0</v>
      </c>
      <c r="CF259" s="91">
        <f t="shared" si="348"/>
        <v>0</v>
      </c>
      <c r="CG259" s="30" t="e">
        <f t="shared" si="406"/>
        <v>#N/A</v>
      </c>
      <c r="CH259" s="30" t="e">
        <f t="shared" si="407"/>
        <v>#N/A</v>
      </c>
      <c r="CI259" s="31" t="e">
        <f>IF(OR(Hypothèses!$B$4=17,Hypothèses!$B$4=18,Hypothèses!$B$4=19,Hypothèses!$B$4=20),
IF($D259="Pressio.",
IF(OR($E259=3,$E259=1,$E259=4),CH259,CG259),
IF($D259="Pénétro.",
IF(OR($E259=3,$E259=1,$E259=4),CH259,CG259))),IF($D259="Pressio.",
IF($E259=3,CH259,CG259),
IF($D259="Pénétro.",
IF($E259=4,CH259,CG259))))</f>
        <v>#N/A</v>
      </c>
      <c r="CJ259" s="31">
        <v>0</v>
      </c>
      <c r="CK259" s="102" t="e">
        <f>IF(NDC!$H$10="Oui",(VLOOKUP($B$3,'Coeff EC7'!$T$39:$X$59,2,0)*CI259+VLOOKUP($B$3,'Coeff EC7'!$T$65:$X$85,2,0)*Model0.1T!CJ259)/1.5,PI()*CG$12*$Q259*($B259-$B258)*0.15/10+CK258)</f>
        <v>#N/A</v>
      </c>
      <c r="CL259" s="102" t="e">
        <f>(VLOOKUP($B$3,'Coeff EC7'!$T$39:$X$59,3,0)*CI259+VLOOKUP($B$3,'Coeff EC7'!$T$65:$X$85,3,0)*Model0.1T!CJ259)/1.1</f>
        <v>#N/A</v>
      </c>
      <c r="CM259" s="102" t="e">
        <f t="shared" si="382"/>
        <v>#N/A</v>
      </c>
      <c r="CN259" s="102" t="e">
        <f t="shared" si="383"/>
        <v>#N/A</v>
      </c>
      <c r="CO259" s="414" t="e">
        <f>IF(AND(CK259&gt;NDC!$C$63,CL259&gt;NDC!$C$65,CM259&gt;NDC!$D$73,CN259&gt;NDC!$D$74,$B259&gt;NDC!$H$22-0.1+MIN(3*CO$12,1.5)),0,1)</f>
        <v>#N/A</v>
      </c>
      <c r="CP259" s="86" t="b">
        <f t="shared" si="349"/>
        <v>0</v>
      </c>
      <c r="CQ259" s="86">
        <f t="shared" si="350"/>
        <v>0.5</v>
      </c>
      <c r="CR259" s="86">
        <f t="shared" si="351"/>
        <v>0.5</v>
      </c>
      <c r="CS259" s="30" t="e">
        <f t="shared" ca="1" si="384"/>
        <v>#DIV/0!</v>
      </c>
      <c r="CT259" s="85" t="e">
        <f ca="1">IF(BZ259&lt;=Hypothèses!$V$7,Hypothèses!$W$7,IF(BZ259&lt;=Hypothèses!$V$8,Hypothèses!$W$8,IF(BZ259&lt;=Hypothèses!$V$9,Hypothèses!$W$9,IF(BZ259&lt;=Hypothèses!$V$10,Hypothèses!$W$10,IF(BZ259&lt;=Hypothèses!$V$11,Hypothèses!$W$11,IF(BZ259&lt;=Hypothèses!$V$12,Hypothèses!$W$12,IF(BZ259&lt;=Hypothèses!$V$13,Hypothèses!$W$13,IF(BZ259&lt;=Hypothèses!$V$14,Hypothèses!$W$14,IF(BZ259&lt;=Hypothèses!$V$15,Hypothèses!$W$15,IF(BZ259&lt;=Hypothèses!$V$16,Hypothèses!$W$16,IF(BZ259&lt;=Hypothèses!$V$17,Hypothèses!$W$17,IF(BZ259&lt;=Hypothèses!$V$18,Hypothèses!$W$18,""))))))))))))</f>
        <v>#DIV/0!</v>
      </c>
      <c r="CU259" s="87" t="e">
        <f t="shared" ca="1" si="420"/>
        <v>#DIV/0!</v>
      </c>
      <c r="CV259" s="88" t="e">
        <f ca="1">IF(BZ259&lt;=Hypothèses!$V$7,Hypothèses!$X$7,IF(BZ259&lt;=Hypothèses!$V$8,Hypothèses!$X$8,IF(BZ259&lt;=Hypothèses!$V$9,Hypothèses!$X$9,IF(BZ259&lt;=Hypothèses!$V$10,Hypothèses!$X$10,IF(BZ259&lt;=Hypothèses!$V$11,Hypothèses!$X$11,IF(BZ259&lt;=Hypothèses!$V$12,Hypothèses!$X$12,IF(BZ259&lt;=Hypothèses!$V$13,Hypothèses!$X$13,IF(BZ259&lt;=Hypothèses!$V$14,Hypothèses!$X$14,IF(BZ259&lt;=Hypothèses!$V$15,Hypothèses!$X$15,IF(BZ259&lt;=Hypothèses!$V$16,Hypothèses!$X$16,IF(BZ259&lt;=Hypothèses!$U$17,Hypothèses!$W$17,IF(BZ259&lt;=Hypothèses!$U$18,Hypothèses!$W$18,""))))))))))))</f>
        <v>#DIV/0!</v>
      </c>
      <c r="CW259" s="95" t="e">
        <f t="shared" ca="1" si="385"/>
        <v>#DIV/0!</v>
      </c>
      <c r="CX259" s="101">
        <f t="shared" si="427"/>
        <v>0</v>
      </c>
      <c r="CY259" s="91">
        <f t="shared" si="352"/>
        <v>0</v>
      </c>
      <c r="CZ259" s="30" t="e">
        <f t="shared" si="408"/>
        <v>#N/A</v>
      </c>
      <c r="DA259" s="30" t="e">
        <f t="shared" si="409"/>
        <v>#N/A</v>
      </c>
      <c r="DB259" s="31" t="e">
        <f>IF(OR(Hypothèses!$B$4=17,Hypothèses!$B$4=18,Hypothèses!$B$4=19,Hypothèses!$B$4=20),
IF($D259="Pressio.",
IF(OR($E259=3,$E259=1,$E259=4),DA259,CZ259),
IF($D259="Pénétro.",
IF(OR($E259=3,$E259=1,$E259=4),DA259,CZ259))),IF($D259="Pressio.",
IF($E259=3,DA259,CZ259),
IF($D259="Pénétro.",
IF($E259=4,DA259,CZ259))))</f>
        <v>#N/A</v>
      </c>
      <c r="DC259" s="31">
        <v>0</v>
      </c>
      <c r="DD259" s="102" t="e">
        <f>IF(NDC!$H$10="Oui",(VLOOKUP($B$3,'Coeff EC7'!$T$39:$X$59,2,0)*DB259+VLOOKUP($B$3,'Coeff EC7'!$T$65:$X$85,2,0)*Model0.1T!DC259)/1.5,PI()*CZ$12*$Q259*($B259-$B258)*0.15/10+DD258)</f>
        <v>#N/A</v>
      </c>
      <c r="DE259" s="102" t="e">
        <f>(VLOOKUP($B$3,'Coeff EC7'!$T$39:$X$59,3,0)*DB259+VLOOKUP($B$3,'Coeff EC7'!$T$65:$X$85,3,0)*Model0.1T!DC259)/1.1</f>
        <v>#N/A</v>
      </c>
      <c r="DF259" s="102" t="e">
        <f t="shared" si="386"/>
        <v>#N/A</v>
      </c>
      <c r="DG259" s="102" t="e">
        <f t="shared" si="387"/>
        <v>#N/A</v>
      </c>
      <c r="DH259" s="414" t="e">
        <f>IF(AND(DD259&gt;NDC!$C$63,DE259&gt;NDC!$C$65,DF259&gt;NDC!$D$73,DG259&gt;NDC!$D$74,$B259&gt;NDC!$H$22-0.1+MIN(3*DH$12,1.5)),0,1)</f>
        <v>#N/A</v>
      </c>
      <c r="DI259" s="86" t="b">
        <f t="shared" si="353"/>
        <v>0</v>
      </c>
      <c r="DJ259" s="86">
        <f t="shared" si="354"/>
        <v>0.5</v>
      </c>
      <c r="DK259" s="86">
        <f t="shared" si="355"/>
        <v>0.5</v>
      </c>
      <c r="DL259" s="30" t="e">
        <f t="shared" ca="1" si="388"/>
        <v>#DIV/0!</v>
      </c>
      <c r="DM259" s="85" t="e">
        <f ca="1">IF(CS259&lt;=Hypothèses!$V$7,Hypothèses!$W$7,IF(CS259&lt;=Hypothèses!$V$8,Hypothèses!$W$8,IF(CS259&lt;=Hypothèses!$V$9,Hypothèses!$W$9,IF(CS259&lt;=Hypothèses!$V$10,Hypothèses!$W$10,IF(CS259&lt;=Hypothèses!$V$11,Hypothèses!$W$11,IF(CS259&lt;=Hypothèses!$V$12,Hypothèses!$W$12,IF(CS259&lt;=Hypothèses!$V$13,Hypothèses!$W$13,IF(CS259&lt;=Hypothèses!$V$14,Hypothèses!$W$14,IF(CS259&lt;=Hypothèses!$V$15,Hypothèses!$W$15,IF(CS259&lt;=Hypothèses!$V$16,Hypothèses!$W$16,IF(CS259&lt;=Hypothèses!$V$17,Hypothèses!$W$17,IF(CS259&lt;=Hypothèses!$V$18,Hypothèses!$W$18,""))))))))))))</f>
        <v>#DIV/0!</v>
      </c>
      <c r="DN259" s="87" t="e">
        <f t="shared" ca="1" si="421"/>
        <v>#DIV/0!</v>
      </c>
      <c r="DO259" s="88" t="e">
        <f ca="1">IF(CS259&lt;=Hypothèses!$V$7,Hypothèses!$X$7,IF(CS259&lt;=Hypothèses!$V$8,Hypothèses!$X$8,IF(CS259&lt;=Hypothèses!$V$9,Hypothèses!$X$9,IF(CS259&lt;=Hypothèses!$V$10,Hypothèses!$X$10,IF(CS259&lt;=Hypothèses!$V$11,Hypothèses!$X$11,IF(CS259&lt;=Hypothèses!$V$12,Hypothèses!$X$12,IF(CS259&lt;=Hypothèses!$V$13,Hypothèses!$X$13,IF(CS259&lt;=Hypothèses!$V$14,Hypothèses!$X$14,IF(CS259&lt;=Hypothèses!$V$15,Hypothèses!$X$15,IF(CS259&lt;=Hypothèses!$V$16,Hypothèses!$X$16,IF(CS259&lt;=Hypothèses!$U$17,Hypothèses!$W$17,IF(CS259&lt;=Hypothèses!$U$18,Hypothèses!$W$18,""))))))))))))</f>
        <v>#DIV/0!</v>
      </c>
      <c r="DP259" s="95" t="e">
        <f t="shared" ca="1" si="389"/>
        <v>#DIV/0!</v>
      </c>
      <c r="DQ259" s="101">
        <f t="shared" si="428"/>
        <v>0</v>
      </c>
      <c r="DR259" s="91">
        <f t="shared" si="356"/>
        <v>0</v>
      </c>
      <c r="DS259" s="30" t="e">
        <f t="shared" si="410"/>
        <v>#N/A</v>
      </c>
      <c r="DT259" s="30" t="e">
        <f t="shared" si="411"/>
        <v>#N/A</v>
      </c>
      <c r="DU259" s="31" t="e">
        <f>IF(OR(Hypothèses!$B$4=17,Hypothèses!$B$4=18,Hypothèses!$B$4=19,Hypothèses!$B$4=20),
IF($D259="Pressio.",
IF(OR($E259=3,$E259=1,$E259=4),DT259,DS259),
IF($D259="Pénétro.",
IF(OR($E259=3,$E259=1,$E259=4),DT259,DS259))),IF($D259="Pressio.",
IF($E259=3,DT259,DS259),
IF($D259="Pénétro.",
IF($E259=4,DT259,DS259))))</f>
        <v>#N/A</v>
      </c>
      <c r="DV259" s="31">
        <v>0</v>
      </c>
      <c r="DW259" s="102" t="e">
        <f>IF(NDC!$H$10="Oui",(VLOOKUP($B$3,'Coeff EC7'!$T$39:$X$59,2,0)*DU259+VLOOKUP($B$3,'Coeff EC7'!$T$65:$X$85,2,0)*Model0.1T!DV259)/1.5,PI()*DS$12*$Q259*($B259-$B258)*0.15/10+DW258)</f>
        <v>#N/A</v>
      </c>
      <c r="DX259" s="102" t="e">
        <f>(VLOOKUP($B$3,'Coeff EC7'!$T$39:$X$59,3,0)*DU259+VLOOKUP($B$3,'Coeff EC7'!$T$65:$X$85,3,0)*Model0.1T!DV259)/1.1</f>
        <v>#N/A</v>
      </c>
      <c r="DY259" s="102" t="e">
        <f t="shared" si="390"/>
        <v>#N/A</v>
      </c>
      <c r="DZ259" s="102" t="e">
        <f t="shared" si="391"/>
        <v>#N/A</v>
      </c>
      <c r="EA259" s="414" t="e">
        <f>IF(AND(DW259&gt;NDC!$C$63,DX259&gt;NDC!$C$65,DY259&gt;NDC!$D$73,DZ259&gt;NDC!$D$74,$B259&gt;NDC!$H$22-0.1+MIN(3*EA$12,1.5)),0,1)</f>
        <v>#N/A</v>
      </c>
      <c r="EB259" s="86" t="b">
        <f t="shared" si="357"/>
        <v>0</v>
      </c>
      <c r="EC259" s="418">
        <f t="shared" si="358"/>
        <v>0.51</v>
      </c>
      <c r="ED259" s="86">
        <f t="shared" si="359"/>
        <v>0.51</v>
      </c>
      <c r="EE259" s="30" t="e">
        <f t="shared" ca="1" si="392"/>
        <v>#DIV/0!</v>
      </c>
      <c r="EF259" s="85" t="e">
        <f ca="1">IF(DL259&lt;=Hypothèses!$V$7,Hypothèses!$W$7,IF(DL259&lt;=Hypothèses!$V$8,Hypothèses!$W$8,IF(DL259&lt;=Hypothèses!$V$9,Hypothèses!$W$9,IF(DL259&lt;=Hypothèses!$V$10,Hypothèses!$W$10,IF(DL259&lt;=Hypothèses!$V$11,Hypothèses!$W$11,IF(DL259&lt;=Hypothèses!$V$12,Hypothèses!$W$12,IF(DL259&lt;=Hypothèses!$V$13,Hypothèses!$W$13,IF(DL259&lt;=Hypothèses!$V$14,Hypothèses!$W$14,IF(DL259&lt;=Hypothèses!$V$15,Hypothèses!$W$15,IF(DL259&lt;=Hypothèses!$V$16,Hypothèses!$W$16,IF(DL259&lt;=Hypothèses!$V$17,Hypothèses!$W$17,IF(DL259&lt;=Hypothèses!$V$18,Hypothèses!$W$18,""))))))))))))</f>
        <v>#DIV/0!</v>
      </c>
      <c r="EG259" s="87" t="e">
        <f t="shared" ca="1" si="422"/>
        <v>#DIV/0!</v>
      </c>
      <c r="EH259" s="88" t="e">
        <f ca="1">IF(DL259&lt;=Hypothèses!$V$7,Hypothèses!$X$7,IF(DL259&lt;=Hypothèses!$V$8,Hypothèses!$X$8,IF(DL259&lt;=Hypothèses!$V$9,Hypothèses!$X$9,IF(DL259&lt;=Hypothèses!$V$10,Hypothèses!$X$10,IF(DL259&lt;=Hypothèses!$V$11,Hypothèses!$X$11,IF(DL259&lt;=Hypothèses!$V$12,Hypothèses!$X$12,IF(DL259&lt;=Hypothèses!$V$13,Hypothèses!$X$13,IF(DL259&lt;=Hypothèses!$V$14,Hypothèses!$X$14,IF(DL259&lt;=Hypothèses!$V$15,Hypothèses!$X$15,IF(DL259&lt;=Hypothèses!$V$16,Hypothèses!$X$16,IF(DL259&lt;=Hypothèses!$U$17,Hypothèses!$W$17,IF(DL259&lt;=Hypothèses!$U$18,Hypothèses!$W$18,""))))))))))))</f>
        <v>#DIV/0!</v>
      </c>
      <c r="EI259" s="95" t="e">
        <f t="shared" ca="1" si="393"/>
        <v>#DIV/0!</v>
      </c>
      <c r="EJ259" s="101">
        <f t="shared" si="429"/>
        <v>0</v>
      </c>
      <c r="EK259" s="91">
        <f t="shared" si="360"/>
        <v>0</v>
      </c>
      <c r="EL259" s="30" t="e">
        <f t="shared" si="412"/>
        <v>#N/A</v>
      </c>
      <c r="EM259" s="30" t="e">
        <f t="shared" si="413"/>
        <v>#N/A</v>
      </c>
      <c r="EN259" s="31" t="e">
        <f>IF(OR(Hypothèses!$B$4=17,Hypothèses!$B$4=18,Hypothèses!$B$4=19,Hypothèses!$B$4=20),
IF($D259="Pressio.",
IF(OR($E259=3,$E259=1,$E259=4),EM259,EL259),
IF($D259="Pénétro.",
IF(OR($E259=3,$E259=1,$E259=4),EM259,EL259))),IF($D259="Pressio.",
IF($E259=3,EM259,EL259),
IF($D259="Pénétro.",
IF($E259=4,EM259,EL259))))</f>
        <v>#N/A</v>
      </c>
      <c r="EO259" s="31">
        <v>0</v>
      </c>
      <c r="EP259" s="102" t="e">
        <f>IF(NDC!$H$10="Oui",(VLOOKUP($B$3,'Coeff EC7'!$T$39:$X$59,2,0)*EN259+VLOOKUP($B$3,'Coeff EC7'!$T$65:$X$85,2,0)*Model0.1T!EO259)/1.5,PI()*EL$12*$Q259*($B259-$B258)*0.15/10+EP258)</f>
        <v>#N/A</v>
      </c>
      <c r="EQ259" s="102" t="e">
        <f>(VLOOKUP($B$3,'Coeff EC7'!$T$39:$X$59,3,0)*EN259+VLOOKUP($B$3,'Coeff EC7'!$T$65:$X$85,3,0)*Model0.1T!EO259)/1.1</f>
        <v>#N/A</v>
      </c>
      <c r="ER259" s="102" t="e">
        <f t="shared" si="394"/>
        <v>#N/A</v>
      </c>
      <c r="ES259" s="102" t="e">
        <f t="shared" si="395"/>
        <v>#N/A</v>
      </c>
      <c r="ET259" s="414" t="e">
        <f>IF(AND(EP259&gt;NDC!$C$63,EQ259&gt;NDC!$C$65,ER259&gt;NDC!$D$73,ES259&gt;NDC!$D$74,$B259&gt;NDC!$H$22-0.1+MIN(3*ET$12,1.5)),0,1)</f>
        <v>#N/A</v>
      </c>
      <c r="EU259" s="86" t="b">
        <f t="shared" si="361"/>
        <v>0</v>
      </c>
      <c r="EV259" s="86">
        <f t="shared" si="362"/>
        <v>0.61</v>
      </c>
      <c r="EW259" s="86">
        <f t="shared" si="363"/>
        <v>0.61</v>
      </c>
      <c r="EX259" s="30" t="e">
        <f t="shared" ca="1" si="396"/>
        <v>#DIV/0!</v>
      </c>
      <c r="EY259" s="85" t="e">
        <f ca="1">IF(EE259&lt;=Hypothèses!$V$7,Hypothèses!$W$7,IF(EE259&lt;=Hypothèses!$V$8,Hypothèses!$W$8,IF(EE259&lt;=Hypothèses!$V$9,Hypothèses!$W$9,IF(EE259&lt;=Hypothèses!$V$10,Hypothèses!$W$10,IF(EE259&lt;=Hypothèses!$V$11,Hypothèses!$W$11,IF(EE259&lt;=Hypothèses!$V$12,Hypothèses!$W$12,IF(EE259&lt;=Hypothèses!$V$13,Hypothèses!$W$13,IF(EE259&lt;=Hypothèses!$V$14,Hypothèses!$W$14,IF(EE259&lt;=Hypothèses!$V$15,Hypothèses!$W$15,IF(EE259&lt;=Hypothèses!$V$16,Hypothèses!$W$16,IF(EE259&lt;=Hypothèses!$V$17,Hypothèses!$W$17,IF(EE259&lt;=Hypothèses!$V$18,Hypothèses!$W$18,""))))))))))))</f>
        <v>#DIV/0!</v>
      </c>
      <c r="EZ259" s="87" t="e">
        <f t="shared" ca="1" si="423"/>
        <v>#DIV/0!</v>
      </c>
      <c r="FA259" s="88" t="e">
        <f ca="1">IF(EE259&lt;=Hypothèses!$V$7,Hypothèses!$X$7,IF(EE259&lt;=Hypothèses!$V$8,Hypothèses!$X$8,IF(EE259&lt;=Hypothèses!$V$9,Hypothèses!$X$9,IF(EE259&lt;=Hypothèses!$V$10,Hypothèses!$X$10,IF(EE259&lt;=Hypothèses!$V$11,Hypothèses!$X$11,IF(EE259&lt;=Hypothèses!$V$12,Hypothèses!$X$12,IF(EE259&lt;=Hypothèses!$V$13,Hypothèses!$X$13,IF(EE259&lt;=Hypothèses!$V$14,Hypothèses!$X$14,IF(EE259&lt;=Hypothèses!$V$15,Hypothèses!$X$15,IF(EE259&lt;=Hypothèses!$V$16,Hypothèses!$X$16,IF(EE259&lt;=Hypothèses!$U$17,Hypothèses!$W$17,IF(EE259&lt;=Hypothèses!$U$18,Hypothèses!$W$18,""))))))))))))</f>
        <v>#DIV/0!</v>
      </c>
      <c r="FB259" s="95" t="e">
        <f t="shared" ca="1" si="397"/>
        <v>#DIV/0!</v>
      </c>
      <c r="FC259" s="101">
        <f t="shared" si="430"/>
        <v>0</v>
      </c>
      <c r="FD259" s="91">
        <f t="shared" si="364"/>
        <v>0</v>
      </c>
      <c r="FE259" s="30" t="e">
        <f t="shared" si="414"/>
        <v>#N/A</v>
      </c>
      <c r="FF259" s="30" t="e">
        <f t="shared" si="415"/>
        <v>#N/A</v>
      </c>
      <c r="FG259" s="31" t="e">
        <f>IF(OR(Hypothèses!$B$4=17,Hypothèses!$B$4=18,Hypothèses!$B$4=19,Hypothèses!$B$4=20),
IF($D259="Pressio.",
IF(OR($E259=3,$E259=1,$E259=4),FF259,FE259),
IF($D259="Pénétro.",
IF(OR($E259=3,$E259=1,$E259=4),FF259,FE259))),IF($D259="Pressio.",
IF($E259=3,FF259,FE259),
IF($D259="Pénétro.",
IF($E259=4,FF259,FE259))))</f>
        <v>#N/A</v>
      </c>
      <c r="FH259" s="31">
        <v>0</v>
      </c>
      <c r="FI259" s="102" t="e">
        <f>IF(NDC!$H$10="Oui",(VLOOKUP($B$3,'Coeff EC7'!$T$39:$X$59,2,0)*FG259+VLOOKUP($B$3,'Coeff EC7'!$T$65:$X$85,2,0)*Model0.1T!FH259)/1.5,PI()*FE$12*$Q259*($B259-$B258)*0.15/10+FI258)</f>
        <v>#N/A</v>
      </c>
      <c r="FJ259" s="102" t="e">
        <f>(VLOOKUP($B$3,'Coeff EC7'!$T$39:$X$59,3,0)*FG259+VLOOKUP($B$3,'Coeff EC7'!$T$65:$X$85,3,0)*Model0.1T!FH259)/1.1</f>
        <v>#N/A</v>
      </c>
      <c r="FK259" s="102" t="e">
        <f t="shared" si="398"/>
        <v>#N/A</v>
      </c>
      <c r="FL259" s="102" t="e">
        <f t="shared" si="399"/>
        <v>#N/A</v>
      </c>
      <c r="FM259" s="414" t="e">
        <f>IF(AND(FI259&gt;NDC!$C$63,FJ259&gt;NDC!$C$65,FK259&gt;NDC!$D$73,FL259&gt;NDC!$D$74,$B259&gt;NDC!$H$22-0.1+MIN(3*FM$12,1.5)),0,1)</f>
        <v>#N/A</v>
      </c>
    </row>
    <row r="260" spans="1:169">
      <c r="A260" s="96">
        <f t="shared" si="365"/>
        <v>75.300000000001404</v>
      </c>
      <c r="B260" s="97">
        <v>24.7</v>
      </c>
      <c r="C260" s="81">
        <f>IF(B260&lt;=Hypothèses!$C$7,Hypothèses!$A$7,IF(B260&lt;=Hypothèses!$C$8,Hypothèses!$A$8,IF(B260&lt;=Hypothèses!$C$9,Hypothèses!$A$9,IF(B260&lt;=Hypothèses!$C$10,Hypothèses!$A$10,IF(B260&lt;=Hypothèses!$C$11,Hypothèses!$A$11,IF(B260&lt;=Hypothèses!$C$12,Hypothèses!$A$12,IF(B260&lt;=Hypothèses!$C$13,Hypothèses!$A$13,IF(B260&lt;=Hypothèses!$C$14,Hypothèses!$A$14,IF(B260&lt;=Hypothèses!$C$15,Hypothèses!$A$15,IF(B260&lt;=Hypothèses!$C$16,Hypothèses!$A$16,IF(B260&lt;=Hypothèses!$C$17,Hypothèses!$A$17,IF(B260&lt;=Hypothèses!$C$18,Hypothèses!$A$18,C259))))))))))))</f>
        <v>11</v>
      </c>
      <c r="D260" s="82" t="str">
        <f>IF(B260&lt;=Hypothèses!$C$7,Hypothèses!$R$7,IF(B260&lt;=Hypothèses!$C$8,Hypothèses!$R$8,IF(B260&lt;=Hypothèses!$C$9,Hypothèses!$R$9,IF(B260&lt;=Hypothèses!$C$10,Hypothèses!$R$10,IF(B260&lt;=Hypothèses!$C$11,Hypothèses!$R$11,IF(B260&lt;=Hypothèses!$C$12,Hypothèses!$R$12,IF(B260&lt;=Hypothèses!$C$13,Hypothèses!$R$13,IF(B260&lt;=Hypothèses!$C$14,Hypothèses!$R$14,IF(B260&lt;=Hypothèses!$C$15,Hypothèses!$R$15,IF(B260&lt;=Hypothèses!$C$16,Hypothèses!$R$16,IF(B260&lt;=Hypothèses!$C$17,Hypothèses!$R$17,IF(B260&lt;=Hypothèses!$C$18,Hypothèses!$R$18,D259))))))))))))</f>
        <v>Pressio.</v>
      </c>
      <c r="E260" s="82" t="e">
        <f>IF(B260&lt;=Hypothèses!$C$7,Hypothèses!$G$7,IF(B260&lt;=Hypothèses!$C$8,Hypothèses!$G$8,IF(B260&lt;=Hypothèses!$C$9,Hypothèses!$G$9,IF(B260&lt;=Hypothèses!$C$10,Hypothèses!$G$10,IF(B260&lt;=Hypothèses!$C$11,Hypothèses!$G$11,IF(B260&lt;=Hypothèses!$C$12,Hypothèses!$G$12,IF(B260&lt;=Hypothèses!$C$13,Hypothèses!$G$13,IF(B260&lt;=Hypothèses!$C$14,Hypothèses!$G$14,IF(B260&lt;=Hypothèses!$C$15,Hypothèses!$G$15,IF(B260&lt;=Hypothèses!$C$16,Hypothèses!$G$16,IF(B260&lt;=Hypothèses!$C$17,Hypothèses!$G$17,IF(B260&lt;=Hypothèses!$C$18,Hypothèses!$G$18,E259))))))))))))</f>
        <v>#N/A</v>
      </c>
      <c r="F260" s="82" t="str">
        <f>IF(B260&lt;=Hypothèses!$C$7,Hypothèses!$F$7,IF(B260&lt;=Hypothèses!$C$8,Hypothèses!$F$8,IF(B260&lt;=Hypothèses!$C$9,Hypothèses!$F$9,IF(B260&lt;=Hypothèses!$C$10,Hypothèses!$F$10,IF(B260&lt;=Hypothèses!$C$11,Hypothèses!$F$11,IF(B260&lt;=Hypothèses!$C$12,Hypothèses!$F$12,IF(B260&lt;=Hypothèses!$C$13,Hypothèses!$F$13,IF(B260&lt;=Hypothèses!$C$14,Hypothèses!$F$14,IF(B260&lt;=Hypothèses!$C$15,Hypothèses!$F$15,IF(B260&lt;=Hypothèses!$C$16,Hypothèses!$F$16,IF(B260&lt;=Hypothèses!$C$17,Hypothèses!$F$17,IF(B260&lt;=Hypothèses!$C$18,Hypothèses!$F$18,F259))))))))))))</f>
        <v/>
      </c>
      <c r="G260" s="91">
        <f t="array" ref="G260">INDEX('Coeff EC7'!$U$7:$X$27,
MATCH(Model0.1T!$B$3,'Coeff EC7'!$T$7:$T$27,0),
MATCH(Model0.1T!$D260&amp;Model0.1T!$B$4,
'Coeff EC7'!$U$6:$X$6&amp;
'Coeff EC7'!$U$5:$X$5,0))</f>
        <v>1.4</v>
      </c>
      <c r="H260" s="91">
        <f t="array" ref="H260">INDEX('Coeff EC7'!$Y$7:$AB$27,
MATCH(Model0.1T!$B$3,'Coeff EC7'!$T$7:$T$27,0),
MATCH(Model0.1T!$D260&amp;Model0.1T!$B$4,
'Coeff EC7'!$Y$6:$AB$6&amp;
'Coeff EC7'!$Y$5:$AB$5,0))</f>
        <v>1.7</v>
      </c>
      <c r="I260" s="83">
        <v>0</v>
      </c>
      <c r="J260" s="91" t="e">
        <f t="array" ref="J260">INDEX('Coeff EC7'!$D$33:$Q$33,1,MATCH(D260&amp;E260,'Coeff EC7'!$D$31:$Q$31&amp;'Coeff EC7'!$D$32:$Q$32,0))</f>
        <v>#N/A</v>
      </c>
      <c r="K260" s="91" t="e">
        <f t="array" ref="K260">INDEX('Coeff EC7'!$D$34:$Q$34,1,MATCH(D260&amp;E260,'Coeff EC7'!$D$31:$Q$31&amp;'Coeff EC7'!$D$32:$Q$32,0))</f>
        <v>#N/A</v>
      </c>
      <c r="L260" s="91" t="e">
        <f t="array" ref="L260">INDEX('Coeff EC7'!$D$35:$Q$35,1,MATCH(D260&amp;E260,'Coeff EC7'!$D$31:$Q$31&amp;'Coeff EC7'!$D$32:$Q$32,0))</f>
        <v>#N/A</v>
      </c>
      <c r="M260" s="98" t="e">
        <f t="shared" si="331"/>
        <v>#N/A</v>
      </c>
      <c r="N260" s="99" t="e">
        <f t="array" ref="N260">INDEX('Coeff EC7'!$D$7:$Q$27,MATCH($B$3,'Coeff EC7'!$C$7:$C$27,0),MATCH(D260&amp;E260,'Coeff EC7'!$D$5:$Q$5&amp;'Coeff EC7'!$D$6:$Q$6,0))</f>
        <v>#N/A</v>
      </c>
      <c r="O260" s="99" t="e">
        <f t="array" ref="O260">INDEX('Coeff EC7'!$D$41:$Q$61,MATCH($B$3,'Coeff EC7'!$C$41:$C$61,0),MATCH(D260&amp;E260,'Coeff EC7'!$D$39:$Q$39&amp;'Coeff EC7'!$D$40:$Q$40,0))</f>
        <v>#N/A</v>
      </c>
      <c r="P260" s="30" t="e">
        <f t="shared" si="366"/>
        <v>#N/A</v>
      </c>
      <c r="Q260" s="100" t="e">
        <f t="shared" si="333"/>
        <v>#N/A</v>
      </c>
      <c r="R260" s="86" t="b">
        <f t="shared" si="334"/>
        <v>0</v>
      </c>
      <c r="S260" s="86">
        <f t="shared" si="332"/>
        <v>0.5</v>
      </c>
      <c r="T260" s="86">
        <f t="shared" si="335"/>
        <v>0.5</v>
      </c>
      <c r="U260" s="30" t="e">
        <f t="shared" ca="1" si="367"/>
        <v>#DIV/0!</v>
      </c>
      <c r="V260" s="85" t="str">
        <f>IF(B260&lt;=Hypothèses!$V$7,Hypothèses!$W$7,IF(B260&lt;=Hypothèses!$V$8,Hypothèses!$W$8,IF(B260&lt;=Hypothèses!$V$9,Hypothèses!$W$9,IF(B260&lt;=Hypothèses!$V$10,Hypothèses!$W$10,IF(B260&lt;=Hypothèses!$V$11,Hypothèses!$W$11,IF(B260&lt;=Hypothèses!$V$12,Hypothèses!$W$12,IF(B260&lt;=Hypothèses!$V$13,Hypothèses!$W$13,IF(B260&lt;=Hypothèses!$V$14,Hypothèses!$W$14,IF(B260&lt;=Hypothèses!$V$15,Hypothèses!$W$15,IF(B260&lt;=Hypothèses!$V$16,Hypothèses!$W$16,IF(B260&lt;=Hypothèses!$V$17,Hypothèses!$W$17,IF(B260&lt;=Hypothèses!$V$18,Hypothèses!$W$18,""))))))))))))</f>
        <v/>
      </c>
      <c r="W260" s="87" t="e">
        <f t="shared" ca="1" si="416"/>
        <v>#DIV/0!</v>
      </c>
      <c r="X260" s="88" t="str">
        <f>IF(B260&lt;=Hypothèses!$V$7,Hypothèses!$X$7,IF(B260&lt;=Hypothèses!$V$8,Hypothèses!$X$8,IF(B260&lt;=Hypothèses!$V$9,Hypothèses!$X$9,IF(B260&lt;=Hypothèses!$V$10,Hypothèses!$X$10,IF(B260&lt;=Hypothèses!$V$11,Hypothèses!$X$11,IF(B260&lt;=Hypothèses!$V$12,Hypothèses!$X$12,IF(B260&lt;=Hypothèses!$V$13,Hypothèses!$X$13,IF(B260&lt;=Hypothèses!$V$14,Hypothèses!$X$14,IF(B260&lt;=Hypothèses!$V$15,Hypothèses!$X$15,IF(B260&lt;=Hypothèses!$V$16,Hypothèses!$X$16,IF(B260&lt;=Hypothèses!$U$17,Hypothèses!$W$17,IF(B260&lt;=Hypothèses!$U$18,Hypothèses!$W$18,""))))))))))))</f>
        <v/>
      </c>
      <c r="Y260" s="95" t="e">
        <f t="shared" ca="1" si="336"/>
        <v>#DIV/0!</v>
      </c>
      <c r="Z260" s="101">
        <f t="shared" si="337"/>
        <v>0</v>
      </c>
      <c r="AA260" s="91">
        <f t="shared" si="338"/>
        <v>0</v>
      </c>
      <c r="AB260" s="30" t="e">
        <f t="shared" si="400"/>
        <v>#N/A</v>
      </c>
      <c r="AC260" s="30" t="e">
        <f t="shared" si="401"/>
        <v>#N/A</v>
      </c>
      <c r="AD260" s="31" t="e">
        <f>IF(OR(Hypothèses!$B$4=17,Hypothèses!$B$4=18,Hypothèses!$B$4=19,Hypothèses!$B$4=20),
IF($D260="Pressio.",
IF(OR($E260=3,$E260=1,$E260=4),AC260,AB260),
IF($D260="Pénétro.",
IF(OR($E260=3,$E260=1,$E260=4),AC260,AB260))),IF($D260="Pressio.",
IF($E260=3,AC260,AB260),
IF($D260="Pénétro.",
IF($E260=4,AC260,AB260))))</f>
        <v>#N/A</v>
      </c>
      <c r="AE260" s="31">
        <v>0</v>
      </c>
      <c r="AF260" s="102" t="e">
        <f>IF(NDC!$H$10="Oui",(VLOOKUP($B$3,'Coeff EC7'!$T$39:$X$59,2,0)*AD260+VLOOKUP($B$3,'Coeff EC7'!$T$65:$X$85,2,0)*Model0.1T!AE260)/1.5,PI()*AB$12*$Q260*($B260-$B259)*0.15/10+AF259)</f>
        <v>#N/A</v>
      </c>
      <c r="AG260" s="102" t="e">
        <f>(VLOOKUP($B$3,'Coeff EC7'!$T$39:$X$59,3,0)*AD260+VLOOKUP($B$3,'Coeff EC7'!$T$65:$X$85,3,0)*Model0.1T!AE260)/1.1</f>
        <v>#N/A</v>
      </c>
      <c r="AH260" s="102" t="e">
        <f t="shared" si="368"/>
        <v>#N/A</v>
      </c>
      <c r="AI260" s="102" t="e">
        <f t="shared" si="369"/>
        <v>#N/A</v>
      </c>
      <c r="AJ260" s="414" t="e">
        <f>IF(AND(AF260&gt;NDC!$C$63,AG260&gt;NDC!$C$65,AH260&gt;NDC!$D$73,AI260&gt;NDC!$D$74,$B260&gt;NDC!$H$22-0.1+MIN(3*$AJ$12,1.5)),0,1)</f>
        <v>#N/A</v>
      </c>
      <c r="AK260" s="86" t="b">
        <f t="shared" si="339"/>
        <v>0</v>
      </c>
      <c r="AL260" s="86">
        <f t="shared" si="370"/>
        <v>0.5</v>
      </c>
      <c r="AM260" s="86">
        <f t="shared" si="340"/>
        <v>0.5</v>
      </c>
      <c r="AN260" s="30" t="e">
        <f t="shared" ca="1" si="371"/>
        <v>#DIV/0!</v>
      </c>
      <c r="AO260" s="85" t="e">
        <f ca="1">IF(U260&lt;=Hypothèses!$V$7,Hypothèses!$W$7,IF(U260&lt;=Hypothèses!$V$8,Hypothèses!$W$8,IF(U260&lt;=Hypothèses!$V$9,Hypothèses!$W$9,IF(U260&lt;=Hypothèses!$V$10,Hypothèses!$W$10,IF(U260&lt;=Hypothèses!$V$11,Hypothèses!$W$11,IF(U260&lt;=Hypothèses!$V$12,Hypothèses!$W$12,IF(U260&lt;=Hypothèses!$V$13,Hypothèses!$W$13,IF(U260&lt;=Hypothèses!$V$14,Hypothèses!$W$14,IF(U260&lt;=Hypothèses!$V$15,Hypothèses!$W$15,IF(U260&lt;=Hypothèses!$V$16,Hypothèses!$W$16,IF(U260&lt;=Hypothèses!$V$17,Hypothèses!$W$17,IF(U260&lt;=Hypothèses!$V$18,Hypothèses!$W$18,""))))))))))))</f>
        <v>#DIV/0!</v>
      </c>
      <c r="AP260" s="87" t="e">
        <f t="shared" ca="1" si="417"/>
        <v>#DIV/0!</v>
      </c>
      <c r="AQ260" s="88" t="e">
        <f ca="1">IF(U260&lt;=Hypothèses!$V$7,Hypothèses!$X$7,IF(U260&lt;=Hypothèses!$V$8,Hypothèses!$X$8,IF(U260&lt;=Hypothèses!$V$9,Hypothèses!$X$9,IF(U260&lt;=Hypothèses!$V$10,Hypothèses!$X$10,IF(U260&lt;=Hypothèses!$V$11,Hypothèses!$X$11,IF(U260&lt;=Hypothèses!$V$12,Hypothèses!$X$12,IF(U260&lt;=Hypothèses!$V$13,Hypothèses!$X$13,IF(U260&lt;=Hypothèses!$V$14,Hypothèses!$X$14,IF(U260&lt;=Hypothèses!$V$15,Hypothèses!$X$15,IF(U260&lt;=Hypothèses!$V$16,Hypothèses!$X$16,IF(U260&lt;=Hypothèses!$U$17,Hypothèses!$W$17,IF(U260&lt;=Hypothèses!$U$18,Hypothèses!$W$18,""))))))))))))</f>
        <v>#DIV/0!</v>
      </c>
      <c r="AR260" s="95" t="e">
        <f t="shared" ca="1" si="372"/>
        <v>#DIV/0!</v>
      </c>
      <c r="AS260" s="101">
        <f t="shared" si="424"/>
        <v>0</v>
      </c>
      <c r="AT260" s="91">
        <f t="shared" si="341"/>
        <v>0</v>
      </c>
      <c r="AU260" s="30" t="e">
        <f t="shared" si="402"/>
        <v>#N/A</v>
      </c>
      <c r="AV260" s="30" t="e">
        <f t="shared" si="403"/>
        <v>#N/A</v>
      </c>
      <c r="AW260" s="31" t="e">
        <f>IF(OR(Hypothèses!$B$4=17,Hypothèses!$B$4=18,Hypothèses!$B$4=19,Hypothèses!$B$4=20),
IF($D260="Pressio.",
IF(OR($E260=3,$E260=1,$E260=4),AV260,AU260),
IF($D260="Pénétro.",
IF(OR($E260=3,$E260=1,$E260=4),AV260,AU260))),IF($D260="Pressio.",
IF($E260=3,AV260,AU260),
IF($D260="Pénétro.",
IF($E260=4,AV260,AU260))))</f>
        <v>#N/A</v>
      </c>
      <c r="AX260" s="31">
        <v>0</v>
      </c>
      <c r="AY260" s="102" t="e">
        <f>IF(NDC!$H$10="Oui",(VLOOKUP($B$3,'Coeff EC7'!$T$39:$X$59,2,0)*AW260+VLOOKUP($B$3,'Coeff EC7'!$T$65:$X$85,2,0)*Model0.1T!AX260)/1.5,PI()*AU$12*$Q260*($B260-$B259)*0.15/10+AY259)</f>
        <v>#N/A</v>
      </c>
      <c r="AZ260" s="102" t="e">
        <f>(VLOOKUP($B$3,'Coeff EC7'!$T$39:$X$59,3,0)*AW260+VLOOKUP($B$3,'Coeff EC7'!$T$65:$X$85,3,0)*Model0.1T!AX260)/1.1</f>
        <v>#N/A</v>
      </c>
      <c r="BA260" s="102" t="e">
        <f t="shared" si="373"/>
        <v>#N/A</v>
      </c>
      <c r="BB260" s="102" t="e">
        <f t="shared" si="374"/>
        <v>#N/A</v>
      </c>
      <c r="BC260" s="414" t="e">
        <f>IF(AND(AY260&gt;NDC!$C$63,AZ260&gt;NDC!$C$65,BA260&gt;NDC!$D$73,BB260&gt;NDC!$D$74,$B260&gt;NDC!$H$22-0.1+MIN(3*BC$12,1.5)),0,1)</f>
        <v>#N/A</v>
      </c>
      <c r="BD260" s="86" t="b">
        <f t="shared" si="342"/>
        <v>0</v>
      </c>
      <c r="BE260" s="86">
        <f t="shared" si="375"/>
        <v>0.5</v>
      </c>
      <c r="BF260" s="86">
        <f t="shared" si="343"/>
        <v>0.5</v>
      </c>
      <c r="BG260" s="30" t="e">
        <f t="shared" ca="1" si="376"/>
        <v>#DIV/0!</v>
      </c>
      <c r="BH260" s="85" t="e">
        <f ca="1">IF(AN260&lt;=Hypothèses!$V$7,Hypothèses!$W$7,IF(AN260&lt;=Hypothèses!$V$8,Hypothèses!$W$8,IF(AN260&lt;=Hypothèses!$V$9,Hypothèses!$W$9,IF(AN260&lt;=Hypothèses!$V$10,Hypothèses!$W$10,IF(AN260&lt;=Hypothèses!$V$11,Hypothèses!$W$11,IF(AN260&lt;=Hypothèses!$V$12,Hypothèses!$W$12,IF(AN260&lt;=Hypothèses!$V$13,Hypothèses!$W$13,IF(AN260&lt;=Hypothèses!$V$14,Hypothèses!$W$14,IF(AN260&lt;=Hypothèses!$V$15,Hypothèses!$W$15,IF(AN260&lt;=Hypothèses!$V$16,Hypothèses!$W$16,IF(AN260&lt;=Hypothèses!$V$17,Hypothèses!$W$17,IF(AN260&lt;=Hypothèses!$V$18,Hypothèses!$W$18,""))))))))))))</f>
        <v>#DIV/0!</v>
      </c>
      <c r="BI260" s="87" t="e">
        <f t="shared" ca="1" si="418"/>
        <v>#DIV/0!</v>
      </c>
      <c r="BJ260" s="88" t="e">
        <f ca="1">IF(AN260&lt;=Hypothèses!$V$7,Hypothèses!$X$7,IF(AN260&lt;=Hypothèses!$V$8,Hypothèses!$X$8,IF(AN260&lt;=Hypothèses!$V$9,Hypothèses!$X$9,IF(AN260&lt;=Hypothèses!$V$10,Hypothèses!$X$10,IF(AN260&lt;=Hypothèses!$V$11,Hypothèses!$X$11,IF(AN260&lt;=Hypothèses!$V$12,Hypothèses!$X$12,IF(AN260&lt;=Hypothèses!$V$13,Hypothèses!$X$13,IF(AN260&lt;=Hypothèses!$V$14,Hypothèses!$X$14,IF(AN260&lt;=Hypothèses!$V$15,Hypothèses!$X$15,IF(AN260&lt;=Hypothèses!$V$16,Hypothèses!$X$16,IF(AN260&lt;=Hypothèses!$U$17,Hypothèses!$W$17,IF(AN260&lt;=Hypothèses!$U$18,Hypothèses!$W$18,""))))))))))))</f>
        <v>#DIV/0!</v>
      </c>
      <c r="BK260" s="95" t="e">
        <f t="shared" ca="1" si="377"/>
        <v>#DIV/0!</v>
      </c>
      <c r="BL260" s="101">
        <f t="shared" si="425"/>
        <v>0</v>
      </c>
      <c r="BM260" s="91">
        <f t="shared" si="344"/>
        <v>0</v>
      </c>
      <c r="BN260" s="30" t="e">
        <f t="shared" si="404"/>
        <v>#N/A</v>
      </c>
      <c r="BO260" s="30" t="e">
        <f t="shared" si="405"/>
        <v>#N/A</v>
      </c>
      <c r="BP260" s="31" t="e">
        <f>IF(OR(Hypothèses!$B$4=17,Hypothèses!$B$4=18,Hypothèses!$B$4=19,Hypothèses!$B$4=20),
IF($D260="Pressio.",
IF(OR($E260=3,$E260=1,$E260=4),BO260,BN260),
IF($D260="Pénétro.",
IF(OR($E260=3,$E260=1,$E260=4),BO260,BN260))),IF($D260="Pressio.",
IF($E260=3,BO260,BN260),
IF($D260="Pénétro.",
IF($E260=4,BO260,BN260))))</f>
        <v>#N/A</v>
      </c>
      <c r="BQ260" s="31">
        <v>0</v>
      </c>
      <c r="BR260" s="102" t="e">
        <f>IF(NDC!$H$10="Oui",(VLOOKUP($B$3,'Coeff EC7'!$T$39:$X$59,2,0)*BP260+VLOOKUP($B$3,'Coeff EC7'!$T$65:$X$85,2,0)*Model0.1T!BQ260)/1.5,PI()*BN$12*$Q260*($B260-$B259)*0.15/10+BR259)</f>
        <v>#N/A</v>
      </c>
      <c r="BS260" s="102" t="e">
        <f>(VLOOKUP($B$3,'Coeff EC7'!$T$39:$X$59,3,0)*BP260+VLOOKUP($B$3,'Coeff EC7'!$T$65:$X$85,3,0)*Model0.1T!BQ260)/1.1</f>
        <v>#N/A</v>
      </c>
      <c r="BT260" s="102" t="e">
        <f t="shared" si="378"/>
        <v>#N/A</v>
      </c>
      <c r="BU260" s="102" t="e">
        <f t="shared" si="379"/>
        <v>#N/A</v>
      </c>
      <c r="BV260" s="414" t="e">
        <f>IF(AND(BR260&gt;NDC!$C$63,BS260&gt;NDC!$C$65,BT260&gt;NDC!$D$73,BU260&gt;NDC!$D$74,$B260&gt;NDC!$H$22-0.1+MIN(3*BV$12,1.5)),0,1)</f>
        <v>#N/A</v>
      </c>
      <c r="BW260" s="86" t="b">
        <f t="shared" si="345"/>
        <v>0</v>
      </c>
      <c r="BX260" s="86">
        <f t="shared" si="346"/>
        <v>0.5</v>
      </c>
      <c r="BY260" s="86">
        <f t="shared" si="347"/>
        <v>0.5</v>
      </c>
      <c r="BZ260" s="30" t="e">
        <f t="shared" ca="1" si="380"/>
        <v>#DIV/0!</v>
      </c>
      <c r="CA260" s="85" t="e">
        <f ca="1">IF(BG260&lt;=Hypothèses!$V$7,Hypothèses!$W$7,IF(BG260&lt;=Hypothèses!$V$8,Hypothèses!$W$8,IF(BG260&lt;=Hypothèses!$V$9,Hypothèses!$W$9,IF(BG260&lt;=Hypothèses!$V$10,Hypothèses!$W$10,IF(BG260&lt;=Hypothèses!$V$11,Hypothèses!$W$11,IF(BG260&lt;=Hypothèses!$V$12,Hypothèses!$W$12,IF(BG260&lt;=Hypothèses!$V$13,Hypothèses!$W$13,IF(BG260&lt;=Hypothèses!$V$14,Hypothèses!$W$14,IF(BG260&lt;=Hypothèses!$V$15,Hypothèses!$W$15,IF(BG260&lt;=Hypothèses!$V$16,Hypothèses!$W$16,IF(BG260&lt;=Hypothèses!$V$17,Hypothèses!$W$17,IF(BG260&lt;=Hypothèses!$V$18,Hypothèses!$W$18,""))))))))))))</f>
        <v>#DIV/0!</v>
      </c>
      <c r="CB260" s="87" t="e">
        <f t="shared" ca="1" si="419"/>
        <v>#DIV/0!</v>
      </c>
      <c r="CC260" s="88" t="e">
        <f ca="1">IF(BG260&lt;=Hypothèses!$V$7,Hypothèses!$X$7,IF(BG260&lt;=Hypothèses!$V$8,Hypothèses!$X$8,IF(BG260&lt;=Hypothèses!$V$9,Hypothèses!$X$9,IF(BG260&lt;=Hypothèses!$V$10,Hypothèses!$X$10,IF(BG260&lt;=Hypothèses!$V$11,Hypothèses!$X$11,IF(BG260&lt;=Hypothèses!$V$12,Hypothèses!$X$12,IF(BG260&lt;=Hypothèses!$V$13,Hypothèses!$X$13,IF(BG260&lt;=Hypothèses!$V$14,Hypothèses!$X$14,IF(BG260&lt;=Hypothèses!$V$15,Hypothèses!$X$15,IF(BG260&lt;=Hypothèses!$V$16,Hypothèses!$X$16,IF(BG260&lt;=Hypothèses!$U$17,Hypothèses!$W$17,IF(BG260&lt;=Hypothèses!$U$18,Hypothèses!$W$18,""))))))))))))</f>
        <v>#DIV/0!</v>
      </c>
      <c r="CD260" s="95" t="e">
        <f t="shared" ca="1" si="381"/>
        <v>#DIV/0!</v>
      </c>
      <c r="CE260" s="101">
        <f t="shared" si="426"/>
        <v>0</v>
      </c>
      <c r="CF260" s="91">
        <f t="shared" si="348"/>
        <v>0</v>
      </c>
      <c r="CG260" s="30" t="e">
        <f t="shared" si="406"/>
        <v>#N/A</v>
      </c>
      <c r="CH260" s="30" t="e">
        <f t="shared" si="407"/>
        <v>#N/A</v>
      </c>
      <c r="CI260" s="31" t="e">
        <f>IF(OR(Hypothèses!$B$4=17,Hypothèses!$B$4=18,Hypothèses!$B$4=19,Hypothèses!$B$4=20),
IF($D260="Pressio.",
IF(OR($E260=3,$E260=1,$E260=4),CH260,CG260),
IF($D260="Pénétro.",
IF(OR($E260=3,$E260=1,$E260=4),CH260,CG260))),IF($D260="Pressio.",
IF($E260=3,CH260,CG260),
IF($D260="Pénétro.",
IF($E260=4,CH260,CG260))))</f>
        <v>#N/A</v>
      </c>
      <c r="CJ260" s="31">
        <v>0</v>
      </c>
      <c r="CK260" s="102" t="e">
        <f>IF(NDC!$H$10="Oui",(VLOOKUP($B$3,'Coeff EC7'!$T$39:$X$59,2,0)*CI260+VLOOKUP($B$3,'Coeff EC7'!$T$65:$X$85,2,0)*Model0.1T!CJ260)/1.5,PI()*CG$12*$Q260*($B260-$B259)*0.15/10+CK259)</f>
        <v>#N/A</v>
      </c>
      <c r="CL260" s="102" t="e">
        <f>(VLOOKUP($B$3,'Coeff EC7'!$T$39:$X$59,3,0)*CI260+VLOOKUP($B$3,'Coeff EC7'!$T$65:$X$85,3,0)*Model0.1T!CJ260)/1.1</f>
        <v>#N/A</v>
      </c>
      <c r="CM260" s="102" t="e">
        <f t="shared" si="382"/>
        <v>#N/A</v>
      </c>
      <c r="CN260" s="102" t="e">
        <f t="shared" si="383"/>
        <v>#N/A</v>
      </c>
      <c r="CO260" s="414" t="e">
        <f>IF(AND(CK260&gt;NDC!$C$63,CL260&gt;NDC!$C$65,CM260&gt;NDC!$D$73,CN260&gt;NDC!$D$74,$B260&gt;NDC!$H$22-0.1+MIN(3*CO$12,1.5)),0,1)</f>
        <v>#N/A</v>
      </c>
      <c r="CP260" s="86" t="b">
        <f t="shared" si="349"/>
        <v>0</v>
      </c>
      <c r="CQ260" s="86">
        <f t="shared" si="350"/>
        <v>0.5</v>
      </c>
      <c r="CR260" s="86">
        <f t="shared" si="351"/>
        <v>0.5</v>
      </c>
      <c r="CS260" s="30" t="e">
        <f t="shared" ca="1" si="384"/>
        <v>#DIV/0!</v>
      </c>
      <c r="CT260" s="85" t="e">
        <f ca="1">IF(BZ260&lt;=Hypothèses!$V$7,Hypothèses!$W$7,IF(BZ260&lt;=Hypothèses!$V$8,Hypothèses!$W$8,IF(BZ260&lt;=Hypothèses!$V$9,Hypothèses!$W$9,IF(BZ260&lt;=Hypothèses!$V$10,Hypothèses!$W$10,IF(BZ260&lt;=Hypothèses!$V$11,Hypothèses!$W$11,IF(BZ260&lt;=Hypothèses!$V$12,Hypothèses!$W$12,IF(BZ260&lt;=Hypothèses!$V$13,Hypothèses!$W$13,IF(BZ260&lt;=Hypothèses!$V$14,Hypothèses!$W$14,IF(BZ260&lt;=Hypothèses!$V$15,Hypothèses!$W$15,IF(BZ260&lt;=Hypothèses!$V$16,Hypothèses!$W$16,IF(BZ260&lt;=Hypothèses!$V$17,Hypothèses!$W$17,IF(BZ260&lt;=Hypothèses!$V$18,Hypothèses!$W$18,""))))))))))))</f>
        <v>#DIV/0!</v>
      </c>
      <c r="CU260" s="87" t="e">
        <f t="shared" ca="1" si="420"/>
        <v>#DIV/0!</v>
      </c>
      <c r="CV260" s="88" t="e">
        <f ca="1">IF(BZ260&lt;=Hypothèses!$V$7,Hypothèses!$X$7,IF(BZ260&lt;=Hypothèses!$V$8,Hypothèses!$X$8,IF(BZ260&lt;=Hypothèses!$V$9,Hypothèses!$X$9,IF(BZ260&lt;=Hypothèses!$V$10,Hypothèses!$X$10,IF(BZ260&lt;=Hypothèses!$V$11,Hypothèses!$X$11,IF(BZ260&lt;=Hypothèses!$V$12,Hypothèses!$X$12,IF(BZ260&lt;=Hypothèses!$V$13,Hypothèses!$X$13,IF(BZ260&lt;=Hypothèses!$V$14,Hypothèses!$X$14,IF(BZ260&lt;=Hypothèses!$V$15,Hypothèses!$X$15,IF(BZ260&lt;=Hypothèses!$V$16,Hypothèses!$X$16,IF(BZ260&lt;=Hypothèses!$U$17,Hypothèses!$W$17,IF(BZ260&lt;=Hypothèses!$U$18,Hypothèses!$W$18,""))))))))))))</f>
        <v>#DIV/0!</v>
      </c>
      <c r="CW260" s="95" t="e">
        <f t="shared" ca="1" si="385"/>
        <v>#DIV/0!</v>
      </c>
      <c r="CX260" s="101">
        <f t="shared" si="427"/>
        <v>0</v>
      </c>
      <c r="CY260" s="91">
        <f t="shared" si="352"/>
        <v>0</v>
      </c>
      <c r="CZ260" s="30" t="e">
        <f t="shared" si="408"/>
        <v>#N/A</v>
      </c>
      <c r="DA260" s="30" t="e">
        <f t="shared" si="409"/>
        <v>#N/A</v>
      </c>
      <c r="DB260" s="31" t="e">
        <f>IF(OR(Hypothèses!$B$4=17,Hypothèses!$B$4=18,Hypothèses!$B$4=19,Hypothèses!$B$4=20),
IF($D260="Pressio.",
IF(OR($E260=3,$E260=1,$E260=4),DA260,CZ260),
IF($D260="Pénétro.",
IF(OR($E260=3,$E260=1,$E260=4),DA260,CZ260))),IF($D260="Pressio.",
IF($E260=3,DA260,CZ260),
IF($D260="Pénétro.",
IF($E260=4,DA260,CZ260))))</f>
        <v>#N/A</v>
      </c>
      <c r="DC260" s="31">
        <v>0</v>
      </c>
      <c r="DD260" s="102" t="e">
        <f>IF(NDC!$H$10="Oui",(VLOOKUP($B$3,'Coeff EC7'!$T$39:$X$59,2,0)*DB260+VLOOKUP($B$3,'Coeff EC7'!$T$65:$X$85,2,0)*Model0.1T!DC260)/1.5,PI()*CZ$12*$Q260*($B260-$B259)*0.15/10+DD259)</f>
        <v>#N/A</v>
      </c>
      <c r="DE260" s="102" t="e">
        <f>(VLOOKUP($B$3,'Coeff EC7'!$T$39:$X$59,3,0)*DB260+VLOOKUP($B$3,'Coeff EC7'!$T$65:$X$85,3,0)*Model0.1T!DC260)/1.1</f>
        <v>#N/A</v>
      </c>
      <c r="DF260" s="102" t="e">
        <f t="shared" si="386"/>
        <v>#N/A</v>
      </c>
      <c r="DG260" s="102" t="e">
        <f t="shared" si="387"/>
        <v>#N/A</v>
      </c>
      <c r="DH260" s="414" t="e">
        <f>IF(AND(DD260&gt;NDC!$C$63,DE260&gt;NDC!$C$65,DF260&gt;NDC!$D$73,DG260&gt;NDC!$D$74,$B260&gt;NDC!$H$22-0.1+MIN(3*DH$12,1.5)),0,1)</f>
        <v>#N/A</v>
      </c>
      <c r="DI260" s="86" t="b">
        <f t="shared" si="353"/>
        <v>0</v>
      </c>
      <c r="DJ260" s="86">
        <f t="shared" si="354"/>
        <v>0.5</v>
      </c>
      <c r="DK260" s="86">
        <f t="shared" si="355"/>
        <v>0.5</v>
      </c>
      <c r="DL260" s="30" t="e">
        <f t="shared" ca="1" si="388"/>
        <v>#DIV/0!</v>
      </c>
      <c r="DM260" s="85" t="e">
        <f ca="1">IF(CS260&lt;=Hypothèses!$V$7,Hypothèses!$W$7,IF(CS260&lt;=Hypothèses!$V$8,Hypothèses!$W$8,IF(CS260&lt;=Hypothèses!$V$9,Hypothèses!$W$9,IF(CS260&lt;=Hypothèses!$V$10,Hypothèses!$W$10,IF(CS260&lt;=Hypothèses!$V$11,Hypothèses!$W$11,IF(CS260&lt;=Hypothèses!$V$12,Hypothèses!$W$12,IF(CS260&lt;=Hypothèses!$V$13,Hypothèses!$W$13,IF(CS260&lt;=Hypothèses!$V$14,Hypothèses!$W$14,IF(CS260&lt;=Hypothèses!$V$15,Hypothèses!$W$15,IF(CS260&lt;=Hypothèses!$V$16,Hypothèses!$W$16,IF(CS260&lt;=Hypothèses!$V$17,Hypothèses!$W$17,IF(CS260&lt;=Hypothèses!$V$18,Hypothèses!$W$18,""))))))))))))</f>
        <v>#DIV/0!</v>
      </c>
      <c r="DN260" s="87" t="e">
        <f t="shared" ca="1" si="421"/>
        <v>#DIV/0!</v>
      </c>
      <c r="DO260" s="88" t="e">
        <f ca="1">IF(CS260&lt;=Hypothèses!$V$7,Hypothèses!$X$7,IF(CS260&lt;=Hypothèses!$V$8,Hypothèses!$X$8,IF(CS260&lt;=Hypothèses!$V$9,Hypothèses!$X$9,IF(CS260&lt;=Hypothèses!$V$10,Hypothèses!$X$10,IF(CS260&lt;=Hypothèses!$V$11,Hypothèses!$X$11,IF(CS260&lt;=Hypothèses!$V$12,Hypothèses!$X$12,IF(CS260&lt;=Hypothèses!$V$13,Hypothèses!$X$13,IF(CS260&lt;=Hypothèses!$V$14,Hypothèses!$X$14,IF(CS260&lt;=Hypothèses!$V$15,Hypothèses!$X$15,IF(CS260&lt;=Hypothèses!$V$16,Hypothèses!$X$16,IF(CS260&lt;=Hypothèses!$U$17,Hypothèses!$W$17,IF(CS260&lt;=Hypothèses!$U$18,Hypothèses!$W$18,""))))))))))))</f>
        <v>#DIV/0!</v>
      </c>
      <c r="DP260" s="95" t="e">
        <f t="shared" ca="1" si="389"/>
        <v>#DIV/0!</v>
      </c>
      <c r="DQ260" s="101">
        <f t="shared" si="428"/>
        <v>0</v>
      </c>
      <c r="DR260" s="91">
        <f t="shared" si="356"/>
        <v>0</v>
      </c>
      <c r="DS260" s="30" t="e">
        <f t="shared" si="410"/>
        <v>#N/A</v>
      </c>
      <c r="DT260" s="30" t="e">
        <f t="shared" si="411"/>
        <v>#N/A</v>
      </c>
      <c r="DU260" s="31" t="e">
        <f>IF(OR(Hypothèses!$B$4=17,Hypothèses!$B$4=18,Hypothèses!$B$4=19,Hypothèses!$B$4=20),
IF($D260="Pressio.",
IF(OR($E260=3,$E260=1,$E260=4),DT260,DS260),
IF($D260="Pénétro.",
IF(OR($E260=3,$E260=1,$E260=4),DT260,DS260))),IF($D260="Pressio.",
IF($E260=3,DT260,DS260),
IF($D260="Pénétro.",
IF($E260=4,DT260,DS260))))</f>
        <v>#N/A</v>
      </c>
      <c r="DV260" s="31">
        <v>0</v>
      </c>
      <c r="DW260" s="102" t="e">
        <f>IF(NDC!$H$10="Oui",(VLOOKUP($B$3,'Coeff EC7'!$T$39:$X$59,2,0)*DU260+VLOOKUP($B$3,'Coeff EC7'!$T$65:$X$85,2,0)*Model0.1T!DV260)/1.5,PI()*DS$12*$Q260*($B260-$B259)*0.15/10+DW259)</f>
        <v>#N/A</v>
      </c>
      <c r="DX260" s="102" t="e">
        <f>(VLOOKUP($B$3,'Coeff EC7'!$T$39:$X$59,3,0)*DU260+VLOOKUP($B$3,'Coeff EC7'!$T$65:$X$85,3,0)*Model0.1T!DV260)/1.1</f>
        <v>#N/A</v>
      </c>
      <c r="DY260" s="102" t="e">
        <f t="shared" si="390"/>
        <v>#N/A</v>
      </c>
      <c r="DZ260" s="102" t="e">
        <f t="shared" si="391"/>
        <v>#N/A</v>
      </c>
      <c r="EA260" s="414" t="e">
        <f>IF(AND(DW260&gt;NDC!$C$63,DX260&gt;NDC!$C$65,DY260&gt;NDC!$D$73,DZ260&gt;NDC!$D$74,$B260&gt;NDC!$H$22-0.1+MIN(3*EA$12,1.5)),0,1)</f>
        <v>#N/A</v>
      </c>
      <c r="EB260" s="86" t="b">
        <f t="shared" si="357"/>
        <v>0</v>
      </c>
      <c r="EC260" s="418">
        <f t="shared" si="358"/>
        <v>0.51</v>
      </c>
      <c r="ED260" s="86">
        <f t="shared" si="359"/>
        <v>0.51</v>
      </c>
      <c r="EE260" s="30" t="e">
        <f t="shared" ca="1" si="392"/>
        <v>#DIV/0!</v>
      </c>
      <c r="EF260" s="85" t="e">
        <f ca="1">IF(DL260&lt;=Hypothèses!$V$7,Hypothèses!$W$7,IF(DL260&lt;=Hypothèses!$V$8,Hypothèses!$W$8,IF(DL260&lt;=Hypothèses!$V$9,Hypothèses!$W$9,IF(DL260&lt;=Hypothèses!$V$10,Hypothèses!$W$10,IF(DL260&lt;=Hypothèses!$V$11,Hypothèses!$W$11,IF(DL260&lt;=Hypothèses!$V$12,Hypothèses!$W$12,IF(DL260&lt;=Hypothèses!$V$13,Hypothèses!$W$13,IF(DL260&lt;=Hypothèses!$V$14,Hypothèses!$W$14,IF(DL260&lt;=Hypothèses!$V$15,Hypothèses!$W$15,IF(DL260&lt;=Hypothèses!$V$16,Hypothèses!$W$16,IF(DL260&lt;=Hypothèses!$V$17,Hypothèses!$W$17,IF(DL260&lt;=Hypothèses!$V$18,Hypothèses!$W$18,""))))))))))))</f>
        <v>#DIV/0!</v>
      </c>
      <c r="EG260" s="87" t="e">
        <f t="shared" ca="1" si="422"/>
        <v>#DIV/0!</v>
      </c>
      <c r="EH260" s="88" t="e">
        <f ca="1">IF(DL260&lt;=Hypothèses!$V$7,Hypothèses!$X$7,IF(DL260&lt;=Hypothèses!$V$8,Hypothèses!$X$8,IF(DL260&lt;=Hypothèses!$V$9,Hypothèses!$X$9,IF(DL260&lt;=Hypothèses!$V$10,Hypothèses!$X$10,IF(DL260&lt;=Hypothèses!$V$11,Hypothèses!$X$11,IF(DL260&lt;=Hypothèses!$V$12,Hypothèses!$X$12,IF(DL260&lt;=Hypothèses!$V$13,Hypothèses!$X$13,IF(DL260&lt;=Hypothèses!$V$14,Hypothèses!$X$14,IF(DL260&lt;=Hypothèses!$V$15,Hypothèses!$X$15,IF(DL260&lt;=Hypothèses!$V$16,Hypothèses!$X$16,IF(DL260&lt;=Hypothèses!$U$17,Hypothèses!$W$17,IF(DL260&lt;=Hypothèses!$U$18,Hypothèses!$W$18,""))))))))))))</f>
        <v>#DIV/0!</v>
      </c>
      <c r="EI260" s="95" t="e">
        <f t="shared" ca="1" si="393"/>
        <v>#DIV/0!</v>
      </c>
      <c r="EJ260" s="101">
        <f t="shared" si="429"/>
        <v>0</v>
      </c>
      <c r="EK260" s="91">
        <f t="shared" si="360"/>
        <v>0</v>
      </c>
      <c r="EL260" s="30" t="e">
        <f t="shared" si="412"/>
        <v>#N/A</v>
      </c>
      <c r="EM260" s="30" t="e">
        <f t="shared" si="413"/>
        <v>#N/A</v>
      </c>
      <c r="EN260" s="31" t="e">
        <f>IF(OR(Hypothèses!$B$4=17,Hypothèses!$B$4=18,Hypothèses!$B$4=19,Hypothèses!$B$4=20),
IF($D260="Pressio.",
IF(OR($E260=3,$E260=1,$E260=4),EM260,EL260),
IF($D260="Pénétro.",
IF(OR($E260=3,$E260=1,$E260=4),EM260,EL260))),IF($D260="Pressio.",
IF($E260=3,EM260,EL260),
IF($D260="Pénétro.",
IF($E260=4,EM260,EL260))))</f>
        <v>#N/A</v>
      </c>
      <c r="EO260" s="31">
        <v>0</v>
      </c>
      <c r="EP260" s="102" t="e">
        <f>IF(NDC!$H$10="Oui",(VLOOKUP($B$3,'Coeff EC7'!$T$39:$X$59,2,0)*EN260+VLOOKUP($B$3,'Coeff EC7'!$T$65:$X$85,2,0)*Model0.1T!EO260)/1.5,PI()*EL$12*$Q260*($B260-$B259)*0.15/10+EP259)</f>
        <v>#N/A</v>
      </c>
      <c r="EQ260" s="102" t="e">
        <f>(VLOOKUP($B$3,'Coeff EC7'!$T$39:$X$59,3,0)*EN260+VLOOKUP($B$3,'Coeff EC7'!$T$65:$X$85,3,0)*Model0.1T!EO260)/1.1</f>
        <v>#N/A</v>
      </c>
      <c r="ER260" s="102" t="e">
        <f t="shared" si="394"/>
        <v>#N/A</v>
      </c>
      <c r="ES260" s="102" t="e">
        <f t="shared" si="395"/>
        <v>#N/A</v>
      </c>
      <c r="ET260" s="414" t="e">
        <f>IF(AND(EP260&gt;NDC!$C$63,EQ260&gt;NDC!$C$65,ER260&gt;NDC!$D$73,ES260&gt;NDC!$D$74,$B260&gt;NDC!$H$22-0.1+MIN(3*ET$12,1.5)),0,1)</f>
        <v>#N/A</v>
      </c>
      <c r="EU260" s="86" t="b">
        <f t="shared" si="361"/>
        <v>0</v>
      </c>
      <c r="EV260" s="86">
        <f t="shared" si="362"/>
        <v>0.61</v>
      </c>
      <c r="EW260" s="86">
        <f t="shared" si="363"/>
        <v>0.61</v>
      </c>
      <c r="EX260" s="30" t="e">
        <f t="shared" ca="1" si="396"/>
        <v>#DIV/0!</v>
      </c>
      <c r="EY260" s="85" t="e">
        <f ca="1">IF(EE260&lt;=Hypothèses!$V$7,Hypothèses!$W$7,IF(EE260&lt;=Hypothèses!$V$8,Hypothèses!$W$8,IF(EE260&lt;=Hypothèses!$V$9,Hypothèses!$W$9,IF(EE260&lt;=Hypothèses!$V$10,Hypothèses!$W$10,IF(EE260&lt;=Hypothèses!$V$11,Hypothèses!$W$11,IF(EE260&lt;=Hypothèses!$V$12,Hypothèses!$W$12,IF(EE260&lt;=Hypothèses!$V$13,Hypothèses!$W$13,IF(EE260&lt;=Hypothèses!$V$14,Hypothèses!$W$14,IF(EE260&lt;=Hypothèses!$V$15,Hypothèses!$W$15,IF(EE260&lt;=Hypothèses!$V$16,Hypothèses!$W$16,IF(EE260&lt;=Hypothèses!$V$17,Hypothèses!$W$17,IF(EE260&lt;=Hypothèses!$V$18,Hypothèses!$W$18,""))))))))))))</f>
        <v>#DIV/0!</v>
      </c>
      <c r="EZ260" s="87" t="e">
        <f t="shared" ca="1" si="423"/>
        <v>#DIV/0!</v>
      </c>
      <c r="FA260" s="88" t="e">
        <f ca="1">IF(EE260&lt;=Hypothèses!$V$7,Hypothèses!$X$7,IF(EE260&lt;=Hypothèses!$V$8,Hypothèses!$X$8,IF(EE260&lt;=Hypothèses!$V$9,Hypothèses!$X$9,IF(EE260&lt;=Hypothèses!$V$10,Hypothèses!$X$10,IF(EE260&lt;=Hypothèses!$V$11,Hypothèses!$X$11,IF(EE260&lt;=Hypothèses!$V$12,Hypothèses!$X$12,IF(EE260&lt;=Hypothèses!$V$13,Hypothèses!$X$13,IF(EE260&lt;=Hypothèses!$V$14,Hypothèses!$X$14,IF(EE260&lt;=Hypothèses!$V$15,Hypothèses!$X$15,IF(EE260&lt;=Hypothèses!$V$16,Hypothèses!$X$16,IF(EE260&lt;=Hypothèses!$U$17,Hypothèses!$W$17,IF(EE260&lt;=Hypothèses!$U$18,Hypothèses!$W$18,""))))))))))))</f>
        <v>#DIV/0!</v>
      </c>
      <c r="FB260" s="95" t="e">
        <f t="shared" ca="1" si="397"/>
        <v>#DIV/0!</v>
      </c>
      <c r="FC260" s="101">
        <f t="shared" si="430"/>
        <v>0</v>
      </c>
      <c r="FD260" s="91">
        <f t="shared" si="364"/>
        <v>0</v>
      </c>
      <c r="FE260" s="30" t="e">
        <f t="shared" si="414"/>
        <v>#N/A</v>
      </c>
      <c r="FF260" s="30" t="e">
        <f t="shared" si="415"/>
        <v>#N/A</v>
      </c>
      <c r="FG260" s="31" t="e">
        <f>IF(OR(Hypothèses!$B$4=17,Hypothèses!$B$4=18,Hypothèses!$B$4=19,Hypothèses!$B$4=20),
IF($D260="Pressio.",
IF(OR($E260=3,$E260=1,$E260=4),FF260,FE260),
IF($D260="Pénétro.",
IF(OR($E260=3,$E260=1,$E260=4),FF260,FE260))),IF($D260="Pressio.",
IF($E260=3,FF260,FE260),
IF($D260="Pénétro.",
IF($E260=4,FF260,FE260))))</f>
        <v>#N/A</v>
      </c>
      <c r="FH260" s="31">
        <v>0</v>
      </c>
      <c r="FI260" s="102" t="e">
        <f>IF(NDC!$H$10="Oui",(VLOOKUP($B$3,'Coeff EC7'!$T$39:$X$59,2,0)*FG260+VLOOKUP($B$3,'Coeff EC7'!$T$65:$X$85,2,0)*Model0.1T!FH260)/1.5,PI()*FE$12*$Q260*($B260-$B259)*0.15/10+FI259)</f>
        <v>#N/A</v>
      </c>
      <c r="FJ260" s="102" t="e">
        <f>(VLOOKUP($B$3,'Coeff EC7'!$T$39:$X$59,3,0)*FG260+VLOOKUP($B$3,'Coeff EC7'!$T$65:$X$85,3,0)*Model0.1T!FH260)/1.1</f>
        <v>#N/A</v>
      </c>
      <c r="FK260" s="102" t="e">
        <f t="shared" si="398"/>
        <v>#N/A</v>
      </c>
      <c r="FL260" s="102" t="e">
        <f t="shared" si="399"/>
        <v>#N/A</v>
      </c>
      <c r="FM260" s="414" t="e">
        <f>IF(AND(FI260&gt;NDC!$C$63,FJ260&gt;NDC!$C$65,FK260&gt;NDC!$D$73,FL260&gt;NDC!$D$74,$B260&gt;NDC!$H$22-0.1+MIN(3*FM$12,1.5)),0,1)</f>
        <v>#N/A</v>
      </c>
    </row>
    <row r="261" spans="1:169">
      <c r="A261" s="96">
        <f t="shared" si="365"/>
        <v>75.20000000000141</v>
      </c>
      <c r="B261" s="97">
        <v>24.8</v>
      </c>
      <c r="C261" s="81">
        <f>IF(B261&lt;=Hypothèses!$C$7,Hypothèses!$A$7,IF(B261&lt;=Hypothèses!$C$8,Hypothèses!$A$8,IF(B261&lt;=Hypothèses!$C$9,Hypothèses!$A$9,IF(B261&lt;=Hypothèses!$C$10,Hypothèses!$A$10,IF(B261&lt;=Hypothèses!$C$11,Hypothèses!$A$11,IF(B261&lt;=Hypothèses!$C$12,Hypothèses!$A$12,IF(B261&lt;=Hypothèses!$C$13,Hypothèses!$A$13,IF(B261&lt;=Hypothèses!$C$14,Hypothèses!$A$14,IF(B261&lt;=Hypothèses!$C$15,Hypothèses!$A$15,IF(B261&lt;=Hypothèses!$C$16,Hypothèses!$A$16,IF(B261&lt;=Hypothèses!$C$17,Hypothèses!$A$17,IF(B261&lt;=Hypothèses!$C$18,Hypothèses!$A$18,C260))))))))))))</f>
        <v>11</v>
      </c>
      <c r="D261" s="82" t="str">
        <f>IF(B261&lt;=Hypothèses!$C$7,Hypothèses!$R$7,IF(B261&lt;=Hypothèses!$C$8,Hypothèses!$R$8,IF(B261&lt;=Hypothèses!$C$9,Hypothèses!$R$9,IF(B261&lt;=Hypothèses!$C$10,Hypothèses!$R$10,IF(B261&lt;=Hypothèses!$C$11,Hypothèses!$R$11,IF(B261&lt;=Hypothèses!$C$12,Hypothèses!$R$12,IF(B261&lt;=Hypothèses!$C$13,Hypothèses!$R$13,IF(B261&lt;=Hypothèses!$C$14,Hypothèses!$R$14,IF(B261&lt;=Hypothèses!$C$15,Hypothèses!$R$15,IF(B261&lt;=Hypothèses!$C$16,Hypothèses!$R$16,IF(B261&lt;=Hypothèses!$C$17,Hypothèses!$R$17,IF(B261&lt;=Hypothèses!$C$18,Hypothèses!$R$18,D260))))))))))))</f>
        <v>Pressio.</v>
      </c>
      <c r="E261" s="82" t="e">
        <f>IF(B261&lt;=Hypothèses!$C$7,Hypothèses!$G$7,IF(B261&lt;=Hypothèses!$C$8,Hypothèses!$G$8,IF(B261&lt;=Hypothèses!$C$9,Hypothèses!$G$9,IF(B261&lt;=Hypothèses!$C$10,Hypothèses!$G$10,IF(B261&lt;=Hypothèses!$C$11,Hypothèses!$G$11,IF(B261&lt;=Hypothèses!$C$12,Hypothèses!$G$12,IF(B261&lt;=Hypothèses!$C$13,Hypothèses!$G$13,IF(B261&lt;=Hypothèses!$C$14,Hypothèses!$G$14,IF(B261&lt;=Hypothèses!$C$15,Hypothèses!$G$15,IF(B261&lt;=Hypothèses!$C$16,Hypothèses!$G$16,IF(B261&lt;=Hypothèses!$C$17,Hypothèses!$G$17,IF(B261&lt;=Hypothèses!$C$18,Hypothèses!$G$18,E260))))))))))))</f>
        <v>#N/A</v>
      </c>
      <c r="F261" s="82" t="str">
        <f>IF(B261&lt;=Hypothèses!$C$7,Hypothèses!$F$7,IF(B261&lt;=Hypothèses!$C$8,Hypothèses!$F$8,IF(B261&lt;=Hypothèses!$C$9,Hypothèses!$F$9,IF(B261&lt;=Hypothèses!$C$10,Hypothèses!$F$10,IF(B261&lt;=Hypothèses!$C$11,Hypothèses!$F$11,IF(B261&lt;=Hypothèses!$C$12,Hypothèses!$F$12,IF(B261&lt;=Hypothèses!$C$13,Hypothèses!$F$13,IF(B261&lt;=Hypothèses!$C$14,Hypothèses!$F$14,IF(B261&lt;=Hypothèses!$C$15,Hypothèses!$F$15,IF(B261&lt;=Hypothèses!$C$16,Hypothèses!$F$16,IF(B261&lt;=Hypothèses!$C$17,Hypothèses!$F$17,IF(B261&lt;=Hypothèses!$C$18,Hypothèses!$F$18,F260))))))))))))</f>
        <v/>
      </c>
      <c r="G261" s="91">
        <f t="array" ref="G261">INDEX('Coeff EC7'!$U$7:$X$27,
MATCH(Model0.1T!$B$3,'Coeff EC7'!$T$7:$T$27,0),
MATCH(Model0.1T!$D261&amp;Model0.1T!$B$4,
'Coeff EC7'!$U$6:$X$6&amp;
'Coeff EC7'!$U$5:$X$5,0))</f>
        <v>1.4</v>
      </c>
      <c r="H261" s="91">
        <f t="array" ref="H261">INDEX('Coeff EC7'!$Y$7:$AB$27,
MATCH(Model0.1T!$B$3,'Coeff EC7'!$T$7:$T$27,0),
MATCH(Model0.1T!$D261&amp;Model0.1T!$B$4,
'Coeff EC7'!$Y$6:$AB$6&amp;
'Coeff EC7'!$Y$5:$AB$5,0))</f>
        <v>1.7</v>
      </c>
      <c r="I261" s="83">
        <v>0</v>
      </c>
      <c r="J261" s="91" t="e">
        <f t="array" ref="J261">INDEX('Coeff EC7'!$D$33:$Q$33,1,MATCH(D261&amp;E261,'Coeff EC7'!$D$31:$Q$31&amp;'Coeff EC7'!$D$32:$Q$32,0))</f>
        <v>#N/A</v>
      </c>
      <c r="K261" s="91" t="e">
        <f t="array" ref="K261">INDEX('Coeff EC7'!$D$34:$Q$34,1,MATCH(D261&amp;E261,'Coeff EC7'!$D$31:$Q$31&amp;'Coeff EC7'!$D$32:$Q$32,0))</f>
        <v>#N/A</v>
      </c>
      <c r="L261" s="91" t="e">
        <f t="array" ref="L261">INDEX('Coeff EC7'!$D$35:$Q$35,1,MATCH(D261&amp;E261,'Coeff EC7'!$D$31:$Q$31&amp;'Coeff EC7'!$D$32:$Q$32,0))</f>
        <v>#N/A</v>
      </c>
      <c r="M261" s="98" t="e">
        <f t="shared" si="331"/>
        <v>#N/A</v>
      </c>
      <c r="N261" s="99" t="e">
        <f t="array" ref="N261">INDEX('Coeff EC7'!$D$7:$Q$27,MATCH($B$3,'Coeff EC7'!$C$7:$C$27,0),MATCH(D261&amp;E261,'Coeff EC7'!$D$5:$Q$5&amp;'Coeff EC7'!$D$6:$Q$6,0))</f>
        <v>#N/A</v>
      </c>
      <c r="O261" s="99" t="e">
        <f t="array" ref="O261">INDEX('Coeff EC7'!$D$41:$Q$61,MATCH($B$3,'Coeff EC7'!$C$41:$C$61,0),MATCH(D261&amp;E261,'Coeff EC7'!$D$39:$Q$39&amp;'Coeff EC7'!$D$40:$Q$40,0))</f>
        <v>#N/A</v>
      </c>
      <c r="P261" s="30" t="e">
        <f t="shared" si="366"/>
        <v>#N/A</v>
      </c>
      <c r="Q261" s="100" t="e">
        <f t="shared" si="333"/>
        <v>#N/A</v>
      </c>
      <c r="R261" s="86" t="b">
        <f t="shared" si="334"/>
        <v>0</v>
      </c>
      <c r="S261" s="86">
        <f t="shared" si="332"/>
        <v>0.5</v>
      </c>
      <c r="T261" s="86">
        <f t="shared" si="335"/>
        <v>0.5</v>
      </c>
      <c r="U261" s="30" t="e">
        <f t="shared" ca="1" si="367"/>
        <v>#DIV/0!</v>
      </c>
      <c r="V261" s="85" t="str">
        <f>IF(B261&lt;=Hypothèses!$V$7,Hypothèses!$W$7,IF(B261&lt;=Hypothèses!$V$8,Hypothèses!$W$8,IF(B261&lt;=Hypothèses!$V$9,Hypothèses!$W$9,IF(B261&lt;=Hypothèses!$V$10,Hypothèses!$W$10,IF(B261&lt;=Hypothèses!$V$11,Hypothèses!$W$11,IF(B261&lt;=Hypothèses!$V$12,Hypothèses!$W$12,IF(B261&lt;=Hypothèses!$V$13,Hypothèses!$W$13,IF(B261&lt;=Hypothèses!$V$14,Hypothèses!$W$14,IF(B261&lt;=Hypothèses!$V$15,Hypothèses!$W$15,IF(B261&lt;=Hypothèses!$V$16,Hypothèses!$W$16,IF(B261&lt;=Hypothèses!$V$17,Hypothèses!$W$17,IF(B261&lt;=Hypothèses!$V$18,Hypothèses!$W$18,""))))))))))))</f>
        <v/>
      </c>
      <c r="W261" s="87" t="e">
        <f t="shared" ca="1" si="416"/>
        <v>#DIV/0!</v>
      </c>
      <c r="X261" s="88" t="str">
        <f>IF(B261&lt;=Hypothèses!$V$7,Hypothèses!$X$7,IF(B261&lt;=Hypothèses!$V$8,Hypothèses!$X$8,IF(B261&lt;=Hypothèses!$V$9,Hypothèses!$X$9,IF(B261&lt;=Hypothèses!$V$10,Hypothèses!$X$10,IF(B261&lt;=Hypothèses!$V$11,Hypothèses!$X$11,IF(B261&lt;=Hypothèses!$V$12,Hypothèses!$X$12,IF(B261&lt;=Hypothèses!$V$13,Hypothèses!$X$13,IF(B261&lt;=Hypothèses!$V$14,Hypothèses!$X$14,IF(B261&lt;=Hypothèses!$V$15,Hypothèses!$X$15,IF(B261&lt;=Hypothèses!$V$16,Hypothèses!$X$16,IF(B261&lt;=Hypothèses!$U$17,Hypothèses!$W$17,IF(B261&lt;=Hypothèses!$U$18,Hypothèses!$W$18,""))))))))))))</f>
        <v/>
      </c>
      <c r="Y261" s="95" t="e">
        <f t="shared" ca="1" si="336"/>
        <v>#DIV/0!</v>
      </c>
      <c r="Z261" s="101">
        <f t="shared" si="337"/>
        <v>0</v>
      </c>
      <c r="AA261" s="91">
        <f t="shared" si="338"/>
        <v>0</v>
      </c>
      <c r="AB261" s="30" t="e">
        <f t="shared" si="400"/>
        <v>#N/A</v>
      </c>
      <c r="AC261" s="30" t="e">
        <f t="shared" si="401"/>
        <v>#N/A</v>
      </c>
      <c r="AD261" s="31" t="e">
        <f>IF(OR(Hypothèses!$B$4=17,Hypothèses!$B$4=18,Hypothèses!$B$4=19,Hypothèses!$B$4=20),
IF($D261="Pressio.",
IF(OR($E261=3,$E261=1,$E261=4),AC261,AB261),
IF($D261="Pénétro.",
IF(OR($E261=3,$E261=1,$E261=4),AC261,AB261))),IF($D261="Pressio.",
IF($E261=3,AC261,AB261),
IF($D261="Pénétro.",
IF($E261=4,AC261,AB261))))</f>
        <v>#N/A</v>
      </c>
      <c r="AE261" s="31">
        <v>0</v>
      </c>
      <c r="AF261" s="102" t="e">
        <f>IF(NDC!$H$10="Oui",(VLOOKUP($B$3,'Coeff EC7'!$T$39:$X$59,2,0)*AD261+VLOOKUP($B$3,'Coeff EC7'!$T$65:$X$85,2,0)*Model0.1T!AE261)/1.5,PI()*AB$12*$Q261*($B261-$B260)*0.15/10+AF260)</f>
        <v>#N/A</v>
      </c>
      <c r="AG261" s="102" t="e">
        <f>(VLOOKUP($B$3,'Coeff EC7'!$T$39:$X$59,3,0)*AD261+VLOOKUP($B$3,'Coeff EC7'!$T$65:$X$85,3,0)*Model0.1T!AE261)/1.1</f>
        <v>#N/A</v>
      </c>
      <c r="AH261" s="102" t="e">
        <f t="shared" si="368"/>
        <v>#N/A</v>
      </c>
      <c r="AI261" s="102" t="e">
        <f t="shared" si="369"/>
        <v>#N/A</v>
      </c>
      <c r="AJ261" s="414" t="e">
        <f>IF(AND(AF261&gt;NDC!$C$63,AG261&gt;NDC!$C$65,AH261&gt;NDC!$D$73,AI261&gt;NDC!$D$74,$B261&gt;NDC!$H$22-0.1+MIN(3*$AJ$12,1.5)),0,1)</f>
        <v>#N/A</v>
      </c>
      <c r="AK261" s="86" t="b">
        <f t="shared" si="339"/>
        <v>0</v>
      </c>
      <c r="AL261" s="86">
        <f t="shared" si="370"/>
        <v>0.5</v>
      </c>
      <c r="AM261" s="86">
        <f t="shared" si="340"/>
        <v>0.5</v>
      </c>
      <c r="AN261" s="30" t="e">
        <f t="shared" ca="1" si="371"/>
        <v>#DIV/0!</v>
      </c>
      <c r="AO261" s="85" t="e">
        <f ca="1">IF(U261&lt;=Hypothèses!$V$7,Hypothèses!$W$7,IF(U261&lt;=Hypothèses!$V$8,Hypothèses!$W$8,IF(U261&lt;=Hypothèses!$V$9,Hypothèses!$W$9,IF(U261&lt;=Hypothèses!$V$10,Hypothèses!$W$10,IF(U261&lt;=Hypothèses!$V$11,Hypothèses!$W$11,IF(U261&lt;=Hypothèses!$V$12,Hypothèses!$W$12,IF(U261&lt;=Hypothèses!$V$13,Hypothèses!$W$13,IF(U261&lt;=Hypothèses!$V$14,Hypothèses!$W$14,IF(U261&lt;=Hypothèses!$V$15,Hypothèses!$W$15,IF(U261&lt;=Hypothèses!$V$16,Hypothèses!$W$16,IF(U261&lt;=Hypothèses!$V$17,Hypothèses!$W$17,IF(U261&lt;=Hypothèses!$V$18,Hypothèses!$W$18,""))))))))))))</f>
        <v>#DIV/0!</v>
      </c>
      <c r="AP261" s="87" t="e">
        <f t="shared" ca="1" si="417"/>
        <v>#DIV/0!</v>
      </c>
      <c r="AQ261" s="88" t="e">
        <f ca="1">IF(U261&lt;=Hypothèses!$V$7,Hypothèses!$X$7,IF(U261&lt;=Hypothèses!$V$8,Hypothèses!$X$8,IF(U261&lt;=Hypothèses!$V$9,Hypothèses!$X$9,IF(U261&lt;=Hypothèses!$V$10,Hypothèses!$X$10,IF(U261&lt;=Hypothèses!$V$11,Hypothèses!$X$11,IF(U261&lt;=Hypothèses!$V$12,Hypothèses!$X$12,IF(U261&lt;=Hypothèses!$V$13,Hypothèses!$X$13,IF(U261&lt;=Hypothèses!$V$14,Hypothèses!$X$14,IF(U261&lt;=Hypothèses!$V$15,Hypothèses!$X$15,IF(U261&lt;=Hypothèses!$V$16,Hypothèses!$X$16,IF(U261&lt;=Hypothèses!$U$17,Hypothèses!$W$17,IF(U261&lt;=Hypothèses!$U$18,Hypothèses!$W$18,""))))))))))))</f>
        <v>#DIV/0!</v>
      </c>
      <c r="AR261" s="95" t="e">
        <f t="shared" ca="1" si="372"/>
        <v>#DIV/0!</v>
      </c>
      <c r="AS261" s="101">
        <f t="shared" si="424"/>
        <v>0</v>
      </c>
      <c r="AT261" s="91">
        <f t="shared" si="341"/>
        <v>0</v>
      </c>
      <c r="AU261" s="30" t="e">
        <f t="shared" si="402"/>
        <v>#N/A</v>
      </c>
      <c r="AV261" s="30" t="e">
        <f t="shared" si="403"/>
        <v>#N/A</v>
      </c>
      <c r="AW261" s="31" t="e">
        <f>IF(OR(Hypothèses!$B$4=17,Hypothèses!$B$4=18,Hypothèses!$B$4=19,Hypothèses!$B$4=20),
IF($D261="Pressio.",
IF(OR($E261=3,$E261=1,$E261=4),AV261,AU261),
IF($D261="Pénétro.",
IF(OR($E261=3,$E261=1,$E261=4),AV261,AU261))),IF($D261="Pressio.",
IF($E261=3,AV261,AU261),
IF($D261="Pénétro.",
IF($E261=4,AV261,AU261))))</f>
        <v>#N/A</v>
      </c>
      <c r="AX261" s="31">
        <v>0</v>
      </c>
      <c r="AY261" s="102" t="e">
        <f>IF(NDC!$H$10="Oui",(VLOOKUP($B$3,'Coeff EC7'!$T$39:$X$59,2,0)*AW261+VLOOKUP($B$3,'Coeff EC7'!$T$65:$X$85,2,0)*Model0.1T!AX261)/1.5,PI()*AU$12*$Q261*($B261-$B260)*0.15/10+AY260)</f>
        <v>#N/A</v>
      </c>
      <c r="AZ261" s="102" t="e">
        <f>(VLOOKUP($B$3,'Coeff EC7'!$T$39:$X$59,3,0)*AW261+VLOOKUP($B$3,'Coeff EC7'!$T$65:$X$85,3,0)*Model0.1T!AX261)/1.1</f>
        <v>#N/A</v>
      </c>
      <c r="BA261" s="102" t="e">
        <f t="shared" si="373"/>
        <v>#N/A</v>
      </c>
      <c r="BB261" s="102" t="e">
        <f t="shared" si="374"/>
        <v>#N/A</v>
      </c>
      <c r="BC261" s="414" t="e">
        <f>IF(AND(AY261&gt;NDC!$C$63,AZ261&gt;NDC!$C$65,BA261&gt;NDC!$D$73,BB261&gt;NDC!$D$74,$B261&gt;NDC!$H$22-0.1+MIN(3*BC$12,1.5)),0,1)</f>
        <v>#N/A</v>
      </c>
      <c r="BD261" s="86" t="b">
        <f t="shared" si="342"/>
        <v>0</v>
      </c>
      <c r="BE261" s="86">
        <f t="shared" si="375"/>
        <v>0.5</v>
      </c>
      <c r="BF261" s="86">
        <f t="shared" si="343"/>
        <v>0.5</v>
      </c>
      <c r="BG261" s="30" t="e">
        <f t="shared" ca="1" si="376"/>
        <v>#DIV/0!</v>
      </c>
      <c r="BH261" s="85" t="e">
        <f ca="1">IF(AN261&lt;=Hypothèses!$V$7,Hypothèses!$W$7,IF(AN261&lt;=Hypothèses!$V$8,Hypothèses!$W$8,IF(AN261&lt;=Hypothèses!$V$9,Hypothèses!$W$9,IF(AN261&lt;=Hypothèses!$V$10,Hypothèses!$W$10,IF(AN261&lt;=Hypothèses!$V$11,Hypothèses!$W$11,IF(AN261&lt;=Hypothèses!$V$12,Hypothèses!$W$12,IF(AN261&lt;=Hypothèses!$V$13,Hypothèses!$W$13,IF(AN261&lt;=Hypothèses!$V$14,Hypothèses!$W$14,IF(AN261&lt;=Hypothèses!$V$15,Hypothèses!$W$15,IF(AN261&lt;=Hypothèses!$V$16,Hypothèses!$W$16,IF(AN261&lt;=Hypothèses!$V$17,Hypothèses!$W$17,IF(AN261&lt;=Hypothèses!$V$18,Hypothèses!$W$18,""))))))))))))</f>
        <v>#DIV/0!</v>
      </c>
      <c r="BI261" s="87" t="e">
        <f t="shared" ca="1" si="418"/>
        <v>#DIV/0!</v>
      </c>
      <c r="BJ261" s="88" t="e">
        <f ca="1">IF(AN261&lt;=Hypothèses!$V$7,Hypothèses!$X$7,IF(AN261&lt;=Hypothèses!$V$8,Hypothèses!$X$8,IF(AN261&lt;=Hypothèses!$V$9,Hypothèses!$X$9,IF(AN261&lt;=Hypothèses!$V$10,Hypothèses!$X$10,IF(AN261&lt;=Hypothèses!$V$11,Hypothèses!$X$11,IF(AN261&lt;=Hypothèses!$V$12,Hypothèses!$X$12,IF(AN261&lt;=Hypothèses!$V$13,Hypothèses!$X$13,IF(AN261&lt;=Hypothèses!$V$14,Hypothèses!$X$14,IF(AN261&lt;=Hypothèses!$V$15,Hypothèses!$X$15,IF(AN261&lt;=Hypothèses!$V$16,Hypothèses!$X$16,IF(AN261&lt;=Hypothèses!$U$17,Hypothèses!$W$17,IF(AN261&lt;=Hypothèses!$U$18,Hypothèses!$W$18,""))))))))))))</f>
        <v>#DIV/0!</v>
      </c>
      <c r="BK261" s="95" t="e">
        <f t="shared" ca="1" si="377"/>
        <v>#DIV/0!</v>
      </c>
      <c r="BL261" s="101">
        <f t="shared" si="425"/>
        <v>0</v>
      </c>
      <c r="BM261" s="91">
        <f t="shared" si="344"/>
        <v>0</v>
      </c>
      <c r="BN261" s="30" t="e">
        <f t="shared" si="404"/>
        <v>#N/A</v>
      </c>
      <c r="BO261" s="30" t="e">
        <f t="shared" si="405"/>
        <v>#N/A</v>
      </c>
      <c r="BP261" s="31" t="e">
        <f>IF(OR(Hypothèses!$B$4=17,Hypothèses!$B$4=18,Hypothèses!$B$4=19,Hypothèses!$B$4=20),
IF($D261="Pressio.",
IF(OR($E261=3,$E261=1,$E261=4),BO261,BN261),
IF($D261="Pénétro.",
IF(OR($E261=3,$E261=1,$E261=4),BO261,BN261))),IF($D261="Pressio.",
IF($E261=3,BO261,BN261),
IF($D261="Pénétro.",
IF($E261=4,BO261,BN261))))</f>
        <v>#N/A</v>
      </c>
      <c r="BQ261" s="31">
        <v>0</v>
      </c>
      <c r="BR261" s="102" t="e">
        <f>IF(NDC!$H$10="Oui",(VLOOKUP($B$3,'Coeff EC7'!$T$39:$X$59,2,0)*BP261+VLOOKUP($B$3,'Coeff EC7'!$T$65:$X$85,2,0)*Model0.1T!BQ261)/1.5,PI()*BN$12*$Q261*($B261-$B260)*0.15/10+BR260)</f>
        <v>#N/A</v>
      </c>
      <c r="BS261" s="102" t="e">
        <f>(VLOOKUP($B$3,'Coeff EC7'!$T$39:$X$59,3,0)*BP261+VLOOKUP($B$3,'Coeff EC7'!$T$65:$X$85,3,0)*Model0.1T!BQ261)/1.1</f>
        <v>#N/A</v>
      </c>
      <c r="BT261" s="102" t="e">
        <f t="shared" si="378"/>
        <v>#N/A</v>
      </c>
      <c r="BU261" s="102" t="e">
        <f t="shared" si="379"/>
        <v>#N/A</v>
      </c>
      <c r="BV261" s="414" t="e">
        <f>IF(AND(BR261&gt;NDC!$C$63,BS261&gt;NDC!$C$65,BT261&gt;NDC!$D$73,BU261&gt;NDC!$D$74,$B261&gt;NDC!$H$22-0.1+MIN(3*BV$12,1.5)),0,1)</f>
        <v>#N/A</v>
      </c>
      <c r="BW261" s="86" t="b">
        <f t="shared" si="345"/>
        <v>0</v>
      </c>
      <c r="BX261" s="86">
        <f t="shared" si="346"/>
        <v>0.5</v>
      </c>
      <c r="BY261" s="86">
        <f t="shared" si="347"/>
        <v>0.5</v>
      </c>
      <c r="BZ261" s="30" t="e">
        <f t="shared" ca="1" si="380"/>
        <v>#DIV/0!</v>
      </c>
      <c r="CA261" s="85" t="e">
        <f ca="1">IF(BG261&lt;=Hypothèses!$V$7,Hypothèses!$W$7,IF(BG261&lt;=Hypothèses!$V$8,Hypothèses!$W$8,IF(BG261&lt;=Hypothèses!$V$9,Hypothèses!$W$9,IF(BG261&lt;=Hypothèses!$V$10,Hypothèses!$W$10,IF(BG261&lt;=Hypothèses!$V$11,Hypothèses!$W$11,IF(BG261&lt;=Hypothèses!$V$12,Hypothèses!$W$12,IF(BG261&lt;=Hypothèses!$V$13,Hypothèses!$W$13,IF(BG261&lt;=Hypothèses!$V$14,Hypothèses!$W$14,IF(BG261&lt;=Hypothèses!$V$15,Hypothèses!$W$15,IF(BG261&lt;=Hypothèses!$V$16,Hypothèses!$W$16,IF(BG261&lt;=Hypothèses!$V$17,Hypothèses!$W$17,IF(BG261&lt;=Hypothèses!$V$18,Hypothèses!$W$18,""))))))))))))</f>
        <v>#DIV/0!</v>
      </c>
      <c r="CB261" s="87" t="e">
        <f t="shared" ca="1" si="419"/>
        <v>#DIV/0!</v>
      </c>
      <c r="CC261" s="88" t="e">
        <f ca="1">IF(BG261&lt;=Hypothèses!$V$7,Hypothèses!$X$7,IF(BG261&lt;=Hypothèses!$V$8,Hypothèses!$X$8,IF(BG261&lt;=Hypothèses!$V$9,Hypothèses!$X$9,IF(BG261&lt;=Hypothèses!$V$10,Hypothèses!$X$10,IF(BG261&lt;=Hypothèses!$V$11,Hypothèses!$X$11,IF(BG261&lt;=Hypothèses!$V$12,Hypothèses!$X$12,IF(BG261&lt;=Hypothèses!$V$13,Hypothèses!$X$13,IF(BG261&lt;=Hypothèses!$V$14,Hypothèses!$X$14,IF(BG261&lt;=Hypothèses!$V$15,Hypothèses!$X$15,IF(BG261&lt;=Hypothèses!$V$16,Hypothèses!$X$16,IF(BG261&lt;=Hypothèses!$U$17,Hypothèses!$W$17,IF(BG261&lt;=Hypothèses!$U$18,Hypothèses!$W$18,""))))))))))))</f>
        <v>#DIV/0!</v>
      </c>
      <c r="CD261" s="95" t="e">
        <f t="shared" ca="1" si="381"/>
        <v>#DIV/0!</v>
      </c>
      <c r="CE261" s="101">
        <f t="shared" si="426"/>
        <v>0</v>
      </c>
      <c r="CF261" s="91">
        <f t="shared" si="348"/>
        <v>0</v>
      </c>
      <c r="CG261" s="30" t="e">
        <f t="shared" si="406"/>
        <v>#N/A</v>
      </c>
      <c r="CH261" s="30" t="e">
        <f t="shared" si="407"/>
        <v>#N/A</v>
      </c>
      <c r="CI261" s="31" t="e">
        <f>IF(OR(Hypothèses!$B$4=17,Hypothèses!$B$4=18,Hypothèses!$B$4=19,Hypothèses!$B$4=20),
IF($D261="Pressio.",
IF(OR($E261=3,$E261=1,$E261=4),CH261,CG261),
IF($D261="Pénétro.",
IF(OR($E261=3,$E261=1,$E261=4),CH261,CG261))),IF($D261="Pressio.",
IF($E261=3,CH261,CG261),
IF($D261="Pénétro.",
IF($E261=4,CH261,CG261))))</f>
        <v>#N/A</v>
      </c>
      <c r="CJ261" s="31">
        <v>0</v>
      </c>
      <c r="CK261" s="102" t="e">
        <f>IF(NDC!$H$10="Oui",(VLOOKUP($B$3,'Coeff EC7'!$T$39:$X$59,2,0)*CI261+VLOOKUP($B$3,'Coeff EC7'!$T$65:$X$85,2,0)*Model0.1T!CJ261)/1.5,PI()*CG$12*$Q261*($B261-$B260)*0.15/10+CK260)</f>
        <v>#N/A</v>
      </c>
      <c r="CL261" s="102" t="e">
        <f>(VLOOKUP($B$3,'Coeff EC7'!$T$39:$X$59,3,0)*CI261+VLOOKUP($B$3,'Coeff EC7'!$T$65:$X$85,3,0)*Model0.1T!CJ261)/1.1</f>
        <v>#N/A</v>
      </c>
      <c r="CM261" s="102" t="e">
        <f t="shared" si="382"/>
        <v>#N/A</v>
      </c>
      <c r="CN261" s="102" t="e">
        <f t="shared" si="383"/>
        <v>#N/A</v>
      </c>
      <c r="CO261" s="414" t="e">
        <f>IF(AND(CK261&gt;NDC!$C$63,CL261&gt;NDC!$C$65,CM261&gt;NDC!$D$73,CN261&gt;NDC!$D$74,$B261&gt;NDC!$H$22-0.1+MIN(3*CO$12,1.5)),0,1)</f>
        <v>#N/A</v>
      </c>
      <c r="CP261" s="86" t="b">
        <f t="shared" si="349"/>
        <v>0</v>
      </c>
      <c r="CQ261" s="86">
        <f t="shared" si="350"/>
        <v>0.5</v>
      </c>
      <c r="CR261" s="86">
        <f t="shared" si="351"/>
        <v>0.5</v>
      </c>
      <c r="CS261" s="30" t="e">
        <f t="shared" ca="1" si="384"/>
        <v>#DIV/0!</v>
      </c>
      <c r="CT261" s="85" t="e">
        <f ca="1">IF(BZ261&lt;=Hypothèses!$V$7,Hypothèses!$W$7,IF(BZ261&lt;=Hypothèses!$V$8,Hypothèses!$W$8,IF(BZ261&lt;=Hypothèses!$V$9,Hypothèses!$W$9,IF(BZ261&lt;=Hypothèses!$V$10,Hypothèses!$W$10,IF(BZ261&lt;=Hypothèses!$V$11,Hypothèses!$W$11,IF(BZ261&lt;=Hypothèses!$V$12,Hypothèses!$W$12,IF(BZ261&lt;=Hypothèses!$V$13,Hypothèses!$W$13,IF(BZ261&lt;=Hypothèses!$V$14,Hypothèses!$W$14,IF(BZ261&lt;=Hypothèses!$V$15,Hypothèses!$W$15,IF(BZ261&lt;=Hypothèses!$V$16,Hypothèses!$W$16,IF(BZ261&lt;=Hypothèses!$V$17,Hypothèses!$W$17,IF(BZ261&lt;=Hypothèses!$V$18,Hypothèses!$W$18,""))))))))))))</f>
        <v>#DIV/0!</v>
      </c>
      <c r="CU261" s="87" t="e">
        <f t="shared" ca="1" si="420"/>
        <v>#DIV/0!</v>
      </c>
      <c r="CV261" s="88" t="e">
        <f ca="1">IF(BZ261&lt;=Hypothèses!$V$7,Hypothèses!$X$7,IF(BZ261&lt;=Hypothèses!$V$8,Hypothèses!$X$8,IF(BZ261&lt;=Hypothèses!$V$9,Hypothèses!$X$9,IF(BZ261&lt;=Hypothèses!$V$10,Hypothèses!$X$10,IF(BZ261&lt;=Hypothèses!$V$11,Hypothèses!$X$11,IF(BZ261&lt;=Hypothèses!$V$12,Hypothèses!$X$12,IF(BZ261&lt;=Hypothèses!$V$13,Hypothèses!$X$13,IF(BZ261&lt;=Hypothèses!$V$14,Hypothèses!$X$14,IF(BZ261&lt;=Hypothèses!$V$15,Hypothèses!$X$15,IF(BZ261&lt;=Hypothèses!$V$16,Hypothèses!$X$16,IF(BZ261&lt;=Hypothèses!$U$17,Hypothèses!$W$17,IF(BZ261&lt;=Hypothèses!$U$18,Hypothèses!$W$18,""))))))))))))</f>
        <v>#DIV/0!</v>
      </c>
      <c r="CW261" s="95" t="e">
        <f t="shared" ca="1" si="385"/>
        <v>#DIV/0!</v>
      </c>
      <c r="CX261" s="101">
        <f t="shared" si="427"/>
        <v>0</v>
      </c>
      <c r="CY261" s="91">
        <f t="shared" si="352"/>
        <v>0</v>
      </c>
      <c r="CZ261" s="30" t="e">
        <f t="shared" si="408"/>
        <v>#N/A</v>
      </c>
      <c r="DA261" s="30" t="e">
        <f t="shared" si="409"/>
        <v>#N/A</v>
      </c>
      <c r="DB261" s="31" t="e">
        <f>IF(OR(Hypothèses!$B$4=17,Hypothèses!$B$4=18,Hypothèses!$B$4=19,Hypothèses!$B$4=20),
IF($D261="Pressio.",
IF(OR($E261=3,$E261=1,$E261=4),DA261,CZ261),
IF($D261="Pénétro.",
IF(OR($E261=3,$E261=1,$E261=4),DA261,CZ261))),IF($D261="Pressio.",
IF($E261=3,DA261,CZ261),
IF($D261="Pénétro.",
IF($E261=4,DA261,CZ261))))</f>
        <v>#N/A</v>
      </c>
      <c r="DC261" s="31">
        <v>0</v>
      </c>
      <c r="DD261" s="102" t="e">
        <f>IF(NDC!$H$10="Oui",(VLOOKUP($B$3,'Coeff EC7'!$T$39:$X$59,2,0)*DB261+VLOOKUP($B$3,'Coeff EC7'!$T$65:$X$85,2,0)*Model0.1T!DC261)/1.5,PI()*CZ$12*$Q261*($B261-$B260)*0.15/10+DD260)</f>
        <v>#N/A</v>
      </c>
      <c r="DE261" s="102" t="e">
        <f>(VLOOKUP($B$3,'Coeff EC7'!$T$39:$X$59,3,0)*DB261+VLOOKUP($B$3,'Coeff EC7'!$T$65:$X$85,3,0)*Model0.1T!DC261)/1.1</f>
        <v>#N/A</v>
      </c>
      <c r="DF261" s="102" t="e">
        <f t="shared" si="386"/>
        <v>#N/A</v>
      </c>
      <c r="DG261" s="102" t="e">
        <f t="shared" si="387"/>
        <v>#N/A</v>
      </c>
      <c r="DH261" s="414" t="e">
        <f>IF(AND(DD261&gt;NDC!$C$63,DE261&gt;NDC!$C$65,DF261&gt;NDC!$D$73,DG261&gt;NDC!$D$74,$B261&gt;NDC!$H$22-0.1+MIN(3*DH$12,1.5)),0,1)</f>
        <v>#N/A</v>
      </c>
      <c r="DI261" s="86" t="b">
        <f t="shared" si="353"/>
        <v>0</v>
      </c>
      <c r="DJ261" s="86">
        <f t="shared" si="354"/>
        <v>0.5</v>
      </c>
      <c r="DK261" s="86">
        <f t="shared" si="355"/>
        <v>0.5</v>
      </c>
      <c r="DL261" s="30" t="e">
        <f t="shared" ca="1" si="388"/>
        <v>#DIV/0!</v>
      </c>
      <c r="DM261" s="85" t="e">
        <f ca="1">IF(CS261&lt;=Hypothèses!$V$7,Hypothèses!$W$7,IF(CS261&lt;=Hypothèses!$V$8,Hypothèses!$W$8,IF(CS261&lt;=Hypothèses!$V$9,Hypothèses!$W$9,IF(CS261&lt;=Hypothèses!$V$10,Hypothèses!$W$10,IF(CS261&lt;=Hypothèses!$V$11,Hypothèses!$W$11,IF(CS261&lt;=Hypothèses!$V$12,Hypothèses!$W$12,IF(CS261&lt;=Hypothèses!$V$13,Hypothèses!$W$13,IF(CS261&lt;=Hypothèses!$V$14,Hypothèses!$W$14,IF(CS261&lt;=Hypothèses!$V$15,Hypothèses!$W$15,IF(CS261&lt;=Hypothèses!$V$16,Hypothèses!$W$16,IF(CS261&lt;=Hypothèses!$V$17,Hypothèses!$W$17,IF(CS261&lt;=Hypothèses!$V$18,Hypothèses!$W$18,""))))))))))))</f>
        <v>#DIV/0!</v>
      </c>
      <c r="DN261" s="87" t="e">
        <f t="shared" ca="1" si="421"/>
        <v>#DIV/0!</v>
      </c>
      <c r="DO261" s="88" t="e">
        <f ca="1">IF(CS261&lt;=Hypothèses!$V$7,Hypothèses!$X$7,IF(CS261&lt;=Hypothèses!$V$8,Hypothèses!$X$8,IF(CS261&lt;=Hypothèses!$V$9,Hypothèses!$X$9,IF(CS261&lt;=Hypothèses!$V$10,Hypothèses!$X$10,IF(CS261&lt;=Hypothèses!$V$11,Hypothèses!$X$11,IF(CS261&lt;=Hypothèses!$V$12,Hypothèses!$X$12,IF(CS261&lt;=Hypothèses!$V$13,Hypothèses!$X$13,IF(CS261&lt;=Hypothèses!$V$14,Hypothèses!$X$14,IF(CS261&lt;=Hypothèses!$V$15,Hypothèses!$X$15,IF(CS261&lt;=Hypothèses!$V$16,Hypothèses!$X$16,IF(CS261&lt;=Hypothèses!$U$17,Hypothèses!$W$17,IF(CS261&lt;=Hypothèses!$U$18,Hypothèses!$W$18,""))))))))))))</f>
        <v>#DIV/0!</v>
      </c>
      <c r="DP261" s="95" t="e">
        <f t="shared" ca="1" si="389"/>
        <v>#DIV/0!</v>
      </c>
      <c r="DQ261" s="101">
        <f t="shared" si="428"/>
        <v>0</v>
      </c>
      <c r="DR261" s="91">
        <f t="shared" si="356"/>
        <v>0</v>
      </c>
      <c r="DS261" s="30" t="e">
        <f t="shared" si="410"/>
        <v>#N/A</v>
      </c>
      <c r="DT261" s="30" t="e">
        <f t="shared" si="411"/>
        <v>#N/A</v>
      </c>
      <c r="DU261" s="31" t="e">
        <f>IF(OR(Hypothèses!$B$4=17,Hypothèses!$B$4=18,Hypothèses!$B$4=19,Hypothèses!$B$4=20),
IF($D261="Pressio.",
IF(OR($E261=3,$E261=1,$E261=4),DT261,DS261),
IF($D261="Pénétro.",
IF(OR($E261=3,$E261=1,$E261=4),DT261,DS261))),IF($D261="Pressio.",
IF($E261=3,DT261,DS261),
IF($D261="Pénétro.",
IF($E261=4,DT261,DS261))))</f>
        <v>#N/A</v>
      </c>
      <c r="DV261" s="31">
        <v>0</v>
      </c>
      <c r="DW261" s="102" t="e">
        <f>IF(NDC!$H$10="Oui",(VLOOKUP($B$3,'Coeff EC7'!$T$39:$X$59,2,0)*DU261+VLOOKUP($B$3,'Coeff EC7'!$T$65:$X$85,2,0)*Model0.1T!DV261)/1.5,PI()*DS$12*$Q261*($B261-$B260)*0.15/10+DW260)</f>
        <v>#N/A</v>
      </c>
      <c r="DX261" s="102" t="e">
        <f>(VLOOKUP($B$3,'Coeff EC7'!$T$39:$X$59,3,0)*DU261+VLOOKUP($B$3,'Coeff EC7'!$T$65:$X$85,3,0)*Model0.1T!DV261)/1.1</f>
        <v>#N/A</v>
      </c>
      <c r="DY261" s="102" t="e">
        <f t="shared" si="390"/>
        <v>#N/A</v>
      </c>
      <c r="DZ261" s="102" t="e">
        <f t="shared" si="391"/>
        <v>#N/A</v>
      </c>
      <c r="EA261" s="414" t="e">
        <f>IF(AND(DW261&gt;NDC!$C$63,DX261&gt;NDC!$C$65,DY261&gt;NDC!$D$73,DZ261&gt;NDC!$D$74,$B261&gt;NDC!$H$22-0.1+MIN(3*EA$12,1.5)),0,1)</f>
        <v>#N/A</v>
      </c>
      <c r="EB261" s="86" t="b">
        <f t="shared" si="357"/>
        <v>0</v>
      </c>
      <c r="EC261" s="418">
        <f t="shared" si="358"/>
        <v>0.51</v>
      </c>
      <c r="ED261" s="86">
        <f t="shared" si="359"/>
        <v>0.51</v>
      </c>
      <c r="EE261" s="30" t="e">
        <f t="shared" ca="1" si="392"/>
        <v>#DIV/0!</v>
      </c>
      <c r="EF261" s="85" t="e">
        <f ca="1">IF(DL261&lt;=Hypothèses!$V$7,Hypothèses!$W$7,IF(DL261&lt;=Hypothèses!$V$8,Hypothèses!$W$8,IF(DL261&lt;=Hypothèses!$V$9,Hypothèses!$W$9,IF(DL261&lt;=Hypothèses!$V$10,Hypothèses!$W$10,IF(DL261&lt;=Hypothèses!$V$11,Hypothèses!$W$11,IF(DL261&lt;=Hypothèses!$V$12,Hypothèses!$W$12,IF(DL261&lt;=Hypothèses!$V$13,Hypothèses!$W$13,IF(DL261&lt;=Hypothèses!$V$14,Hypothèses!$W$14,IF(DL261&lt;=Hypothèses!$V$15,Hypothèses!$W$15,IF(DL261&lt;=Hypothèses!$V$16,Hypothèses!$W$16,IF(DL261&lt;=Hypothèses!$V$17,Hypothèses!$W$17,IF(DL261&lt;=Hypothèses!$V$18,Hypothèses!$W$18,""))))))))))))</f>
        <v>#DIV/0!</v>
      </c>
      <c r="EG261" s="87" t="e">
        <f t="shared" ca="1" si="422"/>
        <v>#DIV/0!</v>
      </c>
      <c r="EH261" s="88" t="e">
        <f ca="1">IF(DL261&lt;=Hypothèses!$V$7,Hypothèses!$X$7,IF(DL261&lt;=Hypothèses!$V$8,Hypothèses!$X$8,IF(DL261&lt;=Hypothèses!$V$9,Hypothèses!$X$9,IF(DL261&lt;=Hypothèses!$V$10,Hypothèses!$X$10,IF(DL261&lt;=Hypothèses!$V$11,Hypothèses!$X$11,IF(DL261&lt;=Hypothèses!$V$12,Hypothèses!$X$12,IF(DL261&lt;=Hypothèses!$V$13,Hypothèses!$X$13,IF(DL261&lt;=Hypothèses!$V$14,Hypothèses!$X$14,IF(DL261&lt;=Hypothèses!$V$15,Hypothèses!$X$15,IF(DL261&lt;=Hypothèses!$V$16,Hypothèses!$X$16,IF(DL261&lt;=Hypothèses!$U$17,Hypothèses!$W$17,IF(DL261&lt;=Hypothèses!$U$18,Hypothèses!$W$18,""))))))))))))</f>
        <v>#DIV/0!</v>
      </c>
      <c r="EI261" s="95" t="e">
        <f t="shared" ca="1" si="393"/>
        <v>#DIV/0!</v>
      </c>
      <c r="EJ261" s="101">
        <f t="shared" si="429"/>
        <v>0</v>
      </c>
      <c r="EK261" s="91">
        <f t="shared" si="360"/>
        <v>0</v>
      </c>
      <c r="EL261" s="30" t="e">
        <f t="shared" si="412"/>
        <v>#N/A</v>
      </c>
      <c r="EM261" s="30" t="e">
        <f t="shared" si="413"/>
        <v>#N/A</v>
      </c>
      <c r="EN261" s="31" t="e">
        <f>IF(OR(Hypothèses!$B$4=17,Hypothèses!$B$4=18,Hypothèses!$B$4=19,Hypothèses!$B$4=20),
IF($D261="Pressio.",
IF(OR($E261=3,$E261=1,$E261=4),EM261,EL261),
IF($D261="Pénétro.",
IF(OR($E261=3,$E261=1,$E261=4),EM261,EL261))),IF($D261="Pressio.",
IF($E261=3,EM261,EL261),
IF($D261="Pénétro.",
IF($E261=4,EM261,EL261))))</f>
        <v>#N/A</v>
      </c>
      <c r="EO261" s="31">
        <v>0</v>
      </c>
      <c r="EP261" s="102" t="e">
        <f>IF(NDC!$H$10="Oui",(VLOOKUP($B$3,'Coeff EC7'!$T$39:$X$59,2,0)*EN261+VLOOKUP($B$3,'Coeff EC7'!$T$65:$X$85,2,0)*Model0.1T!EO261)/1.5,PI()*EL$12*$Q261*($B261-$B260)*0.15/10+EP260)</f>
        <v>#N/A</v>
      </c>
      <c r="EQ261" s="102" t="e">
        <f>(VLOOKUP($B$3,'Coeff EC7'!$T$39:$X$59,3,0)*EN261+VLOOKUP($B$3,'Coeff EC7'!$T$65:$X$85,3,0)*Model0.1T!EO261)/1.1</f>
        <v>#N/A</v>
      </c>
      <c r="ER261" s="102" t="e">
        <f t="shared" si="394"/>
        <v>#N/A</v>
      </c>
      <c r="ES261" s="102" t="e">
        <f t="shared" si="395"/>
        <v>#N/A</v>
      </c>
      <c r="ET261" s="414" t="e">
        <f>IF(AND(EP261&gt;NDC!$C$63,EQ261&gt;NDC!$C$65,ER261&gt;NDC!$D$73,ES261&gt;NDC!$D$74,$B261&gt;NDC!$H$22-0.1+MIN(3*ET$12,1.5)),0,1)</f>
        <v>#N/A</v>
      </c>
      <c r="EU261" s="86" t="b">
        <f t="shared" si="361"/>
        <v>0</v>
      </c>
      <c r="EV261" s="86">
        <f t="shared" si="362"/>
        <v>0.61</v>
      </c>
      <c r="EW261" s="86">
        <f t="shared" si="363"/>
        <v>0.61</v>
      </c>
      <c r="EX261" s="30" t="e">
        <f t="shared" ca="1" si="396"/>
        <v>#DIV/0!</v>
      </c>
      <c r="EY261" s="85" t="e">
        <f ca="1">IF(EE261&lt;=Hypothèses!$V$7,Hypothèses!$W$7,IF(EE261&lt;=Hypothèses!$V$8,Hypothèses!$W$8,IF(EE261&lt;=Hypothèses!$V$9,Hypothèses!$W$9,IF(EE261&lt;=Hypothèses!$V$10,Hypothèses!$W$10,IF(EE261&lt;=Hypothèses!$V$11,Hypothèses!$W$11,IF(EE261&lt;=Hypothèses!$V$12,Hypothèses!$W$12,IF(EE261&lt;=Hypothèses!$V$13,Hypothèses!$W$13,IF(EE261&lt;=Hypothèses!$V$14,Hypothèses!$W$14,IF(EE261&lt;=Hypothèses!$V$15,Hypothèses!$W$15,IF(EE261&lt;=Hypothèses!$V$16,Hypothèses!$W$16,IF(EE261&lt;=Hypothèses!$V$17,Hypothèses!$W$17,IF(EE261&lt;=Hypothèses!$V$18,Hypothèses!$W$18,""))))))))))))</f>
        <v>#DIV/0!</v>
      </c>
      <c r="EZ261" s="87" t="e">
        <f t="shared" ca="1" si="423"/>
        <v>#DIV/0!</v>
      </c>
      <c r="FA261" s="88" t="e">
        <f ca="1">IF(EE261&lt;=Hypothèses!$V$7,Hypothèses!$X$7,IF(EE261&lt;=Hypothèses!$V$8,Hypothèses!$X$8,IF(EE261&lt;=Hypothèses!$V$9,Hypothèses!$X$9,IF(EE261&lt;=Hypothèses!$V$10,Hypothèses!$X$10,IF(EE261&lt;=Hypothèses!$V$11,Hypothèses!$X$11,IF(EE261&lt;=Hypothèses!$V$12,Hypothèses!$X$12,IF(EE261&lt;=Hypothèses!$V$13,Hypothèses!$X$13,IF(EE261&lt;=Hypothèses!$V$14,Hypothèses!$X$14,IF(EE261&lt;=Hypothèses!$V$15,Hypothèses!$X$15,IF(EE261&lt;=Hypothèses!$V$16,Hypothèses!$X$16,IF(EE261&lt;=Hypothèses!$U$17,Hypothèses!$W$17,IF(EE261&lt;=Hypothèses!$U$18,Hypothèses!$W$18,""))))))))))))</f>
        <v>#DIV/0!</v>
      </c>
      <c r="FB261" s="95" t="e">
        <f t="shared" ca="1" si="397"/>
        <v>#DIV/0!</v>
      </c>
      <c r="FC261" s="101">
        <f t="shared" si="430"/>
        <v>0</v>
      </c>
      <c r="FD261" s="91">
        <f t="shared" si="364"/>
        <v>0</v>
      </c>
      <c r="FE261" s="30" t="e">
        <f t="shared" si="414"/>
        <v>#N/A</v>
      </c>
      <c r="FF261" s="30" t="e">
        <f t="shared" si="415"/>
        <v>#N/A</v>
      </c>
      <c r="FG261" s="31" t="e">
        <f>IF(OR(Hypothèses!$B$4=17,Hypothèses!$B$4=18,Hypothèses!$B$4=19,Hypothèses!$B$4=20),
IF($D261="Pressio.",
IF(OR($E261=3,$E261=1,$E261=4),FF261,FE261),
IF($D261="Pénétro.",
IF(OR($E261=3,$E261=1,$E261=4),FF261,FE261))),IF($D261="Pressio.",
IF($E261=3,FF261,FE261),
IF($D261="Pénétro.",
IF($E261=4,FF261,FE261))))</f>
        <v>#N/A</v>
      </c>
      <c r="FH261" s="31">
        <v>0</v>
      </c>
      <c r="FI261" s="102" t="e">
        <f>IF(NDC!$H$10="Oui",(VLOOKUP($B$3,'Coeff EC7'!$T$39:$X$59,2,0)*FG261+VLOOKUP($B$3,'Coeff EC7'!$T$65:$X$85,2,0)*Model0.1T!FH261)/1.5,PI()*FE$12*$Q261*($B261-$B260)*0.15/10+FI260)</f>
        <v>#N/A</v>
      </c>
      <c r="FJ261" s="102" t="e">
        <f>(VLOOKUP($B$3,'Coeff EC7'!$T$39:$X$59,3,0)*FG261+VLOOKUP($B$3,'Coeff EC7'!$T$65:$X$85,3,0)*Model0.1T!FH261)/1.1</f>
        <v>#N/A</v>
      </c>
      <c r="FK261" s="102" t="e">
        <f t="shared" si="398"/>
        <v>#N/A</v>
      </c>
      <c r="FL261" s="102" t="e">
        <f t="shared" si="399"/>
        <v>#N/A</v>
      </c>
      <c r="FM261" s="414" t="e">
        <f>IF(AND(FI261&gt;NDC!$C$63,FJ261&gt;NDC!$C$65,FK261&gt;NDC!$D$73,FL261&gt;NDC!$D$74,$B261&gt;NDC!$H$22-0.1+MIN(3*FM$12,1.5)),0,1)</f>
        <v>#N/A</v>
      </c>
    </row>
    <row r="262" spans="1:169">
      <c r="A262" s="96">
        <f t="shared" si="365"/>
        <v>75.100000000001415</v>
      </c>
      <c r="B262" s="97">
        <v>24.9</v>
      </c>
      <c r="C262" s="81">
        <f>IF(B262&lt;=Hypothèses!$C$7,Hypothèses!$A$7,IF(B262&lt;=Hypothèses!$C$8,Hypothèses!$A$8,IF(B262&lt;=Hypothèses!$C$9,Hypothèses!$A$9,IF(B262&lt;=Hypothèses!$C$10,Hypothèses!$A$10,IF(B262&lt;=Hypothèses!$C$11,Hypothèses!$A$11,IF(B262&lt;=Hypothèses!$C$12,Hypothèses!$A$12,IF(B262&lt;=Hypothèses!$C$13,Hypothèses!$A$13,IF(B262&lt;=Hypothèses!$C$14,Hypothèses!$A$14,IF(B262&lt;=Hypothèses!$C$15,Hypothèses!$A$15,IF(B262&lt;=Hypothèses!$C$16,Hypothèses!$A$16,IF(B262&lt;=Hypothèses!$C$17,Hypothèses!$A$17,IF(B262&lt;=Hypothèses!$C$18,Hypothèses!$A$18,C261))))))))))))</f>
        <v>11</v>
      </c>
      <c r="D262" s="82" t="str">
        <f>IF(B262&lt;=Hypothèses!$C$7,Hypothèses!$R$7,IF(B262&lt;=Hypothèses!$C$8,Hypothèses!$R$8,IF(B262&lt;=Hypothèses!$C$9,Hypothèses!$R$9,IF(B262&lt;=Hypothèses!$C$10,Hypothèses!$R$10,IF(B262&lt;=Hypothèses!$C$11,Hypothèses!$R$11,IF(B262&lt;=Hypothèses!$C$12,Hypothèses!$R$12,IF(B262&lt;=Hypothèses!$C$13,Hypothèses!$R$13,IF(B262&lt;=Hypothèses!$C$14,Hypothèses!$R$14,IF(B262&lt;=Hypothèses!$C$15,Hypothèses!$R$15,IF(B262&lt;=Hypothèses!$C$16,Hypothèses!$R$16,IF(B262&lt;=Hypothèses!$C$17,Hypothèses!$R$17,IF(B262&lt;=Hypothèses!$C$18,Hypothèses!$R$18,D261))))))))))))</f>
        <v>Pressio.</v>
      </c>
      <c r="E262" s="82" t="e">
        <f>IF(B262&lt;=Hypothèses!$C$7,Hypothèses!$G$7,IF(B262&lt;=Hypothèses!$C$8,Hypothèses!$G$8,IF(B262&lt;=Hypothèses!$C$9,Hypothèses!$G$9,IF(B262&lt;=Hypothèses!$C$10,Hypothèses!$G$10,IF(B262&lt;=Hypothèses!$C$11,Hypothèses!$G$11,IF(B262&lt;=Hypothèses!$C$12,Hypothèses!$G$12,IF(B262&lt;=Hypothèses!$C$13,Hypothèses!$G$13,IF(B262&lt;=Hypothèses!$C$14,Hypothèses!$G$14,IF(B262&lt;=Hypothèses!$C$15,Hypothèses!$G$15,IF(B262&lt;=Hypothèses!$C$16,Hypothèses!$G$16,IF(B262&lt;=Hypothèses!$C$17,Hypothèses!$G$17,IF(B262&lt;=Hypothèses!$C$18,Hypothèses!$G$18,E261))))))))))))</f>
        <v>#N/A</v>
      </c>
      <c r="F262" s="82" t="str">
        <f>IF(B262&lt;=Hypothèses!$C$7,Hypothèses!$F$7,IF(B262&lt;=Hypothèses!$C$8,Hypothèses!$F$8,IF(B262&lt;=Hypothèses!$C$9,Hypothèses!$F$9,IF(B262&lt;=Hypothèses!$C$10,Hypothèses!$F$10,IF(B262&lt;=Hypothèses!$C$11,Hypothèses!$F$11,IF(B262&lt;=Hypothèses!$C$12,Hypothèses!$F$12,IF(B262&lt;=Hypothèses!$C$13,Hypothèses!$F$13,IF(B262&lt;=Hypothèses!$C$14,Hypothèses!$F$14,IF(B262&lt;=Hypothèses!$C$15,Hypothèses!$F$15,IF(B262&lt;=Hypothèses!$C$16,Hypothèses!$F$16,IF(B262&lt;=Hypothèses!$C$17,Hypothèses!$F$17,IF(B262&lt;=Hypothèses!$C$18,Hypothèses!$F$18,F261))))))))))))</f>
        <v/>
      </c>
      <c r="G262" s="91">
        <f t="array" ref="G262">INDEX('Coeff EC7'!$U$7:$X$27,
MATCH(Model0.1T!$B$3,'Coeff EC7'!$T$7:$T$27,0),
MATCH(Model0.1T!$D262&amp;Model0.1T!$B$4,
'Coeff EC7'!$U$6:$X$6&amp;
'Coeff EC7'!$U$5:$X$5,0))</f>
        <v>1.4</v>
      </c>
      <c r="H262" s="91">
        <f t="array" ref="H262">INDEX('Coeff EC7'!$Y$7:$AB$27,
MATCH(Model0.1T!$B$3,'Coeff EC7'!$T$7:$T$27,0),
MATCH(Model0.1T!$D262&amp;Model0.1T!$B$4,
'Coeff EC7'!$Y$6:$AB$6&amp;
'Coeff EC7'!$Y$5:$AB$5,0))</f>
        <v>1.7</v>
      </c>
      <c r="I262" s="83">
        <v>0</v>
      </c>
      <c r="J262" s="91" t="e">
        <f t="array" ref="J262">INDEX('Coeff EC7'!$D$33:$Q$33,1,MATCH(D262&amp;E262,'Coeff EC7'!$D$31:$Q$31&amp;'Coeff EC7'!$D$32:$Q$32,0))</f>
        <v>#N/A</v>
      </c>
      <c r="K262" s="91" t="e">
        <f t="array" ref="K262">INDEX('Coeff EC7'!$D$34:$Q$34,1,MATCH(D262&amp;E262,'Coeff EC7'!$D$31:$Q$31&amp;'Coeff EC7'!$D$32:$Q$32,0))</f>
        <v>#N/A</v>
      </c>
      <c r="L262" s="91" t="e">
        <f t="array" ref="L262">INDEX('Coeff EC7'!$D$35:$Q$35,1,MATCH(D262&amp;E262,'Coeff EC7'!$D$31:$Q$31&amp;'Coeff EC7'!$D$32:$Q$32,0))</f>
        <v>#N/A</v>
      </c>
      <c r="M262" s="98" t="e">
        <f t="shared" si="331"/>
        <v>#N/A</v>
      </c>
      <c r="N262" s="99" t="e">
        <f t="array" ref="N262">INDEX('Coeff EC7'!$D$7:$Q$27,MATCH($B$3,'Coeff EC7'!$C$7:$C$27,0),MATCH(D262&amp;E262,'Coeff EC7'!$D$5:$Q$5&amp;'Coeff EC7'!$D$6:$Q$6,0))</f>
        <v>#N/A</v>
      </c>
      <c r="O262" s="99" t="e">
        <f t="array" ref="O262">INDEX('Coeff EC7'!$D$41:$Q$61,MATCH($B$3,'Coeff EC7'!$C$41:$C$61,0),MATCH(D262&amp;E262,'Coeff EC7'!$D$39:$Q$39&amp;'Coeff EC7'!$D$40:$Q$40,0))</f>
        <v>#N/A</v>
      </c>
      <c r="P262" s="30" t="e">
        <f t="shared" si="366"/>
        <v>#N/A</v>
      </c>
      <c r="Q262" s="100" t="e">
        <f t="shared" si="333"/>
        <v>#N/A</v>
      </c>
      <c r="R262" s="86" t="b">
        <f t="shared" si="334"/>
        <v>0</v>
      </c>
      <c r="S262" s="86">
        <f t="shared" si="332"/>
        <v>0.5</v>
      </c>
      <c r="T262" s="86">
        <f t="shared" si="335"/>
        <v>0.5</v>
      </c>
      <c r="U262" s="30" t="e">
        <f t="shared" ca="1" si="367"/>
        <v>#DIV/0!</v>
      </c>
      <c r="V262" s="85" t="str">
        <f>IF(B262&lt;=Hypothèses!$V$7,Hypothèses!$W$7,IF(B262&lt;=Hypothèses!$V$8,Hypothèses!$W$8,IF(B262&lt;=Hypothèses!$V$9,Hypothèses!$W$9,IF(B262&lt;=Hypothèses!$V$10,Hypothèses!$W$10,IF(B262&lt;=Hypothèses!$V$11,Hypothèses!$W$11,IF(B262&lt;=Hypothèses!$V$12,Hypothèses!$W$12,IF(B262&lt;=Hypothèses!$V$13,Hypothèses!$W$13,IF(B262&lt;=Hypothèses!$V$14,Hypothèses!$W$14,IF(B262&lt;=Hypothèses!$V$15,Hypothèses!$W$15,IF(B262&lt;=Hypothèses!$V$16,Hypothèses!$W$16,IF(B262&lt;=Hypothèses!$V$17,Hypothèses!$W$17,IF(B262&lt;=Hypothèses!$V$18,Hypothèses!$W$18,""))))))))))))</f>
        <v/>
      </c>
      <c r="W262" s="87" t="e">
        <f t="shared" ca="1" si="416"/>
        <v>#DIV/0!</v>
      </c>
      <c r="X262" s="88" t="str">
        <f>IF(B262&lt;=Hypothèses!$V$7,Hypothèses!$X$7,IF(B262&lt;=Hypothèses!$V$8,Hypothèses!$X$8,IF(B262&lt;=Hypothèses!$V$9,Hypothèses!$X$9,IF(B262&lt;=Hypothèses!$V$10,Hypothèses!$X$10,IF(B262&lt;=Hypothèses!$V$11,Hypothèses!$X$11,IF(B262&lt;=Hypothèses!$V$12,Hypothèses!$X$12,IF(B262&lt;=Hypothèses!$V$13,Hypothèses!$X$13,IF(B262&lt;=Hypothèses!$V$14,Hypothèses!$X$14,IF(B262&lt;=Hypothèses!$V$15,Hypothèses!$X$15,IF(B262&lt;=Hypothèses!$V$16,Hypothèses!$X$16,IF(B262&lt;=Hypothèses!$U$17,Hypothèses!$W$17,IF(B262&lt;=Hypothèses!$U$18,Hypothèses!$W$18,""))))))))))))</f>
        <v/>
      </c>
      <c r="Y262" s="95" t="e">
        <f t="shared" ca="1" si="336"/>
        <v>#DIV/0!</v>
      </c>
      <c r="Z262" s="101">
        <f t="shared" si="337"/>
        <v>0</v>
      </c>
      <c r="AA262" s="91">
        <f t="shared" si="338"/>
        <v>0</v>
      </c>
      <c r="AB262" s="30" t="e">
        <f t="shared" si="400"/>
        <v>#N/A</v>
      </c>
      <c r="AC262" s="30" t="e">
        <f t="shared" si="401"/>
        <v>#N/A</v>
      </c>
      <c r="AD262" s="31" t="e">
        <f>IF(OR(Hypothèses!$B$4=17,Hypothèses!$B$4=18,Hypothèses!$B$4=19,Hypothèses!$B$4=20),
IF($D262="Pressio.",
IF(OR($E262=3,$E262=1,$E262=4),AC262,AB262),
IF($D262="Pénétro.",
IF(OR($E262=3,$E262=1,$E262=4),AC262,AB262))),IF($D262="Pressio.",
IF($E262=3,AC262,AB262),
IF($D262="Pénétro.",
IF($E262=4,AC262,AB262))))</f>
        <v>#N/A</v>
      </c>
      <c r="AE262" s="31">
        <v>0</v>
      </c>
      <c r="AF262" s="102" t="e">
        <f>IF(NDC!$H$10="Oui",(VLOOKUP($B$3,'Coeff EC7'!$T$39:$X$59,2,0)*AD262+VLOOKUP($B$3,'Coeff EC7'!$T$65:$X$85,2,0)*Model0.1T!AE262)/1.5,PI()*AB$12*$Q262*($B262-$B261)*0.15/10+AF261)</f>
        <v>#N/A</v>
      </c>
      <c r="AG262" s="102" t="e">
        <f>(VLOOKUP($B$3,'Coeff EC7'!$T$39:$X$59,3,0)*AD262+VLOOKUP($B$3,'Coeff EC7'!$T$65:$X$85,3,0)*Model0.1T!AE262)/1.1</f>
        <v>#N/A</v>
      </c>
      <c r="AH262" s="102" t="e">
        <f t="shared" si="368"/>
        <v>#N/A</v>
      </c>
      <c r="AI262" s="102" t="e">
        <f t="shared" si="369"/>
        <v>#N/A</v>
      </c>
      <c r="AJ262" s="414" t="e">
        <f>IF(AND(AF262&gt;NDC!$C$63,AG262&gt;NDC!$C$65,AH262&gt;NDC!$D$73,AI262&gt;NDC!$D$74,$B262&gt;NDC!$H$22-0.1+MIN(3*$AJ$12,1.5)),0,1)</f>
        <v>#N/A</v>
      </c>
      <c r="AK262" s="86" t="b">
        <f t="shared" si="339"/>
        <v>0</v>
      </c>
      <c r="AL262" s="86">
        <f t="shared" si="370"/>
        <v>0.5</v>
      </c>
      <c r="AM262" s="86">
        <f t="shared" si="340"/>
        <v>0.5</v>
      </c>
      <c r="AN262" s="30" t="e">
        <f t="shared" ca="1" si="371"/>
        <v>#DIV/0!</v>
      </c>
      <c r="AO262" s="85" t="e">
        <f ca="1">IF(U262&lt;=Hypothèses!$V$7,Hypothèses!$W$7,IF(U262&lt;=Hypothèses!$V$8,Hypothèses!$W$8,IF(U262&lt;=Hypothèses!$V$9,Hypothèses!$W$9,IF(U262&lt;=Hypothèses!$V$10,Hypothèses!$W$10,IF(U262&lt;=Hypothèses!$V$11,Hypothèses!$W$11,IF(U262&lt;=Hypothèses!$V$12,Hypothèses!$W$12,IF(U262&lt;=Hypothèses!$V$13,Hypothèses!$W$13,IF(U262&lt;=Hypothèses!$V$14,Hypothèses!$W$14,IF(U262&lt;=Hypothèses!$V$15,Hypothèses!$W$15,IF(U262&lt;=Hypothèses!$V$16,Hypothèses!$W$16,IF(U262&lt;=Hypothèses!$V$17,Hypothèses!$W$17,IF(U262&lt;=Hypothèses!$V$18,Hypothèses!$W$18,""))))))))))))</f>
        <v>#DIV/0!</v>
      </c>
      <c r="AP262" s="87" t="e">
        <f t="shared" ca="1" si="417"/>
        <v>#DIV/0!</v>
      </c>
      <c r="AQ262" s="88" t="e">
        <f ca="1">IF(U262&lt;=Hypothèses!$V$7,Hypothèses!$X$7,IF(U262&lt;=Hypothèses!$V$8,Hypothèses!$X$8,IF(U262&lt;=Hypothèses!$V$9,Hypothèses!$X$9,IF(U262&lt;=Hypothèses!$V$10,Hypothèses!$X$10,IF(U262&lt;=Hypothèses!$V$11,Hypothèses!$X$11,IF(U262&lt;=Hypothèses!$V$12,Hypothèses!$X$12,IF(U262&lt;=Hypothèses!$V$13,Hypothèses!$X$13,IF(U262&lt;=Hypothèses!$V$14,Hypothèses!$X$14,IF(U262&lt;=Hypothèses!$V$15,Hypothèses!$X$15,IF(U262&lt;=Hypothèses!$V$16,Hypothèses!$X$16,IF(U262&lt;=Hypothèses!$U$17,Hypothèses!$W$17,IF(U262&lt;=Hypothèses!$U$18,Hypothèses!$W$18,""))))))))))))</f>
        <v>#DIV/0!</v>
      </c>
      <c r="AR262" s="95" t="e">
        <f t="shared" ca="1" si="372"/>
        <v>#DIV/0!</v>
      </c>
      <c r="AS262" s="101">
        <f t="shared" si="424"/>
        <v>0</v>
      </c>
      <c r="AT262" s="91">
        <f t="shared" si="341"/>
        <v>0</v>
      </c>
      <c r="AU262" s="30" t="e">
        <f t="shared" si="402"/>
        <v>#N/A</v>
      </c>
      <c r="AV262" s="30" t="e">
        <f t="shared" si="403"/>
        <v>#N/A</v>
      </c>
      <c r="AW262" s="31" t="e">
        <f>IF(OR(Hypothèses!$B$4=17,Hypothèses!$B$4=18,Hypothèses!$B$4=19,Hypothèses!$B$4=20),
IF($D262="Pressio.",
IF(OR($E262=3,$E262=1,$E262=4),AV262,AU262),
IF($D262="Pénétro.",
IF(OR($E262=3,$E262=1,$E262=4),AV262,AU262))),IF($D262="Pressio.",
IF($E262=3,AV262,AU262),
IF($D262="Pénétro.",
IF($E262=4,AV262,AU262))))</f>
        <v>#N/A</v>
      </c>
      <c r="AX262" s="31">
        <v>0</v>
      </c>
      <c r="AY262" s="102" t="e">
        <f>IF(NDC!$H$10="Oui",(VLOOKUP($B$3,'Coeff EC7'!$T$39:$X$59,2,0)*AW262+VLOOKUP($B$3,'Coeff EC7'!$T$65:$X$85,2,0)*Model0.1T!AX262)/1.5,PI()*AU$12*$Q262*($B262-$B261)*0.15/10+AY261)</f>
        <v>#N/A</v>
      </c>
      <c r="AZ262" s="102" t="e">
        <f>(VLOOKUP($B$3,'Coeff EC7'!$T$39:$X$59,3,0)*AW262+VLOOKUP($B$3,'Coeff EC7'!$T$65:$X$85,3,0)*Model0.1T!AX262)/1.1</f>
        <v>#N/A</v>
      </c>
      <c r="BA262" s="102" t="e">
        <f t="shared" si="373"/>
        <v>#N/A</v>
      </c>
      <c r="BB262" s="102" t="e">
        <f t="shared" si="374"/>
        <v>#N/A</v>
      </c>
      <c r="BC262" s="414" t="e">
        <f>IF(AND(AY262&gt;NDC!$C$63,AZ262&gt;NDC!$C$65,BA262&gt;NDC!$D$73,BB262&gt;NDC!$D$74,$B262&gt;NDC!$H$22-0.1+MIN(3*BC$12,1.5)),0,1)</f>
        <v>#N/A</v>
      </c>
      <c r="BD262" s="86" t="b">
        <f t="shared" si="342"/>
        <v>0</v>
      </c>
      <c r="BE262" s="86">
        <f t="shared" si="375"/>
        <v>0.5</v>
      </c>
      <c r="BF262" s="86">
        <f t="shared" si="343"/>
        <v>0.5</v>
      </c>
      <c r="BG262" s="30" t="e">
        <f t="shared" ca="1" si="376"/>
        <v>#DIV/0!</v>
      </c>
      <c r="BH262" s="85" t="e">
        <f ca="1">IF(AN262&lt;=Hypothèses!$V$7,Hypothèses!$W$7,IF(AN262&lt;=Hypothèses!$V$8,Hypothèses!$W$8,IF(AN262&lt;=Hypothèses!$V$9,Hypothèses!$W$9,IF(AN262&lt;=Hypothèses!$V$10,Hypothèses!$W$10,IF(AN262&lt;=Hypothèses!$V$11,Hypothèses!$W$11,IF(AN262&lt;=Hypothèses!$V$12,Hypothèses!$W$12,IF(AN262&lt;=Hypothèses!$V$13,Hypothèses!$W$13,IF(AN262&lt;=Hypothèses!$V$14,Hypothèses!$W$14,IF(AN262&lt;=Hypothèses!$V$15,Hypothèses!$W$15,IF(AN262&lt;=Hypothèses!$V$16,Hypothèses!$W$16,IF(AN262&lt;=Hypothèses!$V$17,Hypothèses!$W$17,IF(AN262&lt;=Hypothèses!$V$18,Hypothèses!$W$18,""))))))))))))</f>
        <v>#DIV/0!</v>
      </c>
      <c r="BI262" s="87" t="e">
        <f t="shared" ca="1" si="418"/>
        <v>#DIV/0!</v>
      </c>
      <c r="BJ262" s="88" t="e">
        <f ca="1">IF(AN262&lt;=Hypothèses!$V$7,Hypothèses!$X$7,IF(AN262&lt;=Hypothèses!$V$8,Hypothèses!$X$8,IF(AN262&lt;=Hypothèses!$V$9,Hypothèses!$X$9,IF(AN262&lt;=Hypothèses!$V$10,Hypothèses!$X$10,IF(AN262&lt;=Hypothèses!$V$11,Hypothèses!$X$11,IF(AN262&lt;=Hypothèses!$V$12,Hypothèses!$X$12,IF(AN262&lt;=Hypothèses!$V$13,Hypothèses!$X$13,IF(AN262&lt;=Hypothèses!$V$14,Hypothèses!$X$14,IF(AN262&lt;=Hypothèses!$V$15,Hypothèses!$X$15,IF(AN262&lt;=Hypothèses!$V$16,Hypothèses!$X$16,IF(AN262&lt;=Hypothèses!$U$17,Hypothèses!$W$17,IF(AN262&lt;=Hypothèses!$U$18,Hypothèses!$W$18,""))))))))))))</f>
        <v>#DIV/0!</v>
      </c>
      <c r="BK262" s="95" t="e">
        <f t="shared" ca="1" si="377"/>
        <v>#DIV/0!</v>
      </c>
      <c r="BL262" s="101">
        <f t="shared" si="425"/>
        <v>0</v>
      </c>
      <c r="BM262" s="91">
        <f t="shared" si="344"/>
        <v>0</v>
      </c>
      <c r="BN262" s="30" t="e">
        <f t="shared" si="404"/>
        <v>#N/A</v>
      </c>
      <c r="BO262" s="30" t="e">
        <f t="shared" si="405"/>
        <v>#N/A</v>
      </c>
      <c r="BP262" s="31" t="e">
        <f>IF(OR(Hypothèses!$B$4=17,Hypothèses!$B$4=18,Hypothèses!$B$4=19,Hypothèses!$B$4=20),
IF($D262="Pressio.",
IF(OR($E262=3,$E262=1,$E262=4),BO262,BN262),
IF($D262="Pénétro.",
IF(OR($E262=3,$E262=1,$E262=4),BO262,BN262))),IF($D262="Pressio.",
IF($E262=3,BO262,BN262),
IF($D262="Pénétro.",
IF($E262=4,BO262,BN262))))</f>
        <v>#N/A</v>
      </c>
      <c r="BQ262" s="31">
        <v>0</v>
      </c>
      <c r="BR262" s="102" t="e">
        <f>IF(NDC!$H$10="Oui",(VLOOKUP($B$3,'Coeff EC7'!$T$39:$X$59,2,0)*BP262+VLOOKUP($B$3,'Coeff EC7'!$T$65:$X$85,2,0)*Model0.1T!BQ262)/1.5,PI()*BN$12*$Q262*($B262-$B261)*0.15/10+BR261)</f>
        <v>#N/A</v>
      </c>
      <c r="BS262" s="102" t="e">
        <f>(VLOOKUP($B$3,'Coeff EC7'!$T$39:$X$59,3,0)*BP262+VLOOKUP($B$3,'Coeff EC7'!$T$65:$X$85,3,0)*Model0.1T!BQ262)/1.1</f>
        <v>#N/A</v>
      </c>
      <c r="BT262" s="102" t="e">
        <f t="shared" si="378"/>
        <v>#N/A</v>
      </c>
      <c r="BU262" s="102" t="e">
        <f t="shared" si="379"/>
        <v>#N/A</v>
      </c>
      <c r="BV262" s="414" t="e">
        <f>IF(AND(BR262&gt;NDC!$C$63,BS262&gt;NDC!$C$65,BT262&gt;NDC!$D$73,BU262&gt;NDC!$D$74,$B262&gt;NDC!$H$22-0.1+MIN(3*BV$12,1.5)),0,1)</f>
        <v>#N/A</v>
      </c>
      <c r="BW262" s="86" t="b">
        <f t="shared" si="345"/>
        <v>0</v>
      </c>
      <c r="BX262" s="86">
        <f t="shared" si="346"/>
        <v>0.5</v>
      </c>
      <c r="BY262" s="86">
        <f t="shared" si="347"/>
        <v>0.5</v>
      </c>
      <c r="BZ262" s="30" t="e">
        <f t="shared" ca="1" si="380"/>
        <v>#DIV/0!</v>
      </c>
      <c r="CA262" s="85" t="e">
        <f ca="1">IF(BG262&lt;=Hypothèses!$V$7,Hypothèses!$W$7,IF(BG262&lt;=Hypothèses!$V$8,Hypothèses!$W$8,IF(BG262&lt;=Hypothèses!$V$9,Hypothèses!$W$9,IF(BG262&lt;=Hypothèses!$V$10,Hypothèses!$W$10,IF(BG262&lt;=Hypothèses!$V$11,Hypothèses!$W$11,IF(BG262&lt;=Hypothèses!$V$12,Hypothèses!$W$12,IF(BG262&lt;=Hypothèses!$V$13,Hypothèses!$W$13,IF(BG262&lt;=Hypothèses!$V$14,Hypothèses!$W$14,IF(BG262&lt;=Hypothèses!$V$15,Hypothèses!$W$15,IF(BG262&lt;=Hypothèses!$V$16,Hypothèses!$W$16,IF(BG262&lt;=Hypothèses!$V$17,Hypothèses!$W$17,IF(BG262&lt;=Hypothèses!$V$18,Hypothèses!$W$18,""))))))))))))</f>
        <v>#DIV/0!</v>
      </c>
      <c r="CB262" s="87" t="e">
        <f t="shared" ca="1" si="419"/>
        <v>#DIV/0!</v>
      </c>
      <c r="CC262" s="88" t="e">
        <f ca="1">IF(BG262&lt;=Hypothèses!$V$7,Hypothèses!$X$7,IF(BG262&lt;=Hypothèses!$V$8,Hypothèses!$X$8,IF(BG262&lt;=Hypothèses!$V$9,Hypothèses!$X$9,IF(BG262&lt;=Hypothèses!$V$10,Hypothèses!$X$10,IF(BG262&lt;=Hypothèses!$V$11,Hypothèses!$X$11,IF(BG262&lt;=Hypothèses!$V$12,Hypothèses!$X$12,IF(BG262&lt;=Hypothèses!$V$13,Hypothèses!$X$13,IF(BG262&lt;=Hypothèses!$V$14,Hypothèses!$X$14,IF(BG262&lt;=Hypothèses!$V$15,Hypothèses!$X$15,IF(BG262&lt;=Hypothèses!$V$16,Hypothèses!$X$16,IF(BG262&lt;=Hypothèses!$U$17,Hypothèses!$W$17,IF(BG262&lt;=Hypothèses!$U$18,Hypothèses!$W$18,""))))))))))))</f>
        <v>#DIV/0!</v>
      </c>
      <c r="CD262" s="95" t="e">
        <f t="shared" ca="1" si="381"/>
        <v>#DIV/0!</v>
      </c>
      <c r="CE262" s="101">
        <f t="shared" si="426"/>
        <v>0</v>
      </c>
      <c r="CF262" s="91">
        <f t="shared" si="348"/>
        <v>0</v>
      </c>
      <c r="CG262" s="30" t="e">
        <f t="shared" si="406"/>
        <v>#N/A</v>
      </c>
      <c r="CH262" s="30" t="e">
        <f t="shared" si="407"/>
        <v>#N/A</v>
      </c>
      <c r="CI262" s="31" t="e">
        <f>IF(OR(Hypothèses!$B$4=17,Hypothèses!$B$4=18,Hypothèses!$B$4=19,Hypothèses!$B$4=20),
IF($D262="Pressio.",
IF(OR($E262=3,$E262=1,$E262=4),CH262,CG262),
IF($D262="Pénétro.",
IF(OR($E262=3,$E262=1,$E262=4),CH262,CG262))),IF($D262="Pressio.",
IF($E262=3,CH262,CG262),
IF($D262="Pénétro.",
IF($E262=4,CH262,CG262))))</f>
        <v>#N/A</v>
      </c>
      <c r="CJ262" s="31">
        <v>0</v>
      </c>
      <c r="CK262" s="102" t="e">
        <f>IF(NDC!$H$10="Oui",(VLOOKUP($B$3,'Coeff EC7'!$T$39:$X$59,2,0)*CI262+VLOOKUP($B$3,'Coeff EC7'!$T$65:$X$85,2,0)*Model0.1T!CJ262)/1.5,PI()*CG$12*$Q262*($B262-$B261)*0.15/10+CK261)</f>
        <v>#N/A</v>
      </c>
      <c r="CL262" s="102" t="e">
        <f>(VLOOKUP($B$3,'Coeff EC7'!$T$39:$X$59,3,0)*CI262+VLOOKUP($B$3,'Coeff EC7'!$T$65:$X$85,3,0)*Model0.1T!CJ262)/1.1</f>
        <v>#N/A</v>
      </c>
      <c r="CM262" s="102" t="e">
        <f t="shared" si="382"/>
        <v>#N/A</v>
      </c>
      <c r="CN262" s="102" t="e">
        <f t="shared" si="383"/>
        <v>#N/A</v>
      </c>
      <c r="CO262" s="414" t="e">
        <f>IF(AND(CK262&gt;NDC!$C$63,CL262&gt;NDC!$C$65,CM262&gt;NDC!$D$73,CN262&gt;NDC!$D$74,$B262&gt;NDC!$H$22-0.1+MIN(3*CO$12,1.5)),0,1)</f>
        <v>#N/A</v>
      </c>
      <c r="CP262" s="86" t="b">
        <f t="shared" si="349"/>
        <v>0</v>
      </c>
      <c r="CQ262" s="86">
        <f t="shared" si="350"/>
        <v>0.5</v>
      </c>
      <c r="CR262" s="86">
        <f t="shared" si="351"/>
        <v>0.5</v>
      </c>
      <c r="CS262" s="30" t="e">
        <f t="shared" ca="1" si="384"/>
        <v>#DIV/0!</v>
      </c>
      <c r="CT262" s="85" t="e">
        <f ca="1">IF(BZ262&lt;=Hypothèses!$V$7,Hypothèses!$W$7,IF(BZ262&lt;=Hypothèses!$V$8,Hypothèses!$W$8,IF(BZ262&lt;=Hypothèses!$V$9,Hypothèses!$W$9,IF(BZ262&lt;=Hypothèses!$V$10,Hypothèses!$W$10,IF(BZ262&lt;=Hypothèses!$V$11,Hypothèses!$W$11,IF(BZ262&lt;=Hypothèses!$V$12,Hypothèses!$W$12,IF(BZ262&lt;=Hypothèses!$V$13,Hypothèses!$W$13,IF(BZ262&lt;=Hypothèses!$V$14,Hypothèses!$W$14,IF(BZ262&lt;=Hypothèses!$V$15,Hypothèses!$W$15,IF(BZ262&lt;=Hypothèses!$V$16,Hypothèses!$W$16,IF(BZ262&lt;=Hypothèses!$V$17,Hypothèses!$W$17,IF(BZ262&lt;=Hypothèses!$V$18,Hypothèses!$W$18,""))))))))))))</f>
        <v>#DIV/0!</v>
      </c>
      <c r="CU262" s="87" t="e">
        <f t="shared" ca="1" si="420"/>
        <v>#DIV/0!</v>
      </c>
      <c r="CV262" s="88" t="e">
        <f ca="1">IF(BZ262&lt;=Hypothèses!$V$7,Hypothèses!$X$7,IF(BZ262&lt;=Hypothèses!$V$8,Hypothèses!$X$8,IF(BZ262&lt;=Hypothèses!$V$9,Hypothèses!$X$9,IF(BZ262&lt;=Hypothèses!$V$10,Hypothèses!$X$10,IF(BZ262&lt;=Hypothèses!$V$11,Hypothèses!$X$11,IF(BZ262&lt;=Hypothèses!$V$12,Hypothèses!$X$12,IF(BZ262&lt;=Hypothèses!$V$13,Hypothèses!$X$13,IF(BZ262&lt;=Hypothèses!$V$14,Hypothèses!$X$14,IF(BZ262&lt;=Hypothèses!$V$15,Hypothèses!$X$15,IF(BZ262&lt;=Hypothèses!$V$16,Hypothèses!$X$16,IF(BZ262&lt;=Hypothèses!$U$17,Hypothèses!$W$17,IF(BZ262&lt;=Hypothèses!$U$18,Hypothèses!$W$18,""))))))))))))</f>
        <v>#DIV/0!</v>
      </c>
      <c r="CW262" s="95" t="e">
        <f t="shared" ca="1" si="385"/>
        <v>#DIV/0!</v>
      </c>
      <c r="CX262" s="101">
        <f t="shared" si="427"/>
        <v>0</v>
      </c>
      <c r="CY262" s="91">
        <f t="shared" si="352"/>
        <v>0</v>
      </c>
      <c r="CZ262" s="30" t="e">
        <f t="shared" si="408"/>
        <v>#N/A</v>
      </c>
      <c r="DA262" s="30" t="e">
        <f t="shared" si="409"/>
        <v>#N/A</v>
      </c>
      <c r="DB262" s="31" t="e">
        <f>IF(OR(Hypothèses!$B$4=17,Hypothèses!$B$4=18,Hypothèses!$B$4=19,Hypothèses!$B$4=20),
IF($D262="Pressio.",
IF(OR($E262=3,$E262=1,$E262=4),DA262,CZ262),
IF($D262="Pénétro.",
IF(OR($E262=3,$E262=1,$E262=4),DA262,CZ262))),IF($D262="Pressio.",
IF($E262=3,DA262,CZ262),
IF($D262="Pénétro.",
IF($E262=4,DA262,CZ262))))</f>
        <v>#N/A</v>
      </c>
      <c r="DC262" s="31">
        <v>0</v>
      </c>
      <c r="DD262" s="102" t="e">
        <f>IF(NDC!$H$10="Oui",(VLOOKUP($B$3,'Coeff EC7'!$T$39:$X$59,2,0)*DB262+VLOOKUP($B$3,'Coeff EC7'!$T$65:$X$85,2,0)*Model0.1T!DC262)/1.5,PI()*CZ$12*$Q262*($B262-$B261)*0.15/10+DD261)</f>
        <v>#N/A</v>
      </c>
      <c r="DE262" s="102" t="e">
        <f>(VLOOKUP($B$3,'Coeff EC7'!$T$39:$X$59,3,0)*DB262+VLOOKUP($B$3,'Coeff EC7'!$T$65:$X$85,3,0)*Model0.1T!DC262)/1.1</f>
        <v>#N/A</v>
      </c>
      <c r="DF262" s="102" t="e">
        <f t="shared" si="386"/>
        <v>#N/A</v>
      </c>
      <c r="DG262" s="102" t="e">
        <f t="shared" si="387"/>
        <v>#N/A</v>
      </c>
      <c r="DH262" s="414" t="e">
        <f>IF(AND(DD262&gt;NDC!$C$63,DE262&gt;NDC!$C$65,DF262&gt;NDC!$D$73,DG262&gt;NDC!$D$74,$B262&gt;NDC!$H$22-0.1+MIN(3*DH$12,1.5)),0,1)</f>
        <v>#N/A</v>
      </c>
      <c r="DI262" s="86" t="b">
        <f t="shared" si="353"/>
        <v>0</v>
      </c>
      <c r="DJ262" s="86">
        <f t="shared" si="354"/>
        <v>0.5</v>
      </c>
      <c r="DK262" s="86">
        <f t="shared" si="355"/>
        <v>0.5</v>
      </c>
      <c r="DL262" s="30" t="e">
        <f t="shared" ca="1" si="388"/>
        <v>#DIV/0!</v>
      </c>
      <c r="DM262" s="85" t="e">
        <f ca="1">IF(CS262&lt;=Hypothèses!$V$7,Hypothèses!$W$7,IF(CS262&lt;=Hypothèses!$V$8,Hypothèses!$W$8,IF(CS262&lt;=Hypothèses!$V$9,Hypothèses!$W$9,IF(CS262&lt;=Hypothèses!$V$10,Hypothèses!$W$10,IF(CS262&lt;=Hypothèses!$V$11,Hypothèses!$W$11,IF(CS262&lt;=Hypothèses!$V$12,Hypothèses!$W$12,IF(CS262&lt;=Hypothèses!$V$13,Hypothèses!$W$13,IF(CS262&lt;=Hypothèses!$V$14,Hypothèses!$W$14,IF(CS262&lt;=Hypothèses!$V$15,Hypothèses!$W$15,IF(CS262&lt;=Hypothèses!$V$16,Hypothèses!$W$16,IF(CS262&lt;=Hypothèses!$V$17,Hypothèses!$W$17,IF(CS262&lt;=Hypothèses!$V$18,Hypothèses!$W$18,""))))))))))))</f>
        <v>#DIV/0!</v>
      </c>
      <c r="DN262" s="87" t="e">
        <f t="shared" ca="1" si="421"/>
        <v>#DIV/0!</v>
      </c>
      <c r="DO262" s="88" t="e">
        <f ca="1">IF(CS262&lt;=Hypothèses!$V$7,Hypothèses!$X$7,IF(CS262&lt;=Hypothèses!$V$8,Hypothèses!$X$8,IF(CS262&lt;=Hypothèses!$V$9,Hypothèses!$X$9,IF(CS262&lt;=Hypothèses!$V$10,Hypothèses!$X$10,IF(CS262&lt;=Hypothèses!$V$11,Hypothèses!$X$11,IF(CS262&lt;=Hypothèses!$V$12,Hypothèses!$X$12,IF(CS262&lt;=Hypothèses!$V$13,Hypothèses!$X$13,IF(CS262&lt;=Hypothèses!$V$14,Hypothèses!$X$14,IF(CS262&lt;=Hypothèses!$V$15,Hypothèses!$X$15,IF(CS262&lt;=Hypothèses!$V$16,Hypothèses!$X$16,IF(CS262&lt;=Hypothèses!$U$17,Hypothèses!$W$17,IF(CS262&lt;=Hypothèses!$U$18,Hypothèses!$W$18,""))))))))))))</f>
        <v>#DIV/0!</v>
      </c>
      <c r="DP262" s="95" t="e">
        <f t="shared" ca="1" si="389"/>
        <v>#DIV/0!</v>
      </c>
      <c r="DQ262" s="101">
        <f t="shared" si="428"/>
        <v>0</v>
      </c>
      <c r="DR262" s="91">
        <f t="shared" si="356"/>
        <v>0</v>
      </c>
      <c r="DS262" s="30" t="e">
        <f t="shared" si="410"/>
        <v>#N/A</v>
      </c>
      <c r="DT262" s="30" t="e">
        <f t="shared" si="411"/>
        <v>#N/A</v>
      </c>
      <c r="DU262" s="31" t="e">
        <f>IF(OR(Hypothèses!$B$4=17,Hypothèses!$B$4=18,Hypothèses!$B$4=19,Hypothèses!$B$4=20),
IF($D262="Pressio.",
IF(OR($E262=3,$E262=1,$E262=4),DT262,DS262),
IF($D262="Pénétro.",
IF(OR($E262=3,$E262=1,$E262=4),DT262,DS262))),IF($D262="Pressio.",
IF($E262=3,DT262,DS262),
IF($D262="Pénétro.",
IF($E262=4,DT262,DS262))))</f>
        <v>#N/A</v>
      </c>
      <c r="DV262" s="31">
        <v>0</v>
      </c>
      <c r="DW262" s="102" t="e">
        <f>IF(NDC!$H$10="Oui",(VLOOKUP($B$3,'Coeff EC7'!$T$39:$X$59,2,0)*DU262+VLOOKUP($B$3,'Coeff EC7'!$T$65:$X$85,2,0)*Model0.1T!DV262)/1.5,PI()*DS$12*$Q262*($B262-$B261)*0.15/10+DW261)</f>
        <v>#N/A</v>
      </c>
      <c r="DX262" s="102" t="e">
        <f>(VLOOKUP($B$3,'Coeff EC7'!$T$39:$X$59,3,0)*DU262+VLOOKUP($B$3,'Coeff EC7'!$T$65:$X$85,3,0)*Model0.1T!DV262)/1.1</f>
        <v>#N/A</v>
      </c>
      <c r="DY262" s="102" t="e">
        <f t="shared" si="390"/>
        <v>#N/A</v>
      </c>
      <c r="DZ262" s="102" t="e">
        <f t="shared" si="391"/>
        <v>#N/A</v>
      </c>
      <c r="EA262" s="414" t="e">
        <f>IF(AND(DW262&gt;NDC!$C$63,DX262&gt;NDC!$C$65,DY262&gt;NDC!$D$73,DZ262&gt;NDC!$D$74,$B262&gt;NDC!$H$22-0.1+MIN(3*EA$12,1.5)),0,1)</f>
        <v>#N/A</v>
      </c>
      <c r="EB262" s="86" t="b">
        <f t="shared" si="357"/>
        <v>0</v>
      </c>
      <c r="EC262" s="418">
        <f t="shared" si="358"/>
        <v>0.51</v>
      </c>
      <c r="ED262" s="86">
        <f t="shared" si="359"/>
        <v>0.51</v>
      </c>
      <c r="EE262" s="30" t="e">
        <f t="shared" ca="1" si="392"/>
        <v>#DIV/0!</v>
      </c>
      <c r="EF262" s="85" t="e">
        <f ca="1">IF(DL262&lt;=Hypothèses!$V$7,Hypothèses!$W$7,IF(DL262&lt;=Hypothèses!$V$8,Hypothèses!$W$8,IF(DL262&lt;=Hypothèses!$V$9,Hypothèses!$W$9,IF(DL262&lt;=Hypothèses!$V$10,Hypothèses!$W$10,IF(DL262&lt;=Hypothèses!$V$11,Hypothèses!$W$11,IF(DL262&lt;=Hypothèses!$V$12,Hypothèses!$W$12,IF(DL262&lt;=Hypothèses!$V$13,Hypothèses!$W$13,IF(DL262&lt;=Hypothèses!$V$14,Hypothèses!$W$14,IF(DL262&lt;=Hypothèses!$V$15,Hypothèses!$W$15,IF(DL262&lt;=Hypothèses!$V$16,Hypothèses!$W$16,IF(DL262&lt;=Hypothèses!$V$17,Hypothèses!$W$17,IF(DL262&lt;=Hypothèses!$V$18,Hypothèses!$W$18,""))))))))))))</f>
        <v>#DIV/0!</v>
      </c>
      <c r="EG262" s="87" t="e">
        <f t="shared" ca="1" si="422"/>
        <v>#DIV/0!</v>
      </c>
      <c r="EH262" s="88" t="e">
        <f ca="1">IF(DL262&lt;=Hypothèses!$V$7,Hypothèses!$X$7,IF(DL262&lt;=Hypothèses!$V$8,Hypothèses!$X$8,IF(DL262&lt;=Hypothèses!$V$9,Hypothèses!$X$9,IF(DL262&lt;=Hypothèses!$V$10,Hypothèses!$X$10,IF(DL262&lt;=Hypothèses!$V$11,Hypothèses!$X$11,IF(DL262&lt;=Hypothèses!$V$12,Hypothèses!$X$12,IF(DL262&lt;=Hypothèses!$V$13,Hypothèses!$X$13,IF(DL262&lt;=Hypothèses!$V$14,Hypothèses!$X$14,IF(DL262&lt;=Hypothèses!$V$15,Hypothèses!$X$15,IF(DL262&lt;=Hypothèses!$V$16,Hypothèses!$X$16,IF(DL262&lt;=Hypothèses!$U$17,Hypothèses!$W$17,IF(DL262&lt;=Hypothèses!$U$18,Hypothèses!$W$18,""))))))))))))</f>
        <v>#DIV/0!</v>
      </c>
      <c r="EI262" s="95" t="e">
        <f t="shared" ca="1" si="393"/>
        <v>#DIV/0!</v>
      </c>
      <c r="EJ262" s="101">
        <f t="shared" si="429"/>
        <v>0</v>
      </c>
      <c r="EK262" s="91">
        <f t="shared" si="360"/>
        <v>0</v>
      </c>
      <c r="EL262" s="30" t="e">
        <f t="shared" si="412"/>
        <v>#N/A</v>
      </c>
      <c r="EM262" s="30" t="e">
        <f t="shared" si="413"/>
        <v>#N/A</v>
      </c>
      <c r="EN262" s="31" t="e">
        <f>IF(OR(Hypothèses!$B$4=17,Hypothèses!$B$4=18,Hypothèses!$B$4=19,Hypothèses!$B$4=20),
IF($D262="Pressio.",
IF(OR($E262=3,$E262=1,$E262=4),EM262,EL262),
IF($D262="Pénétro.",
IF(OR($E262=3,$E262=1,$E262=4),EM262,EL262))),IF($D262="Pressio.",
IF($E262=3,EM262,EL262),
IF($D262="Pénétro.",
IF($E262=4,EM262,EL262))))</f>
        <v>#N/A</v>
      </c>
      <c r="EO262" s="31">
        <v>0</v>
      </c>
      <c r="EP262" s="102" t="e">
        <f>IF(NDC!$H$10="Oui",(VLOOKUP($B$3,'Coeff EC7'!$T$39:$X$59,2,0)*EN262+VLOOKUP($B$3,'Coeff EC7'!$T$65:$X$85,2,0)*Model0.1T!EO262)/1.5,PI()*EL$12*$Q262*($B262-$B261)*0.15/10+EP261)</f>
        <v>#N/A</v>
      </c>
      <c r="EQ262" s="102" t="e">
        <f>(VLOOKUP($B$3,'Coeff EC7'!$T$39:$X$59,3,0)*EN262+VLOOKUP($B$3,'Coeff EC7'!$T$65:$X$85,3,0)*Model0.1T!EO262)/1.1</f>
        <v>#N/A</v>
      </c>
      <c r="ER262" s="102" t="e">
        <f t="shared" si="394"/>
        <v>#N/A</v>
      </c>
      <c r="ES262" s="102" t="e">
        <f t="shared" si="395"/>
        <v>#N/A</v>
      </c>
      <c r="ET262" s="414" t="e">
        <f>IF(AND(EP262&gt;NDC!$C$63,EQ262&gt;NDC!$C$65,ER262&gt;NDC!$D$73,ES262&gt;NDC!$D$74,$B262&gt;NDC!$H$22-0.1+MIN(3*ET$12,1.5)),0,1)</f>
        <v>#N/A</v>
      </c>
      <c r="EU262" s="86" t="b">
        <f t="shared" si="361"/>
        <v>0</v>
      </c>
      <c r="EV262" s="86">
        <f t="shared" si="362"/>
        <v>0.61</v>
      </c>
      <c r="EW262" s="86">
        <f t="shared" si="363"/>
        <v>0.61</v>
      </c>
      <c r="EX262" s="30" t="e">
        <f t="shared" ca="1" si="396"/>
        <v>#DIV/0!</v>
      </c>
      <c r="EY262" s="85" t="e">
        <f ca="1">IF(EE262&lt;=Hypothèses!$V$7,Hypothèses!$W$7,IF(EE262&lt;=Hypothèses!$V$8,Hypothèses!$W$8,IF(EE262&lt;=Hypothèses!$V$9,Hypothèses!$W$9,IF(EE262&lt;=Hypothèses!$V$10,Hypothèses!$W$10,IF(EE262&lt;=Hypothèses!$V$11,Hypothèses!$W$11,IF(EE262&lt;=Hypothèses!$V$12,Hypothèses!$W$12,IF(EE262&lt;=Hypothèses!$V$13,Hypothèses!$W$13,IF(EE262&lt;=Hypothèses!$V$14,Hypothèses!$W$14,IF(EE262&lt;=Hypothèses!$V$15,Hypothèses!$W$15,IF(EE262&lt;=Hypothèses!$V$16,Hypothèses!$W$16,IF(EE262&lt;=Hypothèses!$V$17,Hypothèses!$W$17,IF(EE262&lt;=Hypothèses!$V$18,Hypothèses!$W$18,""))))))))))))</f>
        <v>#DIV/0!</v>
      </c>
      <c r="EZ262" s="87" t="e">
        <f t="shared" ca="1" si="423"/>
        <v>#DIV/0!</v>
      </c>
      <c r="FA262" s="88" t="e">
        <f ca="1">IF(EE262&lt;=Hypothèses!$V$7,Hypothèses!$X$7,IF(EE262&lt;=Hypothèses!$V$8,Hypothèses!$X$8,IF(EE262&lt;=Hypothèses!$V$9,Hypothèses!$X$9,IF(EE262&lt;=Hypothèses!$V$10,Hypothèses!$X$10,IF(EE262&lt;=Hypothèses!$V$11,Hypothèses!$X$11,IF(EE262&lt;=Hypothèses!$V$12,Hypothèses!$X$12,IF(EE262&lt;=Hypothèses!$V$13,Hypothèses!$X$13,IF(EE262&lt;=Hypothèses!$V$14,Hypothèses!$X$14,IF(EE262&lt;=Hypothèses!$V$15,Hypothèses!$X$15,IF(EE262&lt;=Hypothèses!$V$16,Hypothèses!$X$16,IF(EE262&lt;=Hypothèses!$U$17,Hypothèses!$W$17,IF(EE262&lt;=Hypothèses!$U$18,Hypothèses!$W$18,""))))))))))))</f>
        <v>#DIV/0!</v>
      </c>
      <c r="FB262" s="95" t="e">
        <f t="shared" ca="1" si="397"/>
        <v>#DIV/0!</v>
      </c>
      <c r="FC262" s="101">
        <f t="shared" si="430"/>
        <v>0</v>
      </c>
      <c r="FD262" s="91">
        <f t="shared" si="364"/>
        <v>0</v>
      </c>
      <c r="FE262" s="30" t="e">
        <f t="shared" si="414"/>
        <v>#N/A</v>
      </c>
      <c r="FF262" s="30" t="e">
        <f t="shared" si="415"/>
        <v>#N/A</v>
      </c>
      <c r="FG262" s="31" t="e">
        <f>IF(OR(Hypothèses!$B$4=17,Hypothèses!$B$4=18,Hypothèses!$B$4=19,Hypothèses!$B$4=20),
IF($D262="Pressio.",
IF(OR($E262=3,$E262=1,$E262=4),FF262,FE262),
IF($D262="Pénétro.",
IF(OR($E262=3,$E262=1,$E262=4),FF262,FE262))),IF($D262="Pressio.",
IF($E262=3,FF262,FE262),
IF($D262="Pénétro.",
IF($E262=4,FF262,FE262))))</f>
        <v>#N/A</v>
      </c>
      <c r="FH262" s="31">
        <v>0</v>
      </c>
      <c r="FI262" s="102" t="e">
        <f>IF(NDC!$H$10="Oui",(VLOOKUP($B$3,'Coeff EC7'!$T$39:$X$59,2,0)*FG262+VLOOKUP($B$3,'Coeff EC7'!$T$65:$X$85,2,0)*Model0.1T!FH262)/1.5,PI()*FE$12*$Q262*($B262-$B261)*0.15/10+FI261)</f>
        <v>#N/A</v>
      </c>
      <c r="FJ262" s="102" t="e">
        <f>(VLOOKUP($B$3,'Coeff EC7'!$T$39:$X$59,3,0)*FG262+VLOOKUP($B$3,'Coeff EC7'!$T$65:$X$85,3,0)*Model0.1T!FH262)/1.1</f>
        <v>#N/A</v>
      </c>
      <c r="FK262" s="102" t="e">
        <f t="shared" si="398"/>
        <v>#N/A</v>
      </c>
      <c r="FL262" s="102" t="e">
        <f t="shared" si="399"/>
        <v>#N/A</v>
      </c>
      <c r="FM262" s="414" t="e">
        <f>IF(AND(FI262&gt;NDC!$C$63,FJ262&gt;NDC!$C$65,FK262&gt;NDC!$D$73,FL262&gt;NDC!$D$74,$B262&gt;NDC!$H$22-0.1+MIN(3*FM$12,1.5)),0,1)</f>
        <v>#N/A</v>
      </c>
    </row>
    <row r="263" spans="1:169">
      <c r="A263" s="96">
        <f t="shared" si="365"/>
        <v>75.000000000001421</v>
      </c>
      <c r="B263" s="97">
        <v>25</v>
      </c>
      <c r="C263" s="81">
        <f>IF(B263&lt;=Hypothèses!$C$7,Hypothèses!$A$7,IF(B263&lt;=Hypothèses!$C$8,Hypothèses!$A$8,IF(B263&lt;=Hypothèses!$C$9,Hypothèses!$A$9,IF(B263&lt;=Hypothèses!$C$10,Hypothèses!$A$10,IF(B263&lt;=Hypothèses!$C$11,Hypothèses!$A$11,IF(B263&lt;=Hypothèses!$C$12,Hypothèses!$A$12,IF(B263&lt;=Hypothèses!$C$13,Hypothèses!$A$13,IF(B263&lt;=Hypothèses!$C$14,Hypothèses!$A$14,IF(B263&lt;=Hypothèses!$C$15,Hypothèses!$A$15,IF(B263&lt;=Hypothèses!$C$16,Hypothèses!$A$16,IF(B263&lt;=Hypothèses!$C$17,Hypothèses!$A$17,IF(B263&lt;=Hypothèses!$C$18,Hypothèses!$A$18,C262))))))))))))</f>
        <v>11</v>
      </c>
      <c r="D263" s="82" t="str">
        <f>IF(B263&lt;=Hypothèses!$C$7,Hypothèses!$R$7,IF(B263&lt;=Hypothèses!$C$8,Hypothèses!$R$8,IF(B263&lt;=Hypothèses!$C$9,Hypothèses!$R$9,IF(B263&lt;=Hypothèses!$C$10,Hypothèses!$R$10,IF(B263&lt;=Hypothèses!$C$11,Hypothèses!$R$11,IF(B263&lt;=Hypothèses!$C$12,Hypothèses!$R$12,IF(B263&lt;=Hypothèses!$C$13,Hypothèses!$R$13,IF(B263&lt;=Hypothèses!$C$14,Hypothèses!$R$14,IF(B263&lt;=Hypothèses!$C$15,Hypothèses!$R$15,IF(B263&lt;=Hypothèses!$C$16,Hypothèses!$R$16,IF(B263&lt;=Hypothèses!$C$17,Hypothèses!$R$17,IF(B263&lt;=Hypothèses!$C$18,Hypothèses!$R$18,D262))))))))))))</f>
        <v>Pressio.</v>
      </c>
      <c r="E263" s="82" t="e">
        <f>IF(B263&lt;=Hypothèses!$C$7,Hypothèses!$G$7,IF(B263&lt;=Hypothèses!$C$8,Hypothèses!$G$8,IF(B263&lt;=Hypothèses!$C$9,Hypothèses!$G$9,IF(B263&lt;=Hypothèses!$C$10,Hypothèses!$G$10,IF(B263&lt;=Hypothèses!$C$11,Hypothèses!$G$11,IF(B263&lt;=Hypothèses!$C$12,Hypothèses!$G$12,IF(B263&lt;=Hypothèses!$C$13,Hypothèses!$G$13,IF(B263&lt;=Hypothèses!$C$14,Hypothèses!$G$14,IF(B263&lt;=Hypothèses!$C$15,Hypothèses!$G$15,IF(B263&lt;=Hypothèses!$C$16,Hypothèses!$G$16,IF(B263&lt;=Hypothèses!$C$17,Hypothèses!$G$17,IF(B263&lt;=Hypothèses!$C$18,Hypothèses!$G$18,E262))))))))))))</f>
        <v>#N/A</v>
      </c>
      <c r="F263" s="82" t="str">
        <f>IF(B263&lt;=Hypothèses!$C$7,Hypothèses!$F$7,IF(B263&lt;=Hypothèses!$C$8,Hypothèses!$F$8,IF(B263&lt;=Hypothèses!$C$9,Hypothèses!$F$9,IF(B263&lt;=Hypothèses!$C$10,Hypothèses!$F$10,IF(B263&lt;=Hypothèses!$C$11,Hypothèses!$F$11,IF(B263&lt;=Hypothèses!$C$12,Hypothèses!$F$12,IF(B263&lt;=Hypothèses!$C$13,Hypothèses!$F$13,IF(B263&lt;=Hypothèses!$C$14,Hypothèses!$F$14,IF(B263&lt;=Hypothèses!$C$15,Hypothèses!$F$15,IF(B263&lt;=Hypothèses!$C$16,Hypothèses!$F$16,IF(B263&lt;=Hypothèses!$C$17,Hypothèses!$F$17,IF(B263&lt;=Hypothèses!$C$18,Hypothèses!$F$18,F262))))))))))))</f>
        <v/>
      </c>
      <c r="G263" s="91">
        <f t="array" ref="G263">INDEX('Coeff EC7'!$U$7:$X$27,
MATCH(Model0.1T!$B$3,'Coeff EC7'!$T$7:$T$27,0),
MATCH(Model0.1T!$D263&amp;Model0.1T!$B$4,
'Coeff EC7'!$U$6:$X$6&amp;
'Coeff EC7'!$U$5:$X$5,0))</f>
        <v>1.4</v>
      </c>
      <c r="H263" s="91">
        <f t="array" ref="H263">INDEX('Coeff EC7'!$Y$7:$AB$27,
MATCH(Model0.1T!$B$3,'Coeff EC7'!$T$7:$T$27,0),
MATCH(Model0.1T!$D263&amp;Model0.1T!$B$4,
'Coeff EC7'!$Y$6:$AB$6&amp;
'Coeff EC7'!$Y$5:$AB$5,0))</f>
        <v>1.7</v>
      </c>
      <c r="I263" s="83">
        <v>0</v>
      </c>
      <c r="J263" s="91" t="e">
        <f t="array" ref="J263">INDEX('Coeff EC7'!$D$33:$Q$33,1,MATCH(D263&amp;E263,'Coeff EC7'!$D$31:$Q$31&amp;'Coeff EC7'!$D$32:$Q$32,0))</f>
        <v>#N/A</v>
      </c>
      <c r="K263" s="91" t="e">
        <f t="array" ref="K263">INDEX('Coeff EC7'!$D$34:$Q$34,1,MATCH(D263&amp;E263,'Coeff EC7'!$D$31:$Q$31&amp;'Coeff EC7'!$D$32:$Q$32,0))</f>
        <v>#N/A</v>
      </c>
      <c r="L263" s="91" t="e">
        <f t="array" ref="L263">INDEX('Coeff EC7'!$D$35:$Q$35,1,MATCH(D263&amp;E263,'Coeff EC7'!$D$31:$Q$31&amp;'Coeff EC7'!$D$32:$Q$32,0))</f>
        <v>#N/A</v>
      </c>
      <c r="M263" s="98" t="e">
        <f t="shared" si="331"/>
        <v>#N/A</v>
      </c>
      <c r="N263" s="99" t="e">
        <f t="array" ref="N263">INDEX('Coeff EC7'!$D$7:$Q$27,MATCH($B$3,'Coeff EC7'!$C$7:$C$27,0),MATCH(D263&amp;E263,'Coeff EC7'!$D$5:$Q$5&amp;'Coeff EC7'!$D$6:$Q$6,0))</f>
        <v>#N/A</v>
      </c>
      <c r="O263" s="99" t="e">
        <f t="array" ref="O263">INDEX('Coeff EC7'!$D$41:$Q$61,MATCH($B$3,'Coeff EC7'!$C$41:$C$61,0),MATCH(D263&amp;E263,'Coeff EC7'!$D$39:$Q$39&amp;'Coeff EC7'!$D$40:$Q$40,0))</f>
        <v>#N/A</v>
      </c>
      <c r="P263" s="30" t="e">
        <f t="shared" si="366"/>
        <v>#N/A</v>
      </c>
      <c r="Q263" s="100" t="e">
        <f t="shared" si="333"/>
        <v>#N/A</v>
      </c>
      <c r="R263" s="86" t="b">
        <f t="shared" si="334"/>
        <v>0</v>
      </c>
      <c r="S263" s="86">
        <f t="shared" si="332"/>
        <v>0.5</v>
      </c>
      <c r="T263" s="86">
        <f t="shared" si="335"/>
        <v>0.5</v>
      </c>
      <c r="U263" s="30" t="e">
        <f t="shared" ca="1" si="367"/>
        <v>#DIV/0!</v>
      </c>
      <c r="V263" s="85" t="str">
        <f>IF(B263&lt;=Hypothèses!$V$7,Hypothèses!$W$7,IF(B263&lt;=Hypothèses!$V$8,Hypothèses!$W$8,IF(B263&lt;=Hypothèses!$V$9,Hypothèses!$W$9,IF(B263&lt;=Hypothèses!$V$10,Hypothèses!$W$10,IF(B263&lt;=Hypothèses!$V$11,Hypothèses!$W$11,IF(B263&lt;=Hypothèses!$V$12,Hypothèses!$W$12,IF(B263&lt;=Hypothèses!$V$13,Hypothèses!$W$13,IF(B263&lt;=Hypothèses!$V$14,Hypothèses!$W$14,IF(B263&lt;=Hypothèses!$V$15,Hypothèses!$W$15,IF(B263&lt;=Hypothèses!$V$16,Hypothèses!$W$16,IF(B263&lt;=Hypothèses!$V$17,Hypothèses!$W$17,IF(B263&lt;=Hypothèses!$V$18,Hypothèses!$W$18,""))))))))))))</f>
        <v/>
      </c>
      <c r="W263" s="87" t="e">
        <f t="shared" ca="1" si="416"/>
        <v>#DIV/0!</v>
      </c>
      <c r="X263" s="88" t="str">
        <f>IF(B263&lt;=Hypothèses!$V$7,Hypothèses!$X$7,IF(B263&lt;=Hypothèses!$V$8,Hypothèses!$X$8,IF(B263&lt;=Hypothèses!$V$9,Hypothèses!$X$9,IF(B263&lt;=Hypothèses!$V$10,Hypothèses!$X$10,IF(B263&lt;=Hypothèses!$V$11,Hypothèses!$X$11,IF(B263&lt;=Hypothèses!$V$12,Hypothèses!$X$12,IF(B263&lt;=Hypothèses!$V$13,Hypothèses!$X$13,IF(B263&lt;=Hypothèses!$V$14,Hypothèses!$X$14,IF(B263&lt;=Hypothèses!$V$15,Hypothèses!$X$15,IF(B263&lt;=Hypothèses!$V$16,Hypothèses!$X$16,IF(B263&lt;=Hypothèses!$U$17,Hypothèses!$W$17,IF(B263&lt;=Hypothèses!$U$18,Hypothèses!$W$18,""))))))))))))</f>
        <v/>
      </c>
      <c r="Y263" s="95" t="e">
        <f t="shared" ca="1" si="336"/>
        <v>#DIV/0!</v>
      </c>
      <c r="Z263" s="101">
        <f t="shared" si="337"/>
        <v>0</v>
      </c>
      <c r="AA263" s="91">
        <f t="shared" si="338"/>
        <v>0</v>
      </c>
      <c r="AB263" s="30" t="e">
        <f t="shared" si="400"/>
        <v>#N/A</v>
      </c>
      <c r="AC263" s="30" t="e">
        <f t="shared" si="401"/>
        <v>#N/A</v>
      </c>
      <c r="AD263" s="31" t="e">
        <f>IF(OR(Hypothèses!$B$4=17,Hypothèses!$B$4=18,Hypothèses!$B$4=19,Hypothèses!$B$4=20),
IF($D263="Pressio.",
IF(OR($E263=3,$E263=1,$E263=4),AC263,AB263),
IF($D263="Pénétro.",
IF(OR($E263=3,$E263=1,$E263=4),AC263,AB263))),IF($D263="Pressio.",
IF($E263=3,AC263,AB263),
IF($D263="Pénétro.",
IF($E263=4,AC263,AB263))))</f>
        <v>#N/A</v>
      </c>
      <c r="AE263" s="31">
        <v>0</v>
      </c>
      <c r="AF263" s="102" t="e">
        <f>IF(NDC!$H$10="Oui",(VLOOKUP($B$3,'Coeff EC7'!$T$39:$X$59,2,0)*AD263+VLOOKUP($B$3,'Coeff EC7'!$T$65:$X$85,2,0)*Model0.1T!AE263)/1.5,PI()*AB$12*$Q263*($B263-$B262)*0.15/10+AF262)</f>
        <v>#N/A</v>
      </c>
      <c r="AG263" s="102" t="e">
        <f>(VLOOKUP($B$3,'Coeff EC7'!$T$39:$X$59,3,0)*AD263+VLOOKUP($B$3,'Coeff EC7'!$T$65:$X$85,3,0)*Model0.1T!AE263)/1.1</f>
        <v>#N/A</v>
      </c>
      <c r="AH263" s="102" t="e">
        <f t="shared" si="368"/>
        <v>#N/A</v>
      </c>
      <c r="AI263" s="102" t="e">
        <f t="shared" si="369"/>
        <v>#N/A</v>
      </c>
      <c r="AJ263" s="414" t="e">
        <f>IF(AND(AF263&gt;NDC!$C$63,AG263&gt;NDC!$C$65,AH263&gt;NDC!$D$73,AI263&gt;NDC!$D$74,$B263&gt;NDC!$H$22-0.1+MIN(3*$AJ$12,1.5)),0,1)</f>
        <v>#N/A</v>
      </c>
      <c r="AK263" s="86" t="b">
        <f t="shared" si="339"/>
        <v>0</v>
      </c>
      <c r="AL263" s="86">
        <f t="shared" si="370"/>
        <v>0.5</v>
      </c>
      <c r="AM263" s="86">
        <f t="shared" si="340"/>
        <v>0.5</v>
      </c>
      <c r="AN263" s="30" t="e">
        <f t="shared" ca="1" si="371"/>
        <v>#DIV/0!</v>
      </c>
      <c r="AO263" s="85" t="e">
        <f ca="1">IF(U263&lt;=Hypothèses!$V$7,Hypothèses!$W$7,IF(U263&lt;=Hypothèses!$V$8,Hypothèses!$W$8,IF(U263&lt;=Hypothèses!$V$9,Hypothèses!$W$9,IF(U263&lt;=Hypothèses!$V$10,Hypothèses!$W$10,IF(U263&lt;=Hypothèses!$V$11,Hypothèses!$W$11,IF(U263&lt;=Hypothèses!$V$12,Hypothèses!$W$12,IF(U263&lt;=Hypothèses!$V$13,Hypothèses!$W$13,IF(U263&lt;=Hypothèses!$V$14,Hypothèses!$W$14,IF(U263&lt;=Hypothèses!$V$15,Hypothèses!$W$15,IF(U263&lt;=Hypothèses!$V$16,Hypothèses!$W$16,IF(U263&lt;=Hypothèses!$V$17,Hypothèses!$W$17,IF(U263&lt;=Hypothèses!$V$18,Hypothèses!$W$18,""))))))))))))</f>
        <v>#DIV/0!</v>
      </c>
      <c r="AP263" s="87" t="e">
        <f t="shared" ca="1" si="417"/>
        <v>#DIV/0!</v>
      </c>
      <c r="AQ263" s="88" t="e">
        <f ca="1">IF(U263&lt;=Hypothèses!$V$7,Hypothèses!$X$7,IF(U263&lt;=Hypothèses!$V$8,Hypothèses!$X$8,IF(U263&lt;=Hypothèses!$V$9,Hypothèses!$X$9,IF(U263&lt;=Hypothèses!$V$10,Hypothèses!$X$10,IF(U263&lt;=Hypothèses!$V$11,Hypothèses!$X$11,IF(U263&lt;=Hypothèses!$V$12,Hypothèses!$X$12,IF(U263&lt;=Hypothèses!$V$13,Hypothèses!$X$13,IF(U263&lt;=Hypothèses!$V$14,Hypothèses!$X$14,IF(U263&lt;=Hypothèses!$V$15,Hypothèses!$X$15,IF(U263&lt;=Hypothèses!$V$16,Hypothèses!$X$16,IF(U263&lt;=Hypothèses!$U$17,Hypothèses!$W$17,IF(U263&lt;=Hypothèses!$U$18,Hypothèses!$W$18,""))))))))))))</f>
        <v>#DIV/0!</v>
      </c>
      <c r="AR263" s="95" t="e">
        <f t="shared" ca="1" si="372"/>
        <v>#DIV/0!</v>
      </c>
      <c r="AS263" s="101">
        <f t="shared" si="424"/>
        <v>0</v>
      </c>
      <c r="AT263" s="91">
        <f t="shared" si="341"/>
        <v>0</v>
      </c>
      <c r="AU263" s="30" t="e">
        <f t="shared" si="402"/>
        <v>#N/A</v>
      </c>
      <c r="AV263" s="30" t="e">
        <f t="shared" si="403"/>
        <v>#N/A</v>
      </c>
      <c r="AW263" s="31" t="e">
        <f>IF(OR(Hypothèses!$B$4=17,Hypothèses!$B$4=18,Hypothèses!$B$4=19,Hypothèses!$B$4=20),
IF($D263="Pressio.",
IF(OR($E263=3,$E263=1,$E263=4),AV263,AU263),
IF($D263="Pénétro.",
IF(OR($E263=3,$E263=1,$E263=4),AV263,AU263))),IF($D263="Pressio.",
IF($E263=3,AV263,AU263),
IF($D263="Pénétro.",
IF($E263=4,AV263,AU263))))</f>
        <v>#N/A</v>
      </c>
      <c r="AX263" s="31">
        <v>0</v>
      </c>
      <c r="AY263" s="102" t="e">
        <f>IF(NDC!$H$10="Oui",(VLOOKUP($B$3,'Coeff EC7'!$T$39:$X$59,2,0)*AW263+VLOOKUP($B$3,'Coeff EC7'!$T$65:$X$85,2,0)*Model0.1T!AX263)/1.5,PI()*AU$12*$Q263*($B263-$B262)*0.15/10+AY262)</f>
        <v>#N/A</v>
      </c>
      <c r="AZ263" s="102" t="e">
        <f>(VLOOKUP($B$3,'Coeff EC7'!$T$39:$X$59,3,0)*AW263+VLOOKUP($B$3,'Coeff EC7'!$T$65:$X$85,3,0)*Model0.1T!AX263)/1.1</f>
        <v>#N/A</v>
      </c>
      <c r="BA263" s="102" t="e">
        <f t="shared" si="373"/>
        <v>#N/A</v>
      </c>
      <c r="BB263" s="102" t="e">
        <f t="shared" si="374"/>
        <v>#N/A</v>
      </c>
      <c r="BC263" s="414" t="e">
        <f>IF(AND(AY263&gt;NDC!$C$63,AZ263&gt;NDC!$C$65,BA263&gt;NDC!$D$73,BB263&gt;NDC!$D$74,$B263&gt;NDC!$H$22-0.1+MIN(3*BC$12,1.5)),0,1)</f>
        <v>#N/A</v>
      </c>
      <c r="BD263" s="86" t="b">
        <f t="shared" si="342"/>
        <v>0</v>
      </c>
      <c r="BE263" s="86">
        <f t="shared" si="375"/>
        <v>0.5</v>
      </c>
      <c r="BF263" s="86">
        <f t="shared" si="343"/>
        <v>0.5</v>
      </c>
      <c r="BG263" s="30" t="e">
        <f t="shared" ca="1" si="376"/>
        <v>#DIV/0!</v>
      </c>
      <c r="BH263" s="85" t="e">
        <f ca="1">IF(AN263&lt;=Hypothèses!$V$7,Hypothèses!$W$7,IF(AN263&lt;=Hypothèses!$V$8,Hypothèses!$W$8,IF(AN263&lt;=Hypothèses!$V$9,Hypothèses!$W$9,IF(AN263&lt;=Hypothèses!$V$10,Hypothèses!$W$10,IF(AN263&lt;=Hypothèses!$V$11,Hypothèses!$W$11,IF(AN263&lt;=Hypothèses!$V$12,Hypothèses!$W$12,IF(AN263&lt;=Hypothèses!$V$13,Hypothèses!$W$13,IF(AN263&lt;=Hypothèses!$V$14,Hypothèses!$W$14,IF(AN263&lt;=Hypothèses!$V$15,Hypothèses!$W$15,IF(AN263&lt;=Hypothèses!$V$16,Hypothèses!$W$16,IF(AN263&lt;=Hypothèses!$V$17,Hypothèses!$W$17,IF(AN263&lt;=Hypothèses!$V$18,Hypothèses!$W$18,""))))))))))))</f>
        <v>#DIV/0!</v>
      </c>
      <c r="BI263" s="87" t="e">
        <f t="shared" ca="1" si="418"/>
        <v>#DIV/0!</v>
      </c>
      <c r="BJ263" s="88" t="e">
        <f ca="1">IF(AN263&lt;=Hypothèses!$V$7,Hypothèses!$X$7,IF(AN263&lt;=Hypothèses!$V$8,Hypothèses!$X$8,IF(AN263&lt;=Hypothèses!$V$9,Hypothèses!$X$9,IF(AN263&lt;=Hypothèses!$V$10,Hypothèses!$X$10,IF(AN263&lt;=Hypothèses!$V$11,Hypothèses!$X$11,IF(AN263&lt;=Hypothèses!$V$12,Hypothèses!$X$12,IF(AN263&lt;=Hypothèses!$V$13,Hypothèses!$X$13,IF(AN263&lt;=Hypothèses!$V$14,Hypothèses!$X$14,IF(AN263&lt;=Hypothèses!$V$15,Hypothèses!$X$15,IF(AN263&lt;=Hypothèses!$V$16,Hypothèses!$X$16,IF(AN263&lt;=Hypothèses!$U$17,Hypothèses!$W$17,IF(AN263&lt;=Hypothèses!$U$18,Hypothèses!$W$18,""))))))))))))</f>
        <v>#DIV/0!</v>
      </c>
      <c r="BK263" s="95" t="e">
        <f t="shared" ca="1" si="377"/>
        <v>#DIV/0!</v>
      </c>
      <c r="BL263" s="101">
        <f t="shared" si="425"/>
        <v>0</v>
      </c>
      <c r="BM263" s="91">
        <f t="shared" si="344"/>
        <v>0</v>
      </c>
      <c r="BN263" s="30" t="e">
        <f t="shared" si="404"/>
        <v>#N/A</v>
      </c>
      <c r="BO263" s="30" t="e">
        <f t="shared" si="405"/>
        <v>#N/A</v>
      </c>
      <c r="BP263" s="31" t="e">
        <f>IF(OR(Hypothèses!$B$4=17,Hypothèses!$B$4=18,Hypothèses!$B$4=19,Hypothèses!$B$4=20),
IF($D263="Pressio.",
IF(OR($E263=3,$E263=1,$E263=4),BO263,BN263),
IF($D263="Pénétro.",
IF(OR($E263=3,$E263=1,$E263=4),BO263,BN263))),IF($D263="Pressio.",
IF($E263=3,BO263,BN263),
IF($D263="Pénétro.",
IF($E263=4,BO263,BN263))))</f>
        <v>#N/A</v>
      </c>
      <c r="BQ263" s="31">
        <v>0</v>
      </c>
      <c r="BR263" s="102" t="e">
        <f>IF(NDC!$H$10="Oui",(VLOOKUP($B$3,'Coeff EC7'!$T$39:$X$59,2,0)*BP263+VLOOKUP($B$3,'Coeff EC7'!$T$65:$X$85,2,0)*Model0.1T!BQ263)/1.5,PI()*BN$12*$Q263*($B263-$B262)*0.15/10+BR262)</f>
        <v>#N/A</v>
      </c>
      <c r="BS263" s="102" t="e">
        <f>(VLOOKUP($B$3,'Coeff EC7'!$T$39:$X$59,3,0)*BP263+VLOOKUP($B$3,'Coeff EC7'!$T$65:$X$85,3,0)*Model0.1T!BQ263)/1.1</f>
        <v>#N/A</v>
      </c>
      <c r="BT263" s="102" t="e">
        <f t="shared" si="378"/>
        <v>#N/A</v>
      </c>
      <c r="BU263" s="102" t="e">
        <f t="shared" si="379"/>
        <v>#N/A</v>
      </c>
      <c r="BV263" s="414" t="e">
        <f>IF(AND(BR263&gt;NDC!$C$63,BS263&gt;NDC!$C$65,BT263&gt;NDC!$D$73,BU263&gt;NDC!$D$74,$B263&gt;NDC!$H$22-0.1+MIN(3*BV$12,1.5)),0,1)</f>
        <v>#N/A</v>
      </c>
      <c r="BW263" s="86" t="b">
        <f t="shared" si="345"/>
        <v>0</v>
      </c>
      <c r="BX263" s="86">
        <f t="shared" si="346"/>
        <v>0.5</v>
      </c>
      <c r="BY263" s="86">
        <f t="shared" si="347"/>
        <v>0.5</v>
      </c>
      <c r="BZ263" s="30" t="e">
        <f t="shared" ca="1" si="380"/>
        <v>#DIV/0!</v>
      </c>
      <c r="CA263" s="85" t="e">
        <f ca="1">IF(BG263&lt;=Hypothèses!$V$7,Hypothèses!$W$7,IF(BG263&lt;=Hypothèses!$V$8,Hypothèses!$W$8,IF(BG263&lt;=Hypothèses!$V$9,Hypothèses!$W$9,IF(BG263&lt;=Hypothèses!$V$10,Hypothèses!$W$10,IF(BG263&lt;=Hypothèses!$V$11,Hypothèses!$W$11,IF(BG263&lt;=Hypothèses!$V$12,Hypothèses!$W$12,IF(BG263&lt;=Hypothèses!$V$13,Hypothèses!$W$13,IF(BG263&lt;=Hypothèses!$V$14,Hypothèses!$W$14,IF(BG263&lt;=Hypothèses!$V$15,Hypothèses!$W$15,IF(BG263&lt;=Hypothèses!$V$16,Hypothèses!$W$16,IF(BG263&lt;=Hypothèses!$V$17,Hypothèses!$W$17,IF(BG263&lt;=Hypothèses!$V$18,Hypothèses!$W$18,""))))))))))))</f>
        <v>#DIV/0!</v>
      </c>
      <c r="CB263" s="87" t="e">
        <f t="shared" ca="1" si="419"/>
        <v>#DIV/0!</v>
      </c>
      <c r="CC263" s="88" t="e">
        <f ca="1">IF(BG263&lt;=Hypothèses!$V$7,Hypothèses!$X$7,IF(BG263&lt;=Hypothèses!$V$8,Hypothèses!$X$8,IF(BG263&lt;=Hypothèses!$V$9,Hypothèses!$X$9,IF(BG263&lt;=Hypothèses!$V$10,Hypothèses!$X$10,IF(BG263&lt;=Hypothèses!$V$11,Hypothèses!$X$11,IF(BG263&lt;=Hypothèses!$V$12,Hypothèses!$X$12,IF(BG263&lt;=Hypothèses!$V$13,Hypothèses!$X$13,IF(BG263&lt;=Hypothèses!$V$14,Hypothèses!$X$14,IF(BG263&lt;=Hypothèses!$V$15,Hypothèses!$X$15,IF(BG263&lt;=Hypothèses!$V$16,Hypothèses!$X$16,IF(BG263&lt;=Hypothèses!$U$17,Hypothèses!$W$17,IF(BG263&lt;=Hypothèses!$U$18,Hypothèses!$W$18,""))))))))))))</f>
        <v>#DIV/0!</v>
      </c>
      <c r="CD263" s="95" t="e">
        <f t="shared" ca="1" si="381"/>
        <v>#DIV/0!</v>
      </c>
      <c r="CE263" s="101">
        <f t="shared" si="426"/>
        <v>0</v>
      </c>
      <c r="CF263" s="91">
        <f t="shared" si="348"/>
        <v>0</v>
      </c>
      <c r="CG263" s="30" t="e">
        <f t="shared" si="406"/>
        <v>#N/A</v>
      </c>
      <c r="CH263" s="30" t="e">
        <f t="shared" si="407"/>
        <v>#N/A</v>
      </c>
      <c r="CI263" s="31" t="e">
        <f>IF(OR(Hypothèses!$B$4=17,Hypothèses!$B$4=18,Hypothèses!$B$4=19,Hypothèses!$B$4=20),
IF($D263="Pressio.",
IF(OR($E263=3,$E263=1,$E263=4),CH263,CG263),
IF($D263="Pénétro.",
IF(OR($E263=3,$E263=1,$E263=4),CH263,CG263))),IF($D263="Pressio.",
IF($E263=3,CH263,CG263),
IF($D263="Pénétro.",
IF($E263=4,CH263,CG263))))</f>
        <v>#N/A</v>
      </c>
      <c r="CJ263" s="31">
        <v>0</v>
      </c>
      <c r="CK263" s="102" t="e">
        <f>IF(NDC!$H$10="Oui",(VLOOKUP($B$3,'Coeff EC7'!$T$39:$X$59,2,0)*CI263+VLOOKUP($B$3,'Coeff EC7'!$T$65:$X$85,2,0)*Model0.1T!CJ263)/1.5,PI()*CG$12*$Q263*($B263-$B262)*0.15/10+CK262)</f>
        <v>#N/A</v>
      </c>
      <c r="CL263" s="102" t="e">
        <f>(VLOOKUP($B$3,'Coeff EC7'!$T$39:$X$59,3,0)*CI263+VLOOKUP($B$3,'Coeff EC7'!$T$65:$X$85,3,0)*Model0.1T!CJ263)/1.1</f>
        <v>#N/A</v>
      </c>
      <c r="CM263" s="102" t="e">
        <f t="shared" si="382"/>
        <v>#N/A</v>
      </c>
      <c r="CN263" s="102" t="e">
        <f t="shared" si="383"/>
        <v>#N/A</v>
      </c>
      <c r="CO263" s="414" t="e">
        <f>IF(AND(CK263&gt;NDC!$C$63,CL263&gt;NDC!$C$65,CM263&gt;NDC!$D$73,CN263&gt;NDC!$D$74,$B263&gt;NDC!$H$22-0.1+MIN(3*CO$12,1.5)),0,1)</f>
        <v>#N/A</v>
      </c>
      <c r="CP263" s="86" t="b">
        <f t="shared" si="349"/>
        <v>0</v>
      </c>
      <c r="CQ263" s="86">
        <f t="shared" si="350"/>
        <v>0.5</v>
      </c>
      <c r="CR263" s="86">
        <f t="shared" si="351"/>
        <v>0.5</v>
      </c>
      <c r="CS263" s="30" t="e">
        <f t="shared" ca="1" si="384"/>
        <v>#DIV/0!</v>
      </c>
      <c r="CT263" s="85" t="e">
        <f ca="1">IF(BZ263&lt;=Hypothèses!$V$7,Hypothèses!$W$7,IF(BZ263&lt;=Hypothèses!$V$8,Hypothèses!$W$8,IF(BZ263&lt;=Hypothèses!$V$9,Hypothèses!$W$9,IF(BZ263&lt;=Hypothèses!$V$10,Hypothèses!$W$10,IF(BZ263&lt;=Hypothèses!$V$11,Hypothèses!$W$11,IF(BZ263&lt;=Hypothèses!$V$12,Hypothèses!$W$12,IF(BZ263&lt;=Hypothèses!$V$13,Hypothèses!$W$13,IF(BZ263&lt;=Hypothèses!$V$14,Hypothèses!$W$14,IF(BZ263&lt;=Hypothèses!$V$15,Hypothèses!$W$15,IF(BZ263&lt;=Hypothèses!$V$16,Hypothèses!$W$16,IF(BZ263&lt;=Hypothèses!$V$17,Hypothèses!$W$17,IF(BZ263&lt;=Hypothèses!$V$18,Hypothèses!$W$18,""))))))))))))</f>
        <v>#DIV/0!</v>
      </c>
      <c r="CU263" s="87" t="e">
        <f t="shared" ca="1" si="420"/>
        <v>#DIV/0!</v>
      </c>
      <c r="CV263" s="88" t="e">
        <f ca="1">IF(BZ263&lt;=Hypothèses!$V$7,Hypothèses!$X$7,IF(BZ263&lt;=Hypothèses!$V$8,Hypothèses!$X$8,IF(BZ263&lt;=Hypothèses!$V$9,Hypothèses!$X$9,IF(BZ263&lt;=Hypothèses!$V$10,Hypothèses!$X$10,IF(BZ263&lt;=Hypothèses!$V$11,Hypothèses!$X$11,IF(BZ263&lt;=Hypothèses!$V$12,Hypothèses!$X$12,IF(BZ263&lt;=Hypothèses!$V$13,Hypothèses!$X$13,IF(BZ263&lt;=Hypothèses!$V$14,Hypothèses!$X$14,IF(BZ263&lt;=Hypothèses!$V$15,Hypothèses!$X$15,IF(BZ263&lt;=Hypothèses!$V$16,Hypothèses!$X$16,IF(BZ263&lt;=Hypothèses!$U$17,Hypothèses!$W$17,IF(BZ263&lt;=Hypothèses!$U$18,Hypothèses!$W$18,""))))))))))))</f>
        <v>#DIV/0!</v>
      </c>
      <c r="CW263" s="95" t="e">
        <f t="shared" ca="1" si="385"/>
        <v>#DIV/0!</v>
      </c>
      <c r="CX263" s="101">
        <f t="shared" si="427"/>
        <v>0</v>
      </c>
      <c r="CY263" s="91">
        <f t="shared" si="352"/>
        <v>0</v>
      </c>
      <c r="CZ263" s="30" t="e">
        <f t="shared" si="408"/>
        <v>#N/A</v>
      </c>
      <c r="DA263" s="30" t="e">
        <f t="shared" si="409"/>
        <v>#N/A</v>
      </c>
      <c r="DB263" s="31" t="e">
        <f>IF(OR(Hypothèses!$B$4=17,Hypothèses!$B$4=18,Hypothèses!$B$4=19,Hypothèses!$B$4=20),
IF($D263="Pressio.",
IF(OR($E263=3,$E263=1,$E263=4),DA263,CZ263),
IF($D263="Pénétro.",
IF(OR($E263=3,$E263=1,$E263=4),DA263,CZ263))),IF($D263="Pressio.",
IF($E263=3,DA263,CZ263),
IF($D263="Pénétro.",
IF($E263=4,DA263,CZ263))))</f>
        <v>#N/A</v>
      </c>
      <c r="DC263" s="31">
        <v>0</v>
      </c>
      <c r="DD263" s="102" t="e">
        <f>IF(NDC!$H$10="Oui",(VLOOKUP($B$3,'Coeff EC7'!$T$39:$X$59,2,0)*DB263+VLOOKUP($B$3,'Coeff EC7'!$T$65:$X$85,2,0)*Model0.1T!DC263)/1.5,PI()*CZ$12*$Q263*($B263-$B262)*0.15/10+DD262)</f>
        <v>#N/A</v>
      </c>
      <c r="DE263" s="102" t="e">
        <f>(VLOOKUP($B$3,'Coeff EC7'!$T$39:$X$59,3,0)*DB263+VLOOKUP($B$3,'Coeff EC7'!$T$65:$X$85,3,0)*Model0.1T!DC263)/1.1</f>
        <v>#N/A</v>
      </c>
      <c r="DF263" s="102" t="e">
        <f t="shared" si="386"/>
        <v>#N/A</v>
      </c>
      <c r="DG263" s="102" t="e">
        <f t="shared" si="387"/>
        <v>#N/A</v>
      </c>
      <c r="DH263" s="414" t="e">
        <f>IF(AND(DD263&gt;NDC!$C$63,DE263&gt;NDC!$C$65,DF263&gt;NDC!$D$73,DG263&gt;NDC!$D$74,$B263&gt;NDC!$H$22-0.1+MIN(3*DH$12,1.5)),0,1)</f>
        <v>#N/A</v>
      </c>
      <c r="DI263" s="86" t="b">
        <f t="shared" si="353"/>
        <v>0</v>
      </c>
      <c r="DJ263" s="86">
        <f t="shared" si="354"/>
        <v>0.5</v>
      </c>
      <c r="DK263" s="86">
        <f t="shared" si="355"/>
        <v>0.5</v>
      </c>
      <c r="DL263" s="30" t="e">
        <f t="shared" ca="1" si="388"/>
        <v>#DIV/0!</v>
      </c>
      <c r="DM263" s="85" t="e">
        <f ca="1">IF(CS263&lt;=Hypothèses!$V$7,Hypothèses!$W$7,IF(CS263&lt;=Hypothèses!$V$8,Hypothèses!$W$8,IF(CS263&lt;=Hypothèses!$V$9,Hypothèses!$W$9,IF(CS263&lt;=Hypothèses!$V$10,Hypothèses!$W$10,IF(CS263&lt;=Hypothèses!$V$11,Hypothèses!$W$11,IF(CS263&lt;=Hypothèses!$V$12,Hypothèses!$W$12,IF(CS263&lt;=Hypothèses!$V$13,Hypothèses!$W$13,IF(CS263&lt;=Hypothèses!$V$14,Hypothèses!$W$14,IF(CS263&lt;=Hypothèses!$V$15,Hypothèses!$W$15,IF(CS263&lt;=Hypothèses!$V$16,Hypothèses!$W$16,IF(CS263&lt;=Hypothèses!$V$17,Hypothèses!$W$17,IF(CS263&lt;=Hypothèses!$V$18,Hypothèses!$W$18,""))))))))))))</f>
        <v>#DIV/0!</v>
      </c>
      <c r="DN263" s="87" t="e">
        <f t="shared" ca="1" si="421"/>
        <v>#DIV/0!</v>
      </c>
      <c r="DO263" s="88" t="e">
        <f ca="1">IF(CS263&lt;=Hypothèses!$V$7,Hypothèses!$X$7,IF(CS263&lt;=Hypothèses!$V$8,Hypothèses!$X$8,IF(CS263&lt;=Hypothèses!$V$9,Hypothèses!$X$9,IF(CS263&lt;=Hypothèses!$V$10,Hypothèses!$X$10,IF(CS263&lt;=Hypothèses!$V$11,Hypothèses!$X$11,IF(CS263&lt;=Hypothèses!$V$12,Hypothèses!$X$12,IF(CS263&lt;=Hypothèses!$V$13,Hypothèses!$X$13,IF(CS263&lt;=Hypothèses!$V$14,Hypothèses!$X$14,IF(CS263&lt;=Hypothèses!$V$15,Hypothèses!$X$15,IF(CS263&lt;=Hypothèses!$V$16,Hypothèses!$X$16,IF(CS263&lt;=Hypothèses!$U$17,Hypothèses!$W$17,IF(CS263&lt;=Hypothèses!$U$18,Hypothèses!$W$18,""))))))))))))</f>
        <v>#DIV/0!</v>
      </c>
      <c r="DP263" s="95" t="e">
        <f t="shared" ca="1" si="389"/>
        <v>#DIV/0!</v>
      </c>
      <c r="DQ263" s="101">
        <f t="shared" si="428"/>
        <v>0</v>
      </c>
      <c r="DR263" s="91">
        <f t="shared" si="356"/>
        <v>0</v>
      </c>
      <c r="DS263" s="30" t="e">
        <f t="shared" si="410"/>
        <v>#N/A</v>
      </c>
      <c r="DT263" s="30" t="e">
        <f t="shared" si="411"/>
        <v>#N/A</v>
      </c>
      <c r="DU263" s="31" t="e">
        <f>IF(OR(Hypothèses!$B$4=17,Hypothèses!$B$4=18,Hypothèses!$B$4=19,Hypothèses!$B$4=20),
IF($D263="Pressio.",
IF(OR($E263=3,$E263=1,$E263=4),DT263,DS263),
IF($D263="Pénétro.",
IF(OR($E263=3,$E263=1,$E263=4),DT263,DS263))),IF($D263="Pressio.",
IF($E263=3,DT263,DS263),
IF($D263="Pénétro.",
IF($E263=4,DT263,DS263))))</f>
        <v>#N/A</v>
      </c>
      <c r="DV263" s="31">
        <v>0</v>
      </c>
      <c r="DW263" s="102" t="e">
        <f>IF(NDC!$H$10="Oui",(VLOOKUP($B$3,'Coeff EC7'!$T$39:$X$59,2,0)*DU263+VLOOKUP($B$3,'Coeff EC7'!$T$65:$X$85,2,0)*Model0.1T!DV263)/1.5,PI()*DS$12*$Q263*($B263-$B262)*0.15/10+DW262)</f>
        <v>#N/A</v>
      </c>
      <c r="DX263" s="102" t="e">
        <f>(VLOOKUP($B$3,'Coeff EC7'!$T$39:$X$59,3,0)*DU263+VLOOKUP($B$3,'Coeff EC7'!$T$65:$X$85,3,0)*Model0.1T!DV263)/1.1</f>
        <v>#N/A</v>
      </c>
      <c r="DY263" s="102" t="e">
        <f t="shared" si="390"/>
        <v>#N/A</v>
      </c>
      <c r="DZ263" s="102" t="e">
        <f t="shared" si="391"/>
        <v>#N/A</v>
      </c>
      <c r="EA263" s="414" t="e">
        <f>IF(AND(DW263&gt;NDC!$C$63,DX263&gt;NDC!$C$65,DY263&gt;NDC!$D$73,DZ263&gt;NDC!$D$74,$B263&gt;NDC!$H$22-0.1+MIN(3*EA$12,1.5)),0,1)</f>
        <v>#N/A</v>
      </c>
      <c r="EB263" s="86" t="b">
        <f t="shared" si="357"/>
        <v>0</v>
      </c>
      <c r="EC263" s="418">
        <f t="shared" si="358"/>
        <v>0.51</v>
      </c>
      <c r="ED263" s="86">
        <f t="shared" si="359"/>
        <v>0.51</v>
      </c>
      <c r="EE263" s="30" t="e">
        <f t="shared" ca="1" si="392"/>
        <v>#DIV/0!</v>
      </c>
      <c r="EF263" s="85" t="e">
        <f ca="1">IF(DL263&lt;=Hypothèses!$V$7,Hypothèses!$W$7,IF(DL263&lt;=Hypothèses!$V$8,Hypothèses!$W$8,IF(DL263&lt;=Hypothèses!$V$9,Hypothèses!$W$9,IF(DL263&lt;=Hypothèses!$V$10,Hypothèses!$W$10,IF(DL263&lt;=Hypothèses!$V$11,Hypothèses!$W$11,IF(DL263&lt;=Hypothèses!$V$12,Hypothèses!$W$12,IF(DL263&lt;=Hypothèses!$V$13,Hypothèses!$W$13,IF(DL263&lt;=Hypothèses!$V$14,Hypothèses!$W$14,IF(DL263&lt;=Hypothèses!$V$15,Hypothèses!$W$15,IF(DL263&lt;=Hypothèses!$V$16,Hypothèses!$W$16,IF(DL263&lt;=Hypothèses!$V$17,Hypothèses!$W$17,IF(DL263&lt;=Hypothèses!$V$18,Hypothèses!$W$18,""))))))))))))</f>
        <v>#DIV/0!</v>
      </c>
      <c r="EG263" s="87" t="e">
        <f t="shared" ca="1" si="422"/>
        <v>#DIV/0!</v>
      </c>
      <c r="EH263" s="88" t="e">
        <f ca="1">IF(DL263&lt;=Hypothèses!$V$7,Hypothèses!$X$7,IF(DL263&lt;=Hypothèses!$V$8,Hypothèses!$X$8,IF(DL263&lt;=Hypothèses!$V$9,Hypothèses!$X$9,IF(DL263&lt;=Hypothèses!$V$10,Hypothèses!$X$10,IF(DL263&lt;=Hypothèses!$V$11,Hypothèses!$X$11,IF(DL263&lt;=Hypothèses!$V$12,Hypothèses!$X$12,IF(DL263&lt;=Hypothèses!$V$13,Hypothèses!$X$13,IF(DL263&lt;=Hypothèses!$V$14,Hypothèses!$X$14,IF(DL263&lt;=Hypothèses!$V$15,Hypothèses!$X$15,IF(DL263&lt;=Hypothèses!$V$16,Hypothèses!$X$16,IF(DL263&lt;=Hypothèses!$U$17,Hypothèses!$W$17,IF(DL263&lt;=Hypothèses!$U$18,Hypothèses!$W$18,""))))))))))))</f>
        <v>#DIV/0!</v>
      </c>
      <c r="EI263" s="95" t="e">
        <f t="shared" ca="1" si="393"/>
        <v>#DIV/0!</v>
      </c>
      <c r="EJ263" s="101">
        <f t="shared" si="429"/>
        <v>0</v>
      </c>
      <c r="EK263" s="91">
        <f t="shared" si="360"/>
        <v>0</v>
      </c>
      <c r="EL263" s="30" t="e">
        <f t="shared" si="412"/>
        <v>#N/A</v>
      </c>
      <c r="EM263" s="30" t="e">
        <f t="shared" si="413"/>
        <v>#N/A</v>
      </c>
      <c r="EN263" s="31" t="e">
        <f>IF(OR(Hypothèses!$B$4=17,Hypothèses!$B$4=18,Hypothèses!$B$4=19,Hypothèses!$B$4=20),
IF($D263="Pressio.",
IF(OR($E263=3,$E263=1,$E263=4),EM263,EL263),
IF($D263="Pénétro.",
IF(OR($E263=3,$E263=1,$E263=4),EM263,EL263))),IF($D263="Pressio.",
IF($E263=3,EM263,EL263),
IF($D263="Pénétro.",
IF($E263=4,EM263,EL263))))</f>
        <v>#N/A</v>
      </c>
      <c r="EO263" s="31">
        <v>0</v>
      </c>
      <c r="EP263" s="102" t="e">
        <f>IF(NDC!$H$10="Oui",(VLOOKUP($B$3,'Coeff EC7'!$T$39:$X$59,2,0)*EN263+VLOOKUP($B$3,'Coeff EC7'!$T$65:$X$85,2,0)*Model0.1T!EO263)/1.5,PI()*EL$12*$Q263*($B263-$B262)*0.15/10+EP262)</f>
        <v>#N/A</v>
      </c>
      <c r="EQ263" s="102" t="e">
        <f>(VLOOKUP($B$3,'Coeff EC7'!$T$39:$X$59,3,0)*EN263+VLOOKUP($B$3,'Coeff EC7'!$T$65:$X$85,3,0)*Model0.1T!EO263)/1.1</f>
        <v>#N/A</v>
      </c>
      <c r="ER263" s="102" t="e">
        <f t="shared" si="394"/>
        <v>#N/A</v>
      </c>
      <c r="ES263" s="102" t="e">
        <f t="shared" si="395"/>
        <v>#N/A</v>
      </c>
      <c r="ET263" s="414" t="e">
        <f>IF(AND(EP263&gt;NDC!$C$63,EQ263&gt;NDC!$C$65,ER263&gt;NDC!$D$73,ES263&gt;NDC!$D$74,$B263&gt;NDC!$H$22-0.1+MIN(3*ET$12,1.5)),0,1)</f>
        <v>#N/A</v>
      </c>
      <c r="EU263" s="86" t="b">
        <f t="shared" si="361"/>
        <v>0</v>
      </c>
      <c r="EV263" s="86">
        <f t="shared" si="362"/>
        <v>0.61</v>
      </c>
      <c r="EW263" s="86">
        <f t="shared" si="363"/>
        <v>0.61</v>
      </c>
      <c r="EX263" s="30" t="e">
        <f t="shared" ca="1" si="396"/>
        <v>#DIV/0!</v>
      </c>
      <c r="EY263" s="85" t="e">
        <f ca="1">IF(EE263&lt;=Hypothèses!$V$7,Hypothèses!$W$7,IF(EE263&lt;=Hypothèses!$V$8,Hypothèses!$W$8,IF(EE263&lt;=Hypothèses!$V$9,Hypothèses!$W$9,IF(EE263&lt;=Hypothèses!$V$10,Hypothèses!$W$10,IF(EE263&lt;=Hypothèses!$V$11,Hypothèses!$W$11,IF(EE263&lt;=Hypothèses!$V$12,Hypothèses!$W$12,IF(EE263&lt;=Hypothèses!$V$13,Hypothèses!$W$13,IF(EE263&lt;=Hypothèses!$V$14,Hypothèses!$W$14,IF(EE263&lt;=Hypothèses!$V$15,Hypothèses!$W$15,IF(EE263&lt;=Hypothèses!$V$16,Hypothèses!$W$16,IF(EE263&lt;=Hypothèses!$V$17,Hypothèses!$W$17,IF(EE263&lt;=Hypothèses!$V$18,Hypothèses!$W$18,""))))))))))))</f>
        <v>#DIV/0!</v>
      </c>
      <c r="EZ263" s="87" t="e">
        <f t="shared" ca="1" si="423"/>
        <v>#DIV/0!</v>
      </c>
      <c r="FA263" s="88" t="e">
        <f ca="1">IF(EE263&lt;=Hypothèses!$V$7,Hypothèses!$X$7,IF(EE263&lt;=Hypothèses!$V$8,Hypothèses!$X$8,IF(EE263&lt;=Hypothèses!$V$9,Hypothèses!$X$9,IF(EE263&lt;=Hypothèses!$V$10,Hypothèses!$X$10,IF(EE263&lt;=Hypothèses!$V$11,Hypothèses!$X$11,IF(EE263&lt;=Hypothèses!$V$12,Hypothèses!$X$12,IF(EE263&lt;=Hypothèses!$V$13,Hypothèses!$X$13,IF(EE263&lt;=Hypothèses!$V$14,Hypothèses!$X$14,IF(EE263&lt;=Hypothèses!$V$15,Hypothèses!$X$15,IF(EE263&lt;=Hypothèses!$V$16,Hypothèses!$X$16,IF(EE263&lt;=Hypothèses!$U$17,Hypothèses!$W$17,IF(EE263&lt;=Hypothèses!$U$18,Hypothèses!$W$18,""))))))))))))</f>
        <v>#DIV/0!</v>
      </c>
      <c r="FB263" s="95" t="e">
        <f t="shared" ca="1" si="397"/>
        <v>#DIV/0!</v>
      </c>
      <c r="FC263" s="101">
        <f t="shared" si="430"/>
        <v>0</v>
      </c>
      <c r="FD263" s="91">
        <f t="shared" si="364"/>
        <v>0</v>
      </c>
      <c r="FE263" s="30" t="e">
        <f t="shared" si="414"/>
        <v>#N/A</v>
      </c>
      <c r="FF263" s="30" t="e">
        <f t="shared" si="415"/>
        <v>#N/A</v>
      </c>
      <c r="FG263" s="31" t="e">
        <f>IF(OR(Hypothèses!$B$4=17,Hypothèses!$B$4=18,Hypothèses!$B$4=19,Hypothèses!$B$4=20),
IF($D263="Pressio.",
IF(OR($E263=3,$E263=1,$E263=4),FF263,FE263),
IF($D263="Pénétro.",
IF(OR($E263=3,$E263=1,$E263=4),FF263,FE263))),IF($D263="Pressio.",
IF($E263=3,FF263,FE263),
IF($D263="Pénétro.",
IF($E263=4,FF263,FE263))))</f>
        <v>#N/A</v>
      </c>
      <c r="FH263" s="31">
        <v>0</v>
      </c>
      <c r="FI263" s="102" t="e">
        <f>IF(NDC!$H$10="Oui",(VLOOKUP($B$3,'Coeff EC7'!$T$39:$X$59,2,0)*FG263+VLOOKUP($B$3,'Coeff EC7'!$T$65:$X$85,2,0)*Model0.1T!FH263)/1.5,PI()*FE$12*$Q263*($B263-$B262)*0.15/10+FI262)</f>
        <v>#N/A</v>
      </c>
      <c r="FJ263" s="102" t="e">
        <f>(VLOOKUP($B$3,'Coeff EC7'!$T$39:$X$59,3,0)*FG263+VLOOKUP($B$3,'Coeff EC7'!$T$65:$X$85,3,0)*Model0.1T!FH263)/1.1</f>
        <v>#N/A</v>
      </c>
      <c r="FK263" s="102" t="e">
        <f t="shared" si="398"/>
        <v>#N/A</v>
      </c>
      <c r="FL263" s="102" t="e">
        <f t="shared" si="399"/>
        <v>#N/A</v>
      </c>
      <c r="FM263" s="414" t="e">
        <f>IF(AND(FI263&gt;NDC!$C$63,FJ263&gt;NDC!$C$65,FK263&gt;NDC!$D$73,FL263&gt;NDC!$D$74,$B263&gt;NDC!$H$22-0.1+MIN(3*FM$12,1.5)),0,1)</f>
        <v>#N/A</v>
      </c>
    </row>
    <row r="264" spans="1:169">
      <c r="A264" s="96">
        <f t="shared" si="365"/>
        <v>74.900000000001427</v>
      </c>
      <c r="B264" s="97">
        <v>25.1</v>
      </c>
      <c r="C264" s="81">
        <f>IF(B264&lt;=Hypothèses!$C$7,Hypothèses!$A$7,IF(B264&lt;=Hypothèses!$C$8,Hypothèses!$A$8,IF(B264&lt;=Hypothèses!$C$9,Hypothèses!$A$9,IF(B264&lt;=Hypothèses!$C$10,Hypothèses!$A$10,IF(B264&lt;=Hypothèses!$C$11,Hypothèses!$A$11,IF(B264&lt;=Hypothèses!$C$12,Hypothèses!$A$12,IF(B264&lt;=Hypothèses!$C$13,Hypothèses!$A$13,IF(B264&lt;=Hypothèses!$C$14,Hypothèses!$A$14,IF(B264&lt;=Hypothèses!$C$15,Hypothèses!$A$15,IF(B264&lt;=Hypothèses!$C$16,Hypothèses!$A$16,IF(B264&lt;=Hypothèses!$C$17,Hypothèses!$A$17,IF(B264&lt;=Hypothèses!$C$18,Hypothèses!$A$18,C263))))))))))))</f>
        <v>11</v>
      </c>
      <c r="D264" s="82" t="str">
        <f>IF(B264&lt;=Hypothèses!$C$7,Hypothèses!$R$7,IF(B264&lt;=Hypothèses!$C$8,Hypothèses!$R$8,IF(B264&lt;=Hypothèses!$C$9,Hypothèses!$R$9,IF(B264&lt;=Hypothèses!$C$10,Hypothèses!$R$10,IF(B264&lt;=Hypothèses!$C$11,Hypothèses!$R$11,IF(B264&lt;=Hypothèses!$C$12,Hypothèses!$R$12,IF(B264&lt;=Hypothèses!$C$13,Hypothèses!$R$13,IF(B264&lt;=Hypothèses!$C$14,Hypothèses!$R$14,IF(B264&lt;=Hypothèses!$C$15,Hypothèses!$R$15,IF(B264&lt;=Hypothèses!$C$16,Hypothèses!$R$16,IF(B264&lt;=Hypothèses!$C$17,Hypothèses!$R$17,IF(B264&lt;=Hypothèses!$C$18,Hypothèses!$R$18,D263))))))))))))</f>
        <v>Pressio.</v>
      </c>
      <c r="E264" s="82" t="e">
        <f>IF(B264&lt;=Hypothèses!$C$7,Hypothèses!$G$7,IF(B264&lt;=Hypothèses!$C$8,Hypothèses!$G$8,IF(B264&lt;=Hypothèses!$C$9,Hypothèses!$G$9,IF(B264&lt;=Hypothèses!$C$10,Hypothèses!$G$10,IF(B264&lt;=Hypothèses!$C$11,Hypothèses!$G$11,IF(B264&lt;=Hypothèses!$C$12,Hypothèses!$G$12,IF(B264&lt;=Hypothèses!$C$13,Hypothèses!$G$13,IF(B264&lt;=Hypothèses!$C$14,Hypothèses!$G$14,IF(B264&lt;=Hypothèses!$C$15,Hypothèses!$G$15,IF(B264&lt;=Hypothèses!$C$16,Hypothèses!$G$16,IF(B264&lt;=Hypothèses!$C$17,Hypothèses!$G$17,IF(B264&lt;=Hypothèses!$C$18,Hypothèses!$G$18,E263))))))))))))</f>
        <v>#N/A</v>
      </c>
      <c r="F264" s="82" t="str">
        <f>IF(B264&lt;=Hypothèses!$C$7,Hypothèses!$F$7,IF(B264&lt;=Hypothèses!$C$8,Hypothèses!$F$8,IF(B264&lt;=Hypothèses!$C$9,Hypothèses!$F$9,IF(B264&lt;=Hypothèses!$C$10,Hypothèses!$F$10,IF(B264&lt;=Hypothèses!$C$11,Hypothèses!$F$11,IF(B264&lt;=Hypothèses!$C$12,Hypothèses!$F$12,IF(B264&lt;=Hypothèses!$C$13,Hypothèses!$F$13,IF(B264&lt;=Hypothèses!$C$14,Hypothèses!$F$14,IF(B264&lt;=Hypothèses!$C$15,Hypothèses!$F$15,IF(B264&lt;=Hypothèses!$C$16,Hypothèses!$F$16,IF(B264&lt;=Hypothèses!$C$17,Hypothèses!$F$17,IF(B264&lt;=Hypothèses!$C$18,Hypothèses!$F$18,F263))))))))))))</f>
        <v/>
      </c>
      <c r="G264" s="91">
        <f t="array" ref="G264">INDEX('Coeff EC7'!$U$7:$X$27,
MATCH(Model0.1T!$B$3,'Coeff EC7'!$T$7:$T$27,0),
MATCH(Model0.1T!$D264&amp;Model0.1T!$B$4,
'Coeff EC7'!$U$6:$X$6&amp;
'Coeff EC7'!$U$5:$X$5,0))</f>
        <v>1.4</v>
      </c>
      <c r="H264" s="91">
        <f t="array" ref="H264">INDEX('Coeff EC7'!$Y$7:$AB$27,
MATCH(Model0.1T!$B$3,'Coeff EC7'!$T$7:$T$27,0),
MATCH(Model0.1T!$D264&amp;Model0.1T!$B$4,
'Coeff EC7'!$Y$6:$AB$6&amp;
'Coeff EC7'!$Y$5:$AB$5,0))</f>
        <v>1.7</v>
      </c>
      <c r="I264" s="83">
        <v>0</v>
      </c>
      <c r="J264" s="91" t="e">
        <f t="array" ref="J264">INDEX('Coeff EC7'!$D$33:$Q$33,1,MATCH(D264&amp;E264,'Coeff EC7'!$D$31:$Q$31&amp;'Coeff EC7'!$D$32:$Q$32,0))</f>
        <v>#N/A</v>
      </c>
      <c r="K264" s="91" t="e">
        <f t="array" ref="K264">INDEX('Coeff EC7'!$D$34:$Q$34,1,MATCH(D264&amp;E264,'Coeff EC7'!$D$31:$Q$31&amp;'Coeff EC7'!$D$32:$Q$32,0))</f>
        <v>#N/A</v>
      </c>
      <c r="L264" s="91" t="e">
        <f t="array" ref="L264">INDEX('Coeff EC7'!$D$35:$Q$35,1,MATCH(D264&amp;E264,'Coeff EC7'!$D$31:$Q$31&amp;'Coeff EC7'!$D$32:$Q$32,0))</f>
        <v>#N/A</v>
      </c>
      <c r="M264" s="98" t="e">
        <f t="shared" si="331"/>
        <v>#N/A</v>
      </c>
      <c r="N264" s="99" t="e">
        <f t="array" ref="N264">INDEX('Coeff EC7'!$D$7:$Q$27,MATCH($B$3,'Coeff EC7'!$C$7:$C$27,0),MATCH(D264&amp;E264,'Coeff EC7'!$D$5:$Q$5&amp;'Coeff EC7'!$D$6:$Q$6,0))</f>
        <v>#N/A</v>
      </c>
      <c r="O264" s="99" t="e">
        <f t="array" ref="O264">INDEX('Coeff EC7'!$D$41:$Q$61,MATCH($B$3,'Coeff EC7'!$C$41:$C$61,0),MATCH(D264&amp;E264,'Coeff EC7'!$D$39:$Q$39&amp;'Coeff EC7'!$D$40:$Q$40,0))</f>
        <v>#N/A</v>
      </c>
      <c r="P264" s="30" t="e">
        <f t="shared" si="366"/>
        <v>#N/A</v>
      </c>
      <c r="Q264" s="100" t="e">
        <f t="shared" si="333"/>
        <v>#N/A</v>
      </c>
      <c r="R264" s="86" t="b">
        <f t="shared" si="334"/>
        <v>0</v>
      </c>
      <c r="S264" s="86">
        <f t="shared" si="332"/>
        <v>0.5</v>
      </c>
      <c r="T264" s="86">
        <f t="shared" si="335"/>
        <v>0.5</v>
      </c>
      <c r="U264" s="30" t="e">
        <f t="shared" ca="1" si="367"/>
        <v>#DIV/0!</v>
      </c>
      <c r="V264" s="85" t="str">
        <f>IF(B264&lt;=Hypothèses!$V$7,Hypothèses!$W$7,IF(B264&lt;=Hypothèses!$V$8,Hypothèses!$W$8,IF(B264&lt;=Hypothèses!$V$9,Hypothèses!$W$9,IF(B264&lt;=Hypothèses!$V$10,Hypothèses!$W$10,IF(B264&lt;=Hypothèses!$V$11,Hypothèses!$W$11,IF(B264&lt;=Hypothèses!$V$12,Hypothèses!$W$12,IF(B264&lt;=Hypothèses!$V$13,Hypothèses!$W$13,IF(B264&lt;=Hypothèses!$V$14,Hypothèses!$W$14,IF(B264&lt;=Hypothèses!$V$15,Hypothèses!$W$15,IF(B264&lt;=Hypothèses!$V$16,Hypothèses!$W$16,IF(B264&lt;=Hypothèses!$V$17,Hypothèses!$W$17,IF(B264&lt;=Hypothèses!$V$18,Hypothèses!$W$18,""))))))))))))</f>
        <v/>
      </c>
      <c r="W264" s="87" t="e">
        <f t="shared" ca="1" si="416"/>
        <v>#DIV/0!</v>
      </c>
      <c r="X264" s="88" t="str">
        <f>IF(B264&lt;=Hypothèses!$V$7,Hypothèses!$X$7,IF(B264&lt;=Hypothèses!$V$8,Hypothèses!$X$8,IF(B264&lt;=Hypothèses!$V$9,Hypothèses!$X$9,IF(B264&lt;=Hypothèses!$V$10,Hypothèses!$X$10,IF(B264&lt;=Hypothèses!$V$11,Hypothèses!$X$11,IF(B264&lt;=Hypothèses!$V$12,Hypothèses!$X$12,IF(B264&lt;=Hypothèses!$V$13,Hypothèses!$X$13,IF(B264&lt;=Hypothèses!$V$14,Hypothèses!$X$14,IF(B264&lt;=Hypothèses!$V$15,Hypothèses!$X$15,IF(B264&lt;=Hypothèses!$V$16,Hypothèses!$X$16,IF(B264&lt;=Hypothèses!$U$17,Hypothèses!$W$17,IF(B264&lt;=Hypothèses!$U$18,Hypothèses!$W$18,""))))))))))))</f>
        <v/>
      </c>
      <c r="Y264" s="95" t="e">
        <f t="shared" ca="1" si="336"/>
        <v>#DIV/0!</v>
      </c>
      <c r="Z264" s="101">
        <f t="shared" si="337"/>
        <v>0</v>
      </c>
      <c r="AA264" s="91">
        <f t="shared" si="338"/>
        <v>0</v>
      </c>
      <c r="AB264" s="30" t="e">
        <f t="shared" si="400"/>
        <v>#N/A</v>
      </c>
      <c r="AC264" s="30" t="e">
        <f t="shared" si="401"/>
        <v>#N/A</v>
      </c>
      <c r="AD264" s="31" t="e">
        <f>IF(OR(Hypothèses!$B$4=17,Hypothèses!$B$4=18,Hypothèses!$B$4=19,Hypothèses!$B$4=20),
IF($D264="Pressio.",
IF(OR($E264=3,$E264=1,$E264=4),AC264,AB264),
IF($D264="Pénétro.",
IF(OR($E264=3,$E264=1,$E264=4),AC264,AB264))),IF($D264="Pressio.",
IF($E264=3,AC264,AB264),
IF($D264="Pénétro.",
IF($E264=4,AC264,AB264))))</f>
        <v>#N/A</v>
      </c>
      <c r="AE264" s="31">
        <v>0</v>
      </c>
      <c r="AF264" s="102" t="e">
        <f>IF(NDC!$H$10="Oui",(VLOOKUP($B$3,'Coeff EC7'!$T$39:$X$59,2,0)*AD264+VLOOKUP($B$3,'Coeff EC7'!$T$65:$X$85,2,0)*Model0.1T!AE264)/1.5,PI()*AB$12*$Q264*($B264-$B263)*0.15/10+AF263)</f>
        <v>#N/A</v>
      </c>
      <c r="AG264" s="102" t="e">
        <f>(VLOOKUP($B$3,'Coeff EC7'!$T$39:$X$59,3,0)*AD264+VLOOKUP($B$3,'Coeff EC7'!$T$65:$X$85,3,0)*Model0.1T!AE264)/1.1</f>
        <v>#N/A</v>
      </c>
      <c r="AH264" s="102" t="e">
        <f t="shared" si="368"/>
        <v>#N/A</v>
      </c>
      <c r="AI264" s="102" t="e">
        <f t="shared" si="369"/>
        <v>#N/A</v>
      </c>
      <c r="AJ264" s="414" t="e">
        <f>IF(AND(AF264&gt;NDC!$C$63,AG264&gt;NDC!$C$65,AH264&gt;NDC!$D$73,AI264&gt;NDC!$D$74,$B264&gt;NDC!$H$22-0.1+MIN(3*$AJ$12,1.5)),0,1)</f>
        <v>#N/A</v>
      </c>
      <c r="AK264" s="86" t="b">
        <f t="shared" si="339"/>
        <v>0</v>
      </c>
      <c r="AL264" s="86">
        <f t="shared" si="370"/>
        <v>0.5</v>
      </c>
      <c r="AM264" s="86">
        <f t="shared" si="340"/>
        <v>0.5</v>
      </c>
      <c r="AN264" s="30" t="e">
        <f t="shared" ca="1" si="371"/>
        <v>#DIV/0!</v>
      </c>
      <c r="AO264" s="85" t="e">
        <f ca="1">IF(U264&lt;=Hypothèses!$V$7,Hypothèses!$W$7,IF(U264&lt;=Hypothèses!$V$8,Hypothèses!$W$8,IF(U264&lt;=Hypothèses!$V$9,Hypothèses!$W$9,IF(U264&lt;=Hypothèses!$V$10,Hypothèses!$W$10,IF(U264&lt;=Hypothèses!$V$11,Hypothèses!$W$11,IF(U264&lt;=Hypothèses!$V$12,Hypothèses!$W$12,IF(U264&lt;=Hypothèses!$V$13,Hypothèses!$W$13,IF(U264&lt;=Hypothèses!$V$14,Hypothèses!$W$14,IF(U264&lt;=Hypothèses!$V$15,Hypothèses!$W$15,IF(U264&lt;=Hypothèses!$V$16,Hypothèses!$W$16,IF(U264&lt;=Hypothèses!$V$17,Hypothèses!$W$17,IF(U264&lt;=Hypothèses!$V$18,Hypothèses!$W$18,""))))))))))))</f>
        <v>#DIV/0!</v>
      </c>
      <c r="AP264" s="87" t="e">
        <f t="shared" ca="1" si="417"/>
        <v>#DIV/0!</v>
      </c>
      <c r="AQ264" s="88" t="e">
        <f ca="1">IF(U264&lt;=Hypothèses!$V$7,Hypothèses!$X$7,IF(U264&lt;=Hypothèses!$V$8,Hypothèses!$X$8,IF(U264&lt;=Hypothèses!$V$9,Hypothèses!$X$9,IF(U264&lt;=Hypothèses!$V$10,Hypothèses!$X$10,IF(U264&lt;=Hypothèses!$V$11,Hypothèses!$X$11,IF(U264&lt;=Hypothèses!$V$12,Hypothèses!$X$12,IF(U264&lt;=Hypothèses!$V$13,Hypothèses!$X$13,IF(U264&lt;=Hypothèses!$V$14,Hypothèses!$X$14,IF(U264&lt;=Hypothèses!$V$15,Hypothèses!$X$15,IF(U264&lt;=Hypothèses!$V$16,Hypothèses!$X$16,IF(U264&lt;=Hypothèses!$U$17,Hypothèses!$W$17,IF(U264&lt;=Hypothèses!$U$18,Hypothèses!$W$18,""))))))))))))</f>
        <v>#DIV/0!</v>
      </c>
      <c r="AR264" s="95" t="e">
        <f t="shared" ca="1" si="372"/>
        <v>#DIV/0!</v>
      </c>
      <c r="AS264" s="101">
        <f t="shared" si="424"/>
        <v>0</v>
      </c>
      <c r="AT264" s="91">
        <f t="shared" si="341"/>
        <v>0</v>
      </c>
      <c r="AU264" s="30" t="e">
        <f t="shared" si="402"/>
        <v>#N/A</v>
      </c>
      <c r="AV264" s="30" t="e">
        <f t="shared" si="403"/>
        <v>#N/A</v>
      </c>
      <c r="AW264" s="31" t="e">
        <f>IF(OR(Hypothèses!$B$4=17,Hypothèses!$B$4=18,Hypothèses!$B$4=19,Hypothèses!$B$4=20),
IF($D264="Pressio.",
IF(OR($E264=3,$E264=1,$E264=4),AV264,AU264),
IF($D264="Pénétro.",
IF(OR($E264=3,$E264=1,$E264=4),AV264,AU264))),IF($D264="Pressio.",
IF($E264=3,AV264,AU264),
IF($D264="Pénétro.",
IF($E264=4,AV264,AU264))))</f>
        <v>#N/A</v>
      </c>
      <c r="AX264" s="31">
        <v>0</v>
      </c>
      <c r="AY264" s="102" t="e">
        <f>IF(NDC!$H$10="Oui",(VLOOKUP($B$3,'Coeff EC7'!$T$39:$X$59,2,0)*AW264+VLOOKUP($B$3,'Coeff EC7'!$T$65:$X$85,2,0)*Model0.1T!AX264)/1.5,PI()*AU$12*$Q264*($B264-$B263)*0.15/10+AY263)</f>
        <v>#N/A</v>
      </c>
      <c r="AZ264" s="102" t="e">
        <f>(VLOOKUP($B$3,'Coeff EC7'!$T$39:$X$59,3,0)*AW264+VLOOKUP($B$3,'Coeff EC7'!$T$65:$X$85,3,0)*Model0.1T!AX264)/1.1</f>
        <v>#N/A</v>
      </c>
      <c r="BA264" s="102" t="e">
        <f t="shared" si="373"/>
        <v>#N/A</v>
      </c>
      <c r="BB264" s="102" t="e">
        <f t="shared" si="374"/>
        <v>#N/A</v>
      </c>
      <c r="BC264" s="414" t="e">
        <f>IF(AND(AY264&gt;NDC!$C$63,AZ264&gt;NDC!$C$65,BA264&gt;NDC!$D$73,BB264&gt;NDC!$D$74,$B264&gt;NDC!$H$22-0.1+MIN(3*BC$12,1.5)),0,1)</f>
        <v>#N/A</v>
      </c>
      <c r="BD264" s="86" t="b">
        <f t="shared" si="342"/>
        <v>0</v>
      </c>
      <c r="BE264" s="86">
        <f t="shared" si="375"/>
        <v>0.5</v>
      </c>
      <c r="BF264" s="86">
        <f t="shared" si="343"/>
        <v>0.5</v>
      </c>
      <c r="BG264" s="30" t="e">
        <f t="shared" ca="1" si="376"/>
        <v>#DIV/0!</v>
      </c>
      <c r="BH264" s="85" t="e">
        <f ca="1">IF(AN264&lt;=Hypothèses!$V$7,Hypothèses!$W$7,IF(AN264&lt;=Hypothèses!$V$8,Hypothèses!$W$8,IF(AN264&lt;=Hypothèses!$V$9,Hypothèses!$W$9,IF(AN264&lt;=Hypothèses!$V$10,Hypothèses!$W$10,IF(AN264&lt;=Hypothèses!$V$11,Hypothèses!$W$11,IF(AN264&lt;=Hypothèses!$V$12,Hypothèses!$W$12,IF(AN264&lt;=Hypothèses!$V$13,Hypothèses!$W$13,IF(AN264&lt;=Hypothèses!$V$14,Hypothèses!$W$14,IF(AN264&lt;=Hypothèses!$V$15,Hypothèses!$W$15,IF(AN264&lt;=Hypothèses!$V$16,Hypothèses!$W$16,IF(AN264&lt;=Hypothèses!$V$17,Hypothèses!$W$17,IF(AN264&lt;=Hypothèses!$V$18,Hypothèses!$W$18,""))))))))))))</f>
        <v>#DIV/0!</v>
      </c>
      <c r="BI264" s="87" t="e">
        <f t="shared" ca="1" si="418"/>
        <v>#DIV/0!</v>
      </c>
      <c r="BJ264" s="88" t="e">
        <f ca="1">IF(AN264&lt;=Hypothèses!$V$7,Hypothèses!$X$7,IF(AN264&lt;=Hypothèses!$V$8,Hypothèses!$X$8,IF(AN264&lt;=Hypothèses!$V$9,Hypothèses!$X$9,IF(AN264&lt;=Hypothèses!$V$10,Hypothèses!$X$10,IF(AN264&lt;=Hypothèses!$V$11,Hypothèses!$X$11,IF(AN264&lt;=Hypothèses!$V$12,Hypothèses!$X$12,IF(AN264&lt;=Hypothèses!$V$13,Hypothèses!$X$13,IF(AN264&lt;=Hypothèses!$V$14,Hypothèses!$X$14,IF(AN264&lt;=Hypothèses!$V$15,Hypothèses!$X$15,IF(AN264&lt;=Hypothèses!$V$16,Hypothèses!$X$16,IF(AN264&lt;=Hypothèses!$U$17,Hypothèses!$W$17,IF(AN264&lt;=Hypothèses!$U$18,Hypothèses!$W$18,""))))))))))))</f>
        <v>#DIV/0!</v>
      </c>
      <c r="BK264" s="95" t="e">
        <f t="shared" ca="1" si="377"/>
        <v>#DIV/0!</v>
      </c>
      <c r="BL264" s="101">
        <f t="shared" si="425"/>
        <v>0</v>
      </c>
      <c r="BM264" s="91">
        <f t="shared" si="344"/>
        <v>0</v>
      </c>
      <c r="BN264" s="30" t="e">
        <f t="shared" si="404"/>
        <v>#N/A</v>
      </c>
      <c r="BO264" s="30" t="e">
        <f t="shared" si="405"/>
        <v>#N/A</v>
      </c>
      <c r="BP264" s="31" t="e">
        <f>IF(OR(Hypothèses!$B$4=17,Hypothèses!$B$4=18,Hypothèses!$B$4=19,Hypothèses!$B$4=20),
IF($D264="Pressio.",
IF(OR($E264=3,$E264=1,$E264=4),BO264,BN264),
IF($D264="Pénétro.",
IF(OR($E264=3,$E264=1,$E264=4),BO264,BN264))),IF($D264="Pressio.",
IF($E264=3,BO264,BN264),
IF($D264="Pénétro.",
IF($E264=4,BO264,BN264))))</f>
        <v>#N/A</v>
      </c>
      <c r="BQ264" s="31">
        <v>0</v>
      </c>
      <c r="BR264" s="102" t="e">
        <f>IF(NDC!$H$10="Oui",(VLOOKUP($B$3,'Coeff EC7'!$T$39:$X$59,2,0)*BP264+VLOOKUP($B$3,'Coeff EC7'!$T$65:$X$85,2,0)*Model0.1T!BQ264)/1.5,PI()*BN$12*$Q264*($B264-$B263)*0.15/10+BR263)</f>
        <v>#N/A</v>
      </c>
      <c r="BS264" s="102" t="e">
        <f>(VLOOKUP($B$3,'Coeff EC7'!$T$39:$X$59,3,0)*BP264+VLOOKUP($B$3,'Coeff EC7'!$T$65:$X$85,3,0)*Model0.1T!BQ264)/1.1</f>
        <v>#N/A</v>
      </c>
      <c r="BT264" s="102" t="e">
        <f t="shared" si="378"/>
        <v>#N/A</v>
      </c>
      <c r="BU264" s="102" t="e">
        <f t="shared" si="379"/>
        <v>#N/A</v>
      </c>
      <c r="BV264" s="414" t="e">
        <f>IF(AND(BR264&gt;NDC!$C$63,BS264&gt;NDC!$C$65,BT264&gt;NDC!$D$73,BU264&gt;NDC!$D$74,$B264&gt;NDC!$H$22-0.1+MIN(3*BV$12,1.5)),0,1)</f>
        <v>#N/A</v>
      </c>
      <c r="BW264" s="86" t="b">
        <f t="shared" si="345"/>
        <v>0</v>
      </c>
      <c r="BX264" s="86">
        <f t="shared" si="346"/>
        <v>0.5</v>
      </c>
      <c r="BY264" s="86">
        <f t="shared" si="347"/>
        <v>0.5</v>
      </c>
      <c r="BZ264" s="30" t="e">
        <f t="shared" ca="1" si="380"/>
        <v>#DIV/0!</v>
      </c>
      <c r="CA264" s="85" t="e">
        <f ca="1">IF(BG264&lt;=Hypothèses!$V$7,Hypothèses!$W$7,IF(BG264&lt;=Hypothèses!$V$8,Hypothèses!$W$8,IF(BG264&lt;=Hypothèses!$V$9,Hypothèses!$W$9,IF(BG264&lt;=Hypothèses!$V$10,Hypothèses!$W$10,IF(BG264&lt;=Hypothèses!$V$11,Hypothèses!$W$11,IF(BG264&lt;=Hypothèses!$V$12,Hypothèses!$W$12,IF(BG264&lt;=Hypothèses!$V$13,Hypothèses!$W$13,IF(BG264&lt;=Hypothèses!$V$14,Hypothèses!$W$14,IF(BG264&lt;=Hypothèses!$V$15,Hypothèses!$W$15,IF(BG264&lt;=Hypothèses!$V$16,Hypothèses!$W$16,IF(BG264&lt;=Hypothèses!$V$17,Hypothèses!$W$17,IF(BG264&lt;=Hypothèses!$V$18,Hypothèses!$W$18,""))))))))))))</f>
        <v>#DIV/0!</v>
      </c>
      <c r="CB264" s="87" t="e">
        <f t="shared" ca="1" si="419"/>
        <v>#DIV/0!</v>
      </c>
      <c r="CC264" s="88" t="e">
        <f ca="1">IF(BG264&lt;=Hypothèses!$V$7,Hypothèses!$X$7,IF(BG264&lt;=Hypothèses!$V$8,Hypothèses!$X$8,IF(BG264&lt;=Hypothèses!$V$9,Hypothèses!$X$9,IF(BG264&lt;=Hypothèses!$V$10,Hypothèses!$X$10,IF(BG264&lt;=Hypothèses!$V$11,Hypothèses!$X$11,IF(BG264&lt;=Hypothèses!$V$12,Hypothèses!$X$12,IF(BG264&lt;=Hypothèses!$V$13,Hypothèses!$X$13,IF(BG264&lt;=Hypothèses!$V$14,Hypothèses!$X$14,IF(BG264&lt;=Hypothèses!$V$15,Hypothèses!$X$15,IF(BG264&lt;=Hypothèses!$V$16,Hypothèses!$X$16,IF(BG264&lt;=Hypothèses!$U$17,Hypothèses!$W$17,IF(BG264&lt;=Hypothèses!$U$18,Hypothèses!$W$18,""))))))))))))</f>
        <v>#DIV/0!</v>
      </c>
      <c r="CD264" s="95" t="e">
        <f t="shared" ca="1" si="381"/>
        <v>#DIV/0!</v>
      </c>
      <c r="CE264" s="101">
        <f t="shared" si="426"/>
        <v>0</v>
      </c>
      <c r="CF264" s="91">
        <f t="shared" si="348"/>
        <v>0</v>
      </c>
      <c r="CG264" s="30" t="e">
        <f t="shared" si="406"/>
        <v>#N/A</v>
      </c>
      <c r="CH264" s="30" t="e">
        <f t="shared" si="407"/>
        <v>#N/A</v>
      </c>
      <c r="CI264" s="31" t="e">
        <f>IF(OR(Hypothèses!$B$4=17,Hypothèses!$B$4=18,Hypothèses!$B$4=19,Hypothèses!$B$4=20),
IF($D264="Pressio.",
IF(OR($E264=3,$E264=1,$E264=4),CH264,CG264),
IF($D264="Pénétro.",
IF(OR($E264=3,$E264=1,$E264=4),CH264,CG264))),IF($D264="Pressio.",
IF($E264=3,CH264,CG264),
IF($D264="Pénétro.",
IF($E264=4,CH264,CG264))))</f>
        <v>#N/A</v>
      </c>
      <c r="CJ264" s="31">
        <v>0</v>
      </c>
      <c r="CK264" s="102" t="e">
        <f>IF(NDC!$H$10="Oui",(VLOOKUP($B$3,'Coeff EC7'!$T$39:$X$59,2,0)*CI264+VLOOKUP($B$3,'Coeff EC7'!$T$65:$X$85,2,0)*Model0.1T!CJ264)/1.5,PI()*CG$12*$Q264*($B264-$B263)*0.15/10+CK263)</f>
        <v>#N/A</v>
      </c>
      <c r="CL264" s="102" t="e">
        <f>(VLOOKUP($B$3,'Coeff EC7'!$T$39:$X$59,3,0)*CI264+VLOOKUP($B$3,'Coeff EC7'!$T$65:$X$85,3,0)*Model0.1T!CJ264)/1.1</f>
        <v>#N/A</v>
      </c>
      <c r="CM264" s="102" t="e">
        <f t="shared" si="382"/>
        <v>#N/A</v>
      </c>
      <c r="CN264" s="102" t="e">
        <f t="shared" si="383"/>
        <v>#N/A</v>
      </c>
      <c r="CO264" s="414" t="e">
        <f>IF(AND(CK264&gt;NDC!$C$63,CL264&gt;NDC!$C$65,CM264&gt;NDC!$D$73,CN264&gt;NDC!$D$74,$B264&gt;NDC!$H$22-0.1+MIN(3*CO$12,1.5)),0,1)</f>
        <v>#N/A</v>
      </c>
      <c r="CP264" s="86" t="b">
        <f t="shared" si="349"/>
        <v>0</v>
      </c>
      <c r="CQ264" s="86">
        <f t="shared" si="350"/>
        <v>0.5</v>
      </c>
      <c r="CR264" s="86">
        <f t="shared" si="351"/>
        <v>0.5</v>
      </c>
      <c r="CS264" s="30" t="e">
        <f t="shared" ca="1" si="384"/>
        <v>#DIV/0!</v>
      </c>
      <c r="CT264" s="85" t="e">
        <f ca="1">IF(BZ264&lt;=Hypothèses!$V$7,Hypothèses!$W$7,IF(BZ264&lt;=Hypothèses!$V$8,Hypothèses!$W$8,IF(BZ264&lt;=Hypothèses!$V$9,Hypothèses!$W$9,IF(BZ264&lt;=Hypothèses!$V$10,Hypothèses!$W$10,IF(BZ264&lt;=Hypothèses!$V$11,Hypothèses!$W$11,IF(BZ264&lt;=Hypothèses!$V$12,Hypothèses!$W$12,IF(BZ264&lt;=Hypothèses!$V$13,Hypothèses!$W$13,IF(BZ264&lt;=Hypothèses!$V$14,Hypothèses!$W$14,IF(BZ264&lt;=Hypothèses!$V$15,Hypothèses!$W$15,IF(BZ264&lt;=Hypothèses!$V$16,Hypothèses!$W$16,IF(BZ264&lt;=Hypothèses!$V$17,Hypothèses!$W$17,IF(BZ264&lt;=Hypothèses!$V$18,Hypothèses!$W$18,""))))))))))))</f>
        <v>#DIV/0!</v>
      </c>
      <c r="CU264" s="87" t="e">
        <f t="shared" ca="1" si="420"/>
        <v>#DIV/0!</v>
      </c>
      <c r="CV264" s="88" t="e">
        <f ca="1">IF(BZ264&lt;=Hypothèses!$V$7,Hypothèses!$X$7,IF(BZ264&lt;=Hypothèses!$V$8,Hypothèses!$X$8,IF(BZ264&lt;=Hypothèses!$V$9,Hypothèses!$X$9,IF(BZ264&lt;=Hypothèses!$V$10,Hypothèses!$X$10,IF(BZ264&lt;=Hypothèses!$V$11,Hypothèses!$X$11,IF(BZ264&lt;=Hypothèses!$V$12,Hypothèses!$X$12,IF(BZ264&lt;=Hypothèses!$V$13,Hypothèses!$X$13,IF(BZ264&lt;=Hypothèses!$V$14,Hypothèses!$X$14,IF(BZ264&lt;=Hypothèses!$V$15,Hypothèses!$X$15,IF(BZ264&lt;=Hypothèses!$V$16,Hypothèses!$X$16,IF(BZ264&lt;=Hypothèses!$U$17,Hypothèses!$W$17,IF(BZ264&lt;=Hypothèses!$U$18,Hypothèses!$W$18,""))))))))))))</f>
        <v>#DIV/0!</v>
      </c>
      <c r="CW264" s="95" t="e">
        <f t="shared" ca="1" si="385"/>
        <v>#DIV/0!</v>
      </c>
      <c r="CX264" s="101">
        <f t="shared" si="427"/>
        <v>0</v>
      </c>
      <c r="CY264" s="91">
        <f t="shared" si="352"/>
        <v>0</v>
      </c>
      <c r="CZ264" s="30" t="e">
        <f t="shared" si="408"/>
        <v>#N/A</v>
      </c>
      <c r="DA264" s="30" t="e">
        <f t="shared" si="409"/>
        <v>#N/A</v>
      </c>
      <c r="DB264" s="31" t="e">
        <f>IF(OR(Hypothèses!$B$4=17,Hypothèses!$B$4=18,Hypothèses!$B$4=19,Hypothèses!$B$4=20),
IF($D264="Pressio.",
IF(OR($E264=3,$E264=1,$E264=4),DA264,CZ264),
IF($D264="Pénétro.",
IF(OR($E264=3,$E264=1,$E264=4),DA264,CZ264))),IF($D264="Pressio.",
IF($E264=3,DA264,CZ264),
IF($D264="Pénétro.",
IF($E264=4,DA264,CZ264))))</f>
        <v>#N/A</v>
      </c>
      <c r="DC264" s="31">
        <v>0</v>
      </c>
      <c r="DD264" s="102" t="e">
        <f>IF(NDC!$H$10="Oui",(VLOOKUP($B$3,'Coeff EC7'!$T$39:$X$59,2,0)*DB264+VLOOKUP($B$3,'Coeff EC7'!$T$65:$X$85,2,0)*Model0.1T!DC264)/1.5,PI()*CZ$12*$Q264*($B264-$B263)*0.15/10+DD263)</f>
        <v>#N/A</v>
      </c>
      <c r="DE264" s="102" t="e">
        <f>(VLOOKUP($B$3,'Coeff EC7'!$T$39:$X$59,3,0)*DB264+VLOOKUP($B$3,'Coeff EC7'!$T$65:$X$85,3,0)*Model0.1T!DC264)/1.1</f>
        <v>#N/A</v>
      </c>
      <c r="DF264" s="102" t="e">
        <f t="shared" si="386"/>
        <v>#N/A</v>
      </c>
      <c r="DG264" s="102" t="e">
        <f t="shared" si="387"/>
        <v>#N/A</v>
      </c>
      <c r="DH264" s="414" t="e">
        <f>IF(AND(DD264&gt;NDC!$C$63,DE264&gt;NDC!$C$65,DF264&gt;NDC!$D$73,DG264&gt;NDC!$D$74,$B264&gt;NDC!$H$22-0.1+MIN(3*DH$12,1.5)),0,1)</f>
        <v>#N/A</v>
      </c>
      <c r="DI264" s="86" t="b">
        <f t="shared" si="353"/>
        <v>0</v>
      </c>
      <c r="DJ264" s="86">
        <f t="shared" si="354"/>
        <v>0.5</v>
      </c>
      <c r="DK264" s="86">
        <f t="shared" si="355"/>
        <v>0.5</v>
      </c>
      <c r="DL264" s="30" t="e">
        <f t="shared" ca="1" si="388"/>
        <v>#DIV/0!</v>
      </c>
      <c r="DM264" s="85" t="e">
        <f ca="1">IF(CS264&lt;=Hypothèses!$V$7,Hypothèses!$W$7,IF(CS264&lt;=Hypothèses!$V$8,Hypothèses!$W$8,IF(CS264&lt;=Hypothèses!$V$9,Hypothèses!$W$9,IF(CS264&lt;=Hypothèses!$V$10,Hypothèses!$W$10,IF(CS264&lt;=Hypothèses!$V$11,Hypothèses!$W$11,IF(CS264&lt;=Hypothèses!$V$12,Hypothèses!$W$12,IF(CS264&lt;=Hypothèses!$V$13,Hypothèses!$W$13,IF(CS264&lt;=Hypothèses!$V$14,Hypothèses!$W$14,IF(CS264&lt;=Hypothèses!$V$15,Hypothèses!$W$15,IF(CS264&lt;=Hypothèses!$V$16,Hypothèses!$W$16,IF(CS264&lt;=Hypothèses!$V$17,Hypothèses!$W$17,IF(CS264&lt;=Hypothèses!$V$18,Hypothèses!$W$18,""))))))))))))</f>
        <v>#DIV/0!</v>
      </c>
      <c r="DN264" s="87" t="e">
        <f t="shared" ca="1" si="421"/>
        <v>#DIV/0!</v>
      </c>
      <c r="DO264" s="88" t="e">
        <f ca="1">IF(CS264&lt;=Hypothèses!$V$7,Hypothèses!$X$7,IF(CS264&lt;=Hypothèses!$V$8,Hypothèses!$X$8,IF(CS264&lt;=Hypothèses!$V$9,Hypothèses!$X$9,IF(CS264&lt;=Hypothèses!$V$10,Hypothèses!$X$10,IF(CS264&lt;=Hypothèses!$V$11,Hypothèses!$X$11,IF(CS264&lt;=Hypothèses!$V$12,Hypothèses!$X$12,IF(CS264&lt;=Hypothèses!$V$13,Hypothèses!$X$13,IF(CS264&lt;=Hypothèses!$V$14,Hypothèses!$X$14,IF(CS264&lt;=Hypothèses!$V$15,Hypothèses!$X$15,IF(CS264&lt;=Hypothèses!$V$16,Hypothèses!$X$16,IF(CS264&lt;=Hypothèses!$U$17,Hypothèses!$W$17,IF(CS264&lt;=Hypothèses!$U$18,Hypothèses!$W$18,""))))))))))))</f>
        <v>#DIV/0!</v>
      </c>
      <c r="DP264" s="95" t="e">
        <f t="shared" ca="1" si="389"/>
        <v>#DIV/0!</v>
      </c>
      <c r="DQ264" s="101">
        <f t="shared" si="428"/>
        <v>0</v>
      </c>
      <c r="DR264" s="91">
        <f t="shared" si="356"/>
        <v>0</v>
      </c>
      <c r="DS264" s="30" t="e">
        <f t="shared" si="410"/>
        <v>#N/A</v>
      </c>
      <c r="DT264" s="30" t="e">
        <f t="shared" si="411"/>
        <v>#N/A</v>
      </c>
      <c r="DU264" s="31" t="e">
        <f>IF(OR(Hypothèses!$B$4=17,Hypothèses!$B$4=18,Hypothèses!$B$4=19,Hypothèses!$B$4=20),
IF($D264="Pressio.",
IF(OR($E264=3,$E264=1,$E264=4),DT264,DS264),
IF($D264="Pénétro.",
IF(OR($E264=3,$E264=1,$E264=4),DT264,DS264))),IF($D264="Pressio.",
IF($E264=3,DT264,DS264),
IF($D264="Pénétro.",
IF($E264=4,DT264,DS264))))</f>
        <v>#N/A</v>
      </c>
      <c r="DV264" s="31">
        <v>0</v>
      </c>
      <c r="DW264" s="102" t="e">
        <f>IF(NDC!$H$10="Oui",(VLOOKUP($B$3,'Coeff EC7'!$T$39:$X$59,2,0)*DU264+VLOOKUP($B$3,'Coeff EC7'!$T$65:$X$85,2,0)*Model0.1T!DV264)/1.5,PI()*DS$12*$Q264*($B264-$B263)*0.15/10+DW263)</f>
        <v>#N/A</v>
      </c>
      <c r="DX264" s="102" t="e">
        <f>(VLOOKUP($B$3,'Coeff EC7'!$T$39:$X$59,3,0)*DU264+VLOOKUP($B$3,'Coeff EC7'!$T$65:$X$85,3,0)*Model0.1T!DV264)/1.1</f>
        <v>#N/A</v>
      </c>
      <c r="DY264" s="102" t="e">
        <f t="shared" si="390"/>
        <v>#N/A</v>
      </c>
      <c r="DZ264" s="102" t="e">
        <f t="shared" si="391"/>
        <v>#N/A</v>
      </c>
      <c r="EA264" s="414" t="e">
        <f>IF(AND(DW264&gt;NDC!$C$63,DX264&gt;NDC!$C$65,DY264&gt;NDC!$D$73,DZ264&gt;NDC!$D$74,$B264&gt;NDC!$H$22-0.1+MIN(3*EA$12,1.5)),0,1)</f>
        <v>#N/A</v>
      </c>
      <c r="EB264" s="86" t="b">
        <f t="shared" si="357"/>
        <v>0</v>
      </c>
      <c r="EC264" s="418">
        <f t="shared" si="358"/>
        <v>0.51</v>
      </c>
      <c r="ED264" s="86">
        <f t="shared" si="359"/>
        <v>0.51</v>
      </c>
      <c r="EE264" s="30" t="e">
        <f t="shared" ca="1" si="392"/>
        <v>#DIV/0!</v>
      </c>
      <c r="EF264" s="85" t="e">
        <f ca="1">IF(DL264&lt;=Hypothèses!$V$7,Hypothèses!$W$7,IF(DL264&lt;=Hypothèses!$V$8,Hypothèses!$W$8,IF(DL264&lt;=Hypothèses!$V$9,Hypothèses!$W$9,IF(DL264&lt;=Hypothèses!$V$10,Hypothèses!$W$10,IF(DL264&lt;=Hypothèses!$V$11,Hypothèses!$W$11,IF(DL264&lt;=Hypothèses!$V$12,Hypothèses!$W$12,IF(DL264&lt;=Hypothèses!$V$13,Hypothèses!$W$13,IF(DL264&lt;=Hypothèses!$V$14,Hypothèses!$W$14,IF(DL264&lt;=Hypothèses!$V$15,Hypothèses!$W$15,IF(DL264&lt;=Hypothèses!$V$16,Hypothèses!$W$16,IF(DL264&lt;=Hypothèses!$V$17,Hypothèses!$W$17,IF(DL264&lt;=Hypothèses!$V$18,Hypothèses!$W$18,""))))))))))))</f>
        <v>#DIV/0!</v>
      </c>
      <c r="EG264" s="87" t="e">
        <f t="shared" ca="1" si="422"/>
        <v>#DIV/0!</v>
      </c>
      <c r="EH264" s="88" t="e">
        <f ca="1">IF(DL264&lt;=Hypothèses!$V$7,Hypothèses!$X$7,IF(DL264&lt;=Hypothèses!$V$8,Hypothèses!$X$8,IF(DL264&lt;=Hypothèses!$V$9,Hypothèses!$X$9,IF(DL264&lt;=Hypothèses!$V$10,Hypothèses!$X$10,IF(DL264&lt;=Hypothèses!$V$11,Hypothèses!$X$11,IF(DL264&lt;=Hypothèses!$V$12,Hypothèses!$X$12,IF(DL264&lt;=Hypothèses!$V$13,Hypothèses!$X$13,IF(DL264&lt;=Hypothèses!$V$14,Hypothèses!$X$14,IF(DL264&lt;=Hypothèses!$V$15,Hypothèses!$X$15,IF(DL264&lt;=Hypothèses!$V$16,Hypothèses!$X$16,IF(DL264&lt;=Hypothèses!$U$17,Hypothèses!$W$17,IF(DL264&lt;=Hypothèses!$U$18,Hypothèses!$W$18,""))))))))))))</f>
        <v>#DIV/0!</v>
      </c>
      <c r="EI264" s="95" t="e">
        <f t="shared" ca="1" si="393"/>
        <v>#DIV/0!</v>
      </c>
      <c r="EJ264" s="101">
        <f t="shared" si="429"/>
        <v>0</v>
      </c>
      <c r="EK264" s="91">
        <f t="shared" si="360"/>
        <v>0</v>
      </c>
      <c r="EL264" s="30" t="e">
        <f t="shared" si="412"/>
        <v>#N/A</v>
      </c>
      <c r="EM264" s="30" t="e">
        <f t="shared" si="413"/>
        <v>#N/A</v>
      </c>
      <c r="EN264" s="31" t="e">
        <f>IF(OR(Hypothèses!$B$4=17,Hypothèses!$B$4=18,Hypothèses!$B$4=19,Hypothèses!$B$4=20),
IF($D264="Pressio.",
IF(OR($E264=3,$E264=1,$E264=4),EM264,EL264),
IF($D264="Pénétro.",
IF(OR($E264=3,$E264=1,$E264=4),EM264,EL264))),IF($D264="Pressio.",
IF($E264=3,EM264,EL264),
IF($D264="Pénétro.",
IF($E264=4,EM264,EL264))))</f>
        <v>#N/A</v>
      </c>
      <c r="EO264" s="31">
        <v>0</v>
      </c>
      <c r="EP264" s="102" t="e">
        <f>IF(NDC!$H$10="Oui",(VLOOKUP($B$3,'Coeff EC7'!$T$39:$X$59,2,0)*EN264+VLOOKUP($B$3,'Coeff EC7'!$T$65:$X$85,2,0)*Model0.1T!EO264)/1.5,PI()*EL$12*$Q264*($B264-$B263)*0.15/10+EP263)</f>
        <v>#N/A</v>
      </c>
      <c r="EQ264" s="102" t="e">
        <f>(VLOOKUP($B$3,'Coeff EC7'!$T$39:$X$59,3,0)*EN264+VLOOKUP($B$3,'Coeff EC7'!$T$65:$X$85,3,0)*Model0.1T!EO264)/1.1</f>
        <v>#N/A</v>
      </c>
      <c r="ER264" s="102" t="e">
        <f t="shared" si="394"/>
        <v>#N/A</v>
      </c>
      <c r="ES264" s="102" t="e">
        <f t="shared" si="395"/>
        <v>#N/A</v>
      </c>
      <c r="ET264" s="414" t="e">
        <f>IF(AND(EP264&gt;NDC!$C$63,EQ264&gt;NDC!$C$65,ER264&gt;NDC!$D$73,ES264&gt;NDC!$D$74,$B264&gt;NDC!$H$22-0.1+MIN(3*ET$12,1.5)),0,1)</f>
        <v>#N/A</v>
      </c>
      <c r="EU264" s="86" t="b">
        <f t="shared" si="361"/>
        <v>0</v>
      </c>
      <c r="EV264" s="86">
        <f t="shared" si="362"/>
        <v>0.61</v>
      </c>
      <c r="EW264" s="86">
        <f t="shared" si="363"/>
        <v>0.61</v>
      </c>
      <c r="EX264" s="30" t="e">
        <f t="shared" ca="1" si="396"/>
        <v>#DIV/0!</v>
      </c>
      <c r="EY264" s="85" t="e">
        <f ca="1">IF(EE264&lt;=Hypothèses!$V$7,Hypothèses!$W$7,IF(EE264&lt;=Hypothèses!$V$8,Hypothèses!$W$8,IF(EE264&lt;=Hypothèses!$V$9,Hypothèses!$W$9,IF(EE264&lt;=Hypothèses!$V$10,Hypothèses!$W$10,IF(EE264&lt;=Hypothèses!$V$11,Hypothèses!$W$11,IF(EE264&lt;=Hypothèses!$V$12,Hypothèses!$W$12,IF(EE264&lt;=Hypothèses!$V$13,Hypothèses!$W$13,IF(EE264&lt;=Hypothèses!$V$14,Hypothèses!$W$14,IF(EE264&lt;=Hypothèses!$V$15,Hypothèses!$W$15,IF(EE264&lt;=Hypothèses!$V$16,Hypothèses!$W$16,IF(EE264&lt;=Hypothèses!$V$17,Hypothèses!$W$17,IF(EE264&lt;=Hypothèses!$V$18,Hypothèses!$W$18,""))))))))))))</f>
        <v>#DIV/0!</v>
      </c>
      <c r="EZ264" s="87" t="e">
        <f t="shared" ca="1" si="423"/>
        <v>#DIV/0!</v>
      </c>
      <c r="FA264" s="88" t="e">
        <f ca="1">IF(EE264&lt;=Hypothèses!$V$7,Hypothèses!$X$7,IF(EE264&lt;=Hypothèses!$V$8,Hypothèses!$X$8,IF(EE264&lt;=Hypothèses!$V$9,Hypothèses!$X$9,IF(EE264&lt;=Hypothèses!$V$10,Hypothèses!$X$10,IF(EE264&lt;=Hypothèses!$V$11,Hypothèses!$X$11,IF(EE264&lt;=Hypothèses!$V$12,Hypothèses!$X$12,IF(EE264&lt;=Hypothèses!$V$13,Hypothèses!$X$13,IF(EE264&lt;=Hypothèses!$V$14,Hypothèses!$X$14,IF(EE264&lt;=Hypothèses!$V$15,Hypothèses!$X$15,IF(EE264&lt;=Hypothèses!$V$16,Hypothèses!$X$16,IF(EE264&lt;=Hypothèses!$U$17,Hypothèses!$W$17,IF(EE264&lt;=Hypothèses!$U$18,Hypothèses!$W$18,""))))))))))))</f>
        <v>#DIV/0!</v>
      </c>
      <c r="FB264" s="95" t="e">
        <f t="shared" ca="1" si="397"/>
        <v>#DIV/0!</v>
      </c>
      <c r="FC264" s="101">
        <f t="shared" si="430"/>
        <v>0</v>
      </c>
      <c r="FD264" s="91">
        <f t="shared" si="364"/>
        <v>0</v>
      </c>
      <c r="FE264" s="30" t="e">
        <f t="shared" si="414"/>
        <v>#N/A</v>
      </c>
      <c r="FF264" s="30" t="e">
        <f t="shared" si="415"/>
        <v>#N/A</v>
      </c>
      <c r="FG264" s="31" t="e">
        <f>IF(OR(Hypothèses!$B$4=17,Hypothèses!$B$4=18,Hypothèses!$B$4=19,Hypothèses!$B$4=20),
IF($D264="Pressio.",
IF(OR($E264=3,$E264=1,$E264=4),FF264,FE264),
IF($D264="Pénétro.",
IF(OR($E264=3,$E264=1,$E264=4),FF264,FE264))),IF($D264="Pressio.",
IF($E264=3,FF264,FE264),
IF($D264="Pénétro.",
IF($E264=4,FF264,FE264))))</f>
        <v>#N/A</v>
      </c>
      <c r="FH264" s="31">
        <v>0</v>
      </c>
      <c r="FI264" s="102" t="e">
        <f>IF(NDC!$H$10="Oui",(VLOOKUP($B$3,'Coeff EC7'!$T$39:$X$59,2,0)*FG264+VLOOKUP($B$3,'Coeff EC7'!$T$65:$X$85,2,0)*Model0.1T!FH264)/1.5,PI()*FE$12*$Q264*($B264-$B263)*0.15/10+FI263)</f>
        <v>#N/A</v>
      </c>
      <c r="FJ264" s="102" t="e">
        <f>(VLOOKUP($B$3,'Coeff EC7'!$T$39:$X$59,3,0)*FG264+VLOOKUP($B$3,'Coeff EC7'!$T$65:$X$85,3,0)*Model0.1T!FH264)/1.1</f>
        <v>#N/A</v>
      </c>
      <c r="FK264" s="102" t="e">
        <f t="shared" si="398"/>
        <v>#N/A</v>
      </c>
      <c r="FL264" s="102" t="e">
        <f t="shared" si="399"/>
        <v>#N/A</v>
      </c>
      <c r="FM264" s="414" t="e">
        <f>IF(AND(FI264&gt;NDC!$C$63,FJ264&gt;NDC!$C$65,FK264&gt;NDC!$D$73,FL264&gt;NDC!$D$74,$B264&gt;NDC!$H$22-0.1+MIN(3*FM$12,1.5)),0,1)</f>
        <v>#N/A</v>
      </c>
    </row>
    <row r="265" spans="1:169">
      <c r="A265" s="96">
        <f t="shared" si="365"/>
        <v>74.800000000001432</v>
      </c>
      <c r="B265" s="97">
        <v>25.2</v>
      </c>
      <c r="C265" s="81">
        <f>IF(B265&lt;=Hypothèses!$C$7,Hypothèses!$A$7,IF(B265&lt;=Hypothèses!$C$8,Hypothèses!$A$8,IF(B265&lt;=Hypothèses!$C$9,Hypothèses!$A$9,IF(B265&lt;=Hypothèses!$C$10,Hypothèses!$A$10,IF(B265&lt;=Hypothèses!$C$11,Hypothèses!$A$11,IF(B265&lt;=Hypothèses!$C$12,Hypothèses!$A$12,IF(B265&lt;=Hypothèses!$C$13,Hypothèses!$A$13,IF(B265&lt;=Hypothèses!$C$14,Hypothèses!$A$14,IF(B265&lt;=Hypothèses!$C$15,Hypothèses!$A$15,IF(B265&lt;=Hypothèses!$C$16,Hypothèses!$A$16,IF(B265&lt;=Hypothèses!$C$17,Hypothèses!$A$17,IF(B265&lt;=Hypothèses!$C$18,Hypothèses!$A$18,C264))))))))))))</f>
        <v>11</v>
      </c>
      <c r="D265" s="82" t="str">
        <f>IF(B265&lt;=Hypothèses!$C$7,Hypothèses!$R$7,IF(B265&lt;=Hypothèses!$C$8,Hypothèses!$R$8,IF(B265&lt;=Hypothèses!$C$9,Hypothèses!$R$9,IF(B265&lt;=Hypothèses!$C$10,Hypothèses!$R$10,IF(B265&lt;=Hypothèses!$C$11,Hypothèses!$R$11,IF(B265&lt;=Hypothèses!$C$12,Hypothèses!$R$12,IF(B265&lt;=Hypothèses!$C$13,Hypothèses!$R$13,IF(B265&lt;=Hypothèses!$C$14,Hypothèses!$R$14,IF(B265&lt;=Hypothèses!$C$15,Hypothèses!$R$15,IF(B265&lt;=Hypothèses!$C$16,Hypothèses!$R$16,IF(B265&lt;=Hypothèses!$C$17,Hypothèses!$R$17,IF(B265&lt;=Hypothèses!$C$18,Hypothèses!$R$18,D264))))))))))))</f>
        <v>Pressio.</v>
      </c>
      <c r="E265" s="82" t="e">
        <f>IF(B265&lt;=Hypothèses!$C$7,Hypothèses!$G$7,IF(B265&lt;=Hypothèses!$C$8,Hypothèses!$G$8,IF(B265&lt;=Hypothèses!$C$9,Hypothèses!$G$9,IF(B265&lt;=Hypothèses!$C$10,Hypothèses!$G$10,IF(B265&lt;=Hypothèses!$C$11,Hypothèses!$G$11,IF(B265&lt;=Hypothèses!$C$12,Hypothèses!$G$12,IF(B265&lt;=Hypothèses!$C$13,Hypothèses!$G$13,IF(B265&lt;=Hypothèses!$C$14,Hypothèses!$G$14,IF(B265&lt;=Hypothèses!$C$15,Hypothèses!$G$15,IF(B265&lt;=Hypothèses!$C$16,Hypothèses!$G$16,IF(B265&lt;=Hypothèses!$C$17,Hypothèses!$G$17,IF(B265&lt;=Hypothèses!$C$18,Hypothèses!$G$18,E264))))))))))))</f>
        <v>#N/A</v>
      </c>
      <c r="F265" s="82" t="str">
        <f>IF(B265&lt;=Hypothèses!$C$7,Hypothèses!$F$7,IF(B265&lt;=Hypothèses!$C$8,Hypothèses!$F$8,IF(B265&lt;=Hypothèses!$C$9,Hypothèses!$F$9,IF(B265&lt;=Hypothèses!$C$10,Hypothèses!$F$10,IF(B265&lt;=Hypothèses!$C$11,Hypothèses!$F$11,IF(B265&lt;=Hypothèses!$C$12,Hypothèses!$F$12,IF(B265&lt;=Hypothèses!$C$13,Hypothèses!$F$13,IF(B265&lt;=Hypothèses!$C$14,Hypothèses!$F$14,IF(B265&lt;=Hypothèses!$C$15,Hypothèses!$F$15,IF(B265&lt;=Hypothèses!$C$16,Hypothèses!$F$16,IF(B265&lt;=Hypothèses!$C$17,Hypothèses!$F$17,IF(B265&lt;=Hypothèses!$C$18,Hypothèses!$F$18,F264))))))))))))</f>
        <v/>
      </c>
      <c r="G265" s="91">
        <f t="array" ref="G265">INDEX('Coeff EC7'!$U$7:$X$27,
MATCH(Model0.1T!$B$3,'Coeff EC7'!$T$7:$T$27,0),
MATCH(Model0.1T!$D265&amp;Model0.1T!$B$4,
'Coeff EC7'!$U$6:$X$6&amp;
'Coeff EC7'!$U$5:$X$5,0))</f>
        <v>1.4</v>
      </c>
      <c r="H265" s="91">
        <f t="array" ref="H265">INDEX('Coeff EC7'!$Y$7:$AB$27,
MATCH(Model0.1T!$B$3,'Coeff EC7'!$T$7:$T$27,0),
MATCH(Model0.1T!$D265&amp;Model0.1T!$B$4,
'Coeff EC7'!$Y$6:$AB$6&amp;
'Coeff EC7'!$Y$5:$AB$5,0))</f>
        <v>1.7</v>
      </c>
      <c r="I265" s="83">
        <v>0</v>
      </c>
      <c r="J265" s="91" t="e">
        <f t="array" ref="J265">INDEX('Coeff EC7'!$D$33:$Q$33,1,MATCH(D265&amp;E265,'Coeff EC7'!$D$31:$Q$31&amp;'Coeff EC7'!$D$32:$Q$32,0))</f>
        <v>#N/A</v>
      </c>
      <c r="K265" s="91" t="e">
        <f t="array" ref="K265">INDEX('Coeff EC7'!$D$34:$Q$34,1,MATCH(D265&amp;E265,'Coeff EC7'!$D$31:$Q$31&amp;'Coeff EC7'!$D$32:$Q$32,0))</f>
        <v>#N/A</v>
      </c>
      <c r="L265" s="91" t="e">
        <f t="array" ref="L265">INDEX('Coeff EC7'!$D$35:$Q$35,1,MATCH(D265&amp;E265,'Coeff EC7'!$D$31:$Q$31&amp;'Coeff EC7'!$D$32:$Q$32,0))</f>
        <v>#N/A</v>
      </c>
      <c r="M265" s="98" t="e">
        <f t="shared" si="331"/>
        <v>#N/A</v>
      </c>
      <c r="N265" s="99" t="e">
        <f t="array" ref="N265">INDEX('Coeff EC7'!$D$7:$Q$27,MATCH($B$3,'Coeff EC7'!$C$7:$C$27,0),MATCH(D265&amp;E265,'Coeff EC7'!$D$5:$Q$5&amp;'Coeff EC7'!$D$6:$Q$6,0))</f>
        <v>#N/A</v>
      </c>
      <c r="O265" s="99" t="e">
        <f t="array" ref="O265">INDEX('Coeff EC7'!$D$41:$Q$61,MATCH($B$3,'Coeff EC7'!$C$41:$C$61,0),MATCH(D265&amp;E265,'Coeff EC7'!$D$39:$Q$39&amp;'Coeff EC7'!$D$40:$Q$40,0))</f>
        <v>#N/A</v>
      </c>
      <c r="P265" s="30" t="e">
        <f t="shared" si="366"/>
        <v>#N/A</v>
      </c>
      <c r="Q265" s="100" t="e">
        <f t="shared" si="333"/>
        <v>#N/A</v>
      </c>
      <c r="R265" s="86" t="b">
        <f t="shared" si="334"/>
        <v>0</v>
      </c>
      <c r="S265" s="86">
        <f t="shared" si="332"/>
        <v>0.5</v>
      </c>
      <c r="T265" s="86">
        <f t="shared" si="335"/>
        <v>0.5</v>
      </c>
      <c r="U265" s="30" t="e">
        <f t="shared" ca="1" si="367"/>
        <v>#DIV/0!</v>
      </c>
      <c r="V265" s="85" t="str">
        <f>IF(B265&lt;=Hypothèses!$V$7,Hypothèses!$W$7,IF(B265&lt;=Hypothèses!$V$8,Hypothèses!$W$8,IF(B265&lt;=Hypothèses!$V$9,Hypothèses!$W$9,IF(B265&lt;=Hypothèses!$V$10,Hypothèses!$W$10,IF(B265&lt;=Hypothèses!$V$11,Hypothèses!$W$11,IF(B265&lt;=Hypothèses!$V$12,Hypothèses!$W$12,IF(B265&lt;=Hypothèses!$V$13,Hypothèses!$W$13,IF(B265&lt;=Hypothèses!$V$14,Hypothèses!$W$14,IF(B265&lt;=Hypothèses!$V$15,Hypothèses!$W$15,IF(B265&lt;=Hypothèses!$V$16,Hypothèses!$W$16,IF(B265&lt;=Hypothèses!$V$17,Hypothèses!$W$17,IF(B265&lt;=Hypothèses!$V$18,Hypothèses!$W$18,""))))))))))))</f>
        <v/>
      </c>
      <c r="W265" s="87" t="e">
        <f t="shared" ca="1" si="416"/>
        <v>#DIV/0!</v>
      </c>
      <c r="X265" s="88" t="str">
        <f>IF(B265&lt;=Hypothèses!$V$7,Hypothèses!$X$7,IF(B265&lt;=Hypothèses!$V$8,Hypothèses!$X$8,IF(B265&lt;=Hypothèses!$V$9,Hypothèses!$X$9,IF(B265&lt;=Hypothèses!$V$10,Hypothèses!$X$10,IF(B265&lt;=Hypothèses!$V$11,Hypothèses!$X$11,IF(B265&lt;=Hypothèses!$V$12,Hypothèses!$X$12,IF(B265&lt;=Hypothèses!$V$13,Hypothèses!$X$13,IF(B265&lt;=Hypothèses!$V$14,Hypothèses!$X$14,IF(B265&lt;=Hypothèses!$V$15,Hypothèses!$X$15,IF(B265&lt;=Hypothèses!$V$16,Hypothèses!$X$16,IF(B265&lt;=Hypothèses!$U$17,Hypothèses!$W$17,IF(B265&lt;=Hypothèses!$U$18,Hypothèses!$W$18,""))))))))))))</f>
        <v/>
      </c>
      <c r="Y265" s="95" t="e">
        <f t="shared" ca="1" si="336"/>
        <v>#DIV/0!</v>
      </c>
      <c r="Z265" s="101">
        <f t="shared" si="337"/>
        <v>0</v>
      </c>
      <c r="AA265" s="91">
        <f t="shared" si="338"/>
        <v>0</v>
      </c>
      <c r="AB265" s="30" t="e">
        <f t="shared" si="400"/>
        <v>#N/A</v>
      </c>
      <c r="AC265" s="30" t="e">
        <f t="shared" si="401"/>
        <v>#N/A</v>
      </c>
      <c r="AD265" s="31" t="e">
        <f>IF(OR(Hypothèses!$B$4=17,Hypothèses!$B$4=18,Hypothèses!$B$4=19,Hypothèses!$B$4=20),
IF($D265="Pressio.",
IF(OR($E265=3,$E265=1,$E265=4),AC265,AB265),
IF($D265="Pénétro.",
IF(OR($E265=3,$E265=1,$E265=4),AC265,AB265))),IF($D265="Pressio.",
IF($E265=3,AC265,AB265),
IF($D265="Pénétro.",
IF($E265=4,AC265,AB265))))</f>
        <v>#N/A</v>
      </c>
      <c r="AE265" s="31">
        <v>0</v>
      </c>
      <c r="AF265" s="102" t="e">
        <f>IF(NDC!$H$10="Oui",(VLOOKUP($B$3,'Coeff EC7'!$T$39:$X$59,2,0)*AD265+VLOOKUP($B$3,'Coeff EC7'!$T$65:$X$85,2,0)*Model0.1T!AE265)/1.5,PI()*AB$12*$Q265*($B265-$B264)*0.15/10+AF264)</f>
        <v>#N/A</v>
      </c>
      <c r="AG265" s="102" t="e">
        <f>(VLOOKUP($B$3,'Coeff EC7'!$T$39:$X$59,3,0)*AD265+VLOOKUP($B$3,'Coeff EC7'!$T$65:$X$85,3,0)*Model0.1T!AE265)/1.1</f>
        <v>#N/A</v>
      </c>
      <c r="AH265" s="102" t="e">
        <f t="shared" si="368"/>
        <v>#N/A</v>
      </c>
      <c r="AI265" s="102" t="e">
        <f t="shared" si="369"/>
        <v>#N/A</v>
      </c>
      <c r="AJ265" s="414" t="e">
        <f>IF(AND(AF265&gt;NDC!$C$63,AG265&gt;NDC!$C$65,AH265&gt;NDC!$D$73,AI265&gt;NDC!$D$74,$B265&gt;NDC!$H$22-0.1+MIN(3*$AJ$12,1.5)),0,1)</f>
        <v>#N/A</v>
      </c>
      <c r="AK265" s="86" t="b">
        <f t="shared" si="339"/>
        <v>0</v>
      </c>
      <c r="AL265" s="86">
        <f t="shared" si="370"/>
        <v>0.5</v>
      </c>
      <c r="AM265" s="86">
        <f t="shared" si="340"/>
        <v>0.5</v>
      </c>
      <c r="AN265" s="30" t="e">
        <f t="shared" ca="1" si="371"/>
        <v>#DIV/0!</v>
      </c>
      <c r="AO265" s="85" t="e">
        <f ca="1">IF(U265&lt;=Hypothèses!$V$7,Hypothèses!$W$7,IF(U265&lt;=Hypothèses!$V$8,Hypothèses!$W$8,IF(U265&lt;=Hypothèses!$V$9,Hypothèses!$W$9,IF(U265&lt;=Hypothèses!$V$10,Hypothèses!$W$10,IF(U265&lt;=Hypothèses!$V$11,Hypothèses!$W$11,IF(U265&lt;=Hypothèses!$V$12,Hypothèses!$W$12,IF(U265&lt;=Hypothèses!$V$13,Hypothèses!$W$13,IF(U265&lt;=Hypothèses!$V$14,Hypothèses!$W$14,IF(U265&lt;=Hypothèses!$V$15,Hypothèses!$W$15,IF(U265&lt;=Hypothèses!$V$16,Hypothèses!$W$16,IF(U265&lt;=Hypothèses!$V$17,Hypothèses!$W$17,IF(U265&lt;=Hypothèses!$V$18,Hypothèses!$W$18,""))))))))))))</f>
        <v>#DIV/0!</v>
      </c>
      <c r="AP265" s="87" t="e">
        <f t="shared" ca="1" si="417"/>
        <v>#DIV/0!</v>
      </c>
      <c r="AQ265" s="88" t="e">
        <f ca="1">IF(U265&lt;=Hypothèses!$V$7,Hypothèses!$X$7,IF(U265&lt;=Hypothèses!$V$8,Hypothèses!$X$8,IF(U265&lt;=Hypothèses!$V$9,Hypothèses!$X$9,IF(U265&lt;=Hypothèses!$V$10,Hypothèses!$X$10,IF(U265&lt;=Hypothèses!$V$11,Hypothèses!$X$11,IF(U265&lt;=Hypothèses!$V$12,Hypothèses!$X$12,IF(U265&lt;=Hypothèses!$V$13,Hypothèses!$X$13,IF(U265&lt;=Hypothèses!$V$14,Hypothèses!$X$14,IF(U265&lt;=Hypothèses!$V$15,Hypothèses!$X$15,IF(U265&lt;=Hypothèses!$V$16,Hypothèses!$X$16,IF(U265&lt;=Hypothèses!$U$17,Hypothèses!$W$17,IF(U265&lt;=Hypothèses!$U$18,Hypothèses!$W$18,""))))))))))))</f>
        <v>#DIV/0!</v>
      </c>
      <c r="AR265" s="95" t="e">
        <f t="shared" ca="1" si="372"/>
        <v>#DIV/0!</v>
      </c>
      <c r="AS265" s="101">
        <f t="shared" si="424"/>
        <v>0</v>
      </c>
      <c r="AT265" s="91">
        <f t="shared" si="341"/>
        <v>0</v>
      </c>
      <c r="AU265" s="30" t="e">
        <f t="shared" si="402"/>
        <v>#N/A</v>
      </c>
      <c r="AV265" s="30" t="e">
        <f t="shared" si="403"/>
        <v>#N/A</v>
      </c>
      <c r="AW265" s="31" t="e">
        <f>IF(OR(Hypothèses!$B$4=17,Hypothèses!$B$4=18,Hypothèses!$B$4=19,Hypothèses!$B$4=20),
IF($D265="Pressio.",
IF(OR($E265=3,$E265=1,$E265=4),AV265,AU265),
IF($D265="Pénétro.",
IF(OR($E265=3,$E265=1,$E265=4),AV265,AU265))),IF($D265="Pressio.",
IF($E265=3,AV265,AU265),
IF($D265="Pénétro.",
IF($E265=4,AV265,AU265))))</f>
        <v>#N/A</v>
      </c>
      <c r="AX265" s="31">
        <v>0</v>
      </c>
      <c r="AY265" s="102" t="e">
        <f>IF(NDC!$H$10="Oui",(VLOOKUP($B$3,'Coeff EC7'!$T$39:$X$59,2,0)*AW265+VLOOKUP($B$3,'Coeff EC7'!$T$65:$X$85,2,0)*Model0.1T!AX265)/1.5,PI()*AU$12*$Q265*($B265-$B264)*0.15/10+AY264)</f>
        <v>#N/A</v>
      </c>
      <c r="AZ265" s="102" t="e">
        <f>(VLOOKUP($B$3,'Coeff EC7'!$T$39:$X$59,3,0)*AW265+VLOOKUP($B$3,'Coeff EC7'!$T$65:$X$85,3,0)*Model0.1T!AX265)/1.1</f>
        <v>#N/A</v>
      </c>
      <c r="BA265" s="102" t="e">
        <f t="shared" si="373"/>
        <v>#N/A</v>
      </c>
      <c r="BB265" s="102" t="e">
        <f t="shared" si="374"/>
        <v>#N/A</v>
      </c>
      <c r="BC265" s="414" t="e">
        <f>IF(AND(AY265&gt;NDC!$C$63,AZ265&gt;NDC!$C$65,BA265&gt;NDC!$D$73,BB265&gt;NDC!$D$74,$B265&gt;NDC!$H$22-0.1+MIN(3*BC$12,1.5)),0,1)</f>
        <v>#N/A</v>
      </c>
      <c r="BD265" s="86" t="b">
        <f t="shared" si="342"/>
        <v>0</v>
      </c>
      <c r="BE265" s="86">
        <f t="shared" si="375"/>
        <v>0.5</v>
      </c>
      <c r="BF265" s="86">
        <f t="shared" si="343"/>
        <v>0.5</v>
      </c>
      <c r="BG265" s="30" t="e">
        <f t="shared" ca="1" si="376"/>
        <v>#DIV/0!</v>
      </c>
      <c r="BH265" s="85" t="e">
        <f ca="1">IF(AN265&lt;=Hypothèses!$V$7,Hypothèses!$W$7,IF(AN265&lt;=Hypothèses!$V$8,Hypothèses!$W$8,IF(AN265&lt;=Hypothèses!$V$9,Hypothèses!$W$9,IF(AN265&lt;=Hypothèses!$V$10,Hypothèses!$W$10,IF(AN265&lt;=Hypothèses!$V$11,Hypothèses!$W$11,IF(AN265&lt;=Hypothèses!$V$12,Hypothèses!$W$12,IF(AN265&lt;=Hypothèses!$V$13,Hypothèses!$W$13,IF(AN265&lt;=Hypothèses!$V$14,Hypothèses!$W$14,IF(AN265&lt;=Hypothèses!$V$15,Hypothèses!$W$15,IF(AN265&lt;=Hypothèses!$V$16,Hypothèses!$W$16,IF(AN265&lt;=Hypothèses!$V$17,Hypothèses!$W$17,IF(AN265&lt;=Hypothèses!$V$18,Hypothèses!$W$18,""))))))))))))</f>
        <v>#DIV/0!</v>
      </c>
      <c r="BI265" s="87" t="e">
        <f t="shared" ca="1" si="418"/>
        <v>#DIV/0!</v>
      </c>
      <c r="BJ265" s="88" t="e">
        <f ca="1">IF(AN265&lt;=Hypothèses!$V$7,Hypothèses!$X$7,IF(AN265&lt;=Hypothèses!$V$8,Hypothèses!$X$8,IF(AN265&lt;=Hypothèses!$V$9,Hypothèses!$X$9,IF(AN265&lt;=Hypothèses!$V$10,Hypothèses!$X$10,IF(AN265&lt;=Hypothèses!$V$11,Hypothèses!$X$11,IF(AN265&lt;=Hypothèses!$V$12,Hypothèses!$X$12,IF(AN265&lt;=Hypothèses!$V$13,Hypothèses!$X$13,IF(AN265&lt;=Hypothèses!$V$14,Hypothèses!$X$14,IF(AN265&lt;=Hypothèses!$V$15,Hypothèses!$X$15,IF(AN265&lt;=Hypothèses!$V$16,Hypothèses!$X$16,IF(AN265&lt;=Hypothèses!$U$17,Hypothèses!$W$17,IF(AN265&lt;=Hypothèses!$U$18,Hypothèses!$W$18,""))))))))))))</f>
        <v>#DIV/0!</v>
      </c>
      <c r="BK265" s="95" t="e">
        <f t="shared" ca="1" si="377"/>
        <v>#DIV/0!</v>
      </c>
      <c r="BL265" s="101">
        <f t="shared" si="425"/>
        <v>0</v>
      </c>
      <c r="BM265" s="91">
        <f t="shared" si="344"/>
        <v>0</v>
      </c>
      <c r="BN265" s="30" t="e">
        <f t="shared" si="404"/>
        <v>#N/A</v>
      </c>
      <c r="BO265" s="30" t="e">
        <f t="shared" si="405"/>
        <v>#N/A</v>
      </c>
      <c r="BP265" s="31" t="e">
        <f>IF(OR(Hypothèses!$B$4=17,Hypothèses!$B$4=18,Hypothèses!$B$4=19,Hypothèses!$B$4=20),
IF($D265="Pressio.",
IF(OR($E265=3,$E265=1,$E265=4),BO265,BN265),
IF($D265="Pénétro.",
IF(OR($E265=3,$E265=1,$E265=4),BO265,BN265))),IF($D265="Pressio.",
IF($E265=3,BO265,BN265),
IF($D265="Pénétro.",
IF($E265=4,BO265,BN265))))</f>
        <v>#N/A</v>
      </c>
      <c r="BQ265" s="31">
        <v>0</v>
      </c>
      <c r="BR265" s="102" t="e">
        <f>IF(NDC!$H$10="Oui",(VLOOKUP($B$3,'Coeff EC7'!$T$39:$X$59,2,0)*BP265+VLOOKUP($B$3,'Coeff EC7'!$T$65:$X$85,2,0)*Model0.1T!BQ265)/1.5,PI()*BN$12*$Q265*($B265-$B264)*0.15/10+BR264)</f>
        <v>#N/A</v>
      </c>
      <c r="BS265" s="102" t="e">
        <f>(VLOOKUP($B$3,'Coeff EC7'!$T$39:$X$59,3,0)*BP265+VLOOKUP($B$3,'Coeff EC7'!$T$65:$X$85,3,0)*Model0.1T!BQ265)/1.1</f>
        <v>#N/A</v>
      </c>
      <c r="BT265" s="102" t="e">
        <f t="shared" si="378"/>
        <v>#N/A</v>
      </c>
      <c r="BU265" s="102" t="e">
        <f t="shared" si="379"/>
        <v>#N/A</v>
      </c>
      <c r="BV265" s="414" t="e">
        <f>IF(AND(BR265&gt;NDC!$C$63,BS265&gt;NDC!$C$65,BT265&gt;NDC!$D$73,BU265&gt;NDC!$D$74,$B265&gt;NDC!$H$22-0.1+MIN(3*BV$12,1.5)),0,1)</f>
        <v>#N/A</v>
      </c>
      <c r="BW265" s="86" t="b">
        <f t="shared" si="345"/>
        <v>0</v>
      </c>
      <c r="BX265" s="86">
        <f t="shared" si="346"/>
        <v>0.5</v>
      </c>
      <c r="BY265" s="86">
        <f t="shared" si="347"/>
        <v>0.5</v>
      </c>
      <c r="BZ265" s="30" t="e">
        <f t="shared" ca="1" si="380"/>
        <v>#DIV/0!</v>
      </c>
      <c r="CA265" s="85" t="e">
        <f ca="1">IF(BG265&lt;=Hypothèses!$V$7,Hypothèses!$W$7,IF(BG265&lt;=Hypothèses!$V$8,Hypothèses!$W$8,IF(BG265&lt;=Hypothèses!$V$9,Hypothèses!$W$9,IF(BG265&lt;=Hypothèses!$V$10,Hypothèses!$W$10,IF(BG265&lt;=Hypothèses!$V$11,Hypothèses!$W$11,IF(BG265&lt;=Hypothèses!$V$12,Hypothèses!$W$12,IF(BG265&lt;=Hypothèses!$V$13,Hypothèses!$W$13,IF(BG265&lt;=Hypothèses!$V$14,Hypothèses!$W$14,IF(BG265&lt;=Hypothèses!$V$15,Hypothèses!$W$15,IF(BG265&lt;=Hypothèses!$V$16,Hypothèses!$W$16,IF(BG265&lt;=Hypothèses!$V$17,Hypothèses!$W$17,IF(BG265&lt;=Hypothèses!$V$18,Hypothèses!$W$18,""))))))))))))</f>
        <v>#DIV/0!</v>
      </c>
      <c r="CB265" s="87" t="e">
        <f t="shared" ca="1" si="419"/>
        <v>#DIV/0!</v>
      </c>
      <c r="CC265" s="88" t="e">
        <f ca="1">IF(BG265&lt;=Hypothèses!$V$7,Hypothèses!$X$7,IF(BG265&lt;=Hypothèses!$V$8,Hypothèses!$X$8,IF(BG265&lt;=Hypothèses!$V$9,Hypothèses!$X$9,IF(BG265&lt;=Hypothèses!$V$10,Hypothèses!$X$10,IF(BG265&lt;=Hypothèses!$V$11,Hypothèses!$X$11,IF(BG265&lt;=Hypothèses!$V$12,Hypothèses!$X$12,IF(BG265&lt;=Hypothèses!$V$13,Hypothèses!$X$13,IF(BG265&lt;=Hypothèses!$V$14,Hypothèses!$X$14,IF(BG265&lt;=Hypothèses!$V$15,Hypothèses!$X$15,IF(BG265&lt;=Hypothèses!$V$16,Hypothèses!$X$16,IF(BG265&lt;=Hypothèses!$U$17,Hypothèses!$W$17,IF(BG265&lt;=Hypothèses!$U$18,Hypothèses!$W$18,""))))))))))))</f>
        <v>#DIV/0!</v>
      </c>
      <c r="CD265" s="95" t="e">
        <f t="shared" ca="1" si="381"/>
        <v>#DIV/0!</v>
      </c>
      <c r="CE265" s="101">
        <f t="shared" si="426"/>
        <v>0</v>
      </c>
      <c r="CF265" s="91">
        <f t="shared" si="348"/>
        <v>0</v>
      </c>
      <c r="CG265" s="30" t="e">
        <f t="shared" si="406"/>
        <v>#N/A</v>
      </c>
      <c r="CH265" s="30" t="e">
        <f t="shared" si="407"/>
        <v>#N/A</v>
      </c>
      <c r="CI265" s="31" t="e">
        <f>IF(OR(Hypothèses!$B$4=17,Hypothèses!$B$4=18,Hypothèses!$B$4=19,Hypothèses!$B$4=20),
IF($D265="Pressio.",
IF(OR($E265=3,$E265=1,$E265=4),CH265,CG265),
IF($D265="Pénétro.",
IF(OR($E265=3,$E265=1,$E265=4),CH265,CG265))),IF($D265="Pressio.",
IF($E265=3,CH265,CG265),
IF($D265="Pénétro.",
IF($E265=4,CH265,CG265))))</f>
        <v>#N/A</v>
      </c>
      <c r="CJ265" s="31">
        <v>0</v>
      </c>
      <c r="CK265" s="102" t="e">
        <f>IF(NDC!$H$10="Oui",(VLOOKUP($B$3,'Coeff EC7'!$T$39:$X$59,2,0)*CI265+VLOOKUP($B$3,'Coeff EC7'!$T$65:$X$85,2,0)*Model0.1T!CJ265)/1.5,PI()*CG$12*$Q265*($B265-$B264)*0.15/10+CK264)</f>
        <v>#N/A</v>
      </c>
      <c r="CL265" s="102" t="e">
        <f>(VLOOKUP($B$3,'Coeff EC7'!$T$39:$X$59,3,0)*CI265+VLOOKUP($B$3,'Coeff EC7'!$T$65:$X$85,3,0)*Model0.1T!CJ265)/1.1</f>
        <v>#N/A</v>
      </c>
      <c r="CM265" s="102" t="e">
        <f t="shared" si="382"/>
        <v>#N/A</v>
      </c>
      <c r="CN265" s="102" t="e">
        <f t="shared" si="383"/>
        <v>#N/A</v>
      </c>
      <c r="CO265" s="414" t="e">
        <f>IF(AND(CK265&gt;NDC!$C$63,CL265&gt;NDC!$C$65,CM265&gt;NDC!$D$73,CN265&gt;NDC!$D$74,$B265&gt;NDC!$H$22-0.1+MIN(3*CO$12,1.5)),0,1)</f>
        <v>#N/A</v>
      </c>
      <c r="CP265" s="86" t="b">
        <f t="shared" si="349"/>
        <v>0</v>
      </c>
      <c r="CQ265" s="86">
        <f t="shared" si="350"/>
        <v>0.5</v>
      </c>
      <c r="CR265" s="86">
        <f t="shared" si="351"/>
        <v>0.5</v>
      </c>
      <c r="CS265" s="30" t="e">
        <f t="shared" ca="1" si="384"/>
        <v>#DIV/0!</v>
      </c>
      <c r="CT265" s="85" t="e">
        <f ca="1">IF(BZ265&lt;=Hypothèses!$V$7,Hypothèses!$W$7,IF(BZ265&lt;=Hypothèses!$V$8,Hypothèses!$W$8,IF(BZ265&lt;=Hypothèses!$V$9,Hypothèses!$W$9,IF(BZ265&lt;=Hypothèses!$V$10,Hypothèses!$W$10,IF(BZ265&lt;=Hypothèses!$V$11,Hypothèses!$W$11,IF(BZ265&lt;=Hypothèses!$V$12,Hypothèses!$W$12,IF(BZ265&lt;=Hypothèses!$V$13,Hypothèses!$W$13,IF(BZ265&lt;=Hypothèses!$V$14,Hypothèses!$W$14,IF(BZ265&lt;=Hypothèses!$V$15,Hypothèses!$W$15,IF(BZ265&lt;=Hypothèses!$V$16,Hypothèses!$W$16,IF(BZ265&lt;=Hypothèses!$V$17,Hypothèses!$W$17,IF(BZ265&lt;=Hypothèses!$V$18,Hypothèses!$W$18,""))))))))))))</f>
        <v>#DIV/0!</v>
      </c>
      <c r="CU265" s="87" t="e">
        <f t="shared" ca="1" si="420"/>
        <v>#DIV/0!</v>
      </c>
      <c r="CV265" s="88" t="e">
        <f ca="1">IF(BZ265&lt;=Hypothèses!$V$7,Hypothèses!$X$7,IF(BZ265&lt;=Hypothèses!$V$8,Hypothèses!$X$8,IF(BZ265&lt;=Hypothèses!$V$9,Hypothèses!$X$9,IF(BZ265&lt;=Hypothèses!$V$10,Hypothèses!$X$10,IF(BZ265&lt;=Hypothèses!$V$11,Hypothèses!$X$11,IF(BZ265&lt;=Hypothèses!$V$12,Hypothèses!$X$12,IF(BZ265&lt;=Hypothèses!$V$13,Hypothèses!$X$13,IF(BZ265&lt;=Hypothèses!$V$14,Hypothèses!$X$14,IF(BZ265&lt;=Hypothèses!$V$15,Hypothèses!$X$15,IF(BZ265&lt;=Hypothèses!$V$16,Hypothèses!$X$16,IF(BZ265&lt;=Hypothèses!$U$17,Hypothèses!$W$17,IF(BZ265&lt;=Hypothèses!$U$18,Hypothèses!$W$18,""))))))))))))</f>
        <v>#DIV/0!</v>
      </c>
      <c r="CW265" s="95" t="e">
        <f t="shared" ca="1" si="385"/>
        <v>#DIV/0!</v>
      </c>
      <c r="CX265" s="101">
        <f t="shared" si="427"/>
        <v>0</v>
      </c>
      <c r="CY265" s="91">
        <f t="shared" si="352"/>
        <v>0</v>
      </c>
      <c r="CZ265" s="30" t="e">
        <f t="shared" si="408"/>
        <v>#N/A</v>
      </c>
      <c r="DA265" s="30" t="e">
        <f t="shared" si="409"/>
        <v>#N/A</v>
      </c>
      <c r="DB265" s="31" t="e">
        <f>IF(OR(Hypothèses!$B$4=17,Hypothèses!$B$4=18,Hypothèses!$B$4=19,Hypothèses!$B$4=20),
IF($D265="Pressio.",
IF(OR($E265=3,$E265=1,$E265=4),DA265,CZ265),
IF($D265="Pénétro.",
IF(OR($E265=3,$E265=1,$E265=4),DA265,CZ265))),IF($D265="Pressio.",
IF($E265=3,DA265,CZ265),
IF($D265="Pénétro.",
IF($E265=4,DA265,CZ265))))</f>
        <v>#N/A</v>
      </c>
      <c r="DC265" s="31">
        <v>0</v>
      </c>
      <c r="DD265" s="102" t="e">
        <f>IF(NDC!$H$10="Oui",(VLOOKUP($B$3,'Coeff EC7'!$T$39:$X$59,2,0)*DB265+VLOOKUP($B$3,'Coeff EC7'!$T$65:$X$85,2,0)*Model0.1T!DC265)/1.5,PI()*CZ$12*$Q265*($B265-$B264)*0.15/10+DD264)</f>
        <v>#N/A</v>
      </c>
      <c r="DE265" s="102" t="e">
        <f>(VLOOKUP($B$3,'Coeff EC7'!$T$39:$X$59,3,0)*DB265+VLOOKUP($B$3,'Coeff EC7'!$T$65:$X$85,3,0)*Model0.1T!DC265)/1.1</f>
        <v>#N/A</v>
      </c>
      <c r="DF265" s="102" t="e">
        <f t="shared" si="386"/>
        <v>#N/A</v>
      </c>
      <c r="DG265" s="102" t="e">
        <f t="shared" si="387"/>
        <v>#N/A</v>
      </c>
      <c r="DH265" s="414" t="e">
        <f>IF(AND(DD265&gt;NDC!$C$63,DE265&gt;NDC!$C$65,DF265&gt;NDC!$D$73,DG265&gt;NDC!$D$74,$B265&gt;NDC!$H$22-0.1+MIN(3*DH$12,1.5)),0,1)</f>
        <v>#N/A</v>
      </c>
      <c r="DI265" s="86" t="b">
        <f t="shared" si="353"/>
        <v>0</v>
      </c>
      <c r="DJ265" s="86">
        <f t="shared" si="354"/>
        <v>0.5</v>
      </c>
      <c r="DK265" s="86">
        <f t="shared" si="355"/>
        <v>0.5</v>
      </c>
      <c r="DL265" s="30" t="e">
        <f t="shared" ca="1" si="388"/>
        <v>#DIV/0!</v>
      </c>
      <c r="DM265" s="85" t="e">
        <f ca="1">IF(CS265&lt;=Hypothèses!$V$7,Hypothèses!$W$7,IF(CS265&lt;=Hypothèses!$V$8,Hypothèses!$W$8,IF(CS265&lt;=Hypothèses!$V$9,Hypothèses!$W$9,IF(CS265&lt;=Hypothèses!$V$10,Hypothèses!$W$10,IF(CS265&lt;=Hypothèses!$V$11,Hypothèses!$W$11,IF(CS265&lt;=Hypothèses!$V$12,Hypothèses!$W$12,IF(CS265&lt;=Hypothèses!$V$13,Hypothèses!$W$13,IF(CS265&lt;=Hypothèses!$V$14,Hypothèses!$W$14,IF(CS265&lt;=Hypothèses!$V$15,Hypothèses!$W$15,IF(CS265&lt;=Hypothèses!$V$16,Hypothèses!$W$16,IF(CS265&lt;=Hypothèses!$V$17,Hypothèses!$W$17,IF(CS265&lt;=Hypothèses!$V$18,Hypothèses!$W$18,""))))))))))))</f>
        <v>#DIV/0!</v>
      </c>
      <c r="DN265" s="87" t="e">
        <f t="shared" ca="1" si="421"/>
        <v>#DIV/0!</v>
      </c>
      <c r="DO265" s="88" t="e">
        <f ca="1">IF(CS265&lt;=Hypothèses!$V$7,Hypothèses!$X$7,IF(CS265&lt;=Hypothèses!$V$8,Hypothèses!$X$8,IF(CS265&lt;=Hypothèses!$V$9,Hypothèses!$X$9,IF(CS265&lt;=Hypothèses!$V$10,Hypothèses!$X$10,IF(CS265&lt;=Hypothèses!$V$11,Hypothèses!$X$11,IF(CS265&lt;=Hypothèses!$V$12,Hypothèses!$X$12,IF(CS265&lt;=Hypothèses!$V$13,Hypothèses!$X$13,IF(CS265&lt;=Hypothèses!$V$14,Hypothèses!$X$14,IF(CS265&lt;=Hypothèses!$V$15,Hypothèses!$X$15,IF(CS265&lt;=Hypothèses!$V$16,Hypothèses!$X$16,IF(CS265&lt;=Hypothèses!$U$17,Hypothèses!$W$17,IF(CS265&lt;=Hypothèses!$U$18,Hypothèses!$W$18,""))))))))))))</f>
        <v>#DIV/0!</v>
      </c>
      <c r="DP265" s="95" t="e">
        <f t="shared" ca="1" si="389"/>
        <v>#DIV/0!</v>
      </c>
      <c r="DQ265" s="101">
        <f t="shared" si="428"/>
        <v>0</v>
      </c>
      <c r="DR265" s="91">
        <f t="shared" si="356"/>
        <v>0</v>
      </c>
      <c r="DS265" s="30" t="e">
        <f t="shared" si="410"/>
        <v>#N/A</v>
      </c>
      <c r="DT265" s="30" t="e">
        <f t="shared" si="411"/>
        <v>#N/A</v>
      </c>
      <c r="DU265" s="31" t="e">
        <f>IF(OR(Hypothèses!$B$4=17,Hypothèses!$B$4=18,Hypothèses!$B$4=19,Hypothèses!$B$4=20),
IF($D265="Pressio.",
IF(OR($E265=3,$E265=1,$E265=4),DT265,DS265),
IF($D265="Pénétro.",
IF(OR($E265=3,$E265=1,$E265=4),DT265,DS265))),IF($D265="Pressio.",
IF($E265=3,DT265,DS265),
IF($D265="Pénétro.",
IF($E265=4,DT265,DS265))))</f>
        <v>#N/A</v>
      </c>
      <c r="DV265" s="31">
        <v>0</v>
      </c>
      <c r="DW265" s="102" t="e">
        <f>IF(NDC!$H$10="Oui",(VLOOKUP($B$3,'Coeff EC7'!$T$39:$X$59,2,0)*DU265+VLOOKUP($B$3,'Coeff EC7'!$T$65:$X$85,2,0)*Model0.1T!DV265)/1.5,PI()*DS$12*$Q265*($B265-$B264)*0.15/10+DW264)</f>
        <v>#N/A</v>
      </c>
      <c r="DX265" s="102" t="e">
        <f>(VLOOKUP($B$3,'Coeff EC7'!$T$39:$X$59,3,0)*DU265+VLOOKUP($B$3,'Coeff EC7'!$T$65:$X$85,3,0)*Model0.1T!DV265)/1.1</f>
        <v>#N/A</v>
      </c>
      <c r="DY265" s="102" t="e">
        <f t="shared" si="390"/>
        <v>#N/A</v>
      </c>
      <c r="DZ265" s="102" t="e">
        <f t="shared" si="391"/>
        <v>#N/A</v>
      </c>
      <c r="EA265" s="414" t="e">
        <f>IF(AND(DW265&gt;NDC!$C$63,DX265&gt;NDC!$C$65,DY265&gt;NDC!$D$73,DZ265&gt;NDC!$D$74,$B265&gt;NDC!$H$22-0.1+MIN(3*EA$12,1.5)),0,1)</f>
        <v>#N/A</v>
      </c>
      <c r="EB265" s="86" t="b">
        <f t="shared" si="357"/>
        <v>0</v>
      </c>
      <c r="EC265" s="418">
        <f t="shared" si="358"/>
        <v>0.51</v>
      </c>
      <c r="ED265" s="86">
        <f t="shared" si="359"/>
        <v>0.51</v>
      </c>
      <c r="EE265" s="30" t="e">
        <f t="shared" ca="1" si="392"/>
        <v>#DIV/0!</v>
      </c>
      <c r="EF265" s="85" t="e">
        <f ca="1">IF(DL265&lt;=Hypothèses!$V$7,Hypothèses!$W$7,IF(DL265&lt;=Hypothèses!$V$8,Hypothèses!$W$8,IF(DL265&lt;=Hypothèses!$V$9,Hypothèses!$W$9,IF(DL265&lt;=Hypothèses!$V$10,Hypothèses!$W$10,IF(DL265&lt;=Hypothèses!$V$11,Hypothèses!$W$11,IF(DL265&lt;=Hypothèses!$V$12,Hypothèses!$W$12,IF(DL265&lt;=Hypothèses!$V$13,Hypothèses!$W$13,IF(DL265&lt;=Hypothèses!$V$14,Hypothèses!$W$14,IF(DL265&lt;=Hypothèses!$V$15,Hypothèses!$W$15,IF(DL265&lt;=Hypothèses!$V$16,Hypothèses!$W$16,IF(DL265&lt;=Hypothèses!$V$17,Hypothèses!$W$17,IF(DL265&lt;=Hypothèses!$V$18,Hypothèses!$W$18,""))))))))))))</f>
        <v>#DIV/0!</v>
      </c>
      <c r="EG265" s="87" t="e">
        <f t="shared" ca="1" si="422"/>
        <v>#DIV/0!</v>
      </c>
      <c r="EH265" s="88" t="e">
        <f ca="1">IF(DL265&lt;=Hypothèses!$V$7,Hypothèses!$X$7,IF(DL265&lt;=Hypothèses!$V$8,Hypothèses!$X$8,IF(DL265&lt;=Hypothèses!$V$9,Hypothèses!$X$9,IF(DL265&lt;=Hypothèses!$V$10,Hypothèses!$X$10,IF(DL265&lt;=Hypothèses!$V$11,Hypothèses!$X$11,IF(DL265&lt;=Hypothèses!$V$12,Hypothèses!$X$12,IF(DL265&lt;=Hypothèses!$V$13,Hypothèses!$X$13,IF(DL265&lt;=Hypothèses!$V$14,Hypothèses!$X$14,IF(DL265&lt;=Hypothèses!$V$15,Hypothèses!$X$15,IF(DL265&lt;=Hypothèses!$V$16,Hypothèses!$X$16,IF(DL265&lt;=Hypothèses!$U$17,Hypothèses!$W$17,IF(DL265&lt;=Hypothèses!$U$18,Hypothèses!$W$18,""))))))))))))</f>
        <v>#DIV/0!</v>
      </c>
      <c r="EI265" s="95" t="e">
        <f t="shared" ca="1" si="393"/>
        <v>#DIV/0!</v>
      </c>
      <c r="EJ265" s="101">
        <f t="shared" si="429"/>
        <v>0</v>
      </c>
      <c r="EK265" s="91">
        <f t="shared" si="360"/>
        <v>0</v>
      </c>
      <c r="EL265" s="30" t="e">
        <f t="shared" si="412"/>
        <v>#N/A</v>
      </c>
      <c r="EM265" s="30" t="e">
        <f t="shared" si="413"/>
        <v>#N/A</v>
      </c>
      <c r="EN265" s="31" t="e">
        <f>IF(OR(Hypothèses!$B$4=17,Hypothèses!$B$4=18,Hypothèses!$B$4=19,Hypothèses!$B$4=20),
IF($D265="Pressio.",
IF(OR($E265=3,$E265=1,$E265=4),EM265,EL265),
IF($D265="Pénétro.",
IF(OR($E265=3,$E265=1,$E265=4),EM265,EL265))),IF($D265="Pressio.",
IF($E265=3,EM265,EL265),
IF($D265="Pénétro.",
IF($E265=4,EM265,EL265))))</f>
        <v>#N/A</v>
      </c>
      <c r="EO265" s="31">
        <v>0</v>
      </c>
      <c r="EP265" s="102" t="e">
        <f>IF(NDC!$H$10="Oui",(VLOOKUP($B$3,'Coeff EC7'!$T$39:$X$59,2,0)*EN265+VLOOKUP($B$3,'Coeff EC7'!$T$65:$X$85,2,0)*Model0.1T!EO265)/1.5,PI()*EL$12*$Q265*($B265-$B264)*0.15/10+EP264)</f>
        <v>#N/A</v>
      </c>
      <c r="EQ265" s="102" t="e">
        <f>(VLOOKUP($B$3,'Coeff EC7'!$T$39:$X$59,3,0)*EN265+VLOOKUP($B$3,'Coeff EC7'!$T$65:$X$85,3,0)*Model0.1T!EO265)/1.1</f>
        <v>#N/A</v>
      </c>
      <c r="ER265" s="102" t="e">
        <f t="shared" si="394"/>
        <v>#N/A</v>
      </c>
      <c r="ES265" s="102" t="e">
        <f t="shared" si="395"/>
        <v>#N/A</v>
      </c>
      <c r="ET265" s="414" t="e">
        <f>IF(AND(EP265&gt;NDC!$C$63,EQ265&gt;NDC!$C$65,ER265&gt;NDC!$D$73,ES265&gt;NDC!$D$74,$B265&gt;NDC!$H$22-0.1+MIN(3*ET$12,1.5)),0,1)</f>
        <v>#N/A</v>
      </c>
      <c r="EU265" s="86" t="b">
        <f t="shared" si="361"/>
        <v>0</v>
      </c>
      <c r="EV265" s="86">
        <f t="shared" si="362"/>
        <v>0.61</v>
      </c>
      <c r="EW265" s="86">
        <f t="shared" si="363"/>
        <v>0.61</v>
      </c>
      <c r="EX265" s="30" t="e">
        <f t="shared" ca="1" si="396"/>
        <v>#DIV/0!</v>
      </c>
      <c r="EY265" s="85" t="e">
        <f ca="1">IF(EE265&lt;=Hypothèses!$V$7,Hypothèses!$W$7,IF(EE265&lt;=Hypothèses!$V$8,Hypothèses!$W$8,IF(EE265&lt;=Hypothèses!$V$9,Hypothèses!$W$9,IF(EE265&lt;=Hypothèses!$V$10,Hypothèses!$W$10,IF(EE265&lt;=Hypothèses!$V$11,Hypothèses!$W$11,IF(EE265&lt;=Hypothèses!$V$12,Hypothèses!$W$12,IF(EE265&lt;=Hypothèses!$V$13,Hypothèses!$W$13,IF(EE265&lt;=Hypothèses!$V$14,Hypothèses!$W$14,IF(EE265&lt;=Hypothèses!$V$15,Hypothèses!$W$15,IF(EE265&lt;=Hypothèses!$V$16,Hypothèses!$W$16,IF(EE265&lt;=Hypothèses!$V$17,Hypothèses!$W$17,IF(EE265&lt;=Hypothèses!$V$18,Hypothèses!$W$18,""))))))))))))</f>
        <v>#DIV/0!</v>
      </c>
      <c r="EZ265" s="87" t="e">
        <f t="shared" ca="1" si="423"/>
        <v>#DIV/0!</v>
      </c>
      <c r="FA265" s="88" t="e">
        <f ca="1">IF(EE265&lt;=Hypothèses!$V$7,Hypothèses!$X$7,IF(EE265&lt;=Hypothèses!$V$8,Hypothèses!$X$8,IF(EE265&lt;=Hypothèses!$V$9,Hypothèses!$X$9,IF(EE265&lt;=Hypothèses!$V$10,Hypothèses!$X$10,IF(EE265&lt;=Hypothèses!$V$11,Hypothèses!$X$11,IF(EE265&lt;=Hypothèses!$V$12,Hypothèses!$X$12,IF(EE265&lt;=Hypothèses!$V$13,Hypothèses!$X$13,IF(EE265&lt;=Hypothèses!$V$14,Hypothèses!$X$14,IF(EE265&lt;=Hypothèses!$V$15,Hypothèses!$X$15,IF(EE265&lt;=Hypothèses!$V$16,Hypothèses!$X$16,IF(EE265&lt;=Hypothèses!$U$17,Hypothèses!$W$17,IF(EE265&lt;=Hypothèses!$U$18,Hypothèses!$W$18,""))))))))))))</f>
        <v>#DIV/0!</v>
      </c>
      <c r="FB265" s="95" t="e">
        <f t="shared" ca="1" si="397"/>
        <v>#DIV/0!</v>
      </c>
      <c r="FC265" s="101">
        <f t="shared" si="430"/>
        <v>0</v>
      </c>
      <c r="FD265" s="91">
        <f t="shared" si="364"/>
        <v>0</v>
      </c>
      <c r="FE265" s="30" t="e">
        <f t="shared" si="414"/>
        <v>#N/A</v>
      </c>
      <c r="FF265" s="30" t="e">
        <f t="shared" si="415"/>
        <v>#N/A</v>
      </c>
      <c r="FG265" s="31" t="e">
        <f>IF(OR(Hypothèses!$B$4=17,Hypothèses!$B$4=18,Hypothèses!$B$4=19,Hypothèses!$B$4=20),
IF($D265="Pressio.",
IF(OR($E265=3,$E265=1,$E265=4),FF265,FE265),
IF($D265="Pénétro.",
IF(OR($E265=3,$E265=1,$E265=4),FF265,FE265))),IF($D265="Pressio.",
IF($E265=3,FF265,FE265),
IF($D265="Pénétro.",
IF($E265=4,FF265,FE265))))</f>
        <v>#N/A</v>
      </c>
      <c r="FH265" s="31">
        <v>0</v>
      </c>
      <c r="FI265" s="102" t="e">
        <f>IF(NDC!$H$10="Oui",(VLOOKUP($B$3,'Coeff EC7'!$T$39:$X$59,2,0)*FG265+VLOOKUP($B$3,'Coeff EC7'!$T$65:$X$85,2,0)*Model0.1T!FH265)/1.5,PI()*FE$12*$Q265*($B265-$B264)*0.15/10+FI264)</f>
        <v>#N/A</v>
      </c>
      <c r="FJ265" s="102" t="e">
        <f>(VLOOKUP($B$3,'Coeff EC7'!$T$39:$X$59,3,0)*FG265+VLOOKUP($B$3,'Coeff EC7'!$T$65:$X$85,3,0)*Model0.1T!FH265)/1.1</f>
        <v>#N/A</v>
      </c>
      <c r="FK265" s="102" t="e">
        <f t="shared" si="398"/>
        <v>#N/A</v>
      </c>
      <c r="FL265" s="102" t="e">
        <f t="shared" si="399"/>
        <v>#N/A</v>
      </c>
      <c r="FM265" s="414" t="e">
        <f>IF(AND(FI265&gt;NDC!$C$63,FJ265&gt;NDC!$C$65,FK265&gt;NDC!$D$73,FL265&gt;NDC!$D$74,$B265&gt;NDC!$H$22-0.1+MIN(3*FM$12,1.5)),0,1)</f>
        <v>#N/A</v>
      </c>
    </row>
    <row r="266" spans="1:169">
      <c r="A266" s="96">
        <f t="shared" si="365"/>
        <v>74.700000000001438</v>
      </c>
      <c r="B266" s="97">
        <v>25.3</v>
      </c>
      <c r="C266" s="81">
        <f>IF(B266&lt;=Hypothèses!$C$7,Hypothèses!$A$7,IF(B266&lt;=Hypothèses!$C$8,Hypothèses!$A$8,IF(B266&lt;=Hypothèses!$C$9,Hypothèses!$A$9,IF(B266&lt;=Hypothèses!$C$10,Hypothèses!$A$10,IF(B266&lt;=Hypothèses!$C$11,Hypothèses!$A$11,IF(B266&lt;=Hypothèses!$C$12,Hypothèses!$A$12,IF(B266&lt;=Hypothèses!$C$13,Hypothèses!$A$13,IF(B266&lt;=Hypothèses!$C$14,Hypothèses!$A$14,IF(B266&lt;=Hypothèses!$C$15,Hypothèses!$A$15,IF(B266&lt;=Hypothèses!$C$16,Hypothèses!$A$16,IF(B266&lt;=Hypothèses!$C$17,Hypothèses!$A$17,IF(B266&lt;=Hypothèses!$C$18,Hypothèses!$A$18,C265))))))))))))</f>
        <v>11</v>
      </c>
      <c r="D266" s="82" t="str">
        <f>IF(B266&lt;=Hypothèses!$C$7,Hypothèses!$R$7,IF(B266&lt;=Hypothèses!$C$8,Hypothèses!$R$8,IF(B266&lt;=Hypothèses!$C$9,Hypothèses!$R$9,IF(B266&lt;=Hypothèses!$C$10,Hypothèses!$R$10,IF(B266&lt;=Hypothèses!$C$11,Hypothèses!$R$11,IF(B266&lt;=Hypothèses!$C$12,Hypothèses!$R$12,IF(B266&lt;=Hypothèses!$C$13,Hypothèses!$R$13,IF(B266&lt;=Hypothèses!$C$14,Hypothèses!$R$14,IF(B266&lt;=Hypothèses!$C$15,Hypothèses!$R$15,IF(B266&lt;=Hypothèses!$C$16,Hypothèses!$R$16,IF(B266&lt;=Hypothèses!$C$17,Hypothèses!$R$17,IF(B266&lt;=Hypothèses!$C$18,Hypothèses!$R$18,D265))))))))))))</f>
        <v>Pressio.</v>
      </c>
      <c r="E266" s="82" t="e">
        <f>IF(B266&lt;=Hypothèses!$C$7,Hypothèses!$G$7,IF(B266&lt;=Hypothèses!$C$8,Hypothèses!$G$8,IF(B266&lt;=Hypothèses!$C$9,Hypothèses!$G$9,IF(B266&lt;=Hypothèses!$C$10,Hypothèses!$G$10,IF(B266&lt;=Hypothèses!$C$11,Hypothèses!$G$11,IF(B266&lt;=Hypothèses!$C$12,Hypothèses!$G$12,IF(B266&lt;=Hypothèses!$C$13,Hypothèses!$G$13,IF(B266&lt;=Hypothèses!$C$14,Hypothèses!$G$14,IF(B266&lt;=Hypothèses!$C$15,Hypothèses!$G$15,IF(B266&lt;=Hypothèses!$C$16,Hypothèses!$G$16,IF(B266&lt;=Hypothèses!$C$17,Hypothèses!$G$17,IF(B266&lt;=Hypothèses!$C$18,Hypothèses!$G$18,E265))))))))))))</f>
        <v>#N/A</v>
      </c>
      <c r="F266" s="82" t="str">
        <f>IF(B266&lt;=Hypothèses!$C$7,Hypothèses!$F$7,IF(B266&lt;=Hypothèses!$C$8,Hypothèses!$F$8,IF(B266&lt;=Hypothèses!$C$9,Hypothèses!$F$9,IF(B266&lt;=Hypothèses!$C$10,Hypothèses!$F$10,IF(B266&lt;=Hypothèses!$C$11,Hypothèses!$F$11,IF(B266&lt;=Hypothèses!$C$12,Hypothèses!$F$12,IF(B266&lt;=Hypothèses!$C$13,Hypothèses!$F$13,IF(B266&lt;=Hypothèses!$C$14,Hypothèses!$F$14,IF(B266&lt;=Hypothèses!$C$15,Hypothèses!$F$15,IF(B266&lt;=Hypothèses!$C$16,Hypothèses!$F$16,IF(B266&lt;=Hypothèses!$C$17,Hypothèses!$F$17,IF(B266&lt;=Hypothèses!$C$18,Hypothèses!$F$18,F265))))))))))))</f>
        <v/>
      </c>
      <c r="G266" s="91">
        <f t="array" ref="G266">INDEX('Coeff EC7'!$U$7:$X$27,
MATCH(Model0.1T!$B$3,'Coeff EC7'!$T$7:$T$27,0),
MATCH(Model0.1T!$D266&amp;Model0.1T!$B$4,
'Coeff EC7'!$U$6:$X$6&amp;
'Coeff EC7'!$U$5:$X$5,0))</f>
        <v>1.4</v>
      </c>
      <c r="H266" s="91">
        <f t="array" ref="H266">INDEX('Coeff EC7'!$Y$7:$AB$27,
MATCH(Model0.1T!$B$3,'Coeff EC7'!$T$7:$T$27,0),
MATCH(Model0.1T!$D266&amp;Model0.1T!$B$4,
'Coeff EC7'!$Y$6:$AB$6&amp;
'Coeff EC7'!$Y$5:$AB$5,0))</f>
        <v>1.7</v>
      </c>
      <c r="I266" s="83">
        <v>0</v>
      </c>
      <c r="J266" s="91" t="e">
        <f t="array" ref="J266">INDEX('Coeff EC7'!$D$33:$Q$33,1,MATCH(D266&amp;E266,'Coeff EC7'!$D$31:$Q$31&amp;'Coeff EC7'!$D$32:$Q$32,0))</f>
        <v>#N/A</v>
      </c>
      <c r="K266" s="91" t="e">
        <f t="array" ref="K266">INDEX('Coeff EC7'!$D$34:$Q$34,1,MATCH(D266&amp;E266,'Coeff EC7'!$D$31:$Q$31&amp;'Coeff EC7'!$D$32:$Q$32,0))</f>
        <v>#N/A</v>
      </c>
      <c r="L266" s="91" t="e">
        <f t="array" ref="L266">INDEX('Coeff EC7'!$D$35:$Q$35,1,MATCH(D266&amp;E266,'Coeff EC7'!$D$31:$Q$31&amp;'Coeff EC7'!$D$32:$Q$32,0))</f>
        <v>#N/A</v>
      </c>
      <c r="M266" s="98" t="e">
        <f t="shared" si="331"/>
        <v>#N/A</v>
      </c>
      <c r="N266" s="99" t="e">
        <f t="array" ref="N266">INDEX('Coeff EC7'!$D$7:$Q$27,MATCH($B$3,'Coeff EC7'!$C$7:$C$27,0),MATCH(D266&amp;E266,'Coeff EC7'!$D$5:$Q$5&amp;'Coeff EC7'!$D$6:$Q$6,0))</f>
        <v>#N/A</v>
      </c>
      <c r="O266" s="99" t="e">
        <f t="array" ref="O266">INDEX('Coeff EC7'!$D$41:$Q$61,MATCH($B$3,'Coeff EC7'!$C$41:$C$61,0),MATCH(D266&amp;E266,'Coeff EC7'!$D$39:$Q$39&amp;'Coeff EC7'!$D$40:$Q$40,0))</f>
        <v>#N/A</v>
      </c>
      <c r="P266" s="30" t="e">
        <f t="shared" si="366"/>
        <v>#N/A</v>
      </c>
      <c r="Q266" s="100" t="e">
        <f t="shared" si="333"/>
        <v>#N/A</v>
      </c>
      <c r="R266" s="86" t="b">
        <f t="shared" si="334"/>
        <v>0</v>
      </c>
      <c r="S266" s="86">
        <f t="shared" si="332"/>
        <v>0.5</v>
      </c>
      <c r="T266" s="86">
        <f t="shared" si="335"/>
        <v>0.5</v>
      </c>
      <c r="U266" s="30" t="e">
        <f t="shared" ca="1" si="367"/>
        <v>#DIV/0!</v>
      </c>
      <c r="V266" s="85" t="str">
        <f>IF(B266&lt;=Hypothèses!$V$7,Hypothèses!$W$7,IF(B266&lt;=Hypothèses!$V$8,Hypothèses!$W$8,IF(B266&lt;=Hypothèses!$V$9,Hypothèses!$W$9,IF(B266&lt;=Hypothèses!$V$10,Hypothèses!$W$10,IF(B266&lt;=Hypothèses!$V$11,Hypothèses!$W$11,IF(B266&lt;=Hypothèses!$V$12,Hypothèses!$W$12,IF(B266&lt;=Hypothèses!$V$13,Hypothèses!$W$13,IF(B266&lt;=Hypothèses!$V$14,Hypothèses!$W$14,IF(B266&lt;=Hypothèses!$V$15,Hypothèses!$W$15,IF(B266&lt;=Hypothèses!$V$16,Hypothèses!$W$16,IF(B266&lt;=Hypothèses!$V$17,Hypothèses!$W$17,IF(B266&lt;=Hypothèses!$V$18,Hypothèses!$W$18,""))))))))))))</f>
        <v/>
      </c>
      <c r="W266" s="87" t="e">
        <f t="shared" ca="1" si="416"/>
        <v>#DIV/0!</v>
      </c>
      <c r="X266" s="88" t="str">
        <f>IF(B266&lt;=Hypothèses!$V$7,Hypothèses!$X$7,IF(B266&lt;=Hypothèses!$V$8,Hypothèses!$X$8,IF(B266&lt;=Hypothèses!$V$9,Hypothèses!$X$9,IF(B266&lt;=Hypothèses!$V$10,Hypothèses!$X$10,IF(B266&lt;=Hypothèses!$V$11,Hypothèses!$X$11,IF(B266&lt;=Hypothèses!$V$12,Hypothèses!$X$12,IF(B266&lt;=Hypothèses!$V$13,Hypothèses!$X$13,IF(B266&lt;=Hypothèses!$V$14,Hypothèses!$X$14,IF(B266&lt;=Hypothèses!$V$15,Hypothèses!$X$15,IF(B266&lt;=Hypothèses!$V$16,Hypothèses!$X$16,IF(B266&lt;=Hypothèses!$U$17,Hypothèses!$W$17,IF(B266&lt;=Hypothèses!$U$18,Hypothèses!$W$18,""))))))))))))</f>
        <v/>
      </c>
      <c r="Y266" s="95" t="e">
        <f t="shared" ca="1" si="336"/>
        <v>#DIV/0!</v>
      </c>
      <c r="Z266" s="101">
        <f t="shared" si="337"/>
        <v>0</v>
      </c>
      <c r="AA266" s="91">
        <f t="shared" si="338"/>
        <v>0</v>
      </c>
      <c r="AB266" s="30" t="e">
        <f t="shared" si="400"/>
        <v>#N/A</v>
      </c>
      <c r="AC266" s="30" t="e">
        <f t="shared" si="401"/>
        <v>#N/A</v>
      </c>
      <c r="AD266" s="31" t="e">
        <f>IF(OR(Hypothèses!$B$4=17,Hypothèses!$B$4=18,Hypothèses!$B$4=19,Hypothèses!$B$4=20),
IF($D266="Pressio.",
IF(OR($E266=3,$E266=1,$E266=4),AC266,AB266),
IF($D266="Pénétro.",
IF(OR($E266=3,$E266=1,$E266=4),AC266,AB266))),IF($D266="Pressio.",
IF($E266=3,AC266,AB266),
IF($D266="Pénétro.",
IF($E266=4,AC266,AB266))))</f>
        <v>#N/A</v>
      </c>
      <c r="AE266" s="31">
        <v>0</v>
      </c>
      <c r="AF266" s="102" t="e">
        <f>IF(NDC!$H$10="Oui",(VLOOKUP($B$3,'Coeff EC7'!$T$39:$X$59,2,0)*AD266+VLOOKUP($B$3,'Coeff EC7'!$T$65:$X$85,2,0)*Model0.1T!AE266)/1.5,PI()*AB$12*$Q266*($B266-$B265)*0.15/10+AF265)</f>
        <v>#N/A</v>
      </c>
      <c r="AG266" s="102" t="e">
        <f>(VLOOKUP($B$3,'Coeff EC7'!$T$39:$X$59,3,0)*AD266+VLOOKUP($B$3,'Coeff EC7'!$T$65:$X$85,3,0)*Model0.1T!AE266)/1.1</f>
        <v>#N/A</v>
      </c>
      <c r="AH266" s="102" t="e">
        <f t="shared" si="368"/>
        <v>#N/A</v>
      </c>
      <c r="AI266" s="102" t="e">
        <f t="shared" si="369"/>
        <v>#N/A</v>
      </c>
      <c r="AJ266" s="414" t="e">
        <f>IF(AND(AF266&gt;NDC!$C$63,AG266&gt;NDC!$C$65,AH266&gt;NDC!$D$73,AI266&gt;NDC!$D$74,$B266&gt;NDC!$H$22-0.1+MIN(3*$AJ$12,1.5)),0,1)</f>
        <v>#N/A</v>
      </c>
      <c r="AK266" s="86" t="b">
        <f t="shared" si="339"/>
        <v>0</v>
      </c>
      <c r="AL266" s="86">
        <f t="shared" si="370"/>
        <v>0.5</v>
      </c>
      <c r="AM266" s="86">
        <f t="shared" si="340"/>
        <v>0.5</v>
      </c>
      <c r="AN266" s="30" t="e">
        <f t="shared" ca="1" si="371"/>
        <v>#DIV/0!</v>
      </c>
      <c r="AO266" s="85" t="e">
        <f ca="1">IF(U266&lt;=Hypothèses!$V$7,Hypothèses!$W$7,IF(U266&lt;=Hypothèses!$V$8,Hypothèses!$W$8,IF(U266&lt;=Hypothèses!$V$9,Hypothèses!$W$9,IF(U266&lt;=Hypothèses!$V$10,Hypothèses!$W$10,IF(U266&lt;=Hypothèses!$V$11,Hypothèses!$W$11,IF(U266&lt;=Hypothèses!$V$12,Hypothèses!$W$12,IF(U266&lt;=Hypothèses!$V$13,Hypothèses!$W$13,IF(U266&lt;=Hypothèses!$V$14,Hypothèses!$W$14,IF(U266&lt;=Hypothèses!$V$15,Hypothèses!$W$15,IF(U266&lt;=Hypothèses!$V$16,Hypothèses!$W$16,IF(U266&lt;=Hypothèses!$V$17,Hypothèses!$W$17,IF(U266&lt;=Hypothèses!$V$18,Hypothèses!$W$18,""))))))))))))</f>
        <v>#DIV/0!</v>
      </c>
      <c r="AP266" s="87" t="e">
        <f t="shared" ca="1" si="417"/>
        <v>#DIV/0!</v>
      </c>
      <c r="AQ266" s="88" t="e">
        <f ca="1">IF(U266&lt;=Hypothèses!$V$7,Hypothèses!$X$7,IF(U266&lt;=Hypothèses!$V$8,Hypothèses!$X$8,IF(U266&lt;=Hypothèses!$V$9,Hypothèses!$X$9,IF(U266&lt;=Hypothèses!$V$10,Hypothèses!$X$10,IF(U266&lt;=Hypothèses!$V$11,Hypothèses!$X$11,IF(U266&lt;=Hypothèses!$V$12,Hypothèses!$X$12,IF(U266&lt;=Hypothèses!$V$13,Hypothèses!$X$13,IF(U266&lt;=Hypothèses!$V$14,Hypothèses!$X$14,IF(U266&lt;=Hypothèses!$V$15,Hypothèses!$X$15,IF(U266&lt;=Hypothèses!$V$16,Hypothèses!$X$16,IF(U266&lt;=Hypothèses!$U$17,Hypothèses!$W$17,IF(U266&lt;=Hypothèses!$U$18,Hypothèses!$W$18,""))))))))))))</f>
        <v>#DIV/0!</v>
      </c>
      <c r="AR266" s="95" t="e">
        <f t="shared" ca="1" si="372"/>
        <v>#DIV/0!</v>
      </c>
      <c r="AS266" s="101">
        <f t="shared" si="424"/>
        <v>0</v>
      </c>
      <c r="AT266" s="91">
        <f t="shared" si="341"/>
        <v>0</v>
      </c>
      <c r="AU266" s="30" t="e">
        <f t="shared" si="402"/>
        <v>#N/A</v>
      </c>
      <c r="AV266" s="30" t="e">
        <f t="shared" si="403"/>
        <v>#N/A</v>
      </c>
      <c r="AW266" s="31" t="e">
        <f>IF(OR(Hypothèses!$B$4=17,Hypothèses!$B$4=18,Hypothèses!$B$4=19,Hypothèses!$B$4=20),
IF($D266="Pressio.",
IF(OR($E266=3,$E266=1,$E266=4),AV266,AU266),
IF($D266="Pénétro.",
IF(OR($E266=3,$E266=1,$E266=4),AV266,AU266))),IF($D266="Pressio.",
IF($E266=3,AV266,AU266),
IF($D266="Pénétro.",
IF($E266=4,AV266,AU266))))</f>
        <v>#N/A</v>
      </c>
      <c r="AX266" s="31">
        <v>0</v>
      </c>
      <c r="AY266" s="102" t="e">
        <f>IF(NDC!$H$10="Oui",(VLOOKUP($B$3,'Coeff EC7'!$T$39:$X$59,2,0)*AW266+VLOOKUP($B$3,'Coeff EC7'!$T$65:$X$85,2,0)*Model0.1T!AX266)/1.5,PI()*AU$12*$Q266*($B266-$B265)*0.15/10+AY265)</f>
        <v>#N/A</v>
      </c>
      <c r="AZ266" s="102" t="e">
        <f>(VLOOKUP($B$3,'Coeff EC7'!$T$39:$X$59,3,0)*AW266+VLOOKUP($B$3,'Coeff EC7'!$T$65:$X$85,3,0)*Model0.1T!AX266)/1.1</f>
        <v>#N/A</v>
      </c>
      <c r="BA266" s="102" t="e">
        <f t="shared" si="373"/>
        <v>#N/A</v>
      </c>
      <c r="BB266" s="102" t="e">
        <f t="shared" si="374"/>
        <v>#N/A</v>
      </c>
      <c r="BC266" s="414" t="e">
        <f>IF(AND(AY266&gt;NDC!$C$63,AZ266&gt;NDC!$C$65,BA266&gt;NDC!$D$73,BB266&gt;NDC!$D$74,$B266&gt;NDC!$H$22-0.1+MIN(3*BC$12,1.5)),0,1)</f>
        <v>#N/A</v>
      </c>
      <c r="BD266" s="86" t="b">
        <f t="shared" si="342"/>
        <v>0</v>
      </c>
      <c r="BE266" s="86">
        <f t="shared" si="375"/>
        <v>0.5</v>
      </c>
      <c r="BF266" s="86">
        <f t="shared" si="343"/>
        <v>0.5</v>
      </c>
      <c r="BG266" s="30" t="e">
        <f t="shared" ca="1" si="376"/>
        <v>#DIV/0!</v>
      </c>
      <c r="BH266" s="85" t="e">
        <f ca="1">IF(AN266&lt;=Hypothèses!$V$7,Hypothèses!$W$7,IF(AN266&lt;=Hypothèses!$V$8,Hypothèses!$W$8,IF(AN266&lt;=Hypothèses!$V$9,Hypothèses!$W$9,IF(AN266&lt;=Hypothèses!$V$10,Hypothèses!$W$10,IF(AN266&lt;=Hypothèses!$V$11,Hypothèses!$W$11,IF(AN266&lt;=Hypothèses!$V$12,Hypothèses!$W$12,IF(AN266&lt;=Hypothèses!$V$13,Hypothèses!$W$13,IF(AN266&lt;=Hypothèses!$V$14,Hypothèses!$W$14,IF(AN266&lt;=Hypothèses!$V$15,Hypothèses!$W$15,IF(AN266&lt;=Hypothèses!$V$16,Hypothèses!$W$16,IF(AN266&lt;=Hypothèses!$V$17,Hypothèses!$W$17,IF(AN266&lt;=Hypothèses!$V$18,Hypothèses!$W$18,""))))))))))))</f>
        <v>#DIV/0!</v>
      </c>
      <c r="BI266" s="87" t="e">
        <f t="shared" ca="1" si="418"/>
        <v>#DIV/0!</v>
      </c>
      <c r="BJ266" s="88" t="e">
        <f ca="1">IF(AN266&lt;=Hypothèses!$V$7,Hypothèses!$X$7,IF(AN266&lt;=Hypothèses!$V$8,Hypothèses!$X$8,IF(AN266&lt;=Hypothèses!$V$9,Hypothèses!$X$9,IF(AN266&lt;=Hypothèses!$V$10,Hypothèses!$X$10,IF(AN266&lt;=Hypothèses!$V$11,Hypothèses!$X$11,IF(AN266&lt;=Hypothèses!$V$12,Hypothèses!$X$12,IF(AN266&lt;=Hypothèses!$V$13,Hypothèses!$X$13,IF(AN266&lt;=Hypothèses!$V$14,Hypothèses!$X$14,IF(AN266&lt;=Hypothèses!$V$15,Hypothèses!$X$15,IF(AN266&lt;=Hypothèses!$V$16,Hypothèses!$X$16,IF(AN266&lt;=Hypothèses!$U$17,Hypothèses!$W$17,IF(AN266&lt;=Hypothèses!$U$18,Hypothèses!$W$18,""))))))))))))</f>
        <v>#DIV/0!</v>
      </c>
      <c r="BK266" s="95" t="e">
        <f t="shared" ca="1" si="377"/>
        <v>#DIV/0!</v>
      </c>
      <c r="BL266" s="101">
        <f t="shared" si="425"/>
        <v>0</v>
      </c>
      <c r="BM266" s="91">
        <f t="shared" si="344"/>
        <v>0</v>
      </c>
      <c r="BN266" s="30" t="e">
        <f t="shared" si="404"/>
        <v>#N/A</v>
      </c>
      <c r="BO266" s="30" t="e">
        <f t="shared" si="405"/>
        <v>#N/A</v>
      </c>
      <c r="BP266" s="31" t="e">
        <f>IF(OR(Hypothèses!$B$4=17,Hypothèses!$B$4=18,Hypothèses!$B$4=19,Hypothèses!$B$4=20),
IF($D266="Pressio.",
IF(OR($E266=3,$E266=1,$E266=4),BO266,BN266),
IF($D266="Pénétro.",
IF(OR($E266=3,$E266=1,$E266=4),BO266,BN266))),IF($D266="Pressio.",
IF($E266=3,BO266,BN266),
IF($D266="Pénétro.",
IF($E266=4,BO266,BN266))))</f>
        <v>#N/A</v>
      </c>
      <c r="BQ266" s="31">
        <v>0</v>
      </c>
      <c r="BR266" s="102" t="e">
        <f>IF(NDC!$H$10="Oui",(VLOOKUP($B$3,'Coeff EC7'!$T$39:$X$59,2,0)*BP266+VLOOKUP($B$3,'Coeff EC7'!$T$65:$X$85,2,0)*Model0.1T!BQ266)/1.5,PI()*BN$12*$Q266*($B266-$B265)*0.15/10+BR265)</f>
        <v>#N/A</v>
      </c>
      <c r="BS266" s="102" t="e">
        <f>(VLOOKUP($B$3,'Coeff EC7'!$T$39:$X$59,3,0)*BP266+VLOOKUP($B$3,'Coeff EC7'!$T$65:$X$85,3,0)*Model0.1T!BQ266)/1.1</f>
        <v>#N/A</v>
      </c>
      <c r="BT266" s="102" t="e">
        <f t="shared" si="378"/>
        <v>#N/A</v>
      </c>
      <c r="BU266" s="102" t="e">
        <f t="shared" si="379"/>
        <v>#N/A</v>
      </c>
      <c r="BV266" s="414" t="e">
        <f>IF(AND(BR266&gt;NDC!$C$63,BS266&gt;NDC!$C$65,BT266&gt;NDC!$D$73,BU266&gt;NDC!$D$74,$B266&gt;NDC!$H$22-0.1+MIN(3*BV$12,1.5)),0,1)</f>
        <v>#N/A</v>
      </c>
      <c r="BW266" s="86" t="b">
        <f t="shared" si="345"/>
        <v>0</v>
      </c>
      <c r="BX266" s="86">
        <f t="shared" si="346"/>
        <v>0.5</v>
      </c>
      <c r="BY266" s="86">
        <f t="shared" si="347"/>
        <v>0.5</v>
      </c>
      <c r="BZ266" s="30" t="e">
        <f t="shared" ca="1" si="380"/>
        <v>#DIV/0!</v>
      </c>
      <c r="CA266" s="85" t="e">
        <f ca="1">IF(BG266&lt;=Hypothèses!$V$7,Hypothèses!$W$7,IF(BG266&lt;=Hypothèses!$V$8,Hypothèses!$W$8,IF(BG266&lt;=Hypothèses!$V$9,Hypothèses!$W$9,IF(BG266&lt;=Hypothèses!$V$10,Hypothèses!$W$10,IF(BG266&lt;=Hypothèses!$V$11,Hypothèses!$W$11,IF(BG266&lt;=Hypothèses!$V$12,Hypothèses!$W$12,IF(BG266&lt;=Hypothèses!$V$13,Hypothèses!$W$13,IF(BG266&lt;=Hypothèses!$V$14,Hypothèses!$W$14,IF(BG266&lt;=Hypothèses!$V$15,Hypothèses!$W$15,IF(BG266&lt;=Hypothèses!$V$16,Hypothèses!$W$16,IF(BG266&lt;=Hypothèses!$V$17,Hypothèses!$W$17,IF(BG266&lt;=Hypothèses!$V$18,Hypothèses!$W$18,""))))))))))))</f>
        <v>#DIV/0!</v>
      </c>
      <c r="CB266" s="87" t="e">
        <f t="shared" ca="1" si="419"/>
        <v>#DIV/0!</v>
      </c>
      <c r="CC266" s="88" t="e">
        <f ca="1">IF(BG266&lt;=Hypothèses!$V$7,Hypothèses!$X$7,IF(BG266&lt;=Hypothèses!$V$8,Hypothèses!$X$8,IF(BG266&lt;=Hypothèses!$V$9,Hypothèses!$X$9,IF(BG266&lt;=Hypothèses!$V$10,Hypothèses!$X$10,IF(BG266&lt;=Hypothèses!$V$11,Hypothèses!$X$11,IF(BG266&lt;=Hypothèses!$V$12,Hypothèses!$X$12,IF(BG266&lt;=Hypothèses!$V$13,Hypothèses!$X$13,IF(BG266&lt;=Hypothèses!$V$14,Hypothèses!$X$14,IF(BG266&lt;=Hypothèses!$V$15,Hypothèses!$X$15,IF(BG266&lt;=Hypothèses!$V$16,Hypothèses!$X$16,IF(BG266&lt;=Hypothèses!$U$17,Hypothèses!$W$17,IF(BG266&lt;=Hypothèses!$U$18,Hypothèses!$W$18,""))))))))))))</f>
        <v>#DIV/0!</v>
      </c>
      <c r="CD266" s="95" t="e">
        <f t="shared" ca="1" si="381"/>
        <v>#DIV/0!</v>
      </c>
      <c r="CE266" s="101">
        <f t="shared" si="426"/>
        <v>0</v>
      </c>
      <c r="CF266" s="91">
        <f t="shared" si="348"/>
        <v>0</v>
      </c>
      <c r="CG266" s="30" t="e">
        <f t="shared" si="406"/>
        <v>#N/A</v>
      </c>
      <c r="CH266" s="30" t="e">
        <f t="shared" si="407"/>
        <v>#N/A</v>
      </c>
      <c r="CI266" s="31" t="e">
        <f>IF(OR(Hypothèses!$B$4=17,Hypothèses!$B$4=18,Hypothèses!$B$4=19,Hypothèses!$B$4=20),
IF($D266="Pressio.",
IF(OR($E266=3,$E266=1,$E266=4),CH266,CG266),
IF($D266="Pénétro.",
IF(OR($E266=3,$E266=1,$E266=4),CH266,CG266))),IF($D266="Pressio.",
IF($E266=3,CH266,CG266),
IF($D266="Pénétro.",
IF($E266=4,CH266,CG266))))</f>
        <v>#N/A</v>
      </c>
      <c r="CJ266" s="31">
        <v>0</v>
      </c>
      <c r="CK266" s="102" t="e">
        <f>IF(NDC!$H$10="Oui",(VLOOKUP($B$3,'Coeff EC7'!$T$39:$X$59,2,0)*CI266+VLOOKUP($B$3,'Coeff EC7'!$T$65:$X$85,2,0)*Model0.1T!CJ266)/1.5,PI()*CG$12*$Q266*($B266-$B265)*0.15/10+CK265)</f>
        <v>#N/A</v>
      </c>
      <c r="CL266" s="102" t="e">
        <f>(VLOOKUP($B$3,'Coeff EC7'!$T$39:$X$59,3,0)*CI266+VLOOKUP($B$3,'Coeff EC7'!$T$65:$X$85,3,0)*Model0.1T!CJ266)/1.1</f>
        <v>#N/A</v>
      </c>
      <c r="CM266" s="102" t="e">
        <f t="shared" si="382"/>
        <v>#N/A</v>
      </c>
      <c r="CN266" s="102" t="e">
        <f t="shared" si="383"/>
        <v>#N/A</v>
      </c>
      <c r="CO266" s="414" t="e">
        <f>IF(AND(CK266&gt;NDC!$C$63,CL266&gt;NDC!$C$65,CM266&gt;NDC!$D$73,CN266&gt;NDC!$D$74,$B266&gt;NDC!$H$22-0.1+MIN(3*CO$12,1.5)),0,1)</f>
        <v>#N/A</v>
      </c>
      <c r="CP266" s="86" t="b">
        <f t="shared" si="349"/>
        <v>0</v>
      </c>
      <c r="CQ266" s="86">
        <f t="shared" si="350"/>
        <v>0.5</v>
      </c>
      <c r="CR266" s="86">
        <f t="shared" si="351"/>
        <v>0.5</v>
      </c>
      <c r="CS266" s="30" t="e">
        <f t="shared" ca="1" si="384"/>
        <v>#DIV/0!</v>
      </c>
      <c r="CT266" s="85" t="e">
        <f ca="1">IF(BZ266&lt;=Hypothèses!$V$7,Hypothèses!$W$7,IF(BZ266&lt;=Hypothèses!$V$8,Hypothèses!$W$8,IF(BZ266&lt;=Hypothèses!$V$9,Hypothèses!$W$9,IF(BZ266&lt;=Hypothèses!$V$10,Hypothèses!$W$10,IF(BZ266&lt;=Hypothèses!$V$11,Hypothèses!$W$11,IF(BZ266&lt;=Hypothèses!$V$12,Hypothèses!$W$12,IF(BZ266&lt;=Hypothèses!$V$13,Hypothèses!$W$13,IF(BZ266&lt;=Hypothèses!$V$14,Hypothèses!$W$14,IF(BZ266&lt;=Hypothèses!$V$15,Hypothèses!$W$15,IF(BZ266&lt;=Hypothèses!$V$16,Hypothèses!$W$16,IF(BZ266&lt;=Hypothèses!$V$17,Hypothèses!$W$17,IF(BZ266&lt;=Hypothèses!$V$18,Hypothèses!$W$18,""))))))))))))</f>
        <v>#DIV/0!</v>
      </c>
      <c r="CU266" s="87" t="e">
        <f t="shared" ca="1" si="420"/>
        <v>#DIV/0!</v>
      </c>
      <c r="CV266" s="88" t="e">
        <f ca="1">IF(BZ266&lt;=Hypothèses!$V$7,Hypothèses!$X$7,IF(BZ266&lt;=Hypothèses!$V$8,Hypothèses!$X$8,IF(BZ266&lt;=Hypothèses!$V$9,Hypothèses!$X$9,IF(BZ266&lt;=Hypothèses!$V$10,Hypothèses!$X$10,IF(BZ266&lt;=Hypothèses!$V$11,Hypothèses!$X$11,IF(BZ266&lt;=Hypothèses!$V$12,Hypothèses!$X$12,IF(BZ266&lt;=Hypothèses!$V$13,Hypothèses!$X$13,IF(BZ266&lt;=Hypothèses!$V$14,Hypothèses!$X$14,IF(BZ266&lt;=Hypothèses!$V$15,Hypothèses!$X$15,IF(BZ266&lt;=Hypothèses!$V$16,Hypothèses!$X$16,IF(BZ266&lt;=Hypothèses!$U$17,Hypothèses!$W$17,IF(BZ266&lt;=Hypothèses!$U$18,Hypothèses!$W$18,""))))))))))))</f>
        <v>#DIV/0!</v>
      </c>
      <c r="CW266" s="95" t="e">
        <f t="shared" ca="1" si="385"/>
        <v>#DIV/0!</v>
      </c>
      <c r="CX266" s="101">
        <f t="shared" si="427"/>
        <v>0</v>
      </c>
      <c r="CY266" s="91">
        <f t="shared" si="352"/>
        <v>0</v>
      </c>
      <c r="CZ266" s="30" t="e">
        <f t="shared" si="408"/>
        <v>#N/A</v>
      </c>
      <c r="DA266" s="30" t="e">
        <f t="shared" si="409"/>
        <v>#N/A</v>
      </c>
      <c r="DB266" s="31" t="e">
        <f>IF(OR(Hypothèses!$B$4=17,Hypothèses!$B$4=18,Hypothèses!$B$4=19,Hypothèses!$B$4=20),
IF($D266="Pressio.",
IF(OR($E266=3,$E266=1,$E266=4),DA266,CZ266),
IF($D266="Pénétro.",
IF(OR($E266=3,$E266=1,$E266=4),DA266,CZ266))),IF($D266="Pressio.",
IF($E266=3,DA266,CZ266),
IF($D266="Pénétro.",
IF($E266=4,DA266,CZ266))))</f>
        <v>#N/A</v>
      </c>
      <c r="DC266" s="31">
        <v>0</v>
      </c>
      <c r="DD266" s="102" t="e">
        <f>IF(NDC!$H$10="Oui",(VLOOKUP($B$3,'Coeff EC7'!$T$39:$X$59,2,0)*DB266+VLOOKUP($B$3,'Coeff EC7'!$T$65:$X$85,2,0)*Model0.1T!DC266)/1.5,PI()*CZ$12*$Q266*($B266-$B265)*0.15/10+DD265)</f>
        <v>#N/A</v>
      </c>
      <c r="DE266" s="102" t="e">
        <f>(VLOOKUP($B$3,'Coeff EC7'!$T$39:$X$59,3,0)*DB266+VLOOKUP($B$3,'Coeff EC7'!$T$65:$X$85,3,0)*Model0.1T!DC266)/1.1</f>
        <v>#N/A</v>
      </c>
      <c r="DF266" s="102" t="e">
        <f t="shared" si="386"/>
        <v>#N/A</v>
      </c>
      <c r="DG266" s="102" t="e">
        <f t="shared" si="387"/>
        <v>#N/A</v>
      </c>
      <c r="DH266" s="414" t="e">
        <f>IF(AND(DD266&gt;NDC!$C$63,DE266&gt;NDC!$C$65,DF266&gt;NDC!$D$73,DG266&gt;NDC!$D$74,$B266&gt;NDC!$H$22-0.1+MIN(3*DH$12,1.5)),0,1)</f>
        <v>#N/A</v>
      </c>
      <c r="DI266" s="86" t="b">
        <f t="shared" si="353"/>
        <v>0</v>
      </c>
      <c r="DJ266" s="86">
        <f t="shared" si="354"/>
        <v>0.5</v>
      </c>
      <c r="DK266" s="86">
        <f t="shared" si="355"/>
        <v>0.5</v>
      </c>
      <c r="DL266" s="30" t="e">
        <f t="shared" ca="1" si="388"/>
        <v>#DIV/0!</v>
      </c>
      <c r="DM266" s="85" t="e">
        <f ca="1">IF(CS266&lt;=Hypothèses!$V$7,Hypothèses!$W$7,IF(CS266&lt;=Hypothèses!$V$8,Hypothèses!$W$8,IF(CS266&lt;=Hypothèses!$V$9,Hypothèses!$W$9,IF(CS266&lt;=Hypothèses!$V$10,Hypothèses!$W$10,IF(CS266&lt;=Hypothèses!$V$11,Hypothèses!$W$11,IF(CS266&lt;=Hypothèses!$V$12,Hypothèses!$W$12,IF(CS266&lt;=Hypothèses!$V$13,Hypothèses!$W$13,IF(CS266&lt;=Hypothèses!$V$14,Hypothèses!$W$14,IF(CS266&lt;=Hypothèses!$V$15,Hypothèses!$W$15,IF(CS266&lt;=Hypothèses!$V$16,Hypothèses!$W$16,IF(CS266&lt;=Hypothèses!$V$17,Hypothèses!$W$17,IF(CS266&lt;=Hypothèses!$V$18,Hypothèses!$W$18,""))))))))))))</f>
        <v>#DIV/0!</v>
      </c>
      <c r="DN266" s="87" t="e">
        <f t="shared" ca="1" si="421"/>
        <v>#DIV/0!</v>
      </c>
      <c r="DO266" s="88" t="e">
        <f ca="1">IF(CS266&lt;=Hypothèses!$V$7,Hypothèses!$X$7,IF(CS266&lt;=Hypothèses!$V$8,Hypothèses!$X$8,IF(CS266&lt;=Hypothèses!$V$9,Hypothèses!$X$9,IF(CS266&lt;=Hypothèses!$V$10,Hypothèses!$X$10,IF(CS266&lt;=Hypothèses!$V$11,Hypothèses!$X$11,IF(CS266&lt;=Hypothèses!$V$12,Hypothèses!$X$12,IF(CS266&lt;=Hypothèses!$V$13,Hypothèses!$X$13,IF(CS266&lt;=Hypothèses!$V$14,Hypothèses!$X$14,IF(CS266&lt;=Hypothèses!$V$15,Hypothèses!$X$15,IF(CS266&lt;=Hypothèses!$V$16,Hypothèses!$X$16,IF(CS266&lt;=Hypothèses!$U$17,Hypothèses!$W$17,IF(CS266&lt;=Hypothèses!$U$18,Hypothèses!$W$18,""))))))))))))</f>
        <v>#DIV/0!</v>
      </c>
      <c r="DP266" s="95" t="e">
        <f t="shared" ca="1" si="389"/>
        <v>#DIV/0!</v>
      </c>
      <c r="DQ266" s="101">
        <f t="shared" si="428"/>
        <v>0</v>
      </c>
      <c r="DR266" s="91">
        <f t="shared" si="356"/>
        <v>0</v>
      </c>
      <c r="DS266" s="30" t="e">
        <f t="shared" si="410"/>
        <v>#N/A</v>
      </c>
      <c r="DT266" s="30" t="e">
        <f t="shared" si="411"/>
        <v>#N/A</v>
      </c>
      <c r="DU266" s="31" t="e">
        <f>IF(OR(Hypothèses!$B$4=17,Hypothèses!$B$4=18,Hypothèses!$B$4=19,Hypothèses!$B$4=20),
IF($D266="Pressio.",
IF(OR($E266=3,$E266=1,$E266=4),DT266,DS266),
IF($D266="Pénétro.",
IF(OR($E266=3,$E266=1,$E266=4),DT266,DS266))),IF($D266="Pressio.",
IF($E266=3,DT266,DS266),
IF($D266="Pénétro.",
IF($E266=4,DT266,DS266))))</f>
        <v>#N/A</v>
      </c>
      <c r="DV266" s="31">
        <v>0</v>
      </c>
      <c r="DW266" s="102" t="e">
        <f>IF(NDC!$H$10="Oui",(VLOOKUP($B$3,'Coeff EC7'!$T$39:$X$59,2,0)*DU266+VLOOKUP($B$3,'Coeff EC7'!$T$65:$X$85,2,0)*Model0.1T!DV266)/1.5,PI()*DS$12*$Q266*($B266-$B265)*0.15/10+DW265)</f>
        <v>#N/A</v>
      </c>
      <c r="DX266" s="102" t="e">
        <f>(VLOOKUP($B$3,'Coeff EC7'!$T$39:$X$59,3,0)*DU266+VLOOKUP($B$3,'Coeff EC7'!$T$65:$X$85,3,0)*Model0.1T!DV266)/1.1</f>
        <v>#N/A</v>
      </c>
      <c r="DY266" s="102" t="e">
        <f t="shared" si="390"/>
        <v>#N/A</v>
      </c>
      <c r="DZ266" s="102" t="e">
        <f t="shared" si="391"/>
        <v>#N/A</v>
      </c>
      <c r="EA266" s="414" t="e">
        <f>IF(AND(DW266&gt;NDC!$C$63,DX266&gt;NDC!$C$65,DY266&gt;NDC!$D$73,DZ266&gt;NDC!$D$74,$B266&gt;NDC!$H$22-0.1+MIN(3*EA$12,1.5)),0,1)</f>
        <v>#N/A</v>
      </c>
      <c r="EB266" s="86" t="b">
        <f t="shared" si="357"/>
        <v>0</v>
      </c>
      <c r="EC266" s="418">
        <f t="shared" si="358"/>
        <v>0.51</v>
      </c>
      <c r="ED266" s="86">
        <f t="shared" si="359"/>
        <v>0.51</v>
      </c>
      <c r="EE266" s="30" t="e">
        <f t="shared" ca="1" si="392"/>
        <v>#DIV/0!</v>
      </c>
      <c r="EF266" s="85" t="e">
        <f ca="1">IF(DL266&lt;=Hypothèses!$V$7,Hypothèses!$W$7,IF(DL266&lt;=Hypothèses!$V$8,Hypothèses!$W$8,IF(DL266&lt;=Hypothèses!$V$9,Hypothèses!$W$9,IF(DL266&lt;=Hypothèses!$V$10,Hypothèses!$W$10,IF(DL266&lt;=Hypothèses!$V$11,Hypothèses!$W$11,IF(DL266&lt;=Hypothèses!$V$12,Hypothèses!$W$12,IF(DL266&lt;=Hypothèses!$V$13,Hypothèses!$W$13,IF(DL266&lt;=Hypothèses!$V$14,Hypothèses!$W$14,IF(DL266&lt;=Hypothèses!$V$15,Hypothèses!$W$15,IF(DL266&lt;=Hypothèses!$V$16,Hypothèses!$W$16,IF(DL266&lt;=Hypothèses!$V$17,Hypothèses!$W$17,IF(DL266&lt;=Hypothèses!$V$18,Hypothèses!$W$18,""))))))))))))</f>
        <v>#DIV/0!</v>
      </c>
      <c r="EG266" s="87" t="e">
        <f t="shared" ca="1" si="422"/>
        <v>#DIV/0!</v>
      </c>
      <c r="EH266" s="88" t="e">
        <f ca="1">IF(DL266&lt;=Hypothèses!$V$7,Hypothèses!$X$7,IF(DL266&lt;=Hypothèses!$V$8,Hypothèses!$X$8,IF(DL266&lt;=Hypothèses!$V$9,Hypothèses!$X$9,IF(DL266&lt;=Hypothèses!$V$10,Hypothèses!$X$10,IF(DL266&lt;=Hypothèses!$V$11,Hypothèses!$X$11,IF(DL266&lt;=Hypothèses!$V$12,Hypothèses!$X$12,IF(DL266&lt;=Hypothèses!$V$13,Hypothèses!$X$13,IF(DL266&lt;=Hypothèses!$V$14,Hypothèses!$X$14,IF(DL266&lt;=Hypothèses!$V$15,Hypothèses!$X$15,IF(DL266&lt;=Hypothèses!$V$16,Hypothèses!$X$16,IF(DL266&lt;=Hypothèses!$U$17,Hypothèses!$W$17,IF(DL266&lt;=Hypothèses!$U$18,Hypothèses!$W$18,""))))))))))))</f>
        <v>#DIV/0!</v>
      </c>
      <c r="EI266" s="95" t="e">
        <f t="shared" ca="1" si="393"/>
        <v>#DIV/0!</v>
      </c>
      <c r="EJ266" s="101">
        <f t="shared" si="429"/>
        <v>0</v>
      </c>
      <c r="EK266" s="91">
        <f t="shared" si="360"/>
        <v>0</v>
      </c>
      <c r="EL266" s="30" t="e">
        <f t="shared" si="412"/>
        <v>#N/A</v>
      </c>
      <c r="EM266" s="30" t="e">
        <f t="shared" si="413"/>
        <v>#N/A</v>
      </c>
      <c r="EN266" s="31" t="e">
        <f>IF(OR(Hypothèses!$B$4=17,Hypothèses!$B$4=18,Hypothèses!$B$4=19,Hypothèses!$B$4=20),
IF($D266="Pressio.",
IF(OR($E266=3,$E266=1,$E266=4),EM266,EL266),
IF($D266="Pénétro.",
IF(OR($E266=3,$E266=1,$E266=4),EM266,EL266))),IF($D266="Pressio.",
IF($E266=3,EM266,EL266),
IF($D266="Pénétro.",
IF($E266=4,EM266,EL266))))</f>
        <v>#N/A</v>
      </c>
      <c r="EO266" s="31">
        <v>0</v>
      </c>
      <c r="EP266" s="102" t="e">
        <f>IF(NDC!$H$10="Oui",(VLOOKUP($B$3,'Coeff EC7'!$T$39:$X$59,2,0)*EN266+VLOOKUP($B$3,'Coeff EC7'!$T$65:$X$85,2,0)*Model0.1T!EO266)/1.5,PI()*EL$12*$Q266*($B266-$B265)*0.15/10+EP265)</f>
        <v>#N/A</v>
      </c>
      <c r="EQ266" s="102" t="e">
        <f>(VLOOKUP($B$3,'Coeff EC7'!$T$39:$X$59,3,0)*EN266+VLOOKUP($B$3,'Coeff EC7'!$T$65:$X$85,3,0)*Model0.1T!EO266)/1.1</f>
        <v>#N/A</v>
      </c>
      <c r="ER266" s="102" t="e">
        <f t="shared" si="394"/>
        <v>#N/A</v>
      </c>
      <c r="ES266" s="102" t="e">
        <f t="shared" si="395"/>
        <v>#N/A</v>
      </c>
      <c r="ET266" s="414" t="e">
        <f>IF(AND(EP266&gt;NDC!$C$63,EQ266&gt;NDC!$C$65,ER266&gt;NDC!$D$73,ES266&gt;NDC!$D$74,$B266&gt;NDC!$H$22-0.1+MIN(3*ET$12,1.5)),0,1)</f>
        <v>#N/A</v>
      </c>
      <c r="EU266" s="86" t="b">
        <f t="shared" si="361"/>
        <v>0</v>
      </c>
      <c r="EV266" s="86">
        <f t="shared" si="362"/>
        <v>0.61</v>
      </c>
      <c r="EW266" s="86">
        <f t="shared" si="363"/>
        <v>0.61</v>
      </c>
      <c r="EX266" s="30" t="e">
        <f t="shared" ca="1" si="396"/>
        <v>#DIV/0!</v>
      </c>
      <c r="EY266" s="85" t="e">
        <f ca="1">IF(EE266&lt;=Hypothèses!$V$7,Hypothèses!$W$7,IF(EE266&lt;=Hypothèses!$V$8,Hypothèses!$W$8,IF(EE266&lt;=Hypothèses!$V$9,Hypothèses!$W$9,IF(EE266&lt;=Hypothèses!$V$10,Hypothèses!$W$10,IF(EE266&lt;=Hypothèses!$V$11,Hypothèses!$W$11,IF(EE266&lt;=Hypothèses!$V$12,Hypothèses!$W$12,IF(EE266&lt;=Hypothèses!$V$13,Hypothèses!$W$13,IF(EE266&lt;=Hypothèses!$V$14,Hypothèses!$W$14,IF(EE266&lt;=Hypothèses!$V$15,Hypothèses!$W$15,IF(EE266&lt;=Hypothèses!$V$16,Hypothèses!$W$16,IF(EE266&lt;=Hypothèses!$V$17,Hypothèses!$W$17,IF(EE266&lt;=Hypothèses!$V$18,Hypothèses!$W$18,""))))))))))))</f>
        <v>#DIV/0!</v>
      </c>
      <c r="EZ266" s="87" t="e">
        <f t="shared" ca="1" si="423"/>
        <v>#DIV/0!</v>
      </c>
      <c r="FA266" s="88" t="e">
        <f ca="1">IF(EE266&lt;=Hypothèses!$V$7,Hypothèses!$X$7,IF(EE266&lt;=Hypothèses!$V$8,Hypothèses!$X$8,IF(EE266&lt;=Hypothèses!$V$9,Hypothèses!$X$9,IF(EE266&lt;=Hypothèses!$V$10,Hypothèses!$X$10,IF(EE266&lt;=Hypothèses!$V$11,Hypothèses!$X$11,IF(EE266&lt;=Hypothèses!$V$12,Hypothèses!$X$12,IF(EE266&lt;=Hypothèses!$V$13,Hypothèses!$X$13,IF(EE266&lt;=Hypothèses!$V$14,Hypothèses!$X$14,IF(EE266&lt;=Hypothèses!$V$15,Hypothèses!$X$15,IF(EE266&lt;=Hypothèses!$V$16,Hypothèses!$X$16,IF(EE266&lt;=Hypothèses!$U$17,Hypothèses!$W$17,IF(EE266&lt;=Hypothèses!$U$18,Hypothèses!$W$18,""))))))))))))</f>
        <v>#DIV/0!</v>
      </c>
      <c r="FB266" s="95" t="e">
        <f t="shared" ca="1" si="397"/>
        <v>#DIV/0!</v>
      </c>
      <c r="FC266" s="101">
        <f t="shared" si="430"/>
        <v>0</v>
      </c>
      <c r="FD266" s="91">
        <f t="shared" si="364"/>
        <v>0</v>
      </c>
      <c r="FE266" s="30" t="e">
        <f t="shared" si="414"/>
        <v>#N/A</v>
      </c>
      <c r="FF266" s="30" t="e">
        <f t="shared" si="415"/>
        <v>#N/A</v>
      </c>
      <c r="FG266" s="31" t="e">
        <f>IF(OR(Hypothèses!$B$4=17,Hypothèses!$B$4=18,Hypothèses!$B$4=19,Hypothèses!$B$4=20),
IF($D266="Pressio.",
IF(OR($E266=3,$E266=1,$E266=4),FF266,FE266),
IF($D266="Pénétro.",
IF(OR($E266=3,$E266=1,$E266=4),FF266,FE266))),IF($D266="Pressio.",
IF($E266=3,FF266,FE266),
IF($D266="Pénétro.",
IF($E266=4,FF266,FE266))))</f>
        <v>#N/A</v>
      </c>
      <c r="FH266" s="31">
        <v>0</v>
      </c>
      <c r="FI266" s="102" t="e">
        <f>IF(NDC!$H$10="Oui",(VLOOKUP($B$3,'Coeff EC7'!$T$39:$X$59,2,0)*FG266+VLOOKUP($B$3,'Coeff EC7'!$T$65:$X$85,2,0)*Model0.1T!FH266)/1.5,PI()*FE$12*$Q266*($B266-$B265)*0.15/10+FI265)</f>
        <v>#N/A</v>
      </c>
      <c r="FJ266" s="102" t="e">
        <f>(VLOOKUP($B$3,'Coeff EC7'!$T$39:$X$59,3,0)*FG266+VLOOKUP($B$3,'Coeff EC7'!$T$65:$X$85,3,0)*Model0.1T!FH266)/1.1</f>
        <v>#N/A</v>
      </c>
      <c r="FK266" s="102" t="e">
        <f t="shared" si="398"/>
        <v>#N/A</v>
      </c>
      <c r="FL266" s="102" t="e">
        <f t="shared" si="399"/>
        <v>#N/A</v>
      </c>
      <c r="FM266" s="414" t="e">
        <f>IF(AND(FI266&gt;NDC!$C$63,FJ266&gt;NDC!$C$65,FK266&gt;NDC!$D$73,FL266&gt;NDC!$D$74,$B266&gt;NDC!$H$22-0.1+MIN(3*FM$12,1.5)),0,1)</f>
        <v>#N/A</v>
      </c>
    </row>
    <row r="267" spans="1:169">
      <c r="A267" s="96">
        <f t="shared" si="365"/>
        <v>74.600000000001444</v>
      </c>
      <c r="B267" s="97">
        <v>25.4</v>
      </c>
      <c r="C267" s="81">
        <f>IF(B267&lt;=Hypothèses!$C$7,Hypothèses!$A$7,IF(B267&lt;=Hypothèses!$C$8,Hypothèses!$A$8,IF(B267&lt;=Hypothèses!$C$9,Hypothèses!$A$9,IF(B267&lt;=Hypothèses!$C$10,Hypothèses!$A$10,IF(B267&lt;=Hypothèses!$C$11,Hypothèses!$A$11,IF(B267&lt;=Hypothèses!$C$12,Hypothèses!$A$12,IF(B267&lt;=Hypothèses!$C$13,Hypothèses!$A$13,IF(B267&lt;=Hypothèses!$C$14,Hypothèses!$A$14,IF(B267&lt;=Hypothèses!$C$15,Hypothèses!$A$15,IF(B267&lt;=Hypothèses!$C$16,Hypothèses!$A$16,IF(B267&lt;=Hypothèses!$C$17,Hypothèses!$A$17,IF(B267&lt;=Hypothèses!$C$18,Hypothèses!$A$18,C266))))))))))))</f>
        <v>11</v>
      </c>
      <c r="D267" s="82" t="str">
        <f>IF(B267&lt;=Hypothèses!$C$7,Hypothèses!$R$7,IF(B267&lt;=Hypothèses!$C$8,Hypothèses!$R$8,IF(B267&lt;=Hypothèses!$C$9,Hypothèses!$R$9,IF(B267&lt;=Hypothèses!$C$10,Hypothèses!$R$10,IF(B267&lt;=Hypothèses!$C$11,Hypothèses!$R$11,IF(B267&lt;=Hypothèses!$C$12,Hypothèses!$R$12,IF(B267&lt;=Hypothèses!$C$13,Hypothèses!$R$13,IF(B267&lt;=Hypothèses!$C$14,Hypothèses!$R$14,IF(B267&lt;=Hypothèses!$C$15,Hypothèses!$R$15,IF(B267&lt;=Hypothèses!$C$16,Hypothèses!$R$16,IF(B267&lt;=Hypothèses!$C$17,Hypothèses!$R$17,IF(B267&lt;=Hypothèses!$C$18,Hypothèses!$R$18,D266))))))))))))</f>
        <v>Pressio.</v>
      </c>
      <c r="E267" s="82" t="e">
        <f>IF(B267&lt;=Hypothèses!$C$7,Hypothèses!$G$7,IF(B267&lt;=Hypothèses!$C$8,Hypothèses!$G$8,IF(B267&lt;=Hypothèses!$C$9,Hypothèses!$G$9,IF(B267&lt;=Hypothèses!$C$10,Hypothèses!$G$10,IF(B267&lt;=Hypothèses!$C$11,Hypothèses!$G$11,IF(B267&lt;=Hypothèses!$C$12,Hypothèses!$G$12,IF(B267&lt;=Hypothèses!$C$13,Hypothèses!$G$13,IF(B267&lt;=Hypothèses!$C$14,Hypothèses!$G$14,IF(B267&lt;=Hypothèses!$C$15,Hypothèses!$G$15,IF(B267&lt;=Hypothèses!$C$16,Hypothèses!$G$16,IF(B267&lt;=Hypothèses!$C$17,Hypothèses!$G$17,IF(B267&lt;=Hypothèses!$C$18,Hypothèses!$G$18,E266))))))))))))</f>
        <v>#N/A</v>
      </c>
      <c r="F267" s="82" t="str">
        <f>IF(B267&lt;=Hypothèses!$C$7,Hypothèses!$F$7,IF(B267&lt;=Hypothèses!$C$8,Hypothèses!$F$8,IF(B267&lt;=Hypothèses!$C$9,Hypothèses!$F$9,IF(B267&lt;=Hypothèses!$C$10,Hypothèses!$F$10,IF(B267&lt;=Hypothèses!$C$11,Hypothèses!$F$11,IF(B267&lt;=Hypothèses!$C$12,Hypothèses!$F$12,IF(B267&lt;=Hypothèses!$C$13,Hypothèses!$F$13,IF(B267&lt;=Hypothèses!$C$14,Hypothèses!$F$14,IF(B267&lt;=Hypothèses!$C$15,Hypothèses!$F$15,IF(B267&lt;=Hypothèses!$C$16,Hypothèses!$F$16,IF(B267&lt;=Hypothèses!$C$17,Hypothèses!$F$17,IF(B267&lt;=Hypothèses!$C$18,Hypothèses!$F$18,F266))))))))))))</f>
        <v/>
      </c>
      <c r="G267" s="91">
        <f t="array" ref="G267">INDEX('Coeff EC7'!$U$7:$X$27,
MATCH(Model0.1T!$B$3,'Coeff EC7'!$T$7:$T$27,0),
MATCH(Model0.1T!$D267&amp;Model0.1T!$B$4,
'Coeff EC7'!$U$6:$X$6&amp;
'Coeff EC7'!$U$5:$X$5,0))</f>
        <v>1.4</v>
      </c>
      <c r="H267" s="91">
        <f t="array" ref="H267">INDEX('Coeff EC7'!$Y$7:$AB$27,
MATCH(Model0.1T!$B$3,'Coeff EC7'!$T$7:$T$27,0),
MATCH(Model0.1T!$D267&amp;Model0.1T!$B$4,
'Coeff EC7'!$Y$6:$AB$6&amp;
'Coeff EC7'!$Y$5:$AB$5,0))</f>
        <v>1.7</v>
      </c>
      <c r="I267" s="83">
        <v>0</v>
      </c>
      <c r="J267" s="91" t="e">
        <f t="array" ref="J267">INDEX('Coeff EC7'!$D$33:$Q$33,1,MATCH(D267&amp;E267,'Coeff EC7'!$D$31:$Q$31&amp;'Coeff EC7'!$D$32:$Q$32,0))</f>
        <v>#N/A</v>
      </c>
      <c r="K267" s="91" t="e">
        <f t="array" ref="K267">INDEX('Coeff EC7'!$D$34:$Q$34,1,MATCH(D267&amp;E267,'Coeff EC7'!$D$31:$Q$31&amp;'Coeff EC7'!$D$32:$Q$32,0))</f>
        <v>#N/A</v>
      </c>
      <c r="L267" s="91" t="e">
        <f t="array" ref="L267">INDEX('Coeff EC7'!$D$35:$Q$35,1,MATCH(D267&amp;E267,'Coeff EC7'!$D$31:$Q$31&amp;'Coeff EC7'!$D$32:$Q$32,0))</f>
        <v>#N/A</v>
      </c>
      <c r="M267" s="98" t="e">
        <f t="shared" si="331"/>
        <v>#N/A</v>
      </c>
      <c r="N267" s="99" t="e">
        <f t="array" ref="N267">INDEX('Coeff EC7'!$D$7:$Q$27,MATCH($B$3,'Coeff EC7'!$C$7:$C$27,0),MATCH(D267&amp;E267,'Coeff EC7'!$D$5:$Q$5&amp;'Coeff EC7'!$D$6:$Q$6,0))</f>
        <v>#N/A</v>
      </c>
      <c r="O267" s="99" t="e">
        <f t="array" ref="O267">INDEX('Coeff EC7'!$D$41:$Q$61,MATCH($B$3,'Coeff EC7'!$C$41:$C$61,0),MATCH(D267&amp;E267,'Coeff EC7'!$D$39:$Q$39&amp;'Coeff EC7'!$D$40:$Q$40,0))</f>
        <v>#N/A</v>
      </c>
      <c r="P267" s="30" t="e">
        <f t="shared" si="366"/>
        <v>#N/A</v>
      </c>
      <c r="Q267" s="100" t="e">
        <f t="shared" si="333"/>
        <v>#N/A</v>
      </c>
      <c r="R267" s="86" t="b">
        <f t="shared" si="334"/>
        <v>0</v>
      </c>
      <c r="S267" s="86">
        <f t="shared" si="332"/>
        <v>0.5</v>
      </c>
      <c r="T267" s="86">
        <f t="shared" si="335"/>
        <v>0.5</v>
      </c>
      <c r="U267" s="30" t="e">
        <f t="shared" ca="1" si="367"/>
        <v>#DIV/0!</v>
      </c>
      <c r="V267" s="85" t="str">
        <f>IF(B267&lt;=Hypothèses!$V$7,Hypothèses!$W$7,IF(B267&lt;=Hypothèses!$V$8,Hypothèses!$W$8,IF(B267&lt;=Hypothèses!$V$9,Hypothèses!$W$9,IF(B267&lt;=Hypothèses!$V$10,Hypothèses!$W$10,IF(B267&lt;=Hypothèses!$V$11,Hypothèses!$W$11,IF(B267&lt;=Hypothèses!$V$12,Hypothèses!$W$12,IF(B267&lt;=Hypothèses!$V$13,Hypothèses!$W$13,IF(B267&lt;=Hypothèses!$V$14,Hypothèses!$W$14,IF(B267&lt;=Hypothèses!$V$15,Hypothèses!$W$15,IF(B267&lt;=Hypothèses!$V$16,Hypothèses!$W$16,IF(B267&lt;=Hypothèses!$V$17,Hypothèses!$W$17,IF(B267&lt;=Hypothèses!$V$18,Hypothèses!$W$18,""))))))))))))</f>
        <v/>
      </c>
      <c r="W267" s="87" t="e">
        <f t="shared" ca="1" si="416"/>
        <v>#DIV/0!</v>
      </c>
      <c r="X267" s="88" t="str">
        <f>IF(B267&lt;=Hypothèses!$V$7,Hypothèses!$X$7,IF(B267&lt;=Hypothèses!$V$8,Hypothèses!$X$8,IF(B267&lt;=Hypothèses!$V$9,Hypothèses!$X$9,IF(B267&lt;=Hypothèses!$V$10,Hypothèses!$X$10,IF(B267&lt;=Hypothèses!$V$11,Hypothèses!$X$11,IF(B267&lt;=Hypothèses!$V$12,Hypothèses!$X$12,IF(B267&lt;=Hypothèses!$V$13,Hypothèses!$X$13,IF(B267&lt;=Hypothèses!$V$14,Hypothèses!$X$14,IF(B267&lt;=Hypothèses!$V$15,Hypothèses!$X$15,IF(B267&lt;=Hypothèses!$V$16,Hypothèses!$X$16,IF(B267&lt;=Hypothèses!$U$17,Hypothèses!$W$17,IF(B267&lt;=Hypothèses!$U$18,Hypothèses!$W$18,""))))))))))))</f>
        <v/>
      </c>
      <c r="Y267" s="95" t="e">
        <f t="shared" ca="1" si="336"/>
        <v>#DIV/0!</v>
      </c>
      <c r="Z267" s="101">
        <f t="shared" si="337"/>
        <v>0</v>
      </c>
      <c r="AA267" s="91">
        <f t="shared" si="338"/>
        <v>0</v>
      </c>
      <c r="AB267" s="30" t="e">
        <f t="shared" si="400"/>
        <v>#N/A</v>
      </c>
      <c r="AC267" s="30" t="e">
        <f t="shared" si="401"/>
        <v>#N/A</v>
      </c>
      <c r="AD267" s="31" t="e">
        <f>IF(OR(Hypothèses!$B$4=17,Hypothèses!$B$4=18,Hypothèses!$B$4=19,Hypothèses!$B$4=20),
IF($D267="Pressio.",
IF(OR($E267=3,$E267=1,$E267=4),AC267,AB267),
IF($D267="Pénétro.",
IF(OR($E267=3,$E267=1,$E267=4),AC267,AB267))),IF($D267="Pressio.",
IF($E267=3,AC267,AB267),
IF($D267="Pénétro.",
IF($E267=4,AC267,AB267))))</f>
        <v>#N/A</v>
      </c>
      <c r="AE267" s="31">
        <v>0</v>
      </c>
      <c r="AF267" s="102" t="e">
        <f>IF(NDC!$H$10="Oui",(VLOOKUP($B$3,'Coeff EC7'!$T$39:$X$59,2,0)*AD267+VLOOKUP($B$3,'Coeff EC7'!$T$65:$X$85,2,0)*Model0.1T!AE267)/1.5,PI()*AB$12*$Q267*($B267-$B266)*0.15/10+AF266)</f>
        <v>#N/A</v>
      </c>
      <c r="AG267" s="102" t="e">
        <f>(VLOOKUP($B$3,'Coeff EC7'!$T$39:$X$59,3,0)*AD267+VLOOKUP($B$3,'Coeff EC7'!$T$65:$X$85,3,0)*Model0.1T!AE267)/1.1</f>
        <v>#N/A</v>
      </c>
      <c r="AH267" s="102" t="e">
        <f t="shared" si="368"/>
        <v>#N/A</v>
      </c>
      <c r="AI267" s="102" t="e">
        <f t="shared" si="369"/>
        <v>#N/A</v>
      </c>
      <c r="AJ267" s="414" t="e">
        <f>IF(AND(AF267&gt;NDC!$C$63,AG267&gt;NDC!$C$65,AH267&gt;NDC!$D$73,AI267&gt;NDC!$D$74,$B267&gt;NDC!$H$22-0.1+MIN(3*$AJ$12,1.5)),0,1)</f>
        <v>#N/A</v>
      </c>
      <c r="AK267" s="86" t="b">
        <f t="shared" si="339"/>
        <v>0</v>
      </c>
      <c r="AL267" s="86">
        <f t="shared" si="370"/>
        <v>0.5</v>
      </c>
      <c r="AM267" s="86">
        <f t="shared" si="340"/>
        <v>0.5</v>
      </c>
      <c r="AN267" s="30" t="e">
        <f t="shared" ca="1" si="371"/>
        <v>#DIV/0!</v>
      </c>
      <c r="AO267" s="85" t="e">
        <f ca="1">IF(U267&lt;=Hypothèses!$V$7,Hypothèses!$W$7,IF(U267&lt;=Hypothèses!$V$8,Hypothèses!$W$8,IF(U267&lt;=Hypothèses!$V$9,Hypothèses!$W$9,IF(U267&lt;=Hypothèses!$V$10,Hypothèses!$W$10,IF(U267&lt;=Hypothèses!$V$11,Hypothèses!$W$11,IF(U267&lt;=Hypothèses!$V$12,Hypothèses!$W$12,IF(U267&lt;=Hypothèses!$V$13,Hypothèses!$W$13,IF(U267&lt;=Hypothèses!$V$14,Hypothèses!$W$14,IF(U267&lt;=Hypothèses!$V$15,Hypothèses!$W$15,IF(U267&lt;=Hypothèses!$V$16,Hypothèses!$W$16,IF(U267&lt;=Hypothèses!$V$17,Hypothèses!$W$17,IF(U267&lt;=Hypothèses!$V$18,Hypothèses!$W$18,""))))))))))))</f>
        <v>#DIV/0!</v>
      </c>
      <c r="AP267" s="87" t="e">
        <f t="shared" ca="1" si="417"/>
        <v>#DIV/0!</v>
      </c>
      <c r="AQ267" s="88" t="e">
        <f ca="1">IF(U267&lt;=Hypothèses!$V$7,Hypothèses!$X$7,IF(U267&lt;=Hypothèses!$V$8,Hypothèses!$X$8,IF(U267&lt;=Hypothèses!$V$9,Hypothèses!$X$9,IF(U267&lt;=Hypothèses!$V$10,Hypothèses!$X$10,IF(U267&lt;=Hypothèses!$V$11,Hypothèses!$X$11,IF(U267&lt;=Hypothèses!$V$12,Hypothèses!$X$12,IF(U267&lt;=Hypothèses!$V$13,Hypothèses!$X$13,IF(U267&lt;=Hypothèses!$V$14,Hypothèses!$X$14,IF(U267&lt;=Hypothèses!$V$15,Hypothèses!$X$15,IF(U267&lt;=Hypothèses!$V$16,Hypothèses!$X$16,IF(U267&lt;=Hypothèses!$U$17,Hypothèses!$W$17,IF(U267&lt;=Hypothèses!$U$18,Hypothèses!$W$18,""))))))))))))</f>
        <v>#DIV/0!</v>
      </c>
      <c r="AR267" s="95" t="e">
        <f t="shared" ca="1" si="372"/>
        <v>#DIV/0!</v>
      </c>
      <c r="AS267" s="101">
        <f t="shared" si="424"/>
        <v>0</v>
      </c>
      <c r="AT267" s="91">
        <f t="shared" si="341"/>
        <v>0</v>
      </c>
      <c r="AU267" s="30" t="e">
        <f t="shared" si="402"/>
        <v>#N/A</v>
      </c>
      <c r="AV267" s="30" t="e">
        <f t="shared" si="403"/>
        <v>#N/A</v>
      </c>
      <c r="AW267" s="31" t="e">
        <f>IF(OR(Hypothèses!$B$4=17,Hypothèses!$B$4=18,Hypothèses!$B$4=19,Hypothèses!$B$4=20),
IF($D267="Pressio.",
IF(OR($E267=3,$E267=1,$E267=4),AV267,AU267),
IF($D267="Pénétro.",
IF(OR($E267=3,$E267=1,$E267=4),AV267,AU267))),IF($D267="Pressio.",
IF($E267=3,AV267,AU267),
IF($D267="Pénétro.",
IF($E267=4,AV267,AU267))))</f>
        <v>#N/A</v>
      </c>
      <c r="AX267" s="31">
        <v>0</v>
      </c>
      <c r="AY267" s="102" t="e">
        <f>IF(NDC!$H$10="Oui",(VLOOKUP($B$3,'Coeff EC7'!$T$39:$X$59,2,0)*AW267+VLOOKUP($B$3,'Coeff EC7'!$T$65:$X$85,2,0)*Model0.1T!AX267)/1.5,PI()*AU$12*$Q267*($B267-$B266)*0.15/10+AY266)</f>
        <v>#N/A</v>
      </c>
      <c r="AZ267" s="102" t="e">
        <f>(VLOOKUP($B$3,'Coeff EC7'!$T$39:$X$59,3,0)*AW267+VLOOKUP($B$3,'Coeff EC7'!$T$65:$X$85,3,0)*Model0.1T!AX267)/1.1</f>
        <v>#N/A</v>
      </c>
      <c r="BA267" s="102" t="e">
        <f t="shared" si="373"/>
        <v>#N/A</v>
      </c>
      <c r="BB267" s="102" t="e">
        <f t="shared" si="374"/>
        <v>#N/A</v>
      </c>
      <c r="BC267" s="414" t="e">
        <f>IF(AND(AY267&gt;NDC!$C$63,AZ267&gt;NDC!$C$65,BA267&gt;NDC!$D$73,BB267&gt;NDC!$D$74,$B267&gt;NDC!$H$22-0.1+MIN(3*BC$12,1.5)),0,1)</f>
        <v>#N/A</v>
      </c>
      <c r="BD267" s="86" t="b">
        <f t="shared" si="342"/>
        <v>0</v>
      </c>
      <c r="BE267" s="86">
        <f t="shared" si="375"/>
        <v>0.5</v>
      </c>
      <c r="BF267" s="86">
        <f t="shared" si="343"/>
        <v>0.5</v>
      </c>
      <c r="BG267" s="30" t="e">
        <f t="shared" ca="1" si="376"/>
        <v>#DIV/0!</v>
      </c>
      <c r="BH267" s="85" t="e">
        <f ca="1">IF(AN267&lt;=Hypothèses!$V$7,Hypothèses!$W$7,IF(AN267&lt;=Hypothèses!$V$8,Hypothèses!$W$8,IF(AN267&lt;=Hypothèses!$V$9,Hypothèses!$W$9,IF(AN267&lt;=Hypothèses!$V$10,Hypothèses!$W$10,IF(AN267&lt;=Hypothèses!$V$11,Hypothèses!$W$11,IF(AN267&lt;=Hypothèses!$V$12,Hypothèses!$W$12,IF(AN267&lt;=Hypothèses!$V$13,Hypothèses!$W$13,IF(AN267&lt;=Hypothèses!$V$14,Hypothèses!$W$14,IF(AN267&lt;=Hypothèses!$V$15,Hypothèses!$W$15,IF(AN267&lt;=Hypothèses!$V$16,Hypothèses!$W$16,IF(AN267&lt;=Hypothèses!$V$17,Hypothèses!$W$17,IF(AN267&lt;=Hypothèses!$V$18,Hypothèses!$W$18,""))))))))))))</f>
        <v>#DIV/0!</v>
      </c>
      <c r="BI267" s="87" t="e">
        <f t="shared" ca="1" si="418"/>
        <v>#DIV/0!</v>
      </c>
      <c r="BJ267" s="88" t="e">
        <f ca="1">IF(AN267&lt;=Hypothèses!$V$7,Hypothèses!$X$7,IF(AN267&lt;=Hypothèses!$V$8,Hypothèses!$X$8,IF(AN267&lt;=Hypothèses!$V$9,Hypothèses!$X$9,IF(AN267&lt;=Hypothèses!$V$10,Hypothèses!$X$10,IF(AN267&lt;=Hypothèses!$V$11,Hypothèses!$X$11,IF(AN267&lt;=Hypothèses!$V$12,Hypothèses!$X$12,IF(AN267&lt;=Hypothèses!$V$13,Hypothèses!$X$13,IF(AN267&lt;=Hypothèses!$V$14,Hypothèses!$X$14,IF(AN267&lt;=Hypothèses!$V$15,Hypothèses!$X$15,IF(AN267&lt;=Hypothèses!$V$16,Hypothèses!$X$16,IF(AN267&lt;=Hypothèses!$U$17,Hypothèses!$W$17,IF(AN267&lt;=Hypothèses!$U$18,Hypothèses!$W$18,""))))))))))))</f>
        <v>#DIV/0!</v>
      </c>
      <c r="BK267" s="95" t="e">
        <f t="shared" ca="1" si="377"/>
        <v>#DIV/0!</v>
      </c>
      <c r="BL267" s="101">
        <f t="shared" si="425"/>
        <v>0</v>
      </c>
      <c r="BM267" s="91">
        <f t="shared" si="344"/>
        <v>0</v>
      </c>
      <c r="BN267" s="30" t="e">
        <f t="shared" si="404"/>
        <v>#N/A</v>
      </c>
      <c r="BO267" s="30" t="e">
        <f t="shared" si="405"/>
        <v>#N/A</v>
      </c>
      <c r="BP267" s="31" t="e">
        <f>IF(OR(Hypothèses!$B$4=17,Hypothèses!$B$4=18,Hypothèses!$B$4=19,Hypothèses!$B$4=20),
IF($D267="Pressio.",
IF(OR($E267=3,$E267=1,$E267=4),BO267,BN267),
IF($D267="Pénétro.",
IF(OR($E267=3,$E267=1,$E267=4),BO267,BN267))),IF($D267="Pressio.",
IF($E267=3,BO267,BN267),
IF($D267="Pénétro.",
IF($E267=4,BO267,BN267))))</f>
        <v>#N/A</v>
      </c>
      <c r="BQ267" s="31">
        <v>0</v>
      </c>
      <c r="BR267" s="102" t="e">
        <f>IF(NDC!$H$10="Oui",(VLOOKUP($B$3,'Coeff EC7'!$T$39:$X$59,2,0)*BP267+VLOOKUP($B$3,'Coeff EC7'!$T$65:$X$85,2,0)*Model0.1T!BQ267)/1.5,PI()*BN$12*$Q267*($B267-$B266)*0.15/10+BR266)</f>
        <v>#N/A</v>
      </c>
      <c r="BS267" s="102" t="e">
        <f>(VLOOKUP($B$3,'Coeff EC7'!$T$39:$X$59,3,0)*BP267+VLOOKUP($B$3,'Coeff EC7'!$T$65:$X$85,3,0)*Model0.1T!BQ267)/1.1</f>
        <v>#N/A</v>
      </c>
      <c r="BT267" s="102" t="e">
        <f t="shared" si="378"/>
        <v>#N/A</v>
      </c>
      <c r="BU267" s="102" t="e">
        <f t="shared" si="379"/>
        <v>#N/A</v>
      </c>
      <c r="BV267" s="414" t="e">
        <f>IF(AND(BR267&gt;NDC!$C$63,BS267&gt;NDC!$C$65,BT267&gt;NDC!$D$73,BU267&gt;NDC!$D$74,$B267&gt;NDC!$H$22-0.1+MIN(3*BV$12,1.5)),0,1)</f>
        <v>#N/A</v>
      </c>
      <c r="BW267" s="86" t="b">
        <f t="shared" si="345"/>
        <v>0</v>
      </c>
      <c r="BX267" s="86">
        <f t="shared" si="346"/>
        <v>0.5</v>
      </c>
      <c r="BY267" s="86">
        <f t="shared" si="347"/>
        <v>0.5</v>
      </c>
      <c r="BZ267" s="30" t="e">
        <f t="shared" ca="1" si="380"/>
        <v>#DIV/0!</v>
      </c>
      <c r="CA267" s="85" t="e">
        <f ca="1">IF(BG267&lt;=Hypothèses!$V$7,Hypothèses!$W$7,IF(BG267&lt;=Hypothèses!$V$8,Hypothèses!$W$8,IF(BG267&lt;=Hypothèses!$V$9,Hypothèses!$W$9,IF(BG267&lt;=Hypothèses!$V$10,Hypothèses!$W$10,IF(BG267&lt;=Hypothèses!$V$11,Hypothèses!$W$11,IF(BG267&lt;=Hypothèses!$V$12,Hypothèses!$W$12,IF(BG267&lt;=Hypothèses!$V$13,Hypothèses!$W$13,IF(BG267&lt;=Hypothèses!$V$14,Hypothèses!$W$14,IF(BG267&lt;=Hypothèses!$V$15,Hypothèses!$W$15,IF(BG267&lt;=Hypothèses!$V$16,Hypothèses!$W$16,IF(BG267&lt;=Hypothèses!$V$17,Hypothèses!$W$17,IF(BG267&lt;=Hypothèses!$V$18,Hypothèses!$W$18,""))))))))))))</f>
        <v>#DIV/0!</v>
      </c>
      <c r="CB267" s="87" t="e">
        <f t="shared" ca="1" si="419"/>
        <v>#DIV/0!</v>
      </c>
      <c r="CC267" s="88" t="e">
        <f ca="1">IF(BG267&lt;=Hypothèses!$V$7,Hypothèses!$X$7,IF(BG267&lt;=Hypothèses!$V$8,Hypothèses!$X$8,IF(BG267&lt;=Hypothèses!$V$9,Hypothèses!$X$9,IF(BG267&lt;=Hypothèses!$V$10,Hypothèses!$X$10,IF(BG267&lt;=Hypothèses!$V$11,Hypothèses!$X$11,IF(BG267&lt;=Hypothèses!$V$12,Hypothèses!$X$12,IF(BG267&lt;=Hypothèses!$V$13,Hypothèses!$X$13,IF(BG267&lt;=Hypothèses!$V$14,Hypothèses!$X$14,IF(BG267&lt;=Hypothèses!$V$15,Hypothèses!$X$15,IF(BG267&lt;=Hypothèses!$V$16,Hypothèses!$X$16,IF(BG267&lt;=Hypothèses!$U$17,Hypothèses!$W$17,IF(BG267&lt;=Hypothèses!$U$18,Hypothèses!$W$18,""))))))))))))</f>
        <v>#DIV/0!</v>
      </c>
      <c r="CD267" s="95" t="e">
        <f t="shared" ca="1" si="381"/>
        <v>#DIV/0!</v>
      </c>
      <c r="CE267" s="101">
        <f t="shared" si="426"/>
        <v>0</v>
      </c>
      <c r="CF267" s="91">
        <f t="shared" si="348"/>
        <v>0</v>
      </c>
      <c r="CG267" s="30" t="e">
        <f t="shared" si="406"/>
        <v>#N/A</v>
      </c>
      <c r="CH267" s="30" t="e">
        <f t="shared" si="407"/>
        <v>#N/A</v>
      </c>
      <c r="CI267" s="31" t="e">
        <f>IF(OR(Hypothèses!$B$4=17,Hypothèses!$B$4=18,Hypothèses!$B$4=19,Hypothèses!$B$4=20),
IF($D267="Pressio.",
IF(OR($E267=3,$E267=1,$E267=4),CH267,CG267),
IF($D267="Pénétro.",
IF(OR($E267=3,$E267=1,$E267=4),CH267,CG267))),IF($D267="Pressio.",
IF($E267=3,CH267,CG267),
IF($D267="Pénétro.",
IF($E267=4,CH267,CG267))))</f>
        <v>#N/A</v>
      </c>
      <c r="CJ267" s="31">
        <v>0</v>
      </c>
      <c r="CK267" s="102" t="e">
        <f>IF(NDC!$H$10="Oui",(VLOOKUP($B$3,'Coeff EC7'!$T$39:$X$59,2,0)*CI267+VLOOKUP($B$3,'Coeff EC7'!$T$65:$X$85,2,0)*Model0.1T!CJ267)/1.5,PI()*CG$12*$Q267*($B267-$B266)*0.15/10+CK266)</f>
        <v>#N/A</v>
      </c>
      <c r="CL267" s="102" t="e">
        <f>(VLOOKUP($B$3,'Coeff EC7'!$T$39:$X$59,3,0)*CI267+VLOOKUP($B$3,'Coeff EC7'!$T$65:$X$85,3,0)*Model0.1T!CJ267)/1.1</f>
        <v>#N/A</v>
      </c>
      <c r="CM267" s="102" t="e">
        <f t="shared" si="382"/>
        <v>#N/A</v>
      </c>
      <c r="CN267" s="102" t="e">
        <f t="shared" si="383"/>
        <v>#N/A</v>
      </c>
      <c r="CO267" s="414" t="e">
        <f>IF(AND(CK267&gt;NDC!$C$63,CL267&gt;NDC!$C$65,CM267&gt;NDC!$D$73,CN267&gt;NDC!$D$74,$B267&gt;NDC!$H$22-0.1+MIN(3*CO$12,1.5)),0,1)</f>
        <v>#N/A</v>
      </c>
      <c r="CP267" s="86" t="b">
        <f t="shared" si="349"/>
        <v>0</v>
      </c>
      <c r="CQ267" s="86">
        <f t="shared" si="350"/>
        <v>0.5</v>
      </c>
      <c r="CR267" s="86">
        <f t="shared" si="351"/>
        <v>0.5</v>
      </c>
      <c r="CS267" s="30" t="e">
        <f t="shared" ca="1" si="384"/>
        <v>#DIV/0!</v>
      </c>
      <c r="CT267" s="85" t="e">
        <f ca="1">IF(BZ267&lt;=Hypothèses!$V$7,Hypothèses!$W$7,IF(BZ267&lt;=Hypothèses!$V$8,Hypothèses!$W$8,IF(BZ267&lt;=Hypothèses!$V$9,Hypothèses!$W$9,IF(BZ267&lt;=Hypothèses!$V$10,Hypothèses!$W$10,IF(BZ267&lt;=Hypothèses!$V$11,Hypothèses!$W$11,IF(BZ267&lt;=Hypothèses!$V$12,Hypothèses!$W$12,IF(BZ267&lt;=Hypothèses!$V$13,Hypothèses!$W$13,IF(BZ267&lt;=Hypothèses!$V$14,Hypothèses!$W$14,IF(BZ267&lt;=Hypothèses!$V$15,Hypothèses!$W$15,IF(BZ267&lt;=Hypothèses!$V$16,Hypothèses!$W$16,IF(BZ267&lt;=Hypothèses!$V$17,Hypothèses!$W$17,IF(BZ267&lt;=Hypothèses!$V$18,Hypothèses!$W$18,""))))))))))))</f>
        <v>#DIV/0!</v>
      </c>
      <c r="CU267" s="87" t="e">
        <f t="shared" ca="1" si="420"/>
        <v>#DIV/0!</v>
      </c>
      <c r="CV267" s="88" t="e">
        <f ca="1">IF(BZ267&lt;=Hypothèses!$V$7,Hypothèses!$X$7,IF(BZ267&lt;=Hypothèses!$V$8,Hypothèses!$X$8,IF(BZ267&lt;=Hypothèses!$V$9,Hypothèses!$X$9,IF(BZ267&lt;=Hypothèses!$V$10,Hypothèses!$X$10,IF(BZ267&lt;=Hypothèses!$V$11,Hypothèses!$X$11,IF(BZ267&lt;=Hypothèses!$V$12,Hypothèses!$X$12,IF(BZ267&lt;=Hypothèses!$V$13,Hypothèses!$X$13,IF(BZ267&lt;=Hypothèses!$V$14,Hypothèses!$X$14,IF(BZ267&lt;=Hypothèses!$V$15,Hypothèses!$X$15,IF(BZ267&lt;=Hypothèses!$V$16,Hypothèses!$X$16,IF(BZ267&lt;=Hypothèses!$U$17,Hypothèses!$W$17,IF(BZ267&lt;=Hypothèses!$U$18,Hypothèses!$W$18,""))))))))))))</f>
        <v>#DIV/0!</v>
      </c>
      <c r="CW267" s="95" t="e">
        <f t="shared" ca="1" si="385"/>
        <v>#DIV/0!</v>
      </c>
      <c r="CX267" s="101">
        <f t="shared" si="427"/>
        <v>0</v>
      </c>
      <c r="CY267" s="91">
        <f t="shared" si="352"/>
        <v>0</v>
      </c>
      <c r="CZ267" s="30" t="e">
        <f t="shared" si="408"/>
        <v>#N/A</v>
      </c>
      <c r="DA267" s="30" t="e">
        <f t="shared" si="409"/>
        <v>#N/A</v>
      </c>
      <c r="DB267" s="31" t="e">
        <f>IF(OR(Hypothèses!$B$4=17,Hypothèses!$B$4=18,Hypothèses!$B$4=19,Hypothèses!$B$4=20),
IF($D267="Pressio.",
IF(OR($E267=3,$E267=1,$E267=4),DA267,CZ267),
IF($D267="Pénétro.",
IF(OR($E267=3,$E267=1,$E267=4),DA267,CZ267))),IF($D267="Pressio.",
IF($E267=3,DA267,CZ267),
IF($D267="Pénétro.",
IF($E267=4,DA267,CZ267))))</f>
        <v>#N/A</v>
      </c>
      <c r="DC267" s="31">
        <v>0</v>
      </c>
      <c r="DD267" s="102" t="e">
        <f>IF(NDC!$H$10="Oui",(VLOOKUP($B$3,'Coeff EC7'!$T$39:$X$59,2,0)*DB267+VLOOKUP($B$3,'Coeff EC7'!$T$65:$X$85,2,0)*Model0.1T!DC267)/1.5,PI()*CZ$12*$Q267*($B267-$B266)*0.15/10+DD266)</f>
        <v>#N/A</v>
      </c>
      <c r="DE267" s="102" t="e">
        <f>(VLOOKUP($B$3,'Coeff EC7'!$T$39:$X$59,3,0)*DB267+VLOOKUP($B$3,'Coeff EC7'!$T$65:$X$85,3,0)*Model0.1T!DC267)/1.1</f>
        <v>#N/A</v>
      </c>
      <c r="DF267" s="102" t="e">
        <f t="shared" si="386"/>
        <v>#N/A</v>
      </c>
      <c r="DG267" s="102" t="e">
        <f t="shared" si="387"/>
        <v>#N/A</v>
      </c>
      <c r="DH267" s="414" t="e">
        <f>IF(AND(DD267&gt;NDC!$C$63,DE267&gt;NDC!$C$65,DF267&gt;NDC!$D$73,DG267&gt;NDC!$D$74,$B267&gt;NDC!$H$22-0.1+MIN(3*DH$12,1.5)),0,1)</f>
        <v>#N/A</v>
      </c>
      <c r="DI267" s="86" t="b">
        <f t="shared" si="353"/>
        <v>0</v>
      </c>
      <c r="DJ267" s="86">
        <f t="shared" si="354"/>
        <v>0.5</v>
      </c>
      <c r="DK267" s="86">
        <f t="shared" si="355"/>
        <v>0.5</v>
      </c>
      <c r="DL267" s="30" t="e">
        <f t="shared" ca="1" si="388"/>
        <v>#DIV/0!</v>
      </c>
      <c r="DM267" s="85" t="e">
        <f ca="1">IF(CS267&lt;=Hypothèses!$V$7,Hypothèses!$W$7,IF(CS267&lt;=Hypothèses!$V$8,Hypothèses!$W$8,IF(CS267&lt;=Hypothèses!$V$9,Hypothèses!$W$9,IF(CS267&lt;=Hypothèses!$V$10,Hypothèses!$W$10,IF(CS267&lt;=Hypothèses!$V$11,Hypothèses!$W$11,IF(CS267&lt;=Hypothèses!$V$12,Hypothèses!$W$12,IF(CS267&lt;=Hypothèses!$V$13,Hypothèses!$W$13,IF(CS267&lt;=Hypothèses!$V$14,Hypothèses!$W$14,IF(CS267&lt;=Hypothèses!$V$15,Hypothèses!$W$15,IF(CS267&lt;=Hypothèses!$V$16,Hypothèses!$W$16,IF(CS267&lt;=Hypothèses!$V$17,Hypothèses!$W$17,IF(CS267&lt;=Hypothèses!$V$18,Hypothèses!$W$18,""))))))))))))</f>
        <v>#DIV/0!</v>
      </c>
      <c r="DN267" s="87" t="e">
        <f t="shared" ca="1" si="421"/>
        <v>#DIV/0!</v>
      </c>
      <c r="DO267" s="88" t="e">
        <f ca="1">IF(CS267&lt;=Hypothèses!$V$7,Hypothèses!$X$7,IF(CS267&lt;=Hypothèses!$V$8,Hypothèses!$X$8,IF(CS267&lt;=Hypothèses!$V$9,Hypothèses!$X$9,IF(CS267&lt;=Hypothèses!$V$10,Hypothèses!$X$10,IF(CS267&lt;=Hypothèses!$V$11,Hypothèses!$X$11,IF(CS267&lt;=Hypothèses!$V$12,Hypothèses!$X$12,IF(CS267&lt;=Hypothèses!$V$13,Hypothèses!$X$13,IF(CS267&lt;=Hypothèses!$V$14,Hypothèses!$X$14,IF(CS267&lt;=Hypothèses!$V$15,Hypothèses!$X$15,IF(CS267&lt;=Hypothèses!$V$16,Hypothèses!$X$16,IF(CS267&lt;=Hypothèses!$U$17,Hypothèses!$W$17,IF(CS267&lt;=Hypothèses!$U$18,Hypothèses!$W$18,""))))))))))))</f>
        <v>#DIV/0!</v>
      </c>
      <c r="DP267" s="95" t="e">
        <f t="shared" ca="1" si="389"/>
        <v>#DIV/0!</v>
      </c>
      <c r="DQ267" s="101">
        <f t="shared" si="428"/>
        <v>0</v>
      </c>
      <c r="DR267" s="91">
        <f t="shared" si="356"/>
        <v>0</v>
      </c>
      <c r="DS267" s="30" t="e">
        <f t="shared" si="410"/>
        <v>#N/A</v>
      </c>
      <c r="DT267" s="30" t="e">
        <f t="shared" si="411"/>
        <v>#N/A</v>
      </c>
      <c r="DU267" s="31" t="e">
        <f>IF(OR(Hypothèses!$B$4=17,Hypothèses!$B$4=18,Hypothèses!$B$4=19,Hypothèses!$B$4=20),
IF($D267="Pressio.",
IF(OR($E267=3,$E267=1,$E267=4),DT267,DS267),
IF($D267="Pénétro.",
IF(OR($E267=3,$E267=1,$E267=4),DT267,DS267))),IF($D267="Pressio.",
IF($E267=3,DT267,DS267),
IF($D267="Pénétro.",
IF($E267=4,DT267,DS267))))</f>
        <v>#N/A</v>
      </c>
      <c r="DV267" s="31">
        <v>0</v>
      </c>
      <c r="DW267" s="102" t="e">
        <f>IF(NDC!$H$10="Oui",(VLOOKUP($B$3,'Coeff EC7'!$T$39:$X$59,2,0)*DU267+VLOOKUP($B$3,'Coeff EC7'!$T$65:$X$85,2,0)*Model0.1T!DV267)/1.5,PI()*DS$12*$Q267*($B267-$B266)*0.15/10+DW266)</f>
        <v>#N/A</v>
      </c>
      <c r="DX267" s="102" t="e">
        <f>(VLOOKUP($B$3,'Coeff EC7'!$T$39:$X$59,3,0)*DU267+VLOOKUP($B$3,'Coeff EC7'!$T$65:$X$85,3,0)*Model0.1T!DV267)/1.1</f>
        <v>#N/A</v>
      </c>
      <c r="DY267" s="102" t="e">
        <f t="shared" si="390"/>
        <v>#N/A</v>
      </c>
      <c r="DZ267" s="102" t="e">
        <f t="shared" si="391"/>
        <v>#N/A</v>
      </c>
      <c r="EA267" s="414" t="e">
        <f>IF(AND(DW267&gt;NDC!$C$63,DX267&gt;NDC!$C$65,DY267&gt;NDC!$D$73,DZ267&gt;NDC!$D$74,$B267&gt;NDC!$H$22-0.1+MIN(3*EA$12,1.5)),0,1)</f>
        <v>#N/A</v>
      </c>
      <c r="EB267" s="86" t="b">
        <f t="shared" si="357"/>
        <v>0</v>
      </c>
      <c r="EC267" s="418">
        <f t="shared" si="358"/>
        <v>0.51</v>
      </c>
      <c r="ED267" s="86">
        <f t="shared" si="359"/>
        <v>0.51</v>
      </c>
      <c r="EE267" s="30" t="e">
        <f t="shared" ca="1" si="392"/>
        <v>#DIV/0!</v>
      </c>
      <c r="EF267" s="85" t="e">
        <f ca="1">IF(DL267&lt;=Hypothèses!$V$7,Hypothèses!$W$7,IF(DL267&lt;=Hypothèses!$V$8,Hypothèses!$W$8,IF(DL267&lt;=Hypothèses!$V$9,Hypothèses!$W$9,IF(DL267&lt;=Hypothèses!$V$10,Hypothèses!$W$10,IF(DL267&lt;=Hypothèses!$V$11,Hypothèses!$W$11,IF(DL267&lt;=Hypothèses!$V$12,Hypothèses!$W$12,IF(DL267&lt;=Hypothèses!$V$13,Hypothèses!$W$13,IF(DL267&lt;=Hypothèses!$V$14,Hypothèses!$W$14,IF(DL267&lt;=Hypothèses!$V$15,Hypothèses!$W$15,IF(DL267&lt;=Hypothèses!$V$16,Hypothèses!$W$16,IF(DL267&lt;=Hypothèses!$V$17,Hypothèses!$W$17,IF(DL267&lt;=Hypothèses!$V$18,Hypothèses!$W$18,""))))))))))))</f>
        <v>#DIV/0!</v>
      </c>
      <c r="EG267" s="87" t="e">
        <f t="shared" ca="1" si="422"/>
        <v>#DIV/0!</v>
      </c>
      <c r="EH267" s="88" t="e">
        <f ca="1">IF(DL267&lt;=Hypothèses!$V$7,Hypothèses!$X$7,IF(DL267&lt;=Hypothèses!$V$8,Hypothèses!$X$8,IF(DL267&lt;=Hypothèses!$V$9,Hypothèses!$X$9,IF(DL267&lt;=Hypothèses!$V$10,Hypothèses!$X$10,IF(DL267&lt;=Hypothèses!$V$11,Hypothèses!$X$11,IF(DL267&lt;=Hypothèses!$V$12,Hypothèses!$X$12,IF(DL267&lt;=Hypothèses!$V$13,Hypothèses!$X$13,IF(DL267&lt;=Hypothèses!$V$14,Hypothèses!$X$14,IF(DL267&lt;=Hypothèses!$V$15,Hypothèses!$X$15,IF(DL267&lt;=Hypothèses!$V$16,Hypothèses!$X$16,IF(DL267&lt;=Hypothèses!$U$17,Hypothèses!$W$17,IF(DL267&lt;=Hypothèses!$U$18,Hypothèses!$W$18,""))))))))))))</f>
        <v>#DIV/0!</v>
      </c>
      <c r="EI267" s="95" t="e">
        <f t="shared" ca="1" si="393"/>
        <v>#DIV/0!</v>
      </c>
      <c r="EJ267" s="101">
        <f t="shared" si="429"/>
        <v>0</v>
      </c>
      <c r="EK267" s="91">
        <f t="shared" si="360"/>
        <v>0</v>
      </c>
      <c r="EL267" s="30" t="e">
        <f t="shared" si="412"/>
        <v>#N/A</v>
      </c>
      <c r="EM267" s="30" t="e">
        <f t="shared" si="413"/>
        <v>#N/A</v>
      </c>
      <c r="EN267" s="31" t="e">
        <f>IF(OR(Hypothèses!$B$4=17,Hypothèses!$B$4=18,Hypothèses!$B$4=19,Hypothèses!$B$4=20),
IF($D267="Pressio.",
IF(OR($E267=3,$E267=1,$E267=4),EM267,EL267),
IF($D267="Pénétro.",
IF(OR($E267=3,$E267=1,$E267=4),EM267,EL267))),IF($D267="Pressio.",
IF($E267=3,EM267,EL267),
IF($D267="Pénétro.",
IF($E267=4,EM267,EL267))))</f>
        <v>#N/A</v>
      </c>
      <c r="EO267" s="31">
        <v>0</v>
      </c>
      <c r="EP267" s="102" t="e">
        <f>IF(NDC!$H$10="Oui",(VLOOKUP($B$3,'Coeff EC7'!$T$39:$X$59,2,0)*EN267+VLOOKUP($B$3,'Coeff EC7'!$T$65:$X$85,2,0)*Model0.1T!EO267)/1.5,PI()*EL$12*$Q267*($B267-$B266)*0.15/10+EP266)</f>
        <v>#N/A</v>
      </c>
      <c r="EQ267" s="102" t="e">
        <f>(VLOOKUP($B$3,'Coeff EC7'!$T$39:$X$59,3,0)*EN267+VLOOKUP($B$3,'Coeff EC7'!$T$65:$X$85,3,0)*Model0.1T!EO267)/1.1</f>
        <v>#N/A</v>
      </c>
      <c r="ER267" s="102" t="e">
        <f t="shared" si="394"/>
        <v>#N/A</v>
      </c>
      <c r="ES267" s="102" t="e">
        <f t="shared" si="395"/>
        <v>#N/A</v>
      </c>
      <c r="ET267" s="414" t="e">
        <f>IF(AND(EP267&gt;NDC!$C$63,EQ267&gt;NDC!$C$65,ER267&gt;NDC!$D$73,ES267&gt;NDC!$D$74,$B267&gt;NDC!$H$22-0.1+MIN(3*ET$12,1.5)),0,1)</f>
        <v>#N/A</v>
      </c>
      <c r="EU267" s="86" t="b">
        <f t="shared" si="361"/>
        <v>0</v>
      </c>
      <c r="EV267" s="86">
        <f t="shared" si="362"/>
        <v>0.61</v>
      </c>
      <c r="EW267" s="86">
        <f t="shared" si="363"/>
        <v>0.61</v>
      </c>
      <c r="EX267" s="30" t="e">
        <f t="shared" ca="1" si="396"/>
        <v>#DIV/0!</v>
      </c>
      <c r="EY267" s="85" t="e">
        <f ca="1">IF(EE267&lt;=Hypothèses!$V$7,Hypothèses!$W$7,IF(EE267&lt;=Hypothèses!$V$8,Hypothèses!$W$8,IF(EE267&lt;=Hypothèses!$V$9,Hypothèses!$W$9,IF(EE267&lt;=Hypothèses!$V$10,Hypothèses!$W$10,IF(EE267&lt;=Hypothèses!$V$11,Hypothèses!$W$11,IF(EE267&lt;=Hypothèses!$V$12,Hypothèses!$W$12,IF(EE267&lt;=Hypothèses!$V$13,Hypothèses!$W$13,IF(EE267&lt;=Hypothèses!$V$14,Hypothèses!$W$14,IF(EE267&lt;=Hypothèses!$V$15,Hypothèses!$W$15,IF(EE267&lt;=Hypothèses!$V$16,Hypothèses!$W$16,IF(EE267&lt;=Hypothèses!$V$17,Hypothèses!$W$17,IF(EE267&lt;=Hypothèses!$V$18,Hypothèses!$W$18,""))))))))))))</f>
        <v>#DIV/0!</v>
      </c>
      <c r="EZ267" s="87" t="e">
        <f t="shared" ca="1" si="423"/>
        <v>#DIV/0!</v>
      </c>
      <c r="FA267" s="88" t="e">
        <f ca="1">IF(EE267&lt;=Hypothèses!$V$7,Hypothèses!$X$7,IF(EE267&lt;=Hypothèses!$V$8,Hypothèses!$X$8,IF(EE267&lt;=Hypothèses!$V$9,Hypothèses!$X$9,IF(EE267&lt;=Hypothèses!$V$10,Hypothèses!$X$10,IF(EE267&lt;=Hypothèses!$V$11,Hypothèses!$X$11,IF(EE267&lt;=Hypothèses!$V$12,Hypothèses!$X$12,IF(EE267&lt;=Hypothèses!$V$13,Hypothèses!$X$13,IF(EE267&lt;=Hypothèses!$V$14,Hypothèses!$X$14,IF(EE267&lt;=Hypothèses!$V$15,Hypothèses!$X$15,IF(EE267&lt;=Hypothèses!$V$16,Hypothèses!$X$16,IF(EE267&lt;=Hypothèses!$U$17,Hypothèses!$W$17,IF(EE267&lt;=Hypothèses!$U$18,Hypothèses!$W$18,""))))))))))))</f>
        <v>#DIV/0!</v>
      </c>
      <c r="FB267" s="95" t="e">
        <f t="shared" ca="1" si="397"/>
        <v>#DIV/0!</v>
      </c>
      <c r="FC267" s="101">
        <f t="shared" si="430"/>
        <v>0</v>
      </c>
      <c r="FD267" s="91">
        <f t="shared" si="364"/>
        <v>0</v>
      </c>
      <c r="FE267" s="30" t="e">
        <f t="shared" si="414"/>
        <v>#N/A</v>
      </c>
      <c r="FF267" s="30" t="e">
        <f t="shared" si="415"/>
        <v>#N/A</v>
      </c>
      <c r="FG267" s="31" t="e">
        <f>IF(OR(Hypothèses!$B$4=17,Hypothèses!$B$4=18,Hypothèses!$B$4=19,Hypothèses!$B$4=20),
IF($D267="Pressio.",
IF(OR($E267=3,$E267=1,$E267=4),FF267,FE267),
IF($D267="Pénétro.",
IF(OR($E267=3,$E267=1,$E267=4),FF267,FE267))),IF($D267="Pressio.",
IF($E267=3,FF267,FE267),
IF($D267="Pénétro.",
IF($E267=4,FF267,FE267))))</f>
        <v>#N/A</v>
      </c>
      <c r="FH267" s="31">
        <v>0</v>
      </c>
      <c r="FI267" s="102" t="e">
        <f>IF(NDC!$H$10="Oui",(VLOOKUP($B$3,'Coeff EC7'!$T$39:$X$59,2,0)*FG267+VLOOKUP($B$3,'Coeff EC7'!$T$65:$X$85,2,0)*Model0.1T!FH267)/1.5,PI()*FE$12*$Q267*($B267-$B266)*0.15/10+FI266)</f>
        <v>#N/A</v>
      </c>
      <c r="FJ267" s="102" t="e">
        <f>(VLOOKUP($B$3,'Coeff EC7'!$T$39:$X$59,3,0)*FG267+VLOOKUP($B$3,'Coeff EC7'!$T$65:$X$85,3,0)*Model0.1T!FH267)/1.1</f>
        <v>#N/A</v>
      </c>
      <c r="FK267" s="102" t="e">
        <f t="shared" si="398"/>
        <v>#N/A</v>
      </c>
      <c r="FL267" s="102" t="e">
        <f t="shared" si="399"/>
        <v>#N/A</v>
      </c>
      <c r="FM267" s="414" t="e">
        <f>IF(AND(FI267&gt;NDC!$C$63,FJ267&gt;NDC!$C$65,FK267&gt;NDC!$D$73,FL267&gt;NDC!$D$74,$B267&gt;NDC!$H$22-0.1+MIN(3*FM$12,1.5)),0,1)</f>
        <v>#N/A</v>
      </c>
    </row>
    <row r="268" spans="1:169">
      <c r="A268" s="96">
        <f t="shared" si="365"/>
        <v>74.50000000000145</v>
      </c>
      <c r="B268" s="97">
        <v>25.5</v>
      </c>
      <c r="C268" s="81">
        <f>IF(B268&lt;=Hypothèses!$C$7,Hypothèses!$A$7,IF(B268&lt;=Hypothèses!$C$8,Hypothèses!$A$8,IF(B268&lt;=Hypothèses!$C$9,Hypothèses!$A$9,IF(B268&lt;=Hypothèses!$C$10,Hypothèses!$A$10,IF(B268&lt;=Hypothèses!$C$11,Hypothèses!$A$11,IF(B268&lt;=Hypothèses!$C$12,Hypothèses!$A$12,IF(B268&lt;=Hypothèses!$C$13,Hypothèses!$A$13,IF(B268&lt;=Hypothèses!$C$14,Hypothèses!$A$14,IF(B268&lt;=Hypothèses!$C$15,Hypothèses!$A$15,IF(B268&lt;=Hypothèses!$C$16,Hypothèses!$A$16,IF(B268&lt;=Hypothèses!$C$17,Hypothèses!$A$17,IF(B268&lt;=Hypothèses!$C$18,Hypothèses!$A$18,C267))))))))))))</f>
        <v>11</v>
      </c>
      <c r="D268" s="82" t="str">
        <f>IF(B268&lt;=Hypothèses!$C$7,Hypothèses!$R$7,IF(B268&lt;=Hypothèses!$C$8,Hypothèses!$R$8,IF(B268&lt;=Hypothèses!$C$9,Hypothèses!$R$9,IF(B268&lt;=Hypothèses!$C$10,Hypothèses!$R$10,IF(B268&lt;=Hypothèses!$C$11,Hypothèses!$R$11,IF(B268&lt;=Hypothèses!$C$12,Hypothèses!$R$12,IF(B268&lt;=Hypothèses!$C$13,Hypothèses!$R$13,IF(B268&lt;=Hypothèses!$C$14,Hypothèses!$R$14,IF(B268&lt;=Hypothèses!$C$15,Hypothèses!$R$15,IF(B268&lt;=Hypothèses!$C$16,Hypothèses!$R$16,IF(B268&lt;=Hypothèses!$C$17,Hypothèses!$R$17,IF(B268&lt;=Hypothèses!$C$18,Hypothèses!$R$18,D267))))))))))))</f>
        <v>Pressio.</v>
      </c>
      <c r="E268" s="82" t="e">
        <f>IF(B268&lt;=Hypothèses!$C$7,Hypothèses!$G$7,IF(B268&lt;=Hypothèses!$C$8,Hypothèses!$G$8,IF(B268&lt;=Hypothèses!$C$9,Hypothèses!$G$9,IF(B268&lt;=Hypothèses!$C$10,Hypothèses!$G$10,IF(B268&lt;=Hypothèses!$C$11,Hypothèses!$G$11,IF(B268&lt;=Hypothèses!$C$12,Hypothèses!$G$12,IF(B268&lt;=Hypothèses!$C$13,Hypothèses!$G$13,IF(B268&lt;=Hypothèses!$C$14,Hypothèses!$G$14,IF(B268&lt;=Hypothèses!$C$15,Hypothèses!$G$15,IF(B268&lt;=Hypothèses!$C$16,Hypothèses!$G$16,IF(B268&lt;=Hypothèses!$C$17,Hypothèses!$G$17,IF(B268&lt;=Hypothèses!$C$18,Hypothèses!$G$18,E267))))))))))))</f>
        <v>#N/A</v>
      </c>
      <c r="F268" s="82" t="str">
        <f>IF(B268&lt;=Hypothèses!$C$7,Hypothèses!$F$7,IF(B268&lt;=Hypothèses!$C$8,Hypothèses!$F$8,IF(B268&lt;=Hypothèses!$C$9,Hypothèses!$F$9,IF(B268&lt;=Hypothèses!$C$10,Hypothèses!$F$10,IF(B268&lt;=Hypothèses!$C$11,Hypothèses!$F$11,IF(B268&lt;=Hypothèses!$C$12,Hypothèses!$F$12,IF(B268&lt;=Hypothèses!$C$13,Hypothèses!$F$13,IF(B268&lt;=Hypothèses!$C$14,Hypothèses!$F$14,IF(B268&lt;=Hypothèses!$C$15,Hypothèses!$F$15,IF(B268&lt;=Hypothèses!$C$16,Hypothèses!$F$16,IF(B268&lt;=Hypothèses!$C$17,Hypothèses!$F$17,IF(B268&lt;=Hypothèses!$C$18,Hypothèses!$F$18,F267))))))))))))</f>
        <v/>
      </c>
      <c r="G268" s="91">
        <f t="array" ref="G268">INDEX('Coeff EC7'!$U$7:$X$27,
MATCH(Model0.1T!$B$3,'Coeff EC7'!$T$7:$T$27,0),
MATCH(Model0.1T!$D268&amp;Model0.1T!$B$4,
'Coeff EC7'!$U$6:$X$6&amp;
'Coeff EC7'!$U$5:$X$5,0))</f>
        <v>1.4</v>
      </c>
      <c r="H268" s="91">
        <f t="array" ref="H268">INDEX('Coeff EC7'!$Y$7:$AB$27,
MATCH(Model0.1T!$B$3,'Coeff EC7'!$T$7:$T$27,0),
MATCH(Model0.1T!$D268&amp;Model0.1T!$B$4,
'Coeff EC7'!$Y$6:$AB$6&amp;
'Coeff EC7'!$Y$5:$AB$5,0))</f>
        <v>1.7</v>
      </c>
      <c r="I268" s="83">
        <v>0</v>
      </c>
      <c r="J268" s="91" t="e">
        <f t="array" ref="J268">INDEX('Coeff EC7'!$D$33:$Q$33,1,MATCH(D268&amp;E268,'Coeff EC7'!$D$31:$Q$31&amp;'Coeff EC7'!$D$32:$Q$32,0))</f>
        <v>#N/A</v>
      </c>
      <c r="K268" s="91" t="e">
        <f t="array" ref="K268">INDEX('Coeff EC7'!$D$34:$Q$34,1,MATCH(D268&amp;E268,'Coeff EC7'!$D$31:$Q$31&amp;'Coeff EC7'!$D$32:$Q$32,0))</f>
        <v>#N/A</v>
      </c>
      <c r="L268" s="91" t="e">
        <f t="array" ref="L268">INDEX('Coeff EC7'!$D$35:$Q$35,1,MATCH(D268&amp;E268,'Coeff EC7'!$D$31:$Q$31&amp;'Coeff EC7'!$D$32:$Q$32,0))</f>
        <v>#N/A</v>
      </c>
      <c r="M268" s="98" t="e">
        <f t="shared" si="331"/>
        <v>#N/A</v>
      </c>
      <c r="N268" s="99" t="e">
        <f t="array" ref="N268">INDEX('Coeff EC7'!$D$7:$Q$27,MATCH($B$3,'Coeff EC7'!$C$7:$C$27,0),MATCH(D268&amp;E268,'Coeff EC7'!$D$5:$Q$5&amp;'Coeff EC7'!$D$6:$Q$6,0))</f>
        <v>#N/A</v>
      </c>
      <c r="O268" s="99" t="e">
        <f t="array" ref="O268">INDEX('Coeff EC7'!$D$41:$Q$61,MATCH($B$3,'Coeff EC7'!$C$41:$C$61,0),MATCH(D268&amp;E268,'Coeff EC7'!$D$39:$Q$39&amp;'Coeff EC7'!$D$40:$Q$40,0))</f>
        <v>#N/A</v>
      </c>
      <c r="P268" s="30" t="e">
        <f t="shared" si="366"/>
        <v>#N/A</v>
      </c>
      <c r="Q268" s="100" t="e">
        <f t="shared" si="333"/>
        <v>#N/A</v>
      </c>
      <c r="R268" s="86" t="b">
        <f t="shared" si="334"/>
        <v>0</v>
      </c>
      <c r="S268" s="86">
        <f t="shared" si="332"/>
        <v>0.5</v>
      </c>
      <c r="T268" s="86">
        <f t="shared" si="335"/>
        <v>0.5</v>
      </c>
      <c r="U268" s="30" t="e">
        <f t="shared" ca="1" si="367"/>
        <v>#DIV/0!</v>
      </c>
      <c r="V268" s="85" t="str">
        <f>IF(B268&lt;=Hypothèses!$V$7,Hypothèses!$W$7,IF(B268&lt;=Hypothèses!$V$8,Hypothèses!$W$8,IF(B268&lt;=Hypothèses!$V$9,Hypothèses!$W$9,IF(B268&lt;=Hypothèses!$V$10,Hypothèses!$W$10,IF(B268&lt;=Hypothèses!$V$11,Hypothèses!$W$11,IF(B268&lt;=Hypothèses!$V$12,Hypothèses!$W$12,IF(B268&lt;=Hypothèses!$V$13,Hypothèses!$W$13,IF(B268&lt;=Hypothèses!$V$14,Hypothèses!$W$14,IF(B268&lt;=Hypothèses!$V$15,Hypothèses!$W$15,IF(B268&lt;=Hypothèses!$V$16,Hypothèses!$W$16,IF(B268&lt;=Hypothèses!$V$17,Hypothèses!$W$17,IF(B268&lt;=Hypothèses!$V$18,Hypothèses!$W$18,""))))))))))))</f>
        <v/>
      </c>
      <c r="W268" s="87" t="e">
        <f t="shared" ca="1" si="416"/>
        <v>#DIV/0!</v>
      </c>
      <c r="X268" s="88" t="str">
        <f>IF(B268&lt;=Hypothèses!$V$7,Hypothèses!$X$7,IF(B268&lt;=Hypothèses!$V$8,Hypothèses!$X$8,IF(B268&lt;=Hypothèses!$V$9,Hypothèses!$X$9,IF(B268&lt;=Hypothèses!$V$10,Hypothèses!$X$10,IF(B268&lt;=Hypothèses!$V$11,Hypothèses!$X$11,IF(B268&lt;=Hypothèses!$V$12,Hypothèses!$X$12,IF(B268&lt;=Hypothèses!$V$13,Hypothèses!$X$13,IF(B268&lt;=Hypothèses!$V$14,Hypothèses!$X$14,IF(B268&lt;=Hypothèses!$V$15,Hypothèses!$X$15,IF(B268&lt;=Hypothèses!$V$16,Hypothèses!$X$16,IF(B268&lt;=Hypothèses!$U$17,Hypothèses!$W$17,IF(B268&lt;=Hypothèses!$U$18,Hypothèses!$W$18,""))))))))))))</f>
        <v/>
      </c>
      <c r="Y268" s="95" t="e">
        <f t="shared" ca="1" si="336"/>
        <v>#DIV/0!</v>
      </c>
      <c r="Z268" s="101">
        <f t="shared" si="337"/>
        <v>0</v>
      </c>
      <c r="AA268" s="91">
        <f t="shared" si="338"/>
        <v>0</v>
      </c>
      <c r="AB268" s="30" t="e">
        <f t="shared" si="400"/>
        <v>#N/A</v>
      </c>
      <c r="AC268" s="30" t="e">
        <f t="shared" si="401"/>
        <v>#N/A</v>
      </c>
      <c r="AD268" s="31" t="e">
        <f>IF(OR(Hypothèses!$B$4=17,Hypothèses!$B$4=18,Hypothèses!$B$4=19,Hypothèses!$B$4=20),
IF($D268="Pressio.",
IF(OR($E268=3,$E268=1,$E268=4),AC268,AB268),
IF($D268="Pénétro.",
IF(OR($E268=3,$E268=1,$E268=4),AC268,AB268))),IF($D268="Pressio.",
IF($E268=3,AC268,AB268),
IF($D268="Pénétro.",
IF($E268=4,AC268,AB268))))</f>
        <v>#N/A</v>
      </c>
      <c r="AE268" s="31">
        <v>0</v>
      </c>
      <c r="AF268" s="102" t="e">
        <f>IF(NDC!$H$10="Oui",(VLOOKUP($B$3,'Coeff EC7'!$T$39:$X$59,2,0)*AD268+VLOOKUP($B$3,'Coeff EC7'!$T$65:$X$85,2,0)*Model0.1T!AE268)/1.5,PI()*AB$12*$Q268*($B268-$B267)*0.15/10+AF267)</f>
        <v>#N/A</v>
      </c>
      <c r="AG268" s="102" t="e">
        <f>(VLOOKUP($B$3,'Coeff EC7'!$T$39:$X$59,3,0)*AD268+VLOOKUP($B$3,'Coeff EC7'!$T$65:$X$85,3,0)*Model0.1T!AE268)/1.1</f>
        <v>#N/A</v>
      </c>
      <c r="AH268" s="102" t="e">
        <f t="shared" si="368"/>
        <v>#N/A</v>
      </c>
      <c r="AI268" s="102" t="e">
        <f t="shared" si="369"/>
        <v>#N/A</v>
      </c>
      <c r="AJ268" s="414" t="e">
        <f>IF(AND(AF268&gt;NDC!$C$63,AG268&gt;NDC!$C$65,AH268&gt;NDC!$D$73,AI268&gt;NDC!$D$74,$B268&gt;NDC!$H$22-0.1+MIN(3*$AJ$12,1.5)),0,1)</f>
        <v>#N/A</v>
      </c>
      <c r="AK268" s="86" t="b">
        <f t="shared" si="339"/>
        <v>0</v>
      </c>
      <c r="AL268" s="86">
        <f t="shared" si="370"/>
        <v>0.5</v>
      </c>
      <c r="AM268" s="86">
        <f t="shared" si="340"/>
        <v>0.5</v>
      </c>
      <c r="AN268" s="30" t="e">
        <f t="shared" ca="1" si="371"/>
        <v>#DIV/0!</v>
      </c>
      <c r="AO268" s="85" t="e">
        <f ca="1">IF(U268&lt;=Hypothèses!$V$7,Hypothèses!$W$7,IF(U268&lt;=Hypothèses!$V$8,Hypothèses!$W$8,IF(U268&lt;=Hypothèses!$V$9,Hypothèses!$W$9,IF(U268&lt;=Hypothèses!$V$10,Hypothèses!$W$10,IF(U268&lt;=Hypothèses!$V$11,Hypothèses!$W$11,IF(U268&lt;=Hypothèses!$V$12,Hypothèses!$W$12,IF(U268&lt;=Hypothèses!$V$13,Hypothèses!$W$13,IF(U268&lt;=Hypothèses!$V$14,Hypothèses!$W$14,IF(U268&lt;=Hypothèses!$V$15,Hypothèses!$W$15,IF(U268&lt;=Hypothèses!$V$16,Hypothèses!$W$16,IF(U268&lt;=Hypothèses!$V$17,Hypothèses!$W$17,IF(U268&lt;=Hypothèses!$V$18,Hypothèses!$W$18,""))))))))))))</f>
        <v>#DIV/0!</v>
      </c>
      <c r="AP268" s="87" t="e">
        <f t="shared" ca="1" si="417"/>
        <v>#DIV/0!</v>
      </c>
      <c r="AQ268" s="88" t="e">
        <f ca="1">IF(U268&lt;=Hypothèses!$V$7,Hypothèses!$X$7,IF(U268&lt;=Hypothèses!$V$8,Hypothèses!$X$8,IF(U268&lt;=Hypothèses!$V$9,Hypothèses!$X$9,IF(U268&lt;=Hypothèses!$V$10,Hypothèses!$X$10,IF(U268&lt;=Hypothèses!$V$11,Hypothèses!$X$11,IF(U268&lt;=Hypothèses!$V$12,Hypothèses!$X$12,IF(U268&lt;=Hypothèses!$V$13,Hypothèses!$X$13,IF(U268&lt;=Hypothèses!$V$14,Hypothèses!$X$14,IF(U268&lt;=Hypothèses!$V$15,Hypothèses!$X$15,IF(U268&lt;=Hypothèses!$V$16,Hypothèses!$X$16,IF(U268&lt;=Hypothèses!$U$17,Hypothèses!$W$17,IF(U268&lt;=Hypothèses!$U$18,Hypothèses!$W$18,""))))))))))))</f>
        <v>#DIV/0!</v>
      </c>
      <c r="AR268" s="95" t="e">
        <f t="shared" ca="1" si="372"/>
        <v>#DIV/0!</v>
      </c>
      <c r="AS268" s="101">
        <f t="shared" si="424"/>
        <v>0</v>
      </c>
      <c r="AT268" s="91">
        <f t="shared" si="341"/>
        <v>0</v>
      </c>
      <c r="AU268" s="30" t="e">
        <f t="shared" si="402"/>
        <v>#N/A</v>
      </c>
      <c r="AV268" s="30" t="e">
        <f t="shared" si="403"/>
        <v>#N/A</v>
      </c>
      <c r="AW268" s="31" t="e">
        <f>IF(OR(Hypothèses!$B$4=17,Hypothèses!$B$4=18,Hypothèses!$B$4=19,Hypothèses!$B$4=20),
IF($D268="Pressio.",
IF(OR($E268=3,$E268=1,$E268=4),AV268,AU268),
IF($D268="Pénétro.",
IF(OR($E268=3,$E268=1,$E268=4),AV268,AU268))),IF($D268="Pressio.",
IF($E268=3,AV268,AU268),
IF($D268="Pénétro.",
IF($E268=4,AV268,AU268))))</f>
        <v>#N/A</v>
      </c>
      <c r="AX268" s="31">
        <v>0</v>
      </c>
      <c r="AY268" s="102" t="e">
        <f>IF(NDC!$H$10="Oui",(VLOOKUP($B$3,'Coeff EC7'!$T$39:$X$59,2,0)*AW268+VLOOKUP($B$3,'Coeff EC7'!$T$65:$X$85,2,0)*Model0.1T!AX268)/1.5,PI()*AU$12*$Q268*($B268-$B267)*0.15/10+AY267)</f>
        <v>#N/A</v>
      </c>
      <c r="AZ268" s="102" t="e">
        <f>(VLOOKUP($B$3,'Coeff EC7'!$T$39:$X$59,3,0)*AW268+VLOOKUP($B$3,'Coeff EC7'!$T$65:$X$85,3,0)*Model0.1T!AX268)/1.1</f>
        <v>#N/A</v>
      </c>
      <c r="BA268" s="102" t="e">
        <f t="shared" si="373"/>
        <v>#N/A</v>
      </c>
      <c r="BB268" s="102" t="e">
        <f t="shared" si="374"/>
        <v>#N/A</v>
      </c>
      <c r="BC268" s="414" t="e">
        <f>IF(AND(AY268&gt;NDC!$C$63,AZ268&gt;NDC!$C$65,BA268&gt;NDC!$D$73,BB268&gt;NDC!$D$74,$B268&gt;NDC!$H$22-0.1+MIN(3*BC$12,1.5)),0,1)</f>
        <v>#N/A</v>
      </c>
      <c r="BD268" s="86" t="b">
        <f t="shared" si="342"/>
        <v>0</v>
      </c>
      <c r="BE268" s="86">
        <f t="shared" si="375"/>
        <v>0.5</v>
      </c>
      <c r="BF268" s="86">
        <f t="shared" si="343"/>
        <v>0.5</v>
      </c>
      <c r="BG268" s="30" t="e">
        <f t="shared" ca="1" si="376"/>
        <v>#DIV/0!</v>
      </c>
      <c r="BH268" s="85" t="e">
        <f ca="1">IF(AN268&lt;=Hypothèses!$V$7,Hypothèses!$W$7,IF(AN268&lt;=Hypothèses!$V$8,Hypothèses!$W$8,IF(AN268&lt;=Hypothèses!$V$9,Hypothèses!$W$9,IF(AN268&lt;=Hypothèses!$V$10,Hypothèses!$W$10,IF(AN268&lt;=Hypothèses!$V$11,Hypothèses!$W$11,IF(AN268&lt;=Hypothèses!$V$12,Hypothèses!$W$12,IF(AN268&lt;=Hypothèses!$V$13,Hypothèses!$W$13,IF(AN268&lt;=Hypothèses!$V$14,Hypothèses!$W$14,IF(AN268&lt;=Hypothèses!$V$15,Hypothèses!$W$15,IF(AN268&lt;=Hypothèses!$V$16,Hypothèses!$W$16,IF(AN268&lt;=Hypothèses!$V$17,Hypothèses!$W$17,IF(AN268&lt;=Hypothèses!$V$18,Hypothèses!$W$18,""))))))))))))</f>
        <v>#DIV/0!</v>
      </c>
      <c r="BI268" s="87" t="e">
        <f t="shared" ca="1" si="418"/>
        <v>#DIV/0!</v>
      </c>
      <c r="BJ268" s="88" t="e">
        <f ca="1">IF(AN268&lt;=Hypothèses!$V$7,Hypothèses!$X$7,IF(AN268&lt;=Hypothèses!$V$8,Hypothèses!$X$8,IF(AN268&lt;=Hypothèses!$V$9,Hypothèses!$X$9,IF(AN268&lt;=Hypothèses!$V$10,Hypothèses!$X$10,IF(AN268&lt;=Hypothèses!$V$11,Hypothèses!$X$11,IF(AN268&lt;=Hypothèses!$V$12,Hypothèses!$X$12,IF(AN268&lt;=Hypothèses!$V$13,Hypothèses!$X$13,IF(AN268&lt;=Hypothèses!$V$14,Hypothèses!$X$14,IF(AN268&lt;=Hypothèses!$V$15,Hypothèses!$X$15,IF(AN268&lt;=Hypothèses!$V$16,Hypothèses!$X$16,IF(AN268&lt;=Hypothèses!$U$17,Hypothèses!$W$17,IF(AN268&lt;=Hypothèses!$U$18,Hypothèses!$W$18,""))))))))))))</f>
        <v>#DIV/0!</v>
      </c>
      <c r="BK268" s="95" t="e">
        <f t="shared" ca="1" si="377"/>
        <v>#DIV/0!</v>
      </c>
      <c r="BL268" s="101">
        <f t="shared" si="425"/>
        <v>0</v>
      </c>
      <c r="BM268" s="91">
        <f t="shared" si="344"/>
        <v>0</v>
      </c>
      <c r="BN268" s="30" t="e">
        <f t="shared" si="404"/>
        <v>#N/A</v>
      </c>
      <c r="BO268" s="30" t="e">
        <f t="shared" si="405"/>
        <v>#N/A</v>
      </c>
      <c r="BP268" s="31" t="e">
        <f>IF(OR(Hypothèses!$B$4=17,Hypothèses!$B$4=18,Hypothèses!$B$4=19,Hypothèses!$B$4=20),
IF($D268="Pressio.",
IF(OR($E268=3,$E268=1,$E268=4),BO268,BN268),
IF($D268="Pénétro.",
IF(OR($E268=3,$E268=1,$E268=4),BO268,BN268))),IF($D268="Pressio.",
IF($E268=3,BO268,BN268),
IF($D268="Pénétro.",
IF($E268=4,BO268,BN268))))</f>
        <v>#N/A</v>
      </c>
      <c r="BQ268" s="31">
        <v>0</v>
      </c>
      <c r="BR268" s="102" t="e">
        <f>IF(NDC!$H$10="Oui",(VLOOKUP($B$3,'Coeff EC7'!$T$39:$X$59,2,0)*BP268+VLOOKUP($B$3,'Coeff EC7'!$T$65:$X$85,2,0)*Model0.1T!BQ268)/1.5,PI()*BN$12*$Q268*($B268-$B267)*0.15/10+BR267)</f>
        <v>#N/A</v>
      </c>
      <c r="BS268" s="102" t="e">
        <f>(VLOOKUP($B$3,'Coeff EC7'!$T$39:$X$59,3,0)*BP268+VLOOKUP($B$3,'Coeff EC7'!$T$65:$X$85,3,0)*Model0.1T!BQ268)/1.1</f>
        <v>#N/A</v>
      </c>
      <c r="BT268" s="102" t="e">
        <f t="shared" si="378"/>
        <v>#N/A</v>
      </c>
      <c r="BU268" s="102" t="e">
        <f t="shared" si="379"/>
        <v>#N/A</v>
      </c>
      <c r="BV268" s="414" t="e">
        <f>IF(AND(BR268&gt;NDC!$C$63,BS268&gt;NDC!$C$65,BT268&gt;NDC!$D$73,BU268&gt;NDC!$D$74,$B268&gt;NDC!$H$22-0.1+MIN(3*BV$12,1.5)),0,1)</f>
        <v>#N/A</v>
      </c>
      <c r="BW268" s="86" t="b">
        <f t="shared" si="345"/>
        <v>0</v>
      </c>
      <c r="BX268" s="86">
        <f t="shared" si="346"/>
        <v>0.5</v>
      </c>
      <c r="BY268" s="86">
        <f t="shared" si="347"/>
        <v>0.5</v>
      </c>
      <c r="BZ268" s="30" t="e">
        <f t="shared" ca="1" si="380"/>
        <v>#DIV/0!</v>
      </c>
      <c r="CA268" s="85" t="e">
        <f ca="1">IF(BG268&lt;=Hypothèses!$V$7,Hypothèses!$W$7,IF(BG268&lt;=Hypothèses!$V$8,Hypothèses!$W$8,IF(BG268&lt;=Hypothèses!$V$9,Hypothèses!$W$9,IF(BG268&lt;=Hypothèses!$V$10,Hypothèses!$W$10,IF(BG268&lt;=Hypothèses!$V$11,Hypothèses!$W$11,IF(BG268&lt;=Hypothèses!$V$12,Hypothèses!$W$12,IF(BG268&lt;=Hypothèses!$V$13,Hypothèses!$W$13,IF(BG268&lt;=Hypothèses!$V$14,Hypothèses!$W$14,IF(BG268&lt;=Hypothèses!$V$15,Hypothèses!$W$15,IF(BG268&lt;=Hypothèses!$V$16,Hypothèses!$W$16,IF(BG268&lt;=Hypothèses!$V$17,Hypothèses!$W$17,IF(BG268&lt;=Hypothèses!$V$18,Hypothèses!$W$18,""))))))))))))</f>
        <v>#DIV/0!</v>
      </c>
      <c r="CB268" s="87" t="e">
        <f t="shared" ca="1" si="419"/>
        <v>#DIV/0!</v>
      </c>
      <c r="CC268" s="88" t="e">
        <f ca="1">IF(BG268&lt;=Hypothèses!$V$7,Hypothèses!$X$7,IF(BG268&lt;=Hypothèses!$V$8,Hypothèses!$X$8,IF(BG268&lt;=Hypothèses!$V$9,Hypothèses!$X$9,IF(BG268&lt;=Hypothèses!$V$10,Hypothèses!$X$10,IF(BG268&lt;=Hypothèses!$V$11,Hypothèses!$X$11,IF(BG268&lt;=Hypothèses!$V$12,Hypothèses!$X$12,IF(BG268&lt;=Hypothèses!$V$13,Hypothèses!$X$13,IF(BG268&lt;=Hypothèses!$V$14,Hypothèses!$X$14,IF(BG268&lt;=Hypothèses!$V$15,Hypothèses!$X$15,IF(BG268&lt;=Hypothèses!$V$16,Hypothèses!$X$16,IF(BG268&lt;=Hypothèses!$U$17,Hypothèses!$W$17,IF(BG268&lt;=Hypothèses!$U$18,Hypothèses!$W$18,""))))))))))))</f>
        <v>#DIV/0!</v>
      </c>
      <c r="CD268" s="95" t="e">
        <f t="shared" ca="1" si="381"/>
        <v>#DIV/0!</v>
      </c>
      <c r="CE268" s="101">
        <f t="shared" si="426"/>
        <v>0</v>
      </c>
      <c r="CF268" s="91">
        <f t="shared" si="348"/>
        <v>0</v>
      </c>
      <c r="CG268" s="30" t="e">
        <f t="shared" si="406"/>
        <v>#N/A</v>
      </c>
      <c r="CH268" s="30" t="e">
        <f t="shared" si="407"/>
        <v>#N/A</v>
      </c>
      <c r="CI268" s="31" t="e">
        <f>IF(OR(Hypothèses!$B$4=17,Hypothèses!$B$4=18,Hypothèses!$B$4=19,Hypothèses!$B$4=20),
IF($D268="Pressio.",
IF(OR($E268=3,$E268=1,$E268=4),CH268,CG268),
IF($D268="Pénétro.",
IF(OR($E268=3,$E268=1,$E268=4),CH268,CG268))),IF($D268="Pressio.",
IF($E268=3,CH268,CG268),
IF($D268="Pénétro.",
IF($E268=4,CH268,CG268))))</f>
        <v>#N/A</v>
      </c>
      <c r="CJ268" s="31">
        <v>0</v>
      </c>
      <c r="CK268" s="102" t="e">
        <f>IF(NDC!$H$10="Oui",(VLOOKUP($B$3,'Coeff EC7'!$T$39:$X$59,2,0)*CI268+VLOOKUP($B$3,'Coeff EC7'!$T$65:$X$85,2,0)*Model0.1T!CJ268)/1.5,PI()*CG$12*$Q268*($B268-$B267)*0.15/10+CK267)</f>
        <v>#N/A</v>
      </c>
      <c r="CL268" s="102" t="e">
        <f>(VLOOKUP($B$3,'Coeff EC7'!$T$39:$X$59,3,0)*CI268+VLOOKUP($B$3,'Coeff EC7'!$T$65:$X$85,3,0)*Model0.1T!CJ268)/1.1</f>
        <v>#N/A</v>
      </c>
      <c r="CM268" s="102" t="e">
        <f t="shared" si="382"/>
        <v>#N/A</v>
      </c>
      <c r="CN268" s="102" t="e">
        <f t="shared" si="383"/>
        <v>#N/A</v>
      </c>
      <c r="CO268" s="414" t="e">
        <f>IF(AND(CK268&gt;NDC!$C$63,CL268&gt;NDC!$C$65,CM268&gt;NDC!$D$73,CN268&gt;NDC!$D$74,$B268&gt;NDC!$H$22-0.1+MIN(3*CO$12,1.5)),0,1)</f>
        <v>#N/A</v>
      </c>
      <c r="CP268" s="86" t="b">
        <f t="shared" si="349"/>
        <v>0</v>
      </c>
      <c r="CQ268" s="86">
        <f t="shared" si="350"/>
        <v>0.5</v>
      </c>
      <c r="CR268" s="86">
        <f t="shared" si="351"/>
        <v>0.5</v>
      </c>
      <c r="CS268" s="30" t="e">
        <f t="shared" ca="1" si="384"/>
        <v>#DIV/0!</v>
      </c>
      <c r="CT268" s="85" t="e">
        <f ca="1">IF(BZ268&lt;=Hypothèses!$V$7,Hypothèses!$W$7,IF(BZ268&lt;=Hypothèses!$V$8,Hypothèses!$W$8,IF(BZ268&lt;=Hypothèses!$V$9,Hypothèses!$W$9,IF(BZ268&lt;=Hypothèses!$V$10,Hypothèses!$W$10,IF(BZ268&lt;=Hypothèses!$V$11,Hypothèses!$W$11,IF(BZ268&lt;=Hypothèses!$V$12,Hypothèses!$W$12,IF(BZ268&lt;=Hypothèses!$V$13,Hypothèses!$W$13,IF(BZ268&lt;=Hypothèses!$V$14,Hypothèses!$W$14,IF(BZ268&lt;=Hypothèses!$V$15,Hypothèses!$W$15,IF(BZ268&lt;=Hypothèses!$V$16,Hypothèses!$W$16,IF(BZ268&lt;=Hypothèses!$V$17,Hypothèses!$W$17,IF(BZ268&lt;=Hypothèses!$V$18,Hypothèses!$W$18,""))))))))))))</f>
        <v>#DIV/0!</v>
      </c>
      <c r="CU268" s="87" t="e">
        <f t="shared" ca="1" si="420"/>
        <v>#DIV/0!</v>
      </c>
      <c r="CV268" s="88" t="e">
        <f ca="1">IF(BZ268&lt;=Hypothèses!$V$7,Hypothèses!$X$7,IF(BZ268&lt;=Hypothèses!$V$8,Hypothèses!$X$8,IF(BZ268&lt;=Hypothèses!$V$9,Hypothèses!$X$9,IF(BZ268&lt;=Hypothèses!$V$10,Hypothèses!$X$10,IF(BZ268&lt;=Hypothèses!$V$11,Hypothèses!$X$11,IF(BZ268&lt;=Hypothèses!$V$12,Hypothèses!$X$12,IF(BZ268&lt;=Hypothèses!$V$13,Hypothèses!$X$13,IF(BZ268&lt;=Hypothèses!$V$14,Hypothèses!$X$14,IF(BZ268&lt;=Hypothèses!$V$15,Hypothèses!$X$15,IF(BZ268&lt;=Hypothèses!$V$16,Hypothèses!$X$16,IF(BZ268&lt;=Hypothèses!$U$17,Hypothèses!$W$17,IF(BZ268&lt;=Hypothèses!$U$18,Hypothèses!$W$18,""))))))))))))</f>
        <v>#DIV/0!</v>
      </c>
      <c r="CW268" s="95" t="e">
        <f t="shared" ca="1" si="385"/>
        <v>#DIV/0!</v>
      </c>
      <c r="CX268" s="101">
        <f t="shared" si="427"/>
        <v>0</v>
      </c>
      <c r="CY268" s="91">
        <f t="shared" si="352"/>
        <v>0</v>
      </c>
      <c r="CZ268" s="30" t="e">
        <f t="shared" si="408"/>
        <v>#N/A</v>
      </c>
      <c r="DA268" s="30" t="e">
        <f t="shared" si="409"/>
        <v>#N/A</v>
      </c>
      <c r="DB268" s="31" t="e">
        <f>IF(OR(Hypothèses!$B$4=17,Hypothèses!$B$4=18,Hypothèses!$B$4=19,Hypothèses!$B$4=20),
IF($D268="Pressio.",
IF(OR($E268=3,$E268=1,$E268=4),DA268,CZ268),
IF($D268="Pénétro.",
IF(OR($E268=3,$E268=1,$E268=4),DA268,CZ268))),IF($D268="Pressio.",
IF($E268=3,DA268,CZ268),
IF($D268="Pénétro.",
IF($E268=4,DA268,CZ268))))</f>
        <v>#N/A</v>
      </c>
      <c r="DC268" s="31">
        <v>0</v>
      </c>
      <c r="DD268" s="102" t="e">
        <f>IF(NDC!$H$10="Oui",(VLOOKUP($B$3,'Coeff EC7'!$T$39:$X$59,2,0)*DB268+VLOOKUP($B$3,'Coeff EC7'!$T$65:$X$85,2,0)*Model0.1T!DC268)/1.5,PI()*CZ$12*$Q268*($B268-$B267)*0.15/10+DD267)</f>
        <v>#N/A</v>
      </c>
      <c r="DE268" s="102" t="e">
        <f>(VLOOKUP($B$3,'Coeff EC7'!$T$39:$X$59,3,0)*DB268+VLOOKUP($B$3,'Coeff EC7'!$T$65:$X$85,3,0)*Model0.1T!DC268)/1.1</f>
        <v>#N/A</v>
      </c>
      <c r="DF268" s="102" t="e">
        <f t="shared" si="386"/>
        <v>#N/A</v>
      </c>
      <c r="DG268" s="102" t="e">
        <f t="shared" si="387"/>
        <v>#N/A</v>
      </c>
      <c r="DH268" s="414" t="e">
        <f>IF(AND(DD268&gt;NDC!$C$63,DE268&gt;NDC!$C$65,DF268&gt;NDC!$D$73,DG268&gt;NDC!$D$74,$B268&gt;NDC!$H$22-0.1+MIN(3*DH$12,1.5)),0,1)</f>
        <v>#N/A</v>
      </c>
      <c r="DI268" s="86" t="b">
        <f t="shared" si="353"/>
        <v>0</v>
      </c>
      <c r="DJ268" s="86">
        <f t="shared" si="354"/>
        <v>0.5</v>
      </c>
      <c r="DK268" s="86">
        <f t="shared" si="355"/>
        <v>0.5</v>
      </c>
      <c r="DL268" s="30" t="e">
        <f t="shared" ca="1" si="388"/>
        <v>#DIV/0!</v>
      </c>
      <c r="DM268" s="85" t="e">
        <f ca="1">IF(CS268&lt;=Hypothèses!$V$7,Hypothèses!$W$7,IF(CS268&lt;=Hypothèses!$V$8,Hypothèses!$W$8,IF(CS268&lt;=Hypothèses!$V$9,Hypothèses!$W$9,IF(CS268&lt;=Hypothèses!$V$10,Hypothèses!$W$10,IF(CS268&lt;=Hypothèses!$V$11,Hypothèses!$W$11,IF(CS268&lt;=Hypothèses!$V$12,Hypothèses!$W$12,IF(CS268&lt;=Hypothèses!$V$13,Hypothèses!$W$13,IF(CS268&lt;=Hypothèses!$V$14,Hypothèses!$W$14,IF(CS268&lt;=Hypothèses!$V$15,Hypothèses!$W$15,IF(CS268&lt;=Hypothèses!$V$16,Hypothèses!$W$16,IF(CS268&lt;=Hypothèses!$V$17,Hypothèses!$W$17,IF(CS268&lt;=Hypothèses!$V$18,Hypothèses!$W$18,""))))))))))))</f>
        <v>#DIV/0!</v>
      </c>
      <c r="DN268" s="87" t="e">
        <f t="shared" ca="1" si="421"/>
        <v>#DIV/0!</v>
      </c>
      <c r="DO268" s="88" t="e">
        <f ca="1">IF(CS268&lt;=Hypothèses!$V$7,Hypothèses!$X$7,IF(CS268&lt;=Hypothèses!$V$8,Hypothèses!$X$8,IF(CS268&lt;=Hypothèses!$V$9,Hypothèses!$X$9,IF(CS268&lt;=Hypothèses!$V$10,Hypothèses!$X$10,IF(CS268&lt;=Hypothèses!$V$11,Hypothèses!$X$11,IF(CS268&lt;=Hypothèses!$V$12,Hypothèses!$X$12,IF(CS268&lt;=Hypothèses!$V$13,Hypothèses!$X$13,IF(CS268&lt;=Hypothèses!$V$14,Hypothèses!$X$14,IF(CS268&lt;=Hypothèses!$V$15,Hypothèses!$X$15,IF(CS268&lt;=Hypothèses!$V$16,Hypothèses!$X$16,IF(CS268&lt;=Hypothèses!$U$17,Hypothèses!$W$17,IF(CS268&lt;=Hypothèses!$U$18,Hypothèses!$W$18,""))))))))))))</f>
        <v>#DIV/0!</v>
      </c>
      <c r="DP268" s="95" t="e">
        <f t="shared" ca="1" si="389"/>
        <v>#DIV/0!</v>
      </c>
      <c r="DQ268" s="101">
        <f t="shared" si="428"/>
        <v>0</v>
      </c>
      <c r="DR268" s="91">
        <f t="shared" si="356"/>
        <v>0</v>
      </c>
      <c r="DS268" s="30" t="e">
        <f t="shared" si="410"/>
        <v>#N/A</v>
      </c>
      <c r="DT268" s="30" t="e">
        <f t="shared" si="411"/>
        <v>#N/A</v>
      </c>
      <c r="DU268" s="31" t="e">
        <f>IF(OR(Hypothèses!$B$4=17,Hypothèses!$B$4=18,Hypothèses!$B$4=19,Hypothèses!$B$4=20),
IF($D268="Pressio.",
IF(OR($E268=3,$E268=1,$E268=4),DT268,DS268),
IF($D268="Pénétro.",
IF(OR($E268=3,$E268=1,$E268=4),DT268,DS268))),IF($D268="Pressio.",
IF($E268=3,DT268,DS268),
IF($D268="Pénétro.",
IF($E268=4,DT268,DS268))))</f>
        <v>#N/A</v>
      </c>
      <c r="DV268" s="31">
        <v>0</v>
      </c>
      <c r="DW268" s="102" t="e">
        <f>IF(NDC!$H$10="Oui",(VLOOKUP($B$3,'Coeff EC7'!$T$39:$X$59,2,0)*DU268+VLOOKUP($B$3,'Coeff EC7'!$T$65:$X$85,2,0)*Model0.1T!DV268)/1.5,PI()*DS$12*$Q268*($B268-$B267)*0.15/10+DW267)</f>
        <v>#N/A</v>
      </c>
      <c r="DX268" s="102" t="e">
        <f>(VLOOKUP($B$3,'Coeff EC7'!$T$39:$X$59,3,0)*DU268+VLOOKUP($B$3,'Coeff EC7'!$T$65:$X$85,3,0)*Model0.1T!DV268)/1.1</f>
        <v>#N/A</v>
      </c>
      <c r="DY268" s="102" t="e">
        <f t="shared" si="390"/>
        <v>#N/A</v>
      </c>
      <c r="DZ268" s="102" t="e">
        <f t="shared" si="391"/>
        <v>#N/A</v>
      </c>
      <c r="EA268" s="414" t="e">
        <f>IF(AND(DW268&gt;NDC!$C$63,DX268&gt;NDC!$C$65,DY268&gt;NDC!$D$73,DZ268&gt;NDC!$D$74,$B268&gt;NDC!$H$22-0.1+MIN(3*EA$12,1.5)),0,1)</f>
        <v>#N/A</v>
      </c>
      <c r="EB268" s="86" t="b">
        <f t="shared" si="357"/>
        <v>0</v>
      </c>
      <c r="EC268" s="418">
        <f t="shared" si="358"/>
        <v>0.51</v>
      </c>
      <c r="ED268" s="86">
        <f t="shared" si="359"/>
        <v>0.51</v>
      </c>
      <c r="EE268" s="30" t="e">
        <f t="shared" ca="1" si="392"/>
        <v>#DIV/0!</v>
      </c>
      <c r="EF268" s="85" t="e">
        <f ca="1">IF(DL268&lt;=Hypothèses!$V$7,Hypothèses!$W$7,IF(DL268&lt;=Hypothèses!$V$8,Hypothèses!$W$8,IF(DL268&lt;=Hypothèses!$V$9,Hypothèses!$W$9,IF(DL268&lt;=Hypothèses!$V$10,Hypothèses!$W$10,IF(DL268&lt;=Hypothèses!$V$11,Hypothèses!$W$11,IF(DL268&lt;=Hypothèses!$V$12,Hypothèses!$W$12,IF(DL268&lt;=Hypothèses!$V$13,Hypothèses!$W$13,IF(DL268&lt;=Hypothèses!$V$14,Hypothèses!$W$14,IF(DL268&lt;=Hypothèses!$V$15,Hypothèses!$W$15,IF(DL268&lt;=Hypothèses!$V$16,Hypothèses!$W$16,IF(DL268&lt;=Hypothèses!$V$17,Hypothèses!$W$17,IF(DL268&lt;=Hypothèses!$V$18,Hypothèses!$W$18,""))))))))))))</f>
        <v>#DIV/0!</v>
      </c>
      <c r="EG268" s="87" t="e">
        <f t="shared" ca="1" si="422"/>
        <v>#DIV/0!</v>
      </c>
      <c r="EH268" s="88" t="e">
        <f ca="1">IF(DL268&lt;=Hypothèses!$V$7,Hypothèses!$X$7,IF(DL268&lt;=Hypothèses!$V$8,Hypothèses!$X$8,IF(DL268&lt;=Hypothèses!$V$9,Hypothèses!$X$9,IF(DL268&lt;=Hypothèses!$V$10,Hypothèses!$X$10,IF(DL268&lt;=Hypothèses!$V$11,Hypothèses!$X$11,IF(DL268&lt;=Hypothèses!$V$12,Hypothèses!$X$12,IF(DL268&lt;=Hypothèses!$V$13,Hypothèses!$X$13,IF(DL268&lt;=Hypothèses!$V$14,Hypothèses!$X$14,IF(DL268&lt;=Hypothèses!$V$15,Hypothèses!$X$15,IF(DL268&lt;=Hypothèses!$V$16,Hypothèses!$X$16,IF(DL268&lt;=Hypothèses!$U$17,Hypothèses!$W$17,IF(DL268&lt;=Hypothèses!$U$18,Hypothèses!$W$18,""))))))))))))</f>
        <v>#DIV/0!</v>
      </c>
      <c r="EI268" s="95" t="e">
        <f t="shared" ca="1" si="393"/>
        <v>#DIV/0!</v>
      </c>
      <c r="EJ268" s="101">
        <f t="shared" si="429"/>
        <v>0</v>
      </c>
      <c r="EK268" s="91">
        <f t="shared" si="360"/>
        <v>0</v>
      </c>
      <c r="EL268" s="30" t="e">
        <f t="shared" si="412"/>
        <v>#N/A</v>
      </c>
      <c r="EM268" s="30" t="e">
        <f t="shared" si="413"/>
        <v>#N/A</v>
      </c>
      <c r="EN268" s="31" t="e">
        <f>IF(OR(Hypothèses!$B$4=17,Hypothèses!$B$4=18,Hypothèses!$B$4=19,Hypothèses!$B$4=20),
IF($D268="Pressio.",
IF(OR($E268=3,$E268=1,$E268=4),EM268,EL268),
IF($D268="Pénétro.",
IF(OR($E268=3,$E268=1,$E268=4),EM268,EL268))),IF($D268="Pressio.",
IF($E268=3,EM268,EL268),
IF($D268="Pénétro.",
IF($E268=4,EM268,EL268))))</f>
        <v>#N/A</v>
      </c>
      <c r="EO268" s="31">
        <v>0</v>
      </c>
      <c r="EP268" s="102" t="e">
        <f>IF(NDC!$H$10="Oui",(VLOOKUP($B$3,'Coeff EC7'!$T$39:$X$59,2,0)*EN268+VLOOKUP($B$3,'Coeff EC7'!$T$65:$X$85,2,0)*Model0.1T!EO268)/1.5,PI()*EL$12*$Q268*($B268-$B267)*0.15/10+EP267)</f>
        <v>#N/A</v>
      </c>
      <c r="EQ268" s="102" t="e">
        <f>(VLOOKUP($B$3,'Coeff EC7'!$T$39:$X$59,3,0)*EN268+VLOOKUP($B$3,'Coeff EC7'!$T$65:$X$85,3,0)*Model0.1T!EO268)/1.1</f>
        <v>#N/A</v>
      </c>
      <c r="ER268" s="102" t="e">
        <f t="shared" si="394"/>
        <v>#N/A</v>
      </c>
      <c r="ES268" s="102" t="e">
        <f t="shared" si="395"/>
        <v>#N/A</v>
      </c>
      <c r="ET268" s="414" t="e">
        <f>IF(AND(EP268&gt;NDC!$C$63,EQ268&gt;NDC!$C$65,ER268&gt;NDC!$D$73,ES268&gt;NDC!$D$74,$B268&gt;NDC!$H$22-0.1+MIN(3*ET$12,1.5)),0,1)</f>
        <v>#N/A</v>
      </c>
      <c r="EU268" s="86" t="b">
        <f t="shared" si="361"/>
        <v>0</v>
      </c>
      <c r="EV268" s="86">
        <f t="shared" si="362"/>
        <v>0.61</v>
      </c>
      <c r="EW268" s="86">
        <f t="shared" si="363"/>
        <v>0.61</v>
      </c>
      <c r="EX268" s="30" t="e">
        <f t="shared" ca="1" si="396"/>
        <v>#DIV/0!</v>
      </c>
      <c r="EY268" s="85" t="e">
        <f ca="1">IF(EE268&lt;=Hypothèses!$V$7,Hypothèses!$W$7,IF(EE268&lt;=Hypothèses!$V$8,Hypothèses!$W$8,IF(EE268&lt;=Hypothèses!$V$9,Hypothèses!$W$9,IF(EE268&lt;=Hypothèses!$V$10,Hypothèses!$W$10,IF(EE268&lt;=Hypothèses!$V$11,Hypothèses!$W$11,IF(EE268&lt;=Hypothèses!$V$12,Hypothèses!$W$12,IF(EE268&lt;=Hypothèses!$V$13,Hypothèses!$W$13,IF(EE268&lt;=Hypothèses!$V$14,Hypothèses!$W$14,IF(EE268&lt;=Hypothèses!$V$15,Hypothèses!$W$15,IF(EE268&lt;=Hypothèses!$V$16,Hypothèses!$W$16,IF(EE268&lt;=Hypothèses!$V$17,Hypothèses!$W$17,IF(EE268&lt;=Hypothèses!$V$18,Hypothèses!$W$18,""))))))))))))</f>
        <v>#DIV/0!</v>
      </c>
      <c r="EZ268" s="87" t="e">
        <f t="shared" ca="1" si="423"/>
        <v>#DIV/0!</v>
      </c>
      <c r="FA268" s="88" t="e">
        <f ca="1">IF(EE268&lt;=Hypothèses!$V$7,Hypothèses!$X$7,IF(EE268&lt;=Hypothèses!$V$8,Hypothèses!$X$8,IF(EE268&lt;=Hypothèses!$V$9,Hypothèses!$X$9,IF(EE268&lt;=Hypothèses!$V$10,Hypothèses!$X$10,IF(EE268&lt;=Hypothèses!$V$11,Hypothèses!$X$11,IF(EE268&lt;=Hypothèses!$V$12,Hypothèses!$X$12,IF(EE268&lt;=Hypothèses!$V$13,Hypothèses!$X$13,IF(EE268&lt;=Hypothèses!$V$14,Hypothèses!$X$14,IF(EE268&lt;=Hypothèses!$V$15,Hypothèses!$X$15,IF(EE268&lt;=Hypothèses!$V$16,Hypothèses!$X$16,IF(EE268&lt;=Hypothèses!$U$17,Hypothèses!$W$17,IF(EE268&lt;=Hypothèses!$U$18,Hypothèses!$W$18,""))))))))))))</f>
        <v>#DIV/0!</v>
      </c>
      <c r="FB268" s="95" t="e">
        <f t="shared" ca="1" si="397"/>
        <v>#DIV/0!</v>
      </c>
      <c r="FC268" s="101">
        <f t="shared" si="430"/>
        <v>0</v>
      </c>
      <c r="FD268" s="91">
        <f t="shared" si="364"/>
        <v>0</v>
      </c>
      <c r="FE268" s="30" t="e">
        <f t="shared" si="414"/>
        <v>#N/A</v>
      </c>
      <c r="FF268" s="30" t="e">
        <f t="shared" si="415"/>
        <v>#N/A</v>
      </c>
      <c r="FG268" s="31" t="e">
        <f>IF(OR(Hypothèses!$B$4=17,Hypothèses!$B$4=18,Hypothèses!$B$4=19,Hypothèses!$B$4=20),
IF($D268="Pressio.",
IF(OR($E268=3,$E268=1,$E268=4),FF268,FE268),
IF($D268="Pénétro.",
IF(OR($E268=3,$E268=1,$E268=4),FF268,FE268))),IF($D268="Pressio.",
IF($E268=3,FF268,FE268),
IF($D268="Pénétro.",
IF($E268=4,FF268,FE268))))</f>
        <v>#N/A</v>
      </c>
      <c r="FH268" s="31">
        <v>0</v>
      </c>
      <c r="FI268" s="102" t="e">
        <f>IF(NDC!$H$10="Oui",(VLOOKUP($B$3,'Coeff EC7'!$T$39:$X$59,2,0)*FG268+VLOOKUP($B$3,'Coeff EC7'!$T$65:$X$85,2,0)*Model0.1T!FH268)/1.5,PI()*FE$12*$Q268*($B268-$B267)*0.15/10+FI267)</f>
        <v>#N/A</v>
      </c>
      <c r="FJ268" s="102" t="e">
        <f>(VLOOKUP($B$3,'Coeff EC7'!$T$39:$X$59,3,0)*FG268+VLOOKUP($B$3,'Coeff EC7'!$T$65:$X$85,3,0)*Model0.1T!FH268)/1.1</f>
        <v>#N/A</v>
      </c>
      <c r="FK268" s="102" t="e">
        <f t="shared" si="398"/>
        <v>#N/A</v>
      </c>
      <c r="FL268" s="102" t="e">
        <f t="shared" si="399"/>
        <v>#N/A</v>
      </c>
      <c r="FM268" s="414" t="e">
        <f>IF(AND(FI268&gt;NDC!$C$63,FJ268&gt;NDC!$C$65,FK268&gt;NDC!$D$73,FL268&gt;NDC!$D$74,$B268&gt;NDC!$H$22-0.1+MIN(3*FM$12,1.5)),0,1)</f>
        <v>#N/A</v>
      </c>
    </row>
    <row r="269" spans="1:169">
      <c r="A269" s="96">
        <f t="shared" si="365"/>
        <v>74.400000000001455</v>
      </c>
      <c r="B269" s="97">
        <v>25.6</v>
      </c>
      <c r="C269" s="81">
        <f>IF(B269&lt;=Hypothèses!$C$7,Hypothèses!$A$7,IF(B269&lt;=Hypothèses!$C$8,Hypothèses!$A$8,IF(B269&lt;=Hypothèses!$C$9,Hypothèses!$A$9,IF(B269&lt;=Hypothèses!$C$10,Hypothèses!$A$10,IF(B269&lt;=Hypothèses!$C$11,Hypothèses!$A$11,IF(B269&lt;=Hypothèses!$C$12,Hypothèses!$A$12,IF(B269&lt;=Hypothèses!$C$13,Hypothèses!$A$13,IF(B269&lt;=Hypothèses!$C$14,Hypothèses!$A$14,IF(B269&lt;=Hypothèses!$C$15,Hypothèses!$A$15,IF(B269&lt;=Hypothèses!$C$16,Hypothèses!$A$16,IF(B269&lt;=Hypothèses!$C$17,Hypothèses!$A$17,IF(B269&lt;=Hypothèses!$C$18,Hypothèses!$A$18,C268))))))))))))</f>
        <v>11</v>
      </c>
      <c r="D269" s="82" t="str">
        <f>IF(B269&lt;=Hypothèses!$C$7,Hypothèses!$R$7,IF(B269&lt;=Hypothèses!$C$8,Hypothèses!$R$8,IF(B269&lt;=Hypothèses!$C$9,Hypothèses!$R$9,IF(B269&lt;=Hypothèses!$C$10,Hypothèses!$R$10,IF(B269&lt;=Hypothèses!$C$11,Hypothèses!$R$11,IF(B269&lt;=Hypothèses!$C$12,Hypothèses!$R$12,IF(B269&lt;=Hypothèses!$C$13,Hypothèses!$R$13,IF(B269&lt;=Hypothèses!$C$14,Hypothèses!$R$14,IF(B269&lt;=Hypothèses!$C$15,Hypothèses!$R$15,IF(B269&lt;=Hypothèses!$C$16,Hypothèses!$R$16,IF(B269&lt;=Hypothèses!$C$17,Hypothèses!$R$17,IF(B269&lt;=Hypothèses!$C$18,Hypothèses!$R$18,D268))))))))))))</f>
        <v>Pressio.</v>
      </c>
      <c r="E269" s="82" t="e">
        <f>IF(B269&lt;=Hypothèses!$C$7,Hypothèses!$G$7,IF(B269&lt;=Hypothèses!$C$8,Hypothèses!$G$8,IF(B269&lt;=Hypothèses!$C$9,Hypothèses!$G$9,IF(B269&lt;=Hypothèses!$C$10,Hypothèses!$G$10,IF(B269&lt;=Hypothèses!$C$11,Hypothèses!$G$11,IF(B269&lt;=Hypothèses!$C$12,Hypothèses!$G$12,IF(B269&lt;=Hypothèses!$C$13,Hypothèses!$G$13,IF(B269&lt;=Hypothèses!$C$14,Hypothèses!$G$14,IF(B269&lt;=Hypothèses!$C$15,Hypothèses!$G$15,IF(B269&lt;=Hypothèses!$C$16,Hypothèses!$G$16,IF(B269&lt;=Hypothèses!$C$17,Hypothèses!$G$17,IF(B269&lt;=Hypothèses!$C$18,Hypothèses!$G$18,E268))))))))))))</f>
        <v>#N/A</v>
      </c>
      <c r="F269" s="82" t="str">
        <f>IF(B269&lt;=Hypothèses!$C$7,Hypothèses!$F$7,IF(B269&lt;=Hypothèses!$C$8,Hypothèses!$F$8,IF(B269&lt;=Hypothèses!$C$9,Hypothèses!$F$9,IF(B269&lt;=Hypothèses!$C$10,Hypothèses!$F$10,IF(B269&lt;=Hypothèses!$C$11,Hypothèses!$F$11,IF(B269&lt;=Hypothèses!$C$12,Hypothèses!$F$12,IF(B269&lt;=Hypothèses!$C$13,Hypothèses!$F$13,IF(B269&lt;=Hypothèses!$C$14,Hypothèses!$F$14,IF(B269&lt;=Hypothèses!$C$15,Hypothèses!$F$15,IF(B269&lt;=Hypothèses!$C$16,Hypothèses!$F$16,IF(B269&lt;=Hypothèses!$C$17,Hypothèses!$F$17,IF(B269&lt;=Hypothèses!$C$18,Hypothèses!$F$18,F268))))))))))))</f>
        <v/>
      </c>
      <c r="G269" s="91">
        <f t="array" ref="G269">INDEX('Coeff EC7'!$U$7:$X$27,
MATCH(Model0.1T!$B$3,'Coeff EC7'!$T$7:$T$27,0),
MATCH(Model0.1T!$D269&amp;Model0.1T!$B$4,
'Coeff EC7'!$U$6:$X$6&amp;
'Coeff EC7'!$U$5:$X$5,0))</f>
        <v>1.4</v>
      </c>
      <c r="H269" s="91">
        <f t="array" ref="H269">INDEX('Coeff EC7'!$Y$7:$AB$27,
MATCH(Model0.1T!$B$3,'Coeff EC7'!$T$7:$T$27,0),
MATCH(Model0.1T!$D269&amp;Model0.1T!$B$4,
'Coeff EC7'!$Y$6:$AB$6&amp;
'Coeff EC7'!$Y$5:$AB$5,0))</f>
        <v>1.7</v>
      </c>
      <c r="I269" s="83">
        <v>0</v>
      </c>
      <c r="J269" s="91" t="e">
        <f t="array" ref="J269">INDEX('Coeff EC7'!$D$33:$Q$33,1,MATCH(D269&amp;E269,'Coeff EC7'!$D$31:$Q$31&amp;'Coeff EC7'!$D$32:$Q$32,0))</f>
        <v>#N/A</v>
      </c>
      <c r="K269" s="91" t="e">
        <f t="array" ref="K269">INDEX('Coeff EC7'!$D$34:$Q$34,1,MATCH(D269&amp;E269,'Coeff EC7'!$D$31:$Q$31&amp;'Coeff EC7'!$D$32:$Q$32,0))</f>
        <v>#N/A</v>
      </c>
      <c r="L269" s="91" t="e">
        <f t="array" ref="L269">INDEX('Coeff EC7'!$D$35:$Q$35,1,MATCH(D269&amp;E269,'Coeff EC7'!$D$31:$Q$31&amp;'Coeff EC7'!$D$32:$Q$32,0))</f>
        <v>#N/A</v>
      </c>
      <c r="M269" s="98" t="e">
        <f t="shared" ref="M269:M332" si="431">((J269*F269+K269)*(1-(EXP(-L269*F269))))</f>
        <v>#N/A</v>
      </c>
      <c r="N269" s="99" t="e">
        <f t="array" ref="N269">INDEX('Coeff EC7'!$D$7:$Q$27,MATCH($B$3,'Coeff EC7'!$C$7:$C$27,0),MATCH(D269&amp;E269,'Coeff EC7'!$D$5:$Q$5&amp;'Coeff EC7'!$D$6:$Q$6,0))</f>
        <v>#N/A</v>
      </c>
      <c r="O269" s="99" t="e">
        <f t="array" ref="O269">INDEX('Coeff EC7'!$D$41:$Q$61,MATCH($B$3,'Coeff EC7'!$C$41:$C$61,0),MATCH(D269&amp;E269,'Coeff EC7'!$D$39:$Q$39&amp;'Coeff EC7'!$D$40:$Q$40,0))</f>
        <v>#N/A</v>
      </c>
      <c r="P269" s="30" t="e">
        <f t="shared" si="366"/>
        <v>#N/A</v>
      </c>
      <c r="Q269" s="100" t="e">
        <f t="shared" si="333"/>
        <v>#N/A</v>
      </c>
      <c r="R269" s="86" t="b">
        <f t="shared" si="334"/>
        <v>0</v>
      </c>
      <c r="S269" s="86">
        <f t="shared" ref="S269:S332" si="432">MAX($AF$12/2,0.5)</f>
        <v>0.5</v>
      </c>
      <c r="T269" s="86">
        <f t="shared" si="335"/>
        <v>0.5</v>
      </c>
      <c r="U269" s="30" t="e">
        <f t="shared" ca="1" si="367"/>
        <v>#DIV/0!</v>
      </c>
      <c r="V269" s="85" t="str">
        <f>IF(B269&lt;=Hypothèses!$V$7,Hypothèses!$W$7,IF(B269&lt;=Hypothèses!$V$8,Hypothèses!$W$8,IF(B269&lt;=Hypothèses!$V$9,Hypothèses!$W$9,IF(B269&lt;=Hypothèses!$V$10,Hypothèses!$W$10,IF(B269&lt;=Hypothèses!$V$11,Hypothèses!$W$11,IF(B269&lt;=Hypothèses!$V$12,Hypothèses!$W$12,IF(B269&lt;=Hypothèses!$V$13,Hypothèses!$W$13,IF(B269&lt;=Hypothèses!$V$14,Hypothèses!$W$14,IF(B269&lt;=Hypothèses!$V$15,Hypothèses!$W$15,IF(B269&lt;=Hypothèses!$V$16,Hypothèses!$W$16,IF(B269&lt;=Hypothèses!$V$17,Hypothèses!$W$17,IF(B269&lt;=Hypothèses!$V$18,Hypothèses!$W$18,""))))))))))))</f>
        <v/>
      </c>
      <c r="W269" s="87" t="e">
        <f t="shared" ca="1" si="416"/>
        <v>#DIV/0!</v>
      </c>
      <c r="X269" s="88" t="str">
        <f>IF(B269&lt;=Hypothèses!$V$7,Hypothèses!$X$7,IF(B269&lt;=Hypothèses!$V$8,Hypothèses!$X$8,IF(B269&lt;=Hypothèses!$V$9,Hypothèses!$X$9,IF(B269&lt;=Hypothèses!$V$10,Hypothèses!$X$10,IF(B269&lt;=Hypothèses!$V$11,Hypothèses!$X$11,IF(B269&lt;=Hypothèses!$V$12,Hypothèses!$X$12,IF(B269&lt;=Hypothèses!$V$13,Hypothèses!$X$13,IF(B269&lt;=Hypothèses!$V$14,Hypothèses!$X$14,IF(B269&lt;=Hypothèses!$V$15,Hypothèses!$X$15,IF(B269&lt;=Hypothèses!$V$16,Hypothèses!$X$16,IF(B269&lt;=Hypothèses!$U$17,Hypothèses!$W$17,IF(B269&lt;=Hypothèses!$U$18,Hypothèses!$W$18,""))))))))))))</f>
        <v/>
      </c>
      <c r="Y269" s="95" t="e">
        <f t="shared" ca="1" si="336"/>
        <v>#DIV/0!</v>
      </c>
      <c r="Z269" s="101">
        <f t="shared" si="337"/>
        <v>0</v>
      </c>
      <c r="AA269" s="91">
        <f t="shared" si="338"/>
        <v>0</v>
      </c>
      <c r="AB269" s="30" t="e">
        <f t="shared" si="400"/>
        <v>#N/A</v>
      </c>
      <c r="AC269" s="30" t="e">
        <f t="shared" si="401"/>
        <v>#N/A</v>
      </c>
      <c r="AD269" s="31" t="e">
        <f>IF(OR(Hypothèses!$B$4=17,Hypothèses!$B$4=18,Hypothèses!$B$4=19,Hypothèses!$B$4=20),
IF($D269="Pressio.",
IF(OR($E269=3,$E269=1,$E269=4),AC269,AB269),
IF($D269="Pénétro.",
IF(OR($E269=3,$E269=1,$E269=4),AC269,AB269))),IF($D269="Pressio.",
IF($E269=3,AC269,AB269),
IF($D269="Pénétro.",
IF($E269=4,AC269,AB269))))</f>
        <v>#N/A</v>
      </c>
      <c r="AE269" s="31">
        <v>0</v>
      </c>
      <c r="AF269" s="102" t="e">
        <f>IF(NDC!$H$10="Oui",(VLOOKUP($B$3,'Coeff EC7'!$T$39:$X$59,2,0)*AD269+VLOOKUP($B$3,'Coeff EC7'!$T$65:$X$85,2,0)*Model0.1T!AE269)/1.5,PI()*AB$12*$Q269*($B269-$B268)*0.15/10+AF268)</f>
        <v>#N/A</v>
      </c>
      <c r="AG269" s="102" t="e">
        <f>(VLOOKUP($B$3,'Coeff EC7'!$T$39:$X$59,3,0)*AD269+VLOOKUP($B$3,'Coeff EC7'!$T$65:$X$85,3,0)*Model0.1T!AE269)/1.1</f>
        <v>#N/A</v>
      </c>
      <c r="AH269" s="102" t="e">
        <f t="shared" si="368"/>
        <v>#N/A</v>
      </c>
      <c r="AI269" s="102" t="e">
        <f t="shared" si="369"/>
        <v>#N/A</v>
      </c>
      <c r="AJ269" s="414" t="e">
        <f>IF(AND(AF269&gt;NDC!$C$63,AG269&gt;NDC!$C$65,AH269&gt;NDC!$D$73,AI269&gt;NDC!$D$74,$B269&gt;NDC!$H$22-0.1+MIN(3*$AJ$12,1.5)),0,1)</f>
        <v>#N/A</v>
      </c>
      <c r="AK269" s="86" t="b">
        <f t="shared" si="339"/>
        <v>0</v>
      </c>
      <c r="AL269" s="86">
        <f t="shared" si="370"/>
        <v>0.5</v>
      </c>
      <c r="AM269" s="86">
        <f t="shared" si="340"/>
        <v>0.5</v>
      </c>
      <c r="AN269" s="30" t="e">
        <f t="shared" ca="1" si="371"/>
        <v>#DIV/0!</v>
      </c>
      <c r="AO269" s="85" t="e">
        <f ca="1">IF(U269&lt;=Hypothèses!$V$7,Hypothèses!$W$7,IF(U269&lt;=Hypothèses!$V$8,Hypothèses!$W$8,IF(U269&lt;=Hypothèses!$V$9,Hypothèses!$W$9,IF(U269&lt;=Hypothèses!$V$10,Hypothèses!$W$10,IF(U269&lt;=Hypothèses!$V$11,Hypothèses!$W$11,IF(U269&lt;=Hypothèses!$V$12,Hypothèses!$W$12,IF(U269&lt;=Hypothèses!$V$13,Hypothèses!$W$13,IF(U269&lt;=Hypothèses!$V$14,Hypothèses!$W$14,IF(U269&lt;=Hypothèses!$V$15,Hypothèses!$W$15,IF(U269&lt;=Hypothèses!$V$16,Hypothèses!$W$16,IF(U269&lt;=Hypothèses!$V$17,Hypothèses!$W$17,IF(U269&lt;=Hypothèses!$V$18,Hypothèses!$W$18,""))))))))))))</f>
        <v>#DIV/0!</v>
      </c>
      <c r="AP269" s="87" t="e">
        <f t="shared" ca="1" si="417"/>
        <v>#DIV/0!</v>
      </c>
      <c r="AQ269" s="88" t="e">
        <f ca="1">IF(U269&lt;=Hypothèses!$V$7,Hypothèses!$X$7,IF(U269&lt;=Hypothèses!$V$8,Hypothèses!$X$8,IF(U269&lt;=Hypothèses!$V$9,Hypothèses!$X$9,IF(U269&lt;=Hypothèses!$V$10,Hypothèses!$X$10,IF(U269&lt;=Hypothèses!$V$11,Hypothèses!$X$11,IF(U269&lt;=Hypothèses!$V$12,Hypothèses!$X$12,IF(U269&lt;=Hypothèses!$V$13,Hypothèses!$X$13,IF(U269&lt;=Hypothèses!$V$14,Hypothèses!$X$14,IF(U269&lt;=Hypothèses!$V$15,Hypothèses!$X$15,IF(U269&lt;=Hypothèses!$V$16,Hypothèses!$X$16,IF(U269&lt;=Hypothèses!$U$17,Hypothèses!$W$17,IF(U269&lt;=Hypothèses!$U$18,Hypothèses!$W$18,""))))))))))))</f>
        <v>#DIV/0!</v>
      </c>
      <c r="AR269" s="95" t="e">
        <f t="shared" ca="1" si="372"/>
        <v>#DIV/0!</v>
      </c>
      <c r="AS269" s="101">
        <f t="shared" si="424"/>
        <v>0</v>
      </c>
      <c r="AT269" s="91">
        <f t="shared" si="341"/>
        <v>0</v>
      </c>
      <c r="AU269" s="30" t="e">
        <f t="shared" si="402"/>
        <v>#N/A</v>
      </c>
      <c r="AV269" s="30" t="e">
        <f t="shared" si="403"/>
        <v>#N/A</v>
      </c>
      <c r="AW269" s="31" t="e">
        <f>IF(OR(Hypothèses!$B$4=17,Hypothèses!$B$4=18,Hypothèses!$B$4=19,Hypothèses!$B$4=20),
IF($D269="Pressio.",
IF(OR($E269=3,$E269=1,$E269=4),AV269,AU269),
IF($D269="Pénétro.",
IF(OR($E269=3,$E269=1,$E269=4),AV269,AU269))),IF($D269="Pressio.",
IF($E269=3,AV269,AU269),
IF($D269="Pénétro.",
IF($E269=4,AV269,AU269))))</f>
        <v>#N/A</v>
      </c>
      <c r="AX269" s="31">
        <v>0</v>
      </c>
      <c r="AY269" s="102" t="e">
        <f>IF(NDC!$H$10="Oui",(VLOOKUP($B$3,'Coeff EC7'!$T$39:$X$59,2,0)*AW269+VLOOKUP($B$3,'Coeff EC7'!$T$65:$X$85,2,0)*Model0.1T!AX269)/1.5,PI()*AU$12*$Q269*($B269-$B268)*0.15/10+AY268)</f>
        <v>#N/A</v>
      </c>
      <c r="AZ269" s="102" t="e">
        <f>(VLOOKUP($B$3,'Coeff EC7'!$T$39:$X$59,3,0)*AW269+VLOOKUP($B$3,'Coeff EC7'!$T$65:$X$85,3,0)*Model0.1T!AX269)/1.1</f>
        <v>#N/A</v>
      </c>
      <c r="BA269" s="102" t="e">
        <f t="shared" si="373"/>
        <v>#N/A</v>
      </c>
      <c r="BB269" s="102" t="e">
        <f t="shared" si="374"/>
        <v>#N/A</v>
      </c>
      <c r="BC269" s="414" t="e">
        <f>IF(AND(AY269&gt;NDC!$C$63,AZ269&gt;NDC!$C$65,BA269&gt;NDC!$D$73,BB269&gt;NDC!$D$74,$B269&gt;NDC!$H$22-0.1+MIN(3*BC$12,1.5)),0,1)</f>
        <v>#N/A</v>
      </c>
      <c r="BD269" s="86" t="b">
        <f t="shared" si="342"/>
        <v>0</v>
      </c>
      <c r="BE269" s="86">
        <f t="shared" si="375"/>
        <v>0.5</v>
      </c>
      <c r="BF269" s="86">
        <f t="shared" si="343"/>
        <v>0.5</v>
      </c>
      <c r="BG269" s="30" t="e">
        <f t="shared" ca="1" si="376"/>
        <v>#DIV/0!</v>
      </c>
      <c r="BH269" s="85" t="e">
        <f ca="1">IF(AN269&lt;=Hypothèses!$V$7,Hypothèses!$W$7,IF(AN269&lt;=Hypothèses!$V$8,Hypothèses!$W$8,IF(AN269&lt;=Hypothèses!$V$9,Hypothèses!$W$9,IF(AN269&lt;=Hypothèses!$V$10,Hypothèses!$W$10,IF(AN269&lt;=Hypothèses!$V$11,Hypothèses!$W$11,IF(AN269&lt;=Hypothèses!$V$12,Hypothèses!$W$12,IF(AN269&lt;=Hypothèses!$V$13,Hypothèses!$W$13,IF(AN269&lt;=Hypothèses!$V$14,Hypothèses!$W$14,IF(AN269&lt;=Hypothèses!$V$15,Hypothèses!$W$15,IF(AN269&lt;=Hypothèses!$V$16,Hypothèses!$W$16,IF(AN269&lt;=Hypothèses!$V$17,Hypothèses!$W$17,IF(AN269&lt;=Hypothèses!$V$18,Hypothèses!$W$18,""))))))))))))</f>
        <v>#DIV/0!</v>
      </c>
      <c r="BI269" s="87" t="e">
        <f t="shared" ca="1" si="418"/>
        <v>#DIV/0!</v>
      </c>
      <c r="BJ269" s="88" t="e">
        <f ca="1">IF(AN269&lt;=Hypothèses!$V$7,Hypothèses!$X$7,IF(AN269&lt;=Hypothèses!$V$8,Hypothèses!$X$8,IF(AN269&lt;=Hypothèses!$V$9,Hypothèses!$X$9,IF(AN269&lt;=Hypothèses!$V$10,Hypothèses!$X$10,IF(AN269&lt;=Hypothèses!$V$11,Hypothèses!$X$11,IF(AN269&lt;=Hypothèses!$V$12,Hypothèses!$X$12,IF(AN269&lt;=Hypothèses!$V$13,Hypothèses!$X$13,IF(AN269&lt;=Hypothèses!$V$14,Hypothèses!$X$14,IF(AN269&lt;=Hypothèses!$V$15,Hypothèses!$X$15,IF(AN269&lt;=Hypothèses!$V$16,Hypothèses!$X$16,IF(AN269&lt;=Hypothèses!$U$17,Hypothèses!$W$17,IF(AN269&lt;=Hypothèses!$U$18,Hypothèses!$W$18,""))))))))))))</f>
        <v>#DIV/0!</v>
      </c>
      <c r="BK269" s="95" t="e">
        <f t="shared" ca="1" si="377"/>
        <v>#DIV/0!</v>
      </c>
      <c r="BL269" s="101">
        <f t="shared" si="425"/>
        <v>0</v>
      </c>
      <c r="BM269" s="91">
        <f t="shared" si="344"/>
        <v>0</v>
      </c>
      <c r="BN269" s="30" t="e">
        <f t="shared" si="404"/>
        <v>#N/A</v>
      </c>
      <c r="BO269" s="30" t="e">
        <f t="shared" si="405"/>
        <v>#N/A</v>
      </c>
      <c r="BP269" s="31" t="e">
        <f>IF(OR(Hypothèses!$B$4=17,Hypothèses!$B$4=18,Hypothèses!$B$4=19,Hypothèses!$B$4=20),
IF($D269="Pressio.",
IF(OR($E269=3,$E269=1,$E269=4),BO269,BN269),
IF($D269="Pénétro.",
IF(OR($E269=3,$E269=1,$E269=4),BO269,BN269))),IF($D269="Pressio.",
IF($E269=3,BO269,BN269),
IF($D269="Pénétro.",
IF($E269=4,BO269,BN269))))</f>
        <v>#N/A</v>
      </c>
      <c r="BQ269" s="31">
        <v>0</v>
      </c>
      <c r="BR269" s="102" t="e">
        <f>IF(NDC!$H$10="Oui",(VLOOKUP($B$3,'Coeff EC7'!$T$39:$X$59,2,0)*BP269+VLOOKUP($B$3,'Coeff EC7'!$T$65:$X$85,2,0)*Model0.1T!BQ269)/1.5,PI()*BN$12*$Q269*($B269-$B268)*0.15/10+BR268)</f>
        <v>#N/A</v>
      </c>
      <c r="BS269" s="102" t="e">
        <f>(VLOOKUP($B$3,'Coeff EC7'!$T$39:$X$59,3,0)*BP269+VLOOKUP($B$3,'Coeff EC7'!$T$65:$X$85,3,0)*Model0.1T!BQ269)/1.1</f>
        <v>#N/A</v>
      </c>
      <c r="BT269" s="102" t="e">
        <f t="shared" si="378"/>
        <v>#N/A</v>
      </c>
      <c r="BU269" s="102" t="e">
        <f t="shared" si="379"/>
        <v>#N/A</v>
      </c>
      <c r="BV269" s="414" t="e">
        <f>IF(AND(BR269&gt;NDC!$C$63,BS269&gt;NDC!$C$65,BT269&gt;NDC!$D$73,BU269&gt;NDC!$D$74,$B269&gt;NDC!$H$22-0.1+MIN(3*BV$12,1.5)),0,1)</f>
        <v>#N/A</v>
      </c>
      <c r="BW269" s="86" t="b">
        <f t="shared" si="345"/>
        <v>0</v>
      </c>
      <c r="BX269" s="86">
        <f t="shared" si="346"/>
        <v>0.5</v>
      </c>
      <c r="BY269" s="86">
        <f t="shared" si="347"/>
        <v>0.5</v>
      </c>
      <c r="BZ269" s="30" t="e">
        <f t="shared" ca="1" si="380"/>
        <v>#DIV/0!</v>
      </c>
      <c r="CA269" s="85" t="e">
        <f ca="1">IF(BG269&lt;=Hypothèses!$V$7,Hypothèses!$W$7,IF(BG269&lt;=Hypothèses!$V$8,Hypothèses!$W$8,IF(BG269&lt;=Hypothèses!$V$9,Hypothèses!$W$9,IF(BG269&lt;=Hypothèses!$V$10,Hypothèses!$W$10,IF(BG269&lt;=Hypothèses!$V$11,Hypothèses!$W$11,IF(BG269&lt;=Hypothèses!$V$12,Hypothèses!$W$12,IF(BG269&lt;=Hypothèses!$V$13,Hypothèses!$W$13,IF(BG269&lt;=Hypothèses!$V$14,Hypothèses!$W$14,IF(BG269&lt;=Hypothèses!$V$15,Hypothèses!$W$15,IF(BG269&lt;=Hypothèses!$V$16,Hypothèses!$W$16,IF(BG269&lt;=Hypothèses!$V$17,Hypothèses!$W$17,IF(BG269&lt;=Hypothèses!$V$18,Hypothèses!$W$18,""))))))))))))</f>
        <v>#DIV/0!</v>
      </c>
      <c r="CB269" s="87" t="e">
        <f t="shared" ca="1" si="419"/>
        <v>#DIV/0!</v>
      </c>
      <c r="CC269" s="88" t="e">
        <f ca="1">IF(BG269&lt;=Hypothèses!$V$7,Hypothèses!$X$7,IF(BG269&lt;=Hypothèses!$V$8,Hypothèses!$X$8,IF(BG269&lt;=Hypothèses!$V$9,Hypothèses!$X$9,IF(BG269&lt;=Hypothèses!$V$10,Hypothèses!$X$10,IF(BG269&lt;=Hypothèses!$V$11,Hypothèses!$X$11,IF(BG269&lt;=Hypothèses!$V$12,Hypothèses!$X$12,IF(BG269&lt;=Hypothèses!$V$13,Hypothèses!$X$13,IF(BG269&lt;=Hypothèses!$V$14,Hypothèses!$X$14,IF(BG269&lt;=Hypothèses!$V$15,Hypothèses!$X$15,IF(BG269&lt;=Hypothèses!$V$16,Hypothèses!$X$16,IF(BG269&lt;=Hypothèses!$U$17,Hypothèses!$W$17,IF(BG269&lt;=Hypothèses!$U$18,Hypothèses!$W$18,""))))))))))))</f>
        <v>#DIV/0!</v>
      </c>
      <c r="CD269" s="95" t="e">
        <f t="shared" ca="1" si="381"/>
        <v>#DIV/0!</v>
      </c>
      <c r="CE269" s="101">
        <f t="shared" si="426"/>
        <v>0</v>
      </c>
      <c r="CF269" s="91">
        <f t="shared" si="348"/>
        <v>0</v>
      </c>
      <c r="CG269" s="30" t="e">
        <f t="shared" si="406"/>
        <v>#N/A</v>
      </c>
      <c r="CH269" s="30" t="e">
        <f t="shared" si="407"/>
        <v>#N/A</v>
      </c>
      <c r="CI269" s="31" t="e">
        <f>IF(OR(Hypothèses!$B$4=17,Hypothèses!$B$4=18,Hypothèses!$B$4=19,Hypothèses!$B$4=20),
IF($D269="Pressio.",
IF(OR($E269=3,$E269=1,$E269=4),CH269,CG269),
IF($D269="Pénétro.",
IF(OR($E269=3,$E269=1,$E269=4),CH269,CG269))),IF($D269="Pressio.",
IF($E269=3,CH269,CG269),
IF($D269="Pénétro.",
IF($E269=4,CH269,CG269))))</f>
        <v>#N/A</v>
      </c>
      <c r="CJ269" s="31">
        <v>0</v>
      </c>
      <c r="CK269" s="102" t="e">
        <f>IF(NDC!$H$10="Oui",(VLOOKUP($B$3,'Coeff EC7'!$T$39:$X$59,2,0)*CI269+VLOOKUP($B$3,'Coeff EC7'!$T$65:$X$85,2,0)*Model0.1T!CJ269)/1.5,PI()*CG$12*$Q269*($B269-$B268)*0.15/10+CK268)</f>
        <v>#N/A</v>
      </c>
      <c r="CL269" s="102" t="e">
        <f>(VLOOKUP($B$3,'Coeff EC7'!$T$39:$X$59,3,0)*CI269+VLOOKUP($B$3,'Coeff EC7'!$T$65:$X$85,3,0)*Model0.1T!CJ269)/1.1</f>
        <v>#N/A</v>
      </c>
      <c r="CM269" s="102" t="e">
        <f t="shared" si="382"/>
        <v>#N/A</v>
      </c>
      <c r="CN269" s="102" t="e">
        <f t="shared" si="383"/>
        <v>#N/A</v>
      </c>
      <c r="CO269" s="414" t="e">
        <f>IF(AND(CK269&gt;NDC!$C$63,CL269&gt;NDC!$C$65,CM269&gt;NDC!$D$73,CN269&gt;NDC!$D$74,$B269&gt;NDC!$H$22-0.1+MIN(3*CO$12,1.5)),0,1)</f>
        <v>#N/A</v>
      </c>
      <c r="CP269" s="86" t="b">
        <f t="shared" si="349"/>
        <v>0</v>
      </c>
      <c r="CQ269" s="86">
        <f t="shared" si="350"/>
        <v>0.5</v>
      </c>
      <c r="CR269" s="86">
        <f t="shared" si="351"/>
        <v>0.5</v>
      </c>
      <c r="CS269" s="30" t="e">
        <f t="shared" ca="1" si="384"/>
        <v>#DIV/0!</v>
      </c>
      <c r="CT269" s="85" t="e">
        <f ca="1">IF(BZ269&lt;=Hypothèses!$V$7,Hypothèses!$W$7,IF(BZ269&lt;=Hypothèses!$V$8,Hypothèses!$W$8,IF(BZ269&lt;=Hypothèses!$V$9,Hypothèses!$W$9,IF(BZ269&lt;=Hypothèses!$V$10,Hypothèses!$W$10,IF(BZ269&lt;=Hypothèses!$V$11,Hypothèses!$W$11,IF(BZ269&lt;=Hypothèses!$V$12,Hypothèses!$W$12,IF(BZ269&lt;=Hypothèses!$V$13,Hypothèses!$W$13,IF(BZ269&lt;=Hypothèses!$V$14,Hypothèses!$W$14,IF(BZ269&lt;=Hypothèses!$V$15,Hypothèses!$W$15,IF(BZ269&lt;=Hypothèses!$V$16,Hypothèses!$W$16,IF(BZ269&lt;=Hypothèses!$V$17,Hypothèses!$W$17,IF(BZ269&lt;=Hypothèses!$V$18,Hypothèses!$W$18,""))))))))))))</f>
        <v>#DIV/0!</v>
      </c>
      <c r="CU269" s="87" t="e">
        <f t="shared" ca="1" si="420"/>
        <v>#DIV/0!</v>
      </c>
      <c r="CV269" s="88" t="e">
        <f ca="1">IF(BZ269&lt;=Hypothèses!$V$7,Hypothèses!$X$7,IF(BZ269&lt;=Hypothèses!$V$8,Hypothèses!$X$8,IF(BZ269&lt;=Hypothèses!$V$9,Hypothèses!$X$9,IF(BZ269&lt;=Hypothèses!$V$10,Hypothèses!$X$10,IF(BZ269&lt;=Hypothèses!$V$11,Hypothèses!$X$11,IF(BZ269&lt;=Hypothèses!$V$12,Hypothèses!$X$12,IF(BZ269&lt;=Hypothèses!$V$13,Hypothèses!$X$13,IF(BZ269&lt;=Hypothèses!$V$14,Hypothèses!$X$14,IF(BZ269&lt;=Hypothèses!$V$15,Hypothèses!$X$15,IF(BZ269&lt;=Hypothèses!$V$16,Hypothèses!$X$16,IF(BZ269&lt;=Hypothèses!$U$17,Hypothèses!$W$17,IF(BZ269&lt;=Hypothèses!$U$18,Hypothèses!$W$18,""))))))))))))</f>
        <v>#DIV/0!</v>
      </c>
      <c r="CW269" s="95" t="e">
        <f t="shared" ca="1" si="385"/>
        <v>#DIV/0!</v>
      </c>
      <c r="CX269" s="101">
        <f t="shared" si="427"/>
        <v>0</v>
      </c>
      <c r="CY269" s="91">
        <f t="shared" si="352"/>
        <v>0</v>
      </c>
      <c r="CZ269" s="30" t="e">
        <f t="shared" si="408"/>
        <v>#N/A</v>
      </c>
      <c r="DA269" s="30" t="e">
        <f t="shared" si="409"/>
        <v>#N/A</v>
      </c>
      <c r="DB269" s="31" t="e">
        <f>IF(OR(Hypothèses!$B$4=17,Hypothèses!$B$4=18,Hypothèses!$B$4=19,Hypothèses!$B$4=20),
IF($D269="Pressio.",
IF(OR($E269=3,$E269=1,$E269=4),DA269,CZ269),
IF($D269="Pénétro.",
IF(OR($E269=3,$E269=1,$E269=4),DA269,CZ269))),IF($D269="Pressio.",
IF($E269=3,DA269,CZ269),
IF($D269="Pénétro.",
IF($E269=4,DA269,CZ269))))</f>
        <v>#N/A</v>
      </c>
      <c r="DC269" s="31">
        <v>0</v>
      </c>
      <c r="DD269" s="102" t="e">
        <f>IF(NDC!$H$10="Oui",(VLOOKUP($B$3,'Coeff EC7'!$T$39:$X$59,2,0)*DB269+VLOOKUP($B$3,'Coeff EC7'!$T$65:$X$85,2,0)*Model0.1T!DC269)/1.5,PI()*CZ$12*$Q269*($B269-$B268)*0.15/10+DD268)</f>
        <v>#N/A</v>
      </c>
      <c r="DE269" s="102" t="e">
        <f>(VLOOKUP($B$3,'Coeff EC7'!$T$39:$X$59,3,0)*DB269+VLOOKUP($B$3,'Coeff EC7'!$T$65:$X$85,3,0)*Model0.1T!DC269)/1.1</f>
        <v>#N/A</v>
      </c>
      <c r="DF269" s="102" t="e">
        <f t="shared" si="386"/>
        <v>#N/A</v>
      </c>
      <c r="DG269" s="102" t="e">
        <f t="shared" si="387"/>
        <v>#N/A</v>
      </c>
      <c r="DH269" s="414" t="e">
        <f>IF(AND(DD269&gt;NDC!$C$63,DE269&gt;NDC!$C$65,DF269&gt;NDC!$D$73,DG269&gt;NDC!$D$74,$B269&gt;NDC!$H$22-0.1+MIN(3*DH$12,1.5)),0,1)</f>
        <v>#N/A</v>
      </c>
      <c r="DI269" s="86" t="b">
        <f t="shared" si="353"/>
        <v>0</v>
      </c>
      <c r="DJ269" s="86">
        <f t="shared" si="354"/>
        <v>0.5</v>
      </c>
      <c r="DK269" s="86">
        <f t="shared" si="355"/>
        <v>0.5</v>
      </c>
      <c r="DL269" s="30" t="e">
        <f t="shared" ca="1" si="388"/>
        <v>#DIV/0!</v>
      </c>
      <c r="DM269" s="85" t="e">
        <f ca="1">IF(CS269&lt;=Hypothèses!$V$7,Hypothèses!$W$7,IF(CS269&lt;=Hypothèses!$V$8,Hypothèses!$W$8,IF(CS269&lt;=Hypothèses!$V$9,Hypothèses!$W$9,IF(CS269&lt;=Hypothèses!$V$10,Hypothèses!$W$10,IF(CS269&lt;=Hypothèses!$V$11,Hypothèses!$W$11,IF(CS269&lt;=Hypothèses!$V$12,Hypothèses!$W$12,IF(CS269&lt;=Hypothèses!$V$13,Hypothèses!$W$13,IF(CS269&lt;=Hypothèses!$V$14,Hypothèses!$W$14,IF(CS269&lt;=Hypothèses!$V$15,Hypothèses!$W$15,IF(CS269&lt;=Hypothèses!$V$16,Hypothèses!$W$16,IF(CS269&lt;=Hypothèses!$V$17,Hypothèses!$W$17,IF(CS269&lt;=Hypothèses!$V$18,Hypothèses!$W$18,""))))))))))))</f>
        <v>#DIV/0!</v>
      </c>
      <c r="DN269" s="87" t="e">
        <f t="shared" ca="1" si="421"/>
        <v>#DIV/0!</v>
      </c>
      <c r="DO269" s="88" t="e">
        <f ca="1">IF(CS269&lt;=Hypothèses!$V$7,Hypothèses!$X$7,IF(CS269&lt;=Hypothèses!$V$8,Hypothèses!$X$8,IF(CS269&lt;=Hypothèses!$V$9,Hypothèses!$X$9,IF(CS269&lt;=Hypothèses!$V$10,Hypothèses!$X$10,IF(CS269&lt;=Hypothèses!$V$11,Hypothèses!$X$11,IF(CS269&lt;=Hypothèses!$V$12,Hypothèses!$X$12,IF(CS269&lt;=Hypothèses!$V$13,Hypothèses!$X$13,IF(CS269&lt;=Hypothèses!$V$14,Hypothèses!$X$14,IF(CS269&lt;=Hypothèses!$V$15,Hypothèses!$X$15,IF(CS269&lt;=Hypothèses!$V$16,Hypothèses!$X$16,IF(CS269&lt;=Hypothèses!$U$17,Hypothèses!$W$17,IF(CS269&lt;=Hypothèses!$U$18,Hypothèses!$W$18,""))))))))))))</f>
        <v>#DIV/0!</v>
      </c>
      <c r="DP269" s="95" t="e">
        <f t="shared" ca="1" si="389"/>
        <v>#DIV/0!</v>
      </c>
      <c r="DQ269" s="101">
        <f t="shared" si="428"/>
        <v>0</v>
      </c>
      <c r="DR269" s="91">
        <f t="shared" si="356"/>
        <v>0</v>
      </c>
      <c r="DS269" s="30" t="e">
        <f t="shared" si="410"/>
        <v>#N/A</v>
      </c>
      <c r="DT269" s="30" t="e">
        <f t="shared" si="411"/>
        <v>#N/A</v>
      </c>
      <c r="DU269" s="31" t="e">
        <f>IF(OR(Hypothèses!$B$4=17,Hypothèses!$B$4=18,Hypothèses!$B$4=19,Hypothèses!$B$4=20),
IF($D269="Pressio.",
IF(OR($E269=3,$E269=1,$E269=4),DT269,DS269),
IF($D269="Pénétro.",
IF(OR($E269=3,$E269=1,$E269=4),DT269,DS269))),IF($D269="Pressio.",
IF($E269=3,DT269,DS269),
IF($D269="Pénétro.",
IF($E269=4,DT269,DS269))))</f>
        <v>#N/A</v>
      </c>
      <c r="DV269" s="31">
        <v>0</v>
      </c>
      <c r="DW269" s="102" t="e">
        <f>IF(NDC!$H$10="Oui",(VLOOKUP($B$3,'Coeff EC7'!$T$39:$X$59,2,0)*DU269+VLOOKUP($B$3,'Coeff EC7'!$T$65:$X$85,2,0)*Model0.1T!DV269)/1.5,PI()*DS$12*$Q269*($B269-$B268)*0.15/10+DW268)</f>
        <v>#N/A</v>
      </c>
      <c r="DX269" s="102" t="e">
        <f>(VLOOKUP($B$3,'Coeff EC7'!$T$39:$X$59,3,0)*DU269+VLOOKUP($B$3,'Coeff EC7'!$T$65:$X$85,3,0)*Model0.1T!DV269)/1.1</f>
        <v>#N/A</v>
      </c>
      <c r="DY269" s="102" t="e">
        <f t="shared" si="390"/>
        <v>#N/A</v>
      </c>
      <c r="DZ269" s="102" t="e">
        <f t="shared" si="391"/>
        <v>#N/A</v>
      </c>
      <c r="EA269" s="414" t="e">
        <f>IF(AND(DW269&gt;NDC!$C$63,DX269&gt;NDC!$C$65,DY269&gt;NDC!$D$73,DZ269&gt;NDC!$D$74,$B269&gt;NDC!$H$22-0.1+MIN(3*EA$12,1.5)),0,1)</f>
        <v>#N/A</v>
      </c>
      <c r="EB269" s="86" t="b">
        <f t="shared" si="357"/>
        <v>0</v>
      </c>
      <c r="EC269" s="418">
        <f t="shared" si="358"/>
        <v>0.51</v>
      </c>
      <c r="ED269" s="86">
        <f t="shared" si="359"/>
        <v>0.51</v>
      </c>
      <c r="EE269" s="30" t="e">
        <f t="shared" ca="1" si="392"/>
        <v>#DIV/0!</v>
      </c>
      <c r="EF269" s="85" t="e">
        <f ca="1">IF(DL269&lt;=Hypothèses!$V$7,Hypothèses!$W$7,IF(DL269&lt;=Hypothèses!$V$8,Hypothèses!$W$8,IF(DL269&lt;=Hypothèses!$V$9,Hypothèses!$W$9,IF(DL269&lt;=Hypothèses!$V$10,Hypothèses!$W$10,IF(DL269&lt;=Hypothèses!$V$11,Hypothèses!$W$11,IF(DL269&lt;=Hypothèses!$V$12,Hypothèses!$W$12,IF(DL269&lt;=Hypothèses!$V$13,Hypothèses!$W$13,IF(DL269&lt;=Hypothèses!$V$14,Hypothèses!$W$14,IF(DL269&lt;=Hypothèses!$V$15,Hypothèses!$W$15,IF(DL269&lt;=Hypothèses!$V$16,Hypothèses!$W$16,IF(DL269&lt;=Hypothèses!$V$17,Hypothèses!$W$17,IF(DL269&lt;=Hypothèses!$V$18,Hypothèses!$W$18,""))))))))))))</f>
        <v>#DIV/0!</v>
      </c>
      <c r="EG269" s="87" t="e">
        <f t="shared" ca="1" si="422"/>
        <v>#DIV/0!</v>
      </c>
      <c r="EH269" s="88" t="e">
        <f ca="1">IF(DL269&lt;=Hypothèses!$V$7,Hypothèses!$X$7,IF(DL269&lt;=Hypothèses!$V$8,Hypothèses!$X$8,IF(DL269&lt;=Hypothèses!$V$9,Hypothèses!$X$9,IF(DL269&lt;=Hypothèses!$V$10,Hypothèses!$X$10,IF(DL269&lt;=Hypothèses!$V$11,Hypothèses!$X$11,IF(DL269&lt;=Hypothèses!$V$12,Hypothèses!$X$12,IF(DL269&lt;=Hypothèses!$V$13,Hypothèses!$X$13,IF(DL269&lt;=Hypothèses!$V$14,Hypothèses!$X$14,IF(DL269&lt;=Hypothèses!$V$15,Hypothèses!$X$15,IF(DL269&lt;=Hypothèses!$V$16,Hypothèses!$X$16,IF(DL269&lt;=Hypothèses!$U$17,Hypothèses!$W$17,IF(DL269&lt;=Hypothèses!$U$18,Hypothèses!$W$18,""))))))))))))</f>
        <v>#DIV/0!</v>
      </c>
      <c r="EI269" s="95" t="e">
        <f t="shared" ca="1" si="393"/>
        <v>#DIV/0!</v>
      </c>
      <c r="EJ269" s="101">
        <f t="shared" si="429"/>
        <v>0</v>
      </c>
      <c r="EK269" s="91">
        <f t="shared" si="360"/>
        <v>0</v>
      </c>
      <c r="EL269" s="30" t="e">
        <f t="shared" si="412"/>
        <v>#N/A</v>
      </c>
      <c r="EM269" s="30" t="e">
        <f t="shared" si="413"/>
        <v>#N/A</v>
      </c>
      <c r="EN269" s="31" t="e">
        <f>IF(OR(Hypothèses!$B$4=17,Hypothèses!$B$4=18,Hypothèses!$B$4=19,Hypothèses!$B$4=20),
IF($D269="Pressio.",
IF(OR($E269=3,$E269=1,$E269=4),EM269,EL269),
IF($D269="Pénétro.",
IF(OR($E269=3,$E269=1,$E269=4),EM269,EL269))),IF($D269="Pressio.",
IF($E269=3,EM269,EL269),
IF($D269="Pénétro.",
IF($E269=4,EM269,EL269))))</f>
        <v>#N/A</v>
      </c>
      <c r="EO269" s="31">
        <v>0</v>
      </c>
      <c r="EP269" s="102" t="e">
        <f>IF(NDC!$H$10="Oui",(VLOOKUP($B$3,'Coeff EC7'!$T$39:$X$59,2,0)*EN269+VLOOKUP($B$3,'Coeff EC7'!$T$65:$X$85,2,0)*Model0.1T!EO269)/1.5,PI()*EL$12*$Q269*($B269-$B268)*0.15/10+EP268)</f>
        <v>#N/A</v>
      </c>
      <c r="EQ269" s="102" t="e">
        <f>(VLOOKUP($B$3,'Coeff EC7'!$T$39:$X$59,3,0)*EN269+VLOOKUP($B$3,'Coeff EC7'!$T$65:$X$85,3,0)*Model0.1T!EO269)/1.1</f>
        <v>#N/A</v>
      </c>
      <c r="ER269" s="102" t="e">
        <f t="shared" si="394"/>
        <v>#N/A</v>
      </c>
      <c r="ES269" s="102" t="e">
        <f t="shared" si="395"/>
        <v>#N/A</v>
      </c>
      <c r="ET269" s="414" t="e">
        <f>IF(AND(EP269&gt;NDC!$C$63,EQ269&gt;NDC!$C$65,ER269&gt;NDC!$D$73,ES269&gt;NDC!$D$74,$B269&gt;NDC!$H$22-0.1+MIN(3*ET$12,1.5)),0,1)</f>
        <v>#N/A</v>
      </c>
      <c r="EU269" s="86" t="b">
        <f t="shared" si="361"/>
        <v>0</v>
      </c>
      <c r="EV269" s="86">
        <f t="shared" si="362"/>
        <v>0.61</v>
      </c>
      <c r="EW269" s="86">
        <f t="shared" si="363"/>
        <v>0.61</v>
      </c>
      <c r="EX269" s="30" t="e">
        <f t="shared" ca="1" si="396"/>
        <v>#DIV/0!</v>
      </c>
      <c r="EY269" s="85" t="e">
        <f ca="1">IF(EE269&lt;=Hypothèses!$V$7,Hypothèses!$W$7,IF(EE269&lt;=Hypothèses!$V$8,Hypothèses!$W$8,IF(EE269&lt;=Hypothèses!$V$9,Hypothèses!$W$9,IF(EE269&lt;=Hypothèses!$V$10,Hypothèses!$W$10,IF(EE269&lt;=Hypothèses!$V$11,Hypothèses!$W$11,IF(EE269&lt;=Hypothèses!$V$12,Hypothèses!$W$12,IF(EE269&lt;=Hypothèses!$V$13,Hypothèses!$W$13,IF(EE269&lt;=Hypothèses!$V$14,Hypothèses!$W$14,IF(EE269&lt;=Hypothèses!$V$15,Hypothèses!$W$15,IF(EE269&lt;=Hypothèses!$V$16,Hypothèses!$W$16,IF(EE269&lt;=Hypothèses!$V$17,Hypothèses!$W$17,IF(EE269&lt;=Hypothèses!$V$18,Hypothèses!$W$18,""))))))))))))</f>
        <v>#DIV/0!</v>
      </c>
      <c r="EZ269" s="87" t="e">
        <f t="shared" ca="1" si="423"/>
        <v>#DIV/0!</v>
      </c>
      <c r="FA269" s="88" t="e">
        <f ca="1">IF(EE269&lt;=Hypothèses!$V$7,Hypothèses!$X$7,IF(EE269&lt;=Hypothèses!$V$8,Hypothèses!$X$8,IF(EE269&lt;=Hypothèses!$V$9,Hypothèses!$X$9,IF(EE269&lt;=Hypothèses!$V$10,Hypothèses!$X$10,IF(EE269&lt;=Hypothèses!$V$11,Hypothèses!$X$11,IF(EE269&lt;=Hypothèses!$V$12,Hypothèses!$X$12,IF(EE269&lt;=Hypothèses!$V$13,Hypothèses!$X$13,IF(EE269&lt;=Hypothèses!$V$14,Hypothèses!$X$14,IF(EE269&lt;=Hypothèses!$V$15,Hypothèses!$X$15,IF(EE269&lt;=Hypothèses!$V$16,Hypothèses!$X$16,IF(EE269&lt;=Hypothèses!$U$17,Hypothèses!$W$17,IF(EE269&lt;=Hypothèses!$U$18,Hypothèses!$W$18,""))))))))))))</f>
        <v>#DIV/0!</v>
      </c>
      <c r="FB269" s="95" t="e">
        <f t="shared" ca="1" si="397"/>
        <v>#DIV/0!</v>
      </c>
      <c r="FC269" s="101">
        <f t="shared" si="430"/>
        <v>0</v>
      </c>
      <c r="FD269" s="91">
        <f t="shared" si="364"/>
        <v>0</v>
      </c>
      <c r="FE269" s="30" t="e">
        <f t="shared" si="414"/>
        <v>#N/A</v>
      </c>
      <c r="FF269" s="30" t="e">
        <f t="shared" si="415"/>
        <v>#N/A</v>
      </c>
      <c r="FG269" s="31" t="e">
        <f>IF(OR(Hypothèses!$B$4=17,Hypothèses!$B$4=18,Hypothèses!$B$4=19,Hypothèses!$B$4=20),
IF($D269="Pressio.",
IF(OR($E269=3,$E269=1,$E269=4),FF269,FE269),
IF($D269="Pénétro.",
IF(OR($E269=3,$E269=1,$E269=4),FF269,FE269))),IF($D269="Pressio.",
IF($E269=3,FF269,FE269),
IF($D269="Pénétro.",
IF($E269=4,FF269,FE269))))</f>
        <v>#N/A</v>
      </c>
      <c r="FH269" s="31">
        <v>0</v>
      </c>
      <c r="FI269" s="102" t="e">
        <f>IF(NDC!$H$10="Oui",(VLOOKUP($B$3,'Coeff EC7'!$T$39:$X$59,2,0)*FG269+VLOOKUP($B$3,'Coeff EC7'!$T$65:$X$85,2,0)*Model0.1T!FH269)/1.5,PI()*FE$12*$Q269*($B269-$B268)*0.15/10+FI268)</f>
        <v>#N/A</v>
      </c>
      <c r="FJ269" s="102" t="e">
        <f>(VLOOKUP($B$3,'Coeff EC7'!$T$39:$X$59,3,0)*FG269+VLOOKUP($B$3,'Coeff EC7'!$T$65:$X$85,3,0)*Model0.1T!FH269)/1.1</f>
        <v>#N/A</v>
      </c>
      <c r="FK269" s="102" t="e">
        <f t="shared" si="398"/>
        <v>#N/A</v>
      </c>
      <c r="FL269" s="102" t="e">
        <f t="shared" si="399"/>
        <v>#N/A</v>
      </c>
      <c r="FM269" s="414" t="e">
        <f>IF(AND(FI269&gt;NDC!$C$63,FJ269&gt;NDC!$C$65,FK269&gt;NDC!$D$73,FL269&gt;NDC!$D$74,$B269&gt;NDC!$H$22-0.1+MIN(3*FM$12,1.5)),0,1)</f>
        <v>#N/A</v>
      </c>
    </row>
    <row r="270" spans="1:169">
      <c r="A270" s="96">
        <f t="shared" si="365"/>
        <v>74.300000000001461</v>
      </c>
      <c r="B270" s="97">
        <v>25.7</v>
      </c>
      <c r="C270" s="81">
        <f>IF(B270&lt;=Hypothèses!$C$7,Hypothèses!$A$7,IF(B270&lt;=Hypothèses!$C$8,Hypothèses!$A$8,IF(B270&lt;=Hypothèses!$C$9,Hypothèses!$A$9,IF(B270&lt;=Hypothèses!$C$10,Hypothèses!$A$10,IF(B270&lt;=Hypothèses!$C$11,Hypothèses!$A$11,IF(B270&lt;=Hypothèses!$C$12,Hypothèses!$A$12,IF(B270&lt;=Hypothèses!$C$13,Hypothèses!$A$13,IF(B270&lt;=Hypothèses!$C$14,Hypothèses!$A$14,IF(B270&lt;=Hypothèses!$C$15,Hypothèses!$A$15,IF(B270&lt;=Hypothèses!$C$16,Hypothèses!$A$16,IF(B270&lt;=Hypothèses!$C$17,Hypothèses!$A$17,IF(B270&lt;=Hypothèses!$C$18,Hypothèses!$A$18,C269))))))))))))</f>
        <v>11</v>
      </c>
      <c r="D270" s="82" t="str">
        <f>IF(B270&lt;=Hypothèses!$C$7,Hypothèses!$R$7,IF(B270&lt;=Hypothèses!$C$8,Hypothèses!$R$8,IF(B270&lt;=Hypothèses!$C$9,Hypothèses!$R$9,IF(B270&lt;=Hypothèses!$C$10,Hypothèses!$R$10,IF(B270&lt;=Hypothèses!$C$11,Hypothèses!$R$11,IF(B270&lt;=Hypothèses!$C$12,Hypothèses!$R$12,IF(B270&lt;=Hypothèses!$C$13,Hypothèses!$R$13,IF(B270&lt;=Hypothèses!$C$14,Hypothèses!$R$14,IF(B270&lt;=Hypothèses!$C$15,Hypothèses!$R$15,IF(B270&lt;=Hypothèses!$C$16,Hypothèses!$R$16,IF(B270&lt;=Hypothèses!$C$17,Hypothèses!$R$17,IF(B270&lt;=Hypothèses!$C$18,Hypothèses!$R$18,D269))))))))))))</f>
        <v>Pressio.</v>
      </c>
      <c r="E270" s="82" t="e">
        <f>IF(B270&lt;=Hypothèses!$C$7,Hypothèses!$G$7,IF(B270&lt;=Hypothèses!$C$8,Hypothèses!$G$8,IF(B270&lt;=Hypothèses!$C$9,Hypothèses!$G$9,IF(B270&lt;=Hypothèses!$C$10,Hypothèses!$G$10,IF(B270&lt;=Hypothèses!$C$11,Hypothèses!$G$11,IF(B270&lt;=Hypothèses!$C$12,Hypothèses!$G$12,IF(B270&lt;=Hypothèses!$C$13,Hypothèses!$G$13,IF(B270&lt;=Hypothèses!$C$14,Hypothèses!$G$14,IF(B270&lt;=Hypothèses!$C$15,Hypothèses!$G$15,IF(B270&lt;=Hypothèses!$C$16,Hypothèses!$G$16,IF(B270&lt;=Hypothèses!$C$17,Hypothèses!$G$17,IF(B270&lt;=Hypothèses!$C$18,Hypothèses!$G$18,E269))))))))))))</f>
        <v>#N/A</v>
      </c>
      <c r="F270" s="82" t="str">
        <f>IF(B270&lt;=Hypothèses!$C$7,Hypothèses!$F$7,IF(B270&lt;=Hypothèses!$C$8,Hypothèses!$F$8,IF(B270&lt;=Hypothèses!$C$9,Hypothèses!$F$9,IF(B270&lt;=Hypothèses!$C$10,Hypothèses!$F$10,IF(B270&lt;=Hypothèses!$C$11,Hypothèses!$F$11,IF(B270&lt;=Hypothèses!$C$12,Hypothèses!$F$12,IF(B270&lt;=Hypothèses!$C$13,Hypothèses!$F$13,IF(B270&lt;=Hypothèses!$C$14,Hypothèses!$F$14,IF(B270&lt;=Hypothèses!$C$15,Hypothèses!$F$15,IF(B270&lt;=Hypothèses!$C$16,Hypothèses!$F$16,IF(B270&lt;=Hypothèses!$C$17,Hypothèses!$F$17,IF(B270&lt;=Hypothèses!$C$18,Hypothèses!$F$18,F269))))))))))))</f>
        <v/>
      </c>
      <c r="G270" s="91">
        <f t="array" ref="G270">INDEX('Coeff EC7'!$U$7:$X$27,
MATCH(Model0.1T!$B$3,'Coeff EC7'!$T$7:$T$27,0),
MATCH(Model0.1T!$D270&amp;Model0.1T!$B$4,
'Coeff EC7'!$U$6:$X$6&amp;
'Coeff EC7'!$U$5:$X$5,0))</f>
        <v>1.4</v>
      </c>
      <c r="H270" s="91">
        <f t="array" ref="H270">INDEX('Coeff EC7'!$Y$7:$AB$27,
MATCH(Model0.1T!$B$3,'Coeff EC7'!$T$7:$T$27,0),
MATCH(Model0.1T!$D270&amp;Model0.1T!$B$4,
'Coeff EC7'!$Y$6:$AB$6&amp;
'Coeff EC7'!$Y$5:$AB$5,0))</f>
        <v>1.7</v>
      </c>
      <c r="I270" s="83">
        <v>0</v>
      </c>
      <c r="J270" s="91" t="e">
        <f t="array" ref="J270">INDEX('Coeff EC7'!$D$33:$Q$33,1,MATCH(D270&amp;E270,'Coeff EC7'!$D$31:$Q$31&amp;'Coeff EC7'!$D$32:$Q$32,0))</f>
        <v>#N/A</v>
      </c>
      <c r="K270" s="91" t="e">
        <f t="array" ref="K270">INDEX('Coeff EC7'!$D$34:$Q$34,1,MATCH(D270&amp;E270,'Coeff EC7'!$D$31:$Q$31&amp;'Coeff EC7'!$D$32:$Q$32,0))</f>
        <v>#N/A</v>
      </c>
      <c r="L270" s="91" t="e">
        <f t="array" ref="L270">INDEX('Coeff EC7'!$D$35:$Q$35,1,MATCH(D270&amp;E270,'Coeff EC7'!$D$31:$Q$31&amp;'Coeff EC7'!$D$32:$Q$32,0))</f>
        <v>#N/A</v>
      </c>
      <c r="M270" s="98" t="e">
        <f t="shared" si="431"/>
        <v>#N/A</v>
      </c>
      <c r="N270" s="99" t="e">
        <f t="array" ref="N270">INDEX('Coeff EC7'!$D$7:$Q$27,MATCH($B$3,'Coeff EC7'!$C$7:$C$27,0),MATCH(D270&amp;E270,'Coeff EC7'!$D$5:$Q$5&amp;'Coeff EC7'!$D$6:$Q$6,0))</f>
        <v>#N/A</v>
      </c>
      <c r="O270" s="99" t="e">
        <f t="array" ref="O270">INDEX('Coeff EC7'!$D$41:$Q$61,MATCH($B$3,'Coeff EC7'!$C$41:$C$61,0),MATCH(D270&amp;E270,'Coeff EC7'!$D$39:$Q$39&amp;'Coeff EC7'!$D$40:$Q$40,0))</f>
        <v>#N/A</v>
      </c>
      <c r="P270" s="30" t="e">
        <f t="shared" si="366"/>
        <v>#N/A</v>
      </c>
      <c r="Q270" s="100" t="e">
        <f t="shared" ref="Q270:Q333" si="433">MIN(O270,P270)*$B$10</f>
        <v>#N/A</v>
      </c>
      <c r="R270" s="86" t="b">
        <f t="shared" ref="R270:R333" si="434">IF($B270&lt;=$P$4, $B270, IF($B270&lt;=$P$5, $B270-$P$4, IF($B270&lt;=$P$6, $B270-$P$5, IF($B270&lt;=$P$7,$B270-$P$6, IF($B270&lt;=$P$8, $B270-$P$7, IF($B270&lt;=$P$9, $B270-$P$8, IF($B270&lt;=$P$10,$B270-$P$9)))))))</f>
        <v>0</v>
      </c>
      <c r="S270" s="86">
        <f t="shared" si="432"/>
        <v>0.5</v>
      </c>
      <c r="T270" s="86">
        <f t="shared" ref="T270:T333" si="435">MIN(S270,R270)</f>
        <v>0.5</v>
      </c>
      <c r="U270" s="30" t="e">
        <f t="shared" ca="1" si="367"/>
        <v>#DIV/0!</v>
      </c>
      <c r="V270" s="85" t="str">
        <f>IF(B270&lt;=Hypothèses!$V$7,Hypothèses!$W$7,IF(B270&lt;=Hypothèses!$V$8,Hypothèses!$W$8,IF(B270&lt;=Hypothèses!$V$9,Hypothèses!$W$9,IF(B270&lt;=Hypothèses!$V$10,Hypothèses!$W$10,IF(B270&lt;=Hypothèses!$V$11,Hypothèses!$W$11,IF(B270&lt;=Hypothèses!$V$12,Hypothèses!$W$12,IF(B270&lt;=Hypothèses!$V$13,Hypothèses!$W$13,IF(B270&lt;=Hypothèses!$V$14,Hypothèses!$W$14,IF(B270&lt;=Hypothèses!$V$15,Hypothèses!$W$15,IF(B270&lt;=Hypothèses!$V$16,Hypothèses!$W$16,IF(B270&lt;=Hypothèses!$V$17,Hypothèses!$W$17,IF(B270&lt;=Hypothèses!$V$18,Hypothèses!$W$18,""))))))))))))</f>
        <v/>
      </c>
      <c r="W270" s="87" t="e">
        <f t="shared" ca="1" si="416"/>
        <v>#DIV/0!</v>
      </c>
      <c r="X270" s="88" t="str">
        <f>IF(B270&lt;=Hypothèses!$V$7,Hypothèses!$X$7,IF(B270&lt;=Hypothèses!$V$8,Hypothèses!$X$8,IF(B270&lt;=Hypothèses!$V$9,Hypothèses!$X$9,IF(B270&lt;=Hypothèses!$V$10,Hypothèses!$X$10,IF(B270&lt;=Hypothèses!$V$11,Hypothèses!$X$11,IF(B270&lt;=Hypothèses!$V$12,Hypothèses!$X$12,IF(B270&lt;=Hypothèses!$V$13,Hypothèses!$X$13,IF(B270&lt;=Hypothèses!$V$14,Hypothèses!$X$14,IF(B270&lt;=Hypothèses!$V$15,Hypothèses!$X$15,IF(B270&lt;=Hypothèses!$V$16,Hypothèses!$X$16,IF(B270&lt;=Hypothèses!$U$17,Hypothèses!$W$17,IF(B270&lt;=Hypothèses!$U$18,Hypothèses!$W$18,""))))))))))))</f>
        <v/>
      </c>
      <c r="Y270" s="95" t="e">
        <f t="shared" ref="Y270:Y333" ca="1" si="436">IF($B270&lt;10*$AI$12,0.1/W270*SUM(OFFSET(F270,-10*$B270+1,0,10*$B270,1)),0.1/W270*SUM(OFFSET(F270,-100*$AI$12+1,0,100*$AI$12,1)))</f>
        <v>#DIV/0!</v>
      </c>
      <c r="Z270" s="101">
        <f t="shared" ref="Z270:Z333" si="437">IF($I270=0,0,
IF(Y270&gt;5*AD$12,$I270,
IF($D270="Pressio.",1+($I270-1)*(Y270/AD$12)/5,
IF($D270="Pénétro.",IF($E270=1,0.3+($I270-0.3)*(Y270/AD$12)/5,
IF($E270=2,0.2+($I270-0.2)*(Y270/AD$12)/5,
IF($E270=3,0.1+($I270-0.1)*(Y270/AD$12)/5,
0.15+($I270-0.15)*(Y270/AD$12)/5)))))))</f>
        <v>0</v>
      </c>
      <c r="AA270" s="91">
        <f t="shared" ref="AA270:AA333" si="438">IF($X270&lt;&gt;"",$X270,Z270)</f>
        <v>0</v>
      </c>
      <c r="AB270" s="30" t="e">
        <f t="shared" si="400"/>
        <v>#N/A</v>
      </c>
      <c r="AC270" s="30" t="e">
        <f t="shared" si="401"/>
        <v>#N/A</v>
      </c>
      <c r="AD270" s="31" t="e">
        <f>IF(OR(Hypothèses!$B$4=17,Hypothèses!$B$4=18,Hypothèses!$B$4=19,Hypothèses!$B$4=20),
IF($D270="Pressio.",
IF(OR($E270=3,$E270=1,$E270=4),AC270,AB270),
IF($D270="Pénétro.",
IF(OR($E270=3,$E270=1,$E270=4),AC270,AB270))),IF($D270="Pressio.",
IF($E270=3,AC270,AB270),
IF($D270="Pénétro.",
IF($E270=4,AC270,AB270))))</f>
        <v>#N/A</v>
      </c>
      <c r="AE270" s="31">
        <v>0</v>
      </c>
      <c r="AF270" s="102" t="e">
        <f>IF(NDC!$H$10="Oui",(VLOOKUP($B$3,'Coeff EC7'!$T$39:$X$59,2,0)*AD270+VLOOKUP($B$3,'Coeff EC7'!$T$65:$X$85,2,0)*Model0.1T!AE270)/1.5,PI()*AB$12*$Q270*($B270-$B269)*0.15/10+AF269)</f>
        <v>#N/A</v>
      </c>
      <c r="AG270" s="102" t="e">
        <f>(VLOOKUP($B$3,'Coeff EC7'!$T$39:$X$59,3,0)*AD270+VLOOKUP($B$3,'Coeff EC7'!$T$65:$X$85,3,0)*Model0.1T!AE270)/1.1</f>
        <v>#N/A</v>
      </c>
      <c r="AH270" s="102" t="e">
        <f t="shared" si="368"/>
        <v>#N/A</v>
      </c>
      <c r="AI270" s="102" t="e">
        <f t="shared" si="369"/>
        <v>#N/A</v>
      </c>
      <c r="AJ270" s="414" t="e">
        <f>IF(AND(AF270&gt;NDC!$C$63,AG270&gt;NDC!$C$65,AH270&gt;NDC!$D$73,AI270&gt;NDC!$D$74,$B270&gt;NDC!$H$22-0.1+MIN(3*$AJ$12,1.5)),0,1)</f>
        <v>#N/A</v>
      </c>
      <c r="AK270" s="86" t="b">
        <f t="shared" ref="AK270:AK333" si="439">IF($B270&lt;=$P$4, $B270, IF($B270&lt;=$P$5, $B270-$P$4, IF($B270&lt;=$P$6, $B270-$P$5, IF($B270&lt;=$P$7,$B270-$P$6, IF($B270&lt;=$P$8, $B270-$P$7, IF($B270&lt;=$P$9, $B270-$P$8, IF($B270&lt;=$P$10,$B270-$P$9)))))))</f>
        <v>0</v>
      </c>
      <c r="AL270" s="86">
        <f t="shared" si="370"/>
        <v>0.5</v>
      </c>
      <c r="AM270" s="86">
        <f t="shared" ref="AM270:AM333" si="440">MIN(AL270,AK270)</f>
        <v>0.5</v>
      </c>
      <c r="AN270" s="30" t="e">
        <f t="shared" ca="1" si="371"/>
        <v>#DIV/0!</v>
      </c>
      <c r="AO270" s="85" t="e">
        <f ca="1">IF(U270&lt;=Hypothèses!$V$7,Hypothèses!$W$7,IF(U270&lt;=Hypothèses!$V$8,Hypothèses!$W$8,IF(U270&lt;=Hypothèses!$V$9,Hypothèses!$W$9,IF(U270&lt;=Hypothèses!$V$10,Hypothèses!$W$10,IF(U270&lt;=Hypothèses!$V$11,Hypothèses!$W$11,IF(U270&lt;=Hypothèses!$V$12,Hypothèses!$W$12,IF(U270&lt;=Hypothèses!$V$13,Hypothèses!$W$13,IF(U270&lt;=Hypothèses!$V$14,Hypothèses!$W$14,IF(U270&lt;=Hypothèses!$V$15,Hypothèses!$W$15,IF(U270&lt;=Hypothèses!$V$16,Hypothèses!$W$16,IF(U270&lt;=Hypothèses!$V$17,Hypothèses!$W$17,IF(U270&lt;=Hypothèses!$V$18,Hypothèses!$W$18,""))))))))))))</f>
        <v>#DIV/0!</v>
      </c>
      <c r="AP270" s="87" t="e">
        <f t="shared" ca="1" si="417"/>
        <v>#DIV/0!</v>
      </c>
      <c r="AQ270" s="88" t="e">
        <f ca="1">IF(U270&lt;=Hypothèses!$V$7,Hypothèses!$X$7,IF(U270&lt;=Hypothèses!$V$8,Hypothèses!$X$8,IF(U270&lt;=Hypothèses!$V$9,Hypothèses!$X$9,IF(U270&lt;=Hypothèses!$V$10,Hypothèses!$X$10,IF(U270&lt;=Hypothèses!$V$11,Hypothèses!$X$11,IF(U270&lt;=Hypothèses!$V$12,Hypothèses!$X$12,IF(U270&lt;=Hypothèses!$V$13,Hypothèses!$X$13,IF(U270&lt;=Hypothèses!$V$14,Hypothèses!$X$14,IF(U270&lt;=Hypothèses!$V$15,Hypothèses!$X$15,IF(U270&lt;=Hypothèses!$V$16,Hypothèses!$X$16,IF(U270&lt;=Hypothèses!$U$17,Hypothèses!$W$17,IF(U270&lt;=Hypothèses!$U$18,Hypothèses!$W$18,""))))))))))))</f>
        <v>#DIV/0!</v>
      </c>
      <c r="AR270" s="95" t="e">
        <f t="shared" ca="1" si="372"/>
        <v>#DIV/0!</v>
      </c>
      <c r="AS270" s="101">
        <f t="shared" si="424"/>
        <v>0</v>
      </c>
      <c r="AT270" s="91">
        <f t="shared" ref="AT270:AT333" si="441">IF($X270&lt;&gt;"",$X270,AS270)</f>
        <v>0</v>
      </c>
      <c r="AU270" s="30" t="e">
        <f t="shared" si="402"/>
        <v>#N/A</v>
      </c>
      <c r="AV270" s="30" t="e">
        <f t="shared" si="403"/>
        <v>#N/A</v>
      </c>
      <c r="AW270" s="31" t="e">
        <f>IF(OR(Hypothèses!$B$4=17,Hypothèses!$B$4=18,Hypothèses!$B$4=19,Hypothèses!$B$4=20),
IF($D270="Pressio.",
IF(OR($E270=3,$E270=1,$E270=4),AV270,AU270),
IF($D270="Pénétro.",
IF(OR($E270=3,$E270=1,$E270=4),AV270,AU270))),IF($D270="Pressio.",
IF($E270=3,AV270,AU270),
IF($D270="Pénétro.",
IF($E270=4,AV270,AU270))))</f>
        <v>#N/A</v>
      </c>
      <c r="AX270" s="31">
        <v>0</v>
      </c>
      <c r="AY270" s="102" t="e">
        <f>IF(NDC!$H$10="Oui",(VLOOKUP($B$3,'Coeff EC7'!$T$39:$X$59,2,0)*AW270+VLOOKUP($B$3,'Coeff EC7'!$T$65:$X$85,2,0)*Model0.1T!AX270)/1.5,PI()*AU$12*$Q270*($B270-$B269)*0.15/10+AY269)</f>
        <v>#N/A</v>
      </c>
      <c r="AZ270" s="102" t="e">
        <f>(VLOOKUP($B$3,'Coeff EC7'!$T$39:$X$59,3,0)*AW270+VLOOKUP($B$3,'Coeff EC7'!$T$65:$X$85,3,0)*Model0.1T!AX270)/1.1</f>
        <v>#N/A</v>
      </c>
      <c r="BA270" s="102" t="e">
        <f t="shared" si="373"/>
        <v>#N/A</v>
      </c>
      <c r="BB270" s="102" t="e">
        <f t="shared" si="374"/>
        <v>#N/A</v>
      </c>
      <c r="BC270" s="414" t="e">
        <f>IF(AND(AY270&gt;NDC!$C$63,AZ270&gt;NDC!$C$65,BA270&gt;NDC!$D$73,BB270&gt;NDC!$D$74,$B270&gt;NDC!$H$22-0.1+MIN(3*BC$12,1.5)),0,1)</f>
        <v>#N/A</v>
      </c>
      <c r="BD270" s="86" t="b">
        <f t="shared" ref="BD270:BD333" si="442">IF($B270&lt;=$P$4, $B270, IF($B270&lt;=$P$5, $B270-$P$4, IF($B270&lt;=$P$6, $B270-$P$5, IF($B270&lt;=$P$7,$B270-$P$6, IF($B270&lt;=$P$8, $B270-$P$7, IF($B270&lt;=$P$9, $B270-$P$8, IF($B270&lt;=$P$10,$B270-$P$9)))))))</f>
        <v>0</v>
      </c>
      <c r="BE270" s="86">
        <f t="shared" si="375"/>
        <v>0.5</v>
      </c>
      <c r="BF270" s="86">
        <f t="shared" ref="BF270:BF333" si="443">MIN(BE270,BD270)</f>
        <v>0.5</v>
      </c>
      <c r="BG270" s="30" t="e">
        <f t="shared" ca="1" si="376"/>
        <v>#DIV/0!</v>
      </c>
      <c r="BH270" s="85" t="e">
        <f ca="1">IF(AN270&lt;=Hypothèses!$V$7,Hypothèses!$W$7,IF(AN270&lt;=Hypothèses!$V$8,Hypothèses!$W$8,IF(AN270&lt;=Hypothèses!$V$9,Hypothèses!$W$9,IF(AN270&lt;=Hypothèses!$V$10,Hypothèses!$W$10,IF(AN270&lt;=Hypothèses!$V$11,Hypothèses!$W$11,IF(AN270&lt;=Hypothèses!$V$12,Hypothèses!$W$12,IF(AN270&lt;=Hypothèses!$V$13,Hypothèses!$W$13,IF(AN270&lt;=Hypothèses!$V$14,Hypothèses!$W$14,IF(AN270&lt;=Hypothèses!$V$15,Hypothèses!$W$15,IF(AN270&lt;=Hypothèses!$V$16,Hypothèses!$W$16,IF(AN270&lt;=Hypothèses!$V$17,Hypothèses!$W$17,IF(AN270&lt;=Hypothèses!$V$18,Hypothèses!$W$18,""))))))))))))</f>
        <v>#DIV/0!</v>
      </c>
      <c r="BI270" s="87" t="e">
        <f t="shared" ca="1" si="418"/>
        <v>#DIV/0!</v>
      </c>
      <c r="BJ270" s="88" t="e">
        <f ca="1">IF(AN270&lt;=Hypothèses!$V$7,Hypothèses!$X$7,IF(AN270&lt;=Hypothèses!$V$8,Hypothèses!$X$8,IF(AN270&lt;=Hypothèses!$V$9,Hypothèses!$X$9,IF(AN270&lt;=Hypothèses!$V$10,Hypothèses!$X$10,IF(AN270&lt;=Hypothèses!$V$11,Hypothèses!$X$11,IF(AN270&lt;=Hypothèses!$V$12,Hypothèses!$X$12,IF(AN270&lt;=Hypothèses!$V$13,Hypothèses!$X$13,IF(AN270&lt;=Hypothèses!$V$14,Hypothèses!$X$14,IF(AN270&lt;=Hypothèses!$V$15,Hypothèses!$X$15,IF(AN270&lt;=Hypothèses!$V$16,Hypothèses!$X$16,IF(AN270&lt;=Hypothèses!$U$17,Hypothèses!$W$17,IF(AN270&lt;=Hypothèses!$U$18,Hypothèses!$W$18,""))))))))))))</f>
        <v>#DIV/0!</v>
      </c>
      <c r="BK270" s="95" t="e">
        <f t="shared" ca="1" si="377"/>
        <v>#DIV/0!</v>
      </c>
      <c r="BL270" s="101">
        <f t="shared" si="425"/>
        <v>0</v>
      </c>
      <c r="BM270" s="91">
        <f t="shared" ref="BM270:BM333" si="444">IF($X270&lt;&gt;"",$X270,BL270)</f>
        <v>0</v>
      </c>
      <c r="BN270" s="30" t="e">
        <f t="shared" si="404"/>
        <v>#N/A</v>
      </c>
      <c r="BO270" s="30" t="e">
        <f t="shared" si="405"/>
        <v>#N/A</v>
      </c>
      <c r="BP270" s="31" t="e">
        <f>IF(OR(Hypothèses!$B$4=17,Hypothèses!$B$4=18,Hypothèses!$B$4=19,Hypothèses!$B$4=20),
IF($D270="Pressio.",
IF(OR($E270=3,$E270=1,$E270=4),BO270,BN270),
IF($D270="Pénétro.",
IF(OR($E270=3,$E270=1,$E270=4),BO270,BN270))),IF($D270="Pressio.",
IF($E270=3,BO270,BN270),
IF($D270="Pénétro.",
IF($E270=4,BO270,BN270))))</f>
        <v>#N/A</v>
      </c>
      <c r="BQ270" s="31">
        <v>0</v>
      </c>
      <c r="BR270" s="102" t="e">
        <f>IF(NDC!$H$10="Oui",(VLOOKUP($B$3,'Coeff EC7'!$T$39:$X$59,2,0)*BP270+VLOOKUP($B$3,'Coeff EC7'!$T$65:$X$85,2,0)*Model0.1T!BQ270)/1.5,PI()*BN$12*$Q270*($B270-$B269)*0.15/10+BR269)</f>
        <v>#N/A</v>
      </c>
      <c r="BS270" s="102" t="e">
        <f>(VLOOKUP($B$3,'Coeff EC7'!$T$39:$X$59,3,0)*BP270+VLOOKUP($B$3,'Coeff EC7'!$T$65:$X$85,3,0)*Model0.1T!BQ270)/1.1</f>
        <v>#N/A</v>
      </c>
      <c r="BT270" s="102" t="e">
        <f t="shared" si="378"/>
        <v>#N/A</v>
      </c>
      <c r="BU270" s="102" t="e">
        <f t="shared" si="379"/>
        <v>#N/A</v>
      </c>
      <c r="BV270" s="414" t="e">
        <f>IF(AND(BR270&gt;NDC!$C$63,BS270&gt;NDC!$C$65,BT270&gt;NDC!$D$73,BU270&gt;NDC!$D$74,$B270&gt;NDC!$H$22-0.1+MIN(3*BV$12,1.5)),0,1)</f>
        <v>#N/A</v>
      </c>
      <c r="BW270" s="86" t="b">
        <f t="shared" ref="BW270:BW333" si="445">IF($B270&lt;=$P$4, $B270, IF($B270&lt;=$P$5, $B270-$P$4, IF($B270&lt;=$P$6, $B270-$P$5, IF($B270&lt;=$P$7,$B270-$P$6, IF($B270&lt;=$P$8, $B270-$P$7, IF($B270&lt;=$P$9, $B270-$P$8, IF($B270&lt;=$P$10,$B270-$P$9)))))))</f>
        <v>0</v>
      </c>
      <c r="BX270" s="86">
        <f t="shared" ref="BX270:BX333" si="446">MAX($CK$12/2,0.5)</f>
        <v>0.5</v>
      </c>
      <c r="BY270" s="86">
        <f t="shared" ref="BY270:BY333" si="447">MIN(BX270,BW270)</f>
        <v>0.5</v>
      </c>
      <c r="BZ270" s="30" t="e">
        <f t="shared" ca="1" si="380"/>
        <v>#DIV/0!</v>
      </c>
      <c r="CA270" s="85" t="e">
        <f ca="1">IF(BG270&lt;=Hypothèses!$V$7,Hypothèses!$W$7,IF(BG270&lt;=Hypothèses!$V$8,Hypothèses!$W$8,IF(BG270&lt;=Hypothèses!$V$9,Hypothèses!$W$9,IF(BG270&lt;=Hypothèses!$V$10,Hypothèses!$W$10,IF(BG270&lt;=Hypothèses!$V$11,Hypothèses!$W$11,IF(BG270&lt;=Hypothèses!$V$12,Hypothèses!$W$12,IF(BG270&lt;=Hypothèses!$V$13,Hypothèses!$W$13,IF(BG270&lt;=Hypothèses!$V$14,Hypothèses!$W$14,IF(BG270&lt;=Hypothèses!$V$15,Hypothèses!$W$15,IF(BG270&lt;=Hypothèses!$V$16,Hypothèses!$W$16,IF(BG270&lt;=Hypothèses!$V$17,Hypothèses!$W$17,IF(BG270&lt;=Hypothèses!$V$18,Hypothèses!$W$18,""))))))))))))</f>
        <v>#DIV/0!</v>
      </c>
      <c r="CB270" s="87" t="e">
        <f t="shared" ca="1" si="419"/>
        <v>#DIV/0!</v>
      </c>
      <c r="CC270" s="88" t="e">
        <f ca="1">IF(BG270&lt;=Hypothèses!$V$7,Hypothèses!$X$7,IF(BG270&lt;=Hypothèses!$V$8,Hypothèses!$X$8,IF(BG270&lt;=Hypothèses!$V$9,Hypothèses!$X$9,IF(BG270&lt;=Hypothèses!$V$10,Hypothèses!$X$10,IF(BG270&lt;=Hypothèses!$V$11,Hypothèses!$X$11,IF(BG270&lt;=Hypothèses!$V$12,Hypothèses!$X$12,IF(BG270&lt;=Hypothèses!$V$13,Hypothèses!$X$13,IF(BG270&lt;=Hypothèses!$V$14,Hypothèses!$X$14,IF(BG270&lt;=Hypothèses!$V$15,Hypothèses!$X$15,IF(BG270&lt;=Hypothèses!$V$16,Hypothèses!$X$16,IF(BG270&lt;=Hypothèses!$U$17,Hypothèses!$W$17,IF(BG270&lt;=Hypothèses!$U$18,Hypothèses!$W$18,""))))))))))))</f>
        <v>#DIV/0!</v>
      </c>
      <c r="CD270" s="95" t="e">
        <f t="shared" ca="1" si="381"/>
        <v>#DIV/0!</v>
      </c>
      <c r="CE270" s="101">
        <f t="shared" si="426"/>
        <v>0</v>
      </c>
      <c r="CF270" s="91">
        <f t="shared" ref="CF270:CF333" si="448">IF($X270&lt;&gt;"",$X270,CE270)</f>
        <v>0</v>
      </c>
      <c r="CG270" s="30" t="e">
        <f t="shared" si="406"/>
        <v>#N/A</v>
      </c>
      <c r="CH270" s="30" t="e">
        <f t="shared" si="407"/>
        <v>#N/A</v>
      </c>
      <c r="CI270" s="31" t="e">
        <f>IF(OR(Hypothèses!$B$4=17,Hypothèses!$B$4=18,Hypothèses!$B$4=19,Hypothèses!$B$4=20),
IF($D270="Pressio.",
IF(OR($E270=3,$E270=1,$E270=4),CH270,CG270),
IF($D270="Pénétro.",
IF(OR($E270=3,$E270=1,$E270=4),CH270,CG270))),IF($D270="Pressio.",
IF($E270=3,CH270,CG270),
IF($D270="Pénétro.",
IF($E270=4,CH270,CG270))))</f>
        <v>#N/A</v>
      </c>
      <c r="CJ270" s="31">
        <v>0</v>
      </c>
      <c r="CK270" s="102" t="e">
        <f>IF(NDC!$H$10="Oui",(VLOOKUP($B$3,'Coeff EC7'!$T$39:$X$59,2,0)*CI270+VLOOKUP($B$3,'Coeff EC7'!$T$65:$X$85,2,0)*Model0.1T!CJ270)/1.5,PI()*CG$12*$Q270*($B270-$B269)*0.15/10+CK269)</f>
        <v>#N/A</v>
      </c>
      <c r="CL270" s="102" t="e">
        <f>(VLOOKUP($B$3,'Coeff EC7'!$T$39:$X$59,3,0)*CI270+VLOOKUP($B$3,'Coeff EC7'!$T$65:$X$85,3,0)*Model0.1T!CJ270)/1.1</f>
        <v>#N/A</v>
      </c>
      <c r="CM270" s="102" t="e">
        <f t="shared" si="382"/>
        <v>#N/A</v>
      </c>
      <c r="CN270" s="102" t="e">
        <f t="shared" si="383"/>
        <v>#N/A</v>
      </c>
      <c r="CO270" s="414" t="e">
        <f>IF(AND(CK270&gt;NDC!$C$63,CL270&gt;NDC!$C$65,CM270&gt;NDC!$D$73,CN270&gt;NDC!$D$74,$B270&gt;NDC!$H$22-0.1+MIN(3*CO$12,1.5)),0,1)</f>
        <v>#N/A</v>
      </c>
      <c r="CP270" s="86" t="b">
        <f t="shared" ref="CP270:CP333" si="449">IF($B270&lt;=$P$4, $B270, IF($B270&lt;=$P$5, $B270-$P$4, IF($B270&lt;=$P$6, $B270-$P$5, IF($B270&lt;=$P$7,$B270-$P$6, IF($B270&lt;=$P$8, $B270-$P$7, IF($B270&lt;=$P$9, $B270-$P$8, IF($B270&lt;=$P$10,$B270-$P$9)))))))</f>
        <v>0</v>
      </c>
      <c r="CQ270" s="86">
        <f t="shared" ref="CQ270:CQ333" si="450">MAX($DD$12/2,0.5)</f>
        <v>0.5</v>
      </c>
      <c r="CR270" s="86">
        <f t="shared" ref="CR270:CR333" si="451">MIN(CQ270,CP270)</f>
        <v>0.5</v>
      </c>
      <c r="CS270" s="30" t="e">
        <f t="shared" ca="1" si="384"/>
        <v>#DIV/0!</v>
      </c>
      <c r="CT270" s="85" t="e">
        <f ca="1">IF(BZ270&lt;=Hypothèses!$V$7,Hypothèses!$W$7,IF(BZ270&lt;=Hypothèses!$V$8,Hypothèses!$W$8,IF(BZ270&lt;=Hypothèses!$V$9,Hypothèses!$W$9,IF(BZ270&lt;=Hypothèses!$V$10,Hypothèses!$W$10,IF(BZ270&lt;=Hypothèses!$V$11,Hypothèses!$W$11,IF(BZ270&lt;=Hypothèses!$V$12,Hypothèses!$W$12,IF(BZ270&lt;=Hypothèses!$V$13,Hypothèses!$W$13,IF(BZ270&lt;=Hypothèses!$V$14,Hypothèses!$W$14,IF(BZ270&lt;=Hypothèses!$V$15,Hypothèses!$W$15,IF(BZ270&lt;=Hypothèses!$V$16,Hypothèses!$W$16,IF(BZ270&lt;=Hypothèses!$V$17,Hypothèses!$W$17,IF(BZ270&lt;=Hypothèses!$V$18,Hypothèses!$W$18,""))))))))))))</f>
        <v>#DIV/0!</v>
      </c>
      <c r="CU270" s="87" t="e">
        <f t="shared" ca="1" si="420"/>
        <v>#DIV/0!</v>
      </c>
      <c r="CV270" s="88" t="e">
        <f ca="1">IF(BZ270&lt;=Hypothèses!$V$7,Hypothèses!$X$7,IF(BZ270&lt;=Hypothèses!$V$8,Hypothèses!$X$8,IF(BZ270&lt;=Hypothèses!$V$9,Hypothèses!$X$9,IF(BZ270&lt;=Hypothèses!$V$10,Hypothèses!$X$10,IF(BZ270&lt;=Hypothèses!$V$11,Hypothèses!$X$11,IF(BZ270&lt;=Hypothèses!$V$12,Hypothèses!$X$12,IF(BZ270&lt;=Hypothèses!$V$13,Hypothèses!$X$13,IF(BZ270&lt;=Hypothèses!$V$14,Hypothèses!$X$14,IF(BZ270&lt;=Hypothèses!$V$15,Hypothèses!$X$15,IF(BZ270&lt;=Hypothèses!$V$16,Hypothèses!$X$16,IF(BZ270&lt;=Hypothèses!$U$17,Hypothèses!$W$17,IF(BZ270&lt;=Hypothèses!$U$18,Hypothèses!$W$18,""))))))))))))</f>
        <v>#DIV/0!</v>
      </c>
      <c r="CW270" s="95" t="e">
        <f t="shared" ca="1" si="385"/>
        <v>#DIV/0!</v>
      </c>
      <c r="CX270" s="101">
        <f t="shared" si="427"/>
        <v>0</v>
      </c>
      <c r="CY270" s="91">
        <f t="shared" ref="CY270:CY333" si="452">IF($X270&lt;&gt;"",$X270,CX270)</f>
        <v>0</v>
      </c>
      <c r="CZ270" s="30" t="e">
        <f t="shared" si="408"/>
        <v>#N/A</v>
      </c>
      <c r="DA270" s="30" t="e">
        <f t="shared" si="409"/>
        <v>#N/A</v>
      </c>
      <c r="DB270" s="31" t="e">
        <f>IF(OR(Hypothèses!$B$4=17,Hypothèses!$B$4=18,Hypothèses!$B$4=19,Hypothèses!$B$4=20),
IF($D270="Pressio.",
IF(OR($E270=3,$E270=1,$E270=4),DA270,CZ270),
IF($D270="Pénétro.",
IF(OR($E270=3,$E270=1,$E270=4),DA270,CZ270))),IF($D270="Pressio.",
IF($E270=3,DA270,CZ270),
IF($D270="Pénétro.",
IF($E270=4,DA270,CZ270))))</f>
        <v>#N/A</v>
      </c>
      <c r="DC270" s="31">
        <v>0</v>
      </c>
      <c r="DD270" s="102" t="e">
        <f>IF(NDC!$H$10="Oui",(VLOOKUP($B$3,'Coeff EC7'!$T$39:$X$59,2,0)*DB270+VLOOKUP($B$3,'Coeff EC7'!$T$65:$X$85,2,0)*Model0.1T!DC270)/1.5,PI()*CZ$12*$Q270*($B270-$B269)*0.15/10+DD269)</f>
        <v>#N/A</v>
      </c>
      <c r="DE270" s="102" t="e">
        <f>(VLOOKUP($B$3,'Coeff EC7'!$T$39:$X$59,3,0)*DB270+VLOOKUP($B$3,'Coeff EC7'!$T$65:$X$85,3,0)*Model0.1T!DC270)/1.1</f>
        <v>#N/A</v>
      </c>
      <c r="DF270" s="102" t="e">
        <f t="shared" si="386"/>
        <v>#N/A</v>
      </c>
      <c r="DG270" s="102" t="e">
        <f t="shared" si="387"/>
        <v>#N/A</v>
      </c>
      <c r="DH270" s="414" t="e">
        <f>IF(AND(DD270&gt;NDC!$C$63,DE270&gt;NDC!$C$65,DF270&gt;NDC!$D$73,DG270&gt;NDC!$D$74,$B270&gt;NDC!$H$22-0.1+MIN(3*DH$12,1.5)),0,1)</f>
        <v>#N/A</v>
      </c>
      <c r="DI270" s="86" t="b">
        <f t="shared" ref="DI270:DI333" si="453">IF($B270&lt;=$P$4, $B270, IF($B270&lt;=$P$5, $B270-$P$4, IF($B270&lt;=$P$6, $B270-$P$5, IF($B270&lt;=$P$7,$B270-$P$6, IF($B270&lt;=$P$8, $B270-$P$7, IF($B270&lt;=$P$9, $B270-$P$8, IF($B270&lt;=$P$10,$B270-$P$9)))))))</f>
        <v>0</v>
      </c>
      <c r="DJ270" s="86">
        <f t="shared" ref="DJ270:DJ333" si="454">MAX($DW$12/2,0.5)</f>
        <v>0.5</v>
      </c>
      <c r="DK270" s="86">
        <f t="shared" ref="DK270:DK333" si="455">MIN(DJ270,DI270)</f>
        <v>0.5</v>
      </c>
      <c r="DL270" s="30" t="e">
        <f t="shared" ca="1" si="388"/>
        <v>#DIV/0!</v>
      </c>
      <c r="DM270" s="85" t="e">
        <f ca="1">IF(CS270&lt;=Hypothèses!$V$7,Hypothèses!$W$7,IF(CS270&lt;=Hypothèses!$V$8,Hypothèses!$W$8,IF(CS270&lt;=Hypothèses!$V$9,Hypothèses!$W$9,IF(CS270&lt;=Hypothèses!$V$10,Hypothèses!$W$10,IF(CS270&lt;=Hypothèses!$V$11,Hypothèses!$W$11,IF(CS270&lt;=Hypothèses!$V$12,Hypothèses!$W$12,IF(CS270&lt;=Hypothèses!$V$13,Hypothèses!$W$13,IF(CS270&lt;=Hypothèses!$V$14,Hypothèses!$W$14,IF(CS270&lt;=Hypothèses!$V$15,Hypothèses!$W$15,IF(CS270&lt;=Hypothèses!$V$16,Hypothèses!$W$16,IF(CS270&lt;=Hypothèses!$V$17,Hypothèses!$W$17,IF(CS270&lt;=Hypothèses!$V$18,Hypothèses!$W$18,""))))))))))))</f>
        <v>#DIV/0!</v>
      </c>
      <c r="DN270" s="87" t="e">
        <f t="shared" ca="1" si="421"/>
        <v>#DIV/0!</v>
      </c>
      <c r="DO270" s="88" t="e">
        <f ca="1">IF(CS270&lt;=Hypothèses!$V$7,Hypothèses!$X$7,IF(CS270&lt;=Hypothèses!$V$8,Hypothèses!$X$8,IF(CS270&lt;=Hypothèses!$V$9,Hypothèses!$X$9,IF(CS270&lt;=Hypothèses!$V$10,Hypothèses!$X$10,IF(CS270&lt;=Hypothèses!$V$11,Hypothèses!$X$11,IF(CS270&lt;=Hypothèses!$V$12,Hypothèses!$X$12,IF(CS270&lt;=Hypothèses!$V$13,Hypothèses!$X$13,IF(CS270&lt;=Hypothèses!$V$14,Hypothèses!$X$14,IF(CS270&lt;=Hypothèses!$V$15,Hypothèses!$X$15,IF(CS270&lt;=Hypothèses!$V$16,Hypothèses!$X$16,IF(CS270&lt;=Hypothèses!$U$17,Hypothèses!$W$17,IF(CS270&lt;=Hypothèses!$U$18,Hypothèses!$W$18,""))))))))))))</f>
        <v>#DIV/0!</v>
      </c>
      <c r="DP270" s="95" t="e">
        <f t="shared" ca="1" si="389"/>
        <v>#DIV/0!</v>
      </c>
      <c r="DQ270" s="101">
        <f t="shared" si="428"/>
        <v>0</v>
      </c>
      <c r="DR270" s="91">
        <f t="shared" ref="DR270:DR333" si="456">IF($X270&lt;&gt;"",$X270,DQ270)</f>
        <v>0</v>
      </c>
      <c r="DS270" s="30" t="e">
        <f t="shared" si="410"/>
        <v>#N/A</v>
      </c>
      <c r="DT270" s="30" t="e">
        <f t="shared" si="411"/>
        <v>#N/A</v>
      </c>
      <c r="DU270" s="31" t="e">
        <f>IF(OR(Hypothèses!$B$4=17,Hypothèses!$B$4=18,Hypothèses!$B$4=19,Hypothèses!$B$4=20),
IF($D270="Pressio.",
IF(OR($E270=3,$E270=1,$E270=4),DT270,DS270),
IF($D270="Pénétro.",
IF(OR($E270=3,$E270=1,$E270=4),DT270,DS270))),IF($D270="Pressio.",
IF($E270=3,DT270,DS270),
IF($D270="Pénétro.",
IF($E270=4,DT270,DS270))))</f>
        <v>#N/A</v>
      </c>
      <c r="DV270" s="31">
        <v>0</v>
      </c>
      <c r="DW270" s="102" t="e">
        <f>IF(NDC!$H$10="Oui",(VLOOKUP($B$3,'Coeff EC7'!$T$39:$X$59,2,0)*DU270+VLOOKUP($B$3,'Coeff EC7'!$T$65:$X$85,2,0)*Model0.1T!DV270)/1.5,PI()*DS$12*$Q270*($B270-$B269)*0.15/10+DW269)</f>
        <v>#N/A</v>
      </c>
      <c r="DX270" s="102" t="e">
        <f>(VLOOKUP($B$3,'Coeff EC7'!$T$39:$X$59,3,0)*DU270+VLOOKUP($B$3,'Coeff EC7'!$T$65:$X$85,3,0)*Model0.1T!DV270)/1.1</f>
        <v>#N/A</v>
      </c>
      <c r="DY270" s="102" t="e">
        <f t="shared" si="390"/>
        <v>#N/A</v>
      </c>
      <c r="DZ270" s="102" t="e">
        <f t="shared" si="391"/>
        <v>#N/A</v>
      </c>
      <c r="EA270" s="414" t="e">
        <f>IF(AND(DW270&gt;NDC!$C$63,DX270&gt;NDC!$C$65,DY270&gt;NDC!$D$73,DZ270&gt;NDC!$D$74,$B270&gt;NDC!$H$22-0.1+MIN(3*EA$12,1.5)),0,1)</f>
        <v>#N/A</v>
      </c>
      <c r="EB270" s="86" t="b">
        <f t="shared" ref="EB270:EB333" si="457">IF($B270&lt;=$P$4, $B270, IF($B270&lt;=$P$5, $B270-$P$4, IF($B270&lt;=$P$6, $B270-$P$5, IF($B270&lt;=$P$7,$B270-$P$6, IF($B270&lt;=$P$8, $B270-$P$7, IF($B270&lt;=$P$9, $B270-$P$8, IF($B270&lt;=$P$10,$B270-$P$9)))))))</f>
        <v>0</v>
      </c>
      <c r="EC270" s="418">
        <f t="shared" ref="EC270:EC333" si="458">MAX($EP$12/2,0.5)</f>
        <v>0.51</v>
      </c>
      <c r="ED270" s="86">
        <f t="shared" ref="ED270:ED333" si="459">MIN(EC270,EB270)</f>
        <v>0.51</v>
      </c>
      <c r="EE270" s="30" t="e">
        <f t="shared" ca="1" si="392"/>
        <v>#DIV/0!</v>
      </c>
      <c r="EF270" s="85" t="e">
        <f ca="1">IF(DL270&lt;=Hypothèses!$V$7,Hypothèses!$W$7,IF(DL270&lt;=Hypothèses!$V$8,Hypothèses!$W$8,IF(DL270&lt;=Hypothèses!$V$9,Hypothèses!$W$9,IF(DL270&lt;=Hypothèses!$V$10,Hypothèses!$W$10,IF(DL270&lt;=Hypothèses!$V$11,Hypothèses!$W$11,IF(DL270&lt;=Hypothèses!$V$12,Hypothèses!$W$12,IF(DL270&lt;=Hypothèses!$V$13,Hypothèses!$W$13,IF(DL270&lt;=Hypothèses!$V$14,Hypothèses!$W$14,IF(DL270&lt;=Hypothèses!$V$15,Hypothèses!$W$15,IF(DL270&lt;=Hypothèses!$V$16,Hypothèses!$W$16,IF(DL270&lt;=Hypothèses!$V$17,Hypothèses!$W$17,IF(DL270&lt;=Hypothèses!$V$18,Hypothèses!$W$18,""))))))))))))</f>
        <v>#DIV/0!</v>
      </c>
      <c r="EG270" s="87" t="e">
        <f t="shared" ca="1" si="422"/>
        <v>#DIV/0!</v>
      </c>
      <c r="EH270" s="88" t="e">
        <f ca="1">IF(DL270&lt;=Hypothèses!$V$7,Hypothèses!$X$7,IF(DL270&lt;=Hypothèses!$V$8,Hypothèses!$X$8,IF(DL270&lt;=Hypothèses!$V$9,Hypothèses!$X$9,IF(DL270&lt;=Hypothèses!$V$10,Hypothèses!$X$10,IF(DL270&lt;=Hypothèses!$V$11,Hypothèses!$X$11,IF(DL270&lt;=Hypothèses!$V$12,Hypothèses!$X$12,IF(DL270&lt;=Hypothèses!$V$13,Hypothèses!$X$13,IF(DL270&lt;=Hypothèses!$V$14,Hypothèses!$X$14,IF(DL270&lt;=Hypothèses!$V$15,Hypothèses!$X$15,IF(DL270&lt;=Hypothèses!$V$16,Hypothèses!$X$16,IF(DL270&lt;=Hypothèses!$U$17,Hypothèses!$W$17,IF(DL270&lt;=Hypothèses!$U$18,Hypothèses!$W$18,""))))))))))))</f>
        <v>#DIV/0!</v>
      </c>
      <c r="EI270" s="95" t="e">
        <f t="shared" ca="1" si="393"/>
        <v>#DIV/0!</v>
      </c>
      <c r="EJ270" s="101">
        <f t="shared" si="429"/>
        <v>0</v>
      </c>
      <c r="EK270" s="91">
        <f t="shared" ref="EK270:EK333" si="460">IF($X270&lt;&gt;"",$X270,EJ270)</f>
        <v>0</v>
      </c>
      <c r="EL270" s="30" t="e">
        <f t="shared" si="412"/>
        <v>#N/A</v>
      </c>
      <c r="EM270" s="30" t="e">
        <f t="shared" si="413"/>
        <v>#N/A</v>
      </c>
      <c r="EN270" s="31" t="e">
        <f>IF(OR(Hypothèses!$B$4=17,Hypothèses!$B$4=18,Hypothèses!$B$4=19,Hypothèses!$B$4=20),
IF($D270="Pressio.",
IF(OR($E270=3,$E270=1,$E270=4),EM270,EL270),
IF($D270="Pénétro.",
IF(OR($E270=3,$E270=1,$E270=4),EM270,EL270))),IF($D270="Pressio.",
IF($E270=3,EM270,EL270),
IF($D270="Pénétro.",
IF($E270=4,EM270,EL270))))</f>
        <v>#N/A</v>
      </c>
      <c r="EO270" s="31">
        <v>0</v>
      </c>
      <c r="EP270" s="102" t="e">
        <f>IF(NDC!$H$10="Oui",(VLOOKUP($B$3,'Coeff EC7'!$T$39:$X$59,2,0)*EN270+VLOOKUP($B$3,'Coeff EC7'!$T$65:$X$85,2,0)*Model0.1T!EO270)/1.5,PI()*EL$12*$Q270*($B270-$B269)*0.15/10+EP269)</f>
        <v>#N/A</v>
      </c>
      <c r="EQ270" s="102" t="e">
        <f>(VLOOKUP($B$3,'Coeff EC7'!$T$39:$X$59,3,0)*EN270+VLOOKUP($B$3,'Coeff EC7'!$T$65:$X$85,3,0)*Model0.1T!EO270)/1.1</f>
        <v>#N/A</v>
      </c>
      <c r="ER270" s="102" t="e">
        <f t="shared" si="394"/>
        <v>#N/A</v>
      </c>
      <c r="ES270" s="102" t="e">
        <f t="shared" si="395"/>
        <v>#N/A</v>
      </c>
      <c r="ET270" s="414" t="e">
        <f>IF(AND(EP270&gt;NDC!$C$63,EQ270&gt;NDC!$C$65,ER270&gt;NDC!$D$73,ES270&gt;NDC!$D$74,$B270&gt;NDC!$H$22-0.1+MIN(3*ET$12,1.5)),0,1)</f>
        <v>#N/A</v>
      </c>
      <c r="EU270" s="86" t="b">
        <f t="shared" ref="EU270:EU333" si="461">IF($B270&lt;=$P$4, $B270, IF($B270&lt;=$P$5, $B270-$P$4, IF($B270&lt;=$P$6, $B270-$P$5, IF($B270&lt;=$P$7,$B270-$P$6, IF($B270&lt;=$P$8, $B270-$P$7, IF($B270&lt;=$P$9, $B270-$P$8, IF($B270&lt;=$P$10,$B270-$P$9)))))))</f>
        <v>0</v>
      </c>
      <c r="EV270" s="86">
        <f t="shared" ref="EV270:EV333" si="462">MAX($FI$12/2,0.5)</f>
        <v>0.61</v>
      </c>
      <c r="EW270" s="86">
        <f t="shared" ref="EW270:EW333" si="463">MIN(EV270,EU270)</f>
        <v>0.61</v>
      </c>
      <c r="EX270" s="30" t="e">
        <f t="shared" ca="1" si="396"/>
        <v>#DIV/0!</v>
      </c>
      <c r="EY270" s="85" t="e">
        <f ca="1">IF(EE270&lt;=Hypothèses!$V$7,Hypothèses!$W$7,IF(EE270&lt;=Hypothèses!$V$8,Hypothèses!$W$8,IF(EE270&lt;=Hypothèses!$V$9,Hypothèses!$W$9,IF(EE270&lt;=Hypothèses!$V$10,Hypothèses!$W$10,IF(EE270&lt;=Hypothèses!$V$11,Hypothèses!$W$11,IF(EE270&lt;=Hypothèses!$V$12,Hypothèses!$W$12,IF(EE270&lt;=Hypothèses!$V$13,Hypothèses!$W$13,IF(EE270&lt;=Hypothèses!$V$14,Hypothèses!$W$14,IF(EE270&lt;=Hypothèses!$V$15,Hypothèses!$W$15,IF(EE270&lt;=Hypothèses!$V$16,Hypothèses!$W$16,IF(EE270&lt;=Hypothèses!$V$17,Hypothèses!$W$17,IF(EE270&lt;=Hypothèses!$V$18,Hypothèses!$W$18,""))))))))))))</f>
        <v>#DIV/0!</v>
      </c>
      <c r="EZ270" s="87" t="e">
        <f t="shared" ca="1" si="423"/>
        <v>#DIV/0!</v>
      </c>
      <c r="FA270" s="88" t="e">
        <f ca="1">IF(EE270&lt;=Hypothèses!$V$7,Hypothèses!$X$7,IF(EE270&lt;=Hypothèses!$V$8,Hypothèses!$X$8,IF(EE270&lt;=Hypothèses!$V$9,Hypothèses!$X$9,IF(EE270&lt;=Hypothèses!$V$10,Hypothèses!$X$10,IF(EE270&lt;=Hypothèses!$V$11,Hypothèses!$X$11,IF(EE270&lt;=Hypothèses!$V$12,Hypothèses!$X$12,IF(EE270&lt;=Hypothèses!$V$13,Hypothèses!$X$13,IF(EE270&lt;=Hypothèses!$V$14,Hypothèses!$X$14,IF(EE270&lt;=Hypothèses!$V$15,Hypothèses!$X$15,IF(EE270&lt;=Hypothèses!$V$16,Hypothèses!$X$16,IF(EE270&lt;=Hypothèses!$U$17,Hypothèses!$W$17,IF(EE270&lt;=Hypothèses!$U$18,Hypothèses!$W$18,""))))))))))))</f>
        <v>#DIV/0!</v>
      </c>
      <c r="FB270" s="95" t="e">
        <f t="shared" ca="1" si="397"/>
        <v>#DIV/0!</v>
      </c>
      <c r="FC270" s="101">
        <f t="shared" si="430"/>
        <v>0</v>
      </c>
      <c r="FD270" s="91">
        <f t="shared" ref="FD270:FD333" si="464">IF($X270&lt;&gt;"",$X270,FC270)</f>
        <v>0</v>
      </c>
      <c r="FE270" s="30" t="e">
        <f t="shared" si="414"/>
        <v>#N/A</v>
      </c>
      <c r="FF270" s="30" t="e">
        <f t="shared" si="415"/>
        <v>#N/A</v>
      </c>
      <c r="FG270" s="31" t="e">
        <f>IF(OR(Hypothèses!$B$4=17,Hypothèses!$B$4=18,Hypothèses!$B$4=19,Hypothèses!$B$4=20),
IF($D270="Pressio.",
IF(OR($E270=3,$E270=1,$E270=4),FF270,FE270),
IF($D270="Pénétro.",
IF(OR($E270=3,$E270=1,$E270=4),FF270,FE270))),IF($D270="Pressio.",
IF($E270=3,FF270,FE270),
IF($D270="Pénétro.",
IF($E270=4,FF270,FE270))))</f>
        <v>#N/A</v>
      </c>
      <c r="FH270" s="31">
        <v>0</v>
      </c>
      <c r="FI270" s="102" t="e">
        <f>IF(NDC!$H$10="Oui",(VLOOKUP($B$3,'Coeff EC7'!$T$39:$X$59,2,0)*FG270+VLOOKUP($B$3,'Coeff EC7'!$T$65:$X$85,2,0)*Model0.1T!FH270)/1.5,PI()*FE$12*$Q270*($B270-$B269)*0.15/10+FI269)</f>
        <v>#N/A</v>
      </c>
      <c r="FJ270" s="102" t="e">
        <f>(VLOOKUP($B$3,'Coeff EC7'!$T$39:$X$59,3,0)*FG270+VLOOKUP($B$3,'Coeff EC7'!$T$65:$X$85,3,0)*Model0.1T!FH270)/1.1</f>
        <v>#N/A</v>
      </c>
      <c r="FK270" s="102" t="e">
        <f t="shared" si="398"/>
        <v>#N/A</v>
      </c>
      <c r="FL270" s="102" t="e">
        <f t="shared" si="399"/>
        <v>#N/A</v>
      </c>
      <c r="FM270" s="414" t="e">
        <f>IF(AND(FI270&gt;NDC!$C$63,FJ270&gt;NDC!$C$65,FK270&gt;NDC!$D$73,FL270&gt;NDC!$D$74,$B270&gt;NDC!$H$22-0.1+MIN(3*FM$12,1.5)),0,1)</f>
        <v>#N/A</v>
      </c>
    </row>
    <row r="271" spans="1:169">
      <c r="A271" s="96">
        <f t="shared" ref="A271:A334" si="465">A270-0.1</f>
        <v>74.200000000001467</v>
      </c>
      <c r="B271" s="97">
        <v>25.8</v>
      </c>
      <c r="C271" s="81">
        <f>IF(B271&lt;=Hypothèses!$C$7,Hypothèses!$A$7,IF(B271&lt;=Hypothèses!$C$8,Hypothèses!$A$8,IF(B271&lt;=Hypothèses!$C$9,Hypothèses!$A$9,IF(B271&lt;=Hypothèses!$C$10,Hypothèses!$A$10,IF(B271&lt;=Hypothèses!$C$11,Hypothèses!$A$11,IF(B271&lt;=Hypothèses!$C$12,Hypothèses!$A$12,IF(B271&lt;=Hypothèses!$C$13,Hypothèses!$A$13,IF(B271&lt;=Hypothèses!$C$14,Hypothèses!$A$14,IF(B271&lt;=Hypothèses!$C$15,Hypothèses!$A$15,IF(B271&lt;=Hypothèses!$C$16,Hypothèses!$A$16,IF(B271&lt;=Hypothèses!$C$17,Hypothèses!$A$17,IF(B271&lt;=Hypothèses!$C$18,Hypothèses!$A$18,C270))))))))))))</f>
        <v>11</v>
      </c>
      <c r="D271" s="82" t="str">
        <f>IF(B271&lt;=Hypothèses!$C$7,Hypothèses!$R$7,IF(B271&lt;=Hypothèses!$C$8,Hypothèses!$R$8,IF(B271&lt;=Hypothèses!$C$9,Hypothèses!$R$9,IF(B271&lt;=Hypothèses!$C$10,Hypothèses!$R$10,IF(B271&lt;=Hypothèses!$C$11,Hypothèses!$R$11,IF(B271&lt;=Hypothèses!$C$12,Hypothèses!$R$12,IF(B271&lt;=Hypothèses!$C$13,Hypothèses!$R$13,IF(B271&lt;=Hypothèses!$C$14,Hypothèses!$R$14,IF(B271&lt;=Hypothèses!$C$15,Hypothèses!$R$15,IF(B271&lt;=Hypothèses!$C$16,Hypothèses!$R$16,IF(B271&lt;=Hypothèses!$C$17,Hypothèses!$R$17,IF(B271&lt;=Hypothèses!$C$18,Hypothèses!$R$18,D270))))))))))))</f>
        <v>Pressio.</v>
      </c>
      <c r="E271" s="82" t="e">
        <f>IF(B271&lt;=Hypothèses!$C$7,Hypothèses!$G$7,IF(B271&lt;=Hypothèses!$C$8,Hypothèses!$G$8,IF(B271&lt;=Hypothèses!$C$9,Hypothèses!$G$9,IF(B271&lt;=Hypothèses!$C$10,Hypothèses!$G$10,IF(B271&lt;=Hypothèses!$C$11,Hypothèses!$G$11,IF(B271&lt;=Hypothèses!$C$12,Hypothèses!$G$12,IF(B271&lt;=Hypothèses!$C$13,Hypothèses!$G$13,IF(B271&lt;=Hypothèses!$C$14,Hypothèses!$G$14,IF(B271&lt;=Hypothèses!$C$15,Hypothèses!$G$15,IF(B271&lt;=Hypothèses!$C$16,Hypothèses!$G$16,IF(B271&lt;=Hypothèses!$C$17,Hypothèses!$G$17,IF(B271&lt;=Hypothèses!$C$18,Hypothèses!$G$18,E270))))))))))))</f>
        <v>#N/A</v>
      </c>
      <c r="F271" s="82" t="str">
        <f>IF(B271&lt;=Hypothèses!$C$7,Hypothèses!$F$7,IF(B271&lt;=Hypothèses!$C$8,Hypothèses!$F$8,IF(B271&lt;=Hypothèses!$C$9,Hypothèses!$F$9,IF(B271&lt;=Hypothèses!$C$10,Hypothèses!$F$10,IF(B271&lt;=Hypothèses!$C$11,Hypothèses!$F$11,IF(B271&lt;=Hypothèses!$C$12,Hypothèses!$F$12,IF(B271&lt;=Hypothèses!$C$13,Hypothèses!$F$13,IF(B271&lt;=Hypothèses!$C$14,Hypothèses!$F$14,IF(B271&lt;=Hypothèses!$C$15,Hypothèses!$F$15,IF(B271&lt;=Hypothèses!$C$16,Hypothèses!$F$16,IF(B271&lt;=Hypothèses!$C$17,Hypothèses!$F$17,IF(B271&lt;=Hypothèses!$C$18,Hypothèses!$F$18,F270))))))))))))</f>
        <v/>
      </c>
      <c r="G271" s="91">
        <f t="array" ref="G271">INDEX('Coeff EC7'!$U$7:$X$27,
MATCH(Model0.1T!$B$3,'Coeff EC7'!$T$7:$T$27,0),
MATCH(Model0.1T!$D271&amp;Model0.1T!$B$4,
'Coeff EC7'!$U$6:$X$6&amp;
'Coeff EC7'!$U$5:$X$5,0))</f>
        <v>1.4</v>
      </c>
      <c r="H271" s="91">
        <f t="array" ref="H271">INDEX('Coeff EC7'!$Y$7:$AB$27,
MATCH(Model0.1T!$B$3,'Coeff EC7'!$T$7:$T$27,0),
MATCH(Model0.1T!$D271&amp;Model0.1T!$B$4,
'Coeff EC7'!$Y$6:$AB$6&amp;
'Coeff EC7'!$Y$5:$AB$5,0))</f>
        <v>1.7</v>
      </c>
      <c r="I271" s="83">
        <v>0</v>
      </c>
      <c r="J271" s="91" t="e">
        <f t="array" ref="J271">INDEX('Coeff EC7'!$D$33:$Q$33,1,MATCH(D271&amp;E271,'Coeff EC7'!$D$31:$Q$31&amp;'Coeff EC7'!$D$32:$Q$32,0))</f>
        <v>#N/A</v>
      </c>
      <c r="K271" s="91" t="e">
        <f t="array" ref="K271">INDEX('Coeff EC7'!$D$34:$Q$34,1,MATCH(D271&amp;E271,'Coeff EC7'!$D$31:$Q$31&amp;'Coeff EC7'!$D$32:$Q$32,0))</f>
        <v>#N/A</v>
      </c>
      <c r="L271" s="91" t="e">
        <f t="array" ref="L271">INDEX('Coeff EC7'!$D$35:$Q$35,1,MATCH(D271&amp;E271,'Coeff EC7'!$D$31:$Q$31&amp;'Coeff EC7'!$D$32:$Q$32,0))</f>
        <v>#N/A</v>
      </c>
      <c r="M271" s="98" t="e">
        <f t="shared" si="431"/>
        <v>#N/A</v>
      </c>
      <c r="N271" s="99" t="e">
        <f t="array" ref="N271">INDEX('Coeff EC7'!$D$7:$Q$27,MATCH($B$3,'Coeff EC7'!$C$7:$C$27,0),MATCH(D271&amp;E271,'Coeff EC7'!$D$5:$Q$5&amp;'Coeff EC7'!$D$6:$Q$6,0))</f>
        <v>#N/A</v>
      </c>
      <c r="O271" s="99" t="e">
        <f t="array" ref="O271">INDEX('Coeff EC7'!$D$41:$Q$61,MATCH($B$3,'Coeff EC7'!$C$41:$C$61,0),MATCH(D271&amp;E271,'Coeff EC7'!$D$39:$Q$39&amp;'Coeff EC7'!$D$40:$Q$40,0))</f>
        <v>#N/A</v>
      </c>
      <c r="P271" s="30" t="e">
        <f t="shared" ref="P271:P334" si="466">N271*M271*1000</f>
        <v>#N/A</v>
      </c>
      <c r="Q271" s="100" t="e">
        <f t="shared" si="433"/>
        <v>#N/A</v>
      </c>
      <c r="R271" s="86" t="b">
        <f t="shared" si="434"/>
        <v>0</v>
      </c>
      <c r="S271" s="86">
        <f t="shared" si="432"/>
        <v>0.5</v>
      </c>
      <c r="T271" s="86">
        <f t="shared" si="435"/>
        <v>0.5</v>
      </c>
      <c r="U271" s="30" t="e">
        <f t="shared" ref="U271:U334" ca="1" si="467">AVERAGE(OFFSET($F271, -10*T271, 0,10*T271, 1), OFFSET($F271, 1, 0, 30*S271, 1))</f>
        <v>#DIV/0!</v>
      </c>
      <c r="V271" s="85" t="str">
        <f>IF(B271&lt;=Hypothèses!$V$7,Hypothèses!$W$7,IF(B271&lt;=Hypothèses!$V$8,Hypothèses!$W$8,IF(B271&lt;=Hypothèses!$V$9,Hypothèses!$W$9,IF(B271&lt;=Hypothèses!$V$10,Hypothèses!$W$10,IF(B271&lt;=Hypothèses!$V$11,Hypothèses!$W$11,IF(B271&lt;=Hypothèses!$V$12,Hypothèses!$W$12,IF(B271&lt;=Hypothèses!$V$13,Hypothèses!$W$13,IF(B271&lt;=Hypothèses!$V$14,Hypothèses!$W$14,IF(B271&lt;=Hypothèses!$V$15,Hypothèses!$W$15,IF(B271&lt;=Hypothèses!$V$16,Hypothèses!$W$16,IF(B271&lt;=Hypothèses!$V$17,Hypothèses!$W$17,IF(B271&lt;=Hypothèses!$V$18,Hypothèses!$W$18,""))))))))))))</f>
        <v/>
      </c>
      <c r="W271" s="87" t="e">
        <f t="shared" ca="1" si="416"/>
        <v>#DIV/0!</v>
      </c>
      <c r="X271" s="88" t="str">
        <f>IF(B271&lt;=Hypothèses!$V$7,Hypothèses!$X$7,IF(B271&lt;=Hypothèses!$V$8,Hypothèses!$X$8,IF(B271&lt;=Hypothèses!$V$9,Hypothèses!$X$9,IF(B271&lt;=Hypothèses!$V$10,Hypothèses!$X$10,IF(B271&lt;=Hypothèses!$V$11,Hypothèses!$X$11,IF(B271&lt;=Hypothèses!$V$12,Hypothèses!$X$12,IF(B271&lt;=Hypothèses!$V$13,Hypothèses!$X$13,IF(B271&lt;=Hypothèses!$V$14,Hypothèses!$X$14,IF(B271&lt;=Hypothèses!$V$15,Hypothèses!$X$15,IF(B271&lt;=Hypothèses!$V$16,Hypothèses!$X$16,IF(B271&lt;=Hypothèses!$U$17,Hypothèses!$W$17,IF(B271&lt;=Hypothèses!$U$18,Hypothèses!$W$18,""))))))))))))</f>
        <v/>
      </c>
      <c r="Y271" s="95" t="e">
        <f t="shared" ca="1" si="436"/>
        <v>#DIV/0!</v>
      </c>
      <c r="Z271" s="101">
        <f t="shared" si="437"/>
        <v>0</v>
      </c>
      <c r="AA271" s="91">
        <f t="shared" si="438"/>
        <v>0</v>
      </c>
      <c r="AB271" s="30" t="e">
        <f t="shared" si="400"/>
        <v>#N/A</v>
      </c>
      <c r="AC271" s="30" t="e">
        <f t="shared" si="401"/>
        <v>#N/A</v>
      </c>
      <c r="AD271" s="31" t="e">
        <f>IF(OR(Hypothèses!$B$4=17,Hypothèses!$B$4=18,Hypothèses!$B$4=19,Hypothèses!$B$4=20),
IF($D271="Pressio.",
IF(OR($E271=3,$E271=1,$E271=4),AC271,AB271),
IF($D271="Pénétro.",
IF(OR($E271=3,$E271=1,$E271=4),AC271,AB271))),IF($D271="Pressio.",
IF($E271=3,AC271,AB271),
IF($D271="Pénétro.",
IF($E271=4,AC271,AB271))))</f>
        <v>#N/A</v>
      </c>
      <c r="AE271" s="31">
        <v>0</v>
      </c>
      <c r="AF271" s="102" t="e">
        <f>IF(NDC!$H$10="Oui",(VLOOKUP($B$3,'Coeff EC7'!$T$39:$X$59,2,0)*AD271+VLOOKUP($B$3,'Coeff EC7'!$T$65:$X$85,2,0)*Model0.1T!AE271)/1.5,PI()*AB$12*$Q271*($B271-$B270)*0.15/10+AF270)</f>
        <v>#N/A</v>
      </c>
      <c r="AG271" s="102" t="e">
        <f>(VLOOKUP($B$3,'Coeff EC7'!$T$39:$X$59,3,0)*AD271+VLOOKUP($B$3,'Coeff EC7'!$T$65:$X$85,3,0)*Model0.1T!AE271)/1.1</f>
        <v>#N/A</v>
      </c>
      <c r="AH271" s="102" t="e">
        <f t="shared" ref="AH271:AH334" si="468">AD271/1.15+AE271/1.15</f>
        <v>#N/A</v>
      </c>
      <c r="AI271" s="102" t="e">
        <f t="shared" ref="AI271:AI334" si="469">(AD271+AE271)/1.05</f>
        <v>#N/A</v>
      </c>
      <c r="AJ271" s="414" t="e">
        <f>IF(AND(AF271&gt;NDC!$C$63,AG271&gt;NDC!$C$65,AH271&gt;NDC!$D$73,AI271&gt;NDC!$D$74,$B271&gt;NDC!$H$22-0.1+MIN(3*$AJ$12,1.5)),0,1)</f>
        <v>#N/A</v>
      </c>
      <c r="AK271" s="86" t="b">
        <f t="shared" si="439"/>
        <v>0</v>
      </c>
      <c r="AL271" s="86">
        <f t="shared" ref="AL271:AL334" si="470">MAX($AY$12/2,0.5)</f>
        <v>0.5</v>
      </c>
      <c r="AM271" s="86">
        <f t="shared" si="440"/>
        <v>0.5</v>
      </c>
      <c r="AN271" s="30" t="e">
        <f t="shared" ref="AN271:AN334" ca="1" si="471">AVERAGE(OFFSET($F271, -10*AM271, 0,10*AM271, 1), OFFSET($F271, 1, 0, 30*AL271, 1))</f>
        <v>#DIV/0!</v>
      </c>
      <c r="AO271" s="85" t="e">
        <f ca="1">IF(U271&lt;=Hypothèses!$V$7,Hypothèses!$W$7,IF(U271&lt;=Hypothèses!$V$8,Hypothèses!$W$8,IF(U271&lt;=Hypothèses!$V$9,Hypothèses!$W$9,IF(U271&lt;=Hypothèses!$V$10,Hypothèses!$W$10,IF(U271&lt;=Hypothèses!$V$11,Hypothèses!$W$11,IF(U271&lt;=Hypothèses!$V$12,Hypothèses!$W$12,IF(U271&lt;=Hypothèses!$V$13,Hypothèses!$W$13,IF(U271&lt;=Hypothèses!$V$14,Hypothèses!$W$14,IF(U271&lt;=Hypothèses!$V$15,Hypothèses!$W$15,IF(U271&lt;=Hypothèses!$V$16,Hypothèses!$W$16,IF(U271&lt;=Hypothèses!$V$17,Hypothèses!$W$17,IF(U271&lt;=Hypothèses!$V$18,Hypothèses!$W$18,""))))))))))))</f>
        <v>#DIV/0!</v>
      </c>
      <c r="AP271" s="87" t="e">
        <f t="shared" ca="1" si="417"/>
        <v>#DIV/0!</v>
      </c>
      <c r="AQ271" s="88" t="e">
        <f ca="1">IF(U271&lt;=Hypothèses!$V$7,Hypothèses!$X$7,IF(U271&lt;=Hypothèses!$V$8,Hypothèses!$X$8,IF(U271&lt;=Hypothèses!$V$9,Hypothèses!$X$9,IF(U271&lt;=Hypothèses!$V$10,Hypothèses!$X$10,IF(U271&lt;=Hypothèses!$V$11,Hypothèses!$X$11,IF(U271&lt;=Hypothèses!$V$12,Hypothèses!$X$12,IF(U271&lt;=Hypothèses!$V$13,Hypothèses!$X$13,IF(U271&lt;=Hypothèses!$V$14,Hypothèses!$X$14,IF(U271&lt;=Hypothèses!$V$15,Hypothèses!$X$15,IF(U271&lt;=Hypothèses!$V$16,Hypothèses!$X$16,IF(U271&lt;=Hypothèses!$U$17,Hypothèses!$W$17,IF(U271&lt;=Hypothèses!$U$18,Hypothèses!$W$18,""))))))))))))</f>
        <v>#DIV/0!</v>
      </c>
      <c r="AR271" s="95" t="e">
        <f t="shared" ref="AR271:AR334" ca="1" si="472">IF($B271&lt;10*$BB$12,0.1/AP271*SUM(OFFSET(F271,-10*$B271+1,0,10*$B271,1)),0.1/AP271*SUM(OFFSET(F271,-100*$BB$12+1,0,100*$BB$12,1)))</f>
        <v>#DIV/0!</v>
      </c>
      <c r="AS271" s="101">
        <f t="shared" si="424"/>
        <v>0</v>
      </c>
      <c r="AT271" s="91">
        <f t="shared" si="441"/>
        <v>0</v>
      </c>
      <c r="AU271" s="30" t="e">
        <f t="shared" si="402"/>
        <v>#N/A</v>
      </c>
      <c r="AV271" s="30" t="e">
        <f t="shared" si="403"/>
        <v>#N/A</v>
      </c>
      <c r="AW271" s="31" t="e">
        <f>IF(OR(Hypothèses!$B$4=17,Hypothèses!$B$4=18,Hypothèses!$B$4=19,Hypothèses!$B$4=20),
IF($D271="Pressio.",
IF(OR($E271=3,$E271=1,$E271=4),AV271,AU271),
IF($D271="Pénétro.",
IF(OR($E271=3,$E271=1,$E271=4),AV271,AU271))),IF($D271="Pressio.",
IF($E271=3,AV271,AU271),
IF($D271="Pénétro.",
IF($E271=4,AV271,AU271))))</f>
        <v>#N/A</v>
      </c>
      <c r="AX271" s="31">
        <v>0</v>
      </c>
      <c r="AY271" s="102" t="e">
        <f>IF(NDC!$H$10="Oui",(VLOOKUP($B$3,'Coeff EC7'!$T$39:$X$59,2,0)*AW271+VLOOKUP($B$3,'Coeff EC7'!$T$65:$X$85,2,0)*Model0.1T!AX271)/1.5,PI()*AU$12*$Q271*($B271-$B270)*0.15/10+AY270)</f>
        <v>#N/A</v>
      </c>
      <c r="AZ271" s="102" t="e">
        <f>(VLOOKUP($B$3,'Coeff EC7'!$T$39:$X$59,3,0)*AW271+VLOOKUP($B$3,'Coeff EC7'!$T$65:$X$85,3,0)*Model0.1T!AX271)/1.1</f>
        <v>#N/A</v>
      </c>
      <c r="BA271" s="102" t="e">
        <f t="shared" ref="BA271:BA334" si="473">AW271/1.15+AX271/1.15</f>
        <v>#N/A</v>
      </c>
      <c r="BB271" s="102" t="e">
        <f t="shared" ref="BB271:BB334" si="474">(AW271+AX271)/1.05</f>
        <v>#N/A</v>
      </c>
      <c r="BC271" s="414" t="e">
        <f>IF(AND(AY271&gt;NDC!$C$63,AZ271&gt;NDC!$C$65,BA271&gt;NDC!$D$73,BB271&gt;NDC!$D$74,$B271&gt;NDC!$H$22-0.1+MIN(3*BC$12,1.5)),0,1)</f>
        <v>#N/A</v>
      </c>
      <c r="BD271" s="86" t="b">
        <f t="shared" si="442"/>
        <v>0</v>
      </c>
      <c r="BE271" s="86">
        <f t="shared" ref="BE271:BE334" si="475">MAX($BR$12/2,0.5)</f>
        <v>0.5</v>
      </c>
      <c r="BF271" s="86">
        <f t="shared" si="443"/>
        <v>0.5</v>
      </c>
      <c r="BG271" s="30" t="e">
        <f t="shared" ref="BG271:BG334" ca="1" si="476">AVERAGE(OFFSET($F271, -10*BF271, 0,10*BF271, 1), OFFSET($F271, 1, 0, 30*BE271, 1))</f>
        <v>#DIV/0!</v>
      </c>
      <c r="BH271" s="85" t="e">
        <f ca="1">IF(AN271&lt;=Hypothèses!$V$7,Hypothèses!$W$7,IF(AN271&lt;=Hypothèses!$V$8,Hypothèses!$W$8,IF(AN271&lt;=Hypothèses!$V$9,Hypothèses!$W$9,IF(AN271&lt;=Hypothèses!$V$10,Hypothèses!$W$10,IF(AN271&lt;=Hypothèses!$V$11,Hypothèses!$W$11,IF(AN271&lt;=Hypothèses!$V$12,Hypothèses!$W$12,IF(AN271&lt;=Hypothèses!$V$13,Hypothèses!$W$13,IF(AN271&lt;=Hypothèses!$V$14,Hypothèses!$W$14,IF(AN271&lt;=Hypothèses!$V$15,Hypothèses!$W$15,IF(AN271&lt;=Hypothèses!$V$16,Hypothèses!$W$16,IF(AN271&lt;=Hypothèses!$V$17,Hypothèses!$W$17,IF(AN271&lt;=Hypothèses!$V$18,Hypothèses!$W$18,""))))))))))))</f>
        <v>#DIV/0!</v>
      </c>
      <c r="BI271" s="87" t="e">
        <f t="shared" ca="1" si="418"/>
        <v>#DIV/0!</v>
      </c>
      <c r="BJ271" s="88" t="e">
        <f ca="1">IF(AN271&lt;=Hypothèses!$V$7,Hypothèses!$X$7,IF(AN271&lt;=Hypothèses!$V$8,Hypothèses!$X$8,IF(AN271&lt;=Hypothèses!$V$9,Hypothèses!$X$9,IF(AN271&lt;=Hypothèses!$V$10,Hypothèses!$X$10,IF(AN271&lt;=Hypothèses!$V$11,Hypothèses!$X$11,IF(AN271&lt;=Hypothèses!$V$12,Hypothèses!$X$12,IF(AN271&lt;=Hypothèses!$V$13,Hypothèses!$X$13,IF(AN271&lt;=Hypothèses!$V$14,Hypothèses!$X$14,IF(AN271&lt;=Hypothèses!$V$15,Hypothèses!$X$15,IF(AN271&lt;=Hypothèses!$V$16,Hypothèses!$X$16,IF(AN271&lt;=Hypothèses!$U$17,Hypothèses!$W$17,IF(AN271&lt;=Hypothèses!$U$18,Hypothèses!$W$18,""))))))))))))</f>
        <v>#DIV/0!</v>
      </c>
      <c r="BK271" s="95" t="e">
        <f t="shared" ref="BK271:BK334" ca="1" si="477">IF($B271&lt;10*$BU$12,0.1/BI271*SUM(OFFSET(F271,-10*$B271+1,0,10*$B271,1)),0.1/BI271*SUM(OFFSET(F271,-100*$BU$12+1,0,100*$BU$12,1)))</f>
        <v>#DIV/0!</v>
      </c>
      <c r="BL271" s="101">
        <f t="shared" si="425"/>
        <v>0</v>
      </c>
      <c r="BM271" s="91">
        <f t="shared" si="444"/>
        <v>0</v>
      </c>
      <c r="BN271" s="30" t="e">
        <f t="shared" si="404"/>
        <v>#N/A</v>
      </c>
      <c r="BO271" s="30" t="e">
        <f t="shared" si="405"/>
        <v>#N/A</v>
      </c>
      <c r="BP271" s="31" t="e">
        <f>IF(OR(Hypothèses!$B$4=17,Hypothèses!$B$4=18,Hypothèses!$B$4=19,Hypothèses!$B$4=20),
IF($D271="Pressio.",
IF(OR($E271=3,$E271=1,$E271=4),BO271,BN271),
IF($D271="Pénétro.",
IF(OR($E271=3,$E271=1,$E271=4),BO271,BN271))),IF($D271="Pressio.",
IF($E271=3,BO271,BN271),
IF($D271="Pénétro.",
IF($E271=4,BO271,BN271))))</f>
        <v>#N/A</v>
      </c>
      <c r="BQ271" s="31">
        <v>0</v>
      </c>
      <c r="BR271" s="102" t="e">
        <f>IF(NDC!$H$10="Oui",(VLOOKUP($B$3,'Coeff EC7'!$T$39:$X$59,2,0)*BP271+VLOOKUP($B$3,'Coeff EC7'!$T$65:$X$85,2,0)*Model0.1T!BQ271)/1.5,PI()*BN$12*$Q271*($B271-$B270)*0.15/10+BR270)</f>
        <v>#N/A</v>
      </c>
      <c r="BS271" s="102" t="e">
        <f>(VLOOKUP($B$3,'Coeff EC7'!$T$39:$X$59,3,0)*BP271+VLOOKUP($B$3,'Coeff EC7'!$T$65:$X$85,3,0)*Model0.1T!BQ271)/1.1</f>
        <v>#N/A</v>
      </c>
      <c r="BT271" s="102" t="e">
        <f t="shared" ref="BT271:BT334" si="478">BP271/1.15+BQ271/1.15</f>
        <v>#N/A</v>
      </c>
      <c r="BU271" s="102" t="e">
        <f t="shared" ref="BU271:BU334" si="479">(BP271+BQ271)/1.05</f>
        <v>#N/A</v>
      </c>
      <c r="BV271" s="414" t="e">
        <f>IF(AND(BR271&gt;NDC!$C$63,BS271&gt;NDC!$C$65,BT271&gt;NDC!$D$73,BU271&gt;NDC!$D$74,$B271&gt;NDC!$H$22-0.1+MIN(3*BV$12,1.5)),0,1)</f>
        <v>#N/A</v>
      </c>
      <c r="BW271" s="86" t="b">
        <f t="shared" si="445"/>
        <v>0</v>
      </c>
      <c r="BX271" s="86">
        <f t="shared" si="446"/>
        <v>0.5</v>
      </c>
      <c r="BY271" s="86">
        <f t="shared" si="447"/>
        <v>0.5</v>
      </c>
      <c r="BZ271" s="30" t="e">
        <f t="shared" ref="BZ271:BZ334" ca="1" si="480">AVERAGE(OFFSET($F271, -10*BY271, 0,10*BY271, 1), OFFSET($F271, 1, 0, 30*BX271, 1))</f>
        <v>#DIV/0!</v>
      </c>
      <c r="CA271" s="85" t="e">
        <f ca="1">IF(BG271&lt;=Hypothèses!$V$7,Hypothèses!$W$7,IF(BG271&lt;=Hypothèses!$V$8,Hypothèses!$W$8,IF(BG271&lt;=Hypothèses!$V$9,Hypothèses!$W$9,IF(BG271&lt;=Hypothèses!$V$10,Hypothèses!$W$10,IF(BG271&lt;=Hypothèses!$V$11,Hypothèses!$W$11,IF(BG271&lt;=Hypothèses!$V$12,Hypothèses!$W$12,IF(BG271&lt;=Hypothèses!$V$13,Hypothèses!$W$13,IF(BG271&lt;=Hypothèses!$V$14,Hypothèses!$W$14,IF(BG271&lt;=Hypothèses!$V$15,Hypothèses!$W$15,IF(BG271&lt;=Hypothèses!$V$16,Hypothèses!$W$16,IF(BG271&lt;=Hypothèses!$V$17,Hypothèses!$W$17,IF(BG271&lt;=Hypothèses!$V$18,Hypothèses!$W$18,""))))))))))))</f>
        <v>#DIV/0!</v>
      </c>
      <c r="CB271" s="87" t="e">
        <f t="shared" ca="1" si="419"/>
        <v>#DIV/0!</v>
      </c>
      <c r="CC271" s="88" t="e">
        <f ca="1">IF(BG271&lt;=Hypothèses!$V$7,Hypothèses!$X$7,IF(BG271&lt;=Hypothèses!$V$8,Hypothèses!$X$8,IF(BG271&lt;=Hypothèses!$V$9,Hypothèses!$X$9,IF(BG271&lt;=Hypothèses!$V$10,Hypothèses!$X$10,IF(BG271&lt;=Hypothèses!$V$11,Hypothèses!$X$11,IF(BG271&lt;=Hypothèses!$V$12,Hypothèses!$X$12,IF(BG271&lt;=Hypothèses!$V$13,Hypothèses!$X$13,IF(BG271&lt;=Hypothèses!$V$14,Hypothèses!$X$14,IF(BG271&lt;=Hypothèses!$V$15,Hypothèses!$X$15,IF(BG271&lt;=Hypothèses!$V$16,Hypothèses!$X$16,IF(BG271&lt;=Hypothèses!$U$17,Hypothèses!$W$17,IF(BG271&lt;=Hypothèses!$U$18,Hypothèses!$W$18,""))))))))))))</f>
        <v>#DIV/0!</v>
      </c>
      <c r="CD271" s="95" t="e">
        <f t="shared" ref="CD271:CD334" ca="1" si="481">IF($B271&lt;10*$CN$12,0.1/CB271*SUM(OFFSET(F271,-10*$B271+1,0,10*$B271,1)),0.1/CB271*SUM(OFFSET(F271,-100*$CN$12+1,0,100*$CN$12,1)))</f>
        <v>#DIV/0!</v>
      </c>
      <c r="CE271" s="101">
        <f t="shared" si="426"/>
        <v>0</v>
      </c>
      <c r="CF271" s="91">
        <f t="shared" si="448"/>
        <v>0</v>
      </c>
      <c r="CG271" s="30" t="e">
        <f t="shared" si="406"/>
        <v>#N/A</v>
      </c>
      <c r="CH271" s="30" t="e">
        <f t="shared" si="407"/>
        <v>#N/A</v>
      </c>
      <c r="CI271" s="31" t="e">
        <f>IF(OR(Hypothèses!$B$4=17,Hypothèses!$B$4=18,Hypothèses!$B$4=19,Hypothèses!$B$4=20),
IF($D271="Pressio.",
IF(OR($E271=3,$E271=1,$E271=4),CH271,CG271),
IF($D271="Pénétro.",
IF(OR($E271=3,$E271=1,$E271=4),CH271,CG271))),IF($D271="Pressio.",
IF($E271=3,CH271,CG271),
IF($D271="Pénétro.",
IF($E271=4,CH271,CG271))))</f>
        <v>#N/A</v>
      </c>
      <c r="CJ271" s="31">
        <v>0</v>
      </c>
      <c r="CK271" s="102" t="e">
        <f>IF(NDC!$H$10="Oui",(VLOOKUP($B$3,'Coeff EC7'!$T$39:$X$59,2,0)*CI271+VLOOKUP($B$3,'Coeff EC7'!$T$65:$X$85,2,0)*Model0.1T!CJ271)/1.5,PI()*CG$12*$Q271*($B271-$B270)*0.15/10+CK270)</f>
        <v>#N/A</v>
      </c>
      <c r="CL271" s="102" t="e">
        <f>(VLOOKUP($B$3,'Coeff EC7'!$T$39:$X$59,3,0)*CI271+VLOOKUP($B$3,'Coeff EC7'!$T$65:$X$85,3,0)*Model0.1T!CJ271)/1.1</f>
        <v>#N/A</v>
      </c>
      <c r="CM271" s="102" t="e">
        <f t="shared" ref="CM271:CM334" si="482">CI271/1.15+CJ271/1.15</f>
        <v>#N/A</v>
      </c>
      <c r="CN271" s="102" t="e">
        <f t="shared" ref="CN271:CN334" si="483">(CI271+CJ271)/1.05</f>
        <v>#N/A</v>
      </c>
      <c r="CO271" s="414" t="e">
        <f>IF(AND(CK271&gt;NDC!$C$63,CL271&gt;NDC!$C$65,CM271&gt;NDC!$D$73,CN271&gt;NDC!$D$74,$B271&gt;NDC!$H$22-0.1+MIN(3*CO$12,1.5)),0,1)</f>
        <v>#N/A</v>
      </c>
      <c r="CP271" s="86" t="b">
        <f t="shared" si="449"/>
        <v>0</v>
      </c>
      <c r="CQ271" s="86">
        <f t="shared" si="450"/>
        <v>0.5</v>
      </c>
      <c r="CR271" s="86">
        <f t="shared" si="451"/>
        <v>0.5</v>
      </c>
      <c r="CS271" s="30" t="e">
        <f t="shared" ref="CS271:CS334" ca="1" si="484">AVERAGE(OFFSET($F271, -10*CR271, 0,10*CR271, 1), OFFSET($F271, 1, 0, 30*CQ271, 1))</f>
        <v>#DIV/0!</v>
      </c>
      <c r="CT271" s="85" t="e">
        <f ca="1">IF(BZ271&lt;=Hypothèses!$V$7,Hypothèses!$W$7,IF(BZ271&lt;=Hypothèses!$V$8,Hypothèses!$W$8,IF(BZ271&lt;=Hypothèses!$V$9,Hypothèses!$W$9,IF(BZ271&lt;=Hypothèses!$V$10,Hypothèses!$W$10,IF(BZ271&lt;=Hypothèses!$V$11,Hypothèses!$W$11,IF(BZ271&lt;=Hypothèses!$V$12,Hypothèses!$W$12,IF(BZ271&lt;=Hypothèses!$V$13,Hypothèses!$W$13,IF(BZ271&lt;=Hypothèses!$V$14,Hypothèses!$W$14,IF(BZ271&lt;=Hypothèses!$V$15,Hypothèses!$W$15,IF(BZ271&lt;=Hypothèses!$V$16,Hypothèses!$W$16,IF(BZ271&lt;=Hypothèses!$V$17,Hypothèses!$W$17,IF(BZ271&lt;=Hypothèses!$V$18,Hypothèses!$W$18,""))))))))))))</f>
        <v>#DIV/0!</v>
      </c>
      <c r="CU271" s="87" t="e">
        <f t="shared" ca="1" si="420"/>
        <v>#DIV/0!</v>
      </c>
      <c r="CV271" s="88" t="e">
        <f ca="1">IF(BZ271&lt;=Hypothèses!$V$7,Hypothèses!$X$7,IF(BZ271&lt;=Hypothèses!$V$8,Hypothèses!$X$8,IF(BZ271&lt;=Hypothèses!$V$9,Hypothèses!$X$9,IF(BZ271&lt;=Hypothèses!$V$10,Hypothèses!$X$10,IF(BZ271&lt;=Hypothèses!$V$11,Hypothèses!$X$11,IF(BZ271&lt;=Hypothèses!$V$12,Hypothèses!$X$12,IF(BZ271&lt;=Hypothèses!$V$13,Hypothèses!$X$13,IF(BZ271&lt;=Hypothèses!$V$14,Hypothèses!$X$14,IF(BZ271&lt;=Hypothèses!$V$15,Hypothèses!$X$15,IF(BZ271&lt;=Hypothèses!$V$16,Hypothèses!$X$16,IF(BZ271&lt;=Hypothèses!$U$17,Hypothèses!$W$17,IF(BZ271&lt;=Hypothèses!$U$18,Hypothèses!$W$18,""))))))))))))</f>
        <v>#DIV/0!</v>
      </c>
      <c r="CW271" s="95" t="e">
        <f t="shared" ref="CW271:CW334" ca="1" si="485">IF($B271&lt;10*$DG$12,0.1/CU271*SUM(OFFSET(F271,-10*$B271+1,0,10*$B271,1)),0.1/CU271*SUM(OFFSET(F271,-100*$DG$12+1,0,100*$DG$12,1)))</f>
        <v>#DIV/0!</v>
      </c>
      <c r="CX271" s="101">
        <f t="shared" si="427"/>
        <v>0</v>
      </c>
      <c r="CY271" s="91">
        <f t="shared" si="452"/>
        <v>0</v>
      </c>
      <c r="CZ271" s="30" t="e">
        <f t="shared" si="408"/>
        <v>#N/A</v>
      </c>
      <c r="DA271" s="30" t="e">
        <f t="shared" si="409"/>
        <v>#N/A</v>
      </c>
      <c r="DB271" s="31" t="e">
        <f>IF(OR(Hypothèses!$B$4=17,Hypothèses!$B$4=18,Hypothèses!$B$4=19,Hypothèses!$B$4=20),
IF($D271="Pressio.",
IF(OR($E271=3,$E271=1,$E271=4),DA271,CZ271),
IF($D271="Pénétro.",
IF(OR($E271=3,$E271=1,$E271=4),DA271,CZ271))),IF($D271="Pressio.",
IF($E271=3,DA271,CZ271),
IF($D271="Pénétro.",
IF($E271=4,DA271,CZ271))))</f>
        <v>#N/A</v>
      </c>
      <c r="DC271" s="31">
        <v>0</v>
      </c>
      <c r="DD271" s="102" t="e">
        <f>IF(NDC!$H$10="Oui",(VLOOKUP($B$3,'Coeff EC7'!$T$39:$X$59,2,0)*DB271+VLOOKUP($B$3,'Coeff EC7'!$T$65:$X$85,2,0)*Model0.1T!DC271)/1.5,PI()*CZ$12*$Q271*($B271-$B270)*0.15/10+DD270)</f>
        <v>#N/A</v>
      </c>
      <c r="DE271" s="102" t="e">
        <f>(VLOOKUP($B$3,'Coeff EC7'!$T$39:$X$59,3,0)*DB271+VLOOKUP($B$3,'Coeff EC7'!$T$65:$X$85,3,0)*Model0.1T!DC271)/1.1</f>
        <v>#N/A</v>
      </c>
      <c r="DF271" s="102" t="e">
        <f t="shared" ref="DF271:DF334" si="486">DB271/1.15+DC271/1.15</f>
        <v>#N/A</v>
      </c>
      <c r="DG271" s="102" t="e">
        <f t="shared" ref="DG271:DG334" si="487">(DB271+DC271)/1.05</f>
        <v>#N/A</v>
      </c>
      <c r="DH271" s="414" t="e">
        <f>IF(AND(DD271&gt;NDC!$C$63,DE271&gt;NDC!$C$65,DF271&gt;NDC!$D$73,DG271&gt;NDC!$D$74,$B271&gt;NDC!$H$22-0.1+MIN(3*DH$12,1.5)),0,1)</f>
        <v>#N/A</v>
      </c>
      <c r="DI271" s="86" t="b">
        <f t="shared" si="453"/>
        <v>0</v>
      </c>
      <c r="DJ271" s="86">
        <f t="shared" si="454"/>
        <v>0.5</v>
      </c>
      <c r="DK271" s="86">
        <f t="shared" si="455"/>
        <v>0.5</v>
      </c>
      <c r="DL271" s="30" t="e">
        <f t="shared" ref="DL271:DL334" ca="1" si="488">AVERAGE(OFFSET($F271, -10*DK271, 0,10*DK271, 1), OFFSET($F271, 1, 0, 30*DJ271, 1))</f>
        <v>#DIV/0!</v>
      </c>
      <c r="DM271" s="85" t="e">
        <f ca="1">IF(CS271&lt;=Hypothèses!$V$7,Hypothèses!$W$7,IF(CS271&lt;=Hypothèses!$V$8,Hypothèses!$W$8,IF(CS271&lt;=Hypothèses!$V$9,Hypothèses!$W$9,IF(CS271&lt;=Hypothèses!$V$10,Hypothèses!$W$10,IF(CS271&lt;=Hypothèses!$V$11,Hypothèses!$W$11,IF(CS271&lt;=Hypothèses!$V$12,Hypothèses!$W$12,IF(CS271&lt;=Hypothèses!$V$13,Hypothèses!$W$13,IF(CS271&lt;=Hypothèses!$V$14,Hypothèses!$W$14,IF(CS271&lt;=Hypothèses!$V$15,Hypothèses!$W$15,IF(CS271&lt;=Hypothèses!$V$16,Hypothèses!$W$16,IF(CS271&lt;=Hypothèses!$V$17,Hypothèses!$W$17,IF(CS271&lt;=Hypothèses!$V$18,Hypothèses!$W$18,""))))))))))))</f>
        <v>#DIV/0!</v>
      </c>
      <c r="DN271" s="87" t="e">
        <f t="shared" ca="1" si="421"/>
        <v>#DIV/0!</v>
      </c>
      <c r="DO271" s="88" t="e">
        <f ca="1">IF(CS271&lt;=Hypothèses!$V$7,Hypothèses!$X$7,IF(CS271&lt;=Hypothèses!$V$8,Hypothèses!$X$8,IF(CS271&lt;=Hypothèses!$V$9,Hypothèses!$X$9,IF(CS271&lt;=Hypothèses!$V$10,Hypothèses!$X$10,IF(CS271&lt;=Hypothèses!$V$11,Hypothèses!$X$11,IF(CS271&lt;=Hypothèses!$V$12,Hypothèses!$X$12,IF(CS271&lt;=Hypothèses!$V$13,Hypothèses!$X$13,IF(CS271&lt;=Hypothèses!$V$14,Hypothèses!$X$14,IF(CS271&lt;=Hypothèses!$V$15,Hypothèses!$X$15,IF(CS271&lt;=Hypothèses!$V$16,Hypothèses!$X$16,IF(CS271&lt;=Hypothèses!$U$17,Hypothèses!$W$17,IF(CS271&lt;=Hypothèses!$U$18,Hypothèses!$W$18,""))))))))))))</f>
        <v>#DIV/0!</v>
      </c>
      <c r="DP271" s="95" t="e">
        <f t="shared" ref="DP271:DP334" ca="1" si="489">IF($B271&lt;10*$DZ$12,0.1/DN271*SUM(OFFSET(F271,-10*$B271+1,0,10*$B271,1)),0.1/DN271*SUM(OFFSET(F271,-100*$DZ$12+1,0,100*$DZ$12,1)))</f>
        <v>#DIV/0!</v>
      </c>
      <c r="DQ271" s="101">
        <f t="shared" si="428"/>
        <v>0</v>
      </c>
      <c r="DR271" s="91">
        <f t="shared" si="456"/>
        <v>0</v>
      </c>
      <c r="DS271" s="30" t="e">
        <f t="shared" si="410"/>
        <v>#N/A</v>
      </c>
      <c r="DT271" s="30" t="e">
        <f t="shared" si="411"/>
        <v>#N/A</v>
      </c>
      <c r="DU271" s="31" t="e">
        <f>IF(OR(Hypothèses!$B$4=17,Hypothèses!$B$4=18,Hypothèses!$B$4=19,Hypothèses!$B$4=20),
IF($D271="Pressio.",
IF(OR($E271=3,$E271=1,$E271=4),DT271,DS271),
IF($D271="Pénétro.",
IF(OR($E271=3,$E271=1,$E271=4),DT271,DS271))),IF($D271="Pressio.",
IF($E271=3,DT271,DS271),
IF($D271="Pénétro.",
IF($E271=4,DT271,DS271))))</f>
        <v>#N/A</v>
      </c>
      <c r="DV271" s="31">
        <v>0</v>
      </c>
      <c r="DW271" s="102" t="e">
        <f>IF(NDC!$H$10="Oui",(VLOOKUP($B$3,'Coeff EC7'!$T$39:$X$59,2,0)*DU271+VLOOKUP($B$3,'Coeff EC7'!$T$65:$X$85,2,0)*Model0.1T!DV271)/1.5,PI()*DS$12*$Q271*($B271-$B270)*0.15/10+DW270)</f>
        <v>#N/A</v>
      </c>
      <c r="DX271" s="102" t="e">
        <f>(VLOOKUP($B$3,'Coeff EC7'!$T$39:$X$59,3,0)*DU271+VLOOKUP($B$3,'Coeff EC7'!$T$65:$X$85,3,0)*Model0.1T!DV271)/1.1</f>
        <v>#N/A</v>
      </c>
      <c r="DY271" s="102" t="e">
        <f t="shared" ref="DY271:DY334" si="490">DU271/1.15+DV271/1.15</f>
        <v>#N/A</v>
      </c>
      <c r="DZ271" s="102" t="e">
        <f t="shared" ref="DZ271:DZ334" si="491">(DU271+DV271)/1.05</f>
        <v>#N/A</v>
      </c>
      <c r="EA271" s="414" t="e">
        <f>IF(AND(DW271&gt;NDC!$C$63,DX271&gt;NDC!$C$65,DY271&gt;NDC!$D$73,DZ271&gt;NDC!$D$74,$B271&gt;NDC!$H$22-0.1+MIN(3*EA$12,1.5)),0,1)</f>
        <v>#N/A</v>
      </c>
      <c r="EB271" s="86" t="b">
        <f t="shared" si="457"/>
        <v>0</v>
      </c>
      <c r="EC271" s="418">
        <f t="shared" si="458"/>
        <v>0.51</v>
      </c>
      <c r="ED271" s="86">
        <f t="shared" si="459"/>
        <v>0.51</v>
      </c>
      <c r="EE271" s="30" t="e">
        <f t="shared" ref="EE271:EE334" ca="1" si="492">AVERAGE(OFFSET($F271, -10*ED271, 0,10*ED271, 1), OFFSET($F271, 1, 0, 30*EC271, 1))</f>
        <v>#DIV/0!</v>
      </c>
      <c r="EF271" s="85" t="e">
        <f ca="1">IF(DL271&lt;=Hypothèses!$V$7,Hypothèses!$W$7,IF(DL271&lt;=Hypothèses!$V$8,Hypothèses!$W$8,IF(DL271&lt;=Hypothèses!$V$9,Hypothèses!$W$9,IF(DL271&lt;=Hypothèses!$V$10,Hypothèses!$W$10,IF(DL271&lt;=Hypothèses!$V$11,Hypothèses!$W$11,IF(DL271&lt;=Hypothèses!$V$12,Hypothèses!$W$12,IF(DL271&lt;=Hypothèses!$V$13,Hypothèses!$W$13,IF(DL271&lt;=Hypothèses!$V$14,Hypothèses!$W$14,IF(DL271&lt;=Hypothèses!$V$15,Hypothèses!$W$15,IF(DL271&lt;=Hypothèses!$V$16,Hypothèses!$W$16,IF(DL271&lt;=Hypothèses!$V$17,Hypothèses!$W$17,IF(DL271&lt;=Hypothèses!$V$18,Hypothèses!$W$18,""))))))))))))</f>
        <v>#DIV/0!</v>
      </c>
      <c r="EG271" s="87" t="e">
        <f t="shared" ca="1" si="422"/>
        <v>#DIV/0!</v>
      </c>
      <c r="EH271" s="88" t="e">
        <f ca="1">IF(DL271&lt;=Hypothèses!$V$7,Hypothèses!$X$7,IF(DL271&lt;=Hypothèses!$V$8,Hypothèses!$X$8,IF(DL271&lt;=Hypothèses!$V$9,Hypothèses!$X$9,IF(DL271&lt;=Hypothèses!$V$10,Hypothèses!$X$10,IF(DL271&lt;=Hypothèses!$V$11,Hypothèses!$X$11,IF(DL271&lt;=Hypothèses!$V$12,Hypothèses!$X$12,IF(DL271&lt;=Hypothèses!$V$13,Hypothèses!$X$13,IF(DL271&lt;=Hypothèses!$V$14,Hypothèses!$X$14,IF(DL271&lt;=Hypothèses!$V$15,Hypothèses!$X$15,IF(DL271&lt;=Hypothèses!$V$16,Hypothèses!$X$16,IF(DL271&lt;=Hypothèses!$U$17,Hypothèses!$W$17,IF(DL271&lt;=Hypothèses!$U$18,Hypothèses!$W$18,""))))))))))))</f>
        <v>#DIV/0!</v>
      </c>
      <c r="EI271" s="95" t="e">
        <f t="shared" ref="EI271:EI334" ca="1" si="493">IF($B271&lt;10*$ES$12,0.1/EG271*SUM(OFFSET(F271,-10*$B271+1,0,10*$B271,1)),0.1/EG271*SUM(OFFSET(F271,-100*$ES$12+1,0,100*$ES$12,1)))</f>
        <v>#DIV/0!</v>
      </c>
      <c r="EJ271" s="101">
        <f t="shared" si="429"/>
        <v>0</v>
      </c>
      <c r="EK271" s="91">
        <f t="shared" si="460"/>
        <v>0</v>
      </c>
      <c r="EL271" s="30" t="e">
        <f t="shared" si="412"/>
        <v>#N/A</v>
      </c>
      <c r="EM271" s="30" t="e">
        <f t="shared" si="413"/>
        <v>#N/A</v>
      </c>
      <c r="EN271" s="31" t="e">
        <f>IF(OR(Hypothèses!$B$4=17,Hypothèses!$B$4=18,Hypothèses!$B$4=19,Hypothèses!$B$4=20),
IF($D271="Pressio.",
IF(OR($E271=3,$E271=1,$E271=4),EM271,EL271),
IF($D271="Pénétro.",
IF(OR($E271=3,$E271=1,$E271=4),EM271,EL271))),IF($D271="Pressio.",
IF($E271=3,EM271,EL271),
IF($D271="Pénétro.",
IF($E271=4,EM271,EL271))))</f>
        <v>#N/A</v>
      </c>
      <c r="EO271" s="31">
        <v>0</v>
      </c>
      <c r="EP271" s="102" t="e">
        <f>IF(NDC!$H$10="Oui",(VLOOKUP($B$3,'Coeff EC7'!$T$39:$X$59,2,0)*EN271+VLOOKUP($B$3,'Coeff EC7'!$T$65:$X$85,2,0)*Model0.1T!EO271)/1.5,PI()*EL$12*$Q271*($B271-$B270)*0.15/10+EP270)</f>
        <v>#N/A</v>
      </c>
      <c r="EQ271" s="102" t="e">
        <f>(VLOOKUP($B$3,'Coeff EC7'!$T$39:$X$59,3,0)*EN271+VLOOKUP($B$3,'Coeff EC7'!$T$65:$X$85,3,0)*Model0.1T!EO271)/1.1</f>
        <v>#N/A</v>
      </c>
      <c r="ER271" s="102" t="e">
        <f t="shared" ref="ER271:ER334" si="494">EN271/1.15+EO271/1.15</f>
        <v>#N/A</v>
      </c>
      <c r="ES271" s="102" t="e">
        <f t="shared" ref="ES271:ES334" si="495">(EN271+EO271)/1.05</f>
        <v>#N/A</v>
      </c>
      <c r="ET271" s="414" t="e">
        <f>IF(AND(EP271&gt;NDC!$C$63,EQ271&gt;NDC!$C$65,ER271&gt;NDC!$D$73,ES271&gt;NDC!$D$74,$B271&gt;NDC!$H$22-0.1+MIN(3*ET$12,1.5)),0,1)</f>
        <v>#N/A</v>
      </c>
      <c r="EU271" s="86" t="b">
        <f t="shared" si="461"/>
        <v>0</v>
      </c>
      <c r="EV271" s="86">
        <f t="shared" si="462"/>
        <v>0.61</v>
      </c>
      <c r="EW271" s="86">
        <f t="shared" si="463"/>
        <v>0.61</v>
      </c>
      <c r="EX271" s="30" t="e">
        <f t="shared" ref="EX271:EX334" ca="1" si="496">AVERAGE(OFFSET($F271, -10*EW271, 0,10*EW271, 1), OFFSET($F271, 1, 0, 30*EV271, 1))</f>
        <v>#DIV/0!</v>
      </c>
      <c r="EY271" s="85" t="e">
        <f ca="1">IF(EE271&lt;=Hypothèses!$V$7,Hypothèses!$W$7,IF(EE271&lt;=Hypothèses!$V$8,Hypothèses!$W$8,IF(EE271&lt;=Hypothèses!$V$9,Hypothèses!$W$9,IF(EE271&lt;=Hypothèses!$V$10,Hypothèses!$W$10,IF(EE271&lt;=Hypothèses!$V$11,Hypothèses!$W$11,IF(EE271&lt;=Hypothèses!$V$12,Hypothèses!$W$12,IF(EE271&lt;=Hypothèses!$V$13,Hypothèses!$W$13,IF(EE271&lt;=Hypothèses!$V$14,Hypothèses!$W$14,IF(EE271&lt;=Hypothèses!$V$15,Hypothèses!$W$15,IF(EE271&lt;=Hypothèses!$V$16,Hypothèses!$W$16,IF(EE271&lt;=Hypothèses!$V$17,Hypothèses!$W$17,IF(EE271&lt;=Hypothèses!$V$18,Hypothèses!$W$18,""))))))))))))</f>
        <v>#DIV/0!</v>
      </c>
      <c r="EZ271" s="87" t="e">
        <f t="shared" ca="1" si="423"/>
        <v>#DIV/0!</v>
      </c>
      <c r="FA271" s="88" t="e">
        <f ca="1">IF(EE271&lt;=Hypothèses!$V$7,Hypothèses!$X$7,IF(EE271&lt;=Hypothèses!$V$8,Hypothèses!$X$8,IF(EE271&lt;=Hypothèses!$V$9,Hypothèses!$X$9,IF(EE271&lt;=Hypothèses!$V$10,Hypothèses!$X$10,IF(EE271&lt;=Hypothèses!$V$11,Hypothèses!$X$11,IF(EE271&lt;=Hypothèses!$V$12,Hypothèses!$X$12,IF(EE271&lt;=Hypothèses!$V$13,Hypothèses!$X$13,IF(EE271&lt;=Hypothèses!$V$14,Hypothèses!$X$14,IF(EE271&lt;=Hypothèses!$V$15,Hypothèses!$X$15,IF(EE271&lt;=Hypothèses!$V$16,Hypothèses!$X$16,IF(EE271&lt;=Hypothèses!$U$17,Hypothèses!$W$17,IF(EE271&lt;=Hypothèses!$U$18,Hypothèses!$W$18,""))))))))))))</f>
        <v>#DIV/0!</v>
      </c>
      <c r="FB271" s="95" t="e">
        <f t="shared" ref="FB271:FB334" ca="1" si="497">IF($B271&lt;10*$FL$12,0.1/EZ271*SUM(OFFSET(F271,-10*$B271+1,0,10*$B271,1)),0.1/EZ271*SUM(OFFSET(F271,-100*$FL$12+1,0,100*$FL$12,1)))</f>
        <v>#DIV/0!</v>
      </c>
      <c r="FC271" s="101">
        <f t="shared" si="430"/>
        <v>0</v>
      </c>
      <c r="FD271" s="91">
        <f t="shared" si="464"/>
        <v>0</v>
      </c>
      <c r="FE271" s="30" t="e">
        <f t="shared" si="414"/>
        <v>#N/A</v>
      </c>
      <c r="FF271" s="30" t="e">
        <f t="shared" si="415"/>
        <v>#N/A</v>
      </c>
      <c r="FG271" s="31" t="e">
        <f>IF(OR(Hypothèses!$B$4=17,Hypothèses!$B$4=18,Hypothèses!$B$4=19,Hypothèses!$B$4=20),
IF($D271="Pressio.",
IF(OR($E271=3,$E271=1,$E271=4),FF271,FE271),
IF($D271="Pénétro.",
IF(OR($E271=3,$E271=1,$E271=4),FF271,FE271))),IF($D271="Pressio.",
IF($E271=3,FF271,FE271),
IF($D271="Pénétro.",
IF($E271=4,FF271,FE271))))</f>
        <v>#N/A</v>
      </c>
      <c r="FH271" s="31">
        <v>0</v>
      </c>
      <c r="FI271" s="102" t="e">
        <f>IF(NDC!$H$10="Oui",(VLOOKUP($B$3,'Coeff EC7'!$T$39:$X$59,2,0)*FG271+VLOOKUP($B$3,'Coeff EC7'!$T$65:$X$85,2,0)*Model0.1T!FH271)/1.5,PI()*FE$12*$Q271*($B271-$B270)*0.15/10+FI270)</f>
        <v>#N/A</v>
      </c>
      <c r="FJ271" s="102" t="e">
        <f>(VLOOKUP($B$3,'Coeff EC7'!$T$39:$X$59,3,0)*FG271+VLOOKUP($B$3,'Coeff EC7'!$T$65:$X$85,3,0)*Model0.1T!FH271)/1.1</f>
        <v>#N/A</v>
      </c>
      <c r="FK271" s="102" t="e">
        <f t="shared" ref="FK271:FK334" si="498">FG271/1.15+FH271/1.15</f>
        <v>#N/A</v>
      </c>
      <c r="FL271" s="102" t="e">
        <f t="shared" ref="FL271:FL334" si="499">(FG271+FH271)/1.05</f>
        <v>#N/A</v>
      </c>
      <c r="FM271" s="414" t="e">
        <f>IF(AND(FI271&gt;NDC!$C$63,FJ271&gt;NDC!$C$65,FK271&gt;NDC!$D$73,FL271&gt;NDC!$D$74,$B271&gt;NDC!$H$22-0.1+MIN(3*FM$12,1.5)),0,1)</f>
        <v>#N/A</v>
      </c>
    </row>
    <row r="272" spans="1:169">
      <c r="A272" s="96">
        <f t="shared" si="465"/>
        <v>74.100000000001472</v>
      </c>
      <c r="B272" s="97">
        <v>25.9</v>
      </c>
      <c r="C272" s="81">
        <f>IF(B272&lt;=Hypothèses!$C$7,Hypothèses!$A$7,IF(B272&lt;=Hypothèses!$C$8,Hypothèses!$A$8,IF(B272&lt;=Hypothèses!$C$9,Hypothèses!$A$9,IF(B272&lt;=Hypothèses!$C$10,Hypothèses!$A$10,IF(B272&lt;=Hypothèses!$C$11,Hypothèses!$A$11,IF(B272&lt;=Hypothèses!$C$12,Hypothèses!$A$12,IF(B272&lt;=Hypothèses!$C$13,Hypothèses!$A$13,IF(B272&lt;=Hypothèses!$C$14,Hypothèses!$A$14,IF(B272&lt;=Hypothèses!$C$15,Hypothèses!$A$15,IF(B272&lt;=Hypothèses!$C$16,Hypothèses!$A$16,IF(B272&lt;=Hypothèses!$C$17,Hypothèses!$A$17,IF(B272&lt;=Hypothèses!$C$18,Hypothèses!$A$18,C271))))))))))))</f>
        <v>11</v>
      </c>
      <c r="D272" s="82" t="str">
        <f>IF(B272&lt;=Hypothèses!$C$7,Hypothèses!$R$7,IF(B272&lt;=Hypothèses!$C$8,Hypothèses!$R$8,IF(B272&lt;=Hypothèses!$C$9,Hypothèses!$R$9,IF(B272&lt;=Hypothèses!$C$10,Hypothèses!$R$10,IF(B272&lt;=Hypothèses!$C$11,Hypothèses!$R$11,IF(B272&lt;=Hypothèses!$C$12,Hypothèses!$R$12,IF(B272&lt;=Hypothèses!$C$13,Hypothèses!$R$13,IF(B272&lt;=Hypothèses!$C$14,Hypothèses!$R$14,IF(B272&lt;=Hypothèses!$C$15,Hypothèses!$R$15,IF(B272&lt;=Hypothèses!$C$16,Hypothèses!$R$16,IF(B272&lt;=Hypothèses!$C$17,Hypothèses!$R$17,IF(B272&lt;=Hypothèses!$C$18,Hypothèses!$R$18,D271))))))))))))</f>
        <v>Pressio.</v>
      </c>
      <c r="E272" s="82" t="e">
        <f>IF(B272&lt;=Hypothèses!$C$7,Hypothèses!$G$7,IF(B272&lt;=Hypothèses!$C$8,Hypothèses!$G$8,IF(B272&lt;=Hypothèses!$C$9,Hypothèses!$G$9,IF(B272&lt;=Hypothèses!$C$10,Hypothèses!$G$10,IF(B272&lt;=Hypothèses!$C$11,Hypothèses!$G$11,IF(B272&lt;=Hypothèses!$C$12,Hypothèses!$G$12,IF(B272&lt;=Hypothèses!$C$13,Hypothèses!$G$13,IF(B272&lt;=Hypothèses!$C$14,Hypothèses!$G$14,IF(B272&lt;=Hypothèses!$C$15,Hypothèses!$G$15,IF(B272&lt;=Hypothèses!$C$16,Hypothèses!$G$16,IF(B272&lt;=Hypothèses!$C$17,Hypothèses!$G$17,IF(B272&lt;=Hypothèses!$C$18,Hypothèses!$G$18,E271))))))))))))</f>
        <v>#N/A</v>
      </c>
      <c r="F272" s="82" t="str">
        <f>IF(B272&lt;=Hypothèses!$C$7,Hypothèses!$F$7,IF(B272&lt;=Hypothèses!$C$8,Hypothèses!$F$8,IF(B272&lt;=Hypothèses!$C$9,Hypothèses!$F$9,IF(B272&lt;=Hypothèses!$C$10,Hypothèses!$F$10,IF(B272&lt;=Hypothèses!$C$11,Hypothèses!$F$11,IF(B272&lt;=Hypothèses!$C$12,Hypothèses!$F$12,IF(B272&lt;=Hypothèses!$C$13,Hypothèses!$F$13,IF(B272&lt;=Hypothèses!$C$14,Hypothèses!$F$14,IF(B272&lt;=Hypothèses!$C$15,Hypothèses!$F$15,IF(B272&lt;=Hypothèses!$C$16,Hypothèses!$F$16,IF(B272&lt;=Hypothèses!$C$17,Hypothèses!$F$17,IF(B272&lt;=Hypothèses!$C$18,Hypothèses!$F$18,F271))))))))))))</f>
        <v/>
      </c>
      <c r="G272" s="91">
        <f t="array" ref="G272">INDEX('Coeff EC7'!$U$7:$X$27,
MATCH(Model0.1T!$B$3,'Coeff EC7'!$T$7:$T$27,0),
MATCH(Model0.1T!$D272&amp;Model0.1T!$B$4,
'Coeff EC7'!$U$6:$X$6&amp;
'Coeff EC7'!$U$5:$X$5,0))</f>
        <v>1.4</v>
      </c>
      <c r="H272" s="91">
        <f t="array" ref="H272">INDEX('Coeff EC7'!$Y$7:$AB$27,
MATCH(Model0.1T!$B$3,'Coeff EC7'!$T$7:$T$27,0),
MATCH(Model0.1T!$D272&amp;Model0.1T!$B$4,
'Coeff EC7'!$Y$6:$AB$6&amp;
'Coeff EC7'!$Y$5:$AB$5,0))</f>
        <v>1.7</v>
      </c>
      <c r="I272" s="83">
        <v>0</v>
      </c>
      <c r="J272" s="91" t="e">
        <f t="array" ref="J272">INDEX('Coeff EC7'!$D$33:$Q$33,1,MATCH(D272&amp;E272,'Coeff EC7'!$D$31:$Q$31&amp;'Coeff EC7'!$D$32:$Q$32,0))</f>
        <v>#N/A</v>
      </c>
      <c r="K272" s="91" t="e">
        <f t="array" ref="K272">INDEX('Coeff EC7'!$D$34:$Q$34,1,MATCH(D272&amp;E272,'Coeff EC7'!$D$31:$Q$31&amp;'Coeff EC7'!$D$32:$Q$32,0))</f>
        <v>#N/A</v>
      </c>
      <c r="L272" s="91" t="e">
        <f t="array" ref="L272">INDEX('Coeff EC7'!$D$35:$Q$35,1,MATCH(D272&amp;E272,'Coeff EC7'!$D$31:$Q$31&amp;'Coeff EC7'!$D$32:$Q$32,0))</f>
        <v>#N/A</v>
      </c>
      <c r="M272" s="98" t="e">
        <f t="shared" si="431"/>
        <v>#N/A</v>
      </c>
      <c r="N272" s="99" t="e">
        <f t="array" ref="N272">INDEX('Coeff EC7'!$D$7:$Q$27,MATCH($B$3,'Coeff EC7'!$C$7:$C$27,0),MATCH(D272&amp;E272,'Coeff EC7'!$D$5:$Q$5&amp;'Coeff EC7'!$D$6:$Q$6,0))</f>
        <v>#N/A</v>
      </c>
      <c r="O272" s="99" t="e">
        <f t="array" ref="O272">INDEX('Coeff EC7'!$D$41:$Q$61,MATCH($B$3,'Coeff EC7'!$C$41:$C$61,0),MATCH(D272&amp;E272,'Coeff EC7'!$D$39:$Q$39&amp;'Coeff EC7'!$D$40:$Q$40,0))</f>
        <v>#N/A</v>
      </c>
      <c r="P272" s="30" t="e">
        <f t="shared" si="466"/>
        <v>#N/A</v>
      </c>
      <c r="Q272" s="100" t="e">
        <f t="shared" si="433"/>
        <v>#N/A</v>
      </c>
      <c r="R272" s="86" t="b">
        <f t="shared" si="434"/>
        <v>0</v>
      </c>
      <c r="S272" s="86">
        <f t="shared" si="432"/>
        <v>0.5</v>
      </c>
      <c r="T272" s="86">
        <f t="shared" si="435"/>
        <v>0.5</v>
      </c>
      <c r="U272" s="30" t="e">
        <f t="shared" ca="1" si="467"/>
        <v>#DIV/0!</v>
      </c>
      <c r="V272" s="85" t="str">
        <f>IF(B272&lt;=Hypothèses!$V$7,Hypothèses!$W$7,IF(B272&lt;=Hypothèses!$V$8,Hypothèses!$W$8,IF(B272&lt;=Hypothèses!$V$9,Hypothèses!$W$9,IF(B272&lt;=Hypothèses!$V$10,Hypothèses!$W$10,IF(B272&lt;=Hypothèses!$V$11,Hypothèses!$W$11,IF(B272&lt;=Hypothèses!$V$12,Hypothèses!$W$12,IF(B272&lt;=Hypothèses!$V$13,Hypothèses!$W$13,IF(B272&lt;=Hypothèses!$V$14,Hypothèses!$W$14,IF(B272&lt;=Hypothèses!$V$15,Hypothèses!$W$15,IF(B272&lt;=Hypothèses!$V$16,Hypothèses!$W$16,IF(B272&lt;=Hypothèses!$V$17,Hypothèses!$W$17,IF(B272&lt;=Hypothèses!$V$18,Hypothèses!$W$18,""))))))))))))</f>
        <v/>
      </c>
      <c r="W272" s="87" t="e">
        <f t="shared" ca="1" si="416"/>
        <v>#DIV/0!</v>
      </c>
      <c r="X272" s="88" t="str">
        <f>IF(B272&lt;=Hypothèses!$V$7,Hypothèses!$X$7,IF(B272&lt;=Hypothèses!$V$8,Hypothèses!$X$8,IF(B272&lt;=Hypothèses!$V$9,Hypothèses!$X$9,IF(B272&lt;=Hypothèses!$V$10,Hypothèses!$X$10,IF(B272&lt;=Hypothèses!$V$11,Hypothèses!$X$11,IF(B272&lt;=Hypothèses!$V$12,Hypothèses!$X$12,IF(B272&lt;=Hypothèses!$V$13,Hypothèses!$X$13,IF(B272&lt;=Hypothèses!$V$14,Hypothèses!$X$14,IF(B272&lt;=Hypothèses!$V$15,Hypothèses!$X$15,IF(B272&lt;=Hypothèses!$V$16,Hypothèses!$X$16,IF(B272&lt;=Hypothèses!$U$17,Hypothèses!$W$17,IF(B272&lt;=Hypothèses!$U$18,Hypothèses!$W$18,""))))))))))))</f>
        <v/>
      </c>
      <c r="Y272" s="95" t="e">
        <f t="shared" ca="1" si="436"/>
        <v>#DIV/0!</v>
      </c>
      <c r="Z272" s="101">
        <f t="shared" si="437"/>
        <v>0</v>
      </c>
      <c r="AA272" s="91">
        <f t="shared" si="438"/>
        <v>0</v>
      </c>
      <c r="AB272" s="30" t="e">
        <f t="shared" ref="AB272:AB335" si="500">PI()*AB$12*$Q272*($B272-$B271)/($G272*$B$5)/10+AD271</f>
        <v>#N/A</v>
      </c>
      <c r="AC272" s="30" t="e">
        <f t="shared" ref="AC272:AC335" si="501">(PI()*AC$12*$Q272*($B272-$B271))/($H272*$B$5)/10+AD271</f>
        <v>#N/A</v>
      </c>
      <c r="AD272" s="31" t="e">
        <f>IF(OR(Hypothèses!$B$4=17,Hypothèses!$B$4=18,Hypothèses!$B$4=19,Hypothèses!$B$4=20),
IF($D272="Pressio.",
IF(OR($E272=3,$E272=1,$E272=4),AC272,AB272),
IF($D272="Pénétro.",
IF(OR($E272=3,$E272=1,$E272=4),AC272,AB272))),IF($D272="Pressio.",
IF($E272=3,AC272,AB272),
IF($D272="Pénétro.",
IF($E272=4,AC272,AB272))))</f>
        <v>#N/A</v>
      </c>
      <c r="AE272" s="31">
        <v>0</v>
      </c>
      <c r="AF272" s="102" t="e">
        <f>IF(NDC!$H$10="Oui",(VLOOKUP($B$3,'Coeff EC7'!$T$39:$X$59,2,0)*AD272+VLOOKUP($B$3,'Coeff EC7'!$T$65:$X$85,2,0)*Model0.1T!AE272)/1.5,PI()*AB$12*$Q272*($B272-$B271)*0.15/10+AF271)</f>
        <v>#N/A</v>
      </c>
      <c r="AG272" s="102" t="e">
        <f>(VLOOKUP($B$3,'Coeff EC7'!$T$39:$X$59,3,0)*AD272+VLOOKUP($B$3,'Coeff EC7'!$T$65:$X$85,3,0)*Model0.1T!AE272)/1.1</f>
        <v>#N/A</v>
      </c>
      <c r="AH272" s="102" t="e">
        <f t="shared" si="468"/>
        <v>#N/A</v>
      </c>
      <c r="AI272" s="102" t="e">
        <f t="shared" si="469"/>
        <v>#N/A</v>
      </c>
      <c r="AJ272" s="414" t="e">
        <f>IF(AND(AF272&gt;NDC!$C$63,AG272&gt;NDC!$C$65,AH272&gt;NDC!$D$73,AI272&gt;NDC!$D$74,$B272&gt;NDC!$H$22-0.1+MIN(3*$AJ$12,1.5)),0,1)</f>
        <v>#N/A</v>
      </c>
      <c r="AK272" s="86" t="b">
        <f t="shared" si="439"/>
        <v>0</v>
      </c>
      <c r="AL272" s="86">
        <f t="shared" si="470"/>
        <v>0.5</v>
      </c>
      <c r="AM272" s="86">
        <f t="shared" si="440"/>
        <v>0.5</v>
      </c>
      <c r="AN272" s="30" t="e">
        <f t="shared" ca="1" si="471"/>
        <v>#DIV/0!</v>
      </c>
      <c r="AO272" s="85" t="e">
        <f ca="1">IF(U272&lt;=Hypothèses!$V$7,Hypothèses!$W$7,IF(U272&lt;=Hypothèses!$V$8,Hypothèses!$W$8,IF(U272&lt;=Hypothèses!$V$9,Hypothèses!$W$9,IF(U272&lt;=Hypothèses!$V$10,Hypothèses!$W$10,IF(U272&lt;=Hypothèses!$V$11,Hypothèses!$W$11,IF(U272&lt;=Hypothèses!$V$12,Hypothèses!$W$12,IF(U272&lt;=Hypothèses!$V$13,Hypothèses!$W$13,IF(U272&lt;=Hypothèses!$V$14,Hypothèses!$W$14,IF(U272&lt;=Hypothèses!$V$15,Hypothèses!$W$15,IF(U272&lt;=Hypothèses!$V$16,Hypothèses!$W$16,IF(U272&lt;=Hypothèses!$V$17,Hypothèses!$W$17,IF(U272&lt;=Hypothèses!$V$18,Hypothèses!$W$18,""))))))))))))</f>
        <v>#DIV/0!</v>
      </c>
      <c r="AP272" s="87" t="e">
        <f t="shared" ca="1" si="417"/>
        <v>#DIV/0!</v>
      </c>
      <c r="AQ272" s="88" t="e">
        <f ca="1">IF(U272&lt;=Hypothèses!$V$7,Hypothèses!$X$7,IF(U272&lt;=Hypothèses!$V$8,Hypothèses!$X$8,IF(U272&lt;=Hypothèses!$V$9,Hypothèses!$X$9,IF(U272&lt;=Hypothèses!$V$10,Hypothèses!$X$10,IF(U272&lt;=Hypothèses!$V$11,Hypothèses!$X$11,IF(U272&lt;=Hypothèses!$V$12,Hypothèses!$X$12,IF(U272&lt;=Hypothèses!$V$13,Hypothèses!$X$13,IF(U272&lt;=Hypothèses!$V$14,Hypothèses!$X$14,IF(U272&lt;=Hypothèses!$V$15,Hypothèses!$X$15,IF(U272&lt;=Hypothèses!$V$16,Hypothèses!$X$16,IF(U272&lt;=Hypothèses!$U$17,Hypothèses!$W$17,IF(U272&lt;=Hypothèses!$U$18,Hypothèses!$W$18,""))))))))))))</f>
        <v>#DIV/0!</v>
      </c>
      <c r="AR272" s="95" t="e">
        <f t="shared" ca="1" si="472"/>
        <v>#DIV/0!</v>
      </c>
      <c r="AS272" s="101">
        <f t="shared" si="424"/>
        <v>0</v>
      </c>
      <c r="AT272" s="91">
        <f t="shared" si="441"/>
        <v>0</v>
      </c>
      <c r="AU272" s="30" t="e">
        <f t="shared" ref="AU272:AU335" si="502">PI()*AU$12*$Q272*($B272-$B271)/($G272*$B$5)/10+AW271</f>
        <v>#N/A</v>
      </c>
      <c r="AV272" s="30" t="e">
        <f t="shared" ref="AV272:AV335" si="503">(PI()*AV$12*$Q272*($B272-$B271))/($H272*$B$5)/10+AW271</f>
        <v>#N/A</v>
      </c>
      <c r="AW272" s="31" t="e">
        <f>IF(OR(Hypothèses!$B$4=17,Hypothèses!$B$4=18,Hypothèses!$B$4=19,Hypothèses!$B$4=20),
IF($D272="Pressio.",
IF(OR($E272=3,$E272=1,$E272=4),AV272,AU272),
IF($D272="Pénétro.",
IF(OR($E272=3,$E272=1,$E272=4),AV272,AU272))),IF($D272="Pressio.",
IF($E272=3,AV272,AU272),
IF($D272="Pénétro.",
IF($E272=4,AV272,AU272))))</f>
        <v>#N/A</v>
      </c>
      <c r="AX272" s="31">
        <v>0</v>
      </c>
      <c r="AY272" s="102" t="e">
        <f>IF(NDC!$H$10="Oui",(VLOOKUP($B$3,'Coeff EC7'!$T$39:$X$59,2,0)*AW272+VLOOKUP($B$3,'Coeff EC7'!$T$65:$X$85,2,0)*Model0.1T!AX272)/1.5,PI()*AU$12*$Q272*($B272-$B271)*0.15/10+AY271)</f>
        <v>#N/A</v>
      </c>
      <c r="AZ272" s="102" t="e">
        <f>(VLOOKUP($B$3,'Coeff EC7'!$T$39:$X$59,3,0)*AW272+VLOOKUP($B$3,'Coeff EC7'!$T$65:$X$85,3,0)*Model0.1T!AX272)/1.1</f>
        <v>#N/A</v>
      </c>
      <c r="BA272" s="102" t="e">
        <f t="shared" si="473"/>
        <v>#N/A</v>
      </c>
      <c r="BB272" s="102" t="e">
        <f t="shared" si="474"/>
        <v>#N/A</v>
      </c>
      <c r="BC272" s="414" t="e">
        <f>IF(AND(AY272&gt;NDC!$C$63,AZ272&gt;NDC!$C$65,BA272&gt;NDC!$D$73,BB272&gt;NDC!$D$74,$B272&gt;NDC!$H$22-0.1+MIN(3*BC$12,1.5)),0,1)</f>
        <v>#N/A</v>
      </c>
      <c r="BD272" s="86" t="b">
        <f t="shared" si="442"/>
        <v>0</v>
      </c>
      <c r="BE272" s="86">
        <f t="shared" si="475"/>
        <v>0.5</v>
      </c>
      <c r="BF272" s="86">
        <f t="shared" si="443"/>
        <v>0.5</v>
      </c>
      <c r="BG272" s="30" t="e">
        <f t="shared" ca="1" si="476"/>
        <v>#DIV/0!</v>
      </c>
      <c r="BH272" s="85" t="e">
        <f ca="1">IF(AN272&lt;=Hypothèses!$V$7,Hypothèses!$W$7,IF(AN272&lt;=Hypothèses!$V$8,Hypothèses!$W$8,IF(AN272&lt;=Hypothèses!$V$9,Hypothèses!$W$9,IF(AN272&lt;=Hypothèses!$V$10,Hypothèses!$W$10,IF(AN272&lt;=Hypothèses!$V$11,Hypothèses!$W$11,IF(AN272&lt;=Hypothèses!$V$12,Hypothèses!$W$12,IF(AN272&lt;=Hypothèses!$V$13,Hypothèses!$W$13,IF(AN272&lt;=Hypothèses!$V$14,Hypothèses!$W$14,IF(AN272&lt;=Hypothèses!$V$15,Hypothèses!$W$15,IF(AN272&lt;=Hypothèses!$V$16,Hypothèses!$W$16,IF(AN272&lt;=Hypothèses!$V$17,Hypothèses!$W$17,IF(AN272&lt;=Hypothèses!$V$18,Hypothèses!$W$18,""))))))))))))</f>
        <v>#DIV/0!</v>
      </c>
      <c r="BI272" s="87" t="e">
        <f t="shared" ca="1" si="418"/>
        <v>#DIV/0!</v>
      </c>
      <c r="BJ272" s="88" t="e">
        <f ca="1">IF(AN272&lt;=Hypothèses!$V$7,Hypothèses!$X$7,IF(AN272&lt;=Hypothèses!$V$8,Hypothèses!$X$8,IF(AN272&lt;=Hypothèses!$V$9,Hypothèses!$X$9,IF(AN272&lt;=Hypothèses!$V$10,Hypothèses!$X$10,IF(AN272&lt;=Hypothèses!$V$11,Hypothèses!$X$11,IF(AN272&lt;=Hypothèses!$V$12,Hypothèses!$X$12,IF(AN272&lt;=Hypothèses!$V$13,Hypothèses!$X$13,IF(AN272&lt;=Hypothèses!$V$14,Hypothèses!$X$14,IF(AN272&lt;=Hypothèses!$V$15,Hypothèses!$X$15,IF(AN272&lt;=Hypothèses!$V$16,Hypothèses!$X$16,IF(AN272&lt;=Hypothèses!$U$17,Hypothèses!$W$17,IF(AN272&lt;=Hypothèses!$U$18,Hypothèses!$W$18,""))))))))))))</f>
        <v>#DIV/0!</v>
      </c>
      <c r="BK272" s="95" t="e">
        <f t="shared" ca="1" si="477"/>
        <v>#DIV/0!</v>
      </c>
      <c r="BL272" s="101">
        <f t="shared" si="425"/>
        <v>0</v>
      </c>
      <c r="BM272" s="91">
        <f t="shared" si="444"/>
        <v>0</v>
      </c>
      <c r="BN272" s="30" t="e">
        <f t="shared" ref="BN272:BN335" si="504">PI()*BN$12*$Q272*($B272-$B271)/($G272*$B$5)/10+BP271</f>
        <v>#N/A</v>
      </c>
      <c r="BO272" s="30" t="e">
        <f t="shared" ref="BO272:BO335" si="505">(PI()*BO$12*$Q272*($B272-$B271))/($H272*$B$5)/10+BP271</f>
        <v>#N/A</v>
      </c>
      <c r="BP272" s="31" t="e">
        <f>IF(OR(Hypothèses!$B$4=17,Hypothèses!$B$4=18,Hypothèses!$B$4=19,Hypothèses!$B$4=20),
IF($D272="Pressio.",
IF(OR($E272=3,$E272=1,$E272=4),BO272,BN272),
IF($D272="Pénétro.",
IF(OR($E272=3,$E272=1,$E272=4),BO272,BN272))),IF($D272="Pressio.",
IF($E272=3,BO272,BN272),
IF($D272="Pénétro.",
IF($E272=4,BO272,BN272))))</f>
        <v>#N/A</v>
      </c>
      <c r="BQ272" s="31">
        <v>0</v>
      </c>
      <c r="BR272" s="102" t="e">
        <f>IF(NDC!$H$10="Oui",(VLOOKUP($B$3,'Coeff EC7'!$T$39:$X$59,2,0)*BP272+VLOOKUP($B$3,'Coeff EC7'!$T$65:$X$85,2,0)*Model0.1T!BQ272)/1.5,PI()*BN$12*$Q272*($B272-$B271)*0.15/10+BR271)</f>
        <v>#N/A</v>
      </c>
      <c r="BS272" s="102" t="e">
        <f>(VLOOKUP($B$3,'Coeff EC7'!$T$39:$X$59,3,0)*BP272+VLOOKUP($B$3,'Coeff EC7'!$T$65:$X$85,3,0)*Model0.1T!BQ272)/1.1</f>
        <v>#N/A</v>
      </c>
      <c r="BT272" s="102" t="e">
        <f t="shared" si="478"/>
        <v>#N/A</v>
      </c>
      <c r="BU272" s="102" t="e">
        <f t="shared" si="479"/>
        <v>#N/A</v>
      </c>
      <c r="BV272" s="414" t="e">
        <f>IF(AND(BR272&gt;NDC!$C$63,BS272&gt;NDC!$C$65,BT272&gt;NDC!$D$73,BU272&gt;NDC!$D$74,$B272&gt;NDC!$H$22-0.1+MIN(3*BV$12,1.5)),0,1)</f>
        <v>#N/A</v>
      </c>
      <c r="BW272" s="86" t="b">
        <f t="shared" si="445"/>
        <v>0</v>
      </c>
      <c r="BX272" s="86">
        <f t="shared" si="446"/>
        <v>0.5</v>
      </c>
      <c r="BY272" s="86">
        <f t="shared" si="447"/>
        <v>0.5</v>
      </c>
      <c r="BZ272" s="30" t="e">
        <f t="shared" ca="1" si="480"/>
        <v>#DIV/0!</v>
      </c>
      <c r="CA272" s="85" t="e">
        <f ca="1">IF(BG272&lt;=Hypothèses!$V$7,Hypothèses!$W$7,IF(BG272&lt;=Hypothèses!$V$8,Hypothèses!$W$8,IF(BG272&lt;=Hypothèses!$V$9,Hypothèses!$W$9,IF(BG272&lt;=Hypothèses!$V$10,Hypothèses!$W$10,IF(BG272&lt;=Hypothèses!$V$11,Hypothèses!$W$11,IF(BG272&lt;=Hypothèses!$V$12,Hypothèses!$W$12,IF(BG272&lt;=Hypothèses!$V$13,Hypothèses!$W$13,IF(BG272&lt;=Hypothèses!$V$14,Hypothèses!$W$14,IF(BG272&lt;=Hypothèses!$V$15,Hypothèses!$W$15,IF(BG272&lt;=Hypothèses!$V$16,Hypothèses!$W$16,IF(BG272&lt;=Hypothèses!$V$17,Hypothèses!$W$17,IF(BG272&lt;=Hypothèses!$V$18,Hypothèses!$W$18,""))))))))))))</f>
        <v>#DIV/0!</v>
      </c>
      <c r="CB272" s="87" t="e">
        <f t="shared" ca="1" si="419"/>
        <v>#DIV/0!</v>
      </c>
      <c r="CC272" s="88" t="e">
        <f ca="1">IF(BG272&lt;=Hypothèses!$V$7,Hypothèses!$X$7,IF(BG272&lt;=Hypothèses!$V$8,Hypothèses!$X$8,IF(BG272&lt;=Hypothèses!$V$9,Hypothèses!$X$9,IF(BG272&lt;=Hypothèses!$V$10,Hypothèses!$X$10,IF(BG272&lt;=Hypothèses!$V$11,Hypothèses!$X$11,IF(BG272&lt;=Hypothèses!$V$12,Hypothèses!$X$12,IF(BG272&lt;=Hypothèses!$V$13,Hypothèses!$X$13,IF(BG272&lt;=Hypothèses!$V$14,Hypothèses!$X$14,IF(BG272&lt;=Hypothèses!$V$15,Hypothèses!$X$15,IF(BG272&lt;=Hypothèses!$V$16,Hypothèses!$X$16,IF(BG272&lt;=Hypothèses!$U$17,Hypothèses!$W$17,IF(BG272&lt;=Hypothèses!$U$18,Hypothèses!$W$18,""))))))))))))</f>
        <v>#DIV/0!</v>
      </c>
      <c r="CD272" s="95" t="e">
        <f t="shared" ca="1" si="481"/>
        <v>#DIV/0!</v>
      </c>
      <c r="CE272" s="101">
        <f t="shared" si="426"/>
        <v>0</v>
      </c>
      <c r="CF272" s="91">
        <f t="shared" si="448"/>
        <v>0</v>
      </c>
      <c r="CG272" s="30" t="e">
        <f t="shared" ref="CG272:CG335" si="506">PI()*CG$12*$Q272*($B272-$B271)/($G272*$B$5)/10+CI271</f>
        <v>#N/A</v>
      </c>
      <c r="CH272" s="30" t="e">
        <f t="shared" ref="CH272:CH335" si="507">(PI()*CH$12*$Q272*($B272-$B271))/($H272*$B$5)/10+CI271</f>
        <v>#N/A</v>
      </c>
      <c r="CI272" s="31" t="e">
        <f>IF(OR(Hypothèses!$B$4=17,Hypothèses!$B$4=18,Hypothèses!$B$4=19,Hypothèses!$B$4=20),
IF($D272="Pressio.",
IF(OR($E272=3,$E272=1,$E272=4),CH272,CG272),
IF($D272="Pénétro.",
IF(OR($E272=3,$E272=1,$E272=4),CH272,CG272))),IF($D272="Pressio.",
IF($E272=3,CH272,CG272),
IF($D272="Pénétro.",
IF($E272=4,CH272,CG272))))</f>
        <v>#N/A</v>
      </c>
      <c r="CJ272" s="31">
        <v>0</v>
      </c>
      <c r="CK272" s="102" t="e">
        <f>IF(NDC!$H$10="Oui",(VLOOKUP($B$3,'Coeff EC7'!$T$39:$X$59,2,0)*CI272+VLOOKUP($B$3,'Coeff EC7'!$T$65:$X$85,2,0)*Model0.1T!CJ272)/1.5,PI()*CG$12*$Q272*($B272-$B271)*0.15/10+CK271)</f>
        <v>#N/A</v>
      </c>
      <c r="CL272" s="102" t="e">
        <f>(VLOOKUP($B$3,'Coeff EC7'!$T$39:$X$59,3,0)*CI272+VLOOKUP($B$3,'Coeff EC7'!$T$65:$X$85,3,0)*Model0.1T!CJ272)/1.1</f>
        <v>#N/A</v>
      </c>
      <c r="CM272" s="102" t="e">
        <f t="shared" si="482"/>
        <v>#N/A</v>
      </c>
      <c r="CN272" s="102" t="e">
        <f t="shared" si="483"/>
        <v>#N/A</v>
      </c>
      <c r="CO272" s="414" t="e">
        <f>IF(AND(CK272&gt;NDC!$C$63,CL272&gt;NDC!$C$65,CM272&gt;NDC!$D$73,CN272&gt;NDC!$D$74,$B272&gt;NDC!$H$22-0.1+MIN(3*CO$12,1.5)),0,1)</f>
        <v>#N/A</v>
      </c>
      <c r="CP272" s="86" t="b">
        <f t="shared" si="449"/>
        <v>0</v>
      </c>
      <c r="CQ272" s="86">
        <f t="shared" si="450"/>
        <v>0.5</v>
      </c>
      <c r="CR272" s="86">
        <f t="shared" si="451"/>
        <v>0.5</v>
      </c>
      <c r="CS272" s="30" t="e">
        <f t="shared" ca="1" si="484"/>
        <v>#DIV/0!</v>
      </c>
      <c r="CT272" s="85" t="e">
        <f ca="1">IF(BZ272&lt;=Hypothèses!$V$7,Hypothèses!$W$7,IF(BZ272&lt;=Hypothèses!$V$8,Hypothèses!$W$8,IF(BZ272&lt;=Hypothèses!$V$9,Hypothèses!$W$9,IF(BZ272&lt;=Hypothèses!$V$10,Hypothèses!$W$10,IF(BZ272&lt;=Hypothèses!$V$11,Hypothèses!$W$11,IF(BZ272&lt;=Hypothèses!$V$12,Hypothèses!$W$12,IF(BZ272&lt;=Hypothèses!$V$13,Hypothèses!$W$13,IF(BZ272&lt;=Hypothèses!$V$14,Hypothèses!$W$14,IF(BZ272&lt;=Hypothèses!$V$15,Hypothèses!$W$15,IF(BZ272&lt;=Hypothèses!$V$16,Hypothèses!$W$16,IF(BZ272&lt;=Hypothèses!$V$17,Hypothèses!$W$17,IF(BZ272&lt;=Hypothèses!$V$18,Hypothèses!$W$18,""))))))))))))</f>
        <v>#DIV/0!</v>
      </c>
      <c r="CU272" s="87" t="e">
        <f t="shared" ca="1" si="420"/>
        <v>#DIV/0!</v>
      </c>
      <c r="CV272" s="88" t="e">
        <f ca="1">IF(BZ272&lt;=Hypothèses!$V$7,Hypothèses!$X$7,IF(BZ272&lt;=Hypothèses!$V$8,Hypothèses!$X$8,IF(BZ272&lt;=Hypothèses!$V$9,Hypothèses!$X$9,IF(BZ272&lt;=Hypothèses!$V$10,Hypothèses!$X$10,IF(BZ272&lt;=Hypothèses!$V$11,Hypothèses!$X$11,IF(BZ272&lt;=Hypothèses!$V$12,Hypothèses!$X$12,IF(BZ272&lt;=Hypothèses!$V$13,Hypothèses!$X$13,IF(BZ272&lt;=Hypothèses!$V$14,Hypothèses!$X$14,IF(BZ272&lt;=Hypothèses!$V$15,Hypothèses!$X$15,IF(BZ272&lt;=Hypothèses!$V$16,Hypothèses!$X$16,IF(BZ272&lt;=Hypothèses!$U$17,Hypothèses!$W$17,IF(BZ272&lt;=Hypothèses!$U$18,Hypothèses!$W$18,""))))))))))))</f>
        <v>#DIV/0!</v>
      </c>
      <c r="CW272" s="95" t="e">
        <f t="shared" ca="1" si="485"/>
        <v>#DIV/0!</v>
      </c>
      <c r="CX272" s="101">
        <f t="shared" si="427"/>
        <v>0</v>
      </c>
      <c r="CY272" s="91">
        <f t="shared" si="452"/>
        <v>0</v>
      </c>
      <c r="CZ272" s="30" t="e">
        <f t="shared" ref="CZ272:CZ335" si="508">PI()*CZ$12*$Q272*($B272-$B271)/($G272*$B$5)/10+DB271</f>
        <v>#N/A</v>
      </c>
      <c r="DA272" s="30" t="e">
        <f t="shared" ref="DA272:DA335" si="509">(PI()*DA$12*$Q272*($B272-$B271))/($H272*$B$5)/10+DB271</f>
        <v>#N/A</v>
      </c>
      <c r="DB272" s="31" t="e">
        <f>IF(OR(Hypothèses!$B$4=17,Hypothèses!$B$4=18,Hypothèses!$B$4=19,Hypothèses!$B$4=20),
IF($D272="Pressio.",
IF(OR($E272=3,$E272=1,$E272=4),DA272,CZ272),
IF($D272="Pénétro.",
IF(OR($E272=3,$E272=1,$E272=4),DA272,CZ272))),IF($D272="Pressio.",
IF($E272=3,DA272,CZ272),
IF($D272="Pénétro.",
IF($E272=4,DA272,CZ272))))</f>
        <v>#N/A</v>
      </c>
      <c r="DC272" s="31">
        <v>0</v>
      </c>
      <c r="DD272" s="102" t="e">
        <f>IF(NDC!$H$10="Oui",(VLOOKUP($B$3,'Coeff EC7'!$T$39:$X$59,2,0)*DB272+VLOOKUP($B$3,'Coeff EC7'!$T$65:$X$85,2,0)*Model0.1T!DC272)/1.5,PI()*CZ$12*$Q272*($B272-$B271)*0.15/10+DD271)</f>
        <v>#N/A</v>
      </c>
      <c r="DE272" s="102" t="e">
        <f>(VLOOKUP($B$3,'Coeff EC7'!$T$39:$X$59,3,0)*DB272+VLOOKUP($B$3,'Coeff EC7'!$T$65:$X$85,3,0)*Model0.1T!DC272)/1.1</f>
        <v>#N/A</v>
      </c>
      <c r="DF272" s="102" t="e">
        <f t="shared" si="486"/>
        <v>#N/A</v>
      </c>
      <c r="DG272" s="102" t="e">
        <f t="shared" si="487"/>
        <v>#N/A</v>
      </c>
      <c r="DH272" s="414" t="e">
        <f>IF(AND(DD272&gt;NDC!$C$63,DE272&gt;NDC!$C$65,DF272&gt;NDC!$D$73,DG272&gt;NDC!$D$74,$B272&gt;NDC!$H$22-0.1+MIN(3*DH$12,1.5)),0,1)</f>
        <v>#N/A</v>
      </c>
      <c r="DI272" s="86" t="b">
        <f t="shared" si="453"/>
        <v>0</v>
      </c>
      <c r="DJ272" s="86">
        <f t="shared" si="454"/>
        <v>0.5</v>
      </c>
      <c r="DK272" s="86">
        <f t="shared" si="455"/>
        <v>0.5</v>
      </c>
      <c r="DL272" s="30" t="e">
        <f t="shared" ca="1" si="488"/>
        <v>#DIV/0!</v>
      </c>
      <c r="DM272" s="85" t="e">
        <f ca="1">IF(CS272&lt;=Hypothèses!$V$7,Hypothèses!$W$7,IF(CS272&lt;=Hypothèses!$V$8,Hypothèses!$W$8,IF(CS272&lt;=Hypothèses!$V$9,Hypothèses!$W$9,IF(CS272&lt;=Hypothèses!$V$10,Hypothèses!$W$10,IF(CS272&lt;=Hypothèses!$V$11,Hypothèses!$W$11,IF(CS272&lt;=Hypothèses!$V$12,Hypothèses!$W$12,IF(CS272&lt;=Hypothèses!$V$13,Hypothèses!$W$13,IF(CS272&lt;=Hypothèses!$V$14,Hypothèses!$W$14,IF(CS272&lt;=Hypothèses!$V$15,Hypothèses!$W$15,IF(CS272&lt;=Hypothèses!$V$16,Hypothèses!$W$16,IF(CS272&lt;=Hypothèses!$V$17,Hypothèses!$W$17,IF(CS272&lt;=Hypothèses!$V$18,Hypothèses!$W$18,""))))))))))))</f>
        <v>#DIV/0!</v>
      </c>
      <c r="DN272" s="87" t="e">
        <f t="shared" ca="1" si="421"/>
        <v>#DIV/0!</v>
      </c>
      <c r="DO272" s="88" t="e">
        <f ca="1">IF(CS272&lt;=Hypothèses!$V$7,Hypothèses!$X$7,IF(CS272&lt;=Hypothèses!$V$8,Hypothèses!$X$8,IF(CS272&lt;=Hypothèses!$V$9,Hypothèses!$X$9,IF(CS272&lt;=Hypothèses!$V$10,Hypothèses!$X$10,IF(CS272&lt;=Hypothèses!$V$11,Hypothèses!$X$11,IF(CS272&lt;=Hypothèses!$V$12,Hypothèses!$X$12,IF(CS272&lt;=Hypothèses!$V$13,Hypothèses!$X$13,IF(CS272&lt;=Hypothèses!$V$14,Hypothèses!$X$14,IF(CS272&lt;=Hypothèses!$V$15,Hypothèses!$X$15,IF(CS272&lt;=Hypothèses!$V$16,Hypothèses!$X$16,IF(CS272&lt;=Hypothèses!$U$17,Hypothèses!$W$17,IF(CS272&lt;=Hypothèses!$U$18,Hypothèses!$W$18,""))))))))))))</f>
        <v>#DIV/0!</v>
      </c>
      <c r="DP272" s="95" t="e">
        <f t="shared" ca="1" si="489"/>
        <v>#DIV/0!</v>
      </c>
      <c r="DQ272" s="101">
        <f t="shared" si="428"/>
        <v>0</v>
      </c>
      <c r="DR272" s="91">
        <f t="shared" si="456"/>
        <v>0</v>
      </c>
      <c r="DS272" s="30" t="e">
        <f t="shared" ref="DS272:DS335" si="510">PI()*DS$12*$Q272*($B272-$B271)/($G272*$B$5)/10+DU271</f>
        <v>#N/A</v>
      </c>
      <c r="DT272" s="30" t="e">
        <f t="shared" ref="DT272:DT335" si="511">(PI()*DT$12*$Q272*($B272-$B271))/($H272*$B$5)/10+DU271</f>
        <v>#N/A</v>
      </c>
      <c r="DU272" s="31" t="e">
        <f>IF(OR(Hypothèses!$B$4=17,Hypothèses!$B$4=18,Hypothèses!$B$4=19,Hypothèses!$B$4=20),
IF($D272="Pressio.",
IF(OR($E272=3,$E272=1,$E272=4),DT272,DS272),
IF($D272="Pénétro.",
IF(OR($E272=3,$E272=1,$E272=4),DT272,DS272))),IF($D272="Pressio.",
IF($E272=3,DT272,DS272),
IF($D272="Pénétro.",
IF($E272=4,DT272,DS272))))</f>
        <v>#N/A</v>
      </c>
      <c r="DV272" s="31">
        <v>0</v>
      </c>
      <c r="DW272" s="102" t="e">
        <f>IF(NDC!$H$10="Oui",(VLOOKUP($B$3,'Coeff EC7'!$T$39:$X$59,2,0)*DU272+VLOOKUP($B$3,'Coeff EC7'!$T$65:$X$85,2,0)*Model0.1T!DV272)/1.5,PI()*DS$12*$Q272*($B272-$B271)*0.15/10+DW271)</f>
        <v>#N/A</v>
      </c>
      <c r="DX272" s="102" t="e">
        <f>(VLOOKUP($B$3,'Coeff EC7'!$T$39:$X$59,3,0)*DU272+VLOOKUP($B$3,'Coeff EC7'!$T$65:$X$85,3,0)*Model0.1T!DV272)/1.1</f>
        <v>#N/A</v>
      </c>
      <c r="DY272" s="102" t="e">
        <f t="shared" si="490"/>
        <v>#N/A</v>
      </c>
      <c r="DZ272" s="102" t="e">
        <f t="shared" si="491"/>
        <v>#N/A</v>
      </c>
      <c r="EA272" s="414" t="e">
        <f>IF(AND(DW272&gt;NDC!$C$63,DX272&gt;NDC!$C$65,DY272&gt;NDC!$D$73,DZ272&gt;NDC!$D$74,$B272&gt;NDC!$H$22-0.1+MIN(3*EA$12,1.5)),0,1)</f>
        <v>#N/A</v>
      </c>
      <c r="EB272" s="86" t="b">
        <f t="shared" si="457"/>
        <v>0</v>
      </c>
      <c r="EC272" s="418">
        <f t="shared" si="458"/>
        <v>0.51</v>
      </c>
      <c r="ED272" s="86">
        <f t="shared" si="459"/>
        <v>0.51</v>
      </c>
      <c r="EE272" s="30" t="e">
        <f t="shared" ca="1" si="492"/>
        <v>#DIV/0!</v>
      </c>
      <c r="EF272" s="85" t="e">
        <f ca="1">IF(DL272&lt;=Hypothèses!$V$7,Hypothèses!$W$7,IF(DL272&lt;=Hypothèses!$V$8,Hypothèses!$W$8,IF(DL272&lt;=Hypothèses!$V$9,Hypothèses!$W$9,IF(DL272&lt;=Hypothèses!$V$10,Hypothèses!$W$10,IF(DL272&lt;=Hypothèses!$V$11,Hypothèses!$W$11,IF(DL272&lt;=Hypothèses!$V$12,Hypothèses!$W$12,IF(DL272&lt;=Hypothèses!$V$13,Hypothèses!$W$13,IF(DL272&lt;=Hypothèses!$V$14,Hypothèses!$W$14,IF(DL272&lt;=Hypothèses!$V$15,Hypothèses!$W$15,IF(DL272&lt;=Hypothèses!$V$16,Hypothèses!$W$16,IF(DL272&lt;=Hypothèses!$V$17,Hypothèses!$W$17,IF(DL272&lt;=Hypothèses!$V$18,Hypothèses!$W$18,""))))))))))))</f>
        <v>#DIV/0!</v>
      </c>
      <c r="EG272" s="87" t="e">
        <f t="shared" ca="1" si="422"/>
        <v>#DIV/0!</v>
      </c>
      <c r="EH272" s="88" t="e">
        <f ca="1">IF(DL272&lt;=Hypothèses!$V$7,Hypothèses!$X$7,IF(DL272&lt;=Hypothèses!$V$8,Hypothèses!$X$8,IF(DL272&lt;=Hypothèses!$V$9,Hypothèses!$X$9,IF(DL272&lt;=Hypothèses!$V$10,Hypothèses!$X$10,IF(DL272&lt;=Hypothèses!$V$11,Hypothèses!$X$11,IF(DL272&lt;=Hypothèses!$V$12,Hypothèses!$X$12,IF(DL272&lt;=Hypothèses!$V$13,Hypothèses!$X$13,IF(DL272&lt;=Hypothèses!$V$14,Hypothèses!$X$14,IF(DL272&lt;=Hypothèses!$V$15,Hypothèses!$X$15,IF(DL272&lt;=Hypothèses!$V$16,Hypothèses!$X$16,IF(DL272&lt;=Hypothèses!$U$17,Hypothèses!$W$17,IF(DL272&lt;=Hypothèses!$U$18,Hypothèses!$W$18,""))))))))))))</f>
        <v>#DIV/0!</v>
      </c>
      <c r="EI272" s="95" t="e">
        <f t="shared" ca="1" si="493"/>
        <v>#DIV/0!</v>
      </c>
      <c r="EJ272" s="101">
        <f t="shared" si="429"/>
        <v>0</v>
      </c>
      <c r="EK272" s="91">
        <f t="shared" si="460"/>
        <v>0</v>
      </c>
      <c r="EL272" s="30" t="e">
        <f t="shared" ref="EL272:EL335" si="512">PI()*EL$12*$Q272*($B272-$B271)/($G272*$B$5)/10+EN271</f>
        <v>#N/A</v>
      </c>
      <c r="EM272" s="30" t="e">
        <f t="shared" ref="EM272:EM335" si="513">(PI()*EM$12*$Q272*($B272-$B271))/($H272*$B$5)/10+EN271</f>
        <v>#N/A</v>
      </c>
      <c r="EN272" s="31" t="e">
        <f>IF(OR(Hypothèses!$B$4=17,Hypothèses!$B$4=18,Hypothèses!$B$4=19,Hypothèses!$B$4=20),
IF($D272="Pressio.",
IF(OR($E272=3,$E272=1,$E272=4),EM272,EL272),
IF($D272="Pénétro.",
IF(OR($E272=3,$E272=1,$E272=4),EM272,EL272))),IF($D272="Pressio.",
IF($E272=3,EM272,EL272),
IF($D272="Pénétro.",
IF($E272=4,EM272,EL272))))</f>
        <v>#N/A</v>
      </c>
      <c r="EO272" s="31">
        <v>0</v>
      </c>
      <c r="EP272" s="102" t="e">
        <f>IF(NDC!$H$10="Oui",(VLOOKUP($B$3,'Coeff EC7'!$T$39:$X$59,2,0)*EN272+VLOOKUP($B$3,'Coeff EC7'!$T$65:$X$85,2,0)*Model0.1T!EO272)/1.5,PI()*EL$12*$Q272*($B272-$B271)*0.15/10+EP271)</f>
        <v>#N/A</v>
      </c>
      <c r="EQ272" s="102" t="e">
        <f>(VLOOKUP($B$3,'Coeff EC7'!$T$39:$X$59,3,0)*EN272+VLOOKUP($B$3,'Coeff EC7'!$T$65:$X$85,3,0)*Model0.1T!EO272)/1.1</f>
        <v>#N/A</v>
      </c>
      <c r="ER272" s="102" t="e">
        <f t="shared" si="494"/>
        <v>#N/A</v>
      </c>
      <c r="ES272" s="102" t="e">
        <f t="shared" si="495"/>
        <v>#N/A</v>
      </c>
      <c r="ET272" s="414" t="e">
        <f>IF(AND(EP272&gt;NDC!$C$63,EQ272&gt;NDC!$C$65,ER272&gt;NDC!$D$73,ES272&gt;NDC!$D$74,$B272&gt;NDC!$H$22-0.1+MIN(3*ET$12,1.5)),0,1)</f>
        <v>#N/A</v>
      </c>
      <c r="EU272" s="86" t="b">
        <f t="shared" si="461"/>
        <v>0</v>
      </c>
      <c r="EV272" s="86">
        <f t="shared" si="462"/>
        <v>0.61</v>
      </c>
      <c r="EW272" s="86">
        <f t="shared" si="463"/>
        <v>0.61</v>
      </c>
      <c r="EX272" s="30" t="e">
        <f t="shared" ca="1" si="496"/>
        <v>#DIV/0!</v>
      </c>
      <c r="EY272" s="85" t="e">
        <f ca="1">IF(EE272&lt;=Hypothèses!$V$7,Hypothèses!$W$7,IF(EE272&lt;=Hypothèses!$V$8,Hypothèses!$W$8,IF(EE272&lt;=Hypothèses!$V$9,Hypothèses!$W$9,IF(EE272&lt;=Hypothèses!$V$10,Hypothèses!$W$10,IF(EE272&lt;=Hypothèses!$V$11,Hypothèses!$W$11,IF(EE272&lt;=Hypothèses!$V$12,Hypothèses!$W$12,IF(EE272&lt;=Hypothèses!$V$13,Hypothèses!$W$13,IF(EE272&lt;=Hypothèses!$V$14,Hypothèses!$W$14,IF(EE272&lt;=Hypothèses!$V$15,Hypothèses!$W$15,IF(EE272&lt;=Hypothèses!$V$16,Hypothèses!$W$16,IF(EE272&lt;=Hypothèses!$V$17,Hypothèses!$W$17,IF(EE272&lt;=Hypothèses!$V$18,Hypothèses!$W$18,""))))))))))))</f>
        <v>#DIV/0!</v>
      </c>
      <c r="EZ272" s="87" t="e">
        <f t="shared" ca="1" si="423"/>
        <v>#DIV/0!</v>
      </c>
      <c r="FA272" s="88" t="e">
        <f ca="1">IF(EE272&lt;=Hypothèses!$V$7,Hypothèses!$X$7,IF(EE272&lt;=Hypothèses!$V$8,Hypothèses!$X$8,IF(EE272&lt;=Hypothèses!$V$9,Hypothèses!$X$9,IF(EE272&lt;=Hypothèses!$V$10,Hypothèses!$X$10,IF(EE272&lt;=Hypothèses!$V$11,Hypothèses!$X$11,IF(EE272&lt;=Hypothèses!$V$12,Hypothèses!$X$12,IF(EE272&lt;=Hypothèses!$V$13,Hypothèses!$X$13,IF(EE272&lt;=Hypothèses!$V$14,Hypothèses!$X$14,IF(EE272&lt;=Hypothèses!$V$15,Hypothèses!$X$15,IF(EE272&lt;=Hypothèses!$V$16,Hypothèses!$X$16,IF(EE272&lt;=Hypothèses!$U$17,Hypothèses!$W$17,IF(EE272&lt;=Hypothèses!$U$18,Hypothèses!$W$18,""))))))))))))</f>
        <v>#DIV/0!</v>
      </c>
      <c r="FB272" s="95" t="e">
        <f t="shared" ca="1" si="497"/>
        <v>#DIV/0!</v>
      </c>
      <c r="FC272" s="101">
        <f t="shared" si="430"/>
        <v>0</v>
      </c>
      <c r="FD272" s="91">
        <f t="shared" si="464"/>
        <v>0</v>
      </c>
      <c r="FE272" s="30" t="e">
        <f t="shared" ref="FE272:FE335" si="514">PI()*FE$12*$Q272*($B272-$B271)/($G272*$B$5)/10+FG271</f>
        <v>#N/A</v>
      </c>
      <c r="FF272" s="30" t="e">
        <f t="shared" ref="FF272:FF335" si="515">(PI()*FF$12*$Q272*($B272-$B271))/($H272*$B$5)/10+FG271</f>
        <v>#N/A</v>
      </c>
      <c r="FG272" s="31" t="e">
        <f>IF(OR(Hypothèses!$B$4=17,Hypothèses!$B$4=18,Hypothèses!$B$4=19,Hypothèses!$B$4=20),
IF($D272="Pressio.",
IF(OR($E272=3,$E272=1,$E272=4),FF272,FE272),
IF($D272="Pénétro.",
IF(OR($E272=3,$E272=1,$E272=4),FF272,FE272))),IF($D272="Pressio.",
IF($E272=3,FF272,FE272),
IF($D272="Pénétro.",
IF($E272=4,FF272,FE272))))</f>
        <v>#N/A</v>
      </c>
      <c r="FH272" s="31">
        <v>0</v>
      </c>
      <c r="FI272" s="102" t="e">
        <f>IF(NDC!$H$10="Oui",(VLOOKUP($B$3,'Coeff EC7'!$T$39:$X$59,2,0)*FG272+VLOOKUP($B$3,'Coeff EC7'!$T$65:$X$85,2,0)*Model0.1T!FH272)/1.5,PI()*FE$12*$Q272*($B272-$B271)*0.15/10+FI271)</f>
        <v>#N/A</v>
      </c>
      <c r="FJ272" s="102" t="e">
        <f>(VLOOKUP($B$3,'Coeff EC7'!$T$39:$X$59,3,0)*FG272+VLOOKUP($B$3,'Coeff EC7'!$T$65:$X$85,3,0)*Model0.1T!FH272)/1.1</f>
        <v>#N/A</v>
      </c>
      <c r="FK272" s="102" t="e">
        <f t="shared" si="498"/>
        <v>#N/A</v>
      </c>
      <c r="FL272" s="102" t="e">
        <f t="shared" si="499"/>
        <v>#N/A</v>
      </c>
      <c r="FM272" s="414" t="e">
        <f>IF(AND(FI272&gt;NDC!$C$63,FJ272&gt;NDC!$C$65,FK272&gt;NDC!$D$73,FL272&gt;NDC!$D$74,$B272&gt;NDC!$H$22-0.1+MIN(3*FM$12,1.5)),0,1)</f>
        <v>#N/A</v>
      </c>
    </row>
    <row r="273" spans="1:169">
      <c r="A273" s="96">
        <f t="shared" si="465"/>
        <v>74.000000000001478</v>
      </c>
      <c r="B273" s="97">
        <v>26</v>
      </c>
      <c r="C273" s="81">
        <f>IF(B273&lt;=Hypothèses!$C$7,Hypothèses!$A$7,IF(B273&lt;=Hypothèses!$C$8,Hypothèses!$A$8,IF(B273&lt;=Hypothèses!$C$9,Hypothèses!$A$9,IF(B273&lt;=Hypothèses!$C$10,Hypothèses!$A$10,IF(B273&lt;=Hypothèses!$C$11,Hypothèses!$A$11,IF(B273&lt;=Hypothèses!$C$12,Hypothèses!$A$12,IF(B273&lt;=Hypothèses!$C$13,Hypothèses!$A$13,IF(B273&lt;=Hypothèses!$C$14,Hypothèses!$A$14,IF(B273&lt;=Hypothèses!$C$15,Hypothèses!$A$15,IF(B273&lt;=Hypothèses!$C$16,Hypothèses!$A$16,IF(B273&lt;=Hypothèses!$C$17,Hypothèses!$A$17,IF(B273&lt;=Hypothèses!$C$18,Hypothèses!$A$18,C272))))))))))))</f>
        <v>11</v>
      </c>
      <c r="D273" s="82" t="str">
        <f>IF(B273&lt;=Hypothèses!$C$7,Hypothèses!$R$7,IF(B273&lt;=Hypothèses!$C$8,Hypothèses!$R$8,IF(B273&lt;=Hypothèses!$C$9,Hypothèses!$R$9,IF(B273&lt;=Hypothèses!$C$10,Hypothèses!$R$10,IF(B273&lt;=Hypothèses!$C$11,Hypothèses!$R$11,IF(B273&lt;=Hypothèses!$C$12,Hypothèses!$R$12,IF(B273&lt;=Hypothèses!$C$13,Hypothèses!$R$13,IF(B273&lt;=Hypothèses!$C$14,Hypothèses!$R$14,IF(B273&lt;=Hypothèses!$C$15,Hypothèses!$R$15,IF(B273&lt;=Hypothèses!$C$16,Hypothèses!$R$16,IF(B273&lt;=Hypothèses!$C$17,Hypothèses!$R$17,IF(B273&lt;=Hypothèses!$C$18,Hypothèses!$R$18,D272))))))))))))</f>
        <v>Pressio.</v>
      </c>
      <c r="E273" s="82" t="e">
        <f>IF(B273&lt;=Hypothèses!$C$7,Hypothèses!$G$7,IF(B273&lt;=Hypothèses!$C$8,Hypothèses!$G$8,IF(B273&lt;=Hypothèses!$C$9,Hypothèses!$G$9,IF(B273&lt;=Hypothèses!$C$10,Hypothèses!$G$10,IF(B273&lt;=Hypothèses!$C$11,Hypothèses!$G$11,IF(B273&lt;=Hypothèses!$C$12,Hypothèses!$G$12,IF(B273&lt;=Hypothèses!$C$13,Hypothèses!$G$13,IF(B273&lt;=Hypothèses!$C$14,Hypothèses!$G$14,IF(B273&lt;=Hypothèses!$C$15,Hypothèses!$G$15,IF(B273&lt;=Hypothèses!$C$16,Hypothèses!$G$16,IF(B273&lt;=Hypothèses!$C$17,Hypothèses!$G$17,IF(B273&lt;=Hypothèses!$C$18,Hypothèses!$G$18,E272))))))))))))</f>
        <v>#N/A</v>
      </c>
      <c r="F273" s="82" t="str">
        <f>IF(B273&lt;=Hypothèses!$C$7,Hypothèses!$F$7,IF(B273&lt;=Hypothèses!$C$8,Hypothèses!$F$8,IF(B273&lt;=Hypothèses!$C$9,Hypothèses!$F$9,IF(B273&lt;=Hypothèses!$C$10,Hypothèses!$F$10,IF(B273&lt;=Hypothèses!$C$11,Hypothèses!$F$11,IF(B273&lt;=Hypothèses!$C$12,Hypothèses!$F$12,IF(B273&lt;=Hypothèses!$C$13,Hypothèses!$F$13,IF(B273&lt;=Hypothèses!$C$14,Hypothèses!$F$14,IF(B273&lt;=Hypothèses!$C$15,Hypothèses!$F$15,IF(B273&lt;=Hypothèses!$C$16,Hypothèses!$F$16,IF(B273&lt;=Hypothèses!$C$17,Hypothèses!$F$17,IF(B273&lt;=Hypothèses!$C$18,Hypothèses!$F$18,F272))))))))))))</f>
        <v/>
      </c>
      <c r="G273" s="91">
        <f t="array" ref="G273">INDEX('Coeff EC7'!$U$7:$X$27,
MATCH(Model0.1T!$B$3,'Coeff EC7'!$T$7:$T$27,0),
MATCH(Model0.1T!$D273&amp;Model0.1T!$B$4,
'Coeff EC7'!$U$6:$X$6&amp;
'Coeff EC7'!$U$5:$X$5,0))</f>
        <v>1.4</v>
      </c>
      <c r="H273" s="91">
        <f t="array" ref="H273">INDEX('Coeff EC7'!$Y$7:$AB$27,
MATCH(Model0.1T!$B$3,'Coeff EC7'!$T$7:$T$27,0),
MATCH(Model0.1T!$D273&amp;Model0.1T!$B$4,
'Coeff EC7'!$Y$6:$AB$6&amp;
'Coeff EC7'!$Y$5:$AB$5,0))</f>
        <v>1.7</v>
      </c>
      <c r="I273" s="83">
        <v>0</v>
      </c>
      <c r="J273" s="91" t="e">
        <f t="array" ref="J273">INDEX('Coeff EC7'!$D$33:$Q$33,1,MATCH(D273&amp;E273,'Coeff EC7'!$D$31:$Q$31&amp;'Coeff EC7'!$D$32:$Q$32,0))</f>
        <v>#N/A</v>
      </c>
      <c r="K273" s="91" t="e">
        <f t="array" ref="K273">INDEX('Coeff EC7'!$D$34:$Q$34,1,MATCH(D273&amp;E273,'Coeff EC7'!$D$31:$Q$31&amp;'Coeff EC7'!$D$32:$Q$32,0))</f>
        <v>#N/A</v>
      </c>
      <c r="L273" s="91" t="e">
        <f t="array" ref="L273">INDEX('Coeff EC7'!$D$35:$Q$35,1,MATCH(D273&amp;E273,'Coeff EC7'!$D$31:$Q$31&amp;'Coeff EC7'!$D$32:$Q$32,0))</f>
        <v>#N/A</v>
      </c>
      <c r="M273" s="98" t="e">
        <f t="shared" si="431"/>
        <v>#N/A</v>
      </c>
      <c r="N273" s="99" t="e">
        <f t="array" ref="N273">INDEX('Coeff EC7'!$D$7:$Q$27,MATCH($B$3,'Coeff EC7'!$C$7:$C$27,0),MATCH(D273&amp;E273,'Coeff EC7'!$D$5:$Q$5&amp;'Coeff EC7'!$D$6:$Q$6,0))</f>
        <v>#N/A</v>
      </c>
      <c r="O273" s="99" t="e">
        <f t="array" ref="O273">INDEX('Coeff EC7'!$D$41:$Q$61,MATCH($B$3,'Coeff EC7'!$C$41:$C$61,0),MATCH(D273&amp;E273,'Coeff EC7'!$D$39:$Q$39&amp;'Coeff EC7'!$D$40:$Q$40,0))</f>
        <v>#N/A</v>
      </c>
      <c r="P273" s="30" t="e">
        <f t="shared" si="466"/>
        <v>#N/A</v>
      </c>
      <c r="Q273" s="100" t="e">
        <f t="shared" si="433"/>
        <v>#N/A</v>
      </c>
      <c r="R273" s="86" t="b">
        <f t="shared" si="434"/>
        <v>0</v>
      </c>
      <c r="S273" s="86">
        <f t="shared" si="432"/>
        <v>0.5</v>
      </c>
      <c r="T273" s="86">
        <f t="shared" si="435"/>
        <v>0.5</v>
      </c>
      <c r="U273" s="30" t="e">
        <f t="shared" ca="1" si="467"/>
        <v>#DIV/0!</v>
      </c>
      <c r="V273" s="85" t="str">
        <f>IF(B273&lt;=Hypothèses!$V$7,Hypothèses!$W$7,IF(B273&lt;=Hypothèses!$V$8,Hypothèses!$W$8,IF(B273&lt;=Hypothèses!$V$9,Hypothèses!$W$9,IF(B273&lt;=Hypothèses!$V$10,Hypothèses!$W$10,IF(B273&lt;=Hypothèses!$V$11,Hypothèses!$W$11,IF(B273&lt;=Hypothèses!$V$12,Hypothèses!$W$12,IF(B273&lt;=Hypothèses!$V$13,Hypothèses!$W$13,IF(B273&lt;=Hypothèses!$V$14,Hypothèses!$W$14,IF(B273&lt;=Hypothèses!$V$15,Hypothèses!$W$15,IF(B273&lt;=Hypothèses!$V$16,Hypothèses!$W$16,IF(B273&lt;=Hypothèses!$V$17,Hypothèses!$W$17,IF(B273&lt;=Hypothèses!$V$18,Hypothèses!$W$18,""))))))))))))</f>
        <v/>
      </c>
      <c r="W273" s="87" t="e">
        <f t="shared" ref="W273:W336" ca="1" si="516">IF(V273&lt;&gt;"",V273,U273)</f>
        <v>#DIV/0!</v>
      </c>
      <c r="X273" s="88" t="str">
        <f>IF(B273&lt;=Hypothèses!$V$7,Hypothèses!$X$7,IF(B273&lt;=Hypothèses!$V$8,Hypothèses!$X$8,IF(B273&lt;=Hypothèses!$V$9,Hypothèses!$X$9,IF(B273&lt;=Hypothèses!$V$10,Hypothèses!$X$10,IF(B273&lt;=Hypothèses!$V$11,Hypothèses!$X$11,IF(B273&lt;=Hypothèses!$V$12,Hypothèses!$X$12,IF(B273&lt;=Hypothèses!$V$13,Hypothèses!$X$13,IF(B273&lt;=Hypothèses!$V$14,Hypothèses!$X$14,IF(B273&lt;=Hypothèses!$V$15,Hypothèses!$X$15,IF(B273&lt;=Hypothèses!$V$16,Hypothèses!$X$16,IF(B273&lt;=Hypothèses!$U$17,Hypothèses!$W$17,IF(B273&lt;=Hypothèses!$U$18,Hypothèses!$W$18,""))))))))))))</f>
        <v/>
      </c>
      <c r="Y273" s="95" t="e">
        <f t="shared" ca="1" si="436"/>
        <v>#DIV/0!</v>
      </c>
      <c r="Z273" s="101">
        <f t="shared" si="437"/>
        <v>0</v>
      </c>
      <c r="AA273" s="91">
        <f t="shared" si="438"/>
        <v>0</v>
      </c>
      <c r="AB273" s="30" t="e">
        <f t="shared" si="500"/>
        <v>#N/A</v>
      </c>
      <c r="AC273" s="30" t="e">
        <f t="shared" si="501"/>
        <v>#N/A</v>
      </c>
      <c r="AD273" s="31" t="e">
        <f>IF(OR(Hypothèses!$B$4=17,Hypothèses!$B$4=18,Hypothèses!$B$4=19,Hypothèses!$B$4=20),
IF($D273="Pressio.",
IF(OR($E273=3,$E273=1,$E273=4),AC273,AB273),
IF($D273="Pénétro.",
IF(OR($E273=3,$E273=1,$E273=4),AC273,AB273))),IF($D273="Pressio.",
IF($E273=3,AC273,AB273),
IF($D273="Pénétro.",
IF($E273=4,AC273,AB273))))</f>
        <v>#N/A</v>
      </c>
      <c r="AE273" s="31">
        <v>0</v>
      </c>
      <c r="AF273" s="102" t="e">
        <f>IF(NDC!$H$10="Oui",(VLOOKUP($B$3,'Coeff EC7'!$T$39:$X$59,2,0)*AD273+VLOOKUP($B$3,'Coeff EC7'!$T$65:$X$85,2,0)*Model0.1T!AE273)/1.5,PI()*AB$12*$Q273*($B273-$B272)*0.15/10+AF272)</f>
        <v>#N/A</v>
      </c>
      <c r="AG273" s="102" t="e">
        <f>(VLOOKUP($B$3,'Coeff EC7'!$T$39:$X$59,3,0)*AD273+VLOOKUP($B$3,'Coeff EC7'!$T$65:$X$85,3,0)*Model0.1T!AE273)/1.1</f>
        <v>#N/A</v>
      </c>
      <c r="AH273" s="102" t="e">
        <f t="shared" si="468"/>
        <v>#N/A</v>
      </c>
      <c r="AI273" s="102" t="e">
        <f t="shared" si="469"/>
        <v>#N/A</v>
      </c>
      <c r="AJ273" s="414" t="e">
        <f>IF(AND(AF273&gt;NDC!$C$63,AG273&gt;NDC!$C$65,AH273&gt;NDC!$D$73,AI273&gt;NDC!$D$74,$B273&gt;NDC!$H$22-0.1+MIN(3*$AJ$12,1.5)),0,1)</f>
        <v>#N/A</v>
      </c>
      <c r="AK273" s="86" t="b">
        <f t="shared" si="439"/>
        <v>0</v>
      </c>
      <c r="AL273" s="86">
        <f t="shared" si="470"/>
        <v>0.5</v>
      </c>
      <c r="AM273" s="86">
        <f t="shared" si="440"/>
        <v>0.5</v>
      </c>
      <c r="AN273" s="30" t="e">
        <f t="shared" ca="1" si="471"/>
        <v>#DIV/0!</v>
      </c>
      <c r="AO273" s="85" t="e">
        <f ca="1">IF(U273&lt;=Hypothèses!$V$7,Hypothèses!$W$7,IF(U273&lt;=Hypothèses!$V$8,Hypothèses!$W$8,IF(U273&lt;=Hypothèses!$V$9,Hypothèses!$W$9,IF(U273&lt;=Hypothèses!$V$10,Hypothèses!$W$10,IF(U273&lt;=Hypothèses!$V$11,Hypothèses!$W$11,IF(U273&lt;=Hypothèses!$V$12,Hypothèses!$W$12,IF(U273&lt;=Hypothèses!$V$13,Hypothèses!$W$13,IF(U273&lt;=Hypothèses!$V$14,Hypothèses!$W$14,IF(U273&lt;=Hypothèses!$V$15,Hypothèses!$W$15,IF(U273&lt;=Hypothèses!$V$16,Hypothèses!$W$16,IF(U273&lt;=Hypothèses!$V$17,Hypothèses!$W$17,IF(U273&lt;=Hypothèses!$V$18,Hypothèses!$W$18,""))))))))))))</f>
        <v>#DIV/0!</v>
      </c>
      <c r="AP273" s="87" t="e">
        <f t="shared" ref="AP273:AP336" ca="1" si="517">IF(AO273&lt;&gt;"",AO273,AN273)</f>
        <v>#DIV/0!</v>
      </c>
      <c r="AQ273" s="88" t="e">
        <f ca="1">IF(U273&lt;=Hypothèses!$V$7,Hypothèses!$X$7,IF(U273&lt;=Hypothèses!$V$8,Hypothèses!$X$8,IF(U273&lt;=Hypothèses!$V$9,Hypothèses!$X$9,IF(U273&lt;=Hypothèses!$V$10,Hypothèses!$X$10,IF(U273&lt;=Hypothèses!$V$11,Hypothèses!$X$11,IF(U273&lt;=Hypothèses!$V$12,Hypothèses!$X$12,IF(U273&lt;=Hypothèses!$V$13,Hypothèses!$X$13,IF(U273&lt;=Hypothèses!$V$14,Hypothèses!$X$14,IF(U273&lt;=Hypothèses!$V$15,Hypothèses!$X$15,IF(U273&lt;=Hypothèses!$V$16,Hypothèses!$X$16,IF(U273&lt;=Hypothèses!$U$17,Hypothèses!$W$17,IF(U273&lt;=Hypothèses!$U$18,Hypothèses!$W$18,""))))))))))))</f>
        <v>#DIV/0!</v>
      </c>
      <c r="AR273" s="95" t="e">
        <f t="shared" ca="1" si="472"/>
        <v>#DIV/0!</v>
      </c>
      <c r="AS273" s="101">
        <f t="shared" si="424"/>
        <v>0</v>
      </c>
      <c r="AT273" s="91">
        <f t="shared" si="441"/>
        <v>0</v>
      </c>
      <c r="AU273" s="30" t="e">
        <f t="shared" si="502"/>
        <v>#N/A</v>
      </c>
      <c r="AV273" s="30" t="e">
        <f t="shared" si="503"/>
        <v>#N/A</v>
      </c>
      <c r="AW273" s="31" t="e">
        <f>IF(OR(Hypothèses!$B$4=17,Hypothèses!$B$4=18,Hypothèses!$B$4=19,Hypothèses!$B$4=20),
IF($D273="Pressio.",
IF(OR($E273=3,$E273=1,$E273=4),AV273,AU273),
IF($D273="Pénétro.",
IF(OR($E273=3,$E273=1,$E273=4),AV273,AU273))),IF($D273="Pressio.",
IF($E273=3,AV273,AU273),
IF($D273="Pénétro.",
IF($E273=4,AV273,AU273))))</f>
        <v>#N/A</v>
      </c>
      <c r="AX273" s="31">
        <v>0</v>
      </c>
      <c r="AY273" s="102" t="e">
        <f>IF(NDC!$H$10="Oui",(VLOOKUP($B$3,'Coeff EC7'!$T$39:$X$59,2,0)*AW273+VLOOKUP($B$3,'Coeff EC7'!$T$65:$X$85,2,0)*Model0.1T!AX273)/1.5,PI()*AU$12*$Q273*($B273-$B272)*0.15/10+AY272)</f>
        <v>#N/A</v>
      </c>
      <c r="AZ273" s="102" t="e">
        <f>(VLOOKUP($B$3,'Coeff EC7'!$T$39:$X$59,3,0)*AW273+VLOOKUP($B$3,'Coeff EC7'!$T$65:$X$85,3,0)*Model0.1T!AX273)/1.1</f>
        <v>#N/A</v>
      </c>
      <c r="BA273" s="102" t="e">
        <f t="shared" si="473"/>
        <v>#N/A</v>
      </c>
      <c r="BB273" s="102" t="e">
        <f t="shared" si="474"/>
        <v>#N/A</v>
      </c>
      <c r="BC273" s="414" t="e">
        <f>IF(AND(AY273&gt;NDC!$C$63,AZ273&gt;NDC!$C$65,BA273&gt;NDC!$D$73,BB273&gt;NDC!$D$74,$B273&gt;NDC!$H$22-0.1+MIN(3*BC$12,1.5)),0,1)</f>
        <v>#N/A</v>
      </c>
      <c r="BD273" s="86" t="b">
        <f t="shared" si="442"/>
        <v>0</v>
      </c>
      <c r="BE273" s="86">
        <f t="shared" si="475"/>
        <v>0.5</v>
      </c>
      <c r="BF273" s="86">
        <f t="shared" si="443"/>
        <v>0.5</v>
      </c>
      <c r="BG273" s="30" t="e">
        <f t="shared" ca="1" si="476"/>
        <v>#DIV/0!</v>
      </c>
      <c r="BH273" s="85" t="e">
        <f ca="1">IF(AN273&lt;=Hypothèses!$V$7,Hypothèses!$W$7,IF(AN273&lt;=Hypothèses!$V$8,Hypothèses!$W$8,IF(AN273&lt;=Hypothèses!$V$9,Hypothèses!$W$9,IF(AN273&lt;=Hypothèses!$V$10,Hypothèses!$W$10,IF(AN273&lt;=Hypothèses!$V$11,Hypothèses!$W$11,IF(AN273&lt;=Hypothèses!$V$12,Hypothèses!$W$12,IF(AN273&lt;=Hypothèses!$V$13,Hypothèses!$W$13,IF(AN273&lt;=Hypothèses!$V$14,Hypothèses!$W$14,IF(AN273&lt;=Hypothèses!$V$15,Hypothèses!$W$15,IF(AN273&lt;=Hypothèses!$V$16,Hypothèses!$W$16,IF(AN273&lt;=Hypothèses!$V$17,Hypothèses!$W$17,IF(AN273&lt;=Hypothèses!$V$18,Hypothèses!$W$18,""))))))))))))</f>
        <v>#DIV/0!</v>
      </c>
      <c r="BI273" s="87" t="e">
        <f t="shared" ref="BI273:BI336" ca="1" si="518">IF(BH273&lt;&gt;"",BH273,BG273)</f>
        <v>#DIV/0!</v>
      </c>
      <c r="BJ273" s="88" t="e">
        <f ca="1">IF(AN273&lt;=Hypothèses!$V$7,Hypothèses!$X$7,IF(AN273&lt;=Hypothèses!$V$8,Hypothèses!$X$8,IF(AN273&lt;=Hypothèses!$V$9,Hypothèses!$X$9,IF(AN273&lt;=Hypothèses!$V$10,Hypothèses!$X$10,IF(AN273&lt;=Hypothèses!$V$11,Hypothèses!$X$11,IF(AN273&lt;=Hypothèses!$V$12,Hypothèses!$X$12,IF(AN273&lt;=Hypothèses!$V$13,Hypothèses!$X$13,IF(AN273&lt;=Hypothèses!$V$14,Hypothèses!$X$14,IF(AN273&lt;=Hypothèses!$V$15,Hypothèses!$X$15,IF(AN273&lt;=Hypothèses!$V$16,Hypothèses!$X$16,IF(AN273&lt;=Hypothèses!$U$17,Hypothèses!$W$17,IF(AN273&lt;=Hypothèses!$U$18,Hypothèses!$W$18,""))))))))))))</f>
        <v>#DIV/0!</v>
      </c>
      <c r="BK273" s="95" t="e">
        <f t="shared" ca="1" si="477"/>
        <v>#DIV/0!</v>
      </c>
      <c r="BL273" s="101">
        <f t="shared" si="425"/>
        <v>0</v>
      </c>
      <c r="BM273" s="91">
        <f t="shared" si="444"/>
        <v>0</v>
      </c>
      <c r="BN273" s="30" t="e">
        <f t="shared" si="504"/>
        <v>#N/A</v>
      </c>
      <c r="BO273" s="30" t="e">
        <f t="shared" si="505"/>
        <v>#N/A</v>
      </c>
      <c r="BP273" s="31" t="e">
        <f>IF(OR(Hypothèses!$B$4=17,Hypothèses!$B$4=18,Hypothèses!$B$4=19,Hypothèses!$B$4=20),
IF($D273="Pressio.",
IF(OR($E273=3,$E273=1,$E273=4),BO273,BN273),
IF($D273="Pénétro.",
IF(OR($E273=3,$E273=1,$E273=4),BO273,BN273))),IF($D273="Pressio.",
IF($E273=3,BO273,BN273),
IF($D273="Pénétro.",
IF($E273=4,BO273,BN273))))</f>
        <v>#N/A</v>
      </c>
      <c r="BQ273" s="31">
        <v>0</v>
      </c>
      <c r="BR273" s="102" t="e">
        <f>IF(NDC!$H$10="Oui",(VLOOKUP($B$3,'Coeff EC7'!$T$39:$X$59,2,0)*BP273+VLOOKUP($B$3,'Coeff EC7'!$T$65:$X$85,2,0)*Model0.1T!BQ273)/1.5,PI()*BN$12*$Q273*($B273-$B272)*0.15/10+BR272)</f>
        <v>#N/A</v>
      </c>
      <c r="BS273" s="102" t="e">
        <f>(VLOOKUP($B$3,'Coeff EC7'!$T$39:$X$59,3,0)*BP273+VLOOKUP($B$3,'Coeff EC7'!$T$65:$X$85,3,0)*Model0.1T!BQ273)/1.1</f>
        <v>#N/A</v>
      </c>
      <c r="BT273" s="102" t="e">
        <f t="shared" si="478"/>
        <v>#N/A</v>
      </c>
      <c r="BU273" s="102" t="e">
        <f t="shared" si="479"/>
        <v>#N/A</v>
      </c>
      <c r="BV273" s="414" t="e">
        <f>IF(AND(BR273&gt;NDC!$C$63,BS273&gt;NDC!$C$65,BT273&gt;NDC!$D$73,BU273&gt;NDC!$D$74,$B273&gt;NDC!$H$22-0.1+MIN(3*BV$12,1.5)),0,1)</f>
        <v>#N/A</v>
      </c>
      <c r="BW273" s="86" t="b">
        <f t="shared" si="445"/>
        <v>0</v>
      </c>
      <c r="BX273" s="86">
        <f t="shared" si="446"/>
        <v>0.5</v>
      </c>
      <c r="BY273" s="86">
        <f t="shared" si="447"/>
        <v>0.5</v>
      </c>
      <c r="BZ273" s="30" t="e">
        <f t="shared" ca="1" si="480"/>
        <v>#DIV/0!</v>
      </c>
      <c r="CA273" s="85" t="e">
        <f ca="1">IF(BG273&lt;=Hypothèses!$V$7,Hypothèses!$W$7,IF(BG273&lt;=Hypothèses!$V$8,Hypothèses!$W$8,IF(BG273&lt;=Hypothèses!$V$9,Hypothèses!$W$9,IF(BG273&lt;=Hypothèses!$V$10,Hypothèses!$W$10,IF(BG273&lt;=Hypothèses!$V$11,Hypothèses!$W$11,IF(BG273&lt;=Hypothèses!$V$12,Hypothèses!$W$12,IF(BG273&lt;=Hypothèses!$V$13,Hypothèses!$W$13,IF(BG273&lt;=Hypothèses!$V$14,Hypothèses!$W$14,IF(BG273&lt;=Hypothèses!$V$15,Hypothèses!$W$15,IF(BG273&lt;=Hypothèses!$V$16,Hypothèses!$W$16,IF(BG273&lt;=Hypothèses!$V$17,Hypothèses!$W$17,IF(BG273&lt;=Hypothèses!$V$18,Hypothèses!$W$18,""))))))))))))</f>
        <v>#DIV/0!</v>
      </c>
      <c r="CB273" s="87" t="e">
        <f t="shared" ref="CB273:CB336" ca="1" si="519">IF(CA273&lt;&gt;"",CA273,BZ273)</f>
        <v>#DIV/0!</v>
      </c>
      <c r="CC273" s="88" t="e">
        <f ca="1">IF(BG273&lt;=Hypothèses!$V$7,Hypothèses!$X$7,IF(BG273&lt;=Hypothèses!$V$8,Hypothèses!$X$8,IF(BG273&lt;=Hypothèses!$V$9,Hypothèses!$X$9,IF(BG273&lt;=Hypothèses!$V$10,Hypothèses!$X$10,IF(BG273&lt;=Hypothèses!$V$11,Hypothèses!$X$11,IF(BG273&lt;=Hypothèses!$V$12,Hypothèses!$X$12,IF(BG273&lt;=Hypothèses!$V$13,Hypothèses!$X$13,IF(BG273&lt;=Hypothèses!$V$14,Hypothèses!$X$14,IF(BG273&lt;=Hypothèses!$V$15,Hypothèses!$X$15,IF(BG273&lt;=Hypothèses!$V$16,Hypothèses!$X$16,IF(BG273&lt;=Hypothèses!$U$17,Hypothèses!$W$17,IF(BG273&lt;=Hypothèses!$U$18,Hypothèses!$W$18,""))))))))))))</f>
        <v>#DIV/0!</v>
      </c>
      <c r="CD273" s="95" t="e">
        <f t="shared" ca="1" si="481"/>
        <v>#DIV/0!</v>
      </c>
      <c r="CE273" s="101">
        <f t="shared" si="426"/>
        <v>0</v>
      </c>
      <c r="CF273" s="91">
        <f t="shared" si="448"/>
        <v>0</v>
      </c>
      <c r="CG273" s="30" t="e">
        <f t="shared" si="506"/>
        <v>#N/A</v>
      </c>
      <c r="CH273" s="30" t="e">
        <f t="shared" si="507"/>
        <v>#N/A</v>
      </c>
      <c r="CI273" s="31" t="e">
        <f>IF(OR(Hypothèses!$B$4=17,Hypothèses!$B$4=18,Hypothèses!$B$4=19,Hypothèses!$B$4=20),
IF($D273="Pressio.",
IF(OR($E273=3,$E273=1,$E273=4),CH273,CG273),
IF($D273="Pénétro.",
IF(OR($E273=3,$E273=1,$E273=4),CH273,CG273))),IF($D273="Pressio.",
IF($E273=3,CH273,CG273),
IF($D273="Pénétro.",
IF($E273=4,CH273,CG273))))</f>
        <v>#N/A</v>
      </c>
      <c r="CJ273" s="31">
        <v>0</v>
      </c>
      <c r="CK273" s="102" t="e">
        <f>IF(NDC!$H$10="Oui",(VLOOKUP($B$3,'Coeff EC7'!$T$39:$X$59,2,0)*CI273+VLOOKUP($B$3,'Coeff EC7'!$T$65:$X$85,2,0)*Model0.1T!CJ273)/1.5,PI()*CG$12*$Q273*($B273-$B272)*0.15/10+CK272)</f>
        <v>#N/A</v>
      </c>
      <c r="CL273" s="102" t="e">
        <f>(VLOOKUP($B$3,'Coeff EC7'!$T$39:$X$59,3,0)*CI273+VLOOKUP($B$3,'Coeff EC7'!$T$65:$X$85,3,0)*Model0.1T!CJ273)/1.1</f>
        <v>#N/A</v>
      </c>
      <c r="CM273" s="102" t="e">
        <f t="shared" si="482"/>
        <v>#N/A</v>
      </c>
      <c r="CN273" s="102" t="e">
        <f t="shared" si="483"/>
        <v>#N/A</v>
      </c>
      <c r="CO273" s="414" t="e">
        <f>IF(AND(CK273&gt;NDC!$C$63,CL273&gt;NDC!$C$65,CM273&gt;NDC!$D$73,CN273&gt;NDC!$D$74,$B273&gt;NDC!$H$22-0.1+MIN(3*CO$12,1.5)),0,1)</f>
        <v>#N/A</v>
      </c>
      <c r="CP273" s="86" t="b">
        <f t="shared" si="449"/>
        <v>0</v>
      </c>
      <c r="CQ273" s="86">
        <f t="shared" si="450"/>
        <v>0.5</v>
      </c>
      <c r="CR273" s="86">
        <f t="shared" si="451"/>
        <v>0.5</v>
      </c>
      <c r="CS273" s="30" t="e">
        <f t="shared" ca="1" si="484"/>
        <v>#DIV/0!</v>
      </c>
      <c r="CT273" s="85" t="e">
        <f ca="1">IF(BZ273&lt;=Hypothèses!$V$7,Hypothèses!$W$7,IF(BZ273&lt;=Hypothèses!$V$8,Hypothèses!$W$8,IF(BZ273&lt;=Hypothèses!$V$9,Hypothèses!$W$9,IF(BZ273&lt;=Hypothèses!$V$10,Hypothèses!$W$10,IF(BZ273&lt;=Hypothèses!$V$11,Hypothèses!$W$11,IF(BZ273&lt;=Hypothèses!$V$12,Hypothèses!$W$12,IF(BZ273&lt;=Hypothèses!$V$13,Hypothèses!$W$13,IF(BZ273&lt;=Hypothèses!$V$14,Hypothèses!$W$14,IF(BZ273&lt;=Hypothèses!$V$15,Hypothèses!$W$15,IF(BZ273&lt;=Hypothèses!$V$16,Hypothèses!$W$16,IF(BZ273&lt;=Hypothèses!$V$17,Hypothèses!$W$17,IF(BZ273&lt;=Hypothèses!$V$18,Hypothèses!$W$18,""))))))))))))</f>
        <v>#DIV/0!</v>
      </c>
      <c r="CU273" s="87" t="e">
        <f t="shared" ref="CU273:CU336" ca="1" si="520">IF(CT273&lt;&gt;"",CT273,CS273)</f>
        <v>#DIV/0!</v>
      </c>
      <c r="CV273" s="88" t="e">
        <f ca="1">IF(BZ273&lt;=Hypothèses!$V$7,Hypothèses!$X$7,IF(BZ273&lt;=Hypothèses!$V$8,Hypothèses!$X$8,IF(BZ273&lt;=Hypothèses!$V$9,Hypothèses!$X$9,IF(BZ273&lt;=Hypothèses!$V$10,Hypothèses!$X$10,IF(BZ273&lt;=Hypothèses!$V$11,Hypothèses!$X$11,IF(BZ273&lt;=Hypothèses!$V$12,Hypothèses!$X$12,IF(BZ273&lt;=Hypothèses!$V$13,Hypothèses!$X$13,IF(BZ273&lt;=Hypothèses!$V$14,Hypothèses!$X$14,IF(BZ273&lt;=Hypothèses!$V$15,Hypothèses!$X$15,IF(BZ273&lt;=Hypothèses!$V$16,Hypothèses!$X$16,IF(BZ273&lt;=Hypothèses!$U$17,Hypothèses!$W$17,IF(BZ273&lt;=Hypothèses!$U$18,Hypothèses!$W$18,""))))))))))))</f>
        <v>#DIV/0!</v>
      </c>
      <c r="CW273" s="95" t="e">
        <f t="shared" ca="1" si="485"/>
        <v>#DIV/0!</v>
      </c>
      <c r="CX273" s="101">
        <f t="shared" si="427"/>
        <v>0</v>
      </c>
      <c r="CY273" s="91">
        <f t="shared" si="452"/>
        <v>0</v>
      </c>
      <c r="CZ273" s="30" t="e">
        <f t="shared" si="508"/>
        <v>#N/A</v>
      </c>
      <c r="DA273" s="30" t="e">
        <f t="shared" si="509"/>
        <v>#N/A</v>
      </c>
      <c r="DB273" s="31" t="e">
        <f>IF(OR(Hypothèses!$B$4=17,Hypothèses!$B$4=18,Hypothèses!$B$4=19,Hypothèses!$B$4=20),
IF($D273="Pressio.",
IF(OR($E273=3,$E273=1,$E273=4),DA273,CZ273),
IF($D273="Pénétro.",
IF(OR($E273=3,$E273=1,$E273=4),DA273,CZ273))),IF($D273="Pressio.",
IF($E273=3,DA273,CZ273),
IF($D273="Pénétro.",
IF($E273=4,DA273,CZ273))))</f>
        <v>#N/A</v>
      </c>
      <c r="DC273" s="31">
        <v>0</v>
      </c>
      <c r="DD273" s="102" t="e">
        <f>IF(NDC!$H$10="Oui",(VLOOKUP($B$3,'Coeff EC7'!$T$39:$X$59,2,0)*DB273+VLOOKUP($B$3,'Coeff EC7'!$T$65:$X$85,2,0)*Model0.1T!DC273)/1.5,PI()*CZ$12*$Q273*($B273-$B272)*0.15/10+DD272)</f>
        <v>#N/A</v>
      </c>
      <c r="DE273" s="102" t="e">
        <f>(VLOOKUP($B$3,'Coeff EC7'!$T$39:$X$59,3,0)*DB273+VLOOKUP($B$3,'Coeff EC7'!$T$65:$X$85,3,0)*Model0.1T!DC273)/1.1</f>
        <v>#N/A</v>
      </c>
      <c r="DF273" s="102" t="e">
        <f t="shared" si="486"/>
        <v>#N/A</v>
      </c>
      <c r="DG273" s="102" t="e">
        <f t="shared" si="487"/>
        <v>#N/A</v>
      </c>
      <c r="DH273" s="414" t="e">
        <f>IF(AND(DD273&gt;NDC!$C$63,DE273&gt;NDC!$C$65,DF273&gt;NDC!$D$73,DG273&gt;NDC!$D$74,$B273&gt;NDC!$H$22-0.1+MIN(3*DH$12,1.5)),0,1)</f>
        <v>#N/A</v>
      </c>
      <c r="DI273" s="86" t="b">
        <f t="shared" si="453"/>
        <v>0</v>
      </c>
      <c r="DJ273" s="86">
        <f t="shared" si="454"/>
        <v>0.5</v>
      </c>
      <c r="DK273" s="86">
        <f t="shared" si="455"/>
        <v>0.5</v>
      </c>
      <c r="DL273" s="30" t="e">
        <f t="shared" ca="1" si="488"/>
        <v>#DIV/0!</v>
      </c>
      <c r="DM273" s="85" t="e">
        <f ca="1">IF(CS273&lt;=Hypothèses!$V$7,Hypothèses!$W$7,IF(CS273&lt;=Hypothèses!$V$8,Hypothèses!$W$8,IF(CS273&lt;=Hypothèses!$V$9,Hypothèses!$W$9,IF(CS273&lt;=Hypothèses!$V$10,Hypothèses!$W$10,IF(CS273&lt;=Hypothèses!$V$11,Hypothèses!$W$11,IF(CS273&lt;=Hypothèses!$V$12,Hypothèses!$W$12,IF(CS273&lt;=Hypothèses!$V$13,Hypothèses!$W$13,IF(CS273&lt;=Hypothèses!$V$14,Hypothèses!$W$14,IF(CS273&lt;=Hypothèses!$V$15,Hypothèses!$W$15,IF(CS273&lt;=Hypothèses!$V$16,Hypothèses!$W$16,IF(CS273&lt;=Hypothèses!$V$17,Hypothèses!$W$17,IF(CS273&lt;=Hypothèses!$V$18,Hypothèses!$W$18,""))))))))))))</f>
        <v>#DIV/0!</v>
      </c>
      <c r="DN273" s="87" t="e">
        <f t="shared" ref="DN273:DN336" ca="1" si="521">IF(DM273&lt;&gt;"",DM273,DL273)</f>
        <v>#DIV/0!</v>
      </c>
      <c r="DO273" s="88" t="e">
        <f ca="1">IF(CS273&lt;=Hypothèses!$V$7,Hypothèses!$X$7,IF(CS273&lt;=Hypothèses!$V$8,Hypothèses!$X$8,IF(CS273&lt;=Hypothèses!$V$9,Hypothèses!$X$9,IF(CS273&lt;=Hypothèses!$V$10,Hypothèses!$X$10,IF(CS273&lt;=Hypothèses!$V$11,Hypothèses!$X$11,IF(CS273&lt;=Hypothèses!$V$12,Hypothèses!$X$12,IF(CS273&lt;=Hypothèses!$V$13,Hypothèses!$X$13,IF(CS273&lt;=Hypothèses!$V$14,Hypothèses!$X$14,IF(CS273&lt;=Hypothèses!$V$15,Hypothèses!$X$15,IF(CS273&lt;=Hypothèses!$V$16,Hypothèses!$X$16,IF(CS273&lt;=Hypothèses!$U$17,Hypothèses!$W$17,IF(CS273&lt;=Hypothèses!$U$18,Hypothèses!$W$18,""))))))))))))</f>
        <v>#DIV/0!</v>
      </c>
      <c r="DP273" s="95" t="e">
        <f t="shared" ca="1" si="489"/>
        <v>#DIV/0!</v>
      </c>
      <c r="DQ273" s="101">
        <f t="shared" si="428"/>
        <v>0</v>
      </c>
      <c r="DR273" s="91">
        <f t="shared" si="456"/>
        <v>0</v>
      </c>
      <c r="DS273" s="30" t="e">
        <f t="shared" si="510"/>
        <v>#N/A</v>
      </c>
      <c r="DT273" s="30" t="e">
        <f t="shared" si="511"/>
        <v>#N/A</v>
      </c>
      <c r="DU273" s="31" t="e">
        <f>IF(OR(Hypothèses!$B$4=17,Hypothèses!$B$4=18,Hypothèses!$B$4=19,Hypothèses!$B$4=20),
IF($D273="Pressio.",
IF(OR($E273=3,$E273=1,$E273=4),DT273,DS273),
IF($D273="Pénétro.",
IF(OR($E273=3,$E273=1,$E273=4),DT273,DS273))),IF($D273="Pressio.",
IF($E273=3,DT273,DS273),
IF($D273="Pénétro.",
IF($E273=4,DT273,DS273))))</f>
        <v>#N/A</v>
      </c>
      <c r="DV273" s="31">
        <v>0</v>
      </c>
      <c r="DW273" s="102" t="e">
        <f>IF(NDC!$H$10="Oui",(VLOOKUP($B$3,'Coeff EC7'!$T$39:$X$59,2,0)*DU273+VLOOKUP($B$3,'Coeff EC7'!$T$65:$X$85,2,0)*Model0.1T!DV273)/1.5,PI()*DS$12*$Q273*($B273-$B272)*0.15/10+DW272)</f>
        <v>#N/A</v>
      </c>
      <c r="DX273" s="102" t="e">
        <f>(VLOOKUP($B$3,'Coeff EC7'!$T$39:$X$59,3,0)*DU273+VLOOKUP($B$3,'Coeff EC7'!$T$65:$X$85,3,0)*Model0.1T!DV273)/1.1</f>
        <v>#N/A</v>
      </c>
      <c r="DY273" s="102" t="e">
        <f t="shared" si="490"/>
        <v>#N/A</v>
      </c>
      <c r="DZ273" s="102" t="e">
        <f t="shared" si="491"/>
        <v>#N/A</v>
      </c>
      <c r="EA273" s="414" t="e">
        <f>IF(AND(DW273&gt;NDC!$C$63,DX273&gt;NDC!$C$65,DY273&gt;NDC!$D$73,DZ273&gt;NDC!$D$74,$B273&gt;NDC!$H$22-0.1+MIN(3*EA$12,1.5)),0,1)</f>
        <v>#N/A</v>
      </c>
      <c r="EB273" s="86" t="b">
        <f t="shared" si="457"/>
        <v>0</v>
      </c>
      <c r="EC273" s="418">
        <f t="shared" si="458"/>
        <v>0.51</v>
      </c>
      <c r="ED273" s="86">
        <f t="shared" si="459"/>
        <v>0.51</v>
      </c>
      <c r="EE273" s="30" t="e">
        <f t="shared" ca="1" si="492"/>
        <v>#DIV/0!</v>
      </c>
      <c r="EF273" s="85" t="e">
        <f ca="1">IF(DL273&lt;=Hypothèses!$V$7,Hypothèses!$W$7,IF(DL273&lt;=Hypothèses!$V$8,Hypothèses!$W$8,IF(DL273&lt;=Hypothèses!$V$9,Hypothèses!$W$9,IF(DL273&lt;=Hypothèses!$V$10,Hypothèses!$W$10,IF(DL273&lt;=Hypothèses!$V$11,Hypothèses!$W$11,IF(DL273&lt;=Hypothèses!$V$12,Hypothèses!$W$12,IF(DL273&lt;=Hypothèses!$V$13,Hypothèses!$W$13,IF(DL273&lt;=Hypothèses!$V$14,Hypothèses!$W$14,IF(DL273&lt;=Hypothèses!$V$15,Hypothèses!$W$15,IF(DL273&lt;=Hypothèses!$V$16,Hypothèses!$W$16,IF(DL273&lt;=Hypothèses!$V$17,Hypothèses!$W$17,IF(DL273&lt;=Hypothèses!$V$18,Hypothèses!$W$18,""))))))))))))</f>
        <v>#DIV/0!</v>
      </c>
      <c r="EG273" s="87" t="e">
        <f t="shared" ref="EG273:EG336" ca="1" si="522">IF(EF273&lt;&gt;"",EF273,EE273)</f>
        <v>#DIV/0!</v>
      </c>
      <c r="EH273" s="88" t="e">
        <f ca="1">IF(DL273&lt;=Hypothèses!$V$7,Hypothèses!$X$7,IF(DL273&lt;=Hypothèses!$V$8,Hypothèses!$X$8,IF(DL273&lt;=Hypothèses!$V$9,Hypothèses!$X$9,IF(DL273&lt;=Hypothèses!$V$10,Hypothèses!$X$10,IF(DL273&lt;=Hypothèses!$V$11,Hypothèses!$X$11,IF(DL273&lt;=Hypothèses!$V$12,Hypothèses!$X$12,IF(DL273&lt;=Hypothèses!$V$13,Hypothèses!$X$13,IF(DL273&lt;=Hypothèses!$V$14,Hypothèses!$X$14,IF(DL273&lt;=Hypothèses!$V$15,Hypothèses!$X$15,IF(DL273&lt;=Hypothèses!$V$16,Hypothèses!$X$16,IF(DL273&lt;=Hypothèses!$U$17,Hypothèses!$W$17,IF(DL273&lt;=Hypothèses!$U$18,Hypothèses!$W$18,""))))))))))))</f>
        <v>#DIV/0!</v>
      </c>
      <c r="EI273" s="95" t="e">
        <f t="shared" ca="1" si="493"/>
        <v>#DIV/0!</v>
      </c>
      <c r="EJ273" s="101">
        <f t="shared" si="429"/>
        <v>0</v>
      </c>
      <c r="EK273" s="91">
        <f t="shared" si="460"/>
        <v>0</v>
      </c>
      <c r="EL273" s="30" t="e">
        <f t="shared" si="512"/>
        <v>#N/A</v>
      </c>
      <c r="EM273" s="30" t="e">
        <f t="shared" si="513"/>
        <v>#N/A</v>
      </c>
      <c r="EN273" s="31" t="e">
        <f>IF(OR(Hypothèses!$B$4=17,Hypothèses!$B$4=18,Hypothèses!$B$4=19,Hypothèses!$B$4=20),
IF($D273="Pressio.",
IF(OR($E273=3,$E273=1,$E273=4),EM273,EL273),
IF($D273="Pénétro.",
IF(OR($E273=3,$E273=1,$E273=4),EM273,EL273))),IF($D273="Pressio.",
IF($E273=3,EM273,EL273),
IF($D273="Pénétro.",
IF($E273=4,EM273,EL273))))</f>
        <v>#N/A</v>
      </c>
      <c r="EO273" s="31">
        <v>0</v>
      </c>
      <c r="EP273" s="102" t="e">
        <f>IF(NDC!$H$10="Oui",(VLOOKUP($B$3,'Coeff EC7'!$T$39:$X$59,2,0)*EN273+VLOOKUP($B$3,'Coeff EC7'!$T$65:$X$85,2,0)*Model0.1T!EO273)/1.5,PI()*EL$12*$Q273*($B273-$B272)*0.15/10+EP272)</f>
        <v>#N/A</v>
      </c>
      <c r="EQ273" s="102" t="e">
        <f>(VLOOKUP($B$3,'Coeff EC7'!$T$39:$X$59,3,0)*EN273+VLOOKUP($B$3,'Coeff EC7'!$T$65:$X$85,3,0)*Model0.1T!EO273)/1.1</f>
        <v>#N/A</v>
      </c>
      <c r="ER273" s="102" t="e">
        <f t="shared" si="494"/>
        <v>#N/A</v>
      </c>
      <c r="ES273" s="102" t="e">
        <f t="shared" si="495"/>
        <v>#N/A</v>
      </c>
      <c r="ET273" s="414" t="e">
        <f>IF(AND(EP273&gt;NDC!$C$63,EQ273&gt;NDC!$C$65,ER273&gt;NDC!$D$73,ES273&gt;NDC!$D$74,$B273&gt;NDC!$H$22-0.1+MIN(3*ET$12,1.5)),0,1)</f>
        <v>#N/A</v>
      </c>
      <c r="EU273" s="86" t="b">
        <f t="shared" si="461"/>
        <v>0</v>
      </c>
      <c r="EV273" s="86">
        <f t="shared" si="462"/>
        <v>0.61</v>
      </c>
      <c r="EW273" s="86">
        <f t="shared" si="463"/>
        <v>0.61</v>
      </c>
      <c r="EX273" s="30" t="e">
        <f t="shared" ca="1" si="496"/>
        <v>#DIV/0!</v>
      </c>
      <c r="EY273" s="85" t="e">
        <f ca="1">IF(EE273&lt;=Hypothèses!$V$7,Hypothèses!$W$7,IF(EE273&lt;=Hypothèses!$V$8,Hypothèses!$W$8,IF(EE273&lt;=Hypothèses!$V$9,Hypothèses!$W$9,IF(EE273&lt;=Hypothèses!$V$10,Hypothèses!$W$10,IF(EE273&lt;=Hypothèses!$V$11,Hypothèses!$W$11,IF(EE273&lt;=Hypothèses!$V$12,Hypothèses!$W$12,IF(EE273&lt;=Hypothèses!$V$13,Hypothèses!$W$13,IF(EE273&lt;=Hypothèses!$V$14,Hypothèses!$W$14,IF(EE273&lt;=Hypothèses!$V$15,Hypothèses!$W$15,IF(EE273&lt;=Hypothèses!$V$16,Hypothèses!$W$16,IF(EE273&lt;=Hypothèses!$V$17,Hypothèses!$W$17,IF(EE273&lt;=Hypothèses!$V$18,Hypothèses!$W$18,""))))))))))))</f>
        <v>#DIV/0!</v>
      </c>
      <c r="EZ273" s="87" t="e">
        <f t="shared" ref="EZ273:EZ336" ca="1" si="523">IF(EY273&lt;&gt;"",EY273,EX273)</f>
        <v>#DIV/0!</v>
      </c>
      <c r="FA273" s="88" t="e">
        <f ca="1">IF(EE273&lt;=Hypothèses!$V$7,Hypothèses!$X$7,IF(EE273&lt;=Hypothèses!$V$8,Hypothèses!$X$8,IF(EE273&lt;=Hypothèses!$V$9,Hypothèses!$X$9,IF(EE273&lt;=Hypothèses!$V$10,Hypothèses!$X$10,IF(EE273&lt;=Hypothèses!$V$11,Hypothèses!$X$11,IF(EE273&lt;=Hypothèses!$V$12,Hypothèses!$X$12,IF(EE273&lt;=Hypothèses!$V$13,Hypothèses!$X$13,IF(EE273&lt;=Hypothèses!$V$14,Hypothèses!$X$14,IF(EE273&lt;=Hypothèses!$V$15,Hypothèses!$X$15,IF(EE273&lt;=Hypothèses!$V$16,Hypothèses!$X$16,IF(EE273&lt;=Hypothèses!$U$17,Hypothèses!$W$17,IF(EE273&lt;=Hypothèses!$U$18,Hypothèses!$W$18,""))))))))))))</f>
        <v>#DIV/0!</v>
      </c>
      <c r="FB273" s="95" t="e">
        <f t="shared" ca="1" si="497"/>
        <v>#DIV/0!</v>
      </c>
      <c r="FC273" s="101">
        <f t="shared" si="430"/>
        <v>0</v>
      </c>
      <c r="FD273" s="91">
        <f t="shared" si="464"/>
        <v>0</v>
      </c>
      <c r="FE273" s="30" t="e">
        <f t="shared" si="514"/>
        <v>#N/A</v>
      </c>
      <c r="FF273" s="30" t="e">
        <f t="shared" si="515"/>
        <v>#N/A</v>
      </c>
      <c r="FG273" s="31" t="e">
        <f>IF(OR(Hypothèses!$B$4=17,Hypothèses!$B$4=18,Hypothèses!$B$4=19,Hypothèses!$B$4=20),
IF($D273="Pressio.",
IF(OR($E273=3,$E273=1,$E273=4),FF273,FE273),
IF($D273="Pénétro.",
IF(OR($E273=3,$E273=1,$E273=4),FF273,FE273))),IF($D273="Pressio.",
IF($E273=3,FF273,FE273),
IF($D273="Pénétro.",
IF($E273=4,FF273,FE273))))</f>
        <v>#N/A</v>
      </c>
      <c r="FH273" s="31">
        <v>0</v>
      </c>
      <c r="FI273" s="102" t="e">
        <f>IF(NDC!$H$10="Oui",(VLOOKUP($B$3,'Coeff EC7'!$T$39:$X$59,2,0)*FG273+VLOOKUP($B$3,'Coeff EC7'!$T$65:$X$85,2,0)*Model0.1T!FH273)/1.5,PI()*FE$12*$Q273*($B273-$B272)*0.15/10+FI272)</f>
        <v>#N/A</v>
      </c>
      <c r="FJ273" s="102" t="e">
        <f>(VLOOKUP($B$3,'Coeff EC7'!$T$39:$X$59,3,0)*FG273+VLOOKUP($B$3,'Coeff EC7'!$T$65:$X$85,3,0)*Model0.1T!FH273)/1.1</f>
        <v>#N/A</v>
      </c>
      <c r="FK273" s="102" t="e">
        <f t="shared" si="498"/>
        <v>#N/A</v>
      </c>
      <c r="FL273" s="102" t="e">
        <f t="shared" si="499"/>
        <v>#N/A</v>
      </c>
      <c r="FM273" s="414" t="e">
        <f>IF(AND(FI273&gt;NDC!$C$63,FJ273&gt;NDC!$C$65,FK273&gt;NDC!$D$73,FL273&gt;NDC!$D$74,$B273&gt;NDC!$H$22-0.1+MIN(3*FM$12,1.5)),0,1)</f>
        <v>#N/A</v>
      </c>
    </row>
    <row r="274" spans="1:169">
      <c r="A274" s="96">
        <f t="shared" si="465"/>
        <v>73.900000000001484</v>
      </c>
      <c r="B274" s="97">
        <v>26.1</v>
      </c>
      <c r="C274" s="81">
        <f>IF(B274&lt;=Hypothèses!$C$7,Hypothèses!$A$7,IF(B274&lt;=Hypothèses!$C$8,Hypothèses!$A$8,IF(B274&lt;=Hypothèses!$C$9,Hypothèses!$A$9,IF(B274&lt;=Hypothèses!$C$10,Hypothèses!$A$10,IF(B274&lt;=Hypothèses!$C$11,Hypothèses!$A$11,IF(B274&lt;=Hypothèses!$C$12,Hypothèses!$A$12,IF(B274&lt;=Hypothèses!$C$13,Hypothèses!$A$13,IF(B274&lt;=Hypothèses!$C$14,Hypothèses!$A$14,IF(B274&lt;=Hypothèses!$C$15,Hypothèses!$A$15,IF(B274&lt;=Hypothèses!$C$16,Hypothèses!$A$16,IF(B274&lt;=Hypothèses!$C$17,Hypothèses!$A$17,IF(B274&lt;=Hypothèses!$C$18,Hypothèses!$A$18,C273))))))))))))</f>
        <v>11</v>
      </c>
      <c r="D274" s="82" t="str">
        <f>IF(B274&lt;=Hypothèses!$C$7,Hypothèses!$R$7,IF(B274&lt;=Hypothèses!$C$8,Hypothèses!$R$8,IF(B274&lt;=Hypothèses!$C$9,Hypothèses!$R$9,IF(B274&lt;=Hypothèses!$C$10,Hypothèses!$R$10,IF(B274&lt;=Hypothèses!$C$11,Hypothèses!$R$11,IF(B274&lt;=Hypothèses!$C$12,Hypothèses!$R$12,IF(B274&lt;=Hypothèses!$C$13,Hypothèses!$R$13,IF(B274&lt;=Hypothèses!$C$14,Hypothèses!$R$14,IF(B274&lt;=Hypothèses!$C$15,Hypothèses!$R$15,IF(B274&lt;=Hypothèses!$C$16,Hypothèses!$R$16,IF(B274&lt;=Hypothèses!$C$17,Hypothèses!$R$17,IF(B274&lt;=Hypothèses!$C$18,Hypothèses!$R$18,D273))))))))))))</f>
        <v>Pressio.</v>
      </c>
      <c r="E274" s="82" t="e">
        <f>IF(B274&lt;=Hypothèses!$C$7,Hypothèses!$G$7,IF(B274&lt;=Hypothèses!$C$8,Hypothèses!$G$8,IF(B274&lt;=Hypothèses!$C$9,Hypothèses!$G$9,IF(B274&lt;=Hypothèses!$C$10,Hypothèses!$G$10,IF(B274&lt;=Hypothèses!$C$11,Hypothèses!$G$11,IF(B274&lt;=Hypothèses!$C$12,Hypothèses!$G$12,IF(B274&lt;=Hypothèses!$C$13,Hypothèses!$G$13,IF(B274&lt;=Hypothèses!$C$14,Hypothèses!$G$14,IF(B274&lt;=Hypothèses!$C$15,Hypothèses!$G$15,IF(B274&lt;=Hypothèses!$C$16,Hypothèses!$G$16,IF(B274&lt;=Hypothèses!$C$17,Hypothèses!$G$17,IF(B274&lt;=Hypothèses!$C$18,Hypothèses!$G$18,E273))))))))))))</f>
        <v>#N/A</v>
      </c>
      <c r="F274" s="82" t="str">
        <f>IF(B274&lt;=Hypothèses!$C$7,Hypothèses!$F$7,IF(B274&lt;=Hypothèses!$C$8,Hypothèses!$F$8,IF(B274&lt;=Hypothèses!$C$9,Hypothèses!$F$9,IF(B274&lt;=Hypothèses!$C$10,Hypothèses!$F$10,IF(B274&lt;=Hypothèses!$C$11,Hypothèses!$F$11,IF(B274&lt;=Hypothèses!$C$12,Hypothèses!$F$12,IF(B274&lt;=Hypothèses!$C$13,Hypothèses!$F$13,IF(B274&lt;=Hypothèses!$C$14,Hypothèses!$F$14,IF(B274&lt;=Hypothèses!$C$15,Hypothèses!$F$15,IF(B274&lt;=Hypothèses!$C$16,Hypothèses!$F$16,IF(B274&lt;=Hypothèses!$C$17,Hypothèses!$F$17,IF(B274&lt;=Hypothèses!$C$18,Hypothèses!$F$18,F273))))))))))))</f>
        <v/>
      </c>
      <c r="G274" s="91">
        <f t="array" ref="G274">INDEX('Coeff EC7'!$U$7:$X$27,
MATCH(Model0.1T!$B$3,'Coeff EC7'!$T$7:$T$27,0),
MATCH(Model0.1T!$D274&amp;Model0.1T!$B$4,
'Coeff EC7'!$U$6:$X$6&amp;
'Coeff EC7'!$U$5:$X$5,0))</f>
        <v>1.4</v>
      </c>
      <c r="H274" s="91">
        <f t="array" ref="H274">INDEX('Coeff EC7'!$Y$7:$AB$27,
MATCH(Model0.1T!$B$3,'Coeff EC7'!$T$7:$T$27,0),
MATCH(Model0.1T!$D274&amp;Model0.1T!$B$4,
'Coeff EC7'!$Y$6:$AB$6&amp;
'Coeff EC7'!$Y$5:$AB$5,0))</f>
        <v>1.7</v>
      </c>
      <c r="I274" s="83">
        <v>0</v>
      </c>
      <c r="J274" s="91" t="e">
        <f t="array" ref="J274">INDEX('Coeff EC7'!$D$33:$Q$33,1,MATCH(D274&amp;E274,'Coeff EC7'!$D$31:$Q$31&amp;'Coeff EC7'!$D$32:$Q$32,0))</f>
        <v>#N/A</v>
      </c>
      <c r="K274" s="91" t="e">
        <f t="array" ref="K274">INDEX('Coeff EC7'!$D$34:$Q$34,1,MATCH(D274&amp;E274,'Coeff EC7'!$D$31:$Q$31&amp;'Coeff EC7'!$D$32:$Q$32,0))</f>
        <v>#N/A</v>
      </c>
      <c r="L274" s="91" t="e">
        <f t="array" ref="L274">INDEX('Coeff EC7'!$D$35:$Q$35,1,MATCH(D274&amp;E274,'Coeff EC7'!$D$31:$Q$31&amp;'Coeff EC7'!$D$32:$Q$32,0))</f>
        <v>#N/A</v>
      </c>
      <c r="M274" s="98" t="e">
        <f t="shared" si="431"/>
        <v>#N/A</v>
      </c>
      <c r="N274" s="99" t="e">
        <f t="array" ref="N274">INDEX('Coeff EC7'!$D$7:$Q$27,MATCH($B$3,'Coeff EC7'!$C$7:$C$27,0),MATCH(D274&amp;E274,'Coeff EC7'!$D$5:$Q$5&amp;'Coeff EC7'!$D$6:$Q$6,0))</f>
        <v>#N/A</v>
      </c>
      <c r="O274" s="99" t="e">
        <f t="array" ref="O274">INDEX('Coeff EC7'!$D$41:$Q$61,MATCH($B$3,'Coeff EC7'!$C$41:$C$61,0),MATCH(D274&amp;E274,'Coeff EC7'!$D$39:$Q$39&amp;'Coeff EC7'!$D$40:$Q$40,0))</f>
        <v>#N/A</v>
      </c>
      <c r="P274" s="30" t="e">
        <f t="shared" si="466"/>
        <v>#N/A</v>
      </c>
      <c r="Q274" s="100" t="e">
        <f t="shared" si="433"/>
        <v>#N/A</v>
      </c>
      <c r="R274" s="86" t="b">
        <f t="shared" si="434"/>
        <v>0</v>
      </c>
      <c r="S274" s="86">
        <f t="shared" si="432"/>
        <v>0.5</v>
      </c>
      <c r="T274" s="86">
        <f t="shared" si="435"/>
        <v>0.5</v>
      </c>
      <c r="U274" s="30" t="e">
        <f t="shared" ca="1" si="467"/>
        <v>#DIV/0!</v>
      </c>
      <c r="V274" s="85" t="str">
        <f>IF(B274&lt;=Hypothèses!$V$7,Hypothèses!$W$7,IF(B274&lt;=Hypothèses!$V$8,Hypothèses!$W$8,IF(B274&lt;=Hypothèses!$V$9,Hypothèses!$W$9,IF(B274&lt;=Hypothèses!$V$10,Hypothèses!$W$10,IF(B274&lt;=Hypothèses!$V$11,Hypothèses!$W$11,IF(B274&lt;=Hypothèses!$V$12,Hypothèses!$W$12,IF(B274&lt;=Hypothèses!$V$13,Hypothèses!$W$13,IF(B274&lt;=Hypothèses!$V$14,Hypothèses!$W$14,IF(B274&lt;=Hypothèses!$V$15,Hypothèses!$W$15,IF(B274&lt;=Hypothèses!$V$16,Hypothèses!$W$16,IF(B274&lt;=Hypothèses!$V$17,Hypothèses!$W$17,IF(B274&lt;=Hypothèses!$V$18,Hypothèses!$W$18,""))))))))))))</f>
        <v/>
      </c>
      <c r="W274" s="87" t="e">
        <f t="shared" ca="1" si="516"/>
        <v>#DIV/0!</v>
      </c>
      <c r="X274" s="88" t="str">
        <f>IF(B274&lt;=Hypothèses!$V$7,Hypothèses!$X$7,IF(B274&lt;=Hypothèses!$V$8,Hypothèses!$X$8,IF(B274&lt;=Hypothèses!$V$9,Hypothèses!$X$9,IF(B274&lt;=Hypothèses!$V$10,Hypothèses!$X$10,IF(B274&lt;=Hypothèses!$V$11,Hypothèses!$X$11,IF(B274&lt;=Hypothèses!$V$12,Hypothèses!$X$12,IF(B274&lt;=Hypothèses!$V$13,Hypothèses!$X$13,IF(B274&lt;=Hypothèses!$V$14,Hypothèses!$X$14,IF(B274&lt;=Hypothèses!$V$15,Hypothèses!$X$15,IF(B274&lt;=Hypothèses!$V$16,Hypothèses!$X$16,IF(B274&lt;=Hypothèses!$U$17,Hypothèses!$W$17,IF(B274&lt;=Hypothèses!$U$18,Hypothèses!$W$18,""))))))))))))</f>
        <v/>
      </c>
      <c r="Y274" s="95" t="e">
        <f t="shared" ca="1" si="436"/>
        <v>#DIV/0!</v>
      </c>
      <c r="Z274" s="101">
        <f t="shared" si="437"/>
        <v>0</v>
      </c>
      <c r="AA274" s="91">
        <f t="shared" si="438"/>
        <v>0</v>
      </c>
      <c r="AB274" s="30" t="e">
        <f t="shared" si="500"/>
        <v>#N/A</v>
      </c>
      <c r="AC274" s="30" t="e">
        <f t="shared" si="501"/>
        <v>#N/A</v>
      </c>
      <c r="AD274" s="31" t="e">
        <f>IF(OR(Hypothèses!$B$4=17,Hypothèses!$B$4=18,Hypothèses!$B$4=19,Hypothèses!$B$4=20),
IF($D274="Pressio.",
IF(OR($E274=3,$E274=1,$E274=4),AC274,AB274),
IF($D274="Pénétro.",
IF(OR($E274=3,$E274=1,$E274=4),AC274,AB274))),IF($D274="Pressio.",
IF($E274=3,AC274,AB274),
IF($D274="Pénétro.",
IF($E274=4,AC274,AB274))))</f>
        <v>#N/A</v>
      </c>
      <c r="AE274" s="31">
        <v>0</v>
      </c>
      <c r="AF274" s="102" t="e">
        <f>IF(NDC!$H$10="Oui",(VLOOKUP($B$3,'Coeff EC7'!$T$39:$X$59,2,0)*AD274+VLOOKUP($B$3,'Coeff EC7'!$T$65:$X$85,2,0)*Model0.1T!AE274)/1.5,PI()*AB$12*$Q274*($B274-$B273)*0.15/10+AF273)</f>
        <v>#N/A</v>
      </c>
      <c r="AG274" s="102" t="e">
        <f>(VLOOKUP($B$3,'Coeff EC7'!$T$39:$X$59,3,0)*AD274+VLOOKUP($B$3,'Coeff EC7'!$T$65:$X$85,3,0)*Model0.1T!AE274)/1.1</f>
        <v>#N/A</v>
      </c>
      <c r="AH274" s="102" t="e">
        <f t="shared" si="468"/>
        <v>#N/A</v>
      </c>
      <c r="AI274" s="102" t="e">
        <f t="shared" si="469"/>
        <v>#N/A</v>
      </c>
      <c r="AJ274" s="414" t="e">
        <f>IF(AND(AF274&gt;NDC!$C$63,AG274&gt;NDC!$C$65,AH274&gt;NDC!$D$73,AI274&gt;NDC!$D$74,$B274&gt;NDC!$H$22-0.1+MIN(3*$AJ$12,1.5)),0,1)</f>
        <v>#N/A</v>
      </c>
      <c r="AK274" s="86" t="b">
        <f t="shared" si="439"/>
        <v>0</v>
      </c>
      <c r="AL274" s="86">
        <f t="shared" si="470"/>
        <v>0.5</v>
      </c>
      <c r="AM274" s="86">
        <f t="shared" si="440"/>
        <v>0.5</v>
      </c>
      <c r="AN274" s="30" t="e">
        <f t="shared" ca="1" si="471"/>
        <v>#DIV/0!</v>
      </c>
      <c r="AO274" s="85" t="e">
        <f ca="1">IF(U274&lt;=Hypothèses!$V$7,Hypothèses!$W$7,IF(U274&lt;=Hypothèses!$V$8,Hypothèses!$W$8,IF(U274&lt;=Hypothèses!$V$9,Hypothèses!$W$9,IF(U274&lt;=Hypothèses!$V$10,Hypothèses!$W$10,IF(U274&lt;=Hypothèses!$V$11,Hypothèses!$W$11,IF(U274&lt;=Hypothèses!$V$12,Hypothèses!$W$12,IF(U274&lt;=Hypothèses!$V$13,Hypothèses!$W$13,IF(U274&lt;=Hypothèses!$V$14,Hypothèses!$W$14,IF(U274&lt;=Hypothèses!$V$15,Hypothèses!$W$15,IF(U274&lt;=Hypothèses!$V$16,Hypothèses!$W$16,IF(U274&lt;=Hypothèses!$V$17,Hypothèses!$W$17,IF(U274&lt;=Hypothèses!$V$18,Hypothèses!$W$18,""))))))))))))</f>
        <v>#DIV/0!</v>
      </c>
      <c r="AP274" s="87" t="e">
        <f t="shared" ca="1" si="517"/>
        <v>#DIV/0!</v>
      </c>
      <c r="AQ274" s="88" t="e">
        <f ca="1">IF(U274&lt;=Hypothèses!$V$7,Hypothèses!$X$7,IF(U274&lt;=Hypothèses!$V$8,Hypothèses!$X$8,IF(U274&lt;=Hypothèses!$V$9,Hypothèses!$X$9,IF(U274&lt;=Hypothèses!$V$10,Hypothèses!$X$10,IF(U274&lt;=Hypothèses!$V$11,Hypothèses!$X$11,IF(U274&lt;=Hypothèses!$V$12,Hypothèses!$X$12,IF(U274&lt;=Hypothèses!$V$13,Hypothèses!$X$13,IF(U274&lt;=Hypothèses!$V$14,Hypothèses!$X$14,IF(U274&lt;=Hypothèses!$V$15,Hypothèses!$X$15,IF(U274&lt;=Hypothèses!$V$16,Hypothèses!$X$16,IF(U274&lt;=Hypothèses!$U$17,Hypothèses!$W$17,IF(U274&lt;=Hypothèses!$U$18,Hypothèses!$W$18,""))))))))))))</f>
        <v>#DIV/0!</v>
      </c>
      <c r="AR274" s="95" t="e">
        <f t="shared" ca="1" si="472"/>
        <v>#DIV/0!</v>
      </c>
      <c r="AS274" s="101">
        <f t="shared" ref="AS274:AS337" si="524">IF($I274=0,0,
IF(AR274&gt;5*AW$12,$I274,
IF($D274="Pressio.",1+($I274-1)*(AR274/AW$12)/5,
IF($D274="Pénétro.",IF($E274=1,0.3+($I274-0.3)*(AR274/AW$12)/5,
IF($E274=2,0.2+($I274-0.2)*(AR274/AW$12)/5,
IF($E274=3,0.1+($I274-0.1)*(AR274/AW$12)/5,
0.15+($I274-0.15)*(AR274/AW$12)/5)))))))</f>
        <v>0</v>
      </c>
      <c r="AT274" s="91">
        <f t="shared" si="441"/>
        <v>0</v>
      </c>
      <c r="AU274" s="30" t="e">
        <f t="shared" si="502"/>
        <v>#N/A</v>
      </c>
      <c r="AV274" s="30" t="e">
        <f t="shared" si="503"/>
        <v>#N/A</v>
      </c>
      <c r="AW274" s="31" t="e">
        <f>IF(OR(Hypothèses!$B$4=17,Hypothèses!$B$4=18,Hypothèses!$B$4=19,Hypothèses!$B$4=20),
IF($D274="Pressio.",
IF(OR($E274=3,$E274=1,$E274=4),AV274,AU274),
IF($D274="Pénétro.",
IF(OR($E274=3,$E274=1,$E274=4),AV274,AU274))),IF($D274="Pressio.",
IF($E274=3,AV274,AU274),
IF($D274="Pénétro.",
IF($E274=4,AV274,AU274))))</f>
        <v>#N/A</v>
      </c>
      <c r="AX274" s="31">
        <v>0</v>
      </c>
      <c r="AY274" s="102" t="e">
        <f>IF(NDC!$H$10="Oui",(VLOOKUP($B$3,'Coeff EC7'!$T$39:$X$59,2,0)*AW274+VLOOKUP($B$3,'Coeff EC7'!$T$65:$X$85,2,0)*Model0.1T!AX274)/1.5,PI()*AU$12*$Q274*($B274-$B273)*0.15/10+AY273)</f>
        <v>#N/A</v>
      </c>
      <c r="AZ274" s="102" t="e">
        <f>(VLOOKUP($B$3,'Coeff EC7'!$T$39:$X$59,3,0)*AW274+VLOOKUP($B$3,'Coeff EC7'!$T$65:$X$85,3,0)*Model0.1T!AX274)/1.1</f>
        <v>#N/A</v>
      </c>
      <c r="BA274" s="102" t="e">
        <f t="shared" si="473"/>
        <v>#N/A</v>
      </c>
      <c r="BB274" s="102" t="e">
        <f t="shared" si="474"/>
        <v>#N/A</v>
      </c>
      <c r="BC274" s="414" t="e">
        <f>IF(AND(AY274&gt;NDC!$C$63,AZ274&gt;NDC!$C$65,BA274&gt;NDC!$D$73,BB274&gt;NDC!$D$74,$B274&gt;NDC!$H$22-0.1+MIN(3*BC$12,1.5)),0,1)</f>
        <v>#N/A</v>
      </c>
      <c r="BD274" s="86" t="b">
        <f t="shared" si="442"/>
        <v>0</v>
      </c>
      <c r="BE274" s="86">
        <f t="shared" si="475"/>
        <v>0.5</v>
      </c>
      <c r="BF274" s="86">
        <f t="shared" si="443"/>
        <v>0.5</v>
      </c>
      <c r="BG274" s="30" t="e">
        <f t="shared" ca="1" si="476"/>
        <v>#DIV/0!</v>
      </c>
      <c r="BH274" s="85" t="e">
        <f ca="1">IF(AN274&lt;=Hypothèses!$V$7,Hypothèses!$W$7,IF(AN274&lt;=Hypothèses!$V$8,Hypothèses!$W$8,IF(AN274&lt;=Hypothèses!$V$9,Hypothèses!$W$9,IF(AN274&lt;=Hypothèses!$V$10,Hypothèses!$W$10,IF(AN274&lt;=Hypothèses!$V$11,Hypothèses!$W$11,IF(AN274&lt;=Hypothèses!$V$12,Hypothèses!$W$12,IF(AN274&lt;=Hypothèses!$V$13,Hypothèses!$W$13,IF(AN274&lt;=Hypothèses!$V$14,Hypothèses!$W$14,IF(AN274&lt;=Hypothèses!$V$15,Hypothèses!$W$15,IF(AN274&lt;=Hypothèses!$V$16,Hypothèses!$W$16,IF(AN274&lt;=Hypothèses!$V$17,Hypothèses!$W$17,IF(AN274&lt;=Hypothèses!$V$18,Hypothèses!$W$18,""))))))))))))</f>
        <v>#DIV/0!</v>
      </c>
      <c r="BI274" s="87" t="e">
        <f t="shared" ca="1" si="518"/>
        <v>#DIV/0!</v>
      </c>
      <c r="BJ274" s="88" t="e">
        <f ca="1">IF(AN274&lt;=Hypothèses!$V$7,Hypothèses!$X$7,IF(AN274&lt;=Hypothèses!$V$8,Hypothèses!$X$8,IF(AN274&lt;=Hypothèses!$V$9,Hypothèses!$X$9,IF(AN274&lt;=Hypothèses!$V$10,Hypothèses!$X$10,IF(AN274&lt;=Hypothèses!$V$11,Hypothèses!$X$11,IF(AN274&lt;=Hypothèses!$V$12,Hypothèses!$X$12,IF(AN274&lt;=Hypothèses!$V$13,Hypothèses!$X$13,IF(AN274&lt;=Hypothèses!$V$14,Hypothèses!$X$14,IF(AN274&lt;=Hypothèses!$V$15,Hypothèses!$X$15,IF(AN274&lt;=Hypothèses!$V$16,Hypothèses!$X$16,IF(AN274&lt;=Hypothèses!$U$17,Hypothèses!$W$17,IF(AN274&lt;=Hypothèses!$U$18,Hypothèses!$W$18,""))))))))))))</f>
        <v>#DIV/0!</v>
      </c>
      <c r="BK274" s="95" t="e">
        <f t="shared" ca="1" si="477"/>
        <v>#DIV/0!</v>
      </c>
      <c r="BL274" s="101">
        <f t="shared" ref="BL274:BL337" si="525">IF($I274=0,0,
IF(BK274&gt;5*BP$12,$I274,
IF($D274="Pressio.",1+($I274-1)*(BK274/BP$12)/5,
IF($D274="Pénétro.",IF($E274=1,0.3+($I274-0.3)*(BK274/BP$12)/5,
IF($E274=2,0.2+($I274-0.2)*(BK274/BP$12)/5,
IF($E274=3,0.1+($I274-0.1)*(BK274/BP$12)/5,
0.15+($I274-0.15)*(BK274/BP$12)/5)))))))</f>
        <v>0</v>
      </c>
      <c r="BM274" s="91">
        <f t="shared" si="444"/>
        <v>0</v>
      </c>
      <c r="BN274" s="30" t="e">
        <f t="shared" si="504"/>
        <v>#N/A</v>
      </c>
      <c r="BO274" s="30" t="e">
        <f t="shared" si="505"/>
        <v>#N/A</v>
      </c>
      <c r="BP274" s="31" t="e">
        <f>IF(OR(Hypothèses!$B$4=17,Hypothèses!$B$4=18,Hypothèses!$B$4=19,Hypothèses!$B$4=20),
IF($D274="Pressio.",
IF(OR($E274=3,$E274=1,$E274=4),BO274,BN274),
IF($D274="Pénétro.",
IF(OR($E274=3,$E274=1,$E274=4),BO274,BN274))),IF($D274="Pressio.",
IF($E274=3,BO274,BN274),
IF($D274="Pénétro.",
IF($E274=4,BO274,BN274))))</f>
        <v>#N/A</v>
      </c>
      <c r="BQ274" s="31">
        <v>0</v>
      </c>
      <c r="BR274" s="102" t="e">
        <f>IF(NDC!$H$10="Oui",(VLOOKUP($B$3,'Coeff EC7'!$T$39:$X$59,2,0)*BP274+VLOOKUP($B$3,'Coeff EC7'!$T$65:$X$85,2,0)*Model0.1T!BQ274)/1.5,PI()*BN$12*$Q274*($B274-$B273)*0.15/10+BR273)</f>
        <v>#N/A</v>
      </c>
      <c r="BS274" s="102" t="e">
        <f>(VLOOKUP($B$3,'Coeff EC7'!$T$39:$X$59,3,0)*BP274+VLOOKUP($B$3,'Coeff EC7'!$T$65:$X$85,3,0)*Model0.1T!BQ274)/1.1</f>
        <v>#N/A</v>
      </c>
      <c r="BT274" s="102" t="e">
        <f t="shared" si="478"/>
        <v>#N/A</v>
      </c>
      <c r="BU274" s="102" t="e">
        <f t="shared" si="479"/>
        <v>#N/A</v>
      </c>
      <c r="BV274" s="414" t="e">
        <f>IF(AND(BR274&gt;NDC!$C$63,BS274&gt;NDC!$C$65,BT274&gt;NDC!$D$73,BU274&gt;NDC!$D$74,$B274&gt;NDC!$H$22-0.1+MIN(3*BV$12,1.5)),0,1)</f>
        <v>#N/A</v>
      </c>
      <c r="BW274" s="86" t="b">
        <f t="shared" si="445"/>
        <v>0</v>
      </c>
      <c r="BX274" s="86">
        <f t="shared" si="446"/>
        <v>0.5</v>
      </c>
      <c r="BY274" s="86">
        <f t="shared" si="447"/>
        <v>0.5</v>
      </c>
      <c r="BZ274" s="30" t="e">
        <f t="shared" ca="1" si="480"/>
        <v>#DIV/0!</v>
      </c>
      <c r="CA274" s="85" t="e">
        <f ca="1">IF(BG274&lt;=Hypothèses!$V$7,Hypothèses!$W$7,IF(BG274&lt;=Hypothèses!$V$8,Hypothèses!$W$8,IF(BG274&lt;=Hypothèses!$V$9,Hypothèses!$W$9,IF(BG274&lt;=Hypothèses!$V$10,Hypothèses!$W$10,IF(BG274&lt;=Hypothèses!$V$11,Hypothèses!$W$11,IF(BG274&lt;=Hypothèses!$V$12,Hypothèses!$W$12,IF(BG274&lt;=Hypothèses!$V$13,Hypothèses!$W$13,IF(BG274&lt;=Hypothèses!$V$14,Hypothèses!$W$14,IF(BG274&lt;=Hypothèses!$V$15,Hypothèses!$W$15,IF(BG274&lt;=Hypothèses!$V$16,Hypothèses!$W$16,IF(BG274&lt;=Hypothèses!$V$17,Hypothèses!$W$17,IF(BG274&lt;=Hypothèses!$V$18,Hypothèses!$W$18,""))))))))))))</f>
        <v>#DIV/0!</v>
      </c>
      <c r="CB274" s="87" t="e">
        <f t="shared" ca="1" si="519"/>
        <v>#DIV/0!</v>
      </c>
      <c r="CC274" s="88" t="e">
        <f ca="1">IF(BG274&lt;=Hypothèses!$V$7,Hypothèses!$X$7,IF(BG274&lt;=Hypothèses!$V$8,Hypothèses!$X$8,IF(BG274&lt;=Hypothèses!$V$9,Hypothèses!$X$9,IF(BG274&lt;=Hypothèses!$V$10,Hypothèses!$X$10,IF(BG274&lt;=Hypothèses!$V$11,Hypothèses!$X$11,IF(BG274&lt;=Hypothèses!$V$12,Hypothèses!$X$12,IF(BG274&lt;=Hypothèses!$V$13,Hypothèses!$X$13,IF(BG274&lt;=Hypothèses!$V$14,Hypothèses!$X$14,IF(BG274&lt;=Hypothèses!$V$15,Hypothèses!$X$15,IF(BG274&lt;=Hypothèses!$V$16,Hypothèses!$X$16,IF(BG274&lt;=Hypothèses!$U$17,Hypothèses!$W$17,IF(BG274&lt;=Hypothèses!$U$18,Hypothèses!$W$18,""))))))))))))</f>
        <v>#DIV/0!</v>
      </c>
      <c r="CD274" s="95" t="e">
        <f t="shared" ca="1" si="481"/>
        <v>#DIV/0!</v>
      </c>
      <c r="CE274" s="101">
        <f t="shared" ref="CE274:CE337" si="526">IF($I274=0,0,
IF(CD274&gt;5*CI$12,$I274,
IF($D274="Pressio.",1+($I274-1)*(CD274/CI$12)/5,
IF($D274="Pénétro.",IF($E274=1,0.3+($I274-0.3)*(CD274/CI$12)/5,
IF($E274=2,0.2+($I274-0.2)*(CD274/CI$12)/5,
IF($E274=3,0.1+($I274-0.1)*(CD274/CI$12)/5,
0.15+($I274-0.15)*(CD274/CI$12)/5)))))))</f>
        <v>0</v>
      </c>
      <c r="CF274" s="91">
        <f t="shared" si="448"/>
        <v>0</v>
      </c>
      <c r="CG274" s="30" t="e">
        <f t="shared" si="506"/>
        <v>#N/A</v>
      </c>
      <c r="CH274" s="30" t="e">
        <f t="shared" si="507"/>
        <v>#N/A</v>
      </c>
      <c r="CI274" s="31" t="e">
        <f>IF(OR(Hypothèses!$B$4=17,Hypothèses!$B$4=18,Hypothèses!$B$4=19,Hypothèses!$B$4=20),
IF($D274="Pressio.",
IF(OR($E274=3,$E274=1,$E274=4),CH274,CG274),
IF($D274="Pénétro.",
IF(OR($E274=3,$E274=1,$E274=4),CH274,CG274))),IF($D274="Pressio.",
IF($E274=3,CH274,CG274),
IF($D274="Pénétro.",
IF($E274=4,CH274,CG274))))</f>
        <v>#N/A</v>
      </c>
      <c r="CJ274" s="31">
        <v>0</v>
      </c>
      <c r="CK274" s="102" t="e">
        <f>IF(NDC!$H$10="Oui",(VLOOKUP($B$3,'Coeff EC7'!$T$39:$X$59,2,0)*CI274+VLOOKUP($B$3,'Coeff EC7'!$T$65:$X$85,2,0)*Model0.1T!CJ274)/1.5,PI()*CG$12*$Q274*($B274-$B273)*0.15/10+CK273)</f>
        <v>#N/A</v>
      </c>
      <c r="CL274" s="102" t="e">
        <f>(VLOOKUP($B$3,'Coeff EC7'!$T$39:$X$59,3,0)*CI274+VLOOKUP($B$3,'Coeff EC7'!$T$65:$X$85,3,0)*Model0.1T!CJ274)/1.1</f>
        <v>#N/A</v>
      </c>
      <c r="CM274" s="102" t="e">
        <f t="shared" si="482"/>
        <v>#N/A</v>
      </c>
      <c r="CN274" s="102" t="e">
        <f t="shared" si="483"/>
        <v>#N/A</v>
      </c>
      <c r="CO274" s="414" t="e">
        <f>IF(AND(CK274&gt;NDC!$C$63,CL274&gt;NDC!$C$65,CM274&gt;NDC!$D$73,CN274&gt;NDC!$D$74,$B274&gt;NDC!$H$22-0.1+MIN(3*CO$12,1.5)),0,1)</f>
        <v>#N/A</v>
      </c>
      <c r="CP274" s="86" t="b">
        <f t="shared" si="449"/>
        <v>0</v>
      </c>
      <c r="CQ274" s="86">
        <f t="shared" si="450"/>
        <v>0.5</v>
      </c>
      <c r="CR274" s="86">
        <f t="shared" si="451"/>
        <v>0.5</v>
      </c>
      <c r="CS274" s="30" t="e">
        <f t="shared" ca="1" si="484"/>
        <v>#DIV/0!</v>
      </c>
      <c r="CT274" s="85" t="e">
        <f ca="1">IF(BZ274&lt;=Hypothèses!$V$7,Hypothèses!$W$7,IF(BZ274&lt;=Hypothèses!$V$8,Hypothèses!$W$8,IF(BZ274&lt;=Hypothèses!$V$9,Hypothèses!$W$9,IF(BZ274&lt;=Hypothèses!$V$10,Hypothèses!$W$10,IF(BZ274&lt;=Hypothèses!$V$11,Hypothèses!$W$11,IF(BZ274&lt;=Hypothèses!$V$12,Hypothèses!$W$12,IF(BZ274&lt;=Hypothèses!$V$13,Hypothèses!$W$13,IF(BZ274&lt;=Hypothèses!$V$14,Hypothèses!$W$14,IF(BZ274&lt;=Hypothèses!$V$15,Hypothèses!$W$15,IF(BZ274&lt;=Hypothèses!$V$16,Hypothèses!$W$16,IF(BZ274&lt;=Hypothèses!$V$17,Hypothèses!$W$17,IF(BZ274&lt;=Hypothèses!$V$18,Hypothèses!$W$18,""))))))))))))</f>
        <v>#DIV/0!</v>
      </c>
      <c r="CU274" s="87" t="e">
        <f t="shared" ca="1" si="520"/>
        <v>#DIV/0!</v>
      </c>
      <c r="CV274" s="88" t="e">
        <f ca="1">IF(BZ274&lt;=Hypothèses!$V$7,Hypothèses!$X$7,IF(BZ274&lt;=Hypothèses!$V$8,Hypothèses!$X$8,IF(BZ274&lt;=Hypothèses!$V$9,Hypothèses!$X$9,IF(BZ274&lt;=Hypothèses!$V$10,Hypothèses!$X$10,IF(BZ274&lt;=Hypothèses!$V$11,Hypothèses!$X$11,IF(BZ274&lt;=Hypothèses!$V$12,Hypothèses!$X$12,IF(BZ274&lt;=Hypothèses!$V$13,Hypothèses!$X$13,IF(BZ274&lt;=Hypothèses!$V$14,Hypothèses!$X$14,IF(BZ274&lt;=Hypothèses!$V$15,Hypothèses!$X$15,IF(BZ274&lt;=Hypothèses!$V$16,Hypothèses!$X$16,IF(BZ274&lt;=Hypothèses!$U$17,Hypothèses!$W$17,IF(BZ274&lt;=Hypothèses!$U$18,Hypothèses!$W$18,""))))))))))))</f>
        <v>#DIV/0!</v>
      </c>
      <c r="CW274" s="95" t="e">
        <f t="shared" ca="1" si="485"/>
        <v>#DIV/0!</v>
      </c>
      <c r="CX274" s="101">
        <f t="shared" ref="CX274:CX337" si="527">IF($I274=0,0,
IF(CW274&gt;5*DB$12,$I274,
IF($D274="Pressio.",1+($I274-1)*(CW274/DB$12)/5,
IF($D274="Pénétro.",IF($E274=1,0.3+($I274-0.3)*(CW274/DB$12)/5,
IF($E274=2,0.2+($I274-0.2)*(CW274/DB$12)/5,
IF($E274=3,0.1+($I274-0.1)*(CW274/DB$12)/5,
0.15+($I274-0.15)*(CW274/DB$12)/5)))))))</f>
        <v>0</v>
      </c>
      <c r="CY274" s="91">
        <f t="shared" si="452"/>
        <v>0</v>
      </c>
      <c r="CZ274" s="30" t="e">
        <f t="shared" si="508"/>
        <v>#N/A</v>
      </c>
      <c r="DA274" s="30" t="e">
        <f t="shared" si="509"/>
        <v>#N/A</v>
      </c>
      <c r="DB274" s="31" t="e">
        <f>IF(OR(Hypothèses!$B$4=17,Hypothèses!$B$4=18,Hypothèses!$B$4=19,Hypothèses!$B$4=20),
IF($D274="Pressio.",
IF(OR($E274=3,$E274=1,$E274=4),DA274,CZ274),
IF($D274="Pénétro.",
IF(OR($E274=3,$E274=1,$E274=4),DA274,CZ274))),IF($D274="Pressio.",
IF($E274=3,DA274,CZ274),
IF($D274="Pénétro.",
IF($E274=4,DA274,CZ274))))</f>
        <v>#N/A</v>
      </c>
      <c r="DC274" s="31">
        <v>0</v>
      </c>
      <c r="DD274" s="102" t="e">
        <f>IF(NDC!$H$10="Oui",(VLOOKUP($B$3,'Coeff EC7'!$T$39:$X$59,2,0)*DB274+VLOOKUP($B$3,'Coeff EC7'!$T$65:$X$85,2,0)*Model0.1T!DC274)/1.5,PI()*CZ$12*$Q274*($B274-$B273)*0.15/10+DD273)</f>
        <v>#N/A</v>
      </c>
      <c r="DE274" s="102" t="e">
        <f>(VLOOKUP($B$3,'Coeff EC7'!$T$39:$X$59,3,0)*DB274+VLOOKUP($B$3,'Coeff EC7'!$T$65:$X$85,3,0)*Model0.1T!DC274)/1.1</f>
        <v>#N/A</v>
      </c>
      <c r="DF274" s="102" t="e">
        <f t="shared" si="486"/>
        <v>#N/A</v>
      </c>
      <c r="DG274" s="102" t="e">
        <f t="shared" si="487"/>
        <v>#N/A</v>
      </c>
      <c r="DH274" s="414" t="e">
        <f>IF(AND(DD274&gt;NDC!$C$63,DE274&gt;NDC!$C$65,DF274&gt;NDC!$D$73,DG274&gt;NDC!$D$74,$B274&gt;NDC!$H$22-0.1+MIN(3*DH$12,1.5)),0,1)</f>
        <v>#N/A</v>
      </c>
      <c r="DI274" s="86" t="b">
        <f t="shared" si="453"/>
        <v>0</v>
      </c>
      <c r="DJ274" s="86">
        <f t="shared" si="454"/>
        <v>0.5</v>
      </c>
      <c r="DK274" s="86">
        <f t="shared" si="455"/>
        <v>0.5</v>
      </c>
      <c r="DL274" s="30" t="e">
        <f t="shared" ca="1" si="488"/>
        <v>#DIV/0!</v>
      </c>
      <c r="DM274" s="85" t="e">
        <f ca="1">IF(CS274&lt;=Hypothèses!$V$7,Hypothèses!$W$7,IF(CS274&lt;=Hypothèses!$V$8,Hypothèses!$W$8,IF(CS274&lt;=Hypothèses!$V$9,Hypothèses!$W$9,IF(CS274&lt;=Hypothèses!$V$10,Hypothèses!$W$10,IF(CS274&lt;=Hypothèses!$V$11,Hypothèses!$W$11,IF(CS274&lt;=Hypothèses!$V$12,Hypothèses!$W$12,IF(CS274&lt;=Hypothèses!$V$13,Hypothèses!$W$13,IF(CS274&lt;=Hypothèses!$V$14,Hypothèses!$W$14,IF(CS274&lt;=Hypothèses!$V$15,Hypothèses!$W$15,IF(CS274&lt;=Hypothèses!$V$16,Hypothèses!$W$16,IF(CS274&lt;=Hypothèses!$V$17,Hypothèses!$W$17,IF(CS274&lt;=Hypothèses!$V$18,Hypothèses!$W$18,""))))))))))))</f>
        <v>#DIV/0!</v>
      </c>
      <c r="DN274" s="87" t="e">
        <f t="shared" ca="1" si="521"/>
        <v>#DIV/0!</v>
      </c>
      <c r="DO274" s="88" t="e">
        <f ca="1">IF(CS274&lt;=Hypothèses!$V$7,Hypothèses!$X$7,IF(CS274&lt;=Hypothèses!$V$8,Hypothèses!$X$8,IF(CS274&lt;=Hypothèses!$V$9,Hypothèses!$X$9,IF(CS274&lt;=Hypothèses!$V$10,Hypothèses!$X$10,IF(CS274&lt;=Hypothèses!$V$11,Hypothèses!$X$11,IF(CS274&lt;=Hypothèses!$V$12,Hypothèses!$X$12,IF(CS274&lt;=Hypothèses!$V$13,Hypothèses!$X$13,IF(CS274&lt;=Hypothèses!$V$14,Hypothèses!$X$14,IF(CS274&lt;=Hypothèses!$V$15,Hypothèses!$X$15,IF(CS274&lt;=Hypothèses!$V$16,Hypothèses!$X$16,IF(CS274&lt;=Hypothèses!$U$17,Hypothèses!$W$17,IF(CS274&lt;=Hypothèses!$U$18,Hypothèses!$W$18,""))))))))))))</f>
        <v>#DIV/0!</v>
      </c>
      <c r="DP274" s="95" t="e">
        <f t="shared" ca="1" si="489"/>
        <v>#DIV/0!</v>
      </c>
      <c r="DQ274" s="101">
        <f t="shared" ref="DQ274:DQ337" si="528">IF($I274=0,0,
IF(DP274&gt;5*DU$12,$I274,
IF($D274="Pressio.",1+($I274-1)*(DP274/DU$12)/5,
IF($D274="Pénétro.",IF($E274=1,0.3+($I274-0.3)*(DP274/DU$12)/5,
IF($E274=2,0.2+($I274-0.2)*(DP274/DU$12)/5,
IF($E274=3,0.1+($I274-0.1)*(DP274/DU$12)/5,
0.15+($I274-0.15)*(DP274/DU$12)/5)))))))</f>
        <v>0</v>
      </c>
      <c r="DR274" s="91">
        <f t="shared" si="456"/>
        <v>0</v>
      </c>
      <c r="DS274" s="30" t="e">
        <f t="shared" si="510"/>
        <v>#N/A</v>
      </c>
      <c r="DT274" s="30" t="e">
        <f t="shared" si="511"/>
        <v>#N/A</v>
      </c>
      <c r="DU274" s="31" t="e">
        <f>IF(OR(Hypothèses!$B$4=17,Hypothèses!$B$4=18,Hypothèses!$B$4=19,Hypothèses!$B$4=20),
IF($D274="Pressio.",
IF(OR($E274=3,$E274=1,$E274=4),DT274,DS274),
IF($D274="Pénétro.",
IF(OR($E274=3,$E274=1,$E274=4),DT274,DS274))),IF($D274="Pressio.",
IF($E274=3,DT274,DS274),
IF($D274="Pénétro.",
IF($E274=4,DT274,DS274))))</f>
        <v>#N/A</v>
      </c>
      <c r="DV274" s="31">
        <v>0</v>
      </c>
      <c r="DW274" s="102" t="e">
        <f>IF(NDC!$H$10="Oui",(VLOOKUP($B$3,'Coeff EC7'!$T$39:$X$59,2,0)*DU274+VLOOKUP($B$3,'Coeff EC7'!$T$65:$X$85,2,0)*Model0.1T!DV274)/1.5,PI()*DS$12*$Q274*($B274-$B273)*0.15/10+DW273)</f>
        <v>#N/A</v>
      </c>
      <c r="DX274" s="102" t="e">
        <f>(VLOOKUP($B$3,'Coeff EC7'!$T$39:$X$59,3,0)*DU274+VLOOKUP($B$3,'Coeff EC7'!$T$65:$X$85,3,0)*Model0.1T!DV274)/1.1</f>
        <v>#N/A</v>
      </c>
      <c r="DY274" s="102" t="e">
        <f t="shared" si="490"/>
        <v>#N/A</v>
      </c>
      <c r="DZ274" s="102" t="e">
        <f t="shared" si="491"/>
        <v>#N/A</v>
      </c>
      <c r="EA274" s="414" t="e">
        <f>IF(AND(DW274&gt;NDC!$C$63,DX274&gt;NDC!$C$65,DY274&gt;NDC!$D$73,DZ274&gt;NDC!$D$74,$B274&gt;NDC!$H$22-0.1+MIN(3*EA$12,1.5)),0,1)</f>
        <v>#N/A</v>
      </c>
      <c r="EB274" s="86" t="b">
        <f t="shared" si="457"/>
        <v>0</v>
      </c>
      <c r="EC274" s="418">
        <f t="shared" si="458"/>
        <v>0.51</v>
      </c>
      <c r="ED274" s="86">
        <f t="shared" si="459"/>
        <v>0.51</v>
      </c>
      <c r="EE274" s="30" t="e">
        <f t="shared" ca="1" si="492"/>
        <v>#DIV/0!</v>
      </c>
      <c r="EF274" s="85" t="e">
        <f ca="1">IF(DL274&lt;=Hypothèses!$V$7,Hypothèses!$W$7,IF(DL274&lt;=Hypothèses!$V$8,Hypothèses!$W$8,IF(DL274&lt;=Hypothèses!$V$9,Hypothèses!$W$9,IF(DL274&lt;=Hypothèses!$V$10,Hypothèses!$W$10,IF(DL274&lt;=Hypothèses!$V$11,Hypothèses!$W$11,IF(DL274&lt;=Hypothèses!$V$12,Hypothèses!$W$12,IF(DL274&lt;=Hypothèses!$V$13,Hypothèses!$W$13,IF(DL274&lt;=Hypothèses!$V$14,Hypothèses!$W$14,IF(DL274&lt;=Hypothèses!$V$15,Hypothèses!$W$15,IF(DL274&lt;=Hypothèses!$V$16,Hypothèses!$W$16,IF(DL274&lt;=Hypothèses!$V$17,Hypothèses!$W$17,IF(DL274&lt;=Hypothèses!$V$18,Hypothèses!$W$18,""))))))))))))</f>
        <v>#DIV/0!</v>
      </c>
      <c r="EG274" s="87" t="e">
        <f t="shared" ca="1" si="522"/>
        <v>#DIV/0!</v>
      </c>
      <c r="EH274" s="88" t="e">
        <f ca="1">IF(DL274&lt;=Hypothèses!$V$7,Hypothèses!$X$7,IF(DL274&lt;=Hypothèses!$V$8,Hypothèses!$X$8,IF(DL274&lt;=Hypothèses!$V$9,Hypothèses!$X$9,IF(DL274&lt;=Hypothèses!$V$10,Hypothèses!$X$10,IF(DL274&lt;=Hypothèses!$V$11,Hypothèses!$X$11,IF(DL274&lt;=Hypothèses!$V$12,Hypothèses!$X$12,IF(DL274&lt;=Hypothèses!$V$13,Hypothèses!$X$13,IF(DL274&lt;=Hypothèses!$V$14,Hypothèses!$X$14,IF(DL274&lt;=Hypothèses!$V$15,Hypothèses!$X$15,IF(DL274&lt;=Hypothèses!$V$16,Hypothèses!$X$16,IF(DL274&lt;=Hypothèses!$U$17,Hypothèses!$W$17,IF(DL274&lt;=Hypothèses!$U$18,Hypothèses!$W$18,""))))))))))))</f>
        <v>#DIV/0!</v>
      </c>
      <c r="EI274" s="95" t="e">
        <f t="shared" ca="1" si="493"/>
        <v>#DIV/0!</v>
      </c>
      <c r="EJ274" s="101">
        <f t="shared" ref="EJ274:EJ337" si="529">IF($I274=0,0,
IF(EI274&gt;5*EN$12,$I274,
IF($D274="Pressio.",1+($I274-1)*(EI274/EN$12)/5,
IF($D274="Pénétro.",IF($E274=1,0.3+($I274-0.3)*(EI274/EN$12)/5,
IF($E274=2,0.2+($I274-0.2)*(EI274/EN$12)/5,
IF($E274=3,0.1+($I274-0.1)*(EI274/EN$12)/5,
0.15+($I274-0.15)*(EI274/EN$12)/5)))))))</f>
        <v>0</v>
      </c>
      <c r="EK274" s="91">
        <f t="shared" si="460"/>
        <v>0</v>
      </c>
      <c r="EL274" s="30" t="e">
        <f t="shared" si="512"/>
        <v>#N/A</v>
      </c>
      <c r="EM274" s="30" t="e">
        <f t="shared" si="513"/>
        <v>#N/A</v>
      </c>
      <c r="EN274" s="31" t="e">
        <f>IF(OR(Hypothèses!$B$4=17,Hypothèses!$B$4=18,Hypothèses!$B$4=19,Hypothèses!$B$4=20),
IF($D274="Pressio.",
IF(OR($E274=3,$E274=1,$E274=4),EM274,EL274),
IF($D274="Pénétro.",
IF(OR($E274=3,$E274=1,$E274=4),EM274,EL274))),IF($D274="Pressio.",
IF($E274=3,EM274,EL274),
IF($D274="Pénétro.",
IF($E274=4,EM274,EL274))))</f>
        <v>#N/A</v>
      </c>
      <c r="EO274" s="31">
        <v>0</v>
      </c>
      <c r="EP274" s="102" t="e">
        <f>IF(NDC!$H$10="Oui",(VLOOKUP($B$3,'Coeff EC7'!$T$39:$X$59,2,0)*EN274+VLOOKUP($B$3,'Coeff EC7'!$T$65:$X$85,2,0)*Model0.1T!EO274)/1.5,PI()*EL$12*$Q274*($B274-$B273)*0.15/10+EP273)</f>
        <v>#N/A</v>
      </c>
      <c r="EQ274" s="102" t="e">
        <f>(VLOOKUP($B$3,'Coeff EC7'!$T$39:$X$59,3,0)*EN274+VLOOKUP($B$3,'Coeff EC7'!$T$65:$X$85,3,0)*Model0.1T!EO274)/1.1</f>
        <v>#N/A</v>
      </c>
      <c r="ER274" s="102" t="e">
        <f t="shared" si="494"/>
        <v>#N/A</v>
      </c>
      <c r="ES274" s="102" t="e">
        <f t="shared" si="495"/>
        <v>#N/A</v>
      </c>
      <c r="ET274" s="414" t="e">
        <f>IF(AND(EP274&gt;NDC!$C$63,EQ274&gt;NDC!$C$65,ER274&gt;NDC!$D$73,ES274&gt;NDC!$D$74,$B274&gt;NDC!$H$22-0.1+MIN(3*ET$12,1.5)),0,1)</f>
        <v>#N/A</v>
      </c>
      <c r="EU274" s="86" t="b">
        <f t="shared" si="461"/>
        <v>0</v>
      </c>
      <c r="EV274" s="86">
        <f t="shared" si="462"/>
        <v>0.61</v>
      </c>
      <c r="EW274" s="86">
        <f t="shared" si="463"/>
        <v>0.61</v>
      </c>
      <c r="EX274" s="30" t="e">
        <f t="shared" ca="1" si="496"/>
        <v>#DIV/0!</v>
      </c>
      <c r="EY274" s="85" t="e">
        <f ca="1">IF(EE274&lt;=Hypothèses!$V$7,Hypothèses!$W$7,IF(EE274&lt;=Hypothèses!$V$8,Hypothèses!$W$8,IF(EE274&lt;=Hypothèses!$V$9,Hypothèses!$W$9,IF(EE274&lt;=Hypothèses!$V$10,Hypothèses!$W$10,IF(EE274&lt;=Hypothèses!$V$11,Hypothèses!$W$11,IF(EE274&lt;=Hypothèses!$V$12,Hypothèses!$W$12,IF(EE274&lt;=Hypothèses!$V$13,Hypothèses!$W$13,IF(EE274&lt;=Hypothèses!$V$14,Hypothèses!$W$14,IF(EE274&lt;=Hypothèses!$V$15,Hypothèses!$W$15,IF(EE274&lt;=Hypothèses!$V$16,Hypothèses!$W$16,IF(EE274&lt;=Hypothèses!$V$17,Hypothèses!$W$17,IF(EE274&lt;=Hypothèses!$V$18,Hypothèses!$W$18,""))))))))))))</f>
        <v>#DIV/0!</v>
      </c>
      <c r="EZ274" s="87" t="e">
        <f t="shared" ca="1" si="523"/>
        <v>#DIV/0!</v>
      </c>
      <c r="FA274" s="88" t="e">
        <f ca="1">IF(EE274&lt;=Hypothèses!$V$7,Hypothèses!$X$7,IF(EE274&lt;=Hypothèses!$V$8,Hypothèses!$X$8,IF(EE274&lt;=Hypothèses!$V$9,Hypothèses!$X$9,IF(EE274&lt;=Hypothèses!$V$10,Hypothèses!$X$10,IF(EE274&lt;=Hypothèses!$V$11,Hypothèses!$X$11,IF(EE274&lt;=Hypothèses!$V$12,Hypothèses!$X$12,IF(EE274&lt;=Hypothèses!$V$13,Hypothèses!$X$13,IF(EE274&lt;=Hypothèses!$V$14,Hypothèses!$X$14,IF(EE274&lt;=Hypothèses!$V$15,Hypothèses!$X$15,IF(EE274&lt;=Hypothèses!$V$16,Hypothèses!$X$16,IF(EE274&lt;=Hypothèses!$U$17,Hypothèses!$W$17,IF(EE274&lt;=Hypothèses!$U$18,Hypothèses!$W$18,""))))))))))))</f>
        <v>#DIV/0!</v>
      </c>
      <c r="FB274" s="95" t="e">
        <f t="shared" ca="1" si="497"/>
        <v>#DIV/0!</v>
      </c>
      <c r="FC274" s="101">
        <f t="shared" ref="FC274:FC337" si="530">IF($I274=0,0,
IF(FB274&gt;5*FG$12,$I274,
IF($D274="Pressio.",1+($I274-1)*(FB274/FG$12)/5,
IF($D274="Pénétro.",IF($E274=1,0.3+($I274-0.3)*(FB274/FG$12)/5,
IF($E274=2,0.2+($I274-0.2)*(FB274/FG$12)/5,
IF($E274=3,0.1+($I274-0.1)*(FB274/FG$12)/5,
0.15+($I274-0.15)*(FB274/FG$12)/5)))))))</f>
        <v>0</v>
      </c>
      <c r="FD274" s="91">
        <f t="shared" si="464"/>
        <v>0</v>
      </c>
      <c r="FE274" s="30" t="e">
        <f t="shared" si="514"/>
        <v>#N/A</v>
      </c>
      <c r="FF274" s="30" t="e">
        <f t="shared" si="515"/>
        <v>#N/A</v>
      </c>
      <c r="FG274" s="31" t="e">
        <f>IF(OR(Hypothèses!$B$4=17,Hypothèses!$B$4=18,Hypothèses!$B$4=19,Hypothèses!$B$4=20),
IF($D274="Pressio.",
IF(OR($E274=3,$E274=1,$E274=4),FF274,FE274),
IF($D274="Pénétro.",
IF(OR($E274=3,$E274=1,$E274=4),FF274,FE274))),IF($D274="Pressio.",
IF($E274=3,FF274,FE274),
IF($D274="Pénétro.",
IF($E274=4,FF274,FE274))))</f>
        <v>#N/A</v>
      </c>
      <c r="FH274" s="31">
        <v>0</v>
      </c>
      <c r="FI274" s="102" t="e">
        <f>IF(NDC!$H$10="Oui",(VLOOKUP($B$3,'Coeff EC7'!$T$39:$X$59,2,0)*FG274+VLOOKUP($B$3,'Coeff EC7'!$T$65:$X$85,2,0)*Model0.1T!FH274)/1.5,PI()*FE$12*$Q274*($B274-$B273)*0.15/10+FI273)</f>
        <v>#N/A</v>
      </c>
      <c r="FJ274" s="102" t="e">
        <f>(VLOOKUP($B$3,'Coeff EC7'!$T$39:$X$59,3,0)*FG274+VLOOKUP($B$3,'Coeff EC7'!$T$65:$X$85,3,0)*Model0.1T!FH274)/1.1</f>
        <v>#N/A</v>
      </c>
      <c r="FK274" s="102" t="e">
        <f t="shared" si="498"/>
        <v>#N/A</v>
      </c>
      <c r="FL274" s="102" t="e">
        <f t="shared" si="499"/>
        <v>#N/A</v>
      </c>
      <c r="FM274" s="414" t="e">
        <f>IF(AND(FI274&gt;NDC!$C$63,FJ274&gt;NDC!$C$65,FK274&gt;NDC!$D$73,FL274&gt;NDC!$D$74,$B274&gt;NDC!$H$22-0.1+MIN(3*FM$12,1.5)),0,1)</f>
        <v>#N/A</v>
      </c>
    </row>
    <row r="275" spans="1:169">
      <c r="A275" s="96">
        <f t="shared" si="465"/>
        <v>73.800000000001489</v>
      </c>
      <c r="B275" s="97">
        <v>26.2</v>
      </c>
      <c r="C275" s="81">
        <f>IF(B275&lt;=Hypothèses!$C$7,Hypothèses!$A$7,IF(B275&lt;=Hypothèses!$C$8,Hypothèses!$A$8,IF(B275&lt;=Hypothèses!$C$9,Hypothèses!$A$9,IF(B275&lt;=Hypothèses!$C$10,Hypothèses!$A$10,IF(B275&lt;=Hypothèses!$C$11,Hypothèses!$A$11,IF(B275&lt;=Hypothèses!$C$12,Hypothèses!$A$12,IF(B275&lt;=Hypothèses!$C$13,Hypothèses!$A$13,IF(B275&lt;=Hypothèses!$C$14,Hypothèses!$A$14,IF(B275&lt;=Hypothèses!$C$15,Hypothèses!$A$15,IF(B275&lt;=Hypothèses!$C$16,Hypothèses!$A$16,IF(B275&lt;=Hypothèses!$C$17,Hypothèses!$A$17,IF(B275&lt;=Hypothèses!$C$18,Hypothèses!$A$18,C274))))))))))))</f>
        <v>11</v>
      </c>
      <c r="D275" s="82" t="str">
        <f>IF(B275&lt;=Hypothèses!$C$7,Hypothèses!$R$7,IF(B275&lt;=Hypothèses!$C$8,Hypothèses!$R$8,IF(B275&lt;=Hypothèses!$C$9,Hypothèses!$R$9,IF(B275&lt;=Hypothèses!$C$10,Hypothèses!$R$10,IF(B275&lt;=Hypothèses!$C$11,Hypothèses!$R$11,IF(B275&lt;=Hypothèses!$C$12,Hypothèses!$R$12,IF(B275&lt;=Hypothèses!$C$13,Hypothèses!$R$13,IF(B275&lt;=Hypothèses!$C$14,Hypothèses!$R$14,IF(B275&lt;=Hypothèses!$C$15,Hypothèses!$R$15,IF(B275&lt;=Hypothèses!$C$16,Hypothèses!$R$16,IF(B275&lt;=Hypothèses!$C$17,Hypothèses!$R$17,IF(B275&lt;=Hypothèses!$C$18,Hypothèses!$R$18,D274))))))))))))</f>
        <v>Pressio.</v>
      </c>
      <c r="E275" s="82" t="e">
        <f>IF(B275&lt;=Hypothèses!$C$7,Hypothèses!$G$7,IF(B275&lt;=Hypothèses!$C$8,Hypothèses!$G$8,IF(B275&lt;=Hypothèses!$C$9,Hypothèses!$G$9,IF(B275&lt;=Hypothèses!$C$10,Hypothèses!$G$10,IF(B275&lt;=Hypothèses!$C$11,Hypothèses!$G$11,IF(B275&lt;=Hypothèses!$C$12,Hypothèses!$G$12,IF(B275&lt;=Hypothèses!$C$13,Hypothèses!$G$13,IF(B275&lt;=Hypothèses!$C$14,Hypothèses!$G$14,IF(B275&lt;=Hypothèses!$C$15,Hypothèses!$G$15,IF(B275&lt;=Hypothèses!$C$16,Hypothèses!$G$16,IF(B275&lt;=Hypothèses!$C$17,Hypothèses!$G$17,IF(B275&lt;=Hypothèses!$C$18,Hypothèses!$G$18,E274))))))))))))</f>
        <v>#N/A</v>
      </c>
      <c r="F275" s="82" t="str">
        <f>IF(B275&lt;=Hypothèses!$C$7,Hypothèses!$F$7,IF(B275&lt;=Hypothèses!$C$8,Hypothèses!$F$8,IF(B275&lt;=Hypothèses!$C$9,Hypothèses!$F$9,IF(B275&lt;=Hypothèses!$C$10,Hypothèses!$F$10,IF(B275&lt;=Hypothèses!$C$11,Hypothèses!$F$11,IF(B275&lt;=Hypothèses!$C$12,Hypothèses!$F$12,IF(B275&lt;=Hypothèses!$C$13,Hypothèses!$F$13,IF(B275&lt;=Hypothèses!$C$14,Hypothèses!$F$14,IF(B275&lt;=Hypothèses!$C$15,Hypothèses!$F$15,IF(B275&lt;=Hypothèses!$C$16,Hypothèses!$F$16,IF(B275&lt;=Hypothèses!$C$17,Hypothèses!$F$17,IF(B275&lt;=Hypothèses!$C$18,Hypothèses!$F$18,F274))))))))))))</f>
        <v/>
      </c>
      <c r="G275" s="91">
        <f t="array" ref="G275">INDEX('Coeff EC7'!$U$7:$X$27,
MATCH(Model0.1T!$B$3,'Coeff EC7'!$T$7:$T$27,0),
MATCH(Model0.1T!$D275&amp;Model0.1T!$B$4,
'Coeff EC7'!$U$6:$X$6&amp;
'Coeff EC7'!$U$5:$X$5,0))</f>
        <v>1.4</v>
      </c>
      <c r="H275" s="91">
        <f t="array" ref="H275">INDEX('Coeff EC7'!$Y$7:$AB$27,
MATCH(Model0.1T!$B$3,'Coeff EC7'!$T$7:$T$27,0),
MATCH(Model0.1T!$D275&amp;Model0.1T!$B$4,
'Coeff EC7'!$Y$6:$AB$6&amp;
'Coeff EC7'!$Y$5:$AB$5,0))</f>
        <v>1.7</v>
      </c>
      <c r="I275" s="83">
        <v>0</v>
      </c>
      <c r="J275" s="91" t="e">
        <f t="array" ref="J275">INDEX('Coeff EC7'!$D$33:$Q$33,1,MATCH(D275&amp;E275,'Coeff EC7'!$D$31:$Q$31&amp;'Coeff EC7'!$D$32:$Q$32,0))</f>
        <v>#N/A</v>
      </c>
      <c r="K275" s="91" t="e">
        <f t="array" ref="K275">INDEX('Coeff EC7'!$D$34:$Q$34,1,MATCH(D275&amp;E275,'Coeff EC7'!$D$31:$Q$31&amp;'Coeff EC7'!$D$32:$Q$32,0))</f>
        <v>#N/A</v>
      </c>
      <c r="L275" s="91" t="e">
        <f t="array" ref="L275">INDEX('Coeff EC7'!$D$35:$Q$35,1,MATCH(D275&amp;E275,'Coeff EC7'!$D$31:$Q$31&amp;'Coeff EC7'!$D$32:$Q$32,0))</f>
        <v>#N/A</v>
      </c>
      <c r="M275" s="98" t="e">
        <f t="shared" si="431"/>
        <v>#N/A</v>
      </c>
      <c r="N275" s="99" t="e">
        <f t="array" ref="N275">INDEX('Coeff EC7'!$D$7:$Q$27,MATCH($B$3,'Coeff EC7'!$C$7:$C$27,0),MATCH(D275&amp;E275,'Coeff EC7'!$D$5:$Q$5&amp;'Coeff EC7'!$D$6:$Q$6,0))</f>
        <v>#N/A</v>
      </c>
      <c r="O275" s="99" t="e">
        <f t="array" ref="O275">INDEX('Coeff EC7'!$D$41:$Q$61,MATCH($B$3,'Coeff EC7'!$C$41:$C$61,0),MATCH(D275&amp;E275,'Coeff EC7'!$D$39:$Q$39&amp;'Coeff EC7'!$D$40:$Q$40,0))</f>
        <v>#N/A</v>
      </c>
      <c r="P275" s="30" t="e">
        <f t="shared" si="466"/>
        <v>#N/A</v>
      </c>
      <c r="Q275" s="100" t="e">
        <f t="shared" si="433"/>
        <v>#N/A</v>
      </c>
      <c r="R275" s="86" t="b">
        <f t="shared" si="434"/>
        <v>0</v>
      </c>
      <c r="S275" s="86">
        <f t="shared" si="432"/>
        <v>0.5</v>
      </c>
      <c r="T275" s="86">
        <f t="shared" si="435"/>
        <v>0.5</v>
      </c>
      <c r="U275" s="30" t="e">
        <f t="shared" ca="1" si="467"/>
        <v>#DIV/0!</v>
      </c>
      <c r="V275" s="85" t="str">
        <f>IF(B275&lt;=Hypothèses!$V$7,Hypothèses!$W$7,IF(B275&lt;=Hypothèses!$V$8,Hypothèses!$W$8,IF(B275&lt;=Hypothèses!$V$9,Hypothèses!$W$9,IF(B275&lt;=Hypothèses!$V$10,Hypothèses!$W$10,IF(B275&lt;=Hypothèses!$V$11,Hypothèses!$W$11,IF(B275&lt;=Hypothèses!$V$12,Hypothèses!$W$12,IF(B275&lt;=Hypothèses!$V$13,Hypothèses!$W$13,IF(B275&lt;=Hypothèses!$V$14,Hypothèses!$W$14,IF(B275&lt;=Hypothèses!$V$15,Hypothèses!$W$15,IF(B275&lt;=Hypothèses!$V$16,Hypothèses!$W$16,IF(B275&lt;=Hypothèses!$V$17,Hypothèses!$W$17,IF(B275&lt;=Hypothèses!$V$18,Hypothèses!$W$18,""))))))))))))</f>
        <v/>
      </c>
      <c r="W275" s="87" t="e">
        <f t="shared" ca="1" si="516"/>
        <v>#DIV/0!</v>
      </c>
      <c r="X275" s="88" t="str">
        <f>IF(B275&lt;=Hypothèses!$V$7,Hypothèses!$X$7,IF(B275&lt;=Hypothèses!$V$8,Hypothèses!$X$8,IF(B275&lt;=Hypothèses!$V$9,Hypothèses!$X$9,IF(B275&lt;=Hypothèses!$V$10,Hypothèses!$X$10,IF(B275&lt;=Hypothèses!$V$11,Hypothèses!$X$11,IF(B275&lt;=Hypothèses!$V$12,Hypothèses!$X$12,IF(B275&lt;=Hypothèses!$V$13,Hypothèses!$X$13,IF(B275&lt;=Hypothèses!$V$14,Hypothèses!$X$14,IF(B275&lt;=Hypothèses!$V$15,Hypothèses!$X$15,IF(B275&lt;=Hypothèses!$V$16,Hypothèses!$X$16,IF(B275&lt;=Hypothèses!$U$17,Hypothèses!$W$17,IF(B275&lt;=Hypothèses!$U$18,Hypothèses!$W$18,""))))))))))))</f>
        <v/>
      </c>
      <c r="Y275" s="95" t="e">
        <f t="shared" ca="1" si="436"/>
        <v>#DIV/0!</v>
      </c>
      <c r="Z275" s="101">
        <f t="shared" si="437"/>
        <v>0</v>
      </c>
      <c r="AA275" s="91">
        <f t="shared" si="438"/>
        <v>0</v>
      </c>
      <c r="AB275" s="30" t="e">
        <f t="shared" si="500"/>
        <v>#N/A</v>
      </c>
      <c r="AC275" s="30" t="e">
        <f t="shared" si="501"/>
        <v>#N/A</v>
      </c>
      <c r="AD275" s="31" t="e">
        <f>IF(OR(Hypothèses!$B$4=17,Hypothèses!$B$4=18,Hypothèses!$B$4=19,Hypothèses!$B$4=20),
IF($D275="Pressio.",
IF(OR($E275=3,$E275=1,$E275=4),AC275,AB275),
IF($D275="Pénétro.",
IF(OR($E275=3,$E275=1,$E275=4),AC275,AB275))),IF($D275="Pressio.",
IF($E275=3,AC275,AB275),
IF($D275="Pénétro.",
IF($E275=4,AC275,AB275))))</f>
        <v>#N/A</v>
      </c>
      <c r="AE275" s="31">
        <v>0</v>
      </c>
      <c r="AF275" s="102" t="e">
        <f>IF(NDC!$H$10="Oui",(VLOOKUP($B$3,'Coeff EC7'!$T$39:$X$59,2,0)*AD275+VLOOKUP($B$3,'Coeff EC7'!$T$65:$X$85,2,0)*Model0.1T!AE275)/1.5,PI()*AB$12*$Q275*($B275-$B274)*0.15/10+AF274)</f>
        <v>#N/A</v>
      </c>
      <c r="AG275" s="102" t="e">
        <f>(VLOOKUP($B$3,'Coeff EC7'!$T$39:$X$59,3,0)*AD275+VLOOKUP($B$3,'Coeff EC7'!$T$65:$X$85,3,0)*Model0.1T!AE275)/1.1</f>
        <v>#N/A</v>
      </c>
      <c r="AH275" s="102" t="e">
        <f t="shared" si="468"/>
        <v>#N/A</v>
      </c>
      <c r="AI275" s="102" t="e">
        <f t="shared" si="469"/>
        <v>#N/A</v>
      </c>
      <c r="AJ275" s="414" t="e">
        <f>IF(AND(AF275&gt;NDC!$C$63,AG275&gt;NDC!$C$65,AH275&gt;NDC!$D$73,AI275&gt;NDC!$D$74,$B275&gt;NDC!$H$22-0.1+MIN(3*$AJ$12,1.5)),0,1)</f>
        <v>#N/A</v>
      </c>
      <c r="AK275" s="86" t="b">
        <f t="shared" si="439"/>
        <v>0</v>
      </c>
      <c r="AL275" s="86">
        <f t="shared" si="470"/>
        <v>0.5</v>
      </c>
      <c r="AM275" s="86">
        <f t="shared" si="440"/>
        <v>0.5</v>
      </c>
      <c r="AN275" s="30" t="e">
        <f t="shared" ca="1" si="471"/>
        <v>#DIV/0!</v>
      </c>
      <c r="AO275" s="85" t="e">
        <f ca="1">IF(U275&lt;=Hypothèses!$V$7,Hypothèses!$W$7,IF(U275&lt;=Hypothèses!$V$8,Hypothèses!$W$8,IF(U275&lt;=Hypothèses!$V$9,Hypothèses!$W$9,IF(U275&lt;=Hypothèses!$V$10,Hypothèses!$W$10,IF(U275&lt;=Hypothèses!$V$11,Hypothèses!$W$11,IF(U275&lt;=Hypothèses!$V$12,Hypothèses!$W$12,IF(U275&lt;=Hypothèses!$V$13,Hypothèses!$W$13,IF(U275&lt;=Hypothèses!$V$14,Hypothèses!$W$14,IF(U275&lt;=Hypothèses!$V$15,Hypothèses!$W$15,IF(U275&lt;=Hypothèses!$V$16,Hypothèses!$W$16,IF(U275&lt;=Hypothèses!$V$17,Hypothèses!$W$17,IF(U275&lt;=Hypothèses!$V$18,Hypothèses!$W$18,""))))))))))))</f>
        <v>#DIV/0!</v>
      </c>
      <c r="AP275" s="87" t="e">
        <f t="shared" ca="1" si="517"/>
        <v>#DIV/0!</v>
      </c>
      <c r="AQ275" s="88" t="e">
        <f ca="1">IF(U275&lt;=Hypothèses!$V$7,Hypothèses!$X$7,IF(U275&lt;=Hypothèses!$V$8,Hypothèses!$X$8,IF(U275&lt;=Hypothèses!$V$9,Hypothèses!$X$9,IF(U275&lt;=Hypothèses!$V$10,Hypothèses!$X$10,IF(U275&lt;=Hypothèses!$V$11,Hypothèses!$X$11,IF(U275&lt;=Hypothèses!$V$12,Hypothèses!$X$12,IF(U275&lt;=Hypothèses!$V$13,Hypothèses!$X$13,IF(U275&lt;=Hypothèses!$V$14,Hypothèses!$X$14,IF(U275&lt;=Hypothèses!$V$15,Hypothèses!$X$15,IF(U275&lt;=Hypothèses!$V$16,Hypothèses!$X$16,IF(U275&lt;=Hypothèses!$U$17,Hypothèses!$W$17,IF(U275&lt;=Hypothèses!$U$18,Hypothèses!$W$18,""))))))))))))</f>
        <v>#DIV/0!</v>
      </c>
      <c r="AR275" s="95" t="e">
        <f t="shared" ca="1" si="472"/>
        <v>#DIV/0!</v>
      </c>
      <c r="AS275" s="101">
        <f t="shared" si="524"/>
        <v>0</v>
      </c>
      <c r="AT275" s="91">
        <f t="shared" si="441"/>
        <v>0</v>
      </c>
      <c r="AU275" s="30" t="e">
        <f t="shared" si="502"/>
        <v>#N/A</v>
      </c>
      <c r="AV275" s="30" t="e">
        <f t="shared" si="503"/>
        <v>#N/A</v>
      </c>
      <c r="AW275" s="31" t="e">
        <f>IF(OR(Hypothèses!$B$4=17,Hypothèses!$B$4=18,Hypothèses!$B$4=19,Hypothèses!$B$4=20),
IF($D275="Pressio.",
IF(OR($E275=3,$E275=1,$E275=4),AV275,AU275),
IF($D275="Pénétro.",
IF(OR($E275=3,$E275=1,$E275=4),AV275,AU275))),IF($D275="Pressio.",
IF($E275=3,AV275,AU275),
IF($D275="Pénétro.",
IF($E275=4,AV275,AU275))))</f>
        <v>#N/A</v>
      </c>
      <c r="AX275" s="31">
        <v>0</v>
      </c>
      <c r="AY275" s="102" t="e">
        <f>IF(NDC!$H$10="Oui",(VLOOKUP($B$3,'Coeff EC7'!$T$39:$X$59,2,0)*AW275+VLOOKUP($B$3,'Coeff EC7'!$T$65:$X$85,2,0)*Model0.1T!AX275)/1.5,PI()*AU$12*$Q275*($B275-$B274)*0.15/10+AY274)</f>
        <v>#N/A</v>
      </c>
      <c r="AZ275" s="102" t="e">
        <f>(VLOOKUP($B$3,'Coeff EC7'!$T$39:$X$59,3,0)*AW275+VLOOKUP($B$3,'Coeff EC7'!$T$65:$X$85,3,0)*Model0.1T!AX275)/1.1</f>
        <v>#N/A</v>
      </c>
      <c r="BA275" s="102" t="e">
        <f t="shared" si="473"/>
        <v>#N/A</v>
      </c>
      <c r="BB275" s="102" t="e">
        <f t="shared" si="474"/>
        <v>#N/A</v>
      </c>
      <c r="BC275" s="414" t="e">
        <f>IF(AND(AY275&gt;NDC!$C$63,AZ275&gt;NDC!$C$65,BA275&gt;NDC!$D$73,BB275&gt;NDC!$D$74,$B275&gt;NDC!$H$22-0.1+MIN(3*BC$12,1.5)),0,1)</f>
        <v>#N/A</v>
      </c>
      <c r="BD275" s="86" t="b">
        <f t="shared" si="442"/>
        <v>0</v>
      </c>
      <c r="BE275" s="86">
        <f t="shared" si="475"/>
        <v>0.5</v>
      </c>
      <c r="BF275" s="86">
        <f t="shared" si="443"/>
        <v>0.5</v>
      </c>
      <c r="BG275" s="30" t="e">
        <f t="shared" ca="1" si="476"/>
        <v>#DIV/0!</v>
      </c>
      <c r="BH275" s="85" t="e">
        <f ca="1">IF(AN275&lt;=Hypothèses!$V$7,Hypothèses!$W$7,IF(AN275&lt;=Hypothèses!$V$8,Hypothèses!$W$8,IF(AN275&lt;=Hypothèses!$V$9,Hypothèses!$W$9,IF(AN275&lt;=Hypothèses!$V$10,Hypothèses!$W$10,IF(AN275&lt;=Hypothèses!$V$11,Hypothèses!$W$11,IF(AN275&lt;=Hypothèses!$V$12,Hypothèses!$W$12,IF(AN275&lt;=Hypothèses!$V$13,Hypothèses!$W$13,IF(AN275&lt;=Hypothèses!$V$14,Hypothèses!$W$14,IF(AN275&lt;=Hypothèses!$V$15,Hypothèses!$W$15,IF(AN275&lt;=Hypothèses!$V$16,Hypothèses!$W$16,IF(AN275&lt;=Hypothèses!$V$17,Hypothèses!$W$17,IF(AN275&lt;=Hypothèses!$V$18,Hypothèses!$W$18,""))))))))))))</f>
        <v>#DIV/0!</v>
      </c>
      <c r="BI275" s="87" t="e">
        <f t="shared" ca="1" si="518"/>
        <v>#DIV/0!</v>
      </c>
      <c r="BJ275" s="88" t="e">
        <f ca="1">IF(AN275&lt;=Hypothèses!$V$7,Hypothèses!$X$7,IF(AN275&lt;=Hypothèses!$V$8,Hypothèses!$X$8,IF(AN275&lt;=Hypothèses!$V$9,Hypothèses!$X$9,IF(AN275&lt;=Hypothèses!$V$10,Hypothèses!$X$10,IF(AN275&lt;=Hypothèses!$V$11,Hypothèses!$X$11,IF(AN275&lt;=Hypothèses!$V$12,Hypothèses!$X$12,IF(AN275&lt;=Hypothèses!$V$13,Hypothèses!$X$13,IF(AN275&lt;=Hypothèses!$V$14,Hypothèses!$X$14,IF(AN275&lt;=Hypothèses!$V$15,Hypothèses!$X$15,IF(AN275&lt;=Hypothèses!$V$16,Hypothèses!$X$16,IF(AN275&lt;=Hypothèses!$U$17,Hypothèses!$W$17,IF(AN275&lt;=Hypothèses!$U$18,Hypothèses!$W$18,""))))))))))))</f>
        <v>#DIV/0!</v>
      </c>
      <c r="BK275" s="95" t="e">
        <f t="shared" ca="1" si="477"/>
        <v>#DIV/0!</v>
      </c>
      <c r="BL275" s="101">
        <f t="shared" si="525"/>
        <v>0</v>
      </c>
      <c r="BM275" s="91">
        <f t="shared" si="444"/>
        <v>0</v>
      </c>
      <c r="BN275" s="30" t="e">
        <f t="shared" si="504"/>
        <v>#N/A</v>
      </c>
      <c r="BO275" s="30" t="e">
        <f t="shared" si="505"/>
        <v>#N/A</v>
      </c>
      <c r="BP275" s="31" t="e">
        <f>IF(OR(Hypothèses!$B$4=17,Hypothèses!$B$4=18,Hypothèses!$B$4=19,Hypothèses!$B$4=20),
IF($D275="Pressio.",
IF(OR($E275=3,$E275=1,$E275=4),BO275,BN275),
IF($D275="Pénétro.",
IF(OR($E275=3,$E275=1,$E275=4),BO275,BN275))),IF($D275="Pressio.",
IF($E275=3,BO275,BN275),
IF($D275="Pénétro.",
IF($E275=4,BO275,BN275))))</f>
        <v>#N/A</v>
      </c>
      <c r="BQ275" s="31">
        <v>0</v>
      </c>
      <c r="BR275" s="102" t="e">
        <f>IF(NDC!$H$10="Oui",(VLOOKUP($B$3,'Coeff EC7'!$T$39:$X$59,2,0)*BP275+VLOOKUP($B$3,'Coeff EC7'!$T$65:$X$85,2,0)*Model0.1T!BQ275)/1.5,PI()*BN$12*$Q275*($B275-$B274)*0.15/10+BR274)</f>
        <v>#N/A</v>
      </c>
      <c r="BS275" s="102" t="e">
        <f>(VLOOKUP($B$3,'Coeff EC7'!$T$39:$X$59,3,0)*BP275+VLOOKUP($B$3,'Coeff EC7'!$T$65:$X$85,3,0)*Model0.1T!BQ275)/1.1</f>
        <v>#N/A</v>
      </c>
      <c r="BT275" s="102" t="e">
        <f t="shared" si="478"/>
        <v>#N/A</v>
      </c>
      <c r="BU275" s="102" t="e">
        <f t="shared" si="479"/>
        <v>#N/A</v>
      </c>
      <c r="BV275" s="414" t="e">
        <f>IF(AND(BR275&gt;NDC!$C$63,BS275&gt;NDC!$C$65,BT275&gt;NDC!$D$73,BU275&gt;NDC!$D$74,$B275&gt;NDC!$H$22-0.1+MIN(3*BV$12,1.5)),0,1)</f>
        <v>#N/A</v>
      </c>
      <c r="BW275" s="86" t="b">
        <f t="shared" si="445"/>
        <v>0</v>
      </c>
      <c r="BX275" s="86">
        <f t="shared" si="446"/>
        <v>0.5</v>
      </c>
      <c r="BY275" s="86">
        <f t="shared" si="447"/>
        <v>0.5</v>
      </c>
      <c r="BZ275" s="30" t="e">
        <f t="shared" ca="1" si="480"/>
        <v>#DIV/0!</v>
      </c>
      <c r="CA275" s="85" t="e">
        <f ca="1">IF(BG275&lt;=Hypothèses!$V$7,Hypothèses!$W$7,IF(BG275&lt;=Hypothèses!$V$8,Hypothèses!$W$8,IF(BG275&lt;=Hypothèses!$V$9,Hypothèses!$W$9,IF(BG275&lt;=Hypothèses!$V$10,Hypothèses!$W$10,IF(BG275&lt;=Hypothèses!$V$11,Hypothèses!$W$11,IF(BG275&lt;=Hypothèses!$V$12,Hypothèses!$W$12,IF(BG275&lt;=Hypothèses!$V$13,Hypothèses!$W$13,IF(BG275&lt;=Hypothèses!$V$14,Hypothèses!$W$14,IF(BG275&lt;=Hypothèses!$V$15,Hypothèses!$W$15,IF(BG275&lt;=Hypothèses!$V$16,Hypothèses!$W$16,IF(BG275&lt;=Hypothèses!$V$17,Hypothèses!$W$17,IF(BG275&lt;=Hypothèses!$V$18,Hypothèses!$W$18,""))))))))))))</f>
        <v>#DIV/0!</v>
      </c>
      <c r="CB275" s="87" t="e">
        <f t="shared" ca="1" si="519"/>
        <v>#DIV/0!</v>
      </c>
      <c r="CC275" s="88" t="e">
        <f ca="1">IF(BG275&lt;=Hypothèses!$V$7,Hypothèses!$X$7,IF(BG275&lt;=Hypothèses!$V$8,Hypothèses!$X$8,IF(BG275&lt;=Hypothèses!$V$9,Hypothèses!$X$9,IF(BG275&lt;=Hypothèses!$V$10,Hypothèses!$X$10,IF(BG275&lt;=Hypothèses!$V$11,Hypothèses!$X$11,IF(BG275&lt;=Hypothèses!$V$12,Hypothèses!$X$12,IF(BG275&lt;=Hypothèses!$V$13,Hypothèses!$X$13,IF(BG275&lt;=Hypothèses!$V$14,Hypothèses!$X$14,IF(BG275&lt;=Hypothèses!$V$15,Hypothèses!$X$15,IF(BG275&lt;=Hypothèses!$V$16,Hypothèses!$X$16,IF(BG275&lt;=Hypothèses!$U$17,Hypothèses!$W$17,IF(BG275&lt;=Hypothèses!$U$18,Hypothèses!$W$18,""))))))))))))</f>
        <v>#DIV/0!</v>
      </c>
      <c r="CD275" s="95" t="e">
        <f t="shared" ca="1" si="481"/>
        <v>#DIV/0!</v>
      </c>
      <c r="CE275" s="101">
        <f t="shared" si="526"/>
        <v>0</v>
      </c>
      <c r="CF275" s="91">
        <f t="shared" si="448"/>
        <v>0</v>
      </c>
      <c r="CG275" s="30" t="e">
        <f t="shared" si="506"/>
        <v>#N/A</v>
      </c>
      <c r="CH275" s="30" t="e">
        <f t="shared" si="507"/>
        <v>#N/A</v>
      </c>
      <c r="CI275" s="31" t="e">
        <f>IF(OR(Hypothèses!$B$4=17,Hypothèses!$B$4=18,Hypothèses!$B$4=19,Hypothèses!$B$4=20),
IF($D275="Pressio.",
IF(OR($E275=3,$E275=1,$E275=4),CH275,CG275),
IF($D275="Pénétro.",
IF(OR($E275=3,$E275=1,$E275=4),CH275,CG275))),IF($D275="Pressio.",
IF($E275=3,CH275,CG275),
IF($D275="Pénétro.",
IF($E275=4,CH275,CG275))))</f>
        <v>#N/A</v>
      </c>
      <c r="CJ275" s="31">
        <v>0</v>
      </c>
      <c r="CK275" s="102" t="e">
        <f>IF(NDC!$H$10="Oui",(VLOOKUP($B$3,'Coeff EC7'!$T$39:$X$59,2,0)*CI275+VLOOKUP($B$3,'Coeff EC7'!$T$65:$X$85,2,0)*Model0.1T!CJ275)/1.5,PI()*CG$12*$Q275*($B275-$B274)*0.15/10+CK274)</f>
        <v>#N/A</v>
      </c>
      <c r="CL275" s="102" t="e">
        <f>(VLOOKUP($B$3,'Coeff EC7'!$T$39:$X$59,3,0)*CI275+VLOOKUP($B$3,'Coeff EC7'!$T$65:$X$85,3,0)*Model0.1T!CJ275)/1.1</f>
        <v>#N/A</v>
      </c>
      <c r="CM275" s="102" t="e">
        <f t="shared" si="482"/>
        <v>#N/A</v>
      </c>
      <c r="CN275" s="102" t="e">
        <f t="shared" si="483"/>
        <v>#N/A</v>
      </c>
      <c r="CO275" s="414" t="e">
        <f>IF(AND(CK275&gt;NDC!$C$63,CL275&gt;NDC!$C$65,CM275&gt;NDC!$D$73,CN275&gt;NDC!$D$74,$B275&gt;NDC!$H$22-0.1+MIN(3*CO$12,1.5)),0,1)</f>
        <v>#N/A</v>
      </c>
      <c r="CP275" s="86" t="b">
        <f t="shared" si="449"/>
        <v>0</v>
      </c>
      <c r="CQ275" s="86">
        <f t="shared" si="450"/>
        <v>0.5</v>
      </c>
      <c r="CR275" s="86">
        <f t="shared" si="451"/>
        <v>0.5</v>
      </c>
      <c r="CS275" s="30" t="e">
        <f t="shared" ca="1" si="484"/>
        <v>#DIV/0!</v>
      </c>
      <c r="CT275" s="85" t="e">
        <f ca="1">IF(BZ275&lt;=Hypothèses!$V$7,Hypothèses!$W$7,IF(BZ275&lt;=Hypothèses!$V$8,Hypothèses!$W$8,IF(BZ275&lt;=Hypothèses!$V$9,Hypothèses!$W$9,IF(BZ275&lt;=Hypothèses!$V$10,Hypothèses!$W$10,IF(BZ275&lt;=Hypothèses!$V$11,Hypothèses!$W$11,IF(BZ275&lt;=Hypothèses!$V$12,Hypothèses!$W$12,IF(BZ275&lt;=Hypothèses!$V$13,Hypothèses!$W$13,IF(BZ275&lt;=Hypothèses!$V$14,Hypothèses!$W$14,IF(BZ275&lt;=Hypothèses!$V$15,Hypothèses!$W$15,IF(BZ275&lt;=Hypothèses!$V$16,Hypothèses!$W$16,IF(BZ275&lt;=Hypothèses!$V$17,Hypothèses!$W$17,IF(BZ275&lt;=Hypothèses!$V$18,Hypothèses!$W$18,""))))))))))))</f>
        <v>#DIV/0!</v>
      </c>
      <c r="CU275" s="87" t="e">
        <f t="shared" ca="1" si="520"/>
        <v>#DIV/0!</v>
      </c>
      <c r="CV275" s="88" t="e">
        <f ca="1">IF(BZ275&lt;=Hypothèses!$V$7,Hypothèses!$X$7,IF(BZ275&lt;=Hypothèses!$V$8,Hypothèses!$X$8,IF(BZ275&lt;=Hypothèses!$V$9,Hypothèses!$X$9,IF(BZ275&lt;=Hypothèses!$V$10,Hypothèses!$X$10,IF(BZ275&lt;=Hypothèses!$V$11,Hypothèses!$X$11,IF(BZ275&lt;=Hypothèses!$V$12,Hypothèses!$X$12,IF(BZ275&lt;=Hypothèses!$V$13,Hypothèses!$X$13,IF(BZ275&lt;=Hypothèses!$V$14,Hypothèses!$X$14,IF(BZ275&lt;=Hypothèses!$V$15,Hypothèses!$X$15,IF(BZ275&lt;=Hypothèses!$V$16,Hypothèses!$X$16,IF(BZ275&lt;=Hypothèses!$U$17,Hypothèses!$W$17,IF(BZ275&lt;=Hypothèses!$U$18,Hypothèses!$W$18,""))))))))))))</f>
        <v>#DIV/0!</v>
      </c>
      <c r="CW275" s="95" t="e">
        <f t="shared" ca="1" si="485"/>
        <v>#DIV/0!</v>
      </c>
      <c r="CX275" s="101">
        <f t="shared" si="527"/>
        <v>0</v>
      </c>
      <c r="CY275" s="91">
        <f t="shared" si="452"/>
        <v>0</v>
      </c>
      <c r="CZ275" s="30" t="e">
        <f t="shared" si="508"/>
        <v>#N/A</v>
      </c>
      <c r="DA275" s="30" t="e">
        <f t="shared" si="509"/>
        <v>#N/A</v>
      </c>
      <c r="DB275" s="31" t="e">
        <f>IF(OR(Hypothèses!$B$4=17,Hypothèses!$B$4=18,Hypothèses!$B$4=19,Hypothèses!$B$4=20),
IF($D275="Pressio.",
IF(OR($E275=3,$E275=1,$E275=4),DA275,CZ275),
IF($D275="Pénétro.",
IF(OR($E275=3,$E275=1,$E275=4),DA275,CZ275))),IF($D275="Pressio.",
IF($E275=3,DA275,CZ275),
IF($D275="Pénétro.",
IF($E275=4,DA275,CZ275))))</f>
        <v>#N/A</v>
      </c>
      <c r="DC275" s="31">
        <v>0</v>
      </c>
      <c r="DD275" s="102" t="e">
        <f>IF(NDC!$H$10="Oui",(VLOOKUP($B$3,'Coeff EC7'!$T$39:$X$59,2,0)*DB275+VLOOKUP($B$3,'Coeff EC7'!$T$65:$X$85,2,0)*Model0.1T!DC275)/1.5,PI()*CZ$12*$Q275*($B275-$B274)*0.15/10+DD274)</f>
        <v>#N/A</v>
      </c>
      <c r="DE275" s="102" t="e">
        <f>(VLOOKUP($B$3,'Coeff EC7'!$T$39:$X$59,3,0)*DB275+VLOOKUP($B$3,'Coeff EC7'!$T$65:$X$85,3,0)*Model0.1T!DC275)/1.1</f>
        <v>#N/A</v>
      </c>
      <c r="DF275" s="102" t="e">
        <f t="shared" si="486"/>
        <v>#N/A</v>
      </c>
      <c r="DG275" s="102" t="e">
        <f t="shared" si="487"/>
        <v>#N/A</v>
      </c>
      <c r="DH275" s="414" t="e">
        <f>IF(AND(DD275&gt;NDC!$C$63,DE275&gt;NDC!$C$65,DF275&gt;NDC!$D$73,DG275&gt;NDC!$D$74,$B275&gt;NDC!$H$22-0.1+MIN(3*DH$12,1.5)),0,1)</f>
        <v>#N/A</v>
      </c>
      <c r="DI275" s="86" t="b">
        <f t="shared" si="453"/>
        <v>0</v>
      </c>
      <c r="DJ275" s="86">
        <f t="shared" si="454"/>
        <v>0.5</v>
      </c>
      <c r="DK275" s="86">
        <f t="shared" si="455"/>
        <v>0.5</v>
      </c>
      <c r="DL275" s="30" t="e">
        <f t="shared" ca="1" si="488"/>
        <v>#DIV/0!</v>
      </c>
      <c r="DM275" s="85" t="e">
        <f ca="1">IF(CS275&lt;=Hypothèses!$V$7,Hypothèses!$W$7,IF(CS275&lt;=Hypothèses!$V$8,Hypothèses!$W$8,IF(CS275&lt;=Hypothèses!$V$9,Hypothèses!$W$9,IF(CS275&lt;=Hypothèses!$V$10,Hypothèses!$W$10,IF(CS275&lt;=Hypothèses!$V$11,Hypothèses!$W$11,IF(CS275&lt;=Hypothèses!$V$12,Hypothèses!$W$12,IF(CS275&lt;=Hypothèses!$V$13,Hypothèses!$W$13,IF(CS275&lt;=Hypothèses!$V$14,Hypothèses!$W$14,IF(CS275&lt;=Hypothèses!$V$15,Hypothèses!$W$15,IF(CS275&lt;=Hypothèses!$V$16,Hypothèses!$W$16,IF(CS275&lt;=Hypothèses!$V$17,Hypothèses!$W$17,IF(CS275&lt;=Hypothèses!$V$18,Hypothèses!$W$18,""))))))))))))</f>
        <v>#DIV/0!</v>
      </c>
      <c r="DN275" s="87" t="e">
        <f t="shared" ca="1" si="521"/>
        <v>#DIV/0!</v>
      </c>
      <c r="DO275" s="88" t="e">
        <f ca="1">IF(CS275&lt;=Hypothèses!$V$7,Hypothèses!$X$7,IF(CS275&lt;=Hypothèses!$V$8,Hypothèses!$X$8,IF(CS275&lt;=Hypothèses!$V$9,Hypothèses!$X$9,IF(CS275&lt;=Hypothèses!$V$10,Hypothèses!$X$10,IF(CS275&lt;=Hypothèses!$V$11,Hypothèses!$X$11,IF(CS275&lt;=Hypothèses!$V$12,Hypothèses!$X$12,IF(CS275&lt;=Hypothèses!$V$13,Hypothèses!$X$13,IF(CS275&lt;=Hypothèses!$V$14,Hypothèses!$X$14,IF(CS275&lt;=Hypothèses!$V$15,Hypothèses!$X$15,IF(CS275&lt;=Hypothèses!$V$16,Hypothèses!$X$16,IF(CS275&lt;=Hypothèses!$U$17,Hypothèses!$W$17,IF(CS275&lt;=Hypothèses!$U$18,Hypothèses!$W$18,""))))))))))))</f>
        <v>#DIV/0!</v>
      </c>
      <c r="DP275" s="95" t="e">
        <f t="shared" ca="1" si="489"/>
        <v>#DIV/0!</v>
      </c>
      <c r="DQ275" s="101">
        <f t="shared" si="528"/>
        <v>0</v>
      </c>
      <c r="DR275" s="91">
        <f t="shared" si="456"/>
        <v>0</v>
      </c>
      <c r="DS275" s="30" t="e">
        <f t="shared" si="510"/>
        <v>#N/A</v>
      </c>
      <c r="DT275" s="30" t="e">
        <f t="shared" si="511"/>
        <v>#N/A</v>
      </c>
      <c r="DU275" s="31" t="e">
        <f>IF(OR(Hypothèses!$B$4=17,Hypothèses!$B$4=18,Hypothèses!$B$4=19,Hypothèses!$B$4=20),
IF($D275="Pressio.",
IF(OR($E275=3,$E275=1,$E275=4),DT275,DS275),
IF($D275="Pénétro.",
IF(OR($E275=3,$E275=1,$E275=4),DT275,DS275))),IF($D275="Pressio.",
IF($E275=3,DT275,DS275),
IF($D275="Pénétro.",
IF($E275=4,DT275,DS275))))</f>
        <v>#N/A</v>
      </c>
      <c r="DV275" s="31">
        <v>0</v>
      </c>
      <c r="DW275" s="102" t="e">
        <f>IF(NDC!$H$10="Oui",(VLOOKUP($B$3,'Coeff EC7'!$T$39:$X$59,2,0)*DU275+VLOOKUP($B$3,'Coeff EC7'!$T$65:$X$85,2,0)*Model0.1T!DV275)/1.5,PI()*DS$12*$Q275*($B275-$B274)*0.15/10+DW274)</f>
        <v>#N/A</v>
      </c>
      <c r="DX275" s="102" t="e">
        <f>(VLOOKUP($B$3,'Coeff EC7'!$T$39:$X$59,3,0)*DU275+VLOOKUP($B$3,'Coeff EC7'!$T$65:$X$85,3,0)*Model0.1T!DV275)/1.1</f>
        <v>#N/A</v>
      </c>
      <c r="DY275" s="102" t="e">
        <f t="shared" si="490"/>
        <v>#N/A</v>
      </c>
      <c r="DZ275" s="102" t="e">
        <f t="shared" si="491"/>
        <v>#N/A</v>
      </c>
      <c r="EA275" s="414" t="e">
        <f>IF(AND(DW275&gt;NDC!$C$63,DX275&gt;NDC!$C$65,DY275&gt;NDC!$D$73,DZ275&gt;NDC!$D$74,$B275&gt;NDC!$H$22-0.1+MIN(3*EA$12,1.5)),0,1)</f>
        <v>#N/A</v>
      </c>
      <c r="EB275" s="86" t="b">
        <f t="shared" si="457"/>
        <v>0</v>
      </c>
      <c r="EC275" s="418">
        <f t="shared" si="458"/>
        <v>0.51</v>
      </c>
      <c r="ED275" s="86">
        <f t="shared" si="459"/>
        <v>0.51</v>
      </c>
      <c r="EE275" s="30" t="e">
        <f t="shared" ca="1" si="492"/>
        <v>#DIV/0!</v>
      </c>
      <c r="EF275" s="85" t="e">
        <f ca="1">IF(DL275&lt;=Hypothèses!$V$7,Hypothèses!$W$7,IF(DL275&lt;=Hypothèses!$V$8,Hypothèses!$W$8,IF(DL275&lt;=Hypothèses!$V$9,Hypothèses!$W$9,IF(DL275&lt;=Hypothèses!$V$10,Hypothèses!$W$10,IF(DL275&lt;=Hypothèses!$V$11,Hypothèses!$W$11,IF(DL275&lt;=Hypothèses!$V$12,Hypothèses!$W$12,IF(DL275&lt;=Hypothèses!$V$13,Hypothèses!$W$13,IF(DL275&lt;=Hypothèses!$V$14,Hypothèses!$W$14,IF(DL275&lt;=Hypothèses!$V$15,Hypothèses!$W$15,IF(DL275&lt;=Hypothèses!$V$16,Hypothèses!$W$16,IF(DL275&lt;=Hypothèses!$V$17,Hypothèses!$W$17,IF(DL275&lt;=Hypothèses!$V$18,Hypothèses!$W$18,""))))))))))))</f>
        <v>#DIV/0!</v>
      </c>
      <c r="EG275" s="87" t="e">
        <f t="shared" ca="1" si="522"/>
        <v>#DIV/0!</v>
      </c>
      <c r="EH275" s="88" t="e">
        <f ca="1">IF(DL275&lt;=Hypothèses!$V$7,Hypothèses!$X$7,IF(DL275&lt;=Hypothèses!$V$8,Hypothèses!$X$8,IF(DL275&lt;=Hypothèses!$V$9,Hypothèses!$X$9,IF(DL275&lt;=Hypothèses!$V$10,Hypothèses!$X$10,IF(DL275&lt;=Hypothèses!$V$11,Hypothèses!$X$11,IF(DL275&lt;=Hypothèses!$V$12,Hypothèses!$X$12,IF(DL275&lt;=Hypothèses!$V$13,Hypothèses!$X$13,IF(DL275&lt;=Hypothèses!$V$14,Hypothèses!$X$14,IF(DL275&lt;=Hypothèses!$V$15,Hypothèses!$X$15,IF(DL275&lt;=Hypothèses!$V$16,Hypothèses!$X$16,IF(DL275&lt;=Hypothèses!$U$17,Hypothèses!$W$17,IF(DL275&lt;=Hypothèses!$U$18,Hypothèses!$W$18,""))))))))))))</f>
        <v>#DIV/0!</v>
      </c>
      <c r="EI275" s="95" t="e">
        <f t="shared" ca="1" si="493"/>
        <v>#DIV/0!</v>
      </c>
      <c r="EJ275" s="101">
        <f t="shared" si="529"/>
        <v>0</v>
      </c>
      <c r="EK275" s="91">
        <f t="shared" si="460"/>
        <v>0</v>
      </c>
      <c r="EL275" s="30" t="e">
        <f t="shared" si="512"/>
        <v>#N/A</v>
      </c>
      <c r="EM275" s="30" t="e">
        <f t="shared" si="513"/>
        <v>#N/A</v>
      </c>
      <c r="EN275" s="31" t="e">
        <f>IF(OR(Hypothèses!$B$4=17,Hypothèses!$B$4=18,Hypothèses!$B$4=19,Hypothèses!$B$4=20),
IF($D275="Pressio.",
IF(OR($E275=3,$E275=1,$E275=4),EM275,EL275),
IF($D275="Pénétro.",
IF(OR($E275=3,$E275=1,$E275=4),EM275,EL275))),IF($D275="Pressio.",
IF($E275=3,EM275,EL275),
IF($D275="Pénétro.",
IF($E275=4,EM275,EL275))))</f>
        <v>#N/A</v>
      </c>
      <c r="EO275" s="31">
        <v>0</v>
      </c>
      <c r="EP275" s="102" t="e">
        <f>IF(NDC!$H$10="Oui",(VLOOKUP($B$3,'Coeff EC7'!$T$39:$X$59,2,0)*EN275+VLOOKUP($B$3,'Coeff EC7'!$T$65:$X$85,2,0)*Model0.1T!EO275)/1.5,PI()*EL$12*$Q275*($B275-$B274)*0.15/10+EP274)</f>
        <v>#N/A</v>
      </c>
      <c r="EQ275" s="102" t="e">
        <f>(VLOOKUP($B$3,'Coeff EC7'!$T$39:$X$59,3,0)*EN275+VLOOKUP($B$3,'Coeff EC7'!$T$65:$X$85,3,0)*Model0.1T!EO275)/1.1</f>
        <v>#N/A</v>
      </c>
      <c r="ER275" s="102" t="e">
        <f t="shared" si="494"/>
        <v>#N/A</v>
      </c>
      <c r="ES275" s="102" t="e">
        <f t="shared" si="495"/>
        <v>#N/A</v>
      </c>
      <c r="ET275" s="414" t="e">
        <f>IF(AND(EP275&gt;NDC!$C$63,EQ275&gt;NDC!$C$65,ER275&gt;NDC!$D$73,ES275&gt;NDC!$D$74,$B275&gt;NDC!$H$22-0.1+MIN(3*ET$12,1.5)),0,1)</f>
        <v>#N/A</v>
      </c>
      <c r="EU275" s="86" t="b">
        <f t="shared" si="461"/>
        <v>0</v>
      </c>
      <c r="EV275" s="86">
        <f t="shared" si="462"/>
        <v>0.61</v>
      </c>
      <c r="EW275" s="86">
        <f t="shared" si="463"/>
        <v>0.61</v>
      </c>
      <c r="EX275" s="30" t="e">
        <f t="shared" ca="1" si="496"/>
        <v>#DIV/0!</v>
      </c>
      <c r="EY275" s="85" t="e">
        <f ca="1">IF(EE275&lt;=Hypothèses!$V$7,Hypothèses!$W$7,IF(EE275&lt;=Hypothèses!$V$8,Hypothèses!$W$8,IF(EE275&lt;=Hypothèses!$V$9,Hypothèses!$W$9,IF(EE275&lt;=Hypothèses!$V$10,Hypothèses!$W$10,IF(EE275&lt;=Hypothèses!$V$11,Hypothèses!$W$11,IF(EE275&lt;=Hypothèses!$V$12,Hypothèses!$W$12,IF(EE275&lt;=Hypothèses!$V$13,Hypothèses!$W$13,IF(EE275&lt;=Hypothèses!$V$14,Hypothèses!$W$14,IF(EE275&lt;=Hypothèses!$V$15,Hypothèses!$W$15,IF(EE275&lt;=Hypothèses!$V$16,Hypothèses!$W$16,IF(EE275&lt;=Hypothèses!$V$17,Hypothèses!$W$17,IF(EE275&lt;=Hypothèses!$V$18,Hypothèses!$W$18,""))))))))))))</f>
        <v>#DIV/0!</v>
      </c>
      <c r="EZ275" s="87" t="e">
        <f t="shared" ca="1" si="523"/>
        <v>#DIV/0!</v>
      </c>
      <c r="FA275" s="88" t="e">
        <f ca="1">IF(EE275&lt;=Hypothèses!$V$7,Hypothèses!$X$7,IF(EE275&lt;=Hypothèses!$V$8,Hypothèses!$X$8,IF(EE275&lt;=Hypothèses!$V$9,Hypothèses!$X$9,IF(EE275&lt;=Hypothèses!$V$10,Hypothèses!$X$10,IF(EE275&lt;=Hypothèses!$V$11,Hypothèses!$X$11,IF(EE275&lt;=Hypothèses!$V$12,Hypothèses!$X$12,IF(EE275&lt;=Hypothèses!$V$13,Hypothèses!$X$13,IF(EE275&lt;=Hypothèses!$V$14,Hypothèses!$X$14,IF(EE275&lt;=Hypothèses!$V$15,Hypothèses!$X$15,IF(EE275&lt;=Hypothèses!$V$16,Hypothèses!$X$16,IF(EE275&lt;=Hypothèses!$U$17,Hypothèses!$W$17,IF(EE275&lt;=Hypothèses!$U$18,Hypothèses!$W$18,""))))))))))))</f>
        <v>#DIV/0!</v>
      </c>
      <c r="FB275" s="95" t="e">
        <f t="shared" ca="1" si="497"/>
        <v>#DIV/0!</v>
      </c>
      <c r="FC275" s="101">
        <f t="shared" si="530"/>
        <v>0</v>
      </c>
      <c r="FD275" s="91">
        <f t="shared" si="464"/>
        <v>0</v>
      </c>
      <c r="FE275" s="30" t="e">
        <f t="shared" si="514"/>
        <v>#N/A</v>
      </c>
      <c r="FF275" s="30" t="e">
        <f t="shared" si="515"/>
        <v>#N/A</v>
      </c>
      <c r="FG275" s="31" t="e">
        <f>IF(OR(Hypothèses!$B$4=17,Hypothèses!$B$4=18,Hypothèses!$B$4=19,Hypothèses!$B$4=20),
IF($D275="Pressio.",
IF(OR($E275=3,$E275=1,$E275=4),FF275,FE275),
IF($D275="Pénétro.",
IF(OR($E275=3,$E275=1,$E275=4),FF275,FE275))),IF($D275="Pressio.",
IF($E275=3,FF275,FE275),
IF($D275="Pénétro.",
IF($E275=4,FF275,FE275))))</f>
        <v>#N/A</v>
      </c>
      <c r="FH275" s="31">
        <v>0</v>
      </c>
      <c r="FI275" s="102" t="e">
        <f>IF(NDC!$H$10="Oui",(VLOOKUP($B$3,'Coeff EC7'!$T$39:$X$59,2,0)*FG275+VLOOKUP($B$3,'Coeff EC7'!$T$65:$X$85,2,0)*Model0.1T!FH275)/1.5,PI()*FE$12*$Q275*($B275-$B274)*0.15/10+FI274)</f>
        <v>#N/A</v>
      </c>
      <c r="FJ275" s="102" t="e">
        <f>(VLOOKUP($B$3,'Coeff EC7'!$T$39:$X$59,3,0)*FG275+VLOOKUP($B$3,'Coeff EC7'!$T$65:$X$85,3,0)*Model0.1T!FH275)/1.1</f>
        <v>#N/A</v>
      </c>
      <c r="FK275" s="102" t="e">
        <f t="shared" si="498"/>
        <v>#N/A</v>
      </c>
      <c r="FL275" s="102" t="e">
        <f t="shared" si="499"/>
        <v>#N/A</v>
      </c>
      <c r="FM275" s="414" t="e">
        <f>IF(AND(FI275&gt;NDC!$C$63,FJ275&gt;NDC!$C$65,FK275&gt;NDC!$D$73,FL275&gt;NDC!$D$74,$B275&gt;NDC!$H$22-0.1+MIN(3*FM$12,1.5)),0,1)</f>
        <v>#N/A</v>
      </c>
    </row>
    <row r="276" spans="1:169">
      <c r="A276" s="96">
        <f t="shared" si="465"/>
        <v>73.700000000001495</v>
      </c>
      <c r="B276" s="97">
        <v>26.3</v>
      </c>
      <c r="C276" s="81">
        <f>IF(B276&lt;=Hypothèses!$C$7,Hypothèses!$A$7,IF(B276&lt;=Hypothèses!$C$8,Hypothèses!$A$8,IF(B276&lt;=Hypothèses!$C$9,Hypothèses!$A$9,IF(B276&lt;=Hypothèses!$C$10,Hypothèses!$A$10,IF(B276&lt;=Hypothèses!$C$11,Hypothèses!$A$11,IF(B276&lt;=Hypothèses!$C$12,Hypothèses!$A$12,IF(B276&lt;=Hypothèses!$C$13,Hypothèses!$A$13,IF(B276&lt;=Hypothèses!$C$14,Hypothèses!$A$14,IF(B276&lt;=Hypothèses!$C$15,Hypothèses!$A$15,IF(B276&lt;=Hypothèses!$C$16,Hypothèses!$A$16,IF(B276&lt;=Hypothèses!$C$17,Hypothèses!$A$17,IF(B276&lt;=Hypothèses!$C$18,Hypothèses!$A$18,C275))))))))))))</f>
        <v>11</v>
      </c>
      <c r="D276" s="82" t="str">
        <f>IF(B276&lt;=Hypothèses!$C$7,Hypothèses!$R$7,IF(B276&lt;=Hypothèses!$C$8,Hypothèses!$R$8,IF(B276&lt;=Hypothèses!$C$9,Hypothèses!$R$9,IF(B276&lt;=Hypothèses!$C$10,Hypothèses!$R$10,IF(B276&lt;=Hypothèses!$C$11,Hypothèses!$R$11,IF(B276&lt;=Hypothèses!$C$12,Hypothèses!$R$12,IF(B276&lt;=Hypothèses!$C$13,Hypothèses!$R$13,IF(B276&lt;=Hypothèses!$C$14,Hypothèses!$R$14,IF(B276&lt;=Hypothèses!$C$15,Hypothèses!$R$15,IF(B276&lt;=Hypothèses!$C$16,Hypothèses!$R$16,IF(B276&lt;=Hypothèses!$C$17,Hypothèses!$R$17,IF(B276&lt;=Hypothèses!$C$18,Hypothèses!$R$18,D275))))))))))))</f>
        <v>Pressio.</v>
      </c>
      <c r="E276" s="82" t="e">
        <f>IF(B276&lt;=Hypothèses!$C$7,Hypothèses!$G$7,IF(B276&lt;=Hypothèses!$C$8,Hypothèses!$G$8,IF(B276&lt;=Hypothèses!$C$9,Hypothèses!$G$9,IF(B276&lt;=Hypothèses!$C$10,Hypothèses!$G$10,IF(B276&lt;=Hypothèses!$C$11,Hypothèses!$G$11,IF(B276&lt;=Hypothèses!$C$12,Hypothèses!$G$12,IF(B276&lt;=Hypothèses!$C$13,Hypothèses!$G$13,IF(B276&lt;=Hypothèses!$C$14,Hypothèses!$G$14,IF(B276&lt;=Hypothèses!$C$15,Hypothèses!$G$15,IF(B276&lt;=Hypothèses!$C$16,Hypothèses!$G$16,IF(B276&lt;=Hypothèses!$C$17,Hypothèses!$G$17,IF(B276&lt;=Hypothèses!$C$18,Hypothèses!$G$18,E275))))))))))))</f>
        <v>#N/A</v>
      </c>
      <c r="F276" s="82" t="str">
        <f>IF(B276&lt;=Hypothèses!$C$7,Hypothèses!$F$7,IF(B276&lt;=Hypothèses!$C$8,Hypothèses!$F$8,IF(B276&lt;=Hypothèses!$C$9,Hypothèses!$F$9,IF(B276&lt;=Hypothèses!$C$10,Hypothèses!$F$10,IF(B276&lt;=Hypothèses!$C$11,Hypothèses!$F$11,IF(B276&lt;=Hypothèses!$C$12,Hypothèses!$F$12,IF(B276&lt;=Hypothèses!$C$13,Hypothèses!$F$13,IF(B276&lt;=Hypothèses!$C$14,Hypothèses!$F$14,IF(B276&lt;=Hypothèses!$C$15,Hypothèses!$F$15,IF(B276&lt;=Hypothèses!$C$16,Hypothèses!$F$16,IF(B276&lt;=Hypothèses!$C$17,Hypothèses!$F$17,IF(B276&lt;=Hypothèses!$C$18,Hypothèses!$F$18,F275))))))))))))</f>
        <v/>
      </c>
      <c r="G276" s="91">
        <f t="array" ref="G276">INDEX('Coeff EC7'!$U$7:$X$27,
MATCH(Model0.1T!$B$3,'Coeff EC7'!$T$7:$T$27,0),
MATCH(Model0.1T!$D276&amp;Model0.1T!$B$4,
'Coeff EC7'!$U$6:$X$6&amp;
'Coeff EC7'!$U$5:$X$5,0))</f>
        <v>1.4</v>
      </c>
      <c r="H276" s="91">
        <f t="array" ref="H276">INDEX('Coeff EC7'!$Y$7:$AB$27,
MATCH(Model0.1T!$B$3,'Coeff EC7'!$T$7:$T$27,0),
MATCH(Model0.1T!$D276&amp;Model0.1T!$B$4,
'Coeff EC7'!$Y$6:$AB$6&amp;
'Coeff EC7'!$Y$5:$AB$5,0))</f>
        <v>1.7</v>
      </c>
      <c r="I276" s="83">
        <v>0</v>
      </c>
      <c r="J276" s="91" t="e">
        <f t="array" ref="J276">INDEX('Coeff EC7'!$D$33:$Q$33,1,MATCH(D276&amp;E276,'Coeff EC7'!$D$31:$Q$31&amp;'Coeff EC7'!$D$32:$Q$32,0))</f>
        <v>#N/A</v>
      </c>
      <c r="K276" s="91" t="e">
        <f t="array" ref="K276">INDEX('Coeff EC7'!$D$34:$Q$34,1,MATCH(D276&amp;E276,'Coeff EC7'!$D$31:$Q$31&amp;'Coeff EC7'!$D$32:$Q$32,0))</f>
        <v>#N/A</v>
      </c>
      <c r="L276" s="91" t="e">
        <f t="array" ref="L276">INDEX('Coeff EC7'!$D$35:$Q$35,1,MATCH(D276&amp;E276,'Coeff EC7'!$D$31:$Q$31&amp;'Coeff EC7'!$D$32:$Q$32,0))</f>
        <v>#N/A</v>
      </c>
      <c r="M276" s="98" t="e">
        <f t="shared" si="431"/>
        <v>#N/A</v>
      </c>
      <c r="N276" s="99" t="e">
        <f t="array" ref="N276">INDEX('Coeff EC7'!$D$7:$Q$27,MATCH($B$3,'Coeff EC7'!$C$7:$C$27,0),MATCH(D276&amp;E276,'Coeff EC7'!$D$5:$Q$5&amp;'Coeff EC7'!$D$6:$Q$6,0))</f>
        <v>#N/A</v>
      </c>
      <c r="O276" s="99" t="e">
        <f t="array" ref="O276">INDEX('Coeff EC7'!$D$41:$Q$61,MATCH($B$3,'Coeff EC7'!$C$41:$C$61,0),MATCH(D276&amp;E276,'Coeff EC7'!$D$39:$Q$39&amp;'Coeff EC7'!$D$40:$Q$40,0))</f>
        <v>#N/A</v>
      </c>
      <c r="P276" s="30" t="e">
        <f t="shared" si="466"/>
        <v>#N/A</v>
      </c>
      <c r="Q276" s="100" t="e">
        <f t="shared" si="433"/>
        <v>#N/A</v>
      </c>
      <c r="R276" s="86" t="b">
        <f t="shared" si="434"/>
        <v>0</v>
      </c>
      <c r="S276" s="86">
        <f t="shared" si="432"/>
        <v>0.5</v>
      </c>
      <c r="T276" s="86">
        <f t="shared" si="435"/>
        <v>0.5</v>
      </c>
      <c r="U276" s="30" t="e">
        <f t="shared" ca="1" si="467"/>
        <v>#DIV/0!</v>
      </c>
      <c r="V276" s="85" t="str">
        <f>IF(B276&lt;=Hypothèses!$V$7,Hypothèses!$W$7,IF(B276&lt;=Hypothèses!$V$8,Hypothèses!$W$8,IF(B276&lt;=Hypothèses!$V$9,Hypothèses!$W$9,IF(B276&lt;=Hypothèses!$V$10,Hypothèses!$W$10,IF(B276&lt;=Hypothèses!$V$11,Hypothèses!$W$11,IF(B276&lt;=Hypothèses!$V$12,Hypothèses!$W$12,IF(B276&lt;=Hypothèses!$V$13,Hypothèses!$W$13,IF(B276&lt;=Hypothèses!$V$14,Hypothèses!$W$14,IF(B276&lt;=Hypothèses!$V$15,Hypothèses!$W$15,IF(B276&lt;=Hypothèses!$V$16,Hypothèses!$W$16,IF(B276&lt;=Hypothèses!$V$17,Hypothèses!$W$17,IF(B276&lt;=Hypothèses!$V$18,Hypothèses!$W$18,""))))))))))))</f>
        <v/>
      </c>
      <c r="W276" s="87" t="e">
        <f t="shared" ca="1" si="516"/>
        <v>#DIV/0!</v>
      </c>
      <c r="X276" s="88" t="str">
        <f>IF(B276&lt;=Hypothèses!$V$7,Hypothèses!$X$7,IF(B276&lt;=Hypothèses!$V$8,Hypothèses!$X$8,IF(B276&lt;=Hypothèses!$V$9,Hypothèses!$X$9,IF(B276&lt;=Hypothèses!$V$10,Hypothèses!$X$10,IF(B276&lt;=Hypothèses!$V$11,Hypothèses!$X$11,IF(B276&lt;=Hypothèses!$V$12,Hypothèses!$X$12,IF(B276&lt;=Hypothèses!$V$13,Hypothèses!$X$13,IF(B276&lt;=Hypothèses!$V$14,Hypothèses!$X$14,IF(B276&lt;=Hypothèses!$V$15,Hypothèses!$X$15,IF(B276&lt;=Hypothèses!$V$16,Hypothèses!$X$16,IF(B276&lt;=Hypothèses!$U$17,Hypothèses!$W$17,IF(B276&lt;=Hypothèses!$U$18,Hypothèses!$W$18,""))))))))))))</f>
        <v/>
      </c>
      <c r="Y276" s="95" t="e">
        <f t="shared" ca="1" si="436"/>
        <v>#DIV/0!</v>
      </c>
      <c r="Z276" s="101">
        <f t="shared" si="437"/>
        <v>0</v>
      </c>
      <c r="AA276" s="91">
        <f t="shared" si="438"/>
        <v>0</v>
      </c>
      <c r="AB276" s="30" t="e">
        <f t="shared" si="500"/>
        <v>#N/A</v>
      </c>
      <c r="AC276" s="30" t="e">
        <f t="shared" si="501"/>
        <v>#N/A</v>
      </c>
      <c r="AD276" s="31" t="e">
        <f>IF(OR(Hypothèses!$B$4=17,Hypothèses!$B$4=18,Hypothèses!$B$4=19,Hypothèses!$B$4=20),
IF($D276="Pressio.",
IF(OR($E276=3,$E276=1,$E276=4),AC276,AB276),
IF($D276="Pénétro.",
IF(OR($E276=3,$E276=1,$E276=4),AC276,AB276))),IF($D276="Pressio.",
IF($E276=3,AC276,AB276),
IF($D276="Pénétro.",
IF($E276=4,AC276,AB276))))</f>
        <v>#N/A</v>
      </c>
      <c r="AE276" s="31">
        <v>0</v>
      </c>
      <c r="AF276" s="102" t="e">
        <f>IF(NDC!$H$10="Oui",(VLOOKUP($B$3,'Coeff EC7'!$T$39:$X$59,2,0)*AD276+VLOOKUP($B$3,'Coeff EC7'!$T$65:$X$85,2,0)*Model0.1T!AE276)/1.5,PI()*AB$12*$Q276*($B276-$B275)*0.15/10+AF275)</f>
        <v>#N/A</v>
      </c>
      <c r="AG276" s="102" t="e">
        <f>(VLOOKUP($B$3,'Coeff EC7'!$T$39:$X$59,3,0)*AD276+VLOOKUP($B$3,'Coeff EC7'!$T$65:$X$85,3,0)*Model0.1T!AE276)/1.1</f>
        <v>#N/A</v>
      </c>
      <c r="AH276" s="102" t="e">
        <f t="shared" si="468"/>
        <v>#N/A</v>
      </c>
      <c r="AI276" s="102" t="e">
        <f t="shared" si="469"/>
        <v>#N/A</v>
      </c>
      <c r="AJ276" s="414" t="e">
        <f>IF(AND(AF276&gt;NDC!$C$63,AG276&gt;NDC!$C$65,AH276&gt;NDC!$D$73,AI276&gt;NDC!$D$74,$B276&gt;NDC!$H$22-0.1+MIN(3*$AJ$12,1.5)),0,1)</f>
        <v>#N/A</v>
      </c>
      <c r="AK276" s="86" t="b">
        <f t="shared" si="439"/>
        <v>0</v>
      </c>
      <c r="AL276" s="86">
        <f t="shared" si="470"/>
        <v>0.5</v>
      </c>
      <c r="AM276" s="86">
        <f t="shared" si="440"/>
        <v>0.5</v>
      </c>
      <c r="AN276" s="30" t="e">
        <f t="shared" ca="1" si="471"/>
        <v>#DIV/0!</v>
      </c>
      <c r="AO276" s="85" t="e">
        <f ca="1">IF(U276&lt;=Hypothèses!$V$7,Hypothèses!$W$7,IF(U276&lt;=Hypothèses!$V$8,Hypothèses!$W$8,IF(U276&lt;=Hypothèses!$V$9,Hypothèses!$W$9,IF(U276&lt;=Hypothèses!$V$10,Hypothèses!$W$10,IF(U276&lt;=Hypothèses!$V$11,Hypothèses!$W$11,IF(U276&lt;=Hypothèses!$V$12,Hypothèses!$W$12,IF(U276&lt;=Hypothèses!$V$13,Hypothèses!$W$13,IF(U276&lt;=Hypothèses!$V$14,Hypothèses!$W$14,IF(U276&lt;=Hypothèses!$V$15,Hypothèses!$W$15,IF(U276&lt;=Hypothèses!$V$16,Hypothèses!$W$16,IF(U276&lt;=Hypothèses!$V$17,Hypothèses!$W$17,IF(U276&lt;=Hypothèses!$V$18,Hypothèses!$W$18,""))))))))))))</f>
        <v>#DIV/0!</v>
      </c>
      <c r="AP276" s="87" t="e">
        <f t="shared" ca="1" si="517"/>
        <v>#DIV/0!</v>
      </c>
      <c r="AQ276" s="88" t="e">
        <f ca="1">IF(U276&lt;=Hypothèses!$V$7,Hypothèses!$X$7,IF(U276&lt;=Hypothèses!$V$8,Hypothèses!$X$8,IF(U276&lt;=Hypothèses!$V$9,Hypothèses!$X$9,IF(U276&lt;=Hypothèses!$V$10,Hypothèses!$X$10,IF(U276&lt;=Hypothèses!$V$11,Hypothèses!$X$11,IF(U276&lt;=Hypothèses!$V$12,Hypothèses!$X$12,IF(U276&lt;=Hypothèses!$V$13,Hypothèses!$X$13,IF(U276&lt;=Hypothèses!$V$14,Hypothèses!$X$14,IF(U276&lt;=Hypothèses!$V$15,Hypothèses!$X$15,IF(U276&lt;=Hypothèses!$V$16,Hypothèses!$X$16,IF(U276&lt;=Hypothèses!$U$17,Hypothèses!$W$17,IF(U276&lt;=Hypothèses!$U$18,Hypothèses!$W$18,""))))))))))))</f>
        <v>#DIV/0!</v>
      </c>
      <c r="AR276" s="95" t="e">
        <f t="shared" ca="1" si="472"/>
        <v>#DIV/0!</v>
      </c>
      <c r="AS276" s="101">
        <f t="shared" si="524"/>
        <v>0</v>
      </c>
      <c r="AT276" s="91">
        <f t="shared" si="441"/>
        <v>0</v>
      </c>
      <c r="AU276" s="30" t="e">
        <f t="shared" si="502"/>
        <v>#N/A</v>
      </c>
      <c r="AV276" s="30" t="e">
        <f t="shared" si="503"/>
        <v>#N/A</v>
      </c>
      <c r="AW276" s="31" t="e">
        <f>IF(OR(Hypothèses!$B$4=17,Hypothèses!$B$4=18,Hypothèses!$B$4=19,Hypothèses!$B$4=20),
IF($D276="Pressio.",
IF(OR($E276=3,$E276=1,$E276=4),AV276,AU276),
IF($D276="Pénétro.",
IF(OR($E276=3,$E276=1,$E276=4),AV276,AU276))),IF($D276="Pressio.",
IF($E276=3,AV276,AU276),
IF($D276="Pénétro.",
IF($E276=4,AV276,AU276))))</f>
        <v>#N/A</v>
      </c>
      <c r="AX276" s="31">
        <v>0</v>
      </c>
      <c r="AY276" s="102" t="e">
        <f>IF(NDC!$H$10="Oui",(VLOOKUP($B$3,'Coeff EC7'!$T$39:$X$59,2,0)*AW276+VLOOKUP($B$3,'Coeff EC7'!$T$65:$X$85,2,0)*Model0.1T!AX276)/1.5,PI()*AU$12*$Q276*($B276-$B275)*0.15/10+AY275)</f>
        <v>#N/A</v>
      </c>
      <c r="AZ276" s="102" t="e">
        <f>(VLOOKUP($B$3,'Coeff EC7'!$T$39:$X$59,3,0)*AW276+VLOOKUP($B$3,'Coeff EC7'!$T$65:$X$85,3,0)*Model0.1T!AX276)/1.1</f>
        <v>#N/A</v>
      </c>
      <c r="BA276" s="102" t="e">
        <f t="shared" si="473"/>
        <v>#N/A</v>
      </c>
      <c r="BB276" s="102" t="e">
        <f t="shared" si="474"/>
        <v>#N/A</v>
      </c>
      <c r="BC276" s="414" t="e">
        <f>IF(AND(AY276&gt;NDC!$C$63,AZ276&gt;NDC!$C$65,BA276&gt;NDC!$D$73,BB276&gt;NDC!$D$74,$B276&gt;NDC!$H$22-0.1+MIN(3*BC$12,1.5)),0,1)</f>
        <v>#N/A</v>
      </c>
      <c r="BD276" s="86" t="b">
        <f t="shared" si="442"/>
        <v>0</v>
      </c>
      <c r="BE276" s="86">
        <f t="shared" si="475"/>
        <v>0.5</v>
      </c>
      <c r="BF276" s="86">
        <f t="shared" si="443"/>
        <v>0.5</v>
      </c>
      <c r="BG276" s="30" t="e">
        <f t="shared" ca="1" si="476"/>
        <v>#DIV/0!</v>
      </c>
      <c r="BH276" s="85" t="e">
        <f ca="1">IF(AN276&lt;=Hypothèses!$V$7,Hypothèses!$W$7,IF(AN276&lt;=Hypothèses!$V$8,Hypothèses!$W$8,IF(AN276&lt;=Hypothèses!$V$9,Hypothèses!$W$9,IF(AN276&lt;=Hypothèses!$V$10,Hypothèses!$W$10,IF(AN276&lt;=Hypothèses!$V$11,Hypothèses!$W$11,IF(AN276&lt;=Hypothèses!$V$12,Hypothèses!$W$12,IF(AN276&lt;=Hypothèses!$V$13,Hypothèses!$W$13,IF(AN276&lt;=Hypothèses!$V$14,Hypothèses!$W$14,IF(AN276&lt;=Hypothèses!$V$15,Hypothèses!$W$15,IF(AN276&lt;=Hypothèses!$V$16,Hypothèses!$W$16,IF(AN276&lt;=Hypothèses!$V$17,Hypothèses!$W$17,IF(AN276&lt;=Hypothèses!$V$18,Hypothèses!$W$18,""))))))))))))</f>
        <v>#DIV/0!</v>
      </c>
      <c r="BI276" s="87" t="e">
        <f t="shared" ca="1" si="518"/>
        <v>#DIV/0!</v>
      </c>
      <c r="BJ276" s="88" t="e">
        <f ca="1">IF(AN276&lt;=Hypothèses!$V$7,Hypothèses!$X$7,IF(AN276&lt;=Hypothèses!$V$8,Hypothèses!$X$8,IF(AN276&lt;=Hypothèses!$V$9,Hypothèses!$X$9,IF(AN276&lt;=Hypothèses!$V$10,Hypothèses!$X$10,IF(AN276&lt;=Hypothèses!$V$11,Hypothèses!$X$11,IF(AN276&lt;=Hypothèses!$V$12,Hypothèses!$X$12,IF(AN276&lt;=Hypothèses!$V$13,Hypothèses!$X$13,IF(AN276&lt;=Hypothèses!$V$14,Hypothèses!$X$14,IF(AN276&lt;=Hypothèses!$V$15,Hypothèses!$X$15,IF(AN276&lt;=Hypothèses!$V$16,Hypothèses!$X$16,IF(AN276&lt;=Hypothèses!$U$17,Hypothèses!$W$17,IF(AN276&lt;=Hypothèses!$U$18,Hypothèses!$W$18,""))))))))))))</f>
        <v>#DIV/0!</v>
      </c>
      <c r="BK276" s="95" t="e">
        <f t="shared" ca="1" si="477"/>
        <v>#DIV/0!</v>
      </c>
      <c r="BL276" s="101">
        <f t="shared" si="525"/>
        <v>0</v>
      </c>
      <c r="BM276" s="91">
        <f t="shared" si="444"/>
        <v>0</v>
      </c>
      <c r="BN276" s="30" t="e">
        <f t="shared" si="504"/>
        <v>#N/A</v>
      </c>
      <c r="BO276" s="30" t="e">
        <f t="shared" si="505"/>
        <v>#N/A</v>
      </c>
      <c r="BP276" s="31" t="e">
        <f>IF(OR(Hypothèses!$B$4=17,Hypothèses!$B$4=18,Hypothèses!$B$4=19,Hypothèses!$B$4=20),
IF($D276="Pressio.",
IF(OR($E276=3,$E276=1,$E276=4),BO276,BN276),
IF($D276="Pénétro.",
IF(OR($E276=3,$E276=1,$E276=4),BO276,BN276))),IF($D276="Pressio.",
IF($E276=3,BO276,BN276),
IF($D276="Pénétro.",
IF($E276=4,BO276,BN276))))</f>
        <v>#N/A</v>
      </c>
      <c r="BQ276" s="31">
        <v>0</v>
      </c>
      <c r="BR276" s="102" t="e">
        <f>IF(NDC!$H$10="Oui",(VLOOKUP($B$3,'Coeff EC7'!$T$39:$X$59,2,0)*BP276+VLOOKUP($B$3,'Coeff EC7'!$T$65:$X$85,2,0)*Model0.1T!BQ276)/1.5,PI()*BN$12*$Q276*($B276-$B275)*0.15/10+BR275)</f>
        <v>#N/A</v>
      </c>
      <c r="BS276" s="102" t="e">
        <f>(VLOOKUP($B$3,'Coeff EC7'!$T$39:$X$59,3,0)*BP276+VLOOKUP($B$3,'Coeff EC7'!$T$65:$X$85,3,0)*Model0.1T!BQ276)/1.1</f>
        <v>#N/A</v>
      </c>
      <c r="BT276" s="102" t="e">
        <f t="shared" si="478"/>
        <v>#N/A</v>
      </c>
      <c r="BU276" s="102" t="e">
        <f t="shared" si="479"/>
        <v>#N/A</v>
      </c>
      <c r="BV276" s="414" t="e">
        <f>IF(AND(BR276&gt;NDC!$C$63,BS276&gt;NDC!$C$65,BT276&gt;NDC!$D$73,BU276&gt;NDC!$D$74,$B276&gt;NDC!$H$22-0.1+MIN(3*BV$12,1.5)),0,1)</f>
        <v>#N/A</v>
      </c>
      <c r="BW276" s="86" t="b">
        <f t="shared" si="445"/>
        <v>0</v>
      </c>
      <c r="BX276" s="86">
        <f t="shared" si="446"/>
        <v>0.5</v>
      </c>
      <c r="BY276" s="86">
        <f t="shared" si="447"/>
        <v>0.5</v>
      </c>
      <c r="BZ276" s="30" t="e">
        <f t="shared" ca="1" si="480"/>
        <v>#DIV/0!</v>
      </c>
      <c r="CA276" s="85" t="e">
        <f ca="1">IF(BG276&lt;=Hypothèses!$V$7,Hypothèses!$W$7,IF(BG276&lt;=Hypothèses!$V$8,Hypothèses!$W$8,IF(BG276&lt;=Hypothèses!$V$9,Hypothèses!$W$9,IF(BG276&lt;=Hypothèses!$V$10,Hypothèses!$W$10,IF(BG276&lt;=Hypothèses!$V$11,Hypothèses!$W$11,IF(BG276&lt;=Hypothèses!$V$12,Hypothèses!$W$12,IF(BG276&lt;=Hypothèses!$V$13,Hypothèses!$W$13,IF(BG276&lt;=Hypothèses!$V$14,Hypothèses!$W$14,IF(BG276&lt;=Hypothèses!$V$15,Hypothèses!$W$15,IF(BG276&lt;=Hypothèses!$V$16,Hypothèses!$W$16,IF(BG276&lt;=Hypothèses!$V$17,Hypothèses!$W$17,IF(BG276&lt;=Hypothèses!$V$18,Hypothèses!$W$18,""))))))))))))</f>
        <v>#DIV/0!</v>
      </c>
      <c r="CB276" s="87" t="e">
        <f t="shared" ca="1" si="519"/>
        <v>#DIV/0!</v>
      </c>
      <c r="CC276" s="88" t="e">
        <f ca="1">IF(BG276&lt;=Hypothèses!$V$7,Hypothèses!$X$7,IF(BG276&lt;=Hypothèses!$V$8,Hypothèses!$X$8,IF(BG276&lt;=Hypothèses!$V$9,Hypothèses!$X$9,IF(BG276&lt;=Hypothèses!$V$10,Hypothèses!$X$10,IF(BG276&lt;=Hypothèses!$V$11,Hypothèses!$X$11,IF(BG276&lt;=Hypothèses!$V$12,Hypothèses!$X$12,IF(BG276&lt;=Hypothèses!$V$13,Hypothèses!$X$13,IF(BG276&lt;=Hypothèses!$V$14,Hypothèses!$X$14,IF(BG276&lt;=Hypothèses!$V$15,Hypothèses!$X$15,IF(BG276&lt;=Hypothèses!$V$16,Hypothèses!$X$16,IF(BG276&lt;=Hypothèses!$U$17,Hypothèses!$W$17,IF(BG276&lt;=Hypothèses!$U$18,Hypothèses!$W$18,""))))))))))))</f>
        <v>#DIV/0!</v>
      </c>
      <c r="CD276" s="95" t="e">
        <f t="shared" ca="1" si="481"/>
        <v>#DIV/0!</v>
      </c>
      <c r="CE276" s="101">
        <f t="shared" si="526"/>
        <v>0</v>
      </c>
      <c r="CF276" s="91">
        <f t="shared" si="448"/>
        <v>0</v>
      </c>
      <c r="CG276" s="30" t="e">
        <f t="shared" si="506"/>
        <v>#N/A</v>
      </c>
      <c r="CH276" s="30" t="e">
        <f t="shared" si="507"/>
        <v>#N/A</v>
      </c>
      <c r="CI276" s="31" t="e">
        <f>IF(OR(Hypothèses!$B$4=17,Hypothèses!$B$4=18,Hypothèses!$B$4=19,Hypothèses!$B$4=20),
IF($D276="Pressio.",
IF(OR($E276=3,$E276=1,$E276=4),CH276,CG276),
IF($D276="Pénétro.",
IF(OR($E276=3,$E276=1,$E276=4),CH276,CG276))),IF($D276="Pressio.",
IF($E276=3,CH276,CG276),
IF($D276="Pénétro.",
IF($E276=4,CH276,CG276))))</f>
        <v>#N/A</v>
      </c>
      <c r="CJ276" s="31">
        <v>0</v>
      </c>
      <c r="CK276" s="102" t="e">
        <f>IF(NDC!$H$10="Oui",(VLOOKUP($B$3,'Coeff EC7'!$T$39:$X$59,2,0)*CI276+VLOOKUP($B$3,'Coeff EC7'!$T$65:$X$85,2,0)*Model0.1T!CJ276)/1.5,PI()*CG$12*$Q276*($B276-$B275)*0.15/10+CK275)</f>
        <v>#N/A</v>
      </c>
      <c r="CL276" s="102" t="e">
        <f>(VLOOKUP($B$3,'Coeff EC7'!$T$39:$X$59,3,0)*CI276+VLOOKUP($B$3,'Coeff EC7'!$T$65:$X$85,3,0)*Model0.1T!CJ276)/1.1</f>
        <v>#N/A</v>
      </c>
      <c r="CM276" s="102" t="e">
        <f t="shared" si="482"/>
        <v>#N/A</v>
      </c>
      <c r="CN276" s="102" t="e">
        <f t="shared" si="483"/>
        <v>#N/A</v>
      </c>
      <c r="CO276" s="414" t="e">
        <f>IF(AND(CK276&gt;NDC!$C$63,CL276&gt;NDC!$C$65,CM276&gt;NDC!$D$73,CN276&gt;NDC!$D$74,$B276&gt;NDC!$H$22-0.1+MIN(3*CO$12,1.5)),0,1)</f>
        <v>#N/A</v>
      </c>
      <c r="CP276" s="86" t="b">
        <f t="shared" si="449"/>
        <v>0</v>
      </c>
      <c r="CQ276" s="86">
        <f t="shared" si="450"/>
        <v>0.5</v>
      </c>
      <c r="CR276" s="86">
        <f t="shared" si="451"/>
        <v>0.5</v>
      </c>
      <c r="CS276" s="30" t="e">
        <f t="shared" ca="1" si="484"/>
        <v>#DIV/0!</v>
      </c>
      <c r="CT276" s="85" t="e">
        <f ca="1">IF(BZ276&lt;=Hypothèses!$V$7,Hypothèses!$W$7,IF(BZ276&lt;=Hypothèses!$V$8,Hypothèses!$W$8,IF(BZ276&lt;=Hypothèses!$V$9,Hypothèses!$W$9,IF(BZ276&lt;=Hypothèses!$V$10,Hypothèses!$W$10,IF(BZ276&lt;=Hypothèses!$V$11,Hypothèses!$W$11,IF(BZ276&lt;=Hypothèses!$V$12,Hypothèses!$W$12,IF(BZ276&lt;=Hypothèses!$V$13,Hypothèses!$W$13,IF(BZ276&lt;=Hypothèses!$V$14,Hypothèses!$W$14,IF(BZ276&lt;=Hypothèses!$V$15,Hypothèses!$W$15,IF(BZ276&lt;=Hypothèses!$V$16,Hypothèses!$W$16,IF(BZ276&lt;=Hypothèses!$V$17,Hypothèses!$W$17,IF(BZ276&lt;=Hypothèses!$V$18,Hypothèses!$W$18,""))))))))))))</f>
        <v>#DIV/0!</v>
      </c>
      <c r="CU276" s="87" t="e">
        <f t="shared" ca="1" si="520"/>
        <v>#DIV/0!</v>
      </c>
      <c r="CV276" s="88" t="e">
        <f ca="1">IF(BZ276&lt;=Hypothèses!$V$7,Hypothèses!$X$7,IF(BZ276&lt;=Hypothèses!$V$8,Hypothèses!$X$8,IF(BZ276&lt;=Hypothèses!$V$9,Hypothèses!$X$9,IF(BZ276&lt;=Hypothèses!$V$10,Hypothèses!$X$10,IF(BZ276&lt;=Hypothèses!$V$11,Hypothèses!$X$11,IF(BZ276&lt;=Hypothèses!$V$12,Hypothèses!$X$12,IF(BZ276&lt;=Hypothèses!$V$13,Hypothèses!$X$13,IF(BZ276&lt;=Hypothèses!$V$14,Hypothèses!$X$14,IF(BZ276&lt;=Hypothèses!$V$15,Hypothèses!$X$15,IF(BZ276&lt;=Hypothèses!$V$16,Hypothèses!$X$16,IF(BZ276&lt;=Hypothèses!$U$17,Hypothèses!$W$17,IF(BZ276&lt;=Hypothèses!$U$18,Hypothèses!$W$18,""))))))))))))</f>
        <v>#DIV/0!</v>
      </c>
      <c r="CW276" s="95" t="e">
        <f t="shared" ca="1" si="485"/>
        <v>#DIV/0!</v>
      </c>
      <c r="CX276" s="101">
        <f t="shared" si="527"/>
        <v>0</v>
      </c>
      <c r="CY276" s="91">
        <f t="shared" si="452"/>
        <v>0</v>
      </c>
      <c r="CZ276" s="30" t="e">
        <f t="shared" si="508"/>
        <v>#N/A</v>
      </c>
      <c r="DA276" s="30" t="e">
        <f t="shared" si="509"/>
        <v>#N/A</v>
      </c>
      <c r="DB276" s="31" t="e">
        <f>IF(OR(Hypothèses!$B$4=17,Hypothèses!$B$4=18,Hypothèses!$B$4=19,Hypothèses!$B$4=20),
IF($D276="Pressio.",
IF(OR($E276=3,$E276=1,$E276=4),DA276,CZ276),
IF($D276="Pénétro.",
IF(OR($E276=3,$E276=1,$E276=4),DA276,CZ276))),IF($D276="Pressio.",
IF($E276=3,DA276,CZ276),
IF($D276="Pénétro.",
IF($E276=4,DA276,CZ276))))</f>
        <v>#N/A</v>
      </c>
      <c r="DC276" s="31">
        <v>0</v>
      </c>
      <c r="DD276" s="102" t="e">
        <f>IF(NDC!$H$10="Oui",(VLOOKUP($B$3,'Coeff EC7'!$T$39:$X$59,2,0)*DB276+VLOOKUP($B$3,'Coeff EC7'!$T$65:$X$85,2,0)*Model0.1T!DC276)/1.5,PI()*CZ$12*$Q276*($B276-$B275)*0.15/10+DD275)</f>
        <v>#N/A</v>
      </c>
      <c r="DE276" s="102" t="e">
        <f>(VLOOKUP($B$3,'Coeff EC7'!$T$39:$X$59,3,0)*DB276+VLOOKUP($B$3,'Coeff EC7'!$T$65:$X$85,3,0)*Model0.1T!DC276)/1.1</f>
        <v>#N/A</v>
      </c>
      <c r="DF276" s="102" t="e">
        <f t="shared" si="486"/>
        <v>#N/A</v>
      </c>
      <c r="DG276" s="102" t="e">
        <f t="shared" si="487"/>
        <v>#N/A</v>
      </c>
      <c r="DH276" s="414" t="e">
        <f>IF(AND(DD276&gt;NDC!$C$63,DE276&gt;NDC!$C$65,DF276&gt;NDC!$D$73,DG276&gt;NDC!$D$74,$B276&gt;NDC!$H$22-0.1+MIN(3*DH$12,1.5)),0,1)</f>
        <v>#N/A</v>
      </c>
      <c r="DI276" s="86" t="b">
        <f t="shared" si="453"/>
        <v>0</v>
      </c>
      <c r="DJ276" s="86">
        <f t="shared" si="454"/>
        <v>0.5</v>
      </c>
      <c r="DK276" s="86">
        <f t="shared" si="455"/>
        <v>0.5</v>
      </c>
      <c r="DL276" s="30" t="e">
        <f t="shared" ca="1" si="488"/>
        <v>#DIV/0!</v>
      </c>
      <c r="DM276" s="85" t="e">
        <f ca="1">IF(CS276&lt;=Hypothèses!$V$7,Hypothèses!$W$7,IF(CS276&lt;=Hypothèses!$V$8,Hypothèses!$W$8,IF(CS276&lt;=Hypothèses!$V$9,Hypothèses!$W$9,IF(CS276&lt;=Hypothèses!$V$10,Hypothèses!$W$10,IF(CS276&lt;=Hypothèses!$V$11,Hypothèses!$W$11,IF(CS276&lt;=Hypothèses!$V$12,Hypothèses!$W$12,IF(CS276&lt;=Hypothèses!$V$13,Hypothèses!$W$13,IF(CS276&lt;=Hypothèses!$V$14,Hypothèses!$W$14,IF(CS276&lt;=Hypothèses!$V$15,Hypothèses!$W$15,IF(CS276&lt;=Hypothèses!$V$16,Hypothèses!$W$16,IF(CS276&lt;=Hypothèses!$V$17,Hypothèses!$W$17,IF(CS276&lt;=Hypothèses!$V$18,Hypothèses!$W$18,""))))))))))))</f>
        <v>#DIV/0!</v>
      </c>
      <c r="DN276" s="87" t="e">
        <f t="shared" ca="1" si="521"/>
        <v>#DIV/0!</v>
      </c>
      <c r="DO276" s="88" t="e">
        <f ca="1">IF(CS276&lt;=Hypothèses!$V$7,Hypothèses!$X$7,IF(CS276&lt;=Hypothèses!$V$8,Hypothèses!$X$8,IF(CS276&lt;=Hypothèses!$V$9,Hypothèses!$X$9,IF(CS276&lt;=Hypothèses!$V$10,Hypothèses!$X$10,IF(CS276&lt;=Hypothèses!$V$11,Hypothèses!$X$11,IF(CS276&lt;=Hypothèses!$V$12,Hypothèses!$X$12,IF(CS276&lt;=Hypothèses!$V$13,Hypothèses!$X$13,IF(CS276&lt;=Hypothèses!$V$14,Hypothèses!$X$14,IF(CS276&lt;=Hypothèses!$V$15,Hypothèses!$X$15,IF(CS276&lt;=Hypothèses!$V$16,Hypothèses!$X$16,IF(CS276&lt;=Hypothèses!$U$17,Hypothèses!$W$17,IF(CS276&lt;=Hypothèses!$U$18,Hypothèses!$W$18,""))))))))))))</f>
        <v>#DIV/0!</v>
      </c>
      <c r="DP276" s="95" t="e">
        <f t="shared" ca="1" si="489"/>
        <v>#DIV/0!</v>
      </c>
      <c r="DQ276" s="101">
        <f t="shared" si="528"/>
        <v>0</v>
      </c>
      <c r="DR276" s="91">
        <f t="shared" si="456"/>
        <v>0</v>
      </c>
      <c r="DS276" s="30" t="e">
        <f t="shared" si="510"/>
        <v>#N/A</v>
      </c>
      <c r="DT276" s="30" t="e">
        <f t="shared" si="511"/>
        <v>#N/A</v>
      </c>
      <c r="DU276" s="31" t="e">
        <f>IF(OR(Hypothèses!$B$4=17,Hypothèses!$B$4=18,Hypothèses!$B$4=19,Hypothèses!$B$4=20),
IF($D276="Pressio.",
IF(OR($E276=3,$E276=1,$E276=4),DT276,DS276),
IF($D276="Pénétro.",
IF(OR($E276=3,$E276=1,$E276=4),DT276,DS276))),IF($D276="Pressio.",
IF($E276=3,DT276,DS276),
IF($D276="Pénétro.",
IF($E276=4,DT276,DS276))))</f>
        <v>#N/A</v>
      </c>
      <c r="DV276" s="31">
        <v>0</v>
      </c>
      <c r="DW276" s="102" t="e">
        <f>IF(NDC!$H$10="Oui",(VLOOKUP($B$3,'Coeff EC7'!$T$39:$X$59,2,0)*DU276+VLOOKUP($B$3,'Coeff EC7'!$T$65:$X$85,2,0)*Model0.1T!DV276)/1.5,PI()*DS$12*$Q276*($B276-$B275)*0.15/10+DW275)</f>
        <v>#N/A</v>
      </c>
      <c r="DX276" s="102" t="e">
        <f>(VLOOKUP($B$3,'Coeff EC7'!$T$39:$X$59,3,0)*DU276+VLOOKUP($B$3,'Coeff EC7'!$T$65:$X$85,3,0)*Model0.1T!DV276)/1.1</f>
        <v>#N/A</v>
      </c>
      <c r="DY276" s="102" t="e">
        <f t="shared" si="490"/>
        <v>#N/A</v>
      </c>
      <c r="DZ276" s="102" t="e">
        <f t="shared" si="491"/>
        <v>#N/A</v>
      </c>
      <c r="EA276" s="414" t="e">
        <f>IF(AND(DW276&gt;NDC!$C$63,DX276&gt;NDC!$C$65,DY276&gt;NDC!$D$73,DZ276&gt;NDC!$D$74,$B276&gt;NDC!$H$22-0.1+MIN(3*EA$12,1.5)),0,1)</f>
        <v>#N/A</v>
      </c>
      <c r="EB276" s="86" t="b">
        <f t="shared" si="457"/>
        <v>0</v>
      </c>
      <c r="EC276" s="418">
        <f t="shared" si="458"/>
        <v>0.51</v>
      </c>
      <c r="ED276" s="86">
        <f t="shared" si="459"/>
        <v>0.51</v>
      </c>
      <c r="EE276" s="30" t="e">
        <f t="shared" ca="1" si="492"/>
        <v>#DIV/0!</v>
      </c>
      <c r="EF276" s="85" t="e">
        <f ca="1">IF(DL276&lt;=Hypothèses!$V$7,Hypothèses!$W$7,IF(DL276&lt;=Hypothèses!$V$8,Hypothèses!$W$8,IF(DL276&lt;=Hypothèses!$V$9,Hypothèses!$W$9,IF(DL276&lt;=Hypothèses!$V$10,Hypothèses!$W$10,IF(DL276&lt;=Hypothèses!$V$11,Hypothèses!$W$11,IF(DL276&lt;=Hypothèses!$V$12,Hypothèses!$W$12,IF(DL276&lt;=Hypothèses!$V$13,Hypothèses!$W$13,IF(DL276&lt;=Hypothèses!$V$14,Hypothèses!$W$14,IF(DL276&lt;=Hypothèses!$V$15,Hypothèses!$W$15,IF(DL276&lt;=Hypothèses!$V$16,Hypothèses!$W$16,IF(DL276&lt;=Hypothèses!$V$17,Hypothèses!$W$17,IF(DL276&lt;=Hypothèses!$V$18,Hypothèses!$W$18,""))))))))))))</f>
        <v>#DIV/0!</v>
      </c>
      <c r="EG276" s="87" t="e">
        <f t="shared" ca="1" si="522"/>
        <v>#DIV/0!</v>
      </c>
      <c r="EH276" s="88" t="e">
        <f ca="1">IF(DL276&lt;=Hypothèses!$V$7,Hypothèses!$X$7,IF(DL276&lt;=Hypothèses!$V$8,Hypothèses!$X$8,IF(DL276&lt;=Hypothèses!$V$9,Hypothèses!$X$9,IF(DL276&lt;=Hypothèses!$V$10,Hypothèses!$X$10,IF(DL276&lt;=Hypothèses!$V$11,Hypothèses!$X$11,IF(DL276&lt;=Hypothèses!$V$12,Hypothèses!$X$12,IF(DL276&lt;=Hypothèses!$V$13,Hypothèses!$X$13,IF(DL276&lt;=Hypothèses!$V$14,Hypothèses!$X$14,IF(DL276&lt;=Hypothèses!$V$15,Hypothèses!$X$15,IF(DL276&lt;=Hypothèses!$V$16,Hypothèses!$X$16,IF(DL276&lt;=Hypothèses!$U$17,Hypothèses!$W$17,IF(DL276&lt;=Hypothèses!$U$18,Hypothèses!$W$18,""))))))))))))</f>
        <v>#DIV/0!</v>
      </c>
      <c r="EI276" s="95" t="e">
        <f t="shared" ca="1" si="493"/>
        <v>#DIV/0!</v>
      </c>
      <c r="EJ276" s="101">
        <f t="shared" si="529"/>
        <v>0</v>
      </c>
      <c r="EK276" s="91">
        <f t="shared" si="460"/>
        <v>0</v>
      </c>
      <c r="EL276" s="30" t="e">
        <f t="shared" si="512"/>
        <v>#N/A</v>
      </c>
      <c r="EM276" s="30" t="e">
        <f t="shared" si="513"/>
        <v>#N/A</v>
      </c>
      <c r="EN276" s="31" t="e">
        <f>IF(OR(Hypothèses!$B$4=17,Hypothèses!$B$4=18,Hypothèses!$B$4=19,Hypothèses!$B$4=20),
IF($D276="Pressio.",
IF(OR($E276=3,$E276=1,$E276=4),EM276,EL276),
IF($D276="Pénétro.",
IF(OR($E276=3,$E276=1,$E276=4),EM276,EL276))),IF($D276="Pressio.",
IF($E276=3,EM276,EL276),
IF($D276="Pénétro.",
IF($E276=4,EM276,EL276))))</f>
        <v>#N/A</v>
      </c>
      <c r="EO276" s="31">
        <v>0</v>
      </c>
      <c r="EP276" s="102" t="e">
        <f>IF(NDC!$H$10="Oui",(VLOOKUP($B$3,'Coeff EC7'!$T$39:$X$59,2,0)*EN276+VLOOKUP($B$3,'Coeff EC7'!$T$65:$X$85,2,0)*Model0.1T!EO276)/1.5,PI()*EL$12*$Q276*($B276-$B275)*0.15/10+EP275)</f>
        <v>#N/A</v>
      </c>
      <c r="EQ276" s="102" t="e">
        <f>(VLOOKUP($B$3,'Coeff EC7'!$T$39:$X$59,3,0)*EN276+VLOOKUP($B$3,'Coeff EC7'!$T$65:$X$85,3,0)*Model0.1T!EO276)/1.1</f>
        <v>#N/A</v>
      </c>
      <c r="ER276" s="102" t="e">
        <f t="shared" si="494"/>
        <v>#N/A</v>
      </c>
      <c r="ES276" s="102" t="e">
        <f t="shared" si="495"/>
        <v>#N/A</v>
      </c>
      <c r="ET276" s="414" t="e">
        <f>IF(AND(EP276&gt;NDC!$C$63,EQ276&gt;NDC!$C$65,ER276&gt;NDC!$D$73,ES276&gt;NDC!$D$74,$B276&gt;NDC!$H$22-0.1+MIN(3*ET$12,1.5)),0,1)</f>
        <v>#N/A</v>
      </c>
      <c r="EU276" s="86" t="b">
        <f t="shared" si="461"/>
        <v>0</v>
      </c>
      <c r="EV276" s="86">
        <f t="shared" si="462"/>
        <v>0.61</v>
      </c>
      <c r="EW276" s="86">
        <f t="shared" si="463"/>
        <v>0.61</v>
      </c>
      <c r="EX276" s="30" t="e">
        <f t="shared" ca="1" si="496"/>
        <v>#DIV/0!</v>
      </c>
      <c r="EY276" s="85" t="e">
        <f ca="1">IF(EE276&lt;=Hypothèses!$V$7,Hypothèses!$W$7,IF(EE276&lt;=Hypothèses!$V$8,Hypothèses!$W$8,IF(EE276&lt;=Hypothèses!$V$9,Hypothèses!$W$9,IF(EE276&lt;=Hypothèses!$V$10,Hypothèses!$W$10,IF(EE276&lt;=Hypothèses!$V$11,Hypothèses!$W$11,IF(EE276&lt;=Hypothèses!$V$12,Hypothèses!$W$12,IF(EE276&lt;=Hypothèses!$V$13,Hypothèses!$W$13,IF(EE276&lt;=Hypothèses!$V$14,Hypothèses!$W$14,IF(EE276&lt;=Hypothèses!$V$15,Hypothèses!$W$15,IF(EE276&lt;=Hypothèses!$V$16,Hypothèses!$W$16,IF(EE276&lt;=Hypothèses!$V$17,Hypothèses!$W$17,IF(EE276&lt;=Hypothèses!$V$18,Hypothèses!$W$18,""))))))))))))</f>
        <v>#DIV/0!</v>
      </c>
      <c r="EZ276" s="87" t="e">
        <f t="shared" ca="1" si="523"/>
        <v>#DIV/0!</v>
      </c>
      <c r="FA276" s="88" t="e">
        <f ca="1">IF(EE276&lt;=Hypothèses!$V$7,Hypothèses!$X$7,IF(EE276&lt;=Hypothèses!$V$8,Hypothèses!$X$8,IF(EE276&lt;=Hypothèses!$V$9,Hypothèses!$X$9,IF(EE276&lt;=Hypothèses!$V$10,Hypothèses!$X$10,IF(EE276&lt;=Hypothèses!$V$11,Hypothèses!$X$11,IF(EE276&lt;=Hypothèses!$V$12,Hypothèses!$X$12,IF(EE276&lt;=Hypothèses!$V$13,Hypothèses!$X$13,IF(EE276&lt;=Hypothèses!$V$14,Hypothèses!$X$14,IF(EE276&lt;=Hypothèses!$V$15,Hypothèses!$X$15,IF(EE276&lt;=Hypothèses!$V$16,Hypothèses!$X$16,IF(EE276&lt;=Hypothèses!$U$17,Hypothèses!$W$17,IF(EE276&lt;=Hypothèses!$U$18,Hypothèses!$W$18,""))))))))))))</f>
        <v>#DIV/0!</v>
      </c>
      <c r="FB276" s="95" t="e">
        <f t="shared" ca="1" si="497"/>
        <v>#DIV/0!</v>
      </c>
      <c r="FC276" s="101">
        <f t="shared" si="530"/>
        <v>0</v>
      </c>
      <c r="FD276" s="91">
        <f t="shared" si="464"/>
        <v>0</v>
      </c>
      <c r="FE276" s="30" t="e">
        <f t="shared" si="514"/>
        <v>#N/A</v>
      </c>
      <c r="FF276" s="30" t="e">
        <f t="shared" si="515"/>
        <v>#N/A</v>
      </c>
      <c r="FG276" s="31" t="e">
        <f>IF(OR(Hypothèses!$B$4=17,Hypothèses!$B$4=18,Hypothèses!$B$4=19,Hypothèses!$B$4=20),
IF($D276="Pressio.",
IF(OR($E276=3,$E276=1,$E276=4),FF276,FE276),
IF($D276="Pénétro.",
IF(OR($E276=3,$E276=1,$E276=4),FF276,FE276))),IF($D276="Pressio.",
IF($E276=3,FF276,FE276),
IF($D276="Pénétro.",
IF($E276=4,FF276,FE276))))</f>
        <v>#N/A</v>
      </c>
      <c r="FH276" s="31">
        <v>0</v>
      </c>
      <c r="FI276" s="102" t="e">
        <f>IF(NDC!$H$10="Oui",(VLOOKUP($B$3,'Coeff EC7'!$T$39:$X$59,2,0)*FG276+VLOOKUP($B$3,'Coeff EC7'!$T$65:$X$85,2,0)*Model0.1T!FH276)/1.5,PI()*FE$12*$Q276*($B276-$B275)*0.15/10+FI275)</f>
        <v>#N/A</v>
      </c>
      <c r="FJ276" s="102" t="e">
        <f>(VLOOKUP($B$3,'Coeff EC7'!$T$39:$X$59,3,0)*FG276+VLOOKUP($B$3,'Coeff EC7'!$T$65:$X$85,3,0)*Model0.1T!FH276)/1.1</f>
        <v>#N/A</v>
      </c>
      <c r="FK276" s="102" t="e">
        <f t="shared" si="498"/>
        <v>#N/A</v>
      </c>
      <c r="FL276" s="102" t="e">
        <f t="shared" si="499"/>
        <v>#N/A</v>
      </c>
      <c r="FM276" s="414" t="e">
        <f>IF(AND(FI276&gt;NDC!$C$63,FJ276&gt;NDC!$C$65,FK276&gt;NDC!$D$73,FL276&gt;NDC!$D$74,$B276&gt;NDC!$H$22-0.1+MIN(3*FM$12,1.5)),0,1)</f>
        <v>#N/A</v>
      </c>
    </row>
    <row r="277" spans="1:169">
      <c r="A277" s="96">
        <f t="shared" si="465"/>
        <v>73.600000000001501</v>
      </c>
      <c r="B277" s="97">
        <v>26.4</v>
      </c>
      <c r="C277" s="81">
        <f>IF(B277&lt;=Hypothèses!$C$7,Hypothèses!$A$7,IF(B277&lt;=Hypothèses!$C$8,Hypothèses!$A$8,IF(B277&lt;=Hypothèses!$C$9,Hypothèses!$A$9,IF(B277&lt;=Hypothèses!$C$10,Hypothèses!$A$10,IF(B277&lt;=Hypothèses!$C$11,Hypothèses!$A$11,IF(B277&lt;=Hypothèses!$C$12,Hypothèses!$A$12,IF(B277&lt;=Hypothèses!$C$13,Hypothèses!$A$13,IF(B277&lt;=Hypothèses!$C$14,Hypothèses!$A$14,IF(B277&lt;=Hypothèses!$C$15,Hypothèses!$A$15,IF(B277&lt;=Hypothèses!$C$16,Hypothèses!$A$16,IF(B277&lt;=Hypothèses!$C$17,Hypothèses!$A$17,IF(B277&lt;=Hypothèses!$C$18,Hypothèses!$A$18,C276))))))))))))</f>
        <v>11</v>
      </c>
      <c r="D277" s="82" t="str">
        <f>IF(B277&lt;=Hypothèses!$C$7,Hypothèses!$R$7,IF(B277&lt;=Hypothèses!$C$8,Hypothèses!$R$8,IF(B277&lt;=Hypothèses!$C$9,Hypothèses!$R$9,IF(B277&lt;=Hypothèses!$C$10,Hypothèses!$R$10,IF(B277&lt;=Hypothèses!$C$11,Hypothèses!$R$11,IF(B277&lt;=Hypothèses!$C$12,Hypothèses!$R$12,IF(B277&lt;=Hypothèses!$C$13,Hypothèses!$R$13,IF(B277&lt;=Hypothèses!$C$14,Hypothèses!$R$14,IF(B277&lt;=Hypothèses!$C$15,Hypothèses!$R$15,IF(B277&lt;=Hypothèses!$C$16,Hypothèses!$R$16,IF(B277&lt;=Hypothèses!$C$17,Hypothèses!$R$17,IF(B277&lt;=Hypothèses!$C$18,Hypothèses!$R$18,D276))))))))))))</f>
        <v>Pressio.</v>
      </c>
      <c r="E277" s="82" t="e">
        <f>IF(B277&lt;=Hypothèses!$C$7,Hypothèses!$G$7,IF(B277&lt;=Hypothèses!$C$8,Hypothèses!$G$8,IF(B277&lt;=Hypothèses!$C$9,Hypothèses!$G$9,IF(B277&lt;=Hypothèses!$C$10,Hypothèses!$G$10,IF(B277&lt;=Hypothèses!$C$11,Hypothèses!$G$11,IF(B277&lt;=Hypothèses!$C$12,Hypothèses!$G$12,IF(B277&lt;=Hypothèses!$C$13,Hypothèses!$G$13,IF(B277&lt;=Hypothèses!$C$14,Hypothèses!$G$14,IF(B277&lt;=Hypothèses!$C$15,Hypothèses!$G$15,IF(B277&lt;=Hypothèses!$C$16,Hypothèses!$G$16,IF(B277&lt;=Hypothèses!$C$17,Hypothèses!$G$17,IF(B277&lt;=Hypothèses!$C$18,Hypothèses!$G$18,E276))))))))))))</f>
        <v>#N/A</v>
      </c>
      <c r="F277" s="82" t="str">
        <f>IF(B277&lt;=Hypothèses!$C$7,Hypothèses!$F$7,IF(B277&lt;=Hypothèses!$C$8,Hypothèses!$F$8,IF(B277&lt;=Hypothèses!$C$9,Hypothèses!$F$9,IF(B277&lt;=Hypothèses!$C$10,Hypothèses!$F$10,IF(B277&lt;=Hypothèses!$C$11,Hypothèses!$F$11,IF(B277&lt;=Hypothèses!$C$12,Hypothèses!$F$12,IF(B277&lt;=Hypothèses!$C$13,Hypothèses!$F$13,IF(B277&lt;=Hypothèses!$C$14,Hypothèses!$F$14,IF(B277&lt;=Hypothèses!$C$15,Hypothèses!$F$15,IF(B277&lt;=Hypothèses!$C$16,Hypothèses!$F$16,IF(B277&lt;=Hypothèses!$C$17,Hypothèses!$F$17,IF(B277&lt;=Hypothèses!$C$18,Hypothèses!$F$18,F276))))))))))))</f>
        <v/>
      </c>
      <c r="G277" s="91">
        <f t="array" ref="G277">INDEX('Coeff EC7'!$U$7:$X$27,
MATCH(Model0.1T!$B$3,'Coeff EC7'!$T$7:$T$27,0),
MATCH(Model0.1T!$D277&amp;Model0.1T!$B$4,
'Coeff EC7'!$U$6:$X$6&amp;
'Coeff EC7'!$U$5:$X$5,0))</f>
        <v>1.4</v>
      </c>
      <c r="H277" s="91">
        <f t="array" ref="H277">INDEX('Coeff EC7'!$Y$7:$AB$27,
MATCH(Model0.1T!$B$3,'Coeff EC7'!$T$7:$T$27,0),
MATCH(Model0.1T!$D277&amp;Model0.1T!$B$4,
'Coeff EC7'!$Y$6:$AB$6&amp;
'Coeff EC7'!$Y$5:$AB$5,0))</f>
        <v>1.7</v>
      </c>
      <c r="I277" s="83">
        <v>0</v>
      </c>
      <c r="J277" s="91" t="e">
        <f t="array" ref="J277">INDEX('Coeff EC7'!$D$33:$Q$33,1,MATCH(D277&amp;E277,'Coeff EC7'!$D$31:$Q$31&amp;'Coeff EC7'!$D$32:$Q$32,0))</f>
        <v>#N/A</v>
      </c>
      <c r="K277" s="91" t="e">
        <f t="array" ref="K277">INDEX('Coeff EC7'!$D$34:$Q$34,1,MATCH(D277&amp;E277,'Coeff EC7'!$D$31:$Q$31&amp;'Coeff EC7'!$D$32:$Q$32,0))</f>
        <v>#N/A</v>
      </c>
      <c r="L277" s="91" t="e">
        <f t="array" ref="L277">INDEX('Coeff EC7'!$D$35:$Q$35,1,MATCH(D277&amp;E277,'Coeff EC7'!$D$31:$Q$31&amp;'Coeff EC7'!$D$32:$Q$32,0))</f>
        <v>#N/A</v>
      </c>
      <c r="M277" s="98" t="e">
        <f t="shared" si="431"/>
        <v>#N/A</v>
      </c>
      <c r="N277" s="99" t="e">
        <f t="array" ref="N277">INDEX('Coeff EC7'!$D$7:$Q$27,MATCH($B$3,'Coeff EC7'!$C$7:$C$27,0),MATCH(D277&amp;E277,'Coeff EC7'!$D$5:$Q$5&amp;'Coeff EC7'!$D$6:$Q$6,0))</f>
        <v>#N/A</v>
      </c>
      <c r="O277" s="99" t="e">
        <f t="array" ref="O277">INDEX('Coeff EC7'!$D$41:$Q$61,MATCH($B$3,'Coeff EC7'!$C$41:$C$61,0),MATCH(D277&amp;E277,'Coeff EC7'!$D$39:$Q$39&amp;'Coeff EC7'!$D$40:$Q$40,0))</f>
        <v>#N/A</v>
      </c>
      <c r="P277" s="30" t="e">
        <f t="shared" si="466"/>
        <v>#N/A</v>
      </c>
      <c r="Q277" s="100" t="e">
        <f t="shared" si="433"/>
        <v>#N/A</v>
      </c>
      <c r="R277" s="86" t="b">
        <f t="shared" si="434"/>
        <v>0</v>
      </c>
      <c r="S277" s="86">
        <f t="shared" si="432"/>
        <v>0.5</v>
      </c>
      <c r="T277" s="86">
        <f t="shared" si="435"/>
        <v>0.5</v>
      </c>
      <c r="U277" s="30" t="e">
        <f t="shared" ca="1" si="467"/>
        <v>#DIV/0!</v>
      </c>
      <c r="V277" s="85" t="str">
        <f>IF(B277&lt;=Hypothèses!$V$7,Hypothèses!$W$7,IF(B277&lt;=Hypothèses!$V$8,Hypothèses!$W$8,IF(B277&lt;=Hypothèses!$V$9,Hypothèses!$W$9,IF(B277&lt;=Hypothèses!$V$10,Hypothèses!$W$10,IF(B277&lt;=Hypothèses!$V$11,Hypothèses!$W$11,IF(B277&lt;=Hypothèses!$V$12,Hypothèses!$W$12,IF(B277&lt;=Hypothèses!$V$13,Hypothèses!$W$13,IF(B277&lt;=Hypothèses!$V$14,Hypothèses!$W$14,IF(B277&lt;=Hypothèses!$V$15,Hypothèses!$W$15,IF(B277&lt;=Hypothèses!$V$16,Hypothèses!$W$16,IF(B277&lt;=Hypothèses!$V$17,Hypothèses!$W$17,IF(B277&lt;=Hypothèses!$V$18,Hypothèses!$W$18,""))))))))))))</f>
        <v/>
      </c>
      <c r="W277" s="87" t="e">
        <f t="shared" ca="1" si="516"/>
        <v>#DIV/0!</v>
      </c>
      <c r="X277" s="88" t="str">
        <f>IF(B277&lt;=Hypothèses!$V$7,Hypothèses!$X$7,IF(B277&lt;=Hypothèses!$V$8,Hypothèses!$X$8,IF(B277&lt;=Hypothèses!$V$9,Hypothèses!$X$9,IF(B277&lt;=Hypothèses!$V$10,Hypothèses!$X$10,IF(B277&lt;=Hypothèses!$V$11,Hypothèses!$X$11,IF(B277&lt;=Hypothèses!$V$12,Hypothèses!$X$12,IF(B277&lt;=Hypothèses!$V$13,Hypothèses!$X$13,IF(B277&lt;=Hypothèses!$V$14,Hypothèses!$X$14,IF(B277&lt;=Hypothèses!$V$15,Hypothèses!$X$15,IF(B277&lt;=Hypothèses!$V$16,Hypothèses!$X$16,IF(B277&lt;=Hypothèses!$U$17,Hypothèses!$W$17,IF(B277&lt;=Hypothèses!$U$18,Hypothèses!$W$18,""))))))))))))</f>
        <v/>
      </c>
      <c r="Y277" s="95" t="e">
        <f t="shared" ca="1" si="436"/>
        <v>#DIV/0!</v>
      </c>
      <c r="Z277" s="101">
        <f t="shared" si="437"/>
        <v>0</v>
      </c>
      <c r="AA277" s="91">
        <f t="shared" si="438"/>
        <v>0</v>
      </c>
      <c r="AB277" s="30" t="e">
        <f t="shared" si="500"/>
        <v>#N/A</v>
      </c>
      <c r="AC277" s="30" t="e">
        <f t="shared" si="501"/>
        <v>#N/A</v>
      </c>
      <c r="AD277" s="31" t="e">
        <f>IF(OR(Hypothèses!$B$4=17,Hypothèses!$B$4=18,Hypothèses!$B$4=19,Hypothèses!$B$4=20),
IF($D277="Pressio.",
IF(OR($E277=3,$E277=1,$E277=4),AC277,AB277),
IF($D277="Pénétro.",
IF(OR($E277=3,$E277=1,$E277=4),AC277,AB277))),IF($D277="Pressio.",
IF($E277=3,AC277,AB277),
IF($D277="Pénétro.",
IF($E277=4,AC277,AB277))))</f>
        <v>#N/A</v>
      </c>
      <c r="AE277" s="31">
        <v>0</v>
      </c>
      <c r="AF277" s="102" t="e">
        <f>IF(NDC!$H$10="Oui",(VLOOKUP($B$3,'Coeff EC7'!$T$39:$X$59,2,0)*AD277+VLOOKUP($B$3,'Coeff EC7'!$T$65:$X$85,2,0)*Model0.1T!AE277)/1.5,PI()*AB$12*$Q277*($B277-$B276)*0.15/10+AF276)</f>
        <v>#N/A</v>
      </c>
      <c r="AG277" s="102" t="e">
        <f>(VLOOKUP($B$3,'Coeff EC7'!$T$39:$X$59,3,0)*AD277+VLOOKUP($B$3,'Coeff EC7'!$T$65:$X$85,3,0)*Model0.1T!AE277)/1.1</f>
        <v>#N/A</v>
      </c>
      <c r="AH277" s="102" t="e">
        <f t="shared" si="468"/>
        <v>#N/A</v>
      </c>
      <c r="AI277" s="102" t="e">
        <f t="shared" si="469"/>
        <v>#N/A</v>
      </c>
      <c r="AJ277" s="414" t="e">
        <f>IF(AND(AF277&gt;NDC!$C$63,AG277&gt;NDC!$C$65,AH277&gt;NDC!$D$73,AI277&gt;NDC!$D$74,$B277&gt;NDC!$H$22-0.1+MIN(3*$AJ$12,1.5)),0,1)</f>
        <v>#N/A</v>
      </c>
      <c r="AK277" s="86" t="b">
        <f t="shared" si="439"/>
        <v>0</v>
      </c>
      <c r="AL277" s="86">
        <f t="shared" si="470"/>
        <v>0.5</v>
      </c>
      <c r="AM277" s="86">
        <f t="shared" si="440"/>
        <v>0.5</v>
      </c>
      <c r="AN277" s="30" t="e">
        <f t="shared" ca="1" si="471"/>
        <v>#DIV/0!</v>
      </c>
      <c r="AO277" s="85" t="e">
        <f ca="1">IF(U277&lt;=Hypothèses!$V$7,Hypothèses!$W$7,IF(U277&lt;=Hypothèses!$V$8,Hypothèses!$W$8,IF(U277&lt;=Hypothèses!$V$9,Hypothèses!$W$9,IF(U277&lt;=Hypothèses!$V$10,Hypothèses!$W$10,IF(U277&lt;=Hypothèses!$V$11,Hypothèses!$W$11,IF(U277&lt;=Hypothèses!$V$12,Hypothèses!$W$12,IF(U277&lt;=Hypothèses!$V$13,Hypothèses!$W$13,IF(U277&lt;=Hypothèses!$V$14,Hypothèses!$W$14,IF(U277&lt;=Hypothèses!$V$15,Hypothèses!$W$15,IF(U277&lt;=Hypothèses!$V$16,Hypothèses!$W$16,IF(U277&lt;=Hypothèses!$V$17,Hypothèses!$W$17,IF(U277&lt;=Hypothèses!$V$18,Hypothèses!$W$18,""))))))))))))</f>
        <v>#DIV/0!</v>
      </c>
      <c r="AP277" s="87" t="e">
        <f t="shared" ca="1" si="517"/>
        <v>#DIV/0!</v>
      </c>
      <c r="AQ277" s="88" t="e">
        <f ca="1">IF(U277&lt;=Hypothèses!$V$7,Hypothèses!$X$7,IF(U277&lt;=Hypothèses!$V$8,Hypothèses!$X$8,IF(U277&lt;=Hypothèses!$V$9,Hypothèses!$X$9,IF(U277&lt;=Hypothèses!$V$10,Hypothèses!$X$10,IF(U277&lt;=Hypothèses!$V$11,Hypothèses!$X$11,IF(U277&lt;=Hypothèses!$V$12,Hypothèses!$X$12,IF(U277&lt;=Hypothèses!$V$13,Hypothèses!$X$13,IF(U277&lt;=Hypothèses!$V$14,Hypothèses!$X$14,IF(U277&lt;=Hypothèses!$V$15,Hypothèses!$X$15,IF(U277&lt;=Hypothèses!$V$16,Hypothèses!$X$16,IF(U277&lt;=Hypothèses!$U$17,Hypothèses!$W$17,IF(U277&lt;=Hypothèses!$U$18,Hypothèses!$W$18,""))))))))))))</f>
        <v>#DIV/0!</v>
      </c>
      <c r="AR277" s="95" t="e">
        <f t="shared" ca="1" si="472"/>
        <v>#DIV/0!</v>
      </c>
      <c r="AS277" s="101">
        <f t="shared" si="524"/>
        <v>0</v>
      </c>
      <c r="AT277" s="91">
        <f t="shared" si="441"/>
        <v>0</v>
      </c>
      <c r="AU277" s="30" t="e">
        <f t="shared" si="502"/>
        <v>#N/A</v>
      </c>
      <c r="AV277" s="30" t="e">
        <f t="shared" si="503"/>
        <v>#N/A</v>
      </c>
      <c r="AW277" s="31" t="e">
        <f>IF(OR(Hypothèses!$B$4=17,Hypothèses!$B$4=18,Hypothèses!$B$4=19,Hypothèses!$B$4=20),
IF($D277="Pressio.",
IF(OR($E277=3,$E277=1,$E277=4),AV277,AU277),
IF($D277="Pénétro.",
IF(OR($E277=3,$E277=1,$E277=4),AV277,AU277))),IF($D277="Pressio.",
IF($E277=3,AV277,AU277),
IF($D277="Pénétro.",
IF($E277=4,AV277,AU277))))</f>
        <v>#N/A</v>
      </c>
      <c r="AX277" s="31">
        <v>0</v>
      </c>
      <c r="AY277" s="102" t="e">
        <f>IF(NDC!$H$10="Oui",(VLOOKUP($B$3,'Coeff EC7'!$T$39:$X$59,2,0)*AW277+VLOOKUP($B$3,'Coeff EC7'!$T$65:$X$85,2,0)*Model0.1T!AX277)/1.5,PI()*AU$12*$Q277*($B277-$B276)*0.15/10+AY276)</f>
        <v>#N/A</v>
      </c>
      <c r="AZ277" s="102" t="e">
        <f>(VLOOKUP($B$3,'Coeff EC7'!$T$39:$X$59,3,0)*AW277+VLOOKUP($B$3,'Coeff EC7'!$T$65:$X$85,3,0)*Model0.1T!AX277)/1.1</f>
        <v>#N/A</v>
      </c>
      <c r="BA277" s="102" t="e">
        <f t="shared" si="473"/>
        <v>#N/A</v>
      </c>
      <c r="BB277" s="102" t="e">
        <f t="shared" si="474"/>
        <v>#N/A</v>
      </c>
      <c r="BC277" s="414" t="e">
        <f>IF(AND(AY277&gt;NDC!$C$63,AZ277&gt;NDC!$C$65,BA277&gt;NDC!$D$73,BB277&gt;NDC!$D$74,$B277&gt;NDC!$H$22-0.1+MIN(3*BC$12,1.5)),0,1)</f>
        <v>#N/A</v>
      </c>
      <c r="BD277" s="86" t="b">
        <f t="shared" si="442"/>
        <v>0</v>
      </c>
      <c r="BE277" s="86">
        <f t="shared" si="475"/>
        <v>0.5</v>
      </c>
      <c r="BF277" s="86">
        <f t="shared" si="443"/>
        <v>0.5</v>
      </c>
      <c r="BG277" s="30" t="e">
        <f t="shared" ca="1" si="476"/>
        <v>#DIV/0!</v>
      </c>
      <c r="BH277" s="85" t="e">
        <f ca="1">IF(AN277&lt;=Hypothèses!$V$7,Hypothèses!$W$7,IF(AN277&lt;=Hypothèses!$V$8,Hypothèses!$W$8,IF(AN277&lt;=Hypothèses!$V$9,Hypothèses!$W$9,IF(AN277&lt;=Hypothèses!$V$10,Hypothèses!$W$10,IF(AN277&lt;=Hypothèses!$V$11,Hypothèses!$W$11,IF(AN277&lt;=Hypothèses!$V$12,Hypothèses!$W$12,IF(AN277&lt;=Hypothèses!$V$13,Hypothèses!$W$13,IF(AN277&lt;=Hypothèses!$V$14,Hypothèses!$W$14,IF(AN277&lt;=Hypothèses!$V$15,Hypothèses!$W$15,IF(AN277&lt;=Hypothèses!$V$16,Hypothèses!$W$16,IF(AN277&lt;=Hypothèses!$V$17,Hypothèses!$W$17,IF(AN277&lt;=Hypothèses!$V$18,Hypothèses!$W$18,""))))))))))))</f>
        <v>#DIV/0!</v>
      </c>
      <c r="BI277" s="87" t="e">
        <f t="shared" ca="1" si="518"/>
        <v>#DIV/0!</v>
      </c>
      <c r="BJ277" s="88" t="e">
        <f ca="1">IF(AN277&lt;=Hypothèses!$V$7,Hypothèses!$X$7,IF(AN277&lt;=Hypothèses!$V$8,Hypothèses!$X$8,IF(AN277&lt;=Hypothèses!$V$9,Hypothèses!$X$9,IF(AN277&lt;=Hypothèses!$V$10,Hypothèses!$X$10,IF(AN277&lt;=Hypothèses!$V$11,Hypothèses!$X$11,IF(AN277&lt;=Hypothèses!$V$12,Hypothèses!$X$12,IF(AN277&lt;=Hypothèses!$V$13,Hypothèses!$X$13,IF(AN277&lt;=Hypothèses!$V$14,Hypothèses!$X$14,IF(AN277&lt;=Hypothèses!$V$15,Hypothèses!$X$15,IF(AN277&lt;=Hypothèses!$V$16,Hypothèses!$X$16,IF(AN277&lt;=Hypothèses!$U$17,Hypothèses!$W$17,IF(AN277&lt;=Hypothèses!$U$18,Hypothèses!$W$18,""))))))))))))</f>
        <v>#DIV/0!</v>
      </c>
      <c r="BK277" s="95" t="e">
        <f t="shared" ca="1" si="477"/>
        <v>#DIV/0!</v>
      </c>
      <c r="BL277" s="101">
        <f t="shared" si="525"/>
        <v>0</v>
      </c>
      <c r="BM277" s="91">
        <f t="shared" si="444"/>
        <v>0</v>
      </c>
      <c r="BN277" s="30" t="e">
        <f t="shared" si="504"/>
        <v>#N/A</v>
      </c>
      <c r="BO277" s="30" t="e">
        <f t="shared" si="505"/>
        <v>#N/A</v>
      </c>
      <c r="BP277" s="31" t="e">
        <f>IF(OR(Hypothèses!$B$4=17,Hypothèses!$B$4=18,Hypothèses!$B$4=19,Hypothèses!$B$4=20),
IF($D277="Pressio.",
IF(OR($E277=3,$E277=1,$E277=4),BO277,BN277),
IF($D277="Pénétro.",
IF(OR($E277=3,$E277=1,$E277=4),BO277,BN277))),IF($D277="Pressio.",
IF($E277=3,BO277,BN277),
IF($D277="Pénétro.",
IF($E277=4,BO277,BN277))))</f>
        <v>#N/A</v>
      </c>
      <c r="BQ277" s="31">
        <v>0</v>
      </c>
      <c r="BR277" s="102" t="e">
        <f>IF(NDC!$H$10="Oui",(VLOOKUP($B$3,'Coeff EC7'!$T$39:$X$59,2,0)*BP277+VLOOKUP($B$3,'Coeff EC7'!$T$65:$X$85,2,0)*Model0.1T!BQ277)/1.5,PI()*BN$12*$Q277*($B277-$B276)*0.15/10+BR276)</f>
        <v>#N/A</v>
      </c>
      <c r="BS277" s="102" t="e">
        <f>(VLOOKUP($B$3,'Coeff EC7'!$T$39:$X$59,3,0)*BP277+VLOOKUP($B$3,'Coeff EC7'!$T$65:$X$85,3,0)*Model0.1T!BQ277)/1.1</f>
        <v>#N/A</v>
      </c>
      <c r="BT277" s="102" t="e">
        <f t="shared" si="478"/>
        <v>#N/A</v>
      </c>
      <c r="BU277" s="102" t="e">
        <f t="shared" si="479"/>
        <v>#N/A</v>
      </c>
      <c r="BV277" s="414" t="e">
        <f>IF(AND(BR277&gt;NDC!$C$63,BS277&gt;NDC!$C$65,BT277&gt;NDC!$D$73,BU277&gt;NDC!$D$74,$B277&gt;NDC!$H$22-0.1+MIN(3*BV$12,1.5)),0,1)</f>
        <v>#N/A</v>
      </c>
      <c r="BW277" s="86" t="b">
        <f t="shared" si="445"/>
        <v>0</v>
      </c>
      <c r="BX277" s="86">
        <f t="shared" si="446"/>
        <v>0.5</v>
      </c>
      <c r="BY277" s="86">
        <f t="shared" si="447"/>
        <v>0.5</v>
      </c>
      <c r="BZ277" s="30" t="e">
        <f t="shared" ca="1" si="480"/>
        <v>#DIV/0!</v>
      </c>
      <c r="CA277" s="85" t="e">
        <f ca="1">IF(BG277&lt;=Hypothèses!$V$7,Hypothèses!$W$7,IF(BG277&lt;=Hypothèses!$V$8,Hypothèses!$W$8,IF(BG277&lt;=Hypothèses!$V$9,Hypothèses!$W$9,IF(BG277&lt;=Hypothèses!$V$10,Hypothèses!$W$10,IF(BG277&lt;=Hypothèses!$V$11,Hypothèses!$W$11,IF(BG277&lt;=Hypothèses!$V$12,Hypothèses!$W$12,IF(BG277&lt;=Hypothèses!$V$13,Hypothèses!$W$13,IF(BG277&lt;=Hypothèses!$V$14,Hypothèses!$W$14,IF(BG277&lt;=Hypothèses!$V$15,Hypothèses!$W$15,IF(BG277&lt;=Hypothèses!$V$16,Hypothèses!$W$16,IF(BG277&lt;=Hypothèses!$V$17,Hypothèses!$W$17,IF(BG277&lt;=Hypothèses!$V$18,Hypothèses!$W$18,""))))))))))))</f>
        <v>#DIV/0!</v>
      </c>
      <c r="CB277" s="87" t="e">
        <f t="shared" ca="1" si="519"/>
        <v>#DIV/0!</v>
      </c>
      <c r="CC277" s="88" t="e">
        <f ca="1">IF(BG277&lt;=Hypothèses!$V$7,Hypothèses!$X$7,IF(BG277&lt;=Hypothèses!$V$8,Hypothèses!$X$8,IF(BG277&lt;=Hypothèses!$V$9,Hypothèses!$X$9,IF(BG277&lt;=Hypothèses!$V$10,Hypothèses!$X$10,IF(BG277&lt;=Hypothèses!$V$11,Hypothèses!$X$11,IF(BG277&lt;=Hypothèses!$V$12,Hypothèses!$X$12,IF(BG277&lt;=Hypothèses!$V$13,Hypothèses!$X$13,IF(BG277&lt;=Hypothèses!$V$14,Hypothèses!$X$14,IF(BG277&lt;=Hypothèses!$V$15,Hypothèses!$X$15,IF(BG277&lt;=Hypothèses!$V$16,Hypothèses!$X$16,IF(BG277&lt;=Hypothèses!$U$17,Hypothèses!$W$17,IF(BG277&lt;=Hypothèses!$U$18,Hypothèses!$W$18,""))))))))))))</f>
        <v>#DIV/0!</v>
      </c>
      <c r="CD277" s="95" t="e">
        <f t="shared" ca="1" si="481"/>
        <v>#DIV/0!</v>
      </c>
      <c r="CE277" s="101">
        <f t="shared" si="526"/>
        <v>0</v>
      </c>
      <c r="CF277" s="91">
        <f t="shared" si="448"/>
        <v>0</v>
      </c>
      <c r="CG277" s="30" t="e">
        <f t="shared" si="506"/>
        <v>#N/A</v>
      </c>
      <c r="CH277" s="30" t="e">
        <f t="shared" si="507"/>
        <v>#N/A</v>
      </c>
      <c r="CI277" s="31" t="e">
        <f>IF(OR(Hypothèses!$B$4=17,Hypothèses!$B$4=18,Hypothèses!$B$4=19,Hypothèses!$B$4=20),
IF($D277="Pressio.",
IF(OR($E277=3,$E277=1,$E277=4),CH277,CG277),
IF($D277="Pénétro.",
IF(OR($E277=3,$E277=1,$E277=4),CH277,CG277))),IF($D277="Pressio.",
IF($E277=3,CH277,CG277),
IF($D277="Pénétro.",
IF($E277=4,CH277,CG277))))</f>
        <v>#N/A</v>
      </c>
      <c r="CJ277" s="31">
        <v>0</v>
      </c>
      <c r="CK277" s="102" t="e">
        <f>IF(NDC!$H$10="Oui",(VLOOKUP($B$3,'Coeff EC7'!$T$39:$X$59,2,0)*CI277+VLOOKUP($B$3,'Coeff EC7'!$T$65:$X$85,2,0)*Model0.1T!CJ277)/1.5,PI()*CG$12*$Q277*($B277-$B276)*0.15/10+CK276)</f>
        <v>#N/A</v>
      </c>
      <c r="CL277" s="102" t="e">
        <f>(VLOOKUP($B$3,'Coeff EC7'!$T$39:$X$59,3,0)*CI277+VLOOKUP($B$3,'Coeff EC7'!$T$65:$X$85,3,0)*Model0.1T!CJ277)/1.1</f>
        <v>#N/A</v>
      </c>
      <c r="CM277" s="102" t="e">
        <f t="shared" si="482"/>
        <v>#N/A</v>
      </c>
      <c r="CN277" s="102" t="e">
        <f t="shared" si="483"/>
        <v>#N/A</v>
      </c>
      <c r="CO277" s="414" t="e">
        <f>IF(AND(CK277&gt;NDC!$C$63,CL277&gt;NDC!$C$65,CM277&gt;NDC!$D$73,CN277&gt;NDC!$D$74,$B277&gt;NDC!$H$22-0.1+MIN(3*CO$12,1.5)),0,1)</f>
        <v>#N/A</v>
      </c>
      <c r="CP277" s="86" t="b">
        <f t="shared" si="449"/>
        <v>0</v>
      </c>
      <c r="CQ277" s="86">
        <f t="shared" si="450"/>
        <v>0.5</v>
      </c>
      <c r="CR277" s="86">
        <f t="shared" si="451"/>
        <v>0.5</v>
      </c>
      <c r="CS277" s="30" t="e">
        <f t="shared" ca="1" si="484"/>
        <v>#DIV/0!</v>
      </c>
      <c r="CT277" s="85" t="e">
        <f ca="1">IF(BZ277&lt;=Hypothèses!$V$7,Hypothèses!$W$7,IF(BZ277&lt;=Hypothèses!$V$8,Hypothèses!$W$8,IF(BZ277&lt;=Hypothèses!$V$9,Hypothèses!$W$9,IF(BZ277&lt;=Hypothèses!$V$10,Hypothèses!$W$10,IF(BZ277&lt;=Hypothèses!$V$11,Hypothèses!$W$11,IF(BZ277&lt;=Hypothèses!$V$12,Hypothèses!$W$12,IF(BZ277&lt;=Hypothèses!$V$13,Hypothèses!$W$13,IF(BZ277&lt;=Hypothèses!$V$14,Hypothèses!$W$14,IF(BZ277&lt;=Hypothèses!$V$15,Hypothèses!$W$15,IF(BZ277&lt;=Hypothèses!$V$16,Hypothèses!$W$16,IF(BZ277&lt;=Hypothèses!$V$17,Hypothèses!$W$17,IF(BZ277&lt;=Hypothèses!$V$18,Hypothèses!$W$18,""))))))))))))</f>
        <v>#DIV/0!</v>
      </c>
      <c r="CU277" s="87" t="e">
        <f t="shared" ca="1" si="520"/>
        <v>#DIV/0!</v>
      </c>
      <c r="CV277" s="88" t="e">
        <f ca="1">IF(BZ277&lt;=Hypothèses!$V$7,Hypothèses!$X$7,IF(BZ277&lt;=Hypothèses!$V$8,Hypothèses!$X$8,IF(BZ277&lt;=Hypothèses!$V$9,Hypothèses!$X$9,IF(BZ277&lt;=Hypothèses!$V$10,Hypothèses!$X$10,IF(BZ277&lt;=Hypothèses!$V$11,Hypothèses!$X$11,IF(BZ277&lt;=Hypothèses!$V$12,Hypothèses!$X$12,IF(BZ277&lt;=Hypothèses!$V$13,Hypothèses!$X$13,IF(BZ277&lt;=Hypothèses!$V$14,Hypothèses!$X$14,IF(BZ277&lt;=Hypothèses!$V$15,Hypothèses!$X$15,IF(BZ277&lt;=Hypothèses!$V$16,Hypothèses!$X$16,IF(BZ277&lt;=Hypothèses!$U$17,Hypothèses!$W$17,IF(BZ277&lt;=Hypothèses!$U$18,Hypothèses!$W$18,""))))))))))))</f>
        <v>#DIV/0!</v>
      </c>
      <c r="CW277" s="95" t="e">
        <f t="shared" ca="1" si="485"/>
        <v>#DIV/0!</v>
      </c>
      <c r="CX277" s="101">
        <f t="shared" si="527"/>
        <v>0</v>
      </c>
      <c r="CY277" s="91">
        <f t="shared" si="452"/>
        <v>0</v>
      </c>
      <c r="CZ277" s="30" t="e">
        <f t="shared" si="508"/>
        <v>#N/A</v>
      </c>
      <c r="DA277" s="30" t="e">
        <f t="shared" si="509"/>
        <v>#N/A</v>
      </c>
      <c r="DB277" s="31" t="e">
        <f>IF(OR(Hypothèses!$B$4=17,Hypothèses!$B$4=18,Hypothèses!$B$4=19,Hypothèses!$B$4=20),
IF($D277="Pressio.",
IF(OR($E277=3,$E277=1,$E277=4),DA277,CZ277),
IF($D277="Pénétro.",
IF(OR($E277=3,$E277=1,$E277=4),DA277,CZ277))),IF($D277="Pressio.",
IF($E277=3,DA277,CZ277),
IF($D277="Pénétro.",
IF($E277=4,DA277,CZ277))))</f>
        <v>#N/A</v>
      </c>
      <c r="DC277" s="31">
        <v>0</v>
      </c>
      <c r="DD277" s="102" t="e">
        <f>IF(NDC!$H$10="Oui",(VLOOKUP($B$3,'Coeff EC7'!$T$39:$X$59,2,0)*DB277+VLOOKUP($B$3,'Coeff EC7'!$T$65:$X$85,2,0)*Model0.1T!DC277)/1.5,PI()*CZ$12*$Q277*($B277-$B276)*0.15/10+DD276)</f>
        <v>#N/A</v>
      </c>
      <c r="DE277" s="102" t="e">
        <f>(VLOOKUP($B$3,'Coeff EC7'!$T$39:$X$59,3,0)*DB277+VLOOKUP($B$3,'Coeff EC7'!$T$65:$X$85,3,0)*Model0.1T!DC277)/1.1</f>
        <v>#N/A</v>
      </c>
      <c r="DF277" s="102" t="e">
        <f t="shared" si="486"/>
        <v>#N/A</v>
      </c>
      <c r="DG277" s="102" t="e">
        <f t="shared" si="487"/>
        <v>#N/A</v>
      </c>
      <c r="DH277" s="414" t="e">
        <f>IF(AND(DD277&gt;NDC!$C$63,DE277&gt;NDC!$C$65,DF277&gt;NDC!$D$73,DG277&gt;NDC!$D$74,$B277&gt;NDC!$H$22-0.1+MIN(3*DH$12,1.5)),0,1)</f>
        <v>#N/A</v>
      </c>
      <c r="DI277" s="86" t="b">
        <f t="shared" si="453"/>
        <v>0</v>
      </c>
      <c r="DJ277" s="86">
        <f t="shared" si="454"/>
        <v>0.5</v>
      </c>
      <c r="DK277" s="86">
        <f t="shared" si="455"/>
        <v>0.5</v>
      </c>
      <c r="DL277" s="30" t="e">
        <f t="shared" ca="1" si="488"/>
        <v>#DIV/0!</v>
      </c>
      <c r="DM277" s="85" t="e">
        <f ca="1">IF(CS277&lt;=Hypothèses!$V$7,Hypothèses!$W$7,IF(CS277&lt;=Hypothèses!$V$8,Hypothèses!$W$8,IF(CS277&lt;=Hypothèses!$V$9,Hypothèses!$W$9,IF(CS277&lt;=Hypothèses!$V$10,Hypothèses!$W$10,IF(CS277&lt;=Hypothèses!$V$11,Hypothèses!$W$11,IF(CS277&lt;=Hypothèses!$V$12,Hypothèses!$W$12,IF(CS277&lt;=Hypothèses!$V$13,Hypothèses!$W$13,IF(CS277&lt;=Hypothèses!$V$14,Hypothèses!$W$14,IF(CS277&lt;=Hypothèses!$V$15,Hypothèses!$W$15,IF(CS277&lt;=Hypothèses!$V$16,Hypothèses!$W$16,IF(CS277&lt;=Hypothèses!$V$17,Hypothèses!$W$17,IF(CS277&lt;=Hypothèses!$V$18,Hypothèses!$W$18,""))))))))))))</f>
        <v>#DIV/0!</v>
      </c>
      <c r="DN277" s="87" t="e">
        <f t="shared" ca="1" si="521"/>
        <v>#DIV/0!</v>
      </c>
      <c r="DO277" s="88" t="e">
        <f ca="1">IF(CS277&lt;=Hypothèses!$V$7,Hypothèses!$X$7,IF(CS277&lt;=Hypothèses!$V$8,Hypothèses!$X$8,IF(CS277&lt;=Hypothèses!$V$9,Hypothèses!$X$9,IF(CS277&lt;=Hypothèses!$V$10,Hypothèses!$X$10,IF(CS277&lt;=Hypothèses!$V$11,Hypothèses!$X$11,IF(CS277&lt;=Hypothèses!$V$12,Hypothèses!$X$12,IF(CS277&lt;=Hypothèses!$V$13,Hypothèses!$X$13,IF(CS277&lt;=Hypothèses!$V$14,Hypothèses!$X$14,IF(CS277&lt;=Hypothèses!$V$15,Hypothèses!$X$15,IF(CS277&lt;=Hypothèses!$V$16,Hypothèses!$X$16,IF(CS277&lt;=Hypothèses!$U$17,Hypothèses!$W$17,IF(CS277&lt;=Hypothèses!$U$18,Hypothèses!$W$18,""))))))))))))</f>
        <v>#DIV/0!</v>
      </c>
      <c r="DP277" s="95" t="e">
        <f t="shared" ca="1" si="489"/>
        <v>#DIV/0!</v>
      </c>
      <c r="DQ277" s="101">
        <f t="shared" si="528"/>
        <v>0</v>
      </c>
      <c r="DR277" s="91">
        <f t="shared" si="456"/>
        <v>0</v>
      </c>
      <c r="DS277" s="30" t="e">
        <f t="shared" si="510"/>
        <v>#N/A</v>
      </c>
      <c r="DT277" s="30" t="e">
        <f t="shared" si="511"/>
        <v>#N/A</v>
      </c>
      <c r="DU277" s="31" t="e">
        <f>IF(OR(Hypothèses!$B$4=17,Hypothèses!$B$4=18,Hypothèses!$B$4=19,Hypothèses!$B$4=20),
IF($D277="Pressio.",
IF(OR($E277=3,$E277=1,$E277=4),DT277,DS277),
IF($D277="Pénétro.",
IF(OR($E277=3,$E277=1,$E277=4),DT277,DS277))),IF($D277="Pressio.",
IF($E277=3,DT277,DS277),
IF($D277="Pénétro.",
IF($E277=4,DT277,DS277))))</f>
        <v>#N/A</v>
      </c>
      <c r="DV277" s="31">
        <v>0</v>
      </c>
      <c r="DW277" s="102" t="e">
        <f>IF(NDC!$H$10="Oui",(VLOOKUP($B$3,'Coeff EC7'!$T$39:$X$59,2,0)*DU277+VLOOKUP($B$3,'Coeff EC7'!$T$65:$X$85,2,0)*Model0.1T!DV277)/1.5,PI()*DS$12*$Q277*($B277-$B276)*0.15/10+DW276)</f>
        <v>#N/A</v>
      </c>
      <c r="DX277" s="102" t="e">
        <f>(VLOOKUP($B$3,'Coeff EC7'!$T$39:$X$59,3,0)*DU277+VLOOKUP($B$3,'Coeff EC7'!$T$65:$X$85,3,0)*Model0.1T!DV277)/1.1</f>
        <v>#N/A</v>
      </c>
      <c r="DY277" s="102" t="e">
        <f t="shared" si="490"/>
        <v>#N/A</v>
      </c>
      <c r="DZ277" s="102" t="e">
        <f t="shared" si="491"/>
        <v>#N/A</v>
      </c>
      <c r="EA277" s="414" t="e">
        <f>IF(AND(DW277&gt;NDC!$C$63,DX277&gt;NDC!$C$65,DY277&gt;NDC!$D$73,DZ277&gt;NDC!$D$74,$B277&gt;NDC!$H$22-0.1+MIN(3*EA$12,1.5)),0,1)</f>
        <v>#N/A</v>
      </c>
      <c r="EB277" s="86" t="b">
        <f t="shared" si="457"/>
        <v>0</v>
      </c>
      <c r="EC277" s="418">
        <f t="shared" si="458"/>
        <v>0.51</v>
      </c>
      <c r="ED277" s="86">
        <f t="shared" si="459"/>
        <v>0.51</v>
      </c>
      <c r="EE277" s="30" t="e">
        <f t="shared" ca="1" si="492"/>
        <v>#DIV/0!</v>
      </c>
      <c r="EF277" s="85" t="e">
        <f ca="1">IF(DL277&lt;=Hypothèses!$V$7,Hypothèses!$W$7,IF(DL277&lt;=Hypothèses!$V$8,Hypothèses!$W$8,IF(DL277&lt;=Hypothèses!$V$9,Hypothèses!$W$9,IF(DL277&lt;=Hypothèses!$V$10,Hypothèses!$W$10,IF(DL277&lt;=Hypothèses!$V$11,Hypothèses!$W$11,IF(DL277&lt;=Hypothèses!$V$12,Hypothèses!$W$12,IF(DL277&lt;=Hypothèses!$V$13,Hypothèses!$W$13,IF(DL277&lt;=Hypothèses!$V$14,Hypothèses!$W$14,IF(DL277&lt;=Hypothèses!$V$15,Hypothèses!$W$15,IF(DL277&lt;=Hypothèses!$V$16,Hypothèses!$W$16,IF(DL277&lt;=Hypothèses!$V$17,Hypothèses!$W$17,IF(DL277&lt;=Hypothèses!$V$18,Hypothèses!$W$18,""))))))))))))</f>
        <v>#DIV/0!</v>
      </c>
      <c r="EG277" s="87" t="e">
        <f t="shared" ca="1" si="522"/>
        <v>#DIV/0!</v>
      </c>
      <c r="EH277" s="88" t="e">
        <f ca="1">IF(DL277&lt;=Hypothèses!$V$7,Hypothèses!$X$7,IF(DL277&lt;=Hypothèses!$V$8,Hypothèses!$X$8,IF(DL277&lt;=Hypothèses!$V$9,Hypothèses!$X$9,IF(DL277&lt;=Hypothèses!$V$10,Hypothèses!$X$10,IF(DL277&lt;=Hypothèses!$V$11,Hypothèses!$X$11,IF(DL277&lt;=Hypothèses!$V$12,Hypothèses!$X$12,IF(DL277&lt;=Hypothèses!$V$13,Hypothèses!$X$13,IF(DL277&lt;=Hypothèses!$V$14,Hypothèses!$X$14,IF(DL277&lt;=Hypothèses!$V$15,Hypothèses!$X$15,IF(DL277&lt;=Hypothèses!$V$16,Hypothèses!$X$16,IF(DL277&lt;=Hypothèses!$U$17,Hypothèses!$W$17,IF(DL277&lt;=Hypothèses!$U$18,Hypothèses!$W$18,""))))))))))))</f>
        <v>#DIV/0!</v>
      </c>
      <c r="EI277" s="95" t="e">
        <f t="shared" ca="1" si="493"/>
        <v>#DIV/0!</v>
      </c>
      <c r="EJ277" s="101">
        <f t="shared" si="529"/>
        <v>0</v>
      </c>
      <c r="EK277" s="91">
        <f t="shared" si="460"/>
        <v>0</v>
      </c>
      <c r="EL277" s="30" t="e">
        <f t="shared" si="512"/>
        <v>#N/A</v>
      </c>
      <c r="EM277" s="30" t="e">
        <f t="shared" si="513"/>
        <v>#N/A</v>
      </c>
      <c r="EN277" s="31" t="e">
        <f>IF(OR(Hypothèses!$B$4=17,Hypothèses!$B$4=18,Hypothèses!$B$4=19,Hypothèses!$B$4=20),
IF($D277="Pressio.",
IF(OR($E277=3,$E277=1,$E277=4),EM277,EL277),
IF($D277="Pénétro.",
IF(OR($E277=3,$E277=1,$E277=4),EM277,EL277))),IF($D277="Pressio.",
IF($E277=3,EM277,EL277),
IF($D277="Pénétro.",
IF($E277=4,EM277,EL277))))</f>
        <v>#N/A</v>
      </c>
      <c r="EO277" s="31">
        <v>0</v>
      </c>
      <c r="EP277" s="102" t="e">
        <f>IF(NDC!$H$10="Oui",(VLOOKUP($B$3,'Coeff EC7'!$T$39:$X$59,2,0)*EN277+VLOOKUP($B$3,'Coeff EC7'!$T$65:$X$85,2,0)*Model0.1T!EO277)/1.5,PI()*EL$12*$Q277*($B277-$B276)*0.15/10+EP276)</f>
        <v>#N/A</v>
      </c>
      <c r="EQ277" s="102" t="e">
        <f>(VLOOKUP($B$3,'Coeff EC7'!$T$39:$X$59,3,0)*EN277+VLOOKUP($B$3,'Coeff EC7'!$T$65:$X$85,3,0)*Model0.1T!EO277)/1.1</f>
        <v>#N/A</v>
      </c>
      <c r="ER277" s="102" t="e">
        <f t="shared" si="494"/>
        <v>#N/A</v>
      </c>
      <c r="ES277" s="102" t="e">
        <f t="shared" si="495"/>
        <v>#N/A</v>
      </c>
      <c r="ET277" s="414" t="e">
        <f>IF(AND(EP277&gt;NDC!$C$63,EQ277&gt;NDC!$C$65,ER277&gt;NDC!$D$73,ES277&gt;NDC!$D$74,$B277&gt;NDC!$H$22-0.1+MIN(3*ET$12,1.5)),0,1)</f>
        <v>#N/A</v>
      </c>
      <c r="EU277" s="86" t="b">
        <f t="shared" si="461"/>
        <v>0</v>
      </c>
      <c r="EV277" s="86">
        <f t="shared" si="462"/>
        <v>0.61</v>
      </c>
      <c r="EW277" s="86">
        <f t="shared" si="463"/>
        <v>0.61</v>
      </c>
      <c r="EX277" s="30" t="e">
        <f t="shared" ca="1" si="496"/>
        <v>#DIV/0!</v>
      </c>
      <c r="EY277" s="85" t="e">
        <f ca="1">IF(EE277&lt;=Hypothèses!$V$7,Hypothèses!$W$7,IF(EE277&lt;=Hypothèses!$V$8,Hypothèses!$W$8,IF(EE277&lt;=Hypothèses!$V$9,Hypothèses!$W$9,IF(EE277&lt;=Hypothèses!$V$10,Hypothèses!$W$10,IF(EE277&lt;=Hypothèses!$V$11,Hypothèses!$W$11,IF(EE277&lt;=Hypothèses!$V$12,Hypothèses!$W$12,IF(EE277&lt;=Hypothèses!$V$13,Hypothèses!$W$13,IF(EE277&lt;=Hypothèses!$V$14,Hypothèses!$W$14,IF(EE277&lt;=Hypothèses!$V$15,Hypothèses!$W$15,IF(EE277&lt;=Hypothèses!$V$16,Hypothèses!$W$16,IF(EE277&lt;=Hypothèses!$V$17,Hypothèses!$W$17,IF(EE277&lt;=Hypothèses!$V$18,Hypothèses!$W$18,""))))))))))))</f>
        <v>#DIV/0!</v>
      </c>
      <c r="EZ277" s="87" t="e">
        <f t="shared" ca="1" si="523"/>
        <v>#DIV/0!</v>
      </c>
      <c r="FA277" s="88" t="e">
        <f ca="1">IF(EE277&lt;=Hypothèses!$V$7,Hypothèses!$X$7,IF(EE277&lt;=Hypothèses!$V$8,Hypothèses!$X$8,IF(EE277&lt;=Hypothèses!$V$9,Hypothèses!$X$9,IF(EE277&lt;=Hypothèses!$V$10,Hypothèses!$X$10,IF(EE277&lt;=Hypothèses!$V$11,Hypothèses!$X$11,IF(EE277&lt;=Hypothèses!$V$12,Hypothèses!$X$12,IF(EE277&lt;=Hypothèses!$V$13,Hypothèses!$X$13,IF(EE277&lt;=Hypothèses!$V$14,Hypothèses!$X$14,IF(EE277&lt;=Hypothèses!$V$15,Hypothèses!$X$15,IF(EE277&lt;=Hypothèses!$V$16,Hypothèses!$X$16,IF(EE277&lt;=Hypothèses!$U$17,Hypothèses!$W$17,IF(EE277&lt;=Hypothèses!$U$18,Hypothèses!$W$18,""))))))))))))</f>
        <v>#DIV/0!</v>
      </c>
      <c r="FB277" s="95" t="e">
        <f t="shared" ca="1" si="497"/>
        <v>#DIV/0!</v>
      </c>
      <c r="FC277" s="101">
        <f t="shared" si="530"/>
        <v>0</v>
      </c>
      <c r="FD277" s="91">
        <f t="shared" si="464"/>
        <v>0</v>
      </c>
      <c r="FE277" s="30" t="e">
        <f t="shared" si="514"/>
        <v>#N/A</v>
      </c>
      <c r="FF277" s="30" t="e">
        <f t="shared" si="515"/>
        <v>#N/A</v>
      </c>
      <c r="FG277" s="31" t="e">
        <f>IF(OR(Hypothèses!$B$4=17,Hypothèses!$B$4=18,Hypothèses!$B$4=19,Hypothèses!$B$4=20),
IF($D277="Pressio.",
IF(OR($E277=3,$E277=1,$E277=4),FF277,FE277),
IF($D277="Pénétro.",
IF(OR($E277=3,$E277=1,$E277=4),FF277,FE277))),IF($D277="Pressio.",
IF($E277=3,FF277,FE277),
IF($D277="Pénétro.",
IF($E277=4,FF277,FE277))))</f>
        <v>#N/A</v>
      </c>
      <c r="FH277" s="31">
        <v>0</v>
      </c>
      <c r="FI277" s="102" t="e">
        <f>IF(NDC!$H$10="Oui",(VLOOKUP($B$3,'Coeff EC7'!$T$39:$X$59,2,0)*FG277+VLOOKUP($B$3,'Coeff EC7'!$T$65:$X$85,2,0)*Model0.1T!FH277)/1.5,PI()*FE$12*$Q277*($B277-$B276)*0.15/10+FI276)</f>
        <v>#N/A</v>
      </c>
      <c r="FJ277" s="102" t="e">
        <f>(VLOOKUP($B$3,'Coeff EC7'!$T$39:$X$59,3,0)*FG277+VLOOKUP($B$3,'Coeff EC7'!$T$65:$X$85,3,0)*Model0.1T!FH277)/1.1</f>
        <v>#N/A</v>
      </c>
      <c r="FK277" s="102" t="e">
        <f t="shared" si="498"/>
        <v>#N/A</v>
      </c>
      <c r="FL277" s="102" t="e">
        <f t="shared" si="499"/>
        <v>#N/A</v>
      </c>
      <c r="FM277" s="414" t="e">
        <f>IF(AND(FI277&gt;NDC!$C$63,FJ277&gt;NDC!$C$65,FK277&gt;NDC!$D$73,FL277&gt;NDC!$D$74,$B277&gt;NDC!$H$22-0.1+MIN(3*FM$12,1.5)),0,1)</f>
        <v>#N/A</v>
      </c>
    </row>
    <row r="278" spans="1:169">
      <c r="A278" s="96">
        <f t="shared" si="465"/>
        <v>73.500000000001506</v>
      </c>
      <c r="B278" s="97">
        <v>26.5</v>
      </c>
      <c r="C278" s="81">
        <f>IF(B278&lt;=Hypothèses!$C$7,Hypothèses!$A$7,IF(B278&lt;=Hypothèses!$C$8,Hypothèses!$A$8,IF(B278&lt;=Hypothèses!$C$9,Hypothèses!$A$9,IF(B278&lt;=Hypothèses!$C$10,Hypothèses!$A$10,IF(B278&lt;=Hypothèses!$C$11,Hypothèses!$A$11,IF(B278&lt;=Hypothèses!$C$12,Hypothèses!$A$12,IF(B278&lt;=Hypothèses!$C$13,Hypothèses!$A$13,IF(B278&lt;=Hypothèses!$C$14,Hypothèses!$A$14,IF(B278&lt;=Hypothèses!$C$15,Hypothèses!$A$15,IF(B278&lt;=Hypothèses!$C$16,Hypothèses!$A$16,IF(B278&lt;=Hypothèses!$C$17,Hypothèses!$A$17,IF(B278&lt;=Hypothèses!$C$18,Hypothèses!$A$18,C277))))))))))))</f>
        <v>11</v>
      </c>
      <c r="D278" s="82" t="str">
        <f>IF(B278&lt;=Hypothèses!$C$7,Hypothèses!$R$7,IF(B278&lt;=Hypothèses!$C$8,Hypothèses!$R$8,IF(B278&lt;=Hypothèses!$C$9,Hypothèses!$R$9,IF(B278&lt;=Hypothèses!$C$10,Hypothèses!$R$10,IF(B278&lt;=Hypothèses!$C$11,Hypothèses!$R$11,IF(B278&lt;=Hypothèses!$C$12,Hypothèses!$R$12,IF(B278&lt;=Hypothèses!$C$13,Hypothèses!$R$13,IF(B278&lt;=Hypothèses!$C$14,Hypothèses!$R$14,IF(B278&lt;=Hypothèses!$C$15,Hypothèses!$R$15,IF(B278&lt;=Hypothèses!$C$16,Hypothèses!$R$16,IF(B278&lt;=Hypothèses!$C$17,Hypothèses!$R$17,IF(B278&lt;=Hypothèses!$C$18,Hypothèses!$R$18,D277))))))))))))</f>
        <v>Pressio.</v>
      </c>
      <c r="E278" s="82" t="e">
        <f>IF(B278&lt;=Hypothèses!$C$7,Hypothèses!$G$7,IF(B278&lt;=Hypothèses!$C$8,Hypothèses!$G$8,IF(B278&lt;=Hypothèses!$C$9,Hypothèses!$G$9,IF(B278&lt;=Hypothèses!$C$10,Hypothèses!$G$10,IF(B278&lt;=Hypothèses!$C$11,Hypothèses!$G$11,IF(B278&lt;=Hypothèses!$C$12,Hypothèses!$G$12,IF(B278&lt;=Hypothèses!$C$13,Hypothèses!$G$13,IF(B278&lt;=Hypothèses!$C$14,Hypothèses!$G$14,IF(B278&lt;=Hypothèses!$C$15,Hypothèses!$G$15,IF(B278&lt;=Hypothèses!$C$16,Hypothèses!$G$16,IF(B278&lt;=Hypothèses!$C$17,Hypothèses!$G$17,IF(B278&lt;=Hypothèses!$C$18,Hypothèses!$G$18,E277))))))))))))</f>
        <v>#N/A</v>
      </c>
      <c r="F278" s="82" t="str">
        <f>IF(B278&lt;=Hypothèses!$C$7,Hypothèses!$F$7,IF(B278&lt;=Hypothèses!$C$8,Hypothèses!$F$8,IF(B278&lt;=Hypothèses!$C$9,Hypothèses!$F$9,IF(B278&lt;=Hypothèses!$C$10,Hypothèses!$F$10,IF(B278&lt;=Hypothèses!$C$11,Hypothèses!$F$11,IF(B278&lt;=Hypothèses!$C$12,Hypothèses!$F$12,IF(B278&lt;=Hypothèses!$C$13,Hypothèses!$F$13,IF(B278&lt;=Hypothèses!$C$14,Hypothèses!$F$14,IF(B278&lt;=Hypothèses!$C$15,Hypothèses!$F$15,IF(B278&lt;=Hypothèses!$C$16,Hypothèses!$F$16,IF(B278&lt;=Hypothèses!$C$17,Hypothèses!$F$17,IF(B278&lt;=Hypothèses!$C$18,Hypothèses!$F$18,F277))))))))))))</f>
        <v/>
      </c>
      <c r="G278" s="91">
        <f t="array" ref="G278">INDEX('Coeff EC7'!$U$7:$X$27,
MATCH(Model0.1T!$B$3,'Coeff EC7'!$T$7:$T$27,0),
MATCH(Model0.1T!$D278&amp;Model0.1T!$B$4,
'Coeff EC7'!$U$6:$X$6&amp;
'Coeff EC7'!$U$5:$X$5,0))</f>
        <v>1.4</v>
      </c>
      <c r="H278" s="91">
        <f t="array" ref="H278">INDEX('Coeff EC7'!$Y$7:$AB$27,
MATCH(Model0.1T!$B$3,'Coeff EC7'!$T$7:$T$27,0),
MATCH(Model0.1T!$D278&amp;Model0.1T!$B$4,
'Coeff EC7'!$Y$6:$AB$6&amp;
'Coeff EC7'!$Y$5:$AB$5,0))</f>
        <v>1.7</v>
      </c>
      <c r="I278" s="83">
        <v>0</v>
      </c>
      <c r="J278" s="91" t="e">
        <f t="array" ref="J278">INDEX('Coeff EC7'!$D$33:$Q$33,1,MATCH(D278&amp;E278,'Coeff EC7'!$D$31:$Q$31&amp;'Coeff EC7'!$D$32:$Q$32,0))</f>
        <v>#N/A</v>
      </c>
      <c r="K278" s="91" t="e">
        <f t="array" ref="K278">INDEX('Coeff EC7'!$D$34:$Q$34,1,MATCH(D278&amp;E278,'Coeff EC7'!$D$31:$Q$31&amp;'Coeff EC7'!$D$32:$Q$32,0))</f>
        <v>#N/A</v>
      </c>
      <c r="L278" s="91" t="e">
        <f t="array" ref="L278">INDEX('Coeff EC7'!$D$35:$Q$35,1,MATCH(D278&amp;E278,'Coeff EC7'!$D$31:$Q$31&amp;'Coeff EC7'!$D$32:$Q$32,0))</f>
        <v>#N/A</v>
      </c>
      <c r="M278" s="98" t="e">
        <f t="shared" si="431"/>
        <v>#N/A</v>
      </c>
      <c r="N278" s="99" t="e">
        <f t="array" ref="N278">INDEX('Coeff EC7'!$D$7:$Q$27,MATCH($B$3,'Coeff EC7'!$C$7:$C$27,0),MATCH(D278&amp;E278,'Coeff EC7'!$D$5:$Q$5&amp;'Coeff EC7'!$D$6:$Q$6,0))</f>
        <v>#N/A</v>
      </c>
      <c r="O278" s="99" t="e">
        <f t="array" ref="O278">INDEX('Coeff EC7'!$D$41:$Q$61,MATCH($B$3,'Coeff EC7'!$C$41:$C$61,0),MATCH(D278&amp;E278,'Coeff EC7'!$D$39:$Q$39&amp;'Coeff EC7'!$D$40:$Q$40,0))</f>
        <v>#N/A</v>
      </c>
      <c r="P278" s="30" t="e">
        <f t="shared" si="466"/>
        <v>#N/A</v>
      </c>
      <c r="Q278" s="100" t="e">
        <f t="shared" si="433"/>
        <v>#N/A</v>
      </c>
      <c r="R278" s="86" t="b">
        <f t="shared" si="434"/>
        <v>0</v>
      </c>
      <c r="S278" s="86">
        <f t="shared" si="432"/>
        <v>0.5</v>
      </c>
      <c r="T278" s="86">
        <f t="shared" si="435"/>
        <v>0.5</v>
      </c>
      <c r="U278" s="30" t="e">
        <f t="shared" ca="1" si="467"/>
        <v>#DIV/0!</v>
      </c>
      <c r="V278" s="85" t="str">
        <f>IF(B278&lt;=Hypothèses!$V$7,Hypothèses!$W$7,IF(B278&lt;=Hypothèses!$V$8,Hypothèses!$W$8,IF(B278&lt;=Hypothèses!$V$9,Hypothèses!$W$9,IF(B278&lt;=Hypothèses!$V$10,Hypothèses!$W$10,IF(B278&lt;=Hypothèses!$V$11,Hypothèses!$W$11,IF(B278&lt;=Hypothèses!$V$12,Hypothèses!$W$12,IF(B278&lt;=Hypothèses!$V$13,Hypothèses!$W$13,IF(B278&lt;=Hypothèses!$V$14,Hypothèses!$W$14,IF(B278&lt;=Hypothèses!$V$15,Hypothèses!$W$15,IF(B278&lt;=Hypothèses!$V$16,Hypothèses!$W$16,IF(B278&lt;=Hypothèses!$V$17,Hypothèses!$W$17,IF(B278&lt;=Hypothèses!$V$18,Hypothèses!$W$18,""))))))))))))</f>
        <v/>
      </c>
      <c r="W278" s="87" t="e">
        <f t="shared" ca="1" si="516"/>
        <v>#DIV/0!</v>
      </c>
      <c r="X278" s="88" t="str">
        <f>IF(B278&lt;=Hypothèses!$V$7,Hypothèses!$X$7,IF(B278&lt;=Hypothèses!$V$8,Hypothèses!$X$8,IF(B278&lt;=Hypothèses!$V$9,Hypothèses!$X$9,IF(B278&lt;=Hypothèses!$V$10,Hypothèses!$X$10,IF(B278&lt;=Hypothèses!$V$11,Hypothèses!$X$11,IF(B278&lt;=Hypothèses!$V$12,Hypothèses!$X$12,IF(B278&lt;=Hypothèses!$V$13,Hypothèses!$X$13,IF(B278&lt;=Hypothèses!$V$14,Hypothèses!$X$14,IF(B278&lt;=Hypothèses!$V$15,Hypothèses!$X$15,IF(B278&lt;=Hypothèses!$V$16,Hypothèses!$X$16,IF(B278&lt;=Hypothèses!$U$17,Hypothèses!$W$17,IF(B278&lt;=Hypothèses!$U$18,Hypothèses!$W$18,""))))))))))))</f>
        <v/>
      </c>
      <c r="Y278" s="95" t="e">
        <f t="shared" ca="1" si="436"/>
        <v>#DIV/0!</v>
      </c>
      <c r="Z278" s="101">
        <f t="shared" si="437"/>
        <v>0</v>
      </c>
      <c r="AA278" s="91">
        <f t="shared" si="438"/>
        <v>0</v>
      </c>
      <c r="AB278" s="30" t="e">
        <f t="shared" si="500"/>
        <v>#N/A</v>
      </c>
      <c r="AC278" s="30" t="e">
        <f t="shared" si="501"/>
        <v>#N/A</v>
      </c>
      <c r="AD278" s="31" t="e">
        <f>IF(OR(Hypothèses!$B$4=17,Hypothèses!$B$4=18,Hypothèses!$B$4=19,Hypothèses!$B$4=20),
IF($D278="Pressio.",
IF(OR($E278=3,$E278=1,$E278=4),AC278,AB278),
IF($D278="Pénétro.",
IF(OR($E278=3,$E278=1,$E278=4),AC278,AB278))),IF($D278="Pressio.",
IF($E278=3,AC278,AB278),
IF($D278="Pénétro.",
IF($E278=4,AC278,AB278))))</f>
        <v>#N/A</v>
      </c>
      <c r="AE278" s="31">
        <v>0</v>
      </c>
      <c r="AF278" s="102" t="e">
        <f>IF(NDC!$H$10="Oui",(VLOOKUP($B$3,'Coeff EC7'!$T$39:$X$59,2,0)*AD278+VLOOKUP($B$3,'Coeff EC7'!$T$65:$X$85,2,0)*Model0.1T!AE278)/1.5,PI()*AB$12*$Q278*($B278-$B277)*0.15/10+AF277)</f>
        <v>#N/A</v>
      </c>
      <c r="AG278" s="102" t="e">
        <f>(VLOOKUP($B$3,'Coeff EC7'!$T$39:$X$59,3,0)*AD278+VLOOKUP($B$3,'Coeff EC7'!$T$65:$X$85,3,0)*Model0.1T!AE278)/1.1</f>
        <v>#N/A</v>
      </c>
      <c r="AH278" s="102" t="e">
        <f t="shared" si="468"/>
        <v>#N/A</v>
      </c>
      <c r="AI278" s="102" t="e">
        <f t="shared" si="469"/>
        <v>#N/A</v>
      </c>
      <c r="AJ278" s="414" t="e">
        <f>IF(AND(AF278&gt;NDC!$C$63,AG278&gt;NDC!$C$65,AH278&gt;NDC!$D$73,AI278&gt;NDC!$D$74,$B278&gt;NDC!$H$22-0.1+MIN(3*$AJ$12,1.5)),0,1)</f>
        <v>#N/A</v>
      </c>
      <c r="AK278" s="86" t="b">
        <f t="shared" si="439"/>
        <v>0</v>
      </c>
      <c r="AL278" s="86">
        <f t="shared" si="470"/>
        <v>0.5</v>
      </c>
      <c r="AM278" s="86">
        <f t="shared" si="440"/>
        <v>0.5</v>
      </c>
      <c r="AN278" s="30" t="e">
        <f t="shared" ca="1" si="471"/>
        <v>#DIV/0!</v>
      </c>
      <c r="AO278" s="85" t="e">
        <f ca="1">IF(U278&lt;=Hypothèses!$V$7,Hypothèses!$W$7,IF(U278&lt;=Hypothèses!$V$8,Hypothèses!$W$8,IF(U278&lt;=Hypothèses!$V$9,Hypothèses!$W$9,IF(U278&lt;=Hypothèses!$V$10,Hypothèses!$W$10,IF(U278&lt;=Hypothèses!$V$11,Hypothèses!$W$11,IF(U278&lt;=Hypothèses!$V$12,Hypothèses!$W$12,IF(U278&lt;=Hypothèses!$V$13,Hypothèses!$W$13,IF(U278&lt;=Hypothèses!$V$14,Hypothèses!$W$14,IF(U278&lt;=Hypothèses!$V$15,Hypothèses!$W$15,IF(U278&lt;=Hypothèses!$V$16,Hypothèses!$W$16,IF(U278&lt;=Hypothèses!$V$17,Hypothèses!$W$17,IF(U278&lt;=Hypothèses!$V$18,Hypothèses!$W$18,""))))))))))))</f>
        <v>#DIV/0!</v>
      </c>
      <c r="AP278" s="87" t="e">
        <f t="shared" ca="1" si="517"/>
        <v>#DIV/0!</v>
      </c>
      <c r="AQ278" s="88" t="e">
        <f ca="1">IF(U278&lt;=Hypothèses!$V$7,Hypothèses!$X$7,IF(U278&lt;=Hypothèses!$V$8,Hypothèses!$X$8,IF(U278&lt;=Hypothèses!$V$9,Hypothèses!$X$9,IF(U278&lt;=Hypothèses!$V$10,Hypothèses!$X$10,IF(U278&lt;=Hypothèses!$V$11,Hypothèses!$X$11,IF(U278&lt;=Hypothèses!$V$12,Hypothèses!$X$12,IF(U278&lt;=Hypothèses!$V$13,Hypothèses!$X$13,IF(U278&lt;=Hypothèses!$V$14,Hypothèses!$X$14,IF(U278&lt;=Hypothèses!$V$15,Hypothèses!$X$15,IF(U278&lt;=Hypothèses!$V$16,Hypothèses!$X$16,IF(U278&lt;=Hypothèses!$U$17,Hypothèses!$W$17,IF(U278&lt;=Hypothèses!$U$18,Hypothèses!$W$18,""))))))))))))</f>
        <v>#DIV/0!</v>
      </c>
      <c r="AR278" s="95" t="e">
        <f t="shared" ca="1" si="472"/>
        <v>#DIV/0!</v>
      </c>
      <c r="AS278" s="101">
        <f t="shared" si="524"/>
        <v>0</v>
      </c>
      <c r="AT278" s="91">
        <f t="shared" si="441"/>
        <v>0</v>
      </c>
      <c r="AU278" s="30" t="e">
        <f t="shared" si="502"/>
        <v>#N/A</v>
      </c>
      <c r="AV278" s="30" t="e">
        <f t="shared" si="503"/>
        <v>#N/A</v>
      </c>
      <c r="AW278" s="31" t="e">
        <f>IF(OR(Hypothèses!$B$4=17,Hypothèses!$B$4=18,Hypothèses!$B$4=19,Hypothèses!$B$4=20),
IF($D278="Pressio.",
IF(OR($E278=3,$E278=1,$E278=4),AV278,AU278),
IF($D278="Pénétro.",
IF(OR($E278=3,$E278=1,$E278=4),AV278,AU278))),IF($D278="Pressio.",
IF($E278=3,AV278,AU278),
IF($D278="Pénétro.",
IF($E278=4,AV278,AU278))))</f>
        <v>#N/A</v>
      </c>
      <c r="AX278" s="31">
        <v>0</v>
      </c>
      <c r="AY278" s="102" t="e">
        <f>IF(NDC!$H$10="Oui",(VLOOKUP($B$3,'Coeff EC7'!$T$39:$X$59,2,0)*AW278+VLOOKUP($B$3,'Coeff EC7'!$T$65:$X$85,2,0)*Model0.1T!AX278)/1.5,PI()*AU$12*$Q278*($B278-$B277)*0.15/10+AY277)</f>
        <v>#N/A</v>
      </c>
      <c r="AZ278" s="102" t="e">
        <f>(VLOOKUP($B$3,'Coeff EC7'!$T$39:$X$59,3,0)*AW278+VLOOKUP($B$3,'Coeff EC7'!$T$65:$X$85,3,0)*Model0.1T!AX278)/1.1</f>
        <v>#N/A</v>
      </c>
      <c r="BA278" s="102" t="e">
        <f t="shared" si="473"/>
        <v>#N/A</v>
      </c>
      <c r="BB278" s="102" t="e">
        <f t="shared" si="474"/>
        <v>#N/A</v>
      </c>
      <c r="BC278" s="414" t="e">
        <f>IF(AND(AY278&gt;NDC!$C$63,AZ278&gt;NDC!$C$65,BA278&gt;NDC!$D$73,BB278&gt;NDC!$D$74,$B278&gt;NDC!$H$22-0.1+MIN(3*BC$12,1.5)),0,1)</f>
        <v>#N/A</v>
      </c>
      <c r="BD278" s="86" t="b">
        <f t="shared" si="442"/>
        <v>0</v>
      </c>
      <c r="BE278" s="86">
        <f t="shared" si="475"/>
        <v>0.5</v>
      </c>
      <c r="BF278" s="86">
        <f t="shared" si="443"/>
        <v>0.5</v>
      </c>
      <c r="BG278" s="30" t="e">
        <f t="shared" ca="1" si="476"/>
        <v>#DIV/0!</v>
      </c>
      <c r="BH278" s="85" t="e">
        <f ca="1">IF(AN278&lt;=Hypothèses!$V$7,Hypothèses!$W$7,IF(AN278&lt;=Hypothèses!$V$8,Hypothèses!$W$8,IF(AN278&lt;=Hypothèses!$V$9,Hypothèses!$W$9,IF(AN278&lt;=Hypothèses!$V$10,Hypothèses!$W$10,IF(AN278&lt;=Hypothèses!$V$11,Hypothèses!$W$11,IF(AN278&lt;=Hypothèses!$V$12,Hypothèses!$W$12,IF(AN278&lt;=Hypothèses!$V$13,Hypothèses!$W$13,IF(AN278&lt;=Hypothèses!$V$14,Hypothèses!$W$14,IF(AN278&lt;=Hypothèses!$V$15,Hypothèses!$W$15,IF(AN278&lt;=Hypothèses!$V$16,Hypothèses!$W$16,IF(AN278&lt;=Hypothèses!$V$17,Hypothèses!$W$17,IF(AN278&lt;=Hypothèses!$V$18,Hypothèses!$W$18,""))))))))))))</f>
        <v>#DIV/0!</v>
      </c>
      <c r="BI278" s="87" t="e">
        <f t="shared" ca="1" si="518"/>
        <v>#DIV/0!</v>
      </c>
      <c r="BJ278" s="88" t="e">
        <f ca="1">IF(AN278&lt;=Hypothèses!$V$7,Hypothèses!$X$7,IF(AN278&lt;=Hypothèses!$V$8,Hypothèses!$X$8,IF(AN278&lt;=Hypothèses!$V$9,Hypothèses!$X$9,IF(AN278&lt;=Hypothèses!$V$10,Hypothèses!$X$10,IF(AN278&lt;=Hypothèses!$V$11,Hypothèses!$X$11,IF(AN278&lt;=Hypothèses!$V$12,Hypothèses!$X$12,IF(AN278&lt;=Hypothèses!$V$13,Hypothèses!$X$13,IF(AN278&lt;=Hypothèses!$V$14,Hypothèses!$X$14,IF(AN278&lt;=Hypothèses!$V$15,Hypothèses!$X$15,IF(AN278&lt;=Hypothèses!$V$16,Hypothèses!$X$16,IF(AN278&lt;=Hypothèses!$U$17,Hypothèses!$W$17,IF(AN278&lt;=Hypothèses!$U$18,Hypothèses!$W$18,""))))))))))))</f>
        <v>#DIV/0!</v>
      </c>
      <c r="BK278" s="95" t="e">
        <f t="shared" ca="1" si="477"/>
        <v>#DIV/0!</v>
      </c>
      <c r="BL278" s="101">
        <f t="shared" si="525"/>
        <v>0</v>
      </c>
      <c r="BM278" s="91">
        <f t="shared" si="444"/>
        <v>0</v>
      </c>
      <c r="BN278" s="30" t="e">
        <f t="shared" si="504"/>
        <v>#N/A</v>
      </c>
      <c r="BO278" s="30" t="e">
        <f t="shared" si="505"/>
        <v>#N/A</v>
      </c>
      <c r="BP278" s="31" t="e">
        <f>IF(OR(Hypothèses!$B$4=17,Hypothèses!$B$4=18,Hypothèses!$B$4=19,Hypothèses!$B$4=20),
IF($D278="Pressio.",
IF(OR($E278=3,$E278=1,$E278=4),BO278,BN278),
IF($D278="Pénétro.",
IF(OR($E278=3,$E278=1,$E278=4),BO278,BN278))),IF($D278="Pressio.",
IF($E278=3,BO278,BN278),
IF($D278="Pénétro.",
IF($E278=4,BO278,BN278))))</f>
        <v>#N/A</v>
      </c>
      <c r="BQ278" s="31">
        <v>0</v>
      </c>
      <c r="BR278" s="102" t="e">
        <f>IF(NDC!$H$10="Oui",(VLOOKUP($B$3,'Coeff EC7'!$T$39:$X$59,2,0)*BP278+VLOOKUP($B$3,'Coeff EC7'!$T$65:$X$85,2,0)*Model0.1T!BQ278)/1.5,PI()*BN$12*$Q278*($B278-$B277)*0.15/10+BR277)</f>
        <v>#N/A</v>
      </c>
      <c r="BS278" s="102" t="e">
        <f>(VLOOKUP($B$3,'Coeff EC7'!$T$39:$X$59,3,0)*BP278+VLOOKUP($B$3,'Coeff EC7'!$T$65:$X$85,3,0)*Model0.1T!BQ278)/1.1</f>
        <v>#N/A</v>
      </c>
      <c r="BT278" s="102" t="e">
        <f t="shared" si="478"/>
        <v>#N/A</v>
      </c>
      <c r="BU278" s="102" t="e">
        <f t="shared" si="479"/>
        <v>#N/A</v>
      </c>
      <c r="BV278" s="414" t="e">
        <f>IF(AND(BR278&gt;NDC!$C$63,BS278&gt;NDC!$C$65,BT278&gt;NDC!$D$73,BU278&gt;NDC!$D$74,$B278&gt;NDC!$H$22-0.1+MIN(3*BV$12,1.5)),0,1)</f>
        <v>#N/A</v>
      </c>
      <c r="BW278" s="86" t="b">
        <f t="shared" si="445"/>
        <v>0</v>
      </c>
      <c r="BX278" s="86">
        <f t="shared" si="446"/>
        <v>0.5</v>
      </c>
      <c r="BY278" s="86">
        <f t="shared" si="447"/>
        <v>0.5</v>
      </c>
      <c r="BZ278" s="30" t="e">
        <f t="shared" ca="1" si="480"/>
        <v>#DIV/0!</v>
      </c>
      <c r="CA278" s="85" t="e">
        <f ca="1">IF(BG278&lt;=Hypothèses!$V$7,Hypothèses!$W$7,IF(BG278&lt;=Hypothèses!$V$8,Hypothèses!$W$8,IF(BG278&lt;=Hypothèses!$V$9,Hypothèses!$W$9,IF(BG278&lt;=Hypothèses!$V$10,Hypothèses!$W$10,IF(BG278&lt;=Hypothèses!$V$11,Hypothèses!$W$11,IF(BG278&lt;=Hypothèses!$V$12,Hypothèses!$W$12,IF(BG278&lt;=Hypothèses!$V$13,Hypothèses!$W$13,IF(BG278&lt;=Hypothèses!$V$14,Hypothèses!$W$14,IF(BG278&lt;=Hypothèses!$V$15,Hypothèses!$W$15,IF(BG278&lt;=Hypothèses!$V$16,Hypothèses!$W$16,IF(BG278&lt;=Hypothèses!$V$17,Hypothèses!$W$17,IF(BG278&lt;=Hypothèses!$V$18,Hypothèses!$W$18,""))))))))))))</f>
        <v>#DIV/0!</v>
      </c>
      <c r="CB278" s="87" t="e">
        <f t="shared" ca="1" si="519"/>
        <v>#DIV/0!</v>
      </c>
      <c r="CC278" s="88" t="e">
        <f ca="1">IF(BG278&lt;=Hypothèses!$V$7,Hypothèses!$X$7,IF(BG278&lt;=Hypothèses!$V$8,Hypothèses!$X$8,IF(BG278&lt;=Hypothèses!$V$9,Hypothèses!$X$9,IF(BG278&lt;=Hypothèses!$V$10,Hypothèses!$X$10,IF(BG278&lt;=Hypothèses!$V$11,Hypothèses!$X$11,IF(BG278&lt;=Hypothèses!$V$12,Hypothèses!$X$12,IF(BG278&lt;=Hypothèses!$V$13,Hypothèses!$X$13,IF(BG278&lt;=Hypothèses!$V$14,Hypothèses!$X$14,IF(BG278&lt;=Hypothèses!$V$15,Hypothèses!$X$15,IF(BG278&lt;=Hypothèses!$V$16,Hypothèses!$X$16,IF(BG278&lt;=Hypothèses!$U$17,Hypothèses!$W$17,IF(BG278&lt;=Hypothèses!$U$18,Hypothèses!$W$18,""))))))))))))</f>
        <v>#DIV/0!</v>
      </c>
      <c r="CD278" s="95" t="e">
        <f t="shared" ca="1" si="481"/>
        <v>#DIV/0!</v>
      </c>
      <c r="CE278" s="101">
        <f t="shared" si="526"/>
        <v>0</v>
      </c>
      <c r="CF278" s="91">
        <f t="shared" si="448"/>
        <v>0</v>
      </c>
      <c r="CG278" s="30" t="e">
        <f t="shared" si="506"/>
        <v>#N/A</v>
      </c>
      <c r="CH278" s="30" t="e">
        <f t="shared" si="507"/>
        <v>#N/A</v>
      </c>
      <c r="CI278" s="31" t="e">
        <f>IF(OR(Hypothèses!$B$4=17,Hypothèses!$B$4=18,Hypothèses!$B$4=19,Hypothèses!$B$4=20),
IF($D278="Pressio.",
IF(OR($E278=3,$E278=1,$E278=4),CH278,CG278),
IF($D278="Pénétro.",
IF(OR($E278=3,$E278=1,$E278=4),CH278,CG278))),IF($D278="Pressio.",
IF($E278=3,CH278,CG278),
IF($D278="Pénétro.",
IF($E278=4,CH278,CG278))))</f>
        <v>#N/A</v>
      </c>
      <c r="CJ278" s="31">
        <v>0</v>
      </c>
      <c r="CK278" s="102" t="e">
        <f>IF(NDC!$H$10="Oui",(VLOOKUP($B$3,'Coeff EC7'!$T$39:$X$59,2,0)*CI278+VLOOKUP($B$3,'Coeff EC7'!$T$65:$X$85,2,0)*Model0.1T!CJ278)/1.5,PI()*CG$12*$Q278*($B278-$B277)*0.15/10+CK277)</f>
        <v>#N/A</v>
      </c>
      <c r="CL278" s="102" t="e">
        <f>(VLOOKUP($B$3,'Coeff EC7'!$T$39:$X$59,3,0)*CI278+VLOOKUP($B$3,'Coeff EC7'!$T$65:$X$85,3,0)*Model0.1T!CJ278)/1.1</f>
        <v>#N/A</v>
      </c>
      <c r="CM278" s="102" t="e">
        <f t="shared" si="482"/>
        <v>#N/A</v>
      </c>
      <c r="CN278" s="102" t="e">
        <f t="shared" si="483"/>
        <v>#N/A</v>
      </c>
      <c r="CO278" s="414" t="e">
        <f>IF(AND(CK278&gt;NDC!$C$63,CL278&gt;NDC!$C$65,CM278&gt;NDC!$D$73,CN278&gt;NDC!$D$74,$B278&gt;NDC!$H$22-0.1+MIN(3*CO$12,1.5)),0,1)</f>
        <v>#N/A</v>
      </c>
      <c r="CP278" s="86" t="b">
        <f t="shared" si="449"/>
        <v>0</v>
      </c>
      <c r="CQ278" s="86">
        <f t="shared" si="450"/>
        <v>0.5</v>
      </c>
      <c r="CR278" s="86">
        <f t="shared" si="451"/>
        <v>0.5</v>
      </c>
      <c r="CS278" s="30" t="e">
        <f t="shared" ca="1" si="484"/>
        <v>#DIV/0!</v>
      </c>
      <c r="CT278" s="85" t="e">
        <f ca="1">IF(BZ278&lt;=Hypothèses!$V$7,Hypothèses!$W$7,IF(BZ278&lt;=Hypothèses!$V$8,Hypothèses!$W$8,IF(BZ278&lt;=Hypothèses!$V$9,Hypothèses!$W$9,IF(BZ278&lt;=Hypothèses!$V$10,Hypothèses!$W$10,IF(BZ278&lt;=Hypothèses!$V$11,Hypothèses!$W$11,IF(BZ278&lt;=Hypothèses!$V$12,Hypothèses!$W$12,IF(BZ278&lt;=Hypothèses!$V$13,Hypothèses!$W$13,IF(BZ278&lt;=Hypothèses!$V$14,Hypothèses!$W$14,IF(BZ278&lt;=Hypothèses!$V$15,Hypothèses!$W$15,IF(BZ278&lt;=Hypothèses!$V$16,Hypothèses!$W$16,IF(BZ278&lt;=Hypothèses!$V$17,Hypothèses!$W$17,IF(BZ278&lt;=Hypothèses!$V$18,Hypothèses!$W$18,""))))))))))))</f>
        <v>#DIV/0!</v>
      </c>
      <c r="CU278" s="87" t="e">
        <f t="shared" ca="1" si="520"/>
        <v>#DIV/0!</v>
      </c>
      <c r="CV278" s="88" t="e">
        <f ca="1">IF(BZ278&lt;=Hypothèses!$V$7,Hypothèses!$X$7,IF(BZ278&lt;=Hypothèses!$V$8,Hypothèses!$X$8,IF(BZ278&lt;=Hypothèses!$V$9,Hypothèses!$X$9,IF(BZ278&lt;=Hypothèses!$V$10,Hypothèses!$X$10,IF(BZ278&lt;=Hypothèses!$V$11,Hypothèses!$X$11,IF(BZ278&lt;=Hypothèses!$V$12,Hypothèses!$X$12,IF(BZ278&lt;=Hypothèses!$V$13,Hypothèses!$X$13,IF(BZ278&lt;=Hypothèses!$V$14,Hypothèses!$X$14,IF(BZ278&lt;=Hypothèses!$V$15,Hypothèses!$X$15,IF(BZ278&lt;=Hypothèses!$V$16,Hypothèses!$X$16,IF(BZ278&lt;=Hypothèses!$U$17,Hypothèses!$W$17,IF(BZ278&lt;=Hypothèses!$U$18,Hypothèses!$W$18,""))))))))))))</f>
        <v>#DIV/0!</v>
      </c>
      <c r="CW278" s="95" t="e">
        <f t="shared" ca="1" si="485"/>
        <v>#DIV/0!</v>
      </c>
      <c r="CX278" s="101">
        <f t="shared" si="527"/>
        <v>0</v>
      </c>
      <c r="CY278" s="91">
        <f t="shared" si="452"/>
        <v>0</v>
      </c>
      <c r="CZ278" s="30" t="e">
        <f t="shared" si="508"/>
        <v>#N/A</v>
      </c>
      <c r="DA278" s="30" t="e">
        <f t="shared" si="509"/>
        <v>#N/A</v>
      </c>
      <c r="DB278" s="31" t="e">
        <f>IF(OR(Hypothèses!$B$4=17,Hypothèses!$B$4=18,Hypothèses!$B$4=19,Hypothèses!$B$4=20),
IF($D278="Pressio.",
IF(OR($E278=3,$E278=1,$E278=4),DA278,CZ278),
IF($D278="Pénétro.",
IF(OR($E278=3,$E278=1,$E278=4),DA278,CZ278))),IF($D278="Pressio.",
IF($E278=3,DA278,CZ278),
IF($D278="Pénétro.",
IF($E278=4,DA278,CZ278))))</f>
        <v>#N/A</v>
      </c>
      <c r="DC278" s="31">
        <v>0</v>
      </c>
      <c r="DD278" s="102" t="e">
        <f>IF(NDC!$H$10="Oui",(VLOOKUP($B$3,'Coeff EC7'!$T$39:$X$59,2,0)*DB278+VLOOKUP($B$3,'Coeff EC7'!$T$65:$X$85,2,0)*Model0.1T!DC278)/1.5,PI()*CZ$12*$Q278*($B278-$B277)*0.15/10+DD277)</f>
        <v>#N/A</v>
      </c>
      <c r="DE278" s="102" t="e">
        <f>(VLOOKUP($B$3,'Coeff EC7'!$T$39:$X$59,3,0)*DB278+VLOOKUP($B$3,'Coeff EC7'!$T$65:$X$85,3,0)*Model0.1T!DC278)/1.1</f>
        <v>#N/A</v>
      </c>
      <c r="DF278" s="102" t="e">
        <f t="shared" si="486"/>
        <v>#N/A</v>
      </c>
      <c r="DG278" s="102" t="e">
        <f t="shared" si="487"/>
        <v>#N/A</v>
      </c>
      <c r="DH278" s="414" t="e">
        <f>IF(AND(DD278&gt;NDC!$C$63,DE278&gt;NDC!$C$65,DF278&gt;NDC!$D$73,DG278&gt;NDC!$D$74,$B278&gt;NDC!$H$22-0.1+MIN(3*DH$12,1.5)),0,1)</f>
        <v>#N/A</v>
      </c>
      <c r="DI278" s="86" t="b">
        <f t="shared" si="453"/>
        <v>0</v>
      </c>
      <c r="DJ278" s="86">
        <f t="shared" si="454"/>
        <v>0.5</v>
      </c>
      <c r="DK278" s="86">
        <f t="shared" si="455"/>
        <v>0.5</v>
      </c>
      <c r="DL278" s="30" t="e">
        <f t="shared" ca="1" si="488"/>
        <v>#DIV/0!</v>
      </c>
      <c r="DM278" s="85" t="e">
        <f ca="1">IF(CS278&lt;=Hypothèses!$V$7,Hypothèses!$W$7,IF(CS278&lt;=Hypothèses!$V$8,Hypothèses!$W$8,IF(CS278&lt;=Hypothèses!$V$9,Hypothèses!$W$9,IF(CS278&lt;=Hypothèses!$V$10,Hypothèses!$W$10,IF(CS278&lt;=Hypothèses!$V$11,Hypothèses!$W$11,IF(CS278&lt;=Hypothèses!$V$12,Hypothèses!$W$12,IF(CS278&lt;=Hypothèses!$V$13,Hypothèses!$W$13,IF(CS278&lt;=Hypothèses!$V$14,Hypothèses!$W$14,IF(CS278&lt;=Hypothèses!$V$15,Hypothèses!$W$15,IF(CS278&lt;=Hypothèses!$V$16,Hypothèses!$W$16,IF(CS278&lt;=Hypothèses!$V$17,Hypothèses!$W$17,IF(CS278&lt;=Hypothèses!$V$18,Hypothèses!$W$18,""))))))))))))</f>
        <v>#DIV/0!</v>
      </c>
      <c r="DN278" s="87" t="e">
        <f t="shared" ca="1" si="521"/>
        <v>#DIV/0!</v>
      </c>
      <c r="DO278" s="88" t="e">
        <f ca="1">IF(CS278&lt;=Hypothèses!$V$7,Hypothèses!$X$7,IF(CS278&lt;=Hypothèses!$V$8,Hypothèses!$X$8,IF(CS278&lt;=Hypothèses!$V$9,Hypothèses!$X$9,IF(CS278&lt;=Hypothèses!$V$10,Hypothèses!$X$10,IF(CS278&lt;=Hypothèses!$V$11,Hypothèses!$X$11,IF(CS278&lt;=Hypothèses!$V$12,Hypothèses!$X$12,IF(CS278&lt;=Hypothèses!$V$13,Hypothèses!$X$13,IF(CS278&lt;=Hypothèses!$V$14,Hypothèses!$X$14,IF(CS278&lt;=Hypothèses!$V$15,Hypothèses!$X$15,IF(CS278&lt;=Hypothèses!$V$16,Hypothèses!$X$16,IF(CS278&lt;=Hypothèses!$U$17,Hypothèses!$W$17,IF(CS278&lt;=Hypothèses!$U$18,Hypothèses!$W$18,""))))))))))))</f>
        <v>#DIV/0!</v>
      </c>
      <c r="DP278" s="95" t="e">
        <f t="shared" ca="1" si="489"/>
        <v>#DIV/0!</v>
      </c>
      <c r="DQ278" s="101">
        <f t="shared" si="528"/>
        <v>0</v>
      </c>
      <c r="DR278" s="91">
        <f t="shared" si="456"/>
        <v>0</v>
      </c>
      <c r="DS278" s="30" t="e">
        <f t="shared" si="510"/>
        <v>#N/A</v>
      </c>
      <c r="DT278" s="30" t="e">
        <f t="shared" si="511"/>
        <v>#N/A</v>
      </c>
      <c r="DU278" s="31" t="e">
        <f>IF(OR(Hypothèses!$B$4=17,Hypothèses!$B$4=18,Hypothèses!$B$4=19,Hypothèses!$B$4=20),
IF($D278="Pressio.",
IF(OR($E278=3,$E278=1,$E278=4),DT278,DS278),
IF($D278="Pénétro.",
IF(OR($E278=3,$E278=1,$E278=4),DT278,DS278))),IF($D278="Pressio.",
IF($E278=3,DT278,DS278),
IF($D278="Pénétro.",
IF($E278=4,DT278,DS278))))</f>
        <v>#N/A</v>
      </c>
      <c r="DV278" s="31">
        <v>0</v>
      </c>
      <c r="DW278" s="102" t="e">
        <f>IF(NDC!$H$10="Oui",(VLOOKUP($B$3,'Coeff EC7'!$T$39:$X$59,2,0)*DU278+VLOOKUP($B$3,'Coeff EC7'!$T$65:$X$85,2,0)*Model0.1T!DV278)/1.5,PI()*DS$12*$Q278*($B278-$B277)*0.15/10+DW277)</f>
        <v>#N/A</v>
      </c>
      <c r="DX278" s="102" t="e">
        <f>(VLOOKUP($B$3,'Coeff EC7'!$T$39:$X$59,3,0)*DU278+VLOOKUP($B$3,'Coeff EC7'!$T$65:$X$85,3,0)*Model0.1T!DV278)/1.1</f>
        <v>#N/A</v>
      </c>
      <c r="DY278" s="102" t="e">
        <f t="shared" si="490"/>
        <v>#N/A</v>
      </c>
      <c r="DZ278" s="102" t="e">
        <f t="shared" si="491"/>
        <v>#N/A</v>
      </c>
      <c r="EA278" s="414" t="e">
        <f>IF(AND(DW278&gt;NDC!$C$63,DX278&gt;NDC!$C$65,DY278&gt;NDC!$D$73,DZ278&gt;NDC!$D$74,$B278&gt;NDC!$H$22-0.1+MIN(3*EA$12,1.5)),0,1)</f>
        <v>#N/A</v>
      </c>
      <c r="EB278" s="86" t="b">
        <f t="shared" si="457"/>
        <v>0</v>
      </c>
      <c r="EC278" s="418">
        <f t="shared" si="458"/>
        <v>0.51</v>
      </c>
      <c r="ED278" s="86">
        <f t="shared" si="459"/>
        <v>0.51</v>
      </c>
      <c r="EE278" s="30" t="e">
        <f t="shared" ca="1" si="492"/>
        <v>#DIV/0!</v>
      </c>
      <c r="EF278" s="85" t="e">
        <f ca="1">IF(DL278&lt;=Hypothèses!$V$7,Hypothèses!$W$7,IF(DL278&lt;=Hypothèses!$V$8,Hypothèses!$W$8,IF(DL278&lt;=Hypothèses!$V$9,Hypothèses!$W$9,IF(DL278&lt;=Hypothèses!$V$10,Hypothèses!$W$10,IF(DL278&lt;=Hypothèses!$V$11,Hypothèses!$W$11,IF(DL278&lt;=Hypothèses!$V$12,Hypothèses!$W$12,IF(DL278&lt;=Hypothèses!$V$13,Hypothèses!$W$13,IF(DL278&lt;=Hypothèses!$V$14,Hypothèses!$W$14,IF(DL278&lt;=Hypothèses!$V$15,Hypothèses!$W$15,IF(DL278&lt;=Hypothèses!$V$16,Hypothèses!$W$16,IF(DL278&lt;=Hypothèses!$V$17,Hypothèses!$W$17,IF(DL278&lt;=Hypothèses!$V$18,Hypothèses!$W$18,""))))))))))))</f>
        <v>#DIV/0!</v>
      </c>
      <c r="EG278" s="87" t="e">
        <f t="shared" ca="1" si="522"/>
        <v>#DIV/0!</v>
      </c>
      <c r="EH278" s="88" t="e">
        <f ca="1">IF(DL278&lt;=Hypothèses!$V$7,Hypothèses!$X$7,IF(DL278&lt;=Hypothèses!$V$8,Hypothèses!$X$8,IF(DL278&lt;=Hypothèses!$V$9,Hypothèses!$X$9,IF(DL278&lt;=Hypothèses!$V$10,Hypothèses!$X$10,IF(DL278&lt;=Hypothèses!$V$11,Hypothèses!$X$11,IF(DL278&lt;=Hypothèses!$V$12,Hypothèses!$X$12,IF(DL278&lt;=Hypothèses!$V$13,Hypothèses!$X$13,IF(DL278&lt;=Hypothèses!$V$14,Hypothèses!$X$14,IF(DL278&lt;=Hypothèses!$V$15,Hypothèses!$X$15,IF(DL278&lt;=Hypothèses!$V$16,Hypothèses!$X$16,IF(DL278&lt;=Hypothèses!$U$17,Hypothèses!$W$17,IF(DL278&lt;=Hypothèses!$U$18,Hypothèses!$W$18,""))))))))))))</f>
        <v>#DIV/0!</v>
      </c>
      <c r="EI278" s="95" t="e">
        <f t="shared" ca="1" si="493"/>
        <v>#DIV/0!</v>
      </c>
      <c r="EJ278" s="101">
        <f t="shared" si="529"/>
        <v>0</v>
      </c>
      <c r="EK278" s="91">
        <f t="shared" si="460"/>
        <v>0</v>
      </c>
      <c r="EL278" s="30" t="e">
        <f t="shared" si="512"/>
        <v>#N/A</v>
      </c>
      <c r="EM278" s="30" t="e">
        <f t="shared" si="513"/>
        <v>#N/A</v>
      </c>
      <c r="EN278" s="31" t="e">
        <f>IF(OR(Hypothèses!$B$4=17,Hypothèses!$B$4=18,Hypothèses!$B$4=19,Hypothèses!$B$4=20),
IF($D278="Pressio.",
IF(OR($E278=3,$E278=1,$E278=4),EM278,EL278),
IF($D278="Pénétro.",
IF(OR($E278=3,$E278=1,$E278=4),EM278,EL278))),IF($D278="Pressio.",
IF($E278=3,EM278,EL278),
IF($D278="Pénétro.",
IF($E278=4,EM278,EL278))))</f>
        <v>#N/A</v>
      </c>
      <c r="EO278" s="31">
        <v>0</v>
      </c>
      <c r="EP278" s="102" t="e">
        <f>IF(NDC!$H$10="Oui",(VLOOKUP($B$3,'Coeff EC7'!$T$39:$X$59,2,0)*EN278+VLOOKUP($B$3,'Coeff EC7'!$T$65:$X$85,2,0)*Model0.1T!EO278)/1.5,PI()*EL$12*$Q278*($B278-$B277)*0.15/10+EP277)</f>
        <v>#N/A</v>
      </c>
      <c r="EQ278" s="102" t="e">
        <f>(VLOOKUP($B$3,'Coeff EC7'!$T$39:$X$59,3,0)*EN278+VLOOKUP($B$3,'Coeff EC7'!$T$65:$X$85,3,0)*Model0.1T!EO278)/1.1</f>
        <v>#N/A</v>
      </c>
      <c r="ER278" s="102" t="e">
        <f t="shared" si="494"/>
        <v>#N/A</v>
      </c>
      <c r="ES278" s="102" t="e">
        <f t="shared" si="495"/>
        <v>#N/A</v>
      </c>
      <c r="ET278" s="414" t="e">
        <f>IF(AND(EP278&gt;NDC!$C$63,EQ278&gt;NDC!$C$65,ER278&gt;NDC!$D$73,ES278&gt;NDC!$D$74,$B278&gt;NDC!$H$22-0.1+MIN(3*ET$12,1.5)),0,1)</f>
        <v>#N/A</v>
      </c>
      <c r="EU278" s="86" t="b">
        <f t="shared" si="461"/>
        <v>0</v>
      </c>
      <c r="EV278" s="86">
        <f t="shared" si="462"/>
        <v>0.61</v>
      </c>
      <c r="EW278" s="86">
        <f t="shared" si="463"/>
        <v>0.61</v>
      </c>
      <c r="EX278" s="30" t="e">
        <f t="shared" ca="1" si="496"/>
        <v>#DIV/0!</v>
      </c>
      <c r="EY278" s="85" t="e">
        <f ca="1">IF(EE278&lt;=Hypothèses!$V$7,Hypothèses!$W$7,IF(EE278&lt;=Hypothèses!$V$8,Hypothèses!$W$8,IF(EE278&lt;=Hypothèses!$V$9,Hypothèses!$W$9,IF(EE278&lt;=Hypothèses!$V$10,Hypothèses!$W$10,IF(EE278&lt;=Hypothèses!$V$11,Hypothèses!$W$11,IF(EE278&lt;=Hypothèses!$V$12,Hypothèses!$W$12,IF(EE278&lt;=Hypothèses!$V$13,Hypothèses!$W$13,IF(EE278&lt;=Hypothèses!$V$14,Hypothèses!$W$14,IF(EE278&lt;=Hypothèses!$V$15,Hypothèses!$W$15,IF(EE278&lt;=Hypothèses!$V$16,Hypothèses!$W$16,IF(EE278&lt;=Hypothèses!$V$17,Hypothèses!$W$17,IF(EE278&lt;=Hypothèses!$V$18,Hypothèses!$W$18,""))))))))))))</f>
        <v>#DIV/0!</v>
      </c>
      <c r="EZ278" s="87" t="e">
        <f t="shared" ca="1" si="523"/>
        <v>#DIV/0!</v>
      </c>
      <c r="FA278" s="88" t="e">
        <f ca="1">IF(EE278&lt;=Hypothèses!$V$7,Hypothèses!$X$7,IF(EE278&lt;=Hypothèses!$V$8,Hypothèses!$X$8,IF(EE278&lt;=Hypothèses!$V$9,Hypothèses!$X$9,IF(EE278&lt;=Hypothèses!$V$10,Hypothèses!$X$10,IF(EE278&lt;=Hypothèses!$V$11,Hypothèses!$X$11,IF(EE278&lt;=Hypothèses!$V$12,Hypothèses!$X$12,IF(EE278&lt;=Hypothèses!$V$13,Hypothèses!$X$13,IF(EE278&lt;=Hypothèses!$V$14,Hypothèses!$X$14,IF(EE278&lt;=Hypothèses!$V$15,Hypothèses!$X$15,IF(EE278&lt;=Hypothèses!$V$16,Hypothèses!$X$16,IF(EE278&lt;=Hypothèses!$U$17,Hypothèses!$W$17,IF(EE278&lt;=Hypothèses!$U$18,Hypothèses!$W$18,""))))))))))))</f>
        <v>#DIV/0!</v>
      </c>
      <c r="FB278" s="95" t="e">
        <f t="shared" ca="1" si="497"/>
        <v>#DIV/0!</v>
      </c>
      <c r="FC278" s="101">
        <f t="shared" si="530"/>
        <v>0</v>
      </c>
      <c r="FD278" s="91">
        <f t="shared" si="464"/>
        <v>0</v>
      </c>
      <c r="FE278" s="30" t="e">
        <f t="shared" si="514"/>
        <v>#N/A</v>
      </c>
      <c r="FF278" s="30" t="e">
        <f t="shared" si="515"/>
        <v>#N/A</v>
      </c>
      <c r="FG278" s="31" t="e">
        <f>IF(OR(Hypothèses!$B$4=17,Hypothèses!$B$4=18,Hypothèses!$B$4=19,Hypothèses!$B$4=20),
IF($D278="Pressio.",
IF(OR($E278=3,$E278=1,$E278=4),FF278,FE278),
IF($D278="Pénétro.",
IF(OR($E278=3,$E278=1,$E278=4),FF278,FE278))),IF($D278="Pressio.",
IF($E278=3,FF278,FE278),
IF($D278="Pénétro.",
IF($E278=4,FF278,FE278))))</f>
        <v>#N/A</v>
      </c>
      <c r="FH278" s="31">
        <v>0</v>
      </c>
      <c r="FI278" s="102" t="e">
        <f>IF(NDC!$H$10="Oui",(VLOOKUP($B$3,'Coeff EC7'!$T$39:$X$59,2,0)*FG278+VLOOKUP($B$3,'Coeff EC7'!$T$65:$X$85,2,0)*Model0.1T!FH278)/1.5,PI()*FE$12*$Q278*($B278-$B277)*0.15/10+FI277)</f>
        <v>#N/A</v>
      </c>
      <c r="FJ278" s="102" t="e">
        <f>(VLOOKUP($B$3,'Coeff EC7'!$T$39:$X$59,3,0)*FG278+VLOOKUP($B$3,'Coeff EC7'!$T$65:$X$85,3,0)*Model0.1T!FH278)/1.1</f>
        <v>#N/A</v>
      </c>
      <c r="FK278" s="102" t="e">
        <f t="shared" si="498"/>
        <v>#N/A</v>
      </c>
      <c r="FL278" s="102" t="e">
        <f t="shared" si="499"/>
        <v>#N/A</v>
      </c>
      <c r="FM278" s="414" t="e">
        <f>IF(AND(FI278&gt;NDC!$C$63,FJ278&gt;NDC!$C$65,FK278&gt;NDC!$D$73,FL278&gt;NDC!$D$74,$B278&gt;NDC!$H$22-0.1+MIN(3*FM$12,1.5)),0,1)</f>
        <v>#N/A</v>
      </c>
    </row>
    <row r="279" spans="1:169">
      <c r="A279" s="96">
        <f t="shared" si="465"/>
        <v>73.400000000001512</v>
      </c>
      <c r="B279" s="97">
        <v>26.6</v>
      </c>
      <c r="C279" s="81">
        <f>IF(B279&lt;=Hypothèses!$C$7,Hypothèses!$A$7,IF(B279&lt;=Hypothèses!$C$8,Hypothèses!$A$8,IF(B279&lt;=Hypothèses!$C$9,Hypothèses!$A$9,IF(B279&lt;=Hypothèses!$C$10,Hypothèses!$A$10,IF(B279&lt;=Hypothèses!$C$11,Hypothèses!$A$11,IF(B279&lt;=Hypothèses!$C$12,Hypothèses!$A$12,IF(B279&lt;=Hypothèses!$C$13,Hypothèses!$A$13,IF(B279&lt;=Hypothèses!$C$14,Hypothèses!$A$14,IF(B279&lt;=Hypothèses!$C$15,Hypothèses!$A$15,IF(B279&lt;=Hypothèses!$C$16,Hypothèses!$A$16,IF(B279&lt;=Hypothèses!$C$17,Hypothèses!$A$17,IF(B279&lt;=Hypothèses!$C$18,Hypothèses!$A$18,C278))))))))))))</f>
        <v>11</v>
      </c>
      <c r="D279" s="82" t="str">
        <f>IF(B279&lt;=Hypothèses!$C$7,Hypothèses!$R$7,IF(B279&lt;=Hypothèses!$C$8,Hypothèses!$R$8,IF(B279&lt;=Hypothèses!$C$9,Hypothèses!$R$9,IF(B279&lt;=Hypothèses!$C$10,Hypothèses!$R$10,IF(B279&lt;=Hypothèses!$C$11,Hypothèses!$R$11,IF(B279&lt;=Hypothèses!$C$12,Hypothèses!$R$12,IF(B279&lt;=Hypothèses!$C$13,Hypothèses!$R$13,IF(B279&lt;=Hypothèses!$C$14,Hypothèses!$R$14,IF(B279&lt;=Hypothèses!$C$15,Hypothèses!$R$15,IF(B279&lt;=Hypothèses!$C$16,Hypothèses!$R$16,IF(B279&lt;=Hypothèses!$C$17,Hypothèses!$R$17,IF(B279&lt;=Hypothèses!$C$18,Hypothèses!$R$18,D278))))))))))))</f>
        <v>Pressio.</v>
      </c>
      <c r="E279" s="82" t="e">
        <f>IF(B279&lt;=Hypothèses!$C$7,Hypothèses!$G$7,IF(B279&lt;=Hypothèses!$C$8,Hypothèses!$G$8,IF(B279&lt;=Hypothèses!$C$9,Hypothèses!$G$9,IF(B279&lt;=Hypothèses!$C$10,Hypothèses!$G$10,IF(B279&lt;=Hypothèses!$C$11,Hypothèses!$G$11,IF(B279&lt;=Hypothèses!$C$12,Hypothèses!$G$12,IF(B279&lt;=Hypothèses!$C$13,Hypothèses!$G$13,IF(B279&lt;=Hypothèses!$C$14,Hypothèses!$G$14,IF(B279&lt;=Hypothèses!$C$15,Hypothèses!$G$15,IF(B279&lt;=Hypothèses!$C$16,Hypothèses!$G$16,IF(B279&lt;=Hypothèses!$C$17,Hypothèses!$G$17,IF(B279&lt;=Hypothèses!$C$18,Hypothèses!$G$18,E278))))))))))))</f>
        <v>#N/A</v>
      </c>
      <c r="F279" s="82" t="str">
        <f>IF(B279&lt;=Hypothèses!$C$7,Hypothèses!$F$7,IF(B279&lt;=Hypothèses!$C$8,Hypothèses!$F$8,IF(B279&lt;=Hypothèses!$C$9,Hypothèses!$F$9,IF(B279&lt;=Hypothèses!$C$10,Hypothèses!$F$10,IF(B279&lt;=Hypothèses!$C$11,Hypothèses!$F$11,IF(B279&lt;=Hypothèses!$C$12,Hypothèses!$F$12,IF(B279&lt;=Hypothèses!$C$13,Hypothèses!$F$13,IF(B279&lt;=Hypothèses!$C$14,Hypothèses!$F$14,IF(B279&lt;=Hypothèses!$C$15,Hypothèses!$F$15,IF(B279&lt;=Hypothèses!$C$16,Hypothèses!$F$16,IF(B279&lt;=Hypothèses!$C$17,Hypothèses!$F$17,IF(B279&lt;=Hypothèses!$C$18,Hypothèses!$F$18,F278))))))))))))</f>
        <v/>
      </c>
      <c r="G279" s="91">
        <f t="array" ref="G279">INDEX('Coeff EC7'!$U$7:$X$27,
MATCH(Model0.1T!$B$3,'Coeff EC7'!$T$7:$T$27,0),
MATCH(Model0.1T!$D279&amp;Model0.1T!$B$4,
'Coeff EC7'!$U$6:$X$6&amp;
'Coeff EC7'!$U$5:$X$5,0))</f>
        <v>1.4</v>
      </c>
      <c r="H279" s="91">
        <f t="array" ref="H279">INDEX('Coeff EC7'!$Y$7:$AB$27,
MATCH(Model0.1T!$B$3,'Coeff EC7'!$T$7:$T$27,0),
MATCH(Model0.1T!$D279&amp;Model0.1T!$B$4,
'Coeff EC7'!$Y$6:$AB$6&amp;
'Coeff EC7'!$Y$5:$AB$5,0))</f>
        <v>1.7</v>
      </c>
      <c r="I279" s="83">
        <v>0</v>
      </c>
      <c r="J279" s="91" t="e">
        <f t="array" ref="J279">INDEX('Coeff EC7'!$D$33:$Q$33,1,MATCH(D279&amp;E279,'Coeff EC7'!$D$31:$Q$31&amp;'Coeff EC7'!$D$32:$Q$32,0))</f>
        <v>#N/A</v>
      </c>
      <c r="K279" s="91" t="e">
        <f t="array" ref="K279">INDEX('Coeff EC7'!$D$34:$Q$34,1,MATCH(D279&amp;E279,'Coeff EC7'!$D$31:$Q$31&amp;'Coeff EC7'!$D$32:$Q$32,0))</f>
        <v>#N/A</v>
      </c>
      <c r="L279" s="91" t="e">
        <f t="array" ref="L279">INDEX('Coeff EC7'!$D$35:$Q$35,1,MATCH(D279&amp;E279,'Coeff EC7'!$D$31:$Q$31&amp;'Coeff EC7'!$D$32:$Q$32,0))</f>
        <v>#N/A</v>
      </c>
      <c r="M279" s="98" t="e">
        <f t="shared" si="431"/>
        <v>#N/A</v>
      </c>
      <c r="N279" s="99" t="e">
        <f t="array" ref="N279">INDEX('Coeff EC7'!$D$7:$Q$27,MATCH($B$3,'Coeff EC7'!$C$7:$C$27,0),MATCH(D279&amp;E279,'Coeff EC7'!$D$5:$Q$5&amp;'Coeff EC7'!$D$6:$Q$6,0))</f>
        <v>#N/A</v>
      </c>
      <c r="O279" s="99" t="e">
        <f t="array" ref="O279">INDEX('Coeff EC7'!$D$41:$Q$61,MATCH($B$3,'Coeff EC7'!$C$41:$C$61,0),MATCH(D279&amp;E279,'Coeff EC7'!$D$39:$Q$39&amp;'Coeff EC7'!$D$40:$Q$40,0))</f>
        <v>#N/A</v>
      </c>
      <c r="P279" s="30" t="e">
        <f t="shared" si="466"/>
        <v>#N/A</v>
      </c>
      <c r="Q279" s="100" t="e">
        <f t="shared" si="433"/>
        <v>#N/A</v>
      </c>
      <c r="R279" s="86" t="b">
        <f t="shared" si="434"/>
        <v>0</v>
      </c>
      <c r="S279" s="86">
        <f t="shared" si="432"/>
        <v>0.5</v>
      </c>
      <c r="T279" s="86">
        <f t="shared" si="435"/>
        <v>0.5</v>
      </c>
      <c r="U279" s="30" t="e">
        <f t="shared" ca="1" si="467"/>
        <v>#DIV/0!</v>
      </c>
      <c r="V279" s="85" t="str">
        <f>IF(B279&lt;=Hypothèses!$V$7,Hypothèses!$W$7,IF(B279&lt;=Hypothèses!$V$8,Hypothèses!$W$8,IF(B279&lt;=Hypothèses!$V$9,Hypothèses!$W$9,IF(B279&lt;=Hypothèses!$V$10,Hypothèses!$W$10,IF(B279&lt;=Hypothèses!$V$11,Hypothèses!$W$11,IF(B279&lt;=Hypothèses!$V$12,Hypothèses!$W$12,IF(B279&lt;=Hypothèses!$V$13,Hypothèses!$W$13,IF(B279&lt;=Hypothèses!$V$14,Hypothèses!$W$14,IF(B279&lt;=Hypothèses!$V$15,Hypothèses!$W$15,IF(B279&lt;=Hypothèses!$V$16,Hypothèses!$W$16,IF(B279&lt;=Hypothèses!$V$17,Hypothèses!$W$17,IF(B279&lt;=Hypothèses!$V$18,Hypothèses!$W$18,""))))))))))))</f>
        <v/>
      </c>
      <c r="W279" s="87" t="e">
        <f t="shared" ca="1" si="516"/>
        <v>#DIV/0!</v>
      </c>
      <c r="X279" s="88" t="str">
        <f>IF(B279&lt;=Hypothèses!$V$7,Hypothèses!$X$7,IF(B279&lt;=Hypothèses!$V$8,Hypothèses!$X$8,IF(B279&lt;=Hypothèses!$V$9,Hypothèses!$X$9,IF(B279&lt;=Hypothèses!$V$10,Hypothèses!$X$10,IF(B279&lt;=Hypothèses!$V$11,Hypothèses!$X$11,IF(B279&lt;=Hypothèses!$V$12,Hypothèses!$X$12,IF(B279&lt;=Hypothèses!$V$13,Hypothèses!$X$13,IF(B279&lt;=Hypothèses!$V$14,Hypothèses!$X$14,IF(B279&lt;=Hypothèses!$V$15,Hypothèses!$X$15,IF(B279&lt;=Hypothèses!$V$16,Hypothèses!$X$16,IF(B279&lt;=Hypothèses!$U$17,Hypothèses!$W$17,IF(B279&lt;=Hypothèses!$U$18,Hypothèses!$W$18,""))))))))))))</f>
        <v/>
      </c>
      <c r="Y279" s="95" t="e">
        <f t="shared" ca="1" si="436"/>
        <v>#DIV/0!</v>
      </c>
      <c r="Z279" s="101">
        <f t="shared" si="437"/>
        <v>0</v>
      </c>
      <c r="AA279" s="91">
        <f t="shared" si="438"/>
        <v>0</v>
      </c>
      <c r="AB279" s="30" t="e">
        <f t="shared" si="500"/>
        <v>#N/A</v>
      </c>
      <c r="AC279" s="30" t="e">
        <f t="shared" si="501"/>
        <v>#N/A</v>
      </c>
      <c r="AD279" s="31" t="e">
        <f>IF(OR(Hypothèses!$B$4=17,Hypothèses!$B$4=18,Hypothèses!$B$4=19,Hypothèses!$B$4=20),
IF($D279="Pressio.",
IF(OR($E279=3,$E279=1,$E279=4),AC279,AB279),
IF($D279="Pénétro.",
IF(OR($E279=3,$E279=1,$E279=4),AC279,AB279))),IF($D279="Pressio.",
IF($E279=3,AC279,AB279),
IF($D279="Pénétro.",
IF($E279=4,AC279,AB279))))</f>
        <v>#N/A</v>
      </c>
      <c r="AE279" s="31">
        <v>0</v>
      </c>
      <c r="AF279" s="102" t="e">
        <f>IF(NDC!$H$10="Oui",(VLOOKUP($B$3,'Coeff EC7'!$T$39:$X$59,2,0)*AD279+VLOOKUP($B$3,'Coeff EC7'!$T$65:$X$85,2,0)*Model0.1T!AE279)/1.5,PI()*AB$12*$Q279*($B279-$B278)*0.15/10+AF278)</f>
        <v>#N/A</v>
      </c>
      <c r="AG279" s="102" t="e">
        <f>(VLOOKUP($B$3,'Coeff EC7'!$T$39:$X$59,3,0)*AD279+VLOOKUP($B$3,'Coeff EC7'!$T$65:$X$85,3,0)*Model0.1T!AE279)/1.1</f>
        <v>#N/A</v>
      </c>
      <c r="AH279" s="102" t="e">
        <f t="shared" si="468"/>
        <v>#N/A</v>
      </c>
      <c r="AI279" s="102" t="e">
        <f t="shared" si="469"/>
        <v>#N/A</v>
      </c>
      <c r="AJ279" s="414" t="e">
        <f>IF(AND(AF279&gt;NDC!$C$63,AG279&gt;NDC!$C$65,AH279&gt;NDC!$D$73,AI279&gt;NDC!$D$74,$B279&gt;NDC!$H$22-0.1+MIN(3*$AJ$12,1.5)),0,1)</f>
        <v>#N/A</v>
      </c>
      <c r="AK279" s="86" t="b">
        <f t="shared" si="439"/>
        <v>0</v>
      </c>
      <c r="AL279" s="86">
        <f t="shared" si="470"/>
        <v>0.5</v>
      </c>
      <c r="AM279" s="86">
        <f t="shared" si="440"/>
        <v>0.5</v>
      </c>
      <c r="AN279" s="30" t="e">
        <f t="shared" ca="1" si="471"/>
        <v>#DIV/0!</v>
      </c>
      <c r="AO279" s="85" t="e">
        <f ca="1">IF(U279&lt;=Hypothèses!$V$7,Hypothèses!$W$7,IF(U279&lt;=Hypothèses!$V$8,Hypothèses!$W$8,IF(U279&lt;=Hypothèses!$V$9,Hypothèses!$W$9,IF(U279&lt;=Hypothèses!$V$10,Hypothèses!$W$10,IF(U279&lt;=Hypothèses!$V$11,Hypothèses!$W$11,IF(U279&lt;=Hypothèses!$V$12,Hypothèses!$W$12,IF(U279&lt;=Hypothèses!$V$13,Hypothèses!$W$13,IF(U279&lt;=Hypothèses!$V$14,Hypothèses!$W$14,IF(U279&lt;=Hypothèses!$V$15,Hypothèses!$W$15,IF(U279&lt;=Hypothèses!$V$16,Hypothèses!$W$16,IF(U279&lt;=Hypothèses!$V$17,Hypothèses!$W$17,IF(U279&lt;=Hypothèses!$V$18,Hypothèses!$W$18,""))))))))))))</f>
        <v>#DIV/0!</v>
      </c>
      <c r="AP279" s="87" t="e">
        <f t="shared" ca="1" si="517"/>
        <v>#DIV/0!</v>
      </c>
      <c r="AQ279" s="88" t="e">
        <f ca="1">IF(U279&lt;=Hypothèses!$V$7,Hypothèses!$X$7,IF(U279&lt;=Hypothèses!$V$8,Hypothèses!$X$8,IF(U279&lt;=Hypothèses!$V$9,Hypothèses!$X$9,IF(U279&lt;=Hypothèses!$V$10,Hypothèses!$X$10,IF(U279&lt;=Hypothèses!$V$11,Hypothèses!$X$11,IF(U279&lt;=Hypothèses!$V$12,Hypothèses!$X$12,IF(U279&lt;=Hypothèses!$V$13,Hypothèses!$X$13,IF(U279&lt;=Hypothèses!$V$14,Hypothèses!$X$14,IF(U279&lt;=Hypothèses!$V$15,Hypothèses!$X$15,IF(U279&lt;=Hypothèses!$V$16,Hypothèses!$X$16,IF(U279&lt;=Hypothèses!$U$17,Hypothèses!$W$17,IF(U279&lt;=Hypothèses!$U$18,Hypothèses!$W$18,""))))))))))))</f>
        <v>#DIV/0!</v>
      </c>
      <c r="AR279" s="95" t="e">
        <f t="shared" ca="1" si="472"/>
        <v>#DIV/0!</v>
      </c>
      <c r="AS279" s="101">
        <f t="shared" si="524"/>
        <v>0</v>
      </c>
      <c r="AT279" s="91">
        <f t="shared" si="441"/>
        <v>0</v>
      </c>
      <c r="AU279" s="30" t="e">
        <f t="shared" si="502"/>
        <v>#N/A</v>
      </c>
      <c r="AV279" s="30" t="e">
        <f t="shared" si="503"/>
        <v>#N/A</v>
      </c>
      <c r="AW279" s="31" t="e">
        <f>IF(OR(Hypothèses!$B$4=17,Hypothèses!$B$4=18,Hypothèses!$B$4=19,Hypothèses!$B$4=20),
IF($D279="Pressio.",
IF(OR($E279=3,$E279=1,$E279=4),AV279,AU279),
IF($D279="Pénétro.",
IF(OR($E279=3,$E279=1,$E279=4),AV279,AU279))),IF($D279="Pressio.",
IF($E279=3,AV279,AU279),
IF($D279="Pénétro.",
IF($E279=4,AV279,AU279))))</f>
        <v>#N/A</v>
      </c>
      <c r="AX279" s="31">
        <v>0</v>
      </c>
      <c r="AY279" s="102" t="e">
        <f>IF(NDC!$H$10="Oui",(VLOOKUP($B$3,'Coeff EC7'!$T$39:$X$59,2,0)*AW279+VLOOKUP($B$3,'Coeff EC7'!$T$65:$X$85,2,0)*Model0.1T!AX279)/1.5,PI()*AU$12*$Q279*($B279-$B278)*0.15/10+AY278)</f>
        <v>#N/A</v>
      </c>
      <c r="AZ279" s="102" t="e">
        <f>(VLOOKUP($B$3,'Coeff EC7'!$T$39:$X$59,3,0)*AW279+VLOOKUP($B$3,'Coeff EC7'!$T$65:$X$85,3,0)*Model0.1T!AX279)/1.1</f>
        <v>#N/A</v>
      </c>
      <c r="BA279" s="102" t="e">
        <f t="shared" si="473"/>
        <v>#N/A</v>
      </c>
      <c r="BB279" s="102" t="e">
        <f t="shared" si="474"/>
        <v>#N/A</v>
      </c>
      <c r="BC279" s="414" t="e">
        <f>IF(AND(AY279&gt;NDC!$C$63,AZ279&gt;NDC!$C$65,BA279&gt;NDC!$D$73,BB279&gt;NDC!$D$74,$B279&gt;NDC!$H$22-0.1+MIN(3*BC$12,1.5)),0,1)</f>
        <v>#N/A</v>
      </c>
      <c r="BD279" s="86" t="b">
        <f t="shared" si="442"/>
        <v>0</v>
      </c>
      <c r="BE279" s="86">
        <f t="shared" si="475"/>
        <v>0.5</v>
      </c>
      <c r="BF279" s="86">
        <f t="shared" si="443"/>
        <v>0.5</v>
      </c>
      <c r="BG279" s="30" t="e">
        <f t="shared" ca="1" si="476"/>
        <v>#DIV/0!</v>
      </c>
      <c r="BH279" s="85" t="e">
        <f ca="1">IF(AN279&lt;=Hypothèses!$V$7,Hypothèses!$W$7,IF(AN279&lt;=Hypothèses!$V$8,Hypothèses!$W$8,IF(AN279&lt;=Hypothèses!$V$9,Hypothèses!$W$9,IF(AN279&lt;=Hypothèses!$V$10,Hypothèses!$W$10,IF(AN279&lt;=Hypothèses!$V$11,Hypothèses!$W$11,IF(AN279&lt;=Hypothèses!$V$12,Hypothèses!$W$12,IF(AN279&lt;=Hypothèses!$V$13,Hypothèses!$W$13,IF(AN279&lt;=Hypothèses!$V$14,Hypothèses!$W$14,IF(AN279&lt;=Hypothèses!$V$15,Hypothèses!$W$15,IF(AN279&lt;=Hypothèses!$V$16,Hypothèses!$W$16,IF(AN279&lt;=Hypothèses!$V$17,Hypothèses!$W$17,IF(AN279&lt;=Hypothèses!$V$18,Hypothèses!$W$18,""))))))))))))</f>
        <v>#DIV/0!</v>
      </c>
      <c r="BI279" s="87" t="e">
        <f t="shared" ca="1" si="518"/>
        <v>#DIV/0!</v>
      </c>
      <c r="BJ279" s="88" t="e">
        <f ca="1">IF(AN279&lt;=Hypothèses!$V$7,Hypothèses!$X$7,IF(AN279&lt;=Hypothèses!$V$8,Hypothèses!$X$8,IF(AN279&lt;=Hypothèses!$V$9,Hypothèses!$X$9,IF(AN279&lt;=Hypothèses!$V$10,Hypothèses!$X$10,IF(AN279&lt;=Hypothèses!$V$11,Hypothèses!$X$11,IF(AN279&lt;=Hypothèses!$V$12,Hypothèses!$X$12,IF(AN279&lt;=Hypothèses!$V$13,Hypothèses!$X$13,IF(AN279&lt;=Hypothèses!$V$14,Hypothèses!$X$14,IF(AN279&lt;=Hypothèses!$V$15,Hypothèses!$X$15,IF(AN279&lt;=Hypothèses!$V$16,Hypothèses!$X$16,IF(AN279&lt;=Hypothèses!$U$17,Hypothèses!$W$17,IF(AN279&lt;=Hypothèses!$U$18,Hypothèses!$W$18,""))))))))))))</f>
        <v>#DIV/0!</v>
      </c>
      <c r="BK279" s="95" t="e">
        <f t="shared" ca="1" si="477"/>
        <v>#DIV/0!</v>
      </c>
      <c r="BL279" s="101">
        <f t="shared" si="525"/>
        <v>0</v>
      </c>
      <c r="BM279" s="91">
        <f t="shared" si="444"/>
        <v>0</v>
      </c>
      <c r="BN279" s="30" t="e">
        <f t="shared" si="504"/>
        <v>#N/A</v>
      </c>
      <c r="BO279" s="30" t="e">
        <f t="shared" si="505"/>
        <v>#N/A</v>
      </c>
      <c r="BP279" s="31" t="e">
        <f>IF(OR(Hypothèses!$B$4=17,Hypothèses!$B$4=18,Hypothèses!$B$4=19,Hypothèses!$B$4=20),
IF($D279="Pressio.",
IF(OR($E279=3,$E279=1,$E279=4),BO279,BN279),
IF($D279="Pénétro.",
IF(OR($E279=3,$E279=1,$E279=4),BO279,BN279))),IF($D279="Pressio.",
IF($E279=3,BO279,BN279),
IF($D279="Pénétro.",
IF($E279=4,BO279,BN279))))</f>
        <v>#N/A</v>
      </c>
      <c r="BQ279" s="31">
        <v>0</v>
      </c>
      <c r="BR279" s="102" t="e">
        <f>IF(NDC!$H$10="Oui",(VLOOKUP($B$3,'Coeff EC7'!$T$39:$X$59,2,0)*BP279+VLOOKUP($B$3,'Coeff EC7'!$T$65:$X$85,2,0)*Model0.1T!BQ279)/1.5,PI()*BN$12*$Q279*($B279-$B278)*0.15/10+BR278)</f>
        <v>#N/A</v>
      </c>
      <c r="BS279" s="102" t="e">
        <f>(VLOOKUP($B$3,'Coeff EC7'!$T$39:$X$59,3,0)*BP279+VLOOKUP($B$3,'Coeff EC7'!$T$65:$X$85,3,0)*Model0.1T!BQ279)/1.1</f>
        <v>#N/A</v>
      </c>
      <c r="BT279" s="102" t="e">
        <f t="shared" si="478"/>
        <v>#N/A</v>
      </c>
      <c r="BU279" s="102" t="e">
        <f t="shared" si="479"/>
        <v>#N/A</v>
      </c>
      <c r="BV279" s="414" t="e">
        <f>IF(AND(BR279&gt;NDC!$C$63,BS279&gt;NDC!$C$65,BT279&gt;NDC!$D$73,BU279&gt;NDC!$D$74,$B279&gt;NDC!$H$22-0.1+MIN(3*BV$12,1.5)),0,1)</f>
        <v>#N/A</v>
      </c>
      <c r="BW279" s="86" t="b">
        <f t="shared" si="445"/>
        <v>0</v>
      </c>
      <c r="BX279" s="86">
        <f t="shared" si="446"/>
        <v>0.5</v>
      </c>
      <c r="BY279" s="86">
        <f t="shared" si="447"/>
        <v>0.5</v>
      </c>
      <c r="BZ279" s="30" t="e">
        <f t="shared" ca="1" si="480"/>
        <v>#DIV/0!</v>
      </c>
      <c r="CA279" s="85" t="e">
        <f ca="1">IF(BG279&lt;=Hypothèses!$V$7,Hypothèses!$W$7,IF(BG279&lt;=Hypothèses!$V$8,Hypothèses!$W$8,IF(BG279&lt;=Hypothèses!$V$9,Hypothèses!$W$9,IF(BG279&lt;=Hypothèses!$V$10,Hypothèses!$W$10,IF(BG279&lt;=Hypothèses!$V$11,Hypothèses!$W$11,IF(BG279&lt;=Hypothèses!$V$12,Hypothèses!$W$12,IF(BG279&lt;=Hypothèses!$V$13,Hypothèses!$W$13,IF(BG279&lt;=Hypothèses!$V$14,Hypothèses!$W$14,IF(BG279&lt;=Hypothèses!$V$15,Hypothèses!$W$15,IF(BG279&lt;=Hypothèses!$V$16,Hypothèses!$W$16,IF(BG279&lt;=Hypothèses!$V$17,Hypothèses!$W$17,IF(BG279&lt;=Hypothèses!$V$18,Hypothèses!$W$18,""))))))))))))</f>
        <v>#DIV/0!</v>
      </c>
      <c r="CB279" s="87" t="e">
        <f t="shared" ca="1" si="519"/>
        <v>#DIV/0!</v>
      </c>
      <c r="CC279" s="88" t="e">
        <f ca="1">IF(BG279&lt;=Hypothèses!$V$7,Hypothèses!$X$7,IF(BG279&lt;=Hypothèses!$V$8,Hypothèses!$X$8,IF(BG279&lt;=Hypothèses!$V$9,Hypothèses!$X$9,IF(BG279&lt;=Hypothèses!$V$10,Hypothèses!$X$10,IF(BG279&lt;=Hypothèses!$V$11,Hypothèses!$X$11,IF(BG279&lt;=Hypothèses!$V$12,Hypothèses!$X$12,IF(BG279&lt;=Hypothèses!$V$13,Hypothèses!$X$13,IF(BG279&lt;=Hypothèses!$V$14,Hypothèses!$X$14,IF(BG279&lt;=Hypothèses!$V$15,Hypothèses!$X$15,IF(BG279&lt;=Hypothèses!$V$16,Hypothèses!$X$16,IF(BG279&lt;=Hypothèses!$U$17,Hypothèses!$W$17,IF(BG279&lt;=Hypothèses!$U$18,Hypothèses!$W$18,""))))))))))))</f>
        <v>#DIV/0!</v>
      </c>
      <c r="CD279" s="95" t="e">
        <f t="shared" ca="1" si="481"/>
        <v>#DIV/0!</v>
      </c>
      <c r="CE279" s="101">
        <f t="shared" si="526"/>
        <v>0</v>
      </c>
      <c r="CF279" s="91">
        <f t="shared" si="448"/>
        <v>0</v>
      </c>
      <c r="CG279" s="30" t="e">
        <f t="shared" si="506"/>
        <v>#N/A</v>
      </c>
      <c r="CH279" s="30" t="e">
        <f t="shared" si="507"/>
        <v>#N/A</v>
      </c>
      <c r="CI279" s="31" t="e">
        <f>IF(OR(Hypothèses!$B$4=17,Hypothèses!$B$4=18,Hypothèses!$B$4=19,Hypothèses!$B$4=20),
IF($D279="Pressio.",
IF(OR($E279=3,$E279=1,$E279=4),CH279,CG279),
IF($D279="Pénétro.",
IF(OR($E279=3,$E279=1,$E279=4),CH279,CG279))),IF($D279="Pressio.",
IF($E279=3,CH279,CG279),
IF($D279="Pénétro.",
IF($E279=4,CH279,CG279))))</f>
        <v>#N/A</v>
      </c>
      <c r="CJ279" s="31">
        <v>0</v>
      </c>
      <c r="CK279" s="102" t="e">
        <f>IF(NDC!$H$10="Oui",(VLOOKUP($B$3,'Coeff EC7'!$T$39:$X$59,2,0)*CI279+VLOOKUP($B$3,'Coeff EC7'!$T$65:$X$85,2,0)*Model0.1T!CJ279)/1.5,PI()*CG$12*$Q279*($B279-$B278)*0.15/10+CK278)</f>
        <v>#N/A</v>
      </c>
      <c r="CL279" s="102" t="e">
        <f>(VLOOKUP($B$3,'Coeff EC7'!$T$39:$X$59,3,0)*CI279+VLOOKUP($B$3,'Coeff EC7'!$T$65:$X$85,3,0)*Model0.1T!CJ279)/1.1</f>
        <v>#N/A</v>
      </c>
      <c r="CM279" s="102" t="e">
        <f t="shared" si="482"/>
        <v>#N/A</v>
      </c>
      <c r="CN279" s="102" t="e">
        <f t="shared" si="483"/>
        <v>#N/A</v>
      </c>
      <c r="CO279" s="414" t="e">
        <f>IF(AND(CK279&gt;NDC!$C$63,CL279&gt;NDC!$C$65,CM279&gt;NDC!$D$73,CN279&gt;NDC!$D$74,$B279&gt;NDC!$H$22-0.1+MIN(3*CO$12,1.5)),0,1)</f>
        <v>#N/A</v>
      </c>
      <c r="CP279" s="86" t="b">
        <f t="shared" si="449"/>
        <v>0</v>
      </c>
      <c r="CQ279" s="86">
        <f t="shared" si="450"/>
        <v>0.5</v>
      </c>
      <c r="CR279" s="86">
        <f t="shared" si="451"/>
        <v>0.5</v>
      </c>
      <c r="CS279" s="30" t="e">
        <f t="shared" ca="1" si="484"/>
        <v>#DIV/0!</v>
      </c>
      <c r="CT279" s="85" t="e">
        <f ca="1">IF(BZ279&lt;=Hypothèses!$V$7,Hypothèses!$W$7,IF(BZ279&lt;=Hypothèses!$V$8,Hypothèses!$W$8,IF(BZ279&lt;=Hypothèses!$V$9,Hypothèses!$W$9,IF(BZ279&lt;=Hypothèses!$V$10,Hypothèses!$W$10,IF(BZ279&lt;=Hypothèses!$V$11,Hypothèses!$W$11,IF(BZ279&lt;=Hypothèses!$V$12,Hypothèses!$W$12,IF(BZ279&lt;=Hypothèses!$V$13,Hypothèses!$W$13,IF(BZ279&lt;=Hypothèses!$V$14,Hypothèses!$W$14,IF(BZ279&lt;=Hypothèses!$V$15,Hypothèses!$W$15,IF(BZ279&lt;=Hypothèses!$V$16,Hypothèses!$W$16,IF(BZ279&lt;=Hypothèses!$V$17,Hypothèses!$W$17,IF(BZ279&lt;=Hypothèses!$V$18,Hypothèses!$W$18,""))))))))))))</f>
        <v>#DIV/0!</v>
      </c>
      <c r="CU279" s="87" t="e">
        <f t="shared" ca="1" si="520"/>
        <v>#DIV/0!</v>
      </c>
      <c r="CV279" s="88" t="e">
        <f ca="1">IF(BZ279&lt;=Hypothèses!$V$7,Hypothèses!$X$7,IF(BZ279&lt;=Hypothèses!$V$8,Hypothèses!$X$8,IF(BZ279&lt;=Hypothèses!$V$9,Hypothèses!$X$9,IF(BZ279&lt;=Hypothèses!$V$10,Hypothèses!$X$10,IF(BZ279&lt;=Hypothèses!$V$11,Hypothèses!$X$11,IF(BZ279&lt;=Hypothèses!$V$12,Hypothèses!$X$12,IF(BZ279&lt;=Hypothèses!$V$13,Hypothèses!$X$13,IF(BZ279&lt;=Hypothèses!$V$14,Hypothèses!$X$14,IF(BZ279&lt;=Hypothèses!$V$15,Hypothèses!$X$15,IF(BZ279&lt;=Hypothèses!$V$16,Hypothèses!$X$16,IF(BZ279&lt;=Hypothèses!$U$17,Hypothèses!$W$17,IF(BZ279&lt;=Hypothèses!$U$18,Hypothèses!$W$18,""))))))))))))</f>
        <v>#DIV/0!</v>
      </c>
      <c r="CW279" s="95" t="e">
        <f t="shared" ca="1" si="485"/>
        <v>#DIV/0!</v>
      </c>
      <c r="CX279" s="101">
        <f t="shared" si="527"/>
        <v>0</v>
      </c>
      <c r="CY279" s="91">
        <f t="shared" si="452"/>
        <v>0</v>
      </c>
      <c r="CZ279" s="30" t="e">
        <f t="shared" si="508"/>
        <v>#N/A</v>
      </c>
      <c r="DA279" s="30" t="e">
        <f t="shared" si="509"/>
        <v>#N/A</v>
      </c>
      <c r="DB279" s="31" t="e">
        <f>IF(OR(Hypothèses!$B$4=17,Hypothèses!$B$4=18,Hypothèses!$B$4=19,Hypothèses!$B$4=20),
IF($D279="Pressio.",
IF(OR($E279=3,$E279=1,$E279=4),DA279,CZ279),
IF($D279="Pénétro.",
IF(OR($E279=3,$E279=1,$E279=4),DA279,CZ279))),IF($D279="Pressio.",
IF($E279=3,DA279,CZ279),
IF($D279="Pénétro.",
IF($E279=4,DA279,CZ279))))</f>
        <v>#N/A</v>
      </c>
      <c r="DC279" s="31">
        <v>0</v>
      </c>
      <c r="DD279" s="102" t="e">
        <f>IF(NDC!$H$10="Oui",(VLOOKUP($B$3,'Coeff EC7'!$T$39:$X$59,2,0)*DB279+VLOOKUP($B$3,'Coeff EC7'!$T$65:$X$85,2,0)*Model0.1T!DC279)/1.5,PI()*CZ$12*$Q279*($B279-$B278)*0.15/10+DD278)</f>
        <v>#N/A</v>
      </c>
      <c r="DE279" s="102" t="e">
        <f>(VLOOKUP($B$3,'Coeff EC7'!$T$39:$X$59,3,0)*DB279+VLOOKUP($B$3,'Coeff EC7'!$T$65:$X$85,3,0)*Model0.1T!DC279)/1.1</f>
        <v>#N/A</v>
      </c>
      <c r="DF279" s="102" t="e">
        <f t="shared" si="486"/>
        <v>#N/A</v>
      </c>
      <c r="DG279" s="102" t="e">
        <f t="shared" si="487"/>
        <v>#N/A</v>
      </c>
      <c r="DH279" s="414" t="e">
        <f>IF(AND(DD279&gt;NDC!$C$63,DE279&gt;NDC!$C$65,DF279&gt;NDC!$D$73,DG279&gt;NDC!$D$74,$B279&gt;NDC!$H$22-0.1+MIN(3*DH$12,1.5)),0,1)</f>
        <v>#N/A</v>
      </c>
      <c r="DI279" s="86" t="b">
        <f t="shared" si="453"/>
        <v>0</v>
      </c>
      <c r="DJ279" s="86">
        <f t="shared" si="454"/>
        <v>0.5</v>
      </c>
      <c r="DK279" s="86">
        <f t="shared" si="455"/>
        <v>0.5</v>
      </c>
      <c r="DL279" s="30" t="e">
        <f t="shared" ca="1" si="488"/>
        <v>#DIV/0!</v>
      </c>
      <c r="DM279" s="85" t="e">
        <f ca="1">IF(CS279&lt;=Hypothèses!$V$7,Hypothèses!$W$7,IF(CS279&lt;=Hypothèses!$V$8,Hypothèses!$W$8,IF(CS279&lt;=Hypothèses!$V$9,Hypothèses!$W$9,IF(CS279&lt;=Hypothèses!$V$10,Hypothèses!$W$10,IF(CS279&lt;=Hypothèses!$V$11,Hypothèses!$W$11,IF(CS279&lt;=Hypothèses!$V$12,Hypothèses!$W$12,IF(CS279&lt;=Hypothèses!$V$13,Hypothèses!$W$13,IF(CS279&lt;=Hypothèses!$V$14,Hypothèses!$W$14,IF(CS279&lt;=Hypothèses!$V$15,Hypothèses!$W$15,IF(CS279&lt;=Hypothèses!$V$16,Hypothèses!$W$16,IF(CS279&lt;=Hypothèses!$V$17,Hypothèses!$W$17,IF(CS279&lt;=Hypothèses!$V$18,Hypothèses!$W$18,""))))))))))))</f>
        <v>#DIV/0!</v>
      </c>
      <c r="DN279" s="87" t="e">
        <f t="shared" ca="1" si="521"/>
        <v>#DIV/0!</v>
      </c>
      <c r="DO279" s="88" t="e">
        <f ca="1">IF(CS279&lt;=Hypothèses!$V$7,Hypothèses!$X$7,IF(CS279&lt;=Hypothèses!$V$8,Hypothèses!$X$8,IF(CS279&lt;=Hypothèses!$V$9,Hypothèses!$X$9,IF(CS279&lt;=Hypothèses!$V$10,Hypothèses!$X$10,IF(CS279&lt;=Hypothèses!$V$11,Hypothèses!$X$11,IF(CS279&lt;=Hypothèses!$V$12,Hypothèses!$X$12,IF(CS279&lt;=Hypothèses!$V$13,Hypothèses!$X$13,IF(CS279&lt;=Hypothèses!$V$14,Hypothèses!$X$14,IF(CS279&lt;=Hypothèses!$V$15,Hypothèses!$X$15,IF(CS279&lt;=Hypothèses!$V$16,Hypothèses!$X$16,IF(CS279&lt;=Hypothèses!$U$17,Hypothèses!$W$17,IF(CS279&lt;=Hypothèses!$U$18,Hypothèses!$W$18,""))))))))))))</f>
        <v>#DIV/0!</v>
      </c>
      <c r="DP279" s="95" t="e">
        <f t="shared" ca="1" si="489"/>
        <v>#DIV/0!</v>
      </c>
      <c r="DQ279" s="101">
        <f t="shared" si="528"/>
        <v>0</v>
      </c>
      <c r="DR279" s="91">
        <f t="shared" si="456"/>
        <v>0</v>
      </c>
      <c r="DS279" s="30" t="e">
        <f t="shared" si="510"/>
        <v>#N/A</v>
      </c>
      <c r="DT279" s="30" t="e">
        <f t="shared" si="511"/>
        <v>#N/A</v>
      </c>
      <c r="DU279" s="31" t="e">
        <f>IF(OR(Hypothèses!$B$4=17,Hypothèses!$B$4=18,Hypothèses!$B$4=19,Hypothèses!$B$4=20),
IF($D279="Pressio.",
IF(OR($E279=3,$E279=1,$E279=4),DT279,DS279),
IF($D279="Pénétro.",
IF(OR($E279=3,$E279=1,$E279=4),DT279,DS279))),IF($D279="Pressio.",
IF($E279=3,DT279,DS279),
IF($D279="Pénétro.",
IF($E279=4,DT279,DS279))))</f>
        <v>#N/A</v>
      </c>
      <c r="DV279" s="31">
        <v>0</v>
      </c>
      <c r="DW279" s="102" t="e">
        <f>IF(NDC!$H$10="Oui",(VLOOKUP($B$3,'Coeff EC7'!$T$39:$X$59,2,0)*DU279+VLOOKUP($B$3,'Coeff EC7'!$T$65:$X$85,2,0)*Model0.1T!DV279)/1.5,PI()*DS$12*$Q279*($B279-$B278)*0.15/10+DW278)</f>
        <v>#N/A</v>
      </c>
      <c r="DX279" s="102" t="e">
        <f>(VLOOKUP($B$3,'Coeff EC7'!$T$39:$X$59,3,0)*DU279+VLOOKUP($B$3,'Coeff EC7'!$T$65:$X$85,3,0)*Model0.1T!DV279)/1.1</f>
        <v>#N/A</v>
      </c>
      <c r="DY279" s="102" t="e">
        <f t="shared" si="490"/>
        <v>#N/A</v>
      </c>
      <c r="DZ279" s="102" t="e">
        <f t="shared" si="491"/>
        <v>#N/A</v>
      </c>
      <c r="EA279" s="414" t="e">
        <f>IF(AND(DW279&gt;NDC!$C$63,DX279&gt;NDC!$C$65,DY279&gt;NDC!$D$73,DZ279&gt;NDC!$D$74,$B279&gt;NDC!$H$22-0.1+MIN(3*EA$12,1.5)),0,1)</f>
        <v>#N/A</v>
      </c>
      <c r="EB279" s="86" t="b">
        <f t="shared" si="457"/>
        <v>0</v>
      </c>
      <c r="EC279" s="418">
        <f t="shared" si="458"/>
        <v>0.51</v>
      </c>
      <c r="ED279" s="86">
        <f t="shared" si="459"/>
        <v>0.51</v>
      </c>
      <c r="EE279" s="30" t="e">
        <f t="shared" ca="1" si="492"/>
        <v>#DIV/0!</v>
      </c>
      <c r="EF279" s="85" t="e">
        <f ca="1">IF(DL279&lt;=Hypothèses!$V$7,Hypothèses!$W$7,IF(DL279&lt;=Hypothèses!$V$8,Hypothèses!$W$8,IF(DL279&lt;=Hypothèses!$V$9,Hypothèses!$W$9,IF(DL279&lt;=Hypothèses!$V$10,Hypothèses!$W$10,IF(DL279&lt;=Hypothèses!$V$11,Hypothèses!$W$11,IF(DL279&lt;=Hypothèses!$V$12,Hypothèses!$W$12,IF(DL279&lt;=Hypothèses!$V$13,Hypothèses!$W$13,IF(DL279&lt;=Hypothèses!$V$14,Hypothèses!$W$14,IF(DL279&lt;=Hypothèses!$V$15,Hypothèses!$W$15,IF(DL279&lt;=Hypothèses!$V$16,Hypothèses!$W$16,IF(DL279&lt;=Hypothèses!$V$17,Hypothèses!$W$17,IF(DL279&lt;=Hypothèses!$V$18,Hypothèses!$W$18,""))))))))))))</f>
        <v>#DIV/0!</v>
      </c>
      <c r="EG279" s="87" t="e">
        <f t="shared" ca="1" si="522"/>
        <v>#DIV/0!</v>
      </c>
      <c r="EH279" s="88" t="e">
        <f ca="1">IF(DL279&lt;=Hypothèses!$V$7,Hypothèses!$X$7,IF(DL279&lt;=Hypothèses!$V$8,Hypothèses!$X$8,IF(DL279&lt;=Hypothèses!$V$9,Hypothèses!$X$9,IF(DL279&lt;=Hypothèses!$V$10,Hypothèses!$X$10,IF(DL279&lt;=Hypothèses!$V$11,Hypothèses!$X$11,IF(DL279&lt;=Hypothèses!$V$12,Hypothèses!$X$12,IF(DL279&lt;=Hypothèses!$V$13,Hypothèses!$X$13,IF(DL279&lt;=Hypothèses!$V$14,Hypothèses!$X$14,IF(DL279&lt;=Hypothèses!$V$15,Hypothèses!$X$15,IF(DL279&lt;=Hypothèses!$V$16,Hypothèses!$X$16,IF(DL279&lt;=Hypothèses!$U$17,Hypothèses!$W$17,IF(DL279&lt;=Hypothèses!$U$18,Hypothèses!$W$18,""))))))))))))</f>
        <v>#DIV/0!</v>
      </c>
      <c r="EI279" s="95" t="e">
        <f t="shared" ca="1" si="493"/>
        <v>#DIV/0!</v>
      </c>
      <c r="EJ279" s="101">
        <f t="shared" si="529"/>
        <v>0</v>
      </c>
      <c r="EK279" s="91">
        <f t="shared" si="460"/>
        <v>0</v>
      </c>
      <c r="EL279" s="30" t="e">
        <f t="shared" si="512"/>
        <v>#N/A</v>
      </c>
      <c r="EM279" s="30" t="e">
        <f t="shared" si="513"/>
        <v>#N/A</v>
      </c>
      <c r="EN279" s="31" t="e">
        <f>IF(OR(Hypothèses!$B$4=17,Hypothèses!$B$4=18,Hypothèses!$B$4=19,Hypothèses!$B$4=20),
IF($D279="Pressio.",
IF(OR($E279=3,$E279=1,$E279=4),EM279,EL279),
IF($D279="Pénétro.",
IF(OR($E279=3,$E279=1,$E279=4),EM279,EL279))),IF($D279="Pressio.",
IF($E279=3,EM279,EL279),
IF($D279="Pénétro.",
IF($E279=4,EM279,EL279))))</f>
        <v>#N/A</v>
      </c>
      <c r="EO279" s="31">
        <v>0</v>
      </c>
      <c r="EP279" s="102" t="e">
        <f>IF(NDC!$H$10="Oui",(VLOOKUP($B$3,'Coeff EC7'!$T$39:$X$59,2,0)*EN279+VLOOKUP($B$3,'Coeff EC7'!$T$65:$X$85,2,0)*Model0.1T!EO279)/1.5,PI()*EL$12*$Q279*($B279-$B278)*0.15/10+EP278)</f>
        <v>#N/A</v>
      </c>
      <c r="EQ279" s="102" t="e">
        <f>(VLOOKUP($B$3,'Coeff EC7'!$T$39:$X$59,3,0)*EN279+VLOOKUP($B$3,'Coeff EC7'!$T$65:$X$85,3,0)*Model0.1T!EO279)/1.1</f>
        <v>#N/A</v>
      </c>
      <c r="ER279" s="102" t="e">
        <f t="shared" si="494"/>
        <v>#N/A</v>
      </c>
      <c r="ES279" s="102" t="e">
        <f t="shared" si="495"/>
        <v>#N/A</v>
      </c>
      <c r="ET279" s="414" t="e">
        <f>IF(AND(EP279&gt;NDC!$C$63,EQ279&gt;NDC!$C$65,ER279&gt;NDC!$D$73,ES279&gt;NDC!$D$74,$B279&gt;NDC!$H$22-0.1+MIN(3*ET$12,1.5)),0,1)</f>
        <v>#N/A</v>
      </c>
      <c r="EU279" s="86" t="b">
        <f t="shared" si="461"/>
        <v>0</v>
      </c>
      <c r="EV279" s="86">
        <f t="shared" si="462"/>
        <v>0.61</v>
      </c>
      <c r="EW279" s="86">
        <f t="shared" si="463"/>
        <v>0.61</v>
      </c>
      <c r="EX279" s="30" t="e">
        <f t="shared" ca="1" si="496"/>
        <v>#DIV/0!</v>
      </c>
      <c r="EY279" s="85" t="e">
        <f ca="1">IF(EE279&lt;=Hypothèses!$V$7,Hypothèses!$W$7,IF(EE279&lt;=Hypothèses!$V$8,Hypothèses!$W$8,IF(EE279&lt;=Hypothèses!$V$9,Hypothèses!$W$9,IF(EE279&lt;=Hypothèses!$V$10,Hypothèses!$W$10,IF(EE279&lt;=Hypothèses!$V$11,Hypothèses!$W$11,IF(EE279&lt;=Hypothèses!$V$12,Hypothèses!$W$12,IF(EE279&lt;=Hypothèses!$V$13,Hypothèses!$W$13,IF(EE279&lt;=Hypothèses!$V$14,Hypothèses!$W$14,IF(EE279&lt;=Hypothèses!$V$15,Hypothèses!$W$15,IF(EE279&lt;=Hypothèses!$V$16,Hypothèses!$W$16,IF(EE279&lt;=Hypothèses!$V$17,Hypothèses!$W$17,IF(EE279&lt;=Hypothèses!$V$18,Hypothèses!$W$18,""))))))))))))</f>
        <v>#DIV/0!</v>
      </c>
      <c r="EZ279" s="87" t="e">
        <f t="shared" ca="1" si="523"/>
        <v>#DIV/0!</v>
      </c>
      <c r="FA279" s="88" t="e">
        <f ca="1">IF(EE279&lt;=Hypothèses!$V$7,Hypothèses!$X$7,IF(EE279&lt;=Hypothèses!$V$8,Hypothèses!$X$8,IF(EE279&lt;=Hypothèses!$V$9,Hypothèses!$X$9,IF(EE279&lt;=Hypothèses!$V$10,Hypothèses!$X$10,IF(EE279&lt;=Hypothèses!$V$11,Hypothèses!$X$11,IF(EE279&lt;=Hypothèses!$V$12,Hypothèses!$X$12,IF(EE279&lt;=Hypothèses!$V$13,Hypothèses!$X$13,IF(EE279&lt;=Hypothèses!$V$14,Hypothèses!$X$14,IF(EE279&lt;=Hypothèses!$V$15,Hypothèses!$X$15,IF(EE279&lt;=Hypothèses!$V$16,Hypothèses!$X$16,IF(EE279&lt;=Hypothèses!$U$17,Hypothèses!$W$17,IF(EE279&lt;=Hypothèses!$U$18,Hypothèses!$W$18,""))))))))))))</f>
        <v>#DIV/0!</v>
      </c>
      <c r="FB279" s="95" t="e">
        <f t="shared" ca="1" si="497"/>
        <v>#DIV/0!</v>
      </c>
      <c r="FC279" s="101">
        <f t="shared" si="530"/>
        <v>0</v>
      </c>
      <c r="FD279" s="91">
        <f t="shared" si="464"/>
        <v>0</v>
      </c>
      <c r="FE279" s="30" t="e">
        <f t="shared" si="514"/>
        <v>#N/A</v>
      </c>
      <c r="FF279" s="30" t="e">
        <f t="shared" si="515"/>
        <v>#N/A</v>
      </c>
      <c r="FG279" s="31" t="e">
        <f>IF(OR(Hypothèses!$B$4=17,Hypothèses!$B$4=18,Hypothèses!$B$4=19,Hypothèses!$B$4=20),
IF($D279="Pressio.",
IF(OR($E279=3,$E279=1,$E279=4),FF279,FE279),
IF($D279="Pénétro.",
IF(OR($E279=3,$E279=1,$E279=4),FF279,FE279))),IF($D279="Pressio.",
IF($E279=3,FF279,FE279),
IF($D279="Pénétro.",
IF($E279=4,FF279,FE279))))</f>
        <v>#N/A</v>
      </c>
      <c r="FH279" s="31">
        <v>0</v>
      </c>
      <c r="FI279" s="102" t="e">
        <f>IF(NDC!$H$10="Oui",(VLOOKUP($B$3,'Coeff EC7'!$T$39:$X$59,2,0)*FG279+VLOOKUP($B$3,'Coeff EC7'!$T$65:$X$85,2,0)*Model0.1T!FH279)/1.5,PI()*FE$12*$Q279*($B279-$B278)*0.15/10+FI278)</f>
        <v>#N/A</v>
      </c>
      <c r="FJ279" s="102" t="e">
        <f>(VLOOKUP($B$3,'Coeff EC7'!$T$39:$X$59,3,0)*FG279+VLOOKUP($B$3,'Coeff EC7'!$T$65:$X$85,3,0)*Model0.1T!FH279)/1.1</f>
        <v>#N/A</v>
      </c>
      <c r="FK279" s="102" t="e">
        <f t="shared" si="498"/>
        <v>#N/A</v>
      </c>
      <c r="FL279" s="102" t="e">
        <f t="shared" si="499"/>
        <v>#N/A</v>
      </c>
      <c r="FM279" s="414" t="e">
        <f>IF(AND(FI279&gt;NDC!$C$63,FJ279&gt;NDC!$C$65,FK279&gt;NDC!$D$73,FL279&gt;NDC!$D$74,$B279&gt;NDC!$H$22-0.1+MIN(3*FM$12,1.5)),0,1)</f>
        <v>#N/A</v>
      </c>
    </row>
    <row r="280" spans="1:169">
      <c r="A280" s="96">
        <f t="shared" si="465"/>
        <v>73.300000000001518</v>
      </c>
      <c r="B280" s="97">
        <v>26.7</v>
      </c>
      <c r="C280" s="81">
        <f>IF(B280&lt;=Hypothèses!$C$7,Hypothèses!$A$7,IF(B280&lt;=Hypothèses!$C$8,Hypothèses!$A$8,IF(B280&lt;=Hypothèses!$C$9,Hypothèses!$A$9,IF(B280&lt;=Hypothèses!$C$10,Hypothèses!$A$10,IF(B280&lt;=Hypothèses!$C$11,Hypothèses!$A$11,IF(B280&lt;=Hypothèses!$C$12,Hypothèses!$A$12,IF(B280&lt;=Hypothèses!$C$13,Hypothèses!$A$13,IF(B280&lt;=Hypothèses!$C$14,Hypothèses!$A$14,IF(B280&lt;=Hypothèses!$C$15,Hypothèses!$A$15,IF(B280&lt;=Hypothèses!$C$16,Hypothèses!$A$16,IF(B280&lt;=Hypothèses!$C$17,Hypothèses!$A$17,IF(B280&lt;=Hypothèses!$C$18,Hypothèses!$A$18,C279))))))))))))</f>
        <v>11</v>
      </c>
      <c r="D280" s="82" t="str">
        <f>IF(B280&lt;=Hypothèses!$C$7,Hypothèses!$R$7,IF(B280&lt;=Hypothèses!$C$8,Hypothèses!$R$8,IF(B280&lt;=Hypothèses!$C$9,Hypothèses!$R$9,IF(B280&lt;=Hypothèses!$C$10,Hypothèses!$R$10,IF(B280&lt;=Hypothèses!$C$11,Hypothèses!$R$11,IF(B280&lt;=Hypothèses!$C$12,Hypothèses!$R$12,IF(B280&lt;=Hypothèses!$C$13,Hypothèses!$R$13,IF(B280&lt;=Hypothèses!$C$14,Hypothèses!$R$14,IF(B280&lt;=Hypothèses!$C$15,Hypothèses!$R$15,IF(B280&lt;=Hypothèses!$C$16,Hypothèses!$R$16,IF(B280&lt;=Hypothèses!$C$17,Hypothèses!$R$17,IF(B280&lt;=Hypothèses!$C$18,Hypothèses!$R$18,D279))))))))))))</f>
        <v>Pressio.</v>
      </c>
      <c r="E280" s="82" t="e">
        <f>IF(B280&lt;=Hypothèses!$C$7,Hypothèses!$G$7,IF(B280&lt;=Hypothèses!$C$8,Hypothèses!$G$8,IF(B280&lt;=Hypothèses!$C$9,Hypothèses!$G$9,IF(B280&lt;=Hypothèses!$C$10,Hypothèses!$G$10,IF(B280&lt;=Hypothèses!$C$11,Hypothèses!$G$11,IF(B280&lt;=Hypothèses!$C$12,Hypothèses!$G$12,IF(B280&lt;=Hypothèses!$C$13,Hypothèses!$G$13,IF(B280&lt;=Hypothèses!$C$14,Hypothèses!$G$14,IF(B280&lt;=Hypothèses!$C$15,Hypothèses!$G$15,IF(B280&lt;=Hypothèses!$C$16,Hypothèses!$G$16,IF(B280&lt;=Hypothèses!$C$17,Hypothèses!$G$17,IF(B280&lt;=Hypothèses!$C$18,Hypothèses!$G$18,E279))))))))))))</f>
        <v>#N/A</v>
      </c>
      <c r="F280" s="82" t="str">
        <f>IF(B280&lt;=Hypothèses!$C$7,Hypothèses!$F$7,IF(B280&lt;=Hypothèses!$C$8,Hypothèses!$F$8,IF(B280&lt;=Hypothèses!$C$9,Hypothèses!$F$9,IF(B280&lt;=Hypothèses!$C$10,Hypothèses!$F$10,IF(B280&lt;=Hypothèses!$C$11,Hypothèses!$F$11,IF(B280&lt;=Hypothèses!$C$12,Hypothèses!$F$12,IF(B280&lt;=Hypothèses!$C$13,Hypothèses!$F$13,IF(B280&lt;=Hypothèses!$C$14,Hypothèses!$F$14,IF(B280&lt;=Hypothèses!$C$15,Hypothèses!$F$15,IF(B280&lt;=Hypothèses!$C$16,Hypothèses!$F$16,IF(B280&lt;=Hypothèses!$C$17,Hypothèses!$F$17,IF(B280&lt;=Hypothèses!$C$18,Hypothèses!$F$18,F279))))))))))))</f>
        <v/>
      </c>
      <c r="G280" s="91">
        <f t="array" ref="G280">INDEX('Coeff EC7'!$U$7:$X$27,
MATCH(Model0.1T!$B$3,'Coeff EC7'!$T$7:$T$27,0),
MATCH(Model0.1T!$D280&amp;Model0.1T!$B$4,
'Coeff EC7'!$U$6:$X$6&amp;
'Coeff EC7'!$U$5:$X$5,0))</f>
        <v>1.4</v>
      </c>
      <c r="H280" s="91">
        <f t="array" ref="H280">INDEX('Coeff EC7'!$Y$7:$AB$27,
MATCH(Model0.1T!$B$3,'Coeff EC7'!$T$7:$T$27,0),
MATCH(Model0.1T!$D280&amp;Model0.1T!$B$4,
'Coeff EC7'!$Y$6:$AB$6&amp;
'Coeff EC7'!$Y$5:$AB$5,0))</f>
        <v>1.7</v>
      </c>
      <c r="I280" s="83">
        <v>0</v>
      </c>
      <c r="J280" s="91" t="e">
        <f t="array" ref="J280">INDEX('Coeff EC7'!$D$33:$Q$33,1,MATCH(D280&amp;E280,'Coeff EC7'!$D$31:$Q$31&amp;'Coeff EC7'!$D$32:$Q$32,0))</f>
        <v>#N/A</v>
      </c>
      <c r="K280" s="91" t="e">
        <f t="array" ref="K280">INDEX('Coeff EC7'!$D$34:$Q$34,1,MATCH(D280&amp;E280,'Coeff EC7'!$D$31:$Q$31&amp;'Coeff EC7'!$D$32:$Q$32,0))</f>
        <v>#N/A</v>
      </c>
      <c r="L280" s="91" t="e">
        <f t="array" ref="L280">INDEX('Coeff EC7'!$D$35:$Q$35,1,MATCH(D280&amp;E280,'Coeff EC7'!$D$31:$Q$31&amp;'Coeff EC7'!$D$32:$Q$32,0))</f>
        <v>#N/A</v>
      </c>
      <c r="M280" s="98" t="e">
        <f t="shared" si="431"/>
        <v>#N/A</v>
      </c>
      <c r="N280" s="99" t="e">
        <f t="array" ref="N280">INDEX('Coeff EC7'!$D$7:$Q$27,MATCH($B$3,'Coeff EC7'!$C$7:$C$27,0),MATCH(D280&amp;E280,'Coeff EC7'!$D$5:$Q$5&amp;'Coeff EC7'!$D$6:$Q$6,0))</f>
        <v>#N/A</v>
      </c>
      <c r="O280" s="99" t="e">
        <f t="array" ref="O280">INDEX('Coeff EC7'!$D$41:$Q$61,MATCH($B$3,'Coeff EC7'!$C$41:$C$61,0),MATCH(D280&amp;E280,'Coeff EC7'!$D$39:$Q$39&amp;'Coeff EC7'!$D$40:$Q$40,0))</f>
        <v>#N/A</v>
      </c>
      <c r="P280" s="30" t="e">
        <f t="shared" si="466"/>
        <v>#N/A</v>
      </c>
      <c r="Q280" s="100" t="e">
        <f t="shared" si="433"/>
        <v>#N/A</v>
      </c>
      <c r="R280" s="86" t="b">
        <f t="shared" si="434"/>
        <v>0</v>
      </c>
      <c r="S280" s="86">
        <f t="shared" si="432"/>
        <v>0.5</v>
      </c>
      <c r="T280" s="86">
        <f t="shared" si="435"/>
        <v>0.5</v>
      </c>
      <c r="U280" s="30" t="e">
        <f t="shared" ca="1" si="467"/>
        <v>#DIV/0!</v>
      </c>
      <c r="V280" s="85" t="str">
        <f>IF(B280&lt;=Hypothèses!$V$7,Hypothèses!$W$7,IF(B280&lt;=Hypothèses!$V$8,Hypothèses!$W$8,IF(B280&lt;=Hypothèses!$V$9,Hypothèses!$W$9,IF(B280&lt;=Hypothèses!$V$10,Hypothèses!$W$10,IF(B280&lt;=Hypothèses!$V$11,Hypothèses!$W$11,IF(B280&lt;=Hypothèses!$V$12,Hypothèses!$W$12,IF(B280&lt;=Hypothèses!$V$13,Hypothèses!$W$13,IF(B280&lt;=Hypothèses!$V$14,Hypothèses!$W$14,IF(B280&lt;=Hypothèses!$V$15,Hypothèses!$W$15,IF(B280&lt;=Hypothèses!$V$16,Hypothèses!$W$16,IF(B280&lt;=Hypothèses!$V$17,Hypothèses!$W$17,IF(B280&lt;=Hypothèses!$V$18,Hypothèses!$W$18,""))))))))))))</f>
        <v/>
      </c>
      <c r="W280" s="87" t="e">
        <f t="shared" ca="1" si="516"/>
        <v>#DIV/0!</v>
      </c>
      <c r="X280" s="88" t="str">
        <f>IF(B280&lt;=Hypothèses!$V$7,Hypothèses!$X$7,IF(B280&lt;=Hypothèses!$V$8,Hypothèses!$X$8,IF(B280&lt;=Hypothèses!$V$9,Hypothèses!$X$9,IF(B280&lt;=Hypothèses!$V$10,Hypothèses!$X$10,IF(B280&lt;=Hypothèses!$V$11,Hypothèses!$X$11,IF(B280&lt;=Hypothèses!$V$12,Hypothèses!$X$12,IF(B280&lt;=Hypothèses!$V$13,Hypothèses!$X$13,IF(B280&lt;=Hypothèses!$V$14,Hypothèses!$X$14,IF(B280&lt;=Hypothèses!$V$15,Hypothèses!$X$15,IF(B280&lt;=Hypothèses!$V$16,Hypothèses!$X$16,IF(B280&lt;=Hypothèses!$U$17,Hypothèses!$W$17,IF(B280&lt;=Hypothèses!$U$18,Hypothèses!$W$18,""))))))))))))</f>
        <v/>
      </c>
      <c r="Y280" s="95" t="e">
        <f t="shared" ca="1" si="436"/>
        <v>#DIV/0!</v>
      </c>
      <c r="Z280" s="101">
        <f t="shared" si="437"/>
        <v>0</v>
      </c>
      <c r="AA280" s="91">
        <f t="shared" si="438"/>
        <v>0</v>
      </c>
      <c r="AB280" s="30" t="e">
        <f t="shared" si="500"/>
        <v>#N/A</v>
      </c>
      <c r="AC280" s="30" t="e">
        <f t="shared" si="501"/>
        <v>#N/A</v>
      </c>
      <c r="AD280" s="31" t="e">
        <f>IF(OR(Hypothèses!$B$4=17,Hypothèses!$B$4=18,Hypothèses!$B$4=19,Hypothèses!$B$4=20),
IF($D280="Pressio.",
IF(OR($E280=3,$E280=1,$E280=4),AC280,AB280),
IF($D280="Pénétro.",
IF(OR($E280=3,$E280=1,$E280=4),AC280,AB280))),IF($D280="Pressio.",
IF($E280=3,AC280,AB280),
IF($D280="Pénétro.",
IF($E280=4,AC280,AB280))))</f>
        <v>#N/A</v>
      </c>
      <c r="AE280" s="31">
        <v>0</v>
      </c>
      <c r="AF280" s="102" t="e">
        <f>IF(NDC!$H$10="Oui",(VLOOKUP($B$3,'Coeff EC7'!$T$39:$X$59,2,0)*AD280+VLOOKUP($B$3,'Coeff EC7'!$T$65:$X$85,2,0)*Model0.1T!AE280)/1.5,PI()*AB$12*$Q280*($B280-$B279)*0.15/10+AF279)</f>
        <v>#N/A</v>
      </c>
      <c r="AG280" s="102" t="e">
        <f>(VLOOKUP($B$3,'Coeff EC7'!$T$39:$X$59,3,0)*AD280+VLOOKUP($B$3,'Coeff EC7'!$T$65:$X$85,3,0)*Model0.1T!AE280)/1.1</f>
        <v>#N/A</v>
      </c>
      <c r="AH280" s="102" t="e">
        <f t="shared" si="468"/>
        <v>#N/A</v>
      </c>
      <c r="AI280" s="102" t="e">
        <f t="shared" si="469"/>
        <v>#N/A</v>
      </c>
      <c r="AJ280" s="414" t="e">
        <f>IF(AND(AF280&gt;NDC!$C$63,AG280&gt;NDC!$C$65,AH280&gt;NDC!$D$73,AI280&gt;NDC!$D$74,$B280&gt;NDC!$H$22-0.1+MIN(3*$AJ$12,1.5)),0,1)</f>
        <v>#N/A</v>
      </c>
      <c r="AK280" s="86" t="b">
        <f t="shared" si="439"/>
        <v>0</v>
      </c>
      <c r="AL280" s="86">
        <f t="shared" si="470"/>
        <v>0.5</v>
      </c>
      <c r="AM280" s="86">
        <f t="shared" si="440"/>
        <v>0.5</v>
      </c>
      <c r="AN280" s="30" t="e">
        <f t="shared" ca="1" si="471"/>
        <v>#DIV/0!</v>
      </c>
      <c r="AO280" s="85" t="e">
        <f ca="1">IF(U280&lt;=Hypothèses!$V$7,Hypothèses!$W$7,IF(U280&lt;=Hypothèses!$V$8,Hypothèses!$W$8,IF(U280&lt;=Hypothèses!$V$9,Hypothèses!$W$9,IF(U280&lt;=Hypothèses!$V$10,Hypothèses!$W$10,IF(U280&lt;=Hypothèses!$V$11,Hypothèses!$W$11,IF(U280&lt;=Hypothèses!$V$12,Hypothèses!$W$12,IF(U280&lt;=Hypothèses!$V$13,Hypothèses!$W$13,IF(U280&lt;=Hypothèses!$V$14,Hypothèses!$W$14,IF(U280&lt;=Hypothèses!$V$15,Hypothèses!$W$15,IF(U280&lt;=Hypothèses!$V$16,Hypothèses!$W$16,IF(U280&lt;=Hypothèses!$V$17,Hypothèses!$W$17,IF(U280&lt;=Hypothèses!$V$18,Hypothèses!$W$18,""))))))))))))</f>
        <v>#DIV/0!</v>
      </c>
      <c r="AP280" s="87" t="e">
        <f t="shared" ca="1" si="517"/>
        <v>#DIV/0!</v>
      </c>
      <c r="AQ280" s="88" t="e">
        <f ca="1">IF(U280&lt;=Hypothèses!$V$7,Hypothèses!$X$7,IF(U280&lt;=Hypothèses!$V$8,Hypothèses!$X$8,IF(U280&lt;=Hypothèses!$V$9,Hypothèses!$X$9,IF(U280&lt;=Hypothèses!$V$10,Hypothèses!$X$10,IF(U280&lt;=Hypothèses!$V$11,Hypothèses!$X$11,IF(U280&lt;=Hypothèses!$V$12,Hypothèses!$X$12,IF(U280&lt;=Hypothèses!$V$13,Hypothèses!$X$13,IF(U280&lt;=Hypothèses!$V$14,Hypothèses!$X$14,IF(U280&lt;=Hypothèses!$V$15,Hypothèses!$X$15,IF(U280&lt;=Hypothèses!$V$16,Hypothèses!$X$16,IF(U280&lt;=Hypothèses!$U$17,Hypothèses!$W$17,IF(U280&lt;=Hypothèses!$U$18,Hypothèses!$W$18,""))))))))))))</f>
        <v>#DIV/0!</v>
      </c>
      <c r="AR280" s="95" t="e">
        <f t="shared" ca="1" si="472"/>
        <v>#DIV/0!</v>
      </c>
      <c r="AS280" s="101">
        <f t="shared" si="524"/>
        <v>0</v>
      </c>
      <c r="AT280" s="91">
        <f t="shared" si="441"/>
        <v>0</v>
      </c>
      <c r="AU280" s="30" t="e">
        <f t="shared" si="502"/>
        <v>#N/A</v>
      </c>
      <c r="AV280" s="30" t="e">
        <f t="shared" si="503"/>
        <v>#N/A</v>
      </c>
      <c r="AW280" s="31" t="e">
        <f>IF(OR(Hypothèses!$B$4=17,Hypothèses!$B$4=18,Hypothèses!$B$4=19,Hypothèses!$B$4=20),
IF($D280="Pressio.",
IF(OR($E280=3,$E280=1,$E280=4),AV280,AU280),
IF($D280="Pénétro.",
IF(OR($E280=3,$E280=1,$E280=4),AV280,AU280))),IF($D280="Pressio.",
IF($E280=3,AV280,AU280),
IF($D280="Pénétro.",
IF($E280=4,AV280,AU280))))</f>
        <v>#N/A</v>
      </c>
      <c r="AX280" s="31">
        <v>0</v>
      </c>
      <c r="AY280" s="102" t="e">
        <f>IF(NDC!$H$10="Oui",(VLOOKUP($B$3,'Coeff EC7'!$T$39:$X$59,2,0)*AW280+VLOOKUP($B$3,'Coeff EC7'!$T$65:$X$85,2,0)*Model0.1T!AX280)/1.5,PI()*AU$12*$Q280*($B280-$B279)*0.15/10+AY279)</f>
        <v>#N/A</v>
      </c>
      <c r="AZ280" s="102" t="e">
        <f>(VLOOKUP($B$3,'Coeff EC7'!$T$39:$X$59,3,0)*AW280+VLOOKUP($B$3,'Coeff EC7'!$T$65:$X$85,3,0)*Model0.1T!AX280)/1.1</f>
        <v>#N/A</v>
      </c>
      <c r="BA280" s="102" t="e">
        <f t="shared" si="473"/>
        <v>#N/A</v>
      </c>
      <c r="BB280" s="102" t="e">
        <f t="shared" si="474"/>
        <v>#N/A</v>
      </c>
      <c r="BC280" s="414" t="e">
        <f>IF(AND(AY280&gt;NDC!$C$63,AZ280&gt;NDC!$C$65,BA280&gt;NDC!$D$73,BB280&gt;NDC!$D$74,$B280&gt;NDC!$H$22-0.1+MIN(3*BC$12,1.5)),0,1)</f>
        <v>#N/A</v>
      </c>
      <c r="BD280" s="86" t="b">
        <f t="shared" si="442"/>
        <v>0</v>
      </c>
      <c r="BE280" s="86">
        <f t="shared" si="475"/>
        <v>0.5</v>
      </c>
      <c r="BF280" s="86">
        <f t="shared" si="443"/>
        <v>0.5</v>
      </c>
      <c r="BG280" s="30" t="e">
        <f t="shared" ca="1" si="476"/>
        <v>#DIV/0!</v>
      </c>
      <c r="BH280" s="85" t="e">
        <f ca="1">IF(AN280&lt;=Hypothèses!$V$7,Hypothèses!$W$7,IF(AN280&lt;=Hypothèses!$V$8,Hypothèses!$W$8,IF(AN280&lt;=Hypothèses!$V$9,Hypothèses!$W$9,IF(AN280&lt;=Hypothèses!$V$10,Hypothèses!$W$10,IF(AN280&lt;=Hypothèses!$V$11,Hypothèses!$W$11,IF(AN280&lt;=Hypothèses!$V$12,Hypothèses!$W$12,IF(AN280&lt;=Hypothèses!$V$13,Hypothèses!$W$13,IF(AN280&lt;=Hypothèses!$V$14,Hypothèses!$W$14,IF(AN280&lt;=Hypothèses!$V$15,Hypothèses!$W$15,IF(AN280&lt;=Hypothèses!$V$16,Hypothèses!$W$16,IF(AN280&lt;=Hypothèses!$V$17,Hypothèses!$W$17,IF(AN280&lt;=Hypothèses!$V$18,Hypothèses!$W$18,""))))))))))))</f>
        <v>#DIV/0!</v>
      </c>
      <c r="BI280" s="87" t="e">
        <f t="shared" ca="1" si="518"/>
        <v>#DIV/0!</v>
      </c>
      <c r="BJ280" s="88" t="e">
        <f ca="1">IF(AN280&lt;=Hypothèses!$V$7,Hypothèses!$X$7,IF(AN280&lt;=Hypothèses!$V$8,Hypothèses!$X$8,IF(AN280&lt;=Hypothèses!$V$9,Hypothèses!$X$9,IF(AN280&lt;=Hypothèses!$V$10,Hypothèses!$X$10,IF(AN280&lt;=Hypothèses!$V$11,Hypothèses!$X$11,IF(AN280&lt;=Hypothèses!$V$12,Hypothèses!$X$12,IF(AN280&lt;=Hypothèses!$V$13,Hypothèses!$X$13,IF(AN280&lt;=Hypothèses!$V$14,Hypothèses!$X$14,IF(AN280&lt;=Hypothèses!$V$15,Hypothèses!$X$15,IF(AN280&lt;=Hypothèses!$V$16,Hypothèses!$X$16,IF(AN280&lt;=Hypothèses!$U$17,Hypothèses!$W$17,IF(AN280&lt;=Hypothèses!$U$18,Hypothèses!$W$18,""))))))))))))</f>
        <v>#DIV/0!</v>
      </c>
      <c r="BK280" s="95" t="e">
        <f t="shared" ca="1" si="477"/>
        <v>#DIV/0!</v>
      </c>
      <c r="BL280" s="101">
        <f t="shared" si="525"/>
        <v>0</v>
      </c>
      <c r="BM280" s="91">
        <f t="shared" si="444"/>
        <v>0</v>
      </c>
      <c r="BN280" s="30" t="e">
        <f t="shared" si="504"/>
        <v>#N/A</v>
      </c>
      <c r="BO280" s="30" t="e">
        <f t="shared" si="505"/>
        <v>#N/A</v>
      </c>
      <c r="BP280" s="31" t="e">
        <f>IF(OR(Hypothèses!$B$4=17,Hypothèses!$B$4=18,Hypothèses!$B$4=19,Hypothèses!$B$4=20),
IF($D280="Pressio.",
IF(OR($E280=3,$E280=1,$E280=4),BO280,BN280),
IF($D280="Pénétro.",
IF(OR($E280=3,$E280=1,$E280=4),BO280,BN280))),IF($D280="Pressio.",
IF($E280=3,BO280,BN280),
IF($D280="Pénétro.",
IF($E280=4,BO280,BN280))))</f>
        <v>#N/A</v>
      </c>
      <c r="BQ280" s="31">
        <v>0</v>
      </c>
      <c r="BR280" s="102" t="e">
        <f>IF(NDC!$H$10="Oui",(VLOOKUP($B$3,'Coeff EC7'!$T$39:$X$59,2,0)*BP280+VLOOKUP($B$3,'Coeff EC7'!$T$65:$X$85,2,0)*Model0.1T!BQ280)/1.5,PI()*BN$12*$Q280*($B280-$B279)*0.15/10+BR279)</f>
        <v>#N/A</v>
      </c>
      <c r="BS280" s="102" t="e">
        <f>(VLOOKUP($B$3,'Coeff EC7'!$T$39:$X$59,3,0)*BP280+VLOOKUP($B$3,'Coeff EC7'!$T$65:$X$85,3,0)*Model0.1T!BQ280)/1.1</f>
        <v>#N/A</v>
      </c>
      <c r="BT280" s="102" t="e">
        <f t="shared" si="478"/>
        <v>#N/A</v>
      </c>
      <c r="BU280" s="102" t="e">
        <f t="shared" si="479"/>
        <v>#N/A</v>
      </c>
      <c r="BV280" s="414" t="e">
        <f>IF(AND(BR280&gt;NDC!$C$63,BS280&gt;NDC!$C$65,BT280&gt;NDC!$D$73,BU280&gt;NDC!$D$74,$B280&gt;NDC!$H$22-0.1+MIN(3*BV$12,1.5)),0,1)</f>
        <v>#N/A</v>
      </c>
      <c r="BW280" s="86" t="b">
        <f t="shared" si="445"/>
        <v>0</v>
      </c>
      <c r="BX280" s="86">
        <f t="shared" si="446"/>
        <v>0.5</v>
      </c>
      <c r="BY280" s="86">
        <f t="shared" si="447"/>
        <v>0.5</v>
      </c>
      <c r="BZ280" s="30" t="e">
        <f t="shared" ca="1" si="480"/>
        <v>#DIV/0!</v>
      </c>
      <c r="CA280" s="85" t="e">
        <f ca="1">IF(BG280&lt;=Hypothèses!$V$7,Hypothèses!$W$7,IF(BG280&lt;=Hypothèses!$V$8,Hypothèses!$W$8,IF(BG280&lt;=Hypothèses!$V$9,Hypothèses!$W$9,IF(BG280&lt;=Hypothèses!$V$10,Hypothèses!$W$10,IF(BG280&lt;=Hypothèses!$V$11,Hypothèses!$W$11,IF(BG280&lt;=Hypothèses!$V$12,Hypothèses!$W$12,IF(BG280&lt;=Hypothèses!$V$13,Hypothèses!$W$13,IF(BG280&lt;=Hypothèses!$V$14,Hypothèses!$W$14,IF(BG280&lt;=Hypothèses!$V$15,Hypothèses!$W$15,IF(BG280&lt;=Hypothèses!$V$16,Hypothèses!$W$16,IF(BG280&lt;=Hypothèses!$V$17,Hypothèses!$W$17,IF(BG280&lt;=Hypothèses!$V$18,Hypothèses!$W$18,""))))))))))))</f>
        <v>#DIV/0!</v>
      </c>
      <c r="CB280" s="87" t="e">
        <f t="shared" ca="1" si="519"/>
        <v>#DIV/0!</v>
      </c>
      <c r="CC280" s="88" t="e">
        <f ca="1">IF(BG280&lt;=Hypothèses!$V$7,Hypothèses!$X$7,IF(BG280&lt;=Hypothèses!$V$8,Hypothèses!$X$8,IF(BG280&lt;=Hypothèses!$V$9,Hypothèses!$X$9,IF(BG280&lt;=Hypothèses!$V$10,Hypothèses!$X$10,IF(BG280&lt;=Hypothèses!$V$11,Hypothèses!$X$11,IF(BG280&lt;=Hypothèses!$V$12,Hypothèses!$X$12,IF(BG280&lt;=Hypothèses!$V$13,Hypothèses!$X$13,IF(BG280&lt;=Hypothèses!$V$14,Hypothèses!$X$14,IF(BG280&lt;=Hypothèses!$V$15,Hypothèses!$X$15,IF(BG280&lt;=Hypothèses!$V$16,Hypothèses!$X$16,IF(BG280&lt;=Hypothèses!$U$17,Hypothèses!$W$17,IF(BG280&lt;=Hypothèses!$U$18,Hypothèses!$W$18,""))))))))))))</f>
        <v>#DIV/0!</v>
      </c>
      <c r="CD280" s="95" t="e">
        <f t="shared" ca="1" si="481"/>
        <v>#DIV/0!</v>
      </c>
      <c r="CE280" s="101">
        <f t="shared" si="526"/>
        <v>0</v>
      </c>
      <c r="CF280" s="91">
        <f t="shared" si="448"/>
        <v>0</v>
      </c>
      <c r="CG280" s="30" t="e">
        <f t="shared" si="506"/>
        <v>#N/A</v>
      </c>
      <c r="CH280" s="30" t="e">
        <f t="shared" si="507"/>
        <v>#N/A</v>
      </c>
      <c r="CI280" s="31" t="e">
        <f>IF(OR(Hypothèses!$B$4=17,Hypothèses!$B$4=18,Hypothèses!$B$4=19,Hypothèses!$B$4=20),
IF($D280="Pressio.",
IF(OR($E280=3,$E280=1,$E280=4),CH280,CG280),
IF($D280="Pénétro.",
IF(OR($E280=3,$E280=1,$E280=4),CH280,CG280))),IF($D280="Pressio.",
IF($E280=3,CH280,CG280),
IF($D280="Pénétro.",
IF($E280=4,CH280,CG280))))</f>
        <v>#N/A</v>
      </c>
      <c r="CJ280" s="31">
        <v>0</v>
      </c>
      <c r="CK280" s="102" t="e">
        <f>IF(NDC!$H$10="Oui",(VLOOKUP($B$3,'Coeff EC7'!$T$39:$X$59,2,0)*CI280+VLOOKUP($B$3,'Coeff EC7'!$T$65:$X$85,2,0)*Model0.1T!CJ280)/1.5,PI()*CG$12*$Q280*($B280-$B279)*0.15/10+CK279)</f>
        <v>#N/A</v>
      </c>
      <c r="CL280" s="102" t="e">
        <f>(VLOOKUP($B$3,'Coeff EC7'!$T$39:$X$59,3,0)*CI280+VLOOKUP($B$3,'Coeff EC7'!$T$65:$X$85,3,0)*Model0.1T!CJ280)/1.1</f>
        <v>#N/A</v>
      </c>
      <c r="CM280" s="102" t="e">
        <f t="shared" si="482"/>
        <v>#N/A</v>
      </c>
      <c r="CN280" s="102" t="e">
        <f t="shared" si="483"/>
        <v>#N/A</v>
      </c>
      <c r="CO280" s="414" t="e">
        <f>IF(AND(CK280&gt;NDC!$C$63,CL280&gt;NDC!$C$65,CM280&gt;NDC!$D$73,CN280&gt;NDC!$D$74,$B280&gt;NDC!$H$22-0.1+MIN(3*CO$12,1.5)),0,1)</f>
        <v>#N/A</v>
      </c>
      <c r="CP280" s="86" t="b">
        <f t="shared" si="449"/>
        <v>0</v>
      </c>
      <c r="CQ280" s="86">
        <f t="shared" si="450"/>
        <v>0.5</v>
      </c>
      <c r="CR280" s="86">
        <f t="shared" si="451"/>
        <v>0.5</v>
      </c>
      <c r="CS280" s="30" t="e">
        <f t="shared" ca="1" si="484"/>
        <v>#DIV/0!</v>
      </c>
      <c r="CT280" s="85" t="e">
        <f ca="1">IF(BZ280&lt;=Hypothèses!$V$7,Hypothèses!$W$7,IF(BZ280&lt;=Hypothèses!$V$8,Hypothèses!$W$8,IF(BZ280&lt;=Hypothèses!$V$9,Hypothèses!$W$9,IF(BZ280&lt;=Hypothèses!$V$10,Hypothèses!$W$10,IF(BZ280&lt;=Hypothèses!$V$11,Hypothèses!$W$11,IF(BZ280&lt;=Hypothèses!$V$12,Hypothèses!$W$12,IF(BZ280&lt;=Hypothèses!$V$13,Hypothèses!$W$13,IF(BZ280&lt;=Hypothèses!$V$14,Hypothèses!$W$14,IF(BZ280&lt;=Hypothèses!$V$15,Hypothèses!$W$15,IF(BZ280&lt;=Hypothèses!$V$16,Hypothèses!$W$16,IF(BZ280&lt;=Hypothèses!$V$17,Hypothèses!$W$17,IF(BZ280&lt;=Hypothèses!$V$18,Hypothèses!$W$18,""))))))))))))</f>
        <v>#DIV/0!</v>
      </c>
      <c r="CU280" s="87" t="e">
        <f t="shared" ca="1" si="520"/>
        <v>#DIV/0!</v>
      </c>
      <c r="CV280" s="88" t="e">
        <f ca="1">IF(BZ280&lt;=Hypothèses!$V$7,Hypothèses!$X$7,IF(BZ280&lt;=Hypothèses!$V$8,Hypothèses!$X$8,IF(BZ280&lt;=Hypothèses!$V$9,Hypothèses!$X$9,IF(BZ280&lt;=Hypothèses!$V$10,Hypothèses!$X$10,IF(BZ280&lt;=Hypothèses!$V$11,Hypothèses!$X$11,IF(BZ280&lt;=Hypothèses!$V$12,Hypothèses!$X$12,IF(BZ280&lt;=Hypothèses!$V$13,Hypothèses!$X$13,IF(BZ280&lt;=Hypothèses!$V$14,Hypothèses!$X$14,IF(BZ280&lt;=Hypothèses!$V$15,Hypothèses!$X$15,IF(BZ280&lt;=Hypothèses!$V$16,Hypothèses!$X$16,IF(BZ280&lt;=Hypothèses!$U$17,Hypothèses!$W$17,IF(BZ280&lt;=Hypothèses!$U$18,Hypothèses!$W$18,""))))))))))))</f>
        <v>#DIV/0!</v>
      </c>
      <c r="CW280" s="95" t="e">
        <f t="shared" ca="1" si="485"/>
        <v>#DIV/0!</v>
      </c>
      <c r="CX280" s="101">
        <f t="shared" si="527"/>
        <v>0</v>
      </c>
      <c r="CY280" s="91">
        <f t="shared" si="452"/>
        <v>0</v>
      </c>
      <c r="CZ280" s="30" t="e">
        <f t="shared" si="508"/>
        <v>#N/A</v>
      </c>
      <c r="DA280" s="30" t="e">
        <f t="shared" si="509"/>
        <v>#N/A</v>
      </c>
      <c r="DB280" s="31" t="e">
        <f>IF(OR(Hypothèses!$B$4=17,Hypothèses!$B$4=18,Hypothèses!$B$4=19,Hypothèses!$B$4=20),
IF($D280="Pressio.",
IF(OR($E280=3,$E280=1,$E280=4),DA280,CZ280),
IF($D280="Pénétro.",
IF(OR($E280=3,$E280=1,$E280=4),DA280,CZ280))),IF($D280="Pressio.",
IF($E280=3,DA280,CZ280),
IF($D280="Pénétro.",
IF($E280=4,DA280,CZ280))))</f>
        <v>#N/A</v>
      </c>
      <c r="DC280" s="31">
        <v>0</v>
      </c>
      <c r="DD280" s="102" t="e">
        <f>IF(NDC!$H$10="Oui",(VLOOKUP($B$3,'Coeff EC7'!$T$39:$X$59,2,0)*DB280+VLOOKUP($B$3,'Coeff EC7'!$T$65:$X$85,2,0)*Model0.1T!DC280)/1.5,PI()*CZ$12*$Q280*($B280-$B279)*0.15/10+DD279)</f>
        <v>#N/A</v>
      </c>
      <c r="DE280" s="102" t="e">
        <f>(VLOOKUP($B$3,'Coeff EC7'!$T$39:$X$59,3,0)*DB280+VLOOKUP($B$3,'Coeff EC7'!$T$65:$X$85,3,0)*Model0.1T!DC280)/1.1</f>
        <v>#N/A</v>
      </c>
      <c r="DF280" s="102" t="e">
        <f t="shared" si="486"/>
        <v>#N/A</v>
      </c>
      <c r="DG280" s="102" t="e">
        <f t="shared" si="487"/>
        <v>#N/A</v>
      </c>
      <c r="DH280" s="414" t="e">
        <f>IF(AND(DD280&gt;NDC!$C$63,DE280&gt;NDC!$C$65,DF280&gt;NDC!$D$73,DG280&gt;NDC!$D$74,$B280&gt;NDC!$H$22-0.1+MIN(3*DH$12,1.5)),0,1)</f>
        <v>#N/A</v>
      </c>
      <c r="DI280" s="86" t="b">
        <f t="shared" si="453"/>
        <v>0</v>
      </c>
      <c r="DJ280" s="86">
        <f t="shared" si="454"/>
        <v>0.5</v>
      </c>
      <c r="DK280" s="86">
        <f t="shared" si="455"/>
        <v>0.5</v>
      </c>
      <c r="DL280" s="30" t="e">
        <f t="shared" ca="1" si="488"/>
        <v>#DIV/0!</v>
      </c>
      <c r="DM280" s="85" t="e">
        <f ca="1">IF(CS280&lt;=Hypothèses!$V$7,Hypothèses!$W$7,IF(CS280&lt;=Hypothèses!$V$8,Hypothèses!$W$8,IF(CS280&lt;=Hypothèses!$V$9,Hypothèses!$W$9,IF(CS280&lt;=Hypothèses!$V$10,Hypothèses!$W$10,IF(CS280&lt;=Hypothèses!$V$11,Hypothèses!$W$11,IF(CS280&lt;=Hypothèses!$V$12,Hypothèses!$W$12,IF(CS280&lt;=Hypothèses!$V$13,Hypothèses!$W$13,IF(CS280&lt;=Hypothèses!$V$14,Hypothèses!$W$14,IF(CS280&lt;=Hypothèses!$V$15,Hypothèses!$W$15,IF(CS280&lt;=Hypothèses!$V$16,Hypothèses!$W$16,IF(CS280&lt;=Hypothèses!$V$17,Hypothèses!$W$17,IF(CS280&lt;=Hypothèses!$V$18,Hypothèses!$W$18,""))))))))))))</f>
        <v>#DIV/0!</v>
      </c>
      <c r="DN280" s="87" t="e">
        <f t="shared" ca="1" si="521"/>
        <v>#DIV/0!</v>
      </c>
      <c r="DO280" s="88" t="e">
        <f ca="1">IF(CS280&lt;=Hypothèses!$V$7,Hypothèses!$X$7,IF(CS280&lt;=Hypothèses!$V$8,Hypothèses!$X$8,IF(CS280&lt;=Hypothèses!$V$9,Hypothèses!$X$9,IF(CS280&lt;=Hypothèses!$V$10,Hypothèses!$X$10,IF(CS280&lt;=Hypothèses!$V$11,Hypothèses!$X$11,IF(CS280&lt;=Hypothèses!$V$12,Hypothèses!$X$12,IF(CS280&lt;=Hypothèses!$V$13,Hypothèses!$X$13,IF(CS280&lt;=Hypothèses!$V$14,Hypothèses!$X$14,IF(CS280&lt;=Hypothèses!$V$15,Hypothèses!$X$15,IF(CS280&lt;=Hypothèses!$V$16,Hypothèses!$X$16,IF(CS280&lt;=Hypothèses!$U$17,Hypothèses!$W$17,IF(CS280&lt;=Hypothèses!$U$18,Hypothèses!$W$18,""))))))))))))</f>
        <v>#DIV/0!</v>
      </c>
      <c r="DP280" s="95" t="e">
        <f t="shared" ca="1" si="489"/>
        <v>#DIV/0!</v>
      </c>
      <c r="DQ280" s="101">
        <f t="shared" si="528"/>
        <v>0</v>
      </c>
      <c r="DR280" s="91">
        <f t="shared" si="456"/>
        <v>0</v>
      </c>
      <c r="DS280" s="30" t="e">
        <f t="shared" si="510"/>
        <v>#N/A</v>
      </c>
      <c r="DT280" s="30" t="e">
        <f t="shared" si="511"/>
        <v>#N/A</v>
      </c>
      <c r="DU280" s="31" t="e">
        <f>IF(OR(Hypothèses!$B$4=17,Hypothèses!$B$4=18,Hypothèses!$B$4=19,Hypothèses!$B$4=20),
IF($D280="Pressio.",
IF(OR($E280=3,$E280=1,$E280=4),DT280,DS280),
IF($D280="Pénétro.",
IF(OR($E280=3,$E280=1,$E280=4),DT280,DS280))),IF($D280="Pressio.",
IF($E280=3,DT280,DS280),
IF($D280="Pénétro.",
IF($E280=4,DT280,DS280))))</f>
        <v>#N/A</v>
      </c>
      <c r="DV280" s="31">
        <v>0</v>
      </c>
      <c r="DW280" s="102" t="e">
        <f>IF(NDC!$H$10="Oui",(VLOOKUP($B$3,'Coeff EC7'!$T$39:$X$59,2,0)*DU280+VLOOKUP($B$3,'Coeff EC7'!$T$65:$X$85,2,0)*Model0.1T!DV280)/1.5,PI()*DS$12*$Q280*($B280-$B279)*0.15/10+DW279)</f>
        <v>#N/A</v>
      </c>
      <c r="DX280" s="102" t="e">
        <f>(VLOOKUP($B$3,'Coeff EC7'!$T$39:$X$59,3,0)*DU280+VLOOKUP($B$3,'Coeff EC7'!$T$65:$X$85,3,0)*Model0.1T!DV280)/1.1</f>
        <v>#N/A</v>
      </c>
      <c r="DY280" s="102" t="e">
        <f t="shared" si="490"/>
        <v>#N/A</v>
      </c>
      <c r="DZ280" s="102" t="e">
        <f t="shared" si="491"/>
        <v>#N/A</v>
      </c>
      <c r="EA280" s="414" t="e">
        <f>IF(AND(DW280&gt;NDC!$C$63,DX280&gt;NDC!$C$65,DY280&gt;NDC!$D$73,DZ280&gt;NDC!$D$74,$B280&gt;NDC!$H$22-0.1+MIN(3*EA$12,1.5)),0,1)</f>
        <v>#N/A</v>
      </c>
      <c r="EB280" s="86" t="b">
        <f t="shared" si="457"/>
        <v>0</v>
      </c>
      <c r="EC280" s="418">
        <f t="shared" si="458"/>
        <v>0.51</v>
      </c>
      <c r="ED280" s="86">
        <f t="shared" si="459"/>
        <v>0.51</v>
      </c>
      <c r="EE280" s="30" t="e">
        <f t="shared" ca="1" si="492"/>
        <v>#DIV/0!</v>
      </c>
      <c r="EF280" s="85" t="e">
        <f ca="1">IF(DL280&lt;=Hypothèses!$V$7,Hypothèses!$W$7,IF(DL280&lt;=Hypothèses!$V$8,Hypothèses!$W$8,IF(DL280&lt;=Hypothèses!$V$9,Hypothèses!$W$9,IF(DL280&lt;=Hypothèses!$V$10,Hypothèses!$W$10,IF(DL280&lt;=Hypothèses!$V$11,Hypothèses!$W$11,IF(DL280&lt;=Hypothèses!$V$12,Hypothèses!$W$12,IF(DL280&lt;=Hypothèses!$V$13,Hypothèses!$W$13,IF(DL280&lt;=Hypothèses!$V$14,Hypothèses!$W$14,IF(DL280&lt;=Hypothèses!$V$15,Hypothèses!$W$15,IF(DL280&lt;=Hypothèses!$V$16,Hypothèses!$W$16,IF(DL280&lt;=Hypothèses!$V$17,Hypothèses!$W$17,IF(DL280&lt;=Hypothèses!$V$18,Hypothèses!$W$18,""))))))))))))</f>
        <v>#DIV/0!</v>
      </c>
      <c r="EG280" s="87" t="e">
        <f t="shared" ca="1" si="522"/>
        <v>#DIV/0!</v>
      </c>
      <c r="EH280" s="88" t="e">
        <f ca="1">IF(DL280&lt;=Hypothèses!$V$7,Hypothèses!$X$7,IF(DL280&lt;=Hypothèses!$V$8,Hypothèses!$X$8,IF(DL280&lt;=Hypothèses!$V$9,Hypothèses!$X$9,IF(DL280&lt;=Hypothèses!$V$10,Hypothèses!$X$10,IF(DL280&lt;=Hypothèses!$V$11,Hypothèses!$X$11,IF(DL280&lt;=Hypothèses!$V$12,Hypothèses!$X$12,IF(DL280&lt;=Hypothèses!$V$13,Hypothèses!$X$13,IF(DL280&lt;=Hypothèses!$V$14,Hypothèses!$X$14,IF(DL280&lt;=Hypothèses!$V$15,Hypothèses!$X$15,IF(DL280&lt;=Hypothèses!$V$16,Hypothèses!$X$16,IF(DL280&lt;=Hypothèses!$U$17,Hypothèses!$W$17,IF(DL280&lt;=Hypothèses!$U$18,Hypothèses!$W$18,""))))))))))))</f>
        <v>#DIV/0!</v>
      </c>
      <c r="EI280" s="95" t="e">
        <f t="shared" ca="1" si="493"/>
        <v>#DIV/0!</v>
      </c>
      <c r="EJ280" s="101">
        <f t="shared" si="529"/>
        <v>0</v>
      </c>
      <c r="EK280" s="91">
        <f t="shared" si="460"/>
        <v>0</v>
      </c>
      <c r="EL280" s="30" t="e">
        <f t="shared" si="512"/>
        <v>#N/A</v>
      </c>
      <c r="EM280" s="30" t="e">
        <f t="shared" si="513"/>
        <v>#N/A</v>
      </c>
      <c r="EN280" s="31" t="e">
        <f>IF(OR(Hypothèses!$B$4=17,Hypothèses!$B$4=18,Hypothèses!$B$4=19,Hypothèses!$B$4=20),
IF($D280="Pressio.",
IF(OR($E280=3,$E280=1,$E280=4),EM280,EL280),
IF($D280="Pénétro.",
IF(OR($E280=3,$E280=1,$E280=4),EM280,EL280))),IF($D280="Pressio.",
IF($E280=3,EM280,EL280),
IF($D280="Pénétro.",
IF($E280=4,EM280,EL280))))</f>
        <v>#N/A</v>
      </c>
      <c r="EO280" s="31">
        <v>0</v>
      </c>
      <c r="EP280" s="102" t="e">
        <f>IF(NDC!$H$10="Oui",(VLOOKUP($B$3,'Coeff EC7'!$T$39:$X$59,2,0)*EN280+VLOOKUP($B$3,'Coeff EC7'!$T$65:$X$85,2,0)*Model0.1T!EO280)/1.5,PI()*EL$12*$Q280*($B280-$B279)*0.15/10+EP279)</f>
        <v>#N/A</v>
      </c>
      <c r="EQ280" s="102" t="e">
        <f>(VLOOKUP($B$3,'Coeff EC7'!$T$39:$X$59,3,0)*EN280+VLOOKUP($B$3,'Coeff EC7'!$T$65:$X$85,3,0)*Model0.1T!EO280)/1.1</f>
        <v>#N/A</v>
      </c>
      <c r="ER280" s="102" t="e">
        <f t="shared" si="494"/>
        <v>#N/A</v>
      </c>
      <c r="ES280" s="102" t="e">
        <f t="shared" si="495"/>
        <v>#N/A</v>
      </c>
      <c r="ET280" s="414" t="e">
        <f>IF(AND(EP280&gt;NDC!$C$63,EQ280&gt;NDC!$C$65,ER280&gt;NDC!$D$73,ES280&gt;NDC!$D$74,$B280&gt;NDC!$H$22-0.1+MIN(3*ET$12,1.5)),0,1)</f>
        <v>#N/A</v>
      </c>
      <c r="EU280" s="86" t="b">
        <f t="shared" si="461"/>
        <v>0</v>
      </c>
      <c r="EV280" s="86">
        <f t="shared" si="462"/>
        <v>0.61</v>
      </c>
      <c r="EW280" s="86">
        <f t="shared" si="463"/>
        <v>0.61</v>
      </c>
      <c r="EX280" s="30" t="e">
        <f t="shared" ca="1" si="496"/>
        <v>#DIV/0!</v>
      </c>
      <c r="EY280" s="85" t="e">
        <f ca="1">IF(EE280&lt;=Hypothèses!$V$7,Hypothèses!$W$7,IF(EE280&lt;=Hypothèses!$V$8,Hypothèses!$W$8,IF(EE280&lt;=Hypothèses!$V$9,Hypothèses!$W$9,IF(EE280&lt;=Hypothèses!$V$10,Hypothèses!$W$10,IF(EE280&lt;=Hypothèses!$V$11,Hypothèses!$W$11,IF(EE280&lt;=Hypothèses!$V$12,Hypothèses!$W$12,IF(EE280&lt;=Hypothèses!$V$13,Hypothèses!$W$13,IF(EE280&lt;=Hypothèses!$V$14,Hypothèses!$W$14,IF(EE280&lt;=Hypothèses!$V$15,Hypothèses!$W$15,IF(EE280&lt;=Hypothèses!$V$16,Hypothèses!$W$16,IF(EE280&lt;=Hypothèses!$V$17,Hypothèses!$W$17,IF(EE280&lt;=Hypothèses!$V$18,Hypothèses!$W$18,""))))))))))))</f>
        <v>#DIV/0!</v>
      </c>
      <c r="EZ280" s="87" t="e">
        <f t="shared" ca="1" si="523"/>
        <v>#DIV/0!</v>
      </c>
      <c r="FA280" s="88" t="e">
        <f ca="1">IF(EE280&lt;=Hypothèses!$V$7,Hypothèses!$X$7,IF(EE280&lt;=Hypothèses!$V$8,Hypothèses!$X$8,IF(EE280&lt;=Hypothèses!$V$9,Hypothèses!$X$9,IF(EE280&lt;=Hypothèses!$V$10,Hypothèses!$X$10,IF(EE280&lt;=Hypothèses!$V$11,Hypothèses!$X$11,IF(EE280&lt;=Hypothèses!$V$12,Hypothèses!$X$12,IF(EE280&lt;=Hypothèses!$V$13,Hypothèses!$X$13,IF(EE280&lt;=Hypothèses!$V$14,Hypothèses!$X$14,IF(EE280&lt;=Hypothèses!$V$15,Hypothèses!$X$15,IF(EE280&lt;=Hypothèses!$V$16,Hypothèses!$X$16,IF(EE280&lt;=Hypothèses!$U$17,Hypothèses!$W$17,IF(EE280&lt;=Hypothèses!$U$18,Hypothèses!$W$18,""))))))))))))</f>
        <v>#DIV/0!</v>
      </c>
      <c r="FB280" s="95" t="e">
        <f t="shared" ca="1" si="497"/>
        <v>#DIV/0!</v>
      </c>
      <c r="FC280" s="101">
        <f t="shared" si="530"/>
        <v>0</v>
      </c>
      <c r="FD280" s="91">
        <f t="shared" si="464"/>
        <v>0</v>
      </c>
      <c r="FE280" s="30" t="e">
        <f t="shared" si="514"/>
        <v>#N/A</v>
      </c>
      <c r="FF280" s="30" t="e">
        <f t="shared" si="515"/>
        <v>#N/A</v>
      </c>
      <c r="FG280" s="31" t="e">
        <f>IF(OR(Hypothèses!$B$4=17,Hypothèses!$B$4=18,Hypothèses!$B$4=19,Hypothèses!$B$4=20),
IF($D280="Pressio.",
IF(OR($E280=3,$E280=1,$E280=4),FF280,FE280),
IF($D280="Pénétro.",
IF(OR($E280=3,$E280=1,$E280=4),FF280,FE280))),IF($D280="Pressio.",
IF($E280=3,FF280,FE280),
IF($D280="Pénétro.",
IF($E280=4,FF280,FE280))))</f>
        <v>#N/A</v>
      </c>
      <c r="FH280" s="31">
        <v>0</v>
      </c>
      <c r="FI280" s="102" t="e">
        <f>IF(NDC!$H$10="Oui",(VLOOKUP($B$3,'Coeff EC7'!$T$39:$X$59,2,0)*FG280+VLOOKUP($B$3,'Coeff EC7'!$T$65:$X$85,2,0)*Model0.1T!FH280)/1.5,PI()*FE$12*$Q280*($B280-$B279)*0.15/10+FI279)</f>
        <v>#N/A</v>
      </c>
      <c r="FJ280" s="102" t="e">
        <f>(VLOOKUP($B$3,'Coeff EC7'!$T$39:$X$59,3,0)*FG280+VLOOKUP($B$3,'Coeff EC7'!$T$65:$X$85,3,0)*Model0.1T!FH280)/1.1</f>
        <v>#N/A</v>
      </c>
      <c r="FK280" s="102" t="e">
        <f t="shared" si="498"/>
        <v>#N/A</v>
      </c>
      <c r="FL280" s="102" t="e">
        <f t="shared" si="499"/>
        <v>#N/A</v>
      </c>
      <c r="FM280" s="414" t="e">
        <f>IF(AND(FI280&gt;NDC!$C$63,FJ280&gt;NDC!$C$65,FK280&gt;NDC!$D$73,FL280&gt;NDC!$D$74,$B280&gt;NDC!$H$22-0.1+MIN(3*FM$12,1.5)),0,1)</f>
        <v>#N/A</v>
      </c>
    </row>
    <row r="281" spans="1:169">
      <c r="A281" s="96">
        <f t="shared" si="465"/>
        <v>73.200000000001523</v>
      </c>
      <c r="B281" s="97">
        <v>26.8</v>
      </c>
      <c r="C281" s="81">
        <f>IF(B281&lt;=Hypothèses!$C$7,Hypothèses!$A$7,IF(B281&lt;=Hypothèses!$C$8,Hypothèses!$A$8,IF(B281&lt;=Hypothèses!$C$9,Hypothèses!$A$9,IF(B281&lt;=Hypothèses!$C$10,Hypothèses!$A$10,IF(B281&lt;=Hypothèses!$C$11,Hypothèses!$A$11,IF(B281&lt;=Hypothèses!$C$12,Hypothèses!$A$12,IF(B281&lt;=Hypothèses!$C$13,Hypothèses!$A$13,IF(B281&lt;=Hypothèses!$C$14,Hypothèses!$A$14,IF(B281&lt;=Hypothèses!$C$15,Hypothèses!$A$15,IF(B281&lt;=Hypothèses!$C$16,Hypothèses!$A$16,IF(B281&lt;=Hypothèses!$C$17,Hypothèses!$A$17,IF(B281&lt;=Hypothèses!$C$18,Hypothèses!$A$18,C280))))))))))))</f>
        <v>11</v>
      </c>
      <c r="D281" s="82" t="str">
        <f>IF(B281&lt;=Hypothèses!$C$7,Hypothèses!$R$7,IF(B281&lt;=Hypothèses!$C$8,Hypothèses!$R$8,IF(B281&lt;=Hypothèses!$C$9,Hypothèses!$R$9,IF(B281&lt;=Hypothèses!$C$10,Hypothèses!$R$10,IF(B281&lt;=Hypothèses!$C$11,Hypothèses!$R$11,IF(B281&lt;=Hypothèses!$C$12,Hypothèses!$R$12,IF(B281&lt;=Hypothèses!$C$13,Hypothèses!$R$13,IF(B281&lt;=Hypothèses!$C$14,Hypothèses!$R$14,IF(B281&lt;=Hypothèses!$C$15,Hypothèses!$R$15,IF(B281&lt;=Hypothèses!$C$16,Hypothèses!$R$16,IF(B281&lt;=Hypothèses!$C$17,Hypothèses!$R$17,IF(B281&lt;=Hypothèses!$C$18,Hypothèses!$R$18,D280))))))))))))</f>
        <v>Pressio.</v>
      </c>
      <c r="E281" s="82" t="e">
        <f>IF(B281&lt;=Hypothèses!$C$7,Hypothèses!$G$7,IF(B281&lt;=Hypothèses!$C$8,Hypothèses!$G$8,IF(B281&lt;=Hypothèses!$C$9,Hypothèses!$G$9,IF(B281&lt;=Hypothèses!$C$10,Hypothèses!$G$10,IF(B281&lt;=Hypothèses!$C$11,Hypothèses!$G$11,IF(B281&lt;=Hypothèses!$C$12,Hypothèses!$G$12,IF(B281&lt;=Hypothèses!$C$13,Hypothèses!$G$13,IF(B281&lt;=Hypothèses!$C$14,Hypothèses!$G$14,IF(B281&lt;=Hypothèses!$C$15,Hypothèses!$G$15,IF(B281&lt;=Hypothèses!$C$16,Hypothèses!$G$16,IF(B281&lt;=Hypothèses!$C$17,Hypothèses!$G$17,IF(B281&lt;=Hypothèses!$C$18,Hypothèses!$G$18,E280))))))))))))</f>
        <v>#N/A</v>
      </c>
      <c r="F281" s="82" t="str">
        <f>IF(B281&lt;=Hypothèses!$C$7,Hypothèses!$F$7,IF(B281&lt;=Hypothèses!$C$8,Hypothèses!$F$8,IF(B281&lt;=Hypothèses!$C$9,Hypothèses!$F$9,IF(B281&lt;=Hypothèses!$C$10,Hypothèses!$F$10,IF(B281&lt;=Hypothèses!$C$11,Hypothèses!$F$11,IF(B281&lt;=Hypothèses!$C$12,Hypothèses!$F$12,IF(B281&lt;=Hypothèses!$C$13,Hypothèses!$F$13,IF(B281&lt;=Hypothèses!$C$14,Hypothèses!$F$14,IF(B281&lt;=Hypothèses!$C$15,Hypothèses!$F$15,IF(B281&lt;=Hypothèses!$C$16,Hypothèses!$F$16,IF(B281&lt;=Hypothèses!$C$17,Hypothèses!$F$17,IF(B281&lt;=Hypothèses!$C$18,Hypothèses!$F$18,F280))))))))))))</f>
        <v/>
      </c>
      <c r="G281" s="91">
        <f t="array" ref="G281">INDEX('Coeff EC7'!$U$7:$X$27,
MATCH(Model0.1T!$B$3,'Coeff EC7'!$T$7:$T$27,0),
MATCH(Model0.1T!$D281&amp;Model0.1T!$B$4,
'Coeff EC7'!$U$6:$X$6&amp;
'Coeff EC7'!$U$5:$X$5,0))</f>
        <v>1.4</v>
      </c>
      <c r="H281" s="91">
        <f t="array" ref="H281">INDEX('Coeff EC7'!$Y$7:$AB$27,
MATCH(Model0.1T!$B$3,'Coeff EC7'!$T$7:$T$27,0),
MATCH(Model0.1T!$D281&amp;Model0.1T!$B$4,
'Coeff EC7'!$Y$6:$AB$6&amp;
'Coeff EC7'!$Y$5:$AB$5,0))</f>
        <v>1.7</v>
      </c>
      <c r="I281" s="83">
        <v>0</v>
      </c>
      <c r="J281" s="91" t="e">
        <f t="array" ref="J281">INDEX('Coeff EC7'!$D$33:$Q$33,1,MATCH(D281&amp;E281,'Coeff EC7'!$D$31:$Q$31&amp;'Coeff EC7'!$D$32:$Q$32,0))</f>
        <v>#N/A</v>
      </c>
      <c r="K281" s="91" t="e">
        <f t="array" ref="K281">INDEX('Coeff EC7'!$D$34:$Q$34,1,MATCH(D281&amp;E281,'Coeff EC7'!$D$31:$Q$31&amp;'Coeff EC7'!$D$32:$Q$32,0))</f>
        <v>#N/A</v>
      </c>
      <c r="L281" s="91" t="e">
        <f t="array" ref="L281">INDEX('Coeff EC7'!$D$35:$Q$35,1,MATCH(D281&amp;E281,'Coeff EC7'!$D$31:$Q$31&amp;'Coeff EC7'!$D$32:$Q$32,0))</f>
        <v>#N/A</v>
      </c>
      <c r="M281" s="98" t="e">
        <f t="shared" si="431"/>
        <v>#N/A</v>
      </c>
      <c r="N281" s="99" t="e">
        <f t="array" ref="N281">INDEX('Coeff EC7'!$D$7:$Q$27,MATCH($B$3,'Coeff EC7'!$C$7:$C$27,0),MATCH(D281&amp;E281,'Coeff EC7'!$D$5:$Q$5&amp;'Coeff EC7'!$D$6:$Q$6,0))</f>
        <v>#N/A</v>
      </c>
      <c r="O281" s="99" t="e">
        <f t="array" ref="O281">INDEX('Coeff EC7'!$D$41:$Q$61,MATCH($B$3,'Coeff EC7'!$C$41:$C$61,0),MATCH(D281&amp;E281,'Coeff EC7'!$D$39:$Q$39&amp;'Coeff EC7'!$D$40:$Q$40,0))</f>
        <v>#N/A</v>
      </c>
      <c r="P281" s="30" t="e">
        <f t="shared" si="466"/>
        <v>#N/A</v>
      </c>
      <c r="Q281" s="100" t="e">
        <f t="shared" si="433"/>
        <v>#N/A</v>
      </c>
      <c r="R281" s="86" t="b">
        <f t="shared" si="434"/>
        <v>0</v>
      </c>
      <c r="S281" s="86">
        <f t="shared" si="432"/>
        <v>0.5</v>
      </c>
      <c r="T281" s="86">
        <f t="shared" si="435"/>
        <v>0.5</v>
      </c>
      <c r="U281" s="30" t="e">
        <f t="shared" ca="1" si="467"/>
        <v>#DIV/0!</v>
      </c>
      <c r="V281" s="85" t="str">
        <f>IF(B281&lt;=Hypothèses!$V$7,Hypothèses!$W$7,IF(B281&lt;=Hypothèses!$V$8,Hypothèses!$W$8,IF(B281&lt;=Hypothèses!$V$9,Hypothèses!$W$9,IF(B281&lt;=Hypothèses!$V$10,Hypothèses!$W$10,IF(B281&lt;=Hypothèses!$V$11,Hypothèses!$W$11,IF(B281&lt;=Hypothèses!$V$12,Hypothèses!$W$12,IF(B281&lt;=Hypothèses!$V$13,Hypothèses!$W$13,IF(B281&lt;=Hypothèses!$V$14,Hypothèses!$W$14,IF(B281&lt;=Hypothèses!$V$15,Hypothèses!$W$15,IF(B281&lt;=Hypothèses!$V$16,Hypothèses!$W$16,IF(B281&lt;=Hypothèses!$V$17,Hypothèses!$W$17,IF(B281&lt;=Hypothèses!$V$18,Hypothèses!$W$18,""))))))))))))</f>
        <v/>
      </c>
      <c r="W281" s="87" t="e">
        <f t="shared" ca="1" si="516"/>
        <v>#DIV/0!</v>
      </c>
      <c r="X281" s="88" t="str">
        <f>IF(B281&lt;=Hypothèses!$V$7,Hypothèses!$X$7,IF(B281&lt;=Hypothèses!$V$8,Hypothèses!$X$8,IF(B281&lt;=Hypothèses!$V$9,Hypothèses!$X$9,IF(B281&lt;=Hypothèses!$V$10,Hypothèses!$X$10,IF(B281&lt;=Hypothèses!$V$11,Hypothèses!$X$11,IF(B281&lt;=Hypothèses!$V$12,Hypothèses!$X$12,IF(B281&lt;=Hypothèses!$V$13,Hypothèses!$X$13,IF(B281&lt;=Hypothèses!$V$14,Hypothèses!$X$14,IF(B281&lt;=Hypothèses!$V$15,Hypothèses!$X$15,IF(B281&lt;=Hypothèses!$V$16,Hypothèses!$X$16,IF(B281&lt;=Hypothèses!$U$17,Hypothèses!$W$17,IF(B281&lt;=Hypothèses!$U$18,Hypothèses!$W$18,""))))))))))))</f>
        <v/>
      </c>
      <c r="Y281" s="95" t="e">
        <f t="shared" ca="1" si="436"/>
        <v>#DIV/0!</v>
      </c>
      <c r="Z281" s="101">
        <f t="shared" si="437"/>
        <v>0</v>
      </c>
      <c r="AA281" s="91">
        <f t="shared" si="438"/>
        <v>0</v>
      </c>
      <c r="AB281" s="30" t="e">
        <f t="shared" si="500"/>
        <v>#N/A</v>
      </c>
      <c r="AC281" s="30" t="e">
        <f t="shared" si="501"/>
        <v>#N/A</v>
      </c>
      <c r="AD281" s="31" t="e">
        <f>IF(OR(Hypothèses!$B$4=17,Hypothèses!$B$4=18,Hypothèses!$B$4=19,Hypothèses!$B$4=20),
IF($D281="Pressio.",
IF(OR($E281=3,$E281=1,$E281=4),AC281,AB281),
IF($D281="Pénétro.",
IF(OR($E281=3,$E281=1,$E281=4),AC281,AB281))),IF($D281="Pressio.",
IF($E281=3,AC281,AB281),
IF($D281="Pénétro.",
IF($E281=4,AC281,AB281))))</f>
        <v>#N/A</v>
      </c>
      <c r="AE281" s="31">
        <v>0</v>
      </c>
      <c r="AF281" s="102" t="e">
        <f>IF(NDC!$H$10="Oui",(VLOOKUP($B$3,'Coeff EC7'!$T$39:$X$59,2,0)*AD281+VLOOKUP($B$3,'Coeff EC7'!$T$65:$X$85,2,0)*Model0.1T!AE281)/1.5,PI()*AB$12*$Q281*($B281-$B280)*0.15/10+AF280)</f>
        <v>#N/A</v>
      </c>
      <c r="AG281" s="102" t="e">
        <f>(VLOOKUP($B$3,'Coeff EC7'!$T$39:$X$59,3,0)*AD281+VLOOKUP($B$3,'Coeff EC7'!$T$65:$X$85,3,0)*Model0.1T!AE281)/1.1</f>
        <v>#N/A</v>
      </c>
      <c r="AH281" s="102" t="e">
        <f t="shared" si="468"/>
        <v>#N/A</v>
      </c>
      <c r="AI281" s="102" t="e">
        <f t="shared" si="469"/>
        <v>#N/A</v>
      </c>
      <c r="AJ281" s="414" t="e">
        <f>IF(AND(AF281&gt;NDC!$C$63,AG281&gt;NDC!$C$65,AH281&gt;NDC!$D$73,AI281&gt;NDC!$D$74,$B281&gt;NDC!$H$22-0.1+MIN(3*$AJ$12,1.5)),0,1)</f>
        <v>#N/A</v>
      </c>
      <c r="AK281" s="86" t="b">
        <f t="shared" si="439"/>
        <v>0</v>
      </c>
      <c r="AL281" s="86">
        <f t="shared" si="470"/>
        <v>0.5</v>
      </c>
      <c r="AM281" s="86">
        <f t="shared" si="440"/>
        <v>0.5</v>
      </c>
      <c r="AN281" s="30" t="e">
        <f t="shared" ca="1" si="471"/>
        <v>#DIV/0!</v>
      </c>
      <c r="AO281" s="85" t="e">
        <f ca="1">IF(U281&lt;=Hypothèses!$V$7,Hypothèses!$W$7,IF(U281&lt;=Hypothèses!$V$8,Hypothèses!$W$8,IF(U281&lt;=Hypothèses!$V$9,Hypothèses!$W$9,IF(U281&lt;=Hypothèses!$V$10,Hypothèses!$W$10,IF(U281&lt;=Hypothèses!$V$11,Hypothèses!$W$11,IF(U281&lt;=Hypothèses!$V$12,Hypothèses!$W$12,IF(U281&lt;=Hypothèses!$V$13,Hypothèses!$W$13,IF(U281&lt;=Hypothèses!$V$14,Hypothèses!$W$14,IF(U281&lt;=Hypothèses!$V$15,Hypothèses!$W$15,IF(U281&lt;=Hypothèses!$V$16,Hypothèses!$W$16,IF(U281&lt;=Hypothèses!$V$17,Hypothèses!$W$17,IF(U281&lt;=Hypothèses!$V$18,Hypothèses!$W$18,""))))))))))))</f>
        <v>#DIV/0!</v>
      </c>
      <c r="AP281" s="87" t="e">
        <f t="shared" ca="1" si="517"/>
        <v>#DIV/0!</v>
      </c>
      <c r="AQ281" s="88" t="e">
        <f ca="1">IF(U281&lt;=Hypothèses!$V$7,Hypothèses!$X$7,IF(U281&lt;=Hypothèses!$V$8,Hypothèses!$X$8,IF(U281&lt;=Hypothèses!$V$9,Hypothèses!$X$9,IF(U281&lt;=Hypothèses!$V$10,Hypothèses!$X$10,IF(U281&lt;=Hypothèses!$V$11,Hypothèses!$X$11,IF(U281&lt;=Hypothèses!$V$12,Hypothèses!$X$12,IF(U281&lt;=Hypothèses!$V$13,Hypothèses!$X$13,IF(U281&lt;=Hypothèses!$V$14,Hypothèses!$X$14,IF(U281&lt;=Hypothèses!$V$15,Hypothèses!$X$15,IF(U281&lt;=Hypothèses!$V$16,Hypothèses!$X$16,IF(U281&lt;=Hypothèses!$U$17,Hypothèses!$W$17,IF(U281&lt;=Hypothèses!$U$18,Hypothèses!$W$18,""))))))))))))</f>
        <v>#DIV/0!</v>
      </c>
      <c r="AR281" s="95" t="e">
        <f t="shared" ca="1" si="472"/>
        <v>#DIV/0!</v>
      </c>
      <c r="AS281" s="101">
        <f t="shared" si="524"/>
        <v>0</v>
      </c>
      <c r="AT281" s="91">
        <f t="shared" si="441"/>
        <v>0</v>
      </c>
      <c r="AU281" s="30" t="e">
        <f t="shared" si="502"/>
        <v>#N/A</v>
      </c>
      <c r="AV281" s="30" t="e">
        <f t="shared" si="503"/>
        <v>#N/A</v>
      </c>
      <c r="AW281" s="31" t="e">
        <f>IF(OR(Hypothèses!$B$4=17,Hypothèses!$B$4=18,Hypothèses!$B$4=19,Hypothèses!$B$4=20),
IF($D281="Pressio.",
IF(OR($E281=3,$E281=1,$E281=4),AV281,AU281),
IF($D281="Pénétro.",
IF(OR($E281=3,$E281=1,$E281=4),AV281,AU281))),IF($D281="Pressio.",
IF($E281=3,AV281,AU281),
IF($D281="Pénétro.",
IF($E281=4,AV281,AU281))))</f>
        <v>#N/A</v>
      </c>
      <c r="AX281" s="31">
        <v>0</v>
      </c>
      <c r="AY281" s="102" t="e">
        <f>IF(NDC!$H$10="Oui",(VLOOKUP($B$3,'Coeff EC7'!$T$39:$X$59,2,0)*AW281+VLOOKUP($B$3,'Coeff EC7'!$T$65:$X$85,2,0)*Model0.1T!AX281)/1.5,PI()*AU$12*$Q281*($B281-$B280)*0.15/10+AY280)</f>
        <v>#N/A</v>
      </c>
      <c r="AZ281" s="102" t="e">
        <f>(VLOOKUP($B$3,'Coeff EC7'!$T$39:$X$59,3,0)*AW281+VLOOKUP($B$3,'Coeff EC7'!$T$65:$X$85,3,0)*Model0.1T!AX281)/1.1</f>
        <v>#N/A</v>
      </c>
      <c r="BA281" s="102" t="e">
        <f t="shared" si="473"/>
        <v>#N/A</v>
      </c>
      <c r="BB281" s="102" t="e">
        <f t="shared" si="474"/>
        <v>#N/A</v>
      </c>
      <c r="BC281" s="414" t="e">
        <f>IF(AND(AY281&gt;NDC!$C$63,AZ281&gt;NDC!$C$65,BA281&gt;NDC!$D$73,BB281&gt;NDC!$D$74,$B281&gt;NDC!$H$22-0.1+MIN(3*BC$12,1.5)),0,1)</f>
        <v>#N/A</v>
      </c>
      <c r="BD281" s="86" t="b">
        <f t="shared" si="442"/>
        <v>0</v>
      </c>
      <c r="BE281" s="86">
        <f t="shared" si="475"/>
        <v>0.5</v>
      </c>
      <c r="BF281" s="86">
        <f t="shared" si="443"/>
        <v>0.5</v>
      </c>
      <c r="BG281" s="30" t="e">
        <f t="shared" ca="1" si="476"/>
        <v>#DIV/0!</v>
      </c>
      <c r="BH281" s="85" t="e">
        <f ca="1">IF(AN281&lt;=Hypothèses!$V$7,Hypothèses!$W$7,IF(AN281&lt;=Hypothèses!$V$8,Hypothèses!$W$8,IF(AN281&lt;=Hypothèses!$V$9,Hypothèses!$W$9,IF(AN281&lt;=Hypothèses!$V$10,Hypothèses!$W$10,IF(AN281&lt;=Hypothèses!$V$11,Hypothèses!$W$11,IF(AN281&lt;=Hypothèses!$V$12,Hypothèses!$W$12,IF(AN281&lt;=Hypothèses!$V$13,Hypothèses!$W$13,IF(AN281&lt;=Hypothèses!$V$14,Hypothèses!$W$14,IF(AN281&lt;=Hypothèses!$V$15,Hypothèses!$W$15,IF(AN281&lt;=Hypothèses!$V$16,Hypothèses!$W$16,IF(AN281&lt;=Hypothèses!$V$17,Hypothèses!$W$17,IF(AN281&lt;=Hypothèses!$V$18,Hypothèses!$W$18,""))))))))))))</f>
        <v>#DIV/0!</v>
      </c>
      <c r="BI281" s="87" t="e">
        <f t="shared" ca="1" si="518"/>
        <v>#DIV/0!</v>
      </c>
      <c r="BJ281" s="88" t="e">
        <f ca="1">IF(AN281&lt;=Hypothèses!$V$7,Hypothèses!$X$7,IF(AN281&lt;=Hypothèses!$V$8,Hypothèses!$X$8,IF(AN281&lt;=Hypothèses!$V$9,Hypothèses!$X$9,IF(AN281&lt;=Hypothèses!$V$10,Hypothèses!$X$10,IF(AN281&lt;=Hypothèses!$V$11,Hypothèses!$X$11,IF(AN281&lt;=Hypothèses!$V$12,Hypothèses!$X$12,IF(AN281&lt;=Hypothèses!$V$13,Hypothèses!$X$13,IF(AN281&lt;=Hypothèses!$V$14,Hypothèses!$X$14,IF(AN281&lt;=Hypothèses!$V$15,Hypothèses!$X$15,IF(AN281&lt;=Hypothèses!$V$16,Hypothèses!$X$16,IF(AN281&lt;=Hypothèses!$U$17,Hypothèses!$W$17,IF(AN281&lt;=Hypothèses!$U$18,Hypothèses!$W$18,""))))))))))))</f>
        <v>#DIV/0!</v>
      </c>
      <c r="BK281" s="95" t="e">
        <f t="shared" ca="1" si="477"/>
        <v>#DIV/0!</v>
      </c>
      <c r="BL281" s="101">
        <f t="shared" si="525"/>
        <v>0</v>
      </c>
      <c r="BM281" s="91">
        <f t="shared" si="444"/>
        <v>0</v>
      </c>
      <c r="BN281" s="30" t="e">
        <f t="shared" si="504"/>
        <v>#N/A</v>
      </c>
      <c r="BO281" s="30" t="e">
        <f t="shared" si="505"/>
        <v>#N/A</v>
      </c>
      <c r="BP281" s="31" t="e">
        <f>IF(OR(Hypothèses!$B$4=17,Hypothèses!$B$4=18,Hypothèses!$B$4=19,Hypothèses!$B$4=20),
IF($D281="Pressio.",
IF(OR($E281=3,$E281=1,$E281=4),BO281,BN281),
IF($D281="Pénétro.",
IF(OR($E281=3,$E281=1,$E281=4),BO281,BN281))),IF($D281="Pressio.",
IF($E281=3,BO281,BN281),
IF($D281="Pénétro.",
IF($E281=4,BO281,BN281))))</f>
        <v>#N/A</v>
      </c>
      <c r="BQ281" s="31">
        <v>0</v>
      </c>
      <c r="BR281" s="102" t="e">
        <f>IF(NDC!$H$10="Oui",(VLOOKUP($B$3,'Coeff EC7'!$T$39:$X$59,2,0)*BP281+VLOOKUP($B$3,'Coeff EC7'!$T$65:$X$85,2,0)*Model0.1T!BQ281)/1.5,PI()*BN$12*$Q281*($B281-$B280)*0.15/10+BR280)</f>
        <v>#N/A</v>
      </c>
      <c r="BS281" s="102" t="e">
        <f>(VLOOKUP($B$3,'Coeff EC7'!$T$39:$X$59,3,0)*BP281+VLOOKUP($B$3,'Coeff EC7'!$T$65:$X$85,3,0)*Model0.1T!BQ281)/1.1</f>
        <v>#N/A</v>
      </c>
      <c r="BT281" s="102" t="e">
        <f t="shared" si="478"/>
        <v>#N/A</v>
      </c>
      <c r="BU281" s="102" t="e">
        <f t="shared" si="479"/>
        <v>#N/A</v>
      </c>
      <c r="BV281" s="414" t="e">
        <f>IF(AND(BR281&gt;NDC!$C$63,BS281&gt;NDC!$C$65,BT281&gt;NDC!$D$73,BU281&gt;NDC!$D$74,$B281&gt;NDC!$H$22-0.1+MIN(3*BV$12,1.5)),0,1)</f>
        <v>#N/A</v>
      </c>
      <c r="BW281" s="86" t="b">
        <f t="shared" si="445"/>
        <v>0</v>
      </c>
      <c r="BX281" s="86">
        <f t="shared" si="446"/>
        <v>0.5</v>
      </c>
      <c r="BY281" s="86">
        <f t="shared" si="447"/>
        <v>0.5</v>
      </c>
      <c r="BZ281" s="30" t="e">
        <f t="shared" ca="1" si="480"/>
        <v>#DIV/0!</v>
      </c>
      <c r="CA281" s="85" t="e">
        <f ca="1">IF(BG281&lt;=Hypothèses!$V$7,Hypothèses!$W$7,IF(BG281&lt;=Hypothèses!$V$8,Hypothèses!$W$8,IF(BG281&lt;=Hypothèses!$V$9,Hypothèses!$W$9,IF(BG281&lt;=Hypothèses!$V$10,Hypothèses!$W$10,IF(BG281&lt;=Hypothèses!$V$11,Hypothèses!$W$11,IF(BG281&lt;=Hypothèses!$V$12,Hypothèses!$W$12,IF(BG281&lt;=Hypothèses!$V$13,Hypothèses!$W$13,IF(BG281&lt;=Hypothèses!$V$14,Hypothèses!$W$14,IF(BG281&lt;=Hypothèses!$V$15,Hypothèses!$W$15,IF(BG281&lt;=Hypothèses!$V$16,Hypothèses!$W$16,IF(BG281&lt;=Hypothèses!$V$17,Hypothèses!$W$17,IF(BG281&lt;=Hypothèses!$V$18,Hypothèses!$W$18,""))))))))))))</f>
        <v>#DIV/0!</v>
      </c>
      <c r="CB281" s="87" t="e">
        <f t="shared" ca="1" si="519"/>
        <v>#DIV/0!</v>
      </c>
      <c r="CC281" s="88" t="e">
        <f ca="1">IF(BG281&lt;=Hypothèses!$V$7,Hypothèses!$X$7,IF(BG281&lt;=Hypothèses!$V$8,Hypothèses!$X$8,IF(BG281&lt;=Hypothèses!$V$9,Hypothèses!$X$9,IF(BG281&lt;=Hypothèses!$V$10,Hypothèses!$X$10,IF(BG281&lt;=Hypothèses!$V$11,Hypothèses!$X$11,IF(BG281&lt;=Hypothèses!$V$12,Hypothèses!$X$12,IF(BG281&lt;=Hypothèses!$V$13,Hypothèses!$X$13,IF(BG281&lt;=Hypothèses!$V$14,Hypothèses!$X$14,IF(BG281&lt;=Hypothèses!$V$15,Hypothèses!$X$15,IF(BG281&lt;=Hypothèses!$V$16,Hypothèses!$X$16,IF(BG281&lt;=Hypothèses!$U$17,Hypothèses!$W$17,IF(BG281&lt;=Hypothèses!$U$18,Hypothèses!$W$18,""))))))))))))</f>
        <v>#DIV/0!</v>
      </c>
      <c r="CD281" s="95" t="e">
        <f t="shared" ca="1" si="481"/>
        <v>#DIV/0!</v>
      </c>
      <c r="CE281" s="101">
        <f t="shared" si="526"/>
        <v>0</v>
      </c>
      <c r="CF281" s="91">
        <f t="shared" si="448"/>
        <v>0</v>
      </c>
      <c r="CG281" s="30" t="e">
        <f t="shared" si="506"/>
        <v>#N/A</v>
      </c>
      <c r="CH281" s="30" t="e">
        <f t="shared" si="507"/>
        <v>#N/A</v>
      </c>
      <c r="CI281" s="31" t="e">
        <f>IF(OR(Hypothèses!$B$4=17,Hypothèses!$B$4=18,Hypothèses!$B$4=19,Hypothèses!$B$4=20),
IF($D281="Pressio.",
IF(OR($E281=3,$E281=1,$E281=4),CH281,CG281),
IF($D281="Pénétro.",
IF(OR($E281=3,$E281=1,$E281=4),CH281,CG281))),IF($D281="Pressio.",
IF($E281=3,CH281,CG281),
IF($D281="Pénétro.",
IF($E281=4,CH281,CG281))))</f>
        <v>#N/A</v>
      </c>
      <c r="CJ281" s="31">
        <v>0</v>
      </c>
      <c r="CK281" s="102" t="e">
        <f>IF(NDC!$H$10="Oui",(VLOOKUP($B$3,'Coeff EC7'!$T$39:$X$59,2,0)*CI281+VLOOKUP($B$3,'Coeff EC7'!$T$65:$X$85,2,0)*Model0.1T!CJ281)/1.5,PI()*CG$12*$Q281*($B281-$B280)*0.15/10+CK280)</f>
        <v>#N/A</v>
      </c>
      <c r="CL281" s="102" t="e">
        <f>(VLOOKUP($B$3,'Coeff EC7'!$T$39:$X$59,3,0)*CI281+VLOOKUP($B$3,'Coeff EC7'!$T$65:$X$85,3,0)*Model0.1T!CJ281)/1.1</f>
        <v>#N/A</v>
      </c>
      <c r="CM281" s="102" t="e">
        <f t="shared" si="482"/>
        <v>#N/A</v>
      </c>
      <c r="CN281" s="102" t="e">
        <f t="shared" si="483"/>
        <v>#N/A</v>
      </c>
      <c r="CO281" s="414" t="e">
        <f>IF(AND(CK281&gt;NDC!$C$63,CL281&gt;NDC!$C$65,CM281&gt;NDC!$D$73,CN281&gt;NDC!$D$74,$B281&gt;NDC!$H$22-0.1+MIN(3*CO$12,1.5)),0,1)</f>
        <v>#N/A</v>
      </c>
      <c r="CP281" s="86" t="b">
        <f t="shared" si="449"/>
        <v>0</v>
      </c>
      <c r="CQ281" s="86">
        <f t="shared" si="450"/>
        <v>0.5</v>
      </c>
      <c r="CR281" s="86">
        <f t="shared" si="451"/>
        <v>0.5</v>
      </c>
      <c r="CS281" s="30" t="e">
        <f t="shared" ca="1" si="484"/>
        <v>#DIV/0!</v>
      </c>
      <c r="CT281" s="85" t="e">
        <f ca="1">IF(BZ281&lt;=Hypothèses!$V$7,Hypothèses!$W$7,IF(BZ281&lt;=Hypothèses!$V$8,Hypothèses!$W$8,IF(BZ281&lt;=Hypothèses!$V$9,Hypothèses!$W$9,IF(BZ281&lt;=Hypothèses!$V$10,Hypothèses!$W$10,IF(BZ281&lt;=Hypothèses!$V$11,Hypothèses!$W$11,IF(BZ281&lt;=Hypothèses!$V$12,Hypothèses!$W$12,IF(BZ281&lt;=Hypothèses!$V$13,Hypothèses!$W$13,IF(BZ281&lt;=Hypothèses!$V$14,Hypothèses!$W$14,IF(BZ281&lt;=Hypothèses!$V$15,Hypothèses!$W$15,IF(BZ281&lt;=Hypothèses!$V$16,Hypothèses!$W$16,IF(BZ281&lt;=Hypothèses!$V$17,Hypothèses!$W$17,IF(BZ281&lt;=Hypothèses!$V$18,Hypothèses!$W$18,""))))))))))))</f>
        <v>#DIV/0!</v>
      </c>
      <c r="CU281" s="87" t="e">
        <f t="shared" ca="1" si="520"/>
        <v>#DIV/0!</v>
      </c>
      <c r="CV281" s="88" t="e">
        <f ca="1">IF(BZ281&lt;=Hypothèses!$V$7,Hypothèses!$X$7,IF(BZ281&lt;=Hypothèses!$V$8,Hypothèses!$X$8,IF(BZ281&lt;=Hypothèses!$V$9,Hypothèses!$X$9,IF(BZ281&lt;=Hypothèses!$V$10,Hypothèses!$X$10,IF(BZ281&lt;=Hypothèses!$V$11,Hypothèses!$X$11,IF(BZ281&lt;=Hypothèses!$V$12,Hypothèses!$X$12,IF(BZ281&lt;=Hypothèses!$V$13,Hypothèses!$X$13,IF(BZ281&lt;=Hypothèses!$V$14,Hypothèses!$X$14,IF(BZ281&lt;=Hypothèses!$V$15,Hypothèses!$X$15,IF(BZ281&lt;=Hypothèses!$V$16,Hypothèses!$X$16,IF(BZ281&lt;=Hypothèses!$U$17,Hypothèses!$W$17,IF(BZ281&lt;=Hypothèses!$U$18,Hypothèses!$W$18,""))))))))))))</f>
        <v>#DIV/0!</v>
      </c>
      <c r="CW281" s="95" t="e">
        <f t="shared" ca="1" si="485"/>
        <v>#DIV/0!</v>
      </c>
      <c r="CX281" s="101">
        <f t="shared" si="527"/>
        <v>0</v>
      </c>
      <c r="CY281" s="91">
        <f t="shared" si="452"/>
        <v>0</v>
      </c>
      <c r="CZ281" s="30" t="e">
        <f t="shared" si="508"/>
        <v>#N/A</v>
      </c>
      <c r="DA281" s="30" t="e">
        <f t="shared" si="509"/>
        <v>#N/A</v>
      </c>
      <c r="DB281" s="31" t="e">
        <f>IF(OR(Hypothèses!$B$4=17,Hypothèses!$B$4=18,Hypothèses!$B$4=19,Hypothèses!$B$4=20),
IF($D281="Pressio.",
IF(OR($E281=3,$E281=1,$E281=4),DA281,CZ281),
IF($D281="Pénétro.",
IF(OR($E281=3,$E281=1,$E281=4),DA281,CZ281))),IF($D281="Pressio.",
IF($E281=3,DA281,CZ281),
IF($D281="Pénétro.",
IF($E281=4,DA281,CZ281))))</f>
        <v>#N/A</v>
      </c>
      <c r="DC281" s="31">
        <v>0</v>
      </c>
      <c r="DD281" s="102" t="e">
        <f>IF(NDC!$H$10="Oui",(VLOOKUP($B$3,'Coeff EC7'!$T$39:$X$59,2,0)*DB281+VLOOKUP($B$3,'Coeff EC7'!$T$65:$X$85,2,0)*Model0.1T!DC281)/1.5,PI()*CZ$12*$Q281*($B281-$B280)*0.15/10+DD280)</f>
        <v>#N/A</v>
      </c>
      <c r="DE281" s="102" t="e">
        <f>(VLOOKUP($B$3,'Coeff EC7'!$T$39:$X$59,3,0)*DB281+VLOOKUP($B$3,'Coeff EC7'!$T$65:$X$85,3,0)*Model0.1T!DC281)/1.1</f>
        <v>#N/A</v>
      </c>
      <c r="DF281" s="102" t="e">
        <f t="shared" si="486"/>
        <v>#N/A</v>
      </c>
      <c r="DG281" s="102" t="e">
        <f t="shared" si="487"/>
        <v>#N/A</v>
      </c>
      <c r="DH281" s="414" t="e">
        <f>IF(AND(DD281&gt;NDC!$C$63,DE281&gt;NDC!$C$65,DF281&gt;NDC!$D$73,DG281&gt;NDC!$D$74,$B281&gt;NDC!$H$22-0.1+MIN(3*DH$12,1.5)),0,1)</f>
        <v>#N/A</v>
      </c>
      <c r="DI281" s="86" t="b">
        <f t="shared" si="453"/>
        <v>0</v>
      </c>
      <c r="DJ281" s="86">
        <f t="shared" si="454"/>
        <v>0.5</v>
      </c>
      <c r="DK281" s="86">
        <f t="shared" si="455"/>
        <v>0.5</v>
      </c>
      <c r="DL281" s="30" t="e">
        <f t="shared" ca="1" si="488"/>
        <v>#DIV/0!</v>
      </c>
      <c r="DM281" s="85" t="e">
        <f ca="1">IF(CS281&lt;=Hypothèses!$V$7,Hypothèses!$W$7,IF(CS281&lt;=Hypothèses!$V$8,Hypothèses!$W$8,IF(CS281&lt;=Hypothèses!$V$9,Hypothèses!$W$9,IF(CS281&lt;=Hypothèses!$V$10,Hypothèses!$W$10,IF(CS281&lt;=Hypothèses!$V$11,Hypothèses!$W$11,IF(CS281&lt;=Hypothèses!$V$12,Hypothèses!$W$12,IF(CS281&lt;=Hypothèses!$V$13,Hypothèses!$W$13,IF(CS281&lt;=Hypothèses!$V$14,Hypothèses!$W$14,IF(CS281&lt;=Hypothèses!$V$15,Hypothèses!$W$15,IF(CS281&lt;=Hypothèses!$V$16,Hypothèses!$W$16,IF(CS281&lt;=Hypothèses!$V$17,Hypothèses!$W$17,IF(CS281&lt;=Hypothèses!$V$18,Hypothèses!$W$18,""))))))))))))</f>
        <v>#DIV/0!</v>
      </c>
      <c r="DN281" s="87" t="e">
        <f t="shared" ca="1" si="521"/>
        <v>#DIV/0!</v>
      </c>
      <c r="DO281" s="88" t="e">
        <f ca="1">IF(CS281&lt;=Hypothèses!$V$7,Hypothèses!$X$7,IF(CS281&lt;=Hypothèses!$V$8,Hypothèses!$X$8,IF(CS281&lt;=Hypothèses!$V$9,Hypothèses!$X$9,IF(CS281&lt;=Hypothèses!$V$10,Hypothèses!$X$10,IF(CS281&lt;=Hypothèses!$V$11,Hypothèses!$X$11,IF(CS281&lt;=Hypothèses!$V$12,Hypothèses!$X$12,IF(CS281&lt;=Hypothèses!$V$13,Hypothèses!$X$13,IF(CS281&lt;=Hypothèses!$V$14,Hypothèses!$X$14,IF(CS281&lt;=Hypothèses!$V$15,Hypothèses!$X$15,IF(CS281&lt;=Hypothèses!$V$16,Hypothèses!$X$16,IF(CS281&lt;=Hypothèses!$U$17,Hypothèses!$W$17,IF(CS281&lt;=Hypothèses!$U$18,Hypothèses!$W$18,""))))))))))))</f>
        <v>#DIV/0!</v>
      </c>
      <c r="DP281" s="95" t="e">
        <f t="shared" ca="1" si="489"/>
        <v>#DIV/0!</v>
      </c>
      <c r="DQ281" s="101">
        <f t="shared" si="528"/>
        <v>0</v>
      </c>
      <c r="DR281" s="91">
        <f t="shared" si="456"/>
        <v>0</v>
      </c>
      <c r="DS281" s="30" t="e">
        <f t="shared" si="510"/>
        <v>#N/A</v>
      </c>
      <c r="DT281" s="30" t="e">
        <f t="shared" si="511"/>
        <v>#N/A</v>
      </c>
      <c r="DU281" s="31" t="e">
        <f>IF(OR(Hypothèses!$B$4=17,Hypothèses!$B$4=18,Hypothèses!$B$4=19,Hypothèses!$B$4=20),
IF($D281="Pressio.",
IF(OR($E281=3,$E281=1,$E281=4),DT281,DS281),
IF($D281="Pénétro.",
IF(OR($E281=3,$E281=1,$E281=4),DT281,DS281))),IF($D281="Pressio.",
IF($E281=3,DT281,DS281),
IF($D281="Pénétro.",
IF($E281=4,DT281,DS281))))</f>
        <v>#N/A</v>
      </c>
      <c r="DV281" s="31">
        <v>0</v>
      </c>
      <c r="DW281" s="102" t="e">
        <f>IF(NDC!$H$10="Oui",(VLOOKUP($B$3,'Coeff EC7'!$T$39:$X$59,2,0)*DU281+VLOOKUP($B$3,'Coeff EC7'!$T$65:$X$85,2,0)*Model0.1T!DV281)/1.5,PI()*DS$12*$Q281*($B281-$B280)*0.15/10+DW280)</f>
        <v>#N/A</v>
      </c>
      <c r="DX281" s="102" t="e">
        <f>(VLOOKUP($B$3,'Coeff EC7'!$T$39:$X$59,3,0)*DU281+VLOOKUP($B$3,'Coeff EC7'!$T$65:$X$85,3,0)*Model0.1T!DV281)/1.1</f>
        <v>#N/A</v>
      </c>
      <c r="DY281" s="102" t="e">
        <f t="shared" si="490"/>
        <v>#N/A</v>
      </c>
      <c r="DZ281" s="102" t="e">
        <f t="shared" si="491"/>
        <v>#N/A</v>
      </c>
      <c r="EA281" s="414" t="e">
        <f>IF(AND(DW281&gt;NDC!$C$63,DX281&gt;NDC!$C$65,DY281&gt;NDC!$D$73,DZ281&gt;NDC!$D$74,$B281&gt;NDC!$H$22-0.1+MIN(3*EA$12,1.5)),0,1)</f>
        <v>#N/A</v>
      </c>
      <c r="EB281" s="86" t="b">
        <f t="shared" si="457"/>
        <v>0</v>
      </c>
      <c r="EC281" s="418">
        <f t="shared" si="458"/>
        <v>0.51</v>
      </c>
      <c r="ED281" s="86">
        <f t="shared" si="459"/>
        <v>0.51</v>
      </c>
      <c r="EE281" s="30" t="e">
        <f t="shared" ca="1" si="492"/>
        <v>#DIV/0!</v>
      </c>
      <c r="EF281" s="85" t="e">
        <f ca="1">IF(DL281&lt;=Hypothèses!$V$7,Hypothèses!$W$7,IF(DL281&lt;=Hypothèses!$V$8,Hypothèses!$W$8,IF(DL281&lt;=Hypothèses!$V$9,Hypothèses!$W$9,IF(DL281&lt;=Hypothèses!$V$10,Hypothèses!$W$10,IF(DL281&lt;=Hypothèses!$V$11,Hypothèses!$W$11,IF(DL281&lt;=Hypothèses!$V$12,Hypothèses!$W$12,IF(DL281&lt;=Hypothèses!$V$13,Hypothèses!$W$13,IF(DL281&lt;=Hypothèses!$V$14,Hypothèses!$W$14,IF(DL281&lt;=Hypothèses!$V$15,Hypothèses!$W$15,IF(DL281&lt;=Hypothèses!$V$16,Hypothèses!$W$16,IF(DL281&lt;=Hypothèses!$V$17,Hypothèses!$W$17,IF(DL281&lt;=Hypothèses!$V$18,Hypothèses!$W$18,""))))))))))))</f>
        <v>#DIV/0!</v>
      </c>
      <c r="EG281" s="87" t="e">
        <f t="shared" ca="1" si="522"/>
        <v>#DIV/0!</v>
      </c>
      <c r="EH281" s="88" t="e">
        <f ca="1">IF(DL281&lt;=Hypothèses!$V$7,Hypothèses!$X$7,IF(DL281&lt;=Hypothèses!$V$8,Hypothèses!$X$8,IF(DL281&lt;=Hypothèses!$V$9,Hypothèses!$X$9,IF(DL281&lt;=Hypothèses!$V$10,Hypothèses!$X$10,IF(DL281&lt;=Hypothèses!$V$11,Hypothèses!$X$11,IF(DL281&lt;=Hypothèses!$V$12,Hypothèses!$X$12,IF(DL281&lt;=Hypothèses!$V$13,Hypothèses!$X$13,IF(DL281&lt;=Hypothèses!$V$14,Hypothèses!$X$14,IF(DL281&lt;=Hypothèses!$V$15,Hypothèses!$X$15,IF(DL281&lt;=Hypothèses!$V$16,Hypothèses!$X$16,IF(DL281&lt;=Hypothèses!$U$17,Hypothèses!$W$17,IF(DL281&lt;=Hypothèses!$U$18,Hypothèses!$W$18,""))))))))))))</f>
        <v>#DIV/0!</v>
      </c>
      <c r="EI281" s="95" t="e">
        <f t="shared" ca="1" si="493"/>
        <v>#DIV/0!</v>
      </c>
      <c r="EJ281" s="101">
        <f t="shared" si="529"/>
        <v>0</v>
      </c>
      <c r="EK281" s="91">
        <f t="shared" si="460"/>
        <v>0</v>
      </c>
      <c r="EL281" s="30" t="e">
        <f t="shared" si="512"/>
        <v>#N/A</v>
      </c>
      <c r="EM281" s="30" t="e">
        <f t="shared" si="513"/>
        <v>#N/A</v>
      </c>
      <c r="EN281" s="31" t="e">
        <f>IF(OR(Hypothèses!$B$4=17,Hypothèses!$B$4=18,Hypothèses!$B$4=19,Hypothèses!$B$4=20),
IF($D281="Pressio.",
IF(OR($E281=3,$E281=1,$E281=4),EM281,EL281),
IF($D281="Pénétro.",
IF(OR($E281=3,$E281=1,$E281=4),EM281,EL281))),IF($D281="Pressio.",
IF($E281=3,EM281,EL281),
IF($D281="Pénétro.",
IF($E281=4,EM281,EL281))))</f>
        <v>#N/A</v>
      </c>
      <c r="EO281" s="31">
        <v>0</v>
      </c>
      <c r="EP281" s="102" t="e">
        <f>IF(NDC!$H$10="Oui",(VLOOKUP($B$3,'Coeff EC7'!$T$39:$X$59,2,0)*EN281+VLOOKUP($B$3,'Coeff EC7'!$T$65:$X$85,2,0)*Model0.1T!EO281)/1.5,PI()*EL$12*$Q281*($B281-$B280)*0.15/10+EP280)</f>
        <v>#N/A</v>
      </c>
      <c r="EQ281" s="102" t="e">
        <f>(VLOOKUP($B$3,'Coeff EC7'!$T$39:$X$59,3,0)*EN281+VLOOKUP($B$3,'Coeff EC7'!$T$65:$X$85,3,0)*Model0.1T!EO281)/1.1</f>
        <v>#N/A</v>
      </c>
      <c r="ER281" s="102" t="e">
        <f t="shared" si="494"/>
        <v>#N/A</v>
      </c>
      <c r="ES281" s="102" t="e">
        <f t="shared" si="495"/>
        <v>#N/A</v>
      </c>
      <c r="ET281" s="414" t="e">
        <f>IF(AND(EP281&gt;NDC!$C$63,EQ281&gt;NDC!$C$65,ER281&gt;NDC!$D$73,ES281&gt;NDC!$D$74,$B281&gt;NDC!$H$22-0.1+MIN(3*ET$12,1.5)),0,1)</f>
        <v>#N/A</v>
      </c>
      <c r="EU281" s="86" t="b">
        <f t="shared" si="461"/>
        <v>0</v>
      </c>
      <c r="EV281" s="86">
        <f t="shared" si="462"/>
        <v>0.61</v>
      </c>
      <c r="EW281" s="86">
        <f t="shared" si="463"/>
        <v>0.61</v>
      </c>
      <c r="EX281" s="30" t="e">
        <f t="shared" ca="1" si="496"/>
        <v>#DIV/0!</v>
      </c>
      <c r="EY281" s="85" t="e">
        <f ca="1">IF(EE281&lt;=Hypothèses!$V$7,Hypothèses!$W$7,IF(EE281&lt;=Hypothèses!$V$8,Hypothèses!$W$8,IF(EE281&lt;=Hypothèses!$V$9,Hypothèses!$W$9,IF(EE281&lt;=Hypothèses!$V$10,Hypothèses!$W$10,IF(EE281&lt;=Hypothèses!$V$11,Hypothèses!$W$11,IF(EE281&lt;=Hypothèses!$V$12,Hypothèses!$W$12,IF(EE281&lt;=Hypothèses!$V$13,Hypothèses!$W$13,IF(EE281&lt;=Hypothèses!$V$14,Hypothèses!$W$14,IF(EE281&lt;=Hypothèses!$V$15,Hypothèses!$W$15,IF(EE281&lt;=Hypothèses!$V$16,Hypothèses!$W$16,IF(EE281&lt;=Hypothèses!$V$17,Hypothèses!$W$17,IF(EE281&lt;=Hypothèses!$V$18,Hypothèses!$W$18,""))))))))))))</f>
        <v>#DIV/0!</v>
      </c>
      <c r="EZ281" s="87" t="e">
        <f t="shared" ca="1" si="523"/>
        <v>#DIV/0!</v>
      </c>
      <c r="FA281" s="88" t="e">
        <f ca="1">IF(EE281&lt;=Hypothèses!$V$7,Hypothèses!$X$7,IF(EE281&lt;=Hypothèses!$V$8,Hypothèses!$X$8,IF(EE281&lt;=Hypothèses!$V$9,Hypothèses!$X$9,IF(EE281&lt;=Hypothèses!$V$10,Hypothèses!$X$10,IF(EE281&lt;=Hypothèses!$V$11,Hypothèses!$X$11,IF(EE281&lt;=Hypothèses!$V$12,Hypothèses!$X$12,IF(EE281&lt;=Hypothèses!$V$13,Hypothèses!$X$13,IF(EE281&lt;=Hypothèses!$V$14,Hypothèses!$X$14,IF(EE281&lt;=Hypothèses!$V$15,Hypothèses!$X$15,IF(EE281&lt;=Hypothèses!$V$16,Hypothèses!$X$16,IF(EE281&lt;=Hypothèses!$U$17,Hypothèses!$W$17,IF(EE281&lt;=Hypothèses!$U$18,Hypothèses!$W$18,""))))))))))))</f>
        <v>#DIV/0!</v>
      </c>
      <c r="FB281" s="95" t="e">
        <f t="shared" ca="1" si="497"/>
        <v>#DIV/0!</v>
      </c>
      <c r="FC281" s="101">
        <f t="shared" si="530"/>
        <v>0</v>
      </c>
      <c r="FD281" s="91">
        <f t="shared" si="464"/>
        <v>0</v>
      </c>
      <c r="FE281" s="30" t="e">
        <f t="shared" si="514"/>
        <v>#N/A</v>
      </c>
      <c r="FF281" s="30" t="e">
        <f t="shared" si="515"/>
        <v>#N/A</v>
      </c>
      <c r="FG281" s="31" t="e">
        <f>IF(OR(Hypothèses!$B$4=17,Hypothèses!$B$4=18,Hypothèses!$B$4=19,Hypothèses!$B$4=20),
IF($D281="Pressio.",
IF(OR($E281=3,$E281=1,$E281=4),FF281,FE281),
IF($D281="Pénétro.",
IF(OR($E281=3,$E281=1,$E281=4),FF281,FE281))),IF($D281="Pressio.",
IF($E281=3,FF281,FE281),
IF($D281="Pénétro.",
IF($E281=4,FF281,FE281))))</f>
        <v>#N/A</v>
      </c>
      <c r="FH281" s="31">
        <v>0</v>
      </c>
      <c r="FI281" s="102" t="e">
        <f>IF(NDC!$H$10="Oui",(VLOOKUP($B$3,'Coeff EC7'!$T$39:$X$59,2,0)*FG281+VLOOKUP($B$3,'Coeff EC7'!$T$65:$X$85,2,0)*Model0.1T!FH281)/1.5,PI()*FE$12*$Q281*($B281-$B280)*0.15/10+FI280)</f>
        <v>#N/A</v>
      </c>
      <c r="FJ281" s="102" t="e">
        <f>(VLOOKUP($B$3,'Coeff EC7'!$T$39:$X$59,3,0)*FG281+VLOOKUP($B$3,'Coeff EC7'!$T$65:$X$85,3,0)*Model0.1T!FH281)/1.1</f>
        <v>#N/A</v>
      </c>
      <c r="FK281" s="102" t="e">
        <f t="shared" si="498"/>
        <v>#N/A</v>
      </c>
      <c r="FL281" s="102" t="e">
        <f t="shared" si="499"/>
        <v>#N/A</v>
      </c>
      <c r="FM281" s="414" t="e">
        <f>IF(AND(FI281&gt;NDC!$C$63,FJ281&gt;NDC!$C$65,FK281&gt;NDC!$D$73,FL281&gt;NDC!$D$74,$B281&gt;NDC!$H$22-0.1+MIN(3*FM$12,1.5)),0,1)</f>
        <v>#N/A</v>
      </c>
    </row>
    <row r="282" spans="1:169">
      <c r="A282" s="96">
        <f t="shared" si="465"/>
        <v>73.100000000001529</v>
      </c>
      <c r="B282" s="97">
        <v>26.9</v>
      </c>
      <c r="C282" s="81">
        <f>IF(B282&lt;=Hypothèses!$C$7,Hypothèses!$A$7,IF(B282&lt;=Hypothèses!$C$8,Hypothèses!$A$8,IF(B282&lt;=Hypothèses!$C$9,Hypothèses!$A$9,IF(B282&lt;=Hypothèses!$C$10,Hypothèses!$A$10,IF(B282&lt;=Hypothèses!$C$11,Hypothèses!$A$11,IF(B282&lt;=Hypothèses!$C$12,Hypothèses!$A$12,IF(B282&lt;=Hypothèses!$C$13,Hypothèses!$A$13,IF(B282&lt;=Hypothèses!$C$14,Hypothèses!$A$14,IF(B282&lt;=Hypothèses!$C$15,Hypothèses!$A$15,IF(B282&lt;=Hypothèses!$C$16,Hypothèses!$A$16,IF(B282&lt;=Hypothèses!$C$17,Hypothèses!$A$17,IF(B282&lt;=Hypothèses!$C$18,Hypothèses!$A$18,C281))))))))))))</f>
        <v>11</v>
      </c>
      <c r="D282" s="82" t="str">
        <f>IF(B282&lt;=Hypothèses!$C$7,Hypothèses!$R$7,IF(B282&lt;=Hypothèses!$C$8,Hypothèses!$R$8,IF(B282&lt;=Hypothèses!$C$9,Hypothèses!$R$9,IF(B282&lt;=Hypothèses!$C$10,Hypothèses!$R$10,IF(B282&lt;=Hypothèses!$C$11,Hypothèses!$R$11,IF(B282&lt;=Hypothèses!$C$12,Hypothèses!$R$12,IF(B282&lt;=Hypothèses!$C$13,Hypothèses!$R$13,IF(B282&lt;=Hypothèses!$C$14,Hypothèses!$R$14,IF(B282&lt;=Hypothèses!$C$15,Hypothèses!$R$15,IF(B282&lt;=Hypothèses!$C$16,Hypothèses!$R$16,IF(B282&lt;=Hypothèses!$C$17,Hypothèses!$R$17,IF(B282&lt;=Hypothèses!$C$18,Hypothèses!$R$18,D281))))))))))))</f>
        <v>Pressio.</v>
      </c>
      <c r="E282" s="82" t="e">
        <f>IF(B282&lt;=Hypothèses!$C$7,Hypothèses!$G$7,IF(B282&lt;=Hypothèses!$C$8,Hypothèses!$G$8,IF(B282&lt;=Hypothèses!$C$9,Hypothèses!$G$9,IF(B282&lt;=Hypothèses!$C$10,Hypothèses!$G$10,IF(B282&lt;=Hypothèses!$C$11,Hypothèses!$G$11,IF(B282&lt;=Hypothèses!$C$12,Hypothèses!$G$12,IF(B282&lt;=Hypothèses!$C$13,Hypothèses!$G$13,IF(B282&lt;=Hypothèses!$C$14,Hypothèses!$G$14,IF(B282&lt;=Hypothèses!$C$15,Hypothèses!$G$15,IF(B282&lt;=Hypothèses!$C$16,Hypothèses!$G$16,IF(B282&lt;=Hypothèses!$C$17,Hypothèses!$G$17,IF(B282&lt;=Hypothèses!$C$18,Hypothèses!$G$18,E281))))))))))))</f>
        <v>#N/A</v>
      </c>
      <c r="F282" s="82" t="str">
        <f>IF(B282&lt;=Hypothèses!$C$7,Hypothèses!$F$7,IF(B282&lt;=Hypothèses!$C$8,Hypothèses!$F$8,IF(B282&lt;=Hypothèses!$C$9,Hypothèses!$F$9,IF(B282&lt;=Hypothèses!$C$10,Hypothèses!$F$10,IF(B282&lt;=Hypothèses!$C$11,Hypothèses!$F$11,IF(B282&lt;=Hypothèses!$C$12,Hypothèses!$F$12,IF(B282&lt;=Hypothèses!$C$13,Hypothèses!$F$13,IF(B282&lt;=Hypothèses!$C$14,Hypothèses!$F$14,IF(B282&lt;=Hypothèses!$C$15,Hypothèses!$F$15,IF(B282&lt;=Hypothèses!$C$16,Hypothèses!$F$16,IF(B282&lt;=Hypothèses!$C$17,Hypothèses!$F$17,IF(B282&lt;=Hypothèses!$C$18,Hypothèses!$F$18,F281))))))))))))</f>
        <v/>
      </c>
      <c r="G282" s="91">
        <f t="array" ref="G282">INDEX('Coeff EC7'!$U$7:$X$27,
MATCH(Model0.1T!$B$3,'Coeff EC7'!$T$7:$T$27,0),
MATCH(Model0.1T!$D282&amp;Model0.1T!$B$4,
'Coeff EC7'!$U$6:$X$6&amp;
'Coeff EC7'!$U$5:$X$5,0))</f>
        <v>1.4</v>
      </c>
      <c r="H282" s="91">
        <f t="array" ref="H282">INDEX('Coeff EC7'!$Y$7:$AB$27,
MATCH(Model0.1T!$B$3,'Coeff EC7'!$T$7:$T$27,0),
MATCH(Model0.1T!$D282&amp;Model0.1T!$B$4,
'Coeff EC7'!$Y$6:$AB$6&amp;
'Coeff EC7'!$Y$5:$AB$5,0))</f>
        <v>1.7</v>
      </c>
      <c r="I282" s="83">
        <v>0</v>
      </c>
      <c r="J282" s="91" t="e">
        <f t="array" ref="J282">INDEX('Coeff EC7'!$D$33:$Q$33,1,MATCH(D282&amp;E282,'Coeff EC7'!$D$31:$Q$31&amp;'Coeff EC7'!$D$32:$Q$32,0))</f>
        <v>#N/A</v>
      </c>
      <c r="K282" s="91" t="e">
        <f t="array" ref="K282">INDEX('Coeff EC7'!$D$34:$Q$34,1,MATCH(D282&amp;E282,'Coeff EC7'!$D$31:$Q$31&amp;'Coeff EC7'!$D$32:$Q$32,0))</f>
        <v>#N/A</v>
      </c>
      <c r="L282" s="91" t="e">
        <f t="array" ref="L282">INDEX('Coeff EC7'!$D$35:$Q$35,1,MATCH(D282&amp;E282,'Coeff EC7'!$D$31:$Q$31&amp;'Coeff EC7'!$D$32:$Q$32,0))</f>
        <v>#N/A</v>
      </c>
      <c r="M282" s="98" t="e">
        <f t="shared" si="431"/>
        <v>#N/A</v>
      </c>
      <c r="N282" s="99" t="e">
        <f t="array" ref="N282">INDEX('Coeff EC7'!$D$7:$Q$27,MATCH($B$3,'Coeff EC7'!$C$7:$C$27,0),MATCH(D282&amp;E282,'Coeff EC7'!$D$5:$Q$5&amp;'Coeff EC7'!$D$6:$Q$6,0))</f>
        <v>#N/A</v>
      </c>
      <c r="O282" s="99" t="e">
        <f t="array" ref="O282">INDEX('Coeff EC7'!$D$41:$Q$61,MATCH($B$3,'Coeff EC7'!$C$41:$C$61,0),MATCH(D282&amp;E282,'Coeff EC7'!$D$39:$Q$39&amp;'Coeff EC7'!$D$40:$Q$40,0))</f>
        <v>#N/A</v>
      </c>
      <c r="P282" s="30" t="e">
        <f t="shared" si="466"/>
        <v>#N/A</v>
      </c>
      <c r="Q282" s="100" t="e">
        <f t="shared" si="433"/>
        <v>#N/A</v>
      </c>
      <c r="R282" s="86" t="b">
        <f t="shared" si="434"/>
        <v>0</v>
      </c>
      <c r="S282" s="86">
        <f t="shared" si="432"/>
        <v>0.5</v>
      </c>
      <c r="T282" s="86">
        <f t="shared" si="435"/>
        <v>0.5</v>
      </c>
      <c r="U282" s="30" t="e">
        <f t="shared" ca="1" si="467"/>
        <v>#DIV/0!</v>
      </c>
      <c r="V282" s="85" t="str">
        <f>IF(B282&lt;=Hypothèses!$V$7,Hypothèses!$W$7,IF(B282&lt;=Hypothèses!$V$8,Hypothèses!$W$8,IF(B282&lt;=Hypothèses!$V$9,Hypothèses!$W$9,IF(B282&lt;=Hypothèses!$V$10,Hypothèses!$W$10,IF(B282&lt;=Hypothèses!$V$11,Hypothèses!$W$11,IF(B282&lt;=Hypothèses!$V$12,Hypothèses!$W$12,IF(B282&lt;=Hypothèses!$V$13,Hypothèses!$W$13,IF(B282&lt;=Hypothèses!$V$14,Hypothèses!$W$14,IF(B282&lt;=Hypothèses!$V$15,Hypothèses!$W$15,IF(B282&lt;=Hypothèses!$V$16,Hypothèses!$W$16,IF(B282&lt;=Hypothèses!$V$17,Hypothèses!$W$17,IF(B282&lt;=Hypothèses!$V$18,Hypothèses!$W$18,""))))))))))))</f>
        <v/>
      </c>
      <c r="W282" s="87" t="e">
        <f t="shared" ca="1" si="516"/>
        <v>#DIV/0!</v>
      </c>
      <c r="X282" s="88" t="str">
        <f>IF(B282&lt;=Hypothèses!$V$7,Hypothèses!$X$7,IF(B282&lt;=Hypothèses!$V$8,Hypothèses!$X$8,IF(B282&lt;=Hypothèses!$V$9,Hypothèses!$X$9,IF(B282&lt;=Hypothèses!$V$10,Hypothèses!$X$10,IF(B282&lt;=Hypothèses!$V$11,Hypothèses!$X$11,IF(B282&lt;=Hypothèses!$V$12,Hypothèses!$X$12,IF(B282&lt;=Hypothèses!$V$13,Hypothèses!$X$13,IF(B282&lt;=Hypothèses!$V$14,Hypothèses!$X$14,IF(B282&lt;=Hypothèses!$V$15,Hypothèses!$X$15,IF(B282&lt;=Hypothèses!$V$16,Hypothèses!$X$16,IF(B282&lt;=Hypothèses!$U$17,Hypothèses!$W$17,IF(B282&lt;=Hypothèses!$U$18,Hypothèses!$W$18,""))))))))))))</f>
        <v/>
      </c>
      <c r="Y282" s="95" t="e">
        <f t="shared" ca="1" si="436"/>
        <v>#DIV/0!</v>
      </c>
      <c r="Z282" s="101">
        <f t="shared" si="437"/>
        <v>0</v>
      </c>
      <c r="AA282" s="91">
        <f t="shared" si="438"/>
        <v>0</v>
      </c>
      <c r="AB282" s="30" t="e">
        <f t="shared" si="500"/>
        <v>#N/A</v>
      </c>
      <c r="AC282" s="30" t="e">
        <f t="shared" si="501"/>
        <v>#N/A</v>
      </c>
      <c r="AD282" s="31" t="e">
        <f>IF(OR(Hypothèses!$B$4=17,Hypothèses!$B$4=18,Hypothèses!$B$4=19,Hypothèses!$B$4=20),
IF($D282="Pressio.",
IF(OR($E282=3,$E282=1,$E282=4),AC282,AB282),
IF($D282="Pénétro.",
IF(OR($E282=3,$E282=1,$E282=4),AC282,AB282))),IF($D282="Pressio.",
IF($E282=3,AC282,AB282),
IF($D282="Pénétro.",
IF($E282=4,AC282,AB282))))</f>
        <v>#N/A</v>
      </c>
      <c r="AE282" s="31">
        <v>0</v>
      </c>
      <c r="AF282" s="102" t="e">
        <f>IF(NDC!$H$10="Oui",(VLOOKUP($B$3,'Coeff EC7'!$T$39:$X$59,2,0)*AD282+VLOOKUP($B$3,'Coeff EC7'!$T$65:$X$85,2,0)*Model0.1T!AE282)/1.5,PI()*AB$12*$Q282*($B282-$B281)*0.15/10+AF281)</f>
        <v>#N/A</v>
      </c>
      <c r="AG282" s="102" t="e">
        <f>(VLOOKUP($B$3,'Coeff EC7'!$T$39:$X$59,3,0)*AD282+VLOOKUP($B$3,'Coeff EC7'!$T$65:$X$85,3,0)*Model0.1T!AE282)/1.1</f>
        <v>#N/A</v>
      </c>
      <c r="AH282" s="102" t="e">
        <f t="shared" si="468"/>
        <v>#N/A</v>
      </c>
      <c r="AI282" s="102" t="e">
        <f t="shared" si="469"/>
        <v>#N/A</v>
      </c>
      <c r="AJ282" s="414" t="e">
        <f>IF(AND(AF282&gt;NDC!$C$63,AG282&gt;NDC!$C$65,AH282&gt;NDC!$D$73,AI282&gt;NDC!$D$74,$B282&gt;NDC!$H$22-0.1+MIN(3*$AJ$12,1.5)),0,1)</f>
        <v>#N/A</v>
      </c>
      <c r="AK282" s="86" t="b">
        <f t="shared" si="439"/>
        <v>0</v>
      </c>
      <c r="AL282" s="86">
        <f t="shared" si="470"/>
        <v>0.5</v>
      </c>
      <c r="AM282" s="86">
        <f t="shared" si="440"/>
        <v>0.5</v>
      </c>
      <c r="AN282" s="30" t="e">
        <f t="shared" ca="1" si="471"/>
        <v>#DIV/0!</v>
      </c>
      <c r="AO282" s="85" t="e">
        <f ca="1">IF(U282&lt;=Hypothèses!$V$7,Hypothèses!$W$7,IF(U282&lt;=Hypothèses!$V$8,Hypothèses!$W$8,IF(U282&lt;=Hypothèses!$V$9,Hypothèses!$W$9,IF(U282&lt;=Hypothèses!$V$10,Hypothèses!$W$10,IF(U282&lt;=Hypothèses!$V$11,Hypothèses!$W$11,IF(U282&lt;=Hypothèses!$V$12,Hypothèses!$W$12,IF(U282&lt;=Hypothèses!$V$13,Hypothèses!$W$13,IF(U282&lt;=Hypothèses!$V$14,Hypothèses!$W$14,IF(U282&lt;=Hypothèses!$V$15,Hypothèses!$W$15,IF(U282&lt;=Hypothèses!$V$16,Hypothèses!$W$16,IF(U282&lt;=Hypothèses!$V$17,Hypothèses!$W$17,IF(U282&lt;=Hypothèses!$V$18,Hypothèses!$W$18,""))))))))))))</f>
        <v>#DIV/0!</v>
      </c>
      <c r="AP282" s="87" t="e">
        <f t="shared" ca="1" si="517"/>
        <v>#DIV/0!</v>
      </c>
      <c r="AQ282" s="88" t="e">
        <f ca="1">IF(U282&lt;=Hypothèses!$V$7,Hypothèses!$X$7,IF(U282&lt;=Hypothèses!$V$8,Hypothèses!$X$8,IF(U282&lt;=Hypothèses!$V$9,Hypothèses!$X$9,IF(U282&lt;=Hypothèses!$V$10,Hypothèses!$X$10,IF(U282&lt;=Hypothèses!$V$11,Hypothèses!$X$11,IF(U282&lt;=Hypothèses!$V$12,Hypothèses!$X$12,IF(U282&lt;=Hypothèses!$V$13,Hypothèses!$X$13,IF(U282&lt;=Hypothèses!$V$14,Hypothèses!$X$14,IF(U282&lt;=Hypothèses!$V$15,Hypothèses!$X$15,IF(U282&lt;=Hypothèses!$V$16,Hypothèses!$X$16,IF(U282&lt;=Hypothèses!$U$17,Hypothèses!$W$17,IF(U282&lt;=Hypothèses!$U$18,Hypothèses!$W$18,""))))))))))))</f>
        <v>#DIV/0!</v>
      </c>
      <c r="AR282" s="95" t="e">
        <f t="shared" ca="1" si="472"/>
        <v>#DIV/0!</v>
      </c>
      <c r="AS282" s="101">
        <f t="shared" si="524"/>
        <v>0</v>
      </c>
      <c r="AT282" s="91">
        <f t="shared" si="441"/>
        <v>0</v>
      </c>
      <c r="AU282" s="30" t="e">
        <f t="shared" si="502"/>
        <v>#N/A</v>
      </c>
      <c r="AV282" s="30" t="e">
        <f t="shared" si="503"/>
        <v>#N/A</v>
      </c>
      <c r="AW282" s="31" t="e">
        <f>IF(OR(Hypothèses!$B$4=17,Hypothèses!$B$4=18,Hypothèses!$B$4=19,Hypothèses!$B$4=20),
IF($D282="Pressio.",
IF(OR($E282=3,$E282=1,$E282=4),AV282,AU282),
IF($D282="Pénétro.",
IF(OR($E282=3,$E282=1,$E282=4),AV282,AU282))),IF($D282="Pressio.",
IF($E282=3,AV282,AU282),
IF($D282="Pénétro.",
IF($E282=4,AV282,AU282))))</f>
        <v>#N/A</v>
      </c>
      <c r="AX282" s="31">
        <v>0</v>
      </c>
      <c r="AY282" s="102" t="e">
        <f>IF(NDC!$H$10="Oui",(VLOOKUP($B$3,'Coeff EC7'!$T$39:$X$59,2,0)*AW282+VLOOKUP($B$3,'Coeff EC7'!$T$65:$X$85,2,0)*Model0.1T!AX282)/1.5,PI()*AU$12*$Q282*($B282-$B281)*0.15/10+AY281)</f>
        <v>#N/A</v>
      </c>
      <c r="AZ282" s="102" t="e">
        <f>(VLOOKUP($B$3,'Coeff EC7'!$T$39:$X$59,3,0)*AW282+VLOOKUP($B$3,'Coeff EC7'!$T$65:$X$85,3,0)*Model0.1T!AX282)/1.1</f>
        <v>#N/A</v>
      </c>
      <c r="BA282" s="102" t="e">
        <f t="shared" si="473"/>
        <v>#N/A</v>
      </c>
      <c r="BB282" s="102" t="e">
        <f t="shared" si="474"/>
        <v>#N/A</v>
      </c>
      <c r="BC282" s="414" t="e">
        <f>IF(AND(AY282&gt;NDC!$C$63,AZ282&gt;NDC!$C$65,BA282&gt;NDC!$D$73,BB282&gt;NDC!$D$74,$B282&gt;NDC!$H$22-0.1+MIN(3*BC$12,1.5)),0,1)</f>
        <v>#N/A</v>
      </c>
      <c r="BD282" s="86" t="b">
        <f t="shared" si="442"/>
        <v>0</v>
      </c>
      <c r="BE282" s="86">
        <f t="shared" si="475"/>
        <v>0.5</v>
      </c>
      <c r="BF282" s="86">
        <f t="shared" si="443"/>
        <v>0.5</v>
      </c>
      <c r="BG282" s="30" t="e">
        <f t="shared" ca="1" si="476"/>
        <v>#DIV/0!</v>
      </c>
      <c r="BH282" s="85" t="e">
        <f ca="1">IF(AN282&lt;=Hypothèses!$V$7,Hypothèses!$W$7,IF(AN282&lt;=Hypothèses!$V$8,Hypothèses!$W$8,IF(AN282&lt;=Hypothèses!$V$9,Hypothèses!$W$9,IF(AN282&lt;=Hypothèses!$V$10,Hypothèses!$W$10,IF(AN282&lt;=Hypothèses!$V$11,Hypothèses!$W$11,IF(AN282&lt;=Hypothèses!$V$12,Hypothèses!$W$12,IF(AN282&lt;=Hypothèses!$V$13,Hypothèses!$W$13,IF(AN282&lt;=Hypothèses!$V$14,Hypothèses!$W$14,IF(AN282&lt;=Hypothèses!$V$15,Hypothèses!$W$15,IF(AN282&lt;=Hypothèses!$V$16,Hypothèses!$W$16,IF(AN282&lt;=Hypothèses!$V$17,Hypothèses!$W$17,IF(AN282&lt;=Hypothèses!$V$18,Hypothèses!$W$18,""))))))))))))</f>
        <v>#DIV/0!</v>
      </c>
      <c r="BI282" s="87" t="e">
        <f t="shared" ca="1" si="518"/>
        <v>#DIV/0!</v>
      </c>
      <c r="BJ282" s="88" t="e">
        <f ca="1">IF(AN282&lt;=Hypothèses!$V$7,Hypothèses!$X$7,IF(AN282&lt;=Hypothèses!$V$8,Hypothèses!$X$8,IF(AN282&lt;=Hypothèses!$V$9,Hypothèses!$X$9,IF(AN282&lt;=Hypothèses!$V$10,Hypothèses!$X$10,IF(AN282&lt;=Hypothèses!$V$11,Hypothèses!$X$11,IF(AN282&lt;=Hypothèses!$V$12,Hypothèses!$X$12,IF(AN282&lt;=Hypothèses!$V$13,Hypothèses!$X$13,IF(AN282&lt;=Hypothèses!$V$14,Hypothèses!$X$14,IF(AN282&lt;=Hypothèses!$V$15,Hypothèses!$X$15,IF(AN282&lt;=Hypothèses!$V$16,Hypothèses!$X$16,IF(AN282&lt;=Hypothèses!$U$17,Hypothèses!$W$17,IF(AN282&lt;=Hypothèses!$U$18,Hypothèses!$W$18,""))))))))))))</f>
        <v>#DIV/0!</v>
      </c>
      <c r="BK282" s="95" t="e">
        <f t="shared" ca="1" si="477"/>
        <v>#DIV/0!</v>
      </c>
      <c r="BL282" s="101">
        <f t="shared" si="525"/>
        <v>0</v>
      </c>
      <c r="BM282" s="91">
        <f t="shared" si="444"/>
        <v>0</v>
      </c>
      <c r="BN282" s="30" t="e">
        <f t="shared" si="504"/>
        <v>#N/A</v>
      </c>
      <c r="BO282" s="30" t="e">
        <f t="shared" si="505"/>
        <v>#N/A</v>
      </c>
      <c r="BP282" s="31" t="e">
        <f>IF(OR(Hypothèses!$B$4=17,Hypothèses!$B$4=18,Hypothèses!$B$4=19,Hypothèses!$B$4=20),
IF($D282="Pressio.",
IF(OR($E282=3,$E282=1,$E282=4),BO282,BN282),
IF($D282="Pénétro.",
IF(OR($E282=3,$E282=1,$E282=4),BO282,BN282))),IF($D282="Pressio.",
IF($E282=3,BO282,BN282),
IF($D282="Pénétro.",
IF($E282=4,BO282,BN282))))</f>
        <v>#N/A</v>
      </c>
      <c r="BQ282" s="31">
        <v>0</v>
      </c>
      <c r="BR282" s="102" t="e">
        <f>IF(NDC!$H$10="Oui",(VLOOKUP($B$3,'Coeff EC7'!$T$39:$X$59,2,0)*BP282+VLOOKUP($B$3,'Coeff EC7'!$T$65:$X$85,2,0)*Model0.1T!BQ282)/1.5,PI()*BN$12*$Q282*($B282-$B281)*0.15/10+BR281)</f>
        <v>#N/A</v>
      </c>
      <c r="BS282" s="102" t="e">
        <f>(VLOOKUP($B$3,'Coeff EC7'!$T$39:$X$59,3,0)*BP282+VLOOKUP($B$3,'Coeff EC7'!$T$65:$X$85,3,0)*Model0.1T!BQ282)/1.1</f>
        <v>#N/A</v>
      </c>
      <c r="BT282" s="102" t="e">
        <f t="shared" si="478"/>
        <v>#N/A</v>
      </c>
      <c r="BU282" s="102" t="e">
        <f t="shared" si="479"/>
        <v>#N/A</v>
      </c>
      <c r="BV282" s="414" t="e">
        <f>IF(AND(BR282&gt;NDC!$C$63,BS282&gt;NDC!$C$65,BT282&gt;NDC!$D$73,BU282&gt;NDC!$D$74,$B282&gt;NDC!$H$22-0.1+MIN(3*BV$12,1.5)),0,1)</f>
        <v>#N/A</v>
      </c>
      <c r="BW282" s="86" t="b">
        <f t="shared" si="445"/>
        <v>0</v>
      </c>
      <c r="BX282" s="86">
        <f t="shared" si="446"/>
        <v>0.5</v>
      </c>
      <c r="BY282" s="86">
        <f t="shared" si="447"/>
        <v>0.5</v>
      </c>
      <c r="BZ282" s="30" t="e">
        <f t="shared" ca="1" si="480"/>
        <v>#DIV/0!</v>
      </c>
      <c r="CA282" s="85" t="e">
        <f ca="1">IF(BG282&lt;=Hypothèses!$V$7,Hypothèses!$W$7,IF(BG282&lt;=Hypothèses!$V$8,Hypothèses!$W$8,IF(BG282&lt;=Hypothèses!$V$9,Hypothèses!$W$9,IF(BG282&lt;=Hypothèses!$V$10,Hypothèses!$W$10,IF(BG282&lt;=Hypothèses!$V$11,Hypothèses!$W$11,IF(BG282&lt;=Hypothèses!$V$12,Hypothèses!$W$12,IF(BG282&lt;=Hypothèses!$V$13,Hypothèses!$W$13,IF(BG282&lt;=Hypothèses!$V$14,Hypothèses!$W$14,IF(BG282&lt;=Hypothèses!$V$15,Hypothèses!$W$15,IF(BG282&lt;=Hypothèses!$V$16,Hypothèses!$W$16,IF(BG282&lt;=Hypothèses!$V$17,Hypothèses!$W$17,IF(BG282&lt;=Hypothèses!$V$18,Hypothèses!$W$18,""))))))))))))</f>
        <v>#DIV/0!</v>
      </c>
      <c r="CB282" s="87" t="e">
        <f t="shared" ca="1" si="519"/>
        <v>#DIV/0!</v>
      </c>
      <c r="CC282" s="88" t="e">
        <f ca="1">IF(BG282&lt;=Hypothèses!$V$7,Hypothèses!$X$7,IF(BG282&lt;=Hypothèses!$V$8,Hypothèses!$X$8,IF(BG282&lt;=Hypothèses!$V$9,Hypothèses!$X$9,IF(BG282&lt;=Hypothèses!$V$10,Hypothèses!$X$10,IF(BG282&lt;=Hypothèses!$V$11,Hypothèses!$X$11,IF(BG282&lt;=Hypothèses!$V$12,Hypothèses!$X$12,IF(BG282&lt;=Hypothèses!$V$13,Hypothèses!$X$13,IF(BG282&lt;=Hypothèses!$V$14,Hypothèses!$X$14,IF(BG282&lt;=Hypothèses!$V$15,Hypothèses!$X$15,IF(BG282&lt;=Hypothèses!$V$16,Hypothèses!$X$16,IF(BG282&lt;=Hypothèses!$U$17,Hypothèses!$W$17,IF(BG282&lt;=Hypothèses!$U$18,Hypothèses!$W$18,""))))))))))))</f>
        <v>#DIV/0!</v>
      </c>
      <c r="CD282" s="95" t="e">
        <f t="shared" ca="1" si="481"/>
        <v>#DIV/0!</v>
      </c>
      <c r="CE282" s="101">
        <f t="shared" si="526"/>
        <v>0</v>
      </c>
      <c r="CF282" s="91">
        <f t="shared" si="448"/>
        <v>0</v>
      </c>
      <c r="CG282" s="30" t="e">
        <f t="shared" si="506"/>
        <v>#N/A</v>
      </c>
      <c r="CH282" s="30" t="e">
        <f t="shared" si="507"/>
        <v>#N/A</v>
      </c>
      <c r="CI282" s="31" t="e">
        <f>IF(OR(Hypothèses!$B$4=17,Hypothèses!$B$4=18,Hypothèses!$B$4=19,Hypothèses!$B$4=20),
IF($D282="Pressio.",
IF(OR($E282=3,$E282=1,$E282=4),CH282,CG282),
IF($D282="Pénétro.",
IF(OR($E282=3,$E282=1,$E282=4),CH282,CG282))),IF($D282="Pressio.",
IF($E282=3,CH282,CG282),
IF($D282="Pénétro.",
IF($E282=4,CH282,CG282))))</f>
        <v>#N/A</v>
      </c>
      <c r="CJ282" s="31">
        <v>0</v>
      </c>
      <c r="CK282" s="102" t="e">
        <f>IF(NDC!$H$10="Oui",(VLOOKUP($B$3,'Coeff EC7'!$T$39:$X$59,2,0)*CI282+VLOOKUP($B$3,'Coeff EC7'!$T$65:$X$85,2,0)*Model0.1T!CJ282)/1.5,PI()*CG$12*$Q282*($B282-$B281)*0.15/10+CK281)</f>
        <v>#N/A</v>
      </c>
      <c r="CL282" s="102" t="e">
        <f>(VLOOKUP($B$3,'Coeff EC7'!$T$39:$X$59,3,0)*CI282+VLOOKUP($B$3,'Coeff EC7'!$T$65:$X$85,3,0)*Model0.1T!CJ282)/1.1</f>
        <v>#N/A</v>
      </c>
      <c r="CM282" s="102" t="e">
        <f t="shared" si="482"/>
        <v>#N/A</v>
      </c>
      <c r="CN282" s="102" t="e">
        <f t="shared" si="483"/>
        <v>#N/A</v>
      </c>
      <c r="CO282" s="414" t="e">
        <f>IF(AND(CK282&gt;NDC!$C$63,CL282&gt;NDC!$C$65,CM282&gt;NDC!$D$73,CN282&gt;NDC!$D$74,$B282&gt;NDC!$H$22-0.1+MIN(3*CO$12,1.5)),0,1)</f>
        <v>#N/A</v>
      </c>
      <c r="CP282" s="86" t="b">
        <f t="shared" si="449"/>
        <v>0</v>
      </c>
      <c r="CQ282" s="86">
        <f t="shared" si="450"/>
        <v>0.5</v>
      </c>
      <c r="CR282" s="86">
        <f t="shared" si="451"/>
        <v>0.5</v>
      </c>
      <c r="CS282" s="30" t="e">
        <f t="shared" ca="1" si="484"/>
        <v>#DIV/0!</v>
      </c>
      <c r="CT282" s="85" t="e">
        <f ca="1">IF(BZ282&lt;=Hypothèses!$V$7,Hypothèses!$W$7,IF(BZ282&lt;=Hypothèses!$V$8,Hypothèses!$W$8,IF(BZ282&lt;=Hypothèses!$V$9,Hypothèses!$W$9,IF(BZ282&lt;=Hypothèses!$V$10,Hypothèses!$W$10,IF(BZ282&lt;=Hypothèses!$V$11,Hypothèses!$W$11,IF(BZ282&lt;=Hypothèses!$V$12,Hypothèses!$W$12,IF(BZ282&lt;=Hypothèses!$V$13,Hypothèses!$W$13,IF(BZ282&lt;=Hypothèses!$V$14,Hypothèses!$W$14,IF(BZ282&lt;=Hypothèses!$V$15,Hypothèses!$W$15,IF(BZ282&lt;=Hypothèses!$V$16,Hypothèses!$W$16,IF(BZ282&lt;=Hypothèses!$V$17,Hypothèses!$W$17,IF(BZ282&lt;=Hypothèses!$V$18,Hypothèses!$W$18,""))))))))))))</f>
        <v>#DIV/0!</v>
      </c>
      <c r="CU282" s="87" t="e">
        <f t="shared" ca="1" si="520"/>
        <v>#DIV/0!</v>
      </c>
      <c r="CV282" s="88" t="e">
        <f ca="1">IF(BZ282&lt;=Hypothèses!$V$7,Hypothèses!$X$7,IF(BZ282&lt;=Hypothèses!$V$8,Hypothèses!$X$8,IF(BZ282&lt;=Hypothèses!$V$9,Hypothèses!$X$9,IF(BZ282&lt;=Hypothèses!$V$10,Hypothèses!$X$10,IF(BZ282&lt;=Hypothèses!$V$11,Hypothèses!$X$11,IF(BZ282&lt;=Hypothèses!$V$12,Hypothèses!$X$12,IF(BZ282&lt;=Hypothèses!$V$13,Hypothèses!$X$13,IF(BZ282&lt;=Hypothèses!$V$14,Hypothèses!$X$14,IF(BZ282&lt;=Hypothèses!$V$15,Hypothèses!$X$15,IF(BZ282&lt;=Hypothèses!$V$16,Hypothèses!$X$16,IF(BZ282&lt;=Hypothèses!$U$17,Hypothèses!$W$17,IF(BZ282&lt;=Hypothèses!$U$18,Hypothèses!$W$18,""))))))))))))</f>
        <v>#DIV/0!</v>
      </c>
      <c r="CW282" s="95" t="e">
        <f t="shared" ca="1" si="485"/>
        <v>#DIV/0!</v>
      </c>
      <c r="CX282" s="101">
        <f t="shared" si="527"/>
        <v>0</v>
      </c>
      <c r="CY282" s="91">
        <f t="shared" si="452"/>
        <v>0</v>
      </c>
      <c r="CZ282" s="30" t="e">
        <f t="shared" si="508"/>
        <v>#N/A</v>
      </c>
      <c r="DA282" s="30" t="e">
        <f t="shared" si="509"/>
        <v>#N/A</v>
      </c>
      <c r="DB282" s="31" t="e">
        <f>IF(OR(Hypothèses!$B$4=17,Hypothèses!$B$4=18,Hypothèses!$B$4=19,Hypothèses!$B$4=20),
IF($D282="Pressio.",
IF(OR($E282=3,$E282=1,$E282=4),DA282,CZ282),
IF($D282="Pénétro.",
IF(OR($E282=3,$E282=1,$E282=4),DA282,CZ282))),IF($D282="Pressio.",
IF($E282=3,DA282,CZ282),
IF($D282="Pénétro.",
IF($E282=4,DA282,CZ282))))</f>
        <v>#N/A</v>
      </c>
      <c r="DC282" s="31">
        <v>0</v>
      </c>
      <c r="DD282" s="102" t="e">
        <f>IF(NDC!$H$10="Oui",(VLOOKUP($B$3,'Coeff EC7'!$T$39:$X$59,2,0)*DB282+VLOOKUP($B$3,'Coeff EC7'!$T$65:$X$85,2,0)*Model0.1T!DC282)/1.5,PI()*CZ$12*$Q282*($B282-$B281)*0.15/10+DD281)</f>
        <v>#N/A</v>
      </c>
      <c r="DE282" s="102" t="e">
        <f>(VLOOKUP($B$3,'Coeff EC7'!$T$39:$X$59,3,0)*DB282+VLOOKUP($B$3,'Coeff EC7'!$T$65:$X$85,3,0)*Model0.1T!DC282)/1.1</f>
        <v>#N/A</v>
      </c>
      <c r="DF282" s="102" t="e">
        <f t="shared" si="486"/>
        <v>#N/A</v>
      </c>
      <c r="DG282" s="102" t="e">
        <f t="shared" si="487"/>
        <v>#N/A</v>
      </c>
      <c r="DH282" s="414" t="e">
        <f>IF(AND(DD282&gt;NDC!$C$63,DE282&gt;NDC!$C$65,DF282&gt;NDC!$D$73,DG282&gt;NDC!$D$74,$B282&gt;NDC!$H$22-0.1+MIN(3*DH$12,1.5)),0,1)</f>
        <v>#N/A</v>
      </c>
      <c r="DI282" s="86" t="b">
        <f t="shared" si="453"/>
        <v>0</v>
      </c>
      <c r="DJ282" s="86">
        <f t="shared" si="454"/>
        <v>0.5</v>
      </c>
      <c r="DK282" s="86">
        <f t="shared" si="455"/>
        <v>0.5</v>
      </c>
      <c r="DL282" s="30" t="e">
        <f t="shared" ca="1" si="488"/>
        <v>#DIV/0!</v>
      </c>
      <c r="DM282" s="85" t="e">
        <f ca="1">IF(CS282&lt;=Hypothèses!$V$7,Hypothèses!$W$7,IF(CS282&lt;=Hypothèses!$V$8,Hypothèses!$W$8,IF(CS282&lt;=Hypothèses!$V$9,Hypothèses!$W$9,IF(CS282&lt;=Hypothèses!$V$10,Hypothèses!$W$10,IF(CS282&lt;=Hypothèses!$V$11,Hypothèses!$W$11,IF(CS282&lt;=Hypothèses!$V$12,Hypothèses!$W$12,IF(CS282&lt;=Hypothèses!$V$13,Hypothèses!$W$13,IF(CS282&lt;=Hypothèses!$V$14,Hypothèses!$W$14,IF(CS282&lt;=Hypothèses!$V$15,Hypothèses!$W$15,IF(CS282&lt;=Hypothèses!$V$16,Hypothèses!$W$16,IF(CS282&lt;=Hypothèses!$V$17,Hypothèses!$W$17,IF(CS282&lt;=Hypothèses!$V$18,Hypothèses!$W$18,""))))))))))))</f>
        <v>#DIV/0!</v>
      </c>
      <c r="DN282" s="87" t="e">
        <f t="shared" ca="1" si="521"/>
        <v>#DIV/0!</v>
      </c>
      <c r="DO282" s="88" t="e">
        <f ca="1">IF(CS282&lt;=Hypothèses!$V$7,Hypothèses!$X$7,IF(CS282&lt;=Hypothèses!$V$8,Hypothèses!$X$8,IF(CS282&lt;=Hypothèses!$V$9,Hypothèses!$X$9,IF(CS282&lt;=Hypothèses!$V$10,Hypothèses!$X$10,IF(CS282&lt;=Hypothèses!$V$11,Hypothèses!$X$11,IF(CS282&lt;=Hypothèses!$V$12,Hypothèses!$X$12,IF(CS282&lt;=Hypothèses!$V$13,Hypothèses!$X$13,IF(CS282&lt;=Hypothèses!$V$14,Hypothèses!$X$14,IF(CS282&lt;=Hypothèses!$V$15,Hypothèses!$X$15,IF(CS282&lt;=Hypothèses!$V$16,Hypothèses!$X$16,IF(CS282&lt;=Hypothèses!$U$17,Hypothèses!$W$17,IF(CS282&lt;=Hypothèses!$U$18,Hypothèses!$W$18,""))))))))))))</f>
        <v>#DIV/0!</v>
      </c>
      <c r="DP282" s="95" t="e">
        <f t="shared" ca="1" si="489"/>
        <v>#DIV/0!</v>
      </c>
      <c r="DQ282" s="101">
        <f t="shared" si="528"/>
        <v>0</v>
      </c>
      <c r="DR282" s="91">
        <f t="shared" si="456"/>
        <v>0</v>
      </c>
      <c r="DS282" s="30" t="e">
        <f t="shared" si="510"/>
        <v>#N/A</v>
      </c>
      <c r="DT282" s="30" t="e">
        <f t="shared" si="511"/>
        <v>#N/A</v>
      </c>
      <c r="DU282" s="31" t="e">
        <f>IF(OR(Hypothèses!$B$4=17,Hypothèses!$B$4=18,Hypothèses!$B$4=19,Hypothèses!$B$4=20),
IF($D282="Pressio.",
IF(OR($E282=3,$E282=1,$E282=4),DT282,DS282),
IF($D282="Pénétro.",
IF(OR($E282=3,$E282=1,$E282=4),DT282,DS282))),IF($D282="Pressio.",
IF($E282=3,DT282,DS282),
IF($D282="Pénétro.",
IF($E282=4,DT282,DS282))))</f>
        <v>#N/A</v>
      </c>
      <c r="DV282" s="31">
        <v>0</v>
      </c>
      <c r="DW282" s="102" t="e">
        <f>IF(NDC!$H$10="Oui",(VLOOKUP($B$3,'Coeff EC7'!$T$39:$X$59,2,0)*DU282+VLOOKUP($B$3,'Coeff EC7'!$T$65:$X$85,2,0)*Model0.1T!DV282)/1.5,PI()*DS$12*$Q282*($B282-$B281)*0.15/10+DW281)</f>
        <v>#N/A</v>
      </c>
      <c r="DX282" s="102" t="e">
        <f>(VLOOKUP($B$3,'Coeff EC7'!$T$39:$X$59,3,0)*DU282+VLOOKUP($B$3,'Coeff EC7'!$T$65:$X$85,3,0)*Model0.1T!DV282)/1.1</f>
        <v>#N/A</v>
      </c>
      <c r="DY282" s="102" t="e">
        <f t="shared" si="490"/>
        <v>#N/A</v>
      </c>
      <c r="DZ282" s="102" t="e">
        <f t="shared" si="491"/>
        <v>#N/A</v>
      </c>
      <c r="EA282" s="414" t="e">
        <f>IF(AND(DW282&gt;NDC!$C$63,DX282&gt;NDC!$C$65,DY282&gt;NDC!$D$73,DZ282&gt;NDC!$D$74,$B282&gt;NDC!$H$22-0.1+MIN(3*EA$12,1.5)),0,1)</f>
        <v>#N/A</v>
      </c>
      <c r="EB282" s="86" t="b">
        <f t="shared" si="457"/>
        <v>0</v>
      </c>
      <c r="EC282" s="418">
        <f t="shared" si="458"/>
        <v>0.51</v>
      </c>
      <c r="ED282" s="86">
        <f t="shared" si="459"/>
        <v>0.51</v>
      </c>
      <c r="EE282" s="30" t="e">
        <f t="shared" ca="1" si="492"/>
        <v>#DIV/0!</v>
      </c>
      <c r="EF282" s="85" t="e">
        <f ca="1">IF(DL282&lt;=Hypothèses!$V$7,Hypothèses!$W$7,IF(DL282&lt;=Hypothèses!$V$8,Hypothèses!$W$8,IF(DL282&lt;=Hypothèses!$V$9,Hypothèses!$W$9,IF(DL282&lt;=Hypothèses!$V$10,Hypothèses!$W$10,IF(DL282&lt;=Hypothèses!$V$11,Hypothèses!$W$11,IF(DL282&lt;=Hypothèses!$V$12,Hypothèses!$W$12,IF(DL282&lt;=Hypothèses!$V$13,Hypothèses!$W$13,IF(DL282&lt;=Hypothèses!$V$14,Hypothèses!$W$14,IF(DL282&lt;=Hypothèses!$V$15,Hypothèses!$W$15,IF(DL282&lt;=Hypothèses!$V$16,Hypothèses!$W$16,IF(DL282&lt;=Hypothèses!$V$17,Hypothèses!$W$17,IF(DL282&lt;=Hypothèses!$V$18,Hypothèses!$W$18,""))))))))))))</f>
        <v>#DIV/0!</v>
      </c>
      <c r="EG282" s="87" t="e">
        <f t="shared" ca="1" si="522"/>
        <v>#DIV/0!</v>
      </c>
      <c r="EH282" s="88" t="e">
        <f ca="1">IF(DL282&lt;=Hypothèses!$V$7,Hypothèses!$X$7,IF(DL282&lt;=Hypothèses!$V$8,Hypothèses!$X$8,IF(DL282&lt;=Hypothèses!$V$9,Hypothèses!$X$9,IF(DL282&lt;=Hypothèses!$V$10,Hypothèses!$X$10,IF(DL282&lt;=Hypothèses!$V$11,Hypothèses!$X$11,IF(DL282&lt;=Hypothèses!$V$12,Hypothèses!$X$12,IF(DL282&lt;=Hypothèses!$V$13,Hypothèses!$X$13,IF(DL282&lt;=Hypothèses!$V$14,Hypothèses!$X$14,IF(DL282&lt;=Hypothèses!$V$15,Hypothèses!$X$15,IF(DL282&lt;=Hypothèses!$V$16,Hypothèses!$X$16,IF(DL282&lt;=Hypothèses!$U$17,Hypothèses!$W$17,IF(DL282&lt;=Hypothèses!$U$18,Hypothèses!$W$18,""))))))))))))</f>
        <v>#DIV/0!</v>
      </c>
      <c r="EI282" s="95" t="e">
        <f t="shared" ca="1" si="493"/>
        <v>#DIV/0!</v>
      </c>
      <c r="EJ282" s="101">
        <f t="shared" si="529"/>
        <v>0</v>
      </c>
      <c r="EK282" s="91">
        <f t="shared" si="460"/>
        <v>0</v>
      </c>
      <c r="EL282" s="30" t="e">
        <f t="shared" si="512"/>
        <v>#N/A</v>
      </c>
      <c r="EM282" s="30" t="e">
        <f t="shared" si="513"/>
        <v>#N/A</v>
      </c>
      <c r="EN282" s="31" t="e">
        <f>IF(OR(Hypothèses!$B$4=17,Hypothèses!$B$4=18,Hypothèses!$B$4=19,Hypothèses!$B$4=20),
IF($D282="Pressio.",
IF(OR($E282=3,$E282=1,$E282=4),EM282,EL282),
IF($D282="Pénétro.",
IF(OR($E282=3,$E282=1,$E282=4),EM282,EL282))),IF($D282="Pressio.",
IF($E282=3,EM282,EL282),
IF($D282="Pénétro.",
IF($E282=4,EM282,EL282))))</f>
        <v>#N/A</v>
      </c>
      <c r="EO282" s="31">
        <v>0</v>
      </c>
      <c r="EP282" s="102" t="e">
        <f>IF(NDC!$H$10="Oui",(VLOOKUP($B$3,'Coeff EC7'!$T$39:$X$59,2,0)*EN282+VLOOKUP($B$3,'Coeff EC7'!$T$65:$X$85,2,0)*Model0.1T!EO282)/1.5,PI()*EL$12*$Q282*($B282-$B281)*0.15/10+EP281)</f>
        <v>#N/A</v>
      </c>
      <c r="EQ282" s="102" t="e">
        <f>(VLOOKUP($B$3,'Coeff EC7'!$T$39:$X$59,3,0)*EN282+VLOOKUP($B$3,'Coeff EC7'!$T$65:$X$85,3,0)*Model0.1T!EO282)/1.1</f>
        <v>#N/A</v>
      </c>
      <c r="ER282" s="102" t="e">
        <f t="shared" si="494"/>
        <v>#N/A</v>
      </c>
      <c r="ES282" s="102" t="e">
        <f t="shared" si="495"/>
        <v>#N/A</v>
      </c>
      <c r="ET282" s="414" t="e">
        <f>IF(AND(EP282&gt;NDC!$C$63,EQ282&gt;NDC!$C$65,ER282&gt;NDC!$D$73,ES282&gt;NDC!$D$74,$B282&gt;NDC!$H$22-0.1+MIN(3*ET$12,1.5)),0,1)</f>
        <v>#N/A</v>
      </c>
      <c r="EU282" s="86" t="b">
        <f t="shared" si="461"/>
        <v>0</v>
      </c>
      <c r="EV282" s="86">
        <f t="shared" si="462"/>
        <v>0.61</v>
      </c>
      <c r="EW282" s="86">
        <f t="shared" si="463"/>
        <v>0.61</v>
      </c>
      <c r="EX282" s="30" t="e">
        <f t="shared" ca="1" si="496"/>
        <v>#DIV/0!</v>
      </c>
      <c r="EY282" s="85" t="e">
        <f ca="1">IF(EE282&lt;=Hypothèses!$V$7,Hypothèses!$W$7,IF(EE282&lt;=Hypothèses!$V$8,Hypothèses!$W$8,IF(EE282&lt;=Hypothèses!$V$9,Hypothèses!$W$9,IF(EE282&lt;=Hypothèses!$V$10,Hypothèses!$W$10,IF(EE282&lt;=Hypothèses!$V$11,Hypothèses!$W$11,IF(EE282&lt;=Hypothèses!$V$12,Hypothèses!$W$12,IF(EE282&lt;=Hypothèses!$V$13,Hypothèses!$W$13,IF(EE282&lt;=Hypothèses!$V$14,Hypothèses!$W$14,IF(EE282&lt;=Hypothèses!$V$15,Hypothèses!$W$15,IF(EE282&lt;=Hypothèses!$V$16,Hypothèses!$W$16,IF(EE282&lt;=Hypothèses!$V$17,Hypothèses!$W$17,IF(EE282&lt;=Hypothèses!$V$18,Hypothèses!$W$18,""))))))))))))</f>
        <v>#DIV/0!</v>
      </c>
      <c r="EZ282" s="87" t="e">
        <f t="shared" ca="1" si="523"/>
        <v>#DIV/0!</v>
      </c>
      <c r="FA282" s="88" t="e">
        <f ca="1">IF(EE282&lt;=Hypothèses!$V$7,Hypothèses!$X$7,IF(EE282&lt;=Hypothèses!$V$8,Hypothèses!$X$8,IF(EE282&lt;=Hypothèses!$V$9,Hypothèses!$X$9,IF(EE282&lt;=Hypothèses!$V$10,Hypothèses!$X$10,IF(EE282&lt;=Hypothèses!$V$11,Hypothèses!$X$11,IF(EE282&lt;=Hypothèses!$V$12,Hypothèses!$X$12,IF(EE282&lt;=Hypothèses!$V$13,Hypothèses!$X$13,IF(EE282&lt;=Hypothèses!$V$14,Hypothèses!$X$14,IF(EE282&lt;=Hypothèses!$V$15,Hypothèses!$X$15,IF(EE282&lt;=Hypothèses!$V$16,Hypothèses!$X$16,IF(EE282&lt;=Hypothèses!$U$17,Hypothèses!$W$17,IF(EE282&lt;=Hypothèses!$U$18,Hypothèses!$W$18,""))))))))))))</f>
        <v>#DIV/0!</v>
      </c>
      <c r="FB282" s="95" t="e">
        <f t="shared" ca="1" si="497"/>
        <v>#DIV/0!</v>
      </c>
      <c r="FC282" s="101">
        <f t="shared" si="530"/>
        <v>0</v>
      </c>
      <c r="FD282" s="91">
        <f t="shared" si="464"/>
        <v>0</v>
      </c>
      <c r="FE282" s="30" t="e">
        <f t="shared" si="514"/>
        <v>#N/A</v>
      </c>
      <c r="FF282" s="30" t="e">
        <f t="shared" si="515"/>
        <v>#N/A</v>
      </c>
      <c r="FG282" s="31" t="e">
        <f>IF(OR(Hypothèses!$B$4=17,Hypothèses!$B$4=18,Hypothèses!$B$4=19,Hypothèses!$B$4=20),
IF($D282="Pressio.",
IF(OR($E282=3,$E282=1,$E282=4),FF282,FE282),
IF($D282="Pénétro.",
IF(OR($E282=3,$E282=1,$E282=4),FF282,FE282))),IF($D282="Pressio.",
IF($E282=3,FF282,FE282),
IF($D282="Pénétro.",
IF($E282=4,FF282,FE282))))</f>
        <v>#N/A</v>
      </c>
      <c r="FH282" s="31">
        <v>0</v>
      </c>
      <c r="FI282" s="102" t="e">
        <f>IF(NDC!$H$10="Oui",(VLOOKUP($B$3,'Coeff EC7'!$T$39:$X$59,2,0)*FG282+VLOOKUP($B$3,'Coeff EC7'!$T$65:$X$85,2,0)*Model0.1T!FH282)/1.5,PI()*FE$12*$Q282*($B282-$B281)*0.15/10+FI281)</f>
        <v>#N/A</v>
      </c>
      <c r="FJ282" s="102" t="e">
        <f>(VLOOKUP($B$3,'Coeff EC7'!$T$39:$X$59,3,0)*FG282+VLOOKUP($B$3,'Coeff EC7'!$T$65:$X$85,3,0)*Model0.1T!FH282)/1.1</f>
        <v>#N/A</v>
      </c>
      <c r="FK282" s="102" t="e">
        <f t="shared" si="498"/>
        <v>#N/A</v>
      </c>
      <c r="FL282" s="102" t="e">
        <f t="shared" si="499"/>
        <v>#N/A</v>
      </c>
      <c r="FM282" s="414" t="e">
        <f>IF(AND(FI282&gt;NDC!$C$63,FJ282&gt;NDC!$C$65,FK282&gt;NDC!$D$73,FL282&gt;NDC!$D$74,$B282&gt;NDC!$H$22-0.1+MIN(3*FM$12,1.5)),0,1)</f>
        <v>#N/A</v>
      </c>
    </row>
    <row r="283" spans="1:169">
      <c r="A283" s="96">
        <f t="shared" si="465"/>
        <v>73.000000000001535</v>
      </c>
      <c r="B283" s="97">
        <v>27</v>
      </c>
      <c r="C283" s="81">
        <f>IF(B283&lt;=Hypothèses!$C$7,Hypothèses!$A$7,IF(B283&lt;=Hypothèses!$C$8,Hypothèses!$A$8,IF(B283&lt;=Hypothèses!$C$9,Hypothèses!$A$9,IF(B283&lt;=Hypothèses!$C$10,Hypothèses!$A$10,IF(B283&lt;=Hypothèses!$C$11,Hypothèses!$A$11,IF(B283&lt;=Hypothèses!$C$12,Hypothèses!$A$12,IF(B283&lt;=Hypothèses!$C$13,Hypothèses!$A$13,IF(B283&lt;=Hypothèses!$C$14,Hypothèses!$A$14,IF(B283&lt;=Hypothèses!$C$15,Hypothèses!$A$15,IF(B283&lt;=Hypothèses!$C$16,Hypothèses!$A$16,IF(B283&lt;=Hypothèses!$C$17,Hypothèses!$A$17,IF(B283&lt;=Hypothèses!$C$18,Hypothèses!$A$18,C282))))))))))))</f>
        <v>11</v>
      </c>
      <c r="D283" s="82" t="str">
        <f>IF(B283&lt;=Hypothèses!$C$7,Hypothèses!$R$7,IF(B283&lt;=Hypothèses!$C$8,Hypothèses!$R$8,IF(B283&lt;=Hypothèses!$C$9,Hypothèses!$R$9,IF(B283&lt;=Hypothèses!$C$10,Hypothèses!$R$10,IF(B283&lt;=Hypothèses!$C$11,Hypothèses!$R$11,IF(B283&lt;=Hypothèses!$C$12,Hypothèses!$R$12,IF(B283&lt;=Hypothèses!$C$13,Hypothèses!$R$13,IF(B283&lt;=Hypothèses!$C$14,Hypothèses!$R$14,IF(B283&lt;=Hypothèses!$C$15,Hypothèses!$R$15,IF(B283&lt;=Hypothèses!$C$16,Hypothèses!$R$16,IF(B283&lt;=Hypothèses!$C$17,Hypothèses!$R$17,IF(B283&lt;=Hypothèses!$C$18,Hypothèses!$R$18,D282))))))))))))</f>
        <v>Pressio.</v>
      </c>
      <c r="E283" s="82" t="e">
        <f>IF(B283&lt;=Hypothèses!$C$7,Hypothèses!$G$7,IF(B283&lt;=Hypothèses!$C$8,Hypothèses!$G$8,IF(B283&lt;=Hypothèses!$C$9,Hypothèses!$G$9,IF(B283&lt;=Hypothèses!$C$10,Hypothèses!$G$10,IF(B283&lt;=Hypothèses!$C$11,Hypothèses!$G$11,IF(B283&lt;=Hypothèses!$C$12,Hypothèses!$G$12,IF(B283&lt;=Hypothèses!$C$13,Hypothèses!$G$13,IF(B283&lt;=Hypothèses!$C$14,Hypothèses!$G$14,IF(B283&lt;=Hypothèses!$C$15,Hypothèses!$G$15,IF(B283&lt;=Hypothèses!$C$16,Hypothèses!$G$16,IF(B283&lt;=Hypothèses!$C$17,Hypothèses!$G$17,IF(B283&lt;=Hypothèses!$C$18,Hypothèses!$G$18,E282))))))))))))</f>
        <v>#N/A</v>
      </c>
      <c r="F283" s="82" t="str">
        <f>IF(B283&lt;=Hypothèses!$C$7,Hypothèses!$F$7,IF(B283&lt;=Hypothèses!$C$8,Hypothèses!$F$8,IF(B283&lt;=Hypothèses!$C$9,Hypothèses!$F$9,IF(B283&lt;=Hypothèses!$C$10,Hypothèses!$F$10,IF(B283&lt;=Hypothèses!$C$11,Hypothèses!$F$11,IF(B283&lt;=Hypothèses!$C$12,Hypothèses!$F$12,IF(B283&lt;=Hypothèses!$C$13,Hypothèses!$F$13,IF(B283&lt;=Hypothèses!$C$14,Hypothèses!$F$14,IF(B283&lt;=Hypothèses!$C$15,Hypothèses!$F$15,IF(B283&lt;=Hypothèses!$C$16,Hypothèses!$F$16,IF(B283&lt;=Hypothèses!$C$17,Hypothèses!$F$17,IF(B283&lt;=Hypothèses!$C$18,Hypothèses!$F$18,F282))))))))))))</f>
        <v/>
      </c>
      <c r="G283" s="91">
        <f t="array" ref="G283">INDEX('Coeff EC7'!$U$7:$X$27,
MATCH(Model0.1T!$B$3,'Coeff EC7'!$T$7:$T$27,0),
MATCH(Model0.1T!$D283&amp;Model0.1T!$B$4,
'Coeff EC7'!$U$6:$X$6&amp;
'Coeff EC7'!$U$5:$X$5,0))</f>
        <v>1.4</v>
      </c>
      <c r="H283" s="91">
        <f t="array" ref="H283">INDEX('Coeff EC7'!$Y$7:$AB$27,
MATCH(Model0.1T!$B$3,'Coeff EC7'!$T$7:$T$27,0),
MATCH(Model0.1T!$D283&amp;Model0.1T!$B$4,
'Coeff EC7'!$Y$6:$AB$6&amp;
'Coeff EC7'!$Y$5:$AB$5,0))</f>
        <v>1.7</v>
      </c>
      <c r="I283" s="83">
        <v>0</v>
      </c>
      <c r="J283" s="91" t="e">
        <f t="array" ref="J283">INDEX('Coeff EC7'!$D$33:$Q$33,1,MATCH(D283&amp;E283,'Coeff EC7'!$D$31:$Q$31&amp;'Coeff EC7'!$D$32:$Q$32,0))</f>
        <v>#N/A</v>
      </c>
      <c r="K283" s="91" t="e">
        <f t="array" ref="K283">INDEX('Coeff EC7'!$D$34:$Q$34,1,MATCH(D283&amp;E283,'Coeff EC7'!$D$31:$Q$31&amp;'Coeff EC7'!$D$32:$Q$32,0))</f>
        <v>#N/A</v>
      </c>
      <c r="L283" s="91" t="e">
        <f t="array" ref="L283">INDEX('Coeff EC7'!$D$35:$Q$35,1,MATCH(D283&amp;E283,'Coeff EC7'!$D$31:$Q$31&amp;'Coeff EC7'!$D$32:$Q$32,0))</f>
        <v>#N/A</v>
      </c>
      <c r="M283" s="98" t="e">
        <f t="shared" si="431"/>
        <v>#N/A</v>
      </c>
      <c r="N283" s="99" t="e">
        <f t="array" ref="N283">INDEX('Coeff EC7'!$D$7:$Q$27,MATCH($B$3,'Coeff EC7'!$C$7:$C$27,0),MATCH(D283&amp;E283,'Coeff EC7'!$D$5:$Q$5&amp;'Coeff EC7'!$D$6:$Q$6,0))</f>
        <v>#N/A</v>
      </c>
      <c r="O283" s="99" t="e">
        <f t="array" ref="O283">INDEX('Coeff EC7'!$D$41:$Q$61,MATCH($B$3,'Coeff EC7'!$C$41:$C$61,0),MATCH(D283&amp;E283,'Coeff EC7'!$D$39:$Q$39&amp;'Coeff EC7'!$D$40:$Q$40,0))</f>
        <v>#N/A</v>
      </c>
      <c r="P283" s="30" t="e">
        <f t="shared" si="466"/>
        <v>#N/A</v>
      </c>
      <c r="Q283" s="100" t="e">
        <f t="shared" si="433"/>
        <v>#N/A</v>
      </c>
      <c r="R283" s="86" t="b">
        <f t="shared" si="434"/>
        <v>0</v>
      </c>
      <c r="S283" s="86">
        <f t="shared" si="432"/>
        <v>0.5</v>
      </c>
      <c r="T283" s="86">
        <f t="shared" si="435"/>
        <v>0.5</v>
      </c>
      <c r="U283" s="30" t="e">
        <f t="shared" ca="1" si="467"/>
        <v>#DIV/0!</v>
      </c>
      <c r="V283" s="85" t="str">
        <f>IF(B283&lt;=Hypothèses!$V$7,Hypothèses!$W$7,IF(B283&lt;=Hypothèses!$V$8,Hypothèses!$W$8,IF(B283&lt;=Hypothèses!$V$9,Hypothèses!$W$9,IF(B283&lt;=Hypothèses!$V$10,Hypothèses!$W$10,IF(B283&lt;=Hypothèses!$V$11,Hypothèses!$W$11,IF(B283&lt;=Hypothèses!$V$12,Hypothèses!$W$12,IF(B283&lt;=Hypothèses!$V$13,Hypothèses!$W$13,IF(B283&lt;=Hypothèses!$V$14,Hypothèses!$W$14,IF(B283&lt;=Hypothèses!$V$15,Hypothèses!$W$15,IF(B283&lt;=Hypothèses!$V$16,Hypothèses!$W$16,IF(B283&lt;=Hypothèses!$V$17,Hypothèses!$W$17,IF(B283&lt;=Hypothèses!$V$18,Hypothèses!$W$18,""))))))))))))</f>
        <v/>
      </c>
      <c r="W283" s="87" t="e">
        <f t="shared" ca="1" si="516"/>
        <v>#DIV/0!</v>
      </c>
      <c r="X283" s="88" t="str">
        <f>IF(B283&lt;=Hypothèses!$V$7,Hypothèses!$X$7,IF(B283&lt;=Hypothèses!$V$8,Hypothèses!$X$8,IF(B283&lt;=Hypothèses!$V$9,Hypothèses!$X$9,IF(B283&lt;=Hypothèses!$V$10,Hypothèses!$X$10,IF(B283&lt;=Hypothèses!$V$11,Hypothèses!$X$11,IF(B283&lt;=Hypothèses!$V$12,Hypothèses!$X$12,IF(B283&lt;=Hypothèses!$V$13,Hypothèses!$X$13,IF(B283&lt;=Hypothèses!$V$14,Hypothèses!$X$14,IF(B283&lt;=Hypothèses!$V$15,Hypothèses!$X$15,IF(B283&lt;=Hypothèses!$V$16,Hypothèses!$X$16,IF(B283&lt;=Hypothèses!$U$17,Hypothèses!$W$17,IF(B283&lt;=Hypothèses!$U$18,Hypothèses!$W$18,""))))))))))))</f>
        <v/>
      </c>
      <c r="Y283" s="95" t="e">
        <f t="shared" ca="1" si="436"/>
        <v>#DIV/0!</v>
      </c>
      <c r="Z283" s="101">
        <f t="shared" si="437"/>
        <v>0</v>
      </c>
      <c r="AA283" s="91">
        <f t="shared" si="438"/>
        <v>0</v>
      </c>
      <c r="AB283" s="30" t="e">
        <f t="shared" si="500"/>
        <v>#N/A</v>
      </c>
      <c r="AC283" s="30" t="e">
        <f t="shared" si="501"/>
        <v>#N/A</v>
      </c>
      <c r="AD283" s="31" t="e">
        <f>IF(OR(Hypothèses!$B$4=17,Hypothèses!$B$4=18,Hypothèses!$B$4=19,Hypothèses!$B$4=20),
IF($D283="Pressio.",
IF(OR($E283=3,$E283=1,$E283=4),AC283,AB283),
IF($D283="Pénétro.",
IF(OR($E283=3,$E283=1,$E283=4),AC283,AB283))),IF($D283="Pressio.",
IF($E283=3,AC283,AB283),
IF($D283="Pénétro.",
IF($E283=4,AC283,AB283))))</f>
        <v>#N/A</v>
      </c>
      <c r="AE283" s="31">
        <v>0</v>
      </c>
      <c r="AF283" s="102" t="e">
        <f>IF(NDC!$H$10="Oui",(VLOOKUP($B$3,'Coeff EC7'!$T$39:$X$59,2,0)*AD283+VLOOKUP($B$3,'Coeff EC7'!$T$65:$X$85,2,0)*Model0.1T!AE283)/1.5,PI()*AB$12*$Q283*($B283-$B282)*0.15/10+AF282)</f>
        <v>#N/A</v>
      </c>
      <c r="AG283" s="102" t="e">
        <f>(VLOOKUP($B$3,'Coeff EC7'!$T$39:$X$59,3,0)*AD283+VLOOKUP($B$3,'Coeff EC7'!$T$65:$X$85,3,0)*Model0.1T!AE283)/1.1</f>
        <v>#N/A</v>
      </c>
      <c r="AH283" s="102" t="e">
        <f t="shared" si="468"/>
        <v>#N/A</v>
      </c>
      <c r="AI283" s="102" t="e">
        <f t="shared" si="469"/>
        <v>#N/A</v>
      </c>
      <c r="AJ283" s="414" t="e">
        <f>IF(AND(AF283&gt;NDC!$C$63,AG283&gt;NDC!$C$65,AH283&gt;NDC!$D$73,AI283&gt;NDC!$D$74,$B283&gt;NDC!$H$22-0.1+MIN(3*$AJ$12,1.5)),0,1)</f>
        <v>#N/A</v>
      </c>
      <c r="AK283" s="86" t="b">
        <f t="shared" si="439"/>
        <v>0</v>
      </c>
      <c r="AL283" s="86">
        <f t="shared" si="470"/>
        <v>0.5</v>
      </c>
      <c r="AM283" s="86">
        <f t="shared" si="440"/>
        <v>0.5</v>
      </c>
      <c r="AN283" s="30" t="e">
        <f t="shared" ca="1" si="471"/>
        <v>#DIV/0!</v>
      </c>
      <c r="AO283" s="85" t="e">
        <f ca="1">IF(U283&lt;=Hypothèses!$V$7,Hypothèses!$W$7,IF(U283&lt;=Hypothèses!$V$8,Hypothèses!$W$8,IF(U283&lt;=Hypothèses!$V$9,Hypothèses!$W$9,IF(U283&lt;=Hypothèses!$V$10,Hypothèses!$W$10,IF(U283&lt;=Hypothèses!$V$11,Hypothèses!$W$11,IF(U283&lt;=Hypothèses!$V$12,Hypothèses!$W$12,IF(U283&lt;=Hypothèses!$V$13,Hypothèses!$W$13,IF(U283&lt;=Hypothèses!$V$14,Hypothèses!$W$14,IF(U283&lt;=Hypothèses!$V$15,Hypothèses!$W$15,IF(U283&lt;=Hypothèses!$V$16,Hypothèses!$W$16,IF(U283&lt;=Hypothèses!$V$17,Hypothèses!$W$17,IF(U283&lt;=Hypothèses!$V$18,Hypothèses!$W$18,""))))))))))))</f>
        <v>#DIV/0!</v>
      </c>
      <c r="AP283" s="87" t="e">
        <f t="shared" ca="1" si="517"/>
        <v>#DIV/0!</v>
      </c>
      <c r="AQ283" s="88" t="e">
        <f ca="1">IF(U283&lt;=Hypothèses!$V$7,Hypothèses!$X$7,IF(U283&lt;=Hypothèses!$V$8,Hypothèses!$X$8,IF(U283&lt;=Hypothèses!$V$9,Hypothèses!$X$9,IF(U283&lt;=Hypothèses!$V$10,Hypothèses!$X$10,IF(U283&lt;=Hypothèses!$V$11,Hypothèses!$X$11,IF(U283&lt;=Hypothèses!$V$12,Hypothèses!$X$12,IF(U283&lt;=Hypothèses!$V$13,Hypothèses!$X$13,IF(U283&lt;=Hypothèses!$V$14,Hypothèses!$X$14,IF(U283&lt;=Hypothèses!$V$15,Hypothèses!$X$15,IF(U283&lt;=Hypothèses!$V$16,Hypothèses!$X$16,IF(U283&lt;=Hypothèses!$U$17,Hypothèses!$W$17,IF(U283&lt;=Hypothèses!$U$18,Hypothèses!$W$18,""))))))))))))</f>
        <v>#DIV/0!</v>
      </c>
      <c r="AR283" s="95" t="e">
        <f t="shared" ca="1" si="472"/>
        <v>#DIV/0!</v>
      </c>
      <c r="AS283" s="101">
        <f t="shared" si="524"/>
        <v>0</v>
      </c>
      <c r="AT283" s="91">
        <f t="shared" si="441"/>
        <v>0</v>
      </c>
      <c r="AU283" s="30" t="e">
        <f t="shared" si="502"/>
        <v>#N/A</v>
      </c>
      <c r="AV283" s="30" t="e">
        <f t="shared" si="503"/>
        <v>#N/A</v>
      </c>
      <c r="AW283" s="31" t="e">
        <f>IF(OR(Hypothèses!$B$4=17,Hypothèses!$B$4=18,Hypothèses!$B$4=19,Hypothèses!$B$4=20),
IF($D283="Pressio.",
IF(OR($E283=3,$E283=1,$E283=4),AV283,AU283),
IF($D283="Pénétro.",
IF(OR($E283=3,$E283=1,$E283=4),AV283,AU283))),IF($D283="Pressio.",
IF($E283=3,AV283,AU283),
IF($D283="Pénétro.",
IF($E283=4,AV283,AU283))))</f>
        <v>#N/A</v>
      </c>
      <c r="AX283" s="31">
        <v>0</v>
      </c>
      <c r="AY283" s="102" t="e">
        <f>IF(NDC!$H$10="Oui",(VLOOKUP($B$3,'Coeff EC7'!$T$39:$X$59,2,0)*AW283+VLOOKUP($B$3,'Coeff EC7'!$T$65:$X$85,2,0)*Model0.1T!AX283)/1.5,PI()*AU$12*$Q283*($B283-$B282)*0.15/10+AY282)</f>
        <v>#N/A</v>
      </c>
      <c r="AZ283" s="102" t="e">
        <f>(VLOOKUP($B$3,'Coeff EC7'!$T$39:$X$59,3,0)*AW283+VLOOKUP($B$3,'Coeff EC7'!$T$65:$X$85,3,0)*Model0.1T!AX283)/1.1</f>
        <v>#N/A</v>
      </c>
      <c r="BA283" s="102" t="e">
        <f t="shared" si="473"/>
        <v>#N/A</v>
      </c>
      <c r="BB283" s="102" t="e">
        <f t="shared" si="474"/>
        <v>#N/A</v>
      </c>
      <c r="BC283" s="414" t="e">
        <f>IF(AND(AY283&gt;NDC!$C$63,AZ283&gt;NDC!$C$65,BA283&gt;NDC!$D$73,BB283&gt;NDC!$D$74,$B283&gt;NDC!$H$22-0.1+MIN(3*BC$12,1.5)),0,1)</f>
        <v>#N/A</v>
      </c>
      <c r="BD283" s="86" t="b">
        <f t="shared" si="442"/>
        <v>0</v>
      </c>
      <c r="BE283" s="86">
        <f t="shared" si="475"/>
        <v>0.5</v>
      </c>
      <c r="BF283" s="86">
        <f t="shared" si="443"/>
        <v>0.5</v>
      </c>
      <c r="BG283" s="30" t="e">
        <f t="shared" ca="1" si="476"/>
        <v>#DIV/0!</v>
      </c>
      <c r="BH283" s="85" t="e">
        <f ca="1">IF(AN283&lt;=Hypothèses!$V$7,Hypothèses!$W$7,IF(AN283&lt;=Hypothèses!$V$8,Hypothèses!$W$8,IF(AN283&lt;=Hypothèses!$V$9,Hypothèses!$W$9,IF(AN283&lt;=Hypothèses!$V$10,Hypothèses!$W$10,IF(AN283&lt;=Hypothèses!$V$11,Hypothèses!$W$11,IF(AN283&lt;=Hypothèses!$V$12,Hypothèses!$W$12,IF(AN283&lt;=Hypothèses!$V$13,Hypothèses!$W$13,IF(AN283&lt;=Hypothèses!$V$14,Hypothèses!$W$14,IF(AN283&lt;=Hypothèses!$V$15,Hypothèses!$W$15,IF(AN283&lt;=Hypothèses!$V$16,Hypothèses!$W$16,IF(AN283&lt;=Hypothèses!$V$17,Hypothèses!$W$17,IF(AN283&lt;=Hypothèses!$V$18,Hypothèses!$W$18,""))))))))))))</f>
        <v>#DIV/0!</v>
      </c>
      <c r="BI283" s="87" t="e">
        <f t="shared" ca="1" si="518"/>
        <v>#DIV/0!</v>
      </c>
      <c r="BJ283" s="88" t="e">
        <f ca="1">IF(AN283&lt;=Hypothèses!$V$7,Hypothèses!$X$7,IF(AN283&lt;=Hypothèses!$V$8,Hypothèses!$X$8,IF(AN283&lt;=Hypothèses!$V$9,Hypothèses!$X$9,IF(AN283&lt;=Hypothèses!$V$10,Hypothèses!$X$10,IF(AN283&lt;=Hypothèses!$V$11,Hypothèses!$X$11,IF(AN283&lt;=Hypothèses!$V$12,Hypothèses!$X$12,IF(AN283&lt;=Hypothèses!$V$13,Hypothèses!$X$13,IF(AN283&lt;=Hypothèses!$V$14,Hypothèses!$X$14,IF(AN283&lt;=Hypothèses!$V$15,Hypothèses!$X$15,IF(AN283&lt;=Hypothèses!$V$16,Hypothèses!$X$16,IF(AN283&lt;=Hypothèses!$U$17,Hypothèses!$W$17,IF(AN283&lt;=Hypothèses!$U$18,Hypothèses!$W$18,""))))))))))))</f>
        <v>#DIV/0!</v>
      </c>
      <c r="BK283" s="95" t="e">
        <f t="shared" ca="1" si="477"/>
        <v>#DIV/0!</v>
      </c>
      <c r="BL283" s="101">
        <f t="shared" si="525"/>
        <v>0</v>
      </c>
      <c r="BM283" s="91">
        <f t="shared" si="444"/>
        <v>0</v>
      </c>
      <c r="BN283" s="30" t="e">
        <f t="shared" si="504"/>
        <v>#N/A</v>
      </c>
      <c r="BO283" s="30" t="e">
        <f t="shared" si="505"/>
        <v>#N/A</v>
      </c>
      <c r="BP283" s="31" t="e">
        <f>IF(OR(Hypothèses!$B$4=17,Hypothèses!$B$4=18,Hypothèses!$B$4=19,Hypothèses!$B$4=20),
IF($D283="Pressio.",
IF(OR($E283=3,$E283=1,$E283=4),BO283,BN283),
IF($D283="Pénétro.",
IF(OR($E283=3,$E283=1,$E283=4),BO283,BN283))),IF($D283="Pressio.",
IF($E283=3,BO283,BN283),
IF($D283="Pénétro.",
IF($E283=4,BO283,BN283))))</f>
        <v>#N/A</v>
      </c>
      <c r="BQ283" s="31">
        <v>0</v>
      </c>
      <c r="BR283" s="102" t="e">
        <f>IF(NDC!$H$10="Oui",(VLOOKUP($B$3,'Coeff EC7'!$T$39:$X$59,2,0)*BP283+VLOOKUP($B$3,'Coeff EC7'!$T$65:$X$85,2,0)*Model0.1T!BQ283)/1.5,PI()*BN$12*$Q283*($B283-$B282)*0.15/10+BR282)</f>
        <v>#N/A</v>
      </c>
      <c r="BS283" s="102" t="e">
        <f>(VLOOKUP($B$3,'Coeff EC7'!$T$39:$X$59,3,0)*BP283+VLOOKUP($B$3,'Coeff EC7'!$T$65:$X$85,3,0)*Model0.1T!BQ283)/1.1</f>
        <v>#N/A</v>
      </c>
      <c r="BT283" s="102" t="e">
        <f t="shared" si="478"/>
        <v>#N/A</v>
      </c>
      <c r="BU283" s="102" t="e">
        <f t="shared" si="479"/>
        <v>#N/A</v>
      </c>
      <c r="BV283" s="414" t="e">
        <f>IF(AND(BR283&gt;NDC!$C$63,BS283&gt;NDC!$C$65,BT283&gt;NDC!$D$73,BU283&gt;NDC!$D$74,$B283&gt;NDC!$H$22-0.1+MIN(3*BV$12,1.5)),0,1)</f>
        <v>#N/A</v>
      </c>
      <c r="BW283" s="86" t="b">
        <f t="shared" si="445"/>
        <v>0</v>
      </c>
      <c r="BX283" s="86">
        <f t="shared" si="446"/>
        <v>0.5</v>
      </c>
      <c r="BY283" s="86">
        <f t="shared" si="447"/>
        <v>0.5</v>
      </c>
      <c r="BZ283" s="30" t="e">
        <f t="shared" ca="1" si="480"/>
        <v>#DIV/0!</v>
      </c>
      <c r="CA283" s="85" t="e">
        <f ca="1">IF(BG283&lt;=Hypothèses!$V$7,Hypothèses!$W$7,IF(BG283&lt;=Hypothèses!$V$8,Hypothèses!$W$8,IF(BG283&lt;=Hypothèses!$V$9,Hypothèses!$W$9,IF(BG283&lt;=Hypothèses!$V$10,Hypothèses!$W$10,IF(BG283&lt;=Hypothèses!$V$11,Hypothèses!$W$11,IF(BG283&lt;=Hypothèses!$V$12,Hypothèses!$W$12,IF(BG283&lt;=Hypothèses!$V$13,Hypothèses!$W$13,IF(BG283&lt;=Hypothèses!$V$14,Hypothèses!$W$14,IF(BG283&lt;=Hypothèses!$V$15,Hypothèses!$W$15,IF(BG283&lt;=Hypothèses!$V$16,Hypothèses!$W$16,IF(BG283&lt;=Hypothèses!$V$17,Hypothèses!$W$17,IF(BG283&lt;=Hypothèses!$V$18,Hypothèses!$W$18,""))))))))))))</f>
        <v>#DIV/0!</v>
      </c>
      <c r="CB283" s="87" t="e">
        <f t="shared" ca="1" si="519"/>
        <v>#DIV/0!</v>
      </c>
      <c r="CC283" s="88" t="e">
        <f ca="1">IF(BG283&lt;=Hypothèses!$V$7,Hypothèses!$X$7,IF(BG283&lt;=Hypothèses!$V$8,Hypothèses!$X$8,IF(BG283&lt;=Hypothèses!$V$9,Hypothèses!$X$9,IF(BG283&lt;=Hypothèses!$V$10,Hypothèses!$X$10,IF(BG283&lt;=Hypothèses!$V$11,Hypothèses!$X$11,IF(BG283&lt;=Hypothèses!$V$12,Hypothèses!$X$12,IF(BG283&lt;=Hypothèses!$V$13,Hypothèses!$X$13,IF(BG283&lt;=Hypothèses!$V$14,Hypothèses!$X$14,IF(BG283&lt;=Hypothèses!$V$15,Hypothèses!$X$15,IF(BG283&lt;=Hypothèses!$V$16,Hypothèses!$X$16,IF(BG283&lt;=Hypothèses!$U$17,Hypothèses!$W$17,IF(BG283&lt;=Hypothèses!$U$18,Hypothèses!$W$18,""))))))))))))</f>
        <v>#DIV/0!</v>
      </c>
      <c r="CD283" s="95" t="e">
        <f t="shared" ca="1" si="481"/>
        <v>#DIV/0!</v>
      </c>
      <c r="CE283" s="101">
        <f t="shared" si="526"/>
        <v>0</v>
      </c>
      <c r="CF283" s="91">
        <f t="shared" si="448"/>
        <v>0</v>
      </c>
      <c r="CG283" s="30" t="e">
        <f t="shared" si="506"/>
        <v>#N/A</v>
      </c>
      <c r="CH283" s="30" t="e">
        <f t="shared" si="507"/>
        <v>#N/A</v>
      </c>
      <c r="CI283" s="31" t="e">
        <f>IF(OR(Hypothèses!$B$4=17,Hypothèses!$B$4=18,Hypothèses!$B$4=19,Hypothèses!$B$4=20),
IF($D283="Pressio.",
IF(OR($E283=3,$E283=1,$E283=4),CH283,CG283),
IF($D283="Pénétro.",
IF(OR($E283=3,$E283=1,$E283=4),CH283,CG283))),IF($D283="Pressio.",
IF($E283=3,CH283,CG283),
IF($D283="Pénétro.",
IF($E283=4,CH283,CG283))))</f>
        <v>#N/A</v>
      </c>
      <c r="CJ283" s="31">
        <v>0</v>
      </c>
      <c r="CK283" s="102" t="e">
        <f>IF(NDC!$H$10="Oui",(VLOOKUP($B$3,'Coeff EC7'!$T$39:$X$59,2,0)*CI283+VLOOKUP($B$3,'Coeff EC7'!$T$65:$X$85,2,0)*Model0.1T!CJ283)/1.5,PI()*CG$12*$Q283*($B283-$B282)*0.15/10+CK282)</f>
        <v>#N/A</v>
      </c>
      <c r="CL283" s="102" t="e">
        <f>(VLOOKUP($B$3,'Coeff EC7'!$T$39:$X$59,3,0)*CI283+VLOOKUP($B$3,'Coeff EC7'!$T$65:$X$85,3,0)*Model0.1T!CJ283)/1.1</f>
        <v>#N/A</v>
      </c>
      <c r="CM283" s="102" t="e">
        <f t="shared" si="482"/>
        <v>#N/A</v>
      </c>
      <c r="CN283" s="102" t="e">
        <f t="shared" si="483"/>
        <v>#N/A</v>
      </c>
      <c r="CO283" s="414" t="e">
        <f>IF(AND(CK283&gt;NDC!$C$63,CL283&gt;NDC!$C$65,CM283&gt;NDC!$D$73,CN283&gt;NDC!$D$74,$B283&gt;NDC!$H$22-0.1+MIN(3*CO$12,1.5)),0,1)</f>
        <v>#N/A</v>
      </c>
      <c r="CP283" s="86" t="b">
        <f t="shared" si="449"/>
        <v>0</v>
      </c>
      <c r="CQ283" s="86">
        <f t="shared" si="450"/>
        <v>0.5</v>
      </c>
      <c r="CR283" s="86">
        <f t="shared" si="451"/>
        <v>0.5</v>
      </c>
      <c r="CS283" s="30" t="e">
        <f t="shared" ca="1" si="484"/>
        <v>#DIV/0!</v>
      </c>
      <c r="CT283" s="85" t="e">
        <f ca="1">IF(BZ283&lt;=Hypothèses!$V$7,Hypothèses!$W$7,IF(BZ283&lt;=Hypothèses!$V$8,Hypothèses!$W$8,IF(BZ283&lt;=Hypothèses!$V$9,Hypothèses!$W$9,IF(BZ283&lt;=Hypothèses!$V$10,Hypothèses!$W$10,IF(BZ283&lt;=Hypothèses!$V$11,Hypothèses!$W$11,IF(BZ283&lt;=Hypothèses!$V$12,Hypothèses!$W$12,IF(BZ283&lt;=Hypothèses!$V$13,Hypothèses!$W$13,IF(BZ283&lt;=Hypothèses!$V$14,Hypothèses!$W$14,IF(BZ283&lt;=Hypothèses!$V$15,Hypothèses!$W$15,IF(BZ283&lt;=Hypothèses!$V$16,Hypothèses!$W$16,IF(BZ283&lt;=Hypothèses!$V$17,Hypothèses!$W$17,IF(BZ283&lt;=Hypothèses!$V$18,Hypothèses!$W$18,""))))))))))))</f>
        <v>#DIV/0!</v>
      </c>
      <c r="CU283" s="87" t="e">
        <f t="shared" ca="1" si="520"/>
        <v>#DIV/0!</v>
      </c>
      <c r="CV283" s="88" t="e">
        <f ca="1">IF(BZ283&lt;=Hypothèses!$V$7,Hypothèses!$X$7,IF(BZ283&lt;=Hypothèses!$V$8,Hypothèses!$X$8,IF(BZ283&lt;=Hypothèses!$V$9,Hypothèses!$X$9,IF(BZ283&lt;=Hypothèses!$V$10,Hypothèses!$X$10,IF(BZ283&lt;=Hypothèses!$V$11,Hypothèses!$X$11,IF(BZ283&lt;=Hypothèses!$V$12,Hypothèses!$X$12,IF(BZ283&lt;=Hypothèses!$V$13,Hypothèses!$X$13,IF(BZ283&lt;=Hypothèses!$V$14,Hypothèses!$X$14,IF(BZ283&lt;=Hypothèses!$V$15,Hypothèses!$X$15,IF(BZ283&lt;=Hypothèses!$V$16,Hypothèses!$X$16,IF(BZ283&lt;=Hypothèses!$U$17,Hypothèses!$W$17,IF(BZ283&lt;=Hypothèses!$U$18,Hypothèses!$W$18,""))))))))))))</f>
        <v>#DIV/0!</v>
      </c>
      <c r="CW283" s="95" t="e">
        <f t="shared" ca="1" si="485"/>
        <v>#DIV/0!</v>
      </c>
      <c r="CX283" s="101">
        <f t="shared" si="527"/>
        <v>0</v>
      </c>
      <c r="CY283" s="91">
        <f t="shared" si="452"/>
        <v>0</v>
      </c>
      <c r="CZ283" s="30" t="e">
        <f t="shared" si="508"/>
        <v>#N/A</v>
      </c>
      <c r="DA283" s="30" t="e">
        <f t="shared" si="509"/>
        <v>#N/A</v>
      </c>
      <c r="DB283" s="31" t="e">
        <f>IF(OR(Hypothèses!$B$4=17,Hypothèses!$B$4=18,Hypothèses!$B$4=19,Hypothèses!$B$4=20),
IF($D283="Pressio.",
IF(OR($E283=3,$E283=1,$E283=4),DA283,CZ283),
IF($D283="Pénétro.",
IF(OR($E283=3,$E283=1,$E283=4),DA283,CZ283))),IF($D283="Pressio.",
IF($E283=3,DA283,CZ283),
IF($D283="Pénétro.",
IF($E283=4,DA283,CZ283))))</f>
        <v>#N/A</v>
      </c>
      <c r="DC283" s="31">
        <v>0</v>
      </c>
      <c r="DD283" s="102" t="e">
        <f>IF(NDC!$H$10="Oui",(VLOOKUP($B$3,'Coeff EC7'!$T$39:$X$59,2,0)*DB283+VLOOKUP($B$3,'Coeff EC7'!$T$65:$X$85,2,0)*Model0.1T!DC283)/1.5,PI()*CZ$12*$Q283*($B283-$B282)*0.15/10+DD282)</f>
        <v>#N/A</v>
      </c>
      <c r="DE283" s="102" t="e">
        <f>(VLOOKUP($B$3,'Coeff EC7'!$T$39:$X$59,3,0)*DB283+VLOOKUP($B$3,'Coeff EC7'!$T$65:$X$85,3,0)*Model0.1T!DC283)/1.1</f>
        <v>#N/A</v>
      </c>
      <c r="DF283" s="102" t="e">
        <f t="shared" si="486"/>
        <v>#N/A</v>
      </c>
      <c r="DG283" s="102" t="e">
        <f t="shared" si="487"/>
        <v>#N/A</v>
      </c>
      <c r="DH283" s="414" t="e">
        <f>IF(AND(DD283&gt;NDC!$C$63,DE283&gt;NDC!$C$65,DF283&gt;NDC!$D$73,DG283&gt;NDC!$D$74,$B283&gt;NDC!$H$22-0.1+MIN(3*DH$12,1.5)),0,1)</f>
        <v>#N/A</v>
      </c>
      <c r="DI283" s="86" t="b">
        <f t="shared" si="453"/>
        <v>0</v>
      </c>
      <c r="DJ283" s="86">
        <f t="shared" si="454"/>
        <v>0.5</v>
      </c>
      <c r="DK283" s="86">
        <f t="shared" si="455"/>
        <v>0.5</v>
      </c>
      <c r="DL283" s="30" t="e">
        <f t="shared" ca="1" si="488"/>
        <v>#DIV/0!</v>
      </c>
      <c r="DM283" s="85" t="e">
        <f ca="1">IF(CS283&lt;=Hypothèses!$V$7,Hypothèses!$W$7,IF(CS283&lt;=Hypothèses!$V$8,Hypothèses!$W$8,IF(CS283&lt;=Hypothèses!$V$9,Hypothèses!$W$9,IF(CS283&lt;=Hypothèses!$V$10,Hypothèses!$W$10,IF(CS283&lt;=Hypothèses!$V$11,Hypothèses!$W$11,IF(CS283&lt;=Hypothèses!$V$12,Hypothèses!$W$12,IF(CS283&lt;=Hypothèses!$V$13,Hypothèses!$W$13,IF(CS283&lt;=Hypothèses!$V$14,Hypothèses!$W$14,IF(CS283&lt;=Hypothèses!$V$15,Hypothèses!$W$15,IF(CS283&lt;=Hypothèses!$V$16,Hypothèses!$W$16,IF(CS283&lt;=Hypothèses!$V$17,Hypothèses!$W$17,IF(CS283&lt;=Hypothèses!$V$18,Hypothèses!$W$18,""))))))))))))</f>
        <v>#DIV/0!</v>
      </c>
      <c r="DN283" s="87" t="e">
        <f t="shared" ca="1" si="521"/>
        <v>#DIV/0!</v>
      </c>
      <c r="DO283" s="88" t="e">
        <f ca="1">IF(CS283&lt;=Hypothèses!$V$7,Hypothèses!$X$7,IF(CS283&lt;=Hypothèses!$V$8,Hypothèses!$X$8,IF(CS283&lt;=Hypothèses!$V$9,Hypothèses!$X$9,IF(CS283&lt;=Hypothèses!$V$10,Hypothèses!$X$10,IF(CS283&lt;=Hypothèses!$V$11,Hypothèses!$X$11,IF(CS283&lt;=Hypothèses!$V$12,Hypothèses!$X$12,IF(CS283&lt;=Hypothèses!$V$13,Hypothèses!$X$13,IF(CS283&lt;=Hypothèses!$V$14,Hypothèses!$X$14,IF(CS283&lt;=Hypothèses!$V$15,Hypothèses!$X$15,IF(CS283&lt;=Hypothèses!$V$16,Hypothèses!$X$16,IF(CS283&lt;=Hypothèses!$U$17,Hypothèses!$W$17,IF(CS283&lt;=Hypothèses!$U$18,Hypothèses!$W$18,""))))))))))))</f>
        <v>#DIV/0!</v>
      </c>
      <c r="DP283" s="95" t="e">
        <f t="shared" ca="1" si="489"/>
        <v>#DIV/0!</v>
      </c>
      <c r="DQ283" s="101">
        <f t="shared" si="528"/>
        <v>0</v>
      </c>
      <c r="DR283" s="91">
        <f t="shared" si="456"/>
        <v>0</v>
      </c>
      <c r="DS283" s="30" t="e">
        <f t="shared" si="510"/>
        <v>#N/A</v>
      </c>
      <c r="DT283" s="30" t="e">
        <f t="shared" si="511"/>
        <v>#N/A</v>
      </c>
      <c r="DU283" s="31" t="e">
        <f>IF(OR(Hypothèses!$B$4=17,Hypothèses!$B$4=18,Hypothèses!$B$4=19,Hypothèses!$B$4=20),
IF($D283="Pressio.",
IF(OR($E283=3,$E283=1,$E283=4),DT283,DS283),
IF($D283="Pénétro.",
IF(OR($E283=3,$E283=1,$E283=4),DT283,DS283))),IF($D283="Pressio.",
IF($E283=3,DT283,DS283),
IF($D283="Pénétro.",
IF($E283=4,DT283,DS283))))</f>
        <v>#N/A</v>
      </c>
      <c r="DV283" s="31">
        <v>0</v>
      </c>
      <c r="DW283" s="102" t="e">
        <f>IF(NDC!$H$10="Oui",(VLOOKUP($B$3,'Coeff EC7'!$T$39:$X$59,2,0)*DU283+VLOOKUP($B$3,'Coeff EC7'!$T$65:$X$85,2,0)*Model0.1T!DV283)/1.5,PI()*DS$12*$Q283*($B283-$B282)*0.15/10+DW282)</f>
        <v>#N/A</v>
      </c>
      <c r="DX283" s="102" t="e">
        <f>(VLOOKUP($B$3,'Coeff EC7'!$T$39:$X$59,3,0)*DU283+VLOOKUP($B$3,'Coeff EC7'!$T$65:$X$85,3,0)*Model0.1T!DV283)/1.1</f>
        <v>#N/A</v>
      </c>
      <c r="DY283" s="102" t="e">
        <f t="shared" si="490"/>
        <v>#N/A</v>
      </c>
      <c r="DZ283" s="102" t="e">
        <f t="shared" si="491"/>
        <v>#N/A</v>
      </c>
      <c r="EA283" s="414" t="e">
        <f>IF(AND(DW283&gt;NDC!$C$63,DX283&gt;NDC!$C$65,DY283&gt;NDC!$D$73,DZ283&gt;NDC!$D$74,$B283&gt;NDC!$H$22-0.1+MIN(3*EA$12,1.5)),0,1)</f>
        <v>#N/A</v>
      </c>
      <c r="EB283" s="86" t="b">
        <f t="shared" si="457"/>
        <v>0</v>
      </c>
      <c r="EC283" s="418">
        <f t="shared" si="458"/>
        <v>0.51</v>
      </c>
      <c r="ED283" s="86">
        <f t="shared" si="459"/>
        <v>0.51</v>
      </c>
      <c r="EE283" s="30" t="e">
        <f t="shared" ca="1" si="492"/>
        <v>#DIV/0!</v>
      </c>
      <c r="EF283" s="85" t="e">
        <f ca="1">IF(DL283&lt;=Hypothèses!$V$7,Hypothèses!$W$7,IF(DL283&lt;=Hypothèses!$V$8,Hypothèses!$W$8,IF(DL283&lt;=Hypothèses!$V$9,Hypothèses!$W$9,IF(DL283&lt;=Hypothèses!$V$10,Hypothèses!$W$10,IF(DL283&lt;=Hypothèses!$V$11,Hypothèses!$W$11,IF(DL283&lt;=Hypothèses!$V$12,Hypothèses!$W$12,IF(DL283&lt;=Hypothèses!$V$13,Hypothèses!$W$13,IF(DL283&lt;=Hypothèses!$V$14,Hypothèses!$W$14,IF(DL283&lt;=Hypothèses!$V$15,Hypothèses!$W$15,IF(DL283&lt;=Hypothèses!$V$16,Hypothèses!$W$16,IF(DL283&lt;=Hypothèses!$V$17,Hypothèses!$W$17,IF(DL283&lt;=Hypothèses!$V$18,Hypothèses!$W$18,""))))))))))))</f>
        <v>#DIV/0!</v>
      </c>
      <c r="EG283" s="87" t="e">
        <f t="shared" ca="1" si="522"/>
        <v>#DIV/0!</v>
      </c>
      <c r="EH283" s="88" t="e">
        <f ca="1">IF(DL283&lt;=Hypothèses!$V$7,Hypothèses!$X$7,IF(DL283&lt;=Hypothèses!$V$8,Hypothèses!$X$8,IF(DL283&lt;=Hypothèses!$V$9,Hypothèses!$X$9,IF(DL283&lt;=Hypothèses!$V$10,Hypothèses!$X$10,IF(DL283&lt;=Hypothèses!$V$11,Hypothèses!$X$11,IF(DL283&lt;=Hypothèses!$V$12,Hypothèses!$X$12,IF(DL283&lt;=Hypothèses!$V$13,Hypothèses!$X$13,IF(DL283&lt;=Hypothèses!$V$14,Hypothèses!$X$14,IF(DL283&lt;=Hypothèses!$V$15,Hypothèses!$X$15,IF(DL283&lt;=Hypothèses!$V$16,Hypothèses!$X$16,IF(DL283&lt;=Hypothèses!$U$17,Hypothèses!$W$17,IF(DL283&lt;=Hypothèses!$U$18,Hypothèses!$W$18,""))))))))))))</f>
        <v>#DIV/0!</v>
      </c>
      <c r="EI283" s="95" t="e">
        <f t="shared" ca="1" si="493"/>
        <v>#DIV/0!</v>
      </c>
      <c r="EJ283" s="101">
        <f t="shared" si="529"/>
        <v>0</v>
      </c>
      <c r="EK283" s="91">
        <f t="shared" si="460"/>
        <v>0</v>
      </c>
      <c r="EL283" s="30" t="e">
        <f t="shared" si="512"/>
        <v>#N/A</v>
      </c>
      <c r="EM283" s="30" t="e">
        <f t="shared" si="513"/>
        <v>#N/A</v>
      </c>
      <c r="EN283" s="31" t="e">
        <f>IF(OR(Hypothèses!$B$4=17,Hypothèses!$B$4=18,Hypothèses!$B$4=19,Hypothèses!$B$4=20),
IF($D283="Pressio.",
IF(OR($E283=3,$E283=1,$E283=4),EM283,EL283),
IF($D283="Pénétro.",
IF(OR($E283=3,$E283=1,$E283=4),EM283,EL283))),IF($D283="Pressio.",
IF($E283=3,EM283,EL283),
IF($D283="Pénétro.",
IF($E283=4,EM283,EL283))))</f>
        <v>#N/A</v>
      </c>
      <c r="EO283" s="31">
        <v>0</v>
      </c>
      <c r="EP283" s="102" t="e">
        <f>IF(NDC!$H$10="Oui",(VLOOKUP($B$3,'Coeff EC7'!$T$39:$X$59,2,0)*EN283+VLOOKUP($B$3,'Coeff EC7'!$T$65:$X$85,2,0)*Model0.1T!EO283)/1.5,PI()*EL$12*$Q283*($B283-$B282)*0.15/10+EP282)</f>
        <v>#N/A</v>
      </c>
      <c r="EQ283" s="102" t="e">
        <f>(VLOOKUP($B$3,'Coeff EC7'!$T$39:$X$59,3,0)*EN283+VLOOKUP($B$3,'Coeff EC7'!$T$65:$X$85,3,0)*Model0.1T!EO283)/1.1</f>
        <v>#N/A</v>
      </c>
      <c r="ER283" s="102" t="e">
        <f t="shared" si="494"/>
        <v>#N/A</v>
      </c>
      <c r="ES283" s="102" t="e">
        <f t="shared" si="495"/>
        <v>#N/A</v>
      </c>
      <c r="ET283" s="414" t="e">
        <f>IF(AND(EP283&gt;NDC!$C$63,EQ283&gt;NDC!$C$65,ER283&gt;NDC!$D$73,ES283&gt;NDC!$D$74,$B283&gt;NDC!$H$22-0.1+MIN(3*ET$12,1.5)),0,1)</f>
        <v>#N/A</v>
      </c>
      <c r="EU283" s="86" t="b">
        <f t="shared" si="461"/>
        <v>0</v>
      </c>
      <c r="EV283" s="86">
        <f t="shared" si="462"/>
        <v>0.61</v>
      </c>
      <c r="EW283" s="86">
        <f t="shared" si="463"/>
        <v>0.61</v>
      </c>
      <c r="EX283" s="30" t="e">
        <f t="shared" ca="1" si="496"/>
        <v>#DIV/0!</v>
      </c>
      <c r="EY283" s="85" t="e">
        <f ca="1">IF(EE283&lt;=Hypothèses!$V$7,Hypothèses!$W$7,IF(EE283&lt;=Hypothèses!$V$8,Hypothèses!$W$8,IF(EE283&lt;=Hypothèses!$V$9,Hypothèses!$W$9,IF(EE283&lt;=Hypothèses!$V$10,Hypothèses!$W$10,IF(EE283&lt;=Hypothèses!$V$11,Hypothèses!$W$11,IF(EE283&lt;=Hypothèses!$V$12,Hypothèses!$W$12,IF(EE283&lt;=Hypothèses!$V$13,Hypothèses!$W$13,IF(EE283&lt;=Hypothèses!$V$14,Hypothèses!$W$14,IF(EE283&lt;=Hypothèses!$V$15,Hypothèses!$W$15,IF(EE283&lt;=Hypothèses!$V$16,Hypothèses!$W$16,IF(EE283&lt;=Hypothèses!$V$17,Hypothèses!$W$17,IF(EE283&lt;=Hypothèses!$V$18,Hypothèses!$W$18,""))))))))))))</f>
        <v>#DIV/0!</v>
      </c>
      <c r="EZ283" s="87" t="e">
        <f t="shared" ca="1" si="523"/>
        <v>#DIV/0!</v>
      </c>
      <c r="FA283" s="88" t="e">
        <f ca="1">IF(EE283&lt;=Hypothèses!$V$7,Hypothèses!$X$7,IF(EE283&lt;=Hypothèses!$V$8,Hypothèses!$X$8,IF(EE283&lt;=Hypothèses!$V$9,Hypothèses!$X$9,IF(EE283&lt;=Hypothèses!$V$10,Hypothèses!$X$10,IF(EE283&lt;=Hypothèses!$V$11,Hypothèses!$X$11,IF(EE283&lt;=Hypothèses!$V$12,Hypothèses!$X$12,IF(EE283&lt;=Hypothèses!$V$13,Hypothèses!$X$13,IF(EE283&lt;=Hypothèses!$V$14,Hypothèses!$X$14,IF(EE283&lt;=Hypothèses!$V$15,Hypothèses!$X$15,IF(EE283&lt;=Hypothèses!$V$16,Hypothèses!$X$16,IF(EE283&lt;=Hypothèses!$U$17,Hypothèses!$W$17,IF(EE283&lt;=Hypothèses!$U$18,Hypothèses!$W$18,""))))))))))))</f>
        <v>#DIV/0!</v>
      </c>
      <c r="FB283" s="95" t="e">
        <f t="shared" ca="1" si="497"/>
        <v>#DIV/0!</v>
      </c>
      <c r="FC283" s="101">
        <f t="shared" si="530"/>
        <v>0</v>
      </c>
      <c r="FD283" s="91">
        <f t="shared" si="464"/>
        <v>0</v>
      </c>
      <c r="FE283" s="30" t="e">
        <f t="shared" si="514"/>
        <v>#N/A</v>
      </c>
      <c r="FF283" s="30" t="e">
        <f t="shared" si="515"/>
        <v>#N/A</v>
      </c>
      <c r="FG283" s="31" t="e">
        <f>IF(OR(Hypothèses!$B$4=17,Hypothèses!$B$4=18,Hypothèses!$B$4=19,Hypothèses!$B$4=20),
IF($D283="Pressio.",
IF(OR($E283=3,$E283=1,$E283=4),FF283,FE283),
IF($D283="Pénétro.",
IF(OR($E283=3,$E283=1,$E283=4),FF283,FE283))),IF($D283="Pressio.",
IF($E283=3,FF283,FE283),
IF($D283="Pénétro.",
IF($E283=4,FF283,FE283))))</f>
        <v>#N/A</v>
      </c>
      <c r="FH283" s="31">
        <v>0</v>
      </c>
      <c r="FI283" s="102" t="e">
        <f>IF(NDC!$H$10="Oui",(VLOOKUP($B$3,'Coeff EC7'!$T$39:$X$59,2,0)*FG283+VLOOKUP($B$3,'Coeff EC7'!$T$65:$X$85,2,0)*Model0.1T!FH283)/1.5,PI()*FE$12*$Q283*($B283-$B282)*0.15/10+FI282)</f>
        <v>#N/A</v>
      </c>
      <c r="FJ283" s="102" t="e">
        <f>(VLOOKUP($B$3,'Coeff EC7'!$T$39:$X$59,3,0)*FG283+VLOOKUP($B$3,'Coeff EC7'!$T$65:$X$85,3,0)*Model0.1T!FH283)/1.1</f>
        <v>#N/A</v>
      </c>
      <c r="FK283" s="102" t="e">
        <f t="shared" si="498"/>
        <v>#N/A</v>
      </c>
      <c r="FL283" s="102" t="e">
        <f t="shared" si="499"/>
        <v>#N/A</v>
      </c>
      <c r="FM283" s="414" t="e">
        <f>IF(AND(FI283&gt;NDC!$C$63,FJ283&gt;NDC!$C$65,FK283&gt;NDC!$D$73,FL283&gt;NDC!$D$74,$B283&gt;NDC!$H$22-0.1+MIN(3*FM$12,1.5)),0,1)</f>
        <v>#N/A</v>
      </c>
    </row>
    <row r="284" spans="1:169">
      <c r="A284" s="96">
        <f t="shared" si="465"/>
        <v>72.90000000000154</v>
      </c>
      <c r="B284" s="97">
        <v>27.1</v>
      </c>
      <c r="C284" s="81">
        <f>IF(B284&lt;=Hypothèses!$C$7,Hypothèses!$A$7,IF(B284&lt;=Hypothèses!$C$8,Hypothèses!$A$8,IF(B284&lt;=Hypothèses!$C$9,Hypothèses!$A$9,IF(B284&lt;=Hypothèses!$C$10,Hypothèses!$A$10,IF(B284&lt;=Hypothèses!$C$11,Hypothèses!$A$11,IF(B284&lt;=Hypothèses!$C$12,Hypothèses!$A$12,IF(B284&lt;=Hypothèses!$C$13,Hypothèses!$A$13,IF(B284&lt;=Hypothèses!$C$14,Hypothèses!$A$14,IF(B284&lt;=Hypothèses!$C$15,Hypothèses!$A$15,IF(B284&lt;=Hypothèses!$C$16,Hypothèses!$A$16,IF(B284&lt;=Hypothèses!$C$17,Hypothèses!$A$17,IF(B284&lt;=Hypothèses!$C$18,Hypothèses!$A$18,C283))))))))))))</f>
        <v>11</v>
      </c>
      <c r="D284" s="82" t="str">
        <f>IF(B284&lt;=Hypothèses!$C$7,Hypothèses!$R$7,IF(B284&lt;=Hypothèses!$C$8,Hypothèses!$R$8,IF(B284&lt;=Hypothèses!$C$9,Hypothèses!$R$9,IF(B284&lt;=Hypothèses!$C$10,Hypothèses!$R$10,IF(B284&lt;=Hypothèses!$C$11,Hypothèses!$R$11,IF(B284&lt;=Hypothèses!$C$12,Hypothèses!$R$12,IF(B284&lt;=Hypothèses!$C$13,Hypothèses!$R$13,IF(B284&lt;=Hypothèses!$C$14,Hypothèses!$R$14,IF(B284&lt;=Hypothèses!$C$15,Hypothèses!$R$15,IF(B284&lt;=Hypothèses!$C$16,Hypothèses!$R$16,IF(B284&lt;=Hypothèses!$C$17,Hypothèses!$R$17,IF(B284&lt;=Hypothèses!$C$18,Hypothèses!$R$18,D283))))))))))))</f>
        <v>Pressio.</v>
      </c>
      <c r="E284" s="82" t="e">
        <f>IF(B284&lt;=Hypothèses!$C$7,Hypothèses!$G$7,IF(B284&lt;=Hypothèses!$C$8,Hypothèses!$G$8,IF(B284&lt;=Hypothèses!$C$9,Hypothèses!$G$9,IF(B284&lt;=Hypothèses!$C$10,Hypothèses!$G$10,IF(B284&lt;=Hypothèses!$C$11,Hypothèses!$G$11,IF(B284&lt;=Hypothèses!$C$12,Hypothèses!$G$12,IF(B284&lt;=Hypothèses!$C$13,Hypothèses!$G$13,IF(B284&lt;=Hypothèses!$C$14,Hypothèses!$G$14,IF(B284&lt;=Hypothèses!$C$15,Hypothèses!$G$15,IF(B284&lt;=Hypothèses!$C$16,Hypothèses!$G$16,IF(B284&lt;=Hypothèses!$C$17,Hypothèses!$G$17,IF(B284&lt;=Hypothèses!$C$18,Hypothèses!$G$18,E283))))))))))))</f>
        <v>#N/A</v>
      </c>
      <c r="F284" s="82" t="str">
        <f>IF(B284&lt;=Hypothèses!$C$7,Hypothèses!$F$7,IF(B284&lt;=Hypothèses!$C$8,Hypothèses!$F$8,IF(B284&lt;=Hypothèses!$C$9,Hypothèses!$F$9,IF(B284&lt;=Hypothèses!$C$10,Hypothèses!$F$10,IF(B284&lt;=Hypothèses!$C$11,Hypothèses!$F$11,IF(B284&lt;=Hypothèses!$C$12,Hypothèses!$F$12,IF(B284&lt;=Hypothèses!$C$13,Hypothèses!$F$13,IF(B284&lt;=Hypothèses!$C$14,Hypothèses!$F$14,IF(B284&lt;=Hypothèses!$C$15,Hypothèses!$F$15,IF(B284&lt;=Hypothèses!$C$16,Hypothèses!$F$16,IF(B284&lt;=Hypothèses!$C$17,Hypothèses!$F$17,IF(B284&lt;=Hypothèses!$C$18,Hypothèses!$F$18,F283))))))))))))</f>
        <v/>
      </c>
      <c r="G284" s="91">
        <f t="array" ref="G284">INDEX('Coeff EC7'!$U$7:$X$27,
MATCH(Model0.1T!$B$3,'Coeff EC7'!$T$7:$T$27,0),
MATCH(Model0.1T!$D284&amp;Model0.1T!$B$4,
'Coeff EC7'!$U$6:$X$6&amp;
'Coeff EC7'!$U$5:$X$5,0))</f>
        <v>1.4</v>
      </c>
      <c r="H284" s="91">
        <f t="array" ref="H284">INDEX('Coeff EC7'!$Y$7:$AB$27,
MATCH(Model0.1T!$B$3,'Coeff EC7'!$T$7:$T$27,0),
MATCH(Model0.1T!$D284&amp;Model0.1T!$B$4,
'Coeff EC7'!$Y$6:$AB$6&amp;
'Coeff EC7'!$Y$5:$AB$5,0))</f>
        <v>1.7</v>
      </c>
      <c r="I284" s="83">
        <v>0</v>
      </c>
      <c r="J284" s="91" t="e">
        <f t="array" ref="J284">INDEX('Coeff EC7'!$D$33:$Q$33,1,MATCH(D284&amp;E284,'Coeff EC7'!$D$31:$Q$31&amp;'Coeff EC7'!$D$32:$Q$32,0))</f>
        <v>#N/A</v>
      </c>
      <c r="K284" s="91" t="e">
        <f t="array" ref="K284">INDEX('Coeff EC7'!$D$34:$Q$34,1,MATCH(D284&amp;E284,'Coeff EC7'!$D$31:$Q$31&amp;'Coeff EC7'!$D$32:$Q$32,0))</f>
        <v>#N/A</v>
      </c>
      <c r="L284" s="91" t="e">
        <f t="array" ref="L284">INDEX('Coeff EC7'!$D$35:$Q$35,1,MATCH(D284&amp;E284,'Coeff EC7'!$D$31:$Q$31&amp;'Coeff EC7'!$D$32:$Q$32,0))</f>
        <v>#N/A</v>
      </c>
      <c r="M284" s="98" t="e">
        <f t="shared" si="431"/>
        <v>#N/A</v>
      </c>
      <c r="N284" s="99" t="e">
        <f t="array" ref="N284">INDEX('Coeff EC7'!$D$7:$Q$27,MATCH($B$3,'Coeff EC7'!$C$7:$C$27,0),MATCH(D284&amp;E284,'Coeff EC7'!$D$5:$Q$5&amp;'Coeff EC7'!$D$6:$Q$6,0))</f>
        <v>#N/A</v>
      </c>
      <c r="O284" s="99" t="e">
        <f t="array" ref="O284">INDEX('Coeff EC7'!$D$41:$Q$61,MATCH($B$3,'Coeff EC7'!$C$41:$C$61,0),MATCH(D284&amp;E284,'Coeff EC7'!$D$39:$Q$39&amp;'Coeff EC7'!$D$40:$Q$40,0))</f>
        <v>#N/A</v>
      </c>
      <c r="P284" s="30" t="e">
        <f t="shared" si="466"/>
        <v>#N/A</v>
      </c>
      <c r="Q284" s="100" t="e">
        <f t="shared" si="433"/>
        <v>#N/A</v>
      </c>
      <c r="R284" s="86" t="b">
        <f t="shared" si="434"/>
        <v>0</v>
      </c>
      <c r="S284" s="86">
        <f t="shared" si="432"/>
        <v>0.5</v>
      </c>
      <c r="T284" s="86">
        <f t="shared" si="435"/>
        <v>0.5</v>
      </c>
      <c r="U284" s="30" t="e">
        <f t="shared" ca="1" si="467"/>
        <v>#DIV/0!</v>
      </c>
      <c r="V284" s="85" t="str">
        <f>IF(B284&lt;=Hypothèses!$V$7,Hypothèses!$W$7,IF(B284&lt;=Hypothèses!$V$8,Hypothèses!$W$8,IF(B284&lt;=Hypothèses!$V$9,Hypothèses!$W$9,IF(B284&lt;=Hypothèses!$V$10,Hypothèses!$W$10,IF(B284&lt;=Hypothèses!$V$11,Hypothèses!$W$11,IF(B284&lt;=Hypothèses!$V$12,Hypothèses!$W$12,IF(B284&lt;=Hypothèses!$V$13,Hypothèses!$W$13,IF(B284&lt;=Hypothèses!$V$14,Hypothèses!$W$14,IF(B284&lt;=Hypothèses!$V$15,Hypothèses!$W$15,IF(B284&lt;=Hypothèses!$V$16,Hypothèses!$W$16,IF(B284&lt;=Hypothèses!$V$17,Hypothèses!$W$17,IF(B284&lt;=Hypothèses!$V$18,Hypothèses!$W$18,""))))))))))))</f>
        <v/>
      </c>
      <c r="W284" s="87" t="e">
        <f t="shared" ca="1" si="516"/>
        <v>#DIV/0!</v>
      </c>
      <c r="X284" s="88" t="str">
        <f>IF(B284&lt;=Hypothèses!$V$7,Hypothèses!$X$7,IF(B284&lt;=Hypothèses!$V$8,Hypothèses!$X$8,IF(B284&lt;=Hypothèses!$V$9,Hypothèses!$X$9,IF(B284&lt;=Hypothèses!$V$10,Hypothèses!$X$10,IF(B284&lt;=Hypothèses!$V$11,Hypothèses!$X$11,IF(B284&lt;=Hypothèses!$V$12,Hypothèses!$X$12,IF(B284&lt;=Hypothèses!$V$13,Hypothèses!$X$13,IF(B284&lt;=Hypothèses!$V$14,Hypothèses!$X$14,IF(B284&lt;=Hypothèses!$V$15,Hypothèses!$X$15,IF(B284&lt;=Hypothèses!$V$16,Hypothèses!$X$16,IF(B284&lt;=Hypothèses!$U$17,Hypothèses!$W$17,IF(B284&lt;=Hypothèses!$U$18,Hypothèses!$W$18,""))))))))))))</f>
        <v/>
      </c>
      <c r="Y284" s="95" t="e">
        <f t="shared" ca="1" si="436"/>
        <v>#DIV/0!</v>
      </c>
      <c r="Z284" s="101">
        <f t="shared" si="437"/>
        <v>0</v>
      </c>
      <c r="AA284" s="91">
        <f t="shared" si="438"/>
        <v>0</v>
      </c>
      <c r="AB284" s="30" t="e">
        <f t="shared" si="500"/>
        <v>#N/A</v>
      </c>
      <c r="AC284" s="30" t="e">
        <f t="shared" si="501"/>
        <v>#N/A</v>
      </c>
      <c r="AD284" s="31" t="e">
        <f>IF(OR(Hypothèses!$B$4=17,Hypothèses!$B$4=18,Hypothèses!$B$4=19,Hypothèses!$B$4=20),
IF($D284="Pressio.",
IF(OR($E284=3,$E284=1,$E284=4),AC284,AB284),
IF($D284="Pénétro.",
IF(OR($E284=3,$E284=1,$E284=4),AC284,AB284))),IF($D284="Pressio.",
IF($E284=3,AC284,AB284),
IF($D284="Pénétro.",
IF($E284=4,AC284,AB284))))</f>
        <v>#N/A</v>
      </c>
      <c r="AE284" s="31">
        <v>0</v>
      </c>
      <c r="AF284" s="102" t="e">
        <f>IF(NDC!$H$10="Oui",(VLOOKUP($B$3,'Coeff EC7'!$T$39:$X$59,2,0)*AD284+VLOOKUP($B$3,'Coeff EC7'!$T$65:$X$85,2,0)*Model0.1T!AE284)/1.5,PI()*AB$12*$Q284*($B284-$B283)*0.15/10+AF283)</f>
        <v>#N/A</v>
      </c>
      <c r="AG284" s="102" t="e">
        <f>(VLOOKUP($B$3,'Coeff EC7'!$T$39:$X$59,3,0)*AD284+VLOOKUP($B$3,'Coeff EC7'!$T$65:$X$85,3,0)*Model0.1T!AE284)/1.1</f>
        <v>#N/A</v>
      </c>
      <c r="AH284" s="102" t="e">
        <f t="shared" si="468"/>
        <v>#N/A</v>
      </c>
      <c r="AI284" s="102" t="e">
        <f t="shared" si="469"/>
        <v>#N/A</v>
      </c>
      <c r="AJ284" s="414" t="e">
        <f>IF(AND(AF284&gt;NDC!$C$63,AG284&gt;NDC!$C$65,AH284&gt;NDC!$D$73,AI284&gt;NDC!$D$74,$B284&gt;NDC!$H$22-0.1+MIN(3*$AJ$12,1.5)),0,1)</f>
        <v>#N/A</v>
      </c>
      <c r="AK284" s="86" t="b">
        <f t="shared" si="439"/>
        <v>0</v>
      </c>
      <c r="AL284" s="86">
        <f t="shared" si="470"/>
        <v>0.5</v>
      </c>
      <c r="AM284" s="86">
        <f t="shared" si="440"/>
        <v>0.5</v>
      </c>
      <c r="AN284" s="30" t="e">
        <f t="shared" ca="1" si="471"/>
        <v>#DIV/0!</v>
      </c>
      <c r="AO284" s="85" t="e">
        <f ca="1">IF(U284&lt;=Hypothèses!$V$7,Hypothèses!$W$7,IF(U284&lt;=Hypothèses!$V$8,Hypothèses!$W$8,IF(U284&lt;=Hypothèses!$V$9,Hypothèses!$W$9,IF(U284&lt;=Hypothèses!$V$10,Hypothèses!$W$10,IF(U284&lt;=Hypothèses!$V$11,Hypothèses!$W$11,IF(U284&lt;=Hypothèses!$V$12,Hypothèses!$W$12,IF(U284&lt;=Hypothèses!$V$13,Hypothèses!$W$13,IF(U284&lt;=Hypothèses!$V$14,Hypothèses!$W$14,IF(U284&lt;=Hypothèses!$V$15,Hypothèses!$W$15,IF(U284&lt;=Hypothèses!$V$16,Hypothèses!$W$16,IF(U284&lt;=Hypothèses!$V$17,Hypothèses!$W$17,IF(U284&lt;=Hypothèses!$V$18,Hypothèses!$W$18,""))))))))))))</f>
        <v>#DIV/0!</v>
      </c>
      <c r="AP284" s="87" t="e">
        <f t="shared" ca="1" si="517"/>
        <v>#DIV/0!</v>
      </c>
      <c r="AQ284" s="88" t="e">
        <f ca="1">IF(U284&lt;=Hypothèses!$V$7,Hypothèses!$X$7,IF(U284&lt;=Hypothèses!$V$8,Hypothèses!$X$8,IF(U284&lt;=Hypothèses!$V$9,Hypothèses!$X$9,IF(U284&lt;=Hypothèses!$V$10,Hypothèses!$X$10,IF(U284&lt;=Hypothèses!$V$11,Hypothèses!$X$11,IF(U284&lt;=Hypothèses!$V$12,Hypothèses!$X$12,IF(U284&lt;=Hypothèses!$V$13,Hypothèses!$X$13,IF(U284&lt;=Hypothèses!$V$14,Hypothèses!$X$14,IF(U284&lt;=Hypothèses!$V$15,Hypothèses!$X$15,IF(U284&lt;=Hypothèses!$V$16,Hypothèses!$X$16,IF(U284&lt;=Hypothèses!$U$17,Hypothèses!$W$17,IF(U284&lt;=Hypothèses!$U$18,Hypothèses!$W$18,""))))))))))))</f>
        <v>#DIV/0!</v>
      </c>
      <c r="AR284" s="95" t="e">
        <f t="shared" ca="1" si="472"/>
        <v>#DIV/0!</v>
      </c>
      <c r="AS284" s="101">
        <f t="shared" si="524"/>
        <v>0</v>
      </c>
      <c r="AT284" s="91">
        <f t="shared" si="441"/>
        <v>0</v>
      </c>
      <c r="AU284" s="30" t="e">
        <f t="shared" si="502"/>
        <v>#N/A</v>
      </c>
      <c r="AV284" s="30" t="e">
        <f t="shared" si="503"/>
        <v>#N/A</v>
      </c>
      <c r="AW284" s="31" t="e">
        <f>IF(OR(Hypothèses!$B$4=17,Hypothèses!$B$4=18,Hypothèses!$B$4=19,Hypothèses!$B$4=20),
IF($D284="Pressio.",
IF(OR($E284=3,$E284=1,$E284=4),AV284,AU284),
IF($D284="Pénétro.",
IF(OR($E284=3,$E284=1,$E284=4),AV284,AU284))),IF($D284="Pressio.",
IF($E284=3,AV284,AU284),
IF($D284="Pénétro.",
IF($E284=4,AV284,AU284))))</f>
        <v>#N/A</v>
      </c>
      <c r="AX284" s="31">
        <v>0</v>
      </c>
      <c r="AY284" s="102" t="e">
        <f>IF(NDC!$H$10="Oui",(VLOOKUP($B$3,'Coeff EC7'!$T$39:$X$59,2,0)*AW284+VLOOKUP($B$3,'Coeff EC7'!$T$65:$X$85,2,0)*Model0.1T!AX284)/1.5,PI()*AU$12*$Q284*($B284-$B283)*0.15/10+AY283)</f>
        <v>#N/A</v>
      </c>
      <c r="AZ284" s="102" t="e">
        <f>(VLOOKUP($B$3,'Coeff EC7'!$T$39:$X$59,3,0)*AW284+VLOOKUP($B$3,'Coeff EC7'!$T$65:$X$85,3,0)*Model0.1T!AX284)/1.1</f>
        <v>#N/A</v>
      </c>
      <c r="BA284" s="102" t="e">
        <f t="shared" si="473"/>
        <v>#N/A</v>
      </c>
      <c r="BB284" s="102" t="e">
        <f t="shared" si="474"/>
        <v>#N/A</v>
      </c>
      <c r="BC284" s="414" t="e">
        <f>IF(AND(AY284&gt;NDC!$C$63,AZ284&gt;NDC!$C$65,BA284&gt;NDC!$D$73,BB284&gt;NDC!$D$74,$B284&gt;NDC!$H$22-0.1+MIN(3*BC$12,1.5)),0,1)</f>
        <v>#N/A</v>
      </c>
      <c r="BD284" s="86" t="b">
        <f t="shared" si="442"/>
        <v>0</v>
      </c>
      <c r="BE284" s="86">
        <f t="shared" si="475"/>
        <v>0.5</v>
      </c>
      <c r="BF284" s="86">
        <f t="shared" si="443"/>
        <v>0.5</v>
      </c>
      <c r="BG284" s="30" t="e">
        <f t="shared" ca="1" si="476"/>
        <v>#DIV/0!</v>
      </c>
      <c r="BH284" s="85" t="e">
        <f ca="1">IF(AN284&lt;=Hypothèses!$V$7,Hypothèses!$W$7,IF(AN284&lt;=Hypothèses!$V$8,Hypothèses!$W$8,IF(AN284&lt;=Hypothèses!$V$9,Hypothèses!$W$9,IF(AN284&lt;=Hypothèses!$V$10,Hypothèses!$W$10,IF(AN284&lt;=Hypothèses!$V$11,Hypothèses!$W$11,IF(AN284&lt;=Hypothèses!$V$12,Hypothèses!$W$12,IF(AN284&lt;=Hypothèses!$V$13,Hypothèses!$W$13,IF(AN284&lt;=Hypothèses!$V$14,Hypothèses!$W$14,IF(AN284&lt;=Hypothèses!$V$15,Hypothèses!$W$15,IF(AN284&lt;=Hypothèses!$V$16,Hypothèses!$W$16,IF(AN284&lt;=Hypothèses!$V$17,Hypothèses!$W$17,IF(AN284&lt;=Hypothèses!$V$18,Hypothèses!$W$18,""))))))))))))</f>
        <v>#DIV/0!</v>
      </c>
      <c r="BI284" s="87" t="e">
        <f t="shared" ca="1" si="518"/>
        <v>#DIV/0!</v>
      </c>
      <c r="BJ284" s="88" t="e">
        <f ca="1">IF(AN284&lt;=Hypothèses!$V$7,Hypothèses!$X$7,IF(AN284&lt;=Hypothèses!$V$8,Hypothèses!$X$8,IF(AN284&lt;=Hypothèses!$V$9,Hypothèses!$X$9,IF(AN284&lt;=Hypothèses!$V$10,Hypothèses!$X$10,IF(AN284&lt;=Hypothèses!$V$11,Hypothèses!$X$11,IF(AN284&lt;=Hypothèses!$V$12,Hypothèses!$X$12,IF(AN284&lt;=Hypothèses!$V$13,Hypothèses!$X$13,IF(AN284&lt;=Hypothèses!$V$14,Hypothèses!$X$14,IF(AN284&lt;=Hypothèses!$V$15,Hypothèses!$X$15,IF(AN284&lt;=Hypothèses!$V$16,Hypothèses!$X$16,IF(AN284&lt;=Hypothèses!$U$17,Hypothèses!$W$17,IF(AN284&lt;=Hypothèses!$U$18,Hypothèses!$W$18,""))))))))))))</f>
        <v>#DIV/0!</v>
      </c>
      <c r="BK284" s="95" t="e">
        <f t="shared" ca="1" si="477"/>
        <v>#DIV/0!</v>
      </c>
      <c r="BL284" s="101">
        <f t="shared" si="525"/>
        <v>0</v>
      </c>
      <c r="BM284" s="91">
        <f t="shared" si="444"/>
        <v>0</v>
      </c>
      <c r="BN284" s="30" t="e">
        <f t="shared" si="504"/>
        <v>#N/A</v>
      </c>
      <c r="BO284" s="30" t="e">
        <f t="shared" si="505"/>
        <v>#N/A</v>
      </c>
      <c r="BP284" s="31" t="e">
        <f>IF(OR(Hypothèses!$B$4=17,Hypothèses!$B$4=18,Hypothèses!$B$4=19,Hypothèses!$B$4=20),
IF($D284="Pressio.",
IF(OR($E284=3,$E284=1,$E284=4),BO284,BN284),
IF($D284="Pénétro.",
IF(OR($E284=3,$E284=1,$E284=4),BO284,BN284))),IF($D284="Pressio.",
IF($E284=3,BO284,BN284),
IF($D284="Pénétro.",
IF($E284=4,BO284,BN284))))</f>
        <v>#N/A</v>
      </c>
      <c r="BQ284" s="31">
        <v>0</v>
      </c>
      <c r="BR284" s="102" t="e">
        <f>IF(NDC!$H$10="Oui",(VLOOKUP($B$3,'Coeff EC7'!$T$39:$X$59,2,0)*BP284+VLOOKUP($B$3,'Coeff EC7'!$T$65:$X$85,2,0)*Model0.1T!BQ284)/1.5,PI()*BN$12*$Q284*($B284-$B283)*0.15/10+BR283)</f>
        <v>#N/A</v>
      </c>
      <c r="BS284" s="102" t="e">
        <f>(VLOOKUP($B$3,'Coeff EC7'!$T$39:$X$59,3,0)*BP284+VLOOKUP($B$3,'Coeff EC7'!$T$65:$X$85,3,0)*Model0.1T!BQ284)/1.1</f>
        <v>#N/A</v>
      </c>
      <c r="BT284" s="102" t="e">
        <f t="shared" si="478"/>
        <v>#N/A</v>
      </c>
      <c r="BU284" s="102" t="e">
        <f t="shared" si="479"/>
        <v>#N/A</v>
      </c>
      <c r="BV284" s="414" t="e">
        <f>IF(AND(BR284&gt;NDC!$C$63,BS284&gt;NDC!$C$65,BT284&gt;NDC!$D$73,BU284&gt;NDC!$D$74,$B284&gt;NDC!$H$22-0.1+MIN(3*BV$12,1.5)),0,1)</f>
        <v>#N/A</v>
      </c>
      <c r="BW284" s="86" t="b">
        <f t="shared" si="445"/>
        <v>0</v>
      </c>
      <c r="BX284" s="86">
        <f t="shared" si="446"/>
        <v>0.5</v>
      </c>
      <c r="BY284" s="86">
        <f t="shared" si="447"/>
        <v>0.5</v>
      </c>
      <c r="BZ284" s="30" t="e">
        <f t="shared" ca="1" si="480"/>
        <v>#DIV/0!</v>
      </c>
      <c r="CA284" s="85" t="e">
        <f ca="1">IF(BG284&lt;=Hypothèses!$V$7,Hypothèses!$W$7,IF(BG284&lt;=Hypothèses!$V$8,Hypothèses!$W$8,IF(BG284&lt;=Hypothèses!$V$9,Hypothèses!$W$9,IF(BG284&lt;=Hypothèses!$V$10,Hypothèses!$W$10,IF(BG284&lt;=Hypothèses!$V$11,Hypothèses!$W$11,IF(BG284&lt;=Hypothèses!$V$12,Hypothèses!$W$12,IF(BG284&lt;=Hypothèses!$V$13,Hypothèses!$W$13,IF(BG284&lt;=Hypothèses!$V$14,Hypothèses!$W$14,IF(BG284&lt;=Hypothèses!$V$15,Hypothèses!$W$15,IF(BG284&lt;=Hypothèses!$V$16,Hypothèses!$W$16,IF(BG284&lt;=Hypothèses!$V$17,Hypothèses!$W$17,IF(BG284&lt;=Hypothèses!$V$18,Hypothèses!$W$18,""))))))))))))</f>
        <v>#DIV/0!</v>
      </c>
      <c r="CB284" s="87" t="e">
        <f t="shared" ca="1" si="519"/>
        <v>#DIV/0!</v>
      </c>
      <c r="CC284" s="88" t="e">
        <f ca="1">IF(BG284&lt;=Hypothèses!$V$7,Hypothèses!$X$7,IF(BG284&lt;=Hypothèses!$V$8,Hypothèses!$X$8,IF(BG284&lt;=Hypothèses!$V$9,Hypothèses!$X$9,IF(BG284&lt;=Hypothèses!$V$10,Hypothèses!$X$10,IF(BG284&lt;=Hypothèses!$V$11,Hypothèses!$X$11,IF(BG284&lt;=Hypothèses!$V$12,Hypothèses!$X$12,IF(BG284&lt;=Hypothèses!$V$13,Hypothèses!$X$13,IF(BG284&lt;=Hypothèses!$V$14,Hypothèses!$X$14,IF(BG284&lt;=Hypothèses!$V$15,Hypothèses!$X$15,IF(BG284&lt;=Hypothèses!$V$16,Hypothèses!$X$16,IF(BG284&lt;=Hypothèses!$U$17,Hypothèses!$W$17,IF(BG284&lt;=Hypothèses!$U$18,Hypothèses!$W$18,""))))))))))))</f>
        <v>#DIV/0!</v>
      </c>
      <c r="CD284" s="95" t="e">
        <f t="shared" ca="1" si="481"/>
        <v>#DIV/0!</v>
      </c>
      <c r="CE284" s="101">
        <f t="shared" si="526"/>
        <v>0</v>
      </c>
      <c r="CF284" s="91">
        <f t="shared" si="448"/>
        <v>0</v>
      </c>
      <c r="CG284" s="30" t="e">
        <f t="shared" si="506"/>
        <v>#N/A</v>
      </c>
      <c r="CH284" s="30" t="e">
        <f t="shared" si="507"/>
        <v>#N/A</v>
      </c>
      <c r="CI284" s="31" t="e">
        <f>IF(OR(Hypothèses!$B$4=17,Hypothèses!$B$4=18,Hypothèses!$B$4=19,Hypothèses!$B$4=20),
IF($D284="Pressio.",
IF(OR($E284=3,$E284=1,$E284=4),CH284,CG284),
IF($D284="Pénétro.",
IF(OR($E284=3,$E284=1,$E284=4),CH284,CG284))),IF($D284="Pressio.",
IF($E284=3,CH284,CG284),
IF($D284="Pénétro.",
IF($E284=4,CH284,CG284))))</f>
        <v>#N/A</v>
      </c>
      <c r="CJ284" s="31">
        <v>0</v>
      </c>
      <c r="CK284" s="102" t="e">
        <f>IF(NDC!$H$10="Oui",(VLOOKUP($B$3,'Coeff EC7'!$T$39:$X$59,2,0)*CI284+VLOOKUP($B$3,'Coeff EC7'!$T$65:$X$85,2,0)*Model0.1T!CJ284)/1.5,PI()*CG$12*$Q284*($B284-$B283)*0.15/10+CK283)</f>
        <v>#N/A</v>
      </c>
      <c r="CL284" s="102" t="e">
        <f>(VLOOKUP($B$3,'Coeff EC7'!$T$39:$X$59,3,0)*CI284+VLOOKUP($B$3,'Coeff EC7'!$T$65:$X$85,3,0)*Model0.1T!CJ284)/1.1</f>
        <v>#N/A</v>
      </c>
      <c r="CM284" s="102" t="e">
        <f t="shared" si="482"/>
        <v>#N/A</v>
      </c>
      <c r="CN284" s="102" t="e">
        <f t="shared" si="483"/>
        <v>#N/A</v>
      </c>
      <c r="CO284" s="414" t="e">
        <f>IF(AND(CK284&gt;NDC!$C$63,CL284&gt;NDC!$C$65,CM284&gt;NDC!$D$73,CN284&gt;NDC!$D$74,$B284&gt;NDC!$H$22-0.1+MIN(3*CO$12,1.5)),0,1)</f>
        <v>#N/A</v>
      </c>
      <c r="CP284" s="86" t="b">
        <f t="shared" si="449"/>
        <v>0</v>
      </c>
      <c r="CQ284" s="86">
        <f t="shared" si="450"/>
        <v>0.5</v>
      </c>
      <c r="CR284" s="86">
        <f t="shared" si="451"/>
        <v>0.5</v>
      </c>
      <c r="CS284" s="30" t="e">
        <f t="shared" ca="1" si="484"/>
        <v>#DIV/0!</v>
      </c>
      <c r="CT284" s="85" t="e">
        <f ca="1">IF(BZ284&lt;=Hypothèses!$V$7,Hypothèses!$W$7,IF(BZ284&lt;=Hypothèses!$V$8,Hypothèses!$W$8,IF(BZ284&lt;=Hypothèses!$V$9,Hypothèses!$W$9,IF(BZ284&lt;=Hypothèses!$V$10,Hypothèses!$W$10,IF(BZ284&lt;=Hypothèses!$V$11,Hypothèses!$W$11,IF(BZ284&lt;=Hypothèses!$V$12,Hypothèses!$W$12,IF(BZ284&lt;=Hypothèses!$V$13,Hypothèses!$W$13,IF(BZ284&lt;=Hypothèses!$V$14,Hypothèses!$W$14,IF(BZ284&lt;=Hypothèses!$V$15,Hypothèses!$W$15,IF(BZ284&lt;=Hypothèses!$V$16,Hypothèses!$W$16,IF(BZ284&lt;=Hypothèses!$V$17,Hypothèses!$W$17,IF(BZ284&lt;=Hypothèses!$V$18,Hypothèses!$W$18,""))))))))))))</f>
        <v>#DIV/0!</v>
      </c>
      <c r="CU284" s="87" t="e">
        <f t="shared" ca="1" si="520"/>
        <v>#DIV/0!</v>
      </c>
      <c r="CV284" s="88" t="e">
        <f ca="1">IF(BZ284&lt;=Hypothèses!$V$7,Hypothèses!$X$7,IF(BZ284&lt;=Hypothèses!$V$8,Hypothèses!$X$8,IF(BZ284&lt;=Hypothèses!$V$9,Hypothèses!$X$9,IF(BZ284&lt;=Hypothèses!$V$10,Hypothèses!$X$10,IF(BZ284&lt;=Hypothèses!$V$11,Hypothèses!$X$11,IF(BZ284&lt;=Hypothèses!$V$12,Hypothèses!$X$12,IF(BZ284&lt;=Hypothèses!$V$13,Hypothèses!$X$13,IF(BZ284&lt;=Hypothèses!$V$14,Hypothèses!$X$14,IF(BZ284&lt;=Hypothèses!$V$15,Hypothèses!$X$15,IF(BZ284&lt;=Hypothèses!$V$16,Hypothèses!$X$16,IF(BZ284&lt;=Hypothèses!$U$17,Hypothèses!$W$17,IF(BZ284&lt;=Hypothèses!$U$18,Hypothèses!$W$18,""))))))))))))</f>
        <v>#DIV/0!</v>
      </c>
      <c r="CW284" s="95" t="e">
        <f t="shared" ca="1" si="485"/>
        <v>#DIV/0!</v>
      </c>
      <c r="CX284" s="101">
        <f t="shared" si="527"/>
        <v>0</v>
      </c>
      <c r="CY284" s="91">
        <f t="shared" si="452"/>
        <v>0</v>
      </c>
      <c r="CZ284" s="30" t="e">
        <f t="shared" si="508"/>
        <v>#N/A</v>
      </c>
      <c r="DA284" s="30" t="e">
        <f t="shared" si="509"/>
        <v>#N/A</v>
      </c>
      <c r="DB284" s="31" t="e">
        <f>IF(OR(Hypothèses!$B$4=17,Hypothèses!$B$4=18,Hypothèses!$B$4=19,Hypothèses!$B$4=20),
IF($D284="Pressio.",
IF(OR($E284=3,$E284=1,$E284=4),DA284,CZ284),
IF($D284="Pénétro.",
IF(OR($E284=3,$E284=1,$E284=4),DA284,CZ284))),IF($D284="Pressio.",
IF($E284=3,DA284,CZ284),
IF($D284="Pénétro.",
IF($E284=4,DA284,CZ284))))</f>
        <v>#N/A</v>
      </c>
      <c r="DC284" s="31">
        <v>0</v>
      </c>
      <c r="DD284" s="102" t="e">
        <f>IF(NDC!$H$10="Oui",(VLOOKUP($B$3,'Coeff EC7'!$T$39:$X$59,2,0)*DB284+VLOOKUP($B$3,'Coeff EC7'!$T$65:$X$85,2,0)*Model0.1T!DC284)/1.5,PI()*CZ$12*$Q284*($B284-$B283)*0.15/10+DD283)</f>
        <v>#N/A</v>
      </c>
      <c r="DE284" s="102" t="e">
        <f>(VLOOKUP($B$3,'Coeff EC7'!$T$39:$X$59,3,0)*DB284+VLOOKUP($B$3,'Coeff EC7'!$T$65:$X$85,3,0)*Model0.1T!DC284)/1.1</f>
        <v>#N/A</v>
      </c>
      <c r="DF284" s="102" t="e">
        <f t="shared" si="486"/>
        <v>#N/A</v>
      </c>
      <c r="DG284" s="102" t="e">
        <f t="shared" si="487"/>
        <v>#N/A</v>
      </c>
      <c r="DH284" s="414" t="e">
        <f>IF(AND(DD284&gt;NDC!$C$63,DE284&gt;NDC!$C$65,DF284&gt;NDC!$D$73,DG284&gt;NDC!$D$74,$B284&gt;NDC!$H$22-0.1+MIN(3*DH$12,1.5)),0,1)</f>
        <v>#N/A</v>
      </c>
      <c r="DI284" s="86" t="b">
        <f t="shared" si="453"/>
        <v>0</v>
      </c>
      <c r="DJ284" s="86">
        <f t="shared" si="454"/>
        <v>0.5</v>
      </c>
      <c r="DK284" s="86">
        <f t="shared" si="455"/>
        <v>0.5</v>
      </c>
      <c r="DL284" s="30" t="e">
        <f t="shared" ca="1" si="488"/>
        <v>#DIV/0!</v>
      </c>
      <c r="DM284" s="85" t="e">
        <f ca="1">IF(CS284&lt;=Hypothèses!$V$7,Hypothèses!$W$7,IF(CS284&lt;=Hypothèses!$V$8,Hypothèses!$W$8,IF(CS284&lt;=Hypothèses!$V$9,Hypothèses!$W$9,IF(CS284&lt;=Hypothèses!$V$10,Hypothèses!$W$10,IF(CS284&lt;=Hypothèses!$V$11,Hypothèses!$W$11,IF(CS284&lt;=Hypothèses!$V$12,Hypothèses!$W$12,IF(CS284&lt;=Hypothèses!$V$13,Hypothèses!$W$13,IF(CS284&lt;=Hypothèses!$V$14,Hypothèses!$W$14,IF(CS284&lt;=Hypothèses!$V$15,Hypothèses!$W$15,IF(CS284&lt;=Hypothèses!$V$16,Hypothèses!$W$16,IF(CS284&lt;=Hypothèses!$V$17,Hypothèses!$W$17,IF(CS284&lt;=Hypothèses!$V$18,Hypothèses!$W$18,""))))))))))))</f>
        <v>#DIV/0!</v>
      </c>
      <c r="DN284" s="87" t="e">
        <f t="shared" ca="1" si="521"/>
        <v>#DIV/0!</v>
      </c>
      <c r="DO284" s="88" t="e">
        <f ca="1">IF(CS284&lt;=Hypothèses!$V$7,Hypothèses!$X$7,IF(CS284&lt;=Hypothèses!$V$8,Hypothèses!$X$8,IF(CS284&lt;=Hypothèses!$V$9,Hypothèses!$X$9,IF(CS284&lt;=Hypothèses!$V$10,Hypothèses!$X$10,IF(CS284&lt;=Hypothèses!$V$11,Hypothèses!$X$11,IF(CS284&lt;=Hypothèses!$V$12,Hypothèses!$X$12,IF(CS284&lt;=Hypothèses!$V$13,Hypothèses!$X$13,IF(CS284&lt;=Hypothèses!$V$14,Hypothèses!$X$14,IF(CS284&lt;=Hypothèses!$V$15,Hypothèses!$X$15,IF(CS284&lt;=Hypothèses!$V$16,Hypothèses!$X$16,IF(CS284&lt;=Hypothèses!$U$17,Hypothèses!$W$17,IF(CS284&lt;=Hypothèses!$U$18,Hypothèses!$W$18,""))))))))))))</f>
        <v>#DIV/0!</v>
      </c>
      <c r="DP284" s="95" t="e">
        <f t="shared" ca="1" si="489"/>
        <v>#DIV/0!</v>
      </c>
      <c r="DQ284" s="101">
        <f t="shared" si="528"/>
        <v>0</v>
      </c>
      <c r="DR284" s="91">
        <f t="shared" si="456"/>
        <v>0</v>
      </c>
      <c r="DS284" s="30" t="e">
        <f t="shared" si="510"/>
        <v>#N/A</v>
      </c>
      <c r="DT284" s="30" t="e">
        <f t="shared" si="511"/>
        <v>#N/A</v>
      </c>
      <c r="DU284" s="31" t="e">
        <f>IF(OR(Hypothèses!$B$4=17,Hypothèses!$B$4=18,Hypothèses!$B$4=19,Hypothèses!$B$4=20),
IF($D284="Pressio.",
IF(OR($E284=3,$E284=1,$E284=4),DT284,DS284),
IF($D284="Pénétro.",
IF(OR($E284=3,$E284=1,$E284=4),DT284,DS284))),IF($D284="Pressio.",
IF($E284=3,DT284,DS284),
IF($D284="Pénétro.",
IF($E284=4,DT284,DS284))))</f>
        <v>#N/A</v>
      </c>
      <c r="DV284" s="31">
        <v>0</v>
      </c>
      <c r="DW284" s="102" t="e">
        <f>IF(NDC!$H$10="Oui",(VLOOKUP($B$3,'Coeff EC7'!$T$39:$X$59,2,0)*DU284+VLOOKUP($B$3,'Coeff EC7'!$T$65:$X$85,2,0)*Model0.1T!DV284)/1.5,PI()*DS$12*$Q284*($B284-$B283)*0.15/10+DW283)</f>
        <v>#N/A</v>
      </c>
      <c r="DX284" s="102" t="e">
        <f>(VLOOKUP($B$3,'Coeff EC7'!$T$39:$X$59,3,0)*DU284+VLOOKUP($B$3,'Coeff EC7'!$T$65:$X$85,3,0)*Model0.1T!DV284)/1.1</f>
        <v>#N/A</v>
      </c>
      <c r="DY284" s="102" t="e">
        <f t="shared" si="490"/>
        <v>#N/A</v>
      </c>
      <c r="DZ284" s="102" t="e">
        <f t="shared" si="491"/>
        <v>#N/A</v>
      </c>
      <c r="EA284" s="414" t="e">
        <f>IF(AND(DW284&gt;NDC!$C$63,DX284&gt;NDC!$C$65,DY284&gt;NDC!$D$73,DZ284&gt;NDC!$D$74,$B284&gt;NDC!$H$22-0.1+MIN(3*EA$12,1.5)),0,1)</f>
        <v>#N/A</v>
      </c>
      <c r="EB284" s="86" t="b">
        <f t="shared" si="457"/>
        <v>0</v>
      </c>
      <c r="EC284" s="418">
        <f t="shared" si="458"/>
        <v>0.51</v>
      </c>
      <c r="ED284" s="86">
        <f t="shared" si="459"/>
        <v>0.51</v>
      </c>
      <c r="EE284" s="30" t="e">
        <f t="shared" ca="1" si="492"/>
        <v>#DIV/0!</v>
      </c>
      <c r="EF284" s="85" t="e">
        <f ca="1">IF(DL284&lt;=Hypothèses!$V$7,Hypothèses!$W$7,IF(DL284&lt;=Hypothèses!$V$8,Hypothèses!$W$8,IF(DL284&lt;=Hypothèses!$V$9,Hypothèses!$W$9,IF(DL284&lt;=Hypothèses!$V$10,Hypothèses!$W$10,IF(DL284&lt;=Hypothèses!$V$11,Hypothèses!$W$11,IF(DL284&lt;=Hypothèses!$V$12,Hypothèses!$W$12,IF(DL284&lt;=Hypothèses!$V$13,Hypothèses!$W$13,IF(DL284&lt;=Hypothèses!$V$14,Hypothèses!$W$14,IF(DL284&lt;=Hypothèses!$V$15,Hypothèses!$W$15,IF(DL284&lt;=Hypothèses!$V$16,Hypothèses!$W$16,IF(DL284&lt;=Hypothèses!$V$17,Hypothèses!$W$17,IF(DL284&lt;=Hypothèses!$V$18,Hypothèses!$W$18,""))))))))))))</f>
        <v>#DIV/0!</v>
      </c>
      <c r="EG284" s="87" t="e">
        <f t="shared" ca="1" si="522"/>
        <v>#DIV/0!</v>
      </c>
      <c r="EH284" s="88" t="e">
        <f ca="1">IF(DL284&lt;=Hypothèses!$V$7,Hypothèses!$X$7,IF(DL284&lt;=Hypothèses!$V$8,Hypothèses!$X$8,IF(DL284&lt;=Hypothèses!$V$9,Hypothèses!$X$9,IF(DL284&lt;=Hypothèses!$V$10,Hypothèses!$X$10,IF(DL284&lt;=Hypothèses!$V$11,Hypothèses!$X$11,IF(DL284&lt;=Hypothèses!$V$12,Hypothèses!$X$12,IF(DL284&lt;=Hypothèses!$V$13,Hypothèses!$X$13,IF(DL284&lt;=Hypothèses!$V$14,Hypothèses!$X$14,IF(DL284&lt;=Hypothèses!$V$15,Hypothèses!$X$15,IF(DL284&lt;=Hypothèses!$V$16,Hypothèses!$X$16,IF(DL284&lt;=Hypothèses!$U$17,Hypothèses!$W$17,IF(DL284&lt;=Hypothèses!$U$18,Hypothèses!$W$18,""))))))))))))</f>
        <v>#DIV/0!</v>
      </c>
      <c r="EI284" s="95" t="e">
        <f t="shared" ca="1" si="493"/>
        <v>#DIV/0!</v>
      </c>
      <c r="EJ284" s="101">
        <f t="shared" si="529"/>
        <v>0</v>
      </c>
      <c r="EK284" s="91">
        <f t="shared" si="460"/>
        <v>0</v>
      </c>
      <c r="EL284" s="30" t="e">
        <f t="shared" si="512"/>
        <v>#N/A</v>
      </c>
      <c r="EM284" s="30" t="e">
        <f t="shared" si="513"/>
        <v>#N/A</v>
      </c>
      <c r="EN284" s="31" t="e">
        <f>IF(OR(Hypothèses!$B$4=17,Hypothèses!$B$4=18,Hypothèses!$B$4=19,Hypothèses!$B$4=20),
IF($D284="Pressio.",
IF(OR($E284=3,$E284=1,$E284=4),EM284,EL284),
IF($D284="Pénétro.",
IF(OR($E284=3,$E284=1,$E284=4),EM284,EL284))),IF($D284="Pressio.",
IF($E284=3,EM284,EL284),
IF($D284="Pénétro.",
IF($E284=4,EM284,EL284))))</f>
        <v>#N/A</v>
      </c>
      <c r="EO284" s="31">
        <v>0</v>
      </c>
      <c r="EP284" s="102" t="e">
        <f>IF(NDC!$H$10="Oui",(VLOOKUP($B$3,'Coeff EC7'!$T$39:$X$59,2,0)*EN284+VLOOKUP($B$3,'Coeff EC7'!$T$65:$X$85,2,0)*Model0.1T!EO284)/1.5,PI()*EL$12*$Q284*($B284-$B283)*0.15/10+EP283)</f>
        <v>#N/A</v>
      </c>
      <c r="EQ284" s="102" t="e">
        <f>(VLOOKUP($B$3,'Coeff EC7'!$T$39:$X$59,3,0)*EN284+VLOOKUP($B$3,'Coeff EC7'!$T$65:$X$85,3,0)*Model0.1T!EO284)/1.1</f>
        <v>#N/A</v>
      </c>
      <c r="ER284" s="102" t="e">
        <f t="shared" si="494"/>
        <v>#N/A</v>
      </c>
      <c r="ES284" s="102" t="e">
        <f t="shared" si="495"/>
        <v>#N/A</v>
      </c>
      <c r="ET284" s="414" t="e">
        <f>IF(AND(EP284&gt;NDC!$C$63,EQ284&gt;NDC!$C$65,ER284&gt;NDC!$D$73,ES284&gt;NDC!$D$74,$B284&gt;NDC!$H$22-0.1+MIN(3*ET$12,1.5)),0,1)</f>
        <v>#N/A</v>
      </c>
      <c r="EU284" s="86" t="b">
        <f t="shared" si="461"/>
        <v>0</v>
      </c>
      <c r="EV284" s="86">
        <f t="shared" si="462"/>
        <v>0.61</v>
      </c>
      <c r="EW284" s="86">
        <f t="shared" si="463"/>
        <v>0.61</v>
      </c>
      <c r="EX284" s="30" t="e">
        <f t="shared" ca="1" si="496"/>
        <v>#DIV/0!</v>
      </c>
      <c r="EY284" s="85" t="e">
        <f ca="1">IF(EE284&lt;=Hypothèses!$V$7,Hypothèses!$W$7,IF(EE284&lt;=Hypothèses!$V$8,Hypothèses!$W$8,IF(EE284&lt;=Hypothèses!$V$9,Hypothèses!$W$9,IF(EE284&lt;=Hypothèses!$V$10,Hypothèses!$W$10,IF(EE284&lt;=Hypothèses!$V$11,Hypothèses!$W$11,IF(EE284&lt;=Hypothèses!$V$12,Hypothèses!$W$12,IF(EE284&lt;=Hypothèses!$V$13,Hypothèses!$W$13,IF(EE284&lt;=Hypothèses!$V$14,Hypothèses!$W$14,IF(EE284&lt;=Hypothèses!$V$15,Hypothèses!$W$15,IF(EE284&lt;=Hypothèses!$V$16,Hypothèses!$W$16,IF(EE284&lt;=Hypothèses!$V$17,Hypothèses!$W$17,IF(EE284&lt;=Hypothèses!$V$18,Hypothèses!$W$18,""))))))))))))</f>
        <v>#DIV/0!</v>
      </c>
      <c r="EZ284" s="87" t="e">
        <f t="shared" ca="1" si="523"/>
        <v>#DIV/0!</v>
      </c>
      <c r="FA284" s="88" t="e">
        <f ca="1">IF(EE284&lt;=Hypothèses!$V$7,Hypothèses!$X$7,IF(EE284&lt;=Hypothèses!$V$8,Hypothèses!$X$8,IF(EE284&lt;=Hypothèses!$V$9,Hypothèses!$X$9,IF(EE284&lt;=Hypothèses!$V$10,Hypothèses!$X$10,IF(EE284&lt;=Hypothèses!$V$11,Hypothèses!$X$11,IF(EE284&lt;=Hypothèses!$V$12,Hypothèses!$X$12,IF(EE284&lt;=Hypothèses!$V$13,Hypothèses!$X$13,IF(EE284&lt;=Hypothèses!$V$14,Hypothèses!$X$14,IF(EE284&lt;=Hypothèses!$V$15,Hypothèses!$X$15,IF(EE284&lt;=Hypothèses!$V$16,Hypothèses!$X$16,IF(EE284&lt;=Hypothèses!$U$17,Hypothèses!$W$17,IF(EE284&lt;=Hypothèses!$U$18,Hypothèses!$W$18,""))))))))))))</f>
        <v>#DIV/0!</v>
      </c>
      <c r="FB284" s="95" t="e">
        <f t="shared" ca="1" si="497"/>
        <v>#DIV/0!</v>
      </c>
      <c r="FC284" s="101">
        <f t="shared" si="530"/>
        <v>0</v>
      </c>
      <c r="FD284" s="91">
        <f t="shared" si="464"/>
        <v>0</v>
      </c>
      <c r="FE284" s="30" t="e">
        <f t="shared" si="514"/>
        <v>#N/A</v>
      </c>
      <c r="FF284" s="30" t="e">
        <f t="shared" si="515"/>
        <v>#N/A</v>
      </c>
      <c r="FG284" s="31" t="e">
        <f>IF(OR(Hypothèses!$B$4=17,Hypothèses!$B$4=18,Hypothèses!$B$4=19,Hypothèses!$B$4=20),
IF($D284="Pressio.",
IF(OR($E284=3,$E284=1,$E284=4),FF284,FE284),
IF($D284="Pénétro.",
IF(OR($E284=3,$E284=1,$E284=4),FF284,FE284))),IF($D284="Pressio.",
IF($E284=3,FF284,FE284),
IF($D284="Pénétro.",
IF($E284=4,FF284,FE284))))</f>
        <v>#N/A</v>
      </c>
      <c r="FH284" s="31">
        <v>0</v>
      </c>
      <c r="FI284" s="102" t="e">
        <f>IF(NDC!$H$10="Oui",(VLOOKUP($B$3,'Coeff EC7'!$T$39:$X$59,2,0)*FG284+VLOOKUP($B$3,'Coeff EC7'!$T$65:$X$85,2,0)*Model0.1T!FH284)/1.5,PI()*FE$12*$Q284*($B284-$B283)*0.15/10+FI283)</f>
        <v>#N/A</v>
      </c>
      <c r="FJ284" s="102" t="e">
        <f>(VLOOKUP($B$3,'Coeff EC7'!$T$39:$X$59,3,0)*FG284+VLOOKUP($B$3,'Coeff EC7'!$T$65:$X$85,3,0)*Model0.1T!FH284)/1.1</f>
        <v>#N/A</v>
      </c>
      <c r="FK284" s="102" t="e">
        <f t="shared" si="498"/>
        <v>#N/A</v>
      </c>
      <c r="FL284" s="102" t="e">
        <f t="shared" si="499"/>
        <v>#N/A</v>
      </c>
      <c r="FM284" s="414" t="e">
        <f>IF(AND(FI284&gt;NDC!$C$63,FJ284&gt;NDC!$C$65,FK284&gt;NDC!$D$73,FL284&gt;NDC!$D$74,$B284&gt;NDC!$H$22-0.1+MIN(3*FM$12,1.5)),0,1)</f>
        <v>#N/A</v>
      </c>
    </row>
    <row r="285" spans="1:169">
      <c r="A285" s="96">
        <f t="shared" si="465"/>
        <v>72.800000000001546</v>
      </c>
      <c r="B285" s="97">
        <v>27.2</v>
      </c>
      <c r="C285" s="81">
        <f>IF(B285&lt;=Hypothèses!$C$7,Hypothèses!$A$7,IF(B285&lt;=Hypothèses!$C$8,Hypothèses!$A$8,IF(B285&lt;=Hypothèses!$C$9,Hypothèses!$A$9,IF(B285&lt;=Hypothèses!$C$10,Hypothèses!$A$10,IF(B285&lt;=Hypothèses!$C$11,Hypothèses!$A$11,IF(B285&lt;=Hypothèses!$C$12,Hypothèses!$A$12,IF(B285&lt;=Hypothèses!$C$13,Hypothèses!$A$13,IF(B285&lt;=Hypothèses!$C$14,Hypothèses!$A$14,IF(B285&lt;=Hypothèses!$C$15,Hypothèses!$A$15,IF(B285&lt;=Hypothèses!$C$16,Hypothèses!$A$16,IF(B285&lt;=Hypothèses!$C$17,Hypothèses!$A$17,IF(B285&lt;=Hypothèses!$C$18,Hypothèses!$A$18,C284))))))))))))</f>
        <v>11</v>
      </c>
      <c r="D285" s="82" t="str">
        <f>IF(B285&lt;=Hypothèses!$C$7,Hypothèses!$R$7,IF(B285&lt;=Hypothèses!$C$8,Hypothèses!$R$8,IF(B285&lt;=Hypothèses!$C$9,Hypothèses!$R$9,IF(B285&lt;=Hypothèses!$C$10,Hypothèses!$R$10,IF(B285&lt;=Hypothèses!$C$11,Hypothèses!$R$11,IF(B285&lt;=Hypothèses!$C$12,Hypothèses!$R$12,IF(B285&lt;=Hypothèses!$C$13,Hypothèses!$R$13,IF(B285&lt;=Hypothèses!$C$14,Hypothèses!$R$14,IF(B285&lt;=Hypothèses!$C$15,Hypothèses!$R$15,IF(B285&lt;=Hypothèses!$C$16,Hypothèses!$R$16,IF(B285&lt;=Hypothèses!$C$17,Hypothèses!$R$17,IF(B285&lt;=Hypothèses!$C$18,Hypothèses!$R$18,D284))))))))))))</f>
        <v>Pressio.</v>
      </c>
      <c r="E285" s="82" t="e">
        <f>IF(B285&lt;=Hypothèses!$C$7,Hypothèses!$G$7,IF(B285&lt;=Hypothèses!$C$8,Hypothèses!$G$8,IF(B285&lt;=Hypothèses!$C$9,Hypothèses!$G$9,IF(B285&lt;=Hypothèses!$C$10,Hypothèses!$G$10,IF(B285&lt;=Hypothèses!$C$11,Hypothèses!$G$11,IF(B285&lt;=Hypothèses!$C$12,Hypothèses!$G$12,IF(B285&lt;=Hypothèses!$C$13,Hypothèses!$G$13,IF(B285&lt;=Hypothèses!$C$14,Hypothèses!$G$14,IF(B285&lt;=Hypothèses!$C$15,Hypothèses!$G$15,IF(B285&lt;=Hypothèses!$C$16,Hypothèses!$G$16,IF(B285&lt;=Hypothèses!$C$17,Hypothèses!$G$17,IF(B285&lt;=Hypothèses!$C$18,Hypothèses!$G$18,E284))))))))))))</f>
        <v>#N/A</v>
      </c>
      <c r="F285" s="82" t="str">
        <f>IF(B285&lt;=Hypothèses!$C$7,Hypothèses!$F$7,IF(B285&lt;=Hypothèses!$C$8,Hypothèses!$F$8,IF(B285&lt;=Hypothèses!$C$9,Hypothèses!$F$9,IF(B285&lt;=Hypothèses!$C$10,Hypothèses!$F$10,IF(B285&lt;=Hypothèses!$C$11,Hypothèses!$F$11,IF(B285&lt;=Hypothèses!$C$12,Hypothèses!$F$12,IF(B285&lt;=Hypothèses!$C$13,Hypothèses!$F$13,IF(B285&lt;=Hypothèses!$C$14,Hypothèses!$F$14,IF(B285&lt;=Hypothèses!$C$15,Hypothèses!$F$15,IF(B285&lt;=Hypothèses!$C$16,Hypothèses!$F$16,IF(B285&lt;=Hypothèses!$C$17,Hypothèses!$F$17,IF(B285&lt;=Hypothèses!$C$18,Hypothèses!$F$18,F284))))))))))))</f>
        <v/>
      </c>
      <c r="G285" s="91">
        <f t="array" ref="G285">INDEX('Coeff EC7'!$U$7:$X$27,
MATCH(Model0.1T!$B$3,'Coeff EC7'!$T$7:$T$27,0),
MATCH(Model0.1T!$D285&amp;Model0.1T!$B$4,
'Coeff EC7'!$U$6:$X$6&amp;
'Coeff EC7'!$U$5:$X$5,0))</f>
        <v>1.4</v>
      </c>
      <c r="H285" s="91">
        <f t="array" ref="H285">INDEX('Coeff EC7'!$Y$7:$AB$27,
MATCH(Model0.1T!$B$3,'Coeff EC7'!$T$7:$T$27,0),
MATCH(Model0.1T!$D285&amp;Model0.1T!$B$4,
'Coeff EC7'!$Y$6:$AB$6&amp;
'Coeff EC7'!$Y$5:$AB$5,0))</f>
        <v>1.7</v>
      </c>
      <c r="I285" s="83">
        <v>0</v>
      </c>
      <c r="J285" s="91" t="e">
        <f t="array" ref="J285">INDEX('Coeff EC7'!$D$33:$Q$33,1,MATCH(D285&amp;E285,'Coeff EC7'!$D$31:$Q$31&amp;'Coeff EC7'!$D$32:$Q$32,0))</f>
        <v>#N/A</v>
      </c>
      <c r="K285" s="91" t="e">
        <f t="array" ref="K285">INDEX('Coeff EC7'!$D$34:$Q$34,1,MATCH(D285&amp;E285,'Coeff EC7'!$D$31:$Q$31&amp;'Coeff EC7'!$D$32:$Q$32,0))</f>
        <v>#N/A</v>
      </c>
      <c r="L285" s="91" t="e">
        <f t="array" ref="L285">INDEX('Coeff EC7'!$D$35:$Q$35,1,MATCH(D285&amp;E285,'Coeff EC7'!$D$31:$Q$31&amp;'Coeff EC7'!$D$32:$Q$32,0))</f>
        <v>#N/A</v>
      </c>
      <c r="M285" s="98" t="e">
        <f t="shared" si="431"/>
        <v>#N/A</v>
      </c>
      <c r="N285" s="99" t="e">
        <f t="array" ref="N285">INDEX('Coeff EC7'!$D$7:$Q$27,MATCH($B$3,'Coeff EC7'!$C$7:$C$27,0),MATCH(D285&amp;E285,'Coeff EC7'!$D$5:$Q$5&amp;'Coeff EC7'!$D$6:$Q$6,0))</f>
        <v>#N/A</v>
      </c>
      <c r="O285" s="99" t="e">
        <f t="array" ref="O285">INDEX('Coeff EC7'!$D$41:$Q$61,MATCH($B$3,'Coeff EC7'!$C$41:$C$61,0),MATCH(D285&amp;E285,'Coeff EC7'!$D$39:$Q$39&amp;'Coeff EC7'!$D$40:$Q$40,0))</f>
        <v>#N/A</v>
      </c>
      <c r="P285" s="30" t="e">
        <f t="shared" si="466"/>
        <v>#N/A</v>
      </c>
      <c r="Q285" s="100" t="e">
        <f t="shared" si="433"/>
        <v>#N/A</v>
      </c>
      <c r="R285" s="86" t="b">
        <f t="shared" si="434"/>
        <v>0</v>
      </c>
      <c r="S285" s="86">
        <f t="shared" si="432"/>
        <v>0.5</v>
      </c>
      <c r="T285" s="86">
        <f t="shared" si="435"/>
        <v>0.5</v>
      </c>
      <c r="U285" s="30" t="e">
        <f t="shared" ca="1" si="467"/>
        <v>#DIV/0!</v>
      </c>
      <c r="V285" s="85" t="str">
        <f>IF(B285&lt;=Hypothèses!$V$7,Hypothèses!$W$7,IF(B285&lt;=Hypothèses!$V$8,Hypothèses!$W$8,IF(B285&lt;=Hypothèses!$V$9,Hypothèses!$W$9,IF(B285&lt;=Hypothèses!$V$10,Hypothèses!$W$10,IF(B285&lt;=Hypothèses!$V$11,Hypothèses!$W$11,IF(B285&lt;=Hypothèses!$V$12,Hypothèses!$W$12,IF(B285&lt;=Hypothèses!$V$13,Hypothèses!$W$13,IF(B285&lt;=Hypothèses!$V$14,Hypothèses!$W$14,IF(B285&lt;=Hypothèses!$V$15,Hypothèses!$W$15,IF(B285&lt;=Hypothèses!$V$16,Hypothèses!$W$16,IF(B285&lt;=Hypothèses!$V$17,Hypothèses!$W$17,IF(B285&lt;=Hypothèses!$V$18,Hypothèses!$W$18,""))))))))))))</f>
        <v/>
      </c>
      <c r="W285" s="87" t="e">
        <f t="shared" ca="1" si="516"/>
        <v>#DIV/0!</v>
      </c>
      <c r="X285" s="88" t="str">
        <f>IF(B285&lt;=Hypothèses!$V$7,Hypothèses!$X$7,IF(B285&lt;=Hypothèses!$V$8,Hypothèses!$X$8,IF(B285&lt;=Hypothèses!$V$9,Hypothèses!$X$9,IF(B285&lt;=Hypothèses!$V$10,Hypothèses!$X$10,IF(B285&lt;=Hypothèses!$V$11,Hypothèses!$X$11,IF(B285&lt;=Hypothèses!$V$12,Hypothèses!$X$12,IF(B285&lt;=Hypothèses!$V$13,Hypothèses!$X$13,IF(B285&lt;=Hypothèses!$V$14,Hypothèses!$X$14,IF(B285&lt;=Hypothèses!$V$15,Hypothèses!$X$15,IF(B285&lt;=Hypothèses!$V$16,Hypothèses!$X$16,IF(B285&lt;=Hypothèses!$U$17,Hypothèses!$W$17,IF(B285&lt;=Hypothèses!$U$18,Hypothèses!$W$18,""))))))))))))</f>
        <v/>
      </c>
      <c r="Y285" s="95" t="e">
        <f t="shared" ca="1" si="436"/>
        <v>#DIV/0!</v>
      </c>
      <c r="Z285" s="101">
        <f t="shared" si="437"/>
        <v>0</v>
      </c>
      <c r="AA285" s="91">
        <f t="shared" si="438"/>
        <v>0</v>
      </c>
      <c r="AB285" s="30" t="e">
        <f t="shared" si="500"/>
        <v>#N/A</v>
      </c>
      <c r="AC285" s="30" t="e">
        <f t="shared" si="501"/>
        <v>#N/A</v>
      </c>
      <c r="AD285" s="31" t="e">
        <f>IF(OR(Hypothèses!$B$4=17,Hypothèses!$B$4=18,Hypothèses!$B$4=19,Hypothèses!$B$4=20),
IF($D285="Pressio.",
IF(OR($E285=3,$E285=1,$E285=4),AC285,AB285),
IF($D285="Pénétro.",
IF(OR($E285=3,$E285=1,$E285=4),AC285,AB285))),IF($D285="Pressio.",
IF($E285=3,AC285,AB285),
IF($D285="Pénétro.",
IF($E285=4,AC285,AB285))))</f>
        <v>#N/A</v>
      </c>
      <c r="AE285" s="31">
        <v>0</v>
      </c>
      <c r="AF285" s="102" t="e">
        <f>IF(NDC!$H$10="Oui",(VLOOKUP($B$3,'Coeff EC7'!$T$39:$X$59,2,0)*AD285+VLOOKUP($B$3,'Coeff EC7'!$T$65:$X$85,2,0)*Model0.1T!AE285)/1.5,PI()*AB$12*$Q285*($B285-$B284)*0.15/10+AF284)</f>
        <v>#N/A</v>
      </c>
      <c r="AG285" s="102" t="e">
        <f>(VLOOKUP($B$3,'Coeff EC7'!$T$39:$X$59,3,0)*AD285+VLOOKUP($B$3,'Coeff EC7'!$T$65:$X$85,3,0)*Model0.1T!AE285)/1.1</f>
        <v>#N/A</v>
      </c>
      <c r="AH285" s="102" t="e">
        <f t="shared" si="468"/>
        <v>#N/A</v>
      </c>
      <c r="AI285" s="102" t="e">
        <f t="shared" si="469"/>
        <v>#N/A</v>
      </c>
      <c r="AJ285" s="414" t="e">
        <f>IF(AND(AF285&gt;NDC!$C$63,AG285&gt;NDC!$C$65,AH285&gt;NDC!$D$73,AI285&gt;NDC!$D$74,$B285&gt;NDC!$H$22-0.1+MIN(3*$AJ$12,1.5)),0,1)</f>
        <v>#N/A</v>
      </c>
      <c r="AK285" s="86" t="b">
        <f t="shared" si="439"/>
        <v>0</v>
      </c>
      <c r="AL285" s="86">
        <f t="shared" si="470"/>
        <v>0.5</v>
      </c>
      <c r="AM285" s="86">
        <f t="shared" si="440"/>
        <v>0.5</v>
      </c>
      <c r="AN285" s="30" t="e">
        <f t="shared" ca="1" si="471"/>
        <v>#DIV/0!</v>
      </c>
      <c r="AO285" s="85" t="e">
        <f ca="1">IF(U285&lt;=Hypothèses!$V$7,Hypothèses!$W$7,IF(U285&lt;=Hypothèses!$V$8,Hypothèses!$W$8,IF(U285&lt;=Hypothèses!$V$9,Hypothèses!$W$9,IF(U285&lt;=Hypothèses!$V$10,Hypothèses!$W$10,IF(U285&lt;=Hypothèses!$V$11,Hypothèses!$W$11,IF(U285&lt;=Hypothèses!$V$12,Hypothèses!$W$12,IF(U285&lt;=Hypothèses!$V$13,Hypothèses!$W$13,IF(U285&lt;=Hypothèses!$V$14,Hypothèses!$W$14,IF(U285&lt;=Hypothèses!$V$15,Hypothèses!$W$15,IF(U285&lt;=Hypothèses!$V$16,Hypothèses!$W$16,IF(U285&lt;=Hypothèses!$V$17,Hypothèses!$W$17,IF(U285&lt;=Hypothèses!$V$18,Hypothèses!$W$18,""))))))))))))</f>
        <v>#DIV/0!</v>
      </c>
      <c r="AP285" s="87" t="e">
        <f t="shared" ca="1" si="517"/>
        <v>#DIV/0!</v>
      </c>
      <c r="AQ285" s="88" t="e">
        <f ca="1">IF(U285&lt;=Hypothèses!$V$7,Hypothèses!$X$7,IF(U285&lt;=Hypothèses!$V$8,Hypothèses!$X$8,IF(U285&lt;=Hypothèses!$V$9,Hypothèses!$X$9,IF(U285&lt;=Hypothèses!$V$10,Hypothèses!$X$10,IF(U285&lt;=Hypothèses!$V$11,Hypothèses!$X$11,IF(U285&lt;=Hypothèses!$V$12,Hypothèses!$X$12,IF(U285&lt;=Hypothèses!$V$13,Hypothèses!$X$13,IF(U285&lt;=Hypothèses!$V$14,Hypothèses!$X$14,IF(U285&lt;=Hypothèses!$V$15,Hypothèses!$X$15,IF(U285&lt;=Hypothèses!$V$16,Hypothèses!$X$16,IF(U285&lt;=Hypothèses!$U$17,Hypothèses!$W$17,IF(U285&lt;=Hypothèses!$U$18,Hypothèses!$W$18,""))))))))))))</f>
        <v>#DIV/0!</v>
      </c>
      <c r="AR285" s="95" t="e">
        <f t="shared" ca="1" si="472"/>
        <v>#DIV/0!</v>
      </c>
      <c r="AS285" s="101">
        <f t="shared" si="524"/>
        <v>0</v>
      </c>
      <c r="AT285" s="91">
        <f t="shared" si="441"/>
        <v>0</v>
      </c>
      <c r="AU285" s="30" t="e">
        <f t="shared" si="502"/>
        <v>#N/A</v>
      </c>
      <c r="AV285" s="30" t="e">
        <f t="shared" si="503"/>
        <v>#N/A</v>
      </c>
      <c r="AW285" s="31" t="e">
        <f>IF(OR(Hypothèses!$B$4=17,Hypothèses!$B$4=18,Hypothèses!$B$4=19,Hypothèses!$B$4=20),
IF($D285="Pressio.",
IF(OR($E285=3,$E285=1,$E285=4),AV285,AU285),
IF($D285="Pénétro.",
IF(OR($E285=3,$E285=1,$E285=4),AV285,AU285))),IF($D285="Pressio.",
IF($E285=3,AV285,AU285),
IF($D285="Pénétro.",
IF($E285=4,AV285,AU285))))</f>
        <v>#N/A</v>
      </c>
      <c r="AX285" s="31">
        <v>0</v>
      </c>
      <c r="AY285" s="102" t="e">
        <f>IF(NDC!$H$10="Oui",(VLOOKUP($B$3,'Coeff EC7'!$T$39:$X$59,2,0)*AW285+VLOOKUP($B$3,'Coeff EC7'!$T$65:$X$85,2,0)*Model0.1T!AX285)/1.5,PI()*AU$12*$Q285*($B285-$B284)*0.15/10+AY284)</f>
        <v>#N/A</v>
      </c>
      <c r="AZ285" s="102" t="e">
        <f>(VLOOKUP($B$3,'Coeff EC7'!$T$39:$X$59,3,0)*AW285+VLOOKUP($B$3,'Coeff EC7'!$T$65:$X$85,3,0)*Model0.1T!AX285)/1.1</f>
        <v>#N/A</v>
      </c>
      <c r="BA285" s="102" t="e">
        <f t="shared" si="473"/>
        <v>#N/A</v>
      </c>
      <c r="BB285" s="102" t="e">
        <f t="shared" si="474"/>
        <v>#N/A</v>
      </c>
      <c r="BC285" s="414" t="e">
        <f>IF(AND(AY285&gt;NDC!$C$63,AZ285&gt;NDC!$C$65,BA285&gt;NDC!$D$73,BB285&gt;NDC!$D$74,$B285&gt;NDC!$H$22-0.1+MIN(3*BC$12,1.5)),0,1)</f>
        <v>#N/A</v>
      </c>
      <c r="BD285" s="86" t="b">
        <f t="shared" si="442"/>
        <v>0</v>
      </c>
      <c r="BE285" s="86">
        <f t="shared" si="475"/>
        <v>0.5</v>
      </c>
      <c r="BF285" s="86">
        <f t="shared" si="443"/>
        <v>0.5</v>
      </c>
      <c r="BG285" s="30" t="e">
        <f t="shared" ca="1" si="476"/>
        <v>#DIV/0!</v>
      </c>
      <c r="BH285" s="85" t="e">
        <f ca="1">IF(AN285&lt;=Hypothèses!$V$7,Hypothèses!$W$7,IF(AN285&lt;=Hypothèses!$V$8,Hypothèses!$W$8,IF(AN285&lt;=Hypothèses!$V$9,Hypothèses!$W$9,IF(AN285&lt;=Hypothèses!$V$10,Hypothèses!$W$10,IF(AN285&lt;=Hypothèses!$V$11,Hypothèses!$W$11,IF(AN285&lt;=Hypothèses!$V$12,Hypothèses!$W$12,IF(AN285&lt;=Hypothèses!$V$13,Hypothèses!$W$13,IF(AN285&lt;=Hypothèses!$V$14,Hypothèses!$W$14,IF(AN285&lt;=Hypothèses!$V$15,Hypothèses!$W$15,IF(AN285&lt;=Hypothèses!$V$16,Hypothèses!$W$16,IF(AN285&lt;=Hypothèses!$V$17,Hypothèses!$W$17,IF(AN285&lt;=Hypothèses!$V$18,Hypothèses!$W$18,""))))))))))))</f>
        <v>#DIV/0!</v>
      </c>
      <c r="BI285" s="87" t="e">
        <f t="shared" ca="1" si="518"/>
        <v>#DIV/0!</v>
      </c>
      <c r="BJ285" s="88" t="e">
        <f ca="1">IF(AN285&lt;=Hypothèses!$V$7,Hypothèses!$X$7,IF(AN285&lt;=Hypothèses!$V$8,Hypothèses!$X$8,IF(AN285&lt;=Hypothèses!$V$9,Hypothèses!$X$9,IF(AN285&lt;=Hypothèses!$V$10,Hypothèses!$X$10,IF(AN285&lt;=Hypothèses!$V$11,Hypothèses!$X$11,IF(AN285&lt;=Hypothèses!$V$12,Hypothèses!$X$12,IF(AN285&lt;=Hypothèses!$V$13,Hypothèses!$X$13,IF(AN285&lt;=Hypothèses!$V$14,Hypothèses!$X$14,IF(AN285&lt;=Hypothèses!$V$15,Hypothèses!$X$15,IF(AN285&lt;=Hypothèses!$V$16,Hypothèses!$X$16,IF(AN285&lt;=Hypothèses!$U$17,Hypothèses!$W$17,IF(AN285&lt;=Hypothèses!$U$18,Hypothèses!$W$18,""))))))))))))</f>
        <v>#DIV/0!</v>
      </c>
      <c r="BK285" s="95" t="e">
        <f t="shared" ca="1" si="477"/>
        <v>#DIV/0!</v>
      </c>
      <c r="BL285" s="101">
        <f t="shared" si="525"/>
        <v>0</v>
      </c>
      <c r="BM285" s="91">
        <f t="shared" si="444"/>
        <v>0</v>
      </c>
      <c r="BN285" s="30" t="e">
        <f t="shared" si="504"/>
        <v>#N/A</v>
      </c>
      <c r="BO285" s="30" t="e">
        <f t="shared" si="505"/>
        <v>#N/A</v>
      </c>
      <c r="BP285" s="31" t="e">
        <f>IF(OR(Hypothèses!$B$4=17,Hypothèses!$B$4=18,Hypothèses!$B$4=19,Hypothèses!$B$4=20),
IF($D285="Pressio.",
IF(OR($E285=3,$E285=1,$E285=4),BO285,BN285),
IF($D285="Pénétro.",
IF(OR($E285=3,$E285=1,$E285=4),BO285,BN285))),IF($D285="Pressio.",
IF($E285=3,BO285,BN285),
IF($D285="Pénétro.",
IF($E285=4,BO285,BN285))))</f>
        <v>#N/A</v>
      </c>
      <c r="BQ285" s="31">
        <v>0</v>
      </c>
      <c r="BR285" s="102" t="e">
        <f>IF(NDC!$H$10="Oui",(VLOOKUP($B$3,'Coeff EC7'!$T$39:$X$59,2,0)*BP285+VLOOKUP($B$3,'Coeff EC7'!$T$65:$X$85,2,0)*Model0.1T!BQ285)/1.5,PI()*BN$12*$Q285*($B285-$B284)*0.15/10+BR284)</f>
        <v>#N/A</v>
      </c>
      <c r="BS285" s="102" t="e">
        <f>(VLOOKUP($B$3,'Coeff EC7'!$T$39:$X$59,3,0)*BP285+VLOOKUP($B$3,'Coeff EC7'!$T$65:$X$85,3,0)*Model0.1T!BQ285)/1.1</f>
        <v>#N/A</v>
      </c>
      <c r="BT285" s="102" t="e">
        <f t="shared" si="478"/>
        <v>#N/A</v>
      </c>
      <c r="BU285" s="102" t="e">
        <f t="shared" si="479"/>
        <v>#N/A</v>
      </c>
      <c r="BV285" s="414" t="e">
        <f>IF(AND(BR285&gt;NDC!$C$63,BS285&gt;NDC!$C$65,BT285&gt;NDC!$D$73,BU285&gt;NDC!$D$74,$B285&gt;NDC!$H$22-0.1+MIN(3*BV$12,1.5)),0,1)</f>
        <v>#N/A</v>
      </c>
      <c r="BW285" s="86" t="b">
        <f t="shared" si="445"/>
        <v>0</v>
      </c>
      <c r="BX285" s="86">
        <f t="shared" si="446"/>
        <v>0.5</v>
      </c>
      <c r="BY285" s="86">
        <f t="shared" si="447"/>
        <v>0.5</v>
      </c>
      <c r="BZ285" s="30" t="e">
        <f t="shared" ca="1" si="480"/>
        <v>#DIV/0!</v>
      </c>
      <c r="CA285" s="85" t="e">
        <f ca="1">IF(BG285&lt;=Hypothèses!$V$7,Hypothèses!$W$7,IF(BG285&lt;=Hypothèses!$V$8,Hypothèses!$W$8,IF(BG285&lt;=Hypothèses!$V$9,Hypothèses!$W$9,IF(BG285&lt;=Hypothèses!$V$10,Hypothèses!$W$10,IF(BG285&lt;=Hypothèses!$V$11,Hypothèses!$W$11,IF(BG285&lt;=Hypothèses!$V$12,Hypothèses!$W$12,IF(BG285&lt;=Hypothèses!$V$13,Hypothèses!$W$13,IF(BG285&lt;=Hypothèses!$V$14,Hypothèses!$W$14,IF(BG285&lt;=Hypothèses!$V$15,Hypothèses!$W$15,IF(BG285&lt;=Hypothèses!$V$16,Hypothèses!$W$16,IF(BG285&lt;=Hypothèses!$V$17,Hypothèses!$W$17,IF(BG285&lt;=Hypothèses!$V$18,Hypothèses!$W$18,""))))))))))))</f>
        <v>#DIV/0!</v>
      </c>
      <c r="CB285" s="87" t="e">
        <f t="shared" ca="1" si="519"/>
        <v>#DIV/0!</v>
      </c>
      <c r="CC285" s="88" t="e">
        <f ca="1">IF(BG285&lt;=Hypothèses!$V$7,Hypothèses!$X$7,IF(BG285&lt;=Hypothèses!$V$8,Hypothèses!$X$8,IF(BG285&lt;=Hypothèses!$V$9,Hypothèses!$X$9,IF(BG285&lt;=Hypothèses!$V$10,Hypothèses!$X$10,IF(BG285&lt;=Hypothèses!$V$11,Hypothèses!$X$11,IF(BG285&lt;=Hypothèses!$V$12,Hypothèses!$X$12,IF(BG285&lt;=Hypothèses!$V$13,Hypothèses!$X$13,IF(BG285&lt;=Hypothèses!$V$14,Hypothèses!$X$14,IF(BG285&lt;=Hypothèses!$V$15,Hypothèses!$X$15,IF(BG285&lt;=Hypothèses!$V$16,Hypothèses!$X$16,IF(BG285&lt;=Hypothèses!$U$17,Hypothèses!$W$17,IF(BG285&lt;=Hypothèses!$U$18,Hypothèses!$W$18,""))))))))))))</f>
        <v>#DIV/0!</v>
      </c>
      <c r="CD285" s="95" t="e">
        <f t="shared" ca="1" si="481"/>
        <v>#DIV/0!</v>
      </c>
      <c r="CE285" s="101">
        <f t="shared" si="526"/>
        <v>0</v>
      </c>
      <c r="CF285" s="91">
        <f t="shared" si="448"/>
        <v>0</v>
      </c>
      <c r="CG285" s="30" t="e">
        <f t="shared" si="506"/>
        <v>#N/A</v>
      </c>
      <c r="CH285" s="30" t="e">
        <f t="shared" si="507"/>
        <v>#N/A</v>
      </c>
      <c r="CI285" s="31" t="e">
        <f>IF(OR(Hypothèses!$B$4=17,Hypothèses!$B$4=18,Hypothèses!$B$4=19,Hypothèses!$B$4=20),
IF($D285="Pressio.",
IF(OR($E285=3,$E285=1,$E285=4),CH285,CG285),
IF($D285="Pénétro.",
IF(OR($E285=3,$E285=1,$E285=4),CH285,CG285))),IF($D285="Pressio.",
IF($E285=3,CH285,CG285),
IF($D285="Pénétro.",
IF($E285=4,CH285,CG285))))</f>
        <v>#N/A</v>
      </c>
      <c r="CJ285" s="31">
        <v>0</v>
      </c>
      <c r="CK285" s="102" t="e">
        <f>IF(NDC!$H$10="Oui",(VLOOKUP($B$3,'Coeff EC7'!$T$39:$X$59,2,0)*CI285+VLOOKUP($B$3,'Coeff EC7'!$T$65:$X$85,2,0)*Model0.1T!CJ285)/1.5,PI()*CG$12*$Q285*($B285-$B284)*0.15/10+CK284)</f>
        <v>#N/A</v>
      </c>
      <c r="CL285" s="102" t="e">
        <f>(VLOOKUP($B$3,'Coeff EC7'!$T$39:$X$59,3,0)*CI285+VLOOKUP($B$3,'Coeff EC7'!$T$65:$X$85,3,0)*Model0.1T!CJ285)/1.1</f>
        <v>#N/A</v>
      </c>
      <c r="CM285" s="102" t="e">
        <f t="shared" si="482"/>
        <v>#N/A</v>
      </c>
      <c r="CN285" s="102" t="e">
        <f t="shared" si="483"/>
        <v>#N/A</v>
      </c>
      <c r="CO285" s="414" t="e">
        <f>IF(AND(CK285&gt;NDC!$C$63,CL285&gt;NDC!$C$65,CM285&gt;NDC!$D$73,CN285&gt;NDC!$D$74,$B285&gt;NDC!$H$22-0.1+MIN(3*CO$12,1.5)),0,1)</f>
        <v>#N/A</v>
      </c>
      <c r="CP285" s="86" t="b">
        <f t="shared" si="449"/>
        <v>0</v>
      </c>
      <c r="CQ285" s="86">
        <f t="shared" si="450"/>
        <v>0.5</v>
      </c>
      <c r="CR285" s="86">
        <f t="shared" si="451"/>
        <v>0.5</v>
      </c>
      <c r="CS285" s="30" t="e">
        <f t="shared" ca="1" si="484"/>
        <v>#DIV/0!</v>
      </c>
      <c r="CT285" s="85" t="e">
        <f ca="1">IF(BZ285&lt;=Hypothèses!$V$7,Hypothèses!$W$7,IF(BZ285&lt;=Hypothèses!$V$8,Hypothèses!$W$8,IF(BZ285&lt;=Hypothèses!$V$9,Hypothèses!$W$9,IF(BZ285&lt;=Hypothèses!$V$10,Hypothèses!$W$10,IF(BZ285&lt;=Hypothèses!$V$11,Hypothèses!$W$11,IF(BZ285&lt;=Hypothèses!$V$12,Hypothèses!$W$12,IF(BZ285&lt;=Hypothèses!$V$13,Hypothèses!$W$13,IF(BZ285&lt;=Hypothèses!$V$14,Hypothèses!$W$14,IF(BZ285&lt;=Hypothèses!$V$15,Hypothèses!$W$15,IF(BZ285&lt;=Hypothèses!$V$16,Hypothèses!$W$16,IF(BZ285&lt;=Hypothèses!$V$17,Hypothèses!$W$17,IF(BZ285&lt;=Hypothèses!$V$18,Hypothèses!$W$18,""))))))))))))</f>
        <v>#DIV/0!</v>
      </c>
      <c r="CU285" s="87" t="e">
        <f t="shared" ca="1" si="520"/>
        <v>#DIV/0!</v>
      </c>
      <c r="CV285" s="88" t="e">
        <f ca="1">IF(BZ285&lt;=Hypothèses!$V$7,Hypothèses!$X$7,IF(BZ285&lt;=Hypothèses!$V$8,Hypothèses!$X$8,IF(BZ285&lt;=Hypothèses!$V$9,Hypothèses!$X$9,IF(BZ285&lt;=Hypothèses!$V$10,Hypothèses!$X$10,IF(BZ285&lt;=Hypothèses!$V$11,Hypothèses!$X$11,IF(BZ285&lt;=Hypothèses!$V$12,Hypothèses!$X$12,IF(BZ285&lt;=Hypothèses!$V$13,Hypothèses!$X$13,IF(BZ285&lt;=Hypothèses!$V$14,Hypothèses!$X$14,IF(BZ285&lt;=Hypothèses!$V$15,Hypothèses!$X$15,IF(BZ285&lt;=Hypothèses!$V$16,Hypothèses!$X$16,IF(BZ285&lt;=Hypothèses!$U$17,Hypothèses!$W$17,IF(BZ285&lt;=Hypothèses!$U$18,Hypothèses!$W$18,""))))))))))))</f>
        <v>#DIV/0!</v>
      </c>
      <c r="CW285" s="95" t="e">
        <f t="shared" ca="1" si="485"/>
        <v>#DIV/0!</v>
      </c>
      <c r="CX285" s="101">
        <f t="shared" si="527"/>
        <v>0</v>
      </c>
      <c r="CY285" s="91">
        <f t="shared" si="452"/>
        <v>0</v>
      </c>
      <c r="CZ285" s="30" t="e">
        <f t="shared" si="508"/>
        <v>#N/A</v>
      </c>
      <c r="DA285" s="30" t="e">
        <f t="shared" si="509"/>
        <v>#N/A</v>
      </c>
      <c r="DB285" s="31" t="e">
        <f>IF(OR(Hypothèses!$B$4=17,Hypothèses!$B$4=18,Hypothèses!$B$4=19,Hypothèses!$B$4=20),
IF($D285="Pressio.",
IF(OR($E285=3,$E285=1,$E285=4),DA285,CZ285),
IF($D285="Pénétro.",
IF(OR($E285=3,$E285=1,$E285=4),DA285,CZ285))),IF($D285="Pressio.",
IF($E285=3,DA285,CZ285),
IF($D285="Pénétro.",
IF($E285=4,DA285,CZ285))))</f>
        <v>#N/A</v>
      </c>
      <c r="DC285" s="31">
        <v>0</v>
      </c>
      <c r="DD285" s="102" t="e">
        <f>IF(NDC!$H$10="Oui",(VLOOKUP($B$3,'Coeff EC7'!$T$39:$X$59,2,0)*DB285+VLOOKUP($B$3,'Coeff EC7'!$T$65:$X$85,2,0)*Model0.1T!DC285)/1.5,PI()*CZ$12*$Q285*($B285-$B284)*0.15/10+DD284)</f>
        <v>#N/A</v>
      </c>
      <c r="DE285" s="102" t="e">
        <f>(VLOOKUP($B$3,'Coeff EC7'!$T$39:$X$59,3,0)*DB285+VLOOKUP($B$3,'Coeff EC7'!$T$65:$X$85,3,0)*Model0.1T!DC285)/1.1</f>
        <v>#N/A</v>
      </c>
      <c r="DF285" s="102" t="e">
        <f t="shared" si="486"/>
        <v>#N/A</v>
      </c>
      <c r="DG285" s="102" t="e">
        <f t="shared" si="487"/>
        <v>#N/A</v>
      </c>
      <c r="DH285" s="414" t="e">
        <f>IF(AND(DD285&gt;NDC!$C$63,DE285&gt;NDC!$C$65,DF285&gt;NDC!$D$73,DG285&gt;NDC!$D$74,$B285&gt;NDC!$H$22-0.1+MIN(3*DH$12,1.5)),0,1)</f>
        <v>#N/A</v>
      </c>
      <c r="DI285" s="86" t="b">
        <f t="shared" si="453"/>
        <v>0</v>
      </c>
      <c r="DJ285" s="86">
        <f t="shared" si="454"/>
        <v>0.5</v>
      </c>
      <c r="DK285" s="86">
        <f t="shared" si="455"/>
        <v>0.5</v>
      </c>
      <c r="DL285" s="30" t="e">
        <f t="shared" ca="1" si="488"/>
        <v>#DIV/0!</v>
      </c>
      <c r="DM285" s="85" t="e">
        <f ca="1">IF(CS285&lt;=Hypothèses!$V$7,Hypothèses!$W$7,IF(CS285&lt;=Hypothèses!$V$8,Hypothèses!$W$8,IF(CS285&lt;=Hypothèses!$V$9,Hypothèses!$W$9,IF(CS285&lt;=Hypothèses!$V$10,Hypothèses!$W$10,IF(CS285&lt;=Hypothèses!$V$11,Hypothèses!$W$11,IF(CS285&lt;=Hypothèses!$V$12,Hypothèses!$W$12,IF(CS285&lt;=Hypothèses!$V$13,Hypothèses!$W$13,IF(CS285&lt;=Hypothèses!$V$14,Hypothèses!$W$14,IF(CS285&lt;=Hypothèses!$V$15,Hypothèses!$W$15,IF(CS285&lt;=Hypothèses!$V$16,Hypothèses!$W$16,IF(CS285&lt;=Hypothèses!$V$17,Hypothèses!$W$17,IF(CS285&lt;=Hypothèses!$V$18,Hypothèses!$W$18,""))))))))))))</f>
        <v>#DIV/0!</v>
      </c>
      <c r="DN285" s="87" t="e">
        <f t="shared" ca="1" si="521"/>
        <v>#DIV/0!</v>
      </c>
      <c r="DO285" s="88" t="e">
        <f ca="1">IF(CS285&lt;=Hypothèses!$V$7,Hypothèses!$X$7,IF(CS285&lt;=Hypothèses!$V$8,Hypothèses!$X$8,IF(CS285&lt;=Hypothèses!$V$9,Hypothèses!$X$9,IF(CS285&lt;=Hypothèses!$V$10,Hypothèses!$X$10,IF(CS285&lt;=Hypothèses!$V$11,Hypothèses!$X$11,IF(CS285&lt;=Hypothèses!$V$12,Hypothèses!$X$12,IF(CS285&lt;=Hypothèses!$V$13,Hypothèses!$X$13,IF(CS285&lt;=Hypothèses!$V$14,Hypothèses!$X$14,IF(CS285&lt;=Hypothèses!$V$15,Hypothèses!$X$15,IF(CS285&lt;=Hypothèses!$V$16,Hypothèses!$X$16,IF(CS285&lt;=Hypothèses!$U$17,Hypothèses!$W$17,IF(CS285&lt;=Hypothèses!$U$18,Hypothèses!$W$18,""))))))))))))</f>
        <v>#DIV/0!</v>
      </c>
      <c r="DP285" s="95" t="e">
        <f t="shared" ca="1" si="489"/>
        <v>#DIV/0!</v>
      </c>
      <c r="DQ285" s="101">
        <f t="shared" si="528"/>
        <v>0</v>
      </c>
      <c r="DR285" s="91">
        <f t="shared" si="456"/>
        <v>0</v>
      </c>
      <c r="DS285" s="30" t="e">
        <f t="shared" si="510"/>
        <v>#N/A</v>
      </c>
      <c r="DT285" s="30" t="e">
        <f t="shared" si="511"/>
        <v>#N/A</v>
      </c>
      <c r="DU285" s="31" t="e">
        <f>IF(OR(Hypothèses!$B$4=17,Hypothèses!$B$4=18,Hypothèses!$B$4=19,Hypothèses!$B$4=20),
IF($D285="Pressio.",
IF(OR($E285=3,$E285=1,$E285=4),DT285,DS285),
IF($D285="Pénétro.",
IF(OR($E285=3,$E285=1,$E285=4),DT285,DS285))),IF($D285="Pressio.",
IF($E285=3,DT285,DS285),
IF($D285="Pénétro.",
IF($E285=4,DT285,DS285))))</f>
        <v>#N/A</v>
      </c>
      <c r="DV285" s="31">
        <v>0</v>
      </c>
      <c r="DW285" s="102" t="e">
        <f>IF(NDC!$H$10="Oui",(VLOOKUP($B$3,'Coeff EC7'!$T$39:$X$59,2,0)*DU285+VLOOKUP($B$3,'Coeff EC7'!$T$65:$X$85,2,0)*Model0.1T!DV285)/1.5,PI()*DS$12*$Q285*($B285-$B284)*0.15/10+DW284)</f>
        <v>#N/A</v>
      </c>
      <c r="DX285" s="102" t="e">
        <f>(VLOOKUP($B$3,'Coeff EC7'!$T$39:$X$59,3,0)*DU285+VLOOKUP($B$3,'Coeff EC7'!$T$65:$X$85,3,0)*Model0.1T!DV285)/1.1</f>
        <v>#N/A</v>
      </c>
      <c r="DY285" s="102" t="e">
        <f t="shared" si="490"/>
        <v>#N/A</v>
      </c>
      <c r="DZ285" s="102" t="e">
        <f t="shared" si="491"/>
        <v>#N/A</v>
      </c>
      <c r="EA285" s="414" t="e">
        <f>IF(AND(DW285&gt;NDC!$C$63,DX285&gt;NDC!$C$65,DY285&gt;NDC!$D$73,DZ285&gt;NDC!$D$74,$B285&gt;NDC!$H$22-0.1+MIN(3*EA$12,1.5)),0,1)</f>
        <v>#N/A</v>
      </c>
      <c r="EB285" s="86" t="b">
        <f t="shared" si="457"/>
        <v>0</v>
      </c>
      <c r="EC285" s="418">
        <f t="shared" si="458"/>
        <v>0.51</v>
      </c>
      <c r="ED285" s="86">
        <f t="shared" si="459"/>
        <v>0.51</v>
      </c>
      <c r="EE285" s="30" t="e">
        <f t="shared" ca="1" si="492"/>
        <v>#DIV/0!</v>
      </c>
      <c r="EF285" s="85" t="e">
        <f ca="1">IF(DL285&lt;=Hypothèses!$V$7,Hypothèses!$W$7,IF(DL285&lt;=Hypothèses!$V$8,Hypothèses!$W$8,IF(DL285&lt;=Hypothèses!$V$9,Hypothèses!$W$9,IF(DL285&lt;=Hypothèses!$V$10,Hypothèses!$W$10,IF(DL285&lt;=Hypothèses!$V$11,Hypothèses!$W$11,IF(DL285&lt;=Hypothèses!$V$12,Hypothèses!$W$12,IF(DL285&lt;=Hypothèses!$V$13,Hypothèses!$W$13,IF(DL285&lt;=Hypothèses!$V$14,Hypothèses!$W$14,IF(DL285&lt;=Hypothèses!$V$15,Hypothèses!$W$15,IF(DL285&lt;=Hypothèses!$V$16,Hypothèses!$W$16,IF(DL285&lt;=Hypothèses!$V$17,Hypothèses!$W$17,IF(DL285&lt;=Hypothèses!$V$18,Hypothèses!$W$18,""))))))))))))</f>
        <v>#DIV/0!</v>
      </c>
      <c r="EG285" s="87" t="e">
        <f t="shared" ca="1" si="522"/>
        <v>#DIV/0!</v>
      </c>
      <c r="EH285" s="88" t="e">
        <f ca="1">IF(DL285&lt;=Hypothèses!$V$7,Hypothèses!$X$7,IF(DL285&lt;=Hypothèses!$V$8,Hypothèses!$X$8,IF(DL285&lt;=Hypothèses!$V$9,Hypothèses!$X$9,IF(DL285&lt;=Hypothèses!$V$10,Hypothèses!$X$10,IF(DL285&lt;=Hypothèses!$V$11,Hypothèses!$X$11,IF(DL285&lt;=Hypothèses!$V$12,Hypothèses!$X$12,IF(DL285&lt;=Hypothèses!$V$13,Hypothèses!$X$13,IF(DL285&lt;=Hypothèses!$V$14,Hypothèses!$X$14,IF(DL285&lt;=Hypothèses!$V$15,Hypothèses!$X$15,IF(DL285&lt;=Hypothèses!$V$16,Hypothèses!$X$16,IF(DL285&lt;=Hypothèses!$U$17,Hypothèses!$W$17,IF(DL285&lt;=Hypothèses!$U$18,Hypothèses!$W$18,""))))))))))))</f>
        <v>#DIV/0!</v>
      </c>
      <c r="EI285" s="95" t="e">
        <f t="shared" ca="1" si="493"/>
        <v>#DIV/0!</v>
      </c>
      <c r="EJ285" s="101">
        <f t="shared" si="529"/>
        <v>0</v>
      </c>
      <c r="EK285" s="91">
        <f t="shared" si="460"/>
        <v>0</v>
      </c>
      <c r="EL285" s="30" t="e">
        <f t="shared" si="512"/>
        <v>#N/A</v>
      </c>
      <c r="EM285" s="30" t="e">
        <f t="shared" si="513"/>
        <v>#N/A</v>
      </c>
      <c r="EN285" s="31" t="e">
        <f>IF(OR(Hypothèses!$B$4=17,Hypothèses!$B$4=18,Hypothèses!$B$4=19,Hypothèses!$B$4=20),
IF($D285="Pressio.",
IF(OR($E285=3,$E285=1,$E285=4),EM285,EL285),
IF($D285="Pénétro.",
IF(OR($E285=3,$E285=1,$E285=4),EM285,EL285))),IF($D285="Pressio.",
IF($E285=3,EM285,EL285),
IF($D285="Pénétro.",
IF($E285=4,EM285,EL285))))</f>
        <v>#N/A</v>
      </c>
      <c r="EO285" s="31">
        <v>0</v>
      </c>
      <c r="EP285" s="102" t="e">
        <f>IF(NDC!$H$10="Oui",(VLOOKUP($B$3,'Coeff EC7'!$T$39:$X$59,2,0)*EN285+VLOOKUP($B$3,'Coeff EC7'!$T$65:$X$85,2,0)*Model0.1T!EO285)/1.5,PI()*EL$12*$Q285*($B285-$B284)*0.15/10+EP284)</f>
        <v>#N/A</v>
      </c>
      <c r="EQ285" s="102" t="e">
        <f>(VLOOKUP($B$3,'Coeff EC7'!$T$39:$X$59,3,0)*EN285+VLOOKUP($B$3,'Coeff EC7'!$T$65:$X$85,3,0)*Model0.1T!EO285)/1.1</f>
        <v>#N/A</v>
      </c>
      <c r="ER285" s="102" t="e">
        <f t="shared" si="494"/>
        <v>#N/A</v>
      </c>
      <c r="ES285" s="102" t="e">
        <f t="shared" si="495"/>
        <v>#N/A</v>
      </c>
      <c r="ET285" s="414" t="e">
        <f>IF(AND(EP285&gt;NDC!$C$63,EQ285&gt;NDC!$C$65,ER285&gt;NDC!$D$73,ES285&gt;NDC!$D$74,$B285&gt;NDC!$H$22-0.1+MIN(3*ET$12,1.5)),0,1)</f>
        <v>#N/A</v>
      </c>
      <c r="EU285" s="86" t="b">
        <f t="shared" si="461"/>
        <v>0</v>
      </c>
      <c r="EV285" s="86">
        <f t="shared" si="462"/>
        <v>0.61</v>
      </c>
      <c r="EW285" s="86">
        <f t="shared" si="463"/>
        <v>0.61</v>
      </c>
      <c r="EX285" s="30" t="e">
        <f t="shared" ca="1" si="496"/>
        <v>#DIV/0!</v>
      </c>
      <c r="EY285" s="85" t="e">
        <f ca="1">IF(EE285&lt;=Hypothèses!$V$7,Hypothèses!$W$7,IF(EE285&lt;=Hypothèses!$V$8,Hypothèses!$W$8,IF(EE285&lt;=Hypothèses!$V$9,Hypothèses!$W$9,IF(EE285&lt;=Hypothèses!$V$10,Hypothèses!$W$10,IF(EE285&lt;=Hypothèses!$V$11,Hypothèses!$W$11,IF(EE285&lt;=Hypothèses!$V$12,Hypothèses!$W$12,IF(EE285&lt;=Hypothèses!$V$13,Hypothèses!$W$13,IF(EE285&lt;=Hypothèses!$V$14,Hypothèses!$W$14,IF(EE285&lt;=Hypothèses!$V$15,Hypothèses!$W$15,IF(EE285&lt;=Hypothèses!$V$16,Hypothèses!$W$16,IF(EE285&lt;=Hypothèses!$V$17,Hypothèses!$W$17,IF(EE285&lt;=Hypothèses!$V$18,Hypothèses!$W$18,""))))))))))))</f>
        <v>#DIV/0!</v>
      </c>
      <c r="EZ285" s="87" t="e">
        <f t="shared" ca="1" si="523"/>
        <v>#DIV/0!</v>
      </c>
      <c r="FA285" s="88" t="e">
        <f ca="1">IF(EE285&lt;=Hypothèses!$V$7,Hypothèses!$X$7,IF(EE285&lt;=Hypothèses!$V$8,Hypothèses!$X$8,IF(EE285&lt;=Hypothèses!$V$9,Hypothèses!$X$9,IF(EE285&lt;=Hypothèses!$V$10,Hypothèses!$X$10,IF(EE285&lt;=Hypothèses!$V$11,Hypothèses!$X$11,IF(EE285&lt;=Hypothèses!$V$12,Hypothèses!$X$12,IF(EE285&lt;=Hypothèses!$V$13,Hypothèses!$X$13,IF(EE285&lt;=Hypothèses!$V$14,Hypothèses!$X$14,IF(EE285&lt;=Hypothèses!$V$15,Hypothèses!$X$15,IF(EE285&lt;=Hypothèses!$V$16,Hypothèses!$X$16,IF(EE285&lt;=Hypothèses!$U$17,Hypothèses!$W$17,IF(EE285&lt;=Hypothèses!$U$18,Hypothèses!$W$18,""))))))))))))</f>
        <v>#DIV/0!</v>
      </c>
      <c r="FB285" s="95" t="e">
        <f t="shared" ca="1" si="497"/>
        <v>#DIV/0!</v>
      </c>
      <c r="FC285" s="101">
        <f t="shared" si="530"/>
        <v>0</v>
      </c>
      <c r="FD285" s="91">
        <f t="shared" si="464"/>
        <v>0</v>
      </c>
      <c r="FE285" s="30" t="e">
        <f t="shared" si="514"/>
        <v>#N/A</v>
      </c>
      <c r="FF285" s="30" t="e">
        <f t="shared" si="515"/>
        <v>#N/A</v>
      </c>
      <c r="FG285" s="31" t="e">
        <f>IF(OR(Hypothèses!$B$4=17,Hypothèses!$B$4=18,Hypothèses!$B$4=19,Hypothèses!$B$4=20),
IF($D285="Pressio.",
IF(OR($E285=3,$E285=1,$E285=4),FF285,FE285),
IF($D285="Pénétro.",
IF(OR($E285=3,$E285=1,$E285=4),FF285,FE285))),IF($D285="Pressio.",
IF($E285=3,FF285,FE285),
IF($D285="Pénétro.",
IF($E285=4,FF285,FE285))))</f>
        <v>#N/A</v>
      </c>
      <c r="FH285" s="31">
        <v>0</v>
      </c>
      <c r="FI285" s="102" t="e">
        <f>IF(NDC!$H$10="Oui",(VLOOKUP($B$3,'Coeff EC7'!$T$39:$X$59,2,0)*FG285+VLOOKUP($B$3,'Coeff EC7'!$T$65:$X$85,2,0)*Model0.1T!FH285)/1.5,PI()*FE$12*$Q285*($B285-$B284)*0.15/10+FI284)</f>
        <v>#N/A</v>
      </c>
      <c r="FJ285" s="102" t="e">
        <f>(VLOOKUP($B$3,'Coeff EC7'!$T$39:$X$59,3,0)*FG285+VLOOKUP($B$3,'Coeff EC7'!$T$65:$X$85,3,0)*Model0.1T!FH285)/1.1</f>
        <v>#N/A</v>
      </c>
      <c r="FK285" s="102" t="e">
        <f t="shared" si="498"/>
        <v>#N/A</v>
      </c>
      <c r="FL285" s="102" t="e">
        <f t="shared" si="499"/>
        <v>#N/A</v>
      </c>
      <c r="FM285" s="414" t="e">
        <f>IF(AND(FI285&gt;NDC!$C$63,FJ285&gt;NDC!$C$65,FK285&gt;NDC!$D$73,FL285&gt;NDC!$D$74,$B285&gt;NDC!$H$22-0.1+MIN(3*FM$12,1.5)),0,1)</f>
        <v>#N/A</v>
      </c>
    </row>
    <row r="286" spans="1:169">
      <c r="A286" s="96">
        <f t="shared" si="465"/>
        <v>72.700000000001552</v>
      </c>
      <c r="B286" s="97">
        <v>27.3</v>
      </c>
      <c r="C286" s="81">
        <f>IF(B286&lt;=Hypothèses!$C$7,Hypothèses!$A$7,IF(B286&lt;=Hypothèses!$C$8,Hypothèses!$A$8,IF(B286&lt;=Hypothèses!$C$9,Hypothèses!$A$9,IF(B286&lt;=Hypothèses!$C$10,Hypothèses!$A$10,IF(B286&lt;=Hypothèses!$C$11,Hypothèses!$A$11,IF(B286&lt;=Hypothèses!$C$12,Hypothèses!$A$12,IF(B286&lt;=Hypothèses!$C$13,Hypothèses!$A$13,IF(B286&lt;=Hypothèses!$C$14,Hypothèses!$A$14,IF(B286&lt;=Hypothèses!$C$15,Hypothèses!$A$15,IF(B286&lt;=Hypothèses!$C$16,Hypothèses!$A$16,IF(B286&lt;=Hypothèses!$C$17,Hypothèses!$A$17,IF(B286&lt;=Hypothèses!$C$18,Hypothèses!$A$18,C285))))))))))))</f>
        <v>11</v>
      </c>
      <c r="D286" s="82" t="str">
        <f>IF(B286&lt;=Hypothèses!$C$7,Hypothèses!$R$7,IF(B286&lt;=Hypothèses!$C$8,Hypothèses!$R$8,IF(B286&lt;=Hypothèses!$C$9,Hypothèses!$R$9,IF(B286&lt;=Hypothèses!$C$10,Hypothèses!$R$10,IF(B286&lt;=Hypothèses!$C$11,Hypothèses!$R$11,IF(B286&lt;=Hypothèses!$C$12,Hypothèses!$R$12,IF(B286&lt;=Hypothèses!$C$13,Hypothèses!$R$13,IF(B286&lt;=Hypothèses!$C$14,Hypothèses!$R$14,IF(B286&lt;=Hypothèses!$C$15,Hypothèses!$R$15,IF(B286&lt;=Hypothèses!$C$16,Hypothèses!$R$16,IF(B286&lt;=Hypothèses!$C$17,Hypothèses!$R$17,IF(B286&lt;=Hypothèses!$C$18,Hypothèses!$R$18,D285))))))))))))</f>
        <v>Pressio.</v>
      </c>
      <c r="E286" s="82" t="e">
        <f>IF(B286&lt;=Hypothèses!$C$7,Hypothèses!$G$7,IF(B286&lt;=Hypothèses!$C$8,Hypothèses!$G$8,IF(B286&lt;=Hypothèses!$C$9,Hypothèses!$G$9,IF(B286&lt;=Hypothèses!$C$10,Hypothèses!$G$10,IF(B286&lt;=Hypothèses!$C$11,Hypothèses!$G$11,IF(B286&lt;=Hypothèses!$C$12,Hypothèses!$G$12,IF(B286&lt;=Hypothèses!$C$13,Hypothèses!$G$13,IF(B286&lt;=Hypothèses!$C$14,Hypothèses!$G$14,IF(B286&lt;=Hypothèses!$C$15,Hypothèses!$G$15,IF(B286&lt;=Hypothèses!$C$16,Hypothèses!$G$16,IF(B286&lt;=Hypothèses!$C$17,Hypothèses!$G$17,IF(B286&lt;=Hypothèses!$C$18,Hypothèses!$G$18,E285))))))))))))</f>
        <v>#N/A</v>
      </c>
      <c r="F286" s="82" t="str">
        <f>IF(B286&lt;=Hypothèses!$C$7,Hypothèses!$F$7,IF(B286&lt;=Hypothèses!$C$8,Hypothèses!$F$8,IF(B286&lt;=Hypothèses!$C$9,Hypothèses!$F$9,IF(B286&lt;=Hypothèses!$C$10,Hypothèses!$F$10,IF(B286&lt;=Hypothèses!$C$11,Hypothèses!$F$11,IF(B286&lt;=Hypothèses!$C$12,Hypothèses!$F$12,IF(B286&lt;=Hypothèses!$C$13,Hypothèses!$F$13,IF(B286&lt;=Hypothèses!$C$14,Hypothèses!$F$14,IF(B286&lt;=Hypothèses!$C$15,Hypothèses!$F$15,IF(B286&lt;=Hypothèses!$C$16,Hypothèses!$F$16,IF(B286&lt;=Hypothèses!$C$17,Hypothèses!$F$17,IF(B286&lt;=Hypothèses!$C$18,Hypothèses!$F$18,F285))))))))))))</f>
        <v/>
      </c>
      <c r="G286" s="91">
        <f t="array" ref="G286">INDEX('Coeff EC7'!$U$7:$X$27,
MATCH(Model0.1T!$B$3,'Coeff EC7'!$T$7:$T$27,0),
MATCH(Model0.1T!$D286&amp;Model0.1T!$B$4,
'Coeff EC7'!$U$6:$X$6&amp;
'Coeff EC7'!$U$5:$X$5,0))</f>
        <v>1.4</v>
      </c>
      <c r="H286" s="91">
        <f t="array" ref="H286">INDEX('Coeff EC7'!$Y$7:$AB$27,
MATCH(Model0.1T!$B$3,'Coeff EC7'!$T$7:$T$27,0),
MATCH(Model0.1T!$D286&amp;Model0.1T!$B$4,
'Coeff EC7'!$Y$6:$AB$6&amp;
'Coeff EC7'!$Y$5:$AB$5,0))</f>
        <v>1.7</v>
      </c>
      <c r="I286" s="83">
        <v>0</v>
      </c>
      <c r="J286" s="91" t="e">
        <f t="array" ref="J286">INDEX('Coeff EC7'!$D$33:$Q$33,1,MATCH(D286&amp;E286,'Coeff EC7'!$D$31:$Q$31&amp;'Coeff EC7'!$D$32:$Q$32,0))</f>
        <v>#N/A</v>
      </c>
      <c r="K286" s="91" t="e">
        <f t="array" ref="K286">INDEX('Coeff EC7'!$D$34:$Q$34,1,MATCH(D286&amp;E286,'Coeff EC7'!$D$31:$Q$31&amp;'Coeff EC7'!$D$32:$Q$32,0))</f>
        <v>#N/A</v>
      </c>
      <c r="L286" s="91" t="e">
        <f t="array" ref="L286">INDEX('Coeff EC7'!$D$35:$Q$35,1,MATCH(D286&amp;E286,'Coeff EC7'!$D$31:$Q$31&amp;'Coeff EC7'!$D$32:$Q$32,0))</f>
        <v>#N/A</v>
      </c>
      <c r="M286" s="98" t="e">
        <f t="shared" si="431"/>
        <v>#N/A</v>
      </c>
      <c r="N286" s="99" t="e">
        <f t="array" ref="N286">INDEX('Coeff EC7'!$D$7:$Q$27,MATCH($B$3,'Coeff EC7'!$C$7:$C$27,0),MATCH(D286&amp;E286,'Coeff EC7'!$D$5:$Q$5&amp;'Coeff EC7'!$D$6:$Q$6,0))</f>
        <v>#N/A</v>
      </c>
      <c r="O286" s="99" t="e">
        <f t="array" ref="O286">INDEX('Coeff EC7'!$D$41:$Q$61,MATCH($B$3,'Coeff EC7'!$C$41:$C$61,0),MATCH(D286&amp;E286,'Coeff EC7'!$D$39:$Q$39&amp;'Coeff EC7'!$D$40:$Q$40,0))</f>
        <v>#N/A</v>
      </c>
      <c r="P286" s="30" t="e">
        <f t="shared" si="466"/>
        <v>#N/A</v>
      </c>
      <c r="Q286" s="100" t="e">
        <f t="shared" si="433"/>
        <v>#N/A</v>
      </c>
      <c r="R286" s="86" t="b">
        <f t="shared" si="434"/>
        <v>0</v>
      </c>
      <c r="S286" s="86">
        <f t="shared" si="432"/>
        <v>0.5</v>
      </c>
      <c r="T286" s="86">
        <f t="shared" si="435"/>
        <v>0.5</v>
      </c>
      <c r="U286" s="30" t="e">
        <f t="shared" ca="1" si="467"/>
        <v>#DIV/0!</v>
      </c>
      <c r="V286" s="85" t="str">
        <f>IF(B286&lt;=Hypothèses!$V$7,Hypothèses!$W$7,IF(B286&lt;=Hypothèses!$V$8,Hypothèses!$W$8,IF(B286&lt;=Hypothèses!$V$9,Hypothèses!$W$9,IF(B286&lt;=Hypothèses!$V$10,Hypothèses!$W$10,IF(B286&lt;=Hypothèses!$V$11,Hypothèses!$W$11,IF(B286&lt;=Hypothèses!$V$12,Hypothèses!$W$12,IF(B286&lt;=Hypothèses!$V$13,Hypothèses!$W$13,IF(B286&lt;=Hypothèses!$V$14,Hypothèses!$W$14,IF(B286&lt;=Hypothèses!$V$15,Hypothèses!$W$15,IF(B286&lt;=Hypothèses!$V$16,Hypothèses!$W$16,IF(B286&lt;=Hypothèses!$V$17,Hypothèses!$W$17,IF(B286&lt;=Hypothèses!$V$18,Hypothèses!$W$18,""))))))))))))</f>
        <v/>
      </c>
      <c r="W286" s="87" t="e">
        <f t="shared" ca="1" si="516"/>
        <v>#DIV/0!</v>
      </c>
      <c r="X286" s="88" t="str">
        <f>IF(B286&lt;=Hypothèses!$V$7,Hypothèses!$X$7,IF(B286&lt;=Hypothèses!$V$8,Hypothèses!$X$8,IF(B286&lt;=Hypothèses!$V$9,Hypothèses!$X$9,IF(B286&lt;=Hypothèses!$V$10,Hypothèses!$X$10,IF(B286&lt;=Hypothèses!$V$11,Hypothèses!$X$11,IF(B286&lt;=Hypothèses!$V$12,Hypothèses!$X$12,IF(B286&lt;=Hypothèses!$V$13,Hypothèses!$X$13,IF(B286&lt;=Hypothèses!$V$14,Hypothèses!$X$14,IF(B286&lt;=Hypothèses!$V$15,Hypothèses!$X$15,IF(B286&lt;=Hypothèses!$V$16,Hypothèses!$X$16,IF(B286&lt;=Hypothèses!$U$17,Hypothèses!$W$17,IF(B286&lt;=Hypothèses!$U$18,Hypothèses!$W$18,""))))))))))))</f>
        <v/>
      </c>
      <c r="Y286" s="95" t="e">
        <f t="shared" ca="1" si="436"/>
        <v>#DIV/0!</v>
      </c>
      <c r="Z286" s="101">
        <f t="shared" si="437"/>
        <v>0</v>
      </c>
      <c r="AA286" s="91">
        <f t="shared" si="438"/>
        <v>0</v>
      </c>
      <c r="AB286" s="30" t="e">
        <f t="shared" si="500"/>
        <v>#N/A</v>
      </c>
      <c r="AC286" s="30" t="e">
        <f t="shared" si="501"/>
        <v>#N/A</v>
      </c>
      <c r="AD286" s="31" t="e">
        <f>IF(OR(Hypothèses!$B$4=17,Hypothèses!$B$4=18,Hypothèses!$B$4=19,Hypothèses!$B$4=20),
IF($D286="Pressio.",
IF(OR($E286=3,$E286=1,$E286=4),AC286,AB286),
IF($D286="Pénétro.",
IF(OR($E286=3,$E286=1,$E286=4),AC286,AB286))),IF($D286="Pressio.",
IF($E286=3,AC286,AB286),
IF($D286="Pénétro.",
IF($E286=4,AC286,AB286))))</f>
        <v>#N/A</v>
      </c>
      <c r="AE286" s="31">
        <v>0</v>
      </c>
      <c r="AF286" s="102" t="e">
        <f>IF(NDC!$H$10="Oui",(VLOOKUP($B$3,'Coeff EC7'!$T$39:$X$59,2,0)*AD286+VLOOKUP($B$3,'Coeff EC7'!$T$65:$X$85,2,0)*Model0.1T!AE286)/1.5,PI()*AB$12*$Q286*($B286-$B285)*0.15/10+AF285)</f>
        <v>#N/A</v>
      </c>
      <c r="AG286" s="102" t="e">
        <f>(VLOOKUP($B$3,'Coeff EC7'!$T$39:$X$59,3,0)*AD286+VLOOKUP($B$3,'Coeff EC7'!$T$65:$X$85,3,0)*Model0.1T!AE286)/1.1</f>
        <v>#N/A</v>
      </c>
      <c r="AH286" s="102" t="e">
        <f t="shared" si="468"/>
        <v>#N/A</v>
      </c>
      <c r="AI286" s="102" t="e">
        <f t="shared" si="469"/>
        <v>#N/A</v>
      </c>
      <c r="AJ286" s="414" t="e">
        <f>IF(AND(AF286&gt;NDC!$C$63,AG286&gt;NDC!$C$65,AH286&gt;NDC!$D$73,AI286&gt;NDC!$D$74,$B286&gt;NDC!$H$22-0.1+MIN(3*$AJ$12,1.5)),0,1)</f>
        <v>#N/A</v>
      </c>
      <c r="AK286" s="86" t="b">
        <f t="shared" si="439"/>
        <v>0</v>
      </c>
      <c r="AL286" s="86">
        <f t="shared" si="470"/>
        <v>0.5</v>
      </c>
      <c r="AM286" s="86">
        <f t="shared" si="440"/>
        <v>0.5</v>
      </c>
      <c r="AN286" s="30" t="e">
        <f t="shared" ca="1" si="471"/>
        <v>#DIV/0!</v>
      </c>
      <c r="AO286" s="85" t="e">
        <f ca="1">IF(U286&lt;=Hypothèses!$V$7,Hypothèses!$W$7,IF(U286&lt;=Hypothèses!$V$8,Hypothèses!$W$8,IF(U286&lt;=Hypothèses!$V$9,Hypothèses!$W$9,IF(U286&lt;=Hypothèses!$V$10,Hypothèses!$W$10,IF(U286&lt;=Hypothèses!$V$11,Hypothèses!$W$11,IF(U286&lt;=Hypothèses!$V$12,Hypothèses!$W$12,IF(U286&lt;=Hypothèses!$V$13,Hypothèses!$W$13,IF(U286&lt;=Hypothèses!$V$14,Hypothèses!$W$14,IF(U286&lt;=Hypothèses!$V$15,Hypothèses!$W$15,IF(U286&lt;=Hypothèses!$V$16,Hypothèses!$W$16,IF(U286&lt;=Hypothèses!$V$17,Hypothèses!$W$17,IF(U286&lt;=Hypothèses!$V$18,Hypothèses!$W$18,""))))))))))))</f>
        <v>#DIV/0!</v>
      </c>
      <c r="AP286" s="87" t="e">
        <f t="shared" ca="1" si="517"/>
        <v>#DIV/0!</v>
      </c>
      <c r="AQ286" s="88" t="e">
        <f ca="1">IF(U286&lt;=Hypothèses!$V$7,Hypothèses!$X$7,IF(U286&lt;=Hypothèses!$V$8,Hypothèses!$X$8,IF(U286&lt;=Hypothèses!$V$9,Hypothèses!$X$9,IF(U286&lt;=Hypothèses!$V$10,Hypothèses!$X$10,IF(U286&lt;=Hypothèses!$V$11,Hypothèses!$X$11,IF(U286&lt;=Hypothèses!$V$12,Hypothèses!$X$12,IF(U286&lt;=Hypothèses!$V$13,Hypothèses!$X$13,IF(U286&lt;=Hypothèses!$V$14,Hypothèses!$X$14,IF(U286&lt;=Hypothèses!$V$15,Hypothèses!$X$15,IF(U286&lt;=Hypothèses!$V$16,Hypothèses!$X$16,IF(U286&lt;=Hypothèses!$U$17,Hypothèses!$W$17,IF(U286&lt;=Hypothèses!$U$18,Hypothèses!$W$18,""))))))))))))</f>
        <v>#DIV/0!</v>
      </c>
      <c r="AR286" s="95" t="e">
        <f t="shared" ca="1" si="472"/>
        <v>#DIV/0!</v>
      </c>
      <c r="AS286" s="101">
        <f t="shared" si="524"/>
        <v>0</v>
      </c>
      <c r="AT286" s="91">
        <f t="shared" si="441"/>
        <v>0</v>
      </c>
      <c r="AU286" s="30" t="e">
        <f t="shared" si="502"/>
        <v>#N/A</v>
      </c>
      <c r="AV286" s="30" t="e">
        <f t="shared" si="503"/>
        <v>#N/A</v>
      </c>
      <c r="AW286" s="31" t="e">
        <f>IF(OR(Hypothèses!$B$4=17,Hypothèses!$B$4=18,Hypothèses!$B$4=19,Hypothèses!$B$4=20),
IF($D286="Pressio.",
IF(OR($E286=3,$E286=1,$E286=4),AV286,AU286),
IF($D286="Pénétro.",
IF(OR($E286=3,$E286=1,$E286=4),AV286,AU286))),IF($D286="Pressio.",
IF($E286=3,AV286,AU286),
IF($D286="Pénétro.",
IF($E286=4,AV286,AU286))))</f>
        <v>#N/A</v>
      </c>
      <c r="AX286" s="31">
        <v>0</v>
      </c>
      <c r="AY286" s="102" t="e">
        <f>IF(NDC!$H$10="Oui",(VLOOKUP($B$3,'Coeff EC7'!$T$39:$X$59,2,0)*AW286+VLOOKUP($B$3,'Coeff EC7'!$T$65:$X$85,2,0)*Model0.1T!AX286)/1.5,PI()*AU$12*$Q286*($B286-$B285)*0.15/10+AY285)</f>
        <v>#N/A</v>
      </c>
      <c r="AZ286" s="102" t="e">
        <f>(VLOOKUP($B$3,'Coeff EC7'!$T$39:$X$59,3,0)*AW286+VLOOKUP($B$3,'Coeff EC7'!$T$65:$X$85,3,0)*Model0.1T!AX286)/1.1</f>
        <v>#N/A</v>
      </c>
      <c r="BA286" s="102" t="e">
        <f t="shared" si="473"/>
        <v>#N/A</v>
      </c>
      <c r="BB286" s="102" t="e">
        <f t="shared" si="474"/>
        <v>#N/A</v>
      </c>
      <c r="BC286" s="414" t="e">
        <f>IF(AND(AY286&gt;NDC!$C$63,AZ286&gt;NDC!$C$65,BA286&gt;NDC!$D$73,BB286&gt;NDC!$D$74,$B286&gt;NDC!$H$22-0.1+MIN(3*BC$12,1.5)),0,1)</f>
        <v>#N/A</v>
      </c>
      <c r="BD286" s="86" t="b">
        <f t="shared" si="442"/>
        <v>0</v>
      </c>
      <c r="BE286" s="86">
        <f t="shared" si="475"/>
        <v>0.5</v>
      </c>
      <c r="BF286" s="86">
        <f t="shared" si="443"/>
        <v>0.5</v>
      </c>
      <c r="BG286" s="30" t="e">
        <f t="shared" ca="1" si="476"/>
        <v>#DIV/0!</v>
      </c>
      <c r="BH286" s="85" t="e">
        <f ca="1">IF(AN286&lt;=Hypothèses!$V$7,Hypothèses!$W$7,IF(AN286&lt;=Hypothèses!$V$8,Hypothèses!$W$8,IF(AN286&lt;=Hypothèses!$V$9,Hypothèses!$W$9,IF(AN286&lt;=Hypothèses!$V$10,Hypothèses!$W$10,IF(AN286&lt;=Hypothèses!$V$11,Hypothèses!$W$11,IF(AN286&lt;=Hypothèses!$V$12,Hypothèses!$W$12,IF(AN286&lt;=Hypothèses!$V$13,Hypothèses!$W$13,IF(AN286&lt;=Hypothèses!$V$14,Hypothèses!$W$14,IF(AN286&lt;=Hypothèses!$V$15,Hypothèses!$W$15,IF(AN286&lt;=Hypothèses!$V$16,Hypothèses!$W$16,IF(AN286&lt;=Hypothèses!$V$17,Hypothèses!$W$17,IF(AN286&lt;=Hypothèses!$V$18,Hypothèses!$W$18,""))))))))))))</f>
        <v>#DIV/0!</v>
      </c>
      <c r="BI286" s="87" t="e">
        <f t="shared" ca="1" si="518"/>
        <v>#DIV/0!</v>
      </c>
      <c r="BJ286" s="88" t="e">
        <f ca="1">IF(AN286&lt;=Hypothèses!$V$7,Hypothèses!$X$7,IF(AN286&lt;=Hypothèses!$V$8,Hypothèses!$X$8,IF(AN286&lt;=Hypothèses!$V$9,Hypothèses!$X$9,IF(AN286&lt;=Hypothèses!$V$10,Hypothèses!$X$10,IF(AN286&lt;=Hypothèses!$V$11,Hypothèses!$X$11,IF(AN286&lt;=Hypothèses!$V$12,Hypothèses!$X$12,IF(AN286&lt;=Hypothèses!$V$13,Hypothèses!$X$13,IF(AN286&lt;=Hypothèses!$V$14,Hypothèses!$X$14,IF(AN286&lt;=Hypothèses!$V$15,Hypothèses!$X$15,IF(AN286&lt;=Hypothèses!$V$16,Hypothèses!$X$16,IF(AN286&lt;=Hypothèses!$U$17,Hypothèses!$W$17,IF(AN286&lt;=Hypothèses!$U$18,Hypothèses!$W$18,""))))))))))))</f>
        <v>#DIV/0!</v>
      </c>
      <c r="BK286" s="95" t="e">
        <f t="shared" ca="1" si="477"/>
        <v>#DIV/0!</v>
      </c>
      <c r="BL286" s="101">
        <f t="shared" si="525"/>
        <v>0</v>
      </c>
      <c r="BM286" s="91">
        <f t="shared" si="444"/>
        <v>0</v>
      </c>
      <c r="BN286" s="30" t="e">
        <f t="shared" si="504"/>
        <v>#N/A</v>
      </c>
      <c r="BO286" s="30" t="e">
        <f t="shared" si="505"/>
        <v>#N/A</v>
      </c>
      <c r="BP286" s="31" t="e">
        <f>IF(OR(Hypothèses!$B$4=17,Hypothèses!$B$4=18,Hypothèses!$B$4=19,Hypothèses!$B$4=20),
IF($D286="Pressio.",
IF(OR($E286=3,$E286=1,$E286=4),BO286,BN286),
IF($D286="Pénétro.",
IF(OR($E286=3,$E286=1,$E286=4),BO286,BN286))),IF($D286="Pressio.",
IF($E286=3,BO286,BN286),
IF($D286="Pénétro.",
IF($E286=4,BO286,BN286))))</f>
        <v>#N/A</v>
      </c>
      <c r="BQ286" s="31">
        <v>0</v>
      </c>
      <c r="BR286" s="102" t="e">
        <f>IF(NDC!$H$10="Oui",(VLOOKUP($B$3,'Coeff EC7'!$T$39:$X$59,2,0)*BP286+VLOOKUP($B$3,'Coeff EC7'!$T$65:$X$85,2,0)*Model0.1T!BQ286)/1.5,PI()*BN$12*$Q286*($B286-$B285)*0.15/10+BR285)</f>
        <v>#N/A</v>
      </c>
      <c r="BS286" s="102" t="e">
        <f>(VLOOKUP($B$3,'Coeff EC7'!$T$39:$X$59,3,0)*BP286+VLOOKUP($B$3,'Coeff EC7'!$T$65:$X$85,3,0)*Model0.1T!BQ286)/1.1</f>
        <v>#N/A</v>
      </c>
      <c r="BT286" s="102" t="e">
        <f t="shared" si="478"/>
        <v>#N/A</v>
      </c>
      <c r="BU286" s="102" t="e">
        <f t="shared" si="479"/>
        <v>#N/A</v>
      </c>
      <c r="BV286" s="414" t="e">
        <f>IF(AND(BR286&gt;NDC!$C$63,BS286&gt;NDC!$C$65,BT286&gt;NDC!$D$73,BU286&gt;NDC!$D$74,$B286&gt;NDC!$H$22-0.1+MIN(3*BV$12,1.5)),0,1)</f>
        <v>#N/A</v>
      </c>
      <c r="BW286" s="86" t="b">
        <f t="shared" si="445"/>
        <v>0</v>
      </c>
      <c r="BX286" s="86">
        <f t="shared" si="446"/>
        <v>0.5</v>
      </c>
      <c r="BY286" s="86">
        <f t="shared" si="447"/>
        <v>0.5</v>
      </c>
      <c r="BZ286" s="30" t="e">
        <f t="shared" ca="1" si="480"/>
        <v>#DIV/0!</v>
      </c>
      <c r="CA286" s="85" t="e">
        <f ca="1">IF(BG286&lt;=Hypothèses!$V$7,Hypothèses!$W$7,IF(BG286&lt;=Hypothèses!$V$8,Hypothèses!$W$8,IF(BG286&lt;=Hypothèses!$V$9,Hypothèses!$W$9,IF(BG286&lt;=Hypothèses!$V$10,Hypothèses!$W$10,IF(BG286&lt;=Hypothèses!$V$11,Hypothèses!$W$11,IF(BG286&lt;=Hypothèses!$V$12,Hypothèses!$W$12,IF(BG286&lt;=Hypothèses!$V$13,Hypothèses!$W$13,IF(BG286&lt;=Hypothèses!$V$14,Hypothèses!$W$14,IF(BG286&lt;=Hypothèses!$V$15,Hypothèses!$W$15,IF(BG286&lt;=Hypothèses!$V$16,Hypothèses!$W$16,IF(BG286&lt;=Hypothèses!$V$17,Hypothèses!$W$17,IF(BG286&lt;=Hypothèses!$V$18,Hypothèses!$W$18,""))))))))))))</f>
        <v>#DIV/0!</v>
      </c>
      <c r="CB286" s="87" t="e">
        <f t="shared" ca="1" si="519"/>
        <v>#DIV/0!</v>
      </c>
      <c r="CC286" s="88" t="e">
        <f ca="1">IF(BG286&lt;=Hypothèses!$V$7,Hypothèses!$X$7,IF(BG286&lt;=Hypothèses!$V$8,Hypothèses!$X$8,IF(BG286&lt;=Hypothèses!$V$9,Hypothèses!$X$9,IF(BG286&lt;=Hypothèses!$V$10,Hypothèses!$X$10,IF(BG286&lt;=Hypothèses!$V$11,Hypothèses!$X$11,IF(BG286&lt;=Hypothèses!$V$12,Hypothèses!$X$12,IF(BG286&lt;=Hypothèses!$V$13,Hypothèses!$X$13,IF(BG286&lt;=Hypothèses!$V$14,Hypothèses!$X$14,IF(BG286&lt;=Hypothèses!$V$15,Hypothèses!$X$15,IF(BG286&lt;=Hypothèses!$V$16,Hypothèses!$X$16,IF(BG286&lt;=Hypothèses!$U$17,Hypothèses!$W$17,IF(BG286&lt;=Hypothèses!$U$18,Hypothèses!$W$18,""))))))))))))</f>
        <v>#DIV/0!</v>
      </c>
      <c r="CD286" s="95" t="e">
        <f t="shared" ca="1" si="481"/>
        <v>#DIV/0!</v>
      </c>
      <c r="CE286" s="101">
        <f t="shared" si="526"/>
        <v>0</v>
      </c>
      <c r="CF286" s="91">
        <f t="shared" si="448"/>
        <v>0</v>
      </c>
      <c r="CG286" s="30" t="e">
        <f t="shared" si="506"/>
        <v>#N/A</v>
      </c>
      <c r="CH286" s="30" t="e">
        <f t="shared" si="507"/>
        <v>#N/A</v>
      </c>
      <c r="CI286" s="31" t="e">
        <f>IF(OR(Hypothèses!$B$4=17,Hypothèses!$B$4=18,Hypothèses!$B$4=19,Hypothèses!$B$4=20),
IF($D286="Pressio.",
IF(OR($E286=3,$E286=1,$E286=4),CH286,CG286),
IF($D286="Pénétro.",
IF(OR($E286=3,$E286=1,$E286=4),CH286,CG286))),IF($D286="Pressio.",
IF($E286=3,CH286,CG286),
IF($D286="Pénétro.",
IF($E286=4,CH286,CG286))))</f>
        <v>#N/A</v>
      </c>
      <c r="CJ286" s="31">
        <v>0</v>
      </c>
      <c r="CK286" s="102" t="e">
        <f>IF(NDC!$H$10="Oui",(VLOOKUP($B$3,'Coeff EC7'!$T$39:$X$59,2,0)*CI286+VLOOKUP($B$3,'Coeff EC7'!$T$65:$X$85,2,0)*Model0.1T!CJ286)/1.5,PI()*CG$12*$Q286*($B286-$B285)*0.15/10+CK285)</f>
        <v>#N/A</v>
      </c>
      <c r="CL286" s="102" t="e">
        <f>(VLOOKUP($B$3,'Coeff EC7'!$T$39:$X$59,3,0)*CI286+VLOOKUP($B$3,'Coeff EC7'!$T$65:$X$85,3,0)*Model0.1T!CJ286)/1.1</f>
        <v>#N/A</v>
      </c>
      <c r="CM286" s="102" t="e">
        <f t="shared" si="482"/>
        <v>#N/A</v>
      </c>
      <c r="CN286" s="102" t="e">
        <f t="shared" si="483"/>
        <v>#N/A</v>
      </c>
      <c r="CO286" s="414" t="e">
        <f>IF(AND(CK286&gt;NDC!$C$63,CL286&gt;NDC!$C$65,CM286&gt;NDC!$D$73,CN286&gt;NDC!$D$74,$B286&gt;NDC!$H$22-0.1+MIN(3*CO$12,1.5)),0,1)</f>
        <v>#N/A</v>
      </c>
      <c r="CP286" s="86" t="b">
        <f t="shared" si="449"/>
        <v>0</v>
      </c>
      <c r="CQ286" s="86">
        <f t="shared" si="450"/>
        <v>0.5</v>
      </c>
      <c r="CR286" s="86">
        <f t="shared" si="451"/>
        <v>0.5</v>
      </c>
      <c r="CS286" s="30" t="e">
        <f t="shared" ca="1" si="484"/>
        <v>#DIV/0!</v>
      </c>
      <c r="CT286" s="85" t="e">
        <f ca="1">IF(BZ286&lt;=Hypothèses!$V$7,Hypothèses!$W$7,IF(BZ286&lt;=Hypothèses!$V$8,Hypothèses!$W$8,IF(BZ286&lt;=Hypothèses!$V$9,Hypothèses!$W$9,IF(BZ286&lt;=Hypothèses!$V$10,Hypothèses!$W$10,IF(BZ286&lt;=Hypothèses!$V$11,Hypothèses!$W$11,IF(BZ286&lt;=Hypothèses!$V$12,Hypothèses!$W$12,IF(BZ286&lt;=Hypothèses!$V$13,Hypothèses!$W$13,IF(BZ286&lt;=Hypothèses!$V$14,Hypothèses!$W$14,IF(BZ286&lt;=Hypothèses!$V$15,Hypothèses!$W$15,IF(BZ286&lt;=Hypothèses!$V$16,Hypothèses!$W$16,IF(BZ286&lt;=Hypothèses!$V$17,Hypothèses!$W$17,IF(BZ286&lt;=Hypothèses!$V$18,Hypothèses!$W$18,""))))))))))))</f>
        <v>#DIV/0!</v>
      </c>
      <c r="CU286" s="87" t="e">
        <f t="shared" ca="1" si="520"/>
        <v>#DIV/0!</v>
      </c>
      <c r="CV286" s="88" t="e">
        <f ca="1">IF(BZ286&lt;=Hypothèses!$V$7,Hypothèses!$X$7,IF(BZ286&lt;=Hypothèses!$V$8,Hypothèses!$X$8,IF(BZ286&lt;=Hypothèses!$V$9,Hypothèses!$X$9,IF(BZ286&lt;=Hypothèses!$V$10,Hypothèses!$X$10,IF(BZ286&lt;=Hypothèses!$V$11,Hypothèses!$X$11,IF(BZ286&lt;=Hypothèses!$V$12,Hypothèses!$X$12,IF(BZ286&lt;=Hypothèses!$V$13,Hypothèses!$X$13,IF(BZ286&lt;=Hypothèses!$V$14,Hypothèses!$X$14,IF(BZ286&lt;=Hypothèses!$V$15,Hypothèses!$X$15,IF(BZ286&lt;=Hypothèses!$V$16,Hypothèses!$X$16,IF(BZ286&lt;=Hypothèses!$U$17,Hypothèses!$W$17,IF(BZ286&lt;=Hypothèses!$U$18,Hypothèses!$W$18,""))))))))))))</f>
        <v>#DIV/0!</v>
      </c>
      <c r="CW286" s="95" t="e">
        <f t="shared" ca="1" si="485"/>
        <v>#DIV/0!</v>
      </c>
      <c r="CX286" s="101">
        <f t="shared" si="527"/>
        <v>0</v>
      </c>
      <c r="CY286" s="91">
        <f t="shared" si="452"/>
        <v>0</v>
      </c>
      <c r="CZ286" s="30" t="e">
        <f t="shared" si="508"/>
        <v>#N/A</v>
      </c>
      <c r="DA286" s="30" t="e">
        <f t="shared" si="509"/>
        <v>#N/A</v>
      </c>
      <c r="DB286" s="31" t="e">
        <f>IF(OR(Hypothèses!$B$4=17,Hypothèses!$B$4=18,Hypothèses!$B$4=19,Hypothèses!$B$4=20),
IF($D286="Pressio.",
IF(OR($E286=3,$E286=1,$E286=4),DA286,CZ286),
IF($D286="Pénétro.",
IF(OR($E286=3,$E286=1,$E286=4),DA286,CZ286))),IF($D286="Pressio.",
IF($E286=3,DA286,CZ286),
IF($D286="Pénétro.",
IF($E286=4,DA286,CZ286))))</f>
        <v>#N/A</v>
      </c>
      <c r="DC286" s="31">
        <v>0</v>
      </c>
      <c r="DD286" s="102" t="e">
        <f>IF(NDC!$H$10="Oui",(VLOOKUP($B$3,'Coeff EC7'!$T$39:$X$59,2,0)*DB286+VLOOKUP($B$3,'Coeff EC7'!$T$65:$X$85,2,0)*Model0.1T!DC286)/1.5,PI()*CZ$12*$Q286*($B286-$B285)*0.15/10+DD285)</f>
        <v>#N/A</v>
      </c>
      <c r="DE286" s="102" t="e">
        <f>(VLOOKUP($B$3,'Coeff EC7'!$T$39:$X$59,3,0)*DB286+VLOOKUP($B$3,'Coeff EC7'!$T$65:$X$85,3,0)*Model0.1T!DC286)/1.1</f>
        <v>#N/A</v>
      </c>
      <c r="DF286" s="102" t="e">
        <f t="shared" si="486"/>
        <v>#N/A</v>
      </c>
      <c r="DG286" s="102" t="e">
        <f t="shared" si="487"/>
        <v>#N/A</v>
      </c>
      <c r="DH286" s="414" t="e">
        <f>IF(AND(DD286&gt;NDC!$C$63,DE286&gt;NDC!$C$65,DF286&gt;NDC!$D$73,DG286&gt;NDC!$D$74,$B286&gt;NDC!$H$22-0.1+MIN(3*DH$12,1.5)),0,1)</f>
        <v>#N/A</v>
      </c>
      <c r="DI286" s="86" t="b">
        <f t="shared" si="453"/>
        <v>0</v>
      </c>
      <c r="DJ286" s="86">
        <f t="shared" si="454"/>
        <v>0.5</v>
      </c>
      <c r="DK286" s="86">
        <f t="shared" si="455"/>
        <v>0.5</v>
      </c>
      <c r="DL286" s="30" t="e">
        <f t="shared" ca="1" si="488"/>
        <v>#DIV/0!</v>
      </c>
      <c r="DM286" s="85" t="e">
        <f ca="1">IF(CS286&lt;=Hypothèses!$V$7,Hypothèses!$W$7,IF(CS286&lt;=Hypothèses!$V$8,Hypothèses!$W$8,IF(CS286&lt;=Hypothèses!$V$9,Hypothèses!$W$9,IF(CS286&lt;=Hypothèses!$V$10,Hypothèses!$W$10,IF(CS286&lt;=Hypothèses!$V$11,Hypothèses!$W$11,IF(CS286&lt;=Hypothèses!$V$12,Hypothèses!$W$12,IF(CS286&lt;=Hypothèses!$V$13,Hypothèses!$W$13,IF(CS286&lt;=Hypothèses!$V$14,Hypothèses!$W$14,IF(CS286&lt;=Hypothèses!$V$15,Hypothèses!$W$15,IF(CS286&lt;=Hypothèses!$V$16,Hypothèses!$W$16,IF(CS286&lt;=Hypothèses!$V$17,Hypothèses!$W$17,IF(CS286&lt;=Hypothèses!$V$18,Hypothèses!$W$18,""))))))))))))</f>
        <v>#DIV/0!</v>
      </c>
      <c r="DN286" s="87" t="e">
        <f t="shared" ca="1" si="521"/>
        <v>#DIV/0!</v>
      </c>
      <c r="DO286" s="88" t="e">
        <f ca="1">IF(CS286&lt;=Hypothèses!$V$7,Hypothèses!$X$7,IF(CS286&lt;=Hypothèses!$V$8,Hypothèses!$X$8,IF(CS286&lt;=Hypothèses!$V$9,Hypothèses!$X$9,IF(CS286&lt;=Hypothèses!$V$10,Hypothèses!$X$10,IF(CS286&lt;=Hypothèses!$V$11,Hypothèses!$X$11,IF(CS286&lt;=Hypothèses!$V$12,Hypothèses!$X$12,IF(CS286&lt;=Hypothèses!$V$13,Hypothèses!$X$13,IF(CS286&lt;=Hypothèses!$V$14,Hypothèses!$X$14,IF(CS286&lt;=Hypothèses!$V$15,Hypothèses!$X$15,IF(CS286&lt;=Hypothèses!$V$16,Hypothèses!$X$16,IF(CS286&lt;=Hypothèses!$U$17,Hypothèses!$W$17,IF(CS286&lt;=Hypothèses!$U$18,Hypothèses!$W$18,""))))))))))))</f>
        <v>#DIV/0!</v>
      </c>
      <c r="DP286" s="95" t="e">
        <f t="shared" ca="1" si="489"/>
        <v>#DIV/0!</v>
      </c>
      <c r="DQ286" s="101">
        <f t="shared" si="528"/>
        <v>0</v>
      </c>
      <c r="DR286" s="91">
        <f t="shared" si="456"/>
        <v>0</v>
      </c>
      <c r="DS286" s="30" t="e">
        <f t="shared" si="510"/>
        <v>#N/A</v>
      </c>
      <c r="DT286" s="30" t="e">
        <f t="shared" si="511"/>
        <v>#N/A</v>
      </c>
      <c r="DU286" s="31" t="e">
        <f>IF(OR(Hypothèses!$B$4=17,Hypothèses!$B$4=18,Hypothèses!$B$4=19,Hypothèses!$B$4=20),
IF($D286="Pressio.",
IF(OR($E286=3,$E286=1,$E286=4),DT286,DS286),
IF($D286="Pénétro.",
IF(OR($E286=3,$E286=1,$E286=4),DT286,DS286))),IF($D286="Pressio.",
IF($E286=3,DT286,DS286),
IF($D286="Pénétro.",
IF($E286=4,DT286,DS286))))</f>
        <v>#N/A</v>
      </c>
      <c r="DV286" s="31">
        <v>0</v>
      </c>
      <c r="DW286" s="102" t="e">
        <f>IF(NDC!$H$10="Oui",(VLOOKUP($B$3,'Coeff EC7'!$T$39:$X$59,2,0)*DU286+VLOOKUP($B$3,'Coeff EC7'!$T$65:$X$85,2,0)*Model0.1T!DV286)/1.5,PI()*DS$12*$Q286*($B286-$B285)*0.15/10+DW285)</f>
        <v>#N/A</v>
      </c>
      <c r="DX286" s="102" t="e">
        <f>(VLOOKUP($B$3,'Coeff EC7'!$T$39:$X$59,3,0)*DU286+VLOOKUP($B$3,'Coeff EC7'!$T$65:$X$85,3,0)*Model0.1T!DV286)/1.1</f>
        <v>#N/A</v>
      </c>
      <c r="DY286" s="102" t="e">
        <f t="shared" si="490"/>
        <v>#N/A</v>
      </c>
      <c r="DZ286" s="102" t="e">
        <f t="shared" si="491"/>
        <v>#N/A</v>
      </c>
      <c r="EA286" s="414" t="e">
        <f>IF(AND(DW286&gt;NDC!$C$63,DX286&gt;NDC!$C$65,DY286&gt;NDC!$D$73,DZ286&gt;NDC!$D$74,$B286&gt;NDC!$H$22-0.1+MIN(3*EA$12,1.5)),0,1)</f>
        <v>#N/A</v>
      </c>
      <c r="EB286" s="86" t="b">
        <f t="shared" si="457"/>
        <v>0</v>
      </c>
      <c r="EC286" s="418">
        <f t="shared" si="458"/>
        <v>0.51</v>
      </c>
      <c r="ED286" s="86">
        <f t="shared" si="459"/>
        <v>0.51</v>
      </c>
      <c r="EE286" s="30" t="e">
        <f t="shared" ca="1" si="492"/>
        <v>#DIV/0!</v>
      </c>
      <c r="EF286" s="85" t="e">
        <f ca="1">IF(DL286&lt;=Hypothèses!$V$7,Hypothèses!$W$7,IF(DL286&lt;=Hypothèses!$V$8,Hypothèses!$W$8,IF(DL286&lt;=Hypothèses!$V$9,Hypothèses!$W$9,IF(DL286&lt;=Hypothèses!$V$10,Hypothèses!$W$10,IF(DL286&lt;=Hypothèses!$V$11,Hypothèses!$W$11,IF(DL286&lt;=Hypothèses!$V$12,Hypothèses!$W$12,IF(DL286&lt;=Hypothèses!$V$13,Hypothèses!$W$13,IF(DL286&lt;=Hypothèses!$V$14,Hypothèses!$W$14,IF(DL286&lt;=Hypothèses!$V$15,Hypothèses!$W$15,IF(DL286&lt;=Hypothèses!$V$16,Hypothèses!$W$16,IF(DL286&lt;=Hypothèses!$V$17,Hypothèses!$W$17,IF(DL286&lt;=Hypothèses!$V$18,Hypothèses!$W$18,""))))))))))))</f>
        <v>#DIV/0!</v>
      </c>
      <c r="EG286" s="87" t="e">
        <f t="shared" ca="1" si="522"/>
        <v>#DIV/0!</v>
      </c>
      <c r="EH286" s="88" t="e">
        <f ca="1">IF(DL286&lt;=Hypothèses!$V$7,Hypothèses!$X$7,IF(DL286&lt;=Hypothèses!$V$8,Hypothèses!$X$8,IF(DL286&lt;=Hypothèses!$V$9,Hypothèses!$X$9,IF(DL286&lt;=Hypothèses!$V$10,Hypothèses!$X$10,IF(DL286&lt;=Hypothèses!$V$11,Hypothèses!$X$11,IF(DL286&lt;=Hypothèses!$V$12,Hypothèses!$X$12,IF(DL286&lt;=Hypothèses!$V$13,Hypothèses!$X$13,IF(DL286&lt;=Hypothèses!$V$14,Hypothèses!$X$14,IF(DL286&lt;=Hypothèses!$V$15,Hypothèses!$X$15,IF(DL286&lt;=Hypothèses!$V$16,Hypothèses!$X$16,IF(DL286&lt;=Hypothèses!$U$17,Hypothèses!$W$17,IF(DL286&lt;=Hypothèses!$U$18,Hypothèses!$W$18,""))))))))))))</f>
        <v>#DIV/0!</v>
      </c>
      <c r="EI286" s="95" t="e">
        <f t="shared" ca="1" si="493"/>
        <v>#DIV/0!</v>
      </c>
      <c r="EJ286" s="101">
        <f t="shared" si="529"/>
        <v>0</v>
      </c>
      <c r="EK286" s="91">
        <f t="shared" si="460"/>
        <v>0</v>
      </c>
      <c r="EL286" s="30" t="e">
        <f t="shared" si="512"/>
        <v>#N/A</v>
      </c>
      <c r="EM286" s="30" t="e">
        <f t="shared" si="513"/>
        <v>#N/A</v>
      </c>
      <c r="EN286" s="31" t="e">
        <f>IF(OR(Hypothèses!$B$4=17,Hypothèses!$B$4=18,Hypothèses!$B$4=19,Hypothèses!$B$4=20),
IF($D286="Pressio.",
IF(OR($E286=3,$E286=1,$E286=4),EM286,EL286),
IF($D286="Pénétro.",
IF(OR($E286=3,$E286=1,$E286=4),EM286,EL286))),IF($D286="Pressio.",
IF($E286=3,EM286,EL286),
IF($D286="Pénétro.",
IF($E286=4,EM286,EL286))))</f>
        <v>#N/A</v>
      </c>
      <c r="EO286" s="31">
        <v>0</v>
      </c>
      <c r="EP286" s="102" t="e">
        <f>IF(NDC!$H$10="Oui",(VLOOKUP($B$3,'Coeff EC7'!$T$39:$X$59,2,0)*EN286+VLOOKUP($B$3,'Coeff EC7'!$T$65:$X$85,2,0)*Model0.1T!EO286)/1.5,PI()*EL$12*$Q286*($B286-$B285)*0.15/10+EP285)</f>
        <v>#N/A</v>
      </c>
      <c r="EQ286" s="102" t="e">
        <f>(VLOOKUP($B$3,'Coeff EC7'!$T$39:$X$59,3,0)*EN286+VLOOKUP($B$3,'Coeff EC7'!$T$65:$X$85,3,0)*Model0.1T!EO286)/1.1</f>
        <v>#N/A</v>
      </c>
      <c r="ER286" s="102" t="e">
        <f t="shared" si="494"/>
        <v>#N/A</v>
      </c>
      <c r="ES286" s="102" t="e">
        <f t="shared" si="495"/>
        <v>#N/A</v>
      </c>
      <c r="ET286" s="414" t="e">
        <f>IF(AND(EP286&gt;NDC!$C$63,EQ286&gt;NDC!$C$65,ER286&gt;NDC!$D$73,ES286&gt;NDC!$D$74,$B286&gt;NDC!$H$22-0.1+MIN(3*ET$12,1.5)),0,1)</f>
        <v>#N/A</v>
      </c>
      <c r="EU286" s="86" t="b">
        <f t="shared" si="461"/>
        <v>0</v>
      </c>
      <c r="EV286" s="86">
        <f t="shared" si="462"/>
        <v>0.61</v>
      </c>
      <c r="EW286" s="86">
        <f t="shared" si="463"/>
        <v>0.61</v>
      </c>
      <c r="EX286" s="30" t="e">
        <f t="shared" ca="1" si="496"/>
        <v>#DIV/0!</v>
      </c>
      <c r="EY286" s="85" t="e">
        <f ca="1">IF(EE286&lt;=Hypothèses!$V$7,Hypothèses!$W$7,IF(EE286&lt;=Hypothèses!$V$8,Hypothèses!$W$8,IF(EE286&lt;=Hypothèses!$V$9,Hypothèses!$W$9,IF(EE286&lt;=Hypothèses!$V$10,Hypothèses!$W$10,IF(EE286&lt;=Hypothèses!$V$11,Hypothèses!$W$11,IF(EE286&lt;=Hypothèses!$V$12,Hypothèses!$W$12,IF(EE286&lt;=Hypothèses!$V$13,Hypothèses!$W$13,IF(EE286&lt;=Hypothèses!$V$14,Hypothèses!$W$14,IF(EE286&lt;=Hypothèses!$V$15,Hypothèses!$W$15,IF(EE286&lt;=Hypothèses!$V$16,Hypothèses!$W$16,IF(EE286&lt;=Hypothèses!$V$17,Hypothèses!$W$17,IF(EE286&lt;=Hypothèses!$V$18,Hypothèses!$W$18,""))))))))))))</f>
        <v>#DIV/0!</v>
      </c>
      <c r="EZ286" s="87" t="e">
        <f t="shared" ca="1" si="523"/>
        <v>#DIV/0!</v>
      </c>
      <c r="FA286" s="88" t="e">
        <f ca="1">IF(EE286&lt;=Hypothèses!$V$7,Hypothèses!$X$7,IF(EE286&lt;=Hypothèses!$V$8,Hypothèses!$X$8,IF(EE286&lt;=Hypothèses!$V$9,Hypothèses!$X$9,IF(EE286&lt;=Hypothèses!$V$10,Hypothèses!$X$10,IF(EE286&lt;=Hypothèses!$V$11,Hypothèses!$X$11,IF(EE286&lt;=Hypothèses!$V$12,Hypothèses!$X$12,IF(EE286&lt;=Hypothèses!$V$13,Hypothèses!$X$13,IF(EE286&lt;=Hypothèses!$V$14,Hypothèses!$X$14,IF(EE286&lt;=Hypothèses!$V$15,Hypothèses!$X$15,IF(EE286&lt;=Hypothèses!$V$16,Hypothèses!$X$16,IF(EE286&lt;=Hypothèses!$U$17,Hypothèses!$W$17,IF(EE286&lt;=Hypothèses!$U$18,Hypothèses!$W$18,""))))))))))))</f>
        <v>#DIV/0!</v>
      </c>
      <c r="FB286" s="95" t="e">
        <f t="shared" ca="1" si="497"/>
        <v>#DIV/0!</v>
      </c>
      <c r="FC286" s="101">
        <f t="shared" si="530"/>
        <v>0</v>
      </c>
      <c r="FD286" s="91">
        <f t="shared" si="464"/>
        <v>0</v>
      </c>
      <c r="FE286" s="30" t="e">
        <f t="shared" si="514"/>
        <v>#N/A</v>
      </c>
      <c r="FF286" s="30" t="e">
        <f t="shared" si="515"/>
        <v>#N/A</v>
      </c>
      <c r="FG286" s="31" t="e">
        <f>IF(OR(Hypothèses!$B$4=17,Hypothèses!$B$4=18,Hypothèses!$B$4=19,Hypothèses!$B$4=20),
IF($D286="Pressio.",
IF(OR($E286=3,$E286=1,$E286=4),FF286,FE286),
IF($D286="Pénétro.",
IF(OR($E286=3,$E286=1,$E286=4),FF286,FE286))),IF($D286="Pressio.",
IF($E286=3,FF286,FE286),
IF($D286="Pénétro.",
IF($E286=4,FF286,FE286))))</f>
        <v>#N/A</v>
      </c>
      <c r="FH286" s="31">
        <v>0</v>
      </c>
      <c r="FI286" s="102" t="e">
        <f>IF(NDC!$H$10="Oui",(VLOOKUP($B$3,'Coeff EC7'!$T$39:$X$59,2,0)*FG286+VLOOKUP($B$3,'Coeff EC7'!$T$65:$X$85,2,0)*Model0.1T!FH286)/1.5,PI()*FE$12*$Q286*($B286-$B285)*0.15/10+FI285)</f>
        <v>#N/A</v>
      </c>
      <c r="FJ286" s="102" t="e">
        <f>(VLOOKUP($B$3,'Coeff EC7'!$T$39:$X$59,3,0)*FG286+VLOOKUP($B$3,'Coeff EC7'!$T$65:$X$85,3,0)*Model0.1T!FH286)/1.1</f>
        <v>#N/A</v>
      </c>
      <c r="FK286" s="102" t="e">
        <f t="shared" si="498"/>
        <v>#N/A</v>
      </c>
      <c r="FL286" s="102" t="e">
        <f t="shared" si="499"/>
        <v>#N/A</v>
      </c>
      <c r="FM286" s="414" t="e">
        <f>IF(AND(FI286&gt;NDC!$C$63,FJ286&gt;NDC!$C$65,FK286&gt;NDC!$D$73,FL286&gt;NDC!$D$74,$B286&gt;NDC!$H$22-0.1+MIN(3*FM$12,1.5)),0,1)</f>
        <v>#N/A</v>
      </c>
    </row>
    <row r="287" spans="1:169">
      <c r="A287" s="96">
        <f t="shared" si="465"/>
        <v>72.600000000001558</v>
      </c>
      <c r="B287" s="97">
        <v>27.4</v>
      </c>
      <c r="C287" s="81">
        <f>IF(B287&lt;=Hypothèses!$C$7,Hypothèses!$A$7,IF(B287&lt;=Hypothèses!$C$8,Hypothèses!$A$8,IF(B287&lt;=Hypothèses!$C$9,Hypothèses!$A$9,IF(B287&lt;=Hypothèses!$C$10,Hypothèses!$A$10,IF(B287&lt;=Hypothèses!$C$11,Hypothèses!$A$11,IF(B287&lt;=Hypothèses!$C$12,Hypothèses!$A$12,IF(B287&lt;=Hypothèses!$C$13,Hypothèses!$A$13,IF(B287&lt;=Hypothèses!$C$14,Hypothèses!$A$14,IF(B287&lt;=Hypothèses!$C$15,Hypothèses!$A$15,IF(B287&lt;=Hypothèses!$C$16,Hypothèses!$A$16,IF(B287&lt;=Hypothèses!$C$17,Hypothèses!$A$17,IF(B287&lt;=Hypothèses!$C$18,Hypothèses!$A$18,C286))))))))))))</f>
        <v>11</v>
      </c>
      <c r="D287" s="82" t="str">
        <f>IF(B287&lt;=Hypothèses!$C$7,Hypothèses!$R$7,IF(B287&lt;=Hypothèses!$C$8,Hypothèses!$R$8,IF(B287&lt;=Hypothèses!$C$9,Hypothèses!$R$9,IF(B287&lt;=Hypothèses!$C$10,Hypothèses!$R$10,IF(B287&lt;=Hypothèses!$C$11,Hypothèses!$R$11,IF(B287&lt;=Hypothèses!$C$12,Hypothèses!$R$12,IF(B287&lt;=Hypothèses!$C$13,Hypothèses!$R$13,IF(B287&lt;=Hypothèses!$C$14,Hypothèses!$R$14,IF(B287&lt;=Hypothèses!$C$15,Hypothèses!$R$15,IF(B287&lt;=Hypothèses!$C$16,Hypothèses!$R$16,IF(B287&lt;=Hypothèses!$C$17,Hypothèses!$R$17,IF(B287&lt;=Hypothèses!$C$18,Hypothèses!$R$18,D286))))))))))))</f>
        <v>Pressio.</v>
      </c>
      <c r="E287" s="82" t="e">
        <f>IF(B287&lt;=Hypothèses!$C$7,Hypothèses!$G$7,IF(B287&lt;=Hypothèses!$C$8,Hypothèses!$G$8,IF(B287&lt;=Hypothèses!$C$9,Hypothèses!$G$9,IF(B287&lt;=Hypothèses!$C$10,Hypothèses!$G$10,IF(B287&lt;=Hypothèses!$C$11,Hypothèses!$G$11,IF(B287&lt;=Hypothèses!$C$12,Hypothèses!$G$12,IF(B287&lt;=Hypothèses!$C$13,Hypothèses!$G$13,IF(B287&lt;=Hypothèses!$C$14,Hypothèses!$G$14,IF(B287&lt;=Hypothèses!$C$15,Hypothèses!$G$15,IF(B287&lt;=Hypothèses!$C$16,Hypothèses!$G$16,IF(B287&lt;=Hypothèses!$C$17,Hypothèses!$G$17,IF(B287&lt;=Hypothèses!$C$18,Hypothèses!$G$18,E286))))))))))))</f>
        <v>#N/A</v>
      </c>
      <c r="F287" s="82" t="str">
        <f>IF(B287&lt;=Hypothèses!$C$7,Hypothèses!$F$7,IF(B287&lt;=Hypothèses!$C$8,Hypothèses!$F$8,IF(B287&lt;=Hypothèses!$C$9,Hypothèses!$F$9,IF(B287&lt;=Hypothèses!$C$10,Hypothèses!$F$10,IF(B287&lt;=Hypothèses!$C$11,Hypothèses!$F$11,IF(B287&lt;=Hypothèses!$C$12,Hypothèses!$F$12,IF(B287&lt;=Hypothèses!$C$13,Hypothèses!$F$13,IF(B287&lt;=Hypothèses!$C$14,Hypothèses!$F$14,IF(B287&lt;=Hypothèses!$C$15,Hypothèses!$F$15,IF(B287&lt;=Hypothèses!$C$16,Hypothèses!$F$16,IF(B287&lt;=Hypothèses!$C$17,Hypothèses!$F$17,IF(B287&lt;=Hypothèses!$C$18,Hypothèses!$F$18,F286))))))))))))</f>
        <v/>
      </c>
      <c r="G287" s="91">
        <f t="array" ref="G287">INDEX('Coeff EC7'!$U$7:$X$27,
MATCH(Model0.1T!$B$3,'Coeff EC7'!$T$7:$T$27,0),
MATCH(Model0.1T!$D287&amp;Model0.1T!$B$4,
'Coeff EC7'!$U$6:$X$6&amp;
'Coeff EC7'!$U$5:$X$5,0))</f>
        <v>1.4</v>
      </c>
      <c r="H287" s="91">
        <f t="array" ref="H287">INDEX('Coeff EC7'!$Y$7:$AB$27,
MATCH(Model0.1T!$B$3,'Coeff EC7'!$T$7:$T$27,0),
MATCH(Model0.1T!$D287&amp;Model0.1T!$B$4,
'Coeff EC7'!$Y$6:$AB$6&amp;
'Coeff EC7'!$Y$5:$AB$5,0))</f>
        <v>1.7</v>
      </c>
      <c r="I287" s="83">
        <v>0</v>
      </c>
      <c r="J287" s="91" t="e">
        <f t="array" ref="J287">INDEX('Coeff EC7'!$D$33:$Q$33,1,MATCH(D287&amp;E287,'Coeff EC7'!$D$31:$Q$31&amp;'Coeff EC7'!$D$32:$Q$32,0))</f>
        <v>#N/A</v>
      </c>
      <c r="K287" s="91" t="e">
        <f t="array" ref="K287">INDEX('Coeff EC7'!$D$34:$Q$34,1,MATCH(D287&amp;E287,'Coeff EC7'!$D$31:$Q$31&amp;'Coeff EC7'!$D$32:$Q$32,0))</f>
        <v>#N/A</v>
      </c>
      <c r="L287" s="91" t="e">
        <f t="array" ref="L287">INDEX('Coeff EC7'!$D$35:$Q$35,1,MATCH(D287&amp;E287,'Coeff EC7'!$D$31:$Q$31&amp;'Coeff EC7'!$D$32:$Q$32,0))</f>
        <v>#N/A</v>
      </c>
      <c r="M287" s="98" t="e">
        <f t="shared" si="431"/>
        <v>#N/A</v>
      </c>
      <c r="N287" s="99" t="e">
        <f t="array" ref="N287">INDEX('Coeff EC7'!$D$7:$Q$27,MATCH($B$3,'Coeff EC7'!$C$7:$C$27,0),MATCH(D287&amp;E287,'Coeff EC7'!$D$5:$Q$5&amp;'Coeff EC7'!$D$6:$Q$6,0))</f>
        <v>#N/A</v>
      </c>
      <c r="O287" s="99" t="e">
        <f t="array" ref="O287">INDEX('Coeff EC7'!$D$41:$Q$61,MATCH($B$3,'Coeff EC7'!$C$41:$C$61,0),MATCH(D287&amp;E287,'Coeff EC7'!$D$39:$Q$39&amp;'Coeff EC7'!$D$40:$Q$40,0))</f>
        <v>#N/A</v>
      </c>
      <c r="P287" s="30" t="e">
        <f t="shared" si="466"/>
        <v>#N/A</v>
      </c>
      <c r="Q287" s="100" t="e">
        <f t="shared" si="433"/>
        <v>#N/A</v>
      </c>
      <c r="R287" s="86" t="b">
        <f t="shared" si="434"/>
        <v>0</v>
      </c>
      <c r="S287" s="86">
        <f t="shared" si="432"/>
        <v>0.5</v>
      </c>
      <c r="T287" s="86">
        <f t="shared" si="435"/>
        <v>0.5</v>
      </c>
      <c r="U287" s="30" t="e">
        <f t="shared" ca="1" si="467"/>
        <v>#DIV/0!</v>
      </c>
      <c r="V287" s="85" t="str">
        <f>IF(B287&lt;=Hypothèses!$V$7,Hypothèses!$W$7,IF(B287&lt;=Hypothèses!$V$8,Hypothèses!$W$8,IF(B287&lt;=Hypothèses!$V$9,Hypothèses!$W$9,IF(B287&lt;=Hypothèses!$V$10,Hypothèses!$W$10,IF(B287&lt;=Hypothèses!$V$11,Hypothèses!$W$11,IF(B287&lt;=Hypothèses!$V$12,Hypothèses!$W$12,IF(B287&lt;=Hypothèses!$V$13,Hypothèses!$W$13,IF(B287&lt;=Hypothèses!$V$14,Hypothèses!$W$14,IF(B287&lt;=Hypothèses!$V$15,Hypothèses!$W$15,IF(B287&lt;=Hypothèses!$V$16,Hypothèses!$W$16,IF(B287&lt;=Hypothèses!$V$17,Hypothèses!$W$17,IF(B287&lt;=Hypothèses!$V$18,Hypothèses!$W$18,""))))))))))))</f>
        <v/>
      </c>
      <c r="W287" s="87" t="e">
        <f t="shared" ca="1" si="516"/>
        <v>#DIV/0!</v>
      </c>
      <c r="X287" s="88" t="str">
        <f>IF(B287&lt;=Hypothèses!$V$7,Hypothèses!$X$7,IF(B287&lt;=Hypothèses!$V$8,Hypothèses!$X$8,IF(B287&lt;=Hypothèses!$V$9,Hypothèses!$X$9,IF(B287&lt;=Hypothèses!$V$10,Hypothèses!$X$10,IF(B287&lt;=Hypothèses!$V$11,Hypothèses!$X$11,IF(B287&lt;=Hypothèses!$V$12,Hypothèses!$X$12,IF(B287&lt;=Hypothèses!$V$13,Hypothèses!$X$13,IF(B287&lt;=Hypothèses!$V$14,Hypothèses!$X$14,IF(B287&lt;=Hypothèses!$V$15,Hypothèses!$X$15,IF(B287&lt;=Hypothèses!$V$16,Hypothèses!$X$16,IF(B287&lt;=Hypothèses!$U$17,Hypothèses!$W$17,IF(B287&lt;=Hypothèses!$U$18,Hypothèses!$W$18,""))))))))))))</f>
        <v/>
      </c>
      <c r="Y287" s="95" t="e">
        <f t="shared" ca="1" si="436"/>
        <v>#DIV/0!</v>
      </c>
      <c r="Z287" s="101">
        <f t="shared" si="437"/>
        <v>0</v>
      </c>
      <c r="AA287" s="91">
        <f t="shared" si="438"/>
        <v>0</v>
      </c>
      <c r="AB287" s="30" t="e">
        <f t="shared" si="500"/>
        <v>#N/A</v>
      </c>
      <c r="AC287" s="30" t="e">
        <f t="shared" si="501"/>
        <v>#N/A</v>
      </c>
      <c r="AD287" s="31" t="e">
        <f>IF(OR(Hypothèses!$B$4=17,Hypothèses!$B$4=18,Hypothèses!$B$4=19,Hypothèses!$B$4=20),
IF($D287="Pressio.",
IF(OR($E287=3,$E287=1,$E287=4),AC287,AB287),
IF($D287="Pénétro.",
IF(OR($E287=3,$E287=1,$E287=4),AC287,AB287))),IF($D287="Pressio.",
IF($E287=3,AC287,AB287),
IF($D287="Pénétro.",
IF($E287=4,AC287,AB287))))</f>
        <v>#N/A</v>
      </c>
      <c r="AE287" s="31">
        <v>0</v>
      </c>
      <c r="AF287" s="102" t="e">
        <f>IF(NDC!$H$10="Oui",(VLOOKUP($B$3,'Coeff EC7'!$T$39:$X$59,2,0)*AD287+VLOOKUP($B$3,'Coeff EC7'!$T$65:$X$85,2,0)*Model0.1T!AE287)/1.5,PI()*AB$12*$Q287*($B287-$B286)*0.15/10+AF286)</f>
        <v>#N/A</v>
      </c>
      <c r="AG287" s="102" t="e">
        <f>(VLOOKUP($B$3,'Coeff EC7'!$T$39:$X$59,3,0)*AD287+VLOOKUP($B$3,'Coeff EC7'!$T$65:$X$85,3,0)*Model0.1T!AE287)/1.1</f>
        <v>#N/A</v>
      </c>
      <c r="AH287" s="102" t="e">
        <f t="shared" si="468"/>
        <v>#N/A</v>
      </c>
      <c r="AI287" s="102" t="e">
        <f t="shared" si="469"/>
        <v>#N/A</v>
      </c>
      <c r="AJ287" s="414" t="e">
        <f>IF(AND(AF287&gt;NDC!$C$63,AG287&gt;NDC!$C$65,AH287&gt;NDC!$D$73,AI287&gt;NDC!$D$74,$B287&gt;NDC!$H$22-0.1+MIN(3*$AJ$12,1.5)),0,1)</f>
        <v>#N/A</v>
      </c>
      <c r="AK287" s="86" t="b">
        <f t="shared" si="439"/>
        <v>0</v>
      </c>
      <c r="AL287" s="86">
        <f t="shared" si="470"/>
        <v>0.5</v>
      </c>
      <c r="AM287" s="86">
        <f t="shared" si="440"/>
        <v>0.5</v>
      </c>
      <c r="AN287" s="30" t="e">
        <f t="shared" ca="1" si="471"/>
        <v>#DIV/0!</v>
      </c>
      <c r="AO287" s="85" t="e">
        <f ca="1">IF(U287&lt;=Hypothèses!$V$7,Hypothèses!$W$7,IF(U287&lt;=Hypothèses!$V$8,Hypothèses!$W$8,IF(U287&lt;=Hypothèses!$V$9,Hypothèses!$W$9,IF(U287&lt;=Hypothèses!$V$10,Hypothèses!$W$10,IF(U287&lt;=Hypothèses!$V$11,Hypothèses!$W$11,IF(U287&lt;=Hypothèses!$V$12,Hypothèses!$W$12,IF(U287&lt;=Hypothèses!$V$13,Hypothèses!$W$13,IF(U287&lt;=Hypothèses!$V$14,Hypothèses!$W$14,IF(U287&lt;=Hypothèses!$V$15,Hypothèses!$W$15,IF(U287&lt;=Hypothèses!$V$16,Hypothèses!$W$16,IF(U287&lt;=Hypothèses!$V$17,Hypothèses!$W$17,IF(U287&lt;=Hypothèses!$V$18,Hypothèses!$W$18,""))))))))))))</f>
        <v>#DIV/0!</v>
      </c>
      <c r="AP287" s="87" t="e">
        <f t="shared" ca="1" si="517"/>
        <v>#DIV/0!</v>
      </c>
      <c r="AQ287" s="88" t="e">
        <f ca="1">IF(U287&lt;=Hypothèses!$V$7,Hypothèses!$X$7,IF(U287&lt;=Hypothèses!$V$8,Hypothèses!$X$8,IF(U287&lt;=Hypothèses!$V$9,Hypothèses!$X$9,IF(U287&lt;=Hypothèses!$V$10,Hypothèses!$X$10,IF(U287&lt;=Hypothèses!$V$11,Hypothèses!$X$11,IF(U287&lt;=Hypothèses!$V$12,Hypothèses!$X$12,IF(U287&lt;=Hypothèses!$V$13,Hypothèses!$X$13,IF(U287&lt;=Hypothèses!$V$14,Hypothèses!$X$14,IF(U287&lt;=Hypothèses!$V$15,Hypothèses!$X$15,IF(U287&lt;=Hypothèses!$V$16,Hypothèses!$X$16,IF(U287&lt;=Hypothèses!$U$17,Hypothèses!$W$17,IF(U287&lt;=Hypothèses!$U$18,Hypothèses!$W$18,""))))))))))))</f>
        <v>#DIV/0!</v>
      </c>
      <c r="AR287" s="95" t="e">
        <f t="shared" ca="1" si="472"/>
        <v>#DIV/0!</v>
      </c>
      <c r="AS287" s="101">
        <f t="shared" si="524"/>
        <v>0</v>
      </c>
      <c r="AT287" s="91">
        <f t="shared" si="441"/>
        <v>0</v>
      </c>
      <c r="AU287" s="30" t="e">
        <f t="shared" si="502"/>
        <v>#N/A</v>
      </c>
      <c r="AV287" s="30" t="e">
        <f t="shared" si="503"/>
        <v>#N/A</v>
      </c>
      <c r="AW287" s="31" t="e">
        <f>IF(OR(Hypothèses!$B$4=17,Hypothèses!$B$4=18,Hypothèses!$B$4=19,Hypothèses!$B$4=20),
IF($D287="Pressio.",
IF(OR($E287=3,$E287=1,$E287=4),AV287,AU287),
IF($D287="Pénétro.",
IF(OR($E287=3,$E287=1,$E287=4),AV287,AU287))),IF($D287="Pressio.",
IF($E287=3,AV287,AU287),
IF($D287="Pénétro.",
IF($E287=4,AV287,AU287))))</f>
        <v>#N/A</v>
      </c>
      <c r="AX287" s="31">
        <v>0</v>
      </c>
      <c r="AY287" s="102" t="e">
        <f>IF(NDC!$H$10="Oui",(VLOOKUP($B$3,'Coeff EC7'!$T$39:$X$59,2,0)*AW287+VLOOKUP($B$3,'Coeff EC7'!$T$65:$X$85,2,0)*Model0.1T!AX287)/1.5,PI()*AU$12*$Q287*($B287-$B286)*0.15/10+AY286)</f>
        <v>#N/A</v>
      </c>
      <c r="AZ287" s="102" t="e">
        <f>(VLOOKUP($B$3,'Coeff EC7'!$T$39:$X$59,3,0)*AW287+VLOOKUP($B$3,'Coeff EC7'!$T$65:$X$85,3,0)*Model0.1T!AX287)/1.1</f>
        <v>#N/A</v>
      </c>
      <c r="BA287" s="102" t="e">
        <f t="shared" si="473"/>
        <v>#N/A</v>
      </c>
      <c r="BB287" s="102" t="e">
        <f t="shared" si="474"/>
        <v>#N/A</v>
      </c>
      <c r="BC287" s="414" t="e">
        <f>IF(AND(AY287&gt;NDC!$C$63,AZ287&gt;NDC!$C$65,BA287&gt;NDC!$D$73,BB287&gt;NDC!$D$74,$B287&gt;NDC!$H$22-0.1+MIN(3*BC$12,1.5)),0,1)</f>
        <v>#N/A</v>
      </c>
      <c r="BD287" s="86" t="b">
        <f t="shared" si="442"/>
        <v>0</v>
      </c>
      <c r="BE287" s="86">
        <f t="shared" si="475"/>
        <v>0.5</v>
      </c>
      <c r="BF287" s="86">
        <f t="shared" si="443"/>
        <v>0.5</v>
      </c>
      <c r="BG287" s="30" t="e">
        <f t="shared" ca="1" si="476"/>
        <v>#DIV/0!</v>
      </c>
      <c r="BH287" s="85" t="e">
        <f ca="1">IF(AN287&lt;=Hypothèses!$V$7,Hypothèses!$W$7,IF(AN287&lt;=Hypothèses!$V$8,Hypothèses!$W$8,IF(AN287&lt;=Hypothèses!$V$9,Hypothèses!$W$9,IF(AN287&lt;=Hypothèses!$V$10,Hypothèses!$W$10,IF(AN287&lt;=Hypothèses!$V$11,Hypothèses!$W$11,IF(AN287&lt;=Hypothèses!$V$12,Hypothèses!$W$12,IF(AN287&lt;=Hypothèses!$V$13,Hypothèses!$W$13,IF(AN287&lt;=Hypothèses!$V$14,Hypothèses!$W$14,IF(AN287&lt;=Hypothèses!$V$15,Hypothèses!$W$15,IF(AN287&lt;=Hypothèses!$V$16,Hypothèses!$W$16,IF(AN287&lt;=Hypothèses!$V$17,Hypothèses!$W$17,IF(AN287&lt;=Hypothèses!$V$18,Hypothèses!$W$18,""))))))))))))</f>
        <v>#DIV/0!</v>
      </c>
      <c r="BI287" s="87" t="e">
        <f t="shared" ca="1" si="518"/>
        <v>#DIV/0!</v>
      </c>
      <c r="BJ287" s="88" t="e">
        <f ca="1">IF(AN287&lt;=Hypothèses!$V$7,Hypothèses!$X$7,IF(AN287&lt;=Hypothèses!$V$8,Hypothèses!$X$8,IF(AN287&lt;=Hypothèses!$V$9,Hypothèses!$X$9,IF(AN287&lt;=Hypothèses!$V$10,Hypothèses!$X$10,IF(AN287&lt;=Hypothèses!$V$11,Hypothèses!$X$11,IF(AN287&lt;=Hypothèses!$V$12,Hypothèses!$X$12,IF(AN287&lt;=Hypothèses!$V$13,Hypothèses!$X$13,IF(AN287&lt;=Hypothèses!$V$14,Hypothèses!$X$14,IF(AN287&lt;=Hypothèses!$V$15,Hypothèses!$X$15,IF(AN287&lt;=Hypothèses!$V$16,Hypothèses!$X$16,IF(AN287&lt;=Hypothèses!$U$17,Hypothèses!$W$17,IF(AN287&lt;=Hypothèses!$U$18,Hypothèses!$W$18,""))))))))))))</f>
        <v>#DIV/0!</v>
      </c>
      <c r="BK287" s="95" t="e">
        <f t="shared" ca="1" si="477"/>
        <v>#DIV/0!</v>
      </c>
      <c r="BL287" s="101">
        <f t="shared" si="525"/>
        <v>0</v>
      </c>
      <c r="BM287" s="91">
        <f t="shared" si="444"/>
        <v>0</v>
      </c>
      <c r="BN287" s="30" t="e">
        <f t="shared" si="504"/>
        <v>#N/A</v>
      </c>
      <c r="BO287" s="30" t="e">
        <f t="shared" si="505"/>
        <v>#N/A</v>
      </c>
      <c r="BP287" s="31" t="e">
        <f>IF(OR(Hypothèses!$B$4=17,Hypothèses!$B$4=18,Hypothèses!$B$4=19,Hypothèses!$B$4=20),
IF($D287="Pressio.",
IF(OR($E287=3,$E287=1,$E287=4),BO287,BN287),
IF($D287="Pénétro.",
IF(OR($E287=3,$E287=1,$E287=4),BO287,BN287))),IF($D287="Pressio.",
IF($E287=3,BO287,BN287),
IF($D287="Pénétro.",
IF($E287=4,BO287,BN287))))</f>
        <v>#N/A</v>
      </c>
      <c r="BQ287" s="31">
        <v>0</v>
      </c>
      <c r="BR287" s="102" t="e">
        <f>IF(NDC!$H$10="Oui",(VLOOKUP($B$3,'Coeff EC7'!$T$39:$X$59,2,0)*BP287+VLOOKUP($B$3,'Coeff EC7'!$T$65:$X$85,2,0)*Model0.1T!BQ287)/1.5,PI()*BN$12*$Q287*($B287-$B286)*0.15/10+BR286)</f>
        <v>#N/A</v>
      </c>
      <c r="BS287" s="102" t="e">
        <f>(VLOOKUP($B$3,'Coeff EC7'!$T$39:$X$59,3,0)*BP287+VLOOKUP($B$3,'Coeff EC7'!$T$65:$X$85,3,0)*Model0.1T!BQ287)/1.1</f>
        <v>#N/A</v>
      </c>
      <c r="BT287" s="102" t="e">
        <f t="shared" si="478"/>
        <v>#N/A</v>
      </c>
      <c r="BU287" s="102" t="e">
        <f t="shared" si="479"/>
        <v>#N/A</v>
      </c>
      <c r="BV287" s="414" t="e">
        <f>IF(AND(BR287&gt;NDC!$C$63,BS287&gt;NDC!$C$65,BT287&gt;NDC!$D$73,BU287&gt;NDC!$D$74,$B287&gt;NDC!$H$22-0.1+MIN(3*BV$12,1.5)),0,1)</f>
        <v>#N/A</v>
      </c>
      <c r="BW287" s="86" t="b">
        <f t="shared" si="445"/>
        <v>0</v>
      </c>
      <c r="BX287" s="86">
        <f t="shared" si="446"/>
        <v>0.5</v>
      </c>
      <c r="BY287" s="86">
        <f t="shared" si="447"/>
        <v>0.5</v>
      </c>
      <c r="BZ287" s="30" t="e">
        <f t="shared" ca="1" si="480"/>
        <v>#DIV/0!</v>
      </c>
      <c r="CA287" s="85" t="e">
        <f ca="1">IF(BG287&lt;=Hypothèses!$V$7,Hypothèses!$W$7,IF(BG287&lt;=Hypothèses!$V$8,Hypothèses!$W$8,IF(BG287&lt;=Hypothèses!$V$9,Hypothèses!$W$9,IF(BG287&lt;=Hypothèses!$V$10,Hypothèses!$W$10,IF(BG287&lt;=Hypothèses!$V$11,Hypothèses!$W$11,IF(BG287&lt;=Hypothèses!$V$12,Hypothèses!$W$12,IF(BG287&lt;=Hypothèses!$V$13,Hypothèses!$W$13,IF(BG287&lt;=Hypothèses!$V$14,Hypothèses!$W$14,IF(BG287&lt;=Hypothèses!$V$15,Hypothèses!$W$15,IF(BG287&lt;=Hypothèses!$V$16,Hypothèses!$W$16,IF(BG287&lt;=Hypothèses!$V$17,Hypothèses!$W$17,IF(BG287&lt;=Hypothèses!$V$18,Hypothèses!$W$18,""))))))))))))</f>
        <v>#DIV/0!</v>
      </c>
      <c r="CB287" s="87" t="e">
        <f t="shared" ca="1" si="519"/>
        <v>#DIV/0!</v>
      </c>
      <c r="CC287" s="88" t="e">
        <f ca="1">IF(BG287&lt;=Hypothèses!$V$7,Hypothèses!$X$7,IF(BG287&lt;=Hypothèses!$V$8,Hypothèses!$X$8,IF(BG287&lt;=Hypothèses!$V$9,Hypothèses!$X$9,IF(BG287&lt;=Hypothèses!$V$10,Hypothèses!$X$10,IF(BG287&lt;=Hypothèses!$V$11,Hypothèses!$X$11,IF(BG287&lt;=Hypothèses!$V$12,Hypothèses!$X$12,IF(BG287&lt;=Hypothèses!$V$13,Hypothèses!$X$13,IF(BG287&lt;=Hypothèses!$V$14,Hypothèses!$X$14,IF(BG287&lt;=Hypothèses!$V$15,Hypothèses!$X$15,IF(BG287&lt;=Hypothèses!$V$16,Hypothèses!$X$16,IF(BG287&lt;=Hypothèses!$U$17,Hypothèses!$W$17,IF(BG287&lt;=Hypothèses!$U$18,Hypothèses!$W$18,""))))))))))))</f>
        <v>#DIV/0!</v>
      </c>
      <c r="CD287" s="95" t="e">
        <f t="shared" ca="1" si="481"/>
        <v>#DIV/0!</v>
      </c>
      <c r="CE287" s="101">
        <f t="shared" si="526"/>
        <v>0</v>
      </c>
      <c r="CF287" s="91">
        <f t="shared" si="448"/>
        <v>0</v>
      </c>
      <c r="CG287" s="30" t="e">
        <f t="shared" si="506"/>
        <v>#N/A</v>
      </c>
      <c r="CH287" s="30" t="e">
        <f t="shared" si="507"/>
        <v>#N/A</v>
      </c>
      <c r="CI287" s="31" t="e">
        <f>IF(OR(Hypothèses!$B$4=17,Hypothèses!$B$4=18,Hypothèses!$B$4=19,Hypothèses!$B$4=20),
IF($D287="Pressio.",
IF(OR($E287=3,$E287=1,$E287=4),CH287,CG287),
IF($D287="Pénétro.",
IF(OR($E287=3,$E287=1,$E287=4),CH287,CG287))),IF($D287="Pressio.",
IF($E287=3,CH287,CG287),
IF($D287="Pénétro.",
IF($E287=4,CH287,CG287))))</f>
        <v>#N/A</v>
      </c>
      <c r="CJ287" s="31">
        <v>0</v>
      </c>
      <c r="CK287" s="102" t="e">
        <f>IF(NDC!$H$10="Oui",(VLOOKUP($B$3,'Coeff EC7'!$T$39:$X$59,2,0)*CI287+VLOOKUP($B$3,'Coeff EC7'!$T$65:$X$85,2,0)*Model0.1T!CJ287)/1.5,PI()*CG$12*$Q287*($B287-$B286)*0.15/10+CK286)</f>
        <v>#N/A</v>
      </c>
      <c r="CL287" s="102" t="e">
        <f>(VLOOKUP($B$3,'Coeff EC7'!$T$39:$X$59,3,0)*CI287+VLOOKUP($B$3,'Coeff EC7'!$T$65:$X$85,3,0)*Model0.1T!CJ287)/1.1</f>
        <v>#N/A</v>
      </c>
      <c r="CM287" s="102" t="e">
        <f t="shared" si="482"/>
        <v>#N/A</v>
      </c>
      <c r="CN287" s="102" t="e">
        <f t="shared" si="483"/>
        <v>#N/A</v>
      </c>
      <c r="CO287" s="414" t="e">
        <f>IF(AND(CK287&gt;NDC!$C$63,CL287&gt;NDC!$C$65,CM287&gt;NDC!$D$73,CN287&gt;NDC!$D$74,$B287&gt;NDC!$H$22-0.1+MIN(3*CO$12,1.5)),0,1)</f>
        <v>#N/A</v>
      </c>
      <c r="CP287" s="86" t="b">
        <f t="shared" si="449"/>
        <v>0</v>
      </c>
      <c r="CQ287" s="86">
        <f t="shared" si="450"/>
        <v>0.5</v>
      </c>
      <c r="CR287" s="86">
        <f t="shared" si="451"/>
        <v>0.5</v>
      </c>
      <c r="CS287" s="30" t="e">
        <f t="shared" ca="1" si="484"/>
        <v>#DIV/0!</v>
      </c>
      <c r="CT287" s="85" t="e">
        <f ca="1">IF(BZ287&lt;=Hypothèses!$V$7,Hypothèses!$W$7,IF(BZ287&lt;=Hypothèses!$V$8,Hypothèses!$W$8,IF(BZ287&lt;=Hypothèses!$V$9,Hypothèses!$W$9,IF(BZ287&lt;=Hypothèses!$V$10,Hypothèses!$W$10,IF(BZ287&lt;=Hypothèses!$V$11,Hypothèses!$W$11,IF(BZ287&lt;=Hypothèses!$V$12,Hypothèses!$W$12,IF(BZ287&lt;=Hypothèses!$V$13,Hypothèses!$W$13,IF(BZ287&lt;=Hypothèses!$V$14,Hypothèses!$W$14,IF(BZ287&lt;=Hypothèses!$V$15,Hypothèses!$W$15,IF(BZ287&lt;=Hypothèses!$V$16,Hypothèses!$W$16,IF(BZ287&lt;=Hypothèses!$V$17,Hypothèses!$W$17,IF(BZ287&lt;=Hypothèses!$V$18,Hypothèses!$W$18,""))))))))))))</f>
        <v>#DIV/0!</v>
      </c>
      <c r="CU287" s="87" t="e">
        <f t="shared" ca="1" si="520"/>
        <v>#DIV/0!</v>
      </c>
      <c r="CV287" s="88" t="e">
        <f ca="1">IF(BZ287&lt;=Hypothèses!$V$7,Hypothèses!$X$7,IF(BZ287&lt;=Hypothèses!$V$8,Hypothèses!$X$8,IF(BZ287&lt;=Hypothèses!$V$9,Hypothèses!$X$9,IF(BZ287&lt;=Hypothèses!$V$10,Hypothèses!$X$10,IF(BZ287&lt;=Hypothèses!$V$11,Hypothèses!$X$11,IF(BZ287&lt;=Hypothèses!$V$12,Hypothèses!$X$12,IF(BZ287&lt;=Hypothèses!$V$13,Hypothèses!$X$13,IF(BZ287&lt;=Hypothèses!$V$14,Hypothèses!$X$14,IF(BZ287&lt;=Hypothèses!$V$15,Hypothèses!$X$15,IF(BZ287&lt;=Hypothèses!$V$16,Hypothèses!$X$16,IF(BZ287&lt;=Hypothèses!$U$17,Hypothèses!$W$17,IF(BZ287&lt;=Hypothèses!$U$18,Hypothèses!$W$18,""))))))))))))</f>
        <v>#DIV/0!</v>
      </c>
      <c r="CW287" s="95" t="e">
        <f t="shared" ca="1" si="485"/>
        <v>#DIV/0!</v>
      </c>
      <c r="CX287" s="101">
        <f t="shared" si="527"/>
        <v>0</v>
      </c>
      <c r="CY287" s="91">
        <f t="shared" si="452"/>
        <v>0</v>
      </c>
      <c r="CZ287" s="30" t="e">
        <f t="shared" si="508"/>
        <v>#N/A</v>
      </c>
      <c r="DA287" s="30" t="e">
        <f t="shared" si="509"/>
        <v>#N/A</v>
      </c>
      <c r="DB287" s="31" t="e">
        <f>IF(OR(Hypothèses!$B$4=17,Hypothèses!$B$4=18,Hypothèses!$B$4=19,Hypothèses!$B$4=20),
IF($D287="Pressio.",
IF(OR($E287=3,$E287=1,$E287=4),DA287,CZ287),
IF($D287="Pénétro.",
IF(OR($E287=3,$E287=1,$E287=4),DA287,CZ287))),IF($D287="Pressio.",
IF($E287=3,DA287,CZ287),
IF($D287="Pénétro.",
IF($E287=4,DA287,CZ287))))</f>
        <v>#N/A</v>
      </c>
      <c r="DC287" s="31">
        <v>0</v>
      </c>
      <c r="DD287" s="102" t="e">
        <f>IF(NDC!$H$10="Oui",(VLOOKUP($B$3,'Coeff EC7'!$T$39:$X$59,2,0)*DB287+VLOOKUP($B$3,'Coeff EC7'!$T$65:$X$85,2,0)*Model0.1T!DC287)/1.5,PI()*CZ$12*$Q287*($B287-$B286)*0.15/10+DD286)</f>
        <v>#N/A</v>
      </c>
      <c r="DE287" s="102" t="e">
        <f>(VLOOKUP($B$3,'Coeff EC7'!$T$39:$X$59,3,0)*DB287+VLOOKUP($B$3,'Coeff EC7'!$T$65:$X$85,3,0)*Model0.1T!DC287)/1.1</f>
        <v>#N/A</v>
      </c>
      <c r="DF287" s="102" t="e">
        <f t="shared" si="486"/>
        <v>#N/A</v>
      </c>
      <c r="DG287" s="102" t="e">
        <f t="shared" si="487"/>
        <v>#N/A</v>
      </c>
      <c r="DH287" s="414" t="e">
        <f>IF(AND(DD287&gt;NDC!$C$63,DE287&gt;NDC!$C$65,DF287&gt;NDC!$D$73,DG287&gt;NDC!$D$74,$B287&gt;NDC!$H$22-0.1+MIN(3*DH$12,1.5)),0,1)</f>
        <v>#N/A</v>
      </c>
      <c r="DI287" s="86" t="b">
        <f t="shared" si="453"/>
        <v>0</v>
      </c>
      <c r="DJ287" s="86">
        <f t="shared" si="454"/>
        <v>0.5</v>
      </c>
      <c r="DK287" s="86">
        <f t="shared" si="455"/>
        <v>0.5</v>
      </c>
      <c r="DL287" s="30" t="e">
        <f t="shared" ca="1" si="488"/>
        <v>#DIV/0!</v>
      </c>
      <c r="DM287" s="85" t="e">
        <f ca="1">IF(CS287&lt;=Hypothèses!$V$7,Hypothèses!$W$7,IF(CS287&lt;=Hypothèses!$V$8,Hypothèses!$W$8,IF(CS287&lt;=Hypothèses!$V$9,Hypothèses!$W$9,IF(CS287&lt;=Hypothèses!$V$10,Hypothèses!$W$10,IF(CS287&lt;=Hypothèses!$V$11,Hypothèses!$W$11,IF(CS287&lt;=Hypothèses!$V$12,Hypothèses!$W$12,IF(CS287&lt;=Hypothèses!$V$13,Hypothèses!$W$13,IF(CS287&lt;=Hypothèses!$V$14,Hypothèses!$W$14,IF(CS287&lt;=Hypothèses!$V$15,Hypothèses!$W$15,IF(CS287&lt;=Hypothèses!$V$16,Hypothèses!$W$16,IF(CS287&lt;=Hypothèses!$V$17,Hypothèses!$W$17,IF(CS287&lt;=Hypothèses!$V$18,Hypothèses!$W$18,""))))))))))))</f>
        <v>#DIV/0!</v>
      </c>
      <c r="DN287" s="87" t="e">
        <f t="shared" ca="1" si="521"/>
        <v>#DIV/0!</v>
      </c>
      <c r="DO287" s="88" t="e">
        <f ca="1">IF(CS287&lt;=Hypothèses!$V$7,Hypothèses!$X$7,IF(CS287&lt;=Hypothèses!$V$8,Hypothèses!$X$8,IF(CS287&lt;=Hypothèses!$V$9,Hypothèses!$X$9,IF(CS287&lt;=Hypothèses!$V$10,Hypothèses!$X$10,IF(CS287&lt;=Hypothèses!$V$11,Hypothèses!$X$11,IF(CS287&lt;=Hypothèses!$V$12,Hypothèses!$X$12,IF(CS287&lt;=Hypothèses!$V$13,Hypothèses!$X$13,IF(CS287&lt;=Hypothèses!$V$14,Hypothèses!$X$14,IF(CS287&lt;=Hypothèses!$V$15,Hypothèses!$X$15,IF(CS287&lt;=Hypothèses!$V$16,Hypothèses!$X$16,IF(CS287&lt;=Hypothèses!$U$17,Hypothèses!$W$17,IF(CS287&lt;=Hypothèses!$U$18,Hypothèses!$W$18,""))))))))))))</f>
        <v>#DIV/0!</v>
      </c>
      <c r="DP287" s="95" t="e">
        <f t="shared" ca="1" si="489"/>
        <v>#DIV/0!</v>
      </c>
      <c r="DQ287" s="101">
        <f t="shared" si="528"/>
        <v>0</v>
      </c>
      <c r="DR287" s="91">
        <f t="shared" si="456"/>
        <v>0</v>
      </c>
      <c r="DS287" s="30" t="e">
        <f t="shared" si="510"/>
        <v>#N/A</v>
      </c>
      <c r="DT287" s="30" t="e">
        <f t="shared" si="511"/>
        <v>#N/A</v>
      </c>
      <c r="DU287" s="31" t="e">
        <f>IF(OR(Hypothèses!$B$4=17,Hypothèses!$B$4=18,Hypothèses!$B$4=19,Hypothèses!$B$4=20),
IF($D287="Pressio.",
IF(OR($E287=3,$E287=1,$E287=4),DT287,DS287),
IF($D287="Pénétro.",
IF(OR($E287=3,$E287=1,$E287=4),DT287,DS287))),IF($D287="Pressio.",
IF($E287=3,DT287,DS287),
IF($D287="Pénétro.",
IF($E287=4,DT287,DS287))))</f>
        <v>#N/A</v>
      </c>
      <c r="DV287" s="31">
        <v>0</v>
      </c>
      <c r="DW287" s="102" t="e">
        <f>IF(NDC!$H$10="Oui",(VLOOKUP($B$3,'Coeff EC7'!$T$39:$X$59,2,0)*DU287+VLOOKUP($B$3,'Coeff EC7'!$T$65:$X$85,2,0)*Model0.1T!DV287)/1.5,PI()*DS$12*$Q287*($B287-$B286)*0.15/10+DW286)</f>
        <v>#N/A</v>
      </c>
      <c r="DX287" s="102" t="e">
        <f>(VLOOKUP($B$3,'Coeff EC7'!$T$39:$X$59,3,0)*DU287+VLOOKUP($B$3,'Coeff EC7'!$T$65:$X$85,3,0)*Model0.1T!DV287)/1.1</f>
        <v>#N/A</v>
      </c>
      <c r="DY287" s="102" t="e">
        <f t="shared" si="490"/>
        <v>#N/A</v>
      </c>
      <c r="DZ287" s="102" t="e">
        <f t="shared" si="491"/>
        <v>#N/A</v>
      </c>
      <c r="EA287" s="414" t="e">
        <f>IF(AND(DW287&gt;NDC!$C$63,DX287&gt;NDC!$C$65,DY287&gt;NDC!$D$73,DZ287&gt;NDC!$D$74,$B287&gt;NDC!$H$22-0.1+MIN(3*EA$12,1.5)),0,1)</f>
        <v>#N/A</v>
      </c>
      <c r="EB287" s="86" t="b">
        <f t="shared" si="457"/>
        <v>0</v>
      </c>
      <c r="EC287" s="418">
        <f t="shared" si="458"/>
        <v>0.51</v>
      </c>
      <c r="ED287" s="86">
        <f t="shared" si="459"/>
        <v>0.51</v>
      </c>
      <c r="EE287" s="30" t="e">
        <f t="shared" ca="1" si="492"/>
        <v>#DIV/0!</v>
      </c>
      <c r="EF287" s="85" t="e">
        <f ca="1">IF(DL287&lt;=Hypothèses!$V$7,Hypothèses!$W$7,IF(DL287&lt;=Hypothèses!$V$8,Hypothèses!$W$8,IF(DL287&lt;=Hypothèses!$V$9,Hypothèses!$W$9,IF(DL287&lt;=Hypothèses!$V$10,Hypothèses!$W$10,IF(DL287&lt;=Hypothèses!$V$11,Hypothèses!$W$11,IF(DL287&lt;=Hypothèses!$V$12,Hypothèses!$W$12,IF(DL287&lt;=Hypothèses!$V$13,Hypothèses!$W$13,IF(DL287&lt;=Hypothèses!$V$14,Hypothèses!$W$14,IF(DL287&lt;=Hypothèses!$V$15,Hypothèses!$W$15,IF(DL287&lt;=Hypothèses!$V$16,Hypothèses!$W$16,IF(DL287&lt;=Hypothèses!$V$17,Hypothèses!$W$17,IF(DL287&lt;=Hypothèses!$V$18,Hypothèses!$W$18,""))))))))))))</f>
        <v>#DIV/0!</v>
      </c>
      <c r="EG287" s="87" t="e">
        <f t="shared" ca="1" si="522"/>
        <v>#DIV/0!</v>
      </c>
      <c r="EH287" s="88" t="e">
        <f ca="1">IF(DL287&lt;=Hypothèses!$V$7,Hypothèses!$X$7,IF(DL287&lt;=Hypothèses!$V$8,Hypothèses!$X$8,IF(DL287&lt;=Hypothèses!$V$9,Hypothèses!$X$9,IF(DL287&lt;=Hypothèses!$V$10,Hypothèses!$X$10,IF(DL287&lt;=Hypothèses!$V$11,Hypothèses!$X$11,IF(DL287&lt;=Hypothèses!$V$12,Hypothèses!$X$12,IF(DL287&lt;=Hypothèses!$V$13,Hypothèses!$X$13,IF(DL287&lt;=Hypothèses!$V$14,Hypothèses!$X$14,IF(DL287&lt;=Hypothèses!$V$15,Hypothèses!$X$15,IF(DL287&lt;=Hypothèses!$V$16,Hypothèses!$X$16,IF(DL287&lt;=Hypothèses!$U$17,Hypothèses!$W$17,IF(DL287&lt;=Hypothèses!$U$18,Hypothèses!$W$18,""))))))))))))</f>
        <v>#DIV/0!</v>
      </c>
      <c r="EI287" s="95" t="e">
        <f t="shared" ca="1" si="493"/>
        <v>#DIV/0!</v>
      </c>
      <c r="EJ287" s="101">
        <f t="shared" si="529"/>
        <v>0</v>
      </c>
      <c r="EK287" s="91">
        <f t="shared" si="460"/>
        <v>0</v>
      </c>
      <c r="EL287" s="30" t="e">
        <f t="shared" si="512"/>
        <v>#N/A</v>
      </c>
      <c r="EM287" s="30" t="e">
        <f t="shared" si="513"/>
        <v>#N/A</v>
      </c>
      <c r="EN287" s="31" t="e">
        <f>IF(OR(Hypothèses!$B$4=17,Hypothèses!$B$4=18,Hypothèses!$B$4=19,Hypothèses!$B$4=20),
IF($D287="Pressio.",
IF(OR($E287=3,$E287=1,$E287=4),EM287,EL287),
IF($D287="Pénétro.",
IF(OR($E287=3,$E287=1,$E287=4),EM287,EL287))),IF($D287="Pressio.",
IF($E287=3,EM287,EL287),
IF($D287="Pénétro.",
IF($E287=4,EM287,EL287))))</f>
        <v>#N/A</v>
      </c>
      <c r="EO287" s="31">
        <v>0</v>
      </c>
      <c r="EP287" s="102" t="e">
        <f>IF(NDC!$H$10="Oui",(VLOOKUP($B$3,'Coeff EC7'!$T$39:$X$59,2,0)*EN287+VLOOKUP($B$3,'Coeff EC7'!$T$65:$X$85,2,0)*Model0.1T!EO287)/1.5,PI()*EL$12*$Q287*($B287-$B286)*0.15/10+EP286)</f>
        <v>#N/A</v>
      </c>
      <c r="EQ287" s="102" t="e">
        <f>(VLOOKUP($B$3,'Coeff EC7'!$T$39:$X$59,3,0)*EN287+VLOOKUP($B$3,'Coeff EC7'!$T$65:$X$85,3,0)*Model0.1T!EO287)/1.1</f>
        <v>#N/A</v>
      </c>
      <c r="ER287" s="102" t="e">
        <f t="shared" si="494"/>
        <v>#N/A</v>
      </c>
      <c r="ES287" s="102" t="e">
        <f t="shared" si="495"/>
        <v>#N/A</v>
      </c>
      <c r="ET287" s="414" t="e">
        <f>IF(AND(EP287&gt;NDC!$C$63,EQ287&gt;NDC!$C$65,ER287&gt;NDC!$D$73,ES287&gt;NDC!$D$74,$B287&gt;NDC!$H$22-0.1+MIN(3*ET$12,1.5)),0,1)</f>
        <v>#N/A</v>
      </c>
      <c r="EU287" s="86" t="b">
        <f t="shared" si="461"/>
        <v>0</v>
      </c>
      <c r="EV287" s="86">
        <f t="shared" si="462"/>
        <v>0.61</v>
      </c>
      <c r="EW287" s="86">
        <f t="shared" si="463"/>
        <v>0.61</v>
      </c>
      <c r="EX287" s="30" t="e">
        <f t="shared" ca="1" si="496"/>
        <v>#DIV/0!</v>
      </c>
      <c r="EY287" s="85" t="e">
        <f ca="1">IF(EE287&lt;=Hypothèses!$V$7,Hypothèses!$W$7,IF(EE287&lt;=Hypothèses!$V$8,Hypothèses!$W$8,IF(EE287&lt;=Hypothèses!$V$9,Hypothèses!$W$9,IF(EE287&lt;=Hypothèses!$V$10,Hypothèses!$W$10,IF(EE287&lt;=Hypothèses!$V$11,Hypothèses!$W$11,IF(EE287&lt;=Hypothèses!$V$12,Hypothèses!$W$12,IF(EE287&lt;=Hypothèses!$V$13,Hypothèses!$W$13,IF(EE287&lt;=Hypothèses!$V$14,Hypothèses!$W$14,IF(EE287&lt;=Hypothèses!$V$15,Hypothèses!$W$15,IF(EE287&lt;=Hypothèses!$V$16,Hypothèses!$W$16,IF(EE287&lt;=Hypothèses!$V$17,Hypothèses!$W$17,IF(EE287&lt;=Hypothèses!$V$18,Hypothèses!$W$18,""))))))))))))</f>
        <v>#DIV/0!</v>
      </c>
      <c r="EZ287" s="87" t="e">
        <f t="shared" ca="1" si="523"/>
        <v>#DIV/0!</v>
      </c>
      <c r="FA287" s="88" t="e">
        <f ca="1">IF(EE287&lt;=Hypothèses!$V$7,Hypothèses!$X$7,IF(EE287&lt;=Hypothèses!$V$8,Hypothèses!$X$8,IF(EE287&lt;=Hypothèses!$V$9,Hypothèses!$X$9,IF(EE287&lt;=Hypothèses!$V$10,Hypothèses!$X$10,IF(EE287&lt;=Hypothèses!$V$11,Hypothèses!$X$11,IF(EE287&lt;=Hypothèses!$V$12,Hypothèses!$X$12,IF(EE287&lt;=Hypothèses!$V$13,Hypothèses!$X$13,IF(EE287&lt;=Hypothèses!$V$14,Hypothèses!$X$14,IF(EE287&lt;=Hypothèses!$V$15,Hypothèses!$X$15,IF(EE287&lt;=Hypothèses!$V$16,Hypothèses!$X$16,IF(EE287&lt;=Hypothèses!$U$17,Hypothèses!$W$17,IF(EE287&lt;=Hypothèses!$U$18,Hypothèses!$W$18,""))))))))))))</f>
        <v>#DIV/0!</v>
      </c>
      <c r="FB287" s="95" t="e">
        <f t="shared" ca="1" si="497"/>
        <v>#DIV/0!</v>
      </c>
      <c r="FC287" s="101">
        <f t="shared" si="530"/>
        <v>0</v>
      </c>
      <c r="FD287" s="91">
        <f t="shared" si="464"/>
        <v>0</v>
      </c>
      <c r="FE287" s="30" t="e">
        <f t="shared" si="514"/>
        <v>#N/A</v>
      </c>
      <c r="FF287" s="30" t="e">
        <f t="shared" si="515"/>
        <v>#N/A</v>
      </c>
      <c r="FG287" s="31" t="e">
        <f>IF(OR(Hypothèses!$B$4=17,Hypothèses!$B$4=18,Hypothèses!$B$4=19,Hypothèses!$B$4=20),
IF($D287="Pressio.",
IF(OR($E287=3,$E287=1,$E287=4),FF287,FE287),
IF($D287="Pénétro.",
IF(OR($E287=3,$E287=1,$E287=4),FF287,FE287))),IF($D287="Pressio.",
IF($E287=3,FF287,FE287),
IF($D287="Pénétro.",
IF($E287=4,FF287,FE287))))</f>
        <v>#N/A</v>
      </c>
      <c r="FH287" s="31">
        <v>0</v>
      </c>
      <c r="FI287" s="102" t="e">
        <f>IF(NDC!$H$10="Oui",(VLOOKUP($B$3,'Coeff EC7'!$T$39:$X$59,2,0)*FG287+VLOOKUP($B$3,'Coeff EC7'!$T$65:$X$85,2,0)*Model0.1T!FH287)/1.5,PI()*FE$12*$Q287*($B287-$B286)*0.15/10+FI286)</f>
        <v>#N/A</v>
      </c>
      <c r="FJ287" s="102" t="e">
        <f>(VLOOKUP($B$3,'Coeff EC7'!$T$39:$X$59,3,0)*FG287+VLOOKUP($B$3,'Coeff EC7'!$T$65:$X$85,3,0)*Model0.1T!FH287)/1.1</f>
        <v>#N/A</v>
      </c>
      <c r="FK287" s="102" t="e">
        <f t="shared" si="498"/>
        <v>#N/A</v>
      </c>
      <c r="FL287" s="102" t="e">
        <f t="shared" si="499"/>
        <v>#N/A</v>
      </c>
      <c r="FM287" s="414" t="e">
        <f>IF(AND(FI287&gt;NDC!$C$63,FJ287&gt;NDC!$C$65,FK287&gt;NDC!$D$73,FL287&gt;NDC!$D$74,$B287&gt;NDC!$H$22-0.1+MIN(3*FM$12,1.5)),0,1)</f>
        <v>#N/A</v>
      </c>
    </row>
    <row r="288" spans="1:169">
      <c r="A288" s="96">
        <f t="shared" si="465"/>
        <v>72.500000000001563</v>
      </c>
      <c r="B288" s="97">
        <v>27.5</v>
      </c>
      <c r="C288" s="81">
        <f>IF(B288&lt;=Hypothèses!$C$7,Hypothèses!$A$7,IF(B288&lt;=Hypothèses!$C$8,Hypothèses!$A$8,IF(B288&lt;=Hypothèses!$C$9,Hypothèses!$A$9,IF(B288&lt;=Hypothèses!$C$10,Hypothèses!$A$10,IF(B288&lt;=Hypothèses!$C$11,Hypothèses!$A$11,IF(B288&lt;=Hypothèses!$C$12,Hypothèses!$A$12,IF(B288&lt;=Hypothèses!$C$13,Hypothèses!$A$13,IF(B288&lt;=Hypothèses!$C$14,Hypothèses!$A$14,IF(B288&lt;=Hypothèses!$C$15,Hypothèses!$A$15,IF(B288&lt;=Hypothèses!$C$16,Hypothèses!$A$16,IF(B288&lt;=Hypothèses!$C$17,Hypothèses!$A$17,IF(B288&lt;=Hypothèses!$C$18,Hypothèses!$A$18,C287))))))))))))</f>
        <v>11</v>
      </c>
      <c r="D288" s="82" t="str">
        <f>IF(B288&lt;=Hypothèses!$C$7,Hypothèses!$R$7,IF(B288&lt;=Hypothèses!$C$8,Hypothèses!$R$8,IF(B288&lt;=Hypothèses!$C$9,Hypothèses!$R$9,IF(B288&lt;=Hypothèses!$C$10,Hypothèses!$R$10,IF(B288&lt;=Hypothèses!$C$11,Hypothèses!$R$11,IF(B288&lt;=Hypothèses!$C$12,Hypothèses!$R$12,IF(B288&lt;=Hypothèses!$C$13,Hypothèses!$R$13,IF(B288&lt;=Hypothèses!$C$14,Hypothèses!$R$14,IF(B288&lt;=Hypothèses!$C$15,Hypothèses!$R$15,IF(B288&lt;=Hypothèses!$C$16,Hypothèses!$R$16,IF(B288&lt;=Hypothèses!$C$17,Hypothèses!$R$17,IF(B288&lt;=Hypothèses!$C$18,Hypothèses!$R$18,D287))))))))))))</f>
        <v>Pressio.</v>
      </c>
      <c r="E288" s="82" t="e">
        <f>IF(B288&lt;=Hypothèses!$C$7,Hypothèses!$G$7,IF(B288&lt;=Hypothèses!$C$8,Hypothèses!$G$8,IF(B288&lt;=Hypothèses!$C$9,Hypothèses!$G$9,IF(B288&lt;=Hypothèses!$C$10,Hypothèses!$G$10,IF(B288&lt;=Hypothèses!$C$11,Hypothèses!$G$11,IF(B288&lt;=Hypothèses!$C$12,Hypothèses!$G$12,IF(B288&lt;=Hypothèses!$C$13,Hypothèses!$G$13,IF(B288&lt;=Hypothèses!$C$14,Hypothèses!$G$14,IF(B288&lt;=Hypothèses!$C$15,Hypothèses!$G$15,IF(B288&lt;=Hypothèses!$C$16,Hypothèses!$G$16,IF(B288&lt;=Hypothèses!$C$17,Hypothèses!$G$17,IF(B288&lt;=Hypothèses!$C$18,Hypothèses!$G$18,E287))))))))))))</f>
        <v>#N/A</v>
      </c>
      <c r="F288" s="82" t="str">
        <f>IF(B288&lt;=Hypothèses!$C$7,Hypothèses!$F$7,IF(B288&lt;=Hypothèses!$C$8,Hypothèses!$F$8,IF(B288&lt;=Hypothèses!$C$9,Hypothèses!$F$9,IF(B288&lt;=Hypothèses!$C$10,Hypothèses!$F$10,IF(B288&lt;=Hypothèses!$C$11,Hypothèses!$F$11,IF(B288&lt;=Hypothèses!$C$12,Hypothèses!$F$12,IF(B288&lt;=Hypothèses!$C$13,Hypothèses!$F$13,IF(B288&lt;=Hypothèses!$C$14,Hypothèses!$F$14,IF(B288&lt;=Hypothèses!$C$15,Hypothèses!$F$15,IF(B288&lt;=Hypothèses!$C$16,Hypothèses!$F$16,IF(B288&lt;=Hypothèses!$C$17,Hypothèses!$F$17,IF(B288&lt;=Hypothèses!$C$18,Hypothèses!$F$18,F287))))))))))))</f>
        <v/>
      </c>
      <c r="G288" s="91">
        <f t="array" ref="G288">INDEX('Coeff EC7'!$U$7:$X$27,
MATCH(Model0.1T!$B$3,'Coeff EC7'!$T$7:$T$27,0),
MATCH(Model0.1T!$D288&amp;Model0.1T!$B$4,
'Coeff EC7'!$U$6:$X$6&amp;
'Coeff EC7'!$U$5:$X$5,0))</f>
        <v>1.4</v>
      </c>
      <c r="H288" s="91">
        <f t="array" ref="H288">INDEX('Coeff EC7'!$Y$7:$AB$27,
MATCH(Model0.1T!$B$3,'Coeff EC7'!$T$7:$T$27,0),
MATCH(Model0.1T!$D288&amp;Model0.1T!$B$4,
'Coeff EC7'!$Y$6:$AB$6&amp;
'Coeff EC7'!$Y$5:$AB$5,0))</f>
        <v>1.7</v>
      </c>
      <c r="I288" s="83">
        <v>0</v>
      </c>
      <c r="J288" s="91" t="e">
        <f t="array" ref="J288">INDEX('Coeff EC7'!$D$33:$Q$33,1,MATCH(D288&amp;E288,'Coeff EC7'!$D$31:$Q$31&amp;'Coeff EC7'!$D$32:$Q$32,0))</f>
        <v>#N/A</v>
      </c>
      <c r="K288" s="91" t="e">
        <f t="array" ref="K288">INDEX('Coeff EC7'!$D$34:$Q$34,1,MATCH(D288&amp;E288,'Coeff EC7'!$D$31:$Q$31&amp;'Coeff EC7'!$D$32:$Q$32,0))</f>
        <v>#N/A</v>
      </c>
      <c r="L288" s="91" t="e">
        <f t="array" ref="L288">INDEX('Coeff EC7'!$D$35:$Q$35,1,MATCH(D288&amp;E288,'Coeff EC7'!$D$31:$Q$31&amp;'Coeff EC7'!$D$32:$Q$32,0))</f>
        <v>#N/A</v>
      </c>
      <c r="M288" s="98" t="e">
        <f t="shared" si="431"/>
        <v>#N/A</v>
      </c>
      <c r="N288" s="99" t="e">
        <f t="array" ref="N288">INDEX('Coeff EC7'!$D$7:$Q$27,MATCH($B$3,'Coeff EC7'!$C$7:$C$27,0),MATCH(D288&amp;E288,'Coeff EC7'!$D$5:$Q$5&amp;'Coeff EC7'!$D$6:$Q$6,0))</f>
        <v>#N/A</v>
      </c>
      <c r="O288" s="99" t="e">
        <f t="array" ref="O288">INDEX('Coeff EC7'!$D$41:$Q$61,MATCH($B$3,'Coeff EC7'!$C$41:$C$61,0),MATCH(D288&amp;E288,'Coeff EC7'!$D$39:$Q$39&amp;'Coeff EC7'!$D$40:$Q$40,0))</f>
        <v>#N/A</v>
      </c>
      <c r="P288" s="30" t="e">
        <f t="shared" si="466"/>
        <v>#N/A</v>
      </c>
      <c r="Q288" s="100" t="e">
        <f t="shared" si="433"/>
        <v>#N/A</v>
      </c>
      <c r="R288" s="86" t="b">
        <f t="shared" si="434"/>
        <v>0</v>
      </c>
      <c r="S288" s="86">
        <f t="shared" si="432"/>
        <v>0.5</v>
      </c>
      <c r="T288" s="86">
        <f t="shared" si="435"/>
        <v>0.5</v>
      </c>
      <c r="U288" s="30" t="e">
        <f t="shared" ca="1" si="467"/>
        <v>#DIV/0!</v>
      </c>
      <c r="V288" s="85" t="str">
        <f>IF(B288&lt;=Hypothèses!$V$7,Hypothèses!$W$7,IF(B288&lt;=Hypothèses!$V$8,Hypothèses!$W$8,IF(B288&lt;=Hypothèses!$V$9,Hypothèses!$W$9,IF(B288&lt;=Hypothèses!$V$10,Hypothèses!$W$10,IF(B288&lt;=Hypothèses!$V$11,Hypothèses!$W$11,IF(B288&lt;=Hypothèses!$V$12,Hypothèses!$W$12,IF(B288&lt;=Hypothèses!$V$13,Hypothèses!$W$13,IF(B288&lt;=Hypothèses!$V$14,Hypothèses!$W$14,IF(B288&lt;=Hypothèses!$V$15,Hypothèses!$W$15,IF(B288&lt;=Hypothèses!$V$16,Hypothèses!$W$16,IF(B288&lt;=Hypothèses!$V$17,Hypothèses!$W$17,IF(B288&lt;=Hypothèses!$V$18,Hypothèses!$W$18,""))))))))))))</f>
        <v/>
      </c>
      <c r="W288" s="87" t="e">
        <f t="shared" ca="1" si="516"/>
        <v>#DIV/0!</v>
      </c>
      <c r="X288" s="88" t="str">
        <f>IF(B288&lt;=Hypothèses!$V$7,Hypothèses!$X$7,IF(B288&lt;=Hypothèses!$V$8,Hypothèses!$X$8,IF(B288&lt;=Hypothèses!$V$9,Hypothèses!$X$9,IF(B288&lt;=Hypothèses!$V$10,Hypothèses!$X$10,IF(B288&lt;=Hypothèses!$V$11,Hypothèses!$X$11,IF(B288&lt;=Hypothèses!$V$12,Hypothèses!$X$12,IF(B288&lt;=Hypothèses!$V$13,Hypothèses!$X$13,IF(B288&lt;=Hypothèses!$V$14,Hypothèses!$X$14,IF(B288&lt;=Hypothèses!$V$15,Hypothèses!$X$15,IF(B288&lt;=Hypothèses!$V$16,Hypothèses!$X$16,IF(B288&lt;=Hypothèses!$U$17,Hypothèses!$W$17,IF(B288&lt;=Hypothèses!$U$18,Hypothèses!$W$18,""))))))))))))</f>
        <v/>
      </c>
      <c r="Y288" s="95" t="e">
        <f t="shared" ca="1" si="436"/>
        <v>#DIV/0!</v>
      </c>
      <c r="Z288" s="101">
        <f t="shared" si="437"/>
        <v>0</v>
      </c>
      <c r="AA288" s="91">
        <f t="shared" si="438"/>
        <v>0</v>
      </c>
      <c r="AB288" s="30" t="e">
        <f t="shared" si="500"/>
        <v>#N/A</v>
      </c>
      <c r="AC288" s="30" t="e">
        <f t="shared" si="501"/>
        <v>#N/A</v>
      </c>
      <c r="AD288" s="31" t="e">
        <f>IF(OR(Hypothèses!$B$4=17,Hypothèses!$B$4=18,Hypothèses!$B$4=19,Hypothèses!$B$4=20),
IF($D288="Pressio.",
IF(OR($E288=3,$E288=1,$E288=4),AC288,AB288),
IF($D288="Pénétro.",
IF(OR($E288=3,$E288=1,$E288=4),AC288,AB288))),IF($D288="Pressio.",
IF($E288=3,AC288,AB288),
IF($D288="Pénétro.",
IF($E288=4,AC288,AB288))))</f>
        <v>#N/A</v>
      </c>
      <c r="AE288" s="31">
        <v>0</v>
      </c>
      <c r="AF288" s="102" t="e">
        <f>IF(NDC!$H$10="Oui",(VLOOKUP($B$3,'Coeff EC7'!$T$39:$X$59,2,0)*AD288+VLOOKUP($B$3,'Coeff EC7'!$T$65:$X$85,2,0)*Model0.1T!AE288)/1.5,PI()*AB$12*$Q288*($B288-$B287)*0.15/10+AF287)</f>
        <v>#N/A</v>
      </c>
      <c r="AG288" s="102" t="e">
        <f>(VLOOKUP($B$3,'Coeff EC7'!$T$39:$X$59,3,0)*AD288+VLOOKUP($B$3,'Coeff EC7'!$T$65:$X$85,3,0)*Model0.1T!AE288)/1.1</f>
        <v>#N/A</v>
      </c>
      <c r="AH288" s="102" t="e">
        <f t="shared" si="468"/>
        <v>#N/A</v>
      </c>
      <c r="AI288" s="102" t="e">
        <f t="shared" si="469"/>
        <v>#N/A</v>
      </c>
      <c r="AJ288" s="414" t="e">
        <f>IF(AND(AF288&gt;NDC!$C$63,AG288&gt;NDC!$C$65,AH288&gt;NDC!$D$73,AI288&gt;NDC!$D$74,$B288&gt;NDC!$H$22-0.1+MIN(3*$AJ$12,1.5)),0,1)</f>
        <v>#N/A</v>
      </c>
      <c r="AK288" s="86" t="b">
        <f t="shared" si="439"/>
        <v>0</v>
      </c>
      <c r="AL288" s="86">
        <f t="shared" si="470"/>
        <v>0.5</v>
      </c>
      <c r="AM288" s="86">
        <f t="shared" si="440"/>
        <v>0.5</v>
      </c>
      <c r="AN288" s="30" t="e">
        <f t="shared" ca="1" si="471"/>
        <v>#DIV/0!</v>
      </c>
      <c r="AO288" s="85" t="e">
        <f ca="1">IF(U288&lt;=Hypothèses!$V$7,Hypothèses!$W$7,IF(U288&lt;=Hypothèses!$V$8,Hypothèses!$W$8,IF(U288&lt;=Hypothèses!$V$9,Hypothèses!$W$9,IF(U288&lt;=Hypothèses!$V$10,Hypothèses!$W$10,IF(U288&lt;=Hypothèses!$V$11,Hypothèses!$W$11,IF(U288&lt;=Hypothèses!$V$12,Hypothèses!$W$12,IF(U288&lt;=Hypothèses!$V$13,Hypothèses!$W$13,IF(U288&lt;=Hypothèses!$V$14,Hypothèses!$W$14,IF(U288&lt;=Hypothèses!$V$15,Hypothèses!$W$15,IF(U288&lt;=Hypothèses!$V$16,Hypothèses!$W$16,IF(U288&lt;=Hypothèses!$V$17,Hypothèses!$W$17,IF(U288&lt;=Hypothèses!$V$18,Hypothèses!$W$18,""))))))))))))</f>
        <v>#DIV/0!</v>
      </c>
      <c r="AP288" s="87" t="e">
        <f t="shared" ca="1" si="517"/>
        <v>#DIV/0!</v>
      </c>
      <c r="AQ288" s="88" t="e">
        <f ca="1">IF(U288&lt;=Hypothèses!$V$7,Hypothèses!$X$7,IF(U288&lt;=Hypothèses!$V$8,Hypothèses!$X$8,IF(U288&lt;=Hypothèses!$V$9,Hypothèses!$X$9,IF(U288&lt;=Hypothèses!$V$10,Hypothèses!$X$10,IF(U288&lt;=Hypothèses!$V$11,Hypothèses!$X$11,IF(U288&lt;=Hypothèses!$V$12,Hypothèses!$X$12,IF(U288&lt;=Hypothèses!$V$13,Hypothèses!$X$13,IF(U288&lt;=Hypothèses!$V$14,Hypothèses!$X$14,IF(U288&lt;=Hypothèses!$V$15,Hypothèses!$X$15,IF(U288&lt;=Hypothèses!$V$16,Hypothèses!$X$16,IF(U288&lt;=Hypothèses!$U$17,Hypothèses!$W$17,IF(U288&lt;=Hypothèses!$U$18,Hypothèses!$W$18,""))))))))))))</f>
        <v>#DIV/0!</v>
      </c>
      <c r="AR288" s="95" t="e">
        <f t="shared" ca="1" si="472"/>
        <v>#DIV/0!</v>
      </c>
      <c r="AS288" s="101">
        <f t="shared" si="524"/>
        <v>0</v>
      </c>
      <c r="AT288" s="91">
        <f t="shared" si="441"/>
        <v>0</v>
      </c>
      <c r="AU288" s="30" t="e">
        <f t="shared" si="502"/>
        <v>#N/A</v>
      </c>
      <c r="AV288" s="30" t="e">
        <f t="shared" si="503"/>
        <v>#N/A</v>
      </c>
      <c r="AW288" s="31" t="e">
        <f>IF(OR(Hypothèses!$B$4=17,Hypothèses!$B$4=18,Hypothèses!$B$4=19,Hypothèses!$B$4=20),
IF($D288="Pressio.",
IF(OR($E288=3,$E288=1,$E288=4),AV288,AU288),
IF($D288="Pénétro.",
IF(OR($E288=3,$E288=1,$E288=4),AV288,AU288))),IF($D288="Pressio.",
IF($E288=3,AV288,AU288),
IF($D288="Pénétro.",
IF($E288=4,AV288,AU288))))</f>
        <v>#N/A</v>
      </c>
      <c r="AX288" s="31">
        <v>0</v>
      </c>
      <c r="AY288" s="102" t="e">
        <f>IF(NDC!$H$10="Oui",(VLOOKUP($B$3,'Coeff EC7'!$T$39:$X$59,2,0)*AW288+VLOOKUP($B$3,'Coeff EC7'!$T$65:$X$85,2,0)*Model0.1T!AX288)/1.5,PI()*AU$12*$Q288*($B288-$B287)*0.15/10+AY287)</f>
        <v>#N/A</v>
      </c>
      <c r="AZ288" s="102" t="e">
        <f>(VLOOKUP($B$3,'Coeff EC7'!$T$39:$X$59,3,0)*AW288+VLOOKUP($B$3,'Coeff EC7'!$T$65:$X$85,3,0)*Model0.1T!AX288)/1.1</f>
        <v>#N/A</v>
      </c>
      <c r="BA288" s="102" t="e">
        <f t="shared" si="473"/>
        <v>#N/A</v>
      </c>
      <c r="BB288" s="102" t="e">
        <f t="shared" si="474"/>
        <v>#N/A</v>
      </c>
      <c r="BC288" s="414" t="e">
        <f>IF(AND(AY288&gt;NDC!$C$63,AZ288&gt;NDC!$C$65,BA288&gt;NDC!$D$73,BB288&gt;NDC!$D$74,$B288&gt;NDC!$H$22-0.1+MIN(3*BC$12,1.5)),0,1)</f>
        <v>#N/A</v>
      </c>
      <c r="BD288" s="86" t="b">
        <f t="shared" si="442"/>
        <v>0</v>
      </c>
      <c r="BE288" s="86">
        <f t="shared" si="475"/>
        <v>0.5</v>
      </c>
      <c r="BF288" s="86">
        <f t="shared" si="443"/>
        <v>0.5</v>
      </c>
      <c r="BG288" s="30" t="e">
        <f t="shared" ca="1" si="476"/>
        <v>#DIV/0!</v>
      </c>
      <c r="BH288" s="85" t="e">
        <f ca="1">IF(AN288&lt;=Hypothèses!$V$7,Hypothèses!$W$7,IF(AN288&lt;=Hypothèses!$V$8,Hypothèses!$W$8,IF(AN288&lt;=Hypothèses!$V$9,Hypothèses!$W$9,IF(AN288&lt;=Hypothèses!$V$10,Hypothèses!$W$10,IF(AN288&lt;=Hypothèses!$V$11,Hypothèses!$W$11,IF(AN288&lt;=Hypothèses!$V$12,Hypothèses!$W$12,IF(AN288&lt;=Hypothèses!$V$13,Hypothèses!$W$13,IF(AN288&lt;=Hypothèses!$V$14,Hypothèses!$W$14,IF(AN288&lt;=Hypothèses!$V$15,Hypothèses!$W$15,IF(AN288&lt;=Hypothèses!$V$16,Hypothèses!$W$16,IF(AN288&lt;=Hypothèses!$V$17,Hypothèses!$W$17,IF(AN288&lt;=Hypothèses!$V$18,Hypothèses!$W$18,""))))))))))))</f>
        <v>#DIV/0!</v>
      </c>
      <c r="BI288" s="87" t="e">
        <f t="shared" ca="1" si="518"/>
        <v>#DIV/0!</v>
      </c>
      <c r="BJ288" s="88" t="e">
        <f ca="1">IF(AN288&lt;=Hypothèses!$V$7,Hypothèses!$X$7,IF(AN288&lt;=Hypothèses!$V$8,Hypothèses!$X$8,IF(AN288&lt;=Hypothèses!$V$9,Hypothèses!$X$9,IF(AN288&lt;=Hypothèses!$V$10,Hypothèses!$X$10,IF(AN288&lt;=Hypothèses!$V$11,Hypothèses!$X$11,IF(AN288&lt;=Hypothèses!$V$12,Hypothèses!$X$12,IF(AN288&lt;=Hypothèses!$V$13,Hypothèses!$X$13,IF(AN288&lt;=Hypothèses!$V$14,Hypothèses!$X$14,IF(AN288&lt;=Hypothèses!$V$15,Hypothèses!$X$15,IF(AN288&lt;=Hypothèses!$V$16,Hypothèses!$X$16,IF(AN288&lt;=Hypothèses!$U$17,Hypothèses!$W$17,IF(AN288&lt;=Hypothèses!$U$18,Hypothèses!$W$18,""))))))))))))</f>
        <v>#DIV/0!</v>
      </c>
      <c r="BK288" s="95" t="e">
        <f t="shared" ca="1" si="477"/>
        <v>#DIV/0!</v>
      </c>
      <c r="BL288" s="101">
        <f t="shared" si="525"/>
        <v>0</v>
      </c>
      <c r="BM288" s="91">
        <f t="shared" si="444"/>
        <v>0</v>
      </c>
      <c r="BN288" s="30" t="e">
        <f t="shared" si="504"/>
        <v>#N/A</v>
      </c>
      <c r="BO288" s="30" t="e">
        <f t="shared" si="505"/>
        <v>#N/A</v>
      </c>
      <c r="BP288" s="31" t="e">
        <f>IF(OR(Hypothèses!$B$4=17,Hypothèses!$B$4=18,Hypothèses!$B$4=19,Hypothèses!$B$4=20),
IF($D288="Pressio.",
IF(OR($E288=3,$E288=1,$E288=4),BO288,BN288),
IF($D288="Pénétro.",
IF(OR($E288=3,$E288=1,$E288=4),BO288,BN288))),IF($D288="Pressio.",
IF($E288=3,BO288,BN288),
IF($D288="Pénétro.",
IF($E288=4,BO288,BN288))))</f>
        <v>#N/A</v>
      </c>
      <c r="BQ288" s="31">
        <v>0</v>
      </c>
      <c r="BR288" s="102" t="e">
        <f>IF(NDC!$H$10="Oui",(VLOOKUP($B$3,'Coeff EC7'!$T$39:$X$59,2,0)*BP288+VLOOKUP($B$3,'Coeff EC7'!$T$65:$X$85,2,0)*Model0.1T!BQ288)/1.5,PI()*BN$12*$Q288*($B288-$B287)*0.15/10+BR287)</f>
        <v>#N/A</v>
      </c>
      <c r="BS288" s="102" t="e">
        <f>(VLOOKUP($B$3,'Coeff EC7'!$T$39:$X$59,3,0)*BP288+VLOOKUP($B$3,'Coeff EC7'!$T$65:$X$85,3,0)*Model0.1T!BQ288)/1.1</f>
        <v>#N/A</v>
      </c>
      <c r="BT288" s="102" t="e">
        <f t="shared" si="478"/>
        <v>#N/A</v>
      </c>
      <c r="BU288" s="102" t="e">
        <f t="shared" si="479"/>
        <v>#N/A</v>
      </c>
      <c r="BV288" s="414" t="e">
        <f>IF(AND(BR288&gt;NDC!$C$63,BS288&gt;NDC!$C$65,BT288&gt;NDC!$D$73,BU288&gt;NDC!$D$74,$B288&gt;NDC!$H$22-0.1+MIN(3*BV$12,1.5)),0,1)</f>
        <v>#N/A</v>
      </c>
      <c r="BW288" s="86" t="b">
        <f t="shared" si="445"/>
        <v>0</v>
      </c>
      <c r="BX288" s="86">
        <f t="shared" si="446"/>
        <v>0.5</v>
      </c>
      <c r="BY288" s="86">
        <f t="shared" si="447"/>
        <v>0.5</v>
      </c>
      <c r="BZ288" s="30" t="e">
        <f t="shared" ca="1" si="480"/>
        <v>#DIV/0!</v>
      </c>
      <c r="CA288" s="85" t="e">
        <f ca="1">IF(BG288&lt;=Hypothèses!$V$7,Hypothèses!$W$7,IF(BG288&lt;=Hypothèses!$V$8,Hypothèses!$W$8,IF(BG288&lt;=Hypothèses!$V$9,Hypothèses!$W$9,IF(BG288&lt;=Hypothèses!$V$10,Hypothèses!$W$10,IF(BG288&lt;=Hypothèses!$V$11,Hypothèses!$W$11,IF(BG288&lt;=Hypothèses!$V$12,Hypothèses!$W$12,IF(BG288&lt;=Hypothèses!$V$13,Hypothèses!$W$13,IF(BG288&lt;=Hypothèses!$V$14,Hypothèses!$W$14,IF(BG288&lt;=Hypothèses!$V$15,Hypothèses!$W$15,IF(BG288&lt;=Hypothèses!$V$16,Hypothèses!$W$16,IF(BG288&lt;=Hypothèses!$V$17,Hypothèses!$W$17,IF(BG288&lt;=Hypothèses!$V$18,Hypothèses!$W$18,""))))))))))))</f>
        <v>#DIV/0!</v>
      </c>
      <c r="CB288" s="87" t="e">
        <f t="shared" ca="1" si="519"/>
        <v>#DIV/0!</v>
      </c>
      <c r="CC288" s="88" t="e">
        <f ca="1">IF(BG288&lt;=Hypothèses!$V$7,Hypothèses!$X$7,IF(BG288&lt;=Hypothèses!$V$8,Hypothèses!$X$8,IF(BG288&lt;=Hypothèses!$V$9,Hypothèses!$X$9,IF(BG288&lt;=Hypothèses!$V$10,Hypothèses!$X$10,IF(BG288&lt;=Hypothèses!$V$11,Hypothèses!$X$11,IF(BG288&lt;=Hypothèses!$V$12,Hypothèses!$X$12,IF(BG288&lt;=Hypothèses!$V$13,Hypothèses!$X$13,IF(BG288&lt;=Hypothèses!$V$14,Hypothèses!$X$14,IF(BG288&lt;=Hypothèses!$V$15,Hypothèses!$X$15,IF(BG288&lt;=Hypothèses!$V$16,Hypothèses!$X$16,IF(BG288&lt;=Hypothèses!$U$17,Hypothèses!$W$17,IF(BG288&lt;=Hypothèses!$U$18,Hypothèses!$W$18,""))))))))))))</f>
        <v>#DIV/0!</v>
      </c>
      <c r="CD288" s="95" t="e">
        <f t="shared" ca="1" si="481"/>
        <v>#DIV/0!</v>
      </c>
      <c r="CE288" s="101">
        <f t="shared" si="526"/>
        <v>0</v>
      </c>
      <c r="CF288" s="91">
        <f t="shared" si="448"/>
        <v>0</v>
      </c>
      <c r="CG288" s="30" t="e">
        <f t="shared" si="506"/>
        <v>#N/A</v>
      </c>
      <c r="CH288" s="30" t="e">
        <f t="shared" si="507"/>
        <v>#N/A</v>
      </c>
      <c r="CI288" s="31" t="e">
        <f>IF(OR(Hypothèses!$B$4=17,Hypothèses!$B$4=18,Hypothèses!$B$4=19,Hypothèses!$B$4=20),
IF($D288="Pressio.",
IF(OR($E288=3,$E288=1,$E288=4),CH288,CG288),
IF($D288="Pénétro.",
IF(OR($E288=3,$E288=1,$E288=4),CH288,CG288))),IF($D288="Pressio.",
IF($E288=3,CH288,CG288),
IF($D288="Pénétro.",
IF($E288=4,CH288,CG288))))</f>
        <v>#N/A</v>
      </c>
      <c r="CJ288" s="31">
        <v>0</v>
      </c>
      <c r="CK288" s="102" t="e">
        <f>IF(NDC!$H$10="Oui",(VLOOKUP($B$3,'Coeff EC7'!$T$39:$X$59,2,0)*CI288+VLOOKUP($B$3,'Coeff EC7'!$T$65:$X$85,2,0)*Model0.1T!CJ288)/1.5,PI()*CG$12*$Q288*($B288-$B287)*0.15/10+CK287)</f>
        <v>#N/A</v>
      </c>
      <c r="CL288" s="102" t="e">
        <f>(VLOOKUP($B$3,'Coeff EC7'!$T$39:$X$59,3,0)*CI288+VLOOKUP($B$3,'Coeff EC7'!$T$65:$X$85,3,0)*Model0.1T!CJ288)/1.1</f>
        <v>#N/A</v>
      </c>
      <c r="CM288" s="102" t="e">
        <f t="shared" si="482"/>
        <v>#N/A</v>
      </c>
      <c r="CN288" s="102" t="e">
        <f t="shared" si="483"/>
        <v>#N/A</v>
      </c>
      <c r="CO288" s="414" t="e">
        <f>IF(AND(CK288&gt;NDC!$C$63,CL288&gt;NDC!$C$65,CM288&gt;NDC!$D$73,CN288&gt;NDC!$D$74,$B288&gt;NDC!$H$22-0.1+MIN(3*CO$12,1.5)),0,1)</f>
        <v>#N/A</v>
      </c>
      <c r="CP288" s="86" t="b">
        <f t="shared" si="449"/>
        <v>0</v>
      </c>
      <c r="CQ288" s="86">
        <f t="shared" si="450"/>
        <v>0.5</v>
      </c>
      <c r="CR288" s="86">
        <f t="shared" si="451"/>
        <v>0.5</v>
      </c>
      <c r="CS288" s="30" t="e">
        <f t="shared" ca="1" si="484"/>
        <v>#DIV/0!</v>
      </c>
      <c r="CT288" s="85" t="e">
        <f ca="1">IF(BZ288&lt;=Hypothèses!$V$7,Hypothèses!$W$7,IF(BZ288&lt;=Hypothèses!$V$8,Hypothèses!$W$8,IF(BZ288&lt;=Hypothèses!$V$9,Hypothèses!$W$9,IF(BZ288&lt;=Hypothèses!$V$10,Hypothèses!$W$10,IF(BZ288&lt;=Hypothèses!$V$11,Hypothèses!$W$11,IF(BZ288&lt;=Hypothèses!$V$12,Hypothèses!$W$12,IF(BZ288&lt;=Hypothèses!$V$13,Hypothèses!$W$13,IF(BZ288&lt;=Hypothèses!$V$14,Hypothèses!$W$14,IF(BZ288&lt;=Hypothèses!$V$15,Hypothèses!$W$15,IF(BZ288&lt;=Hypothèses!$V$16,Hypothèses!$W$16,IF(BZ288&lt;=Hypothèses!$V$17,Hypothèses!$W$17,IF(BZ288&lt;=Hypothèses!$V$18,Hypothèses!$W$18,""))))))))))))</f>
        <v>#DIV/0!</v>
      </c>
      <c r="CU288" s="87" t="e">
        <f t="shared" ca="1" si="520"/>
        <v>#DIV/0!</v>
      </c>
      <c r="CV288" s="88" t="e">
        <f ca="1">IF(BZ288&lt;=Hypothèses!$V$7,Hypothèses!$X$7,IF(BZ288&lt;=Hypothèses!$V$8,Hypothèses!$X$8,IF(BZ288&lt;=Hypothèses!$V$9,Hypothèses!$X$9,IF(BZ288&lt;=Hypothèses!$V$10,Hypothèses!$X$10,IF(BZ288&lt;=Hypothèses!$V$11,Hypothèses!$X$11,IF(BZ288&lt;=Hypothèses!$V$12,Hypothèses!$X$12,IF(BZ288&lt;=Hypothèses!$V$13,Hypothèses!$X$13,IF(BZ288&lt;=Hypothèses!$V$14,Hypothèses!$X$14,IF(BZ288&lt;=Hypothèses!$V$15,Hypothèses!$X$15,IF(BZ288&lt;=Hypothèses!$V$16,Hypothèses!$X$16,IF(BZ288&lt;=Hypothèses!$U$17,Hypothèses!$W$17,IF(BZ288&lt;=Hypothèses!$U$18,Hypothèses!$W$18,""))))))))))))</f>
        <v>#DIV/0!</v>
      </c>
      <c r="CW288" s="95" t="e">
        <f t="shared" ca="1" si="485"/>
        <v>#DIV/0!</v>
      </c>
      <c r="CX288" s="101">
        <f t="shared" si="527"/>
        <v>0</v>
      </c>
      <c r="CY288" s="91">
        <f t="shared" si="452"/>
        <v>0</v>
      </c>
      <c r="CZ288" s="30" t="e">
        <f t="shared" si="508"/>
        <v>#N/A</v>
      </c>
      <c r="DA288" s="30" t="e">
        <f t="shared" si="509"/>
        <v>#N/A</v>
      </c>
      <c r="DB288" s="31" t="e">
        <f>IF(OR(Hypothèses!$B$4=17,Hypothèses!$B$4=18,Hypothèses!$B$4=19,Hypothèses!$B$4=20),
IF($D288="Pressio.",
IF(OR($E288=3,$E288=1,$E288=4),DA288,CZ288),
IF($D288="Pénétro.",
IF(OR($E288=3,$E288=1,$E288=4),DA288,CZ288))),IF($D288="Pressio.",
IF($E288=3,DA288,CZ288),
IF($D288="Pénétro.",
IF($E288=4,DA288,CZ288))))</f>
        <v>#N/A</v>
      </c>
      <c r="DC288" s="31">
        <v>0</v>
      </c>
      <c r="DD288" s="102" t="e">
        <f>IF(NDC!$H$10="Oui",(VLOOKUP($B$3,'Coeff EC7'!$T$39:$X$59,2,0)*DB288+VLOOKUP($B$3,'Coeff EC7'!$T$65:$X$85,2,0)*Model0.1T!DC288)/1.5,PI()*CZ$12*$Q288*($B288-$B287)*0.15/10+DD287)</f>
        <v>#N/A</v>
      </c>
      <c r="DE288" s="102" t="e">
        <f>(VLOOKUP($B$3,'Coeff EC7'!$T$39:$X$59,3,0)*DB288+VLOOKUP($B$3,'Coeff EC7'!$T$65:$X$85,3,0)*Model0.1T!DC288)/1.1</f>
        <v>#N/A</v>
      </c>
      <c r="DF288" s="102" t="e">
        <f t="shared" si="486"/>
        <v>#N/A</v>
      </c>
      <c r="DG288" s="102" t="e">
        <f t="shared" si="487"/>
        <v>#N/A</v>
      </c>
      <c r="DH288" s="414" t="e">
        <f>IF(AND(DD288&gt;NDC!$C$63,DE288&gt;NDC!$C$65,DF288&gt;NDC!$D$73,DG288&gt;NDC!$D$74,$B288&gt;NDC!$H$22-0.1+MIN(3*DH$12,1.5)),0,1)</f>
        <v>#N/A</v>
      </c>
      <c r="DI288" s="86" t="b">
        <f t="shared" si="453"/>
        <v>0</v>
      </c>
      <c r="DJ288" s="86">
        <f t="shared" si="454"/>
        <v>0.5</v>
      </c>
      <c r="DK288" s="86">
        <f t="shared" si="455"/>
        <v>0.5</v>
      </c>
      <c r="DL288" s="30" t="e">
        <f t="shared" ca="1" si="488"/>
        <v>#DIV/0!</v>
      </c>
      <c r="DM288" s="85" t="e">
        <f ca="1">IF(CS288&lt;=Hypothèses!$V$7,Hypothèses!$W$7,IF(CS288&lt;=Hypothèses!$V$8,Hypothèses!$W$8,IF(CS288&lt;=Hypothèses!$V$9,Hypothèses!$W$9,IF(CS288&lt;=Hypothèses!$V$10,Hypothèses!$W$10,IF(CS288&lt;=Hypothèses!$V$11,Hypothèses!$W$11,IF(CS288&lt;=Hypothèses!$V$12,Hypothèses!$W$12,IF(CS288&lt;=Hypothèses!$V$13,Hypothèses!$W$13,IF(CS288&lt;=Hypothèses!$V$14,Hypothèses!$W$14,IF(CS288&lt;=Hypothèses!$V$15,Hypothèses!$W$15,IF(CS288&lt;=Hypothèses!$V$16,Hypothèses!$W$16,IF(CS288&lt;=Hypothèses!$V$17,Hypothèses!$W$17,IF(CS288&lt;=Hypothèses!$V$18,Hypothèses!$W$18,""))))))))))))</f>
        <v>#DIV/0!</v>
      </c>
      <c r="DN288" s="87" t="e">
        <f t="shared" ca="1" si="521"/>
        <v>#DIV/0!</v>
      </c>
      <c r="DO288" s="88" t="e">
        <f ca="1">IF(CS288&lt;=Hypothèses!$V$7,Hypothèses!$X$7,IF(CS288&lt;=Hypothèses!$V$8,Hypothèses!$X$8,IF(CS288&lt;=Hypothèses!$V$9,Hypothèses!$X$9,IF(CS288&lt;=Hypothèses!$V$10,Hypothèses!$X$10,IF(CS288&lt;=Hypothèses!$V$11,Hypothèses!$X$11,IF(CS288&lt;=Hypothèses!$V$12,Hypothèses!$X$12,IF(CS288&lt;=Hypothèses!$V$13,Hypothèses!$X$13,IF(CS288&lt;=Hypothèses!$V$14,Hypothèses!$X$14,IF(CS288&lt;=Hypothèses!$V$15,Hypothèses!$X$15,IF(CS288&lt;=Hypothèses!$V$16,Hypothèses!$X$16,IF(CS288&lt;=Hypothèses!$U$17,Hypothèses!$W$17,IF(CS288&lt;=Hypothèses!$U$18,Hypothèses!$W$18,""))))))))))))</f>
        <v>#DIV/0!</v>
      </c>
      <c r="DP288" s="95" t="e">
        <f t="shared" ca="1" si="489"/>
        <v>#DIV/0!</v>
      </c>
      <c r="DQ288" s="101">
        <f t="shared" si="528"/>
        <v>0</v>
      </c>
      <c r="DR288" s="91">
        <f t="shared" si="456"/>
        <v>0</v>
      </c>
      <c r="DS288" s="30" t="e">
        <f t="shared" si="510"/>
        <v>#N/A</v>
      </c>
      <c r="DT288" s="30" t="e">
        <f t="shared" si="511"/>
        <v>#N/A</v>
      </c>
      <c r="DU288" s="31" t="e">
        <f>IF(OR(Hypothèses!$B$4=17,Hypothèses!$B$4=18,Hypothèses!$B$4=19,Hypothèses!$B$4=20),
IF($D288="Pressio.",
IF(OR($E288=3,$E288=1,$E288=4),DT288,DS288),
IF($D288="Pénétro.",
IF(OR($E288=3,$E288=1,$E288=4),DT288,DS288))),IF($D288="Pressio.",
IF($E288=3,DT288,DS288),
IF($D288="Pénétro.",
IF($E288=4,DT288,DS288))))</f>
        <v>#N/A</v>
      </c>
      <c r="DV288" s="31">
        <v>0</v>
      </c>
      <c r="DW288" s="102" t="e">
        <f>IF(NDC!$H$10="Oui",(VLOOKUP($B$3,'Coeff EC7'!$T$39:$X$59,2,0)*DU288+VLOOKUP($B$3,'Coeff EC7'!$T$65:$X$85,2,0)*Model0.1T!DV288)/1.5,PI()*DS$12*$Q288*($B288-$B287)*0.15/10+DW287)</f>
        <v>#N/A</v>
      </c>
      <c r="DX288" s="102" t="e">
        <f>(VLOOKUP($B$3,'Coeff EC7'!$T$39:$X$59,3,0)*DU288+VLOOKUP($B$3,'Coeff EC7'!$T$65:$X$85,3,0)*Model0.1T!DV288)/1.1</f>
        <v>#N/A</v>
      </c>
      <c r="DY288" s="102" t="e">
        <f t="shared" si="490"/>
        <v>#N/A</v>
      </c>
      <c r="DZ288" s="102" t="e">
        <f t="shared" si="491"/>
        <v>#N/A</v>
      </c>
      <c r="EA288" s="414" t="e">
        <f>IF(AND(DW288&gt;NDC!$C$63,DX288&gt;NDC!$C$65,DY288&gt;NDC!$D$73,DZ288&gt;NDC!$D$74,$B288&gt;NDC!$H$22-0.1+MIN(3*EA$12,1.5)),0,1)</f>
        <v>#N/A</v>
      </c>
      <c r="EB288" s="86" t="b">
        <f t="shared" si="457"/>
        <v>0</v>
      </c>
      <c r="EC288" s="418">
        <f t="shared" si="458"/>
        <v>0.51</v>
      </c>
      <c r="ED288" s="86">
        <f t="shared" si="459"/>
        <v>0.51</v>
      </c>
      <c r="EE288" s="30" t="e">
        <f t="shared" ca="1" si="492"/>
        <v>#DIV/0!</v>
      </c>
      <c r="EF288" s="85" t="e">
        <f ca="1">IF(DL288&lt;=Hypothèses!$V$7,Hypothèses!$W$7,IF(DL288&lt;=Hypothèses!$V$8,Hypothèses!$W$8,IF(DL288&lt;=Hypothèses!$V$9,Hypothèses!$W$9,IF(DL288&lt;=Hypothèses!$V$10,Hypothèses!$W$10,IF(DL288&lt;=Hypothèses!$V$11,Hypothèses!$W$11,IF(DL288&lt;=Hypothèses!$V$12,Hypothèses!$W$12,IF(DL288&lt;=Hypothèses!$V$13,Hypothèses!$W$13,IF(DL288&lt;=Hypothèses!$V$14,Hypothèses!$W$14,IF(DL288&lt;=Hypothèses!$V$15,Hypothèses!$W$15,IF(DL288&lt;=Hypothèses!$V$16,Hypothèses!$W$16,IF(DL288&lt;=Hypothèses!$V$17,Hypothèses!$W$17,IF(DL288&lt;=Hypothèses!$V$18,Hypothèses!$W$18,""))))))))))))</f>
        <v>#DIV/0!</v>
      </c>
      <c r="EG288" s="87" t="e">
        <f t="shared" ca="1" si="522"/>
        <v>#DIV/0!</v>
      </c>
      <c r="EH288" s="88" t="e">
        <f ca="1">IF(DL288&lt;=Hypothèses!$V$7,Hypothèses!$X$7,IF(DL288&lt;=Hypothèses!$V$8,Hypothèses!$X$8,IF(DL288&lt;=Hypothèses!$V$9,Hypothèses!$X$9,IF(DL288&lt;=Hypothèses!$V$10,Hypothèses!$X$10,IF(DL288&lt;=Hypothèses!$V$11,Hypothèses!$X$11,IF(DL288&lt;=Hypothèses!$V$12,Hypothèses!$X$12,IF(DL288&lt;=Hypothèses!$V$13,Hypothèses!$X$13,IF(DL288&lt;=Hypothèses!$V$14,Hypothèses!$X$14,IF(DL288&lt;=Hypothèses!$V$15,Hypothèses!$X$15,IF(DL288&lt;=Hypothèses!$V$16,Hypothèses!$X$16,IF(DL288&lt;=Hypothèses!$U$17,Hypothèses!$W$17,IF(DL288&lt;=Hypothèses!$U$18,Hypothèses!$W$18,""))))))))))))</f>
        <v>#DIV/0!</v>
      </c>
      <c r="EI288" s="95" t="e">
        <f t="shared" ca="1" si="493"/>
        <v>#DIV/0!</v>
      </c>
      <c r="EJ288" s="101">
        <f t="shared" si="529"/>
        <v>0</v>
      </c>
      <c r="EK288" s="91">
        <f t="shared" si="460"/>
        <v>0</v>
      </c>
      <c r="EL288" s="30" t="e">
        <f t="shared" si="512"/>
        <v>#N/A</v>
      </c>
      <c r="EM288" s="30" t="e">
        <f t="shared" si="513"/>
        <v>#N/A</v>
      </c>
      <c r="EN288" s="31" t="e">
        <f>IF(OR(Hypothèses!$B$4=17,Hypothèses!$B$4=18,Hypothèses!$B$4=19,Hypothèses!$B$4=20),
IF($D288="Pressio.",
IF(OR($E288=3,$E288=1,$E288=4),EM288,EL288),
IF($D288="Pénétro.",
IF(OR($E288=3,$E288=1,$E288=4),EM288,EL288))),IF($D288="Pressio.",
IF($E288=3,EM288,EL288),
IF($D288="Pénétro.",
IF($E288=4,EM288,EL288))))</f>
        <v>#N/A</v>
      </c>
      <c r="EO288" s="31">
        <v>0</v>
      </c>
      <c r="EP288" s="102" t="e">
        <f>IF(NDC!$H$10="Oui",(VLOOKUP($B$3,'Coeff EC7'!$T$39:$X$59,2,0)*EN288+VLOOKUP($B$3,'Coeff EC7'!$T$65:$X$85,2,0)*Model0.1T!EO288)/1.5,PI()*EL$12*$Q288*($B288-$B287)*0.15/10+EP287)</f>
        <v>#N/A</v>
      </c>
      <c r="EQ288" s="102" t="e">
        <f>(VLOOKUP($B$3,'Coeff EC7'!$T$39:$X$59,3,0)*EN288+VLOOKUP($B$3,'Coeff EC7'!$T$65:$X$85,3,0)*Model0.1T!EO288)/1.1</f>
        <v>#N/A</v>
      </c>
      <c r="ER288" s="102" t="e">
        <f t="shared" si="494"/>
        <v>#N/A</v>
      </c>
      <c r="ES288" s="102" t="e">
        <f t="shared" si="495"/>
        <v>#N/A</v>
      </c>
      <c r="ET288" s="414" t="e">
        <f>IF(AND(EP288&gt;NDC!$C$63,EQ288&gt;NDC!$C$65,ER288&gt;NDC!$D$73,ES288&gt;NDC!$D$74,$B288&gt;NDC!$H$22-0.1+MIN(3*ET$12,1.5)),0,1)</f>
        <v>#N/A</v>
      </c>
      <c r="EU288" s="86" t="b">
        <f t="shared" si="461"/>
        <v>0</v>
      </c>
      <c r="EV288" s="86">
        <f t="shared" si="462"/>
        <v>0.61</v>
      </c>
      <c r="EW288" s="86">
        <f t="shared" si="463"/>
        <v>0.61</v>
      </c>
      <c r="EX288" s="30" t="e">
        <f t="shared" ca="1" si="496"/>
        <v>#DIV/0!</v>
      </c>
      <c r="EY288" s="85" t="e">
        <f ca="1">IF(EE288&lt;=Hypothèses!$V$7,Hypothèses!$W$7,IF(EE288&lt;=Hypothèses!$V$8,Hypothèses!$W$8,IF(EE288&lt;=Hypothèses!$V$9,Hypothèses!$W$9,IF(EE288&lt;=Hypothèses!$V$10,Hypothèses!$W$10,IF(EE288&lt;=Hypothèses!$V$11,Hypothèses!$W$11,IF(EE288&lt;=Hypothèses!$V$12,Hypothèses!$W$12,IF(EE288&lt;=Hypothèses!$V$13,Hypothèses!$W$13,IF(EE288&lt;=Hypothèses!$V$14,Hypothèses!$W$14,IF(EE288&lt;=Hypothèses!$V$15,Hypothèses!$W$15,IF(EE288&lt;=Hypothèses!$V$16,Hypothèses!$W$16,IF(EE288&lt;=Hypothèses!$V$17,Hypothèses!$W$17,IF(EE288&lt;=Hypothèses!$V$18,Hypothèses!$W$18,""))))))))))))</f>
        <v>#DIV/0!</v>
      </c>
      <c r="EZ288" s="87" t="e">
        <f t="shared" ca="1" si="523"/>
        <v>#DIV/0!</v>
      </c>
      <c r="FA288" s="88" t="e">
        <f ca="1">IF(EE288&lt;=Hypothèses!$V$7,Hypothèses!$X$7,IF(EE288&lt;=Hypothèses!$V$8,Hypothèses!$X$8,IF(EE288&lt;=Hypothèses!$V$9,Hypothèses!$X$9,IF(EE288&lt;=Hypothèses!$V$10,Hypothèses!$X$10,IF(EE288&lt;=Hypothèses!$V$11,Hypothèses!$X$11,IF(EE288&lt;=Hypothèses!$V$12,Hypothèses!$X$12,IF(EE288&lt;=Hypothèses!$V$13,Hypothèses!$X$13,IF(EE288&lt;=Hypothèses!$V$14,Hypothèses!$X$14,IF(EE288&lt;=Hypothèses!$V$15,Hypothèses!$X$15,IF(EE288&lt;=Hypothèses!$V$16,Hypothèses!$X$16,IF(EE288&lt;=Hypothèses!$U$17,Hypothèses!$W$17,IF(EE288&lt;=Hypothèses!$U$18,Hypothèses!$W$18,""))))))))))))</f>
        <v>#DIV/0!</v>
      </c>
      <c r="FB288" s="95" t="e">
        <f t="shared" ca="1" si="497"/>
        <v>#DIV/0!</v>
      </c>
      <c r="FC288" s="101">
        <f t="shared" si="530"/>
        <v>0</v>
      </c>
      <c r="FD288" s="91">
        <f t="shared" si="464"/>
        <v>0</v>
      </c>
      <c r="FE288" s="30" t="e">
        <f t="shared" si="514"/>
        <v>#N/A</v>
      </c>
      <c r="FF288" s="30" t="e">
        <f t="shared" si="515"/>
        <v>#N/A</v>
      </c>
      <c r="FG288" s="31" t="e">
        <f>IF(OR(Hypothèses!$B$4=17,Hypothèses!$B$4=18,Hypothèses!$B$4=19,Hypothèses!$B$4=20),
IF($D288="Pressio.",
IF(OR($E288=3,$E288=1,$E288=4),FF288,FE288),
IF($D288="Pénétro.",
IF(OR($E288=3,$E288=1,$E288=4),FF288,FE288))),IF($D288="Pressio.",
IF($E288=3,FF288,FE288),
IF($D288="Pénétro.",
IF($E288=4,FF288,FE288))))</f>
        <v>#N/A</v>
      </c>
      <c r="FH288" s="31">
        <v>0</v>
      </c>
      <c r="FI288" s="102" t="e">
        <f>IF(NDC!$H$10="Oui",(VLOOKUP($B$3,'Coeff EC7'!$T$39:$X$59,2,0)*FG288+VLOOKUP($B$3,'Coeff EC7'!$T$65:$X$85,2,0)*Model0.1T!FH288)/1.5,PI()*FE$12*$Q288*($B288-$B287)*0.15/10+FI287)</f>
        <v>#N/A</v>
      </c>
      <c r="FJ288" s="102" t="e">
        <f>(VLOOKUP($B$3,'Coeff EC7'!$T$39:$X$59,3,0)*FG288+VLOOKUP($B$3,'Coeff EC7'!$T$65:$X$85,3,0)*Model0.1T!FH288)/1.1</f>
        <v>#N/A</v>
      </c>
      <c r="FK288" s="102" t="e">
        <f t="shared" si="498"/>
        <v>#N/A</v>
      </c>
      <c r="FL288" s="102" t="e">
        <f t="shared" si="499"/>
        <v>#N/A</v>
      </c>
      <c r="FM288" s="414" t="e">
        <f>IF(AND(FI288&gt;NDC!$C$63,FJ288&gt;NDC!$C$65,FK288&gt;NDC!$D$73,FL288&gt;NDC!$D$74,$B288&gt;NDC!$H$22-0.1+MIN(3*FM$12,1.5)),0,1)</f>
        <v>#N/A</v>
      </c>
    </row>
    <row r="289" spans="1:169">
      <c r="A289" s="96">
        <f t="shared" si="465"/>
        <v>72.400000000001569</v>
      </c>
      <c r="B289" s="97">
        <v>27.6</v>
      </c>
      <c r="C289" s="81">
        <f>IF(B289&lt;=Hypothèses!$C$7,Hypothèses!$A$7,IF(B289&lt;=Hypothèses!$C$8,Hypothèses!$A$8,IF(B289&lt;=Hypothèses!$C$9,Hypothèses!$A$9,IF(B289&lt;=Hypothèses!$C$10,Hypothèses!$A$10,IF(B289&lt;=Hypothèses!$C$11,Hypothèses!$A$11,IF(B289&lt;=Hypothèses!$C$12,Hypothèses!$A$12,IF(B289&lt;=Hypothèses!$C$13,Hypothèses!$A$13,IF(B289&lt;=Hypothèses!$C$14,Hypothèses!$A$14,IF(B289&lt;=Hypothèses!$C$15,Hypothèses!$A$15,IF(B289&lt;=Hypothèses!$C$16,Hypothèses!$A$16,IF(B289&lt;=Hypothèses!$C$17,Hypothèses!$A$17,IF(B289&lt;=Hypothèses!$C$18,Hypothèses!$A$18,C288))))))))))))</f>
        <v>11</v>
      </c>
      <c r="D289" s="82" t="str">
        <f>IF(B289&lt;=Hypothèses!$C$7,Hypothèses!$R$7,IF(B289&lt;=Hypothèses!$C$8,Hypothèses!$R$8,IF(B289&lt;=Hypothèses!$C$9,Hypothèses!$R$9,IF(B289&lt;=Hypothèses!$C$10,Hypothèses!$R$10,IF(B289&lt;=Hypothèses!$C$11,Hypothèses!$R$11,IF(B289&lt;=Hypothèses!$C$12,Hypothèses!$R$12,IF(B289&lt;=Hypothèses!$C$13,Hypothèses!$R$13,IF(B289&lt;=Hypothèses!$C$14,Hypothèses!$R$14,IF(B289&lt;=Hypothèses!$C$15,Hypothèses!$R$15,IF(B289&lt;=Hypothèses!$C$16,Hypothèses!$R$16,IF(B289&lt;=Hypothèses!$C$17,Hypothèses!$R$17,IF(B289&lt;=Hypothèses!$C$18,Hypothèses!$R$18,D288))))))))))))</f>
        <v>Pressio.</v>
      </c>
      <c r="E289" s="82" t="e">
        <f>IF(B289&lt;=Hypothèses!$C$7,Hypothèses!$G$7,IF(B289&lt;=Hypothèses!$C$8,Hypothèses!$G$8,IF(B289&lt;=Hypothèses!$C$9,Hypothèses!$G$9,IF(B289&lt;=Hypothèses!$C$10,Hypothèses!$G$10,IF(B289&lt;=Hypothèses!$C$11,Hypothèses!$G$11,IF(B289&lt;=Hypothèses!$C$12,Hypothèses!$G$12,IF(B289&lt;=Hypothèses!$C$13,Hypothèses!$G$13,IF(B289&lt;=Hypothèses!$C$14,Hypothèses!$G$14,IF(B289&lt;=Hypothèses!$C$15,Hypothèses!$G$15,IF(B289&lt;=Hypothèses!$C$16,Hypothèses!$G$16,IF(B289&lt;=Hypothèses!$C$17,Hypothèses!$G$17,IF(B289&lt;=Hypothèses!$C$18,Hypothèses!$G$18,E288))))))))))))</f>
        <v>#N/A</v>
      </c>
      <c r="F289" s="82" t="str">
        <f>IF(B289&lt;=Hypothèses!$C$7,Hypothèses!$F$7,IF(B289&lt;=Hypothèses!$C$8,Hypothèses!$F$8,IF(B289&lt;=Hypothèses!$C$9,Hypothèses!$F$9,IF(B289&lt;=Hypothèses!$C$10,Hypothèses!$F$10,IF(B289&lt;=Hypothèses!$C$11,Hypothèses!$F$11,IF(B289&lt;=Hypothèses!$C$12,Hypothèses!$F$12,IF(B289&lt;=Hypothèses!$C$13,Hypothèses!$F$13,IF(B289&lt;=Hypothèses!$C$14,Hypothèses!$F$14,IF(B289&lt;=Hypothèses!$C$15,Hypothèses!$F$15,IF(B289&lt;=Hypothèses!$C$16,Hypothèses!$F$16,IF(B289&lt;=Hypothèses!$C$17,Hypothèses!$F$17,IF(B289&lt;=Hypothèses!$C$18,Hypothèses!$F$18,F288))))))))))))</f>
        <v/>
      </c>
      <c r="G289" s="91">
        <f t="array" ref="G289">INDEX('Coeff EC7'!$U$7:$X$27,
MATCH(Model0.1T!$B$3,'Coeff EC7'!$T$7:$T$27,0),
MATCH(Model0.1T!$D289&amp;Model0.1T!$B$4,
'Coeff EC7'!$U$6:$X$6&amp;
'Coeff EC7'!$U$5:$X$5,0))</f>
        <v>1.4</v>
      </c>
      <c r="H289" s="91">
        <f t="array" ref="H289">INDEX('Coeff EC7'!$Y$7:$AB$27,
MATCH(Model0.1T!$B$3,'Coeff EC7'!$T$7:$T$27,0),
MATCH(Model0.1T!$D289&amp;Model0.1T!$B$4,
'Coeff EC7'!$Y$6:$AB$6&amp;
'Coeff EC7'!$Y$5:$AB$5,0))</f>
        <v>1.7</v>
      </c>
      <c r="I289" s="83">
        <v>0</v>
      </c>
      <c r="J289" s="91" t="e">
        <f t="array" ref="J289">INDEX('Coeff EC7'!$D$33:$Q$33,1,MATCH(D289&amp;E289,'Coeff EC7'!$D$31:$Q$31&amp;'Coeff EC7'!$D$32:$Q$32,0))</f>
        <v>#N/A</v>
      </c>
      <c r="K289" s="91" t="e">
        <f t="array" ref="K289">INDEX('Coeff EC7'!$D$34:$Q$34,1,MATCH(D289&amp;E289,'Coeff EC7'!$D$31:$Q$31&amp;'Coeff EC7'!$D$32:$Q$32,0))</f>
        <v>#N/A</v>
      </c>
      <c r="L289" s="91" t="e">
        <f t="array" ref="L289">INDEX('Coeff EC7'!$D$35:$Q$35,1,MATCH(D289&amp;E289,'Coeff EC7'!$D$31:$Q$31&amp;'Coeff EC7'!$D$32:$Q$32,0))</f>
        <v>#N/A</v>
      </c>
      <c r="M289" s="98" t="e">
        <f t="shared" si="431"/>
        <v>#N/A</v>
      </c>
      <c r="N289" s="99" t="e">
        <f t="array" ref="N289">INDEX('Coeff EC7'!$D$7:$Q$27,MATCH($B$3,'Coeff EC7'!$C$7:$C$27,0),MATCH(D289&amp;E289,'Coeff EC7'!$D$5:$Q$5&amp;'Coeff EC7'!$D$6:$Q$6,0))</f>
        <v>#N/A</v>
      </c>
      <c r="O289" s="99" t="e">
        <f t="array" ref="O289">INDEX('Coeff EC7'!$D$41:$Q$61,MATCH($B$3,'Coeff EC7'!$C$41:$C$61,0),MATCH(D289&amp;E289,'Coeff EC7'!$D$39:$Q$39&amp;'Coeff EC7'!$D$40:$Q$40,0))</f>
        <v>#N/A</v>
      </c>
      <c r="P289" s="30" t="e">
        <f t="shared" si="466"/>
        <v>#N/A</v>
      </c>
      <c r="Q289" s="100" t="e">
        <f t="shared" si="433"/>
        <v>#N/A</v>
      </c>
      <c r="R289" s="86" t="b">
        <f t="shared" si="434"/>
        <v>0</v>
      </c>
      <c r="S289" s="86">
        <f t="shared" si="432"/>
        <v>0.5</v>
      </c>
      <c r="T289" s="86">
        <f t="shared" si="435"/>
        <v>0.5</v>
      </c>
      <c r="U289" s="30" t="e">
        <f t="shared" ca="1" si="467"/>
        <v>#DIV/0!</v>
      </c>
      <c r="V289" s="85" t="str">
        <f>IF(B289&lt;=Hypothèses!$V$7,Hypothèses!$W$7,IF(B289&lt;=Hypothèses!$V$8,Hypothèses!$W$8,IF(B289&lt;=Hypothèses!$V$9,Hypothèses!$W$9,IF(B289&lt;=Hypothèses!$V$10,Hypothèses!$W$10,IF(B289&lt;=Hypothèses!$V$11,Hypothèses!$W$11,IF(B289&lt;=Hypothèses!$V$12,Hypothèses!$W$12,IF(B289&lt;=Hypothèses!$V$13,Hypothèses!$W$13,IF(B289&lt;=Hypothèses!$V$14,Hypothèses!$W$14,IF(B289&lt;=Hypothèses!$V$15,Hypothèses!$W$15,IF(B289&lt;=Hypothèses!$V$16,Hypothèses!$W$16,IF(B289&lt;=Hypothèses!$V$17,Hypothèses!$W$17,IF(B289&lt;=Hypothèses!$V$18,Hypothèses!$W$18,""))))))))))))</f>
        <v/>
      </c>
      <c r="W289" s="87" t="e">
        <f t="shared" ca="1" si="516"/>
        <v>#DIV/0!</v>
      </c>
      <c r="X289" s="88" t="str">
        <f>IF(B289&lt;=Hypothèses!$V$7,Hypothèses!$X$7,IF(B289&lt;=Hypothèses!$V$8,Hypothèses!$X$8,IF(B289&lt;=Hypothèses!$V$9,Hypothèses!$X$9,IF(B289&lt;=Hypothèses!$V$10,Hypothèses!$X$10,IF(B289&lt;=Hypothèses!$V$11,Hypothèses!$X$11,IF(B289&lt;=Hypothèses!$V$12,Hypothèses!$X$12,IF(B289&lt;=Hypothèses!$V$13,Hypothèses!$X$13,IF(B289&lt;=Hypothèses!$V$14,Hypothèses!$X$14,IF(B289&lt;=Hypothèses!$V$15,Hypothèses!$X$15,IF(B289&lt;=Hypothèses!$V$16,Hypothèses!$X$16,IF(B289&lt;=Hypothèses!$U$17,Hypothèses!$W$17,IF(B289&lt;=Hypothèses!$U$18,Hypothèses!$W$18,""))))))))))))</f>
        <v/>
      </c>
      <c r="Y289" s="95" t="e">
        <f t="shared" ca="1" si="436"/>
        <v>#DIV/0!</v>
      </c>
      <c r="Z289" s="101">
        <f t="shared" si="437"/>
        <v>0</v>
      </c>
      <c r="AA289" s="91">
        <f t="shared" si="438"/>
        <v>0</v>
      </c>
      <c r="AB289" s="30" t="e">
        <f t="shared" si="500"/>
        <v>#N/A</v>
      </c>
      <c r="AC289" s="30" t="e">
        <f t="shared" si="501"/>
        <v>#N/A</v>
      </c>
      <c r="AD289" s="31" t="e">
        <f>IF(OR(Hypothèses!$B$4=17,Hypothèses!$B$4=18,Hypothèses!$B$4=19,Hypothèses!$B$4=20),
IF($D289="Pressio.",
IF(OR($E289=3,$E289=1,$E289=4),AC289,AB289),
IF($D289="Pénétro.",
IF(OR($E289=3,$E289=1,$E289=4),AC289,AB289))),IF($D289="Pressio.",
IF($E289=3,AC289,AB289),
IF($D289="Pénétro.",
IF($E289=4,AC289,AB289))))</f>
        <v>#N/A</v>
      </c>
      <c r="AE289" s="31">
        <v>0</v>
      </c>
      <c r="AF289" s="102" t="e">
        <f>IF(NDC!$H$10="Oui",(VLOOKUP($B$3,'Coeff EC7'!$T$39:$X$59,2,0)*AD289+VLOOKUP($B$3,'Coeff EC7'!$T$65:$X$85,2,0)*Model0.1T!AE289)/1.5,PI()*AB$12*$Q289*($B289-$B288)*0.15/10+AF288)</f>
        <v>#N/A</v>
      </c>
      <c r="AG289" s="102" t="e">
        <f>(VLOOKUP($B$3,'Coeff EC7'!$T$39:$X$59,3,0)*AD289+VLOOKUP($B$3,'Coeff EC7'!$T$65:$X$85,3,0)*Model0.1T!AE289)/1.1</f>
        <v>#N/A</v>
      </c>
      <c r="AH289" s="102" t="e">
        <f t="shared" si="468"/>
        <v>#N/A</v>
      </c>
      <c r="AI289" s="102" t="e">
        <f t="shared" si="469"/>
        <v>#N/A</v>
      </c>
      <c r="AJ289" s="414" t="e">
        <f>IF(AND(AF289&gt;NDC!$C$63,AG289&gt;NDC!$C$65,AH289&gt;NDC!$D$73,AI289&gt;NDC!$D$74,$B289&gt;NDC!$H$22-0.1+MIN(3*$AJ$12,1.5)),0,1)</f>
        <v>#N/A</v>
      </c>
      <c r="AK289" s="86" t="b">
        <f t="shared" si="439"/>
        <v>0</v>
      </c>
      <c r="AL289" s="86">
        <f t="shared" si="470"/>
        <v>0.5</v>
      </c>
      <c r="AM289" s="86">
        <f t="shared" si="440"/>
        <v>0.5</v>
      </c>
      <c r="AN289" s="30" t="e">
        <f t="shared" ca="1" si="471"/>
        <v>#DIV/0!</v>
      </c>
      <c r="AO289" s="85" t="e">
        <f ca="1">IF(U289&lt;=Hypothèses!$V$7,Hypothèses!$W$7,IF(U289&lt;=Hypothèses!$V$8,Hypothèses!$W$8,IF(U289&lt;=Hypothèses!$V$9,Hypothèses!$W$9,IF(U289&lt;=Hypothèses!$V$10,Hypothèses!$W$10,IF(U289&lt;=Hypothèses!$V$11,Hypothèses!$W$11,IF(U289&lt;=Hypothèses!$V$12,Hypothèses!$W$12,IF(U289&lt;=Hypothèses!$V$13,Hypothèses!$W$13,IF(U289&lt;=Hypothèses!$V$14,Hypothèses!$W$14,IF(U289&lt;=Hypothèses!$V$15,Hypothèses!$W$15,IF(U289&lt;=Hypothèses!$V$16,Hypothèses!$W$16,IF(U289&lt;=Hypothèses!$V$17,Hypothèses!$W$17,IF(U289&lt;=Hypothèses!$V$18,Hypothèses!$W$18,""))))))))))))</f>
        <v>#DIV/0!</v>
      </c>
      <c r="AP289" s="87" t="e">
        <f t="shared" ca="1" si="517"/>
        <v>#DIV/0!</v>
      </c>
      <c r="AQ289" s="88" t="e">
        <f ca="1">IF(U289&lt;=Hypothèses!$V$7,Hypothèses!$X$7,IF(U289&lt;=Hypothèses!$V$8,Hypothèses!$X$8,IF(U289&lt;=Hypothèses!$V$9,Hypothèses!$X$9,IF(U289&lt;=Hypothèses!$V$10,Hypothèses!$X$10,IF(U289&lt;=Hypothèses!$V$11,Hypothèses!$X$11,IF(U289&lt;=Hypothèses!$V$12,Hypothèses!$X$12,IF(U289&lt;=Hypothèses!$V$13,Hypothèses!$X$13,IF(U289&lt;=Hypothèses!$V$14,Hypothèses!$X$14,IF(U289&lt;=Hypothèses!$V$15,Hypothèses!$X$15,IF(U289&lt;=Hypothèses!$V$16,Hypothèses!$X$16,IF(U289&lt;=Hypothèses!$U$17,Hypothèses!$W$17,IF(U289&lt;=Hypothèses!$U$18,Hypothèses!$W$18,""))))))))))))</f>
        <v>#DIV/0!</v>
      </c>
      <c r="AR289" s="95" t="e">
        <f t="shared" ca="1" si="472"/>
        <v>#DIV/0!</v>
      </c>
      <c r="AS289" s="101">
        <f t="shared" si="524"/>
        <v>0</v>
      </c>
      <c r="AT289" s="91">
        <f t="shared" si="441"/>
        <v>0</v>
      </c>
      <c r="AU289" s="30" t="e">
        <f t="shared" si="502"/>
        <v>#N/A</v>
      </c>
      <c r="AV289" s="30" t="e">
        <f t="shared" si="503"/>
        <v>#N/A</v>
      </c>
      <c r="AW289" s="31" t="e">
        <f>IF(OR(Hypothèses!$B$4=17,Hypothèses!$B$4=18,Hypothèses!$B$4=19,Hypothèses!$B$4=20),
IF($D289="Pressio.",
IF(OR($E289=3,$E289=1,$E289=4),AV289,AU289),
IF($D289="Pénétro.",
IF(OR($E289=3,$E289=1,$E289=4),AV289,AU289))),IF($D289="Pressio.",
IF($E289=3,AV289,AU289),
IF($D289="Pénétro.",
IF($E289=4,AV289,AU289))))</f>
        <v>#N/A</v>
      </c>
      <c r="AX289" s="31">
        <v>0</v>
      </c>
      <c r="AY289" s="102" t="e">
        <f>IF(NDC!$H$10="Oui",(VLOOKUP($B$3,'Coeff EC7'!$T$39:$X$59,2,0)*AW289+VLOOKUP($B$3,'Coeff EC7'!$T$65:$X$85,2,0)*Model0.1T!AX289)/1.5,PI()*AU$12*$Q289*($B289-$B288)*0.15/10+AY288)</f>
        <v>#N/A</v>
      </c>
      <c r="AZ289" s="102" t="e">
        <f>(VLOOKUP($B$3,'Coeff EC7'!$T$39:$X$59,3,0)*AW289+VLOOKUP($B$3,'Coeff EC7'!$T$65:$X$85,3,0)*Model0.1T!AX289)/1.1</f>
        <v>#N/A</v>
      </c>
      <c r="BA289" s="102" t="e">
        <f t="shared" si="473"/>
        <v>#N/A</v>
      </c>
      <c r="BB289" s="102" t="e">
        <f t="shared" si="474"/>
        <v>#N/A</v>
      </c>
      <c r="BC289" s="414" t="e">
        <f>IF(AND(AY289&gt;NDC!$C$63,AZ289&gt;NDC!$C$65,BA289&gt;NDC!$D$73,BB289&gt;NDC!$D$74,$B289&gt;NDC!$H$22-0.1+MIN(3*BC$12,1.5)),0,1)</f>
        <v>#N/A</v>
      </c>
      <c r="BD289" s="86" t="b">
        <f t="shared" si="442"/>
        <v>0</v>
      </c>
      <c r="BE289" s="86">
        <f t="shared" si="475"/>
        <v>0.5</v>
      </c>
      <c r="BF289" s="86">
        <f t="shared" si="443"/>
        <v>0.5</v>
      </c>
      <c r="BG289" s="30" t="e">
        <f t="shared" ca="1" si="476"/>
        <v>#DIV/0!</v>
      </c>
      <c r="BH289" s="85" t="e">
        <f ca="1">IF(AN289&lt;=Hypothèses!$V$7,Hypothèses!$W$7,IF(AN289&lt;=Hypothèses!$V$8,Hypothèses!$W$8,IF(AN289&lt;=Hypothèses!$V$9,Hypothèses!$W$9,IF(AN289&lt;=Hypothèses!$V$10,Hypothèses!$W$10,IF(AN289&lt;=Hypothèses!$V$11,Hypothèses!$W$11,IF(AN289&lt;=Hypothèses!$V$12,Hypothèses!$W$12,IF(AN289&lt;=Hypothèses!$V$13,Hypothèses!$W$13,IF(AN289&lt;=Hypothèses!$V$14,Hypothèses!$W$14,IF(AN289&lt;=Hypothèses!$V$15,Hypothèses!$W$15,IF(AN289&lt;=Hypothèses!$V$16,Hypothèses!$W$16,IF(AN289&lt;=Hypothèses!$V$17,Hypothèses!$W$17,IF(AN289&lt;=Hypothèses!$V$18,Hypothèses!$W$18,""))))))))))))</f>
        <v>#DIV/0!</v>
      </c>
      <c r="BI289" s="87" t="e">
        <f t="shared" ca="1" si="518"/>
        <v>#DIV/0!</v>
      </c>
      <c r="BJ289" s="88" t="e">
        <f ca="1">IF(AN289&lt;=Hypothèses!$V$7,Hypothèses!$X$7,IF(AN289&lt;=Hypothèses!$V$8,Hypothèses!$X$8,IF(AN289&lt;=Hypothèses!$V$9,Hypothèses!$X$9,IF(AN289&lt;=Hypothèses!$V$10,Hypothèses!$X$10,IF(AN289&lt;=Hypothèses!$V$11,Hypothèses!$X$11,IF(AN289&lt;=Hypothèses!$V$12,Hypothèses!$X$12,IF(AN289&lt;=Hypothèses!$V$13,Hypothèses!$X$13,IF(AN289&lt;=Hypothèses!$V$14,Hypothèses!$X$14,IF(AN289&lt;=Hypothèses!$V$15,Hypothèses!$X$15,IF(AN289&lt;=Hypothèses!$V$16,Hypothèses!$X$16,IF(AN289&lt;=Hypothèses!$U$17,Hypothèses!$W$17,IF(AN289&lt;=Hypothèses!$U$18,Hypothèses!$W$18,""))))))))))))</f>
        <v>#DIV/0!</v>
      </c>
      <c r="BK289" s="95" t="e">
        <f t="shared" ca="1" si="477"/>
        <v>#DIV/0!</v>
      </c>
      <c r="BL289" s="101">
        <f t="shared" si="525"/>
        <v>0</v>
      </c>
      <c r="BM289" s="91">
        <f t="shared" si="444"/>
        <v>0</v>
      </c>
      <c r="BN289" s="30" t="e">
        <f t="shared" si="504"/>
        <v>#N/A</v>
      </c>
      <c r="BO289" s="30" t="e">
        <f t="shared" si="505"/>
        <v>#N/A</v>
      </c>
      <c r="BP289" s="31" t="e">
        <f>IF(OR(Hypothèses!$B$4=17,Hypothèses!$B$4=18,Hypothèses!$B$4=19,Hypothèses!$B$4=20),
IF($D289="Pressio.",
IF(OR($E289=3,$E289=1,$E289=4),BO289,BN289),
IF($D289="Pénétro.",
IF(OR($E289=3,$E289=1,$E289=4),BO289,BN289))),IF($D289="Pressio.",
IF($E289=3,BO289,BN289),
IF($D289="Pénétro.",
IF($E289=4,BO289,BN289))))</f>
        <v>#N/A</v>
      </c>
      <c r="BQ289" s="31">
        <v>0</v>
      </c>
      <c r="BR289" s="102" t="e">
        <f>IF(NDC!$H$10="Oui",(VLOOKUP($B$3,'Coeff EC7'!$T$39:$X$59,2,0)*BP289+VLOOKUP($B$3,'Coeff EC7'!$T$65:$X$85,2,0)*Model0.1T!BQ289)/1.5,PI()*BN$12*$Q289*($B289-$B288)*0.15/10+BR288)</f>
        <v>#N/A</v>
      </c>
      <c r="BS289" s="102" t="e">
        <f>(VLOOKUP($B$3,'Coeff EC7'!$T$39:$X$59,3,0)*BP289+VLOOKUP($B$3,'Coeff EC7'!$T$65:$X$85,3,0)*Model0.1T!BQ289)/1.1</f>
        <v>#N/A</v>
      </c>
      <c r="BT289" s="102" t="e">
        <f t="shared" si="478"/>
        <v>#N/A</v>
      </c>
      <c r="BU289" s="102" t="e">
        <f t="shared" si="479"/>
        <v>#N/A</v>
      </c>
      <c r="BV289" s="414" t="e">
        <f>IF(AND(BR289&gt;NDC!$C$63,BS289&gt;NDC!$C$65,BT289&gt;NDC!$D$73,BU289&gt;NDC!$D$74,$B289&gt;NDC!$H$22-0.1+MIN(3*BV$12,1.5)),0,1)</f>
        <v>#N/A</v>
      </c>
      <c r="BW289" s="86" t="b">
        <f t="shared" si="445"/>
        <v>0</v>
      </c>
      <c r="BX289" s="86">
        <f t="shared" si="446"/>
        <v>0.5</v>
      </c>
      <c r="BY289" s="86">
        <f t="shared" si="447"/>
        <v>0.5</v>
      </c>
      <c r="BZ289" s="30" t="e">
        <f t="shared" ca="1" si="480"/>
        <v>#DIV/0!</v>
      </c>
      <c r="CA289" s="85" t="e">
        <f ca="1">IF(BG289&lt;=Hypothèses!$V$7,Hypothèses!$W$7,IF(BG289&lt;=Hypothèses!$V$8,Hypothèses!$W$8,IF(BG289&lt;=Hypothèses!$V$9,Hypothèses!$W$9,IF(BG289&lt;=Hypothèses!$V$10,Hypothèses!$W$10,IF(BG289&lt;=Hypothèses!$V$11,Hypothèses!$W$11,IF(BG289&lt;=Hypothèses!$V$12,Hypothèses!$W$12,IF(BG289&lt;=Hypothèses!$V$13,Hypothèses!$W$13,IF(BG289&lt;=Hypothèses!$V$14,Hypothèses!$W$14,IF(BG289&lt;=Hypothèses!$V$15,Hypothèses!$W$15,IF(BG289&lt;=Hypothèses!$V$16,Hypothèses!$W$16,IF(BG289&lt;=Hypothèses!$V$17,Hypothèses!$W$17,IF(BG289&lt;=Hypothèses!$V$18,Hypothèses!$W$18,""))))))))))))</f>
        <v>#DIV/0!</v>
      </c>
      <c r="CB289" s="87" t="e">
        <f t="shared" ca="1" si="519"/>
        <v>#DIV/0!</v>
      </c>
      <c r="CC289" s="88" t="e">
        <f ca="1">IF(BG289&lt;=Hypothèses!$V$7,Hypothèses!$X$7,IF(BG289&lt;=Hypothèses!$V$8,Hypothèses!$X$8,IF(BG289&lt;=Hypothèses!$V$9,Hypothèses!$X$9,IF(BG289&lt;=Hypothèses!$V$10,Hypothèses!$X$10,IF(BG289&lt;=Hypothèses!$V$11,Hypothèses!$X$11,IF(BG289&lt;=Hypothèses!$V$12,Hypothèses!$X$12,IF(BG289&lt;=Hypothèses!$V$13,Hypothèses!$X$13,IF(BG289&lt;=Hypothèses!$V$14,Hypothèses!$X$14,IF(BG289&lt;=Hypothèses!$V$15,Hypothèses!$X$15,IF(BG289&lt;=Hypothèses!$V$16,Hypothèses!$X$16,IF(BG289&lt;=Hypothèses!$U$17,Hypothèses!$W$17,IF(BG289&lt;=Hypothèses!$U$18,Hypothèses!$W$18,""))))))))))))</f>
        <v>#DIV/0!</v>
      </c>
      <c r="CD289" s="95" t="e">
        <f t="shared" ca="1" si="481"/>
        <v>#DIV/0!</v>
      </c>
      <c r="CE289" s="101">
        <f t="shared" si="526"/>
        <v>0</v>
      </c>
      <c r="CF289" s="91">
        <f t="shared" si="448"/>
        <v>0</v>
      </c>
      <c r="CG289" s="30" t="e">
        <f t="shared" si="506"/>
        <v>#N/A</v>
      </c>
      <c r="CH289" s="30" t="e">
        <f t="shared" si="507"/>
        <v>#N/A</v>
      </c>
      <c r="CI289" s="31" t="e">
        <f>IF(OR(Hypothèses!$B$4=17,Hypothèses!$B$4=18,Hypothèses!$B$4=19,Hypothèses!$B$4=20),
IF($D289="Pressio.",
IF(OR($E289=3,$E289=1,$E289=4),CH289,CG289),
IF($D289="Pénétro.",
IF(OR($E289=3,$E289=1,$E289=4),CH289,CG289))),IF($D289="Pressio.",
IF($E289=3,CH289,CG289),
IF($D289="Pénétro.",
IF($E289=4,CH289,CG289))))</f>
        <v>#N/A</v>
      </c>
      <c r="CJ289" s="31">
        <v>0</v>
      </c>
      <c r="CK289" s="102" t="e">
        <f>IF(NDC!$H$10="Oui",(VLOOKUP($B$3,'Coeff EC7'!$T$39:$X$59,2,0)*CI289+VLOOKUP($B$3,'Coeff EC7'!$T$65:$X$85,2,0)*Model0.1T!CJ289)/1.5,PI()*CG$12*$Q289*($B289-$B288)*0.15/10+CK288)</f>
        <v>#N/A</v>
      </c>
      <c r="CL289" s="102" t="e">
        <f>(VLOOKUP($B$3,'Coeff EC7'!$T$39:$X$59,3,0)*CI289+VLOOKUP($B$3,'Coeff EC7'!$T$65:$X$85,3,0)*Model0.1T!CJ289)/1.1</f>
        <v>#N/A</v>
      </c>
      <c r="CM289" s="102" t="e">
        <f t="shared" si="482"/>
        <v>#N/A</v>
      </c>
      <c r="CN289" s="102" t="e">
        <f t="shared" si="483"/>
        <v>#N/A</v>
      </c>
      <c r="CO289" s="414" t="e">
        <f>IF(AND(CK289&gt;NDC!$C$63,CL289&gt;NDC!$C$65,CM289&gt;NDC!$D$73,CN289&gt;NDC!$D$74,$B289&gt;NDC!$H$22-0.1+MIN(3*CO$12,1.5)),0,1)</f>
        <v>#N/A</v>
      </c>
      <c r="CP289" s="86" t="b">
        <f t="shared" si="449"/>
        <v>0</v>
      </c>
      <c r="CQ289" s="86">
        <f t="shared" si="450"/>
        <v>0.5</v>
      </c>
      <c r="CR289" s="86">
        <f t="shared" si="451"/>
        <v>0.5</v>
      </c>
      <c r="CS289" s="30" t="e">
        <f t="shared" ca="1" si="484"/>
        <v>#DIV/0!</v>
      </c>
      <c r="CT289" s="85" t="e">
        <f ca="1">IF(BZ289&lt;=Hypothèses!$V$7,Hypothèses!$W$7,IF(BZ289&lt;=Hypothèses!$V$8,Hypothèses!$W$8,IF(BZ289&lt;=Hypothèses!$V$9,Hypothèses!$W$9,IF(BZ289&lt;=Hypothèses!$V$10,Hypothèses!$W$10,IF(BZ289&lt;=Hypothèses!$V$11,Hypothèses!$W$11,IF(BZ289&lt;=Hypothèses!$V$12,Hypothèses!$W$12,IF(BZ289&lt;=Hypothèses!$V$13,Hypothèses!$W$13,IF(BZ289&lt;=Hypothèses!$V$14,Hypothèses!$W$14,IF(BZ289&lt;=Hypothèses!$V$15,Hypothèses!$W$15,IF(BZ289&lt;=Hypothèses!$V$16,Hypothèses!$W$16,IF(BZ289&lt;=Hypothèses!$V$17,Hypothèses!$W$17,IF(BZ289&lt;=Hypothèses!$V$18,Hypothèses!$W$18,""))))))))))))</f>
        <v>#DIV/0!</v>
      </c>
      <c r="CU289" s="87" t="e">
        <f t="shared" ca="1" si="520"/>
        <v>#DIV/0!</v>
      </c>
      <c r="CV289" s="88" t="e">
        <f ca="1">IF(BZ289&lt;=Hypothèses!$V$7,Hypothèses!$X$7,IF(BZ289&lt;=Hypothèses!$V$8,Hypothèses!$X$8,IF(BZ289&lt;=Hypothèses!$V$9,Hypothèses!$X$9,IF(BZ289&lt;=Hypothèses!$V$10,Hypothèses!$X$10,IF(BZ289&lt;=Hypothèses!$V$11,Hypothèses!$X$11,IF(BZ289&lt;=Hypothèses!$V$12,Hypothèses!$X$12,IF(BZ289&lt;=Hypothèses!$V$13,Hypothèses!$X$13,IF(BZ289&lt;=Hypothèses!$V$14,Hypothèses!$X$14,IF(BZ289&lt;=Hypothèses!$V$15,Hypothèses!$X$15,IF(BZ289&lt;=Hypothèses!$V$16,Hypothèses!$X$16,IF(BZ289&lt;=Hypothèses!$U$17,Hypothèses!$W$17,IF(BZ289&lt;=Hypothèses!$U$18,Hypothèses!$W$18,""))))))))))))</f>
        <v>#DIV/0!</v>
      </c>
      <c r="CW289" s="95" t="e">
        <f t="shared" ca="1" si="485"/>
        <v>#DIV/0!</v>
      </c>
      <c r="CX289" s="101">
        <f t="shared" si="527"/>
        <v>0</v>
      </c>
      <c r="CY289" s="91">
        <f t="shared" si="452"/>
        <v>0</v>
      </c>
      <c r="CZ289" s="30" t="e">
        <f t="shared" si="508"/>
        <v>#N/A</v>
      </c>
      <c r="DA289" s="30" t="e">
        <f t="shared" si="509"/>
        <v>#N/A</v>
      </c>
      <c r="DB289" s="31" t="e">
        <f>IF(OR(Hypothèses!$B$4=17,Hypothèses!$B$4=18,Hypothèses!$B$4=19,Hypothèses!$B$4=20),
IF($D289="Pressio.",
IF(OR($E289=3,$E289=1,$E289=4),DA289,CZ289),
IF($D289="Pénétro.",
IF(OR($E289=3,$E289=1,$E289=4),DA289,CZ289))),IF($D289="Pressio.",
IF($E289=3,DA289,CZ289),
IF($D289="Pénétro.",
IF($E289=4,DA289,CZ289))))</f>
        <v>#N/A</v>
      </c>
      <c r="DC289" s="31">
        <v>0</v>
      </c>
      <c r="DD289" s="102" t="e">
        <f>IF(NDC!$H$10="Oui",(VLOOKUP($B$3,'Coeff EC7'!$T$39:$X$59,2,0)*DB289+VLOOKUP($B$3,'Coeff EC7'!$T$65:$X$85,2,0)*Model0.1T!DC289)/1.5,PI()*CZ$12*$Q289*($B289-$B288)*0.15/10+DD288)</f>
        <v>#N/A</v>
      </c>
      <c r="DE289" s="102" t="e">
        <f>(VLOOKUP($B$3,'Coeff EC7'!$T$39:$X$59,3,0)*DB289+VLOOKUP($B$3,'Coeff EC7'!$T$65:$X$85,3,0)*Model0.1T!DC289)/1.1</f>
        <v>#N/A</v>
      </c>
      <c r="DF289" s="102" t="e">
        <f t="shared" si="486"/>
        <v>#N/A</v>
      </c>
      <c r="DG289" s="102" t="e">
        <f t="shared" si="487"/>
        <v>#N/A</v>
      </c>
      <c r="DH289" s="414" t="e">
        <f>IF(AND(DD289&gt;NDC!$C$63,DE289&gt;NDC!$C$65,DF289&gt;NDC!$D$73,DG289&gt;NDC!$D$74,$B289&gt;NDC!$H$22-0.1+MIN(3*DH$12,1.5)),0,1)</f>
        <v>#N/A</v>
      </c>
      <c r="DI289" s="86" t="b">
        <f t="shared" si="453"/>
        <v>0</v>
      </c>
      <c r="DJ289" s="86">
        <f t="shared" si="454"/>
        <v>0.5</v>
      </c>
      <c r="DK289" s="86">
        <f t="shared" si="455"/>
        <v>0.5</v>
      </c>
      <c r="DL289" s="30" t="e">
        <f t="shared" ca="1" si="488"/>
        <v>#DIV/0!</v>
      </c>
      <c r="DM289" s="85" t="e">
        <f ca="1">IF(CS289&lt;=Hypothèses!$V$7,Hypothèses!$W$7,IF(CS289&lt;=Hypothèses!$V$8,Hypothèses!$W$8,IF(CS289&lt;=Hypothèses!$V$9,Hypothèses!$W$9,IF(CS289&lt;=Hypothèses!$V$10,Hypothèses!$W$10,IF(CS289&lt;=Hypothèses!$V$11,Hypothèses!$W$11,IF(CS289&lt;=Hypothèses!$V$12,Hypothèses!$W$12,IF(CS289&lt;=Hypothèses!$V$13,Hypothèses!$W$13,IF(CS289&lt;=Hypothèses!$V$14,Hypothèses!$W$14,IF(CS289&lt;=Hypothèses!$V$15,Hypothèses!$W$15,IF(CS289&lt;=Hypothèses!$V$16,Hypothèses!$W$16,IF(CS289&lt;=Hypothèses!$V$17,Hypothèses!$W$17,IF(CS289&lt;=Hypothèses!$V$18,Hypothèses!$W$18,""))))))))))))</f>
        <v>#DIV/0!</v>
      </c>
      <c r="DN289" s="87" t="e">
        <f t="shared" ca="1" si="521"/>
        <v>#DIV/0!</v>
      </c>
      <c r="DO289" s="88" t="e">
        <f ca="1">IF(CS289&lt;=Hypothèses!$V$7,Hypothèses!$X$7,IF(CS289&lt;=Hypothèses!$V$8,Hypothèses!$X$8,IF(CS289&lt;=Hypothèses!$V$9,Hypothèses!$X$9,IF(CS289&lt;=Hypothèses!$V$10,Hypothèses!$X$10,IF(CS289&lt;=Hypothèses!$V$11,Hypothèses!$X$11,IF(CS289&lt;=Hypothèses!$V$12,Hypothèses!$X$12,IF(CS289&lt;=Hypothèses!$V$13,Hypothèses!$X$13,IF(CS289&lt;=Hypothèses!$V$14,Hypothèses!$X$14,IF(CS289&lt;=Hypothèses!$V$15,Hypothèses!$X$15,IF(CS289&lt;=Hypothèses!$V$16,Hypothèses!$X$16,IF(CS289&lt;=Hypothèses!$U$17,Hypothèses!$W$17,IF(CS289&lt;=Hypothèses!$U$18,Hypothèses!$W$18,""))))))))))))</f>
        <v>#DIV/0!</v>
      </c>
      <c r="DP289" s="95" t="e">
        <f t="shared" ca="1" si="489"/>
        <v>#DIV/0!</v>
      </c>
      <c r="DQ289" s="101">
        <f t="shared" si="528"/>
        <v>0</v>
      </c>
      <c r="DR289" s="91">
        <f t="shared" si="456"/>
        <v>0</v>
      </c>
      <c r="DS289" s="30" t="e">
        <f t="shared" si="510"/>
        <v>#N/A</v>
      </c>
      <c r="DT289" s="30" t="e">
        <f t="shared" si="511"/>
        <v>#N/A</v>
      </c>
      <c r="DU289" s="31" t="e">
        <f>IF(OR(Hypothèses!$B$4=17,Hypothèses!$B$4=18,Hypothèses!$B$4=19,Hypothèses!$B$4=20),
IF($D289="Pressio.",
IF(OR($E289=3,$E289=1,$E289=4),DT289,DS289),
IF($D289="Pénétro.",
IF(OR($E289=3,$E289=1,$E289=4),DT289,DS289))),IF($D289="Pressio.",
IF($E289=3,DT289,DS289),
IF($D289="Pénétro.",
IF($E289=4,DT289,DS289))))</f>
        <v>#N/A</v>
      </c>
      <c r="DV289" s="31">
        <v>0</v>
      </c>
      <c r="DW289" s="102" t="e">
        <f>IF(NDC!$H$10="Oui",(VLOOKUP($B$3,'Coeff EC7'!$T$39:$X$59,2,0)*DU289+VLOOKUP($B$3,'Coeff EC7'!$T$65:$X$85,2,0)*Model0.1T!DV289)/1.5,PI()*DS$12*$Q289*($B289-$B288)*0.15/10+DW288)</f>
        <v>#N/A</v>
      </c>
      <c r="DX289" s="102" t="e">
        <f>(VLOOKUP($B$3,'Coeff EC7'!$T$39:$X$59,3,0)*DU289+VLOOKUP($B$3,'Coeff EC7'!$T$65:$X$85,3,0)*Model0.1T!DV289)/1.1</f>
        <v>#N/A</v>
      </c>
      <c r="DY289" s="102" t="e">
        <f t="shared" si="490"/>
        <v>#N/A</v>
      </c>
      <c r="DZ289" s="102" t="e">
        <f t="shared" si="491"/>
        <v>#N/A</v>
      </c>
      <c r="EA289" s="414" t="e">
        <f>IF(AND(DW289&gt;NDC!$C$63,DX289&gt;NDC!$C$65,DY289&gt;NDC!$D$73,DZ289&gt;NDC!$D$74,$B289&gt;NDC!$H$22-0.1+MIN(3*EA$12,1.5)),0,1)</f>
        <v>#N/A</v>
      </c>
      <c r="EB289" s="86" t="b">
        <f t="shared" si="457"/>
        <v>0</v>
      </c>
      <c r="EC289" s="418">
        <f t="shared" si="458"/>
        <v>0.51</v>
      </c>
      <c r="ED289" s="86">
        <f t="shared" si="459"/>
        <v>0.51</v>
      </c>
      <c r="EE289" s="30" t="e">
        <f t="shared" ca="1" si="492"/>
        <v>#DIV/0!</v>
      </c>
      <c r="EF289" s="85" t="e">
        <f ca="1">IF(DL289&lt;=Hypothèses!$V$7,Hypothèses!$W$7,IF(DL289&lt;=Hypothèses!$V$8,Hypothèses!$W$8,IF(DL289&lt;=Hypothèses!$V$9,Hypothèses!$W$9,IF(DL289&lt;=Hypothèses!$V$10,Hypothèses!$W$10,IF(DL289&lt;=Hypothèses!$V$11,Hypothèses!$W$11,IF(DL289&lt;=Hypothèses!$V$12,Hypothèses!$W$12,IF(DL289&lt;=Hypothèses!$V$13,Hypothèses!$W$13,IF(DL289&lt;=Hypothèses!$V$14,Hypothèses!$W$14,IF(DL289&lt;=Hypothèses!$V$15,Hypothèses!$W$15,IF(DL289&lt;=Hypothèses!$V$16,Hypothèses!$W$16,IF(DL289&lt;=Hypothèses!$V$17,Hypothèses!$W$17,IF(DL289&lt;=Hypothèses!$V$18,Hypothèses!$W$18,""))))))))))))</f>
        <v>#DIV/0!</v>
      </c>
      <c r="EG289" s="87" t="e">
        <f t="shared" ca="1" si="522"/>
        <v>#DIV/0!</v>
      </c>
      <c r="EH289" s="88" t="e">
        <f ca="1">IF(DL289&lt;=Hypothèses!$V$7,Hypothèses!$X$7,IF(DL289&lt;=Hypothèses!$V$8,Hypothèses!$X$8,IF(DL289&lt;=Hypothèses!$V$9,Hypothèses!$X$9,IF(DL289&lt;=Hypothèses!$V$10,Hypothèses!$X$10,IF(DL289&lt;=Hypothèses!$V$11,Hypothèses!$X$11,IF(DL289&lt;=Hypothèses!$V$12,Hypothèses!$X$12,IF(DL289&lt;=Hypothèses!$V$13,Hypothèses!$X$13,IF(DL289&lt;=Hypothèses!$V$14,Hypothèses!$X$14,IF(DL289&lt;=Hypothèses!$V$15,Hypothèses!$X$15,IF(DL289&lt;=Hypothèses!$V$16,Hypothèses!$X$16,IF(DL289&lt;=Hypothèses!$U$17,Hypothèses!$W$17,IF(DL289&lt;=Hypothèses!$U$18,Hypothèses!$W$18,""))))))))))))</f>
        <v>#DIV/0!</v>
      </c>
      <c r="EI289" s="95" t="e">
        <f t="shared" ca="1" si="493"/>
        <v>#DIV/0!</v>
      </c>
      <c r="EJ289" s="101">
        <f t="shared" si="529"/>
        <v>0</v>
      </c>
      <c r="EK289" s="91">
        <f t="shared" si="460"/>
        <v>0</v>
      </c>
      <c r="EL289" s="30" t="e">
        <f t="shared" si="512"/>
        <v>#N/A</v>
      </c>
      <c r="EM289" s="30" t="e">
        <f t="shared" si="513"/>
        <v>#N/A</v>
      </c>
      <c r="EN289" s="31" t="e">
        <f>IF(OR(Hypothèses!$B$4=17,Hypothèses!$B$4=18,Hypothèses!$B$4=19,Hypothèses!$B$4=20),
IF($D289="Pressio.",
IF(OR($E289=3,$E289=1,$E289=4),EM289,EL289),
IF($D289="Pénétro.",
IF(OR($E289=3,$E289=1,$E289=4),EM289,EL289))),IF($D289="Pressio.",
IF($E289=3,EM289,EL289),
IF($D289="Pénétro.",
IF($E289=4,EM289,EL289))))</f>
        <v>#N/A</v>
      </c>
      <c r="EO289" s="31">
        <v>0</v>
      </c>
      <c r="EP289" s="102" t="e">
        <f>IF(NDC!$H$10="Oui",(VLOOKUP($B$3,'Coeff EC7'!$T$39:$X$59,2,0)*EN289+VLOOKUP($B$3,'Coeff EC7'!$T$65:$X$85,2,0)*Model0.1T!EO289)/1.5,PI()*EL$12*$Q289*($B289-$B288)*0.15/10+EP288)</f>
        <v>#N/A</v>
      </c>
      <c r="EQ289" s="102" t="e">
        <f>(VLOOKUP($B$3,'Coeff EC7'!$T$39:$X$59,3,0)*EN289+VLOOKUP($B$3,'Coeff EC7'!$T$65:$X$85,3,0)*Model0.1T!EO289)/1.1</f>
        <v>#N/A</v>
      </c>
      <c r="ER289" s="102" t="e">
        <f t="shared" si="494"/>
        <v>#N/A</v>
      </c>
      <c r="ES289" s="102" t="e">
        <f t="shared" si="495"/>
        <v>#N/A</v>
      </c>
      <c r="ET289" s="414" t="e">
        <f>IF(AND(EP289&gt;NDC!$C$63,EQ289&gt;NDC!$C$65,ER289&gt;NDC!$D$73,ES289&gt;NDC!$D$74,$B289&gt;NDC!$H$22-0.1+MIN(3*ET$12,1.5)),0,1)</f>
        <v>#N/A</v>
      </c>
      <c r="EU289" s="86" t="b">
        <f t="shared" si="461"/>
        <v>0</v>
      </c>
      <c r="EV289" s="86">
        <f t="shared" si="462"/>
        <v>0.61</v>
      </c>
      <c r="EW289" s="86">
        <f t="shared" si="463"/>
        <v>0.61</v>
      </c>
      <c r="EX289" s="30" t="e">
        <f t="shared" ca="1" si="496"/>
        <v>#DIV/0!</v>
      </c>
      <c r="EY289" s="85" t="e">
        <f ca="1">IF(EE289&lt;=Hypothèses!$V$7,Hypothèses!$W$7,IF(EE289&lt;=Hypothèses!$V$8,Hypothèses!$W$8,IF(EE289&lt;=Hypothèses!$V$9,Hypothèses!$W$9,IF(EE289&lt;=Hypothèses!$V$10,Hypothèses!$W$10,IF(EE289&lt;=Hypothèses!$V$11,Hypothèses!$W$11,IF(EE289&lt;=Hypothèses!$V$12,Hypothèses!$W$12,IF(EE289&lt;=Hypothèses!$V$13,Hypothèses!$W$13,IF(EE289&lt;=Hypothèses!$V$14,Hypothèses!$W$14,IF(EE289&lt;=Hypothèses!$V$15,Hypothèses!$W$15,IF(EE289&lt;=Hypothèses!$V$16,Hypothèses!$W$16,IF(EE289&lt;=Hypothèses!$V$17,Hypothèses!$W$17,IF(EE289&lt;=Hypothèses!$V$18,Hypothèses!$W$18,""))))))))))))</f>
        <v>#DIV/0!</v>
      </c>
      <c r="EZ289" s="87" t="e">
        <f t="shared" ca="1" si="523"/>
        <v>#DIV/0!</v>
      </c>
      <c r="FA289" s="88" t="e">
        <f ca="1">IF(EE289&lt;=Hypothèses!$V$7,Hypothèses!$X$7,IF(EE289&lt;=Hypothèses!$V$8,Hypothèses!$X$8,IF(EE289&lt;=Hypothèses!$V$9,Hypothèses!$X$9,IF(EE289&lt;=Hypothèses!$V$10,Hypothèses!$X$10,IF(EE289&lt;=Hypothèses!$V$11,Hypothèses!$X$11,IF(EE289&lt;=Hypothèses!$V$12,Hypothèses!$X$12,IF(EE289&lt;=Hypothèses!$V$13,Hypothèses!$X$13,IF(EE289&lt;=Hypothèses!$V$14,Hypothèses!$X$14,IF(EE289&lt;=Hypothèses!$V$15,Hypothèses!$X$15,IF(EE289&lt;=Hypothèses!$V$16,Hypothèses!$X$16,IF(EE289&lt;=Hypothèses!$U$17,Hypothèses!$W$17,IF(EE289&lt;=Hypothèses!$U$18,Hypothèses!$W$18,""))))))))))))</f>
        <v>#DIV/0!</v>
      </c>
      <c r="FB289" s="95" t="e">
        <f t="shared" ca="1" si="497"/>
        <v>#DIV/0!</v>
      </c>
      <c r="FC289" s="101">
        <f t="shared" si="530"/>
        <v>0</v>
      </c>
      <c r="FD289" s="91">
        <f t="shared" si="464"/>
        <v>0</v>
      </c>
      <c r="FE289" s="30" t="e">
        <f t="shared" si="514"/>
        <v>#N/A</v>
      </c>
      <c r="FF289" s="30" t="e">
        <f t="shared" si="515"/>
        <v>#N/A</v>
      </c>
      <c r="FG289" s="31" t="e">
        <f>IF(OR(Hypothèses!$B$4=17,Hypothèses!$B$4=18,Hypothèses!$B$4=19,Hypothèses!$B$4=20),
IF($D289="Pressio.",
IF(OR($E289=3,$E289=1,$E289=4),FF289,FE289),
IF($D289="Pénétro.",
IF(OR($E289=3,$E289=1,$E289=4),FF289,FE289))),IF($D289="Pressio.",
IF($E289=3,FF289,FE289),
IF($D289="Pénétro.",
IF($E289=4,FF289,FE289))))</f>
        <v>#N/A</v>
      </c>
      <c r="FH289" s="31">
        <v>0</v>
      </c>
      <c r="FI289" s="102" t="e">
        <f>IF(NDC!$H$10="Oui",(VLOOKUP($B$3,'Coeff EC7'!$T$39:$X$59,2,0)*FG289+VLOOKUP($B$3,'Coeff EC7'!$T$65:$X$85,2,0)*Model0.1T!FH289)/1.5,PI()*FE$12*$Q289*($B289-$B288)*0.15/10+FI288)</f>
        <v>#N/A</v>
      </c>
      <c r="FJ289" s="102" t="e">
        <f>(VLOOKUP($B$3,'Coeff EC7'!$T$39:$X$59,3,0)*FG289+VLOOKUP($B$3,'Coeff EC7'!$T$65:$X$85,3,0)*Model0.1T!FH289)/1.1</f>
        <v>#N/A</v>
      </c>
      <c r="FK289" s="102" t="e">
        <f t="shared" si="498"/>
        <v>#N/A</v>
      </c>
      <c r="FL289" s="102" t="e">
        <f t="shared" si="499"/>
        <v>#N/A</v>
      </c>
      <c r="FM289" s="414" t="e">
        <f>IF(AND(FI289&gt;NDC!$C$63,FJ289&gt;NDC!$C$65,FK289&gt;NDC!$D$73,FL289&gt;NDC!$D$74,$B289&gt;NDC!$H$22-0.1+MIN(3*FM$12,1.5)),0,1)</f>
        <v>#N/A</v>
      </c>
    </row>
    <row r="290" spans="1:169">
      <c r="A290" s="96">
        <f t="shared" si="465"/>
        <v>72.300000000001575</v>
      </c>
      <c r="B290" s="97">
        <v>27.7</v>
      </c>
      <c r="C290" s="81">
        <f>IF(B290&lt;=Hypothèses!$C$7,Hypothèses!$A$7,IF(B290&lt;=Hypothèses!$C$8,Hypothèses!$A$8,IF(B290&lt;=Hypothèses!$C$9,Hypothèses!$A$9,IF(B290&lt;=Hypothèses!$C$10,Hypothèses!$A$10,IF(B290&lt;=Hypothèses!$C$11,Hypothèses!$A$11,IF(B290&lt;=Hypothèses!$C$12,Hypothèses!$A$12,IF(B290&lt;=Hypothèses!$C$13,Hypothèses!$A$13,IF(B290&lt;=Hypothèses!$C$14,Hypothèses!$A$14,IF(B290&lt;=Hypothèses!$C$15,Hypothèses!$A$15,IF(B290&lt;=Hypothèses!$C$16,Hypothèses!$A$16,IF(B290&lt;=Hypothèses!$C$17,Hypothèses!$A$17,IF(B290&lt;=Hypothèses!$C$18,Hypothèses!$A$18,C289))))))))))))</f>
        <v>11</v>
      </c>
      <c r="D290" s="82" t="str">
        <f>IF(B290&lt;=Hypothèses!$C$7,Hypothèses!$R$7,IF(B290&lt;=Hypothèses!$C$8,Hypothèses!$R$8,IF(B290&lt;=Hypothèses!$C$9,Hypothèses!$R$9,IF(B290&lt;=Hypothèses!$C$10,Hypothèses!$R$10,IF(B290&lt;=Hypothèses!$C$11,Hypothèses!$R$11,IF(B290&lt;=Hypothèses!$C$12,Hypothèses!$R$12,IF(B290&lt;=Hypothèses!$C$13,Hypothèses!$R$13,IF(B290&lt;=Hypothèses!$C$14,Hypothèses!$R$14,IF(B290&lt;=Hypothèses!$C$15,Hypothèses!$R$15,IF(B290&lt;=Hypothèses!$C$16,Hypothèses!$R$16,IF(B290&lt;=Hypothèses!$C$17,Hypothèses!$R$17,IF(B290&lt;=Hypothèses!$C$18,Hypothèses!$R$18,D289))))))))))))</f>
        <v>Pressio.</v>
      </c>
      <c r="E290" s="82" t="e">
        <f>IF(B290&lt;=Hypothèses!$C$7,Hypothèses!$G$7,IF(B290&lt;=Hypothèses!$C$8,Hypothèses!$G$8,IF(B290&lt;=Hypothèses!$C$9,Hypothèses!$G$9,IF(B290&lt;=Hypothèses!$C$10,Hypothèses!$G$10,IF(B290&lt;=Hypothèses!$C$11,Hypothèses!$G$11,IF(B290&lt;=Hypothèses!$C$12,Hypothèses!$G$12,IF(B290&lt;=Hypothèses!$C$13,Hypothèses!$G$13,IF(B290&lt;=Hypothèses!$C$14,Hypothèses!$G$14,IF(B290&lt;=Hypothèses!$C$15,Hypothèses!$G$15,IF(B290&lt;=Hypothèses!$C$16,Hypothèses!$G$16,IF(B290&lt;=Hypothèses!$C$17,Hypothèses!$G$17,IF(B290&lt;=Hypothèses!$C$18,Hypothèses!$G$18,E289))))))))))))</f>
        <v>#N/A</v>
      </c>
      <c r="F290" s="82" t="str">
        <f>IF(B290&lt;=Hypothèses!$C$7,Hypothèses!$F$7,IF(B290&lt;=Hypothèses!$C$8,Hypothèses!$F$8,IF(B290&lt;=Hypothèses!$C$9,Hypothèses!$F$9,IF(B290&lt;=Hypothèses!$C$10,Hypothèses!$F$10,IF(B290&lt;=Hypothèses!$C$11,Hypothèses!$F$11,IF(B290&lt;=Hypothèses!$C$12,Hypothèses!$F$12,IF(B290&lt;=Hypothèses!$C$13,Hypothèses!$F$13,IF(B290&lt;=Hypothèses!$C$14,Hypothèses!$F$14,IF(B290&lt;=Hypothèses!$C$15,Hypothèses!$F$15,IF(B290&lt;=Hypothèses!$C$16,Hypothèses!$F$16,IF(B290&lt;=Hypothèses!$C$17,Hypothèses!$F$17,IF(B290&lt;=Hypothèses!$C$18,Hypothèses!$F$18,F289))))))))))))</f>
        <v/>
      </c>
      <c r="G290" s="91">
        <f t="array" ref="G290">INDEX('Coeff EC7'!$U$7:$X$27,
MATCH(Model0.1T!$B$3,'Coeff EC7'!$T$7:$T$27,0),
MATCH(Model0.1T!$D290&amp;Model0.1T!$B$4,
'Coeff EC7'!$U$6:$X$6&amp;
'Coeff EC7'!$U$5:$X$5,0))</f>
        <v>1.4</v>
      </c>
      <c r="H290" s="91">
        <f t="array" ref="H290">INDEX('Coeff EC7'!$Y$7:$AB$27,
MATCH(Model0.1T!$B$3,'Coeff EC7'!$T$7:$T$27,0),
MATCH(Model0.1T!$D290&amp;Model0.1T!$B$4,
'Coeff EC7'!$Y$6:$AB$6&amp;
'Coeff EC7'!$Y$5:$AB$5,0))</f>
        <v>1.7</v>
      </c>
      <c r="I290" s="83">
        <v>0</v>
      </c>
      <c r="J290" s="91" t="e">
        <f t="array" ref="J290">INDEX('Coeff EC7'!$D$33:$Q$33,1,MATCH(D290&amp;E290,'Coeff EC7'!$D$31:$Q$31&amp;'Coeff EC7'!$D$32:$Q$32,0))</f>
        <v>#N/A</v>
      </c>
      <c r="K290" s="91" t="e">
        <f t="array" ref="K290">INDEX('Coeff EC7'!$D$34:$Q$34,1,MATCH(D290&amp;E290,'Coeff EC7'!$D$31:$Q$31&amp;'Coeff EC7'!$D$32:$Q$32,0))</f>
        <v>#N/A</v>
      </c>
      <c r="L290" s="91" t="e">
        <f t="array" ref="L290">INDEX('Coeff EC7'!$D$35:$Q$35,1,MATCH(D290&amp;E290,'Coeff EC7'!$D$31:$Q$31&amp;'Coeff EC7'!$D$32:$Q$32,0))</f>
        <v>#N/A</v>
      </c>
      <c r="M290" s="98" t="e">
        <f t="shared" si="431"/>
        <v>#N/A</v>
      </c>
      <c r="N290" s="99" t="e">
        <f t="array" ref="N290">INDEX('Coeff EC7'!$D$7:$Q$27,MATCH($B$3,'Coeff EC7'!$C$7:$C$27,0),MATCH(D290&amp;E290,'Coeff EC7'!$D$5:$Q$5&amp;'Coeff EC7'!$D$6:$Q$6,0))</f>
        <v>#N/A</v>
      </c>
      <c r="O290" s="99" t="e">
        <f t="array" ref="O290">INDEX('Coeff EC7'!$D$41:$Q$61,MATCH($B$3,'Coeff EC7'!$C$41:$C$61,0),MATCH(D290&amp;E290,'Coeff EC7'!$D$39:$Q$39&amp;'Coeff EC7'!$D$40:$Q$40,0))</f>
        <v>#N/A</v>
      </c>
      <c r="P290" s="30" t="e">
        <f t="shared" si="466"/>
        <v>#N/A</v>
      </c>
      <c r="Q290" s="100" t="e">
        <f t="shared" si="433"/>
        <v>#N/A</v>
      </c>
      <c r="R290" s="86" t="b">
        <f t="shared" si="434"/>
        <v>0</v>
      </c>
      <c r="S290" s="86">
        <f t="shared" si="432"/>
        <v>0.5</v>
      </c>
      <c r="T290" s="86">
        <f t="shared" si="435"/>
        <v>0.5</v>
      </c>
      <c r="U290" s="30" t="e">
        <f t="shared" ca="1" si="467"/>
        <v>#DIV/0!</v>
      </c>
      <c r="V290" s="85" t="str">
        <f>IF(B290&lt;=Hypothèses!$V$7,Hypothèses!$W$7,IF(B290&lt;=Hypothèses!$V$8,Hypothèses!$W$8,IF(B290&lt;=Hypothèses!$V$9,Hypothèses!$W$9,IF(B290&lt;=Hypothèses!$V$10,Hypothèses!$W$10,IF(B290&lt;=Hypothèses!$V$11,Hypothèses!$W$11,IF(B290&lt;=Hypothèses!$V$12,Hypothèses!$W$12,IF(B290&lt;=Hypothèses!$V$13,Hypothèses!$W$13,IF(B290&lt;=Hypothèses!$V$14,Hypothèses!$W$14,IF(B290&lt;=Hypothèses!$V$15,Hypothèses!$W$15,IF(B290&lt;=Hypothèses!$V$16,Hypothèses!$W$16,IF(B290&lt;=Hypothèses!$V$17,Hypothèses!$W$17,IF(B290&lt;=Hypothèses!$V$18,Hypothèses!$W$18,""))))))))))))</f>
        <v/>
      </c>
      <c r="W290" s="87" t="e">
        <f t="shared" ca="1" si="516"/>
        <v>#DIV/0!</v>
      </c>
      <c r="X290" s="88" t="str">
        <f>IF(B290&lt;=Hypothèses!$V$7,Hypothèses!$X$7,IF(B290&lt;=Hypothèses!$V$8,Hypothèses!$X$8,IF(B290&lt;=Hypothèses!$V$9,Hypothèses!$X$9,IF(B290&lt;=Hypothèses!$V$10,Hypothèses!$X$10,IF(B290&lt;=Hypothèses!$V$11,Hypothèses!$X$11,IF(B290&lt;=Hypothèses!$V$12,Hypothèses!$X$12,IF(B290&lt;=Hypothèses!$V$13,Hypothèses!$X$13,IF(B290&lt;=Hypothèses!$V$14,Hypothèses!$X$14,IF(B290&lt;=Hypothèses!$V$15,Hypothèses!$X$15,IF(B290&lt;=Hypothèses!$V$16,Hypothèses!$X$16,IF(B290&lt;=Hypothèses!$U$17,Hypothèses!$W$17,IF(B290&lt;=Hypothèses!$U$18,Hypothèses!$W$18,""))))))))))))</f>
        <v/>
      </c>
      <c r="Y290" s="95" t="e">
        <f t="shared" ca="1" si="436"/>
        <v>#DIV/0!</v>
      </c>
      <c r="Z290" s="101">
        <f t="shared" si="437"/>
        <v>0</v>
      </c>
      <c r="AA290" s="91">
        <f t="shared" si="438"/>
        <v>0</v>
      </c>
      <c r="AB290" s="30" t="e">
        <f t="shared" si="500"/>
        <v>#N/A</v>
      </c>
      <c r="AC290" s="30" t="e">
        <f t="shared" si="501"/>
        <v>#N/A</v>
      </c>
      <c r="AD290" s="31" t="e">
        <f>IF(OR(Hypothèses!$B$4=17,Hypothèses!$B$4=18,Hypothèses!$B$4=19,Hypothèses!$B$4=20),
IF($D290="Pressio.",
IF(OR($E290=3,$E290=1,$E290=4),AC290,AB290),
IF($D290="Pénétro.",
IF(OR($E290=3,$E290=1,$E290=4),AC290,AB290))),IF($D290="Pressio.",
IF($E290=3,AC290,AB290),
IF($D290="Pénétro.",
IF($E290=4,AC290,AB290))))</f>
        <v>#N/A</v>
      </c>
      <c r="AE290" s="31">
        <v>0</v>
      </c>
      <c r="AF290" s="102" t="e">
        <f>IF(NDC!$H$10="Oui",(VLOOKUP($B$3,'Coeff EC7'!$T$39:$X$59,2,0)*AD290+VLOOKUP($B$3,'Coeff EC7'!$T$65:$X$85,2,0)*Model0.1T!AE290)/1.5,PI()*AB$12*$Q290*($B290-$B289)*0.15/10+AF289)</f>
        <v>#N/A</v>
      </c>
      <c r="AG290" s="102" t="e">
        <f>(VLOOKUP($B$3,'Coeff EC7'!$T$39:$X$59,3,0)*AD290+VLOOKUP($B$3,'Coeff EC7'!$T$65:$X$85,3,0)*Model0.1T!AE290)/1.1</f>
        <v>#N/A</v>
      </c>
      <c r="AH290" s="102" t="e">
        <f t="shared" si="468"/>
        <v>#N/A</v>
      </c>
      <c r="AI290" s="102" t="e">
        <f t="shared" si="469"/>
        <v>#N/A</v>
      </c>
      <c r="AJ290" s="414" t="e">
        <f>IF(AND(AF290&gt;NDC!$C$63,AG290&gt;NDC!$C$65,AH290&gt;NDC!$D$73,AI290&gt;NDC!$D$74,$B290&gt;NDC!$H$22-0.1+MIN(3*$AJ$12,1.5)),0,1)</f>
        <v>#N/A</v>
      </c>
      <c r="AK290" s="86" t="b">
        <f t="shared" si="439"/>
        <v>0</v>
      </c>
      <c r="AL290" s="86">
        <f t="shared" si="470"/>
        <v>0.5</v>
      </c>
      <c r="AM290" s="86">
        <f t="shared" si="440"/>
        <v>0.5</v>
      </c>
      <c r="AN290" s="30" t="e">
        <f t="shared" ca="1" si="471"/>
        <v>#DIV/0!</v>
      </c>
      <c r="AO290" s="85" t="e">
        <f ca="1">IF(U290&lt;=Hypothèses!$V$7,Hypothèses!$W$7,IF(U290&lt;=Hypothèses!$V$8,Hypothèses!$W$8,IF(U290&lt;=Hypothèses!$V$9,Hypothèses!$W$9,IF(U290&lt;=Hypothèses!$V$10,Hypothèses!$W$10,IF(U290&lt;=Hypothèses!$V$11,Hypothèses!$W$11,IF(U290&lt;=Hypothèses!$V$12,Hypothèses!$W$12,IF(U290&lt;=Hypothèses!$V$13,Hypothèses!$W$13,IF(U290&lt;=Hypothèses!$V$14,Hypothèses!$W$14,IF(U290&lt;=Hypothèses!$V$15,Hypothèses!$W$15,IF(U290&lt;=Hypothèses!$V$16,Hypothèses!$W$16,IF(U290&lt;=Hypothèses!$V$17,Hypothèses!$W$17,IF(U290&lt;=Hypothèses!$V$18,Hypothèses!$W$18,""))))))))))))</f>
        <v>#DIV/0!</v>
      </c>
      <c r="AP290" s="87" t="e">
        <f t="shared" ca="1" si="517"/>
        <v>#DIV/0!</v>
      </c>
      <c r="AQ290" s="88" t="e">
        <f ca="1">IF(U290&lt;=Hypothèses!$V$7,Hypothèses!$X$7,IF(U290&lt;=Hypothèses!$V$8,Hypothèses!$X$8,IF(U290&lt;=Hypothèses!$V$9,Hypothèses!$X$9,IF(U290&lt;=Hypothèses!$V$10,Hypothèses!$X$10,IF(U290&lt;=Hypothèses!$V$11,Hypothèses!$X$11,IF(U290&lt;=Hypothèses!$V$12,Hypothèses!$X$12,IF(U290&lt;=Hypothèses!$V$13,Hypothèses!$X$13,IF(U290&lt;=Hypothèses!$V$14,Hypothèses!$X$14,IF(U290&lt;=Hypothèses!$V$15,Hypothèses!$X$15,IF(U290&lt;=Hypothèses!$V$16,Hypothèses!$X$16,IF(U290&lt;=Hypothèses!$U$17,Hypothèses!$W$17,IF(U290&lt;=Hypothèses!$U$18,Hypothèses!$W$18,""))))))))))))</f>
        <v>#DIV/0!</v>
      </c>
      <c r="AR290" s="95" t="e">
        <f t="shared" ca="1" si="472"/>
        <v>#DIV/0!</v>
      </c>
      <c r="AS290" s="101">
        <f t="shared" si="524"/>
        <v>0</v>
      </c>
      <c r="AT290" s="91">
        <f t="shared" si="441"/>
        <v>0</v>
      </c>
      <c r="AU290" s="30" t="e">
        <f t="shared" si="502"/>
        <v>#N/A</v>
      </c>
      <c r="AV290" s="30" t="e">
        <f t="shared" si="503"/>
        <v>#N/A</v>
      </c>
      <c r="AW290" s="31" t="e">
        <f>IF(OR(Hypothèses!$B$4=17,Hypothèses!$B$4=18,Hypothèses!$B$4=19,Hypothèses!$B$4=20),
IF($D290="Pressio.",
IF(OR($E290=3,$E290=1,$E290=4),AV290,AU290),
IF($D290="Pénétro.",
IF(OR($E290=3,$E290=1,$E290=4),AV290,AU290))),IF($D290="Pressio.",
IF($E290=3,AV290,AU290),
IF($D290="Pénétro.",
IF($E290=4,AV290,AU290))))</f>
        <v>#N/A</v>
      </c>
      <c r="AX290" s="31">
        <v>0</v>
      </c>
      <c r="AY290" s="102" t="e">
        <f>IF(NDC!$H$10="Oui",(VLOOKUP($B$3,'Coeff EC7'!$T$39:$X$59,2,0)*AW290+VLOOKUP($B$3,'Coeff EC7'!$T$65:$X$85,2,0)*Model0.1T!AX290)/1.5,PI()*AU$12*$Q290*($B290-$B289)*0.15/10+AY289)</f>
        <v>#N/A</v>
      </c>
      <c r="AZ290" s="102" t="e">
        <f>(VLOOKUP($B$3,'Coeff EC7'!$T$39:$X$59,3,0)*AW290+VLOOKUP($B$3,'Coeff EC7'!$T$65:$X$85,3,0)*Model0.1T!AX290)/1.1</f>
        <v>#N/A</v>
      </c>
      <c r="BA290" s="102" t="e">
        <f t="shared" si="473"/>
        <v>#N/A</v>
      </c>
      <c r="BB290" s="102" t="e">
        <f t="shared" si="474"/>
        <v>#N/A</v>
      </c>
      <c r="BC290" s="414" t="e">
        <f>IF(AND(AY290&gt;NDC!$C$63,AZ290&gt;NDC!$C$65,BA290&gt;NDC!$D$73,BB290&gt;NDC!$D$74,$B290&gt;NDC!$H$22-0.1+MIN(3*BC$12,1.5)),0,1)</f>
        <v>#N/A</v>
      </c>
      <c r="BD290" s="86" t="b">
        <f t="shared" si="442"/>
        <v>0</v>
      </c>
      <c r="BE290" s="86">
        <f t="shared" si="475"/>
        <v>0.5</v>
      </c>
      <c r="BF290" s="86">
        <f t="shared" si="443"/>
        <v>0.5</v>
      </c>
      <c r="BG290" s="30" t="e">
        <f t="shared" ca="1" si="476"/>
        <v>#DIV/0!</v>
      </c>
      <c r="BH290" s="85" t="e">
        <f ca="1">IF(AN290&lt;=Hypothèses!$V$7,Hypothèses!$W$7,IF(AN290&lt;=Hypothèses!$V$8,Hypothèses!$W$8,IF(AN290&lt;=Hypothèses!$V$9,Hypothèses!$W$9,IF(AN290&lt;=Hypothèses!$V$10,Hypothèses!$W$10,IF(AN290&lt;=Hypothèses!$V$11,Hypothèses!$W$11,IF(AN290&lt;=Hypothèses!$V$12,Hypothèses!$W$12,IF(AN290&lt;=Hypothèses!$V$13,Hypothèses!$W$13,IF(AN290&lt;=Hypothèses!$V$14,Hypothèses!$W$14,IF(AN290&lt;=Hypothèses!$V$15,Hypothèses!$W$15,IF(AN290&lt;=Hypothèses!$V$16,Hypothèses!$W$16,IF(AN290&lt;=Hypothèses!$V$17,Hypothèses!$W$17,IF(AN290&lt;=Hypothèses!$V$18,Hypothèses!$W$18,""))))))))))))</f>
        <v>#DIV/0!</v>
      </c>
      <c r="BI290" s="87" t="e">
        <f t="shared" ca="1" si="518"/>
        <v>#DIV/0!</v>
      </c>
      <c r="BJ290" s="88" t="e">
        <f ca="1">IF(AN290&lt;=Hypothèses!$V$7,Hypothèses!$X$7,IF(AN290&lt;=Hypothèses!$V$8,Hypothèses!$X$8,IF(AN290&lt;=Hypothèses!$V$9,Hypothèses!$X$9,IF(AN290&lt;=Hypothèses!$V$10,Hypothèses!$X$10,IF(AN290&lt;=Hypothèses!$V$11,Hypothèses!$X$11,IF(AN290&lt;=Hypothèses!$V$12,Hypothèses!$X$12,IF(AN290&lt;=Hypothèses!$V$13,Hypothèses!$X$13,IF(AN290&lt;=Hypothèses!$V$14,Hypothèses!$X$14,IF(AN290&lt;=Hypothèses!$V$15,Hypothèses!$X$15,IF(AN290&lt;=Hypothèses!$V$16,Hypothèses!$X$16,IF(AN290&lt;=Hypothèses!$U$17,Hypothèses!$W$17,IF(AN290&lt;=Hypothèses!$U$18,Hypothèses!$W$18,""))))))))))))</f>
        <v>#DIV/0!</v>
      </c>
      <c r="BK290" s="95" t="e">
        <f t="shared" ca="1" si="477"/>
        <v>#DIV/0!</v>
      </c>
      <c r="BL290" s="101">
        <f t="shared" si="525"/>
        <v>0</v>
      </c>
      <c r="BM290" s="91">
        <f t="shared" si="444"/>
        <v>0</v>
      </c>
      <c r="BN290" s="30" t="e">
        <f t="shared" si="504"/>
        <v>#N/A</v>
      </c>
      <c r="BO290" s="30" t="e">
        <f t="shared" si="505"/>
        <v>#N/A</v>
      </c>
      <c r="BP290" s="31" t="e">
        <f>IF(OR(Hypothèses!$B$4=17,Hypothèses!$B$4=18,Hypothèses!$B$4=19,Hypothèses!$B$4=20),
IF($D290="Pressio.",
IF(OR($E290=3,$E290=1,$E290=4),BO290,BN290),
IF($D290="Pénétro.",
IF(OR($E290=3,$E290=1,$E290=4),BO290,BN290))),IF($D290="Pressio.",
IF($E290=3,BO290,BN290),
IF($D290="Pénétro.",
IF($E290=4,BO290,BN290))))</f>
        <v>#N/A</v>
      </c>
      <c r="BQ290" s="31">
        <v>0</v>
      </c>
      <c r="BR290" s="102" t="e">
        <f>IF(NDC!$H$10="Oui",(VLOOKUP($B$3,'Coeff EC7'!$T$39:$X$59,2,0)*BP290+VLOOKUP($B$3,'Coeff EC7'!$T$65:$X$85,2,0)*Model0.1T!BQ290)/1.5,PI()*BN$12*$Q290*($B290-$B289)*0.15/10+BR289)</f>
        <v>#N/A</v>
      </c>
      <c r="BS290" s="102" t="e">
        <f>(VLOOKUP($B$3,'Coeff EC7'!$T$39:$X$59,3,0)*BP290+VLOOKUP($B$3,'Coeff EC7'!$T$65:$X$85,3,0)*Model0.1T!BQ290)/1.1</f>
        <v>#N/A</v>
      </c>
      <c r="BT290" s="102" t="e">
        <f t="shared" si="478"/>
        <v>#N/A</v>
      </c>
      <c r="BU290" s="102" t="e">
        <f t="shared" si="479"/>
        <v>#N/A</v>
      </c>
      <c r="BV290" s="414" t="e">
        <f>IF(AND(BR290&gt;NDC!$C$63,BS290&gt;NDC!$C$65,BT290&gt;NDC!$D$73,BU290&gt;NDC!$D$74,$B290&gt;NDC!$H$22-0.1+MIN(3*BV$12,1.5)),0,1)</f>
        <v>#N/A</v>
      </c>
      <c r="BW290" s="86" t="b">
        <f t="shared" si="445"/>
        <v>0</v>
      </c>
      <c r="BX290" s="86">
        <f t="shared" si="446"/>
        <v>0.5</v>
      </c>
      <c r="BY290" s="86">
        <f t="shared" si="447"/>
        <v>0.5</v>
      </c>
      <c r="BZ290" s="30" t="e">
        <f t="shared" ca="1" si="480"/>
        <v>#DIV/0!</v>
      </c>
      <c r="CA290" s="85" t="e">
        <f ca="1">IF(BG290&lt;=Hypothèses!$V$7,Hypothèses!$W$7,IF(BG290&lt;=Hypothèses!$V$8,Hypothèses!$W$8,IF(BG290&lt;=Hypothèses!$V$9,Hypothèses!$W$9,IF(BG290&lt;=Hypothèses!$V$10,Hypothèses!$W$10,IF(BG290&lt;=Hypothèses!$V$11,Hypothèses!$W$11,IF(BG290&lt;=Hypothèses!$V$12,Hypothèses!$W$12,IF(BG290&lt;=Hypothèses!$V$13,Hypothèses!$W$13,IF(BG290&lt;=Hypothèses!$V$14,Hypothèses!$W$14,IF(BG290&lt;=Hypothèses!$V$15,Hypothèses!$W$15,IF(BG290&lt;=Hypothèses!$V$16,Hypothèses!$W$16,IF(BG290&lt;=Hypothèses!$V$17,Hypothèses!$W$17,IF(BG290&lt;=Hypothèses!$V$18,Hypothèses!$W$18,""))))))))))))</f>
        <v>#DIV/0!</v>
      </c>
      <c r="CB290" s="87" t="e">
        <f t="shared" ca="1" si="519"/>
        <v>#DIV/0!</v>
      </c>
      <c r="CC290" s="88" t="e">
        <f ca="1">IF(BG290&lt;=Hypothèses!$V$7,Hypothèses!$X$7,IF(BG290&lt;=Hypothèses!$V$8,Hypothèses!$X$8,IF(BG290&lt;=Hypothèses!$V$9,Hypothèses!$X$9,IF(BG290&lt;=Hypothèses!$V$10,Hypothèses!$X$10,IF(BG290&lt;=Hypothèses!$V$11,Hypothèses!$X$11,IF(BG290&lt;=Hypothèses!$V$12,Hypothèses!$X$12,IF(BG290&lt;=Hypothèses!$V$13,Hypothèses!$X$13,IF(BG290&lt;=Hypothèses!$V$14,Hypothèses!$X$14,IF(BG290&lt;=Hypothèses!$V$15,Hypothèses!$X$15,IF(BG290&lt;=Hypothèses!$V$16,Hypothèses!$X$16,IF(BG290&lt;=Hypothèses!$U$17,Hypothèses!$W$17,IF(BG290&lt;=Hypothèses!$U$18,Hypothèses!$W$18,""))))))))))))</f>
        <v>#DIV/0!</v>
      </c>
      <c r="CD290" s="95" t="e">
        <f t="shared" ca="1" si="481"/>
        <v>#DIV/0!</v>
      </c>
      <c r="CE290" s="101">
        <f t="shared" si="526"/>
        <v>0</v>
      </c>
      <c r="CF290" s="91">
        <f t="shared" si="448"/>
        <v>0</v>
      </c>
      <c r="CG290" s="30" t="e">
        <f t="shared" si="506"/>
        <v>#N/A</v>
      </c>
      <c r="CH290" s="30" t="e">
        <f t="shared" si="507"/>
        <v>#N/A</v>
      </c>
      <c r="CI290" s="31" t="e">
        <f>IF(OR(Hypothèses!$B$4=17,Hypothèses!$B$4=18,Hypothèses!$B$4=19,Hypothèses!$B$4=20),
IF($D290="Pressio.",
IF(OR($E290=3,$E290=1,$E290=4),CH290,CG290),
IF($D290="Pénétro.",
IF(OR($E290=3,$E290=1,$E290=4),CH290,CG290))),IF($D290="Pressio.",
IF($E290=3,CH290,CG290),
IF($D290="Pénétro.",
IF($E290=4,CH290,CG290))))</f>
        <v>#N/A</v>
      </c>
      <c r="CJ290" s="31">
        <v>0</v>
      </c>
      <c r="CK290" s="102" t="e">
        <f>IF(NDC!$H$10="Oui",(VLOOKUP($B$3,'Coeff EC7'!$T$39:$X$59,2,0)*CI290+VLOOKUP($B$3,'Coeff EC7'!$T$65:$X$85,2,0)*Model0.1T!CJ290)/1.5,PI()*CG$12*$Q290*($B290-$B289)*0.15/10+CK289)</f>
        <v>#N/A</v>
      </c>
      <c r="CL290" s="102" t="e">
        <f>(VLOOKUP($B$3,'Coeff EC7'!$T$39:$X$59,3,0)*CI290+VLOOKUP($B$3,'Coeff EC7'!$T$65:$X$85,3,0)*Model0.1T!CJ290)/1.1</f>
        <v>#N/A</v>
      </c>
      <c r="CM290" s="102" t="e">
        <f t="shared" si="482"/>
        <v>#N/A</v>
      </c>
      <c r="CN290" s="102" t="e">
        <f t="shared" si="483"/>
        <v>#N/A</v>
      </c>
      <c r="CO290" s="414" t="e">
        <f>IF(AND(CK290&gt;NDC!$C$63,CL290&gt;NDC!$C$65,CM290&gt;NDC!$D$73,CN290&gt;NDC!$D$74,$B290&gt;NDC!$H$22-0.1+MIN(3*CO$12,1.5)),0,1)</f>
        <v>#N/A</v>
      </c>
      <c r="CP290" s="86" t="b">
        <f t="shared" si="449"/>
        <v>0</v>
      </c>
      <c r="CQ290" s="86">
        <f t="shared" si="450"/>
        <v>0.5</v>
      </c>
      <c r="CR290" s="86">
        <f t="shared" si="451"/>
        <v>0.5</v>
      </c>
      <c r="CS290" s="30" t="e">
        <f t="shared" ca="1" si="484"/>
        <v>#DIV/0!</v>
      </c>
      <c r="CT290" s="85" t="e">
        <f ca="1">IF(BZ290&lt;=Hypothèses!$V$7,Hypothèses!$W$7,IF(BZ290&lt;=Hypothèses!$V$8,Hypothèses!$W$8,IF(BZ290&lt;=Hypothèses!$V$9,Hypothèses!$W$9,IF(BZ290&lt;=Hypothèses!$V$10,Hypothèses!$W$10,IF(BZ290&lt;=Hypothèses!$V$11,Hypothèses!$W$11,IF(BZ290&lt;=Hypothèses!$V$12,Hypothèses!$W$12,IF(BZ290&lt;=Hypothèses!$V$13,Hypothèses!$W$13,IF(BZ290&lt;=Hypothèses!$V$14,Hypothèses!$W$14,IF(BZ290&lt;=Hypothèses!$V$15,Hypothèses!$W$15,IF(BZ290&lt;=Hypothèses!$V$16,Hypothèses!$W$16,IF(BZ290&lt;=Hypothèses!$V$17,Hypothèses!$W$17,IF(BZ290&lt;=Hypothèses!$V$18,Hypothèses!$W$18,""))))))))))))</f>
        <v>#DIV/0!</v>
      </c>
      <c r="CU290" s="87" t="e">
        <f t="shared" ca="1" si="520"/>
        <v>#DIV/0!</v>
      </c>
      <c r="CV290" s="88" t="e">
        <f ca="1">IF(BZ290&lt;=Hypothèses!$V$7,Hypothèses!$X$7,IF(BZ290&lt;=Hypothèses!$V$8,Hypothèses!$X$8,IF(BZ290&lt;=Hypothèses!$V$9,Hypothèses!$X$9,IF(BZ290&lt;=Hypothèses!$V$10,Hypothèses!$X$10,IF(BZ290&lt;=Hypothèses!$V$11,Hypothèses!$X$11,IF(BZ290&lt;=Hypothèses!$V$12,Hypothèses!$X$12,IF(BZ290&lt;=Hypothèses!$V$13,Hypothèses!$X$13,IF(BZ290&lt;=Hypothèses!$V$14,Hypothèses!$X$14,IF(BZ290&lt;=Hypothèses!$V$15,Hypothèses!$X$15,IF(BZ290&lt;=Hypothèses!$V$16,Hypothèses!$X$16,IF(BZ290&lt;=Hypothèses!$U$17,Hypothèses!$W$17,IF(BZ290&lt;=Hypothèses!$U$18,Hypothèses!$W$18,""))))))))))))</f>
        <v>#DIV/0!</v>
      </c>
      <c r="CW290" s="95" t="e">
        <f t="shared" ca="1" si="485"/>
        <v>#DIV/0!</v>
      </c>
      <c r="CX290" s="101">
        <f t="shared" si="527"/>
        <v>0</v>
      </c>
      <c r="CY290" s="91">
        <f t="shared" si="452"/>
        <v>0</v>
      </c>
      <c r="CZ290" s="30" t="e">
        <f t="shared" si="508"/>
        <v>#N/A</v>
      </c>
      <c r="DA290" s="30" t="e">
        <f t="shared" si="509"/>
        <v>#N/A</v>
      </c>
      <c r="DB290" s="31" t="e">
        <f>IF(OR(Hypothèses!$B$4=17,Hypothèses!$B$4=18,Hypothèses!$B$4=19,Hypothèses!$B$4=20),
IF($D290="Pressio.",
IF(OR($E290=3,$E290=1,$E290=4),DA290,CZ290),
IF($D290="Pénétro.",
IF(OR($E290=3,$E290=1,$E290=4),DA290,CZ290))),IF($D290="Pressio.",
IF($E290=3,DA290,CZ290),
IF($D290="Pénétro.",
IF($E290=4,DA290,CZ290))))</f>
        <v>#N/A</v>
      </c>
      <c r="DC290" s="31">
        <v>0</v>
      </c>
      <c r="DD290" s="102" t="e">
        <f>IF(NDC!$H$10="Oui",(VLOOKUP($B$3,'Coeff EC7'!$T$39:$X$59,2,0)*DB290+VLOOKUP($B$3,'Coeff EC7'!$T$65:$X$85,2,0)*Model0.1T!DC290)/1.5,PI()*CZ$12*$Q290*($B290-$B289)*0.15/10+DD289)</f>
        <v>#N/A</v>
      </c>
      <c r="DE290" s="102" t="e">
        <f>(VLOOKUP($B$3,'Coeff EC7'!$T$39:$X$59,3,0)*DB290+VLOOKUP($B$3,'Coeff EC7'!$T$65:$X$85,3,0)*Model0.1T!DC290)/1.1</f>
        <v>#N/A</v>
      </c>
      <c r="DF290" s="102" t="e">
        <f t="shared" si="486"/>
        <v>#N/A</v>
      </c>
      <c r="DG290" s="102" t="e">
        <f t="shared" si="487"/>
        <v>#N/A</v>
      </c>
      <c r="DH290" s="414" t="e">
        <f>IF(AND(DD290&gt;NDC!$C$63,DE290&gt;NDC!$C$65,DF290&gt;NDC!$D$73,DG290&gt;NDC!$D$74,$B290&gt;NDC!$H$22-0.1+MIN(3*DH$12,1.5)),0,1)</f>
        <v>#N/A</v>
      </c>
      <c r="DI290" s="86" t="b">
        <f t="shared" si="453"/>
        <v>0</v>
      </c>
      <c r="DJ290" s="86">
        <f t="shared" si="454"/>
        <v>0.5</v>
      </c>
      <c r="DK290" s="86">
        <f t="shared" si="455"/>
        <v>0.5</v>
      </c>
      <c r="DL290" s="30" t="e">
        <f t="shared" ca="1" si="488"/>
        <v>#DIV/0!</v>
      </c>
      <c r="DM290" s="85" t="e">
        <f ca="1">IF(CS290&lt;=Hypothèses!$V$7,Hypothèses!$W$7,IF(CS290&lt;=Hypothèses!$V$8,Hypothèses!$W$8,IF(CS290&lt;=Hypothèses!$V$9,Hypothèses!$W$9,IF(CS290&lt;=Hypothèses!$V$10,Hypothèses!$W$10,IF(CS290&lt;=Hypothèses!$V$11,Hypothèses!$W$11,IF(CS290&lt;=Hypothèses!$V$12,Hypothèses!$W$12,IF(CS290&lt;=Hypothèses!$V$13,Hypothèses!$W$13,IF(CS290&lt;=Hypothèses!$V$14,Hypothèses!$W$14,IF(CS290&lt;=Hypothèses!$V$15,Hypothèses!$W$15,IF(CS290&lt;=Hypothèses!$V$16,Hypothèses!$W$16,IF(CS290&lt;=Hypothèses!$V$17,Hypothèses!$W$17,IF(CS290&lt;=Hypothèses!$V$18,Hypothèses!$W$18,""))))))))))))</f>
        <v>#DIV/0!</v>
      </c>
      <c r="DN290" s="87" t="e">
        <f t="shared" ca="1" si="521"/>
        <v>#DIV/0!</v>
      </c>
      <c r="DO290" s="88" t="e">
        <f ca="1">IF(CS290&lt;=Hypothèses!$V$7,Hypothèses!$X$7,IF(CS290&lt;=Hypothèses!$V$8,Hypothèses!$X$8,IF(CS290&lt;=Hypothèses!$V$9,Hypothèses!$X$9,IF(CS290&lt;=Hypothèses!$V$10,Hypothèses!$X$10,IF(CS290&lt;=Hypothèses!$V$11,Hypothèses!$X$11,IF(CS290&lt;=Hypothèses!$V$12,Hypothèses!$X$12,IF(CS290&lt;=Hypothèses!$V$13,Hypothèses!$X$13,IF(CS290&lt;=Hypothèses!$V$14,Hypothèses!$X$14,IF(CS290&lt;=Hypothèses!$V$15,Hypothèses!$X$15,IF(CS290&lt;=Hypothèses!$V$16,Hypothèses!$X$16,IF(CS290&lt;=Hypothèses!$U$17,Hypothèses!$W$17,IF(CS290&lt;=Hypothèses!$U$18,Hypothèses!$W$18,""))))))))))))</f>
        <v>#DIV/0!</v>
      </c>
      <c r="DP290" s="95" t="e">
        <f t="shared" ca="1" si="489"/>
        <v>#DIV/0!</v>
      </c>
      <c r="DQ290" s="101">
        <f t="shared" si="528"/>
        <v>0</v>
      </c>
      <c r="DR290" s="91">
        <f t="shared" si="456"/>
        <v>0</v>
      </c>
      <c r="DS290" s="30" t="e">
        <f t="shared" si="510"/>
        <v>#N/A</v>
      </c>
      <c r="DT290" s="30" t="e">
        <f t="shared" si="511"/>
        <v>#N/A</v>
      </c>
      <c r="DU290" s="31" t="e">
        <f>IF(OR(Hypothèses!$B$4=17,Hypothèses!$B$4=18,Hypothèses!$B$4=19,Hypothèses!$B$4=20),
IF($D290="Pressio.",
IF(OR($E290=3,$E290=1,$E290=4),DT290,DS290),
IF($D290="Pénétro.",
IF(OR($E290=3,$E290=1,$E290=4),DT290,DS290))),IF($D290="Pressio.",
IF($E290=3,DT290,DS290),
IF($D290="Pénétro.",
IF($E290=4,DT290,DS290))))</f>
        <v>#N/A</v>
      </c>
      <c r="DV290" s="31">
        <v>0</v>
      </c>
      <c r="DW290" s="102" t="e">
        <f>IF(NDC!$H$10="Oui",(VLOOKUP($B$3,'Coeff EC7'!$T$39:$X$59,2,0)*DU290+VLOOKUP($B$3,'Coeff EC7'!$T$65:$X$85,2,0)*Model0.1T!DV290)/1.5,PI()*DS$12*$Q290*($B290-$B289)*0.15/10+DW289)</f>
        <v>#N/A</v>
      </c>
      <c r="DX290" s="102" t="e">
        <f>(VLOOKUP($B$3,'Coeff EC7'!$T$39:$X$59,3,0)*DU290+VLOOKUP($B$3,'Coeff EC7'!$T$65:$X$85,3,0)*Model0.1T!DV290)/1.1</f>
        <v>#N/A</v>
      </c>
      <c r="DY290" s="102" t="e">
        <f t="shared" si="490"/>
        <v>#N/A</v>
      </c>
      <c r="DZ290" s="102" t="e">
        <f t="shared" si="491"/>
        <v>#N/A</v>
      </c>
      <c r="EA290" s="414" t="e">
        <f>IF(AND(DW290&gt;NDC!$C$63,DX290&gt;NDC!$C$65,DY290&gt;NDC!$D$73,DZ290&gt;NDC!$D$74,$B290&gt;NDC!$H$22-0.1+MIN(3*EA$12,1.5)),0,1)</f>
        <v>#N/A</v>
      </c>
      <c r="EB290" s="86" t="b">
        <f t="shared" si="457"/>
        <v>0</v>
      </c>
      <c r="EC290" s="418">
        <f t="shared" si="458"/>
        <v>0.51</v>
      </c>
      <c r="ED290" s="86">
        <f t="shared" si="459"/>
        <v>0.51</v>
      </c>
      <c r="EE290" s="30" t="e">
        <f t="shared" ca="1" si="492"/>
        <v>#DIV/0!</v>
      </c>
      <c r="EF290" s="85" t="e">
        <f ca="1">IF(DL290&lt;=Hypothèses!$V$7,Hypothèses!$W$7,IF(DL290&lt;=Hypothèses!$V$8,Hypothèses!$W$8,IF(DL290&lt;=Hypothèses!$V$9,Hypothèses!$W$9,IF(DL290&lt;=Hypothèses!$V$10,Hypothèses!$W$10,IF(DL290&lt;=Hypothèses!$V$11,Hypothèses!$W$11,IF(DL290&lt;=Hypothèses!$V$12,Hypothèses!$W$12,IF(DL290&lt;=Hypothèses!$V$13,Hypothèses!$W$13,IF(DL290&lt;=Hypothèses!$V$14,Hypothèses!$W$14,IF(DL290&lt;=Hypothèses!$V$15,Hypothèses!$W$15,IF(DL290&lt;=Hypothèses!$V$16,Hypothèses!$W$16,IF(DL290&lt;=Hypothèses!$V$17,Hypothèses!$W$17,IF(DL290&lt;=Hypothèses!$V$18,Hypothèses!$W$18,""))))))))))))</f>
        <v>#DIV/0!</v>
      </c>
      <c r="EG290" s="87" t="e">
        <f t="shared" ca="1" si="522"/>
        <v>#DIV/0!</v>
      </c>
      <c r="EH290" s="88" t="e">
        <f ca="1">IF(DL290&lt;=Hypothèses!$V$7,Hypothèses!$X$7,IF(DL290&lt;=Hypothèses!$V$8,Hypothèses!$X$8,IF(DL290&lt;=Hypothèses!$V$9,Hypothèses!$X$9,IF(DL290&lt;=Hypothèses!$V$10,Hypothèses!$X$10,IF(DL290&lt;=Hypothèses!$V$11,Hypothèses!$X$11,IF(DL290&lt;=Hypothèses!$V$12,Hypothèses!$X$12,IF(DL290&lt;=Hypothèses!$V$13,Hypothèses!$X$13,IF(DL290&lt;=Hypothèses!$V$14,Hypothèses!$X$14,IF(DL290&lt;=Hypothèses!$V$15,Hypothèses!$X$15,IF(DL290&lt;=Hypothèses!$V$16,Hypothèses!$X$16,IF(DL290&lt;=Hypothèses!$U$17,Hypothèses!$W$17,IF(DL290&lt;=Hypothèses!$U$18,Hypothèses!$W$18,""))))))))))))</f>
        <v>#DIV/0!</v>
      </c>
      <c r="EI290" s="95" t="e">
        <f t="shared" ca="1" si="493"/>
        <v>#DIV/0!</v>
      </c>
      <c r="EJ290" s="101">
        <f t="shared" si="529"/>
        <v>0</v>
      </c>
      <c r="EK290" s="91">
        <f t="shared" si="460"/>
        <v>0</v>
      </c>
      <c r="EL290" s="30" t="e">
        <f t="shared" si="512"/>
        <v>#N/A</v>
      </c>
      <c r="EM290" s="30" t="e">
        <f t="shared" si="513"/>
        <v>#N/A</v>
      </c>
      <c r="EN290" s="31" t="e">
        <f>IF(OR(Hypothèses!$B$4=17,Hypothèses!$B$4=18,Hypothèses!$B$4=19,Hypothèses!$B$4=20),
IF($D290="Pressio.",
IF(OR($E290=3,$E290=1,$E290=4),EM290,EL290),
IF($D290="Pénétro.",
IF(OR($E290=3,$E290=1,$E290=4),EM290,EL290))),IF($D290="Pressio.",
IF($E290=3,EM290,EL290),
IF($D290="Pénétro.",
IF($E290=4,EM290,EL290))))</f>
        <v>#N/A</v>
      </c>
      <c r="EO290" s="31">
        <v>0</v>
      </c>
      <c r="EP290" s="102" t="e">
        <f>IF(NDC!$H$10="Oui",(VLOOKUP($B$3,'Coeff EC7'!$T$39:$X$59,2,0)*EN290+VLOOKUP($B$3,'Coeff EC7'!$T$65:$X$85,2,0)*Model0.1T!EO290)/1.5,PI()*EL$12*$Q290*($B290-$B289)*0.15/10+EP289)</f>
        <v>#N/A</v>
      </c>
      <c r="EQ290" s="102" t="e">
        <f>(VLOOKUP($B$3,'Coeff EC7'!$T$39:$X$59,3,0)*EN290+VLOOKUP($B$3,'Coeff EC7'!$T$65:$X$85,3,0)*Model0.1T!EO290)/1.1</f>
        <v>#N/A</v>
      </c>
      <c r="ER290" s="102" t="e">
        <f t="shared" si="494"/>
        <v>#N/A</v>
      </c>
      <c r="ES290" s="102" t="e">
        <f t="shared" si="495"/>
        <v>#N/A</v>
      </c>
      <c r="ET290" s="414" t="e">
        <f>IF(AND(EP290&gt;NDC!$C$63,EQ290&gt;NDC!$C$65,ER290&gt;NDC!$D$73,ES290&gt;NDC!$D$74,$B290&gt;NDC!$H$22-0.1+MIN(3*ET$12,1.5)),0,1)</f>
        <v>#N/A</v>
      </c>
      <c r="EU290" s="86" t="b">
        <f t="shared" si="461"/>
        <v>0</v>
      </c>
      <c r="EV290" s="86">
        <f t="shared" si="462"/>
        <v>0.61</v>
      </c>
      <c r="EW290" s="86">
        <f t="shared" si="463"/>
        <v>0.61</v>
      </c>
      <c r="EX290" s="30" t="e">
        <f t="shared" ca="1" si="496"/>
        <v>#DIV/0!</v>
      </c>
      <c r="EY290" s="85" t="e">
        <f ca="1">IF(EE290&lt;=Hypothèses!$V$7,Hypothèses!$W$7,IF(EE290&lt;=Hypothèses!$V$8,Hypothèses!$W$8,IF(EE290&lt;=Hypothèses!$V$9,Hypothèses!$W$9,IF(EE290&lt;=Hypothèses!$V$10,Hypothèses!$W$10,IF(EE290&lt;=Hypothèses!$V$11,Hypothèses!$W$11,IF(EE290&lt;=Hypothèses!$V$12,Hypothèses!$W$12,IF(EE290&lt;=Hypothèses!$V$13,Hypothèses!$W$13,IF(EE290&lt;=Hypothèses!$V$14,Hypothèses!$W$14,IF(EE290&lt;=Hypothèses!$V$15,Hypothèses!$W$15,IF(EE290&lt;=Hypothèses!$V$16,Hypothèses!$W$16,IF(EE290&lt;=Hypothèses!$V$17,Hypothèses!$W$17,IF(EE290&lt;=Hypothèses!$V$18,Hypothèses!$W$18,""))))))))))))</f>
        <v>#DIV/0!</v>
      </c>
      <c r="EZ290" s="87" t="e">
        <f t="shared" ca="1" si="523"/>
        <v>#DIV/0!</v>
      </c>
      <c r="FA290" s="88" t="e">
        <f ca="1">IF(EE290&lt;=Hypothèses!$V$7,Hypothèses!$X$7,IF(EE290&lt;=Hypothèses!$V$8,Hypothèses!$X$8,IF(EE290&lt;=Hypothèses!$V$9,Hypothèses!$X$9,IF(EE290&lt;=Hypothèses!$V$10,Hypothèses!$X$10,IF(EE290&lt;=Hypothèses!$V$11,Hypothèses!$X$11,IF(EE290&lt;=Hypothèses!$V$12,Hypothèses!$X$12,IF(EE290&lt;=Hypothèses!$V$13,Hypothèses!$X$13,IF(EE290&lt;=Hypothèses!$V$14,Hypothèses!$X$14,IF(EE290&lt;=Hypothèses!$V$15,Hypothèses!$X$15,IF(EE290&lt;=Hypothèses!$V$16,Hypothèses!$X$16,IF(EE290&lt;=Hypothèses!$U$17,Hypothèses!$W$17,IF(EE290&lt;=Hypothèses!$U$18,Hypothèses!$W$18,""))))))))))))</f>
        <v>#DIV/0!</v>
      </c>
      <c r="FB290" s="95" t="e">
        <f t="shared" ca="1" si="497"/>
        <v>#DIV/0!</v>
      </c>
      <c r="FC290" s="101">
        <f t="shared" si="530"/>
        <v>0</v>
      </c>
      <c r="FD290" s="91">
        <f t="shared" si="464"/>
        <v>0</v>
      </c>
      <c r="FE290" s="30" t="e">
        <f t="shared" si="514"/>
        <v>#N/A</v>
      </c>
      <c r="FF290" s="30" t="e">
        <f t="shared" si="515"/>
        <v>#N/A</v>
      </c>
      <c r="FG290" s="31" t="e">
        <f>IF(OR(Hypothèses!$B$4=17,Hypothèses!$B$4=18,Hypothèses!$B$4=19,Hypothèses!$B$4=20),
IF($D290="Pressio.",
IF(OR($E290=3,$E290=1,$E290=4),FF290,FE290),
IF($D290="Pénétro.",
IF(OR($E290=3,$E290=1,$E290=4),FF290,FE290))),IF($D290="Pressio.",
IF($E290=3,FF290,FE290),
IF($D290="Pénétro.",
IF($E290=4,FF290,FE290))))</f>
        <v>#N/A</v>
      </c>
      <c r="FH290" s="31">
        <v>0</v>
      </c>
      <c r="FI290" s="102" t="e">
        <f>IF(NDC!$H$10="Oui",(VLOOKUP($B$3,'Coeff EC7'!$T$39:$X$59,2,0)*FG290+VLOOKUP($B$3,'Coeff EC7'!$T$65:$X$85,2,0)*Model0.1T!FH290)/1.5,PI()*FE$12*$Q290*($B290-$B289)*0.15/10+FI289)</f>
        <v>#N/A</v>
      </c>
      <c r="FJ290" s="102" t="e">
        <f>(VLOOKUP($B$3,'Coeff EC7'!$T$39:$X$59,3,0)*FG290+VLOOKUP($B$3,'Coeff EC7'!$T$65:$X$85,3,0)*Model0.1T!FH290)/1.1</f>
        <v>#N/A</v>
      </c>
      <c r="FK290" s="102" t="e">
        <f t="shared" si="498"/>
        <v>#N/A</v>
      </c>
      <c r="FL290" s="102" t="e">
        <f t="shared" si="499"/>
        <v>#N/A</v>
      </c>
      <c r="FM290" s="414" t="e">
        <f>IF(AND(FI290&gt;NDC!$C$63,FJ290&gt;NDC!$C$65,FK290&gt;NDC!$D$73,FL290&gt;NDC!$D$74,$B290&gt;NDC!$H$22-0.1+MIN(3*FM$12,1.5)),0,1)</f>
        <v>#N/A</v>
      </c>
    </row>
    <row r="291" spans="1:169">
      <c r="A291" s="96">
        <f t="shared" si="465"/>
        <v>72.20000000000158</v>
      </c>
      <c r="B291" s="97">
        <v>27.8</v>
      </c>
      <c r="C291" s="81">
        <f>IF(B291&lt;=Hypothèses!$C$7,Hypothèses!$A$7,IF(B291&lt;=Hypothèses!$C$8,Hypothèses!$A$8,IF(B291&lt;=Hypothèses!$C$9,Hypothèses!$A$9,IF(B291&lt;=Hypothèses!$C$10,Hypothèses!$A$10,IF(B291&lt;=Hypothèses!$C$11,Hypothèses!$A$11,IF(B291&lt;=Hypothèses!$C$12,Hypothèses!$A$12,IF(B291&lt;=Hypothèses!$C$13,Hypothèses!$A$13,IF(B291&lt;=Hypothèses!$C$14,Hypothèses!$A$14,IF(B291&lt;=Hypothèses!$C$15,Hypothèses!$A$15,IF(B291&lt;=Hypothèses!$C$16,Hypothèses!$A$16,IF(B291&lt;=Hypothèses!$C$17,Hypothèses!$A$17,IF(B291&lt;=Hypothèses!$C$18,Hypothèses!$A$18,C290))))))))))))</f>
        <v>11</v>
      </c>
      <c r="D291" s="82" t="str">
        <f>IF(B291&lt;=Hypothèses!$C$7,Hypothèses!$R$7,IF(B291&lt;=Hypothèses!$C$8,Hypothèses!$R$8,IF(B291&lt;=Hypothèses!$C$9,Hypothèses!$R$9,IF(B291&lt;=Hypothèses!$C$10,Hypothèses!$R$10,IF(B291&lt;=Hypothèses!$C$11,Hypothèses!$R$11,IF(B291&lt;=Hypothèses!$C$12,Hypothèses!$R$12,IF(B291&lt;=Hypothèses!$C$13,Hypothèses!$R$13,IF(B291&lt;=Hypothèses!$C$14,Hypothèses!$R$14,IF(B291&lt;=Hypothèses!$C$15,Hypothèses!$R$15,IF(B291&lt;=Hypothèses!$C$16,Hypothèses!$R$16,IF(B291&lt;=Hypothèses!$C$17,Hypothèses!$R$17,IF(B291&lt;=Hypothèses!$C$18,Hypothèses!$R$18,D290))))))))))))</f>
        <v>Pressio.</v>
      </c>
      <c r="E291" s="82" t="e">
        <f>IF(B291&lt;=Hypothèses!$C$7,Hypothèses!$G$7,IF(B291&lt;=Hypothèses!$C$8,Hypothèses!$G$8,IF(B291&lt;=Hypothèses!$C$9,Hypothèses!$G$9,IF(B291&lt;=Hypothèses!$C$10,Hypothèses!$G$10,IF(B291&lt;=Hypothèses!$C$11,Hypothèses!$G$11,IF(B291&lt;=Hypothèses!$C$12,Hypothèses!$G$12,IF(B291&lt;=Hypothèses!$C$13,Hypothèses!$G$13,IF(B291&lt;=Hypothèses!$C$14,Hypothèses!$G$14,IF(B291&lt;=Hypothèses!$C$15,Hypothèses!$G$15,IF(B291&lt;=Hypothèses!$C$16,Hypothèses!$G$16,IF(B291&lt;=Hypothèses!$C$17,Hypothèses!$G$17,IF(B291&lt;=Hypothèses!$C$18,Hypothèses!$G$18,E290))))))))))))</f>
        <v>#N/A</v>
      </c>
      <c r="F291" s="82" t="str">
        <f>IF(B291&lt;=Hypothèses!$C$7,Hypothèses!$F$7,IF(B291&lt;=Hypothèses!$C$8,Hypothèses!$F$8,IF(B291&lt;=Hypothèses!$C$9,Hypothèses!$F$9,IF(B291&lt;=Hypothèses!$C$10,Hypothèses!$F$10,IF(B291&lt;=Hypothèses!$C$11,Hypothèses!$F$11,IF(B291&lt;=Hypothèses!$C$12,Hypothèses!$F$12,IF(B291&lt;=Hypothèses!$C$13,Hypothèses!$F$13,IF(B291&lt;=Hypothèses!$C$14,Hypothèses!$F$14,IF(B291&lt;=Hypothèses!$C$15,Hypothèses!$F$15,IF(B291&lt;=Hypothèses!$C$16,Hypothèses!$F$16,IF(B291&lt;=Hypothèses!$C$17,Hypothèses!$F$17,IF(B291&lt;=Hypothèses!$C$18,Hypothèses!$F$18,F290))))))))))))</f>
        <v/>
      </c>
      <c r="G291" s="91">
        <f t="array" ref="G291">INDEX('Coeff EC7'!$U$7:$X$27,
MATCH(Model0.1T!$B$3,'Coeff EC7'!$T$7:$T$27,0),
MATCH(Model0.1T!$D291&amp;Model0.1T!$B$4,
'Coeff EC7'!$U$6:$X$6&amp;
'Coeff EC7'!$U$5:$X$5,0))</f>
        <v>1.4</v>
      </c>
      <c r="H291" s="91">
        <f t="array" ref="H291">INDEX('Coeff EC7'!$Y$7:$AB$27,
MATCH(Model0.1T!$B$3,'Coeff EC7'!$T$7:$T$27,0),
MATCH(Model0.1T!$D291&amp;Model0.1T!$B$4,
'Coeff EC7'!$Y$6:$AB$6&amp;
'Coeff EC7'!$Y$5:$AB$5,0))</f>
        <v>1.7</v>
      </c>
      <c r="I291" s="83">
        <v>0</v>
      </c>
      <c r="J291" s="91" t="e">
        <f t="array" ref="J291">INDEX('Coeff EC7'!$D$33:$Q$33,1,MATCH(D291&amp;E291,'Coeff EC7'!$D$31:$Q$31&amp;'Coeff EC7'!$D$32:$Q$32,0))</f>
        <v>#N/A</v>
      </c>
      <c r="K291" s="91" t="e">
        <f t="array" ref="K291">INDEX('Coeff EC7'!$D$34:$Q$34,1,MATCH(D291&amp;E291,'Coeff EC7'!$D$31:$Q$31&amp;'Coeff EC7'!$D$32:$Q$32,0))</f>
        <v>#N/A</v>
      </c>
      <c r="L291" s="91" t="e">
        <f t="array" ref="L291">INDEX('Coeff EC7'!$D$35:$Q$35,1,MATCH(D291&amp;E291,'Coeff EC7'!$D$31:$Q$31&amp;'Coeff EC7'!$D$32:$Q$32,0))</f>
        <v>#N/A</v>
      </c>
      <c r="M291" s="98" t="e">
        <f t="shared" si="431"/>
        <v>#N/A</v>
      </c>
      <c r="N291" s="99" t="e">
        <f t="array" ref="N291">INDEX('Coeff EC7'!$D$7:$Q$27,MATCH($B$3,'Coeff EC7'!$C$7:$C$27,0),MATCH(D291&amp;E291,'Coeff EC7'!$D$5:$Q$5&amp;'Coeff EC7'!$D$6:$Q$6,0))</f>
        <v>#N/A</v>
      </c>
      <c r="O291" s="99" t="e">
        <f t="array" ref="O291">INDEX('Coeff EC7'!$D$41:$Q$61,MATCH($B$3,'Coeff EC7'!$C$41:$C$61,0),MATCH(D291&amp;E291,'Coeff EC7'!$D$39:$Q$39&amp;'Coeff EC7'!$D$40:$Q$40,0))</f>
        <v>#N/A</v>
      </c>
      <c r="P291" s="30" t="e">
        <f t="shared" si="466"/>
        <v>#N/A</v>
      </c>
      <c r="Q291" s="100" t="e">
        <f t="shared" si="433"/>
        <v>#N/A</v>
      </c>
      <c r="R291" s="86" t="b">
        <f t="shared" si="434"/>
        <v>0</v>
      </c>
      <c r="S291" s="86">
        <f t="shared" si="432"/>
        <v>0.5</v>
      </c>
      <c r="T291" s="86">
        <f t="shared" si="435"/>
        <v>0.5</v>
      </c>
      <c r="U291" s="30" t="e">
        <f t="shared" ca="1" si="467"/>
        <v>#DIV/0!</v>
      </c>
      <c r="V291" s="85" t="str">
        <f>IF(B291&lt;=Hypothèses!$V$7,Hypothèses!$W$7,IF(B291&lt;=Hypothèses!$V$8,Hypothèses!$W$8,IF(B291&lt;=Hypothèses!$V$9,Hypothèses!$W$9,IF(B291&lt;=Hypothèses!$V$10,Hypothèses!$W$10,IF(B291&lt;=Hypothèses!$V$11,Hypothèses!$W$11,IF(B291&lt;=Hypothèses!$V$12,Hypothèses!$W$12,IF(B291&lt;=Hypothèses!$V$13,Hypothèses!$W$13,IF(B291&lt;=Hypothèses!$V$14,Hypothèses!$W$14,IF(B291&lt;=Hypothèses!$V$15,Hypothèses!$W$15,IF(B291&lt;=Hypothèses!$V$16,Hypothèses!$W$16,IF(B291&lt;=Hypothèses!$V$17,Hypothèses!$W$17,IF(B291&lt;=Hypothèses!$V$18,Hypothèses!$W$18,""))))))))))))</f>
        <v/>
      </c>
      <c r="W291" s="87" t="e">
        <f t="shared" ca="1" si="516"/>
        <v>#DIV/0!</v>
      </c>
      <c r="X291" s="88" t="str">
        <f>IF(B291&lt;=Hypothèses!$V$7,Hypothèses!$X$7,IF(B291&lt;=Hypothèses!$V$8,Hypothèses!$X$8,IF(B291&lt;=Hypothèses!$V$9,Hypothèses!$X$9,IF(B291&lt;=Hypothèses!$V$10,Hypothèses!$X$10,IF(B291&lt;=Hypothèses!$V$11,Hypothèses!$X$11,IF(B291&lt;=Hypothèses!$V$12,Hypothèses!$X$12,IF(B291&lt;=Hypothèses!$V$13,Hypothèses!$X$13,IF(B291&lt;=Hypothèses!$V$14,Hypothèses!$X$14,IF(B291&lt;=Hypothèses!$V$15,Hypothèses!$X$15,IF(B291&lt;=Hypothèses!$V$16,Hypothèses!$X$16,IF(B291&lt;=Hypothèses!$U$17,Hypothèses!$W$17,IF(B291&lt;=Hypothèses!$U$18,Hypothèses!$W$18,""))))))))))))</f>
        <v/>
      </c>
      <c r="Y291" s="95" t="e">
        <f t="shared" ca="1" si="436"/>
        <v>#DIV/0!</v>
      </c>
      <c r="Z291" s="101">
        <f t="shared" si="437"/>
        <v>0</v>
      </c>
      <c r="AA291" s="91">
        <f t="shared" si="438"/>
        <v>0</v>
      </c>
      <c r="AB291" s="30" t="e">
        <f t="shared" si="500"/>
        <v>#N/A</v>
      </c>
      <c r="AC291" s="30" t="e">
        <f t="shared" si="501"/>
        <v>#N/A</v>
      </c>
      <c r="AD291" s="31" t="e">
        <f>IF(OR(Hypothèses!$B$4=17,Hypothèses!$B$4=18,Hypothèses!$B$4=19,Hypothèses!$B$4=20),
IF($D291="Pressio.",
IF(OR($E291=3,$E291=1,$E291=4),AC291,AB291),
IF($D291="Pénétro.",
IF(OR($E291=3,$E291=1,$E291=4),AC291,AB291))),IF($D291="Pressio.",
IF($E291=3,AC291,AB291),
IF($D291="Pénétro.",
IF($E291=4,AC291,AB291))))</f>
        <v>#N/A</v>
      </c>
      <c r="AE291" s="31">
        <v>0</v>
      </c>
      <c r="AF291" s="102" t="e">
        <f>IF(NDC!$H$10="Oui",(VLOOKUP($B$3,'Coeff EC7'!$T$39:$X$59,2,0)*AD291+VLOOKUP($B$3,'Coeff EC7'!$T$65:$X$85,2,0)*Model0.1T!AE291)/1.5,PI()*AB$12*$Q291*($B291-$B290)*0.15/10+AF290)</f>
        <v>#N/A</v>
      </c>
      <c r="AG291" s="102" t="e">
        <f>(VLOOKUP($B$3,'Coeff EC7'!$T$39:$X$59,3,0)*AD291+VLOOKUP($B$3,'Coeff EC7'!$T$65:$X$85,3,0)*Model0.1T!AE291)/1.1</f>
        <v>#N/A</v>
      </c>
      <c r="AH291" s="102" t="e">
        <f t="shared" si="468"/>
        <v>#N/A</v>
      </c>
      <c r="AI291" s="102" t="e">
        <f t="shared" si="469"/>
        <v>#N/A</v>
      </c>
      <c r="AJ291" s="414" t="e">
        <f>IF(AND(AF291&gt;NDC!$C$63,AG291&gt;NDC!$C$65,AH291&gt;NDC!$D$73,AI291&gt;NDC!$D$74,$B291&gt;NDC!$H$22-0.1+MIN(3*$AJ$12,1.5)),0,1)</f>
        <v>#N/A</v>
      </c>
      <c r="AK291" s="86" t="b">
        <f t="shared" si="439"/>
        <v>0</v>
      </c>
      <c r="AL291" s="86">
        <f t="shared" si="470"/>
        <v>0.5</v>
      </c>
      <c r="AM291" s="86">
        <f t="shared" si="440"/>
        <v>0.5</v>
      </c>
      <c r="AN291" s="30" t="e">
        <f t="shared" ca="1" si="471"/>
        <v>#DIV/0!</v>
      </c>
      <c r="AO291" s="85" t="e">
        <f ca="1">IF(U291&lt;=Hypothèses!$V$7,Hypothèses!$W$7,IF(U291&lt;=Hypothèses!$V$8,Hypothèses!$W$8,IF(U291&lt;=Hypothèses!$V$9,Hypothèses!$W$9,IF(U291&lt;=Hypothèses!$V$10,Hypothèses!$W$10,IF(U291&lt;=Hypothèses!$V$11,Hypothèses!$W$11,IF(U291&lt;=Hypothèses!$V$12,Hypothèses!$W$12,IF(U291&lt;=Hypothèses!$V$13,Hypothèses!$W$13,IF(U291&lt;=Hypothèses!$V$14,Hypothèses!$W$14,IF(U291&lt;=Hypothèses!$V$15,Hypothèses!$W$15,IF(U291&lt;=Hypothèses!$V$16,Hypothèses!$W$16,IF(U291&lt;=Hypothèses!$V$17,Hypothèses!$W$17,IF(U291&lt;=Hypothèses!$V$18,Hypothèses!$W$18,""))))))))))))</f>
        <v>#DIV/0!</v>
      </c>
      <c r="AP291" s="87" t="e">
        <f t="shared" ca="1" si="517"/>
        <v>#DIV/0!</v>
      </c>
      <c r="AQ291" s="88" t="e">
        <f ca="1">IF(U291&lt;=Hypothèses!$V$7,Hypothèses!$X$7,IF(U291&lt;=Hypothèses!$V$8,Hypothèses!$X$8,IF(U291&lt;=Hypothèses!$V$9,Hypothèses!$X$9,IF(U291&lt;=Hypothèses!$V$10,Hypothèses!$X$10,IF(U291&lt;=Hypothèses!$V$11,Hypothèses!$X$11,IF(U291&lt;=Hypothèses!$V$12,Hypothèses!$X$12,IF(U291&lt;=Hypothèses!$V$13,Hypothèses!$X$13,IF(U291&lt;=Hypothèses!$V$14,Hypothèses!$X$14,IF(U291&lt;=Hypothèses!$V$15,Hypothèses!$X$15,IF(U291&lt;=Hypothèses!$V$16,Hypothèses!$X$16,IF(U291&lt;=Hypothèses!$U$17,Hypothèses!$W$17,IF(U291&lt;=Hypothèses!$U$18,Hypothèses!$W$18,""))))))))))))</f>
        <v>#DIV/0!</v>
      </c>
      <c r="AR291" s="95" t="e">
        <f t="shared" ca="1" si="472"/>
        <v>#DIV/0!</v>
      </c>
      <c r="AS291" s="101">
        <f t="shared" si="524"/>
        <v>0</v>
      </c>
      <c r="AT291" s="91">
        <f t="shared" si="441"/>
        <v>0</v>
      </c>
      <c r="AU291" s="30" t="e">
        <f t="shared" si="502"/>
        <v>#N/A</v>
      </c>
      <c r="AV291" s="30" t="e">
        <f t="shared" si="503"/>
        <v>#N/A</v>
      </c>
      <c r="AW291" s="31" t="e">
        <f>IF(OR(Hypothèses!$B$4=17,Hypothèses!$B$4=18,Hypothèses!$B$4=19,Hypothèses!$B$4=20),
IF($D291="Pressio.",
IF(OR($E291=3,$E291=1,$E291=4),AV291,AU291),
IF($D291="Pénétro.",
IF(OR($E291=3,$E291=1,$E291=4),AV291,AU291))),IF($D291="Pressio.",
IF($E291=3,AV291,AU291),
IF($D291="Pénétro.",
IF($E291=4,AV291,AU291))))</f>
        <v>#N/A</v>
      </c>
      <c r="AX291" s="31">
        <v>0</v>
      </c>
      <c r="AY291" s="102" t="e">
        <f>IF(NDC!$H$10="Oui",(VLOOKUP($B$3,'Coeff EC7'!$T$39:$X$59,2,0)*AW291+VLOOKUP($B$3,'Coeff EC7'!$T$65:$X$85,2,0)*Model0.1T!AX291)/1.5,PI()*AU$12*$Q291*($B291-$B290)*0.15/10+AY290)</f>
        <v>#N/A</v>
      </c>
      <c r="AZ291" s="102" t="e">
        <f>(VLOOKUP($B$3,'Coeff EC7'!$T$39:$X$59,3,0)*AW291+VLOOKUP($B$3,'Coeff EC7'!$T$65:$X$85,3,0)*Model0.1T!AX291)/1.1</f>
        <v>#N/A</v>
      </c>
      <c r="BA291" s="102" t="e">
        <f t="shared" si="473"/>
        <v>#N/A</v>
      </c>
      <c r="BB291" s="102" t="e">
        <f t="shared" si="474"/>
        <v>#N/A</v>
      </c>
      <c r="BC291" s="414" t="e">
        <f>IF(AND(AY291&gt;NDC!$C$63,AZ291&gt;NDC!$C$65,BA291&gt;NDC!$D$73,BB291&gt;NDC!$D$74,$B291&gt;NDC!$H$22-0.1+MIN(3*BC$12,1.5)),0,1)</f>
        <v>#N/A</v>
      </c>
      <c r="BD291" s="86" t="b">
        <f t="shared" si="442"/>
        <v>0</v>
      </c>
      <c r="BE291" s="86">
        <f t="shared" si="475"/>
        <v>0.5</v>
      </c>
      <c r="BF291" s="86">
        <f t="shared" si="443"/>
        <v>0.5</v>
      </c>
      <c r="BG291" s="30" t="e">
        <f t="shared" ca="1" si="476"/>
        <v>#DIV/0!</v>
      </c>
      <c r="BH291" s="85" t="e">
        <f ca="1">IF(AN291&lt;=Hypothèses!$V$7,Hypothèses!$W$7,IF(AN291&lt;=Hypothèses!$V$8,Hypothèses!$W$8,IF(AN291&lt;=Hypothèses!$V$9,Hypothèses!$W$9,IF(AN291&lt;=Hypothèses!$V$10,Hypothèses!$W$10,IF(AN291&lt;=Hypothèses!$V$11,Hypothèses!$W$11,IF(AN291&lt;=Hypothèses!$V$12,Hypothèses!$W$12,IF(AN291&lt;=Hypothèses!$V$13,Hypothèses!$W$13,IF(AN291&lt;=Hypothèses!$V$14,Hypothèses!$W$14,IF(AN291&lt;=Hypothèses!$V$15,Hypothèses!$W$15,IF(AN291&lt;=Hypothèses!$V$16,Hypothèses!$W$16,IF(AN291&lt;=Hypothèses!$V$17,Hypothèses!$W$17,IF(AN291&lt;=Hypothèses!$V$18,Hypothèses!$W$18,""))))))))))))</f>
        <v>#DIV/0!</v>
      </c>
      <c r="BI291" s="87" t="e">
        <f t="shared" ca="1" si="518"/>
        <v>#DIV/0!</v>
      </c>
      <c r="BJ291" s="88" t="e">
        <f ca="1">IF(AN291&lt;=Hypothèses!$V$7,Hypothèses!$X$7,IF(AN291&lt;=Hypothèses!$V$8,Hypothèses!$X$8,IF(AN291&lt;=Hypothèses!$V$9,Hypothèses!$X$9,IF(AN291&lt;=Hypothèses!$V$10,Hypothèses!$X$10,IF(AN291&lt;=Hypothèses!$V$11,Hypothèses!$X$11,IF(AN291&lt;=Hypothèses!$V$12,Hypothèses!$X$12,IF(AN291&lt;=Hypothèses!$V$13,Hypothèses!$X$13,IF(AN291&lt;=Hypothèses!$V$14,Hypothèses!$X$14,IF(AN291&lt;=Hypothèses!$V$15,Hypothèses!$X$15,IF(AN291&lt;=Hypothèses!$V$16,Hypothèses!$X$16,IF(AN291&lt;=Hypothèses!$U$17,Hypothèses!$W$17,IF(AN291&lt;=Hypothèses!$U$18,Hypothèses!$W$18,""))))))))))))</f>
        <v>#DIV/0!</v>
      </c>
      <c r="BK291" s="95" t="e">
        <f t="shared" ca="1" si="477"/>
        <v>#DIV/0!</v>
      </c>
      <c r="BL291" s="101">
        <f t="shared" si="525"/>
        <v>0</v>
      </c>
      <c r="BM291" s="91">
        <f t="shared" si="444"/>
        <v>0</v>
      </c>
      <c r="BN291" s="30" t="e">
        <f t="shared" si="504"/>
        <v>#N/A</v>
      </c>
      <c r="BO291" s="30" t="e">
        <f t="shared" si="505"/>
        <v>#N/A</v>
      </c>
      <c r="BP291" s="31" t="e">
        <f>IF(OR(Hypothèses!$B$4=17,Hypothèses!$B$4=18,Hypothèses!$B$4=19,Hypothèses!$B$4=20),
IF($D291="Pressio.",
IF(OR($E291=3,$E291=1,$E291=4),BO291,BN291),
IF($D291="Pénétro.",
IF(OR($E291=3,$E291=1,$E291=4),BO291,BN291))),IF($D291="Pressio.",
IF($E291=3,BO291,BN291),
IF($D291="Pénétro.",
IF($E291=4,BO291,BN291))))</f>
        <v>#N/A</v>
      </c>
      <c r="BQ291" s="31">
        <v>0</v>
      </c>
      <c r="BR291" s="102" t="e">
        <f>IF(NDC!$H$10="Oui",(VLOOKUP($B$3,'Coeff EC7'!$T$39:$X$59,2,0)*BP291+VLOOKUP($B$3,'Coeff EC7'!$T$65:$X$85,2,0)*Model0.1T!BQ291)/1.5,PI()*BN$12*$Q291*($B291-$B290)*0.15/10+BR290)</f>
        <v>#N/A</v>
      </c>
      <c r="BS291" s="102" t="e">
        <f>(VLOOKUP($B$3,'Coeff EC7'!$T$39:$X$59,3,0)*BP291+VLOOKUP($B$3,'Coeff EC7'!$T$65:$X$85,3,0)*Model0.1T!BQ291)/1.1</f>
        <v>#N/A</v>
      </c>
      <c r="BT291" s="102" t="e">
        <f t="shared" si="478"/>
        <v>#N/A</v>
      </c>
      <c r="BU291" s="102" t="e">
        <f t="shared" si="479"/>
        <v>#N/A</v>
      </c>
      <c r="BV291" s="414" t="e">
        <f>IF(AND(BR291&gt;NDC!$C$63,BS291&gt;NDC!$C$65,BT291&gt;NDC!$D$73,BU291&gt;NDC!$D$74,$B291&gt;NDC!$H$22-0.1+MIN(3*BV$12,1.5)),0,1)</f>
        <v>#N/A</v>
      </c>
      <c r="BW291" s="86" t="b">
        <f t="shared" si="445"/>
        <v>0</v>
      </c>
      <c r="BX291" s="86">
        <f t="shared" si="446"/>
        <v>0.5</v>
      </c>
      <c r="BY291" s="86">
        <f t="shared" si="447"/>
        <v>0.5</v>
      </c>
      <c r="BZ291" s="30" t="e">
        <f t="shared" ca="1" si="480"/>
        <v>#DIV/0!</v>
      </c>
      <c r="CA291" s="85" t="e">
        <f ca="1">IF(BG291&lt;=Hypothèses!$V$7,Hypothèses!$W$7,IF(BG291&lt;=Hypothèses!$V$8,Hypothèses!$W$8,IF(BG291&lt;=Hypothèses!$V$9,Hypothèses!$W$9,IF(BG291&lt;=Hypothèses!$V$10,Hypothèses!$W$10,IF(BG291&lt;=Hypothèses!$V$11,Hypothèses!$W$11,IF(BG291&lt;=Hypothèses!$V$12,Hypothèses!$W$12,IF(BG291&lt;=Hypothèses!$V$13,Hypothèses!$W$13,IF(BG291&lt;=Hypothèses!$V$14,Hypothèses!$W$14,IF(BG291&lt;=Hypothèses!$V$15,Hypothèses!$W$15,IF(BG291&lt;=Hypothèses!$V$16,Hypothèses!$W$16,IF(BG291&lt;=Hypothèses!$V$17,Hypothèses!$W$17,IF(BG291&lt;=Hypothèses!$V$18,Hypothèses!$W$18,""))))))))))))</f>
        <v>#DIV/0!</v>
      </c>
      <c r="CB291" s="87" t="e">
        <f t="shared" ca="1" si="519"/>
        <v>#DIV/0!</v>
      </c>
      <c r="CC291" s="88" t="e">
        <f ca="1">IF(BG291&lt;=Hypothèses!$V$7,Hypothèses!$X$7,IF(BG291&lt;=Hypothèses!$V$8,Hypothèses!$X$8,IF(BG291&lt;=Hypothèses!$V$9,Hypothèses!$X$9,IF(BG291&lt;=Hypothèses!$V$10,Hypothèses!$X$10,IF(BG291&lt;=Hypothèses!$V$11,Hypothèses!$X$11,IF(BG291&lt;=Hypothèses!$V$12,Hypothèses!$X$12,IF(BG291&lt;=Hypothèses!$V$13,Hypothèses!$X$13,IF(BG291&lt;=Hypothèses!$V$14,Hypothèses!$X$14,IF(BG291&lt;=Hypothèses!$V$15,Hypothèses!$X$15,IF(BG291&lt;=Hypothèses!$V$16,Hypothèses!$X$16,IF(BG291&lt;=Hypothèses!$U$17,Hypothèses!$W$17,IF(BG291&lt;=Hypothèses!$U$18,Hypothèses!$W$18,""))))))))))))</f>
        <v>#DIV/0!</v>
      </c>
      <c r="CD291" s="95" t="e">
        <f t="shared" ca="1" si="481"/>
        <v>#DIV/0!</v>
      </c>
      <c r="CE291" s="101">
        <f t="shared" si="526"/>
        <v>0</v>
      </c>
      <c r="CF291" s="91">
        <f t="shared" si="448"/>
        <v>0</v>
      </c>
      <c r="CG291" s="30" t="e">
        <f t="shared" si="506"/>
        <v>#N/A</v>
      </c>
      <c r="CH291" s="30" t="e">
        <f t="shared" si="507"/>
        <v>#N/A</v>
      </c>
      <c r="CI291" s="31" t="e">
        <f>IF(OR(Hypothèses!$B$4=17,Hypothèses!$B$4=18,Hypothèses!$B$4=19,Hypothèses!$B$4=20),
IF($D291="Pressio.",
IF(OR($E291=3,$E291=1,$E291=4),CH291,CG291),
IF($D291="Pénétro.",
IF(OR($E291=3,$E291=1,$E291=4),CH291,CG291))),IF($D291="Pressio.",
IF($E291=3,CH291,CG291),
IF($D291="Pénétro.",
IF($E291=4,CH291,CG291))))</f>
        <v>#N/A</v>
      </c>
      <c r="CJ291" s="31">
        <v>0</v>
      </c>
      <c r="CK291" s="102" t="e">
        <f>IF(NDC!$H$10="Oui",(VLOOKUP($B$3,'Coeff EC7'!$T$39:$X$59,2,0)*CI291+VLOOKUP($B$3,'Coeff EC7'!$T$65:$X$85,2,0)*Model0.1T!CJ291)/1.5,PI()*CG$12*$Q291*($B291-$B290)*0.15/10+CK290)</f>
        <v>#N/A</v>
      </c>
      <c r="CL291" s="102" t="e">
        <f>(VLOOKUP($B$3,'Coeff EC7'!$T$39:$X$59,3,0)*CI291+VLOOKUP($B$3,'Coeff EC7'!$T$65:$X$85,3,0)*Model0.1T!CJ291)/1.1</f>
        <v>#N/A</v>
      </c>
      <c r="CM291" s="102" t="e">
        <f t="shared" si="482"/>
        <v>#N/A</v>
      </c>
      <c r="CN291" s="102" t="e">
        <f t="shared" si="483"/>
        <v>#N/A</v>
      </c>
      <c r="CO291" s="414" t="e">
        <f>IF(AND(CK291&gt;NDC!$C$63,CL291&gt;NDC!$C$65,CM291&gt;NDC!$D$73,CN291&gt;NDC!$D$74,$B291&gt;NDC!$H$22-0.1+MIN(3*CO$12,1.5)),0,1)</f>
        <v>#N/A</v>
      </c>
      <c r="CP291" s="86" t="b">
        <f t="shared" si="449"/>
        <v>0</v>
      </c>
      <c r="CQ291" s="86">
        <f t="shared" si="450"/>
        <v>0.5</v>
      </c>
      <c r="CR291" s="86">
        <f t="shared" si="451"/>
        <v>0.5</v>
      </c>
      <c r="CS291" s="30" t="e">
        <f t="shared" ca="1" si="484"/>
        <v>#DIV/0!</v>
      </c>
      <c r="CT291" s="85" t="e">
        <f ca="1">IF(BZ291&lt;=Hypothèses!$V$7,Hypothèses!$W$7,IF(BZ291&lt;=Hypothèses!$V$8,Hypothèses!$W$8,IF(BZ291&lt;=Hypothèses!$V$9,Hypothèses!$W$9,IF(BZ291&lt;=Hypothèses!$V$10,Hypothèses!$W$10,IF(BZ291&lt;=Hypothèses!$V$11,Hypothèses!$W$11,IF(BZ291&lt;=Hypothèses!$V$12,Hypothèses!$W$12,IF(BZ291&lt;=Hypothèses!$V$13,Hypothèses!$W$13,IF(BZ291&lt;=Hypothèses!$V$14,Hypothèses!$W$14,IF(BZ291&lt;=Hypothèses!$V$15,Hypothèses!$W$15,IF(BZ291&lt;=Hypothèses!$V$16,Hypothèses!$W$16,IF(BZ291&lt;=Hypothèses!$V$17,Hypothèses!$W$17,IF(BZ291&lt;=Hypothèses!$V$18,Hypothèses!$W$18,""))))))))))))</f>
        <v>#DIV/0!</v>
      </c>
      <c r="CU291" s="87" t="e">
        <f t="shared" ca="1" si="520"/>
        <v>#DIV/0!</v>
      </c>
      <c r="CV291" s="88" t="e">
        <f ca="1">IF(BZ291&lt;=Hypothèses!$V$7,Hypothèses!$X$7,IF(BZ291&lt;=Hypothèses!$V$8,Hypothèses!$X$8,IF(BZ291&lt;=Hypothèses!$V$9,Hypothèses!$X$9,IF(BZ291&lt;=Hypothèses!$V$10,Hypothèses!$X$10,IF(BZ291&lt;=Hypothèses!$V$11,Hypothèses!$X$11,IF(BZ291&lt;=Hypothèses!$V$12,Hypothèses!$X$12,IF(BZ291&lt;=Hypothèses!$V$13,Hypothèses!$X$13,IF(BZ291&lt;=Hypothèses!$V$14,Hypothèses!$X$14,IF(BZ291&lt;=Hypothèses!$V$15,Hypothèses!$X$15,IF(BZ291&lt;=Hypothèses!$V$16,Hypothèses!$X$16,IF(BZ291&lt;=Hypothèses!$U$17,Hypothèses!$W$17,IF(BZ291&lt;=Hypothèses!$U$18,Hypothèses!$W$18,""))))))))))))</f>
        <v>#DIV/0!</v>
      </c>
      <c r="CW291" s="95" t="e">
        <f t="shared" ca="1" si="485"/>
        <v>#DIV/0!</v>
      </c>
      <c r="CX291" s="101">
        <f t="shared" si="527"/>
        <v>0</v>
      </c>
      <c r="CY291" s="91">
        <f t="shared" si="452"/>
        <v>0</v>
      </c>
      <c r="CZ291" s="30" t="e">
        <f t="shared" si="508"/>
        <v>#N/A</v>
      </c>
      <c r="DA291" s="30" t="e">
        <f t="shared" si="509"/>
        <v>#N/A</v>
      </c>
      <c r="DB291" s="31" t="e">
        <f>IF(OR(Hypothèses!$B$4=17,Hypothèses!$B$4=18,Hypothèses!$B$4=19,Hypothèses!$B$4=20),
IF($D291="Pressio.",
IF(OR($E291=3,$E291=1,$E291=4),DA291,CZ291),
IF($D291="Pénétro.",
IF(OR($E291=3,$E291=1,$E291=4),DA291,CZ291))),IF($D291="Pressio.",
IF($E291=3,DA291,CZ291),
IF($D291="Pénétro.",
IF($E291=4,DA291,CZ291))))</f>
        <v>#N/A</v>
      </c>
      <c r="DC291" s="31">
        <v>0</v>
      </c>
      <c r="DD291" s="102" t="e">
        <f>IF(NDC!$H$10="Oui",(VLOOKUP($B$3,'Coeff EC7'!$T$39:$X$59,2,0)*DB291+VLOOKUP($B$3,'Coeff EC7'!$T$65:$X$85,2,0)*Model0.1T!DC291)/1.5,PI()*CZ$12*$Q291*($B291-$B290)*0.15/10+DD290)</f>
        <v>#N/A</v>
      </c>
      <c r="DE291" s="102" t="e">
        <f>(VLOOKUP($B$3,'Coeff EC7'!$T$39:$X$59,3,0)*DB291+VLOOKUP($B$3,'Coeff EC7'!$T$65:$X$85,3,0)*Model0.1T!DC291)/1.1</f>
        <v>#N/A</v>
      </c>
      <c r="DF291" s="102" t="e">
        <f t="shared" si="486"/>
        <v>#N/A</v>
      </c>
      <c r="DG291" s="102" t="e">
        <f t="shared" si="487"/>
        <v>#N/A</v>
      </c>
      <c r="DH291" s="414" t="e">
        <f>IF(AND(DD291&gt;NDC!$C$63,DE291&gt;NDC!$C$65,DF291&gt;NDC!$D$73,DG291&gt;NDC!$D$74,$B291&gt;NDC!$H$22-0.1+MIN(3*DH$12,1.5)),0,1)</f>
        <v>#N/A</v>
      </c>
      <c r="DI291" s="86" t="b">
        <f t="shared" si="453"/>
        <v>0</v>
      </c>
      <c r="DJ291" s="86">
        <f t="shared" si="454"/>
        <v>0.5</v>
      </c>
      <c r="DK291" s="86">
        <f t="shared" si="455"/>
        <v>0.5</v>
      </c>
      <c r="DL291" s="30" t="e">
        <f t="shared" ca="1" si="488"/>
        <v>#DIV/0!</v>
      </c>
      <c r="DM291" s="85" t="e">
        <f ca="1">IF(CS291&lt;=Hypothèses!$V$7,Hypothèses!$W$7,IF(CS291&lt;=Hypothèses!$V$8,Hypothèses!$W$8,IF(CS291&lt;=Hypothèses!$V$9,Hypothèses!$W$9,IF(CS291&lt;=Hypothèses!$V$10,Hypothèses!$W$10,IF(CS291&lt;=Hypothèses!$V$11,Hypothèses!$W$11,IF(CS291&lt;=Hypothèses!$V$12,Hypothèses!$W$12,IF(CS291&lt;=Hypothèses!$V$13,Hypothèses!$W$13,IF(CS291&lt;=Hypothèses!$V$14,Hypothèses!$W$14,IF(CS291&lt;=Hypothèses!$V$15,Hypothèses!$W$15,IF(CS291&lt;=Hypothèses!$V$16,Hypothèses!$W$16,IF(CS291&lt;=Hypothèses!$V$17,Hypothèses!$W$17,IF(CS291&lt;=Hypothèses!$V$18,Hypothèses!$W$18,""))))))))))))</f>
        <v>#DIV/0!</v>
      </c>
      <c r="DN291" s="87" t="e">
        <f t="shared" ca="1" si="521"/>
        <v>#DIV/0!</v>
      </c>
      <c r="DO291" s="88" t="e">
        <f ca="1">IF(CS291&lt;=Hypothèses!$V$7,Hypothèses!$X$7,IF(CS291&lt;=Hypothèses!$V$8,Hypothèses!$X$8,IF(CS291&lt;=Hypothèses!$V$9,Hypothèses!$X$9,IF(CS291&lt;=Hypothèses!$V$10,Hypothèses!$X$10,IF(CS291&lt;=Hypothèses!$V$11,Hypothèses!$X$11,IF(CS291&lt;=Hypothèses!$V$12,Hypothèses!$X$12,IF(CS291&lt;=Hypothèses!$V$13,Hypothèses!$X$13,IF(CS291&lt;=Hypothèses!$V$14,Hypothèses!$X$14,IF(CS291&lt;=Hypothèses!$V$15,Hypothèses!$X$15,IF(CS291&lt;=Hypothèses!$V$16,Hypothèses!$X$16,IF(CS291&lt;=Hypothèses!$U$17,Hypothèses!$W$17,IF(CS291&lt;=Hypothèses!$U$18,Hypothèses!$W$18,""))))))))))))</f>
        <v>#DIV/0!</v>
      </c>
      <c r="DP291" s="95" t="e">
        <f t="shared" ca="1" si="489"/>
        <v>#DIV/0!</v>
      </c>
      <c r="DQ291" s="101">
        <f t="shared" si="528"/>
        <v>0</v>
      </c>
      <c r="DR291" s="91">
        <f t="shared" si="456"/>
        <v>0</v>
      </c>
      <c r="DS291" s="30" t="e">
        <f t="shared" si="510"/>
        <v>#N/A</v>
      </c>
      <c r="DT291" s="30" t="e">
        <f t="shared" si="511"/>
        <v>#N/A</v>
      </c>
      <c r="DU291" s="31" t="e">
        <f>IF(OR(Hypothèses!$B$4=17,Hypothèses!$B$4=18,Hypothèses!$B$4=19,Hypothèses!$B$4=20),
IF($D291="Pressio.",
IF(OR($E291=3,$E291=1,$E291=4),DT291,DS291),
IF($D291="Pénétro.",
IF(OR($E291=3,$E291=1,$E291=4),DT291,DS291))),IF($D291="Pressio.",
IF($E291=3,DT291,DS291),
IF($D291="Pénétro.",
IF($E291=4,DT291,DS291))))</f>
        <v>#N/A</v>
      </c>
      <c r="DV291" s="31">
        <v>0</v>
      </c>
      <c r="DW291" s="102" t="e">
        <f>IF(NDC!$H$10="Oui",(VLOOKUP($B$3,'Coeff EC7'!$T$39:$X$59,2,0)*DU291+VLOOKUP($B$3,'Coeff EC7'!$T$65:$X$85,2,0)*Model0.1T!DV291)/1.5,PI()*DS$12*$Q291*($B291-$B290)*0.15/10+DW290)</f>
        <v>#N/A</v>
      </c>
      <c r="DX291" s="102" t="e">
        <f>(VLOOKUP($B$3,'Coeff EC7'!$T$39:$X$59,3,0)*DU291+VLOOKUP($B$3,'Coeff EC7'!$T$65:$X$85,3,0)*Model0.1T!DV291)/1.1</f>
        <v>#N/A</v>
      </c>
      <c r="DY291" s="102" t="e">
        <f t="shared" si="490"/>
        <v>#N/A</v>
      </c>
      <c r="DZ291" s="102" t="e">
        <f t="shared" si="491"/>
        <v>#N/A</v>
      </c>
      <c r="EA291" s="414" t="e">
        <f>IF(AND(DW291&gt;NDC!$C$63,DX291&gt;NDC!$C$65,DY291&gt;NDC!$D$73,DZ291&gt;NDC!$D$74,$B291&gt;NDC!$H$22-0.1+MIN(3*EA$12,1.5)),0,1)</f>
        <v>#N/A</v>
      </c>
      <c r="EB291" s="86" t="b">
        <f t="shared" si="457"/>
        <v>0</v>
      </c>
      <c r="EC291" s="418">
        <f t="shared" si="458"/>
        <v>0.51</v>
      </c>
      <c r="ED291" s="86">
        <f t="shared" si="459"/>
        <v>0.51</v>
      </c>
      <c r="EE291" s="30" t="e">
        <f t="shared" ca="1" si="492"/>
        <v>#DIV/0!</v>
      </c>
      <c r="EF291" s="85" t="e">
        <f ca="1">IF(DL291&lt;=Hypothèses!$V$7,Hypothèses!$W$7,IF(DL291&lt;=Hypothèses!$V$8,Hypothèses!$W$8,IF(DL291&lt;=Hypothèses!$V$9,Hypothèses!$W$9,IF(DL291&lt;=Hypothèses!$V$10,Hypothèses!$W$10,IF(DL291&lt;=Hypothèses!$V$11,Hypothèses!$W$11,IF(DL291&lt;=Hypothèses!$V$12,Hypothèses!$W$12,IF(DL291&lt;=Hypothèses!$V$13,Hypothèses!$W$13,IF(DL291&lt;=Hypothèses!$V$14,Hypothèses!$W$14,IF(DL291&lt;=Hypothèses!$V$15,Hypothèses!$W$15,IF(DL291&lt;=Hypothèses!$V$16,Hypothèses!$W$16,IF(DL291&lt;=Hypothèses!$V$17,Hypothèses!$W$17,IF(DL291&lt;=Hypothèses!$V$18,Hypothèses!$W$18,""))))))))))))</f>
        <v>#DIV/0!</v>
      </c>
      <c r="EG291" s="87" t="e">
        <f t="shared" ca="1" si="522"/>
        <v>#DIV/0!</v>
      </c>
      <c r="EH291" s="88" t="e">
        <f ca="1">IF(DL291&lt;=Hypothèses!$V$7,Hypothèses!$X$7,IF(DL291&lt;=Hypothèses!$V$8,Hypothèses!$X$8,IF(DL291&lt;=Hypothèses!$V$9,Hypothèses!$X$9,IF(DL291&lt;=Hypothèses!$V$10,Hypothèses!$X$10,IF(DL291&lt;=Hypothèses!$V$11,Hypothèses!$X$11,IF(DL291&lt;=Hypothèses!$V$12,Hypothèses!$X$12,IF(DL291&lt;=Hypothèses!$V$13,Hypothèses!$X$13,IF(DL291&lt;=Hypothèses!$V$14,Hypothèses!$X$14,IF(DL291&lt;=Hypothèses!$V$15,Hypothèses!$X$15,IF(DL291&lt;=Hypothèses!$V$16,Hypothèses!$X$16,IF(DL291&lt;=Hypothèses!$U$17,Hypothèses!$W$17,IF(DL291&lt;=Hypothèses!$U$18,Hypothèses!$W$18,""))))))))))))</f>
        <v>#DIV/0!</v>
      </c>
      <c r="EI291" s="95" t="e">
        <f t="shared" ca="1" si="493"/>
        <v>#DIV/0!</v>
      </c>
      <c r="EJ291" s="101">
        <f t="shared" si="529"/>
        <v>0</v>
      </c>
      <c r="EK291" s="91">
        <f t="shared" si="460"/>
        <v>0</v>
      </c>
      <c r="EL291" s="30" t="e">
        <f t="shared" si="512"/>
        <v>#N/A</v>
      </c>
      <c r="EM291" s="30" t="e">
        <f t="shared" si="513"/>
        <v>#N/A</v>
      </c>
      <c r="EN291" s="31" t="e">
        <f>IF(OR(Hypothèses!$B$4=17,Hypothèses!$B$4=18,Hypothèses!$B$4=19,Hypothèses!$B$4=20),
IF($D291="Pressio.",
IF(OR($E291=3,$E291=1,$E291=4),EM291,EL291),
IF($D291="Pénétro.",
IF(OR($E291=3,$E291=1,$E291=4),EM291,EL291))),IF($D291="Pressio.",
IF($E291=3,EM291,EL291),
IF($D291="Pénétro.",
IF($E291=4,EM291,EL291))))</f>
        <v>#N/A</v>
      </c>
      <c r="EO291" s="31">
        <v>0</v>
      </c>
      <c r="EP291" s="102" t="e">
        <f>IF(NDC!$H$10="Oui",(VLOOKUP($B$3,'Coeff EC7'!$T$39:$X$59,2,0)*EN291+VLOOKUP($B$3,'Coeff EC7'!$T$65:$X$85,2,0)*Model0.1T!EO291)/1.5,PI()*EL$12*$Q291*($B291-$B290)*0.15/10+EP290)</f>
        <v>#N/A</v>
      </c>
      <c r="EQ291" s="102" t="e">
        <f>(VLOOKUP($B$3,'Coeff EC7'!$T$39:$X$59,3,0)*EN291+VLOOKUP($B$3,'Coeff EC7'!$T$65:$X$85,3,0)*Model0.1T!EO291)/1.1</f>
        <v>#N/A</v>
      </c>
      <c r="ER291" s="102" t="e">
        <f t="shared" si="494"/>
        <v>#N/A</v>
      </c>
      <c r="ES291" s="102" t="e">
        <f t="shared" si="495"/>
        <v>#N/A</v>
      </c>
      <c r="ET291" s="414" t="e">
        <f>IF(AND(EP291&gt;NDC!$C$63,EQ291&gt;NDC!$C$65,ER291&gt;NDC!$D$73,ES291&gt;NDC!$D$74,$B291&gt;NDC!$H$22-0.1+MIN(3*ET$12,1.5)),0,1)</f>
        <v>#N/A</v>
      </c>
      <c r="EU291" s="86" t="b">
        <f t="shared" si="461"/>
        <v>0</v>
      </c>
      <c r="EV291" s="86">
        <f t="shared" si="462"/>
        <v>0.61</v>
      </c>
      <c r="EW291" s="86">
        <f t="shared" si="463"/>
        <v>0.61</v>
      </c>
      <c r="EX291" s="30" t="e">
        <f t="shared" ca="1" si="496"/>
        <v>#DIV/0!</v>
      </c>
      <c r="EY291" s="85" t="e">
        <f ca="1">IF(EE291&lt;=Hypothèses!$V$7,Hypothèses!$W$7,IF(EE291&lt;=Hypothèses!$V$8,Hypothèses!$W$8,IF(EE291&lt;=Hypothèses!$V$9,Hypothèses!$W$9,IF(EE291&lt;=Hypothèses!$V$10,Hypothèses!$W$10,IF(EE291&lt;=Hypothèses!$V$11,Hypothèses!$W$11,IF(EE291&lt;=Hypothèses!$V$12,Hypothèses!$W$12,IF(EE291&lt;=Hypothèses!$V$13,Hypothèses!$W$13,IF(EE291&lt;=Hypothèses!$V$14,Hypothèses!$W$14,IF(EE291&lt;=Hypothèses!$V$15,Hypothèses!$W$15,IF(EE291&lt;=Hypothèses!$V$16,Hypothèses!$W$16,IF(EE291&lt;=Hypothèses!$V$17,Hypothèses!$W$17,IF(EE291&lt;=Hypothèses!$V$18,Hypothèses!$W$18,""))))))))))))</f>
        <v>#DIV/0!</v>
      </c>
      <c r="EZ291" s="87" t="e">
        <f t="shared" ca="1" si="523"/>
        <v>#DIV/0!</v>
      </c>
      <c r="FA291" s="88" t="e">
        <f ca="1">IF(EE291&lt;=Hypothèses!$V$7,Hypothèses!$X$7,IF(EE291&lt;=Hypothèses!$V$8,Hypothèses!$X$8,IF(EE291&lt;=Hypothèses!$V$9,Hypothèses!$X$9,IF(EE291&lt;=Hypothèses!$V$10,Hypothèses!$X$10,IF(EE291&lt;=Hypothèses!$V$11,Hypothèses!$X$11,IF(EE291&lt;=Hypothèses!$V$12,Hypothèses!$X$12,IF(EE291&lt;=Hypothèses!$V$13,Hypothèses!$X$13,IF(EE291&lt;=Hypothèses!$V$14,Hypothèses!$X$14,IF(EE291&lt;=Hypothèses!$V$15,Hypothèses!$X$15,IF(EE291&lt;=Hypothèses!$V$16,Hypothèses!$X$16,IF(EE291&lt;=Hypothèses!$U$17,Hypothèses!$W$17,IF(EE291&lt;=Hypothèses!$U$18,Hypothèses!$W$18,""))))))))))))</f>
        <v>#DIV/0!</v>
      </c>
      <c r="FB291" s="95" t="e">
        <f t="shared" ca="1" si="497"/>
        <v>#DIV/0!</v>
      </c>
      <c r="FC291" s="101">
        <f t="shared" si="530"/>
        <v>0</v>
      </c>
      <c r="FD291" s="91">
        <f t="shared" si="464"/>
        <v>0</v>
      </c>
      <c r="FE291" s="30" t="e">
        <f t="shared" si="514"/>
        <v>#N/A</v>
      </c>
      <c r="FF291" s="30" t="e">
        <f t="shared" si="515"/>
        <v>#N/A</v>
      </c>
      <c r="FG291" s="31" t="e">
        <f>IF(OR(Hypothèses!$B$4=17,Hypothèses!$B$4=18,Hypothèses!$B$4=19,Hypothèses!$B$4=20),
IF($D291="Pressio.",
IF(OR($E291=3,$E291=1,$E291=4),FF291,FE291),
IF($D291="Pénétro.",
IF(OR($E291=3,$E291=1,$E291=4),FF291,FE291))),IF($D291="Pressio.",
IF($E291=3,FF291,FE291),
IF($D291="Pénétro.",
IF($E291=4,FF291,FE291))))</f>
        <v>#N/A</v>
      </c>
      <c r="FH291" s="31">
        <v>0</v>
      </c>
      <c r="FI291" s="102" t="e">
        <f>IF(NDC!$H$10="Oui",(VLOOKUP($B$3,'Coeff EC7'!$T$39:$X$59,2,0)*FG291+VLOOKUP($B$3,'Coeff EC7'!$T$65:$X$85,2,0)*Model0.1T!FH291)/1.5,PI()*FE$12*$Q291*($B291-$B290)*0.15/10+FI290)</f>
        <v>#N/A</v>
      </c>
      <c r="FJ291" s="102" t="e">
        <f>(VLOOKUP($B$3,'Coeff EC7'!$T$39:$X$59,3,0)*FG291+VLOOKUP($B$3,'Coeff EC7'!$T$65:$X$85,3,0)*Model0.1T!FH291)/1.1</f>
        <v>#N/A</v>
      </c>
      <c r="FK291" s="102" t="e">
        <f t="shared" si="498"/>
        <v>#N/A</v>
      </c>
      <c r="FL291" s="102" t="e">
        <f t="shared" si="499"/>
        <v>#N/A</v>
      </c>
      <c r="FM291" s="414" t="e">
        <f>IF(AND(FI291&gt;NDC!$C$63,FJ291&gt;NDC!$C$65,FK291&gt;NDC!$D$73,FL291&gt;NDC!$D$74,$B291&gt;NDC!$H$22-0.1+MIN(3*FM$12,1.5)),0,1)</f>
        <v>#N/A</v>
      </c>
    </row>
    <row r="292" spans="1:169">
      <c r="A292" s="96">
        <f t="shared" si="465"/>
        <v>72.100000000001586</v>
      </c>
      <c r="B292" s="97">
        <v>27.9</v>
      </c>
      <c r="C292" s="81">
        <f>IF(B292&lt;=Hypothèses!$C$7,Hypothèses!$A$7,IF(B292&lt;=Hypothèses!$C$8,Hypothèses!$A$8,IF(B292&lt;=Hypothèses!$C$9,Hypothèses!$A$9,IF(B292&lt;=Hypothèses!$C$10,Hypothèses!$A$10,IF(B292&lt;=Hypothèses!$C$11,Hypothèses!$A$11,IF(B292&lt;=Hypothèses!$C$12,Hypothèses!$A$12,IF(B292&lt;=Hypothèses!$C$13,Hypothèses!$A$13,IF(B292&lt;=Hypothèses!$C$14,Hypothèses!$A$14,IF(B292&lt;=Hypothèses!$C$15,Hypothèses!$A$15,IF(B292&lt;=Hypothèses!$C$16,Hypothèses!$A$16,IF(B292&lt;=Hypothèses!$C$17,Hypothèses!$A$17,IF(B292&lt;=Hypothèses!$C$18,Hypothèses!$A$18,C291))))))))))))</f>
        <v>11</v>
      </c>
      <c r="D292" s="82" t="str">
        <f>IF(B292&lt;=Hypothèses!$C$7,Hypothèses!$R$7,IF(B292&lt;=Hypothèses!$C$8,Hypothèses!$R$8,IF(B292&lt;=Hypothèses!$C$9,Hypothèses!$R$9,IF(B292&lt;=Hypothèses!$C$10,Hypothèses!$R$10,IF(B292&lt;=Hypothèses!$C$11,Hypothèses!$R$11,IF(B292&lt;=Hypothèses!$C$12,Hypothèses!$R$12,IF(B292&lt;=Hypothèses!$C$13,Hypothèses!$R$13,IF(B292&lt;=Hypothèses!$C$14,Hypothèses!$R$14,IF(B292&lt;=Hypothèses!$C$15,Hypothèses!$R$15,IF(B292&lt;=Hypothèses!$C$16,Hypothèses!$R$16,IF(B292&lt;=Hypothèses!$C$17,Hypothèses!$R$17,IF(B292&lt;=Hypothèses!$C$18,Hypothèses!$R$18,D291))))))))))))</f>
        <v>Pressio.</v>
      </c>
      <c r="E292" s="82" t="e">
        <f>IF(B292&lt;=Hypothèses!$C$7,Hypothèses!$G$7,IF(B292&lt;=Hypothèses!$C$8,Hypothèses!$G$8,IF(B292&lt;=Hypothèses!$C$9,Hypothèses!$G$9,IF(B292&lt;=Hypothèses!$C$10,Hypothèses!$G$10,IF(B292&lt;=Hypothèses!$C$11,Hypothèses!$G$11,IF(B292&lt;=Hypothèses!$C$12,Hypothèses!$G$12,IF(B292&lt;=Hypothèses!$C$13,Hypothèses!$G$13,IF(B292&lt;=Hypothèses!$C$14,Hypothèses!$G$14,IF(B292&lt;=Hypothèses!$C$15,Hypothèses!$G$15,IF(B292&lt;=Hypothèses!$C$16,Hypothèses!$G$16,IF(B292&lt;=Hypothèses!$C$17,Hypothèses!$G$17,IF(B292&lt;=Hypothèses!$C$18,Hypothèses!$G$18,E291))))))))))))</f>
        <v>#N/A</v>
      </c>
      <c r="F292" s="82" t="str">
        <f>IF(B292&lt;=Hypothèses!$C$7,Hypothèses!$F$7,IF(B292&lt;=Hypothèses!$C$8,Hypothèses!$F$8,IF(B292&lt;=Hypothèses!$C$9,Hypothèses!$F$9,IF(B292&lt;=Hypothèses!$C$10,Hypothèses!$F$10,IF(B292&lt;=Hypothèses!$C$11,Hypothèses!$F$11,IF(B292&lt;=Hypothèses!$C$12,Hypothèses!$F$12,IF(B292&lt;=Hypothèses!$C$13,Hypothèses!$F$13,IF(B292&lt;=Hypothèses!$C$14,Hypothèses!$F$14,IF(B292&lt;=Hypothèses!$C$15,Hypothèses!$F$15,IF(B292&lt;=Hypothèses!$C$16,Hypothèses!$F$16,IF(B292&lt;=Hypothèses!$C$17,Hypothèses!$F$17,IF(B292&lt;=Hypothèses!$C$18,Hypothèses!$F$18,F291))))))))))))</f>
        <v/>
      </c>
      <c r="G292" s="91">
        <f t="array" ref="G292">INDEX('Coeff EC7'!$U$7:$X$27,
MATCH(Model0.1T!$B$3,'Coeff EC7'!$T$7:$T$27,0),
MATCH(Model0.1T!$D292&amp;Model0.1T!$B$4,
'Coeff EC7'!$U$6:$X$6&amp;
'Coeff EC7'!$U$5:$X$5,0))</f>
        <v>1.4</v>
      </c>
      <c r="H292" s="91">
        <f t="array" ref="H292">INDEX('Coeff EC7'!$Y$7:$AB$27,
MATCH(Model0.1T!$B$3,'Coeff EC7'!$T$7:$T$27,0),
MATCH(Model0.1T!$D292&amp;Model0.1T!$B$4,
'Coeff EC7'!$Y$6:$AB$6&amp;
'Coeff EC7'!$Y$5:$AB$5,0))</f>
        <v>1.7</v>
      </c>
      <c r="I292" s="83">
        <v>0</v>
      </c>
      <c r="J292" s="91" t="e">
        <f t="array" ref="J292">INDEX('Coeff EC7'!$D$33:$Q$33,1,MATCH(D292&amp;E292,'Coeff EC7'!$D$31:$Q$31&amp;'Coeff EC7'!$D$32:$Q$32,0))</f>
        <v>#N/A</v>
      </c>
      <c r="K292" s="91" t="e">
        <f t="array" ref="K292">INDEX('Coeff EC7'!$D$34:$Q$34,1,MATCH(D292&amp;E292,'Coeff EC7'!$D$31:$Q$31&amp;'Coeff EC7'!$D$32:$Q$32,0))</f>
        <v>#N/A</v>
      </c>
      <c r="L292" s="91" t="e">
        <f t="array" ref="L292">INDEX('Coeff EC7'!$D$35:$Q$35,1,MATCH(D292&amp;E292,'Coeff EC7'!$D$31:$Q$31&amp;'Coeff EC7'!$D$32:$Q$32,0))</f>
        <v>#N/A</v>
      </c>
      <c r="M292" s="98" t="e">
        <f t="shared" si="431"/>
        <v>#N/A</v>
      </c>
      <c r="N292" s="99" t="e">
        <f t="array" ref="N292">INDEX('Coeff EC7'!$D$7:$Q$27,MATCH($B$3,'Coeff EC7'!$C$7:$C$27,0),MATCH(D292&amp;E292,'Coeff EC7'!$D$5:$Q$5&amp;'Coeff EC7'!$D$6:$Q$6,0))</f>
        <v>#N/A</v>
      </c>
      <c r="O292" s="99" t="e">
        <f t="array" ref="O292">INDEX('Coeff EC7'!$D$41:$Q$61,MATCH($B$3,'Coeff EC7'!$C$41:$C$61,0),MATCH(D292&amp;E292,'Coeff EC7'!$D$39:$Q$39&amp;'Coeff EC7'!$D$40:$Q$40,0))</f>
        <v>#N/A</v>
      </c>
      <c r="P292" s="30" t="e">
        <f t="shared" si="466"/>
        <v>#N/A</v>
      </c>
      <c r="Q292" s="100" t="e">
        <f t="shared" si="433"/>
        <v>#N/A</v>
      </c>
      <c r="R292" s="86" t="b">
        <f t="shared" si="434"/>
        <v>0</v>
      </c>
      <c r="S292" s="86">
        <f t="shared" si="432"/>
        <v>0.5</v>
      </c>
      <c r="T292" s="86">
        <f t="shared" si="435"/>
        <v>0.5</v>
      </c>
      <c r="U292" s="30" t="e">
        <f t="shared" ca="1" si="467"/>
        <v>#DIV/0!</v>
      </c>
      <c r="V292" s="85" t="str">
        <f>IF(B292&lt;=Hypothèses!$V$7,Hypothèses!$W$7,IF(B292&lt;=Hypothèses!$V$8,Hypothèses!$W$8,IF(B292&lt;=Hypothèses!$V$9,Hypothèses!$W$9,IF(B292&lt;=Hypothèses!$V$10,Hypothèses!$W$10,IF(B292&lt;=Hypothèses!$V$11,Hypothèses!$W$11,IF(B292&lt;=Hypothèses!$V$12,Hypothèses!$W$12,IF(B292&lt;=Hypothèses!$V$13,Hypothèses!$W$13,IF(B292&lt;=Hypothèses!$V$14,Hypothèses!$W$14,IF(B292&lt;=Hypothèses!$V$15,Hypothèses!$W$15,IF(B292&lt;=Hypothèses!$V$16,Hypothèses!$W$16,IF(B292&lt;=Hypothèses!$V$17,Hypothèses!$W$17,IF(B292&lt;=Hypothèses!$V$18,Hypothèses!$W$18,""))))))))))))</f>
        <v/>
      </c>
      <c r="W292" s="87" t="e">
        <f t="shared" ca="1" si="516"/>
        <v>#DIV/0!</v>
      </c>
      <c r="X292" s="88" t="str">
        <f>IF(B292&lt;=Hypothèses!$V$7,Hypothèses!$X$7,IF(B292&lt;=Hypothèses!$V$8,Hypothèses!$X$8,IF(B292&lt;=Hypothèses!$V$9,Hypothèses!$X$9,IF(B292&lt;=Hypothèses!$V$10,Hypothèses!$X$10,IF(B292&lt;=Hypothèses!$V$11,Hypothèses!$X$11,IF(B292&lt;=Hypothèses!$V$12,Hypothèses!$X$12,IF(B292&lt;=Hypothèses!$V$13,Hypothèses!$X$13,IF(B292&lt;=Hypothèses!$V$14,Hypothèses!$X$14,IF(B292&lt;=Hypothèses!$V$15,Hypothèses!$X$15,IF(B292&lt;=Hypothèses!$V$16,Hypothèses!$X$16,IF(B292&lt;=Hypothèses!$U$17,Hypothèses!$W$17,IF(B292&lt;=Hypothèses!$U$18,Hypothèses!$W$18,""))))))))))))</f>
        <v/>
      </c>
      <c r="Y292" s="95" t="e">
        <f t="shared" ca="1" si="436"/>
        <v>#DIV/0!</v>
      </c>
      <c r="Z292" s="101">
        <f t="shared" si="437"/>
        <v>0</v>
      </c>
      <c r="AA292" s="91">
        <f t="shared" si="438"/>
        <v>0</v>
      </c>
      <c r="AB292" s="30" t="e">
        <f t="shared" si="500"/>
        <v>#N/A</v>
      </c>
      <c r="AC292" s="30" t="e">
        <f t="shared" si="501"/>
        <v>#N/A</v>
      </c>
      <c r="AD292" s="31" t="e">
        <f>IF(OR(Hypothèses!$B$4=17,Hypothèses!$B$4=18,Hypothèses!$B$4=19,Hypothèses!$B$4=20),
IF($D292="Pressio.",
IF(OR($E292=3,$E292=1,$E292=4),AC292,AB292),
IF($D292="Pénétro.",
IF(OR($E292=3,$E292=1,$E292=4),AC292,AB292))),IF($D292="Pressio.",
IF($E292=3,AC292,AB292),
IF($D292="Pénétro.",
IF($E292=4,AC292,AB292))))</f>
        <v>#N/A</v>
      </c>
      <c r="AE292" s="31">
        <v>0</v>
      </c>
      <c r="AF292" s="102" t="e">
        <f>IF(NDC!$H$10="Oui",(VLOOKUP($B$3,'Coeff EC7'!$T$39:$X$59,2,0)*AD292+VLOOKUP($B$3,'Coeff EC7'!$T$65:$X$85,2,0)*Model0.1T!AE292)/1.5,PI()*AB$12*$Q292*($B292-$B291)*0.15/10+AF291)</f>
        <v>#N/A</v>
      </c>
      <c r="AG292" s="102" t="e">
        <f>(VLOOKUP($B$3,'Coeff EC7'!$T$39:$X$59,3,0)*AD292+VLOOKUP($B$3,'Coeff EC7'!$T$65:$X$85,3,0)*Model0.1T!AE292)/1.1</f>
        <v>#N/A</v>
      </c>
      <c r="AH292" s="102" t="e">
        <f t="shared" si="468"/>
        <v>#N/A</v>
      </c>
      <c r="AI292" s="102" t="e">
        <f t="shared" si="469"/>
        <v>#N/A</v>
      </c>
      <c r="AJ292" s="414" t="e">
        <f>IF(AND(AF292&gt;NDC!$C$63,AG292&gt;NDC!$C$65,AH292&gt;NDC!$D$73,AI292&gt;NDC!$D$74,$B292&gt;NDC!$H$22-0.1+MIN(3*$AJ$12,1.5)),0,1)</f>
        <v>#N/A</v>
      </c>
      <c r="AK292" s="86" t="b">
        <f t="shared" si="439"/>
        <v>0</v>
      </c>
      <c r="AL292" s="86">
        <f t="shared" si="470"/>
        <v>0.5</v>
      </c>
      <c r="AM292" s="86">
        <f t="shared" si="440"/>
        <v>0.5</v>
      </c>
      <c r="AN292" s="30" t="e">
        <f t="shared" ca="1" si="471"/>
        <v>#DIV/0!</v>
      </c>
      <c r="AO292" s="85" t="e">
        <f ca="1">IF(U292&lt;=Hypothèses!$V$7,Hypothèses!$W$7,IF(U292&lt;=Hypothèses!$V$8,Hypothèses!$W$8,IF(U292&lt;=Hypothèses!$V$9,Hypothèses!$W$9,IF(U292&lt;=Hypothèses!$V$10,Hypothèses!$W$10,IF(U292&lt;=Hypothèses!$V$11,Hypothèses!$W$11,IF(U292&lt;=Hypothèses!$V$12,Hypothèses!$W$12,IF(U292&lt;=Hypothèses!$V$13,Hypothèses!$W$13,IF(U292&lt;=Hypothèses!$V$14,Hypothèses!$W$14,IF(U292&lt;=Hypothèses!$V$15,Hypothèses!$W$15,IF(U292&lt;=Hypothèses!$V$16,Hypothèses!$W$16,IF(U292&lt;=Hypothèses!$V$17,Hypothèses!$W$17,IF(U292&lt;=Hypothèses!$V$18,Hypothèses!$W$18,""))))))))))))</f>
        <v>#DIV/0!</v>
      </c>
      <c r="AP292" s="87" t="e">
        <f t="shared" ca="1" si="517"/>
        <v>#DIV/0!</v>
      </c>
      <c r="AQ292" s="88" t="e">
        <f ca="1">IF(U292&lt;=Hypothèses!$V$7,Hypothèses!$X$7,IF(U292&lt;=Hypothèses!$V$8,Hypothèses!$X$8,IF(U292&lt;=Hypothèses!$V$9,Hypothèses!$X$9,IF(U292&lt;=Hypothèses!$V$10,Hypothèses!$X$10,IF(U292&lt;=Hypothèses!$V$11,Hypothèses!$X$11,IF(U292&lt;=Hypothèses!$V$12,Hypothèses!$X$12,IF(U292&lt;=Hypothèses!$V$13,Hypothèses!$X$13,IF(U292&lt;=Hypothèses!$V$14,Hypothèses!$X$14,IF(U292&lt;=Hypothèses!$V$15,Hypothèses!$X$15,IF(U292&lt;=Hypothèses!$V$16,Hypothèses!$X$16,IF(U292&lt;=Hypothèses!$U$17,Hypothèses!$W$17,IF(U292&lt;=Hypothèses!$U$18,Hypothèses!$W$18,""))))))))))))</f>
        <v>#DIV/0!</v>
      </c>
      <c r="AR292" s="95" t="e">
        <f t="shared" ca="1" si="472"/>
        <v>#DIV/0!</v>
      </c>
      <c r="AS292" s="101">
        <f t="shared" si="524"/>
        <v>0</v>
      </c>
      <c r="AT292" s="91">
        <f t="shared" si="441"/>
        <v>0</v>
      </c>
      <c r="AU292" s="30" t="e">
        <f t="shared" si="502"/>
        <v>#N/A</v>
      </c>
      <c r="AV292" s="30" t="e">
        <f t="shared" si="503"/>
        <v>#N/A</v>
      </c>
      <c r="AW292" s="31" t="e">
        <f>IF(OR(Hypothèses!$B$4=17,Hypothèses!$B$4=18,Hypothèses!$B$4=19,Hypothèses!$B$4=20),
IF($D292="Pressio.",
IF(OR($E292=3,$E292=1,$E292=4),AV292,AU292),
IF($D292="Pénétro.",
IF(OR($E292=3,$E292=1,$E292=4),AV292,AU292))),IF($D292="Pressio.",
IF($E292=3,AV292,AU292),
IF($D292="Pénétro.",
IF($E292=4,AV292,AU292))))</f>
        <v>#N/A</v>
      </c>
      <c r="AX292" s="31">
        <v>0</v>
      </c>
      <c r="AY292" s="102" t="e">
        <f>IF(NDC!$H$10="Oui",(VLOOKUP($B$3,'Coeff EC7'!$T$39:$X$59,2,0)*AW292+VLOOKUP($B$3,'Coeff EC7'!$T$65:$X$85,2,0)*Model0.1T!AX292)/1.5,PI()*AU$12*$Q292*($B292-$B291)*0.15/10+AY291)</f>
        <v>#N/A</v>
      </c>
      <c r="AZ292" s="102" t="e">
        <f>(VLOOKUP($B$3,'Coeff EC7'!$T$39:$X$59,3,0)*AW292+VLOOKUP($B$3,'Coeff EC7'!$T$65:$X$85,3,0)*Model0.1T!AX292)/1.1</f>
        <v>#N/A</v>
      </c>
      <c r="BA292" s="102" t="e">
        <f t="shared" si="473"/>
        <v>#N/A</v>
      </c>
      <c r="BB292" s="102" t="e">
        <f t="shared" si="474"/>
        <v>#N/A</v>
      </c>
      <c r="BC292" s="414" t="e">
        <f>IF(AND(AY292&gt;NDC!$C$63,AZ292&gt;NDC!$C$65,BA292&gt;NDC!$D$73,BB292&gt;NDC!$D$74,$B292&gt;NDC!$H$22-0.1+MIN(3*BC$12,1.5)),0,1)</f>
        <v>#N/A</v>
      </c>
      <c r="BD292" s="86" t="b">
        <f t="shared" si="442"/>
        <v>0</v>
      </c>
      <c r="BE292" s="86">
        <f t="shared" si="475"/>
        <v>0.5</v>
      </c>
      <c r="BF292" s="86">
        <f t="shared" si="443"/>
        <v>0.5</v>
      </c>
      <c r="BG292" s="30" t="e">
        <f t="shared" ca="1" si="476"/>
        <v>#DIV/0!</v>
      </c>
      <c r="BH292" s="85" t="e">
        <f ca="1">IF(AN292&lt;=Hypothèses!$V$7,Hypothèses!$W$7,IF(AN292&lt;=Hypothèses!$V$8,Hypothèses!$W$8,IF(AN292&lt;=Hypothèses!$V$9,Hypothèses!$W$9,IF(AN292&lt;=Hypothèses!$V$10,Hypothèses!$W$10,IF(AN292&lt;=Hypothèses!$V$11,Hypothèses!$W$11,IF(AN292&lt;=Hypothèses!$V$12,Hypothèses!$W$12,IF(AN292&lt;=Hypothèses!$V$13,Hypothèses!$W$13,IF(AN292&lt;=Hypothèses!$V$14,Hypothèses!$W$14,IF(AN292&lt;=Hypothèses!$V$15,Hypothèses!$W$15,IF(AN292&lt;=Hypothèses!$V$16,Hypothèses!$W$16,IF(AN292&lt;=Hypothèses!$V$17,Hypothèses!$W$17,IF(AN292&lt;=Hypothèses!$V$18,Hypothèses!$W$18,""))))))))))))</f>
        <v>#DIV/0!</v>
      </c>
      <c r="BI292" s="87" t="e">
        <f t="shared" ca="1" si="518"/>
        <v>#DIV/0!</v>
      </c>
      <c r="BJ292" s="88" t="e">
        <f ca="1">IF(AN292&lt;=Hypothèses!$V$7,Hypothèses!$X$7,IF(AN292&lt;=Hypothèses!$V$8,Hypothèses!$X$8,IF(AN292&lt;=Hypothèses!$V$9,Hypothèses!$X$9,IF(AN292&lt;=Hypothèses!$V$10,Hypothèses!$X$10,IF(AN292&lt;=Hypothèses!$V$11,Hypothèses!$X$11,IF(AN292&lt;=Hypothèses!$V$12,Hypothèses!$X$12,IF(AN292&lt;=Hypothèses!$V$13,Hypothèses!$X$13,IF(AN292&lt;=Hypothèses!$V$14,Hypothèses!$X$14,IF(AN292&lt;=Hypothèses!$V$15,Hypothèses!$X$15,IF(AN292&lt;=Hypothèses!$V$16,Hypothèses!$X$16,IF(AN292&lt;=Hypothèses!$U$17,Hypothèses!$W$17,IF(AN292&lt;=Hypothèses!$U$18,Hypothèses!$W$18,""))))))))))))</f>
        <v>#DIV/0!</v>
      </c>
      <c r="BK292" s="95" t="e">
        <f t="shared" ca="1" si="477"/>
        <v>#DIV/0!</v>
      </c>
      <c r="BL292" s="101">
        <f t="shared" si="525"/>
        <v>0</v>
      </c>
      <c r="BM292" s="91">
        <f t="shared" si="444"/>
        <v>0</v>
      </c>
      <c r="BN292" s="30" t="e">
        <f t="shared" si="504"/>
        <v>#N/A</v>
      </c>
      <c r="BO292" s="30" t="e">
        <f t="shared" si="505"/>
        <v>#N/A</v>
      </c>
      <c r="BP292" s="31" t="e">
        <f>IF(OR(Hypothèses!$B$4=17,Hypothèses!$B$4=18,Hypothèses!$B$4=19,Hypothèses!$B$4=20),
IF($D292="Pressio.",
IF(OR($E292=3,$E292=1,$E292=4),BO292,BN292),
IF($D292="Pénétro.",
IF(OR($E292=3,$E292=1,$E292=4),BO292,BN292))),IF($D292="Pressio.",
IF($E292=3,BO292,BN292),
IF($D292="Pénétro.",
IF($E292=4,BO292,BN292))))</f>
        <v>#N/A</v>
      </c>
      <c r="BQ292" s="31">
        <v>0</v>
      </c>
      <c r="BR292" s="102" t="e">
        <f>IF(NDC!$H$10="Oui",(VLOOKUP($B$3,'Coeff EC7'!$T$39:$X$59,2,0)*BP292+VLOOKUP($B$3,'Coeff EC7'!$T$65:$X$85,2,0)*Model0.1T!BQ292)/1.5,PI()*BN$12*$Q292*($B292-$B291)*0.15/10+BR291)</f>
        <v>#N/A</v>
      </c>
      <c r="BS292" s="102" t="e">
        <f>(VLOOKUP($B$3,'Coeff EC7'!$T$39:$X$59,3,0)*BP292+VLOOKUP($B$3,'Coeff EC7'!$T$65:$X$85,3,0)*Model0.1T!BQ292)/1.1</f>
        <v>#N/A</v>
      </c>
      <c r="BT292" s="102" t="e">
        <f t="shared" si="478"/>
        <v>#N/A</v>
      </c>
      <c r="BU292" s="102" t="e">
        <f t="shared" si="479"/>
        <v>#N/A</v>
      </c>
      <c r="BV292" s="414" t="e">
        <f>IF(AND(BR292&gt;NDC!$C$63,BS292&gt;NDC!$C$65,BT292&gt;NDC!$D$73,BU292&gt;NDC!$D$74,$B292&gt;NDC!$H$22-0.1+MIN(3*BV$12,1.5)),0,1)</f>
        <v>#N/A</v>
      </c>
      <c r="BW292" s="86" t="b">
        <f t="shared" si="445"/>
        <v>0</v>
      </c>
      <c r="BX292" s="86">
        <f t="shared" si="446"/>
        <v>0.5</v>
      </c>
      <c r="BY292" s="86">
        <f t="shared" si="447"/>
        <v>0.5</v>
      </c>
      <c r="BZ292" s="30" t="e">
        <f t="shared" ca="1" si="480"/>
        <v>#DIV/0!</v>
      </c>
      <c r="CA292" s="85" t="e">
        <f ca="1">IF(BG292&lt;=Hypothèses!$V$7,Hypothèses!$W$7,IF(BG292&lt;=Hypothèses!$V$8,Hypothèses!$W$8,IF(BG292&lt;=Hypothèses!$V$9,Hypothèses!$W$9,IF(BG292&lt;=Hypothèses!$V$10,Hypothèses!$W$10,IF(BG292&lt;=Hypothèses!$V$11,Hypothèses!$W$11,IF(BG292&lt;=Hypothèses!$V$12,Hypothèses!$W$12,IF(BG292&lt;=Hypothèses!$V$13,Hypothèses!$W$13,IF(BG292&lt;=Hypothèses!$V$14,Hypothèses!$W$14,IF(BG292&lt;=Hypothèses!$V$15,Hypothèses!$W$15,IF(BG292&lt;=Hypothèses!$V$16,Hypothèses!$W$16,IF(BG292&lt;=Hypothèses!$V$17,Hypothèses!$W$17,IF(BG292&lt;=Hypothèses!$V$18,Hypothèses!$W$18,""))))))))))))</f>
        <v>#DIV/0!</v>
      </c>
      <c r="CB292" s="87" t="e">
        <f t="shared" ca="1" si="519"/>
        <v>#DIV/0!</v>
      </c>
      <c r="CC292" s="88" t="e">
        <f ca="1">IF(BG292&lt;=Hypothèses!$V$7,Hypothèses!$X$7,IF(BG292&lt;=Hypothèses!$V$8,Hypothèses!$X$8,IF(BG292&lt;=Hypothèses!$V$9,Hypothèses!$X$9,IF(BG292&lt;=Hypothèses!$V$10,Hypothèses!$X$10,IF(BG292&lt;=Hypothèses!$V$11,Hypothèses!$X$11,IF(BG292&lt;=Hypothèses!$V$12,Hypothèses!$X$12,IF(BG292&lt;=Hypothèses!$V$13,Hypothèses!$X$13,IF(BG292&lt;=Hypothèses!$V$14,Hypothèses!$X$14,IF(BG292&lt;=Hypothèses!$V$15,Hypothèses!$X$15,IF(BG292&lt;=Hypothèses!$V$16,Hypothèses!$X$16,IF(BG292&lt;=Hypothèses!$U$17,Hypothèses!$W$17,IF(BG292&lt;=Hypothèses!$U$18,Hypothèses!$W$18,""))))))))))))</f>
        <v>#DIV/0!</v>
      </c>
      <c r="CD292" s="95" t="e">
        <f t="shared" ca="1" si="481"/>
        <v>#DIV/0!</v>
      </c>
      <c r="CE292" s="101">
        <f t="shared" si="526"/>
        <v>0</v>
      </c>
      <c r="CF292" s="91">
        <f t="shared" si="448"/>
        <v>0</v>
      </c>
      <c r="CG292" s="30" t="e">
        <f t="shared" si="506"/>
        <v>#N/A</v>
      </c>
      <c r="CH292" s="30" t="e">
        <f t="shared" si="507"/>
        <v>#N/A</v>
      </c>
      <c r="CI292" s="31" t="e">
        <f>IF(OR(Hypothèses!$B$4=17,Hypothèses!$B$4=18,Hypothèses!$B$4=19,Hypothèses!$B$4=20),
IF($D292="Pressio.",
IF(OR($E292=3,$E292=1,$E292=4),CH292,CG292),
IF($D292="Pénétro.",
IF(OR($E292=3,$E292=1,$E292=4),CH292,CG292))),IF($D292="Pressio.",
IF($E292=3,CH292,CG292),
IF($D292="Pénétro.",
IF($E292=4,CH292,CG292))))</f>
        <v>#N/A</v>
      </c>
      <c r="CJ292" s="31">
        <v>0</v>
      </c>
      <c r="CK292" s="102" t="e">
        <f>IF(NDC!$H$10="Oui",(VLOOKUP($B$3,'Coeff EC7'!$T$39:$X$59,2,0)*CI292+VLOOKUP($B$3,'Coeff EC7'!$T$65:$X$85,2,0)*Model0.1T!CJ292)/1.5,PI()*CG$12*$Q292*($B292-$B291)*0.15/10+CK291)</f>
        <v>#N/A</v>
      </c>
      <c r="CL292" s="102" t="e">
        <f>(VLOOKUP($B$3,'Coeff EC7'!$T$39:$X$59,3,0)*CI292+VLOOKUP($B$3,'Coeff EC7'!$T$65:$X$85,3,0)*Model0.1T!CJ292)/1.1</f>
        <v>#N/A</v>
      </c>
      <c r="CM292" s="102" t="e">
        <f t="shared" si="482"/>
        <v>#N/A</v>
      </c>
      <c r="CN292" s="102" t="e">
        <f t="shared" si="483"/>
        <v>#N/A</v>
      </c>
      <c r="CO292" s="414" t="e">
        <f>IF(AND(CK292&gt;NDC!$C$63,CL292&gt;NDC!$C$65,CM292&gt;NDC!$D$73,CN292&gt;NDC!$D$74,$B292&gt;NDC!$H$22-0.1+MIN(3*CO$12,1.5)),0,1)</f>
        <v>#N/A</v>
      </c>
      <c r="CP292" s="86" t="b">
        <f t="shared" si="449"/>
        <v>0</v>
      </c>
      <c r="CQ292" s="86">
        <f t="shared" si="450"/>
        <v>0.5</v>
      </c>
      <c r="CR292" s="86">
        <f t="shared" si="451"/>
        <v>0.5</v>
      </c>
      <c r="CS292" s="30" t="e">
        <f t="shared" ca="1" si="484"/>
        <v>#DIV/0!</v>
      </c>
      <c r="CT292" s="85" t="e">
        <f ca="1">IF(BZ292&lt;=Hypothèses!$V$7,Hypothèses!$W$7,IF(BZ292&lt;=Hypothèses!$V$8,Hypothèses!$W$8,IF(BZ292&lt;=Hypothèses!$V$9,Hypothèses!$W$9,IF(BZ292&lt;=Hypothèses!$V$10,Hypothèses!$W$10,IF(BZ292&lt;=Hypothèses!$V$11,Hypothèses!$W$11,IF(BZ292&lt;=Hypothèses!$V$12,Hypothèses!$W$12,IF(BZ292&lt;=Hypothèses!$V$13,Hypothèses!$W$13,IF(BZ292&lt;=Hypothèses!$V$14,Hypothèses!$W$14,IF(BZ292&lt;=Hypothèses!$V$15,Hypothèses!$W$15,IF(BZ292&lt;=Hypothèses!$V$16,Hypothèses!$W$16,IF(BZ292&lt;=Hypothèses!$V$17,Hypothèses!$W$17,IF(BZ292&lt;=Hypothèses!$V$18,Hypothèses!$W$18,""))))))))))))</f>
        <v>#DIV/0!</v>
      </c>
      <c r="CU292" s="87" t="e">
        <f t="shared" ca="1" si="520"/>
        <v>#DIV/0!</v>
      </c>
      <c r="CV292" s="88" t="e">
        <f ca="1">IF(BZ292&lt;=Hypothèses!$V$7,Hypothèses!$X$7,IF(BZ292&lt;=Hypothèses!$V$8,Hypothèses!$X$8,IF(BZ292&lt;=Hypothèses!$V$9,Hypothèses!$X$9,IF(BZ292&lt;=Hypothèses!$V$10,Hypothèses!$X$10,IF(BZ292&lt;=Hypothèses!$V$11,Hypothèses!$X$11,IF(BZ292&lt;=Hypothèses!$V$12,Hypothèses!$X$12,IF(BZ292&lt;=Hypothèses!$V$13,Hypothèses!$X$13,IF(BZ292&lt;=Hypothèses!$V$14,Hypothèses!$X$14,IF(BZ292&lt;=Hypothèses!$V$15,Hypothèses!$X$15,IF(BZ292&lt;=Hypothèses!$V$16,Hypothèses!$X$16,IF(BZ292&lt;=Hypothèses!$U$17,Hypothèses!$W$17,IF(BZ292&lt;=Hypothèses!$U$18,Hypothèses!$W$18,""))))))))))))</f>
        <v>#DIV/0!</v>
      </c>
      <c r="CW292" s="95" t="e">
        <f t="shared" ca="1" si="485"/>
        <v>#DIV/0!</v>
      </c>
      <c r="CX292" s="101">
        <f t="shared" si="527"/>
        <v>0</v>
      </c>
      <c r="CY292" s="91">
        <f t="shared" si="452"/>
        <v>0</v>
      </c>
      <c r="CZ292" s="30" t="e">
        <f t="shared" si="508"/>
        <v>#N/A</v>
      </c>
      <c r="DA292" s="30" t="e">
        <f t="shared" si="509"/>
        <v>#N/A</v>
      </c>
      <c r="DB292" s="31" t="e">
        <f>IF(OR(Hypothèses!$B$4=17,Hypothèses!$B$4=18,Hypothèses!$B$4=19,Hypothèses!$B$4=20),
IF($D292="Pressio.",
IF(OR($E292=3,$E292=1,$E292=4),DA292,CZ292),
IF($D292="Pénétro.",
IF(OR($E292=3,$E292=1,$E292=4),DA292,CZ292))),IF($D292="Pressio.",
IF($E292=3,DA292,CZ292),
IF($D292="Pénétro.",
IF($E292=4,DA292,CZ292))))</f>
        <v>#N/A</v>
      </c>
      <c r="DC292" s="31">
        <v>0</v>
      </c>
      <c r="DD292" s="102" t="e">
        <f>IF(NDC!$H$10="Oui",(VLOOKUP($B$3,'Coeff EC7'!$T$39:$X$59,2,0)*DB292+VLOOKUP($B$3,'Coeff EC7'!$T$65:$X$85,2,0)*Model0.1T!DC292)/1.5,PI()*CZ$12*$Q292*($B292-$B291)*0.15/10+DD291)</f>
        <v>#N/A</v>
      </c>
      <c r="DE292" s="102" t="e">
        <f>(VLOOKUP($B$3,'Coeff EC7'!$T$39:$X$59,3,0)*DB292+VLOOKUP($B$3,'Coeff EC7'!$T$65:$X$85,3,0)*Model0.1T!DC292)/1.1</f>
        <v>#N/A</v>
      </c>
      <c r="DF292" s="102" t="e">
        <f t="shared" si="486"/>
        <v>#N/A</v>
      </c>
      <c r="DG292" s="102" t="e">
        <f t="shared" si="487"/>
        <v>#N/A</v>
      </c>
      <c r="DH292" s="414" t="e">
        <f>IF(AND(DD292&gt;NDC!$C$63,DE292&gt;NDC!$C$65,DF292&gt;NDC!$D$73,DG292&gt;NDC!$D$74,$B292&gt;NDC!$H$22-0.1+MIN(3*DH$12,1.5)),0,1)</f>
        <v>#N/A</v>
      </c>
      <c r="DI292" s="86" t="b">
        <f t="shared" si="453"/>
        <v>0</v>
      </c>
      <c r="DJ292" s="86">
        <f t="shared" si="454"/>
        <v>0.5</v>
      </c>
      <c r="DK292" s="86">
        <f t="shared" si="455"/>
        <v>0.5</v>
      </c>
      <c r="DL292" s="30" t="e">
        <f t="shared" ca="1" si="488"/>
        <v>#DIV/0!</v>
      </c>
      <c r="DM292" s="85" t="e">
        <f ca="1">IF(CS292&lt;=Hypothèses!$V$7,Hypothèses!$W$7,IF(CS292&lt;=Hypothèses!$V$8,Hypothèses!$W$8,IF(CS292&lt;=Hypothèses!$V$9,Hypothèses!$W$9,IF(CS292&lt;=Hypothèses!$V$10,Hypothèses!$W$10,IF(CS292&lt;=Hypothèses!$V$11,Hypothèses!$W$11,IF(CS292&lt;=Hypothèses!$V$12,Hypothèses!$W$12,IF(CS292&lt;=Hypothèses!$V$13,Hypothèses!$W$13,IF(CS292&lt;=Hypothèses!$V$14,Hypothèses!$W$14,IF(CS292&lt;=Hypothèses!$V$15,Hypothèses!$W$15,IF(CS292&lt;=Hypothèses!$V$16,Hypothèses!$W$16,IF(CS292&lt;=Hypothèses!$V$17,Hypothèses!$W$17,IF(CS292&lt;=Hypothèses!$V$18,Hypothèses!$W$18,""))))))))))))</f>
        <v>#DIV/0!</v>
      </c>
      <c r="DN292" s="87" t="e">
        <f t="shared" ca="1" si="521"/>
        <v>#DIV/0!</v>
      </c>
      <c r="DO292" s="88" t="e">
        <f ca="1">IF(CS292&lt;=Hypothèses!$V$7,Hypothèses!$X$7,IF(CS292&lt;=Hypothèses!$V$8,Hypothèses!$X$8,IF(CS292&lt;=Hypothèses!$V$9,Hypothèses!$X$9,IF(CS292&lt;=Hypothèses!$V$10,Hypothèses!$X$10,IF(CS292&lt;=Hypothèses!$V$11,Hypothèses!$X$11,IF(CS292&lt;=Hypothèses!$V$12,Hypothèses!$X$12,IF(CS292&lt;=Hypothèses!$V$13,Hypothèses!$X$13,IF(CS292&lt;=Hypothèses!$V$14,Hypothèses!$X$14,IF(CS292&lt;=Hypothèses!$V$15,Hypothèses!$X$15,IF(CS292&lt;=Hypothèses!$V$16,Hypothèses!$X$16,IF(CS292&lt;=Hypothèses!$U$17,Hypothèses!$W$17,IF(CS292&lt;=Hypothèses!$U$18,Hypothèses!$W$18,""))))))))))))</f>
        <v>#DIV/0!</v>
      </c>
      <c r="DP292" s="95" t="e">
        <f t="shared" ca="1" si="489"/>
        <v>#DIV/0!</v>
      </c>
      <c r="DQ292" s="101">
        <f t="shared" si="528"/>
        <v>0</v>
      </c>
      <c r="DR292" s="91">
        <f t="shared" si="456"/>
        <v>0</v>
      </c>
      <c r="DS292" s="30" t="e">
        <f t="shared" si="510"/>
        <v>#N/A</v>
      </c>
      <c r="DT292" s="30" t="e">
        <f t="shared" si="511"/>
        <v>#N/A</v>
      </c>
      <c r="DU292" s="31" t="e">
        <f>IF(OR(Hypothèses!$B$4=17,Hypothèses!$B$4=18,Hypothèses!$B$4=19,Hypothèses!$B$4=20),
IF($D292="Pressio.",
IF(OR($E292=3,$E292=1,$E292=4),DT292,DS292),
IF($D292="Pénétro.",
IF(OR($E292=3,$E292=1,$E292=4),DT292,DS292))),IF($D292="Pressio.",
IF($E292=3,DT292,DS292),
IF($D292="Pénétro.",
IF($E292=4,DT292,DS292))))</f>
        <v>#N/A</v>
      </c>
      <c r="DV292" s="31">
        <v>0</v>
      </c>
      <c r="DW292" s="102" t="e">
        <f>IF(NDC!$H$10="Oui",(VLOOKUP($B$3,'Coeff EC7'!$T$39:$X$59,2,0)*DU292+VLOOKUP($B$3,'Coeff EC7'!$T$65:$X$85,2,0)*Model0.1T!DV292)/1.5,PI()*DS$12*$Q292*($B292-$B291)*0.15/10+DW291)</f>
        <v>#N/A</v>
      </c>
      <c r="DX292" s="102" t="e">
        <f>(VLOOKUP($B$3,'Coeff EC7'!$T$39:$X$59,3,0)*DU292+VLOOKUP($B$3,'Coeff EC7'!$T$65:$X$85,3,0)*Model0.1T!DV292)/1.1</f>
        <v>#N/A</v>
      </c>
      <c r="DY292" s="102" t="e">
        <f t="shared" si="490"/>
        <v>#N/A</v>
      </c>
      <c r="DZ292" s="102" t="e">
        <f t="shared" si="491"/>
        <v>#N/A</v>
      </c>
      <c r="EA292" s="414" t="e">
        <f>IF(AND(DW292&gt;NDC!$C$63,DX292&gt;NDC!$C$65,DY292&gt;NDC!$D$73,DZ292&gt;NDC!$D$74,$B292&gt;NDC!$H$22-0.1+MIN(3*EA$12,1.5)),0,1)</f>
        <v>#N/A</v>
      </c>
      <c r="EB292" s="86" t="b">
        <f t="shared" si="457"/>
        <v>0</v>
      </c>
      <c r="EC292" s="418">
        <f t="shared" si="458"/>
        <v>0.51</v>
      </c>
      <c r="ED292" s="86">
        <f t="shared" si="459"/>
        <v>0.51</v>
      </c>
      <c r="EE292" s="30" t="e">
        <f t="shared" ca="1" si="492"/>
        <v>#DIV/0!</v>
      </c>
      <c r="EF292" s="85" t="e">
        <f ca="1">IF(DL292&lt;=Hypothèses!$V$7,Hypothèses!$W$7,IF(DL292&lt;=Hypothèses!$V$8,Hypothèses!$W$8,IF(DL292&lt;=Hypothèses!$V$9,Hypothèses!$W$9,IF(DL292&lt;=Hypothèses!$V$10,Hypothèses!$W$10,IF(DL292&lt;=Hypothèses!$V$11,Hypothèses!$W$11,IF(DL292&lt;=Hypothèses!$V$12,Hypothèses!$W$12,IF(DL292&lt;=Hypothèses!$V$13,Hypothèses!$W$13,IF(DL292&lt;=Hypothèses!$V$14,Hypothèses!$W$14,IF(DL292&lt;=Hypothèses!$V$15,Hypothèses!$W$15,IF(DL292&lt;=Hypothèses!$V$16,Hypothèses!$W$16,IF(DL292&lt;=Hypothèses!$V$17,Hypothèses!$W$17,IF(DL292&lt;=Hypothèses!$V$18,Hypothèses!$W$18,""))))))))))))</f>
        <v>#DIV/0!</v>
      </c>
      <c r="EG292" s="87" t="e">
        <f t="shared" ca="1" si="522"/>
        <v>#DIV/0!</v>
      </c>
      <c r="EH292" s="88" t="e">
        <f ca="1">IF(DL292&lt;=Hypothèses!$V$7,Hypothèses!$X$7,IF(DL292&lt;=Hypothèses!$V$8,Hypothèses!$X$8,IF(DL292&lt;=Hypothèses!$V$9,Hypothèses!$X$9,IF(DL292&lt;=Hypothèses!$V$10,Hypothèses!$X$10,IF(DL292&lt;=Hypothèses!$V$11,Hypothèses!$X$11,IF(DL292&lt;=Hypothèses!$V$12,Hypothèses!$X$12,IF(DL292&lt;=Hypothèses!$V$13,Hypothèses!$X$13,IF(DL292&lt;=Hypothèses!$V$14,Hypothèses!$X$14,IF(DL292&lt;=Hypothèses!$V$15,Hypothèses!$X$15,IF(DL292&lt;=Hypothèses!$V$16,Hypothèses!$X$16,IF(DL292&lt;=Hypothèses!$U$17,Hypothèses!$W$17,IF(DL292&lt;=Hypothèses!$U$18,Hypothèses!$W$18,""))))))))))))</f>
        <v>#DIV/0!</v>
      </c>
      <c r="EI292" s="95" t="e">
        <f t="shared" ca="1" si="493"/>
        <v>#DIV/0!</v>
      </c>
      <c r="EJ292" s="101">
        <f t="shared" si="529"/>
        <v>0</v>
      </c>
      <c r="EK292" s="91">
        <f t="shared" si="460"/>
        <v>0</v>
      </c>
      <c r="EL292" s="30" t="e">
        <f t="shared" si="512"/>
        <v>#N/A</v>
      </c>
      <c r="EM292" s="30" t="e">
        <f t="shared" si="513"/>
        <v>#N/A</v>
      </c>
      <c r="EN292" s="31" t="e">
        <f>IF(OR(Hypothèses!$B$4=17,Hypothèses!$B$4=18,Hypothèses!$B$4=19,Hypothèses!$B$4=20),
IF($D292="Pressio.",
IF(OR($E292=3,$E292=1,$E292=4),EM292,EL292),
IF($D292="Pénétro.",
IF(OR($E292=3,$E292=1,$E292=4),EM292,EL292))),IF($D292="Pressio.",
IF($E292=3,EM292,EL292),
IF($D292="Pénétro.",
IF($E292=4,EM292,EL292))))</f>
        <v>#N/A</v>
      </c>
      <c r="EO292" s="31">
        <v>0</v>
      </c>
      <c r="EP292" s="102" t="e">
        <f>IF(NDC!$H$10="Oui",(VLOOKUP($B$3,'Coeff EC7'!$T$39:$X$59,2,0)*EN292+VLOOKUP($B$3,'Coeff EC7'!$T$65:$X$85,2,0)*Model0.1T!EO292)/1.5,PI()*EL$12*$Q292*($B292-$B291)*0.15/10+EP291)</f>
        <v>#N/A</v>
      </c>
      <c r="EQ292" s="102" t="e">
        <f>(VLOOKUP($B$3,'Coeff EC7'!$T$39:$X$59,3,0)*EN292+VLOOKUP($B$3,'Coeff EC7'!$T$65:$X$85,3,0)*Model0.1T!EO292)/1.1</f>
        <v>#N/A</v>
      </c>
      <c r="ER292" s="102" t="e">
        <f t="shared" si="494"/>
        <v>#N/A</v>
      </c>
      <c r="ES292" s="102" t="e">
        <f t="shared" si="495"/>
        <v>#N/A</v>
      </c>
      <c r="ET292" s="414" t="e">
        <f>IF(AND(EP292&gt;NDC!$C$63,EQ292&gt;NDC!$C$65,ER292&gt;NDC!$D$73,ES292&gt;NDC!$D$74,$B292&gt;NDC!$H$22-0.1+MIN(3*ET$12,1.5)),0,1)</f>
        <v>#N/A</v>
      </c>
      <c r="EU292" s="86" t="b">
        <f t="shared" si="461"/>
        <v>0</v>
      </c>
      <c r="EV292" s="86">
        <f t="shared" si="462"/>
        <v>0.61</v>
      </c>
      <c r="EW292" s="86">
        <f t="shared" si="463"/>
        <v>0.61</v>
      </c>
      <c r="EX292" s="30" t="e">
        <f t="shared" ca="1" si="496"/>
        <v>#DIV/0!</v>
      </c>
      <c r="EY292" s="85" t="e">
        <f ca="1">IF(EE292&lt;=Hypothèses!$V$7,Hypothèses!$W$7,IF(EE292&lt;=Hypothèses!$V$8,Hypothèses!$W$8,IF(EE292&lt;=Hypothèses!$V$9,Hypothèses!$W$9,IF(EE292&lt;=Hypothèses!$V$10,Hypothèses!$W$10,IF(EE292&lt;=Hypothèses!$V$11,Hypothèses!$W$11,IF(EE292&lt;=Hypothèses!$V$12,Hypothèses!$W$12,IF(EE292&lt;=Hypothèses!$V$13,Hypothèses!$W$13,IF(EE292&lt;=Hypothèses!$V$14,Hypothèses!$W$14,IF(EE292&lt;=Hypothèses!$V$15,Hypothèses!$W$15,IF(EE292&lt;=Hypothèses!$V$16,Hypothèses!$W$16,IF(EE292&lt;=Hypothèses!$V$17,Hypothèses!$W$17,IF(EE292&lt;=Hypothèses!$V$18,Hypothèses!$W$18,""))))))))))))</f>
        <v>#DIV/0!</v>
      </c>
      <c r="EZ292" s="87" t="e">
        <f t="shared" ca="1" si="523"/>
        <v>#DIV/0!</v>
      </c>
      <c r="FA292" s="88" t="e">
        <f ca="1">IF(EE292&lt;=Hypothèses!$V$7,Hypothèses!$X$7,IF(EE292&lt;=Hypothèses!$V$8,Hypothèses!$X$8,IF(EE292&lt;=Hypothèses!$V$9,Hypothèses!$X$9,IF(EE292&lt;=Hypothèses!$V$10,Hypothèses!$X$10,IF(EE292&lt;=Hypothèses!$V$11,Hypothèses!$X$11,IF(EE292&lt;=Hypothèses!$V$12,Hypothèses!$X$12,IF(EE292&lt;=Hypothèses!$V$13,Hypothèses!$X$13,IF(EE292&lt;=Hypothèses!$V$14,Hypothèses!$X$14,IF(EE292&lt;=Hypothèses!$V$15,Hypothèses!$X$15,IF(EE292&lt;=Hypothèses!$V$16,Hypothèses!$X$16,IF(EE292&lt;=Hypothèses!$U$17,Hypothèses!$W$17,IF(EE292&lt;=Hypothèses!$U$18,Hypothèses!$W$18,""))))))))))))</f>
        <v>#DIV/0!</v>
      </c>
      <c r="FB292" s="95" t="e">
        <f t="shared" ca="1" si="497"/>
        <v>#DIV/0!</v>
      </c>
      <c r="FC292" s="101">
        <f t="shared" si="530"/>
        <v>0</v>
      </c>
      <c r="FD292" s="91">
        <f t="shared" si="464"/>
        <v>0</v>
      </c>
      <c r="FE292" s="30" t="e">
        <f t="shared" si="514"/>
        <v>#N/A</v>
      </c>
      <c r="FF292" s="30" t="e">
        <f t="shared" si="515"/>
        <v>#N/A</v>
      </c>
      <c r="FG292" s="31" t="e">
        <f>IF(OR(Hypothèses!$B$4=17,Hypothèses!$B$4=18,Hypothèses!$B$4=19,Hypothèses!$B$4=20),
IF($D292="Pressio.",
IF(OR($E292=3,$E292=1,$E292=4),FF292,FE292),
IF($D292="Pénétro.",
IF(OR($E292=3,$E292=1,$E292=4),FF292,FE292))),IF($D292="Pressio.",
IF($E292=3,FF292,FE292),
IF($D292="Pénétro.",
IF($E292=4,FF292,FE292))))</f>
        <v>#N/A</v>
      </c>
      <c r="FH292" s="31">
        <v>0</v>
      </c>
      <c r="FI292" s="102" t="e">
        <f>IF(NDC!$H$10="Oui",(VLOOKUP($B$3,'Coeff EC7'!$T$39:$X$59,2,0)*FG292+VLOOKUP($B$3,'Coeff EC7'!$T$65:$X$85,2,0)*Model0.1T!FH292)/1.5,PI()*FE$12*$Q292*($B292-$B291)*0.15/10+FI291)</f>
        <v>#N/A</v>
      </c>
      <c r="FJ292" s="102" t="e">
        <f>(VLOOKUP($B$3,'Coeff EC7'!$T$39:$X$59,3,0)*FG292+VLOOKUP($B$3,'Coeff EC7'!$T$65:$X$85,3,0)*Model0.1T!FH292)/1.1</f>
        <v>#N/A</v>
      </c>
      <c r="FK292" s="102" t="e">
        <f t="shared" si="498"/>
        <v>#N/A</v>
      </c>
      <c r="FL292" s="102" t="e">
        <f t="shared" si="499"/>
        <v>#N/A</v>
      </c>
      <c r="FM292" s="414" t="e">
        <f>IF(AND(FI292&gt;NDC!$C$63,FJ292&gt;NDC!$C$65,FK292&gt;NDC!$D$73,FL292&gt;NDC!$D$74,$B292&gt;NDC!$H$22-0.1+MIN(3*FM$12,1.5)),0,1)</f>
        <v>#N/A</v>
      </c>
    </row>
    <row r="293" spans="1:169">
      <c r="A293" s="96">
        <f t="shared" si="465"/>
        <v>72.000000000001592</v>
      </c>
      <c r="B293" s="97">
        <v>28</v>
      </c>
      <c r="C293" s="81">
        <f>IF(B293&lt;=Hypothèses!$C$7,Hypothèses!$A$7,IF(B293&lt;=Hypothèses!$C$8,Hypothèses!$A$8,IF(B293&lt;=Hypothèses!$C$9,Hypothèses!$A$9,IF(B293&lt;=Hypothèses!$C$10,Hypothèses!$A$10,IF(B293&lt;=Hypothèses!$C$11,Hypothèses!$A$11,IF(B293&lt;=Hypothèses!$C$12,Hypothèses!$A$12,IF(B293&lt;=Hypothèses!$C$13,Hypothèses!$A$13,IF(B293&lt;=Hypothèses!$C$14,Hypothèses!$A$14,IF(B293&lt;=Hypothèses!$C$15,Hypothèses!$A$15,IF(B293&lt;=Hypothèses!$C$16,Hypothèses!$A$16,IF(B293&lt;=Hypothèses!$C$17,Hypothèses!$A$17,IF(B293&lt;=Hypothèses!$C$18,Hypothèses!$A$18,C292))))))))))))</f>
        <v>11</v>
      </c>
      <c r="D293" s="82" t="str">
        <f>IF(B293&lt;=Hypothèses!$C$7,Hypothèses!$R$7,IF(B293&lt;=Hypothèses!$C$8,Hypothèses!$R$8,IF(B293&lt;=Hypothèses!$C$9,Hypothèses!$R$9,IF(B293&lt;=Hypothèses!$C$10,Hypothèses!$R$10,IF(B293&lt;=Hypothèses!$C$11,Hypothèses!$R$11,IF(B293&lt;=Hypothèses!$C$12,Hypothèses!$R$12,IF(B293&lt;=Hypothèses!$C$13,Hypothèses!$R$13,IF(B293&lt;=Hypothèses!$C$14,Hypothèses!$R$14,IF(B293&lt;=Hypothèses!$C$15,Hypothèses!$R$15,IF(B293&lt;=Hypothèses!$C$16,Hypothèses!$R$16,IF(B293&lt;=Hypothèses!$C$17,Hypothèses!$R$17,IF(B293&lt;=Hypothèses!$C$18,Hypothèses!$R$18,D292))))))))))))</f>
        <v>Pressio.</v>
      </c>
      <c r="E293" s="82" t="e">
        <f>IF(B293&lt;=Hypothèses!$C$7,Hypothèses!$G$7,IF(B293&lt;=Hypothèses!$C$8,Hypothèses!$G$8,IF(B293&lt;=Hypothèses!$C$9,Hypothèses!$G$9,IF(B293&lt;=Hypothèses!$C$10,Hypothèses!$G$10,IF(B293&lt;=Hypothèses!$C$11,Hypothèses!$G$11,IF(B293&lt;=Hypothèses!$C$12,Hypothèses!$G$12,IF(B293&lt;=Hypothèses!$C$13,Hypothèses!$G$13,IF(B293&lt;=Hypothèses!$C$14,Hypothèses!$G$14,IF(B293&lt;=Hypothèses!$C$15,Hypothèses!$G$15,IF(B293&lt;=Hypothèses!$C$16,Hypothèses!$G$16,IF(B293&lt;=Hypothèses!$C$17,Hypothèses!$G$17,IF(B293&lt;=Hypothèses!$C$18,Hypothèses!$G$18,E292))))))))))))</f>
        <v>#N/A</v>
      </c>
      <c r="F293" s="82" t="str">
        <f>IF(B293&lt;=Hypothèses!$C$7,Hypothèses!$F$7,IF(B293&lt;=Hypothèses!$C$8,Hypothèses!$F$8,IF(B293&lt;=Hypothèses!$C$9,Hypothèses!$F$9,IF(B293&lt;=Hypothèses!$C$10,Hypothèses!$F$10,IF(B293&lt;=Hypothèses!$C$11,Hypothèses!$F$11,IF(B293&lt;=Hypothèses!$C$12,Hypothèses!$F$12,IF(B293&lt;=Hypothèses!$C$13,Hypothèses!$F$13,IF(B293&lt;=Hypothèses!$C$14,Hypothèses!$F$14,IF(B293&lt;=Hypothèses!$C$15,Hypothèses!$F$15,IF(B293&lt;=Hypothèses!$C$16,Hypothèses!$F$16,IF(B293&lt;=Hypothèses!$C$17,Hypothèses!$F$17,IF(B293&lt;=Hypothèses!$C$18,Hypothèses!$F$18,F292))))))))))))</f>
        <v/>
      </c>
      <c r="G293" s="91">
        <f t="array" ref="G293">INDEX('Coeff EC7'!$U$7:$X$27,
MATCH(Model0.1T!$B$3,'Coeff EC7'!$T$7:$T$27,0),
MATCH(Model0.1T!$D293&amp;Model0.1T!$B$4,
'Coeff EC7'!$U$6:$X$6&amp;
'Coeff EC7'!$U$5:$X$5,0))</f>
        <v>1.4</v>
      </c>
      <c r="H293" s="91">
        <f t="array" ref="H293">INDEX('Coeff EC7'!$Y$7:$AB$27,
MATCH(Model0.1T!$B$3,'Coeff EC7'!$T$7:$T$27,0),
MATCH(Model0.1T!$D293&amp;Model0.1T!$B$4,
'Coeff EC7'!$Y$6:$AB$6&amp;
'Coeff EC7'!$Y$5:$AB$5,0))</f>
        <v>1.7</v>
      </c>
      <c r="I293" s="83">
        <v>0</v>
      </c>
      <c r="J293" s="91" t="e">
        <f t="array" ref="J293">INDEX('Coeff EC7'!$D$33:$Q$33,1,MATCH(D293&amp;E293,'Coeff EC7'!$D$31:$Q$31&amp;'Coeff EC7'!$D$32:$Q$32,0))</f>
        <v>#N/A</v>
      </c>
      <c r="K293" s="91" t="e">
        <f t="array" ref="K293">INDEX('Coeff EC7'!$D$34:$Q$34,1,MATCH(D293&amp;E293,'Coeff EC7'!$D$31:$Q$31&amp;'Coeff EC7'!$D$32:$Q$32,0))</f>
        <v>#N/A</v>
      </c>
      <c r="L293" s="91" t="e">
        <f t="array" ref="L293">INDEX('Coeff EC7'!$D$35:$Q$35,1,MATCH(D293&amp;E293,'Coeff EC7'!$D$31:$Q$31&amp;'Coeff EC7'!$D$32:$Q$32,0))</f>
        <v>#N/A</v>
      </c>
      <c r="M293" s="98" t="e">
        <f t="shared" si="431"/>
        <v>#N/A</v>
      </c>
      <c r="N293" s="99" t="e">
        <f t="array" ref="N293">INDEX('Coeff EC7'!$D$7:$Q$27,MATCH($B$3,'Coeff EC7'!$C$7:$C$27,0),MATCH(D293&amp;E293,'Coeff EC7'!$D$5:$Q$5&amp;'Coeff EC7'!$D$6:$Q$6,0))</f>
        <v>#N/A</v>
      </c>
      <c r="O293" s="99" t="e">
        <f t="array" ref="O293">INDEX('Coeff EC7'!$D$41:$Q$61,MATCH($B$3,'Coeff EC7'!$C$41:$C$61,0),MATCH(D293&amp;E293,'Coeff EC7'!$D$39:$Q$39&amp;'Coeff EC7'!$D$40:$Q$40,0))</f>
        <v>#N/A</v>
      </c>
      <c r="P293" s="30" t="e">
        <f t="shared" si="466"/>
        <v>#N/A</v>
      </c>
      <c r="Q293" s="100" t="e">
        <f t="shared" si="433"/>
        <v>#N/A</v>
      </c>
      <c r="R293" s="86" t="b">
        <f t="shared" si="434"/>
        <v>0</v>
      </c>
      <c r="S293" s="86">
        <f t="shared" si="432"/>
        <v>0.5</v>
      </c>
      <c r="T293" s="86">
        <f t="shared" si="435"/>
        <v>0.5</v>
      </c>
      <c r="U293" s="30" t="e">
        <f t="shared" ca="1" si="467"/>
        <v>#DIV/0!</v>
      </c>
      <c r="V293" s="85" t="str">
        <f>IF(B293&lt;=Hypothèses!$V$7,Hypothèses!$W$7,IF(B293&lt;=Hypothèses!$V$8,Hypothèses!$W$8,IF(B293&lt;=Hypothèses!$V$9,Hypothèses!$W$9,IF(B293&lt;=Hypothèses!$V$10,Hypothèses!$W$10,IF(B293&lt;=Hypothèses!$V$11,Hypothèses!$W$11,IF(B293&lt;=Hypothèses!$V$12,Hypothèses!$W$12,IF(B293&lt;=Hypothèses!$V$13,Hypothèses!$W$13,IF(B293&lt;=Hypothèses!$V$14,Hypothèses!$W$14,IF(B293&lt;=Hypothèses!$V$15,Hypothèses!$W$15,IF(B293&lt;=Hypothèses!$V$16,Hypothèses!$W$16,IF(B293&lt;=Hypothèses!$V$17,Hypothèses!$W$17,IF(B293&lt;=Hypothèses!$V$18,Hypothèses!$W$18,""))))))))))))</f>
        <v/>
      </c>
      <c r="W293" s="87" t="e">
        <f t="shared" ca="1" si="516"/>
        <v>#DIV/0!</v>
      </c>
      <c r="X293" s="88" t="str">
        <f>IF(B293&lt;=Hypothèses!$V$7,Hypothèses!$X$7,IF(B293&lt;=Hypothèses!$V$8,Hypothèses!$X$8,IF(B293&lt;=Hypothèses!$V$9,Hypothèses!$X$9,IF(B293&lt;=Hypothèses!$V$10,Hypothèses!$X$10,IF(B293&lt;=Hypothèses!$V$11,Hypothèses!$X$11,IF(B293&lt;=Hypothèses!$V$12,Hypothèses!$X$12,IF(B293&lt;=Hypothèses!$V$13,Hypothèses!$X$13,IF(B293&lt;=Hypothèses!$V$14,Hypothèses!$X$14,IF(B293&lt;=Hypothèses!$V$15,Hypothèses!$X$15,IF(B293&lt;=Hypothèses!$V$16,Hypothèses!$X$16,IF(B293&lt;=Hypothèses!$U$17,Hypothèses!$W$17,IF(B293&lt;=Hypothèses!$U$18,Hypothèses!$W$18,""))))))))))))</f>
        <v/>
      </c>
      <c r="Y293" s="95" t="e">
        <f t="shared" ca="1" si="436"/>
        <v>#DIV/0!</v>
      </c>
      <c r="Z293" s="101">
        <f t="shared" si="437"/>
        <v>0</v>
      </c>
      <c r="AA293" s="91">
        <f t="shared" si="438"/>
        <v>0</v>
      </c>
      <c r="AB293" s="30" t="e">
        <f t="shared" si="500"/>
        <v>#N/A</v>
      </c>
      <c r="AC293" s="30" t="e">
        <f t="shared" si="501"/>
        <v>#N/A</v>
      </c>
      <c r="AD293" s="31" t="e">
        <f>IF(OR(Hypothèses!$B$4=17,Hypothèses!$B$4=18,Hypothèses!$B$4=19,Hypothèses!$B$4=20),
IF($D293="Pressio.",
IF(OR($E293=3,$E293=1,$E293=4),AC293,AB293),
IF($D293="Pénétro.",
IF(OR($E293=3,$E293=1,$E293=4),AC293,AB293))),IF($D293="Pressio.",
IF($E293=3,AC293,AB293),
IF($D293="Pénétro.",
IF($E293=4,AC293,AB293))))</f>
        <v>#N/A</v>
      </c>
      <c r="AE293" s="31">
        <v>0</v>
      </c>
      <c r="AF293" s="102" t="e">
        <f>IF(NDC!$H$10="Oui",(VLOOKUP($B$3,'Coeff EC7'!$T$39:$X$59,2,0)*AD293+VLOOKUP($B$3,'Coeff EC7'!$T$65:$X$85,2,0)*Model0.1T!AE293)/1.5,PI()*AB$12*$Q293*($B293-$B292)*0.15/10+AF292)</f>
        <v>#N/A</v>
      </c>
      <c r="AG293" s="102" t="e">
        <f>(VLOOKUP($B$3,'Coeff EC7'!$T$39:$X$59,3,0)*AD293+VLOOKUP($B$3,'Coeff EC7'!$T$65:$X$85,3,0)*Model0.1T!AE293)/1.1</f>
        <v>#N/A</v>
      </c>
      <c r="AH293" s="102" t="e">
        <f t="shared" si="468"/>
        <v>#N/A</v>
      </c>
      <c r="AI293" s="102" t="e">
        <f t="shared" si="469"/>
        <v>#N/A</v>
      </c>
      <c r="AJ293" s="414" t="e">
        <f>IF(AND(AF293&gt;NDC!$C$63,AG293&gt;NDC!$C$65,AH293&gt;NDC!$D$73,AI293&gt;NDC!$D$74,$B293&gt;NDC!$H$22-0.1+MIN(3*$AJ$12,1.5)),0,1)</f>
        <v>#N/A</v>
      </c>
      <c r="AK293" s="86" t="b">
        <f t="shared" si="439"/>
        <v>0</v>
      </c>
      <c r="AL293" s="86">
        <f t="shared" si="470"/>
        <v>0.5</v>
      </c>
      <c r="AM293" s="86">
        <f t="shared" si="440"/>
        <v>0.5</v>
      </c>
      <c r="AN293" s="30" t="e">
        <f t="shared" ca="1" si="471"/>
        <v>#DIV/0!</v>
      </c>
      <c r="AO293" s="85" t="e">
        <f ca="1">IF(U293&lt;=Hypothèses!$V$7,Hypothèses!$W$7,IF(U293&lt;=Hypothèses!$V$8,Hypothèses!$W$8,IF(U293&lt;=Hypothèses!$V$9,Hypothèses!$W$9,IF(U293&lt;=Hypothèses!$V$10,Hypothèses!$W$10,IF(U293&lt;=Hypothèses!$V$11,Hypothèses!$W$11,IF(U293&lt;=Hypothèses!$V$12,Hypothèses!$W$12,IF(U293&lt;=Hypothèses!$V$13,Hypothèses!$W$13,IF(U293&lt;=Hypothèses!$V$14,Hypothèses!$W$14,IF(U293&lt;=Hypothèses!$V$15,Hypothèses!$W$15,IF(U293&lt;=Hypothèses!$V$16,Hypothèses!$W$16,IF(U293&lt;=Hypothèses!$V$17,Hypothèses!$W$17,IF(U293&lt;=Hypothèses!$V$18,Hypothèses!$W$18,""))))))))))))</f>
        <v>#DIV/0!</v>
      </c>
      <c r="AP293" s="87" t="e">
        <f t="shared" ca="1" si="517"/>
        <v>#DIV/0!</v>
      </c>
      <c r="AQ293" s="88" t="e">
        <f ca="1">IF(U293&lt;=Hypothèses!$V$7,Hypothèses!$X$7,IF(U293&lt;=Hypothèses!$V$8,Hypothèses!$X$8,IF(U293&lt;=Hypothèses!$V$9,Hypothèses!$X$9,IF(U293&lt;=Hypothèses!$V$10,Hypothèses!$X$10,IF(U293&lt;=Hypothèses!$V$11,Hypothèses!$X$11,IF(U293&lt;=Hypothèses!$V$12,Hypothèses!$X$12,IF(U293&lt;=Hypothèses!$V$13,Hypothèses!$X$13,IF(U293&lt;=Hypothèses!$V$14,Hypothèses!$X$14,IF(U293&lt;=Hypothèses!$V$15,Hypothèses!$X$15,IF(U293&lt;=Hypothèses!$V$16,Hypothèses!$X$16,IF(U293&lt;=Hypothèses!$U$17,Hypothèses!$W$17,IF(U293&lt;=Hypothèses!$U$18,Hypothèses!$W$18,""))))))))))))</f>
        <v>#DIV/0!</v>
      </c>
      <c r="AR293" s="95" t="e">
        <f t="shared" ca="1" si="472"/>
        <v>#DIV/0!</v>
      </c>
      <c r="AS293" s="101">
        <f t="shared" si="524"/>
        <v>0</v>
      </c>
      <c r="AT293" s="91">
        <f t="shared" si="441"/>
        <v>0</v>
      </c>
      <c r="AU293" s="30" t="e">
        <f t="shared" si="502"/>
        <v>#N/A</v>
      </c>
      <c r="AV293" s="30" t="e">
        <f t="shared" si="503"/>
        <v>#N/A</v>
      </c>
      <c r="AW293" s="31" t="e">
        <f>IF(OR(Hypothèses!$B$4=17,Hypothèses!$B$4=18,Hypothèses!$B$4=19,Hypothèses!$B$4=20),
IF($D293="Pressio.",
IF(OR($E293=3,$E293=1,$E293=4),AV293,AU293),
IF($D293="Pénétro.",
IF(OR($E293=3,$E293=1,$E293=4),AV293,AU293))),IF($D293="Pressio.",
IF($E293=3,AV293,AU293),
IF($D293="Pénétro.",
IF($E293=4,AV293,AU293))))</f>
        <v>#N/A</v>
      </c>
      <c r="AX293" s="31">
        <v>0</v>
      </c>
      <c r="AY293" s="102" t="e">
        <f>IF(NDC!$H$10="Oui",(VLOOKUP($B$3,'Coeff EC7'!$T$39:$X$59,2,0)*AW293+VLOOKUP($B$3,'Coeff EC7'!$T$65:$X$85,2,0)*Model0.1T!AX293)/1.5,PI()*AU$12*$Q293*($B293-$B292)*0.15/10+AY292)</f>
        <v>#N/A</v>
      </c>
      <c r="AZ293" s="102" t="e">
        <f>(VLOOKUP($B$3,'Coeff EC7'!$T$39:$X$59,3,0)*AW293+VLOOKUP($B$3,'Coeff EC7'!$T$65:$X$85,3,0)*Model0.1T!AX293)/1.1</f>
        <v>#N/A</v>
      </c>
      <c r="BA293" s="102" t="e">
        <f t="shared" si="473"/>
        <v>#N/A</v>
      </c>
      <c r="BB293" s="102" t="e">
        <f t="shared" si="474"/>
        <v>#N/A</v>
      </c>
      <c r="BC293" s="414" t="e">
        <f>IF(AND(AY293&gt;NDC!$C$63,AZ293&gt;NDC!$C$65,BA293&gt;NDC!$D$73,BB293&gt;NDC!$D$74,$B293&gt;NDC!$H$22-0.1+MIN(3*BC$12,1.5)),0,1)</f>
        <v>#N/A</v>
      </c>
      <c r="BD293" s="86" t="b">
        <f t="shared" si="442"/>
        <v>0</v>
      </c>
      <c r="BE293" s="86">
        <f t="shared" si="475"/>
        <v>0.5</v>
      </c>
      <c r="BF293" s="86">
        <f t="shared" si="443"/>
        <v>0.5</v>
      </c>
      <c r="BG293" s="30" t="e">
        <f t="shared" ca="1" si="476"/>
        <v>#DIV/0!</v>
      </c>
      <c r="BH293" s="85" t="e">
        <f ca="1">IF(AN293&lt;=Hypothèses!$V$7,Hypothèses!$W$7,IF(AN293&lt;=Hypothèses!$V$8,Hypothèses!$W$8,IF(AN293&lt;=Hypothèses!$V$9,Hypothèses!$W$9,IF(AN293&lt;=Hypothèses!$V$10,Hypothèses!$W$10,IF(AN293&lt;=Hypothèses!$V$11,Hypothèses!$W$11,IF(AN293&lt;=Hypothèses!$V$12,Hypothèses!$W$12,IF(AN293&lt;=Hypothèses!$V$13,Hypothèses!$W$13,IF(AN293&lt;=Hypothèses!$V$14,Hypothèses!$W$14,IF(AN293&lt;=Hypothèses!$V$15,Hypothèses!$W$15,IF(AN293&lt;=Hypothèses!$V$16,Hypothèses!$W$16,IF(AN293&lt;=Hypothèses!$V$17,Hypothèses!$W$17,IF(AN293&lt;=Hypothèses!$V$18,Hypothèses!$W$18,""))))))))))))</f>
        <v>#DIV/0!</v>
      </c>
      <c r="BI293" s="87" t="e">
        <f t="shared" ca="1" si="518"/>
        <v>#DIV/0!</v>
      </c>
      <c r="BJ293" s="88" t="e">
        <f ca="1">IF(AN293&lt;=Hypothèses!$V$7,Hypothèses!$X$7,IF(AN293&lt;=Hypothèses!$V$8,Hypothèses!$X$8,IF(AN293&lt;=Hypothèses!$V$9,Hypothèses!$X$9,IF(AN293&lt;=Hypothèses!$V$10,Hypothèses!$X$10,IF(AN293&lt;=Hypothèses!$V$11,Hypothèses!$X$11,IF(AN293&lt;=Hypothèses!$V$12,Hypothèses!$X$12,IF(AN293&lt;=Hypothèses!$V$13,Hypothèses!$X$13,IF(AN293&lt;=Hypothèses!$V$14,Hypothèses!$X$14,IF(AN293&lt;=Hypothèses!$V$15,Hypothèses!$X$15,IF(AN293&lt;=Hypothèses!$V$16,Hypothèses!$X$16,IF(AN293&lt;=Hypothèses!$U$17,Hypothèses!$W$17,IF(AN293&lt;=Hypothèses!$U$18,Hypothèses!$W$18,""))))))))))))</f>
        <v>#DIV/0!</v>
      </c>
      <c r="BK293" s="95" t="e">
        <f t="shared" ca="1" si="477"/>
        <v>#DIV/0!</v>
      </c>
      <c r="BL293" s="101">
        <f t="shared" si="525"/>
        <v>0</v>
      </c>
      <c r="BM293" s="91">
        <f t="shared" si="444"/>
        <v>0</v>
      </c>
      <c r="BN293" s="30" t="e">
        <f t="shared" si="504"/>
        <v>#N/A</v>
      </c>
      <c r="BO293" s="30" t="e">
        <f t="shared" si="505"/>
        <v>#N/A</v>
      </c>
      <c r="BP293" s="31" t="e">
        <f>IF(OR(Hypothèses!$B$4=17,Hypothèses!$B$4=18,Hypothèses!$B$4=19,Hypothèses!$B$4=20),
IF($D293="Pressio.",
IF(OR($E293=3,$E293=1,$E293=4),BO293,BN293),
IF($D293="Pénétro.",
IF(OR($E293=3,$E293=1,$E293=4),BO293,BN293))),IF($D293="Pressio.",
IF($E293=3,BO293,BN293),
IF($D293="Pénétro.",
IF($E293=4,BO293,BN293))))</f>
        <v>#N/A</v>
      </c>
      <c r="BQ293" s="31">
        <v>0</v>
      </c>
      <c r="BR293" s="102" t="e">
        <f>IF(NDC!$H$10="Oui",(VLOOKUP($B$3,'Coeff EC7'!$T$39:$X$59,2,0)*BP293+VLOOKUP($B$3,'Coeff EC7'!$T$65:$X$85,2,0)*Model0.1T!BQ293)/1.5,PI()*BN$12*$Q293*($B293-$B292)*0.15/10+BR292)</f>
        <v>#N/A</v>
      </c>
      <c r="BS293" s="102" t="e">
        <f>(VLOOKUP($B$3,'Coeff EC7'!$T$39:$X$59,3,0)*BP293+VLOOKUP($B$3,'Coeff EC7'!$T$65:$X$85,3,0)*Model0.1T!BQ293)/1.1</f>
        <v>#N/A</v>
      </c>
      <c r="BT293" s="102" t="e">
        <f t="shared" si="478"/>
        <v>#N/A</v>
      </c>
      <c r="BU293" s="102" t="e">
        <f t="shared" si="479"/>
        <v>#N/A</v>
      </c>
      <c r="BV293" s="414" t="e">
        <f>IF(AND(BR293&gt;NDC!$C$63,BS293&gt;NDC!$C$65,BT293&gt;NDC!$D$73,BU293&gt;NDC!$D$74,$B293&gt;NDC!$H$22-0.1+MIN(3*BV$12,1.5)),0,1)</f>
        <v>#N/A</v>
      </c>
      <c r="BW293" s="86" t="b">
        <f t="shared" si="445"/>
        <v>0</v>
      </c>
      <c r="BX293" s="86">
        <f t="shared" si="446"/>
        <v>0.5</v>
      </c>
      <c r="BY293" s="86">
        <f t="shared" si="447"/>
        <v>0.5</v>
      </c>
      <c r="BZ293" s="30" t="e">
        <f t="shared" ca="1" si="480"/>
        <v>#DIV/0!</v>
      </c>
      <c r="CA293" s="85" t="e">
        <f ca="1">IF(BG293&lt;=Hypothèses!$V$7,Hypothèses!$W$7,IF(BG293&lt;=Hypothèses!$V$8,Hypothèses!$W$8,IF(BG293&lt;=Hypothèses!$V$9,Hypothèses!$W$9,IF(BG293&lt;=Hypothèses!$V$10,Hypothèses!$W$10,IF(BG293&lt;=Hypothèses!$V$11,Hypothèses!$W$11,IF(BG293&lt;=Hypothèses!$V$12,Hypothèses!$W$12,IF(BG293&lt;=Hypothèses!$V$13,Hypothèses!$W$13,IF(BG293&lt;=Hypothèses!$V$14,Hypothèses!$W$14,IF(BG293&lt;=Hypothèses!$V$15,Hypothèses!$W$15,IF(BG293&lt;=Hypothèses!$V$16,Hypothèses!$W$16,IF(BG293&lt;=Hypothèses!$V$17,Hypothèses!$W$17,IF(BG293&lt;=Hypothèses!$V$18,Hypothèses!$W$18,""))))))))))))</f>
        <v>#DIV/0!</v>
      </c>
      <c r="CB293" s="87" t="e">
        <f t="shared" ca="1" si="519"/>
        <v>#DIV/0!</v>
      </c>
      <c r="CC293" s="88" t="e">
        <f ca="1">IF(BG293&lt;=Hypothèses!$V$7,Hypothèses!$X$7,IF(BG293&lt;=Hypothèses!$V$8,Hypothèses!$X$8,IF(BG293&lt;=Hypothèses!$V$9,Hypothèses!$X$9,IF(BG293&lt;=Hypothèses!$V$10,Hypothèses!$X$10,IF(BG293&lt;=Hypothèses!$V$11,Hypothèses!$X$11,IF(BG293&lt;=Hypothèses!$V$12,Hypothèses!$X$12,IF(BG293&lt;=Hypothèses!$V$13,Hypothèses!$X$13,IF(BG293&lt;=Hypothèses!$V$14,Hypothèses!$X$14,IF(BG293&lt;=Hypothèses!$V$15,Hypothèses!$X$15,IF(BG293&lt;=Hypothèses!$V$16,Hypothèses!$X$16,IF(BG293&lt;=Hypothèses!$U$17,Hypothèses!$W$17,IF(BG293&lt;=Hypothèses!$U$18,Hypothèses!$W$18,""))))))))))))</f>
        <v>#DIV/0!</v>
      </c>
      <c r="CD293" s="95" t="e">
        <f t="shared" ca="1" si="481"/>
        <v>#DIV/0!</v>
      </c>
      <c r="CE293" s="101">
        <f t="shared" si="526"/>
        <v>0</v>
      </c>
      <c r="CF293" s="91">
        <f t="shared" si="448"/>
        <v>0</v>
      </c>
      <c r="CG293" s="30" t="e">
        <f t="shared" si="506"/>
        <v>#N/A</v>
      </c>
      <c r="CH293" s="30" t="e">
        <f t="shared" si="507"/>
        <v>#N/A</v>
      </c>
      <c r="CI293" s="31" t="e">
        <f>IF(OR(Hypothèses!$B$4=17,Hypothèses!$B$4=18,Hypothèses!$B$4=19,Hypothèses!$B$4=20),
IF($D293="Pressio.",
IF(OR($E293=3,$E293=1,$E293=4),CH293,CG293),
IF($D293="Pénétro.",
IF(OR($E293=3,$E293=1,$E293=4),CH293,CG293))),IF($D293="Pressio.",
IF($E293=3,CH293,CG293),
IF($D293="Pénétro.",
IF($E293=4,CH293,CG293))))</f>
        <v>#N/A</v>
      </c>
      <c r="CJ293" s="31">
        <v>0</v>
      </c>
      <c r="CK293" s="102" t="e">
        <f>IF(NDC!$H$10="Oui",(VLOOKUP($B$3,'Coeff EC7'!$T$39:$X$59,2,0)*CI293+VLOOKUP($B$3,'Coeff EC7'!$T$65:$X$85,2,0)*Model0.1T!CJ293)/1.5,PI()*CG$12*$Q293*($B293-$B292)*0.15/10+CK292)</f>
        <v>#N/A</v>
      </c>
      <c r="CL293" s="102" t="e">
        <f>(VLOOKUP($B$3,'Coeff EC7'!$T$39:$X$59,3,0)*CI293+VLOOKUP($B$3,'Coeff EC7'!$T$65:$X$85,3,0)*Model0.1T!CJ293)/1.1</f>
        <v>#N/A</v>
      </c>
      <c r="CM293" s="102" t="e">
        <f t="shared" si="482"/>
        <v>#N/A</v>
      </c>
      <c r="CN293" s="102" t="e">
        <f t="shared" si="483"/>
        <v>#N/A</v>
      </c>
      <c r="CO293" s="414" t="e">
        <f>IF(AND(CK293&gt;NDC!$C$63,CL293&gt;NDC!$C$65,CM293&gt;NDC!$D$73,CN293&gt;NDC!$D$74,$B293&gt;NDC!$H$22-0.1+MIN(3*CO$12,1.5)),0,1)</f>
        <v>#N/A</v>
      </c>
      <c r="CP293" s="86" t="b">
        <f t="shared" si="449"/>
        <v>0</v>
      </c>
      <c r="CQ293" s="86">
        <f t="shared" si="450"/>
        <v>0.5</v>
      </c>
      <c r="CR293" s="86">
        <f t="shared" si="451"/>
        <v>0.5</v>
      </c>
      <c r="CS293" s="30" t="e">
        <f t="shared" ca="1" si="484"/>
        <v>#DIV/0!</v>
      </c>
      <c r="CT293" s="85" t="e">
        <f ca="1">IF(BZ293&lt;=Hypothèses!$V$7,Hypothèses!$W$7,IF(BZ293&lt;=Hypothèses!$V$8,Hypothèses!$W$8,IF(BZ293&lt;=Hypothèses!$V$9,Hypothèses!$W$9,IF(BZ293&lt;=Hypothèses!$V$10,Hypothèses!$W$10,IF(BZ293&lt;=Hypothèses!$V$11,Hypothèses!$W$11,IF(BZ293&lt;=Hypothèses!$V$12,Hypothèses!$W$12,IF(BZ293&lt;=Hypothèses!$V$13,Hypothèses!$W$13,IF(BZ293&lt;=Hypothèses!$V$14,Hypothèses!$W$14,IF(BZ293&lt;=Hypothèses!$V$15,Hypothèses!$W$15,IF(BZ293&lt;=Hypothèses!$V$16,Hypothèses!$W$16,IF(BZ293&lt;=Hypothèses!$V$17,Hypothèses!$W$17,IF(BZ293&lt;=Hypothèses!$V$18,Hypothèses!$W$18,""))))))))))))</f>
        <v>#DIV/0!</v>
      </c>
      <c r="CU293" s="87" t="e">
        <f t="shared" ca="1" si="520"/>
        <v>#DIV/0!</v>
      </c>
      <c r="CV293" s="88" t="e">
        <f ca="1">IF(BZ293&lt;=Hypothèses!$V$7,Hypothèses!$X$7,IF(BZ293&lt;=Hypothèses!$V$8,Hypothèses!$X$8,IF(BZ293&lt;=Hypothèses!$V$9,Hypothèses!$X$9,IF(BZ293&lt;=Hypothèses!$V$10,Hypothèses!$X$10,IF(BZ293&lt;=Hypothèses!$V$11,Hypothèses!$X$11,IF(BZ293&lt;=Hypothèses!$V$12,Hypothèses!$X$12,IF(BZ293&lt;=Hypothèses!$V$13,Hypothèses!$X$13,IF(BZ293&lt;=Hypothèses!$V$14,Hypothèses!$X$14,IF(BZ293&lt;=Hypothèses!$V$15,Hypothèses!$X$15,IF(BZ293&lt;=Hypothèses!$V$16,Hypothèses!$X$16,IF(BZ293&lt;=Hypothèses!$U$17,Hypothèses!$W$17,IF(BZ293&lt;=Hypothèses!$U$18,Hypothèses!$W$18,""))))))))))))</f>
        <v>#DIV/0!</v>
      </c>
      <c r="CW293" s="95" t="e">
        <f t="shared" ca="1" si="485"/>
        <v>#DIV/0!</v>
      </c>
      <c r="CX293" s="101">
        <f t="shared" si="527"/>
        <v>0</v>
      </c>
      <c r="CY293" s="91">
        <f t="shared" si="452"/>
        <v>0</v>
      </c>
      <c r="CZ293" s="30" t="e">
        <f t="shared" si="508"/>
        <v>#N/A</v>
      </c>
      <c r="DA293" s="30" t="e">
        <f t="shared" si="509"/>
        <v>#N/A</v>
      </c>
      <c r="DB293" s="31" t="e">
        <f>IF(OR(Hypothèses!$B$4=17,Hypothèses!$B$4=18,Hypothèses!$B$4=19,Hypothèses!$B$4=20),
IF($D293="Pressio.",
IF(OR($E293=3,$E293=1,$E293=4),DA293,CZ293),
IF($D293="Pénétro.",
IF(OR($E293=3,$E293=1,$E293=4),DA293,CZ293))),IF($D293="Pressio.",
IF($E293=3,DA293,CZ293),
IF($D293="Pénétro.",
IF($E293=4,DA293,CZ293))))</f>
        <v>#N/A</v>
      </c>
      <c r="DC293" s="31">
        <v>0</v>
      </c>
      <c r="DD293" s="102" t="e">
        <f>IF(NDC!$H$10="Oui",(VLOOKUP($B$3,'Coeff EC7'!$T$39:$X$59,2,0)*DB293+VLOOKUP($B$3,'Coeff EC7'!$T$65:$X$85,2,0)*Model0.1T!DC293)/1.5,PI()*CZ$12*$Q293*($B293-$B292)*0.15/10+DD292)</f>
        <v>#N/A</v>
      </c>
      <c r="DE293" s="102" t="e">
        <f>(VLOOKUP($B$3,'Coeff EC7'!$T$39:$X$59,3,0)*DB293+VLOOKUP($B$3,'Coeff EC7'!$T$65:$X$85,3,0)*Model0.1T!DC293)/1.1</f>
        <v>#N/A</v>
      </c>
      <c r="DF293" s="102" t="e">
        <f t="shared" si="486"/>
        <v>#N/A</v>
      </c>
      <c r="DG293" s="102" t="e">
        <f t="shared" si="487"/>
        <v>#N/A</v>
      </c>
      <c r="DH293" s="414" t="e">
        <f>IF(AND(DD293&gt;NDC!$C$63,DE293&gt;NDC!$C$65,DF293&gt;NDC!$D$73,DG293&gt;NDC!$D$74,$B293&gt;NDC!$H$22-0.1+MIN(3*DH$12,1.5)),0,1)</f>
        <v>#N/A</v>
      </c>
      <c r="DI293" s="86" t="b">
        <f t="shared" si="453"/>
        <v>0</v>
      </c>
      <c r="DJ293" s="86">
        <f t="shared" si="454"/>
        <v>0.5</v>
      </c>
      <c r="DK293" s="86">
        <f t="shared" si="455"/>
        <v>0.5</v>
      </c>
      <c r="DL293" s="30" t="e">
        <f t="shared" ca="1" si="488"/>
        <v>#DIV/0!</v>
      </c>
      <c r="DM293" s="85" t="e">
        <f ca="1">IF(CS293&lt;=Hypothèses!$V$7,Hypothèses!$W$7,IF(CS293&lt;=Hypothèses!$V$8,Hypothèses!$W$8,IF(CS293&lt;=Hypothèses!$V$9,Hypothèses!$W$9,IF(CS293&lt;=Hypothèses!$V$10,Hypothèses!$W$10,IF(CS293&lt;=Hypothèses!$V$11,Hypothèses!$W$11,IF(CS293&lt;=Hypothèses!$V$12,Hypothèses!$W$12,IF(CS293&lt;=Hypothèses!$V$13,Hypothèses!$W$13,IF(CS293&lt;=Hypothèses!$V$14,Hypothèses!$W$14,IF(CS293&lt;=Hypothèses!$V$15,Hypothèses!$W$15,IF(CS293&lt;=Hypothèses!$V$16,Hypothèses!$W$16,IF(CS293&lt;=Hypothèses!$V$17,Hypothèses!$W$17,IF(CS293&lt;=Hypothèses!$V$18,Hypothèses!$W$18,""))))))))))))</f>
        <v>#DIV/0!</v>
      </c>
      <c r="DN293" s="87" t="e">
        <f t="shared" ca="1" si="521"/>
        <v>#DIV/0!</v>
      </c>
      <c r="DO293" s="88" t="e">
        <f ca="1">IF(CS293&lt;=Hypothèses!$V$7,Hypothèses!$X$7,IF(CS293&lt;=Hypothèses!$V$8,Hypothèses!$X$8,IF(CS293&lt;=Hypothèses!$V$9,Hypothèses!$X$9,IF(CS293&lt;=Hypothèses!$V$10,Hypothèses!$X$10,IF(CS293&lt;=Hypothèses!$V$11,Hypothèses!$X$11,IF(CS293&lt;=Hypothèses!$V$12,Hypothèses!$X$12,IF(CS293&lt;=Hypothèses!$V$13,Hypothèses!$X$13,IF(CS293&lt;=Hypothèses!$V$14,Hypothèses!$X$14,IF(CS293&lt;=Hypothèses!$V$15,Hypothèses!$X$15,IF(CS293&lt;=Hypothèses!$V$16,Hypothèses!$X$16,IF(CS293&lt;=Hypothèses!$U$17,Hypothèses!$W$17,IF(CS293&lt;=Hypothèses!$U$18,Hypothèses!$W$18,""))))))))))))</f>
        <v>#DIV/0!</v>
      </c>
      <c r="DP293" s="95" t="e">
        <f t="shared" ca="1" si="489"/>
        <v>#DIV/0!</v>
      </c>
      <c r="DQ293" s="101">
        <f t="shared" si="528"/>
        <v>0</v>
      </c>
      <c r="DR293" s="91">
        <f t="shared" si="456"/>
        <v>0</v>
      </c>
      <c r="DS293" s="30" t="e">
        <f t="shared" si="510"/>
        <v>#N/A</v>
      </c>
      <c r="DT293" s="30" t="e">
        <f t="shared" si="511"/>
        <v>#N/A</v>
      </c>
      <c r="DU293" s="31" t="e">
        <f>IF(OR(Hypothèses!$B$4=17,Hypothèses!$B$4=18,Hypothèses!$B$4=19,Hypothèses!$B$4=20),
IF($D293="Pressio.",
IF(OR($E293=3,$E293=1,$E293=4),DT293,DS293),
IF($D293="Pénétro.",
IF(OR($E293=3,$E293=1,$E293=4),DT293,DS293))),IF($D293="Pressio.",
IF($E293=3,DT293,DS293),
IF($D293="Pénétro.",
IF($E293=4,DT293,DS293))))</f>
        <v>#N/A</v>
      </c>
      <c r="DV293" s="31">
        <v>0</v>
      </c>
      <c r="DW293" s="102" t="e">
        <f>IF(NDC!$H$10="Oui",(VLOOKUP($B$3,'Coeff EC7'!$T$39:$X$59,2,0)*DU293+VLOOKUP($B$3,'Coeff EC7'!$T$65:$X$85,2,0)*Model0.1T!DV293)/1.5,PI()*DS$12*$Q293*($B293-$B292)*0.15/10+DW292)</f>
        <v>#N/A</v>
      </c>
      <c r="DX293" s="102" t="e">
        <f>(VLOOKUP($B$3,'Coeff EC7'!$T$39:$X$59,3,0)*DU293+VLOOKUP($B$3,'Coeff EC7'!$T$65:$X$85,3,0)*Model0.1T!DV293)/1.1</f>
        <v>#N/A</v>
      </c>
      <c r="DY293" s="102" t="e">
        <f t="shared" si="490"/>
        <v>#N/A</v>
      </c>
      <c r="DZ293" s="102" t="e">
        <f t="shared" si="491"/>
        <v>#N/A</v>
      </c>
      <c r="EA293" s="414" t="e">
        <f>IF(AND(DW293&gt;NDC!$C$63,DX293&gt;NDC!$C$65,DY293&gt;NDC!$D$73,DZ293&gt;NDC!$D$74,$B293&gt;NDC!$H$22-0.1+MIN(3*EA$12,1.5)),0,1)</f>
        <v>#N/A</v>
      </c>
      <c r="EB293" s="86" t="b">
        <f t="shared" si="457"/>
        <v>0</v>
      </c>
      <c r="EC293" s="418">
        <f t="shared" si="458"/>
        <v>0.51</v>
      </c>
      <c r="ED293" s="86">
        <f t="shared" si="459"/>
        <v>0.51</v>
      </c>
      <c r="EE293" s="30" t="e">
        <f t="shared" ca="1" si="492"/>
        <v>#DIV/0!</v>
      </c>
      <c r="EF293" s="85" t="e">
        <f ca="1">IF(DL293&lt;=Hypothèses!$V$7,Hypothèses!$W$7,IF(DL293&lt;=Hypothèses!$V$8,Hypothèses!$W$8,IF(DL293&lt;=Hypothèses!$V$9,Hypothèses!$W$9,IF(DL293&lt;=Hypothèses!$V$10,Hypothèses!$W$10,IF(DL293&lt;=Hypothèses!$V$11,Hypothèses!$W$11,IF(DL293&lt;=Hypothèses!$V$12,Hypothèses!$W$12,IF(DL293&lt;=Hypothèses!$V$13,Hypothèses!$W$13,IF(DL293&lt;=Hypothèses!$V$14,Hypothèses!$W$14,IF(DL293&lt;=Hypothèses!$V$15,Hypothèses!$W$15,IF(DL293&lt;=Hypothèses!$V$16,Hypothèses!$W$16,IF(DL293&lt;=Hypothèses!$V$17,Hypothèses!$W$17,IF(DL293&lt;=Hypothèses!$V$18,Hypothèses!$W$18,""))))))))))))</f>
        <v>#DIV/0!</v>
      </c>
      <c r="EG293" s="87" t="e">
        <f t="shared" ca="1" si="522"/>
        <v>#DIV/0!</v>
      </c>
      <c r="EH293" s="88" t="e">
        <f ca="1">IF(DL293&lt;=Hypothèses!$V$7,Hypothèses!$X$7,IF(DL293&lt;=Hypothèses!$V$8,Hypothèses!$X$8,IF(DL293&lt;=Hypothèses!$V$9,Hypothèses!$X$9,IF(DL293&lt;=Hypothèses!$V$10,Hypothèses!$X$10,IF(DL293&lt;=Hypothèses!$V$11,Hypothèses!$X$11,IF(DL293&lt;=Hypothèses!$V$12,Hypothèses!$X$12,IF(DL293&lt;=Hypothèses!$V$13,Hypothèses!$X$13,IF(DL293&lt;=Hypothèses!$V$14,Hypothèses!$X$14,IF(DL293&lt;=Hypothèses!$V$15,Hypothèses!$X$15,IF(DL293&lt;=Hypothèses!$V$16,Hypothèses!$X$16,IF(DL293&lt;=Hypothèses!$U$17,Hypothèses!$W$17,IF(DL293&lt;=Hypothèses!$U$18,Hypothèses!$W$18,""))))))))))))</f>
        <v>#DIV/0!</v>
      </c>
      <c r="EI293" s="95" t="e">
        <f t="shared" ca="1" si="493"/>
        <v>#DIV/0!</v>
      </c>
      <c r="EJ293" s="101">
        <f t="shared" si="529"/>
        <v>0</v>
      </c>
      <c r="EK293" s="91">
        <f t="shared" si="460"/>
        <v>0</v>
      </c>
      <c r="EL293" s="30" t="e">
        <f t="shared" si="512"/>
        <v>#N/A</v>
      </c>
      <c r="EM293" s="30" t="e">
        <f t="shared" si="513"/>
        <v>#N/A</v>
      </c>
      <c r="EN293" s="31" t="e">
        <f>IF(OR(Hypothèses!$B$4=17,Hypothèses!$B$4=18,Hypothèses!$B$4=19,Hypothèses!$B$4=20),
IF($D293="Pressio.",
IF(OR($E293=3,$E293=1,$E293=4),EM293,EL293),
IF($D293="Pénétro.",
IF(OR($E293=3,$E293=1,$E293=4),EM293,EL293))),IF($D293="Pressio.",
IF($E293=3,EM293,EL293),
IF($D293="Pénétro.",
IF($E293=4,EM293,EL293))))</f>
        <v>#N/A</v>
      </c>
      <c r="EO293" s="31">
        <v>0</v>
      </c>
      <c r="EP293" s="102" t="e">
        <f>IF(NDC!$H$10="Oui",(VLOOKUP($B$3,'Coeff EC7'!$T$39:$X$59,2,0)*EN293+VLOOKUP($B$3,'Coeff EC7'!$T$65:$X$85,2,0)*Model0.1T!EO293)/1.5,PI()*EL$12*$Q293*($B293-$B292)*0.15/10+EP292)</f>
        <v>#N/A</v>
      </c>
      <c r="EQ293" s="102" t="e">
        <f>(VLOOKUP($B$3,'Coeff EC7'!$T$39:$X$59,3,0)*EN293+VLOOKUP($B$3,'Coeff EC7'!$T$65:$X$85,3,0)*Model0.1T!EO293)/1.1</f>
        <v>#N/A</v>
      </c>
      <c r="ER293" s="102" t="e">
        <f t="shared" si="494"/>
        <v>#N/A</v>
      </c>
      <c r="ES293" s="102" t="e">
        <f t="shared" si="495"/>
        <v>#N/A</v>
      </c>
      <c r="ET293" s="414" t="e">
        <f>IF(AND(EP293&gt;NDC!$C$63,EQ293&gt;NDC!$C$65,ER293&gt;NDC!$D$73,ES293&gt;NDC!$D$74,$B293&gt;NDC!$H$22-0.1+MIN(3*ET$12,1.5)),0,1)</f>
        <v>#N/A</v>
      </c>
      <c r="EU293" s="86" t="b">
        <f t="shared" si="461"/>
        <v>0</v>
      </c>
      <c r="EV293" s="86">
        <f t="shared" si="462"/>
        <v>0.61</v>
      </c>
      <c r="EW293" s="86">
        <f t="shared" si="463"/>
        <v>0.61</v>
      </c>
      <c r="EX293" s="30" t="e">
        <f t="shared" ca="1" si="496"/>
        <v>#DIV/0!</v>
      </c>
      <c r="EY293" s="85" t="e">
        <f ca="1">IF(EE293&lt;=Hypothèses!$V$7,Hypothèses!$W$7,IF(EE293&lt;=Hypothèses!$V$8,Hypothèses!$W$8,IF(EE293&lt;=Hypothèses!$V$9,Hypothèses!$W$9,IF(EE293&lt;=Hypothèses!$V$10,Hypothèses!$W$10,IF(EE293&lt;=Hypothèses!$V$11,Hypothèses!$W$11,IF(EE293&lt;=Hypothèses!$V$12,Hypothèses!$W$12,IF(EE293&lt;=Hypothèses!$V$13,Hypothèses!$W$13,IF(EE293&lt;=Hypothèses!$V$14,Hypothèses!$W$14,IF(EE293&lt;=Hypothèses!$V$15,Hypothèses!$W$15,IF(EE293&lt;=Hypothèses!$V$16,Hypothèses!$W$16,IF(EE293&lt;=Hypothèses!$V$17,Hypothèses!$W$17,IF(EE293&lt;=Hypothèses!$V$18,Hypothèses!$W$18,""))))))))))))</f>
        <v>#DIV/0!</v>
      </c>
      <c r="EZ293" s="87" t="e">
        <f t="shared" ca="1" si="523"/>
        <v>#DIV/0!</v>
      </c>
      <c r="FA293" s="88" t="e">
        <f ca="1">IF(EE293&lt;=Hypothèses!$V$7,Hypothèses!$X$7,IF(EE293&lt;=Hypothèses!$V$8,Hypothèses!$X$8,IF(EE293&lt;=Hypothèses!$V$9,Hypothèses!$X$9,IF(EE293&lt;=Hypothèses!$V$10,Hypothèses!$X$10,IF(EE293&lt;=Hypothèses!$V$11,Hypothèses!$X$11,IF(EE293&lt;=Hypothèses!$V$12,Hypothèses!$X$12,IF(EE293&lt;=Hypothèses!$V$13,Hypothèses!$X$13,IF(EE293&lt;=Hypothèses!$V$14,Hypothèses!$X$14,IF(EE293&lt;=Hypothèses!$V$15,Hypothèses!$X$15,IF(EE293&lt;=Hypothèses!$V$16,Hypothèses!$X$16,IF(EE293&lt;=Hypothèses!$U$17,Hypothèses!$W$17,IF(EE293&lt;=Hypothèses!$U$18,Hypothèses!$W$18,""))))))))))))</f>
        <v>#DIV/0!</v>
      </c>
      <c r="FB293" s="95" t="e">
        <f t="shared" ca="1" si="497"/>
        <v>#DIV/0!</v>
      </c>
      <c r="FC293" s="101">
        <f t="shared" si="530"/>
        <v>0</v>
      </c>
      <c r="FD293" s="91">
        <f t="shared" si="464"/>
        <v>0</v>
      </c>
      <c r="FE293" s="30" t="e">
        <f t="shared" si="514"/>
        <v>#N/A</v>
      </c>
      <c r="FF293" s="30" t="e">
        <f t="shared" si="515"/>
        <v>#N/A</v>
      </c>
      <c r="FG293" s="31" t="e">
        <f>IF(OR(Hypothèses!$B$4=17,Hypothèses!$B$4=18,Hypothèses!$B$4=19,Hypothèses!$B$4=20),
IF($D293="Pressio.",
IF(OR($E293=3,$E293=1,$E293=4),FF293,FE293),
IF($D293="Pénétro.",
IF(OR($E293=3,$E293=1,$E293=4),FF293,FE293))),IF($D293="Pressio.",
IF($E293=3,FF293,FE293),
IF($D293="Pénétro.",
IF($E293=4,FF293,FE293))))</f>
        <v>#N/A</v>
      </c>
      <c r="FH293" s="31">
        <v>0</v>
      </c>
      <c r="FI293" s="102" t="e">
        <f>IF(NDC!$H$10="Oui",(VLOOKUP($B$3,'Coeff EC7'!$T$39:$X$59,2,0)*FG293+VLOOKUP($B$3,'Coeff EC7'!$T$65:$X$85,2,0)*Model0.1T!FH293)/1.5,PI()*FE$12*$Q293*($B293-$B292)*0.15/10+FI292)</f>
        <v>#N/A</v>
      </c>
      <c r="FJ293" s="102" t="e">
        <f>(VLOOKUP($B$3,'Coeff EC7'!$T$39:$X$59,3,0)*FG293+VLOOKUP($B$3,'Coeff EC7'!$T$65:$X$85,3,0)*Model0.1T!FH293)/1.1</f>
        <v>#N/A</v>
      </c>
      <c r="FK293" s="102" t="e">
        <f t="shared" si="498"/>
        <v>#N/A</v>
      </c>
      <c r="FL293" s="102" t="e">
        <f t="shared" si="499"/>
        <v>#N/A</v>
      </c>
      <c r="FM293" s="414" t="e">
        <f>IF(AND(FI293&gt;NDC!$C$63,FJ293&gt;NDC!$C$65,FK293&gt;NDC!$D$73,FL293&gt;NDC!$D$74,$B293&gt;NDC!$H$22-0.1+MIN(3*FM$12,1.5)),0,1)</f>
        <v>#N/A</v>
      </c>
    </row>
    <row r="294" spans="1:169">
      <c r="A294" s="96">
        <f t="shared" si="465"/>
        <v>71.900000000001597</v>
      </c>
      <c r="B294" s="97">
        <v>28.1</v>
      </c>
      <c r="C294" s="81">
        <f>IF(B294&lt;=Hypothèses!$C$7,Hypothèses!$A$7,IF(B294&lt;=Hypothèses!$C$8,Hypothèses!$A$8,IF(B294&lt;=Hypothèses!$C$9,Hypothèses!$A$9,IF(B294&lt;=Hypothèses!$C$10,Hypothèses!$A$10,IF(B294&lt;=Hypothèses!$C$11,Hypothèses!$A$11,IF(B294&lt;=Hypothèses!$C$12,Hypothèses!$A$12,IF(B294&lt;=Hypothèses!$C$13,Hypothèses!$A$13,IF(B294&lt;=Hypothèses!$C$14,Hypothèses!$A$14,IF(B294&lt;=Hypothèses!$C$15,Hypothèses!$A$15,IF(B294&lt;=Hypothèses!$C$16,Hypothèses!$A$16,IF(B294&lt;=Hypothèses!$C$17,Hypothèses!$A$17,IF(B294&lt;=Hypothèses!$C$18,Hypothèses!$A$18,C293))))))))))))</f>
        <v>11</v>
      </c>
      <c r="D294" s="82" t="str">
        <f>IF(B294&lt;=Hypothèses!$C$7,Hypothèses!$R$7,IF(B294&lt;=Hypothèses!$C$8,Hypothèses!$R$8,IF(B294&lt;=Hypothèses!$C$9,Hypothèses!$R$9,IF(B294&lt;=Hypothèses!$C$10,Hypothèses!$R$10,IF(B294&lt;=Hypothèses!$C$11,Hypothèses!$R$11,IF(B294&lt;=Hypothèses!$C$12,Hypothèses!$R$12,IF(B294&lt;=Hypothèses!$C$13,Hypothèses!$R$13,IF(B294&lt;=Hypothèses!$C$14,Hypothèses!$R$14,IF(B294&lt;=Hypothèses!$C$15,Hypothèses!$R$15,IF(B294&lt;=Hypothèses!$C$16,Hypothèses!$R$16,IF(B294&lt;=Hypothèses!$C$17,Hypothèses!$R$17,IF(B294&lt;=Hypothèses!$C$18,Hypothèses!$R$18,D293))))))))))))</f>
        <v>Pressio.</v>
      </c>
      <c r="E294" s="82" t="e">
        <f>IF(B294&lt;=Hypothèses!$C$7,Hypothèses!$G$7,IF(B294&lt;=Hypothèses!$C$8,Hypothèses!$G$8,IF(B294&lt;=Hypothèses!$C$9,Hypothèses!$G$9,IF(B294&lt;=Hypothèses!$C$10,Hypothèses!$G$10,IF(B294&lt;=Hypothèses!$C$11,Hypothèses!$G$11,IF(B294&lt;=Hypothèses!$C$12,Hypothèses!$G$12,IF(B294&lt;=Hypothèses!$C$13,Hypothèses!$G$13,IF(B294&lt;=Hypothèses!$C$14,Hypothèses!$G$14,IF(B294&lt;=Hypothèses!$C$15,Hypothèses!$G$15,IF(B294&lt;=Hypothèses!$C$16,Hypothèses!$G$16,IF(B294&lt;=Hypothèses!$C$17,Hypothèses!$G$17,IF(B294&lt;=Hypothèses!$C$18,Hypothèses!$G$18,E293))))))))))))</f>
        <v>#N/A</v>
      </c>
      <c r="F294" s="82" t="str">
        <f>IF(B294&lt;=Hypothèses!$C$7,Hypothèses!$F$7,IF(B294&lt;=Hypothèses!$C$8,Hypothèses!$F$8,IF(B294&lt;=Hypothèses!$C$9,Hypothèses!$F$9,IF(B294&lt;=Hypothèses!$C$10,Hypothèses!$F$10,IF(B294&lt;=Hypothèses!$C$11,Hypothèses!$F$11,IF(B294&lt;=Hypothèses!$C$12,Hypothèses!$F$12,IF(B294&lt;=Hypothèses!$C$13,Hypothèses!$F$13,IF(B294&lt;=Hypothèses!$C$14,Hypothèses!$F$14,IF(B294&lt;=Hypothèses!$C$15,Hypothèses!$F$15,IF(B294&lt;=Hypothèses!$C$16,Hypothèses!$F$16,IF(B294&lt;=Hypothèses!$C$17,Hypothèses!$F$17,IF(B294&lt;=Hypothèses!$C$18,Hypothèses!$F$18,F293))))))))))))</f>
        <v/>
      </c>
      <c r="G294" s="91">
        <f t="array" ref="G294">INDEX('Coeff EC7'!$U$7:$X$27,
MATCH(Model0.1T!$B$3,'Coeff EC7'!$T$7:$T$27,0),
MATCH(Model0.1T!$D294&amp;Model0.1T!$B$4,
'Coeff EC7'!$U$6:$X$6&amp;
'Coeff EC7'!$U$5:$X$5,0))</f>
        <v>1.4</v>
      </c>
      <c r="H294" s="91">
        <f t="array" ref="H294">INDEX('Coeff EC7'!$Y$7:$AB$27,
MATCH(Model0.1T!$B$3,'Coeff EC7'!$T$7:$T$27,0),
MATCH(Model0.1T!$D294&amp;Model0.1T!$B$4,
'Coeff EC7'!$Y$6:$AB$6&amp;
'Coeff EC7'!$Y$5:$AB$5,0))</f>
        <v>1.7</v>
      </c>
      <c r="I294" s="83">
        <v>0</v>
      </c>
      <c r="J294" s="91" t="e">
        <f t="array" ref="J294">INDEX('Coeff EC7'!$D$33:$Q$33,1,MATCH(D294&amp;E294,'Coeff EC7'!$D$31:$Q$31&amp;'Coeff EC7'!$D$32:$Q$32,0))</f>
        <v>#N/A</v>
      </c>
      <c r="K294" s="91" t="e">
        <f t="array" ref="K294">INDEX('Coeff EC7'!$D$34:$Q$34,1,MATCH(D294&amp;E294,'Coeff EC7'!$D$31:$Q$31&amp;'Coeff EC7'!$D$32:$Q$32,0))</f>
        <v>#N/A</v>
      </c>
      <c r="L294" s="91" t="e">
        <f t="array" ref="L294">INDEX('Coeff EC7'!$D$35:$Q$35,1,MATCH(D294&amp;E294,'Coeff EC7'!$D$31:$Q$31&amp;'Coeff EC7'!$D$32:$Q$32,0))</f>
        <v>#N/A</v>
      </c>
      <c r="M294" s="98" t="e">
        <f t="shared" si="431"/>
        <v>#N/A</v>
      </c>
      <c r="N294" s="99" t="e">
        <f t="array" ref="N294">INDEX('Coeff EC7'!$D$7:$Q$27,MATCH($B$3,'Coeff EC7'!$C$7:$C$27,0),MATCH(D294&amp;E294,'Coeff EC7'!$D$5:$Q$5&amp;'Coeff EC7'!$D$6:$Q$6,0))</f>
        <v>#N/A</v>
      </c>
      <c r="O294" s="99" t="e">
        <f t="array" ref="O294">INDEX('Coeff EC7'!$D$41:$Q$61,MATCH($B$3,'Coeff EC7'!$C$41:$C$61,0),MATCH(D294&amp;E294,'Coeff EC7'!$D$39:$Q$39&amp;'Coeff EC7'!$D$40:$Q$40,0))</f>
        <v>#N/A</v>
      </c>
      <c r="P294" s="30" t="e">
        <f t="shared" si="466"/>
        <v>#N/A</v>
      </c>
      <c r="Q294" s="100" t="e">
        <f t="shared" si="433"/>
        <v>#N/A</v>
      </c>
      <c r="R294" s="86" t="b">
        <f t="shared" si="434"/>
        <v>0</v>
      </c>
      <c r="S294" s="86">
        <f t="shared" si="432"/>
        <v>0.5</v>
      </c>
      <c r="T294" s="86">
        <f t="shared" si="435"/>
        <v>0.5</v>
      </c>
      <c r="U294" s="30" t="e">
        <f t="shared" ca="1" si="467"/>
        <v>#DIV/0!</v>
      </c>
      <c r="V294" s="85" t="str">
        <f>IF(B294&lt;=Hypothèses!$V$7,Hypothèses!$W$7,IF(B294&lt;=Hypothèses!$V$8,Hypothèses!$W$8,IF(B294&lt;=Hypothèses!$V$9,Hypothèses!$W$9,IF(B294&lt;=Hypothèses!$V$10,Hypothèses!$W$10,IF(B294&lt;=Hypothèses!$V$11,Hypothèses!$W$11,IF(B294&lt;=Hypothèses!$V$12,Hypothèses!$W$12,IF(B294&lt;=Hypothèses!$V$13,Hypothèses!$W$13,IF(B294&lt;=Hypothèses!$V$14,Hypothèses!$W$14,IF(B294&lt;=Hypothèses!$V$15,Hypothèses!$W$15,IF(B294&lt;=Hypothèses!$V$16,Hypothèses!$W$16,IF(B294&lt;=Hypothèses!$V$17,Hypothèses!$W$17,IF(B294&lt;=Hypothèses!$V$18,Hypothèses!$W$18,""))))))))))))</f>
        <v/>
      </c>
      <c r="W294" s="87" t="e">
        <f t="shared" ca="1" si="516"/>
        <v>#DIV/0!</v>
      </c>
      <c r="X294" s="88" t="str">
        <f>IF(B294&lt;=Hypothèses!$V$7,Hypothèses!$X$7,IF(B294&lt;=Hypothèses!$V$8,Hypothèses!$X$8,IF(B294&lt;=Hypothèses!$V$9,Hypothèses!$X$9,IF(B294&lt;=Hypothèses!$V$10,Hypothèses!$X$10,IF(B294&lt;=Hypothèses!$V$11,Hypothèses!$X$11,IF(B294&lt;=Hypothèses!$V$12,Hypothèses!$X$12,IF(B294&lt;=Hypothèses!$V$13,Hypothèses!$X$13,IF(B294&lt;=Hypothèses!$V$14,Hypothèses!$X$14,IF(B294&lt;=Hypothèses!$V$15,Hypothèses!$X$15,IF(B294&lt;=Hypothèses!$V$16,Hypothèses!$X$16,IF(B294&lt;=Hypothèses!$U$17,Hypothèses!$W$17,IF(B294&lt;=Hypothèses!$U$18,Hypothèses!$W$18,""))))))))))))</f>
        <v/>
      </c>
      <c r="Y294" s="95" t="e">
        <f t="shared" ca="1" si="436"/>
        <v>#DIV/0!</v>
      </c>
      <c r="Z294" s="101">
        <f t="shared" si="437"/>
        <v>0</v>
      </c>
      <c r="AA294" s="91">
        <f t="shared" si="438"/>
        <v>0</v>
      </c>
      <c r="AB294" s="30" t="e">
        <f t="shared" si="500"/>
        <v>#N/A</v>
      </c>
      <c r="AC294" s="30" t="e">
        <f t="shared" si="501"/>
        <v>#N/A</v>
      </c>
      <c r="AD294" s="31" t="e">
        <f>IF(OR(Hypothèses!$B$4=17,Hypothèses!$B$4=18,Hypothèses!$B$4=19,Hypothèses!$B$4=20),
IF($D294="Pressio.",
IF(OR($E294=3,$E294=1,$E294=4),AC294,AB294),
IF($D294="Pénétro.",
IF(OR($E294=3,$E294=1,$E294=4),AC294,AB294))),IF($D294="Pressio.",
IF($E294=3,AC294,AB294),
IF($D294="Pénétro.",
IF($E294=4,AC294,AB294))))</f>
        <v>#N/A</v>
      </c>
      <c r="AE294" s="31">
        <v>0</v>
      </c>
      <c r="AF294" s="102" t="e">
        <f>IF(NDC!$H$10="Oui",(VLOOKUP($B$3,'Coeff EC7'!$T$39:$X$59,2,0)*AD294+VLOOKUP($B$3,'Coeff EC7'!$T$65:$X$85,2,0)*Model0.1T!AE294)/1.5,PI()*AB$12*$Q294*($B294-$B293)*0.15/10+AF293)</f>
        <v>#N/A</v>
      </c>
      <c r="AG294" s="102" t="e">
        <f>(VLOOKUP($B$3,'Coeff EC7'!$T$39:$X$59,3,0)*AD294+VLOOKUP($B$3,'Coeff EC7'!$T$65:$X$85,3,0)*Model0.1T!AE294)/1.1</f>
        <v>#N/A</v>
      </c>
      <c r="AH294" s="102" t="e">
        <f t="shared" si="468"/>
        <v>#N/A</v>
      </c>
      <c r="AI294" s="102" t="e">
        <f t="shared" si="469"/>
        <v>#N/A</v>
      </c>
      <c r="AJ294" s="414" t="e">
        <f>IF(AND(AF294&gt;NDC!$C$63,AG294&gt;NDC!$C$65,AH294&gt;NDC!$D$73,AI294&gt;NDC!$D$74,$B294&gt;NDC!$H$22-0.1+MIN(3*$AJ$12,1.5)),0,1)</f>
        <v>#N/A</v>
      </c>
      <c r="AK294" s="86" t="b">
        <f t="shared" si="439"/>
        <v>0</v>
      </c>
      <c r="AL294" s="86">
        <f t="shared" si="470"/>
        <v>0.5</v>
      </c>
      <c r="AM294" s="86">
        <f t="shared" si="440"/>
        <v>0.5</v>
      </c>
      <c r="AN294" s="30" t="e">
        <f t="shared" ca="1" si="471"/>
        <v>#DIV/0!</v>
      </c>
      <c r="AO294" s="85" t="e">
        <f ca="1">IF(U294&lt;=Hypothèses!$V$7,Hypothèses!$W$7,IF(U294&lt;=Hypothèses!$V$8,Hypothèses!$W$8,IF(U294&lt;=Hypothèses!$V$9,Hypothèses!$W$9,IF(U294&lt;=Hypothèses!$V$10,Hypothèses!$W$10,IF(U294&lt;=Hypothèses!$V$11,Hypothèses!$W$11,IF(U294&lt;=Hypothèses!$V$12,Hypothèses!$W$12,IF(U294&lt;=Hypothèses!$V$13,Hypothèses!$W$13,IF(U294&lt;=Hypothèses!$V$14,Hypothèses!$W$14,IF(U294&lt;=Hypothèses!$V$15,Hypothèses!$W$15,IF(U294&lt;=Hypothèses!$V$16,Hypothèses!$W$16,IF(U294&lt;=Hypothèses!$V$17,Hypothèses!$W$17,IF(U294&lt;=Hypothèses!$V$18,Hypothèses!$W$18,""))))))))))))</f>
        <v>#DIV/0!</v>
      </c>
      <c r="AP294" s="87" t="e">
        <f t="shared" ca="1" si="517"/>
        <v>#DIV/0!</v>
      </c>
      <c r="AQ294" s="88" t="e">
        <f ca="1">IF(U294&lt;=Hypothèses!$V$7,Hypothèses!$X$7,IF(U294&lt;=Hypothèses!$V$8,Hypothèses!$X$8,IF(U294&lt;=Hypothèses!$V$9,Hypothèses!$X$9,IF(U294&lt;=Hypothèses!$V$10,Hypothèses!$X$10,IF(U294&lt;=Hypothèses!$V$11,Hypothèses!$X$11,IF(U294&lt;=Hypothèses!$V$12,Hypothèses!$X$12,IF(U294&lt;=Hypothèses!$V$13,Hypothèses!$X$13,IF(U294&lt;=Hypothèses!$V$14,Hypothèses!$X$14,IF(U294&lt;=Hypothèses!$V$15,Hypothèses!$X$15,IF(U294&lt;=Hypothèses!$V$16,Hypothèses!$X$16,IF(U294&lt;=Hypothèses!$U$17,Hypothèses!$W$17,IF(U294&lt;=Hypothèses!$U$18,Hypothèses!$W$18,""))))))))))))</f>
        <v>#DIV/0!</v>
      </c>
      <c r="AR294" s="95" t="e">
        <f t="shared" ca="1" si="472"/>
        <v>#DIV/0!</v>
      </c>
      <c r="AS294" s="101">
        <f t="shared" si="524"/>
        <v>0</v>
      </c>
      <c r="AT294" s="91">
        <f t="shared" si="441"/>
        <v>0</v>
      </c>
      <c r="AU294" s="30" t="e">
        <f t="shared" si="502"/>
        <v>#N/A</v>
      </c>
      <c r="AV294" s="30" t="e">
        <f t="shared" si="503"/>
        <v>#N/A</v>
      </c>
      <c r="AW294" s="31" t="e">
        <f>IF(OR(Hypothèses!$B$4=17,Hypothèses!$B$4=18,Hypothèses!$B$4=19,Hypothèses!$B$4=20),
IF($D294="Pressio.",
IF(OR($E294=3,$E294=1,$E294=4),AV294,AU294),
IF($D294="Pénétro.",
IF(OR($E294=3,$E294=1,$E294=4),AV294,AU294))),IF($D294="Pressio.",
IF($E294=3,AV294,AU294),
IF($D294="Pénétro.",
IF($E294=4,AV294,AU294))))</f>
        <v>#N/A</v>
      </c>
      <c r="AX294" s="31">
        <v>0</v>
      </c>
      <c r="AY294" s="102" t="e">
        <f>IF(NDC!$H$10="Oui",(VLOOKUP($B$3,'Coeff EC7'!$T$39:$X$59,2,0)*AW294+VLOOKUP($B$3,'Coeff EC7'!$T$65:$X$85,2,0)*Model0.1T!AX294)/1.5,PI()*AU$12*$Q294*($B294-$B293)*0.15/10+AY293)</f>
        <v>#N/A</v>
      </c>
      <c r="AZ294" s="102" t="e">
        <f>(VLOOKUP($B$3,'Coeff EC7'!$T$39:$X$59,3,0)*AW294+VLOOKUP($B$3,'Coeff EC7'!$T$65:$X$85,3,0)*Model0.1T!AX294)/1.1</f>
        <v>#N/A</v>
      </c>
      <c r="BA294" s="102" t="e">
        <f t="shared" si="473"/>
        <v>#N/A</v>
      </c>
      <c r="BB294" s="102" t="e">
        <f t="shared" si="474"/>
        <v>#N/A</v>
      </c>
      <c r="BC294" s="414" t="e">
        <f>IF(AND(AY294&gt;NDC!$C$63,AZ294&gt;NDC!$C$65,BA294&gt;NDC!$D$73,BB294&gt;NDC!$D$74,$B294&gt;NDC!$H$22-0.1+MIN(3*BC$12,1.5)),0,1)</f>
        <v>#N/A</v>
      </c>
      <c r="BD294" s="86" t="b">
        <f t="shared" si="442"/>
        <v>0</v>
      </c>
      <c r="BE294" s="86">
        <f t="shared" si="475"/>
        <v>0.5</v>
      </c>
      <c r="BF294" s="86">
        <f t="shared" si="443"/>
        <v>0.5</v>
      </c>
      <c r="BG294" s="30" t="e">
        <f t="shared" ca="1" si="476"/>
        <v>#DIV/0!</v>
      </c>
      <c r="BH294" s="85" t="e">
        <f ca="1">IF(AN294&lt;=Hypothèses!$V$7,Hypothèses!$W$7,IF(AN294&lt;=Hypothèses!$V$8,Hypothèses!$W$8,IF(AN294&lt;=Hypothèses!$V$9,Hypothèses!$W$9,IF(AN294&lt;=Hypothèses!$V$10,Hypothèses!$W$10,IF(AN294&lt;=Hypothèses!$V$11,Hypothèses!$W$11,IF(AN294&lt;=Hypothèses!$V$12,Hypothèses!$W$12,IF(AN294&lt;=Hypothèses!$V$13,Hypothèses!$W$13,IF(AN294&lt;=Hypothèses!$V$14,Hypothèses!$W$14,IF(AN294&lt;=Hypothèses!$V$15,Hypothèses!$W$15,IF(AN294&lt;=Hypothèses!$V$16,Hypothèses!$W$16,IF(AN294&lt;=Hypothèses!$V$17,Hypothèses!$W$17,IF(AN294&lt;=Hypothèses!$V$18,Hypothèses!$W$18,""))))))))))))</f>
        <v>#DIV/0!</v>
      </c>
      <c r="BI294" s="87" t="e">
        <f t="shared" ca="1" si="518"/>
        <v>#DIV/0!</v>
      </c>
      <c r="BJ294" s="88" t="e">
        <f ca="1">IF(AN294&lt;=Hypothèses!$V$7,Hypothèses!$X$7,IF(AN294&lt;=Hypothèses!$V$8,Hypothèses!$X$8,IF(AN294&lt;=Hypothèses!$V$9,Hypothèses!$X$9,IF(AN294&lt;=Hypothèses!$V$10,Hypothèses!$X$10,IF(AN294&lt;=Hypothèses!$V$11,Hypothèses!$X$11,IF(AN294&lt;=Hypothèses!$V$12,Hypothèses!$X$12,IF(AN294&lt;=Hypothèses!$V$13,Hypothèses!$X$13,IF(AN294&lt;=Hypothèses!$V$14,Hypothèses!$X$14,IF(AN294&lt;=Hypothèses!$V$15,Hypothèses!$X$15,IF(AN294&lt;=Hypothèses!$V$16,Hypothèses!$X$16,IF(AN294&lt;=Hypothèses!$U$17,Hypothèses!$W$17,IF(AN294&lt;=Hypothèses!$U$18,Hypothèses!$W$18,""))))))))))))</f>
        <v>#DIV/0!</v>
      </c>
      <c r="BK294" s="95" t="e">
        <f t="shared" ca="1" si="477"/>
        <v>#DIV/0!</v>
      </c>
      <c r="BL294" s="101">
        <f t="shared" si="525"/>
        <v>0</v>
      </c>
      <c r="BM294" s="91">
        <f t="shared" si="444"/>
        <v>0</v>
      </c>
      <c r="BN294" s="30" t="e">
        <f t="shared" si="504"/>
        <v>#N/A</v>
      </c>
      <c r="BO294" s="30" t="e">
        <f t="shared" si="505"/>
        <v>#N/A</v>
      </c>
      <c r="BP294" s="31" t="e">
        <f>IF(OR(Hypothèses!$B$4=17,Hypothèses!$B$4=18,Hypothèses!$B$4=19,Hypothèses!$B$4=20),
IF($D294="Pressio.",
IF(OR($E294=3,$E294=1,$E294=4),BO294,BN294),
IF($D294="Pénétro.",
IF(OR($E294=3,$E294=1,$E294=4),BO294,BN294))),IF($D294="Pressio.",
IF($E294=3,BO294,BN294),
IF($D294="Pénétro.",
IF($E294=4,BO294,BN294))))</f>
        <v>#N/A</v>
      </c>
      <c r="BQ294" s="31">
        <v>0</v>
      </c>
      <c r="BR294" s="102" t="e">
        <f>IF(NDC!$H$10="Oui",(VLOOKUP($B$3,'Coeff EC7'!$T$39:$X$59,2,0)*BP294+VLOOKUP($B$3,'Coeff EC7'!$T$65:$X$85,2,0)*Model0.1T!BQ294)/1.5,PI()*BN$12*$Q294*($B294-$B293)*0.15/10+BR293)</f>
        <v>#N/A</v>
      </c>
      <c r="BS294" s="102" t="e">
        <f>(VLOOKUP($B$3,'Coeff EC7'!$T$39:$X$59,3,0)*BP294+VLOOKUP($B$3,'Coeff EC7'!$T$65:$X$85,3,0)*Model0.1T!BQ294)/1.1</f>
        <v>#N/A</v>
      </c>
      <c r="BT294" s="102" t="e">
        <f t="shared" si="478"/>
        <v>#N/A</v>
      </c>
      <c r="BU294" s="102" t="e">
        <f t="shared" si="479"/>
        <v>#N/A</v>
      </c>
      <c r="BV294" s="414" t="e">
        <f>IF(AND(BR294&gt;NDC!$C$63,BS294&gt;NDC!$C$65,BT294&gt;NDC!$D$73,BU294&gt;NDC!$D$74,$B294&gt;NDC!$H$22-0.1+MIN(3*BV$12,1.5)),0,1)</f>
        <v>#N/A</v>
      </c>
      <c r="BW294" s="86" t="b">
        <f t="shared" si="445"/>
        <v>0</v>
      </c>
      <c r="BX294" s="86">
        <f t="shared" si="446"/>
        <v>0.5</v>
      </c>
      <c r="BY294" s="86">
        <f t="shared" si="447"/>
        <v>0.5</v>
      </c>
      <c r="BZ294" s="30" t="e">
        <f t="shared" ca="1" si="480"/>
        <v>#DIV/0!</v>
      </c>
      <c r="CA294" s="85" t="e">
        <f ca="1">IF(BG294&lt;=Hypothèses!$V$7,Hypothèses!$W$7,IF(BG294&lt;=Hypothèses!$V$8,Hypothèses!$W$8,IF(BG294&lt;=Hypothèses!$V$9,Hypothèses!$W$9,IF(BG294&lt;=Hypothèses!$V$10,Hypothèses!$W$10,IF(BG294&lt;=Hypothèses!$V$11,Hypothèses!$W$11,IF(BG294&lt;=Hypothèses!$V$12,Hypothèses!$W$12,IF(BG294&lt;=Hypothèses!$V$13,Hypothèses!$W$13,IF(BG294&lt;=Hypothèses!$V$14,Hypothèses!$W$14,IF(BG294&lt;=Hypothèses!$V$15,Hypothèses!$W$15,IF(BG294&lt;=Hypothèses!$V$16,Hypothèses!$W$16,IF(BG294&lt;=Hypothèses!$V$17,Hypothèses!$W$17,IF(BG294&lt;=Hypothèses!$V$18,Hypothèses!$W$18,""))))))))))))</f>
        <v>#DIV/0!</v>
      </c>
      <c r="CB294" s="87" t="e">
        <f t="shared" ca="1" si="519"/>
        <v>#DIV/0!</v>
      </c>
      <c r="CC294" s="88" t="e">
        <f ca="1">IF(BG294&lt;=Hypothèses!$V$7,Hypothèses!$X$7,IF(BG294&lt;=Hypothèses!$V$8,Hypothèses!$X$8,IF(BG294&lt;=Hypothèses!$V$9,Hypothèses!$X$9,IF(BG294&lt;=Hypothèses!$V$10,Hypothèses!$X$10,IF(BG294&lt;=Hypothèses!$V$11,Hypothèses!$X$11,IF(BG294&lt;=Hypothèses!$V$12,Hypothèses!$X$12,IF(BG294&lt;=Hypothèses!$V$13,Hypothèses!$X$13,IF(BG294&lt;=Hypothèses!$V$14,Hypothèses!$X$14,IF(BG294&lt;=Hypothèses!$V$15,Hypothèses!$X$15,IF(BG294&lt;=Hypothèses!$V$16,Hypothèses!$X$16,IF(BG294&lt;=Hypothèses!$U$17,Hypothèses!$W$17,IF(BG294&lt;=Hypothèses!$U$18,Hypothèses!$W$18,""))))))))))))</f>
        <v>#DIV/0!</v>
      </c>
      <c r="CD294" s="95" t="e">
        <f t="shared" ca="1" si="481"/>
        <v>#DIV/0!</v>
      </c>
      <c r="CE294" s="101">
        <f t="shared" si="526"/>
        <v>0</v>
      </c>
      <c r="CF294" s="91">
        <f t="shared" si="448"/>
        <v>0</v>
      </c>
      <c r="CG294" s="30" t="e">
        <f t="shared" si="506"/>
        <v>#N/A</v>
      </c>
      <c r="CH294" s="30" t="e">
        <f t="shared" si="507"/>
        <v>#N/A</v>
      </c>
      <c r="CI294" s="31" t="e">
        <f>IF(OR(Hypothèses!$B$4=17,Hypothèses!$B$4=18,Hypothèses!$B$4=19,Hypothèses!$B$4=20),
IF($D294="Pressio.",
IF(OR($E294=3,$E294=1,$E294=4),CH294,CG294),
IF($D294="Pénétro.",
IF(OR($E294=3,$E294=1,$E294=4),CH294,CG294))),IF($D294="Pressio.",
IF($E294=3,CH294,CG294),
IF($D294="Pénétro.",
IF($E294=4,CH294,CG294))))</f>
        <v>#N/A</v>
      </c>
      <c r="CJ294" s="31">
        <v>0</v>
      </c>
      <c r="CK294" s="102" t="e">
        <f>IF(NDC!$H$10="Oui",(VLOOKUP($B$3,'Coeff EC7'!$T$39:$X$59,2,0)*CI294+VLOOKUP($B$3,'Coeff EC7'!$T$65:$X$85,2,0)*Model0.1T!CJ294)/1.5,PI()*CG$12*$Q294*($B294-$B293)*0.15/10+CK293)</f>
        <v>#N/A</v>
      </c>
      <c r="CL294" s="102" t="e">
        <f>(VLOOKUP($B$3,'Coeff EC7'!$T$39:$X$59,3,0)*CI294+VLOOKUP($B$3,'Coeff EC7'!$T$65:$X$85,3,0)*Model0.1T!CJ294)/1.1</f>
        <v>#N/A</v>
      </c>
      <c r="CM294" s="102" t="e">
        <f t="shared" si="482"/>
        <v>#N/A</v>
      </c>
      <c r="CN294" s="102" t="e">
        <f t="shared" si="483"/>
        <v>#N/A</v>
      </c>
      <c r="CO294" s="414" t="e">
        <f>IF(AND(CK294&gt;NDC!$C$63,CL294&gt;NDC!$C$65,CM294&gt;NDC!$D$73,CN294&gt;NDC!$D$74,$B294&gt;NDC!$H$22-0.1+MIN(3*CO$12,1.5)),0,1)</f>
        <v>#N/A</v>
      </c>
      <c r="CP294" s="86" t="b">
        <f t="shared" si="449"/>
        <v>0</v>
      </c>
      <c r="CQ294" s="86">
        <f t="shared" si="450"/>
        <v>0.5</v>
      </c>
      <c r="CR294" s="86">
        <f t="shared" si="451"/>
        <v>0.5</v>
      </c>
      <c r="CS294" s="30" t="e">
        <f t="shared" ca="1" si="484"/>
        <v>#DIV/0!</v>
      </c>
      <c r="CT294" s="85" t="e">
        <f ca="1">IF(BZ294&lt;=Hypothèses!$V$7,Hypothèses!$W$7,IF(BZ294&lt;=Hypothèses!$V$8,Hypothèses!$W$8,IF(BZ294&lt;=Hypothèses!$V$9,Hypothèses!$W$9,IF(BZ294&lt;=Hypothèses!$V$10,Hypothèses!$W$10,IF(BZ294&lt;=Hypothèses!$V$11,Hypothèses!$W$11,IF(BZ294&lt;=Hypothèses!$V$12,Hypothèses!$W$12,IF(BZ294&lt;=Hypothèses!$V$13,Hypothèses!$W$13,IF(BZ294&lt;=Hypothèses!$V$14,Hypothèses!$W$14,IF(BZ294&lt;=Hypothèses!$V$15,Hypothèses!$W$15,IF(BZ294&lt;=Hypothèses!$V$16,Hypothèses!$W$16,IF(BZ294&lt;=Hypothèses!$V$17,Hypothèses!$W$17,IF(BZ294&lt;=Hypothèses!$V$18,Hypothèses!$W$18,""))))))))))))</f>
        <v>#DIV/0!</v>
      </c>
      <c r="CU294" s="87" t="e">
        <f t="shared" ca="1" si="520"/>
        <v>#DIV/0!</v>
      </c>
      <c r="CV294" s="88" t="e">
        <f ca="1">IF(BZ294&lt;=Hypothèses!$V$7,Hypothèses!$X$7,IF(BZ294&lt;=Hypothèses!$V$8,Hypothèses!$X$8,IF(BZ294&lt;=Hypothèses!$V$9,Hypothèses!$X$9,IF(BZ294&lt;=Hypothèses!$V$10,Hypothèses!$X$10,IF(BZ294&lt;=Hypothèses!$V$11,Hypothèses!$X$11,IF(BZ294&lt;=Hypothèses!$V$12,Hypothèses!$X$12,IF(BZ294&lt;=Hypothèses!$V$13,Hypothèses!$X$13,IF(BZ294&lt;=Hypothèses!$V$14,Hypothèses!$X$14,IF(BZ294&lt;=Hypothèses!$V$15,Hypothèses!$X$15,IF(BZ294&lt;=Hypothèses!$V$16,Hypothèses!$X$16,IF(BZ294&lt;=Hypothèses!$U$17,Hypothèses!$W$17,IF(BZ294&lt;=Hypothèses!$U$18,Hypothèses!$W$18,""))))))))))))</f>
        <v>#DIV/0!</v>
      </c>
      <c r="CW294" s="95" t="e">
        <f t="shared" ca="1" si="485"/>
        <v>#DIV/0!</v>
      </c>
      <c r="CX294" s="101">
        <f t="shared" si="527"/>
        <v>0</v>
      </c>
      <c r="CY294" s="91">
        <f t="shared" si="452"/>
        <v>0</v>
      </c>
      <c r="CZ294" s="30" t="e">
        <f t="shared" si="508"/>
        <v>#N/A</v>
      </c>
      <c r="DA294" s="30" t="e">
        <f t="shared" si="509"/>
        <v>#N/A</v>
      </c>
      <c r="DB294" s="31" t="e">
        <f>IF(OR(Hypothèses!$B$4=17,Hypothèses!$B$4=18,Hypothèses!$B$4=19,Hypothèses!$B$4=20),
IF($D294="Pressio.",
IF(OR($E294=3,$E294=1,$E294=4),DA294,CZ294),
IF($D294="Pénétro.",
IF(OR($E294=3,$E294=1,$E294=4),DA294,CZ294))),IF($D294="Pressio.",
IF($E294=3,DA294,CZ294),
IF($D294="Pénétro.",
IF($E294=4,DA294,CZ294))))</f>
        <v>#N/A</v>
      </c>
      <c r="DC294" s="31">
        <v>0</v>
      </c>
      <c r="DD294" s="102" t="e">
        <f>IF(NDC!$H$10="Oui",(VLOOKUP($B$3,'Coeff EC7'!$T$39:$X$59,2,0)*DB294+VLOOKUP($B$3,'Coeff EC7'!$T$65:$X$85,2,0)*Model0.1T!DC294)/1.5,PI()*CZ$12*$Q294*($B294-$B293)*0.15/10+DD293)</f>
        <v>#N/A</v>
      </c>
      <c r="DE294" s="102" t="e">
        <f>(VLOOKUP($B$3,'Coeff EC7'!$T$39:$X$59,3,0)*DB294+VLOOKUP($B$3,'Coeff EC7'!$T$65:$X$85,3,0)*Model0.1T!DC294)/1.1</f>
        <v>#N/A</v>
      </c>
      <c r="DF294" s="102" t="e">
        <f t="shared" si="486"/>
        <v>#N/A</v>
      </c>
      <c r="DG294" s="102" t="e">
        <f t="shared" si="487"/>
        <v>#N/A</v>
      </c>
      <c r="DH294" s="414" t="e">
        <f>IF(AND(DD294&gt;NDC!$C$63,DE294&gt;NDC!$C$65,DF294&gt;NDC!$D$73,DG294&gt;NDC!$D$74,$B294&gt;NDC!$H$22-0.1+MIN(3*DH$12,1.5)),0,1)</f>
        <v>#N/A</v>
      </c>
      <c r="DI294" s="86" t="b">
        <f t="shared" si="453"/>
        <v>0</v>
      </c>
      <c r="DJ294" s="86">
        <f t="shared" si="454"/>
        <v>0.5</v>
      </c>
      <c r="DK294" s="86">
        <f t="shared" si="455"/>
        <v>0.5</v>
      </c>
      <c r="DL294" s="30" t="e">
        <f t="shared" ca="1" si="488"/>
        <v>#DIV/0!</v>
      </c>
      <c r="DM294" s="85" t="e">
        <f ca="1">IF(CS294&lt;=Hypothèses!$V$7,Hypothèses!$W$7,IF(CS294&lt;=Hypothèses!$V$8,Hypothèses!$W$8,IF(CS294&lt;=Hypothèses!$V$9,Hypothèses!$W$9,IF(CS294&lt;=Hypothèses!$V$10,Hypothèses!$W$10,IF(CS294&lt;=Hypothèses!$V$11,Hypothèses!$W$11,IF(CS294&lt;=Hypothèses!$V$12,Hypothèses!$W$12,IF(CS294&lt;=Hypothèses!$V$13,Hypothèses!$W$13,IF(CS294&lt;=Hypothèses!$V$14,Hypothèses!$W$14,IF(CS294&lt;=Hypothèses!$V$15,Hypothèses!$W$15,IF(CS294&lt;=Hypothèses!$V$16,Hypothèses!$W$16,IF(CS294&lt;=Hypothèses!$V$17,Hypothèses!$W$17,IF(CS294&lt;=Hypothèses!$V$18,Hypothèses!$W$18,""))))))))))))</f>
        <v>#DIV/0!</v>
      </c>
      <c r="DN294" s="87" t="e">
        <f t="shared" ca="1" si="521"/>
        <v>#DIV/0!</v>
      </c>
      <c r="DO294" s="88" t="e">
        <f ca="1">IF(CS294&lt;=Hypothèses!$V$7,Hypothèses!$X$7,IF(CS294&lt;=Hypothèses!$V$8,Hypothèses!$X$8,IF(CS294&lt;=Hypothèses!$V$9,Hypothèses!$X$9,IF(CS294&lt;=Hypothèses!$V$10,Hypothèses!$X$10,IF(CS294&lt;=Hypothèses!$V$11,Hypothèses!$X$11,IF(CS294&lt;=Hypothèses!$V$12,Hypothèses!$X$12,IF(CS294&lt;=Hypothèses!$V$13,Hypothèses!$X$13,IF(CS294&lt;=Hypothèses!$V$14,Hypothèses!$X$14,IF(CS294&lt;=Hypothèses!$V$15,Hypothèses!$X$15,IF(CS294&lt;=Hypothèses!$V$16,Hypothèses!$X$16,IF(CS294&lt;=Hypothèses!$U$17,Hypothèses!$W$17,IF(CS294&lt;=Hypothèses!$U$18,Hypothèses!$W$18,""))))))))))))</f>
        <v>#DIV/0!</v>
      </c>
      <c r="DP294" s="95" t="e">
        <f t="shared" ca="1" si="489"/>
        <v>#DIV/0!</v>
      </c>
      <c r="DQ294" s="101">
        <f t="shared" si="528"/>
        <v>0</v>
      </c>
      <c r="DR294" s="91">
        <f t="shared" si="456"/>
        <v>0</v>
      </c>
      <c r="DS294" s="30" t="e">
        <f t="shared" si="510"/>
        <v>#N/A</v>
      </c>
      <c r="DT294" s="30" t="e">
        <f t="shared" si="511"/>
        <v>#N/A</v>
      </c>
      <c r="DU294" s="31" t="e">
        <f>IF(OR(Hypothèses!$B$4=17,Hypothèses!$B$4=18,Hypothèses!$B$4=19,Hypothèses!$B$4=20),
IF($D294="Pressio.",
IF(OR($E294=3,$E294=1,$E294=4),DT294,DS294),
IF($D294="Pénétro.",
IF(OR($E294=3,$E294=1,$E294=4),DT294,DS294))),IF($D294="Pressio.",
IF($E294=3,DT294,DS294),
IF($D294="Pénétro.",
IF($E294=4,DT294,DS294))))</f>
        <v>#N/A</v>
      </c>
      <c r="DV294" s="31">
        <v>0</v>
      </c>
      <c r="DW294" s="102" t="e">
        <f>IF(NDC!$H$10="Oui",(VLOOKUP($B$3,'Coeff EC7'!$T$39:$X$59,2,0)*DU294+VLOOKUP($B$3,'Coeff EC7'!$T$65:$X$85,2,0)*Model0.1T!DV294)/1.5,PI()*DS$12*$Q294*($B294-$B293)*0.15/10+DW293)</f>
        <v>#N/A</v>
      </c>
      <c r="DX294" s="102" t="e">
        <f>(VLOOKUP($B$3,'Coeff EC7'!$T$39:$X$59,3,0)*DU294+VLOOKUP($B$3,'Coeff EC7'!$T$65:$X$85,3,0)*Model0.1T!DV294)/1.1</f>
        <v>#N/A</v>
      </c>
      <c r="DY294" s="102" t="e">
        <f t="shared" si="490"/>
        <v>#N/A</v>
      </c>
      <c r="DZ294" s="102" t="e">
        <f t="shared" si="491"/>
        <v>#N/A</v>
      </c>
      <c r="EA294" s="414" t="e">
        <f>IF(AND(DW294&gt;NDC!$C$63,DX294&gt;NDC!$C$65,DY294&gt;NDC!$D$73,DZ294&gt;NDC!$D$74,$B294&gt;NDC!$H$22-0.1+MIN(3*EA$12,1.5)),0,1)</f>
        <v>#N/A</v>
      </c>
      <c r="EB294" s="86" t="b">
        <f t="shared" si="457"/>
        <v>0</v>
      </c>
      <c r="EC294" s="418">
        <f t="shared" si="458"/>
        <v>0.51</v>
      </c>
      <c r="ED294" s="86">
        <f t="shared" si="459"/>
        <v>0.51</v>
      </c>
      <c r="EE294" s="30" t="e">
        <f t="shared" ca="1" si="492"/>
        <v>#DIV/0!</v>
      </c>
      <c r="EF294" s="85" t="e">
        <f ca="1">IF(DL294&lt;=Hypothèses!$V$7,Hypothèses!$W$7,IF(DL294&lt;=Hypothèses!$V$8,Hypothèses!$W$8,IF(DL294&lt;=Hypothèses!$V$9,Hypothèses!$W$9,IF(DL294&lt;=Hypothèses!$V$10,Hypothèses!$W$10,IF(DL294&lt;=Hypothèses!$V$11,Hypothèses!$W$11,IF(DL294&lt;=Hypothèses!$V$12,Hypothèses!$W$12,IF(DL294&lt;=Hypothèses!$V$13,Hypothèses!$W$13,IF(DL294&lt;=Hypothèses!$V$14,Hypothèses!$W$14,IF(DL294&lt;=Hypothèses!$V$15,Hypothèses!$W$15,IF(DL294&lt;=Hypothèses!$V$16,Hypothèses!$W$16,IF(DL294&lt;=Hypothèses!$V$17,Hypothèses!$W$17,IF(DL294&lt;=Hypothèses!$V$18,Hypothèses!$W$18,""))))))))))))</f>
        <v>#DIV/0!</v>
      </c>
      <c r="EG294" s="87" t="e">
        <f t="shared" ca="1" si="522"/>
        <v>#DIV/0!</v>
      </c>
      <c r="EH294" s="88" t="e">
        <f ca="1">IF(DL294&lt;=Hypothèses!$V$7,Hypothèses!$X$7,IF(DL294&lt;=Hypothèses!$V$8,Hypothèses!$X$8,IF(DL294&lt;=Hypothèses!$V$9,Hypothèses!$X$9,IF(DL294&lt;=Hypothèses!$V$10,Hypothèses!$X$10,IF(DL294&lt;=Hypothèses!$V$11,Hypothèses!$X$11,IF(DL294&lt;=Hypothèses!$V$12,Hypothèses!$X$12,IF(DL294&lt;=Hypothèses!$V$13,Hypothèses!$X$13,IF(DL294&lt;=Hypothèses!$V$14,Hypothèses!$X$14,IF(DL294&lt;=Hypothèses!$V$15,Hypothèses!$X$15,IF(DL294&lt;=Hypothèses!$V$16,Hypothèses!$X$16,IF(DL294&lt;=Hypothèses!$U$17,Hypothèses!$W$17,IF(DL294&lt;=Hypothèses!$U$18,Hypothèses!$W$18,""))))))))))))</f>
        <v>#DIV/0!</v>
      </c>
      <c r="EI294" s="95" t="e">
        <f t="shared" ca="1" si="493"/>
        <v>#DIV/0!</v>
      </c>
      <c r="EJ294" s="101">
        <f t="shared" si="529"/>
        <v>0</v>
      </c>
      <c r="EK294" s="91">
        <f t="shared" si="460"/>
        <v>0</v>
      </c>
      <c r="EL294" s="30" t="e">
        <f t="shared" si="512"/>
        <v>#N/A</v>
      </c>
      <c r="EM294" s="30" t="e">
        <f t="shared" si="513"/>
        <v>#N/A</v>
      </c>
      <c r="EN294" s="31" t="e">
        <f>IF(OR(Hypothèses!$B$4=17,Hypothèses!$B$4=18,Hypothèses!$B$4=19,Hypothèses!$B$4=20),
IF($D294="Pressio.",
IF(OR($E294=3,$E294=1,$E294=4),EM294,EL294),
IF($D294="Pénétro.",
IF(OR($E294=3,$E294=1,$E294=4),EM294,EL294))),IF($D294="Pressio.",
IF($E294=3,EM294,EL294),
IF($D294="Pénétro.",
IF($E294=4,EM294,EL294))))</f>
        <v>#N/A</v>
      </c>
      <c r="EO294" s="31">
        <v>0</v>
      </c>
      <c r="EP294" s="102" t="e">
        <f>IF(NDC!$H$10="Oui",(VLOOKUP($B$3,'Coeff EC7'!$T$39:$X$59,2,0)*EN294+VLOOKUP($B$3,'Coeff EC7'!$T$65:$X$85,2,0)*Model0.1T!EO294)/1.5,PI()*EL$12*$Q294*($B294-$B293)*0.15/10+EP293)</f>
        <v>#N/A</v>
      </c>
      <c r="EQ294" s="102" t="e">
        <f>(VLOOKUP($B$3,'Coeff EC7'!$T$39:$X$59,3,0)*EN294+VLOOKUP($B$3,'Coeff EC7'!$T$65:$X$85,3,0)*Model0.1T!EO294)/1.1</f>
        <v>#N/A</v>
      </c>
      <c r="ER294" s="102" t="e">
        <f t="shared" si="494"/>
        <v>#N/A</v>
      </c>
      <c r="ES294" s="102" t="e">
        <f t="shared" si="495"/>
        <v>#N/A</v>
      </c>
      <c r="ET294" s="414" t="e">
        <f>IF(AND(EP294&gt;NDC!$C$63,EQ294&gt;NDC!$C$65,ER294&gt;NDC!$D$73,ES294&gt;NDC!$D$74,$B294&gt;NDC!$H$22-0.1+MIN(3*ET$12,1.5)),0,1)</f>
        <v>#N/A</v>
      </c>
      <c r="EU294" s="86" t="b">
        <f t="shared" si="461"/>
        <v>0</v>
      </c>
      <c r="EV294" s="86">
        <f t="shared" si="462"/>
        <v>0.61</v>
      </c>
      <c r="EW294" s="86">
        <f t="shared" si="463"/>
        <v>0.61</v>
      </c>
      <c r="EX294" s="30" t="e">
        <f t="shared" ca="1" si="496"/>
        <v>#DIV/0!</v>
      </c>
      <c r="EY294" s="85" t="e">
        <f ca="1">IF(EE294&lt;=Hypothèses!$V$7,Hypothèses!$W$7,IF(EE294&lt;=Hypothèses!$V$8,Hypothèses!$W$8,IF(EE294&lt;=Hypothèses!$V$9,Hypothèses!$W$9,IF(EE294&lt;=Hypothèses!$V$10,Hypothèses!$W$10,IF(EE294&lt;=Hypothèses!$V$11,Hypothèses!$W$11,IF(EE294&lt;=Hypothèses!$V$12,Hypothèses!$W$12,IF(EE294&lt;=Hypothèses!$V$13,Hypothèses!$W$13,IF(EE294&lt;=Hypothèses!$V$14,Hypothèses!$W$14,IF(EE294&lt;=Hypothèses!$V$15,Hypothèses!$W$15,IF(EE294&lt;=Hypothèses!$V$16,Hypothèses!$W$16,IF(EE294&lt;=Hypothèses!$V$17,Hypothèses!$W$17,IF(EE294&lt;=Hypothèses!$V$18,Hypothèses!$W$18,""))))))))))))</f>
        <v>#DIV/0!</v>
      </c>
      <c r="EZ294" s="87" t="e">
        <f t="shared" ca="1" si="523"/>
        <v>#DIV/0!</v>
      </c>
      <c r="FA294" s="88" t="e">
        <f ca="1">IF(EE294&lt;=Hypothèses!$V$7,Hypothèses!$X$7,IF(EE294&lt;=Hypothèses!$V$8,Hypothèses!$X$8,IF(EE294&lt;=Hypothèses!$V$9,Hypothèses!$X$9,IF(EE294&lt;=Hypothèses!$V$10,Hypothèses!$X$10,IF(EE294&lt;=Hypothèses!$V$11,Hypothèses!$X$11,IF(EE294&lt;=Hypothèses!$V$12,Hypothèses!$X$12,IF(EE294&lt;=Hypothèses!$V$13,Hypothèses!$X$13,IF(EE294&lt;=Hypothèses!$V$14,Hypothèses!$X$14,IF(EE294&lt;=Hypothèses!$V$15,Hypothèses!$X$15,IF(EE294&lt;=Hypothèses!$V$16,Hypothèses!$X$16,IF(EE294&lt;=Hypothèses!$U$17,Hypothèses!$W$17,IF(EE294&lt;=Hypothèses!$U$18,Hypothèses!$W$18,""))))))))))))</f>
        <v>#DIV/0!</v>
      </c>
      <c r="FB294" s="95" t="e">
        <f t="shared" ca="1" si="497"/>
        <v>#DIV/0!</v>
      </c>
      <c r="FC294" s="101">
        <f t="shared" si="530"/>
        <v>0</v>
      </c>
      <c r="FD294" s="91">
        <f t="shared" si="464"/>
        <v>0</v>
      </c>
      <c r="FE294" s="30" t="e">
        <f t="shared" si="514"/>
        <v>#N/A</v>
      </c>
      <c r="FF294" s="30" t="e">
        <f t="shared" si="515"/>
        <v>#N/A</v>
      </c>
      <c r="FG294" s="31" t="e">
        <f>IF(OR(Hypothèses!$B$4=17,Hypothèses!$B$4=18,Hypothèses!$B$4=19,Hypothèses!$B$4=20),
IF($D294="Pressio.",
IF(OR($E294=3,$E294=1,$E294=4),FF294,FE294),
IF($D294="Pénétro.",
IF(OR($E294=3,$E294=1,$E294=4),FF294,FE294))),IF($D294="Pressio.",
IF($E294=3,FF294,FE294),
IF($D294="Pénétro.",
IF($E294=4,FF294,FE294))))</f>
        <v>#N/A</v>
      </c>
      <c r="FH294" s="31">
        <v>0</v>
      </c>
      <c r="FI294" s="102" t="e">
        <f>IF(NDC!$H$10="Oui",(VLOOKUP($B$3,'Coeff EC7'!$T$39:$X$59,2,0)*FG294+VLOOKUP($B$3,'Coeff EC7'!$T$65:$X$85,2,0)*Model0.1T!FH294)/1.5,PI()*FE$12*$Q294*($B294-$B293)*0.15/10+FI293)</f>
        <v>#N/A</v>
      </c>
      <c r="FJ294" s="102" t="e">
        <f>(VLOOKUP($B$3,'Coeff EC7'!$T$39:$X$59,3,0)*FG294+VLOOKUP($B$3,'Coeff EC7'!$T$65:$X$85,3,0)*Model0.1T!FH294)/1.1</f>
        <v>#N/A</v>
      </c>
      <c r="FK294" s="102" t="e">
        <f t="shared" si="498"/>
        <v>#N/A</v>
      </c>
      <c r="FL294" s="102" t="e">
        <f t="shared" si="499"/>
        <v>#N/A</v>
      </c>
      <c r="FM294" s="414" t="e">
        <f>IF(AND(FI294&gt;NDC!$C$63,FJ294&gt;NDC!$C$65,FK294&gt;NDC!$D$73,FL294&gt;NDC!$D$74,$B294&gt;NDC!$H$22-0.1+MIN(3*FM$12,1.5)),0,1)</f>
        <v>#N/A</v>
      </c>
    </row>
    <row r="295" spans="1:169">
      <c r="A295" s="96">
        <f t="shared" si="465"/>
        <v>71.800000000001603</v>
      </c>
      <c r="B295" s="97">
        <v>28.2</v>
      </c>
      <c r="C295" s="81">
        <f>IF(B295&lt;=Hypothèses!$C$7,Hypothèses!$A$7,IF(B295&lt;=Hypothèses!$C$8,Hypothèses!$A$8,IF(B295&lt;=Hypothèses!$C$9,Hypothèses!$A$9,IF(B295&lt;=Hypothèses!$C$10,Hypothèses!$A$10,IF(B295&lt;=Hypothèses!$C$11,Hypothèses!$A$11,IF(B295&lt;=Hypothèses!$C$12,Hypothèses!$A$12,IF(B295&lt;=Hypothèses!$C$13,Hypothèses!$A$13,IF(B295&lt;=Hypothèses!$C$14,Hypothèses!$A$14,IF(B295&lt;=Hypothèses!$C$15,Hypothèses!$A$15,IF(B295&lt;=Hypothèses!$C$16,Hypothèses!$A$16,IF(B295&lt;=Hypothèses!$C$17,Hypothèses!$A$17,IF(B295&lt;=Hypothèses!$C$18,Hypothèses!$A$18,C294))))))))))))</f>
        <v>11</v>
      </c>
      <c r="D295" s="82" t="str">
        <f>IF(B295&lt;=Hypothèses!$C$7,Hypothèses!$R$7,IF(B295&lt;=Hypothèses!$C$8,Hypothèses!$R$8,IF(B295&lt;=Hypothèses!$C$9,Hypothèses!$R$9,IF(B295&lt;=Hypothèses!$C$10,Hypothèses!$R$10,IF(B295&lt;=Hypothèses!$C$11,Hypothèses!$R$11,IF(B295&lt;=Hypothèses!$C$12,Hypothèses!$R$12,IF(B295&lt;=Hypothèses!$C$13,Hypothèses!$R$13,IF(B295&lt;=Hypothèses!$C$14,Hypothèses!$R$14,IF(B295&lt;=Hypothèses!$C$15,Hypothèses!$R$15,IF(B295&lt;=Hypothèses!$C$16,Hypothèses!$R$16,IF(B295&lt;=Hypothèses!$C$17,Hypothèses!$R$17,IF(B295&lt;=Hypothèses!$C$18,Hypothèses!$R$18,D294))))))))))))</f>
        <v>Pressio.</v>
      </c>
      <c r="E295" s="82" t="e">
        <f>IF(B295&lt;=Hypothèses!$C$7,Hypothèses!$G$7,IF(B295&lt;=Hypothèses!$C$8,Hypothèses!$G$8,IF(B295&lt;=Hypothèses!$C$9,Hypothèses!$G$9,IF(B295&lt;=Hypothèses!$C$10,Hypothèses!$G$10,IF(B295&lt;=Hypothèses!$C$11,Hypothèses!$G$11,IF(B295&lt;=Hypothèses!$C$12,Hypothèses!$G$12,IF(B295&lt;=Hypothèses!$C$13,Hypothèses!$G$13,IF(B295&lt;=Hypothèses!$C$14,Hypothèses!$G$14,IF(B295&lt;=Hypothèses!$C$15,Hypothèses!$G$15,IF(B295&lt;=Hypothèses!$C$16,Hypothèses!$G$16,IF(B295&lt;=Hypothèses!$C$17,Hypothèses!$G$17,IF(B295&lt;=Hypothèses!$C$18,Hypothèses!$G$18,E294))))))))))))</f>
        <v>#N/A</v>
      </c>
      <c r="F295" s="82" t="str">
        <f>IF(B295&lt;=Hypothèses!$C$7,Hypothèses!$F$7,IF(B295&lt;=Hypothèses!$C$8,Hypothèses!$F$8,IF(B295&lt;=Hypothèses!$C$9,Hypothèses!$F$9,IF(B295&lt;=Hypothèses!$C$10,Hypothèses!$F$10,IF(B295&lt;=Hypothèses!$C$11,Hypothèses!$F$11,IF(B295&lt;=Hypothèses!$C$12,Hypothèses!$F$12,IF(B295&lt;=Hypothèses!$C$13,Hypothèses!$F$13,IF(B295&lt;=Hypothèses!$C$14,Hypothèses!$F$14,IF(B295&lt;=Hypothèses!$C$15,Hypothèses!$F$15,IF(B295&lt;=Hypothèses!$C$16,Hypothèses!$F$16,IF(B295&lt;=Hypothèses!$C$17,Hypothèses!$F$17,IF(B295&lt;=Hypothèses!$C$18,Hypothèses!$F$18,F294))))))))))))</f>
        <v/>
      </c>
      <c r="G295" s="91">
        <f t="array" ref="G295">INDEX('Coeff EC7'!$U$7:$X$27,
MATCH(Model0.1T!$B$3,'Coeff EC7'!$T$7:$T$27,0),
MATCH(Model0.1T!$D295&amp;Model0.1T!$B$4,
'Coeff EC7'!$U$6:$X$6&amp;
'Coeff EC7'!$U$5:$X$5,0))</f>
        <v>1.4</v>
      </c>
      <c r="H295" s="91">
        <f t="array" ref="H295">INDEX('Coeff EC7'!$Y$7:$AB$27,
MATCH(Model0.1T!$B$3,'Coeff EC7'!$T$7:$T$27,0),
MATCH(Model0.1T!$D295&amp;Model0.1T!$B$4,
'Coeff EC7'!$Y$6:$AB$6&amp;
'Coeff EC7'!$Y$5:$AB$5,0))</f>
        <v>1.7</v>
      </c>
      <c r="I295" s="83">
        <v>0</v>
      </c>
      <c r="J295" s="91" t="e">
        <f t="array" ref="J295">INDEX('Coeff EC7'!$D$33:$Q$33,1,MATCH(D295&amp;E295,'Coeff EC7'!$D$31:$Q$31&amp;'Coeff EC7'!$D$32:$Q$32,0))</f>
        <v>#N/A</v>
      </c>
      <c r="K295" s="91" t="e">
        <f t="array" ref="K295">INDEX('Coeff EC7'!$D$34:$Q$34,1,MATCH(D295&amp;E295,'Coeff EC7'!$D$31:$Q$31&amp;'Coeff EC7'!$D$32:$Q$32,0))</f>
        <v>#N/A</v>
      </c>
      <c r="L295" s="91" t="e">
        <f t="array" ref="L295">INDEX('Coeff EC7'!$D$35:$Q$35,1,MATCH(D295&amp;E295,'Coeff EC7'!$D$31:$Q$31&amp;'Coeff EC7'!$D$32:$Q$32,0))</f>
        <v>#N/A</v>
      </c>
      <c r="M295" s="98" t="e">
        <f t="shared" si="431"/>
        <v>#N/A</v>
      </c>
      <c r="N295" s="99" t="e">
        <f t="array" ref="N295">INDEX('Coeff EC7'!$D$7:$Q$27,MATCH($B$3,'Coeff EC7'!$C$7:$C$27,0),MATCH(D295&amp;E295,'Coeff EC7'!$D$5:$Q$5&amp;'Coeff EC7'!$D$6:$Q$6,0))</f>
        <v>#N/A</v>
      </c>
      <c r="O295" s="99" t="e">
        <f t="array" ref="O295">INDEX('Coeff EC7'!$D$41:$Q$61,MATCH($B$3,'Coeff EC7'!$C$41:$C$61,0),MATCH(D295&amp;E295,'Coeff EC7'!$D$39:$Q$39&amp;'Coeff EC7'!$D$40:$Q$40,0))</f>
        <v>#N/A</v>
      </c>
      <c r="P295" s="30" t="e">
        <f t="shared" si="466"/>
        <v>#N/A</v>
      </c>
      <c r="Q295" s="100" t="e">
        <f t="shared" si="433"/>
        <v>#N/A</v>
      </c>
      <c r="R295" s="86" t="b">
        <f t="shared" si="434"/>
        <v>0</v>
      </c>
      <c r="S295" s="86">
        <f t="shared" si="432"/>
        <v>0.5</v>
      </c>
      <c r="T295" s="86">
        <f t="shared" si="435"/>
        <v>0.5</v>
      </c>
      <c r="U295" s="30" t="e">
        <f t="shared" ca="1" si="467"/>
        <v>#DIV/0!</v>
      </c>
      <c r="V295" s="85" t="str">
        <f>IF(B295&lt;=Hypothèses!$V$7,Hypothèses!$W$7,IF(B295&lt;=Hypothèses!$V$8,Hypothèses!$W$8,IF(B295&lt;=Hypothèses!$V$9,Hypothèses!$W$9,IF(B295&lt;=Hypothèses!$V$10,Hypothèses!$W$10,IF(B295&lt;=Hypothèses!$V$11,Hypothèses!$W$11,IF(B295&lt;=Hypothèses!$V$12,Hypothèses!$W$12,IF(B295&lt;=Hypothèses!$V$13,Hypothèses!$W$13,IF(B295&lt;=Hypothèses!$V$14,Hypothèses!$W$14,IF(B295&lt;=Hypothèses!$V$15,Hypothèses!$W$15,IF(B295&lt;=Hypothèses!$V$16,Hypothèses!$W$16,IF(B295&lt;=Hypothèses!$V$17,Hypothèses!$W$17,IF(B295&lt;=Hypothèses!$V$18,Hypothèses!$W$18,""))))))))))))</f>
        <v/>
      </c>
      <c r="W295" s="87" t="e">
        <f t="shared" ca="1" si="516"/>
        <v>#DIV/0!</v>
      </c>
      <c r="X295" s="88" t="str">
        <f>IF(B295&lt;=Hypothèses!$V$7,Hypothèses!$X$7,IF(B295&lt;=Hypothèses!$V$8,Hypothèses!$X$8,IF(B295&lt;=Hypothèses!$V$9,Hypothèses!$X$9,IF(B295&lt;=Hypothèses!$V$10,Hypothèses!$X$10,IF(B295&lt;=Hypothèses!$V$11,Hypothèses!$X$11,IF(B295&lt;=Hypothèses!$V$12,Hypothèses!$X$12,IF(B295&lt;=Hypothèses!$V$13,Hypothèses!$X$13,IF(B295&lt;=Hypothèses!$V$14,Hypothèses!$X$14,IF(B295&lt;=Hypothèses!$V$15,Hypothèses!$X$15,IF(B295&lt;=Hypothèses!$V$16,Hypothèses!$X$16,IF(B295&lt;=Hypothèses!$U$17,Hypothèses!$W$17,IF(B295&lt;=Hypothèses!$U$18,Hypothèses!$W$18,""))))))))))))</f>
        <v/>
      </c>
      <c r="Y295" s="95" t="e">
        <f t="shared" ca="1" si="436"/>
        <v>#DIV/0!</v>
      </c>
      <c r="Z295" s="101">
        <f t="shared" si="437"/>
        <v>0</v>
      </c>
      <c r="AA295" s="91">
        <f t="shared" si="438"/>
        <v>0</v>
      </c>
      <c r="AB295" s="30" t="e">
        <f t="shared" si="500"/>
        <v>#N/A</v>
      </c>
      <c r="AC295" s="30" t="e">
        <f t="shared" si="501"/>
        <v>#N/A</v>
      </c>
      <c r="AD295" s="31" t="e">
        <f>IF(OR(Hypothèses!$B$4=17,Hypothèses!$B$4=18,Hypothèses!$B$4=19,Hypothèses!$B$4=20),
IF($D295="Pressio.",
IF(OR($E295=3,$E295=1,$E295=4),AC295,AB295),
IF($D295="Pénétro.",
IF(OR($E295=3,$E295=1,$E295=4),AC295,AB295))),IF($D295="Pressio.",
IF($E295=3,AC295,AB295),
IF($D295="Pénétro.",
IF($E295=4,AC295,AB295))))</f>
        <v>#N/A</v>
      </c>
      <c r="AE295" s="31">
        <v>0</v>
      </c>
      <c r="AF295" s="102" t="e">
        <f>IF(NDC!$H$10="Oui",(VLOOKUP($B$3,'Coeff EC7'!$T$39:$X$59,2,0)*AD295+VLOOKUP($B$3,'Coeff EC7'!$T$65:$X$85,2,0)*Model0.1T!AE295)/1.5,PI()*AB$12*$Q295*($B295-$B294)*0.15/10+AF294)</f>
        <v>#N/A</v>
      </c>
      <c r="AG295" s="102" t="e">
        <f>(VLOOKUP($B$3,'Coeff EC7'!$T$39:$X$59,3,0)*AD295+VLOOKUP($B$3,'Coeff EC7'!$T$65:$X$85,3,0)*Model0.1T!AE295)/1.1</f>
        <v>#N/A</v>
      </c>
      <c r="AH295" s="102" t="e">
        <f t="shared" si="468"/>
        <v>#N/A</v>
      </c>
      <c r="AI295" s="102" t="e">
        <f t="shared" si="469"/>
        <v>#N/A</v>
      </c>
      <c r="AJ295" s="414" t="e">
        <f>IF(AND(AF295&gt;NDC!$C$63,AG295&gt;NDC!$C$65,AH295&gt;NDC!$D$73,AI295&gt;NDC!$D$74,$B295&gt;NDC!$H$22-0.1+MIN(3*$AJ$12,1.5)),0,1)</f>
        <v>#N/A</v>
      </c>
      <c r="AK295" s="86" t="b">
        <f t="shared" si="439"/>
        <v>0</v>
      </c>
      <c r="AL295" s="86">
        <f t="shared" si="470"/>
        <v>0.5</v>
      </c>
      <c r="AM295" s="86">
        <f t="shared" si="440"/>
        <v>0.5</v>
      </c>
      <c r="AN295" s="30" t="e">
        <f t="shared" ca="1" si="471"/>
        <v>#DIV/0!</v>
      </c>
      <c r="AO295" s="85" t="e">
        <f ca="1">IF(U295&lt;=Hypothèses!$V$7,Hypothèses!$W$7,IF(U295&lt;=Hypothèses!$V$8,Hypothèses!$W$8,IF(U295&lt;=Hypothèses!$V$9,Hypothèses!$W$9,IF(U295&lt;=Hypothèses!$V$10,Hypothèses!$W$10,IF(U295&lt;=Hypothèses!$V$11,Hypothèses!$W$11,IF(U295&lt;=Hypothèses!$V$12,Hypothèses!$W$12,IF(U295&lt;=Hypothèses!$V$13,Hypothèses!$W$13,IF(U295&lt;=Hypothèses!$V$14,Hypothèses!$W$14,IF(U295&lt;=Hypothèses!$V$15,Hypothèses!$W$15,IF(U295&lt;=Hypothèses!$V$16,Hypothèses!$W$16,IF(U295&lt;=Hypothèses!$V$17,Hypothèses!$W$17,IF(U295&lt;=Hypothèses!$V$18,Hypothèses!$W$18,""))))))))))))</f>
        <v>#DIV/0!</v>
      </c>
      <c r="AP295" s="87" t="e">
        <f t="shared" ca="1" si="517"/>
        <v>#DIV/0!</v>
      </c>
      <c r="AQ295" s="88" t="e">
        <f ca="1">IF(U295&lt;=Hypothèses!$V$7,Hypothèses!$X$7,IF(U295&lt;=Hypothèses!$V$8,Hypothèses!$X$8,IF(U295&lt;=Hypothèses!$V$9,Hypothèses!$X$9,IF(U295&lt;=Hypothèses!$V$10,Hypothèses!$X$10,IF(U295&lt;=Hypothèses!$V$11,Hypothèses!$X$11,IF(U295&lt;=Hypothèses!$V$12,Hypothèses!$X$12,IF(U295&lt;=Hypothèses!$V$13,Hypothèses!$X$13,IF(U295&lt;=Hypothèses!$V$14,Hypothèses!$X$14,IF(U295&lt;=Hypothèses!$V$15,Hypothèses!$X$15,IF(U295&lt;=Hypothèses!$V$16,Hypothèses!$X$16,IF(U295&lt;=Hypothèses!$U$17,Hypothèses!$W$17,IF(U295&lt;=Hypothèses!$U$18,Hypothèses!$W$18,""))))))))))))</f>
        <v>#DIV/0!</v>
      </c>
      <c r="AR295" s="95" t="e">
        <f t="shared" ca="1" si="472"/>
        <v>#DIV/0!</v>
      </c>
      <c r="AS295" s="101">
        <f t="shared" si="524"/>
        <v>0</v>
      </c>
      <c r="AT295" s="91">
        <f t="shared" si="441"/>
        <v>0</v>
      </c>
      <c r="AU295" s="30" t="e">
        <f t="shared" si="502"/>
        <v>#N/A</v>
      </c>
      <c r="AV295" s="30" t="e">
        <f t="shared" si="503"/>
        <v>#N/A</v>
      </c>
      <c r="AW295" s="31" t="e">
        <f>IF(OR(Hypothèses!$B$4=17,Hypothèses!$B$4=18,Hypothèses!$B$4=19,Hypothèses!$B$4=20),
IF($D295="Pressio.",
IF(OR($E295=3,$E295=1,$E295=4),AV295,AU295),
IF($D295="Pénétro.",
IF(OR($E295=3,$E295=1,$E295=4),AV295,AU295))),IF($D295="Pressio.",
IF($E295=3,AV295,AU295),
IF($D295="Pénétro.",
IF($E295=4,AV295,AU295))))</f>
        <v>#N/A</v>
      </c>
      <c r="AX295" s="31">
        <v>0</v>
      </c>
      <c r="AY295" s="102" t="e">
        <f>IF(NDC!$H$10="Oui",(VLOOKUP($B$3,'Coeff EC7'!$T$39:$X$59,2,0)*AW295+VLOOKUP($B$3,'Coeff EC7'!$T$65:$X$85,2,0)*Model0.1T!AX295)/1.5,PI()*AU$12*$Q295*($B295-$B294)*0.15/10+AY294)</f>
        <v>#N/A</v>
      </c>
      <c r="AZ295" s="102" t="e">
        <f>(VLOOKUP($B$3,'Coeff EC7'!$T$39:$X$59,3,0)*AW295+VLOOKUP($B$3,'Coeff EC7'!$T$65:$X$85,3,0)*Model0.1T!AX295)/1.1</f>
        <v>#N/A</v>
      </c>
      <c r="BA295" s="102" t="e">
        <f t="shared" si="473"/>
        <v>#N/A</v>
      </c>
      <c r="BB295" s="102" t="e">
        <f t="shared" si="474"/>
        <v>#N/A</v>
      </c>
      <c r="BC295" s="414" t="e">
        <f>IF(AND(AY295&gt;NDC!$C$63,AZ295&gt;NDC!$C$65,BA295&gt;NDC!$D$73,BB295&gt;NDC!$D$74,$B295&gt;NDC!$H$22-0.1+MIN(3*BC$12,1.5)),0,1)</f>
        <v>#N/A</v>
      </c>
      <c r="BD295" s="86" t="b">
        <f t="shared" si="442"/>
        <v>0</v>
      </c>
      <c r="BE295" s="86">
        <f t="shared" si="475"/>
        <v>0.5</v>
      </c>
      <c r="BF295" s="86">
        <f t="shared" si="443"/>
        <v>0.5</v>
      </c>
      <c r="BG295" s="30" t="e">
        <f t="shared" ca="1" si="476"/>
        <v>#DIV/0!</v>
      </c>
      <c r="BH295" s="85" t="e">
        <f ca="1">IF(AN295&lt;=Hypothèses!$V$7,Hypothèses!$W$7,IF(AN295&lt;=Hypothèses!$V$8,Hypothèses!$W$8,IF(AN295&lt;=Hypothèses!$V$9,Hypothèses!$W$9,IF(AN295&lt;=Hypothèses!$V$10,Hypothèses!$W$10,IF(AN295&lt;=Hypothèses!$V$11,Hypothèses!$W$11,IF(AN295&lt;=Hypothèses!$V$12,Hypothèses!$W$12,IF(AN295&lt;=Hypothèses!$V$13,Hypothèses!$W$13,IF(AN295&lt;=Hypothèses!$V$14,Hypothèses!$W$14,IF(AN295&lt;=Hypothèses!$V$15,Hypothèses!$W$15,IF(AN295&lt;=Hypothèses!$V$16,Hypothèses!$W$16,IF(AN295&lt;=Hypothèses!$V$17,Hypothèses!$W$17,IF(AN295&lt;=Hypothèses!$V$18,Hypothèses!$W$18,""))))))))))))</f>
        <v>#DIV/0!</v>
      </c>
      <c r="BI295" s="87" t="e">
        <f t="shared" ca="1" si="518"/>
        <v>#DIV/0!</v>
      </c>
      <c r="BJ295" s="88" t="e">
        <f ca="1">IF(AN295&lt;=Hypothèses!$V$7,Hypothèses!$X$7,IF(AN295&lt;=Hypothèses!$V$8,Hypothèses!$X$8,IF(AN295&lt;=Hypothèses!$V$9,Hypothèses!$X$9,IF(AN295&lt;=Hypothèses!$V$10,Hypothèses!$X$10,IF(AN295&lt;=Hypothèses!$V$11,Hypothèses!$X$11,IF(AN295&lt;=Hypothèses!$V$12,Hypothèses!$X$12,IF(AN295&lt;=Hypothèses!$V$13,Hypothèses!$X$13,IF(AN295&lt;=Hypothèses!$V$14,Hypothèses!$X$14,IF(AN295&lt;=Hypothèses!$V$15,Hypothèses!$X$15,IF(AN295&lt;=Hypothèses!$V$16,Hypothèses!$X$16,IF(AN295&lt;=Hypothèses!$U$17,Hypothèses!$W$17,IF(AN295&lt;=Hypothèses!$U$18,Hypothèses!$W$18,""))))))))))))</f>
        <v>#DIV/0!</v>
      </c>
      <c r="BK295" s="95" t="e">
        <f t="shared" ca="1" si="477"/>
        <v>#DIV/0!</v>
      </c>
      <c r="BL295" s="101">
        <f t="shared" si="525"/>
        <v>0</v>
      </c>
      <c r="BM295" s="91">
        <f t="shared" si="444"/>
        <v>0</v>
      </c>
      <c r="BN295" s="30" t="e">
        <f t="shared" si="504"/>
        <v>#N/A</v>
      </c>
      <c r="BO295" s="30" t="e">
        <f t="shared" si="505"/>
        <v>#N/A</v>
      </c>
      <c r="BP295" s="31" t="e">
        <f>IF(OR(Hypothèses!$B$4=17,Hypothèses!$B$4=18,Hypothèses!$B$4=19,Hypothèses!$B$4=20),
IF($D295="Pressio.",
IF(OR($E295=3,$E295=1,$E295=4),BO295,BN295),
IF($D295="Pénétro.",
IF(OR($E295=3,$E295=1,$E295=4),BO295,BN295))),IF($D295="Pressio.",
IF($E295=3,BO295,BN295),
IF($D295="Pénétro.",
IF($E295=4,BO295,BN295))))</f>
        <v>#N/A</v>
      </c>
      <c r="BQ295" s="31">
        <v>0</v>
      </c>
      <c r="BR295" s="102" t="e">
        <f>IF(NDC!$H$10="Oui",(VLOOKUP($B$3,'Coeff EC7'!$T$39:$X$59,2,0)*BP295+VLOOKUP($B$3,'Coeff EC7'!$T$65:$X$85,2,0)*Model0.1T!BQ295)/1.5,PI()*BN$12*$Q295*($B295-$B294)*0.15/10+BR294)</f>
        <v>#N/A</v>
      </c>
      <c r="BS295" s="102" t="e">
        <f>(VLOOKUP($B$3,'Coeff EC7'!$T$39:$X$59,3,0)*BP295+VLOOKUP($B$3,'Coeff EC7'!$T$65:$X$85,3,0)*Model0.1T!BQ295)/1.1</f>
        <v>#N/A</v>
      </c>
      <c r="BT295" s="102" t="e">
        <f t="shared" si="478"/>
        <v>#N/A</v>
      </c>
      <c r="BU295" s="102" t="e">
        <f t="shared" si="479"/>
        <v>#N/A</v>
      </c>
      <c r="BV295" s="414" t="e">
        <f>IF(AND(BR295&gt;NDC!$C$63,BS295&gt;NDC!$C$65,BT295&gt;NDC!$D$73,BU295&gt;NDC!$D$74,$B295&gt;NDC!$H$22-0.1+MIN(3*BV$12,1.5)),0,1)</f>
        <v>#N/A</v>
      </c>
      <c r="BW295" s="86" t="b">
        <f t="shared" si="445"/>
        <v>0</v>
      </c>
      <c r="BX295" s="86">
        <f t="shared" si="446"/>
        <v>0.5</v>
      </c>
      <c r="BY295" s="86">
        <f t="shared" si="447"/>
        <v>0.5</v>
      </c>
      <c r="BZ295" s="30" t="e">
        <f t="shared" ca="1" si="480"/>
        <v>#DIV/0!</v>
      </c>
      <c r="CA295" s="85" t="e">
        <f ca="1">IF(BG295&lt;=Hypothèses!$V$7,Hypothèses!$W$7,IF(BG295&lt;=Hypothèses!$V$8,Hypothèses!$W$8,IF(BG295&lt;=Hypothèses!$V$9,Hypothèses!$W$9,IF(BG295&lt;=Hypothèses!$V$10,Hypothèses!$W$10,IF(BG295&lt;=Hypothèses!$V$11,Hypothèses!$W$11,IF(BG295&lt;=Hypothèses!$V$12,Hypothèses!$W$12,IF(BG295&lt;=Hypothèses!$V$13,Hypothèses!$W$13,IF(BG295&lt;=Hypothèses!$V$14,Hypothèses!$W$14,IF(BG295&lt;=Hypothèses!$V$15,Hypothèses!$W$15,IF(BG295&lt;=Hypothèses!$V$16,Hypothèses!$W$16,IF(BG295&lt;=Hypothèses!$V$17,Hypothèses!$W$17,IF(BG295&lt;=Hypothèses!$V$18,Hypothèses!$W$18,""))))))))))))</f>
        <v>#DIV/0!</v>
      </c>
      <c r="CB295" s="87" t="e">
        <f t="shared" ca="1" si="519"/>
        <v>#DIV/0!</v>
      </c>
      <c r="CC295" s="88" t="e">
        <f ca="1">IF(BG295&lt;=Hypothèses!$V$7,Hypothèses!$X$7,IF(BG295&lt;=Hypothèses!$V$8,Hypothèses!$X$8,IF(BG295&lt;=Hypothèses!$V$9,Hypothèses!$X$9,IF(BG295&lt;=Hypothèses!$V$10,Hypothèses!$X$10,IF(BG295&lt;=Hypothèses!$V$11,Hypothèses!$X$11,IF(BG295&lt;=Hypothèses!$V$12,Hypothèses!$X$12,IF(BG295&lt;=Hypothèses!$V$13,Hypothèses!$X$13,IF(BG295&lt;=Hypothèses!$V$14,Hypothèses!$X$14,IF(BG295&lt;=Hypothèses!$V$15,Hypothèses!$X$15,IF(BG295&lt;=Hypothèses!$V$16,Hypothèses!$X$16,IF(BG295&lt;=Hypothèses!$U$17,Hypothèses!$W$17,IF(BG295&lt;=Hypothèses!$U$18,Hypothèses!$W$18,""))))))))))))</f>
        <v>#DIV/0!</v>
      </c>
      <c r="CD295" s="95" t="e">
        <f t="shared" ca="1" si="481"/>
        <v>#DIV/0!</v>
      </c>
      <c r="CE295" s="101">
        <f t="shared" si="526"/>
        <v>0</v>
      </c>
      <c r="CF295" s="91">
        <f t="shared" si="448"/>
        <v>0</v>
      </c>
      <c r="CG295" s="30" t="e">
        <f t="shared" si="506"/>
        <v>#N/A</v>
      </c>
      <c r="CH295" s="30" t="e">
        <f t="shared" si="507"/>
        <v>#N/A</v>
      </c>
      <c r="CI295" s="31" t="e">
        <f>IF(OR(Hypothèses!$B$4=17,Hypothèses!$B$4=18,Hypothèses!$B$4=19,Hypothèses!$B$4=20),
IF($D295="Pressio.",
IF(OR($E295=3,$E295=1,$E295=4),CH295,CG295),
IF($D295="Pénétro.",
IF(OR($E295=3,$E295=1,$E295=4),CH295,CG295))),IF($D295="Pressio.",
IF($E295=3,CH295,CG295),
IF($D295="Pénétro.",
IF($E295=4,CH295,CG295))))</f>
        <v>#N/A</v>
      </c>
      <c r="CJ295" s="31">
        <v>0</v>
      </c>
      <c r="CK295" s="102" t="e">
        <f>IF(NDC!$H$10="Oui",(VLOOKUP($B$3,'Coeff EC7'!$T$39:$X$59,2,0)*CI295+VLOOKUP($B$3,'Coeff EC7'!$T$65:$X$85,2,0)*Model0.1T!CJ295)/1.5,PI()*CG$12*$Q295*($B295-$B294)*0.15/10+CK294)</f>
        <v>#N/A</v>
      </c>
      <c r="CL295" s="102" t="e">
        <f>(VLOOKUP($B$3,'Coeff EC7'!$T$39:$X$59,3,0)*CI295+VLOOKUP($B$3,'Coeff EC7'!$T$65:$X$85,3,0)*Model0.1T!CJ295)/1.1</f>
        <v>#N/A</v>
      </c>
      <c r="CM295" s="102" t="e">
        <f t="shared" si="482"/>
        <v>#N/A</v>
      </c>
      <c r="CN295" s="102" t="e">
        <f t="shared" si="483"/>
        <v>#N/A</v>
      </c>
      <c r="CO295" s="414" t="e">
        <f>IF(AND(CK295&gt;NDC!$C$63,CL295&gt;NDC!$C$65,CM295&gt;NDC!$D$73,CN295&gt;NDC!$D$74,$B295&gt;NDC!$H$22-0.1+MIN(3*CO$12,1.5)),0,1)</f>
        <v>#N/A</v>
      </c>
      <c r="CP295" s="86" t="b">
        <f t="shared" si="449"/>
        <v>0</v>
      </c>
      <c r="CQ295" s="86">
        <f t="shared" si="450"/>
        <v>0.5</v>
      </c>
      <c r="CR295" s="86">
        <f t="shared" si="451"/>
        <v>0.5</v>
      </c>
      <c r="CS295" s="30" t="e">
        <f t="shared" ca="1" si="484"/>
        <v>#DIV/0!</v>
      </c>
      <c r="CT295" s="85" t="e">
        <f ca="1">IF(BZ295&lt;=Hypothèses!$V$7,Hypothèses!$W$7,IF(BZ295&lt;=Hypothèses!$V$8,Hypothèses!$W$8,IF(BZ295&lt;=Hypothèses!$V$9,Hypothèses!$W$9,IF(BZ295&lt;=Hypothèses!$V$10,Hypothèses!$W$10,IF(BZ295&lt;=Hypothèses!$V$11,Hypothèses!$W$11,IF(BZ295&lt;=Hypothèses!$V$12,Hypothèses!$W$12,IF(BZ295&lt;=Hypothèses!$V$13,Hypothèses!$W$13,IF(BZ295&lt;=Hypothèses!$V$14,Hypothèses!$W$14,IF(BZ295&lt;=Hypothèses!$V$15,Hypothèses!$W$15,IF(BZ295&lt;=Hypothèses!$V$16,Hypothèses!$W$16,IF(BZ295&lt;=Hypothèses!$V$17,Hypothèses!$W$17,IF(BZ295&lt;=Hypothèses!$V$18,Hypothèses!$W$18,""))))))))))))</f>
        <v>#DIV/0!</v>
      </c>
      <c r="CU295" s="87" t="e">
        <f t="shared" ca="1" si="520"/>
        <v>#DIV/0!</v>
      </c>
      <c r="CV295" s="88" t="e">
        <f ca="1">IF(BZ295&lt;=Hypothèses!$V$7,Hypothèses!$X$7,IF(BZ295&lt;=Hypothèses!$V$8,Hypothèses!$X$8,IF(BZ295&lt;=Hypothèses!$V$9,Hypothèses!$X$9,IF(BZ295&lt;=Hypothèses!$V$10,Hypothèses!$X$10,IF(BZ295&lt;=Hypothèses!$V$11,Hypothèses!$X$11,IF(BZ295&lt;=Hypothèses!$V$12,Hypothèses!$X$12,IF(BZ295&lt;=Hypothèses!$V$13,Hypothèses!$X$13,IF(BZ295&lt;=Hypothèses!$V$14,Hypothèses!$X$14,IF(BZ295&lt;=Hypothèses!$V$15,Hypothèses!$X$15,IF(BZ295&lt;=Hypothèses!$V$16,Hypothèses!$X$16,IF(BZ295&lt;=Hypothèses!$U$17,Hypothèses!$W$17,IF(BZ295&lt;=Hypothèses!$U$18,Hypothèses!$W$18,""))))))))))))</f>
        <v>#DIV/0!</v>
      </c>
      <c r="CW295" s="95" t="e">
        <f t="shared" ca="1" si="485"/>
        <v>#DIV/0!</v>
      </c>
      <c r="CX295" s="101">
        <f t="shared" si="527"/>
        <v>0</v>
      </c>
      <c r="CY295" s="91">
        <f t="shared" si="452"/>
        <v>0</v>
      </c>
      <c r="CZ295" s="30" t="e">
        <f t="shared" si="508"/>
        <v>#N/A</v>
      </c>
      <c r="DA295" s="30" t="e">
        <f t="shared" si="509"/>
        <v>#N/A</v>
      </c>
      <c r="DB295" s="31" t="e">
        <f>IF(OR(Hypothèses!$B$4=17,Hypothèses!$B$4=18,Hypothèses!$B$4=19,Hypothèses!$B$4=20),
IF($D295="Pressio.",
IF(OR($E295=3,$E295=1,$E295=4),DA295,CZ295),
IF($D295="Pénétro.",
IF(OR($E295=3,$E295=1,$E295=4),DA295,CZ295))),IF($D295="Pressio.",
IF($E295=3,DA295,CZ295),
IF($D295="Pénétro.",
IF($E295=4,DA295,CZ295))))</f>
        <v>#N/A</v>
      </c>
      <c r="DC295" s="31">
        <v>0</v>
      </c>
      <c r="DD295" s="102" t="e">
        <f>IF(NDC!$H$10="Oui",(VLOOKUP($B$3,'Coeff EC7'!$T$39:$X$59,2,0)*DB295+VLOOKUP($B$3,'Coeff EC7'!$T$65:$X$85,2,0)*Model0.1T!DC295)/1.5,PI()*CZ$12*$Q295*($B295-$B294)*0.15/10+DD294)</f>
        <v>#N/A</v>
      </c>
      <c r="DE295" s="102" t="e">
        <f>(VLOOKUP($B$3,'Coeff EC7'!$T$39:$X$59,3,0)*DB295+VLOOKUP($B$3,'Coeff EC7'!$T$65:$X$85,3,0)*Model0.1T!DC295)/1.1</f>
        <v>#N/A</v>
      </c>
      <c r="DF295" s="102" t="e">
        <f t="shared" si="486"/>
        <v>#N/A</v>
      </c>
      <c r="DG295" s="102" t="e">
        <f t="shared" si="487"/>
        <v>#N/A</v>
      </c>
      <c r="DH295" s="414" t="e">
        <f>IF(AND(DD295&gt;NDC!$C$63,DE295&gt;NDC!$C$65,DF295&gt;NDC!$D$73,DG295&gt;NDC!$D$74,$B295&gt;NDC!$H$22-0.1+MIN(3*DH$12,1.5)),0,1)</f>
        <v>#N/A</v>
      </c>
      <c r="DI295" s="86" t="b">
        <f t="shared" si="453"/>
        <v>0</v>
      </c>
      <c r="DJ295" s="86">
        <f t="shared" si="454"/>
        <v>0.5</v>
      </c>
      <c r="DK295" s="86">
        <f t="shared" si="455"/>
        <v>0.5</v>
      </c>
      <c r="DL295" s="30" t="e">
        <f t="shared" ca="1" si="488"/>
        <v>#DIV/0!</v>
      </c>
      <c r="DM295" s="85" t="e">
        <f ca="1">IF(CS295&lt;=Hypothèses!$V$7,Hypothèses!$W$7,IF(CS295&lt;=Hypothèses!$V$8,Hypothèses!$W$8,IF(CS295&lt;=Hypothèses!$V$9,Hypothèses!$W$9,IF(CS295&lt;=Hypothèses!$V$10,Hypothèses!$W$10,IF(CS295&lt;=Hypothèses!$V$11,Hypothèses!$W$11,IF(CS295&lt;=Hypothèses!$V$12,Hypothèses!$W$12,IF(CS295&lt;=Hypothèses!$V$13,Hypothèses!$W$13,IF(CS295&lt;=Hypothèses!$V$14,Hypothèses!$W$14,IF(CS295&lt;=Hypothèses!$V$15,Hypothèses!$W$15,IF(CS295&lt;=Hypothèses!$V$16,Hypothèses!$W$16,IF(CS295&lt;=Hypothèses!$V$17,Hypothèses!$W$17,IF(CS295&lt;=Hypothèses!$V$18,Hypothèses!$W$18,""))))))))))))</f>
        <v>#DIV/0!</v>
      </c>
      <c r="DN295" s="87" t="e">
        <f t="shared" ca="1" si="521"/>
        <v>#DIV/0!</v>
      </c>
      <c r="DO295" s="88" t="e">
        <f ca="1">IF(CS295&lt;=Hypothèses!$V$7,Hypothèses!$X$7,IF(CS295&lt;=Hypothèses!$V$8,Hypothèses!$X$8,IF(CS295&lt;=Hypothèses!$V$9,Hypothèses!$X$9,IF(CS295&lt;=Hypothèses!$V$10,Hypothèses!$X$10,IF(CS295&lt;=Hypothèses!$V$11,Hypothèses!$X$11,IF(CS295&lt;=Hypothèses!$V$12,Hypothèses!$X$12,IF(CS295&lt;=Hypothèses!$V$13,Hypothèses!$X$13,IF(CS295&lt;=Hypothèses!$V$14,Hypothèses!$X$14,IF(CS295&lt;=Hypothèses!$V$15,Hypothèses!$X$15,IF(CS295&lt;=Hypothèses!$V$16,Hypothèses!$X$16,IF(CS295&lt;=Hypothèses!$U$17,Hypothèses!$W$17,IF(CS295&lt;=Hypothèses!$U$18,Hypothèses!$W$18,""))))))))))))</f>
        <v>#DIV/0!</v>
      </c>
      <c r="DP295" s="95" t="e">
        <f t="shared" ca="1" si="489"/>
        <v>#DIV/0!</v>
      </c>
      <c r="DQ295" s="101">
        <f t="shared" si="528"/>
        <v>0</v>
      </c>
      <c r="DR295" s="91">
        <f t="shared" si="456"/>
        <v>0</v>
      </c>
      <c r="DS295" s="30" t="e">
        <f t="shared" si="510"/>
        <v>#N/A</v>
      </c>
      <c r="DT295" s="30" t="e">
        <f t="shared" si="511"/>
        <v>#N/A</v>
      </c>
      <c r="DU295" s="31" t="e">
        <f>IF(OR(Hypothèses!$B$4=17,Hypothèses!$B$4=18,Hypothèses!$B$4=19,Hypothèses!$B$4=20),
IF($D295="Pressio.",
IF(OR($E295=3,$E295=1,$E295=4),DT295,DS295),
IF($D295="Pénétro.",
IF(OR($E295=3,$E295=1,$E295=4),DT295,DS295))),IF($D295="Pressio.",
IF($E295=3,DT295,DS295),
IF($D295="Pénétro.",
IF($E295=4,DT295,DS295))))</f>
        <v>#N/A</v>
      </c>
      <c r="DV295" s="31">
        <v>0</v>
      </c>
      <c r="DW295" s="102" t="e">
        <f>IF(NDC!$H$10="Oui",(VLOOKUP($B$3,'Coeff EC7'!$T$39:$X$59,2,0)*DU295+VLOOKUP($B$3,'Coeff EC7'!$T$65:$X$85,2,0)*Model0.1T!DV295)/1.5,PI()*DS$12*$Q295*($B295-$B294)*0.15/10+DW294)</f>
        <v>#N/A</v>
      </c>
      <c r="DX295" s="102" t="e">
        <f>(VLOOKUP($B$3,'Coeff EC7'!$T$39:$X$59,3,0)*DU295+VLOOKUP($B$3,'Coeff EC7'!$T$65:$X$85,3,0)*Model0.1T!DV295)/1.1</f>
        <v>#N/A</v>
      </c>
      <c r="DY295" s="102" t="e">
        <f t="shared" si="490"/>
        <v>#N/A</v>
      </c>
      <c r="DZ295" s="102" t="e">
        <f t="shared" si="491"/>
        <v>#N/A</v>
      </c>
      <c r="EA295" s="414" t="e">
        <f>IF(AND(DW295&gt;NDC!$C$63,DX295&gt;NDC!$C$65,DY295&gt;NDC!$D$73,DZ295&gt;NDC!$D$74,$B295&gt;NDC!$H$22-0.1+MIN(3*EA$12,1.5)),0,1)</f>
        <v>#N/A</v>
      </c>
      <c r="EB295" s="86" t="b">
        <f t="shared" si="457"/>
        <v>0</v>
      </c>
      <c r="EC295" s="418">
        <f t="shared" si="458"/>
        <v>0.51</v>
      </c>
      <c r="ED295" s="86">
        <f t="shared" si="459"/>
        <v>0.51</v>
      </c>
      <c r="EE295" s="30" t="e">
        <f t="shared" ca="1" si="492"/>
        <v>#DIV/0!</v>
      </c>
      <c r="EF295" s="85" t="e">
        <f ca="1">IF(DL295&lt;=Hypothèses!$V$7,Hypothèses!$W$7,IF(DL295&lt;=Hypothèses!$V$8,Hypothèses!$W$8,IF(DL295&lt;=Hypothèses!$V$9,Hypothèses!$W$9,IF(DL295&lt;=Hypothèses!$V$10,Hypothèses!$W$10,IF(DL295&lt;=Hypothèses!$V$11,Hypothèses!$W$11,IF(DL295&lt;=Hypothèses!$V$12,Hypothèses!$W$12,IF(DL295&lt;=Hypothèses!$V$13,Hypothèses!$W$13,IF(DL295&lt;=Hypothèses!$V$14,Hypothèses!$W$14,IF(DL295&lt;=Hypothèses!$V$15,Hypothèses!$W$15,IF(DL295&lt;=Hypothèses!$V$16,Hypothèses!$W$16,IF(DL295&lt;=Hypothèses!$V$17,Hypothèses!$W$17,IF(DL295&lt;=Hypothèses!$V$18,Hypothèses!$W$18,""))))))))))))</f>
        <v>#DIV/0!</v>
      </c>
      <c r="EG295" s="87" t="e">
        <f t="shared" ca="1" si="522"/>
        <v>#DIV/0!</v>
      </c>
      <c r="EH295" s="88" t="e">
        <f ca="1">IF(DL295&lt;=Hypothèses!$V$7,Hypothèses!$X$7,IF(DL295&lt;=Hypothèses!$V$8,Hypothèses!$X$8,IF(DL295&lt;=Hypothèses!$V$9,Hypothèses!$X$9,IF(DL295&lt;=Hypothèses!$V$10,Hypothèses!$X$10,IF(DL295&lt;=Hypothèses!$V$11,Hypothèses!$X$11,IF(DL295&lt;=Hypothèses!$V$12,Hypothèses!$X$12,IF(DL295&lt;=Hypothèses!$V$13,Hypothèses!$X$13,IF(DL295&lt;=Hypothèses!$V$14,Hypothèses!$X$14,IF(DL295&lt;=Hypothèses!$V$15,Hypothèses!$X$15,IF(DL295&lt;=Hypothèses!$V$16,Hypothèses!$X$16,IF(DL295&lt;=Hypothèses!$U$17,Hypothèses!$W$17,IF(DL295&lt;=Hypothèses!$U$18,Hypothèses!$W$18,""))))))))))))</f>
        <v>#DIV/0!</v>
      </c>
      <c r="EI295" s="95" t="e">
        <f t="shared" ca="1" si="493"/>
        <v>#DIV/0!</v>
      </c>
      <c r="EJ295" s="101">
        <f t="shared" si="529"/>
        <v>0</v>
      </c>
      <c r="EK295" s="91">
        <f t="shared" si="460"/>
        <v>0</v>
      </c>
      <c r="EL295" s="30" t="e">
        <f t="shared" si="512"/>
        <v>#N/A</v>
      </c>
      <c r="EM295" s="30" t="e">
        <f t="shared" si="513"/>
        <v>#N/A</v>
      </c>
      <c r="EN295" s="31" t="e">
        <f>IF(OR(Hypothèses!$B$4=17,Hypothèses!$B$4=18,Hypothèses!$B$4=19,Hypothèses!$B$4=20),
IF($D295="Pressio.",
IF(OR($E295=3,$E295=1,$E295=4),EM295,EL295),
IF($D295="Pénétro.",
IF(OR($E295=3,$E295=1,$E295=4),EM295,EL295))),IF($D295="Pressio.",
IF($E295=3,EM295,EL295),
IF($D295="Pénétro.",
IF($E295=4,EM295,EL295))))</f>
        <v>#N/A</v>
      </c>
      <c r="EO295" s="31">
        <v>0</v>
      </c>
      <c r="EP295" s="102" t="e">
        <f>IF(NDC!$H$10="Oui",(VLOOKUP($B$3,'Coeff EC7'!$T$39:$X$59,2,0)*EN295+VLOOKUP($B$3,'Coeff EC7'!$T$65:$X$85,2,0)*Model0.1T!EO295)/1.5,PI()*EL$12*$Q295*($B295-$B294)*0.15/10+EP294)</f>
        <v>#N/A</v>
      </c>
      <c r="EQ295" s="102" t="e">
        <f>(VLOOKUP($B$3,'Coeff EC7'!$T$39:$X$59,3,0)*EN295+VLOOKUP($B$3,'Coeff EC7'!$T$65:$X$85,3,0)*Model0.1T!EO295)/1.1</f>
        <v>#N/A</v>
      </c>
      <c r="ER295" s="102" t="e">
        <f t="shared" si="494"/>
        <v>#N/A</v>
      </c>
      <c r="ES295" s="102" t="e">
        <f t="shared" si="495"/>
        <v>#N/A</v>
      </c>
      <c r="ET295" s="414" t="e">
        <f>IF(AND(EP295&gt;NDC!$C$63,EQ295&gt;NDC!$C$65,ER295&gt;NDC!$D$73,ES295&gt;NDC!$D$74,$B295&gt;NDC!$H$22-0.1+MIN(3*ET$12,1.5)),0,1)</f>
        <v>#N/A</v>
      </c>
      <c r="EU295" s="86" t="b">
        <f t="shared" si="461"/>
        <v>0</v>
      </c>
      <c r="EV295" s="86">
        <f t="shared" si="462"/>
        <v>0.61</v>
      </c>
      <c r="EW295" s="86">
        <f t="shared" si="463"/>
        <v>0.61</v>
      </c>
      <c r="EX295" s="30" t="e">
        <f t="shared" ca="1" si="496"/>
        <v>#DIV/0!</v>
      </c>
      <c r="EY295" s="85" t="e">
        <f ca="1">IF(EE295&lt;=Hypothèses!$V$7,Hypothèses!$W$7,IF(EE295&lt;=Hypothèses!$V$8,Hypothèses!$W$8,IF(EE295&lt;=Hypothèses!$V$9,Hypothèses!$W$9,IF(EE295&lt;=Hypothèses!$V$10,Hypothèses!$W$10,IF(EE295&lt;=Hypothèses!$V$11,Hypothèses!$W$11,IF(EE295&lt;=Hypothèses!$V$12,Hypothèses!$W$12,IF(EE295&lt;=Hypothèses!$V$13,Hypothèses!$W$13,IF(EE295&lt;=Hypothèses!$V$14,Hypothèses!$W$14,IF(EE295&lt;=Hypothèses!$V$15,Hypothèses!$W$15,IF(EE295&lt;=Hypothèses!$V$16,Hypothèses!$W$16,IF(EE295&lt;=Hypothèses!$V$17,Hypothèses!$W$17,IF(EE295&lt;=Hypothèses!$V$18,Hypothèses!$W$18,""))))))))))))</f>
        <v>#DIV/0!</v>
      </c>
      <c r="EZ295" s="87" t="e">
        <f t="shared" ca="1" si="523"/>
        <v>#DIV/0!</v>
      </c>
      <c r="FA295" s="88" t="e">
        <f ca="1">IF(EE295&lt;=Hypothèses!$V$7,Hypothèses!$X$7,IF(EE295&lt;=Hypothèses!$V$8,Hypothèses!$X$8,IF(EE295&lt;=Hypothèses!$V$9,Hypothèses!$X$9,IF(EE295&lt;=Hypothèses!$V$10,Hypothèses!$X$10,IF(EE295&lt;=Hypothèses!$V$11,Hypothèses!$X$11,IF(EE295&lt;=Hypothèses!$V$12,Hypothèses!$X$12,IF(EE295&lt;=Hypothèses!$V$13,Hypothèses!$X$13,IF(EE295&lt;=Hypothèses!$V$14,Hypothèses!$X$14,IF(EE295&lt;=Hypothèses!$V$15,Hypothèses!$X$15,IF(EE295&lt;=Hypothèses!$V$16,Hypothèses!$X$16,IF(EE295&lt;=Hypothèses!$U$17,Hypothèses!$W$17,IF(EE295&lt;=Hypothèses!$U$18,Hypothèses!$W$18,""))))))))))))</f>
        <v>#DIV/0!</v>
      </c>
      <c r="FB295" s="95" t="e">
        <f t="shared" ca="1" si="497"/>
        <v>#DIV/0!</v>
      </c>
      <c r="FC295" s="101">
        <f t="shared" si="530"/>
        <v>0</v>
      </c>
      <c r="FD295" s="91">
        <f t="shared" si="464"/>
        <v>0</v>
      </c>
      <c r="FE295" s="30" t="e">
        <f t="shared" si="514"/>
        <v>#N/A</v>
      </c>
      <c r="FF295" s="30" t="e">
        <f t="shared" si="515"/>
        <v>#N/A</v>
      </c>
      <c r="FG295" s="31" t="e">
        <f>IF(OR(Hypothèses!$B$4=17,Hypothèses!$B$4=18,Hypothèses!$B$4=19,Hypothèses!$B$4=20),
IF($D295="Pressio.",
IF(OR($E295=3,$E295=1,$E295=4),FF295,FE295),
IF($D295="Pénétro.",
IF(OR($E295=3,$E295=1,$E295=4),FF295,FE295))),IF($D295="Pressio.",
IF($E295=3,FF295,FE295),
IF($D295="Pénétro.",
IF($E295=4,FF295,FE295))))</f>
        <v>#N/A</v>
      </c>
      <c r="FH295" s="31">
        <v>0</v>
      </c>
      <c r="FI295" s="102" t="e">
        <f>IF(NDC!$H$10="Oui",(VLOOKUP($B$3,'Coeff EC7'!$T$39:$X$59,2,0)*FG295+VLOOKUP($B$3,'Coeff EC7'!$T$65:$X$85,2,0)*Model0.1T!FH295)/1.5,PI()*FE$12*$Q295*($B295-$B294)*0.15/10+FI294)</f>
        <v>#N/A</v>
      </c>
      <c r="FJ295" s="102" t="e">
        <f>(VLOOKUP($B$3,'Coeff EC7'!$T$39:$X$59,3,0)*FG295+VLOOKUP($B$3,'Coeff EC7'!$T$65:$X$85,3,0)*Model0.1T!FH295)/1.1</f>
        <v>#N/A</v>
      </c>
      <c r="FK295" s="102" t="e">
        <f t="shared" si="498"/>
        <v>#N/A</v>
      </c>
      <c r="FL295" s="102" t="e">
        <f t="shared" si="499"/>
        <v>#N/A</v>
      </c>
      <c r="FM295" s="414" t="e">
        <f>IF(AND(FI295&gt;NDC!$C$63,FJ295&gt;NDC!$C$65,FK295&gt;NDC!$D$73,FL295&gt;NDC!$D$74,$B295&gt;NDC!$H$22-0.1+MIN(3*FM$12,1.5)),0,1)</f>
        <v>#N/A</v>
      </c>
    </row>
    <row r="296" spans="1:169">
      <c r="A296" s="96">
        <f t="shared" si="465"/>
        <v>71.700000000001609</v>
      </c>
      <c r="B296" s="97">
        <v>28.3</v>
      </c>
      <c r="C296" s="81">
        <f>IF(B296&lt;=Hypothèses!$C$7,Hypothèses!$A$7,IF(B296&lt;=Hypothèses!$C$8,Hypothèses!$A$8,IF(B296&lt;=Hypothèses!$C$9,Hypothèses!$A$9,IF(B296&lt;=Hypothèses!$C$10,Hypothèses!$A$10,IF(B296&lt;=Hypothèses!$C$11,Hypothèses!$A$11,IF(B296&lt;=Hypothèses!$C$12,Hypothèses!$A$12,IF(B296&lt;=Hypothèses!$C$13,Hypothèses!$A$13,IF(B296&lt;=Hypothèses!$C$14,Hypothèses!$A$14,IF(B296&lt;=Hypothèses!$C$15,Hypothèses!$A$15,IF(B296&lt;=Hypothèses!$C$16,Hypothèses!$A$16,IF(B296&lt;=Hypothèses!$C$17,Hypothèses!$A$17,IF(B296&lt;=Hypothèses!$C$18,Hypothèses!$A$18,C295))))))))))))</f>
        <v>11</v>
      </c>
      <c r="D296" s="82" t="str">
        <f>IF(B296&lt;=Hypothèses!$C$7,Hypothèses!$R$7,IF(B296&lt;=Hypothèses!$C$8,Hypothèses!$R$8,IF(B296&lt;=Hypothèses!$C$9,Hypothèses!$R$9,IF(B296&lt;=Hypothèses!$C$10,Hypothèses!$R$10,IF(B296&lt;=Hypothèses!$C$11,Hypothèses!$R$11,IF(B296&lt;=Hypothèses!$C$12,Hypothèses!$R$12,IF(B296&lt;=Hypothèses!$C$13,Hypothèses!$R$13,IF(B296&lt;=Hypothèses!$C$14,Hypothèses!$R$14,IF(B296&lt;=Hypothèses!$C$15,Hypothèses!$R$15,IF(B296&lt;=Hypothèses!$C$16,Hypothèses!$R$16,IF(B296&lt;=Hypothèses!$C$17,Hypothèses!$R$17,IF(B296&lt;=Hypothèses!$C$18,Hypothèses!$R$18,D295))))))))))))</f>
        <v>Pressio.</v>
      </c>
      <c r="E296" s="82" t="e">
        <f>IF(B296&lt;=Hypothèses!$C$7,Hypothèses!$G$7,IF(B296&lt;=Hypothèses!$C$8,Hypothèses!$G$8,IF(B296&lt;=Hypothèses!$C$9,Hypothèses!$G$9,IF(B296&lt;=Hypothèses!$C$10,Hypothèses!$G$10,IF(B296&lt;=Hypothèses!$C$11,Hypothèses!$G$11,IF(B296&lt;=Hypothèses!$C$12,Hypothèses!$G$12,IF(B296&lt;=Hypothèses!$C$13,Hypothèses!$G$13,IF(B296&lt;=Hypothèses!$C$14,Hypothèses!$G$14,IF(B296&lt;=Hypothèses!$C$15,Hypothèses!$G$15,IF(B296&lt;=Hypothèses!$C$16,Hypothèses!$G$16,IF(B296&lt;=Hypothèses!$C$17,Hypothèses!$G$17,IF(B296&lt;=Hypothèses!$C$18,Hypothèses!$G$18,E295))))))))))))</f>
        <v>#N/A</v>
      </c>
      <c r="F296" s="82" t="str">
        <f>IF(B296&lt;=Hypothèses!$C$7,Hypothèses!$F$7,IF(B296&lt;=Hypothèses!$C$8,Hypothèses!$F$8,IF(B296&lt;=Hypothèses!$C$9,Hypothèses!$F$9,IF(B296&lt;=Hypothèses!$C$10,Hypothèses!$F$10,IF(B296&lt;=Hypothèses!$C$11,Hypothèses!$F$11,IF(B296&lt;=Hypothèses!$C$12,Hypothèses!$F$12,IF(B296&lt;=Hypothèses!$C$13,Hypothèses!$F$13,IF(B296&lt;=Hypothèses!$C$14,Hypothèses!$F$14,IF(B296&lt;=Hypothèses!$C$15,Hypothèses!$F$15,IF(B296&lt;=Hypothèses!$C$16,Hypothèses!$F$16,IF(B296&lt;=Hypothèses!$C$17,Hypothèses!$F$17,IF(B296&lt;=Hypothèses!$C$18,Hypothèses!$F$18,F295))))))))))))</f>
        <v/>
      </c>
      <c r="G296" s="91">
        <f t="array" ref="G296">INDEX('Coeff EC7'!$U$7:$X$27,
MATCH(Model0.1T!$B$3,'Coeff EC7'!$T$7:$T$27,0),
MATCH(Model0.1T!$D296&amp;Model0.1T!$B$4,
'Coeff EC7'!$U$6:$X$6&amp;
'Coeff EC7'!$U$5:$X$5,0))</f>
        <v>1.4</v>
      </c>
      <c r="H296" s="91">
        <f t="array" ref="H296">INDEX('Coeff EC7'!$Y$7:$AB$27,
MATCH(Model0.1T!$B$3,'Coeff EC7'!$T$7:$T$27,0),
MATCH(Model0.1T!$D296&amp;Model0.1T!$B$4,
'Coeff EC7'!$Y$6:$AB$6&amp;
'Coeff EC7'!$Y$5:$AB$5,0))</f>
        <v>1.7</v>
      </c>
      <c r="I296" s="83">
        <v>0</v>
      </c>
      <c r="J296" s="91" t="e">
        <f t="array" ref="J296">INDEX('Coeff EC7'!$D$33:$Q$33,1,MATCH(D296&amp;E296,'Coeff EC7'!$D$31:$Q$31&amp;'Coeff EC7'!$D$32:$Q$32,0))</f>
        <v>#N/A</v>
      </c>
      <c r="K296" s="91" t="e">
        <f t="array" ref="K296">INDEX('Coeff EC7'!$D$34:$Q$34,1,MATCH(D296&amp;E296,'Coeff EC7'!$D$31:$Q$31&amp;'Coeff EC7'!$D$32:$Q$32,0))</f>
        <v>#N/A</v>
      </c>
      <c r="L296" s="91" t="e">
        <f t="array" ref="L296">INDEX('Coeff EC7'!$D$35:$Q$35,1,MATCH(D296&amp;E296,'Coeff EC7'!$D$31:$Q$31&amp;'Coeff EC7'!$D$32:$Q$32,0))</f>
        <v>#N/A</v>
      </c>
      <c r="M296" s="98" t="e">
        <f t="shared" si="431"/>
        <v>#N/A</v>
      </c>
      <c r="N296" s="99" t="e">
        <f t="array" ref="N296">INDEX('Coeff EC7'!$D$7:$Q$27,MATCH($B$3,'Coeff EC7'!$C$7:$C$27,0),MATCH(D296&amp;E296,'Coeff EC7'!$D$5:$Q$5&amp;'Coeff EC7'!$D$6:$Q$6,0))</f>
        <v>#N/A</v>
      </c>
      <c r="O296" s="99" t="e">
        <f t="array" ref="O296">INDEX('Coeff EC7'!$D$41:$Q$61,MATCH($B$3,'Coeff EC7'!$C$41:$C$61,0),MATCH(D296&amp;E296,'Coeff EC7'!$D$39:$Q$39&amp;'Coeff EC7'!$D$40:$Q$40,0))</f>
        <v>#N/A</v>
      </c>
      <c r="P296" s="30" t="e">
        <f t="shared" si="466"/>
        <v>#N/A</v>
      </c>
      <c r="Q296" s="100" t="e">
        <f t="shared" si="433"/>
        <v>#N/A</v>
      </c>
      <c r="R296" s="86" t="b">
        <f t="shared" si="434"/>
        <v>0</v>
      </c>
      <c r="S296" s="86">
        <f t="shared" si="432"/>
        <v>0.5</v>
      </c>
      <c r="T296" s="86">
        <f t="shared" si="435"/>
        <v>0.5</v>
      </c>
      <c r="U296" s="30" t="e">
        <f t="shared" ca="1" si="467"/>
        <v>#DIV/0!</v>
      </c>
      <c r="V296" s="85" t="str">
        <f>IF(B296&lt;=Hypothèses!$V$7,Hypothèses!$W$7,IF(B296&lt;=Hypothèses!$V$8,Hypothèses!$W$8,IF(B296&lt;=Hypothèses!$V$9,Hypothèses!$W$9,IF(B296&lt;=Hypothèses!$V$10,Hypothèses!$W$10,IF(B296&lt;=Hypothèses!$V$11,Hypothèses!$W$11,IF(B296&lt;=Hypothèses!$V$12,Hypothèses!$W$12,IF(B296&lt;=Hypothèses!$V$13,Hypothèses!$W$13,IF(B296&lt;=Hypothèses!$V$14,Hypothèses!$W$14,IF(B296&lt;=Hypothèses!$V$15,Hypothèses!$W$15,IF(B296&lt;=Hypothèses!$V$16,Hypothèses!$W$16,IF(B296&lt;=Hypothèses!$V$17,Hypothèses!$W$17,IF(B296&lt;=Hypothèses!$V$18,Hypothèses!$W$18,""))))))))))))</f>
        <v/>
      </c>
      <c r="W296" s="87" t="e">
        <f t="shared" ca="1" si="516"/>
        <v>#DIV/0!</v>
      </c>
      <c r="X296" s="88" t="str">
        <f>IF(B296&lt;=Hypothèses!$V$7,Hypothèses!$X$7,IF(B296&lt;=Hypothèses!$V$8,Hypothèses!$X$8,IF(B296&lt;=Hypothèses!$V$9,Hypothèses!$X$9,IF(B296&lt;=Hypothèses!$V$10,Hypothèses!$X$10,IF(B296&lt;=Hypothèses!$V$11,Hypothèses!$X$11,IF(B296&lt;=Hypothèses!$V$12,Hypothèses!$X$12,IF(B296&lt;=Hypothèses!$V$13,Hypothèses!$X$13,IF(B296&lt;=Hypothèses!$V$14,Hypothèses!$X$14,IF(B296&lt;=Hypothèses!$V$15,Hypothèses!$X$15,IF(B296&lt;=Hypothèses!$V$16,Hypothèses!$X$16,IF(B296&lt;=Hypothèses!$U$17,Hypothèses!$W$17,IF(B296&lt;=Hypothèses!$U$18,Hypothèses!$W$18,""))))))))))))</f>
        <v/>
      </c>
      <c r="Y296" s="95" t="e">
        <f t="shared" ca="1" si="436"/>
        <v>#DIV/0!</v>
      </c>
      <c r="Z296" s="101">
        <f t="shared" si="437"/>
        <v>0</v>
      </c>
      <c r="AA296" s="91">
        <f t="shared" si="438"/>
        <v>0</v>
      </c>
      <c r="AB296" s="30" t="e">
        <f t="shared" si="500"/>
        <v>#N/A</v>
      </c>
      <c r="AC296" s="30" t="e">
        <f t="shared" si="501"/>
        <v>#N/A</v>
      </c>
      <c r="AD296" s="31" t="e">
        <f>IF(OR(Hypothèses!$B$4=17,Hypothèses!$B$4=18,Hypothèses!$B$4=19,Hypothèses!$B$4=20),
IF($D296="Pressio.",
IF(OR($E296=3,$E296=1,$E296=4),AC296,AB296),
IF($D296="Pénétro.",
IF(OR($E296=3,$E296=1,$E296=4),AC296,AB296))),IF($D296="Pressio.",
IF($E296=3,AC296,AB296),
IF($D296="Pénétro.",
IF($E296=4,AC296,AB296))))</f>
        <v>#N/A</v>
      </c>
      <c r="AE296" s="31">
        <v>0</v>
      </c>
      <c r="AF296" s="102" t="e">
        <f>IF(NDC!$H$10="Oui",(VLOOKUP($B$3,'Coeff EC7'!$T$39:$X$59,2,0)*AD296+VLOOKUP($B$3,'Coeff EC7'!$T$65:$X$85,2,0)*Model0.1T!AE296)/1.5,PI()*AB$12*$Q296*($B296-$B295)*0.15/10+AF295)</f>
        <v>#N/A</v>
      </c>
      <c r="AG296" s="102" t="e">
        <f>(VLOOKUP($B$3,'Coeff EC7'!$T$39:$X$59,3,0)*AD296+VLOOKUP($B$3,'Coeff EC7'!$T$65:$X$85,3,0)*Model0.1T!AE296)/1.1</f>
        <v>#N/A</v>
      </c>
      <c r="AH296" s="102" t="e">
        <f t="shared" si="468"/>
        <v>#N/A</v>
      </c>
      <c r="AI296" s="102" t="e">
        <f t="shared" si="469"/>
        <v>#N/A</v>
      </c>
      <c r="AJ296" s="414" t="e">
        <f>IF(AND(AF296&gt;NDC!$C$63,AG296&gt;NDC!$C$65,AH296&gt;NDC!$D$73,AI296&gt;NDC!$D$74,$B296&gt;NDC!$H$22-0.1+MIN(3*$AJ$12,1.5)),0,1)</f>
        <v>#N/A</v>
      </c>
      <c r="AK296" s="86" t="b">
        <f t="shared" si="439"/>
        <v>0</v>
      </c>
      <c r="AL296" s="86">
        <f t="shared" si="470"/>
        <v>0.5</v>
      </c>
      <c r="AM296" s="86">
        <f t="shared" si="440"/>
        <v>0.5</v>
      </c>
      <c r="AN296" s="30" t="e">
        <f t="shared" ca="1" si="471"/>
        <v>#DIV/0!</v>
      </c>
      <c r="AO296" s="85" t="e">
        <f ca="1">IF(U296&lt;=Hypothèses!$V$7,Hypothèses!$W$7,IF(U296&lt;=Hypothèses!$V$8,Hypothèses!$W$8,IF(U296&lt;=Hypothèses!$V$9,Hypothèses!$W$9,IF(U296&lt;=Hypothèses!$V$10,Hypothèses!$W$10,IF(U296&lt;=Hypothèses!$V$11,Hypothèses!$W$11,IF(U296&lt;=Hypothèses!$V$12,Hypothèses!$W$12,IF(U296&lt;=Hypothèses!$V$13,Hypothèses!$W$13,IF(U296&lt;=Hypothèses!$V$14,Hypothèses!$W$14,IF(U296&lt;=Hypothèses!$V$15,Hypothèses!$W$15,IF(U296&lt;=Hypothèses!$V$16,Hypothèses!$W$16,IF(U296&lt;=Hypothèses!$V$17,Hypothèses!$W$17,IF(U296&lt;=Hypothèses!$V$18,Hypothèses!$W$18,""))))))))))))</f>
        <v>#DIV/0!</v>
      </c>
      <c r="AP296" s="87" t="e">
        <f t="shared" ca="1" si="517"/>
        <v>#DIV/0!</v>
      </c>
      <c r="AQ296" s="88" t="e">
        <f ca="1">IF(U296&lt;=Hypothèses!$V$7,Hypothèses!$X$7,IF(U296&lt;=Hypothèses!$V$8,Hypothèses!$X$8,IF(U296&lt;=Hypothèses!$V$9,Hypothèses!$X$9,IF(U296&lt;=Hypothèses!$V$10,Hypothèses!$X$10,IF(U296&lt;=Hypothèses!$V$11,Hypothèses!$X$11,IF(U296&lt;=Hypothèses!$V$12,Hypothèses!$X$12,IF(U296&lt;=Hypothèses!$V$13,Hypothèses!$X$13,IF(U296&lt;=Hypothèses!$V$14,Hypothèses!$X$14,IF(U296&lt;=Hypothèses!$V$15,Hypothèses!$X$15,IF(U296&lt;=Hypothèses!$V$16,Hypothèses!$X$16,IF(U296&lt;=Hypothèses!$U$17,Hypothèses!$W$17,IF(U296&lt;=Hypothèses!$U$18,Hypothèses!$W$18,""))))))))))))</f>
        <v>#DIV/0!</v>
      </c>
      <c r="AR296" s="95" t="e">
        <f t="shared" ca="1" si="472"/>
        <v>#DIV/0!</v>
      </c>
      <c r="AS296" s="101">
        <f t="shared" si="524"/>
        <v>0</v>
      </c>
      <c r="AT296" s="91">
        <f t="shared" si="441"/>
        <v>0</v>
      </c>
      <c r="AU296" s="30" t="e">
        <f t="shared" si="502"/>
        <v>#N/A</v>
      </c>
      <c r="AV296" s="30" t="e">
        <f t="shared" si="503"/>
        <v>#N/A</v>
      </c>
      <c r="AW296" s="31" t="e">
        <f>IF(OR(Hypothèses!$B$4=17,Hypothèses!$B$4=18,Hypothèses!$B$4=19,Hypothèses!$B$4=20),
IF($D296="Pressio.",
IF(OR($E296=3,$E296=1,$E296=4),AV296,AU296),
IF($D296="Pénétro.",
IF(OR($E296=3,$E296=1,$E296=4),AV296,AU296))),IF($D296="Pressio.",
IF($E296=3,AV296,AU296),
IF($D296="Pénétro.",
IF($E296=4,AV296,AU296))))</f>
        <v>#N/A</v>
      </c>
      <c r="AX296" s="31">
        <v>0</v>
      </c>
      <c r="AY296" s="102" t="e">
        <f>IF(NDC!$H$10="Oui",(VLOOKUP($B$3,'Coeff EC7'!$T$39:$X$59,2,0)*AW296+VLOOKUP($B$3,'Coeff EC7'!$T$65:$X$85,2,0)*Model0.1T!AX296)/1.5,PI()*AU$12*$Q296*($B296-$B295)*0.15/10+AY295)</f>
        <v>#N/A</v>
      </c>
      <c r="AZ296" s="102" t="e">
        <f>(VLOOKUP($B$3,'Coeff EC7'!$T$39:$X$59,3,0)*AW296+VLOOKUP($B$3,'Coeff EC7'!$T$65:$X$85,3,0)*Model0.1T!AX296)/1.1</f>
        <v>#N/A</v>
      </c>
      <c r="BA296" s="102" t="e">
        <f t="shared" si="473"/>
        <v>#N/A</v>
      </c>
      <c r="BB296" s="102" t="e">
        <f t="shared" si="474"/>
        <v>#N/A</v>
      </c>
      <c r="BC296" s="414" t="e">
        <f>IF(AND(AY296&gt;NDC!$C$63,AZ296&gt;NDC!$C$65,BA296&gt;NDC!$D$73,BB296&gt;NDC!$D$74,$B296&gt;NDC!$H$22-0.1+MIN(3*BC$12,1.5)),0,1)</f>
        <v>#N/A</v>
      </c>
      <c r="BD296" s="86" t="b">
        <f t="shared" si="442"/>
        <v>0</v>
      </c>
      <c r="BE296" s="86">
        <f t="shared" si="475"/>
        <v>0.5</v>
      </c>
      <c r="BF296" s="86">
        <f t="shared" si="443"/>
        <v>0.5</v>
      </c>
      <c r="BG296" s="30" t="e">
        <f t="shared" ca="1" si="476"/>
        <v>#DIV/0!</v>
      </c>
      <c r="BH296" s="85" t="e">
        <f ca="1">IF(AN296&lt;=Hypothèses!$V$7,Hypothèses!$W$7,IF(AN296&lt;=Hypothèses!$V$8,Hypothèses!$W$8,IF(AN296&lt;=Hypothèses!$V$9,Hypothèses!$W$9,IF(AN296&lt;=Hypothèses!$V$10,Hypothèses!$W$10,IF(AN296&lt;=Hypothèses!$V$11,Hypothèses!$W$11,IF(AN296&lt;=Hypothèses!$V$12,Hypothèses!$W$12,IF(AN296&lt;=Hypothèses!$V$13,Hypothèses!$W$13,IF(AN296&lt;=Hypothèses!$V$14,Hypothèses!$W$14,IF(AN296&lt;=Hypothèses!$V$15,Hypothèses!$W$15,IF(AN296&lt;=Hypothèses!$V$16,Hypothèses!$W$16,IF(AN296&lt;=Hypothèses!$V$17,Hypothèses!$W$17,IF(AN296&lt;=Hypothèses!$V$18,Hypothèses!$W$18,""))))))))))))</f>
        <v>#DIV/0!</v>
      </c>
      <c r="BI296" s="87" t="e">
        <f t="shared" ca="1" si="518"/>
        <v>#DIV/0!</v>
      </c>
      <c r="BJ296" s="88" t="e">
        <f ca="1">IF(AN296&lt;=Hypothèses!$V$7,Hypothèses!$X$7,IF(AN296&lt;=Hypothèses!$V$8,Hypothèses!$X$8,IF(AN296&lt;=Hypothèses!$V$9,Hypothèses!$X$9,IF(AN296&lt;=Hypothèses!$V$10,Hypothèses!$X$10,IF(AN296&lt;=Hypothèses!$V$11,Hypothèses!$X$11,IF(AN296&lt;=Hypothèses!$V$12,Hypothèses!$X$12,IF(AN296&lt;=Hypothèses!$V$13,Hypothèses!$X$13,IF(AN296&lt;=Hypothèses!$V$14,Hypothèses!$X$14,IF(AN296&lt;=Hypothèses!$V$15,Hypothèses!$X$15,IF(AN296&lt;=Hypothèses!$V$16,Hypothèses!$X$16,IF(AN296&lt;=Hypothèses!$U$17,Hypothèses!$W$17,IF(AN296&lt;=Hypothèses!$U$18,Hypothèses!$W$18,""))))))))))))</f>
        <v>#DIV/0!</v>
      </c>
      <c r="BK296" s="95" t="e">
        <f t="shared" ca="1" si="477"/>
        <v>#DIV/0!</v>
      </c>
      <c r="BL296" s="101">
        <f t="shared" si="525"/>
        <v>0</v>
      </c>
      <c r="BM296" s="91">
        <f t="shared" si="444"/>
        <v>0</v>
      </c>
      <c r="BN296" s="30" t="e">
        <f t="shared" si="504"/>
        <v>#N/A</v>
      </c>
      <c r="BO296" s="30" t="e">
        <f t="shared" si="505"/>
        <v>#N/A</v>
      </c>
      <c r="BP296" s="31" t="e">
        <f>IF(OR(Hypothèses!$B$4=17,Hypothèses!$B$4=18,Hypothèses!$B$4=19,Hypothèses!$B$4=20),
IF($D296="Pressio.",
IF(OR($E296=3,$E296=1,$E296=4),BO296,BN296),
IF($D296="Pénétro.",
IF(OR($E296=3,$E296=1,$E296=4),BO296,BN296))),IF($D296="Pressio.",
IF($E296=3,BO296,BN296),
IF($D296="Pénétro.",
IF($E296=4,BO296,BN296))))</f>
        <v>#N/A</v>
      </c>
      <c r="BQ296" s="31">
        <v>0</v>
      </c>
      <c r="BR296" s="102" t="e">
        <f>IF(NDC!$H$10="Oui",(VLOOKUP($B$3,'Coeff EC7'!$T$39:$X$59,2,0)*BP296+VLOOKUP($B$3,'Coeff EC7'!$T$65:$X$85,2,0)*Model0.1T!BQ296)/1.5,PI()*BN$12*$Q296*($B296-$B295)*0.15/10+BR295)</f>
        <v>#N/A</v>
      </c>
      <c r="BS296" s="102" t="e">
        <f>(VLOOKUP($B$3,'Coeff EC7'!$T$39:$X$59,3,0)*BP296+VLOOKUP($B$3,'Coeff EC7'!$T$65:$X$85,3,0)*Model0.1T!BQ296)/1.1</f>
        <v>#N/A</v>
      </c>
      <c r="BT296" s="102" t="e">
        <f t="shared" si="478"/>
        <v>#N/A</v>
      </c>
      <c r="BU296" s="102" t="e">
        <f t="shared" si="479"/>
        <v>#N/A</v>
      </c>
      <c r="BV296" s="414" t="e">
        <f>IF(AND(BR296&gt;NDC!$C$63,BS296&gt;NDC!$C$65,BT296&gt;NDC!$D$73,BU296&gt;NDC!$D$74,$B296&gt;NDC!$H$22-0.1+MIN(3*BV$12,1.5)),0,1)</f>
        <v>#N/A</v>
      </c>
      <c r="BW296" s="86" t="b">
        <f t="shared" si="445"/>
        <v>0</v>
      </c>
      <c r="BX296" s="86">
        <f t="shared" si="446"/>
        <v>0.5</v>
      </c>
      <c r="BY296" s="86">
        <f t="shared" si="447"/>
        <v>0.5</v>
      </c>
      <c r="BZ296" s="30" t="e">
        <f t="shared" ca="1" si="480"/>
        <v>#DIV/0!</v>
      </c>
      <c r="CA296" s="85" t="e">
        <f ca="1">IF(BG296&lt;=Hypothèses!$V$7,Hypothèses!$W$7,IF(BG296&lt;=Hypothèses!$V$8,Hypothèses!$W$8,IF(BG296&lt;=Hypothèses!$V$9,Hypothèses!$W$9,IF(BG296&lt;=Hypothèses!$V$10,Hypothèses!$W$10,IF(BG296&lt;=Hypothèses!$V$11,Hypothèses!$W$11,IF(BG296&lt;=Hypothèses!$V$12,Hypothèses!$W$12,IF(BG296&lt;=Hypothèses!$V$13,Hypothèses!$W$13,IF(BG296&lt;=Hypothèses!$V$14,Hypothèses!$W$14,IF(BG296&lt;=Hypothèses!$V$15,Hypothèses!$W$15,IF(BG296&lt;=Hypothèses!$V$16,Hypothèses!$W$16,IF(BG296&lt;=Hypothèses!$V$17,Hypothèses!$W$17,IF(BG296&lt;=Hypothèses!$V$18,Hypothèses!$W$18,""))))))))))))</f>
        <v>#DIV/0!</v>
      </c>
      <c r="CB296" s="87" t="e">
        <f t="shared" ca="1" si="519"/>
        <v>#DIV/0!</v>
      </c>
      <c r="CC296" s="88" t="e">
        <f ca="1">IF(BG296&lt;=Hypothèses!$V$7,Hypothèses!$X$7,IF(BG296&lt;=Hypothèses!$V$8,Hypothèses!$X$8,IF(BG296&lt;=Hypothèses!$V$9,Hypothèses!$X$9,IF(BG296&lt;=Hypothèses!$V$10,Hypothèses!$X$10,IF(BG296&lt;=Hypothèses!$V$11,Hypothèses!$X$11,IF(BG296&lt;=Hypothèses!$V$12,Hypothèses!$X$12,IF(BG296&lt;=Hypothèses!$V$13,Hypothèses!$X$13,IF(BG296&lt;=Hypothèses!$V$14,Hypothèses!$X$14,IF(BG296&lt;=Hypothèses!$V$15,Hypothèses!$X$15,IF(BG296&lt;=Hypothèses!$V$16,Hypothèses!$X$16,IF(BG296&lt;=Hypothèses!$U$17,Hypothèses!$W$17,IF(BG296&lt;=Hypothèses!$U$18,Hypothèses!$W$18,""))))))))))))</f>
        <v>#DIV/0!</v>
      </c>
      <c r="CD296" s="95" t="e">
        <f t="shared" ca="1" si="481"/>
        <v>#DIV/0!</v>
      </c>
      <c r="CE296" s="101">
        <f t="shared" si="526"/>
        <v>0</v>
      </c>
      <c r="CF296" s="91">
        <f t="shared" si="448"/>
        <v>0</v>
      </c>
      <c r="CG296" s="30" t="e">
        <f t="shared" si="506"/>
        <v>#N/A</v>
      </c>
      <c r="CH296" s="30" t="e">
        <f t="shared" si="507"/>
        <v>#N/A</v>
      </c>
      <c r="CI296" s="31" t="e">
        <f>IF(OR(Hypothèses!$B$4=17,Hypothèses!$B$4=18,Hypothèses!$B$4=19,Hypothèses!$B$4=20),
IF($D296="Pressio.",
IF(OR($E296=3,$E296=1,$E296=4),CH296,CG296),
IF($D296="Pénétro.",
IF(OR($E296=3,$E296=1,$E296=4),CH296,CG296))),IF($D296="Pressio.",
IF($E296=3,CH296,CG296),
IF($D296="Pénétro.",
IF($E296=4,CH296,CG296))))</f>
        <v>#N/A</v>
      </c>
      <c r="CJ296" s="31">
        <v>0</v>
      </c>
      <c r="CK296" s="102" t="e">
        <f>IF(NDC!$H$10="Oui",(VLOOKUP($B$3,'Coeff EC7'!$T$39:$X$59,2,0)*CI296+VLOOKUP($B$3,'Coeff EC7'!$T$65:$X$85,2,0)*Model0.1T!CJ296)/1.5,PI()*CG$12*$Q296*($B296-$B295)*0.15/10+CK295)</f>
        <v>#N/A</v>
      </c>
      <c r="CL296" s="102" t="e">
        <f>(VLOOKUP($B$3,'Coeff EC7'!$T$39:$X$59,3,0)*CI296+VLOOKUP($B$3,'Coeff EC7'!$T$65:$X$85,3,0)*Model0.1T!CJ296)/1.1</f>
        <v>#N/A</v>
      </c>
      <c r="CM296" s="102" t="e">
        <f t="shared" si="482"/>
        <v>#N/A</v>
      </c>
      <c r="CN296" s="102" t="e">
        <f t="shared" si="483"/>
        <v>#N/A</v>
      </c>
      <c r="CO296" s="414" t="e">
        <f>IF(AND(CK296&gt;NDC!$C$63,CL296&gt;NDC!$C$65,CM296&gt;NDC!$D$73,CN296&gt;NDC!$D$74,$B296&gt;NDC!$H$22-0.1+MIN(3*CO$12,1.5)),0,1)</f>
        <v>#N/A</v>
      </c>
      <c r="CP296" s="86" t="b">
        <f t="shared" si="449"/>
        <v>0</v>
      </c>
      <c r="CQ296" s="86">
        <f t="shared" si="450"/>
        <v>0.5</v>
      </c>
      <c r="CR296" s="86">
        <f t="shared" si="451"/>
        <v>0.5</v>
      </c>
      <c r="CS296" s="30" t="e">
        <f t="shared" ca="1" si="484"/>
        <v>#DIV/0!</v>
      </c>
      <c r="CT296" s="85" t="e">
        <f ca="1">IF(BZ296&lt;=Hypothèses!$V$7,Hypothèses!$W$7,IF(BZ296&lt;=Hypothèses!$V$8,Hypothèses!$W$8,IF(BZ296&lt;=Hypothèses!$V$9,Hypothèses!$W$9,IF(BZ296&lt;=Hypothèses!$V$10,Hypothèses!$W$10,IF(BZ296&lt;=Hypothèses!$V$11,Hypothèses!$W$11,IF(BZ296&lt;=Hypothèses!$V$12,Hypothèses!$W$12,IF(BZ296&lt;=Hypothèses!$V$13,Hypothèses!$W$13,IF(BZ296&lt;=Hypothèses!$V$14,Hypothèses!$W$14,IF(BZ296&lt;=Hypothèses!$V$15,Hypothèses!$W$15,IF(BZ296&lt;=Hypothèses!$V$16,Hypothèses!$W$16,IF(BZ296&lt;=Hypothèses!$V$17,Hypothèses!$W$17,IF(BZ296&lt;=Hypothèses!$V$18,Hypothèses!$W$18,""))))))))))))</f>
        <v>#DIV/0!</v>
      </c>
      <c r="CU296" s="87" t="e">
        <f t="shared" ca="1" si="520"/>
        <v>#DIV/0!</v>
      </c>
      <c r="CV296" s="88" t="e">
        <f ca="1">IF(BZ296&lt;=Hypothèses!$V$7,Hypothèses!$X$7,IF(BZ296&lt;=Hypothèses!$V$8,Hypothèses!$X$8,IF(BZ296&lt;=Hypothèses!$V$9,Hypothèses!$X$9,IF(BZ296&lt;=Hypothèses!$V$10,Hypothèses!$X$10,IF(BZ296&lt;=Hypothèses!$V$11,Hypothèses!$X$11,IF(BZ296&lt;=Hypothèses!$V$12,Hypothèses!$X$12,IF(BZ296&lt;=Hypothèses!$V$13,Hypothèses!$X$13,IF(BZ296&lt;=Hypothèses!$V$14,Hypothèses!$X$14,IF(BZ296&lt;=Hypothèses!$V$15,Hypothèses!$X$15,IF(BZ296&lt;=Hypothèses!$V$16,Hypothèses!$X$16,IF(BZ296&lt;=Hypothèses!$U$17,Hypothèses!$W$17,IF(BZ296&lt;=Hypothèses!$U$18,Hypothèses!$W$18,""))))))))))))</f>
        <v>#DIV/0!</v>
      </c>
      <c r="CW296" s="95" t="e">
        <f t="shared" ca="1" si="485"/>
        <v>#DIV/0!</v>
      </c>
      <c r="CX296" s="101">
        <f t="shared" si="527"/>
        <v>0</v>
      </c>
      <c r="CY296" s="91">
        <f t="shared" si="452"/>
        <v>0</v>
      </c>
      <c r="CZ296" s="30" t="e">
        <f t="shared" si="508"/>
        <v>#N/A</v>
      </c>
      <c r="DA296" s="30" t="e">
        <f t="shared" si="509"/>
        <v>#N/A</v>
      </c>
      <c r="DB296" s="31" t="e">
        <f>IF(OR(Hypothèses!$B$4=17,Hypothèses!$B$4=18,Hypothèses!$B$4=19,Hypothèses!$B$4=20),
IF($D296="Pressio.",
IF(OR($E296=3,$E296=1,$E296=4),DA296,CZ296),
IF($D296="Pénétro.",
IF(OR($E296=3,$E296=1,$E296=4),DA296,CZ296))),IF($D296="Pressio.",
IF($E296=3,DA296,CZ296),
IF($D296="Pénétro.",
IF($E296=4,DA296,CZ296))))</f>
        <v>#N/A</v>
      </c>
      <c r="DC296" s="31">
        <v>0</v>
      </c>
      <c r="DD296" s="102" t="e">
        <f>IF(NDC!$H$10="Oui",(VLOOKUP($B$3,'Coeff EC7'!$T$39:$X$59,2,0)*DB296+VLOOKUP($B$3,'Coeff EC7'!$T$65:$X$85,2,0)*Model0.1T!DC296)/1.5,PI()*CZ$12*$Q296*($B296-$B295)*0.15/10+DD295)</f>
        <v>#N/A</v>
      </c>
      <c r="DE296" s="102" t="e">
        <f>(VLOOKUP($B$3,'Coeff EC7'!$T$39:$X$59,3,0)*DB296+VLOOKUP($B$3,'Coeff EC7'!$T$65:$X$85,3,0)*Model0.1T!DC296)/1.1</f>
        <v>#N/A</v>
      </c>
      <c r="DF296" s="102" t="e">
        <f t="shared" si="486"/>
        <v>#N/A</v>
      </c>
      <c r="DG296" s="102" t="e">
        <f t="shared" si="487"/>
        <v>#N/A</v>
      </c>
      <c r="DH296" s="414" t="e">
        <f>IF(AND(DD296&gt;NDC!$C$63,DE296&gt;NDC!$C$65,DF296&gt;NDC!$D$73,DG296&gt;NDC!$D$74,$B296&gt;NDC!$H$22-0.1+MIN(3*DH$12,1.5)),0,1)</f>
        <v>#N/A</v>
      </c>
      <c r="DI296" s="86" t="b">
        <f t="shared" si="453"/>
        <v>0</v>
      </c>
      <c r="DJ296" s="86">
        <f t="shared" si="454"/>
        <v>0.5</v>
      </c>
      <c r="DK296" s="86">
        <f t="shared" si="455"/>
        <v>0.5</v>
      </c>
      <c r="DL296" s="30" t="e">
        <f t="shared" ca="1" si="488"/>
        <v>#DIV/0!</v>
      </c>
      <c r="DM296" s="85" t="e">
        <f ca="1">IF(CS296&lt;=Hypothèses!$V$7,Hypothèses!$W$7,IF(CS296&lt;=Hypothèses!$V$8,Hypothèses!$W$8,IF(CS296&lt;=Hypothèses!$V$9,Hypothèses!$W$9,IF(CS296&lt;=Hypothèses!$V$10,Hypothèses!$W$10,IF(CS296&lt;=Hypothèses!$V$11,Hypothèses!$W$11,IF(CS296&lt;=Hypothèses!$V$12,Hypothèses!$W$12,IF(CS296&lt;=Hypothèses!$V$13,Hypothèses!$W$13,IF(CS296&lt;=Hypothèses!$V$14,Hypothèses!$W$14,IF(CS296&lt;=Hypothèses!$V$15,Hypothèses!$W$15,IF(CS296&lt;=Hypothèses!$V$16,Hypothèses!$W$16,IF(CS296&lt;=Hypothèses!$V$17,Hypothèses!$W$17,IF(CS296&lt;=Hypothèses!$V$18,Hypothèses!$W$18,""))))))))))))</f>
        <v>#DIV/0!</v>
      </c>
      <c r="DN296" s="87" t="e">
        <f t="shared" ca="1" si="521"/>
        <v>#DIV/0!</v>
      </c>
      <c r="DO296" s="88" t="e">
        <f ca="1">IF(CS296&lt;=Hypothèses!$V$7,Hypothèses!$X$7,IF(CS296&lt;=Hypothèses!$V$8,Hypothèses!$X$8,IF(CS296&lt;=Hypothèses!$V$9,Hypothèses!$X$9,IF(CS296&lt;=Hypothèses!$V$10,Hypothèses!$X$10,IF(CS296&lt;=Hypothèses!$V$11,Hypothèses!$X$11,IF(CS296&lt;=Hypothèses!$V$12,Hypothèses!$X$12,IF(CS296&lt;=Hypothèses!$V$13,Hypothèses!$X$13,IF(CS296&lt;=Hypothèses!$V$14,Hypothèses!$X$14,IF(CS296&lt;=Hypothèses!$V$15,Hypothèses!$X$15,IF(CS296&lt;=Hypothèses!$V$16,Hypothèses!$X$16,IF(CS296&lt;=Hypothèses!$U$17,Hypothèses!$W$17,IF(CS296&lt;=Hypothèses!$U$18,Hypothèses!$W$18,""))))))))))))</f>
        <v>#DIV/0!</v>
      </c>
      <c r="DP296" s="95" t="e">
        <f t="shared" ca="1" si="489"/>
        <v>#DIV/0!</v>
      </c>
      <c r="DQ296" s="101">
        <f t="shared" si="528"/>
        <v>0</v>
      </c>
      <c r="DR296" s="91">
        <f t="shared" si="456"/>
        <v>0</v>
      </c>
      <c r="DS296" s="30" t="e">
        <f t="shared" si="510"/>
        <v>#N/A</v>
      </c>
      <c r="DT296" s="30" t="e">
        <f t="shared" si="511"/>
        <v>#N/A</v>
      </c>
      <c r="DU296" s="31" t="e">
        <f>IF(OR(Hypothèses!$B$4=17,Hypothèses!$B$4=18,Hypothèses!$B$4=19,Hypothèses!$B$4=20),
IF($D296="Pressio.",
IF(OR($E296=3,$E296=1,$E296=4),DT296,DS296),
IF($D296="Pénétro.",
IF(OR($E296=3,$E296=1,$E296=4),DT296,DS296))),IF($D296="Pressio.",
IF($E296=3,DT296,DS296),
IF($D296="Pénétro.",
IF($E296=4,DT296,DS296))))</f>
        <v>#N/A</v>
      </c>
      <c r="DV296" s="31">
        <v>0</v>
      </c>
      <c r="DW296" s="102" t="e">
        <f>IF(NDC!$H$10="Oui",(VLOOKUP($B$3,'Coeff EC7'!$T$39:$X$59,2,0)*DU296+VLOOKUP($B$3,'Coeff EC7'!$T$65:$X$85,2,0)*Model0.1T!DV296)/1.5,PI()*DS$12*$Q296*($B296-$B295)*0.15/10+DW295)</f>
        <v>#N/A</v>
      </c>
      <c r="DX296" s="102" t="e">
        <f>(VLOOKUP($B$3,'Coeff EC7'!$T$39:$X$59,3,0)*DU296+VLOOKUP($B$3,'Coeff EC7'!$T$65:$X$85,3,0)*Model0.1T!DV296)/1.1</f>
        <v>#N/A</v>
      </c>
      <c r="DY296" s="102" t="e">
        <f t="shared" si="490"/>
        <v>#N/A</v>
      </c>
      <c r="DZ296" s="102" t="e">
        <f t="shared" si="491"/>
        <v>#N/A</v>
      </c>
      <c r="EA296" s="414" t="e">
        <f>IF(AND(DW296&gt;NDC!$C$63,DX296&gt;NDC!$C$65,DY296&gt;NDC!$D$73,DZ296&gt;NDC!$D$74,$B296&gt;NDC!$H$22-0.1+MIN(3*EA$12,1.5)),0,1)</f>
        <v>#N/A</v>
      </c>
      <c r="EB296" s="86" t="b">
        <f t="shared" si="457"/>
        <v>0</v>
      </c>
      <c r="EC296" s="418">
        <f t="shared" si="458"/>
        <v>0.51</v>
      </c>
      <c r="ED296" s="86">
        <f t="shared" si="459"/>
        <v>0.51</v>
      </c>
      <c r="EE296" s="30" t="e">
        <f t="shared" ca="1" si="492"/>
        <v>#DIV/0!</v>
      </c>
      <c r="EF296" s="85" t="e">
        <f ca="1">IF(DL296&lt;=Hypothèses!$V$7,Hypothèses!$W$7,IF(DL296&lt;=Hypothèses!$V$8,Hypothèses!$W$8,IF(DL296&lt;=Hypothèses!$V$9,Hypothèses!$W$9,IF(DL296&lt;=Hypothèses!$V$10,Hypothèses!$W$10,IF(DL296&lt;=Hypothèses!$V$11,Hypothèses!$W$11,IF(DL296&lt;=Hypothèses!$V$12,Hypothèses!$W$12,IF(DL296&lt;=Hypothèses!$V$13,Hypothèses!$W$13,IF(DL296&lt;=Hypothèses!$V$14,Hypothèses!$W$14,IF(DL296&lt;=Hypothèses!$V$15,Hypothèses!$W$15,IF(DL296&lt;=Hypothèses!$V$16,Hypothèses!$W$16,IF(DL296&lt;=Hypothèses!$V$17,Hypothèses!$W$17,IF(DL296&lt;=Hypothèses!$V$18,Hypothèses!$W$18,""))))))))))))</f>
        <v>#DIV/0!</v>
      </c>
      <c r="EG296" s="87" t="e">
        <f t="shared" ca="1" si="522"/>
        <v>#DIV/0!</v>
      </c>
      <c r="EH296" s="88" t="e">
        <f ca="1">IF(DL296&lt;=Hypothèses!$V$7,Hypothèses!$X$7,IF(DL296&lt;=Hypothèses!$V$8,Hypothèses!$X$8,IF(DL296&lt;=Hypothèses!$V$9,Hypothèses!$X$9,IF(DL296&lt;=Hypothèses!$V$10,Hypothèses!$X$10,IF(DL296&lt;=Hypothèses!$V$11,Hypothèses!$X$11,IF(DL296&lt;=Hypothèses!$V$12,Hypothèses!$X$12,IF(DL296&lt;=Hypothèses!$V$13,Hypothèses!$X$13,IF(DL296&lt;=Hypothèses!$V$14,Hypothèses!$X$14,IF(DL296&lt;=Hypothèses!$V$15,Hypothèses!$X$15,IF(DL296&lt;=Hypothèses!$V$16,Hypothèses!$X$16,IF(DL296&lt;=Hypothèses!$U$17,Hypothèses!$W$17,IF(DL296&lt;=Hypothèses!$U$18,Hypothèses!$W$18,""))))))))))))</f>
        <v>#DIV/0!</v>
      </c>
      <c r="EI296" s="95" t="e">
        <f t="shared" ca="1" si="493"/>
        <v>#DIV/0!</v>
      </c>
      <c r="EJ296" s="101">
        <f t="shared" si="529"/>
        <v>0</v>
      </c>
      <c r="EK296" s="91">
        <f t="shared" si="460"/>
        <v>0</v>
      </c>
      <c r="EL296" s="30" t="e">
        <f t="shared" si="512"/>
        <v>#N/A</v>
      </c>
      <c r="EM296" s="30" t="e">
        <f t="shared" si="513"/>
        <v>#N/A</v>
      </c>
      <c r="EN296" s="31" t="e">
        <f>IF(OR(Hypothèses!$B$4=17,Hypothèses!$B$4=18,Hypothèses!$B$4=19,Hypothèses!$B$4=20),
IF($D296="Pressio.",
IF(OR($E296=3,$E296=1,$E296=4),EM296,EL296),
IF($D296="Pénétro.",
IF(OR($E296=3,$E296=1,$E296=4),EM296,EL296))),IF($D296="Pressio.",
IF($E296=3,EM296,EL296),
IF($D296="Pénétro.",
IF($E296=4,EM296,EL296))))</f>
        <v>#N/A</v>
      </c>
      <c r="EO296" s="31">
        <v>0</v>
      </c>
      <c r="EP296" s="102" t="e">
        <f>IF(NDC!$H$10="Oui",(VLOOKUP($B$3,'Coeff EC7'!$T$39:$X$59,2,0)*EN296+VLOOKUP($B$3,'Coeff EC7'!$T$65:$X$85,2,0)*Model0.1T!EO296)/1.5,PI()*EL$12*$Q296*($B296-$B295)*0.15/10+EP295)</f>
        <v>#N/A</v>
      </c>
      <c r="EQ296" s="102" t="e">
        <f>(VLOOKUP($B$3,'Coeff EC7'!$T$39:$X$59,3,0)*EN296+VLOOKUP($B$3,'Coeff EC7'!$T$65:$X$85,3,0)*Model0.1T!EO296)/1.1</f>
        <v>#N/A</v>
      </c>
      <c r="ER296" s="102" t="e">
        <f t="shared" si="494"/>
        <v>#N/A</v>
      </c>
      <c r="ES296" s="102" t="e">
        <f t="shared" si="495"/>
        <v>#N/A</v>
      </c>
      <c r="ET296" s="414" t="e">
        <f>IF(AND(EP296&gt;NDC!$C$63,EQ296&gt;NDC!$C$65,ER296&gt;NDC!$D$73,ES296&gt;NDC!$D$74,$B296&gt;NDC!$H$22-0.1+MIN(3*ET$12,1.5)),0,1)</f>
        <v>#N/A</v>
      </c>
      <c r="EU296" s="86" t="b">
        <f t="shared" si="461"/>
        <v>0</v>
      </c>
      <c r="EV296" s="86">
        <f t="shared" si="462"/>
        <v>0.61</v>
      </c>
      <c r="EW296" s="86">
        <f t="shared" si="463"/>
        <v>0.61</v>
      </c>
      <c r="EX296" s="30" t="e">
        <f t="shared" ca="1" si="496"/>
        <v>#DIV/0!</v>
      </c>
      <c r="EY296" s="85" t="e">
        <f ca="1">IF(EE296&lt;=Hypothèses!$V$7,Hypothèses!$W$7,IF(EE296&lt;=Hypothèses!$V$8,Hypothèses!$W$8,IF(EE296&lt;=Hypothèses!$V$9,Hypothèses!$W$9,IF(EE296&lt;=Hypothèses!$V$10,Hypothèses!$W$10,IF(EE296&lt;=Hypothèses!$V$11,Hypothèses!$W$11,IF(EE296&lt;=Hypothèses!$V$12,Hypothèses!$W$12,IF(EE296&lt;=Hypothèses!$V$13,Hypothèses!$W$13,IF(EE296&lt;=Hypothèses!$V$14,Hypothèses!$W$14,IF(EE296&lt;=Hypothèses!$V$15,Hypothèses!$W$15,IF(EE296&lt;=Hypothèses!$V$16,Hypothèses!$W$16,IF(EE296&lt;=Hypothèses!$V$17,Hypothèses!$W$17,IF(EE296&lt;=Hypothèses!$V$18,Hypothèses!$W$18,""))))))))))))</f>
        <v>#DIV/0!</v>
      </c>
      <c r="EZ296" s="87" t="e">
        <f t="shared" ca="1" si="523"/>
        <v>#DIV/0!</v>
      </c>
      <c r="FA296" s="88" t="e">
        <f ca="1">IF(EE296&lt;=Hypothèses!$V$7,Hypothèses!$X$7,IF(EE296&lt;=Hypothèses!$V$8,Hypothèses!$X$8,IF(EE296&lt;=Hypothèses!$V$9,Hypothèses!$X$9,IF(EE296&lt;=Hypothèses!$V$10,Hypothèses!$X$10,IF(EE296&lt;=Hypothèses!$V$11,Hypothèses!$X$11,IF(EE296&lt;=Hypothèses!$V$12,Hypothèses!$X$12,IF(EE296&lt;=Hypothèses!$V$13,Hypothèses!$X$13,IF(EE296&lt;=Hypothèses!$V$14,Hypothèses!$X$14,IF(EE296&lt;=Hypothèses!$V$15,Hypothèses!$X$15,IF(EE296&lt;=Hypothèses!$V$16,Hypothèses!$X$16,IF(EE296&lt;=Hypothèses!$U$17,Hypothèses!$W$17,IF(EE296&lt;=Hypothèses!$U$18,Hypothèses!$W$18,""))))))))))))</f>
        <v>#DIV/0!</v>
      </c>
      <c r="FB296" s="95" t="e">
        <f t="shared" ca="1" si="497"/>
        <v>#DIV/0!</v>
      </c>
      <c r="FC296" s="101">
        <f t="shared" si="530"/>
        <v>0</v>
      </c>
      <c r="FD296" s="91">
        <f t="shared" si="464"/>
        <v>0</v>
      </c>
      <c r="FE296" s="30" t="e">
        <f t="shared" si="514"/>
        <v>#N/A</v>
      </c>
      <c r="FF296" s="30" t="e">
        <f t="shared" si="515"/>
        <v>#N/A</v>
      </c>
      <c r="FG296" s="31" t="e">
        <f>IF(OR(Hypothèses!$B$4=17,Hypothèses!$B$4=18,Hypothèses!$B$4=19,Hypothèses!$B$4=20),
IF($D296="Pressio.",
IF(OR($E296=3,$E296=1,$E296=4),FF296,FE296),
IF($D296="Pénétro.",
IF(OR($E296=3,$E296=1,$E296=4),FF296,FE296))),IF($D296="Pressio.",
IF($E296=3,FF296,FE296),
IF($D296="Pénétro.",
IF($E296=4,FF296,FE296))))</f>
        <v>#N/A</v>
      </c>
      <c r="FH296" s="31">
        <v>0</v>
      </c>
      <c r="FI296" s="102" t="e">
        <f>IF(NDC!$H$10="Oui",(VLOOKUP($B$3,'Coeff EC7'!$T$39:$X$59,2,0)*FG296+VLOOKUP($B$3,'Coeff EC7'!$T$65:$X$85,2,0)*Model0.1T!FH296)/1.5,PI()*FE$12*$Q296*($B296-$B295)*0.15/10+FI295)</f>
        <v>#N/A</v>
      </c>
      <c r="FJ296" s="102" t="e">
        <f>(VLOOKUP($B$3,'Coeff EC7'!$T$39:$X$59,3,0)*FG296+VLOOKUP($B$3,'Coeff EC7'!$T$65:$X$85,3,0)*Model0.1T!FH296)/1.1</f>
        <v>#N/A</v>
      </c>
      <c r="FK296" s="102" t="e">
        <f t="shared" si="498"/>
        <v>#N/A</v>
      </c>
      <c r="FL296" s="102" t="e">
        <f t="shared" si="499"/>
        <v>#N/A</v>
      </c>
      <c r="FM296" s="414" t="e">
        <f>IF(AND(FI296&gt;NDC!$C$63,FJ296&gt;NDC!$C$65,FK296&gt;NDC!$D$73,FL296&gt;NDC!$D$74,$B296&gt;NDC!$H$22-0.1+MIN(3*FM$12,1.5)),0,1)</f>
        <v>#N/A</v>
      </c>
    </row>
    <row r="297" spans="1:169">
      <c r="A297" s="96">
        <f t="shared" si="465"/>
        <v>71.600000000001614</v>
      </c>
      <c r="B297" s="97">
        <v>28.4</v>
      </c>
      <c r="C297" s="81">
        <f>IF(B297&lt;=Hypothèses!$C$7,Hypothèses!$A$7,IF(B297&lt;=Hypothèses!$C$8,Hypothèses!$A$8,IF(B297&lt;=Hypothèses!$C$9,Hypothèses!$A$9,IF(B297&lt;=Hypothèses!$C$10,Hypothèses!$A$10,IF(B297&lt;=Hypothèses!$C$11,Hypothèses!$A$11,IF(B297&lt;=Hypothèses!$C$12,Hypothèses!$A$12,IF(B297&lt;=Hypothèses!$C$13,Hypothèses!$A$13,IF(B297&lt;=Hypothèses!$C$14,Hypothèses!$A$14,IF(B297&lt;=Hypothèses!$C$15,Hypothèses!$A$15,IF(B297&lt;=Hypothèses!$C$16,Hypothèses!$A$16,IF(B297&lt;=Hypothèses!$C$17,Hypothèses!$A$17,IF(B297&lt;=Hypothèses!$C$18,Hypothèses!$A$18,C296))))))))))))</f>
        <v>11</v>
      </c>
      <c r="D297" s="82" t="str">
        <f>IF(B297&lt;=Hypothèses!$C$7,Hypothèses!$R$7,IF(B297&lt;=Hypothèses!$C$8,Hypothèses!$R$8,IF(B297&lt;=Hypothèses!$C$9,Hypothèses!$R$9,IF(B297&lt;=Hypothèses!$C$10,Hypothèses!$R$10,IF(B297&lt;=Hypothèses!$C$11,Hypothèses!$R$11,IF(B297&lt;=Hypothèses!$C$12,Hypothèses!$R$12,IF(B297&lt;=Hypothèses!$C$13,Hypothèses!$R$13,IF(B297&lt;=Hypothèses!$C$14,Hypothèses!$R$14,IF(B297&lt;=Hypothèses!$C$15,Hypothèses!$R$15,IF(B297&lt;=Hypothèses!$C$16,Hypothèses!$R$16,IF(B297&lt;=Hypothèses!$C$17,Hypothèses!$R$17,IF(B297&lt;=Hypothèses!$C$18,Hypothèses!$R$18,D296))))))))))))</f>
        <v>Pressio.</v>
      </c>
      <c r="E297" s="82" t="e">
        <f>IF(B297&lt;=Hypothèses!$C$7,Hypothèses!$G$7,IF(B297&lt;=Hypothèses!$C$8,Hypothèses!$G$8,IF(B297&lt;=Hypothèses!$C$9,Hypothèses!$G$9,IF(B297&lt;=Hypothèses!$C$10,Hypothèses!$G$10,IF(B297&lt;=Hypothèses!$C$11,Hypothèses!$G$11,IF(B297&lt;=Hypothèses!$C$12,Hypothèses!$G$12,IF(B297&lt;=Hypothèses!$C$13,Hypothèses!$G$13,IF(B297&lt;=Hypothèses!$C$14,Hypothèses!$G$14,IF(B297&lt;=Hypothèses!$C$15,Hypothèses!$G$15,IF(B297&lt;=Hypothèses!$C$16,Hypothèses!$G$16,IF(B297&lt;=Hypothèses!$C$17,Hypothèses!$G$17,IF(B297&lt;=Hypothèses!$C$18,Hypothèses!$G$18,E296))))))))))))</f>
        <v>#N/A</v>
      </c>
      <c r="F297" s="82" t="str">
        <f>IF(B297&lt;=Hypothèses!$C$7,Hypothèses!$F$7,IF(B297&lt;=Hypothèses!$C$8,Hypothèses!$F$8,IF(B297&lt;=Hypothèses!$C$9,Hypothèses!$F$9,IF(B297&lt;=Hypothèses!$C$10,Hypothèses!$F$10,IF(B297&lt;=Hypothèses!$C$11,Hypothèses!$F$11,IF(B297&lt;=Hypothèses!$C$12,Hypothèses!$F$12,IF(B297&lt;=Hypothèses!$C$13,Hypothèses!$F$13,IF(B297&lt;=Hypothèses!$C$14,Hypothèses!$F$14,IF(B297&lt;=Hypothèses!$C$15,Hypothèses!$F$15,IF(B297&lt;=Hypothèses!$C$16,Hypothèses!$F$16,IF(B297&lt;=Hypothèses!$C$17,Hypothèses!$F$17,IF(B297&lt;=Hypothèses!$C$18,Hypothèses!$F$18,F296))))))))))))</f>
        <v/>
      </c>
      <c r="G297" s="91">
        <f t="array" ref="G297">INDEX('Coeff EC7'!$U$7:$X$27,
MATCH(Model0.1T!$B$3,'Coeff EC7'!$T$7:$T$27,0),
MATCH(Model0.1T!$D297&amp;Model0.1T!$B$4,
'Coeff EC7'!$U$6:$X$6&amp;
'Coeff EC7'!$U$5:$X$5,0))</f>
        <v>1.4</v>
      </c>
      <c r="H297" s="91">
        <f t="array" ref="H297">INDEX('Coeff EC7'!$Y$7:$AB$27,
MATCH(Model0.1T!$B$3,'Coeff EC7'!$T$7:$T$27,0),
MATCH(Model0.1T!$D297&amp;Model0.1T!$B$4,
'Coeff EC7'!$Y$6:$AB$6&amp;
'Coeff EC7'!$Y$5:$AB$5,0))</f>
        <v>1.7</v>
      </c>
      <c r="I297" s="83">
        <v>0</v>
      </c>
      <c r="J297" s="91" t="e">
        <f t="array" ref="J297">INDEX('Coeff EC7'!$D$33:$Q$33,1,MATCH(D297&amp;E297,'Coeff EC7'!$D$31:$Q$31&amp;'Coeff EC7'!$D$32:$Q$32,0))</f>
        <v>#N/A</v>
      </c>
      <c r="K297" s="91" t="e">
        <f t="array" ref="K297">INDEX('Coeff EC7'!$D$34:$Q$34,1,MATCH(D297&amp;E297,'Coeff EC7'!$D$31:$Q$31&amp;'Coeff EC7'!$D$32:$Q$32,0))</f>
        <v>#N/A</v>
      </c>
      <c r="L297" s="91" t="e">
        <f t="array" ref="L297">INDEX('Coeff EC7'!$D$35:$Q$35,1,MATCH(D297&amp;E297,'Coeff EC7'!$D$31:$Q$31&amp;'Coeff EC7'!$D$32:$Q$32,0))</f>
        <v>#N/A</v>
      </c>
      <c r="M297" s="98" t="e">
        <f t="shared" si="431"/>
        <v>#N/A</v>
      </c>
      <c r="N297" s="99" t="e">
        <f t="array" ref="N297">INDEX('Coeff EC7'!$D$7:$Q$27,MATCH($B$3,'Coeff EC7'!$C$7:$C$27,0),MATCH(D297&amp;E297,'Coeff EC7'!$D$5:$Q$5&amp;'Coeff EC7'!$D$6:$Q$6,0))</f>
        <v>#N/A</v>
      </c>
      <c r="O297" s="99" t="e">
        <f t="array" ref="O297">INDEX('Coeff EC7'!$D$41:$Q$61,MATCH($B$3,'Coeff EC7'!$C$41:$C$61,0),MATCH(D297&amp;E297,'Coeff EC7'!$D$39:$Q$39&amp;'Coeff EC7'!$D$40:$Q$40,0))</f>
        <v>#N/A</v>
      </c>
      <c r="P297" s="30" t="e">
        <f t="shared" si="466"/>
        <v>#N/A</v>
      </c>
      <c r="Q297" s="100" t="e">
        <f t="shared" si="433"/>
        <v>#N/A</v>
      </c>
      <c r="R297" s="86" t="b">
        <f t="shared" si="434"/>
        <v>0</v>
      </c>
      <c r="S297" s="86">
        <f t="shared" si="432"/>
        <v>0.5</v>
      </c>
      <c r="T297" s="86">
        <f t="shared" si="435"/>
        <v>0.5</v>
      </c>
      <c r="U297" s="30" t="e">
        <f t="shared" ca="1" si="467"/>
        <v>#DIV/0!</v>
      </c>
      <c r="V297" s="85" t="str">
        <f>IF(B297&lt;=Hypothèses!$V$7,Hypothèses!$W$7,IF(B297&lt;=Hypothèses!$V$8,Hypothèses!$W$8,IF(B297&lt;=Hypothèses!$V$9,Hypothèses!$W$9,IF(B297&lt;=Hypothèses!$V$10,Hypothèses!$W$10,IF(B297&lt;=Hypothèses!$V$11,Hypothèses!$W$11,IF(B297&lt;=Hypothèses!$V$12,Hypothèses!$W$12,IF(B297&lt;=Hypothèses!$V$13,Hypothèses!$W$13,IF(B297&lt;=Hypothèses!$V$14,Hypothèses!$W$14,IF(B297&lt;=Hypothèses!$V$15,Hypothèses!$W$15,IF(B297&lt;=Hypothèses!$V$16,Hypothèses!$W$16,IF(B297&lt;=Hypothèses!$V$17,Hypothèses!$W$17,IF(B297&lt;=Hypothèses!$V$18,Hypothèses!$W$18,""))))))))))))</f>
        <v/>
      </c>
      <c r="W297" s="87" t="e">
        <f t="shared" ca="1" si="516"/>
        <v>#DIV/0!</v>
      </c>
      <c r="X297" s="88" t="str">
        <f>IF(B297&lt;=Hypothèses!$V$7,Hypothèses!$X$7,IF(B297&lt;=Hypothèses!$V$8,Hypothèses!$X$8,IF(B297&lt;=Hypothèses!$V$9,Hypothèses!$X$9,IF(B297&lt;=Hypothèses!$V$10,Hypothèses!$X$10,IF(B297&lt;=Hypothèses!$V$11,Hypothèses!$X$11,IF(B297&lt;=Hypothèses!$V$12,Hypothèses!$X$12,IF(B297&lt;=Hypothèses!$V$13,Hypothèses!$X$13,IF(B297&lt;=Hypothèses!$V$14,Hypothèses!$X$14,IF(B297&lt;=Hypothèses!$V$15,Hypothèses!$X$15,IF(B297&lt;=Hypothèses!$V$16,Hypothèses!$X$16,IF(B297&lt;=Hypothèses!$U$17,Hypothèses!$W$17,IF(B297&lt;=Hypothèses!$U$18,Hypothèses!$W$18,""))))))))))))</f>
        <v/>
      </c>
      <c r="Y297" s="95" t="e">
        <f t="shared" ca="1" si="436"/>
        <v>#DIV/0!</v>
      </c>
      <c r="Z297" s="101">
        <f t="shared" si="437"/>
        <v>0</v>
      </c>
      <c r="AA297" s="91">
        <f t="shared" si="438"/>
        <v>0</v>
      </c>
      <c r="AB297" s="30" t="e">
        <f t="shared" si="500"/>
        <v>#N/A</v>
      </c>
      <c r="AC297" s="30" t="e">
        <f t="shared" si="501"/>
        <v>#N/A</v>
      </c>
      <c r="AD297" s="31" t="e">
        <f>IF(OR(Hypothèses!$B$4=17,Hypothèses!$B$4=18,Hypothèses!$B$4=19,Hypothèses!$B$4=20),
IF($D297="Pressio.",
IF(OR($E297=3,$E297=1,$E297=4),AC297,AB297),
IF($D297="Pénétro.",
IF(OR($E297=3,$E297=1,$E297=4),AC297,AB297))),IF($D297="Pressio.",
IF($E297=3,AC297,AB297),
IF($D297="Pénétro.",
IF($E297=4,AC297,AB297))))</f>
        <v>#N/A</v>
      </c>
      <c r="AE297" s="31">
        <v>0</v>
      </c>
      <c r="AF297" s="102" t="e">
        <f>IF(NDC!$H$10="Oui",(VLOOKUP($B$3,'Coeff EC7'!$T$39:$X$59,2,0)*AD297+VLOOKUP($B$3,'Coeff EC7'!$T$65:$X$85,2,0)*Model0.1T!AE297)/1.5,PI()*AB$12*$Q297*($B297-$B296)*0.15/10+AF296)</f>
        <v>#N/A</v>
      </c>
      <c r="AG297" s="102" t="e">
        <f>(VLOOKUP($B$3,'Coeff EC7'!$T$39:$X$59,3,0)*AD297+VLOOKUP($B$3,'Coeff EC7'!$T$65:$X$85,3,0)*Model0.1T!AE297)/1.1</f>
        <v>#N/A</v>
      </c>
      <c r="AH297" s="102" t="e">
        <f t="shared" si="468"/>
        <v>#N/A</v>
      </c>
      <c r="AI297" s="102" t="e">
        <f t="shared" si="469"/>
        <v>#N/A</v>
      </c>
      <c r="AJ297" s="414" t="e">
        <f>IF(AND(AF297&gt;NDC!$C$63,AG297&gt;NDC!$C$65,AH297&gt;NDC!$D$73,AI297&gt;NDC!$D$74,$B297&gt;NDC!$H$22-0.1+MIN(3*$AJ$12,1.5)),0,1)</f>
        <v>#N/A</v>
      </c>
      <c r="AK297" s="86" t="b">
        <f t="shared" si="439"/>
        <v>0</v>
      </c>
      <c r="AL297" s="86">
        <f t="shared" si="470"/>
        <v>0.5</v>
      </c>
      <c r="AM297" s="86">
        <f t="shared" si="440"/>
        <v>0.5</v>
      </c>
      <c r="AN297" s="30" t="e">
        <f t="shared" ca="1" si="471"/>
        <v>#DIV/0!</v>
      </c>
      <c r="AO297" s="85" t="e">
        <f ca="1">IF(U297&lt;=Hypothèses!$V$7,Hypothèses!$W$7,IF(U297&lt;=Hypothèses!$V$8,Hypothèses!$W$8,IF(U297&lt;=Hypothèses!$V$9,Hypothèses!$W$9,IF(U297&lt;=Hypothèses!$V$10,Hypothèses!$W$10,IF(U297&lt;=Hypothèses!$V$11,Hypothèses!$W$11,IF(U297&lt;=Hypothèses!$V$12,Hypothèses!$W$12,IF(U297&lt;=Hypothèses!$V$13,Hypothèses!$W$13,IF(U297&lt;=Hypothèses!$V$14,Hypothèses!$W$14,IF(U297&lt;=Hypothèses!$V$15,Hypothèses!$W$15,IF(U297&lt;=Hypothèses!$V$16,Hypothèses!$W$16,IF(U297&lt;=Hypothèses!$V$17,Hypothèses!$W$17,IF(U297&lt;=Hypothèses!$V$18,Hypothèses!$W$18,""))))))))))))</f>
        <v>#DIV/0!</v>
      </c>
      <c r="AP297" s="87" t="e">
        <f t="shared" ca="1" si="517"/>
        <v>#DIV/0!</v>
      </c>
      <c r="AQ297" s="88" t="e">
        <f ca="1">IF(U297&lt;=Hypothèses!$V$7,Hypothèses!$X$7,IF(U297&lt;=Hypothèses!$V$8,Hypothèses!$X$8,IF(U297&lt;=Hypothèses!$V$9,Hypothèses!$X$9,IF(U297&lt;=Hypothèses!$V$10,Hypothèses!$X$10,IF(U297&lt;=Hypothèses!$V$11,Hypothèses!$X$11,IF(U297&lt;=Hypothèses!$V$12,Hypothèses!$X$12,IF(U297&lt;=Hypothèses!$V$13,Hypothèses!$X$13,IF(U297&lt;=Hypothèses!$V$14,Hypothèses!$X$14,IF(U297&lt;=Hypothèses!$V$15,Hypothèses!$X$15,IF(U297&lt;=Hypothèses!$V$16,Hypothèses!$X$16,IF(U297&lt;=Hypothèses!$U$17,Hypothèses!$W$17,IF(U297&lt;=Hypothèses!$U$18,Hypothèses!$W$18,""))))))))))))</f>
        <v>#DIV/0!</v>
      </c>
      <c r="AR297" s="95" t="e">
        <f t="shared" ca="1" si="472"/>
        <v>#DIV/0!</v>
      </c>
      <c r="AS297" s="101">
        <f t="shared" si="524"/>
        <v>0</v>
      </c>
      <c r="AT297" s="91">
        <f t="shared" si="441"/>
        <v>0</v>
      </c>
      <c r="AU297" s="30" t="e">
        <f t="shared" si="502"/>
        <v>#N/A</v>
      </c>
      <c r="AV297" s="30" t="e">
        <f t="shared" si="503"/>
        <v>#N/A</v>
      </c>
      <c r="AW297" s="31" t="e">
        <f>IF(OR(Hypothèses!$B$4=17,Hypothèses!$B$4=18,Hypothèses!$B$4=19,Hypothèses!$B$4=20),
IF($D297="Pressio.",
IF(OR($E297=3,$E297=1,$E297=4),AV297,AU297),
IF($D297="Pénétro.",
IF(OR($E297=3,$E297=1,$E297=4),AV297,AU297))),IF($D297="Pressio.",
IF($E297=3,AV297,AU297),
IF($D297="Pénétro.",
IF($E297=4,AV297,AU297))))</f>
        <v>#N/A</v>
      </c>
      <c r="AX297" s="31">
        <v>0</v>
      </c>
      <c r="AY297" s="102" t="e">
        <f>IF(NDC!$H$10="Oui",(VLOOKUP($B$3,'Coeff EC7'!$T$39:$X$59,2,0)*AW297+VLOOKUP($B$3,'Coeff EC7'!$T$65:$X$85,2,0)*Model0.1T!AX297)/1.5,PI()*AU$12*$Q297*($B297-$B296)*0.15/10+AY296)</f>
        <v>#N/A</v>
      </c>
      <c r="AZ297" s="102" t="e">
        <f>(VLOOKUP($B$3,'Coeff EC7'!$T$39:$X$59,3,0)*AW297+VLOOKUP($B$3,'Coeff EC7'!$T$65:$X$85,3,0)*Model0.1T!AX297)/1.1</f>
        <v>#N/A</v>
      </c>
      <c r="BA297" s="102" t="e">
        <f t="shared" si="473"/>
        <v>#N/A</v>
      </c>
      <c r="BB297" s="102" t="e">
        <f t="shared" si="474"/>
        <v>#N/A</v>
      </c>
      <c r="BC297" s="414" t="e">
        <f>IF(AND(AY297&gt;NDC!$C$63,AZ297&gt;NDC!$C$65,BA297&gt;NDC!$D$73,BB297&gt;NDC!$D$74,$B297&gt;NDC!$H$22-0.1+MIN(3*BC$12,1.5)),0,1)</f>
        <v>#N/A</v>
      </c>
      <c r="BD297" s="86" t="b">
        <f t="shared" si="442"/>
        <v>0</v>
      </c>
      <c r="BE297" s="86">
        <f t="shared" si="475"/>
        <v>0.5</v>
      </c>
      <c r="BF297" s="86">
        <f t="shared" si="443"/>
        <v>0.5</v>
      </c>
      <c r="BG297" s="30" t="e">
        <f t="shared" ca="1" si="476"/>
        <v>#DIV/0!</v>
      </c>
      <c r="BH297" s="85" t="e">
        <f ca="1">IF(AN297&lt;=Hypothèses!$V$7,Hypothèses!$W$7,IF(AN297&lt;=Hypothèses!$V$8,Hypothèses!$W$8,IF(AN297&lt;=Hypothèses!$V$9,Hypothèses!$W$9,IF(AN297&lt;=Hypothèses!$V$10,Hypothèses!$W$10,IF(AN297&lt;=Hypothèses!$V$11,Hypothèses!$W$11,IF(AN297&lt;=Hypothèses!$V$12,Hypothèses!$W$12,IF(AN297&lt;=Hypothèses!$V$13,Hypothèses!$W$13,IF(AN297&lt;=Hypothèses!$V$14,Hypothèses!$W$14,IF(AN297&lt;=Hypothèses!$V$15,Hypothèses!$W$15,IF(AN297&lt;=Hypothèses!$V$16,Hypothèses!$W$16,IF(AN297&lt;=Hypothèses!$V$17,Hypothèses!$W$17,IF(AN297&lt;=Hypothèses!$V$18,Hypothèses!$W$18,""))))))))))))</f>
        <v>#DIV/0!</v>
      </c>
      <c r="BI297" s="87" t="e">
        <f t="shared" ca="1" si="518"/>
        <v>#DIV/0!</v>
      </c>
      <c r="BJ297" s="88" t="e">
        <f ca="1">IF(AN297&lt;=Hypothèses!$V$7,Hypothèses!$X$7,IF(AN297&lt;=Hypothèses!$V$8,Hypothèses!$X$8,IF(AN297&lt;=Hypothèses!$V$9,Hypothèses!$X$9,IF(AN297&lt;=Hypothèses!$V$10,Hypothèses!$X$10,IF(AN297&lt;=Hypothèses!$V$11,Hypothèses!$X$11,IF(AN297&lt;=Hypothèses!$V$12,Hypothèses!$X$12,IF(AN297&lt;=Hypothèses!$V$13,Hypothèses!$X$13,IF(AN297&lt;=Hypothèses!$V$14,Hypothèses!$X$14,IF(AN297&lt;=Hypothèses!$V$15,Hypothèses!$X$15,IF(AN297&lt;=Hypothèses!$V$16,Hypothèses!$X$16,IF(AN297&lt;=Hypothèses!$U$17,Hypothèses!$W$17,IF(AN297&lt;=Hypothèses!$U$18,Hypothèses!$W$18,""))))))))))))</f>
        <v>#DIV/0!</v>
      </c>
      <c r="BK297" s="95" t="e">
        <f t="shared" ca="1" si="477"/>
        <v>#DIV/0!</v>
      </c>
      <c r="BL297" s="101">
        <f t="shared" si="525"/>
        <v>0</v>
      </c>
      <c r="BM297" s="91">
        <f t="shared" si="444"/>
        <v>0</v>
      </c>
      <c r="BN297" s="30" t="e">
        <f t="shared" si="504"/>
        <v>#N/A</v>
      </c>
      <c r="BO297" s="30" t="e">
        <f t="shared" si="505"/>
        <v>#N/A</v>
      </c>
      <c r="BP297" s="31" t="e">
        <f>IF(OR(Hypothèses!$B$4=17,Hypothèses!$B$4=18,Hypothèses!$B$4=19,Hypothèses!$B$4=20),
IF($D297="Pressio.",
IF(OR($E297=3,$E297=1,$E297=4),BO297,BN297),
IF($D297="Pénétro.",
IF(OR($E297=3,$E297=1,$E297=4),BO297,BN297))),IF($D297="Pressio.",
IF($E297=3,BO297,BN297),
IF($D297="Pénétro.",
IF($E297=4,BO297,BN297))))</f>
        <v>#N/A</v>
      </c>
      <c r="BQ297" s="31">
        <v>0</v>
      </c>
      <c r="BR297" s="102" t="e">
        <f>IF(NDC!$H$10="Oui",(VLOOKUP($B$3,'Coeff EC7'!$T$39:$X$59,2,0)*BP297+VLOOKUP($B$3,'Coeff EC7'!$T$65:$X$85,2,0)*Model0.1T!BQ297)/1.5,PI()*BN$12*$Q297*($B297-$B296)*0.15/10+BR296)</f>
        <v>#N/A</v>
      </c>
      <c r="BS297" s="102" t="e">
        <f>(VLOOKUP($B$3,'Coeff EC7'!$T$39:$X$59,3,0)*BP297+VLOOKUP($B$3,'Coeff EC7'!$T$65:$X$85,3,0)*Model0.1T!BQ297)/1.1</f>
        <v>#N/A</v>
      </c>
      <c r="BT297" s="102" t="e">
        <f t="shared" si="478"/>
        <v>#N/A</v>
      </c>
      <c r="BU297" s="102" t="e">
        <f t="shared" si="479"/>
        <v>#N/A</v>
      </c>
      <c r="BV297" s="414" t="e">
        <f>IF(AND(BR297&gt;NDC!$C$63,BS297&gt;NDC!$C$65,BT297&gt;NDC!$D$73,BU297&gt;NDC!$D$74,$B297&gt;NDC!$H$22-0.1+MIN(3*BV$12,1.5)),0,1)</f>
        <v>#N/A</v>
      </c>
      <c r="BW297" s="86" t="b">
        <f t="shared" si="445"/>
        <v>0</v>
      </c>
      <c r="BX297" s="86">
        <f t="shared" si="446"/>
        <v>0.5</v>
      </c>
      <c r="BY297" s="86">
        <f t="shared" si="447"/>
        <v>0.5</v>
      </c>
      <c r="BZ297" s="30" t="e">
        <f t="shared" ca="1" si="480"/>
        <v>#DIV/0!</v>
      </c>
      <c r="CA297" s="85" t="e">
        <f ca="1">IF(BG297&lt;=Hypothèses!$V$7,Hypothèses!$W$7,IF(BG297&lt;=Hypothèses!$V$8,Hypothèses!$W$8,IF(BG297&lt;=Hypothèses!$V$9,Hypothèses!$W$9,IF(BG297&lt;=Hypothèses!$V$10,Hypothèses!$W$10,IF(BG297&lt;=Hypothèses!$V$11,Hypothèses!$W$11,IF(BG297&lt;=Hypothèses!$V$12,Hypothèses!$W$12,IF(BG297&lt;=Hypothèses!$V$13,Hypothèses!$W$13,IF(BG297&lt;=Hypothèses!$V$14,Hypothèses!$W$14,IF(BG297&lt;=Hypothèses!$V$15,Hypothèses!$W$15,IF(BG297&lt;=Hypothèses!$V$16,Hypothèses!$W$16,IF(BG297&lt;=Hypothèses!$V$17,Hypothèses!$W$17,IF(BG297&lt;=Hypothèses!$V$18,Hypothèses!$W$18,""))))))))))))</f>
        <v>#DIV/0!</v>
      </c>
      <c r="CB297" s="87" t="e">
        <f t="shared" ca="1" si="519"/>
        <v>#DIV/0!</v>
      </c>
      <c r="CC297" s="88" t="e">
        <f ca="1">IF(BG297&lt;=Hypothèses!$V$7,Hypothèses!$X$7,IF(BG297&lt;=Hypothèses!$V$8,Hypothèses!$X$8,IF(BG297&lt;=Hypothèses!$V$9,Hypothèses!$X$9,IF(BG297&lt;=Hypothèses!$V$10,Hypothèses!$X$10,IF(BG297&lt;=Hypothèses!$V$11,Hypothèses!$X$11,IF(BG297&lt;=Hypothèses!$V$12,Hypothèses!$X$12,IF(BG297&lt;=Hypothèses!$V$13,Hypothèses!$X$13,IF(BG297&lt;=Hypothèses!$V$14,Hypothèses!$X$14,IF(BG297&lt;=Hypothèses!$V$15,Hypothèses!$X$15,IF(BG297&lt;=Hypothèses!$V$16,Hypothèses!$X$16,IF(BG297&lt;=Hypothèses!$U$17,Hypothèses!$W$17,IF(BG297&lt;=Hypothèses!$U$18,Hypothèses!$W$18,""))))))))))))</f>
        <v>#DIV/0!</v>
      </c>
      <c r="CD297" s="95" t="e">
        <f t="shared" ca="1" si="481"/>
        <v>#DIV/0!</v>
      </c>
      <c r="CE297" s="101">
        <f t="shared" si="526"/>
        <v>0</v>
      </c>
      <c r="CF297" s="91">
        <f t="shared" si="448"/>
        <v>0</v>
      </c>
      <c r="CG297" s="30" t="e">
        <f t="shared" si="506"/>
        <v>#N/A</v>
      </c>
      <c r="CH297" s="30" t="e">
        <f t="shared" si="507"/>
        <v>#N/A</v>
      </c>
      <c r="CI297" s="31" t="e">
        <f>IF(OR(Hypothèses!$B$4=17,Hypothèses!$B$4=18,Hypothèses!$B$4=19,Hypothèses!$B$4=20),
IF($D297="Pressio.",
IF(OR($E297=3,$E297=1,$E297=4),CH297,CG297),
IF($D297="Pénétro.",
IF(OR($E297=3,$E297=1,$E297=4),CH297,CG297))),IF($D297="Pressio.",
IF($E297=3,CH297,CG297),
IF($D297="Pénétro.",
IF($E297=4,CH297,CG297))))</f>
        <v>#N/A</v>
      </c>
      <c r="CJ297" s="31">
        <v>0</v>
      </c>
      <c r="CK297" s="102" t="e">
        <f>IF(NDC!$H$10="Oui",(VLOOKUP($B$3,'Coeff EC7'!$T$39:$X$59,2,0)*CI297+VLOOKUP($B$3,'Coeff EC7'!$T$65:$X$85,2,0)*Model0.1T!CJ297)/1.5,PI()*CG$12*$Q297*($B297-$B296)*0.15/10+CK296)</f>
        <v>#N/A</v>
      </c>
      <c r="CL297" s="102" t="e">
        <f>(VLOOKUP($B$3,'Coeff EC7'!$T$39:$X$59,3,0)*CI297+VLOOKUP($B$3,'Coeff EC7'!$T$65:$X$85,3,0)*Model0.1T!CJ297)/1.1</f>
        <v>#N/A</v>
      </c>
      <c r="CM297" s="102" t="e">
        <f t="shared" si="482"/>
        <v>#N/A</v>
      </c>
      <c r="CN297" s="102" t="e">
        <f t="shared" si="483"/>
        <v>#N/A</v>
      </c>
      <c r="CO297" s="414" t="e">
        <f>IF(AND(CK297&gt;NDC!$C$63,CL297&gt;NDC!$C$65,CM297&gt;NDC!$D$73,CN297&gt;NDC!$D$74,$B297&gt;NDC!$H$22-0.1+MIN(3*CO$12,1.5)),0,1)</f>
        <v>#N/A</v>
      </c>
      <c r="CP297" s="86" t="b">
        <f t="shared" si="449"/>
        <v>0</v>
      </c>
      <c r="CQ297" s="86">
        <f t="shared" si="450"/>
        <v>0.5</v>
      </c>
      <c r="CR297" s="86">
        <f t="shared" si="451"/>
        <v>0.5</v>
      </c>
      <c r="CS297" s="30" t="e">
        <f t="shared" ca="1" si="484"/>
        <v>#DIV/0!</v>
      </c>
      <c r="CT297" s="85" t="e">
        <f ca="1">IF(BZ297&lt;=Hypothèses!$V$7,Hypothèses!$W$7,IF(BZ297&lt;=Hypothèses!$V$8,Hypothèses!$W$8,IF(BZ297&lt;=Hypothèses!$V$9,Hypothèses!$W$9,IF(BZ297&lt;=Hypothèses!$V$10,Hypothèses!$W$10,IF(BZ297&lt;=Hypothèses!$V$11,Hypothèses!$W$11,IF(BZ297&lt;=Hypothèses!$V$12,Hypothèses!$W$12,IF(BZ297&lt;=Hypothèses!$V$13,Hypothèses!$W$13,IF(BZ297&lt;=Hypothèses!$V$14,Hypothèses!$W$14,IF(BZ297&lt;=Hypothèses!$V$15,Hypothèses!$W$15,IF(BZ297&lt;=Hypothèses!$V$16,Hypothèses!$W$16,IF(BZ297&lt;=Hypothèses!$V$17,Hypothèses!$W$17,IF(BZ297&lt;=Hypothèses!$V$18,Hypothèses!$W$18,""))))))))))))</f>
        <v>#DIV/0!</v>
      </c>
      <c r="CU297" s="87" t="e">
        <f t="shared" ca="1" si="520"/>
        <v>#DIV/0!</v>
      </c>
      <c r="CV297" s="88" t="e">
        <f ca="1">IF(BZ297&lt;=Hypothèses!$V$7,Hypothèses!$X$7,IF(BZ297&lt;=Hypothèses!$V$8,Hypothèses!$X$8,IF(BZ297&lt;=Hypothèses!$V$9,Hypothèses!$X$9,IF(BZ297&lt;=Hypothèses!$V$10,Hypothèses!$X$10,IF(BZ297&lt;=Hypothèses!$V$11,Hypothèses!$X$11,IF(BZ297&lt;=Hypothèses!$V$12,Hypothèses!$X$12,IF(BZ297&lt;=Hypothèses!$V$13,Hypothèses!$X$13,IF(BZ297&lt;=Hypothèses!$V$14,Hypothèses!$X$14,IF(BZ297&lt;=Hypothèses!$V$15,Hypothèses!$X$15,IF(BZ297&lt;=Hypothèses!$V$16,Hypothèses!$X$16,IF(BZ297&lt;=Hypothèses!$U$17,Hypothèses!$W$17,IF(BZ297&lt;=Hypothèses!$U$18,Hypothèses!$W$18,""))))))))))))</f>
        <v>#DIV/0!</v>
      </c>
      <c r="CW297" s="95" t="e">
        <f t="shared" ca="1" si="485"/>
        <v>#DIV/0!</v>
      </c>
      <c r="CX297" s="101">
        <f t="shared" si="527"/>
        <v>0</v>
      </c>
      <c r="CY297" s="91">
        <f t="shared" si="452"/>
        <v>0</v>
      </c>
      <c r="CZ297" s="30" t="e">
        <f t="shared" si="508"/>
        <v>#N/A</v>
      </c>
      <c r="DA297" s="30" t="e">
        <f t="shared" si="509"/>
        <v>#N/A</v>
      </c>
      <c r="DB297" s="31" t="e">
        <f>IF(OR(Hypothèses!$B$4=17,Hypothèses!$B$4=18,Hypothèses!$B$4=19,Hypothèses!$B$4=20),
IF($D297="Pressio.",
IF(OR($E297=3,$E297=1,$E297=4),DA297,CZ297),
IF($D297="Pénétro.",
IF(OR($E297=3,$E297=1,$E297=4),DA297,CZ297))),IF($D297="Pressio.",
IF($E297=3,DA297,CZ297),
IF($D297="Pénétro.",
IF($E297=4,DA297,CZ297))))</f>
        <v>#N/A</v>
      </c>
      <c r="DC297" s="31">
        <v>0</v>
      </c>
      <c r="DD297" s="102" t="e">
        <f>IF(NDC!$H$10="Oui",(VLOOKUP($B$3,'Coeff EC7'!$T$39:$X$59,2,0)*DB297+VLOOKUP($B$3,'Coeff EC7'!$T$65:$X$85,2,0)*Model0.1T!DC297)/1.5,PI()*CZ$12*$Q297*($B297-$B296)*0.15/10+DD296)</f>
        <v>#N/A</v>
      </c>
      <c r="DE297" s="102" t="e">
        <f>(VLOOKUP($B$3,'Coeff EC7'!$T$39:$X$59,3,0)*DB297+VLOOKUP($B$3,'Coeff EC7'!$T$65:$X$85,3,0)*Model0.1T!DC297)/1.1</f>
        <v>#N/A</v>
      </c>
      <c r="DF297" s="102" t="e">
        <f t="shared" si="486"/>
        <v>#N/A</v>
      </c>
      <c r="DG297" s="102" t="e">
        <f t="shared" si="487"/>
        <v>#N/A</v>
      </c>
      <c r="DH297" s="414" t="e">
        <f>IF(AND(DD297&gt;NDC!$C$63,DE297&gt;NDC!$C$65,DF297&gt;NDC!$D$73,DG297&gt;NDC!$D$74,$B297&gt;NDC!$H$22-0.1+MIN(3*DH$12,1.5)),0,1)</f>
        <v>#N/A</v>
      </c>
      <c r="DI297" s="86" t="b">
        <f t="shared" si="453"/>
        <v>0</v>
      </c>
      <c r="DJ297" s="86">
        <f t="shared" si="454"/>
        <v>0.5</v>
      </c>
      <c r="DK297" s="86">
        <f t="shared" si="455"/>
        <v>0.5</v>
      </c>
      <c r="DL297" s="30" t="e">
        <f t="shared" ca="1" si="488"/>
        <v>#DIV/0!</v>
      </c>
      <c r="DM297" s="85" t="e">
        <f ca="1">IF(CS297&lt;=Hypothèses!$V$7,Hypothèses!$W$7,IF(CS297&lt;=Hypothèses!$V$8,Hypothèses!$W$8,IF(CS297&lt;=Hypothèses!$V$9,Hypothèses!$W$9,IF(CS297&lt;=Hypothèses!$V$10,Hypothèses!$W$10,IF(CS297&lt;=Hypothèses!$V$11,Hypothèses!$W$11,IF(CS297&lt;=Hypothèses!$V$12,Hypothèses!$W$12,IF(CS297&lt;=Hypothèses!$V$13,Hypothèses!$W$13,IF(CS297&lt;=Hypothèses!$V$14,Hypothèses!$W$14,IF(CS297&lt;=Hypothèses!$V$15,Hypothèses!$W$15,IF(CS297&lt;=Hypothèses!$V$16,Hypothèses!$W$16,IF(CS297&lt;=Hypothèses!$V$17,Hypothèses!$W$17,IF(CS297&lt;=Hypothèses!$V$18,Hypothèses!$W$18,""))))))))))))</f>
        <v>#DIV/0!</v>
      </c>
      <c r="DN297" s="87" t="e">
        <f t="shared" ca="1" si="521"/>
        <v>#DIV/0!</v>
      </c>
      <c r="DO297" s="88" t="e">
        <f ca="1">IF(CS297&lt;=Hypothèses!$V$7,Hypothèses!$X$7,IF(CS297&lt;=Hypothèses!$V$8,Hypothèses!$X$8,IF(CS297&lt;=Hypothèses!$V$9,Hypothèses!$X$9,IF(CS297&lt;=Hypothèses!$V$10,Hypothèses!$X$10,IF(CS297&lt;=Hypothèses!$V$11,Hypothèses!$X$11,IF(CS297&lt;=Hypothèses!$V$12,Hypothèses!$X$12,IF(CS297&lt;=Hypothèses!$V$13,Hypothèses!$X$13,IF(CS297&lt;=Hypothèses!$V$14,Hypothèses!$X$14,IF(CS297&lt;=Hypothèses!$V$15,Hypothèses!$X$15,IF(CS297&lt;=Hypothèses!$V$16,Hypothèses!$X$16,IF(CS297&lt;=Hypothèses!$U$17,Hypothèses!$W$17,IF(CS297&lt;=Hypothèses!$U$18,Hypothèses!$W$18,""))))))))))))</f>
        <v>#DIV/0!</v>
      </c>
      <c r="DP297" s="95" t="e">
        <f t="shared" ca="1" si="489"/>
        <v>#DIV/0!</v>
      </c>
      <c r="DQ297" s="101">
        <f t="shared" si="528"/>
        <v>0</v>
      </c>
      <c r="DR297" s="91">
        <f t="shared" si="456"/>
        <v>0</v>
      </c>
      <c r="DS297" s="30" t="e">
        <f t="shared" si="510"/>
        <v>#N/A</v>
      </c>
      <c r="DT297" s="30" t="e">
        <f t="shared" si="511"/>
        <v>#N/A</v>
      </c>
      <c r="DU297" s="31" t="e">
        <f>IF(OR(Hypothèses!$B$4=17,Hypothèses!$B$4=18,Hypothèses!$B$4=19,Hypothèses!$B$4=20),
IF($D297="Pressio.",
IF(OR($E297=3,$E297=1,$E297=4),DT297,DS297),
IF($D297="Pénétro.",
IF(OR($E297=3,$E297=1,$E297=4),DT297,DS297))),IF($D297="Pressio.",
IF($E297=3,DT297,DS297),
IF($D297="Pénétro.",
IF($E297=4,DT297,DS297))))</f>
        <v>#N/A</v>
      </c>
      <c r="DV297" s="31">
        <v>0</v>
      </c>
      <c r="DW297" s="102" t="e">
        <f>IF(NDC!$H$10="Oui",(VLOOKUP($B$3,'Coeff EC7'!$T$39:$X$59,2,0)*DU297+VLOOKUP($B$3,'Coeff EC7'!$T$65:$X$85,2,0)*Model0.1T!DV297)/1.5,PI()*DS$12*$Q297*($B297-$B296)*0.15/10+DW296)</f>
        <v>#N/A</v>
      </c>
      <c r="DX297" s="102" t="e">
        <f>(VLOOKUP($B$3,'Coeff EC7'!$T$39:$X$59,3,0)*DU297+VLOOKUP($B$3,'Coeff EC7'!$T$65:$X$85,3,0)*Model0.1T!DV297)/1.1</f>
        <v>#N/A</v>
      </c>
      <c r="DY297" s="102" t="e">
        <f t="shared" si="490"/>
        <v>#N/A</v>
      </c>
      <c r="DZ297" s="102" t="e">
        <f t="shared" si="491"/>
        <v>#N/A</v>
      </c>
      <c r="EA297" s="414" t="e">
        <f>IF(AND(DW297&gt;NDC!$C$63,DX297&gt;NDC!$C$65,DY297&gt;NDC!$D$73,DZ297&gt;NDC!$D$74,$B297&gt;NDC!$H$22-0.1+MIN(3*EA$12,1.5)),0,1)</f>
        <v>#N/A</v>
      </c>
      <c r="EB297" s="86" t="b">
        <f t="shared" si="457"/>
        <v>0</v>
      </c>
      <c r="EC297" s="418">
        <f t="shared" si="458"/>
        <v>0.51</v>
      </c>
      <c r="ED297" s="86">
        <f t="shared" si="459"/>
        <v>0.51</v>
      </c>
      <c r="EE297" s="30" t="e">
        <f t="shared" ca="1" si="492"/>
        <v>#DIV/0!</v>
      </c>
      <c r="EF297" s="85" t="e">
        <f ca="1">IF(DL297&lt;=Hypothèses!$V$7,Hypothèses!$W$7,IF(DL297&lt;=Hypothèses!$V$8,Hypothèses!$W$8,IF(DL297&lt;=Hypothèses!$V$9,Hypothèses!$W$9,IF(DL297&lt;=Hypothèses!$V$10,Hypothèses!$W$10,IF(DL297&lt;=Hypothèses!$V$11,Hypothèses!$W$11,IF(DL297&lt;=Hypothèses!$V$12,Hypothèses!$W$12,IF(DL297&lt;=Hypothèses!$V$13,Hypothèses!$W$13,IF(DL297&lt;=Hypothèses!$V$14,Hypothèses!$W$14,IF(DL297&lt;=Hypothèses!$V$15,Hypothèses!$W$15,IF(DL297&lt;=Hypothèses!$V$16,Hypothèses!$W$16,IF(DL297&lt;=Hypothèses!$V$17,Hypothèses!$W$17,IF(DL297&lt;=Hypothèses!$V$18,Hypothèses!$W$18,""))))))))))))</f>
        <v>#DIV/0!</v>
      </c>
      <c r="EG297" s="87" t="e">
        <f t="shared" ca="1" si="522"/>
        <v>#DIV/0!</v>
      </c>
      <c r="EH297" s="88" t="e">
        <f ca="1">IF(DL297&lt;=Hypothèses!$V$7,Hypothèses!$X$7,IF(DL297&lt;=Hypothèses!$V$8,Hypothèses!$X$8,IF(DL297&lt;=Hypothèses!$V$9,Hypothèses!$X$9,IF(DL297&lt;=Hypothèses!$V$10,Hypothèses!$X$10,IF(DL297&lt;=Hypothèses!$V$11,Hypothèses!$X$11,IF(DL297&lt;=Hypothèses!$V$12,Hypothèses!$X$12,IF(DL297&lt;=Hypothèses!$V$13,Hypothèses!$X$13,IF(DL297&lt;=Hypothèses!$V$14,Hypothèses!$X$14,IF(DL297&lt;=Hypothèses!$V$15,Hypothèses!$X$15,IF(DL297&lt;=Hypothèses!$V$16,Hypothèses!$X$16,IF(DL297&lt;=Hypothèses!$U$17,Hypothèses!$W$17,IF(DL297&lt;=Hypothèses!$U$18,Hypothèses!$W$18,""))))))))))))</f>
        <v>#DIV/0!</v>
      </c>
      <c r="EI297" s="95" t="e">
        <f t="shared" ca="1" si="493"/>
        <v>#DIV/0!</v>
      </c>
      <c r="EJ297" s="101">
        <f t="shared" si="529"/>
        <v>0</v>
      </c>
      <c r="EK297" s="91">
        <f t="shared" si="460"/>
        <v>0</v>
      </c>
      <c r="EL297" s="30" t="e">
        <f t="shared" si="512"/>
        <v>#N/A</v>
      </c>
      <c r="EM297" s="30" t="e">
        <f t="shared" si="513"/>
        <v>#N/A</v>
      </c>
      <c r="EN297" s="31" t="e">
        <f>IF(OR(Hypothèses!$B$4=17,Hypothèses!$B$4=18,Hypothèses!$B$4=19,Hypothèses!$B$4=20),
IF($D297="Pressio.",
IF(OR($E297=3,$E297=1,$E297=4),EM297,EL297),
IF($D297="Pénétro.",
IF(OR($E297=3,$E297=1,$E297=4),EM297,EL297))),IF($D297="Pressio.",
IF($E297=3,EM297,EL297),
IF($D297="Pénétro.",
IF($E297=4,EM297,EL297))))</f>
        <v>#N/A</v>
      </c>
      <c r="EO297" s="31">
        <v>0</v>
      </c>
      <c r="EP297" s="102" t="e">
        <f>IF(NDC!$H$10="Oui",(VLOOKUP($B$3,'Coeff EC7'!$T$39:$X$59,2,0)*EN297+VLOOKUP($B$3,'Coeff EC7'!$T$65:$X$85,2,0)*Model0.1T!EO297)/1.5,PI()*EL$12*$Q297*($B297-$B296)*0.15/10+EP296)</f>
        <v>#N/A</v>
      </c>
      <c r="EQ297" s="102" t="e">
        <f>(VLOOKUP($B$3,'Coeff EC7'!$T$39:$X$59,3,0)*EN297+VLOOKUP($B$3,'Coeff EC7'!$T$65:$X$85,3,0)*Model0.1T!EO297)/1.1</f>
        <v>#N/A</v>
      </c>
      <c r="ER297" s="102" t="e">
        <f t="shared" si="494"/>
        <v>#N/A</v>
      </c>
      <c r="ES297" s="102" t="e">
        <f t="shared" si="495"/>
        <v>#N/A</v>
      </c>
      <c r="ET297" s="414" t="e">
        <f>IF(AND(EP297&gt;NDC!$C$63,EQ297&gt;NDC!$C$65,ER297&gt;NDC!$D$73,ES297&gt;NDC!$D$74,$B297&gt;NDC!$H$22-0.1+MIN(3*ET$12,1.5)),0,1)</f>
        <v>#N/A</v>
      </c>
      <c r="EU297" s="86" t="b">
        <f t="shared" si="461"/>
        <v>0</v>
      </c>
      <c r="EV297" s="86">
        <f t="shared" si="462"/>
        <v>0.61</v>
      </c>
      <c r="EW297" s="86">
        <f t="shared" si="463"/>
        <v>0.61</v>
      </c>
      <c r="EX297" s="30" t="e">
        <f t="shared" ca="1" si="496"/>
        <v>#DIV/0!</v>
      </c>
      <c r="EY297" s="85" t="e">
        <f ca="1">IF(EE297&lt;=Hypothèses!$V$7,Hypothèses!$W$7,IF(EE297&lt;=Hypothèses!$V$8,Hypothèses!$W$8,IF(EE297&lt;=Hypothèses!$V$9,Hypothèses!$W$9,IF(EE297&lt;=Hypothèses!$V$10,Hypothèses!$W$10,IF(EE297&lt;=Hypothèses!$V$11,Hypothèses!$W$11,IF(EE297&lt;=Hypothèses!$V$12,Hypothèses!$W$12,IF(EE297&lt;=Hypothèses!$V$13,Hypothèses!$W$13,IF(EE297&lt;=Hypothèses!$V$14,Hypothèses!$W$14,IF(EE297&lt;=Hypothèses!$V$15,Hypothèses!$W$15,IF(EE297&lt;=Hypothèses!$V$16,Hypothèses!$W$16,IF(EE297&lt;=Hypothèses!$V$17,Hypothèses!$W$17,IF(EE297&lt;=Hypothèses!$V$18,Hypothèses!$W$18,""))))))))))))</f>
        <v>#DIV/0!</v>
      </c>
      <c r="EZ297" s="87" t="e">
        <f t="shared" ca="1" si="523"/>
        <v>#DIV/0!</v>
      </c>
      <c r="FA297" s="88" t="e">
        <f ca="1">IF(EE297&lt;=Hypothèses!$V$7,Hypothèses!$X$7,IF(EE297&lt;=Hypothèses!$V$8,Hypothèses!$X$8,IF(EE297&lt;=Hypothèses!$V$9,Hypothèses!$X$9,IF(EE297&lt;=Hypothèses!$V$10,Hypothèses!$X$10,IF(EE297&lt;=Hypothèses!$V$11,Hypothèses!$X$11,IF(EE297&lt;=Hypothèses!$V$12,Hypothèses!$X$12,IF(EE297&lt;=Hypothèses!$V$13,Hypothèses!$X$13,IF(EE297&lt;=Hypothèses!$V$14,Hypothèses!$X$14,IF(EE297&lt;=Hypothèses!$V$15,Hypothèses!$X$15,IF(EE297&lt;=Hypothèses!$V$16,Hypothèses!$X$16,IF(EE297&lt;=Hypothèses!$U$17,Hypothèses!$W$17,IF(EE297&lt;=Hypothèses!$U$18,Hypothèses!$W$18,""))))))))))))</f>
        <v>#DIV/0!</v>
      </c>
      <c r="FB297" s="95" t="e">
        <f t="shared" ca="1" si="497"/>
        <v>#DIV/0!</v>
      </c>
      <c r="FC297" s="101">
        <f t="shared" si="530"/>
        <v>0</v>
      </c>
      <c r="FD297" s="91">
        <f t="shared" si="464"/>
        <v>0</v>
      </c>
      <c r="FE297" s="30" t="e">
        <f t="shared" si="514"/>
        <v>#N/A</v>
      </c>
      <c r="FF297" s="30" t="e">
        <f t="shared" si="515"/>
        <v>#N/A</v>
      </c>
      <c r="FG297" s="31" t="e">
        <f>IF(OR(Hypothèses!$B$4=17,Hypothèses!$B$4=18,Hypothèses!$B$4=19,Hypothèses!$B$4=20),
IF($D297="Pressio.",
IF(OR($E297=3,$E297=1,$E297=4),FF297,FE297),
IF($D297="Pénétro.",
IF(OR($E297=3,$E297=1,$E297=4),FF297,FE297))),IF($D297="Pressio.",
IF($E297=3,FF297,FE297),
IF($D297="Pénétro.",
IF($E297=4,FF297,FE297))))</f>
        <v>#N/A</v>
      </c>
      <c r="FH297" s="31">
        <v>0</v>
      </c>
      <c r="FI297" s="102" t="e">
        <f>IF(NDC!$H$10="Oui",(VLOOKUP($B$3,'Coeff EC7'!$T$39:$X$59,2,0)*FG297+VLOOKUP($B$3,'Coeff EC7'!$T$65:$X$85,2,0)*Model0.1T!FH297)/1.5,PI()*FE$12*$Q297*($B297-$B296)*0.15/10+FI296)</f>
        <v>#N/A</v>
      </c>
      <c r="FJ297" s="102" t="e">
        <f>(VLOOKUP($B$3,'Coeff EC7'!$T$39:$X$59,3,0)*FG297+VLOOKUP($B$3,'Coeff EC7'!$T$65:$X$85,3,0)*Model0.1T!FH297)/1.1</f>
        <v>#N/A</v>
      </c>
      <c r="FK297" s="102" t="e">
        <f t="shared" si="498"/>
        <v>#N/A</v>
      </c>
      <c r="FL297" s="102" t="e">
        <f t="shared" si="499"/>
        <v>#N/A</v>
      </c>
      <c r="FM297" s="414" t="e">
        <f>IF(AND(FI297&gt;NDC!$C$63,FJ297&gt;NDC!$C$65,FK297&gt;NDC!$D$73,FL297&gt;NDC!$D$74,$B297&gt;NDC!$H$22-0.1+MIN(3*FM$12,1.5)),0,1)</f>
        <v>#N/A</v>
      </c>
    </row>
    <row r="298" spans="1:169">
      <c r="A298" s="96">
        <f t="shared" si="465"/>
        <v>71.50000000000162</v>
      </c>
      <c r="B298" s="97">
        <v>28.5</v>
      </c>
      <c r="C298" s="81">
        <f>IF(B298&lt;=Hypothèses!$C$7,Hypothèses!$A$7,IF(B298&lt;=Hypothèses!$C$8,Hypothèses!$A$8,IF(B298&lt;=Hypothèses!$C$9,Hypothèses!$A$9,IF(B298&lt;=Hypothèses!$C$10,Hypothèses!$A$10,IF(B298&lt;=Hypothèses!$C$11,Hypothèses!$A$11,IF(B298&lt;=Hypothèses!$C$12,Hypothèses!$A$12,IF(B298&lt;=Hypothèses!$C$13,Hypothèses!$A$13,IF(B298&lt;=Hypothèses!$C$14,Hypothèses!$A$14,IF(B298&lt;=Hypothèses!$C$15,Hypothèses!$A$15,IF(B298&lt;=Hypothèses!$C$16,Hypothèses!$A$16,IF(B298&lt;=Hypothèses!$C$17,Hypothèses!$A$17,IF(B298&lt;=Hypothèses!$C$18,Hypothèses!$A$18,C297))))))))))))</f>
        <v>11</v>
      </c>
      <c r="D298" s="82" t="str">
        <f>IF(B298&lt;=Hypothèses!$C$7,Hypothèses!$R$7,IF(B298&lt;=Hypothèses!$C$8,Hypothèses!$R$8,IF(B298&lt;=Hypothèses!$C$9,Hypothèses!$R$9,IF(B298&lt;=Hypothèses!$C$10,Hypothèses!$R$10,IF(B298&lt;=Hypothèses!$C$11,Hypothèses!$R$11,IF(B298&lt;=Hypothèses!$C$12,Hypothèses!$R$12,IF(B298&lt;=Hypothèses!$C$13,Hypothèses!$R$13,IF(B298&lt;=Hypothèses!$C$14,Hypothèses!$R$14,IF(B298&lt;=Hypothèses!$C$15,Hypothèses!$R$15,IF(B298&lt;=Hypothèses!$C$16,Hypothèses!$R$16,IF(B298&lt;=Hypothèses!$C$17,Hypothèses!$R$17,IF(B298&lt;=Hypothèses!$C$18,Hypothèses!$R$18,D297))))))))))))</f>
        <v>Pressio.</v>
      </c>
      <c r="E298" s="82" t="e">
        <f>IF(B298&lt;=Hypothèses!$C$7,Hypothèses!$G$7,IF(B298&lt;=Hypothèses!$C$8,Hypothèses!$G$8,IF(B298&lt;=Hypothèses!$C$9,Hypothèses!$G$9,IF(B298&lt;=Hypothèses!$C$10,Hypothèses!$G$10,IF(B298&lt;=Hypothèses!$C$11,Hypothèses!$G$11,IF(B298&lt;=Hypothèses!$C$12,Hypothèses!$G$12,IF(B298&lt;=Hypothèses!$C$13,Hypothèses!$G$13,IF(B298&lt;=Hypothèses!$C$14,Hypothèses!$G$14,IF(B298&lt;=Hypothèses!$C$15,Hypothèses!$G$15,IF(B298&lt;=Hypothèses!$C$16,Hypothèses!$G$16,IF(B298&lt;=Hypothèses!$C$17,Hypothèses!$G$17,IF(B298&lt;=Hypothèses!$C$18,Hypothèses!$G$18,E297))))))))))))</f>
        <v>#N/A</v>
      </c>
      <c r="F298" s="82" t="str">
        <f>IF(B298&lt;=Hypothèses!$C$7,Hypothèses!$F$7,IF(B298&lt;=Hypothèses!$C$8,Hypothèses!$F$8,IF(B298&lt;=Hypothèses!$C$9,Hypothèses!$F$9,IF(B298&lt;=Hypothèses!$C$10,Hypothèses!$F$10,IF(B298&lt;=Hypothèses!$C$11,Hypothèses!$F$11,IF(B298&lt;=Hypothèses!$C$12,Hypothèses!$F$12,IF(B298&lt;=Hypothèses!$C$13,Hypothèses!$F$13,IF(B298&lt;=Hypothèses!$C$14,Hypothèses!$F$14,IF(B298&lt;=Hypothèses!$C$15,Hypothèses!$F$15,IF(B298&lt;=Hypothèses!$C$16,Hypothèses!$F$16,IF(B298&lt;=Hypothèses!$C$17,Hypothèses!$F$17,IF(B298&lt;=Hypothèses!$C$18,Hypothèses!$F$18,F297))))))))))))</f>
        <v/>
      </c>
      <c r="G298" s="91">
        <f t="array" ref="G298">INDEX('Coeff EC7'!$U$7:$X$27,
MATCH(Model0.1T!$B$3,'Coeff EC7'!$T$7:$T$27,0),
MATCH(Model0.1T!$D298&amp;Model0.1T!$B$4,
'Coeff EC7'!$U$6:$X$6&amp;
'Coeff EC7'!$U$5:$X$5,0))</f>
        <v>1.4</v>
      </c>
      <c r="H298" s="91">
        <f t="array" ref="H298">INDEX('Coeff EC7'!$Y$7:$AB$27,
MATCH(Model0.1T!$B$3,'Coeff EC7'!$T$7:$T$27,0),
MATCH(Model0.1T!$D298&amp;Model0.1T!$B$4,
'Coeff EC7'!$Y$6:$AB$6&amp;
'Coeff EC7'!$Y$5:$AB$5,0))</f>
        <v>1.7</v>
      </c>
      <c r="I298" s="83">
        <v>0</v>
      </c>
      <c r="J298" s="91" t="e">
        <f t="array" ref="J298">INDEX('Coeff EC7'!$D$33:$Q$33,1,MATCH(D298&amp;E298,'Coeff EC7'!$D$31:$Q$31&amp;'Coeff EC7'!$D$32:$Q$32,0))</f>
        <v>#N/A</v>
      </c>
      <c r="K298" s="91" t="e">
        <f t="array" ref="K298">INDEX('Coeff EC7'!$D$34:$Q$34,1,MATCH(D298&amp;E298,'Coeff EC7'!$D$31:$Q$31&amp;'Coeff EC7'!$D$32:$Q$32,0))</f>
        <v>#N/A</v>
      </c>
      <c r="L298" s="91" t="e">
        <f t="array" ref="L298">INDEX('Coeff EC7'!$D$35:$Q$35,1,MATCH(D298&amp;E298,'Coeff EC7'!$D$31:$Q$31&amp;'Coeff EC7'!$D$32:$Q$32,0))</f>
        <v>#N/A</v>
      </c>
      <c r="M298" s="98" t="e">
        <f t="shared" si="431"/>
        <v>#N/A</v>
      </c>
      <c r="N298" s="99" t="e">
        <f t="array" ref="N298">INDEX('Coeff EC7'!$D$7:$Q$27,MATCH($B$3,'Coeff EC7'!$C$7:$C$27,0),MATCH(D298&amp;E298,'Coeff EC7'!$D$5:$Q$5&amp;'Coeff EC7'!$D$6:$Q$6,0))</f>
        <v>#N/A</v>
      </c>
      <c r="O298" s="99" t="e">
        <f t="array" ref="O298">INDEX('Coeff EC7'!$D$41:$Q$61,MATCH($B$3,'Coeff EC7'!$C$41:$C$61,0),MATCH(D298&amp;E298,'Coeff EC7'!$D$39:$Q$39&amp;'Coeff EC7'!$D$40:$Q$40,0))</f>
        <v>#N/A</v>
      </c>
      <c r="P298" s="30" t="e">
        <f t="shared" si="466"/>
        <v>#N/A</v>
      </c>
      <c r="Q298" s="100" t="e">
        <f t="shared" si="433"/>
        <v>#N/A</v>
      </c>
      <c r="R298" s="86" t="b">
        <f t="shared" si="434"/>
        <v>0</v>
      </c>
      <c r="S298" s="86">
        <f t="shared" si="432"/>
        <v>0.5</v>
      </c>
      <c r="T298" s="86">
        <f t="shared" si="435"/>
        <v>0.5</v>
      </c>
      <c r="U298" s="30" t="e">
        <f t="shared" ca="1" si="467"/>
        <v>#DIV/0!</v>
      </c>
      <c r="V298" s="85" t="str">
        <f>IF(B298&lt;=Hypothèses!$V$7,Hypothèses!$W$7,IF(B298&lt;=Hypothèses!$V$8,Hypothèses!$W$8,IF(B298&lt;=Hypothèses!$V$9,Hypothèses!$W$9,IF(B298&lt;=Hypothèses!$V$10,Hypothèses!$W$10,IF(B298&lt;=Hypothèses!$V$11,Hypothèses!$W$11,IF(B298&lt;=Hypothèses!$V$12,Hypothèses!$W$12,IF(B298&lt;=Hypothèses!$V$13,Hypothèses!$W$13,IF(B298&lt;=Hypothèses!$V$14,Hypothèses!$W$14,IF(B298&lt;=Hypothèses!$V$15,Hypothèses!$W$15,IF(B298&lt;=Hypothèses!$V$16,Hypothèses!$W$16,IF(B298&lt;=Hypothèses!$V$17,Hypothèses!$W$17,IF(B298&lt;=Hypothèses!$V$18,Hypothèses!$W$18,""))))))))))))</f>
        <v/>
      </c>
      <c r="W298" s="87" t="e">
        <f t="shared" ca="1" si="516"/>
        <v>#DIV/0!</v>
      </c>
      <c r="X298" s="88" t="str">
        <f>IF(B298&lt;=Hypothèses!$V$7,Hypothèses!$X$7,IF(B298&lt;=Hypothèses!$V$8,Hypothèses!$X$8,IF(B298&lt;=Hypothèses!$V$9,Hypothèses!$X$9,IF(B298&lt;=Hypothèses!$V$10,Hypothèses!$X$10,IF(B298&lt;=Hypothèses!$V$11,Hypothèses!$X$11,IF(B298&lt;=Hypothèses!$V$12,Hypothèses!$X$12,IF(B298&lt;=Hypothèses!$V$13,Hypothèses!$X$13,IF(B298&lt;=Hypothèses!$V$14,Hypothèses!$X$14,IF(B298&lt;=Hypothèses!$V$15,Hypothèses!$X$15,IF(B298&lt;=Hypothèses!$V$16,Hypothèses!$X$16,IF(B298&lt;=Hypothèses!$U$17,Hypothèses!$W$17,IF(B298&lt;=Hypothèses!$U$18,Hypothèses!$W$18,""))))))))))))</f>
        <v/>
      </c>
      <c r="Y298" s="95" t="e">
        <f t="shared" ca="1" si="436"/>
        <v>#DIV/0!</v>
      </c>
      <c r="Z298" s="101">
        <f t="shared" si="437"/>
        <v>0</v>
      </c>
      <c r="AA298" s="91">
        <f t="shared" si="438"/>
        <v>0</v>
      </c>
      <c r="AB298" s="30" t="e">
        <f t="shared" si="500"/>
        <v>#N/A</v>
      </c>
      <c r="AC298" s="30" t="e">
        <f t="shared" si="501"/>
        <v>#N/A</v>
      </c>
      <c r="AD298" s="31" t="e">
        <f>IF(OR(Hypothèses!$B$4=17,Hypothèses!$B$4=18,Hypothèses!$B$4=19,Hypothèses!$B$4=20),
IF($D298="Pressio.",
IF(OR($E298=3,$E298=1,$E298=4),AC298,AB298),
IF($D298="Pénétro.",
IF(OR($E298=3,$E298=1,$E298=4),AC298,AB298))),IF($D298="Pressio.",
IF($E298=3,AC298,AB298),
IF($D298="Pénétro.",
IF($E298=4,AC298,AB298))))</f>
        <v>#N/A</v>
      </c>
      <c r="AE298" s="31">
        <v>0</v>
      </c>
      <c r="AF298" s="102" t="e">
        <f>IF(NDC!$H$10="Oui",(VLOOKUP($B$3,'Coeff EC7'!$T$39:$X$59,2,0)*AD298+VLOOKUP($B$3,'Coeff EC7'!$T$65:$X$85,2,0)*Model0.1T!AE298)/1.5,PI()*AB$12*$Q298*($B298-$B297)*0.15/10+AF297)</f>
        <v>#N/A</v>
      </c>
      <c r="AG298" s="102" t="e">
        <f>(VLOOKUP($B$3,'Coeff EC7'!$T$39:$X$59,3,0)*AD298+VLOOKUP($B$3,'Coeff EC7'!$T$65:$X$85,3,0)*Model0.1T!AE298)/1.1</f>
        <v>#N/A</v>
      </c>
      <c r="AH298" s="102" t="e">
        <f t="shared" si="468"/>
        <v>#N/A</v>
      </c>
      <c r="AI298" s="102" t="e">
        <f t="shared" si="469"/>
        <v>#N/A</v>
      </c>
      <c r="AJ298" s="414" t="e">
        <f>IF(AND(AF298&gt;NDC!$C$63,AG298&gt;NDC!$C$65,AH298&gt;NDC!$D$73,AI298&gt;NDC!$D$74,$B298&gt;NDC!$H$22-0.1+MIN(3*$AJ$12,1.5)),0,1)</f>
        <v>#N/A</v>
      </c>
      <c r="AK298" s="86" t="b">
        <f t="shared" si="439"/>
        <v>0</v>
      </c>
      <c r="AL298" s="86">
        <f t="shared" si="470"/>
        <v>0.5</v>
      </c>
      <c r="AM298" s="86">
        <f t="shared" si="440"/>
        <v>0.5</v>
      </c>
      <c r="AN298" s="30" t="e">
        <f t="shared" ca="1" si="471"/>
        <v>#DIV/0!</v>
      </c>
      <c r="AO298" s="85" t="e">
        <f ca="1">IF(U298&lt;=Hypothèses!$V$7,Hypothèses!$W$7,IF(U298&lt;=Hypothèses!$V$8,Hypothèses!$W$8,IF(U298&lt;=Hypothèses!$V$9,Hypothèses!$W$9,IF(U298&lt;=Hypothèses!$V$10,Hypothèses!$W$10,IF(U298&lt;=Hypothèses!$V$11,Hypothèses!$W$11,IF(U298&lt;=Hypothèses!$V$12,Hypothèses!$W$12,IF(U298&lt;=Hypothèses!$V$13,Hypothèses!$W$13,IF(U298&lt;=Hypothèses!$V$14,Hypothèses!$W$14,IF(U298&lt;=Hypothèses!$V$15,Hypothèses!$W$15,IF(U298&lt;=Hypothèses!$V$16,Hypothèses!$W$16,IF(U298&lt;=Hypothèses!$V$17,Hypothèses!$W$17,IF(U298&lt;=Hypothèses!$V$18,Hypothèses!$W$18,""))))))))))))</f>
        <v>#DIV/0!</v>
      </c>
      <c r="AP298" s="87" t="e">
        <f t="shared" ca="1" si="517"/>
        <v>#DIV/0!</v>
      </c>
      <c r="AQ298" s="88" t="e">
        <f ca="1">IF(U298&lt;=Hypothèses!$V$7,Hypothèses!$X$7,IF(U298&lt;=Hypothèses!$V$8,Hypothèses!$X$8,IF(U298&lt;=Hypothèses!$V$9,Hypothèses!$X$9,IF(U298&lt;=Hypothèses!$V$10,Hypothèses!$X$10,IF(U298&lt;=Hypothèses!$V$11,Hypothèses!$X$11,IF(U298&lt;=Hypothèses!$V$12,Hypothèses!$X$12,IF(U298&lt;=Hypothèses!$V$13,Hypothèses!$X$13,IF(U298&lt;=Hypothèses!$V$14,Hypothèses!$X$14,IF(U298&lt;=Hypothèses!$V$15,Hypothèses!$X$15,IF(U298&lt;=Hypothèses!$V$16,Hypothèses!$X$16,IF(U298&lt;=Hypothèses!$U$17,Hypothèses!$W$17,IF(U298&lt;=Hypothèses!$U$18,Hypothèses!$W$18,""))))))))))))</f>
        <v>#DIV/0!</v>
      </c>
      <c r="AR298" s="95" t="e">
        <f t="shared" ca="1" si="472"/>
        <v>#DIV/0!</v>
      </c>
      <c r="AS298" s="101">
        <f t="shared" si="524"/>
        <v>0</v>
      </c>
      <c r="AT298" s="91">
        <f t="shared" si="441"/>
        <v>0</v>
      </c>
      <c r="AU298" s="30" t="e">
        <f t="shared" si="502"/>
        <v>#N/A</v>
      </c>
      <c r="AV298" s="30" t="e">
        <f t="shared" si="503"/>
        <v>#N/A</v>
      </c>
      <c r="AW298" s="31" t="e">
        <f>IF(OR(Hypothèses!$B$4=17,Hypothèses!$B$4=18,Hypothèses!$B$4=19,Hypothèses!$B$4=20),
IF($D298="Pressio.",
IF(OR($E298=3,$E298=1,$E298=4),AV298,AU298),
IF($D298="Pénétro.",
IF(OR($E298=3,$E298=1,$E298=4),AV298,AU298))),IF($D298="Pressio.",
IF($E298=3,AV298,AU298),
IF($D298="Pénétro.",
IF($E298=4,AV298,AU298))))</f>
        <v>#N/A</v>
      </c>
      <c r="AX298" s="31">
        <v>0</v>
      </c>
      <c r="AY298" s="102" t="e">
        <f>IF(NDC!$H$10="Oui",(VLOOKUP($B$3,'Coeff EC7'!$T$39:$X$59,2,0)*AW298+VLOOKUP($B$3,'Coeff EC7'!$T$65:$X$85,2,0)*Model0.1T!AX298)/1.5,PI()*AU$12*$Q298*($B298-$B297)*0.15/10+AY297)</f>
        <v>#N/A</v>
      </c>
      <c r="AZ298" s="102" t="e">
        <f>(VLOOKUP($B$3,'Coeff EC7'!$T$39:$X$59,3,0)*AW298+VLOOKUP($B$3,'Coeff EC7'!$T$65:$X$85,3,0)*Model0.1T!AX298)/1.1</f>
        <v>#N/A</v>
      </c>
      <c r="BA298" s="102" t="e">
        <f t="shared" si="473"/>
        <v>#N/A</v>
      </c>
      <c r="BB298" s="102" t="e">
        <f t="shared" si="474"/>
        <v>#N/A</v>
      </c>
      <c r="BC298" s="414" t="e">
        <f>IF(AND(AY298&gt;NDC!$C$63,AZ298&gt;NDC!$C$65,BA298&gt;NDC!$D$73,BB298&gt;NDC!$D$74,$B298&gt;NDC!$H$22-0.1+MIN(3*BC$12,1.5)),0,1)</f>
        <v>#N/A</v>
      </c>
      <c r="BD298" s="86" t="b">
        <f t="shared" si="442"/>
        <v>0</v>
      </c>
      <c r="BE298" s="86">
        <f t="shared" si="475"/>
        <v>0.5</v>
      </c>
      <c r="BF298" s="86">
        <f t="shared" si="443"/>
        <v>0.5</v>
      </c>
      <c r="BG298" s="30" t="e">
        <f t="shared" ca="1" si="476"/>
        <v>#DIV/0!</v>
      </c>
      <c r="BH298" s="85" t="e">
        <f ca="1">IF(AN298&lt;=Hypothèses!$V$7,Hypothèses!$W$7,IF(AN298&lt;=Hypothèses!$V$8,Hypothèses!$W$8,IF(AN298&lt;=Hypothèses!$V$9,Hypothèses!$W$9,IF(AN298&lt;=Hypothèses!$V$10,Hypothèses!$W$10,IF(AN298&lt;=Hypothèses!$V$11,Hypothèses!$W$11,IF(AN298&lt;=Hypothèses!$V$12,Hypothèses!$W$12,IF(AN298&lt;=Hypothèses!$V$13,Hypothèses!$W$13,IF(AN298&lt;=Hypothèses!$V$14,Hypothèses!$W$14,IF(AN298&lt;=Hypothèses!$V$15,Hypothèses!$W$15,IF(AN298&lt;=Hypothèses!$V$16,Hypothèses!$W$16,IF(AN298&lt;=Hypothèses!$V$17,Hypothèses!$W$17,IF(AN298&lt;=Hypothèses!$V$18,Hypothèses!$W$18,""))))))))))))</f>
        <v>#DIV/0!</v>
      </c>
      <c r="BI298" s="87" t="e">
        <f t="shared" ca="1" si="518"/>
        <v>#DIV/0!</v>
      </c>
      <c r="BJ298" s="88" t="e">
        <f ca="1">IF(AN298&lt;=Hypothèses!$V$7,Hypothèses!$X$7,IF(AN298&lt;=Hypothèses!$V$8,Hypothèses!$X$8,IF(AN298&lt;=Hypothèses!$V$9,Hypothèses!$X$9,IF(AN298&lt;=Hypothèses!$V$10,Hypothèses!$X$10,IF(AN298&lt;=Hypothèses!$V$11,Hypothèses!$X$11,IF(AN298&lt;=Hypothèses!$V$12,Hypothèses!$X$12,IF(AN298&lt;=Hypothèses!$V$13,Hypothèses!$X$13,IF(AN298&lt;=Hypothèses!$V$14,Hypothèses!$X$14,IF(AN298&lt;=Hypothèses!$V$15,Hypothèses!$X$15,IF(AN298&lt;=Hypothèses!$V$16,Hypothèses!$X$16,IF(AN298&lt;=Hypothèses!$U$17,Hypothèses!$W$17,IF(AN298&lt;=Hypothèses!$U$18,Hypothèses!$W$18,""))))))))))))</f>
        <v>#DIV/0!</v>
      </c>
      <c r="BK298" s="95" t="e">
        <f t="shared" ca="1" si="477"/>
        <v>#DIV/0!</v>
      </c>
      <c r="BL298" s="101">
        <f t="shared" si="525"/>
        <v>0</v>
      </c>
      <c r="BM298" s="91">
        <f t="shared" si="444"/>
        <v>0</v>
      </c>
      <c r="BN298" s="30" t="e">
        <f t="shared" si="504"/>
        <v>#N/A</v>
      </c>
      <c r="BO298" s="30" t="e">
        <f t="shared" si="505"/>
        <v>#N/A</v>
      </c>
      <c r="BP298" s="31" t="e">
        <f>IF(OR(Hypothèses!$B$4=17,Hypothèses!$B$4=18,Hypothèses!$B$4=19,Hypothèses!$B$4=20),
IF($D298="Pressio.",
IF(OR($E298=3,$E298=1,$E298=4),BO298,BN298),
IF($D298="Pénétro.",
IF(OR($E298=3,$E298=1,$E298=4),BO298,BN298))),IF($D298="Pressio.",
IF($E298=3,BO298,BN298),
IF($D298="Pénétro.",
IF($E298=4,BO298,BN298))))</f>
        <v>#N/A</v>
      </c>
      <c r="BQ298" s="31">
        <v>0</v>
      </c>
      <c r="BR298" s="102" t="e">
        <f>IF(NDC!$H$10="Oui",(VLOOKUP($B$3,'Coeff EC7'!$T$39:$X$59,2,0)*BP298+VLOOKUP($B$3,'Coeff EC7'!$T$65:$X$85,2,0)*Model0.1T!BQ298)/1.5,PI()*BN$12*$Q298*($B298-$B297)*0.15/10+BR297)</f>
        <v>#N/A</v>
      </c>
      <c r="BS298" s="102" t="e">
        <f>(VLOOKUP($B$3,'Coeff EC7'!$T$39:$X$59,3,0)*BP298+VLOOKUP($B$3,'Coeff EC7'!$T$65:$X$85,3,0)*Model0.1T!BQ298)/1.1</f>
        <v>#N/A</v>
      </c>
      <c r="BT298" s="102" t="e">
        <f t="shared" si="478"/>
        <v>#N/A</v>
      </c>
      <c r="BU298" s="102" t="e">
        <f t="shared" si="479"/>
        <v>#N/A</v>
      </c>
      <c r="BV298" s="414" t="e">
        <f>IF(AND(BR298&gt;NDC!$C$63,BS298&gt;NDC!$C$65,BT298&gt;NDC!$D$73,BU298&gt;NDC!$D$74,$B298&gt;NDC!$H$22-0.1+MIN(3*BV$12,1.5)),0,1)</f>
        <v>#N/A</v>
      </c>
      <c r="BW298" s="86" t="b">
        <f t="shared" si="445"/>
        <v>0</v>
      </c>
      <c r="BX298" s="86">
        <f t="shared" si="446"/>
        <v>0.5</v>
      </c>
      <c r="BY298" s="86">
        <f t="shared" si="447"/>
        <v>0.5</v>
      </c>
      <c r="BZ298" s="30" t="e">
        <f t="shared" ca="1" si="480"/>
        <v>#DIV/0!</v>
      </c>
      <c r="CA298" s="85" t="e">
        <f ca="1">IF(BG298&lt;=Hypothèses!$V$7,Hypothèses!$W$7,IF(BG298&lt;=Hypothèses!$V$8,Hypothèses!$W$8,IF(BG298&lt;=Hypothèses!$V$9,Hypothèses!$W$9,IF(BG298&lt;=Hypothèses!$V$10,Hypothèses!$W$10,IF(BG298&lt;=Hypothèses!$V$11,Hypothèses!$W$11,IF(BG298&lt;=Hypothèses!$V$12,Hypothèses!$W$12,IF(BG298&lt;=Hypothèses!$V$13,Hypothèses!$W$13,IF(BG298&lt;=Hypothèses!$V$14,Hypothèses!$W$14,IF(BG298&lt;=Hypothèses!$V$15,Hypothèses!$W$15,IF(BG298&lt;=Hypothèses!$V$16,Hypothèses!$W$16,IF(BG298&lt;=Hypothèses!$V$17,Hypothèses!$W$17,IF(BG298&lt;=Hypothèses!$V$18,Hypothèses!$W$18,""))))))))))))</f>
        <v>#DIV/0!</v>
      </c>
      <c r="CB298" s="87" t="e">
        <f t="shared" ca="1" si="519"/>
        <v>#DIV/0!</v>
      </c>
      <c r="CC298" s="88" t="e">
        <f ca="1">IF(BG298&lt;=Hypothèses!$V$7,Hypothèses!$X$7,IF(BG298&lt;=Hypothèses!$V$8,Hypothèses!$X$8,IF(BG298&lt;=Hypothèses!$V$9,Hypothèses!$X$9,IF(BG298&lt;=Hypothèses!$V$10,Hypothèses!$X$10,IF(BG298&lt;=Hypothèses!$V$11,Hypothèses!$X$11,IF(BG298&lt;=Hypothèses!$V$12,Hypothèses!$X$12,IF(BG298&lt;=Hypothèses!$V$13,Hypothèses!$X$13,IF(BG298&lt;=Hypothèses!$V$14,Hypothèses!$X$14,IF(BG298&lt;=Hypothèses!$V$15,Hypothèses!$X$15,IF(BG298&lt;=Hypothèses!$V$16,Hypothèses!$X$16,IF(BG298&lt;=Hypothèses!$U$17,Hypothèses!$W$17,IF(BG298&lt;=Hypothèses!$U$18,Hypothèses!$W$18,""))))))))))))</f>
        <v>#DIV/0!</v>
      </c>
      <c r="CD298" s="95" t="e">
        <f t="shared" ca="1" si="481"/>
        <v>#DIV/0!</v>
      </c>
      <c r="CE298" s="101">
        <f t="shared" si="526"/>
        <v>0</v>
      </c>
      <c r="CF298" s="91">
        <f t="shared" si="448"/>
        <v>0</v>
      </c>
      <c r="CG298" s="30" t="e">
        <f t="shared" si="506"/>
        <v>#N/A</v>
      </c>
      <c r="CH298" s="30" t="e">
        <f t="shared" si="507"/>
        <v>#N/A</v>
      </c>
      <c r="CI298" s="31" t="e">
        <f>IF(OR(Hypothèses!$B$4=17,Hypothèses!$B$4=18,Hypothèses!$B$4=19,Hypothèses!$B$4=20),
IF($D298="Pressio.",
IF(OR($E298=3,$E298=1,$E298=4),CH298,CG298),
IF($D298="Pénétro.",
IF(OR($E298=3,$E298=1,$E298=4),CH298,CG298))),IF($D298="Pressio.",
IF($E298=3,CH298,CG298),
IF($D298="Pénétro.",
IF($E298=4,CH298,CG298))))</f>
        <v>#N/A</v>
      </c>
      <c r="CJ298" s="31">
        <v>0</v>
      </c>
      <c r="CK298" s="102" t="e">
        <f>IF(NDC!$H$10="Oui",(VLOOKUP($B$3,'Coeff EC7'!$T$39:$X$59,2,0)*CI298+VLOOKUP($B$3,'Coeff EC7'!$T$65:$X$85,2,0)*Model0.1T!CJ298)/1.5,PI()*CG$12*$Q298*($B298-$B297)*0.15/10+CK297)</f>
        <v>#N/A</v>
      </c>
      <c r="CL298" s="102" t="e">
        <f>(VLOOKUP($B$3,'Coeff EC7'!$T$39:$X$59,3,0)*CI298+VLOOKUP($B$3,'Coeff EC7'!$T$65:$X$85,3,0)*Model0.1T!CJ298)/1.1</f>
        <v>#N/A</v>
      </c>
      <c r="CM298" s="102" t="e">
        <f t="shared" si="482"/>
        <v>#N/A</v>
      </c>
      <c r="CN298" s="102" t="e">
        <f t="shared" si="483"/>
        <v>#N/A</v>
      </c>
      <c r="CO298" s="414" t="e">
        <f>IF(AND(CK298&gt;NDC!$C$63,CL298&gt;NDC!$C$65,CM298&gt;NDC!$D$73,CN298&gt;NDC!$D$74,$B298&gt;NDC!$H$22-0.1+MIN(3*CO$12,1.5)),0,1)</f>
        <v>#N/A</v>
      </c>
      <c r="CP298" s="86" t="b">
        <f t="shared" si="449"/>
        <v>0</v>
      </c>
      <c r="CQ298" s="86">
        <f t="shared" si="450"/>
        <v>0.5</v>
      </c>
      <c r="CR298" s="86">
        <f t="shared" si="451"/>
        <v>0.5</v>
      </c>
      <c r="CS298" s="30" t="e">
        <f t="shared" ca="1" si="484"/>
        <v>#DIV/0!</v>
      </c>
      <c r="CT298" s="85" t="e">
        <f ca="1">IF(BZ298&lt;=Hypothèses!$V$7,Hypothèses!$W$7,IF(BZ298&lt;=Hypothèses!$V$8,Hypothèses!$W$8,IF(BZ298&lt;=Hypothèses!$V$9,Hypothèses!$W$9,IF(BZ298&lt;=Hypothèses!$V$10,Hypothèses!$W$10,IF(BZ298&lt;=Hypothèses!$V$11,Hypothèses!$W$11,IF(BZ298&lt;=Hypothèses!$V$12,Hypothèses!$W$12,IF(BZ298&lt;=Hypothèses!$V$13,Hypothèses!$W$13,IF(BZ298&lt;=Hypothèses!$V$14,Hypothèses!$W$14,IF(BZ298&lt;=Hypothèses!$V$15,Hypothèses!$W$15,IF(BZ298&lt;=Hypothèses!$V$16,Hypothèses!$W$16,IF(BZ298&lt;=Hypothèses!$V$17,Hypothèses!$W$17,IF(BZ298&lt;=Hypothèses!$V$18,Hypothèses!$W$18,""))))))))))))</f>
        <v>#DIV/0!</v>
      </c>
      <c r="CU298" s="87" t="e">
        <f t="shared" ca="1" si="520"/>
        <v>#DIV/0!</v>
      </c>
      <c r="CV298" s="88" t="e">
        <f ca="1">IF(BZ298&lt;=Hypothèses!$V$7,Hypothèses!$X$7,IF(BZ298&lt;=Hypothèses!$V$8,Hypothèses!$X$8,IF(BZ298&lt;=Hypothèses!$V$9,Hypothèses!$X$9,IF(BZ298&lt;=Hypothèses!$V$10,Hypothèses!$X$10,IF(BZ298&lt;=Hypothèses!$V$11,Hypothèses!$X$11,IF(BZ298&lt;=Hypothèses!$V$12,Hypothèses!$X$12,IF(BZ298&lt;=Hypothèses!$V$13,Hypothèses!$X$13,IF(BZ298&lt;=Hypothèses!$V$14,Hypothèses!$X$14,IF(BZ298&lt;=Hypothèses!$V$15,Hypothèses!$X$15,IF(BZ298&lt;=Hypothèses!$V$16,Hypothèses!$X$16,IF(BZ298&lt;=Hypothèses!$U$17,Hypothèses!$W$17,IF(BZ298&lt;=Hypothèses!$U$18,Hypothèses!$W$18,""))))))))))))</f>
        <v>#DIV/0!</v>
      </c>
      <c r="CW298" s="95" t="e">
        <f t="shared" ca="1" si="485"/>
        <v>#DIV/0!</v>
      </c>
      <c r="CX298" s="101">
        <f t="shared" si="527"/>
        <v>0</v>
      </c>
      <c r="CY298" s="91">
        <f t="shared" si="452"/>
        <v>0</v>
      </c>
      <c r="CZ298" s="30" t="e">
        <f t="shared" si="508"/>
        <v>#N/A</v>
      </c>
      <c r="DA298" s="30" t="e">
        <f t="shared" si="509"/>
        <v>#N/A</v>
      </c>
      <c r="DB298" s="31" t="e">
        <f>IF(OR(Hypothèses!$B$4=17,Hypothèses!$B$4=18,Hypothèses!$B$4=19,Hypothèses!$B$4=20),
IF($D298="Pressio.",
IF(OR($E298=3,$E298=1,$E298=4),DA298,CZ298),
IF($D298="Pénétro.",
IF(OR($E298=3,$E298=1,$E298=4),DA298,CZ298))),IF($D298="Pressio.",
IF($E298=3,DA298,CZ298),
IF($D298="Pénétro.",
IF($E298=4,DA298,CZ298))))</f>
        <v>#N/A</v>
      </c>
      <c r="DC298" s="31">
        <v>0</v>
      </c>
      <c r="DD298" s="102" t="e">
        <f>IF(NDC!$H$10="Oui",(VLOOKUP($B$3,'Coeff EC7'!$T$39:$X$59,2,0)*DB298+VLOOKUP($B$3,'Coeff EC7'!$T$65:$X$85,2,0)*Model0.1T!DC298)/1.5,PI()*CZ$12*$Q298*($B298-$B297)*0.15/10+DD297)</f>
        <v>#N/A</v>
      </c>
      <c r="DE298" s="102" t="e">
        <f>(VLOOKUP($B$3,'Coeff EC7'!$T$39:$X$59,3,0)*DB298+VLOOKUP($B$3,'Coeff EC7'!$T$65:$X$85,3,0)*Model0.1T!DC298)/1.1</f>
        <v>#N/A</v>
      </c>
      <c r="DF298" s="102" t="e">
        <f t="shared" si="486"/>
        <v>#N/A</v>
      </c>
      <c r="DG298" s="102" t="e">
        <f t="shared" si="487"/>
        <v>#N/A</v>
      </c>
      <c r="DH298" s="414" t="e">
        <f>IF(AND(DD298&gt;NDC!$C$63,DE298&gt;NDC!$C$65,DF298&gt;NDC!$D$73,DG298&gt;NDC!$D$74,$B298&gt;NDC!$H$22-0.1+MIN(3*DH$12,1.5)),0,1)</f>
        <v>#N/A</v>
      </c>
      <c r="DI298" s="86" t="b">
        <f t="shared" si="453"/>
        <v>0</v>
      </c>
      <c r="DJ298" s="86">
        <f t="shared" si="454"/>
        <v>0.5</v>
      </c>
      <c r="DK298" s="86">
        <f t="shared" si="455"/>
        <v>0.5</v>
      </c>
      <c r="DL298" s="30" t="e">
        <f t="shared" ca="1" si="488"/>
        <v>#DIV/0!</v>
      </c>
      <c r="DM298" s="85" t="e">
        <f ca="1">IF(CS298&lt;=Hypothèses!$V$7,Hypothèses!$W$7,IF(CS298&lt;=Hypothèses!$V$8,Hypothèses!$W$8,IF(CS298&lt;=Hypothèses!$V$9,Hypothèses!$W$9,IF(CS298&lt;=Hypothèses!$V$10,Hypothèses!$W$10,IF(CS298&lt;=Hypothèses!$V$11,Hypothèses!$W$11,IF(CS298&lt;=Hypothèses!$V$12,Hypothèses!$W$12,IF(CS298&lt;=Hypothèses!$V$13,Hypothèses!$W$13,IF(CS298&lt;=Hypothèses!$V$14,Hypothèses!$W$14,IF(CS298&lt;=Hypothèses!$V$15,Hypothèses!$W$15,IF(CS298&lt;=Hypothèses!$V$16,Hypothèses!$W$16,IF(CS298&lt;=Hypothèses!$V$17,Hypothèses!$W$17,IF(CS298&lt;=Hypothèses!$V$18,Hypothèses!$W$18,""))))))))))))</f>
        <v>#DIV/0!</v>
      </c>
      <c r="DN298" s="87" t="e">
        <f t="shared" ca="1" si="521"/>
        <v>#DIV/0!</v>
      </c>
      <c r="DO298" s="88" t="e">
        <f ca="1">IF(CS298&lt;=Hypothèses!$V$7,Hypothèses!$X$7,IF(CS298&lt;=Hypothèses!$V$8,Hypothèses!$X$8,IF(CS298&lt;=Hypothèses!$V$9,Hypothèses!$X$9,IF(CS298&lt;=Hypothèses!$V$10,Hypothèses!$X$10,IF(CS298&lt;=Hypothèses!$V$11,Hypothèses!$X$11,IF(CS298&lt;=Hypothèses!$V$12,Hypothèses!$X$12,IF(CS298&lt;=Hypothèses!$V$13,Hypothèses!$X$13,IF(CS298&lt;=Hypothèses!$V$14,Hypothèses!$X$14,IF(CS298&lt;=Hypothèses!$V$15,Hypothèses!$X$15,IF(CS298&lt;=Hypothèses!$V$16,Hypothèses!$X$16,IF(CS298&lt;=Hypothèses!$U$17,Hypothèses!$W$17,IF(CS298&lt;=Hypothèses!$U$18,Hypothèses!$W$18,""))))))))))))</f>
        <v>#DIV/0!</v>
      </c>
      <c r="DP298" s="95" t="e">
        <f t="shared" ca="1" si="489"/>
        <v>#DIV/0!</v>
      </c>
      <c r="DQ298" s="101">
        <f t="shared" si="528"/>
        <v>0</v>
      </c>
      <c r="DR298" s="91">
        <f t="shared" si="456"/>
        <v>0</v>
      </c>
      <c r="DS298" s="30" t="e">
        <f t="shared" si="510"/>
        <v>#N/A</v>
      </c>
      <c r="DT298" s="30" t="e">
        <f t="shared" si="511"/>
        <v>#N/A</v>
      </c>
      <c r="DU298" s="31" t="e">
        <f>IF(OR(Hypothèses!$B$4=17,Hypothèses!$B$4=18,Hypothèses!$B$4=19,Hypothèses!$B$4=20),
IF($D298="Pressio.",
IF(OR($E298=3,$E298=1,$E298=4),DT298,DS298),
IF($D298="Pénétro.",
IF(OR($E298=3,$E298=1,$E298=4),DT298,DS298))),IF($D298="Pressio.",
IF($E298=3,DT298,DS298),
IF($D298="Pénétro.",
IF($E298=4,DT298,DS298))))</f>
        <v>#N/A</v>
      </c>
      <c r="DV298" s="31">
        <v>0</v>
      </c>
      <c r="DW298" s="102" t="e">
        <f>IF(NDC!$H$10="Oui",(VLOOKUP($B$3,'Coeff EC7'!$T$39:$X$59,2,0)*DU298+VLOOKUP($B$3,'Coeff EC7'!$T$65:$X$85,2,0)*Model0.1T!DV298)/1.5,PI()*DS$12*$Q298*($B298-$B297)*0.15/10+DW297)</f>
        <v>#N/A</v>
      </c>
      <c r="DX298" s="102" t="e">
        <f>(VLOOKUP($B$3,'Coeff EC7'!$T$39:$X$59,3,0)*DU298+VLOOKUP($B$3,'Coeff EC7'!$T$65:$X$85,3,0)*Model0.1T!DV298)/1.1</f>
        <v>#N/A</v>
      </c>
      <c r="DY298" s="102" t="e">
        <f t="shared" si="490"/>
        <v>#N/A</v>
      </c>
      <c r="DZ298" s="102" t="e">
        <f t="shared" si="491"/>
        <v>#N/A</v>
      </c>
      <c r="EA298" s="414" t="e">
        <f>IF(AND(DW298&gt;NDC!$C$63,DX298&gt;NDC!$C$65,DY298&gt;NDC!$D$73,DZ298&gt;NDC!$D$74,$B298&gt;NDC!$H$22-0.1+MIN(3*EA$12,1.5)),0,1)</f>
        <v>#N/A</v>
      </c>
      <c r="EB298" s="86" t="b">
        <f t="shared" si="457"/>
        <v>0</v>
      </c>
      <c r="EC298" s="418">
        <f t="shared" si="458"/>
        <v>0.51</v>
      </c>
      <c r="ED298" s="86">
        <f t="shared" si="459"/>
        <v>0.51</v>
      </c>
      <c r="EE298" s="30" t="e">
        <f t="shared" ca="1" si="492"/>
        <v>#DIV/0!</v>
      </c>
      <c r="EF298" s="85" t="e">
        <f ca="1">IF(DL298&lt;=Hypothèses!$V$7,Hypothèses!$W$7,IF(DL298&lt;=Hypothèses!$V$8,Hypothèses!$W$8,IF(DL298&lt;=Hypothèses!$V$9,Hypothèses!$W$9,IF(DL298&lt;=Hypothèses!$V$10,Hypothèses!$W$10,IF(DL298&lt;=Hypothèses!$V$11,Hypothèses!$W$11,IF(DL298&lt;=Hypothèses!$V$12,Hypothèses!$W$12,IF(DL298&lt;=Hypothèses!$V$13,Hypothèses!$W$13,IF(DL298&lt;=Hypothèses!$V$14,Hypothèses!$W$14,IF(DL298&lt;=Hypothèses!$V$15,Hypothèses!$W$15,IF(DL298&lt;=Hypothèses!$V$16,Hypothèses!$W$16,IF(DL298&lt;=Hypothèses!$V$17,Hypothèses!$W$17,IF(DL298&lt;=Hypothèses!$V$18,Hypothèses!$W$18,""))))))))))))</f>
        <v>#DIV/0!</v>
      </c>
      <c r="EG298" s="87" t="e">
        <f t="shared" ca="1" si="522"/>
        <v>#DIV/0!</v>
      </c>
      <c r="EH298" s="88" t="e">
        <f ca="1">IF(DL298&lt;=Hypothèses!$V$7,Hypothèses!$X$7,IF(DL298&lt;=Hypothèses!$V$8,Hypothèses!$X$8,IF(DL298&lt;=Hypothèses!$V$9,Hypothèses!$X$9,IF(DL298&lt;=Hypothèses!$V$10,Hypothèses!$X$10,IF(DL298&lt;=Hypothèses!$V$11,Hypothèses!$X$11,IF(DL298&lt;=Hypothèses!$V$12,Hypothèses!$X$12,IF(DL298&lt;=Hypothèses!$V$13,Hypothèses!$X$13,IF(DL298&lt;=Hypothèses!$V$14,Hypothèses!$X$14,IF(DL298&lt;=Hypothèses!$V$15,Hypothèses!$X$15,IF(DL298&lt;=Hypothèses!$V$16,Hypothèses!$X$16,IF(DL298&lt;=Hypothèses!$U$17,Hypothèses!$W$17,IF(DL298&lt;=Hypothèses!$U$18,Hypothèses!$W$18,""))))))))))))</f>
        <v>#DIV/0!</v>
      </c>
      <c r="EI298" s="95" t="e">
        <f t="shared" ca="1" si="493"/>
        <v>#DIV/0!</v>
      </c>
      <c r="EJ298" s="101">
        <f t="shared" si="529"/>
        <v>0</v>
      </c>
      <c r="EK298" s="91">
        <f t="shared" si="460"/>
        <v>0</v>
      </c>
      <c r="EL298" s="30" t="e">
        <f t="shared" si="512"/>
        <v>#N/A</v>
      </c>
      <c r="EM298" s="30" t="e">
        <f t="shared" si="513"/>
        <v>#N/A</v>
      </c>
      <c r="EN298" s="31" t="e">
        <f>IF(OR(Hypothèses!$B$4=17,Hypothèses!$B$4=18,Hypothèses!$B$4=19,Hypothèses!$B$4=20),
IF($D298="Pressio.",
IF(OR($E298=3,$E298=1,$E298=4),EM298,EL298),
IF($D298="Pénétro.",
IF(OR($E298=3,$E298=1,$E298=4),EM298,EL298))),IF($D298="Pressio.",
IF($E298=3,EM298,EL298),
IF($D298="Pénétro.",
IF($E298=4,EM298,EL298))))</f>
        <v>#N/A</v>
      </c>
      <c r="EO298" s="31">
        <v>0</v>
      </c>
      <c r="EP298" s="102" t="e">
        <f>IF(NDC!$H$10="Oui",(VLOOKUP($B$3,'Coeff EC7'!$T$39:$X$59,2,0)*EN298+VLOOKUP($B$3,'Coeff EC7'!$T$65:$X$85,2,0)*Model0.1T!EO298)/1.5,PI()*EL$12*$Q298*($B298-$B297)*0.15/10+EP297)</f>
        <v>#N/A</v>
      </c>
      <c r="EQ298" s="102" t="e">
        <f>(VLOOKUP($B$3,'Coeff EC7'!$T$39:$X$59,3,0)*EN298+VLOOKUP($B$3,'Coeff EC7'!$T$65:$X$85,3,0)*Model0.1T!EO298)/1.1</f>
        <v>#N/A</v>
      </c>
      <c r="ER298" s="102" t="e">
        <f t="shared" si="494"/>
        <v>#N/A</v>
      </c>
      <c r="ES298" s="102" t="e">
        <f t="shared" si="495"/>
        <v>#N/A</v>
      </c>
      <c r="ET298" s="414" t="e">
        <f>IF(AND(EP298&gt;NDC!$C$63,EQ298&gt;NDC!$C$65,ER298&gt;NDC!$D$73,ES298&gt;NDC!$D$74,$B298&gt;NDC!$H$22-0.1+MIN(3*ET$12,1.5)),0,1)</f>
        <v>#N/A</v>
      </c>
      <c r="EU298" s="86" t="b">
        <f t="shared" si="461"/>
        <v>0</v>
      </c>
      <c r="EV298" s="86">
        <f t="shared" si="462"/>
        <v>0.61</v>
      </c>
      <c r="EW298" s="86">
        <f t="shared" si="463"/>
        <v>0.61</v>
      </c>
      <c r="EX298" s="30" t="e">
        <f t="shared" ca="1" si="496"/>
        <v>#DIV/0!</v>
      </c>
      <c r="EY298" s="85" t="e">
        <f ca="1">IF(EE298&lt;=Hypothèses!$V$7,Hypothèses!$W$7,IF(EE298&lt;=Hypothèses!$V$8,Hypothèses!$W$8,IF(EE298&lt;=Hypothèses!$V$9,Hypothèses!$W$9,IF(EE298&lt;=Hypothèses!$V$10,Hypothèses!$W$10,IF(EE298&lt;=Hypothèses!$V$11,Hypothèses!$W$11,IF(EE298&lt;=Hypothèses!$V$12,Hypothèses!$W$12,IF(EE298&lt;=Hypothèses!$V$13,Hypothèses!$W$13,IF(EE298&lt;=Hypothèses!$V$14,Hypothèses!$W$14,IF(EE298&lt;=Hypothèses!$V$15,Hypothèses!$W$15,IF(EE298&lt;=Hypothèses!$V$16,Hypothèses!$W$16,IF(EE298&lt;=Hypothèses!$V$17,Hypothèses!$W$17,IF(EE298&lt;=Hypothèses!$V$18,Hypothèses!$W$18,""))))))))))))</f>
        <v>#DIV/0!</v>
      </c>
      <c r="EZ298" s="87" t="e">
        <f t="shared" ca="1" si="523"/>
        <v>#DIV/0!</v>
      </c>
      <c r="FA298" s="88" t="e">
        <f ca="1">IF(EE298&lt;=Hypothèses!$V$7,Hypothèses!$X$7,IF(EE298&lt;=Hypothèses!$V$8,Hypothèses!$X$8,IF(EE298&lt;=Hypothèses!$V$9,Hypothèses!$X$9,IF(EE298&lt;=Hypothèses!$V$10,Hypothèses!$X$10,IF(EE298&lt;=Hypothèses!$V$11,Hypothèses!$X$11,IF(EE298&lt;=Hypothèses!$V$12,Hypothèses!$X$12,IF(EE298&lt;=Hypothèses!$V$13,Hypothèses!$X$13,IF(EE298&lt;=Hypothèses!$V$14,Hypothèses!$X$14,IF(EE298&lt;=Hypothèses!$V$15,Hypothèses!$X$15,IF(EE298&lt;=Hypothèses!$V$16,Hypothèses!$X$16,IF(EE298&lt;=Hypothèses!$U$17,Hypothèses!$W$17,IF(EE298&lt;=Hypothèses!$U$18,Hypothèses!$W$18,""))))))))))))</f>
        <v>#DIV/0!</v>
      </c>
      <c r="FB298" s="95" t="e">
        <f t="shared" ca="1" si="497"/>
        <v>#DIV/0!</v>
      </c>
      <c r="FC298" s="101">
        <f t="shared" si="530"/>
        <v>0</v>
      </c>
      <c r="FD298" s="91">
        <f t="shared" si="464"/>
        <v>0</v>
      </c>
      <c r="FE298" s="30" t="e">
        <f t="shared" si="514"/>
        <v>#N/A</v>
      </c>
      <c r="FF298" s="30" t="e">
        <f t="shared" si="515"/>
        <v>#N/A</v>
      </c>
      <c r="FG298" s="31" t="e">
        <f>IF(OR(Hypothèses!$B$4=17,Hypothèses!$B$4=18,Hypothèses!$B$4=19,Hypothèses!$B$4=20),
IF($D298="Pressio.",
IF(OR($E298=3,$E298=1,$E298=4),FF298,FE298),
IF($D298="Pénétro.",
IF(OR($E298=3,$E298=1,$E298=4),FF298,FE298))),IF($D298="Pressio.",
IF($E298=3,FF298,FE298),
IF($D298="Pénétro.",
IF($E298=4,FF298,FE298))))</f>
        <v>#N/A</v>
      </c>
      <c r="FH298" s="31">
        <v>0</v>
      </c>
      <c r="FI298" s="102" t="e">
        <f>IF(NDC!$H$10="Oui",(VLOOKUP($B$3,'Coeff EC7'!$T$39:$X$59,2,0)*FG298+VLOOKUP($B$3,'Coeff EC7'!$T$65:$X$85,2,0)*Model0.1T!FH298)/1.5,PI()*FE$12*$Q298*($B298-$B297)*0.15/10+FI297)</f>
        <v>#N/A</v>
      </c>
      <c r="FJ298" s="102" t="e">
        <f>(VLOOKUP($B$3,'Coeff EC7'!$T$39:$X$59,3,0)*FG298+VLOOKUP($B$3,'Coeff EC7'!$T$65:$X$85,3,0)*Model0.1T!FH298)/1.1</f>
        <v>#N/A</v>
      </c>
      <c r="FK298" s="102" t="e">
        <f t="shared" si="498"/>
        <v>#N/A</v>
      </c>
      <c r="FL298" s="102" t="e">
        <f t="shared" si="499"/>
        <v>#N/A</v>
      </c>
      <c r="FM298" s="414" t="e">
        <f>IF(AND(FI298&gt;NDC!$C$63,FJ298&gt;NDC!$C$65,FK298&gt;NDC!$D$73,FL298&gt;NDC!$D$74,$B298&gt;NDC!$H$22-0.1+MIN(3*FM$12,1.5)),0,1)</f>
        <v>#N/A</v>
      </c>
    </row>
    <row r="299" spans="1:169">
      <c r="A299" s="96">
        <f t="shared" si="465"/>
        <v>71.400000000001626</v>
      </c>
      <c r="B299" s="97">
        <v>28.6</v>
      </c>
      <c r="C299" s="81">
        <f>IF(B299&lt;=Hypothèses!$C$7,Hypothèses!$A$7,IF(B299&lt;=Hypothèses!$C$8,Hypothèses!$A$8,IF(B299&lt;=Hypothèses!$C$9,Hypothèses!$A$9,IF(B299&lt;=Hypothèses!$C$10,Hypothèses!$A$10,IF(B299&lt;=Hypothèses!$C$11,Hypothèses!$A$11,IF(B299&lt;=Hypothèses!$C$12,Hypothèses!$A$12,IF(B299&lt;=Hypothèses!$C$13,Hypothèses!$A$13,IF(B299&lt;=Hypothèses!$C$14,Hypothèses!$A$14,IF(B299&lt;=Hypothèses!$C$15,Hypothèses!$A$15,IF(B299&lt;=Hypothèses!$C$16,Hypothèses!$A$16,IF(B299&lt;=Hypothèses!$C$17,Hypothèses!$A$17,IF(B299&lt;=Hypothèses!$C$18,Hypothèses!$A$18,C298))))))))))))</f>
        <v>11</v>
      </c>
      <c r="D299" s="82" t="str">
        <f>IF(B299&lt;=Hypothèses!$C$7,Hypothèses!$R$7,IF(B299&lt;=Hypothèses!$C$8,Hypothèses!$R$8,IF(B299&lt;=Hypothèses!$C$9,Hypothèses!$R$9,IF(B299&lt;=Hypothèses!$C$10,Hypothèses!$R$10,IF(B299&lt;=Hypothèses!$C$11,Hypothèses!$R$11,IF(B299&lt;=Hypothèses!$C$12,Hypothèses!$R$12,IF(B299&lt;=Hypothèses!$C$13,Hypothèses!$R$13,IF(B299&lt;=Hypothèses!$C$14,Hypothèses!$R$14,IF(B299&lt;=Hypothèses!$C$15,Hypothèses!$R$15,IF(B299&lt;=Hypothèses!$C$16,Hypothèses!$R$16,IF(B299&lt;=Hypothèses!$C$17,Hypothèses!$R$17,IF(B299&lt;=Hypothèses!$C$18,Hypothèses!$R$18,D298))))))))))))</f>
        <v>Pressio.</v>
      </c>
      <c r="E299" s="82" t="e">
        <f>IF(B299&lt;=Hypothèses!$C$7,Hypothèses!$G$7,IF(B299&lt;=Hypothèses!$C$8,Hypothèses!$G$8,IF(B299&lt;=Hypothèses!$C$9,Hypothèses!$G$9,IF(B299&lt;=Hypothèses!$C$10,Hypothèses!$G$10,IF(B299&lt;=Hypothèses!$C$11,Hypothèses!$G$11,IF(B299&lt;=Hypothèses!$C$12,Hypothèses!$G$12,IF(B299&lt;=Hypothèses!$C$13,Hypothèses!$G$13,IF(B299&lt;=Hypothèses!$C$14,Hypothèses!$G$14,IF(B299&lt;=Hypothèses!$C$15,Hypothèses!$G$15,IF(B299&lt;=Hypothèses!$C$16,Hypothèses!$G$16,IF(B299&lt;=Hypothèses!$C$17,Hypothèses!$G$17,IF(B299&lt;=Hypothèses!$C$18,Hypothèses!$G$18,E298))))))))))))</f>
        <v>#N/A</v>
      </c>
      <c r="F299" s="82" t="str">
        <f>IF(B299&lt;=Hypothèses!$C$7,Hypothèses!$F$7,IF(B299&lt;=Hypothèses!$C$8,Hypothèses!$F$8,IF(B299&lt;=Hypothèses!$C$9,Hypothèses!$F$9,IF(B299&lt;=Hypothèses!$C$10,Hypothèses!$F$10,IF(B299&lt;=Hypothèses!$C$11,Hypothèses!$F$11,IF(B299&lt;=Hypothèses!$C$12,Hypothèses!$F$12,IF(B299&lt;=Hypothèses!$C$13,Hypothèses!$F$13,IF(B299&lt;=Hypothèses!$C$14,Hypothèses!$F$14,IF(B299&lt;=Hypothèses!$C$15,Hypothèses!$F$15,IF(B299&lt;=Hypothèses!$C$16,Hypothèses!$F$16,IF(B299&lt;=Hypothèses!$C$17,Hypothèses!$F$17,IF(B299&lt;=Hypothèses!$C$18,Hypothèses!$F$18,F298))))))))))))</f>
        <v/>
      </c>
      <c r="G299" s="91">
        <f t="array" ref="G299">INDEX('Coeff EC7'!$U$7:$X$27,
MATCH(Model0.1T!$B$3,'Coeff EC7'!$T$7:$T$27,0),
MATCH(Model0.1T!$D299&amp;Model0.1T!$B$4,
'Coeff EC7'!$U$6:$X$6&amp;
'Coeff EC7'!$U$5:$X$5,0))</f>
        <v>1.4</v>
      </c>
      <c r="H299" s="91">
        <f t="array" ref="H299">INDEX('Coeff EC7'!$Y$7:$AB$27,
MATCH(Model0.1T!$B$3,'Coeff EC7'!$T$7:$T$27,0),
MATCH(Model0.1T!$D299&amp;Model0.1T!$B$4,
'Coeff EC7'!$Y$6:$AB$6&amp;
'Coeff EC7'!$Y$5:$AB$5,0))</f>
        <v>1.7</v>
      </c>
      <c r="I299" s="83">
        <v>0</v>
      </c>
      <c r="J299" s="91" t="e">
        <f t="array" ref="J299">INDEX('Coeff EC7'!$D$33:$Q$33,1,MATCH(D299&amp;E299,'Coeff EC7'!$D$31:$Q$31&amp;'Coeff EC7'!$D$32:$Q$32,0))</f>
        <v>#N/A</v>
      </c>
      <c r="K299" s="91" t="e">
        <f t="array" ref="K299">INDEX('Coeff EC7'!$D$34:$Q$34,1,MATCH(D299&amp;E299,'Coeff EC7'!$D$31:$Q$31&amp;'Coeff EC7'!$D$32:$Q$32,0))</f>
        <v>#N/A</v>
      </c>
      <c r="L299" s="91" t="e">
        <f t="array" ref="L299">INDEX('Coeff EC7'!$D$35:$Q$35,1,MATCH(D299&amp;E299,'Coeff EC7'!$D$31:$Q$31&amp;'Coeff EC7'!$D$32:$Q$32,0))</f>
        <v>#N/A</v>
      </c>
      <c r="M299" s="98" t="e">
        <f t="shared" si="431"/>
        <v>#N/A</v>
      </c>
      <c r="N299" s="99" t="e">
        <f t="array" ref="N299">INDEX('Coeff EC7'!$D$7:$Q$27,MATCH($B$3,'Coeff EC7'!$C$7:$C$27,0),MATCH(D299&amp;E299,'Coeff EC7'!$D$5:$Q$5&amp;'Coeff EC7'!$D$6:$Q$6,0))</f>
        <v>#N/A</v>
      </c>
      <c r="O299" s="99" t="e">
        <f t="array" ref="O299">INDEX('Coeff EC7'!$D$41:$Q$61,MATCH($B$3,'Coeff EC7'!$C$41:$C$61,0),MATCH(D299&amp;E299,'Coeff EC7'!$D$39:$Q$39&amp;'Coeff EC7'!$D$40:$Q$40,0))</f>
        <v>#N/A</v>
      </c>
      <c r="P299" s="30" t="e">
        <f t="shared" si="466"/>
        <v>#N/A</v>
      </c>
      <c r="Q299" s="100" t="e">
        <f t="shared" si="433"/>
        <v>#N/A</v>
      </c>
      <c r="R299" s="86" t="b">
        <f t="shared" si="434"/>
        <v>0</v>
      </c>
      <c r="S299" s="86">
        <f t="shared" si="432"/>
        <v>0.5</v>
      </c>
      <c r="T299" s="86">
        <f t="shared" si="435"/>
        <v>0.5</v>
      </c>
      <c r="U299" s="30" t="e">
        <f t="shared" ca="1" si="467"/>
        <v>#DIV/0!</v>
      </c>
      <c r="V299" s="85" t="str">
        <f>IF(B299&lt;=Hypothèses!$V$7,Hypothèses!$W$7,IF(B299&lt;=Hypothèses!$V$8,Hypothèses!$W$8,IF(B299&lt;=Hypothèses!$V$9,Hypothèses!$W$9,IF(B299&lt;=Hypothèses!$V$10,Hypothèses!$W$10,IF(B299&lt;=Hypothèses!$V$11,Hypothèses!$W$11,IF(B299&lt;=Hypothèses!$V$12,Hypothèses!$W$12,IF(B299&lt;=Hypothèses!$V$13,Hypothèses!$W$13,IF(B299&lt;=Hypothèses!$V$14,Hypothèses!$W$14,IF(B299&lt;=Hypothèses!$V$15,Hypothèses!$W$15,IF(B299&lt;=Hypothèses!$V$16,Hypothèses!$W$16,IF(B299&lt;=Hypothèses!$V$17,Hypothèses!$W$17,IF(B299&lt;=Hypothèses!$V$18,Hypothèses!$W$18,""))))))))))))</f>
        <v/>
      </c>
      <c r="W299" s="87" t="e">
        <f t="shared" ca="1" si="516"/>
        <v>#DIV/0!</v>
      </c>
      <c r="X299" s="88" t="str">
        <f>IF(B299&lt;=Hypothèses!$V$7,Hypothèses!$X$7,IF(B299&lt;=Hypothèses!$V$8,Hypothèses!$X$8,IF(B299&lt;=Hypothèses!$V$9,Hypothèses!$X$9,IF(B299&lt;=Hypothèses!$V$10,Hypothèses!$X$10,IF(B299&lt;=Hypothèses!$V$11,Hypothèses!$X$11,IF(B299&lt;=Hypothèses!$V$12,Hypothèses!$X$12,IF(B299&lt;=Hypothèses!$V$13,Hypothèses!$X$13,IF(B299&lt;=Hypothèses!$V$14,Hypothèses!$X$14,IF(B299&lt;=Hypothèses!$V$15,Hypothèses!$X$15,IF(B299&lt;=Hypothèses!$V$16,Hypothèses!$X$16,IF(B299&lt;=Hypothèses!$U$17,Hypothèses!$W$17,IF(B299&lt;=Hypothèses!$U$18,Hypothèses!$W$18,""))))))))))))</f>
        <v/>
      </c>
      <c r="Y299" s="95" t="e">
        <f t="shared" ca="1" si="436"/>
        <v>#DIV/0!</v>
      </c>
      <c r="Z299" s="101">
        <f t="shared" si="437"/>
        <v>0</v>
      </c>
      <c r="AA299" s="91">
        <f t="shared" si="438"/>
        <v>0</v>
      </c>
      <c r="AB299" s="30" t="e">
        <f t="shared" si="500"/>
        <v>#N/A</v>
      </c>
      <c r="AC299" s="30" t="e">
        <f t="shared" si="501"/>
        <v>#N/A</v>
      </c>
      <c r="AD299" s="31" t="e">
        <f>IF(OR(Hypothèses!$B$4=17,Hypothèses!$B$4=18,Hypothèses!$B$4=19,Hypothèses!$B$4=20),
IF($D299="Pressio.",
IF(OR($E299=3,$E299=1,$E299=4),AC299,AB299),
IF($D299="Pénétro.",
IF(OR($E299=3,$E299=1,$E299=4),AC299,AB299))),IF($D299="Pressio.",
IF($E299=3,AC299,AB299),
IF($D299="Pénétro.",
IF($E299=4,AC299,AB299))))</f>
        <v>#N/A</v>
      </c>
      <c r="AE299" s="31">
        <v>0</v>
      </c>
      <c r="AF299" s="102" t="e">
        <f>IF(NDC!$H$10="Oui",(VLOOKUP($B$3,'Coeff EC7'!$T$39:$X$59,2,0)*AD299+VLOOKUP($B$3,'Coeff EC7'!$T$65:$X$85,2,0)*Model0.1T!AE299)/1.5,PI()*AB$12*$Q299*($B299-$B298)*0.15/10+AF298)</f>
        <v>#N/A</v>
      </c>
      <c r="AG299" s="102" t="e">
        <f>(VLOOKUP($B$3,'Coeff EC7'!$T$39:$X$59,3,0)*AD299+VLOOKUP($B$3,'Coeff EC7'!$T$65:$X$85,3,0)*Model0.1T!AE299)/1.1</f>
        <v>#N/A</v>
      </c>
      <c r="AH299" s="102" t="e">
        <f t="shared" si="468"/>
        <v>#N/A</v>
      </c>
      <c r="AI299" s="102" t="e">
        <f t="shared" si="469"/>
        <v>#N/A</v>
      </c>
      <c r="AJ299" s="414" t="e">
        <f>IF(AND(AF299&gt;NDC!$C$63,AG299&gt;NDC!$C$65,AH299&gt;NDC!$D$73,AI299&gt;NDC!$D$74,$B299&gt;NDC!$H$22-0.1+MIN(3*$AJ$12,1.5)),0,1)</f>
        <v>#N/A</v>
      </c>
      <c r="AK299" s="86" t="b">
        <f t="shared" si="439"/>
        <v>0</v>
      </c>
      <c r="AL299" s="86">
        <f t="shared" si="470"/>
        <v>0.5</v>
      </c>
      <c r="AM299" s="86">
        <f t="shared" si="440"/>
        <v>0.5</v>
      </c>
      <c r="AN299" s="30" t="e">
        <f t="shared" ca="1" si="471"/>
        <v>#DIV/0!</v>
      </c>
      <c r="AO299" s="85" t="e">
        <f ca="1">IF(U299&lt;=Hypothèses!$V$7,Hypothèses!$W$7,IF(U299&lt;=Hypothèses!$V$8,Hypothèses!$W$8,IF(U299&lt;=Hypothèses!$V$9,Hypothèses!$W$9,IF(U299&lt;=Hypothèses!$V$10,Hypothèses!$W$10,IF(U299&lt;=Hypothèses!$V$11,Hypothèses!$W$11,IF(U299&lt;=Hypothèses!$V$12,Hypothèses!$W$12,IF(U299&lt;=Hypothèses!$V$13,Hypothèses!$W$13,IF(U299&lt;=Hypothèses!$V$14,Hypothèses!$W$14,IF(U299&lt;=Hypothèses!$V$15,Hypothèses!$W$15,IF(U299&lt;=Hypothèses!$V$16,Hypothèses!$W$16,IF(U299&lt;=Hypothèses!$V$17,Hypothèses!$W$17,IF(U299&lt;=Hypothèses!$V$18,Hypothèses!$W$18,""))))))))))))</f>
        <v>#DIV/0!</v>
      </c>
      <c r="AP299" s="87" t="e">
        <f t="shared" ca="1" si="517"/>
        <v>#DIV/0!</v>
      </c>
      <c r="AQ299" s="88" t="e">
        <f ca="1">IF(U299&lt;=Hypothèses!$V$7,Hypothèses!$X$7,IF(U299&lt;=Hypothèses!$V$8,Hypothèses!$X$8,IF(U299&lt;=Hypothèses!$V$9,Hypothèses!$X$9,IF(U299&lt;=Hypothèses!$V$10,Hypothèses!$X$10,IF(U299&lt;=Hypothèses!$V$11,Hypothèses!$X$11,IF(U299&lt;=Hypothèses!$V$12,Hypothèses!$X$12,IF(U299&lt;=Hypothèses!$V$13,Hypothèses!$X$13,IF(U299&lt;=Hypothèses!$V$14,Hypothèses!$X$14,IF(U299&lt;=Hypothèses!$V$15,Hypothèses!$X$15,IF(U299&lt;=Hypothèses!$V$16,Hypothèses!$X$16,IF(U299&lt;=Hypothèses!$U$17,Hypothèses!$W$17,IF(U299&lt;=Hypothèses!$U$18,Hypothèses!$W$18,""))))))))))))</f>
        <v>#DIV/0!</v>
      </c>
      <c r="AR299" s="95" t="e">
        <f t="shared" ca="1" si="472"/>
        <v>#DIV/0!</v>
      </c>
      <c r="AS299" s="101">
        <f t="shared" si="524"/>
        <v>0</v>
      </c>
      <c r="AT299" s="91">
        <f t="shared" si="441"/>
        <v>0</v>
      </c>
      <c r="AU299" s="30" t="e">
        <f t="shared" si="502"/>
        <v>#N/A</v>
      </c>
      <c r="AV299" s="30" t="e">
        <f t="shared" si="503"/>
        <v>#N/A</v>
      </c>
      <c r="AW299" s="31" t="e">
        <f>IF(OR(Hypothèses!$B$4=17,Hypothèses!$B$4=18,Hypothèses!$B$4=19,Hypothèses!$B$4=20),
IF($D299="Pressio.",
IF(OR($E299=3,$E299=1,$E299=4),AV299,AU299),
IF($D299="Pénétro.",
IF(OR($E299=3,$E299=1,$E299=4),AV299,AU299))),IF($D299="Pressio.",
IF($E299=3,AV299,AU299),
IF($D299="Pénétro.",
IF($E299=4,AV299,AU299))))</f>
        <v>#N/A</v>
      </c>
      <c r="AX299" s="31">
        <v>0</v>
      </c>
      <c r="AY299" s="102" t="e">
        <f>IF(NDC!$H$10="Oui",(VLOOKUP($B$3,'Coeff EC7'!$T$39:$X$59,2,0)*AW299+VLOOKUP($B$3,'Coeff EC7'!$T$65:$X$85,2,0)*Model0.1T!AX299)/1.5,PI()*AU$12*$Q299*($B299-$B298)*0.15/10+AY298)</f>
        <v>#N/A</v>
      </c>
      <c r="AZ299" s="102" t="e">
        <f>(VLOOKUP($B$3,'Coeff EC7'!$T$39:$X$59,3,0)*AW299+VLOOKUP($B$3,'Coeff EC7'!$T$65:$X$85,3,0)*Model0.1T!AX299)/1.1</f>
        <v>#N/A</v>
      </c>
      <c r="BA299" s="102" t="e">
        <f t="shared" si="473"/>
        <v>#N/A</v>
      </c>
      <c r="BB299" s="102" t="e">
        <f t="shared" si="474"/>
        <v>#N/A</v>
      </c>
      <c r="BC299" s="414" t="e">
        <f>IF(AND(AY299&gt;NDC!$C$63,AZ299&gt;NDC!$C$65,BA299&gt;NDC!$D$73,BB299&gt;NDC!$D$74,$B299&gt;NDC!$H$22-0.1+MIN(3*BC$12,1.5)),0,1)</f>
        <v>#N/A</v>
      </c>
      <c r="BD299" s="86" t="b">
        <f t="shared" si="442"/>
        <v>0</v>
      </c>
      <c r="BE299" s="86">
        <f t="shared" si="475"/>
        <v>0.5</v>
      </c>
      <c r="BF299" s="86">
        <f t="shared" si="443"/>
        <v>0.5</v>
      </c>
      <c r="BG299" s="30" t="e">
        <f t="shared" ca="1" si="476"/>
        <v>#DIV/0!</v>
      </c>
      <c r="BH299" s="85" t="e">
        <f ca="1">IF(AN299&lt;=Hypothèses!$V$7,Hypothèses!$W$7,IF(AN299&lt;=Hypothèses!$V$8,Hypothèses!$W$8,IF(AN299&lt;=Hypothèses!$V$9,Hypothèses!$W$9,IF(AN299&lt;=Hypothèses!$V$10,Hypothèses!$W$10,IF(AN299&lt;=Hypothèses!$V$11,Hypothèses!$W$11,IF(AN299&lt;=Hypothèses!$V$12,Hypothèses!$W$12,IF(AN299&lt;=Hypothèses!$V$13,Hypothèses!$W$13,IF(AN299&lt;=Hypothèses!$V$14,Hypothèses!$W$14,IF(AN299&lt;=Hypothèses!$V$15,Hypothèses!$W$15,IF(AN299&lt;=Hypothèses!$V$16,Hypothèses!$W$16,IF(AN299&lt;=Hypothèses!$V$17,Hypothèses!$W$17,IF(AN299&lt;=Hypothèses!$V$18,Hypothèses!$W$18,""))))))))))))</f>
        <v>#DIV/0!</v>
      </c>
      <c r="BI299" s="87" t="e">
        <f t="shared" ca="1" si="518"/>
        <v>#DIV/0!</v>
      </c>
      <c r="BJ299" s="88" t="e">
        <f ca="1">IF(AN299&lt;=Hypothèses!$V$7,Hypothèses!$X$7,IF(AN299&lt;=Hypothèses!$V$8,Hypothèses!$X$8,IF(AN299&lt;=Hypothèses!$V$9,Hypothèses!$X$9,IF(AN299&lt;=Hypothèses!$V$10,Hypothèses!$X$10,IF(AN299&lt;=Hypothèses!$V$11,Hypothèses!$X$11,IF(AN299&lt;=Hypothèses!$V$12,Hypothèses!$X$12,IF(AN299&lt;=Hypothèses!$V$13,Hypothèses!$X$13,IF(AN299&lt;=Hypothèses!$V$14,Hypothèses!$X$14,IF(AN299&lt;=Hypothèses!$V$15,Hypothèses!$X$15,IF(AN299&lt;=Hypothèses!$V$16,Hypothèses!$X$16,IF(AN299&lt;=Hypothèses!$U$17,Hypothèses!$W$17,IF(AN299&lt;=Hypothèses!$U$18,Hypothèses!$W$18,""))))))))))))</f>
        <v>#DIV/0!</v>
      </c>
      <c r="BK299" s="95" t="e">
        <f t="shared" ca="1" si="477"/>
        <v>#DIV/0!</v>
      </c>
      <c r="BL299" s="101">
        <f t="shared" si="525"/>
        <v>0</v>
      </c>
      <c r="BM299" s="91">
        <f t="shared" si="444"/>
        <v>0</v>
      </c>
      <c r="BN299" s="30" t="e">
        <f t="shared" si="504"/>
        <v>#N/A</v>
      </c>
      <c r="BO299" s="30" t="e">
        <f t="shared" si="505"/>
        <v>#N/A</v>
      </c>
      <c r="BP299" s="31" t="e">
        <f>IF(OR(Hypothèses!$B$4=17,Hypothèses!$B$4=18,Hypothèses!$B$4=19,Hypothèses!$B$4=20),
IF($D299="Pressio.",
IF(OR($E299=3,$E299=1,$E299=4),BO299,BN299),
IF($D299="Pénétro.",
IF(OR($E299=3,$E299=1,$E299=4),BO299,BN299))),IF($D299="Pressio.",
IF($E299=3,BO299,BN299),
IF($D299="Pénétro.",
IF($E299=4,BO299,BN299))))</f>
        <v>#N/A</v>
      </c>
      <c r="BQ299" s="31">
        <v>0</v>
      </c>
      <c r="BR299" s="102" t="e">
        <f>IF(NDC!$H$10="Oui",(VLOOKUP($B$3,'Coeff EC7'!$T$39:$X$59,2,0)*BP299+VLOOKUP($B$3,'Coeff EC7'!$T$65:$X$85,2,0)*Model0.1T!BQ299)/1.5,PI()*BN$12*$Q299*($B299-$B298)*0.15/10+BR298)</f>
        <v>#N/A</v>
      </c>
      <c r="BS299" s="102" t="e">
        <f>(VLOOKUP($B$3,'Coeff EC7'!$T$39:$X$59,3,0)*BP299+VLOOKUP($B$3,'Coeff EC7'!$T$65:$X$85,3,0)*Model0.1T!BQ299)/1.1</f>
        <v>#N/A</v>
      </c>
      <c r="BT299" s="102" t="e">
        <f t="shared" si="478"/>
        <v>#N/A</v>
      </c>
      <c r="BU299" s="102" t="e">
        <f t="shared" si="479"/>
        <v>#N/A</v>
      </c>
      <c r="BV299" s="414" t="e">
        <f>IF(AND(BR299&gt;NDC!$C$63,BS299&gt;NDC!$C$65,BT299&gt;NDC!$D$73,BU299&gt;NDC!$D$74,$B299&gt;NDC!$H$22-0.1+MIN(3*BV$12,1.5)),0,1)</f>
        <v>#N/A</v>
      </c>
      <c r="BW299" s="86" t="b">
        <f t="shared" si="445"/>
        <v>0</v>
      </c>
      <c r="BX299" s="86">
        <f t="shared" si="446"/>
        <v>0.5</v>
      </c>
      <c r="BY299" s="86">
        <f t="shared" si="447"/>
        <v>0.5</v>
      </c>
      <c r="BZ299" s="30" t="e">
        <f t="shared" ca="1" si="480"/>
        <v>#DIV/0!</v>
      </c>
      <c r="CA299" s="85" t="e">
        <f ca="1">IF(BG299&lt;=Hypothèses!$V$7,Hypothèses!$W$7,IF(BG299&lt;=Hypothèses!$V$8,Hypothèses!$W$8,IF(BG299&lt;=Hypothèses!$V$9,Hypothèses!$W$9,IF(BG299&lt;=Hypothèses!$V$10,Hypothèses!$W$10,IF(BG299&lt;=Hypothèses!$V$11,Hypothèses!$W$11,IF(BG299&lt;=Hypothèses!$V$12,Hypothèses!$W$12,IF(BG299&lt;=Hypothèses!$V$13,Hypothèses!$W$13,IF(BG299&lt;=Hypothèses!$V$14,Hypothèses!$W$14,IF(BG299&lt;=Hypothèses!$V$15,Hypothèses!$W$15,IF(BG299&lt;=Hypothèses!$V$16,Hypothèses!$W$16,IF(BG299&lt;=Hypothèses!$V$17,Hypothèses!$W$17,IF(BG299&lt;=Hypothèses!$V$18,Hypothèses!$W$18,""))))))))))))</f>
        <v>#DIV/0!</v>
      </c>
      <c r="CB299" s="87" t="e">
        <f t="shared" ca="1" si="519"/>
        <v>#DIV/0!</v>
      </c>
      <c r="CC299" s="88" t="e">
        <f ca="1">IF(BG299&lt;=Hypothèses!$V$7,Hypothèses!$X$7,IF(BG299&lt;=Hypothèses!$V$8,Hypothèses!$X$8,IF(BG299&lt;=Hypothèses!$V$9,Hypothèses!$X$9,IF(BG299&lt;=Hypothèses!$V$10,Hypothèses!$X$10,IF(BG299&lt;=Hypothèses!$V$11,Hypothèses!$X$11,IF(BG299&lt;=Hypothèses!$V$12,Hypothèses!$X$12,IF(BG299&lt;=Hypothèses!$V$13,Hypothèses!$X$13,IF(BG299&lt;=Hypothèses!$V$14,Hypothèses!$X$14,IF(BG299&lt;=Hypothèses!$V$15,Hypothèses!$X$15,IF(BG299&lt;=Hypothèses!$V$16,Hypothèses!$X$16,IF(BG299&lt;=Hypothèses!$U$17,Hypothèses!$W$17,IF(BG299&lt;=Hypothèses!$U$18,Hypothèses!$W$18,""))))))))))))</f>
        <v>#DIV/0!</v>
      </c>
      <c r="CD299" s="95" t="e">
        <f t="shared" ca="1" si="481"/>
        <v>#DIV/0!</v>
      </c>
      <c r="CE299" s="101">
        <f t="shared" si="526"/>
        <v>0</v>
      </c>
      <c r="CF299" s="91">
        <f t="shared" si="448"/>
        <v>0</v>
      </c>
      <c r="CG299" s="30" t="e">
        <f t="shared" si="506"/>
        <v>#N/A</v>
      </c>
      <c r="CH299" s="30" t="e">
        <f t="shared" si="507"/>
        <v>#N/A</v>
      </c>
      <c r="CI299" s="31" t="e">
        <f>IF(OR(Hypothèses!$B$4=17,Hypothèses!$B$4=18,Hypothèses!$B$4=19,Hypothèses!$B$4=20),
IF($D299="Pressio.",
IF(OR($E299=3,$E299=1,$E299=4),CH299,CG299),
IF($D299="Pénétro.",
IF(OR($E299=3,$E299=1,$E299=4),CH299,CG299))),IF($D299="Pressio.",
IF($E299=3,CH299,CG299),
IF($D299="Pénétro.",
IF($E299=4,CH299,CG299))))</f>
        <v>#N/A</v>
      </c>
      <c r="CJ299" s="31">
        <v>0</v>
      </c>
      <c r="CK299" s="102" t="e">
        <f>IF(NDC!$H$10="Oui",(VLOOKUP($B$3,'Coeff EC7'!$T$39:$X$59,2,0)*CI299+VLOOKUP($B$3,'Coeff EC7'!$T$65:$X$85,2,0)*Model0.1T!CJ299)/1.5,PI()*CG$12*$Q299*($B299-$B298)*0.15/10+CK298)</f>
        <v>#N/A</v>
      </c>
      <c r="CL299" s="102" t="e">
        <f>(VLOOKUP($B$3,'Coeff EC7'!$T$39:$X$59,3,0)*CI299+VLOOKUP($B$3,'Coeff EC7'!$T$65:$X$85,3,0)*Model0.1T!CJ299)/1.1</f>
        <v>#N/A</v>
      </c>
      <c r="CM299" s="102" t="e">
        <f t="shared" si="482"/>
        <v>#N/A</v>
      </c>
      <c r="CN299" s="102" t="e">
        <f t="shared" si="483"/>
        <v>#N/A</v>
      </c>
      <c r="CO299" s="414" t="e">
        <f>IF(AND(CK299&gt;NDC!$C$63,CL299&gt;NDC!$C$65,CM299&gt;NDC!$D$73,CN299&gt;NDC!$D$74,$B299&gt;NDC!$H$22-0.1+MIN(3*CO$12,1.5)),0,1)</f>
        <v>#N/A</v>
      </c>
      <c r="CP299" s="86" t="b">
        <f t="shared" si="449"/>
        <v>0</v>
      </c>
      <c r="CQ299" s="86">
        <f t="shared" si="450"/>
        <v>0.5</v>
      </c>
      <c r="CR299" s="86">
        <f t="shared" si="451"/>
        <v>0.5</v>
      </c>
      <c r="CS299" s="30" t="e">
        <f t="shared" ca="1" si="484"/>
        <v>#DIV/0!</v>
      </c>
      <c r="CT299" s="85" t="e">
        <f ca="1">IF(BZ299&lt;=Hypothèses!$V$7,Hypothèses!$W$7,IF(BZ299&lt;=Hypothèses!$V$8,Hypothèses!$W$8,IF(BZ299&lt;=Hypothèses!$V$9,Hypothèses!$W$9,IF(BZ299&lt;=Hypothèses!$V$10,Hypothèses!$W$10,IF(BZ299&lt;=Hypothèses!$V$11,Hypothèses!$W$11,IF(BZ299&lt;=Hypothèses!$V$12,Hypothèses!$W$12,IF(BZ299&lt;=Hypothèses!$V$13,Hypothèses!$W$13,IF(BZ299&lt;=Hypothèses!$V$14,Hypothèses!$W$14,IF(BZ299&lt;=Hypothèses!$V$15,Hypothèses!$W$15,IF(BZ299&lt;=Hypothèses!$V$16,Hypothèses!$W$16,IF(BZ299&lt;=Hypothèses!$V$17,Hypothèses!$W$17,IF(BZ299&lt;=Hypothèses!$V$18,Hypothèses!$W$18,""))))))))))))</f>
        <v>#DIV/0!</v>
      </c>
      <c r="CU299" s="87" t="e">
        <f t="shared" ca="1" si="520"/>
        <v>#DIV/0!</v>
      </c>
      <c r="CV299" s="88" t="e">
        <f ca="1">IF(BZ299&lt;=Hypothèses!$V$7,Hypothèses!$X$7,IF(BZ299&lt;=Hypothèses!$V$8,Hypothèses!$X$8,IF(BZ299&lt;=Hypothèses!$V$9,Hypothèses!$X$9,IF(BZ299&lt;=Hypothèses!$V$10,Hypothèses!$X$10,IF(BZ299&lt;=Hypothèses!$V$11,Hypothèses!$X$11,IF(BZ299&lt;=Hypothèses!$V$12,Hypothèses!$X$12,IF(BZ299&lt;=Hypothèses!$V$13,Hypothèses!$X$13,IF(BZ299&lt;=Hypothèses!$V$14,Hypothèses!$X$14,IF(BZ299&lt;=Hypothèses!$V$15,Hypothèses!$X$15,IF(BZ299&lt;=Hypothèses!$V$16,Hypothèses!$X$16,IF(BZ299&lt;=Hypothèses!$U$17,Hypothèses!$W$17,IF(BZ299&lt;=Hypothèses!$U$18,Hypothèses!$W$18,""))))))))))))</f>
        <v>#DIV/0!</v>
      </c>
      <c r="CW299" s="95" t="e">
        <f t="shared" ca="1" si="485"/>
        <v>#DIV/0!</v>
      </c>
      <c r="CX299" s="101">
        <f t="shared" si="527"/>
        <v>0</v>
      </c>
      <c r="CY299" s="91">
        <f t="shared" si="452"/>
        <v>0</v>
      </c>
      <c r="CZ299" s="30" t="e">
        <f t="shared" si="508"/>
        <v>#N/A</v>
      </c>
      <c r="DA299" s="30" t="e">
        <f t="shared" si="509"/>
        <v>#N/A</v>
      </c>
      <c r="DB299" s="31" t="e">
        <f>IF(OR(Hypothèses!$B$4=17,Hypothèses!$B$4=18,Hypothèses!$B$4=19,Hypothèses!$B$4=20),
IF($D299="Pressio.",
IF(OR($E299=3,$E299=1,$E299=4),DA299,CZ299),
IF($D299="Pénétro.",
IF(OR($E299=3,$E299=1,$E299=4),DA299,CZ299))),IF($D299="Pressio.",
IF($E299=3,DA299,CZ299),
IF($D299="Pénétro.",
IF($E299=4,DA299,CZ299))))</f>
        <v>#N/A</v>
      </c>
      <c r="DC299" s="31">
        <v>0</v>
      </c>
      <c r="DD299" s="102" t="e">
        <f>IF(NDC!$H$10="Oui",(VLOOKUP($B$3,'Coeff EC7'!$T$39:$X$59,2,0)*DB299+VLOOKUP($B$3,'Coeff EC7'!$T$65:$X$85,2,0)*Model0.1T!DC299)/1.5,PI()*CZ$12*$Q299*($B299-$B298)*0.15/10+DD298)</f>
        <v>#N/A</v>
      </c>
      <c r="DE299" s="102" t="e">
        <f>(VLOOKUP($B$3,'Coeff EC7'!$T$39:$X$59,3,0)*DB299+VLOOKUP($B$3,'Coeff EC7'!$T$65:$X$85,3,0)*Model0.1T!DC299)/1.1</f>
        <v>#N/A</v>
      </c>
      <c r="DF299" s="102" t="e">
        <f t="shared" si="486"/>
        <v>#N/A</v>
      </c>
      <c r="DG299" s="102" t="e">
        <f t="shared" si="487"/>
        <v>#N/A</v>
      </c>
      <c r="DH299" s="414" t="e">
        <f>IF(AND(DD299&gt;NDC!$C$63,DE299&gt;NDC!$C$65,DF299&gt;NDC!$D$73,DG299&gt;NDC!$D$74,$B299&gt;NDC!$H$22-0.1+MIN(3*DH$12,1.5)),0,1)</f>
        <v>#N/A</v>
      </c>
      <c r="DI299" s="86" t="b">
        <f t="shared" si="453"/>
        <v>0</v>
      </c>
      <c r="DJ299" s="86">
        <f t="shared" si="454"/>
        <v>0.5</v>
      </c>
      <c r="DK299" s="86">
        <f t="shared" si="455"/>
        <v>0.5</v>
      </c>
      <c r="DL299" s="30" t="e">
        <f t="shared" ca="1" si="488"/>
        <v>#DIV/0!</v>
      </c>
      <c r="DM299" s="85" t="e">
        <f ca="1">IF(CS299&lt;=Hypothèses!$V$7,Hypothèses!$W$7,IF(CS299&lt;=Hypothèses!$V$8,Hypothèses!$W$8,IF(CS299&lt;=Hypothèses!$V$9,Hypothèses!$W$9,IF(CS299&lt;=Hypothèses!$V$10,Hypothèses!$W$10,IF(CS299&lt;=Hypothèses!$V$11,Hypothèses!$W$11,IF(CS299&lt;=Hypothèses!$V$12,Hypothèses!$W$12,IF(CS299&lt;=Hypothèses!$V$13,Hypothèses!$W$13,IF(CS299&lt;=Hypothèses!$V$14,Hypothèses!$W$14,IF(CS299&lt;=Hypothèses!$V$15,Hypothèses!$W$15,IF(CS299&lt;=Hypothèses!$V$16,Hypothèses!$W$16,IF(CS299&lt;=Hypothèses!$V$17,Hypothèses!$W$17,IF(CS299&lt;=Hypothèses!$V$18,Hypothèses!$W$18,""))))))))))))</f>
        <v>#DIV/0!</v>
      </c>
      <c r="DN299" s="87" t="e">
        <f t="shared" ca="1" si="521"/>
        <v>#DIV/0!</v>
      </c>
      <c r="DO299" s="88" t="e">
        <f ca="1">IF(CS299&lt;=Hypothèses!$V$7,Hypothèses!$X$7,IF(CS299&lt;=Hypothèses!$V$8,Hypothèses!$X$8,IF(CS299&lt;=Hypothèses!$V$9,Hypothèses!$X$9,IF(CS299&lt;=Hypothèses!$V$10,Hypothèses!$X$10,IF(CS299&lt;=Hypothèses!$V$11,Hypothèses!$X$11,IF(CS299&lt;=Hypothèses!$V$12,Hypothèses!$X$12,IF(CS299&lt;=Hypothèses!$V$13,Hypothèses!$X$13,IF(CS299&lt;=Hypothèses!$V$14,Hypothèses!$X$14,IF(CS299&lt;=Hypothèses!$V$15,Hypothèses!$X$15,IF(CS299&lt;=Hypothèses!$V$16,Hypothèses!$X$16,IF(CS299&lt;=Hypothèses!$U$17,Hypothèses!$W$17,IF(CS299&lt;=Hypothèses!$U$18,Hypothèses!$W$18,""))))))))))))</f>
        <v>#DIV/0!</v>
      </c>
      <c r="DP299" s="95" t="e">
        <f t="shared" ca="1" si="489"/>
        <v>#DIV/0!</v>
      </c>
      <c r="DQ299" s="101">
        <f t="shared" si="528"/>
        <v>0</v>
      </c>
      <c r="DR299" s="91">
        <f t="shared" si="456"/>
        <v>0</v>
      </c>
      <c r="DS299" s="30" t="e">
        <f t="shared" si="510"/>
        <v>#N/A</v>
      </c>
      <c r="DT299" s="30" t="e">
        <f t="shared" si="511"/>
        <v>#N/A</v>
      </c>
      <c r="DU299" s="31" t="e">
        <f>IF(OR(Hypothèses!$B$4=17,Hypothèses!$B$4=18,Hypothèses!$B$4=19,Hypothèses!$B$4=20),
IF($D299="Pressio.",
IF(OR($E299=3,$E299=1,$E299=4),DT299,DS299),
IF($D299="Pénétro.",
IF(OR($E299=3,$E299=1,$E299=4),DT299,DS299))),IF($D299="Pressio.",
IF($E299=3,DT299,DS299),
IF($D299="Pénétro.",
IF($E299=4,DT299,DS299))))</f>
        <v>#N/A</v>
      </c>
      <c r="DV299" s="31">
        <v>0</v>
      </c>
      <c r="DW299" s="102" t="e">
        <f>IF(NDC!$H$10="Oui",(VLOOKUP($B$3,'Coeff EC7'!$T$39:$X$59,2,0)*DU299+VLOOKUP($B$3,'Coeff EC7'!$T$65:$X$85,2,0)*Model0.1T!DV299)/1.5,PI()*DS$12*$Q299*($B299-$B298)*0.15/10+DW298)</f>
        <v>#N/A</v>
      </c>
      <c r="DX299" s="102" t="e">
        <f>(VLOOKUP($B$3,'Coeff EC7'!$T$39:$X$59,3,0)*DU299+VLOOKUP($B$3,'Coeff EC7'!$T$65:$X$85,3,0)*Model0.1T!DV299)/1.1</f>
        <v>#N/A</v>
      </c>
      <c r="DY299" s="102" t="e">
        <f t="shared" si="490"/>
        <v>#N/A</v>
      </c>
      <c r="DZ299" s="102" t="e">
        <f t="shared" si="491"/>
        <v>#N/A</v>
      </c>
      <c r="EA299" s="414" t="e">
        <f>IF(AND(DW299&gt;NDC!$C$63,DX299&gt;NDC!$C$65,DY299&gt;NDC!$D$73,DZ299&gt;NDC!$D$74,$B299&gt;NDC!$H$22-0.1+MIN(3*EA$12,1.5)),0,1)</f>
        <v>#N/A</v>
      </c>
      <c r="EB299" s="86" t="b">
        <f t="shared" si="457"/>
        <v>0</v>
      </c>
      <c r="EC299" s="418">
        <f t="shared" si="458"/>
        <v>0.51</v>
      </c>
      <c r="ED299" s="86">
        <f t="shared" si="459"/>
        <v>0.51</v>
      </c>
      <c r="EE299" s="30" t="e">
        <f t="shared" ca="1" si="492"/>
        <v>#DIV/0!</v>
      </c>
      <c r="EF299" s="85" t="e">
        <f ca="1">IF(DL299&lt;=Hypothèses!$V$7,Hypothèses!$W$7,IF(DL299&lt;=Hypothèses!$V$8,Hypothèses!$W$8,IF(DL299&lt;=Hypothèses!$V$9,Hypothèses!$W$9,IF(DL299&lt;=Hypothèses!$V$10,Hypothèses!$W$10,IF(DL299&lt;=Hypothèses!$V$11,Hypothèses!$W$11,IF(DL299&lt;=Hypothèses!$V$12,Hypothèses!$W$12,IF(DL299&lt;=Hypothèses!$V$13,Hypothèses!$W$13,IF(DL299&lt;=Hypothèses!$V$14,Hypothèses!$W$14,IF(DL299&lt;=Hypothèses!$V$15,Hypothèses!$W$15,IF(DL299&lt;=Hypothèses!$V$16,Hypothèses!$W$16,IF(DL299&lt;=Hypothèses!$V$17,Hypothèses!$W$17,IF(DL299&lt;=Hypothèses!$V$18,Hypothèses!$W$18,""))))))))))))</f>
        <v>#DIV/0!</v>
      </c>
      <c r="EG299" s="87" t="e">
        <f t="shared" ca="1" si="522"/>
        <v>#DIV/0!</v>
      </c>
      <c r="EH299" s="88" t="e">
        <f ca="1">IF(DL299&lt;=Hypothèses!$V$7,Hypothèses!$X$7,IF(DL299&lt;=Hypothèses!$V$8,Hypothèses!$X$8,IF(DL299&lt;=Hypothèses!$V$9,Hypothèses!$X$9,IF(DL299&lt;=Hypothèses!$V$10,Hypothèses!$X$10,IF(DL299&lt;=Hypothèses!$V$11,Hypothèses!$X$11,IF(DL299&lt;=Hypothèses!$V$12,Hypothèses!$X$12,IF(DL299&lt;=Hypothèses!$V$13,Hypothèses!$X$13,IF(DL299&lt;=Hypothèses!$V$14,Hypothèses!$X$14,IF(DL299&lt;=Hypothèses!$V$15,Hypothèses!$X$15,IF(DL299&lt;=Hypothèses!$V$16,Hypothèses!$X$16,IF(DL299&lt;=Hypothèses!$U$17,Hypothèses!$W$17,IF(DL299&lt;=Hypothèses!$U$18,Hypothèses!$W$18,""))))))))))))</f>
        <v>#DIV/0!</v>
      </c>
      <c r="EI299" s="95" t="e">
        <f t="shared" ca="1" si="493"/>
        <v>#DIV/0!</v>
      </c>
      <c r="EJ299" s="101">
        <f t="shared" si="529"/>
        <v>0</v>
      </c>
      <c r="EK299" s="91">
        <f t="shared" si="460"/>
        <v>0</v>
      </c>
      <c r="EL299" s="30" t="e">
        <f t="shared" si="512"/>
        <v>#N/A</v>
      </c>
      <c r="EM299" s="30" t="e">
        <f t="shared" si="513"/>
        <v>#N/A</v>
      </c>
      <c r="EN299" s="31" t="e">
        <f>IF(OR(Hypothèses!$B$4=17,Hypothèses!$B$4=18,Hypothèses!$B$4=19,Hypothèses!$B$4=20),
IF($D299="Pressio.",
IF(OR($E299=3,$E299=1,$E299=4),EM299,EL299),
IF($D299="Pénétro.",
IF(OR($E299=3,$E299=1,$E299=4),EM299,EL299))),IF($D299="Pressio.",
IF($E299=3,EM299,EL299),
IF($D299="Pénétro.",
IF($E299=4,EM299,EL299))))</f>
        <v>#N/A</v>
      </c>
      <c r="EO299" s="31">
        <v>0</v>
      </c>
      <c r="EP299" s="102" t="e">
        <f>IF(NDC!$H$10="Oui",(VLOOKUP($B$3,'Coeff EC7'!$T$39:$X$59,2,0)*EN299+VLOOKUP($B$3,'Coeff EC7'!$T$65:$X$85,2,0)*Model0.1T!EO299)/1.5,PI()*EL$12*$Q299*($B299-$B298)*0.15/10+EP298)</f>
        <v>#N/A</v>
      </c>
      <c r="EQ299" s="102" t="e">
        <f>(VLOOKUP($B$3,'Coeff EC7'!$T$39:$X$59,3,0)*EN299+VLOOKUP($B$3,'Coeff EC7'!$T$65:$X$85,3,0)*Model0.1T!EO299)/1.1</f>
        <v>#N/A</v>
      </c>
      <c r="ER299" s="102" t="e">
        <f t="shared" si="494"/>
        <v>#N/A</v>
      </c>
      <c r="ES299" s="102" t="e">
        <f t="shared" si="495"/>
        <v>#N/A</v>
      </c>
      <c r="ET299" s="414" t="e">
        <f>IF(AND(EP299&gt;NDC!$C$63,EQ299&gt;NDC!$C$65,ER299&gt;NDC!$D$73,ES299&gt;NDC!$D$74,$B299&gt;NDC!$H$22-0.1+MIN(3*ET$12,1.5)),0,1)</f>
        <v>#N/A</v>
      </c>
      <c r="EU299" s="86" t="b">
        <f t="shared" si="461"/>
        <v>0</v>
      </c>
      <c r="EV299" s="86">
        <f t="shared" si="462"/>
        <v>0.61</v>
      </c>
      <c r="EW299" s="86">
        <f t="shared" si="463"/>
        <v>0.61</v>
      </c>
      <c r="EX299" s="30" t="e">
        <f t="shared" ca="1" si="496"/>
        <v>#DIV/0!</v>
      </c>
      <c r="EY299" s="85" t="e">
        <f ca="1">IF(EE299&lt;=Hypothèses!$V$7,Hypothèses!$W$7,IF(EE299&lt;=Hypothèses!$V$8,Hypothèses!$W$8,IF(EE299&lt;=Hypothèses!$V$9,Hypothèses!$W$9,IF(EE299&lt;=Hypothèses!$V$10,Hypothèses!$W$10,IF(EE299&lt;=Hypothèses!$V$11,Hypothèses!$W$11,IF(EE299&lt;=Hypothèses!$V$12,Hypothèses!$W$12,IF(EE299&lt;=Hypothèses!$V$13,Hypothèses!$W$13,IF(EE299&lt;=Hypothèses!$V$14,Hypothèses!$W$14,IF(EE299&lt;=Hypothèses!$V$15,Hypothèses!$W$15,IF(EE299&lt;=Hypothèses!$V$16,Hypothèses!$W$16,IF(EE299&lt;=Hypothèses!$V$17,Hypothèses!$W$17,IF(EE299&lt;=Hypothèses!$V$18,Hypothèses!$W$18,""))))))))))))</f>
        <v>#DIV/0!</v>
      </c>
      <c r="EZ299" s="87" t="e">
        <f t="shared" ca="1" si="523"/>
        <v>#DIV/0!</v>
      </c>
      <c r="FA299" s="88" t="e">
        <f ca="1">IF(EE299&lt;=Hypothèses!$V$7,Hypothèses!$X$7,IF(EE299&lt;=Hypothèses!$V$8,Hypothèses!$X$8,IF(EE299&lt;=Hypothèses!$V$9,Hypothèses!$X$9,IF(EE299&lt;=Hypothèses!$V$10,Hypothèses!$X$10,IF(EE299&lt;=Hypothèses!$V$11,Hypothèses!$X$11,IF(EE299&lt;=Hypothèses!$V$12,Hypothèses!$X$12,IF(EE299&lt;=Hypothèses!$V$13,Hypothèses!$X$13,IF(EE299&lt;=Hypothèses!$V$14,Hypothèses!$X$14,IF(EE299&lt;=Hypothèses!$V$15,Hypothèses!$X$15,IF(EE299&lt;=Hypothèses!$V$16,Hypothèses!$X$16,IF(EE299&lt;=Hypothèses!$U$17,Hypothèses!$W$17,IF(EE299&lt;=Hypothèses!$U$18,Hypothèses!$W$18,""))))))))))))</f>
        <v>#DIV/0!</v>
      </c>
      <c r="FB299" s="95" t="e">
        <f t="shared" ca="1" si="497"/>
        <v>#DIV/0!</v>
      </c>
      <c r="FC299" s="101">
        <f t="shared" si="530"/>
        <v>0</v>
      </c>
      <c r="FD299" s="91">
        <f t="shared" si="464"/>
        <v>0</v>
      </c>
      <c r="FE299" s="30" t="e">
        <f t="shared" si="514"/>
        <v>#N/A</v>
      </c>
      <c r="FF299" s="30" t="e">
        <f t="shared" si="515"/>
        <v>#N/A</v>
      </c>
      <c r="FG299" s="31" t="e">
        <f>IF(OR(Hypothèses!$B$4=17,Hypothèses!$B$4=18,Hypothèses!$B$4=19,Hypothèses!$B$4=20),
IF($D299="Pressio.",
IF(OR($E299=3,$E299=1,$E299=4),FF299,FE299),
IF($D299="Pénétro.",
IF(OR($E299=3,$E299=1,$E299=4),FF299,FE299))),IF($D299="Pressio.",
IF($E299=3,FF299,FE299),
IF($D299="Pénétro.",
IF($E299=4,FF299,FE299))))</f>
        <v>#N/A</v>
      </c>
      <c r="FH299" s="31">
        <v>0</v>
      </c>
      <c r="FI299" s="102" t="e">
        <f>IF(NDC!$H$10="Oui",(VLOOKUP($B$3,'Coeff EC7'!$T$39:$X$59,2,0)*FG299+VLOOKUP($B$3,'Coeff EC7'!$T$65:$X$85,2,0)*Model0.1T!FH299)/1.5,PI()*FE$12*$Q299*($B299-$B298)*0.15/10+FI298)</f>
        <v>#N/A</v>
      </c>
      <c r="FJ299" s="102" t="e">
        <f>(VLOOKUP($B$3,'Coeff EC7'!$T$39:$X$59,3,0)*FG299+VLOOKUP($B$3,'Coeff EC7'!$T$65:$X$85,3,0)*Model0.1T!FH299)/1.1</f>
        <v>#N/A</v>
      </c>
      <c r="FK299" s="102" t="e">
        <f t="shared" si="498"/>
        <v>#N/A</v>
      </c>
      <c r="FL299" s="102" t="e">
        <f t="shared" si="499"/>
        <v>#N/A</v>
      </c>
      <c r="FM299" s="414" t="e">
        <f>IF(AND(FI299&gt;NDC!$C$63,FJ299&gt;NDC!$C$65,FK299&gt;NDC!$D$73,FL299&gt;NDC!$D$74,$B299&gt;NDC!$H$22-0.1+MIN(3*FM$12,1.5)),0,1)</f>
        <v>#N/A</v>
      </c>
    </row>
    <row r="300" spans="1:169">
      <c r="A300" s="96">
        <f t="shared" si="465"/>
        <v>71.300000000001631</v>
      </c>
      <c r="B300" s="97">
        <v>28.7</v>
      </c>
      <c r="C300" s="81">
        <f>IF(B300&lt;=Hypothèses!$C$7,Hypothèses!$A$7,IF(B300&lt;=Hypothèses!$C$8,Hypothèses!$A$8,IF(B300&lt;=Hypothèses!$C$9,Hypothèses!$A$9,IF(B300&lt;=Hypothèses!$C$10,Hypothèses!$A$10,IF(B300&lt;=Hypothèses!$C$11,Hypothèses!$A$11,IF(B300&lt;=Hypothèses!$C$12,Hypothèses!$A$12,IF(B300&lt;=Hypothèses!$C$13,Hypothèses!$A$13,IF(B300&lt;=Hypothèses!$C$14,Hypothèses!$A$14,IF(B300&lt;=Hypothèses!$C$15,Hypothèses!$A$15,IF(B300&lt;=Hypothèses!$C$16,Hypothèses!$A$16,IF(B300&lt;=Hypothèses!$C$17,Hypothèses!$A$17,IF(B300&lt;=Hypothèses!$C$18,Hypothèses!$A$18,C299))))))))))))</f>
        <v>11</v>
      </c>
      <c r="D300" s="82" t="str">
        <f>IF(B300&lt;=Hypothèses!$C$7,Hypothèses!$R$7,IF(B300&lt;=Hypothèses!$C$8,Hypothèses!$R$8,IF(B300&lt;=Hypothèses!$C$9,Hypothèses!$R$9,IF(B300&lt;=Hypothèses!$C$10,Hypothèses!$R$10,IF(B300&lt;=Hypothèses!$C$11,Hypothèses!$R$11,IF(B300&lt;=Hypothèses!$C$12,Hypothèses!$R$12,IF(B300&lt;=Hypothèses!$C$13,Hypothèses!$R$13,IF(B300&lt;=Hypothèses!$C$14,Hypothèses!$R$14,IF(B300&lt;=Hypothèses!$C$15,Hypothèses!$R$15,IF(B300&lt;=Hypothèses!$C$16,Hypothèses!$R$16,IF(B300&lt;=Hypothèses!$C$17,Hypothèses!$R$17,IF(B300&lt;=Hypothèses!$C$18,Hypothèses!$R$18,D299))))))))))))</f>
        <v>Pressio.</v>
      </c>
      <c r="E300" s="82" t="e">
        <f>IF(B300&lt;=Hypothèses!$C$7,Hypothèses!$G$7,IF(B300&lt;=Hypothèses!$C$8,Hypothèses!$G$8,IF(B300&lt;=Hypothèses!$C$9,Hypothèses!$G$9,IF(B300&lt;=Hypothèses!$C$10,Hypothèses!$G$10,IF(B300&lt;=Hypothèses!$C$11,Hypothèses!$G$11,IF(B300&lt;=Hypothèses!$C$12,Hypothèses!$G$12,IF(B300&lt;=Hypothèses!$C$13,Hypothèses!$G$13,IF(B300&lt;=Hypothèses!$C$14,Hypothèses!$G$14,IF(B300&lt;=Hypothèses!$C$15,Hypothèses!$G$15,IF(B300&lt;=Hypothèses!$C$16,Hypothèses!$G$16,IF(B300&lt;=Hypothèses!$C$17,Hypothèses!$G$17,IF(B300&lt;=Hypothèses!$C$18,Hypothèses!$G$18,E299))))))))))))</f>
        <v>#N/A</v>
      </c>
      <c r="F300" s="82" t="str">
        <f>IF(B300&lt;=Hypothèses!$C$7,Hypothèses!$F$7,IF(B300&lt;=Hypothèses!$C$8,Hypothèses!$F$8,IF(B300&lt;=Hypothèses!$C$9,Hypothèses!$F$9,IF(B300&lt;=Hypothèses!$C$10,Hypothèses!$F$10,IF(B300&lt;=Hypothèses!$C$11,Hypothèses!$F$11,IF(B300&lt;=Hypothèses!$C$12,Hypothèses!$F$12,IF(B300&lt;=Hypothèses!$C$13,Hypothèses!$F$13,IF(B300&lt;=Hypothèses!$C$14,Hypothèses!$F$14,IF(B300&lt;=Hypothèses!$C$15,Hypothèses!$F$15,IF(B300&lt;=Hypothèses!$C$16,Hypothèses!$F$16,IF(B300&lt;=Hypothèses!$C$17,Hypothèses!$F$17,IF(B300&lt;=Hypothèses!$C$18,Hypothèses!$F$18,F299))))))))))))</f>
        <v/>
      </c>
      <c r="G300" s="91">
        <f t="array" ref="G300">INDEX('Coeff EC7'!$U$7:$X$27,
MATCH(Model0.1T!$B$3,'Coeff EC7'!$T$7:$T$27,0),
MATCH(Model0.1T!$D300&amp;Model0.1T!$B$4,
'Coeff EC7'!$U$6:$X$6&amp;
'Coeff EC7'!$U$5:$X$5,0))</f>
        <v>1.4</v>
      </c>
      <c r="H300" s="91">
        <f t="array" ref="H300">INDEX('Coeff EC7'!$Y$7:$AB$27,
MATCH(Model0.1T!$B$3,'Coeff EC7'!$T$7:$T$27,0),
MATCH(Model0.1T!$D300&amp;Model0.1T!$B$4,
'Coeff EC7'!$Y$6:$AB$6&amp;
'Coeff EC7'!$Y$5:$AB$5,0))</f>
        <v>1.7</v>
      </c>
      <c r="I300" s="83">
        <v>0</v>
      </c>
      <c r="J300" s="91" t="e">
        <f t="array" ref="J300">INDEX('Coeff EC7'!$D$33:$Q$33,1,MATCH(D300&amp;E300,'Coeff EC7'!$D$31:$Q$31&amp;'Coeff EC7'!$D$32:$Q$32,0))</f>
        <v>#N/A</v>
      </c>
      <c r="K300" s="91" t="e">
        <f t="array" ref="K300">INDEX('Coeff EC7'!$D$34:$Q$34,1,MATCH(D300&amp;E300,'Coeff EC7'!$D$31:$Q$31&amp;'Coeff EC7'!$D$32:$Q$32,0))</f>
        <v>#N/A</v>
      </c>
      <c r="L300" s="91" t="e">
        <f t="array" ref="L300">INDEX('Coeff EC7'!$D$35:$Q$35,1,MATCH(D300&amp;E300,'Coeff EC7'!$D$31:$Q$31&amp;'Coeff EC7'!$D$32:$Q$32,0))</f>
        <v>#N/A</v>
      </c>
      <c r="M300" s="98" t="e">
        <f t="shared" si="431"/>
        <v>#N/A</v>
      </c>
      <c r="N300" s="99" t="e">
        <f t="array" ref="N300">INDEX('Coeff EC7'!$D$7:$Q$27,MATCH($B$3,'Coeff EC7'!$C$7:$C$27,0),MATCH(D300&amp;E300,'Coeff EC7'!$D$5:$Q$5&amp;'Coeff EC7'!$D$6:$Q$6,0))</f>
        <v>#N/A</v>
      </c>
      <c r="O300" s="99" t="e">
        <f t="array" ref="O300">INDEX('Coeff EC7'!$D$41:$Q$61,MATCH($B$3,'Coeff EC7'!$C$41:$C$61,0),MATCH(D300&amp;E300,'Coeff EC7'!$D$39:$Q$39&amp;'Coeff EC7'!$D$40:$Q$40,0))</f>
        <v>#N/A</v>
      </c>
      <c r="P300" s="30" t="e">
        <f t="shared" si="466"/>
        <v>#N/A</v>
      </c>
      <c r="Q300" s="100" t="e">
        <f t="shared" si="433"/>
        <v>#N/A</v>
      </c>
      <c r="R300" s="86" t="b">
        <f t="shared" si="434"/>
        <v>0</v>
      </c>
      <c r="S300" s="86">
        <f t="shared" si="432"/>
        <v>0.5</v>
      </c>
      <c r="T300" s="86">
        <f t="shared" si="435"/>
        <v>0.5</v>
      </c>
      <c r="U300" s="30" t="e">
        <f t="shared" ca="1" si="467"/>
        <v>#DIV/0!</v>
      </c>
      <c r="V300" s="85" t="str">
        <f>IF(B300&lt;=Hypothèses!$V$7,Hypothèses!$W$7,IF(B300&lt;=Hypothèses!$V$8,Hypothèses!$W$8,IF(B300&lt;=Hypothèses!$V$9,Hypothèses!$W$9,IF(B300&lt;=Hypothèses!$V$10,Hypothèses!$W$10,IF(B300&lt;=Hypothèses!$V$11,Hypothèses!$W$11,IF(B300&lt;=Hypothèses!$V$12,Hypothèses!$W$12,IF(B300&lt;=Hypothèses!$V$13,Hypothèses!$W$13,IF(B300&lt;=Hypothèses!$V$14,Hypothèses!$W$14,IF(B300&lt;=Hypothèses!$V$15,Hypothèses!$W$15,IF(B300&lt;=Hypothèses!$V$16,Hypothèses!$W$16,IF(B300&lt;=Hypothèses!$V$17,Hypothèses!$W$17,IF(B300&lt;=Hypothèses!$V$18,Hypothèses!$W$18,""))))))))))))</f>
        <v/>
      </c>
      <c r="W300" s="87" t="e">
        <f t="shared" ca="1" si="516"/>
        <v>#DIV/0!</v>
      </c>
      <c r="X300" s="88" t="str">
        <f>IF(B300&lt;=Hypothèses!$V$7,Hypothèses!$X$7,IF(B300&lt;=Hypothèses!$V$8,Hypothèses!$X$8,IF(B300&lt;=Hypothèses!$V$9,Hypothèses!$X$9,IF(B300&lt;=Hypothèses!$V$10,Hypothèses!$X$10,IF(B300&lt;=Hypothèses!$V$11,Hypothèses!$X$11,IF(B300&lt;=Hypothèses!$V$12,Hypothèses!$X$12,IF(B300&lt;=Hypothèses!$V$13,Hypothèses!$X$13,IF(B300&lt;=Hypothèses!$V$14,Hypothèses!$X$14,IF(B300&lt;=Hypothèses!$V$15,Hypothèses!$X$15,IF(B300&lt;=Hypothèses!$V$16,Hypothèses!$X$16,IF(B300&lt;=Hypothèses!$U$17,Hypothèses!$W$17,IF(B300&lt;=Hypothèses!$U$18,Hypothèses!$W$18,""))))))))))))</f>
        <v/>
      </c>
      <c r="Y300" s="95" t="e">
        <f t="shared" ca="1" si="436"/>
        <v>#DIV/0!</v>
      </c>
      <c r="Z300" s="101">
        <f t="shared" si="437"/>
        <v>0</v>
      </c>
      <c r="AA300" s="91">
        <f t="shared" si="438"/>
        <v>0</v>
      </c>
      <c r="AB300" s="30" t="e">
        <f t="shared" si="500"/>
        <v>#N/A</v>
      </c>
      <c r="AC300" s="30" t="e">
        <f t="shared" si="501"/>
        <v>#N/A</v>
      </c>
      <c r="AD300" s="31" t="e">
        <f>IF(OR(Hypothèses!$B$4=17,Hypothèses!$B$4=18,Hypothèses!$B$4=19,Hypothèses!$B$4=20),
IF($D300="Pressio.",
IF(OR($E300=3,$E300=1,$E300=4),AC300,AB300),
IF($D300="Pénétro.",
IF(OR($E300=3,$E300=1,$E300=4),AC300,AB300))),IF($D300="Pressio.",
IF($E300=3,AC300,AB300),
IF($D300="Pénétro.",
IF($E300=4,AC300,AB300))))</f>
        <v>#N/A</v>
      </c>
      <c r="AE300" s="31">
        <v>0</v>
      </c>
      <c r="AF300" s="102" t="e">
        <f>IF(NDC!$H$10="Oui",(VLOOKUP($B$3,'Coeff EC7'!$T$39:$X$59,2,0)*AD300+VLOOKUP($B$3,'Coeff EC7'!$T$65:$X$85,2,0)*Model0.1T!AE300)/1.5,PI()*AB$12*$Q300*($B300-$B299)*0.15/10+AF299)</f>
        <v>#N/A</v>
      </c>
      <c r="AG300" s="102" t="e">
        <f>(VLOOKUP($B$3,'Coeff EC7'!$T$39:$X$59,3,0)*AD300+VLOOKUP($B$3,'Coeff EC7'!$T$65:$X$85,3,0)*Model0.1T!AE300)/1.1</f>
        <v>#N/A</v>
      </c>
      <c r="AH300" s="102" t="e">
        <f t="shared" si="468"/>
        <v>#N/A</v>
      </c>
      <c r="AI300" s="102" t="e">
        <f t="shared" si="469"/>
        <v>#N/A</v>
      </c>
      <c r="AJ300" s="414" t="e">
        <f>IF(AND(AF300&gt;NDC!$C$63,AG300&gt;NDC!$C$65,AH300&gt;NDC!$D$73,AI300&gt;NDC!$D$74,$B300&gt;NDC!$H$22-0.1+MIN(3*$AJ$12,1.5)),0,1)</f>
        <v>#N/A</v>
      </c>
      <c r="AK300" s="86" t="b">
        <f t="shared" si="439"/>
        <v>0</v>
      </c>
      <c r="AL300" s="86">
        <f t="shared" si="470"/>
        <v>0.5</v>
      </c>
      <c r="AM300" s="86">
        <f t="shared" si="440"/>
        <v>0.5</v>
      </c>
      <c r="AN300" s="30" t="e">
        <f t="shared" ca="1" si="471"/>
        <v>#DIV/0!</v>
      </c>
      <c r="AO300" s="85" t="e">
        <f ca="1">IF(U300&lt;=Hypothèses!$V$7,Hypothèses!$W$7,IF(U300&lt;=Hypothèses!$V$8,Hypothèses!$W$8,IF(U300&lt;=Hypothèses!$V$9,Hypothèses!$W$9,IF(U300&lt;=Hypothèses!$V$10,Hypothèses!$W$10,IF(U300&lt;=Hypothèses!$V$11,Hypothèses!$W$11,IF(U300&lt;=Hypothèses!$V$12,Hypothèses!$W$12,IF(U300&lt;=Hypothèses!$V$13,Hypothèses!$W$13,IF(U300&lt;=Hypothèses!$V$14,Hypothèses!$W$14,IF(U300&lt;=Hypothèses!$V$15,Hypothèses!$W$15,IF(U300&lt;=Hypothèses!$V$16,Hypothèses!$W$16,IF(U300&lt;=Hypothèses!$V$17,Hypothèses!$W$17,IF(U300&lt;=Hypothèses!$V$18,Hypothèses!$W$18,""))))))))))))</f>
        <v>#DIV/0!</v>
      </c>
      <c r="AP300" s="87" t="e">
        <f t="shared" ca="1" si="517"/>
        <v>#DIV/0!</v>
      </c>
      <c r="AQ300" s="88" t="e">
        <f ca="1">IF(U300&lt;=Hypothèses!$V$7,Hypothèses!$X$7,IF(U300&lt;=Hypothèses!$V$8,Hypothèses!$X$8,IF(U300&lt;=Hypothèses!$V$9,Hypothèses!$X$9,IF(U300&lt;=Hypothèses!$V$10,Hypothèses!$X$10,IF(U300&lt;=Hypothèses!$V$11,Hypothèses!$X$11,IF(U300&lt;=Hypothèses!$V$12,Hypothèses!$X$12,IF(U300&lt;=Hypothèses!$V$13,Hypothèses!$X$13,IF(U300&lt;=Hypothèses!$V$14,Hypothèses!$X$14,IF(U300&lt;=Hypothèses!$V$15,Hypothèses!$X$15,IF(U300&lt;=Hypothèses!$V$16,Hypothèses!$X$16,IF(U300&lt;=Hypothèses!$U$17,Hypothèses!$W$17,IF(U300&lt;=Hypothèses!$U$18,Hypothèses!$W$18,""))))))))))))</f>
        <v>#DIV/0!</v>
      </c>
      <c r="AR300" s="95" t="e">
        <f t="shared" ca="1" si="472"/>
        <v>#DIV/0!</v>
      </c>
      <c r="AS300" s="101">
        <f t="shared" si="524"/>
        <v>0</v>
      </c>
      <c r="AT300" s="91">
        <f t="shared" si="441"/>
        <v>0</v>
      </c>
      <c r="AU300" s="30" t="e">
        <f t="shared" si="502"/>
        <v>#N/A</v>
      </c>
      <c r="AV300" s="30" t="e">
        <f t="shared" si="503"/>
        <v>#N/A</v>
      </c>
      <c r="AW300" s="31" t="e">
        <f>IF(OR(Hypothèses!$B$4=17,Hypothèses!$B$4=18,Hypothèses!$B$4=19,Hypothèses!$B$4=20),
IF($D300="Pressio.",
IF(OR($E300=3,$E300=1,$E300=4),AV300,AU300),
IF($D300="Pénétro.",
IF(OR($E300=3,$E300=1,$E300=4),AV300,AU300))),IF($D300="Pressio.",
IF($E300=3,AV300,AU300),
IF($D300="Pénétro.",
IF($E300=4,AV300,AU300))))</f>
        <v>#N/A</v>
      </c>
      <c r="AX300" s="31">
        <v>0</v>
      </c>
      <c r="AY300" s="102" t="e">
        <f>IF(NDC!$H$10="Oui",(VLOOKUP($B$3,'Coeff EC7'!$T$39:$X$59,2,0)*AW300+VLOOKUP($B$3,'Coeff EC7'!$T$65:$X$85,2,0)*Model0.1T!AX300)/1.5,PI()*AU$12*$Q300*($B300-$B299)*0.15/10+AY299)</f>
        <v>#N/A</v>
      </c>
      <c r="AZ300" s="102" t="e">
        <f>(VLOOKUP($B$3,'Coeff EC7'!$T$39:$X$59,3,0)*AW300+VLOOKUP($B$3,'Coeff EC7'!$T$65:$X$85,3,0)*Model0.1T!AX300)/1.1</f>
        <v>#N/A</v>
      </c>
      <c r="BA300" s="102" t="e">
        <f t="shared" si="473"/>
        <v>#N/A</v>
      </c>
      <c r="BB300" s="102" t="e">
        <f t="shared" si="474"/>
        <v>#N/A</v>
      </c>
      <c r="BC300" s="414" t="e">
        <f>IF(AND(AY300&gt;NDC!$C$63,AZ300&gt;NDC!$C$65,BA300&gt;NDC!$D$73,BB300&gt;NDC!$D$74,$B300&gt;NDC!$H$22-0.1+MIN(3*BC$12,1.5)),0,1)</f>
        <v>#N/A</v>
      </c>
      <c r="BD300" s="86" t="b">
        <f t="shared" si="442"/>
        <v>0</v>
      </c>
      <c r="BE300" s="86">
        <f t="shared" si="475"/>
        <v>0.5</v>
      </c>
      <c r="BF300" s="86">
        <f t="shared" si="443"/>
        <v>0.5</v>
      </c>
      <c r="BG300" s="30" t="e">
        <f t="shared" ca="1" si="476"/>
        <v>#DIV/0!</v>
      </c>
      <c r="BH300" s="85" t="e">
        <f ca="1">IF(AN300&lt;=Hypothèses!$V$7,Hypothèses!$W$7,IF(AN300&lt;=Hypothèses!$V$8,Hypothèses!$W$8,IF(AN300&lt;=Hypothèses!$V$9,Hypothèses!$W$9,IF(AN300&lt;=Hypothèses!$V$10,Hypothèses!$W$10,IF(AN300&lt;=Hypothèses!$V$11,Hypothèses!$W$11,IF(AN300&lt;=Hypothèses!$V$12,Hypothèses!$W$12,IF(AN300&lt;=Hypothèses!$V$13,Hypothèses!$W$13,IF(AN300&lt;=Hypothèses!$V$14,Hypothèses!$W$14,IF(AN300&lt;=Hypothèses!$V$15,Hypothèses!$W$15,IF(AN300&lt;=Hypothèses!$V$16,Hypothèses!$W$16,IF(AN300&lt;=Hypothèses!$V$17,Hypothèses!$W$17,IF(AN300&lt;=Hypothèses!$V$18,Hypothèses!$W$18,""))))))))))))</f>
        <v>#DIV/0!</v>
      </c>
      <c r="BI300" s="87" t="e">
        <f t="shared" ca="1" si="518"/>
        <v>#DIV/0!</v>
      </c>
      <c r="BJ300" s="88" t="e">
        <f ca="1">IF(AN300&lt;=Hypothèses!$V$7,Hypothèses!$X$7,IF(AN300&lt;=Hypothèses!$V$8,Hypothèses!$X$8,IF(AN300&lt;=Hypothèses!$V$9,Hypothèses!$X$9,IF(AN300&lt;=Hypothèses!$V$10,Hypothèses!$X$10,IF(AN300&lt;=Hypothèses!$V$11,Hypothèses!$X$11,IF(AN300&lt;=Hypothèses!$V$12,Hypothèses!$X$12,IF(AN300&lt;=Hypothèses!$V$13,Hypothèses!$X$13,IF(AN300&lt;=Hypothèses!$V$14,Hypothèses!$X$14,IF(AN300&lt;=Hypothèses!$V$15,Hypothèses!$X$15,IF(AN300&lt;=Hypothèses!$V$16,Hypothèses!$X$16,IF(AN300&lt;=Hypothèses!$U$17,Hypothèses!$W$17,IF(AN300&lt;=Hypothèses!$U$18,Hypothèses!$W$18,""))))))))))))</f>
        <v>#DIV/0!</v>
      </c>
      <c r="BK300" s="95" t="e">
        <f t="shared" ca="1" si="477"/>
        <v>#DIV/0!</v>
      </c>
      <c r="BL300" s="101">
        <f t="shared" si="525"/>
        <v>0</v>
      </c>
      <c r="BM300" s="91">
        <f t="shared" si="444"/>
        <v>0</v>
      </c>
      <c r="BN300" s="30" t="e">
        <f t="shared" si="504"/>
        <v>#N/A</v>
      </c>
      <c r="BO300" s="30" t="e">
        <f t="shared" si="505"/>
        <v>#N/A</v>
      </c>
      <c r="BP300" s="31" t="e">
        <f>IF(OR(Hypothèses!$B$4=17,Hypothèses!$B$4=18,Hypothèses!$B$4=19,Hypothèses!$B$4=20),
IF($D300="Pressio.",
IF(OR($E300=3,$E300=1,$E300=4),BO300,BN300),
IF($D300="Pénétro.",
IF(OR($E300=3,$E300=1,$E300=4),BO300,BN300))),IF($D300="Pressio.",
IF($E300=3,BO300,BN300),
IF($D300="Pénétro.",
IF($E300=4,BO300,BN300))))</f>
        <v>#N/A</v>
      </c>
      <c r="BQ300" s="31">
        <v>0</v>
      </c>
      <c r="BR300" s="102" t="e">
        <f>IF(NDC!$H$10="Oui",(VLOOKUP($B$3,'Coeff EC7'!$T$39:$X$59,2,0)*BP300+VLOOKUP($B$3,'Coeff EC7'!$T$65:$X$85,2,0)*Model0.1T!BQ300)/1.5,PI()*BN$12*$Q300*($B300-$B299)*0.15/10+BR299)</f>
        <v>#N/A</v>
      </c>
      <c r="BS300" s="102" t="e">
        <f>(VLOOKUP($B$3,'Coeff EC7'!$T$39:$X$59,3,0)*BP300+VLOOKUP($B$3,'Coeff EC7'!$T$65:$X$85,3,0)*Model0.1T!BQ300)/1.1</f>
        <v>#N/A</v>
      </c>
      <c r="BT300" s="102" t="e">
        <f t="shared" si="478"/>
        <v>#N/A</v>
      </c>
      <c r="BU300" s="102" t="e">
        <f t="shared" si="479"/>
        <v>#N/A</v>
      </c>
      <c r="BV300" s="414" t="e">
        <f>IF(AND(BR300&gt;NDC!$C$63,BS300&gt;NDC!$C$65,BT300&gt;NDC!$D$73,BU300&gt;NDC!$D$74,$B300&gt;NDC!$H$22-0.1+MIN(3*BV$12,1.5)),0,1)</f>
        <v>#N/A</v>
      </c>
      <c r="BW300" s="86" t="b">
        <f t="shared" si="445"/>
        <v>0</v>
      </c>
      <c r="BX300" s="86">
        <f t="shared" si="446"/>
        <v>0.5</v>
      </c>
      <c r="BY300" s="86">
        <f t="shared" si="447"/>
        <v>0.5</v>
      </c>
      <c r="BZ300" s="30" t="e">
        <f t="shared" ca="1" si="480"/>
        <v>#DIV/0!</v>
      </c>
      <c r="CA300" s="85" t="e">
        <f ca="1">IF(BG300&lt;=Hypothèses!$V$7,Hypothèses!$W$7,IF(BG300&lt;=Hypothèses!$V$8,Hypothèses!$W$8,IF(BG300&lt;=Hypothèses!$V$9,Hypothèses!$W$9,IF(BG300&lt;=Hypothèses!$V$10,Hypothèses!$W$10,IF(BG300&lt;=Hypothèses!$V$11,Hypothèses!$W$11,IF(BG300&lt;=Hypothèses!$V$12,Hypothèses!$W$12,IF(BG300&lt;=Hypothèses!$V$13,Hypothèses!$W$13,IF(BG300&lt;=Hypothèses!$V$14,Hypothèses!$W$14,IF(BG300&lt;=Hypothèses!$V$15,Hypothèses!$W$15,IF(BG300&lt;=Hypothèses!$V$16,Hypothèses!$W$16,IF(BG300&lt;=Hypothèses!$V$17,Hypothèses!$W$17,IF(BG300&lt;=Hypothèses!$V$18,Hypothèses!$W$18,""))))))))))))</f>
        <v>#DIV/0!</v>
      </c>
      <c r="CB300" s="87" t="e">
        <f t="shared" ca="1" si="519"/>
        <v>#DIV/0!</v>
      </c>
      <c r="CC300" s="88" t="e">
        <f ca="1">IF(BG300&lt;=Hypothèses!$V$7,Hypothèses!$X$7,IF(BG300&lt;=Hypothèses!$V$8,Hypothèses!$X$8,IF(BG300&lt;=Hypothèses!$V$9,Hypothèses!$X$9,IF(BG300&lt;=Hypothèses!$V$10,Hypothèses!$X$10,IF(BG300&lt;=Hypothèses!$V$11,Hypothèses!$X$11,IF(BG300&lt;=Hypothèses!$V$12,Hypothèses!$X$12,IF(BG300&lt;=Hypothèses!$V$13,Hypothèses!$X$13,IF(BG300&lt;=Hypothèses!$V$14,Hypothèses!$X$14,IF(BG300&lt;=Hypothèses!$V$15,Hypothèses!$X$15,IF(BG300&lt;=Hypothèses!$V$16,Hypothèses!$X$16,IF(BG300&lt;=Hypothèses!$U$17,Hypothèses!$W$17,IF(BG300&lt;=Hypothèses!$U$18,Hypothèses!$W$18,""))))))))))))</f>
        <v>#DIV/0!</v>
      </c>
      <c r="CD300" s="95" t="e">
        <f t="shared" ca="1" si="481"/>
        <v>#DIV/0!</v>
      </c>
      <c r="CE300" s="101">
        <f t="shared" si="526"/>
        <v>0</v>
      </c>
      <c r="CF300" s="91">
        <f t="shared" si="448"/>
        <v>0</v>
      </c>
      <c r="CG300" s="30" t="e">
        <f t="shared" si="506"/>
        <v>#N/A</v>
      </c>
      <c r="CH300" s="30" t="e">
        <f t="shared" si="507"/>
        <v>#N/A</v>
      </c>
      <c r="CI300" s="31" t="e">
        <f>IF(OR(Hypothèses!$B$4=17,Hypothèses!$B$4=18,Hypothèses!$B$4=19,Hypothèses!$B$4=20),
IF($D300="Pressio.",
IF(OR($E300=3,$E300=1,$E300=4),CH300,CG300),
IF($D300="Pénétro.",
IF(OR($E300=3,$E300=1,$E300=4),CH300,CG300))),IF($D300="Pressio.",
IF($E300=3,CH300,CG300),
IF($D300="Pénétro.",
IF($E300=4,CH300,CG300))))</f>
        <v>#N/A</v>
      </c>
      <c r="CJ300" s="31">
        <v>0</v>
      </c>
      <c r="CK300" s="102" t="e">
        <f>IF(NDC!$H$10="Oui",(VLOOKUP($B$3,'Coeff EC7'!$T$39:$X$59,2,0)*CI300+VLOOKUP($B$3,'Coeff EC7'!$T$65:$X$85,2,0)*Model0.1T!CJ300)/1.5,PI()*CG$12*$Q300*($B300-$B299)*0.15/10+CK299)</f>
        <v>#N/A</v>
      </c>
      <c r="CL300" s="102" t="e">
        <f>(VLOOKUP($B$3,'Coeff EC7'!$T$39:$X$59,3,0)*CI300+VLOOKUP($B$3,'Coeff EC7'!$T$65:$X$85,3,0)*Model0.1T!CJ300)/1.1</f>
        <v>#N/A</v>
      </c>
      <c r="CM300" s="102" t="e">
        <f t="shared" si="482"/>
        <v>#N/A</v>
      </c>
      <c r="CN300" s="102" t="e">
        <f t="shared" si="483"/>
        <v>#N/A</v>
      </c>
      <c r="CO300" s="414" t="e">
        <f>IF(AND(CK300&gt;NDC!$C$63,CL300&gt;NDC!$C$65,CM300&gt;NDC!$D$73,CN300&gt;NDC!$D$74,$B300&gt;NDC!$H$22-0.1+MIN(3*CO$12,1.5)),0,1)</f>
        <v>#N/A</v>
      </c>
      <c r="CP300" s="86" t="b">
        <f t="shared" si="449"/>
        <v>0</v>
      </c>
      <c r="CQ300" s="86">
        <f t="shared" si="450"/>
        <v>0.5</v>
      </c>
      <c r="CR300" s="86">
        <f t="shared" si="451"/>
        <v>0.5</v>
      </c>
      <c r="CS300" s="30" t="e">
        <f t="shared" ca="1" si="484"/>
        <v>#DIV/0!</v>
      </c>
      <c r="CT300" s="85" t="e">
        <f ca="1">IF(BZ300&lt;=Hypothèses!$V$7,Hypothèses!$W$7,IF(BZ300&lt;=Hypothèses!$V$8,Hypothèses!$W$8,IF(BZ300&lt;=Hypothèses!$V$9,Hypothèses!$W$9,IF(BZ300&lt;=Hypothèses!$V$10,Hypothèses!$W$10,IF(BZ300&lt;=Hypothèses!$V$11,Hypothèses!$W$11,IF(BZ300&lt;=Hypothèses!$V$12,Hypothèses!$W$12,IF(BZ300&lt;=Hypothèses!$V$13,Hypothèses!$W$13,IF(BZ300&lt;=Hypothèses!$V$14,Hypothèses!$W$14,IF(BZ300&lt;=Hypothèses!$V$15,Hypothèses!$W$15,IF(BZ300&lt;=Hypothèses!$V$16,Hypothèses!$W$16,IF(BZ300&lt;=Hypothèses!$V$17,Hypothèses!$W$17,IF(BZ300&lt;=Hypothèses!$V$18,Hypothèses!$W$18,""))))))))))))</f>
        <v>#DIV/0!</v>
      </c>
      <c r="CU300" s="87" t="e">
        <f t="shared" ca="1" si="520"/>
        <v>#DIV/0!</v>
      </c>
      <c r="CV300" s="88" t="e">
        <f ca="1">IF(BZ300&lt;=Hypothèses!$V$7,Hypothèses!$X$7,IF(BZ300&lt;=Hypothèses!$V$8,Hypothèses!$X$8,IF(BZ300&lt;=Hypothèses!$V$9,Hypothèses!$X$9,IF(BZ300&lt;=Hypothèses!$V$10,Hypothèses!$X$10,IF(BZ300&lt;=Hypothèses!$V$11,Hypothèses!$X$11,IF(BZ300&lt;=Hypothèses!$V$12,Hypothèses!$X$12,IF(BZ300&lt;=Hypothèses!$V$13,Hypothèses!$X$13,IF(BZ300&lt;=Hypothèses!$V$14,Hypothèses!$X$14,IF(BZ300&lt;=Hypothèses!$V$15,Hypothèses!$X$15,IF(BZ300&lt;=Hypothèses!$V$16,Hypothèses!$X$16,IF(BZ300&lt;=Hypothèses!$U$17,Hypothèses!$W$17,IF(BZ300&lt;=Hypothèses!$U$18,Hypothèses!$W$18,""))))))))))))</f>
        <v>#DIV/0!</v>
      </c>
      <c r="CW300" s="95" t="e">
        <f t="shared" ca="1" si="485"/>
        <v>#DIV/0!</v>
      </c>
      <c r="CX300" s="101">
        <f t="shared" si="527"/>
        <v>0</v>
      </c>
      <c r="CY300" s="91">
        <f t="shared" si="452"/>
        <v>0</v>
      </c>
      <c r="CZ300" s="30" t="e">
        <f t="shared" si="508"/>
        <v>#N/A</v>
      </c>
      <c r="DA300" s="30" t="e">
        <f t="shared" si="509"/>
        <v>#N/A</v>
      </c>
      <c r="DB300" s="31" t="e">
        <f>IF(OR(Hypothèses!$B$4=17,Hypothèses!$B$4=18,Hypothèses!$B$4=19,Hypothèses!$B$4=20),
IF($D300="Pressio.",
IF(OR($E300=3,$E300=1,$E300=4),DA300,CZ300),
IF($D300="Pénétro.",
IF(OR($E300=3,$E300=1,$E300=4),DA300,CZ300))),IF($D300="Pressio.",
IF($E300=3,DA300,CZ300),
IF($D300="Pénétro.",
IF($E300=4,DA300,CZ300))))</f>
        <v>#N/A</v>
      </c>
      <c r="DC300" s="31">
        <v>0</v>
      </c>
      <c r="DD300" s="102" t="e">
        <f>IF(NDC!$H$10="Oui",(VLOOKUP($B$3,'Coeff EC7'!$T$39:$X$59,2,0)*DB300+VLOOKUP($B$3,'Coeff EC7'!$T$65:$X$85,2,0)*Model0.1T!DC300)/1.5,PI()*CZ$12*$Q300*($B300-$B299)*0.15/10+DD299)</f>
        <v>#N/A</v>
      </c>
      <c r="DE300" s="102" t="e">
        <f>(VLOOKUP($B$3,'Coeff EC7'!$T$39:$X$59,3,0)*DB300+VLOOKUP($B$3,'Coeff EC7'!$T$65:$X$85,3,0)*Model0.1T!DC300)/1.1</f>
        <v>#N/A</v>
      </c>
      <c r="DF300" s="102" t="e">
        <f t="shared" si="486"/>
        <v>#N/A</v>
      </c>
      <c r="DG300" s="102" t="e">
        <f t="shared" si="487"/>
        <v>#N/A</v>
      </c>
      <c r="DH300" s="414" t="e">
        <f>IF(AND(DD300&gt;NDC!$C$63,DE300&gt;NDC!$C$65,DF300&gt;NDC!$D$73,DG300&gt;NDC!$D$74,$B300&gt;NDC!$H$22-0.1+MIN(3*DH$12,1.5)),0,1)</f>
        <v>#N/A</v>
      </c>
      <c r="DI300" s="86" t="b">
        <f t="shared" si="453"/>
        <v>0</v>
      </c>
      <c r="DJ300" s="86">
        <f t="shared" si="454"/>
        <v>0.5</v>
      </c>
      <c r="DK300" s="86">
        <f t="shared" si="455"/>
        <v>0.5</v>
      </c>
      <c r="DL300" s="30" t="e">
        <f t="shared" ca="1" si="488"/>
        <v>#DIV/0!</v>
      </c>
      <c r="DM300" s="85" t="e">
        <f ca="1">IF(CS300&lt;=Hypothèses!$V$7,Hypothèses!$W$7,IF(CS300&lt;=Hypothèses!$V$8,Hypothèses!$W$8,IF(CS300&lt;=Hypothèses!$V$9,Hypothèses!$W$9,IF(CS300&lt;=Hypothèses!$V$10,Hypothèses!$W$10,IF(CS300&lt;=Hypothèses!$V$11,Hypothèses!$W$11,IF(CS300&lt;=Hypothèses!$V$12,Hypothèses!$W$12,IF(CS300&lt;=Hypothèses!$V$13,Hypothèses!$W$13,IF(CS300&lt;=Hypothèses!$V$14,Hypothèses!$W$14,IF(CS300&lt;=Hypothèses!$V$15,Hypothèses!$W$15,IF(CS300&lt;=Hypothèses!$V$16,Hypothèses!$W$16,IF(CS300&lt;=Hypothèses!$V$17,Hypothèses!$W$17,IF(CS300&lt;=Hypothèses!$V$18,Hypothèses!$W$18,""))))))))))))</f>
        <v>#DIV/0!</v>
      </c>
      <c r="DN300" s="87" t="e">
        <f t="shared" ca="1" si="521"/>
        <v>#DIV/0!</v>
      </c>
      <c r="DO300" s="88" t="e">
        <f ca="1">IF(CS300&lt;=Hypothèses!$V$7,Hypothèses!$X$7,IF(CS300&lt;=Hypothèses!$V$8,Hypothèses!$X$8,IF(CS300&lt;=Hypothèses!$V$9,Hypothèses!$X$9,IF(CS300&lt;=Hypothèses!$V$10,Hypothèses!$X$10,IF(CS300&lt;=Hypothèses!$V$11,Hypothèses!$X$11,IF(CS300&lt;=Hypothèses!$V$12,Hypothèses!$X$12,IF(CS300&lt;=Hypothèses!$V$13,Hypothèses!$X$13,IF(CS300&lt;=Hypothèses!$V$14,Hypothèses!$X$14,IF(CS300&lt;=Hypothèses!$V$15,Hypothèses!$X$15,IF(CS300&lt;=Hypothèses!$V$16,Hypothèses!$X$16,IF(CS300&lt;=Hypothèses!$U$17,Hypothèses!$W$17,IF(CS300&lt;=Hypothèses!$U$18,Hypothèses!$W$18,""))))))))))))</f>
        <v>#DIV/0!</v>
      </c>
      <c r="DP300" s="95" t="e">
        <f t="shared" ca="1" si="489"/>
        <v>#DIV/0!</v>
      </c>
      <c r="DQ300" s="101">
        <f t="shared" si="528"/>
        <v>0</v>
      </c>
      <c r="DR300" s="91">
        <f t="shared" si="456"/>
        <v>0</v>
      </c>
      <c r="DS300" s="30" t="e">
        <f t="shared" si="510"/>
        <v>#N/A</v>
      </c>
      <c r="DT300" s="30" t="e">
        <f t="shared" si="511"/>
        <v>#N/A</v>
      </c>
      <c r="DU300" s="31" t="e">
        <f>IF(OR(Hypothèses!$B$4=17,Hypothèses!$B$4=18,Hypothèses!$B$4=19,Hypothèses!$B$4=20),
IF($D300="Pressio.",
IF(OR($E300=3,$E300=1,$E300=4),DT300,DS300),
IF($D300="Pénétro.",
IF(OR($E300=3,$E300=1,$E300=4),DT300,DS300))),IF($D300="Pressio.",
IF($E300=3,DT300,DS300),
IF($D300="Pénétro.",
IF($E300=4,DT300,DS300))))</f>
        <v>#N/A</v>
      </c>
      <c r="DV300" s="31">
        <v>0</v>
      </c>
      <c r="DW300" s="102" t="e">
        <f>IF(NDC!$H$10="Oui",(VLOOKUP($B$3,'Coeff EC7'!$T$39:$X$59,2,0)*DU300+VLOOKUP($B$3,'Coeff EC7'!$T$65:$X$85,2,0)*Model0.1T!DV300)/1.5,PI()*DS$12*$Q300*($B300-$B299)*0.15/10+DW299)</f>
        <v>#N/A</v>
      </c>
      <c r="DX300" s="102" t="e">
        <f>(VLOOKUP($B$3,'Coeff EC7'!$T$39:$X$59,3,0)*DU300+VLOOKUP($B$3,'Coeff EC7'!$T$65:$X$85,3,0)*Model0.1T!DV300)/1.1</f>
        <v>#N/A</v>
      </c>
      <c r="DY300" s="102" t="e">
        <f t="shared" si="490"/>
        <v>#N/A</v>
      </c>
      <c r="DZ300" s="102" t="e">
        <f t="shared" si="491"/>
        <v>#N/A</v>
      </c>
      <c r="EA300" s="414" t="e">
        <f>IF(AND(DW300&gt;NDC!$C$63,DX300&gt;NDC!$C$65,DY300&gt;NDC!$D$73,DZ300&gt;NDC!$D$74,$B300&gt;NDC!$H$22-0.1+MIN(3*EA$12,1.5)),0,1)</f>
        <v>#N/A</v>
      </c>
      <c r="EB300" s="86" t="b">
        <f t="shared" si="457"/>
        <v>0</v>
      </c>
      <c r="EC300" s="418">
        <f t="shared" si="458"/>
        <v>0.51</v>
      </c>
      <c r="ED300" s="86">
        <f t="shared" si="459"/>
        <v>0.51</v>
      </c>
      <c r="EE300" s="30" t="e">
        <f t="shared" ca="1" si="492"/>
        <v>#DIV/0!</v>
      </c>
      <c r="EF300" s="85" t="e">
        <f ca="1">IF(DL300&lt;=Hypothèses!$V$7,Hypothèses!$W$7,IF(DL300&lt;=Hypothèses!$V$8,Hypothèses!$W$8,IF(DL300&lt;=Hypothèses!$V$9,Hypothèses!$W$9,IF(DL300&lt;=Hypothèses!$V$10,Hypothèses!$W$10,IF(DL300&lt;=Hypothèses!$V$11,Hypothèses!$W$11,IF(DL300&lt;=Hypothèses!$V$12,Hypothèses!$W$12,IF(DL300&lt;=Hypothèses!$V$13,Hypothèses!$W$13,IF(DL300&lt;=Hypothèses!$V$14,Hypothèses!$W$14,IF(DL300&lt;=Hypothèses!$V$15,Hypothèses!$W$15,IF(DL300&lt;=Hypothèses!$V$16,Hypothèses!$W$16,IF(DL300&lt;=Hypothèses!$V$17,Hypothèses!$W$17,IF(DL300&lt;=Hypothèses!$V$18,Hypothèses!$W$18,""))))))))))))</f>
        <v>#DIV/0!</v>
      </c>
      <c r="EG300" s="87" t="e">
        <f t="shared" ca="1" si="522"/>
        <v>#DIV/0!</v>
      </c>
      <c r="EH300" s="88" t="e">
        <f ca="1">IF(DL300&lt;=Hypothèses!$V$7,Hypothèses!$X$7,IF(DL300&lt;=Hypothèses!$V$8,Hypothèses!$X$8,IF(DL300&lt;=Hypothèses!$V$9,Hypothèses!$X$9,IF(DL300&lt;=Hypothèses!$V$10,Hypothèses!$X$10,IF(DL300&lt;=Hypothèses!$V$11,Hypothèses!$X$11,IF(DL300&lt;=Hypothèses!$V$12,Hypothèses!$X$12,IF(DL300&lt;=Hypothèses!$V$13,Hypothèses!$X$13,IF(DL300&lt;=Hypothèses!$V$14,Hypothèses!$X$14,IF(DL300&lt;=Hypothèses!$V$15,Hypothèses!$X$15,IF(DL300&lt;=Hypothèses!$V$16,Hypothèses!$X$16,IF(DL300&lt;=Hypothèses!$U$17,Hypothèses!$W$17,IF(DL300&lt;=Hypothèses!$U$18,Hypothèses!$W$18,""))))))))))))</f>
        <v>#DIV/0!</v>
      </c>
      <c r="EI300" s="95" t="e">
        <f t="shared" ca="1" si="493"/>
        <v>#DIV/0!</v>
      </c>
      <c r="EJ300" s="101">
        <f t="shared" si="529"/>
        <v>0</v>
      </c>
      <c r="EK300" s="91">
        <f t="shared" si="460"/>
        <v>0</v>
      </c>
      <c r="EL300" s="30" t="e">
        <f t="shared" si="512"/>
        <v>#N/A</v>
      </c>
      <c r="EM300" s="30" t="e">
        <f t="shared" si="513"/>
        <v>#N/A</v>
      </c>
      <c r="EN300" s="31" t="e">
        <f>IF(OR(Hypothèses!$B$4=17,Hypothèses!$B$4=18,Hypothèses!$B$4=19,Hypothèses!$B$4=20),
IF($D300="Pressio.",
IF(OR($E300=3,$E300=1,$E300=4),EM300,EL300),
IF($D300="Pénétro.",
IF(OR($E300=3,$E300=1,$E300=4),EM300,EL300))),IF($D300="Pressio.",
IF($E300=3,EM300,EL300),
IF($D300="Pénétro.",
IF($E300=4,EM300,EL300))))</f>
        <v>#N/A</v>
      </c>
      <c r="EO300" s="31">
        <v>0</v>
      </c>
      <c r="EP300" s="102" t="e">
        <f>IF(NDC!$H$10="Oui",(VLOOKUP($B$3,'Coeff EC7'!$T$39:$X$59,2,0)*EN300+VLOOKUP($B$3,'Coeff EC7'!$T$65:$X$85,2,0)*Model0.1T!EO300)/1.5,PI()*EL$12*$Q300*($B300-$B299)*0.15/10+EP299)</f>
        <v>#N/A</v>
      </c>
      <c r="EQ300" s="102" t="e">
        <f>(VLOOKUP($B$3,'Coeff EC7'!$T$39:$X$59,3,0)*EN300+VLOOKUP($B$3,'Coeff EC7'!$T$65:$X$85,3,0)*Model0.1T!EO300)/1.1</f>
        <v>#N/A</v>
      </c>
      <c r="ER300" s="102" t="e">
        <f t="shared" si="494"/>
        <v>#N/A</v>
      </c>
      <c r="ES300" s="102" t="e">
        <f t="shared" si="495"/>
        <v>#N/A</v>
      </c>
      <c r="ET300" s="414" t="e">
        <f>IF(AND(EP300&gt;NDC!$C$63,EQ300&gt;NDC!$C$65,ER300&gt;NDC!$D$73,ES300&gt;NDC!$D$74,$B300&gt;NDC!$H$22-0.1+MIN(3*ET$12,1.5)),0,1)</f>
        <v>#N/A</v>
      </c>
      <c r="EU300" s="86" t="b">
        <f t="shared" si="461"/>
        <v>0</v>
      </c>
      <c r="EV300" s="86">
        <f t="shared" si="462"/>
        <v>0.61</v>
      </c>
      <c r="EW300" s="86">
        <f t="shared" si="463"/>
        <v>0.61</v>
      </c>
      <c r="EX300" s="30" t="e">
        <f t="shared" ca="1" si="496"/>
        <v>#DIV/0!</v>
      </c>
      <c r="EY300" s="85" t="e">
        <f ca="1">IF(EE300&lt;=Hypothèses!$V$7,Hypothèses!$W$7,IF(EE300&lt;=Hypothèses!$V$8,Hypothèses!$W$8,IF(EE300&lt;=Hypothèses!$V$9,Hypothèses!$W$9,IF(EE300&lt;=Hypothèses!$V$10,Hypothèses!$W$10,IF(EE300&lt;=Hypothèses!$V$11,Hypothèses!$W$11,IF(EE300&lt;=Hypothèses!$V$12,Hypothèses!$W$12,IF(EE300&lt;=Hypothèses!$V$13,Hypothèses!$W$13,IF(EE300&lt;=Hypothèses!$V$14,Hypothèses!$W$14,IF(EE300&lt;=Hypothèses!$V$15,Hypothèses!$W$15,IF(EE300&lt;=Hypothèses!$V$16,Hypothèses!$W$16,IF(EE300&lt;=Hypothèses!$V$17,Hypothèses!$W$17,IF(EE300&lt;=Hypothèses!$V$18,Hypothèses!$W$18,""))))))))))))</f>
        <v>#DIV/0!</v>
      </c>
      <c r="EZ300" s="87" t="e">
        <f t="shared" ca="1" si="523"/>
        <v>#DIV/0!</v>
      </c>
      <c r="FA300" s="88" t="e">
        <f ca="1">IF(EE300&lt;=Hypothèses!$V$7,Hypothèses!$X$7,IF(EE300&lt;=Hypothèses!$V$8,Hypothèses!$X$8,IF(EE300&lt;=Hypothèses!$V$9,Hypothèses!$X$9,IF(EE300&lt;=Hypothèses!$V$10,Hypothèses!$X$10,IF(EE300&lt;=Hypothèses!$V$11,Hypothèses!$X$11,IF(EE300&lt;=Hypothèses!$V$12,Hypothèses!$X$12,IF(EE300&lt;=Hypothèses!$V$13,Hypothèses!$X$13,IF(EE300&lt;=Hypothèses!$V$14,Hypothèses!$X$14,IF(EE300&lt;=Hypothèses!$V$15,Hypothèses!$X$15,IF(EE300&lt;=Hypothèses!$V$16,Hypothèses!$X$16,IF(EE300&lt;=Hypothèses!$U$17,Hypothèses!$W$17,IF(EE300&lt;=Hypothèses!$U$18,Hypothèses!$W$18,""))))))))))))</f>
        <v>#DIV/0!</v>
      </c>
      <c r="FB300" s="95" t="e">
        <f t="shared" ca="1" si="497"/>
        <v>#DIV/0!</v>
      </c>
      <c r="FC300" s="101">
        <f t="shared" si="530"/>
        <v>0</v>
      </c>
      <c r="FD300" s="91">
        <f t="shared" si="464"/>
        <v>0</v>
      </c>
      <c r="FE300" s="30" t="e">
        <f t="shared" si="514"/>
        <v>#N/A</v>
      </c>
      <c r="FF300" s="30" t="e">
        <f t="shared" si="515"/>
        <v>#N/A</v>
      </c>
      <c r="FG300" s="31" t="e">
        <f>IF(OR(Hypothèses!$B$4=17,Hypothèses!$B$4=18,Hypothèses!$B$4=19,Hypothèses!$B$4=20),
IF($D300="Pressio.",
IF(OR($E300=3,$E300=1,$E300=4),FF300,FE300),
IF($D300="Pénétro.",
IF(OR($E300=3,$E300=1,$E300=4),FF300,FE300))),IF($D300="Pressio.",
IF($E300=3,FF300,FE300),
IF($D300="Pénétro.",
IF($E300=4,FF300,FE300))))</f>
        <v>#N/A</v>
      </c>
      <c r="FH300" s="31">
        <v>0</v>
      </c>
      <c r="FI300" s="102" t="e">
        <f>IF(NDC!$H$10="Oui",(VLOOKUP($B$3,'Coeff EC7'!$T$39:$X$59,2,0)*FG300+VLOOKUP($B$3,'Coeff EC7'!$T$65:$X$85,2,0)*Model0.1T!FH300)/1.5,PI()*FE$12*$Q300*($B300-$B299)*0.15/10+FI299)</f>
        <v>#N/A</v>
      </c>
      <c r="FJ300" s="102" t="e">
        <f>(VLOOKUP($B$3,'Coeff EC7'!$T$39:$X$59,3,0)*FG300+VLOOKUP($B$3,'Coeff EC7'!$T$65:$X$85,3,0)*Model0.1T!FH300)/1.1</f>
        <v>#N/A</v>
      </c>
      <c r="FK300" s="102" t="e">
        <f t="shared" si="498"/>
        <v>#N/A</v>
      </c>
      <c r="FL300" s="102" t="e">
        <f t="shared" si="499"/>
        <v>#N/A</v>
      </c>
      <c r="FM300" s="414" t="e">
        <f>IF(AND(FI300&gt;NDC!$C$63,FJ300&gt;NDC!$C$65,FK300&gt;NDC!$D$73,FL300&gt;NDC!$D$74,$B300&gt;NDC!$H$22-0.1+MIN(3*FM$12,1.5)),0,1)</f>
        <v>#N/A</v>
      </c>
    </row>
    <row r="301" spans="1:169">
      <c r="A301" s="96">
        <f t="shared" si="465"/>
        <v>71.200000000001637</v>
      </c>
      <c r="B301" s="97">
        <v>28.8</v>
      </c>
      <c r="C301" s="81">
        <f>IF(B301&lt;=Hypothèses!$C$7,Hypothèses!$A$7,IF(B301&lt;=Hypothèses!$C$8,Hypothèses!$A$8,IF(B301&lt;=Hypothèses!$C$9,Hypothèses!$A$9,IF(B301&lt;=Hypothèses!$C$10,Hypothèses!$A$10,IF(B301&lt;=Hypothèses!$C$11,Hypothèses!$A$11,IF(B301&lt;=Hypothèses!$C$12,Hypothèses!$A$12,IF(B301&lt;=Hypothèses!$C$13,Hypothèses!$A$13,IF(B301&lt;=Hypothèses!$C$14,Hypothèses!$A$14,IF(B301&lt;=Hypothèses!$C$15,Hypothèses!$A$15,IF(B301&lt;=Hypothèses!$C$16,Hypothèses!$A$16,IF(B301&lt;=Hypothèses!$C$17,Hypothèses!$A$17,IF(B301&lt;=Hypothèses!$C$18,Hypothèses!$A$18,C300))))))))))))</f>
        <v>11</v>
      </c>
      <c r="D301" s="82" t="str">
        <f>IF(B301&lt;=Hypothèses!$C$7,Hypothèses!$R$7,IF(B301&lt;=Hypothèses!$C$8,Hypothèses!$R$8,IF(B301&lt;=Hypothèses!$C$9,Hypothèses!$R$9,IF(B301&lt;=Hypothèses!$C$10,Hypothèses!$R$10,IF(B301&lt;=Hypothèses!$C$11,Hypothèses!$R$11,IF(B301&lt;=Hypothèses!$C$12,Hypothèses!$R$12,IF(B301&lt;=Hypothèses!$C$13,Hypothèses!$R$13,IF(B301&lt;=Hypothèses!$C$14,Hypothèses!$R$14,IF(B301&lt;=Hypothèses!$C$15,Hypothèses!$R$15,IF(B301&lt;=Hypothèses!$C$16,Hypothèses!$R$16,IF(B301&lt;=Hypothèses!$C$17,Hypothèses!$R$17,IF(B301&lt;=Hypothèses!$C$18,Hypothèses!$R$18,D300))))))))))))</f>
        <v>Pressio.</v>
      </c>
      <c r="E301" s="82" t="e">
        <f>IF(B301&lt;=Hypothèses!$C$7,Hypothèses!$G$7,IF(B301&lt;=Hypothèses!$C$8,Hypothèses!$G$8,IF(B301&lt;=Hypothèses!$C$9,Hypothèses!$G$9,IF(B301&lt;=Hypothèses!$C$10,Hypothèses!$G$10,IF(B301&lt;=Hypothèses!$C$11,Hypothèses!$G$11,IF(B301&lt;=Hypothèses!$C$12,Hypothèses!$G$12,IF(B301&lt;=Hypothèses!$C$13,Hypothèses!$G$13,IF(B301&lt;=Hypothèses!$C$14,Hypothèses!$G$14,IF(B301&lt;=Hypothèses!$C$15,Hypothèses!$G$15,IF(B301&lt;=Hypothèses!$C$16,Hypothèses!$G$16,IF(B301&lt;=Hypothèses!$C$17,Hypothèses!$G$17,IF(B301&lt;=Hypothèses!$C$18,Hypothèses!$G$18,E300))))))))))))</f>
        <v>#N/A</v>
      </c>
      <c r="F301" s="82" t="str">
        <f>IF(B301&lt;=Hypothèses!$C$7,Hypothèses!$F$7,IF(B301&lt;=Hypothèses!$C$8,Hypothèses!$F$8,IF(B301&lt;=Hypothèses!$C$9,Hypothèses!$F$9,IF(B301&lt;=Hypothèses!$C$10,Hypothèses!$F$10,IF(B301&lt;=Hypothèses!$C$11,Hypothèses!$F$11,IF(B301&lt;=Hypothèses!$C$12,Hypothèses!$F$12,IF(B301&lt;=Hypothèses!$C$13,Hypothèses!$F$13,IF(B301&lt;=Hypothèses!$C$14,Hypothèses!$F$14,IF(B301&lt;=Hypothèses!$C$15,Hypothèses!$F$15,IF(B301&lt;=Hypothèses!$C$16,Hypothèses!$F$16,IF(B301&lt;=Hypothèses!$C$17,Hypothèses!$F$17,IF(B301&lt;=Hypothèses!$C$18,Hypothèses!$F$18,F300))))))))))))</f>
        <v/>
      </c>
      <c r="G301" s="91">
        <f t="array" ref="G301">INDEX('Coeff EC7'!$U$7:$X$27,
MATCH(Model0.1T!$B$3,'Coeff EC7'!$T$7:$T$27,0),
MATCH(Model0.1T!$D301&amp;Model0.1T!$B$4,
'Coeff EC7'!$U$6:$X$6&amp;
'Coeff EC7'!$U$5:$X$5,0))</f>
        <v>1.4</v>
      </c>
      <c r="H301" s="91">
        <f t="array" ref="H301">INDEX('Coeff EC7'!$Y$7:$AB$27,
MATCH(Model0.1T!$B$3,'Coeff EC7'!$T$7:$T$27,0),
MATCH(Model0.1T!$D301&amp;Model0.1T!$B$4,
'Coeff EC7'!$Y$6:$AB$6&amp;
'Coeff EC7'!$Y$5:$AB$5,0))</f>
        <v>1.7</v>
      </c>
      <c r="I301" s="83">
        <v>0</v>
      </c>
      <c r="J301" s="91" t="e">
        <f t="array" ref="J301">INDEX('Coeff EC7'!$D$33:$Q$33,1,MATCH(D301&amp;E301,'Coeff EC7'!$D$31:$Q$31&amp;'Coeff EC7'!$D$32:$Q$32,0))</f>
        <v>#N/A</v>
      </c>
      <c r="K301" s="91" t="e">
        <f t="array" ref="K301">INDEX('Coeff EC7'!$D$34:$Q$34,1,MATCH(D301&amp;E301,'Coeff EC7'!$D$31:$Q$31&amp;'Coeff EC7'!$D$32:$Q$32,0))</f>
        <v>#N/A</v>
      </c>
      <c r="L301" s="91" t="e">
        <f t="array" ref="L301">INDEX('Coeff EC7'!$D$35:$Q$35,1,MATCH(D301&amp;E301,'Coeff EC7'!$D$31:$Q$31&amp;'Coeff EC7'!$D$32:$Q$32,0))</f>
        <v>#N/A</v>
      </c>
      <c r="M301" s="98" t="e">
        <f t="shared" si="431"/>
        <v>#N/A</v>
      </c>
      <c r="N301" s="99" t="e">
        <f t="array" ref="N301">INDEX('Coeff EC7'!$D$7:$Q$27,MATCH($B$3,'Coeff EC7'!$C$7:$C$27,0),MATCH(D301&amp;E301,'Coeff EC7'!$D$5:$Q$5&amp;'Coeff EC7'!$D$6:$Q$6,0))</f>
        <v>#N/A</v>
      </c>
      <c r="O301" s="99" t="e">
        <f t="array" ref="O301">INDEX('Coeff EC7'!$D$41:$Q$61,MATCH($B$3,'Coeff EC7'!$C$41:$C$61,0),MATCH(D301&amp;E301,'Coeff EC7'!$D$39:$Q$39&amp;'Coeff EC7'!$D$40:$Q$40,0))</f>
        <v>#N/A</v>
      </c>
      <c r="P301" s="30" t="e">
        <f t="shared" si="466"/>
        <v>#N/A</v>
      </c>
      <c r="Q301" s="100" t="e">
        <f t="shared" si="433"/>
        <v>#N/A</v>
      </c>
      <c r="R301" s="86" t="b">
        <f t="shared" si="434"/>
        <v>0</v>
      </c>
      <c r="S301" s="86">
        <f t="shared" si="432"/>
        <v>0.5</v>
      </c>
      <c r="T301" s="86">
        <f t="shared" si="435"/>
        <v>0.5</v>
      </c>
      <c r="U301" s="30" t="e">
        <f t="shared" ca="1" si="467"/>
        <v>#DIV/0!</v>
      </c>
      <c r="V301" s="85" t="str">
        <f>IF(B301&lt;=Hypothèses!$V$7,Hypothèses!$W$7,IF(B301&lt;=Hypothèses!$V$8,Hypothèses!$W$8,IF(B301&lt;=Hypothèses!$V$9,Hypothèses!$W$9,IF(B301&lt;=Hypothèses!$V$10,Hypothèses!$W$10,IF(B301&lt;=Hypothèses!$V$11,Hypothèses!$W$11,IF(B301&lt;=Hypothèses!$V$12,Hypothèses!$W$12,IF(B301&lt;=Hypothèses!$V$13,Hypothèses!$W$13,IF(B301&lt;=Hypothèses!$V$14,Hypothèses!$W$14,IF(B301&lt;=Hypothèses!$V$15,Hypothèses!$W$15,IF(B301&lt;=Hypothèses!$V$16,Hypothèses!$W$16,IF(B301&lt;=Hypothèses!$V$17,Hypothèses!$W$17,IF(B301&lt;=Hypothèses!$V$18,Hypothèses!$W$18,""))))))))))))</f>
        <v/>
      </c>
      <c r="W301" s="87" t="e">
        <f t="shared" ca="1" si="516"/>
        <v>#DIV/0!</v>
      </c>
      <c r="X301" s="88" t="str">
        <f>IF(B301&lt;=Hypothèses!$V$7,Hypothèses!$X$7,IF(B301&lt;=Hypothèses!$V$8,Hypothèses!$X$8,IF(B301&lt;=Hypothèses!$V$9,Hypothèses!$X$9,IF(B301&lt;=Hypothèses!$V$10,Hypothèses!$X$10,IF(B301&lt;=Hypothèses!$V$11,Hypothèses!$X$11,IF(B301&lt;=Hypothèses!$V$12,Hypothèses!$X$12,IF(B301&lt;=Hypothèses!$V$13,Hypothèses!$X$13,IF(B301&lt;=Hypothèses!$V$14,Hypothèses!$X$14,IF(B301&lt;=Hypothèses!$V$15,Hypothèses!$X$15,IF(B301&lt;=Hypothèses!$V$16,Hypothèses!$X$16,IF(B301&lt;=Hypothèses!$U$17,Hypothèses!$W$17,IF(B301&lt;=Hypothèses!$U$18,Hypothèses!$W$18,""))))))))))))</f>
        <v/>
      </c>
      <c r="Y301" s="95" t="e">
        <f t="shared" ca="1" si="436"/>
        <v>#DIV/0!</v>
      </c>
      <c r="Z301" s="101">
        <f t="shared" si="437"/>
        <v>0</v>
      </c>
      <c r="AA301" s="91">
        <f t="shared" si="438"/>
        <v>0</v>
      </c>
      <c r="AB301" s="30" t="e">
        <f t="shared" si="500"/>
        <v>#N/A</v>
      </c>
      <c r="AC301" s="30" t="e">
        <f t="shared" si="501"/>
        <v>#N/A</v>
      </c>
      <c r="AD301" s="31" t="e">
        <f>IF(OR(Hypothèses!$B$4=17,Hypothèses!$B$4=18,Hypothèses!$B$4=19,Hypothèses!$B$4=20),
IF($D301="Pressio.",
IF(OR($E301=3,$E301=1,$E301=4),AC301,AB301),
IF($D301="Pénétro.",
IF(OR($E301=3,$E301=1,$E301=4),AC301,AB301))),IF($D301="Pressio.",
IF($E301=3,AC301,AB301),
IF($D301="Pénétro.",
IF($E301=4,AC301,AB301))))</f>
        <v>#N/A</v>
      </c>
      <c r="AE301" s="31">
        <v>0</v>
      </c>
      <c r="AF301" s="102" t="e">
        <f>IF(NDC!$H$10="Oui",(VLOOKUP($B$3,'Coeff EC7'!$T$39:$X$59,2,0)*AD301+VLOOKUP($B$3,'Coeff EC7'!$T$65:$X$85,2,0)*Model0.1T!AE301)/1.5,PI()*AB$12*$Q301*($B301-$B300)*0.15/10+AF300)</f>
        <v>#N/A</v>
      </c>
      <c r="AG301" s="102" t="e">
        <f>(VLOOKUP($B$3,'Coeff EC7'!$T$39:$X$59,3,0)*AD301+VLOOKUP($B$3,'Coeff EC7'!$T$65:$X$85,3,0)*Model0.1T!AE301)/1.1</f>
        <v>#N/A</v>
      </c>
      <c r="AH301" s="102" t="e">
        <f t="shared" si="468"/>
        <v>#N/A</v>
      </c>
      <c r="AI301" s="102" t="e">
        <f t="shared" si="469"/>
        <v>#N/A</v>
      </c>
      <c r="AJ301" s="414" t="e">
        <f>IF(AND(AF301&gt;NDC!$C$63,AG301&gt;NDC!$C$65,AH301&gt;NDC!$D$73,AI301&gt;NDC!$D$74,$B301&gt;NDC!$H$22-0.1+MIN(3*$AJ$12,1.5)),0,1)</f>
        <v>#N/A</v>
      </c>
      <c r="AK301" s="86" t="b">
        <f t="shared" si="439"/>
        <v>0</v>
      </c>
      <c r="AL301" s="86">
        <f t="shared" si="470"/>
        <v>0.5</v>
      </c>
      <c r="AM301" s="86">
        <f t="shared" si="440"/>
        <v>0.5</v>
      </c>
      <c r="AN301" s="30" t="e">
        <f t="shared" ca="1" si="471"/>
        <v>#DIV/0!</v>
      </c>
      <c r="AO301" s="85" t="e">
        <f ca="1">IF(U301&lt;=Hypothèses!$V$7,Hypothèses!$W$7,IF(U301&lt;=Hypothèses!$V$8,Hypothèses!$W$8,IF(U301&lt;=Hypothèses!$V$9,Hypothèses!$W$9,IF(U301&lt;=Hypothèses!$V$10,Hypothèses!$W$10,IF(U301&lt;=Hypothèses!$V$11,Hypothèses!$W$11,IF(U301&lt;=Hypothèses!$V$12,Hypothèses!$W$12,IF(U301&lt;=Hypothèses!$V$13,Hypothèses!$W$13,IF(U301&lt;=Hypothèses!$V$14,Hypothèses!$W$14,IF(U301&lt;=Hypothèses!$V$15,Hypothèses!$W$15,IF(U301&lt;=Hypothèses!$V$16,Hypothèses!$W$16,IF(U301&lt;=Hypothèses!$V$17,Hypothèses!$W$17,IF(U301&lt;=Hypothèses!$V$18,Hypothèses!$W$18,""))))))))))))</f>
        <v>#DIV/0!</v>
      </c>
      <c r="AP301" s="87" t="e">
        <f t="shared" ca="1" si="517"/>
        <v>#DIV/0!</v>
      </c>
      <c r="AQ301" s="88" t="e">
        <f ca="1">IF(U301&lt;=Hypothèses!$V$7,Hypothèses!$X$7,IF(U301&lt;=Hypothèses!$V$8,Hypothèses!$X$8,IF(U301&lt;=Hypothèses!$V$9,Hypothèses!$X$9,IF(U301&lt;=Hypothèses!$V$10,Hypothèses!$X$10,IF(U301&lt;=Hypothèses!$V$11,Hypothèses!$X$11,IF(U301&lt;=Hypothèses!$V$12,Hypothèses!$X$12,IF(U301&lt;=Hypothèses!$V$13,Hypothèses!$X$13,IF(U301&lt;=Hypothèses!$V$14,Hypothèses!$X$14,IF(U301&lt;=Hypothèses!$V$15,Hypothèses!$X$15,IF(U301&lt;=Hypothèses!$V$16,Hypothèses!$X$16,IF(U301&lt;=Hypothèses!$U$17,Hypothèses!$W$17,IF(U301&lt;=Hypothèses!$U$18,Hypothèses!$W$18,""))))))))))))</f>
        <v>#DIV/0!</v>
      </c>
      <c r="AR301" s="95" t="e">
        <f t="shared" ca="1" si="472"/>
        <v>#DIV/0!</v>
      </c>
      <c r="AS301" s="101">
        <f t="shared" si="524"/>
        <v>0</v>
      </c>
      <c r="AT301" s="91">
        <f t="shared" si="441"/>
        <v>0</v>
      </c>
      <c r="AU301" s="30" t="e">
        <f t="shared" si="502"/>
        <v>#N/A</v>
      </c>
      <c r="AV301" s="30" t="e">
        <f t="shared" si="503"/>
        <v>#N/A</v>
      </c>
      <c r="AW301" s="31" t="e">
        <f>IF(OR(Hypothèses!$B$4=17,Hypothèses!$B$4=18,Hypothèses!$B$4=19,Hypothèses!$B$4=20),
IF($D301="Pressio.",
IF(OR($E301=3,$E301=1,$E301=4),AV301,AU301),
IF($D301="Pénétro.",
IF(OR($E301=3,$E301=1,$E301=4),AV301,AU301))),IF($D301="Pressio.",
IF($E301=3,AV301,AU301),
IF($D301="Pénétro.",
IF($E301=4,AV301,AU301))))</f>
        <v>#N/A</v>
      </c>
      <c r="AX301" s="31">
        <v>0</v>
      </c>
      <c r="AY301" s="102" t="e">
        <f>IF(NDC!$H$10="Oui",(VLOOKUP($B$3,'Coeff EC7'!$T$39:$X$59,2,0)*AW301+VLOOKUP($B$3,'Coeff EC7'!$T$65:$X$85,2,0)*Model0.1T!AX301)/1.5,PI()*AU$12*$Q301*($B301-$B300)*0.15/10+AY300)</f>
        <v>#N/A</v>
      </c>
      <c r="AZ301" s="102" t="e">
        <f>(VLOOKUP($B$3,'Coeff EC7'!$T$39:$X$59,3,0)*AW301+VLOOKUP($B$3,'Coeff EC7'!$T$65:$X$85,3,0)*Model0.1T!AX301)/1.1</f>
        <v>#N/A</v>
      </c>
      <c r="BA301" s="102" t="e">
        <f t="shared" si="473"/>
        <v>#N/A</v>
      </c>
      <c r="BB301" s="102" t="e">
        <f t="shared" si="474"/>
        <v>#N/A</v>
      </c>
      <c r="BC301" s="414" t="e">
        <f>IF(AND(AY301&gt;NDC!$C$63,AZ301&gt;NDC!$C$65,BA301&gt;NDC!$D$73,BB301&gt;NDC!$D$74,$B301&gt;NDC!$H$22-0.1+MIN(3*BC$12,1.5)),0,1)</f>
        <v>#N/A</v>
      </c>
      <c r="BD301" s="86" t="b">
        <f t="shared" si="442"/>
        <v>0</v>
      </c>
      <c r="BE301" s="86">
        <f t="shared" si="475"/>
        <v>0.5</v>
      </c>
      <c r="BF301" s="86">
        <f t="shared" si="443"/>
        <v>0.5</v>
      </c>
      <c r="BG301" s="30" t="e">
        <f t="shared" ca="1" si="476"/>
        <v>#DIV/0!</v>
      </c>
      <c r="BH301" s="85" t="e">
        <f ca="1">IF(AN301&lt;=Hypothèses!$V$7,Hypothèses!$W$7,IF(AN301&lt;=Hypothèses!$V$8,Hypothèses!$W$8,IF(AN301&lt;=Hypothèses!$V$9,Hypothèses!$W$9,IF(AN301&lt;=Hypothèses!$V$10,Hypothèses!$W$10,IF(AN301&lt;=Hypothèses!$V$11,Hypothèses!$W$11,IF(AN301&lt;=Hypothèses!$V$12,Hypothèses!$W$12,IF(AN301&lt;=Hypothèses!$V$13,Hypothèses!$W$13,IF(AN301&lt;=Hypothèses!$V$14,Hypothèses!$W$14,IF(AN301&lt;=Hypothèses!$V$15,Hypothèses!$W$15,IF(AN301&lt;=Hypothèses!$V$16,Hypothèses!$W$16,IF(AN301&lt;=Hypothèses!$V$17,Hypothèses!$W$17,IF(AN301&lt;=Hypothèses!$V$18,Hypothèses!$W$18,""))))))))))))</f>
        <v>#DIV/0!</v>
      </c>
      <c r="BI301" s="87" t="e">
        <f t="shared" ca="1" si="518"/>
        <v>#DIV/0!</v>
      </c>
      <c r="BJ301" s="88" t="e">
        <f ca="1">IF(AN301&lt;=Hypothèses!$V$7,Hypothèses!$X$7,IF(AN301&lt;=Hypothèses!$V$8,Hypothèses!$X$8,IF(AN301&lt;=Hypothèses!$V$9,Hypothèses!$X$9,IF(AN301&lt;=Hypothèses!$V$10,Hypothèses!$X$10,IF(AN301&lt;=Hypothèses!$V$11,Hypothèses!$X$11,IF(AN301&lt;=Hypothèses!$V$12,Hypothèses!$X$12,IF(AN301&lt;=Hypothèses!$V$13,Hypothèses!$X$13,IF(AN301&lt;=Hypothèses!$V$14,Hypothèses!$X$14,IF(AN301&lt;=Hypothèses!$V$15,Hypothèses!$X$15,IF(AN301&lt;=Hypothèses!$V$16,Hypothèses!$X$16,IF(AN301&lt;=Hypothèses!$U$17,Hypothèses!$W$17,IF(AN301&lt;=Hypothèses!$U$18,Hypothèses!$W$18,""))))))))))))</f>
        <v>#DIV/0!</v>
      </c>
      <c r="BK301" s="95" t="e">
        <f t="shared" ca="1" si="477"/>
        <v>#DIV/0!</v>
      </c>
      <c r="BL301" s="101">
        <f t="shared" si="525"/>
        <v>0</v>
      </c>
      <c r="BM301" s="91">
        <f t="shared" si="444"/>
        <v>0</v>
      </c>
      <c r="BN301" s="30" t="e">
        <f t="shared" si="504"/>
        <v>#N/A</v>
      </c>
      <c r="BO301" s="30" t="e">
        <f t="shared" si="505"/>
        <v>#N/A</v>
      </c>
      <c r="BP301" s="31" t="e">
        <f>IF(OR(Hypothèses!$B$4=17,Hypothèses!$B$4=18,Hypothèses!$B$4=19,Hypothèses!$B$4=20),
IF($D301="Pressio.",
IF(OR($E301=3,$E301=1,$E301=4),BO301,BN301),
IF($D301="Pénétro.",
IF(OR($E301=3,$E301=1,$E301=4),BO301,BN301))),IF($D301="Pressio.",
IF($E301=3,BO301,BN301),
IF($D301="Pénétro.",
IF($E301=4,BO301,BN301))))</f>
        <v>#N/A</v>
      </c>
      <c r="BQ301" s="31">
        <v>0</v>
      </c>
      <c r="BR301" s="102" t="e">
        <f>IF(NDC!$H$10="Oui",(VLOOKUP($B$3,'Coeff EC7'!$T$39:$X$59,2,0)*BP301+VLOOKUP($B$3,'Coeff EC7'!$T$65:$X$85,2,0)*Model0.1T!BQ301)/1.5,PI()*BN$12*$Q301*($B301-$B300)*0.15/10+BR300)</f>
        <v>#N/A</v>
      </c>
      <c r="BS301" s="102" t="e">
        <f>(VLOOKUP($B$3,'Coeff EC7'!$T$39:$X$59,3,0)*BP301+VLOOKUP($B$3,'Coeff EC7'!$T$65:$X$85,3,0)*Model0.1T!BQ301)/1.1</f>
        <v>#N/A</v>
      </c>
      <c r="BT301" s="102" t="e">
        <f t="shared" si="478"/>
        <v>#N/A</v>
      </c>
      <c r="BU301" s="102" t="e">
        <f t="shared" si="479"/>
        <v>#N/A</v>
      </c>
      <c r="BV301" s="414" t="e">
        <f>IF(AND(BR301&gt;NDC!$C$63,BS301&gt;NDC!$C$65,BT301&gt;NDC!$D$73,BU301&gt;NDC!$D$74,$B301&gt;NDC!$H$22-0.1+MIN(3*BV$12,1.5)),0,1)</f>
        <v>#N/A</v>
      </c>
      <c r="BW301" s="86" t="b">
        <f t="shared" si="445"/>
        <v>0</v>
      </c>
      <c r="BX301" s="86">
        <f t="shared" si="446"/>
        <v>0.5</v>
      </c>
      <c r="BY301" s="86">
        <f t="shared" si="447"/>
        <v>0.5</v>
      </c>
      <c r="BZ301" s="30" t="e">
        <f t="shared" ca="1" si="480"/>
        <v>#DIV/0!</v>
      </c>
      <c r="CA301" s="85" t="e">
        <f ca="1">IF(BG301&lt;=Hypothèses!$V$7,Hypothèses!$W$7,IF(BG301&lt;=Hypothèses!$V$8,Hypothèses!$W$8,IF(BG301&lt;=Hypothèses!$V$9,Hypothèses!$W$9,IF(BG301&lt;=Hypothèses!$V$10,Hypothèses!$W$10,IF(BG301&lt;=Hypothèses!$V$11,Hypothèses!$W$11,IF(BG301&lt;=Hypothèses!$V$12,Hypothèses!$W$12,IF(BG301&lt;=Hypothèses!$V$13,Hypothèses!$W$13,IF(BG301&lt;=Hypothèses!$V$14,Hypothèses!$W$14,IF(BG301&lt;=Hypothèses!$V$15,Hypothèses!$W$15,IF(BG301&lt;=Hypothèses!$V$16,Hypothèses!$W$16,IF(BG301&lt;=Hypothèses!$V$17,Hypothèses!$W$17,IF(BG301&lt;=Hypothèses!$V$18,Hypothèses!$W$18,""))))))))))))</f>
        <v>#DIV/0!</v>
      </c>
      <c r="CB301" s="87" t="e">
        <f t="shared" ca="1" si="519"/>
        <v>#DIV/0!</v>
      </c>
      <c r="CC301" s="88" t="e">
        <f ca="1">IF(BG301&lt;=Hypothèses!$V$7,Hypothèses!$X$7,IF(BG301&lt;=Hypothèses!$V$8,Hypothèses!$X$8,IF(BG301&lt;=Hypothèses!$V$9,Hypothèses!$X$9,IF(BG301&lt;=Hypothèses!$V$10,Hypothèses!$X$10,IF(BG301&lt;=Hypothèses!$V$11,Hypothèses!$X$11,IF(BG301&lt;=Hypothèses!$V$12,Hypothèses!$X$12,IF(BG301&lt;=Hypothèses!$V$13,Hypothèses!$X$13,IF(BG301&lt;=Hypothèses!$V$14,Hypothèses!$X$14,IF(BG301&lt;=Hypothèses!$V$15,Hypothèses!$X$15,IF(BG301&lt;=Hypothèses!$V$16,Hypothèses!$X$16,IF(BG301&lt;=Hypothèses!$U$17,Hypothèses!$W$17,IF(BG301&lt;=Hypothèses!$U$18,Hypothèses!$W$18,""))))))))))))</f>
        <v>#DIV/0!</v>
      </c>
      <c r="CD301" s="95" t="e">
        <f t="shared" ca="1" si="481"/>
        <v>#DIV/0!</v>
      </c>
      <c r="CE301" s="101">
        <f t="shared" si="526"/>
        <v>0</v>
      </c>
      <c r="CF301" s="91">
        <f t="shared" si="448"/>
        <v>0</v>
      </c>
      <c r="CG301" s="30" t="e">
        <f t="shared" si="506"/>
        <v>#N/A</v>
      </c>
      <c r="CH301" s="30" t="e">
        <f t="shared" si="507"/>
        <v>#N/A</v>
      </c>
      <c r="CI301" s="31" t="e">
        <f>IF(OR(Hypothèses!$B$4=17,Hypothèses!$B$4=18,Hypothèses!$B$4=19,Hypothèses!$B$4=20),
IF($D301="Pressio.",
IF(OR($E301=3,$E301=1,$E301=4),CH301,CG301),
IF($D301="Pénétro.",
IF(OR($E301=3,$E301=1,$E301=4),CH301,CG301))),IF($D301="Pressio.",
IF($E301=3,CH301,CG301),
IF($D301="Pénétro.",
IF($E301=4,CH301,CG301))))</f>
        <v>#N/A</v>
      </c>
      <c r="CJ301" s="31">
        <v>0</v>
      </c>
      <c r="CK301" s="102" t="e">
        <f>IF(NDC!$H$10="Oui",(VLOOKUP($B$3,'Coeff EC7'!$T$39:$X$59,2,0)*CI301+VLOOKUP($B$3,'Coeff EC7'!$T$65:$X$85,2,0)*Model0.1T!CJ301)/1.5,PI()*CG$12*$Q301*($B301-$B300)*0.15/10+CK300)</f>
        <v>#N/A</v>
      </c>
      <c r="CL301" s="102" t="e">
        <f>(VLOOKUP($B$3,'Coeff EC7'!$T$39:$X$59,3,0)*CI301+VLOOKUP($B$3,'Coeff EC7'!$T$65:$X$85,3,0)*Model0.1T!CJ301)/1.1</f>
        <v>#N/A</v>
      </c>
      <c r="CM301" s="102" t="e">
        <f t="shared" si="482"/>
        <v>#N/A</v>
      </c>
      <c r="CN301" s="102" t="e">
        <f t="shared" si="483"/>
        <v>#N/A</v>
      </c>
      <c r="CO301" s="414" t="e">
        <f>IF(AND(CK301&gt;NDC!$C$63,CL301&gt;NDC!$C$65,CM301&gt;NDC!$D$73,CN301&gt;NDC!$D$74,$B301&gt;NDC!$H$22-0.1+MIN(3*CO$12,1.5)),0,1)</f>
        <v>#N/A</v>
      </c>
      <c r="CP301" s="86" t="b">
        <f t="shared" si="449"/>
        <v>0</v>
      </c>
      <c r="CQ301" s="86">
        <f t="shared" si="450"/>
        <v>0.5</v>
      </c>
      <c r="CR301" s="86">
        <f t="shared" si="451"/>
        <v>0.5</v>
      </c>
      <c r="CS301" s="30" t="e">
        <f t="shared" ca="1" si="484"/>
        <v>#DIV/0!</v>
      </c>
      <c r="CT301" s="85" t="e">
        <f ca="1">IF(BZ301&lt;=Hypothèses!$V$7,Hypothèses!$W$7,IF(BZ301&lt;=Hypothèses!$V$8,Hypothèses!$W$8,IF(BZ301&lt;=Hypothèses!$V$9,Hypothèses!$W$9,IF(BZ301&lt;=Hypothèses!$V$10,Hypothèses!$W$10,IF(BZ301&lt;=Hypothèses!$V$11,Hypothèses!$W$11,IF(BZ301&lt;=Hypothèses!$V$12,Hypothèses!$W$12,IF(BZ301&lt;=Hypothèses!$V$13,Hypothèses!$W$13,IF(BZ301&lt;=Hypothèses!$V$14,Hypothèses!$W$14,IF(BZ301&lt;=Hypothèses!$V$15,Hypothèses!$W$15,IF(BZ301&lt;=Hypothèses!$V$16,Hypothèses!$W$16,IF(BZ301&lt;=Hypothèses!$V$17,Hypothèses!$W$17,IF(BZ301&lt;=Hypothèses!$V$18,Hypothèses!$W$18,""))))))))))))</f>
        <v>#DIV/0!</v>
      </c>
      <c r="CU301" s="87" t="e">
        <f t="shared" ca="1" si="520"/>
        <v>#DIV/0!</v>
      </c>
      <c r="CV301" s="88" t="e">
        <f ca="1">IF(BZ301&lt;=Hypothèses!$V$7,Hypothèses!$X$7,IF(BZ301&lt;=Hypothèses!$V$8,Hypothèses!$X$8,IF(BZ301&lt;=Hypothèses!$V$9,Hypothèses!$X$9,IF(BZ301&lt;=Hypothèses!$V$10,Hypothèses!$X$10,IF(BZ301&lt;=Hypothèses!$V$11,Hypothèses!$X$11,IF(BZ301&lt;=Hypothèses!$V$12,Hypothèses!$X$12,IF(BZ301&lt;=Hypothèses!$V$13,Hypothèses!$X$13,IF(BZ301&lt;=Hypothèses!$V$14,Hypothèses!$X$14,IF(BZ301&lt;=Hypothèses!$V$15,Hypothèses!$X$15,IF(BZ301&lt;=Hypothèses!$V$16,Hypothèses!$X$16,IF(BZ301&lt;=Hypothèses!$U$17,Hypothèses!$W$17,IF(BZ301&lt;=Hypothèses!$U$18,Hypothèses!$W$18,""))))))))))))</f>
        <v>#DIV/0!</v>
      </c>
      <c r="CW301" s="95" t="e">
        <f t="shared" ca="1" si="485"/>
        <v>#DIV/0!</v>
      </c>
      <c r="CX301" s="101">
        <f t="shared" si="527"/>
        <v>0</v>
      </c>
      <c r="CY301" s="91">
        <f t="shared" si="452"/>
        <v>0</v>
      </c>
      <c r="CZ301" s="30" t="e">
        <f t="shared" si="508"/>
        <v>#N/A</v>
      </c>
      <c r="DA301" s="30" t="e">
        <f t="shared" si="509"/>
        <v>#N/A</v>
      </c>
      <c r="DB301" s="31" t="e">
        <f>IF(OR(Hypothèses!$B$4=17,Hypothèses!$B$4=18,Hypothèses!$B$4=19,Hypothèses!$B$4=20),
IF($D301="Pressio.",
IF(OR($E301=3,$E301=1,$E301=4),DA301,CZ301),
IF($D301="Pénétro.",
IF(OR($E301=3,$E301=1,$E301=4),DA301,CZ301))),IF($D301="Pressio.",
IF($E301=3,DA301,CZ301),
IF($D301="Pénétro.",
IF($E301=4,DA301,CZ301))))</f>
        <v>#N/A</v>
      </c>
      <c r="DC301" s="31">
        <v>0</v>
      </c>
      <c r="DD301" s="102" t="e">
        <f>IF(NDC!$H$10="Oui",(VLOOKUP($B$3,'Coeff EC7'!$T$39:$X$59,2,0)*DB301+VLOOKUP($B$3,'Coeff EC7'!$T$65:$X$85,2,0)*Model0.1T!DC301)/1.5,PI()*CZ$12*$Q301*($B301-$B300)*0.15/10+DD300)</f>
        <v>#N/A</v>
      </c>
      <c r="DE301" s="102" t="e">
        <f>(VLOOKUP($B$3,'Coeff EC7'!$T$39:$X$59,3,0)*DB301+VLOOKUP($B$3,'Coeff EC7'!$T$65:$X$85,3,0)*Model0.1T!DC301)/1.1</f>
        <v>#N/A</v>
      </c>
      <c r="DF301" s="102" t="e">
        <f t="shared" si="486"/>
        <v>#N/A</v>
      </c>
      <c r="DG301" s="102" t="e">
        <f t="shared" si="487"/>
        <v>#N/A</v>
      </c>
      <c r="DH301" s="414" t="e">
        <f>IF(AND(DD301&gt;NDC!$C$63,DE301&gt;NDC!$C$65,DF301&gt;NDC!$D$73,DG301&gt;NDC!$D$74,$B301&gt;NDC!$H$22-0.1+MIN(3*DH$12,1.5)),0,1)</f>
        <v>#N/A</v>
      </c>
      <c r="DI301" s="86" t="b">
        <f t="shared" si="453"/>
        <v>0</v>
      </c>
      <c r="DJ301" s="86">
        <f t="shared" si="454"/>
        <v>0.5</v>
      </c>
      <c r="DK301" s="86">
        <f t="shared" si="455"/>
        <v>0.5</v>
      </c>
      <c r="DL301" s="30" t="e">
        <f t="shared" ca="1" si="488"/>
        <v>#DIV/0!</v>
      </c>
      <c r="DM301" s="85" t="e">
        <f ca="1">IF(CS301&lt;=Hypothèses!$V$7,Hypothèses!$W$7,IF(CS301&lt;=Hypothèses!$V$8,Hypothèses!$W$8,IF(CS301&lt;=Hypothèses!$V$9,Hypothèses!$W$9,IF(CS301&lt;=Hypothèses!$V$10,Hypothèses!$W$10,IF(CS301&lt;=Hypothèses!$V$11,Hypothèses!$W$11,IF(CS301&lt;=Hypothèses!$V$12,Hypothèses!$W$12,IF(CS301&lt;=Hypothèses!$V$13,Hypothèses!$W$13,IF(CS301&lt;=Hypothèses!$V$14,Hypothèses!$W$14,IF(CS301&lt;=Hypothèses!$V$15,Hypothèses!$W$15,IF(CS301&lt;=Hypothèses!$V$16,Hypothèses!$W$16,IF(CS301&lt;=Hypothèses!$V$17,Hypothèses!$W$17,IF(CS301&lt;=Hypothèses!$V$18,Hypothèses!$W$18,""))))))))))))</f>
        <v>#DIV/0!</v>
      </c>
      <c r="DN301" s="87" t="e">
        <f t="shared" ca="1" si="521"/>
        <v>#DIV/0!</v>
      </c>
      <c r="DO301" s="88" t="e">
        <f ca="1">IF(CS301&lt;=Hypothèses!$V$7,Hypothèses!$X$7,IF(CS301&lt;=Hypothèses!$V$8,Hypothèses!$X$8,IF(CS301&lt;=Hypothèses!$V$9,Hypothèses!$X$9,IF(CS301&lt;=Hypothèses!$V$10,Hypothèses!$X$10,IF(CS301&lt;=Hypothèses!$V$11,Hypothèses!$X$11,IF(CS301&lt;=Hypothèses!$V$12,Hypothèses!$X$12,IF(CS301&lt;=Hypothèses!$V$13,Hypothèses!$X$13,IF(CS301&lt;=Hypothèses!$V$14,Hypothèses!$X$14,IF(CS301&lt;=Hypothèses!$V$15,Hypothèses!$X$15,IF(CS301&lt;=Hypothèses!$V$16,Hypothèses!$X$16,IF(CS301&lt;=Hypothèses!$U$17,Hypothèses!$W$17,IF(CS301&lt;=Hypothèses!$U$18,Hypothèses!$W$18,""))))))))))))</f>
        <v>#DIV/0!</v>
      </c>
      <c r="DP301" s="95" t="e">
        <f t="shared" ca="1" si="489"/>
        <v>#DIV/0!</v>
      </c>
      <c r="DQ301" s="101">
        <f t="shared" si="528"/>
        <v>0</v>
      </c>
      <c r="DR301" s="91">
        <f t="shared" si="456"/>
        <v>0</v>
      </c>
      <c r="DS301" s="30" t="e">
        <f t="shared" si="510"/>
        <v>#N/A</v>
      </c>
      <c r="DT301" s="30" t="e">
        <f t="shared" si="511"/>
        <v>#N/A</v>
      </c>
      <c r="DU301" s="31" t="e">
        <f>IF(OR(Hypothèses!$B$4=17,Hypothèses!$B$4=18,Hypothèses!$B$4=19,Hypothèses!$B$4=20),
IF($D301="Pressio.",
IF(OR($E301=3,$E301=1,$E301=4),DT301,DS301),
IF($D301="Pénétro.",
IF(OR($E301=3,$E301=1,$E301=4),DT301,DS301))),IF($D301="Pressio.",
IF($E301=3,DT301,DS301),
IF($D301="Pénétro.",
IF($E301=4,DT301,DS301))))</f>
        <v>#N/A</v>
      </c>
      <c r="DV301" s="31">
        <v>0</v>
      </c>
      <c r="DW301" s="102" t="e">
        <f>IF(NDC!$H$10="Oui",(VLOOKUP($B$3,'Coeff EC7'!$T$39:$X$59,2,0)*DU301+VLOOKUP($B$3,'Coeff EC7'!$T$65:$X$85,2,0)*Model0.1T!DV301)/1.5,PI()*DS$12*$Q301*($B301-$B300)*0.15/10+DW300)</f>
        <v>#N/A</v>
      </c>
      <c r="DX301" s="102" t="e">
        <f>(VLOOKUP($B$3,'Coeff EC7'!$T$39:$X$59,3,0)*DU301+VLOOKUP($B$3,'Coeff EC7'!$T$65:$X$85,3,0)*Model0.1T!DV301)/1.1</f>
        <v>#N/A</v>
      </c>
      <c r="DY301" s="102" t="e">
        <f t="shared" si="490"/>
        <v>#N/A</v>
      </c>
      <c r="DZ301" s="102" t="e">
        <f t="shared" si="491"/>
        <v>#N/A</v>
      </c>
      <c r="EA301" s="414" t="e">
        <f>IF(AND(DW301&gt;NDC!$C$63,DX301&gt;NDC!$C$65,DY301&gt;NDC!$D$73,DZ301&gt;NDC!$D$74,$B301&gt;NDC!$H$22-0.1+MIN(3*EA$12,1.5)),0,1)</f>
        <v>#N/A</v>
      </c>
      <c r="EB301" s="86" t="b">
        <f t="shared" si="457"/>
        <v>0</v>
      </c>
      <c r="EC301" s="418">
        <f t="shared" si="458"/>
        <v>0.51</v>
      </c>
      <c r="ED301" s="86">
        <f t="shared" si="459"/>
        <v>0.51</v>
      </c>
      <c r="EE301" s="30" t="e">
        <f t="shared" ca="1" si="492"/>
        <v>#DIV/0!</v>
      </c>
      <c r="EF301" s="85" t="e">
        <f ca="1">IF(DL301&lt;=Hypothèses!$V$7,Hypothèses!$W$7,IF(DL301&lt;=Hypothèses!$V$8,Hypothèses!$W$8,IF(DL301&lt;=Hypothèses!$V$9,Hypothèses!$W$9,IF(DL301&lt;=Hypothèses!$V$10,Hypothèses!$W$10,IF(DL301&lt;=Hypothèses!$V$11,Hypothèses!$W$11,IF(DL301&lt;=Hypothèses!$V$12,Hypothèses!$W$12,IF(DL301&lt;=Hypothèses!$V$13,Hypothèses!$W$13,IF(DL301&lt;=Hypothèses!$V$14,Hypothèses!$W$14,IF(DL301&lt;=Hypothèses!$V$15,Hypothèses!$W$15,IF(DL301&lt;=Hypothèses!$V$16,Hypothèses!$W$16,IF(DL301&lt;=Hypothèses!$V$17,Hypothèses!$W$17,IF(DL301&lt;=Hypothèses!$V$18,Hypothèses!$W$18,""))))))))))))</f>
        <v>#DIV/0!</v>
      </c>
      <c r="EG301" s="87" t="e">
        <f t="shared" ca="1" si="522"/>
        <v>#DIV/0!</v>
      </c>
      <c r="EH301" s="88" t="e">
        <f ca="1">IF(DL301&lt;=Hypothèses!$V$7,Hypothèses!$X$7,IF(DL301&lt;=Hypothèses!$V$8,Hypothèses!$X$8,IF(DL301&lt;=Hypothèses!$V$9,Hypothèses!$X$9,IF(DL301&lt;=Hypothèses!$V$10,Hypothèses!$X$10,IF(DL301&lt;=Hypothèses!$V$11,Hypothèses!$X$11,IF(DL301&lt;=Hypothèses!$V$12,Hypothèses!$X$12,IF(DL301&lt;=Hypothèses!$V$13,Hypothèses!$X$13,IF(DL301&lt;=Hypothèses!$V$14,Hypothèses!$X$14,IF(DL301&lt;=Hypothèses!$V$15,Hypothèses!$X$15,IF(DL301&lt;=Hypothèses!$V$16,Hypothèses!$X$16,IF(DL301&lt;=Hypothèses!$U$17,Hypothèses!$W$17,IF(DL301&lt;=Hypothèses!$U$18,Hypothèses!$W$18,""))))))))))))</f>
        <v>#DIV/0!</v>
      </c>
      <c r="EI301" s="95" t="e">
        <f t="shared" ca="1" si="493"/>
        <v>#DIV/0!</v>
      </c>
      <c r="EJ301" s="101">
        <f t="shared" si="529"/>
        <v>0</v>
      </c>
      <c r="EK301" s="91">
        <f t="shared" si="460"/>
        <v>0</v>
      </c>
      <c r="EL301" s="30" t="e">
        <f t="shared" si="512"/>
        <v>#N/A</v>
      </c>
      <c r="EM301" s="30" t="e">
        <f t="shared" si="513"/>
        <v>#N/A</v>
      </c>
      <c r="EN301" s="31" t="e">
        <f>IF(OR(Hypothèses!$B$4=17,Hypothèses!$B$4=18,Hypothèses!$B$4=19,Hypothèses!$B$4=20),
IF($D301="Pressio.",
IF(OR($E301=3,$E301=1,$E301=4),EM301,EL301),
IF($D301="Pénétro.",
IF(OR($E301=3,$E301=1,$E301=4),EM301,EL301))),IF($D301="Pressio.",
IF($E301=3,EM301,EL301),
IF($D301="Pénétro.",
IF($E301=4,EM301,EL301))))</f>
        <v>#N/A</v>
      </c>
      <c r="EO301" s="31">
        <v>0</v>
      </c>
      <c r="EP301" s="102" t="e">
        <f>IF(NDC!$H$10="Oui",(VLOOKUP($B$3,'Coeff EC7'!$T$39:$X$59,2,0)*EN301+VLOOKUP($B$3,'Coeff EC7'!$T$65:$X$85,2,0)*Model0.1T!EO301)/1.5,PI()*EL$12*$Q301*($B301-$B300)*0.15/10+EP300)</f>
        <v>#N/A</v>
      </c>
      <c r="EQ301" s="102" t="e">
        <f>(VLOOKUP($B$3,'Coeff EC7'!$T$39:$X$59,3,0)*EN301+VLOOKUP($B$3,'Coeff EC7'!$T$65:$X$85,3,0)*Model0.1T!EO301)/1.1</f>
        <v>#N/A</v>
      </c>
      <c r="ER301" s="102" t="e">
        <f t="shared" si="494"/>
        <v>#N/A</v>
      </c>
      <c r="ES301" s="102" t="e">
        <f t="shared" si="495"/>
        <v>#N/A</v>
      </c>
      <c r="ET301" s="414" t="e">
        <f>IF(AND(EP301&gt;NDC!$C$63,EQ301&gt;NDC!$C$65,ER301&gt;NDC!$D$73,ES301&gt;NDC!$D$74,$B301&gt;NDC!$H$22-0.1+MIN(3*ET$12,1.5)),0,1)</f>
        <v>#N/A</v>
      </c>
      <c r="EU301" s="86" t="b">
        <f t="shared" si="461"/>
        <v>0</v>
      </c>
      <c r="EV301" s="86">
        <f t="shared" si="462"/>
        <v>0.61</v>
      </c>
      <c r="EW301" s="86">
        <f t="shared" si="463"/>
        <v>0.61</v>
      </c>
      <c r="EX301" s="30" t="e">
        <f t="shared" ca="1" si="496"/>
        <v>#DIV/0!</v>
      </c>
      <c r="EY301" s="85" t="e">
        <f ca="1">IF(EE301&lt;=Hypothèses!$V$7,Hypothèses!$W$7,IF(EE301&lt;=Hypothèses!$V$8,Hypothèses!$W$8,IF(EE301&lt;=Hypothèses!$V$9,Hypothèses!$W$9,IF(EE301&lt;=Hypothèses!$V$10,Hypothèses!$W$10,IF(EE301&lt;=Hypothèses!$V$11,Hypothèses!$W$11,IF(EE301&lt;=Hypothèses!$V$12,Hypothèses!$W$12,IF(EE301&lt;=Hypothèses!$V$13,Hypothèses!$W$13,IF(EE301&lt;=Hypothèses!$V$14,Hypothèses!$W$14,IF(EE301&lt;=Hypothèses!$V$15,Hypothèses!$W$15,IF(EE301&lt;=Hypothèses!$V$16,Hypothèses!$W$16,IF(EE301&lt;=Hypothèses!$V$17,Hypothèses!$W$17,IF(EE301&lt;=Hypothèses!$V$18,Hypothèses!$W$18,""))))))))))))</f>
        <v>#DIV/0!</v>
      </c>
      <c r="EZ301" s="87" t="e">
        <f t="shared" ca="1" si="523"/>
        <v>#DIV/0!</v>
      </c>
      <c r="FA301" s="88" t="e">
        <f ca="1">IF(EE301&lt;=Hypothèses!$V$7,Hypothèses!$X$7,IF(EE301&lt;=Hypothèses!$V$8,Hypothèses!$X$8,IF(EE301&lt;=Hypothèses!$V$9,Hypothèses!$X$9,IF(EE301&lt;=Hypothèses!$V$10,Hypothèses!$X$10,IF(EE301&lt;=Hypothèses!$V$11,Hypothèses!$X$11,IF(EE301&lt;=Hypothèses!$V$12,Hypothèses!$X$12,IF(EE301&lt;=Hypothèses!$V$13,Hypothèses!$X$13,IF(EE301&lt;=Hypothèses!$V$14,Hypothèses!$X$14,IF(EE301&lt;=Hypothèses!$V$15,Hypothèses!$X$15,IF(EE301&lt;=Hypothèses!$V$16,Hypothèses!$X$16,IF(EE301&lt;=Hypothèses!$U$17,Hypothèses!$W$17,IF(EE301&lt;=Hypothèses!$U$18,Hypothèses!$W$18,""))))))))))))</f>
        <v>#DIV/0!</v>
      </c>
      <c r="FB301" s="95" t="e">
        <f t="shared" ca="1" si="497"/>
        <v>#DIV/0!</v>
      </c>
      <c r="FC301" s="101">
        <f t="shared" si="530"/>
        <v>0</v>
      </c>
      <c r="FD301" s="91">
        <f t="shared" si="464"/>
        <v>0</v>
      </c>
      <c r="FE301" s="30" t="e">
        <f t="shared" si="514"/>
        <v>#N/A</v>
      </c>
      <c r="FF301" s="30" t="e">
        <f t="shared" si="515"/>
        <v>#N/A</v>
      </c>
      <c r="FG301" s="31" t="e">
        <f>IF(OR(Hypothèses!$B$4=17,Hypothèses!$B$4=18,Hypothèses!$B$4=19,Hypothèses!$B$4=20),
IF($D301="Pressio.",
IF(OR($E301=3,$E301=1,$E301=4),FF301,FE301),
IF($D301="Pénétro.",
IF(OR($E301=3,$E301=1,$E301=4),FF301,FE301))),IF($D301="Pressio.",
IF($E301=3,FF301,FE301),
IF($D301="Pénétro.",
IF($E301=4,FF301,FE301))))</f>
        <v>#N/A</v>
      </c>
      <c r="FH301" s="31">
        <v>0</v>
      </c>
      <c r="FI301" s="102" t="e">
        <f>IF(NDC!$H$10="Oui",(VLOOKUP($B$3,'Coeff EC7'!$T$39:$X$59,2,0)*FG301+VLOOKUP($B$3,'Coeff EC7'!$T$65:$X$85,2,0)*Model0.1T!FH301)/1.5,PI()*FE$12*$Q301*($B301-$B300)*0.15/10+FI300)</f>
        <v>#N/A</v>
      </c>
      <c r="FJ301" s="102" t="e">
        <f>(VLOOKUP($B$3,'Coeff EC7'!$T$39:$X$59,3,0)*FG301+VLOOKUP($B$3,'Coeff EC7'!$T$65:$X$85,3,0)*Model0.1T!FH301)/1.1</f>
        <v>#N/A</v>
      </c>
      <c r="FK301" s="102" t="e">
        <f t="shared" si="498"/>
        <v>#N/A</v>
      </c>
      <c r="FL301" s="102" t="e">
        <f t="shared" si="499"/>
        <v>#N/A</v>
      </c>
      <c r="FM301" s="414" t="e">
        <f>IF(AND(FI301&gt;NDC!$C$63,FJ301&gt;NDC!$C$65,FK301&gt;NDC!$D$73,FL301&gt;NDC!$D$74,$B301&gt;NDC!$H$22-0.1+MIN(3*FM$12,1.5)),0,1)</f>
        <v>#N/A</v>
      </c>
    </row>
    <row r="302" spans="1:169">
      <c r="A302" s="96">
        <f t="shared" si="465"/>
        <v>71.100000000001643</v>
      </c>
      <c r="B302" s="97">
        <v>28.9</v>
      </c>
      <c r="C302" s="81">
        <f>IF(B302&lt;=Hypothèses!$C$7,Hypothèses!$A$7,IF(B302&lt;=Hypothèses!$C$8,Hypothèses!$A$8,IF(B302&lt;=Hypothèses!$C$9,Hypothèses!$A$9,IF(B302&lt;=Hypothèses!$C$10,Hypothèses!$A$10,IF(B302&lt;=Hypothèses!$C$11,Hypothèses!$A$11,IF(B302&lt;=Hypothèses!$C$12,Hypothèses!$A$12,IF(B302&lt;=Hypothèses!$C$13,Hypothèses!$A$13,IF(B302&lt;=Hypothèses!$C$14,Hypothèses!$A$14,IF(B302&lt;=Hypothèses!$C$15,Hypothèses!$A$15,IF(B302&lt;=Hypothèses!$C$16,Hypothèses!$A$16,IF(B302&lt;=Hypothèses!$C$17,Hypothèses!$A$17,IF(B302&lt;=Hypothèses!$C$18,Hypothèses!$A$18,C301))))))))))))</f>
        <v>11</v>
      </c>
      <c r="D302" s="82" t="str">
        <f>IF(B302&lt;=Hypothèses!$C$7,Hypothèses!$R$7,IF(B302&lt;=Hypothèses!$C$8,Hypothèses!$R$8,IF(B302&lt;=Hypothèses!$C$9,Hypothèses!$R$9,IF(B302&lt;=Hypothèses!$C$10,Hypothèses!$R$10,IF(B302&lt;=Hypothèses!$C$11,Hypothèses!$R$11,IF(B302&lt;=Hypothèses!$C$12,Hypothèses!$R$12,IF(B302&lt;=Hypothèses!$C$13,Hypothèses!$R$13,IF(B302&lt;=Hypothèses!$C$14,Hypothèses!$R$14,IF(B302&lt;=Hypothèses!$C$15,Hypothèses!$R$15,IF(B302&lt;=Hypothèses!$C$16,Hypothèses!$R$16,IF(B302&lt;=Hypothèses!$C$17,Hypothèses!$R$17,IF(B302&lt;=Hypothèses!$C$18,Hypothèses!$R$18,D301))))))))))))</f>
        <v>Pressio.</v>
      </c>
      <c r="E302" s="82" t="e">
        <f>IF(B302&lt;=Hypothèses!$C$7,Hypothèses!$G$7,IF(B302&lt;=Hypothèses!$C$8,Hypothèses!$G$8,IF(B302&lt;=Hypothèses!$C$9,Hypothèses!$G$9,IF(B302&lt;=Hypothèses!$C$10,Hypothèses!$G$10,IF(B302&lt;=Hypothèses!$C$11,Hypothèses!$G$11,IF(B302&lt;=Hypothèses!$C$12,Hypothèses!$G$12,IF(B302&lt;=Hypothèses!$C$13,Hypothèses!$G$13,IF(B302&lt;=Hypothèses!$C$14,Hypothèses!$G$14,IF(B302&lt;=Hypothèses!$C$15,Hypothèses!$G$15,IF(B302&lt;=Hypothèses!$C$16,Hypothèses!$G$16,IF(B302&lt;=Hypothèses!$C$17,Hypothèses!$G$17,IF(B302&lt;=Hypothèses!$C$18,Hypothèses!$G$18,E301))))))))))))</f>
        <v>#N/A</v>
      </c>
      <c r="F302" s="82" t="str">
        <f>IF(B302&lt;=Hypothèses!$C$7,Hypothèses!$F$7,IF(B302&lt;=Hypothèses!$C$8,Hypothèses!$F$8,IF(B302&lt;=Hypothèses!$C$9,Hypothèses!$F$9,IF(B302&lt;=Hypothèses!$C$10,Hypothèses!$F$10,IF(B302&lt;=Hypothèses!$C$11,Hypothèses!$F$11,IF(B302&lt;=Hypothèses!$C$12,Hypothèses!$F$12,IF(B302&lt;=Hypothèses!$C$13,Hypothèses!$F$13,IF(B302&lt;=Hypothèses!$C$14,Hypothèses!$F$14,IF(B302&lt;=Hypothèses!$C$15,Hypothèses!$F$15,IF(B302&lt;=Hypothèses!$C$16,Hypothèses!$F$16,IF(B302&lt;=Hypothèses!$C$17,Hypothèses!$F$17,IF(B302&lt;=Hypothèses!$C$18,Hypothèses!$F$18,F301))))))))))))</f>
        <v/>
      </c>
      <c r="G302" s="91">
        <f t="array" ref="G302">INDEX('Coeff EC7'!$U$7:$X$27,
MATCH(Model0.1T!$B$3,'Coeff EC7'!$T$7:$T$27,0),
MATCH(Model0.1T!$D302&amp;Model0.1T!$B$4,
'Coeff EC7'!$U$6:$X$6&amp;
'Coeff EC7'!$U$5:$X$5,0))</f>
        <v>1.4</v>
      </c>
      <c r="H302" s="91">
        <f t="array" ref="H302">INDEX('Coeff EC7'!$Y$7:$AB$27,
MATCH(Model0.1T!$B$3,'Coeff EC7'!$T$7:$T$27,0),
MATCH(Model0.1T!$D302&amp;Model0.1T!$B$4,
'Coeff EC7'!$Y$6:$AB$6&amp;
'Coeff EC7'!$Y$5:$AB$5,0))</f>
        <v>1.7</v>
      </c>
      <c r="I302" s="83">
        <v>0</v>
      </c>
      <c r="J302" s="91" t="e">
        <f t="array" ref="J302">INDEX('Coeff EC7'!$D$33:$Q$33,1,MATCH(D302&amp;E302,'Coeff EC7'!$D$31:$Q$31&amp;'Coeff EC7'!$D$32:$Q$32,0))</f>
        <v>#N/A</v>
      </c>
      <c r="K302" s="91" t="e">
        <f t="array" ref="K302">INDEX('Coeff EC7'!$D$34:$Q$34,1,MATCH(D302&amp;E302,'Coeff EC7'!$D$31:$Q$31&amp;'Coeff EC7'!$D$32:$Q$32,0))</f>
        <v>#N/A</v>
      </c>
      <c r="L302" s="91" t="e">
        <f t="array" ref="L302">INDEX('Coeff EC7'!$D$35:$Q$35,1,MATCH(D302&amp;E302,'Coeff EC7'!$D$31:$Q$31&amp;'Coeff EC7'!$D$32:$Q$32,0))</f>
        <v>#N/A</v>
      </c>
      <c r="M302" s="98" t="e">
        <f t="shared" si="431"/>
        <v>#N/A</v>
      </c>
      <c r="N302" s="99" t="e">
        <f t="array" ref="N302">INDEX('Coeff EC7'!$D$7:$Q$27,MATCH($B$3,'Coeff EC7'!$C$7:$C$27,0),MATCH(D302&amp;E302,'Coeff EC7'!$D$5:$Q$5&amp;'Coeff EC7'!$D$6:$Q$6,0))</f>
        <v>#N/A</v>
      </c>
      <c r="O302" s="99" t="e">
        <f t="array" ref="O302">INDEX('Coeff EC7'!$D$41:$Q$61,MATCH($B$3,'Coeff EC7'!$C$41:$C$61,0),MATCH(D302&amp;E302,'Coeff EC7'!$D$39:$Q$39&amp;'Coeff EC7'!$D$40:$Q$40,0))</f>
        <v>#N/A</v>
      </c>
      <c r="P302" s="30" t="e">
        <f t="shared" si="466"/>
        <v>#N/A</v>
      </c>
      <c r="Q302" s="100" t="e">
        <f t="shared" si="433"/>
        <v>#N/A</v>
      </c>
      <c r="R302" s="86" t="b">
        <f t="shared" si="434"/>
        <v>0</v>
      </c>
      <c r="S302" s="86">
        <f t="shared" si="432"/>
        <v>0.5</v>
      </c>
      <c r="T302" s="86">
        <f t="shared" si="435"/>
        <v>0.5</v>
      </c>
      <c r="U302" s="30" t="e">
        <f t="shared" ca="1" si="467"/>
        <v>#DIV/0!</v>
      </c>
      <c r="V302" s="85" t="str">
        <f>IF(B302&lt;=Hypothèses!$V$7,Hypothèses!$W$7,IF(B302&lt;=Hypothèses!$V$8,Hypothèses!$W$8,IF(B302&lt;=Hypothèses!$V$9,Hypothèses!$W$9,IF(B302&lt;=Hypothèses!$V$10,Hypothèses!$W$10,IF(B302&lt;=Hypothèses!$V$11,Hypothèses!$W$11,IF(B302&lt;=Hypothèses!$V$12,Hypothèses!$W$12,IF(B302&lt;=Hypothèses!$V$13,Hypothèses!$W$13,IF(B302&lt;=Hypothèses!$V$14,Hypothèses!$W$14,IF(B302&lt;=Hypothèses!$V$15,Hypothèses!$W$15,IF(B302&lt;=Hypothèses!$V$16,Hypothèses!$W$16,IF(B302&lt;=Hypothèses!$V$17,Hypothèses!$W$17,IF(B302&lt;=Hypothèses!$V$18,Hypothèses!$W$18,""))))))))))))</f>
        <v/>
      </c>
      <c r="W302" s="87" t="e">
        <f t="shared" ca="1" si="516"/>
        <v>#DIV/0!</v>
      </c>
      <c r="X302" s="88" t="str">
        <f>IF(B302&lt;=Hypothèses!$V$7,Hypothèses!$X$7,IF(B302&lt;=Hypothèses!$V$8,Hypothèses!$X$8,IF(B302&lt;=Hypothèses!$V$9,Hypothèses!$X$9,IF(B302&lt;=Hypothèses!$V$10,Hypothèses!$X$10,IF(B302&lt;=Hypothèses!$V$11,Hypothèses!$X$11,IF(B302&lt;=Hypothèses!$V$12,Hypothèses!$X$12,IF(B302&lt;=Hypothèses!$V$13,Hypothèses!$X$13,IF(B302&lt;=Hypothèses!$V$14,Hypothèses!$X$14,IF(B302&lt;=Hypothèses!$V$15,Hypothèses!$X$15,IF(B302&lt;=Hypothèses!$V$16,Hypothèses!$X$16,IF(B302&lt;=Hypothèses!$U$17,Hypothèses!$W$17,IF(B302&lt;=Hypothèses!$U$18,Hypothèses!$W$18,""))))))))))))</f>
        <v/>
      </c>
      <c r="Y302" s="95" t="e">
        <f t="shared" ca="1" si="436"/>
        <v>#DIV/0!</v>
      </c>
      <c r="Z302" s="101">
        <f t="shared" si="437"/>
        <v>0</v>
      </c>
      <c r="AA302" s="91">
        <f t="shared" si="438"/>
        <v>0</v>
      </c>
      <c r="AB302" s="30" t="e">
        <f t="shared" si="500"/>
        <v>#N/A</v>
      </c>
      <c r="AC302" s="30" t="e">
        <f t="shared" si="501"/>
        <v>#N/A</v>
      </c>
      <c r="AD302" s="31" t="e">
        <f>IF(OR(Hypothèses!$B$4=17,Hypothèses!$B$4=18,Hypothèses!$B$4=19,Hypothèses!$B$4=20),
IF($D302="Pressio.",
IF(OR($E302=3,$E302=1,$E302=4),AC302,AB302),
IF($D302="Pénétro.",
IF(OR($E302=3,$E302=1,$E302=4),AC302,AB302))),IF($D302="Pressio.",
IF($E302=3,AC302,AB302),
IF($D302="Pénétro.",
IF($E302=4,AC302,AB302))))</f>
        <v>#N/A</v>
      </c>
      <c r="AE302" s="31">
        <v>0</v>
      </c>
      <c r="AF302" s="102" t="e">
        <f>IF(NDC!$H$10="Oui",(VLOOKUP($B$3,'Coeff EC7'!$T$39:$X$59,2,0)*AD302+VLOOKUP($B$3,'Coeff EC7'!$T$65:$X$85,2,0)*Model0.1T!AE302)/1.5,PI()*AB$12*$Q302*($B302-$B301)*0.15/10+AF301)</f>
        <v>#N/A</v>
      </c>
      <c r="AG302" s="102" t="e">
        <f>(VLOOKUP($B$3,'Coeff EC7'!$T$39:$X$59,3,0)*AD302+VLOOKUP($B$3,'Coeff EC7'!$T$65:$X$85,3,0)*Model0.1T!AE302)/1.1</f>
        <v>#N/A</v>
      </c>
      <c r="AH302" s="102" t="e">
        <f t="shared" si="468"/>
        <v>#N/A</v>
      </c>
      <c r="AI302" s="102" t="e">
        <f t="shared" si="469"/>
        <v>#N/A</v>
      </c>
      <c r="AJ302" s="414" t="e">
        <f>IF(AND(AF302&gt;NDC!$C$63,AG302&gt;NDC!$C$65,AH302&gt;NDC!$D$73,AI302&gt;NDC!$D$74,$B302&gt;NDC!$H$22-0.1+MIN(3*$AJ$12,1.5)),0,1)</f>
        <v>#N/A</v>
      </c>
      <c r="AK302" s="86" t="b">
        <f t="shared" si="439"/>
        <v>0</v>
      </c>
      <c r="AL302" s="86">
        <f t="shared" si="470"/>
        <v>0.5</v>
      </c>
      <c r="AM302" s="86">
        <f t="shared" si="440"/>
        <v>0.5</v>
      </c>
      <c r="AN302" s="30" t="e">
        <f t="shared" ca="1" si="471"/>
        <v>#DIV/0!</v>
      </c>
      <c r="AO302" s="85" t="e">
        <f ca="1">IF(U302&lt;=Hypothèses!$V$7,Hypothèses!$W$7,IF(U302&lt;=Hypothèses!$V$8,Hypothèses!$W$8,IF(U302&lt;=Hypothèses!$V$9,Hypothèses!$W$9,IF(U302&lt;=Hypothèses!$V$10,Hypothèses!$W$10,IF(U302&lt;=Hypothèses!$V$11,Hypothèses!$W$11,IF(U302&lt;=Hypothèses!$V$12,Hypothèses!$W$12,IF(U302&lt;=Hypothèses!$V$13,Hypothèses!$W$13,IF(U302&lt;=Hypothèses!$V$14,Hypothèses!$W$14,IF(U302&lt;=Hypothèses!$V$15,Hypothèses!$W$15,IF(U302&lt;=Hypothèses!$V$16,Hypothèses!$W$16,IF(U302&lt;=Hypothèses!$V$17,Hypothèses!$W$17,IF(U302&lt;=Hypothèses!$V$18,Hypothèses!$W$18,""))))))))))))</f>
        <v>#DIV/0!</v>
      </c>
      <c r="AP302" s="87" t="e">
        <f t="shared" ca="1" si="517"/>
        <v>#DIV/0!</v>
      </c>
      <c r="AQ302" s="88" t="e">
        <f ca="1">IF(U302&lt;=Hypothèses!$V$7,Hypothèses!$X$7,IF(U302&lt;=Hypothèses!$V$8,Hypothèses!$X$8,IF(U302&lt;=Hypothèses!$V$9,Hypothèses!$X$9,IF(U302&lt;=Hypothèses!$V$10,Hypothèses!$X$10,IF(U302&lt;=Hypothèses!$V$11,Hypothèses!$X$11,IF(U302&lt;=Hypothèses!$V$12,Hypothèses!$X$12,IF(U302&lt;=Hypothèses!$V$13,Hypothèses!$X$13,IF(U302&lt;=Hypothèses!$V$14,Hypothèses!$X$14,IF(U302&lt;=Hypothèses!$V$15,Hypothèses!$X$15,IF(U302&lt;=Hypothèses!$V$16,Hypothèses!$X$16,IF(U302&lt;=Hypothèses!$U$17,Hypothèses!$W$17,IF(U302&lt;=Hypothèses!$U$18,Hypothèses!$W$18,""))))))))))))</f>
        <v>#DIV/0!</v>
      </c>
      <c r="AR302" s="95" t="e">
        <f t="shared" ca="1" si="472"/>
        <v>#DIV/0!</v>
      </c>
      <c r="AS302" s="101">
        <f t="shared" si="524"/>
        <v>0</v>
      </c>
      <c r="AT302" s="91">
        <f t="shared" si="441"/>
        <v>0</v>
      </c>
      <c r="AU302" s="30" t="e">
        <f t="shared" si="502"/>
        <v>#N/A</v>
      </c>
      <c r="AV302" s="30" t="e">
        <f t="shared" si="503"/>
        <v>#N/A</v>
      </c>
      <c r="AW302" s="31" t="e">
        <f>IF(OR(Hypothèses!$B$4=17,Hypothèses!$B$4=18,Hypothèses!$B$4=19,Hypothèses!$B$4=20),
IF($D302="Pressio.",
IF(OR($E302=3,$E302=1,$E302=4),AV302,AU302),
IF($D302="Pénétro.",
IF(OR($E302=3,$E302=1,$E302=4),AV302,AU302))),IF($D302="Pressio.",
IF($E302=3,AV302,AU302),
IF($D302="Pénétro.",
IF($E302=4,AV302,AU302))))</f>
        <v>#N/A</v>
      </c>
      <c r="AX302" s="31">
        <v>0</v>
      </c>
      <c r="AY302" s="102" t="e">
        <f>IF(NDC!$H$10="Oui",(VLOOKUP($B$3,'Coeff EC7'!$T$39:$X$59,2,0)*AW302+VLOOKUP($B$3,'Coeff EC7'!$T$65:$X$85,2,0)*Model0.1T!AX302)/1.5,PI()*AU$12*$Q302*($B302-$B301)*0.15/10+AY301)</f>
        <v>#N/A</v>
      </c>
      <c r="AZ302" s="102" t="e">
        <f>(VLOOKUP($B$3,'Coeff EC7'!$T$39:$X$59,3,0)*AW302+VLOOKUP($B$3,'Coeff EC7'!$T$65:$X$85,3,0)*Model0.1T!AX302)/1.1</f>
        <v>#N/A</v>
      </c>
      <c r="BA302" s="102" t="e">
        <f t="shared" si="473"/>
        <v>#N/A</v>
      </c>
      <c r="BB302" s="102" t="e">
        <f t="shared" si="474"/>
        <v>#N/A</v>
      </c>
      <c r="BC302" s="414" t="e">
        <f>IF(AND(AY302&gt;NDC!$C$63,AZ302&gt;NDC!$C$65,BA302&gt;NDC!$D$73,BB302&gt;NDC!$D$74,$B302&gt;NDC!$H$22-0.1+MIN(3*BC$12,1.5)),0,1)</f>
        <v>#N/A</v>
      </c>
      <c r="BD302" s="86" t="b">
        <f t="shared" si="442"/>
        <v>0</v>
      </c>
      <c r="BE302" s="86">
        <f t="shared" si="475"/>
        <v>0.5</v>
      </c>
      <c r="BF302" s="86">
        <f t="shared" si="443"/>
        <v>0.5</v>
      </c>
      <c r="BG302" s="30" t="e">
        <f t="shared" ca="1" si="476"/>
        <v>#DIV/0!</v>
      </c>
      <c r="BH302" s="85" t="e">
        <f ca="1">IF(AN302&lt;=Hypothèses!$V$7,Hypothèses!$W$7,IF(AN302&lt;=Hypothèses!$V$8,Hypothèses!$W$8,IF(AN302&lt;=Hypothèses!$V$9,Hypothèses!$W$9,IF(AN302&lt;=Hypothèses!$V$10,Hypothèses!$W$10,IF(AN302&lt;=Hypothèses!$V$11,Hypothèses!$W$11,IF(AN302&lt;=Hypothèses!$V$12,Hypothèses!$W$12,IF(AN302&lt;=Hypothèses!$V$13,Hypothèses!$W$13,IF(AN302&lt;=Hypothèses!$V$14,Hypothèses!$W$14,IF(AN302&lt;=Hypothèses!$V$15,Hypothèses!$W$15,IF(AN302&lt;=Hypothèses!$V$16,Hypothèses!$W$16,IF(AN302&lt;=Hypothèses!$V$17,Hypothèses!$W$17,IF(AN302&lt;=Hypothèses!$V$18,Hypothèses!$W$18,""))))))))))))</f>
        <v>#DIV/0!</v>
      </c>
      <c r="BI302" s="87" t="e">
        <f t="shared" ca="1" si="518"/>
        <v>#DIV/0!</v>
      </c>
      <c r="BJ302" s="88" t="e">
        <f ca="1">IF(AN302&lt;=Hypothèses!$V$7,Hypothèses!$X$7,IF(AN302&lt;=Hypothèses!$V$8,Hypothèses!$X$8,IF(AN302&lt;=Hypothèses!$V$9,Hypothèses!$X$9,IF(AN302&lt;=Hypothèses!$V$10,Hypothèses!$X$10,IF(AN302&lt;=Hypothèses!$V$11,Hypothèses!$X$11,IF(AN302&lt;=Hypothèses!$V$12,Hypothèses!$X$12,IF(AN302&lt;=Hypothèses!$V$13,Hypothèses!$X$13,IF(AN302&lt;=Hypothèses!$V$14,Hypothèses!$X$14,IF(AN302&lt;=Hypothèses!$V$15,Hypothèses!$X$15,IF(AN302&lt;=Hypothèses!$V$16,Hypothèses!$X$16,IF(AN302&lt;=Hypothèses!$U$17,Hypothèses!$W$17,IF(AN302&lt;=Hypothèses!$U$18,Hypothèses!$W$18,""))))))))))))</f>
        <v>#DIV/0!</v>
      </c>
      <c r="BK302" s="95" t="e">
        <f t="shared" ca="1" si="477"/>
        <v>#DIV/0!</v>
      </c>
      <c r="BL302" s="101">
        <f t="shared" si="525"/>
        <v>0</v>
      </c>
      <c r="BM302" s="91">
        <f t="shared" si="444"/>
        <v>0</v>
      </c>
      <c r="BN302" s="30" t="e">
        <f t="shared" si="504"/>
        <v>#N/A</v>
      </c>
      <c r="BO302" s="30" t="e">
        <f t="shared" si="505"/>
        <v>#N/A</v>
      </c>
      <c r="BP302" s="31" t="e">
        <f>IF(OR(Hypothèses!$B$4=17,Hypothèses!$B$4=18,Hypothèses!$B$4=19,Hypothèses!$B$4=20),
IF($D302="Pressio.",
IF(OR($E302=3,$E302=1,$E302=4),BO302,BN302),
IF($D302="Pénétro.",
IF(OR($E302=3,$E302=1,$E302=4),BO302,BN302))),IF($D302="Pressio.",
IF($E302=3,BO302,BN302),
IF($D302="Pénétro.",
IF($E302=4,BO302,BN302))))</f>
        <v>#N/A</v>
      </c>
      <c r="BQ302" s="31">
        <v>0</v>
      </c>
      <c r="BR302" s="102" t="e">
        <f>IF(NDC!$H$10="Oui",(VLOOKUP($B$3,'Coeff EC7'!$T$39:$X$59,2,0)*BP302+VLOOKUP($B$3,'Coeff EC7'!$T$65:$X$85,2,0)*Model0.1T!BQ302)/1.5,PI()*BN$12*$Q302*($B302-$B301)*0.15/10+BR301)</f>
        <v>#N/A</v>
      </c>
      <c r="BS302" s="102" t="e">
        <f>(VLOOKUP($B$3,'Coeff EC7'!$T$39:$X$59,3,0)*BP302+VLOOKUP($B$3,'Coeff EC7'!$T$65:$X$85,3,0)*Model0.1T!BQ302)/1.1</f>
        <v>#N/A</v>
      </c>
      <c r="BT302" s="102" t="e">
        <f t="shared" si="478"/>
        <v>#N/A</v>
      </c>
      <c r="BU302" s="102" t="e">
        <f t="shared" si="479"/>
        <v>#N/A</v>
      </c>
      <c r="BV302" s="414" t="e">
        <f>IF(AND(BR302&gt;NDC!$C$63,BS302&gt;NDC!$C$65,BT302&gt;NDC!$D$73,BU302&gt;NDC!$D$74,$B302&gt;NDC!$H$22-0.1+MIN(3*BV$12,1.5)),0,1)</f>
        <v>#N/A</v>
      </c>
      <c r="BW302" s="86" t="b">
        <f t="shared" si="445"/>
        <v>0</v>
      </c>
      <c r="BX302" s="86">
        <f t="shared" si="446"/>
        <v>0.5</v>
      </c>
      <c r="BY302" s="86">
        <f t="shared" si="447"/>
        <v>0.5</v>
      </c>
      <c r="BZ302" s="30" t="e">
        <f t="shared" ca="1" si="480"/>
        <v>#DIV/0!</v>
      </c>
      <c r="CA302" s="85" t="e">
        <f ca="1">IF(BG302&lt;=Hypothèses!$V$7,Hypothèses!$W$7,IF(BG302&lt;=Hypothèses!$V$8,Hypothèses!$W$8,IF(BG302&lt;=Hypothèses!$V$9,Hypothèses!$W$9,IF(BG302&lt;=Hypothèses!$V$10,Hypothèses!$W$10,IF(BG302&lt;=Hypothèses!$V$11,Hypothèses!$W$11,IF(BG302&lt;=Hypothèses!$V$12,Hypothèses!$W$12,IF(BG302&lt;=Hypothèses!$V$13,Hypothèses!$W$13,IF(BG302&lt;=Hypothèses!$V$14,Hypothèses!$W$14,IF(BG302&lt;=Hypothèses!$V$15,Hypothèses!$W$15,IF(BG302&lt;=Hypothèses!$V$16,Hypothèses!$W$16,IF(BG302&lt;=Hypothèses!$V$17,Hypothèses!$W$17,IF(BG302&lt;=Hypothèses!$V$18,Hypothèses!$W$18,""))))))))))))</f>
        <v>#DIV/0!</v>
      </c>
      <c r="CB302" s="87" t="e">
        <f t="shared" ca="1" si="519"/>
        <v>#DIV/0!</v>
      </c>
      <c r="CC302" s="88" t="e">
        <f ca="1">IF(BG302&lt;=Hypothèses!$V$7,Hypothèses!$X$7,IF(BG302&lt;=Hypothèses!$V$8,Hypothèses!$X$8,IF(BG302&lt;=Hypothèses!$V$9,Hypothèses!$X$9,IF(BG302&lt;=Hypothèses!$V$10,Hypothèses!$X$10,IF(BG302&lt;=Hypothèses!$V$11,Hypothèses!$X$11,IF(BG302&lt;=Hypothèses!$V$12,Hypothèses!$X$12,IF(BG302&lt;=Hypothèses!$V$13,Hypothèses!$X$13,IF(BG302&lt;=Hypothèses!$V$14,Hypothèses!$X$14,IF(BG302&lt;=Hypothèses!$V$15,Hypothèses!$X$15,IF(BG302&lt;=Hypothèses!$V$16,Hypothèses!$X$16,IF(BG302&lt;=Hypothèses!$U$17,Hypothèses!$W$17,IF(BG302&lt;=Hypothèses!$U$18,Hypothèses!$W$18,""))))))))))))</f>
        <v>#DIV/0!</v>
      </c>
      <c r="CD302" s="95" t="e">
        <f t="shared" ca="1" si="481"/>
        <v>#DIV/0!</v>
      </c>
      <c r="CE302" s="101">
        <f t="shared" si="526"/>
        <v>0</v>
      </c>
      <c r="CF302" s="91">
        <f t="shared" si="448"/>
        <v>0</v>
      </c>
      <c r="CG302" s="30" t="e">
        <f t="shared" si="506"/>
        <v>#N/A</v>
      </c>
      <c r="CH302" s="30" t="e">
        <f t="shared" si="507"/>
        <v>#N/A</v>
      </c>
      <c r="CI302" s="31" t="e">
        <f>IF(OR(Hypothèses!$B$4=17,Hypothèses!$B$4=18,Hypothèses!$B$4=19,Hypothèses!$B$4=20),
IF($D302="Pressio.",
IF(OR($E302=3,$E302=1,$E302=4),CH302,CG302),
IF($D302="Pénétro.",
IF(OR($E302=3,$E302=1,$E302=4),CH302,CG302))),IF($D302="Pressio.",
IF($E302=3,CH302,CG302),
IF($D302="Pénétro.",
IF($E302=4,CH302,CG302))))</f>
        <v>#N/A</v>
      </c>
      <c r="CJ302" s="31">
        <v>0</v>
      </c>
      <c r="CK302" s="102" t="e">
        <f>IF(NDC!$H$10="Oui",(VLOOKUP($B$3,'Coeff EC7'!$T$39:$X$59,2,0)*CI302+VLOOKUP($B$3,'Coeff EC7'!$T$65:$X$85,2,0)*Model0.1T!CJ302)/1.5,PI()*CG$12*$Q302*($B302-$B301)*0.15/10+CK301)</f>
        <v>#N/A</v>
      </c>
      <c r="CL302" s="102" t="e">
        <f>(VLOOKUP($B$3,'Coeff EC7'!$T$39:$X$59,3,0)*CI302+VLOOKUP($B$3,'Coeff EC7'!$T$65:$X$85,3,0)*Model0.1T!CJ302)/1.1</f>
        <v>#N/A</v>
      </c>
      <c r="CM302" s="102" t="e">
        <f t="shared" si="482"/>
        <v>#N/A</v>
      </c>
      <c r="CN302" s="102" t="e">
        <f t="shared" si="483"/>
        <v>#N/A</v>
      </c>
      <c r="CO302" s="414" t="e">
        <f>IF(AND(CK302&gt;NDC!$C$63,CL302&gt;NDC!$C$65,CM302&gt;NDC!$D$73,CN302&gt;NDC!$D$74,$B302&gt;NDC!$H$22-0.1+MIN(3*CO$12,1.5)),0,1)</f>
        <v>#N/A</v>
      </c>
      <c r="CP302" s="86" t="b">
        <f t="shared" si="449"/>
        <v>0</v>
      </c>
      <c r="CQ302" s="86">
        <f t="shared" si="450"/>
        <v>0.5</v>
      </c>
      <c r="CR302" s="86">
        <f t="shared" si="451"/>
        <v>0.5</v>
      </c>
      <c r="CS302" s="30" t="e">
        <f t="shared" ca="1" si="484"/>
        <v>#DIV/0!</v>
      </c>
      <c r="CT302" s="85" t="e">
        <f ca="1">IF(BZ302&lt;=Hypothèses!$V$7,Hypothèses!$W$7,IF(BZ302&lt;=Hypothèses!$V$8,Hypothèses!$W$8,IF(BZ302&lt;=Hypothèses!$V$9,Hypothèses!$W$9,IF(BZ302&lt;=Hypothèses!$V$10,Hypothèses!$W$10,IF(BZ302&lt;=Hypothèses!$V$11,Hypothèses!$W$11,IF(BZ302&lt;=Hypothèses!$V$12,Hypothèses!$W$12,IF(BZ302&lt;=Hypothèses!$V$13,Hypothèses!$W$13,IF(BZ302&lt;=Hypothèses!$V$14,Hypothèses!$W$14,IF(BZ302&lt;=Hypothèses!$V$15,Hypothèses!$W$15,IF(BZ302&lt;=Hypothèses!$V$16,Hypothèses!$W$16,IF(BZ302&lt;=Hypothèses!$V$17,Hypothèses!$W$17,IF(BZ302&lt;=Hypothèses!$V$18,Hypothèses!$W$18,""))))))))))))</f>
        <v>#DIV/0!</v>
      </c>
      <c r="CU302" s="87" t="e">
        <f t="shared" ca="1" si="520"/>
        <v>#DIV/0!</v>
      </c>
      <c r="CV302" s="88" t="e">
        <f ca="1">IF(BZ302&lt;=Hypothèses!$V$7,Hypothèses!$X$7,IF(BZ302&lt;=Hypothèses!$V$8,Hypothèses!$X$8,IF(BZ302&lt;=Hypothèses!$V$9,Hypothèses!$X$9,IF(BZ302&lt;=Hypothèses!$V$10,Hypothèses!$X$10,IF(BZ302&lt;=Hypothèses!$V$11,Hypothèses!$X$11,IF(BZ302&lt;=Hypothèses!$V$12,Hypothèses!$X$12,IF(BZ302&lt;=Hypothèses!$V$13,Hypothèses!$X$13,IF(BZ302&lt;=Hypothèses!$V$14,Hypothèses!$X$14,IF(BZ302&lt;=Hypothèses!$V$15,Hypothèses!$X$15,IF(BZ302&lt;=Hypothèses!$V$16,Hypothèses!$X$16,IF(BZ302&lt;=Hypothèses!$U$17,Hypothèses!$W$17,IF(BZ302&lt;=Hypothèses!$U$18,Hypothèses!$W$18,""))))))))))))</f>
        <v>#DIV/0!</v>
      </c>
      <c r="CW302" s="95" t="e">
        <f t="shared" ca="1" si="485"/>
        <v>#DIV/0!</v>
      </c>
      <c r="CX302" s="101">
        <f t="shared" si="527"/>
        <v>0</v>
      </c>
      <c r="CY302" s="91">
        <f t="shared" si="452"/>
        <v>0</v>
      </c>
      <c r="CZ302" s="30" t="e">
        <f t="shared" si="508"/>
        <v>#N/A</v>
      </c>
      <c r="DA302" s="30" t="e">
        <f t="shared" si="509"/>
        <v>#N/A</v>
      </c>
      <c r="DB302" s="31" t="e">
        <f>IF(OR(Hypothèses!$B$4=17,Hypothèses!$B$4=18,Hypothèses!$B$4=19,Hypothèses!$B$4=20),
IF($D302="Pressio.",
IF(OR($E302=3,$E302=1,$E302=4),DA302,CZ302),
IF($D302="Pénétro.",
IF(OR($E302=3,$E302=1,$E302=4),DA302,CZ302))),IF($D302="Pressio.",
IF($E302=3,DA302,CZ302),
IF($D302="Pénétro.",
IF($E302=4,DA302,CZ302))))</f>
        <v>#N/A</v>
      </c>
      <c r="DC302" s="31">
        <v>0</v>
      </c>
      <c r="DD302" s="102" t="e">
        <f>IF(NDC!$H$10="Oui",(VLOOKUP($B$3,'Coeff EC7'!$T$39:$X$59,2,0)*DB302+VLOOKUP($B$3,'Coeff EC7'!$T$65:$X$85,2,0)*Model0.1T!DC302)/1.5,PI()*CZ$12*$Q302*($B302-$B301)*0.15/10+DD301)</f>
        <v>#N/A</v>
      </c>
      <c r="DE302" s="102" t="e">
        <f>(VLOOKUP($B$3,'Coeff EC7'!$T$39:$X$59,3,0)*DB302+VLOOKUP($B$3,'Coeff EC7'!$T$65:$X$85,3,0)*Model0.1T!DC302)/1.1</f>
        <v>#N/A</v>
      </c>
      <c r="DF302" s="102" t="e">
        <f t="shared" si="486"/>
        <v>#N/A</v>
      </c>
      <c r="DG302" s="102" t="e">
        <f t="shared" si="487"/>
        <v>#N/A</v>
      </c>
      <c r="DH302" s="414" t="e">
        <f>IF(AND(DD302&gt;NDC!$C$63,DE302&gt;NDC!$C$65,DF302&gt;NDC!$D$73,DG302&gt;NDC!$D$74,$B302&gt;NDC!$H$22-0.1+MIN(3*DH$12,1.5)),0,1)</f>
        <v>#N/A</v>
      </c>
      <c r="DI302" s="86" t="b">
        <f t="shared" si="453"/>
        <v>0</v>
      </c>
      <c r="DJ302" s="86">
        <f t="shared" si="454"/>
        <v>0.5</v>
      </c>
      <c r="DK302" s="86">
        <f t="shared" si="455"/>
        <v>0.5</v>
      </c>
      <c r="DL302" s="30" t="e">
        <f t="shared" ca="1" si="488"/>
        <v>#DIV/0!</v>
      </c>
      <c r="DM302" s="85" t="e">
        <f ca="1">IF(CS302&lt;=Hypothèses!$V$7,Hypothèses!$W$7,IF(CS302&lt;=Hypothèses!$V$8,Hypothèses!$W$8,IF(CS302&lt;=Hypothèses!$V$9,Hypothèses!$W$9,IF(CS302&lt;=Hypothèses!$V$10,Hypothèses!$W$10,IF(CS302&lt;=Hypothèses!$V$11,Hypothèses!$W$11,IF(CS302&lt;=Hypothèses!$V$12,Hypothèses!$W$12,IF(CS302&lt;=Hypothèses!$V$13,Hypothèses!$W$13,IF(CS302&lt;=Hypothèses!$V$14,Hypothèses!$W$14,IF(CS302&lt;=Hypothèses!$V$15,Hypothèses!$W$15,IF(CS302&lt;=Hypothèses!$V$16,Hypothèses!$W$16,IF(CS302&lt;=Hypothèses!$V$17,Hypothèses!$W$17,IF(CS302&lt;=Hypothèses!$V$18,Hypothèses!$W$18,""))))))))))))</f>
        <v>#DIV/0!</v>
      </c>
      <c r="DN302" s="87" t="e">
        <f t="shared" ca="1" si="521"/>
        <v>#DIV/0!</v>
      </c>
      <c r="DO302" s="88" t="e">
        <f ca="1">IF(CS302&lt;=Hypothèses!$V$7,Hypothèses!$X$7,IF(CS302&lt;=Hypothèses!$V$8,Hypothèses!$X$8,IF(CS302&lt;=Hypothèses!$V$9,Hypothèses!$X$9,IF(CS302&lt;=Hypothèses!$V$10,Hypothèses!$X$10,IF(CS302&lt;=Hypothèses!$V$11,Hypothèses!$X$11,IF(CS302&lt;=Hypothèses!$V$12,Hypothèses!$X$12,IF(CS302&lt;=Hypothèses!$V$13,Hypothèses!$X$13,IF(CS302&lt;=Hypothèses!$V$14,Hypothèses!$X$14,IF(CS302&lt;=Hypothèses!$V$15,Hypothèses!$X$15,IF(CS302&lt;=Hypothèses!$V$16,Hypothèses!$X$16,IF(CS302&lt;=Hypothèses!$U$17,Hypothèses!$W$17,IF(CS302&lt;=Hypothèses!$U$18,Hypothèses!$W$18,""))))))))))))</f>
        <v>#DIV/0!</v>
      </c>
      <c r="DP302" s="95" t="e">
        <f t="shared" ca="1" si="489"/>
        <v>#DIV/0!</v>
      </c>
      <c r="DQ302" s="101">
        <f t="shared" si="528"/>
        <v>0</v>
      </c>
      <c r="DR302" s="91">
        <f t="shared" si="456"/>
        <v>0</v>
      </c>
      <c r="DS302" s="30" t="e">
        <f t="shared" si="510"/>
        <v>#N/A</v>
      </c>
      <c r="DT302" s="30" t="e">
        <f t="shared" si="511"/>
        <v>#N/A</v>
      </c>
      <c r="DU302" s="31" t="e">
        <f>IF(OR(Hypothèses!$B$4=17,Hypothèses!$B$4=18,Hypothèses!$B$4=19,Hypothèses!$B$4=20),
IF($D302="Pressio.",
IF(OR($E302=3,$E302=1,$E302=4),DT302,DS302),
IF($D302="Pénétro.",
IF(OR($E302=3,$E302=1,$E302=4),DT302,DS302))),IF($D302="Pressio.",
IF($E302=3,DT302,DS302),
IF($D302="Pénétro.",
IF($E302=4,DT302,DS302))))</f>
        <v>#N/A</v>
      </c>
      <c r="DV302" s="31">
        <v>0</v>
      </c>
      <c r="DW302" s="102" t="e">
        <f>IF(NDC!$H$10="Oui",(VLOOKUP($B$3,'Coeff EC7'!$T$39:$X$59,2,0)*DU302+VLOOKUP($B$3,'Coeff EC7'!$T$65:$X$85,2,0)*Model0.1T!DV302)/1.5,PI()*DS$12*$Q302*($B302-$B301)*0.15/10+DW301)</f>
        <v>#N/A</v>
      </c>
      <c r="DX302" s="102" t="e">
        <f>(VLOOKUP($B$3,'Coeff EC7'!$T$39:$X$59,3,0)*DU302+VLOOKUP($B$3,'Coeff EC7'!$T$65:$X$85,3,0)*Model0.1T!DV302)/1.1</f>
        <v>#N/A</v>
      </c>
      <c r="DY302" s="102" t="e">
        <f t="shared" si="490"/>
        <v>#N/A</v>
      </c>
      <c r="DZ302" s="102" t="e">
        <f t="shared" si="491"/>
        <v>#N/A</v>
      </c>
      <c r="EA302" s="414" t="e">
        <f>IF(AND(DW302&gt;NDC!$C$63,DX302&gt;NDC!$C$65,DY302&gt;NDC!$D$73,DZ302&gt;NDC!$D$74,$B302&gt;NDC!$H$22-0.1+MIN(3*EA$12,1.5)),0,1)</f>
        <v>#N/A</v>
      </c>
      <c r="EB302" s="86" t="b">
        <f t="shared" si="457"/>
        <v>0</v>
      </c>
      <c r="EC302" s="418">
        <f t="shared" si="458"/>
        <v>0.51</v>
      </c>
      <c r="ED302" s="86">
        <f t="shared" si="459"/>
        <v>0.51</v>
      </c>
      <c r="EE302" s="30" t="e">
        <f t="shared" ca="1" si="492"/>
        <v>#DIV/0!</v>
      </c>
      <c r="EF302" s="85" t="e">
        <f ca="1">IF(DL302&lt;=Hypothèses!$V$7,Hypothèses!$W$7,IF(DL302&lt;=Hypothèses!$V$8,Hypothèses!$W$8,IF(DL302&lt;=Hypothèses!$V$9,Hypothèses!$W$9,IF(DL302&lt;=Hypothèses!$V$10,Hypothèses!$W$10,IF(DL302&lt;=Hypothèses!$V$11,Hypothèses!$W$11,IF(DL302&lt;=Hypothèses!$V$12,Hypothèses!$W$12,IF(DL302&lt;=Hypothèses!$V$13,Hypothèses!$W$13,IF(DL302&lt;=Hypothèses!$V$14,Hypothèses!$W$14,IF(DL302&lt;=Hypothèses!$V$15,Hypothèses!$W$15,IF(DL302&lt;=Hypothèses!$V$16,Hypothèses!$W$16,IF(DL302&lt;=Hypothèses!$V$17,Hypothèses!$W$17,IF(DL302&lt;=Hypothèses!$V$18,Hypothèses!$W$18,""))))))))))))</f>
        <v>#DIV/0!</v>
      </c>
      <c r="EG302" s="87" t="e">
        <f t="shared" ca="1" si="522"/>
        <v>#DIV/0!</v>
      </c>
      <c r="EH302" s="88" t="e">
        <f ca="1">IF(DL302&lt;=Hypothèses!$V$7,Hypothèses!$X$7,IF(DL302&lt;=Hypothèses!$V$8,Hypothèses!$X$8,IF(DL302&lt;=Hypothèses!$V$9,Hypothèses!$X$9,IF(DL302&lt;=Hypothèses!$V$10,Hypothèses!$X$10,IF(DL302&lt;=Hypothèses!$V$11,Hypothèses!$X$11,IF(DL302&lt;=Hypothèses!$V$12,Hypothèses!$X$12,IF(DL302&lt;=Hypothèses!$V$13,Hypothèses!$X$13,IF(DL302&lt;=Hypothèses!$V$14,Hypothèses!$X$14,IF(DL302&lt;=Hypothèses!$V$15,Hypothèses!$X$15,IF(DL302&lt;=Hypothèses!$V$16,Hypothèses!$X$16,IF(DL302&lt;=Hypothèses!$U$17,Hypothèses!$W$17,IF(DL302&lt;=Hypothèses!$U$18,Hypothèses!$W$18,""))))))))))))</f>
        <v>#DIV/0!</v>
      </c>
      <c r="EI302" s="95" t="e">
        <f t="shared" ca="1" si="493"/>
        <v>#DIV/0!</v>
      </c>
      <c r="EJ302" s="101">
        <f t="shared" si="529"/>
        <v>0</v>
      </c>
      <c r="EK302" s="91">
        <f t="shared" si="460"/>
        <v>0</v>
      </c>
      <c r="EL302" s="30" t="e">
        <f t="shared" si="512"/>
        <v>#N/A</v>
      </c>
      <c r="EM302" s="30" t="e">
        <f t="shared" si="513"/>
        <v>#N/A</v>
      </c>
      <c r="EN302" s="31" t="e">
        <f>IF(OR(Hypothèses!$B$4=17,Hypothèses!$B$4=18,Hypothèses!$B$4=19,Hypothèses!$B$4=20),
IF($D302="Pressio.",
IF(OR($E302=3,$E302=1,$E302=4),EM302,EL302),
IF($D302="Pénétro.",
IF(OR($E302=3,$E302=1,$E302=4),EM302,EL302))),IF($D302="Pressio.",
IF($E302=3,EM302,EL302),
IF($D302="Pénétro.",
IF($E302=4,EM302,EL302))))</f>
        <v>#N/A</v>
      </c>
      <c r="EO302" s="31">
        <v>0</v>
      </c>
      <c r="EP302" s="102" t="e">
        <f>IF(NDC!$H$10="Oui",(VLOOKUP($B$3,'Coeff EC7'!$T$39:$X$59,2,0)*EN302+VLOOKUP($B$3,'Coeff EC7'!$T$65:$X$85,2,0)*Model0.1T!EO302)/1.5,PI()*EL$12*$Q302*($B302-$B301)*0.15/10+EP301)</f>
        <v>#N/A</v>
      </c>
      <c r="EQ302" s="102" t="e">
        <f>(VLOOKUP($B$3,'Coeff EC7'!$T$39:$X$59,3,0)*EN302+VLOOKUP($B$3,'Coeff EC7'!$T$65:$X$85,3,0)*Model0.1T!EO302)/1.1</f>
        <v>#N/A</v>
      </c>
      <c r="ER302" s="102" t="e">
        <f t="shared" si="494"/>
        <v>#N/A</v>
      </c>
      <c r="ES302" s="102" t="e">
        <f t="shared" si="495"/>
        <v>#N/A</v>
      </c>
      <c r="ET302" s="414" t="e">
        <f>IF(AND(EP302&gt;NDC!$C$63,EQ302&gt;NDC!$C$65,ER302&gt;NDC!$D$73,ES302&gt;NDC!$D$74,$B302&gt;NDC!$H$22-0.1+MIN(3*ET$12,1.5)),0,1)</f>
        <v>#N/A</v>
      </c>
      <c r="EU302" s="86" t="b">
        <f t="shared" si="461"/>
        <v>0</v>
      </c>
      <c r="EV302" s="86">
        <f t="shared" si="462"/>
        <v>0.61</v>
      </c>
      <c r="EW302" s="86">
        <f t="shared" si="463"/>
        <v>0.61</v>
      </c>
      <c r="EX302" s="30" t="e">
        <f t="shared" ca="1" si="496"/>
        <v>#DIV/0!</v>
      </c>
      <c r="EY302" s="85" t="e">
        <f ca="1">IF(EE302&lt;=Hypothèses!$V$7,Hypothèses!$W$7,IF(EE302&lt;=Hypothèses!$V$8,Hypothèses!$W$8,IF(EE302&lt;=Hypothèses!$V$9,Hypothèses!$W$9,IF(EE302&lt;=Hypothèses!$V$10,Hypothèses!$W$10,IF(EE302&lt;=Hypothèses!$V$11,Hypothèses!$W$11,IF(EE302&lt;=Hypothèses!$V$12,Hypothèses!$W$12,IF(EE302&lt;=Hypothèses!$V$13,Hypothèses!$W$13,IF(EE302&lt;=Hypothèses!$V$14,Hypothèses!$W$14,IF(EE302&lt;=Hypothèses!$V$15,Hypothèses!$W$15,IF(EE302&lt;=Hypothèses!$V$16,Hypothèses!$W$16,IF(EE302&lt;=Hypothèses!$V$17,Hypothèses!$W$17,IF(EE302&lt;=Hypothèses!$V$18,Hypothèses!$W$18,""))))))))))))</f>
        <v>#DIV/0!</v>
      </c>
      <c r="EZ302" s="87" t="e">
        <f t="shared" ca="1" si="523"/>
        <v>#DIV/0!</v>
      </c>
      <c r="FA302" s="88" t="e">
        <f ca="1">IF(EE302&lt;=Hypothèses!$V$7,Hypothèses!$X$7,IF(EE302&lt;=Hypothèses!$V$8,Hypothèses!$X$8,IF(EE302&lt;=Hypothèses!$V$9,Hypothèses!$X$9,IF(EE302&lt;=Hypothèses!$V$10,Hypothèses!$X$10,IF(EE302&lt;=Hypothèses!$V$11,Hypothèses!$X$11,IF(EE302&lt;=Hypothèses!$V$12,Hypothèses!$X$12,IF(EE302&lt;=Hypothèses!$V$13,Hypothèses!$X$13,IF(EE302&lt;=Hypothèses!$V$14,Hypothèses!$X$14,IF(EE302&lt;=Hypothèses!$V$15,Hypothèses!$X$15,IF(EE302&lt;=Hypothèses!$V$16,Hypothèses!$X$16,IF(EE302&lt;=Hypothèses!$U$17,Hypothèses!$W$17,IF(EE302&lt;=Hypothèses!$U$18,Hypothèses!$W$18,""))))))))))))</f>
        <v>#DIV/0!</v>
      </c>
      <c r="FB302" s="95" t="e">
        <f t="shared" ca="1" si="497"/>
        <v>#DIV/0!</v>
      </c>
      <c r="FC302" s="101">
        <f t="shared" si="530"/>
        <v>0</v>
      </c>
      <c r="FD302" s="91">
        <f t="shared" si="464"/>
        <v>0</v>
      </c>
      <c r="FE302" s="30" t="e">
        <f t="shared" si="514"/>
        <v>#N/A</v>
      </c>
      <c r="FF302" s="30" t="e">
        <f t="shared" si="515"/>
        <v>#N/A</v>
      </c>
      <c r="FG302" s="31" t="e">
        <f>IF(OR(Hypothèses!$B$4=17,Hypothèses!$B$4=18,Hypothèses!$B$4=19,Hypothèses!$B$4=20),
IF($D302="Pressio.",
IF(OR($E302=3,$E302=1,$E302=4),FF302,FE302),
IF($D302="Pénétro.",
IF(OR($E302=3,$E302=1,$E302=4),FF302,FE302))),IF($D302="Pressio.",
IF($E302=3,FF302,FE302),
IF($D302="Pénétro.",
IF($E302=4,FF302,FE302))))</f>
        <v>#N/A</v>
      </c>
      <c r="FH302" s="31">
        <v>0</v>
      </c>
      <c r="FI302" s="102" t="e">
        <f>IF(NDC!$H$10="Oui",(VLOOKUP($B$3,'Coeff EC7'!$T$39:$X$59,2,0)*FG302+VLOOKUP($B$3,'Coeff EC7'!$T$65:$X$85,2,0)*Model0.1T!FH302)/1.5,PI()*FE$12*$Q302*($B302-$B301)*0.15/10+FI301)</f>
        <v>#N/A</v>
      </c>
      <c r="FJ302" s="102" t="e">
        <f>(VLOOKUP($B$3,'Coeff EC7'!$T$39:$X$59,3,0)*FG302+VLOOKUP($B$3,'Coeff EC7'!$T$65:$X$85,3,0)*Model0.1T!FH302)/1.1</f>
        <v>#N/A</v>
      </c>
      <c r="FK302" s="102" t="e">
        <f t="shared" si="498"/>
        <v>#N/A</v>
      </c>
      <c r="FL302" s="102" t="e">
        <f t="shared" si="499"/>
        <v>#N/A</v>
      </c>
      <c r="FM302" s="414" t="e">
        <f>IF(AND(FI302&gt;NDC!$C$63,FJ302&gt;NDC!$C$65,FK302&gt;NDC!$D$73,FL302&gt;NDC!$D$74,$B302&gt;NDC!$H$22-0.1+MIN(3*FM$12,1.5)),0,1)</f>
        <v>#N/A</v>
      </c>
    </row>
    <row r="303" spans="1:169">
      <c r="A303" s="96">
        <f t="shared" si="465"/>
        <v>71.000000000001648</v>
      </c>
      <c r="B303" s="97">
        <v>29</v>
      </c>
      <c r="C303" s="81">
        <f>IF(B303&lt;=Hypothèses!$C$7,Hypothèses!$A$7,IF(B303&lt;=Hypothèses!$C$8,Hypothèses!$A$8,IF(B303&lt;=Hypothèses!$C$9,Hypothèses!$A$9,IF(B303&lt;=Hypothèses!$C$10,Hypothèses!$A$10,IF(B303&lt;=Hypothèses!$C$11,Hypothèses!$A$11,IF(B303&lt;=Hypothèses!$C$12,Hypothèses!$A$12,IF(B303&lt;=Hypothèses!$C$13,Hypothèses!$A$13,IF(B303&lt;=Hypothèses!$C$14,Hypothèses!$A$14,IF(B303&lt;=Hypothèses!$C$15,Hypothèses!$A$15,IF(B303&lt;=Hypothèses!$C$16,Hypothèses!$A$16,IF(B303&lt;=Hypothèses!$C$17,Hypothèses!$A$17,IF(B303&lt;=Hypothèses!$C$18,Hypothèses!$A$18,C302))))))))))))</f>
        <v>11</v>
      </c>
      <c r="D303" s="82" t="str">
        <f>IF(B303&lt;=Hypothèses!$C$7,Hypothèses!$R$7,IF(B303&lt;=Hypothèses!$C$8,Hypothèses!$R$8,IF(B303&lt;=Hypothèses!$C$9,Hypothèses!$R$9,IF(B303&lt;=Hypothèses!$C$10,Hypothèses!$R$10,IF(B303&lt;=Hypothèses!$C$11,Hypothèses!$R$11,IF(B303&lt;=Hypothèses!$C$12,Hypothèses!$R$12,IF(B303&lt;=Hypothèses!$C$13,Hypothèses!$R$13,IF(B303&lt;=Hypothèses!$C$14,Hypothèses!$R$14,IF(B303&lt;=Hypothèses!$C$15,Hypothèses!$R$15,IF(B303&lt;=Hypothèses!$C$16,Hypothèses!$R$16,IF(B303&lt;=Hypothèses!$C$17,Hypothèses!$R$17,IF(B303&lt;=Hypothèses!$C$18,Hypothèses!$R$18,D302))))))))))))</f>
        <v>Pressio.</v>
      </c>
      <c r="E303" s="82" t="e">
        <f>IF(B303&lt;=Hypothèses!$C$7,Hypothèses!$G$7,IF(B303&lt;=Hypothèses!$C$8,Hypothèses!$G$8,IF(B303&lt;=Hypothèses!$C$9,Hypothèses!$G$9,IF(B303&lt;=Hypothèses!$C$10,Hypothèses!$G$10,IF(B303&lt;=Hypothèses!$C$11,Hypothèses!$G$11,IF(B303&lt;=Hypothèses!$C$12,Hypothèses!$G$12,IF(B303&lt;=Hypothèses!$C$13,Hypothèses!$G$13,IF(B303&lt;=Hypothèses!$C$14,Hypothèses!$G$14,IF(B303&lt;=Hypothèses!$C$15,Hypothèses!$G$15,IF(B303&lt;=Hypothèses!$C$16,Hypothèses!$G$16,IF(B303&lt;=Hypothèses!$C$17,Hypothèses!$G$17,IF(B303&lt;=Hypothèses!$C$18,Hypothèses!$G$18,E302))))))))))))</f>
        <v>#N/A</v>
      </c>
      <c r="F303" s="82" t="str">
        <f>IF(B303&lt;=Hypothèses!$C$7,Hypothèses!$F$7,IF(B303&lt;=Hypothèses!$C$8,Hypothèses!$F$8,IF(B303&lt;=Hypothèses!$C$9,Hypothèses!$F$9,IF(B303&lt;=Hypothèses!$C$10,Hypothèses!$F$10,IF(B303&lt;=Hypothèses!$C$11,Hypothèses!$F$11,IF(B303&lt;=Hypothèses!$C$12,Hypothèses!$F$12,IF(B303&lt;=Hypothèses!$C$13,Hypothèses!$F$13,IF(B303&lt;=Hypothèses!$C$14,Hypothèses!$F$14,IF(B303&lt;=Hypothèses!$C$15,Hypothèses!$F$15,IF(B303&lt;=Hypothèses!$C$16,Hypothèses!$F$16,IF(B303&lt;=Hypothèses!$C$17,Hypothèses!$F$17,IF(B303&lt;=Hypothèses!$C$18,Hypothèses!$F$18,F302))))))))))))</f>
        <v/>
      </c>
      <c r="G303" s="91">
        <f t="array" ref="G303">INDEX('Coeff EC7'!$U$7:$X$27,
MATCH(Model0.1T!$B$3,'Coeff EC7'!$T$7:$T$27,0),
MATCH(Model0.1T!$D303&amp;Model0.1T!$B$4,
'Coeff EC7'!$U$6:$X$6&amp;
'Coeff EC7'!$U$5:$X$5,0))</f>
        <v>1.4</v>
      </c>
      <c r="H303" s="91">
        <f t="array" ref="H303">INDEX('Coeff EC7'!$Y$7:$AB$27,
MATCH(Model0.1T!$B$3,'Coeff EC7'!$T$7:$T$27,0),
MATCH(Model0.1T!$D303&amp;Model0.1T!$B$4,
'Coeff EC7'!$Y$6:$AB$6&amp;
'Coeff EC7'!$Y$5:$AB$5,0))</f>
        <v>1.7</v>
      </c>
      <c r="I303" s="83">
        <v>0</v>
      </c>
      <c r="J303" s="91" t="e">
        <f t="array" ref="J303">INDEX('Coeff EC7'!$D$33:$Q$33,1,MATCH(D303&amp;E303,'Coeff EC7'!$D$31:$Q$31&amp;'Coeff EC7'!$D$32:$Q$32,0))</f>
        <v>#N/A</v>
      </c>
      <c r="K303" s="91" t="e">
        <f t="array" ref="K303">INDEX('Coeff EC7'!$D$34:$Q$34,1,MATCH(D303&amp;E303,'Coeff EC7'!$D$31:$Q$31&amp;'Coeff EC7'!$D$32:$Q$32,0))</f>
        <v>#N/A</v>
      </c>
      <c r="L303" s="91" t="e">
        <f t="array" ref="L303">INDEX('Coeff EC7'!$D$35:$Q$35,1,MATCH(D303&amp;E303,'Coeff EC7'!$D$31:$Q$31&amp;'Coeff EC7'!$D$32:$Q$32,0))</f>
        <v>#N/A</v>
      </c>
      <c r="M303" s="98" t="e">
        <f t="shared" si="431"/>
        <v>#N/A</v>
      </c>
      <c r="N303" s="99" t="e">
        <f t="array" ref="N303">INDEX('Coeff EC7'!$D$7:$Q$27,MATCH($B$3,'Coeff EC7'!$C$7:$C$27,0),MATCH(D303&amp;E303,'Coeff EC7'!$D$5:$Q$5&amp;'Coeff EC7'!$D$6:$Q$6,0))</f>
        <v>#N/A</v>
      </c>
      <c r="O303" s="99" t="e">
        <f t="array" ref="O303">INDEX('Coeff EC7'!$D$41:$Q$61,MATCH($B$3,'Coeff EC7'!$C$41:$C$61,0),MATCH(D303&amp;E303,'Coeff EC7'!$D$39:$Q$39&amp;'Coeff EC7'!$D$40:$Q$40,0))</f>
        <v>#N/A</v>
      </c>
      <c r="P303" s="30" t="e">
        <f t="shared" si="466"/>
        <v>#N/A</v>
      </c>
      <c r="Q303" s="100" t="e">
        <f t="shared" si="433"/>
        <v>#N/A</v>
      </c>
      <c r="R303" s="86" t="b">
        <f t="shared" si="434"/>
        <v>0</v>
      </c>
      <c r="S303" s="86">
        <f t="shared" si="432"/>
        <v>0.5</v>
      </c>
      <c r="T303" s="86">
        <f t="shared" si="435"/>
        <v>0.5</v>
      </c>
      <c r="U303" s="30" t="e">
        <f t="shared" ca="1" si="467"/>
        <v>#DIV/0!</v>
      </c>
      <c r="V303" s="85" t="str">
        <f>IF(B303&lt;=Hypothèses!$V$7,Hypothèses!$W$7,IF(B303&lt;=Hypothèses!$V$8,Hypothèses!$W$8,IF(B303&lt;=Hypothèses!$V$9,Hypothèses!$W$9,IF(B303&lt;=Hypothèses!$V$10,Hypothèses!$W$10,IF(B303&lt;=Hypothèses!$V$11,Hypothèses!$W$11,IF(B303&lt;=Hypothèses!$V$12,Hypothèses!$W$12,IF(B303&lt;=Hypothèses!$V$13,Hypothèses!$W$13,IF(B303&lt;=Hypothèses!$V$14,Hypothèses!$W$14,IF(B303&lt;=Hypothèses!$V$15,Hypothèses!$W$15,IF(B303&lt;=Hypothèses!$V$16,Hypothèses!$W$16,IF(B303&lt;=Hypothèses!$V$17,Hypothèses!$W$17,IF(B303&lt;=Hypothèses!$V$18,Hypothèses!$W$18,""))))))))))))</f>
        <v/>
      </c>
      <c r="W303" s="87" t="e">
        <f t="shared" ca="1" si="516"/>
        <v>#DIV/0!</v>
      </c>
      <c r="X303" s="88" t="str">
        <f>IF(B303&lt;=Hypothèses!$V$7,Hypothèses!$X$7,IF(B303&lt;=Hypothèses!$V$8,Hypothèses!$X$8,IF(B303&lt;=Hypothèses!$V$9,Hypothèses!$X$9,IF(B303&lt;=Hypothèses!$V$10,Hypothèses!$X$10,IF(B303&lt;=Hypothèses!$V$11,Hypothèses!$X$11,IF(B303&lt;=Hypothèses!$V$12,Hypothèses!$X$12,IF(B303&lt;=Hypothèses!$V$13,Hypothèses!$X$13,IF(B303&lt;=Hypothèses!$V$14,Hypothèses!$X$14,IF(B303&lt;=Hypothèses!$V$15,Hypothèses!$X$15,IF(B303&lt;=Hypothèses!$V$16,Hypothèses!$X$16,IF(B303&lt;=Hypothèses!$U$17,Hypothèses!$W$17,IF(B303&lt;=Hypothèses!$U$18,Hypothèses!$W$18,""))))))))))))</f>
        <v/>
      </c>
      <c r="Y303" s="95" t="e">
        <f t="shared" ca="1" si="436"/>
        <v>#DIV/0!</v>
      </c>
      <c r="Z303" s="101">
        <f t="shared" si="437"/>
        <v>0</v>
      </c>
      <c r="AA303" s="91">
        <f t="shared" si="438"/>
        <v>0</v>
      </c>
      <c r="AB303" s="30" t="e">
        <f t="shared" si="500"/>
        <v>#N/A</v>
      </c>
      <c r="AC303" s="30" t="e">
        <f t="shared" si="501"/>
        <v>#N/A</v>
      </c>
      <c r="AD303" s="31" t="e">
        <f>IF(OR(Hypothèses!$B$4=17,Hypothèses!$B$4=18,Hypothèses!$B$4=19,Hypothèses!$B$4=20),
IF($D303="Pressio.",
IF(OR($E303=3,$E303=1,$E303=4),AC303,AB303),
IF($D303="Pénétro.",
IF(OR($E303=3,$E303=1,$E303=4),AC303,AB303))),IF($D303="Pressio.",
IF($E303=3,AC303,AB303),
IF($D303="Pénétro.",
IF($E303=4,AC303,AB303))))</f>
        <v>#N/A</v>
      </c>
      <c r="AE303" s="31">
        <v>0</v>
      </c>
      <c r="AF303" s="102" t="e">
        <f>IF(NDC!$H$10="Oui",(VLOOKUP($B$3,'Coeff EC7'!$T$39:$X$59,2,0)*AD303+VLOOKUP($B$3,'Coeff EC7'!$T$65:$X$85,2,0)*Model0.1T!AE303)/1.5,PI()*AB$12*$Q303*($B303-$B302)*0.15/10+AF302)</f>
        <v>#N/A</v>
      </c>
      <c r="AG303" s="102" t="e">
        <f>(VLOOKUP($B$3,'Coeff EC7'!$T$39:$X$59,3,0)*AD303+VLOOKUP($B$3,'Coeff EC7'!$T$65:$X$85,3,0)*Model0.1T!AE303)/1.1</f>
        <v>#N/A</v>
      </c>
      <c r="AH303" s="102" t="e">
        <f t="shared" si="468"/>
        <v>#N/A</v>
      </c>
      <c r="AI303" s="102" t="e">
        <f t="shared" si="469"/>
        <v>#N/A</v>
      </c>
      <c r="AJ303" s="414" t="e">
        <f>IF(AND(AF303&gt;NDC!$C$63,AG303&gt;NDC!$C$65,AH303&gt;NDC!$D$73,AI303&gt;NDC!$D$74,$B303&gt;NDC!$H$22-0.1+MIN(3*$AJ$12,1.5)),0,1)</f>
        <v>#N/A</v>
      </c>
      <c r="AK303" s="86" t="b">
        <f t="shared" si="439"/>
        <v>0</v>
      </c>
      <c r="AL303" s="86">
        <f t="shared" si="470"/>
        <v>0.5</v>
      </c>
      <c r="AM303" s="86">
        <f t="shared" si="440"/>
        <v>0.5</v>
      </c>
      <c r="AN303" s="30" t="e">
        <f t="shared" ca="1" si="471"/>
        <v>#DIV/0!</v>
      </c>
      <c r="AO303" s="85" t="e">
        <f ca="1">IF(U303&lt;=Hypothèses!$V$7,Hypothèses!$W$7,IF(U303&lt;=Hypothèses!$V$8,Hypothèses!$W$8,IF(U303&lt;=Hypothèses!$V$9,Hypothèses!$W$9,IF(U303&lt;=Hypothèses!$V$10,Hypothèses!$W$10,IF(U303&lt;=Hypothèses!$V$11,Hypothèses!$W$11,IF(U303&lt;=Hypothèses!$V$12,Hypothèses!$W$12,IF(U303&lt;=Hypothèses!$V$13,Hypothèses!$W$13,IF(U303&lt;=Hypothèses!$V$14,Hypothèses!$W$14,IF(U303&lt;=Hypothèses!$V$15,Hypothèses!$W$15,IF(U303&lt;=Hypothèses!$V$16,Hypothèses!$W$16,IF(U303&lt;=Hypothèses!$V$17,Hypothèses!$W$17,IF(U303&lt;=Hypothèses!$V$18,Hypothèses!$W$18,""))))))))))))</f>
        <v>#DIV/0!</v>
      </c>
      <c r="AP303" s="87" t="e">
        <f t="shared" ca="1" si="517"/>
        <v>#DIV/0!</v>
      </c>
      <c r="AQ303" s="88" t="e">
        <f ca="1">IF(U303&lt;=Hypothèses!$V$7,Hypothèses!$X$7,IF(U303&lt;=Hypothèses!$V$8,Hypothèses!$X$8,IF(U303&lt;=Hypothèses!$V$9,Hypothèses!$X$9,IF(U303&lt;=Hypothèses!$V$10,Hypothèses!$X$10,IF(U303&lt;=Hypothèses!$V$11,Hypothèses!$X$11,IF(U303&lt;=Hypothèses!$V$12,Hypothèses!$X$12,IF(U303&lt;=Hypothèses!$V$13,Hypothèses!$X$13,IF(U303&lt;=Hypothèses!$V$14,Hypothèses!$X$14,IF(U303&lt;=Hypothèses!$V$15,Hypothèses!$X$15,IF(U303&lt;=Hypothèses!$V$16,Hypothèses!$X$16,IF(U303&lt;=Hypothèses!$U$17,Hypothèses!$W$17,IF(U303&lt;=Hypothèses!$U$18,Hypothèses!$W$18,""))))))))))))</f>
        <v>#DIV/0!</v>
      </c>
      <c r="AR303" s="95" t="e">
        <f t="shared" ca="1" si="472"/>
        <v>#DIV/0!</v>
      </c>
      <c r="AS303" s="101">
        <f t="shared" si="524"/>
        <v>0</v>
      </c>
      <c r="AT303" s="91">
        <f t="shared" si="441"/>
        <v>0</v>
      </c>
      <c r="AU303" s="30" t="e">
        <f t="shared" si="502"/>
        <v>#N/A</v>
      </c>
      <c r="AV303" s="30" t="e">
        <f t="shared" si="503"/>
        <v>#N/A</v>
      </c>
      <c r="AW303" s="31" t="e">
        <f>IF(OR(Hypothèses!$B$4=17,Hypothèses!$B$4=18,Hypothèses!$B$4=19,Hypothèses!$B$4=20),
IF($D303="Pressio.",
IF(OR($E303=3,$E303=1,$E303=4),AV303,AU303),
IF($D303="Pénétro.",
IF(OR($E303=3,$E303=1,$E303=4),AV303,AU303))),IF($D303="Pressio.",
IF($E303=3,AV303,AU303),
IF($D303="Pénétro.",
IF($E303=4,AV303,AU303))))</f>
        <v>#N/A</v>
      </c>
      <c r="AX303" s="31">
        <v>0</v>
      </c>
      <c r="AY303" s="102" t="e">
        <f>IF(NDC!$H$10="Oui",(VLOOKUP($B$3,'Coeff EC7'!$T$39:$X$59,2,0)*AW303+VLOOKUP($B$3,'Coeff EC7'!$T$65:$X$85,2,0)*Model0.1T!AX303)/1.5,PI()*AU$12*$Q303*($B303-$B302)*0.15/10+AY302)</f>
        <v>#N/A</v>
      </c>
      <c r="AZ303" s="102" t="e">
        <f>(VLOOKUP($B$3,'Coeff EC7'!$T$39:$X$59,3,0)*AW303+VLOOKUP($B$3,'Coeff EC7'!$T$65:$X$85,3,0)*Model0.1T!AX303)/1.1</f>
        <v>#N/A</v>
      </c>
      <c r="BA303" s="102" t="e">
        <f t="shared" si="473"/>
        <v>#N/A</v>
      </c>
      <c r="BB303" s="102" t="e">
        <f t="shared" si="474"/>
        <v>#N/A</v>
      </c>
      <c r="BC303" s="414" t="e">
        <f>IF(AND(AY303&gt;NDC!$C$63,AZ303&gt;NDC!$C$65,BA303&gt;NDC!$D$73,BB303&gt;NDC!$D$74,$B303&gt;NDC!$H$22-0.1+MIN(3*BC$12,1.5)),0,1)</f>
        <v>#N/A</v>
      </c>
      <c r="BD303" s="86" t="b">
        <f t="shared" si="442"/>
        <v>0</v>
      </c>
      <c r="BE303" s="86">
        <f t="shared" si="475"/>
        <v>0.5</v>
      </c>
      <c r="BF303" s="86">
        <f t="shared" si="443"/>
        <v>0.5</v>
      </c>
      <c r="BG303" s="30" t="e">
        <f t="shared" ca="1" si="476"/>
        <v>#DIV/0!</v>
      </c>
      <c r="BH303" s="85" t="e">
        <f ca="1">IF(AN303&lt;=Hypothèses!$V$7,Hypothèses!$W$7,IF(AN303&lt;=Hypothèses!$V$8,Hypothèses!$W$8,IF(AN303&lt;=Hypothèses!$V$9,Hypothèses!$W$9,IF(AN303&lt;=Hypothèses!$V$10,Hypothèses!$W$10,IF(AN303&lt;=Hypothèses!$V$11,Hypothèses!$W$11,IF(AN303&lt;=Hypothèses!$V$12,Hypothèses!$W$12,IF(AN303&lt;=Hypothèses!$V$13,Hypothèses!$W$13,IF(AN303&lt;=Hypothèses!$V$14,Hypothèses!$W$14,IF(AN303&lt;=Hypothèses!$V$15,Hypothèses!$W$15,IF(AN303&lt;=Hypothèses!$V$16,Hypothèses!$W$16,IF(AN303&lt;=Hypothèses!$V$17,Hypothèses!$W$17,IF(AN303&lt;=Hypothèses!$V$18,Hypothèses!$W$18,""))))))))))))</f>
        <v>#DIV/0!</v>
      </c>
      <c r="BI303" s="87" t="e">
        <f t="shared" ca="1" si="518"/>
        <v>#DIV/0!</v>
      </c>
      <c r="BJ303" s="88" t="e">
        <f ca="1">IF(AN303&lt;=Hypothèses!$V$7,Hypothèses!$X$7,IF(AN303&lt;=Hypothèses!$V$8,Hypothèses!$X$8,IF(AN303&lt;=Hypothèses!$V$9,Hypothèses!$X$9,IF(AN303&lt;=Hypothèses!$V$10,Hypothèses!$X$10,IF(AN303&lt;=Hypothèses!$V$11,Hypothèses!$X$11,IF(AN303&lt;=Hypothèses!$V$12,Hypothèses!$X$12,IF(AN303&lt;=Hypothèses!$V$13,Hypothèses!$X$13,IF(AN303&lt;=Hypothèses!$V$14,Hypothèses!$X$14,IF(AN303&lt;=Hypothèses!$V$15,Hypothèses!$X$15,IF(AN303&lt;=Hypothèses!$V$16,Hypothèses!$X$16,IF(AN303&lt;=Hypothèses!$U$17,Hypothèses!$W$17,IF(AN303&lt;=Hypothèses!$U$18,Hypothèses!$W$18,""))))))))))))</f>
        <v>#DIV/0!</v>
      </c>
      <c r="BK303" s="95" t="e">
        <f t="shared" ca="1" si="477"/>
        <v>#DIV/0!</v>
      </c>
      <c r="BL303" s="101">
        <f t="shared" si="525"/>
        <v>0</v>
      </c>
      <c r="BM303" s="91">
        <f t="shared" si="444"/>
        <v>0</v>
      </c>
      <c r="BN303" s="30" t="e">
        <f t="shared" si="504"/>
        <v>#N/A</v>
      </c>
      <c r="BO303" s="30" t="e">
        <f t="shared" si="505"/>
        <v>#N/A</v>
      </c>
      <c r="BP303" s="31" t="e">
        <f>IF(OR(Hypothèses!$B$4=17,Hypothèses!$B$4=18,Hypothèses!$B$4=19,Hypothèses!$B$4=20),
IF($D303="Pressio.",
IF(OR($E303=3,$E303=1,$E303=4),BO303,BN303),
IF($D303="Pénétro.",
IF(OR($E303=3,$E303=1,$E303=4),BO303,BN303))),IF($D303="Pressio.",
IF($E303=3,BO303,BN303),
IF($D303="Pénétro.",
IF($E303=4,BO303,BN303))))</f>
        <v>#N/A</v>
      </c>
      <c r="BQ303" s="31">
        <v>0</v>
      </c>
      <c r="BR303" s="102" t="e">
        <f>IF(NDC!$H$10="Oui",(VLOOKUP($B$3,'Coeff EC7'!$T$39:$X$59,2,0)*BP303+VLOOKUP($B$3,'Coeff EC7'!$T$65:$X$85,2,0)*Model0.1T!BQ303)/1.5,PI()*BN$12*$Q303*($B303-$B302)*0.15/10+BR302)</f>
        <v>#N/A</v>
      </c>
      <c r="BS303" s="102" t="e">
        <f>(VLOOKUP($B$3,'Coeff EC7'!$T$39:$X$59,3,0)*BP303+VLOOKUP($B$3,'Coeff EC7'!$T$65:$X$85,3,0)*Model0.1T!BQ303)/1.1</f>
        <v>#N/A</v>
      </c>
      <c r="BT303" s="102" t="e">
        <f t="shared" si="478"/>
        <v>#N/A</v>
      </c>
      <c r="BU303" s="102" t="e">
        <f t="shared" si="479"/>
        <v>#N/A</v>
      </c>
      <c r="BV303" s="414" t="e">
        <f>IF(AND(BR303&gt;NDC!$C$63,BS303&gt;NDC!$C$65,BT303&gt;NDC!$D$73,BU303&gt;NDC!$D$74,$B303&gt;NDC!$H$22-0.1+MIN(3*BV$12,1.5)),0,1)</f>
        <v>#N/A</v>
      </c>
      <c r="BW303" s="86" t="b">
        <f t="shared" si="445"/>
        <v>0</v>
      </c>
      <c r="BX303" s="86">
        <f t="shared" si="446"/>
        <v>0.5</v>
      </c>
      <c r="BY303" s="86">
        <f t="shared" si="447"/>
        <v>0.5</v>
      </c>
      <c r="BZ303" s="30" t="e">
        <f t="shared" ca="1" si="480"/>
        <v>#DIV/0!</v>
      </c>
      <c r="CA303" s="85" t="e">
        <f ca="1">IF(BG303&lt;=Hypothèses!$V$7,Hypothèses!$W$7,IF(BG303&lt;=Hypothèses!$V$8,Hypothèses!$W$8,IF(BG303&lt;=Hypothèses!$V$9,Hypothèses!$W$9,IF(BG303&lt;=Hypothèses!$V$10,Hypothèses!$W$10,IF(BG303&lt;=Hypothèses!$V$11,Hypothèses!$W$11,IF(BG303&lt;=Hypothèses!$V$12,Hypothèses!$W$12,IF(BG303&lt;=Hypothèses!$V$13,Hypothèses!$W$13,IF(BG303&lt;=Hypothèses!$V$14,Hypothèses!$W$14,IF(BG303&lt;=Hypothèses!$V$15,Hypothèses!$W$15,IF(BG303&lt;=Hypothèses!$V$16,Hypothèses!$W$16,IF(BG303&lt;=Hypothèses!$V$17,Hypothèses!$W$17,IF(BG303&lt;=Hypothèses!$V$18,Hypothèses!$W$18,""))))))))))))</f>
        <v>#DIV/0!</v>
      </c>
      <c r="CB303" s="87" t="e">
        <f t="shared" ca="1" si="519"/>
        <v>#DIV/0!</v>
      </c>
      <c r="CC303" s="88" t="e">
        <f ca="1">IF(BG303&lt;=Hypothèses!$V$7,Hypothèses!$X$7,IF(BG303&lt;=Hypothèses!$V$8,Hypothèses!$X$8,IF(BG303&lt;=Hypothèses!$V$9,Hypothèses!$X$9,IF(BG303&lt;=Hypothèses!$V$10,Hypothèses!$X$10,IF(BG303&lt;=Hypothèses!$V$11,Hypothèses!$X$11,IF(BG303&lt;=Hypothèses!$V$12,Hypothèses!$X$12,IF(BG303&lt;=Hypothèses!$V$13,Hypothèses!$X$13,IF(BG303&lt;=Hypothèses!$V$14,Hypothèses!$X$14,IF(BG303&lt;=Hypothèses!$V$15,Hypothèses!$X$15,IF(BG303&lt;=Hypothèses!$V$16,Hypothèses!$X$16,IF(BG303&lt;=Hypothèses!$U$17,Hypothèses!$W$17,IF(BG303&lt;=Hypothèses!$U$18,Hypothèses!$W$18,""))))))))))))</f>
        <v>#DIV/0!</v>
      </c>
      <c r="CD303" s="95" t="e">
        <f t="shared" ca="1" si="481"/>
        <v>#DIV/0!</v>
      </c>
      <c r="CE303" s="101">
        <f t="shared" si="526"/>
        <v>0</v>
      </c>
      <c r="CF303" s="91">
        <f t="shared" si="448"/>
        <v>0</v>
      </c>
      <c r="CG303" s="30" t="e">
        <f t="shared" si="506"/>
        <v>#N/A</v>
      </c>
      <c r="CH303" s="30" t="e">
        <f t="shared" si="507"/>
        <v>#N/A</v>
      </c>
      <c r="CI303" s="31" t="e">
        <f>IF(OR(Hypothèses!$B$4=17,Hypothèses!$B$4=18,Hypothèses!$B$4=19,Hypothèses!$B$4=20),
IF($D303="Pressio.",
IF(OR($E303=3,$E303=1,$E303=4),CH303,CG303),
IF($D303="Pénétro.",
IF(OR($E303=3,$E303=1,$E303=4),CH303,CG303))),IF($D303="Pressio.",
IF($E303=3,CH303,CG303),
IF($D303="Pénétro.",
IF($E303=4,CH303,CG303))))</f>
        <v>#N/A</v>
      </c>
      <c r="CJ303" s="31">
        <v>0</v>
      </c>
      <c r="CK303" s="102" t="e">
        <f>IF(NDC!$H$10="Oui",(VLOOKUP($B$3,'Coeff EC7'!$T$39:$X$59,2,0)*CI303+VLOOKUP($B$3,'Coeff EC7'!$T$65:$X$85,2,0)*Model0.1T!CJ303)/1.5,PI()*CG$12*$Q303*($B303-$B302)*0.15/10+CK302)</f>
        <v>#N/A</v>
      </c>
      <c r="CL303" s="102" t="e">
        <f>(VLOOKUP($B$3,'Coeff EC7'!$T$39:$X$59,3,0)*CI303+VLOOKUP($B$3,'Coeff EC7'!$T$65:$X$85,3,0)*Model0.1T!CJ303)/1.1</f>
        <v>#N/A</v>
      </c>
      <c r="CM303" s="102" t="e">
        <f t="shared" si="482"/>
        <v>#N/A</v>
      </c>
      <c r="CN303" s="102" t="e">
        <f t="shared" si="483"/>
        <v>#N/A</v>
      </c>
      <c r="CO303" s="414" t="e">
        <f>IF(AND(CK303&gt;NDC!$C$63,CL303&gt;NDC!$C$65,CM303&gt;NDC!$D$73,CN303&gt;NDC!$D$74,$B303&gt;NDC!$H$22-0.1+MIN(3*CO$12,1.5)),0,1)</f>
        <v>#N/A</v>
      </c>
      <c r="CP303" s="86" t="b">
        <f t="shared" si="449"/>
        <v>0</v>
      </c>
      <c r="CQ303" s="86">
        <f t="shared" si="450"/>
        <v>0.5</v>
      </c>
      <c r="CR303" s="86">
        <f t="shared" si="451"/>
        <v>0.5</v>
      </c>
      <c r="CS303" s="30" t="e">
        <f t="shared" ca="1" si="484"/>
        <v>#DIV/0!</v>
      </c>
      <c r="CT303" s="85" t="e">
        <f ca="1">IF(BZ303&lt;=Hypothèses!$V$7,Hypothèses!$W$7,IF(BZ303&lt;=Hypothèses!$V$8,Hypothèses!$W$8,IF(BZ303&lt;=Hypothèses!$V$9,Hypothèses!$W$9,IF(BZ303&lt;=Hypothèses!$V$10,Hypothèses!$W$10,IF(BZ303&lt;=Hypothèses!$V$11,Hypothèses!$W$11,IF(BZ303&lt;=Hypothèses!$V$12,Hypothèses!$W$12,IF(BZ303&lt;=Hypothèses!$V$13,Hypothèses!$W$13,IF(BZ303&lt;=Hypothèses!$V$14,Hypothèses!$W$14,IF(BZ303&lt;=Hypothèses!$V$15,Hypothèses!$W$15,IF(BZ303&lt;=Hypothèses!$V$16,Hypothèses!$W$16,IF(BZ303&lt;=Hypothèses!$V$17,Hypothèses!$W$17,IF(BZ303&lt;=Hypothèses!$V$18,Hypothèses!$W$18,""))))))))))))</f>
        <v>#DIV/0!</v>
      </c>
      <c r="CU303" s="87" t="e">
        <f t="shared" ca="1" si="520"/>
        <v>#DIV/0!</v>
      </c>
      <c r="CV303" s="88" t="e">
        <f ca="1">IF(BZ303&lt;=Hypothèses!$V$7,Hypothèses!$X$7,IF(BZ303&lt;=Hypothèses!$V$8,Hypothèses!$X$8,IF(BZ303&lt;=Hypothèses!$V$9,Hypothèses!$X$9,IF(BZ303&lt;=Hypothèses!$V$10,Hypothèses!$X$10,IF(BZ303&lt;=Hypothèses!$V$11,Hypothèses!$X$11,IF(BZ303&lt;=Hypothèses!$V$12,Hypothèses!$X$12,IF(BZ303&lt;=Hypothèses!$V$13,Hypothèses!$X$13,IF(BZ303&lt;=Hypothèses!$V$14,Hypothèses!$X$14,IF(BZ303&lt;=Hypothèses!$V$15,Hypothèses!$X$15,IF(BZ303&lt;=Hypothèses!$V$16,Hypothèses!$X$16,IF(BZ303&lt;=Hypothèses!$U$17,Hypothèses!$W$17,IF(BZ303&lt;=Hypothèses!$U$18,Hypothèses!$W$18,""))))))))))))</f>
        <v>#DIV/0!</v>
      </c>
      <c r="CW303" s="95" t="e">
        <f t="shared" ca="1" si="485"/>
        <v>#DIV/0!</v>
      </c>
      <c r="CX303" s="101">
        <f t="shared" si="527"/>
        <v>0</v>
      </c>
      <c r="CY303" s="91">
        <f t="shared" si="452"/>
        <v>0</v>
      </c>
      <c r="CZ303" s="30" t="e">
        <f t="shared" si="508"/>
        <v>#N/A</v>
      </c>
      <c r="DA303" s="30" t="e">
        <f t="shared" si="509"/>
        <v>#N/A</v>
      </c>
      <c r="DB303" s="31" t="e">
        <f>IF(OR(Hypothèses!$B$4=17,Hypothèses!$B$4=18,Hypothèses!$B$4=19,Hypothèses!$B$4=20),
IF($D303="Pressio.",
IF(OR($E303=3,$E303=1,$E303=4),DA303,CZ303),
IF($D303="Pénétro.",
IF(OR($E303=3,$E303=1,$E303=4),DA303,CZ303))),IF($D303="Pressio.",
IF($E303=3,DA303,CZ303),
IF($D303="Pénétro.",
IF($E303=4,DA303,CZ303))))</f>
        <v>#N/A</v>
      </c>
      <c r="DC303" s="31">
        <v>0</v>
      </c>
      <c r="DD303" s="102" t="e">
        <f>IF(NDC!$H$10="Oui",(VLOOKUP($B$3,'Coeff EC7'!$T$39:$X$59,2,0)*DB303+VLOOKUP($B$3,'Coeff EC7'!$T$65:$X$85,2,0)*Model0.1T!DC303)/1.5,PI()*CZ$12*$Q303*($B303-$B302)*0.15/10+DD302)</f>
        <v>#N/A</v>
      </c>
      <c r="DE303" s="102" t="e">
        <f>(VLOOKUP($B$3,'Coeff EC7'!$T$39:$X$59,3,0)*DB303+VLOOKUP($B$3,'Coeff EC7'!$T$65:$X$85,3,0)*Model0.1T!DC303)/1.1</f>
        <v>#N/A</v>
      </c>
      <c r="DF303" s="102" t="e">
        <f t="shared" si="486"/>
        <v>#N/A</v>
      </c>
      <c r="DG303" s="102" t="e">
        <f t="shared" si="487"/>
        <v>#N/A</v>
      </c>
      <c r="DH303" s="414" t="e">
        <f>IF(AND(DD303&gt;NDC!$C$63,DE303&gt;NDC!$C$65,DF303&gt;NDC!$D$73,DG303&gt;NDC!$D$74,$B303&gt;NDC!$H$22-0.1+MIN(3*DH$12,1.5)),0,1)</f>
        <v>#N/A</v>
      </c>
      <c r="DI303" s="86" t="b">
        <f t="shared" si="453"/>
        <v>0</v>
      </c>
      <c r="DJ303" s="86">
        <f t="shared" si="454"/>
        <v>0.5</v>
      </c>
      <c r="DK303" s="86">
        <f t="shared" si="455"/>
        <v>0.5</v>
      </c>
      <c r="DL303" s="30" t="e">
        <f t="shared" ca="1" si="488"/>
        <v>#DIV/0!</v>
      </c>
      <c r="DM303" s="85" t="e">
        <f ca="1">IF(CS303&lt;=Hypothèses!$V$7,Hypothèses!$W$7,IF(CS303&lt;=Hypothèses!$V$8,Hypothèses!$W$8,IF(CS303&lt;=Hypothèses!$V$9,Hypothèses!$W$9,IF(CS303&lt;=Hypothèses!$V$10,Hypothèses!$W$10,IF(CS303&lt;=Hypothèses!$V$11,Hypothèses!$W$11,IF(CS303&lt;=Hypothèses!$V$12,Hypothèses!$W$12,IF(CS303&lt;=Hypothèses!$V$13,Hypothèses!$W$13,IF(CS303&lt;=Hypothèses!$V$14,Hypothèses!$W$14,IF(CS303&lt;=Hypothèses!$V$15,Hypothèses!$W$15,IF(CS303&lt;=Hypothèses!$V$16,Hypothèses!$W$16,IF(CS303&lt;=Hypothèses!$V$17,Hypothèses!$W$17,IF(CS303&lt;=Hypothèses!$V$18,Hypothèses!$W$18,""))))))))))))</f>
        <v>#DIV/0!</v>
      </c>
      <c r="DN303" s="87" t="e">
        <f t="shared" ca="1" si="521"/>
        <v>#DIV/0!</v>
      </c>
      <c r="DO303" s="88" t="e">
        <f ca="1">IF(CS303&lt;=Hypothèses!$V$7,Hypothèses!$X$7,IF(CS303&lt;=Hypothèses!$V$8,Hypothèses!$X$8,IF(CS303&lt;=Hypothèses!$V$9,Hypothèses!$X$9,IF(CS303&lt;=Hypothèses!$V$10,Hypothèses!$X$10,IF(CS303&lt;=Hypothèses!$V$11,Hypothèses!$X$11,IF(CS303&lt;=Hypothèses!$V$12,Hypothèses!$X$12,IF(CS303&lt;=Hypothèses!$V$13,Hypothèses!$X$13,IF(CS303&lt;=Hypothèses!$V$14,Hypothèses!$X$14,IF(CS303&lt;=Hypothèses!$V$15,Hypothèses!$X$15,IF(CS303&lt;=Hypothèses!$V$16,Hypothèses!$X$16,IF(CS303&lt;=Hypothèses!$U$17,Hypothèses!$W$17,IF(CS303&lt;=Hypothèses!$U$18,Hypothèses!$W$18,""))))))))))))</f>
        <v>#DIV/0!</v>
      </c>
      <c r="DP303" s="95" t="e">
        <f t="shared" ca="1" si="489"/>
        <v>#DIV/0!</v>
      </c>
      <c r="DQ303" s="101">
        <f t="shared" si="528"/>
        <v>0</v>
      </c>
      <c r="DR303" s="91">
        <f t="shared" si="456"/>
        <v>0</v>
      </c>
      <c r="DS303" s="30" t="e">
        <f t="shared" si="510"/>
        <v>#N/A</v>
      </c>
      <c r="DT303" s="30" t="e">
        <f t="shared" si="511"/>
        <v>#N/A</v>
      </c>
      <c r="DU303" s="31" t="e">
        <f>IF(OR(Hypothèses!$B$4=17,Hypothèses!$B$4=18,Hypothèses!$B$4=19,Hypothèses!$B$4=20),
IF($D303="Pressio.",
IF(OR($E303=3,$E303=1,$E303=4),DT303,DS303),
IF($D303="Pénétro.",
IF(OR($E303=3,$E303=1,$E303=4),DT303,DS303))),IF($D303="Pressio.",
IF($E303=3,DT303,DS303),
IF($D303="Pénétro.",
IF($E303=4,DT303,DS303))))</f>
        <v>#N/A</v>
      </c>
      <c r="DV303" s="31">
        <v>0</v>
      </c>
      <c r="DW303" s="102" t="e">
        <f>IF(NDC!$H$10="Oui",(VLOOKUP($B$3,'Coeff EC7'!$T$39:$X$59,2,0)*DU303+VLOOKUP($B$3,'Coeff EC7'!$T$65:$X$85,2,0)*Model0.1T!DV303)/1.5,PI()*DS$12*$Q303*($B303-$B302)*0.15/10+DW302)</f>
        <v>#N/A</v>
      </c>
      <c r="DX303" s="102" t="e">
        <f>(VLOOKUP($B$3,'Coeff EC7'!$T$39:$X$59,3,0)*DU303+VLOOKUP($B$3,'Coeff EC7'!$T$65:$X$85,3,0)*Model0.1T!DV303)/1.1</f>
        <v>#N/A</v>
      </c>
      <c r="DY303" s="102" t="e">
        <f t="shared" si="490"/>
        <v>#N/A</v>
      </c>
      <c r="DZ303" s="102" t="e">
        <f t="shared" si="491"/>
        <v>#N/A</v>
      </c>
      <c r="EA303" s="414" t="e">
        <f>IF(AND(DW303&gt;NDC!$C$63,DX303&gt;NDC!$C$65,DY303&gt;NDC!$D$73,DZ303&gt;NDC!$D$74,$B303&gt;NDC!$H$22-0.1+MIN(3*EA$12,1.5)),0,1)</f>
        <v>#N/A</v>
      </c>
      <c r="EB303" s="86" t="b">
        <f t="shared" si="457"/>
        <v>0</v>
      </c>
      <c r="EC303" s="418">
        <f t="shared" si="458"/>
        <v>0.51</v>
      </c>
      <c r="ED303" s="86">
        <f t="shared" si="459"/>
        <v>0.51</v>
      </c>
      <c r="EE303" s="30" t="e">
        <f t="shared" ca="1" si="492"/>
        <v>#DIV/0!</v>
      </c>
      <c r="EF303" s="85" t="e">
        <f ca="1">IF(DL303&lt;=Hypothèses!$V$7,Hypothèses!$W$7,IF(DL303&lt;=Hypothèses!$V$8,Hypothèses!$W$8,IF(DL303&lt;=Hypothèses!$V$9,Hypothèses!$W$9,IF(DL303&lt;=Hypothèses!$V$10,Hypothèses!$W$10,IF(DL303&lt;=Hypothèses!$V$11,Hypothèses!$W$11,IF(DL303&lt;=Hypothèses!$V$12,Hypothèses!$W$12,IF(DL303&lt;=Hypothèses!$V$13,Hypothèses!$W$13,IF(DL303&lt;=Hypothèses!$V$14,Hypothèses!$W$14,IF(DL303&lt;=Hypothèses!$V$15,Hypothèses!$W$15,IF(DL303&lt;=Hypothèses!$V$16,Hypothèses!$W$16,IF(DL303&lt;=Hypothèses!$V$17,Hypothèses!$W$17,IF(DL303&lt;=Hypothèses!$V$18,Hypothèses!$W$18,""))))))))))))</f>
        <v>#DIV/0!</v>
      </c>
      <c r="EG303" s="87" t="e">
        <f t="shared" ca="1" si="522"/>
        <v>#DIV/0!</v>
      </c>
      <c r="EH303" s="88" t="e">
        <f ca="1">IF(DL303&lt;=Hypothèses!$V$7,Hypothèses!$X$7,IF(DL303&lt;=Hypothèses!$V$8,Hypothèses!$X$8,IF(DL303&lt;=Hypothèses!$V$9,Hypothèses!$X$9,IF(DL303&lt;=Hypothèses!$V$10,Hypothèses!$X$10,IF(DL303&lt;=Hypothèses!$V$11,Hypothèses!$X$11,IF(DL303&lt;=Hypothèses!$V$12,Hypothèses!$X$12,IF(DL303&lt;=Hypothèses!$V$13,Hypothèses!$X$13,IF(DL303&lt;=Hypothèses!$V$14,Hypothèses!$X$14,IF(DL303&lt;=Hypothèses!$V$15,Hypothèses!$X$15,IF(DL303&lt;=Hypothèses!$V$16,Hypothèses!$X$16,IF(DL303&lt;=Hypothèses!$U$17,Hypothèses!$W$17,IF(DL303&lt;=Hypothèses!$U$18,Hypothèses!$W$18,""))))))))))))</f>
        <v>#DIV/0!</v>
      </c>
      <c r="EI303" s="95" t="e">
        <f t="shared" ca="1" si="493"/>
        <v>#DIV/0!</v>
      </c>
      <c r="EJ303" s="101">
        <f t="shared" si="529"/>
        <v>0</v>
      </c>
      <c r="EK303" s="91">
        <f t="shared" si="460"/>
        <v>0</v>
      </c>
      <c r="EL303" s="30" t="e">
        <f t="shared" si="512"/>
        <v>#N/A</v>
      </c>
      <c r="EM303" s="30" t="e">
        <f t="shared" si="513"/>
        <v>#N/A</v>
      </c>
      <c r="EN303" s="31" t="e">
        <f>IF(OR(Hypothèses!$B$4=17,Hypothèses!$B$4=18,Hypothèses!$B$4=19,Hypothèses!$B$4=20),
IF($D303="Pressio.",
IF(OR($E303=3,$E303=1,$E303=4),EM303,EL303),
IF($D303="Pénétro.",
IF(OR($E303=3,$E303=1,$E303=4),EM303,EL303))),IF($D303="Pressio.",
IF($E303=3,EM303,EL303),
IF($D303="Pénétro.",
IF($E303=4,EM303,EL303))))</f>
        <v>#N/A</v>
      </c>
      <c r="EO303" s="31">
        <v>0</v>
      </c>
      <c r="EP303" s="102" t="e">
        <f>IF(NDC!$H$10="Oui",(VLOOKUP($B$3,'Coeff EC7'!$T$39:$X$59,2,0)*EN303+VLOOKUP($B$3,'Coeff EC7'!$T$65:$X$85,2,0)*Model0.1T!EO303)/1.5,PI()*EL$12*$Q303*($B303-$B302)*0.15/10+EP302)</f>
        <v>#N/A</v>
      </c>
      <c r="EQ303" s="102" t="e">
        <f>(VLOOKUP($B$3,'Coeff EC7'!$T$39:$X$59,3,0)*EN303+VLOOKUP($B$3,'Coeff EC7'!$T$65:$X$85,3,0)*Model0.1T!EO303)/1.1</f>
        <v>#N/A</v>
      </c>
      <c r="ER303" s="102" t="e">
        <f t="shared" si="494"/>
        <v>#N/A</v>
      </c>
      <c r="ES303" s="102" t="e">
        <f t="shared" si="495"/>
        <v>#N/A</v>
      </c>
      <c r="ET303" s="414" t="e">
        <f>IF(AND(EP303&gt;NDC!$C$63,EQ303&gt;NDC!$C$65,ER303&gt;NDC!$D$73,ES303&gt;NDC!$D$74,$B303&gt;NDC!$H$22-0.1+MIN(3*ET$12,1.5)),0,1)</f>
        <v>#N/A</v>
      </c>
      <c r="EU303" s="86" t="b">
        <f t="shared" si="461"/>
        <v>0</v>
      </c>
      <c r="EV303" s="86">
        <f t="shared" si="462"/>
        <v>0.61</v>
      </c>
      <c r="EW303" s="86">
        <f t="shared" si="463"/>
        <v>0.61</v>
      </c>
      <c r="EX303" s="30" t="e">
        <f t="shared" ca="1" si="496"/>
        <v>#DIV/0!</v>
      </c>
      <c r="EY303" s="85" t="e">
        <f ca="1">IF(EE303&lt;=Hypothèses!$V$7,Hypothèses!$W$7,IF(EE303&lt;=Hypothèses!$V$8,Hypothèses!$W$8,IF(EE303&lt;=Hypothèses!$V$9,Hypothèses!$W$9,IF(EE303&lt;=Hypothèses!$V$10,Hypothèses!$W$10,IF(EE303&lt;=Hypothèses!$V$11,Hypothèses!$W$11,IF(EE303&lt;=Hypothèses!$V$12,Hypothèses!$W$12,IF(EE303&lt;=Hypothèses!$V$13,Hypothèses!$W$13,IF(EE303&lt;=Hypothèses!$V$14,Hypothèses!$W$14,IF(EE303&lt;=Hypothèses!$V$15,Hypothèses!$W$15,IF(EE303&lt;=Hypothèses!$V$16,Hypothèses!$W$16,IF(EE303&lt;=Hypothèses!$V$17,Hypothèses!$W$17,IF(EE303&lt;=Hypothèses!$V$18,Hypothèses!$W$18,""))))))))))))</f>
        <v>#DIV/0!</v>
      </c>
      <c r="EZ303" s="87" t="e">
        <f t="shared" ca="1" si="523"/>
        <v>#DIV/0!</v>
      </c>
      <c r="FA303" s="88" t="e">
        <f ca="1">IF(EE303&lt;=Hypothèses!$V$7,Hypothèses!$X$7,IF(EE303&lt;=Hypothèses!$V$8,Hypothèses!$X$8,IF(EE303&lt;=Hypothèses!$V$9,Hypothèses!$X$9,IF(EE303&lt;=Hypothèses!$V$10,Hypothèses!$X$10,IF(EE303&lt;=Hypothèses!$V$11,Hypothèses!$X$11,IF(EE303&lt;=Hypothèses!$V$12,Hypothèses!$X$12,IF(EE303&lt;=Hypothèses!$V$13,Hypothèses!$X$13,IF(EE303&lt;=Hypothèses!$V$14,Hypothèses!$X$14,IF(EE303&lt;=Hypothèses!$V$15,Hypothèses!$X$15,IF(EE303&lt;=Hypothèses!$V$16,Hypothèses!$X$16,IF(EE303&lt;=Hypothèses!$U$17,Hypothèses!$W$17,IF(EE303&lt;=Hypothèses!$U$18,Hypothèses!$W$18,""))))))))))))</f>
        <v>#DIV/0!</v>
      </c>
      <c r="FB303" s="95" t="e">
        <f t="shared" ca="1" si="497"/>
        <v>#DIV/0!</v>
      </c>
      <c r="FC303" s="101">
        <f t="shared" si="530"/>
        <v>0</v>
      </c>
      <c r="FD303" s="91">
        <f t="shared" si="464"/>
        <v>0</v>
      </c>
      <c r="FE303" s="30" t="e">
        <f t="shared" si="514"/>
        <v>#N/A</v>
      </c>
      <c r="FF303" s="30" t="e">
        <f t="shared" si="515"/>
        <v>#N/A</v>
      </c>
      <c r="FG303" s="31" t="e">
        <f>IF(OR(Hypothèses!$B$4=17,Hypothèses!$B$4=18,Hypothèses!$B$4=19,Hypothèses!$B$4=20),
IF($D303="Pressio.",
IF(OR($E303=3,$E303=1,$E303=4),FF303,FE303),
IF($D303="Pénétro.",
IF(OR($E303=3,$E303=1,$E303=4),FF303,FE303))),IF($D303="Pressio.",
IF($E303=3,FF303,FE303),
IF($D303="Pénétro.",
IF($E303=4,FF303,FE303))))</f>
        <v>#N/A</v>
      </c>
      <c r="FH303" s="31">
        <v>0</v>
      </c>
      <c r="FI303" s="102" t="e">
        <f>IF(NDC!$H$10="Oui",(VLOOKUP($B$3,'Coeff EC7'!$T$39:$X$59,2,0)*FG303+VLOOKUP($B$3,'Coeff EC7'!$T$65:$X$85,2,0)*Model0.1T!FH303)/1.5,PI()*FE$12*$Q303*($B303-$B302)*0.15/10+FI302)</f>
        <v>#N/A</v>
      </c>
      <c r="FJ303" s="102" t="e">
        <f>(VLOOKUP($B$3,'Coeff EC7'!$T$39:$X$59,3,0)*FG303+VLOOKUP($B$3,'Coeff EC7'!$T$65:$X$85,3,0)*Model0.1T!FH303)/1.1</f>
        <v>#N/A</v>
      </c>
      <c r="FK303" s="102" t="e">
        <f t="shared" si="498"/>
        <v>#N/A</v>
      </c>
      <c r="FL303" s="102" t="e">
        <f t="shared" si="499"/>
        <v>#N/A</v>
      </c>
      <c r="FM303" s="414" t="e">
        <f>IF(AND(FI303&gt;NDC!$C$63,FJ303&gt;NDC!$C$65,FK303&gt;NDC!$D$73,FL303&gt;NDC!$D$74,$B303&gt;NDC!$H$22-0.1+MIN(3*FM$12,1.5)),0,1)</f>
        <v>#N/A</v>
      </c>
    </row>
    <row r="304" spans="1:169">
      <c r="A304" s="96">
        <f t="shared" si="465"/>
        <v>70.900000000001654</v>
      </c>
      <c r="B304" s="97">
        <v>29.1</v>
      </c>
      <c r="C304" s="81">
        <f>IF(B304&lt;=Hypothèses!$C$7,Hypothèses!$A$7,IF(B304&lt;=Hypothèses!$C$8,Hypothèses!$A$8,IF(B304&lt;=Hypothèses!$C$9,Hypothèses!$A$9,IF(B304&lt;=Hypothèses!$C$10,Hypothèses!$A$10,IF(B304&lt;=Hypothèses!$C$11,Hypothèses!$A$11,IF(B304&lt;=Hypothèses!$C$12,Hypothèses!$A$12,IF(B304&lt;=Hypothèses!$C$13,Hypothèses!$A$13,IF(B304&lt;=Hypothèses!$C$14,Hypothèses!$A$14,IF(B304&lt;=Hypothèses!$C$15,Hypothèses!$A$15,IF(B304&lt;=Hypothèses!$C$16,Hypothèses!$A$16,IF(B304&lt;=Hypothèses!$C$17,Hypothèses!$A$17,IF(B304&lt;=Hypothèses!$C$18,Hypothèses!$A$18,C303))))))))))))</f>
        <v>11</v>
      </c>
      <c r="D304" s="82" t="str">
        <f>IF(B304&lt;=Hypothèses!$C$7,Hypothèses!$R$7,IF(B304&lt;=Hypothèses!$C$8,Hypothèses!$R$8,IF(B304&lt;=Hypothèses!$C$9,Hypothèses!$R$9,IF(B304&lt;=Hypothèses!$C$10,Hypothèses!$R$10,IF(B304&lt;=Hypothèses!$C$11,Hypothèses!$R$11,IF(B304&lt;=Hypothèses!$C$12,Hypothèses!$R$12,IF(B304&lt;=Hypothèses!$C$13,Hypothèses!$R$13,IF(B304&lt;=Hypothèses!$C$14,Hypothèses!$R$14,IF(B304&lt;=Hypothèses!$C$15,Hypothèses!$R$15,IF(B304&lt;=Hypothèses!$C$16,Hypothèses!$R$16,IF(B304&lt;=Hypothèses!$C$17,Hypothèses!$R$17,IF(B304&lt;=Hypothèses!$C$18,Hypothèses!$R$18,D303))))))))))))</f>
        <v>Pressio.</v>
      </c>
      <c r="E304" s="82" t="e">
        <f>IF(B304&lt;=Hypothèses!$C$7,Hypothèses!$G$7,IF(B304&lt;=Hypothèses!$C$8,Hypothèses!$G$8,IF(B304&lt;=Hypothèses!$C$9,Hypothèses!$G$9,IF(B304&lt;=Hypothèses!$C$10,Hypothèses!$G$10,IF(B304&lt;=Hypothèses!$C$11,Hypothèses!$G$11,IF(B304&lt;=Hypothèses!$C$12,Hypothèses!$G$12,IF(B304&lt;=Hypothèses!$C$13,Hypothèses!$G$13,IF(B304&lt;=Hypothèses!$C$14,Hypothèses!$G$14,IF(B304&lt;=Hypothèses!$C$15,Hypothèses!$G$15,IF(B304&lt;=Hypothèses!$C$16,Hypothèses!$G$16,IF(B304&lt;=Hypothèses!$C$17,Hypothèses!$G$17,IF(B304&lt;=Hypothèses!$C$18,Hypothèses!$G$18,E303))))))))))))</f>
        <v>#N/A</v>
      </c>
      <c r="F304" s="82" t="str">
        <f>IF(B304&lt;=Hypothèses!$C$7,Hypothèses!$F$7,IF(B304&lt;=Hypothèses!$C$8,Hypothèses!$F$8,IF(B304&lt;=Hypothèses!$C$9,Hypothèses!$F$9,IF(B304&lt;=Hypothèses!$C$10,Hypothèses!$F$10,IF(B304&lt;=Hypothèses!$C$11,Hypothèses!$F$11,IF(B304&lt;=Hypothèses!$C$12,Hypothèses!$F$12,IF(B304&lt;=Hypothèses!$C$13,Hypothèses!$F$13,IF(B304&lt;=Hypothèses!$C$14,Hypothèses!$F$14,IF(B304&lt;=Hypothèses!$C$15,Hypothèses!$F$15,IF(B304&lt;=Hypothèses!$C$16,Hypothèses!$F$16,IF(B304&lt;=Hypothèses!$C$17,Hypothèses!$F$17,IF(B304&lt;=Hypothèses!$C$18,Hypothèses!$F$18,F303))))))))))))</f>
        <v/>
      </c>
      <c r="G304" s="91">
        <f t="array" ref="G304">INDEX('Coeff EC7'!$U$7:$X$27,
MATCH(Model0.1T!$B$3,'Coeff EC7'!$T$7:$T$27,0),
MATCH(Model0.1T!$D304&amp;Model0.1T!$B$4,
'Coeff EC7'!$U$6:$X$6&amp;
'Coeff EC7'!$U$5:$X$5,0))</f>
        <v>1.4</v>
      </c>
      <c r="H304" s="91">
        <f t="array" ref="H304">INDEX('Coeff EC7'!$Y$7:$AB$27,
MATCH(Model0.1T!$B$3,'Coeff EC7'!$T$7:$T$27,0),
MATCH(Model0.1T!$D304&amp;Model0.1T!$B$4,
'Coeff EC7'!$Y$6:$AB$6&amp;
'Coeff EC7'!$Y$5:$AB$5,0))</f>
        <v>1.7</v>
      </c>
      <c r="I304" s="83">
        <v>0</v>
      </c>
      <c r="J304" s="91" t="e">
        <f t="array" ref="J304">INDEX('Coeff EC7'!$D$33:$Q$33,1,MATCH(D304&amp;E304,'Coeff EC7'!$D$31:$Q$31&amp;'Coeff EC7'!$D$32:$Q$32,0))</f>
        <v>#N/A</v>
      </c>
      <c r="K304" s="91" t="e">
        <f t="array" ref="K304">INDEX('Coeff EC7'!$D$34:$Q$34,1,MATCH(D304&amp;E304,'Coeff EC7'!$D$31:$Q$31&amp;'Coeff EC7'!$D$32:$Q$32,0))</f>
        <v>#N/A</v>
      </c>
      <c r="L304" s="91" t="e">
        <f t="array" ref="L304">INDEX('Coeff EC7'!$D$35:$Q$35,1,MATCH(D304&amp;E304,'Coeff EC7'!$D$31:$Q$31&amp;'Coeff EC7'!$D$32:$Q$32,0))</f>
        <v>#N/A</v>
      </c>
      <c r="M304" s="98" t="e">
        <f t="shared" si="431"/>
        <v>#N/A</v>
      </c>
      <c r="N304" s="99" t="e">
        <f t="array" ref="N304">INDEX('Coeff EC7'!$D$7:$Q$27,MATCH($B$3,'Coeff EC7'!$C$7:$C$27,0),MATCH(D304&amp;E304,'Coeff EC7'!$D$5:$Q$5&amp;'Coeff EC7'!$D$6:$Q$6,0))</f>
        <v>#N/A</v>
      </c>
      <c r="O304" s="99" t="e">
        <f t="array" ref="O304">INDEX('Coeff EC7'!$D$41:$Q$61,MATCH($B$3,'Coeff EC7'!$C$41:$C$61,0),MATCH(D304&amp;E304,'Coeff EC7'!$D$39:$Q$39&amp;'Coeff EC7'!$D$40:$Q$40,0))</f>
        <v>#N/A</v>
      </c>
      <c r="P304" s="30" t="e">
        <f t="shared" si="466"/>
        <v>#N/A</v>
      </c>
      <c r="Q304" s="100" t="e">
        <f t="shared" si="433"/>
        <v>#N/A</v>
      </c>
      <c r="R304" s="86" t="b">
        <f t="shared" si="434"/>
        <v>0</v>
      </c>
      <c r="S304" s="86">
        <f t="shared" si="432"/>
        <v>0.5</v>
      </c>
      <c r="T304" s="86">
        <f t="shared" si="435"/>
        <v>0.5</v>
      </c>
      <c r="U304" s="30" t="e">
        <f t="shared" ca="1" si="467"/>
        <v>#DIV/0!</v>
      </c>
      <c r="V304" s="85" t="str">
        <f>IF(B304&lt;=Hypothèses!$V$7,Hypothèses!$W$7,IF(B304&lt;=Hypothèses!$V$8,Hypothèses!$W$8,IF(B304&lt;=Hypothèses!$V$9,Hypothèses!$W$9,IF(B304&lt;=Hypothèses!$V$10,Hypothèses!$W$10,IF(B304&lt;=Hypothèses!$V$11,Hypothèses!$W$11,IF(B304&lt;=Hypothèses!$V$12,Hypothèses!$W$12,IF(B304&lt;=Hypothèses!$V$13,Hypothèses!$W$13,IF(B304&lt;=Hypothèses!$V$14,Hypothèses!$W$14,IF(B304&lt;=Hypothèses!$V$15,Hypothèses!$W$15,IF(B304&lt;=Hypothèses!$V$16,Hypothèses!$W$16,IF(B304&lt;=Hypothèses!$V$17,Hypothèses!$W$17,IF(B304&lt;=Hypothèses!$V$18,Hypothèses!$W$18,""))))))))))))</f>
        <v/>
      </c>
      <c r="W304" s="87" t="e">
        <f t="shared" ca="1" si="516"/>
        <v>#DIV/0!</v>
      </c>
      <c r="X304" s="88" t="str">
        <f>IF(B304&lt;=Hypothèses!$V$7,Hypothèses!$X$7,IF(B304&lt;=Hypothèses!$V$8,Hypothèses!$X$8,IF(B304&lt;=Hypothèses!$V$9,Hypothèses!$X$9,IF(B304&lt;=Hypothèses!$V$10,Hypothèses!$X$10,IF(B304&lt;=Hypothèses!$V$11,Hypothèses!$X$11,IF(B304&lt;=Hypothèses!$V$12,Hypothèses!$X$12,IF(B304&lt;=Hypothèses!$V$13,Hypothèses!$X$13,IF(B304&lt;=Hypothèses!$V$14,Hypothèses!$X$14,IF(B304&lt;=Hypothèses!$V$15,Hypothèses!$X$15,IF(B304&lt;=Hypothèses!$V$16,Hypothèses!$X$16,IF(B304&lt;=Hypothèses!$U$17,Hypothèses!$W$17,IF(B304&lt;=Hypothèses!$U$18,Hypothèses!$W$18,""))))))))))))</f>
        <v/>
      </c>
      <c r="Y304" s="95" t="e">
        <f t="shared" ca="1" si="436"/>
        <v>#DIV/0!</v>
      </c>
      <c r="Z304" s="101">
        <f t="shared" si="437"/>
        <v>0</v>
      </c>
      <c r="AA304" s="91">
        <f t="shared" si="438"/>
        <v>0</v>
      </c>
      <c r="AB304" s="30" t="e">
        <f t="shared" si="500"/>
        <v>#N/A</v>
      </c>
      <c r="AC304" s="30" t="e">
        <f t="shared" si="501"/>
        <v>#N/A</v>
      </c>
      <c r="AD304" s="31" t="e">
        <f>IF(OR(Hypothèses!$B$4=17,Hypothèses!$B$4=18,Hypothèses!$B$4=19,Hypothèses!$B$4=20),
IF($D304="Pressio.",
IF(OR($E304=3,$E304=1,$E304=4),AC304,AB304),
IF($D304="Pénétro.",
IF(OR($E304=3,$E304=1,$E304=4),AC304,AB304))),IF($D304="Pressio.",
IF($E304=3,AC304,AB304),
IF($D304="Pénétro.",
IF($E304=4,AC304,AB304))))</f>
        <v>#N/A</v>
      </c>
      <c r="AE304" s="31">
        <v>0</v>
      </c>
      <c r="AF304" s="102" t="e">
        <f>IF(NDC!$H$10="Oui",(VLOOKUP($B$3,'Coeff EC7'!$T$39:$X$59,2,0)*AD304+VLOOKUP($B$3,'Coeff EC7'!$T$65:$X$85,2,0)*Model0.1T!AE304)/1.5,PI()*AB$12*$Q304*($B304-$B303)*0.15/10+AF303)</f>
        <v>#N/A</v>
      </c>
      <c r="AG304" s="102" t="e">
        <f>(VLOOKUP($B$3,'Coeff EC7'!$T$39:$X$59,3,0)*AD304+VLOOKUP($B$3,'Coeff EC7'!$T$65:$X$85,3,0)*Model0.1T!AE304)/1.1</f>
        <v>#N/A</v>
      </c>
      <c r="AH304" s="102" t="e">
        <f t="shared" si="468"/>
        <v>#N/A</v>
      </c>
      <c r="AI304" s="102" t="e">
        <f t="shared" si="469"/>
        <v>#N/A</v>
      </c>
      <c r="AJ304" s="414" t="e">
        <f>IF(AND(AF304&gt;NDC!$C$63,AG304&gt;NDC!$C$65,AH304&gt;NDC!$D$73,AI304&gt;NDC!$D$74,$B304&gt;NDC!$H$22-0.1+MIN(3*$AJ$12,1.5)),0,1)</f>
        <v>#N/A</v>
      </c>
      <c r="AK304" s="86" t="b">
        <f t="shared" si="439"/>
        <v>0</v>
      </c>
      <c r="AL304" s="86">
        <f t="shared" si="470"/>
        <v>0.5</v>
      </c>
      <c r="AM304" s="86">
        <f t="shared" si="440"/>
        <v>0.5</v>
      </c>
      <c r="AN304" s="30" t="e">
        <f t="shared" ca="1" si="471"/>
        <v>#DIV/0!</v>
      </c>
      <c r="AO304" s="85" t="e">
        <f ca="1">IF(U304&lt;=Hypothèses!$V$7,Hypothèses!$W$7,IF(U304&lt;=Hypothèses!$V$8,Hypothèses!$W$8,IF(U304&lt;=Hypothèses!$V$9,Hypothèses!$W$9,IF(U304&lt;=Hypothèses!$V$10,Hypothèses!$W$10,IF(U304&lt;=Hypothèses!$V$11,Hypothèses!$W$11,IF(U304&lt;=Hypothèses!$V$12,Hypothèses!$W$12,IF(U304&lt;=Hypothèses!$V$13,Hypothèses!$W$13,IF(U304&lt;=Hypothèses!$V$14,Hypothèses!$W$14,IF(U304&lt;=Hypothèses!$V$15,Hypothèses!$W$15,IF(U304&lt;=Hypothèses!$V$16,Hypothèses!$W$16,IF(U304&lt;=Hypothèses!$V$17,Hypothèses!$W$17,IF(U304&lt;=Hypothèses!$V$18,Hypothèses!$W$18,""))))))))))))</f>
        <v>#DIV/0!</v>
      </c>
      <c r="AP304" s="87" t="e">
        <f t="shared" ca="1" si="517"/>
        <v>#DIV/0!</v>
      </c>
      <c r="AQ304" s="88" t="e">
        <f ca="1">IF(U304&lt;=Hypothèses!$V$7,Hypothèses!$X$7,IF(U304&lt;=Hypothèses!$V$8,Hypothèses!$X$8,IF(U304&lt;=Hypothèses!$V$9,Hypothèses!$X$9,IF(U304&lt;=Hypothèses!$V$10,Hypothèses!$X$10,IF(U304&lt;=Hypothèses!$V$11,Hypothèses!$X$11,IF(U304&lt;=Hypothèses!$V$12,Hypothèses!$X$12,IF(U304&lt;=Hypothèses!$V$13,Hypothèses!$X$13,IF(U304&lt;=Hypothèses!$V$14,Hypothèses!$X$14,IF(U304&lt;=Hypothèses!$V$15,Hypothèses!$X$15,IF(U304&lt;=Hypothèses!$V$16,Hypothèses!$X$16,IF(U304&lt;=Hypothèses!$U$17,Hypothèses!$W$17,IF(U304&lt;=Hypothèses!$U$18,Hypothèses!$W$18,""))))))))))))</f>
        <v>#DIV/0!</v>
      </c>
      <c r="AR304" s="95" t="e">
        <f t="shared" ca="1" si="472"/>
        <v>#DIV/0!</v>
      </c>
      <c r="AS304" s="101">
        <f t="shared" si="524"/>
        <v>0</v>
      </c>
      <c r="AT304" s="91">
        <f t="shared" si="441"/>
        <v>0</v>
      </c>
      <c r="AU304" s="30" t="e">
        <f t="shared" si="502"/>
        <v>#N/A</v>
      </c>
      <c r="AV304" s="30" t="e">
        <f t="shared" si="503"/>
        <v>#N/A</v>
      </c>
      <c r="AW304" s="31" t="e">
        <f>IF(OR(Hypothèses!$B$4=17,Hypothèses!$B$4=18,Hypothèses!$B$4=19,Hypothèses!$B$4=20),
IF($D304="Pressio.",
IF(OR($E304=3,$E304=1,$E304=4),AV304,AU304),
IF($D304="Pénétro.",
IF(OR($E304=3,$E304=1,$E304=4),AV304,AU304))),IF($D304="Pressio.",
IF($E304=3,AV304,AU304),
IF($D304="Pénétro.",
IF($E304=4,AV304,AU304))))</f>
        <v>#N/A</v>
      </c>
      <c r="AX304" s="31">
        <v>0</v>
      </c>
      <c r="AY304" s="102" t="e">
        <f>IF(NDC!$H$10="Oui",(VLOOKUP($B$3,'Coeff EC7'!$T$39:$X$59,2,0)*AW304+VLOOKUP($B$3,'Coeff EC7'!$T$65:$X$85,2,0)*Model0.1T!AX304)/1.5,PI()*AU$12*$Q304*($B304-$B303)*0.15/10+AY303)</f>
        <v>#N/A</v>
      </c>
      <c r="AZ304" s="102" t="e">
        <f>(VLOOKUP($B$3,'Coeff EC7'!$T$39:$X$59,3,0)*AW304+VLOOKUP($B$3,'Coeff EC7'!$T$65:$X$85,3,0)*Model0.1T!AX304)/1.1</f>
        <v>#N/A</v>
      </c>
      <c r="BA304" s="102" t="e">
        <f t="shared" si="473"/>
        <v>#N/A</v>
      </c>
      <c r="BB304" s="102" t="e">
        <f t="shared" si="474"/>
        <v>#N/A</v>
      </c>
      <c r="BC304" s="414" t="e">
        <f>IF(AND(AY304&gt;NDC!$C$63,AZ304&gt;NDC!$C$65,BA304&gt;NDC!$D$73,BB304&gt;NDC!$D$74,$B304&gt;NDC!$H$22-0.1+MIN(3*BC$12,1.5)),0,1)</f>
        <v>#N/A</v>
      </c>
      <c r="BD304" s="86" t="b">
        <f t="shared" si="442"/>
        <v>0</v>
      </c>
      <c r="BE304" s="86">
        <f t="shared" si="475"/>
        <v>0.5</v>
      </c>
      <c r="BF304" s="86">
        <f t="shared" si="443"/>
        <v>0.5</v>
      </c>
      <c r="BG304" s="30" t="e">
        <f t="shared" ca="1" si="476"/>
        <v>#DIV/0!</v>
      </c>
      <c r="BH304" s="85" t="e">
        <f ca="1">IF(AN304&lt;=Hypothèses!$V$7,Hypothèses!$W$7,IF(AN304&lt;=Hypothèses!$V$8,Hypothèses!$W$8,IF(AN304&lt;=Hypothèses!$V$9,Hypothèses!$W$9,IF(AN304&lt;=Hypothèses!$V$10,Hypothèses!$W$10,IF(AN304&lt;=Hypothèses!$V$11,Hypothèses!$W$11,IF(AN304&lt;=Hypothèses!$V$12,Hypothèses!$W$12,IF(AN304&lt;=Hypothèses!$V$13,Hypothèses!$W$13,IF(AN304&lt;=Hypothèses!$V$14,Hypothèses!$W$14,IF(AN304&lt;=Hypothèses!$V$15,Hypothèses!$W$15,IF(AN304&lt;=Hypothèses!$V$16,Hypothèses!$W$16,IF(AN304&lt;=Hypothèses!$V$17,Hypothèses!$W$17,IF(AN304&lt;=Hypothèses!$V$18,Hypothèses!$W$18,""))))))))))))</f>
        <v>#DIV/0!</v>
      </c>
      <c r="BI304" s="87" t="e">
        <f t="shared" ca="1" si="518"/>
        <v>#DIV/0!</v>
      </c>
      <c r="BJ304" s="88" t="e">
        <f ca="1">IF(AN304&lt;=Hypothèses!$V$7,Hypothèses!$X$7,IF(AN304&lt;=Hypothèses!$V$8,Hypothèses!$X$8,IF(AN304&lt;=Hypothèses!$V$9,Hypothèses!$X$9,IF(AN304&lt;=Hypothèses!$V$10,Hypothèses!$X$10,IF(AN304&lt;=Hypothèses!$V$11,Hypothèses!$X$11,IF(AN304&lt;=Hypothèses!$V$12,Hypothèses!$X$12,IF(AN304&lt;=Hypothèses!$V$13,Hypothèses!$X$13,IF(AN304&lt;=Hypothèses!$V$14,Hypothèses!$X$14,IF(AN304&lt;=Hypothèses!$V$15,Hypothèses!$X$15,IF(AN304&lt;=Hypothèses!$V$16,Hypothèses!$X$16,IF(AN304&lt;=Hypothèses!$U$17,Hypothèses!$W$17,IF(AN304&lt;=Hypothèses!$U$18,Hypothèses!$W$18,""))))))))))))</f>
        <v>#DIV/0!</v>
      </c>
      <c r="BK304" s="95" t="e">
        <f t="shared" ca="1" si="477"/>
        <v>#DIV/0!</v>
      </c>
      <c r="BL304" s="101">
        <f t="shared" si="525"/>
        <v>0</v>
      </c>
      <c r="BM304" s="91">
        <f t="shared" si="444"/>
        <v>0</v>
      </c>
      <c r="BN304" s="30" t="e">
        <f t="shared" si="504"/>
        <v>#N/A</v>
      </c>
      <c r="BO304" s="30" t="e">
        <f t="shared" si="505"/>
        <v>#N/A</v>
      </c>
      <c r="BP304" s="31" t="e">
        <f>IF(OR(Hypothèses!$B$4=17,Hypothèses!$B$4=18,Hypothèses!$B$4=19,Hypothèses!$B$4=20),
IF($D304="Pressio.",
IF(OR($E304=3,$E304=1,$E304=4),BO304,BN304),
IF($D304="Pénétro.",
IF(OR($E304=3,$E304=1,$E304=4),BO304,BN304))),IF($D304="Pressio.",
IF($E304=3,BO304,BN304),
IF($D304="Pénétro.",
IF($E304=4,BO304,BN304))))</f>
        <v>#N/A</v>
      </c>
      <c r="BQ304" s="31">
        <v>0</v>
      </c>
      <c r="BR304" s="102" t="e">
        <f>IF(NDC!$H$10="Oui",(VLOOKUP($B$3,'Coeff EC7'!$T$39:$X$59,2,0)*BP304+VLOOKUP($B$3,'Coeff EC7'!$T$65:$X$85,2,0)*Model0.1T!BQ304)/1.5,PI()*BN$12*$Q304*($B304-$B303)*0.15/10+BR303)</f>
        <v>#N/A</v>
      </c>
      <c r="BS304" s="102" t="e">
        <f>(VLOOKUP($B$3,'Coeff EC7'!$T$39:$X$59,3,0)*BP304+VLOOKUP($B$3,'Coeff EC7'!$T$65:$X$85,3,0)*Model0.1T!BQ304)/1.1</f>
        <v>#N/A</v>
      </c>
      <c r="BT304" s="102" t="e">
        <f t="shared" si="478"/>
        <v>#N/A</v>
      </c>
      <c r="BU304" s="102" t="e">
        <f t="shared" si="479"/>
        <v>#N/A</v>
      </c>
      <c r="BV304" s="414" t="e">
        <f>IF(AND(BR304&gt;NDC!$C$63,BS304&gt;NDC!$C$65,BT304&gt;NDC!$D$73,BU304&gt;NDC!$D$74,$B304&gt;NDC!$H$22-0.1+MIN(3*BV$12,1.5)),0,1)</f>
        <v>#N/A</v>
      </c>
      <c r="BW304" s="86" t="b">
        <f t="shared" si="445"/>
        <v>0</v>
      </c>
      <c r="BX304" s="86">
        <f t="shared" si="446"/>
        <v>0.5</v>
      </c>
      <c r="BY304" s="86">
        <f t="shared" si="447"/>
        <v>0.5</v>
      </c>
      <c r="BZ304" s="30" t="e">
        <f t="shared" ca="1" si="480"/>
        <v>#DIV/0!</v>
      </c>
      <c r="CA304" s="85" t="e">
        <f ca="1">IF(BG304&lt;=Hypothèses!$V$7,Hypothèses!$W$7,IF(BG304&lt;=Hypothèses!$V$8,Hypothèses!$W$8,IF(BG304&lt;=Hypothèses!$V$9,Hypothèses!$W$9,IF(BG304&lt;=Hypothèses!$V$10,Hypothèses!$W$10,IF(BG304&lt;=Hypothèses!$V$11,Hypothèses!$W$11,IF(BG304&lt;=Hypothèses!$V$12,Hypothèses!$W$12,IF(BG304&lt;=Hypothèses!$V$13,Hypothèses!$W$13,IF(BG304&lt;=Hypothèses!$V$14,Hypothèses!$W$14,IF(BG304&lt;=Hypothèses!$V$15,Hypothèses!$W$15,IF(BG304&lt;=Hypothèses!$V$16,Hypothèses!$W$16,IF(BG304&lt;=Hypothèses!$V$17,Hypothèses!$W$17,IF(BG304&lt;=Hypothèses!$V$18,Hypothèses!$W$18,""))))))))))))</f>
        <v>#DIV/0!</v>
      </c>
      <c r="CB304" s="87" t="e">
        <f t="shared" ca="1" si="519"/>
        <v>#DIV/0!</v>
      </c>
      <c r="CC304" s="88" t="e">
        <f ca="1">IF(BG304&lt;=Hypothèses!$V$7,Hypothèses!$X$7,IF(BG304&lt;=Hypothèses!$V$8,Hypothèses!$X$8,IF(BG304&lt;=Hypothèses!$V$9,Hypothèses!$X$9,IF(BG304&lt;=Hypothèses!$V$10,Hypothèses!$X$10,IF(BG304&lt;=Hypothèses!$V$11,Hypothèses!$X$11,IF(BG304&lt;=Hypothèses!$V$12,Hypothèses!$X$12,IF(BG304&lt;=Hypothèses!$V$13,Hypothèses!$X$13,IF(BG304&lt;=Hypothèses!$V$14,Hypothèses!$X$14,IF(BG304&lt;=Hypothèses!$V$15,Hypothèses!$X$15,IF(BG304&lt;=Hypothèses!$V$16,Hypothèses!$X$16,IF(BG304&lt;=Hypothèses!$U$17,Hypothèses!$W$17,IF(BG304&lt;=Hypothèses!$U$18,Hypothèses!$W$18,""))))))))))))</f>
        <v>#DIV/0!</v>
      </c>
      <c r="CD304" s="95" t="e">
        <f t="shared" ca="1" si="481"/>
        <v>#DIV/0!</v>
      </c>
      <c r="CE304" s="101">
        <f t="shared" si="526"/>
        <v>0</v>
      </c>
      <c r="CF304" s="91">
        <f t="shared" si="448"/>
        <v>0</v>
      </c>
      <c r="CG304" s="30" t="e">
        <f t="shared" si="506"/>
        <v>#N/A</v>
      </c>
      <c r="CH304" s="30" t="e">
        <f t="shared" si="507"/>
        <v>#N/A</v>
      </c>
      <c r="CI304" s="31" t="e">
        <f>IF(OR(Hypothèses!$B$4=17,Hypothèses!$B$4=18,Hypothèses!$B$4=19,Hypothèses!$B$4=20),
IF($D304="Pressio.",
IF(OR($E304=3,$E304=1,$E304=4),CH304,CG304),
IF($D304="Pénétro.",
IF(OR($E304=3,$E304=1,$E304=4),CH304,CG304))),IF($D304="Pressio.",
IF($E304=3,CH304,CG304),
IF($D304="Pénétro.",
IF($E304=4,CH304,CG304))))</f>
        <v>#N/A</v>
      </c>
      <c r="CJ304" s="31">
        <v>0</v>
      </c>
      <c r="CK304" s="102" t="e">
        <f>IF(NDC!$H$10="Oui",(VLOOKUP($B$3,'Coeff EC7'!$T$39:$X$59,2,0)*CI304+VLOOKUP($B$3,'Coeff EC7'!$T$65:$X$85,2,0)*Model0.1T!CJ304)/1.5,PI()*CG$12*$Q304*($B304-$B303)*0.15/10+CK303)</f>
        <v>#N/A</v>
      </c>
      <c r="CL304" s="102" t="e">
        <f>(VLOOKUP($B$3,'Coeff EC7'!$T$39:$X$59,3,0)*CI304+VLOOKUP($B$3,'Coeff EC7'!$T$65:$X$85,3,0)*Model0.1T!CJ304)/1.1</f>
        <v>#N/A</v>
      </c>
      <c r="CM304" s="102" t="e">
        <f t="shared" si="482"/>
        <v>#N/A</v>
      </c>
      <c r="CN304" s="102" t="e">
        <f t="shared" si="483"/>
        <v>#N/A</v>
      </c>
      <c r="CO304" s="414" t="e">
        <f>IF(AND(CK304&gt;NDC!$C$63,CL304&gt;NDC!$C$65,CM304&gt;NDC!$D$73,CN304&gt;NDC!$D$74,$B304&gt;NDC!$H$22-0.1+MIN(3*CO$12,1.5)),0,1)</f>
        <v>#N/A</v>
      </c>
      <c r="CP304" s="86" t="b">
        <f t="shared" si="449"/>
        <v>0</v>
      </c>
      <c r="CQ304" s="86">
        <f t="shared" si="450"/>
        <v>0.5</v>
      </c>
      <c r="CR304" s="86">
        <f t="shared" si="451"/>
        <v>0.5</v>
      </c>
      <c r="CS304" s="30" t="e">
        <f t="shared" ca="1" si="484"/>
        <v>#DIV/0!</v>
      </c>
      <c r="CT304" s="85" t="e">
        <f ca="1">IF(BZ304&lt;=Hypothèses!$V$7,Hypothèses!$W$7,IF(BZ304&lt;=Hypothèses!$V$8,Hypothèses!$W$8,IF(BZ304&lt;=Hypothèses!$V$9,Hypothèses!$W$9,IF(BZ304&lt;=Hypothèses!$V$10,Hypothèses!$W$10,IF(BZ304&lt;=Hypothèses!$V$11,Hypothèses!$W$11,IF(BZ304&lt;=Hypothèses!$V$12,Hypothèses!$W$12,IF(BZ304&lt;=Hypothèses!$V$13,Hypothèses!$W$13,IF(BZ304&lt;=Hypothèses!$V$14,Hypothèses!$W$14,IF(BZ304&lt;=Hypothèses!$V$15,Hypothèses!$W$15,IF(BZ304&lt;=Hypothèses!$V$16,Hypothèses!$W$16,IF(BZ304&lt;=Hypothèses!$V$17,Hypothèses!$W$17,IF(BZ304&lt;=Hypothèses!$V$18,Hypothèses!$W$18,""))))))))))))</f>
        <v>#DIV/0!</v>
      </c>
      <c r="CU304" s="87" t="e">
        <f t="shared" ca="1" si="520"/>
        <v>#DIV/0!</v>
      </c>
      <c r="CV304" s="88" t="e">
        <f ca="1">IF(BZ304&lt;=Hypothèses!$V$7,Hypothèses!$X$7,IF(BZ304&lt;=Hypothèses!$V$8,Hypothèses!$X$8,IF(BZ304&lt;=Hypothèses!$V$9,Hypothèses!$X$9,IF(BZ304&lt;=Hypothèses!$V$10,Hypothèses!$X$10,IF(BZ304&lt;=Hypothèses!$V$11,Hypothèses!$X$11,IF(BZ304&lt;=Hypothèses!$V$12,Hypothèses!$X$12,IF(BZ304&lt;=Hypothèses!$V$13,Hypothèses!$X$13,IF(BZ304&lt;=Hypothèses!$V$14,Hypothèses!$X$14,IF(BZ304&lt;=Hypothèses!$V$15,Hypothèses!$X$15,IF(BZ304&lt;=Hypothèses!$V$16,Hypothèses!$X$16,IF(BZ304&lt;=Hypothèses!$U$17,Hypothèses!$W$17,IF(BZ304&lt;=Hypothèses!$U$18,Hypothèses!$W$18,""))))))))))))</f>
        <v>#DIV/0!</v>
      </c>
      <c r="CW304" s="95" t="e">
        <f t="shared" ca="1" si="485"/>
        <v>#DIV/0!</v>
      </c>
      <c r="CX304" s="101">
        <f t="shared" si="527"/>
        <v>0</v>
      </c>
      <c r="CY304" s="91">
        <f t="shared" si="452"/>
        <v>0</v>
      </c>
      <c r="CZ304" s="30" t="e">
        <f t="shared" si="508"/>
        <v>#N/A</v>
      </c>
      <c r="DA304" s="30" t="e">
        <f t="shared" si="509"/>
        <v>#N/A</v>
      </c>
      <c r="DB304" s="31" t="e">
        <f>IF(OR(Hypothèses!$B$4=17,Hypothèses!$B$4=18,Hypothèses!$B$4=19,Hypothèses!$B$4=20),
IF($D304="Pressio.",
IF(OR($E304=3,$E304=1,$E304=4),DA304,CZ304),
IF($D304="Pénétro.",
IF(OR($E304=3,$E304=1,$E304=4),DA304,CZ304))),IF($D304="Pressio.",
IF($E304=3,DA304,CZ304),
IF($D304="Pénétro.",
IF($E304=4,DA304,CZ304))))</f>
        <v>#N/A</v>
      </c>
      <c r="DC304" s="31">
        <v>0</v>
      </c>
      <c r="DD304" s="102" t="e">
        <f>IF(NDC!$H$10="Oui",(VLOOKUP($B$3,'Coeff EC7'!$T$39:$X$59,2,0)*DB304+VLOOKUP($B$3,'Coeff EC7'!$T$65:$X$85,2,0)*Model0.1T!DC304)/1.5,PI()*CZ$12*$Q304*($B304-$B303)*0.15/10+DD303)</f>
        <v>#N/A</v>
      </c>
      <c r="DE304" s="102" t="e">
        <f>(VLOOKUP($B$3,'Coeff EC7'!$T$39:$X$59,3,0)*DB304+VLOOKUP($B$3,'Coeff EC7'!$T$65:$X$85,3,0)*Model0.1T!DC304)/1.1</f>
        <v>#N/A</v>
      </c>
      <c r="DF304" s="102" t="e">
        <f t="shared" si="486"/>
        <v>#N/A</v>
      </c>
      <c r="DG304" s="102" t="e">
        <f t="shared" si="487"/>
        <v>#N/A</v>
      </c>
      <c r="DH304" s="414" t="e">
        <f>IF(AND(DD304&gt;NDC!$C$63,DE304&gt;NDC!$C$65,DF304&gt;NDC!$D$73,DG304&gt;NDC!$D$74,$B304&gt;NDC!$H$22-0.1+MIN(3*DH$12,1.5)),0,1)</f>
        <v>#N/A</v>
      </c>
      <c r="DI304" s="86" t="b">
        <f t="shared" si="453"/>
        <v>0</v>
      </c>
      <c r="DJ304" s="86">
        <f t="shared" si="454"/>
        <v>0.5</v>
      </c>
      <c r="DK304" s="86">
        <f t="shared" si="455"/>
        <v>0.5</v>
      </c>
      <c r="DL304" s="30" t="e">
        <f t="shared" ca="1" si="488"/>
        <v>#DIV/0!</v>
      </c>
      <c r="DM304" s="85" t="e">
        <f ca="1">IF(CS304&lt;=Hypothèses!$V$7,Hypothèses!$W$7,IF(CS304&lt;=Hypothèses!$V$8,Hypothèses!$W$8,IF(CS304&lt;=Hypothèses!$V$9,Hypothèses!$W$9,IF(CS304&lt;=Hypothèses!$V$10,Hypothèses!$W$10,IF(CS304&lt;=Hypothèses!$V$11,Hypothèses!$W$11,IF(CS304&lt;=Hypothèses!$V$12,Hypothèses!$W$12,IF(CS304&lt;=Hypothèses!$V$13,Hypothèses!$W$13,IF(CS304&lt;=Hypothèses!$V$14,Hypothèses!$W$14,IF(CS304&lt;=Hypothèses!$V$15,Hypothèses!$W$15,IF(CS304&lt;=Hypothèses!$V$16,Hypothèses!$W$16,IF(CS304&lt;=Hypothèses!$V$17,Hypothèses!$W$17,IF(CS304&lt;=Hypothèses!$V$18,Hypothèses!$W$18,""))))))))))))</f>
        <v>#DIV/0!</v>
      </c>
      <c r="DN304" s="87" t="e">
        <f t="shared" ca="1" si="521"/>
        <v>#DIV/0!</v>
      </c>
      <c r="DO304" s="88" t="e">
        <f ca="1">IF(CS304&lt;=Hypothèses!$V$7,Hypothèses!$X$7,IF(CS304&lt;=Hypothèses!$V$8,Hypothèses!$X$8,IF(CS304&lt;=Hypothèses!$V$9,Hypothèses!$X$9,IF(CS304&lt;=Hypothèses!$V$10,Hypothèses!$X$10,IF(CS304&lt;=Hypothèses!$V$11,Hypothèses!$X$11,IF(CS304&lt;=Hypothèses!$V$12,Hypothèses!$X$12,IF(CS304&lt;=Hypothèses!$V$13,Hypothèses!$X$13,IF(CS304&lt;=Hypothèses!$V$14,Hypothèses!$X$14,IF(CS304&lt;=Hypothèses!$V$15,Hypothèses!$X$15,IF(CS304&lt;=Hypothèses!$V$16,Hypothèses!$X$16,IF(CS304&lt;=Hypothèses!$U$17,Hypothèses!$W$17,IF(CS304&lt;=Hypothèses!$U$18,Hypothèses!$W$18,""))))))))))))</f>
        <v>#DIV/0!</v>
      </c>
      <c r="DP304" s="95" t="e">
        <f t="shared" ca="1" si="489"/>
        <v>#DIV/0!</v>
      </c>
      <c r="DQ304" s="101">
        <f t="shared" si="528"/>
        <v>0</v>
      </c>
      <c r="DR304" s="91">
        <f t="shared" si="456"/>
        <v>0</v>
      </c>
      <c r="DS304" s="30" t="e">
        <f t="shared" si="510"/>
        <v>#N/A</v>
      </c>
      <c r="DT304" s="30" t="e">
        <f t="shared" si="511"/>
        <v>#N/A</v>
      </c>
      <c r="DU304" s="31" t="e">
        <f>IF(OR(Hypothèses!$B$4=17,Hypothèses!$B$4=18,Hypothèses!$B$4=19,Hypothèses!$B$4=20),
IF($D304="Pressio.",
IF(OR($E304=3,$E304=1,$E304=4),DT304,DS304),
IF($D304="Pénétro.",
IF(OR($E304=3,$E304=1,$E304=4),DT304,DS304))),IF($D304="Pressio.",
IF($E304=3,DT304,DS304),
IF($D304="Pénétro.",
IF($E304=4,DT304,DS304))))</f>
        <v>#N/A</v>
      </c>
      <c r="DV304" s="31">
        <v>0</v>
      </c>
      <c r="DW304" s="102" t="e">
        <f>IF(NDC!$H$10="Oui",(VLOOKUP($B$3,'Coeff EC7'!$T$39:$X$59,2,0)*DU304+VLOOKUP($B$3,'Coeff EC7'!$T$65:$X$85,2,0)*Model0.1T!DV304)/1.5,PI()*DS$12*$Q304*($B304-$B303)*0.15/10+DW303)</f>
        <v>#N/A</v>
      </c>
      <c r="DX304" s="102" t="e">
        <f>(VLOOKUP($B$3,'Coeff EC7'!$T$39:$X$59,3,0)*DU304+VLOOKUP($B$3,'Coeff EC7'!$T$65:$X$85,3,0)*Model0.1T!DV304)/1.1</f>
        <v>#N/A</v>
      </c>
      <c r="DY304" s="102" t="e">
        <f t="shared" si="490"/>
        <v>#N/A</v>
      </c>
      <c r="DZ304" s="102" t="e">
        <f t="shared" si="491"/>
        <v>#N/A</v>
      </c>
      <c r="EA304" s="414" t="e">
        <f>IF(AND(DW304&gt;NDC!$C$63,DX304&gt;NDC!$C$65,DY304&gt;NDC!$D$73,DZ304&gt;NDC!$D$74,$B304&gt;NDC!$H$22-0.1+MIN(3*EA$12,1.5)),0,1)</f>
        <v>#N/A</v>
      </c>
      <c r="EB304" s="86" t="b">
        <f t="shared" si="457"/>
        <v>0</v>
      </c>
      <c r="EC304" s="418">
        <f t="shared" si="458"/>
        <v>0.51</v>
      </c>
      <c r="ED304" s="86">
        <f t="shared" si="459"/>
        <v>0.51</v>
      </c>
      <c r="EE304" s="30" t="e">
        <f t="shared" ca="1" si="492"/>
        <v>#DIV/0!</v>
      </c>
      <c r="EF304" s="85" t="e">
        <f ca="1">IF(DL304&lt;=Hypothèses!$V$7,Hypothèses!$W$7,IF(DL304&lt;=Hypothèses!$V$8,Hypothèses!$W$8,IF(DL304&lt;=Hypothèses!$V$9,Hypothèses!$W$9,IF(DL304&lt;=Hypothèses!$V$10,Hypothèses!$W$10,IF(DL304&lt;=Hypothèses!$V$11,Hypothèses!$W$11,IF(DL304&lt;=Hypothèses!$V$12,Hypothèses!$W$12,IF(DL304&lt;=Hypothèses!$V$13,Hypothèses!$W$13,IF(DL304&lt;=Hypothèses!$V$14,Hypothèses!$W$14,IF(DL304&lt;=Hypothèses!$V$15,Hypothèses!$W$15,IF(DL304&lt;=Hypothèses!$V$16,Hypothèses!$W$16,IF(DL304&lt;=Hypothèses!$V$17,Hypothèses!$W$17,IF(DL304&lt;=Hypothèses!$V$18,Hypothèses!$W$18,""))))))))))))</f>
        <v>#DIV/0!</v>
      </c>
      <c r="EG304" s="87" t="e">
        <f t="shared" ca="1" si="522"/>
        <v>#DIV/0!</v>
      </c>
      <c r="EH304" s="88" t="e">
        <f ca="1">IF(DL304&lt;=Hypothèses!$V$7,Hypothèses!$X$7,IF(DL304&lt;=Hypothèses!$V$8,Hypothèses!$X$8,IF(DL304&lt;=Hypothèses!$V$9,Hypothèses!$X$9,IF(DL304&lt;=Hypothèses!$V$10,Hypothèses!$X$10,IF(DL304&lt;=Hypothèses!$V$11,Hypothèses!$X$11,IF(DL304&lt;=Hypothèses!$V$12,Hypothèses!$X$12,IF(DL304&lt;=Hypothèses!$V$13,Hypothèses!$X$13,IF(DL304&lt;=Hypothèses!$V$14,Hypothèses!$X$14,IF(DL304&lt;=Hypothèses!$V$15,Hypothèses!$X$15,IF(DL304&lt;=Hypothèses!$V$16,Hypothèses!$X$16,IF(DL304&lt;=Hypothèses!$U$17,Hypothèses!$W$17,IF(DL304&lt;=Hypothèses!$U$18,Hypothèses!$W$18,""))))))))))))</f>
        <v>#DIV/0!</v>
      </c>
      <c r="EI304" s="95" t="e">
        <f t="shared" ca="1" si="493"/>
        <v>#DIV/0!</v>
      </c>
      <c r="EJ304" s="101">
        <f t="shared" si="529"/>
        <v>0</v>
      </c>
      <c r="EK304" s="91">
        <f t="shared" si="460"/>
        <v>0</v>
      </c>
      <c r="EL304" s="30" t="e">
        <f t="shared" si="512"/>
        <v>#N/A</v>
      </c>
      <c r="EM304" s="30" t="e">
        <f t="shared" si="513"/>
        <v>#N/A</v>
      </c>
      <c r="EN304" s="31" t="e">
        <f>IF(OR(Hypothèses!$B$4=17,Hypothèses!$B$4=18,Hypothèses!$B$4=19,Hypothèses!$B$4=20),
IF($D304="Pressio.",
IF(OR($E304=3,$E304=1,$E304=4),EM304,EL304),
IF($D304="Pénétro.",
IF(OR($E304=3,$E304=1,$E304=4),EM304,EL304))),IF($D304="Pressio.",
IF($E304=3,EM304,EL304),
IF($D304="Pénétro.",
IF($E304=4,EM304,EL304))))</f>
        <v>#N/A</v>
      </c>
      <c r="EO304" s="31">
        <v>0</v>
      </c>
      <c r="EP304" s="102" t="e">
        <f>IF(NDC!$H$10="Oui",(VLOOKUP($B$3,'Coeff EC7'!$T$39:$X$59,2,0)*EN304+VLOOKUP($B$3,'Coeff EC7'!$T$65:$X$85,2,0)*Model0.1T!EO304)/1.5,PI()*EL$12*$Q304*($B304-$B303)*0.15/10+EP303)</f>
        <v>#N/A</v>
      </c>
      <c r="EQ304" s="102" t="e">
        <f>(VLOOKUP($B$3,'Coeff EC7'!$T$39:$X$59,3,0)*EN304+VLOOKUP($B$3,'Coeff EC7'!$T$65:$X$85,3,0)*Model0.1T!EO304)/1.1</f>
        <v>#N/A</v>
      </c>
      <c r="ER304" s="102" t="e">
        <f t="shared" si="494"/>
        <v>#N/A</v>
      </c>
      <c r="ES304" s="102" t="e">
        <f t="shared" si="495"/>
        <v>#N/A</v>
      </c>
      <c r="ET304" s="414" t="e">
        <f>IF(AND(EP304&gt;NDC!$C$63,EQ304&gt;NDC!$C$65,ER304&gt;NDC!$D$73,ES304&gt;NDC!$D$74,$B304&gt;NDC!$H$22-0.1+MIN(3*ET$12,1.5)),0,1)</f>
        <v>#N/A</v>
      </c>
      <c r="EU304" s="86" t="b">
        <f t="shared" si="461"/>
        <v>0</v>
      </c>
      <c r="EV304" s="86">
        <f t="shared" si="462"/>
        <v>0.61</v>
      </c>
      <c r="EW304" s="86">
        <f t="shared" si="463"/>
        <v>0.61</v>
      </c>
      <c r="EX304" s="30" t="e">
        <f t="shared" ca="1" si="496"/>
        <v>#DIV/0!</v>
      </c>
      <c r="EY304" s="85" t="e">
        <f ca="1">IF(EE304&lt;=Hypothèses!$V$7,Hypothèses!$W$7,IF(EE304&lt;=Hypothèses!$V$8,Hypothèses!$W$8,IF(EE304&lt;=Hypothèses!$V$9,Hypothèses!$W$9,IF(EE304&lt;=Hypothèses!$V$10,Hypothèses!$W$10,IF(EE304&lt;=Hypothèses!$V$11,Hypothèses!$W$11,IF(EE304&lt;=Hypothèses!$V$12,Hypothèses!$W$12,IF(EE304&lt;=Hypothèses!$V$13,Hypothèses!$W$13,IF(EE304&lt;=Hypothèses!$V$14,Hypothèses!$W$14,IF(EE304&lt;=Hypothèses!$V$15,Hypothèses!$W$15,IF(EE304&lt;=Hypothèses!$V$16,Hypothèses!$W$16,IF(EE304&lt;=Hypothèses!$V$17,Hypothèses!$W$17,IF(EE304&lt;=Hypothèses!$V$18,Hypothèses!$W$18,""))))))))))))</f>
        <v>#DIV/0!</v>
      </c>
      <c r="EZ304" s="87" t="e">
        <f t="shared" ca="1" si="523"/>
        <v>#DIV/0!</v>
      </c>
      <c r="FA304" s="88" t="e">
        <f ca="1">IF(EE304&lt;=Hypothèses!$V$7,Hypothèses!$X$7,IF(EE304&lt;=Hypothèses!$V$8,Hypothèses!$X$8,IF(EE304&lt;=Hypothèses!$V$9,Hypothèses!$X$9,IF(EE304&lt;=Hypothèses!$V$10,Hypothèses!$X$10,IF(EE304&lt;=Hypothèses!$V$11,Hypothèses!$X$11,IF(EE304&lt;=Hypothèses!$V$12,Hypothèses!$X$12,IF(EE304&lt;=Hypothèses!$V$13,Hypothèses!$X$13,IF(EE304&lt;=Hypothèses!$V$14,Hypothèses!$X$14,IF(EE304&lt;=Hypothèses!$V$15,Hypothèses!$X$15,IF(EE304&lt;=Hypothèses!$V$16,Hypothèses!$X$16,IF(EE304&lt;=Hypothèses!$U$17,Hypothèses!$W$17,IF(EE304&lt;=Hypothèses!$U$18,Hypothèses!$W$18,""))))))))))))</f>
        <v>#DIV/0!</v>
      </c>
      <c r="FB304" s="95" t="e">
        <f t="shared" ca="1" si="497"/>
        <v>#DIV/0!</v>
      </c>
      <c r="FC304" s="101">
        <f t="shared" si="530"/>
        <v>0</v>
      </c>
      <c r="FD304" s="91">
        <f t="shared" si="464"/>
        <v>0</v>
      </c>
      <c r="FE304" s="30" t="e">
        <f t="shared" si="514"/>
        <v>#N/A</v>
      </c>
      <c r="FF304" s="30" t="e">
        <f t="shared" si="515"/>
        <v>#N/A</v>
      </c>
      <c r="FG304" s="31" t="e">
        <f>IF(OR(Hypothèses!$B$4=17,Hypothèses!$B$4=18,Hypothèses!$B$4=19,Hypothèses!$B$4=20),
IF($D304="Pressio.",
IF(OR($E304=3,$E304=1,$E304=4),FF304,FE304),
IF($D304="Pénétro.",
IF(OR($E304=3,$E304=1,$E304=4),FF304,FE304))),IF($D304="Pressio.",
IF($E304=3,FF304,FE304),
IF($D304="Pénétro.",
IF($E304=4,FF304,FE304))))</f>
        <v>#N/A</v>
      </c>
      <c r="FH304" s="31">
        <v>0</v>
      </c>
      <c r="FI304" s="102" t="e">
        <f>IF(NDC!$H$10="Oui",(VLOOKUP($B$3,'Coeff EC7'!$T$39:$X$59,2,0)*FG304+VLOOKUP($B$3,'Coeff EC7'!$T$65:$X$85,2,0)*Model0.1T!FH304)/1.5,PI()*FE$12*$Q304*($B304-$B303)*0.15/10+FI303)</f>
        <v>#N/A</v>
      </c>
      <c r="FJ304" s="102" t="e">
        <f>(VLOOKUP($B$3,'Coeff EC7'!$T$39:$X$59,3,0)*FG304+VLOOKUP($B$3,'Coeff EC7'!$T$65:$X$85,3,0)*Model0.1T!FH304)/1.1</f>
        <v>#N/A</v>
      </c>
      <c r="FK304" s="102" t="e">
        <f t="shared" si="498"/>
        <v>#N/A</v>
      </c>
      <c r="FL304" s="102" t="e">
        <f t="shared" si="499"/>
        <v>#N/A</v>
      </c>
      <c r="FM304" s="414" t="e">
        <f>IF(AND(FI304&gt;NDC!$C$63,FJ304&gt;NDC!$C$65,FK304&gt;NDC!$D$73,FL304&gt;NDC!$D$74,$B304&gt;NDC!$H$22-0.1+MIN(3*FM$12,1.5)),0,1)</f>
        <v>#N/A</v>
      </c>
    </row>
    <row r="305" spans="1:169">
      <c r="A305" s="96">
        <f t="shared" si="465"/>
        <v>70.80000000000166</v>
      </c>
      <c r="B305" s="97">
        <v>29.2</v>
      </c>
      <c r="C305" s="81">
        <f>IF(B305&lt;=Hypothèses!$C$7,Hypothèses!$A$7,IF(B305&lt;=Hypothèses!$C$8,Hypothèses!$A$8,IF(B305&lt;=Hypothèses!$C$9,Hypothèses!$A$9,IF(B305&lt;=Hypothèses!$C$10,Hypothèses!$A$10,IF(B305&lt;=Hypothèses!$C$11,Hypothèses!$A$11,IF(B305&lt;=Hypothèses!$C$12,Hypothèses!$A$12,IF(B305&lt;=Hypothèses!$C$13,Hypothèses!$A$13,IF(B305&lt;=Hypothèses!$C$14,Hypothèses!$A$14,IF(B305&lt;=Hypothèses!$C$15,Hypothèses!$A$15,IF(B305&lt;=Hypothèses!$C$16,Hypothèses!$A$16,IF(B305&lt;=Hypothèses!$C$17,Hypothèses!$A$17,IF(B305&lt;=Hypothèses!$C$18,Hypothèses!$A$18,C304))))))))))))</f>
        <v>11</v>
      </c>
      <c r="D305" s="82" t="str">
        <f>IF(B305&lt;=Hypothèses!$C$7,Hypothèses!$R$7,IF(B305&lt;=Hypothèses!$C$8,Hypothèses!$R$8,IF(B305&lt;=Hypothèses!$C$9,Hypothèses!$R$9,IF(B305&lt;=Hypothèses!$C$10,Hypothèses!$R$10,IF(B305&lt;=Hypothèses!$C$11,Hypothèses!$R$11,IF(B305&lt;=Hypothèses!$C$12,Hypothèses!$R$12,IF(B305&lt;=Hypothèses!$C$13,Hypothèses!$R$13,IF(B305&lt;=Hypothèses!$C$14,Hypothèses!$R$14,IF(B305&lt;=Hypothèses!$C$15,Hypothèses!$R$15,IF(B305&lt;=Hypothèses!$C$16,Hypothèses!$R$16,IF(B305&lt;=Hypothèses!$C$17,Hypothèses!$R$17,IF(B305&lt;=Hypothèses!$C$18,Hypothèses!$R$18,D304))))))))))))</f>
        <v>Pressio.</v>
      </c>
      <c r="E305" s="82" t="e">
        <f>IF(B305&lt;=Hypothèses!$C$7,Hypothèses!$G$7,IF(B305&lt;=Hypothèses!$C$8,Hypothèses!$G$8,IF(B305&lt;=Hypothèses!$C$9,Hypothèses!$G$9,IF(B305&lt;=Hypothèses!$C$10,Hypothèses!$G$10,IF(B305&lt;=Hypothèses!$C$11,Hypothèses!$G$11,IF(B305&lt;=Hypothèses!$C$12,Hypothèses!$G$12,IF(B305&lt;=Hypothèses!$C$13,Hypothèses!$G$13,IF(B305&lt;=Hypothèses!$C$14,Hypothèses!$G$14,IF(B305&lt;=Hypothèses!$C$15,Hypothèses!$G$15,IF(B305&lt;=Hypothèses!$C$16,Hypothèses!$G$16,IF(B305&lt;=Hypothèses!$C$17,Hypothèses!$G$17,IF(B305&lt;=Hypothèses!$C$18,Hypothèses!$G$18,E304))))))))))))</f>
        <v>#N/A</v>
      </c>
      <c r="F305" s="82" t="str">
        <f>IF(B305&lt;=Hypothèses!$C$7,Hypothèses!$F$7,IF(B305&lt;=Hypothèses!$C$8,Hypothèses!$F$8,IF(B305&lt;=Hypothèses!$C$9,Hypothèses!$F$9,IF(B305&lt;=Hypothèses!$C$10,Hypothèses!$F$10,IF(B305&lt;=Hypothèses!$C$11,Hypothèses!$F$11,IF(B305&lt;=Hypothèses!$C$12,Hypothèses!$F$12,IF(B305&lt;=Hypothèses!$C$13,Hypothèses!$F$13,IF(B305&lt;=Hypothèses!$C$14,Hypothèses!$F$14,IF(B305&lt;=Hypothèses!$C$15,Hypothèses!$F$15,IF(B305&lt;=Hypothèses!$C$16,Hypothèses!$F$16,IF(B305&lt;=Hypothèses!$C$17,Hypothèses!$F$17,IF(B305&lt;=Hypothèses!$C$18,Hypothèses!$F$18,F304))))))))))))</f>
        <v/>
      </c>
      <c r="G305" s="91">
        <f t="array" ref="G305">INDEX('Coeff EC7'!$U$7:$X$27,
MATCH(Model0.1T!$B$3,'Coeff EC7'!$T$7:$T$27,0),
MATCH(Model0.1T!$D305&amp;Model0.1T!$B$4,
'Coeff EC7'!$U$6:$X$6&amp;
'Coeff EC7'!$U$5:$X$5,0))</f>
        <v>1.4</v>
      </c>
      <c r="H305" s="91">
        <f t="array" ref="H305">INDEX('Coeff EC7'!$Y$7:$AB$27,
MATCH(Model0.1T!$B$3,'Coeff EC7'!$T$7:$T$27,0),
MATCH(Model0.1T!$D305&amp;Model0.1T!$B$4,
'Coeff EC7'!$Y$6:$AB$6&amp;
'Coeff EC7'!$Y$5:$AB$5,0))</f>
        <v>1.7</v>
      </c>
      <c r="I305" s="83">
        <v>0</v>
      </c>
      <c r="J305" s="91" t="e">
        <f t="array" ref="J305">INDEX('Coeff EC7'!$D$33:$Q$33,1,MATCH(D305&amp;E305,'Coeff EC7'!$D$31:$Q$31&amp;'Coeff EC7'!$D$32:$Q$32,0))</f>
        <v>#N/A</v>
      </c>
      <c r="K305" s="91" t="e">
        <f t="array" ref="K305">INDEX('Coeff EC7'!$D$34:$Q$34,1,MATCH(D305&amp;E305,'Coeff EC7'!$D$31:$Q$31&amp;'Coeff EC7'!$D$32:$Q$32,0))</f>
        <v>#N/A</v>
      </c>
      <c r="L305" s="91" t="e">
        <f t="array" ref="L305">INDEX('Coeff EC7'!$D$35:$Q$35,1,MATCH(D305&amp;E305,'Coeff EC7'!$D$31:$Q$31&amp;'Coeff EC7'!$D$32:$Q$32,0))</f>
        <v>#N/A</v>
      </c>
      <c r="M305" s="98" t="e">
        <f t="shared" si="431"/>
        <v>#N/A</v>
      </c>
      <c r="N305" s="99" t="e">
        <f t="array" ref="N305">INDEX('Coeff EC7'!$D$7:$Q$27,MATCH($B$3,'Coeff EC7'!$C$7:$C$27,0),MATCH(D305&amp;E305,'Coeff EC7'!$D$5:$Q$5&amp;'Coeff EC7'!$D$6:$Q$6,0))</f>
        <v>#N/A</v>
      </c>
      <c r="O305" s="99" t="e">
        <f t="array" ref="O305">INDEX('Coeff EC7'!$D$41:$Q$61,MATCH($B$3,'Coeff EC7'!$C$41:$C$61,0),MATCH(D305&amp;E305,'Coeff EC7'!$D$39:$Q$39&amp;'Coeff EC7'!$D$40:$Q$40,0))</f>
        <v>#N/A</v>
      </c>
      <c r="P305" s="30" t="e">
        <f t="shared" si="466"/>
        <v>#N/A</v>
      </c>
      <c r="Q305" s="100" t="e">
        <f t="shared" si="433"/>
        <v>#N/A</v>
      </c>
      <c r="R305" s="86" t="b">
        <f t="shared" si="434"/>
        <v>0</v>
      </c>
      <c r="S305" s="86">
        <f t="shared" si="432"/>
        <v>0.5</v>
      </c>
      <c r="T305" s="86">
        <f t="shared" si="435"/>
        <v>0.5</v>
      </c>
      <c r="U305" s="30" t="e">
        <f t="shared" ca="1" si="467"/>
        <v>#DIV/0!</v>
      </c>
      <c r="V305" s="85" t="str">
        <f>IF(B305&lt;=Hypothèses!$V$7,Hypothèses!$W$7,IF(B305&lt;=Hypothèses!$V$8,Hypothèses!$W$8,IF(B305&lt;=Hypothèses!$V$9,Hypothèses!$W$9,IF(B305&lt;=Hypothèses!$V$10,Hypothèses!$W$10,IF(B305&lt;=Hypothèses!$V$11,Hypothèses!$W$11,IF(B305&lt;=Hypothèses!$V$12,Hypothèses!$W$12,IF(B305&lt;=Hypothèses!$V$13,Hypothèses!$W$13,IF(B305&lt;=Hypothèses!$V$14,Hypothèses!$W$14,IF(B305&lt;=Hypothèses!$V$15,Hypothèses!$W$15,IF(B305&lt;=Hypothèses!$V$16,Hypothèses!$W$16,IF(B305&lt;=Hypothèses!$V$17,Hypothèses!$W$17,IF(B305&lt;=Hypothèses!$V$18,Hypothèses!$W$18,""))))))))))))</f>
        <v/>
      </c>
      <c r="W305" s="87" t="e">
        <f t="shared" ca="1" si="516"/>
        <v>#DIV/0!</v>
      </c>
      <c r="X305" s="88" t="str">
        <f>IF(B305&lt;=Hypothèses!$V$7,Hypothèses!$X$7,IF(B305&lt;=Hypothèses!$V$8,Hypothèses!$X$8,IF(B305&lt;=Hypothèses!$V$9,Hypothèses!$X$9,IF(B305&lt;=Hypothèses!$V$10,Hypothèses!$X$10,IF(B305&lt;=Hypothèses!$V$11,Hypothèses!$X$11,IF(B305&lt;=Hypothèses!$V$12,Hypothèses!$X$12,IF(B305&lt;=Hypothèses!$V$13,Hypothèses!$X$13,IF(B305&lt;=Hypothèses!$V$14,Hypothèses!$X$14,IF(B305&lt;=Hypothèses!$V$15,Hypothèses!$X$15,IF(B305&lt;=Hypothèses!$V$16,Hypothèses!$X$16,IF(B305&lt;=Hypothèses!$U$17,Hypothèses!$W$17,IF(B305&lt;=Hypothèses!$U$18,Hypothèses!$W$18,""))))))))))))</f>
        <v/>
      </c>
      <c r="Y305" s="95" t="e">
        <f t="shared" ca="1" si="436"/>
        <v>#DIV/0!</v>
      </c>
      <c r="Z305" s="101">
        <f t="shared" si="437"/>
        <v>0</v>
      </c>
      <c r="AA305" s="91">
        <f t="shared" si="438"/>
        <v>0</v>
      </c>
      <c r="AB305" s="30" t="e">
        <f t="shared" si="500"/>
        <v>#N/A</v>
      </c>
      <c r="AC305" s="30" t="e">
        <f t="shared" si="501"/>
        <v>#N/A</v>
      </c>
      <c r="AD305" s="31" t="e">
        <f>IF(OR(Hypothèses!$B$4=17,Hypothèses!$B$4=18,Hypothèses!$B$4=19,Hypothèses!$B$4=20),
IF($D305="Pressio.",
IF(OR($E305=3,$E305=1,$E305=4),AC305,AB305),
IF($D305="Pénétro.",
IF(OR($E305=3,$E305=1,$E305=4),AC305,AB305))),IF($D305="Pressio.",
IF($E305=3,AC305,AB305),
IF($D305="Pénétro.",
IF($E305=4,AC305,AB305))))</f>
        <v>#N/A</v>
      </c>
      <c r="AE305" s="31">
        <v>0</v>
      </c>
      <c r="AF305" s="102" t="e">
        <f>IF(NDC!$H$10="Oui",(VLOOKUP($B$3,'Coeff EC7'!$T$39:$X$59,2,0)*AD305+VLOOKUP($B$3,'Coeff EC7'!$T$65:$X$85,2,0)*Model0.1T!AE305)/1.5,PI()*AB$12*$Q305*($B305-$B304)*0.15/10+AF304)</f>
        <v>#N/A</v>
      </c>
      <c r="AG305" s="102" t="e">
        <f>(VLOOKUP($B$3,'Coeff EC7'!$T$39:$X$59,3,0)*AD305+VLOOKUP($B$3,'Coeff EC7'!$T$65:$X$85,3,0)*Model0.1T!AE305)/1.1</f>
        <v>#N/A</v>
      </c>
      <c r="AH305" s="102" t="e">
        <f t="shared" si="468"/>
        <v>#N/A</v>
      </c>
      <c r="AI305" s="102" t="e">
        <f t="shared" si="469"/>
        <v>#N/A</v>
      </c>
      <c r="AJ305" s="414" t="e">
        <f>IF(AND(AF305&gt;NDC!$C$63,AG305&gt;NDC!$C$65,AH305&gt;NDC!$D$73,AI305&gt;NDC!$D$74,$B305&gt;NDC!$H$22-0.1+MIN(3*$AJ$12,1.5)),0,1)</f>
        <v>#N/A</v>
      </c>
      <c r="AK305" s="86" t="b">
        <f t="shared" si="439"/>
        <v>0</v>
      </c>
      <c r="AL305" s="86">
        <f t="shared" si="470"/>
        <v>0.5</v>
      </c>
      <c r="AM305" s="86">
        <f t="shared" si="440"/>
        <v>0.5</v>
      </c>
      <c r="AN305" s="30" t="e">
        <f t="shared" ca="1" si="471"/>
        <v>#DIV/0!</v>
      </c>
      <c r="AO305" s="85" t="e">
        <f ca="1">IF(U305&lt;=Hypothèses!$V$7,Hypothèses!$W$7,IF(U305&lt;=Hypothèses!$V$8,Hypothèses!$W$8,IF(U305&lt;=Hypothèses!$V$9,Hypothèses!$W$9,IF(U305&lt;=Hypothèses!$V$10,Hypothèses!$W$10,IF(U305&lt;=Hypothèses!$V$11,Hypothèses!$W$11,IF(U305&lt;=Hypothèses!$V$12,Hypothèses!$W$12,IF(U305&lt;=Hypothèses!$V$13,Hypothèses!$W$13,IF(U305&lt;=Hypothèses!$V$14,Hypothèses!$W$14,IF(U305&lt;=Hypothèses!$V$15,Hypothèses!$W$15,IF(U305&lt;=Hypothèses!$V$16,Hypothèses!$W$16,IF(U305&lt;=Hypothèses!$V$17,Hypothèses!$W$17,IF(U305&lt;=Hypothèses!$V$18,Hypothèses!$W$18,""))))))))))))</f>
        <v>#DIV/0!</v>
      </c>
      <c r="AP305" s="87" t="e">
        <f t="shared" ca="1" si="517"/>
        <v>#DIV/0!</v>
      </c>
      <c r="AQ305" s="88" t="e">
        <f ca="1">IF(U305&lt;=Hypothèses!$V$7,Hypothèses!$X$7,IF(U305&lt;=Hypothèses!$V$8,Hypothèses!$X$8,IF(U305&lt;=Hypothèses!$V$9,Hypothèses!$X$9,IF(U305&lt;=Hypothèses!$V$10,Hypothèses!$X$10,IF(U305&lt;=Hypothèses!$V$11,Hypothèses!$X$11,IF(U305&lt;=Hypothèses!$V$12,Hypothèses!$X$12,IF(U305&lt;=Hypothèses!$V$13,Hypothèses!$X$13,IF(U305&lt;=Hypothèses!$V$14,Hypothèses!$X$14,IF(U305&lt;=Hypothèses!$V$15,Hypothèses!$X$15,IF(U305&lt;=Hypothèses!$V$16,Hypothèses!$X$16,IF(U305&lt;=Hypothèses!$U$17,Hypothèses!$W$17,IF(U305&lt;=Hypothèses!$U$18,Hypothèses!$W$18,""))))))))))))</f>
        <v>#DIV/0!</v>
      </c>
      <c r="AR305" s="95" t="e">
        <f t="shared" ca="1" si="472"/>
        <v>#DIV/0!</v>
      </c>
      <c r="AS305" s="101">
        <f t="shared" si="524"/>
        <v>0</v>
      </c>
      <c r="AT305" s="91">
        <f t="shared" si="441"/>
        <v>0</v>
      </c>
      <c r="AU305" s="30" t="e">
        <f t="shared" si="502"/>
        <v>#N/A</v>
      </c>
      <c r="AV305" s="30" t="e">
        <f t="shared" si="503"/>
        <v>#N/A</v>
      </c>
      <c r="AW305" s="31" t="e">
        <f>IF(OR(Hypothèses!$B$4=17,Hypothèses!$B$4=18,Hypothèses!$B$4=19,Hypothèses!$B$4=20),
IF($D305="Pressio.",
IF(OR($E305=3,$E305=1,$E305=4),AV305,AU305),
IF($D305="Pénétro.",
IF(OR($E305=3,$E305=1,$E305=4),AV305,AU305))),IF($D305="Pressio.",
IF($E305=3,AV305,AU305),
IF($D305="Pénétro.",
IF($E305=4,AV305,AU305))))</f>
        <v>#N/A</v>
      </c>
      <c r="AX305" s="31">
        <v>0</v>
      </c>
      <c r="AY305" s="102" t="e">
        <f>IF(NDC!$H$10="Oui",(VLOOKUP($B$3,'Coeff EC7'!$T$39:$X$59,2,0)*AW305+VLOOKUP($B$3,'Coeff EC7'!$T$65:$X$85,2,0)*Model0.1T!AX305)/1.5,PI()*AU$12*$Q305*($B305-$B304)*0.15/10+AY304)</f>
        <v>#N/A</v>
      </c>
      <c r="AZ305" s="102" t="e">
        <f>(VLOOKUP($B$3,'Coeff EC7'!$T$39:$X$59,3,0)*AW305+VLOOKUP($B$3,'Coeff EC7'!$T$65:$X$85,3,0)*Model0.1T!AX305)/1.1</f>
        <v>#N/A</v>
      </c>
      <c r="BA305" s="102" t="e">
        <f t="shared" si="473"/>
        <v>#N/A</v>
      </c>
      <c r="BB305" s="102" t="e">
        <f t="shared" si="474"/>
        <v>#N/A</v>
      </c>
      <c r="BC305" s="414" t="e">
        <f>IF(AND(AY305&gt;NDC!$C$63,AZ305&gt;NDC!$C$65,BA305&gt;NDC!$D$73,BB305&gt;NDC!$D$74,$B305&gt;NDC!$H$22-0.1+MIN(3*BC$12,1.5)),0,1)</f>
        <v>#N/A</v>
      </c>
      <c r="BD305" s="86" t="b">
        <f t="shared" si="442"/>
        <v>0</v>
      </c>
      <c r="BE305" s="86">
        <f t="shared" si="475"/>
        <v>0.5</v>
      </c>
      <c r="BF305" s="86">
        <f t="shared" si="443"/>
        <v>0.5</v>
      </c>
      <c r="BG305" s="30" t="e">
        <f t="shared" ca="1" si="476"/>
        <v>#DIV/0!</v>
      </c>
      <c r="BH305" s="85" t="e">
        <f ca="1">IF(AN305&lt;=Hypothèses!$V$7,Hypothèses!$W$7,IF(AN305&lt;=Hypothèses!$V$8,Hypothèses!$W$8,IF(AN305&lt;=Hypothèses!$V$9,Hypothèses!$W$9,IF(AN305&lt;=Hypothèses!$V$10,Hypothèses!$W$10,IF(AN305&lt;=Hypothèses!$V$11,Hypothèses!$W$11,IF(AN305&lt;=Hypothèses!$V$12,Hypothèses!$W$12,IF(AN305&lt;=Hypothèses!$V$13,Hypothèses!$W$13,IF(AN305&lt;=Hypothèses!$V$14,Hypothèses!$W$14,IF(AN305&lt;=Hypothèses!$V$15,Hypothèses!$W$15,IF(AN305&lt;=Hypothèses!$V$16,Hypothèses!$W$16,IF(AN305&lt;=Hypothèses!$V$17,Hypothèses!$W$17,IF(AN305&lt;=Hypothèses!$V$18,Hypothèses!$W$18,""))))))))))))</f>
        <v>#DIV/0!</v>
      </c>
      <c r="BI305" s="87" t="e">
        <f t="shared" ca="1" si="518"/>
        <v>#DIV/0!</v>
      </c>
      <c r="BJ305" s="88" t="e">
        <f ca="1">IF(AN305&lt;=Hypothèses!$V$7,Hypothèses!$X$7,IF(AN305&lt;=Hypothèses!$V$8,Hypothèses!$X$8,IF(AN305&lt;=Hypothèses!$V$9,Hypothèses!$X$9,IF(AN305&lt;=Hypothèses!$V$10,Hypothèses!$X$10,IF(AN305&lt;=Hypothèses!$V$11,Hypothèses!$X$11,IF(AN305&lt;=Hypothèses!$V$12,Hypothèses!$X$12,IF(AN305&lt;=Hypothèses!$V$13,Hypothèses!$X$13,IF(AN305&lt;=Hypothèses!$V$14,Hypothèses!$X$14,IF(AN305&lt;=Hypothèses!$V$15,Hypothèses!$X$15,IF(AN305&lt;=Hypothèses!$V$16,Hypothèses!$X$16,IF(AN305&lt;=Hypothèses!$U$17,Hypothèses!$W$17,IF(AN305&lt;=Hypothèses!$U$18,Hypothèses!$W$18,""))))))))))))</f>
        <v>#DIV/0!</v>
      </c>
      <c r="BK305" s="95" t="e">
        <f t="shared" ca="1" si="477"/>
        <v>#DIV/0!</v>
      </c>
      <c r="BL305" s="101">
        <f t="shared" si="525"/>
        <v>0</v>
      </c>
      <c r="BM305" s="91">
        <f t="shared" si="444"/>
        <v>0</v>
      </c>
      <c r="BN305" s="30" t="e">
        <f t="shared" si="504"/>
        <v>#N/A</v>
      </c>
      <c r="BO305" s="30" t="e">
        <f t="shared" si="505"/>
        <v>#N/A</v>
      </c>
      <c r="BP305" s="31" t="e">
        <f>IF(OR(Hypothèses!$B$4=17,Hypothèses!$B$4=18,Hypothèses!$B$4=19,Hypothèses!$B$4=20),
IF($D305="Pressio.",
IF(OR($E305=3,$E305=1,$E305=4),BO305,BN305),
IF($D305="Pénétro.",
IF(OR($E305=3,$E305=1,$E305=4),BO305,BN305))),IF($D305="Pressio.",
IF($E305=3,BO305,BN305),
IF($D305="Pénétro.",
IF($E305=4,BO305,BN305))))</f>
        <v>#N/A</v>
      </c>
      <c r="BQ305" s="31">
        <v>0</v>
      </c>
      <c r="BR305" s="102" t="e">
        <f>IF(NDC!$H$10="Oui",(VLOOKUP($B$3,'Coeff EC7'!$T$39:$X$59,2,0)*BP305+VLOOKUP($B$3,'Coeff EC7'!$T$65:$X$85,2,0)*Model0.1T!BQ305)/1.5,PI()*BN$12*$Q305*($B305-$B304)*0.15/10+BR304)</f>
        <v>#N/A</v>
      </c>
      <c r="BS305" s="102" t="e">
        <f>(VLOOKUP($B$3,'Coeff EC7'!$T$39:$X$59,3,0)*BP305+VLOOKUP($B$3,'Coeff EC7'!$T$65:$X$85,3,0)*Model0.1T!BQ305)/1.1</f>
        <v>#N/A</v>
      </c>
      <c r="BT305" s="102" t="e">
        <f t="shared" si="478"/>
        <v>#N/A</v>
      </c>
      <c r="BU305" s="102" t="e">
        <f t="shared" si="479"/>
        <v>#N/A</v>
      </c>
      <c r="BV305" s="414" t="e">
        <f>IF(AND(BR305&gt;NDC!$C$63,BS305&gt;NDC!$C$65,BT305&gt;NDC!$D$73,BU305&gt;NDC!$D$74,$B305&gt;NDC!$H$22-0.1+MIN(3*BV$12,1.5)),0,1)</f>
        <v>#N/A</v>
      </c>
      <c r="BW305" s="86" t="b">
        <f t="shared" si="445"/>
        <v>0</v>
      </c>
      <c r="BX305" s="86">
        <f t="shared" si="446"/>
        <v>0.5</v>
      </c>
      <c r="BY305" s="86">
        <f t="shared" si="447"/>
        <v>0.5</v>
      </c>
      <c r="BZ305" s="30" t="e">
        <f t="shared" ca="1" si="480"/>
        <v>#DIV/0!</v>
      </c>
      <c r="CA305" s="85" t="e">
        <f ca="1">IF(BG305&lt;=Hypothèses!$V$7,Hypothèses!$W$7,IF(BG305&lt;=Hypothèses!$V$8,Hypothèses!$W$8,IF(BG305&lt;=Hypothèses!$V$9,Hypothèses!$W$9,IF(BG305&lt;=Hypothèses!$V$10,Hypothèses!$W$10,IF(BG305&lt;=Hypothèses!$V$11,Hypothèses!$W$11,IF(BG305&lt;=Hypothèses!$V$12,Hypothèses!$W$12,IF(BG305&lt;=Hypothèses!$V$13,Hypothèses!$W$13,IF(BG305&lt;=Hypothèses!$V$14,Hypothèses!$W$14,IF(BG305&lt;=Hypothèses!$V$15,Hypothèses!$W$15,IF(BG305&lt;=Hypothèses!$V$16,Hypothèses!$W$16,IF(BG305&lt;=Hypothèses!$V$17,Hypothèses!$W$17,IF(BG305&lt;=Hypothèses!$V$18,Hypothèses!$W$18,""))))))))))))</f>
        <v>#DIV/0!</v>
      </c>
      <c r="CB305" s="87" t="e">
        <f t="shared" ca="1" si="519"/>
        <v>#DIV/0!</v>
      </c>
      <c r="CC305" s="88" t="e">
        <f ca="1">IF(BG305&lt;=Hypothèses!$V$7,Hypothèses!$X$7,IF(BG305&lt;=Hypothèses!$V$8,Hypothèses!$X$8,IF(BG305&lt;=Hypothèses!$V$9,Hypothèses!$X$9,IF(BG305&lt;=Hypothèses!$V$10,Hypothèses!$X$10,IF(BG305&lt;=Hypothèses!$V$11,Hypothèses!$X$11,IF(BG305&lt;=Hypothèses!$V$12,Hypothèses!$X$12,IF(BG305&lt;=Hypothèses!$V$13,Hypothèses!$X$13,IF(BG305&lt;=Hypothèses!$V$14,Hypothèses!$X$14,IF(BG305&lt;=Hypothèses!$V$15,Hypothèses!$X$15,IF(BG305&lt;=Hypothèses!$V$16,Hypothèses!$X$16,IF(BG305&lt;=Hypothèses!$U$17,Hypothèses!$W$17,IF(BG305&lt;=Hypothèses!$U$18,Hypothèses!$W$18,""))))))))))))</f>
        <v>#DIV/0!</v>
      </c>
      <c r="CD305" s="95" t="e">
        <f t="shared" ca="1" si="481"/>
        <v>#DIV/0!</v>
      </c>
      <c r="CE305" s="101">
        <f t="shared" si="526"/>
        <v>0</v>
      </c>
      <c r="CF305" s="91">
        <f t="shared" si="448"/>
        <v>0</v>
      </c>
      <c r="CG305" s="30" t="e">
        <f t="shared" si="506"/>
        <v>#N/A</v>
      </c>
      <c r="CH305" s="30" t="e">
        <f t="shared" si="507"/>
        <v>#N/A</v>
      </c>
      <c r="CI305" s="31" t="e">
        <f>IF(OR(Hypothèses!$B$4=17,Hypothèses!$B$4=18,Hypothèses!$B$4=19,Hypothèses!$B$4=20),
IF($D305="Pressio.",
IF(OR($E305=3,$E305=1,$E305=4),CH305,CG305),
IF($D305="Pénétro.",
IF(OR($E305=3,$E305=1,$E305=4),CH305,CG305))),IF($D305="Pressio.",
IF($E305=3,CH305,CG305),
IF($D305="Pénétro.",
IF($E305=4,CH305,CG305))))</f>
        <v>#N/A</v>
      </c>
      <c r="CJ305" s="31">
        <v>0</v>
      </c>
      <c r="CK305" s="102" t="e">
        <f>IF(NDC!$H$10="Oui",(VLOOKUP($B$3,'Coeff EC7'!$T$39:$X$59,2,0)*CI305+VLOOKUP($B$3,'Coeff EC7'!$T$65:$X$85,2,0)*Model0.1T!CJ305)/1.5,PI()*CG$12*$Q305*($B305-$B304)*0.15/10+CK304)</f>
        <v>#N/A</v>
      </c>
      <c r="CL305" s="102" t="e">
        <f>(VLOOKUP($B$3,'Coeff EC7'!$T$39:$X$59,3,0)*CI305+VLOOKUP($B$3,'Coeff EC7'!$T$65:$X$85,3,0)*Model0.1T!CJ305)/1.1</f>
        <v>#N/A</v>
      </c>
      <c r="CM305" s="102" t="e">
        <f t="shared" si="482"/>
        <v>#N/A</v>
      </c>
      <c r="CN305" s="102" t="e">
        <f t="shared" si="483"/>
        <v>#N/A</v>
      </c>
      <c r="CO305" s="414" t="e">
        <f>IF(AND(CK305&gt;NDC!$C$63,CL305&gt;NDC!$C$65,CM305&gt;NDC!$D$73,CN305&gt;NDC!$D$74,$B305&gt;NDC!$H$22-0.1+MIN(3*CO$12,1.5)),0,1)</f>
        <v>#N/A</v>
      </c>
      <c r="CP305" s="86" t="b">
        <f t="shared" si="449"/>
        <v>0</v>
      </c>
      <c r="CQ305" s="86">
        <f t="shared" si="450"/>
        <v>0.5</v>
      </c>
      <c r="CR305" s="86">
        <f t="shared" si="451"/>
        <v>0.5</v>
      </c>
      <c r="CS305" s="30" t="e">
        <f t="shared" ca="1" si="484"/>
        <v>#DIV/0!</v>
      </c>
      <c r="CT305" s="85" t="e">
        <f ca="1">IF(BZ305&lt;=Hypothèses!$V$7,Hypothèses!$W$7,IF(BZ305&lt;=Hypothèses!$V$8,Hypothèses!$W$8,IF(BZ305&lt;=Hypothèses!$V$9,Hypothèses!$W$9,IF(BZ305&lt;=Hypothèses!$V$10,Hypothèses!$W$10,IF(BZ305&lt;=Hypothèses!$V$11,Hypothèses!$W$11,IF(BZ305&lt;=Hypothèses!$V$12,Hypothèses!$W$12,IF(BZ305&lt;=Hypothèses!$V$13,Hypothèses!$W$13,IF(BZ305&lt;=Hypothèses!$V$14,Hypothèses!$W$14,IF(BZ305&lt;=Hypothèses!$V$15,Hypothèses!$W$15,IF(BZ305&lt;=Hypothèses!$V$16,Hypothèses!$W$16,IF(BZ305&lt;=Hypothèses!$V$17,Hypothèses!$W$17,IF(BZ305&lt;=Hypothèses!$V$18,Hypothèses!$W$18,""))))))))))))</f>
        <v>#DIV/0!</v>
      </c>
      <c r="CU305" s="87" t="e">
        <f t="shared" ca="1" si="520"/>
        <v>#DIV/0!</v>
      </c>
      <c r="CV305" s="88" t="e">
        <f ca="1">IF(BZ305&lt;=Hypothèses!$V$7,Hypothèses!$X$7,IF(BZ305&lt;=Hypothèses!$V$8,Hypothèses!$X$8,IF(BZ305&lt;=Hypothèses!$V$9,Hypothèses!$X$9,IF(BZ305&lt;=Hypothèses!$V$10,Hypothèses!$X$10,IF(BZ305&lt;=Hypothèses!$V$11,Hypothèses!$X$11,IF(BZ305&lt;=Hypothèses!$V$12,Hypothèses!$X$12,IF(BZ305&lt;=Hypothèses!$V$13,Hypothèses!$X$13,IF(BZ305&lt;=Hypothèses!$V$14,Hypothèses!$X$14,IF(BZ305&lt;=Hypothèses!$V$15,Hypothèses!$X$15,IF(BZ305&lt;=Hypothèses!$V$16,Hypothèses!$X$16,IF(BZ305&lt;=Hypothèses!$U$17,Hypothèses!$W$17,IF(BZ305&lt;=Hypothèses!$U$18,Hypothèses!$W$18,""))))))))))))</f>
        <v>#DIV/0!</v>
      </c>
      <c r="CW305" s="95" t="e">
        <f t="shared" ca="1" si="485"/>
        <v>#DIV/0!</v>
      </c>
      <c r="CX305" s="101">
        <f t="shared" si="527"/>
        <v>0</v>
      </c>
      <c r="CY305" s="91">
        <f t="shared" si="452"/>
        <v>0</v>
      </c>
      <c r="CZ305" s="30" t="e">
        <f t="shared" si="508"/>
        <v>#N/A</v>
      </c>
      <c r="DA305" s="30" t="e">
        <f t="shared" si="509"/>
        <v>#N/A</v>
      </c>
      <c r="DB305" s="31" t="e">
        <f>IF(OR(Hypothèses!$B$4=17,Hypothèses!$B$4=18,Hypothèses!$B$4=19,Hypothèses!$B$4=20),
IF($D305="Pressio.",
IF(OR($E305=3,$E305=1,$E305=4),DA305,CZ305),
IF($D305="Pénétro.",
IF(OR($E305=3,$E305=1,$E305=4),DA305,CZ305))),IF($D305="Pressio.",
IF($E305=3,DA305,CZ305),
IF($D305="Pénétro.",
IF($E305=4,DA305,CZ305))))</f>
        <v>#N/A</v>
      </c>
      <c r="DC305" s="31">
        <v>0</v>
      </c>
      <c r="DD305" s="102" t="e">
        <f>IF(NDC!$H$10="Oui",(VLOOKUP($B$3,'Coeff EC7'!$T$39:$X$59,2,0)*DB305+VLOOKUP($B$3,'Coeff EC7'!$T$65:$X$85,2,0)*Model0.1T!DC305)/1.5,PI()*CZ$12*$Q305*($B305-$B304)*0.15/10+DD304)</f>
        <v>#N/A</v>
      </c>
      <c r="DE305" s="102" t="e">
        <f>(VLOOKUP($B$3,'Coeff EC7'!$T$39:$X$59,3,0)*DB305+VLOOKUP($B$3,'Coeff EC7'!$T$65:$X$85,3,0)*Model0.1T!DC305)/1.1</f>
        <v>#N/A</v>
      </c>
      <c r="DF305" s="102" t="e">
        <f t="shared" si="486"/>
        <v>#N/A</v>
      </c>
      <c r="DG305" s="102" t="e">
        <f t="shared" si="487"/>
        <v>#N/A</v>
      </c>
      <c r="DH305" s="414" t="e">
        <f>IF(AND(DD305&gt;NDC!$C$63,DE305&gt;NDC!$C$65,DF305&gt;NDC!$D$73,DG305&gt;NDC!$D$74,$B305&gt;NDC!$H$22-0.1+MIN(3*DH$12,1.5)),0,1)</f>
        <v>#N/A</v>
      </c>
      <c r="DI305" s="86" t="b">
        <f t="shared" si="453"/>
        <v>0</v>
      </c>
      <c r="DJ305" s="86">
        <f t="shared" si="454"/>
        <v>0.5</v>
      </c>
      <c r="DK305" s="86">
        <f t="shared" si="455"/>
        <v>0.5</v>
      </c>
      <c r="DL305" s="30" t="e">
        <f t="shared" ca="1" si="488"/>
        <v>#DIV/0!</v>
      </c>
      <c r="DM305" s="85" t="e">
        <f ca="1">IF(CS305&lt;=Hypothèses!$V$7,Hypothèses!$W$7,IF(CS305&lt;=Hypothèses!$V$8,Hypothèses!$W$8,IF(CS305&lt;=Hypothèses!$V$9,Hypothèses!$W$9,IF(CS305&lt;=Hypothèses!$V$10,Hypothèses!$W$10,IF(CS305&lt;=Hypothèses!$V$11,Hypothèses!$W$11,IF(CS305&lt;=Hypothèses!$V$12,Hypothèses!$W$12,IF(CS305&lt;=Hypothèses!$V$13,Hypothèses!$W$13,IF(CS305&lt;=Hypothèses!$V$14,Hypothèses!$W$14,IF(CS305&lt;=Hypothèses!$V$15,Hypothèses!$W$15,IF(CS305&lt;=Hypothèses!$V$16,Hypothèses!$W$16,IF(CS305&lt;=Hypothèses!$V$17,Hypothèses!$W$17,IF(CS305&lt;=Hypothèses!$V$18,Hypothèses!$W$18,""))))))))))))</f>
        <v>#DIV/0!</v>
      </c>
      <c r="DN305" s="87" t="e">
        <f t="shared" ca="1" si="521"/>
        <v>#DIV/0!</v>
      </c>
      <c r="DO305" s="88" t="e">
        <f ca="1">IF(CS305&lt;=Hypothèses!$V$7,Hypothèses!$X$7,IF(CS305&lt;=Hypothèses!$V$8,Hypothèses!$X$8,IF(CS305&lt;=Hypothèses!$V$9,Hypothèses!$X$9,IF(CS305&lt;=Hypothèses!$V$10,Hypothèses!$X$10,IF(CS305&lt;=Hypothèses!$V$11,Hypothèses!$X$11,IF(CS305&lt;=Hypothèses!$V$12,Hypothèses!$X$12,IF(CS305&lt;=Hypothèses!$V$13,Hypothèses!$X$13,IF(CS305&lt;=Hypothèses!$V$14,Hypothèses!$X$14,IF(CS305&lt;=Hypothèses!$V$15,Hypothèses!$X$15,IF(CS305&lt;=Hypothèses!$V$16,Hypothèses!$X$16,IF(CS305&lt;=Hypothèses!$U$17,Hypothèses!$W$17,IF(CS305&lt;=Hypothèses!$U$18,Hypothèses!$W$18,""))))))))))))</f>
        <v>#DIV/0!</v>
      </c>
      <c r="DP305" s="95" t="e">
        <f t="shared" ca="1" si="489"/>
        <v>#DIV/0!</v>
      </c>
      <c r="DQ305" s="101">
        <f t="shared" si="528"/>
        <v>0</v>
      </c>
      <c r="DR305" s="91">
        <f t="shared" si="456"/>
        <v>0</v>
      </c>
      <c r="DS305" s="30" t="e">
        <f t="shared" si="510"/>
        <v>#N/A</v>
      </c>
      <c r="DT305" s="30" t="e">
        <f t="shared" si="511"/>
        <v>#N/A</v>
      </c>
      <c r="DU305" s="31" t="e">
        <f>IF(OR(Hypothèses!$B$4=17,Hypothèses!$B$4=18,Hypothèses!$B$4=19,Hypothèses!$B$4=20),
IF($D305="Pressio.",
IF(OR($E305=3,$E305=1,$E305=4),DT305,DS305),
IF($D305="Pénétro.",
IF(OR($E305=3,$E305=1,$E305=4),DT305,DS305))),IF($D305="Pressio.",
IF($E305=3,DT305,DS305),
IF($D305="Pénétro.",
IF($E305=4,DT305,DS305))))</f>
        <v>#N/A</v>
      </c>
      <c r="DV305" s="31">
        <v>0</v>
      </c>
      <c r="DW305" s="102" t="e">
        <f>IF(NDC!$H$10="Oui",(VLOOKUP($B$3,'Coeff EC7'!$T$39:$X$59,2,0)*DU305+VLOOKUP($B$3,'Coeff EC7'!$T$65:$X$85,2,0)*Model0.1T!DV305)/1.5,PI()*DS$12*$Q305*($B305-$B304)*0.15/10+DW304)</f>
        <v>#N/A</v>
      </c>
      <c r="DX305" s="102" t="e">
        <f>(VLOOKUP($B$3,'Coeff EC7'!$T$39:$X$59,3,0)*DU305+VLOOKUP($B$3,'Coeff EC7'!$T$65:$X$85,3,0)*Model0.1T!DV305)/1.1</f>
        <v>#N/A</v>
      </c>
      <c r="DY305" s="102" t="e">
        <f t="shared" si="490"/>
        <v>#N/A</v>
      </c>
      <c r="DZ305" s="102" t="e">
        <f t="shared" si="491"/>
        <v>#N/A</v>
      </c>
      <c r="EA305" s="414" t="e">
        <f>IF(AND(DW305&gt;NDC!$C$63,DX305&gt;NDC!$C$65,DY305&gt;NDC!$D$73,DZ305&gt;NDC!$D$74,$B305&gt;NDC!$H$22-0.1+MIN(3*EA$12,1.5)),0,1)</f>
        <v>#N/A</v>
      </c>
      <c r="EB305" s="86" t="b">
        <f t="shared" si="457"/>
        <v>0</v>
      </c>
      <c r="EC305" s="418">
        <f t="shared" si="458"/>
        <v>0.51</v>
      </c>
      <c r="ED305" s="86">
        <f t="shared" si="459"/>
        <v>0.51</v>
      </c>
      <c r="EE305" s="30" t="e">
        <f t="shared" ca="1" si="492"/>
        <v>#DIV/0!</v>
      </c>
      <c r="EF305" s="85" t="e">
        <f ca="1">IF(DL305&lt;=Hypothèses!$V$7,Hypothèses!$W$7,IF(DL305&lt;=Hypothèses!$V$8,Hypothèses!$W$8,IF(DL305&lt;=Hypothèses!$V$9,Hypothèses!$W$9,IF(DL305&lt;=Hypothèses!$V$10,Hypothèses!$W$10,IF(DL305&lt;=Hypothèses!$V$11,Hypothèses!$W$11,IF(DL305&lt;=Hypothèses!$V$12,Hypothèses!$W$12,IF(DL305&lt;=Hypothèses!$V$13,Hypothèses!$W$13,IF(DL305&lt;=Hypothèses!$V$14,Hypothèses!$W$14,IF(DL305&lt;=Hypothèses!$V$15,Hypothèses!$W$15,IF(DL305&lt;=Hypothèses!$V$16,Hypothèses!$W$16,IF(DL305&lt;=Hypothèses!$V$17,Hypothèses!$W$17,IF(DL305&lt;=Hypothèses!$V$18,Hypothèses!$W$18,""))))))))))))</f>
        <v>#DIV/0!</v>
      </c>
      <c r="EG305" s="87" t="e">
        <f t="shared" ca="1" si="522"/>
        <v>#DIV/0!</v>
      </c>
      <c r="EH305" s="88" t="e">
        <f ca="1">IF(DL305&lt;=Hypothèses!$V$7,Hypothèses!$X$7,IF(DL305&lt;=Hypothèses!$V$8,Hypothèses!$X$8,IF(DL305&lt;=Hypothèses!$V$9,Hypothèses!$X$9,IF(DL305&lt;=Hypothèses!$V$10,Hypothèses!$X$10,IF(DL305&lt;=Hypothèses!$V$11,Hypothèses!$X$11,IF(DL305&lt;=Hypothèses!$V$12,Hypothèses!$X$12,IF(DL305&lt;=Hypothèses!$V$13,Hypothèses!$X$13,IF(DL305&lt;=Hypothèses!$V$14,Hypothèses!$X$14,IF(DL305&lt;=Hypothèses!$V$15,Hypothèses!$X$15,IF(DL305&lt;=Hypothèses!$V$16,Hypothèses!$X$16,IF(DL305&lt;=Hypothèses!$U$17,Hypothèses!$W$17,IF(DL305&lt;=Hypothèses!$U$18,Hypothèses!$W$18,""))))))))))))</f>
        <v>#DIV/0!</v>
      </c>
      <c r="EI305" s="95" t="e">
        <f t="shared" ca="1" si="493"/>
        <v>#DIV/0!</v>
      </c>
      <c r="EJ305" s="101">
        <f t="shared" si="529"/>
        <v>0</v>
      </c>
      <c r="EK305" s="91">
        <f t="shared" si="460"/>
        <v>0</v>
      </c>
      <c r="EL305" s="30" t="e">
        <f t="shared" si="512"/>
        <v>#N/A</v>
      </c>
      <c r="EM305" s="30" t="e">
        <f t="shared" si="513"/>
        <v>#N/A</v>
      </c>
      <c r="EN305" s="31" t="e">
        <f>IF(OR(Hypothèses!$B$4=17,Hypothèses!$B$4=18,Hypothèses!$B$4=19,Hypothèses!$B$4=20),
IF($D305="Pressio.",
IF(OR($E305=3,$E305=1,$E305=4),EM305,EL305),
IF($D305="Pénétro.",
IF(OR($E305=3,$E305=1,$E305=4),EM305,EL305))),IF($D305="Pressio.",
IF($E305=3,EM305,EL305),
IF($D305="Pénétro.",
IF($E305=4,EM305,EL305))))</f>
        <v>#N/A</v>
      </c>
      <c r="EO305" s="31">
        <v>0</v>
      </c>
      <c r="EP305" s="102" t="e">
        <f>IF(NDC!$H$10="Oui",(VLOOKUP($B$3,'Coeff EC7'!$T$39:$X$59,2,0)*EN305+VLOOKUP($B$3,'Coeff EC7'!$T$65:$X$85,2,0)*Model0.1T!EO305)/1.5,PI()*EL$12*$Q305*($B305-$B304)*0.15/10+EP304)</f>
        <v>#N/A</v>
      </c>
      <c r="EQ305" s="102" t="e">
        <f>(VLOOKUP($B$3,'Coeff EC7'!$T$39:$X$59,3,0)*EN305+VLOOKUP($B$3,'Coeff EC7'!$T$65:$X$85,3,0)*Model0.1T!EO305)/1.1</f>
        <v>#N/A</v>
      </c>
      <c r="ER305" s="102" t="e">
        <f t="shared" si="494"/>
        <v>#N/A</v>
      </c>
      <c r="ES305" s="102" t="e">
        <f t="shared" si="495"/>
        <v>#N/A</v>
      </c>
      <c r="ET305" s="414" t="e">
        <f>IF(AND(EP305&gt;NDC!$C$63,EQ305&gt;NDC!$C$65,ER305&gt;NDC!$D$73,ES305&gt;NDC!$D$74,$B305&gt;NDC!$H$22-0.1+MIN(3*ET$12,1.5)),0,1)</f>
        <v>#N/A</v>
      </c>
      <c r="EU305" s="86" t="b">
        <f t="shared" si="461"/>
        <v>0</v>
      </c>
      <c r="EV305" s="86">
        <f t="shared" si="462"/>
        <v>0.61</v>
      </c>
      <c r="EW305" s="86">
        <f t="shared" si="463"/>
        <v>0.61</v>
      </c>
      <c r="EX305" s="30" t="e">
        <f t="shared" ca="1" si="496"/>
        <v>#DIV/0!</v>
      </c>
      <c r="EY305" s="85" t="e">
        <f ca="1">IF(EE305&lt;=Hypothèses!$V$7,Hypothèses!$W$7,IF(EE305&lt;=Hypothèses!$V$8,Hypothèses!$W$8,IF(EE305&lt;=Hypothèses!$V$9,Hypothèses!$W$9,IF(EE305&lt;=Hypothèses!$V$10,Hypothèses!$W$10,IF(EE305&lt;=Hypothèses!$V$11,Hypothèses!$W$11,IF(EE305&lt;=Hypothèses!$V$12,Hypothèses!$W$12,IF(EE305&lt;=Hypothèses!$V$13,Hypothèses!$W$13,IF(EE305&lt;=Hypothèses!$V$14,Hypothèses!$W$14,IF(EE305&lt;=Hypothèses!$V$15,Hypothèses!$W$15,IF(EE305&lt;=Hypothèses!$V$16,Hypothèses!$W$16,IF(EE305&lt;=Hypothèses!$V$17,Hypothèses!$W$17,IF(EE305&lt;=Hypothèses!$V$18,Hypothèses!$W$18,""))))))))))))</f>
        <v>#DIV/0!</v>
      </c>
      <c r="EZ305" s="87" t="e">
        <f t="shared" ca="1" si="523"/>
        <v>#DIV/0!</v>
      </c>
      <c r="FA305" s="88" t="e">
        <f ca="1">IF(EE305&lt;=Hypothèses!$V$7,Hypothèses!$X$7,IF(EE305&lt;=Hypothèses!$V$8,Hypothèses!$X$8,IF(EE305&lt;=Hypothèses!$V$9,Hypothèses!$X$9,IF(EE305&lt;=Hypothèses!$V$10,Hypothèses!$X$10,IF(EE305&lt;=Hypothèses!$V$11,Hypothèses!$X$11,IF(EE305&lt;=Hypothèses!$V$12,Hypothèses!$X$12,IF(EE305&lt;=Hypothèses!$V$13,Hypothèses!$X$13,IF(EE305&lt;=Hypothèses!$V$14,Hypothèses!$X$14,IF(EE305&lt;=Hypothèses!$V$15,Hypothèses!$X$15,IF(EE305&lt;=Hypothèses!$V$16,Hypothèses!$X$16,IF(EE305&lt;=Hypothèses!$U$17,Hypothèses!$W$17,IF(EE305&lt;=Hypothèses!$U$18,Hypothèses!$W$18,""))))))))))))</f>
        <v>#DIV/0!</v>
      </c>
      <c r="FB305" s="95" t="e">
        <f t="shared" ca="1" si="497"/>
        <v>#DIV/0!</v>
      </c>
      <c r="FC305" s="101">
        <f t="shared" si="530"/>
        <v>0</v>
      </c>
      <c r="FD305" s="91">
        <f t="shared" si="464"/>
        <v>0</v>
      </c>
      <c r="FE305" s="30" t="e">
        <f t="shared" si="514"/>
        <v>#N/A</v>
      </c>
      <c r="FF305" s="30" t="e">
        <f t="shared" si="515"/>
        <v>#N/A</v>
      </c>
      <c r="FG305" s="31" t="e">
        <f>IF(OR(Hypothèses!$B$4=17,Hypothèses!$B$4=18,Hypothèses!$B$4=19,Hypothèses!$B$4=20),
IF($D305="Pressio.",
IF(OR($E305=3,$E305=1,$E305=4),FF305,FE305),
IF($D305="Pénétro.",
IF(OR($E305=3,$E305=1,$E305=4),FF305,FE305))),IF($D305="Pressio.",
IF($E305=3,FF305,FE305),
IF($D305="Pénétro.",
IF($E305=4,FF305,FE305))))</f>
        <v>#N/A</v>
      </c>
      <c r="FH305" s="31">
        <v>0</v>
      </c>
      <c r="FI305" s="102" t="e">
        <f>IF(NDC!$H$10="Oui",(VLOOKUP($B$3,'Coeff EC7'!$T$39:$X$59,2,0)*FG305+VLOOKUP($B$3,'Coeff EC7'!$T$65:$X$85,2,0)*Model0.1T!FH305)/1.5,PI()*FE$12*$Q305*($B305-$B304)*0.15/10+FI304)</f>
        <v>#N/A</v>
      </c>
      <c r="FJ305" s="102" t="e">
        <f>(VLOOKUP($B$3,'Coeff EC7'!$T$39:$X$59,3,0)*FG305+VLOOKUP($B$3,'Coeff EC7'!$T$65:$X$85,3,0)*Model0.1T!FH305)/1.1</f>
        <v>#N/A</v>
      </c>
      <c r="FK305" s="102" t="e">
        <f t="shared" si="498"/>
        <v>#N/A</v>
      </c>
      <c r="FL305" s="102" t="e">
        <f t="shared" si="499"/>
        <v>#N/A</v>
      </c>
      <c r="FM305" s="414" t="e">
        <f>IF(AND(FI305&gt;NDC!$C$63,FJ305&gt;NDC!$C$65,FK305&gt;NDC!$D$73,FL305&gt;NDC!$D$74,$B305&gt;NDC!$H$22-0.1+MIN(3*FM$12,1.5)),0,1)</f>
        <v>#N/A</v>
      </c>
    </row>
    <row r="306" spans="1:169">
      <c r="A306" s="96">
        <f t="shared" si="465"/>
        <v>70.700000000001666</v>
      </c>
      <c r="B306" s="97">
        <v>29.3</v>
      </c>
      <c r="C306" s="81">
        <f>IF(B306&lt;=Hypothèses!$C$7,Hypothèses!$A$7,IF(B306&lt;=Hypothèses!$C$8,Hypothèses!$A$8,IF(B306&lt;=Hypothèses!$C$9,Hypothèses!$A$9,IF(B306&lt;=Hypothèses!$C$10,Hypothèses!$A$10,IF(B306&lt;=Hypothèses!$C$11,Hypothèses!$A$11,IF(B306&lt;=Hypothèses!$C$12,Hypothèses!$A$12,IF(B306&lt;=Hypothèses!$C$13,Hypothèses!$A$13,IF(B306&lt;=Hypothèses!$C$14,Hypothèses!$A$14,IF(B306&lt;=Hypothèses!$C$15,Hypothèses!$A$15,IF(B306&lt;=Hypothèses!$C$16,Hypothèses!$A$16,IF(B306&lt;=Hypothèses!$C$17,Hypothèses!$A$17,IF(B306&lt;=Hypothèses!$C$18,Hypothèses!$A$18,C305))))))))))))</f>
        <v>11</v>
      </c>
      <c r="D306" s="82" t="str">
        <f>IF(B306&lt;=Hypothèses!$C$7,Hypothèses!$R$7,IF(B306&lt;=Hypothèses!$C$8,Hypothèses!$R$8,IF(B306&lt;=Hypothèses!$C$9,Hypothèses!$R$9,IF(B306&lt;=Hypothèses!$C$10,Hypothèses!$R$10,IF(B306&lt;=Hypothèses!$C$11,Hypothèses!$R$11,IF(B306&lt;=Hypothèses!$C$12,Hypothèses!$R$12,IF(B306&lt;=Hypothèses!$C$13,Hypothèses!$R$13,IF(B306&lt;=Hypothèses!$C$14,Hypothèses!$R$14,IF(B306&lt;=Hypothèses!$C$15,Hypothèses!$R$15,IF(B306&lt;=Hypothèses!$C$16,Hypothèses!$R$16,IF(B306&lt;=Hypothèses!$C$17,Hypothèses!$R$17,IF(B306&lt;=Hypothèses!$C$18,Hypothèses!$R$18,D305))))))))))))</f>
        <v>Pressio.</v>
      </c>
      <c r="E306" s="82" t="e">
        <f>IF(B306&lt;=Hypothèses!$C$7,Hypothèses!$G$7,IF(B306&lt;=Hypothèses!$C$8,Hypothèses!$G$8,IF(B306&lt;=Hypothèses!$C$9,Hypothèses!$G$9,IF(B306&lt;=Hypothèses!$C$10,Hypothèses!$G$10,IF(B306&lt;=Hypothèses!$C$11,Hypothèses!$G$11,IF(B306&lt;=Hypothèses!$C$12,Hypothèses!$G$12,IF(B306&lt;=Hypothèses!$C$13,Hypothèses!$G$13,IF(B306&lt;=Hypothèses!$C$14,Hypothèses!$G$14,IF(B306&lt;=Hypothèses!$C$15,Hypothèses!$G$15,IF(B306&lt;=Hypothèses!$C$16,Hypothèses!$G$16,IF(B306&lt;=Hypothèses!$C$17,Hypothèses!$G$17,IF(B306&lt;=Hypothèses!$C$18,Hypothèses!$G$18,E305))))))))))))</f>
        <v>#N/A</v>
      </c>
      <c r="F306" s="82" t="str">
        <f>IF(B306&lt;=Hypothèses!$C$7,Hypothèses!$F$7,IF(B306&lt;=Hypothèses!$C$8,Hypothèses!$F$8,IF(B306&lt;=Hypothèses!$C$9,Hypothèses!$F$9,IF(B306&lt;=Hypothèses!$C$10,Hypothèses!$F$10,IF(B306&lt;=Hypothèses!$C$11,Hypothèses!$F$11,IF(B306&lt;=Hypothèses!$C$12,Hypothèses!$F$12,IF(B306&lt;=Hypothèses!$C$13,Hypothèses!$F$13,IF(B306&lt;=Hypothèses!$C$14,Hypothèses!$F$14,IF(B306&lt;=Hypothèses!$C$15,Hypothèses!$F$15,IF(B306&lt;=Hypothèses!$C$16,Hypothèses!$F$16,IF(B306&lt;=Hypothèses!$C$17,Hypothèses!$F$17,IF(B306&lt;=Hypothèses!$C$18,Hypothèses!$F$18,F305))))))))))))</f>
        <v/>
      </c>
      <c r="G306" s="91">
        <f t="array" ref="G306">INDEX('Coeff EC7'!$U$7:$X$27,
MATCH(Model0.1T!$B$3,'Coeff EC7'!$T$7:$T$27,0),
MATCH(Model0.1T!$D306&amp;Model0.1T!$B$4,
'Coeff EC7'!$U$6:$X$6&amp;
'Coeff EC7'!$U$5:$X$5,0))</f>
        <v>1.4</v>
      </c>
      <c r="H306" s="91">
        <f t="array" ref="H306">INDEX('Coeff EC7'!$Y$7:$AB$27,
MATCH(Model0.1T!$B$3,'Coeff EC7'!$T$7:$T$27,0),
MATCH(Model0.1T!$D306&amp;Model0.1T!$B$4,
'Coeff EC7'!$Y$6:$AB$6&amp;
'Coeff EC7'!$Y$5:$AB$5,0))</f>
        <v>1.7</v>
      </c>
      <c r="I306" s="83">
        <v>0</v>
      </c>
      <c r="J306" s="91" t="e">
        <f t="array" ref="J306">INDEX('Coeff EC7'!$D$33:$Q$33,1,MATCH(D306&amp;E306,'Coeff EC7'!$D$31:$Q$31&amp;'Coeff EC7'!$D$32:$Q$32,0))</f>
        <v>#N/A</v>
      </c>
      <c r="K306" s="91" t="e">
        <f t="array" ref="K306">INDEX('Coeff EC7'!$D$34:$Q$34,1,MATCH(D306&amp;E306,'Coeff EC7'!$D$31:$Q$31&amp;'Coeff EC7'!$D$32:$Q$32,0))</f>
        <v>#N/A</v>
      </c>
      <c r="L306" s="91" t="e">
        <f t="array" ref="L306">INDEX('Coeff EC7'!$D$35:$Q$35,1,MATCH(D306&amp;E306,'Coeff EC7'!$D$31:$Q$31&amp;'Coeff EC7'!$D$32:$Q$32,0))</f>
        <v>#N/A</v>
      </c>
      <c r="M306" s="98" t="e">
        <f t="shared" si="431"/>
        <v>#N/A</v>
      </c>
      <c r="N306" s="99" t="e">
        <f t="array" ref="N306">INDEX('Coeff EC7'!$D$7:$Q$27,MATCH($B$3,'Coeff EC7'!$C$7:$C$27,0),MATCH(D306&amp;E306,'Coeff EC7'!$D$5:$Q$5&amp;'Coeff EC7'!$D$6:$Q$6,0))</f>
        <v>#N/A</v>
      </c>
      <c r="O306" s="99" t="e">
        <f t="array" ref="O306">INDEX('Coeff EC7'!$D$41:$Q$61,MATCH($B$3,'Coeff EC7'!$C$41:$C$61,0),MATCH(D306&amp;E306,'Coeff EC7'!$D$39:$Q$39&amp;'Coeff EC7'!$D$40:$Q$40,0))</f>
        <v>#N/A</v>
      </c>
      <c r="P306" s="30" t="e">
        <f t="shared" si="466"/>
        <v>#N/A</v>
      </c>
      <c r="Q306" s="100" t="e">
        <f t="shared" si="433"/>
        <v>#N/A</v>
      </c>
      <c r="R306" s="86" t="b">
        <f t="shared" si="434"/>
        <v>0</v>
      </c>
      <c r="S306" s="86">
        <f t="shared" si="432"/>
        <v>0.5</v>
      </c>
      <c r="T306" s="86">
        <f t="shared" si="435"/>
        <v>0.5</v>
      </c>
      <c r="U306" s="30" t="e">
        <f t="shared" ca="1" si="467"/>
        <v>#DIV/0!</v>
      </c>
      <c r="V306" s="85" t="str">
        <f>IF(B306&lt;=Hypothèses!$V$7,Hypothèses!$W$7,IF(B306&lt;=Hypothèses!$V$8,Hypothèses!$W$8,IF(B306&lt;=Hypothèses!$V$9,Hypothèses!$W$9,IF(B306&lt;=Hypothèses!$V$10,Hypothèses!$W$10,IF(B306&lt;=Hypothèses!$V$11,Hypothèses!$W$11,IF(B306&lt;=Hypothèses!$V$12,Hypothèses!$W$12,IF(B306&lt;=Hypothèses!$V$13,Hypothèses!$W$13,IF(B306&lt;=Hypothèses!$V$14,Hypothèses!$W$14,IF(B306&lt;=Hypothèses!$V$15,Hypothèses!$W$15,IF(B306&lt;=Hypothèses!$V$16,Hypothèses!$W$16,IF(B306&lt;=Hypothèses!$V$17,Hypothèses!$W$17,IF(B306&lt;=Hypothèses!$V$18,Hypothèses!$W$18,""))))))))))))</f>
        <v/>
      </c>
      <c r="W306" s="87" t="e">
        <f t="shared" ca="1" si="516"/>
        <v>#DIV/0!</v>
      </c>
      <c r="X306" s="88" t="str">
        <f>IF(B306&lt;=Hypothèses!$V$7,Hypothèses!$X$7,IF(B306&lt;=Hypothèses!$V$8,Hypothèses!$X$8,IF(B306&lt;=Hypothèses!$V$9,Hypothèses!$X$9,IF(B306&lt;=Hypothèses!$V$10,Hypothèses!$X$10,IF(B306&lt;=Hypothèses!$V$11,Hypothèses!$X$11,IF(B306&lt;=Hypothèses!$V$12,Hypothèses!$X$12,IF(B306&lt;=Hypothèses!$V$13,Hypothèses!$X$13,IF(B306&lt;=Hypothèses!$V$14,Hypothèses!$X$14,IF(B306&lt;=Hypothèses!$V$15,Hypothèses!$X$15,IF(B306&lt;=Hypothèses!$V$16,Hypothèses!$X$16,IF(B306&lt;=Hypothèses!$U$17,Hypothèses!$W$17,IF(B306&lt;=Hypothèses!$U$18,Hypothèses!$W$18,""))))))))))))</f>
        <v/>
      </c>
      <c r="Y306" s="95" t="e">
        <f t="shared" ca="1" si="436"/>
        <v>#DIV/0!</v>
      </c>
      <c r="Z306" s="101">
        <f t="shared" si="437"/>
        <v>0</v>
      </c>
      <c r="AA306" s="91">
        <f t="shared" si="438"/>
        <v>0</v>
      </c>
      <c r="AB306" s="30" t="e">
        <f t="shared" si="500"/>
        <v>#N/A</v>
      </c>
      <c r="AC306" s="30" t="e">
        <f t="shared" si="501"/>
        <v>#N/A</v>
      </c>
      <c r="AD306" s="31" t="e">
        <f>IF(OR(Hypothèses!$B$4=17,Hypothèses!$B$4=18,Hypothèses!$B$4=19,Hypothèses!$B$4=20),
IF($D306="Pressio.",
IF(OR($E306=3,$E306=1,$E306=4),AC306,AB306),
IF($D306="Pénétro.",
IF(OR($E306=3,$E306=1,$E306=4),AC306,AB306))),IF($D306="Pressio.",
IF($E306=3,AC306,AB306),
IF($D306="Pénétro.",
IF($E306=4,AC306,AB306))))</f>
        <v>#N/A</v>
      </c>
      <c r="AE306" s="31">
        <v>0</v>
      </c>
      <c r="AF306" s="102" t="e">
        <f>IF(NDC!$H$10="Oui",(VLOOKUP($B$3,'Coeff EC7'!$T$39:$X$59,2,0)*AD306+VLOOKUP($B$3,'Coeff EC7'!$T$65:$X$85,2,0)*Model0.1T!AE306)/1.5,PI()*AB$12*$Q306*($B306-$B305)*0.15/10+AF305)</f>
        <v>#N/A</v>
      </c>
      <c r="AG306" s="102" t="e">
        <f>(VLOOKUP($B$3,'Coeff EC7'!$T$39:$X$59,3,0)*AD306+VLOOKUP($B$3,'Coeff EC7'!$T$65:$X$85,3,0)*Model0.1T!AE306)/1.1</f>
        <v>#N/A</v>
      </c>
      <c r="AH306" s="102" t="e">
        <f t="shared" si="468"/>
        <v>#N/A</v>
      </c>
      <c r="AI306" s="102" t="e">
        <f t="shared" si="469"/>
        <v>#N/A</v>
      </c>
      <c r="AJ306" s="414" t="e">
        <f>IF(AND(AF306&gt;NDC!$C$63,AG306&gt;NDC!$C$65,AH306&gt;NDC!$D$73,AI306&gt;NDC!$D$74,$B306&gt;NDC!$H$22-0.1+MIN(3*$AJ$12,1.5)),0,1)</f>
        <v>#N/A</v>
      </c>
      <c r="AK306" s="86" t="b">
        <f t="shared" si="439"/>
        <v>0</v>
      </c>
      <c r="AL306" s="86">
        <f t="shared" si="470"/>
        <v>0.5</v>
      </c>
      <c r="AM306" s="86">
        <f t="shared" si="440"/>
        <v>0.5</v>
      </c>
      <c r="AN306" s="30" t="e">
        <f t="shared" ca="1" si="471"/>
        <v>#DIV/0!</v>
      </c>
      <c r="AO306" s="85" t="e">
        <f ca="1">IF(U306&lt;=Hypothèses!$V$7,Hypothèses!$W$7,IF(U306&lt;=Hypothèses!$V$8,Hypothèses!$W$8,IF(U306&lt;=Hypothèses!$V$9,Hypothèses!$W$9,IF(U306&lt;=Hypothèses!$V$10,Hypothèses!$W$10,IF(U306&lt;=Hypothèses!$V$11,Hypothèses!$W$11,IF(U306&lt;=Hypothèses!$V$12,Hypothèses!$W$12,IF(U306&lt;=Hypothèses!$V$13,Hypothèses!$W$13,IF(U306&lt;=Hypothèses!$V$14,Hypothèses!$W$14,IF(U306&lt;=Hypothèses!$V$15,Hypothèses!$W$15,IF(U306&lt;=Hypothèses!$V$16,Hypothèses!$W$16,IF(U306&lt;=Hypothèses!$V$17,Hypothèses!$W$17,IF(U306&lt;=Hypothèses!$V$18,Hypothèses!$W$18,""))))))))))))</f>
        <v>#DIV/0!</v>
      </c>
      <c r="AP306" s="87" t="e">
        <f t="shared" ca="1" si="517"/>
        <v>#DIV/0!</v>
      </c>
      <c r="AQ306" s="88" t="e">
        <f ca="1">IF(U306&lt;=Hypothèses!$V$7,Hypothèses!$X$7,IF(U306&lt;=Hypothèses!$V$8,Hypothèses!$X$8,IF(U306&lt;=Hypothèses!$V$9,Hypothèses!$X$9,IF(U306&lt;=Hypothèses!$V$10,Hypothèses!$X$10,IF(U306&lt;=Hypothèses!$V$11,Hypothèses!$X$11,IF(U306&lt;=Hypothèses!$V$12,Hypothèses!$X$12,IF(U306&lt;=Hypothèses!$V$13,Hypothèses!$X$13,IF(U306&lt;=Hypothèses!$V$14,Hypothèses!$X$14,IF(U306&lt;=Hypothèses!$V$15,Hypothèses!$X$15,IF(U306&lt;=Hypothèses!$V$16,Hypothèses!$X$16,IF(U306&lt;=Hypothèses!$U$17,Hypothèses!$W$17,IF(U306&lt;=Hypothèses!$U$18,Hypothèses!$W$18,""))))))))))))</f>
        <v>#DIV/0!</v>
      </c>
      <c r="AR306" s="95" t="e">
        <f t="shared" ca="1" si="472"/>
        <v>#DIV/0!</v>
      </c>
      <c r="AS306" s="101">
        <f t="shared" si="524"/>
        <v>0</v>
      </c>
      <c r="AT306" s="91">
        <f t="shared" si="441"/>
        <v>0</v>
      </c>
      <c r="AU306" s="30" t="e">
        <f t="shared" si="502"/>
        <v>#N/A</v>
      </c>
      <c r="AV306" s="30" t="e">
        <f t="shared" si="503"/>
        <v>#N/A</v>
      </c>
      <c r="AW306" s="31" t="e">
        <f>IF(OR(Hypothèses!$B$4=17,Hypothèses!$B$4=18,Hypothèses!$B$4=19,Hypothèses!$B$4=20),
IF($D306="Pressio.",
IF(OR($E306=3,$E306=1,$E306=4),AV306,AU306),
IF($D306="Pénétro.",
IF(OR($E306=3,$E306=1,$E306=4),AV306,AU306))),IF($D306="Pressio.",
IF($E306=3,AV306,AU306),
IF($D306="Pénétro.",
IF($E306=4,AV306,AU306))))</f>
        <v>#N/A</v>
      </c>
      <c r="AX306" s="31">
        <v>0</v>
      </c>
      <c r="AY306" s="102" t="e">
        <f>IF(NDC!$H$10="Oui",(VLOOKUP($B$3,'Coeff EC7'!$T$39:$X$59,2,0)*AW306+VLOOKUP($B$3,'Coeff EC7'!$T$65:$X$85,2,0)*Model0.1T!AX306)/1.5,PI()*AU$12*$Q306*($B306-$B305)*0.15/10+AY305)</f>
        <v>#N/A</v>
      </c>
      <c r="AZ306" s="102" t="e">
        <f>(VLOOKUP($B$3,'Coeff EC7'!$T$39:$X$59,3,0)*AW306+VLOOKUP($B$3,'Coeff EC7'!$T$65:$X$85,3,0)*Model0.1T!AX306)/1.1</f>
        <v>#N/A</v>
      </c>
      <c r="BA306" s="102" t="e">
        <f t="shared" si="473"/>
        <v>#N/A</v>
      </c>
      <c r="BB306" s="102" t="e">
        <f t="shared" si="474"/>
        <v>#N/A</v>
      </c>
      <c r="BC306" s="414" t="e">
        <f>IF(AND(AY306&gt;NDC!$C$63,AZ306&gt;NDC!$C$65,BA306&gt;NDC!$D$73,BB306&gt;NDC!$D$74,$B306&gt;NDC!$H$22-0.1+MIN(3*BC$12,1.5)),0,1)</f>
        <v>#N/A</v>
      </c>
      <c r="BD306" s="86" t="b">
        <f t="shared" si="442"/>
        <v>0</v>
      </c>
      <c r="BE306" s="86">
        <f t="shared" si="475"/>
        <v>0.5</v>
      </c>
      <c r="BF306" s="86">
        <f t="shared" si="443"/>
        <v>0.5</v>
      </c>
      <c r="BG306" s="30" t="e">
        <f t="shared" ca="1" si="476"/>
        <v>#DIV/0!</v>
      </c>
      <c r="BH306" s="85" t="e">
        <f ca="1">IF(AN306&lt;=Hypothèses!$V$7,Hypothèses!$W$7,IF(AN306&lt;=Hypothèses!$V$8,Hypothèses!$W$8,IF(AN306&lt;=Hypothèses!$V$9,Hypothèses!$W$9,IF(AN306&lt;=Hypothèses!$V$10,Hypothèses!$W$10,IF(AN306&lt;=Hypothèses!$V$11,Hypothèses!$W$11,IF(AN306&lt;=Hypothèses!$V$12,Hypothèses!$W$12,IF(AN306&lt;=Hypothèses!$V$13,Hypothèses!$W$13,IF(AN306&lt;=Hypothèses!$V$14,Hypothèses!$W$14,IF(AN306&lt;=Hypothèses!$V$15,Hypothèses!$W$15,IF(AN306&lt;=Hypothèses!$V$16,Hypothèses!$W$16,IF(AN306&lt;=Hypothèses!$V$17,Hypothèses!$W$17,IF(AN306&lt;=Hypothèses!$V$18,Hypothèses!$W$18,""))))))))))))</f>
        <v>#DIV/0!</v>
      </c>
      <c r="BI306" s="87" t="e">
        <f t="shared" ca="1" si="518"/>
        <v>#DIV/0!</v>
      </c>
      <c r="BJ306" s="88" t="e">
        <f ca="1">IF(AN306&lt;=Hypothèses!$V$7,Hypothèses!$X$7,IF(AN306&lt;=Hypothèses!$V$8,Hypothèses!$X$8,IF(AN306&lt;=Hypothèses!$V$9,Hypothèses!$X$9,IF(AN306&lt;=Hypothèses!$V$10,Hypothèses!$X$10,IF(AN306&lt;=Hypothèses!$V$11,Hypothèses!$X$11,IF(AN306&lt;=Hypothèses!$V$12,Hypothèses!$X$12,IF(AN306&lt;=Hypothèses!$V$13,Hypothèses!$X$13,IF(AN306&lt;=Hypothèses!$V$14,Hypothèses!$X$14,IF(AN306&lt;=Hypothèses!$V$15,Hypothèses!$X$15,IF(AN306&lt;=Hypothèses!$V$16,Hypothèses!$X$16,IF(AN306&lt;=Hypothèses!$U$17,Hypothèses!$W$17,IF(AN306&lt;=Hypothèses!$U$18,Hypothèses!$W$18,""))))))))))))</f>
        <v>#DIV/0!</v>
      </c>
      <c r="BK306" s="95" t="e">
        <f t="shared" ca="1" si="477"/>
        <v>#DIV/0!</v>
      </c>
      <c r="BL306" s="101">
        <f t="shared" si="525"/>
        <v>0</v>
      </c>
      <c r="BM306" s="91">
        <f t="shared" si="444"/>
        <v>0</v>
      </c>
      <c r="BN306" s="30" t="e">
        <f t="shared" si="504"/>
        <v>#N/A</v>
      </c>
      <c r="BO306" s="30" t="e">
        <f t="shared" si="505"/>
        <v>#N/A</v>
      </c>
      <c r="BP306" s="31" t="e">
        <f>IF(OR(Hypothèses!$B$4=17,Hypothèses!$B$4=18,Hypothèses!$B$4=19,Hypothèses!$B$4=20),
IF($D306="Pressio.",
IF(OR($E306=3,$E306=1,$E306=4),BO306,BN306),
IF($D306="Pénétro.",
IF(OR($E306=3,$E306=1,$E306=4),BO306,BN306))),IF($D306="Pressio.",
IF($E306=3,BO306,BN306),
IF($D306="Pénétro.",
IF($E306=4,BO306,BN306))))</f>
        <v>#N/A</v>
      </c>
      <c r="BQ306" s="31">
        <v>0</v>
      </c>
      <c r="BR306" s="102" t="e">
        <f>IF(NDC!$H$10="Oui",(VLOOKUP($B$3,'Coeff EC7'!$T$39:$X$59,2,0)*BP306+VLOOKUP($B$3,'Coeff EC7'!$T$65:$X$85,2,0)*Model0.1T!BQ306)/1.5,PI()*BN$12*$Q306*($B306-$B305)*0.15/10+BR305)</f>
        <v>#N/A</v>
      </c>
      <c r="BS306" s="102" t="e">
        <f>(VLOOKUP($B$3,'Coeff EC7'!$T$39:$X$59,3,0)*BP306+VLOOKUP($B$3,'Coeff EC7'!$T$65:$X$85,3,0)*Model0.1T!BQ306)/1.1</f>
        <v>#N/A</v>
      </c>
      <c r="BT306" s="102" t="e">
        <f t="shared" si="478"/>
        <v>#N/A</v>
      </c>
      <c r="BU306" s="102" t="e">
        <f t="shared" si="479"/>
        <v>#N/A</v>
      </c>
      <c r="BV306" s="414" t="e">
        <f>IF(AND(BR306&gt;NDC!$C$63,BS306&gt;NDC!$C$65,BT306&gt;NDC!$D$73,BU306&gt;NDC!$D$74,$B306&gt;NDC!$H$22-0.1+MIN(3*BV$12,1.5)),0,1)</f>
        <v>#N/A</v>
      </c>
      <c r="BW306" s="86" t="b">
        <f t="shared" si="445"/>
        <v>0</v>
      </c>
      <c r="BX306" s="86">
        <f t="shared" si="446"/>
        <v>0.5</v>
      </c>
      <c r="BY306" s="86">
        <f t="shared" si="447"/>
        <v>0.5</v>
      </c>
      <c r="BZ306" s="30" t="e">
        <f t="shared" ca="1" si="480"/>
        <v>#DIV/0!</v>
      </c>
      <c r="CA306" s="85" t="e">
        <f ca="1">IF(BG306&lt;=Hypothèses!$V$7,Hypothèses!$W$7,IF(BG306&lt;=Hypothèses!$V$8,Hypothèses!$W$8,IF(BG306&lt;=Hypothèses!$V$9,Hypothèses!$W$9,IF(BG306&lt;=Hypothèses!$V$10,Hypothèses!$W$10,IF(BG306&lt;=Hypothèses!$V$11,Hypothèses!$W$11,IF(BG306&lt;=Hypothèses!$V$12,Hypothèses!$W$12,IF(BG306&lt;=Hypothèses!$V$13,Hypothèses!$W$13,IF(BG306&lt;=Hypothèses!$V$14,Hypothèses!$W$14,IF(BG306&lt;=Hypothèses!$V$15,Hypothèses!$W$15,IF(BG306&lt;=Hypothèses!$V$16,Hypothèses!$W$16,IF(BG306&lt;=Hypothèses!$V$17,Hypothèses!$W$17,IF(BG306&lt;=Hypothèses!$V$18,Hypothèses!$W$18,""))))))))))))</f>
        <v>#DIV/0!</v>
      </c>
      <c r="CB306" s="87" t="e">
        <f t="shared" ca="1" si="519"/>
        <v>#DIV/0!</v>
      </c>
      <c r="CC306" s="88" t="e">
        <f ca="1">IF(BG306&lt;=Hypothèses!$V$7,Hypothèses!$X$7,IF(BG306&lt;=Hypothèses!$V$8,Hypothèses!$X$8,IF(BG306&lt;=Hypothèses!$V$9,Hypothèses!$X$9,IF(BG306&lt;=Hypothèses!$V$10,Hypothèses!$X$10,IF(BG306&lt;=Hypothèses!$V$11,Hypothèses!$X$11,IF(BG306&lt;=Hypothèses!$V$12,Hypothèses!$X$12,IF(BG306&lt;=Hypothèses!$V$13,Hypothèses!$X$13,IF(BG306&lt;=Hypothèses!$V$14,Hypothèses!$X$14,IF(BG306&lt;=Hypothèses!$V$15,Hypothèses!$X$15,IF(BG306&lt;=Hypothèses!$V$16,Hypothèses!$X$16,IF(BG306&lt;=Hypothèses!$U$17,Hypothèses!$W$17,IF(BG306&lt;=Hypothèses!$U$18,Hypothèses!$W$18,""))))))))))))</f>
        <v>#DIV/0!</v>
      </c>
      <c r="CD306" s="95" t="e">
        <f t="shared" ca="1" si="481"/>
        <v>#DIV/0!</v>
      </c>
      <c r="CE306" s="101">
        <f t="shared" si="526"/>
        <v>0</v>
      </c>
      <c r="CF306" s="91">
        <f t="shared" si="448"/>
        <v>0</v>
      </c>
      <c r="CG306" s="30" t="e">
        <f t="shared" si="506"/>
        <v>#N/A</v>
      </c>
      <c r="CH306" s="30" t="e">
        <f t="shared" si="507"/>
        <v>#N/A</v>
      </c>
      <c r="CI306" s="31" t="e">
        <f>IF(OR(Hypothèses!$B$4=17,Hypothèses!$B$4=18,Hypothèses!$B$4=19,Hypothèses!$B$4=20),
IF($D306="Pressio.",
IF(OR($E306=3,$E306=1,$E306=4),CH306,CG306),
IF($D306="Pénétro.",
IF(OR($E306=3,$E306=1,$E306=4),CH306,CG306))),IF($D306="Pressio.",
IF($E306=3,CH306,CG306),
IF($D306="Pénétro.",
IF($E306=4,CH306,CG306))))</f>
        <v>#N/A</v>
      </c>
      <c r="CJ306" s="31">
        <v>0</v>
      </c>
      <c r="CK306" s="102" t="e">
        <f>IF(NDC!$H$10="Oui",(VLOOKUP($B$3,'Coeff EC7'!$T$39:$X$59,2,0)*CI306+VLOOKUP($B$3,'Coeff EC7'!$T$65:$X$85,2,0)*Model0.1T!CJ306)/1.5,PI()*CG$12*$Q306*($B306-$B305)*0.15/10+CK305)</f>
        <v>#N/A</v>
      </c>
      <c r="CL306" s="102" t="e">
        <f>(VLOOKUP($B$3,'Coeff EC7'!$T$39:$X$59,3,0)*CI306+VLOOKUP($B$3,'Coeff EC7'!$T$65:$X$85,3,0)*Model0.1T!CJ306)/1.1</f>
        <v>#N/A</v>
      </c>
      <c r="CM306" s="102" t="e">
        <f t="shared" si="482"/>
        <v>#N/A</v>
      </c>
      <c r="CN306" s="102" t="e">
        <f t="shared" si="483"/>
        <v>#N/A</v>
      </c>
      <c r="CO306" s="414" t="e">
        <f>IF(AND(CK306&gt;NDC!$C$63,CL306&gt;NDC!$C$65,CM306&gt;NDC!$D$73,CN306&gt;NDC!$D$74,$B306&gt;NDC!$H$22-0.1+MIN(3*CO$12,1.5)),0,1)</f>
        <v>#N/A</v>
      </c>
      <c r="CP306" s="86" t="b">
        <f t="shared" si="449"/>
        <v>0</v>
      </c>
      <c r="CQ306" s="86">
        <f t="shared" si="450"/>
        <v>0.5</v>
      </c>
      <c r="CR306" s="86">
        <f t="shared" si="451"/>
        <v>0.5</v>
      </c>
      <c r="CS306" s="30" t="e">
        <f t="shared" ca="1" si="484"/>
        <v>#DIV/0!</v>
      </c>
      <c r="CT306" s="85" t="e">
        <f ca="1">IF(BZ306&lt;=Hypothèses!$V$7,Hypothèses!$W$7,IF(BZ306&lt;=Hypothèses!$V$8,Hypothèses!$W$8,IF(BZ306&lt;=Hypothèses!$V$9,Hypothèses!$W$9,IF(BZ306&lt;=Hypothèses!$V$10,Hypothèses!$W$10,IF(BZ306&lt;=Hypothèses!$V$11,Hypothèses!$W$11,IF(BZ306&lt;=Hypothèses!$V$12,Hypothèses!$W$12,IF(BZ306&lt;=Hypothèses!$V$13,Hypothèses!$W$13,IF(BZ306&lt;=Hypothèses!$V$14,Hypothèses!$W$14,IF(BZ306&lt;=Hypothèses!$V$15,Hypothèses!$W$15,IF(BZ306&lt;=Hypothèses!$V$16,Hypothèses!$W$16,IF(BZ306&lt;=Hypothèses!$V$17,Hypothèses!$W$17,IF(BZ306&lt;=Hypothèses!$V$18,Hypothèses!$W$18,""))))))))))))</f>
        <v>#DIV/0!</v>
      </c>
      <c r="CU306" s="87" t="e">
        <f t="shared" ca="1" si="520"/>
        <v>#DIV/0!</v>
      </c>
      <c r="CV306" s="88" t="e">
        <f ca="1">IF(BZ306&lt;=Hypothèses!$V$7,Hypothèses!$X$7,IF(BZ306&lt;=Hypothèses!$V$8,Hypothèses!$X$8,IF(BZ306&lt;=Hypothèses!$V$9,Hypothèses!$X$9,IF(BZ306&lt;=Hypothèses!$V$10,Hypothèses!$X$10,IF(BZ306&lt;=Hypothèses!$V$11,Hypothèses!$X$11,IF(BZ306&lt;=Hypothèses!$V$12,Hypothèses!$X$12,IF(BZ306&lt;=Hypothèses!$V$13,Hypothèses!$X$13,IF(BZ306&lt;=Hypothèses!$V$14,Hypothèses!$X$14,IF(BZ306&lt;=Hypothèses!$V$15,Hypothèses!$X$15,IF(BZ306&lt;=Hypothèses!$V$16,Hypothèses!$X$16,IF(BZ306&lt;=Hypothèses!$U$17,Hypothèses!$W$17,IF(BZ306&lt;=Hypothèses!$U$18,Hypothèses!$W$18,""))))))))))))</f>
        <v>#DIV/0!</v>
      </c>
      <c r="CW306" s="95" t="e">
        <f t="shared" ca="1" si="485"/>
        <v>#DIV/0!</v>
      </c>
      <c r="CX306" s="101">
        <f t="shared" si="527"/>
        <v>0</v>
      </c>
      <c r="CY306" s="91">
        <f t="shared" si="452"/>
        <v>0</v>
      </c>
      <c r="CZ306" s="30" t="e">
        <f t="shared" si="508"/>
        <v>#N/A</v>
      </c>
      <c r="DA306" s="30" t="e">
        <f t="shared" si="509"/>
        <v>#N/A</v>
      </c>
      <c r="DB306" s="31" t="e">
        <f>IF(OR(Hypothèses!$B$4=17,Hypothèses!$B$4=18,Hypothèses!$B$4=19,Hypothèses!$B$4=20),
IF($D306="Pressio.",
IF(OR($E306=3,$E306=1,$E306=4),DA306,CZ306),
IF($D306="Pénétro.",
IF(OR($E306=3,$E306=1,$E306=4),DA306,CZ306))),IF($D306="Pressio.",
IF($E306=3,DA306,CZ306),
IF($D306="Pénétro.",
IF($E306=4,DA306,CZ306))))</f>
        <v>#N/A</v>
      </c>
      <c r="DC306" s="31">
        <v>0</v>
      </c>
      <c r="DD306" s="102" t="e">
        <f>IF(NDC!$H$10="Oui",(VLOOKUP($B$3,'Coeff EC7'!$T$39:$X$59,2,0)*DB306+VLOOKUP($B$3,'Coeff EC7'!$T$65:$X$85,2,0)*Model0.1T!DC306)/1.5,PI()*CZ$12*$Q306*($B306-$B305)*0.15/10+DD305)</f>
        <v>#N/A</v>
      </c>
      <c r="DE306" s="102" t="e">
        <f>(VLOOKUP($B$3,'Coeff EC7'!$T$39:$X$59,3,0)*DB306+VLOOKUP($B$3,'Coeff EC7'!$T$65:$X$85,3,0)*Model0.1T!DC306)/1.1</f>
        <v>#N/A</v>
      </c>
      <c r="DF306" s="102" t="e">
        <f t="shared" si="486"/>
        <v>#N/A</v>
      </c>
      <c r="DG306" s="102" t="e">
        <f t="shared" si="487"/>
        <v>#N/A</v>
      </c>
      <c r="DH306" s="414" t="e">
        <f>IF(AND(DD306&gt;NDC!$C$63,DE306&gt;NDC!$C$65,DF306&gt;NDC!$D$73,DG306&gt;NDC!$D$74,$B306&gt;NDC!$H$22-0.1+MIN(3*DH$12,1.5)),0,1)</f>
        <v>#N/A</v>
      </c>
      <c r="DI306" s="86" t="b">
        <f t="shared" si="453"/>
        <v>0</v>
      </c>
      <c r="DJ306" s="86">
        <f t="shared" si="454"/>
        <v>0.5</v>
      </c>
      <c r="DK306" s="86">
        <f t="shared" si="455"/>
        <v>0.5</v>
      </c>
      <c r="DL306" s="30" t="e">
        <f t="shared" ca="1" si="488"/>
        <v>#DIV/0!</v>
      </c>
      <c r="DM306" s="85" t="e">
        <f ca="1">IF(CS306&lt;=Hypothèses!$V$7,Hypothèses!$W$7,IF(CS306&lt;=Hypothèses!$V$8,Hypothèses!$W$8,IF(CS306&lt;=Hypothèses!$V$9,Hypothèses!$W$9,IF(CS306&lt;=Hypothèses!$V$10,Hypothèses!$W$10,IF(CS306&lt;=Hypothèses!$V$11,Hypothèses!$W$11,IF(CS306&lt;=Hypothèses!$V$12,Hypothèses!$W$12,IF(CS306&lt;=Hypothèses!$V$13,Hypothèses!$W$13,IF(CS306&lt;=Hypothèses!$V$14,Hypothèses!$W$14,IF(CS306&lt;=Hypothèses!$V$15,Hypothèses!$W$15,IF(CS306&lt;=Hypothèses!$V$16,Hypothèses!$W$16,IF(CS306&lt;=Hypothèses!$V$17,Hypothèses!$W$17,IF(CS306&lt;=Hypothèses!$V$18,Hypothèses!$W$18,""))))))))))))</f>
        <v>#DIV/0!</v>
      </c>
      <c r="DN306" s="87" t="e">
        <f t="shared" ca="1" si="521"/>
        <v>#DIV/0!</v>
      </c>
      <c r="DO306" s="88" t="e">
        <f ca="1">IF(CS306&lt;=Hypothèses!$V$7,Hypothèses!$X$7,IF(CS306&lt;=Hypothèses!$V$8,Hypothèses!$X$8,IF(CS306&lt;=Hypothèses!$V$9,Hypothèses!$X$9,IF(CS306&lt;=Hypothèses!$V$10,Hypothèses!$X$10,IF(CS306&lt;=Hypothèses!$V$11,Hypothèses!$X$11,IF(CS306&lt;=Hypothèses!$V$12,Hypothèses!$X$12,IF(CS306&lt;=Hypothèses!$V$13,Hypothèses!$X$13,IF(CS306&lt;=Hypothèses!$V$14,Hypothèses!$X$14,IF(CS306&lt;=Hypothèses!$V$15,Hypothèses!$X$15,IF(CS306&lt;=Hypothèses!$V$16,Hypothèses!$X$16,IF(CS306&lt;=Hypothèses!$U$17,Hypothèses!$W$17,IF(CS306&lt;=Hypothèses!$U$18,Hypothèses!$W$18,""))))))))))))</f>
        <v>#DIV/0!</v>
      </c>
      <c r="DP306" s="95" t="e">
        <f t="shared" ca="1" si="489"/>
        <v>#DIV/0!</v>
      </c>
      <c r="DQ306" s="101">
        <f t="shared" si="528"/>
        <v>0</v>
      </c>
      <c r="DR306" s="91">
        <f t="shared" si="456"/>
        <v>0</v>
      </c>
      <c r="DS306" s="30" t="e">
        <f t="shared" si="510"/>
        <v>#N/A</v>
      </c>
      <c r="DT306" s="30" t="e">
        <f t="shared" si="511"/>
        <v>#N/A</v>
      </c>
      <c r="DU306" s="31" t="e">
        <f>IF(OR(Hypothèses!$B$4=17,Hypothèses!$B$4=18,Hypothèses!$B$4=19,Hypothèses!$B$4=20),
IF($D306="Pressio.",
IF(OR($E306=3,$E306=1,$E306=4),DT306,DS306),
IF($D306="Pénétro.",
IF(OR($E306=3,$E306=1,$E306=4),DT306,DS306))),IF($D306="Pressio.",
IF($E306=3,DT306,DS306),
IF($D306="Pénétro.",
IF($E306=4,DT306,DS306))))</f>
        <v>#N/A</v>
      </c>
      <c r="DV306" s="31">
        <v>0</v>
      </c>
      <c r="DW306" s="102" t="e">
        <f>IF(NDC!$H$10="Oui",(VLOOKUP($B$3,'Coeff EC7'!$T$39:$X$59,2,0)*DU306+VLOOKUP($B$3,'Coeff EC7'!$T$65:$X$85,2,0)*Model0.1T!DV306)/1.5,PI()*DS$12*$Q306*($B306-$B305)*0.15/10+DW305)</f>
        <v>#N/A</v>
      </c>
      <c r="DX306" s="102" t="e">
        <f>(VLOOKUP($B$3,'Coeff EC7'!$T$39:$X$59,3,0)*DU306+VLOOKUP($B$3,'Coeff EC7'!$T$65:$X$85,3,0)*Model0.1T!DV306)/1.1</f>
        <v>#N/A</v>
      </c>
      <c r="DY306" s="102" t="e">
        <f t="shared" si="490"/>
        <v>#N/A</v>
      </c>
      <c r="DZ306" s="102" t="e">
        <f t="shared" si="491"/>
        <v>#N/A</v>
      </c>
      <c r="EA306" s="414" t="e">
        <f>IF(AND(DW306&gt;NDC!$C$63,DX306&gt;NDC!$C$65,DY306&gt;NDC!$D$73,DZ306&gt;NDC!$D$74,$B306&gt;NDC!$H$22-0.1+MIN(3*EA$12,1.5)),0,1)</f>
        <v>#N/A</v>
      </c>
      <c r="EB306" s="86" t="b">
        <f t="shared" si="457"/>
        <v>0</v>
      </c>
      <c r="EC306" s="418">
        <f t="shared" si="458"/>
        <v>0.51</v>
      </c>
      <c r="ED306" s="86">
        <f t="shared" si="459"/>
        <v>0.51</v>
      </c>
      <c r="EE306" s="30" t="e">
        <f t="shared" ca="1" si="492"/>
        <v>#DIV/0!</v>
      </c>
      <c r="EF306" s="85" t="e">
        <f ca="1">IF(DL306&lt;=Hypothèses!$V$7,Hypothèses!$W$7,IF(DL306&lt;=Hypothèses!$V$8,Hypothèses!$W$8,IF(DL306&lt;=Hypothèses!$V$9,Hypothèses!$W$9,IF(DL306&lt;=Hypothèses!$V$10,Hypothèses!$W$10,IF(DL306&lt;=Hypothèses!$V$11,Hypothèses!$W$11,IF(DL306&lt;=Hypothèses!$V$12,Hypothèses!$W$12,IF(DL306&lt;=Hypothèses!$V$13,Hypothèses!$W$13,IF(DL306&lt;=Hypothèses!$V$14,Hypothèses!$W$14,IF(DL306&lt;=Hypothèses!$V$15,Hypothèses!$W$15,IF(DL306&lt;=Hypothèses!$V$16,Hypothèses!$W$16,IF(DL306&lt;=Hypothèses!$V$17,Hypothèses!$W$17,IF(DL306&lt;=Hypothèses!$V$18,Hypothèses!$W$18,""))))))))))))</f>
        <v>#DIV/0!</v>
      </c>
      <c r="EG306" s="87" t="e">
        <f t="shared" ca="1" si="522"/>
        <v>#DIV/0!</v>
      </c>
      <c r="EH306" s="88" t="e">
        <f ca="1">IF(DL306&lt;=Hypothèses!$V$7,Hypothèses!$X$7,IF(DL306&lt;=Hypothèses!$V$8,Hypothèses!$X$8,IF(DL306&lt;=Hypothèses!$V$9,Hypothèses!$X$9,IF(DL306&lt;=Hypothèses!$V$10,Hypothèses!$X$10,IF(DL306&lt;=Hypothèses!$V$11,Hypothèses!$X$11,IF(DL306&lt;=Hypothèses!$V$12,Hypothèses!$X$12,IF(DL306&lt;=Hypothèses!$V$13,Hypothèses!$X$13,IF(DL306&lt;=Hypothèses!$V$14,Hypothèses!$X$14,IF(DL306&lt;=Hypothèses!$V$15,Hypothèses!$X$15,IF(DL306&lt;=Hypothèses!$V$16,Hypothèses!$X$16,IF(DL306&lt;=Hypothèses!$U$17,Hypothèses!$W$17,IF(DL306&lt;=Hypothèses!$U$18,Hypothèses!$W$18,""))))))))))))</f>
        <v>#DIV/0!</v>
      </c>
      <c r="EI306" s="95" t="e">
        <f t="shared" ca="1" si="493"/>
        <v>#DIV/0!</v>
      </c>
      <c r="EJ306" s="101">
        <f t="shared" si="529"/>
        <v>0</v>
      </c>
      <c r="EK306" s="91">
        <f t="shared" si="460"/>
        <v>0</v>
      </c>
      <c r="EL306" s="30" t="e">
        <f t="shared" si="512"/>
        <v>#N/A</v>
      </c>
      <c r="EM306" s="30" t="e">
        <f t="shared" si="513"/>
        <v>#N/A</v>
      </c>
      <c r="EN306" s="31" t="e">
        <f>IF(OR(Hypothèses!$B$4=17,Hypothèses!$B$4=18,Hypothèses!$B$4=19,Hypothèses!$B$4=20),
IF($D306="Pressio.",
IF(OR($E306=3,$E306=1,$E306=4),EM306,EL306),
IF($D306="Pénétro.",
IF(OR($E306=3,$E306=1,$E306=4),EM306,EL306))),IF($D306="Pressio.",
IF($E306=3,EM306,EL306),
IF($D306="Pénétro.",
IF($E306=4,EM306,EL306))))</f>
        <v>#N/A</v>
      </c>
      <c r="EO306" s="31">
        <v>0</v>
      </c>
      <c r="EP306" s="102" t="e">
        <f>IF(NDC!$H$10="Oui",(VLOOKUP($B$3,'Coeff EC7'!$T$39:$X$59,2,0)*EN306+VLOOKUP($B$3,'Coeff EC7'!$T$65:$X$85,2,0)*Model0.1T!EO306)/1.5,PI()*EL$12*$Q306*($B306-$B305)*0.15/10+EP305)</f>
        <v>#N/A</v>
      </c>
      <c r="EQ306" s="102" t="e">
        <f>(VLOOKUP($B$3,'Coeff EC7'!$T$39:$X$59,3,0)*EN306+VLOOKUP($B$3,'Coeff EC7'!$T$65:$X$85,3,0)*Model0.1T!EO306)/1.1</f>
        <v>#N/A</v>
      </c>
      <c r="ER306" s="102" t="e">
        <f t="shared" si="494"/>
        <v>#N/A</v>
      </c>
      <c r="ES306" s="102" t="e">
        <f t="shared" si="495"/>
        <v>#N/A</v>
      </c>
      <c r="ET306" s="414" t="e">
        <f>IF(AND(EP306&gt;NDC!$C$63,EQ306&gt;NDC!$C$65,ER306&gt;NDC!$D$73,ES306&gt;NDC!$D$74,$B306&gt;NDC!$H$22-0.1+MIN(3*ET$12,1.5)),0,1)</f>
        <v>#N/A</v>
      </c>
      <c r="EU306" s="86" t="b">
        <f t="shared" si="461"/>
        <v>0</v>
      </c>
      <c r="EV306" s="86">
        <f t="shared" si="462"/>
        <v>0.61</v>
      </c>
      <c r="EW306" s="86">
        <f t="shared" si="463"/>
        <v>0.61</v>
      </c>
      <c r="EX306" s="30" t="e">
        <f t="shared" ca="1" si="496"/>
        <v>#DIV/0!</v>
      </c>
      <c r="EY306" s="85" t="e">
        <f ca="1">IF(EE306&lt;=Hypothèses!$V$7,Hypothèses!$W$7,IF(EE306&lt;=Hypothèses!$V$8,Hypothèses!$W$8,IF(EE306&lt;=Hypothèses!$V$9,Hypothèses!$W$9,IF(EE306&lt;=Hypothèses!$V$10,Hypothèses!$W$10,IF(EE306&lt;=Hypothèses!$V$11,Hypothèses!$W$11,IF(EE306&lt;=Hypothèses!$V$12,Hypothèses!$W$12,IF(EE306&lt;=Hypothèses!$V$13,Hypothèses!$W$13,IF(EE306&lt;=Hypothèses!$V$14,Hypothèses!$W$14,IF(EE306&lt;=Hypothèses!$V$15,Hypothèses!$W$15,IF(EE306&lt;=Hypothèses!$V$16,Hypothèses!$W$16,IF(EE306&lt;=Hypothèses!$V$17,Hypothèses!$W$17,IF(EE306&lt;=Hypothèses!$V$18,Hypothèses!$W$18,""))))))))))))</f>
        <v>#DIV/0!</v>
      </c>
      <c r="EZ306" s="87" t="e">
        <f t="shared" ca="1" si="523"/>
        <v>#DIV/0!</v>
      </c>
      <c r="FA306" s="88" t="e">
        <f ca="1">IF(EE306&lt;=Hypothèses!$V$7,Hypothèses!$X$7,IF(EE306&lt;=Hypothèses!$V$8,Hypothèses!$X$8,IF(EE306&lt;=Hypothèses!$V$9,Hypothèses!$X$9,IF(EE306&lt;=Hypothèses!$V$10,Hypothèses!$X$10,IF(EE306&lt;=Hypothèses!$V$11,Hypothèses!$X$11,IF(EE306&lt;=Hypothèses!$V$12,Hypothèses!$X$12,IF(EE306&lt;=Hypothèses!$V$13,Hypothèses!$X$13,IF(EE306&lt;=Hypothèses!$V$14,Hypothèses!$X$14,IF(EE306&lt;=Hypothèses!$V$15,Hypothèses!$X$15,IF(EE306&lt;=Hypothèses!$V$16,Hypothèses!$X$16,IF(EE306&lt;=Hypothèses!$U$17,Hypothèses!$W$17,IF(EE306&lt;=Hypothèses!$U$18,Hypothèses!$W$18,""))))))))))))</f>
        <v>#DIV/0!</v>
      </c>
      <c r="FB306" s="95" t="e">
        <f t="shared" ca="1" si="497"/>
        <v>#DIV/0!</v>
      </c>
      <c r="FC306" s="101">
        <f t="shared" si="530"/>
        <v>0</v>
      </c>
      <c r="FD306" s="91">
        <f t="shared" si="464"/>
        <v>0</v>
      </c>
      <c r="FE306" s="30" t="e">
        <f t="shared" si="514"/>
        <v>#N/A</v>
      </c>
      <c r="FF306" s="30" t="e">
        <f t="shared" si="515"/>
        <v>#N/A</v>
      </c>
      <c r="FG306" s="31" t="e">
        <f>IF(OR(Hypothèses!$B$4=17,Hypothèses!$B$4=18,Hypothèses!$B$4=19,Hypothèses!$B$4=20),
IF($D306="Pressio.",
IF(OR($E306=3,$E306=1,$E306=4),FF306,FE306),
IF($D306="Pénétro.",
IF(OR($E306=3,$E306=1,$E306=4),FF306,FE306))),IF($D306="Pressio.",
IF($E306=3,FF306,FE306),
IF($D306="Pénétro.",
IF($E306=4,FF306,FE306))))</f>
        <v>#N/A</v>
      </c>
      <c r="FH306" s="31">
        <v>0</v>
      </c>
      <c r="FI306" s="102" t="e">
        <f>IF(NDC!$H$10="Oui",(VLOOKUP($B$3,'Coeff EC7'!$T$39:$X$59,2,0)*FG306+VLOOKUP($B$3,'Coeff EC7'!$T$65:$X$85,2,0)*Model0.1T!FH306)/1.5,PI()*FE$12*$Q306*($B306-$B305)*0.15/10+FI305)</f>
        <v>#N/A</v>
      </c>
      <c r="FJ306" s="102" t="e">
        <f>(VLOOKUP($B$3,'Coeff EC7'!$T$39:$X$59,3,0)*FG306+VLOOKUP($B$3,'Coeff EC7'!$T$65:$X$85,3,0)*Model0.1T!FH306)/1.1</f>
        <v>#N/A</v>
      </c>
      <c r="FK306" s="102" t="e">
        <f t="shared" si="498"/>
        <v>#N/A</v>
      </c>
      <c r="FL306" s="102" t="e">
        <f t="shared" si="499"/>
        <v>#N/A</v>
      </c>
      <c r="FM306" s="414" t="e">
        <f>IF(AND(FI306&gt;NDC!$C$63,FJ306&gt;NDC!$C$65,FK306&gt;NDC!$D$73,FL306&gt;NDC!$D$74,$B306&gt;NDC!$H$22-0.1+MIN(3*FM$12,1.5)),0,1)</f>
        <v>#N/A</v>
      </c>
    </row>
    <row r="307" spans="1:169">
      <c r="A307" s="96">
        <f t="shared" si="465"/>
        <v>70.600000000001671</v>
      </c>
      <c r="B307" s="97">
        <v>29.4</v>
      </c>
      <c r="C307" s="81">
        <f>IF(B307&lt;=Hypothèses!$C$7,Hypothèses!$A$7,IF(B307&lt;=Hypothèses!$C$8,Hypothèses!$A$8,IF(B307&lt;=Hypothèses!$C$9,Hypothèses!$A$9,IF(B307&lt;=Hypothèses!$C$10,Hypothèses!$A$10,IF(B307&lt;=Hypothèses!$C$11,Hypothèses!$A$11,IF(B307&lt;=Hypothèses!$C$12,Hypothèses!$A$12,IF(B307&lt;=Hypothèses!$C$13,Hypothèses!$A$13,IF(B307&lt;=Hypothèses!$C$14,Hypothèses!$A$14,IF(B307&lt;=Hypothèses!$C$15,Hypothèses!$A$15,IF(B307&lt;=Hypothèses!$C$16,Hypothèses!$A$16,IF(B307&lt;=Hypothèses!$C$17,Hypothèses!$A$17,IF(B307&lt;=Hypothèses!$C$18,Hypothèses!$A$18,C306))))))))))))</f>
        <v>11</v>
      </c>
      <c r="D307" s="82" t="str">
        <f>IF(B307&lt;=Hypothèses!$C$7,Hypothèses!$R$7,IF(B307&lt;=Hypothèses!$C$8,Hypothèses!$R$8,IF(B307&lt;=Hypothèses!$C$9,Hypothèses!$R$9,IF(B307&lt;=Hypothèses!$C$10,Hypothèses!$R$10,IF(B307&lt;=Hypothèses!$C$11,Hypothèses!$R$11,IF(B307&lt;=Hypothèses!$C$12,Hypothèses!$R$12,IF(B307&lt;=Hypothèses!$C$13,Hypothèses!$R$13,IF(B307&lt;=Hypothèses!$C$14,Hypothèses!$R$14,IF(B307&lt;=Hypothèses!$C$15,Hypothèses!$R$15,IF(B307&lt;=Hypothèses!$C$16,Hypothèses!$R$16,IF(B307&lt;=Hypothèses!$C$17,Hypothèses!$R$17,IF(B307&lt;=Hypothèses!$C$18,Hypothèses!$R$18,D306))))))))))))</f>
        <v>Pressio.</v>
      </c>
      <c r="E307" s="82" t="e">
        <f>IF(B307&lt;=Hypothèses!$C$7,Hypothèses!$G$7,IF(B307&lt;=Hypothèses!$C$8,Hypothèses!$G$8,IF(B307&lt;=Hypothèses!$C$9,Hypothèses!$G$9,IF(B307&lt;=Hypothèses!$C$10,Hypothèses!$G$10,IF(B307&lt;=Hypothèses!$C$11,Hypothèses!$G$11,IF(B307&lt;=Hypothèses!$C$12,Hypothèses!$G$12,IF(B307&lt;=Hypothèses!$C$13,Hypothèses!$G$13,IF(B307&lt;=Hypothèses!$C$14,Hypothèses!$G$14,IF(B307&lt;=Hypothèses!$C$15,Hypothèses!$G$15,IF(B307&lt;=Hypothèses!$C$16,Hypothèses!$G$16,IF(B307&lt;=Hypothèses!$C$17,Hypothèses!$G$17,IF(B307&lt;=Hypothèses!$C$18,Hypothèses!$G$18,E306))))))))))))</f>
        <v>#N/A</v>
      </c>
      <c r="F307" s="82" t="str">
        <f>IF(B307&lt;=Hypothèses!$C$7,Hypothèses!$F$7,IF(B307&lt;=Hypothèses!$C$8,Hypothèses!$F$8,IF(B307&lt;=Hypothèses!$C$9,Hypothèses!$F$9,IF(B307&lt;=Hypothèses!$C$10,Hypothèses!$F$10,IF(B307&lt;=Hypothèses!$C$11,Hypothèses!$F$11,IF(B307&lt;=Hypothèses!$C$12,Hypothèses!$F$12,IF(B307&lt;=Hypothèses!$C$13,Hypothèses!$F$13,IF(B307&lt;=Hypothèses!$C$14,Hypothèses!$F$14,IF(B307&lt;=Hypothèses!$C$15,Hypothèses!$F$15,IF(B307&lt;=Hypothèses!$C$16,Hypothèses!$F$16,IF(B307&lt;=Hypothèses!$C$17,Hypothèses!$F$17,IF(B307&lt;=Hypothèses!$C$18,Hypothèses!$F$18,F306))))))))))))</f>
        <v/>
      </c>
      <c r="G307" s="91">
        <f t="array" ref="G307">INDEX('Coeff EC7'!$U$7:$X$27,
MATCH(Model0.1T!$B$3,'Coeff EC7'!$T$7:$T$27,0),
MATCH(Model0.1T!$D307&amp;Model0.1T!$B$4,
'Coeff EC7'!$U$6:$X$6&amp;
'Coeff EC7'!$U$5:$X$5,0))</f>
        <v>1.4</v>
      </c>
      <c r="H307" s="91">
        <f t="array" ref="H307">INDEX('Coeff EC7'!$Y$7:$AB$27,
MATCH(Model0.1T!$B$3,'Coeff EC7'!$T$7:$T$27,0),
MATCH(Model0.1T!$D307&amp;Model0.1T!$B$4,
'Coeff EC7'!$Y$6:$AB$6&amp;
'Coeff EC7'!$Y$5:$AB$5,0))</f>
        <v>1.7</v>
      </c>
      <c r="I307" s="83">
        <v>0</v>
      </c>
      <c r="J307" s="91" t="e">
        <f t="array" ref="J307">INDEX('Coeff EC7'!$D$33:$Q$33,1,MATCH(D307&amp;E307,'Coeff EC7'!$D$31:$Q$31&amp;'Coeff EC7'!$D$32:$Q$32,0))</f>
        <v>#N/A</v>
      </c>
      <c r="K307" s="91" t="e">
        <f t="array" ref="K307">INDEX('Coeff EC7'!$D$34:$Q$34,1,MATCH(D307&amp;E307,'Coeff EC7'!$D$31:$Q$31&amp;'Coeff EC7'!$D$32:$Q$32,0))</f>
        <v>#N/A</v>
      </c>
      <c r="L307" s="91" t="e">
        <f t="array" ref="L307">INDEX('Coeff EC7'!$D$35:$Q$35,1,MATCH(D307&amp;E307,'Coeff EC7'!$D$31:$Q$31&amp;'Coeff EC7'!$D$32:$Q$32,0))</f>
        <v>#N/A</v>
      </c>
      <c r="M307" s="98" t="e">
        <f t="shared" si="431"/>
        <v>#N/A</v>
      </c>
      <c r="N307" s="99" t="e">
        <f t="array" ref="N307">INDEX('Coeff EC7'!$D$7:$Q$27,MATCH($B$3,'Coeff EC7'!$C$7:$C$27,0),MATCH(D307&amp;E307,'Coeff EC7'!$D$5:$Q$5&amp;'Coeff EC7'!$D$6:$Q$6,0))</f>
        <v>#N/A</v>
      </c>
      <c r="O307" s="99" t="e">
        <f t="array" ref="O307">INDEX('Coeff EC7'!$D$41:$Q$61,MATCH($B$3,'Coeff EC7'!$C$41:$C$61,0),MATCH(D307&amp;E307,'Coeff EC7'!$D$39:$Q$39&amp;'Coeff EC7'!$D$40:$Q$40,0))</f>
        <v>#N/A</v>
      </c>
      <c r="P307" s="30" t="e">
        <f t="shared" si="466"/>
        <v>#N/A</v>
      </c>
      <c r="Q307" s="100" t="e">
        <f t="shared" si="433"/>
        <v>#N/A</v>
      </c>
      <c r="R307" s="86" t="b">
        <f t="shared" si="434"/>
        <v>0</v>
      </c>
      <c r="S307" s="86">
        <f t="shared" si="432"/>
        <v>0.5</v>
      </c>
      <c r="T307" s="86">
        <f t="shared" si="435"/>
        <v>0.5</v>
      </c>
      <c r="U307" s="30" t="e">
        <f t="shared" ca="1" si="467"/>
        <v>#DIV/0!</v>
      </c>
      <c r="V307" s="85" t="str">
        <f>IF(B307&lt;=Hypothèses!$V$7,Hypothèses!$W$7,IF(B307&lt;=Hypothèses!$V$8,Hypothèses!$W$8,IF(B307&lt;=Hypothèses!$V$9,Hypothèses!$W$9,IF(B307&lt;=Hypothèses!$V$10,Hypothèses!$W$10,IF(B307&lt;=Hypothèses!$V$11,Hypothèses!$W$11,IF(B307&lt;=Hypothèses!$V$12,Hypothèses!$W$12,IF(B307&lt;=Hypothèses!$V$13,Hypothèses!$W$13,IF(B307&lt;=Hypothèses!$V$14,Hypothèses!$W$14,IF(B307&lt;=Hypothèses!$V$15,Hypothèses!$W$15,IF(B307&lt;=Hypothèses!$V$16,Hypothèses!$W$16,IF(B307&lt;=Hypothèses!$V$17,Hypothèses!$W$17,IF(B307&lt;=Hypothèses!$V$18,Hypothèses!$W$18,""))))))))))))</f>
        <v/>
      </c>
      <c r="W307" s="87" t="e">
        <f t="shared" ca="1" si="516"/>
        <v>#DIV/0!</v>
      </c>
      <c r="X307" s="88" t="str">
        <f>IF(B307&lt;=Hypothèses!$V$7,Hypothèses!$X$7,IF(B307&lt;=Hypothèses!$V$8,Hypothèses!$X$8,IF(B307&lt;=Hypothèses!$V$9,Hypothèses!$X$9,IF(B307&lt;=Hypothèses!$V$10,Hypothèses!$X$10,IF(B307&lt;=Hypothèses!$V$11,Hypothèses!$X$11,IF(B307&lt;=Hypothèses!$V$12,Hypothèses!$X$12,IF(B307&lt;=Hypothèses!$V$13,Hypothèses!$X$13,IF(B307&lt;=Hypothèses!$V$14,Hypothèses!$X$14,IF(B307&lt;=Hypothèses!$V$15,Hypothèses!$X$15,IF(B307&lt;=Hypothèses!$V$16,Hypothèses!$X$16,IF(B307&lt;=Hypothèses!$U$17,Hypothèses!$W$17,IF(B307&lt;=Hypothèses!$U$18,Hypothèses!$W$18,""))))))))))))</f>
        <v/>
      </c>
      <c r="Y307" s="95" t="e">
        <f t="shared" ca="1" si="436"/>
        <v>#DIV/0!</v>
      </c>
      <c r="Z307" s="101">
        <f t="shared" si="437"/>
        <v>0</v>
      </c>
      <c r="AA307" s="91">
        <f t="shared" si="438"/>
        <v>0</v>
      </c>
      <c r="AB307" s="30" t="e">
        <f t="shared" si="500"/>
        <v>#N/A</v>
      </c>
      <c r="AC307" s="30" t="e">
        <f t="shared" si="501"/>
        <v>#N/A</v>
      </c>
      <c r="AD307" s="31" t="e">
        <f>IF(OR(Hypothèses!$B$4=17,Hypothèses!$B$4=18,Hypothèses!$B$4=19,Hypothèses!$B$4=20),
IF($D307="Pressio.",
IF(OR($E307=3,$E307=1,$E307=4),AC307,AB307),
IF($D307="Pénétro.",
IF(OR($E307=3,$E307=1,$E307=4),AC307,AB307))),IF($D307="Pressio.",
IF($E307=3,AC307,AB307),
IF($D307="Pénétro.",
IF($E307=4,AC307,AB307))))</f>
        <v>#N/A</v>
      </c>
      <c r="AE307" s="31">
        <v>0</v>
      </c>
      <c r="AF307" s="102" t="e">
        <f>IF(NDC!$H$10="Oui",(VLOOKUP($B$3,'Coeff EC7'!$T$39:$X$59,2,0)*AD307+VLOOKUP($B$3,'Coeff EC7'!$T$65:$X$85,2,0)*Model0.1T!AE307)/1.5,PI()*AB$12*$Q307*($B307-$B306)*0.15/10+AF306)</f>
        <v>#N/A</v>
      </c>
      <c r="AG307" s="102" t="e">
        <f>(VLOOKUP($B$3,'Coeff EC7'!$T$39:$X$59,3,0)*AD307+VLOOKUP($B$3,'Coeff EC7'!$T$65:$X$85,3,0)*Model0.1T!AE307)/1.1</f>
        <v>#N/A</v>
      </c>
      <c r="AH307" s="102" t="e">
        <f t="shared" si="468"/>
        <v>#N/A</v>
      </c>
      <c r="AI307" s="102" t="e">
        <f t="shared" si="469"/>
        <v>#N/A</v>
      </c>
      <c r="AJ307" s="414" t="e">
        <f>IF(AND(AF307&gt;NDC!$C$63,AG307&gt;NDC!$C$65,AH307&gt;NDC!$D$73,AI307&gt;NDC!$D$74,$B307&gt;NDC!$H$22-0.1+MIN(3*$AJ$12,1.5)),0,1)</f>
        <v>#N/A</v>
      </c>
      <c r="AK307" s="86" t="b">
        <f t="shared" si="439"/>
        <v>0</v>
      </c>
      <c r="AL307" s="86">
        <f t="shared" si="470"/>
        <v>0.5</v>
      </c>
      <c r="AM307" s="86">
        <f t="shared" si="440"/>
        <v>0.5</v>
      </c>
      <c r="AN307" s="30" t="e">
        <f t="shared" ca="1" si="471"/>
        <v>#DIV/0!</v>
      </c>
      <c r="AO307" s="85" t="e">
        <f ca="1">IF(U307&lt;=Hypothèses!$V$7,Hypothèses!$W$7,IF(U307&lt;=Hypothèses!$V$8,Hypothèses!$W$8,IF(U307&lt;=Hypothèses!$V$9,Hypothèses!$W$9,IF(U307&lt;=Hypothèses!$V$10,Hypothèses!$W$10,IF(U307&lt;=Hypothèses!$V$11,Hypothèses!$W$11,IF(U307&lt;=Hypothèses!$V$12,Hypothèses!$W$12,IF(U307&lt;=Hypothèses!$V$13,Hypothèses!$W$13,IF(U307&lt;=Hypothèses!$V$14,Hypothèses!$W$14,IF(U307&lt;=Hypothèses!$V$15,Hypothèses!$W$15,IF(U307&lt;=Hypothèses!$V$16,Hypothèses!$W$16,IF(U307&lt;=Hypothèses!$V$17,Hypothèses!$W$17,IF(U307&lt;=Hypothèses!$V$18,Hypothèses!$W$18,""))))))))))))</f>
        <v>#DIV/0!</v>
      </c>
      <c r="AP307" s="87" t="e">
        <f t="shared" ca="1" si="517"/>
        <v>#DIV/0!</v>
      </c>
      <c r="AQ307" s="88" t="e">
        <f ca="1">IF(U307&lt;=Hypothèses!$V$7,Hypothèses!$X$7,IF(U307&lt;=Hypothèses!$V$8,Hypothèses!$X$8,IF(U307&lt;=Hypothèses!$V$9,Hypothèses!$X$9,IF(U307&lt;=Hypothèses!$V$10,Hypothèses!$X$10,IF(U307&lt;=Hypothèses!$V$11,Hypothèses!$X$11,IF(U307&lt;=Hypothèses!$V$12,Hypothèses!$X$12,IF(U307&lt;=Hypothèses!$V$13,Hypothèses!$X$13,IF(U307&lt;=Hypothèses!$V$14,Hypothèses!$X$14,IF(U307&lt;=Hypothèses!$V$15,Hypothèses!$X$15,IF(U307&lt;=Hypothèses!$V$16,Hypothèses!$X$16,IF(U307&lt;=Hypothèses!$U$17,Hypothèses!$W$17,IF(U307&lt;=Hypothèses!$U$18,Hypothèses!$W$18,""))))))))))))</f>
        <v>#DIV/0!</v>
      </c>
      <c r="AR307" s="95" t="e">
        <f t="shared" ca="1" si="472"/>
        <v>#DIV/0!</v>
      </c>
      <c r="AS307" s="101">
        <f t="shared" si="524"/>
        <v>0</v>
      </c>
      <c r="AT307" s="91">
        <f t="shared" si="441"/>
        <v>0</v>
      </c>
      <c r="AU307" s="30" t="e">
        <f t="shared" si="502"/>
        <v>#N/A</v>
      </c>
      <c r="AV307" s="30" t="e">
        <f t="shared" si="503"/>
        <v>#N/A</v>
      </c>
      <c r="AW307" s="31" t="e">
        <f>IF(OR(Hypothèses!$B$4=17,Hypothèses!$B$4=18,Hypothèses!$B$4=19,Hypothèses!$B$4=20),
IF($D307="Pressio.",
IF(OR($E307=3,$E307=1,$E307=4),AV307,AU307),
IF($D307="Pénétro.",
IF(OR($E307=3,$E307=1,$E307=4),AV307,AU307))),IF($D307="Pressio.",
IF($E307=3,AV307,AU307),
IF($D307="Pénétro.",
IF($E307=4,AV307,AU307))))</f>
        <v>#N/A</v>
      </c>
      <c r="AX307" s="31">
        <v>0</v>
      </c>
      <c r="AY307" s="102" t="e">
        <f>IF(NDC!$H$10="Oui",(VLOOKUP($B$3,'Coeff EC7'!$T$39:$X$59,2,0)*AW307+VLOOKUP($B$3,'Coeff EC7'!$T$65:$X$85,2,0)*Model0.1T!AX307)/1.5,PI()*AU$12*$Q307*($B307-$B306)*0.15/10+AY306)</f>
        <v>#N/A</v>
      </c>
      <c r="AZ307" s="102" t="e">
        <f>(VLOOKUP($B$3,'Coeff EC7'!$T$39:$X$59,3,0)*AW307+VLOOKUP($B$3,'Coeff EC7'!$T$65:$X$85,3,0)*Model0.1T!AX307)/1.1</f>
        <v>#N/A</v>
      </c>
      <c r="BA307" s="102" t="e">
        <f t="shared" si="473"/>
        <v>#N/A</v>
      </c>
      <c r="BB307" s="102" t="e">
        <f t="shared" si="474"/>
        <v>#N/A</v>
      </c>
      <c r="BC307" s="414" t="e">
        <f>IF(AND(AY307&gt;NDC!$C$63,AZ307&gt;NDC!$C$65,BA307&gt;NDC!$D$73,BB307&gt;NDC!$D$74,$B307&gt;NDC!$H$22-0.1+MIN(3*BC$12,1.5)),0,1)</f>
        <v>#N/A</v>
      </c>
      <c r="BD307" s="86" t="b">
        <f t="shared" si="442"/>
        <v>0</v>
      </c>
      <c r="BE307" s="86">
        <f t="shared" si="475"/>
        <v>0.5</v>
      </c>
      <c r="BF307" s="86">
        <f t="shared" si="443"/>
        <v>0.5</v>
      </c>
      <c r="BG307" s="30" t="e">
        <f t="shared" ca="1" si="476"/>
        <v>#DIV/0!</v>
      </c>
      <c r="BH307" s="85" t="e">
        <f ca="1">IF(AN307&lt;=Hypothèses!$V$7,Hypothèses!$W$7,IF(AN307&lt;=Hypothèses!$V$8,Hypothèses!$W$8,IF(AN307&lt;=Hypothèses!$V$9,Hypothèses!$W$9,IF(AN307&lt;=Hypothèses!$V$10,Hypothèses!$W$10,IF(AN307&lt;=Hypothèses!$V$11,Hypothèses!$W$11,IF(AN307&lt;=Hypothèses!$V$12,Hypothèses!$W$12,IF(AN307&lt;=Hypothèses!$V$13,Hypothèses!$W$13,IF(AN307&lt;=Hypothèses!$V$14,Hypothèses!$W$14,IF(AN307&lt;=Hypothèses!$V$15,Hypothèses!$W$15,IF(AN307&lt;=Hypothèses!$V$16,Hypothèses!$W$16,IF(AN307&lt;=Hypothèses!$V$17,Hypothèses!$W$17,IF(AN307&lt;=Hypothèses!$V$18,Hypothèses!$W$18,""))))))))))))</f>
        <v>#DIV/0!</v>
      </c>
      <c r="BI307" s="87" t="e">
        <f t="shared" ca="1" si="518"/>
        <v>#DIV/0!</v>
      </c>
      <c r="BJ307" s="88" t="e">
        <f ca="1">IF(AN307&lt;=Hypothèses!$V$7,Hypothèses!$X$7,IF(AN307&lt;=Hypothèses!$V$8,Hypothèses!$X$8,IF(AN307&lt;=Hypothèses!$V$9,Hypothèses!$X$9,IF(AN307&lt;=Hypothèses!$V$10,Hypothèses!$X$10,IF(AN307&lt;=Hypothèses!$V$11,Hypothèses!$X$11,IF(AN307&lt;=Hypothèses!$V$12,Hypothèses!$X$12,IF(AN307&lt;=Hypothèses!$V$13,Hypothèses!$X$13,IF(AN307&lt;=Hypothèses!$V$14,Hypothèses!$X$14,IF(AN307&lt;=Hypothèses!$V$15,Hypothèses!$X$15,IF(AN307&lt;=Hypothèses!$V$16,Hypothèses!$X$16,IF(AN307&lt;=Hypothèses!$U$17,Hypothèses!$W$17,IF(AN307&lt;=Hypothèses!$U$18,Hypothèses!$W$18,""))))))))))))</f>
        <v>#DIV/0!</v>
      </c>
      <c r="BK307" s="95" t="e">
        <f t="shared" ca="1" si="477"/>
        <v>#DIV/0!</v>
      </c>
      <c r="BL307" s="101">
        <f t="shared" si="525"/>
        <v>0</v>
      </c>
      <c r="BM307" s="91">
        <f t="shared" si="444"/>
        <v>0</v>
      </c>
      <c r="BN307" s="30" t="e">
        <f t="shared" si="504"/>
        <v>#N/A</v>
      </c>
      <c r="BO307" s="30" t="e">
        <f t="shared" si="505"/>
        <v>#N/A</v>
      </c>
      <c r="BP307" s="31" t="e">
        <f>IF(OR(Hypothèses!$B$4=17,Hypothèses!$B$4=18,Hypothèses!$B$4=19,Hypothèses!$B$4=20),
IF($D307="Pressio.",
IF(OR($E307=3,$E307=1,$E307=4),BO307,BN307),
IF($D307="Pénétro.",
IF(OR($E307=3,$E307=1,$E307=4),BO307,BN307))),IF($D307="Pressio.",
IF($E307=3,BO307,BN307),
IF($D307="Pénétro.",
IF($E307=4,BO307,BN307))))</f>
        <v>#N/A</v>
      </c>
      <c r="BQ307" s="31">
        <v>0</v>
      </c>
      <c r="BR307" s="102" t="e">
        <f>IF(NDC!$H$10="Oui",(VLOOKUP($B$3,'Coeff EC7'!$T$39:$X$59,2,0)*BP307+VLOOKUP($B$3,'Coeff EC7'!$T$65:$X$85,2,0)*Model0.1T!BQ307)/1.5,PI()*BN$12*$Q307*($B307-$B306)*0.15/10+BR306)</f>
        <v>#N/A</v>
      </c>
      <c r="BS307" s="102" t="e">
        <f>(VLOOKUP($B$3,'Coeff EC7'!$T$39:$X$59,3,0)*BP307+VLOOKUP($B$3,'Coeff EC7'!$T$65:$X$85,3,0)*Model0.1T!BQ307)/1.1</f>
        <v>#N/A</v>
      </c>
      <c r="BT307" s="102" t="e">
        <f t="shared" si="478"/>
        <v>#N/A</v>
      </c>
      <c r="BU307" s="102" t="e">
        <f t="shared" si="479"/>
        <v>#N/A</v>
      </c>
      <c r="BV307" s="414" t="e">
        <f>IF(AND(BR307&gt;NDC!$C$63,BS307&gt;NDC!$C$65,BT307&gt;NDC!$D$73,BU307&gt;NDC!$D$74,$B307&gt;NDC!$H$22-0.1+MIN(3*BV$12,1.5)),0,1)</f>
        <v>#N/A</v>
      </c>
      <c r="BW307" s="86" t="b">
        <f t="shared" si="445"/>
        <v>0</v>
      </c>
      <c r="BX307" s="86">
        <f t="shared" si="446"/>
        <v>0.5</v>
      </c>
      <c r="BY307" s="86">
        <f t="shared" si="447"/>
        <v>0.5</v>
      </c>
      <c r="BZ307" s="30" t="e">
        <f t="shared" ca="1" si="480"/>
        <v>#DIV/0!</v>
      </c>
      <c r="CA307" s="85" t="e">
        <f ca="1">IF(BG307&lt;=Hypothèses!$V$7,Hypothèses!$W$7,IF(BG307&lt;=Hypothèses!$V$8,Hypothèses!$W$8,IF(BG307&lt;=Hypothèses!$V$9,Hypothèses!$W$9,IF(BG307&lt;=Hypothèses!$V$10,Hypothèses!$W$10,IF(BG307&lt;=Hypothèses!$V$11,Hypothèses!$W$11,IF(BG307&lt;=Hypothèses!$V$12,Hypothèses!$W$12,IF(BG307&lt;=Hypothèses!$V$13,Hypothèses!$W$13,IF(BG307&lt;=Hypothèses!$V$14,Hypothèses!$W$14,IF(BG307&lt;=Hypothèses!$V$15,Hypothèses!$W$15,IF(BG307&lt;=Hypothèses!$V$16,Hypothèses!$W$16,IF(BG307&lt;=Hypothèses!$V$17,Hypothèses!$W$17,IF(BG307&lt;=Hypothèses!$V$18,Hypothèses!$W$18,""))))))))))))</f>
        <v>#DIV/0!</v>
      </c>
      <c r="CB307" s="87" t="e">
        <f t="shared" ca="1" si="519"/>
        <v>#DIV/0!</v>
      </c>
      <c r="CC307" s="88" t="e">
        <f ca="1">IF(BG307&lt;=Hypothèses!$V$7,Hypothèses!$X$7,IF(BG307&lt;=Hypothèses!$V$8,Hypothèses!$X$8,IF(BG307&lt;=Hypothèses!$V$9,Hypothèses!$X$9,IF(BG307&lt;=Hypothèses!$V$10,Hypothèses!$X$10,IF(BG307&lt;=Hypothèses!$V$11,Hypothèses!$X$11,IF(BG307&lt;=Hypothèses!$V$12,Hypothèses!$X$12,IF(BG307&lt;=Hypothèses!$V$13,Hypothèses!$X$13,IF(BG307&lt;=Hypothèses!$V$14,Hypothèses!$X$14,IF(BG307&lt;=Hypothèses!$V$15,Hypothèses!$X$15,IF(BG307&lt;=Hypothèses!$V$16,Hypothèses!$X$16,IF(BG307&lt;=Hypothèses!$U$17,Hypothèses!$W$17,IF(BG307&lt;=Hypothèses!$U$18,Hypothèses!$W$18,""))))))))))))</f>
        <v>#DIV/0!</v>
      </c>
      <c r="CD307" s="95" t="e">
        <f t="shared" ca="1" si="481"/>
        <v>#DIV/0!</v>
      </c>
      <c r="CE307" s="101">
        <f t="shared" si="526"/>
        <v>0</v>
      </c>
      <c r="CF307" s="91">
        <f t="shared" si="448"/>
        <v>0</v>
      </c>
      <c r="CG307" s="30" t="e">
        <f t="shared" si="506"/>
        <v>#N/A</v>
      </c>
      <c r="CH307" s="30" t="e">
        <f t="shared" si="507"/>
        <v>#N/A</v>
      </c>
      <c r="CI307" s="31" t="e">
        <f>IF(OR(Hypothèses!$B$4=17,Hypothèses!$B$4=18,Hypothèses!$B$4=19,Hypothèses!$B$4=20),
IF($D307="Pressio.",
IF(OR($E307=3,$E307=1,$E307=4),CH307,CG307),
IF($D307="Pénétro.",
IF(OR($E307=3,$E307=1,$E307=4),CH307,CG307))),IF($D307="Pressio.",
IF($E307=3,CH307,CG307),
IF($D307="Pénétro.",
IF($E307=4,CH307,CG307))))</f>
        <v>#N/A</v>
      </c>
      <c r="CJ307" s="31">
        <v>0</v>
      </c>
      <c r="CK307" s="102" t="e">
        <f>IF(NDC!$H$10="Oui",(VLOOKUP($B$3,'Coeff EC7'!$T$39:$X$59,2,0)*CI307+VLOOKUP($B$3,'Coeff EC7'!$T$65:$X$85,2,0)*Model0.1T!CJ307)/1.5,PI()*CG$12*$Q307*($B307-$B306)*0.15/10+CK306)</f>
        <v>#N/A</v>
      </c>
      <c r="CL307" s="102" t="e">
        <f>(VLOOKUP($B$3,'Coeff EC7'!$T$39:$X$59,3,0)*CI307+VLOOKUP($B$3,'Coeff EC7'!$T$65:$X$85,3,0)*Model0.1T!CJ307)/1.1</f>
        <v>#N/A</v>
      </c>
      <c r="CM307" s="102" t="e">
        <f t="shared" si="482"/>
        <v>#N/A</v>
      </c>
      <c r="CN307" s="102" t="e">
        <f t="shared" si="483"/>
        <v>#N/A</v>
      </c>
      <c r="CO307" s="414" t="e">
        <f>IF(AND(CK307&gt;NDC!$C$63,CL307&gt;NDC!$C$65,CM307&gt;NDC!$D$73,CN307&gt;NDC!$D$74,$B307&gt;NDC!$H$22-0.1+MIN(3*CO$12,1.5)),0,1)</f>
        <v>#N/A</v>
      </c>
      <c r="CP307" s="86" t="b">
        <f t="shared" si="449"/>
        <v>0</v>
      </c>
      <c r="CQ307" s="86">
        <f t="shared" si="450"/>
        <v>0.5</v>
      </c>
      <c r="CR307" s="86">
        <f t="shared" si="451"/>
        <v>0.5</v>
      </c>
      <c r="CS307" s="30" t="e">
        <f t="shared" ca="1" si="484"/>
        <v>#DIV/0!</v>
      </c>
      <c r="CT307" s="85" t="e">
        <f ca="1">IF(BZ307&lt;=Hypothèses!$V$7,Hypothèses!$W$7,IF(BZ307&lt;=Hypothèses!$V$8,Hypothèses!$W$8,IF(BZ307&lt;=Hypothèses!$V$9,Hypothèses!$W$9,IF(BZ307&lt;=Hypothèses!$V$10,Hypothèses!$W$10,IF(BZ307&lt;=Hypothèses!$V$11,Hypothèses!$W$11,IF(BZ307&lt;=Hypothèses!$V$12,Hypothèses!$W$12,IF(BZ307&lt;=Hypothèses!$V$13,Hypothèses!$W$13,IF(BZ307&lt;=Hypothèses!$V$14,Hypothèses!$W$14,IF(BZ307&lt;=Hypothèses!$V$15,Hypothèses!$W$15,IF(BZ307&lt;=Hypothèses!$V$16,Hypothèses!$W$16,IF(BZ307&lt;=Hypothèses!$V$17,Hypothèses!$W$17,IF(BZ307&lt;=Hypothèses!$V$18,Hypothèses!$W$18,""))))))))))))</f>
        <v>#DIV/0!</v>
      </c>
      <c r="CU307" s="87" t="e">
        <f t="shared" ca="1" si="520"/>
        <v>#DIV/0!</v>
      </c>
      <c r="CV307" s="88" t="e">
        <f ca="1">IF(BZ307&lt;=Hypothèses!$V$7,Hypothèses!$X$7,IF(BZ307&lt;=Hypothèses!$V$8,Hypothèses!$X$8,IF(BZ307&lt;=Hypothèses!$V$9,Hypothèses!$X$9,IF(BZ307&lt;=Hypothèses!$V$10,Hypothèses!$X$10,IF(BZ307&lt;=Hypothèses!$V$11,Hypothèses!$X$11,IF(BZ307&lt;=Hypothèses!$V$12,Hypothèses!$X$12,IF(BZ307&lt;=Hypothèses!$V$13,Hypothèses!$X$13,IF(BZ307&lt;=Hypothèses!$V$14,Hypothèses!$X$14,IF(BZ307&lt;=Hypothèses!$V$15,Hypothèses!$X$15,IF(BZ307&lt;=Hypothèses!$V$16,Hypothèses!$X$16,IF(BZ307&lt;=Hypothèses!$U$17,Hypothèses!$W$17,IF(BZ307&lt;=Hypothèses!$U$18,Hypothèses!$W$18,""))))))))))))</f>
        <v>#DIV/0!</v>
      </c>
      <c r="CW307" s="95" t="e">
        <f t="shared" ca="1" si="485"/>
        <v>#DIV/0!</v>
      </c>
      <c r="CX307" s="101">
        <f t="shared" si="527"/>
        <v>0</v>
      </c>
      <c r="CY307" s="91">
        <f t="shared" si="452"/>
        <v>0</v>
      </c>
      <c r="CZ307" s="30" t="e">
        <f t="shared" si="508"/>
        <v>#N/A</v>
      </c>
      <c r="DA307" s="30" t="e">
        <f t="shared" si="509"/>
        <v>#N/A</v>
      </c>
      <c r="DB307" s="31" t="e">
        <f>IF(OR(Hypothèses!$B$4=17,Hypothèses!$B$4=18,Hypothèses!$B$4=19,Hypothèses!$B$4=20),
IF($D307="Pressio.",
IF(OR($E307=3,$E307=1,$E307=4),DA307,CZ307),
IF($D307="Pénétro.",
IF(OR($E307=3,$E307=1,$E307=4),DA307,CZ307))),IF($D307="Pressio.",
IF($E307=3,DA307,CZ307),
IF($D307="Pénétro.",
IF($E307=4,DA307,CZ307))))</f>
        <v>#N/A</v>
      </c>
      <c r="DC307" s="31">
        <v>0</v>
      </c>
      <c r="DD307" s="102" t="e">
        <f>IF(NDC!$H$10="Oui",(VLOOKUP($B$3,'Coeff EC7'!$T$39:$X$59,2,0)*DB307+VLOOKUP($B$3,'Coeff EC7'!$T$65:$X$85,2,0)*Model0.1T!DC307)/1.5,PI()*CZ$12*$Q307*($B307-$B306)*0.15/10+DD306)</f>
        <v>#N/A</v>
      </c>
      <c r="DE307" s="102" t="e">
        <f>(VLOOKUP($B$3,'Coeff EC7'!$T$39:$X$59,3,0)*DB307+VLOOKUP($B$3,'Coeff EC7'!$T$65:$X$85,3,0)*Model0.1T!DC307)/1.1</f>
        <v>#N/A</v>
      </c>
      <c r="DF307" s="102" t="e">
        <f t="shared" si="486"/>
        <v>#N/A</v>
      </c>
      <c r="DG307" s="102" t="e">
        <f t="shared" si="487"/>
        <v>#N/A</v>
      </c>
      <c r="DH307" s="414" t="e">
        <f>IF(AND(DD307&gt;NDC!$C$63,DE307&gt;NDC!$C$65,DF307&gt;NDC!$D$73,DG307&gt;NDC!$D$74,$B307&gt;NDC!$H$22-0.1+MIN(3*DH$12,1.5)),0,1)</f>
        <v>#N/A</v>
      </c>
      <c r="DI307" s="86" t="b">
        <f t="shared" si="453"/>
        <v>0</v>
      </c>
      <c r="DJ307" s="86">
        <f t="shared" si="454"/>
        <v>0.5</v>
      </c>
      <c r="DK307" s="86">
        <f t="shared" si="455"/>
        <v>0.5</v>
      </c>
      <c r="DL307" s="30" t="e">
        <f t="shared" ca="1" si="488"/>
        <v>#DIV/0!</v>
      </c>
      <c r="DM307" s="85" t="e">
        <f ca="1">IF(CS307&lt;=Hypothèses!$V$7,Hypothèses!$W$7,IF(CS307&lt;=Hypothèses!$V$8,Hypothèses!$W$8,IF(CS307&lt;=Hypothèses!$V$9,Hypothèses!$W$9,IF(CS307&lt;=Hypothèses!$V$10,Hypothèses!$W$10,IF(CS307&lt;=Hypothèses!$V$11,Hypothèses!$W$11,IF(CS307&lt;=Hypothèses!$V$12,Hypothèses!$W$12,IF(CS307&lt;=Hypothèses!$V$13,Hypothèses!$W$13,IF(CS307&lt;=Hypothèses!$V$14,Hypothèses!$W$14,IF(CS307&lt;=Hypothèses!$V$15,Hypothèses!$W$15,IF(CS307&lt;=Hypothèses!$V$16,Hypothèses!$W$16,IF(CS307&lt;=Hypothèses!$V$17,Hypothèses!$W$17,IF(CS307&lt;=Hypothèses!$V$18,Hypothèses!$W$18,""))))))))))))</f>
        <v>#DIV/0!</v>
      </c>
      <c r="DN307" s="87" t="e">
        <f t="shared" ca="1" si="521"/>
        <v>#DIV/0!</v>
      </c>
      <c r="DO307" s="88" t="e">
        <f ca="1">IF(CS307&lt;=Hypothèses!$V$7,Hypothèses!$X$7,IF(CS307&lt;=Hypothèses!$V$8,Hypothèses!$X$8,IF(CS307&lt;=Hypothèses!$V$9,Hypothèses!$X$9,IF(CS307&lt;=Hypothèses!$V$10,Hypothèses!$X$10,IF(CS307&lt;=Hypothèses!$V$11,Hypothèses!$X$11,IF(CS307&lt;=Hypothèses!$V$12,Hypothèses!$X$12,IF(CS307&lt;=Hypothèses!$V$13,Hypothèses!$X$13,IF(CS307&lt;=Hypothèses!$V$14,Hypothèses!$X$14,IF(CS307&lt;=Hypothèses!$V$15,Hypothèses!$X$15,IF(CS307&lt;=Hypothèses!$V$16,Hypothèses!$X$16,IF(CS307&lt;=Hypothèses!$U$17,Hypothèses!$W$17,IF(CS307&lt;=Hypothèses!$U$18,Hypothèses!$W$18,""))))))))))))</f>
        <v>#DIV/0!</v>
      </c>
      <c r="DP307" s="95" t="e">
        <f t="shared" ca="1" si="489"/>
        <v>#DIV/0!</v>
      </c>
      <c r="DQ307" s="101">
        <f t="shared" si="528"/>
        <v>0</v>
      </c>
      <c r="DR307" s="91">
        <f t="shared" si="456"/>
        <v>0</v>
      </c>
      <c r="DS307" s="30" t="e">
        <f t="shared" si="510"/>
        <v>#N/A</v>
      </c>
      <c r="DT307" s="30" t="e">
        <f t="shared" si="511"/>
        <v>#N/A</v>
      </c>
      <c r="DU307" s="31" t="e">
        <f>IF(OR(Hypothèses!$B$4=17,Hypothèses!$B$4=18,Hypothèses!$B$4=19,Hypothèses!$B$4=20),
IF($D307="Pressio.",
IF(OR($E307=3,$E307=1,$E307=4),DT307,DS307),
IF($D307="Pénétro.",
IF(OR($E307=3,$E307=1,$E307=4),DT307,DS307))),IF($D307="Pressio.",
IF($E307=3,DT307,DS307),
IF($D307="Pénétro.",
IF($E307=4,DT307,DS307))))</f>
        <v>#N/A</v>
      </c>
      <c r="DV307" s="31">
        <v>0</v>
      </c>
      <c r="DW307" s="102" t="e">
        <f>IF(NDC!$H$10="Oui",(VLOOKUP($B$3,'Coeff EC7'!$T$39:$X$59,2,0)*DU307+VLOOKUP($B$3,'Coeff EC7'!$T$65:$X$85,2,0)*Model0.1T!DV307)/1.5,PI()*DS$12*$Q307*($B307-$B306)*0.15/10+DW306)</f>
        <v>#N/A</v>
      </c>
      <c r="DX307" s="102" t="e">
        <f>(VLOOKUP($B$3,'Coeff EC7'!$T$39:$X$59,3,0)*DU307+VLOOKUP($B$3,'Coeff EC7'!$T$65:$X$85,3,0)*Model0.1T!DV307)/1.1</f>
        <v>#N/A</v>
      </c>
      <c r="DY307" s="102" t="e">
        <f t="shared" si="490"/>
        <v>#N/A</v>
      </c>
      <c r="DZ307" s="102" t="e">
        <f t="shared" si="491"/>
        <v>#N/A</v>
      </c>
      <c r="EA307" s="414" t="e">
        <f>IF(AND(DW307&gt;NDC!$C$63,DX307&gt;NDC!$C$65,DY307&gt;NDC!$D$73,DZ307&gt;NDC!$D$74,$B307&gt;NDC!$H$22-0.1+MIN(3*EA$12,1.5)),0,1)</f>
        <v>#N/A</v>
      </c>
      <c r="EB307" s="86" t="b">
        <f t="shared" si="457"/>
        <v>0</v>
      </c>
      <c r="EC307" s="418">
        <f t="shared" si="458"/>
        <v>0.51</v>
      </c>
      <c r="ED307" s="86">
        <f t="shared" si="459"/>
        <v>0.51</v>
      </c>
      <c r="EE307" s="30" t="e">
        <f t="shared" ca="1" si="492"/>
        <v>#DIV/0!</v>
      </c>
      <c r="EF307" s="85" t="e">
        <f ca="1">IF(DL307&lt;=Hypothèses!$V$7,Hypothèses!$W$7,IF(DL307&lt;=Hypothèses!$V$8,Hypothèses!$W$8,IF(DL307&lt;=Hypothèses!$V$9,Hypothèses!$W$9,IF(DL307&lt;=Hypothèses!$V$10,Hypothèses!$W$10,IF(DL307&lt;=Hypothèses!$V$11,Hypothèses!$W$11,IF(DL307&lt;=Hypothèses!$V$12,Hypothèses!$W$12,IF(DL307&lt;=Hypothèses!$V$13,Hypothèses!$W$13,IF(DL307&lt;=Hypothèses!$V$14,Hypothèses!$W$14,IF(DL307&lt;=Hypothèses!$V$15,Hypothèses!$W$15,IF(DL307&lt;=Hypothèses!$V$16,Hypothèses!$W$16,IF(DL307&lt;=Hypothèses!$V$17,Hypothèses!$W$17,IF(DL307&lt;=Hypothèses!$V$18,Hypothèses!$W$18,""))))))))))))</f>
        <v>#DIV/0!</v>
      </c>
      <c r="EG307" s="87" t="e">
        <f t="shared" ca="1" si="522"/>
        <v>#DIV/0!</v>
      </c>
      <c r="EH307" s="88" t="e">
        <f ca="1">IF(DL307&lt;=Hypothèses!$V$7,Hypothèses!$X$7,IF(DL307&lt;=Hypothèses!$V$8,Hypothèses!$X$8,IF(DL307&lt;=Hypothèses!$V$9,Hypothèses!$X$9,IF(DL307&lt;=Hypothèses!$V$10,Hypothèses!$X$10,IF(DL307&lt;=Hypothèses!$V$11,Hypothèses!$X$11,IF(DL307&lt;=Hypothèses!$V$12,Hypothèses!$X$12,IF(DL307&lt;=Hypothèses!$V$13,Hypothèses!$X$13,IF(DL307&lt;=Hypothèses!$V$14,Hypothèses!$X$14,IF(DL307&lt;=Hypothèses!$V$15,Hypothèses!$X$15,IF(DL307&lt;=Hypothèses!$V$16,Hypothèses!$X$16,IF(DL307&lt;=Hypothèses!$U$17,Hypothèses!$W$17,IF(DL307&lt;=Hypothèses!$U$18,Hypothèses!$W$18,""))))))))))))</f>
        <v>#DIV/0!</v>
      </c>
      <c r="EI307" s="95" t="e">
        <f t="shared" ca="1" si="493"/>
        <v>#DIV/0!</v>
      </c>
      <c r="EJ307" s="101">
        <f t="shared" si="529"/>
        <v>0</v>
      </c>
      <c r="EK307" s="91">
        <f t="shared" si="460"/>
        <v>0</v>
      </c>
      <c r="EL307" s="30" t="e">
        <f t="shared" si="512"/>
        <v>#N/A</v>
      </c>
      <c r="EM307" s="30" t="e">
        <f t="shared" si="513"/>
        <v>#N/A</v>
      </c>
      <c r="EN307" s="31" t="e">
        <f>IF(OR(Hypothèses!$B$4=17,Hypothèses!$B$4=18,Hypothèses!$B$4=19,Hypothèses!$B$4=20),
IF($D307="Pressio.",
IF(OR($E307=3,$E307=1,$E307=4),EM307,EL307),
IF($D307="Pénétro.",
IF(OR($E307=3,$E307=1,$E307=4),EM307,EL307))),IF($D307="Pressio.",
IF($E307=3,EM307,EL307),
IF($D307="Pénétro.",
IF($E307=4,EM307,EL307))))</f>
        <v>#N/A</v>
      </c>
      <c r="EO307" s="31">
        <v>0</v>
      </c>
      <c r="EP307" s="102" t="e">
        <f>IF(NDC!$H$10="Oui",(VLOOKUP($B$3,'Coeff EC7'!$T$39:$X$59,2,0)*EN307+VLOOKUP($B$3,'Coeff EC7'!$T$65:$X$85,2,0)*Model0.1T!EO307)/1.5,PI()*EL$12*$Q307*($B307-$B306)*0.15/10+EP306)</f>
        <v>#N/A</v>
      </c>
      <c r="EQ307" s="102" t="e">
        <f>(VLOOKUP($B$3,'Coeff EC7'!$T$39:$X$59,3,0)*EN307+VLOOKUP($B$3,'Coeff EC7'!$T$65:$X$85,3,0)*Model0.1T!EO307)/1.1</f>
        <v>#N/A</v>
      </c>
      <c r="ER307" s="102" t="e">
        <f t="shared" si="494"/>
        <v>#N/A</v>
      </c>
      <c r="ES307" s="102" t="e">
        <f t="shared" si="495"/>
        <v>#N/A</v>
      </c>
      <c r="ET307" s="414" t="e">
        <f>IF(AND(EP307&gt;NDC!$C$63,EQ307&gt;NDC!$C$65,ER307&gt;NDC!$D$73,ES307&gt;NDC!$D$74,$B307&gt;NDC!$H$22-0.1+MIN(3*ET$12,1.5)),0,1)</f>
        <v>#N/A</v>
      </c>
      <c r="EU307" s="86" t="b">
        <f t="shared" si="461"/>
        <v>0</v>
      </c>
      <c r="EV307" s="86">
        <f t="shared" si="462"/>
        <v>0.61</v>
      </c>
      <c r="EW307" s="86">
        <f t="shared" si="463"/>
        <v>0.61</v>
      </c>
      <c r="EX307" s="30" t="e">
        <f t="shared" ca="1" si="496"/>
        <v>#DIV/0!</v>
      </c>
      <c r="EY307" s="85" t="e">
        <f ca="1">IF(EE307&lt;=Hypothèses!$V$7,Hypothèses!$W$7,IF(EE307&lt;=Hypothèses!$V$8,Hypothèses!$W$8,IF(EE307&lt;=Hypothèses!$V$9,Hypothèses!$W$9,IF(EE307&lt;=Hypothèses!$V$10,Hypothèses!$W$10,IF(EE307&lt;=Hypothèses!$V$11,Hypothèses!$W$11,IF(EE307&lt;=Hypothèses!$V$12,Hypothèses!$W$12,IF(EE307&lt;=Hypothèses!$V$13,Hypothèses!$W$13,IF(EE307&lt;=Hypothèses!$V$14,Hypothèses!$W$14,IF(EE307&lt;=Hypothèses!$V$15,Hypothèses!$W$15,IF(EE307&lt;=Hypothèses!$V$16,Hypothèses!$W$16,IF(EE307&lt;=Hypothèses!$V$17,Hypothèses!$W$17,IF(EE307&lt;=Hypothèses!$V$18,Hypothèses!$W$18,""))))))))))))</f>
        <v>#DIV/0!</v>
      </c>
      <c r="EZ307" s="87" t="e">
        <f t="shared" ca="1" si="523"/>
        <v>#DIV/0!</v>
      </c>
      <c r="FA307" s="88" t="e">
        <f ca="1">IF(EE307&lt;=Hypothèses!$V$7,Hypothèses!$X$7,IF(EE307&lt;=Hypothèses!$V$8,Hypothèses!$X$8,IF(EE307&lt;=Hypothèses!$V$9,Hypothèses!$X$9,IF(EE307&lt;=Hypothèses!$V$10,Hypothèses!$X$10,IF(EE307&lt;=Hypothèses!$V$11,Hypothèses!$X$11,IF(EE307&lt;=Hypothèses!$V$12,Hypothèses!$X$12,IF(EE307&lt;=Hypothèses!$V$13,Hypothèses!$X$13,IF(EE307&lt;=Hypothèses!$V$14,Hypothèses!$X$14,IF(EE307&lt;=Hypothèses!$V$15,Hypothèses!$X$15,IF(EE307&lt;=Hypothèses!$V$16,Hypothèses!$X$16,IF(EE307&lt;=Hypothèses!$U$17,Hypothèses!$W$17,IF(EE307&lt;=Hypothèses!$U$18,Hypothèses!$W$18,""))))))))))))</f>
        <v>#DIV/0!</v>
      </c>
      <c r="FB307" s="95" t="e">
        <f t="shared" ca="1" si="497"/>
        <v>#DIV/0!</v>
      </c>
      <c r="FC307" s="101">
        <f t="shared" si="530"/>
        <v>0</v>
      </c>
      <c r="FD307" s="91">
        <f t="shared" si="464"/>
        <v>0</v>
      </c>
      <c r="FE307" s="30" t="e">
        <f t="shared" si="514"/>
        <v>#N/A</v>
      </c>
      <c r="FF307" s="30" t="e">
        <f t="shared" si="515"/>
        <v>#N/A</v>
      </c>
      <c r="FG307" s="31" t="e">
        <f>IF(OR(Hypothèses!$B$4=17,Hypothèses!$B$4=18,Hypothèses!$B$4=19,Hypothèses!$B$4=20),
IF($D307="Pressio.",
IF(OR($E307=3,$E307=1,$E307=4),FF307,FE307),
IF($D307="Pénétro.",
IF(OR($E307=3,$E307=1,$E307=4),FF307,FE307))),IF($D307="Pressio.",
IF($E307=3,FF307,FE307),
IF($D307="Pénétro.",
IF($E307=4,FF307,FE307))))</f>
        <v>#N/A</v>
      </c>
      <c r="FH307" s="31">
        <v>0</v>
      </c>
      <c r="FI307" s="102" t="e">
        <f>IF(NDC!$H$10="Oui",(VLOOKUP($B$3,'Coeff EC7'!$T$39:$X$59,2,0)*FG307+VLOOKUP($B$3,'Coeff EC7'!$T$65:$X$85,2,0)*Model0.1T!FH307)/1.5,PI()*FE$12*$Q307*($B307-$B306)*0.15/10+FI306)</f>
        <v>#N/A</v>
      </c>
      <c r="FJ307" s="102" t="e">
        <f>(VLOOKUP($B$3,'Coeff EC7'!$T$39:$X$59,3,0)*FG307+VLOOKUP($B$3,'Coeff EC7'!$T$65:$X$85,3,0)*Model0.1T!FH307)/1.1</f>
        <v>#N/A</v>
      </c>
      <c r="FK307" s="102" t="e">
        <f t="shared" si="498"/>
        <v>#N/A</v>
      </c>
      <c r="FL307" s="102" t="e">
        <f t="shared" si="499"/>
        <v>#N/A</v>
      </c>
      <c r="FM307" s="414" t="e">
        <f>IF(AND(FI307&gt;NDC!$C$63,FJ307&gt;NDC!$C$65,FK307&gt;NDC!$D$73,FL307&gt;NDC!$D$74,$B307&gt;NDC!$H$22-0.1+MIN(3*FM$12,1.5)),0,1)</f>
        <v>#N/A</v>
      </c>
    </row>
    <row r="308" spans="1:169">
      <c r="A308" s="96">
        <f t="shared" si="465"/>
        <v>70.500000000001677</v>
      </c>
      <c r="B308" s="97">
        <v>29.5</v>
      </c>
      <c r="C308" s="81">
        <f>IF(B308&lt;=Hypothèses!$C$7,Hypothèses!$A$7,IF(B308&lt;=Hypothèses!$C$8,Hypothèses!$A$8,IF(B308&lt;=Hypothèses!$C$9,Hypothèses!$A$9,IF(B308&lt;=Hypothèses!$C$10,Hypothèses!$A$10,IF(B308&lt;=Hypothèses!$C$11,Hypothèses!$A$11,IF(B308&lt;=Hypothèses!$C$12,Hypothèses!$A$12,IF(B308&lt;=Hypothèses!$C$13,Hypothèses!$A$13,IF(B308&lt;=Hypothèses!$C$14,Hypothèses!$A$14,IF(B308&lt;=Hypothèses!$C$15,Hypothèses!$A$15,IF(B308&lt;=Hypothèses!$C$16,Hypothèses!$A$16,IF(B308&lt;=Hypothèses!$C$17,Hypothèses!$A$17,IF(B308&lt;=Hypothèses!$C$18,Hypothèses!$A$18,C307))))))))))))</f>
        <v>11</v>
      </c>
      <c r="D308" s="82" t="str">
        <f>IF(B308&lt;=Hypothèses!$C$7,Hypothèses!$R$7,IF(B308&lt;=Hypothèses!$C$8,Hypothèses!$R$8,IF(B308&lt;=Hypothèses!$C$9,Hypothèses!$R$9,IF(B308&lt;=Hypothèses!$C$10,Hypothèses!$R$10,IF(B308&lt;=Hypothèses!$C$11,Hypothèses!$R$11,IF(B308&lt;=Hypothèses!$C$12,Hypothèses!$R$12,IF(B308&lt;=Hypothèses!$C$13,Hypothèses!$R$13,IF(B308&lt;=Hypothèses!$C$14,Hypothèses!$R$14,IF(B308&lt;=Hypothèses!$C$15,Hypothèses!$R$15,IF(B308&lt;=Hypothèses!$C$16,Hypothèses!$R$16,IF(B308&lt;=Hypothèses!$C$17,Hypothèses!$R$17,IF(B308&lt;=Hypothèses!$C$18,Hypothèses!$R$18,D307))))))))))))</f>
        <v>Pressio.</v>
      </c>
      <c r="E308" s="82" t="e">
        <f>IF(B308&lt;=Hypothèses!$C$7,Hypothèses!$G$7,IF(B308&lt;=Hypothèses!$C$8,Hypothèses!$G$8,IF(B308&lt;=Hypothèses!$C$9,Hypothèses!$G$9,IF(B308&lt;=Hypothèses!$C$10,Hypothèses!$G$10,IF(B308&lt;=Hypothèses!$C$11,Hypothèses!$G$11,IF(B308&lt;=Hypothèses!$C$12,Hypothèses!$G$12,IF(B308&lt;=Hypothèses!$C$13,Hypothèses!$G$13,IF(B308&lt;=Hypothèses!$C$14,Hypothèses!$G$14,IF(B308&lt;=Hypothèses!$C$15,Hypothèses!$G$15,IF(B308&lt;=Hypothèses!$C$16,Hypothèses!$G$16,IF(B308&lt;=Hypothèses!$C$17,Hypothèses!$G$17,IF(B308&lt;=Hypothèses!$C$18,Hypothèses!$G$18,E307))))))))))))</f>
        <v>#N/A</v>
      </c>
      <c r="F308" s="82" t="str">
        <f>IF(B308&lt;=Hypothèses!$C$7,Hypothèses!$F$7,IF(B308&lt;=Hypothèses!$C$8,Hypothèses!$F$8,IF(B308&lt;=Hypothèses!$C$9,Hypothèses!$F$9,IF(B308&lt;=Hypothèses!$C$10,Hypothèses!$F$10,IF(B308&lt;=Hypothèses!$C$11,Hypothèses!$F$11,IF(B308&lt;=Hypothèses!$C$12,Hypothèses!$F$12,IF(B308&lt;=Hypothèses!$C$13,Hypothèses!$F$13,IF(B308&lt;=Hypothèses!$C$14,Hypothèses!$F$14,IF(B308&lt;=Hypothèses!$C$15,Hypothèses!$F$15,IF(B308&lt;=Hypothèses!$C$16,Hypothèses!$F$16,IF(B308&lt;=Hypothèses!$C$17,Hypothèses!$F$17,IF(B308&lt;=Hypothèses!$C$18,Hypothèses!$F$18,F307))))))))))))</f>
        <v/>
      </c>
      <c r="G308" s="91">
        <f t="array" ref="G308">INDEX('Coeff EC7'!$U$7:$X$27,
MATCH(Model0.1T!$B$3,'Coeff EC7'!$T$7:$T$27,0),
MATCH(Model0.1T!$D308&amp;Model0.1T!$B$4,
'Coeff EC7'!$U$6:$X$6&amp;
'Coeff EC7'!$U$5:$X$5,0))</f>
        <v>1.4</v>
      </c>
      <c r="H308" s="91">
        <f t="array" ref="H308">INDEX('Coeff EC7'!$Y$7:$AB$27,
MATCH(Model0.1T!$B$3,'Coeff EC7'!$T$7:$T$27,0),
MATCH(Model0.1T!$D308&amp;Model0.1T!$B$4,
'Coeff EC7'!$Y$6:$AB$6&amp;
'Coeff EC7'!$Y$5:$AB$5,0))</f>
        <v>1.7</v>
      </c>
      <c r="I308" s="83">
        <v>0</v>
      </c>
      <c r="J308" s="91" t="e">
        <f t="array" ref="J308">INDEX('Coeff EC7'!$D$33:$Q$33,1,MATCH(D308&amp;E308,'Coeff EC7'!$D$31:$Q$31&amp;'Coeff EC7'!$D$32:$Q$32,0))</f>
        <v>#N/A</v>
      </c>
      <c r="K308" s="91" t="e">
        <f t="array" ref="K308">INDEX('Coeff EC7'!$D$34:$Q$34,1,MATCH(D308&amp;E308,'Coeff EC7'!$D$31:$Q$31&amp;'Coeff EC7'!$D$32:$Q$32,0))</f>
        <v>#N/A</v>
      </c>
      <c r="L308" s="91" t="e">
        <f t="array" ref="L308">INDEX('Coeff EC7'!$D$35:$Q$35,1,MATCH(D308&amp;E308,'Coeff EC7'!$D$31:$Q$31&amp;'Coeff EC7'!$D$32:$Q$32,0))</f>
        <v>#N/A</v>
      </c>
      <c r="M308" s="98" t="e">
        <f t="shared" si="431"/>
        <v>#N/A</v>
      </c>
      <c r="N308" s="99" t="e">
        <f t="array" ref="N308">INDEX('Coeff EC7'!$D$7:$Q$27,MATCH($B$3,'Coeff EC7'!$C$7:$C$27,0),MATCH(D308&amp;E308,'Coeff EC7'!$D$5:$Q$5&amp;'Coeff EC7'!$D$6:$Q$6,0))</f>
        <v>#N/A</v>
      </c>
      <c r="O308" s="99" t="e">
        <f t="array" ref="O308">INDEX('Coeff EC7'!$D$41:$Q$61,MATCH($B$3,'Coeff EC7'!$C$41:$C$61,0),MATCH(D308&amp;E308,'Coeff EC7'!$D$39:$Q$39&amp;'Coeff EC7'!$D$40:$Q$40,0))</f>
        <v>#N/A</v>
      </c>
      <c r="P308" s="30" t="e">
        <f t="shared" si="466"/>
        <v>#N/A</v>
      </c>
      <c r="Q308" s="100" t="e">
        <f t="shared" si="433"/>
        <v>#N/A</v>
      </c>
      <c r="R308" s="86" t="b">
        <f t="shared" si="434"/>
        <v>0</v>
      </c>
      <c r="S308" s="86">
        <f t="shared" si="432"/>
        <v>0.5</v>
      </c>
      <c r="T308" s="86">
        <f t="shared" si="435"/>
        <v>0.5</v>
      </c>
      <c r="U308" s="30" t="e">
        <f t="shared" ca="1" si="467"/>
        <v>#DIV/0!</v>
      </c>
      <c r="V308" s="85" t="str">
        <f>IF(B308&lt;=Hypothèses!$V$7,Hypothèses!$W$7,IF(B308&lt;=Hypothèses!$V$8,Hypothèses!$W$8,IF(B308&lt;=Hypothèses!$V$9,Hypothèses!$W$9,IF(B308&lt;=Hypothèses!$V$10,Hypothèses!$W$10,IF(B308&lt;=Hypothèses!$V$11,Hypothèses!$W$11,IF(B308&lt;=Hypothèses!$V$12,Hypothèses!$W$12,IF(B308&lt;=Hypothèses!$V$13,Hypothèses!$W$13,IF(B308&lt;=Hypothèses!$V$14,Hypothèses!$W$14,IF(B308&lt;=Hypothèses!$V$15,Hypothèses!$W$15,IF(B308&lt;=Hypothèses!$V$16,Hypothèses!$W$16,IF(B308&lt;=Hypothèses!$V$17,Hypothèses!$W$17,IF(B308&lt;=Hypothèses!$V$18,Hypothèses!$W$18,""))))))))))))</f>
        <v/>
      </c>
      <c r="W308" s="87" t="e">
        <f t="shared" ca="1" si="516"/>
        <v>#DIV/0!</v>
      </c>
      <c r="X308" s="88" t="str">
        <f>IF(B308&lt;=Hypothèses!$V$7,Hypothèses!$X$7,IF(B308&lt;=Hypothèses!$V$8,Hypothèses!$X$8,IF(B308&lt;=Hypothèses!$V$9,Hypothèses!$X$9,IF(B308&lt;=Hypothèses!$V$10,Hypothèses!$X$10,IF(B308&lt;=Hypothèses!$V$11,Hypothèses!$X$11,IF(B308&lt;=Hypothèses!$V$12,Hypothèses!$X$12,IF(B308&lt;=Hypothèses!$V$13,Hypothèses!$X$13,IF(B308&lt;=Hypothèses!$V$14,Hypothèses!$X$14,IF(B308&lt;=Hypothèses!$V$15,Hypothèses!$X$15,IF(B308&lt;=Hypothèses!$V$16,Hypothèses!$X$16,IF(B308&lt;=Hypothèses!$U$17,Hypothèses!$W$17,IF(B308&lt;=Hypothèses!$U$18,Hypothèses!$W$18,""))))))))))))</f>
        <v/>
      </c>
      <c r="Y308" s="95" t="e">
        <f t="shared" ca="1" si="436"/>
        <v>#DIV/0!</v>
      </c>
      <c r="Z308" s="101">
        <f t="shared" si="437"/>
        <v>0</v>
      </c>
      <c r="AA308" s="91">
        <f t="shared" si="438"/>
        <v>0</v>
      </c>
      <c r="AB308" s="30" t="e">
        <f t="shared" si="500"/>
        <v>#N/A</v>
      </c>
      <c r="AC308" s="30" t="e">
        <f t="shared" si="501"/>
        <v>#N/A</v>
      </c>
      <c r="AD308" s="31" t="e">
        <f>IF(OR(Hypothèses!$B$4=17,Hypothèses!$B$4=18,Hypothèses!$B$4=19,Hypothèses!$B$4=20),
IF($D308="Pressio.",
IF(OR($E308=3,$E308=1,$E308=4),AC308,AB308),
IF($D308="Pénétro.",
IF(OR($E308=3,$E308=1,$E308=4),AC308,AB308))),IF($D308="Pressio.",
IF($E308=3,AC308,AB308),
IF($D308="Pénétro.",
IF($E308=4,AC308,AB308))))</f>
        <v>#N/A</v>
      </c>
      <c r="AE308" s="31">
        <v>0</v>
      </c>
      <c r="AF308" s="102" t="e">
        <f>IF(NDC!$H$10="Oui",(VLOOKUP($B$3,'Coeff EC7'!$T$39:$X$59,2,0)*AD308+VLOOKUP($B$3,'Coeff EC7'!$T$65:$X$85,2,0)*Model0.1T!AE308)/1.5,PI()*AB$12*$Q308*($B308-$B307)*0.15/10+AF307)</f>
        <v>#N/A</v>
      </c>
      <c r="AG308" s="102" t="e">
        <f>(VLOOKUP($B$3,'Coeff EC7'!$T$39:$X$59,3,0)*AD308+VLOOKUP($B$3,'Coeff EC7'!$T$65:$X$85,3,0)*Model0.1T!AE308)/1.1</f>
        <v>#N/A</v>
      </c>
      <c r="AH308" s="102" t="e">
        <f t="shared" si="468"/>
        <v>#N/A</v>
      </c>
      <c r="AI308" s="102" t="e">
        <f t="shared" si="469"/>
        <v>#N/A</v>
      </c>
      <c r="AJ308" s="414" t="e">
        <f>IF(AND(AF308&gt;NDC!$C$63,AG308&gt;NDC!$C$65,AH308&gt;NDC!$D$73,AI308&gt;NDC!$D$74,$B308&gt;NDC!$H$22-0.1+MIN(3*$AJ$12,1.5)),0,1)</f>
        <v>#N/A</v>
      </c>
      <c r="AK308" s="86" t="b">
        <f t="shared" si="439"/>
        <v>0</v>
      </c>
      <c r="AL308" s="86">
        <f t="shared" si="470"/>
        <v>0.5</v>
      </c>
      <c r="AM308" s="86">
        <f t="shared" si="440"/>
        <v>0.5</v>
      </c>
      <c r="AN308" s="30" t="e">
        <f t="shared" ca="1" si="471"/>
        <v>#DIV/0!</v>
      </c>
      <c r="AO308" s="85" t="e">
        <f ca="1">IF(U308&lt;=Hypothèses!$V$7,Hypothèses!$W$7,IF(U308&lt;=Hypothèses!$V$8,Hypothèses!$W$8,IF(U308&lt;=Hypothèses!$V$9,Hypothèses!$W$9,IF(U308&lt;=Hypothèses!$V$10,Hypothèses!$W$10,IF(U308&lt;=Hypothèses!$V$11,Hypothèses!$W$11,IF(U308&lt;=Hypothèses!$V$12,Hypothèses!$W$12,IF(U308&lt;=Hypothèses!$V$13,Hypothèses!$W$13,IF(U308&lt;=Hypothèses!$V$14,Hypothèses!$W$14,IF(U308&lt;=Hypothèses!$V$15,Hypothèses!$W$15,IF(U308&lt;=Hypothèses!$V$16,Hypothèses!$W$16,IF(U308&lt;=Hypothèses!$V$17,Hypothèses!$W$17,IF(U308&lt;=Hypothèses!$V$18,Hypothèses!$W$18,""))))))))))))</f>
        <v>#DIV/0!</v>
      </c>
      <c r="AP308" s="87" t="e">
        <f t="shared" ca="1" si="517"/>
        <v>#DIV/0!</v>
      </c>
      <c r="AQ308" s="88" t="e">
        <f ca="1">IF(U308&lt;=Hypothèses!$V$7,Hypothèses!$X$7,IF(U308&lt;=Hypothèses!$V$8,Hypothèses!$X$8,IF(U308&lt;=Hypothèses!$V$9,Hypothèses!$X$9,IF(U308&lt;=Hypothèses!$V$10,Hypothèses!$X$10,IF(U308&lt;=Hypothèses!$V$11,Hypothèses!$X$11,IF(U308&lt;=Hypothèses!$V$12,Hypothèses!$X$12,IF(U308&lt;=Hypothèses!$V$13,Hypothèses!$X$13,IF(U308&lt;=Hypothèses!$V$14,Hypothèses!$X$14,IF(U308&lt;=Hypothèses!$V$15,Hypothèses!$X$15,IF(U308&lt;=Hypothèses!$V$16,Hypothèses!$X$16,IF(U308&lt;=Hypothèses!$U$17,Hypothèses!$W$17,IF(U308&lt;=Hypothèses!$U$18,Hypothèses!$W$18,""))))))))))))</f>
        <v>#DIV/0!</v>
      </c>
      <c r="AR308" s="95" t="e">
        <f t="shared" ca="1" si="472"/>
        <v>#DIV/0!</v>
      </c>
      <c r="AS308" s="101">
        <f t="shared" si="524"/>
        <v>0</v>
      </c>
      <c r="AT308" s="91">
        <f t="shared" si="441"/>
        <v>0</v>
      </c>
      <c r="AU308" s="30" t="e">
        <f t="shared" si="502"/>
        <v>#N/A</v>
      </c>
      <c r="AV308" s="30" t="e">
        <f t="shared" si="503"/>
        <v>#N/A</v>
      </c>
      <c r="AW308" s="31" t="e">
        <f>IF(OR(Hypothèses!$B$4=17,Hypothèses!$B$4=18,Hypothèses!$B$4=19,Hypothèses!$B$4=20),
IF($D308="Pressio.",
IF(OR($E308=3,$E308=1,$E308=4),AV308,AU308),
IF($D308="Pénétro.",
IF(OR($E308=3,$E308=1,$E308=4),AV308,AU308))),IF($D308="Pressio.",
IF($E308=3,AV308,AU308),
IF($D308="Pénétro.",
IF($E308=4,AV308,AU308))))</f>
        <v>#N/A</v>
      </c>
      <c r="AX308" s="31">
        <v>0</v>
      </c>
      <c r="AY308" s="102" t="e">
        <f>IF(NDC!$H$10="Oui",(VLOOKUP($B$3,'Coeff EC7'!$T$39:$X$59,2,0)*AW308+VLOOKUP($B$3,'Coeff EC7'!$T$65:$X$85,2,0)*Model0.1T!AX308)/1.5,PI()*AU$12*$Q308*($B308-$B307)*0.15/10+AY307)</f>
        <v>#N/A</v>
      </c>
      <c r="AZ308" s="102" t="e">
        <f>(VLOOKUP($B$3,'Coeff EC7'!$T$39:$X$59,3,0)*AW308+VLOOKUP($B$3,'Coeff EC7'!$T$65:$X$85,3,0)*Model0.1T!AX308)/1.1</f>
        <v>#N/A</v>
      </c>
      <c r="BA308" s="102" t="e">
        <f t="shared" si="473"/>
        <v>#N/A</v>
      </c>
      <c r="BB308" s="102" t="e">
        <f t="shared" si="474"/>
        <v>#N/A</v>
      </c>
      <c r="BC308" s="414" t="e">
        <f>IF(AND(AY308&gt;NDC!$C$63,AZ308&gt;NDC!$C$65,BA308&gt;NDC!$D$73,BB308&gt;NDC!$D$74,$B308&gt;NDC!$H$22-0.1+MIN(3*BC$12,1.5)),0,1)</f>
        <v>#N/A</v>
      </c>
      <c r="BD308" s="86" t="b">
        <f t="shared" si="442"/>
        <v>0</v>
      </c>
      <c r="BE308" s="86">
        <f t="shared" si="475"/>
        <v>0.5</v>
      </c>
      <c r="BF308" s="86">
        <f t="shared" si="443"/>
        <v>0.5</v>
      </c>
      <c r="BG308" s="30" t="e">
        <f t="shared" ca="1" si="476"/>
        <v>#DIV/0!</v>
      </c>
      <c r="BH308" s="85" t="e">
        <f ca="1">IF(AN308&lt;=Hypothèses!$V$7,Hypothèses!$W$7,IF(AN308&lt;=Hypothèses!$V$8,Hypothèses!$W$8,IF(AN308&lt;=Hypothèses!$V$9,Hypothèses!$W$9,IF(AN308&lt;=Hypothèses!$V$10,Hypothèses!$W$10,IF(AN308&lt;=Hypothèses!$V$11,Hypothèses!$W$11,IF(AN308&lt;=Hypothèses!$V$12,Hypothèses!$W$12,IF(AN308&lt;=Hypothèses!$V$13,Hypothèses!$W$13,IF(AN308&lt;=Hypothèses!$V$14,Hypothèses!$W$14,IF(AN308&lt;=Hypothèses!$V$15,Hypothèses!$W$15,IF(AN308&lt;=Hypothèses!$V$16,Hypothèses!$W$16,IF(AN308&lt;=Hypothèses!$V$17,Hypothèses!$W$17,IF(AN308&lt;=Hypothèses!$V$18,Hypothèses!$W$18,""))))))))))))</f>
        <v>#DIV/0!</v>
      </c>
      <c r="BI308" s="87" t="e">
        <f t="shared" ca="1" si="518"/>
        <v>#DIV/0!</v>
      </c>
      <c r="BJ308" s="88" t="e">
        <f ca="1">IF(AN308&lt;=Hypothèses!$V$7,Hypothèses!$X$7,IF(AN308&lt;=Hypothèses!$V$8,Hypothèses!$X$8,IF(AN308&lt;=Hypothèses!$V$9,Hypothèses!$X$9,IF(AN308&lt;=Hypothèses!$V$10,Hypothèses!$X$10,IF(AN308&lt;=Hypothèses!$V$11,Hypothèses!$X$11,IF(AN308&lt;=Hypothèses!$V$12,Hypothèses!$X$12,IF(AN308&lt;=Hypothèses!$V$13,Hypothèses!$X$13,IF(AN308&lt;=Hypothèses!$V$14,Hypothèses!$X$14,IF(AN308&lt;=Hypothèses!$V$15,Hypothèses!$X$15,IF(AN308&lt;=Hypothèses!$V$16,Hypothèses!$X$16,IF(AN308&lt;=Hypothèses!$U$17,Hypothèses!$W$17,IF(AN308&lt;=Hypothèses!$U$18,Hypothèses!$W$18,""))))))))))))</f>
        <v>#DIV/0!</v>
      </c>
      <c r="BK308" s="95" t="e">
        <f t="shared" ca="1" si="477"/>
        <v>#DIV/0!</v>
      </c>
      <c r="BL308" s="101">
        <f t="shared" si="525"/>
        <v>0</v>
      </c>
      <c r="BM308" s="91">
        <f t="shared" si="444"/>
        <v>0</v>
      </c>
      <c r="BN308" s="30" t="e">
        <f t="shared" si="504"/>
        <v>#N/A</v>
      </c>
      <c r="BO308" s="30" t="e">
        <f t="shared" si="505"/>
        <v>#N/A</v>
      </c>
      <c r="BP308" s="31" t="e">
        <f>IF(OR(Hypothèses!$B$4=17,Hypothèses!$B$4=18,Hypothèses!$B$4=19,Hypothèses!$B$4=20),
IF($D308="Pressio.",
IF(OR($E308=3,$E308=1,$E308=4),BO308,BN308),
IF($D308="Pénétro.",
IF(OR($E308=3,$E308=1,$E308=4),BO308,BN308))),IF($D308="Pressio.",
IF($E308=3,BO308,BN308),
IF($D308="Pénétro.",
IF($E308=4,BO308,BN308))))</f>
        <v>#N/A</v>
      </c>
      <c r="BQ308" s="31">
        <v>0</v>
      </c>
      <c r="BR308" s="102" t="e">
        <f>IF(NDC!$H$10="Oui",(VLOOKUP($B$3,'Coeff EC7'!$T$39:$X$59,2,0)*BP308+VLOOKUP($B$3,'Coeff EC7'!$T$65:$X$85,2,0)*Model0.1T!BQ308)/1.5,PI()*BN$12*$Q308*($B308-$B307)*0.15/10+BR307)</f>
        <v>#N/A</v>
      </c>
      <c r="BS308" s="102" t="e">
        <f>(VLOOKUP($B$3,'Coeff EC7'!$T$39:$X$59,3,0)*BP308+VLOOKUP($B$3,'Coeff EC7'!$T$65:$X$85,3,0)*Model0.1T!BQ308)/1.1</f>
        <v>#N/A</v>
      </c>
      <c r="BT308" s="102" t="e">
        <f t="shared" si="478"/>
        <v>#N/A</v>
      </c>
      <c r="BU308" s="102" t="e">
        <f t="shared" si="479"/>
        <v>#N/A</v>
      </c>
      <c r="BV308" s="414" t="e">
        <f>IF(AND(BR308&gt;NDC!$C$63,BS308&gt;NDC!$C$65,BT308&gt;NDC!$D$73,BU308&gt;NDC!$D$74,$B308&gt;NDC!$H$22-0.1+MIN(3*BV$12,1.5)),0,1)</f>
        <v>#N/A</v>
      </c>
      <c r="BW308" s="86" t="b">
        <f t="shared" si="445"/>
        <v>0</v>
      </c>
      <c r="BX308" s="86">
        <f t="shared" si="446"/>
        <v>0.5</v>
      </c>
      <c r="BY308" s="86">
        <f t="shared" si="447"/>
        <v>0.5</v>
      </c>
      <c r="BZ308" s="30" t="e">
        <f t="shared" ca="1" si="480"/>
        <v>#DIV/0!</v>
      </c>
      <c r="CA308" s="85" t="e">
        <f ca="1">IF(BG308&lt;=Hypothèses!$V$7,Hypothèses!$W$7,IF(BG308&lt;=Hypothèses!$V$8,Hypothèses!$W$8,IF(BG308&lt;=Hypothèses!$V$9,Hypothèses!$W$9,IF(BG308&lt;=Hypothèses!$V$10,Hypothèses!$W$10,IF(BG308&lt;=Hypothèses!$V$11,Hypothèses!$W$11,IF(BG308&lt;=Hypothèses!$V$12,Hypothèses!$W$12,IF(BG308&lt;=Hypothèses!$V$13,Hypothèses!$W$13,IF(BG308&lt;=Hypothèses!$V$14,Hypothèses!$W$14,IF(BG308&lt;=Hypothèses!$V$15,Hypothèses!$W$15,IF(BG308&lt;=Hypothèses!$V$16,Hypothèses!$W$16,IF(BG308&lt;=Hypothèses!$V$17,Hypothèses!$W$17,IF(BG308&lt;=Hypothèses!$V$18,Hypothèses!$W$18,""))))))))))))</f>
        <v>#DIV/0!</v>
      </c>
      <c r="CB308" s="87" t="e">
        <f t="shared" ca="1" si="519"/>
        <v>#DIV/0!</v>
      </c>
      <c r="CC308" s="88" t="e">
        <f ca="1">IF(BG308&lt;=Hypothèses!$V$7,Hypothèses!$X$7,IF(BG308&lt;=Hypothèses!$V$8,Hypothèses!$X$8,IF(BG308&lt;=Hypothèses!$V$9,Hypothèses!$X$9,IF(BG308&lt;=Hypothèses!$V$10,Hypothèses!$X$10,IF(BG308&lt;=Hypothèses!$V$11,Hypothèses!$X$11,IF(BG308&lt;=Hypothèses!$V$12,Hypothèses!$X$12,IF(BG308&lt;=Hypothèses!$V$13,Hypothèses!$X$13,IF(BG308&lt;=Hypothèses!$V$14,Hypothèses!$X$14,IF(BG308&lt;=Hypothèses!$V$15,Hypothèses!$X$15,IF(BG308&lt;=Hypothèses!$V$16,Hypothèses!$X$16,IF(BG308&lt;=Hypothèses!$U$17,Hypothèses!$W$17,IF(BG308&lt;=Hypothèses!$U$18,Hypothèses!$W$18,""))))))))))))</f>
        <v>#DIV/0!</v>
      </c>
      <c r="CD308" s="95" t="e">
        <f t="shared" ca="1" si="481"/>
        <v>#DIV/0!</v>
      </c>
      <c r="CE308" s="101">
        <f t="shared" si="526"/>
        <v>0</v>
      </c>
      <c r="CF308" s="91">
        <f t="shared" si="448"/>
        <v>0</v>
      </c>
      <c r="CG308" s="30" t="e">
        <f t="shared" si="506"/>
        <v>#N/A</v>
      </c>
      <c r="CH308" s="30" t="e">
        <f t="shared" si="507"/>
        <v>#N/A</v>
      </c>
      <c r="CI308" s="31" t="e">
        <f>IF(OR(Hypothèses!$B$4=17,Hypothèses!$B$4=18,Hypothèses!$B$4=19,Hypothèses!$B$4=20),
IF($D308="Pressio.",
IF(OR($E308=3,$E308=1,$E308=4),CH308,CG308),
IF($D308="Pénétro.",
IF(OR($E308=3,$E308=1,$E308=4),CH308,CG308))),IF($D308="Pressio.",
IF($E308=3,CH308,CG308),
IF($D308="Pénétro.",
IF($E308=4,CH308,CG308))))</f>
        <v>#N/A</v>
      </c>
      <c r="CJ308" s="31">
        <v>0</v>
      </c>
      <c r="CK308" s="102" t="e">
        <f>IF(NDC!$H$10="Oui",(VLOOKUP($B$3,'Coeff EC7'!$T$39:$X$59,2,0)*CI308+VLOOKUP($B$3,'Coeff EC7'!$T$65:$X$85,2,0)*Model0.1T!CJ308)/1.5,PI()*CG$12*$Q308*($B308-$B307)*0.15/10+CK307)</f>
        <v>#N/A</v>
      </c>
      <c r="CL308" s="102" t="e">
        <f>(VLOOKUP($B$3,'Coeff EC7'!$T$39:$X$59,3,0)*CI308+VLOOKUP($B$3,'Coeff EC7'!$T$65:$X$85,3,0)*Model0.1T!CJ308)/1.1</f>
        <v>#N/A</v>
      </c>
      <c r="CM308" s="102" t="e">
        <f t="shared" si="482"/>
        <v>#N/A</v>
      </c>
      <c r="CN308" s="102" t="e">
        <f t="shared" si="483"/>
        <v>#N/A</v>
      </c>
      <c r="CO308" s="414" t="e">
        <f>IF(AND(CK308&gt;NDC!$C$63,CL308&gt;NDC!$C$65,CM308&gt;NDC!$D$73,CN308&gt;NDC!$D$74,$B308&gt;NDC!$H$22-0.1+MIN(3*CO$12,1.5)),0,1)</f>
        <v>#N/A</v>
      </c>
      <c r="CP308" s="86" t="b">
        <f t="shared" si="449"/>
        <v>0</v>
      </c>
      <c r="CQ308" s="86">
        <f t="shared" si="450"/>
        <v>0.5</v>
      </c>
      <c r="CR308" s="86">
        <f t="shared" si="451"/>
        <v>0.5</v>
      </c>
      <c r="CS308" s="30" t="e">
        <f t="shared" ca="1" si="484"/>
        <v>#DIV/0!</v>
      </c>
      <c r="CT308" s="85" t="e">
        <f ca="1">IF(BZ308&lt;=Hypothèses!$V$7,Hypothèses!$W$7,IF(BZ308&lt;=Hypothèses!$V$8,Hypothèses!$W$8,IF(BZ308&lt;=Hypothèses!$V$9,Hypothèses!$W$9,IF(BZ308&lt;=Hypothèses!$V$10,Hypothèses!$W$10,IF(BZ308&lt;=Hypothèses!$V$11,Hypothèses!$W$11,IF(BZ308&lt;=Hypothèses!$V$12,Hypothèses!$W$12,IF(BZ308&lt;=Hypothèses!$V$13,Hypothèses!$W$13,IF(BZ308&lt;=Hypothèses!$V$14,Hypothèses!$W$14,IF(BZ308&lt;=Hypothèses!$V$15,Hypothèses!$W$15,IF(BZ308&lt;=Hypothèses!$V$16,Hypothèses!$W$16,IF(BZ308&lt;=Hypothèses!$V$17,Hypothèses!$W$17,IF(BZ308&lt;=Hypothèses!$V$18,Hypothèses!$W$18,""))))))))))))</f>
        <v>#DIV/0!</v>
      </c>
      <c r="CU308" s="87" t="e">
        <f t="shared" ca="1" si="520"/>
        <v>#DIV/0!</v>
      </c>
      <c r="CV308" s="88" t="e">
        <f ca="1">IF(BZ308&lt;=Hypothèses!$V$7,Hypothèses!$X$7,IF(BZ308&lt;=Hypothèses!$V$8,Hypothèses!$X$8,IF(BZ308&lt;=Hypothèses!$V$9,Hypothèses!$X$9,IF(BZ308&lt;=Hypothèses!$V$10,Hypothèses!$X$10,IF(BZ308&lt;=Hypothèses!$V$11,Hypothèses!$X$11,IF(BZ308&lt;=Hypothèses!$V$12,Hypothèses!$X$12,IF(BZ308&lt;=Hypothèses!$V$13,Hypothèses!$X$13,IF(BZ308&lt;=Hypothèses!$V$14,Hypothèses!$X$14,IF(BZ308&lt;=Hypothèses!$V$15,Hypothèses!$X$15,IF(BZ308&lt;=Hypothèses!$V$16,Hypothèses!$X$16,IF(BZ308&lt;=Hypothèses!$U$17,Hypothèses!$W$17,IF(BZ308&lt;=Hypothèses!$U$18,Hypothèses!$W$18,""))))))))))))</f>
        <v>#DIV/0!</v>
      </c>
      <c r="CW308" s="95" t="e">
        <f t="shared" ca="1" si="485"/>
        <v>#DIV/0!</v>
      </c>
      <c r="CX308" s="101">
        <f t="shared" si="527"/>
        <v>0</v>
      </c>
      <c r="CY308" s="91">
        <f t="shared" si="452"/>
        <v>0</v>
      </c>
      <c r="CZ308" s="30" t="e">
        <f t="shared" si="508"/>
        <v>#N/A</v>
      </c>
      <c r="DA308" s="30" t="e">
        <f t="shared" si="509"/>
        <v>#N/A</v>
      </c>
      <c r="DB308" s="31" t="e">
        <f>IF(OR(Hypothèses!$B$4=17,Hypothèses!$B$4=18,Hypothèses!$B$4=19,Hypothèses!$B$4=20),
IF($D308="Pressio.",
IF(OR($E308=3,$E308=1,$E308=4),DA308,CZ308),
IF($D308="Pénétro.",
IF(OR($E308=3,$E308=1,$E308=4),DA308,CZ308))),IF($D308="Pressio.",
IF($E308=3,DA308,CZ308),
IF($D308="Pénétro.",
IF($E308=4,DA308,CZ308))))</f>
        <v>#N/A</v>
      </c>
      <c r="DC308" s="31">
        <v>0</v>
      </c>
      <c r="DD308" s="102" t="e">
        <f>IF(NDC!$H$10="Oui",(VLOOKUP($B$3,'Coeff EC7'!$T$39:$X$59,2,0)*DB308+VLOOKUP($B$3,'Coeff EC7'!$T$65:$X$85,2,0)*Model0.1T!DC308)/1.5,PI()*CZ$12*$Q308*($B308-$B307)*0.15/10+DD307)</f>
        <v>#N/A</v>
      </c>
      <c r="DE308" s="102" t="e">
        <f>(VLOOKUP($B$3,'Coeff EC7'!$T$39:$X$59,3,0)*DB308+VLOOKUP($B$3,'Coeff EC7'!$T$65:$X$85,3,0)*Model0.1T!DC308)/1.1</f>
        <v>#N/A</v>
      </c>
      <c r="DF308" s="102" t="e">
        <f t="shared" si="486"/>
        <v>#N/A</v>
      </c>
      <c r="DG308" s="102" t="e">
        <f t="shared" si="487"/>
        <v>#N/A</v>
      </c>
      <c r="DH308" s="414" t="e">
        <f>IF(AND(DD308&gt;NDC!$C$63,DE308&gt;NDC!$C$65,DF308&gt;NDC!$D$73,DG308&gt;NDC!$D$74,$B308&gt;NDC!$H$22-0.1+MIN(3*DH$12,1.5)),0,1)</f>
        <v>#N/A</v>
      </c>
      <c r="DI308" s="86" t="b">
        <f t="shared" si="453"/>
        <v>0</v>
      </c>
      <c r="DJ308" s="86">
        <f t="shared" si="454"/>
        <v>0.5</v>
      </c>
      <c r="DK308" s="86">
        <f t="shared" si="455"/>
        <v>0.5</v>
      </c>
      <c r="DL308" s="30" t="e">
        <f t="shared" ca="1" si="488"/>
        <v>#DIV/0!</v>
      </c>
      <c r="DM308" s="85" t="e">
        <f ca="1">IF(CS308&lt;=Hypothèses!$V$7,Hypothèses!$W$7,IF(CS308&lt;=Hypothèses!$V$8,Hypothèses!$W$8,IF(CS308&lt;=Hypothèses!$V$9,Hypothèses!$W$9,IF(CS308&lt;=Hypothèses!$V$10,Hypothèses!$W$10,IF(CS308&lt;=Hypothèses!$V$11,Hypothèses!$W$11,IF(CS308&lt;=Hypothèses!$V$12,Hypothèses!$W$12,IF(CS308&lt;=Hypothèses!$V$13,Hypothèses!$W$13,IF(CS308&lt;=Hypothèses!$V$14,Hypothèses!$W$14,IF(CS308&lt;=Hypothèses!$V$15,Hypothèses!$W$15,IF(CS308&lt;=Hypothèses!$V$16,Hypothèses!$W$16,IF(CS308&lt;=Hypothèses!$V$17,Hypothèses!$W$17,IF(CS308&lt;=Hypothèses!$V$18,Hypothèses!$W$18,""))))))))))))</f>
        <v>#DIV/0!</v>
      </c>
      <c r="DN308" s="87" t="e">
        <f t="shared" ca="1" si="521"/>
        <v>#DIV/0!</v>
      </c>
      <c r="DO308" s="88" t="e">
        <f ca="1">IF(CS308&lt;=Hypothèses!$V$7,Hypothèses!$X$7,IF(CS308&lt;=Hypothèses!$V$8,Hypothèses!$X$8,IF(CS308&lt;=Hypothèses!$V$9,Hypothèses!$X$9,IF(CS308&lt;=Hypothèses!$V$10,Hypothèses!$X$10,IF(CS308&lt;=Hypothèses!$V$11,Hypothèses!$X$11,IF(CS308&lt;=Hypothèses!$V$12,Hypothèses!$X$12,IF(CS308&lt;=Hypothèses!$V$13,Hypothèses!$X$13,IF(CS308&lt;=Hypothèses!$V$14,Hypothèses!$X$14,IF(CS308&lt;=Hypothèses!$V$15,Hypothèses!$X$15,IF(CS308&lt;=Hypothèses!$V$16,Hypothèses!$X$16,IF(CS308&lt;=Hypothèses!$U$17,Hypothèses!$W$17,IF(CS308&lt;=Hypothèses!$U$18,Hypothèses!$W$18,""))))))))))))</f>
        <v>#DIV/0!</v>
      </c>
      <c r="DP308" s="95" t="e">
        <f t="shared" ca="1" si="489"/>
        <v>#DIV/0!</v>
      </c>
      <c r="DQ308" s="101">
        <f t="shared" si="528"/>
        <v>0</v>
      </c>
      <c r="DR308" s="91">
        <f t="shared" si="456"/>
        <v>0</v>
      </c>
      <c r="DS308" s="30" t="e">
        <f t="shared" si="510"/>
        <v>#N/A</v>
      </c>
      <c r="DT308" s="30" t="e">
        <f t="shared" si="511"/>
        <v>#N/A</v>
      </c>
      <c r="DU308" s="31" t="e">
        <f>IF(OR(Hypothèses!$B$4=17,Hypothèses!$B$4=18,Hypothèses!$B$4=19,Hypothèses!$B$4=20),
IF($D308="Pressio.",
IF(OR($E308=3,$E308=1,$E308=4),DT308,DS308),
IF($D308="Pénétro.",
IF(OR($E308=3,$E308=1,$E308=4),DT308,DS308))),IF($D308="Pressio.",
IF($E308=3,DT308,DS308),
IF($D308="Pénétro.",
IF($E308=4,DT308,DS308))))</f>
        <v>#N/A</v>
      </c>
      <c r="DV308" s="31">
        <v>0</v>
      </c>
      <c r="DW308" s="102" t="e">
        <f>IF(NDC!$H$10="Oui",(VLOOKUP($B$3,'Coeff EC7'!$T$39:$X$59,2,0)*DU308+VLOOKUP($B$3,'Coeff EC7'!$T$65:$X$85,2,0)*Model0.1T!DV308)/1.5,PI()*DS$12*$Q308*($B308-$B307)*0.15/10+DW307)</f>
        <v>#N/A</v>
      </c>
      <c r="DX308" s="102" t="e">
        <f>(VLOOKUP($B$3,'Coeff EC7'!$T$39:$X$59,3,0)*DU308+VLOOKUP($B$3,'Coeff EC7'!$T$65:$X$85,3,0)*Model0.1T!DV308)/1.1</f>
        <v>#N/A</v>
      </c>
      <c r="DY308" s="102" t="e">
        <f t="shared" si="490"/>
        <v>#N/A</v>
      </c>
      <c r="DZ308" s="102" t="e">
        <f t="shared" si="491"/>
        <v>#N/A</v>
      </c>
      <c r="EA308" s="414" t="e">
        <f>IF(AND(DW308&gt;NDC!$C$63,DX308&gt;NDC!$C$65,DY308&gt;NDC!$D$73,DZ308&gt;NDC!$D$74,$B308&gt;NDC!$H$22-0.1+MIN(3*EA$12,1.5)),0,1)</f>
        <v>#N/A</v>
      </c>
      <c r="EB308" s="86" t="b">
        <f t="shared" si="457"/>
        <v>0</v>
      </c>
      <c r="EC308" s="418">
        <f t="shared" si="458"/>
        <v>0.51</v>
      </c>
      <c r="ED308" s="86">
        <f t="shared" si="459"/>
        <v>0.51</v>
      </c>
      <c r="EE308" s="30" t="e">
        <f t="shared" ca="1" si="492"/>
        <v>#DIV/0!</v>
      </c>
      <c r="EF308" s="85" t="e">
        <f ca="1">IF(DL308&lt;=Hypothèses!$V$7,Hypothèses!$W$7,IF(DL308&lt;=Hypothèses!$V$8,Hypothèses!$W$8,IF(DL308&lt;=Hypothèses!$V$9,Hypothèses!$W$9,IF(DL308&lt;=Hypothèses!$V$10,Hypothèses!$W$10,IF(DL308&lt;=Hypothèses!$V$11,Hypothèses!$W$11,IF(DL308&lt;=Hypothèses!$V$12,Hypothèses!$W$12,IF(DL308&lt;=Hypothèses!$V$13,Hypothèses!$W$13,IF(DL308&lt;=Hypothèses!$V$14,Hypothèses!$W$14,IF(DL308&lt;=Hypothèses!$V$15,Hypothèses!$W$15,IF(DL308&lt;=Hypothèses!$V$16,Hypothèses!$W$16,IF(DL308&lt;=Hypothèses!$V$17,Hypothèses!$W$17,IF(DL308&lt;=Hypothèses!$V$18,Hypothèses!$W$18,""))))))))))))</f>
        <v>#DIV/0!</v>
      </c>
      <c r="EG308" s="87" t="e">
        <f t="shared" ca="1" si="522"/>
        <v>#DIV/0!</v>
      </c>
      <c r="EH308" s="88" t="e">
        <f ca="1">IF(DL308&lt;=Hypothèses!$V$7,Hypothèses!$X$7,IF(DL308&lt;=Hypothèses!$V$8,Hypothèses!$X$8,IF(DL308&lt;=Hypothèses!$V$9,Hypothèses!$X$9,IF(DL308&lt;=Hypothèses!$V$10,Hypothèses!$X$10,IF(DL308&lt;=Hypothèses!$V$11,Hypothèses!$X$11,IF(DL308&lt;=Hypothèses!$V$12,Hypothèses!$X$12,IF(DL308&lt;=Hypothèses!$V$13,Hypothèses!$X$13,IF(DL308&lt;=Hypothèses!$V$14,Hypothèses!$X$14,IF(DL308&lt;=Hypothèses!$V$15,Hypothèses!$X$15,IF(DL308&lt;=Hypothèses!$V$16,Hypothèses!$X$16,IF(DL308&lt;=Hypothèses!$U$17,Hypothèses!$W$17,IF(DL308&lt;=Hypothèses!$U$18,Hypothèses!$W$18,""))))))))))))</f>
        <v>#DIV/0!</v>
      </c>
      <c r="EI308" s="95" t="e">
        <f t="shared" ca="1" si="493"/>
        <v>#DIV/0!</v>
      </c>
      <c r="EJ308" s="101">
        <f t="shared" si="529"/>
        <v>0</v>
      </c>
      <c r="EK308" s="91">
        <f t="shared" si="460"/>
        <v>0</v>
      </c>
      <c r="EL308" s="30" t="e">
        <f t="shared" si="512"/>
        <v>#N/A</v>
      </c>
      <c r="EM308" s="30" t="e">
        <f t="shared" si="513"/>
        <v>#N/A</v>
      </c>
      <c r="EN308" s="31" t="e">
        <f>IF(OR(Hypothèses!$B$4=17,Hypothèses!$B$4=18,Hypothèses!$B$4=19,Hypothèses!$B$4=20),
IF($D308="Pressio.",
IF(OR($E308=3,$E308=1,$E308=4),EM308,EL308),
IF($D308="Pénétro.",
IF(OR($E308=3,$E308=1,$E308=4),EM308,EL308))),IF($D308="Pressio.",
IF($E308=3,EM308,EL308),
IF($D308="Pénétro.",
IF($E308=4,EM308,EL308))))</f>
        <v>#N/A</v>
      </c>
      <c r="EO308" s="31">
        <v>0</v>
      </c>
      <c r="EP308" s="102" t="e">
        <f>IF(NDC!$H$10="Oui",(VLOOKUP($B$3,'Coeff EC7'!$T$39:$X$59,2,0)*EN308+VLOOKUP($B$3,'Coeff EC7'!$T$65:$X$85,2,0)*Model0.1T!EO308)/1.5,PI()*EL$12*$Q308*($B308-$B307)*0.15/10+EP307)</f>
        <v>#N/A</v>
      </c>
      <c r="EQ308" s="102" t="e">
        <f>(VLOOKUP($B$3,'Coeff EC7'!$T$39:$X$59,3,0)*EN308+VLOOKUP($B$3,'Coeff EC7'!$T$65:$X$85,3,0)*Model0.1T!EO308)/1.1</f>
        <v>#N/A</v>
      </c>
      <c r="ER308" s="102" t="e">
        <f t="shared" si="494"/>
        <v>#N/A</v>
      </c>
      <c r="ES308" s="102" t="e">
        <f t="shared" si="495"/>
        <v>#N/A</v>
      </c>
      <c r="ET308" s="414" t="e">
        <f>IF(AND(EP308&gt;NDC!$C$63,EQ308&gt;NDC!$C$65,ER308&gt;NDC!$D$73,ES308&gt;NDC!$D$74,$B308&gt;NDC!$H$22-0.1+MIN(3*ET$12,1.5)),0,1)</f>
        <v>#N/A</v>
      </c>
      <c r="EU308" s="86" t="b">
        <f t="shared" si="461"/>
        <v>0</v>
      </c>
      <c r="EV308" s="86">
        <f t="shared" si="462"/>
        <v>0.61</v>
      </c>
      <c r="EW308" s="86">
        <f t="shared" si="463"/>
        <v>0.61</v>
      </c>
      <c r="EX308" s="30" t="e">
        <f t="shared" ca="1" si="496"/>
        <v>#DIV/0!</v>
      </c>
      <c r="EY308" s="85" t="e">
        <f ca="1">IF(EE308&lt;=Hypothèses!$V$7,Hypothèses!$W$7,IF(EE308&lt;=Hypothèses!$V$8,Hypothèses!$W$8,IF(EE308&lt;=Hypothèses!$V$9,Hypothèses!$W$9,IF(EE308&lt;=Hypothèses!$V$10,Hypothèses!$W$10,IF(EE308&lt;=Hypothèses!$V$11,Hypothèses!$W$11,IF(EE308&lt;=Hypothèses!$V$12,Hypothèses!$W$12,IF(EE308&lt;=Hypothèses!$V$13,Hypothèses!$W$13,IF(EE308&lt;=Hypothèses!$V$14,Hypothèses!$W$14,IF(EE308&lt;=Hypothèses!$V$15,Hypothèses!$W$15,IF(EE308&lt;=Hypothèses!$V$16,Hypothèses!$W$16,IF(EE308&lt;=Hypothèses!$V$17,Hypothèses!$W$17,IF(EE308&lt;=Hypothèses!$V$18,Hypothèses!$W$18,""))))))))))))</f>
        <v>#DIV/0!</v>
      </c>
      <c r="EZ308" s="87" t="e">
        <f t="shared" ca="1" si="523"/>
        <v>#DIV/0!</v>
      </c>
      <c r="FA308" s="88" t="e">
        <f ca="1">IF(EE308&lt;=Hypothèses!$V$7,Hypothèses!$X$7,IF(EE308&lt;=Hypothèses!$V$8,Hypothèses!$X$8,IF(EE308&lt;=Hypothèses!$V$9,Hypothèses!$X$9,IF(EE308&lt;=Hypothèses!$V$10,Hypothèses!$X$10,IF(EE308&lt;=Hypothèses!$V$11,Hypothèses!$X$11,IF(EE308&lt;=Hypothèses!$V$12,Hypothèses!$X$12,IF(EE308&lt;=Hypothèses!$V$13,Hypothèses!$X$13,IF(EE308&lt;=Hypothèses!$V$14,Hypothèses!$X$14,IF(EE308&lt;=Hypothèses!$V$15,Hypothèses!$X$15,IF(EE308&lt;=Hypothèses!$V$16,Hypothèses!$X$16,IF(EE308&lt;=Hypothèses!$U$17,Hypothèses!$W$17,IF(EE308&lt;=Hypothèses!$U$18,Hypothèses!$W$18,""))))))))))))</f>
        <v>#DIV/0!</v>
      </c>
      <c r="FB308" s="95" t="e">
        <f t="shared" ca="1" si="497"/>
        <v>#DIV/0!</v>
      </c>
      <c r="FC308" s="101">
        <f t="shared" si="530"/>
        <v>0</v>
      </c>
      <c r="FD308" s="91">
        <f t="shared" si="464"/>
        <v>0</v>
      </c>
      <c r="FE308" s="30" t="e">
        <f t="shared" si="514"/>
        <v>#N/A</v>
      </c>
      <c r="FF308" s="30" t="e">
        <f t="shared" si="515"/>
        <v>#N/A</v>
      </c>
      <c r="FG308" s="31" t="e">
        <f>IF(OR(Hypothèses!$B$4=17,Hypothèses!$B$4=18,Hypothèses!$B$4=19,Hypothèses!$B$4=20),
IF($D308="Pressio.",
IF(OR($E308=3,$E308=1,$E308=4),FF308,FE308),
IF($D308="Pénétro.",
IF(OR($E308=3,$E308=1,$E308=4),FF308,FE308))),IF($D308="Pressio.",
IF($E308=3,FF308,FE308),
IF($D308="Pénétro.",
IF($E308=4,FF308,FE308))))</f>
        <v>#N/A</v>
      </c>
      <c r="FH308" s="31">
        <v>0</v>
      </c>
      <c r="FI308" s="102" t="e">
        <f>IF(NDC!$H$10="Oui",(VLOOKUP($B$3,'Coeff EC7'!$T$39:$X$59,2,0)*FG308+VLOOKUP($B$3,'Coeff EC7'!$T$65:$X$85,2,0)*Model0.1T!FH308)/1.5,PI()*FE$12*$Q308*($B308-$B307)*0.15/10+FI307)</f>
        <v>#N/A</v>
      </c>
      <c r="FJ308" s="102" t="e">
        <f>(VLOOKUP($B$3,'Coeff EC7'!$T$39:$X$59,3,0)*FG308+VLOOKUP($B$3,'Coeff EC7'!$T$65:$X$85,3,0)*Model0.1T!FH308)/1.1</f>
        <v>#N/A</v>
      </c>
      <c r="FK308" s="102" t="e">
        <f t="shared" si="498"/>
        <v>#N/A</v>
      </c>
      <c r="FL308" s="102" t="e">
        <f t="shared" si="499"/>
        <v>#N/A</v>
      </c>
      <c r="FM308" s="414" t="e">
        <f>IF(AND(FI308&gt;NDC!$C$63,FJ308&gt;NDC!$C$65,FK308&gt;NDC!$D$73,FL308&gt;NDC!$D$74,$B308&gt;NDC!$H$22-0.1+MIN(3*FM$12,1.5)),0,1)</f>
        <v>#N/A</v>
      </c>
    </row>
    <row r="309" spans="1:169">
      <c r="A309" s="96">
        <f t="shared" si="465"/>
        <v>70.400000000001683</v>
      </c>
      <c r="B309" s="97">
        <v>29.6</v>
      </c>
      <c r="C309" s="81">
        <f>IF(B309&lt;=Hypothèses!$C$7,Hypothèses!$A$7,IF(B309&lt;=Hypothèses!$C$8,Hypothèses!$A$8,IF(B309&lt;=Hypothèses!$C$9,Hypothèses!$A$9,IF(B309&lt;=Hypothèses!$C$10,Hypothèses!$A$10,IF(B309&lt;=Hypothèses!$C$11,Hypothèses!$A$11,IF(B309&lt;=Hypothèses!$C$12,Hypothèses!$A$12,IF(B309&lt;=Hypothèses!$C$13,Hypothèses!$A$13,IF(B309&lt;=Hypothèses!$C$14,Hypothèses!$A$14,IF(B309&lt;=Hypothèses!$C$15,Hypothèses!$A$15,IF(B309&lt;=Hypothèses!$C$16,Hypothèses!$A$16,IF(B309&lt;=Hypothèses!$C$17,Hypothèses!$A$17,IF(B309&lt;=Hypothèses!$C$18,Hypothèses!$A$18,C308))))))))))))</f>
        <v>11</v>
      </c>
      <c r="D309" s="82" t="str">
        <f>IF(B309&lt;=Hypothèses!$C$7,Hypothèses!$R$7,IF(B309&lt;=Hypothèses!$C$8,Hypothèses!$R$8,IF(B309&lt;=Hypothèses!$C$9,Hypothèses!$R$9,IF(B309&lt;=Hypothèses!$C$10,Hypothèses!$R$10,IF(B309&lt;=Hypothèses!$C$11,Hypothèses!$R$11,IF(B309&lt;=Hypothèses!$C$12,Hypothèses!$R$12,IF(B309&lt;=Hypothèses!$C$13,Hypothèses!$R$13,IF(B309&lt;=Hypothèses!$C$14,Hypothèses!$R$14,IF(B309&lt;=Hypothèses!$C$15,Hypothèses!$R$15,IF(B309&lt;=Hypothèses!$C$16,Hypothèses!$R$16,IF(B309&lt;=Hypothèses!$C$17,Hypothèses!$R$17,IF(B309&lt;=Hypothèses!$C$18,Hypothèses!$R$18,D308))))))))))))</f>
        <v>Pressio.</v>
      </c>
      <c r="E309" s="82" t="e">
        <f>IF(B309&lt;=Hypothèses!$C$7,Hypothèses!$G$7,IF(B309&lt;=Hypothèses!$C$8,Hypothèses!$G$8,IF(B309&lt;=Hypothèses!$C$9,Hypothèses!$G$9,IF(B309&lt;=Hypothèses!$C$10,Hypothèses!$G$10,IF(B309&lt;=Hypothèses!$C$11,Hypothèses!$G$11,IF(B309&lt;=Hypothèses!$C$12,Hypothèses!$G$12,IF(B309&lt;=Hypothèses!$C$13,Hypothèses!$G$13,IF(B309&lt;=Hypothèses!$C$14,Hypothèses!$G$14,IF(B309&lt;=Hypothèses!$C$15,Hypothèses!$G$15,IF(B309&lt;=Hypothèses!$C$16,Hypothèses!$G$16,IF(B309&lt;=Hypothèses!$C$17,Hypothèses!$G$17,IF(B309&lt;=Hypothèses!$C$18,Hypothèses!$G$18,E308))))))))))))</f>
        <v>#N/A</v>
      </c>
      <c r="F309" s="82" t="str">
        <f>IF(B309&lt;=Hypothèses!$C$7,Hypothèses!$F$7,IF(B309&lt;=Hypothèses!$C$8,Hypothèses!$F$8,IF(B309&lt;=Hypothèses!$C$9,Hypothèses!$F$9,IF(B309&lt;=Hypothèses!$C$10,Hypothèses!$F$10,IF(B309&lt;=Hypothèses!$C$11,Hypothèses!$F$11,IF(B309&lt;=Hypothèses!$C$12,Hypothèses!$F$12,IF(B309&lt;=Hypothèses!$C$13,Hypothèses!$F$13,IF(B309&lt;=Hypothèses!$C$14,Hypothèses!$F$14,IF(B309&lt;=Hypothèses!$C$15,Hypothèses!$F$15,IF(B309&lt;=Hypothèses!$C$16,Hypothèses!$F$16,IF(B309&lt;=Hypothèses!$C$17,Hypothèses!$F$17,IF(B309&lt;=Hypothèses!$C$18,Hypothèses!$F$18,F308))))))))))))</f>
        <v/>
      </c>
      <c r="G309" s="91">
        <f t="array" ref="G309">INDEX('Coeff EC7'!$U$7:$X$27,
MATCH(Model0.1T!$B$3,'Coeff EC7'!$T$7:$T$27,0),
MATCH(Model0.1T!$D309&amp;Model0.1T!$B$4,
'Coeff EC7'!$U$6:$X$6&amp;
'Coeff EC7'!$U$5:$X$5,0))</f>
        <v>1.4</v>
      </c>
      <c r="H309" s="91">
        <f t="array" ref="H309">INDEX('Coeff EC7'!$Y$7:$AB$27,
MATCH(Model0.1T!$B$3,'Coeff EC7'!$T$7:$T$27,0),
MATCH(Model0.1T!$D309&amp;Model0.1T!$B$4,
'Coeff EC7'!$Y$6:$AB$6&amp;
'Coeff EC7'!$Y$5:$AB$5,0))</f>
        <v>1.7</v>
      </c>
      <c r="I309" s="83">
        <v>0</v>
      </c>
      <c r="J309" s="91" t="e">
        <f t="array" ref="J309">INDEX('Coeff EC7'!$D$33:$Q$33,1,MATCH(D309&amp;E309,'Coeff EC7'!$D$31:$Q$31&amp;'Coeff EC7'!$D$32:$Q$32,0))</f>
        <v>#N/A</v>
      </c>
      <c r="K309" s="91" t="e">
        <f t="array" ref="K309">INDEX('Coeff EC7'!$D$34:$Q$34,1,MATCH(D309&amp;E309,'Coeff EC7'!$D$31:$Q$31&amp;'Coeff EC7'!$D$32:$Q$32,0))</f>
        <v>#N/A</v>
      </c>
      <c r="L309" s="91" t="e">
        <f t="array" ref="L309">INDEX('Coeff EC7'!$D$35:$Q$35,1,MATCH(D309&amp;E309,'Coeff EC7'!$D$31:$Q$31&amp;'Coeff EC7'!$D$32:$Q$32,0))</f>
        <v>#N/A</v>
      </c>
      <c r="M309" s="98" t="e">
        <f t="shared" si="431"/>
        <v>#N/A</v>
      </c>
      <c r="N309" s="99" t="e">
        <f t="array" ref="N309">INDEX('Coeff EC7'!$D$7:$Q$27,MATCH($B$3,'Coeff EC7'!$C$7:$C$27,0),MATCH(D309&amp;E309,'Coeff EC7'!$D$5:$Q$5&amp;'Coeff EC7'!$D$6:$Q$6,0))</f>
        <v>#N/A</v>
      </c>
      <c r="O309" s="99" t="e">
        <f t="array" ref="O309">INDEX('Coeff EC7'!$D$41:$Q$61,MATCH($B$3,'Coeff EC7'!$C$41:$C$61,0),MATCH(D309&amp;E309,'Coeff EC7'!$D$39:$Q$39&amp;'Coeff EC7'!$D$40:$Q$40,0))</f>
        <v>#N/A</v>
      </c>
      <c r="P309" s="30" t="e">
        <f t="shared" si="466"/>
        <v>#N/A</v>
      </c>
      <c r="Q309" s="100" t="e">
        <f t="shared" si="433"/>
        <v>#N/A</v>
      </c>
      <c r="R309" s="86" t="b">
        <f t="shared" si="434"/>
        <v>0</v>
      </c>
      <c r="S309" s="86">
        <f t="shared" si="432"/>
        <v>0.5</v>
      </c>
      <c r="T309" s="86">
        <f t="shared" si="435"/>
        <v>0.5</v>
      </c>
      <c r="U309" s="30" t="e">
        <f t="shared" ca="1" si="467"/>
        <v>#DIV/0!</v>
      </c>
      <c r="V309" s="85" t="str">
        <f>IF(B309&lt;=Hypothèses!$V$7,Hypothèses!$W$7,IF(B309&lt;=Hypothèses!$V$8,Hypothèses!$W$8,IF(B309&lt;=Hypothèses!$V$9,Hypothèses!$W$9,IF(B309&lt;=Hypothèses!$V$10,Hypothèses!$W$10,IF(B309&lt;=Hypothèses!$V$11,Hypothèses!$W$11,IF(B309&lt;=Hypothèses!$V$12,Hypothèses!$W$12,IF(B309&lt;=Hypothèses!$V$13,Hypothèses!$W$13,IF(B309&lt;=Hypothèses!$V$14,Hypothèses!$W$14,IF(B309&lt;=Hypothèses!$V$15,Hypothèses!$W$15,IF(B309&lt;=Hypothèses!$V$16,Hypothèses!$W$16,IF(B309&lt;=Hypothèses!$V$17,Hypothèses!$W$17,IF(B309&lt;=Hypothèses!$V$18,Hypothèses!$W$18,""))))))))))))</f>
        <v/>
      </c>
      <c r="W309" s="87" t="e">
        <f t="shared" ca="1" si="516"/>
        <v>#DIV/0!</v>
      </c>
      <c r="X309" s="88" t="str">
        <f>IF(B309&lt;=Hypothèses!$V$7,Hypothèses!$X$7,IF(B309&lt;=Hypothèses!$V$8,Hypothèses!$X$8,IF(B309&lt;=Hypothèses!$V$9,Hypothèses!$X$9,IF(B309&lt;=Hypothèses!$V$10,Hypothèses!$X$10,IF(B309&lt;=Hypothèses!$V$11,Hypothèses!$X$11,IF(B309&lt;=Hypothèses!$V$12,Hypothèses!$X$12,IF(B309&lt;=Hypothèses!$V$13,Hypothèses!$X$13,IF(B309&lt;=Hypothèses!$V$14,Hypothèses!$X$14,IF(B309&lt;=Hypothèses!$V$15,Hypothèses!$X$15,IF(B309&lt;=Hypothèses!$V$16,Hypothèses!$X$16,IF(B309&lt;=Hypothèses!$U$17,Hypothèses!$W$17,IF(B309&lt;=Hypothèses!$U$18,Hypothèses!$W$18,""))))))))))))</f>
        <v/>
      </c>
      <c r="Y309" s="95" t="e">
        <f t="shared" ca="1" si="436"/>
        <v>#DIV/0!</v>
      </c>
      <c r="Z309" s="101">
        <f t="shared" si="437"/>
        <v>0</v>
      </c>
      <c r="AA309" s="91">
        <f t="shared" si="438"/>
        <v>0</v>
      </c>
      <c r="AB309" s="30" t="e">
        <f t="shared" si="500"/>
        <v>#N/A</v>
      </c>
      <c r="AC309" s="30" t="e">
        <f t="shared" si="501"/>
        <v>#N/A</v>
      </c>
      <c r="AD309" s="31" t="e">
        <f>IF(OR(Hypothèses!$B$4=17,Hypothèses!$B$4=18,Hypothèses!$B$4=19,Hypothèses!$B$4=20),
IF($D309="Pressio.",
IF(OR($E309=3,$E309=1,$E309=4),AC309,AB309),
IF($D309="Pénétro.",
IF(OR($E309=3,$E309=1,$E309=4),AC309,AB309))),IF($D309="Pressio.",
IF($E309=3,AC309,AB309),
IF($D309="Pénétro.",
IF($E309=4,AC309,AB309))))</f>
        <v>#N/A</v>
      </c>
      <c r="AE309" s="31">
        <v>0</v>
      </c>
      <c r="AF309" s="102" t="e">
        <f>IF(NDC!$H$10="Oui",(VLOOKUP($B$3,'Coeff EC7'!$T$39:$X$59,2,0)*AD309+VLOOKUP($B$3,'Coeff EC7'!$T$65:$X$85,2,0)*Model0.1T!AE309)/1.5,PI()*AB$12*$Q309*($B309-$B308)*0.15/10+AF308)</f>
        <v>#N/A</v>
      </c>
      <c r="AG309" s="102" t="e">
        <f>(VLOOKUP($B$3,'Coeff EC7'!$T$39:$X$59,3,0)*AD309+VLOOKUP($B$3,'Coeff EC7'!$T$65:$X$85,3,0)*Model0.1T!AE309)/1.1</f>
        <v>#N/A</v>
      </c>
      <c r="AH309" s="102" t="e">
        <f t="shared" si="468"/>
        <v>#N/A</v>
      </c>
      <c r="AI309" s="102" t="e">
        <f t="shared" si="469"/>
        <v>#N/A</v>
      </c>
      <c r="AJ309" s="414" t="e">
        <f>IF(AND(AF309&gt;NDC!$C$63,AG309&gt;NDC!$C$65,AH309&gt;NDC!$D$73,AI309&gt;NDC!$D$74,$B309&gt;NDC!$H$22-0.1+MIN(3*$AJ$12,1.5)),0,1)</f>
        <v>#N/A</v>
      </c>
      <c r="AK309" s="86" t="b">
        <f t="shared" si="439"/>
        <v>0</v>
      </c>
      <c r="AL309" s="86">
        <f t="shared" si="470"/>
        <v>0.5</v>
      </c>
      <c r="AM309" s="86">
        <f t="shared" si="440"/>
        <v>0.5</v>
      </c>
      <c r="AN309" s="30" t="e">
        <f t="shared" ca="1" si="471"/>
        <v>#DIV/0!</v>
      </c>
      <c r="AO309" s="85" t="e">
        <f ca="1">IF(U309&lt;=Hypothèses!$V$7,Hypothèses!$W$7,IF(U309&lt;=Hypothèses!$V$8,Hypothèses!$W$8,IF(U309&lt;=Hypothèses!$V$9,Hypothèses!$W$9,IF(U309&lt;=Hypothèses!$V$10,Hypothèses!$W$10,IF(U309&lt;=Hypothèses!$V$11,Hypothèses!$W$11,IF(U309&lt;=Hypothèses!$V$12,Hypothèses!$W$12,IF(U309&lt;=Hypothèses!$V$13,Hypothèses!$W$13,IF(U309&lt;=Hypothèses!$V$14,Hypothèses!$W$14,IF(U309&lt;=Hypothèses!$V$15,Hypothèses!$W$15,IF(U309&lt;=Hypothèses!$V$16,Hypothèses!$W$16,IF(U309&lt;=Hypothèses!$V$17,Hypothèses!$W$17,IF(U309&lt;=Hypothèses!$V$18,Hypothèses!$W$18,""))))))))))))</f>
        <v>#DIV/0!</v>
      </c>
      <c r="AP309" s="87" t="e">
        <f t="shared" ca="1" si="517"/>
        <v>#DIV/0!</v>
      </c>
      <c r="AQ309" s="88" t="e">
        <f ca="1">IF(U309&lt;=Hypothèses!$V$7,Hypothèses!$X$7,IF(U309&lt;=Hypothèses!$V$8,Hypothèses!$X$8,IF(U309&lt;=Hypothèses!$V$9,Hypothèses!$X$9,IF(U309&lt;=Hypothèses!$V$10,Hypothèses!$X$10,IF(U309&lt;=Hypothèses!$V$11,Hypothèses!$X$11,IF(U309&lt;=Hypothèses!$V$12,Hypothèses!$X$12,IF(U309&lt;=Hypothèses!$V$13,Hypothèses!$X$13,IF(U309&lt;=Hypothèses!$V$14,Hypothèses!$X$14,IF(U309&lt;=Hypothèses!$V$15,Hypothèses!$X$15,IF(U309&lt;=Hypothèses!$V$16,Hypothèses!$X$16,IF(U309&lt;=Hypothèses!$U$17,Hypothèses!$W$17,IF(U309&lt;=Hypothèses!$U$18,Hypothèses!$W$18,""))))))))))))</f>
        <v>#DIV/0!</v>
      </c>
      <c r="AR309" s="95" t="e">
        <f t="shared" ca="1" si="472"/>
        <v>#DIV/0!</v>
      </c>
      <c r="AS309" s="101">
        <f t="shared" si="524"/>
        <v>0</v>
      </c>
      <c r="AT309" s="91">
        <f t="shared" si="441"/>
        <v>0</v>
      </c>
      <c r="AU309" s="30" t="e">
        <f t="shared" si="502"/>
        <v>#N/A</v>
      </c>
      <c r="AV309" s="30" t="e">
        <f t="shared" si="503"/>
        <v>#N/A</v>
      </c>
      <c r="AW309" s="31" t="e">
        <f>IF(OR(Hypothèses!$B$4=17,Hypothèses!$B$4=18,Hypothèses!$B$4=19,Hypothèses!$B$4=20),
IF($D309="Pressio.",
IF(OR($E309=3,$E309=1,$E309=4),AV309,AU309),
IF($D309="Pénétro.",
IF(OR($E309=3,$E309=1,$E309=4),AV309,AU309))),IF($D309="Pressio.",
IF($E309=3,AV309,AU309),
IF($D309="Pénétro.",
IF($E309=4,AV309,AU309))))</f>
        <v>#N/A</v>
      </c>
      <c r="AX309" s="31">
        <v>0</v>
      </c>
      <c r="AY309" s="102" t="e">
        <f>IF(NDC!$H$10="Oui",(VLOOKUP($B$3,'Coeff EC7'!$T$39:$X$59,2,0)*AW309+VLOOKUP($B$3,'Coeff EC7'!$T$65:$X$85,2,0)*Model0.1T!AX309)/1.5,PI()*AU$12*$Q309*($B309-$B308)*0.15/10+AY308)</f>
        <v>#N/A</v>
      </c>
      <c r="AZ309" s="102" t="e">
        <f>(VLOOKUP($B$3,'Coeff EC7'!$T$39:$X$59,3,0)*AW309+VLOOKUP($B$3,'Coeff EC7'!$T$65:$X$85,3,0)*Model0.1T!AX309)/1.1</f>
        <v>#N/A</v>
      </c>
      <c r="BA309" s="102" t="e">
        <f t="shared" si="473"/>
        <v>#N/A</v>
      </c>
      <c r="BB309" s="102" t="e">
        <f t="shared" si="474"/>
        <v>#N/A</v>
      </c>
      <c r="BC309" s="414" t="e">
        <f>IF(AND(AY309&gt;NDC!$C$63,AZ309&gt;NDC!$C$65,BA309&gt;NDC!$D$73,BB309&gt;NDC!$D$74,$B309&gt;NDC!$H$22-0.1+MIN(3*BC$12,1.5)),0,1)</f>
        <v>#N/A</v>
      </c>
      <c r="BD309" s="86" t="b">
        <f t="shared" si="442"/>
        <v>0</v>
      </c>
      <c r="BE309" s="86">
        <f t="shared" si="475"/>
        <v>0.5</v>
      </c>
      <c r="BF309" s="86">
        <f t="shared" si="443"/>
        <v>0.5</v>
      </c>
      <c r="BG309" s="30" t="e">
        <f t="shared" ca="1" si="476"/>
        <v>#DIV/0!</v>
      </c>
      <c r="BH309" s="85" t="e">
        <f ca="1">IF(AN309&lt;=Hypothèses!$V$7,Hypothèses!$W$7,IF(AN309&lt;=Hypothèses!$V$8,Hypothèses!$W$8,IF(AN309&lt;=Hypothèses!$V$9,Hypothèses!$W$9,IF(AN309&lt;=Hypothèses!$V$10,Hypothèses!$W$10,IF(AN309&lt;=Hypothèses!$V$11,Hypothèses!$W$11,IF(AN309&lt;=Hypothèses!$V$12,Hypothèses!$W$12,IF(AN309&lt;=Hypothèses!$V$13,Hypothèses!$W$13,IF(AN309&lt;=Hypothèses!$V$14,Hypothèses!$W$14,IF(AN309&lt;=Hypothèses!$V$15,Hypothèses!$W$15,IF(AN309&lt;=Hypothèses!$V$16,Hypothèses!$W$16,IF(AN309&lt;=Hypothèses!$V$17,Hypothèses!$W$17,IF(AN309&lt;=Hypothèses!$V$18,Hypothèses!$W$18,""))))))))))))</f>
        <v>#DIV/0!</v>
      </c>
      <c r="BI309" s="87" t="e">
        <f t="shared" ca="1" si="518"/>
        <v>#DIV/0!</v>
      </c>
      <c r="BJ309" s="88" t="e">
        <f ca="1">IF(AN309&lt;=Hypothèses!$V$7,Hypothèses!$X$7,IF(AN309&lt;=Hypothèses!$V$8,Hypothèses!$X$8,IF(AN309&lt;=Hypothèses!$V$9,Hypothèses!$X$9,IF(AN309&lt;=Hypothèses!$V$10,Hypothèses!$X$10,IF(AN309&lt;=Hypothèses!$V$11,Hypothèses!$X$11,IF(AN309&lt;=Hypothèses!$V$12,Hypothèses!$X$12,IF(AN309&lt;=Hypothèses!$V$13,Hypothèses!$X$13,IF(AN309&lt;=Hypothèses!$V$14,Hypothèses!$X$14,IF(AN309&lt;=Hypothèses!$V$15,Hypothèses!$X$15,IF(AN309&lt;=Hypothèses!$V$16,Hypothèses!$X$16,IF(AN309&lt;=Hypothèses!$U$17,Hypothèses!$W$17,IF(AN309&lt;=Hypothèses!$U$18,Hypothèses!$W$18,""))))))))))))</f>
        <v>#DIV/0!</v>
      </c>
      <c r="BK309" s="95" t="e">
        <f t="shared" ca="1" si="477"/>
        <v>#DIV/0!</v>
      </c>
      <c r="BL309" s="101">
        <f t="shared" si="525"/>
        <v>0</v>
      </c>
      <c r="BM309" s="91">
        <f t="shared" si="444"/>
        <v>0</v>
      </c>
      <c r="BN309" s="30" t="e">
        <f t="shared" si="504"/>
        <v>#N/A</v>
      </c>
      <c r="BO309" s="30" t="e">
        <f t="shared" si="505"/>
        <v>#N/A</v>
      </c>
      <c r="BP309" s="31" t="e">
        <f>IF(OR(Hypothèses!$B$4=17,Hypothèses!$B$4=18,Hypothèses!$B$4=19,Hypothèses!$B$4=20),
IF($D309="Pressio.",
IF(OR($E309=3,$E309=1,$E309=4),BO309,BN309),
IF($D309="Pénétro.",
IF(OR($E309=3,$E309=1,$E309=4),BO309,BN309))),IF($D309="Pressio.",
IF($E309=3,BO309,BN309),
IF($D309="Pénétro.",
IF($E309=4,BO309,BN309))))</f>
        <v>#N/A</v>
      </c>
      <c r="BQ309" s="31">
        <v>0</v>
      </c>
      <c r="BR309" s="102" t="e">
        <f>IF(NDC!$H$10="Oui",(VLOOKUP($B$3,'Coeff EC7'!$T$39:$X$59,2,0)*BP309+VLOOKUP($B$3,'Coeff EC7'!$T$65:$X$85,2,0)*Model0.1T!BQ309)/1.5,PI()*BN$12*$Q309*($B309-$B308)*0.15/10+BR308)</f>
        <v>#N/A</v>
      </c>
      <c r="BS309" s="102" t="e">
        <f>(VLOOKUP($B$3,'Coeff EC7'!$T$39:$X$59,3,0)*BP309+VLOOKUP($B$3,'Coeff EC7'!$T$65:$X$85,3,0)*Model0.1T!BQ309)/1.1</f>
        <v>#N/A</v>
      </c>
      <c r="BT309" s="102" t="e">
        <f t="shared" si="478"/>
        <v>#N/A</v>
      </c>
      <c r="BU309" s="102" t="e">
        <f t="shared" si="479"/>
        <v>#N/A</v>
      </c>
      <c r="BV309" s="414" t="e">
        <f>IF(AND(BR309&gt;NDC!$C$63,BS309&gt;NDC!$C$65,BT309&gt;NDC!$D$73,BU309&gt;NDC!$D$74,$B309&gt;NDC!$H$22-0.1+MIN(3*BV$12,1.5)),0,1)</f>
        <v>#N/A</v>
      </c>
      <c r="BW309" s="86" t="b">
        <f t="shared" si="445"/>
        <v>0</v>
      </c>
      <c r="BX309" s="86">
        <f t="shared" si="446"/>
        <v>0.5</v>
      </c>
      <c r="BY309" s="86">
        <f t="shared" si="447"/>
        <v>0.5</v>
      </c>
      <c r="BZ309" s="30" t="e">
        <f t="shared" ca="1" si="480"/>
        <v>#DIV/0!</v>
      </c>
      <c r="CA309" s="85" t="e">
        <f ca="1">IF(BG309&lt;=Hypothèses!$V$7,Hypothèses!$W$7,IF(BG309&lt;=Hypothèses!$V$8,Hypothèses!$W$8,IF(BG309&lt;=Hypothèses!$V$9,Hypothèses!$W$9,IF(BG309&lt;=Hypothèses!$V$10,Hypothèses!$W$10,IF(BG309&lt;=Hypothèses!$V$11,Hypothèses!$W$11,IF(BG309&lt;=Hypothèses!$V$12,Hypothèses!$W$12,IF(BG309&lt;=Hypothèses!$V$13,Hypothèses!$W$13,IF(BG309&lt;=Hypothèses!$V$14,Hypothèses!$W$14,IF(BG309&lt;=Hypothèses!$V$15,Hypothèses!$W$15,IF(BG309&lt;=Hypothèses!$V$16,Hypothèses!$W$16,IF(BG309&lt;=Hypothèses!$V$17,Hypothèses!$W$17,IF(BG309&lt;=Hypothèses!$V$18,Hypothèses!$W$18,""))))))))))))</f>
        <v>#DIV/0!</v>
      </c>
      <c r="CB309" s="87" t="e">
        <f t="shared" ca="1" si="519"/>
        <v>#DIV/0!</v>
      </c>
      <c r="CC309" s="88" t="e">
        <f ca="1">IF(BG309&lt;=Hypothèses!$V$7,Hypothèses!$X$7,IF(BG309&lt;=Hypothèses!$V$8,Hypothèses!$X$8,IF(BG309&lt;=Hypothèses!$V$9,Hypothèses!$X$9,IF(BG309&lt;=Hypothèses!$V$10,Hypothèses!$X$10,IF(BG309&lt;=Hypothèses!$V$11,Hypothèses!$X$11,IF(BG309&lt;=Hypothèses!$V$12,Hypothèses!$X$12,IF(BG309&lt;=Hypothèses!$V$13,Hypothèses!$X$13,IF(BG309&lt;=Hypothèses!$V$14,Hypothèses!$X$14,IF(BG309&lt;=Hypothèses!$V$15,Hypothèses!$X$15,IF(BG309&lt;=Hypothèses!$V$16,Hypothèses!$X$16,IF(BG309&lt;=Hypothèses!$U$17,Hypothèses!$W$17,IF(BG309&lt;=Hypothèses!$U$18,Hypothèses!$W$18,""))))))))))))</f>
        <v>#DIV/0!</v>
      </c>
      <c r="CD309" s="95" t="e">
        <f t="shared" ca="1" si="481"/>
        <v>#DIV/0!</v>
      </c>
      <c r="CE309" s="101">
        <f t="shared" si="526"/>
        <v>0</v>
      </c>
      <c r="CF309" s="91">
        <f t="shared" si="448"/>
        <v>0</v>
      </c>
      <c r="CG309" s="30" t="e">
        <f t="shared" si="506"/>
        <v>#N/A</v>
      </c>
      <c r="CH309" s="30" t="e">
        <f t="shared" si="507"/>
        <v>#N/A</v>
      </c>
      <c r="CI309" s="31" t="e">
        <f>IF(OR(Hypothèses!$B$4=17,Hypothèses!$B$4=18,Hypothèses!$B$4=19,Hypothèses!$B$4=20),
IF($D309="Pressio.",
IF(OR($E309=3,$E309=1,$E309=4),CH309,CG309),
IF($D309="Pénétro.",
IF(OR($E309=3,$E309=1,$E309=4),CH309,CG309))),IF($D309="Pressio.",
IF($E309=3,CH309,CG309),
IF($D309="Pénétro.",
IF($E309=4,CH309,CG309))))</f>
        <v>#N/A</v>
      </c>
      <c r="CJ309" s="31">
        <v>0</v>
      </c>
      <c r="CK309" s="102" t="e">
        <f>IF(NDC!$H$10="Oui",(VLOOKUP($B$3,'Coeff EC7'!$T$39:$X$59,2,0)*CI309+VLOOKUP($B$3,'Coeff EC7'!$T$65:$X$85,2,0)*Model0.1T!CJ309)/1.5,PI()*CG$12*$Q309*($B309-$B308)*0.15/10+CK308)</f>
        <v>#N/A</v>
      </c>
      <c r="CL309" s="102" t="e">
        <f>(VLOOKUP($B$3,'Coeff EC7'!$T$39:$X$59,3,0)*CI309+VLOOKUP($B$3,'Coeff EC7'!$T$65:$X$85,3,0)*Model0.1T!CJ309)/1.1</f>
        <v>#N/A</v>
      </c>
      <c r="CM309" s="102" t="e">
        <f t="shared" si="482"/>
        <v>#N/A</v>
      </c>
      <c r="CN309" s="102" t="e">
        <f t="shared" si="483"/>
        <v>#N/A</v>
      </c>
      <c r="CO309" s="414" t="e">
        <f>IF(AND(CK309&gt;NDC!$C$63,CL309&gt;NDC!$C$65,CM309&gt;NDC!$D$73,CN309&gt;NDC!$D$74,$B309&gt;NDC!$H$22-0.1+MIN(3*CO$12,1.5)),0,1)</f>
        <v>#N/A</v>
      </c>
      <c r="CP309" s="86" t="b">
        <f t="shared" si="449"/>
        <v>0</v>
      </c>
      <c r="CQ309" s="86">
        <f t="shared" si="450"/>
        <v>0.5</v>
      </c>
      <c r="CR309" s="86">
        <f t="shared" si="451"/>
        <v>0.5</v>
      </c>
      <c r="CS309" s="30" t="e">
        <f t="shared" ca="1" si="484"/>
        <v>#DIV/0!</v>
      </c>
      <c r="CT309" s="85" t="e">
        <f ca="1">IF(BZ309&lt;=Hypothèses!$V$7,Hypothèses!$W$7,IF(BZ309&lt;=Hypothèses!$V$8,Hypothèses!$W$8,IF(BZ309&lt;=Hypothèses!$V$9,Hypothèses!$W$9,IF(BZ309&lt;=Hypothèses!$V$10,Hypothèses!$W$10,IF(BZ309&lt;=Hypothèses!$V$11,Hypothèses!$W$11,IF(BZ309&lt;=Hypothèses!$V$12,Hypothèses!$W$12,IF(BZ309&lt;=Hypothèses!$V$13,Hypothèses!$W$13,IF(BZ309&lt;=Hypothèses!$V$14,Hypothèses!$W$14,IF(BZ309&lt;=Hypothèses!$V$15,Hypothèses!$W$15,IF(BZ309&lt;=Hypothèses!$V$16,Hypothèses!$W$16,IF(BZ309&lt;=Hypothèses!$V$17,Hypothèses!$W$17,IF(BZ309&lt;=Hypothèses!$V$18,Hypothèses!$W$18,""))))))))))))</f>
        <v>#DIV/0!</v>
      </c>
      <c r="CU309" s="87" t="e">
        <f t="shared" ca="1" si="520"/>
        <v>#DIV/0!</v>
      </c>
      <c r="CV309" s="88" t="e">
        <f ca="1">IF(BZ309&lt;=Hypothèses!$V$7,Hypothèses!$X$7,IF(BZ309&lt;=Hypothèses!$V$8,Hypothèses!$X$8,IF(BZ309&lt;=Hypothèses!$V$9,Hypothèses!$X$9,IF(BZ309&lt;=Hypothèses!$V$10,Hypothèses!$X$10,IF(BZ309&lt;=Hypothèses!$V$11,Hypothèses!$X$11,IF(BZ309&lt;=Hypothèses!$V$12,Hypothèses!$X$12,IF(BZ309&lt;=Hypothèses!$V$13,Hypothèses!$X$13,IF(BZ309&lt;=Hypothèses!$V$14,Hypothèses!$X$14,IF(BZ309&lt;=Hypothèses!$V$15,Hypothèses!$X$15,IF(BZ309&lt;=Hypothèses!$V$16,Hypothèses!$X$16,IF(BZ309&lt;=Hypothèses!$U$17,Hypothèses!$W$17,IF(BZ309&lt;=Hypothèses!$U$18,Hypothèses!$W$18,""))))))))))))</f>
        <v>#DIV/0!</v>
      </c>
      <c r="CW309" s="95" t="e">
        <f t="shared" ca="1" si="485"/>
        <v>#DIV/0!</v>
      </c>
      <c r="CX309" s="101">
        <f t="shared" si="527"/>
        <v>0</v>
      </c>
      <c r="CY309" s="91">
        <f t="shared" si="452"/>
        <v>0</v>
      </c>
      <c r="CZ309" s="30" t="e">
        <f t="shared" si="508"/>
        <v>#N/A</v>
      </c>
      <c r="DA309" s="30" t="e">
        <f t="shared" si="509"/>
        <v>#N/A</v>
      </c>
      <c r="DB309" s="31" t="e">
        <f>IF(OR(Hypothèses!$B$4=17,Hypothèses!$B$4=18,Hypothèses!$B$4=19,Hypothèses!$B$4=20),
IF($D309="Pressio.",
IF(OR($E309=3,$E309=1,$E309=4),DA309,CZ309),
IF($D309="Pénétro.",
IF(OR($E309=3,$E309=1,$E309=4),DA309,CZ309))),IF($D309="Pressio.",
IF($E309=3,DA309,CZ309),
IF($D309="Pénétro.",
IF($E309=4,DA309,CZ309))))</f>
        <v>#N/A</v>
      </c>
      <c r="DC309" s="31">
        <v>0</v>
      </c>
      <c r="DD309" s="102" t="e">
        <f>IF(NDC!$H$10="Oui",(VLOOKUP($B$3,'Coeff EC7'!$T$39:$X$59,2,0)*DB309+VLOOKUP($B$3,'Coeff EC7'!$T$65:$X$85,2,0)*Model0.1T!DC309)/1.5,PI()*CZ$12*$Q309*($B309-$B308)*0.15/10+DD308)</f>
        <v>#N/A</v>
      </c>
      <c r="DE309" s="102" t="e">
        <f>(VLOOKUP($B$3,'Coeff EC7'!$T$39:$X$59,3,0)*DB309+VLOOKUP($B$3,'Coeff EC7'!$T$65:$X$85,3,0)*Model0.1T!DC309)/1.1</f>
        <v>#N/A</v>
      </c>
      <c r="DF309" s="102" t="e">
        <f t="shared" si="486"/>
        <v>#N/A</v>
      </c>
      <c r="DG309" s="102" t="e">
        <f t="shared" si="487"/>
        <v>#N/A</v>
      </c>
      <c r="DH309" s="414" t="e">
        <f>IF(AND(DD309&gt;NDC!$C$63,DE309&gt;NDC!$C$65,DF309&gt;NDC!$D$73,DG309&gt;NDC!$D$74,$B309&gt;NDC!$H$22-0.1+MIN(3*DH$12,1.5)),0,1)</f>
        <v>#N/A</v>
      </c>
      <c r="DI309" s="86" t="b">
        <f t="shared" si="453"/>
        <v>0</v>
      </c>
      <c r="DJ309" s="86">
        <f t="shared" si="454"/>
        <v>0.5</v>
      </c>
      <c r="DK309" s="86">
        <f t="shared" si="455"/>
        <v>0.5</v>
      </c>
      <c r="DL309" s="30" t="e">
        <f t="shared" ca="1" si="488"/>
        <v>#DIV/0!</v>
      </c>
      <c r="DM309" s="85" t="e">
        <f ca="1">IF(CS309&lt;=Hypothèses!$V$7,Hypothèses!$W$7,IF(CS309&lt;=Hypothèses!$V$8,Hypothèses!$W$8,IF(CS309&lt;=Hypothèses!$V$9,Hypothèses!$W$9,IF(CS309&lt;=Hypothèses!$V$10,Hypothèses!$W$10,IF(CS309&lt;=Hypothèses!$V$11,Hypothèses!$W$11,IF(CS309&lt;=Hypothèses!$V$12,Hypothèses!$W$12,IF(CS309&lt;=Hypothèses!$V$13,Hypothèses!$W$13,IF(CS309&lt;=Hypothèses!$V$14,Hypothèses!$W$14,IF(CS309&lt;=Hypothèses!$V$15,Hypothèses!$W$15,IF(CS309&lt;=Hypothèses!$V$16,Hypothèses!$W$16,IF(CS309&lt;=Hypothèses!$V$17,Hypothèses!$W$17,IF(CS309&lt;=Hypothèses!$V$18,Hypothèses!$W$18,""))))))))))))</f>
        <v>#DIV/0!</v>
      </c>
      <c r="DN309" s="87" t="e">
        <f t="shared" ca="1" si="521"/>
        <v>#DIV/0!</v>
      </c>
      <c r="DO309" s="88" t="e">
        <f ca="1">IF(CS309&lt;=Hypothèses!$V$7,Hypothèses!$X$7,IF(CS309&lt;=Hypothèses!$V$8,Hypothèses!$X$8,IF(CS309&lt;=Hypothèses!$V$9,Hypothèses!$X$9,IF(CS309&lt;=Hypothèses!$V$10,Hypothèses!$X$10,IF(CS309&lt;=Hypothèses!$V$11,Hypothèses!$X$11,IF(CS309&lt;=Hypothèses!$V$12,Hypothèses!$X$12,IF(CS309&lt;=Hypothèses!$V$13,Hypothèses!$X$13,IF(CS309&lt;=Hypothèses!$V$14,Hypothèses!$X$14,IF(CS309&lt;=Hypothèses!$V$15,Hypothèses!$X$15,IF(CS309&lt;=Hypothèses!$V$16,Hypothèses!$X$16,IF(CS309&lt;=Hypothèses!$U$17,Hypothèses!$W$17,IF(CS309&lt;=Hypothèses!$U$18,Hypothèses!$W$18,""))))))))))))</f>
        <v>#DIV/0!</v>
      </c>
      <c r="DP309" s="95" t="e">
        <f t="shared" ca="1" si="489"/>
        <v>#DIV/0!</v>
      </c>
      <c r="DQ309" s="101">
        <f t="shared" si="528"/>
        <v>0</v>
      </c>
      <c r="DR309" s="91">
        <f t="shared" si="456"/>
        <v>0</v>
      </c>
      <c r="DS309" s="30" t="e">
        <f t="shared" si="510"/>
        <v>#N/A</v>
      </c>
      <c r="DT309" s="30" t="e">
        <f t="shared" si="511"/>
        <v>#N/A</v>
      </c>
      <c r="DU309" s="31" t="e">
        <f>IF(OR(Hypothèses!$B$4=17,Hypothèses!$B$4=18,Hypothèses!$B$4=19,Hypothèses!$B$4=20),
IF($D309="Pressio.",
IF(OR($E309=3,$E309=1,$E309=4),DT309,DS309),
IF($D309="Pénétro.",
IF(OR($E309=3,$E309=1,$E309=4),DT309,DS309))),IF($D309="Pressio.",
IF($E309=3,DT309,DS309),
IF($D309="Pénétro.",
IF($E309=4,DT309,DS309))))</f>
        <v>#N/A</v>
      </c>
      <c r="DV309" s="31">
        <v>0</v>
      </c>
      <c r="DW309" s="102" t="e">
        <f>IF(NDC!$H$10="Oui",(VLOOKUP($B$3,'Coeff EC7'!$T$39:$X$59,2,0)*DU309+VLOOKUP($B$3,'Coeff EC7'!$T$65:$X$85,2,0)*Model0.1T!DV309)/1.5,PI()*DS$12*$Q309*($B309-$B308)*0.15/10+DW308)</f>
        <v>#N/A</v>
      </c>
      <c r="DX309" s="102" t="e">
        <f>(VLOOKUP($B$3,'Coeff EC7'!$T$39:$X$59,3,0)*DU309+VLOOKUP($B$3,'Coeff EC7'!$T$65:$X$85,3,0)*Model0.1T!DV309)/1.1</f>
        <v>#N/A</v>
      </c>
      <c r="DY309" s="102" t="e">
        <f t="shared" si="490"/>
        <v>#N/A</v>
      </c>
      <c r="DZ309" s="102" t="e">
        <f t="shared" si="491"/>
        <v>#N/A</v>
      </c>
      <c r="EA309" s="414" t="e">
        <f>IF(AND(DW309&gt;NDC!$C$63,DX309&gt;NDC!$C$65,DY309&gt;NDC!$D$73,DZ309&gt;NDC!$D$74,$B309&gt;NDC!$H$22-0.1+MIN(3*EA$12,1.5)),0,1)</f>
        <v>#N/A</v>
      </c>
      <c r="EB309" s="86" t="b">
        <f t="shared" si="457"/>
        <v>0</v>
      </c>
      <c r="EC309" s="418">
        <f t="shared" si="458"/>
        <v>0.51</v>
      </c>
      <c r="ED309" s="86">
        <f t="shared" si="459"/>
        <v>0.51</v>
      </c>
      <c r="EE309" s="30" t="e">
        <f t="shared" ca="1" si="492"/>
        <v>#DIV/0!</v>
      </c>
      <c r="EF309" s="85" t="e">
        <f ca="1">IF(DL309&lt;=Hypothèses!$V$7,Hypothèses!$W$7,IF(DL309&lt;=Hypothèses!$V$8,Hypothèses!$W$8,IF(DL309&lt;=Hypothèses!$V$9,Hypothèses!$W$9,IF(DL309&lt;=Hypothèses!$V$10,Hypothèses!$W$10,IF(DL309&lt;=Hypothèses!$V$11,Hypothèses!$W$11,IF(DL309&lt;=Hypothèses!$V$12,Hypothèses!$W$12,IF(DL309&lt;=Hypothèses!$V$13,Hypothèses!$W$13,IF(DL309&lt;=Hypothèses!$V$14,Hypothèses!$W$14,IF(DL309&lt;=Hypothèses!$V$15,Hypothèses!$W$15,IF(DL309&lt;=Hypothèses!$V$16,Hypothèses!$W$16,IF(DL309&lt;=Hypothèses!$V$17,Hypothèses!$W$17,IF(DL309&lt;=Hypothèses!$V$18,Hypothèses!$W$18,""))))))))))))</f>
        <v>#DIV/0!</v>
      </c>
      <c r="EG309" s="87" t="e">
        <f t="shared" ca="1" si="522"/>
        <v>#DIV/0!</v>
      </c>
      <c r="EH309" s="88" t="e">
        <f ca="1">IF(DL309&lt;=Hypothèses!$V$7,Hypothèses!$X$7,IF(DL309&lt;=Hypothèses!$V$8,Hypothèses!$X$8,IF(DL309&lt;=Hypothèses!$V$9,Hypothèses!$X$9,IF(DL309&lt;=Hypothèses!$V$10,Hypothèses!$X$10,IF(DL309&lt;=Hypothèses!$V$11,Hypothèses!$X$11,IF(DL309&lt;=Hypothèses!$V$12,Hypothèses!$X$12,IF(DL309&lt;=Hypothèses!$V$13,Hypothèses!$X$13,IF(DL309&lt;=Hypothèses!$V$14,Hypothèses!$X$14,IF(DL309&lt;=Hypothèses!$V$15,Hypothèses!$X$15,IF(DL309&lt;=Hypothèses!$V$16,Hypothèses!$X$16,IF(DL309&lt;=Hypothèses!$U$17,Hypothèses!$W$17,IF(DL309&lt;=Hypothèses!$U$18,Hypothèses!$W$18,""))))))))))))</f>
        <v>#DIV/0!</v>
      </c>
      <c r="EI309" s="95" t="e">
        <f t="shared" ca="1" si="493"/>
        <v>#DIV/0!</v>
      </c>
      <c r="EJ309" s="101">
        <f t="shared" si="529"/>
        <v>0</v>
      </c>
      <c r="EK309" s="91">
        <f t="shared" si="460"/>
        <v>0</v>
      </c>
      <c r="EL309" s="30" t="e">
        <f t="shared" si="512"/>
        <v>#N/A</v>
      </c>
      <c r="EM309" s="30" t="e">
        <f t="shared" si="513"/>
        <v>#N/A</v>
      </c>
      <c r="EN309" s="31" t="e">
        <f>IF(OR(Hypothèses!$B$4=17,Hypothèses!$B$4=18,Hypothèses!$B$4=19,Hypothèses!$B$4=20),
IF($D309="Pressio.",
IF(OR($E309=3,$E309=1,$E309=4),EM309,EL309),
IF($D309="Pénétro.",
IF(OR($E309=3,$E309=1,$E309=4),EM309,EL309))),IF($D309="Pressio.",
IF($E309=3,EM309,EL309),
IF($D309="Pénétro.",
IF($E309=4,EM309,EL309))))</f>
        <v>#N/A</v>
      </c>
      <c r="EO309" s="31">
        <v>0</v>
      </c>
      <c r="EP309" s="102" t="e">
        <f>IF(NDC!$H$10="Oui",(VLOOKUP($B$3,'Coeff EC7'!$T$39:$X$59,2,0)*EN309+VLOOKUP($B$3,'Coeff EC7'!$T$65:$X$85,2,0)*Model0.1T!EO309)/1.5,PI()*EL$12*$Q309*($B309-$B308)*0.15/10+EP308)</f>
        <v>#N/A</v>
      </c>
      <c r="EQ309" s="102" t="e">
        <f>(VLOOKUP($B$3,'Coeff EC7'!$T$39:$X$59,3,0)*EN309+VLOOKUP($B$3,'Coeff EC7'!$T$65:$X$85,3,0)*Model0.1T!EO309)/1.1</f>
        <v>#N/A</v>
      </c>
      <c r="ER309" s="102" t="e">
        <f t="shared" si="494"/>
        <v>#N/A</v>
      </c>
      <c r="ES309" s="102" t="e">
        <f t="shared" si="495"/>
        <v>#N/A</v>
      </c>
      <c r="ET309" s="414" t="e">
        <f>IF(AND(EP309&gt;NDC!$C$63,EQ309&gt;NDC!$C$65,ER309&gt;NDC!$D$73,ES309&gt;NDC!$D$74,$B309&gt;NDC!$H$22-0.1+MIN(3*ET$12,1.5)),0,1)</f>
        <v>#N/A</v>
      </c>
      <c r="EU309" s="86" t="b">
        <f t="shared" si="461"/>
        <v>0</v>
      </c>
      <c r="EV309" s="86">
        <f t="shared" si="462"/>
        <v>0.61</v>
      </c>
      <c r="EW309" s="86">
        <f t="shared" si="463"/>
        <v>0.61</v>
      </c>
      <c r="EX309" s="30" t="e">
        <f t="shared" ca="1" si="496"/>
        <v>#DIV/0!</v>
      </c>
      <c r="EY309" s="85" t="e">
        <f ca="1">IF(EE309&lt;=Hypothèses!$V$7,Hypothèses!$W$7,IF(EE309&lt;=Hypothèses!$V$8,Hypothèses!$W$8,IF(EE309&lt;=Hypothèses!$V$9,Hypothèses!$W$9,IF(EE309&lt;=Hypothèses!$V$10,Hypothèses!$W$10,IF(EE309&lt;=Hypothèses!$V$11,Hypothèses!$W$11,IF(EE309&lt;=Hypothèses!$V$12,Hypothèses!$W$12,IF(EE309&lt;=Hypothèses!$V$13,Hypothèses!$W$13,IF(EE309&lt;=Hypothèses!$V$14,Hypothèses!$W$14,IF(EE309&lt;=Hypothèses!$V$15,Hypothèses!$W$15,IF(EE309&lt;=Hypothèses!$V$16,Hypothèses!$W$16,IF(EE309&lt;=Hypothèses!$V$17,Hypothèses!$W$17,IF(EE309&lt;=Hypothèses!$V$18,Hypothèses!$W$18,""))))))))))))</f>
        <v>#DIV/0!</v>
      </c>
      <c r="EZ309" s="87" t="e">
        <f t="shared" ca="1" si="523"/>
        <v>#DIV/0!</v>
      </c>
      <c r="FA309" s="88" t="e">
        <f ca="1">IF(EE309&lt;=Hypothèses!$V$7,Hypothèses!$X$7,IF(EE309&lt;=Hypothèses!$V$8,Hypothèses!$X$8,IF(EE309&lt;=Hypothèses!$V$9,Hypothèses!$X$9,IF(EE309&lt;=Hypothèses!$V$10,Hypothèses!$X$10,IF(EE309&lt;=Hypothèses!$V$11,Hypothèses!$X$11,IF(EE309&lt;=Hypothèses!$V$12,Hypothèses!$X$12,IF(EE309&lt;=Hypothèses!$V$13,Hypothèses!$X$13,IF(EE309&lt;=Hypothèses!$V$14,Hypothèses!$X$14,IF(EE309&lt;=Hypothèses!$V$15,Hypothèses!$X$15,IF(EE309&lt;=Hypothèses!$V$16,Hypothèses!$X$16,IF(EE309&lt;=Hypothèses!$U$17,Hypothèses!$W$17,IF(EE309&lt;=Hypothèses!$U$18,Hypothèses!$W$18,""))))))))))))</f>
        <v>#DIV/0!</v>
      </c>
      <c r="FB309" s="95" t="e">
        <f t="shared" ca="1" si="497"/>
        <v>#DIV/0!</v>
      </c>
      <c r="FC309" s="101">
        <f t="shared" si="530"/>
        <v>0</v>
      </c>
      <c r="FD309" s="91">
        <f t="shared" si="464"/>
        <v>0</v>
      </c>
      <c r="FE309" s="30" t="e">
        <f t="shared" si="514"/>
        <v>#N/A</v>
      </c>
      <c r="FF309" s="30" t="e">
        <f t="shared" si="515"/>
        <v>#N/A</v>
      </c>
      <c r="FG309" s="31" t="e">
        <f>IF(OR(Hypothèses!$B$4=17,Hypothèses!$B$4=18,Hypothèses!$B$4=19,Hypothèses!$B$4=20),
IF($D309="Pressio.",
IF(OR($E309=3,$E309=1,$E309=4),FF309,FE309),
IF($D309="Pénétro.",
IF(OR($E309=3,$E309=1,$E309=4),FF309,FE309))),IF($D309="Pressio.",
IF($E309=3,FF309,FE309),
IF($D309="Pénétro.",
IF($E309=4,FF309,FE309))))</f>
        <v>#N/A</v>
      </c>
      <c r="FH309" s="31">
        <v>0</v>
      </c>
      <c r="FI309" s="102" t="e">
        <f>IF(NDC!$H$10="Oui",(VLOOKUP($B$3,'Coeff EC7'!$T$39:$X$59,2,0)*FG309+VLOOKUP($B$3,'Coeff EC7'!$T$65:$X$85,2,0)*Model0.1T!FH309)/1.5,PI()*FE$12*$Q309*($B309-$B308)*0.15/10+FI308)</f>
        <v>#N/A</v>
      </c>
      <c r="FJ309" s="102" t="e">
        <f>(VLOOKUP($B$3,'Coeff EC7'!$T$39:$X$59,3,0)*FG309+VLOOKUP($B$3,'Coeff EC7'!$T$65:$X$85,3,0)*Model0.1T!FH309)/1.1</f>
        <v>#N/A</v>
      </c>
      <c r="FK309" s="102" t="e">
        <f t="shared" si="498"/>
        <v>#N/A</v>
      </c>
      <c r="FL309" s="102" t="e">
        <f t="shared" si="499"/>
        <v>#N/A</v>
      </c>
      <c r="FM309" s="414" t="e">
        <f>IF(AND(FI309&gt;NDC!$C$63,FJ309&gt;NDC!$C$65,FK309&gt;NDC!$D$73,FL309&gt;NDC!$D$74,$B309&gt;NDC!$H$22-0.1+MIN(3*FM$12,1.5)),0,1)</f>
        <v>#N/A</v>
      </c>
    </row>
    <row r="310" spans="1:169">
      <c r="A310" s="96">
        <f t="shared" si="465"/>
        <v>70.300000000001688</v>
      </c>
      <c r="B310" s="97">
        <v>29.7</v>
      </c>
      <c r="C310" s="81">
        <f>IF(B310&lt;=Hypothèses!$C$7,Hypothèses!$A$7,IF(B310&lt;=Hypothèses!$C$8,Hypothèses!$A$8,IF(B310&lt;=Hypothèses!$C$9,Hypothèses!$A$9,IF(B310&lt;=Hypothèses!$C$10,Hypothèses!$A$10,IF(B310&lt;=Hypothèses!$C$11,Hypothèses!$A$11,IF(B310&lt;=Hypothèses!$C$12,Hypothèses!$A$12,IF(B310&lt;=Hypothèses!$C$13,Hypothèses!$A$13,IF(B310&lt;=Hypothèses!$C$14,Hypothèses!$A$14,IF(B310&lt;=Hypothèses!$C$15,Hypothèses!$A$15,IF(B310&lt;=Hypothèses!$C$16,Hypothèses!$A$16,IF(B310&lt;=Hypothèses!$C$17,Hypothèses!$A$17,IF(B310&lt;=Hypothèses!$C$18,Hypothèses!$A$18,C309))))))))))))</f>
        <v>11</v>
      </c>
      <c r="D310" s="82" t="str">
        <f>IF(B310&lt;=Hypothèses!$C$7,Hypothèses!$R$7,IF(B310&lt;=Hypothèses!$C$8,Hypothèses!$R$8,IF(B310&lt;=Hypothèses!$C$9,Hypothèses!$R$9,IF(B310&lt;=Hypothèses!$C$10,Hypothèses!$R$10,IF(B310&lt;=Hypothèses!$C$11,Hypothèses!$R$11,IF(B310&lt;=Hypothèses!$C$12,Hypothèses!$R$12,IF(B310&lt;=Hypothèses!$C$13,Hypothèses!$R$13,IF(B310&lt;=Hypothèses!$C$14,Hypothèses!$R$14,IF(B310&lt;=Hypothèses!$C$15,Hypothèses!$R$15,IF(B310&lt;=Hypothèses!$C$16,Hypothèses!$R$16,IF(B310&lt;=Hypothèses!$C$17,Hypothèses!$R$17,IF(B310&lt;=Hypothèses!$C$18,Hypothèses!$R$18,D309))))))))))))</f>
        <v>Pressio.</v>
      </c>
      <c r="E310" s="82" t="e">
        <f>IF(B310&lt;=Hypothèses!$C$7,Hypothèses!$G$7,IF(B310&lt;=Hypothèses!$C$8,Hypothèses!$G$8,IF(B310&lt;=Hypothèses!$C$9,Hypothèses!$G$9,IF(B310&lt;=Hypothèses!$C$10,Hypothèses!$G$10,IF(B310&lt;=Hypothèses!$C$11,Hypothèses!$G$11,IF(B310&lt;=Hypothèses!$C$12,Hypothèses!$G$12,IF(B310&lt;=Hypothèses!$C$13,Hypothèses!$G$13,IF(B310&lt;=Hypothèses!$C$14,Hypothèses!$G$14,IF(B310&lt;=Hypothèses!$C$15,Hypothèses!$G$15,IF(B310&lt;=Hypothèses!$C$16,Hypothèses!$G$16,IF(B310&lt;=Hypothèses!$C$17,Hypothèses!$G$17,IF(B310&lt;=Hypothèses!$C$18,Hypothèses!$G$18,E309))))))))))))</f>
        <v>#N/A</v>
      </c>
      <c r="F310" s="82" t="str">
        <f>IF(B310&lt;=Hypothèses!$C$7,Hypothèses!$F$7,IF(B310&lt;=Hypothèses!$C$8,Hypothèses!$F$8,IF(B310&lt;=Hypothèses!$C$9,Hypothèses!$F$9,IF(B310&lt;=Hypothèses!$C$10,Hypothèses!$F$10,IF(B310&lt;=Hypothèses!$C$11,Hypothèses!$F$11,IF(B310&lt;=Hypothèses!$C$12,Hypothèses!$F$12,IF(B310&lt;=Hypothèses!$C$13,Hypothèses!$F$13,IF(B310&lt;=Hypothèses!$C$14,Hypothèses!$F$14,IF(B310&lt;=Hypothèses!$C$15,Hypothèses!$F$15,IF(B310&lt;=Hypothèses!$C$16,Hypothèses!$F$16,IF(B310&lt;=Hypothèses!$C$17,Hypothèses!$F$17,IF(B310&lt;=Hypothèses!$C$18,Hypothèses!$F$18,F309))))))))))))</f>
        <v/>
      </c>
      <c r="G310" s="91">
        <f t="array" ref="G310">INDEX('Coeff EC7'!$U$7:$X$27,
MATCH(Model0.1T!$B$3,'Coeff EC7'!$T$7:$T$27,0),
MATCH(Model0.1T!$D310&amp;Model0.1T!$B$4,
'Coeff EC7'!$U$6:$X$6&amp;
'Coeff EC7'!$U$5:$X$5,0))</f>
        <v>1.4</v>
      </c>
      <c r="H310" s="91">
        <f t="array" ref="H310">INDEX('Coeff EC7'!$Y$7:$AB$27,
MATCH(Model0.1T!$B$3,'Coeff EC7'!$T$7:$T$27,0),
MATCH(Model0.1T!$D310&amp;Model0.1T!$B$4,
'Coeff EC7'!$Y$6:$AB$6&amp;
'Coeff EC7'!$Y$5:$AB$5,0))</f>
        <v>1.7</v>
      </c>
      <c r="I310" s="83">
        <v>0</v>
      </c>
      <c r="J310" s="91" t="e">
        <f t="array" ref="J310">INDEX('Coeff EC7'!$D$33:$Q$33,1,MATCH(D310&amp;E310,'Coeff EC7'!$D$31:$Q$31&amp;'Coeff EC7'!$D$32:$Q$32,0))</f>
        <v>#N/A</v>
      </c>
      <c r="K310" s="91" t="e">
        <f t="array" ref="K310">INDEX('Coeff EC7'!$D$34:$Q$34,1,MATCH(D310&amp;E310,'Coeff EC7'!$D$31:$Q$31&amp;'Coeff EC7'!$D$32:$Q$32,0))</f>
        <v>#N/A</v>
      </c>
      <c r="L310" s="91" t="e">
        <f t="array" ref="L310">INDEX('Coeff EC7'!$D$35:$Q$35,1,MATCH(D310&amp;E310,'Coeff EC7'!$D$31:$Q$31&amp;'Coeff EC7'!$D$32:$Q$32,0))</f>
        <v>#N/A</v>
      </c>
      <c r="M310" s="98" t="e">
        <f t="shared" si="431"/>
        <v>#N/A</v>
      </c>
      <c r="N310" s="99" t="e">
        <f t="array" ref="N310">INDEX('Coeff EC7'!$D$7:$Q$27,MATCH($B$3,'Coeff EC7'!$C$7:$C$27,0),MATCH(D310&amp;E310,'Coeff EC7'!$D$5:$Q$5&amp;'Coeff EC7'!$D$6:$Q$6,0))</f>
        <v>#N/A</v>
      </c>
      <c r="O310" s="99" t="e">
        <f t="array" ref="O310">INDEX('Coeff EC7'!$D$41:$Q$61,MATCH($B$3,'Coeff EC7'!$C$41:$C$61,0),MATCH(D310&amp;E310,'Coeff EC7'!$D$39:$Q$39&amp;'Coeff EC7'!$D$40:$Q$40,0))</f>
        <v>#N/A</v>
      </c>
      <c r="P310" s="30" t="e">
        <f t="shared" si="466"/>
        <v>#N/A</v>
      </c>
      <c r="Q310" s="100" t="e">
        <f t="shared" si="433"/>
        <v>#N/A</v>
      </c>
      <c r="R310" s="86" t="b">
        <f t="shared" si="434"/>
        <v>0</v>
      </c>
      <c r="S310" s="86">
        <f t="shared" si="432"/>
        <v>0.5</v>
      </c>
      <c r="T310" s="86">
        <f t="shared" si="435"/>
        <v>0.5</v>
      </c>
      <c r="U310" s="30" t="e">
        <f t="shared" ca="1" si="467"/>
        <v>#DIV/0!</v>
      </c>
      <c r="V310" s="85" t="str">
        <f>IF(B310&lt;=Hypothèses!$V$7,Hypothèses!$W$7,IF(B310&lt;=Hypothèses!$V$8,Hypothèses!$W$8,IF(B310&lt;=Hypothèses!$V$9,Hypothèses!$W$9,IF(B310&lt;=Hypothèses!$V$10,Hypothèses!$W$10,IF(B310&lt;=Hypothèses!$V$11,Hypothèses!$W$11,IF(B310&lt;=Hypothèses!$V$12,Hypothèses!$W$12,IF(B310&lt;=Hypothèses!$V$13,Hypothèses!$W$13,IF(B310&lt;=Hypothèses!$V$14,Hypothèses!$W$14,IF(B310&lt;=Hypothèses!$V$15,Hypothèses!$W$15,IF(B310&lt;=Hypothèses!$V$16,Hypothèses!$W$16,IF(B310&lt;=Hypothèses!$V$17,Hypothèses!$W$17,IF(B310&lt;=Hypothèses!$V$18,Hypothèses!$W$18,""))))))))))))</f>
        <v/>
      </c>
      <c r="W310" s="87" t="e">
        <f t="shared" ca="1" si="516"/>
        <v>#DIV/0!</v>
      </c>
      <c r="X310" s="88" t="str">
        <f>IF(B310&lt;=Hypothèses!$V$7,Hypothèses!$X$7,IF(B310&lt;=Hypothèses!$V$8,Hypothèses!$X$8,IF(B310&lt;=Hypothèses!$V$9,Hypothèses!$X$9,IF(B310&lt;=Hypothèses!$V$10,Hypothèses!$X$10,IF(B310&lt;=Hypothèses!$V$11,Hypothèses!$X$11,IF(B310&lt;=Hypothèses!$V$12,Hypothèses!$X$12,IF(B310&lt;=Hypothèses!$V$13,Hypothèses!$X$13,IF(B310&lt;=Hypothèses!$V$14,Hypothèses!$X$14,IF(B310&lt;=Hypothèses!$V$15,Hypothèses!$X$15,IF(B310&lt;=Hypothèses!$V$16,Hypothèses!$X$16,IF(B310&lt;=Hypothèses!$U$17,Hypothèses!$W$17,IF(B310&lt;=Hypothèses!$U$18,Hypothèses!$W$18,""))))))))))))</f>
        <v/>
      </c>
      <c r="Y310" s="95" t="e">
        <f t="shared" ca="1" si="436"/>
        <v>#DIV/0!</v>
      </c>
      <c r="Z310" s="101">
        <f t="shared" si="437"/>
        <v>0</v>
      </c>
      <c r="AA310" s="91">
        <f t="shared" si="438"/>
        <v>0</v>
      </c>
      <c r="AB310" s="30" t="e">
        <f t="shared" si="500"/>
        <v>#N/A</v>
      </c>
      <c r="AC310" s="30" t="e">
        <f t="shared" si="501"/>
        <v>#N/A</v>
      </c>
      <c r="AD310" s="31" t="e">
        <f>IF(OR(Hypothèses!$B$4=17,Hypothèses!$B$4=18,Hypothèses!$B$4=19,Hypothèses!$B$4=20),
IF($D310="Pressio.",
IF(OR($E310=3,$E310=1,$E310=4),AC310,AB310),
IF($D310="Pénétro.",
IF(OR($E310=3,$E310=1,$E310=4),AC310,AB310))),IF($D310="Pressio.",
IF($E310=3,AC310,AB310),
IF($D310="Pénétro.",
IF($E310=4,AC310,AB310))))</f>
        <v>#N/A</v>
      </c>
      <c r="AE310" s="31">
        <v>0</v>
      </c>
      <c r="AF310" s="102" t="e">
        <f>IF(NDC!$H$10="Oui",(VLOOKUP($B$3,'Coeff EC7'!$T$39:$X$59,2,0)*AD310+VLOOKUP($B$3,'Coeff EC7'!$T$65:$X$85,2,0)*Model0.1T!AE310)/1.5,PI()*AB$12*$Q310*($B310-$B309)*0.15/10+AF309)</f>
        <v>#N/A</v>
      </c>
      <c r="AG310" s="102" t="e">
        <f>(VLOOKUP($B$3,'Coeff EC7'!$T$39:$X$59,3,0)*AD310+VLOOKUP($B$3,'Coeff EC7'!$T$65:$X$85,3,0)*Model0.1T!AE310)/1.1</f>
        <v>#N/A</v>
      </c>
      <c r="AH310" s="102" t="e">
        <f t="shared" si="468"/>
        <v>#N/A</v>
      </c>
      <c r="AI310" s="102" t="e">
        <f t="shared" si="469"/>
        <v>#N/A</v>
      </c>
      <c r="AJ310" s="414" t="e">
        <f>IF(AND(AF310&gt;NDC!$C$63,AG310&gt;NDC!$C$65,AH310&gt;NDC!$D$73,AI310&gt;NDC!$D$74,$B310&gt;NDC!$H$22-0.1+MIN(3*$AJ$12,1.5)),0,1)</f>
        <v>#N/A</v>
      </c>
      <c r="AK310" s="86" t="b">
        <f t="shared" si="439"/>
        <v>0</v>
      </c>
      <c r="AL310" s="86">
        <f t="shared" si="470"/>
        <v>0.5</v>
      </c>
      <c r="AM310" s="86">
        <f t="shared" si="440"/>
        <v>0.5</v>
      </c>
      <c r="AN310" s="30" t="e">
        <f t="shared" ca="1" si="471"/>
        <v>#DIV/0!</v>
      </c>
      <c r="AO310" s="85" t="e">
        <f ca="1">IF(U310&lt;=Hypothèses!$V$7,Hypothèses!$W$7,IF(U310&lt;=Hypothèses!$V$8,Hypothèses!$W$8,IF(U310&lt;=Hypothèses!$V$9,Hypothèses!$W$9,IF(U310&lt;=Hypothèses!$V$10,Hypothèses!$W$10,IF(U310&lt;=Hypothèses!$V$11,Hypothèses!$W$11,IF(U310&lt;=Hypothèses!$V$12,Hypothèses!$W$12,IF(U310&lt;=Hypothèses!$V$13,Hypothèses!$W$13,IF(U310&lt;=Hypothèses!$V$14,Hypothèses!$W$14,IF(U310&lt;=Hypothèses!$V$15,Hypothèses!$W$15,IF(U310&lt;=Hypothèses!$V$16,Hypothèses!$W$16,IF(U310&lt;=Hypothèses!$V$17,Hypothèses!$W$17,IF(U310&lt;=Hypothèses!$V$18,Hypothèses!$W$18,""))))))))))))</f>
        <v>#DIV/0!</v>
      </c>
      <c r="AP310" s="87" t="e">
        <f t="shared" ca="1" si="517"/>
        <v>#DIV/0!</v>
      </c>
      <c r="AQ310" s="88" t="e">
        <f ca="1">IF(U310&lt;=Hypothèses!$V$7,Hypothèses!$X$7,IF(U310&lt;=Hypothèses!$V$8,Hypothèses!$X$8,IF(U310&lt;=Hypothèses!$V$9,Hypothèses!$X$9,IF(U310&lt;=Hypothèses!$V$10,Hypothèses!$X$10,IF(U310&lt;=Hypothèses!$V$11,Hypothèses!$X$11,IF(U310&lt;=Hypothèses!$V$12,Hypothèses!$X$12,IF(U310&lt;=Hypothèses!$V$13,Hypothèses!$X$13,IF(U310&lt;=Hypothèses!$V$14,Hypothèses!$X$14,IF(U310&lt;=Hypothèses!$V$15,Hypothèses!$X$15,IF(U310&lt;=Hypothèses!$V$16,Hypothèses!$X$16,IF(U310&lt;=Hypothèses!$U$17,Hypothèses!$W$17,IF(U310&lt;=Hypothèses!$U$18,Hypothèses!$W$18,""))))))))))))</f>
        <v>#DIV/0!</v>
      </c>
      <c r="AR310" s="95" t="e">
        <f t="shared" ca="1" si="472"/>
        <v>#DIV/0!</v>
      </c>
      <c r="AS310" s="101">
        <f t="shared" si="524"/>
        <v>0</v>
      </c>
      <c r="AT310" s="91">
        <f t="shared" si="441"/>
        <v>0</v>
      </c>
      <c r="AU310" s="30" t="e">
        <f t="shared" si="502"/>
        <v>#N/A</v>
      </c>
      <c r="AV310" s="30" t="e">
        <f t="shared" si="503"/>
        <v>#N/A</v>
      </c>
      <c r="AW310" s="31" t="e">
        <f>IF(OR(Hypothèses!$B$4=17,Hypothèses!$B$4=18,Hypothèses!$B$4=19,Hypothèses!$B$4=20),
IF($D310="Pressio.",
IF(OR($E310=3,$E310=1,$E310=4),AV310,AU310),
IF($D310="Pénétro.",
IF(OR($E310=3,$E310=1,$E310=4),AV310,AU310))),IF($D310="Pressio.",
IF($E310=3,AV310,AU310),
IF($D310="Pénétro.",
IF($E310=4,AV310,AU310))))</f>
        <v>#N/A</v>
      </c>
      <c r="AX310" s="31">
        <v>0</v>
      </c>
      <c r="AY310" s="102" t="e">
        <f>IF(NDC!$H$10="Oui",(VLOOKUP($B$3,'Coeff EC7'!$T$39:$X$59,2,0)*AW310+VLOOKUP($B$3,'Coeff EC7'!$T$65:$X$85,2,0)*Model0.1T!AX310)/1.5,PI()*AU$12*$Q310*($B310-$B309)*0.15/10+AY309)</f>
        <v>#N/A</v>
      </c>
      <c r="AZ310" s="102" t="e">
        <f>(VLOOKUP($B$3,'Coeff EC7'!$T$39:$X$59,3,0)*AW310+VLOOKUP($B$3,'Coeff EC7'!$T$65:$X$85,3,0)*Model0.1T!AX310)/1.1</f>
        <v>#N/A</v>
      </c>
      <c r="BA310" s="102" t="e">
        <f t="shared" si="473"/>
        <v>#N/A</v>
      </c>
      <c r="BB310" s="102" t="e">
        <f t="shared" si="474"/>
        <v>#N/A</v>
      </c>
      <c r="BC310" s="414" t="e">
        <f>IF(AND(AY310&gt;NDC!$C$63,AZ310&gt;NDC!$C$65,BA310&gt;NDC!$D$73,BB310&gt;NDC!$D$74,$B310&gt;NDC!$H$22-0.1+MIN(3*BC$12,1.5)),0,1)</f>
        <v>#N/A</v>
      </c>
      <c r="BD310" s="86" t="b">
        <f t="shared" si="442"/>
        <v>0</v>
      </c>
      <c r="BE310" s="86">
        <f t="shared" si="475"/>
        <v>0.5</v>
      </c>
      <c r="BF310" s="86">
        <f t="shared" si="443"/>
        <v>0.5</v>
      </c>
      <c r="BG310" s="30" t="e">
        <f t="shared" ca="1" si="476"/>
        <v>#DIV/0!</v>
      </c>
      <c r="BH310" s="85" t="e">
        <f ca="1">IF(AN310&lt;=Hypothèses!$V$7,Hypothèses!$W$7,IF(AN310&lt;=Hypothèses!$V$8,Hypothèses!$W$8,IF(AN310&lt;=Hypothèses!$V$9,Hypothèses!$W$9,IF(AN310&lt;=Hypothèses!$V$10,Hypothèses!$W$10,IF(AN310&lt;=Hypothèses!$V$11,Hypothèses!$W$11,IF(AN310&lt;=Hypothèses!$V$12,Hypothèses!$W$12,IF(AN310&lt;=Hypothèses!$V$13,Hypothèses!$W$13,IF(AN310&lt;=Hypothèses!$V$14,Hypothèses!$W$14,IF(AN310&lt;=Hypothèses!$V$15,Hypothèses!$W$15,IF(AN310&lt;=Hypothèses!$V$16,Hypothèses!$W$16,IF(AN310&lt;=Hypothèses!$V$17,Hypothèses!$W$17,IF(AN310&lt;=Hypothèses!$V$18,Hypothèses!$W$18,""))))))))))))</f>
        <v>#DIV/0!</v>
      </c>
      <c r="BI310" s="87" t="e">
        <f t="shared" ca="1" si="518"/>
        <v>#DIV/0!</v>
      </c>
      <c r="BJ310" s="88" t="e">
        <f ca="1">IF(AN310&lt;=Hypothèses!$V$7,Hypothèses!$X$7,IF(AN310&lt;=Hypothèses!$V$8,Hypothèses!$X$8,IF(AN310&lt;=Hypothèses!$V$9,Hypothèses!$X$9,IF(AN310&lt;=Hypothèses!$V$10,Hypothèses!$X$10,IF(AN310&lt;=Hypothèses!$V$11,Hypothèses!$X$11,IF(AN310&lt;=Hypothèses!$V$12,Hypothèses!$X$12,IF(AN310&lt;=Hypothèses!$V$13,Hypothèses!$X$13,IF(AN310&lt;=Hypothèses!$V$14,Hypothèses!$X$14,IF(AN310&lt;=Hypothèses!$V$15,Hypothèses!$X$15,IF(AN310&lt;=Hypothèses!$V$16,Hypothèses!$X$16,IF(AN310&lt;=Hypothèses!$U$17,Hypothèses!$W$17,IF(AN310&lt;=Hypothèses!$U$18,Hypothèses!$W$18,""))))))))))))</f>
        <v>#DIV/0!</v>
      </c>
      <c r="BK310" s="95" t="e">
        <f t="shared" ca="1" si="477"/>
        <v>#DIV/0!</v>
      </c>
      <c r="BL310" s="101">
        <f t="shared" si="525"/>
        <v>0</v>
      </c>
      <c r="BM310" s="91">
        <f t="shared" si="444"/>
        <v>0</v>
      </c>
      <c r="BN310" s="30" t="e">
        <f t="shared" si="504"/>
        <v>#N/A</v>
      </c>
      <c r="BO310" s="30" t="e">
        <f t="shared" si="505"/>
        <v>#N/A</v>
      </c>
      <c r="BP310" s="31" t="e">
        <f>IF(OR(Hypothèses!$B$4=17,Hypothèses!$B$4=18,Hypothèses!$B$4=19,Hypothèses!$B$4=20),
IF($D310="Pressio.",
IF(OR($E310=3,$E310=1,$E310=4),BO310,BN310),
IF($D310="Pénétro.",
IF(OR($E310=3,$E310=1,$E310=4),BO310,BN310))),IF($D310="Pressio.",
IF($E310=3,BO310,BN310),
IF($D310="Pénétro.",
IF($E310=4,BO310,BN310))))</f>
        <v>#N/A</v>
      </c>
      <c r="BQ310" s="31">
        <v>0</v>
      </c>
      <c r="BR310" s="102" t="e">
        <f>IF(NDC!$H$10="Oui",(VLOOKUP($B$3,'Coeff EC7'!$T$39:$X$59,2,0)*BP310+VLOOKUP($B$3,'Coeff EC7'!$T$65:$X$85,2,0)*Model0.1T!BQ310)/1.5,PI()*BN$12*$Q310*($B310-$B309)*0.15/10+BR309)</f>
        <v>#N/A</v>
      </c>
      <c r="BS310" s="102" t="e">
        <f>(VLOOKUP($B$3,'Coeff EC7'!$T$39:$X$59,3,0)*BP310+VLOOKUP($B$3,'Coeff EC7'!$T$65:$X$85,3,0)*Model0.1T!BQ310)/1.1</f>
        <v>#N/A</v>
      </c>
      <c r="BT310" s="102" t="e">
        <f t="shared" si="478"/>
        <v>#N/A</v>
      </c>
      <c r="BU310" s="102" t="e">
        <f t="shared" si="479"/>
        <v>#N/A</v>
      </c>
      <c r="BV310" s="414" t="e">
        <f>IF(AND(BR310&gt;NDC!$C$63,BS310&gt;NDC!$C$65,BT310&gt;NDC!$D$73,BU310&gt;NDC!$D$74,$B310&gt;NDC!$H$22-0.1+MIN(3*BV$12,1.5)),0,1)</f>
        <v>#N/A</v>
      </c>
      <c r="BW310" s="86" t="b">
        <f t="shared" si="445"/>
        <v>0</v>
      </c>
      <c r="BX310" s="86">
        <f t="shared" si="446"/>
        <v>0.5</v>
      </c>
      <c r="BY310" s="86">
        <f t="shared" si="447"/>
        <v>0.5</v>
      </c>
      <c r="BZ310" s="30" t="e">
        <f t="shared" ca="1" si="480"/>
        <v>#DIV/0!</v>
      </c>
      <c r="CA310" s="85" t="e">
        <f ca="1">IF(BG310&lt;=Hypothèses!$V$7,Hypothèses!$W$7,IF(BG310&lt;=Hypothèses!$V$8,Hypothèses!$W$8,IF(BG310&lt;=Hypothèses!$V$9,Hypothèses!$W$9,IF(BG310&lt;=Hypothèses!$V$10,Hypothèses!$W$10,IF(BG310&lt;=Hypothèses!$V$11,Hypothèses!$W$11,IF(BG310&lt;=Hypothèses!$V$12,Hypothèses!$W$12,IF(BG310&lt;=Hypothèses!$V$13,Hypothèses!$W$13,IF(BG310&lt;=Hypothèses!$V$14,Hypothèses!$W$14,IF(BG310&lt;=Hypothèses!$V$15,Hypothèses!$W$15,IF(BG310&lt;=Hypothèses!$V$16,Hypothèses!$W$16,IF(BG310&lt;=Hypothèses!$V$17,Hypothèses!$W$17,IF(BG310&lt;=Hypothèses!$V$18,Hypothèses!$W$18,""))))))))))))</f>
        <v>#DIV/0!</v>
      </c>
      <c r="CB310" s="87" t="e">
        <f t="shared" ca="1" si="519"/>
        <v>#DIV/0!</v>
      </c>
      <c r="CC310" s="88" t="e">
        <f ca="1">IF(BG310&lt;=Hypothèses!$V$7,Hypothèses!$X$7,IF(BG310&lt;=Hypothèses!$V$8,Hypothèses!$X$8,IF(BG310&lt;=Hypothèses!$V$9,Hypothèses!$X$9,IF(BG310&lt;=Hypothèses!$V$10,Hypothèses!$X$10,IF(BG310&lt;=Hypothèses!$V$11,Hypothèses!$X$11,IF(BG310&lt;=Hypothèses!$V$12,Hypothèses!$X$12,IF(BG310&lt;=Hypothèses!$V$13,Hypothèses!$X$13,IF(BG310&lt;=Hypothèses!$V$14,Hypothèses!$X$14,IF(BG310&lt;=Hypothèses!$V$15,Hypothèses!$X$15,IF(BG310&lt;=Hypothèses!$V$16,Hypothèses!$X$16,IF(BG310&lt;=Hypothèses!$U$17,Hypothèses!$W$17,IF(BG310&lt;=Hypothèses!$U$18,Hypothèses!$W$18,""))))))))))))</f>
        <v>#DIV/0!</v>
      </c>
      <c r="CD310" s="95" t="e">
        <f t="shared" ca="1" si="481"/>
        <v>#DIV/0!</v>
      </c>
      <c r="CE310" s="101">
        <f t="shared" si="526"/>
        <v>0</v>
      </c>
      <c r="CF310" s="91">
        <f t="shared" si="448"/>
        <v>0</v>
      </c>
      <c r="CG310" s="30" t="e">
        <f t="shared" si="506"/>
        <v>#N/A</v>
      </c>
      <c r="CH310" s="30" t="e">
        <f t="shared" si="507"/>
        <v>#N/A</v>
      </c>
      <c r="CI310" s="31" t="e">
        <f>IF(OR(Hypothèses!$B$4=17,Hypothèses!$B$4=18,Hypothèses!$B$4=19,Hypothèses!$B$4=20),
IF($D310="Pressio.",
IF(OR($E310=3,$E310=1,$E310=4),CH310,CG310),
IF($D310="Pénétro.",
IF(OR($E310=3,$E310=1,$E310=4),CH310,CG310))),IF($D310="Pressio.",
IF($E310=3,CH310,CG310),
IF($D310="Pénétro.",
IF($E310=4,CH310,CG310))))</f>
        <v>#N/A</v>
      </c>
      <c r="CJ310" s="31">
        <v>0</v>
      </c>
      <c r="CK310" s="102" t="e">
        <f>IF(NDC!$H$10="Oui",(VLOOKUP($B$3,'Coeff EC7'!$T$39:$X$59,2,0)*CI310+VLOOKUP($B$3,'Coeff EC7'!$T$65:$X$85,2,0)*Model0.1T!CJ310)/1.5,PI()*CG$12*$Q310*($B310-$B309)*0.15/10+CK309)</f>
        <v>#N/A</v>
      </c>
      <c r="CL310" s="102" t="e">
        <f>(VLOOKUP($B$3,'Coeff EC7'!$T$39:$X$59,3,0)*CI310+VLOOKUP($B$3,'Coeff EC7'!$T$65:$X$85,3,0)*Model0.1T!CJ310)/1.1</f>
        <v>#N/A</v>
      </c>
      <c r="CM310" s="102" t="e">
        <f t="shared" si="482"/>
        <v>#N/A</v>
      </c>
      <c r="CN310" s="102" t="e">
        <f t="shared" si="483"/>
        <v>#N/A</v>
      </c>
      <c r="CO310" s="414" t="e">
        <f>IF(AND(CK310&gt;NDC!$C$63,CL310&gt;NDC!$C$65,CM310&gt;NDC!$D$73,CN310&gt;NDC!$D$74,$B310&gt;NDC!$H$22-0.1+MIN(3*CO$12,1.5)),0,1)</f>
        <v>#N/A</v>
      </c>
      <c r="CP310" s="86" t="b">
        <f t="shared" si="449"/>
        <v>0</v>
      </c>
      <c r="CQ310" s="86">
        <f t="shared" si="450"/>
        <v>0.5</v>
      </c>
      <c r="CR310" s="86">
        <f t="shared" si="451"/>
        <v>0.5</v>
      </c>
      <c r="CS310" s="30" t="e">
        <f t="shared" ca="1" si="484"/>
        <v>#DIV/0!</v>
      </c>
      <c r="CT310" s="85" t="e">
        <f ca="1">IF(BZ310&lt;=Hypothèses!$V$7,Hypothèses!$W$7,IF(BZ310&lt;=Hypothèses!$V$8,Hypothèses!$W$8,IF(BZ310&lt;=Hypothèses!$V$9,Hypothèses!$W$9,IF(BZ310&lt;=Hypothèses!$V$10,Hypothèses!$W$10,IF(BZ310&lt;=Hypothèses!$V$11,Hypothèses!$W$11,IF(BZ310&lt;=Hypothèses!$V$12,Hypothèses!$W$12,IF(BZ310&lt;=Hypothèses!$V$13,Hypothèses!$W$13,IF(BZ310&lt;=Hypothèses!$V$14,Hypothèses!$W$14,IF(BZ310&lt;=Hypothèses!$V$15,Hypothèses!$W$15,IF(BZ310&lt;=Hypothèses!$V$16,Hypothèses!$W$16,IF(BZ310&lt;=Hypothèses!$V$17,Hypothèses!$W$17,IF(BZ310&lt;=Hypothèses!$V$18,Hypothèses!$W$18,""))))))))))))</f>
        <v>#DIV/0!</v>
      </c>
      <c r="CU310" s="87" t="e">
        <f t="shared" ca="1" si="520"/>
        <v>#DIV/0!</v>
      </c>
      <c r="CV310" s="88" t="e">
        <f ca="1">IF(BZ310&lt;=Hypothèses!$V$7,Hypothèses!$X$7,IF(BZ310&lt;=Hypothèses!$V$8,Hypothèses!$X$8,IF(BZ310&lt;=Hypothèses!$V$9,Hypothèses!$X$9,IF(BZ310&lt;=Hypothèses!$V$10,Hypothèses!$X$10,IF(BZ310&lt;=Hypothèses!$V$11,Hypothèses!$X$11,IF(BZ310&lt;=Hypothèses!$V$12,Hypothèses!$X$12,IF(BZ310&lt;=Hypothèses!$V$13,Hypothèses!$X$13,IF(BZ310&lt;=Hypothèses!$V$14,Hypothèses!$X$14,IF(BZ310&lt;=Hypothèses!$V$15,Hypothèses!$X$15,IF(BZ310&lt;=Hypothèses!$V$16,Hypothèses!$X$16,IF(BZ310&lt;=Hypothèses!$U$17,Hypothèses!$W$17,IF(BZ310&lt;=Hypothèses!$U$18,Hypothèses!$W$18,""))))))))))))</f>
        <v>#DIV/0!</v>
      </c>
      <c r="CW310" s="95" t="e">
        <f t="shared" ca="1" si="485"/>
        <v>#DIV/0!</v>
      </c>
      <c r="CX310" s="101">
        <f t="shared" si="527"/>
        <v>0</v>
      </c>
      <c r="CY310" s="91">
        <f t="shared" si="452"/>
        <v>0</v>
      </c>
      <c r="CZ310" s="30" t="e">
        <f t="shared" si="508"/>
        <v>#N/A</v>
      </c>
      <c r="DA310" s="30" t="e">
        <f t="shared" si="509"/>
        <v>#N/A</v>
      </c>
      <c r="DB310" s="31" t="e">
        <f>IF(OR(Hypothèses!$B$4=17,Hypothèses!$B$4=18,Hypothèses!$B$4=19,Hypothèses!$B$4=20),
IF($D310="Pressio.",
IF(OR($E310=3,$E310=1,$E310=4),DA310,CZ310),
IF($D310="Pénétro.",
IF(OR($E310=3,$E310=1,$E310=4),DA310,CZ310))),IF($D310="Pressio.",
IF($E310=3,DA310,CZ310),
IF($D310="Pénétro.",
IF($E310=4,DA310,CZ310))))</f>
        <v>#N/A</v>
      </c>
      <c r="DC310" s="31">
        <v>0</v>
      </c>
      <c r="DD310" s="102" t="e">
        <f>IF(NDC!$H$10="Oui",(VLOOKUP($B$3,'Coeff EC7'!$T$39:$X$59,2,0)*DB310+VLOOKUP($B$3,'Coeff EC7'!$T$65:$X$85,2,0)*Model0.1T!DC310)/1.5,PI()*CZ$12*$Q310*($B310-$B309)*0.15/10+DD309)</f>
        <v>#N/A</v>
      </c>
      <c r="DE310" s="102" t="e">
        <f>(VLOOKUP($B$3,'Coeff EC7'!$T$39:$X$59,3,0)*DB310+VLOOKUP($B$3,'Coeff EC7'!$T$65:$X$85,3,0)*Model0.1T!DC310)/1.1</f>
        <v>#N/A</v>
      </c>
      <c r="DF310" s="102" t="e">
        <f t="shared" si="486"/>
        <v>#N/A</v>
      </c>
      <c r="DG310" s="102" t="e">
        <f t="shared" si="487"/>
        <v>#N/A</v>
      </c>
      <c r="DH310" s="414" t="e">
        <f>IF(AND(DD310&gt;NDC!$C$63,DE310&gt;NDC!$C$65,DF310&gt;NDC!$D$73,DG310&gt;NDC!$D$74,$B310&gt;NDC!$H$22-0.1+MIN(3*DH$12,1.5)),0,1)</f>
        <v>#N/A</v>
      </c>
      <c r="DI310" s="86" t="b">
        <f t="shared" si="453"/>
        <v>0</v>
      </c>
      <c r="DJ310" s="86">
        <f t="shared" si="454"/>
        <v>0.5</v>
      </c>
      <c r="DK310" s="86">
        <f t="shared" si="455"/>
        <v>0.5</v>
      </c>
      <c r="DL310" s="30" t="e">
        <f t="shared" ca="1" si="488"/>
        <v>#DIV/0!</v>
      </c>
      <c r="DM310" s="85" t="e">
        <f ca="1">IF(CS310&lt;=Hypothèses!$V$7,Hypothèses!$W$7,IF(CS310&lt;=Hypothèses!$V$8,Hypothèses!$W$8,IF(CS310&lt;=Hypothèses!$V$9,Hypothèses!$W$9,IF(CS310&lt;=Hypothèses!$V$10,Hypothèses!$W$10,IF(CS310&lt;=Hypothèses!$V$11,Hypothèses!$W$11,IF(CS310&lt;=Hypothèses!$V$12,Hypothèses!$W$12,IF(CS310&lt;=Hypothèses!$V$13,Hypothèses!$W$13,IF(CS310&lt;=Hypothèses!$V$14,Hypothèses!$W$14,IF(CS310&lt;=Hypothèses!$V$15,Hypothèses!$W$15,IF(CS310&lt;=Hypothèses!$V$16,Hypothèses!$W$16,IF(CS310&lt;=Hypothèses!$V$17,Hypothèses!$W$17,IF(CS310&lt;=Hypothèses!$V$18,Hypothèses!$W$18,""))))))))))))</f>
        <v>#DIV/0!</v>
      </c>
      <c r="DN310" s="87" t="e">
        <f t="shared" ca="1" si="521"/>
        <v>#DIV/0!</v>
      </c>
      <c r="DO310" s="88" t="e">
        <f ca="1">IF(CS310&lt;=Hypothèses!$V$7,Hypothèses!$X$7,IF(CS310&lt;=Hypothèses!$V$8,Hypothèses!$X$8,IF(CS310&lt;=Hypothèses!$V$9,Hypothèses!$X$9,IF(CS310&lt;=Hypothèses!$V$10,Hypothèses!$X$10,IF(CS310&lt;=Hypothèses!$V$11,Hypothèses!$X$11,IF(CS310&lt;=Hypothèses!$V$12,Hypothèses!$X$12,IF(CS310&lt;=Hypothèses!$V$13,Hypothèses!$X$13,IF(CS310&lt;=Hypothèses!$V$14,Hypothèses!$X$14,IF(CS310&lt;=Hypothèses!$V$15,Hypothèses!$X$15,IF(CS310&lt;=Hypothèses!$V$16,Hypothèses!$X$16,IF(CS310&lt;=Hypothèses!$U$17,Hypothèses!$W$17,IF(CS310&lt;=Hypothèses!$U$18,Hypothèses!$W$18,""))))))))))))</f>
        <v>#DIV/0!</v>
      </c>
      <c r="DP310" s="95" t="e">
        <f t="shared" ca="1" si="489"/>
        <v>#DIV/0!</v>
      </c>
      <c r="DQ310" s="101">
        <f t="shared" si="528"/>
        <v>0</v>
      </c>
      <c r="DR310" s="91">
        <f t="shared" si="456"/>
        <v>0</v>
      </c>
      <c r="DS310" s="30" t="e">
        <f t="shared" si="510"/>
        <v>#N/A</v>
      </c>
      <c r="DT310" s="30" t="e">
        <f t="shared" si="511"/>
        <v>#N/A</v>
      </c>
      <c r="DU310" s="31" t="e">
        <f>IF(OR(Hypothèses!$B$4=17,Hypothèses!$B$4=18,Hypothèses!$B$4=19,Hypothèses!$B$4=20),
IF($D310="Pressio.",
IF(OR($E310=3,$E310=1,$E310=4),DT310,DS310),
IF($D310="Pénétro.",
IF(OR($E310=3,$E310=1,$E310=4),DT310,DS310))),IF($D310="Pressio.",
IF($E310=3,DT310,DS310),
IF($D310="Pénétro.",
IF($E310=4,DT310,DS310))))</f>
        <v>#N/A</v>
      </c>
      <c r="DV310" s="31">
        <v>0</v>
      </c>
      <c r="DW310" s="102" t="e">
        <f>IF(NDC!$H$10="Oui",(VLOOKUP($B$3,'Coeff EC7'!$T$39:$X$59,2,0)*DU310+VLOOKUP($B$3,'Coeff EC7'!$T$65:$X$85,2,0)*Model0.1T!DV310)/1.5,PI()*DS$12*$Q310*($B310-$B309)*0.15/10+DW309)</f>
        <v>#N/A</v>
      </c>
      <c r="DX310" s="102" t="e">
        <f>(VLOOKUP($B$3,'Coeff EC7'!$T$39:$X$59,3,0)*DU310+VLOOKUP($B$3,'Coeff EC7'!$T$65:$X$85,3,0)*Model0.1T!DV310)/1.1</f>
        <v>#N/A</v>
      </c>
      <c r="DY310" s="102" t="e">
        <f t="shared" si="490"/>
        <v>#N/A</v>
      </c>
      <c r="DZ310" s="102" t="e">
        <f t="shared" si="491"/>
        <v>#N/A</v>
      </c>
      <c r="EA310" s="414" t="e">
        <f>IF(AND(DW310&gt;NDC!$C$63,DX310&gt;NDC!$C$65,DY310&gt;NDC!$D$73,DZ310&gt;NDC!$D$74,$B310&gt;NDC!$H$22-0.1+MIN(3*EA$12,1.5)),0,1)</f>
        <v>#N/A</v>
      </c>
      <c r="EB310" s="86" t="b">
        <f t="shared" si="457"/>
        <v>0</v>
      </c>
      <c r="EC310" s="418">
        <f t="shared" si="458"/>
        <v>0.51</v>
      </c>
      <c r="ED310" s="86">
        <f t="shared" si="459"/>
        <v>0.51</v>
      </c>
      <c r="EE310" s="30" t="e">
        <f t="shared" ca="1" si="492"/>
        <v>#DIV/0!</v>
      </c>
      <c r="EF310" s="85" t="e">
        <f ca="1">IF(DL310&lt;=Hypothèses!$V$7,Hypothèses!$W$7,IF(DL310&lt;=Hypothèses!$V$8,Hypothèses!$W$8,IF(DL310&lt;=Hypothèses!$V$9,Hypothèses!$W$9,IF(DL310&lt;=Hypothèses!$V$10,Hypothèses!$W$10,IF(DL310&lt;=Hypothèses!$V$11,Hypothèses!$W$11,IF(DL310&lt;=Hypothèses!$V$12,Hypothèses!$W$12,IF(DL310&lt;=Hypothèses!$V$13,Hypothèses!$W$13,IF(DL310&lt;=Hypothèses!$V$14,Hypothèses!$W$14,IF(DL310&lt;=Hypothèses!$V$15,Hypothèses!$W$15,IF(DL310&lt;=Hypothèses!$V$16,Hypothèses!$W$16,IF(DL310&lt;=Hypothèses!$V$17,Hypothèses!$W$17,IF(DL310&lt;=Hypothèses!$V$18,Hypothèses!$W$18,""))))))))))))</f>
        <v>#DIV/0!</v>
      </c>
      <c r="EG310" s="87" t="e">
        <f t="shared" ca="1" si="522"/>
        <v>#DIV/0!</v>
      </c>
      <c r="EH310" s="88" t="e">
        <f ca="1">IF(DL310&lt;=Hypothèses!$V$7,Hypothèses!$X$7,IF(DL310&lt;=Hypothèses!$V$8,Hypothèses!$X$8,IF(DL310&lt;=Hypothèses!$V$9,Hypothèses!$X$9,IF(DL310&lt;=Hypothèses!$V$10,Hypothèses!$X$10,IF(DL310&lt;=Hypothèses!$V$11,Hypothèses!$X$11,IF(DL310&lt;=Hypothèses!$V$12,Hypothèses!$X$12,IF(DL310&lt;=Hypothèses!$V$13,Hypothèses!$X$13,IF(DL310&lt;=Hypothèses!$V$14,Hypothèses!$X$14,IF(DL310&lt;=Hypothèses!$V$15,Hypothèses!$X$15,IF(DL310&lt;=Hypothèses!$V$16,Hypothèses!$X$16,IF(DL310&lt;=Hypothèses!$U$17,Hypothèses!$W$17,IF(DL310&lt;=Hypothèses!$U$18,Hypothèses!$W$18,""))))))))))))</f>
        <v>#DIV/0!</v>
      </c>
      <c r="EI310" s="95" t="e">
        <f t="shared" ca="1" si="493"/>
        <v>#DIV/0!</v>
      </c>
      <c r="EJ310" s="101">
        <f t="shared" si="529"/>
        <v>0</v>
      </c>
      <c r="EK310" s="91">
        <f t="shared" si="460"/>
        <v>0</v>
      </c>
      <c r="EL310" s="30" t="e">
        <f t="shared" si="512"/>
        <v>#N/A</v>
      </c>
      <c r="EM310" s="30" t="e">
        <f t="shared" si="513"/>
        <v>#N/A</v>
      </c>
      <c r="EN310" s="31" t="e">
        <f>IF(OR(Hypothèses!$B$4=17,Hypothèses!$B$4=18,Hypothèses!$B$4=19,Hypothèses!$B$4=20),
IF($D310="Pressio.",
IF(OR($E310=3,$E310=1,$E310=4),EM310,EL310),
IF($D310="Pénétro.",
IF(OR($E310=3,$E310=1,$E310=4),EM310,EL310))),IF($D310="Pressio.",
IF($E310=3,EM310,EL310),
IF($D310="Pénétro.",
IF($E310=4,EM310,EL310))))</f>
        <v>#N/A</v>
      </c>
      <c r="EO310" s="31">
        <v>0</v>
      </c>
      <c r="EP310" s="102" t="e">
        <f>IF(NDC!$H$10="Oui",(VLOOKUP($B$3,'Coeff EC7'!$T$39:$X$59,2,0)*EN310+VLOOKUP($B$3,'Coeff EC7'!$T$65:$X$85,2,0)*Model0.1T!EO310)/1.5,PI()*EL$12*$Q310*($B310-$B309)*0.15/10+EP309)</f>
        <v>#N/A</v>
      </c>
      <c r="EQ310" s="102" t="e">
        <f>(VLOOKUP($B$3,'Coeff EC7'!$T$39:$X$59,3,0)*EN310+VLOOKUP($B$3,'Coeff EC7'!$T$65:$X$85,3,0)*Model0.1T!EO310)/1.1</f>
        <v>#N/A</v>
      </c>
      <c r="ER310" s="102" t="e">
        <f t="shared" si="494"/>
        <v>#N/A</v>
      </c>
      <c r="ES310" s="102" t="e">
        <f t="shared" si="495"/>
        <v>#N/A</v>
      </c>
      <c r="ET310" s="414" t="e">
        <f>IF(AND(EP310&gt;NDC!$C$63,EQ310&gt;NDC!$C$65,ER310&gt;NDC!$D$73,ES310&gt;NDC!$D$74,$B310&gt;NDC!$H$22-0.1+MIN(3*ET$12,1.5)),0,1)</f>
        <v>#N/A</v>
      </c>
      <c r="EU310" s="86" t="b">
        <f t="shared" si="461"/>
        <v>0</v>
      </c>
      <c r="EV310" s="86">
        <f t="shared" si="462"/>
        <v>0.61</v>
      </c>
      <c r="EW310" s="86">
        <f t="shared" si="463"/>
        <v>0.61</v>
      </c>
      <c r="EX310" s="30" t="e">
        <f t="shared" ca="1" si="496"/>
        <v>#DIV/0!</v>
      </c>
      <c r="EY310" s="85" t="e">
        <f ca="1">IF(EE310&lt;=Hypothèses!$V$7,Hypothèses!$W$7,IF(EE310&lt;=Hypothèses!$V$8,Hypothèses!$W$8,IF(EE310&lt;=Hypothèses!$V$9,Hypothèses!$W$9,IF(EE310&lt;=Hypothèses!$V$10,Hypothèses!$W$10,IF(EE310&lt;=Hypothèses!$V$11,Hypothèses!$W$11,IF(EE310&lt;=Hypothèses!$V$12,Hypothèses!$W$12,IF(EE310&lt;=Hypothèses!$V$13,Hypothèses!$W$13,IF(EE310&lt;=Hypothèses!$V$14,Hypothèses!$W$14,IF(EE310&lt;=Hypothèses!$V$15,Hypothèses!$W$15,IF(EE310&lt;=Hypothèses!$V$16,Hypothèses!$W$16,IF(EE310&lt;=Hypothèses!$V$17,Hypothèses!$W$17,IF(EE310&lt;=Hypothèses!$V$18,Hypothèses!$W$18,""))))))))))))</f>
        <v>#DIV/0!</v>
      </c>
      <c r="EZ310" s="87" t="e">
        <f t="shared" ca="1" si="523"/>
        <v>#DIV/0!</v>
      </c>
      <c r="FA310" s="88" t="e">
        <f ca="1">IF(EE310&lt;=Hypothèses!$V$7,Hypothèses!$X$7,IF(EE310&lt;=Hypothèses!$V$8,Hypothèses!$X$8,IF(EE310&lt;=Hypothèses!$V$9,Hypothèses!$X$9,IF(EE310&lt;=Hypothèses!$V$10,Hypothèses!$X$10,IF(EE310&lt;=Hypothèses!$V$11,Hypothèses!$X$11,IF(EE310&lt;=Hypothèses!$V$12,Hypothèses!$X$12,IF(EE310&lt;=Hypothèses!$V$13,Hypothèses!$X$13,IF(EE310&lt;=Hypothèses!$V$14,Hypothèses!$X$14,IF(EE310&lt;=Hypothèses!$V$15,Hypothèses!$X$15,IF(EE310&lt;=Hypothèses!$V$16,Hypothèses!$X$16,IF(EE310&lt;=Hypothèses!$U$17,Hypothèses!$W$17,IF(EE310&lt;=Hypothèses!$U$18,Hypothèses!$W$18,""))))))))))))</f>
        <v>#DIV/0!</v>
      </c>
      <c r="FB310" s="95" t="e">
        <f t="shared" ca="1" si="497"/>
        <v>#DIV/0!</v>
      </c>
      <c r="FC310" s="101">
        <f t="shared" si="530"/>
        <v>0</v>
      </c>
      <c r="FD310" s="91">
        <f t="shared" si="464"/>
        <v>0</v>
      </c>
      <c r="FE310" s="30" t="e">
        <f t="shared" si="514"/>
        <v>#N/A</v>
      </c>
      <c r="FF310" s="30" t="e">
        <f t="shared" si="515"/>
        <v>#N/A</v>
      </c>
      <c r="FG310" s="31" t="e">
        <f>IF(OR(Hypothèses!$B$4=17,Hypothèses!$B$4=18,Hypothèses!$B$4=19,Hypothèses!$B$4=20),
IF($D310="Pressio.",
IF(OR($E310=3,$E310=1,$E310=4),FF310,FE310),
IF($D310="Pénétro.",
IF(OR($E310=3,$E310=1,$E310=4),FF310,FE310))),IF($D310="Pressio.",
IF($E310=3,FF310,FE310),
IF($D310="Pénétro.",
IF($E310=4,FF310,FE310))))</f>
        <v>#N/A</v>
      </c>
      <c r="FH310" s="31">
        <v>0</v>
      </c>
      <c r="FI310" s="102" t="e">
        <f>IF(NDC!$H$10="Oui",(VLOOKUP($B$3,'Coeff EC7'!$T$39:$X$59,2,0)*FG310+VLOOKUP($B$3,'Coeff EC7'!$T$65:$X$85,2,0)*Model0.1T!FH310)/1.5,PI()*FE$12*$Q310*($B310-$B309)*0.15/10+FI309)</f>
        <v>#N/A</v>
      </c>
      <c r="FJ310" s="102" t="e">
        <f>(VLOOKUP($B$3,'Coeff EC7'!$T$39:$X$59,3,0)*FG310+VLOOKUP($B$3,'Coeff EC7'!$T$65:$X$85,3,0)*Model0.1T!FH310)/1.1</f>
        <v>#N/A</v>
      </c>
      <c r="FK310" s="102" t="e">
        <f t="shared" si="498"/>
        <v>#N/A</v>
      </c>
      <c r="FL310" s="102" t="e">
        <f t="shared" si="499"/>
        <v>#N/A</v>
      </c>
      <c r="FM310" s="414" t="e">
        <f>IF(AND(FI310&gt;NDC!$C$63,FJ310&gt;NDC!$C$65,FK310&gt;NDC!$D$73,FL310&gt;NDC!$D$74,$B310&gt;NDC!$H$22-0.1+MIN(3*FM$12,1.5)),0,1)</f>
        <v>#N/A</v>
      </c>
    </row>
    <row r="311" spans="1:169">
      <c r="A311" s="96">
        <f t="shared" si="465"/>
        <v>70.200000000001694</v>
      </c>
      <c r="B311" s="97">
        <v>29.8</v>
      </c>
      <c r="C311" s="81">
        <f>IF(B311&lt;=Hypothèses!$C$7,Hypothèses!$A$7,IF(B311&lt;=Hypothèses!$C$8,Hypothèses!$A$8,IF(B311&lt;=Hypothèses!$C$9,Hypothèses!$A$9,IF(B311&lt;=Hypothèses!$C$10,Hypothèses!$A$10,IF(B311&lt;=Hypothèses!$C$11,Hypothèses!$A$11,IF(B311&lt;=Hypothèses!$C$12,Hypothèses!$A$12,IF(B311&lt;=Hypothèses!$C$13,Hypothèses!$A$13,IF(B311&lt;=Hypothèses!$C$14,Hypothèses!$A$14,IF(B311&lt;=Hypothèses!$C$15,Hypothèses!$A$15,IF(B311&lt;=Hypothèses!$C$16,Hypothèses!$A$16,IF(B311&lt;=Hypothèses!$C$17,Hypothèses!$A$17,IF(B311&lt;=Hypothèses!$C$18,Hypothèses!$A$18,C310))))))))))))</f>
        <v>11</v>
      </c>
      <c r="D311" s="82" t="str">
        <f>IF(B311&lt;=Hypothèses!$C$7,Hypothèses!$R$7,IF(B311&lt;=Hypothèses!$C$8,Hypothèses!$R$8,IF(B311&lt;=Hypothèses!$C$9,Hypothèses!$R$9,IF(B311&lt;=Hypothèses!$C$10,Hypothèses!$R$10,IF(B311&lt;=Hypothèses!$C$11,Hypothèses!$R$11,IF(B311&lt;=Hypothèses!$C$12,Hypothèses!$R$12,IF(B311&lt;=Hypothèses!$C$13,Hypothèses!$R$13,IF(B311&lt;=Hypothèses!$C$14,Hypothèses!$R$14,IF(B311&lt;=Hypothèses!$C$15,Hypothèses!$R$15,IF(B311&lt;=Hypothèses!$C$16,Hypothèses!$R$16,IF(B311&lt;=Hypothèses!$C$17,Hypothèses!$R$17,IF(B311&lt;=Hypothèses!$C$18,Hypothèses!$R$18,D310))))))))))))</f>
        <v>Pressio.</v>
      </c>
      <c r="E311" s="82" t="e">
        <f>IF(B311&lt;=Hypothèses!$C$7,Hypothèses!$G$7,IF(B311&lt;=Hypothèses!$C$8,Hypothèses!$G$8,IF(B311&lt;=Hypothèses!$C$9,Hypothèses!$G$9,IF(B311&lt;=Hypothèses!$C$10,Hypothèses!$G$10,IF(B311&lt;=Hypothèses!$C$11,Hypothèses!$G$11,IF(B311&lt;=Hypothèses!$C$12,Hypothèses!$G$12,IF(B311&lt;=Hypothèses!$C$13,Hypothèses!$G$13,IF(B311&lt;=Hypothèses!$C$14,Hypothèses!$G$14,IF(B311&lt;=Hypothèses!$C$15,Hypothèses!$G$15,IF(B311&lt;=Hypothèses!$C$16,Hypothèses!$G$16,IF(B311&lt;=Hypothèses!$C$17,Hypothèses!$G$17,IF(B311&lt;=Hypothèses!$C$18,Hypothèses!$G$18,E310))))))))))))</f>
        <v>#N/A</v>
      </c>
      <c r="F311" s="82" t="str">
        <f>IF(B311&lt;=Hypothèses!$C$7,Hypothèses!$F$7,IF(B311&lt;=Hypothèses!$C$8,Hypothèses!$F$8,IF(B311&lt;=Hypothèses!$C$9,Hypothèses!$F$9,IF(B311&lt;=Hypothèses!$C$10,Hypothèses!$F$10,IF(B311&lt;=Hypothèses!$C$11,Hypothèses!$F$11,IF(B311&lt;=Hypothèses!$C$12,Hypothèses!$F$12,IF(B311&lt;=Hypothèses!$C$13,Hypothèses!$F$13,IF(B311&lt;=Hypothèses!$C$14,Hypothèses!$F$14,IF(B311&lt;=Hypothèses!$C$15,Hypothèses!$F$15,IF(B311&lt;=Hypothèses!$C$16,Hypothèses!$F$16,IF(B311&lt;=Hypothèses!$C$17,Hypothèses!$F$17,IF(B311&lt;=Hypothèses!$C$18,Hypothèses!$F$18,F310))))))))))))</f>
        <v/>
      </c>
      <c r="G311" s="91">
        <f t="array" ref="G311">INDEX('Coeff EC7'!$U$7:$X$27,
MATCH(Model0.1T!$B$3,'Coeff EC7'!$T$7:$T$27,0),
MATCH(Model0.1T!$D311&amp;Model0.1T!$B$4,
'Coeff EC7'!$U$6:$X$6&amp;
'Coeff EC7'!$U$5:$X$5,0))</f>
        <v>1.4</v>
      </c>
      <c r="H311" s="91">
        <f t="array" ref="H311">INDEX('Coeff EC7'!$Y$7:$AB$27,
MATCH(Model0.1T!$B$3,'Coeff EC7'!$T$7:$T$27,0),
MATCH(Model0.1T!$D311&amp;Model0.1T!$B$4,
'Coeff EC7'!$Y$6:$AB$6&amp;
'Coeff EC7'!$Y$5:$AB$5,0))</f>
        <v>1.7</v>
      </c>
      <c r="I311" s="83">
        <v>0</v>
      </c>
      <c r="J311" s="91" t="e">
        <f t="array" ref="J311">INDEX('Coeff EC7'!$D$33:$Q$33,1,MATCH(D311&amp;E311,'Coeff EC7'!$D$31:$Q$31&amp;'Coeff EC7'!$D$32:$Q$32,0))</f>
        <v>#N/A</v>
      </c>
      <c r="K311" s="91" t="e">
        <f t="array" ref="K311">INDEX('Coeff EC7'!$D$34:$Q$34,1,MATCH(D311&amp;E311,'Coeff EC7'!$D$31:$Q$31&amp;'Coeff EC7'!$D$32:$Q$32,0))</f>
        <v>#N/A</v>
      </c>
      <c r="L311" s="91" t="e">
        <f t="array" ref="L311">INDEX('Coeff EC7'!$D$35:$Q$35,1,MATCH(D311&amp;E311,'Coeff EC7'!$D$31:$Q$31&amp;'Coeff EC7'!$D$32:$Q$32,0))</f>
        <v>#N/A</v>
      </c>
      <c r="M311" s="98" t="e">
        <f t="shared" si="431"/>
        <v>#N/A</v>
      </c>
      <c r="N311" s="99" t="e">
        <f t="array" ref="N311">INDEX('Coeff EC7'!$D$7:$Q$27,MATCH($B$3,'Coeff EC7'!$C$7:$C$27,0),MATCH(D311&amp;E311,'Coeff EC7'!$D$5:$Q$5&amp;'Coeff EC7'!$D$6:$Q$6,0))</f>
        <v>#N/A</v>
      </c>
      <c r="O311" s="99" t="e">
        <f t="array" ref="O311">INDEX('Coeff EC7'!$D$41:$Q$61,MATCH($B$3,'Coeff EC7'!$C$41:$C$61,0),MATCH(D311&amp;E311,'Coeff EC7'!$D$39:$Q$39&amp;'Coeff EC7'!$D$40:$Q$40,0))</f>
        <v>#N/A</v>
      </c>
      <c r="P311" s="30" t="e">
        <f t="shared" si="466"/>
        <v>#N/A</v>
      </c>
      <c r="Q311" s="100" t="e">
        <f t="shared" si="433"/>
        <v>#N/A</v>
      </c>
      <c r="R311" s="86" t="b">
        <f t="shared" si="434"/>
        <v>0</v>
      </c>
      <c r="S311" s="86">
        <f t="shared" si="432"/>
        <v>0.5</v>
      </c>
      <c r="T311" s="86">
        <f t="shared" si="435"/>
        <v>0.5</v>
      </c>
      <c r="U311" s="30" t="e">
        <f t="shared" ca="1" si="467"/>
        <v>#DIV/0!</v>
      </c>
      <c r="V311" s="85" t="str">
        <f>IF(B311&lt;=Hypothèses!$V$7,Hypothèses!$W$7,IF(B311&lt;=Hypothèses!$V$8,Hypothèses!$W$8,IF(B311&lt;=Hypothèses!$V$9,Hypothèses!$W$9,IF(B311&lt;=Hypothèses!$V$10,Hypothèses!$W$10,IF(B311&lt;=Hypothèses!$V$11,Hypothèses!$W$11,IF(B311&lt;=Hypothèses!$V$12,Hypothèses!$W$12,IF(B311&lt;=Hypothèses!$V$13,Hypothèses!$W$13,IF(B311&lt;=Hypothèses!$V$14,Hypothèses!$W$14,IF(B311&lt;=Hypothèses!$V$15,Hypothèses!$W$15,IF(B311&lt;=Hypothèses!$V$16,Hypothèses!$W$16,IF(B311&lt;=Hypothèses!$V$17,Hypothèses!$W$17,IF(B311&lt;=Hypothèses!$V$18,Hypothèses!$W$18,""))))))))))))</f>
        <v/>
      </c>
      <c r="W311" s="87" t="e">
        <f t="shared" ca="1" si="516"/>
        <v>#DIV/0!</v>
      </c>
      <c r="X311" s="88" t="str">
        <f>IF(B311&lt;=Hypothèses!$V$7,Hypothèses!$X$7,IF(B311&lt;=Hypothèses!$V$8,Hypothèses!$X$8,IF(B311&lt;=Hypothèses!$V$9,Hypothèses!$X$9,IF(B311&lt;=Hypothèses!$V$10,Hypothèses!$X$10,IF(B311&lt;=Hypothèses!$V$11,Hypothèses!$X$11,IF(B311&lt;=Hypothèses!$V$12,Hypothèses!$X$12,IF(B311&lt;=Hypothèses!$V$13,Hypothèses!$X$13,IF(B311&lt;=Hypothèses!$V$14,Hypothèses!$X$14,IF(B311&lt;=Hypothèses!$V$15,Hypothèses!$X$15,IF(B311&lt;=Hypothèses!$V$16,Hypothèses!$X$16,IF(B311&lt;=Hypothèses!$U$17,Hypothèses!$W$17,IF(B311&lt;=Hypothèses!$U$18,Hypothèses!$W$18,""))))))))))))</f>
        <v/>
      </c>
      <c r="Y311" s="95" t="e">
        <f t="shared" ca="1" si="436"/>
        <v>#DIV/0!</v>
      </c>
      <c r="Z311" s="101">
        <f t="shared" si="437"/>
        <v>0</v>
      </c>
      <c r="AA311" s="91">
        <f t="shared" si="438"/>
        <v>0</v>
      </c>
      <c r="AB311" s="30" t="e">
        <f t="shared" si="500"/>
        <v>#N/A</v>
      </c>
      <c r="AC311" s="30" t="e">
        <f t="shared" si="501"/>
        <v>#N/A</v>
      </c>
      <c r="AD311" s="31" t="e">
        <f>IF(OR(Hypothèses!$B$4=17,Hypothèses!$B$4=18,Hypothèses!$B$4=19,Hypothèses!$B$4=20),
IF($D311="Pressio.",
IF(OR($E311=3,$E311=1,$E311=4),AC311,AB311),
IF($D311="Pénétro.",
IF(OR($E311=3,$E311=1,$E311=4),AC311,AB311))),IF($D311="Pressio.",
IF($E311=3,AC311,AB311),
IF($D311="Pénétro.",
IF($E311=4,AC311,AB311))))</f>
        <v>#N/A</v>
      </c>
      <c r="AE311" s="31">
        <v>0</v>
      </c>
      <c r="AF311" s="102" t="e">
        <f>IF(NDC!$H$10="Oui",(VLOOKUP($B$3,'Coeff EC7'!$T$39:$X$59,2,0)*AD311+VLOOKUP($B$3,'Coeff EC7'!$T$65:$X$85,2,0)*Model0.1T!AE311)/1.5,PI()*AB$12*$Q311*($B311-$B310)*0.15/10+AF310)</f>
        <v>#N/A</v>
      </c>
      <c r="AG311" s="102" t="e">
        <f>(VLOOKUP($B$3,'Coeff EC7'!$T$39:$X$59,3,0)*AD311+VLOOKUP($B$3,'Coeff EC7'!$T$65:$X$85,3,0)*Model0.1T!AE311)/1.1</f>
        <v>#N/A</v>
      </c>
      <c r="AH311" s="102" t="e">
        <f t="shared" si="468"/>
        <v>#N/A</v>
      </c>
      <c r="AI311" s="102" t="e">
        <f t="shared" si="469"/>
        <v>#N/A</v>
      </c>
      <c r="AJ311" s="414" t="e">
        <f>IF(AND(AF311&gt;NDC!$C$63,AG311&gt;NDC!$C$65,AH311&gt;NDC!$D$73,AI311&gt;NDC!$D$74,$B311&gt;NDC!$H$22-0.1+MIN(3*$AJ$12,1.5)),0,1)</f>
        <v>#N/A</v>
      </c>
      <c r="AK311" s="86" t="b">
        <f t="shared" si="439"/>
        <v>0</v>
      </c>
      <c r="AL311" s="86">
        <f t="shared" si="470"/>
        <v>0.5</v>
      </c>
      <c r="AM311" s="86">
        <f t="shared" si="440"/>
        <v>0.5</v>
      </c>
      <c r="AN311" s="30" t="e">
        <f t="shared" ca="1" si="471"/>
        <v>#DIV/0!</v>
      </c>
      <c r="AO311" s="85" t="e">
        <f ca="1">IF(U311&lt;=Hypothèses!$V$7,Hypothèses!$W$7,IF(U311&lt;=Hypothèses!$V$8,Hypothèses!$W$8,IF(U311&lt;=Hypothèses!$V$9,Hypothèses!$W$9,IF(U311&lt;=Hypothèses!$V$10,Hypothèses!$W$10,IF(U311&lt;=Hypothèses!$V$11,Hypothèses!$W$11,IF(U311&lt;=Hypothèses!$V$12,Hypothèses!$W$12,IF(U311&lt;=Hypothèses!$V$13,Hypothèses!$W$13,IF(U311&lt;=Hypothèses!$V$14,Hypothèses!$W$14,IF(U311&lt;=Hypothèses!$V$15,Hypothèses!$W$15,IF(U311&lt;=Hypothèses!$V$16,Hypothèses!$W$16,IF(U311&lt;=Hypothèses!$V$17,Hypothèses!$W$17,IF(U311&lt;=Hypothèses!$V$18,Hypothèses!$W$18,""))))))))))))</f>
        <v>#DIV/0!</v>
      </c>
      <c r="AP311" s="87" t="e">
        <f t="shared" ca="1" si="517"/>
        <v>#DIV/0!</v>
      </c>
      <c r="AQ311" s="88" t="e">
        <f ca="1">IF(U311&lt;=Hypothèses!$V$7,Hypothèses!$X$7,IF(U311&lt;=Hypothèses!$V$8,Hypothèses!$X$8,IF(U311&lt;=Hypothèses!$V$9,Hypothèses!$X$9,IF(U311&lt;=Hypothèses!$V$10,Hypothèses!$X$10,IF(U311&lt;=Hypothèses!$V$11,Hypothèses!$X$11,IF(U311&lt;=Hypothèses!$V$12,Hypothèses!$X$12,IF(U311&lt;=Hypothèses!$V$13,Hypothèses!$X$13,IF(U311&lt;=Hypothèses!$V$14,Hypothèses!$X$14,IF(U311&lt;=Hypothèses!$V$15,Hypothèses!$X$15,IF(U311&lt;=Hypothèses!$V$16,Hypothèses!$X$16,IF(U311&lt;=Hypothèses!$U$17,Hypothèses!$W$17,IF(U311&lt;=Hypothèses!$U$18,Hypothèses!$W$18,""))))))))))))</f>
        <v>#DIV/0!</v>
      </c>
      <c r="AR311" s="95" t="e">
        <f t="shared" ca="1" si="472"/>
        <v>#DIV/0!</v>
      </c>
      <c r="AS311" s="101">
        <f t="shared" si="524"/>
        <v>0</v>
      </c>
      <c r="AT311" s="91">
        <f t="shared" si="441"/>
        <v>0</v>
      </c>
      <c r="AU311" s="30" t="e">
        <f t="shared" si="502"/>
        <v>#N/A</v>
      </c>
      <c r="AV311" s="30" t="e">
        <f t="shared" si="503"/>
        <v>#N/A</v>
      </c>
      <c r="AW311" s="31" t="e">
        <f>IF(OR(Hypothèses!$B$4=17,Hypothèses!$B$4=18,Hypothèses!$B$4=19,Hypothèses!$B$4=20),
IF($D311="Pressio.",
IF(OR($E311=3,$E311=1,$E311=4),AV311,AU311),
IF($D311="Pénétro.",
IF(OR($E311=3,$E311=1,$E311=4),AV311,AU311))),IF($D311="Pressio.",
IF($E311=3,AV311,AU311),
IF($D311="Pénétro.",
IF($E311=4,AV311,AU311))))</f>
        <v>#N/A</v>
      </c>
      <c r="AX311" s="31">
        <v>0</v>
      </c>
      <c r="AY311" s="102" t="e">
        <f>IF(NDC!$H$10="Oui",(VLOOKUP($B$3,'Coeff EC7'!$T$39:$X$59,2,0)*AW311+VLOOKUP($B$3,'Coeff EC7'!$T$65:$X$85,2,0)*Model0.1T!AX311)/1.5,PI()*AU$12*$Q311*($B311-$B310)*0.15/10+AY310)</f>
        <v>#N/A</v>
      </c>
      <c r="AZ311" s="102" t="e">
        <f>(VLOOKUP($B$3,'Coeff EC7'!$T$39:$X$59,3,0)*AW311+VLOOKUP($B$3,'Coeff EC7'!$T$65:$X$85,3,0)*Model0.1T!AX311)/1.1</f>
        <v>#N/A</v>
      </c>
      <c r="BA311" s="102" t="e">
        <f t="shared" si="473"/>
        <v>#N/A</v>
      </c>
      <c r="BB311" s="102" t="e">
        <f t="shared" si="474"/>
        <v>#N/A</v>
      </c>
      <c r="BC311" s="414" t="e">
        <f>IF(AND(AY311&gt;NDC!$C$63,AZ311&gt;NDC!$C$65,BA311&gt;NDC!$D$73,BB311&gt;NDC!$D$74,$B311&gt;NDC!$H$22-0.1+MIN(3*BC$12,1.5)),0,1)</f>
        <v>#N/A</v>
      </c>
      <c r="BD311" s="86" t="b">
        <f t="shared" si="442"/>
        <v>0</v>
      </c>
      <c r="BE311" s="86">
        <f t="shared" si="475"/>
        <v>0.5</v>
      </c>
      <c r="BF311" s="86">
        <f t="shared" si="443"/>
        <v>0.5</v>
      </c>
      <c r="BG311" s="30" t="e">
        <f t="shared" ca="1" si="476"/>
        <v>#DIV/0!</v>
      </c>
      <c r="BH311" s="85" t="e">
        <f ca="1">IF(AN311&lt;=Hypothèses!$V$7,Hypothèses!$W$7,IF(AN311&lt;=Hypothèses!$V$8,Hypothèses!$W$8,IF(AN311&lt;=Hypothèses!$V$9,Hypothèses!$W$9,IF(AN311&lt;=Hypothèses!$V$10,Hypothèses!$W$10,IF(AN311&lt;=Hypothèses!$V$11,Hypothèses!$W$11,IF(AN311&lt;=Hypothèses!$V$12,Hypothèses!$W$12,IF(AN311&lt;=Hypothèses!$V$13,Hypothèses!$W$13,IF(AN311&lt;=Hypothèses!$V$14,Hypothèses!$W$14,IF(AN311&lt;=Hypothèses!$V$15,Hypothèses!$W$15,IF(AN311&lt;=Hypothèses!$V$16,Hypothèses!$W$16,IF(AN311&lt;=Hypothèses!$V$17,Hypothèses!$W$17,IF(AN311&lt;=Hypothèses!$V$18,Hypothèses!$W$18,""))))))))))))</f>
        <v>#DIV/0!</v>
      </c>
      <c r="BI311" s="87" t="e">
        <f t="shared" ca="1" si="518"/>
        <v>#DIV/0!</v>
      </c>
      <c r="BJ311" s="88" t="e">
        <f ca="1">IF(AN311&lt;=Hypothèses!$V$7,Hypothèses!$X$7,IF(AN311&lt;=Hypothèses!$V$8,Hypothèses!$X$8,IF(AN311&lt;=Hypothèses!$V$9,Hypothèses!$X$9,IF(AN311&lt;=Hypothèses!$V$10,Hypothèses!$X$10,IF(AN311&lt;=Hypothèses!$V$11,Hypothèses!$X$11,IF(AN311&lt;=Hypothèses!$V$12,Hypothèses!$X$12,IF(AN311&lt;=Hypothèses!$V$13,Hypothèses!$X$13,IF(AN311&lt;=Hypothèses!$V$14,Hypothèses!$X$14,IF(AN311&lt;=Hypothèses!$V$15,Hypothèses!$X$15,IF(AN311&lt;=Hypothèses!$V$16,Hypothèses!$X$16,IF(AN311&lt;=Hypothèses!$U$17,Hypothèses!$W$17,IF(AN311&lt;=Hypothèses!$U$18,Hypothèses!$W$18,""))))))))))))</f>
        <v>#DIV/0!</v>
      </c>
      <c r="BK311" s="95" t="e">
        <f t="shared" ca="1" si="477"/>
        <v>#DIV/0!</v>
      </c>
      <c r="BL311" s="101">
        <f t="shared" si="525"/>
        <v>0</v>
      </c>
      <c r="BM311" s="91">
        <f t="shared" si="444"/>
        <v>0</v>
      </c>
      <c r="BN311" s="30" t="e">
        <f t="shared" si="504"/>
        <v>#N/A</v>
      </c>
      <c r="BO311" s="30" t="e">
        <f t="shared" si="505"/>
        <v>#N/A</v>
      </c>
      <c r="BP311" s="31" t="e">
        <f>IF(OR(Hypothèses!$B$4=17,Hypothèses!$B$4=18,Hypothèses!$B$4=19,Hypothèses!$B$4=20),
IF($D311="Pressio.",
IF(OR($E311=3,$E311=1,$E311=4),BO311,BN311),
IF($D311="Pénétro.",
IF(OR($E311=3,$E311=1,$E311=4),BO311,BN311))),IF($D311="Pressio.",
IF($E311=3,BO311,BN311),
IF($D311="Pénétro.",
IF($E311=4,BO311,BN311))))</f>
        <v>#N/A</v>
      </c>
      <c r="BQ311" s="31">
        <v>0</v>
      </c>
      <c r="BR311" s="102" t="e">
        <f>IF(NDC!$H$10="Oui",(VLOOKUP($B$3,'Coeff EC7'!$T$39:$X$59,2,0)*BP311+VLOOKUP($B$3,'Coeff EC7'!$T$65:$X$85,2,0)*Model0.1T!BQ311)/1.5,PI()*BN$12*$Q311*($B311-$B310)*0.15/10+BR310)</f>
        <v>#N/A</v>
      </c>
      <c r="BS311" s="102" t="e">
        <f>(VLOOKUP($B$3,'Coeff EC7'!$T$39:$X$59,3,0)*BP311+VLOOKUP($B$3,'Coeff EC7'!$T$65:$X$85,3,0)*Model0.1T!BQ311)/1.1</f>
        <v>#N/A</v>
      </c>
      <c r="BT311" s="102" t="e">
        <f t="shared" si="478"/>
        <v>#N/A</v>
      </c>
      <c r="BU311" s="102" t="e">
        <f t="shared" si="479"/>
        <v>#N/A</v>
      </c>
      <c r="BV311" s="414" t="e">
        <f>IF(AND(BR311&gt;NDC!$C$63,BS311&gt;NDC!$C$65,BT311&gt;NDC!$D$73,BU311&gt;NDC!$D$74,$B311&gt;NDC!$H$22-0.1+MIN(3*BV$12,1.5)),0,1)</f>
        <v>#N/A</v>
      </c>
      <c r="BW311" s="86" t="b">
        <f t="shared" si="445"/>
        <v>0</v>
      </c>
      <c r="BX311" s="86">
        <f t="shared" si="446"/>
        <v>0.5</v>
      </c>
      <c r="BY311" s="86">
        <f t="shared" si="447"/>
        <v>0.5</v>
      </c>
      <c r="BZ311" s="30" t="e">
        <f t="shared" ca="1" si="480"/>
        <v>#DIV/0!</v>
      </c>
      <c r="CA311" s="85" t="e">
        <f ca="1">IF(BG311&lt;=Hypothèses!$V$7,Hypothèses!$W$7,IF(BG311&lt;=Hypothèses!$V$8,Hypothèses!$W$8,IF(BG311&lt;=Hypothèses!$V$9,Hypothèses!$W$9,IF(BG311&lt;=Hypothèses!$V$10,Hypothèses!$W$10,IF(BG311&lt;=Hypothèses!$V$11,Hypothèses!$W$11,IF(BG311&lt;=Hypothèses!$V$12,Hypothèses!$W$12,IF(BG311&lt;=Hypothèses!$V$13,Hypothèses!$W$13,IF(BG311&lt;=Hypothèses!$V$14,Hypothèses!$W$14,IF(BG311&lt;=Hypothèses!$V$15,Hypothèses!$W$15,IF(BG311&lt;=Hypothèses!$V$16,Hypothèses!$W$16,IF(BG311&lt;=Hypothèses!$V$17,Hypothèses!$W$17,IF(BG311&lt;=Hypothèses!$V$18,Hypothèses!$W$18,""))))))))))))</f>
        <v>#DIV/0!</v>
      </c>
      <c r="CB311" s="87" t="e">
        <f t="shared" ca="1" si="519"/>
        <v>#DIV/0!</v>
      </c>
      <c r="CC311" s="88" t="e">
        <f ca="1">IF(BG311&lt;=Hypothèses!$V$7,Hypothèses!$X$7,IF(BG311&lt;=Hypothèses!$V$8,Hypothèses!$X$8,IF(BG311&lt;=Hypothèses!$V$9,Hypothèses!$X$9,IF(BG311&lt;=Hypothèses!$V$10,Hypothèses!$X$10,IF(BG311&lt;=Hypothèses!$V$11,Hypothèses!$X$11,IF(BG311&lt;=Hypothèses!$V$12,Hypothèses!$X$12,IF(BG311&lt;=Hypothèses!$V$13,Hypothèses!$X$13,IF(BG311&lt;=Hypothèses!$V$14,Hypothèses!$X$14,IF(BG311&lt;=Hypothèses!$V$15,Hypothèses!$X$15,IF(BG311&lt;=Hypothèses!$V$16,Hypothèses!$X$16,IF(BG311&lt;=Hypothèses!$U$17,Hypothèses!$W$17,IF(BG311&lt;=Hypothèses!$U$18,Hypothèses!$W$18,""))))))))))))</f>
        <v>#DIV/0!</v>
      </c>
      <c r="CD311" s="95" t="e">
        <f t="shared" ca="1" si="481"/>
        <v>#DIV/0!</v>
      </c>
      <c r="CE311" s="101">
        <f t="shared" si="526"/>
        <v>0</v>
      </c>
      <c r="CF311" s="91">
        <f t="shared" si="448"/>
        <v>0</v>
      </c>
      <c r="CG311" s="30" t="e">
        <f t="shared" si="506"/>
        <v>#N/A</v>
      </c>
      <c r="CH311" s="30" t="e">
        <f t="shared" si="507"/>
        <v>#N/A</v>
      </c>
      <c r="CI311" s="31" t="e">
        <f>IF(OR(Hypothèses!$B$4=17,Hypothèses!$B$4=18,Hypothèses!$B$4=19,Hypothèses!$B$4=20),
IF($D311="Pressio.",
IF(OR($E311=3,$E311=1,$E311=4),CH311,CG311),
IF($D311="Pénétro.",
IF(OR($E311=3,$E311=1,$E311=4),CH311,CG311))),IF($D311="Pressio.",
IF($E311=3,CH311,CG311),
IF($D311="Pénétro.",
IF($E311=4,CH311,CG311))))</f>
        <v>#N/A</v>
      </c>
      <c r="CJ311" s="31">
        <v>0</v>
      </c>
      <c r="CK311" s="102" t="e">
        <f>IF(NDC!$H$10="Oui",(VLOOKUP($B$3,'Coeff EC7'!$T$39:$X$59,2,0)*CI311+VLOOKUP($B$3,'Coeff EC7'!$T$65:$X$85,2,0)*Model0.1T!CJ311)/1.5,PI()*CG$12*$Q311*($B311-$B310)*0.15/10+CK310)</f>
        <v>#N/A</v>
      </c>
      <c r="CL311" s="102" t="e">
        <f>(VLOOKUP($B$3,'Coeff EC7'!$T$39:$X$59,3,0)*CI311+VLOOKUP($B$3,'Coeff EC7'!$T$65:$X$85,3,0)*Model0.1T!CJ311)/1.1</f>
        <v>#N/A</v>
      </c>
      <c r="CM311" s="102" t="e">
        <f t="shared" si="482"/>
        <v>#N/A</v>
      </c>
      <c r="CN311" s="102" t="e">
        <f t="shared" si="483"/>
        <v>#N/A</v>
      </c>
      <c r="CO311" s="414" t="e">
        <f>IF(AND(CK311&gt;NDC!$C$63,CL311&gt;NDC!$C$65,CM311&gt;NDC!$D$73,CN311&gt;NDC!$D$74,$B311&gt;NDC!$H$22-0.1+MIN(3*CO$12,1.5)),0,1)</f>
        <v>#N/A</v>
      </c>
      <c r="CP311" s="86" t="b">
        <f t="shared" si="449"/>
        <v>0</v>
      </c>
      <c r="CQ311" s="86">
        <f t="shared" si="450"/>
        <v>0.5</v>
      </c>
      <c r="CR311" s="86">
        <f t="shared" si="451"/>
        <v>0.5</v>
      </c>
      <c r="CS311" s="30" t="e">
        <f t="shared" ca="1" si="484"/>
        <v>#DIV/0!</v>
      </c>
      <c r="CT311" s="85" t="e">
        <f ca="1">IF(BZ311&lt;=Hypothèses!$V$7,Hypothèses!$W$7,IF(BZ311&lt;=Hypothèses!$V$8,Hypothèses!$W$8,IF(BZ311&lt;=Hypothèses!$V$9,Hypothèses!$W$9,IF(BZ311&lt;=Hypothèses!$V$10,Hypothèses!$W$10,IF(BZ311&lt;=Hypothèses!$V$11,Hypothèses!$W$11,IF(BZ311&lt;=Hypothèses!$V$12,Hypothèses!$W$12,IF(BZ311&lt;=Hypothèses!$V$13,Hypothèses!$W$13,IF(BZ311&lt;=Hypothèses!$V$14,Hypothèses!$W$14,IF(BZ311&lt;=Hypothèses!$V$15,Hypothèses!$W$15,IF(BZ311&lt;=Hypothèses!$V$16,Hypothèses!$W$16,IF(BZ311&lt;=Hypothèses!$V$17,Hypothèses!$W$17,IF(BZ311&lt;=Hypothèses!$V$18,Hypothèses!$W$18,""))))))))))))</f>
        <v>#DIV/0!</v>
      </c>
      <c r="CU311" s="87" t="e">
        <f t="shared" ca="1" si="520"/>
        <v>#DIV/0!</v>
      </c>
      <c r="CV311" s="88" t="e">
        <f ca="1">IF(BZ311&lt;=Hypothèses!$V$7,Hypothèses!$X$7,IF(BZ311&lt;=Hypothèses!$V$8,Hypothèses!$X$8,IF(BZ311&lt;=Hypothèses!$V$9,Hypothèses!$X$9,IF(BZ311&lt;=Hypothèses!$V$10,Hypothèses!$X$10,IF(BZ311&lt;=Hypothèses!$V$11,Hypothèses!$X$11,IF(BZ311&lt;=Hypothèses!$V$12,Hypothèses!$X$12,IF(BZ311&lt;=Hypothèses!$V$13,Hypothèses!$X$13,IF(BZ311&lt;=Hypothèses!$V$14,Hypothèses!$X$14,IF(BZ311&lt;=Hypothèses!$V$15,Hypothèses!$X$15,IF(BZ311&lt;=Hypothèses!$V$16,Hypothèses!$X$16,IF(BZ311&lt;=Hypothèses!$U$17,Hypothèses!$W$17,IF(BZ311&lt;=Hypothèses!$U$18,Hypothèses!$W$18,""))))))))))))</f>
        <v>#DIV/0!</v>
      </c>
      <c r="CW311" s="95" t="e">
        <f t="shared" ca="1" si="485"/>
        <v>#DIV/0!</v>
      </c>
      <c r="CX311" s="101">
        <f t="shared" si="527"/>
        <v>0</v>
      </c>
      <c r="CY311" s="91">
        <f t="shared" si="452"/>
        <v>0</v>
      </c>
      <c r="CZ311" s="30" t="e">
        <f t="shared" si="508"/>
        <v>#N/A</v>
      </c>
      <c r="DA311" s="30" t="e">
        <f t="shared" si="509"/>
        <v>#N/A</v>
      </c>
      <c r="DB311" s="31" t="e">
        <f>IF(OR(Hypothèses!$B$4=17,Hypothèses!$B$4=18,Hypothèses!$B$4=19,Hypothèses!$B$4=20),
IF($D311="Pressio.",
IF(OR($E311=3,$E311=1,$E311=4),DA311,CZ311),
IF($D311="Pénétro.",
IF(OR($E311=3,$E311=1,$E311=4),DA311,CZ311))),IF($D311="Pressio.",
IF($E311=3,DA311,CZ311),
IF($D311="Pénétro.",
IF($E311=4,DA311,CZ311))))</f>
        <v>#N/A</v>
      </c>
      <c r="DC311" s="31">
        <v>0</v>
      </c>
      <c r="DD311" s="102" t="e">
        <f>IF(NDC!$H$10="Oui",(VLOOKUP($B$3,'Coeff EC7'!$T$39:$X$59,2,0)*DB311+VLOOKUP($B$3,'Coeff EC7'!$T$65:$X$85,2,0)*Model0.1T!DC311)/1.5,PI()*CZ$12*$Q311*($B311-$B310)*0.15/10+DD310)</f>
        <v>#N/A</v>
      </c>
      <c r="DE311" s="102" t="e">
        <f>(VLOOKUP($B$3,'Coeff EC7'!$T$39:$X$59,3,0)*DB311+VLOOKUP($B$3,'Coeff EC7'!$T$65:$X$85,3,0)*Model0.1T!DC311)/1.1</f>
        <v>#N/A</v>
      </c>
      <c r="DF311" s="102" t="e">
        <f t="shared" si="486"/>
        <v>#N/A</v>
      </c>
      <c r="DG311" s="102" t="e">
        <f t="shared" si="487"/>
        <v>#N/A</v>
      </c>
      <c r="DH311" s="414" t="e">
        <f>IF(AND(DD311&gt;NDC!$C$63,DE311&gt;NDC!$C$65,DF311&gt;NDC!$D$73,DG311&gt;NDC!$D$74,$B311&gt;NDC!$H$22-0.1+MIN(3*DH$12,1.5)),0,1)</f>
        <v>#N/A</v>
      </c>
      <c r="DI311" s="86" t="b">
        <f t="shared" si="453"/>
        <v>0</v>
      </c>
      <c r="DJ311" s="86">
        <f t="shared" si="454"/>
        <v>0.5</v>
      </c>
      <c r="DK311" s="86">
        <f t="shared" si="455"/>
        <v>0.5</v>
      </c>
      <c r="DL311" s="30" t="e">
        <f t="shared" ca="1" si="488"/>
        <v>#DIV/0!</v>
      </c>
      <c r="DM311" s="85" t="e">
        <f ca="1">IF(CS311&lt;=Hypothèses!$V$7,Hypothèses!$W$7,IF(CS311&lt;=Hypothèses!$V$8,Hypothèses!$W$8,IF(CS311&lt;=Hypothèses!$V$9,Hypothèses!$W$9,IF(CS311&lt;=Hypothèses!$V$10,Hypothèses!$W$10,IF(CS311&lt;=Hypothèses!$V$11,Hypothèses!$W$11,IF(CS311&lt;=Hypothèses!$V$12,Hypothèses!$W$12,IF(CS311&lt;=Hypothèses!$V$13,Hypothèses!$W$13,IF(CS311&lt;=Hypothèses!$V$14,Hypothèses!$W$14,IF(CS311&lt;=Hypothèses!$V$15,Hypothèses!$W$15,IF(CS311&lt;=Hypothèses!$V$16,Hypothèses!$W$16,IF(CS311&lt;=Hypothèses!$V$17,Hypothèses!$W$17,IF(CS311&lt;=Hypothèses!$V$18,Hypothèses!$W$18,""))))))))))))</f>
        <v>#DIV/0!</v>
      </c>
      <c r="DN311" s="87" t="e">
        <f t="shared" ca="1" si="521"/>
        <v>#DIV/0!</v>
      </c>
      <c r="DO311" s="88" t="e">
        <f ca="1">IF(CS311&lt;=Hypothèses!$V$7,Hypothèses!$X$7,IF(CS311&lt;=Hypothèses!$V$8,Hypothèses!$X$8,IF(CS311&lt;=Hypothèses!$V$9,Hypothèses!$X$9,IF(CS311&lt;=Hypothèses!$V$10,Hypothèses!$X$10,IF(CS311&lt;=Hypothèses!$V$11,Hypothèses!$X$11,IF(CS311&lt;=Hypothèses!$V$12,Hypothèses!$X$12,IF(CS311&lt;=Hypothèses!$V$13,Hypothèses!$X$13,IF(CS311&lt;=Hypothèses!$V$14,Hypothèses!$X$14,IF(CS311&lt;=Hypothèses!$V$15,Hypothèses!$X$15,IF(CS311&lt;=Hypothèses!$V$16,Hypothèses!$X$16,IF(CS311&lt;=Hypothèses!$U$17,Hypothèses!$W$17,IF(CS311&lt;=Hypothèses!$U$18,Hypothèses!$W$18,""))))))))))))</f>
        <v>#DIV/0!</v>
      </c>
      <c r="DP311" s="95" t="e">
        <f t="shared" ca="1" si="489"/>
        <v>#DIV/0!</v>
      </c>
      <c r="DQ311" s="101">
        <f t="shared" si="528"/>
        <v>0</v>
      </c>
      <c r="DR311" s="91">
        <f t="shared" si="456"/>
        <v>0</v>
      </c>
      <c r="DS311" s="30" t="e">
        <f t="shared" si="510"/>
        <v>#N/A</v>
      </c>
      <c r="DT311" s="30" t="e">
        <f t="shared" si="511"/>
        <v>#N/A</v>
      </c>
      <c r="DU311" s="31" t="e">
        <f>IF(OR(Hypothèses!$B$4=17,Hypothèses!$B$4=18,Hypothèses!$B$4=19,Hypothèses!$B$4=20),
IF($D311="Pressio.",
IF(OR($E311=3,$E311=1,$E311=4),DT311,DS311),
IF($D311="Pénétro.",
IF(OR($E311=3,$E311=1,$E311=4),DT311,DS311))),IF($D311="Pressio.",
IF($E311=3,DT311,DS311),
IF($D311="Pénétro.",
IF($E311=4,DT311,DS311))))</f>
        <v>#N/A</v>
      </c>
      <c r="DV311" s="31">
        <v>0</v>
      </c>
      <c r="DW311" s="102" t="e">
        <f>IF(NDC!$H$10="Oui",(VLOOKUP($B$3,'Coeff EC7'!$T$39:$X$59,2,0)*DU311+VLOOKUP($B$3,'Coeff EC7'!$T$65:$X$85,2,0)*Model0.1T!DV311)/1.5,PI()*DS$12*$Q311*($B311-$B310)*0.15/10+DW310)</f>
        <v>#N/A</v>
      </c>
      <c r="DX311" s="102" t="e">
        <f>(VLOOKUP($B$3,'Coeff EC7'!$T$39:$X$59,3,0)*DU311+VLOOKUP($B$3,'Coeff EC7'!$T$65:$X$85,3,0)*Model0.1T!DV311)/1.1</f>
        <v>#N/A</v>
      </c>
      <c r="DY311" s="102" t="e">
        <f t="shared" si="490"/>
        <v>#N/A</v>
      </c>
      <c r="DZ311" s="102" t="e">
        <f t="shared" si="491"/>
        <v>#N/A</v>
      </c>
      <c r="EA311" s="414" t="e">
        <f>IF(AND(DW311&gt;NDC!$C$63,DX311&gt;NDC!$C$65,DY311&gt;NDC!$D$73,DZ311&gt;NDC!$D$74,$B311&gt;NDC!$H$22-0.1+MIN(3*EA$12,1.5)),0,1)</f>
        <v>#N/A</v>
      </c>
      <c r="EB311" s="86" t="b">
        <f t="shared" si="457"/>
        <v>0</v>
      </c>
      <c r="EC311" s="418">
        <f t="shared" si="458"/>
        <v>0.51</v>
      </c>
      <c r="ED311" s="86">
        <f t="shared" si="459"/>
        <v>0.51</v>
      </c>
      <c r="EE311" s="30" t="e">
        <f t="shared" ca="1" si="492"/>
        <v>#DIV/0!</v>
      </c>
      <c r="EF311" s="85" t="e">
        <f ca="1">IF(DL311&lt;=Hypothèses!$V$7,Hypothèses!$W$7,IF(DL311&lt;=Hypothèses!$V$8,Hypothèses!$W$8,IF(DL311&lt;=Hypothèses!$V$9,Hypothèses!$W$9,IF(DL311&lt;=Hypothèses!$V$10,Hypothèses!$W$10,IF(DL311&lt;=Hypothèses!$V$11,Hypothèses!$W$11,IF(DL311&lt;=Hypothèses!$V$12,Hypothèses!$W$12,IF(DL311&lt;=Hypothèses!$V$13,Hypothèses!$W$13,IF(DL311&lt;=Hypothèses!$V$14,Hypothèses!$W$14,IF(DL311&lt;=Hypothèses!$V$15,Hypothèses!$W$15,IF(DL311&lt;=Hypothèses!$V$16,Hypothèses!$W$16,IF(DL311&lt;=Hypothèses!$V$17,Hypothèses!$W$17,IF(DL311&lt;=Hypothèses!$V$18,Hypothèses!$W$18,""))))))))))))</f>
        <v>#DIV/0!</v>
      </c>
      <c r="EG311" s="87" t="e">
        <f t="shared" ca="1" si="522"/>
        <v>#DIV/0!</v>
      </c>
      <c r="EH311" s="88" t="e">
        <f ca="1">IF(DL311&lt;=Hypothèses!$V$7,Hypothèses!$X$7,IF(DL311&lt;=Hypothèses!$V$8,Hypothèses!$X$8,IF(DL311&lt;=Hypothèses!$V$9,Hypothèses!$X$9,IF(DL311&lt;=Hypothèses!$V$10,Hypothèses!$X$10,IF(DL311&lt;=Hypothèses!$V$11,Hypothèses!$X$11,IF(DL311&lt;=Hypothèses!$V$12,Hypothèses!$X$12,IF(DL311&lt;=Hypothèses!$V$13,Hypothèses!$X$13,IF(DL311&lt;=Hypothèses!$V$14,Hypothèses!$X$14,IF(DL311&lt;=Hypothèses!$V$15,Hypothèses!$X$15,IF(DL311&lt;=Hypothèses!$V$16,Hypothèses!$X$16,IF(DL311&lt;=Hypothèses!$U$17,Hypothèses!$W$17,IF(DL311&lt;=Hypothèses!$U$18,Hypothèses!$W$18,""))))))))))))</f>
        <v>#DIV/0!</v>
      </c>
      <c r="EI311" s="95" t="e">
        <f t="shared" ca="1" si="493"/>
        <v>#DIV/0!</v>
      </c>
      <c r="EJ311" s="101">
        <f t="shared" si="529"/>
        <v>0</v>
      </c>
      <c r="EK311" s="91">
        <f t="shared" si="460"/>
        <v>0</v>
      </c>
      <c r="EL311" s="30" t="e">
        <f t="shared" si="512"/>
        <v>#N/A</v>
      </c>
      <c r="EM311" s="30" t="e">
        <f t="shared" si="513"/>
        <v>#N/A</v>
      </c>
      <c r="EN311" s="31" t="e">
        <f>IF(OR(Hypothèses!$B$4=17,Hypothèses!$B$4=18,Hypothèses!$B$4=19,Hypothèses!$B$4=20),
IF($D311="Pressio.",
IF(OR($E311=3,$E311=1,$E311=4),EM311,EL311),
IF($D311="Pénétro.",
IF(OR($E311=3,$E311=1,$E311=4),EM311,EL311))),IF($D311="Pressio.",
IF($E311=3,EM311,EL311),
IF($D311="Pénétro.",
IF($E311=4,EM311,EL311))))</f>
        <v>#N/A</v>
      </c>
      <c r="EO311" s="31">
        <v>0</v>
      </c>
      <c r="EP311" s="102" t="e">
        <f>IF(NDC!$H$10="Oui",(VLOOKUP($B$3,'Coeff EC7'!$T$39:$X$59,2,0)*EN311+VLOOKUP($B$3,'Coeff EC7'!$T$65:$X$85,2,0)*Model0.1T!EO311)/1.5,PI()*EL$12*$Q311*($B311-$B310)*0.15/10+EP310)</f>
        <v>#N/A</v>
      </c>
      <c r="EQ311" s="102" t="e">
        <f>(VLOOKUP($B$3,'Coeff EC7'!$T$39:$X$59,3,0)*EN311+VLOOKUP($B$3,'Coeff EC7'!$T$65:$X$85,3,0)*Model0.1T!EO311)/1.1</f>
        <v>#N/A</v>
      </c>
      <c r="ER311" s="102" t="e">
        <f t="shared" si="494"/>
        <v>#N/A</v>
      </c>
      <c r="ES311" s="102" t="e">
        <f t="shared" si="495"/>
        <v>#N/A</v>
      </c>
      <c r="ET311" s="414" t="e">
        <f>IF(AND(EP311&gt;NDC!$C$63,EQ311&gt;NDC!$C$65,ER311&gt;NDC!$D$73,ES311&gt;NDC!$D$74,$B311&gt;NDC!$H$22-0.1+MIN(3*ET$12,1.5)),0,1)</f>
        <v>#N/A</v>
      </c>
      <c r="EU311" s="86" t="b">
        <f t="shared" si="461"/>
        <v>0</v>
      </c>
      <c r="EV311" s="86">
        <f t="shared" si="462"/>
        <v>0.61</v>
      </c>
      <c r="EW311" s="86">
        <f t="shared" si="463"/>
        <v>0.61</v>
      </c>
      <c r="EX311" s="30" t="e">
        <f t="shared" ca="1" si="496"/>
        <v>#DIV/0!</v>
      </c>
      <c r="EY311" s="85" t="e">
        <f ca="1">IF(EE311&lt;=Hypothèses!$V$7,Hypothèses!$W$7,IF(EE311&lt;=Hypothèses!$V$8,Hypothèses!$W$8,IF(EE311&lt;=Hypothèses!$V$9,Hypothèses!$W$9,IF(EE311&lt;=Hypothèses!$V$10,Hypothèses!$W$10,IF(EE311&lt;=Hypothèses!$V$11,Hypothèses!$W$11,IF(EE311&lt;=Hypothèses!$V$12,Hypothèses!$W$12,IF(EE311&lt;=Hypothèses!$V$13,Hypothèses!$W$13,IF(EE311&lt;=Hypothèses!$V$14,Hypothèses!$W$14,IF(EE311&lt;=Hypothèses!$V$15,Hypothèses!$W$15,IF(EE311&lt;=Hypothèses!$V$16,Hypothèses!$W$16,IF(EE311&lt;=Hypothèses!$V$17,Hypothèses!$W$17,IF(EE311&lt;=Hypothèses!$V$18,Hypothèses!$W$18,""))))))))))))</f>
        <v>#DIV/0!</v>
      </c>
      <c r="EZ311" s="87" t="e">
        <f t="shared" ca="1" si="523"/>
        <v>#DIV/0!</v>
      </c>
      <c r="FA311" s="88" t="e">
        <f ca="1">IF(EE311&lt;=Hypothèses!$V$7,Hypothèses!$X$7,IF(EE311&lt;=Hypothèses!$V$8,Hypothèses!$X$8,IF(EE311&lt;=Hypothèses!$V$9,Hypothèses!$X$9,IF(EE311&lt;=Hypothèses!$V$10,Hypothèses!$X$10,IF(EE311&lt;=Hypothèses!$V$11,Hypothèses!$X$11,IF(EE311&lt;=Hypothèses!$V$12,Hypothèses!$X$12,IF(EE311&lt;=Hypothèses!$V$13,Hypothèses!$X$13,IF(EE311&lt;=Hypothèses!$V$14,Hypothèses!$X$14,IF(EE311&lt;=Hypothèses!$V$15,Hypothèses!$X$15,IF(EE311&lt;=Hypothèses!$V$16,Hypothèses!$X$16,IF(EE311&lt;=Hypothèses!$U$17,Hypothèses!$W$17,IF(EE311&lt;=Hypothèses!$U$18,Hypothèses!$W$18,""))))))))))))</f>
        <v>#DIV/0!</v>
      </c>
      <c r="FB311" s="95" t="e">
        <f t="shared" ca="1" si="497"/>
        <v>#DIV/0!</v>
      </c>
      <c r="FC311" s="101">
        <f t="shared" si="530"/>
        <v>0</v>
      </c>
      <c r="FD311" s="91">
        <f t="shared" si="464"/>
        <v>0</v>
      </c>
      <c r="FE311" s="30" t="e">
        <f t="shared" si="514"/>
        <v>#N/A</v>
      </c>
      <c r="FF311" s="30" t="e">
        <f t="shared" si="515"/>
        <v>#N/A</v>
      </c>
      <c r="FG311" s="31" t="e">
        <f>IF(OR(Hypothèses!$B$4=17,Hypothèses!$B$4=18,Hypothèses!$B$4=19,Hypothèses!$B$4=20),
IF($D311="Pressio.",
IF(OR($E311=3,$E311=1,$E311=4),FF311,FE311),
IF($D311="Pénétro.",
IF(OR($E311=3,$E311=1,$E311=4),FF311,FE311))),IF($D311="Pressio.",
IF($E311=3,FF311,FE311),
IF($D311="Pénétro.",
IF($E311=4,FF311,FE311))))</f>
        <v>#N/A</v>
      </c>
      <c r="FH311" s="31">
        <v>0</v>
      </c>
      <c r="FI311" s="102" t="e">
        <f>IF(NDC!$H$10="Oui",(VLOOKUP($B$3,'Coeff EC7'!$T$39:$X$59,2,0)*FG311+VLOOKUP($B$3,'Coeff EC7'!$T$65:$X$85,2,0)*Model0.1T!FH311)/1.5,PI()*FE$12*$Q311*($B311-$B310)*0.15/10+FI310)</f>
        <v>#N/A</v>
      </c>
      <c r="FJ311" s="102" t="e">
        <f>(VLOOKUP($B$3,'Coeff EC7'!$T$39:$X$59,3,0)*FG311+VLOOKUP($B$3,'Coeff EC7'!$T$65:$X$85,3,0)*Model0.1T!FH311)/1.1</f>
        <v>#N/A</v>
      </c>
      <c r="FK311" s="102" t="e">
        <f t="shared" si="498"/>
        <v>#N/A</v>
      </c>
      <c r="FL311" s="102" t="e">
        <f t="shared" si="499"/>
        <v>#N/A</v>
      </c>
      <c r="FM311" s="414" t="e">
        <f>IF(AND(FI311&gt;NDC!$C$63,FJ311&gt;NDC!$C$65,FK311&gt;NDC!$D$73,FL311&gt;NDC!$D$74,$B311&gt;NDC!$H$22-0.1+MIN(3*FM$12,1.5)),0,1)</f>
        <v>#N/A</v>
      </c>
    </row>
    <row r="312" spans="1:169">
      <c r="A312" s="96">
        <f t="shared" si="465"/>
        <v>70.1000000000017</v>
      </c>
      <c r="B312" s="97">
        <v>29.9</v>
      </c>
      <c r="C312" s="81">
        <f>IF(B312&lt;=Hypothèses!$C$7,Hypothèses!$A$7,IF(B312&lt;=Hypothèses!$C$8,Hypothèses!$A$8,IF(B312&lt;=Hypothèses!$C$9,Hypothèses!$A$9,IF(B312&lt;=Hypothèses!$C$10,Hypothèses!$A$10,IF(B312&lt;=Hypothèses!$C$11,Hypothèses!$A$11,IF(B312&lt;=Hypothèses!$C$12,Hypothèses!$A$12,IF(B312&lt;=Hypothèses!$C$13,Hypothèses!$A$13,IF(B312&lt;=Hypothèses!$C$14,Hypothèses!$A$14,IF(B312&lt;=Hypothèses!$C$15,Hypothèses!$A$15,IF(B312&lt;=Hypothèses!$C$16,Hypothèses!$A$16,IF(B312&lt;=Hypothèses!$C$17,Hypothèses!$A$17,IF(B312&lt;=Hypothèses!$C$18,Hypothèses!$A$18,C311))))))))))))</f>
        <v>11</v>
      </c>
      <c r="D312" s="82" t="str">
        <f>IF(B312&lt;=Hypothèses!$C$7,Hypothèses!$R$7,IF(B312&lt;=Hypothèses!$C$8,Hypothèses!$R$8,IF(B312&lt;=Hypothèses!$C$9,Hypothèses!$R$9,IF(B312&lt;=Hypothèses!$C$10,Hypothèses!$R$10,IF(B312&lt;=Hypothèses!$C$11,Hypothèses!$R$11,IF(B312&lt;=Hypothèses!$C$12,Hypothèses!$R$12,IF(B312&lt;=Hypothèses!$C$13,Hypothèses!$R$13,IF(B312&lt;=Hypothèses!$C$14,Hypothèses!$R$14,IF(B312&lt;=Hypothèses!$C$15,Hypothèses!$R$15,IF(B312&lt;=Hypothèses!$C$16,Hypothèses!$R$16,IF(B312&lt;=Hypothèses!$C$17,Hypothèses!$R$17,IF(B312&lt;=Hypothèses!$C$18,Hypothèses!$R$18,D311))))))))))))</f>
        <v>Pressio.</v>
      </c>
      <c r="E312" s="82" t="e">
        <f>IF(B312&lt;=Hypothèses!$C$7,Hypothèses!$G$7,IF(B312&lt;=Hypothèses!$C$8,Hypothèses!$G$8,IF(B312&lt;=Hypothèses!$C$9,Hypothèses!$G$9,IF(B312&lt;=Hypothèses!$C$10,Hypothèses!$G$10,IF(B312&lt;=Hypothèses!$C$11,Hypothèses!$G$11,IF(B312&lt;=Hypothèses!$C$12,Hypothèses!$G$12,IF(B312&lt;=Hypothèses!$C$13,Hypothèses!$G$13,IF(B312&lt;=Hypothèses!$C$14,Hypothèses!$G$14,IF(B312&lt;=Hypothèses!$C$15,Hypothèses!$G$15,IF(B312&lt;=Hypothèses!$C$16,Hypothèses!$G$16,IF(B312&lt;=Hypothèses!$C$17,Hypothèses!$G$17,IF(B312&lt;=Hypothèses!$C$18,Hypothèses!$G$18,E311))))))))))))</f>
        <v>#N/A</v>
      </c>
      <c r="F312" s="82" t="str">
        <f>IF(B312&lt;=Hypothèses!$C$7,Hypothèses!$F$7,IF(B312&lt;=Hypothèses!$C$8,Hypothèses!$F$8,IF(B312&lt;=Hypothèses!$C$9,Hypothèses!$F$9,IF(B312&lt;=Hypothèses!$C$10,Hypothèses!$F$10,IF(B312&lt;=Hypothèses!$C$11,Hypothèses!$F$11,IF(B312&lt;=Hypothèses!$C$12,Hypothèses!$F$12,IF(B312&lt;=Hypothèses!$C$13,Hypothèses!$F$13,IF(B312&lt;=Hypothèses!$C$14,Hypothèses!$F$14,IF(B312&lt;=Hypothèses!$C$15,Hypothèses!$F$15,IF(B312&lt;=Hypothèses!$C$16,Hypothèses!$F$16,IF(B312&lt;=Hypothèses!$C$17,Hypothèses!$F$17,IF(B312&lt;=Hypothèses!$C$18,Hypothèses!$F$18,F311))))))))))))</f>
        <v/>
      </c>
      <c r="G312" s="91">
        <f t="array" ref="G312">INDEX('Coeff EC7'!$U$7:$X$27,
MATCH(Model0.1T!$B$3,'Coeff EC7'!$T$7:$T$27,0),
MATCH(Model0.1T!$D312&amp;Model0.1T!$B$4,
'Coeff EC7'!$U$6:$X$6&amp;
'Coeff EC7'!$U$5:$X$5,0))</f>
        <v>1.4</v>
      </c>
      <c r="H312" s="91">
        <f t="array" ref="H312">INDEX('Coeff EC7'!$Y$7:$AB$27,
MATCH(Model0.1T!$B$3,'Coeff EC7'!$T$7:$T$27,0),
MATCH(Model0.1T!$D312&amp;Model0.1T!$B$4,
'Coeff EC7'!$Y$6:$AB$6&amp;
'Coeff EC7'!$Y$5:$AB$5,0))</f>
        <v>1.7</v>
      </c>
      <c r="I312" s="83">
        <v>0</v>
      </c>
      <c r="J312" s="91" t="e">
        <f t="array" ref="J312">INDEX('Coeff EC7'!$D$33:$Q$33,1,MATCH(D312&amp;E312,'Coeff EC7'!$D$31:$Q$31&amp;'Coeff EC7'!$D$32:$Q$32,0))</f>
        <v>#N/A</v>
      </c>
      <c r="K312" s="91" t="e">
        <f t="array" ref="K312">INDEX('Coeff EC7'!$D$34:$Q$34,1,MATCH(D312&amp;E312,'Coeff EC7'!$D$31:$Q$31&amp;'Coeff EC7'!$D$32:$Q$32,0))</f>
        <v>#N/A</v>
      </c>
      <c r="L312" s="91" t="e">
        <f t="array" ref="L312">INDEX('Coeff EC7'!$D$35:$Q$35,1,MATCH(D312&amp;E312,'Coeff EC7'!$D$31:$Q$31&amp;'Coeff EC7'!$D$32:$Q$32,0))</f>
        <v>#N/A</v>
      </c>
      <c r="M312" s="98" t="e">
        <f t="shared" si="431"/>
        <v>#N/A</v>
      </c>
      <c r="N312" s="99" t="e">
        <f t="array" ref="N312">INDEX('Coeff EC7'!$D$7:$Q$27,MATCH($B$3,'Coeff EC7'!$C$7:$C$27,0),MATCH(D312&amp;E312,'Coeff EC7'!$D$5:$Q$5&amp;'Coeff EC7'!$D$6:$Q$6,0))</f>
        <v>#N/A</v>
      </c>
      <c r="O312" s="99" t="e">
        <f t="array" ref="O312">INDEX('Coeff EC7'!$D$41:$Q$61,MATCH($B$3,'Coeff EC7'!$C$41:$C$61,0),MATCH(D312&amp;E312,'Coeff EC7'!$D$39:$Q$39&amp;'Coeff EC7'!$D$40:$Q$40,0))</f>
        <v>#N/A</v>
      </c>
      <c r="P312" s="30" t="e">
        <f t="shared" si="466"/>
        <v>#N/A</v>
      </c>
      <c r="Q312" s="100" t="e">
        <f t="shared" si="433"/>
        <v>#N/A</v>
      </c>
      <c r="R312" s="86" t="b">
        <f t="shared" si="434"/>
        <v>0</v>
      </c>
      <c r="S312" s="86">
        <f t="shared" si="432"/>
        <v>0.5</v>
      </c>
      <c r="T312" s="86">
        <f t="shared" si="435"/>
        <v>0.5</v>
      </c>
      <c r="U312" s="30" t="e">
        <f t="shared" ca="1" si="467"/>
        <v>#DIV/0!</v>
      </c>
      <c r="V312" s="85" t="str">
        <f>IF(B312&lt;=Hypothèses!$V$7,Hypothèses!$W$7,IF(B312&lt;=Hypothèses!$V$8,Hypothèses!$W$8,IF(B312&lt;=Hypothèses!$V$9,Hypothèses!$W$9,IF(B312&lt;=Hypothèses!$V$10,Hypothèses!$W$10,IF(B312&lt;=Hypothèses!$V$11,Hypothèses!$W$11,IF(B312&lt;=Hypothèses!$V$12,Hypothèses!$W$12,IF(B312&lt;=Hypothèses!$V$13,Hypothèses!$W$13,IF(B312&lt;=Hypothèses!$V$14,Hypothèses!$W$14,IF(B312&lt;=Hypothèses!$V$15,Hypothèses!$W$15,IF(B312&lt;=Hypothèses!$V$16,Hypothèses!$W$16,IF(B312&lt;=Hypothèses!$V$17,Hypothèses!$W$17,IF(B312&lt;=Hypothèses!$V$18,Hypothèses!$W$18,""))))))))))))</f>
        <v/>
      </c>
      <c r="W312" s="87" t="e">
        <f t="shared" ca="1" si="516"/>
        <v>#DIV/0!</v>
      </c>
      <c r="X312" s="88" t="str">
        <f>IF(B312&lt;=Hypothèses!$V$7,Hypothèses!$X$7,IF(B312&lt;=Hypothèses!$V$8,Hypothèses!$X$8,IF(B312&lt;=Hypothèses!$V$9,Hypothèses!$X$9,IF(B312&lt;=Hypothèses!$V$10,Hypothèses!$X$10,IF(B312&lt;=Hypothèses!$V$11,Hypothèses!$X$11,IF(B312&lt;=Hypothèses!$V$12,Hypothèses!$X$12,IF(B312&lt;=Hypothèses!$V$13,Hypothèses!$X$13,IF(B312&lt;=Hypothèses!$V$14,Hypothèses!$X$14,IF(B312&lt;=Hypothèses!$V$15,Hypothèses!$X$15,IF(B312&lt;=Hypothèses!$V$16,Hypothèses!$X$16,IF(B312&lt;=Hypothèses!$U$17,Hypothèses!$W$17,IF(B312&lt;=Hypothèses!$U$18,Hypothèses!$W$18,""))))))))))))</f>
        <v/>
      </c>
      <c r="Y312" s="95" t="e">
        <f t="shared" ca="1" si="436"/>
        <v>#DIV/0!</v>
      </c>
      <c r="Z312" s="101">
        <f t="shared" si="437"/>
        <v>0</v>
      </c>
      <c r="AA312" s="91">
        <f t="shared" si="438"/>
        <v>0</v>
      </c>
      <c r="AB312" s="30" t="e">
        <f t="shared" si="500"/>
        <v>#N/A</v>
      </c>
      <c r="AC312" s="30" t="e">
        <f t="shared" si="501"/>
        <v>#N/A</v>
      </c>
      <c r="AD312" s="31" t="e">
        <f>IF(OR(Hypothèses!$B$4=17,Hypothèses!$B$4=18,Hypothèses!$B$4=19,Hypothèses!$B$4=20),
IF($D312="Pressio.",
IF(OR($E312=3,$E312=1,$E312=4),AC312,AB312),
IF($D312="Pénétro.",
IF(OR($E312=3,$E312=1,$E312=4),AC312,AB312))),IF($D312="Pressio.",
IF($E312=3,AC312,AB312),
IF($D312="Pénétro.",
IF($E312=4,AC312,AB312))))</f>
        <v>#N/A</v>
      </c>
      <c r="AE312" s="31">
        <v>0</v>
      </c>
      <c r="AF312" s="102" t="e">
        <f>IF(NDC!$H$10="Oui",(VLOOKUP($B$3,'Coeff EC7'!$T$39:$X$59,2,0)*AD312+VLOOKUP($B$3,'Coeff EC7'!$T$65:$X$85,2,0)*Model0.1T!AE312)/1.5,PI()*AB$12*$Q312*($B312-$B311)*0.15/10+AF311)</f>
        <v>#N/A</v>
      </c>
      <c r="AG312" s="102" t="e">
        <f>(VLOOKUP($B$3,'Coeff EC7'!$T$39:$X$59,3,0)*AD312+VLOOKUP($B$3,'Coeff EC7'!$T$65:$X$85,3,0)*Model0.1T!AE312)/1.1</f>
        <v>#N/A</v>
      </c>
      <c r="AH312" s="102" t="e">
        <f t="shared" si="468"/>
        <v>#N/A</v>
      </c>
      <c r="AI312" s="102" t="e">
        <f t="shared" si="469"/>
        <v>#N/A</v>
      </c>
      <c r="AJ312" s="414" t="e">
        <f>IF(AND(AF312&gt;NDC!$C$63,AG312&gt;NDC!$C$65,AH312&gt;NDC!$D$73,AI312&gt;NDC!$D$74,$B312&gt;NDC!$H$22-0.1+MIN(3*$AJ$12,1.5)),0,1)</f>
        <v>#N/A</v>
      </c>
      <c r="AK312" s="86" t="b">
        <f t="shared" si="439"/>
        <v>0</v>
      </c>
      <c r="AL312" s="86">
        <f t="shared" si="470"/>
        <v>0.5</v>
      </c>
      <c r="AM312" s="86">
        <f t="shared" si="440"/>
        <v>0.5</v>
      </c>
      <c r="AN312" s="30" t="e">
        <f t="shared" ca="1" si="471"/>
        <v>#DIV/0!</v>
      </c>
      <c r="AO312" s="85" t="e">
        <f ca="1">IF(U312&lt;=Hypothèses!$V$7,Hypothèses!$W$7,IF(U312&lt;=Hypothèses!$V$8,Hypothèses!$W$8,IF(U312&lt;=Hypothèses!$V$9,Hypothèses!$W$9,IF(U312&lt;=Hypothèses!$V$10,Hypothèses!$W$10,IF(U312&lt;=Hypothèses!$V$11,Hypothèses!$W$11,IF(U312&lt;=Hypothèses!$V$12,Hypothèses!$W$12,IF(U312&lt;=Hypothèses!$V$13,Hypothèses!$W$13,IF(U312&lt;=Hypothèses!$V$14,Hypothèses!$W$14,IF(U312&lt;=Hypothèses!$V$15,Hypothèses!$W$15,IF(U312&lt;=Hypothèses!$V$16,Hypothèses!$W$16,IF(U312&lt;=Hypothèses!$V$17,Hypothèses!$W$17,IF(U312&lt;=Hypothèses!$V$18,Hypothèses!$W$18,""))))))))))))</f>
        <v>#DIV/0!</v>
      </c>
      <c r="AP312" s="87" t="e">
        <f t="shared" ca="1" si="517"/>
        <v>#DIV/0!</v>
      </c>
      <c r="AQ312" s="88" t="e">
        <f ca="1">IF(U312&lt;=Hypothèses!$V$7,Hypothèses!$X$7,IF(U312&lt;=Hypothèses!$V$8,Hypothèses!$X$8,IF(U312&lt;=Hypothèses!$V$9,Hypothèses!$X$9,IF(U312&lt;=Hypothèses!$V$10,Hypothèses!$X$10,IF(U312&lt;=Hypothèses!$V$11,Hypothèses!$X$11,IF(U312&lt;=Hypothèses!$V$12,Hypothèses!$X$12,IF(U312&lt;=Hypothèses!$V$13,Hypothèses!$X$13,IF(U312&lt;=Hypothèses!$V$14,Hypothèses!$X$14,IF(U312&lt;=Hypothèses!$V$15,Hypothèses!$X$15,IF(U312&lt;=Hypothèses!$V$16,Hypothèses!$X$16,IF(U312&lt;=Hypothèses!$U$17,Hypothèses!$W$17,IF(U312&lt;=Hypothèses!$U$18,Hypothèses!$W$18,""))))))))))))</f>
        <v>#DIV/0!</v>
      </c>
      <c r="AR312" s="95" t="e">
        <f t="shared" ca="1" si="472"/>
        <v>#DIV/0!</v>
      </c>
      <c r="AS312" s="101">
        <f t="shared" si="524"/>
        <v>0</v>
      </c>
      <c r="AT312" s="91">
        <f t="shared" si="441"/>
        <v>0</v>
      </c>
      <c r="AU312" s="30" t="e">
        <f t="shared" si="502"/>
        <v>#N/A</v>
      </c>
      <c r="AV312" s="30" t="e">
        <f t="shared" si="503"/>
        <v>#N/A</v>
      </c>
      <c r="AW312" s="31" t="e">
        <f>IF(OR(Hypothèses!$B$4=17,Hypothèses!$B$4=18,Hypothèses!$B$4=19,Hypothèses!$B$4=20),
IF($D312="Pressio.",
IF(OR($E312=3,$E312=1,$E312=4),AV312,AU312),
IF($D312="Pénétro.",
IF(OR($E312=3,$E312=1,$E312=4),AV312,AU312))),IF($D312="Pressio.",
IF($E312=3,AV312,AU312),
IF($D312="Pénétro.",
IF($E312=4,AV312,AU312))))</f>
        <v>#N/A</v>
      </c>
      <c r="AX312" s="31">
        <v>0</v>
      </c>
      <c r="AY312" s="102" t="e">
        <f>IF(NDC!$H$10="Oui",(VLOOKUP($B$3,'Coeff EC7'!$T$39:$X$59,2,0)*AW312+VLOOKUP($B$3,'Coeff EC7'!$T$65:$X$85,2,0)*Model0.1T!AX312)/1.5,PI()*AU$12*$Q312*($B312-$B311)*0.15/10+AY311)</f>
        <v>#N/A</v>
      </c>
      <c r="AZ312" s="102" t="e">
        <f>(VLOOKUP($B$3,'Coeff EC7'!$T$39:$X$59,3,0)*AW312+VLOOKUP($B$3,'Coeff EC7'!$T$65:$X$85,3,0)*Model0.1T!AX312)/1.1</f>
        <v>#N/A</v>
      </c>
      <c r="BA312" s="102" t="e">
        <f t="shared" si="473"/>
        <v>#N/A</v>
      </c>
      <c r="BB312" s="102" t="e">
        <f t="shared" si="474"/>
        <v>#N/A</v>
      </c>
      <c r="BC312" s="414" t="e">
        <f>IF(AND(AY312&gt;NDC!$C$63,AZ312&gt;NDC!$C$65,BA312&gt;NDC!$D$73,BB312&gt;NDC!$D$74,$B312&gt;NDC!$H$22-0.1+MIN(3*BC$12,1.5)),0,1)</f>
        <v>#N/A</v>
      </c>
      <c r="BD312" s="86" t="b">
        <f t="shared" si="442"/>
        <v>0</v>
      </c>
      <c r="BE312" s="86">
        <f t="shared" si="475"/>
        <v>0.5</v>
      </c>
      <c r="BF312" s="86">
        <f t="shared" si="443"/>
        <v>0.5</v>
      </c>
      <c r="BG312" s="30" t="e">
        <f t="shared" ca="1" si="476"/>
        <v>#DIV/0!</v>
      </c>
      <c r="BH312" s="85" t="e">
        <f ca="1">IF(AN312&lt;=Hypothèses!$V$7,Hypothèses!$W$7,IF(AN312&lt;=Hypothèses!$V$8,Hypothèses!$W$8,IF(AN312&lt;=Hypothèses!$V$9,Hypothèses!$W$9,IF(AN312&lt;=Hypothèses!$V$10,Hypothèses!$W$10,IF(AN312&lt;=Hypothèses!$V$11,Hypothèses!$W$11,IF(AN312&lt;=Hypothèses!$V$12,Hypothèses!$W$12,IF(AN312&lt;=Hypothèses!$V$13,Hypothèses!$W$13,IF(AN312&lt;=Hypothèses!$V$14,Hypothèses!$W$14,IF(AN312&lt;=Hypothèses!$V$15,Hypothèses!$W$15,IF(AN312&lt;=Hypothèses!$V$16,Hypothèses!$W$16,IF(AN312&lt;=Hypothèses!$V$17,Hypothèses!$W$17,IF(AN312&lt;=Hypothèses!$V$18,Hypothèses!$W$18,""))))))))))))</f>
        <v>#DIV/0!</v>
      </c>
      <c r="BI312" s="87" t="e">
        <f t="shared" ca="1" si="518"/>
        <v>#DIV/0!</v>
      </c>
      <c r="BJ312" s="88" t="e">
        <f ca="1">IF(AN312&lt;=Hypothèses!$V$7,Hypothèses!$X$7,IF(AN312&lt;=Hypothèses!$V$8,Hypothèses!$X$8,IF(AN312&lt;=Hypothèses!$V$9,Hypothèses!$X$9,IF(AN312&lt;=Hypothèses!$V$10,Hypothèses!$X$10,IF(AN312&lt;=Hypothèses!$V$11,Hypothèses!$X$11,IF(AN312&lt;=Hypothèses!$V$12,Hypothèses!$X$12,IF(AN312&lt;=Hypothèses!$V$13,Hypothèses!$X$13,IF(AN312&lt;=Hypothèses!$V$14,Hypothèses!$X$14,IF(AN312&lt;=Hypothèses!$V$15,Hypothèses!$X$15,IF(AN312&lt;=Hypothèses!$V$16,Hypothèses!$X$16,IF(AN312&lt;=Hypothèses!$U$17,Hypothèses!$W$17,IF(AN312&lt;=Hypothèses!$U$18,Hypothèses!$W$18,""))))))))))))</f>
        <v>#DIV/0!</v>
      </c>
      <c r="BK312" s="95" t="e">
        <f t="shared" ca="1" si="477"/>
        <v>#DIV/0!</v>
      </c>
      <c r="BL312" s="101">
        <f t="shared" si="525"/>
        <v>0</v>
      </c>
      <c r="BM312" s="91">
        <f t="shared" si="444"/>
        <v>0</v>
      </c>
      <c r="BN312" s="30" t="e">
        <f t="shared" si="504"/>
        <v>#N/A</v>
      </c>
      <c r="BO312" s="30" t="e">
        <f t="shared" si="505"/>
        <v>#N/A</v>
      </c>
      <c r="BP312" s="31" t="e">
        <f>IF(OR(Hypothèses!$B$4=17,Hypothèses!$B$4=18,Hypothèses!$B$4=19,Hypothèses!$B$4=20),
IF($D312="Pressio.",
IF(OR($E312=3,$E312=1,$E312=4),BO312,BN312),
IF($D312="Pénétro.",
IF(OR($E312=3,$E312=1,$E312=4),BO312,BN312))),IF($D312="Pressio.",
IF($E312=3,BO312,BN312),
IF($D312="Pénétro.",
IF($E312=4,BO312,BN312))))</f>
        <v>#N/A</v>
      </c>
      <c r="BQ312" s="31">
        <v>0</v>
      </c>
      <c r="BR312" s="102" t="e">
        <f>IF(NDC!$H$10="Oui",(VLOOKUP($B$3,'Coeff EC7'!$T$39:$X$59,2,0)*BP312+VLOOKUP($B$3,'Coeff EC7'!$T$65:$X$85,2,0)*Model0.1T!BQ312)/1.5,PI()*BN$12*$Q312*($B312-$B311)*0.15/10+BR311)</f>
        <v>#N/A</v>
      </c>
      <c r="BS312" s="102" t="e">
        <f>(VLOOKUP($B$3,'Coeff EC7'!$T$39:$X$59,3,0)*BP312+VLOOKUP($B$3,'Coeff EC7'!$T$65:$X$85,3,0)*Model0.1T!BQ312)/1.1</f>
        <v>#N/A</v>
      </c>
      <c r="BT312" s="102" t="e">
        <f t="shared" si="478"/>
        <v>#N/A</v>
      </c>
      <c r="BU312" s="102" t="e">
        <f t="shared" si="479"/>
        <v>#N/A</v>
      </c>
      <c r="BV312" s="414" t="e">
        <f>IF(AND(BR312&gt;NDC!$C$63,BS312&gt;NDC!$C$65,BT312&gt;NDC!$D$73,BU312&gt;NDC!$D$74,$B312&gt;NDC!$H$22-0.1+MIN(3*BV$12,1.5)),0,1)</f>
        <v>#N/A</v>
      </c>
      <c r="BW312" s="86" t="b">
        <f t="shared" si="445"/>
        <v>0</v>
      </c>
      <c r="BX312" s="86">
        <f t="shared" si="446"/>
        <v>0.5</v>
      </c>
      <c r="BY312" s="86">
        <f t="shared" si="447"/>
        <v>0.5</v>
      </c>
      <c r="BZ312" s="30" t="e">
        <f t="shared" ca="1" si="480"/>
        <v>#DIV/0!</v>
      </c>
      <c r="CA312" s="85" t="e">
        <f ca="1">IF(BG312&lt;=Hypothèses!$V$7,Hypothèses!$W$7,IF(BG312&lt;=Hypothèses!$V$8,Hypothèses!$W$8,IF(BG312&lt;=Hypothèses!$V$9,Hypothèses!$W$9,IF(BG312&lt;=Hypothèses!$V$10,Hypothèses!$W$10,IF(BG312&lt;=Hypothèses!$V$11,Hypothèses!$W$11,IF(BG312&lt;=Hypothèses!$V$12,Hypothèses!$W$12,IF(BG312&lt;=Hypothèses!$V$13,Hypothèses!$W$13,IF(BG312&lt;=Hypothèses!$V$14,Hypothèses!$W$14,IF(BG312&lt;=Hypothèses!$V$15,Hypothèses!$W$15,IF(BG312&lt;=Hypothèses!$V$16,Hypothèses!$W$16,IF(BG312&lt;=Hypothèses!$V$17,Hypothèses!$W$17,IF(BG312&lt;=Hypothèses!$V$18,Hypothèses!$W$18,""))))))))))))</f>
        <v>#DIV/0!</v>
      </c>
      <c r="CB312" s="87" t="e">
        <f t="shared" ca="1" si="519"/>
        <v>#DIV/0!</v>
      </c>
      <c r="CC312" s="88" t="e">
        <f ca="1">IF(BG312&lt;=Hypothèses!$V$7,Hypothèses!$X$7,IF(BG312&lt;=Hypothèses!$V$8,Hypothèses!$X$8,IF(BG312&lt;=Hypothèses!$V$9,Hypothèses!$X$9,IF(BG312&lt;=Hypothèses!$V$10,Hypothèses!$X$10,IF(BG312&lt;=Hypothèses!$V$11,Hypothèses!$X$11,IF(BG312&lt;=Hypothèses!$V$12,Hypothèses!$X$12,IF(BG312&lt;=Hypothèses!$V$13,Hypothèses!$X$13,IF(BG312&lt;=Hypothèses!$V$14,Hypothèses!$X$14,IF(BG312&lt;=Hypothèses!$V$15,Hypothèses!$X$15,IF(BG312&lt;=Hypothèses!$V$16,Hypothèses!$X$16,IF(BG312&lt;=Hypothèses!$U$17,Hypothèses!$W$17,IF(BG312&lt;=Hypothèses!$U$18,Hypothèses!$W$18,""))))))))))))</f>
        <v>#DIV/0!</v>
      </c>
      <c r="CD312" s="95" t="e">
        <f t="shared" ca="1" si="481"/>
        <v>#DIV/0!</v>
      </c>
      <c r="CE312" s="101">
        <f t="shared" si="526"/>
        <v>0</v>
      </c>
      <c r="CF312" s="91">
        <f t="shared" si="448"/>
        <v>0</v>
      </c>
      <c r="CG312" s="30" t="e">
        <f t="shared" si="506"/>
        <v>#N/A</v>
      </c>
      <c r="CH312" s="30" t="e">
        <f t="shared" si="507"/>
        <v>#N/A</v>
      </c>
      <c r="CI312" s="31" t="e">
        <f>IF(OR(Hypothèses!$B$4=17,Hypothèses!$B$4=18,Hypothèses!$B$4=19,Hypothèses!$B$4=20),
IF($D312="Pressio.",
IF(OR($E312=3,$E312=1,$E312=4),CH312,CG312),
IF($D312="Pénétro.",
IF(OR($E312=3,$E312=1,$E312=4),CH312,CG312))),IF($D312="Pressio.",
IF($E312=3,CH312,CG312),
IF($D312="Pénétro.",
IF($E312=4,CH312,CG312))))</f>
        <v>#N/A</v>
      </c>
      <c r="CJ312" s="31">
        <v>0</v>
      </c>
      <c r="CK312" s="102" t="e">
        <f>IF(NDC!$H$10="Oui",(VLOOKUP($B$3,'Coeff EC7'!$T$39:$X$59,2,0)*CI312+VLOOKUP($B$3,'Coeff EC7'!$T$65:$X$85,2,0)*Model0.1T!CJ312)/1.5,PI()*CG$12*$Q312*($B312-$B311)*0.15/10+CK311)</f>
        <v>#N/A</v>
      </c>
      <c r="CL312" s="102" t="e">
        <f>(VLOOKUP($B$3,'Coeff EC7'!$T$39:$X$59,3,0)*CI312+VLOOKUP($B$3,'Coeff EC7'!$T$65:$X$85,3,0)*Model0.1T!CJ312)/1.1</f>
        <v>#N/A</v>
      </c>
      <c r="CM312" s="102" t="e">
        <f t="shared" si="482"/>
        <v>#N/A</v>
      </c>
      <c r="CN312" s="102" t="e">
        <f t="shared" si="483"/>
        <v>#N/A</v>
      </c>
      <c r="CO312" s="414" t="e">
        <f>IF(AND(CK312&gt;NDC!$C$63,CL312&gt;NDC!$C$65,CM312&gt;NDC!$D$73,CN312&gt;NDC!$D$74,$B312&gt;NDC!$H$22-0.1+MIN(3*CO$12,1.5)),0,1)</f>
        <v>#N/A</v>
      </c>
      <c r="CP312" s="86" t="b">
        <f t="shared" si="449"/>
        <v>0</v>
      </c>
      <c r="CQ312" s="86">
        <f t="shared" si="450"/>
        <v>0.5</v>
      </c>
      <c r="CR312" s="86">
        <f t="shared" si="451"/>
        <v>0.5</v>
      </c>
      <c r="CS312" s="30" t="e">
        <f t="shared" ca="1" si="484"/>
        <v>#DIV/0!</v>
      </c>
      <c r="CT312" s="85" t="e">
        <f ca="1">IF(BZ312&lt;=Hypothèses!$V$7,Hypothèses!$W$7,IF(BZ312&lt;=Hypothèses!$V$8,Hypothèses!$W$8,IF(BZ312&lt;=Hypothèses!$V$9,Hypothèses!$W$9,IF(BZ312&lt;=Hypothèses!$V$10,Hypothèses!$W$10,IF(BZ312&lt;=Hypothèses!$V$11,Hypothèses!$W$11,IF(BZ312&lt;=Hypothèses!$V$12,Hypothèses!$W$12,IF(BZ312&lt;=Hypothèses!$V$13,Hypothèses!$W$13,IF(BZ312&lt;=Hypothèses!$V$14,Hypothèses!$W$14,IF(BZ312&lt;=Hypothèses!$V$15,Hypothèses!$W$15,IF(BZ312&lt;=Hypothèses!$V$16,Hypothèses!$W$16,IF(BZ312&lt;=Hypothèses!$V$17,Hypothèses!$W$17,IF(BZ312&lt;=Hypothèses!$V$18,Hypothèses!$W$18,""))))))))))))</f>
        <v>#DIV/0!</v>
      </c>
      <c r="CU312" s="87" t="e">
        <f t="shared" ca="1" si="520"/>
        <v>#DIV/0!</v>
      </c>
      <c r="CV312" s="88" t="e">
        <f ca="1">IF(BZ312&lt;=Hypothèses!$V$7,Hypothèses!$X$7,IF(BZ312&lt;=Hypothèses!$V$8,Hypothèses!$X$8,IF(BZ312&lt;=Hypothèses!$V$9,Hypothèses!$X$9,IF(BZ312&lt;=Hypothèses!$V$10,Hypothèses!$X$10,IF(BZ312&lt;=Hypothèses!$V$11,Hypothèses!$X$11,IF(BZ312&lt;=Hypothèses!$V$12,Hypothèses!$X$12,IF(BZ312&lt;=Hypothèses!$V$13,Hypothèses!$X$13,IF(BZ312&lt;=Hypothèses!$V$14,Hypothèses!$X$14,IF(BZ312&lt;=Hypothèses!$V$15,Hypothèses!$X$15,IF(BZ312&lt;=Hypothèses!$V$16,Hypothèses!$X$16,IF(BZ312&lt;=Hypothèses!$U$17,Hypothèses!$W$17,IF(BZ312&lt;=Hypothèses!$U$18,Hypothèses!$W$18,""))))))))))))</f>
        <v>#DIV/0!</v>
      </c>
      <c r="CW312" s="95" t="e">
        <f t="shared" ca="1" si="485"/>
        <v>#DIV/0!</v>
      </c>
      <c r="CX312" s="101">
        <f t="shared" si="527"/>
        <v>0</v>
      </c>
      <c r="CY312" s="91">
        <f t="shared" si="452"/>
        <v>0</v>
      </c>
      <c r="CZ312" s="30" t="e">
        <f t="shared" si="508"/>
        <v>#N/A</v>
      </c>
      <c r="DA312" s="30" t="e">
        <f t="shared" si="509"/>
        <v>#N/A</v>
      </c>
      <c r="DB312" s="31" t="e">
        <f>IF(OR(Hypothèses!$B$4=17,Hypothèses!$B$4=18,Hypothèses!$B$4=19,Hypothèses!$B$4=20),
IF($D312="Pressio.",
IF(OR($E312=3,$E312=1,$E312=4),DA312,CZ312),
IF($D312="Pénétro.",
IF(OR($E312=3,$E312=1,$E312=4),DA312,CZ312))),IF($D312="Pressio.",
IF($E312=3,DA312,CZ312),
IF($D312="Pénétro.",
IF($E312=4,DA312,CZ312))))</f>
        <v>#N/A</v>
      </c>
      <c r="DC312" s="31">
        <v>0</v>
      </c>
      <c r="DD312" s="102" t="e">
        <f>IF(NDC!$H$10="Oui",(VLOOKUP($B$3,'Coeff EC7'!$T$39:$X$59,2,0)*DB312+VLOOKUP($B$3,'Coeff EC7'!$T$65:$X$85,2,0)*Model0.1T!DC312)/1.5,PI()*CZ$12*$Q312*($B312-$B311)*0.15/10+DD311)</f>
        <v>#N/A</v>
      </c>
      <c r="DE312" s="102" t="e">
        <f>(VLOOKUP($B$3,'Coeff EC7'!$T$39:$X$59,3,0)*DB312+VLOOKUP($B$3,'Coeff EC7'!$T$65:$X$85,3,0)*Model0.1T!DC312)/1.1</f>
        <v>#N/A</v>
      </c>
      <c r="DF312" s="102" t="e">
        <f t="shared" si="486"/>
        <v>#N/A</v>
      </c>
      <c r="DG312" s="102" t="e">
        <f t="shared" si="487"/>
        <v>#N/A</v>
      </c>
      <c r="DH312" s="414" t="e">
        <f>IF(AND(DD312&gt;NDC!$C$63,DE312&gt;NDC!$C$65,DF312&gt;NDC!$D$73,DG312&gt;NDC!$D$74,$B312&gt;NDC!$H$22-0.1+MIN(3*DH$12,1.5)),0,1)</f>
        <v>#N/A</v>
      </c>
      <c r="DI312" s="86" t="b">
        <f t="shared" si="453"/>
        <v>0</v>
      </c>
      <c r="DJ312" s="86">
        <f t="shared" si="454"/>
        <v>0.5</v>
      </c>
      <c r="DK312" s="86">
        <f t="shared" si="455"/>
        <v>0.5</v>
      </c>
      <c r="DL312" s="30" t="e">
        <f t="shared" ca="1" si="488"/>
        <v>#DIV/0!</v>
      </c>
      <c r="DM312" s="85" t="e">
        <f ca="1">IF(CS312&lt;=Hypothèses!$V$7,Hypothèses!$W$7,IF(CS312&lt;=Hypothèses!$V$8,Hypothèses!$W$8,IF(CS312&lt;=Hypothèses!$V$9,Hypothèses!$W$9,IF(CS312&lt;=Hypothèses!$V$10,Hypothèses!$W$10,IF(CS312&lt;=Hypothèses!$V$11,Hypothèses!$W$11,IF(CS312&lt;=Hypothèses!$V$12,Hypothèses!$W$12,IF(CS312&lt;=Hypothèses!$V$13,Hypothèses!$W$13,IF(CS312&lt;=Hypothèses!$V$14,Hypothèses!$W$14,IF(CS312&lt;=Hypothèses!$V$15,Hypothèses!$W$15,IF(CS312&lt;=Hypothèses!$V$16,Hypothèses!$W$16,IF(CS312&lt;=Hypothèses!$V$17,Hypothèses!$W$17,IF(CS312&lt;=Hypothèses!$V$18,Hypothèses!$W$18,""))))))))))))</f>
        <v>#DIV/0!</v>
      </c>
      <c r="DN312" s="87" t="e">
        <f t="shared" ca="1" si="521"/>
        <v>#DIV/0!</v>
      </c>
      <c r="DO312" s="88" t="e">
        <f ca="1">IF(CS312&lt;=Hypothèses!$V$7,Hypothèses!$X$7,IF(CS312&lt;=Hypothèses!$V$8,Hypothèses!$X$8,IF(CS312&lt;=Hypothèses!$V$9,Hypothèses!$X$9,IF(CS312&lt;=Hypothèses!$V$10,Hypothèses!$X$10,IF(CS312&lt;=Hypothèses!$V$11,Hypothèses!$X$11,IF(CS312&lt;=Hypothèses!$V$12,Hypothèses!$X$12,IF(CS312&lt;=Hypothèses!$V$13,Hypothèses!$X$13,IF(CS312&lt;=Hypothèses!$V$14,Hypothèses!$X$14,IF(CS312&lt;=Hypothèses!$V$15,Hypothèses!$X$15,IF(CS312&lt;=Hypothèses!$V$16,Hypothèses!$X$16,IF(CS312&lt;=Hypothèses!$U$17,Hypothèses!$W$17,IF(CS312&lt;=Hypothèses!$U$18,Hypothèses!$W$18,""))))))))))))</f>
        <v>#DIV/0!</v>
      </c>
      <c r="DP312" s="95" t="e">
        <f t="shared" ca="1" si="489"/>
        <v>#DIV/0!</v>
      </c>
      <c r="DQ312" s="101">
        <f t="shared" si="528"/>
        <v>0</v>
      </c>
      <c r="DR312" s="91">
        <f t="shared" si="456"/>
        <v>0</v>
      </c>
      <c r="DS312" s="30" t="e">
        <f t="shared" si="510"/>
        <v>#N/A</v>
      </c>
      <c r="DT312" s="30" t="e">
        <f t="shared" si="511"/>
        <v>#N/A</v>
      </c>
      <c r="DU312" s="31" t="e">
        <f>IF(OR(Hypothèses!$B$4=17,Hypothèses!$B$4=18,Hypothèses!$B$4=19,Hypothèses!$B$4=20),
IF($D312="Pressio.",
IF(OR($E312=3,$E312=1,$E312=4),DT312,DS312),
IF($D312="Pénétro.",
IF(OR($E312=3,$E312=1,$E312=4),DT312,DS312))),IF($D312="Pressio.",
IF($E312=3,DT312,DS312),
IF($D312="Pénétro.",
IF($E312=4,DT312,DS312))))</f>
        <v>#N/A</v>
      </c>
      <c r="DV312" s="31">
        <v>0</v>
      </c>
      <c r="DW312" s="102" t="e">
        <f>IF(NDC!$H$10="Oui",(VLOOKUP($B$3,'Coeff EC7'!$T$39:$X$59,2,0)*DU312+VLOOKUP($B$3,'Coeff EC7'!$T$65:$X$85,2,0)*Model0.1T!DV312)/1.5,PI()*DS$12*$Q312*($B312-$B311)*0.15/10+DW311)</f>
        <v>#N/A</v>
      </c>
      <c r="DX312" s="102" t="e">
        <f>(VLOOKUP($B$3,'Coeff EC7'!$T$39:$X$59,3,0)*DU312+VLOOKUP($B$3,'Coeff EC7'!$T$65:$X$85,3,0)*Model0.1T!DV312)/1.1</f>
        <v>#N/A</v>
      </c>
      <c r="DY312" s="102" t="e">
        <f t="shared" si="490"/>
        <v>#N/A</v>
      </c>
      <c r="DZ312" s="102" t="e">
        <f t="shared" si="491"/>
        <v>#N/A</v>
      </c>
      <c r="EA312" s="414" t="e">
        <f>IF(AND(DW312&gt;NDC!$C$63,DX312&gt;NDC!$C$65,DY312&gt;NDC!$D$73,DZ312&gt;NDC!$D$74,$B312&gt;NDC!$H$22-0.1+MIN(3*EA$12,1.5)),0,1)</f>
        <v>#N/A</v>
      </c>
      <c r="EB312" s="86" t="b">
        <f t="shared" si="457"/>
        <v>0</v>
      </c>
      <c r="EC312" s="418">
        <f t="shared" si="458"/>
        <v>0.51</v>
      </c>
      <c r="ED312" s="86">
        <f t="shared" si="459"/>
        <v>0.51</v>
      </c>
      <c r="EE312" s="30" t="e">
        <f t="shared" ca="1" si="492"/>
        <v>#DIV/0!</v>
      </c>
      <c r="EF312" s="85" t="e">
        <f ca="1">IF(DL312&lt;=Hypothèses!$V$7,Hypothèses!$W$7,IF(DL312&lt;=Hypothèses!$V$8,Hypothèses!$W$8,IF(DL312&lt;=Hypothèses!$V$9,Hypothèses!$W$9,IF(DL312&lt;=Hypothèses!$V$10,Hypothèses!$W$10,IF(DL312&lt;=Hypothèses!$V$11,Hypothèses!$W$11,IF(DL312&lt;=Hypothèses!$V$12,Hypothèses!$W$12,IF(DL312&lt;=Hypothèses!$V$13,Hypothèses!$W$13,IF(DL312&lt;=Hypothèses!$V$14,Hypothèses!$W$14,IF(DL312&lt;=Hypothèses!$V$15,Hypothèses!$W$15,IF(DL312&lt;=Hypothèses!$V$16,Hypothèses!$W$16,IF(DL312&lt;=Hypothèses!$V$17,Hypothèses!$W$17,IF(DL312&lt;=Hypothèses!$V$18,Hypothèses!$W$18,""))))))))))))</f>
        <v>#DIV/0!</v>
      </c>
      <c r="EG312" s="87" t="e">
        <f t="shared" ca="1" si="522"/>
        <v>#DIV/0!</v>
      </c>
      <c r="EH312" s="88" t="e">
        <f ca="1">IF(DL312&lt;=Hypothèses!$V$7,Hypothèses!$X$7,IF(DL312&lt;=Hypothèses!$V$8,Hypothèses!$X$8,IF(DL312&lt;=Hypothèses!$V$9,Hypothèses!$X$9,IF(DL312&lt;=Hypothèses!$V$10,Hypothèses!$X$10,IF(DL312&lt;=Hypothèses!$V$11,Hypothèses!$X$11,IF(DL312&lt;=Hypothèses!$V$12,Hypothèses!$X$12,IF(DL312&lt;=Hypothèses!$V$13,Hypothèses!$X$13,IF(DL312&lt;=Hypothèses!$V$14,Hypothèses!$X$14,IF(DL312&lt;=Hypothèses!$V$15,Hypothèses!$X$15,IF(DL312&lt;=Hypothèses!$V$16,Hypothèses!$X$16,IF(DL312&lt;=Hypothèses!$U$17,Hypothèses!$W$17,IF(DL312&lt;=Hypothèses!$U$18,Hypothèses!$W$18,""))))))))))))</f>
        <v>#DIV/0!</v>
      </c>
      <c r="EI312" s="95" t="e">
        <f t="shared" ca="1" si="493"/>
        <v>#DIV/0!</v>
      </c>
      <c r="EJ312" s="101">
        <f t="shared" si="529"/>
        <v>0</v>
      </c>
      <c r="EK312" s="91">
        <f t="shared" si="460"/>
        <v>0</v>
      </c>
      <c r="EL312" s="30" t="e">
        <f t="shared" si="512"/>
        <v>#N/A</v>
      </c>
      <c r="EM312" s="30" t="e">
        <f t="shared" si="513"/>
        <v>#N/A</v>
      </c>
      <c r="EN312" s="31" t="e">
        <f>IF(OR(Hypothèses!$B$4=17,Hypothèses!$B$4=18,Hypothèses!$B$4=19,Hypothèses!$B$4=20),
IF($D312="Pressio.",
IF(OR($E312=3,$E312=1,$E312=4),EM312,EL312),
IF($D312="Pénétro.",
IF(OR($E312=3,$E312=1,$E312=4),EM312,EL312))),IF($D312="Pressio.",
IF($E312=3,EM312,EL312),
IF($D312="Pénétro.",
IF($E312=4,EM312,EL312))))</f>
        <v>#N/A</v>
      </c>
      <c r="EO312" s="31">
        <v>0</v>
      </c>
      <c r="EP312" s="102" t="e">
        <f>IF(NDC!$H$10="Oui",(VLOOKUP($B$3,'Coeff EC7'!$T$39:$X$59,2,0)*EN312+VLOOKUP($B$3,'Coeff EC7'!$T$65:$X$85,2,0)*Model0.1T!EO312)/1.5,PI()*EL$12*$Q312*($B312-$B311)*0.15/10+EP311)</f>
        <v>#N/A</v>
      </c>
      <c r="EQ312" s="102" t="e">
        <f>(VLOOKUP($B$3,'Coeff EC7'!$T$39:$X$59,3,0)*EN312+VLOOKUP($B$3,'Coeff EC7'!$T$65:$X$85,3,0)*Model0.1T!EO312)/1.1</f>
        <v>#N/A</v>
      </c>
      <c r="ER312" s="102" t="e">
        <f t="shared" si="494"/>
        <v>#N/A</v>
      </c>
      <c r="ES312" s="102" t="e">
        <f t="shared" si="495"/>
        <v>#N/A</v>
      </c>
      <c r="ET312" s="414" t="e">
        <f>IF(AND(EP312&gt;NDC!$C$63,EQ312&gt;NDC!$C$65,ER312&gt;NDC!$D$73,ES312&gt;NDC!$D$74,$B312&gt;NDC!$H$22-0.1+MIN(3*ET$12,1.5)),0,1)</f>
        <v>#N/A</v>
      </c>
      <c r="EU312" s="86" t="b">
        <f t="shared" si="461"/>
        <v>0</v>
      </c>
      <c r="EV312" s="86">
        <f t="shared" si="462"/>
        <v>0.61</v>
      </c>
      <c r="EW312" s="86">
        <f t="shared" si="463"/>
        <v>0.61</v>
      </c>
      <c r="EX312" s="30" t="e">
        <f t="shared" ca="1" si="496"/>
        <v>#DIV/0!</v>
      </c>
      <c r="EY312" s="85" t="e">
        <f ca="1">IF(EE312&lt;=Hypothèses!$V$7,Hypothèses!$W$7,IF(EE312&lt;=Hypothèses!$V$8,Hypothèses!$W$8,IF(EE312&lt;=Hypothèses!$V$9,Hypothèses!$W$9,IF(EE312&lt;=Hypothèses!$V$10,Hypothèses!$W$10,IF(EE312&lt;=Hypothèses!$V$11,Hypothèses!$W$11,IF(EE312&lt;=Hypothèses!$V$12,Hypothèses!$W$12,IF(EE312&lt;=Hypothèses!$V$13,Hypothèses!$W$13,IF(EE312&lt;=Hypothèses!$V$14,Hypothèses!$W$14,IF(EE312&lt;=Hypothèses!$V$15,Hypothèses!$W$15,IF(EE312&lt;=Hypothèses!$V$16,Hypothèses!$W$16,IF(EE312&lt;=Hypothèses!$V$17,Hypothèses!$W$17,IF(EE312&lt;=Hypothèses!$V$18,Hypothèses!$W$18,""))))))))))))</f>
        <v>#DIV/0!</v>
      </c>
      <c r="EZ312" s="87" t="e">
        <f t="shared" ca="1" si="523"/>
        <v>#DIV/0!</v>
      </c>
      <c r="FA312" s="88" t="e">
        <f ca="1">IF(EE312&lt;=Hypothèses!$V$7,Hypothèses!$X$7,IF(EE312&lt;=Hypothèses!$V$8,Hypothèses!$X$8,IF(EE312&lt;=Hypothèses!$V$9,Hypothèses!$X$9,IF(EE312&lt;=Hypothèses!$V$10,Hypothèses!$X$10,IF(EE312&lt;=Hypothèses!$V$11,Hypothèses!$X$11,IF(EE312&lt;=Hypothèses!$V$12,Hypothèses!$X$12,IF(EE312&lt;=Hypothèses!$V$13,Hypothèses!$X$13,IF(EE312&lt;=Hypothèses!$V$14,Hypothèses!$X$14,IF(EE312&lt;=Hypothèses!$V$15,Hypothèses!$X$15,IF(EE312&lt;=Hypothèses!$V$16,Hypothèses!$X$16,IF(EE312&lt;=Hypothèses!$U$17,Hypothèses!$W$17,IF(EE312&lt;=Hypothèses!$U$18,Hypothèses!$W$18,""))))))))))))</f>
        <v>#DIV/0!</v>
      </c>
      <c r="FB312" s="95" t="e">
        <f t="shared" ca="1" si="497"/>
        <v>#DIV/0!</v>
      </c>
      <c r="FC312" s="101">
        <f t="shared" si="530"/>
        <v>0</v>
      </c>
      <c r="FD312" s="91">
        <f t="shared" si="464"/>
        <v>0</v>
      </c>
      <c r="FE312" s="30" t="e">
        <f t="shared" si="514"/>
        <v>#N/A</v>
      </c>
      <c r="FF312" s="30" t="e">
        <f t="shared" si="515"/>
        <v>#N/A</v>
      </c>
      <c r="FG312" s="31" t="e">
        <f>IF(OR(Hypothèses!$B$4=17,Hypothèses!$B$4=18,Hypothèses!$B$4=19,Hypothèses!$B$4=20),
IF($D312="Pressio.",
IF(OR($E312=3,$E312=1,$E312=4),FF312,FE312),
IF($D312="Pénétro.",
IF(OR($E312=3,$E312=1,$E312=4),FF312,FE312))),IF($D312="Pressio.",
IF($E312=3,FF312,FE312),
IF($D312="Pénétro.",
IF($E312=4,FF312,FE312))))</f>
        <v>#N/A</v>
      </c>
      <c r="FH312" s="31">
        <v>0</v>
      </c>
      <c r="FI312" s="102" t="e">
        <f>IF(NDC!$H$10="Oui",(VLOOKUP($B$3,'Coeff EC7'!$T$39:$X$59,2,0)*FG312+VLOOKUP($B$3,'Coeff EC7'!$T$65:$X$85,2,0)*Model0.1T!FH312)/1.5,PI()*FE$12*$Q312*($B312-$B311)*0.15/10+FI311)</f>
        <v>#N/A</v>
      </c>
      <c r="FJ312" s="102" t="e">
        <f>(VLOOKUP($B$3,'Coeff EC7'!$T$39:$X$59,3,0)*FG312+VLOOKUP($B$3,'Coeff EC7'!$T$65:$X$85,3,0)*Model0.1T!FH312)/1.1</f>
        <v>#N/A</v>
      </c>
      <c r="FK312" s="102" t="e">
        <f t="shared" si="498"/>
        <v>#N/A</v>
      </c>
      <c r="FL312" s="102" t="e">
        <f t="shared" si="499"/>
        <v>#N/A</v>
      </c>
      <c r="FM312" s="414" t="e">
        <f>IF(AND(FI312&gt;NDC!$C$63,FJ312&gt;NDC!$C$65,FK312&gt;NDC!$D$73,FL312&gt;NDC!$D$74,$B312&gt;NDC!$H$22-0.1+MIN(3*FM$12,1.5)),0,1)</f>
        <v>#N/A</v>
      </c>
    </row>
    <row r="313" spans="1:169">
      <c r="A313" s="96">
        <f t="shared" si="465"/>
        <v>70.000000000001705</v>
      </c>
      <c r="B313" s="97">
        <v>30</v>
      </c>
      <c r="C313" s="81">
        <f>IF(B313&lt;=Hypothèses!$C$7,Hypothèses!$A$7,IF(B313&lt;=Hypothèses!$C$8,Hypothèses!$A$8,IF(B313&lt;=Hypothèses!$C$9,Hypothèses!$A$9,IF(B313&lt;=Hypothèses!$C$10,Hypothèses!$A$10,IF(B313&lt;=Hypothèses!$C$11,Hypothèses!$A$11,IF(B313&lt;=Hypothèses!$C$12,Hypothèses!$A$12,IF(B313&lt;=Hypothèses!$C$13,Hypothèses!$A$13,IF(B313&lt;=Hypothèses!$C$14,Hypothèses!$A$14,IF(B313&lt;=Hypothèses!$C$15,Hypothèses!$A$15,IF(B313&lt;=Hypothèses!$C$16,Hypothèses!$A$16,IF(B313&lt;=Hypothèses!$C$17,Hypothèses!$A$17,IF(B313&lt;=Hypothèses!$C$18,Hypothèses!$A$18,C312))))))))))))</f>
        <v>11</v>
      </c>
      <c r="D313" s="82" t="str">
        <f>IF(B313&lt;=Hypothèses!$C$7,Hypothèses!$R$7,IF(B313&lt;=Hypothèses!$C$8,Hypothèses!$R$8,IF(B313&lt;=Hypothèses!$C$9,Hypothèses!$R$9,IF(B313&lt;=Hypothèses!$C$10,Hypothèses!$R$10,IF(B313&lt;=Hypothèses!$C$11,Hypothèses!$R$11,IF(B313&lt;=Hypothèses!$C$12,Hypothèses!$R$12,IF(B313&lt;=Hypothèses!$C$13,Hypothèses!$R$13,IF(B313&lt;=Hypothèses!$C$14,Hypothèses!$R$14,IF(B313&lt;=Hypothèses!$C$15,Hypothèses!$R$15,IF(B313&lt;=Hypothèses!$C$16,Hypothèses!$R$16,IF(B313&lt;=Hypothèses!$C$17,Hypothèses!$R$17,IF(B313&lt;=Hypothèses!$C$18,Hypothèses!$R$18,D312))))))))))))</f>
        <v>Pressio.</v>
      </c>
      <c r="E313" s="82" t="e">
        <f>IF(B313&lt;=Hypothèses!$C$7,Hypothèses!$G$7,IF(B313&lt;=Hypothèses!$C$8,Hypothèses!$G$8,IF(B313&lt;=Hypothèses!$C$9,Hypothèses!$G$9,IF(B313&lt;=Hypothèses!$C$10,Hypothèses!$G$10,IF(B313&lt;=Hypothèses!$C$11,Hypothèses!$G$11,IF(B313&lt;=Hypothèses!$C$12,Hypothèses!$G$12,IF(B313&lt;=Hypothèses!$C$13,Hypothèses!$G$13,IF(B313&lt;=Hypothèses!$C$14,Hypothèses!$G$14,IF(B313&lt;=Hypothèses!$C$15,Hypothèses!$G$15,IF(B313&lt;=Hypothèses!$C$16,Hypothèses!$G$16,IF(B313&lt;=Hypothèses!$C$17,Hypothèses!$G$17,IF(B313&lt;=Hypothèses!$C$18,Hypothèses!$G$18,E312))))))))))))</f>
        <v>#N/A</v>
      </c>
      <c r="F313" s="82" t="str">
        <f>IF(B313&lt;=Hypothèses!$C$7,Hypothèses!$F$7,IF(B313&lt;=Hypothèses!$C$8,Hypothèses!$F$8,IF(B313&lt;=Hypothèses!$C$9,Hypothèses!$F$9,IF(B313&lt;=Hypothèses!$C$10,Hypothèses!$F$10,IF(B313&lt;=Hypothèses!$C$11,Hypothèses!$F$11,IF(B313&lt;=Hypothèses!$C$12,Hypothèses!$F$12,IF(B313&lt;=Hypothèses!$C$13,Hypothèses!$F$13,IF(B313&lt;=Hypothèses!$C$14,Hypothèses!$F$14,IF(B313&lt;=Hypothèses!$C$15,Hypothèses!$F$15,IF(B313&lt;=Hypothèses!$C$16,Hypothèses!$F$16,IF(B313&lt;=Hypothèses!$C$17,Hypothèses!$F$17,IF(B313&lt;=Hypothèses!$C$18,Hypothèses!$F$18,F312))))))))))))</f>
        <v/>
      </c>
      <c r="G313" s="91">
        <f t="array" ref="G313">INDEX('Coeff EC7'!$U$7:$X$27,
MATCH(Model0.1T!$B$3,'Coeff EC7'!$T$7:$T$27,0),
MATCH(Model0.1T!$D313&amp;Model0.1T!$B$4,
'Coeff EC7'!$U$6:$X$6&amp;
'Coeff EC7'!$U$5:$X$5,0))</f>
        <v>1.4</v>
      </c>
      <c r="H313" s="91">
        <f t="array" ref="H313">INDEX('Coeff EC7'!$Y$7:$AB$27,
MATCH(Model0.1T!$B$3,'Coeff EC7'!$T$7:$T$27,0),
MATCH(Model0.1T!$D313&amp;Model0.1T!$B$4,
'Coeff EC7'!$Y$6:$AB$6&amp;
'Coeff EC7'!$Y$5:$AB$5,0))</f>
        <v>1.7</v>
      </c>
      <c r="I313" s="83">
        <v>0</v>
      </c>
      <c r="J313" s="91" t="e">
        <f t="array" ref="J313">INDEX('Coeff EC7'!$D$33:$Q$33,1,MATCH(D313&amp;E313,'Coeff EC7'!$D$31:$Q$31&amp;'Coeff EC7'!$D$32:$Q$32,0))</f>
        <v>#N/A</v>
      </c>
      <c r="K313" s="91" t="e">
        <f t="array" ref="K313">INDEX('Coeff EC7'!$D$34:$Q$34,1,MATCH(D313&amp;E313,'Coeff EC7'!$D$31:$Q$31&amp;'Coeff EC7'!$D$32:$Q$32,0))</f>
        <v>#N/A</v>
      </c>
      <c r="L313" s="91" t="e">
        <f t="array" ref="L313">INDEX('Coeff EC7'!$D$35:$Q$35,1,MATCH(D313&amp;E313,'Coeff EC7'!$D$31:$Q$31&amp;'Coeff EC7'!$D$32:$Q$32,0))</f>
        <v>#N/A</v>
      </c>
      <c r="M313" s="98" t="e">
        <f t="shared" si="431"/>
        <v>#N/A</v>
      </c>
      <c r="N313" s="99" t="e">
        <f t="array" ref="N313">INDEX('Coeff EC7'!$D$7:$Q$27,MATCH($B$3,'Coeff EC7'!$C$7:$C$27,0),MATCH(D313&amp;E313,'Coeff EC7'!$D$5:$Q$5&amp;'Coeff EC7'!$D$6:$Q$6,0))</f>
        <v>#N/A</v>
      </c>
      <c r="O313" s="99" t="e">
        <f t="array" ref="O313">INDEX('Coeff EC7'!$D$41:$Q$61,MATCH($B$3,'Coeff EC7'!$C$41:$C$61,0),MATCH(D313&amp;E313,'Coeff EC7'!$D$39:$Q$39&amp;'Coeff EC7'!$D$40:$Q$40,0))</f>
        <v>#N/A</v>
      </c>
      <c r="P313" s="30" t="e">
        <f t="shared" si="466"/>
        <v>#N/A</v>
      </c>
      <c r="Q313" s="100" t="e">
        <f t="shared" si="433"/>
        <v>#N/A</v>
      </c>
      <c r="R313" s="86" t="b">
        <f t="shared" si="434"/>
        <v>0</v>
      </c>
      <c r="S313" s="86">
        <f t="shared" si="432"/>
        <v>0.5</v>
      </c>
      <c r="T313" s="86">
        <f t="shared" si="435"/>
        <v>0.5</v>
      </c>
      <c r="U313" s="30" t="e">
        <f t="shared" ca="1" si="467"/>
        <v>#DIV/0!</v>
      </c>
      <c r="V313" s="85" t="str">
        <f>IF(B313&lt;=Hypothèses!$V$7,Hypothèses!$W$7,IF(B313&lt;=Hypothèses!$V$8,Hypothèses!$W$8,IF(B313&lt;=Hypothèses!$V$9,Hypothèses!$W$9,IF(B313&lt;=Hypothèses!$V$10,Hypothèses!$W$10,IF(B313&lt;=Hypothèses!$V$11,Hypothèses!$W$11,IF(B313&lt;=Hypothèses!$V$12,Hypothèses!$W$12,IF(B313&lt;=Hypothèses!$V$13,Hypothèses!$W$13,IF(B313&lt;=Hypothèses!$V$14,Hypothèses!$W$14,IF(B313&lt;=Hypothèses!$V$15,Hypothèses!$W$15,IF(B313&lt;=Hypothèses!$V$16,Hypothèses!$W$16,IF(B313&lt;=Hypothèses!$V$17,Hypothèses!$W$17,IF(B313&lt;=Hypothèses!$V$18,Hypothèses!$W$18,""))))))))))))</f>
        <v/>
      </c>
      <c r="W313" s="87" t="e">
        <f t="shared" ca="1" si="516"/>
        <v>#DIV/0!</v>
      </c>
      <c r="X313" s="88" t="str">
        <f>IF(B313&lt;=Hypothèses!$V$7,Hypothèses!$X$7,IF(B313&lt;=Hypothèses!$V$8,Hypothèses!$X$8,IF(B313&lt;=Hypothèses!$V$9,Hypothèses!$X$9,IF(B313&lt;=Hypothèses!$V$10,Hypothèses!$X$10,IF(B313&lt;=Hypothèses!$V$11,Hypothèses!$X$11,IF(B313&lt;=Hypothèses!$V$12,Hypothèses!$X$12,IF(B313&lt;=Hypothèses!$V$13,Hypothèses!$X$13,IF(B313&lt;=Hypothèses!$V$14,Hypothèses!$X$14,IF(B313&lt;=Hypothèses!$V$15,Hypothèses!$X$15,IF(B313&lt;=Hypothèses!$V$16,Hypothèses!$X$16,IF(B313&lt;=Hypothèses!$U$17,Hypothèses!$W$17,IF(B313&lt;=Hypothèses!$U$18,Hypothèses!$W$18,""))))))))))))</f>
        <v/>
      </c>
      <c r="Y313" s="95" t="e">
        <f t="shared" ca="1" si="436"/>
        <v>#DIV/0!</v>
      </c>
      <c r="Z313" s="101">
        <f t="shared" si="437"/>
        <v>0</v>
      </c>
      <c r="AA313" s="91">
        <f t="shared" si="438"/>
        <v>0</v>
      </c>
      <c r="AB313" s="30" t="e">
        <f t="shared" si="500"/>
        <v>#N/A</v>
      </c>
      <c r="AC313" s="30" t="e">
        <f t="shared" si="501"/>
        <v>#N/A</v>
      </c>
      <c r="AD313" s="31" t="e">
        <f>IF(OR(Hypothèses!$B$4=17,Hypothèses!$B$4=18,Hypothèses!$B$4=19,Hypothèses!$B$4=20),
IF($D313="Pressio.",
IF(OR($E313=3,$E313=1,$E313=4),AC313,AB313),
IF($D313="Pénétro.",
IF(OR($E313=3,$E313=1,$E313=4),AC313,AB313))),IF($D313="Pressio.",
IF($E313=3,AC313,AB313),
IF($D313="Pénétro.",
IF($E313=4,AC313,AB313))))</f>
        <v>#N/A</v>
      </c>
      <c r="AE313" s="31">
        <v>0</v>
      </c>
      <c r="AF313" s="102" t="e">
        <f>IF(NDC!$H$10="Oui",(VLOOKUP($B$3,'Coeff EC7'!$T$39:$X$59,2,0)*AD313+VLOOKUP($B$3,'Coeff EC7'!$T$65:$X$85,2,0)*Model0.1T!AE313)/1.5,PI()*AB$12*$Q313*($B313-$B312)*0.15/10+AF312)</f>
        <v>#N/A</v>
      </c>
      <c r="AG313" s="102" t="e">
        <f>(VLOOKUP($B$3,'Coeff EC7'!$T$39:$X$59,3,0)*AD313+VLOOKUP($B$3,'Coeff EC7'!$T$65:$X$85,3,0)*Model0.1T!AE313)/1.1</f>
        <v>#N/A</v>
      </c>
      <c r="AH313" s="102" t="e">
        <f t="shared" si="468"/>
        <v>#N/A</v>
      </c>
      <c r="AI313" s="102" t="e">
        <f t="shared" si="469"/>
        <v>#N/A</v>
      </c>
      <c r="AJ313" s="414" t="e">
        <f>IF(AND(AF313&gt;NDC!$C$63,AG313&gt;NDC!$C$65,AH313&gt;NDC!$D$73,AI313&gt;NDC!$D$74,$B313&gt;NDC!$H$22-0.1+MIN(3*$AJ$12,1.5)),0,1)</f>
        <v>#N/A</v>
      </c>
      <c r="AK313" s="86" t="b">
        <f t="shared" si="439"/>
        <v>0</v>
      </c>
      <c r="AL313" s="86">
        <f t="shared" si="470"/>
        <v>0.5</v>
      </c>
      <c r="AM313" s="86">
        <f t="shared" si="440"/>
        <v>0.5</v>
      </c>
      <c r="AN313" s="30" t="e">
        <f t="shared" ca="1" si="471"/>
        <v>#DIV/0!</v>
      </c>
      <c r="AO313" s="85" t="e">
        <f ca="1">IF(U313&lt;=Hypothèses!$V$7,Hypothèses!$W$7,IF(U313&lt;=Hypothèses!$V$8,Hypothèses!$W$8,IF(U313&lt;=Hypothèses!$V$9,Hypothèses!$W$9,IF(U313&lt;=Hypothèses!$V$10,Hypothèses!$W$10,IF(U313&lt;=Hypothèses!$V$11,Hypothèses!$W$11,IF(U313&lt;=Hypothèses!$V$12,Hypothèses!$W$12,IF(U313&lt;=Hypothèses!$V$13,Hypothèses!$W$13,IF(U313&lt;=Hypothèses!$V$14,Hypothèses!$W$14,IF(U313&lt;=Hypothèses!$V$15,Hypothèses!$W$15,IF(U313&lt;=Hypothèses!$V$16,Hypothèses!$W$16,IF(U313&lt;=Hypothèses!$V$17,Hypothèses!$W$17,IF(U313&lt;=Hypothèses!$V$18,Hypothèses!$W$18,""))))))))))))</f>
        <v>#DIV/0!</v>
      </c>
      <c r="AP313" s="87" t="e">
        <f t="shared" ca="1" si="517"/>
        <v>#DIV/0!</v>
      </c>
      <c r="AQ313" s="88" t="e">
        <f ca="1">IF(U313&lt;=Hypothèses!$V$7,Hypothèses!$X$7,IF(U313&lt;=Hypothèses!$V$8,Hypothèses!$X$8,IF(U313&lt;=Hypothèses!$V$9,Hypothèses!$X$9,IF(U313&lt;=Hypothèses!$V$10,Hypothèses!$X$10,IF(U313&lt;=Hypothèses!$V$11,Hypothèses!$X$11,IF(U313&lt;=Hypothèses!$V$12,Hypothèses!$X$12,IF(U313&lt;=Hypothèses!$V$13,Hypothèses!$X$13,IF(U313&lt;=Hypothèses!$V$14,Hypothèses!$X$14,IF(U313&lt;=Hypothèses!$V$15,Hypothèses!$X$15,IF(U313&lt;=Hypothèses!$V$16,Hypothèses!$X$16,IF(U313&lt;=Hypothèses!$U$17,Hypothèses!$W$17,IF(U313&lt;=Hypothèses!$U$18,Hypothèses!$W$18,""))))))))))))</f>
        <v>#DIV/0!</v>
      </c>
      <c r="AR313" s="95" t="e">
        <f t="shared" ca="1" si="472"/>
        <v>#DIV/0!</v>
      </c>
      <c r="AS313" s="101">
        <f t="shared" si="524"/>
        <v>0</v>
      </c>
      <c r="AT313" s="91">
        <f t="shared" si="441"/>
        <v>0</v>
      </c>
      <c r="AU313" s="30" t="e">
        <f t="shared" si="502"/>
        <v>#N/A</v>
      </c>
      <c r="AV313" s="30" t="e">
        <f t="shared" si="503"/>
        <v>#N/A</v>
      </c>
      <c r="AW313" s="31" t="e">
        <f>IF(OR(Hypothèses!$B$4=17,Hypothèses!$B$4=18,Hypothèses!$B$4=19,Hypothèses!$B$4=20),
IF($D313="Pressio.",
IF(OR($E313=3,$E313=1,$E313=4),AV313,AU313),
IF($D313="Pénétro.",
IF(OR($E313=3,$E313=1,$E313=4),AV313,AU313))),IF($D313="Pressio.",
IF($E313=3,AV313,AU313),
IF($D313="Pénétro.",
IF($E313=4,AV313,AU313))))</f>
        <v>#N/A</v>
      </c>
      <c r="AX313" s="31">
        <v>0</v>
      </c>
      <c r="AY313" s="102" t="e">
        <f>IF(NDC!$H$10="Oui",(VLOOKUP($B$3,'Coeff EC7'!$T$39:$X$59,2,0)*AW313+VLOOKUP($B$3,'Coeff EC7'!$T$65:$X$85,2,0)*Model0.1T!AX313)/1.5,PI()*AU$12*$Q313*($B313-$B312)*0.15/10+AY312)</f>
        <v>#N/A</v>
      </c>
      <c r="AZ313" s="102" t="e">
        <f>(VLOOKUP($B$3,'Coeff EC7'!$T$39:$X$59,3,0)*AW313+VLOOKUP($B$3,'Coeff EC7'!$T$65:$X$85,3,0)*Model0.1T!AX313)/1.1</f>
        <v>#N/A</v>
      </c>
      <c r="BA313" s="102" t="e">
        <f t="shared" si="473"/>
        <v>#N/A</v>
      </c>
      <c r="BB313" s="102" t="e">
        <f t="shared" si="474"/>
        <v>#N/A</v>
      </c>
      <c r="BC313" s="414" t="e">
        <f>IF(AND(AY313&gt;NDC!$C$63,AZ313&gt;NDC!$C$65,BA313&gt;NDC!$D$73,BB313&gt;NDC!$D$74,$B313&gt;NDC!$H$22-0.1+MIN(3*BC$12,1.5)),0,1)</f>
        <v>#N/A</v>
      </c>
      <c r="BD313" s="86" t="b">
        <f t="shared" si="442"/>
        <v>0</v>
      </c>
      <c r="BE313" s="86">
        <f t="shared" si="475"/>
        <v>0.5</v>
      </c>
      <c r="BF313" s="86">
        <f t="shared" si="443"/>
        <v>0.5</v>
      </c>
      <c r="BG313" s="30" t="e">
        <f t="shared" ca="1" si="476"/>
        <v>#DIV/0!</v>
      </c>
      <c r="BH313" s="85" t="e">
        <f ca="1">IF(AN313&lt;=Hypothèses!$V$7,Hypothèses!$W$7,IF(AN313&lt;=Hypothèses!$V$8,Hypothèses!$W$8,IF(AN313&lt;=Hypothèses!$V$9,Hypothèses!$W$9,IF(AN313&lt;=Hypothèses!$V$10,Hypothèses!$W$10,IF(AN313&lt;=Hypothèses!$V$11,Hypothèses!$W$11,IF(AN313&lt;=Hypothèses!$V$12,Hypothèses!$W$12,IF(AN313&lt;=Hypothèses!$V$13,Hypothèses!$W$13,IF(AN313&lt;=Hypothèses!$V$14,Hypothèses!$W$14,IF(AN313&lt;=Hypothèses!$V$15,Hypothèses!$W$15,IF(AN313&lt;=Hypothèses!$V$16,Hypothèses!$W$16,IF(AN313&lt;=Hypothèses!$V$17,Hypothèses!$W$17,IF(AN313&lt;=Hypothèses!$V$18,Hypothèses!$W$18,""))))))))))))</f>
        <v>#DIV/0!</v>
      </c>
      <c r="BI313" s="87" t="e">
        <f t="shared" ca="1" si="518"/>
        <v>#DIV/0!</v>
      </c>
      <c r="BJ313" s="88" t="e">
        <f ca="1">IF(AN313&lt;=Hypothèses!$V$7,Hypothèses!$X$7,IF(AN313&lt;=Hypothèses!$V$8,Hypothèses!$X$8,IF(AN313&lt;=Hypothèses!$V$9,Hypothèses!$X$9,IF(AN313&lt;=Hypothèses!$V$10,Hypothèses!$X$10,IF(AN313&lt;=Hypothèses!$V$11,Hypothèses!$X$11,IF(AN313&lt;=Hypothèses!$V$12,Hypothèses!$X$12,IF(AN313&lt;=Hypothèses!$V$13,Hypothèses!$X$13,IF(AN313&lt;=Hypothèses!$V$14,Hypothèses!$X$14,IF(AN313&lt;=Hypothèses!$V$15,Hypothèses!$X$15,IF(AN313&lt;=Hypothèses!$V$16,Hypothèses!$X$16,IF(AN313&lt;=Hypothèses!$U$17,Hypothèses!$W$17,IF(AN313&lt;=Hypothèses!$U$18,Hypothèses!$W$18,""))))))))))))</f>
        <v>#DIV/0!</v>
      </c>
      <c r="BK313" s="95" t="e">
        <f t="shared" ca="1" si="477"/>
        <v>#DIV/0!</v>
      </c>
      <c r="BL313" s="101">
        <f t="shared" si="525"/>
        <v>0</v>
      </c>
      <c r="BM313" s="91">
        <f t="shared" si="444"/>
        <v>0</v>
      </c>
      <c r="BN313" s="30" t="e">
        <f t="shared" si="504"/>
        <v>#N/A</v>
      </c>
      <c r="BO313" s="30" t="e">
        <f t="shared" si="505"/>
        <v>#N/A</v>
      </c>
      <c r="BP313" s="31" t="e">
        <f>IF(OR(Hypothèses!$B$4=17,Hypothèses!$B$4=18,Hypothèses!$B$4=19,Hypothèses!$B$4=20),
IF($D313="Pressio.",
IF(OR($E313=3,$E313=1,$E313=4),BO313,BN313),
IF($D313="Pénétro.",
IF(OR($E313=3,$E313=1,$E313=4),BO313,BN313))),IF($D313="Pressio.",
IF($E313=3,BO313,BN313),
IF($D313="Pénétro.",
IF($E313=4,BO313,BN313))))</f>
        <v>#N/A</v>
      </c>
      <c r="BQ313" s="31">
        <v>0</v>
      </c>
      <c r="BR313" s="102" t="e">
        <f>IF(NDC!$H$10="Oui",(VLOOKUP($B$3,'Coeff EC7'!$T$39:$X$59,2,0)*BP313+VLOOKUP($B$3,'Coeff EC7'!$T$65:$X$85,2,0)*Model0.1T!BQ313)/1.5,PI()*BN$12*$Q313*($B313-$B312)*0.15/10+BR312)</f>
        <v>#N/A</v>
      </c>
      <c r="BS313" s="102" t="e">
        <f>(VLOOKUP($B$3,'Coeff EC7'!$T$39:$X$59,3,0)*BP313+VLOOKUP($B$3,'Coeff EC7'!$T$65:$X$85,3,0)*Model0.1T!BQ313)/1.1</f>
        <v>#N/A</v>
      </c>
      <c r="BT313" s="102" t="e">
        <f t="shared" si="478"/>
        <v>#N/A</v>
      </c>
      <c r="BU313" s="102" t="e">
        <f t="shared" si="479"/>
        <v>#N/A</v>
      </c>
      <c r="BV313" s="414" t="e">
        <f>IF(AND(BR313&gt;NDC!$C$63,BS313&gt;NDC!$C$65,BT313&gt;NDC!$D$73,BU313&gt;NDC!$D$74,$B313&gt;NDC!$H$22-0.1+MIN(3*BV$12,1.5)),0,1)</f>
        <v>#N/A</v>
      </c>
      <c r="BW313" s="86" t="b">
        <f t="shared" si="445"/>
        <v>0</v>
      </c>
      <c r="BX313" s="86">
        <f t="shared" si="446"/>
        <v>0.5</v>
      </c>
      <c r="BY313" s="86">
        <f t="shared" si="447"/>
        <v>0.5</v>
      </c>
      <c r="BZ313" s="30" t="e">
        <f t="shared" ca="1" si="480"/>
        <v>#DIV/0!</v>
      </c>
      <c r="CA313" s="85" t="e">
        <f ca="1">IF(BG313&lt;=Hypothèses!$V$7,Hypothèses!$W$7,IF(BG313&lt;=Hypothèses!$V$8,Hypothèses!$W$8,IF(BG313&lt;=Hypothèses!$V$9,Hypothèses!$W$9,IF(BG313&lt;=Hypothèses!$V$10,Hypothèses!$W$10,IF(BG313&lt;=Hypothèses!$V$11,Hypothèses!$W$11,IF(BG313&lt;=Hypothèses!$V$12,Hypothèses!$W$12,IF(BG313&lt;=Hypothèses!$V$13,Hypothèses!$W$13,IF(BG313&lt;=Hypothèses!$V$14,Hypothèses!$W$14,IF(BG313&lt;=Hypothèses!$V$15,Hypothèses!$W$15,IF(BG313&lt;=Hypothèses!$V$16,Hypothèses!$W$16,IF(BG313&lt;=Hypothèses!$V$17,Hypothèses!$W$17,IF(BG313&lt;=Hypothèses!$V$18,Hypothèses!$W$18,""))))))))))))</f>
        <v>#DIV/0!</v>
      </c>
      <c r="CB313" s="87" t="e">
        <f t="shared" ca="1" si="519"/>
        <v>#DIV/0!</v>
      </c>
      <c r="CC313" s="88" t="e">
        <f ca="1">IF(BG313&lt;=Hypothèses!$V$7,Hypothèses!$X$7,IF(BG313&lt;=Hypothèses!$V$8,Hypothèses!$X$8,IF(BG313&lt;=Hypothèses!$V$9,Hypothèses!$X$9,IF(BG313&lt;=Hypothèses!$V$10,Hypothèses!$X$10,IF(BG313&lt;=Hypothèses!$V$11,Hypothèses!$X$11,IF(BG313&lt;=Hypothèses!$V$12,Hypothèses!$X$12,IF(BG313&lt;=Hypothèses!$V$13,Hypothèses!$X$13,IF(BG313&lt;=Hypothèses!$V$14,Hypothèses!$X$14,IF(BG313&lt;=Hypothèses!$V$15,Hypothèses!$X$15,IF(BG313&lt;=Hypothèses!$V$16,Hypothèses!$X$16,IF(BG313&lt;=Hypothèses!$U$17,Hypothèses!$W$17,IF(BG313&lt;=Hypothèses!$U$18,Hypothèses!$W$18,""))))))))))))</f>
        <v>#DIV/0!</v>
      </c>
      <c r="CD313" s="95" t="e">
        <f t="shared" ca="1" si="481"/>
        <v>#DIV/0!</v>
      </c>
      <c r="CE313" s="101">
        <f t="shared" si="526"/>
        <v>0</v>
      </c>
      <c r="CF313" s="91">
        <f t="shared" si="448"/>
        <v>0</v>
      </c>
      <c r="CG313" s="30" t="e">
        <f t="shared" si="506"/>
        <v>#N/A</v>
      </c>
      <c r="CH313" s="30" t="e">
        <f t="shared" si="507"/>
        <v>#N/A</v>
      </c>
      <c r="CI313" s="31" t="e">
        <f>IF(OR(Hypothèses!$B$4=17,Hypothèses!$B$4=18,Hypothèses!$B$4=19,Hypothèses!$B$4=20),
IF($D313="Pressio.",
IF(OR($E313=3,$E313=1,$E313=4),CH313,CG313),
IF($D313="Pénétro.",
IF(OR($E313=3,$E313=1,$E313=4),CH313,CG313))),IF($D313="Pressio.",
IF($E313=3,CH313,CG313),
IF($D313="Pénétro.",
IF($E313=4,CH313,CG313))))</f>
        <v>#N/A</v>
      </c>
      <c r="CJ313" s="31">
        <v>0</v>
      </c>
      <c r="CK313" s="102" t="e">
        <f>IF(NDC!$H$10="Oui",(VLOOKUP($B$3,'Coeff EC7'!$T$39:$X$59,2,0)*CI313+VLOOKUP($B$3,'Coeff EC7'!$T$65:$X$85,2,0)*Model0.1T!CJ313)/1.5,PI()*CG$12*$Q313*($B313-$B312)*0.15/10+CK312)</f>
        <v>#N/A</v>
      </c>
      <c r="CL313" s="102" t="e">
        <f>(VLOOKUP($B$3,'Coeff EC7'!$T$39:$X$59,3,0)*CI313+VLOOKUP($B$3,'Coeff EC7'!$T$65:$X$85,3,0)*Model0.1T!CJ313)/1.1</f>
        <v>#N/A</v>
      </c>
      <c r="CM313" s="102" t="e">
        <f t="shared" si="482"/>
        <v>#N/A</v>
      </c>
      <c r="CN313" s="102" t="e">
        <f t="shared" si="483"/>
        <v>#N/A</v>
      </c>
      <c r="CO313" s="414" t="e">
        <f>IF(AND(CK313&gt;NDC!$C$63,CL313&gt;NDC!$C$65,CM313&gt;NDC!$D$73,CN313&gt;NDC!$D$74,$B313&gt;NDC!$H$22-0.1+MIN(3*CO$12,1.5)),0,1)</f>
        <v>#N/A</v>
      </c>
      <c r="CP313" s="86" t="b">
        <f t="shared" si="449"/>
        <v>0</v>
      </c>
      <c r="CQ313" s="86">
        <f t="shared" si="450"/>
        <v>0.5</v>
      </c>
      <c r="CR313" s="86">
        <f t="shared" si="451"/>
        <v>0.5</v>
      </c>
      <c r="CS313" s="30" t="e">
        <f t="shared" ca="1" si="484"/>
        <v>#DIV/0!</v>
      </c>
      <c r="CT313" s="85" t="e">
        <f ca="1">IF(BZ313&lt;=Hypothèses!$V$7,Hypothèses!$W$7,IF(BZ313&lt;=Hypothèses!$V$8,Hypothèses!$W$8,IF(BZ313&lt;=Hypothèses!$V$9,Hypothèses!$W$9,IF(BZ313&lt;=Hypothèses!$V$10,Hypothèses!$W$10,IF(BZ313&lt;=Hypothèses!$V$11,Hypothèses!$W$11,IF(BZ313&lt;=Hypothèses!$V$12,Hypothèses!$W$12,IF(BZ313&lt;=Hypothèses!$V$13,Hypothèses!$W$13,IF(BZ313&lt;=Hypothèses!$V$14,Hypothèses!$W$14,IF(BZ313&lt;=Hypothèses!$V$15,Hypothèses!$W$15,IF(BZ313&lt;=Hypothèses!$V$16,Hypothèses!$W$16,IF(BZ313&lt;=Hypothèses!$V$17,Hypothèses!$W$17,IF(BZ313&lt;=Hypothèses!$V$18,Hypothèses!$W$18,""))))))))))))</f>
        <v>#DIV/0!</v>
      </c>
      <c r="CU313" s="87" t="e">
        <f t="shared" ca="1" si="520"/>
        <v>#DIV/0!</v>
      </c>
      <c r="CV313" s="88" t="e">
        <f ca="1">IF(BZ313&lt;=Hypothèses!$V$7,Hypothèses!$X$7,IF(BZ313&lt;=Hypothèses!$V$8,Hypothèses!$X$8,IF(BZ313&lt;=Hypothèses!$V$9,Hypothèses!$X$9,IF(BZ313&lt;=Hypothèses!$V$10,Hypothèses!$X$10,IF(BZ313&lt;=Hypothèses!$V$11,Hypothèses!$X$11,IF(BZ313&lt;=Hypothèses!$V$12,Hypothèses!$X$12,IF(BZ313&lt;=Hypothèses!$V$13,Hypothèses!$X$13,IF(BZ313&lt;=Hypothèses!$V$14,Hypothèses!$X$14,IF(BZ313&lt;=Hypothèses!$V$15,Hypothèses!$X$15,IF(BZ313&lt;=Hypothèses!$V$16,Hypothèses!$X$16,IF(BZ313&lt;=Hypothèses!$U$17,Hypothèses!$W$17,IF(BZ313&lt;=Hypothèses!$U$18,Hypothèses!$W$18,""))))))))))))</f>
        <v>#DIV/0!</v>
      </c>
      <c r="CW313" s="95" t="e">
        <f t="shared" ca="1" si="485"/>
        <v>#DIV/0!</v>
      </c>
      <c r="CX313" s="101">
        <f t="shared" si="527"/>
        <v>0</v>
      </c>
      <c r="CY313" s="91">
        <f t="shared" si="452"/>
        <v>0</v>
      </c>
      <c r="CZ313" s="30" t="e">
        <f t="shared" si="508"/>
        <v>#N/A</v>
      </c>
      <c r="DA313" s="30" t="e">
        <f t="shared" si="509"/>
        <v>#N/A</v>
      </c>
      <c r="DB313" s="31" t="e">
        <f>IF(OR(Hypothèses!$B$4=17,Hypothèses!$B$4=18,Hypothèses!$B$4=19,Hypothèses!$B$4=20),
IF($D313="Pressio.",
IF(OR($E313=3,$E313=1,$E313=4),DA313,CZ313),
IF($D313="Pénétro.",
IF(OR($E313=3,$E313=1,$E313=4),DA313,CZ313))),IF($D313="Pressio.",
IF($E313=3,DA313,CZ313),
IF($D313="Pénétro.",
IF($E313=4,DA313,CZ313))))</f>
        <v>#N/A</v>
      </c>
      <c r="DC313" s="31">
        <v>0</v>
      </c>
      <c r="DD313" s="102" t="e">
        <f>IF(NDC!$H$10="Oui",(VLOOKUP($B$3,'Coeff EC7'!$T$39:$X$59,2,0)*DB313+VLOOKUP($B$3,'Coeff EC7'!$T$65:$X$85,2,0)*Model0.1T!DC313)/1.5,PI()*CZ$12*$Q313*($B313-$B312)*0.15/10+DD312)</f>
        <v>#N/A</v>
      </c>
      <c r="DE313" s="102" t="e">
        <f>(VLOOKUP($B$3,'Coeff EC7'!$T$39:$X$59,3,0)*DB313+VLOOKUP($B$3,'Coeff EC7'!$T$65:$X$85,3,0)*Model0.1T!DC313)/1.1</f>
        <v>#N/A</v>
      </c>
      <c r="DF313" s="102" t="e">
        <f t="shared" si="486"/>
        <v>#N/A</v>
      </c>
      <c r="DG313" s="102" t="e">
        <f t="shared" si="487"/>
        <v>#N/A</v>
      </c>
      <c r="DH313" s="414" t="e">
        <f>IF(AND(DD313&gt;NDC!$C$63,DE313&gt;NDC!$C$65,DF313&gt;NDC!$D$73,DG313&gt;NDC!$D$74,$B313&gt;NDC!$H$22-0.1+MIN(3*DH$12,1.5)),0,1)</f>
        <v>#N/A</v>
      </c>
      <c r="DI313" s="86" t="b">
        <f t="shared" si="453"/>
        <v>0</v>
      </c>
      <c r="DJ313" s="86">
        <f t="shared" si="454"/>
        <v>0.5</v>
      </c>
      <c r="DK313" s="86">
        <f t="shared" si="455"/>
        <v>0.5</v>
      </c>
      <c r="DL313" s="30" t="e">
        <f t="shared" ca="1" si="488"/>
        <v>#DIV/0!</v>
      </c>
      <c r="DM313" s="85" t="e">
        <f ca="1">IF(CS313&lt;=Hypothèses!$V$7,Hypothèses!$W$7,IF(CS313&lt;=Hypothèses!$V$8,Hypothèses!$W$8,IF(CS313&lt;=Hypothèses!$V$9,Hypothèses!$W$9,IF(CS313&lt;=Hypothèses!$V$10,Hypothèses!$W$10,IF(CS313&lt;=Hypothèses!$V$11,Hypothèses!$W$11,IF(CS313&lt;=Hypothèses!$V$12,Hypothèses!$W$12,IF(CS313&lt;=Hypothèses!$V$13,Hypothèses!$W$13,IF(CS313&lt;=Hypothèses!$V$14,Hypothèses!$W$14,IF(CS313&lt;=Hypothèses!$V$15,Hypothèses!$W$15,IF(CS313&lt;=Hypothèses!$V$16,Hypothèses!$W$16,IF(CS313&lt;=Hypothèses!$V$17,Hypothèses!$W$17,IF(CS313&lt;=Hypothèses!$V$18,Hypothèses!$W$18,""))))))))))))</f>
        <v>#DIV/0!</v>
      </c>
      <c r="DN313" s="87" t="e">
        <f t="shared" ca="1" si="521"/>
        <v>#DIV/0!</v>
      </c>
      <c r="DO313" s="88" t="e">
        <f ca="1">IF(CS313&lt;=Hypothèses!$V$7,Hypothèses!$X$7,IF(CS313&lt;=Hypothèses!$V$8,Hypothèses!$X$8,IF(CS313&lt;=Hypothèses!$V$9,Hypothèses!$X$9,IF(CS313&lt;=Hypothèses!$V$10,Hypothèses!$X$10,IF(CS313&lt;=Hypothèses!$V$11,Hypothèses!$X$11,IF(CS313&lt;=Hypothèses!$V$12,Hypothèses!$X$12,IF(CS313&lt;=Hypothèses!$V$13,Hypothèses!$X$13,IF(CS313&lt;=Hypothèses!$V$14,Hypothèses!$X$14,IF(CS313&lt;=Hypothèses!$V$15,Hypothèses!$X$15,IF(CS313&lt;=Hypothèses!$V$16,Hypothèses!$X$16,IF(CS313&lt;=Hypothèses!$U$17,Hypothèses!$W$17,IF(CS313&lt;=Hypothèses!$U$18,Hypothèses!$W$18,""))))))))))))</f>
        <v>#DIV/0!</v>
      </c>
      <c r="DP313" s="95" t="e">
        <f t="shared" ca="1" si="489"/>
        <v>#DIV/0!</v>
      </c>
      <c r="DQ313" s="101">
        <f t="shared" si="528"/>
        <v>0</v>
      </c>
      <c r="DR313" s="91">
        <f t="shared" si="456"/>
        <v>0</v>
      </c>
      <c r="DS313" s="30" t="e">
        <f t="shared" si="510"/>
        <v>#N/A</v>
      </c>
      <c r="DT313" s="30" t="e">
        <f t="shared" si="511"/>
        <v>#N/A</v>
      </c>
      <c r="DU313" s="31" t="e">
        <f>IF(OR(Hypothèses!$B$4=17,Hypothèses!$B$4=18,Hypothèses!$B$4=19,Hypothèses!$B$4=20),
IF($D313="Pressio.",
IF(OR($E313=3,$E313=1,$E313=4),DT313,DS313),
IF($D313="Pénétro.",
IF(OR($E313=3,$E313=1,$E313=4),DT313,DS313))),IF($D313="Pressio.",
IF($E313=3,DT313,DS313),
IF($D313="Pénétro.",
IF($E313=4,DT313,DS313))))</f>
        <v>#N/A</v>
      </c>
      <c r="DV313" s="31">
        <v>0</v>
      </c>
      <c r="DW313" s="102" t="e">
        <f>IF(NDC!$H$10="Oui",(VLOOKUP($B$3,'Coeff EC7'!$T$39:$X$59,2,0)*DU313+VLOOKUP($B$3,'Coeff EC7'!$T$65:$X$85,2,0)*Model0.1T!DV313)/1.5,PI()*DS$12*$Q313*($B313-$B312)*0.15/10+DW312)</f>
        <v>#N/A</v>
      </c>
      <c r="DX313" s="102" t="e">
        <f>(VLOOKUP($B$3,'Coeff EC7'!$T$39:$X$59,3,0)*DU313+VLOOKUP($B$3,'Coeff EC7'!$T$65:$X$85,3,0)*Model0.1T!DV313)/1.1</f>
        <v>#N/A</v>
      </c>
      <c r="DY313" s="102" t="e">
        <f t="shared" si="490"/>
        <v>#N/A</v>
      </c>
      <c r="DZ313" s="102" t="e">
        <f t="shared" si="491"/>
        <v>#N/A</v>
      </c>
      <c r="EA313" s="414" t="e">
        <f>IF(AND(DW313&gt;NDC!$C$63,DX313&gt;NDC!$C$65,DY313&gt;NDC!$D$73,DZ313&gt;NDC!$D$74,$B313&gt;NDC!$H$22-0.1+MIN(3*EA$12,1.5)),0,1)</f>
        <v>#N/A</v>
      </c>
      <c r="EB313" s="86" t="b">
        <f t="shared" si="457"/>
        <v>0</v>
      </c>
      <c r="EC313" s="418">
        <f t="shared" si="458"/>
        <v>0.51</v>
      </c>
      <c r="ED313" s="86">
        <f t="shared" si="459"/>
        <v>0.51</v>
      </c>
      <c r="EE313" s="30" t="e">
        <f t="shared" ca="1" si="492"/>
        <v>#DIV/0!</v>
      </c>
      <c r="EF313" s="85" t="e">
        <f ca="1">IF(DL313&lt;=Hypothèses!$V$7,Hypothèses!$W$7,IF(DL313&lt;=Hypothèses!$V$8,Hypothèses!$W$8,IF(DL313&lt;=Hypothèses!$V$9,Hypothèses!$W$9,IF(DL313&lt;=Hypothèses!$V$10,Hypothèses!$W$10,IF(DL313&lt;=Hypothèses!$V$11,Hypothèses!$W$11,IF(DL313&lt;=Hypothèses!$V$12,Hypothèses!$W$12,IF(DL313&lt;=Hypothèses!$V$13,Hypothèses!$W$13,IF(DL313&lt;=Hypothèses!$V$14,Hypothèses!$W$14,IF(DL313&lt;=Hypothèses!$V$15,Hypothèses!$W$15,IF(DL313&lt;=Hypothèses!$V$16,Hypothèses!$W$16,IF(DL313&lt;=Hypothèses!$V$17,Hypothèses!$W$17,IF(DL313&lt;=Hypothèses!$V$18,Hypothèses!$W$18,""))))))))))))</f>
        <v>#DIV/0!</v>
      </c>
      <c r="EG313" s="87" t="e">
        <f t="shared" ca="1" si="522"/>
        <v>#DIV/0!</v>
      </c>
      <c r="EH313" s="88" t="e">
        <f ca="1">IF(DL313&lt;=Hypothèses!$V$7,Hypothèses!$X$7,IF(DL313&lt;=Hypothèses!$V$8,Hypothèses!$X$8,IF(DL313&lt;=Hypothèses!$V$9,Hypothèses!$X$9,IF(DL313&lt;=Hypothèses!$V$10,Hypothèses!$X$10,IF(DL313&lt;=Hypothèses!$V$11,Hypothèses!$X$11,IF(DL313&lt;=Hypothèses!$V$12,Hypothèses!$X$12,IF(DL313&lt;=Hypothèses!$V$13,Hypothèses!$X$13,IF(DL313&lt;=Hypothèses!$V$14,Hypothèses!$X$14,IF(DL313&lt;=Hypothèses!$V$15,Hypothèses!$X$15,IF(DL313&lt;=Hypothèses!$V$16,Hypothèses!$X$16,IF(DL313&lt;=Hypothèses!$U$17,Hypothèses!$W$17,IF(DL313&lt;=Hypothèses!$U$18,Hypothèses!$W$18,""))))))))))))</f>
        <v>#DIV/0!</v>
      </c>
      <c r="EI313" s="95" t="e">
        <f t="shared" ca="1" si="493"/>
        <v>#DIV/0!</v>
      </c>
      <c r="EJ313" s="101">
        <f t="shared" si="529"/>
        <v>0</v>
      </c>
      <c r="EK313" s="91">
        <f t="shared" si="460"/>
        <v>0</v>
      </c>
      <c r="EL313" s="30" t="e">
        <f t="shared" si="512"/>
        <v>#N/A</v>
      </c>
      <c r="EM313" s="30" t="e">
        <f t="shared" si="513"/>
        <v>#N/A</v>
      </c>
      <c r="EN313" s="31" t="e">
        <f>IF(OR(Hypothèses!$B$4=17,Hypothèses!$B$4=18,Hypothèses!$B$4=19,Hypothèses!$B$4=20),
IF($D313="Pressio.",
IF(OR($E313=3,$E313=1,$E313=4),EM313,EL313),
IF($D313="Pénétro.",
IF(OR($E313=3,$E313=1,$E313=4),EM313,EL313))),IF($D313="Pressio.",
IF($E313=3,EM313,EL313),
IF($D313="Pénétro.",
IF($E313=4,EM313,EL313))))</f>
        <v>#N/A</v>
      </c>
      <c r="EO313" s="31">
        <v>0</v>
      </c>
      <c r="EP313" s="102" t="e">
        <f>IF(NDC!$H$10="Oui",(VLOOKUP($B$3,'Coeff EC7'!$T$39:$X$59,2,0)*EN313+VLOOKUP($B$3,'Coeff EC7'!$T$65:$X$85,2,0)*Model0.1T!EO313)/1.5,PI()*EL$12*$Q313*($B313-$B312)*0.15/10+EP312)</f>
        <v>#N/A</v>
      </c>
      <c r="EQ313" s="102" t="e">
        <f>(VLOOKUP($B$3,'Coeff EC7'!$T$39:$X$59,3,0)*EN313+VLOOKUP($B$3,'Coeff EC7'!$T$65:$X$85,3,0)*Model0.1T!EO313)/1.1</f>
        <v>#N/A</v>
      </c>
      <c r="ER313" s="102" t="e">
        <f t="shared" si="494"/>
        <v>#N/A</v>
      </c>
      <c r="ES313" s="102" t="e">
        <f t="shared" si="495"/>
        <v>#N/A</v>
      </c>
      <c r="ET313" s="414" t="e">
        <f>IF(AND(EP313&gt;NDC!$C$63,EQ313&gt;NDC!$C$65,ER313&gt;NDC!$D$73,ES313&gt;NDC!$D$74,$B313&gt;NDC!$H$22-0.1+MIN(3*ET$12,1.5)),0,1)</f>
        <v>#N/A</v>
      </c>
      <c r="EU313" s="86" t="b">
        <f t="shared" si="461"/>
        <v>0</v>
      </c>
      <c r="EV313" s="86">
        <f t="shared" si="462"/>
        <v>0.61</v>
      </c>
      <c r="EW313" s="86">
        <f t="shared" si="463"/>
        <v>0.61</v>
      </c>
      <c r="EX313" s="30" t="e">
        <f t="shared" ca="1" si="496"/>
        <v>#DIV/0!</v>
      </c>
      <c r="EY313" s="85" t="e">
        <f ca="1">IF(EE313&lt;=Hypothèses!$V$7,Hypothèses!$W$7,IF(EE313&lt;=Hypothèses!$V$8,Hypothèses!$W$8,IF(EE313&lt;=Hypothèses!$V$9,Hypothèses!$W$9,IF(EE313&lt;=Hypothèses!$V$10,Hypothèses!$W$10,IF(EE313&lt;=Hypothèses!$V$11,Hypothèses!$W$11,IF(EE313&lt;=Hypothèses!$V$12,Hypothèses!$W$12,IF(EE313&lt;=Hypothèses!$V$13,Hypothèses!$W$13,IF(EE313&lt;=Hypothèses!$V$14,Hypothèses!$W$14,IF(EE313&lt;=Hypothèses!$V$15,Hypothèses!$W$15,IF(EE313&lt;=Hypothèses!$V$16,Hypothèses!$W$16,IF(EE313&lt;=Hypothèses!$V$17,Hypothèses!$W$17,IF(EE313&lt;=Hypothèses!$V$18,Hypothèses!$W$18,""))))))))))))</f>
        <v>#DIV/0!</v>
      </c>
      <c r="EZ313" s="87" t="e">
        <f t="shared" ca="1" si="523"/>
        <v>#DIV/0!</v>
      </c>
      <c r="FA313" s="88" t="e">
        <f ca="1">IF(EE313&lt;=Hypothèses!$V$7,Hypothèses!$X$7,IF(EE313&lt;=Hypothèses!$V$8,Hypothèses!$X$8,IF(EE313&lt;=Hypothèses!$V$9,Hypothèses!$X$9,IF(EE313&lt;=Hypothèses!$V$10,Hypothèses!$X$10,IF(EE313&lt;=Hypothèses!$V$11,Hypothèses!$X$11,IF(EE313&lt;=Hypothèses!$V$12,Hypothèses!$X$12,IF(EE313&lt;=Hypothèses!$V$13,Hypothèses!$X$13,IF(EE313&lt;=Hypothèses!$V$14,Hypothèses!$X$14,IF(EE313&lt;=Hypothèses!$V$15,Hypothèses!$X$15,IF(EE313&lt;=Hypothèses!$V$16,Hypothèses!$X$16,IF(EE313&lt;=Hypothèses!$U$17,Hypothèses!$W$17,IF(EE313&lt;=Hypothèses!$U$18,Hypothèses!$W$18,""))))))))))))</f>
        <v>#DIV/0!</v>
      </c>
      <c r="FB313" s="95" t="e">
        <f t="shared" ca="1" si="497"/>
        <v>#DIV/0!</v>
      </c>
      <c r="FC313" s="101">
        <f t="shared" si="530"/>
        <v>0</v>
      </c>
      <c r="FD313" s="91">
        <f t="shared" si="464"/>
        <v>0</v>
      </c>
      <c r="FE313" s="30" t="e">
        <f t="shared" si="514"/>
        <v>#N/A</v>
      </c>
      <c r="FF313" s="30" t="e">
        <f t="shared" si="515"/>
        <v>#N/A</v>
      </c>
      <c r="FG313" s="31" t="e">
        <f>IF(OR(Hypothèses!$B$4=17,Hypothèses!$B$4=18,Hypothèses!$B$4=19,Hypothèses!$B$4=20),
IF($D313="Pressio.",
IF(OR($E313=3,$E313=1,$E313=4),FF313,FE313),
IF($D313="Pénétro.",
IF(OR($E313=3,$E313=1,$E313=4),FF313,FE313))),IF($D313="Pressio.",
IF($E313=3,FF313,FE313),
IF($D313="Pénétro.",
IF($E313=4,FF313,FE313))))</f>
        <v>#N/A</v>
      </c>
      <c r="FH313" s="31">
        <v>0</v>
      </c>
      <c r="FI313" s="102" t="e">
        <f>IF(NDC!$H$10="Oui",(VLOOKUP($B$3,'Coeff EC7'!$T$39:$X$59,2,0)*FG313+VLOOKUP($B$3,'Coeff EC7'!$T$65:$X$85,2,0)*Model0.1T!FH313)/1.5,PI()*FE$12*$Q313*($B313-$B312)*0.15/10+FI312)</f>
        <v>#N/A</v>
      </c>
      <c r="FJ313" s="102" t="e">
        <f>(VLOOKUP($B$3,'Coeff EC7'!$T$39:$X$59,3,0)*FG313+VLOOKUP($B$3,'Coeff EC7'!$T$65:$X$85,3,0)*Model0.1T!FH313)/1.1</f>
        <v>#N/A</v>
      </c>
      <c r="FK313" s="102" t="e">
        <f t="shared" si="498"/>
        <v>#N/A</v>
      </c>
      <c r="FL313" s="102" t="e">
        <f t="shared" si="499"/>
        <v>#N/A</v>
      </c>
      <c r="FM313" s="414" t="e">
        <f>IF(AND(FI313&gt;NDC!$C$63,FJ313&gt;NDC!$C$65,FK313&gt;NDC!$D$73,FL313&gt;NDC!$D$74,$B313&gt;NDC!$H$22-0.1+MIN(3*FM$12,1.5)),0,1)</f>
        <v>#N/A</v>
      </c>
    </row>
    <row r="314" spans="1:169">
      <c r="A314" s="96">
        <f t="shared" si="465"/>
        <v>69.900000000001711</v>
      </c>
      <c r="B314" s="97">
        <v>30.1</v>
      </c>
      <c r="C314" s="81">
        <f>IF(B314&lt;=Hypothèses!$C$7,Hypothèses!$A$7,IF(B314&lt;=Hypothèses!$C$8,Hypothèses!$A$8,IF(B314&lt;=Hypothèses!$C$9,Hypothèses!$A$9,IF(B314&lt;=Hypothèses!$C$10,Hypothèses!$A$10,IF(B314&lt;=Hypothèses!$C$11,Hypothèses!$A$11,IF(B314&lt;=Hypothèses!$C$12,Hypothèses!$A$12,IF(B314&lt;=Hypothèses!$C$13,Hypothèses!$A$13,IF(B314&lt;=Hypothèses!$C$14,Hypothèses!$A$14,IF(B314&lt;=Hypothèses!$C$15,Hypothèses!$A$15,IF(B314&lt;=Hypothèses!$C$16,Hypothèses!$A$16,IF(B314&lt;=Hypothèses!$C$17,Hypothèses!$A$17,IF(B314&lt;=Hypothèses!$C$18,Hypothèses!$A$18,C313))))))))))))</f>
        <v>11</v>
      </c>
      <c r="D314" s="82" t="str">
        <f>IF(B314&lt;=Hypothèses!$C$7,Hypothèses!$R$7,IF(B314&lt;=Hypothèses!$C$8,Hypothèses!$R$8,IF(B314&lt;=Hypothèses!$C$9,Hypothèses!$R$9,IF(B314&lt;=Hypothèses!$C$10,Hypothèses!$R$10,IF(B314&lt;=Hypothèses!$C$11,Hypothèses!$R$11,IF(B314&lt;=Hypothèses!$C$12,Hypothèses!$R$12,IF(B314&lt;=Hypothèses!$C$13,Hypothèses!$R$13,IF(B314&lt;=Hypothèses!$C$14,Hypothèses!$R$14,IF(B314&lt;=Hypothèses!$C$15,Hypothèses!$R$15,IF(B314&lt;=Hypothèses!$C$16,Hypothèses!$R$16,IF(B314&lt;=Hypothèses!$C$17,Hypothèses!$R$17,IF(B314&lt;=Hypothèses!$C$18,Hypothèses!$R$18,D313))))))))))))</f>
        <v>Pressio.</v>
      </c>
      <c r="E314" s="82" t="e">
        <f>IF(B314&lt;=Hypothèses!$C$7,Hypothèses!$G$7,IF(B314&lt;=Hypothèses!$C$8,Hypothèses!$G$8,IF(B314&lt;=Hypothèses!$C$9,Hypothèses!$G$9,IF(B314&lt;=Hypothèses!$C$10,Hypothèses!$G$10,IF(B314&lt;=Hypothèses!$C$11,Hypothèses!$G$11,IF(B314&lt;=Hypothèses!$C$12,Hypothèses!$G$12,IF(B314&lt;=Hypothèses!$C$13,Hypothèses!$G$13,IF(B314&lt;=Hypothèses!$C$14,Hypothèses!$G$14,IF(B314&lt;=Hypothèses!$C$15,Hypothèses!$G$15,IF(B314&lt;=Hypothèses!$C$16,Hypothèses!$G$16,IF(B314&lt;=Hypothèses!$C$17,Hypothèses!$G$17,IF(B314&lt;=Hypothèses!$C$18,Hypothèses!$G$18,E313))))))))))))</f>
        <v>#N/A</v>
      </c>
      <c r="F314" s="82" t="str">
        <f>IF(B314&lt;=Hypothèses!$C$7,Hypothèses!$F$7,IF(B314&lt;=Hypothèses!$C$8,Hypothèses!$F$8,IF(B314&lt;=Hypothèses!$C$9,Hypothèses!$F$9,IF(B314&lt;=Hypothèses!$C$10,Hypothèses!$F$10,IF(B314&lt;=Hypothèses!$C$11,Hypothèses!$F$11,IF(B314&lt;=Hypothèses!$C$12,Hypothèses!$F$12,IF(B314&lt;=Hypothèses!$C$13,Hypothèses!$F$13,IF(B314&lt;=Hypothèses!$C$14,Hypothèses!$F$14,IF(B314&lt;=Hypothèses!$C$15,Hypothèses!$F$15,IF(B314&lt;=Hypothèses!$C$16,Hypothèses!$F$16,IF(B314&lt;=Hypothèses!$C$17,Hypothèses!$F$17,IF(B314&lt;=Hypothèses!$C$18,Hypothèses!$F$18,F313))))))))))))</f>
        <v/>
      </c>
      <c r="G314" s="91">
        <f t="array" ref="G314">INDEX('Coeff EC7'!$U$7:$X$27,
MATCH(Model0.1T!$B$3,'Coeff EC7'!$T$7:$T$27,0),
MATCH(Model0.1T!$D314&amp;Model0.1T!$B$4,
'Coeff EC7'!$U$6:$X$6&amp;
'Coeff EC7'!$U$5:$X$5,0))</f>
        <v>1.4</v>
      </c>
      <c r="H314" s="91">
        <f t="array" ref="H314">INDEX('Coeff EC7'!$Y$7:$AB$27,
MATCH(Model0.1T!$B$3,'Coeff EC7'!$T$7:$T$27,0),
MATCH(Model0.1T!$D314&amp;Model0.1T!$B$4,
'Coeff EC7'!$Y$6:$AB$6&amp;
'Coeff EC7'!$Y$5:$AB$5,0))</f>
        <v>1.7</v>
      </c>
      <c r="I314" s="83">
        <v>0</v>
      </c>
      <c r="J314" s="91" t="e">
        <f t="array" ref="J314">INDEX('Coeff EC7'!$D$33:$Q$33,1,MATCH(D314&amp;E314,'Coeff EC7'!$D$31:$Q$31&amp;'Coeff EC7'!$D$32:$Q$32,0))</f>
        <v>#N/A</v>
      </c>
      <c r="K314" s="91" t="e">
        <f t="array" ref="K314">INDEX('Coeff EC7'!$D$34:$Q$34,1,MATCH(D314&amp;E314,'Coeff EC7'!$D$31:$Q$31&amp;'Coeff EC7'!$D$32:$Q$32,0))</f>
        <v>#N/A</v>
      </c>
      <c r="L314" s="91" t="e">
        <f t="array" ref="L314">INDEX('Coeff EC7'!$D$35:$Q$35,1,MATCH(D314&amp;E314,'Coeff EC7'!$D$31:$Q$31&amp;'Coeff EC7'!$D$32:$Q$32,0))</f>
        <v>#N/A</v>
      </c>
      <c r="M314" s="98" t="e">
        <f t="shared" si="431"/>
        <v>#N/A</v>
      </c>
      <c r="N314" s="99" t="e">
        <f t="array" ref="N314">INDEX('Coeff EC7'!$D$7:$Q$27,MATCH($B$3,'Coeff EC7'!$C$7:$C$27,0),MATCH(D314&amp;E314,'Coeff EC7'!$D$5:$Q$5&amp;'Coeff EC7'!$D$6:$Q$6,0))</f>
        <v>#N/A</v>
      </c>
      <c r="O314" s="99" t="e">
        <f t="array" ref="O314">INDEX('Coeff EC7'!$D$41:$Q$61,MATCH($B$3,'Coeff EC7'!$C$41:$C$61,0),MATCH(D314&amp;E314,'Coeff EC7'!$D$39:$Q$39&amp;'Coeff EC7'!$D$40:$Q$40,0))</f>
        <v>#N/A</v>
      </c>
      <c r="P314" s="30" t="e">
        <f t="shared" si="466"/>
        <v>#N/A</v>
      </c>
      <c r="Q314" s="100" t="e">
        <f t="shared" si="433"/>
        <v>#N/A</v>
      </c>
      <c r="R314" s="86" t="b">
        <f t="shared" si="434"/>
        <v>0</v>
      </c>
      <c r="S314" s="86">
        <f t="shared" si="432"/>
        <v>0.5</v>
      </c>
      <c r="T314" s="86">
        <f t="shared" si="435"/>
        <v>0.5</v>
      </c>
      <c r="U314" s="30" t="e">
        <f t="shared" ca="1" si="467"/>
        <v>#DIV/0!</v>
      </c>
      <c r="V314" s="85" t="str">
        <f>IF(B314&lt;=Hypothèses!$V$7,Hypothèses!$W$7,IF(B314&lt;=Hypothèses!$V$8,Hypothèses!$W$8,IF(B314&lt;=Hypothèses!$V$9,Hypothèses!$W$9,IF(B314&lt;=Hypothèses!$V$10,Hypothèses!$W$10,IF(B314&lt;=Hypothèses!$V$11,Hypothèses!$W$11,IF(B314&lt;=Hypothèses!$V$12,Hypothèses!$W$12,IF(B314&lt;=Hypothèses!$V$13,Hypothèses!$W$13,IF(B314&lt;=Hypothèses!$V$14,Hypothèses!$W$14,IF(B314&lt;=Hypothèses!$V$15,Hypothèses!$W$15,IF(B314&lt;=Hypothèses!$V$16,Hypothèses!$W$16,IF(B314&lt;=Hypothèses!$V$17,Hypothèses!$W$17,IF(B314&lt;=Hypothèses!$V$18,Hypothèses!$W$18,""))))))))))))</f>
        <v/>
      </c>
      <c r="W314" s="87" t="e">
        <f t="shared" ca="1" si="516"/>
        <v>#DIV/0!</v>
      </c>
      <c r="X314" s="88" t="str">
        <f>IF(B314&lt;=Hypothèses!$V$7,Hypothèses!$X$7,IF(B314&lt;=Hypothèses!$V$8,Hypothèses!$X$8,IF(B314&lt;=Hypothèses!$V$9,Hypothèses!$X$9,IF(B314&lt;=Hypothèses!$V$10,Hypothèses!$X$10,IF(B314&lt;=Hypothèses!$V$11,Hypothèses!$X$11,IF(B314&lt;=Hypothèses!$V$12,Hypothèses!$X$12,IF(B314&lt;=Hypothèses!$V$13,Hypothèses!$X$13,IF(B314&lt;=Hypothèses!$V$14,Hypothèses!$X$14,IF(B314&lt;=Hypothèses!$V$15,Hypothèses!$X$15,IF(B314&lt;=Hypothèses!$V$16,Hypothèses!$X$16,IF(B314&lt;=Hypothèses!$U$17,Hypothèses!$W$17,IF(B314&lt;=Hypothèses!$U$18,Hypothèses!$W$18,""))))))))))))</f>
        <v/>
      </c>
      <c r="Y314" s="95" t="e">
        <f t="shared" ca="1" si="436"/>
        <v>#DIV/0!</v>
      </c>
      <c r="Z314" s="101">
        <f t="shared" si="437"/>
        <v>0</v>
      </c>
      <c r="AA314" s="91">
        <f t="shared" si="438"/>
        <v>0</v>
      </c>
      <c r="AB314" s="30" t="e">
        <f t="shared" si="500"/>
        <v>#N/A</v>
      </c>
      <c r="AC314" s="30" t="e">
        <f t="shared" si="501"/>
        <v>#N/A</v>
      </c>
      <c r="AD314" s="31" t="e">
        <f>IF(OR(Hypothèses!$B$4=17,Hypothèses!$B$4=18,Hypothèses!$B$4=19,Hypothèses!$B$4=20),
IF($D314="Pressio.",
IF(OR($E314=3,$E314=1,$E314=4),AC314,AB314),
IF($D314="Pénétro.",
IF(OR($E314=3,$E314=1,$E314=4),AC314,AB314))),IF($D314="Pressio.",
IF($E314=3,AC314,AB314),
IF($D314="Pénétro.",
IF($E314=4,AC314,AB314))))</f>
        <v>#N/A</v>
      </c>
      <c r="AE314" s="31">
        <v>0</v>
      </c>
      <c r="AF314" s="102" t="e">
        <f>IF(NDC!$H$10="Oui",(VLOOKUP($B$3,'Coeff EC7'!$T$39:$X$59,2,0)*AD314+VLOOKUP($B$3,'Coeff EC7'!$T$65:$X$85,2,0)*Model0.1T!AE314)/1.5,PI()*AB$12*$Q314*($B314-$B313)*0.15/10+AF313)</f>
        <v>#N/A</v>
      </c>
      <c r="AG314" s="102" t="e">
        <f>(VLOOKUP($B$3,'Coeff EC7'!$T$39:$X$59,3,0)*AD314+VLOOKUP($B$3,'Coeff EC7'!$T$65:$X$85,3,0)*Model0.1T!AE314)/1.1</f>
        <v>#N/A</v>
      </c>
      <c r="AH314" s="102" t="e">
        <f t="shared" si="468"/>
        <v>#N/A</v>
      </c>
      <c r="AI314" s="102" t="e">
        <f t="shared" si="469"/>
        <v>#N/A</v>
      </c>
      <c r="AJ314" s="414" t="e">
        <f>IF(AND(AF314&gt;NDC!$C$63,AG314&gt;NDC!$C$65,AH314&gt;NDC!$D$73,AI314&gt;NDC!$D$74,$B314&gt;NDC!$H$22-0.1+MIN(3*$AJ$12,1.5)),0,1)</f>
        <v>#N/A</v>
      </c>
      <c r="AK314" s="86" t="b">
        <f t="shared" si="439"/>
        <v>0</v>
      </c>
      <c r="AL314" s="86">
        <f t="shared" si="470"/>
        <v>0.5</v>
      </c>
      <c r="AM314" s="86">
        <f t="shared" si="440"/>
        <v>0.5</v>
      </c>
      <c r="AN314" s="30" t="e">
        <f t="shared" ca="1" si="471"/>
        <v>#DIV/0!</v>
      </c>
      <c r="AO314" s="85" t="e">
        <f ca="1">IF(U314&lt;=Hypothèses!$V$7,Hypothèses!$W$7,IF(U314&lt;=Hypothèses!$V$8,Hypothèses!$W$8,IF(U314&lt;=Hypothèses!$V$9,Hypothèses!$W$9,IF(U314&lt;=Hypothèses!$V$10,Hypothèses!$W$10,IF(U314&lt;=Hypothèses!$V$11,Hypothèses!$W$11,IF(U314&lt;=Hypothèses!$V$12,Hypothèses!$W$12,IF(U314&lt;=Hypothèses!$V$13,Hypothèses!$W$13,IF(U314&lt;=Hypothèses!$V$14,Hypothèses!$W$14,IF(U314&lt;=Hypothèses!$V$15,Hypothèses!$W$15,IF(U314&lt;=Hypothèses!$V$16,Hypothèses!$W$16,IF(U314&lt;=Hypothèses!$V$17,Hypothèses!$W$17,IF(U314&lt;=Hypothèses!$V$18,Hypothèses!$W$18,""))))))))))))</f>
        <v>#DIV/0!</v>
      </c>
      <c r="AP314" s="87" t="e">
        <f t="shared" ca="1" si="517"/>
        <v>#DIV/0!</v>
      </c>
      <c r="AQ314" s="88" t="e">
        <f ca="1">IF(U314&lt;=Hypothèses!$V$7,Hypothèses!$X$7,IF(U314&lt;=Hypothèses!$V$8,Hypothèses!$X$8,IF(U314&lt;=Hypothèses!$V$9,Hypothèses!$X$9,IF(U314&lt;=Hypothèses!$V$10,Hypothèses!$X$10,IF(U314&lt;=Hypothèses!$V$11,Hypothèses!$X$11,IF(U314&lt;=Hypothèses!$V$12,Hypothèses!$X$12,IF(U314&lt;=Hypothèses!$V$13,Hypothèses!$X$13,IF(U314&lt;=Hypothèses!$V$14,Hypothèses!$X$14,IF(U314&lt;=Hypothèses!$V$15,Hypothèses!$X$15,IF(U314&lt;=Hypothèses!$V$16,Hypothèses!$X$16,IF(U314&lt;=Hypothèses!$U$17,Hypothèses!$W$17,IF(U314&lt;=Hypothèses!$U$18,Hypothèses!$W$18,""))))))))))))</f>
        <v>#DIV/0!</v>
      </c>
      <c r="AR314" s="95" t="e">
        <f t="shared" ca="1" si="472"/>
        <v>#DIV/0!</v>
      </c>
      <c r="AS314" s="101">
        <f t="shared" si="524"/>
        <v>0</v>
      </c>
      <c r="AT314" s="91">
        <f t="shared" si="441"/>
        <v>0</v>
      </c>
      <c r="AU314" s="30" t="e">
        <f t="shared" si="502"/>
        <v>#N/A</v>
      </c>
      <c r="AV314" s="30" t="e">
        <f t="shared" si="503"/>
        <v>#N/A</v>
      </c>
      <c r="AW314" s="31" t="e">
        <f>IF(OR(Hypothèses!$B$4=17,Hypothèses!$B$4=18,Hypothèses!$B$4=19,Hypothèses!$B$4=20),
IF($D314="Pressio.",
IF(OR($E314=3,$E314=1,$E314=4),AV314,AU314),
IF($D314="Pénétro.",
IF(OR($E314=3,$E314=1,$E314=4),AV314,AU314))),IF($D314="Pressio.",
IF($E314=3,AV314,AU314),
IF($D314="Pénétro.",
IF($E314=4,AV314,AU314))))</f>
        <v>#N/A</v>
      </c>
      <c r="AX314" s="31">
        <v>0</v>
      </c>
      <c r="AY314" s="102" t="e">
        <f>IF(NDC!$H$10="Oui",(VLOOKUP($B$3,'Coeff EC7'!$T$39:$X$59,2,0)*AW314+VLOOKUP($B$3,'Coeff EC7'!$T$65:$X$85,2,0)*Model0.1T!AX314)/1.5,PI()*AU$12*$Q314*($B314-$B313)*0.15/10+AY313)</f>
        <v>#N/A</v>
      </c>
      <c r="AZ314" s="102" t="e">
        <f>(VLOOKUP($B$3,'Coeff EC7'!$T$39:$X$59,3,0)*AW314+VLOOKUP($B$3,'Coeff EC7'!$T$65:$X$85,3,0)*Model0.1T!AX314)/1.1</f>
        <v>#N/A</v>
      </c>
      <c r="BA314" s="102" t="e">
        <f t="shared" si="473"/>
        <v>#N/A</v>
      </c>
      <c r="BB314" s="102" t="e">
        <f t="shared" si="474"/>
        <v>#N/A</v>
      </c>
      <c r="BC314" s="414" t="e">
        <f>IF(AND(AY314&gt;NDC!$C$63,AZ314&gt;NDC!$C$65,BA314&gt;NDC!$D$73,BB314&gt;NDC!$D$74,$B314&gt;NDC!$H$22-0.1+MIN(3*BC$12,1.5)),0,1)</f>
        <v>#N/A</v>
      </c>
      <c r="BD314" s="86" t="b">
        <f t="shared" si="442"/>
        <v>0</v>
      </c>
      <c r="BE314" s="86">
        <f t="shared" si="475"/>
        <v>0.5</v>
      </c>
      <c r="BF314" s="86">
        <f t="shared" si="443"/>
        <v>0.5</v>
      </c>
      <c r="BG314" s="30" t="e">
        <f t="shared" ca="1" si="476"/>
        <v>#DIV/0!</v>
      </c>
      <c r="BH314" s="85" t="e">
        <f ca="1">IF(AN314&lt;=Hypothèses!$V$7,Hypothèses!$W$7,IF(AN314&lt;=Hypothèses!$V$8,Hypothèses!$W$8,IF(AN314&lt;=Hypothèses!$V$9,Hypothèses!$W$9,IF(AN314&lt;=Hypothèses!$V$10,Hypothèses!$W$10,IF(AN314&lt;=Hypothèses!$V$11,Hypothèses!$W$11,IF(AN314&lt;=Hypothèses!$V$12,Hypothèses!$W$12,IF(AN314&lt;=Hypothèses!$V$13,Hypothèses!$W$13,IF(AN314&lt;=Hypothèses!$V$14,Hypothèses!$W$14,IF(AN314&lt;=Hypothèses!$V$15,Hypothèses!$W$15,IF(AN314&lt;=Hypothèses!$V$16,Hypothèses!$W$16,IF(AN314&lt;=Hypothèses!$V$17,Hypothèses!$W$17,IF(AN314&lt;=Hypothèses!$V$18,Hypothèses!$W$18,""))))))))))))</f>
        <v>#DIV/0!</v>
      </c>
      <c r="BI314" s="87" t="e">
        <f t="shared" ca="1" si="518"/>
        <v>#DIV/0!</v>
      </c>
      <c r="BJ314" s="88" t="e">
        <f ca="1">IF(AN314&lt;=Hypothèses!$V$7,Hypothèses!$X$7,IF(AN314&lt;=Hypothèses!$V$8,Hypothèses!$X$8,IF(AN314&lt;=Hypothèses!$V$9,Hypothèses!$X$9,IF(AN314&lt;=Hypothèses!$V$10,Hypothèses!$X$10,IF(AN314&lt;=Hypothèses!$V$11,Hypothèses!$X$11,IF(AN314&lt;=Hypothèses!$V$12,Hypothèses!$X$12,IF(AN314&lt;=Hypothèses!$V$13,Hypothèses!$X$13,IF(AN314&lt;=Hypothèses!$V$14,Hypothèses!$X$14,IF(AN314&lt;=Hypothèses!$V$15,Hypothèses!$X$15,IF(AN314&lt;=Hypothèses!$V$16,Hypothèses!$X$16,IF(AN314&lt;=Hypothèses!$U$17,Hypothèses!$W$17,IF(AN314&lt;=Hypothèses!$U$18,Hypothèses!$W$18,""))))))))))))</f>
        <v>#DIV/0!</v>
      </c>
      <c r="BK314" s="95" t="e">
        <f t="shared" ca="1" si="477"/>
        <v>#DIV/0!</v>
      </c>
      <c r="BL314" s="101">
        <f t="shared" si="525"/>
        <v>0</v>
      </c>
      <c r="BM314" s="91">
        <f t="shared" si="444"/>
        <v>0</v>
      </c>
      <c r="BN314" s="30" t="e">
        <f t="shared" si="504"/>
        <v>#N/A</v>
      </c>
      <c r="BO314" s="30" t="e">
        <f t="shared" si="505"/>
        <v>#N/A</v>
      </c>
      <c r="BP314" s="31" t="e">
        <f>IF(OR(Hypothèses!$B$4=17,Hypothèses!$B$4=18,Hypothèses!$B$4=19,Hypothèses!$B$4=20),
IF($D314="Pressio.",
IF(OR($E314=3,$E314=1,$E314=4),BO314,BN314),
IF($D314="Pénétro.",
IF(OR($E314=3,$E314=1,$E314=4),BO314,BN314))),IF($D314="Pressio.",
IF($E314=3,BO314,BN314),
IF($D314="Pénétro.",
IF($E314=4,BO314,BN314))))</f>
        <v>#N/A</v>
      </c>
      <c r="BQ314" s="31">
        <v>0</v>
      </c>
      <c r="BR314" s="102" t="e">
        <f>IF(NDC!$H$10="Oui",(VLOOKUP($B$3,'Coeff EC7'!$T$39:$X$59,2,0)*BP314+VLOOKUP($B$3,'Coeff EC7'!$T$65:$X$85,2,0)*Model0.1T!BQ314)/1.5,PI()*BN$12*$Q314*($B314-$B313)*0.15/10+BR313)</f>
        <v>#N/A</v>
      </c>
      <c r="BS314" s="102" t="e">
        <f>(VLOOKUP($B$3,'Coeff EC7'!$T$39:$X$59,3,0)*BP314+VLOOKUP($B$3,'Coeff EC7'!$T$65:$X$85,3,0)*Model0.1T!BQ314)/1.1</f>
        <v>#N/A</v>
      </c>
      <c r="BT314" s="102" t="e">
        <f t="shared" si="478"/>
        <v>#N/A</v>
      </c>
      <c r="BU314" s="102" t="e">
        <f t="shared" si="479"/>
        <v>#N/A</v>
      </c>
      <c r="BV314" s="414" t="e">
        <f>IF(AND(BR314&gt;NDC!$C$63,BS314&gt;NDC!$C$65,BT314&gt;NDC!$D$73,BU314&gt;NDC!$D$74,$B314&gt;NDC!$H$22-0.1+MIN(3*BV$12,1.5)),0,1)</f>
        <v>#N/A</v>
      </c>
      <c r="BW314" s="86" t="b">
        <f t="shared" si="445"/>
        <v>0</v>
      </c>
      <c r="BX314" s="86">
        <f t="shared" si="446"/>
        <v>0.5</v>
      </c>
      <c r="BY314" s="86">
        <f t="shared" si="447"/>
        <v>0.5</v>
      </c>
      <c r="BZ314" s="30" t="e">
        <f t="shared" ca="1" si="480"/>
        <v>#DIV/0!</v>
      </c>
      <c r="CA314" s="85" t="e">
        <f ca="1">IF(BG314&lt;=Hypothèses!$V$7,Hypothèses!$W$7,IF(BG314&lt;=Hypothèses!$V$8,Hypothèses!$W$8,IF(BG314&lt;=Hypothèses!$V$9,Hypothèses!$W$9,IF(BG314&lt;=Hypothèses!$V$10,Hypothèses!$W$10,IF(BG314&lt;=Hypothèses!$V$11,Hypothèses!$W$11,IF(BG314&lt;=Hypothèses!$V$12,Hypothèses!$W$12,IF(BG314&lt;=Hypothèses!$V$13,Hypothèses!$W$13,IF(BG314&lt;=Hypothèses!$V$14,Hypothèses!$W$14,IF(BG314&lt;=Hypothèses!$V$15,Hypothèses!$W$15,IF(BG314&lt;=Hypothèses!$V$16,Hypothèses!$W$16,IF(BG314&lt;=Hypothèses!$V$17,Hypothèses!$W$17,IF(BG314&lt;=Hypothèses!$V$18,Hypothèses!$W$18,""))))))))))))</f>
        <v>#DIV/0!</v>
      </c>
      <c r="CB314" s="87" t="e">
        <f t="shared" ca="1" si="519"/>
        <v>#DIV/0!</v>
      </c>
      <c r="CC314" s="88" t="e">
        <f ca="1">IF(BG314&lt;=Hypothèses!$V$7,Hypothèses!$X$7,IF(BG314&lt;=Hypothèses!$V$8,Hypothèses!$X$8,IF(BG314&lt;=Hypothèses!$V$9,Hypothèses!$X$9,IF(BG314&lt;=Hypothèses!$V$10,Hypothèses!$X$10,IF(BG314&lt;=Hypothèses!$V$11,Hypothèses!$X$11,IF(BG314&lt;=Hypothèses!$V$12,Hypothèses!$X$12,IF(BG314&lt;=Hypothèses!$V$13,Hypothèses!$X$13,IF(BG314&lt;=Hypothèses!$V$14,Hypothèses!$X$14,IF(BG314&lt;=Hypothèses!$V$15,Hypothèses!$X$15,IF(BG314&lt;=Hypothèses!$V$16,Hypothèses!$X$16,IF(BG314&lt;=Hypothèses!$U$17,Hypothèses!$W$17,IF(BG314&lt;=Hypothèses!$U$18,Hypothèses!$W$18,""))))))))))))</f>
        <v>#DIV/0!</v>
      </c>
      <c r="CD314" s="95" t="e">
        <f t="shared" ca="1" si="481"/>
        <v>#DIV/0!</v>
      </c>
      <c r="CE314" s="101">
        <f t="shared" si="526"/>
        <v>0</v>
      </c>
      <c r="CF314" s="91">
        <f t="shared" si="448"/>
        <v>0</v>
      </c>
      <c r="CG314" s="30" t="e">
        <f t="shared" si="506"/>
        <v>#N/A</v>
      </c>
      <c r="CH314" s="30" t="e">
        <f t="shared" si="507"/>
        <v>#N/A</v>
      </c>
      <c r="CI314" s="31" t="e">
        <f>IF(OR(Hypothèses!$B$4=17,Hypothèses!$B$4=18,Hypothèses!$B$4=19,Hypothèses!$B$4=20),
IF($D314="Pressio.",
IF(OR($E314=3,$E314=1,$E314=4),CH314,CG314),
IF($D314="Pénétro.",
IF(OR($E314=3,$E314=1,$E314=4),CH314,CG314))),IF($D314="Pressio.",
IF($E314=3,CH314,CG314),
IF($D314="Pénétro.",
IF($E314=4,CH314,CG314))))</f>
        <v>#N/A</v>
      </c>
      <c r="CJ314" s="31">
        <v>0</v>
      </c>
      <c r="CK314" s="102" t="e">
        <f>IF(NDC!$H$10="Oui",(VLOOKUP($B$3,'Coeff EC7'!$T$39:$X$59,2,0)*CI314+VLOOKUP($B$3,'Coeff EC7'!$T$65:$X$85,2,0)*Model0.1T!CJ314)/1.5,PI()*CG$12*$Q314*($B314-$B313)*0.15/10+CK313)</f>
        <v>#N/A</v>
      </c>
      <c r="CL314" s="102" t="e">
        <f>(VLOOKUP($B$3,'Coeff EC7'!$T$39:$X$59,3,0)*CI314+VLOOKUP($B$3,'Coeff EC7'!$T$65:$X$85,3,0)*Model0.1T!CJ314)/1.1</f>
        <v>#N/A</v>
      </c>
      <c r="CM314" s="102" t="e">
        <f t="shared" si="482"/>
        <v>#N/A</v>
      </c>
      <c r="CN314" s="102" t="e">
        <f t="shared" si="483"/>
        <v>#N/A</v>
      </c>
      <c r="CO314" s="414" t="e">
        <f>IF(AND(CK314&gt;NDC!$C$63,CL314&gt;NDC!$C$65,CM314&gt;NDC!$D$73,CN314&gt;NDC!$D$74,$B314&gt;NDC!$H$22-0.1+MIN(3*CO$12,1.5)),0,1)</f>
        <v>#N/A</v>
      </c>
      <c r="CP314" s="86" t="b">
        <f t="shared" si="449"/>
        <v>0</v>
      </c>
      <c r="CQ314" s="86">
        <f t="shared" si="450"/>
        <v>0.5</v>
      </c>
      <c r="CR314" s="86">
        <f t="shared" si="451"/>
        <v>0.5</v>
      </c>
      <c r="CS314" s="30" t="e">
        <f t="shared" ca="1" si="484"/>
        <v>#DIV/0!</v>
      </c>
      <c r="CT314" s="85" t="e">
        <f ca="1">IF(BZ314&lt;=Hypothèses!$V$7,Hypothèses!$W$7,IF(BZ314&lt;=Hypothèses!$V$8,Hypothèses!$W$8,IF(BZ314&lt;=Hypothèses!$V$9,Hypothèses!$W$9,IF(BZ314&lt;=Hypothèses!$V$10,Hypothèses!$W$10,IF(BZ314&lt;=Hypothèses!$V$11,Hypothèses!$W$11,IF(BZ314&lt;=Hypothèses!$V$12,Hypothèses!$W$12,IF(BZ314&lt;=Hypothèses!$V$13,Hypothèses!$W$13,IF(BZ314&lt;=Hypothèses!$V$14,Hypothèses!$W$14,IF(BZ314&lt;=Hypothèses!$V$15,Hypothèses!$W$15,IF(BZ314&lt;=Hypothèses!$V$16,Hypothèses!$W$16,IF(BZ314&lt;=Hypothèses!$V$17,Hypothèses!$W$17,IF(BZ314&lt;=Hypothèses!$V$18,Hypothèses!$W$18,""))))))))))))</f>
        <v>#DIV/0!</v>
      </c>
      <c r="CU314" s="87" t="e">
        <f t="shared" ca="1" si="520"/>
        <v>#DIV/0!</v>
      </c>
      <c r="CV314" s="88" t="e">
        <f ca="1">IF(BZ314&lt;=Hypothèses!$V$7,Hypothèses!$X$7,IF(BZ314&lt;=Hypothèses!$V$8,Hypothèses!$X$8,IF(BZ314&lt;=Hypothèses!$V$9,Hypothèses!$X$9,IF(BZ314&lt;=Hypothèses!$V$10,Hypothèses!$X$10,IF(BZ314&lt;=Hypothèses!$V$11,Hypothèses!$X$11,IF(BZ314&lt;=Hypothèses!$V$12,Hypothèses!$X$12,IF(BZ314&lt;=Hypothèses!$V$13,Hypothèses!$X$13,IF(BZ314&lt;=Hypothèses!$V$14,Hypothèses!$X$14,IF(BZ314&lt;=Hypothèses!$V$15,Hypothèses!$X$15,IF(BZ314&lt;=Hypothèses!$V$16,Hypothèses!$X$16,IF(BZ314&lt;=Hypothèses!$U$17,Hypothèses!$W$17,IF(BZ314&lt;=Hypothèses!$U$18,Hypothèses!$W$18,""))))))))))))</f>
        <v>#DIV/0!</v>
      </c>
      <c r="CW314" s="95" t="e">
        <f t="shared" ca="1" si="485"/>
        <v>#DIV/0!</v>
      </c>
      <c r="CX314" s="101">
        <f t="shared" si="527"/>
        <v>0</v>
      </c>
      <c r="CY314" s="91">
        <f t="shared" si="452"/>
        <v>0</v>
      </c>
      <c r="CZ314" s="30" t="e">
        <f t="shared" si="508"/>
        <v>#N/A</v>
      </c>
      <c r="DA314" s="30" t="e">
        <f t="shared" si="509"/>
        <v>#N/A</v>
      </c>
      <c r="DB314" s="31" t="e">
        <f>IF(OR(Hypothèses!$B$4=17,Hypothèses!$B$4=18,Hypothèses!$B$4=19,Hypothèses!$B$4=20),
IF($D314="Pressio.",
IF(OR($E314=3,$E314=1,$E314=4),DA314,CZ314),
IF($D314="Pénétro.",
IF(OR($E314=3,$E314=1,$E314=4),DA314,CZ314))),IF($D314="Pressio.",
IF($E314=3,DA314,CZ314),
IF($D314="Pénétro.",
IF($E314=4,DA314,CZ314))))</f>
        <v>#N/A</v>
      </c>
      <c r="DC314" s="31">
        <v>0</v>
      </c>
      <c r="DD314" s="102" t="e">
        <f>IF(NDC!$H$10="Oui",(VLOOKUP($B$3,'Coeff EC7'!$T$39:$X$59,2,0)*DB314+VLOOKUP($B$3,'Coeff EC7'!$T$65:$X$85,2,0)*Model0.1T!DC314)/1.5,PI()*CZ$12*$Q314*($B314-$B313)*0.15/10+DD313)</f>
        <v>#N/A</v>
      </c>
      <c r="DE314" s="102" t="e">
        <f>(VLOOKUP($B$3,'Coeff EC7'!$T$39:$X$59,3,0)*DB314+VLOOKUP($B$3,'Coeff EC7'!$T$65:$X$85,3,0)*Model0.1T!DC314)/1.1</f>
        <v>#N/A</v>
      </c>
      <c r="DF314" s="102" t="e">
        <f t="shared" si="486"/>
        <v>#N/A</v>
      </c>
      <c r="DG314" s="102" t="e">
        <f t="shared" si="487"/>
        <v>#N/A</v>
      </c>
      <c r="DH314" s="414" t="e">
        <f>IF(AND(DD314&gt;NDC!$C$63,DE314&gt;NDC!$C$65,DF314&gt;NDC!$D$73,DG314&gt;NDC!$D$74,$B314&gt;NDC!$H$22-0.1+MIN(3*DH$12,1.5)),0,1)</f>
        <v>#N/A</v>
      </c>
      <c r="DI314" s="86" t="b">
        <f t="shared" si="453"/>
        <v>0</v>
      </c>
      <c r="DJ314" s="86">
        <f t="shared" si="454"/>
        <v>0.5</v>
      </c>
      <c r="DK314" s="86">
        <f t="shared" si="455"/>
        <v>0.5</v>
      </c>
      <c r="DL314" s="30" t="e">
        <f t="shared" ca="1" si="488"/>
        <v>#DIV/0!</v>
      </c>
      <c r="DM314" s="85" t="e">
        <f ca="1">IF(CS314&lt;=Hypothèses!$V$7,Hypothèses!$W$7,IF(CS314&lt;=Hypothèses!$V$8,Hypothèses!$W$8,IF(CS314&lt;=Hypothèses!$V$9,Hypothèses!$W$9,IF(CS314&lt;=Hypothèses!$V$10,Hypothèses!$W$10,IF(CS314&lt;=Hypothèses!$V$11,Hypothèses!$W$11,IF(CS314&lt;=Hypothèses!$V$12,Hypothèses!$W$12,IF(CS314&lt;=Hypothèses!$V$13,Hypothèses!$W$13,IF(CS314&lt;=Hypothèses!$V$14,Hypothèses!$W$14,IF(CS314&lt;=Hypothèses!$V$15,Hypothèses!$W$15,IF(CS314&lt;=Hypothèses!$V$16,Hypothèses!$W$16,IF(CS314&lt;=Hypothèses!$V$17,Hypothèses!$W$17,IF(CS314&lt;=Hypothèses!$V$18,Hypothèses!$W$18,""))))))))))))</f>
        <v>#DIV/0!</v>
      </c>
      <c r="DN314" s="87" t="e">
        <f t="shared" ca="1" si="521"/>
        <v>#DIV/0!</v>
      </c>
      <c r="DO314" s="88" t="e">
        <f ca="1">IF(CS314&lt;=Hypothèses!$V$7,Hypothèses!$X$7,IF(CS314&lt;=Hypothèses!$V$8,Hypothèses!$X$8,IF(CS314&lt;=Hypothèses!$V$9,Hypothèses!$X$9,IF(CS314&lt;=Hypothèses!$V$10,Hypothèses!$X$10,IF(CS314&lt;=Hypothèses!$V$11,Hypothèses!$X$11,IF(CS314&lt;=Hypothèses!$V$12,Hypothèses!$X$12,IF(CS314&lt;=Hypothèses!$V$13,Hypothèses!$X$13,IF(CS314&lt;=Hypothèses!$V$14,Hypothèses!$X$14,IF(CS314&lt;=Hypothèses!$V$15,Hypothèses!$X$15,IF(CS314&lt;=Hypothèses!$V$16,Hypothèses!$X$16,IF(CS314&lt;=Hypothèses!$U$17,Hypothèses!$W$17,IF(CS314&lt;=Hypothèses!$U$18,Hypothèses!$W$18,""))))))))))))</f>
        <v>#DIV/0!</v>
      </c>
      <c r="DP314" s="95" t="e">
        <f t="shared" ca="1" si="489"/>
        <v>#DIV/0!</v>
      </c>
      <c r="DQ314" s="101">
        <f t="shared" si="528"/>
        <v>0</v>
      </c>
      <c r="DR314" s="91">
        <f t="shared" si="456"/>
        <v>0</v>
      </c>
      <c r="DS314" s="30" t="e">
        <f t="shared" si="510"/>
        <v>#N/A</v>
      </c>
      <c r="DT314" s="30" t="e">
        <f t="shared" si="511"/>
        <v>#N/A</v>
      </c>
      <c r="DU314" s="31" t="e">
        <f>IF(OR(Hypothèses!$B$4=17,Hypothèses!$B$4=18,Hypothèses!$B$4=19,Hypothèses!$B$4=20),
IF($D314="Pressio.",
IF(OR($E314=3,$E314=1,$E314=4),DT314,DS314),
IF($D314="Pénétro.",
IF(OR($E314=3,$E314=1,$E314=4),DT314,DS314))),IF($D314="Pressio.",
IF($E314=3,DT314,DS314),
IF($D314="Pénétro.",
IF($E314=4,DT314,DS314))))</f>
        <v>#N/A</v>
      </c>
      <c r="DV314" s="31">
        <v>0</v>
      </c>
      <c r="DW314" s="102" t="e">
        <f>IF(NDC!$H$10="Oui",(VLOOKUP($B$3,'Coeff EC7'!$T$39:$X$59,2,0)*DU314+VLOOKUP($B$3,'Coeff EC7'!$T$65:$X$85,2,0)*Model0.1T!DV314)/1.5,PI()*DS$12*$Q314*($B314-$B313)*0.15/10+DW313)</f>
        <v>#N/A</v>
      </c>
      <c r="DX314" s="102" t="e">
        <f>(VLOOKUP($B$3,'Coeff EC7'!$T$39:$X$59,3,0)*DU314+VLOOKUP($B$3,'Coeff EC7'!$T$65:$X$85,3,0)*Model0.1T!DV314)/1.1</f>
        <v>#N/A</v>
      </c>
      <c r="DY314" s="102" t="e">
        <f t="shared" si="490"/>
        <v>#N/A</v>
      </c>
      <c r="DZ314" s="102" t="e">
        <f t="shared" si="491"/>
        <v>#N/A</v>
      </c>
      <c r="EA314" s="414" t="e">
        <f>IF(AND(DW314&gt;NDC!$C$63,DX314&gt;NDC!$C$65,DY314&gt;NDC!$D$73,DZ314&gt;NDC!$D$74,$B314&gt;NDC!$H$22-0.1+MIN(3*EA$12,1.5)),0,1)</f>
        <v>#N/A</v>
      </c>
      <c r="EB314" s="86" t="b">
        <f t="shared" si="457"/>
        <v>0</v>
      </c>
      <c r="EC314" s="418">
        <f t="shared" si="458"/>
        <v>0.51</v>
      </c>
      <c r="ED314" s="86">
        <f t="shared" si="459"/>
        <v>0.51</v>
      </c>
      <c r="EE314" s="30" t="e">
        <f t="shared" ca="1" si="492"/>
        <v>#DIV/0!</v>
      </c>
      <c r="EF314" s="85" t="e">
        <f ca="1">IF(DL314&lt;=Hypothèses!$V$7,Hypothèses!$W$7,IF(DL314&lt;=Hypothèses!$V$8,Hypothèses!$W$8,IF(DL314&lt;=Hypothèses!$V$9,Hypothèses!$W$9,IF(DL314&lt;=Hypothèses!$V$10,Hypothèses!$W$10,IF(DL314&lt;=Hypothèses!$V$11,Hypothèses!$W$11,IF(DL314&lt;=Hypothèses!$V$12,Hypothèses!$W$12,IF(DL314&lt;=Hypothèses!$V$13,Hypothèses!$W$13,IF(DL314&lt;=Hypothèses!$V$14,Hypothèses!$W$14,IF(DL314&lt;=Hypothèses!$V$15,Hypothèses!$W$15,IF(DL314&lt;=Hypothèses!$V$16,Hypothèses!$W$16,IF(DL314&lt;=Hypothèses!$V$17,Hypothèses!$W$17,IF(DL314&lt;=Hypothèses!$V$18,Hypothèses!$W$18,""))))))))))))</f>
        <v>#DIV/0!</v>
      </c>
      <c r="EG314" s="87" t="e">
        <f t="shared" ca="1" si="522"/>
        <v>#DIV/0!</v>
      </c>
      <c r="EH314" s="88" t="e">
        <f ca="1">IF(DL314&lt;=Hypothèses!$V$7,Hypothèses!$X$7,IF(DL314&lt;=Hypothèses!$V$8,Hypothèses!$X$8,IF(DL314&lt;=Hypothèses!$V$9,Hypothèses!$X$9,IF(DL314&lt;=Hypothèses!$V$10,Hypothèses!$X$10,IF(DL314&lt;=Hypothèses!$V$11,Hypothèses!$X$11,IF(DL314&lt;=Hypothèses!$V$12,Hypothèses!$X$12,IF(DL314&lt;=Hypothèses!$V$13,Hypothèses!$X$13,IF(DL314&lt;=Hypothèses!$V$14,Hypothèses!$X$14,IF(DL314&lt;=Hypothèses!$V$15,Hypothèses!$X$15,IF(DL314&lt;=Hypothèses!$V$16,Hypothèses!$X$16,IF(DL314&lt;=Hypothèses!$U$17,Hypothèses!$W$17,IF(DL314&lt;=Hypothèses!$U$18,Hypothèses!$W$18,""))))))))))))</f>
        <v>#DIV/0!</v>
      </c>
      <c r="EI314" s="95" t="e">
        <f t="shared" ca="1" si="493"/>
        <v>#DIV/0!</v>
      </c>
      <c r="EJ314" s="101">
        <f t="shared" si="529"/>
        <v>0</v>
      </c>
      <c r="EK314" s="91">
        <f t="shared" si="460"/>
        <v>0</v>
      </c>
      <c r="EL314" s="30" t="e">
        <f t="shared" si="512"/>
        <v>#N/A</v>
      </c>
      <c r="EM314" s="30" t="e">
        <f t="shared" si="513"/>
        <v>#N/A</v>
      </c>
      <c r="EN314" s="31" t="e">
        <f>IF(OR(Hypothèses!$B$4=17,Hypothèses!$B$4=18,Hypothèses!$B$4=19,Hypothèses!$B$4=20),
IF($D314="Pressio.",
IF(OR($E314=3,$E314=1,$E314=4),EM314,EL314),
IF($D314="Pénétro.",
IF(OR($E314=3,$E314=1,$E314=4),EM314,EL314))),IF($D314="Pressio.",
IF($E314=3,EM314,EL314),
IF($D314="Pénétro.",
IF($E314=4,EM314,EL314))))</f>
        <v>#N/A</v>
      </c>
      <c r="EO314" s="31">
        <v>0</v>
      </c>
      <c r="EP314" s="102" t="e">
        <f>IF(NDC!$H$10="Oui",(VLOOKUP($B$3,'Coeff EC7'!$T$39:$X$59,2,0)*EN314+VLOOKUP($B$3,'Coeff EC7'!$T$65:$X$85,2,0)*Model0.1T!EO314)/1.5,PI()*EL$12*$Q314*($B314-$B313)*0.15/10+EP313)</f>
        <v>#N/A</v>
      </c>
      <c r="EQ314" s="102" t="e">
        <f>(VLOOKUP($B$3,'Coeff EC7'!$T$39:$X$59,3,0)*EN314+VLOOKUP($B$3,'Coeff EC7'!$T$65:$X$85,3,0)*Model0.1T!EO314)/1.1</f>
        <v>#N/A</v>
      </c>
      <c r="ER314" s="102" t="e">
        <f t="shared" si="494"/>
        <v>#N/A</v>
      </c>
      <c r="ES314" s="102" t="e">
        <f t="shared" si="495"/>
        <v>#N/A</v>
      </c>
      <c r="ET314" s="414" t="e">
        <f>IF(AND(EP314&gt;NDC!$C$63,EQ314&gt;NDC!$C$65,ER314&gt;NDC!$D$73,ES314&gt;NDC!$D$74,$B314&gt;NDC!$H$22-0.1+MIN(3*ET$12,1.5)),0,1)</f>
        <v>#N/A</v>
      </c>
      <c r="EU314" s="86" t="b">
        <f t="shared" si="461"/>
        <v>0</v>
      </c>
      <c r="EV314" s="86">
        <f t="shared" si="462"/>
        <v>0.61</v>
      </c>
      <c r="EW314" s="86">
        <f t="shared" si="463"/>
        <v>0.61</v>
      </c>
      <c r="EX314" s="30" t="e">
        <f t="shared" ca="1" si="496"/>
        <v>#DIV/0!</v>
      </c>
      <c r="EY314" s="85" t="e">
        <f ca="1">IF(EE314&lt;=Hypothèses!$V$7,Hypothèses!$W$7,IF(EE314&lt;=Hypothèses!$V$8,Hypothèses!$W$8,IF(EE314&lt;=Hypothèses!$V$9,Hypothèses!$W$9,IF(EE314&lt;=Hypothèses!$V$10,Hypothèses!$W$10,IF(EE314&lt;=Hypothèses!$V$11,Hypothèses!$W$11,IF(EE314&lt;=Hypothèses!$V$12,Hypothèses!$W$12,IF(EE314&lt;=Hypothèses!$V$13,Hypothèses!$W$13,IF(EE314&lt;=Hypothèses!$V$14,Hypothèses!$W$14,IF(EE314&lt;=Hypothèses!$V$15,Hypothèses!$W$15,IF(EE314&lt;=Hypothèses!$V$16,Hypothèses!$W$16,IF(EE314&lt;=Hypothèses!$V$17,Hypothèses!$W$17,IF(EE314&lt;=Hypothèses!$V$18,Hypothèses!$W$18,""))))))))))))</f>
        <v>#DIV/0!</v>
      </c>
      <c r="EZ314" s="87" t="e">
        <f t="shared" ca="1" si="523"/>
        <v>#DIV/0!</v>
      </c>
      <c r="FA314" s="88" t="e">
        <f ca="1">IF(EE314&lt;=Hypothèses!$V$7,Hypothèses!$X$7,IF(EE314&lt;=Hypothèses!$V$8,Hypothèses!$X$8,IF(EE314&lt;=Hypothèses!$V$9,Hypothèses!$X$9,IF(EE314&lt;=Hypothèses!$V$10,Hypothèses!$X$10,IF(EE314&lt;=Hypothèses!$V$11,Hypothèses!$X$11,IF(EE314&lt;=Hypothèses!$V$12,Hypothèses!$X$12,IF(EE314&lt;=Hypothèses!$V$13,Hypothèses!$X$13,IF(EE314&lt;=Hypothèses!$V$14,Hypothèses!$X$14,IF(EE314&lt;=Hypothèses!$V$15,Hypothèses!$X$15,IF(EE314&lt;=Hypothèses!$V$16,Hypothèses!$X$16,IF(EE314&lt;=Hypothèses!$U$17,Hypothèses!$W$17,IF(EE314&lt;=Hypothèses!$U$18,Hypothèses!$W$18,""))))))))))))</f>
        <v>#DIV/0!</v>
      </c>
      <c r="FB314" s="95" t="e">
        <f t="shared" ca="1" si="497"/>
        <v>#DIV/0!</v>
      </c>
      <c r="FC314" s="101">
        <f t="shared" si="530"/>
        <v>0</v>
      </c>
      <c r="FD314" s="91">
        <f t="shared" si="464"/>
        <v>0</v>
      </c>
      <c r="FE314" s="30" t="e">
        <f t="shared" si="514"/>
        <v>#N/A</v>
      </c>
      <c r="FF314" s="30" t="e">
        <f t="shared" si="515"/>
        <v>#N/A</v>
      </c>
      <c r="FG314" s="31" t="e">
        <f>IF(OR(Hypothèses!$B$4=17,Hypothèses!$B$4=18,Hypothèses!$B$4=19,Hypothèses!$B$4=20),
IF($D314="Pressio.",
IF(OR($E314=3,$E314=1,$E314=4),FF314,FE314),
IF($D314="Pénétro.",
IF(OR($E314=3,$E314=1,$E314=4),FF314,FE314))),IF($D314="Pressio.",
IF($E314=3,FF314,FE314),
IF($D314="Pénétro.",
IF($E314=4,FF314,FE314))))</f>
        <v>#N/A</v>
      </c>
      <c r="FH314" s="31">
        <v>0</v>
      </c>
      <c r="FI314" s="102" t="e">
        <f>IF(NDC!$H$10="Oui",(VLOOKUP($B$3,'Coeff EC7'!$T$39:$X$59,2,0)*FG314+VLOOKUP($B$3,'Coeff EC7'!$T$65:$X$85,2,0)*Model0.1T!FH314)/1.5,PI()*FE$12*$Q314*($B314-$B313)*0.15/10+FI313)</f>
        <v>#N/A</v>
      </c>
      <c r="FJ314" s="102" t="e">
        <f>(VLOOKUP($B$3,'Coeff EC7'!$T$39:$X$59,3,0)*FG314+VLOOKUP($B$3,'Coeff EC7'!$T$65:$X$85,3,0)*Model0.1T!FH314)/1.1</f>
        <v>#N/A</v>
      </c>
      <c r="FK314" s="102" t="e">
        <f t="shared" si="498"/>
        <v>#N/A</v>
      </c>
      <c r="FL314" s="102" t="e">
        <f t="shared" si="499"/>
        <v>#N/A</v>
      </c>
      <c r="FM314" s="414" t="e">
        <f>IF(AND(FI314&gt;NDC!$C$63,FJ314&gt;NDC!$C$65,FK314&gt;NDC!$D$73,FL314&gt;NDC!$D$74,$B314&gt;NDC!$H$22-0.1+MIN(3*FM$12,1.5)),0,1)</f>
        <v>#N/A</v>
      </c>
    </row>
    <row r="315" spans="1:169">
      <c r="A315" s="96">
        <f t="shared" si="465"/>
        <v>69.800000000001717</v>
      </c>
      <c r="B315" s="97">
        <v>30.2</v>
      </c>
      <c r="C315" s="81">
        <f>IF(B315&lt;=Hypothèses!$C$7,Hypothèses!$A$7,IF(B315&lt;=Hypothèses!$C$8,Hypothèses!$A$8,IF(B315&lt;=Hypothèses!$C$9,Hypothèses!$A$9,IF(B315&lt;=Hypothèses!$C$10,Hypothèses!$A$10,IF(B315&lt;=Hypothèses!$C$11,Hypothèses!$A$11,IF(B315&lt;=Hypothèses!$C$12,Hypothèses!$A$12,IF(B315&lt;=Hypothèses!$C$13,Hypothèses!$A$13,IF(B315&lt;=Hypothèses!$C$14,Hypothèses!$A$14,IF(B315&lt;=Hypothèses!$C$15,Hypothèses!$A$15,IF(B315&lt;=Hypothèses!$C$16,Hypothèses!$A$16,IF(B315&lt;=Hypothèses!$C$17,Hypothèses!$A$17,IF(B315&lt;=Hypothèses!$C$18,Hypothèses!$A$18,C314))))))))))))</f>
        <v>11</v>
      </c>
      <c r="D315" s="82" t="str">
        <f>IF(B315&lt;=Hypothèses!$C$7,Hypothèses!$R$7,IF(B315&lt;=Hypothèses!$C$8,Hypothèses!$R$8,IF(B315&lt;=Hypothèses!$C$9,Hypothèses!$R$9,IF(B315&lt;=Hypothèses!$C$10,Hypothèses!$R$10,IF(B315&lt;=Hypothèses!$C$11,Hypothèses!$R$11,IF(B315&lt;=Hypothèses!$C$12,Hypothèses!$R$12,IF(B315&lt;=Hypothèses!$C$13,Hypothèses!$R$13,IF(B315&lt;=Hypothèses!$C$14,Hypothèses!$R$14,IF(B315&lt;=Hypothèses!$C$15,Hypothèses!$R$15,IF(B315&lt;=Hypothèses!$C$16,Hypothèses!$R$16,IF(B315&lt;=Hypothèses!$C$17,Hypothèses!$R$17,IF(B315&lt;=Hypothèses!$C$18,Hypothèses!$R$18,D314))))))))))))</f>
        <v>Pressio.</v>
      </c>
      <c r="E315" s="82" t="e">
        <f>IF(B315&lt;=Hypothèses!$C$7,Hypothèses!$G$7,IF(B315&lt;=Hypothèses!$C$8,Hypothèses!$G$8,IF(B315&lt;=Hypothèses!$C$9,Hypothèses!$G$9,IF(B315&lt;=Hypothèses!$C$10,Hypothèses!$G$10,IF(B315&lt;=Hypothèses!$C$11,Hypothèses!$G$11,IF(B315&lt;=Hypothèses!$C$12,Hypothèses!$G$12,IF(B315&lt;=Hypothèses!$C$13,Hypothèses!$G$13,IF(B315&lt;=Hypothèses!$C$14,Hypothèses!$G$14,IF(B315&lt;=Hypothèses!$C$15,Hypothèses!$G$15,IF(B315&lt;=Hypothèses!$C$16,Hypothèses!$G$16,IF(B315&lt;=Hypothèses!$C$17,Hypothèses!$G$17,IF(B315&lt;=Hypothèses!$C$18,Hypothèses!$G$18,E314))))))))))))</f>
        <v>#N/A</v>
      </c>
      <c r="F315" s="82" t="str">
        <f>IF(B315&lt;=Hypothèses!$C$7,Hypothèses!$F$7,IF(B315&lt;=Hypothèses!$C$8,Hypothèses!$F$8,IF(B315&lt;=Hypothèses!$C$9,Hypothèses!$F$9,IF(B315&lt;=Hypothèses!$C$10,Hypothèses!$F$10,IF(B315&lt;=Hypothèses!$C$11,Hypothèses!$F$11,IF(B315&lt;=Hypothèses!$C$12,Hypothèses!$F$12,IF(B315&lt;=Hypothèses!$C$13,Hypothèses!$F$13,IF(B315&lt;=Hypothèses!$C$14,Hypothèses!$F$14,IF(B315&lt;=Hypothèses!$C$15,Hypothèses!$F$15,IF(B315&lt;=Hypothèses!$C$16,Hypothèses!$F$16,IF(B315&lt;=Hypothèses!$C$17,Hypothèses!$F$17,IF(B315&lt;=Hypothèses!$C$18,Hypothèses!$F$18,F314))))))))))))</f>
        <v/>
      </c>
      <c r="G315" s="91">
        <f t="array" ref="G315">INDEX('Coeff EC7'!$U$7:$X$27,
MATCH(Model0.1T!$B$3,'Coeff EC7'!$T$7:$T$27,0),
MATCH(Model0.1T!$D315&amp;Model0.1T!$B$4,
'Coeff EC7'!$U$6:$X$6&amp;
'Coeff EC7'!$U$5:$X$5,0))</f>
        <v>1.4</v>
      </c>
      <c r="H315" s="91">
        <f t="array" ref="H315">INDEX('Coeff EC7'!$Y$7:$AB$27,
MATCH(Model0.1T!$B$3,'Coeff EC7'!$T$7:$T$27,0),
MATCH(Model0.1T!$D315&amp;Model0.1T!$B$4,
'Coeff EC7'!$Y$6:$AB$6&amp;
'Coeff EC7'!$Y$5:$AB$5,0))</f>
        <v>1.7</v>
      </c>
      <c r="I315" s="83">
        <v>0</v>
      </c>
      <c r="J315" s="91" t="e">
        <f t="array" ref="J315">INDEX('Coeff EC7'!$D$33:$Q$33,1,MATCH(D315&amp;E315,'Coeff EC7'!$D$31:$Q$31&amp;'Coeff EC7'!$D$32:$Q$32,0))</f>
        <v>#N/A</v>
      </c>
      <c r="K315" s="91" t="e">
        <f t="array" ref="K315">INDEX('Coeff EC7'!$D$34:$Q$34,1,MATCH(D315&amp;E315,'Coeff EC7'!$D$31:$Q$31&amp;'Coeff EC7'!$D$32:$Q$32,0))</f>
        <v>#N/A</v>
      </c>
      <c r="L315" s="91" t="e">
        <f t="array" ref="L315">INDEX('Coeff EC7'!$D$35:$Q$35,1,MATCH(D315&amp;E315,'Coeff EC7'!$D$31:$Q$31&amp;'Coeff EC7'!$D$32:$Q$32,0))</f>
        <v>#N/A</v>
      </c>
      <c r="M315" s="98" t="e">
        <f t="shared" si="431"/>
        <v>#N/A</v>
      </c>
      <c r="N315" s="99" t="e">
        <f t="array" ref="N315">INDEX('Coeff EC7'!$D$7:$Q$27,MATCH($B$3,'Coeff EC7'!$C$7:$C$27,0),MATCH(D315&amp;E315,'Coeff EC7'!$D$5:$Q$5&amp;'Coeff EC7'!$D$6:$Q$6,0))</f>
        <v>#N/A</v>
      </c>
      <c r="O315" s="99" t="e">
        <f t="array" ref="O315">INDEX('Coeff EC7'!$D$41:$Q$61,MATCH($B$3,'Coeff EC7'!$C$41:$C$61,0),MATCH(D315&amp;E315,'Coeff EC7'!$D$39:$Q$39&amp;'Coeff EC7'!$D$40:$Q$40,0))</f>
        <v>#N/A</v>
      </c>
      <c r="P315" s="30" t="e">
        <f t="shared" si="466"/>
        <v>#N/A</v>
      </c>
      <c r="Q315" s="100" t="e">
        <f t="shared" si="433"/>
        <v>#N/A</v>
      </c>
      <c r="R315" s="86" t="b">
        <f t="shared" si="434"/>
        <v>0</v>
      </c>
      <c r="S315" s="86">
        <f t="shared" si="432"/>
        <v>0.5</v>
      </c>
      <c r="T315" s="86">
        <f t="shared" si="435"/>
        <v>0.5</v>
      </c>
      <c r="U315" s="30" t="e">
        <f t="shared" ca="1" si="467"/>
        <v>#DIV/0!</v>
      </c>
      <c r="V315" s="85" t="str">
        <f>IF(B315&lt;=Hypothèses!$V$7,Hypothèses!$W$7,IF(B315&lt;=Hypothèses!$V$8,Hypothèses!$W$8,IF(B315&lt;=Hypothèses!$V$9,Hypothèses!$W$9,IF(B315&lt;=Hypothèses!$V$10,Hypothèses!$W$10,IF(B315&lt;=Hypothèses!$V$11,Hypothèses!$W$11,IF(B315&lt;=Hypothèses!$V$12,Hypothèses!$W$12,IF(B315&lt;=Hypothèses!$V$13,Hypothèses!$W$13,IF(B315&lt;=Hypothèses!$V$14,Hypothèses!$W$14,IF(B315&lt;=Hypothèses!$V$15,Hypothèses!$W$15,IF(B315&lt;=Hypothèses!$V$16,Hypothèses!$W$16,IF(B315&lt;=Hypothèses!$V$17,Hypothèses!$W$17,IF(B315&lt;=Hypothèses!$V$18,Hypothèses!$W$18,""))))))))))))</f>
        <v/>
      </c>
      <c r="W315" s="87" t="e">
        <f t="shared" ca="1" si="516"/>
        <v>#DIV/0!</v>
      </c>
      <c r="X315" s="88" t="str">
        <f>IF(B315&lt;=Hypothèses!$V$7,Hypothèses!$X$7,IF(B315&lt;=Hypothèses!$V$8,Hypothèses!$X$8,IF(B315&lt;=Hypothèses!$V$9,Hypothèses!$X$9,IF(B315&lt;=Hypothèses!$V$10,Hypothèses!$X$10,IF(B315&lt;=Hypothèses!$V$11,Hypothèses!$X$11,IF(B315&lt;=Hypothèses!$V$12,Hypothèses!$X$12,IF(B315&lt;=Hypothèses!$V$13,Hypothèses!$X$13,IF(B315&lt;=Hypothèses!$V$14,Hypothèses!$X$14,IF(B315&lt;=Hypothèses!$V$15,Hypothèses!$X$15,IF(B315&lt;=Hypothèses!$V$16,Hypothèses!$X$16,IF(B315&lt;=Hypothèses!$U$17,Hypothèses!$W$17,IF(B315&lt;=Hypothèses!$U$18,Hypothèses!$W$18,""))))))))))))</f>
        <v/>
      </c>
      <c r="Y315" s="95" t="e">
        <f t="shared" ca="1" si="436"/>
        <v>#DIV/0!</v>
      </c>
      <c r="Z315" s="101">
        <f t="shared" si="437"/>
        <v>0</v>
      </c>
      <c r="AA315" s="91">
        <f t="shared" si="438"/>
        <v>0</v>
      </c>
      <c r="AB315" s="30" t="e">
        <f t="shared" si="500"/>
        <v>#N/A</v>
      </c>
      <c r="AC315" s="30" t="e">
        <f t="shared" si="501"/>
        <v>#N/A</v>
      </c>
      <c r="AD315" s="31" t="e">
        <f>IF(OR(Hypothèses!$B$4=17,Hypothèses!$B$4=18,Hypothèses!$B$4=19,Hypothèses!$B$4=20),
IF($D315="Pressio.",
IF(OR($E315=3,$E315=1,$E315=4),AC315,AB315),
IF($D315="Pénétro.",
IF(OR($E315=3,$E315=1,$E315=4),AC315,AB315))),IF($D315="Pressio.",
IF($E315=3,AC315,AB315),
IF($D315="Pénétro.",
IF($E315=4,AC315,AB315))))</f>
        <v>#N/A</v>
      </c>
      <c r="AE315" s="31">
        <v>0</v>
      </c>
      <c r="AF315" s="102" t="e">
        <f>IF(NDC!$H$10="Oui",(VLOOKUP($B$3,'Coeff EC7'!$T$39:$X$59,2,0)*AD315+VLOOKUP($B$3,'Coeff EC7'!$T$65:$X$85,2,0)*Model0.1T!AE315)/1.5,PI()*AB$12*$Q315*($B315-$B314)*0.15/10+AF314)</f>
        <v>#N/A</v>
      </c>
      <c r="AG315" s="102" t="e">
        <f>(VLOOKUP($B$3,'Coeff EC7'!$T$39:$X$59,3,0)*AD315+VLOOKUP($B$3,'Coeff EC7'!$T$65:$X$85,3,0)*Model0.1T!AE315)/1.1</f>
        <v>#N/A</v>
      </c>
      <c r="AH315" s="102" t="e">
        <f t="shared" si="468"/>
        <v>#N/A</v>
      </c>
      <c r="AI315" s="102" t="e">
        <f t="shared" si="469"/>
        <v>#N/A</v>
      </c>
      <c r="AJ315" s="414" t="e">
        <f>IF(AND(AF315&gt;NDC!$C$63,AG315&gt;NDC!$C$65,AH315&gt;NDC!$D$73,AI315&gt;NDC!$D$74,$B315&gt;NDC!$H$22-0.1+MIN(3*$AJ$12,1.5)),0,1)</f>
        <v>#N/A</v>
      </c>
      <c r="AK315" s="86" t="b">
        <f t="shared" si="439"/>
        <v>0</v>
      </c>
      <c r="AL315" s="86">
        <f t="shared" si="470"/>
        <v>0.5</v>
      </c>
      <c r="AM315" s="86">
        <f t="shared" si="440"/>
        <v>0.5</v>
      </c>
      <c r="AN315" s="30" t="e">
        <f t="shared" ca="1" si="471"/>
        <v>#DIV/0!</v>
      </c>
      <c r="AO315" s="85" t="e">
        <f ca="1">IF(U315&lt;=Hypothèses!$V$7,Hypothèses!$W$7,IF(U315&lt;=Hypothèses!$V$8,Hypothèses!$W$8,IF(U315&lt;=Hypothèses!$V$9,Hypothèses!$W$9,IF(U315&lt;=Hypothèses!$V$10,Hypothèses!$W$10,IF(U315&lt;=Hypothèses!$V$11,Hypothèses!$W$11,IF(U315&lt;=Hypothèses!$V$12,Hypothèses!$W$12,IF(U315&lt;=Hypothèses!$V$13,Hypothèses!$W$13,IF(U315&lt;=Hypothèses!$V$14,Hypothèses!$W$14,IF(U315&lt;=Hypothèses!$V$15,Hypothèses!$W$15,IF(U315&lt;=Hypothèses!$V$16,Hypothèses!$W$16,IF(U315&lt;=Hypothèses!$V$17,Hypothèses!$W$17,IF(U315&lt;=Hypothèses!$V$18,Hypothèses!$W$18,""))))))))))))</f>
        <v>#DIV/0!</v>
      </c>
      <c r="AP315" s="87" t="e">
        <f t="shared" ca="1" si="517"/>
        <v>#DIV/0!</v>
      </c>
      <c r="AQ315" s="88" t="e">
        <f ca="1">IF(U315&lt;=Hypothèses!$V$7,Hypothèses!$X$7,IF(U315&lt;=Hypothèses!$V$8,Hypothèses!$X$8,IF(U315&lt;=Hypothèses!$V$9,Hypothèses!$X$9,IF(U315&lt;=Hypothèses!$V$10,Hypothèses!$X$10,IF(U315&lt;=Hypothèses!$V$11,Hypothèses!$X$11,IF(U315&lt;=Hypothèses!$V$12,Hypothèses!$X$12,IF(U315&lt;=Hypothèses!$V$13,Hypothèses!$X$13,IF(U315&lt;=Hypothèses!$V$14,Hypothèses!$X$14,IF(U315&lt;=Hypothèses!$V$15,Hypothèses!$X$15,IF(U315&lt;=Hypothèses!$V$16,Hypothèses!$X$16,IF(U315&lt;=Hypothèses!$U$17,Hypothèses!$W$17,IF(U315&lt;=Hypothèses!$U$18,Hypothèses!$W$18,""))))))))))))</f>
        <v>#DIV/0!</v>
      </c>
      <c r="AR315" s="95" t="e">
        <f t="shared" ca="1" si="472"/>
        <v>#DIV/0!</v>
      </c>
      <c r="AS315" s="101">
        <f t="shared" si="524"/>
        <v>0</v>
      </c>
      <c r="AT315" s="91">
        <f t="shared" si="441"/>
        <v>0</v>
      </c>
      <c r="AU315" s="30" t="e">
        <f t="shared" si="502"/>
        <v>#N/A</v>
      </c>
      <c r="AV315" s="30" t="e">
        <f t="shared" si="503"/>
        <v>#N/A</v>
      </c>
      <c r="AW315" s="31" t="e">
        <f>IF(OR(Hypothèses!$B$4=17,Hypothèses!$B$4=18,Hypothèses!$B$4=19,Hypothèses!$B$4=20),
IF($D315="Pressio.",
IF(OR($E315=3,$E315=1,$E315=4),AV315,AU315),
IF($D315="Pénétro.",
IF(OR($E315=3,$E315=1,$E315=4),AV315,AU315))),IF($D315="Pressio.",
IF($E315=3,AV315,AU315),
IF($D315="Pénétro.",
IF($E315=4,AV315,AU315))))</f>
        <v>#N/A</v>
      </c>
      <c r="AX315" s="31">
        <v>0</v>
      </c>
      <c r="AY315" s="102" t="e">
        <f>IF(NDC!$H$10="Oui",(VLOOKUP($B$3,'Coeff EC7'!$T$39:$X$59,2,0)*AW315+VLOOKUP($B$3,'Coeff EC7'!$T$65:$X$85,2,0)*Model0.1T!AX315)/1.5,PI()*AU$12*$Q315*($B315-$B314)*0.15/10+AY314)</f>
        <v>#N/A</v>
      </c>
      <c r="AZ315" s="102" t="e">
        <f>(VLOOKUP($B$3,'Coeff EC7'!$T$39:$X$59,3,0)*AW315+VLOOKUP($B$3,'Coeff EC7'!$T$65:$X$85,3,0)*Model0.1T!AX315)/1.1</f>
        <v>#N/A</v>
      </c>
      <c r="BA315" s="102" t="e">
        <f t="shared" si="473"/>
        <v>#N/A</v>
      </c>
      <c r="BB315" s="102" t="e">
        <f t="shared" si="474"/>
        <v>#N/A</v>
      </c>
      <c r="BC315" s="414" t="e">
        <f>IF(AND(AY315&gt;NDC!$C$63,AZ315&gt;NDC!$C$65,BA315&gt;NDC!$D$73,BB315&gt;NDC!$D$74,$B315&gt;NDC!$H$22-0.1+MIN(3*BC$12,1.5)),0,1)</f>
        <v>#N/A</v>
      </c>
      <c r="BD315" s="86" t="b">
        <f t="shared" si="442"/>
        <v>0</v>
      </c>
      <c r="BE315" s="86">
        <f t="shared" si="475"/>
        <v>0.5</v>
      </c>
      <c r="BF315" s="86">
        <f t="shared" si="443"/>
        <v>0.5</v>
      </c>
      <c r="BG315" s="30" t="e">
        <f t="shared" ca="1" si="476"/>
        <v>#DIV/0!</v>
      </c>
      <c r="BH315" s="85" t="e">
        <f ca="1">IF(AN315&lt;=Hypothèses!$V$7,Hypothèses!$W$7,IF(AN315&lt;=Hypothèses!$V$8,Hypothèses!$W$8,IF(AN315&lt;=Hypothèses!$V$9,Hypothèses!$W$9,IF(AN315&lt;=Hypothèses!$V$10,Hypothèses!$W$10,IF(AN315&lt;=Hypothèses!$V$11,Hypothèses!$W$11,IF(AN315&lt;=Hypothèses!$V$12,Hypothèses!$W$12,IF(AN315&lt;=Hypothèses!$V$13,Hypothèses!$W$13,IF(AN315&lt;=Hypothèses!$V$14,Hypothèses!$W$14,IF(AN315&lt;=Hypothèses!$V$15,Hypothèses!$W$15,IF(AN315&lt;=Hypothèses!$V$16,Hypothèses!$W$16,IF(AN315&lt;=Hypothèses!$V$17,Hypothèses!$W$17,IF(AN315&lt;=Hypothèses!$V$18,Hypothèses!$W$18,""))))))))))))</f>
        <v>#DIV/0!</v>
      </c>
      <c r="BI315" s="87" t="e">
        <f t="shared" ca="1" si="518"/>
        <v>#DIV/0!</v>
      </c>
      <c r="BJ315" s="88" t="e">
        <f ca="1">IF(AN315&lt;=Hypothèses!$V$7,Hypothèses!$X$7,IF(AN315&lt;=Hypothèses!$V$8,Hypothèses!$X$8,IF(AN315&lt;=Hypothèses!$V$9,Hypothèses!$X$9,IF(AN315&lt;=Hypothèses!$V$10,Hypothèses!$X$10,IF(AN315&lt;=Hypothèses!$V$11,Hypothèses!$X$11,IF(AN315&lt;=Hypothèses!$V$12,Hypothèses!$X$12,IF(AN315&lt;=Hypothèses!$V$13,Hypothèses!$X$13,IF(AN315&lt;=Hypothèses!$V$14,Hypothèses!$X$14,IF(AN315&lt;=Hypothèses!$V$15,Hypothèses!$X$15,IF(AN315&lt;=Hypothèses!$V$16,Hypothèses!$X$16,IF(AN315&lt;=Hypothèses!$U$17,Hypothèses!$W$17,IF(AN315&lt;=Hypothèses!$U$18,Hypothèses!$W$18,""))))))))))))</f>
        <v>#DIV/0!</v>
      </c>
      <c r="BK315" s="95" t="e">
        <f t="shared" ca="1" si="477"/>
        <v>#DIV/0!</v>
      </c>
      <c r="BL315" s="101">
        <f t="shared" si="525"/>
        <v>0</v>
      </c>
      <c r="BM315" s="91">
        <f t="shared" si="444"/>
        <v>0</v>
      </c>
      <c r="BN315" s="30" t="e">
        <f t="shared" si="504"/>
        <v>#N/A</v>
      </c>
      <c r="BO315" s="30" t="e">
        <f t="shared" si="505"/>
        <v>#N/A</v>
      </c>
      <c r="BP315" s="31" t="e">
        <f>IF(OR(Hypothèses!$B$4=17,Hypothèses!$B$4=18,Hypothèses!$B$4=19,Hypothèses!$B$4=20),
IF($D315="Pressio.",
IF(OR($E315=3,$E315=1,$E315=4),BO315,BN315),
IF($D315="Pénétro.",
IF(OR($E315=3,$E315=1,$E315=4),BO315,BN315))),IF($D315="Pressio.",
IF($E315=3,BO315,BN315),
IF($D315="Pénétro.",
IF($E315=4,BO315,BN315))))</f>
        <v>#N/A</v>
      </c>
      <c r="BQ315" s="31">
        <v>0</v>
      </c>
      <c r="BR315" s="102" t="e">
        <f>IF(NDC!$H$10="Oui",(VLOOKUP($B$3,'Coeff EC7'!$T$39:$X$59,2,0)*BP315+VLOOKUP($B$3,'Coeff EC7'!$T$65:$X$85,2,0)*Model0.1T!BQ315)/1.5,PI()*BN$12*$Q315*($B315-$B314)*0.15/10+BR314)</f>
        <v>#N/A</v>
      </c>
      <c r="BS315" s="102" t="e">
        <f>(VLOOKUP($B$3,'Coeff EC7'!$T$39:$X$59,3,0)*BP315+VLOOKUP($B$3,'Coeff EC7'!$T$65:$X$85,3,0)*Model0.1T!BQ315)/1.1</f>
        <v>#N/A</v>
      </c>
      <c r="BT315" s="102" t="e">
        <f t="shared" si="478"/>
        <v>#N/A</v>
      </c>
      <c r="BU315" s="102" t="e">
        <f t="shared" si="479"/>
        <v>#N/A</v>
      </c>
      <c r="BV315" s="414" t="e">
        <f>IF(AND(BR315&gt;NDC!$C$63,BS315&gt;NDC!$C$65,BT315&gt;NDC!$D$73,BU315&gt;NDC!$D$74,$B315&gt;NDC!$H$22-0.1+MIN(3*BV$12,1.5)),0,1)</f>
        <v>#N/A</v>
      </c>
      <c r="BW315" s="86" t="b">
        <f t="shared" si="445"/>
        <v>0</v>
      </c>
      <c r="BX315" s="86">
        <f t="shared" si="446"/>
        <v>0.5</v>
      </c>
      <c r="BY315" s="86">
        <f t="shared" si="447"/>
        <v>0.5</v>
      </c>
      <c r="BZ315" s="30" t="e">
        <f t="shared" ca="1" si="480"/>
        <v>#DIV/0!</v>
      </c>
      <c r="CA315" s="85" t="e">
        <f ca="1">IF(BG315&lt;=Hypothèses!$V$7,Hypothèses!$W$7,IF(BG315&lt;=Hypothèses!$V$8,Hypothèses!$W$8,IF(BG315&lt;=Hypothèses!$V$9,Hypothèses!$W$9,IF(BG315&lt;=Hypothèses!$V$10,Hypothèses!$W$10,IF(BG315&lt;=Hypothèses!$V$11,Hypothèses!$W$11,IF(BG315&lt;=Hypothèses!$V$12,Hypothèses!$W$12,IF(BG315&lt;=Hypothèses!$V$13,Hypothèses!$W$13,IF(BG315&lt;=Hypothèses!$V$14,Hypothèses!$W$14,IF(BG315&lt;=Hypothèses!$V$15,Hypothèses!$W$15,IF(BG315&lt;=Hypothèses!$V$16,Hypothèses!$W$16,IF(BG315&lt;=Hypothèses!$V$17,Hypothèses!$W$17,IF(BG315&lt;=Hypothèses!$V$18,Hypothèses!$W$18,""))))))))))))</f>
        <v>#DIV/0!</v>
      </c>
      <c r="CB315" s="87" t="e">
        <f t="shared" ca="1" si="519"/>
        <v>#DIV/0!</v>
      </c>
      <c r="CC315" s="88" t="e">
        <f ca="1">IF(BG315&lt;=Hypothèses!$V$7,Hypothèses!$X$7,IF(BG315&lt;=Hypothèses!$V$8,Hypothèses!$X$8,IF(BG315&lt;=Hypothèses!$V$9,Hypothèses!$X$9,IF(BG315&lt;=Hypothèses!$V$10,Hypothèses!$X$10,IF(BG315&lt;=Hypothèses!$V$11,Hypothèses!$X$11,IF(BG315&lt;=Hypothèses!$V$12,Hypothèses!$X$12,IF(BG315&lt;=Hypothèses!$V$13,Hypothèses!$X$13,IF(BG315&lt;=Hypothèses!$V$14,Hypothèses!$X$14,IF(BG315&lt;=Hypothèses!$V$15,Hypothèses!$X$15,IF(BG315&lt;=Hypothèses!$V$16,Hypothèses!$X$16,IF(BG315&lt;=Hypothèses!$U$17,Hypothèses!$W$17,IF(BG315&lt;=Hypothèses!$U$18,Hypothèses!$W$18,""))))))))))))</f>
        <v>#DIV/0!</v>
      </c>
      <c r="CD315" s="95" t="e">
        <f t="shared" ca="1" si="481"/>
        <v>#DIV/0!</v>
      </c>
      <c r="CE315" s="101">
        <f t="shared" si="526"/>
        <v>0</v>
      </c>
      <c r="CF315" s="91">
        <f t="shared" si="448"/>
        <v>0</v>
      </c>
      <c r="CG315" s="30" t="e">
        <f t="shared" si="506"/>
        <v>#N/A</v>
      </c>
      <c r="CH315" s="30" t="e">
        <f t="shared" si="507"/>
        <v>#N/A</v>
      </c>
      <c r="CI315" s="31" t="e">
        <f>IF(OR(Hypothèses!$B$4=17,Hypothèses!$B$4=18,Hypothèses!$B$4=19,Hypothèses!$B$4=20),
IF($D315="Pressio.",
IF(OR($E315=3,$E315=1,$E315=4),CH315,CG315),
IF($D315="Pénétro.",
IF(OR($E315=3,$E315=1,$E315=4),CH315,CG315))),IF($D315="Pressio.",
IF($E315=3,CH315,CG315),
IF($D315="Pénétro.",
IF($E315=4,CH315,CG315))))</f>
        <v>#N/A</v>
      </c>
      <c r="CJ315" s="31">
        <v>0</v>
      </c>
      <c r="CK315" s="102" t="e">
        <f>IF(NDC!$H$10="Oui",(VLOOKUP($B$3,'Coeff EC7'!$T$39:$X$59,2,0)*CI315+VLOOKUP($B$3,'Coeff EC7'!$T$65:$X$85,2,0)*Model0.1T!CJ315)/1.5,PI()*CG$12*$Q315*($B315-$B314)*0.15/10+CK314)</f>
        <v>#N/A</v>
      </c>
      <c r="CL315" s="102" t="e">
        <f>(VLOOKUP($B$3,'Coeff EC7'!$T$39:$X$59,3,0)*CI315+VLOOKUP($B$3,'Coeff EC7'!$T$65:$X$85,3,0)*Model0.1T!CJ315)/1.1</f>
        <v>#N/A</v>
      </c>
      <c r="CM315" s="102" t="e">
        <f t="shared" si="482"/>
        <v>#N/A</v>
      </c>
      <c r="CN315" s="102" t="e">
        <f t="shared" si="483"/>
        <v>#N/A</v>
      </c>
      <c r="CO315" s="414" t="e">
        <f>IF(AND(CK315&gt;NDC!$C$63,CL315&gt;NDC!$C$65,CM315&gt;NDC!$D$73,CN315&gt;NDC!$D$74,$B315&gt;NDC!$H$22-0.1+MIN(3*CO$12,1.5)),0,1)</f>
        <v>#N/A</v>
      </c>
      <c r="CP315" s="86" t="b">
        <f t="shared" si="449"/>
        <v>0</v>
      </c>
      <c r="CQ315" s="86">
        <f t="shared" si="450"/>
        <v>0.5</v>
      </c>
      <c r="CR315" s="86">
        <f t="shared" si="451"/>
        <v>0.5</v>
      </c>
      <c r="CS315" s="30" t="e">
        <f t="shared" ca="1" si="484"/>
        <v>#DIV/0!</v>
      </c>
      <c r="CT315" s="85" t="e">
        <f ca="1">IF(BZ315&lt;=Hypothèses!$V$7,Hypothèses!$W$7,IF(BZ315&lt;=Hypothèses!$V$8,Hypothèses!$W$8,IF(BZ315&lt;=Hypothèses!$V$9,Hypothèses!$W$9,IF(BZ315&lt;=Hypothèses!$V$10,Hypothèses!$W$10,IF(BZ315&lt;=Hypothèses!$V$11,Hypothèses!$W$11,IF(BZ315&lt;=Hypothèses!$V$12,Hypothèses!$W$12,IF(BZ315&lt;=Hypothèses!$V$13,Hypothèses!$W$13,IF(BZ315&lt;=Hypothèses!$V$14,Hypothèses!$W$14,IF(BZ315&lt;=Hypothèses!$V$15,Hypothèses!$W$15,IF(BZ315&lt;=Hypothèses!$V$16,Hypothèses!$W$16,IF(BZ315&lt;=Hypothèses!$V$17,Hypothèses!$W$17,IF(BZ315&lt;=Hypothèses!$V$18,Hypothèses!$W$18,""))))))))))))</f>
        <v>#DIV/0!</v>
      </c>
      <c r="CU315" s="87" t="e">
        <f t="shared" ca="1" si="520"/>
        <v>#DIV/0!</v>
      </c>
      <c r="CV315" s="88" t="e">
        <f ca="1">IF(BZ315&lt;=Hypothèses!$V$7,Hypothèses!$X$7,IF(BZ315&lt;=Hypothèses!$V$8,Hypothèses!$X$8,IF(BZ315&lt;=Hypothèses!$V$9,Hypothèses!$X$9,IF(BZ315&lt;=Hypothèses!$V$10,Hypothèses!$X$10,IF(BZ315&lt;=Hypothèses!$V$11,Hypothèses!$X$11,IF(BZ315&lt;=Hypothèses!$V$12,Hypothèses!$X$12,IF(BZ315&lt;=Hypothèses!$V$13,Hypothèses!$X$13,IF(BZ315&lt;=Hypothèses!$V$14,Hypothèses!$X$14,IF(BZ315&lt;=Hypothèses!$V$15,Hypothèses!$X$15,IF(BZ315&lt;=Hypothèses!$V$16,Hypothèses!$X$16,IF(BZ315&lt;=Hypothèses!$U$17,Hypothèses!$W$17,IF(BZ315&lt;=Hypothèses!$U$18,Hypothèses!$W$18,""))))))))))))</f>
        <v>#DIV/0!</v>
      </c>
      <c r="CW315" s="95" t="e">
        <f t="shared" ca="1" si="485"/>
        <v>#DIV/0!</v>
      </c>
      <c r="CX315" s="101">
        <f t="shared" si="527"/>
        <v>0</v>
      </c>
      <c r="CY315" s="91">
        <f t="shared" si="452"/>
        <v>0</v>
      </c>
      <c r="CZ315" s="30" t="e">
        <f t="shared" si="508"/>
        <v>#N/A</v>
      </c>
      <c r="DA315" s="30" t="e">
        <f t="shared" si="509"/>
        <v>#N/A</v>
      </c>
      <c r="DB315" s="31" t="e">
        <f>IF(OR(Hypothèses!$B$4=17,Hypothèses!$B$4=18,Hypothèses!$B$4=19,Hypothèses!$B$4=20),
IF($D315="Pressio.",
IF(OR($E315=3,$E315=1,$E315=4),DA315,CZ315),
IF($D315="Pénétro.",
IF(OR($E315=3,$E315=1,$E315=4),DA315,CZ315))),IF($D315="Pressio.",
IF($E315=3,DA315,CZ315),
IF($D315="Pénétro.",
IF($E315=4,DA315,CZ315))))</f>
        <v>#N/A</v>
      </c>
      <c r="DC315" s="31">
        <v>0</v>
      </c>
      <c r="DD315" s="102" t="e">
        <f>IF(NDC!$H$10="Oui",(VLOOKUP($B$3,'Coeff EC7'!$T$39:$X$59,2,0)*DB315+VLOOKUP($B$3,'Coeff EC7'!$T$65:$X$85,2,0)*Model0.1T!DC315)/1.5,PI()*CZ$12*$Q315*($B315-$B314)*0.15/10+DD314)</f>
        <v>#N/A</v>
      </c>
      <c r="DE315" s="102" t="e">
        <f>(VLOOKUP($B$3,'Coeff EC7'!$T$39:$X$59,3,0)*DB315+VLOOKUP($B$3,'Coeff EC7'!$T$65:$X$85,3,0)*Model0.1T!DC315)/1.1</f>
        <v>#N/A</v>
      </c>
      <c r="DF315" s="102" t="e">
        <f t="shared" si="486"/>
        <v>#N/A</v>
      </c>
      <c r="DG315" s="102" t="e">
        <f t="shared" si="487"/>
        <v>#N/A</v>
      </c>
      <c r="DH315" s="414" t="e">
        <f>IF(AND(DD315&gt;NDC!$C$63,DE315&gt;NDC!$C$65,DF315&gt;NDC!$D$73,DG315&gt;NDC!$D$74,$B315&gt;NDC!$H$22-0.1+MIN(3*DH$12,1.5)),0,1)</f>
        <v>#N/A</v>
      </c>
      <c r="DI315" s="86" t="b">
        <f t="shared" si="453"/>
        <v>0</v>
      </c>
      <c r="DJ315" s="86">
        <f t="shared" si="454"/>
        <v>0.5</v>
      </c>
      <c r="DK315" s="86">
        <f t="shared" si="455"/>
        <v>0.5</v>
      </c>
      <c r="DL315" s="30" t="e">
        <f t="shared" ca="1" si="488"/>
        <v>#DIV/0!</v>
      </c>
      <c r="DM315" s="85" t="e">
        <f ca="1">IF(CS315&lt;=Hypothèses!$V$7,Hypothèses!$W$7,IF(CS315&lt;=Hypothèses!$V$8,Hypothèses!$W$8,IF(CS315&lt;=Hypothèses!$V$9,Hypothèses!$W$9,IF(CS315&lt;=Hypothèses!$V$10,Hypothèses!$W$10,IF(CS315&lt;=Hypothèses!$V$11,Hypothèses!$W$11,IF(CS315&lt;=Hypothèses!$V$12,Hypothèses!$W$12,IF(CS315&lt;=Hypothèses!$V$13,Hypothèses!$W$13,IF(CS315&lt;=Hypothèses!$V$14,Hypothèses!$W$14,IF(CS315&lt;=Hypothèses!$V$15,Hypothèses!$W$15,IF(CS315&lt;=Hypothèses!$V$16,Hypothèses!$W$16,IF(CS315&lt;=Hypothèses!$V$17,Hypothèses!$W$17,IF(CS315&lt;=Hypothèses!$V$18,Hypothèses!$W$18,""))))))))))))</f>
        <v>#DIV/0!</v>
      </c>
      <c r="DN315" s="87" t="e">
        <f t="shared" ca="1" si="521"/>
        <v>#DIV/0!</v>
      </c>
      <c r="DO315" s="88" t="e">
        <f ca="1">IF(CS315&lt;=Hypothèses!$V$7,Hypothèses!$X$7,IF(CS315&lt;=Hypothèses!$V$8,Hypothèses!$X$8,IF(CS315&lt;=Hypothèses!$V$9,Hypothèses!$X$9,IF(CS315&lt;=Hypothèses!$V$10,Hypothèses!$X$10,IF(CS315&lt;=Hypothèses!$V$11,Hypothèses!$X$11,IF(CS315&lt;=Hypothèses!$V$12,Hypothèses!$X$12,IF(CS315&lt;=Hypothèses!$V$13,Hypothèses!$X$13,IF(CS315&lt;=Hypothèses!$V$14,Hypothèses!$X$14,IF(CS315&lt;=Hypothèses!$V$15,Hypothèses!$X$15,IF(CS315&lt;=Hypothèses!$V$16,Hypothèses!$X$16,IF(CS315&lt;=Hypothèses!$U$17,Hypothèses!$W$17,IF(CS315&lt;=Hypothèses!$U$18,Hypothèses!$W$18,""))))))))))))</f>
        <v>#DIV/0!</v>
      </c>
      <c r="DP315" s="95" t="e">
        <f t="shared" ca="1" si="489"/>
        <v>#DIV/0!</v>
      </c>
      <c r="DQ315" s="101">
        <f t="shared" si="528"/>
        <v>0</v>
      </c>
      <c r="DR315" s="91">
        <f t="shared" si="456"/>
        <v>0</v>
      </c>
      <c r="DS315" s="30" t="e">
        <f t="shared" si="510"/>
        <v>#N/A</v>
      </c>
      <c r="DT315" s="30" t="e">
        <f t="shared" si="511"/>
        <v>#N/A</v>
      </c>
      <c r="DU315" s="31" t="e">
        <f>IF(OR(Hypothèses!$B$4=17,Hypothèses!$B$4=18,Hypothèses!$B$4=19,Hypothèses!$B$4=20),
IF($D315="Pressio.",
IF(OR($E315=3,$E315=1,$E315=4),DT315,DS315),
IF($D315="Pénétro.",
IF(OR($E315=3,$E315=1,$E315=4),DT315,DS315))),IF($D315="Pressio.",
IF($E315=3,DT315,DS315),
IF($D315="Pénétro.",
IF($E315=4,DT315,DS315))))</f>
        <v>#N/A</v>
      </c>
      <c r="DV315" s="31">
        <v>0</v>
      </c>
      <c r="DW315" s="102" t="e">
        <f>IF(NDC!$H$10="Oui",(VLOOKUP($B$3,'Coeff EC7'!$T$39:$X$59,2,0)*DU315+VLOOKUP($B$3,'Coeff EC7'!$T$65:$X$85,2,0)*Model0.1T!DV315)/1.5,PI()*DS$12*$Q315*($B315-$B314)*0.15/10+DW314)</f>
        <v>#N/A</v>
      </c>
      <c r="DX315" s="102" t="e">
        <f>(VLOOKUP($B$3,'Coeff EC7'!$T$39:$X$59,3,0)*DU315+VLOOKUP($B$3,'Coeff EC7'!$T$65:$X$85,3,0)*Model0.1T!DV315)/1.1</f>
        <v>#N/A</v>
      </c>
      <c r="DY315" s="102" t="e">
        <f t="shared" si="490"/>
        <v>#N/A</v>
      </c>
      <c r="DZ315" s="102" t="e">
        <f t="shared" si="491"/>
        <v>#N/A</v>
      </c>
      <c r="EA315" s="414" t="e">
        <f>IF(AND(DW315&gt;NDC!$C$63,DX315&gt;NDC!$C$65,DY315&gt;NDC!$D$73,DZ315&gt;NDC!$D$74,$B315&gt;NDC!$H$22-0.1+MIN(3*EA$12,1.5)),0,1)</f>
        <v>#N/A</v>
      </c>
      <c r="EB315" s="86" t="b">
        <f t="shared" si="457"/>
        <v>0</v>
      </c>
      <c r="EC315" s="418">
        <f t="shared" si="458"/>
        <v>0.51</v>
      </c>
      <c r="ED315" s="86">
        <f t="shared" si="459"/>
        <v>0.51</v>
      </c>
      <c r="EE315" s="30" t="e">
        <f t="shared" ca="1" si="492"/>
        <v>#DIV/0!</v>
      </c>
      <c r="EF315" s="85" t="e">
        <f ca="1">IF(DL315&lt;=Hypothèses!$V$7,Hypothèses!$W$7,IF(DL315&lt;=Hypothèses!$V$8,Hypothèses!$W$8,IF(DL315&lt;=Hypothèses!$V$9,Hypothèses!$W$9,IF(DL315&lt;=Hypothèses!$V$10,Hypothèses!$W$10,IF(DL315&lt;=Hypothèses!$V$11,Hypothèses!$W$11,IF(DL315&lt;=Hypothèses!$V$12,Hypothèses!$W$12,IF(DL315&lt;=Hypothèses!$V$13,Hypothèses!$W$13,IF(DL315&lt;=Hypothèses!$V$14,Hypothèses!$W$14,IF(DL315&lt;=Hypothèses!$V$15,Hypothèses!$W$15,IF(DL315&lt;=Hypothèses!$V$16,Hypothèses!$W$16,IF(DL315&lt;=Hypothèses!$V$17,Hypothèses!$W$17,IF(DL315&lt;=Hypothèses!$V$18,Hypothèses!$W$18,""))))))))))))</f>
        <v>#DIV/0!</v>
      </c>
      <c r="EG315" s="87" t="e">
        <f t="shared" ca="1" si="522"/>
        <v>#DIV/0!</v>
      </c>
      <c r="EH315" s="88" t="e">
        <f ca="1">IF(DL315&lt;=Hypothèses!$V$7,Hypothèses!$X$7,IF(DL315&lt;=Hypothèses!$V$8,Hypothèses!$X$8,IF(DL315&lt;=Hypothèses!$V$9,Hypothèses!$X$9,IF(DL315&lt;=Hypothèses!$V$10,Hypothèses!$X$10,IF(DL315&lt;=Hypothèses!$V$11,Hypothèses!$X$11,IF(DL315&lt;=Hypothèses!$V$12,Hypothèses!$X$12,IF(DL315&lt;=Hypothèses!$V$13,Hypothèses!$X$13,IF(DL315&lt;=Hypothèses!$V$14,Hypothèses!$X$14,IF(DL315&lt;=Hypothèses!$V$15,Hypothèses!$X$15,IF(DL315&lt;=Hypothèses!$V$16,Hypothèses!$X$16,IF(DL315&lt;=Hypothèses!$U$17,Hypothèses!$W$17,IF(DL315&lt;=Hypothèses!$U$18,Hypothèses!$W$18,""))))))))))))</f>
        <v>#DIV/0!</v>
      </c>
      <c r="EI315" s="95" t="e">
        <f t="shared" ca="1" si="493"/>
        <v>#DIV/0!</v>
      </c>
      <c r="EJ315" s="101">
        <f t="shared" si="529"/>
        <v>0</v>
      </c>
      <c r="EK315" s="91">
        <f t="shared" si="460"/>
        <v>0</v>
      </c>
      <c r="EL315" s="30" t="e">
        <f t="shared" si="512"/>
        <v>#N/A</v>
      </c>
      <c r="EM315" s="30" t="e">
        <f t="shared" si="513"/>
        <v>#N/A</v>
      </c>
      <c r="EN315" s="31" t="e">
        <f>IF(OR(Hypothèses!$B$4=17,Hypothèses!$B$4=18,Hypothèses!$B$4=19,Hypothèses!$B$4=20),
IF($D315="Pressio.",
IF(OR($E315=3,$E315=1,$E315=4),EM315,EL315),
IF($D315="Pénétro.",
IF(OR($E315=3,$E315=1,$E315=4),EM315,EL315))),IF($D315="Pressio.",
IF($E315=3,EM315,EL315),
IF($D315="Pénétro.",
IF($E315=4,EM315,EL315))))</f>
        <v>#N/A</v>
      </c>
      <c r="EO315" s="31">
        <v>0</v>
      </c>
      <c r="EP315" s="102" t="e">
        <f>IF(NDC!$H$10="Oui",(VLOOKUP($B$3,'Coeff EC7'!$T$39:$X$59,2,0)*EN315+VLOOKUP($B$3,'Coeff EC7'!$T$65:$X$85,2,0)*Model0.1T!EO315)/1.5,PI()*EL$12*$Q315*($B315-$B314)*0.15/10+EP314)</f>
        <v>#N/A</v>
      </c>
      <c r="EQ315" s="102" t="e">
        <f>(VLOOKUP($B$3,'Coeff EC7'!$T$39:$X$59,3,0)*EN315+VLOOKUP($B$3,'Coeff EC7'!$T$65:$X$85,3,0)*Model0.1T!EO315)/1.1</f>
        <v>#N/A</v>
      </c>
      <c r="ER315" s="102" t="e">
        <f t="shared" si="494"/>
        <v>#N/A</v>
      </c>
      <c r="ES315" s="102" t="e">
        <f t="shared" si="495"/>
        <v>#N/A</v>
      </c>
      <c r="ET315" s="414" t="e">
        <f>IF(AND(EP315&gt;NDC!$C$63,EQ315&gt;NDC!$C$65,ER315&gt;NDC!$D$73,ES315&gt;NDC!$D$74,$B315&gt;NDC!$H$22-0.1+MIN(3*ET$12,1.5)),0,1)</f>
        <v>#N/A</v>
      </c>
      <c r="EU315" s="86" t="b">
        <f t="shared" si="461"/>
        <v>0</v>
      </c>
      <c r="EV315" s="86">
        <f t="shared" si="462"/>
        <v>0.61</v>
      </c>
      <c r="EW315" s="86">
        <f t="shared" si="463"/>
        <v>0.61</v>
      </c>
      <c r="EX315" s="30" t="e">
        <f t="shared" ca="1" si="496"/>
        <v>#DIV/0!</v>
      </c>
      <c r="EY315" s="85" t="e">
        <f ca="1">IF(EE315&lt;=Hypothèses!$V$7,Hypothèses!$W$7,IF(EE315&lt;=Hypothèses!$V$8,Hypothèses!$W$8,IF(EE315&lt;=Hypothèses!$V$9,Hypothèses!$W$9,IF(EE315&lt;=Hypothèses!$V$10,Hypothèses!$W$10,IF(EE315&lt;=Hypothèses!$V$11,Hypothèses!$W$11,IF(EE315&lt;=Hypothèses!$V$12,Hypothèses!$W$12,IF(EE315&lt;=Hypothèses!$V$13,Hypothèses!$W$13,IF(EE315&lt;=Hypothèses!$V$14,Hypothèses!$W$14,IF(EE315&lt;=Hypothèses!$V$15,Hypothèses!$W$15,IF(EE315&lt;=Hypothèses!$V$16,Hypothèses!$W$16,IF(EE315&lt;=Hypothèses!$V$17,Hypothèses!$W$17,IF(EE315&lt;=Hypothèses!$V$18,Hypothèses!$W$18,""))))))))))))</f>
        <v>#DIV/0!</v>
      </c>
      <c r="EZ315" s="87" t="e">
        <f t="shared" ca="1" si="523"/>
        <v>#DIV/0!</v>
      </c>
      <c r="FA315" s="88" t="e">
        <f ca="1">IF(EE315&lt;=Hypothèses!$V$7,Hypothèses!$X$7,IF(EE315&lt;=Hypothèses!$V$8,Hypothèses!$X$8,IF(EE315&lt;=Hypothèses!$V$9,Hypothèses!$X$9,IF(EE315&lt;=Hypothèses!$V$10,Hypothèses!$X$10,IF(EE315&lt;=Hypothèses!$V$11,Hypothèses!$X$11,IF(EE315&lt;=Hypothèses!$V$12,Hypothèses!$X$12,IF(EE315&lt;=Hypothèses!$V$13,Hypothèses!$X$13,IF(EE315&lt;=Hypothèses!$V$14,Hypothèses!$X$14,IF(EE315&lt;=Hypothèses!$V$15,Hypothèses!$X$15,IF(EE315&lt;=Hypothèses!$V$16,Hypothèses!$X$16,IF(EE315&lt;=Hypothèses!$U$17,Hypothèses!$W$17,IF(EE315&lt;=Hypothèses!$U$18,Hypothèses!$W$18,""))))))))))))</f>
        <v>#DIV/0!</v>
      </c>
      <c r="FB315" s="95" t="e">
        <f t="shared" ca="1" si="497"/>
        <v>#DIV/0!</v>
      </c>
      <c r="FC315" s="101">
        <f t="shared" si="530"/>
        <v>0</v>
      </c>
      <c r="FD315" s="91">
        <f t="shared" si="464"/>
        <v>0</v>
      </c>
      <c r="FE315" s="30" t="e">
        <f t="shared" si="514"/>
        <v>#N/A</v>
      </c>
      <c r="FF315" s="30" t="e">
        <f t="shared" si="515"/>
        <v>#N/A</v>
      </c>
      <c r="FG315" s="31" t="e">
        <f>IF(OR(Hypothèses!$B$4=17,Hypothèses!$B$4=18,Hypothèses!$B$4=19,Hypothèses!$B$4=20),
IF($D315="Pressio.",
IF(OR($E315=3,$E315=1,$E315=4),FF315,FE315),
IF($D315="Pénétro.",
IF(OR($E315=3,$E315=1,$E315=4),FF315,FE315))),IF($D315="Pressio.",
IF($E315=3,FF315,FE315),
IF($D315="Pénétro.",
IF($E315=4,FF315,FE315))))</f>
        <v>#N/A</v>
      </c>
      <c r="FH315" s="31">
        <v>0</v>
      </c>
      <c r="FI315" s="102" t="e">
        <f>IF(NDC!$H$10="Oui",(VLOOKUP($B$3,'Coeff EC7'!$T$39:$X$59,2,0)*FG315+VLOOKUP($B$3,'Coeff EC7'!$T$65:$X$85,2,0)*Model0.1T!FH315)/1.5,PI()*FE$12*$Q315*($B315-$B314)*0.15/10+FI314)</f>
        <v>#N/A</v>
      </c>
      <c r="FJ315" s="102" t="e">
        <f>(VLOOKUP($B$3,'Coeff EC7'!$T$39:$X$59,3,0)*FG315+VLOOKUP($B$3,'Coeff EC7'!$T$65:$X$85,3,0)*Model0.1T!FH315)/1.1</f>
        <v>#N/A</v>
      </c>
      <c r="FK315" s="102" t="e">
        <f t="shared" si="498"/>
        <v>#N/A</v>
      </c>
      <c r="FL315" s="102" t="e">
        <f t="shared" si="499"/>
        <v>#N/A</v>
      </c>
      <c r="FM315" s="414" t="e">
        <f>IF(AND(FI315&gt;NDC!$C$63,FJ315&gt;NDC!$C$65,FK315&gt;NDC!$D$73,FL315&gt;NDC!$D$74,$B315&gt;NDC!$H$22-0.1+MIN(3*FM$12,1.5)),0,1)</f>
        <v>#N/A</v>
      </c>
    </row>
    <row r="316" spans="1:169">
      <c r="A316" s="96">
        <f t="shared" si="465"/>
        <v>69.700000000001722</v>
      </c>
      <c r="B316" s="97">
        <v>30.3</v>
      </c>
      <c r="C316" s="81">
        <f>IF(B316&lt;=Hypothèses!$C$7,Hypothèses!$A$7,IF(B316&lt;=Hypothèses!$C$8,Hypothèses!$A$8,IF(B316&lt;=Hypothèses!$C$9,Hypothèses!$A$9,IF(B316&lt;=Hypothèses!$C$10,Hypothèses!$A$10,IF(B316&lt;=Hypothèses!$C$11,Hypothèses!$A$11,IF(B316&lt;=Hypothèses!$C$12,Hypothèses!$A$12,IF(B316&lt;=Hypothèses!$C$13,Hypothèses!$A$13,IF(B316&lt;=Hypothèses!$C$14,Hypothèses!$A$14,IF(B316&lt;=Hypothèses!$C$15,Hypothèses!$A$15,IF(B316&lt;=Hypothèses!$C$16,Hypothèses!$A$16,IF(B316&lt;=Hypothèses!$C$17,Hypothèses!$A$17,IF(B316&lt;=Hypothèses!$C$18,Hypothèses!$A$18,C315))))))))))))</f>
        <v>11</v>
      </c>
      <c r="D316" s="82" t="str">
        <f>IF(B316&lt;=Hypothèses!$C$7,Hypothèses!$R$7,IF(B316&lt;=Hypothèses!$C$8,Hypothèses!$R$8,IF(B316&lt;=Hypothèses!$C$9,Hypothèses!$R$9,IF(B316&lt;=Hypothèses!$C$10,Hypothèses!$R$10,IF(B316&lt;=Hypothèses!$C$11,Hypothèses!$R$11,IF(B316&lt;=Hypothèses!$C$12,Hypothèses!$R$12,IF(B316&lt;=Hypothèses!$C$13,Hypothèses!$R$13,IF(B316&lt;=Hypothèses!$C$14,Hypothèses!$R$14,IF(B316&lt;=Hypothèses!$C$15,Hypothèses!$R$15,IF(B316&lt;=Hypothèses!$C$16,Hypothèses!$R$16,IF(B316&lt;=Hypothèses!$C$17,Hypothèses!$R$17,IF(B316&lt;=Hypothèses!$C$18,Hypothèses!$R$18,D315))))))))))))</f>
        <v>Pressio.</v>
      </c>
      <c r="E316" s="82" t="e">
        <f>IF(B316&lt;=Hypothèses!$C$7,Hypothèses!$G$7,IF(B316&lt;=Hypothèses!$C$8,Hypothèses!$G$8,IF(B316&lt;=Hypothèses!$C$9,Hypothèses!$G$9,IF(B316&lt;=Hypothèses!$C$10,Hypothèses!$G$10,IF(B316&lt;=Hypothèses!$C$11,Hypothèses!$G$11,IF(B316&lt;=Hypothèses!$C$12,Hypothèses!$G$12,IF(B316&lt;=Hypothèses!$C$13,Hypothèses!$G$13,IF(B316&lt;=Hypothèses!$C$14,Hypothèses!$G$14,IF(B316&lt;=Hypothèses!$C$15,Hypothèses!$G$15,IF(B316&lt;=Hypothèses!$C$16,Hypothèses!$G$16,IF(B316&lt;=Hypothèses!$C$17,Hypothèses!$G$17,IF(B316&lt;=Hypothèses!$C$18,Hypothèses!$G$18,E315))))))))))))</f>
        <v>#N/A</v>
      </c>
      <c r="F316" s="82" t="str">
        <f>IF(B316&lt;=Hypothèses!$C$7,Hypothèses!$F$7,IF(B316&lt;=Hypothèses!$C$8,Hypothèses!$F$8,IF(B316&lt;=Hypothèses!$C$9,Hypothèses!$F$9,IF(B316&lt;=Hypothèses!$C$10,Hypothèses!$F$10,IF(B316&lt;=Hypothèses!$C$11,Hypothèses!$F$11,IF(B316&lt;=Hypothèses!$C$12,Hypothèses!$F$12,IF(B316&lt;=Hypothèses!$C$13,Hypothèses!$F$13,IF(B316&lt;=Hypothèses!$C$14,Hypothèses!$F$14,IF(B316&lt;=Hypothèses!$C$15,Hypothèses!$F$15,IF(B316&lt;=Hypothèses!$C$16,Hypothèses!$F$16,IF(B316&lt;=Hypothèses!$C$17,Hypothèses!$F$17,IF(B316&lt;=Hypothèses!$C$18,Hypothèses!$F$18,F315))))))))))))</f>
        <v/>
      </c>
      <c r="G316" s="91">
        <f t="array" ref="G316">INDEX('Coeff EC7'!$U$7:$X$27,
MATCH(Model0.1T!$B$3,'Coeff EC7'!$T$7:$T$27,0),
MATCH(Model0.1T!$D316&amp;Model0.1T!$B$4,
'Coeff EC7'!$U$6:$X$6&amp;
'Coeff EC7'!$U$5:$X$5,0))</f>
        <v>1.4</v>
      </c>
      <c r="H316" s="91">
        <f t="array" ref="H316">INDEX('Coeff EC7'!$Y$7:$AB$27,
MATCH(Model0.1T!$B$3,'Coeff EC7'!$T$7:$T$27,0),
MATCH(Model0.1T!$D316&amp;Model0.1T!$B$4,
'Coeff EC7'!$Y$6:$AB$6&amp;
'Coeff EC7'!$Y$5:$AB$5,0))</f>
        <v>1.7</v>
      </c>
      <c r="I316" s="83">
        <v>0</v>
      </c>
      <c r="J316" s="91" t="e">
        <f t="array" ref="J316">INDEX('Coeff EC7'!$D$33:$Q$33,1,MATCH(D316&amp;E316,'Coeff EC7'!$D$31:$Q$31&amp;'Coeff EC7'!$D$32:$Q$32,0))</f>
        <v>#N/A</v>
      </c>
      <c r="K316" s="91" t="e">
        <f t="array" ref="K316">INDEX('Coeff EC7'!$D$34:$Q$34,1,MATCH(D316&amp;E316,'Coeff EC7'!$D$31:$Q$31&amp;'Coeff EC7'!$D$32:$Q$32,0))</f>
        <v>#N/A</v>
      </c>
      <c r="L316" s="91" t="e">
        <f t="array" ref="L316">INDEX('Coeff EC7'!$D$35:$Q$35,1,MATCH(D316&amp;E316,'Coeff EC7'!$D$31:$Q$31&amp;'Coeff EC7'!$D$32:$Q$32,0))</f>
        <v>#N/A</v>
      </c>
      <c r="M316" s="98" t="e">
        <f t="shared" si="431"/>
        <v>#N/A</v>
      </c>
      <c r="N316" s="99" t="e">
        <f t="array" ref="N316">INDEX('Coeff EC7'!$D$7:$Q$27,MATCH($B$3,'Coeff EC7'!$C$7:$C$27,0),MATCH(D316&amp;E316,'Coeff EC7'!$D$5:$Q$5&amp;'Coeff EC7'!$D$6:$Q$6,0))</f>
        <v>#N/A</v>
      </c>
      <c r="O316" s="99" t="e">
        <f t="array" ref="O316">INDEX('Coeff EC7'!$D$41:$Q$61,MATCH($B$3,'Coeff EC7'!$C$41:$C$61,0),MATCH(D316&amp;E316,'Coeff EC7'!$D$39:$Q$39&amp;'Coeff EC7'!$D$40:$Q$40,0))</f>
        <v>#N/A</v>
      </c>
      <c r="P316" s="30" t="e">
        <f t="shared" si="466"/>
        <v>#N/A</v>
      </c>
      <c r="Q316" s="100" t="e">
        <f t="shared" si="433"/>
        <v>#N/A</v>
      </c>
      <c r="R316" s="86" t="b">
        <f t="shared" si="434"/>
        <v>0</v>
      </c>
      <c r="S316" s="86">
        <f t="shared" si="432"/>
        <v>0.5</v>
      </c>
      <c r="T316" s="86">
        <f t="shared" si="435"/>
        <v>0.5</v>
      </c>
      <c r="U316" s="30" t="e">
        <f t="shared" ca="1" si="467"/>
        <v>#DIV/0!</v>
      </c>
      <c r="V316" s="85" t="str">
        <f>IF(B316&lt;=Hypothèses!$V$7,Hypothèses!$W$7,IF(B316&lt;=Hypothèses!$V$8,Hypothèses!$W$8,IF(B316&lt;=Hypothèses!$V$9,Hypothèses!$W$9,IF(B316&lt;=Hypothèses!$V$10,Hypothèses!$W$10,IF(B316&lt;=Hypothèses!$V$11,Hypothèses!$W$11,IF(B316&lt;=Hypothèses!$V$12,Hypothèses!$W$12,IF(B316&lt;=Hypothèses!$V$13,Hypothèses!$W$13,IF(B316&lt;=Hypothèses!$V$14,Hypothèses!$W$14,IF(B316&lt;=Hypothèses!$V$15,Hypothèses!$W$15,IF(B316&lt;=Hypothèses!$V$16,Hypothèses!$W$16,IF(B316&lt;=Hypothèses!$V$17,Hypothèses!$W$17,IF(B316&lt;=Hypothèses!$V$18,Hypothèses!$W$18,""))))))))))))</f>
        <v/>
      </c>
      <c r="W316" s="87" t="e">
        <f t="shared" ca="1" si="516"/>
        <v>#DIV/0!</v>
      </c>
      <c r="X316" s="88" t="str">
        <f>IF(B316&lt;=Hypothèses!$V$7,Hypothèses!$X$7,IF(B316&lt;=Hypothèses!$V$8,Hypothèses!$X$8,IF(B316&lt;=Hypothèses!$V$9,Hypothèses!$X$9,IF(B316&lt;=Hypothèses!$V$10,Hypothèses!$X$10,IF(B316&lt;=Hypothèses!$V$11,Hypothèses!$X$11,IF(B316&lt;=Hypothèses!$V$12,Hypothèses!$X$12,IF(B316&lt;=Hypothèses!$V$13,Hypothèses!$X$13,IF(B316&lt;=Hypothèses!$V$14,Hypothèses!$X$14,IF(B316&lt;=Hypothèses!$V$15,Hypothèses!$X$15,IF(B316&lt;=Hypothèses!$V$16,Hypothèses!$X$16,IF(B316&lt;=Hypothèses!$U$17,Hypothèses!$W$17,IF(B316&lt;=Hypothèses!$U$18,Hypothèses!$W$18,""))))))))))))</f>
        <v/>
      </c>
      <c r="Y316" s="95" t="e">
        <f t="shared" ca="1" si="436"/>
        <v>#DIV/0!</v>
      </c>
      <c r="Z316" s="101">
        <f t="shared" si="437"/>
        <v>0</v>
      </c>
      <c r="AA316" s="91">
        <f t="shared" si="438"/>
        <v>0</v>
      </c>
      <c r="AB316" s="30" t="e">
        <f t="shared" si="500"/>
        <v>#N/A</v>
      </c>
      <c r="AC316" s="30" t="e">
        <f t="shared" si="501"/>
        <v>#N/A</v>
      </c>
      <c r="AD316" s="31" t="e">
        <f>IF(OR(Hypothèses!$B$4=17,Hypothèses!$B$4=18,Hypothèses!$B$4=19,Hypothèses!$B$4=20),
IF($D316="Pressio.",
IF(OR($E316=3,$E316=1,$E316=4),AC316,AB316),
IF($D316="Pénétro.",
IF(OR($E316=3,$E316=1,$E316=4),AC316,AB316))),IF($D316="Pressio.",
IF($E316=3,AC316,AB316),
IF($D316="Pénétro.",
IF($E316=4,AC316,AB316))))</f>
        <v>#N/A</v>
      </c>
      <c r="AE316" s="31">
        <v>0</v>
      </c>
      <c r="AF316" s="102" t="e">
        <f>IF(NDC!$H$10="Oui",(VLOOKUP($B$3,'Coeff EC7'!$T$39:$X$59,2,0)*AD316+VLOOKUP($B$3,'Coeff EC7'!$T$65:$X$85,2,0)*Model0.1T!AE316)/1.5,PI()*AB$12*$Q316*($B316-$B315)*0.15/10+AF315)</f>
        <v>#N/A</v>
      </c>
      <c r="AG316" s="102" t="e">
        <f>(VLOOKUP($B$3,'Coeff EC7'!$T$39:$X$59,3,0)*AD316+VLOOKUP($B$3,'Coeff EC7'!$T$65:$X$85,3,0)*Model0.1T!AE316)/1.1</f>
        <v>#N/A</v>
      </c>
      <c r="AH316" s="102" t="e">
        <f t="shared" si="468"/>
        <v>#N/A</v>
      </c>
      <c r="AI316" s="102" t="e">
        <f t="shared" si="469"/>
        <v>#N/A</v>
      </c>
      <c r="AJ316" s="414" t="e">
        <f>IF(AND(AF316&gt;NDC!$C$63,AG316&gt;NDC!$C$65,AH316&gt;NDC!$D$73,AI316&gt;NDC!$D$74,$B316&gt;NDC!$H$22-0.1+MIN(3*$AJ$12,1.5)),0,1)</f>
        <v>#N/A</v>
      </c>
      <c r="AK316" s="86" t="b">
        <f t="shared" si="439"/>
        <v>0</v>
      </c>
      <c r="AL316" s="86">
        <f t="shared" si="470"/>
        <v>0.5</v>
      </c>
      <c r="AM316" s="86">
        <f t="shared" si="440"/>
        <v>0.5</v>
      </c>
      <c r="AN316" s="30" t="e">
        <f t="shared" ca="1" si="471"/>
        <v>#DIV/0!</v>
      </c>
      <c r="AO316" s="85" t="e">
        <f ca="1">IF(U316&lt;=Hypothèses!$V$7,Hypothèses!$W$7,IF(U316&lt;=Hypothèses!$V$8,Hypothèses!$W$8,IF(U316&lt;=Hypothèses!$V$9,Hypothèses!$W$9,IF(U316&lt;=Hypothèses!$V$10,Hypothèses!$W$10,IF(U316&lt;=Hypothèses!$V$11,Hypothèses!$W$11,IF(U316&lt;=Hypothèses!$V$12,Hypothèses!$W$12,IF(U316&lt;=Hypothèses!$V$13,Hypothèses!$W$13,IF(U316&lt;=Hypothèses!$V$14,Hypothèses!$W$14,IF(U316&lt;=Hypothèses!$V$15,Hypothèses!$W$15,IF(U316&lt;=Hypothèses!$V$16,Hypothèses!$W$16,IF(U316&lt;=Hypothèses!$V$17,Hypothèses!$W$17,IF(U316&lt;=Hypothèses!$V$18,Hypothèses!$W$18,""))))))))))))</f>
        <v>#DIV/0!</v>
      </c>
      <c r="AP316" s="87" t="e">
        <f t="shared" ca="1" si="517"/>
        <v>#DIV/0!</v>
      </c>
      <c r="AQ316" s="88" t="e">
        <f ca="1">IF(U316&lt;=Hypothèses!$V$7,Hypothèses!$X$7,IF(U316&lt;=Hypothèses!$V$8,Hypothèses!$X$8,IF(U316&lt;=Hypothèses!$V$9,Hypothèses!$X$9,IF(U316&lt;=Hypothèses!$V$10,Hypothèses!$X$10,IF(U316&lt;=Hypothèses!$V$11,Hypothèses!$X$11,IF(U316&lt;=Hypothèses!$V$12,Hypothèses!$X$12,IF(U316&lt;=Hypothèses!$V$13,Hypothèses!$X$13,IF(U316&lt;=Hypothèses!$V$14,Hypothèses!$X$14,IF(U316&lt;=Hypothèses!$V$15,Hypothèses!$X$15,IF(U316&lt;=Hypothèses!$V$16,Hypothèses!$X$16,IF(U316&lt;=Hypothèses!$U$17,Hypothèses!$W$17,IF(U316&lt;=Hypothèses!$U$18,Hypothèses!$W$18,""))))))))))))</f>
        <v>#DIV/0!</v>
      </c>
      <c r="AR316" s="95" t="e">
        <f t="shared" ca="1" si="472"/>
        <v>#DIV/0!</v>
      </c>
      <c r="AS316" s="101">
        <f t="shared" si="524"/>
        <v>0</v>
      </c>
      <c r="AT316" s="91">
        <f t="shared" si="441"/>
        <v>0</v>
      </c>
      <c r="AU316" s="30" t="e">
        <f t="shared" si="502"/>
        <v>#N/A</v>
      </c>
      <c r="AV316" s="30" t="e">
        <f t="shared" si="503"/>
        <v>#N/A</v>
      </c>
      <c r="AW316" s="31" t="e">
        <f>IF(OR(Hypothèses!$B$4=17,Hypothèses!$B$4=18,Hypothèses!$B$4=19,Hypothèses!$B$4=20),
IF($D316="Pressio.",
IF(OR($E316=3,$E316=1,$E316=4),AV316,AU316),
IF($D316="Pénétro.",
IF(OR($E316=3,$E316=1,$E316=4),AV316,AU316))),IF($D316="Pressio.",
IF($E316=3,AV316,AU316),
IF($D316="Pénétro.",
IF($E316=4,AV316,AU316))))</f>
        <v>#N/A</v>
      </c>
      <c r="AX316" s="31">
        <v>0</v>
      </c>
      <c r="AY316" s="102" t="e">
        <f>IF(NDC!$H$10="Oui",(VLOOKUP($B$3,'Coeff EC7'!$T$39:$X$59,2,0)*AW316+VLOOKUP($B$3,'Coeff EC7'!$T$65:$X$85,2,0)*Model0.1T!AX316)/1.5,PI()*AU$12*$Q316*($B316-$B315)*0.15/10+AY315)</f>
        <v>#N/A</v>
      </c>
      <c r="AZ316" s="102" t="e">
        <f>(VLOOKUP($B$3,'Coeff EC7'!$T$39:$X$59,3,0)*AW316+VLOOKUP($B$3,'Coeff EC7'!$T$65:$X$85,3,0)*Model0.1T!AX316)/1.1</f>
        <v>#N/A</v>
      </c>
      <c r="BA316" s="102" t="e">
        <f t="shared" si="473"/>
        <v>#N/A</v>
      </c>
      <c r="BB316" s="102" t="e">
        <f t="shared" si="474"/>
        <v>#N/A</v>
      </c>
      <c r="BC316" s="414" t="e">
        <f>IF(AND(AY316&gt;NDC!$C$63,AZ316&gt;NDC!$C$65,BA316&gt;NDC!$D$73,BB316&gt;NDC!$D$74,$B316&gt;NDC!$H$22-0.1+MIN(3*BC$12,1.5)),0,1)</f>
        <v>#N/A</v>
      </c>
      <c r="BD316" s="86" t="b">
        <f t="shared" si="442"/>
        <v>0</v>
      </c>
      <c r="BE316" s="86">
        <f t="shared" si="475"/>
        <v>0.5</v>
      </c>
      <c r="BF316" s="86">
        <f t="shared" si="443"/>
        <v>0.5</v>
      </c>
      <c r="BG316" s="30" t="e">
        <f t="shared" ca="1" si="476"/>
        <v>#DIV/0!</v>
      </c>
      <c r="BH316" s="85" t="e">
        <f ca="1">IF(AN316&lt;=Hypothèses!$V$7,Hypothèses!$W$7,IF(AN316&lt;=Hypothèses!$V$8,Hypothèses!$W$8,IF(AN316&lt;=Hypothèses!$V$9,Hypothèses!$W$9,IF(AN316&lt;=Hypothèses!$V$10,Hypothèses!$W$10,IF(AN316&lt;=Hypothèses!$V$11,Hypothèses!$W$11,IF(AN316&lt;=Hypothèses!$V$12,Hypothèses!$W$12,IF(AN316&lt;=Hypothèses!$V$13,Hypothèses!$W$13,IF(AN316&lt;=Hypothèses!$V$14,Hypothèses!$W$14,IF(AN316&lt;=Hypothèses!$V$15,Hypothèses!$W$15,IF(AN316&lt;=Hypothèses!$V$16,Hypothèses!$W$16,IF(AN316&lt;=Hypothèses!$V$17,Hypothèses!$W$17,IF(AN316&lt;=Hypothèses!$V$18,Hypothèses!$W$18,""))))))))))))</f>
        <v>#DIV/0!</v>
      </c>
      <c r="BI316" s="87" t="e">
        <f t="shared" ca="1" si="518"/>
        <v>#DIV/0!</v>
      </c>
      <c r="BJ316" s="88" t="e">
        <f ca="1">IF(AN316&lt;=Hypothèses!$V$7,Hypothèses!$X$7,IF(AN316&lt;=Hypothèses!$V$8,Hypothèses!$X$8,IF(AN316&lt;=Hypothèses!$V$9,Hypothèses!$X$9,IF(AN316&lt;=Hypothèses!$V$10,Hypothèses!$X$10,IF(AN316&lt;=Hypothèses!$V$11,Hypothèses!$X$11,IF(AN316&lt;=Hypothèses!$V$12,Hypothèses!$X$12,IF(AN316&lt;=Hypothèses!$V$13,Hypothèses!$X$13,IF(AN316&lt;=Hypothèses!$V$14,Hypothèses!$X$14,IF(AN316&lt;=Hypothèses!$V$15,Hypothèses!$X$15,IF(AN316&lt;=Hypothèses!$V$16,Hypothèses!$X$16,IF(AN316&lt;=Hypothèses!$U$17,Hypothèses!$W$17,IF(AN316&lt;=Hypothèses!$U$18,Hypothèses!$W$18,""))))))))))))</f>
        <v>#DIV/0!</v>
      </c>
      <c r="BK316" s="95" t="e">
        <f t="shared" ca="1" si="477"/>
        <v>#DIV/0!</v>
      </c>
      <c r="BL316" s="101">
        <f t="shared" si="525"/>
        <v>0</v>
      </c>
      <c r="BM316" s="91">
        <f t="shared" si="444"/>
        <v>0</v>
      </c>
      <c r="BN316" s="30" t="e">
        <f t="shared" si="504"/>
        <v>#N/A</v>
      </c>
      <c r="BO316" s="30" t="e">
        <f t="shared" si="505"/>
        <v>#N/A</v>
      </c>
      <c r="BP316" s="31" t="e">
        <f>IF(OR(Hypothèses!$B$4=17,Hypothèses!$B$4=18,Hypothèses!$B$4=19,Hypothèses!$B$4=20),
IF($D316="Pressio.",
IF(OR($E316=3,$E316=1,$E316=4),BO316,BN316),
IF($D316="Pénétro.",
IF(OR($E316=3,$E316=1,$E316=4),BO316,BN316))),IF($D316="Pressio.",
IF($E316=3,BO316,BN316),
IF($D316="Pénétro.",
IF($E316=4,BO316,BN316))))</f>
        <v>#N/A</v>
      </c>
      <c r="BQ316" s="31">
        <v>0</v>
      </c>
      <c r="BR316" s="102" t="e">
        <f>IF(NDC!$H$10="Oui",(VLOOKUP($B$3,'Coeff EC7'!$T$39:$X$59,2,0)*BP316+VLOOKUP($B$3,'Coeff EC7'!$T$65:$X$85,2,0)*Model0.1T!BQ316)/1.5,PI()*BN$12*$Q316*($B316-$B315)*0.15/10+BR315)</f>
        <v>#N/A</v>
      </c>
      <c r="BS316" s="102" t="e">
        <f>(VLOOKUP($B$3,'Coeff EC7'!$T$39:$X$59,3,0)*BP316+VLOOKUP($B$3,'Coeff EC7'!$T$65:$X$85,3,0)*Model0.1T!BQ316)/1.1</f>
        <v>#N/A</v>
      </c>
      <c r="BT316" s="102" t="e">
        <f t="shared" si="478"/>
        <v>#N/A</v>
      </c>
      <c r="BU316" s="102" t="e">
        <f t="shared" si="479"/>
        <v>#N/A</v>
      </c>
      <c r="BV316" s="414" t="e">
        <f>IF(AND(BR316&gt;NDC!$C$63,BS316&gt;NDC!$C$65,BT316&gt;NDC!$D$73,BU316&gt;NDC!$D$74,$B316&gt;NDC!$H$22-0.1+MIN(3*BV$12,1.5)),0,1)</f>
        <v>#N/A</v>
      </c>
      <c r="BW316" s="86" t="b">
        <f t="shared" si="445"/>
        <v>0</v>
      </c>
      <c r="BX316" s="86">
        <f t="shared" si="446"/>
        <v>0.5</v>
      </c>
      <c r="BY316" s="86">
        <f t="shared" si="447"/>
        <v>0.5</v>
      </c>
      <c r="BZ316" s="30" t="e">
        <f t="shared" ca="1" si="480"/>
        <v>#DIV/0!</v>
      </c>
      <c r="CA316" s="85" t="e">
        <f ca="1">IF(BG316&lt;=Hypothèses!$V$7,Hypothèses!$W$7,IF(BG316&lt;=Hypothèses!$V$8,Hypothèses!$W$8,IF(BG316&lt;=Hypothèses!$V$9,Hypothèses!$W$9,IF(BG316&lt;=Hypothèses!$V$10,Hypothèses!$W$10,IF(BG316&lt;=Hypothèses!$V$11,Hypothèses!$W$11,IF(BG316&lt;=Hypothèses!$V$12,Hypothèses!$W$12,IF(BG316&lt;=Hypothèses!$V$13,Hypothèses!$W$13,IF(BG316&lt;=Hypothèses!$V$14,Hypothèses!$W$14,IF(BG316&lt;=Hypothèses!$V$15,Hypothèses!$W$15,IF(BG316&lt;=Hypothèses!$V$16,Hypothèses!$W$16,IF(BG316&lt;=Hypothèses!$V$17,Hypothèses!$W$17,IF(BG316&lt;=Hypothèses!$V$18,Hypothèses!$W$18,""))))))))))))</f>
        <v>#DIV/0!</v>
      </c>
      <c r="CB316" s="87" t="e">
        <f t="shared" ca="1" si="519"/>
        <v>#DIV/0!</v>
      </c>
      <c r="CC316" s="88" t="e">
        <f ca="1">IF(BG316&lt;=Hypothèses!$V$7,Hypothèses!$X$7,IF(BG316&lt;=Hypothèses!$V$8,Hypothèses!$X$8,IF(BG316&lt;=Hypothèses!$V$9,Hypothèses!$X$9,IF(BG316&lt;=Hypothèses!$V$10,Hypothèses!$X$10,IF(BG316&lt;=Hypothèses!$V$11,Hypothèses!$X$11,IF(BG316&lt;=Hypothèses!$V$12,Hypothèses!$X$12,IF(BG316&lt;=Hypothèses!$V$13,Hypothèses!$X$13,IF(BG316&lt;=Hypothèses!$V$14,Hypothèses!$X$14,IF(BG316&lt;=Hypothèses!$V$15,Hypothèses!$X$15,IF(BG316&lt;=Hypothèses!$V$16,Hypothèses!$X$16,IF(BG316&lt;=Hypothèses!$U$17,Hypothèses!$W$17,IF(BG316&lt;=Hypothèses!$U$18,Hypothèses!$W$18,""))))))))))))</f>
        <v>#DIV/0!</v>
      </c>
      <c r="CD316" s="95" t="e">
        <f t="shared" ca="1" si="481"/>
        <v>#DIV/0!</v>
      </c>
      <c r="CE316" s="101">
        <f t="shared" si="526"/>
        <v>0</v>
      </c>
      <c r="CF316" s="91">
        <f t="shared" si="448"/>
        <v>0</v>
      </c>
      <c r="CG316" s="30" t="e">
        <f t="shared" si="506"/>
        <v>#N/A</v>
      </c>
      <c r="CH316" s="30" t="e">
        <f t="shared" si="507"/>
        <v>#N/A</v>
      </c>
      <c r="CI316" s="31" t="e">
        <f>IF(OR(Hypothèses!$B$4=17,Hypothèses!$B$4=18,Hypothèses!$B$4=19,Hypothèses!$B$4=20),
IF($D316="Pressio.",
IF(OR($E316=3,$E316=1,$E316=4),CH316,CG316),
IF($D316="Pénétro.",
IF(OR($E316=3,$E316=1,$E316=4),CH316,CG316))),IF($D316="Pressio.",
IF($E316=3,CH316,CG316),
IF($D316="Pénétro.",
IF($E316=4,CH316,CG316))))</f>
        <v>#N/A</v>
      </c>
      <c r="CJ316" s="31">
        <v>0</v>
      </c>
      <c r="CK316" s="102" t="e">
        <f>IF(NDC!$H$10="Oui",(VLOOKUP($B$3,'Coeff EC7'!$T$39:$X$59,2,0)*CI316+VLOOKUP($B$3,'Coeff EC7'!$T$65:$X$85,2,0)*Model0.1T!CJ316)/1.5,PI()*CG$12*$Q316*($B316-$B315)*0.15/10+CK315)</f>
        <v>#N/A</v>
      </c>
      <c r="CL316" s="102" t="e">
        <f>(VLOOKUP($B$3,'Coeff EC7'!$T$39:$X$59,3,0)*CI316+VLOOKUP($B$3,'Coeff EC7'!$T$65:$X$85,3,0)*Model0.1T!CJ316)/1.1</f>
        <v>#N/A</v>
      </c>
      <c r="CM316" s="102" t="e">
        <f t="shared" si="482"/>
        <v>#N/A</v>
      </c>
      <c r="CN316" s="102" t="e">
        <f t="shared" si="483"/>
        <v>#N/A</v>
      </c>
      <c r="CO316" s="414" t="e">
        <f>IF(AND(CK316&gt;NDC!$C$63,CL316&gt;NDC!$C$65,CM316&gt;NDC!$D$73,CN316&gt;NDC!$D$74,$B316&gt;NDC!$H$22-0.1+MIN(3*CO$12,1.5)),0,1)</f>
        <v>#N/A</v>
      </c>
      <c r="CP316" s="86" t="b">
        <f t="shared" si="449"/>
        <v>0</v>
      </c>
      <c r="CQ316" s="86">
        <f t="shared" si="450"/>
        <v>0.5</v>
      </c>
      <c r="CR316" s="86">
        <f t="shared" si="451"/>
        <v>0.5</v>
      </c>
      <c r="CS316" s="30" t="e">
        <f t="shared" ca="1" si="484"/>
        <v>#DIV/0!</v>
      </c>
      <c r="CT316" s="85" t="e">
        <f ca="1">IF(BZ316&lt;=Hypothèses!$V$7,Hypothèses!$W$7,IF(BZ316&lt;=Hypothèses!$V$8,Hypothèses!$W$8,IF(BZ316&lt;=Hypothèses!$V$9,Hypothèses!$W$9,IF(BZ316&lt;=Hypothèses!$V$10,Hypothèses!$W$10,IF(BZ316&lt;=Hypothèses!$V$11,Hypothèses!$W$11,IF(BZ316&lt;=Hypothèses!$V$12,Hypothèses!$W$12,IF(BZ316&lt;=Hypothèses!$V$13,Hypothèses!$W$13,IF(BZ316&lt;=Hypothèses!$V$14,Hypothèses!$W$14,IF(BZ316&lt;=Hypothèses!$V$15,Hypothèses!$W$15,IF(BZ316&lt;=Hypothèses!$V$16,Hypothèses!$W$16,IF(BZ316&lt;=Hypothèses!$V$17,Hypothèses!$W$17,IF(BZ316&lt;=Hypothèses!$V$18,Hypothèses!$W$18,""))))))))))))</f>
        <v>#DIV/0!</v>
      </c>
      <c r="CU316" s="87" t="e">
        <f t="shared" ca="1" si="520"/>
        <v>#DIV/0!</v>
      </c>
      <c r="CV316" s="88" t="e">
        <f ca="1">IF(BZ316&lt;=Hypothèses!$V$7,Hypothèses!$X$7,IF(BZ316&lt;=Hypothèses!$V$8,Hypothèses!$X$8,IF(BZ316&lt;=Hypothèses!$V$9,Hypothèses!$X$9,IF(BZ316&lt;=Hypothèses!$V$10,Hypothèses!$X$10,IF(BZ316&lt;=Hypothèses!$V$11,Hypothèses!$X$11,IF(BZ316&lt;=Hypothèses!$V$12,Hypothèses!$X$12,IF(BZ316&lt;=Hypothèses!$V$13,Hypothèses!$X$13,IF(BZ316&lt;=Hypothèses!$V$14,Hypothèses!$X$14,IF(BZ316&lt;=Hypothèses!$V$15,Hypothèses!$X$15,IF(BZ316&lt;=Hypothèses!$V$16,Hypothèses!$X$16,IF(BZ316&lt;=Hypothèses!$U$17,Hypothèses!$W$17,IF(BZ316&lt;=Hypothèses!$U$18,Hypothèses!$W$18,""))))))))))))</f>
        <v>#DIV/0!</v>
      </c>
      <c r="CW316" s="95" t="e">
        <f t="shared" ca="1" si="485"/>
        <v>#DIV/0!</v>
      </c>
      <c r="CX316" s="101">
        <f t="shared" si="527"/>
        <v>0</v>
      </c>
      <c r="CY316" s="91">
        <f t="shared" si="452"/>
        <v>0</v>
      </c>
      <c r="CZ316" s="30" t="e">
        <f t="shared" si="508"/>
        <v>#N/A</v>
      </c>
      <c r="DA316" s="30" t="e">
        <f t="shared" si="509"/>
        <v>#N/A</v>
      </c>
      <c r="DB316" s="31" t="e">
        <f>IF(OR(Hypothèses!$B$4=17,Hypothèses!$B$4=18,Hypothèses!$B$4=19,Hypothèses!$B$4=20),
IF($D316="Pressio.",
IF(OR($E316=3,$E316=1,$E316=4),DA316,CZ316),
IF($D316="Pénétro.",
IF(OR($E316=3,$E316=1,$E316=4),DA316,CZ316))),IF($D316="Pressio.",
IF($E316=3,DA316,CZ316),
IF($D316="Pénétro.",
IF($E316=4,DA316,CZ316))))</f>
        <v>#N/A</v>
      </c>
      <c r="DC316" s="31">
        <v>0</v>
      </c>
      <c r="DD316" s="102" t="e">
        <f>IF(NDC!$H$10="Oui",(VLOOKUP($B$3,'Coeff EC7'!$T$39:$X$59,2,0)*DB316+VLOOKUP($B$3,'Coeff EC7'!$T$65:$X$85,2,0)*Model0.1T!DC316)/1.5,PI()*CZ$12*$Q316*($B316-$B315)*0.15/10+DD315)</f>
        <v>#N/A</v>
      </c>
      <c r="DE316" s="102" t="e">
        <f>(VLOOKUP($B$3,'Coeff EC7'!$T$39:$X$59,3,0)*DB316+VLOOKUP($B$3,'Coeff EC7'!$T$65:$X$85,3,0)*Model0.1T!DC316)/1.1</f>
        <v>#N/A</v>
      </c>
      <c r="DF316" s="102" t="e">
        <f t="shared" si="486"/>
        <v>#N/A</v>
      </c>
      <c r="DG316" s="102" t="e">
        <f t="shared" si="487"/>
        <v>#N/A</v>
      </c>
      <c r="DH316" s="414" t="e">
        <f>IF(AND(DD316&gt;NDC!$C$63,DE316&gt;NDC!$C$65,DF316&gt;NDC!$D$73,DG316&gt;NDC!$D$74,$B316&gt;NDC!$H$22-0.1+MIN(3*DH$12,1.5)),0,1)</f>
        <v>#N/A</v>
      </c>
      <c r="DI316" s="86" t="b">
        <f t="shared" si="453"/>
        <v>0</v>
      </c>
      <c r="DJ316" s="86">
        <f t="shared" si="454"/>
        <v>0.5</v>
      </c>
      <c r="DK316" s="86">
        <f t="shared" si="455"/>
        <v>0.5</v>
      </c>
      <c r="DL316" s="30" t="e">
        <f t="shared" ca="1" si="488"/>
        <v>#DIV/0!</v>
      </c>
      <c r="DM316" s="85" t="e">
        <f ca="1">IF(CS316&lt;=Hypothèses!$V$7,Hypothèses!$W$7,IF(CS316&lt;=Hypothèses!$V$8,Hypothèses!$W$8,IF(CS316&lt;=Hypothèses!$V$9,Hypothèses!$W$9,IF(CS316&lt;=Hypothèses!$V$10,Hypothèses!$W$10,IF(CS316&lt;=Hypothèses!$V$11,Hypothèses!$W$11,IF(CS316&lt;=Hypothèses!$V$12,Hypothèses!$W$12,IF(CS316&lt;=Hypothèses!$V$13,Hypothèses!$W$13,IF(CS316&lt;=Hypothèses!$V$14,Hypothèses!$W$14,IF(CS316&lt;=Hypothèses!$V$15,Hypothèses!$W$15,IF(CS316&lt;=Hypothèses!$V$16,Hypothèses!$W$16,IF(CS316&lt;=Hypothèses!$V$17,Hypothèses!$W$17,IF(CS316&lt;=Hypothèses!$V$18,Hypothèses!$W$18,""))))))))))))</f>
        <v>#DIV/0!</v>
      </c>
      <c r="DN316" s="87" t="e">
        <f t="shared" ca="1" si="521"/>
        <v>#DIV/0!</v>
      </c>
      <c r="DO316" s="88" t="e">
        <f ca="1">IF(CS316&lt;=Hypothèses!$V$7,Hypothèses!$X$7,IF(CS316&lt;=Hypothèses!$V$8,Hypothèses!$X$8,IF(CS316&lt;=Hypothèses!$V$9,Hypothèses!$X$9,IF(CS316&lt;=Hypothèses!$V$10,Hypothèses!$X$10,IF(CS316&lt;=Hypothèses!$V$11,Hypothèses!$X$11,IF(CS316&lt;=Hypothèses!$V$12,Hypothèses!$X$12,IF(CS316&lt;=Hypothèses!$V$13,Hypothèses!$X$13,IF(CS316&lt;=Hypothèses!$V$14,Hypothèses!$X$14,IF(CS316&lt;=Hypothèses!$V$15,Hypothèses!$X$15,IF(CS316&lt;=Hypothèses!$V$16,Hypothèses!$X$16,IF(CS316&lt;=Hypothèses!$U$17,Hypothèses!$W$17,IF(CS316&lt;=Hypothèses!$U$18,Hypothèses!$W$18,""))))))))))))</f>
        <v>#DIV/0!</v>
      </c>
      <c r="DP316" s="95" t="e">
        <f t="shared" ca="1" si="489"/>
        <v>#DIV/0!</v>
      </c>
      <c r="DQ316" s="101">
        <f t="shared" si="528"/>
        <v>0</v>
      </c>
      <c r="DR316" s="91">
        <f t="shared" si="456"/>
        <v>0</v>
      </c>
      <c r="DS316" s="30" t="e">
        <f t="shared" si="510"/>
        <v>#N/A</v>
      </c>
      <c r="DT316" s="30" t="e">
        <f t="shared" si="511"/>
        <v>#N/A</v>
      </c>
      <c r="DU316" s="31" t="e">
        <f>IF(OR(Hypothèses!$B$4=17,Hypothèses!$B$4=18,Hypothèses!$B$4=19,Hypothèses!$B$4=20),
IF($D316="Pressio.",
IF(OR($E316=3,$E316=1,$E316=4),DT316,DS316),
IF($D316="Pénétro.",
IF(OR($E316=3,$E316=1,$E316=4),DT316,DS316))),IF($D316="Pressio.",
IF($E316=3,DT316,DS316),
IF($D316="Pénétro.",
IF($E316=4,DT316,DS316))))</f>
        <v>#N/A</v>
      </c>
      <c r="DV316" s="31">
        <v>0</v>
      </c>
      <c r="DW316" s="102" t="e">
        <f>IF(NDC!$H$10="Oui",(VLOOKUP($B$3,'Coeff EC7'!$T$39:$X$59,2,0)*DU316+VLOOKUP($B$3,'Coeff EC7'!$T$65:$X$85,2,0)*Model0.1T!DV316)/1.5,PI()*DS$12*$Q316*($B316-$B315)*0.15/10+DW315)</f>
        <v>#N/A</v>
      </c>
      <c r="DX316" s="102" t="e">
        <f>(VLOOKUP($B$3,'Coeff EC7'!$T$39:$X$59,3,0)*DU316+VLOOKUP($B$3,'Coeff EC7'!$T$65:$X$85,3,0)*Model0.1T!DV316)/1.1</f>
        <v>#N/A</v>
      </c>
      <c r="DY316" s="102" t="e">
        <f t="shared" si="490"/>
        <v>#N/A</v>
      </c>
      <c r="DZ316" s="102" t="e">
        <f t="shared" si="491"/>
        <v>#N/A</v>
      </c>
      <c r="EA316" s="414" t="e">
        <f>IF(AND(DW316&gt;NDC!$C$63,DX316&gt;NDC!$C$65,DY316&gt;NDC!$D$73,DZ316&gt;NDC!$D$74,$B316&gt;NDC!$H$22-0.1+MIN(3*EA$12,1.5)),0,1)</f>
        <v>#N/A</v>
      </c>
      <c r="EB316" s="86" t="b">
        <f t="shared" si="457"/>
        <v>0</v>
      </c>
      <c r="EC316" s="418">
        <f t="shared" si="458"/>
        <v>0.51</v>
      </c>
      <c r="ED316" s="86">
        <f t="shared" si="459"/>
        <v>0.51</v>
      </c>
      <c r="EE316" s="30" t="e">
        <f t="shared" ca="1" si="492"/>
        <v>#DIV/0!</v>
      </c>
      <c r="EF316" s="85" t="e">
        <f ca="1">IF(DL316&lt;=Hypothèses!$V$7,Hypothèses!$W$7,IF(DL316&lt;=Hypothèses!$V$8,Hypothèses!$W$8,IF(DL316&lt;=Hypothèses!$V$9,Hypothèses!$W$9,IF(DL316&lt;=Hypothèses!$V$10,Hypothèses!$W$10,IF(DL316&lt;=Hypothèses!$V$11,Hypothèses!$W$11,IF(DL316&lt;=Hypothèses!$V$12,Hypothèses!$W$12,IF(DL316&lt;=Hypothèses!$V$13,Hypothèses!$W$13,IF(DL316&lt;=Hypothèses!$V$14,Hypothèses!$W$14,IF(DL316&lt;=Hypothèses!$V$15,Hypothèses!$W$15,IF(DL316&lt;=Hypothèses!$V$16,Hypothèses!$W$16,IF(DL316&lt;=Hypothèses!$V$17,Hypothèses!$W$17,IF(DL316&lt;=Hypothèses!$V$18,Hypothèses!$W$18,""))))))))))))</f>
        <v>#DIV/0!</v>
      </c>
      <c r="EG316" s="87" t="e">
        <f t="shared" ca="1" si="522"/>
        <v>#DIV/0!</v>
      </c>
      <c r="EH316" s="88" t="e">
        <f ca="1">IF(DL316&lt;=Hypothèses!$V$7,Hypothèses!$X$7,IF(DL316&lt;=Hypothèses!$V$8,Hypothèses!$X$8,IF(DL316&lt;=Hypothèses!$V$9,Hypothèses!$X$9,IF(DL316&lt;=Hypothèses!$V$10,Hypothèses!$X$10,IF(DL316&lt;=Hypothèses!$V$11,Hypothèses!$X$11,IF(DL316&lt;=Hypothèses!$V$12,Hypothèses!$X$12,IF(DL316&lt;=Hypothèses!$V$13,Hypothèses!$X$13,IF(DL316&lt;=Hypothèses!$V$14,Hypothèses!$X$14,IF(DL316&lt;=Hypothèses!$V$15,Hypothèses!$X$15,IF(DL316&lt;=Hypothèses!$V$16,Hypothèses!$X$16,IF(DL316&lt;=Hypothèses!$U$17,Hypothèses!$W$17,IF(DL316&lt;=Hypothèses!$U$18,Hypothèses!$W$18,""))))))))))))</f>
        <v>#DIV/0!</v>
      </c>
      <c r="EI316" s="95" t="e">
        <f t="shared" ca="1" si="493"/>
        <v>#DIV/0!</v>
      </c>
      <c r="EJ316" s="101">
        <f t="shared" si="529"/>
        <v>0</v>
      </c>
      <c r="EK316" s="91">
        <f t="shared" si="460"/>
        <v>0</v>
      </c>
      <c r="EL316" s="30" t="e">
        <f t="shared" si="512"/>
        <v>#N/A</v>
      </c>
      <c r="EM316" s="30" t="e">
        <f t="shared" si="513"/>
        <v>#N/A</v>
      </c>
      <c r="EN316" s="31" t="e">
        <f>IF(OR(Hypothèses!$B$4=17,Hypothèses!$B$4=18,Hypothèses!$B$4=19,Hypothèses!$B$4=20),
IF($D316="Pressio.",
IF(OR($E316=3,$E316=1,$E316=4),EM316,EL316),
IF($D316="Pénétro.",
IF(OR($E316=3,$E316=1,$E316=4),EM316,EL316))),IF($D316="Pressio.",
IF($E316=3,EM316,EL316),
IF($D316="Pénétro.",
IF($E316=4,EM316,EL316))))</f>
        <v>#N/A</v>
      </c>
      <c r="EO316" s="31">
        <v>0</v>
      </c>
      <c r="EP316" s="102" t="e">
        <f>IF(NDC!$H$10="Oui",(VLOOKUP($B$3,'Coeff EC7'!$T$39:$X$59,2,0)*EN316+VLOOKUP($B$3,'Coeff EC7'!$T$65:$X$85,2,0)*Model0.1T!EO316)/1.5,PI()*EL$12*$Q316*($B316-$B315)*0.15/10+EP315)</f>
        <v>#N/A</v>
      </c>
      <c r="EQ316" s="102" t="e">
        <f>(VLOOKUP($B$3,'Coeff EC7'!$T$39:$X$59,3,0)*EN316+VLOOKUP($B$3,'Coeff EC7'!$T$65:$X$85,3,0)*Model0.1T!EO316)/1.1</f>
        <v>#N/A</v>
      </c>
      <c r="ER316" s="102" t="e">
        <f t="shared" si="494"/>
        <v>#N/A</v>
      </c>
      <c r="ES316" s="102" t="e">
        <f t="shared" si="495"/>
        <v>#N/A</v>
      </c>
      <c r="ET316" s="414" t="e">
        <f>IF(AND(EP316&gt;NDC!$C$63,EQ316&gt;NDC!$C$65,ER316&gt;NDC!$D$73,ES316&gt;NDC!$D$74,$B316&gt;NDC!$H$22-0.1+MIN(3*ET$12,1.5)),0,1)</f>
        <v>#N/A</v>
      </c>
      <c r="EU316" s="86" t="b">
        <f t="shared" si="461"/>
        <v>0</v>
      </c>
      <c r="EV316" s="86">
        <f t="shared" si="462"/>
        <v>0.61</v>
      </c>
      <c r="EW316" s="86">
        <f t="shared" si="463"/>
        <v>0.61</v>
      </c>
      <c r="EX316" s="30" t="e">
        <f t="shared" ca="1" si="496"/>
        <v>#DIV/0!</v>
      </c>
      <c r="EY316" s="85" t="e">
        <f ca="1">IF(EE316&lt;=Hypothèses!$V$7,Hypothèses!$W$7,IF(EE316&lt;=Hypothèses!$V$8,Hypothèses!$W$8,IF(EE316&lt;=Hypothèses!$V$9,Hypothèses!$W$9,IF(EE316&lt;=Hypothèses!$V$10,Hypothèses!$W$10,IF(EE316&lt;=Hypothèses!$V$11,Hypothèses!$W$11,IF(EE316&lt;=Hypothèses!$V$12,Hypothèses!$W$12,IF(EE316&lt;=Hypothèses!$V$13,Hypothèses!$W$13,IF(EE316&lt;=Hypothèses!$V$14,Hypothèses!$W$14,IF(EE316&lt;=Hypothèses!$V$15,Hypothèses!$W$15,IF(EE316&lt;=Hypothèses!$V$16,Hypothèses!$W$16,IF(EE316&lt;=Hypothèses!$V$17,Hypothèses!$W$17,IF(EE316&lt;=Hypothèses!$V$18,Hypothèses!$W$18,""))))))))))))</f>
        <v>#DIV/0!</v>
      </c>
      <c r="EZ316" s="87" t="e">
        <f t="shared" ca="1" si="523"/>
        <v>#DIV/0!</v>
      </c>
      <c r="FA316" s="88" t="e">
        <f ca="1">IF(EE316&lt;=Hypothèses!$V$7,Hypothèses!$X$7,IF(EE316&lt;=Hypothèses!$V$8,Hypothèses!$X$8,IF(EE316&lt;=Hypothèses!$V$9,Hypothèses!$X$9,IF(EE316&lt;=Hypothèses!$V$10,Hypothèses!$X$10,IF(EE316&lt;=Hypothèses!$V$11,Hypothèses!$X$11,IF(EE316&lt;=Hypothèses!$V$12,Hypothèses!$X$12,IF(EE316&lt;=Hypothèses!$V$13,Hypothèses!$X$13,IF(EE316&lt;=Hypothèses!$V$14,Hypothèses!$X$14,IF(EE316&lt;=Hypothèses!$V$15,Hypothèses!$X$15,IF(EE316&lt;=Hypothèses!$V$16,Hypothèses!$X$16,IF(EE316&lt;=Hypothèses!$U$17,Hypothèses!$W$17,IF(EE316&lt;=Hypothèses!$U$18,Hypothèses!$W$18,""))))))))))))</f>
        <v>#DIV/0!</v>
      </c>
      <c r="FB316" s="95" t="e">
        <f t="shared" ca="1" si="497"/>
        <v>#DIV/0!</v>
      </c>
      <c r="FC316" s="101">
        <f t="shared" si="530"/>
        <v>0</v>
      </c>
      <c r="FD316" s="91">
        <f t="shared" si="464"/>
        <v>0</v>
      </c>
      <c r="FE316" s="30" t="e">
        <f t="shared" si="514"/>
        <v>#N/A</v>
      </c>
      <c r="FF316" s="30" t="e">
        <f t="shared" si="515"/>
        <v>#N/A</v>
      </c>
      <c r="FG316" s="31" t="e">
        <f>IF(OR(Hypothèses!$B$4=17,Hypothèses!$B$4=18,Hypothèses!$B$4=19,Hypothèses!$B$4=20),
IF($D316="Pressio.",
IF(OR($E316=3,$E316=1,$E316=4),FF316,FE316),
IF($D316="Pénétro.",
IF(OR($E316=3,$E316=1,$E316=4),FF316,FE316))),IF($D316="Pressio.",
IF($E316=3,FF316,FE316),
IF($D316="Pénétro.",
IF($E316=4,FF316,FE316))))</f>
        <v>#N/A</v>
      </c>
      <c r="FH316" s="31">
        <v>0</v>
      </c>
      <c r="FI316" s="102" t="e">
        <f>IF(NDC!$H$10="Oui",(VLOOKUP($B$3,'Coeff EC7'!$T$39:$X$59,2,0)*FG316+VLOOKUP($B$3,'Coeff EC7'!$T$65:$X$85,2,0)*Model0.1T!FH316)/1.5,PI()*FE$12*$Q316*($B316-$B315)*0.15/10+FI315)</f>
        <v>#N/A</v>
      </c>
      <c r="FJ316" s="102" t="e">
        <f>(VLOOKUP($B$3,'Coeff EC7'!$T$39:$X$59,3,0)*FG316+VLOOKUP($B$3,'Coeff EC7'!$T$65:$X$85,3,0)*Model0.1T!FH316)/1.1</f>
        <v>#N/A</v>
      </c>
      <c r="FK316" s="102" t="e">
        <f t="shared" si="498"/>
        <v>#N/A</v>
      </c>
      <c r="FL316" s="102" t="e">
        <f t="shared" si="499"/>
        <v>#N/A</v>
      </c>
      <c r="FM316" s="414" t="e">
        <f>IF(AND(FI316&gt;NDC!$C$63,FJ316&gt;NDC!$C$65,FK316&gt;NDC!$D$73,FL316&gt;NDC!$D$74,$B316&gt;NDC!$H$22-0.1+MIN(3*FM$12,1.5)),0,1)</f>
        <v>#N/A</v>
      </c>
    </row>
    <row r="317" spans="1:169">
      <c r="A317" s="96">
        <f t="shared" si="465"/>
        <v>69.600000000001728</v>
      </c>
      <c r="B317" s="97">
        <v>30.4</v>
      </c>
      <c r="C317" s="81">
        <f>IF(B317&lt;=Hypothèses!$C$7,Hypothèses!$A$7,IF(B317&lt;=Hypothèses!$C$8,Hypothèses!$A$8,IF(B317&lt;=Hypothèses!$C$9,Hypothèses!$A$9,IF(B317&lt;=Hypothèses!$C$10,Hypothèses!$A$10,IF(B317&lt;=Hypothèses!$C$11,Hypothèses!$A$11,IF(B317&lt;=Hypothèses!$C$12,Hypothèses!$A$12,IF(B317&lt;=Hypothèses!$C$13,Hypothèses!$A$13,IF(B317&lt;=Hypothèses!$C$14,Hypothèses!$A$14,IF(B317&lt;=Hypothèses!$C$15,Hypothèses!$A$15,IF(B317&lt;=Hypothèses!$C$16,Hypothèses!$A$16,IF(B317&lt;=Hypothèses!$C$17,Hypothèses!$A$17,IF(B317&lt;=Hypothèses!$C$18,Hypothèses!$A$18,C316))))))))))))</f>
        <v>11</v>
      </c>
      <c r="D317" s="82" t="str">
        <f>IF(B317&lt;=Hypothèses!$C$7,Hypothèses!$R$7,IF(B317&lt;=Hypothèses!$C$8,Hypothèses!$R$8,IF(B317&lt;=Hypothèses!$C$9,Hypothèses!$R$9,IF(B317&lt;=Hypothèses!$C$10,Hypothèses!$R$10,IF(B317&lt;=Hypothèses!$C$11,Hypothèses!$R$11,IF(B317&lt;=Hypothèses!$C$12,Hypothèses!$R$12,IF(B317&lt;=Hypothèses!$C$13,Hypothèses!$R$13,IF(B317&lt;=Hypothèses!$C$14,Hypothèses!$R$14,IF(B317&lt;=Hypothèses!$C$15,Hypothèses!$R$15,IF(B317&lt;=Hypothèses!$C$16,Hypothèses!$R$16,IF(B317&lt;=Hypothèses!$C$17,Hypothèses!$R$17,IF(B317&lt;=Hypothèses!$C$18,Hypothèses!$R$18,D316))))))))))))</f>
        <v>Pressio.</v>
      </c>
      <c r="E317" s="82" t="e">
        <f>IF(B317&lt;=Hypothèses!$C$7,Hypothèses!$G$7,IF(B317&lt;=Hypothèses!$C$8,Hypothèses!$G$8,IF(B317&lt;=Hypothèses!$C$9,Hypothèses!$G$9,IF(B317&lt;=Hypothèses!$C$10,Hypothèses!$G$10,IF(B317&lt;=Hypothèses!$C$11,Hypothèses!$G$11,IF(B317&lt;=Hypothèses!$C$12,Hypothèses!$G$12,IF(B317&lt;=Hypothèses!$C$13,Hypothèses!$G$13,IF(B317&lt;=Hypothèses!$C$14,Hypothèses!$G$14,IF(B317&lt;=Hypothèses!$C$15,Hypothèses!$G$15,IF(B317&lt;=Hypothèses!$C$16,Hypothèses!$G$16,IF(B317&lt;=Hypothèses!$C$17,Hypothèses!$G$17,IF(B317&lt;=Hypothèses!$C$18,Hypothèses!$G$18,E316))))))))))))</f>
        <v>#N/A</v>
      </c>
      <c r="F317" s="82" t="str">
        <f>IF(B317&lt;=Hypothèses!$C$7,Hypothèses!$F$7,IF(B317&lt;=Hypothèses!$C$8,Hypothèses!$F$8,IF(B317&lt;=Hypothèses!$C$9,Hypothèses!$F$9,IF(B317&lt;=Hypothèses!$C$10,Hypothèses!$F$10,IF(B317&lt;=Hypothèses!$C$11,Hypothèses!$F$11,IF(B317&lt;=Hypothèses!$C$12,Hypothèses!$F$12,IF(B317&lt;=Hypothèses!$C$13,Hypothèses!$F$13,IF(B317&lt;=Hypothèses!$C$14,Hypothèses!$F$14,IF(B317&lt;=Hypothèses!$C$15,Hypothèses!$F$15,IF(B317&lt;=Hypothèses!$C$16,Hypothèses!$F$16,IF(B317&lt;=Hypothèses!$C$17,Hypothèses!$F$17,IF(B317&lt;=Hypothèses!$C$18,Hypothèses!$F$18,F316))))))))))))</f>
        <v/>
      </c>
      <c r="G317" s="91">
        <f t="array" ref="G317">INDEX('Coeff EC7'!$U$7:$X$27,
MATCH(Model0.1T!$B$3,'Coeff EC7'!$T$7:$T$27,0),
MATCH(Model0.1T!$D317&amp;Model0.1T!$B$4,
'Coeff EC7'!$U$6:$X$6&amp;
'Coeff EC7'!$U$5:$X$5,0))</f>
        <v>1.4</v>
      </c>
      <c r="H317" s="91">
        <f t="array" ref="H317">INDEX('Coeff EC7'!$Y$7:$AB$27,
MATCH(Model0.1T!$B$3,'Coeff EC7'!$T$7:$T$27,0),
MATCH(Model0.1T!$D317&amp;Model0.1T!$B$4,
'Coeff EC7'!$Y$6:$AB$6&amp;
'Coeff EC7'!$Y$5:$AB$5,0))</f>
        <v>1.7</v>
      </c>
      <c r="I317" s="83">
        <v>0</v>
      </c>
      <c r="J317" s="91" t="e">
        <f t="array" ref="J317">INDEX('Coeff EC7'!$D$33:$Q$33,1,MATCH(D317&amp;E317,'Coeff EC7'!$D$31:$Q$31&amp;'Coeff EC7'!$D$32:$Q$32,0))</f>
        <v>#N/A</v>
      </c>
      <c r="K317" s="91" t="e">
        <f t="array" ref="K317">INDEX('Coeff EC7'!$D$34:$Q$34,1,MATCH(D317&amp;E317,'Coeff EC7'!$D$31:$Q$31&amp;'Coeff EC7'!$D$32:$Q$32,0))</f>
        <v>#N/A</v>
      </c>
      <c r="L317" s="91" t="e">
        <f t="array" ref="L317">INDEX('Coeff EC7'!$D$35:$Q$35,1,MATCH(D317&amp;E317,'Coeff EC7'!$D$31:$Q$31&amp;'Coeff EC7'!$D$32:$Q$32,0))</f>
        <v>#N/A</v>
      </c>
      <c r="M317" s="98" t="e">
        <f t="shared" si="431"/>
        <v>#N/A</v>
      </c>
      <c r="N317" s="99" t="e">
        <f t="array" ref="N317">INDEX('Coeff EC7'!$D$7:$Q$27,MATCH($B$3,'Coeff EC7'!$C$7:$C$27,0),MATCH(D317&amp;E317,'Coeff EC7'!$D$5:$Q$5&amp;'Coeff EC7'!$D$6:$Q$6,0))</f>
        <v>#N/A</v>
      </c>
      <c r="O317" s="99" t="e">
        <f t="array" ref="O317">INDEX('Coeff EC7'!$D$41:$Q$61,MATCH($B$3,'Coeff EC7'!$C$41:$C$61,0),MATCH(D317&amp;E317,'Coeff EC7'!$D$39:$Q$39&amp;'Coeff EC7'!$D$40:$Q$40,0))</f>
        <v>#N/A</v>
      </c>
      <c r="P317" s="30" t="e">
        <f t="shared" si="466"/>
        <v>#N/A</v>
      </c>
      <c r="Q317" s="100" t="e">
        <f t="shared" si="433"/>
        <v>#N/A</v>
      </c>
      <c r="R317" s="86" t="b">
        <f t="shared" si="434"/>
        <v>0</v>
      </c>
      <c r="S317" s="86">
        <f t="shared" si="432"/>
        <v>0.5</v>
      </c>
      <c r="T317" s="86">
        <f t="shared" si="435"/>
        <v>0.5</v>
      </c>
      <c r="U317" s="30" t="e">
        <f t="shared" ca="1" si="467"/>
        <v>#DIV/0!</v>
      </c>
      <c r="V317" s="85" t="str">
        <f>IF(B317&lt;=Hypothèses!$V$7,Hypothèses!$W$7,IF(B317&lt;=Hypothèses!$V$8,Hypothèses!$W$8,IF(B317&lt;=Hypothèses!$V$9,Hypothèses!$W$9,IF(B317&lt;=Hypothèses!$V$10,Hypothèses!$W$10,IF(B317&lt;=Hypothèses!$V$11,Hypothèses!$W$11,IF(B317&lt;=Hypothèses!$V$12,Hypothèses!$W$12,IF(B317&lt;=Hypothèses!$V$13,Hypothèses!$W$13,IF(B317&lt;=Hypothèses!$V$14,Hypothèses!$W$14,IF(B317&lt;=Hypothèses!$V$15,Hypothèses!$W$15,IF(B317&lt;=Hypothèses!$V$16,Hypothèses!$W$16,IF(B317&lt;=Hypothèses!$V$17,Hypothèses!$W$17,IF(B317&lt;=Hypothèses!$V$18,Hypothèses!$W$18,""))))))))))))</f>
        <v/>
      </c>
      <c r="W317" s="87" t="e">
        <f t="shared" ca="1" si="516"/>
        <v>#DIV/0!</v>
      </c>
      <c r="X317" s="88" t="str">
        <f>IF(B317&lt;=Hypothèses!$V$7,Hypothèses!$X$7,IF(B317&lt;=Hypothèses!$V$8,Hypothèses!$X$8,IF(B317&lt;=Hypothèses!$V$9,Hypothèses!$X$9,IF(B317&lt;=Hypothèses!$V$10,Hypothèses!$X$10,IF(B317&lt;=Hypothèses!$V$11,Hypothèses!$X$11,IF(B317&lt;=Hypothèses!$V$12,Hypothèses!$X$12,IF(B317&lt;=Hypothèses!$V$13,Hypothèses!$X$13,IF(B317&lt;=Hypothèses!$V$14,Hypothèses!$X$14,IF(B317&lt;=Hypothèses!$V$15,Hypothèses!$X$15,IF(B317&lt;=Hypothèses!$V$16,Hypothèses!$X$16,IF(B317&lt;=Hypothèses!$U$17,Hypothèses!$W$17,IF(B317&lt;=Hypothèses!$U$18,Hypothèses!$W$18,""))))))))))))</f>
        <v/>
      </c>
      <c r="Y317" s="95" t="e">
        <f t="shared" ca="1" si="436"/>
        <v>#DIV/0!</v>
      </c>
      <c r="Z317" s="101">
        <f t="shared" si="437"/>
        <v>0</v>
      </c>
      <c r="AA317" s="91">
        <f t="shared" si="438"/>
        <v>0</v>
      </c>
      <c r="AB317" s="30" t="e">
        <f t="shared" si="500"/>
        <v>#N/A</v>
      </c>
      <c r="AC317" s="30" t="e">
        <f t="shared" si="501"/>
        <v>#N/A</v>
      </c>
      <c r="AD317" s="31" t="e">
        <f>IF(OR(Hypothèses!$B$4=17,Hypothèses!$B$4=18,Hypothèses!$B$4=19,Hypothèses!$B$4=20),
IF($D317="Pressio.",
IF(OR($E317=3,$E317=1,$E317=4),AC317,AB317),
IF($D317="Pénétro.",
IF(OR($E317=3,$E317=1,$E317=4),AC317,AB317))),IF($D317="Pressio.",
IF($E317=3,AC317,AB317),
IF($D317="Pénétro.",
IF($E317=4,AC317,AB317))))</f>
        <v>#N/A</v>
      </c>
      <c r="AE317" s="31">
        <v>0</v>
      </c>
      <c r="AF317" s="102" t="e">
        <f>IF(NDC!$H$10="Oui",(VLOOKUP($B$3,'Coeff EC7'!$T$39:$X$59,2,0)*AD317+VLOOKUP($B$3,'Coeff EC7'!$T$65:$X$85,2,0)*Model0.1T!AE317)/1.5,PI()*AB$12*$Q317*($B317-$B316)*0.15/10+AF316)</f>
        <v>#N/A</v>
      </c>
      <c r="AG317" s="102" t="e">
        <f>(VLOOKUP($B$3,'Coeff EC7'!$T$39:$X$59,3,0)*AD317+VLOOKUP($B$3,'Coeff EC7'!$T$65:$X$85,3,0)*Model0.1T!AE317)/1.1</f>
        <v>#N/A</v>
      </c>
      <c r="AH317" s="102" t="e">
        <f t="shared" si="468"/>
        <v>#N/A</v>
      </c>
      <c r="AI317" s="102" t="e">
        <f t="shared" si="469"/>
        <v>#N/A</v>
      </c>
      <c r="AJ317" s="414" t="e">
        <f>IF(AND(AF317&gt;NDC!$C$63,AG317&gt;NDC!$C$65,AH317&gt;NDC!$D$73,AI317&gt;NDC!$D$74,$B317&gt;NDC!$H$22-0.1+MIN(3*$AJ$12,1.5)),0,1)</f>
        <v>#N/A</v>
      </c>
      <c r="AK317" s="86" t="b">
        <f t="shared" si="439"/>
        <v>0</v>
      </c>
      <c r="AL317" s="86">
        <f t="shared" si="470"/>
        <v>0.5</v>
      </c>
      <c r="AM317" s="86">
        <f t="shared" si="440"/>
        <v>0.5</v>
      </c>
      <c r="AN317" s="30" t="e">
        <f t="shared" ca="1" si="471"/>
        <v>#DIV/0!</v>
      </c>
      <c r="AO317" s="85" t="e">
        <f ca="1">IF(U317&lt;=Hypothèses!$V$7,Hypothèses!$W$7,IF(U317&lt;=Hypothèses!$V$8,Hypothèses!$W$8,IF(U317&lt;=Hypothèses!$V$9,Hypothèses!$W$9,IF(U317&lt;=Hypothèses!$V$10,Hypothèses!$W$10,IF(U317&lt;=Hypothèses!$V$11,Hypothèses!$W$11,IF(U317&lt;=Hypothèses!$V$12,Hypothèses!$W$12,IF(U317&lt;=Hypothèses!$V$13,Hypothèses!$W$13,IF(U317&lt;=Hypothèses!$V$14,Hypothèses!$W$14,IF(U317&lt;=Hypothèses!$V$15,Hypothèses!$W$15,IF(U317&lt;=Hypothèses!$V$16,Hypothèses!$W$16,IF(U317&lt;=Hypothèses!$V$17,Hypothèses!$W$17,IF(U317&lt;=Hypothèses!$V$18,Hypothèses!$W$18,""))))))))))))</f>
        <v>#DIV/0!</v>
      </c>
      <c r="AP317" s="87" t="e">
        <f t="shared" ca="1" si="517"/>
        <v>#DIV/0!</v>
      </c>
      <c r="AQ317" s="88" t="e">
        <f ca="1">IF(U317&lt;=Hypothèses!$V$7,Hypothèses!$X$7,IF(U317&lt;=Hypothèses!$V$8,Hypothèses!$X$8,IF(U317&lt;=Hypothèses!$V$9,Hypothèses!$X$9,IF(U317&lt;=Hypothèses!$V$10,Hypothèses!$X$10,IF(U317&lt;=Hypothèses!$V$11,Hypothèses!$X$11,IF(U317&lt;=Hypothèses!$V$12,Hypothèses!$X$12,IF(U317&lt;=Hypothèses!$V$13,Hypothèses!$X$13,IF(U317&lt;=Hypothèses!$V$14,Hypothèses!$X$14,IF(U317&lt;=Hypothèses!$V$15,Hypothèses!$X$15,IF(U317&lt;=Hypothèses!$V$16,Hypothèses!$X$16,IF(U317&lt;=Hypothèses!$U$17,Hypothèses!$W$17,IF(U317&lt;=Hypothèses!$U$18,Hypothèses!$W$18,""))))))))))))</f>
        <v>#DIV/0!</v>
      </c>
      <c r="AR317" s="95" t="e">
        <f t="shared" ca="1" si="472"/>
        <v>#DIV/0!</v>
      </c>
      <c r="AS317" s="101">
        <f t="shared" si="524"/>
        <v>0</v>
      </c>
      <c r="AT317" s="91">
        <f t="shared" si="441"/>
        <v>0</v>
      </c>
      <c r="AU317" s="30" t="e">
        <f t="shared" si="502"/>
        <v>#N/A</v>
      </c>
      <c r="AV317" s="30" t="e">
        <f t="shared" si="503"/>
        <v>#N/A</v>
      </c>
      <c r="AW317" s="31" t="e">
        <f>IF(OR(Hypothèses!$B$4=17,Hypothèses!$B$4=18,Hypothèses!$B$4=19,Hypothèses!$B$4=20),
IF($D317="Pressio.",
IF(OR($E317=3,$E317=1,$E317=4),AV317,AU317),
IF($D317="Pénétro.",
IF(OR($E317=3,$E317=1,$E317=4),AV317,AU317))),IF($D317="Pressio.",
IF($E317=3,AV317,AU317),
IF($D317="Pénétro.",
IF($E317=4,AV317,AU317))))</f>
        <v>#N/A</v>
      </c>
      <c r="AX317" s="31">
        <v>0</v>
      </c>
      <c r="AY317" s="102" t="e">
        <f>IF(NDC!$H$10="Oui",(VLOOKUP($B$3,'Coeff EC7'!$T$39:$X$59,2,0)*AW317+VLOOKUP($B$3,'Coeff EC7'!$T$65:$X$85,2,0)*Model0.1T!AX317)/1.5,PI()*AU$12*$Q317*($B317-$B316)*0.15/10+AY316)</f>
        <v>#N/A</v>
      </c>
      <c r="AZ317" s="102" t="e">
        <f>(VLOOKUP($B$3,'Coeff EC7'!$T$39:$X$59,3,0)*AW317+VLOOKUP($B$3,'Coeff EC7'!$T$65:$X$85,3,0)*Model0.1T!AX317)/1.1</f>
        <v>#N/A</v>
      </c>
      <c r="BA317" s="102" t="e">
        <f t="shared" si="473"/>
        <v>#N/A</v>
      </c>
      <c r="BB317" s="102" t="e">
        <f t="shared" si="474"/>
        <v>#N/A</v>
      </c>
      <c r="BC317" s="414" t="e">
        <f>IF(AND(AY317&gt;NDC!$C$63,AZ317&gt;NDC!$C$65,BA317&gt;NDC!$D$73,BB317&gt;NDC!$D$74,$B317&gt;NDC!$H$22-0.1+MIN(3*BC$12,1.5)),0,1)</f>
        <v>#N/A</v>
      </c>
      <c r="BD317" s="86" t="b">
        <f t="shared" si="442"/>
        <v>0</v>
      </c>
      <c r="BE317" s="86">
        <f t="shared" si="475"/>
        <v>0.5</v>
      </c>
      <c r="BF317" s="86">
        <f t="shared" si="443"/>
        <v>0.5</v>
      </c>
      <c r="BG317" s="30" t="e">
        <f t="shared" ca="1" si="476"/>
        <v>#DIV/0!</v>
      </c>
      <c r="BH317" s="85" t="e">
        <f ca="1">IF(AN317&lt;=Hypothèses!$V$7,Hypothèses!$W$7,IF(AN317&lt;=Hypothèses!$V$8,Hypothèses!$W$8,IF(AN317&lt;=Hypothèses!$V$9,Hypothèses!$W$9,IF(AN317&lt;=Hypothèses!$V$10,Hypothèses!$W$10,IF(AN317&lt;=Hypothèses!$V$11,Hypothèses!$W$11,IF(AN317&lt;=Hypothèses!$V$12,Hypothèses!$W$12,IF(AN317&lt;=Hypothèses!$V$13,Hypothèses!$W$13,IF(AN317&lt;=Hypothèses!$V$14,Hypothèses!$W$14,IF(AN317&lt;=Hypothèses!$V$15,Hypothèses!$W$15,IF(AN317&lt;=Hypothèses!$V$16,Hypothèses!$W$16,IF(AN317&lt;=Hypothèses!$V$17,Hypothèses!$W$17,IF(AN317&lt;=Hypothèses!$V$18,Hypothèses!$W$18,""))))))))))))</f>
        <v>#DIV/0!</v>
      </c>
      <c r="BI317" s="87" t="e">
        <f t="shared" ca="1" si="518"/>
        <v>#DIV/0!</v>
      </c>
      <c r="BJ317" s="88" t="e">
        <f ca="1">IF(AN317&lt;=Hypothèses!$V$7,Hypothèses!$X$7,IF(AN317&lt;=Hypothèses!$V$8,Hypothèses!$X$8,IF(AN317&lt;=Hypothèses!$V$9,Hypothèses!$X$9,IF(AN317&lt;=Hypothèses!$V$10,Hypothèses!$X$10,IF(AN317&lt;=Hypothèses!$V$11,Hypothèses!$X$11,IF(AN317&lt;=Hypothèses!$V$12,Hypothèses!$X$12,IF(AN317&lt;=Hypothèses!$V$13,Hypothèses!$X$13,IF(AN317&lt;=Hypothèses!$V$14,Hypothèses!$X$14,IF(AN317&lt;=Hypothèses!$V$15,Hypothèses!$X$15,IF(AN317&lt;=Hypothèses!$V$16,Hypothèses!$X$16,IF(AN317&lt;=Hypothèses!$U$17,Hypothèses!$W$17,IF(AN317&lt;=Hypothèses!$U$18,Hypothèses!$W$18,""))))))))))))</f>
        <v>#DIV/0!</v>
      </c>
      <c r="BK317" s="95" t="e">
        <f t="shared" ca="1" si="477"/>
        <v>#DIV/0!</v>
      </c>
      <c r="BL317" s="101">
        <f t="shared" si="525"/>
        <v>0</v>
      </c>
      <c r="BM317" s="91">
        <f t="shared" si="444"/>
        <v>0</v>
      </c>
      <c r="BN317" s="30" t="e">
        <f t="shared" si="504"/>
        <v>#N/A</v>
      </c>
      <c r="BO317" s="30" t="e">
        <f t="shared" si="505"/>
        <v>#N/A</v>
      </c>
      <c r="BP317" s="31" t="e">
        <f>IF(OR(Hypothèses!$B$4=17,Hypothèses!$B$4=18,Hypothèses!$B$4=19,Hypothèses!$B$4=20),
IF($D317="Pressio.",
IF(OR($E317=3,$E317=1,$E317=4),BO317,BN317),
IF($D317="Pénétro.",
IF(OR($E317=3,$E317=1,$E317=4),BO317,BN317))),IF($D317="Pressio.",
IF($E317=3,BO317,BN317),
IF($D317="Pénétro.",
IF($E317=4,BO317,BN317))))</f>
        <v>#N/A</v>
      </c>
      <c r="BQ317" s="31">
        <v>0</v>
      </c>
      <c r="BR317" s="102" t="e">
        <f>IF(NDC!$H$10="Oui",(VLOOKUP($B$3,'Coeff EC7'!$T$39:$X$59,2,0)*BP317+VLOOKUP($B$3,'Coeff EC7'!$T$65:$X$85,2,0)*Model0.1T!BQ317)/1.5,PI()*BN$12*$Q317*($B317-$B316)*0.15/10+BR316)</f>
        <v>#N/A</v>
      </c>
      <c r="BS317" s="102" t="e">
        <f>(VLOOKUP($B$3,'Coeff EC7'!$T$39:$X$59,3,0)*BP317+VLOOKUP($B$3,'Coeff EC7'!$T$65:$X$85,3,0)*Model0.1T!BQ317)/1.1</f>
        <v>#N/A</v>
      </c>
      <c r="BT317" s="102" t="e">
        <f t="shared" si="478"/>
        <v>#N/A</v>
      </c>
      <c r="BU317" s="102" t="e">
        <f t="shared" si="479"/>
        <v>#N/A</v>
      </c>
      <c r="BV317" s="414" t="e">
        <f>IF(AND(BR317&gt;NDC!$C$63,BS317&gt;NDC!$C$65,BT317&gt;NDC!$D$73,BU317&gt;NDC!$D$74,$B317&gt;NDC!$H$22-0.1+MIN(3*BV$12,1.5)),0,1)</f>
        <v>#N/A</v>
      </c>
      <c r="BW317" s="86" t="b">
        <f t="shared" si="445"/>
        <v>0</v>
      </c>
      <c r="BX317" s="86">
        <f t="shared" si="446"/>
        <v>0.5</v>
      </c>
      <c r="BY317" s="86">
        <f t="shared" si="447"/>
        <v>0.5</v>
      </c>
      <c r="BZ317" s="30" t="e">
        <f t="shared" ca="1" si="480"/>
        <v>#DIV/0!</v>
      </c>
      <c r="CA317" s="85" t="e">
        <f ca="1">IF(BG317&lt;=Hypothèses!$V$7,Hypothèses!$W$7,IF(BG317&lt;=Hypothèses!$V$8,Hypothèses!$W$8,IF(BG317&lt;=Hypothèses!$V$9,Hypothèses!$W$9,IF(BG317&lt;=Hypothèses!$V$10,Hypothèses!$W$10,IF(BG317&lt;=Hypothèses!$V$11,Hypothèses!$W$11,IF(BG317&lt;=Hypothèses!$V$12,Hypothèses!$W$12,IF(BG317&lt;=Hypothèses!$V$13,Hypothèses!$W$13,IF(BG317&lt;=Hypothèses!$V$14,Hypothèses!$W$14,IF(BG317&lt;=Hypothèses!$V$15,Hypothèses!$W$15,IF(BG317&lt;=Hypothèses!$V$16,Hypothèses!$W$16,IF(BG317&lt;=Hypothèses!$V$17,Hypothèses!$W$17,IF(BG317&lt;=Hypothèses!$V$18,Hypothèses!$W$18,""))))))))))))</f>
        <v>#DIV/0!</v>
      </c>
      <c r="CB317" s="87" t="e">
        <f t="shared" ca="1" si="519"/>
        <v>#DIV/0!</v>
      </c>
      <c r="CC317" s="88" t="e">
        <f ca="1">IF(BG317&lt;=Hypothèses!$V$7,Hypothèses!$X$7,IF(BG317&lt;=Hypothèses!$V$8,Hypothèses!$X$8,IF(BG317&lt;=Hypothèses!$V$9,Hypothèses!$X$9,IF(BG317&lt;=Hypothèses!$V$10,Hypothèses!$X$10,IF(BG317&lt;=Hypothèses!$V$11,Hypothèses!$X$11,IF(BG317&lt;=Hypothèses!$V$12,Hypothèses!$X$12,IF(BG317&lt;=Hypothèses!$V$13,Hypothèses!$X$13,IF(BG317&lt;=Hypothèses!$V$14,Hypothèses!$X$14,IF(BG317&lt;=Hypothèses!$V$15,Hypothèses!$X$15,IF(BG317&lt;=Hypothèses!$V$16,Hypothèses!$X$16,IF(BG317&lt;=Hypothèses!$U$17,Hypothèses!$W$17,IF(BG317&lt;=Hypothèses!$U$18,Hypothèses!$W$18,""))))))))))))</f>
        <v>#DIV/0!</v>
      </c>
      <c r="CD317" s="95" t="e">
        <f t="shared" ca="1" si="481"/>
        <v>#DIV/0!</v>
      </c>
      <c r="CE317" s="101">
        <f t="shared" si="526"/>
        <v>0</v>
      </c>
      <c r="CF317" s="91">
        <f t="shared" si="448"/>
        <v>0</v>
      </c>
      <c r="CG317" s="30" t="e">
        <f t="shared" si="506"/>
        <v>#N/A</v>
      </c>
      <c r="CH317" s="30" t="e">
        <f t="shared" si="507"/>
        <v>#N/A</v>
      </c>
      <c r="CI317" s="31" t="e">
        <f>IF(OR(Hypothèses!$B$4=17,Hypothèses!$B$4=18,Hypothèses!$B$4=19,Hypothèses!$B$4=20),
IF($D317="Pressio.",
IF(OR($E317=3,$E317=1,$E317=4),CH317,CG317),
IF($D317="Pénétro.",
IF(OR($E317=3,$E317=1,$E317=4),CH317,CG317))),IF($D317="Pressio.",
IF($E317=3,CH317,CG317),
IF($D317="Pénétro.",
IF($E317=4,CH317,CG317))))</f>
        <v>#N/A</v>
      </c>
      <c r="CJ317" s="31">
        <v>0</v>
      </c>
      <c r="CK317" s="102" t="e">
        <f>IF(NDC!$H$10="Oui",(VLOOKUP($B$3,'Coeff EC7'!$T$39:$X$59,2,0)*CI317+VLOOKUP($B$3,'Coeff EC7'!$T$65:$X$85,2,0)*Model0.1T!CJ317)/1.5,PI()*CG$12*$Q317*($B317-$B316)*0.15/10+CK316)</f>
        <v>#N/A</v>
      </c>
      <c r="CL317" s="102" t="e">
        <f>(VLOOKUP($B$3,'Coeff EC7'!$T$39:$X$59,3,0)*CI317+VLOOKUP($B$3,'Coeff EC7'!$T$65:$X$85,3,0)*Model0.1T!CJ317)/1.1</f>
        <v>#N/A</v>
      </c>
      <c r="CM317" s="102" t="e">
        <f t="shared" si="482"/>
        <v>#N/A</v>
      </c>
      <c r="CN317" s="102" t="e">
        <f t="shared" si="483"/>
        <v>#N/A</v>
      </c>
      <c r="CO317" s="414" t="e">
        <f>IF(AND(CK317&gt;NDC!$C$63,CL317&gt;NDC!$C$65,CM317&gt;NDC!$D$73,CN317&gt;NDC!$D$74,$B317&gt;NDC!$H$22-0.1+MIN(3*CO$12,1.5)),0,1)</f>
        <v>#N/A</v>
      </c>
      <c r="CP317" s="86" t="b">
        <f t="shared" si="449"/>
        <v>0</v>
      </c>
      <c r="CQ317" s="86">
        <f t="shared" si="450"/>
        <v>0.5</v>
      </c>
      <c r="CR317" s="86">
        <f t="shared" si="451"/>
        <v>0.5</v>
      </c>
      <c r="CS317" s="30" t="e">
        <f t="shared" ca="1" si="484"/>
        <v>#DIV/0!</v>
      </c>
      <c r="CT317" s="85" t="e">
        <f ca="1">IF(BZ317&lt;=Hypothèses!$V$7,Hypothèses!$W$7,IF(BZ317&lt;=Hypothèses!$V$8,Hypothèses!$W$8,IF(BZ317&lt;=Hypothèses!$V$9,Hypothèses!$W$9,IF(BZ317&lt;=Hypothèses!$V$10,Hypothèses!$W$10,IF(BZ317&lt;=Hypothèses!$V$11,Hypothèses!$W$11,IF(BZ317&lt;=Hypothèses!$V$12,Hypothèses!$W$12,IF(BZ317&lt;=Hypothèses!$V$13,Hypothèses!$W$13,IF(BZ317&lt;=Hypothèses!$V$14,Hypothèses!$W$14,IF(BZ317&lt;=Hypothèses!$V$15,Hypothèses!$W$15,IF(BZ317&lt;=Hypothèses!$V$16,Hypothèses!$W$16,IF(BZ317&lt;=Hypothèses!$V$17,Hypothèses!$W$17,IF(BZ317&lt;=Hypothèses!$V$18,Hypothèses!$W$18,""))))))))))))</f>
        <v>#DIV/0!</v>
      </c>
      <c r="CU317" s="87" t="e">
        <f t="shared" ca="1" si="520"/>
        <v>#DIV/0!</v>
      </c>
      <c r="CV317" s="88" t="e">
        <f ca="1">IF(BZ317&lt;=Hypothèses!$V$7,Hypothèses!$X$7,IF(BZ317&lt;=Hypothèses!$V$8,Hypothèses!$X$8,IF(BZ317&lt;=Hypothèses!$V$9,Hypothèses!$X$9,IF(BZ317&lt;=Hypothèses!$V$10,Hypothèses!$X$10,IF(BZ317&lt;=Hypothèses!$V$11,Hypothèses!$X$11,IF(BZ317&lt;=Hypothèses!$V$12,Hypothèses!$X$12,IF(BZ317&lt;=Hypothèses!$V$13,Hypothèses!$X$13,IF(BZ317&lt;=Hypothèses!$V$14,Hypothèses!$X$14,IF(BZ317&lt;=Hypothèses!$V$15,Hypothèses!$X$15,IF(BZ317&lt;=Hypothèses!$V$16,Hypothèses!$X$16,IF(BZ317&lt;=Hypothèses!$U$17,Hypothèses!$W$17,IF(BZ317&lt;=Hypothèses!$U$18,Hypothèses!$W$18,""))))))))))))</f>
        <v>#DIV/0!</v>
      </c>
      <c r="CW317" s="95" t="e">
        <f t="shared" ca="1" si="485"/>
        <v>#DIV/0!</v>
      </c>
      <c r="CX317" s="101">
        <f t="shared" si="527"/>
        <v>0</v>
      </c>
      <c r="CY317" s="91">
        <f t="shared" si="452"/>
        <v>0</v>
      </c>
      <c r="CZ317" s="30" t="e">
        <f t="shared" si="508"/>
        <v>#N/A</v>
      </c>
      <c r="DA317" s="30" t="e">
        <f t="shared" si="509"/>
        <v>#N/A</v>
      </c>
      <c r="DB317" s="31" t="e">
        <f>IF(OR(Hypothèses!$B$4=17,Hypothèses!$B$4=18,Hypothèses!$B$4=19,Hypothèses!$B$4=20),
IF($D317="Pressio.",
IF(OR($E317=3,$E317=1,$E317=4),DA317,CZ317),
IF($D317="Pénétro.",
IF(OR($E317=3,$E317=1,$E317=4),DA317,CZ317))),IF($D317="Pressio.",
IF($E317=3,DA317,CZ317),
IF($D317="Pénétro.",
IF($E317=4,DA317,CZ317))))</f>
        <v>#N/A</v>
      </c>
      <c r="DC317" s="31">
        <v>0</v>
      </c>
      <c r="DD317" s="102" t="e">
        <f>IF(NDC!$H$10="Oui",(VLOOKUP($B$3,'Coeff EC7'!$T$39:$X$59,2,0)*DB317+VLOOKUP($B$3,'Coeff EC7'!$T$65:$X$85,2,0)*Model0.1T!DC317)/1.5,PI()*CZ$12*$Q317*($B317-$B316)*0.15/10+DD316)</f>
        <v>#N/A</v>
      </c>
      <c r="DE317" s="102" t="e">
        <f>(VLOOKUP($B$3,'Coeff EC7'!$T$39:$X$59,3,0)*DB317+VLOOKUP($B$3,'Coeff EC7'!$T$65:$X$85,3,0)*Model0.1T!DC317)/1.1</f>
        <v>#N/A</v>
      </c>
      <c r="DF317" s="102" t="e">
        <f t="shared" si="486"/>
        <v>#N/A</v>
      </c>
      <c r="DG317" s="102" t="e">
        <f t="shared" si="487"/>
        <v>#N/A</v>
      </c>
      <c r="DH317" s="414" t="e">
        <f>IF(AND(DD317&gt;NDC!$C$63,DE317&gt;NDC!$C$65,DF317&gt;NDC!$D$73,DG317&gt;NDC!$D$74,$B317&gt;NDC!$H$22-0.1+MIN(3*DH$12,1.5)),0,1)</f>
        <v>#N/A</v>
      </c>
      <c r="DI317" s="86" t="b">
        <f t="shared" si="453"/>
        <v>0</v>
      </c>
      <c r="DJ317" s="86">
        <f t="shared" si="454"/>
        <v>0.5</v>
      </c>
      <c r="DK317" s="86">
        <f t="shared" si="455"/>
        <v>0.5</v>
      </c>
      <c r="DL317" s="30" t="e">
        <f t="shared" ca="1" si="488"/>
        <v>#DIV/0!</v>
      </c>
      <c r="DM317" s="85" t="e">
        <f ca="1">IF(CS317&lt;=Hypothèses!$V$7,Hypothèses!$W$7,IF(CS317&lt;=Hypothèses!$V$8,Hypothèses!$W$8,IF(CS317&lt;=Hypothèses!$V$9,Hypothèses!$W$9,IF(CS317&lt;=Hypothèses!$V$10,Hypothèses!$W$10,IF(CS317&lt;=Hypothèses!$V$11,Hypothèses!$W$11,IF(CS317&lt;=Hypothèses!$V$12,Hypothèses!$W$12,IF(CS317&lt;=Hypothèses!$V$13,Hypothèses!$W$13,IF(CS317&lt;=Hypothèses!$V$14,Hypothèses!$W$14,IF(CS317&lt;=Hypothèses!$V$15,Hypothèses!$W$15,IF(CS317&lt;=Hypothèses!$V$16,Hypothèses!$W$16,IF(CS317&lt;=Hypothèses!$V$17,Hypothèses!$W$17,IF(CS317&lt;=Hypothèses!$V$18,Hypothèses!$W$18,""))))))))))))</f>
        <v>#DIV/0!</v>
      </c>
      <c r="DN317" s="87" t="e">
        <f t="shared" ca="1" si="521"/>
        <v>#DIV/0!</v>
      </c>
      <c r="DO317" s="88" t="e">
        <f ca="1">IF(CS317&lt;=Hypothèses!$V$7,Hypothèses!$X$7,IF(CS317&lt;=Hypothèses!$V$8,Hypothèses!$X$8,IF(CS317&lt;=Hypothèses!$V$9,Hypothèses!$X$9,IF(CS317&lt;=Hypothèses!$V$10,Hypothèses!$X$10,IF(CS317&lt;=Hypothèses!$V$11,Hypothèses!$X$11,IF(CS317&lt;=Hypothèses!$V$12,Hypothèses!$X$12,IF(CS317&lt;=Hypothèses!$V$13,Hypothèses!$X$13,IF(CS317&lt;=Hypothèses!$V$14,Hypothèses!$X$14,IF(CS317&lt;=Hypothèses!$V$15,Hypothèses!$X$15,IF(CS317&lt;=Hypothèses!$V$16,Hypothèses!$X$16,IF(CS317&lt;=Hypothèses!$U$17,Hypothèses!$W$17,IF(CS317&lt;=Hypothèses!$U$18,Hypothèses!$W$18,""))))))))))))</f>
        <v>#DIV/0!</v>
      </c>
      <c r="DP317" s="95" t="e">
        <f t="shared" ca="1" si="489"/>
        <v>#DIV/0!</v>
      </c>
      <c r="DQ317" s="101">
        <f t="shared" si="528"/>
        <v>0</v>
      </c>
      <c r="DR317" s="91">
        <f t="shared" si="456"/>
        <v>0</v>
      </c>
      <c r="DS317" s="30" t="e">
        <f t="shared" si="510"/>
        <v>#N/A</v>
      </c>
      <c r="DT317" s="30" t="e">
        <f t="shared" si="511"/>
        <v>#N/A</v>
      </c>
      <c r="DU317" s="31" t="e">
        <f>IF(OR(Hypothèses!$B$4=17,Hypothèses!$B$4=18,Hypothèses!$B$4=19,Hypothèses!$B$4=20),
IF($D317="Pressio.",
IF(OR($E317=3,$E317=1,$E317=4),DT317,DS317),
IF($D317="Pénétro.",
IF(OR($E317=3,$E317=1,$E317=4),DT317,DS317))),IF($D317="Pressio.",
IF($E317=3,DT317,DS317),
IF($D317="Pénétro.",
IF($E317=4,DT317,DS317))))</f>
        <v>#N/A</v>
      </c>
      <c r="DV317" s="31">
        <v>0</v>
      </c>
      <c r="DW317" s="102" t="e">
        <f>IF(NDC!$H$10="Oui",(VLOOKUP($B$3,'Coeff EC7'!$T$39:$X$59,2,0)*DU317+VLOOKUP($B$3,'Coeff EC7'!$T$65:$X$85,2,0)*Model0.1T!DV317)/1.5,PI()*DS$12*$Q317*($B317-$B316)*0.15/10+DW316)</f>
        <v>#N/A</v>
      </c>
      <c r="DX317" s="102" t="e">
        <f>(VLOOKUP($B$3,'Coeff EC7'!$T$39:$X$59,3,0)*DU317+VLOOKUP($B$3,'Coeff EC7'!$T$65:$X$85,3,0)*Model0.1T!DV317)/1.1</f>
        <v>#N/A</v>
      </c>
      <c r="DY317" s="102" t="e">
        <f t="shared" si="490"/>
        <v>#N/A</v>
      </c>
      <c r="DZ317" s="102" t="e">
        <f t="shared" si="491"/>
        <v>#N/A</v>
      </c>
      <c r="EA317" s="414" t="e">
        <f>IF(AND(DW317&gt;NDC!$C$63,DX317&gt;NDC!$C$65,DY317&gt;NDC!$D$73,DZ317&gt;NDC!$D$74,$B317&gt;NDC!$H$22-0.1+MIN(3*EA$12,1.5)),0,1)</f>
        <v>#N/A</v>
      </c>
      <c r="EB317" s="86" t="b">
        <f t="shared" si="457"/>
        <v>0</v>
      </c>
      <c r="EC317" s="418">
        <f t="shared" si="458"/>
        <v>0.51</v>
      </c>
      <c r="ED317" s="86">
        <f t="shared" si="459"/>
        <v>0.51</v>
      </c>
      <c r="EE317" s="30" t="e">
        <f t="shared" ca="1" si="492"/>
        <v>#DIV/0!</v>
      </c>
      <c r="EF317" s="85" t="e">
        <f ca="1">IF(DL317&lt;=Hypothèses!$V$7,Hypothèses!$W$7,IF(DL317&lt;=Hypothèses!$V$8,Hypothèses!$W$8,IF(DL317&lt;=Hypothèses!$V$9,Hypothèses!$W$9,IF(DL317&lt;=Hypothèses!$V$10,Hypothèses!$W$10,IF(DL317&lt;=Hypothèses!$V$11,Hypothèses!$W$11,IF(DL317&lt;=Hypothèses!$V$12,Hypothèses!$W$12,IF(DL317&lt;=Hypothèses!$V$13,Hypothèses!$W$13,IF(DL317&lt;=Hypothèses!$V$14,Hypothèses!$W$14,IF(DL317&lt;=Hypothèses!$V$15,Hypothèses!$W$15,IF(DL317&lt;=Hypothèses!$V$16,Hypothèses!$W$16,IF(DL317&lt;=Hypothèses!$V$17,Hypothèses!$W$17,IF(DL317&lt;=Hypothèses!$V$18,Hypothèses!$W$18,""))))))))))))</f>
        <v>#DIV/0!</v>
      </c>
      <c r="EG317" s="87" t="e">
        <f t="shared" ca="1" si="522"/>
        <v>#DIV/0!</v>
      </c>
      <c r="EH317" s="88" t="e">
        <f ca="1">IF(DL317&lt;=Hypothèses!$V$7,Hypothèses!$X$7,IF(DL317&lt;=Hypothèses!$V$8,Hypothèses!$X$8,IF(DL317&lt;=Hypothèses!$V$9,Hypothèses!$X$9,IF(DL317&lt;=Hypothèses!$V$10,Hypothèses!$X$10,IF(DL317&lt;=Hypothèses!$V$11,Hypothèses!$X$11,IF(DL317&lt;=Hypothèses!$V$12,Hypothèses!$X$12,IF(DL317&lt;=Hypothèses!$V$13,Hypothèses!$X$13,IF(DL317&lt;=Hypothèses!$V$14,Hypothèses!$X$14,IF(DL317&lt;=Hypothèses!$V$15,Hypothèses!$X$15,IF(DL317&lt;=Hypothèses!$V$16,Hypothèses!$X$16,IF(DL317&lt;=Hypothèses!$U$17,Hypothèses!$W$17,IF(DL317&lt;=Hypothèses!$U$18,Hypothèses!$W$18,""))))))))))))</f>
        <v>#DIV/0!</v>
      </c>
      <c r="EI317" s="95" t="e">
        <f t="shared" ca="1" si="493"/>
        <v>#DIV/0!</v>
      </c>
      <c r="EJ317" s="101">
        <f t="shared" si="529"/>
        <v>0</v>
      </c>
      <c r="EK317" s="91">
        <f t="shared" si="460"/>
        <v>0</v>
      </c>
      <c r="EL317" s="30" t="e">
        <f t="shared" si="512"/>
        <v>#N/A</v>
      </c>
      <c r="EM317" s="30" t="e">
        <f t="shared" si="513"/>
        <v>#N/A</v>
      </c>
      <c r="EN317" s="31" t="e">
        <f>IF(OR(Hypothèses!$B$4=17,Hypothèses!$B$4=18,Hypothèses!$B$4=19,Hypothèses!$B$4=20),
IF($D317="Pressio.",
IF(OR($E317=3,$E317=1,$E317=4),EM317,EL317),
IF($D317="Pénétro.",
IF(OR($E317=3,$E317=1,$E317=4),EM317,EL317))),IF($D317="Pressio.",
IF($E317=3,EM317,EL317),
IF($D317="Pénétro.",
IF($E317=4,EM317,EL317))))</f>
        <v>#N/A</v>
      </c>
      <c r="EO317" s="31">
        <v>0</v>
      </c>
      <c r="EP317" s="102" t="e">
        <f>IF(NDC!$H$10="Oui",(VLOOKUP($B$3,'Coeff EC7'!$T$39:$X$59,2,0)*EN317+VLOOKUP($B$3,'Coeff EC7'!$T$65:$X$85,2,0)*Model0.1T!EO317)/1.5,PI()*EL$12*$Q317*($B317-$B316)*0.15/10+EP316)</f>
        <v>#N/A</v>
      </c>
      <c r="EQ317" s="102" t="e">
        <f>(VLOOKUP($B$3,'Coeff EC7'!$T$39:$X$59,3,0)*EN317+VLOOKUP($B$3,'Coeff EC7'!$T$65:$X$85,3,0)*Model0.1T!EO317)/1.1</f>
        <v>#N/A</v>
      </c>
      <c r="ER317" s="102" t="e">
        <f t="shared" si="494"/>
        <v>#N/A</v>
      </c>
      <c r="ES317" s="102" t="e">
        <f t="shared" si="495"/>
        <v>#N/A</v>
      </c>
      <c r="ET317" s="414" t="e">
        <f>IF(AND(EP317&gt;NDC!$C$63,EQ317&gt;NDC!$C$65,ER317&gt;NDC!$D$73,ES317&gt;NDC!$D$74,$B317&gt;NDC!$H$22-0.1+MIN(3*ET$12,1.5)),0,1)</f>
        <v>#N/A</v>
      </c>
      <c r="EU317" s="86" t="b">
        <f t="shared" si="461"/>
        <v>0</v>
      </c>
      <c r="EV317" s="86">
        <f t="shared" si="462"/>
        <v>0.61</v>
      </c>
      <c r="EW317" s="86">
        <f t="shared" si="463"/>
        <v>0.61</v>
      </c>
      <c r="EX317" s="30" t="e">
        <f t="shared" ca="1" si="496"/>
        <v>#DIV/0!</v>
      </c>
      <c r="EY317" s="85" t="e">
        <f ca="1">IF(EE317&lt;=Hypothèses!$V$7,Hypothèses!$W$7,IF(EE317&lt;=Hypothèses!$V$8,Hypothèses!$W$8,IF(EE317&lt;=Hypothèses!$V$9,Hypothèses!$W$9,IF(EE317&lt;=Hypothèses!$V$10,Hypothèses!$W$10,IF(EE317&lt;=Hypothèses!$V$11,Hypothèses!$W$11,IF(EE317&lt;=Hypothèses!$V$12,Hypothèses!$W$12,IF(EE317&lt;=Hypothèses!$V$13,Hypothèses!$W$13,IF(EE317&lt;=Hypothèses!$V$14,Hypothèses!$W$14,IF(EE317&lt;=Hypothèses!$V$15,Hypothèses!$W$15,IF(EE317&lt;=Hypothèses!$V$16,Hypothèses!$W$16,IF(EE317&lt;=Hypothèses!$V$17,Hypothèses!$W$17,IF(EE317&lt;=Hypothèses!$V$18,Hypothèses!$W$18,""))))))))))))</f>
        <v>#DIV/0!</v>
      </c>
      <c r="EZ317" s="87" t="e">
        <f t="shared" ca="1" si="523"/>
        <v>#DIV/0!</v>
      </c>
      <c r="FA317" s="88" t="e">
        <f ca="1">IF(EE317&lt;=Hypothèses!$V$7,Hypothèses!$X$7,IF(EE317&lt;=Hypothèses!$V$8,Hypothèses!$X$8,IF(EE317&lt;=Hypothèses!$V$9,Hypothèses!$X$9,IF(EE317&lt;=Hypothèses!$V$10,Hypothèses!$X$10,IF(EE317&lt;=Hypothèses!$V$11,Hypothèses!$X$11,IF(EE317&lt;=Hypothèses!$V$12,Hypothèses!$X$12,IF(EE317&lt;=Hypothèses!$V$13,Hypothèses!$X$13,IF(EE317&lt;=Hypothèses!$V$14,Hypothèses!$X$14,IF(EE317&lt;=Hypothèses!$V$15,Hypothèses!$X$15,IF(EE317&lt;=Hypothèses!$V$16,Hypothèses!$X$16,IF(EE317&lt;=Hypothèses!$U$17,Hypothèses!$W$17,IF(EE317&lt;=Hypothèses!$U$18,Hypothèses!$W$18,""))))))))))))</f>
        <v>#DIV/0!</v>
      </c>
      <c r="FB317" s="95" t="e">
        <f t="shared" ca="1" si="497"/>
        <v>#DIV/0!</v>
      </c>
      <c r="FC317" s="101">
        <f t="shared" si="530"/>
        <v>0</v>
      </c>
      <c r="FD317" s="91">
        <f t="shared" si="464"/>
        <v>0</v>
      </c>
      <c r="FE317" s="30" t="e">
        <f t="shared" si="514"/>
        <v>#N/A</v>
      </c>
      <c r="FF317" s="30" t="e">
        <f t="shared" si="515"/>
        <v>#N/A</v>
      </c>
      <c r="FG317" s="31" t="e">
        <f>IF(OR(Hypothèses!$B$4=17,Hypothèses!$B$4=18,Hypothèses!$B$4=19,Hypothèses!$B$4=20),
IF($D317="Pressio.",
IF(OR($E317=3,$E317=1,$E317=4),FF317,FE317),
IF($D317="Pénétro.",
IF(OR($E317=3,$E317=1,$E317=4),FF317,FE317))),IF($D317="Pressio.",
IF($E317=3,FF317,FE317),
IF($D317="Pénétro.",
IF($E317=4,FF317,FE317))))</f>
        <v>#N/A</v>
      </c>
      <c r="FH317" s="31">
        <v>0</v>
      </c>
      <c r="FI317" s="102" t="e">
        <f>IF(NDC!$H$10="Oui",(VLOOKUP($B$3,'Coeff EC7'!$T$39:$X$59,2,0)*FG317+VLOOKUP($B$3,'Coeff EC7'!$T$65:$X$85,2,0)*Model0.1T!FH317)/1.5,PI()*FE$12*$Q317*($B317-$B316)*0.15/10+FI316)</f>
        <v>#N/A</v>
      </c>
      <c r="FJ317" s="102" t="e">
        <f>(VLOOKUP($B$3,'Coeff EC7'!$T$39:$X$59,3,0)*FG317+VLOOKUP($B$3,'Coeff EC7'!$T$65:$X$85,3,0)*Model0.1T!FH317)/1.1</f>
        <v>#N/A</v>
      </c>
      <c r="FK317" s="102" t="e">
        <f t="shared" si="498"/>
        <v>#N/A</v>
      </c>
      <c r="FL317" s="102" t="e">
        <f t="shared" si="499"/>
        <v>#N/A</v>
      </c>
      <c r="FM317" s="414" t="e">
        <f>IF(AND(FI317&gt;NDC!$C$63,FJ317&gt;NDC!$C$65,FK317&gt;NDC!$D$73,FL317&gt;NDC!$D$74,$B317&gt;NDC!$H$22-0.1+MIN(3*FM$12,1.5)),0,1)</f>
        <v>#N/A</v>
      </c>
    </row>
    <row r="318" spans="1:169">
      <c r="A318" s="96">
        <f t="shared" si="465"/>
        <v>69.500000000001734</v>
      </c>
      <c r="B318" s="97">
        <v>30.5</v>
      </c>
      <c r="C318" s="81">
        <f>IF(B318&lt;=Hypothèses!$C$7,Hypothèses!$A$7,IF(B318&lt;=Hypothèses!$C$8,Hypothèses!$A$8,IF(B318&lt;=Hypothèses!$C$9,Hypothèses!$A$9,IF(B318&lt;=Hypothèses!$C$10,Hypothèses!$A$10,IF(B318&lt;=Hypothèses!$C$11,Hypothèses!$A$11,IF(B318&lt;=Hypothèses!$C$12,Hypothèses!$A$12,IF(B318&lt;=Hypothèses!$C$13,Hypothèses!$A$13,IF(B318&lt;=Hypothèses!$C$14,Hypothèses!$A$14,IF(B318&lt;=Hypothèses!$C$15,Hypothèses!$A$15,IF(B318&lt;=Hypothèses!$C$16,Hypothèses!$A$16,IF(B318&lt;=Hypothèses!$C$17,Hypothèses!$A$17,IF(B318&lt;=Hypothèses!$C$18,Hypothèses!$A$18,C317))))))))))))</f>
        <v>11</v>
      </c>
      <c r="D318" s="82" t="str">
        <f>IF(B318&lt;=Hypothèses!$C$7,Hypothèses!$R$7,IF(B318&lt;=Hypothèses!$C$8,Hypothèses!$R$8,IF(B318&lt;=Hypothèses!$C$9,Hypothèses!$R$9,IF(B318&lt;=Hypothèses!$C$10,Hypothèses!$R$10,IF(B318&lt;=Hypothèses!$C$11,Hypothèses!$R$11,IF(B318&lt;=Hypothèses!$C$12,Hypothèses!$R$12,IF(B318&lt;=Hypothèses!$C$13,Hypothèses!$R$13,IF(B318&lt;=Hypothèses!$C$14,Hypothèses!$R$14,IF(B318&lt;=Hypothèses!$C$15,Hypothèses!$R$15,IF(B318&lt;=Hypothèses!$C$16,Hypothèses!$R$16,IF(B318&lt;=Hypothèses!$C$17,Hypothèses!$R$17,IF(B318&lt;=Hypothèses!$C$18,Hypothèses!$R$18,D317))))))))))))</f>
        <v>Pressio.</v>
      </c>
      <c r="E318" s="82" t="e">
        <f>IF(B318&lt;=Hypothèses!$C$7,Hypothèses!$G$7,IF(B318&lt;=Hypothèses!$C$8,Hypothèses!$G$8,IF(B318&lt;=Hypothèses!$C$9,Hypothèses!$G$9,IF(B318&lt;=Hypothèses!$C$10,Hypothèses!$G$10,IF(B318&lt;=Hypothèses!$C$11,Hypothèses!$G$11,IF(B318&lt;=Hypothèses!$C$12,Hypothèses!$G$12,IF(B318&lt;=Hypothèses!$C$13,Hypothèses!$G$13,IF(B318&lt;=Hypothèses!$C$14,Hypothèses!$G$14,IF(B318&lt;=Hypothèses!$C$15,Hypothèses!$G$15,IF(B318&lt;=Hypothèses!$C$16,Hypothèses!$G$16,IF(B318&lt;=Hypothèses!$C$17,Hypothèses!$G$17,IF(B318&lt;=Hypothèses!$C$18,Hypothèses!$G$18,E317))))))))))))</f>
        <v>#N/A</v>
      </c>
      <c r="F318" s="82" t="str">
        <f>IF(B318&lt;=Hypothèses!$C$7,Hypothèses!$F$7,IF(B318&lt;=Hypothèses!$C$8,Hypothèses!$F$8,IF(B318&lt;=Hypothèses!$C$9,Hypothèses!$F$9,IF(B318&lt;=Hypothèses!$C$10,Hypothèses!$F$10,IF(B318&lt;=Hypothèses!$C$11,Hypothèses!$F$11,IF(B318&lt;=Hypothèses!$C$12,Hypothèses!$F$12,IF(B318&lt;=Hypothèses!$C$13,Hypothèses!$F$13,IF(B318&lt;=Hypothèses!$C$14,Hypothèses!$F$14,IF(B318&lt;=Hypothèses!$C$15,Hypothèses!$F$15,IF(B318&lt;=Hypothèses!$C$16,Hypothèses!$F$16,IF(B318&lt;=Hypothèses!$C$17,Hypothèses!$F$17,IF(B318&lt;=Hypothèses!$C$18,Hypothèses!$F$18,F317))))))))))))</f>
        <v/>
      </c>
      <c r="G318" s="91">
        <f t="array" ref="G318">INDEX('Coeff EC7'!$U$7:$X$27,
MATCH(Model0.1T!$B$3,'Coeff EC7'!$T$7:$T$27,0),
MATCH(Model0.1T!$D318&amp;Model0.1T!$B$4,
'Coeff EC7'!$U$6:$X$6&amp;
'Coeff EC7'!$U$5:$X$5,0))</f>
        <v>1.4</v>
      </c>
      <c r="H318" s="91">
        <f t="array" ref="H318">INDEX('Coeff EC7'!$Y$7:$AB$27,
MATCH(Model0.1T!$B$3,'Coeff EC7'!$T$7:$T$27,0),
MATCH(Model0.1T!$D318&amp;Model0.1T!$B$4,
'Coeff EC7'!$Y$6:$AB$6&amp;
'Coeff EC7'!$Y$5:$AB$5,0))</f>
        <v>1.7</v>
      </c>
      <c r="I318" s="83">
        <v>0</v>
      </c>
      <c r="J318" s="91" t="e">
        <f t="array" ref="J318">INDEX('Coeff EC7'!$D$33:$Q$33,1,MATCH(D318&amp;E318,'Coeff EC7'!$D$31:$Q$31&amp;'Coeff EC7'!$D$32:$Q$32,0))</f>
        <v>#N/A</v>
      </c>
      <c r="K318" s="91" t="e">
        <f t="array" ref="K318">INDEX('Coeff EC7'!$D$34:$Q$34,1,MATCH(D318&amp;E318,'Coeff EC7'!$D$31:$Q$31&amp;'Coeff EC7'!$D$32:$Q$32,0))</f>
        <v>#N/A</v>
      </c>
      <c r="L318" s="91" t="e">
        <f t="array" ref="L318">INDEX('Coeff EC7'!$D$35:$Q$35,1,MATCH(D318&amp;E318,'Coeff EC7'!$D$31:$Q$31&amp;'Coeff EC7'!$D$32:$Q$32,0))</f>
        <v>#N/A</v>
      </c>
      <c r="M318" s="98" t="e">
        <f t="shared" si="431"/>
        <v>#N/A</v>
      </c>
      <c r="N318" s="99" t="e">
        <f t="array" ref="N318">INDEX('Coeff EC7'!$D$7:$Q$27,MATCH($B$3,'Coeff EC7'!$C$7:$C$27,0),MATCH(D318&amp;E318,'Coeff EC7'!$D$5:$Q$5&amp;'Coeff EC7'!$D$6:$Q$6,0))</f>
        <v>#N/A</v>
      </c>
      <c r="O318" s="99" t="e">
        <f t="array" ref="O318">INDEX('Coeff EC7'!$D$41:$Q$61,MATCH($B$3,'Coeff EC7'!$C$41:$C$61,0),MATCH(D318&amp;E318,'Coeff EC7'!$D$39:$Q$39&amp;'Coeff EC7'!$D$40:$Q$40,0))</f>
        <v>#N/A</v>
      </c>
      <c r="P318" s="30" t="e">
        <f t="shared" si="466"/>
        <v>#N/A</v>
      </c>
      <c r="Q318" s="100" t="e">
        <f t="shared" si="433"/>
        <v>#N/A</v>
      </c>
      <c r="R318" s="86" t="b">
        <f t="shared" si="434"/>
        <v>0</v>
      </c>
      <c r="S318" s="86">
        <f t="shared" si="432"/>
        <v>0.5</v>
      </c>
      <c r="T318" s="86">
        <f t="shared" si="435"/>
        <v>0.5</v>
      </c>
      <c r="U318" s="30" t="e">
        <f t="shared" ca="1" si="467"/>
        <v>#DIV/0!</v>
      </c>
      <c r="V318" s="85" t="str">
        <f>IF(B318&lt;=Hypothèses!$V$7,Hypothèses!$W$7,IF(B318&lt;=Hypothèses!$V$8,Hypothèses!$W$8,IF(B318&lt;=Hypothèses!$V$9,Hypothèses!$W$9,IF(B318&lt;=Hypothèses!$V$10,Hypothèses!$W$10,IF(B318&lt;=Hypothèses!$V$11,Hypothèses!$W$11,IF(B318&lt;=Hypothèses!$V$12,Hypothèses!$W$12,IF(B318&lt;=Hypothèses!$V$13,Hypothèses!$W$13,IF(B318&lt;=Hypothèses!$V$14,Hypothèses!$W$14,IF(B318&lt;=Hypothèses!$V$15,Hypothèses!$W$15,IF(B318&lt;=Hypothèses!$V$16,Hypothèses!$W$16,IF(B318&lt;=Hypothèses!$V$17,Hypothèses!$W$17,IF(B318&lt;=Hypothèses!$V$18,Hypothèses!$W$18,""))))))))))))</f>
        <v/>
      </c>
      <c r="W318" s="87" t="e">
        <f t="shared" ca="1" si="516"/>
        <v>#DIV/0!</v>
      </c>
      <c r="X318" s="88" t="str">
        <f>IF(B318&lt;=Hypothèses!$V$7,Hypothèses!$X$7,IF(B318&lt;=Hypothèses!$V$8,Hypothèses!$X$8,IF(B318&lt;=Hypothèses!$V$9,Hypothèses!$X$9,IF(B318&lt;=Hypothèses!$V$10,Hypothèses!$X$10,IF(B318&lt;=Hypothèses!$V$11,Hypothèses!$X$11,IF(B318&lt;=Hypothèses!$V$12,Hypothèses!$X$12,IF(B318&lt;=Hypothèses!$V$13,Hypothèses!$X$13,IF(B318&lt;=Hypothèses!$V$14,Hypothèses!$X$14,IF(B318&lt;=Hypothèses!$V$15,Hypothèses!$X$15,IF(B318&lt;=Hypothèses!$V$16,Hypothèses!$X$16,IF(B318&lt;=Hypothèses!$U$17,Hypothèses!$W$17,IF(B318&lt;=Hypothèses!$U$18,Hypothèses!$W$18,""))))))))))))</f>
        <v/>
      </c>
      <c r="Y318" s="95" t="e">
        <f t="shared" ca="1" si="436"/>
        <v>#DIV/0!</v>
      </c>
      <c r="Z318" s="101">
        <f t="shared" si="437"/>
        <v>0</v>
      </c>
      <c r="AA318" s="91">
        <f t="shared" si="438"/>
        <v>0</v>
      </c>
      <c r="AB318" s="30" t="e">
        <f t="shared" si="500"/>
        <v>#N/A</v>
      </c>
      <c r="AC318" s="30" t="e">
        <f t="shared" si="501"/>
        <v>#N/A</v>
      </c>
      <c r="AD318" s="31" t="e">
        <f>IF(OR(Hypothèses!$B$4=17,Hypothèses!$B$4=18,Hypothèses!$B$4=19,Hypothèses!$B$4=20),
IF($D318="Pressio.",
IF(OR($E318=3,$E318=1,$E318=4),AC318,AB318),
IF($D318="Pénétro.",
IF(OR($E318=3,$E318=1,$E318=4),AC318,AB318))),IF($D318="Pressio.",
IF($E318=3,AC318,AB318),
IF($D318="Pénétro.",
IF($E318=4,AC318,AB318))))</f>
        <v>#N/A</v>
      </c>
      <c r="AE318" s="31">
        <v>0</v>
      </c>
      <c r="AF318" s="102" t="e">
        <f>IF(NDC!$H$10="Oui",(VLOOKUP($B$3,'Coeff EC7'!$T$39:$X$59,2,0)*AD318+VLOOKUP($B$3,'Coeff EC7'!$T$65:$X$85,2,0)*Model0.1T!AE318)/1.5,PI()*AB$12*$Q318*($B318-$B317)*0.15/10+AF317)</f>
        <v>#N/A</v>
      </c>
      <c r="AG318" s="102" t="e">
        <f>(VLOOKUP($B$3,'Coeff EC7'!$T$39:$X$59,3,0)*AD318+VLOOKUP($B$3,'Coeff EC7'!$T$65:$X$85,3,0)*Model0.1T!AE318)/1.1</f>
        <v>#N/A</v>
      </c>
      <c r="AH318" s="102" t="e">
        <f t="shared" si="468"/>
        <v>#N/A</v>
      </c>
      <c r="AI318" s="102" t="e">
        <f t="shared" si="469"/>
        <v>#N/A</v>
      </c>
      <c r="AJ318" s="414" t="e">
        <f>IF(AND(AF318&gt;NDC!$C$63,AG318&gt;NDC!$C$65,AH318&gt;NDC!$D$73,AI318&gt;NDC!$D$74,$B318&gt;NDC!$H$22-0.1+MIN(3*$AJ$12,1.5)),0,1)</f>
        <v>#N/A</v>
      </c>
      <c r="AK318" s="86" t="b">
        <f t="shared" si="439"/>
        <v>0</v>
      </c>
      <c r="AL318" s="86">
        <f t="shared" si="470"/>
        <v>0.5</v>
      </c>
      <c r="AM318" s="86">
        <f t="shared" si="440"/>
        <v>0.5</v>
      </c>
      <c r="AN318" s="30" t="e">
        <f t="shared" ca="1" si="471"/>
        <v>#DIV/0!</v>
      </c>
      <c r="AO318" s="85" t="e">
        <f ca="1">IF(U318&lt;=Hypothèses!$V$7,Hypothèses!$W$7,IF(U318&lt;=Hypothèses!$V$8,Hypothèses!$W$8,IF(U318&lt;=Hypothèses!$V$9,Hypothèses!$W$9,IF(U318&lt;=Hypothèses!$V$10,Hypothèses!$W$10,IF(U318&lt;=Hypothèses!$V$11,Hypothèses!$W$11,IF(U318&lt;=Hypothèses!$V$12,Hypothèses!$W$12,IF(U318&lt;=Hypothèses!$V$13,Hypothèses!$W$13,IF(U318&lt;=Hypothèses!$V$14,Hypothèses!$W$14,IF(U318&lt;=Hypothèses!$V$15,Hypothèses!$W$15,IF(U318&lt;=Hypothèses!$V$16,Hypothèses!$W$16,IF(U318&lt;=Hypothèses!$V$17,Hypothèses!$W$17,IF(U318&lt;=Hypothèses!$V$18,Hypothèses!$W$18,""))))))))))))</f>
        <v>#DIV/0!</v>
      </c>
      <c r="AP318" s="87" t="e">
        <f t="shared" ca="1" si="517"/>
        <v>#DIV/0!</v>
      </c>
      <c r="AQ318" s="88" t="e">
        <f ca="1">IF(U318&lt;=Hypothèses!$V$7,Hypothèses!$X$7,IF(U318&lt;=Hypothèses!$V$8,Hypothèses!$X$8,IF(U318&lt;=Hypothèses!$V$9,Hypothèses!$X$9,IF(U318&lt;=Hypothèses!$V$10,Hypothèses!$X$10,IF(U318&lt;=Hypothèses!$V$11,Hypothèses!$X$11,IF(U318&lt;=Hypothèses!$V$12,Hypothèses!$X$12,IF(U318&lt;=Hypothèses!$V$13,Hypothèses!$X$13,IF(U318&lt;=Hypothèses!$V$14,Hypothèses!$X$14,IF(U318&lt;=Hypothèses!$V$15,Hypothèses!$X$15,IF(U318&lt;=Hypothèses!$V$16,Hypothèses!$X$16,IF(U318&lt;=Hypothèses!$U$17,Hypothèses!$W$17,IF(U318&lt;=Hypothèses!$U$18,Hypothèses!$W$18,""))))))))))))</f>
        <v>#DIV/0!</v>
      </c>
      <c r="AR318" s="95" t="e">
        <f t="shared" ca="1" si="472"/>
        <v>#DIV/0!</v>
      </c>
      <c r="AS318" s="101">
        <f t="shared" si="524"/>
        <v>0</v>
      </c>
      <c r="AT318" s="91">
        <f t="shared" si="441"/>
        <v>0</v>
      </c>
      <c r="AU318" s="30" t="e">
        <f t="shared" si="502"/>
        <v>#N/A</v>
      </c>
      <c r="AV318" s="30" t="e">
        <f t="shared" si="503"/>
        <v>#N/A</v>
      </c>
      <c r="AW318" s="31" t="e">
        <f>IF(OR(Hypothèses!$B$4=17,Hypothèses!$B$4=18,Hypothèses!$B$4=19,Hypothèses!$B$4=20),
IF($D318="Pressio.",
IF(OR($E318=3,$E318=1,$E318=4),AV318,AU318),
IF($D318="Pénétro.",
IF(OR($E318=3,$E318=1,$E318=4),AV318,AU318))),IF($D318="Pressio.",
IF($E318=3,AV318,AU318),
IF($D318="Pénétro.",
IF($E318=4,AV318,AU318))))</f>
        <v>#N/A</v>
      </c>
      <c r="AX318" s="31">
        <v>0</v>
      </c>
      <c r="AY318" s="102" t="e">
        <f>IF(NDC!$H$10="Oui",(VLOOKUP($B$3,'Coeff EC7'!$T$39:$X$59,2,0)*AW318+VLOOKUP($B$3,'Coeff EC7'!$T$65:$X$85,2,0)*Model0.1T!AX318)/1.5,PI()*AU$12*$Q318*($B318-$B317)*0.15/10+AY317)</f>
        <v>#N/A</v>
      </c>
      <c r="AZ318" s="102" t="e">
        <f>(VLOOKUP($B$3,'Coeff EC7'!$T$39:$X$59,3,0)*AW318+VLOOKUP($B$3,'Coeff EC7'!$T$65:$X$85,3,0)*Model0.1T!AX318)/1.1</f>
        <v>#N/A</v>
      </c>
      <c r="BA318" s="102" t="e">
        <f t="shared" si="473"/>
        <v>#N/A</v>
      </c>
      <c r="BB318" s="102" t="e">
        <f t="shared" si="474"/>
        <v>#N/A</v>
      </c>
      <c r="BC318" s="414" t="e">
        <f>IF(AND(AY318&gt;NDC!$C$63,AZ318&gt;NDC!$C$65,BA318&gt;NDC!$D$73,BB318&gt;NDC!$D$74,$B318&gt;NDC!$H$22-0.1+MIN(3*BC$12,1.5)),0,1)</f>
        <v>#N/A</v>
      </c>
      <c r="BD318" s="86" t="b">
        <f t="shared" si="442"/>
        <v>0</v>
      </c>
      <c r="BE318" s="86">
        <f t="shared" si="475"/>
        <v>0.5</v>
      </c>
      <c r="BF318" s="86">
        <f t="shared" si="443"/>
        <v>0.5</v>
      </c>
      <c r="BG318" s="30" t="e">
        <f t="shared" ca="1" si="476"/>
        <v>#DIV/0!</v>
      </c>
      <c r="BH318" s="85" t="e">
        <f ca="1">IF(AN318&lt;=Hypothèses!$V$7,Hypothèses!$W$7,IF(AN318&lt;=Hypothèses!$V$8,Hypothèses!$W$8,IF(AN318&lt;=Hypothèses!$V$9,Hypothèses!$W$9,IF(AN318&lt;=Hypothèses!$V$10,Hypothèses!$W$10,IF(AN318&lt;=Hypothèses!$V$11,Hypothèses!$W$11,IF(AN318&lt;=Hypothèses!$V$12,Hypothèses!$W$12,IF(AN318&lt;=Hypothèses!$V$13,Hypothèses!$W$13,IF(AN318&lt;=Hypothèses!$V$14,Hypothèses!$W$14,IF(AN318&lt;=Hypothèses!$V$15,Hypothèses!$W$15,IF(AN318&lt;=Hypothèses!$V$16,Hypothèses!$W$16,IF(AN318&lt;=Hypothèses!$V$17,Hypothèses!$W$17,IF(AN318&lt;=Hypothèses!$V$18,Hypothèses!$W$18,""))))))))))))</f>
        <v>#DIV/0!</v>
      </c>
      <c r="BI318" s="87" t="e">
        <f t="shared" ca="1" si="518"/>
        <v>#DIV/0!</v>
      </c>
      <c r="BJ318" s="88" t="e">
        <f ca="1">IF(AN318&lt;=Hypothèses!$V$7,Hypothèses!$X$7,IF(AN318&lt;=Hypothèses!$V$8,Hypothèses!$X$8,IF(AN318&lt;=Hypothèses!$V$9,Hypothèses!$X$9,IF(AN318&lt;=Hypothèses!$V$10,Hypothèses!$X$10,IF(AN318&lt;=Hypothèses!$V$11,Hypothèses!$X$11,IF(AN318&lt;=Hypothèses!$V$12,Hypothèses!$X$12,IF(AN318&lt;=Hypothèses!$V$13,Hypothèses!$X$13,IF(AN318&lt;=Hypothèses!$V$14,Hypothèses!$X$14,IF(AN318&lt;=Hypothèses!$V$15,Hypothèses!$X$15,IF(AN318&lt;=Hypothèses!$V$16,Hypothèses!$X$16,IF(AN318&lt;=Hypothèses!$U$17,Hypothèses!$W$17,IF(AN318&lt;=Hypothèses!$U$18,Hypothèses!$W$18,""))))))))))))</f>
        <v>#DIV/0!</v>
      </c>
      <c r="BK318" s="95" t="e">
        <f t="shared" ca="1" si="477"/>
        <v>#DIV/0!</v>
      </c>
      <c r="BL318" s="101">
        <f t="shared" si="525"/>
        <v>0</v>
      </c>
      <c r="BM318" s="91">
        <f t="shared" si="444"/>
        <v>0</v>
      </c>
      <c r="BN318" s="30" t="e">
        <f t="shared" si="504"/>
        <v>#N/A</v>
      </c>
      <c r="BO318" s="30" t="e">
        <f t="shared" si="505"/>
        <v>#N/A</v>
      </c>
      <c r="BP318" s="31" t="e">
        <f>IF(OR(Hypothèses!$B$4=17,Hypothèses!$B$4=18,Hypothèses!$B$4=19,Hypothèses!$B$4=20),
IF($D318="Pressio.",
IF(OR($E318=3,$E318=1,$E318=4),BO318,BN318),
IF($D318="Pénétro.",
IF(OR($E318=3,$E318=1,$E318=4),BO318,BN318))),IF($D318="Pressio.",
IF($E318=3,BO318,BN318),
IF($D318="Pénétro.",
IF($E318=4,BO318,BN318))))</f>
        <v>#N/A</v>
      </c>
      <c r="BQ318" s="31">
        <v>0</v>
      </c>
      <c r="BR318" s="102" t="e">
        <f>IF(NDC!$H$10="Oui",(VLOOKUP($B$3,'Coeff EC7'!$T$39:$X$59,2,0)*BP318+VLOOKUP($B$3,'Coeff EC7'!$T$65:$X$85,2,0)*Model0.1T!BQ318)/1.5,PI()*BN$12*$Q318*($B318-$B317)*0.15/10+BR317)</f>
        <v>#N/A</v>
      </c>
      <c r="BS318" s="102" t="e">
        <f>(VLOOKUP($B$3,'Coeff EC7'!$T$39:$X$59,3,0)*BP318+VLOOKUP($B$3,'Coeff EC7'!$T$65:$X$85,3,0)*Model0.1T!BQ318)/1.1</f>
        <v>#N/A</v>
      </c>
      <c r="BT318" s="102" t="e">
        <f t="shared" si="478"/>
        <v>#N/A</v>
      </c>
      <c r="BU318" s="102" t="e">
        <f t="shared" si="479"/>
        <v>#N/A</v>
      </c>
      <c r="BV318" s="414" t="e">
        <f>IF(AND(BR318&gt;NDC!$C$63,BS318&gt;NDC!$C$65,BT318&gt;NDC!$D$73,BU318&gt;NDC!$D$74,$B318&gt;NDC!$H$22-0.1+MIN(3*BV$12,1.5)),0,1)</f>
        <v>#N/A</v>
      </c>
      <c r="BW318" s="86" t="b">
        <f t="shared" si="445"/>
        <v>0</v>
      </c>
      <c r="BX318" s="86">
        <f t="shared" si="446"/>
        <v>0.5</v>
      </c>
      <c r="BY318" s="86">
        <f t="shared" si="447"/>
        <v>0.5</v>
      </c>
      <c r="BZ318" s="30" t="e">
        <f t="shared" ca="1" si="480"/>
        <v>#DIV/0!</v>
      </c>
      <c r="CA318" s="85" t="e">
        <f ca="1">IF(BG318&lt;=Hypothèses!$V$7,Hypothèses!$W$7,IF(BG318&lt;=Hypothèses!$V$8,Hypothèses!$W$8,IF(BG318&lt;=Hypothèses!$V$9,Hypothèses!$W$9,IF(BG318&lt;=Hypothèses!$V$10,Hypothèses!$W$10,IF(BG318&lt;=Hypothèses!$V$11,Hypothèses!$W$11,IF(BG318&lt;=Hypothèses!$V$12,Hypothèses!$W$12,IF(BG318&lt;=Hypothèses!$V$13,Hypothèses!$W$13,IF(BG318&lt;=Hypothèses!$V$14,Hypothèses!$W$14,IF(BG318&lt;=Hypothèses!$V$15,Hypothèses!$W$15,IF(BG318&lt;=Hypothèses!$V$16,Hypothèses!$W$16,IF(BG318&lt;=Hypothèses!$V$17,Hypothèses!$W$17,IF(BG318&lt;=Hypothèses!$V$18,Hypothèses!$W$18,""))))))))))))</f>
        <v>#DIV/0!</v>
      </c>
      <c r="CB318" s="87" t="e">
        <f t="shared" ca="1" si="519"/>
        <v>#DIV/0!</v>
      </c>
      <c r="CC318" s="88" t="e">
        <f ca="1">IF(BG318&lt;=Hypothèses!$V$7,Hypothèses!$X$7,IF(BG318&lt;=Hypothèses!$V$8,Hypothèses!$X$8,IF(BG318&lt;=Hypothèses!$V$9,Hypothèses!$X$9,IF(BG318&lt;=Hypothèses!$V$10,Hypothèses!$X$10,IF(BG318&lt;=Hypothèses!$V$11,Hypothèses!$X$11,IF(BG318&lt;=Hypothèses!$V$12,Hypothèses!$X$12,IF(BG318&lt;=Hypothèses!$V$13,Hypothèses!$X$13,IF(BG318&lt;=Hypothèses!$V$14,Hypothèses!$X$14,IF(BG318&lt;=Hypothèses!$V$15,Hypothèses!$X$15,IF(BG318&lt;=Hypothèses!$V$16,Hypothèses!$X$16,IF(BG318&lt;=Hypothèses!$U$17,Hypothèses!$W$17,IF(BG318&lt;=Hypothèses!$U$18,Hypothèses!$W$18,""))))))))))))</f>
        <v>#DIV/0!</v>
      </c>
      <c r="CD318" s="95" t="e">
        <f t="shared" ca="1" si="481"/>
        <v>#DIV/0!</v>
      </c>
      <c r="CE318" s="101">
        <f t="shared" si="526"/>
        <v>0</v>
      </c>
      <c r="CF318" s="91">
        <f t="shared" si="448"/>
        <v>0</v>
      </c>
      <c r="CG318" s="30" t="e">
        <f t="shared" si="506"/>
        <v>#N/A</v>
      </c>
      <c r="CH318" s="30" t="e">
        <f t="shared" si="507"/>
        <v>#N/A</v>
      </c>
      <c r="CI318" s="31" t="e">
        <f>IF(OR(Hypothèses!$B$4=17,Hypothèses!$B$4=18,Hypothèses!$B$4=19,Hypothèses!$B$4=20),
IF($D318="Pressio.",
IF(OR($E318=3,$E318=1,$E318=4),CH318,CG318),
IF($D318="Pénétro.",
IF(OR($E318=3,$E318=1,$E318=4),CH318,CG318))),IF($D318="Pressio.",
IF($E318=3,CH318,CG318),
IF($D318="Pénétro.",
IF($E318=4,CH318,CG318))))</f>
        <v>#N/A</v>
      </c>
      <c r="CJ318" s="31">
        <v>0</v>
      </c>
      <c r="CK318" s="102" t="e">
        <f>IF(NDC!$H$10="Oui",(VLOOKUP($B$3,'Coeff EC7'!$T$39:$X$59,2,0)*CI318+VLOOKUP($B$3,'Coeff EC7'!$T$65:$X$85,2,0)*Model0.1T!CJ318)/1.5,PI()*CG$12*$Q318*($B318-$B317)*0.15/10+CK317)</f>
        <v>#N/A</v>
      </c>
      <c r="CL318" s="102" t="e">
        <f>(VLOOKUP($B$3,'Coeff EC7'!$T$39:$X$59,3,0)*CI318+VLOOKUP($B$3,'Coeff EC7'!$T$65:$X$85,3,0)*Model0.1T!CJ318)/1.1</f>
        <v>#N/A</v>
      </c>
      <c r="CM318" s="102" t="e">
        <f t="shared" si="482"/>
        <v>#N/A</v>
      </c>
      <c r="CN318" s="102" t="e">
        <f t="shared" si="483"/>
        <v>#N/A</v>
      </c>
      <c r="CO318" s="414" t="e">
        <f>IF(AND(CK318&gt;NDC!$C$63,CL318&gt;NDC!$C$65,CM318&gt;NDC!$D$73,CN318&gt;NDC!$D$74,$B318&gt;NDC!$H$22-0.1+MIN(3*CO$12,1.5)),0,1)</f>
        <v>#N/A</v>
      </c>
      <c r="CP318" s="86" t="b">
        <f t="shared" si="449"/>
        <v>0</v>
      </c>
      <c r="CQ318" s="86">
        <f t="shared" si="450"/>
        <v>0.5</v>
      </c>
      <c r="CR318" s="86">
        <f t="shared" si="451"/>
        <v>0.5</v>
      </c>
      <c r="CS318" s="30" t="e">
        <f t="shared" ca="1" si="484"/>
        <v>#DIV/0!</v>
      </c>
      <c r="CT318" s="85" t="e">
        <f ca="1">IF(BZ318&lt;=Hypothèses!$V$7,Hypothèses!$W$7,IF(BZ318&lt;=Hypothèses!$V$8,Hypothèses!$W$8,IF(BZ318&lt;=Hypothèses!$V$9,Hypothèses!$W$9,IF(BZ318&lt;=Hypothèses!$V$10,Hypothèses!$W$10,IF(BZ318&lt;=Hypothèses!$V$11,Hypothèses!$W$11,IF(BZ318&lt;=Hypothèses!$V$12,Hypothèses!$W$12,IF(BZ318&lt;=Hypothèses!$V$13,Hypothèses!$W$13,IF(BZ318&lt;=Hypothèses!$V$14,Hypothèses!$W$14,IF(BZ318&lt;=Hypothèses!$V$15,Hypothèses!$W$15,IF(BZ318&lt;=Hypothèses!$V$16,Hypothèses!$W$16,IF(BZ318&lt;=Hypothèses!$V$17,Hypothèses!$W$17,IF(BZ318&lt;=Hypothèses!$V$18,Hypothèses!$W$18,""))))))))))))</f>
        <v>#DIV/0!</v>
      </c>
      <c r="CU318" s="87" t="e">
        <f t="shared" ca="1" si="520"/>
        <v>#DIV/0!</v>
      </c>
      <c r="CV318" s="88" t="e">
        <f ca="1">IF(BZ318&lt;=Hypothèses!$V$7,Hypothèses!$X$7,IF(BZ318&lt;=Hypothèses!$V$8,Hypothèses!$X$8,IF(BZ318&lt;=Hypothèses!$V$9,Hypothèses!$X$9,IF(BZ318&lt;=Hypothèses!$V$10,Hypothèses!$X$10,IF(BZ318&lt;=Hypothèses!$V$11,Hypothèses!$X$11,IF(BZ318&lt;=Hypothèses!$V$12,Hypothèses!$X$12,IF(BZ318&lt;=Hypothèses!$V$13,Hypothèses!$X$13,IF(BZ318&lt;=Hypothèses!$V$14,Hypothèses!$X$14,IF(BZ318&lt;=Hypothèses!$V$15,Hypothèses!$X$15,IF(BZ318&lt;=Hypothèses!$V$16,Hypothèses!$X$16,IF(BZ318&lt;=Hypothèses!$U$17,Hypothèses!$W$17,IF(BZ318&lt;=Hypothèses!$U$18,Hypothèses!$W$18,""))))))))))))</f>
        <v>#DIV/0!</v>
      </c>
      <c r="CW318" s="95" t="e">
        <f t="shared" ca="1" si="485"/>
        <v>#DIV/0!</v>
      </c>
      <c r="CX318" s="101">
        <f t="shared" si="527"/>
        <v>0</v>
      </c>
      <c r="CY318" s="91">
        <f t="shared" si="452"/>
        <v>0</v>
      </c>
      <c r="CZ318" s="30" t="e">
        <f t="shared" si="508"/>
        <v>#N/A</v>
      </c>
      <c r="DA318" s="30" t="e">
        <f t="shared" si="509"/>
        <v>#N/A</v>
      </c>
      <c r="DB318" s="31" t="e">
        <f>IF(OR(Hypothèses!$B$4=17,Hypothèses!$B$4=18,Hypothèses!$B$4=19,Hypothèses!$B$4=20),
IF($D318="Pressio.",
IF(OR($E318=3,$E318=1,$E318=4),DA318,CZ318),
IF($D318="Pénétro.",
IF(OR($E318=3,$E318=1,$E318=4),DA318,CZ318))),IF($D318="Pressio.",
IF($E318=3,DA318,CZ318),
IF($D318="Pénétro.",
IF($E318=4,DA318,CZ318))))</f>
        <v>#N/A</v>
      </c>
      <c r="DC318" s="31">
        <v>0</v>
      </c>
      <c r="DD318" s="102" t="e">
        <f>IF(NDC!$H$10="Oui",(VLOOKUP($B$3,'Coeff EC7'!$T$39:$X$59,2,0)*DB318+VLOOKUP($B$3,'Coeff EC7'!$T$65:$X$85,2,0)*Model0.1T!DC318)/1.5,PI()*CZ$12*$Q318*($B318-$B317)*0.15/10+DD317)</f>
        <v>#N/A</v>
      </c>
      <c r="DE318" s="102" t="e">
        <f>(VLOOKUP($B$3,'Coeff EC7'!$T$39:$X$59,3,0)*DB318+VLOOKUP($B$3,'Coeff EC7'!$T$65:$X$85,3,0)*Model0.1T!DC318)/1.1</f>
        <v>#N/A</v>
      </c>
      <c r="DF318" s="102" t="e">
        <f t="shared" si="486"/>
        <v>#N/A</v>
      </c>
      <c r="DG318" s="102" t="e">
        <f t="shared" si="487"/>
        <v>#N/A</v>
      </c>
      <c r="DH318" s="414" t="e">
        <f>IF(AND(DD318&gt;NDC!$C$63,DE318&gt;NDC!$C$65,DF318&gt;NDC!$D$73,DG318&gt;NDC!$D$74,$B318&gt;NDC!$H$22-0.1+MIN(3*DH$12,1.5)),0,1)</f>
        <v>#N/A</v>
      </c>
      <c r="DI318" s="86" t="b">
        <f t="shared" si="453"/>
        <v>0</v>
      </c>
      <c r="DJ318" s="86">
        <f t="shared" si="454"/>
        <v>0.5</v>
      </c>
      <c r="DK318" s="86">
        <f t="shared" si="455"/>
        <v>0.5</v>
      </c>
      <c r="DL318" s="30" t="e">
        <f t="shared" ca="1" si="488"/>
        <v>#DIV/0!</v>
      </c>
      <c r="DM318" s="85" t="e">
        <f ca="1">IF(CS318&lt;=Hypothèses!$V$7,Hypothèses!$W$7,IF(CS318&lt;=Hypothèses!$V$8,Hypothèses!$W$8,IF(CS318&lt;=Hypothèses!$V$9,Hypothèses!$W$9,IF(CS318&lt;=Hypothèses!$V$10,Hypothèses!$W$10,IF(CS318&lt;=Hypothèses!$V$11,Hypothèses!$W$11,IF(CS318&lt;=Hypothèses!$V$12,Hypothèses!$W$12,IF(CS318&lt;=Hypothèses!$V$13,Hypothèses!$W$13,IF(CS318&lt;=Hypothèses!$V$14,Hypothèses!$W$14,IF(CS318&lt;=Hypothèses!$V$15,Hypothèses!$W$15,IF(CS318&lt;=Hypothèses!$V$16,Hypothèses!$W$16,IF(CS318&lt;=Hypothèses!$V$17,Hypothèses!$W$17,IF(CS318&lt;=Hypothèses!$V$18,Hypothèses!$W$18,""))))))))))))</f>
        <v>#DIV/0!</v>
      </c>
      <c r="DN318" s="87" t="e">
        <f t="shared" ca="1" si="521"/>
        <v>#DIV/0!</v>
      </c>
      <c r="DO318" s="88" t="e">
        <f ca="1">IF(CS318&lt;=Hypothèses!$V$7,Hypothèses!$X$7,IF(CS318&lt;=Hypothèses!$V$8,Hypothèses!$X$8,IF(CS318&lt;=Hypothèses!$V$9,Hypothèses!$X$9,IF(CS318&lt;=Hypothèses!$V$10,Hypothèses!$X$10,IF(CS318&lt;=Hypothèses!$V$11,Hypothèses!$X$11,IF(CS318&lt;=Hypothèses!$V$12,Hypothèses!$X$12,IF(CS318&lt;=Hypothèses!$V$13,Hypothèses!$X$13,IF(CS318&lt;=Hypothèses!$V$14,Hypothèses!$X$14,IF(CS318&lt;=Hypothèses!$V$15,Hypothèses!$X$15,IF(CS318&lt;=Hypothèses!$V$16,Hypothèses!$X$16,IF(CS318&lt;=Hypothèses!$U$17,Hypothèses!$W$17,IF(CS318&lt;=Hypothèses!$U$18,Hypothèses!$W$18,""))))))))))))</f>
        <v>#DIV/0!</v>
      </c>
      <c r="DP318" s="95" t="e">
        <f t="shared" ca="1" si="489"/>
        <v>#DIV/0!</v>
      </c>
      <c r="DQ318" s="101">
        <f t="shared" si="528"/>
        <v>0</v>
      </c>
      <c r="DR318" s="91">
        <f t="shared" si="456"/>
        <v>0</v>
      </c>
      <c r="DS318" s="30" t="e">
        <f t="shared" si="510"/>
        <v>#N/A</v>
      </c>
      <c r="DT318" s="30" t="e">
        <f t="shared" si="511"/>
        <v>#N/A</v>
      </c>
      <c r="DU318" s="31" t="e">
        <f>IF(OR(Hypothèses!$B$4=17,Hypothèses!$B$4=18,Hypothèses!$B$4=19,Hypothèses!$B$4=20),
IF($D318="Pressio.",
IF(OR($E318=3,$E318=1,$E318=4),DT318,DS318),
IF($D318="Pénétro.",
IF(OR($E318=3,$E318=1,$E318=4),DT318,DS318))),IF($D318="Pressio.",
IF($E318=3,DT318,DS318),
IF($D318="Pénétro.",
IF($E318=4,DT318,DS318))))</f>
        <v>#N/A</v>
      </c>
      <c r="DV318" s="31">
        <v>0</v>
      </c>
      <c r="DW318" s="102" t="e">
        <f>IF(NDC!$H$10="Oui",(VLOOKUP($B$3,'Coeff EC7'!$T$39:$X$59,2,0)*DU318+VLOOKUP($B$3,'Coeff EC7'!$T$65:$X$85,2,0)*Model0.1T!DV318)/1.5,PI()*DS$12*$Q318*($B318-$B317)*0.15/10+DW317)</f>
        <v>#N/A</v>
      </c>
      <c r="DX318" s="102" t="e">
        <f>(VLOOKUP($B$3,'Coeff EC7'!$T$39:$X$59,3,0)*DU318+VLOOKUP($B$3,'Coeff EC7'!$T$65:$X$85,3,0)*Model0.1T!DV318)/1.1</f>
        <v>#N/A</v>
      </c>
      <c r="DY318" s="102" t="e">
        <f t="shared" si="490"/>
        <v>#N/A</v>
      </c>
      <c r="DZ318" s="102" t="e">
        <f t="shared" si="491"/>
        <v>#N/A</v>
      </c>
      <c r="EA318" s="414" t="e">
        <f>IF(AND(DW318&gt;NDC!$C$63,DX318&gt;NDC!$C$65,DY318&gt;NDC!$D$73,DZ318&gt;NDC!$D$74,$B318&gt;NDC!$H$22-0.1+MIN(3*EA$12,1.5)),0,1)</f>
        <v>#N/A</v>
      </c>
      <c r="EB318" s="86" t="b">
        <f t="shared" si="457"/>
        <v>0</v>
      </c>
      <c r="EC318" s="418">
        <f t="shared" si="458"/>
        <v>0.51</v>
      </c>
      <c r="ED318" s="86">
        <f t="shared" si="459"/>
        <v>0.51</v>
      </c>
      <c r="EE318" s="30" t="e">
        <f t="shared" ca="1" si="492"/>
        <v>#DIV/0!</v>
      </c>
      <c r="EF318" s="85" t="e">
        <f ca="1">IF(DL318&lt;=Hypothèses!$V$7,Hypothèses!$W$7,IF(DL318&lt;=Hypothèses!$V$8,Hypothèses!$W$8,IF(DL318&lt;=Hypothèses!$V$9,Hypothèses!$W$9,IF(DL318&lt;=Hypothèses!$V$10,Hypothèses!$W$10,IF(DL318&lt;=Hypothèses!$V$11,Hypothèses!$W$11,IF(DL318&lt;=Hypothèses!$V$12,Hypothèses!$W$12,IF(DL318&lt;=Hypothèses!$V$13,Hypothèses!$W$13,IF(DL318&lt;=Hypothèses!$V$14,Hypothèses!$W$14,IF(DL318&lt;=Hypothèses!$V$15,Hypothèses!$W$15,IF(DL318&lt;=Hypothèses!$V$16,Hypothèses!$W$16,IF(DL318&lt;=Hypothèses!$V$17,Hypothèses!$W$17,IF(DL318&lt;=Hypothèses!$V$18,Hypothèses!$W$18,""))))))))))))</f>
        <v>#DIV/0!</v>
      </c>
      <c r="EG318" s="87" t="e">
        <f t="shared" ca="1" si="522"/>
        <v>#DIV/0!</v>
      </c>
      <c r="EH318" s="88" t="e">
        <f ca="1">IF(DL318&lt;=Hypothèses!$V$7,Hypothèses!$X$7,IF(DL318&lt;=Hypothèses!$V$8,Hypothèses!$X$8,IF(DL318&lt;=Hypothèses!$V$9,Hypothèses!$X$9,IF(DL318&lt;=Hypothèses!$V$10,Hypothèses!$X$10,IF(DL318&lt;=Hypothèses!$V$11,Hypothèses!$X$11,IF(DL318&lt;=Hypothèses!$V$12,Hypothèses!$X$12,IF(DL318&lt;=Hypothèses!$V$13,Hypothèses!$X$13,IF(DL318&lt;=Hypothèses!$V$14,Hypothèses!$X$14,IF(DL318&lt;=Hypothèses!$V$15,Hypothèses!$X$15,IF(DL318&lt;=Hypothèses!$V$16,Hypothèses!$X$16,IF(DL318&lt;=Hypothèses!$U$17,Hypothèses!$W$17,IF(DL318&lt;=Hypothèses!$U$18,Hypothèses!$W$18,""))))))))))))</f>
        <v>#DIV/0!</v>
      </c>
      <c r="EI318" s="95" t="e">
        <f t="shared" ca="1" si="493"/>
        <v>#DIV/0!</v>
      </c>
      <c r="EJ318" s="101">
        <f t="shared" si="529"/>
        <v>0</v>
      </c>
      <c r="EK318" s="91">
        <f t="shared" si="460"/>
        <v>0</v>
      </c>
      <c r="EL318" s="30" t="e">
        <f t="shared" si="512"/>
        <v>#N/A</v>
      </c>
      <c r="EM318" s="30" t="e">
        <f t="shared" si="513"/>
        <v>#N/A</v>
      </c>
      <c r="EN318" s="31" t="e">
        <f>IF(OR(Hypothèses!$B$4=17,Hypothèses!$B$4=18,Hypothèses!$B$4=19,Hypothèses!$B$4=20),
IF($D318="Pressio.",
IF(OR($E318=3,$E318=1,$E318=4),EM318,EL318),
IF($D318="Pénétro.",
IF(OR($E318=3,$E318=1,$E318=4),EM318,EL318))),IF($D318="Pressio.",
IF($E318=3,EM318,EL318),
IF($D318="Pénétro.",
IF($E318=4,EM318,EL318))))</f>
        <v>#N/A</v>
      </c>
      <c r="EO318" s="31">
        <v>0</v>
      </c>
      <c r="EP318" s="102" t="e">
        <f>IF(NDC!$H$10="Oui",(VLOOKUP($B$3,'Coeff EC7'!$T$39:$X$59,2,0)*EN318+VLOOKUP($B$3,'Coeff EC7'!$T$65:$X$85,2,0)*Model0.1T!EO318)/1.5,PI()*EL$12*$Q318*($B318-$B317)*0.15/10+EP317)</f>
        <v>#N/A</v>
      </c>
      <c r="EQ318" s="102" t="e">
        <f>(VLOOKUP($B$3,'Coeff EC7'!$T$39:$X$59,3,0)*EN318+VLOOKUP($B$3,'Coeff EC7'!$T$65:$X$85,3,0)*Model0.1T!EO318)/1.1</f>
        <v>#N/A</v>
      </c>
      <c r="ER318" s="102" t="e">
        <f t="shared" si="494"/>
        <v>#N/A</v>
      </c>
      <c r="ES318" s="102" t="e">
        <f t="shared" si="495"/>
        <v>#N/A</v>
      </c>
      <c r="ET318" s="414" t="e">
        <f>IF(AND(EP318&gt;NDC!$C$63,EQ318&gt;NDC!$C$65,ER318&gt;NDC!$D$73,ES318&gt;NDC!$D$74,$B318&gt;NDC!$H$22-0.1+MIN(3*ET$12,1.5)),0,1)</f>
        <v>#N/A</v>
      </c>
      <c r="EU318" s="86" t="b">
        <f t="shared" si="461"/>
        <v>0</v>
      </c>
      <c r="EV318" s="86">
        <f t="shared" si="462"/>
        <v>0.61</v>
      </c>
      <c r="EW318" s="86">
        <f t="shared" si="463"/>
        <v>0.61</v>
      </c>
      <c r="EX318" s="30" t="e">
        <f t="shared" ca="1" si="496"/>
        <v>#DIV/0!</v>
      </c>
      <c r="EY318" s="85" t="e">
        <f ca="1">IF(EE318&lt;=Hypothèses!$V$7,Hypothèses!$W$7,IF(EE318&lt;=Hypothèses!$V$8,Hypothèses!$W$8,IF(EE318&lt;=Hypothèses!$V$9,Hypothèses!$W$9,IF(EE318&lt;=Hypothèses!$V$10,Hypothèses!$W$10,IF(EE318&lt;=Hypothèses!$V$11,Hypothèses!$W$11,IF(EE318&lt;=Hypothèses!$V$12,Hypothèses!$W$12,IF(EE318&lt;=Hypothèses!$V$13,Hypothèses!$W$13,IF(EE318&lt;=Hypothèses!$V$14,Hypothèses!$W$14,IF(EE318&lt;=Hypothèses!$V$15,Hypothèses!$W$15,IF(EE318&lt;=Hypothèses!$V$16,Hypothèses!$W$16,IF(EE318&lt;=Hypothèses!$V$17,Hypothèses!$W$17,IF(EE318&lt;=Hypothèses!$V$18,Hypothèses!$W$18,""))))))))))))</f>
        <v>#DIV/0!</v>
      </c>
      <c r="EZ318" s="87" t="e">
        <f t="shared" ca="1" si="523"/>
        <v>#DIV/0!</v>
      </c>
      <c r="FA318" s="88" t="e">
        <f ca="1">IF(EE318&lt;=Hypothèses!$V$7,Hypothèses!$X$7,IF(EE318&lt;=Hypothèses!$V$8,Hypothèses!$X$8,IF(EE318&lt;=Hypothèses!$V$9,Hypothèses!$X$9,IF(EE318&lt;=Hypothèses!$V$10,Hypothèses!$X$10,IF(EE318&lt;=Hypothèses!$V$11,Hypothèses!$X$11,IF(EE318&lt;=Hypothèses!$V$12,Hypothèses!$X$12,IF(EE318&lt;=Hypothèses!$V$13,Hypothèses!$X$13,IF(EE318&lt;=Hypothèses!$V$14,Hypothèses!$X$14,IF(EE318&lt;=Hypothèses!$V$15,Hypothèses!$X$15,IF(EE318&lt;=Hypothèses!$V$16,Hypothèses!$X$16,IF(EE318&lt;=Hypothèses!$U$17,Hypothèses!$W$17,IF(EE318&lt;=Hypothèses!$U$18,Hypothèses!$W$18,""))))))))))))</f>
        <v>#DIV/0!</v>
      </c>
      <c r="FB318" s="95" t="e">
        <f t="shared" ca="1" si="497"/>
        <v>#DIV/0!</v>
      </c>
      <c r="FC318" s="101">
        <f t="shared" si="530"/>
        <v>0</v>
      </c>
      <c r="FD318" s="91">
        <f t="shared" si="464"/>
        <v>0</v>
      </c>
      <c r="FE318" s="30" t="e">
        <f t="shared" si="514"/>
        <v>#N/A</v>
      </c>
      <c r="FF318" s="30" t="e">
        <f t="shared" si="515"/>
        <v>#N/A</v>
      </c>
      <c r="FG318" s="31" t="e">
        <f>IF(OR(Hypothèses!$B$4=17,Hypothèses!$B$4=18,Hypothèses!$B$4=19,Hypothèses!$B$4=20),
IF($D318="Pressio.",
IF(OR($E318=3,$E318=1,$E318=4),FF318,FE318),
IF($D318="Pénétro.",
IF(OR($E318=3,$E318=1,$E318=4),FF318,FE318))),IF($D318="Pressio.",
IF($E318=3,FF318,FE318),
IF($D318="Pénétro.",
IF($E318=4,FF318,FE318))))</f>
        <v>#N/A</v>
      </c>
      <c r="FH318" s="31">
        <v>0</v>
      </c>
      <c r="FI318" s="102" t="e">
        <f>IF(NDC!$H$10="Oui",(VLOOKUP($B$3,'Coeff EC7'!$T$39:$X$59,2,0)*FG318+VLOOKUP($B$3,'Coeff EC7'!$T$65:$X$85,2,0)*Model0.1T!FH318)/1.5,PI()*FE$12*$Q318*($B318-$B317)*0.15/10+FI317)</f>
        <v>#N/A</v>
      </c>
      <c r="FJ318" s="102" t="e">
        <f>(VLOOKUP($B$3,'Coeff EC7'!$T$39:$X$59,3,0)*FG318+VLOOKUP($B$3,'Coeff EC7'!$T$65:$X$85,3,0)*Model0.1T!FH318)/1.1</f>
        <v>#N/A</v>
      </c>
      <c r="FK318" s="102" t="e">
        <f t="shared" si="498"/>
        <v>#N/A</v>
      </c>
      <c r="FL318" s="102" t="e">
        <f t="shared" si="499"/>
        <v>#N/A</v>
      </c>
      <c r="FM318" s="414" t="e">
        <f>IF(AND(FI318&gt;NDC!$C$63,FJ318&gt;NDC!$C$65,FK318&gt;NDC!$D$73,FL318&gt;NDC!$D$74,$B318&gt;NDC!$H$22-0.1+MIN(3*FM$12,1.5)),0,1)</f>
        <v>#N/A</v>
      </c>
    </row>
    <row r="319" spans="1:169">
      <c r="A319" s="96">
        <f t="shared" si="465"/>
        <v>69.400000000001739</v>
      </c>
      <c r="B319" s="97">
        <v>30.6</v>
      </c>
      <c r="C319" s="81">
        <f>IF(B319&lt;=Hypothèses!$C$7,Hypothèses!$A$7,IF(B319&lt;=Hypothèses!$C$8,Hypothèses!$A$8,IF(B319&lt;=Hypothèses!$C$9,Hypothèses!$A$9,IF(B319&lt;=Hypothèses!$C$10,Hypothèses!$A$10,IF(B319&lt;=Hypothèses!$C$11,Hypothèses!$A$11,IF(B319&lt;=Hypothèses!$C$12,Hypothèses!$A$12,IF(B319&lt;=Hypothèses!$C$13,Hypothèses!$A$13,IF(B319&lt;=Hypothèses!$C$14,Hypothèses!$A$14,IF(B319&lt;=Hypothèses!$C$15,Hypothèses!$A$15,IF(B319&lt;=Hypothèses!$C$16,Hypothèses!$A$16,IF(B319&lt;=Hypothèses!$C$17,Hypothèses!$A$17,IF(B319&lt;=Hypothèses!$C$18,Hypothèses!$A$18,C318))))))))))))</f>
        <v>11</v>
      </c>
      <c r="D319" s="82" t="str">
        <f>IF(B319&lt;=Hypothèses!$C$7,Hypothèses!$R$7,IF(B319&lt;=Hypothèses!$C$8,Hypothèses!$R$8,IF(B319&lt;=Hypothèses!$C$9,Hypothèses!$R$9,IF(B319&lt;=Hypothèses!$C$10,Hypothèses!$R$10,IF(B319&lt;=Hypothèses!$C$11,Hypothèses!$R$11,IF(B319&lt;=Hypothèses!$C$12,Hypothèses!$R$12,IF(B319&lt;=Hypothèses!$C$13,Hypothèses!$R$13,IF(B319&lt;=Hypothèses!$C$14,Hypothèses!$R$14,IF(B319&lt;=Hypothèses!$C$15,Hypothèses!$R$15,IF(B319&lt;=Hypothèses!$C$16,Hypothèses!$R$16,IF(B319&lt;=Hypothèses!$C$17,Hypothèses!$R$17,IF(B319&lt;=Hypothèses!$C$18,Hypothèses!$R$18,D318))))))))))))</f>
        <v>Pressio.</v>
      </c>
      <c r="E319" s="82" t="e">
        <f>IF(B319&lt;=Hypothèses!$C$7,Hypothèses!$G$7,IF(B319&lt;=Hypothèses!$C$8,Hypothèses!$G$8,IF(B319&lt;=Hypothèses!$C$9,Hypothèses!$G$9,IF(B319&lt;=Hypothèses!$C$10,Hypothèses!$G$10,IF(B319&lt;=Hypothèses!$C$11,Hypothèses!$G$11,IF(B319&lt;=Hypothèses!$C$12,Hypothèses!$G$12,IF(B319&lt;=Hypothèses!$C$13,Hypothèses!$G$13,IF(B319&lt;=Hypothèses!$C$14,Hypothèses!$G$14,IF(B319&lt;=Hypothèses!$C$15,Hypothèses!$G$15,IF(B319&lt;=Hypothèses!$C$16,Hypothèses!$G$16,IF(B319&lt;=Hypothèses!$C$17,Hypothèses!$G$17,IF(B319&lt;=Hypothèses!$C$18,Hypothèses!$G$18,E318))))))))))))</f>
        <v>#N/A</v>
      </c>
      <c r="F319" s="82" t="str">
        <f>IF(B319&lt;=Hypothèses!$C$7,Hypothèses!$F$7,IF(B319&lt;=Hypothèses!$C$8,Hypothèses!$F$8,IF(B319&lt;=Hypothèses!$C$9,Hypothèses!$F$9,IF(B319&lt;=Hypothèses!$C$10,Hypothèses!$F$10,IF(B319&lt;=Hypothèses!$C$11,Hypothèses!$F$11,IF(B319&lt;=Hypothèses!$C$12,Hypothèses!$F$12,IF(B319&lt;=Hypothèses!$C$13,Hypothèses!$F$13,IF(B319&lt;=Hypothèses!$C$14,Hypothèses!$F$14,IF(B319&lt;=Hypothèses!$C$15,Hypothèses!$F$15,IF(B319&lt;=Hypothèses!$C$16,Hypothèses!$F$16,IF(B319&lt;=Hypothèses!$C$17,Hypothèses!$F$17,IF(B319&lt;=Hypothèses!$C$18,Hypothèses!$F$18,F318))))))))))))</f>
        <v/>
      </c>
      <c r="G319" s="91">
        <f t="array" ref="G319">INDEX('Coeff EC7'!$U$7:$X$27,
MATCH(Model0.1T!$B$3,'Coeff EC7'!$T$7:$T$27,0),
MATCH(Model0.1T!$D319&amp;Model0.1T!$B$4,
'Coeff EC7'!$U$6:$X$6&amp;
'Coeff EC7'!$U$5:$X$5,0))</f>
        <v>1.4</v>
      </c>
      <c r="H319" s="91">
        <f t="array" ref="H319">INDEX('Coeff EC7'!$Y$7:$AB$27,
MATCH(Model0.1T!$B$3,'Coeff EC7'!$T$7:$T$27,0),
MATCH(Model0.1T!$D319&amp;Model0.1T!$B$4,
'Coeff EC7'!$Y$6:$AB$6&amp;
'Coeff EC7'!$Y$5:$AB$5,0))</f>
        <v>1.7</v>
      </c>
      <c r="I319" s="83">
        <v>0</v>
      </c>
      <c r="J319" s="91" t="e">
        <f t="array" ref="J319">INDEX('Coeff EC7'!$D$33:$Q$33,1,MATCH(D319&amp;E319,'Coeff EC7'!$D$31:$Q$31&amp;'Coeff EC7'!$D$32:$Q$32,0))</f>
        <v>#N/A</v>
      </c>
      <c r="K319" s="91" t="e">
        <f t="array" ref="K319">INDEX('Coeff EC7'!$D$34:$Q$34,1,MATCH(D319&amp;E319,'Coeff EC7'!$D$31:$Q$31&amp;'Coeff EC7'!$D$32:$Q$32,0))</f>
        <v>#N/A</v>
      </c>
      <c r="L319" s="91" t="e">
        <f t="array" ref="L319">INDEX('Coeff EC7'!$D$35:$Q$35,1,MATCH(D319&amp;E319,'Coeff EC7'!$D$31:$Q$31&amp;'Coeff EC7'!$D$32:$Q$32,0))</f>
        <v>#N/A</v>
      </c>
      <c r="M319" s="98" t="e">
        <f t="shared" si="431"/>
        <v>#N/A</v>
      </c>
      <c r="N319" s="99" t="e">
        <f t="array" ref="N319">INDEX('Coeff EC7'!$D$7:$Q$27,MATCH($B$3,'Coeff EC7'!$C$7:$C$27,0),MATCH(D319&amp;E319,'Coeff EC7'!$D$5:$Q$5&amp;'Coeff EC7'!$D$6:$Q$6,0))</f>
        <v>#N/A</v>
      </c>
      <c r="O319" s="99" t="e">
        <f t="array" ref="O319">INDEX('Coeff EC7'!$D$41:$Q$61,MATCH($B$3,'Coeff EC7'!$C$41:$C$61,0),MATCH(D319&amp;E319,'Coeff EC7'!$D$39:$Q$39&amp;'Coeff EC7'!$D$40:$Q$40,0))</f>
        <v>#N/A</v>
      </c>
      <c r="P319" s="30" t="e">
        <f t="shared" si="466"/>
        <v>#N/A</v>
      </c>
      <c r="Q319" s="100" t="e">
        <f t="shared" si="433"/>
        <v>#N/A</v>
      </c>
      <c r="R319" s="86" t="b">
        <f t="shared" si="434"/>
        <v>0</v>
      </c>
      <c r="S319" s="86">
        <f t="shared" si="432"/>
        <v>0.5</v>
      </c>
      <c r="T319" s="86">
        <f t="shared" si="435"/>
        <v>0.5</v>
      </c>
      <c r="U319" s="30" t="e">
        <f t="shared" ca="1" si="467"/>
        <v>#DIV/0!</v>
      </c>
      <c r="V319" s="85" t="str">
        <f>IF(B319&lt;=Hypothèses!$V$7,Hypothèses!$W$7,IF(B319&lt;=Hypothèses!$V$8,Hypothèses!$W$8,IF(B319&lt;=Hypothèses!$V$9,Hypothèses!$W$9,IF(B319&lt;=Hypothèses!$V$10,Hypothèses!$W$10,IF(B319&lt;=Hypothèses!$V$11,Hypothèses!$W$11,IF(B319&lt;=Hypothèses!$V$12,Hypothèses!$W$12,IF(B319&lt;=Hypothèses!$V$13,Hypothèses!$W$13,IF(B319&lt;=Hypothèses!$V$14,Hypothèses!$W$14,IF(B319&lt;=Hypothèses!$V$15,Hypothèses!$W$15,IF(B319&lt;=Hypothèses!$V$16,Hypothèses!$W$16,IF(B319&lt;=Hypothèses!$V$17,Hypothèses!$W$17,IF(B319&lt;=Hypothèses!$V$18,Hypothèses!$W$18,""))))))))))))</f>
        <v/>
      </c>
      <c r="W319" s="87" t="e">
        <f t="shared" ca="1" si="516"/>
        <v>#DIV/0!</v>
      </c>
      <c r="X319" s="88" t="str">
        <f>IF(B319&lt;=Hypothèses!$V$7,Hypothèses!$X$7,IF(B319&lt;=Hypothèses!$V$8,Hypothèses!$X$8,IF(B319&lt;=Hypothèses!$V$9,Hypothèses!$X$9,IF(B319&lt;=Hypothèses!$V$10,Hypothèses!$X$10,IF(B319&lt;=Hypothèses!$V$11,Hypothèses!$X$11,IF(B319&lt;=Hypothèses!$V$12,Hypothèses!$X$12,IF(B319&lt;=Hypothèses!$V$13,Hypothèses!$X$13,IF(B319&lt;=Hypothèses!$V$14,Hypothèses!$X$14,IF(B319&lt;=Hypothèses!$V$15,Hypothèses!$X$15,IF(B319&lt;=Hypothèses!$V$16,Hypothèses!$X$16,IF(B319&lt;=Hypothèses!$U$17,Hypothèses!$W$17,IF(B319&lt;=Hypothèses!$U$18,Hypothèses!$W$18,""))))))))))))</f>
        <v/>
      </c>
      <c r="Y319" s="95" t="e">
        <f t="shared" ca="1" si="436"/>
        <v>#DIV/0!</v>
      </c>
      <c r="Z319" s="101">
        <f t="shared" si="437"/>
        <v>0</v>
      </c>
      <c r="AA319" s="91">
        <f t="shared" si="438"/>
        <v>0</v>
      </c>
      <c r="AB319" s="30" t="e">
        <f t="shared" si="500"/>
        <v>#N/A</v>
      </c>
      <c r="AC319" s="30" t="e">
        <f t="shared" si="501"/>
        <v>#N/A</v>
      </c>
      <c r="AD319" s="31" t="e">
        <f>IF(OR(Hypothèses!$B$4=17,Hypothèses!$B$4=18,Hypothèses!$B$4=19,Hypothèses!$B$4=20),
IF($D319="Pressio.",
IF(OR($E319=3,$E319=1,$E319=4),AC319,AB319),
IF($D319="Pénétro.",
IF(OR($E319=3,$E319=1,$E319=4),AC319,AB319))),IF($D319="Pressio.",
IF($E319=3,AC319,AB319),
IF($D319="Pénétro.",
IF($E319=4,AC319,AB319))))</f>
        <v>#N/A</v>
      </c>
      <c r="AE319" s="31">
        <v>0</v>
      </c>
      <c r="AF319" s="102" t="e">
        <f>IF(NDC!$H$10="Oui",(VLOOKUP($B$3,'Coeff EC7'!$T$39:$X$59,2,0)*AD319+VLOOKUP($B$3,'Coeff EC7'!$T$65:$X$85,2,0)*Model0.1T!AE319)/1.5,PI()*AB$12*$Q319*($B319-$B318)*0.15/10+AF318)</f>
        <v>#N/A</v>
      </c>
      <c r="AG319" s="102" t="e">
        <f>(VLOOKUP($B$3,'Coeff EC7'!$T$39:$X$59,3,0)*AD319+VLOOKUP($B$3,'Coeff EC7'!$T$65:$X$85,3,0)*Model0.1T!AE319)/1.1</f>
        <v>#N/A</v>
      </c>
      <c r="AH319" s="102" t="e">
        <f t="shared" si="468"/>
        <v>#N/A</v>
      </c>
      <c r="AI319" s="102" t="e">
        <f t="shared" si="469"/>
        <v>#N/A</v>
      </c>
      <c r="AJ319" s="414" t="e">
        <f>IF(AND(AF319&gt;NDC!$C$63,AG319&gt;NDC!$C$65,AH319&gt;NDC!$D$73,AI319&gt;NDC!$D$74,$B319&gt;NDC!$H$22-0.1+MIN(3*$AJ$12,1.5)),0,1)</f>
        <v>#N/A</v>
      </c>
      <c r="AK319" s="86" t="b">
        <f t="shared" si="439"/>
        <v>0</v>
      </c>
      <c r="AL319" s="86">
        <f t="shared" si="470"/>
        <v>0.5</v>
      </c>
      <c r="AM319" s="86">
        <f t="shared" si="440"/>
        <v>0.5</v>
      </c>
      <c r="AN319" s="30" t="e">
        <f t="shared" ca="1" si="471"/>
        <v>#DIV/0!</v>
      </c>
      <c r="AO319" s="85" t="e">
        <f ca="1">IF(U319&lt;=Hypothèses!$V$7,Hypothèses!$W$7,IF(U319&lt;=Hypothèses!$V$8,Hypothèses!$W$8,IF(U319&lt;=Hypothèses!$V$9,Hypothèses!$W$9,IF(U319&lt;=Hypothèses!$V$10,Hypothèses!$W$10,IF(U319&lt;=Hypothèses!$V$11,Hypothèses!$W$11,IF(U319&lt;=Hypothèses!$V$12,Hypothèses!$W$12,IF(U319&lt;=Hypothèses!$V$13,Hypothèses!$W$13,IF(U319&lt;=Hypothèses!$V$14,Hypothèses!$W$14,IF(U319&lt;=Hypothèses!$V$15,Hypothèses!$W$15,IF(U319&lt;=Hypothèses!$V$16,Hypothèses!$W$16,IF(U319&lt;=Hypothèses!$V$17,Hypothèses!$W$17,IF(U319&lt;=Hypothèses!$V$18,Hypothèses!$W$18,""))))))))))))</f>
        <v>#DIV/0!</v>
      </c>
      <c r="AP319" s="87" t="e">
        <f t="shared" ca="1" si="517"/>
        <v>#DIV/0!</v>
      </c>
      <c r="AQ319" s="88" t="e">
        <f ca="1">IF(U319&lt;=Hypothèses!$V$7,Hypothèses!$X$7,IF(U319&lt;=Hypothèses!$V$8,Hypothèses!$X$8,IF(U319&lt;=Hypothèses!$V$9,Hypothèses!$X$9,IF(U319&lt;=Hypothèses!$V$10,Hypothèses!$X$10,IF(U319&lt;=Hypothèses!$V$11,Hypothèses!$X$11,IF(U319&lt;=Hypothèses!$V$12,Hypothèses!$X$12,IF(U319&lt;=Hypothèses!$V$13,Hypothèses!$X$13,IF(U319&lt;=Hypothèses!$V$14,Hypothèses!$X$14,IF(U319&lt;=Hypothèses!$V$15,Hypothèses!$X$15,IF(U319&lt;=Hypothèses!$V$16,Hypothèses!$X$16,IF(U319&lt;=Hypothèses!$U$17,Hypothèses!$W$17,IF(U319&lt;=Hypothèses!$U$18,Hypothèses!$W$18,""))))))))))))</f>
        <v>#DIV/0!</v>
      </c>
      <c r="AR319" s="95" t="e">
        <f t="shared" ca="1" si="472"/>
        <v>#DIV/0!</v>
      </c>
      <c r="AS319" s="101">
        <f t="shared" si="524"/>
        <v>0</v>
      </c>
      <c r="AT319" s="91">
        <f t="shared" si="441"/>
        <v>0</v>
      </c>
      <c r="AU319" s="30" t="e">
        <f t="shared" si="502"/>
        <v>#N/A</v>
      </c>
      <c r="AV319" s="30" t="e">
        <f t="shared" si="503"/>
        <v>#N/A</v>
      </c>
      <c r="AW319" s="31" t="e">
        <f>IF(OR(Hypothèses!$B$4=17,Hypothèses!$B$4=18,Hypothèses!$B$4=19,Hypothèses!$B$4=20),
IF($D319="Pressio.",
IF(OR($E319=3,$E319=1,$E319=4),AV319,AU319),
IF($D319="Pénétro.",
IF(OR($E319=3,$E319=1,$E319=4),AV319,AU319))),IF($D319="Pressio.",
IF($E319=3,AV319,AU319),
IF($D319="Pénétro.",
IF($E319=4,AV319,AU319))))</f>
        <v>#N/A</v>
      </c>
      <c r="AX319" s="31">
        <v>0</v>
      </c>
      <c r="AY319" s="102" t="e">
        <f>IF(NDC!$H$10="Oui",(VLOOKUP($B$3,'Coeff EC7'!$T$39:$X$59,2,0)*AW319+VLOOKUP($B$3,'Coeff EC7'!$T$65:$X$85,2,0)*Model0.1T!AX319)/1.5,PI()*AU$12*$Q319*($B319-$B318)*0.15/10+AY318)</f>
        <v>#N/A</v>
      </c>
      <c r="AZ319" s="102" t="e">
        <f>(VLOOKUP($B$3,'Coeff EC7'!$T$39:$X$59,3,0)*AW319+VLOOKUP($B$3,'Coeff EC7'!$T$65:$X$85,3,0)*Model0.1T!AX319)/1.1</f>
        <v>#N/A</v>
      </c>
      <c r="BA319" s="102" t="e">
        <f t="shared" si="473"/>
        <v>#N/A</v>
      </c>
      <c r="BB319" s="102" t="e">
        <f t="shared" si="474"/>
        <v>#N/A</v>
      </c>
      <c r="BC319" s="414" t="e">
        <f>IF(AND(AY319&gt;NDC!$C$63,AZ319&gt;NDC!$C$65,BA319&gt;NDC!$D$73,BB319&gt;NDC!$D$74,$B319&gt;NDC!$H$22-0.1+MIN(3*BC$12,1.5)),0,1)</f>
        <v>#N/A</v>
      </c>
      <c r="BD319" s="86" t="b">
        <f t="shared" si="442"/>
        <v>0</v>
      </c>
      <c r="BE319" s="86">
        <f t="shared" si="475"/>
        <v>0.5</v>
      </c>
      <c r="BF319" s="86">
        <f t="shared" si="443"/>
        <v>0.5</v>
      </c>
      <c r="BG319" s="30" t="e">
        <f t="shared" ca="1" si="476"/>
        <v>#DIV/0!</v>
      </c>
      <c r="BH319" s="85" t="e">
        <f ca="1">IF(AN319&lt;=Hypothèses!$V$7,Hypothèses!$W$7,IF(AN319&lt;=Hypothèses!$V$8,Hypothèses!$W$8,IF(AN319&lt;=Hypothèses!$V$9,Hypothèses!$W$9,IF(AN319&lt;=Hypothèses!$V$10,Hypothèses!$W$10,IF(AN319&lt;=Hypothèses!$V$11,Hypothèses!$W$11,IF(AN319&lt;=Hypothèses!$V$12,Hypothèses!$W$12,IF(AN319&lt;=Hypothèses!$V$13,Hypothèses!$W$13,IF(AN319&lt;=Hypothèses!$V$14,Hypothèses!$W$14,IF(AN319&lt;=Hypothèses!$V$15,Hypothèses!$W$15,IF(AN319&lt;=Hypothèses!$V$16,Hypothèses!$W$16,IF(AN319&lt;=Hypothèses!$V$17,Hypothèses!$W$17,IF(AN319&lt;=Hypothèses!$V$18,Hypothèses!$W$18,""))))))))))))</f>
        <v>#DIV/0!</v>
      </c>
      <c r="BI319" s="87" t="e">
        <f t="shared" ca="1" si="518"/>
        <v>#DIV/0!</v>
      </c>
      <c r="BJ319" s="88" t="e">
        <f ca="1">IF(AN319&lt;=Hypothèses!$V$7,Hypothèses!$X$7,IF(AN319&lt;=Hypothèses!$V$8,Hypothèses!$X$8,IF(AN319&lt;=Hypothèses!$V$9,Hypothèses!$X$9,IF(AN319&lt;=Hypothèses!$V$10,Hypothèses!$X$10,IF(AN319&lt;=Hypothèses!$V$11,Hypothèses!$X$11,IF(AN319&lt;=Hypothèses!$V$12,Hypothèses!$X$12,IF(AN319&lt;=Hypothèses!$V$13,Hypothèses!$X$13,IF(AN319&lt;=Hypothèses!$V$14,Hypothèses!$X$14,IF(AN319&lt;=Hypothèses!$V$15,Hypothèses!$X$15,IF(AN319&lt;=Hypothèses!$V$16,Hypothèses!$X$16,IF(AN319&lt;=Hypothèses!$U$17,Hypothèses!$W$17,IF(AN319&lt;=Hypothèses!$U$18,Hypothèses!$W$18,""))))))))))))</f>
        <v>#DIV/0!</v>
      </c>
      <c r="BK319" s="95" t="e">
        <f t="shared" ca="1" si="477"/>
        <v>#DIV/0!</v>
      </c>
      <c r="BL319" s="101">
        <f t="shared" si="525"/>
        <v>0</v>
      </c>
      <c r="BM319" s="91">
        <f t="shared" si="444"/>
        <v>0</v>
      </c>
      <c r="BN319" s="30" t="e">
        <f t="shared" si="504"/>
        <v>#N/A</v>
      </c>
      <c r="BO319" s="30" t="e">
        <f t="shared" si="505"/>
        <v>#N/A</v>
      </c>
      <c r="BP319" s="31" t="e">
        <f>IF(OR(Hypothèses!$B$4=17,Hypothèses!$B$4=18,Hypothèses!$B$4=19,Hypothèses!$B$4=20),
IF($D319="Pressio.",
IF(OR($E319=3,$E319=1,$E319=4),BO319,BN319),
IF($D319="Pénétro.",
IF(OR($E319=3,$E319=1,$E319=4),BO319,BN319))),IF($D319="Pressio.",
IF($E319=3,BO319,BN319),
IF($D319="Pénétro.",
IF($E319=4,BO319,BN319))))</f>
        <v>#N/A</v>
      </c>
      <c r="BQ319" s="31">
        <v>0</v>
      </c>
      <c r="BR319" s="102" t="e">
        <f>IF(NDC!$H$10="Oui",(VLOOKUP($B$3,'Coeff EC7'!$T$39:$X$59,2,0)*BP319+VLOOKUP($B$3,'Coeff EC7'!$T$65:$X$85,2,0)*Model0.1T!BQ319)/1.5,PI()*BN$12*$Q319*($B319-$B318)*0.15/10+BR318)</f>
        <v>#N/A</v>
      </c>
      <c r="BS319" s="102" t="e">
        <f>(VLOOKUP($B$3,'Coeff EC7'!$T$39:$X$59,3,0)*BP319+VLOOKUP($B$3,'Coeff EC7'!$T$65:$X$85,3,0)*Model0.1T!BQ319)/1.1</f>
        <v>#N/A</v>
      </c>
      <c r="BT319" s="102" t="e">
        <f t="shared" si="478"/>
        <v>#N/A</v>
      </c>
      <c r="BU319" s="102" t="e">
        <f t="shared" si="479"/>
        <v>#N/A</v>
      </c>
      <c r="BV319" s="414" t="e">
        <f>IF(AND(BR319&gt;NDC!$C$63,BS319&gt;NDC!$C$65,BT319&gt;NDC!$D$73,BU319&gt;NDC!$D$74,$B319&gt;NDC!$H$22-0.1+MIN(3*BV$12,1.5)),0,1)</f>
        <v>#N/A</v>
      </c>
      <c r="BW319" s="86" t="b">
        <f t="shared" si="445"/>
        <v>0</v>
      </c>
      <c r="BX319" s="86">
        <f t="shared" si="446"/>
        <v>0.5</v>
      </c>
      <c r="BY319" s="86">
        <f t="shared" si="447"/>
        <v>0.5</v>
      </c>
      <c r="BZ319" s="30" t="e">
        <f t="shared" ca="1" si="480"/>
        <v>#DIV/0!</v>
      </c>
      <c r="CA319" s="85" t="e">
        <f ca="1">IF(BG319&lt;=Hypothèses!$V$7,Hypothèses!$W$7,IF(BG319&lt;=Hypothèses!$V$8,Hypothèses!$W$8,IF(BG319&lt;=Hypothèses!$V$9,Hypothèses!$W$9,IF(BG319&lt;=Hypothèses!$V$10,Hypothèses!$W$10,IF(BG319&lt;=Hypothèses!$V$11,Hypothèses!$W$11,IF(BG319&lt;=Hypothèses!$V$12,Hypothèses!$W$12,IF(BG319&lt;=Hypothèses!$V$13,Hypothèses!$W$13,IF(BG319&lt;=Hypothèses!$V$14,Hypothèses!$W$14,IF(BG319&lt;=Hypothèses!$V$15,Hypothèses!$W$15,IF(BG319&lt;=Hypothèses!$V$16,Hypothèses!$W$16,IF(BG319&lt;=Hypothèses!$V$17,Hypothèses!$W$17,IF(BG319&lt;=Hypothèses!$V$18,Hypothèses!$W$18,""))))))))))))</f>
        <v>#DIV/0!</v>
      </c>
      <c r="CB319" s="87" t="e">
        <f t="shared" ca="1" si="519"/>
        <v>#DIV/0!</v>
      </c>
      <c r="CC319" s="88" t="e">
        <f ca="1">IF(BG319&lt;=Hypothèses!$V$7,Hypothèses!$X$7,IF(BG319&lt;=Hypothèses!$V$8,Hypothèses!$X$8,IF(BG319&lt;=Hypothèses!$V$9,Hypothèses!$X$9,IF(BG319&lt;=Hypothèses!$V$10,Hypothèses!$X$10,IF(BG319&lt;=Hypothèses!$V$11,Hypothèses!$X$11,IF(BG319&lt;=Hypothèses!$V$12,Hypothèses!$X$12,IF(BG319&lt;=Hypothèses!$V$13,Hypothèses!$X$13,IF(BG319&lt;=Hypothèses!$V$14,Hypothèses!$X$14,IF(BG319&lt;=Hypothèses!$V$15,Hypothèses!$X$15,IF(BG319&lt;=Hypothèses!$V$16,Hypothèses!$X$16,IF(BG319&lt;=Hypothèses!$U$17,Hypothèses!$W$17,IF(BG319&lt;=Hypothèses!$U$18,Hypothèses!$W$18,""))))))))))))</f>
        <v>#DIV/0!</v>
      </c>
      <c r="CD319" s="95" t="e">
        <f t="shared" ca="1" si="481"/>
        <v>#DIV/0!</v>
      </c>
      <c r="CE319" s="101">
        <f t="shared" si="526"/>
        <v>0</v>
      </c>
      <c r="CF319" s="91">
        <f t="shared" si="448"/>
        <v>0</v>
      </c>
      <c r="CG319" s="30" t="e">
        <f t="shared" si="506"/>
        <v>#N/A</v>
      </c>
      <c r="CH319" s="30" t="e">
        <f t="shared" si="507"/>
        <v>#N/A</v>
      </c>
      <c r="CI319" s="31" t="e">
        <f>IF(OR(Hypothèses!$B$4=17,Hypothèses!$B$4=18,Hypothèses!$B$4=19,Hypothèses!$B$4=20),
IF($D319="Pressio.",
IF(OR($E319=3,$E319=1,$E319=4),CH319,CG319),
IF($D319="Pénétro.",
IF(OR($E319=3,$E319=1,$E319=4),CH319,CG319))),IF($D319="Pressio.",
IF($E319=3,CH319,CG319),
IF($D319="Pénétro.",
IF($E319=4,CH319,CG319))))</f>
        <v>#N/A</v>
      </c>
      <c r="CJ319" s="31">
        <v>0</v>
      </c>
      <c r="CK319" s="102" t="e">
        <f>IF(NDC!$H$10="Oui",(VLOOKUP($B$3,'Coeff EC7'!$T$39:$X$59,2,0)*CI319+VLOOKUP($B$3,'Coeff EC7'!$T$65:$X$85,2,0)*Model0.1T!CJ319)/1.5,PI()*CG$12*$Q319*($B319-$B318)*0.15/10+CK318)</f>
        <v>#N/A</v>
      </c>
      <c r="CL319" s="102" t="e">
        <f>(VLOOKUP($B$3,'Coeff EC7'!$T$39:$X$59,3,0)*CI319+VLOOKUP($B$3,'Coeff EC7'!$T$65:$X$85,3,0)*Model0.1T!CJ319)/1.1</f>
        <v>#N/A</v>
      </c>
      <c r="CM319" s="102" t="e">
        <f t="shared" si="482"/>
        <v>#N/A</v>
      </c>
      <c r="CN319" s="102" t="e">
        <f t="shared" si="483"/>
        <v>#N/A</v>
      </c>
      <c r="CO319" s="414" t="e">
        <f>IF(AND(CK319&gt;NDC!$C$63,CL319&gt;NDC!$C$65,CM319&gt;NDC!$D$73,CN319&gt;NDC!$D$74,$B319&gt;NDC!$H$22-0.1+MIN(3*CO$12,1.5)),0,1)</f>
        <v>#N/A</v>
      </c>
      <c r="CP319" s="86" t="b">
        <f t="shared" si="449"/>
        <v>0</v>
      </c>
      <c r="CQ319" s="86">
        <f t="shared" si="450"/>
        <v>0.5</v>
      </c>
      <c r="CR319" s="86">
        <f t="shared" si="451"/>
        <v>0.5</v>
      </c>
      <c r="CS319" s="30" t="e">
        <f t="shared" ca="1" si="484"/>
        <v>#DIV/0!</v>
      </c>
      <c r="CT319" s="85" t="e">
        <f ca="1">IF(BZ319&lt;=Hypothèses!$V$7,Hypothèses!$W$7,IF(BZ319&lt;=Hypothèses!$V$8,Hypothèses!$W$8,IF(BZ319&lt;=Hypothèses!$V$9,Hypothèses!$W$9,IF(BZ319&lt;=Hypothèses!$V$10,Hypothèses!$W$10,IF(BZ319&lt;=Hypothèses!$V$11,Hypothèses!$W$11,IF(BZ319&lt;=Hypothèses!$V$12,Hypothèses!$W$12,IF(BZ319&lt;=Hypothèses!$V$13,Hypothèses!$W$13,IF(BZ319&lt;=Hypothèses!$V$14,Hypothèses!$W$14,IF(BZ319&lt;=Hypothèses!$V$15,Hypothèses!$W$15,IF(BZ319&lt;=Hypothèses!$V$16,Hypothèses!$W$16,IF(BZ319&lt;=Hypothèses!$V$17,Hypothèses!$W$17,IF(BZ319&lt;=Hypothèses!$V$18,Hypothèses!$W$18,""))))))))))))</f>
        <v>#DIV/0!</v>
      </c>
      <c r="CU319" s="87" t="e">
        <f t="shared" ca="1" si="520"/>
        <v>#DIV/0!</v>
      </c>
      <c r="CV319" s="88" t="e">
        <f ca="1">IF(BZ319&lt;=Hypothèses!$V$7,Hypothèses!$X$7,IF(BZ319&lt;=Hypothèses!$V$8,Hypothèses!$X$8,IF(BZ319&lt;=Hypothèses!$V$9,Hypothèses!$X$9,IF(BZ319&lt;=Hypothèses!$V$10,Hypothèses!$X$10,IF(BZ319&lt;=Hypothèses!$V$11,Hypothèses!$X$11,IF(BZ319&lt;=Hypothèses!$V$12,Hypothèses!$X$12,IF(BZ319&lt;=Hypothèses!$V$13,Hypothèses!$X$13,IF(BZ319&lt;=Hypothèses!$V$14,Hypothèses!$X$14,IF(BZ319&lt;=Hypothèses!$V$15,Hypothèses!$X$15,IF(BZ319&lt;=Hypothèses!$V$16,Hypothèses!$X$16,IF(BZ319&lt;=Hypothèses!$U$17,Hypothèses!$W$17,IF(BZ319&lt;=Hypothèses!$U$18,Hypothèses!$W$18,""))))))))))))</f>
        <v>#DIV/0!</v>
      </c>
      <c r="CW319" s="95" t="e">
        <f t="shared" ca="1" si="485"/>
        <v>#DIV/0!</v>
      </c>
      <c r="CX319" s="101">
        <f t="shared" si="527"/>
        <v>0</v>
      </c>
      <c r="CY319" s="91">
        <f t="shared" si="452"/>
        <v>0</v>
      </c>
      <c r="CZ319" s="30" t="e">
        <f t="shared" si="508"/>
        <v>#N/A</v>
      </c>
      <c r="DA319" s="30" t="e">
        <f t="shared" si="509"/>
        <v>#N/A</v>
      </c>
      <c r="DB319" s="31" t="e">
        <f>IF(OR(Hypothèses!$B$4=17,Hypothèses!$B$4=18,Hypothèses!$B$4=19,Hypothèses!$B$4=20),
IF($D319="Pressio.",
IF(OR($E319=3,$E319=1,$E319=4),DA319,CZ319),
IF($D319="Pénétro.",
IF(OR($E319=3,$E319=1,$E319=4),DA319,CZ319))),IF($D319="Pressio.",
IF($E319=3,DA319,CZ319),
IF($D319="Pénétro.",
IF($E319=4,DA319,CZ319))))</f>
        <v>#N/A</v>
      </c>
      <c r="DC319" s="31">
        <v>0</v>
      </c>
      <c r="DD319" s="102" t="e">
        <f>IF(NDC!$H$10="Oui",(VLOOKUP($B$3,'Coeff EC7'!$T$39:$X$59,2,0)*DB319+VLOOKUP($B$3,'Coeff EC7'!$T$65:$X$85,2,0)*Model0.1T!DC319)/1.5,PI()*CZ$12*$Q319*($B319-$B318)*0.15/10+DD318)</f>
        <v>#N/A</v>
      </c>
      <c r="DE319" s="102" t="e">
        <f>(VLOOKUP($B$3,'Coeff EC7'!$T$39:$X$59,3,0)*DB319+VLOOKUP($B$3,'Coeff EC7'!$T$65:$X$85,3,0)*Model0.1T!DC319)/1.1</f>
        <v>#N/A</v>
      </c>
      <c r="DF319" s="102" t="e">
        <f t="shared" si="486"/>
        <v>#N/A</v>
      </c>
      <c r="DG319" s="102" t="e">
        <f t="shared" si="487"/>
        <v>#N/A</v>
      </c>
      <c r="DH319" s="414" t="e">
        <f>IF(AND(DD319&gt;NDC!$C$63,DE319&gt;NDC!$C$65,DF319&gt;NDC!$D$73,DG319&gt;NDC!$D$74,$B319&gt;NDC!$H$22-0.1+MIN(3*DH$12,1.5)),0,1)</f>
        <v>#N/A</v>
      </c>
      <c r="DI319" s="86" t="b">
        <f t="shared" si="453"/>
        <v>0</v>
      </c>
      <c r="DJ319" s="86">
        <f t="shared" si="454"/>
        <v>0.5</v>
      </c>
      <c r="DK319" s="86">
        <f t="shared" si="455"/>
        <v>0.5</v>
      </c>
      <c r="DL319" s="30" t="e">
        <f t="shared" ca="1" si="488"/>
        <v>#DIV/0!</v>
      </c>
      <c r="DM319" s="85" t="e">
        <f ca="1">IF(CS319&lt;=Hypothèses!$V$7,Hypothèses!$W$7,IF(CS319&lt;=Hypothèses!$V$8,Hypothèses!$W$8,IF(CS319&lt;=Hypothèses!$V$9,Hypothèses!$W$9,IF(CS319&lt;=Hypothèses!$V$10,Hypothèses!$W$10,IF(CS319&lt;=Hypothèses!$V$11,Hypothèses!$W$11,IF(CS319&lt;=Hypothèses!$V$12,Hypothèses!$W$12,IF(CS319&lt;=Hypothèses!$V$13,Hypothèses!$W$13,IF(CS319&lt;=Hypothèses!$V$14,Hypothèses!$W$14,IF(CS319&lt;=Hypothèses!$V$15,Hypothèses!$W$15,IF(CS319&lt;=Hypothèses!$V$16,Hypothèses!$W$16,IF(CS319&lt;=Hypothèses!$V$17,Hypothèses!$W$17,IF(CS319&lt;=Hypothèses!$V$18,Hypothèses!$W$18,""))))))))))))</f>
        <v>#DIV/0!</v>
      </c>
      <c r="DN319" s="87" t="e">
        <f t="shared" ca="1" si="521"/>
        <v>#DIV/0!</v>
      </c>
      <c r="DO319" s="88" t="e">
        <f ca="1">IF(CS319&lt;=Hypothèses!$V$7,Hypothèses!$X$7,IF(CS319&lt;=Hypothèses!$V$8,Hypothèses!$X$8,IF(CS319&lt;=Hypothèses!$V$9,Hypothèses!$X$9,IF(CS319&lt;=Hypothèses!$V$10,Hypothèses!$X$10,IF(CS319&lt;=Hypothèses!$V$11,Hypothèses!$X$11,IF(CS319&lt;=Hypothèses!$V$12,Hypothèses!$X$12,IF(CS319&lt;=Hypothèses!$V$13,Hypothèses!$X$13,IF(CS319&lt;=Hypothèses!$V$14,Hypothèses!$X$14,IF(CS319&lt;=Hypothèses!$V$15,Hypothèses!$X$15,IF(CS319&lt;=Hypothèses!$V$16,Hypothèses!$X$16,IF(CS319&lt;=Hypothèses!$U$17,Hypothèses!$W$17,IF(CS319&lt;=Hypothèses!$U$18,Hypothèses!$W$18,""))))))))))))</f>
        <v>#DIV/0!</v>
      </c>
      <c r="DP319" s="95" t="e">
        <f t="shared" ca="1" si="489"/>
        <v>#DIV/0!</v>
      </c>
      <c r="DQ319" s="101">
        <f t="shared" si="528"/>
        <v>0</v>
      </c>
      <c r="DR319" s="91">
        <f t="shared" si="456"/>
        <v>0</v>
      </c>
      <c r="DS319" s="30" t="e">
        <f t="shared" si="510"/>
        <v>#N/A</v>
      </c>
      <c r="DT319" s="30" t="e">
        <f t="shared" si="511"/>
        <v>#N/A</v>
      </c>
      <c r="DU319" s="31" t="e">
        <f>IF(OR(Hypothèses!$B$4=17,Hypothèses!$B$4=18,Hypothèses!$B$4=19,Hypothèses!$B$4=20),
IF($D319="Pressio.",
IF(OR($E319=3,$E319=1,$E319=4),DT319,DS319),
IF($D319="Pénétro.",
IF(OR($E319=3,$E319=1,$E319=4),DT319,DS319))),IF($D319="Pressio.",
IF($E319=3,DT319,DS319),
IF($D319="Pénétro.",
IF($E319=4,DT319,DS319))))</f>
        <v>#N/A</v>
      </c>
      <c r="DV319" s="31">
        <v>0</v>
      </c>
      <c r="DW319" s="102" t="e">
        <f>IF(NDC!$H$10="Oui",(VLOOKUP($B$3,'Coeff EC7'!$T$39:$X$59,2,0)*DU319+VLOOKUP($B$3,'Coeff EC7'!$T$65:$X$85,2,0)*Model0.1T!DV319)/1.5,PI()*DS$12*$Q319*($B319-$B318)*0.15/10+DW318)</f>
        <v>#N/A</v>
      </c>
      <c r="DX319" s="102" t="e">
        <f>(VLOOKUP($B$3,'Coeff EC7'!$T$39:$X$59,3,0)*DU319+VLOOKUP($B$3,'Coeff EC7'!$T$65:$X$85,3,0)*Model0.1T!DV319)/1.1</f>
        <v>#N/A</v>
      </c>
      <c r="DY319" s="102" t="e">
        <f t="shared" si="490"/>
        <v>#N/A</v>
      </c>
      <c r="DZ319" s="102" t="e">
        <f t="shared" si="491"/>
        <v>#N/A</v>
      </c>
      <c r="EA319" s="414" t="e">
        <f>IF(AND(DW319&gt;NDC!$C$63,DX319&gt;NDC!$C$65,DY319&gt;NDC!$D$73,DZ319&gt;NDC!$D$74,$B319&gt;NDC!$H$22-0.1+MIN(3*EA$12,1.5)),0,1)</f>
        <v>#N/A</v>
      </c>
      <c r="EB319" s="86" t="b">
        <f t="shared" si="457"/>
        <v>0</v>
      </c>
      <c r="EC319" s="418">
        <f t="shared" si="458"/>
        <v>0.51</v>
      </c>
      <c r="ED319" s="86">
        <f t="shared" si="459"/>
        <v>0.51</v>
      </c>
      <c r="EE319" s="30" t="e">
        <f t="shared" ca="1" si="492"/>
        <v>#DIV/0!</v>
      </c>
      <c r="EF319" s="85" t="e">
        <f ca="1">IF(DL319&lt;=Hypothèses!$V$7,Hypothèses!$W$7,IF(DL319&lt;=Hypothèses!$V$8,Hypothèses!$W$8,IF(DL319&lt;=Hypothèses!$V$9,Hypothèses!$W$9,IF(DL319&lt;=Hypothèses!$V$10,Hypothèses!$W$10,IF(DL319&lt;=Hypothèses!$V$11,Hypothèses!$W$11,IF(DL319&lt;=Hypothèses!$V$12,Hypothèses!$W$12,IF(DL319&lt;=Hypothèses!$V$13,Hypothèses!$W$13,IF(DL319&lt;=Hypothèses!$V$14,Hypothèses!$W$14,IF(DL319&lt;=Hypothèses!$V$15,Hypothèses!$W$15,IF(DL319&lt;=Hypothèses!$V$16,Hypothèses!$W$16,IF(DL319&lt;=Hypothèses!$V$17,Hypothèses!$W$17,IF(DL319&lt;=Hypothèses!$V$18,Hypothèses!$W$18,""))))))))))))</f>
        <v>#DIV/0!</v>
      </c>
      <c r="EG319" s="87" t="e">
        <f t="shared" ca="1" si="522"/>
        <v>#DIV/0!</v>
      </c>
      <c r="EH319" s="88" t="e">
        <f ca="1">IF(DL319&lt;=Hypothèses!$V$7,Hypothèses!$X$7,IF(DL319&lt;=Hypothèses!$V$8,Hypothèses!$X$8,IF(DL319&lt;=Hypothèses!$V$9,Hypothèses!$X$9,IF(DL319&lt;=Hypothèses!$V$10,Hypothèses!$X$10,IF(DL319&lt;=Hypothèses!$V$11,Hypothèses!$X$11,IF(DL319&lt;=Hypothèses!$V$12,Hypothèses!$X$12,IF(DL319&lt;=Hypothèses!$V$13,Hypothèses!$X$13,IF(DL319&lt;=Hypothèses!$V$14,Hypothèses!$X$14,IF(DL319&lt;=Hypothèses!$V$15,Hypothèses!$X$15,IF(DL319&lt;=Hypothèses!$V$16,Hypothèses!$X$16,IF(DL319&lt;=Hypothèses!$U$17,Hypothèses!$W$17,IF(DL319&lt;=Hypothèses!$U$18,Hypothèses!$W$18,""))))))))))))</f>
        <v>#DIV/0!</v>
      </c>
      <c r="EI319" s="95" t="e">
        <f t="shared" ca="1" si="493"/>
        <v>#DIV/0!</v>
      </c>
      <c r="EJ319" s="101">
        <f t="shared" si="529"/>
        <v>0</v>
      </c>
      <c r="EK319" s="91">
        <f t="shared" si="460"/>
        <v>0</v>
      </c>
      <c r="EL319" s="30" t="e">
        <f t="shared" si="512"/>
        <v>#N/A</v>
      </c>
      <c r="EM319" s="30" t="e">
        <f t="shared" si="513"/>
        <v>#N/A</v>
      </c>
      <c r="EN319" s="31" t="e">
        <f>IF(OR(Hypothèses!$B$4=17,Hypothèses!$B$4=18,Hypothèses!$B$4=19,Hypothèses!$B$4=20),
IF($D319="Pressio.",
IF(OR($E319=3,$E319=1,$E319=4),EM319,EL319),
IF($D319="Pénétro.",
IF(OR($E319=3,$E319=1,$E319=4),EM319,EL319))),IF($D319="Pressio.",
IF($E319=3,EM319,EL319),
IF($D319="Pénétro.",
IF($E319=4,EM319,EL319))))</f>
        <v>#N/A</v>
      </c>
      <c r="EO319" s="31">
        <v>0</v>
      </c>
      <c r="EP319" s="102" t="e">
        <f>IF(NDC!$H$10="Oui",(VLOOKUP($B$3,'Coeff EC7'!$T$39:$X$59,2,0)*EN319+VLOOKUP($B$3,'Coeff EC7'!$T$65:$X$85,2,0)*Model0.1T!EO319)/1.5,PI()*EL$12*$Q319*($B319-$B318)*0.15/10+EP318)</f>
        <v>#N/A</v>
      </c>
      <c r="EQ319" s="102" t="e">
        <f>(VLOOKUP($B$3,'Coeff EC7'!$T$39:$X$59,3,0)*EN319+VLOOKUP($B$3,'Coeff EC7'!$T$65:$X$85,3,0)*Model0.1T!EO319)/1.1</f>
        <v>#N/A</v>
      </c>
      <c r="ER319" s="102" t="e">
        <f t="shared" si="494"/>
        <v>#N/A</v>
      </c>
      <c r="ES319" s="102" t="e">
        <f t="shared" si="495"/>
        <v>#N/A</v>
      </c>
      <c r="ET319" s="414" t="e">
        <f>IF(AND(EP319&gt;NDC!$C$63,EQ319&gt;NDC!$C$65,ER319&gt;NDC!$D$73,ES319&gt;NDC!$D$74,$B319&gt;NDC!$H$22-0.1+MIN(3*ET$12,1.5)),0,1)</f>
        <v>#N/A</v>
      </c>
      <c r="EU319" s="86" t="b">
        <f t="shared" si="461"/>
        <v>0</v>
      </c>
      <c r="EV319" s="86">
        <f t="shared" si="462"/>
        <v>0.61</v>
      </c>
      <c r="EW319" s="86">
        <f t="shared" si="463"/>
        <v>0.61</v>
      </c>
      <c r="EX319" s="30" t="e">
        <f t="shared" ca="1" si="496"/>
        <v>#DIV/0!</v>
      </c>
      <c r="EY319" s="85" t="e">
        <f ca="1">IF(EE319&lt;=Hypothèses!$V$7,Hypothèses!$W$7,IF(EE319&lt;=Hypothèses!$V$8,Hypothèses!$W$8,IF(EE319&lt;=Hypothèses!$V$9,Hypothèses!$W$9,IF(EE319&lt;=Hypothèses!$V$10,Hypothèses!$W$10,IF(EE319&lt;=Hypothèses!$V$11,Hypothèses!$W$11,IF(EE319&lt;=Hypothèses!$V$12,Hypothèses!$W$12,IF(EE319&lt;=Hypothèses!$V$13,Hypothèses!$W$13,IF(EE319&lt;=Hypothèses!$V$14,Hypothèses!$W$14,IF(EE319&lt;=Hypothèses!$V$15,Hypothèses!$W$15,IF(EE319&lt;=Hypothèses!$V$16,Hypothèses!$W$16,IF(EE319&lt;=Hypothèses!$V$17,Hypothèses!$W$17,IF(EE319&lt;=Hypothèses!$V$18,Hypothèses!$W$18,""))))))))))))</f>
        <v>#DIV/0!</v>
      </c>
      <c r="EZ319" s="87" t="e">
        <f t="shared" ca="1" si="523"/>
        <v>#DIV/0!</v>
      </c>
      <c r="FA319" s="88" t="e">
        <f ca="1">IF(EE319&lt;=Hypothèses!$V$7,Hypothèses!$X$7,IF(EE319&lt;=Hypothèses!$V$8,Hypothèses!$X$8,IF(EE319&lt;=Hypothèses!$V$9,Hypothèses!$X$9,IF(EE319&lt;=Hypothèses!$V$10,Hypothèses!$X$10,IF(EE319&lt;=Hypothèses!$V$11,Hypothèses!$X$11,IF(EE319&lt;=Hypothèses!$V$12,Hypothèses!$X$12,IF(EE319&lt;=Hypothèses!$V$13,Hypothèses!$X$13,IF(EE319&lt;=Hypothèses!$V$14,Hypothèses!$X$14,IF(EE319&lt;=Hypothèses!$V$15,Hypothèses!$X$15,IF(EE319&lt;=Hypothèses!$V$16,Hypothèses!$X$16,IF(EE319&lt;=Hypothèses!$U$17,Hypothèses!$W$17,IF(EE319&lt;=Hypothèses!$U$18,Hypothèses!$W$18,""))))))))))))</f>
        <v>#DIV/0!</v>
      </c>
      <c r="FB319" s="95" t="e">
        <f t="shared" ca="1" si="497"/>
        <v>#DIV/0!</v>
      </c>
      <c r="FC319" s="101">
        <f t="shared" si="530"/>
        <v>0</v>
      </c>
      <c r="FD319" s="91">
        <f t="shared" si="464"/>
        <v>0</v>
      </c>
      <c r="FE319" s="30" t="e">
        <f t="shared" si="514"/>
        <v>#N/A</v>
      </c>
      <c r="FF319" s="30" t="e">
        <f t="shared" si="515"/>
        <v>#N/A</v>
      </c>
      <c r="FG319" s="31" t="e">
        <f>IF(OR(Hypothèses!$B$4=17,Hypothèses!$B$4=18,Hypothèses!$B$4=19,Hypothèses!$B$4=20),
IF($D319="Pressio.",
IF(OR($E319=3,$E319=1,$E319=4),FF319,FE319),
IF($D319="Pénétro.",
IF(OR($E319=3,$E319=1,$E319=4),FF319,FE319))),IF($D319="Pressio.",
IF($E319=3,FF319,FE319),
IF($D319="Pénétro.",
IF($E319=4,FF319,FE319))))</f>
        <v>#N/A</v>
      </c>
      <c r="FH319" s="31">
        <v>0</v>
      </c>
      <c r="FI319" s="102" t="e">
        <f>IF(NDC!$H$10="Oui",(VLOOKUP($B$3,'Coeff EC7'!$T$39:$X$59,2,0)*FG319+VLOOKUP($B$3,'Coeff EC7'!$T$65:$X$85,2,0)*Model0.1T!FH319)/1.5,PI()*FE$12*$Q319*($B319-$B318)*0.15/10+FI318)</f>
        <v>#N/A</v>
      </c>
      <c r="FJ319" s="102" t="e">
        <f>(VLOOKUP($B$3,'Coeff EC7'!$T$39:$X$59,3,0)*FG319+VLOOKUP($B$3,'Coeff EC7'!$T$65:$X$85,3,0)*Model0.1T!FH319)/1.1</f>
        <v>#N/A</v>
      </c>
      <c r="FK319" s="102" t="e">
        <f t="shared" si="498"/>
        <v>#N/A</v>
      </c>
      <c r="FL319" s="102" t="e">
        <f t="shared" si="499"/>
        <v>#N/A</v>
      </c>
      <c r="FM319" s="414" t="e">
        <f>IF(AND(FI319&gt;NDC!$C$63,FJ319&gt;NDC!$C$65,FK319&gt;NDC!$D$73,FL319&gt;NDC!$D$74,$B319&gt;NDC!$H$22-0.1+MIN(3*FM$12,1.5)),0,1)</f>
        <v>#N/A</v>
      </c>
    </row>
    <row r="320" spans="1:169">
      <c r="A320" s="96">
        <f t="shared" si="465"/>
        <v>69.300000000001745</v>
      </c>
      <c r="B320" s="97">
        <v>30.7</v>
      </c>
      <c r="C320" s="81">
        <f>IF(B320&lt;=Hypothèses!$C$7,Hypothèses!$A$7,IF(B320&lt;=Hypothèses!$C$8,Hypothèses!$A$8,IF(B320&lt;=Hypothèses!$C$9,Hypothèses!$A$9,IF(B320&lt;=Hypothèses!$C$10,Hypothèses!$A$10,IF(B320&lt;=Hypothèses!$C$11,Hypothèses!$A$11,IF(B320&lt;=Hypothèses!$C$12,Hypothèses!$A$12,IF(B320&lt;=Hypothèses!$C$13,Hypothèses!$A$13,IF(B320&lt;=Hypothèses!$C$14,Hypothèses!$A$14,IF(B320&lt;=Hypothèses!$C$15,Hypothèses!$A$15,IF(B320&lt;=Hypothèses!$C$16,Hypothèses!$A$16,IF(B320&lt;=Hypothèses!$C$17,Hypothèses!$A$17,IF(B320&lt;=Hypothèses!$C$18,Hypothèses!$A$18,C319))))))))))))</f>
        <v>11</v>
      </c>
      <c r="D320" s="82" t="str">
        <f>IF(B320&lt;=Hypothèses!$C$7,Hypothèses!$R$7,IF(B320&lt;=Hypothèses!$C$8,Hypothèses!$R$8,IF(B320&lt;=Hypothèses!$C$9,Hypothèses!$R$9,IF(B320&lt;=Hypothèses!$C$10,Hypothèses!$R$10,IF(B320&lt;=Hypothèses!$C$11,Hypothèses!$R$11,IF(B320&lt;=Hypothèses!$C$12,Hypothèses!$R$12,IF(B320&lt;=Hypothèses!$C$13,Hypothèses!$R$13,IF(B320&lt;=Hypothèses!$C$14,Hypothèses!$R$14,IF(B320&lt;=Hypothèses!$C$15,Hypothèses!$R$15,IF(B320&lt;=Hypothèses!$C$16,Hypothèses!$R$16,IF(B320&lt;=Hypothèses!$C$17,Hypothèses!$R$17,IF(B320&lt;=Hypothèses!$C$18,Hypothèses!$R$18,D319))))))))))))</f>
        <v>Pressio.</v>
      </c>
      <c r="E320" s="82" t="e">
        <f>IF(B320&lt;=Hypothèses!$C$7,Hypothèses!$G$7,IF(B320&lt;=Hypothèses!$C$8,Hypothèses!$G$8,IF(B320&lt;=Hypothèses!$C$9,Hypothèses!$G$9,IF(B320&lt;=Hypothèses!$C$10,Hypothèses!$G$10,IF(B320&lt;=Hypothèses!$C$11,Hypothèses!$G$11,IF(B320&lt;=Hypothèses!$C$12,Hypothèses!$G$12,IF(B320&lt;=Hypothèses!$C$13,Hypothèses!$G$13,IF(B320&lt;=Hypothèses!$C$14,Hypothèses!$G$14,IF(B320&lt;=Hypothèses!$C$15,Hypothèses!$G$15,IF(B320&lt;=Hypothèses!$C$16,Hypothèses!$G$16,IF(B320&lt;=Hypothèses!$C$17,Hypothèses!$G$17,IF(B320&lt;=Hypothèses!$C$18,Hypothèses!$G$18,E319))))))))))))</f>
        <v>#N/A</v>
      </c>
      <c r="F320" s="82" t="str">
        <f>IF(B320&lt;=Hypothèses!$C$7,Hypothèses!$F$7,IF(B320&lt;=Hypothèses!$C$8,Hypothèses!$F$8,IF(B320&lt;=Hypothèses!$C$9,Hypothèses!$F$9,IF(B320&lt;=Hypothèses!$C$10,Hypothèses!$F$10,IF(B320&lt;=Hypothèses!$C$11,Hypothèses!$F$11,IF(B320&lt;=Hypothèses!$C$12,Hypothèses!$F$12,IF(B320&lt;=Hypothèses!$C$13,Hypothèses!$F$13,IF(B320&lt;=Hypothèses!$C$14,Hypothèses!$F$14,IF(B320&lt;=Hypothèses!$C$15,Hypothèses!$F$15,IF(B320&lt;=Hypothèses!$C$16,Hypothèses!$F$16,IF(B320&lt;=Hypothèses!$C$17,Hypothèses!$F$17,IF(B320&lt;=Hypothèses!$C$18,Hypothèses!$F$18,F319))))))))))))</f>
        <v/>
      </c>
      <c r="G320" s="91">
        <f t="array" ref="G320">INDEX('Coeff EC7'!$U$7:$X$27,
MATCH(Model0.1T!$B$3,'Coeff EC7'!$T$7:$T$27,0),
MATCH(Model0.1T!$D320&amp;Model0.1T!$B$4,
'Coeff EC7'!$U$6:$X$6&amp;
'Coeff EC7'!$U$5:$X$5,0))</f>
        <v>1.4</v>
      </c>
      <c r="H320" s="91">
        <f t="array" ref="H320">INDEX('Coeff EC7'!$Y$7:$AB$27,
MATCH(Model0.1T!$B$3,'Coeff EC7'!$T$7:$T$27,0),
MATCH(Model0.1T!$D320&amp;Model0.1T!$B$4,
'Coeff EC7'!$Y$6:$AB$6&amp;
'Coeff EC7'!$Y$5:$AB$5,0))</f>
        <v>1.7</v>
      </c>
      <c r="I320" s="83">
        <v>0</v>
      </c>
      <c r="J320" s="91" t="e">
        <f t="array" ref="J320">INDEX('Coeff EC7'!$D$33:$Q$33,1,MATCH(D320&amp;E320,'Coeff EC7'!$D$31:$Q$31&amp;'Coeff EC7'!$D$32:$Q$32,0))</f>
        <v>#N/A</v>
      </c>
      <c r="K320" s="91" t="e">
        <f t="array" ref="K320">INDEX('Coeff EC7'!$D$34:$Q$34,1,MATCH(D320&amp;E320,'Coeff EC7'!$D$31:$Q$31&amp;'Coeff EC7'!$D$32:$Q$32,0))</f>
        <v>#N/A</v>
      </c>
      <c r="L320" s="91" t="e">
        <f t="array" ref="L320">INDEX('Coeff EC7'!$D$35:$Q$35,1,MATCH(D320&amp;E320,'Coeff EC7'!$D$31:$Q$31&amp;'Coeff EC7'!$D$32:$Q$32,0))</f>
        <v>#N/A</v>
      </c>
      <c r="M320" s="98" t="e">
        <f t="shared" si="431"/>
        <v>#N/A</v>
      </c>
      <c r="N320" s="99" t="e">
        <f t="array" ref="N320">INDEX('Coeff EC7'!$D$7:$Q$27,MATCH($B$3,'Coeff EC7'!$C$7:$C$27,0),MATCH(D320&amp;E320,'Coeff EC7'!$D$5:$Q$5&amp;'Coeff EC7'!$D$6:$Q$6,0))</f>
        <v>#N/A</v>
      </c>
      <c r="O320" s="99" t="e">
        <f t="array" ref="O320">INDEX('Coeff EC7'!$D$41:$Q$61,MATCH($B$3,'Coeff EC7'!$C$41:$C$61,0),MATCH(D320&amp;E320,'Coeff EC7'!$D$39:$Q$39&amp;'Coeff EC7'!$D$40:$Q$40,0))</f>
        <v>#N/A</v>
      </c>
      <c r="P320" s="30" t="e">
        <f t="shared" si="466"/>
        <v>#N/A</v>
      </c>
      <c r="Q320" s="100" t="e">
        <f t="shared" si="433"/>
        <v>#N/A</v>
      </c>
      <c r="R320" s="86" t="b">
        <f t="shared" si="434"/>
        <v>0</v>
      </c>
      <c r="S320" s="86">
        <f t="shared" si="432"/>
        <v>0.5</v>
      </c>
      <c r="T320" s="86">
        <f t="shared" si="435"/>
        <v>0.5</v>
      </c>
      <c r="U320" s="30" t="e">
        <f t="shared" ca="1" si="467"/>
        <v>#DIV/0!</v>
      </c>
      <c r="V320" s="85" t="str">
        <f>IF(B320&lt;=Hypothèses!$V$7,Hypothèses!$W$7,IF(B320&lt;=Hypothèses!$V$8,Hypothèses!$W$8,IF(B320&lt;=Hypothèses!$V$9,Hypothèses!$W$9,IF(B320&lt;=Hypothèses!$V$10,Hypothèses!$W$10,IF(B320&lt;=Hypothèses!$V$11,Hypothèses!$W$11,IF(B320&lt;=Hypothèses!$V$12,Hypothèses!$W$12,IF(B320&lt;=Hypothèses!$V$13,Hypothèses!$W$13,IF(B320&lt;=Hypothèses!$V$14,Hypothèses!$W$14,IF(B320&lt;=Hypothèses!$V$15,Hypothèses!$W$15,IF(B320&lt;=Hypothèses!$V$16,Hypothèses!$W$16,IF(B320&lt;=Hypothèses!$V$17,Hypothèses!$W$17,IF(B320&lt;=Hypothèses!$V$18,Hypothèses!$W$18,""))))))))))))</f>
        <v/>
      </c>
      <c r="W320" s="87" t="e">
        <f t="shared" ca="1" si="516"/>
        <v>#DIV/0!</v>
      </c>
      <c r="X320" s="88" t="str">
        <f>IF(B320&lt;=Hypothèses!$V$7,Hypothèses!$X$7,IF(B320&lt;=Hypothèses!$V$8,Hypothèses!$X$8,IF(B320&lt;=Hypothèses!$V$9,Hypothèses!$X$9,IF(B320&lt;=Hypothèses!$V$10,Hypothèses!$X$10,IF(B320&lt;=Hypothèses!$V$11,Hypothèses!$X$11,IF(B320&lt;=Hypothèses!$V$12,Hypothèses!$X$12,IF(B320&lt;=Hypothèses!$V$13,Hypothèses!$X$13,IF(B320&lt;=Hypothèses!$V$14,Hypothèses!$X$14,IF(B320&lt;=Hypothèses!$V$15,Hypothèses!$X$15,IF(B320&lt;=Hypothèses!$V$16,Hypothèses!$X$16,IF(B320&lt;=Hypothèses!$U$17,Hypothèses!$W$17,IF(B320&lt;=Hypothèses!$U$18,Hypothèses!$W$18,""))))))))))))</f>
        <v/>
      </c>
      <c r="Y320" s="95" t="e">
        <f t="shared" ca="1" si="436"/>
        <v>#DIV/0!</v>
      </c>
      <c r="Z320" s="101">
        <f t="shared" si="437"/>
        <v>0</v>
      </c>
      <c r="AA320" s="91">
        <f t="shared" si="438"/>
        <v>0</v>
      </c>
      <c r="AB320" s="30" t="e">
        <f t="shared" si="500"/>
        <v>#N/A</v>
      </c>
      <c r="AC320" s="30" t="e">
        <f t="shared" si="501"/>
        <v>#N/A</v>
      </c>
      <c r="AD320" s="31" t="e">
        <f>IF(OR(Hypothèses!$B$4=17,Hypothèses!$B$4=18,Hypothèses!$B$4=19,Hypothèses!$B$4=20),
IF($D320="Pressio.",
IF(OR($E320=3,$E320=1,$E320=4),AC320,AB320),
IF($D320="Pénétro.",
IF(OR($E320=3,$E320=1,$E320=4),AC320,AB320))),IF($D320="Pressio.",
IF($E320=3,AC320,AB320),
IF($D320="Pénétro.",
IF($E320=4,AC320,AB320))))</f>
        <v>#N/A</v>
      </c>
      <c r="AE320" s="31">
        <v>0</v>
      </c>
      <c r="AF320" s="102" t="e">
        <f>IF(NDC!$H$10="Oui",(VLOOKUP($B$3,'Coeff EC7'!$T$39:$X$59,2,0)*AD320+VLOOKUP($B$3,'Coeff EC7'!$T$65:$X$85,2,0)*Model0.1T!AE320)/1.5,PI()*AB$12*$Q320*($B320-$B319)*0.15/10+AF319)</f>
        <v>#N/A</v>
      </c>
      <c r="AG320" s="102" t="e">
        <f>(VLOOKUP($B$3,'Coeff EC7'!$T$39:$X$59,3,0)*AD320+VLOOKUP($B$3,'Coeff EC7'!$T$65:$X$85,3,0)*Model0.1T!AE320)/1.1</f>
        <v>#N/A</v>
      </c>
      <c r="AH320" s="102" t="e">
        <f t="shared" si="468"/>
        <v>#N/A</v>
      </c>
      <c r="AI320" s="102" t="e">
        <f t="shared" si="469"/>
        <v>#N/A</v>
      </c>
      <c r="AJ320" s="414" t="e">
        <f>IF(AND(AF320&gt;NDC!$C$63,AG320&gt;NDC!$C$65,AH320&gt;NDC!$D$73,AI320&gt;NDC!$D$74,$B320&gt;NDC!$H$22-0.1+MIN(3*$AJ$12,1.5)),0,1)</f>
        <v>#N/A</v>
      </c>
      <c r="AK320" s="86" t="b">
        <f t="shared" si="439"/>
        <v>0</v>
      </c>
      <c r="AL320" s="86">
        <f t="shared" si="470"/>
        <v>0.5</v>
      </c>
      <c r="AM320" s="86">
        <f t="shared" si="440"/>
        <v>0.5</v>
      </c>
      <c r="AN320" s="30" t="e">
        <f t="shared" ca="1" si="471"/>
        <v>#DIV/0!</v>
      </c>
      <c r="AO320" s="85" t="e">
        <f ca="1">IF(U320&lt;=Hypothèses!$V$7,Hypothèses!$W$7,IF(U320&lt;=Hypothèses!$V$8,Hypothèses!$W$8,IF(U320&lt;=Hypothèses!$V$9,Hypothèses!$W$9,IF(U320&lt;=Hypothèses!$V$10,Hypothèses!$W$10,IF(U320&lt;=Hypothèses!$V$11,Hypothèses!$W$11,IF(U320&lt;=Hypothèses!$V$12,Hypothèses!$W$12,IF(U320&lt;=Hypothèses!$V$13,Hypothèses!$W$13,IF(U320&lt;=Hypothèses!$V$14,Hypothèses!$W$14,IF(U320&lt;=Hypothèses!$V$15,Hypothèses!$W$15,IF(U320&lt;=Hypothèses!$V$16,Hypothèses!$W$16,IF(U320&lt;=Hypothèses!$V$17,Hypothèses!$W$17,IF(U320&lt;=Hypothèses!$V$18,Hypothèses!$W$18,""))))))))))))</f>
        <v>#DIV/0!</v>
      </c>
      <c r="AP320" s="87" t="e">
        <f t="shared" ca="1" si="517"/>
        <v>#DIV/0!</v>
      </c>
      <c r="AQ320" s="88" t="e">
        <f ca="1">IF(U320&lt;=Hypothèses!$V$7,Hypothèses!$X$7,IF(U320&lt;=Hypothèses!$V$8,Hypothèses!$X$8,IF(U320&lt;=Hypothèses!$V$9,Hypothèses!$X$9,IF(U320&lt;=Hypothèses!$V$10,Hypothèses!$X$10,IF(U320&lt;=Hypothèses!$V$11,Hypothèses!$X$11,IF(U320&lt;=Hypothèses!$V$12,Hypothèses!$X$12,IF(U320&lt;=Hypothèses!$V$13,Hypothèses!$X$13,IF(U320&lt;=Hypothèses!$V$14,Hypothèses!$X$14,IF(U320&lt;=Hypothèses!$V$15,Hypothèses!$X$15,IF(U320&lt;=Hypothèses!$V$16,Hypothèses!$X$16,IF(U320&lt;=Hypothèses!$U$17,Hypothèses!$W$17,IF(U320&lt;=Hypothèses!$U$18,Hypothèses!$W$18,""))))))))))))</f>
        <v>#DIV/0!</v>
      </c>
      <c r="AR320" s="95" t="e">
        <f t="shared" ca="1" si="472"/>
        <v>#DIV/0!</v>
      </c>
      <c r="AS320" s="101">
        <f t="shared" si="524"/>
        <v>0</v>
      </c>
      <c r="AT320" s="91">
        <f t="shared" si="441"/>
        <v>0</v>
      </c>
      <c r="AU320" s="30" t="e">
        <f t="shared" si="502"/>
        <v>#N/A</v>
      </c>
      <c r="AV320" s="30" t="e">
        <f t="shared" si="503"/>
        <v>#N/A</v>
      </c>
      <c r="AW320" s="31" t="e">
        <f>IF(OR(Hypothèses!$B$4=17,Hypothèses!$B$4=18,Hypothèses!$B$4=19,Hypothèses!$B$4=20),
IF($D320="Pressio.",
IF(OR($E320=3,$E320=1,$E320=4),AV320,AU320),
IF($D320="Pénétro.",
IF(OR($E320=3,$E320=1,$E320=4),AV320,AU320))),IF($D320="Pressio.",
IF($E320=3,AV320,AU320),
IF($D320="Pénétro.",
IF($E320=4,AV320,AU320))))</f>
        <v>#N/A</v>
      </c>
      <c r="AX320" s="31">
        <v>0</v>
      </c>
      <c r="AY320" s="102" t="e">
        <f>IF(NDC!$H$10="Oui",(VLOOKUP($B$3,'Coeff EC7'!$T$39:$X$59,2,0)*AW320+VLOOKUP($B$3,'Coeff EC7'!$T$65:$X$85,2,0)*Model0.1T!AX320)/1.5,PI()*AU$12*$Q320*($B320-$B319)*0.15/10+AY319)</f>
        <v>#N/A</v>
      </c>
      <c r="AZ320" s="102" t="e">
        <f>(VLOOKUP($B$3,'Coeff EC7'!$T$39:$X$59,3,0)*AW320+VLOOKUP($B$3,'Coeff EC7'!$T$65:$X$85,3,0)*Model0.1T!AX320)/1.1</f>
        <v>#N/A</v>
      </c>
      <c r="BA320" s="102" t="e">
        <f t="shared" si="473"/>
        <v>#N/A</v>
      </c>
      <c r="BB320" s="102" t="e">
        <f t="shared" si="474"/>
        <v>#N/A</v>
      </c>
      <c r="BC320" s="414" t="e">
        <f>IF(AND(AY320&gt;NDC!$C$63,AZ320&gt;NDC!$C$65,BA320&gt;NDC!$D$73,BB320&gt;NDC!$D$74,$B320&gt;NDC!$H$22-0.1+MIN(3*BC$12,1.5)),0,1)</f>
        <v>#N/A</v>
      </c>
      <c r="BD320" s="86" t="b">
        <f t="shared" si="442"/>
        <v>0</v>
      </c>
      <c r="BE320" s="86">
        <f t="shared" si="475"/>
        <v>0.5</v>
      </c>
      <c r="BF320" s="86">
        <f t="shared" si="443"/>
        <v>0.5</v>
      </c>
      <c r="BG320" s="30" t="e">
        <f t="shared" ca="1" si="476"/>
        <v>#DIV/0!</v>
      </c>
      <c r="BH320" s="85" t="e">
        <f ca="1">IF(AN320&lt;=Hypothèses!$V$7,Hypothèses!$W$7,IF(AN320&lt;=Hypothèses!$V$8,Hypothèses!$W$8,IF(AN320&lt;=Hypothèses!$V$9,Hypothèses!$W$9,IF(AN320&lt;=Hypothèses!$V$10,Hypothèses!$W$10,IF(AN320&lt;=Hypothèses!$V$11,Hypothèses!$W$11,IF(AN320&lt;=Hypothèses!$V$12,Hypothèses!$W$12,IF(AN320&lt;=Hypothèses!$V$13,Hypothèses!$W$13,IF(AN320&lt;=Hypothèses!$V$14,Hypothèses!$W$14,IF(AN320&lt;=Hypothèses!$V$15,Hypothèses!$W$15,IF(AN320&lt;=Hypothèses!$V$16,Hypothèses!$W$16,IF(AN320&lt;=Hypothèses!$V$17,Hypothèses!$W$17,IF(AN320&lt;=Hypothèses!$V$18,Hypothèses!$W$18,""))))))))))))</f>
        <v>#DIV/0!</v>
      </c>
      <c r="BI320" s="87" t="e">
        <f t="shared" ca="1" si="518"/>
        <v>#DIV/0!</v>
      </c>
      <c r="BJ320" s="88" t="e">
        <f ca="1">IF(AN320&lt;=Hypothèses!$V$7,Hypothèses!$X$7,IF(AN320&lt;=Hypothèses!$V$8,Hypothèses!$X$8,IF(AN320&lt;=Hypothèses!$V$9,Hypothèses!$X$9,IF(AN320&lt;=Hypothèses!$V$10,Hypothèses!$X$10,IF(AN320&lt;=Hypothèses!$V$11,Hypothèses!$X$11,IF(AN320&lt;=Hypothèses!$V$12,Hypothèses!$X$12,IF(AN320&lt;=Hypothèses!$V$13,Hypothèses!$X$13,IF(AN320&lt;=Hypothèses!$V$14,Hypothèses!$X$14,IF(AN320&lt;=Hypothèses!$V$15,Hypothèses!$X$15,IF(AN320&lt;=Hypothèses!$V$16,Hypothèses!$X$16,IF(AN320&lt;=Hypothèses!$U$17,Hypothèses!$W$17,IF(AN320&lt;=Hypothèses!$U$18,Hypothèses!$W$18,""))))))))))))</f>
        <v>#DIV/0!</v>
      </c>
      <c r="BK320" s="95" t="e">
        <f t="shared" ca="1" si="477"/>
        <v>#DIV/0!</v>
      </c>
      <c r="BL320" s="101">
        <f t="shared" si="525"/>
        <v>0</v>
      </c>
      <c r="BM320" s="91">
        <f t="shared" si="444"/>
        <v>0</v>
      </c>
      <c r="BN320" s="30" t="e">
        <f t="shared" si="504"/>
        <v>#N/A</v>
      </c>
      <c r="BO320" s="30" t="e">
        <f t="shared" si="505"/>
        <v>#N/A</v>
      </c>
      <c r="BP320" s="31" t="e">
        <f>IF(OR(Hypothèses!$B$4=17,Hypothèses!$B$4=18,Hypothèses!$B$4=19,Hypothèses!$B$4=20),
IF($D320="Pressio.",
IF(OR($E320=3,$E320=1,$E320=4),BO320,BN320),
IF($D320="Pénétro.",
IF(OR($E320=3,$E320=1,$E320=4),BO320,BN320))),IF($D320="Pressio.",
IF($E320=3,BO320,BN320),
IF($D320="Pénétro.",
IF($E320=4,BO320,BN320))))</f>
        <v>#N/A</v>
      </c>
      <c r="BQ320" s="31">
        <v>0</v>
      </c>
      <c r="BR320" s="102" t="e">
        <f>IF(NDC!$H$10="Oui",(VLOOKUP($B$3,'Coeff EC7'!$T$39:$X$59,2,0)*BP320+VLOOKUP($B$3,'Coeff EC7'!$T$65:$X$85,2,0)*Model0.1T!BQ320)/1.5,PI()*BN$12*$Q320*($B320-$B319)*0.15/10+BR319)</f>
        <v>#N/A</v>
      </c>
      <c r="BS320" s="102" t="e">
        <f>(VLOOKUP($B$3,'Coeff EC7'!$T$39:$X$59,3,0)*BP320+VLOOKUP($B$3,'Coeff EC7'!$T$65:$X$85,3,0)*Model0.1T!BQ320)/1.1</f>
        <v>#N/A</v>
      </c>
      <c r="BT320" s="102" t="e">
        <f t="shared" si="478"/>
        <v>#N/A</v>
      </c>
      <c r="BU320" s="102" t="e">
        <f t="shared" si="479"/>
        <v>#N/A</v>
      </c>
      <c r="BV320" s="414" t="e">
        <f>IF(AND(BR320&gt;NDC!$C$63,BS320&gt;NDC!$C$65,BT320&gt;NDC!$D$73,BU320&gt;NDC!$D$74,$B320&gt;NDC!$H$22-0.1+MIN(3*BV$12,1.5)),0,1)</f>
        <v>#N/A</v>
      </c>
      <c r="BW320" s="86" t="b">
        <f t="shared" si="445"/>
        <v>0</v>
      </c>
      <c r="BX320" s="86">
        <f t="shared" si="446"/>
        <v>0.5</v>
      </c>
      <c r="BY320" s="86">
        <f t="shared" si="447"/>
        <v>0.5</v>
      </c>
      <c r="BZ320" s="30" t="e">
        <f t="shared" ca="1" si="480"/>
        <v>#DIV/0!</v>
      </c>
      <c r="CA320" s="85" t="e">
        <f ca="1">IF(BG320&lt;=Hypothèses!$V$7,Hypothèses!$W$7,IF(BG320&lt;=Hypothèses!$V$8,Hypothèses!$W$8,IF(BG320&lt;=Hypothèses!$V$9,Hypothèses!$W$9,IF(BG320&lt;=Hypothèses!$V$10,Hypothèses!$W$10,IF(BG320&lt;=Hypothèses!$V$11,Hypothèses!$W$11,IF(BG320&lt;=Hypothèses!$V$12,Hypothèses!$W$12,IF(BG320&lt;=Hypothèses!$V$13,Hypothèses!$W$13,IF(BG320&lt;=Hypothèses!$V$14,Hypothèses!$W$14,IF(BG320&lt;=Hypothèses!$V$15,Hypothèses!$W$15,IF(BG320&lt;=Hypothèses!$V$16,Hypothèses!$W$16,IF(BG320&lt;=Hypothèses!$V$17,Hypothèses!$W$17,IF(BG320&lt;=Hypothèses!$V$18,Hypothèses!$W$18,""))))))))))))</f>
        <v>#DIV/0!</v>
      </c>
      <c r="CB320" s="87" t="e">
        <f t="shared" ca="1" si="519"/>
        <v>#DIV/0!</v>
      </c>
      <c r="CC320" s="88" t="e">
        <f ca="1">IF(BG320&lt;=Hypothèses!$V$7,Hypothèses!$X$7,IF(BG320&lt;=Hypothèses!$V$8,Hypothèses!$X$8,IF(BG320&lt;=Hypothèses!$V$9,Hypothèses!$X$9,IF(BG320&lt;=Hypothèses!$V$10,Hypothèses!$X$10,IF(BG320&lt;=Hypothèses!$V$11,Hypothèses!$X$11,IF(BG320&lt;=Hypothèses!$V$12,Hypothèses!$X$12,IF(BG320&lt;=Hypothèses!$V$13,Hypothèses!$X$13,IF(BG320&lt;=Hypothèses!$V$14,Hypothèses!$X$14,IF(BG320&lt;=Hypothèses!$V$15,Hypothèses!$X$15,IF(BG320&lt;=Hypothèses!$V$16,Hypothèses!$X$16,IF(BG320&lt;=Hypothèses!$U$17,Hypothèses!$W$17,IF(BG320&lt;=Hypothèses!$U$18,Hypothèses!$W$18,""))))))))))))</f>
        <v>#DIV/0!</v>
      </c>
      <c r="CD320" s="95" t="e">
        <f t="shared" ca="1" si="481"/>
        <v>#DIV/0!</v>
      </c>
      <c r="CE320" s="101">
        <f t="shared" si="526"/>
        <v>0</v>
      </c>
      <c r="CF320" s="91">
        <f t="shared" si="448"/>
        <v>0</v>
      </c>
      <c r="CG320" s="30" t="e">
        <f t="shared" si="506"/>
        <v>#N/A</v>
      </c>
      <c r="CH320" s="30" t="e">
        <f t="shared" si="507"/>
        <v>#N/A</v>
      </c>
      <c r="CI320" s="31" t="e">
        <f>IF(OR(Hypothèses!$B$4=17,Hypothèses!$B$4=18,Hypothèses!$B$4=19,Hypothèses!$B$4=20),
IF($D320="Pressio.",
IF(OR($E320=3,$E320=1,$E320=4),CH320,CG320),
IF($D320="Pénétro.",
IF(OR($E320=3,$E320=1,$E320=4),CH320,CG320))),IF($D320="Pressio.",
IF($E320=3,CH320,CG320),
IF($D320="Pénétro.",
IF($E320=4,CH320,CG320))))</f>
        <v>#N/A</v>
      </c>
      <c r="CJ320" s="31">
        <v>0</v>
      </c>
      <c r="CK320" s="102" t="e">
        <f>IF(NDC!$H$10="Oui",(VLOOKUP($B$3,'Coeff EC7'!$T$39:$X$59,2,0)*CI320+VLOOKUP($B$3,'Coeff EC7'!$T$65:$X$85,2,0)*Model0.1T!CJ320)/1.5,PI()*CG$12*$Q320*($B320-$B319)*0.15/10+CK319)</f>
        <v>#N/A</v>
      </c>
      <c r="CL320" s="102" t="e">
        <f>(VLOOKUP($B$3,'Coeff EC7'!$T$39:$X$59,3,0)*CI320+VLOOKUP($B$3,'Coeff EC7'!$T$65:$X$85,3,0)*Model0.1T!CJ320)/1.1</f>
        <v>#N/A</v>
      </c>
      <c r="CM320" s="102" t="e">
        <f t="shared" si="482"/>
        <v>#N/A</v>
      </c>
      <c r="CN320" s="102" t="e">
        <f t="shared" si="483"/>
        <v>#N/A</v>
      </c>
      <c r="CO320" s="414" t="e">
        <f>IF(AND(CK320&gt;NDC!$C$63,CL320&gt;NDC!$C$65,CM320&gt;NDC!$D$73,CN320&gt;NDC!$D$74,$B320&gt;NDC!$H$22-0.1+MIN(3*CO$12,1.5)),0,1)</f>
        <v>#N/A</v>
      </c>
      <c r="CP320" s="86" t="b">
        <f t="shared" si="449"/>
        <v>0</v>
      </c>
      <c r="CQ320" s="86">
        <f t="shared" si="450"/>
        <v>0.5</v>
      </c>
      <c r="CR320" s="86">
        <f t="shared" si="451"/>
        <v>0.5</v>
      </c>
      <c r="CS320" s="30" t="e">
        <f t="shared" ca="1" si="484"/>
        <v>#DIV/0!</v>
      </c>
      <c r="CT320" s="85" t="e">
        <f ca="1">IF(BZ320&lt;=Hypothèses!$V$7,Hypothèses!$W$7,IF(BZ320&lt;=Hypothèses!$V$8,Hypothèses!$W$8,IF(BZ320&lt;=Hypothèses!$V$9,Hypothèses!$W$9,IF(BZ320&lt;=Hypothèses!$V$10,Hypothèses!$W$10,IF(BZ320&lt;=Hypothèses!$V$11,Hypothèses!$W$11,IF(BZ320&lt;=Hypothèses!$V$12,Hypothèses!$W$12,IF(BZ320&lt;=Hypothèses!$V$13,Hypothèses!$W$13,IF(BZ320&lt;=Hypothèses!$V$14,Hypothèses!$W$14,IF(BZ320&lt;=Hypothèses!$V$15,Hypothèses!$W$15,IF(BZ320&lt;=Hypothèses!$V$16,Hypothèses!$W$16,IF(BZ320&lt;=Hypothèses!$V$17,Hypothèses!$W$17,IF(BZ320&lt;=Hypothèses!$V$18,Hypothèses!$W$18,""))))))))))))</f>
        <v>#DIV/0!</v>
      </c>
      <c r="CU320" s="87" t="e">
        <f t="shared" ca="1" si="520"/>
        <v>#DIV/0!</v>
      </c>
      <c r="CV320" s="88" t="e">
        <f ca="1">IF(BZ320&lt;=Hypothèses!$V$7,Hypothèses!$X$7,IF(BZ320&lt;=Hypothèses!$V$8,Hypothèses!$X$8,IF(BZ320&lt;=Hypothèses!$V$9,Hypothèses!$X$9,IF(BZ320&lt;=Hypothèses!$V$10,Hypothèses!$X$10,IF(BZ320&lt;=Hypothèses!$V$11,Hypothèses!$X$11,IF(BZ320&lt;=Hypothèses!$V$12,Hypothèses!$X$12,IF(BZ320&lt;=Hypothèses!$V$13,Hypothèses!$X$13,IF(BZ320&lt;=Hypothèses!$V$14,Hypothèses!$X$14,IF(BZ320&lt;=Hypothèses!$V$15,Hypothèses!$X$15,IF(BZ320&lt;=Hypothèses!$V$16,Hypothèses!$X$16,IF(BZ320&lt;=Hypothèses!$U$17,Hypothèses!$W$17,IF(BZ320&lt;=Hypothèses!$U$18,Hypothèses!$W$18,""))))))))))))</f>
        <v>#DIV/0!</v>
      </c>
      <c r="CW320" s="95" t="e">
        <f t="shared" ca="1" si="485"/>
        <v>#DIV/0!</v>
      </c>
      <c r="CX320" s="101">
        <f t="shared" si="527"/>
        <v>0</v>
      </c>
      <c r="CY320" s="91">
        <f t="shared" si="452"/>
        <v>0</v>
      </c>
      <c r="CZ320" s="30" t="e">
        <f t="shared" si="508"/>
        <v>#N/A</v>
      </c>
      <c r="DA320" s="30" t="e">
        <f t="shared" si="509"/>
        <v>#N/A</v>
      </c>
      <c r="DB320" s="31" t="e">
        <f>IF(OR(Hypothèses!$B$4=17,Hypothèses!$B$4=18,Hypothèses!$B$4=19,Hypothèses!$B$4=20),
IF($D320="Pressio.",
IF(OR($E320=3,$E320=1,$E320=4),DA320,CZ320),
IF($D320="Pénétro.",
IF(OR($E320=3,$E320=1,$E320=4),DA320,CZ320))),IF($D320="Pressio.",
IF($E320=3,DA320,CZ320),
IF($D320="Pénétro.",
IF($E320=4,DA320,CZ320))))</f>
        <v>#N/A</v>
      </c>
      <c r="DC320" s="31">
        <v>0</v>
      </c>
      <c r="DD320" s="102" t="e">
        <f>IF(NDC!$H$10="Oui",(VLOOKUP($B$3,'Coeff EC7'!$T$39:$X$59,2,0)*DB320+VLOOKUP($B$3,'Coeff EC7'!$T$65:$X$85,2,0)*Model0.1T!DC320)/1.5,PI()*CZ$12*$Q320*($B320-$B319)*0.15/10+DD319)</f>
        <v>#N/A</v>
      </c>
      <c r="DE320" s="102" t="e">
        <f>(VLOOKUP($B$3,'Coeff EC7'!$T$39:$X$59,3,0)*DB320+VLOOKUP($B$3,'Coeff EC7'!$T$65:$X$85,3,0)*Model0.1T!DC320)/1.1</f>
        <v>#N/A</v>
      </c>
      <c r="DF320" s="102" t="e">
        <f t="shared" si="486"/>
        <v>#N/A</v>
      </c>
      <c r="DG320" s="102" t="e">
        <f t="shared" si="487"/>
        <v>#N/A</v>
      </c>
      <c r="DH320" s="414" t="e">
        <f>IF(AND(DD320&gt;NDC!$C$63,DE320&gt;NDC!$C$65,DF320&gt;NDC!$D$73,DG320&gt;NDC!$D$74,$B320&gt;NDC!$H$22-0.1+MIN(3*DH$12,1.5)),0,1)</f>
        <v>#N/A</v>
      </c>
      <c r="DI320" s="86" t="b">
        <f t="shared" si="453"/>
        <v>0</v>
      </c>
      <c r="DJ320" s="86">
        <f t="shared" si="454"/>
        <v>0.5</v>
      </c>
      <c r="DK320" s="86">
        <f t="shared" si="455"/>
        <v>0.5</v>
      </c>
      <c r="DL320" s="30" t="e">
        <f t="shared" ca="1" si="488"/>
        <v>#DIV/0!</v>
      </c>
      <c r="DM320" s="85" t="e">
        <f ca="1">IF(CS320&lt;=Hypothèses!$V$7,Hypothèses!$W$7,IF(CS320&lt;=Hypothèses!$V$8,Hypothèses!$W$8,IF(CS320&lt;=Hypothèses!$V$9,Hypothèses!$W$9,IF(CS320&lt;=Hypothèses!$V$10,Hypothèses!$W$10,IF(CS320&lt;=Hypothèses!$V$11,Hypothèses!$W$11,IF(CS320&lt;=Hypothèses!$V$12,Hypothèses!$W$12,IF(CS320&lt;=Hypothèses!$V$13,Hypothèses!$W$13,IF(CS320&lt;=Hypothèses!$V$14,Hypothèses!$W$14,IF(CS320&lt;=Hypothèses!$V$15,Hypothèses!$W$15,IF(CS320&lt;=Hypothèses!$V$16,Hypothèses!$W$16,IF(CS320&lt;=Hypothèses!$V$17,Hypothèses!$W$17,IF(CS320&lt;=Hypothèses!$V$18,Hypothèses!$W$18,""))))))))))))</f>
        <v>#DIV/0!</v>
      </c>
      <c r="DN320" s="87" t="e">
        <f t="shared" ca="1" si="521"/>
        <v>#DIV/0!</v>
      </c>
      <c r="DO320" s="88" t="e">
        <f ca="1">IF(CS320&lt;=Hypothèses!$V$7,Hypothèses!$X$7,IF(CS320&lt;=Hypothèses!$V$8,Hypothèses!$X$8,IF(CS320&lt;=Hypothèses!$V$9,Hypothèses!$X$9,IF(CS320&lt;=Hypothèses!$V$10,Hypothèses!$X$10,IF(CS320&lt;=Hypothèses!$V$11,Hypothèses!$X$11,IF(CS320&lt;=Hypothèses!$V$12,Hypothèses!$X$12,IF(CS320&lt;=Hypothèses!$V$13,Hypothèses!$X$13,IF(CS320&lt;=Hypothèses!$V$14,Hypothèses!$X$14,IF(CS320&lt;=Hypothèses!$V$15,Hypothèses!$X$15,IF(CS320&lt;=Hypothèses!$V$16,Hypothèses!$X$16,IF(CS320&lt;=Hypothèses!$U$17,Hypothèses!$W$17,IF(CS320&lt;=Hypothèses!$U$18,Hypothèses!$W$18,""))))))))))))</f>
        <v>#DIV/0!</v>
      </c>
      <c r="DP320" s="95" t="e">
        <f t="shared" ca="1" si="489"/>
        <v>#DIV/0!</v>
      </c>
      <c r="DQ320" s="101">
        <f t="shared" si="528"/>
        <v>0</v>
      </c>
      <c r="DR320" s="91">
        <f t="shared" si="456"/>
        <v>0</v>
      </c>
      <c r="DS320" s="30" t="e">
        <f t="shared" si="510"/>
        <v>#N/A</v>
      </c>
      <c r="DT320" s="30" t="e">
        <f t="shared" si="511"/>
        <v>#N/A</v>
      </c>
      <c r="DU320" s="31" t="e">
        <f>IF(OR(Hypothèses!$B$4=17,Hypothèses!$B$4=18,Hypothèses!$B$4=19,Hypothèses!$B$4=20),
IF($D320="Pressio.",
IF(OR($E320=3,$E320=1,$E320=4),DT320,DS320),
IF($D320="Pénétro.",
IF(OR($E320=3,$E320=1,$E320=4),DT320,DS320))),IF($D320="Pressio.",
IF($E320=3,DT320,DS320),
IF($D320="Pénétro.",
IF($E320=4,DT320,DS320))))</f>
        <v>#N/A</v>
      </c>
      <c r="DV320" s="31">
        <v>0</v>
      </c>
      <c r="DW320" s="102" t="e">
        <f>IF(NDC!$H$10="Oui",(VLOOKUP($B$3,'Coeff EC7'!$T$39:$X$59,2,0)*DU320+VLOOKUP($B$3,'Coeff EC7'!$T$65:$X$85,2,0)*Model0.1T!DV320)/1.5,PI()*DS$12*$Q320*($B320-$B319)*0.15/10+DW319)</f>
        <v>#N/A</v>
      </c>
      <c r="DX320" s="102" t="e">
        <f>(VLOOKUP($B$3,'Coeff EC7'!$T$39:$X$59,3,0)*DU320+VLOOKUP($B$3,'Coeff EC7'!$T$65:$X$85,3,0)*Model0.1T!DV320)/1.1</f>
        <v>#N/A</v>
      </c>
      <c r="DY320" s="102" t="e">
        <f t="shared" si="490"/>
        <v>#N/A</v>
      </c>
      <c r="DZ320" s="102" t="e">
        <f t="shared" si="491"/>
        <v>#N/A</v>
      </c>
      <c r="EA320" s="414" t="e">
        <f>IF(AND(DW320&gt;NDC!$C$63,DX320&gt;NDC!$C$65,DY320&gt;NDC!$D$73,DZ320&gt;NDC!$D$74,$B320&gt;NDC!$H$22-0.1+MIN(3*EA$12,1.5)),0,1)</f>
        <v>#N/A</v>
      </c>
      <c r="EB320" s="86" t="b">
        <f t="shared" si="457"/>
        <v>0</v>
      </c>
      <c r="EC320" s="418">
        <f t="shared" si="458"/>
        <v>0.51</v>
      </c>
      <c r="ED320" s="86">
        <f t="shared" si="459"/>
        <v>0.51</v>
      </c>
      <c r="EE320" s="30" t="e">
        <f t="shared" ca="1" si="492"/>
        <v>#DIV/0!</v>
      </c>
      <c r="EF320" s="85" t="e">
        <f ca="1">IF(DL320&lt;=Hypothèses!$V$7,Hypothèses!$W$7,IF(DL320&lt;=Hypothèses!$V$8,Hypothèses!$W$8,IF(DL320&lt;=Hypothèses!$V$9,Hypothèses!$W$9,IF(DL320&lt;=Hypothèses!$V$10,Hypothèses!$W$10,IF(DL320&lt;=Hypothèses!$V$11,Hypothèses!$W$11,IF(DL320&lt;=Hypothèses!$V$12,Hypothèses!$W$12,IF(DL320&lt;=Hypothèses!$V$13,Hypothèses!$W$13,IF(DL320&lt;=Hypothèses!$V$14,Hypothèses!$W$14,IF(DL320&lt;=Hypothèses!$V$15,Hypothèses!$W$15,IF(DL320&lt;=Hypothèses!$V$16,Hypothèses!$W$16,IF(DL320&lt;=Hypothèses!$V$17,Hypothèses!$W$17,IF(DL320&lt;=Hypothèses!$V$18,Hypothèses!$W$18,""))))))))))))</f>
        <v>#DIV/0!</v>
      </c>
      <c r="EG320" s="87" t="e">
        <f t="shared" ca="1" si="522"/>
        <v>#DIV/0!</v>
      </c>
      <c r="EH320" s="88" t="e">
        <f ca="1">IF(DL320&lt;=Hypothèses!$V$7,Hypothèses!$X$7,IF(DL320&lt;=Hypothèses!$V$8,Hypothèses!$X$8,IF(DL320&lt;=Hypothèses!$V$9,Hypothèses!$X$9,IF(DL320&lt;=Hypothèses!$V$10,Hypothèses!$X$10,IF(DL320&lt;=Hypothèses!$V$11,Hypothèses!$X$11,IF(DL320&lt;=Hypothèses!$V$12,Hypothèses!$X$12,IF(DL320&lt;=Hypothèses!$V$13,Hypothèses!$X$13,IF(DL320&lt;=Hypothèses!$V$14,Hypothèses!$X$14,IF(DL320&lt;=Hypothèses!$V$15,Hypothèses!$X$15,IF(DL320&lt;=Hypothèses!$V$16,Hypothèses!$X$16,IF(DL320&lt;=Hypothèses!$U$17,Hypothèses!$W$17,IF(DL320&lt;=Hypothèses!$U$18,Hypothèses!$W$18,""))))))))))))</f>
        <v>#DIV/0!</v>
      </c>
      <c r="EI320" s="95" t="e">
        <f t="shared" ca="1" si="493"/>
        <v>#DIV/0!</v>
      </c>
      <c r="EJ320" s="101">
        <f t="shared" si="529"/>
        <v>0</v>
      </c>
      <c r="EK320" s="91">
        <f t="shared" si="460"/>
        <v>0</v>
      </c>
      <c r="EL320" s="30" t="e">
        <f t="shared" si="512"/>
        <v>#N/A</v>
      </c>
      <c r="EM320" s="30" t="e">
        <f t="shared" si="513"/>
        <v>#N/A</v>
      </c>
      <c r="EN320" s="31" t="e">
        <f>IF(OR(Hypothèses!$B$4=17,Hypothèses!$B$4=18,Hypothèses!$B$4=19,Hypothèses!$B$4=20),
IF($D320="Pressio.",
IF(OR($E320=3,$E320=1,$E320=4),EM320,EL320),
IF($D320="Pénétro.",
IF(OR($E320=3,$E320=1,$E320=4),EM320,EL320))),IF($D320="Pressio.",
IF($E320=3,EM320,EL320),
IF($D320="Pénétro.",
IF($E320=4,EM320,EL320))))</f>
        <v>#N/A</v>
      </c>
      <c r="EO320" s="31">
        <v>0</v>
      </c>
      <c r="EP320" s="102" t="e">
        <f>IF(NDC!$H$10="Oui",(VLOOKUP($B$3,'Coeff EC7'!$T$39:$X$59,2,0)*EN320+VLOOKUP($B$3,'Coeff EC7'!$T$65:$X$85,2,0)*Model0.1T!EO320)/1.5,PI()*EL$12*$Q320*($B320-$B319)*0.15/10+EP319)</f>
        <v>#N/A</v>
      </c>
      <c r="EQ320" s="102" t="e">
        <f>(VLOOKUP($B$3,'Coeff EC7'!$T$39:$X$59,3,0)*EN320+VLOOKUP($B$3,'Coeff EC7'!$T$65:$X$85,3,0)*Model0.1T!EO320)/1.1</f>
        <v>#N/A</v>
      </c>
      <c r="ER320" s="102" t="e">
        <f t="shared" si="494"/>
        <v>#N/A</v>
      </c>
      <c r="ES320" s="102" t="e">
        <f t="shared" si="495"/>
        <v>#N/A</v>
      </c>
      <c r="ET320" s="414" t="e">
        <f>IF(AND(EP320&gt;NDC!$C$63,EQ320&gt;NDC!$C$65,ER320&gt;NDC!$D$73,ES320&gt;NDC!$D$74,$B320&gt;NDC!$H$22-0.1+MIN(3*ET$12,1.5)),0,1)</f>
        <v>#N/A</v>
      </c>
      <c r="EU320" s="86" t="b">
        <f t="shared" si="461"/>
        <v>0</v>
      </c>
      <c r="EV320" s="86">
        <f t="shared" si="462"/>
        <v>0.61</v>
      </c>
      <c r="EW320" s="86">
        <f t="shared" si="463"/>
        <v>0.61</v>
      </c>
      <c r="EX320" s="30" t="e">
        <f t="shared" ca="1" si="496"/>
        <v>#DIV/0!</v>
      </c>
      <c r="EY320" s="85" t="e">
        <f ca="1">IF(EE320&lt;=Hypothèses!$V$7,Hypothèses!$W$7,IF(EE320&lt;=Hypothèses!$V$8,Hypothèses!$W$8,IF(EE320&lt;=Hypothèses!$V$9,Hypothèses!$W$9,IF(EE320&lt;=Hypothèses!$V$10,Hypothèses!$W$10,IF(EE320&lt;=Hypothèses!$V$11,Hypothèses!$W$11,IF(EE320&lt;=Hypothèses!$V$12,Hypothèses!$W$12,IF(EE320&lt;=Hypothèses!$V$13,Hypothèses!$W$13,IF(EE320&lt;=Hypothèses!$V$14,Hypothèses!$W$14,IF(EE320&lt;=Hypothèses!$V$15,Hypothèses!$W$15,IF(EE320&lt;=Hypothèses!$V$16,Hypothèses!$W$16,IF(EE320&lt;=Hypothèses!$V$17,Hypothèses!$W$17,IF(EE320&lt;=Hypothèses!$V$18,Hypothèses!$W$18,""))))))))))))</f>
        <v>#DIV/0!</v>
      </c>
      <c r="EZ320" s="87" t="e">
        <f t="shared" ca="1" si="523"/>
        <v>#DIV/0!</v>
      </c>
      <c r="FA320" s="88" t="e">
        <f ca="1">IF(EE320&lt;=Hypothèses!$V$7,Hypothèses!$X$7,IF(EE320&lt;=Hypothèses!$V$8,Hypothèses!$X$8,IF(EE320&lt;=Hypothèses!$V$9,Hypothèses!$X$9,IF(EE320&lt;=Hypothèses!$V$10,Hypothèses!$X$10,IF(EE320&lt;=Hypothèses!$V$11,Hypothèses!$X$11,IF(EE320&lt;=Hypothèses!$V$12,Hypothèses!$X$12,IF(EE320&lt;=Hypothèses!$V$13,Hypothèses!$X$13,IF(EE320&lt;=Hypothèses!$V$14,Hypothèses!$X$14,IF(EE320&lt;=Hypothèses!$V$15,Hypothèses!$X$15,IF(EE320&lt;=Hypothèses!$V$16,Hypothèses!$X$16,IF(EE320&lt;=Hypothèses!$U$17,Hypothèses!$W$17,IF(EE320&lt;=Hypothèses!$U$18,Hypothèses!$W$18,""))))))))))))</f>
        <v>#DIV/0!</v>
      </c>
      <c r="FB320" s="95" t="e">
        <f t="shared" ca="1" si="497"/>
        <v>#DIV/0!</v>
      </c>
      <c r="FC320" s="101">
        <f t="shared" si="530"/>
        <v>0</v>
      </c>
      <c r="FD320" s="91">
        <f t="shared" si="464"/>
        <v>0</v>
      </c>
      <c r="FE320" s="30" t="e">
        <f t="shared" si="514"/>
        <v>#N/A</v>
      </c>
      <c r="FF320" s="30" t="e">
        <f t="shared" si="515"/>
        <v>#N/A</v>
      </c>
      <c r="FG320" s="31" t="e">
        <f>IF(OR(Hypothèses!$B$4=17,Hypothèses!$B$4=18,Hypothèses!$B$4=19,Hypothèses!$B$4=20),
IF($D320="Pressio.",
IF(OR($E320=3,$E320=1,$E320=4),FF320,FE320),
IF($D320="Pénétro.",
IF(OR($E320=3,$E320=1,$E320=4),FF320,FE320))),IF($D320="Pressio.",
IF($E320=3,FF320,FE320),
IF($D320="Pénétro.",
IF($E320=4,FF320,FE320))))</f>
        <v>#N/A</v>
      </c>
      <c r="FH320" s="31">
        <v>0</v>
      </c>
      <c r="FI320" s="102" t="e">
        <f>IF(NDC!$H$10="Oui",(VLOOKUP($B$3,'Coeff EC7'!$T$39:$X$59,2,0)*FG320+VLOOKUP($B$3,'Coeff EC7'!$T$65:$X$85,2,0)*Model0.1T!FH320)/1.5,PI()*FE$12*$Q320*($B320-$B319)*0.15/10+FI319)</f>
        <v>#N/A</v>
      </c>
      <c r="FJ320" s="102" t="e">
        <f>(VLOOKUP($B$3,'Coeff EC7'!$T$39:$X$59,3,0)*FG320+VLOOKUP($B$3,'Coeff EC7'!$T$65:$X$85,3,0)*Model0.1T!FH320)/1.1</f>
        <v>#N/A</v>
      </c>
      <c r="FK320" s="102" t="e">
        <f t="shared" si="498"/>
        <v>#N/A</v>
      </c>
      <c r="FL320" s="102" t="e">
        <f t="shared" si="499"/>
        <v>#N/A</v>
      </c>
      <c r="FM320" s="414" t="e">
        <f>IF(AND(FI320&gt;NDC!$C$63,FJ320&gt;NDC!$C$65,FK320&gt;NDC!$D$73,FL320&gt;NDC!$D$74,$B320&gt;NDC!$H$22-0.1+MIN(3*FM$12,1.5)),0,1)</f>
        <v>#N/A</v>
      </c>
    </row>
    <row r="321" spans="1:169">
      <c r="A321" s="96">
        <f t="shared" si="465"/>
        <v>69.200000000001751</v>
      </c>
      <c r="B321" s="97">
        <v>30.8</v>
      </c>
      <c r="C321" s="81">
        <f>IF(B321&lt;=Hypothèses!$C$7,Hypothèses!$A$7,IF(B321&lt;=Hypothèses!$C$8,Hypothèses!$A$8,IF(B321&lt;=Hypothèses!$C$9,Hypothèses!$A$9,IF(B321&lt;=Hypothèses!$C$10,Hypothèses!$A$10,IF(B321&lt;=Hypothèses!$C$11,Hypothèses!$A$11,IF(B321&lt;=Hypothèses!$C$12,Hypothèses!$A$12,IF(B321&lt;=Hypothèses!$C$13,Hypothèses!$A$13,IF(B321&lt;=Hypothèses!$C$14,Hypothèses!$A$14,IF(B321&lt;=Hypothèses!$C$15,Hypothèses!$A$15,IF(B321&lt;=Hypothèses!$C$16,Hypothèses!$A$16,IF(B321&lt;=Hypothèses!$C$17,Hypothèses!$A$17,IF(B321&lt;=Hypothèses!$C$18,Hypothèses!$A$18,C320))))))))))))</f>
        <v>11</v>
      </c>
      <c r="D321" s="82" t="str">
        <f>IF(B321&lt;=Hypothèses!$C$7,Hypothèses!$R$7,IF(B321&lt;=Hypothèses!$C$8,Hypothèses!$R$8,IF(B321&lt;=Hypothèses!$C$9,Hypothèses!$R$9,IF(B321&lt;=Hypothèses!$C$10,Hypothèses!$R$10,IF(B321&lt;=Hypothèses!$C$11,Hypothèses!$R$11,IF(B321&lt;=Hypothèses!$C$12,Hypothèses!$R$12,IF(B321&lt;=Hypothèses!$C$13,Hypothèses!$R$13,IF(B321&lt;=Hypothèses!$C$14,Hypothèses!$R$14,IF(B321&lt;=Hypothèses!$C$15,Hypothèses!$R$15,IF(B321&lt;=Hypothèses!$C$16,Hypothèses!$R$16,IF(B321&lt;=Hypothèses!$C$17,Hypothèses!$R$17,IF(B321&lt;=Hypothèses!$C$18,Hypothèses!$R$18,D320))))))))))))</f>
        <v>Pressio.</v>
      </c>
      <c r="E321" s="82" t="e">
        <f>IF(B321&lt;=Hypothèses!$C$7,Hypothèses!$G$7,IF(B321&lt;=Hypothèses!$C$8,Hypothèses!$G$8,IF(B321&lt;=Hypothèses!$C$9,Hypothèses!$G$9,IF(B321&lt;=Hypothèses!$C$10,Hypothèses!$G$10,IF(B321&lt;=Hypothèses!$C$11,Hypothèses!$G$11,IF(B321&lt;=Hypothèses!$C$12,Hypothèses!$G$12,IF(B321&lt;=Hypothèses!$C$13,Hypothèses!$G$13,IF(B321&lt;=Hypothèses!$C$14,Hypothèses!$G$14,IF(B321&lt;=Hypothèses!$C$15,Hypothèses!$G$15,IF(B321&lt;=Hypothèses!$C$16,Hypothèses!$G$16,IF(B321&lt;=Hypothèses!$C$17,Hypothèses!$G$17,IF(B321&lt;=Hypothèses!$C$18,Hypothèses!$G$18,E320))))))))))))</f>
        <v>#N/A</v>
      </c>
      <c r="F321" s="82" t="str">
        <f>IF(B321&lt;=Hypothèses!$C$7,Hypothèses!$F$7,IF(B321&lt;=Hypothèses!$C$8,Hypothèses!$F$8,IF(B321&lt;=Hypothèses!$C$9,Hypothèses!$F$9,IF(B321&lt;=Hypothèses!$C$10,Hypothèses!$F$10,IF(B321&lt;=Hypothèses!$C$11,Hypothèses!$F$11,IF(B321&lt;=Hypothèses!$C$12,Hypothèses!$F$12,IF(B321&lt;=Hypothèses!$C$13,Hypothèses!$F$13,IF(B321&lt;=Hypothèses!$C$14,Hypothèses!$F$14,IF(B321&lt;=Hypothèses!$C$15,Hypothèses!$F$15,IF(B321&lt;=Hypothèses!$C$16,Hypothèses!$F$16,IF(B321&lt;=Hypothèses!$C$17,Hypothèses!$F$17,IF(B321&lt;=Hypothèses!$C$18,Hypothèses!$F$18,F320))))))))))))</f>
        <v/>
      </c>
      <c r="G321" s="91">
        <f t="array" ref="G321">INDEX('Coeff EC7'!$U$7:$X$27,
MATCH(Model0.1T!$B$3,'Coeff EC7'!$T$7:$T$27,0),
MATCH(Model0.1T!$D321&amp;Model0.1T!$B$4,
'Coeff EC7'!$U$6:$X$6&amp;
'Coeff EC7'!$U$5:$X$5,0))</f>
        <v>1.4</v>
      </c>
      <c r="H321" s="91">
        <f t="array" ref="H321">INDEX('Coeff EC7'!$Y$7:$AB$27,
MATCH(Model0.1T!$B$3,'Coeff EC7'!$T$7:$T$27,0),
MATCH(Model0.1T!$D321&amp;Model0.1T!$B$4,
'Coeff EC7'!$Y$6:$AB$6&amp;
'Coeff EC7'!$Y$5:$AB$5,0))</f>
        <v>1.7</v>
      </c>
      <c r="I321" s="83">
        <v>0</v>
      </c>
      <c r="J321" s="91" t="e">
        <f t="array" ref="J321">INDEX('Coeff EC7'!$D$33:$Q$33,1,MATCH(D321&amp;E321,'Coeff EC7'!$D$31:$Q$31&amp;'Coeff EC7'!$D$32:$Q$32,0))</f>
        <v>#N/A</v>
      </c>
      <c r="K321" s="91" t="e">
        <f t="array" ref="K321">INDEX('Coeff EC7'!$D$34:$Q$34,1,MATCH(D321&amp;E321,'Coeff EC7'!$D$31:$Q$31&amp;'Coeff EC7'!$D$32:$Q$32,0))</f>
        <v>#N/A</v>
      </c>
      <c r="L321" s="91" t="e">
        <f t="array" ref="L321">INDEX('Coeff EC7'!$D$35:$Q$35,1,MATCH(D321&amp;E321,'Coeff EC7'!$D$31:$Q$31&amp;'Coeff EC7'!$D$32:$Q$32,0))</f>
        <v>#N/A</v>
      </c>
      <c r="M321" s="98" t="e">
        <f t="shared" si="431"/>
        <v>#N/A</v>
      </c>
      <c r="N321" s="99" t="e">
        <f t="array" ref="N321">INDEX('Coeff EC7'!$D$7:$Q$27,MATCH($B$3,'Coeff EC7'!$C$7:$C$27,0),MATCH(D321&amp;E321,'Coeff EC7'!$D$5:$Q$5&amp;'Coeff EC7'!$D$6:$Q$6,0))</f>
        <v>#N/A</v>
      </c>
      <c r="O321" s="99" t="e">
        <f t="array" ref="O321">INDEX('Coeff EC7'!$D$41:$Q$61,MATCH($B$3,'Coeff EC7'!$C$41:$C$61,0),MATCH(D321&amp;E321,'Coeff EC7'!$D$39:$Q$39&amp;'Coeff EC7'!$D$40:$Q$40,0))</f>
        <v>#N/A</v>
      </c>
      <c r="P321" s="30" t="e">
        <f t="shared" si="466"/>
        <v>#N/A</v>
      </c>
      <c r="Q321" s="100" t="e">
        <f t="shared" si="433"/>
        <v>#N/A</v>
      </c>
      <c r="R321" s="86" t="b">
        <f t="shared" si="434"/>
        <v>0</v>
      </c>
      <c r="S321" s="86">
        <f t="shared" si="432"/>
        <v>0.5</v>
      </c>
      <c r="T321" s="86">
        <f t="shared" si="435"/>
        <v>0.5</v>
      </c>
      <c r="U321" s="30" t="e">
        <f t="shared" ca="1" si="467"/>
        <v>#DIV/0!</v>
      </c>
      <c r="V321" s="85" t="str">
        <f>IF(B321&lt;=Hypothèses!$V$7,Hypothèses!$W$7,IF(B321&lt;=Hypothèses!$V$8,Hypothèses!$W$8,IF(B321&lt;=Hypothèses!$V$9,Hypothèses!$W$9,IF(B321&lt;=Hypothèses!$V$10,Hypothèses!$W$10,IF(B321&lt;=Hypothèses!$V$11,Hypothèses!$W$11,IF(B321&lt;=Hypothèses!$V$12,Hypothèses!$W$12,IF(B321&lt;=Hypothèses!$V$13,Hypothèses!$W$13,IF(B321&lt;=Hypothèses!$V$14,Hypothèses!$W$14,IF(B321&lt;=Hypothèses!$V$15,Hypothèses!$W$15,IF(B321&lt;=Hypothèses!$V$16,Hypothèses!$W$16,IF(B321&lt;=Hypothèses!$V$17,Hypothèses!$W$17,IF(B321&lt;=Hypothèses!$V$18,Hypothèses!$W$18,""))))))))))))</f>
        <v/>
      </c>
      <c r="W321" s="87" t="e">
        <f t="shared" ca="1" si="516"/>
        <v>#DIV/0!</v>
      </c>
      <c r="X321" s="88" t="str">
        <f>IF(B321&lt;=Hypothèses!$V$7,Hypothèses!$X$7,IF(B321&lt;=Hypothèses!$V$8,Hypothèses!$X$8,IF(B321&lt;=Hypothèses!$V$9,Hypothèses!$X$9,IF(B321&lt;=Hypothèses!$V$10,Hypothèses!$X$10,IF(B321&lt;=Hypothèses!$V$11,Hypothèses!$X$11,IF(B321&lt;=Hypothèses!$V$12,Hypothèses!$X$12,IF(B321&lt;=Hypothèses!$V$13,Hypothèses!$X$13,IF(B321&lt;=Hypothèses!$V$14,Hypothèses!$X$14,IF(B321&lt;=Hypothèses!$V$15,Hypothèses!$X$15,IF(B321&lt;=Hypothèses!$V$16,Hypothèses!$X$16,IF(B321&lt;=Hypothèses!$U$17,Hypothèses!$W$17,IF(B321&lt;=Hypothèses!$U$18,Hypothèses!$W$18,""))))))))))))</f>
        <v/>
      </c>
      <c r="Y321" s="95" t="e">
        <f t="shared" ca="1" si="436"/>
        <v>#DIV/0!</v>
      </c>
      <c r="Z321" s="101">
        <f t="shared" si="437"/>
        <v>0</v>
      </c>
      <c r="AA321" s="91">
        <f t="shared" si="438"/>
        <v>0</v>
      </c>
      <c r="AB321" s="30" t="e">
        <f t="shared" si="500"/>
        <v>#N/A</v>
      </c>
      <c r="AC321" s="30" t="e">
        <f t="shared" si="501"/>
        <v>#N/A</v>
      </c>
      <c r="AD321" s="31" t="e">
        <f>IF(OR(Hypothèses!$B$4=17,Hypothèses!$B$4=18,Hypothèses!$B$4=19,Hypothèses!$B$4=20),
IF($D321="Pressio.",
IF(OR($E321=3,$E321=1,$E321=4),AC321,AB321),
IF($D321="Pénétro.",
IF(OR($E321=3,$E321=1,$E321=4),AC321,AB321))),IF($D321="Pressio.",
IF($E321=3,AC321,AB321),
IF($D321="Pénétro.",
IF($E321=4,AC321,AB321))))</f>
        <v>#N/A</v>
      </c>
      <c r="AE321" s="31">
        <v>0</v>
      </c>
      <c r="AF321" s="102" t="e">
        <f>IF(NDC!$H$10="Oui",(VLOOKUP($B$3,'Coeff EC7'!$T$39:$X$59,2,0)*AD321+VLOOKUP($B$3,'Coeff EC7'!$T$65:$X$85,2,0)*Model0.1T!AE321)/1.5,PI()*AB$12*$Q321*($B321-$B320)*0.15/10+AF320)</f>
        <v>#N/A</v>
      </c>
      <c r="AG321" s="102" t="e">
        <f>(VLOOKUP($B$3,'Coeff EC7'!$T$39:$X$59,3,0)*AD321+VLOOKUP($B$3,'Coeff EC7'!$T$65:$X$85,3,0)*Model0.1T!AE321)/1.1</f>
        <v>#N/A</v>
      </c>
      <c r="AH321" s="102" t="e">
        <f t="shared" si="468"/>
        <v>#N/A</v>
      </c>
      <c r="AI321" s="102" t="e">
        <f t="shared" si="469"/>
        <v>#N/A</v>
      </c>
      <c r="AJ321" s="414" t="e">
        <f>IF(AND(AF321&gt;NDC!$C$63,AG321&gt;NDC!$C$65,AH321&gt;NDC!$D$73,AI321&gt;NDC!$D$74,$B321&gt;NDC!$H$22-0.1+MIN(3*$AJ$12,1.5)),0,1)</f>
        <v>#N/A</v>
      </c>
      <c r="AK321" s="86" t="b">
        <f t="shared" si="439"/>
        <v>0</v>
      </c>
      <c r="AL321" s="86">
        <f t="shared" si="470"/>
        <v>0.5</v>
      </c>
      <c r="AM321" s="86">
        <f t="shared" si="440"/>
        <v>0.5</v>
      </c>
      <c r="AN321" s="30" t="e">
        <f t="shared" ca="1" si="471"/>
        <v>#DIV/0!</v>
      </c>
      <c r="AO321" s="85" t="e">
        <f ca="1">IF(U321&lt;=Hypothèses!$V$7,Hypothèses!$W$7,IF(U321&lt;=Hypothèses!$V$8,Hypothèses!$W$8,IF(U321&lt;=Hypothèses!$V$9,Hypothèses!$W$9,IF(U321&lt;=Hypothèses!$V$10,Hypothèses!$W$10,IF(U321&lt;=Hypothèses!$V$11,Hypothèses!$W$11,IF(U321&lt;=Hypothèses!$V$12,Hypothèses!$W$12,IF(U321&lt;=Hypothèses!$V$13,Hypothèses!$W$13,IF(U321&lt;=Hypothèses!$V$14,Hypothèses!$W$14,IF(U321&lt;=Hypothèses!$V$15,Hypothèses!$W$15,IF(U321&lt;=Hypothèses!$V$16,Hypothèses!$W$16,IF(U321&lt;=Hypothèses!$V$17,Hypothèses!$W$17,IF(U321&lt;=Hypothèses!$V$18,Hypothèses!$W$18,""))))))))))))</f>
        <v>#DIV/0!</v>
      </c>
      <c r="AP321" s="87" t="e">
        <f t="shared" ca="1" si="517"/>
        <v>#DIV/0!</v>
      </c>
      <c r="AQ321" s="88" t="e">
        <f ca="1">IF(U321&lt;=Hypothèses!$V$7,Hypothèses!$X$7,IF(U321&lt;=Hypothèses!$V$8,Hypothèses!$X$8,IF(U321&lt;=Hypothèses!$V$9,Hypothèses!$X$9,IF(U321&lt;=Hypothèses!$V$10,Hypothèses!$X$10,IF(U321&lt;=Hypothèses!$V$11,Hypothèses!$X$11,IF(U321&lt;=Hypothèses!$V$12,Hypothèses!$X$12,IF(U321&lt;=Hypothèses!$V$13,Hypothèses!$X$13,IF(U321&lt;=Hypothèses!$V$14,Hypothèses!$X$14,IF(U321&lt;=Hypothèses!$V$15,Hypothèses!$X$15,IF(U321&lt;=Hypothèses!$V$16,Hypothèses!$X$16,IF(U321&lt;=Hypothèses!$U$17,Hypothèses!$W$17,IF(U321&lt;=Hypothèses!$U$18,Hypothèses!$W$18,""))))))))))))</f>
        <v>#DIV/0!</v>
      </c>
      <c r="AR321" s="95" t="e">
        <f t="shared" ca="1" si="472"/>
        <v>#DIV/0!</v>
      </c>
      <c r="AS321" s="101">
        <f t="shared" si="524"/>
        <v>0</v>
      </c>
      <c r="AT321" s="91">
        <f t="shared" si="441"/>
        <v>0</v>
      </c>
      <c r="AU321" s="30" t="e">
        <f t="shared" si="502"/>
        <v>#N/A</v>
      </c>
      <c r="AV321" s="30" t="e">
        <f t="shared" si="503"/>
        <v>#N/A</v>
      </c>
      <c r="AW321" s="31" t="e">
        <f>IF(OR(Hypothèses!$B$4=17,Hypothèses!$B$4=18,Hypothèses!$B$4=19,Hypothèses!$B$4=20),
IF($D321="Pressio.",
IF(OR($E321=3,$E321=1,$E321=4),AV321,AU321),
IF($D321="Pénétro.",
IF(OR($E321=3,$E321=1,$E321=4),AV321,AU321))),IF($D321="Pressio.",
IF($E321=3,AV321,AU321),
IF($D321="Pénétro.",
IF($E321=4,AV321,AU321))))</f>
        <v>#N/A</v>
      </c>
      <c r="AX321" s="31">
        <v>0</v>
      </c>
      <c r="AY321" s="102" t="e">
        <f>IF(NDC!$H$10="Oui",(VLOOKUP($B$3,'Coeff EC7'!$T$39:$X$59,2,0)*AW321+VLOOKUP($B$3,'Coeff EC7'!$T$65:$X$85,2,0)*Model0.1T!AX321)/1.5,PI()*AU$12*$Q321*($B321-$B320)*0.15/10+AY320)</f>
        <v>#N/A</v>
      </c>
      <c r="AZ321" s="102" t="e">
        <f>(VLOOKUP($B$3,'Coeff EC7'!$T$39:$X$59,3,0)*AW321+VLOOKUP($B$3,'Coeff EC7'!$T$65:$X$85,3,0)*Model0.1T!AX321)/1.1</f>
        <v>#N/A</v>
      </c>
      <c r="BA321" s="102" t="e">
        <f t="shared" si="473"/>
        <v>#N/A</v>
      </c>
      <c r="BB321" s="102" t="e">
        <f t="shared" si="474"/>
        <v>#N/A</v>
      </c>
      <c r="BC321" s="414" t="e">
        <f>IF(AND(AY321&gt;NDC!$C$63,AZ321&gt;NDC!$C$65,BA321&gt;NDC!$D$73,BB321&gt;NDC!$D$74,$B321&gt;NDC!$H$22-0.1+MIN(3*BC$12,1.5)),0,1)</f>
        <v>#N/A</v>
      </c>
      <c r="BD321" s="86" t="b">
        <f t="shared" si="442"/>
        <v>0</v>
      </c>
      <c r="BE321" s="86">
        <f t="shared" si="475"/>
        <v>0.5</v>
      </c>
      <c r="BF321" s="86">
        <f t="shared" si="443"/>
        <v>0.5</v>
      </c>
      <c r="BG321" s="30" t="e">
        <f t="shared" ca="1" si="476"/>
        <v>#DIV/0!</v>
      </c>
      <c r="BH321" s="85" t="e">
        <f ca="1">IF(AN321&lt;=Hypothèses!$V$7,Hypothèses!$W$7,IF(AN321&lt;=Hypothèses!$V$8,Hypothèses!$W$8,IF(AN321&lt;=Hypothèses!$V$9,Hypothèses!$W$9,IF(AN321&lt;=Hypothèses!$V$10,Hypothèses!$W$10,IF(AN321&lt;=Hypothèses!$V$11,Hypothèses!$W$11,IF(AN321&lt;=Hypothèses!$V$12,Hypothèses!$W$12,IF(AN321&lt;=Hypothèses!$V$13,Hypothèses!$W$13,IF(AN321&lt;=Hypothèses!$V$14,Hypothèses!$W$14,IF(AN321&lt;=Hypothèses!$V$15,Hypothèses!$W$15,IF(AN321&lt;=Hypothèses!$V$16,Hypothèses!$W$16,IF(AN321&lt;=Hypothèses!$V$17,Hypothèses!$W$17,IF(AN321&lt;=Hypothèses!$V$18,Hypothèses!$W$18,""))))))))))))</f>
        <v>#DIV/0!</v>
      </c>
      <c r="BI321" s="87" t="e">
        <f t="shared" ca="1" si="518"/>
        <v>#DIV/0!</v>
      </c>
      <c r="BJ321" s="88" t="e">
        <f ca="1">IF(AN321&lt;=Hypothèses!$V$7,Hypothèses!$X$7,IF(AN321&lt;=Hypothèses!$V$8,Hypothèses!$X$8,IF(AN321&lt;=Hypothèses!$V$9,Hypothèses!$X$9,IF(AN321&lt;=Hypothèses!$V$10,Hypothèses!$X$10,IF(AN321&lt;=Hypothèses!$V$11,Hypothèses!$X$11,IF(AN321&lt;=Hypothèses!$V$12,Hypothèses!$X$12,IF(AN321&lt;=Hypothèses!$V$13,Hypothèses!$X$13,IF(AN321&lt;=Hypothèses!$V$14,Hypothèses!$X$14,IF(AN321&lt;=Hypothèses!$V$15,Hypothèses!$X$15,IF(AN321&lt;=Hypothèses!$V$16,Hypothèses!$X$16,IF(AN321&lt;=Hypothèses!$U$17,Hypothèses!$W$17,IF(AN321&lt;=Hypothèses!$U$18,Hypothèses!$W$18,""))))))))))))</f>
        <v>#DIV/0!</v>
      </c>
      <c r="BK321" s="95" t="e">
        <f t="shared" ca="1" si="477"/>
        <v>#DIV/0!</v>
      </c>
      <c r="BL321" s="101">
        <f t="shared" si="525"/>
        <v>0</v>
      </c>
      <c r="BM321" s="91">
        <f t="shared" si="444"/>
        <v>0</v>
      </c>
      <c r="BN321" s="30" t="e">
        <f t="shared" si="504"/>
        <v>#N/A</v>
      </c>
      <c r="BO321" s="30" t="e">
        <f t="shared" si="505"/>
        <v>#N/A</v>
      </c>
      <c r="BP321" s="31" t="e">
        <f>IF(OR(Hypothèses!$B$4=17,Hypothèses!$B$4=18,Hypothèses!$B$4=19,Hypothèses!$B$4=20),
IF($D321="Pressio.",
IF(OR($E321=3,$E321=1,$E321=4),BO321,BN321),
IF($D321="Pénétro.",
IF(OR($E321=3,$E321=1,$E321=4),BO321,BN321))),IF($D321="Pressio.",
IF($E321=3,BO321,BN321),
IF($D321="Pénétro.",
IF($E321=4,BO321,BN321))))</f>
        <v>#N/A</v>
      </c>
      <c r="BQ321" s="31">
        <v>0</v>
      </c>
      <c r="BR321" s="102" t="e">
        <f>IF(NDC!$H$10="Oui",(VLOOKUP($B$3,'Coeff EC7'!$T$39:$X$59,2,0)*BP321+VLOOKUP($B$3,'Coeff EC7'!$T$65:$X$85,2,0)*Model0.1T!BQ321)/1.5,PI()*BN$12*$Q321*($B321-$B320)*0.15/10+BR320)</f>
        <v>#N/A</v>
      </c>
      <c r="BS321" s="102" t="e">
        <f>(VLOOKUP($B$3,'Coeff EC7'!$T$39:$X$59,3,0)*BP321+VLOOKUP($B$3,'Coeff EC7'!$T$65:$X$85,3,0)*Model0.1T!BQ321)/1.1</f>
        <v>#N/A</v>
      </c>
      <c r="BT321" s="102" t="e">
        <f t="shared" si="478"/>
        <v>#N/A</v>
      </c>
      <c r="BU321" s="102" t="e">
        <f t="shared" si="479"/>
        <v>#N/A</v>
      </c>
      <c r="BV321" s="414" t="e">
        <f>IF(AND(BR321&gt;NDC!$C$63,BS321&gt;NDC!$C$65,BT321&gt;NDC!$D$73,BU321&gt;NDC!$D$74,$B321&gt;NDC!$H$22-0.1+MIN(3*BV$12,1.5)),0,1)</f>
        <v>#N/A</v>
      </c>
      <c r="BW321" s="86" t="b">
        <f t="shared" si="445"/>
        <v>0</v>
      </c>
      <c r="BX321" s="86">
        <f t="shared" si="446"/>
        <v>0.5</v>
      </c>
      <c r="BY321" s="86">
        <f t="shared" si="447"/>
        <v>0.5</v>
      </c>
      <c r="BZ321" s="30" t="e">
        <f t="shared" ca="1" si="480"/>
        <v>#DIV/0!</v>
      </c>
      <c r="CA321" s="85" t="e">
        <f ca="1">IF(BG321&lt;=Hypothèses!$V$7,Hypothèses!$W$7,IF(BG321&lt;=Hypothèses!$V$8,Hypothèses!$W$8,IF(BG321&lt;=Hypothèses!$V$9,Hypothèses!$W$9,IF(BG321&lt;=Hypothèses!$V$10,Hypothèses!$W$10,IF(BG321&lt;=Hypothèses!$V$11,Hypothèses!$W$11,IF(BG321&lt;=Hypothèses!$V$12,Hypothèses!$W$12,IF(BG321&lt;=Hypothèses!$V$13,Hypothèses!$W$13,IF(BG321&lt;=Hypothèses!$V$14,Hypothèses!$W$14,IF(BG321&lt;=Hypothèses!$V$15,Hypothèses!$W$15,IF(BG321&lt;=Hypothèses!$V$16,Hypothèses!$W$16,IF(BG321&lt;=Hypothèses!$V$17,Hypothèses!$W$17,IF(BG321&lt;=Hypothèses!$V$18,Hypothèses!$W$18,""))))))))))))</f>
        <v>#DIV/0!</v>
      </c>
      <c r="CB321" s="87" t="e">
        <f t="shared" ca="1" si="519"/>
        <v>#DIV/0!</v>
      </c>
      <c r="CC321" s="88" t="e">
        <f ca="1">IF(BG321&lt;=Hypothèses!$V$7,Hypothèses!$X$7,IF(BG321&lt;=Hypothèses!$V$8,Hypothèses!$X$8,IF(BG321&lt;=Hypothèses!$V$9,Hypothèses!$X$9,IF(BG321&lt;=Hypothèses!$V$10,Hypothèses!$X$10,IF(BG321&lt;=Hypothèses!$V$11,Hypothèses!$X$11,IF(BG321&lt;=Hypothèses!$V$12,Hypothèses!$X$12,IF(BG321&lt;=Hypothèses!$V$13,Hypothèses!$X$13,IF(BG321&lt;=Hypothèses!$V$14,Hypothèses!$X$14,IF(BG321&lt;=Hypothèses!$V$15,Hypothèses!$X$15,IF(BG321&lt;=Hypothèses!$V$16,Hypothèses!$X$16,IF(BG321&lt;=Hypothèses!$U$17,Hypothèses!$W$17,IF(BG321&lt;=Hypothèses!$U$18,Hypothèses!$W$18,""))))))))))))</f>
        <v>#DIV/0!</v>
      </c>
      <c r="CD321" s="95" t="e">
        <f t="shared" ca="1" si="481"/>
        <v>#DIV/0!</v>
      </c>
      <c r="CE321" s="101">
        <f t="shared" si="526"/>
        <v>0</v>
      </c>
      <c r="CF321" s="91">
        <f t="shared" si="448"/>
        <v>0</v>
      </c>
      <c r="CG321" s="30" t="e">
        <f t="shared" si="506"/>
        <v>#N/A</v>
      </c>
      <c r="CH321" s="30" t="e">
        <f t="shared" si="507"/>
        <v>#N/A</v>
      </c>
      <c r="CI321" s="31" t="e">
        <f>IF(OR(Hypothèses!$B$4=17,Hypothèses!$B$4=18,Hypothèses!$B$4=19,Hypothèses!$B$4=20),
IF($D321="Pressio.",
IF(OR($E321=3,$E321=1,$E321=4),CH321,CG321),
IF($D321="Pénétro.",
IF(OR($E321=3,$E321=1,$E321=4),CH321,CG321))),IF($D321="Pressio.",
IF($E321=3,CH321,CG321),
IF($D321="Pénétro.",
IF($E321=4,CH321,CG321))))</f>
        <v>#N/A</v>
      </c>
      <c r="CJ321" s="31">
        <v>0</v>
      </c>
      <c r="CK321" s="102" t="e">
        <f>IF(NDC!$H$10="Oui",(VLOOKUP($B$3,'Coeff EC7'!$T$39:$X$59,2,0)*CI321+VLOOKUP($B$3,'Coeff EC7'!$T$65:$X$85,2,0)*Model0.1T!CJ321)/1.5,PI()*CG$12*$Q321*($B321-$B320)*0.15/10+CK320)</f>
        <v>#N/A</v>
      </c>
      <c r="CL321" s="102" t="e">
        <f>(VLOOKUP($B$3,'Coeff EC7'!$T$39:$X$59,3,0)*CI321+VLOOKUP($B$3,'Coeff EC7'!$T$65:$X$85,3,0)*Model0.1T!CJ321)/1.1</f>
        <v>#N/A</v>
      </c>
      <c r="CM321" s="102" t="e">
        <f t="shared" si="482"/>
        <v>#N/A</v>
      </c>
      <c r="CN321" s="102" t="e">
        <f t="shared" si="483"/>
        <v>#N/A</v>
      </c>
      <c r="CO321" s="414" t="e">
        <f>IF(AND(CK321&gt;NDC!$C$63,CL321&gt;NDC!$C$65,CM321&gt;NDC!$D$73,CN321&gt;NDC!$D$74,$B321&gt;NDC!$H$22-0.1+MIN(3*CO$12,1.5)),0,1)</f>
        <v>#N/A</v>
      </c>
      <c r="CP321" s="86" t="b">
        <f t="shared" si="449"/>
        <v>0</v>
      </c>
      <c r="CQ321" s="86">
        <f t="shared" si="450"/>
        <v>0.5</v>
      </c>
      <c r="CR321" s="86">
        <f t="shared" si="451"/>
        <v>0.5</v>
      </c>
      <c r="CS321" s="30" t="e">
        <f t="shared" ca="1" si="484"/>
        <v>#DIV/0!</v>
      </c>
      <c r="CT321" s="85" t="e">
        <f ca="1">IF(BZ321&lt;=Hypothèses!$V$7,Hypothèses!$W$7,IF(BZ321&lt;=Hypothèses!$V$8,Hypothèses!$W$8,IF(BZ321&lt;=Hypothèses!$V$9,Hypothèses!$W$9,IF(BZ321&lt;=Hypothèses!$V$10,Hypothèses!$W$10,IF(BZ321&lt;=Hypothèses!$V$11,Hypothèses!$W$11,IF(BZ321&lt;=Hypothèses!$V$12,Hypothèses!$W$12,IF(BZ321&lt;=Hypothèses!$V$13,Hypothèses!$W$13,IF(BZ321&lt;=Hypothèses!$V$14,Hypothèses!$W$14,IF(BZ321&lt;=Hypothèses!$V$15,Hypothèses!$W$15,IF(BZ321&lt;=Hypothèses!$V$16,Hypothèses!$W$16,IF(BZ321&lt;=Hypothèses!$V$17,Hypothèses!$W$17,IF(BZ321&lt;=Hypothèses!$V$18,Hypothèses!$W$18,""))))))))))))</f>
        <v>#DIV/0!</v>
      </c>
      <c r="CU321" s="87" t="e">
        <f t="shared" ca="1" si="520"/>
        <v>#DIV/0!</v>
      </c>
      <c r="CV321" s="88" t="e">
        <f ca="1">IF(BZ321&lt;=Hypothèses!$V$7,Hypothèses!$X$7,IF(BZ321&lt;=Hypothèses!$V$8,Hypothèses!$X$8,IF(BZ321&lt;=Hypothèses!$V$9,Hypothèses!$X$9,IF(BZ321&lt;=Hypothèses!$V$10,Hypothèses!$X$10,IF(BZ321&lt;=Hypothèses!$V$11,Hypothèses!$X$11,IF(BZ321&lt;=Hypothèses!$V$12,Hypothèses!$X$12,IF(BZ321&lt;=Hypothèses!$V$13,Hypothèses!$X$13,IF(BZ321&lt;=Hypothèses!$V$14,Hypothèses!$X$14,IF(BZ321&lt;=Hypothèses!$V$15,Hypothèses!$X$15,IF(BZ321&lt;=Hypothèses!$V$16,Hypothèses!$X$16,IF(BZ321&lt;=Hypothèses!$U$17,Hypothèses!$W$17,IF(BZ321&lt;=Hypothèses!$U$18,Hypothèses!$W$18,""))))))))))))</f>
        <v>#DIV/0!</v>
      </c>
      <c r="CW321" s="95" t="e">
        <f t="shared" ca="1" si="485"/>
        <v>#DIV/0!</v>
      </c>
      <c r="CX321" s="101">
        <f t="shared" si="527"/>
        <v>0</v>
      </c>
      <c r="CY321" s="91">
        <f t="shared" si="452"/>
        <v>0</v>
      </c>
      <c r="CZ321" s="30" t="e">
        <f t="shared" si="508"/>
        <v>#N/A</v>
      </c>
      <c r="DA321" s="30" t="e">
        <f t="shared" si="509"/>
        <v>#N/A</v>
      </c>
      <c r="DB321" s="31" t="e">
        <f>IF(OR(Hypothèses!$B$4=17,Hypothèses!$B$4=18,Hypothèses!$B$4=19,Hypothèses!$B$4=20),
IF($D321="Pressio.",
IF(OR($E321=3,$E321=1,$E321=4),DA321,CZ321),
IF($D321="Pénétro.",
IF(OR($E321=3,$E321=1,$E321=4),DA321,CZ321))),IF($D321="Pressio.",
IF($E321=3,DA321,CZ321),
IF($D321="Pénétro.",
IF($E321=4,DA321,CZ321))))</f>
        <v>#N/A</v>
      </c>
      <c r="DC321" s="31">
        <v>0</v>
      </c>
      <c r="DD321" s="102" t="e">
        <f>IF(NDC!$H$10="Oui",(VLOOKUP($B$3,'Coeff EC7'!$T$39:$X$59,2,0)*DB321+VLOOKUP($B$3,'Coeff EC7'!$T$65:$X$85,2,0)*Model0.1T!DC321)/1.5,PI()*CZ$12*$Q321*($B321-$B320)*0.15/10+DD320)</f>
        <v>#N/A</v>
      </c>
      <c r="DE321" s="102" t="e">
        <f>(VLOOKUP($B$3,'Coeff EC7'!$T$39:$X$59,3,0)*DB321+VLOOKUP($B$3,'Coeff EC7'!$T$65:$X$85,3,0)*Model0.1T!DC321)/1.1</f>
        <v>#N/A</v>
      </c>
      <c r="DF321" s="102" t="e">
        <f t="shared" si="486"/>
        <v>#N/A</v>
      </c>
      <c r="DG321" s="102" t="e">
        <f t="shared" si="487"/>
        <v>#N/A</v>
      </c>
      <c r="DH321" s="414" t="e">
        <f>IF(AND(DD321&gt;NDC!$C$63,DE321&gt;NDC!$C$65,DF321&gt;NDC!$D$73,DG321&gt;NDC!$D$74,$B321&gt;NDC!$H$22-0.1+MIN(3*DH$12,1.5)),0,1)</f>
        <v>#N/A</v>
      </c>
      <c r="DI321" s="86" t="b">
        <f t="shared" si="453"/>
        <v>0</v>
      </c>
      <c r="DJ321" s="86">
        <f t="shared" si="454"/>
        <v>0.5</v>
      </c>
      <c r="DK321" s="86">
        <f t="shared" si="455"/>
        <v>0.5</v>
      </c>
      <c r="DL321" s="30" t="e">
        <f t="shared" ca="1" si="488"/>
        <v>#DIV/0!</v>
      </c>
      <c r="DM321" s="85" t="e">
        <f ca="1">IF(CS321&lt;=Hypothèses!$V$7,Hypothèses!$W$7,IF(CS321&lt;=Hypothèses!$V$8,Hypothèses!$W$8,IF(CS321&lt;=Hypothèses!$V$9,Hypothèses!$W$9,IF(CS321&lt;=Hypothèses!$V$10,Hypothèses!$W$10,IF(CS321&lt;=Hypothèses!$V$11,Hypothèses!$W$11,IF(CS321&lt;=Hypothèses!$V$12,Hypothèses!$W$12,IF(CS321&lt;=Hypothèses!$V$13,Hypothèses!$W$13,IF(CS321&lt;=Hypothèses!$V$14,Hypothèses!$W$14,IF(CS321&lt;=Hypothèses!$V$15,Hypothèses!$W$15,IF(CS321&lt;=Hypothèses!$V$16,Hypothèses!$W$16,IF(CS321&lt;=Hypothèses!$V$17,Hypothèses!$W$17,IF(CS321&lt;=Hypothèses!$V$18,Hypothèses!$W$18,""))))))))))))</f>
        <v>#DIV/0!</v>
      </c>
      <c r="DN321" s="87" t="e">
        <f t="shared" ca="1" si="521"/>
        <v>#DIV/0!</v>
      </c>
      <c r="DO321" s="88" t="e">
        <f ca="1">IF(CS321&lt;=Hypothèses!$V$7,Hypothèses!$X$7,IF(CS321&lt;=Hypothèses!$V$8,Hypothèses!$X$8,IF(CS321&lt;=Hypothèses!$V$9,Hypothèses!$X$9,IF(CS321&lt;=Hypothèses!$V$10,Hypothèses!$X$10,IF(CS321&lt;=Hypothèses!$V$11,Hypothèses!$X$11,IF(CS321&lt;=Hypothèses!$V$12,Hypothèses!$X$12,IF(CS321&lt;=Hypothèses!$V$13,Hypothèses!$X$13,IF(CS321&lt;=Hypothèses!$V$14,Hypothèses!$X$14,IF(CS321&lt;=Hypothèses!$V$15,Hypothèses!$X$15,IF(CS321&lt;=Hypothèses!$V$16,Hypothèses!$X$16,IF(CS321&lt;=Hypothèses!$U$17,Hypothèses!$W$17,IF(CS321&lt;=Hypothèses!$U$18,Hypothèses!$W$18,""))))))))))))</f>
        <v>#DIV/0!</v>
      </c>
      <c r="DP321" s="95" t="e">
        <f t="shared" ca="1" si="489"/>
        <v>#DIV/0!</v>
      </c>
      <c r="DQ321" s="101">
        <f t="shared" si="528"/>
        <v>0</v>
      </c>
      <c r="DR321" s="91">
        <f t="shared" si="456"/>
        <v>0</v>
      </c>
      <c r="DS321" s="30" t="e">
        <f t="shared" si="510"/>
        <v>#N/A</v>
      </c>
      <c r="DT321" s="30" t="e">
        <f t="shared" si="511"/>
        <v>#N/A</v>
      </c>
      <c r="DU321" s="31" t="e">
        <f>IF(OR(Hypothèses!$B$4=17,Hypothèses!$B$4=18,Hypothèses!$B$4=19,Hypothèses!$B$4=20),
IF($D321="Pressio.",
IF(OR($E321=3,$E321=1,$E321=4),DT321,DS321),
IF($D321="Pénétro.",
IF(OR($E321=3,$E321=1,$E321=4),DT321,DS321))),IF($D321="Pressio.",
IF($E321=3,DT321,DS321),
IF($D321="Pénétro.",
IF($E321=4,DT321,DS321))))</f>
        <v>#N/A</v>
      </c>
      <c r="DV321" s="31">
        <v>0</v>
      </c>
      <c r="DW321" s="102" t="e">
        <f>IF(NDC!$H$10="Oui",(VLOOKUP($B$3,'Coeff EC7'!$T$39:$X$59,2,0)*DU321+VLOOKUP($B$3,'Coeff EC7'!$T$65:$X$85,2,0)*Model0.1T!DV321)/1.5,PI()*DS$12*$Q321*($B321-$B320)*0.15/10+DW320)</f>
        <v>#N/A</v>
      </c>
      <c r="DX321" s="102" t="e">
        <f>(VLOOKUP($B$3,'Coeff EC7'!$T$39:$X$59,3,0)*DU321+VLOOKUP($B$3,'Coeff EC7'!$T$65:$X$85,3,0)*Model0.1T!DV321)/1.1</f>
        <v>#N/A</v>
      </c>
      <c r="DY321" s="102" t="e">
        <f t="shared" si="490"/>
        <v>#N/A</v>
      </c>
      <c r="DZ321" s="102" t="e">
        <f t="shared" si="491"/>
        <v>#N/A</v>
      </c>
      <c r="EA321" s="414" t="e">
        <f>IF(AND(DW321&gt;NDC!$C$63,DX321&gt;NDC!$C$65,DY321&gt;NDC!$D$73,DZ321&gt;NDC!$D$74,$B321&gt;NDC!$H$22-0.1+MIN(3*EA$12,1.5)),0,1)</f>
        <v>#N/A</v>
      </c>
      <c r="EB321" s="86" t="b">
        <f t="shared" si="457"/>
        <v>0</v>
      </c>
      <c r="EC321" s="418">
        <f t="shared" si="458"/>
        <v>0.51</v>
      </c>
      <c r="ED321" s="86">
        <f t="shared" si="459"/>
        <v>0.51</v>
      </c>
      <c r="EE321" s="30" t="e">
        <f t="shared" ca="1" si="492"/>
        <v>#DIV/0!</v>
      </c>
      <c r="EF321" s="85" t="e">
        <f ca="1">IF(DL321&lt;=Hypothèses!$V$7,Hypothèses!$W$7,IF(DL321&lt;=Hypothèses!$V$8,Hypothèses!$W$8,IF(DL321&lt;=Hypothèses!$V$9,Hypothèses!$W$9,IF(DL321&lt;=Hypothèses!$V$10,Hypothèses!$W$10,IF(DL321&lt;=Hypothèses!$V$11,Hypothèses!$W$11,IF(DL321&lt;=Hypothèses!$V$12,Hypothèses!$W$12,IF(DL321&lt;=Hypothèses!$V$13,Hypothèses!$W$13,IF(DL321&lt;=Hypothèses!$V$14,Hypothèses!$W$14,IF(DL321&lt;=Hypothèses!$V$15,Hypothèses!$W$15,IF(DL321&lt;=Hypothèses!$V$16,Hypothèses!$W$16,IF(DL321&lt;=Hypothèses!$V$17,Hypothèses!$W$17,IF(DL321&lt;=Hypothèses!$V$18,Hypothèses!$W$18,""))))))))))))</f>
        <v>#DIV/0!</v>
      </c>
      <c r="EG321" s="87" t="e">
        <f t="shared" ca="1" si="522"/>
        <v>#DIV/0!</v>
      </c>
      <c r="EH321" s="88" t="e">
        <f ca="1">IF(DL321&lt;=Hypothèses!$V$7,Hypothèses!$X$7,IF(DL321&lt;=Hypothèses!$V$8,Hypothèses!$X$8,IF(DL321&lt;=Hypothèses!$V$9,Hypothèses!$X$9,IF(DL321&lt;=Hypothèses!$V$10,Hypothèses!$X$10,IF(DL321&lt;=Hypothèses!$V$11,Hypothèses!$X$11,IF(DL321&lt;=Hypothèses!$V$12,Hypothèses!$X$12,IF(DL321&lt;=Hypothèses!$V$13,Hypothèses!$X$13,IF(DL321&lt;=Hypothèses!$V$14,Hypothèses!$X$14,IF(DL321&lt;=Hypothèses!$V$15,Hypothèses!$X$15,IF(DL321&lt;=Hypothèses!$V$16,Hypothèses!$X$16,IF(DL321&lt;=Hypothèses!$U$17,Hypothèses!$W$17,IF(DL321&lt;=Hypothèses!$U$18,Hypothèses!$W$18,""))))))))))))</f>
        <v>#DIV/0!</v>
      </c>
      <c r="EI321" s="95" t="e">
        <f t="shared" ca="1" si="493"/>
        <v>#DIV/0!</v>
      </c>
      <c r="EJ321" s="101">
        <f t="shared" si="529"/>
        <v>0</v>
      </c>
      <c r="EK321" s="91">
        <f t="shared" si="460"/>
        <v>0</v>
      </c>
      <c r="EL321" s="30" t="e">
        <f t="shared" si="512"/>
        <v>#N/A</v>
      </c>
      <c r="EM321" s="30" t="e">
        <f t="shared" si="513"/>
        <v>#N/A</v>
      </c>
      <c r="EN321" s="31" t="e">
        <f>IF(OR(Hypothèses!$B$4=17,Hypothèses!$B$4=18,Hypothèses!$B$4=19,Hypothèses!$B$4=20),
IF($D321="Pressio.",
IF(OR($E321=3,$E321=1,$E321=4),EM321,EL321),
IF($D321="Pénétro.",
IF(OR($E321=3,$E321=1,$E321=4),EM321,EL321))),IF($D321="Pressio.",
IF($E321=3,EM321,EL321),
IF($D321="Pénétro.",
IF($E321=4,EM321,EL321))))</f>
        <v>#N/A</v>
      </c>
      <c r="EO321" s="31">
        <v>0</v>
      </c>
      <c r="EP321" s="102" t="e">
        <f>IF(NDC!$H$10="Oui",(VLOOKUP($B$3,'Coeff EC7'!$T$39:$X$59,2,0)*EN321+VLOOKUP($B$3,'Coeff EC7'!$T$65:$X$85,2,0)*Model0.1T!EO321)/1.5,PI()*EL$12*$Q321*($B321-$B320)*0.15/10+EP320)</f>
        <v>#N/A</v>
      </c>
      <c r="EQ321" s="102" t="e">
        <f>(VLOOKUP($B$3,'Coeff EC7'!$T$39:$X$59,3,0)*EN321+VLOOKUP($B$3,'Coeff EC7'!$T$65:$X$85,3,0)*Model0.1T!EO321)/1.1</f>
        <v>#N/A</v>
      </c>
      <c r="ER321" s="102" t="e">
        <f t="shared" si="494"/>
        <v>#N/A</v>
      </c>
      <c r="ES321" s="102" t="e">
        <f t="shared" si="495"/>
        <v>#N/A</v>
      </c>
      <c r="ET321" s="414" t="e">
        <f>IF(AND(EP321&gt;NDC!$C$63,EQ321&gt;NDC!$C$65,ER321&gt;NDC!$D$73,ES321&gt;NDC!$D$74,$B321&gt;NDC!$H$22-0.1+MIN(3*ET$12,1.5)),0,1)</f>
        <v>#N/A</v>
      </c>
      <c r="EU321" s="86" t="b">
        <f t="shared" si="461"/>
        <v>0</v>
      </c>
      <c r="EV321" s="86">
        <f t="shared" si="462"/>
        <v>0.61</v>
      </c>
      <c r="EW321" s="86">
        <f t="shared" si="463"/>
        <v>0.61</v>
      </c>
      <c r="EX321" s="30" t="e">
        <f t="shared" ca="1" si="496"/>
        <v>#DIV/0!</v>
      </c>
      <c r="EY321" s="85" t="e">
        <f ca="1">IF(EE321&lt;=Hypothèses!$V$7,Hypothèses!$W$7,IF(EE321&lt;=Hypothèses!$V$8,Hypothèses!$W$8,IF(EE321&lt;=Hypothèses!$V$9,Hypothèses!$W$9,IF(EE321&lt;=Hypothèses!$V$10,Hypothèses!$W$10,IF(EE321&lt;=Hypothèses!$V$11,Hypothèses!$W$11,IF(EE321&lt;=Hypothèses!$V$12,Hypothèses!$W$12,IF(EE321&lt;=Hypothèses!$V$13,Hypothèses!$W$13,IF(EE321&lt;=Hypothèses!$V$14,Hypothèses!$W$14,IF(EE321&lt;=Hypothèses!$V$15,Hypothèses!$W$15,IF(EE321&lt;=Hypothèses!$V$16,Hypothèses!$W$16,IF(EE321&lt;=Hypothèses!$V$17,Hypothèses!$W$17,IF(EE321&lt;=Hypothèses!$V$18,Hypothèses!$W$18,""))))))))))))</f>
        <v>#DIV/0!</v>
      </c>
      <c r="EZ321" s="87" t="e">
        <f t="shared" ca="1" si="523"/>
        <v>#DIV/0!</v>
      </c>
      <c r="FA321" s="88" t="e">
        <f ca="1">IF(EE321&lt;=Hypothèses!$V$7,Hypothèses!$X$7,IF(EE321&lt;=Hypothèses!$V$8,Hypothèses!$X$8,IF(EE321&lt;=Hypothèses!$V$9,Hypothèses!$X$9,IF(EE321&lt;=Hypothèses!$V$10,Hypothèses!$X$10,IF(EE321&lt;=Hypothèses!$V$11,Hypothèses!$X$11,IF(EE321&lt;=Hypothèses!$V$12,Hypothèses!$X$12,IF(EE321&lt;=Hypothèses!$V$13,Hypothèses!$X$13,IF(EE321&lt;=Hypothèses!$V$14,Hypothèses!$X$14,IF(EE321&lt;=Hypothèses!$V$15,Hypothèses!$X$15,IF(EE321&lt;=Hypothèses!$V$16,Hypothèses!$X$16,IF(EE321&lt;=Hypothèses!$U$17,Hypothèses!$W$17,IF(EE321&lt;=Hypothèses!$U$18,Hypothèses!$W$18,""))))))))))))</f>
        <v>#DIV/0!</v>
      </c>
      <c r="FB321" s="95" t="e">
        <f t="shared" ca="1" si="497"/>
        <v>#DIV/0!</v>
      </c>
      <c r="FC321" s="101">
        <f t="shared" si="530"/>
        <v>0</v>
      </c>
      <c r="FD321" s="91">
        <f t="shared" si="464"/>
        <v>0</v>
      </c>
      <c r="FE321" s="30" t="e">
        <f t="shared" si="514"/>
        <v>#N/A</v>
      </c>
      <c r="FF321" s="30" t="e">
        <f t="shared" si="515"/>
        <v>#N/A</v>
      </c>
      <c r="FG321" s="31" t="e">
        <f>IF(OR(Hypothèses!$B$4=17,Hypothèses!$B$4=18,Hypothèses!$B$4=19,Hypothèses!$B$4=20),
IF($D321="Pressio.",
IF(OR($E321=3,$E321=1,$E321=4),FF321,FE321),
IF($D321="Pénétro.",
IF(OR($E321=3,$E321=1,$E321=4),FF321,FE321))),IF($D321="Pressio.",
IF($E321=3,FF321,FE321),
IF($D321="Pénétro.",
IF($E321=4,FF321,FE321))))</f>
        <v>#N/A</v>
      </c>
      <c r="FH321" s="31">
        <v>0</v>
      </c>
      <c r="FI321" s="102" t="e">
        <f>IF(NDC!$H$10="Oui",(VLOOKUP($B$3,'Coeff EC7'!$T$39:$X$59,2,0)*FG321+VLOOKUP($B$3,'Coeff EC7'!$T$65:$X$85,2,0)*Model0.1T!FH321)/1.5,PI()*FE$12*$Q321*($B321-$B320)*0.15/10+FI320)</f>
        <v>#N/A</v>
      </c>
      <c r="FJ321" s="102" t="e">
        <f>(VLOOKUP($B$3,'Coeff EC7'!$T$39:$X$59,3,0)*FG321+VLOOKUP($B$3,'Coeff EC7'!$T$65:$X$85,3,0)*Model0.1T!FH321)/1.1</f>
        <v>#N/A</v>
      </c>
      <c r="FK321" s="102" t="e">
        <f t="shared" si="498"/>
        <v>#N/A</v>
      </c>
      <c r="FL321" s="102" t="e">
        <f t="shared" si="499"/>
        <v>#N/A</v>
      </c>
      <c r="FM321" s="414" t="e">
        <f>IF(AND(FI321&gt;NDC!$C$63,FJ321&gt;NDC!$C$65,FK321&gt;NDC!$D$73,FL321&gt;NDC!$D$74,$B321&gt;NDC!$H$22-0.1+MIN(3*FM$12,1.5)),0,1)</f>
        <v>#N/A</v>
      </c>
    </row>
    <row r="322" spans="1:169">
      <c r="A322" s="96">
        <f t="shared" si="465"/>
        <v>69.100000000001756</v>
      </c>
      <c r="B322" s="97">
        <v>30.9</v>
      </c>
      <c r="C322" s="81">
        <f>IF(B322&lt;=Hypothèses!$C$7,Hypothèses!$A$7,IF(B322&lt;=Hypothèses!$C$8,Hypothèses!$A$8,IF(B322&lt;=Hypothèses!$C$9,Hypothèses!$A$9,IF(B322&lt;=Hypothèses!$C$10,Hypothèses!$A$10,IF(B322&lt;=Hypothèses!$C$11,Hypothèses!$A$11,IF(B322&lt;=Hypothèses!$C$12,Hypothèses!$A$12,IF(B322&lt;=Hypothèses!$C$13,Hypothèses!$A$13,IF(B322&lt;=Hypothèses!$C$14,Hypothèses!$A$14,IF(B322&lt;=Hypothèses!$C$15,Hypothèses!$A$15,IF(B322&lt;=Hypothèses!$C$16,Hypothèses!$A$16,IF(B322&lt;=Hypothèses!$C$17,Hypothèses!$A$17,IF(B322&lt;=Hypothèses!$C$18,Hypothèses!$A$18,C321))))))))))))</f>
        <v>11</v>
      </c>
      <c r="D322" s="82" t="str">
        <f>IF(B322&lt;=Hypothèses!$C$7,Hypothèses!$R$7,IF(B322&lt;=Hypothèses!$C$8,Hypothèses!$R$8,IF(B322&lt;=Hypothèses!$C$9,Hypothèses!$R$9,IF(B322&lt;=Hypothèses!$C$10,Hypothèses!$R$10,IF(B322&lt;=Hypothèses!$C$11,Hypothèses!$R$11,IF(B322&lt;=Hypothèses!$C$12,Hypothèses!$R$12,IF(B322&lt;=Hypothèses!$C$13,Hypothèses!$R$13,IF(B322&lt;=Hypothèses!$C$14,Hypothèses!$R$14,IF(B322&lt;=Hypothèses!$C$15,Hypothèses!$R$15,IF(B322&lt;=Hypothèses!$C$16,Hypothèses!$R$16,IF(B322&lt;=Hypothèses!$C$17,Hypothèses!$R$17,IF(B322&lt;=Hypothèses!$C$18,Hypothèses!$R$18,D321))))))))))))</f>
        <v>Pressio.</v>
      </c>
      <c r="E322" s="82" t="e">
        <f>IF(B322&lt;=Hypothèses!$C$7,Hypothèses!$G$7,IF(B322&lt;=Hypothèses!$C$8,Hypothèses!$G$8,IF(B322&lt;=Hypothèses!$C$9,Hypothèses!$G$9,IF(B322&lt;=Hypothèses!$C$10,Hypothèses!$G$10,IF(B322&lt;=Hypothèses!$C$11,Hypothèses!$G$11,IF(B322&lt;=Hypothèses!$C$12,Hypothèses!$G$12,IF(B322&lt;=Hypothèses!$C$13,Hypothèses!$G$13,IF(B322&lt;=Hypothèses!$C$14,Hypothèses!$G$14,IF(B322&lt;=Hypothèses!$C$15,Hypothèses!$G$15,IF(B322&lt;=Hypothèses!$C$16,Hypothèses!$G$16,IF(B322&lt;=Hypothèses!$C$17,Hypothèses!$G$17,IF(B322&lt;=Hypothèses!$C$18,Hypothèses!$G$18,E321))))))))))))</f>
        <v>#N/A</v>
      </c>
      <c r="F322" s="82" t="str">
        <f>IF(B322&lt;=Hypothèses!$C$7,Hypothèses!$F$7,IF(B322&lt;=Hypothèses!$C$8,Hypothèses!$F$8,IF(B322&lt;=Hypothèses!$C$9,Hypothèses!$F$9,IF(B322&lt;=Hypothèses!$C$10,Hypothèses!$F$10,IF(B322&lt;=Hypothèses!$C$11,Hypothèses!$F$11,IF(B322&lt;=Hypothèses!$C$12,Hypothèses!$F$12,IF(B322&lt;=Hypothèses!$C$13,Hypothèses!$F$13,IF(B322&lt;=Hypothèses!$C$14,Hypothèses!$F$14,IF(B322&lt;=Hypothèses!$C$15,Hypothèses!$F$15,IF(B322&lt;=Hypothèses!$C$16,Hypothèses!$F$16,IF(B322&lt;=Hypothèses!$C$17,Hypothèses!$F$17,IF(B322&lt;=Hypothèses!$C$18,Hypothèses!$F$18,F321))))))))))))</f>
        <v/>
      </c>
      <c r="G322" s="91">
        <f t="array" ref="G322">INDEX('Coeff EC7'!$U$7:$X$27,
MATCH(Model0.1T!$B$3,'Coeff EC7'!$T$7:$T$27,0),
MATCH(Model0.1T!$D322&amp;Model0.1T!$B$4,
'Coeff EC7'!$U$6:$X$6&amp;
'Coeff EC7'!$U$5:$X$5,0))</f>
        <v>1.4</v>
      </c>
      <c r="H322" s="91">
        <f t="array" ref="H322">INDEX('Coeff EC7'!$Y$7:$AB$27,
MATCH(Model0.1T!$B$3,'Coeff EC7'!$T$7:$T$27,0),
MATCH(Model0.1T!$D322&amp;Model0.1T!$B$4,
'Coeff EC7'!$Y$6:$AB$6&amp;
'Coeff EC7'!$Y$5:$AB$5,0))</f>
        <v>1.7</v>
      </c>
      <c r="I322" s="83">
        <v>0</v>
      </c>
      <c r="J322" s="91" t="e">
        <f t="array" ref="J322">INDEX('Coeff EC7'!$D$33:$Q$33,1,MATCH(D322&amp;E322,'Coeff EC7'!$D$31:$Q$31&amp;'Coeff EC7'!$D$32:$Q$32,0))</f>
        <v>#N/A</v>
      </c>
      <c r="K322" s="91" t="e">
        <f t="array" ref="K322">INDEX('Coeff EC7'!$D$34:$Q$34,1,MATCH(D322&amp;E322,'Coeff EC7'!$D$31:$Q$31&amp;'Coeff EC7'!$D$32:$Q$32,0))</f>
        <v>#N/A</v>
      </c>
      <c r="L322" s="91" t="e">
        <f t="array" ref="L322">INDEX('Coeff EC7'!$D$35:$Q$35,1,MATCH(D322&amp;E322,'Coeff EC7'!$D$31:$Q$31&amp;'Coeff EC7'!$D$32:$Q$32,0))</f>
        <v>#N/A</v>
      </c>
      <c r="M322" s="98" t="e">
        <f t="shared" si="431"/>
        <v>#N/A</v>
      </c>
      <c r="N322" s="99" t="e">
        <f t="array" ref="N322">INDEX('Coeff EC7'!$D$7:$Q$27,MATCH($B$3,'Coeff EC7'!$C$7:$C$27,0),MATCH(D322&amp;E322,'Coeff EC7'!$D$5:$Q$5&amp;'Coeff EC7'!$D$6:$Q$6,0))</f>
        <v>#N/A</v>
      </c>
      <c r="O322" s="99" t="e">
        <f t="array" ref="O322">INDEX('Coeff EC7'!$D$41:$Q$61,MATCH($B$3,'Coeff EC7'!$C$41:$C$61,0),MATCH(D322&amp;E322,'Coeff EC7'!$D$39:$Q$39&amp;'Coeff EC7'!$D$40:$Q$40,0))</f>
        <v>#N/A</v>
      </c>
      <c r="P322" s="30" t="e">
        <f t="shared" si="466"/>
        <v>#N/A</v>
      </c>
      <c r="Q322" s="100" t="e">
        <f t="shared" si="433"/>
        <v>#N/A</v>
      </c>
      <c r="R322" s="86" t="b">
        <f t="shared" si="434"/>
        <v>0</v>
      </c>
      <c r="S322" s="86">
        <f t="shared" si="432"/>
        <v>0.5</v>
      </c>
      <c r="T322" s="86">
        <f t="shared" si="435"/>
        <v>0.5</v>
      </c>
      <c r="U322" s="30" t="e">
        <f t="shared" ca="1" si="467"/>
        <v>#DIV/0!</v>
      </c>
      <c r="V322" s="85" t="str">
        <f>IF(B322&lt;=Hypothèses!$V$7,Hypothèses!$W$7,IF(B322&lt;=Hypothèses!$V$8,Hypothèses!$W$8,IF(B322&lt;=Hypothèses!$V$9,Hypothèses!$W$9,IF(B322&lt;=Hypothèses!$V$10,Hypothèses!$W$10,IF(B322&lt;=Hypothèses!$V$11,Hypothèses!$W$11,IF(B322&lt;=Hypothèses!$V$12,Hypothèses!$W$12,IF(B322&lt;=Hypothèses!$V$13,Hypothèses!$W$13,IF(B322&lt;=Hypothèses!$V$14,Hypothèses!$W$14,IF(B322&lt;=Hypothèses!$V$15,Hypothèses!$W$15,IF(B322&lt;=Hypothèses!$V$16,Hypothèses!$W$16,IF(B322&lt;=Hypothèses!$V$17,Hypothèses!$W$17,IF(B322&lt;=Hypothèses!$V$18,Hypothèses!$W$18,""))))))))))))</f>
        <v/>
      </c>
      <c r="W322" s="87" t="e">
        <f t="shared" ca="1" si="516"/>
        <v>#DIV/0!</v>
      </c>
      <c r="X322" s="88" t="str">
        <f>IF(B322&lt;=Hypothèses!$V$7,Hypothèses!$X$7,IF(B322&lt;=Hypothèses!$V$8,Hypothèses!$X$8,IF(B322&lt;=Hypothèses!$V$9,Hypothèses!$X$9,IF(B322&lt;=Hypothèses!$V$10,Hypothèses!$X$10,IF(B322&lt;=Hypothèses!$V$11,Hypothèses!$X$11,IF(B322&lt;=Hypothèses!$V$12,Hypothèses!$X$12,IF(B322&lt;=Hypothèses!$V$13,Hypothèses!$X$13,IF(B322&lt;=Hypothèses!$V$14,Hypothèses!$X$14,IF(B322&lt;=Hypothèses!$V$15,Hypothèses!$X$15,IF(B322&lt;=Hypothèses!$V$16,Hypothèses!$X$16,IF(B322&lt;=Hypothèses!$U$17,Hypothèses!$W$17,IF(B322&lt;=Hypothèses!$U$18,Hypothèses!$W$18,""))))))))))))</f>
        <v/>
      </c>
      <c r="Y322" s="95" t="e">
        <f t="shared" ca="1" si="436"/>
        <v>#DIV/0!</v>
      </c>
      <c r="Z322" s="101">
        <f t="shared" si="437"/>
        <v>0</v>
      </c>
      <c r="AA322" s="91">
        <f t="shared" si="438"/>
        <v>0</v>
      </c>
      <c r="AB322" s="30" t="e">
        <f t="shared" si="500"/>
        <v>#N/A</v>
      </c>
      <c r="AC322" s="30" t="e">
        <f t="shared" si="501"/>
        <v>#N/A</v>
      </c>
      <c r="AD322" s="31" t="e">
        <f>IF(OR(Hypothèses!$B$4=17,Hypothèses!$B$4=18,Hypothèses!$B$4=19,Hypothèses!$B$4=20),
IF($D322="Pressio.",
IF(OR($E322=3,$E322=1,$E322=4),AC322,AB322),
IF($D322="Pénétro.",
IF(OR($E322=3,$E322=1,$E322=4),AC322,AB322))),IF($D322="Pressio.",
IF($E322=3,AC322,AB322),
IF($D322="Pénétro.",
IF($E322=4,AC322,AB322))))</f>
        <v>#N/A</v>
      </c>
      <c r="AE322" s="31">
        <v>0</v>
      </c>
      <c r="AF322" s="102" t="e">
        <f>IF(NDC!$H$10="Oui",(VLOOKUP($B$3,'Coeff EC7'!$T$39:$X$59,2,0)*AD322+VLOOKUP($B$3,'Coeff EC7'!$T$65:$X$85,2,0)*Model0.1T!AE322)/1.5,PI()*AB$12*$Q322*($B322-$B321)*0.15/10+AF321)</f>
        <v>#N/A</v>
      </c>
      <c r="AG322" s="102" t="e">
        <f>(VLOOKUP($B$3,'Coeff EC7'!$T$39:$X$59,3,0)*AD322+VLOOKUP($B$3,'Coeff EC7'!$T$65:$X$85,3,0)*Model0.1T!AE322)/1.1</f>
        <v>#N/A</v>
      </c>
      <c r="AH322" s="102" t="e">
        <f t="shared" si="468"/>
        <v>#N/A</v>
      </c>
      <c r="AI322" s="102" t="e">
        <f t="shared" si="469"/>
        <v>#N/A</v>
      </c>
      <c r="AJ322" s="414" t="e">
        <f>IF(AND(AF322&gt;NDC!$C$63,AG322&gt;NDC!$C$65,AH322&gt;NDC!$D$73,AI322&gt;NDC!$D$74,$B322&gt;NDC!$H$22-0.1+MIN(3*$AJ$12,1.5)),0,1)</f>
        <v>#N/A</v>
      </c>
      <c r="AK322" s="86" t="b">
        <f t="shared" si="439"/>
        <v>0</v>
      </c>
      <c r="AL322" s="86">
        <f t="shared" si="470"/>
        <v>0.5</v>
      </c>
      <c r="AM322" s="86">
        <f t="shared" si="440"/>
        <v>0.5</v>
      </c>
      <c r="AN322" s="30" t="e">
        <f t="shared" ca="1" si="471"/>
        <v>#DIV/0!</v>
      </c>
      <c r="AO322" s="85" t="e">
        <f ca="1">IF(U322&lt;=Hypothèses!$V$7,Hypothèses!$W$7,IF(U322&lt;=Hypothèses!$V$8,Hypothèses!$W$8,IF(U322&lt;=Hypothèses!$V$9,Hypothèses!$W$9,IF(U322&lt;=Hypothèses!$V$10,Hypothèses!$W$10,IF(U322&lt;=Hypothèses!$V$11,Hypothèses!$W$11,IF(U322&lt;=Hypothèses!$V$12,Hypothèses!$W$12,IF(U322&lt;=Hypothèses!$V$13,Hypothèses!$W$13,IF(U322&lt;=Hypothèses!$V$14,Hypothèses!$W$14,IF(U322&lt;=Hypothèses!$V$15,Hypothèses!$W$15,IF(U322&lt;=Hypothèses!$V$16,Hypothèses!$W$16,IF(U322&lt;=Hypothèses!$V$17,Hypothèses!$W$17,IF(U322&lt;=Hypothèses!$V$18,Hypothèses!$W$18,""))))))))))))</f>
        <v>#DIV/0!</v>
      </c>
      <c r="AP322" s="87" t="e">
        <f t="shared" ca="1" si="517"/>
        <v>#DIV/0!</v>
      </c>
      <c r="AQ322" s="88" t="e">
        <f ca="1">IF(U322&lt;=Hypothèses!$V$7,Hypothèses!$X$7,IF(U322&lt;=Hypothèses!$V$8,Hypothèses!$X$8,IF(U322&lt;=Hypothèses!$V$9,Hypothèses!$X$9,IF(U322&lt;=Hypothèses!$V$10,Hypothèses!$X$10,IF(U322&lt;=Hypothèses!$V$11,Hypothèses!$X$11,IF(U322&lt;=Hypothèses!$V$12,Hypothèses!$X$12,IF(U322&lt;=Hypothèses!$V$13,Hypothèses!$X$13,IF(U322&lt;=Hypothèses!$V$14,Hypothèses!$X$14,IF(U322&lt;=Hypothèses!$V$15,Hypothèses!$X$15,IF(U322&lt;=Hypothèses!$V$16,Hypothèses!$X$16,IF(U322&lt;=Hypothèses!$U$17,Hypothèses!$W$17,IF(U322&lt;=Hypothèses!$U$18,Hypothèses!$W$18,""))))))))))))</f>
        <v>#DIV/0!</v>
      </c>
      <c r="AR322" s="95" t="e">
        <f t="shared" ca="1" si="472"/>
        <v>#DIV/0!</v>
      </c>
      <c r="AS322" s="101">
        <f t="shared" si="524"/>
        <v>0</v>
      </c>
      <c r="AT322" s="91">
        <f t="shared" si="441"/>
        <v>0</v>
      </c>
      <c r="AU322" s="30" t="e">
        <f t="shared" si="502"/>
        <v>#N/A</v>
      </c>
      <c r="AV322" s="30" t="e">
        <f t="shared" si="503"/>
        <v>#N/A</v>
      </c>
      <c r="AW322" s="31" t="e">
        <f>IF(OR(Hypothèses!$B$4=17,Hypothèses!$B$4=18,Hypothèses!$B$4=19,Hypothèses!$B$4=20),
IF($D322="Pressio.",
IF(OR($E322=3,$E322=1,$E322=4),AV322,AU322),
IF($D322="Pénétro.",
IF(OR($E322=3,$E322=1,$E322=4),AV322,AU322))),IF($D322="Pressio.",
IF($E322=3,AV322,AU322),
IF($D322="Pénétro.",
IF($E322=4,AV322,AU322))))</f>
        <v>#N/A</v>
      </c>
      <c r="AX322" s="31">
        <v>0</v>
      </c>
      <c r="AY322" s="102" t="e">
        <f>IF(NDC!$H$10="Oui",(VLOOKUP($B$3,'Coeff EC7'!$T$39:$X$59,2,0)*AW322+VLOOKUP($B$3,'Coeff EC7'!$T$65:$X$85,2,0)*Model0.1T!AX322)/1.5,PI()*AU$12*$Q322*($B322-$B321)*0.15/10+AY321)</f>
        <v>#N/A</v>
      </c>
      <c r="AZ322" s="102" t="e">
        <f>(VLOOKUP($B$3,'Coeff EC7'!$T$39:$X$59,3,0)*AW322+VLOOKUP($B$3,'Coeff EC7'!$T$65:$X$85,3,0)*Model0.1T!AX322)/1.1</f>
        <v>#N/A</v>
      </c>
      <c r="BA322" s="102" t="e">
        <f t="shared" si="473"/>
        <v>#N/A</v>
      </c>
      <c r="BB322" s="102" t="e">
        <f t="shared" si="474"/>
        <v>#N/A</v>
      </c>
      <c r="BC322" s="414" t="e">
        <f>IF(AND(AY322&gt;NDC!$C$63,AZ322&gt;NDC!$C$65,BA322&gt;NDC!$D$73,BB322&gt;NDC!$D$74,$B322&gt;NDC!$H$22-0.1+MIN(3*BC$12,1.5)),0,1)</f>
        <v>#N/A</v>
      </c>
      <c r="BD322" s="86" t="b">
        <f t="shared" si="442"/>
        <v>0</v>
      </c>
      <c r="BE322" s="86">
        <f t="shared" si="475"/>
        <v>0.5</v>
      </c>
      <c r="BF322" s="86">
        <f t="shared" si="443"/>
        <v>0.5</v>
      </c>
      <c r="BG322" s="30" t="e">
        <f t="shared" ca="1" si="476"/>
        <v>#DIV/0!</v>
      </c>
      <c r="BH322" s="85" t="e">
        <f ca="1">IF(AN322&lt;=Hypothèses!$V$7,Hypothèses!$W$7,IF(AN322&lt;=Hypothèses!$V$8,Hypothèses!$W$8,IF(AN322&lt;=Hypothèses!$V$9,Hypothèses!$W$9,IF(AN322&lt;=Hypothèses!$V$10,Hypothèses!$W$10,IF(AN322&lt;=Hypothèses!$V$11,Hypothèses!$W$11,IF(AN322&lt;=Hypothèses!$V$12,Hypothèses!$W$12,IF(AN322&lt;=Hypothèses!$V$13,Hypothèses!$W$13,IF(AN322&lt;=Hypothèses!$V$14,Hypothèses!$W$14,IF(AN322&lt;=Hypothèses!$V$15,Hypothèses!$W$15,IF(AN322&lt;=Hypothèses!$V$16,Hypothèses!$W$16,IF(AN322&lt;=Hypothèses!$V$17,Hypothèses!$W$17,IF(AN322&lt;=Hypothèses!$V$18,Hypothèses!$W$18,""))))))))))))</f>
        <v>#DIV/0!</v>
      </c>
      <c r="BI322" s="87" t="e">
        <f t="shared" ca="1" si="518"/>
        <v>#DIV/0!</v>
      </c>
      <c r="BJ322" s="88" t="e">
        <f ca="1">IF(AN322&lt;=Hypothèses!$V$7,Hypothèses!$X$7,IF(AN322&lt;=Hypothèses!$V$8,Hypothèses!$X$8,IF(AN322&lt;=Hypothèses!$V$9,Hypothèses!$X$9,IF(AN322&lt;=Hypothèses!$V$10,Hypothèses!$X$10,IF(AN322&lt;=Hypothèses!$V$11,Hypothèses!$X$11,IF(AN322&lt;=Hypothèses!$V$12,Hypothèses!$X$12,IF(AN322&lt;=Hypothèses!$V$13,Hypothèses!$X$13,IF(AN322&lt;=Hypothèses!$V$14,Hypothèses!$X$14,IF(AN322&lt;=Hypothèses!$V$15,Hypothèses!$X$15,IF(AN322&lt;=Hypothèses!$V$16,Hypothèses!$X$16,IF(AN322&lt;=Hypothèses!$U$17,Hypothèses!$W$17,IF(AN322&lt;=Hypothèses!$U$18,Hypothèses!$W$18,""))))))))))))</f>
        <v>#DIV/0!</v>
      </c>
      <c r="BK322" s="95" t="e">
        <f t="shared" ca="1" si="477"/>
        <v>#DIV/0!</v>
      </c>
      <c r="BL322" s="101">
        <f t="shared" si="525"/>
        <v>0</v>
      </c>
      <c r="BM322" s="91">
        <f t="shared" si="444"/>
        <v>0</v>
      </c>
      <c r="BN322" s="30" t="e">
        <f t="shared" si="504"/>
        <v>#N/A</v>
      </c>
      <c r="BO322" s="30" t="e">
        <f t="shared" si="505"/>
        <v>#N/A</v>
      </c>
      <c r="BP322" s="31" t="e">
        <f>IF(OR(Hypothèses!$B$4=17,Hypothèses!$B$4=18,Hypothèses!$B$4=19,Hypothèses!$B$4=20),
IF($D322="Pressio.",
IF(OR($E322=3,$E322=1,$E322=4),BO322,BN322),
IF($D322="Pénétro.",
IF(OR($E322=3,$E322=1,$E322=4),BO322,BN322))),IF($D322="Pressio.",
IF($E322=3,BO322,BN322),
IF($D322="Pénétro.",
IF($E322=4,BO322,BN322))))</f>
        <v>#N/A</v>
      </c>
      <c r="BQ322" s="31">
        <v>0</v>
      </c>
      <c r="BR322" s="102" t="e">
        <f>IF(NDC!$H$10="Oui",(VLOOKUP($B$3,'Coeff EC7'!$T$39:$X$59,2,0)*BP322+VLOOKUP($B$3,'Coeff EC7'!$T$65:$X$85,2,0)*Model0.1T!BQ322)/1.5,PI()*BN$12*$Q322*($B322-$B321)*0.15/10+BR321)</f>
        <v>#N/A</v>
      </c>
      <c r="BS322" s="102" t="e">
        <f>(VLOOKUP($B$3,'Coeff EC7'!$T$39:$X$59,3,0)*BP322+VLOOKUP($B$3,'Coeff EC7'!$T$65:$X$85,3,0)*Model0.1T!BQ322)/1.1</f>
        <v>#N/A</v>
      </c>
      <c r="BT322" s="102" t="e">
        <f t="shared" si="478"/>
        <v>#N/A</v>
      </c>
      <c r="BU322" s="102" t="e">
        <f t="shared" si="479"/>
        <v>#N/A</v>
      </c>
      <c r="BV322" s="414" t="e">
        <f>IF(AND(BR322&gt;NDC!$C$63,BS322&gt;NDC!$C$65,BT322&gt;NDC!$D$73,BU322&gt;NDC!$D$74,$B322&gt;NDC!$H$22-0.1+MIN(3*BV$12,1.5)),0,1)</f>
        <v>#N/A</v>
      </c>
      <c r="BW322" s="86" t="b">
        <f t="shared" si="445"/>
        <v>0</v>
      </c>
      <c r="BX322" s="86">
        <f t="shared" si="446"/>
        <v>0.5</v>
      </c>
      <c r="BY322" s="86">
        <f t="shared" si="447"/>
        <v>0.5</v>
      </c>
      <c r="BZ322" s="30" t="e">
        <f t="shared" ca="1" si="480"/>
        <v>#DIV/0!</v>
      </c>
      <c r="CA322" s="85" t="e">
        <f ca="1">IF(BG322&lt;=Hypothèses!$V$7,Hypothèses!$W$7,IF(BG322&lt;=Hypothèses!$V$8,Hypothèses!$W$8,IF(BG322&lt;=Hypothèses!$V$9,Hypothèses!$W$9,IF(BG322&lt;=Hypothèses!$V$10,Hypothèses!$W$10,IF(BG322&lt;=Hypothèses!$V$11,Hypothèses!$W$11,IF(BG322&lt;=Hypothèses!$V$12,Hypothèses!$W$12,IF(BG322&lt;=Hypothèses!$V$13,Hypothèses!$W$13,IF(BG322&lt;=Hypothèses!$V$14,Hypothèses!$W$14,IF(BG322&lt;=Hypothèses!$V$15,Hypothèses!$W$15,IF(BG322&lt;=Hypothèses!$V$16,Hypothèses!$W$16,IF(BG322&lt;=Hypothèses!$V$17,Hypothèses!$W$17,IF(BG322&lt;=Hypothèses!$V$18,Hypothèses!$W$18,""))))))))))))</f>
        <v>#DIV/0!</v>
      </c>
      <c r="CB322" s="87" t="e">
        <f t="shared" ca="1" si="519"/>
        <v>#DIV/0!</v>
      </c>
      <c r="CC322" s="88" t="e">
        <f ca="1">IF(BG322&lt;=Hypothèses!$V$7,Hypothèses!$X$7,IF(BG322&lt;=Hypothèses!$V$8,Hypothèses!$X$8,IF(BG322&lt;=Hypothèses!$V$9,Hypothèses!$X$9,IF(BG322&lt;=Hypothèses!$V$10,Hypothèses!$X$10,IF(BG322&lt;=Hypothèses!$V$11,Hypothèses!$X$11,IF(BG322&lt;=Hypothèses!$V$12,Hypothèses!$X$12,IF(BG322&lt;=Hypothèses!$V$13,Hypothèses!$X$13,IF(BG322&lt;=Hypothèses!$V$14,Hypothèses!$X$14,IF(BG322&lt;=Hypothèses!$V$15,Hypothèses!$X$15,IF(BG322&lt;=Hypothèses!$V$16,Hypothèses!$X$16,IF(BG322&lt;=Hypothèses!$U$17,Hypothèses!$W$17,IF(BG322&lt;=Hypothèses!$U$18,Hypothèses!$W$18,""))))))))))))</f>
        <v>#DIV/0!</v>
      </c>
      <c r="CD322" s="95" t="e">
        <f t="shared" ca="1" si="481"/>
        <v>#DIV/0!</v>
      </c>
      <c r="CE322" s="101">
        <f t="shared" si="526"/>
        <v>0</v>
      </c>
      <c r="CF322" s="91">
        <f t="shared" si="448"/>
        <v>0</v>
      </c>
      <c r="CG322" s="30" t="e">
        <f t="shared" si="506"/>
        <v>#N/A</v>
      </c>
      <c r="CH322" s="30" t="e">
        <f t="shared" si="507"/>
        <v>#N/A</v>
      </c>
      <c r="CI322" s="31" t="e">
        <f>IF(OR(Hypothèses!$B$4=17,Hypothèses!$B$4=18,Hypothèses!$B$4=19,Hypothèses!$B$4=20),
IF($D322="Pressio.",
IF(OR($E322=3,$E322=1,$E322=4),CH322,CG322),
IF($D322="Pénétro.",
IF(OR($E322=3,$E322=1,$E322=4),CH322,CG322))),IF($D322="Pressio.",
IF($E322=3,CH322,CG322),
IF($D322="Pénétro.",
IF($E322=4,CH322,CG322))))</f>
        <v>#N/A</v>
      </c>
      <c r="CJ322" s="31">
        <v>0</v>
      </c>
      <c r="CK322" s="102" t="e">
        <f>IF(NDC!$H$10="Oui",(VLOOKUP($B$3,'Coeff EC7'!$T$39:$X$59,2,0)*CI322+VLOOKUP($B$3,'Coeff EC7'!$T$65:$X$85,2,0)*Model0.1T!CJ322)/1.5,PI()*CG$12*$Q322*($B322-$B321)*0.15/10+CK321)</f>
        <v>#N/A</v>
      </c>
      <c r="CL322" s="102" t="e">
        <f>(VLOOKUP($B$3,'Coeff EC7'!$T$39:$X$59,3,0)*CI322+VLOOKUP($B$3,'Coeff EC7'!$T$65:$X$85,3,0)*Model0.1T!CJ322)/1.1</f>
        <v>#N/A</v>
      </c>
      <c r="CM322" s="102" t="e">
        <f t="shared" si="482"/>
        <v>#N/A</v>
      </c>
      <c r="CN322" s="102" t="e">
        <f t="shared" si="483"/>
        <v>#N/A</v>
      </c>
      <c r="CO322" s="414" t="e">
        <f>IF(AND(CK322&gt;NDC!$C$63,CL322&gt;NDC!$C$65,CM322&gt;NDC!$D$73,CN322&gt;NDC!$D$74,$B322&gt;NDC!$H$22-0.1+MIN(3*CO$12,1.5)),0,1)</f>
        <v>#N/A</v>
      </c>
      <c r="CP322" s="86" t="b">
        <f t="shared" si="449"/>
        <v>0</v>
      </c>
      <c r="CQ322" s="86">
        <f t="shared" si="450"/>
        <v>0.5</v>
      </c>
      <c r="CR322" s="86">
        <f t="shared" si="451"/>
        <v>0.5</v>
      </c>
      <c r="CS322" s="30" t="e">
        <f t="shared" ca="1" si="484"/>
        <v>#DIV/0!</v>
      </c>
      <c r="CT322" s="85" t="e">
        <f ca="1">IF(BZ322&lt;=Hypothèses!$V$7,Hypothèses!$W$7,IF(BZ322&lt;=Hypothèses!$V$8,Hypothèses!$W$8,IF(BZ322&lt;=Hypothèses!$V$9,Hypothèses!$W$9,IF(BZ322&lt;=Hypothèses!$V$10,Hypothèses!$W$10,IF(BZ322&lt;=Hypothèses!$V$11,Hypothèses!$W$11,IF(BZ322&lt;=Hypothèses!$V$12,Hypothèses!$W$12,IF(BZ322&lt;=Hypothèses!$V$13,Hypothèses!$W$13,IF(BZ322&lt;=Hypothèses!$V$14,Hypothèses!$W$14,IF(BZ322&lt;=Hypothèses!$V$15,Hypothèses!$W$15,IF(BZ322&lt;=Hypothèses!$V$16,Hypothèses!$W$16,IF(BZ322&lt;=Hypothèses!$V$17,Hypothèses!$W$17,IF(BZ322&lt;=Hypothèses!$V$18,Hypothèses!$W$18,""))))))))))))</f>
        <v>#DIV/0!</v>
      </c>
      <c r="CU322" s="87" t="e">
        <f t="shared" ca="1" si="520"/>
        <v>#DIV/0!</v>
      </c>
      <c r="CV322" s="88" t="e">
        <f ca="1">IF(BZ322&lt;=Hypothèses!$V$7,Hypothèses!$X$7,IF(BZ322&lt;=Hypothèses!$V$8,Hypothèses!$X$8,IF(BZ322&lt;=Hypothèses!$V$9,Hypothèses!$X$9,IF(BZ322&lt;=Hypothèses!$V$10,Hypothèses!$X$10,IF(BZ322&lt;=Hypothèses!$V$11,Hypothèses!$X$11,IF(BZ322&lt;=Hypothèses!$V$12,Hypothèses!$X$12,IF(BZ322&lt;=Hypothèses!$V$13,Hypothèses!$X$13,IF(BZ322&lt;=Hypothèses!$V$14,Hypothèses!$X$14,IF(BZ322&lt;=Hypothèses!$V$15,Hypothèses!$X$15,IF(BZ322&lt;=Hypothèses!$V$16,Hypothèses!$X$16,IF(BZ322&lt;=Hypothèses!$U$17,Hypothèses!$W$17,IF(BZ322&lt;=Hypothèses!$U$18,Hypothèses!$W$18,""))))))))))))</f>
        <v>#DIV/0!</v>
      </c>
      <c r="CW322" s="95" t="e">
        <f t="shared" ca="1" si="485"/>
        <v>#DIV/0!</v>
      </c>
      <c r="CX322" s="101">
        <f t="shared" si="527"/>
        <v>0</v>
      </c>
      <c r="CY322" s="91">
        <f t="shared" si="452"/>
        <v>0</v>
      </c>
      <c r="CZ322" s="30" t="e">
        <f t="shared" si="508"/>
        <v>#N/A</v>
      </c>
      <c r="DA322" s="30" t="e">
        <f t="shared" si="509"/>
        <v>#N/A</v>
      </c>
      <c r="DB322" s="31" t="e">
        <f>IF(OR(Hypothèses!$B$4=17,Hypothèses!$B$4=18,Hypothèses!$B$4=19,Hypothèses!$B$4=20),
IF($D322="Pressio.",
IF(OR($E322=3,$E322=1,$E322=4),DA322,CZ322),
IF($D322="Pénétro.",
IF(OR($E322=3,$E322=1,$E322=4),DA322,CZ322))),IF($D322="Pressio.",
IF($E322=3,DA322,CZ322),
IF($D322="Pénétro.",
IF($E322=4,DA322,CZ322))))</f>
        <v>#N/A</v>
      </c>
      <c r="DC322" s="31">
        <v>0</v>
      </c>
      <c r="DD322" s="102" t="e">
        <f>IF(NDC!$H$10="Oui",(VLOOKUP($B$3,'Coeff EC7'!$T$39:$X$59,2,0)*DB322+VLOOKUP($B$3,'Coeff EC7'!$T$65:$X$85,2,0)*Model0.1T!DC322)/1.5,PI()*CZ$12*$Q322*($B322-$B321)*0.15/10+DD321)</f>
        <v>#N/A</v>
      </c>
      <c r="DE322" s="102" t="e">
        <f>(VLOOKUP($B$3,'Coeff EC7'!$T$39:$X$59,3,0)*DB322+VLOOKUP($B$3,'Coeff EC7'!$T$65:$X$85,3,0)*Model0.1T!DC322)/1.1</f>
        <v>#N/A</v>
      </c>
      <c r="DF322" s="102" t="e">
        <f t="shared" si="486"/>
        <v>#N/A</v>
      </c>
      <c r="DG322" s="102" t="e">
        <f t="shared" si="487"/>
        <v>#N/A</v>
      </c>
      <c r="DH322" s="414" t="e">
        <f>IF(AND(DD322&gt;NDC!$C$63,DE322&gt;NDC!$C$65,DF322&gt;NDC!$D$73,DG322&gt;NDC!$D$74,$B322&gt;NDC!$H$22-0.1+MIN(3*DH$12,1.5)),0,1)</f>
        <v>#N/A</v>
      </c>
      <c r="DI322" s="86" t="b">
        <f t="shared" si="453"/>
        <v>0</v>
      </c>
      <c r="DJ322" s="86">
        <f t="shared" si="454"/>
        <v>0.5</v>
      </c>
      <c r="DK322" s="86">
        <f t="shared" si="455"/>
        <v>0.5</v>
      </c>
      <c r="DL322" s="30" t="e">
        <f t="shared" ca="1" si="488"/>
        <v>#DIV/0!</v>
      </c>
      <c r="DM322" s="85" t="e">
        <f ca="1">IF(CS322&lt;=Hypothèses!$V$7,Hypothèses!$W$7,IF(CS322&lt;=Hypothèses!$V$8,Hypothèses!$W$8,IF(CS322&lt;=Hypothèses!$V$9,Hypothèses!$W$9,IF(CS322&lt;=Hypothèses!$V$10,Hypothèses!$W$10,IF(CS322&lt;=Hypothèses!$V$11,Hypothèses!$W$11,IF(CS322&lt;=Hypothèses!$V$12,Hypothèses!$W$12,IF(CS322&lt;=Hypothèses!$V$13,Hypothèses!$W$13,IF(CS322&lt;=Hypothèses!$V$14,Hypothèses!$W$14,IF(CS322&lt;=Hypothèses!$V$15,Hypothèses!$W$15,IF(CS322&lt;=Hypothèses!$V$16,Hypothèses!$W$16,IF(CS322&lt;=Hypothèses!$V$17,Hypothèses!$W$17,IF(CS322&lt;=Hypothèses!$V$18,Hypothèses!$W$18,""))))))))))))</f>
        <v>#DIV/0!</v>
      </c>
      <c r="DN322" s="87" t="e">
        <f t="shared" ca="1" si="521"/>
        <v>#DIV/0!</v>
      </c>
      <c r="DO322" s="88" t="e">
        <f ca="1">IF(CS322&lt;=Hypothèses!$V$7,Hypothèses!$X$7,IF(CS322&lt;=Hypothèses!$V$8,Hypothèses!$X$8,IF(CS322&lt;=Hypothèses!$V$9,Hypothèses!$X$9,IF(CS322&lt;=Hypothèses!$V$10,Hypothèses!$X$10,IF(CS322&lt;=Hypothèses!$V$11,Hypothèses!$X$11,IF(CS322&lt;=Hypothèses!$V$12,Hypothèses!$X$12,IF(CS322&lt;=Hypothèses!$V$13,Hypothèses!$X$13,IF(CS322&lt;=Hypothèses!$V$14,Hypothèses!$X$14,IF(CS322&lt;=Hypothèses!$V$15,Hypothèses!$X$15,IF(CS322&lt;=Hypothèses!$V$16,Hypothèses!$X$16,IF(CS322&lt;=Hypothèses!$U$17,Hypothèses!$W$17,IF(CS322&lt;=Hypothèses!$U$18,Hypothèses!$W$18,""))))))))))))</f>
        <v>#DIV/0!</v>
      </c>
      <c r="DP322" s="95" t="e">
        <f t="shared" ca="1" si="489"/>
        <v>#DIV/0!</v>
      </c>
      <c r="DQ322" s="101">
        <f t="shared" si="528"/>
        <v>0</v>
      </c>
      <c r="DR322" s="91">
        <f t="shared" si="456"/>
        <v>0</v>
      </c>
      <c r="DS322" s="30" t="e">
        <f t="shared" si="510"/>
        <v>#N/A</v>
      </c>
      <c r="DT322" s="30" t="e">
        <f t="shared" si="511"/>
        <v>#N/A</v>
      </c>
      <c r="DU322" s="31" t="e">
        <f>IF(OR(Hypothèses!$B$4=17,Hypothèses!$B$4=18,Hypothèses!$B$4=19,Hypothèses!$B$4=20),
IF($D322="Pressio.",
IF(OR($E322=3,$E322=1,$E322=4),DT322,DS322),
IF($D322="Pénétro.",
IF(OR($E322=3,$E322=1,$E322=4),DT322,DS322))),IF($D322="Pressio.",
IF($E322=3,DT322,DS322),
IF($D322="Pénétro.",
IF($E322=4,DT322,DS322))))</f>
        <v>#N/A</v>
      </c>
      <c r="DV322" s="31">
        <v>0</v>
      </c>
      <c r="DW322" s="102" t="e">
        <f>IF(NDC!$H$10="Oui",(VLOOKUP($B$3,'Coeff EC7'!$T$39:$X$59,2,0)*DU322+VLOOKUP($B$3,'Coeff EC7'!$T$65:$X$85,2,0)*Model0.1T!DV322)/1.5,PI()*DS$12*$Q322*($B322-$B321)*0.15/10+DW321)</f>
        <v>#N/A</v>
      </c>
      <c r="DX322" s="102" t="e">
        <f>(VLOOKUP($B$3,'Coeff EC7'!$T$39:$X$59,3,0)*DU322+VLOOKUP($B$3,'Coeff EC7'!$T$65:$X$85,3,0)*Model0.1T!DV322)/1.1</f>
        <v>#N/A</v>
      </c>
      <c r="DY322" s="102" t="e">
        <f t="shared" si="490"/>
        <v>#N/A</v>
      </c>
      <c r="DZ322" s="102" t="e">
        <f t="shared" si="491"/>
        <v>#N/A</v>
      </c>
      <c r="EA322" s="414" t="e">
        <f>IF(AND(DW322&gt;NDC!$C$63,DX322&gt;NDC!$C$65,DY322&gt;NDC!$D$73,DZ322&gt;NDC!$D$74,$B322&gt;NDC!$H$22-0.1+MIN(3*EA$12,1.5)),0,1)</f>
        <v>#N/A</v>
      </c>
      <c r="EB322" s="86" t="b">
        <f t="shared" si="457"/>
        <v>0</v>
      </c>
      <c r="EC322" s="418">
        <f t="shared" si="458"/>
        <v>0.51</v>
      </c>
      <c r="ED322" s="86">
        <f t="shared" si="459"/>
        <v>0.51</v>
      </c>
      <c r="EE322" s="30" t="e">
        <f t="shared" ca="1" si="492"/>
        <v>#DIV/0!</v>
      </c>
      <c r="EF322" s="85" t="e">
        <f ca="1">IF(DL322&lt;=Hypothèses!$V$7,Hypothèses!$W$7,IF(DL322&lt;=Hypothèses!$V$8,Hypothèses!$W$8,IF(DL322&lt;=Hypothèses!$V$9,Hypothèses!$W$9,IF(DL322&lt;=Hypothèses!$V$10,Hypothèses!$W$10,IF(DL322&lt;=Hypothèses!$V$11,Hypothèses!$W$11,IF(DL322&lt;=Hypothèses!$V$12,Hypothèses!$W$12,IF(DL322&lt;=Hypothèses!$V$13,Hypothèses!$W$13,IF(DL322&lt;=Hypothèses!$V$14,Hypothèses!$W$14,IF(DL322&lt;=Hypothèses!$V$15,Hypothèses!$W$15,IF(DL322&lt;=Hypothèses!$V$16,Hypothèses!$W$16,IF(DL322&lt;=Hypothèses!$V$17,Hypothèses!$W$17,IF(DL322&lt;=Hypothèses!$V$18,Hypothèses!$W$18,""))))))))))))</f>
        <v>#DIV/0!</v>
      </c>
      <c r="EG322" s="87" t="e">
        <f t="shared" ca="1" si="522"/>
        <v>#DIV/0!</v>
      </c>
      <c r="EH322" s="88" t="e">
        <f ca="1">IF(DL322&lt;=Hypothèses!$V$7,Hypothèses!$X$7,IF(DL322&lt;=Hypothèses!$V$8,Hypothèses!$X$8,IF(DL322&lt;=Hypothèses!$V$9,Hypothèses!$X$9,IF(DL322&lt;=Hypothèses!$V$10,Hypothèses!$X$10,IF(DL322&lt;=Hypothèses!$V$11,Hypothèses!$X$11,IF(DL322&lt;=Hypothèses!$V$12,Hypothèses!$X$12,IF(DL322&lt;=Hypothèses!$V$13,Hypothèses!$X$13,IF(DL322&lt;=Hypothèses!$V$14,Hypothèses!$X$14,IF(DL322&lt;=Hypothèses!$V$15,Hypothèses!$X$15,IF(DL322&lt;=Hypothèses!$V$16,Hypothèses!$X$16,IF(DL322&lt;=Hypothèses!$U$17,Hypothèses!$W$17,IF(DL322&lt;=Hypothèses!$U$18,Hypothèses!$W$18,""))))))))))))</f>
        <v>#DIV/0!</v>
      </c>
      <c r="EI322" s="95" t="e">
        <f t="shared" ca="1" si="493"/>
        <v>#DIV/0!</v>
      </c>
      <c r="EJ322" s="101">
        <f t="shared" si="529"/>
        <v>0</v>
      </c>
      <c r="EK322" s="91">
        <f t="shared" si="460"/>
        <v>0</v>
      </c>
      <c r="EL322" s="30" t="e">
        <f t="shared" si="512"/>
        <v>#N/A</v>
      </c>
      <c r="EM322" s="30" t="e">
        <f t="shared" si="513"/>
        <v>#N/A</v>
      </c>
      <c r="EN322" s="31" t="e">
        <f>IF(OR(Hypothèses!$B$4=17,Hypothèses!$B$4=18,Hypothèses!$B$4=19,Hypothèses!$B$4=20),
IF($D322="Pressio.",
IF(OR($E322=3,$E322=1,$E322=4),EM322,EL322),
IF($D322="Pénétro.",
IF(OR($E322=3,$E322=1,$E322=4),EM322,EL322))),IF($D322="Pressio.",
IF($E322=3,EM322,EL322),
IF($D322="Pénétro.",
IF($E322=4,EM322,EL322))))</f>
        <v>#N/A</v>
      </c>
      <c r="EO322" s="31">
        <v>0</v>
      </c>
      <c r="EP322" s="102" t="e">
        <f>IF(NDC!$H$10="Oui",(VLOOKUP($B$3,'Coeff EC7'!$T$39:$X$59,2,0)*EN322+VLOOKUP($B$3,'Coeff EC7'!$T$65:$X$85,2,0)*Model0.1T!EO322)/1.5,PI()*EL$12*$Q322*($B322-$B321)*0.15/10+EP321)</f>
        <v>#N/A</v>
      </c>
      <c r="EQ322" s="102" t="e">
        <f>(VLOOKUP($B$3,'Coeff EC7'!$T$39:$X$59,3,0)*EN322+VLOOKUP($B$3,'Coeff EC7'!$T$65:$X$85,3,0)*Model0.1T!EO322)/1.1</f>
        <v>#N/A</v>
      </c>
      <c r="ER322" s="102" t="e">
        <f t="shared" si="494"/>
        <v>#N/A</v>
      </c>
      <c r="ES322" s="102" t="e">
        <f t="shared" si="495"/>
        <v>#N/A</v>
      </c>
      <c r="ET322" s="414" t="e">
        <f>IF(AND(EP322&gt;NDC!$C$63,EQ322&gt;NDC!$C$65,ER322&gt;NDC!$D$73,ES322&gt;NDC!$D$74,$B322&gt;NDC!$H$22-0.1+MIN(3*ET$12,1.5)),0,1)</f>
        <v>#N/A</v>
      </c>
      <c r="EU322" s="86" t="b">
        <f t="shared" si="461"/>
        <v>0</v>
      </c>
      <c r="EV322" s="86">
        <f t="shared" si="462"/>
        <v>0.61</v>
      </c>
      <c r="EW322" s="86">
        <f t="shared" si="463"/>
        <v>0.61</v>
      </c>
      <c r="EX322" s="30" t="e">
        <f t="shared" ca="1" si="496"/>
        <v>#DIV/0!</v>
      </c>
      <c r="EY322" s="85" t="e">
        <f ca="1">IF(EE322&lt;=Hypothèses!$V$7,Hypothèses!$W$7,IF(EE322&lt;=Hypothèses!$V$8,Hypothèses!$W$8,IF(EE322&lt;=Hypothèses!$V$9,Hypothèses!$W$9,IF(EE322&lt;=Hypothèses!$V$10,Hypothèses!$W$10,IF(EE322&lt;=Hypothèses!$V$11,Hypothèses!$W$11,IF(EE322&lt;=Hypothèses!$V$12,Hypothèses!$W$12,IF(EE322&lt;=Hypothèses!$V$13,Hypothèses!$W$13,IF(EE322&lt;=Hypothèses!$V$14,Hypothèses!$W$14,IF(EE322&lt;=Hypothèses!$V$15,Hypothèses!$W$15,IF(EE322&lt;=Hypothèses!$V$16,Hypothèses!$W$16,IF(EE322&lt;=Hypothèses!$V$17,Hypothèses!$W$17,IF(EE322&lt;=Hypothèses!$V$18,Hypothèses!$W$18,""))))))))))))</f>
        <v>#DIV/0!</v>
      </c>
      <c r="EZ322" s="87" t="e">
        <f t="shared" ca="1" si="523"/>
        <v>#DIV/0!</v>
      </c>
      <c r="FA322" s="88" t="e">
        <f ca="1">IF(EE322&lt;=Hypothèses!$V$7,Hypothèses!$X$7,IF(EE322&lt;=Hypothèses!$V$8,Hypothèses!$X$8,IF(EE322&lt;=Hypothèses!$V$9,Hypothèses!$X$9,IF(EE322&lt;=Hypothèses!$V$10,Hypothèses!$X$10,IF(EE322&lt;=Hypothèses!$V$11,Hypothèses!$X$11,IF(EE322&lt;=Hypothèses!$V$12,Hypothèses!$X$12,IF(EE322&lt;=Hypothèses!$V$13,Hypothèses!$X$13,IF(EE322&lt;=Hypothèses!$V$14,Hypothèses!$X$14,IF(EE322&lt;=Hypothèses!$V$15,Hypothèses!$X$15,IF(EE322&lt;=Hypothèses!$V$16,Hypothèses!$X$16,IF(EE322&lt;=Hypothèses!$U$17,Hypothèses!$W$17,IF(EE322&lt;=Hypothèses!$U$18,Hypothèses!$W$18,""))))))))))))</f>
        <v>#DIV/0!</v>
      </c>
      <c r="FB322" s="95" t="e">
        <f t="shared" ca="1" si="497"/>
        <v>#DIV/0!</v>
      </c>
      <c r="FC322" s="101">
        <f t="shared" si="530"/>
        <v>0</v>
      </c>
      <c r="FD322" s="91">
        <f t="shared" si="464"/>
        <v>0</v>
      </c>
      <c r="FE322" s="30" t="e">
        <f t="shared" si="514"/>
        <v>#N/A</v>
      </c>
      <c r="FF322" s="30" t="e">
        <f t="shared" si="515"/>
        <v>#N/A</v>
      </c>
      <c r="FG322" s="31" t="e">
        <f>IF(OR(Hypothèses!$B$4=17,Hypothèses!$B$4=18,Hypothèses!$B$4=19,Hypothèses!$B$4=20),
IF($D322="Pressio.",
IF(OR($E322=3,$E322=1,$E322=4),FF322,FE322),
IF($D322="Pénétro.",
IF(OR($E322=3,$E322=1,$E322=4),FF322,FE322))),IF($D322="Pressio.",
IF($E322=3,FF322,FE322),
IF($D322="Pénétro.",
IF($E322=4,FF322,FE322))))</f>
        <v>#N/A</v>
      </c>
      <c r="FH322" s="31">
        <v>0</v>
      </c>
      <c r="FI322" s="102" t="e">
        <f>IF(NDC!$H$10="Oui",(VLOOKUP($B$3,'Coeff EC7'!$T$39:$X$59,2,0)*FG322+VLOOKUP($B$3,'Coeff EC7'!$T$65:$X$85,2,0)*Model0.1T!FH322)/1.5,PI()*FE$12*$Q322*($B322-$B321)*0.15/10+FI321)</f>
        <v>#N/A</v>
      </c>
      <c r="FJ322" s="102" t="e">
        <f>(VLOOKUP($B$3,'Coeff EC7'!$T$39:$X$59,3,0)*FG322+VLOOKUP($B$3,'Coeff EC7'!$T$65:$X$85,3,0)*Model0.1T!FH322)/1.1</f>
        <v>#N/A</v>
      </c>
      <c r="FK322" s="102" t="e">
        <f t="shared" si="498"/>
        <v>#N/A</v>
      </c>
      <c r="FL322" s="102" t="e">
        <f t="shared" si="499"/>
        <v>#N/A</v>
      </c>
      <c r="FM322" s="414" t="e">
        <f>IF(AND(FI322&gt;NDC!$C$63,FJ322&gt;NDC!$C$65,FK322&gt;NDC!$D$73,FL322&gt;NDC!$D$74,$B322&gt;NDC!$H$22-0.1+MIN(3*FM$12,1.5)),0,1)</f>
        <v>#N/A</v>
      </c>
    </row>
    <row r="323" spans="1:169">
      <c r="A323" s="96">
        <f t="shared" si="465"/>
        <v>69.000000000001762</v>
      </c>
      <c r="B323" s="97">
        <v>31</v>
      </c>
      <c r="C323" s="81">
        <f>IF(B323&lt;=Hypothèses!$C$7,Hypothèses!$A$7,IF(B323&lt;=Hypothèses!$C$8,Hypothèses!$A$8,IF(B323&lt;=Hypothèses!$C$9,Hypothèses!$A$9,IF(B323&lt;=Hypothèses!$C$10,Hypothèses!$A$10,IF(B323&lt;=Hypothèses!$C$11,Hypothèses!$A$11,IF(B323&lt;=Hypothèses!$C$12,Hypothèses!$A$12,IF(B323&lt;=Hypothèses!$C$13,Hypothèses!$A$13,IF(B323&lt;=Hypothèses!$C$14,Hypothèses!$A$14,IF(B323&lt;=Hypothèses!$C$15,Hypothèses!$A$15,IF(B323&lt;=Hypothèses!$C$16,Hypothèses!$A$16,IF(B323&lt;=Hypothèses!$C$17,Hypothèses!$A$17,IF(B323&lt;=Hypothèses!$C$18,Hypothèses!$A$18,C322))))))))))))</f>
        <v>11</v>
      </c>
      <c r="D323" s="82" t="str">
        <f>IF(B323&lt;=Hypothèses!$C$7,Hypothèses!$R$7,IF(B323&lt;=Hypothèses!$C$8,Hypothèses!$R$8,IF(B323&lt;=Hypothèses!$C$9,Hypothèses!$R$9,IF(B323&lt;=Hypothèses!$C$10,Hypothèses!$R$10,IF(B323&lt;=Hypothèses!$C$11,Hypothèses!$R$11,IF(B323&lt;=Hypothèses!$C$12,Hypothèses!$R$12,IF(B323&lt;=Hypothèses!$C$13,Hypothèses!$R$13,IF(B323&lt;=Hypothèses!$C$14,Hypothèses!$R$14,IF(B323&lt;=Hypothèses!$C$15,Hypothèses!$R$15,IF(B323&lt;=Hypothèses!$C$16,Hypothèses!$R$16,IF(B323&lt;=Hypothèses!$C$17,Hypothèses!$R$17,IF(B323&lt;=Hypothèses!$C$18,Hypothèses!$R$18,D322))))))))))))</f>
        <v>Pressio.</v>
      </c>
      <c r="E323" s="82" t="e">
        <f>IF(B323&lt;=Hypothèses!$C$7,Hypothèses!$G$7,IF(B323&lt;=Hypothèses!$C$8,Hypothèses!$G$8,IF(B323&lt;=Hypothèses!$C$9,Hypothèses!$G$9,IF(B323&lt;=Hypothèses!$C$10,Hypothèses!$G$10,IF(B323&lt;=Hypothèses!$C$11,Hypothèses!$G$11,IF(B323&lt;=Hypothèses!$C$12,Hypothèses!$G$12,IF(B323&lt;=Hypothèses!$C$13,Hypothèses!$G$13,IF(B323&lt;=Hypothèses!$C$14,Hypothèses!$G$14,IF(B323&lt;=Hypothèses!$C$15,Hypothèses!$G$15,IF(B323&lt;=Hypothèses!$C$16,Hypothèses!$G$16,IF(B323&lt;=Hypothèses!$C$17,Hypothèses!$G$17,IF(B323&lt;=Hypothèses!$C$18,Hypothèses!$G$18,E322))))))))))))</f>
        <v>#N/A</v>
      </c>
      <c r="F323" s="82" t="str">
        <f>IF(B323&lt;=Hypothèses!$C$7,Hypothèses!$F$7,IF(B323&lt;=Hypothèses!$C$8,Hypothèses!$F$8,IF(B323&lt;=Hypothèses!$C$9,Hypothèses!$F$9,IF(B323&lt;=Hypothèses!$C$10,Hypothèses!$F$10,IF(B323&lt;=Hypothèses!$C$11,Hypothèses!$F$11,IF(B323&lt;=Hypothèses!$C$12,Hypothèses!$F$12,IF(B323&lt;=Hypothèses!$C$13,Hypothèses!$F$13,IF(B323&lt;=Hypothèses!$C$14,Hypothèses!$F$14,IF(B323&lt;=Hypothèses!$C$15,Hypothèses!$F$15,IF(B323&lt;=Hypothèses!$C$16,Hypothèses!$F$16,IF(B323&lt;=Hypothèses!$C$17,Hypothèses!$F$17,IF(B323&lt;=Hypothèses!$C$18,Hypothèses!$F$18,F322))))))))))))</f>
        <v/>
      </c>
      <c r="G323" s="91">
        <f t="array" ref="G323">INDEX('Coeff EC7'!$U$7:$X$27,
MATCH(Model0.1T!$B$3,'Coeff EC7'!$T$7:$T$27,0),
MATCH(Model0.1T!$D323&amp;Model0.1T!$B$4,
'Coeff EC7'!$U$6:$X$6&amp;
'Coeff EC7'!$U$5:$X$5,0))</f>
        <v>1.4</v>
      </c>
      <c r="H323" s="91">
        <f t="array" ref="H323">INDEX('Coeff EC7'!$Y$7:$AB$27,
MATCH(Model0.1T!$B$3,'Coeff EC7'!$T$7:$T$27,0),
MATCH(Model0.1T!$D323&amp;Model0.1T!$B$4,
'Coeff EC7'!$Y$6:$AB$6&amp;
'Coeff EC7'!$Y$5:$AB$5,0))</f>
        <v>1.7</v>
      </c>
      <c r="I323" s="83">
        <v>0</v>
      </c>
      <c r="J323" s="91" t="e">
        <f t="array" ref="J323">INDEX('Coeff EC7'!$D$33:$Q$33,1,MATCH(D323&amp;E323,'Coeff EC7'!$D$31:$Q$31&amp;'Coeff EC7'!$D$32:$Q$32,0))</f>
        <v>#N/A</v>
      </c>
      <c r="K323" s="91" t="e">
        <f t="array" ref="K323">INDEX('Coeff EC7'!$D$34:$Q$34,1,MATCH(D323&amp;E323,'Coeff EC7'!$D$31:$Q$31&amp;'Coeff EC7'!$D$32:$Q$32,0))</f>
        <v>#N/A</v>
      </c>
      <c r="L323" s="91" t="e">
        <f t="array" ref="L323">INDEX('Coeff EC7'!$D$35:$Q$35,1,MATCH(D323&amp;E323,'Coeff EC7'!$D$31:$Q$31&amp;'Coeff EC7'!$D$32:$Q$32,0))</f>
        <v>#N/A</v>
      </c>
      <c r="M323" s="98" t="e">
        <f t="shared" si="431"/>
        <v>#N/A</v>
      </c>
      <c r="N323" s="99" t="e">
        <f t="array" ref="N323">INDEX('Coeff EC7'!$D$7:$Q$27,MATCH($B$3,'Coeff EC7'!$C$7:$C$27,0),MATCH(D323&amp;E323,'Coeff EC7'!$D$5:$Q$5&amp;'Coeff EC7'!$D$6:$Q$6,0))</f>
        <v>#N/A</v>
      </c>
      <c r="O323" s="99" t="e">
        <f t="array" ref="O323">INDEX('Coeff EC7'!$D$41:$Q$61,MATCH($B$3,'Coeff EC7'!$C$41:$C$61,0),MATCH(D323&amp;E323,'Coeff EC7'!$D$39:$Q$39&amp;'Coeff EC7'!$D$40:$Q$40,0))</f>
        <v>#N/A</v>
      </c>
      <c r="P323" s="30" t="e">
        <f t="shared" si="466"/>
        <v>#N/A</v>
      </c>
      <c r="Q323" s="100" t="e">
        <f t="shared" si="433"/>
        <v>#N/A</v>
      </c>
      <c r="R323" s="86" t="b">
        <f t="shared" si="434"/>
        <v>0</v>
      </c>
      <c r="S323" s="86">
        <f t="shared" si="432"/>
        <v>0.5</v>
      </c>
      <c r="T323" s="86">
        <f t="shared" si="435"/>
        <v>0.5</v>
      </c>
      <c r="U323" s="30" t="e">
        <f t="shared" ca="1" si="467"/>
        <v>#DIV/0!</v>
      </c>
      <c r="V323" s="85" t="str">
        <f>IF(B323&lt;=Hypothèses!$V$7,Hypothèses!$W$7,IF(B323&lt;=Hypothèses!$V$8,Hypothèses!$W$8,IF(B323&lt;=Hypothèses!$V$9,Hypothèses!$W$9,IF(B323&lt;=Hypothèses!$V$10,Hypothèses!$W$10,IF(B323&lt;=Hypothèses!$V$11,Hypothèses!$W$11,IF(B323&lt;=Hypothèses!$V$12,Hypothèses!$W$12,IF(B323&lt;=Hypothèses!$V$13,Hypothèses!$W$13,IF(B323&lt;=Hypothèses!$V$14,Hypothèses!$W$14,IF(B323&lt;=Hypothèses!$V$15,Hypothèses!$W$15,IF(B323&lt;=Hypothèses!$V$16,Hypothèses!$W$16,IF(B323&lt;=Hypothèses!$V$17,Hypothèses!$W$17,IF(B323&lt;=Hypothèses!$V$18,Hypothèses!$W$18,""))))))))))))</f>
        <v/>
      </c>
      <c r="W323" s="87" t="e">
        <f t="shared" ca="1" si="516"/>
        <v>#DIV/0!</v>
      </c>
      <c r="X323" s="88" t="str">
        <f>IF(B323&lt;=Hypothèses!$V$7,Hypothèses!$X$7,IF(B323&lt;=Hypothèses!$V$8,Hypothèses!$X$8,IF(B323&lt;=Hypothèses!$V$9,Hypothèses!$X$9,IF(B323&lt;=Hypothèses!$V$10,Hypothèses!$X$10,IF(B323&lt;=Hypothèses!$V$11,Hypothèses!$X$11,IF(B323&lt;=Hypothèses!$V$12,Hypothèses!$X$12,IF(B323&lt;=Hypothèses!$V$13,Hypothèses!$X$13,IF(B323&lt;=Hypothèses!$V$14,Hypothèses!$X$14,IF(B323&lt;=Hypothèses!$V$15,Hypothèses!$X$15,IF(B323&lt;=Hypothèses!$V$16,Hypothèses!$X$16,IF(B323&lt;=Hypothèses!$U$17,Hypothèses!$W$17,IF(B323&lt;=Hypothèses!$U$18,Hypothèses!$W$18,""))))))))))))</f>
        <v/>
      </c>
      <c r="Y323" s="95" t="e">
        <f t="shared" ca="1" si="436"/>
        <v>#DIV/0!</v>
      </c>
      <c r="Z323" s="101">
        <f t="shared" si="437"/>
        <v>0</v>
      </c>
      <c r="AA323" s="91">
        <f t="shared" si="438"/>
        <v>0</v>
      </c>
      <c r="AB323" s="30" t="e">
        <f t="shared" si="500"/>
        <v>#N/A</v>
      </c>
      <c r="AC323" s="30" t="e">
        <f t="shared" si="501"/>
        <v>#N/A</v>
      </c>
      <c r="AD323" s="31" t="e">
        <f>IF(OR(Hypothèses!$B$4=17,Hypothèses!$B$4=18,Hypothèses!$B$4=19,Hypothèses!$B$4=20),
IF($D323="Pressio.",
IF(OR($E323=3,$E323=1,$E323=4),AC323,AB323),
IF($D323="Pénétro.",
IF(OR($E323=3,$E323=1,$E323=4),AC323,AB323))),IF($D323="Pressio.",
IF($E323=3,AC323,AB323),
IF($D323="Pénétro.",
IF($E323=4,AC323,AB323))))</f>
        <v>#N/A</v>
      </c>
      <c r="AE323" s="31">
        <v>0</v>
      </c>
      <c r="AF323" s="102" t="e">
        <f>IF(NDC!$H$10="Oui",(VLOOKUP($B$3,'Coeff EC7'!$T$39:$X$59,2,0)*AD323+VLOOKUP($B$3,'Coeff EC7'!$T$65:$X$85,2,0)*Model0.1T!AE323)/1.5,PI()*AB$12*$Q323*($B323-$B322)*0.15/10+AF322)</f>
        <v>#N/A</v>
      </c>
      <c r="AG323" s="102" t="e">
        <f>(VLOOKUP($B$3,'Coeff EC7'!$T$39:$X$59,3,0)*AD323+VLOOKUP($B$3,'Coeff EC7'!$T$65:$X$85,3,0)*Model0.1T!AE323)/1.1</f>
        <v>#N/A</v>
      </c>
      <c r="AH323" s="102" t="e">
        <f t="shared" si="468"/>
        <v>#N/A</v>
      </c>
      <c r="AI323" s="102" t="e">
        <f t="shared" si="469"/>
        <v>#N/A</v>
      </c>
      <c r="AJ323" s="414" t="e">
        <f>IF(AND(AF323&gt;NDC!$C$63,AG323&gt;NDC!$C$65,AH323&gt;NDC!$D$73,AI323&gt;NDC!$D$74,$B323&gt;NDC!$H$22-0.1+MIN(3*$AJ$12,1.5)),0,1)</f>
        <v>#N/A</v>
      </c>
      <c r="AK323" s="86" t="b">
        <f t="shared" si="439"/>
        <v>0</v>
      </c>
      <c r="AL323" s="86">
        <f t="shared" si="470"/>
        <v>0.5</v>
      </c>
      <c r="AM323" s="86">
        <f t="shared" si="440"/>
        <v>0.5</v>
      </c>
      <c r="AN323" s="30" t="e">
        <f t="shared" ca="1" si="471"/>
        <v>#DIV/0!</v>
      </c>
      <c r="AO323" s="85" t="e">
        <f ca="1">IF(U323&lt;=Hypothèses!$V$7,Hypothèses!$W$7,IF(U323&lt;=Hypothèses!$V$8,Hypothèses!$W$8,IF(U323&lt;=Hypothèses!$V$9,Hypothèses!$W$9,IF(U323&lt;=Hypothèses!$V$10,Hypothèses!$W$10,IF(U323&lt;=Hypothèses!$V$11,Hypothèses!$W$11,IF(U323&lt;=Hypothèses!$V$12,Hypothèses!$W$12,IF(U323&lt;=Hypothèses!$V$13,Hypothèses!$W$13,IF(U323&lt;=Hypothèses!$V$14,Hypothèses!$W$14,IF(U323&lt;=Hypothèses!$V$15,Hypothèses!$W$15,IF(U323&lt;=Hypothèses!$V$16,Hypothèses!$W$16,IF(U323&lt;=Hypothèses!$V$17,Hypothèses!$W$17,IF(U323&lt;=Hypothèses!$V$18,Hypothèses!$W$18,""))))))))))))</f>
        <v>#DIV/0!</v>
      </c>
      <c r="AP323" s="87" t="e">
        <f t="shared" ca="1" si="517"/>
        <v>#DIV/0!</v>
      </c>
      <c r="AQ323" s="88" t="e">
        <f ca="1">IF(U323&lt;=Hypothèses!$V$7,Hypothèses!$X$7,IF(U323&lt;=Hypothèses!$V$8,Hypothèses!$X$8,IF(U323&lt;=Hypothèses!$V$9,Hypothèses!$X$9,IF(U323&lt;=Hypothèses!$V$10,Hypothèses!$X$10,IF(U323&lt;=Hypothèses!$V$11,Hypothèses!$X$11,IF(U323&lt;=Hypothèses!$V$12,Hypothèses!$X$12,IF(U323&lt;=Hypothèses!$V$13,Hypothèses!$X$13,IF(U323&lt;=Hypothèses!$V$14,Hypothèses!$X$14,IF(U323&lt;=Hypothèses!$V$15,Hypothèses!$X$15,IF(U323&lt;=Hypothèses!$V$16,Hypothèses!$X$16,IF(U323&lt;=Hypothèses!$U$17,Hypothèses!$W$17,IF(U323&lt;=Hypothèses!$U$18,Hypothèses!$W$18,""))))))))))))</f>
        <v>#DIV/0!</v>
      </c>
      <c r="AR323" s="95" t="e">
        <f t="shared" ca="1" si="472"/>
        <v>#DIV/0!</v>
      </c>
      <c r="AS323" s="101">
        <f t="shared" si="524"/>
        <v>0</v>
      </c>
      <c r="AT323" s="91">
        <f t="shared" si="441"/>
        <v>0</v>
      </c>
      <c r="AU323" s="30" t="e">
        <f t="shared" si="502"/>
        <v>#N/A</v>
      </c>
      <c r="AV323" s="30" t="e">
        <f t="shared" si="503"/>
        <v>#N/A</v>
      </c>
      <c r="AW323" s="31" t="e">
        <f>IF(OR(Hypothèses!$B$4=17,Hypothèses!$B$4=18,Hypothèses!$B$4=19,Hypothèses!$B$4=20),
IF($D323="Pressio.",
IF(OR($E323=3,$E323=1,$E323=4),AV323,AU323),
IF($D323="Pénétro.",
IF(OR($E323=3,$E323=1,$E323=4),AV323,AU323))),IF($D323="Pressio.",
IF($E323=3,AV323,AU323),
IF($D323="Pénétro.",
IF($E323=4,AV323,AU323))))</f>
        <v>#N/A</v>
      </c>
      <c r="AX323" s="31">
        <v>0</v>
      </c>
      <c r="AY323" s="102" t="e">
        <f>IF(NDC!$H$10="Oui",(VLOOKUP($B$3,'Coeff EC7'!$T$39:$X$59,2,0)*AW323+VLOOKUP($B$3,'Coeff EC7'!$T$65:$X$85,2,0)*Model0.1T!AX323)/1.5,PI()*AU$12*$Q323*($B323-$B322)*0.15/10+AY322)</f>
        <v>#N/A</v>
      </c>
      <c r="AZ323" s="102" t="e">
        <f>(VLOOKUP($B$3,'Coeff EC7'!$T$39:$X$59,3,0)*AW323+VLOOKUP($B$3,'Coeff EC7'!$T$65:$X$85,3,0)*Model0.1T!AX323)/1.1</f>
        <v>#N/A</v>
      </c>
      <c r="BA323" s="102" t="e">
        <f t="shared" si="473"/>
        <v>#N/A</v>
      </c>
      <c r="BB323" s="102" t="e">
        <f t="shared" si="474"/>
        <v>#N/A</v>
      </c>
      <c r="BC323" s="414" t="e">
        <f>IF(AND(AY323&gt;NDC!$C$63,AZ323&gt;NDC!$C$65,BA323&gt;NDC!$D$73,BB323&gt;NDC!$D$74,$B323&gt;NDC!$H$22-0.1+MIN(3*BC$12,1.5)),0,1)</f>
        <v>#N/A</v>
      </c>
      <c r="BD323" s="86" t="b">
        <f t="shared" si="442"/>
        <v>0</v>
      </c>
      <c r="BE323" s="86">
        <f t="shared" si="475"/>
        <v>0.5</v>
      </c>
      <c r="BF323" s="86">
        <f t="shared" si="443"/>
        <v>0.5</v>
      </c>
      <c r="BG323" s="30" t="e">
        <f t="shared" ca="1" si="476"/>
        <v>#DIV/0!</v>
      </c>
      <c r="BH323" s="85" t="e">
        <f ca="1">IF(AN323&lt;=Hypothèses!$V$7,Hypothèses!$W$7,IF(AN323&lt;=Hypothèses!$V$8,Hypothèses!$W$8,IF(AN323&lt;=Hypothèses!$V$9,Hypothèses!$W$9,IF(AN323&lt;=Hypothèses!$V$10,Hypothèses!$W$10,IF(AN323&lt;=Hypothèses!$V$11,Hypothèses!$W$11,IF(AN323&lt;=Hypothèses!$V$12,Hypothèses!$W$12,IF(AN323&lt;=Hypothèses!$V$13,Hypothèses!$W$13,IF(AN323&lt;=Hypothèses!$V$14,Hypothèses!$W$14,IF(AN323&lt;=Hypothèses!$V$15,Hypothèses!$W$15,IF(AN323&lt;=Hypothèses!$V$16,Hypothèses!$W$16,IF(AN323&lt;=Hypothèses!$V$17,Hypothèses!$W$17,IF(AN323&lt;=Hypothèses!$V$18,Hypothèses!$W$18,""))))))))))))</f>
        <v>#DIV/0!</v>
      </c>
      <c r="BI323" s="87" t="e">
        <f t="shared" ca="1" si="518"/>
        <v>#DIV/0!</v>
      </c>
      <c r="BJ323" s="88" t="e">
        <f ca="1">IF(AN323&lt;=Hypothèses!$V$7,Hypothèses!$X$7,IF(AN323&lt;=Hypothèses!$V$8,Hypothèses!$X$8,IF(AN323&lt;=Hypothèses!$V$9,Hypothèses!$X$9,IF(AN323&lt;=Hypothèses!$V$10,Hypothèses!$X$10,IF(AN323&lt;=Hypothèses!$V$11,Hypothèses!$X$11,IF(AN323&lt;=Hypothèses!$V$12,Hypothèses!$X$12,IF(AN323&lt;=Hypothèses!$V$13,Hypothèses!$X$13,IF(AN323&lt;=Hypothèses!$V$14,Hypothèses!$X$14,IF(AN323&lt;=Hypothèses!$V$15,Hypothèses!$X$15,IF(AN323&lt;=Hypothèses!$V$16,Hypothèses!$X$16,IF(AN323&lt;=Hypothèses!$U$17,Hypothèses!$W$17,IF(AN323&lt;=Hypothèses!$U$18,Hypothèses!$W$18,""))))))))))))</f>
        <v>#DIV/0!</v>
      </c>
      <c r="BK323" s="95" t="e">
        <f t="shared" ca="1" si="477"/>
        <v>#DIV/0!</v>
      </c>
      <c r="BL323" s="101">
        <f t="shared" si="525"/>
        <v>0</v>
      </c>
      <c r="BM323" s="91">
        <f t="shared" si="444"/>
        <v>0</v>
      </c>
      <c r="BN323" s="30" t="e">
        <f t="shared" si="504"/>
        <v>#N/A</v>
      </c>
      <c r="BO323" s="30" t="e">
        <f t="shared" si="505"/>
        <v>#N/A</v>
      </c>
      <c r="BP323" s="31" t="e">
        <f>IF(OR(Hypothèses!$B$4=17,Hypothèses!$B$4=18,Hypothèses!$B$4=19,Hypothèses!$B$4=20),
IF($D323="Pressio.",
IF(OR($E323=3,$E323=1,$E323=4),BO323,BN323),
IF($D323="Pénétro.",
IF(OR($E323=3,$E323=1,$E323=4),BO323,BN323))),IF($D323="Pressio.",
IF($E323=3,BO323,BN323),
IF($D323="Pénétro.",
IF($E323=4,BO323,BN323))))</f>
        <v>#N/A</v>
      </c>
      <c r="BQ323" s="31">
        <v>0</v>
      </c>
      <c r="BR323" s="102" t="e">
        <f>IF(NDC!$H$10="Oui",(VLOOKUP($B$3,'Coeff EC7'!$T$39:$X$59,2,0)*BP323+VLOOKUP($B$3,'Coeff EC7'!$T$65:$X$85,2,0)*Model0.1T!BQ323)/1.5,PI()*BN$12*$Q323*($B323-$B322)*0.15/10+BR322)</f>
        <v>#N/A</v>
      </c>
      <c r="BS323" s="102" t="e">
        <f>(VLOOKUP($B$3,'Coeff EC7'!$T$39:$X$59,3,0)*BP323+VLOOKUP($B$3,'Coeff EC7'!$T$65:$X$85,3,0)*Model0.1T!BQ323)/1.1</f>
        <v>#N/A</v>
      </c>
      <c r="BT323" s="102" t="e">
        <f t="shared" si="478"/>
        <v>#N/A</v>
      </c>
      <c r="BU323" s="102" t="e">
        <f t="shared" si="479"/>
        <v>#N/A</v>
      </c>
      <c r="BV323" s="414" t="e">
        <f>IF(AND(BR323&gt;NDC!$C$63,BS323&gt;NDC!$C$65,BT323&gt;NDC!$D$73,BU323&gt;NDC!$D$74,$B323&gt;NDC!$H$22-0.1+MIN(3*BV$12,1.5)),0,1)</f>
        <v>#N/A</v>
      </c>
      <c r="BW323" s="86" t="b">
        <f t="shared" si="445"/>
        <v>0</v>
      </c>
      <c r="BX323" s="86">
        <f t="shared" si="446"/>
        <v>0.5</v>
      </c>
      <c r="BY323" s="86">
        <f t="shared" si="447"/>
        <v>0.5</v>
      </c>
      <c r="BZ323" s="30" t="e">
        <f t="shared" ca="1" si="480"/>
        <v>#DIV/0!</v>
      </c>
      <c r="CA323" s="85" t="e">
        <f ca="1">IF(BG323&lt;=Hypothèses!$V$7,Hypothèses!$W$7,IF(BG323&lt;=Hypothèses!$V$8,Hypothèses!$W$8,IF(BG323&lt;=Hypothèses!$V$9,Hypothèses!$W$9,IF(BG323&lt;=Hypothèses!$V$10,Hypothèses!$W$10,IF(BG323&lt;=Hypothèses!$V$11,Hypothèses!$W$11,IF(BG323&lt;=Hypothèses!$V$12,Hypothèses!$W$12,IF(BG323&lt;=Hypothèses!$V$13,Hypothèses!$W$13,IF(BG323&lt;=Hypothèses!$V$14,Hypothèses!$W$14,IF(BG323&lt;=Hypothèses!$V$15,Hypothèses!$W$15,IF(BG323&lt;=Hypothèses!$V$16,Hypothèses!$W$16,IF(BG323&lt;=Hypothèses!$V$17,Hypothèses!$W$17,IF(BG323&lt;=Hypothèses!$V$18,Hypothèses!$W$18,""))))))))))))</f>
        <v>#DIV/0!</v>
      </c>
      <c r="CB323" s="87" t="e">
        <f t="shared" ca="1" si="519"/>
        <v>#DIV/0!</v>
      </c>
      <c r="CC323" s="88" t="e">
        <f ca="1">IF(BG323&lt;=Hypothèses!$V$7,Hypothèses!$X$7,IF(BG323&lt;=Hypothèses!$V$8,Hypothèses!$X$8,IF(BG323&lt;=Hypothèses!$V$9,Hypothèses!$X$9,IF(BG323&lt;=Hypothèses!$V$10,Hypothèses!$X$10,IF(BG323&lt;=Hypothèses!$V$11,Hypothèses!$X$11,IF(BG323&lt;=Hypothèses!$V$12,Hypothèses!$X$12,IF(BG323&lt;=Hypothèses!$V$13,Hypothèses!$X$13,IF(BG323&lt;=Hypothèses!$V$14,Hypothèses!$X$14,IF(BG323&lt;=Hypothèses!$V$15,Hypothèses!$X$15,IF(BG323&lt;=Hypothèses!$V$16,Hypothèses!$X$16,IF(BG323&lt;=Hypothèses!$U$17,Hypothèses!$W$17,IF(BG323&lt;=Hypothèses!$U$18,Hypothèses!$W$18,""))))))))))))</f>
        <v>#DIV/0!</v>
      </c>
      <c r="CD323" s="95" t="e">
        <f t="shared" ca="1" si="481"/>
        <v>#DIV/0!</v>
      </c>
      <c r="CE323" s="101">
        <f t="shared" si="526"/>
        <v>0</v>
      </c>
      <c r="CF323" s="91">
        <f t="shared" si="448"/>
        <v>0</v>
      </c>
      <c r="CG323" s="30" t="e">
        <f t="shared" si="506"/>
        <v>#N/A</v>
      </c>
      <c r="CH323" s="30" t="e">
        <f t="shared" si="507"/>
        <v>#N/A</v>
      </c>
      <c r="CI323" s="31" t="e">
        <f>IF(OR(Hypothèses!$B$4=17,Hypothèses!$B$4=18,Hypothèses!$B$4=19,Hypothèses!$B$4=20),
IF($D323="Pressio.",
IF(OR($E323=3,$E323=1,$E323=4),CH323,CG323),
IF($D323="Pénétro.",
IF(OR($E323=3,$E323=1,$E323=4),CH323,CG323))),IF($D323="Pressio.",
IF($E323=3,CH323,CG323),
IF($D323="Pénétro.",
IF($E323=4,CH323,CG323))))</f>
        <v>#N/A</v>
      </c>
      <c r="CJ323" s="31">
        <v>0</v>
      </c>
      <c r="CK323" s="102" t="e">
        <f>IF(NDC!$H$10="Oui",(VLOOKUP($B$3,'Coeff EC7'!$T$39:$X$59,2,0)*CI323+VLOOKUP($B$3,'Coeff EC7'!$T$65:$X$85,2,0)*Model0.1T!CJ323)/1.5,PI()*CG$12*$Q323*($B323-$B322)*0.15/10+CK322)</f>
        <v>#N/A</v>
      </c>
      <c r="CL323" s="102" t="e">
        <f>(VLOOKUP($B$3,'Coeff EC7'!$T$39:$X$59,3,0)*CI323+VLOOKUP($B$3,'Coeff EC7'!$T$65:$X$85,3,0)*Model0.1T!CJ323)/1.1</f>
        <v>#N/A</v>
      </c>
      <c r="CM323" s="102" t="e">
        <f t="shared" si="482"/>
        <v>#N/A</v>
      </c>
      <c r="CN323" s="102" t="e">
        <f t="shared" si="483"/>
        <v>#N/A</v>
      </c>
      <c r="CO323" s="414" t="e">
        <f>IF(AND(CK323&gt;NDC!$C$63,CL323&gt;NDC!$C$65,CM323&gt;NDC!$D$73,CN323&gt;NDC!$D$74,$B323&gt;NDC!$H$22-0.1+MIN(3*CO$12,1.5)),0,1)</f>
        <v>#N/A</v>
      </c>
      <c r="CP323" s="86" t="b">
        <f t="shared" si="449"/>
        <v>0</v>
      </c>
      <c r="CQ323" s="86">
        <f t="shared" si="450"/>
        <v>0.5</v>
      </c>
      <c r="CR323" s="86">
        <f t="shared" si="451"/>
        <v>0.5</v>
      </c>
      <c r="CS323" s="30" t="e">
        <f t="shared" ca="1" si="484"/>
        <v>#DIV/0!</v>
      </c>
      <c r="CT323" s="85" t="e">
        <f ca="1">IF(BZ323&lt;=Hypothèses!$V$7,Hypothèses!$W$7,IF(BZ323&lt;=Hypothèses!$V$8,Hypothèses!$W$8,IF(BZ323&lt;=Hypothèses!$V$9,Hypothèses!$W$9,IF(BZ323&lt;=Hypothèses!$V$10,Hypothèses!$W$10,IF(BZ323&lt;=Hypothèses!$V$11,Hypothèses!$W$11,IF(BZ323&lt;=Hypothèses!$V$12,Hypothèses!$W$12,IF(BZ323&lt;=Hypothèses!$V$13,Hypothèses!$W$13,IF(BZ323&lt;=Hypothèses!$V$14,Hypothèses!$W$14,IF(BZ323&lt;=Hypothèses!$V$15,Hypothèses!$W$15,IF(BZ323&lt;=Hypothèses!$V$16,Hypothèses!$W$16,IF(BZ323&lt;=Hypothèses!$V$17,Hypothèses!$W$17,IF(BZ323&lt;=Hypothèses!$V$18,Hypothèses!$W$18,""))))))))))))</f>
        <v>#DIV/0!</v>
      </c>
      <c r="CU323" s="87" t="e">
        <f t="shared" ca="1" si="520"/>
        <v>#DIV/0!</v>
      </c>
      <c r="CV323" s="88" t="e">
        <f ca="1">IF(BZ323&lt;=Hypothèses!$V$7,Hypothèses!$X$7,IF(BZ323&lt;=Hypothèses!$V$8,Hypothèses!$X$8,IF(BZ323&lt;=Hypothèses!$V$9,Hypothèses!$X$9,IF(BZ323&lt;=Hypothèses!$V$10,Hypothèses!$X$10,IF(BZ323&lt;=Hypothèses!$V$11,Hypothèses!$X$11,IF(BZ323&lt;=Hypothèses!$V$12,Hypothèses!$X$12,IF(BZ323&lt;=Hypothèses!$V$13,Hypothèses!$X$13,IF(BZ323&lt;=Hypothèses!$V$14,Hypothèses!$X$14,IF(BZ323&lt;=Hypothèses!$V$15,Hypothèses!$X$15,IF(BZ323&lt;=Hypothèses!$V$16,Hypothèses!$X$16,IF(BZ323&lt;=Hypothèses!$U$17,Hypothèses!$W$17,IF(BZ323&lt;=Hypothèses!$U$18,Hypothèses!$W$18,""))))))))))))</f>
        <v>#DIV/0!</v>
      </c>
      <c r="CW323" s="95" t="e">
        <f t="shared" ca="1" si="485"/>
        <v>#DIV/0!</v>
      </c>
      <c r="CX323" s="101">
        <f t="shared" si="527"/>
        <v>0</v>
      </c>
      <c r="CY323" s="91">
        <f t="shared" si="452"/>
        <v>0</v>
      </c>
      <c r="CZ323" s="30" t="e">
        <f t="shared" si="508"/>
        <v>#N/A</v>
      </c>
      <c r="DA323" s="30" t="e">
        <f t="shared" si="509"/>
        <v>#N/A</v>
      </c>
      <c r="DB323" s="31" t="e">
        <f>IF(OR(Hypothèses!$B$4=17,Hypothèses!$B$4=18,Hypothèses!$B$4=19,Hypothèses!$B$4=20),
IF($D323="Pressio.",
IF(OR($E323=3,$E323=1,$E323=4),DA323,CZ323),
IF($D323="Pénétro.",
IF(OR($E323=3,$E323=1,$E323=4),DA323,CZ323))),IF($D323="Pressio.",
IF($E323=3,DA323,CZ323),
IF($D323="Pénétro.",
IF($E323=4,DA323,CZ323))))</f>
        <v>#N/A</v>
      </c>
      <c r="DC323" s="31">
        <v>0</v>
      </c>
      <c r="DD323" s="102" t="e">
        <f>IF(NDC!$H$10="Oui",(VLOOKUP($B$3,'Coeff EC7'!$T$39:$X$59,2,0)*DB323+VLOOKUP($B$3,'Coeff EC7'!$T$65:$X$85,2,0)*Model0.1T!DC323)/1.5,PI()*CZ$12*$Q323*($B323-$B322)*0.15/10+DD322)</f>
        <v>#N/A</v>
      </c>
      <c r="DE323" s="102" t="e">
        <f>(VLOOKUP($B$3,'Coeff EC7'!$T$39:$X$59,3,0)*DB323+VLOOKUP($B$3,'Coeff EC7'!$T$65:$X$85,3,0)*Model0.1T!DC323)/1.1</f>
        <v>#N/A</v>
      </c>
      <c r="DF323" s="102" t="e">
        <f t="shared" si="486"/>
        <v>#N/A</v>
      </c>
      <c r="DG323" s="102" t="e">
        <f t="shared" si="487"/>
        <v>#N/A</v>
      </c>
      <c r="DH323" s="414" t="e">
        <f>IF(AND(DD323&gt;NDC!$C$63,DE323&gt;NDC!$C$65,DF323&gt;NDC!$D$73,DG323&gt;NDC!$D$74,$B323&gt;NDC!$H$22-0.1+MIN(3*DH$12,1.5)),0,1)</f>
        <v>#N/A</v>
      </c>
      <c r="DI323" s="86" t="b">
        <f t="shared" si="453"/>
        <v>0</v>
      </c>
      <c r="DJ323" s="86">
        <f t="shared" si="454"/>
        <v>0.5</v>
      </c>
      <c r="DK323" s="86">
        <f t="shared" si="455"/>
        <v>0.5</v>
      </c>
      <c r="DL323" s="30" t="e">
        <f t="shared" ca="1" si="488"/>
        <v>#DIV/0!</v>
      </c>
      <c r="DM323" s="85" t="e">
        <f ca="1">IF(CS323&lt;=Hypothèses!$V$7,Hypothèses!$W$7,IF(CS323&lt;=Hypothèses!$V$8,Hypothèses!$W$8,IF(CS323&lt;=Hypothèses!$V$9,Hypothèses!$W$9,IF(CS323&lt;=Hypothèses!$V$10,Hypothèses!$W$10,IF(CS323&lt;=Hypothèses!$V$11,Hypothèses!$W$11,IF(CS323&lt;=Hypothèses!$V$12,Hypothèses!$W$12,IF(CS323&lt;=Hypothèses!$V$13,Hypothèses!$W$13,IF(CS323&lt;=Hypothèses!$V$14,Hypothèses!$W$14,IF(CS323&lt;=Hypothèses!$V$15,Hypothèses!$W$15,IF(CS323&lt;=Hypothèses!$V$16,Hypothèses!$W$16,IF(CS323&lt;=Hypothèses!$V$17,Hypothèses!$W$17,IF(CS323&lt;=Hypothèses!$V$18,Hypothèses!$W$18,""))))))))))))</f>
        <v>#DIV/0!</v>
      </c>
      <c r="DN323" s="87" t="e">
        <f t="shared" ca="1" si="521"/>
        <v>#DIV/0!</v>
      </c>
      <c r="DO323" s="88" t="e">
        <f ca="1">IF(CS323&lt;=Hypothèses!$V$7,Hypothèses!$X$7,IF(CS323&lt;=Hypothèses!$V$8,Hypothèses!$X$8,IF(CS323&lt;=Hypothèses!$V$9,Hypothèses!$X$9,IF(CS323&lt;=Hypothèses!$V$10,Hypothèses!$X$10,IF(CS323&lt;=Hypothèses!$V$11,Hypothèses!$X$11,IF(CS323&lt;=Hypothèses!$V$12,Hypothèses!$X$12,IF(CS323&lt;=Hypothèses!$V$13,Hypothèses!$X$13,IF(CS323&lt;=Hypothèses!$V$14,Hypothèses!$X$14,IF(CS323&lt;=Hypothèses!$V$15,Hypothèses!$X$15,IF(CS323&lt;=Hypothèses!$V$16,Hypothèses!$X$16,IF(CS323&lt;=Hypothèses!$U$17,Hypothèses!$W$17,IF(CS323&lt;=Hypothèses!$U$18,Hypothèses!$W$18,""))))))))))))</f>
        <v>#DIV/0!</v>
      </c>
      <c r="DP323" s="95" t="e">
        <f t="shared" ca="1" si="489"/>
        <v>#DIV/0!</v>
      </c>
      <c r="DQ323" s="101">
        <f t="shared" si="528"/>
        <v>0</v>
      </c>
      <c r="DR323" s="91">
        <f t="shared" si="456"/>
        <v>0</v>
      </c>
      <c r="DS323" s="30" t="e">
        <f t="shared" si="510"/>
        <v>#N/A</v>
      </c>
      <c r="DT323" s="30" t="e">
        <f t="shared" si="511"/>
        <v>#N/A</v>
      </c>
      <c r="DU323" s="31" t="e">
        <f>IF(OR(Hypothèses!$B$4=17,Hypothèses!$B$4=18,Hypothèses!$B$4=19,Hypothèses!$B$4=20),
IF($D323="Pressio.",
IF(OR($E323=3,$E323=1,$E323=4),DT323,DS323),
IF($D323="Pénétro.",
IF(OR($E323=3,$E323=1,$E323=4),DT323,DS323))),IF($D323="Pressio.",
IF($E323=3,DT323,DS323),
IF($D323="Pénétro.",
IF($E323=4,DT323,DS323))))</f>
        <v>#N/A</v>
      </c>
      <c r="DV323" s="31">
        <v>0</v>
      </c>
      <c r="DW323" s="102" t="e">
        <f>IF(NDC!$H$10="Oui",(VLOOKUP($B$3,'Coeff EC7'!$T$39:$X$59,2,0)*DU323+VLOOKUP($B$3,'Coeff EC7'!$T$65:$X$85,2,0)*Model0.1T!DV323)/1.5,PI()*DS$12*$Q323*($B323-$B322)*0.15/10+DW322)</f>
        <v>#N/A</v>
      </c>
      <c r="DX323" s="102" t="e">
        <f>(VLOOKUP($B$3,'Coeff EC7'!$T$39:$X$59,3,0)*DU323+VLOOKUP($B$3,'Coeff EC7'!$T$65:$X$85,3,0)*Model0.1T!DV323)/1.1</f>
        <v>#N/A</v>
      </c>
      <c r="DY323" s="102" t="e">
        <f t="shared" si="490"/>
        <v>#N/A</v>
      </c>
      <c r="DZ323" s="102" t="e">
        <f t="shared" si="491"/>
        <v>#N/A</v>
      </c>
      <c r="EA323" s="414" t="e">
        <f>IF(AND(DW323&gt;NDC!$C$63,DX323&gt;NDC!$C$65,DY323&gt;NDC!$D$73,DZ323&gt;NDC!$D$74,$B323&gt;NDC!$H$22-0.1+MIN(3*EA$12,1.5)),0,1)</f>
        <v>#N/A</v>
      </c>
      <c r="EB323" s="86" t="b">
        <f t="shared" si="457"/>
        <v>0</v>
      </c>
      <c r="EC323" s="418">
        <f t="shared" si="458"/>
        <v>0.51</v>
      </c>
      <c r="ED323" s="86">
        <f t="shared" si="459"/>
        <v>0.51</v>
      </c>
      <c r="EE323" s="30" t="e">
        <f t="shared" ca="1" si="492"/>
        <v>#DIV/0!</v>
      </c>
      <c r="EF323" s="85" t="e">
        <f ca="1">IF(DL323&lt;=Hypothèses!$V$7,Hypothèses!$W$7,IF(DL323&lt;=Hypothèses!$V$8,Hypothèses!$W$8,IF(DL323&lt;=Hypothèses!$V$9,Hypothèses!$W$9,IF(DL323&lt;=Hypothèses!$V$10,Hypothèses!$W$10,IF(DL323&lt;=Hypothèses!$V$11,Hypothèses!$W$11,IF(DL323&lt;=Hypothèses!$V$12,Hypothèses!$W$12,IF(DL323&lt;=Hypothèses!$V$13,Hypothèses!$W$13,IF(DL323&lt;=Hypothèses!$V$14,Hypothèses!$W$14,IF(DL323&lt;=Hypothèses!$V$15,Hypothèses!$W$15,IF(DL323&lt;=Hypothèses!$V$16,Hypothèses!$W$16,IF(DL323&lt;=Hypothèses!$V$17,Hypothèses!$W$17,IF(DL323&lt;=Hypothèses!$V$18,Hypothèses!$W$18,""))))))))))))</f>
        <v>#DIV/0!</v>
      </c>
      <c r="EG323" s="87" t="e">
        <f t="shared" ca="1" si="522"/>
        <v>#DIV/0!</v>
      </c>
      <c r="EH323" s="88" t="e">
        <f ca="1">IF(DL323&lt;=Hypothèses!$V$7,Hypothèses!$X$7,IF(DL323&lt;=Hypothèses!$V$8,Hypothèses!$X$8,IF(DL323&lt;=Hypothèses!$V$9,Hypothèses!$X$9,IF(DL323&lt;=Hypothèses!$V$10,Hypothèses!$X$10,IF(DL323&lt;=Hypothèses!$V$11,Hypothèses!$X$11,IF(DL323&lt;=Hypothèses!$V$12,Hypothèses!$X$12,IF(DL323&lt;=Hypothèses!$V$13,Hypothèses!$X$13,IF(DL323&lt;=Hypothèses!$V$14,Hypothèses!$X$14,IF(DL323&lt;=Hypothèses!$V$15,Hypothèses!$X$15,IF(DL323&lt;=Hypothèses!$V$16,Hypothèses!$X$16,IF(DL323&lt;=Hypothèses!$U$17,Hypothèses!$W$17,IF(DL323&lt;=Hypothèses!$U$18,Hypothèses!$W$18,""))))))))))))</f>
        <v>#DIV/0!</v>
      </c>
      <c r="EI323" s="95" t="e">
        <f t="shared" ca="1" si="493"/>
        <v>#DIV/0!</v>
      </c>
      <c r="EJ323" s="101">
        <f t="shared" si="529"/>
        <v>0</v>
      </c>
      <c r="EK323" s="91">
        <f t="shared" si="460"/>
        <v>0</v>
      </c>
      <c r="EL323" s="30" t="e">
        <f t="shared" si="512"/>
        <v>#N/A</v>
      </c>
      <c r="EM323" s="30" t="e">
        <f t="shared" si="513"/>
        <v>#N/A</v>
      </c>
      <c r="EN323" s="31" t="e">
        <f>IF(OR(Hypothèses!$B$4=17,Hypothèses!$B$4=18,Hypothèses!$B$4=19,Hypothèses!$B$4=20),
IF($D323="Pressio.",
IF(OR($E323=3,$E323=1,$E323=4),EM323,EL323),
IF($D323="Pénétro.",
IF(OR($E323=3,$E323=1,$E323=4),EM323,EL323))),IF($D323="Pressio.",
IF($E323=3,EM323,EL323),
IF($D323="Pénétro.",
IF($E323=4,EM323,EL323))))</f>
        <v>#N/A</v>
      </c>
      <c r="EO323" s="31">
        <v>0</v>
      </c>
      <c r="EP323" s="102" t="e">
        <f>IF(NDC!$H$10="Oui",(VLOOKUP($B$3,'Coeff EC7'!$T$39:$X$59,2,0)*EN323+VLOOKUP($B$3,'Coeff EC7'!$T$65:$X$85,2,0)*Model0.1T!EO323)/1.5,PI()*EL$12*$Q323*($B323-$B322)*0.15/10+EP322)</f>
        <v>#N/A</v>
      </c>
      <c r="EQ323" s="102" t="e">
        <f>(VLOOKUP($B$3,'Coeff EC7'!$T$39:$X$59,3,0)*EN323+VLOOKUP($B$3,'Coeff EC7'!$T$65:$X$85,3,0)*Model0.1T!EO323)/1.1</f>
        <v>#N/A</v>
      </c>
      <c r="ER323" s="102" t="e">
        <f t="shared" si="494"/>
        <v>#N/A</v>
      </c>
      <c r="ES323" s="102" t="e">
        <f t="shared" si="495"/>
        <v>#N/A</v>
      </c>
      <c r="ET323" s="414" t="e">
        <f>IF(AND(EP323&gt;NDC!$C$63,EQ323&gt;NDC!$C$65,ER323&gt;NDC!$D$73,ES323&gt;NDC!$D$74,$B323&gt;NDC!$H$22-0.1+MIN(3*ET$12,1.5)),0,1)</f>
        <v>#N/A</v>
      </c>
      <c r="EU323" s="86" t="b">
        <f t="shared" si="461"/>
        <v>0</v>
      </c>
      <c r="EV323" s="86">
        <f t="shared" si="462"/>
        <v>0.61</v>
      </c>
      <c r="EW323" s="86">
        <f t="shared" si="463"/>
        <v>0.61</v>
      </c>
      <c r="EX323" s="30" t="e">
        <f t="shared" ca="1" si="496"/>
        <v>#DIV/0!</v>
      </c>
      <c r="EY323" s="85" t="e">
        <f ca="1">IF(EE323&lt;=Hypothèses!$V$7,Hypothèses!$W$7,IF(EE323&lt;=Hypothèses!$V$8,Hypothèses!$W$8,IF(EE323&lt;=Hypothèses!$V$9,Hypothèses!$W$9,IF(EE323&lt;=Hypothèses!$V$10,Hypothèses!$W$10,IF(EE323&lt;=Hypothèses!$V$11,Hypothèses!$W$11,IF(EE323&lt;=Hypothèses!$V$12,Hypothèses!$W$12,IF(EE323&lt;=Hypothèses!$V$13,Hypothèses!$W$13,IF(EE323&lt;=Hypothèses!$V$14,Hypothèses!$W$14,IF(EE323&lt;=Hypothèses!$V$15,Hypothèses!$W$15,IF(EE323&lt;=Hypothèses!$V$16,Hypothèses!$W$16,IF(EE323&lt;=Hypothèses!$V$17,Hypothèses!$W$17,IF(EE323&lt;=Hypothèses!$V$18,Hypothèses!$W$18,""))))))))))))</f>
        <v>#DIV/0!</v>
      </c>
      <c r="EZ323" s="87" t="e">
        <f t="shared" ca="1" si="523"/>
        <v>#DIV/0!</v>
      </c>
      <c r="FA323" s="88" t="e">
        <f ca="1">IF(EE323&lt;=Hypothèses!$V$7,Hypothèses!$X$7,IF(EE323&lt;=Hypothèses!$V$8,Hypothèses!$X$8,IF(EE323&lt;=Hypothèses!$V$9,Hypothèses!$X$9,IF(EE323&lt;=Hypothèses!$V$10,Hypothèses!$X$10,IF(EE323&lt;=Hypothèses!$V$11,Hypothèses!$X$11,IF(EE323&lt;=Hypothèses!$V$12,Hypothèses!$X$12,IF(EE323&lt;=Hypothèses!$V$13,Hypothèses!$X$13,IF(EE323&lt;=Hypothèses!$V$14,Hypothèses!$X$14,IF(EE323&lt;=Hypothèses!$V$15,Hypothèses!$X$15,IF(EE323&lt;=Hypothèses!$V$16,Hypothèses!$X$16,IF(EE323&lt;=Hypothèses!$U$17,Hypothèses!$W$17,IF(EE323&lt;=Hypothèses!$U$18,Hypothèses!$W$18,""))))))))))))</f>
        <v>#DIV/0!</v>
      </c>
      <c r="FB323" s="95" t="e">
        <f t="shared" ca="1" si="497"/>
        <v>#DIV/0!</v>
      </c>
      <c r="FC323" s="101">
        <f t="shared" si="530"/>
        <v>0</v>
      </c>
      <c r="FD323" s="91">
        <f t="shared" si="464"/>
        <v>0</v>
      </c>
      <c r="FE323" s="30" t="e">
        <f t="shared" si="514"/>
        <v>#N/A</v>
      </c>
      <c r="FF323" s="30" t="e">
        <f t="shared" si="515"/>
        <v>#N/A</v>
      </c>
      <c r="FG323" s="31" t="e">
        <f>IF(OR(Hypothèses!$B$4=17,Hypothèses!$B$4=18,Hypothèses!$B$4=19,Hypothèses!$B$4=20),
IF($D323="Pressio.",
IF(OR($E323=3,$E323=1,$E323=4),FF323,FE323),
IF($D323="Pénétro.",
IF(OR($E323=3,$E323=1,$E323=4),FF323,FE323))),IF($D323="Pressio.",
IF($E323=3,FF323,FE323),
IF($D323="Pénétro.",
IF($E323=4,FF323,FE323))))</f>
        <v>#N/A</v>
      </c>
      <c r="FH323" s="31">
        <v>0</v>
      </c>
      <c r="FI323" s="102" t="e">
        <f>IF(NDC!$H$10="Oui",(VLOOKUP($B$3,'Coeff EC7'!$T$39:$X$59,2,0)*FG323+VLOOKUP($B$3,'Coeff EC7'!$T$65:$X$85,2,0)*Model0.1T!FH323)/1.5,PI()*FE$12*$Q323*($B323-$B322)*0.15/10+FI322)</f>
        <v>#N/A</v>
      </c>
      <c r="FJ323" s="102" t="e">
        <f>(VLOOKUP($B$3,'Coeff EC7'!$T$39:$X$59,3,0)*FG323+VLOOKUP($B$3,'Coeff EC7'!$T$65:$X$85,3,0)*Model0.1T!FH323)/1.1</f>
        <v>#N/A</v>
      </c>
      <c r="FK323" s="102" t="e">
        <f t="shared" si="498"/>
        <v>#N/A</v>
      </c>
      <c r="FL323" s="102" t="e">
        <f t="shared" si="499"/>
        <v>#N/A</v>
      </c>
      <c r="FM323" s="414" t="e">
        <f>IF(AND(FI323&gt;NDC!$C$63,FJ323&gt;NDC!$C$65,FK323&gt;NDC!$D$73,FL323&gt;NDC!$D$74,$B323&gt;NDC!$H$22-0.1+MIN(3*FM$12,1.5)),0,1)</f>
        <v>#N/A</v>
      </c>
    </row>
    <row r="324" spans="1:169">
      <c r="A324" s="96">
        <f t="shared" si="465"/>
        <v>68.900000000001768</v>
      </c>
      <c r="B324" s="97">
        <v>31.1</v>
      </c>
      <c r="C324" s="81">
        <f>IF(B324&lt;=Hypothèses!$C$7,Hypothèses!$A$7,IF(B324&lt;=Hypothèses!$C$8,Hypothèses!$A$8,IF(B324&lt;=Hypothèses!$C$9,Hypothèses!$A$9,IF(B324&lt;=Hypothèses!$C$10,Hypothèses!$A$10,IF(B324&lt;=Hypothèses!$C$11,Hypothèses!$A$11,IF(B324&lt;=Hypothèses!$C$12,Hypothèses!$A$12,IF(B324&lt;=Hypothèses!$C$13,Hypothèses!$A$13,IF(B324&lt;=Hypothèses!$C$14,Hypothèses!$A$14,IF(B324&lt;=Hypothèses!$C$15,Hypothèses!$A$15,IF(B324&lt;=Hypothèses!$C$16,Hypothèses!$A$16,IF(B324&lt;=Hypothèses!$C$17,Hypothèses!$A$17,IF(B324&lt;=Hypothèses!$C$18,Hypothèses!$A$18,C323))))))))))))</f>
        <v>11</v>
      </c>
      <c r="D324" s="82" t="str">
        <f>IF(B324&lt;=Hypothèses!$C$7,Hypothèses!$R$7,IF(B324&lt;=Hypothèses!$C$8,Hypothèses!$R$8,IF(B324&lt;=Hypothèses!$C$9,Hypothèses!$R$9,IF(B324&lt;=Hypothèses!$C$10,Hypothèses!$R$10,IF(B324&lt;=Hypothèses!$C$11,Hypothèses!$R$11,IF(B324&lt;=Hypothèses!$C$12,Hypothèses!$R$12,IF(B324&lt;=Hypothèses!$C$13,Hypothèses!$R$13,IF(B324&lt;=Hypothèses!$C$14,Hypothèses!$R$14,IF(B324&lt;=Hypothèses!$C$15,Hypothèses!$R$15,IF(B324&lt;=Hypothèses!$C$16,Hypothèses!$R$16,IF(B324&lt;=Hypothèses!$C$17,Hypothèses!$R$17,IF(B324&lt;=Hypothèses!$C$18,Hypothèses!$R$18,D323))))))))))))</f>
        <v>Pressio.</v>
      </c>
      <c r="E324" s="82" t="e">
        <f>IF(B324&lt;=Hypothèses!$C$7,Hypothèses!$G$7,IF(B324&lt;=Hypothèses!$C$8,Hypothèses!$G$8,IF(B324&lt;=Hypothèses!$C$9,Hypothèses!$G$9,IF(B324&lt;=Hypothèses!$C$10,Hypothèses!$G$10,IF(B324&lt;=Hypothèses!$C$11,Hypothèses!$G$11,IF(B324&lt;=Hypothèses!$C$12,Hypothèses!$G$12,IF(B324&lt;=Hypothèses!$C$13,Hypothèses!$G$13,IF(B324&lt;=Hypothèses!$C$14,Hypothèses!$G$14,IF(B324&lt;=Hypothèses!$C$15,Hypothèses!$G$15,IF(B324&lt;=Hypothèses!$C$16,Hypothèses!$G$16,IF(B324&lt;=Hypothèses!$C$17,Hypothèses!$G$17,IF(B324&lt;=Hypothèses!$C$18,Hypothèses!$G$18,E323))))))))))))</f>
        <v>#N/A</v>
      </c>
      <c r="F324" s="82" t="str">
        <f>IF(B324&lt;=Hypothèses!$C$7,Hypothèses!$F$7,IF(B324&lt;=Hypothèses!$C$8,Hypothèses!$F$8,IF(B324&lt;=Hypothèses!$C$9,Hypothèses!$F$9,IF(B324&lt;=Hypothèses!$C$10,Hypothèses!$F$10,IF(B324&lt;=Hypothèses!$C$11,Hypothèses!$F$11,IF(B324&lt;=Hypothèses!$C$12,Hypothèses!$F$12,IF(B324&lt;=Hypothèses!$C$13,Hypothèses!$F$13,IF(B324&lt;=Hypothèses!$C$14,Hypothèses!$F$14,IF(B324&lt;=Hypothèses!$C$15,Hypothèses!$F$15,IF(B324&lt;=Hypothèses!$C$16,Hypothèses!$F$16,IF(B324&lt;=Hypothèses!$C$17,Hypothèses!$F$17,IF(B324&lt;=Hypothèses!$C$18,Hypothèses!$F$18,F323))))))))))))</f>
        <v/>
      </c>
      <c r="G324" s="91">
        <f t="array" ref="G324">INDEX('Coeff EC7'!$U$7:$X$27,
MATCH(Model0.1T!$B$3,'Coeff EC7'!$T$7:$T$27,0),
MATCH(Model0.1T!$D324&amp;Model0.1T!$B$4,
'Coeff EC7'!$U$6:$X$6&amp;
'Coeff EC7'!$U$5:$X$5,0))</f>
        <v>1.4</v>
      </c>
      <c r="H324" s="91">
        <f t="array" ref="H324">INDEX('Coeff EC7'!$Y$7:$AB$27,
MATCH(Model0.1T!$B$3,'Coeff EC7'!$T$7:$T$27,0),
MATCH(Model0.1T!$D324&amp;Model0.1T!$B$4,
'Coeff EC7'!$Y$6:$AB$6&amp;
'Coeff EC7'!$Y$5:$AB$5,0))</f>
        <v>1.7</v>
      </c>
      <c r="I324" s="83">
        <v>0</v>
      </c>
      <c r="J324" s="91" t="e">
        <f t="array" ref="J324">INDEX('Coeff EC7'!$D$33:$Q$33,1,MATCH(D324&amp;E324,'Coeff EC7'!$D$31:$Q$31&amp;'Coeff EC7'!$D$32:$Q$32,0))</f>
        <v>#N/A</v>
      </c>
      <c r="K324" s="91" t="e">
        <f t="array" ref="K324">INDEX('Coeff EC7'!$D$34:$Q$34,1,MATCH(D324&amp;E324,'Coeff EC7'!$D$31:$Q$31&amp;'Coeff EC7'!$D$32:$Q$32,0))</f>
        <v>#N/A</v>
      </c>
      <c r="L324" s="91" t="e">
        <f t="array" ref="L324">INDEX('Coeff EC7'!$D$35:$Q$35,1,MATCH(D324&amp;E324,'Coeff EC7'!$D$31:$Q$31&amp;'Coeff EC7'!$D$32:$Q$32,0))</f>
        <v>#N/A</v>
      </c>
      <c r="M324" s="98" t="e">
        <f t="shared" si="431"/>
        <v>#N/A</v>
      </c>
      <c r="N324" s="99" t="e">
        <f t="array" ref="N324">INDEX('Coeff EC7'!$D$7:$Q$27,MATCH($B$3,'Coeff EC7'!$C$7:$C$27,0),MATCH(D324&amp;E324,'Coeff EC7'!$D$5:$Q$5&amp;'Coeff EC7'!$D$6:$Q$6,0))</f>
        <v>#N/A</v>
      </c>
      <c r="O324" s="99" t="e">
        <f t="array" ref="O324">INDEX('Coeff EC7'!$D$41:$Q$61,MATCH($B$3,'Coeff EC7'!$C$41:$C$61,0),MATCH(D324&amp;E324,'Coeff EC7'!$D$39:$Q$39&amp;'Coeff EC7'!$D$40:$Q$40,0))</f>
        <v>#N/A</v>
      </c>
      <c r="P324" s="30" t="e">
        <f t="shared" si="466"/>
        <v>#N/A</v>
      </c>
      <c r="Q324" s="100" t="e">
        <f t="shared" si="433"/>
        <v>#N/A</v>
      </c>
      <c r="R324" s="86" t="b">
        <f t="shared" si="434"/>
        <v>0</v>
      </c>
      <c r="S324" s="86">
        <f t="shared" si="432"/>
        <v>0.5</v>
      </c>
      <c r="T324" s="86">
        <f t="shared" si="435"/>
        <v>0.5</v>
      </c>
      <c r="U324" s="30" t="e">
        <f t="shared" ca="1" si="467"/>
        <v>#DIV/0!</v>
      </c>
      <c r="V324" s="85" t="str">
        <f>IF(B324&lt;=Hypothèses!$V$7,Hypothèses!$W$7,IF(B324&lt;=Hypothèses!$V$8,Hypothèses!$W$8,IF(B324&lt;=Hypothèses!$V$9,Hypothèses!$W$9,IF(B324&lt;=Hypothèses!$V$10,Hypothèses!$W$10,IF(B324&lt;=Hypothèses!$V$11,Hypothèses!$W$11,IF(B324&lt;=Hypothèses!$V$12,Hypothèses!$W$12,IF(B324&lt;=Hypothèses!$V$13,Hypothèses!$W$13,IF(B324&lt;=Hypothèses!$V$14,Hypothèses!$W$14,IF(B324&lt;=Hypothèses!$V$15,Hypothèses!$W$15,IF(B324&lt;=Hypothèses!$V$16,Hypothèses!$W$16,IF(B324&lt;=Hypothèses!$V$17,Hypothèses!$W$17,IF(B324&lt;=Hypothèses!$V$18,Hypothèses!$W$18,""))))))))))))</f>
        <v/>
      </c>
      <c r="W324" s="87" t="e">
        <f t="shared" ca="1" si="516"/>
        <v>#DIV/0!</v>
      </c>
      <c r="X324" s="88" t="str">
        <f>IF(B324&lt;=Hypothèses!$V$7,Hypothèses!$X$7,IF(B324&lt;=Hypothèses!$V$8,Hypothèses!$X$8,IF(B324&lt;=Hypothèses!$V$9,Hypothèses!$X$9,IF(B324&lt;=Hypothèses!$V$10,Hypothèses!$X$10,IF(B324&lt;=Hypothèses!$V$11,Hypothèses!$X$11,IF(B324&lt;=Hypothèses!$V$12,Hypothèses!$X$12,IF(B324&lt;=Hypothèses!$V$13,Hypothèses!$X$13,IF(B324&lt;=Hypothèses!$V$14,Hypothèses!$X$14,IF(B324&lt;=Hypothèses!$V$15,Hypothèses!$X$15,IF(B324&lt;=Hypothèses!$V$16,Hypothèses!$X$16,IF(B324&lt;=Hypothèses!$U$17,Hypothèses!$W$17,IF(B324&lt;=Hypothèses!$U$18,Hypothèses!$W$18,""))))))))))))</f>
        <v/>
      </c>
      <c r="Y324" s="95" t="e">
        <f t="shared" ca="1" si="436"/>
        <v>#DIV/0!</v>
      </c>
      <c r="Z324" s="101">
        <f t="shared" si="437"/>
        <v>0</v>
      </c>
      <c r="AA324" s="91">
        <f t="shared" si="438"/>
        <v>0</v>
      </c>
      <c r="AB324" s="30" t="e">
        <f t="shared" si="500"/>
        <v>#N/A</v>
      </c>
      <c r="AC324" s="30" t="e">
        <f t="shared" si="501"/>
        <v>#N/A</v>
      </c>
      <c r="AD324" s="31" t="e">
        <f>IF(OR(Hypothèses!$B$4=17,Hypothèses!$B$4=18,Hypothèses!$B$4=19,Hypothèses!$B$4=20),
IF($D324="Pressio.",
IF(OR($E324=3,$E324=1,$E324=4),AC324,AB324),
IF($D324="Pénétro.",
IF(OR($E324=3,$E324=1,$E324=4),AC324,AB324))),IF($D324="Pressio.",
IF($E324=3,AC324,AB324),
IF($D324="Pénétro.",
IF($E324=4,AC324,AB324))))</f>
        <v>#N/A</v>
      </c>
      <c r="AE324" s="31">
        <v>0</v>
      </c>
      <c r="AF324" s="102" t="e">
        <f>IF(NDC!$H$10="Oui",(VLOOKUP($B$3,'Coeff EC7'!$T$39:$X$59,2,0)*AD324+VLOOKUP($B$3,'Coeff EC7'!$T$65:$X$85,2,0)*Model0.1T!AE324)/1.5,PI()*AB$12*$Q324*($B324-$B323)*0.15/10+AF323)</f>
        <v>#N/A</v>
      </c>
      <c r="AG324" s="102" t="e">
        <f>(VLOOKUP($B$3,'Coeff EC7'!$T$39:$X$59,3,0)*AD324+VLOOKUP($B$3,'Coeff EC7'!$T$65:$X$85,3,0)*Model0.1T!AE324)/1.1</f>
        <v>#N/A</v>
      </c>
      <c r="AH324" s="102" t="e">
        <f t="shared" si="468"/>
        <v>#N/A</v>
      </c>
      <c r="AI324" s="102" t="e">
        <f t="shared" si="469"/>
        <v>#N/A</v>
      </c>
      <c r="AJ324" s="414" t="e">
        <f>IF(AND(AF324&gt;NDC!$C$63,AG324&gt;NDC!$C$65,AH324&gt;NDC!$D$73,AI324&gt;NDC!$D$74,$B324&gt;NDC!$H$22-0.1+MIN(3*$AJ$12,1.5)),0,1)</f>
        <v>#N/A</v>
      </c>
      <c r="AK324" s="86" t="b">
        <f t="shared" si="439"/>
        <v>0</v>
      </c>
      <c r="AL324" s="86">
        <f t="shared" si="470"/>
        <v>0.5</v>
      </c>
      <c r="AM324" s="86">
        <f t="shared" si="440"/>
        <v>0.5</v>
      </c>
      <c r="AN324" s="30" t="e">
        <f t="shared" ca="1" si="471"/>
        <v>#DIV/0!</v>
      </c>
      <c r="AO324" s="85" t="e">
        <f ca="1">IF(U324&lt;=Hypothèses!$V$7,Hypothèses!$W$7,IF(U324&lt;=Hypothèses!$V$8,Hypothèses!$W$8,IF(U324&lt;=Hypothèses!$V$9,Hypothèses!$W$9,IF(U324&lt;=Hypothèses!$V$10,Hypothèses!$W$10,IF(U324&lt;=Hypothèses!$V$11,Hypothèses!$W$11,IF(U324&lt;=Hypothèses!$V$12,Hypothèses!$W$12,IF(U324&lt;=Hypothèses!$V$13,Hypothèses!$W$13,IF(U324&lt;=Hypothèses!$V$14,Hypothèses!$W$14,IF(U324&lt;=Hypothèses!$V$15,Hypothèses!$W$15,IF(U324&lt;=Hypothèses!$V$16,Hypothèses!$W$16,IF(U324&lt;=Hypothèses!$V$17,Hypothèses!$W$17,IF(U324&lt;=Hypothèses!$V$18,Hypothèses!$W$18,""))))))))))))</f>
        <v>#DIV/0!</v>
      </c>
      <c r="AP324" s="87" t="e">
        <f t="shared" ca="1" si="517"/>
        <v>#DIV/0!</v>
      </c>
      <c r="AQ324" s="88" t="e">
        <f ca="1">IF(U324&lt;=Hypothèses!$V$7,Hypothèses!$X$7,IF(U324&lt;=Hypothèses!$V$8,Hypothèses!$X$8,IF(U324&lt;=Hypothèses!$V$9,Hypothèses!$X$9,IF(U324&lt;=Hypothèses!$V$10,Hypothèses!$X$10,IF(U324&lt;=Hypothèses!$V$11,Hypothèses!$X$11,IF(U324&lt;=Hypothèses!$V$12,Hypothèses!$X$12,IF(U324&lt;=Hypothèses!$V$13,Hypothèses!$X$13,IF(U324&lt;=Hypothèses!$V$14,Hypothèses!$X$14,IF(U324&lt;=Hypothèses!$V$15,Hypothèses!$X$15,IF(U324&lt;=Hypothèses!$V$16,Hypothèses!$X$16,IF(U324&lt;=Hypothèses!$U$17,Hypothèses!$W$17,IF(U324&lt;=Hypothèses!$U$18,Hypothèses!$W$18,""))))))))))))</f>
        <v>#DIV/0!</v>
      </c>
      <c r="AR324" s="95" t="e">
        <f t="shared" ca="1" si="472"/>
        <v>#DIV/0!</v>
      </c>
      <c r="AS324" s="101">
        <f t="shared" si="524"/>
        <v>0</v>
      </c>
      <c r="AT324" s="91">
        <f t="shared" si="441"/>
        <v>0</v>
      </c>
      <c r="AU324" s="30" t="e">
        <f t="shared" si="502"/>
        <v>#N/A</v>
      </c>
      <c r="AV324" s="30" t="e">
        <f t="shared" si="503"/>
        <v>#N/A</v>
      </c>
      <c r="AW324" s="31" t="e">
        <f>IF(OR(Hypothèses!$B$4=17,Hypothèses!$B$4=18,Hypothèses!$B$4=19,Hypothèses!$B$4=20),
IF($D324="Pressio.",
IF(OR($E324=3,$E324=1,$E324=4),AV324,AU324),
IF($D324="Pénétro.",
IF(OR($E324=3,$E324=1,$E324=4),AV324,AU324))),IF($D324="Pressio.",
IF($E324=3,AV324,AU324),
IF($D324="Pénétro.",
IF($E324=4,AV324,AU324))))</f>
        <v>#N/A</v>
      </c>
      <c r="AX324" s="31">
        <v>0</v>
      </c>
      <c r="AY324" s="102" t="e">
        <f>IF(NDC!$H$10="Oui",(VLOOKUP($B$3,'Coeff EC7'!$T$39:$X$59,2,0)*AW324+VLOOKUP($B$3,'Coeff EC7'!$T$65:$X$85,2,0)*Model0.1T!AX324)/1.5,PI()*AU$12*$Q324*($B324-$B323)*0.15/10+AY323)</f>
        <v>#N/A</v>
      </c>
      <c r="AZ324" s="102" t="e">
        <f>(VLOOKUP($B$3,'Coeff EC7'!$T$39:$X$59,3,0)*AW324+VLOOKUP($B$3,'Coeff EC7'!$T$65:$X$85,3,0)*Model0.1T!AX324)/1.1</f>
        <v>#N/A</v>
      </c>
      <c r="BA324" s="102" t="e">
        <f t="shared" si="473"/>
        <v>#N/A</v>
      </c>
      <c r="BB324" s="102" t="e">
        <f t="shared" si="474"/>
        <v>#N/A</v>
      </c>
      <c r="BC324" s="414" t="e">
        <f>IF(AND(AY324&gt;NDC!$C$63,AZ324&gt;NDC!$C$65,BA324&gt;NDC!$D$73,BB324&gt;NDC!$D$74,$B324&gt;NDC!$H$22-0.1+MIN(3*BC$12,1.5)),0,1)</f>
        <v>#N/A</v>
      </c>
      <c r="BD324" s="86" t="b">
        <f t="shared" si="442"/>
        <v>0</v>
      </c>
      <c r="BE324" s="86">
        <f t="shared" si="475"/>
        <v>0.5</v>
      </c>
      <c r="BF324" s="86">
        <f t="shared" si="443"/>
        <v>0.5</v>
      </c>
      <c r="BG324" s="30" t="e">
        <f t="shared" ca="1" si="476"/>
        <v>#DIV/0!</v>
      </c>
      <c r="BH324" s="85" t="e">
        <f ca="1">IF(AN324&lt;=Hypothèses!$V$7,Hypothèses!$W$7,IF(AN324&lt;=Hypothèses!$V$8,Hypothèses!$W$8,IF(AN324&lt;=Hypothèses!$V$9,Hypothèses!$W$9,IF(AN324&lt;=Hypothèses!$V$10,Hypothèses!$W$10,IF(AN324&lt;=Hypothèses!$V$11,Hypothèses!$W$11,IF(AN324&lt;=Hypothèses!$V$12,Hypothèses!$W$12,IF(AN324&lt;=Hypothèses!$V$13,Hypothèses!$W$13,IF(AN324&lt;=Hypothèses!$V$14,Hypothèses!$W$14,IF(AN324&lt;=Hypothèses!$V$15,Hypothèses!$W$15,IF(AN324&lt;=Hypothèses!$V$16,Hypothèses!$W$16,IF(AN324&lt;=Hypothèses!$V$17,Hypothèses!$W$17,IF(AN324&lt;=Hypothèses!$V$18,Hypothèses!$W$18,""))))))))))))</f>
        <v>#DIV/0!</v>
      </c>
      <c r="BI324" s="87" t="e">
        <f t="shared" ca="1" si="518"/>
        <v>#DIV/0!</v>
      </c>
      <c r="BJ324" s="88" t="e">
        <f ca="1">IF(AN324&lt;=Hypothèses!$V$7,Hypothèses!$X$7,IF(AN324&lt;=Hypothèses!$V$8,Hypothèses!$X$8,IF(AN324&lt;=Hypothèses!$V$9,Hypothèses!$X$9,IF(AN324&lt;=Hypothèses!$V$10,Hypothèses!$X$10,IF(AN324&lt;=Hypothèses!$V$11,Hypothèses!$X$11,IF(AN324&lt;=Hypothèses!$V$12,Hypothèses!$X$12,IF(AN324&lt;=Hypothèses!$V$13,Hypothèses!$X$13,IF(AN324&lt;=Hypothèses!$V$14,Hypothèses!$X$14,IF(AN324&lt;=Hypothèses!$V$15,Hypothèses!$X$15,IF(AN324&lt;=Hypothèses!$V$16,Hypothèses!$X$16,IF(AN324&lt;=Hypothèses!$U$17,Hypothèses!$W$17,IF(AN324&lt;=Hypothèses!$U$18,Hypothèses!$W$18,""))))))))))))</f>
        <v>#DIV/0!</v>
      </c>
      <c r="BK324" s="95" t="e">
        <f t="shared" ca="1" si="477"/>
        <v>#DIV/0!</v>
      </c>
      <c r="BL324" s="101">
        <f t="shared" si="525"/>
        <v>0</v>
      </c>
      <c r="BM324" s="91">
        <f t="shared" si="444"/>
        <v>0</v>
      </c>
      <c r="BN324" s="30" t="e">
        <f t="shared" si="504"/>
        <v>#N/A</v>
      </c>
      <c r="BO324" s="30" t="e">
        <f t="shared" si="505"/>
        <v>#N/A</v>
      </c>
      <c r="BP324" s="31" t="e">
        <f>IF(OR(Hypothèses!$B$4=17,Hypothèses!$B$4=18,Hypothèses!$B$4=19,Hypothèses!$B$4=20),
IF($D324="Pressio.",
IF(OR($E324=3,$E324=1,$E324=4),BO324,BN324),
IF($D324="Pénétro.",
IF(OR($E324=3,$E324=1,$E324=4),BO324,BN324))),IF($D324="Pressio.",
IF($E324=3,BO324,BN324),
IF($D324="Pénétro.",
IF($E324=4,BO324,BN324))))</f>
        <v>#N/A</v>
      </c>
      <c r="BQ324" s="31">
        <v>0</v>
      </c>
      <c r="BR324" s="102" t="e">
        <f>IF(NDC!$H$10="Oui",(VLOOKUP($B$3,'Coeff EC7'!$T$39:$X$59,2,0)*BP324+VLOOKUP($B$3,'Coeff EC7'!$T$65:$X$85,2,0)*Model0.1T!BQ324)/1.5,PI()*BN$12*$Q324*($B324-$B323)*0.15/10+BR323)</f>
        <v>#N/A</v>
      </c>
      <c r="BS324" s="102" t="e">
        <f>(VLOOKUP($B$3,'Coeff EC7'!$T$39:$X$59,3,0)*BP324+VLOOKUP($B$3,'Coeff EC7'!$T$65:$X$85,3,0)*Model0.1T!BQ324)/1.1</f>
        <v>#N/A</v>
      </c>
      <c r="BT324" s="102" t="e">
        <f t="shared" si="478"/>
        <v>#N/A</v>
      </c>
      <c r="BU324" s="102" t="e">
        <f t="shared" si="479"/>
        <v>#N/A</v>
      </c>
      <c r="BV324" s="414" t="e">
        <f>IF(AND(BR324&gt;NDC!$C$63,BS324&gt;NDC!$C$65,BT324&gt;NDC!$D$73,BU324&gt;NDC!$D$74,$B324&gt;NDC!$H$22-0.1+MIN(3*BV$12,1.5)),0,1)</f>
        <v>#N/A</v>
      </c>
      <c r="BW324" s="86" t="b">
        <f t="shared" si="445"/>
        <v>0</v>
      </c>
      <c r="BX324" s="86">
        <f t="shared" si="446"/>
        <v>0.5</v>
      </c>
      <c r="BY324" s="86">
        <f t="shared" si="447"/>
        <v>0.5</v>
      </c>
      <c r="BZ324" s="30" t="e">
        <f t="shared" ca="1" si="480"/>
        <v>#DIV/0!</v>
      </c>
      <c r="CA324" s="85" t="e">
        <f ca="1">IF(BG324&lt;=Hypothèses!$V$7,Hypothèses!$W$7,IF(BG324&lt;=Hypothèses!$V$8,Hypothèses!$W$8,IF(BG324&lt;=Hypothèses!$V$9,Hypothèses!$W$9,IF(BG324&lt;=Hypothèses!$V$10,Hypothèses!$W$10,IF(BG324&lt;=Hypothèses!$V$11,Hypothèses!$W$11,IF(BG324&lt;=Hypothèses!$V$12,Hypothèses!$W$12,IF(BG324&lt;=Hypothèses!$V$13,Hypothèses!$W$13,IF(BG324&lt;=Hypothèses!$V$14,Hypothèses!$W$14,IF(BG324&lt;=Hypothèses!$V$15,Hypothèses!$W$15,IF(BG324&lt;=Hypothèses!$V$16,Hypothèses!$W$16,IF(BG324&lt;=Hypothèses!$V$17,Hypothèses!$W$17,IF(BG324&lt;=Hypothèses!$V$18,Hypothèses!$W$18,""))))))))))))</f>
        <v>#DIV/0!</v>
      </c>
      <c r="CB324" s="87" t="e">
        <f t="shared" ca="1" si="519"/>
        <v>#DIV/0!</v>
      </c>
      <c r="CC324" s="88" t="e">
        <f ca="1">IF(BG324&lt;=Hypothèses!$V$7,Hypothèses!$X$7,IF(BG324&lt;=Hypothèses!$V$8,Hypothèses!$X$8,IF(BG324&lt;=Hypothèses!$V$9,Hypothèses!$X$9,IF(BG324&lt;=Hypothèses!$V$10,Hypothèses!$X$10,IF(BG324&lt;=Hypothèses!$V$11,Hypothèses!$X$11,IF(BG324&lt;=Hypothèses!$V$12,Hypothèses!$X$12,IF(BG324&lt;=Hypothèses!$V$13,Hypothèses!$X$13,IF(BG324&lt;=Hypothèses!$V$14,Hypothèses!$X$14,IF(BG324&lt;=Hypothèses!$V$15,Hypothèses!$X$15,IF(BG324&lt;=Hypothèses!$V$16,Hypothèses!$X$16,IF(BG324&lt;=Hypothèses!$U$17,Hypothèses!$W$17,IF(BG324&lt;=Hypothèses!$U$18,Hypothèses!$W$18,""))))))))))))</f>
        <v>#DIV/0!</v>
      </c>
      <c r="CD324" s="95" t="e">
        <f t="shared" ca="1" si="481"/>
        <v>#DIV/0!</v>
      </c>
      <c r="CE324" s="101">
        <f t="shared" si="526"/>
        <v>0</v>
      </c>
      <c r="CF324" s="91">
        <f t="shared" si="448"/>
        <v>0</v>
      </c>
      <c r="CG324" s="30" t="e">
        <f t="shared" si="506"/>
        <v>#N/A</v>
      </c>
      <c r="CH324" s="30" t="e">
        <f t="shared" si="507"/>
        <v>#N/A</v>
      </c>
      <c r="CI324" s="31" t="e">
        <f>IF(OR(Hypothèses!$B$4=17,Hypothèses!$B$4=18,Hypothèses!$B$4=19,Hypothèses!$B$4=20),
IF($D324="Pressio.",
IF(OR($E324=3,$E324=1,$E324=4),CH324,CG324),
IF($D324="Pénétro.",
IF(OR($E324=3,$E324=1,$E324=4),CH324,CG324))),IF($D324="Pressio.",
IF($E324=3,CH324,CG324),
IF($D324="Pénétro.",
IF($E324=4,CH324,CG324))))</f>
        <v>#N/A</v>
      </c>
      <c r="CJ324" s="31">
        <v>0</v>
      </c>
      <c r="CK324" s="102" t="e">
        <f>IF(NDC!$H$10="Oui",(VLOOKUP($B$3,'Coeff EC7'!$T$39:$X$59,2,0)*CI324+VLOOKUP($B$3,'Coeff EC7'!$T$65:$X$85,2,0)*Model0.1T!CJ324)/1.5,PI()*CG$12*$Q324*($B324-$B323)*0.15/10+CK323)</f>
        <v>#N/A</v>
      </c>
      <c r="CL324" s="102" t="e">
        <f>(VLOOKUP($B$3,'Coeff EC7'!$T$39:$X$59,3,0)*CI324+VLOOKUP($B$3,'Coeff EC7'!$T$65:$X$85,3,0)*Model0.1T!CJ324)/1.1</f>
        <v>#N/A</v>
      </c>
      <c r="CM324" s="102" t="e">
        <f t="shared" si="482"/>
        <v>#N/A</v>
      </c>
      <c r="CN324" s="102" t="e">
        <f t="shared" si="483"/>
        <v>#N/A</v>
      </c>
      <c r="CO324" s="414" t="e">
        <f>IF(AND(CK324&gt;NDC!$C$63,CL324&gt;NDC!$C$65,CM324&gt;NDC!$D$73,CN324&gt;NDC!$D$74,$B324&gt;NDC!$H$22-0.1+MIN(3*CO$12,1.5)),0,1)</f>
        <v>#N/A</v>
      </c>
      <c r="CP324" s="86" t="b">
        <f t="shared" si="449"/>
        <v>0</v>
      </c>
      <c r="CQ324" s="86">
        <f t="shared" si="450"/>
        <v>0.5</v>
      </c>
      <c r="CR324" s="86">
        <f t="shared" si="451"/>
        <v>0.5</v>
      </c>
      <c r="CS324" s="30" t="e">
        <f t="shared" ca="1" si="484"/>
        <v>#DIV/0!</v>
      </c>
      <c r="CT324" s="85" t="e">
        <f ca="1">IF(BZ324&lt;=Hypothèses!$V$7,Hypothèses!$W$7,IF(BZ324&lt;=Hypothèses!$V$8,Hypothèses!$W$8,IF(BZ324&lt;=Hypothèses!$V$9,Hypothèses!$W$9,IF(BZ324&lt;=Hypothèses!$V$10,Hypothèses!$W$10,IF(BZ324&lt;=Hypothèses!$V$11,Hypothèses!$W$11,IF(BZ324&lt;=Hypothèses!$V$12,Hypothèses!$W$12,IF(BZ324&lt;=Hypothèses!$V$13,Hypothèses!$W$13,IF(BZ324&lt;=Hypothèses!$V$14,Hypothèses!$W$14,IF(BZ324&lt;=Hypothèses!$V$15,Hypothèses!$W$15,IF(BZ324&lt;=Hypothèses!$V$16,Hypothèses!$W$16,IF(BZ324&lt;=Hypothèses!$V$17,Hypothèses!$W$17,IF(BZ324&lt;=Hypothèses!$V$18,Hypothèses!$W$18,""))))))))))))</f>
        <v>#DIV/0!</v>
      </c>
      <c r="CU324" s="87" t="e">
        <f t="shared" ca="1" si="520"/>
        <v>#DIV/0!</v>
      </c>
      <c r="CV324" s="88" t="e">
        <f ca="1">IF(BZ324&lt;=Hypothèses!$V$7,Hypothèses!$X$7,IF(BZ324&lt;=Hypothèses!$V$8,Hypothèses!$X$8,IF(BZ324&lt;=Hypothèses!$V$9,Hypothèses!$X$9,IF(BZ324&lt;=Hypothèses!$V$10,Hypothèses!$X$10,IF(BZ324&lt;=Hypothèses!$V$11,Hypothèses!$X$11,IF(BZ324&lt;=Hypothèses!$V$12,Hypothèses!$X$12,IF(BZ324&lt;=Hypothèses!$V$13,Hypothèses!$X$13,IF(BZ324&lt;=Hypothèses!$V$14,Hypothèses!$X$14,IF(BZ324&lt;=Hypothèses!$V$15,Hypothèses!$X$15,IF(BZ324&lt;=Hypothèses!$V$16,Hypothèses!$X$16,IF(BZ324&lt;=Hypothèses!$U$17,Hypothèses!$W$17,IF(BZ324&lt;=Hypothèses!$U$18,Hypothèses!$W$18,""))))))))))))</f>
        <v>#DIV/0!</v>
      </c>
      <c r="CW324" s="95" t="e">
        <f t="shared" ca="1" si="485"/>
        <v>#DIV/0!</v>
      </c>
      <c r="CX324" s="101">
        <f t="shared" si="527"/>
        <v>0</v>
      </c>
      <c r="CY324" s="91">
        <f t="shared" si="452"/>
        <v>0</v>
      </c>
      <c r="CZ324" s="30" t="e">
        <f t="shared" si="508"/>
        <v>#N/A</v>
      </c>
      <c r="DA324" s="30" t="e">
        <f t="shared" si="509"/>
        <v>#N/A</v>
      </c>
      <c r="DB324" s="31" t="e">
        <f>IF(OR(Hypothèses!$B$4=17,Hypothèses!$B$4=18,Hypothèses!$B$4=19,Hypothèses!$B$4=20),
IF($D324="Pressio.",
IF(OR($E324=3,$E324=1,$E324=4),DA324,CZ324),
IF($D324="Pénétro.",
IF(OR($E324=3,$E324=1,$E324=4),DA324,CZ324))),IF($D324="Pressio.",
IF($E324=3,DA324,CZ324),
IF($D324="Pénétro.",
IF($E324=4,DA324,CZ324))))</f>
        <v>#N/A</v>
      </c>
      <c r="DC324" s="31">
        <v>0</v>
      </c>
      <c r="DD324" s="102" t="e">
        <f>IF(NDC!$H$10="Oui",(VLOOKUP($B$3,'Coeff EC7'!$T$39:$X$59,2,0)*DB324+VLOOKUP($B$3,'Coeff EC7'!$T$65:$X$85,2,0)*Model0.1T!DC324)/1.5,PI()*CZ$12*$Q324*($B324-$B323)*0.15/10+DD323)</f>
        <v>#N/A</v>
      </c>
      <c r="DE324" s="102" t="e">
        <f>(VLOOKUP($B$3,'Coeff EC7'!$T$39:$X$59,3,0)*DB324+VLOOKUP($B$3,'Coeff EC7'!$T$65:$X$85,3,0)*Model0.1T!DC324)/1.1</f>
        <v>#N/A</v>
      </c>
      <c r="DF324" s="102" t="e">
        <f t="shared" si="486"/>
        <v>#N/A</v>
      </c>
      <c r="DG324" s="102" t="e">
        <f t="shared" si="487"/>
        <v>#N/A</v>
      </c>
      <c r="DH324" s="414" t="e">
        <f>IF(AND(DD324&gt;NDC!$C$63,DE324&gt;NDC!$C$65,DF324&gt;NDC!$D$73,DG324&gt;NDC!$D$74,$B324&gt;NDC!$H$22-0.1+MIN(3*DH$12,1.5)),0,1)</f>
        <v>#N/A</v>
      </c>
      <c r="DI324" s="86" t="b">
        <f t="shared" si="453"/>
        <v>0</v>
      </c>
      <c r="DJ324" s="86">
        <f t="shared" si="454"/>
        <v>0.5</v>
      </c>
      <c r="DK324" s="86">
        <f t="shared" si="455"/>
        <v>0.5</v>
      </c>
      <c r="DL324" s="30" t="e">
        <f t="shared" ca="1" si="488"/>
        <v>#DIV/0!</v>
      </c>
      <c r="DM324" s="85" t="e">
        <f ca="1">IF(CS324&lt;=Hypothèses!$V$7,Hypothèses!$W$7,IF(CS324&lt;=Hypothèses!$V$8,Hypothèses!$W$8,IF(CS324&lt;=Hypothèses!$V$9,Hypothèses!$W$9,IF(CS324&lt;=Hypothèses!$V$10,Hypothèses!$W$10,IF(CS324&lt;=Hypothèses!$V$11,Hypothèses!$W$11,IF(CS324&lt;=Hypothèses!$V$12,Hypothèses!$W$12,IF(CS324&lt;=Hypothèses!$V$13,Hypothèses!$W$13,IF(CS324&lt;=Hypothèses!$V$14,Hypothèses!$W$14,IF(CS324&lt;=Hypothèses!$V$15,Hypothèses!$W$15,IF(CS324&lt;=Hypothèses!$V$16,Hypothèses!$W$16,IF(CS324&lt;=Hypothèses!$V$17,Hypothèses!$W$17,IF(CS324&lt;=Hypothèses!$V$18,Hypothèses!$W$18,""))))))))))))</f>
        <v>#DIV/0!</v>
      </c>
      <c r="DN324" s="87" t="e">
        <f t="shared" ca="1" si="521"/>
        <v>#DIV/0!</v>
      </c>
      <c r="DO324" s="88" t="e">
        <f ca="1">IF(CS324&lt;=Hypothèses!$V$7,Hypothèses!$X$7,IF(CS324&lt;=Hypothèses!$V$8,Hypothèses!$X$8,IF(CS324&lt;=Hypothèses!$V$9,Hypothèses!$X$9,IF(CS324&lt;=Hypothèses!$V$10,Hypothèses!$X$10,IF(CS324&lt;=Hypothèses!$V$11,Hypothèses!$X$11,IF(CS324&lt;=Hypothèses!$V$12,Hypothèses!$X$12,IF(CS324&lt;=Hypothèses!$V$13,Hypothèses!$X$13,IF(CS324&lt;=Hypothèses!$V$14,Hypothèses!$X$14,IF(CS324&lt;=Hypothèses!$V$15,Hypothèses!$X$15,IF(CS324&lt;=Hypothèses!$V$16,Hypothèses!$X$16,IF(CS324&lt;=Hypothèses!$U$17,Hypothèses!$W$17,IF(CS324&lt;=Hypothèses!$U$18,Hypothèses!$W$18,""))))))))))))</f>
        <v>#DIV/0!</v>
      </c>
      <c r="DP324" s="95" t="e">
        <f t="shared" ca="1" si="489"/>
        <v>#DIV/0!</v>
      </c>
      <c r="DQ324" s="101">
        <f t="shared" si="528"/>
        <v>0</v>
      </c>
      <c r="DR324" s="91">
        <f t="shared" si="456"/>
        <v>0</v>
      </c>
      <c r="DS324" s="30" t="e">
        <f t="shared" si="510"/>
        <v>#N/A</v>
      </c>
      <c r="DT324" s="30" t="e">
        <f t="shared" si="511"/>
        <v>#N/A</v>
      </c>
      <c r="DU324" s="31" t="e">
        <f>IF(OR(Hypothèses!$B$4=17,Hypothèses!$B$4=18,Hypothèses!$B$4=19,Hypothèses!$B$4=20),
IF($D324="Pressio.",
IF(OR($E324=3,$E324=1,$E324=4),DT324,DS324),
IF($D324="Pénétro.",
IF(OR($E324=3,$E324=1,$E324=4),DT324,DS324))),IF($D324="Pressio.",
IF($E324=3,DT324,DS324),
IF($D324="Pénétro.",
IF($E324=4,DT324,DS324))))</f>
        <v>#N/A</v>
      </c>
      <c r="DV324" s="31">
        <v>0</v>
      </c>
      <c r="DW324" s="102" t="e">
        <f>IF(NDC!$H$10="Oui",(VLOOKUP($B$3,'Coeff EC7'!$T$39:$X$59,2,0)*DU324+VLOOKUP($B$3,'Coeff EC7'!$T$65:$X$85,2,0)*Model0.1T!DV324)/1.5,PI()*DS$12*$Q324*($B324-$B323)*0.15/10+DW323)</f>
        <v>#N/A</v>
      </c>
      <c r="DX324" s="102" t="e">
        <f>(VLOOKUP($B$3,'Coeff EC7'!$T$39:$X$59,3,0)*DU324+VLOOKUP($B$3,'Coeff EC7'!$T$65:$X$85,3,0)*Model0.1T!DV324)/1.1</f>
        <v>#N/A</v>
      </c>
      <c r="DY324" s="102" t="e">
        <f t="shared" si="490"/>
        <v>#N/A</v>
      </c>
      <c r="DZ324" s="102" t="e">
        <f t="shared" si="491"/>
        <v>#N/A</v>
      </c>
      <c r="EA324" s="414" t="e">
        <f>IF(AND(DW324&gt;NDC!$C$63,DX324&gt;NDC!$C$65,DY324&gt;NDC!$D$73,DZ324&gt;NDC!$D$74,$B324&gt;NDC!$H$22-0.1+MIN(3*EA$12,1.5)),0,1)</f>
        <v>#N/A</v>
      </c>
      <c r="EB324" s="86" t="b">
        <f t="shared" si="457"/>
        <v>0</v>
      </c>
      <c r="EC324" s="418">
        <f t="shared" si="458"/>
        <v>0.51</v>
      </c>
      <c r="ED324" s="86">
        <f t="shared" si="459"/>
        <v>0.51</v>
      </c>
      <c r="EE324" s="30" t="e">
        <f t="shared" ca="1" si="492"/>
        <v>#DIV/0!</v>
      </c>
      <c r="EF324" s="85" t="e">
        <f ca="1">IF(DL324&lt;=Hypothèses!$V$7,Hypothèses!$W$7,IF(DL324&lt;=Hypothèses!$V$8,Hypothèses!$W$8,IF(DL324&lt;=Hypothèses!$V$9,Hypothèses!$W$9,IF(DL324&lt;=Hypothèses!$V$10,Hypothèses!$W$10,IF(DL324&lt;=Hypothèses!$V$11,Hypothèses!$W$11,IF(DL324&lt;=Hypothèses!$V$12,Hypothèses!$W$12,IF(DL324&lt;=Hypothèses!$V$13,Hypothèses!$W$13,IF(DL324&lt;=Hypothèses!$V$14,Hypothèses!$W$14,IF(DL324&lt;=Hypothèses!$V$15,Hypothèses!$W$15,IF(DL324&lt;=Hypothèses!$V$16,Hypothèses!$W$16,IF(DL324&lt;=Hypothèses!$V$17,Hypothèses!$W$17,IF(DL324&lt;=Hypothèses!$V$18,Hypothèses!$W$18,""))))))))))))</f>
        <v>#DIV/0!</v>
      </c>
      <c r="EG324" s="87" t="e">
        <f t="shared" ca="1" si="522"/>
        <v>#DIV/0!</v>
      </c>
      <c r="EH324" s="88" t="e">
        <f ca="1">IF(DL324&lt;=Hypothèses!$V$7,Hypothèses!$X$7,IF(DL324&lt;=Hypothèses!$V$8,Hypothèses!$X$8,IF(DL324&lt;=Hypothèses!$V$9,Hypothèses!$X$9,IF(DL324&lt;=Hypothèses!$V$10,Hypothèses!$X$10,IF(DL324&lt;=Hypothèses!$V$11,Hypothèses!$X$11,IF(DL324&lt;=Hypothèses!$V$12,Hypothèses!$X$12,IF(DL324&lt;=Hypothèses!$V$13,Hypothèses!$X$13,IF(DL324&lt;=Hypothèses!$V$14,Hypothèses!$X$14,IF(DL324&lt;=Hypothèses!$V$15,Hypothèses!$X$15,IF(DL324&lt;=Hypothèses!$V$16,Hypothèses!$X$16,IF(DL324&lt;=Hypothèses!$U$17,Hypothèses!$W$17,IF(DL324&lt;=Hypothèses!$U$18,Hypothèses!$W$18,""))))))))))))</f>
        <v>#DIV/0!</v>
      </c>
      <c r="EI324" s="95" t="e">
        <f t="shared" ca="1" si="493"/>
        <v>#DIV/0!</v>
      </c>
      <c r="EJ324" s="101">
        <f t="shared" si="529"/>
        <v>0</v>
      </c>
      <c r="EK324" s="91">
        <f t="shared" si="460"/>
        <v>0</v>
      </c>
      <c r="EL324" s="30" t="e">
        <f t="shared" si="512"/>
        <v>#N/A</v>
      </c>
      <c r="EM324" s="30" t="e">
        <f t="shared" si="513"/>
        <v>#N/A</v>
      </c>
      <c r="EN324" s="31" t="e">
        <f>IF(OR(Hypothèses!$B$4=17,Hypothèses!$B$4=18,Hypothèses!$B$4=19,Hypothèses!$B$4=20),
IF($D324="Pressio.",
IF(OR($E324=3,$E324=1,$E324=4),EM324,EL324),
IF($D324="Pénétro.",
IF(OR($E324=3,$E324=1,$E324=4),EM324,EL324))),IF($D324="Pressio.",
IF($E324=3,EM324,EL324),
IF($D324="Pénétro.",
IF($E324=4,EM324,EL324))))</f>
        <v>#N/A</v>
      </c>
      <c r="EO324" s="31">
        <v>0</v>
      </c>
      <c r="EP324" s="102" t="e">
        <f>IF(NDC!$H$10="Oui",(VLOOKUP($B$3,'Coeff EC7'!$T$39:$X$59,2,0)*EN324+VLOOKUP($B$3,'Coeff EC7'!$T$65:$X$85,2,0)*Model0.1T!EO324)/1.5,PI()*EL$12*$Q324*($B324-$B323)*0.15/10+EP323)</f>
        <v>#N/A</v>
      </c>
      <c r="EQ324" s="102" t="e">
        <f>(VLOOKUP($B$3,'Coeff EC7'!$T$39:$X$59,3,0)*EN324+VLOOKUP($B$3,'Coeff EC7'!$T$65:$X$85,3,0)*Model0.1T!EO324)/1.1</f>
        <v>#N/A</v>
      </c>
      <c r="ER324" s="102" t="e">
        <f t="shared" si="494"/>
        <v>#N/A</v>
      </c>
      <c r="ES324" s="102" t="e">
        <f t="shared" si="495"/>
        <v>#N/A</v>
      </c>
      <c r="ET324" s="414" t="e">
        <f>IF(AND(EP324&gt;NDC!$C$63,EQ324&gt;NDC!$C$65,ER324&gt;NDC!$D$73,ES324&gt;NDC!$D$74,$B324&gt;NDC!$H$22-0.1+MIN(3*ET$12,1.5)),0,1)</f>
        <v>#N/A</v>
      </c>
      <c r="EU324" s="86" t="b">
        <f t="shared" si="461"/>
        <v>0</v>
      </c>
      <c r="EV324" s="86">
        <f t="shared" si="462"/>
        <v>0.61</v>
      </c>
      <c r="EW324" s="86">
        <f t="shared" si="463"/>
        <v>0.61</v>
      </c>
      <c r="EX324" s="30" t="e">
        <f t="shared" ca="1" si="496"/>
        <v>#DIV/0!</v>
      </c>
      <c r="EY324" s="85" t="e">
        <f ca="1">IF(EE324&lt;=Hypothèses!$V$7,Hypothèses!$W$7,IF(EE324&lt;=Hypothèses!$V$8,Hypothèses!$W$8,IF(EE324&lt;=Hypothèses!$V$9,Hypothèses!$W$9,IF(EE324&lt;=Hypothèses!$V$10,Hypothèses!$W$10,IF(EE324&lt;=Hypothèses!$V$11,Hypothèses!$W$11,IF(EE324&lt;=Hypothèses!$V$12,Hypothèses!$W$12,IF(EE324&lt;=Hypothèses!$V$13,Hypothèses!$W$13,IF(EE324&lt;=Hypothèses!$V$14,Hypothèses!$W$14,IF(EE324&lt;=Hypothèses!$V$15,Hypothèses!$W$15,IF(EE324&lt;=Hypothèses!$V$16,Hypothèses!$W$16,IF(EE324&lt;=Hypothèses!$V$17,Hypothèses!$W$17,IF(EE324&lt;=Hypothèses!$V$18,Hypothèses!$W$18,""))))))))))))</f>
        <v>#DIV/0!</v>
      </c>
      <c r="EZ324" s="87" t="e">
        <f t="shared" ca="1" si="523"/>
        <v>#DIV/0!</v>
      </c>
      <c r="FA324" s="88" t="e">
        <f ca="1">IF(EE324&lt;=Hypothèses!$V$7,Hypothèses!$X$7,IF(EE324&lt;=Hypothèses!$V$8,Hypothèses!$X$8,IF(EE324&lt;=Hypothèses!$V$9,Hypothèses!$X$9,IF(EE324&lt;=Hypothèses!$V$10,Hypothèses!$X$10,IF(EE324&lt;=Hypothèses!$V$11,Hypothèses!$X$11,IF(EE324&lt;=Hypothèses!$V$12,Hypothèses!$X$12,IF(EE324&lt;=Hypothèses!$V$13,Hypothèses!$X$13,IF(EE324&lt;=Hypothèses!$V$14,Hypothèses!$X$14,IF(EE324&lt;=Hypothèses!$V$15,Hypothèses!$X$15,IF(EE324&lt;=Hypothèses!$V$16,Hypothèses!$X$16,IF(EE324&lt;=Hypothèses!$U$17,Hypothèses!$W$17,IF(EE324&lt;=Hypothèses!$U$18,Hypothèses!$W$18,""))))))))))))</f>
        <v>#DIV/0!</v>
      </c>
      <c r="FB324" s="95" t="e">
        <f t="shared" ca="1" si="497"/>
        <v>#DIV/0!</v>
      </c>
      <c r="FC324" s="101">
        <f t="shared" si="530"/>
        <v>0</v>
      </c>
      <c r="FD324" s="91">
        <f t="shared" si="464"/>
        <v>0</v>
      </c>
      <c r="FE324" s="30" t="e">
        <f t="shared" si="514"/>
        <v>#N/A</v>
      </c>
      <c r="FF324" s="30" t="e">
        <f t="shared" si="515"/>
        <v>#N/A</v>
      </c>
      <c r="FG324" s="31" t="e">
        <f>IF(OR(Hypothèses!$B$4=17,Hypothèses!$B$4=18,Hypothèses!$B$4=19,Hypothèses!$B$4=20),
IF($D324="Pressio.",
IF(OR($E324=3,$E324=1,$E324=4),FF324,FE324),
IF($D324="Pénétro.",
IF(OR($E324=3,$E324=1,$E324=4),FF324,FE324))),IF($D324="Pressio.",
IF($E324=3,FF324,FE324),
IF($D324="Pénétro.",
IF($E324=4,FF324,FE324))))</f>
        <v>#N/A</v>
      </c>
      <c r="FH324" s="31">
        <v>0</v>
      </c>
      <c r="FI324" s="102" t="e">
        <f>IF(NDC!$H$10="Oui",(VLOOKUP($B$3,'Coeff EC7'!$T$39:$X$59,2,0)*FG324+VLOOKUP($B$3,'Coeff EC7'!$T$65:$X$85,2,0)*Model0.1T!FH324)/1.5,PI()*FE$12*$Q324*($B324-$B323)*0.15/10+FI323)</f>
        <v>#N/A</v>
      </c>
      <c r="FJ324" s="102" t="e">
        <f>(VLOOKUP($B$3,'Coeff EC7'!$T$39:$X$59,3,0)*FG324+VLOOKUP($B$3,'Coeff EC7'!$T$65:$X$85,3,0)*Model0.1T!FH324)/1.1</f>
        <v>#N/A</v>
      </c>
      <c r="FK324" s="102" t="e">
        <f t="shared" si="498"/>
        <v>#N/A</v>
      </c>
      <c r="FL324" s="102" t="e">
        <f t="shared" si="499"/>
        <v>#N/A</v>
      </c>
      <c r="FM324" s="414" t="e">
        <f>IF(AND(FI324&gt;NDC!$C$63,FJ324&gt;NDC!$C$65,FK324&gt;NDC!$D$73,FL324&gt;NDC!$D$74,$B324&gt;NDC!$H$22-0.1+MIN(3*FM$12,1.5)),0,1)</f>
        <v>#N/A</v>
      </c>
    </row>
    <row r="325" spans="1:169">
      <c r="A325" s="96">
        <f t="shared" si="465"/>
        <v>68.800000000001774</v>
      </c>
      <c r="B325" s="97">
        <v>31.2</v>
      </c>
      <c r="C325" s="81">
        <f>IF(B325&lt;=Hypothèses!$C$7,Hypothèses!$A$7,IF(B325&lt;=Hypothèses!$C$8,Hypothèses!$A$8,IF(B325&lt;=Hypothèses!$C$9,Hypothèses!$A$9,IF(B325&lt;=Hypothèses!$C$10,Hypothèses!$A$10,IF(B325&lt;=Hypothèses!$C$11,Hypothèses!$A$11,IF(B325&lt;=Hypothèses!$C$12,Hypothèses!$A$12,IF(B325&lt;=Hypothèses!$C$13,Hypothèses!$A$13,IF(B325&lt;=Hypothèses!$C$14,Hypothèses!$A$14,IF(B325&lt;=Hypothèses!$C$15,Hypothèses!$A$15,IF(B325&lt;=Hypothèses!$C$16,Hypothèses!$A$16,IF(B325&lt;=Hypothèses!$C$17,Hypothèses!$A$17,IF(B325&lt;=Hypothèses!$C$18,Hypothèses!$A$18,C324))))))))))))</f>
        <v>11</v>
      </c>
      <c r="D325" s="82" t="str">
        <f>IF(B325&lt;=Hypothèses!$C$7,Hypothèses!$R$7,IF(B325&lt;=Hypothèses!$C$8,Hypothèses!$R$8,IF(B325&lt;=Hypothèses!$C$9,Hypothèses!$R$9,IF(B325&lt;=Hypothèses!$C$10,Hypothèses!$R$10,IF(B325&lt;=Hypothèses!$C$11,Hypothèses!$R$11,IF(B325&lt;=Hypothèses!$C$12,Hypothèses!$R$12,IF(B325&lt;=Hypothèses!$C$13,Hypothèses!$R$13,IF(B325&lt;=Hypothèses!$C$14,Hypothèses!$R$14,IF(B325&lt;=Hypothèses!$C$15,Hypothèses!$R$15,IF(B325&lt;=Hypothèses!$C$16,Hypothèses!$R$16,IF(B325&lt;=Hypothèses!$C$17,Hypothèses!$R$17,IF(B325&lt;=Hypothèses!$C$18,Hypothèses!$R$18,D324))))))))))))</f>
        <v>Pressio.</v>
      </c>
      <c r="E325" s="82" t="e">
        <f>IF(B325&lt;=Hypothèses!$C$7,Hypothèses!$G$7,IF(B325&lt;=Hypothèses!$C$8,Hypothèses!$G$8,IF(B325&lt;=Hypothèses!$C$9,Hypothèses!$G$9,IF(B325&lt;=Hypothèses!$C$10,Hypothèses!$G$10,IF(B325&lt;=Hypothèses!$C$11,Hypothèses!$G$11,IF(B325&lt;=Hypothèses!$C$12,Hypothèses!$G$12,IF(B325&lt;=Hypothèses!$C$13,Hypothèses!$G$13,IF(B325&lt;=Hypothèses!$C$14,Hypothèses!$G$14,IF(B325&lt;=Hypothèses!$C$15,Hypothèses!$G$15,IF(B325&lt;=Hypothèses!$C$16,Hypothèses!$G$16,IF(B325&lt;=Hypothèses!$C$17,Hypothèses!$G$17,IF(B325&lt;=Hypothèses!$C$18,Hypothèses!$G$18,E324))))))))))))</f>
        <v>#N/A</v>
      </c>
      <c r="F325" s="82" t="str">
        <f>IF(B325&lt;=Hypothèses!$C$7,Hypothèses!$F$7,IF(B325&lt;=Hypothèses!$C$8,Hypothèses!$F$8,IF(B325&lt;=Hypothèses!$C$9,Hypothèses!$F$9,IF(B325&lt;=Hypothèses!$C$10,Hypothèses!$F$10,IF(B325&lt;=Hypothèses!$C$11,Hypothèses!$F$11,IF(B325&lt;=Hypothèses!$C$12,Hypothèses!$F$12,IF(B325&lt;=Hypothèses!$C$13,Hypothèses!$F$13,IF(B325&lt;=Hypothèses!$C$14,Hypothèses!$F$14,IF(B325&lt;=Hypothèses!$C$15,Hypothèses!$F$15,IF(B325&lt;=Hypothèses!$C$16,Hypothèses!$F$16,IF(B325&lt;=Hypothèses!$C$17,Hypothèses!$F$17,IF(B325&lt;=Hypothèses!$C$18,Hypothèses!$F$18,F324))))))))))))</f>
        <v/>
      </c>
      <c r="G325" s="91">
        <f t="array" ref="G325">INDEX('Coeff EC7'!$U$7:$X$27,
MATCH(Model0.1T!$B$3,'Coeff EC7'!$T$7:$T$27,0),
MATCH(Model0.1T!$D325&amp;Model0.1T!$B$4,
'Coeff EC7'!$U$6:$X$6&amp;
'Coeff EC7'!$U$5:$X$5,0))</f>
        <v>1.4</v>
      </c>
      <c r="H325" s="91">
        <f t="array" ref="H325">INDEX('Coeff EC7'!$Y$7:$AB$27,
MATCH(Model0.1T!$B$3,'Coeff EC7'!$T$7:$T$27,0),
MATCH(Model0.1T!$D325&amp;Model0.1T!$B$4,
'Coeff EC7'!$Y$6:$AB$6&amp;
'Coeff EC7'!$Y$5:$AB$5,0))</f>
        <v>1.7</v>
      </c>
      <c r="I325" s="83">
        <v>0</v>
      </c>
      <c r="J325" s="91" t="e">
        <f t="array" ref="J325">INDEX('Coeff EC7'!$D$33:$Q$33,1,MATCH(D325&amp;E325,'Coeff EC7'!$D$31:$Q$31&amp;'Coeff EC7'!$D$32:$Q$32,0))</f>
        <v>#N/A</v>
      </c>
      <c r="K325" s="91" t="e">
        <f t="array" ref="K325">INDEX('Coeff EC7'!$D$34:$Q$34,1,MATCH(D325&amp;E325,'Coeff EC7'!$D$31:$Q$31&amp;'Coeff EC7'!$D$32:$Q$32,0))</f>
        <v>#N/A</v>
      </c>
      <c r="L325" s="91" t="e">
        <f t="array" ref="L325">INDEX('Coeff EC7'!$D$35:$Q$35,1,MATCH(D325&amp;E325,'Coeff EC7'!$D$31:$Q$31&amp;'Coeff EC7'!$D$32:$Q$32,0))</f>
        <v>#N/A</v>
      </c>
      <c r="M325" s="98" t="e">
        <f t="shared" si="431"/>
        <v>#N/A</v>
      </c>
      <c r="N325" s="99" t="e">
        <f t="array" ref="N325">INDEX('Coeff EC7'!$D$7:$Q$27,MATCH($B$3,'Coeff EC7'!$C$7:$C$27,0),MATCH(D325&amp;E325,'Coeff EC7'!$D$5:$Q$5&amp;'Coeff EC7'!$D$6:$Q$6,0))</f>
        <v>#N/A</v>
      </c>
      <c r="O325" s="99" t="e">
        <f t="array" ref="O325">INDEX('Coeff EC7'!$D$41:$Q$61,MATCH($B$3,'Coeff EC7'!$C$41:$C$61,0),MATCH(D325&amp;E325,'Coeff EC7'!$D$39:$Q$39&amp;'Coeff EC7'!$D$40:$Q$40,0))</f>
        <v>#N/A</v>
      </c>
      <c r="P325" s="30" t="e">
        <f t="shared" si="466"/>
        <v>#N/A</v>
      </c>
      <c r="Q325" s="100" t="e">
        <f t="shared" si="433"/>
        <v>#N/A</v>
      </c>
      <c r="R325" s="86" t="b">
        <f t="shared" si="434"/>
        <v>0</v>
      </c>
      <c r="S325" s="86">
        <f t="shared" si="432"/>
        <v>0.5</v>
      </c>
      <c r="T325" s="86">
        <f t="shared" si="435"/>
        <v>0.5</v>
      </c>
      <c r="U325" s="30" t="e">
        <f t="shared" ca="1" si="467"/>
        <v>#DIV/0!</v>
      </c>
      <c r="V325" s="85" t="str">
        <f>IF(B325&lt;=Hypothèses!$V$7,Hypothèses!$W$7,IF(B325&lt;=Hypothèses!$V$8,Hypothèses!$W$8,IF(B325&lt;=Hypothèses!$V$9,Hypothèses!$W$9,IF(B325&lt;=Hypothèses!$V$10,Hypothèses!$W$10,IF(B325&lt;=Hypothèses!$V$11,Hypothèses!$W$11,IF(B325&lt;=Hypothèses!$V$12,Hypothèses!$W$12,IF(B325&lt;=Hypothèses!$V$13,Hypothèses!$W$13,IF(B325&lt;=Hypothèses!$V$14,Hypothèses!$W$14,IF(B325&lt;=Hypothèses!$V$15,Hypothèses!$W$15,IF(B325&lt;=Hypothèses!$V$16,Hypothèses!$W$16,IF(B325&lt;=Hypothèses!$V$17,Hypothèses!$W$17,IF(B325&lt;=Hypothèses!$V$18,Hypothèses!$W$18,""))))))))))))</f>
        <v/>
      </c>
      <c r="W325" s="87" t="e">
        <f t="shared" ca="1" si="516"/>
        <v>#DIV/0!</v>
      </c>
      <c r="X325" s="88" t="str">
        <f>IF(B325&lt;=Hypothèses!$V$7,Hypothèses!$X$7,IF(B325&lt;=Hypothèses!$V$8,Hypothèses!$X$8,IF(B325&lt;=Hypothèses!$V$9,Hypothèses!$X$9,IF(B325&lt;=Hypothèses!$V$10,Hypothèses!$X$10,IF(B325&lt;=Hypothèses!$V$11,Hypothèses!$X$11,IF(B325&lt;=Hypothèses!$V$12,Hypothèses!$X$12,IF(B325&lt;=Hypothèses!$V$13,Hypothèses!$X$13,IF(B325&lt;=Hypothèses!$V$14,Hypothèses!$X$14,IF(B325&lt;=Hypothèses!$V$15,Hypothèses!$X$15,IF(B325&lt;=Hypothèses!$V$16,Hypothèses!$X$16,IF(B325&lt;=Hypothèses!$U$17,Hypothèses!$W$17,IF(B325&lt;=Hypothèses!$U$18,Hypothèses!$W$18,""))))))))))))</f>
        <v/>
      </c>
      <c r="Y325" s="95" t="e">
        <f t="shared" ca="1" si="436"/>
        <v>#DIV/0!</v>
      </c>
      <c r="Z325" s="101">
        <f t="shared" si="437"/>
        <v>0</v>
      </c>
      <c r="AA325" s="91">
        <f t="shared" si="438"/>
        <v>0</v>
      </c>
      <c r="AB325" s="30" t="e">
        <f t="shared" si="500"/>
        <v>#N/A</v>
      </c>
      <c r="AC325" s="30" t="e">
        <f t="shared" si="501"/>
        <v>#N/A</v>
      </c>
      <c r="AD325" s="31" t="e">
        <f>IF(OR(Hypothèses!$B$4=17,Hypothèses!$B$4=18,Hypothèses!$B$4=19,Hypothèses!$B$4=20),
IF($D325="Pressio.",
IF(OR($E325=3,$E325=1,$E325=4),AC325,AB325),
IF($D325="Pénétro.",
IF(OR($E325=3,$E325=1,$E325=4),AC325,AB325))),IF($D325="Pressio.",
IF($E325=3,AC325,AB325),
IF($D325="Pénétro.",
IF($E325=4,AC325,AB325))))</f>
        <v>#N/A</v>
      </c>
      <c r="AE325" s="31">
        <v>0</v>
      </c>
      <c r="AF325" s="102" t="e">
        <f>IF(NDC!$H$10="Oui",(VLOOKUP($B$3,'Coeff EC7'!$T$39:$X$59,2,0)*AD325+VLOOKUP($B$3,'Coeff EC7'!$T$65:$X$85,2,0)*Model0.1T!AE325)/1.5,PI()*AB$12*$Q325*($B325-$B324)*0.15/10+AF324)</f>
        <v>#N/A</v>
      </c>
      <c r="AG325" s="102" t="e">
        <f>(VLOOKUP($B$3,'Coeff EC7'!$T$39:$X$59,3,0)*AD325+VLOOKUP($B$3,'Coeff EC7'!$T$65:$X$85,3,0)*Model0.1T!AE325)/1.1</f>
        <v>#N/A</v>
      </c>
      <c r="AH325" s="102" t="e">
        <f t="shared" si="468"/>
        <v>#N/A</v>
      </c>
      <c r="AI325" s="102" t="e">
        <f t="shared" si="469"/>
        <v>#N/A</v>
      </c>
      <c r="AJ325" s="414" t="e">
        <f>IF(AND(AF325&gt;NDC!$C$63,AG325&gt;NDC!$C$65,AH325&gt;NDC!$D$73,AI325&gt;NDC!$D$74,$B325&gt;NDC!$H$22-0.1+MIN(3*$AJ$12,1.5)),0,1)</f>
        <v>#N/A</v>
      </c>
      <c r="AK325" s="86" t="b">
        <f t="shared" si="439"/>
        <v>0</v>
      </c>
      <c r="AL325" s="86">
        <f t="shared" si="470"/>
        <v>0.5</v>
      </c>
      <c r="AM325" s="86">
        <f t="shared" si="440"/>
        <v>0.5</v>
      </c>
      <c r="AN325" s="30" t="e">
        <f t="shared" ca="1" si="471"/>
        <v>#DIV/0!</v>
      </c>
      <c r="AO325" s="85" t="e">
        <f ca="1">IF(U325&lt;=Hypothèses!$V$7,Hypothèses!$W$7,IF(U325&lt;=Hypothèses!$V$8,Hypothèses!$W$8,IF(U325&lt;=Hypothèses!$V$9,Hypothèses!$W$9,IF(U325&lt;=Hypothèses!$V$10,Hypothèses!$W$10,IF(U325&lt;=Hypothèses!$V$11,Hypothèses!$W$11,IF(U325&lt;=Hypothèses!$V$12,Hypothèses!$W$12,IF(U325&lt;=Hypothèses!$V$13,Hypothèses!$W$13,IF(U325&lt;=Hypothèses!$V$14,Hypothèses!$W$14,IF(U325&lt;=Hypothèses!$V$15,Hypothèses!$W$15,IF(U325&lt;=Hypothèses!$V$16,Hypothèses!$W$16,IF(U325&lt;=Hypothèses!$V$17,Hypothèses!$W$17,IF(U325&lt;=Hypothèses!$V$18,Hypothèses!$W$18,""))))))))))))</f>
        <v>#DIV/0!</v>
      </c>
      <c r="AP325" s="87" t="e">
        <f t="shared" ca="1" si="517"/>
        <v>#DIV/0!</v>
      </c>
      <c r="AQ325" s="88" t="e">
        <f ca="1">IF(U325&lt;=Hypothèses!$V$7,Hypothèses!$X$7,IF(U325&lt;=Hypothèses!$V$8,Hypothèses!$X$8,IF(U325&lt;=Hypothèses!$V$9,Hypothèses!$X$9,IF(U325&lt;=Hypothèses!$V$10,Hypothèses!$X$10,IF(U325&lt;=Hypothèses!$V$11,Hypothèses!$X$11,IF(U325&lt;=Hypothèses!$V$12,Hypothèses!$X$12,IF(U325&lt;=Hypothèses!$V$13,Hypothèses!$X$13,IF(U325&lt;=Hypothèses!$V$14,Hypothèses!$X$14,IF(U325&lt;=Hypothèses!$V$15,Hypothèses!$X$15,IF(U325&lt;=Hypothèses!$V$16,Hypothèses!$X$16,IF(U325&lt;=Hypothèses!$U$17,Hypothèses!$W$17,IF(U325&lt;=Hypothèses!$U$18,Hypothèses!$W$18,""))))))))))))</f>
        <v>#DIV/0!</v>
      </c>
      <c r="AR325" s="95" t="e">
        <f t="shared" ca="1" si="472"/>
        <v>#DIV/0!</v>
      </c>
      <c r="AS325" s="101">
        <f t="shared" si="524"/>
        <v>0</v>
      </c>
      <c r="AT325" s="91">
        <f t="shared" si="441"/>
        <v>0</v>
      </c>
      <c r="AU325" s="30" t="e">
        <f t="shared" si="502"/>
        <v>#N/A</v>
      </c>
      <c r="AV325" s="30" t="e">
        <f t="shared" si="503"/>
        <v>#N/A</v>
      </c>
      <c r="AW325" s="31" t="e">
        <f>IF(OR(Hypothèses!$B$4=17,Hypothèses!$B$4=18,Hypothèses!$B$4=19,Hypothèses!$B$4=20),
IF($D325="Pressio.",
IF(OR($E325=3,$E325=1,$E325=4),AV325,AU325),
IF($D325="Pénétro.",
IF(OR($E325=3,$E325=1,$E325=4),AV325,AU325))),IF($D325="Pressio.",
IF($E325=3,AV325,AU325),
IF($D325="Pénétro.",
IF($E325=4,AV325,AU325))))</f>
        <v>#N/A</v>
      </c>
      <c r="AX325" s="31">
        <v>0</v>
      </c>
      <c r="AY325" s="102" t="e">
        <f>IF(NDC!$H$10="Oui",(VLOOKUP($B$3,'Coeff EC7'!$T$39:$X$59,2,0)*AW325+VLOOKUP($B$3,'Coeff EC7'!$T$65:$X$85,2,0)*Model0.1T!AX325)/1.5,PI()*AU$12*$Q325*($B325-$B324)*0.15/10+AY324)</f>
        <v>#N/A</v>
      </c>
      <c r="AZ325" s="102" t="e">
        <f>(VLOOKUP($B$3,'Coeff EC7'!$T$39:$X$59,3,0)*AW325+VLOOKUP($B$3,'Coeff EC7'!$T$65:$X$85,3,0)*Model0.1T!AX325)/1.1</f>
        <v>#N/A</v>
      </c>
      <c r="BA325" s="102" t="e">
        <f t="shared" si="473"/>
        <v>#N/A</v>
      </c>
      <c r="BB325" s="102" t="e">
        <f t="shared" si="474"/>
        <v>#N/A</v>
      </c>
      <c r="BC325" s="414" t="e">
        <f>IF(AND(AY325&gt;NDC!$C$63,AZ325&gt;NDC!$C$65,BA325&gt;NDC!$D$73,BB325&gt;NDC!$D$74,$B325&gt;NDC!$H$22-0.1+MIN(3*BC$12,1.5)),0,1)</f>
        <v>#N/A</v>
      </c>
      <c r="BD325" s="86" t="b">
        <f t="shared" si="442"/>
        <v>0</v>
      </c>
      <c r="BE325" s="86">
        <f t="shared" si="475"/>
        <v>0.5</v>
      </c>
      <c r="BF325" s="86">
        <f t="shared" si="443"/>
        <v>0.5</v>
      </c>
      <c r="BG325" s="30" t="e">
        <f t="shared" ca="1" si="476"/>
        <v>#DIV/0!</v>
      </c>
      <c r="BH325" s="85" t="e">
        <f ca="1">IF(AN325&lt;=Hypothèses!$V$7,Hypothèses!$W$7,IF(AN325&lt;=Hypothèses!$V$8,Hypothèses!$W$8,IF(AN325&lt;=Hypothèses!$V$9,Hypothèses!$W$9,IF(AN325&lt;=Hypothèses!$V$10,Hypothèses!$W$10,IF(AN325&lt;=Hypothèses!$V$11,Hypothèses!$W$11,IF(AN325&lt;=Hypothèses!$V$12,Hypothèses!$W$12,IF(AN325&lt;=Hypothèses!$V$13,Hypothèses!$W$13,IF(AN325&lt;=Hypothèses!$V$14,Hypothèses!$W$14,IF(AN325&lt;=Hypothèses!$V$15,Hypothèses!$W$15,IF(AN325&lt;=Hypothèses!$V$16,Hypothèses!$W$16,IF(AN325&lt;=Hypothèses!$V$17,Hypothèses!$W$17,IF(AN325&lt;=Hypothèses!$V$18,Hypothèses!$W$18,""))))))))))))</f>
        <v>#DIV/0!</v>
      </c>
      <c r="BI325" s="87" t="e">
        <f t="shared" ca="1" si="518"/>
        <v>#DIV/0!</v>
      </c>
      <c r="BJ325" s="88" t="e">
        <f ca="1">IF(AN325&lt;=Hypothèses!$V$7,Hypothèses!$X$7,IF(AN325&lt;=Hypothèses!$V$8,Hypothèses!$X$8,IF(AN325&lt;=Hypothèses!$V$9,Hypothèses!$X$9,IF(AN325&lt;=Hypothèses!$V$10,Hypothèses!$X$10,IF(AN325&lt;=Hypothèses!$V$11,Hypothèses!$X$11,IF(AN325&lt;=Hypothèses!$V$12,Hypothèses!$X$12,IF(AN325&lt;=Hypothèses!$V$13,Hypothèses!$X$13,IF(AN325&lt;=Hypothèses!$V$14,Hypothèses!$X$14,IF(AN325&lt;=Hypothèses!$V$15,Hypothèses!$X$15,IF(AN325&lt;=Hypothèses!$V$16,Hypothèses!$X$16,IF(AN325&lt;=Hypothèses!$U$17,Hypothèses!$W$17,IF(AN325&lt;=Hypothèses!$U$18,Hypothèses!$W$18,""))))))))))))</f>
        <v>#DIV/0!</v>
      </c>
      <c r="BK325" s="95" t="e">
        <f t="shared" ca="1" si="477"/>
        <v>#DIV/0!</v>
      </c>
      <c r="BL325" s="101">
        <f t="shared" si="525"/>
        <v>0</v>
      </c>
      <c r="BM325" s="91">
        <f t="shared" si="444"/>
        <v>0</v>
      </c>
      <c r="BN325" s="30" t="e">
        <f t="shared" si="504"/>
        <v>#N/A</v>
      </c>
      <c r="BO325" s="30" t="e">
        <f t="shared" si="505"/>
        <v>#N/A</v>
      </c>
      <c r="BP325" s="31" t="e">
        <f>IF(OR(Hypothèses!$B$4=17,Hypothèses!$B$4=18,Hypothèses!$B$4=19,Hypothèses!$B$4=20),
IF($D325="Pressio.",
IF(OR($E325=3,$E325=1,$E325=4),BO325,BN325),
IF($D325="Pénétro.",
IF(OR($E325=3,$E325=1,$E325=4),BO325,BN325))),IF($D325="Pressio.",
IF($E325=3,BO325,BN325),
IF($D325="Pénétro.",
IF($E325=4,BO325,BN325))))</f>
        <v>#N/A</v>
      </c>
      <c r="BQ325" s="31">
        <v>0</v>
      </c>
      <c r="BR325" s="102" t="e">
        <f>IF(NDC!$H$10="Oui",(VLOOKUP($B$3,'Coeff EC7'!$T$39:$X$59,2,0)*BP325+VLOOKUP($B$3,'Coeff EC7'!$T$65:$X$85,2,0)*Model0.1T!BQ325)/1.5,PI()*BN$12*$Q325*($B325-$B324)*0.15/10+BR324)</f>
        <v>#N/A</v>
      </c>
      <c r="BS325" s="102" t="e">
        <f>(VLOOKUP($B$3,'Coeff EC7'!$T$39:$X$59,3,0)*BP325+VLOOKUP($B$3,'Coeff EC7'!$T$65:$X$85,3,0)*Model0.1T!BQ325)/1.1</f>
        <v>#N/A</v>
      </c>
      <c r="BT325" s="102" t="e">
        <f t="shared" si="478"/>
        <v>#N/A</v>
      </c>
      <c r="BU325" s="102" t="e">
        <f t="shared" si="479"/>
        <v>#N/A</v>
      </c>
      <c r="BV325" s="414" t="e">
        <f>IF(AND(BR325&gt;NDC!$C$63,BS325&gt;NDC!$C$65,BT325&gt;NDC!$D$73,BU325&gt;NDC!$D$74,$B325&gt;NDC!$H$22-0.1+MIN(3*BV$12,1.5)),0,1)</f>
        <v>#N/A</v>
      </c>
      <c r="BW325" s="86" t="b">
        <f t="shared" si="445"/>
        <v>0</v>
      </c>
      <c r="BX325" s="86">
        <f t="shared" si="446"/>
        <v>0.5</v>
      </c>
      <c r="BY325" s="86">
        <f t="shared" si="447"/>
        <v>0.5</v>
      </c>
      <c r="BZ325" s="30" t="e">
        <f t="shared" ca="1" si="480"/>
        <v>#DIV/0!</v>
      </c>
      <c r="CA325" s="85" t="e">
        <f ca="1">IF(BG325&lt;=Hypothèses!$V$7,Hypothèses!$W$7,IF(BG325&lt;=Hypothèses!$V$8,Hypothèses!$W$8,IF(BG325&lt;=Hypothèses!$V$9,Hypothèses!$W$9,IF(BG325&lt;=Hypothèses!$V$10,Hypothèses!$W$10,IF(BG325&lt;=Hypothèses!$V$11,Hypothèses!$W$11,IF(BG325&lt;=Hypothèses!$V$12,Hypothèses!$W$12,IF(BG325&lt;=Hypothèses!$V$13,Hypothèses!$W$13,IF(BG325&lt;=Hypothèses!$V$14,Hypothèses!$W$14,IF(BG325&lt;=Hypothèses!$V$15,Hypothèses!$W$15,IF(BG325&lt;=Hypothèses!$V$16,Hypothèses!$W$16,IF(BG325&lt;=Hypothèses!$V$17,Hypothèses!$W$17,IF(BG325&lt;=Hypothèses!$V$18,Hypothèses!$W$18,""))))))))))))</f>
        <v>#DIV/0!</v>
      </c>
      <c r="CB325" s="87" t="e">
        <f t="shared" ca="1" si="519"/>
        <v>#DIV/0!</v>
      </c>
      <c r="CC325" s="88" t="e">
        <f ca="1">IF(BG325&lt;=Hypothèses!$V$7,Hypothèses!$X$7,IF(BG325&lt;=Hypothèses!$V$8,Hypothèses!$X$8,IF(BG325&lt;=Hypothèses!$V$9,Hypothèses!$X$9,IF(BG325&lt;=Hypothèses!$V$10,Hypothèses!$X$10,IF(BG325&lt;=Hypothèses!$V$11,Hypothèses!$X$11,IF(BG325&lt;=Hypothèses!$V$12,Hypothèses!$X$12,IF(BG325&lt;=Hypothèses!$V$13,Hypothèses!$X$13,IF(BG325&lt;=Hypothèses!$V$14,Hypothèses!$X$14,IF(BG325&lt;=Hypothèses!$V$15,Hypothèses!$X$15,IF(BG325&lt;=Hypothèses!$V$16,Hypothèses!$X$16,IF(BG325&lt;=Hypothèses!$U$17,Hypothèses!$W$17,IF(BG325&lt;=Hypothèses!$U$18,Hypothèses!$W$18,""))))))))))))</f>
        <v>#DIV/0!</v>
      </c>
      <c r="CD325" s="95" t="e">
        <f t="shared" ca="1" si="481"/>
        <v>#DIV/0!</v>
      </c>
      <c r="CE325" s="101">
        <f t="shared" si="526"/>
        <v>0</v>
      </c>
      <c r="CF325" s="91">
        <f t="shared" si="448"/>
        <v>0</v>
      </c>
      <c r="CG325" s="30" t="e">
        <f t="shared" si="506"/>
        <v>#N/A</v>
      </c>
      <c r="CH325" s="30" t="e">
        <f t="shared" si="507"/>
        <v>#N/A</v>
      </c>
      <c r="CI325" s="31" t="e">
        <f>IF(OR(Hypothèses!$B$4=17,Hypothèses!$B$4=18,Hypothèses!$B$4=19,Hypothèses!$B$4=20),
IF($D325="Pressio.",
IF(OR($E325=3,$E325=1,$E325=4),CH325,CG325),
IF($D325="Pénétro.",
IF(OR($E325=3,$E325=1,$E325=4),CH325,CG325))),IF($D325="Pressio.",
IF($E325=3,CH325,CG325),
IF($D325="Pénétro.",
IF($E325=4,CH325,CG325))))</f>
        <v>#N/A</v>
      </c>
      <c r="CJ325" s="31">
        <v>0</v>
      </c>
      <c r="CK325" s="102" t="e">
        <f>IF(NDC!$H$10="Oui",(VLOOKUP($B$3,'Coeff EC7'!$T$39:$X$59,2,0)*CI325+VLOOKUP($B$3,'Coeff EC7'!$T$65:$X$85,2,0)*Model0.1T!CJ325)/1.5,PI()*CG$12*$Q325*($B325-$B324)*0.15/10+CK324)</f>
        <v>#N/A</v>
      </c>
      <c r="CL325" s="102" t="e">
        <f>(VLOOKUP($B$3,'Coeff EC7'!$T$39:$X$59,3,0)*CI325+VLOOKUP($B$3,'Coeff EC7'!$T$65:$X$85,3,0)*Model0.1T!CJ325)/1.1</f>
        <v>#N/A</v>
      </c>
      <c r="CM325" s="102" t="e">
        <f t="shared" si="482"/>
        <v>#N/A</v>
      </c>
      <c r="CN325" s="102" t="e">
        <f t="shared" si="483"/>
        <v>#N/A</v>
      </c>
      <c r="CO325" s="414" t="e">
        <f>IF(AND(CK325&gt;NDC!$C$63,CL325&gt;NDC!$C$65,CM325&gt;NDC!$D$73,CN325&gt;NDC!$D$74,$B325&gt;NDC!$H$22-0.1+MIN(3*CO$12,1.5)),0,1)</f>
        <v>#N/A</v>
      </c>
      <c r="CP325" s="86" t="b">
        <f t="shared" si="449"/>
        <v>0</v>
      </c>
      <c r="CQ325" s="86">
        <f t="shared" si="450"/>
        <v>0.5</v>
      </c>
      <c r="CR325" s="86">
        <f t="shared" si="451"/>
        <v>0.5</v>
      </c>
      <c r="CS325" s="30" t="e">
        <f t="shared" ca="1" si="484"/>
        <v>#DIV/0!</v>
      </c>
      <c r="CT325" s="85" t="e">
        <f ca="1">IF(BZ325&lt;=Hypothèses!$V$7,Hypothèses!$W$7,IF(BZ325&lt;=Hypothèses!$V$8,Hypothèses!$W$8,IF(BZ325&lt;=Hypothèses!$V$9,Hypothèses!$W$9,IF(BZ325&lt;=Hypothèses!$V$10,Hypothèses!$W$10,IF(BZ325&lt;=Hypothèses!$V$11,Hypothèses!$W$11,IF(BZ325&lt;=Hypothèses!$V$12,Hypothèses!$W$12,IF(BZ325&lt;=Hypothèses!$V$13,Hypothèses!$W$13,IF(BZ325&lt;=Hypothèses!$V$14,Hypothèses!$W$14,IF(BZ325&lt;=Hypothèses!$V$15,Hypothèses!$W$15,IF(BZ325&lt;=Hypothèses!$V$16,Hypothèses!$W$16,IF(BZ325&lt;=Hypothèses!$V$17,Hypothèses!$W$17,IF(BZ325&lt;=Hypothèses!$V$18,Hypothèses!$W$18,""))))))))))))</f>
        <v>#DIV/0!</v>
      </c>
      <c r="CU325" s="87" t="e">
        <f t="shared" ca="1" si="520"/>
        <v>#DIV/0!</v>
      </c>
      <c r="CV325" s="88" t="e">
        <f ca="1">IF(BZ325&lt;=Hypothèses!$V$7,Hypothèses!$X$7,IF(BZ325&lt;=Hypothèses!$V$8,Hypothèses!$X$8,IF(BZ325&lt;=Hypothèses!$V$9,Hypothèses!$X$9,IF(BZ325&lt;=Hypothèses!$V$10,Hypothèses!$X$10,IF(BZ325&lt;=Hypothèses!$V$11,Hypothèses!$X$11,IF(BZ325&lt;=Hypothèses!$V$12,Hypothèses!$X$12,IF(BZ325&lt;=Hypothèses!$V$13,Hypothèses!$X$13,IF(BZ325&lt;=Hypothèses!$V$14,Hypothèses!$X$14,IF(BZ325&lt;=Hypothèses!$V$15,Hypothèses!$X$15,IF(BZ325&lt;=Hypothèses!$V$16,Hypothèses!$X$16,IF(BZ325&lt;=Hypothèses!$U$17,Hypothèses!$W$17,IF(BZ325&lt;=Hypothèses!$U$18,Hypothèses!$W$18,""))))))))))))</f>
        <v>#DIV/0!</v>
      </c>
      <c r="CW325" s="95" t="e">
        <f t="shared" ca="1" si="485"/>
        <v>#DIV/0!</v>
      </c>
      <c r="CX325" s="101">
        <f t="shared" si="527"/>
        <v>0</v>
      </c>
      <c r="CY325" s="91">
        <f t="shared" si="452"/>
        <v>0</v>
      </c>
      <c r="CZ325" s="30" t="e">
        <f t="shared" si="508"/>
        <v>#N/A</v>
      </c>
      <c r="DA325" s="30" t="e">
        <f t="shared" si="509"/>
        <v>#N/A</v>
      </c>
      <c r="DB325" s="31" t="e">
        <f>IF(OR(Hypothèses!$B$4=17,Hypothèses!$B$4=18,Hypothèses!$B$4=19,Hypothèses!$B$4=20),
IF($D325="Pressio.",
IF(OR($E325=3,$E325=1,$E325=4),DA325,CZ325),
IF($D325="Pénétro.",
IF(OR($E325=3,$E325=1,$E325=4),DA325,CZ325))),IF($D325="Pressio.",
IF($E325=3,DA325,CZ325),
IF($D325="Pénétro.",
IF($E325=4,DA325,CZ325))))</f>
        <v>#N/A</v>
      </c>
      <c r="DC325" s="31">
        <v>0</v>
      </c>
      <c r="DD325" s="102" t="e">
        <f>IF(NDC!$H$10="Oui",(VLOOKUP($B$3,'Coeff EC7'!$T$39:$X$59,2,0)*DB325+VLOOKUP($B$3,'Coeff EC7'!$T$65:$X$85,2,0)*Model0.1T!DC325)/1.5,PI()*CZ$12*$Q325*($B325-$B324)*0.15/10+DD324)</f>
        <v>#N/A</v>
      </c>
      <c r="DE325" s="102" t="e">
        <f>(VLOOKUP($B$3,'Coeff EC7'!$T$39:$X$59,3,0)*DB325+VLOOKUP($B$3,'Coeff EC7'!$T$65:$X$85,3,0)*Model0.1T!DC325)/1.1</f>
        <v>#N/A</v>
      </c>
      <c r="DF325" s="102" t="e">
        <f t="shared" si="486"/>
        <v>#N/A</v>
      </c>
      <c r="DG325" s="102" t="e">
        <f t="shared" si="487"/>
        <v>#N/A</v>
      </c>
      <c r="DH325" s="414" t="e">
        <f>IF(AND(DD325&gt;NDC!$C$63,DE325&gt;NDC!$C$65,DF325&gt;NDC!$D$73,DG325&gt;NDC!$D$74,$B325&gt;NDC!$H$22-0.1+MIN(3*DH$12,1.5)),0,1)</f>
        <v>#N/A</v>
      </c>
      <c r="DI325" s="86" t="b">
        <f t="shared" si="453"/>
        <v>0</v>
      </c>
      <c r="DJ325" s="86">
        <f t="shared" si="454"/>
        <v>0.5</v>
      </c>
      <c r="DK325" s="86">
        <f t="shared" si="455"/>
        <v>0.5</v>
      </c>
      <c r="DL325" s="30" t="e">
        <f t="shared" ca="1" si="488"/>
        <v>#DIV/0!</v>
      </c>
      <c r="DM325" s="85" t="e">
        <f ca="1">IF(CS325&lt;=Hypothèses!$V$7,Hypothèses!$W$7,IF(CS325&lt;=Hypothèses!$V$8,Hypothèses!$W$8,IF(CS325&lt;=Hypothèses!$V$9,Hypothèses!$W$9,IF(CS325&lt;=Hypothèses!$V$10,Hypothèses!$W$10,IF(CS325&lt;=Hypothèses!$V$11,Hypothèses!$W$11,IF(CS325&lt;=Hypothèses!$V$12,Hypothèses!$W$12,IF(CS325&lt;=Hypothèses!$V$13,Hypothèses!$W$13,IF(CS325&lt;=Hypothèses!$V$14,Hypothèses!$W$14,IF(CS325&lt;=Hypothèses!$V$15,Hypothèses!$W$15,IF(CS325&lt;=Hypothèses!$V$16,Hypothèses!$W$16,IF(CS325&lt;=Hypothèses!$V$17,Hypothèses!$W$17,IF(CS325&lt;=Hypothèses!$V$18,Hypothèses!$W$18,""))))))))))))</f>
        <v>#DIV/0!</v>
      </c>
      <c r="DN325" s="87" t="e">
        <f t="shared" ca="1" si="521"/>
        <v>#DIV/0!</v>
      </c>
      <c r="DO325" s="88" t="e">
        <f ca="1">IF(CS325&lt;=Hypothèses!$V$7,Hypothèses!$X$7,IF(CS325&lt;=Hypothèses!$V$8,Hypothèses!$X$8,IF(CS325&lt;=Hypothèses!$V$9,Hypothèses!$X$9,IF(CS325&lt;=Hypothèses!$V$10,Hypothèses!$X$10,IF(CS325&lt;=Hypothèses!$V$11,Hypothèses!$X$11,IF(CS325&lt;=Hypothèses!$V$12,Hypothèses!$X$12,IF(CS325&lt;=Hypothèses!$V$13,Hypothèses!$X$13,IF(CS325&lt;=Hypothèses!$V$14,Hypothèses!$X$14,IF(CS325&lt;=Hypothèses!$V$15,Hypothèses!$X$15,IF(CS325&lt;=Hypothèses!$V$16,Hypothèses!$X$16,IF(CS325&lt;=Hypothèses!$U$17,Hypothèses!$W$17,IF(CS325&lt;=Hypothèses!$U$18,Hypothèses!$W$18,""))))))))))))</f>
        <v>#DIV/0!</v>
      </c>
      <c r="DP325" s="95" t="e">
        <f t="shared" ca="1" si="489"/>
        <v>#DIV/0!</v>
      </c>
      <c r="DQ325" s="101">
        <f t="shared" si="528"/>
        <v>0</v>
      </c>
      <c r="DR325" s="91">
        <f t="shared" si="456"/>
        <v>0</v>
      </c>
      <c r="DS325" s="30" t="e">
        <f t="shared" si="510"/>
        <v>#N/A</v>
      </c>
      <c r="DT325" s="30" t="e">
        <f t="shared" si="511"/>
        <v>#N/A</v>
      </c>
      <c r="DU325" s="31" t="e">
        <f>IF(OR(Hypothèses!$B$4=17,Hypothèses!$B$4=18,Hypothèses!$B$4=19,Hypothèses!$B$4=20),
IF($D325="Pressio.",
IF(OR($E325=3,$E325=1,$E325=4),DT325,DS325),
IF($D325="Pénétro.",
IF(OR($E325=3,$E325=1,$E325=4),DT325,DS325))),IF($D325="Pressio.",
IF($E325=3,DT325,DS325),
IF($D325="Pénétro.",
IF($E325=4,DT325,DS325))))</f>
        <v>#N/A</v>
      </c>
      <c r="DV325" s="31">
        <v>0</v>
      </c>
      <c r="DW325" s="102" t="e">
        <f>IF(NDC!$H$10="Oui",(VLOOKUP($B$3,'Coeff EC7'!$T$39:$X$59,2,0)*DU325+VLOOKUP($B$3,'Coeff EC7'!$T$65:$X$85,2,0)*Model0.1T!DV325)/1.5,PI()*DS$12*$Q325*($B325-$B324)*0.15/10+DW324)</f>
        <v>#N/A</v>
      </c>
      <c r="DX325" s="102" t="e">
        <f>(VLOOKUP($B$3,'Coeff EC7'!$T$39:$X$59,3,0)*DU325+VLOOKUP($B$3,'Coeff EC7'!$T$65:$X$85,3,0)*Model0.1T!DV325)/1.1</f>
        <v>#N/A</v>
      </c>
      <c r="DY325" s="102" t="e">
        <f t="shared" si="490"/>
        <v>#N/A</v>
      </c>
      <c r="DZ325" s="102" t="e">
        <f t="shared" si="491"/>
        <v>#N/A</v>
      </c>
      <c r="EA325" s="414" t="e">
        <f>IF(AND(DW325&gt;NDC!$C$63,DX325&gt;NDC!$C$65,DY325&gt;NDC!$D$73,DZ325&gt;NDC!$D$74,$B325&gt;NDC!$H$22-0.1+MIN(3*EA$12,1.5)),0,1)</f>
        <v>#N/A</v>
      </c>
      <c r="EB325" s="86" t="b">
        <f t="shared" si="457"/>
        <v>0</v>
      </c>
      <c r="EC325" s="418">
        <f t="shared" si="458"/>
        <v>0.51</v>
      </c>
      <c r="ED325" s="86">
        <f t="shared" si="459"/>
        <v>0.51</v>
      </c>
      <c r="EE325" s="30" t="e">
        <f t="shared" ca="1" si="492"/>
        <v>#DIV/0!</v>
      </c>
      <c r="EF325" s="85" t="e">
        <f ca="1">IF(DL325&lt;=Hypothèses!$V$7,Hypothèses!$W$7,IF(DL325&lt;=Hypothèses!$V$8,Hypothèses!$W$8,IF(DL325&lt;=Hypothèses!$V$9,Hypothèses!$W$9,IF(DL325&lt;=Hypothèses!$V$10,Hypothèses!$W$10,IF(DL325&lt;=Hypothèses!$V$11,Hypothèses!$W$11,IF(DL325&lt;=Hypothèses!$V$12,Hypothèses!$W$12,IF(DL325&lt;=Hypothèses!$V$13,Hypothèses!$W$13,IF(DL325&lt;=Hypothèses!$V$14,Hypothèses!$W$14,IF(DL325&lt;=Hypothèses!$V$15,Hypothèses!$W$15,IF(DL325&lt;=Hypothèses!$V$16,Hypothèses!$W$16,IF(DL325&lt;=Hypothèses!$V$17,Hypothèses!$W$17,IF(DL325&lt;=Hypothèses!$V$18,Hypothèses!$W$18,""))))))))))))</f>
        <v>#DIV/0!</v>
      </c>
      <c r="EG325" s="87" t="e">
        <f t="shared" ca="1" si="522"/>
        <v>#DIV/0!</v>
      </c>
      <c r="EH325" s="88" t="e">
        <f ca="1">IF(DL325&lt;=Hypothèses!$V$7,Hypothèses!$X$7,IF(DL325&lt;=Hypothèses!$V$8,Hypothèses!$X$8,IF(DL325&lt;=Hypothèses!$V$9,Hypothèses!$X$9,IF(DL325&lt;=Hypothèses!$V$10,Hypothèses!$X$10,IF(DL325&lt;=Hypothèses!$V$11,Hypothèses!$X$11,IF(DL325&lt;=Hypothèses!$V$12,Hypothèses!$X$12,IF(DL325&lt;=Hypothèses!$V$13,Hypothèses!$X$13,IF(DL325&lt;=Hypothèses!$V$14,Hypothèses!$X$14,IF(DL325&lt;=Hypothèses!$V$15,Hypothèses!$X$15,IF(DL325&lt;=Hypothèses!$V$16,Hypothèses!$X$16,IF(DL325&lt;=Hypothèses!$U$17,Hypothèses!$W$17,IF(DL325&lt;=Hypothèses!$U$18,Hypothèses!$W$18,""))))))))))))</f>
        <v>#DIV/0!</v>
      </c>
      <c r="EI325" s="95" t="e">
        <f t="shared" ca="1" si="493"/>
        <v>#DIV/0!</v>
      </c>
      <c r="EJ325" s="101">
        <f t="shared" si="529"/>
        <v>0</v>
      </c>
      <c r="EK325" s="91">
        <f t="shared" si="460"/>
        <v>0</v>
      </c>
      <c r="EL325" s="30" t="e">
        <f t="shared" si="512"/>
        <v>#N/A</v>
      </c>
      <c r="EM325" s="30" t="e">
        <f t="shared" si="513"/>
        <v>#N/A</v>
      </c>
      <c r="EN325" s="31" t="e">
        <f>IF(OR(Hypothèses!$B$4=17,Hypothèses!$B$4=18,Hypothèses!$B$4=19,Hypothèses!$B$4=20),
IF($D325="Pressio.",
IF(OR($E325=3,$E325=1,$E325=4),EM325,EL325),
IF($D325="Pénétro.",
IF(OR($E325=3,$E325=1,$E325=4),EM325,EL325))),IF($D325="Pressio.",
IF($E325=3,EM325,EL325),
IF($D325="Pénétro.",
IF($E325=4,EM325,EL325))))</f>
        <v>#N/A</v>
      </c>
      <c r="EO325" s="31">
        <v>0</v>
      </c>
      <c r="EP325" s="102" t="e">
        <f>IF(NDC!$H$10="Oui",(VLOOKUP($B$3,'Coeff EC7'!$T$39:$X$59,2,0)*EN325+VLOOKUP($B$3,'Coeff EC7'!$T$65:$X$85,2,0)*Model0.1T!EO325)/1.5,PI()*EL$12*$Q325*($B325-$B324)*0.15/10+EP324)</f>
        <v>#N/A</v>
      </c>
      <c r="EQ325" s="102" t="e">
        <f>(VLOOKUP($B$3,'Coeff EC7'!$T$39:$X$59,3,0)*EN325+VLOOKUP($B$3,'Coeff EC7'!$T$65:$X$85,3,0)*Model0.1T!EO325)/1.1</f>
        <v>#N/A</v>
      </c>
      <c r="ER325" s="102" t="e">
        <f t="shared" si="494"/>
        <v>#N/A</v>
      </c>
      <c r="ES325" s="102" t="e">
        <f t="shared" si="495"/>
        <v>#N/A</v>
      </c>
      <c r="ET325" s="414" t="e">
        <f>IF(AND(EP325&gt;NDC!$C$63,EQ325&gt;NDC!$C$65,ER325&gt;NDC!$D$73,ES325&gt;NDC!$D$74,$B325&gt;NDC!$H$22-0.1+MIN(3*ET$12,1.5)),0,1)</f>
        <v>#N/A</v>
      </c>
      <c r="EU325" s="86" t="b">
        <f t="shared" si="461"/>
        <v>0</v>
      </c>
      <c r="EV325" s="86">
        <f t="shared" si="462"/>
        <v>0.61</v>
      </c>
      <c r="EW325" s="86">
        <f t="shared" si="463"/>
        <v>0.61</v>
      </c>
      <c r="EX325" s="30" t="e">
        <f t="shared" ca="1" si="496"/>
        <v>#DIV/0!</v>
      </c>
      <c r="EY325" s="85" t="e">
        <f ca="1">IF(EE325&lt;=Hypothèses!$V$7,Hypothèses!$W$7,IF(EE325&lt;=Hypothèses!$V$8,Hypothèses!$W$8,IF(EE325&lt;=Hypothèses!$V$9,Hypothèses!$W$9,IF(EE325&lt;=Hypothèses!$V$10,Hypothèses!$W$10,IF(EE325&lt;=Hypothèses!$V$11,Hypothèses!$W$11,IF(EE325&lt;=Hypothèses!$V$12,Hypothèses!$W$12,IF(EE325&lt;=Hypothèses!$V$13,Hypothèses!$W$13,IF(EE325&lt;=Hypothèses!$V$14,Hypothèses!$W$14,IF(EE325&lt;=Hypothèses!$V$15,Hypothèses!$W$15,IF(EE325&lt;=Hypothèses!$V$16,Hypothèses!$W$16,IF(EE325&lt;=Hypothèses!$V$17,Hypothèses!$W$17,IF(EE325&lt;=Hypothèses!$V$18,Hypothèses!$W$18,""))))))))))))</f>
        <v>#DIV/0!</v>
      </c>
      <c r="EZ325" s="87" t="e">
        <f t="shared" ca="1" si="523"/>
        <v>#DIV/0!</v>
      </c>
      <c r="FA325" s="88" t="e">
        <f ca="1">IF(EE325&lt;=Hypothèses!$V$7,Hypothèses!$X$7,IF(EE325&lt;=Hypothèses!$V$8,Hypothèses!$X$8,IF(EE325&lt;=Hypothèses!$V$9,Hypothèses!$X$9,IF(EE325&lt;=Hypothèses!$V$10,Hypothèses!$X$10,IF(EE325&lt;=Hypothèses!$V$11,Hypothèses!$X$11,IF(EE325&lt;=Hypothèses!$V$12,Hypothèses!$X$12,IF(EE325&lt;=Hypothèses!$V$13,Hypothèses!$X$13,IF(EE325&lt;=Hypothèses!$V$14,Hypothèses!$X$14,IF(EE325&lt;=Hypothèses!$V$15,Hypothèses!$X$15,IF(EE325&lt;=Hypothèses!$V$16,Hypothèses!$X$16,IF(EE325&lt;=Hypothèses!$U$17,Hypothèses!$W$17,IF(EE325&lt;=Hypothèses!$U$18,Hypothèses!$W$18,""))))))))))))</f>
        <v>#DIV/0!</v>
      </c>
      <c r="FB325" s="95" t="e">
        <f t="shared" ca="1" si="497"/>
        <v>#DIV/0!</v>
      </c>
      <c r="FC325" s="101">
        <f t="shared" si="530"/>
        <v>0</v>
      </c>
      <c r="FD325" s="91">
        <f t="shared" si="464"/>
        <v>0</v>
      </c>
      <c r="FE325" s="30" t="e">
        <f t="shared" si="514"/>
        <v>#N/A</v>
      </c>
      <c r="FF325" s="30" t="e">
        <f t="shared" si="515"/>
        <v>#N/A</v>
      </c>
      <c r="FG325" s="31" t="e">
        <f>IF(OR(Hypothèses!$B$4=17,Hypothèses!$B$4=18,Hypothèses!$B$4=19,Hypothèses!$B$4=20),
IF($D325="Pressio.",
IF(OR($E325=3,$E325=1,$E325=4),FF325,FE325),
IF($D325="Pénétro.",
IF(OR($E325=3,$E325=1,$E325=4),FF325,FE325))),IF($D325="Pressio.",
IF($E325=3,FF325,FE325),
IF($D325="Pénétro.",
IF($E325=4,FF325,FE325))))</f>
        <v>#N/A</v>
      </c>
      <c r="FH325" s="31">
        <v>0</v>
      </c>
      <c r="FI325" s="102" t="e">
        <f>IF(NDC!$H$10="Oui",(VLOOKUP($B$3,'Coeff EC7'!$T$39:$X$59,2,0)*FG325+VLOOKUP($B$3,'Coeff EC7'!$T$65:$X$85,2,0)*Model0.1T!FH325)/1.5,PI()*FE$12*$Q325*($B325-$B324)*0.15/10+FI324)</f>
        <v>#N/A</v>
      </c>
      <c r="FJ325" s="102" t="e">
        <f>(VLOOKUP($B$3,'Coeff EC7'!$T$39:$X$59,3,0)*FG325+VLOOKUP($B$3,'Coeff EC7'!$T$65:$X$85,3,0)*Model0.1T!FH325)/1.1</f>
        <v>#N/A</v>
      </c>
      <c r="FK325" s="102" t="e">
        <f t="shared" si="498"/>
        <v>#N/A</v>
      </c>
      <c r="FL325" s="102" t="e">
        <f t="shared" si="499"/>
        <v>#N/A</v>
      </c>
      <c r="FM325" s="414" t="e">
        <f>IF(AND(FI325&gt;NDC!$C$63,FJ325&gt;NDC!$C$65,FK325&gt;NDC!$D$73,FL325&gt;NDC!$D$74,$B325&gt;NDC!$H$22-0.1+MIN(3*FM$12,1.5)),0,1)</f>
        <v>#N/A</v>
      </c>
    </row>
    <row r="326" spans="1:169">
      <c r="A326" s="96">
        <f t="shared" si="465"/>
        <v>68.700000000001779</v>
      </c>
      <c r="B326" s="97">
        <v>31.3</v>
      </c>
      <c r="C326" s="81">
        <f>IF(B326&lt;=Hypothèses!$C$7,Hypothèses!$A$7,IF(B326&lt;=Hypothèses!$C$8,Hypothèses!$A$8,IF(B326&lt;=Hypothèses!$C$9,Hypothèses!$A$9,IF(B326&lt;=Hypothèses!$C$10,Hypothèses!$A$10,IF(B326&lt;=Hypothèses!$C$11,Hypothèses!$A$11,IF(B326&lt;=Hypothèses!$C$12,Hypothèses!$A$12,IF(B326&lt;=Hypothèses!$C$13,Hypothèses!$A$13,IF(B326&lt;=Hypothèses!$C$14,Hypothèses!$A$14,IF(B326&lt;=Hypothèses!$C$15,Hypothèses!$A$15,IF(B326&lt;=Hypothèses!$C$16,Hypothèses!$A$16,IF(B326&lt;=Hypothèses!$C$17,Hypothèses!$A$17,IF(B326&lt;=Hypothèses!$C$18,Hypothèses!$A$18,C325))))))))))))</f>
        <v>11</v>
      </c>
      <c r="D326" s="82" t="str">
        <f>IF(B326&lt;=Hypothèses!$C$7,Hypothèses!$R$7,IF(B326&lt;=Hypothèses!$C$8,Hypothèses!$R$8,IF(B326&lt;=Hypothèses!$C$9,Hypothèses!$R$9,IF(B326&lt;=Hypothèses!$C$10,Hypothèses!$R$10,IF(B326&lt;=Hypothèses!$C$11,Hypothèses!$R$11,IF(B326&lt;=Hypothèses!$C$12,Hypothèses!$R$12,IF(B326&lt;=Hypothèses!$C$13,Hypothèses!$R$13,IF(B326&lt;=Hypothèses!$C$14,Hypothèses!$R$14,IF(B326&lt;=Hypothèses!$C$15,Hypothèses!$R$15,IF(B326&lt;=Hypothèses!$C$16,Hypothèses!$R$16,IF(B326&lt;=Hypothèses!$C$17,Hypothèses!$R$17,IF(B326&lt;=Hypothèses!$C$18,Hypothèses!$R$18,D325))))))))))))</f>
        <v>Pressio.</v>
      </c>
      <c r="E326" s="82" t="e">
        <f>IF(B326&lt;=Hypothèses!$C$7,Hypothèses!$G$7,IF(B326&lt;=Hypothèses!$C$8,Hypothèses!$G$8,IF(B326&lt;=Hypothèses!$C$9,Hypothèses!$G$9,IF(B326&lt;=Hypothèses!$C$10,Hypothèses!$G$10,IF(B326&lt;=Hypothèses!$C$11,Hypothèses!$G$11,IF(B326&lt;=Hypothèses!$C$12,Hypothèses!$G$12,IF(B326&lt;=Hypothèses!$C$13,Hypothèses!$G$13,IF(B326&lt;=Hypothèses!$C$14,Hypothèses!$G$14,IF(B326&lt;=Hypothèses!$C$15,Hypothèses!$G$15,IF(B326&lt;=Hypothèses!$C$16,Hypothèses!$G$16,IF(B326&lt;=Hypothèses!$C$17,Hypothèses!$G$17,IF(B326&lt;=Hypothèses!$C$18,Hypothèses!$G$18,E325))))))))))))</f>
        <v>#N/A</v>
      </c>
      <c r="F326" s="82" t="str">
        <f>IF(B326&lt;=Hypothèses!$C$7,Hypothèses!$F$7,IF(B326&lt;=Hypothèses!$C$8,Hypothèses!$F$8,IF(B326&lt;=Hypothèses!$C$9,Hypothèses!$F$9,IF(B326&lt;=Hypothèses!$C$10,Hypothèses!$F$10,IF(B326&lt;=Hypothèses!$C$11,Hypothèses!$F$11,IF(B326&lt;=Hypothèses!$C$12,Hypothèses!$F$12,IF(B326&lt;=Hypothèses!$C$13,Hypothèses!$F$13,IF(B326&lt;=Hypothèses!$C$14,Hypothèses!$F$14,IF(B326&lt;=Hypothèses!$C$15,Hypothèses!$F$15,IF(B326&lt;=Hypothèses!$C$16,Hypothèses!$F$16,IF(B326&lt;=Hypothèses!$C$17,Hypothèses!$F$17,IF(B326&lt;=Hypothèses!$C$18,Hypothèses!$F$18,F325))))))))))))</f>
        <v/>
      </c>
      <c r="G326" s="91">
        <f t="array" ref="G326">INDEX('Coeff EC7'!$U$7:$X$27,
MATCH(Model0.1T!$B$3,'Coeff EC7'!$T$7:$T$27,0),
MATCH(Model0.1T!$D326&amp;Model0.1T!$B$4,
'Coeff EC7'!$U$6:$X$6&amp;
'Coeff EC7'!$U$5:$X$5,0))</f>
        <v>1.4</v>
      </c>
      <c r="H326" s="91">
        <f t="array" ref="H326">INDEX('Coeff EC7'!$Y$7:$AB$27,
MATCH(Model0.1T!$B$3,'Coeff EC7'!$T$7:$T$27,0),
MATCH(Model0.1T!$D326&amp;Model0.1T!$B$4,
'Coeff EC7'!$Y$6:$AB$6&amp;
'Coeff EC7'!$Y$5:$AB$5,0))</f>
        <v>1.7</v>
      </c>
      <c r="I326" s="83">
        <v>0</v>
      </c>
      <c r="J326" s="91" t="e">
        <f t="array" ref="J326">INDEX('Coeff EC7'!$D$33:$Q$33,1,MATCH(D326&amp;E326,'Coeff EC7'!$D$31:$Q$31&amp;'Coeff EC7'!$D$32:$Q$32,0))</f>
        <v>#N/A</v>
      </c>
      <c r="K326" s="91" t="e">
        <f t="array" ref="K326">INDEX('Coeff EC7'!$D$34:$Q$34,1,MATCH(D326&amp;E326,'Coeff EC7'!$D$31:$Q$31&amp;'Coeff EC7'!$D$32:$Q$32,0))</f>
        <v>#N/A</v>
      </c>
      <c r="L326" s="91" t="e">
        <f t="array" ref="L326">INDEX('Coeff EC7'!$D$35:$Q$35,1,MATCH(D326&amp;E326,'Coeff EC7'!$D$31:$Q$31&amp;'Coeff EC7'!$D$32:$Q$32,0))</f>
        <v>#N/A</v>
      </c>
      <c r="M326" s="98" t="e">
        <f t="shared" si="431"/>
        <v>#N/A</v>
      </c>
      <c r="N326" s="99" t="e">
        <f t="array" ref="N326">INDEX('Coeff EC7'!$D$7:$Q$27,MATCH($B$3,'Coeff EC7'!$C$7:$C$27,0),MATCH(D326&amp;E326,'Coeff EC7'!$D$5:$Q$5&amp;'Coeff EC7'!$D$6:$Q$6,0))</f>
        <v>#N/A</v>
      </c>
      <c r="O326" s="99" t="e">
        <f t="array" ref="O326">INDEX('Coeff EC7'!$D$41:$Q$61,MATCH($B$3,'Coeff EC7'!$C$41:$C$61,0),MATCH(D326&amp;E326,'Coeff EC7'!$D$39:$Q$39&amp;'Coeff EC7'!$D$40:$Q$40,0))</f>
        <v>#N/A</v>
      </c>
      <c r="P326" s="30" t="e">
        <f t="shared" si="466"/>
        <v>#N/A</v>
      </c>
      <c r="Q326" s="100" t="e">
        <f t="shared" si="433"/>
        <v>#N/A</v>
      </c>
      <c r="R326" s="86" t="b">
        <f t="shared" si="434"/>
        <v>0</v>
      </c>
      <c r="S326" s="86">
        <f t="shared" si="432"/>
        <v>0.5</v>
      </c>
      <c r="T326" s="86">
        <f t="shared" si="435"/>
        <v>0.5</v>
      </c>
      <c r="U326" s="30" t="e">
        <f t="shared" ca="1" si="467"/>
        <v>#DIV/0!</v>
      </c>
      <c r="V326" s="85" t="str">
        <f>IF(B326&lt;=Hypothèses!$V$7,Hypothèses!$W$7,IF(B326&lt;=Hypothèses!$V$8,Hypothèses!$W$8,IF(B326&lt;=Hypothèses!$V$9,Hypothèses!$W$9,IF(B326&lt;=Hypothèses!$V$10,Hypothèses!$W$10,IF(B326&lt;=Hypothèses!$V$11,Hypothèses!$W$11,IF(B326&lt;=Hypothèses!$V$12,Hypothèses!$W$12,IF(B326&lt;=Hypothèses!$V$13,Hypothèses!$W$13,IF(B326&lt;=Hypothèses!$V$14,Hypothèses!$W$14,IF(B326&lt;=Hypothèses!$V$15,Hypothèses!$W$15,IF(B326&lt;=Hypothèses!$V$16,Hypothèses!$W$16,IF(B326&lt;=Hypothèses!$V$17,Hypothèses!$W$17,IF(B326&lt;=Hypothèses!$V$18,Hypothèses!$W$18,""))))))))))))</f>
        <v/>
      </c>
      <c r="W326" s="87" t="e">
        <f t="shared" ca="1" si="516"/>
        <v>#DIV/0!</v>
      </c>
      <c r="X326" s="88" t="str">
        <f>IF(B326&lt;=Hypothèses!$V$7,Hypothèses!$X$7,IF(B326&lt;=Hypothèses!$V$8,Hypothèses!$X$8,IF(B326&lt;=Hypothèses!$V$9,Hypothèses!$X$9,IF(B326&lt;=Hypothèses!$V$10,Hypothèses!$X$10,IF(B326&lt;=Hypothèses!$V$11,Hypothèses!$X$11,IF(B326&lt;=Hypothèses!$V$12,Hypothèses!$X$12,IF(B326&lt;=Hypothèses!$V$13,Hypothèses!$X$13,IF(B326&lt;=Hypothèses!$V$14,Hypothèses!$X$14,IF(B326&lt;=Hypothèses!$V$15,Hypothèses!$X$15,IF(B326&lt;=Hypothèses!$V$16,Hypothèses!$X$16,IF(B326&lt;=Hypothèses!$U$17,Hypothèses!$W$17,IF(B326&lt;=Hypothèses!$U$18,Hypothèses!$W$18,""))))))))))))</f>
        <v/>
      </c>
      <c r="Y326" s="95" t="e">
        <f t="shared" ca="1" si="436"/>
        <v>#DIV/0!</v>
      </c>
      <c r="Z326" s="101">
        <f t="shared" si="437"/>
        <v>0</v>
      </c>
      <c r="AA326" s="91">
        <f t="shared" si="438"/>
        <v>0</v>
      </c>
      <c r="AB326" s="30" t="e">
        <f t="shared" si="500"/>
        <v>#N/A</v>
      </c>
      <c r="AC326" s="30" t="e">
        <f t="shared" si="501"/>
        <v>#N/A</v>
      </c>
      <c r="AD326" s="31" t="e">
        <f>IF(OR(Hypothèses!$B$4=17,Hypothèses!$B$4=18,Hypothèses!$B$4=19,Hypothèses!$B$4=20),
IF($D326="Pressio.",
IF(OR($E326=3,$E326=1,$E326=4),AC326,AB326),
IF($D326="Pénétro.",
IF(OR($E326=3,$E326=1,$E326=4),AC326,AB326))),IF($D326="Pressio.",
IF($E326=3,AC326,AB326),
IF($D326="Pénétro.",
IF($E326=4,AC326,AB326))))</f>
        <v>#N/A</v>
      </c>
      <c r="AE326" s="31">
        <v>0</v>
      </c>
      <c r="AF326" s="102" t="e">
        <f>IF(NDC!$H$10="Oui",(VLOOKUP($B$3,'Coeff EC7'!$T$39:$X$59,2,0)*AD326+VLOOKUP($B$3,'Coeff EC7'!$T$65:$X$85,2,0)*Model0.1T!AE326)/1.5,PI()*AB$12*$Q326*($B326-$B325)*0.15/10+AF325)</f>
        <v>#N/A</v>
      </c>
      <c r="AG326" s="102" t="e">
        <f>(VLOOKUP($B$3,'Coeff EC7'!$T$39:$X$59,3,0)*AD326+VLOOKUP($B$3,'Coeff EC7'!$T$65:$X$85,3,0)*Model0.1T!AE326)/1.1</f>
        <v>#N/A</v>
      </c>
      <c r="AH326" s="102" t="e">
        <f t="shared" si="468"/>
        <v>#N/A</v>
      </c>
      <c r="AI326" s="102" t="e">
        <f t="shared" si="469"/>
        <v>#N/A</v>
      </c>
      <c r="AJ326" s="414" t="e">
        <f>IF(AND(AF326&gt;NDC!$C$63,AG326&gt;NDC!$C$65,AH326&gt;NDC!$D$73,AI326&gt;NDC!$D$74,$B326&gt;NDC!$H$22-0.1+MIN(3*$AJ$12,1.5)),0,1)</f>
        <v>#N/A</v>
      </c>
      <c r="AK326" s="86" t="b">
        <f t="shared" si="439"/>
        <v>0</v>
      </c>
      <c r="AL326" s="86">
        <f t="shared" si="470"/>
        <v>0.5</v>
      </c>
      <c r="AM326" s="86">
        <f t="shared" si="440"/>
        <v>0.5</v>
      </c>
      <c r="AN326" s="30" t="e">
        <f t="shared" ca="1" si="471"/>
        <v>#DIV/0!</v>
      </c>
      <c r="AO326" s="85" t="e">
        <f ca="1">IF(U326&lt;=Hypothèses!$V$7,Hypothèses!$W$7,IF(U326&lt;=Hypothèses!$V$8,Hypothèses!$W$8,IF(U326&lt;=Hypothèses!$V$9,Hypothèses!$W$9,IF(U326&lt;=Hypothèses!$V$10,Hypothèses!$W$10,IF(U326&lt;=Hypothèses!$V$11,Hypothèses!$W$11,IF(U326&lt;=Hypothèses!$V$12,Hypothèses!$W$12,IF(U326&lt;=Hypothèses!$V$13,Hypothèses!$W$13,IF(U326&lt;=Hypothèses!$V$14,Hypothèses!$W$14,IF(U326&lt;=Hypothèses!$V$15,Hypothèses!$W$15,IF(U326&lt;=Hypothèses!$V$16,Hypothèses!$W$16,IF(U326&lt;=Hypothèses!$V$17,Hypothèses!$W$17,IF(U326&lt;=Hypothèses!$V$18,Hypothèses!$W$18,""))))))))))))</f>
        <v>#DIV/0!</v>
      </c>
      <c r="AP326" s="87" t="e">
        <f t="shared" ca="1" si="517"/>
        <v>#DIV/0!</v>
      </c>
      <c r="AQ326" s="88" t="e">
        <f ca="1">IF(U326&lt;=Hypothèses!$V$7,Hypothèses!$X$7,IF(U326&lt;=Hypothèses!$V$8,Hypothèses!$X$8,IF(U326&lt;=Hypothèses!$V$9,Hypothèses!$X$9,IF(U326&lt;=Hypothèses!$V$10,Hypothèses!$X$10,IF(U326&lt;=Hypothèses!$V$11,Hypothèses!$X$11,IF(U326&lt;=Hypothèses!$V$12,Hypothèses!$X$12,IF(U326&lt;=Hypothèses!$V$13,Hypothèses!$X$13,IF(U326&lt;=Hypothèses!$V$14,Hypothèses!$X$14,IF(U326&lt;=Hypothèses!$V$15,Hypothèses!$X$15,IF(U326&lt;=Hypothèses!$V$16,Hypothèses!$X$16,IF(U326&lt;=Hypothèses!$U$17,Hypothèses!$W$17,IF(U326&lt;=Hypothèses!$U$18,Hypothèses!$W$18,""))))))))))))</f>
        <v>#DIV/0!</v>
      </c>
      <c r="AR326" s="95" t="e">
        <f t="shared" ca="1" si="472"/>
        <v>#DIV/0!</v>
      </c>
      <c r="AS326" s="101">
        <f t="shared" si="524"/>
        <v>0</v>
      </c>
      <c r="AT326" s="91">
        <f t="shared" si="441"/>
        <v>0</v>
      </c>
      <c r="AU326" s="30" t="e">
        <f t="shared" si="502"/>
        <v>#N/A</v>
      </c>
      <c r="AV326" s="30" t="e">
        <f t="shared" si="503"/>
        <v>#N/A</v>
      </c>
      <c r="AW326" s="31" t="e">
        <f>IF(OR(Hypothèses!$B$4=17,Hypothèses!$B$4=18,Hypothèses!$B$4=19,Hypothèses!$B$4=20),
IF($D326="Pressio.",
IF(OR($E326=3,$E326=1,$E326=4),AV326,AU326),
IF($D326="Pénétro.",
IF(OR($E326=3,$E326=1,$E326=4),AV326,AU326))),IF($D326="Pressio.",
IF($E326=3,AV326,AU326),
IF($D326="Pénétro.",
IF($E326=4,AV326,AU326))))</f>
        <v>#N/A</v>
      </c>
      <c r="AX326" s="31">
        <v>0</v>
      </c>
      <c r="AY326" s="102" t="e">
        <f>IF(NDC!$H$10="Oui",(VLOOKUP($B$3,'Coeff EC7'!$T$39:$X$59,2,0)*AW326+VLOOKUP($B$3,'Coeff EC7'!$T$65:$X$85,2,0)*Model0.1T!AX326)/1.5,PI()*AU$12*$Q326*($B326-$B325)*0.15/10+AY325)</f>
        <v>#N/A</v>
      </c>
      <c r="AZ326" s="102" t="e">
        <f>(VLOOKUP($B$3,'Coeff EC7'!$T$39:$X$59,3,0)*AW326+VLOOKUP($B$3,'Coeff EC7'!$T$65:$X$85,3,0)*Model0.1T!AX326)/1.1</f>
        <v>#N/A</v>
      </c>
      <c r="BA326" s="102" t="e">
        <f t="shared" si="473"/>
        <v>#N/A</v>
      </c>
      <c r="BB326" s="102" t="e">
        <f t="shared" si="474"/>
        <v>#N/A</v>
      </c>
      <c r="BC326" s="414" t="e">
        <f>IF(AND(AY326&gt;NDC!$C$63,AZ326&gt;NDC!$C$65,BA326&gt;NDC!$D$73,BB326&gt;NDC!$D$74,$B326&gt;NDC!$H$22-0.1+MIN(3*BC$12,1.5)),0,1)</f>
        <v>#N/A</v>
      </c>
      <c r="BD326" s="86" t="b">
        <f t="shared" si="442"/>
        <v>0</v>
      </c>
      <c r="BE326" s="86">
        <f t="shared" si="475"/>
        <v>0.5</v>
      </c>
      <c r="BF326" s="86">
        <f t="shared" si="443"/>
        <v>0.5</v>
      </c>
      <c r="BG326" s="30" t="e">
        <f t="shared" ca="1" si="476"/>
        <v>#DIV/0!</v>
      </c>
      <c r="BH326" s="85" t="e">
        <f ca="1">IF(AN326&lt;=Hypothèses!$V$7,Hypothèses!$W$7,IF(AN326&lt;=Hypothèses!$V$8,Hypothèses!$W$8,IF(AN326&lt;=Hypothèses!$V$9,Hypothèses!$W$9,IF(AN326&lt;=Hypothèses!$V$10,Hypothèses!$W$10,IF(AN326&lt;=Hypothèses!$V$11,Hypothèses!$W$11,IF(AN326&lt;=Hypothèses!$V$12,Hypothèses!$W$12,IF(AN326&lt;=Hypothèses!$V$13,Hypothèses!$W$13,IF(AN326&lt;=Hypothèses!$V$14,Hypothèses!$W$14,IF(AN326&lt;=Hypothèses!$V$15,Hypothèses!$W$15,IF(AN326&lt;=Hypothèses!$V$16,Hypothèses!$W$16,IF(AN326&lt;=Hypothèses!$V$17,Hypothèses!$W$17,IF(AN326&lt;=Hypothèses!$V$18,Hypothèses!$W$18,""))))))))))))</f>
        <v>#DIV/0!</v>
      </c>
      <c r="BI326" s="87" t="e">
        <f t="shared" ca="1" si="518"/>
        <v>#DIV/0!</v>
      </c>
      <c r="BJ326" s="88" t="e">
        <f ca="1">IF(AN326&lt;=Hypothèses!$V$7,Hypothèses!$X$7,IF(AN326&lt;=Hypothèses!$V$8,Hypothèses!$X$8,IF(AN326&lt;=Hypothèses!$V$9,Hypothèses!$X$9,IF(AN326&lt;=Hypothèses!$V$10,Hypothèses!$X$10,IF(AN326&lt;=Hypothèses!$V$11,Hypothèses!$X$11,IF(AN326&lt;=Hypothèses!$V$12,Hypothèses!$X$12,IF(AN326&lt;=Hypothèses!$V$13,Hypothèses!$X$13,IF(AN326&lt;=Hypothèses!$V$14,Hypothèses!$X$14,IF(AN326&lt;=Hypothèses!$V$15,Hypothèses!$X$15,IF(AN326&lt;=Hypothèses!$V$16,Hypothèses!$X$16,IF(AN326&lt;=Hypothèses!$U$17,Hypothèses!$W$17,IF(AN326&lt;=Hypothèses!$U$18,Hypothèses!$W$18,""))))))))))))</f>
        <v>#DIV/0!</v>
      </c>
      <c r="BK326" s="95" t="e">
        <f t="shared" ca="1" si="477"/>
        <v>#DIV/0!</v>
      </c>
      <c r="BL326" s="101">
        <f t="shared" si="525"/>
        <v>0</v>
      </c>
      <c r="BM326" s="91">
        <f t="shared" si="444"/>
        <v>0</v>
      </c>
      <c r="BN326" s="30" t="e">
        <f t="shared" si="504"/>
        <v>#N/A</v>
      </c>
      <c r="BO326" s="30" t="e">
        <f t="shared" si="505"/>
        <v>#N/A</v>
      </c>
      <c r="BP326" s="31" t="e">
        <f>IF(OR(Hypothèses!$B$4=17,Hypothèses!$B$4=18,Hypothèses!$B$4=19,Hypothèses!$B$4=20),
IF($D326="Pressio.",
IF(OR($E326=3,$E326=1,$E326=4),BO326,BN326),
IF($D326="Pénétro.",
IF(OR($E326=3,$E326=1,$E326=4),BO326,BN326))),IF($D326="Pressio.",
IF($E326=3,BO326,BN326),
IF($D326="Pénétro.",
IF($E326=4,BO326,BN326))))</f>
        <v>#N/A</v>
      </c>
      <c r="BQ326" s="31">
        <v>0</v>
      </c>
      <c r="BR326" s="102" t="e">
        <f>IF(NDC!$H$10="Oui",(VLOOKUP($B$3,'Coeff EC7'!$T$39:$X$59,2,0)*BP326+VLOOKUP($B$3,'Coeff EC7'!$T$65:$X$85,2,0)*Model0.1T!BQ326)/1.5,PI()*BN$12*$Q326*($B326-$B325)*0.15/10+BR325)</f>
        <v>#N/A</v>
      </c>
      <c r="BS326" s="102" t="e">
        <f>(VLOOKUP($B$3,'Coeff EC7'!$T$39:$X$59,3,0)*BP326+VLOOKUP($B$3,'Coeff EC7'!$T$65:$X$85,3,0)*Model0.1T!BQ326)/1.1</f>
        <v>#N/A</v>
      </c>
      <c r="BT326" s="102" t="e">
        <f t="shared" si="478"/>
        <v>#N/A</v>
      </c>
      <c r="BU326" s="102" t="e">
        <f t="shared" si="479"/>
        <v>#N/A</v>
      </c>
      <c r="BV326" s="414" t="e">
        <f>IF(AND(BR326&gt;NDC!$C$63,BS326&gt;NDC!$C$65,BT326&gt;NDC!$D$73,BU326&gt;NDC!$D$74,$B326&gt;NDC!$H$22-0.1+MIN(3*BV$12,1.5)),0,1)</f>
        <v>#N/A</v>
      </c>
      <c r="BW326" s="86" t="b">
        <f t="shared" si="445"/>
        <v>0</v>
      </c>
      <c r="BX326" s="86">
        <f t="shared" si="446"/>
        <v>0.5</v>
      </c>
      <c r="BY326" s="86">
        <f t="shared" si="447"/>
        <v>0.5</v>
      </c>
      <c r="BZ326" s="30" t="e">
        <f t="shared" ca="1" si="480"/>
        <v>#DIV/0!</v>
      </c>
      <c r="CA326" s="85" t="e">
        <f ca="1">IF(BG326&lt;=Hypothèses!$V$7,Hypothèses!$W$7,IF(BG326&lt;=Hypothèses!$V$8,Hypothèses!$W$8,IF(BG326&lt;=Hypothèses!$V$9,Hypothèses!$W$9,IF(BG326&lt;=Hypothèses!$V$10,Hypothèses!$W$10,IF(BG326&lt;=Hypothèses!$V$11,Hypothèses!$W$11,IF(BG326&lt;=Hypothèses!$V$12,Hypothèses!$W$12,IF(BG326&lt;=Hypothèses!$V$13,Hypothèses!$W$13,IF(BG326&lt;=Hypothèses!$V$14,Hypothèses!$W$14,IF(BG326&lt;=Hypothèses!$V$15,Hypothèses!$W$15,IF(BG326&lt;=Hypothèses!$V$16,Hypothèses!$W$16,IF(BG326&lt;=Hypothèses!$V$17,Hypothèses!$W$17,IF(BG326&lt;=Hypothèses!$V$18,Hypothèses!$W$18,""))))))))))))</f>
        <v>#DIV/0!</v>
      </c>
      <c r="CB326" s="87" t="e">
        <f t="shared" ca="1" si="519"/>
        <v>#DIV/0!</v>
      </c>
      <c r="CC326" s="88" t="e">
        <f ca="1">IF(BG326&lt;=Hypothèses!$V$7,Hypothèses!$X$7,IF(BG326&lt;=Hypothèses!$V$8,Hypothèses!$X$8,IF(BG326&lt;=Hypothèses!$V$9,Hypothèses!$X$9,IF(BG326&lt;=Hypothèses!$V$10,Hypothèses!$X$10,IF(BG326&lt;=Hypothèses!$V$11,Hypothèses!$X$11,IF(BG326&lt;=Hypothèses!$V$12,Hypothèses!$X$12,IF(BG326&lt;=Hypothèses!$V$13,Hypothèses!$X$13,IF(BG326&lt;=Hypothèses!$V$14,Hypothèses!$X$14,IF(BG326&lt;=Hypothèses!$V$15,Hypothèses!$X$15,IF(BG326&lt;=Hypothèses!$V$16,Hypothèses!$X$16,IF(BG326&lt;=Hypothèses!$U$17,Hypothèses!$W$17,IF(BG326&lt;=Hypothèses!$U$18,Hypothèses!$W$18,""))))))))))))</f>
        <v>#DIV/0!</v>
      </c>
      <c r="CD326" s="95" t="e">
        <f t="shared" ca="1" si="481"/>
        <v>#DIV/0!</v>
      </c>
      <c r="CE326" s="101">
        <f t="shared" si="526"/>
        <v>0</v>
      </c>
      <c r="CF326" s="91">
        <f t="shared" si="448"/>
        <v>0</v>
      </c>
      <c r="CG326" s="30" t="e">
        <f t="shared" si="506"/>
        <v>#N/A</v>
      </c>
      <c r="CH326" s="30" t="e">
        <f t="shared" si="507"/>
        <v>#N/A</v>
      </c>
      <c r="CI326" s="31" t="e">
        <f>IF(OR(Hypothèses!$B$4=17,Hypothèses!$B$4=18,Hypothèses!$B$4=19,Hypothèses!$B$4=20),
IF($D326="Pressio.",
IF(OR($E326=3,$E326=1,$E326=4),CH326,CG326),
IF($D326="Pénétro.",
IF(OR($E326=3,$E326=1,$E326=4),CH326,CG326))),IF($D326="Pressio.",
IF($E326=3,CH326,CG326),
IF($D326="Pénétro.",
IF($E326=4,CH326,CG326))))</f>
        <v>#N/A</v>
      </c>
      <c r="CJ326" s="31">
        <v>0</v>
      </c>
      <c r="CK326" s="102" t="e">
        <f>IF(NDC!$H$10="Oui",(VLOOKUP($B$3,'Coeff EC7'!$T$39:$X$59,2,0)*CI326+VLOOKUP($B$3,'Coeff EC7'!$T$65:$X$85,2,0)*Model0.1T!CJ326)/1.5,PI()*CG$12*$Q326*($B326-$B325)*0.15/10+CK325)</f>
        <v>#N/A</v>
      </c>
      <c r="CL326" s="102" t="e">
        <f>(VLOOKUP($B$3,'Coeff EC7'!$T$39:$X$59,3,0)*CI326+VLOOKUP($B$3,'Coeff EC7'!$T$65:$X$85,3,0)*Model0.1T!CJ326)/1.1</f>
        <v>#N/A</v>
      </c>
      <c r="CM326" s="102" t="e">
        <f t="shared" si="482"/>
        <v>#N/A</v>
      </c>
      <c r="CN326" s="102" t="e">
        <f t="shared" si="483"/>
        <v>#N/A</v>
      </c>
      <c r="CO326" s="414" t="e">
        <f>IF(AND(CK326&gt;NDC!$C$63,CL326&gt;NDC!$C$65,CM326&gt;NDC!$D$73,CN326&gt;NDC!$D$74,$B326&gt;NDC!$H$22-0.1+MIN(3*CO$12,1.5)),0,1)</f>
        <v>#N/A</v>
      </c>
      <c r="CP326" s="86" t="b">
        <f t="shared" si="449"/>
        <v>0</v>
      </c>
      <c r="CQ326" s="86">
        <f t="shared" si="450"/>
        <v>0.5</v>
      </c>
      <c r="CR326" s="86">
        <f t="shared" si="451"/>
        <v>0.5</v>
      </c>
      <c r="CS326" s="30" t="e">
        <f t="shared" ca="1" si="484"/>
        <v>#DIV/0!</v>
      </c>
      <c r="CT326" s="85" t="e">
        <f ca="1">IF(BZ326&lt;=Hypothèses!$V$7,Hypothèses!$W$7,IF(BZ326&lt;=Hypothèses!$V$8,Hypothèses!$W$8,IF(BZ326&lt;=Hypothèses!$V$9,Hypothèses!$W$9,IF(BZ326&lt;=Hypothèses!$V$10,Hypothèses!$W$10,IF(BZ326&lt;=Hypothèses!$V$11,Hypothèses!$W$11,IF(BZ326&lt;=Hypothèses!$V$12,Hypothèses!$W$12,IF(BZ326&lt;=Hypothèses!$V$13,Hypothèses!$W$13,IF(BZ326&lt;=Hypothèses!$V$14,Hypothèses!$W$14,IF(BZ326&lt;=Hypothèses!$V$15,Hypothèses!$W$15,IF(BZ326&lt;=Hypothèses!$V$16,Hypothèses!$W$16,IF(BZ326&lt;=Hypothèses!$V$17,Hypothèses!$W$17,IF(BZ326&lt;=Hypothèses!$V$18,Hypothèses!$W$18,""))))))))))))</f>
        <v>#DIV/0!</v>
      </c>
      <c r="CU326" s="87" t="e">
        <f t="shared" ca="1" si="520"/>
        <v>#DIV/0!</v>
      </c>
      <c r="CV326" s="88" t="e">
        <f ca="1">IF(BZ326&lt;=Hypothèses!$V$7,Hypothèses!$X$7,IF(BZ326&lt;=Hypothèses!$V$8,Hypothèses!$X$8,IF(BZ326&lt;=Hypothèses!$V$9,Hypothèses!$X$9,IF(BZ326&lt;=Hypothèses!$V$10,Hypothèses!$X$10,IF(BZ326&lt;=Hypothèses!$V$11,Hypothèses!$X$11,IF(BZ326&lt;=Hypothèses!$V$12,Hypothèses!$X$12,IF(BZ326&lt;=Hypothèses!$V$13,Hypothèses!$X$13,IF(BZ326&lt;=Hypothèses!$V$14,Hypothèses!$X$14,IF(BZ326&lt;=Hypothèses!$V$15,Hypothèses!$X$15,IF(BZ326&lt;=Hypothèses!$V$16,Hypothèses!$X$16,IF(BZ326&lt;=Hypothèses!$U$17,Hypothèses!$W$17,IF(BZ326&lt;=Hypothèses!$U$18,Hypothèses!$W$18,""))))))))))))</f>
        <v>#DIV/0!</v>
      </c>
      <c r="CW326" s="95" t="e">
        <f t="shared" ca="1" si="485"/>
        <v>#DIV/0!</v>
      </c>
      <c r="CX326" s="101">
        <f t="shared" si="527"/>
        <v>0</v>
      </c>
      <c r="CY326" s="91">
        <f t="shared" si="452"/>
        <v>0</v>
      </c>
      <c r="CZ326" s="30" t="e">
        <f t="shared" si="508"/>
        <v>#N/A</v>
      </c>
      <c r="DA326" s="30" t="e">
        <f t="shared" si="509"/>
        <v>#N/A</v>
      </c>
      <c r="DB326" s="31" t="e">
        <f>IF(OR(Hypothèses!$B$4=17,Hypothèses!$B$4=18,Hypothèses!$B$4=19,Hypothèses!$B$4=20),
IF($D326="Pressio.",
IF(OR($E326=3,$E326=1,$E326=4),DA326,CZ326),
IF($D326="Pénétro.",
IF(OR($E326=3,$E326=1,$E326=4),DA326,CZ326))),IF($D326="Pressio.",
IF($E326=3,DA326,CZ326),
IF($D326="Pénétro.",
IF($E326=4,DA326,CZ326))))</f>
        <v>#N/A</v>
      </c>
      <c r="DC326" s="31">
        <v>0</v>
      </c>
      <c r="DD326" s="102" t="e">
        <f>IF(NDC!$H$10="Oui",(VLOOKUP($B$3,'Coeff EC7'!$T$39:$X$59,2,0)*DB326+VLOOKUP($B$3,'Coeff EC7'!$T$65:$X$85,2,0)*Model0.1T!DC326)/1.5,PI()*CZ$12*$Q326*($B326-$B325)*0.15/10+DD325)</f>
        <v>#N/A</v>
      </c>
      <c r="DE326" s="102" t="e">
        <f>(VLOOKUP($B$3,'Coeff EC7'!$T$39:$X$59,3,0)*DB326+VLOOKUP($B$3,'Coeff EC7'!$T$65:$X$85,3,0)*Model0.1T!DC326)/1.1</f>
        <v>#N/A</v>
      </c>
      <c r="DF326" s="102" t="e">
        <f t="shared" si="486"/>
        <v>#N/A</v>
      </c>
      <c r="DG326" s="102" t="e">
        <f t="shared" si="487"/>
        <v>#N/A</v>
      </c>
      <c r="DH326" s="414" t="e">
        <f>IF(AND(DD326&gt;NDC!$C$63,DE326&gt;NDC!$C$65,DF326&gt;NDC!$D$73,DG326&gt;NDC!$D$74,$B326&gt;NDC!$H$22-0.1+MIN(3*DH$12,1.5)),0,1)</f>
        <v>#N/A</v>
      </c>
      <c r="DI326" s="86" t="b">
        <f t="shared" si="453"/>
        <v>0</v>
      </c>
      <c r="DJ326" s="86">
        <f t="shared" si="454"/>
        <v>0.5</v>
      </c>
      <c r="DK326" s="86">
        <f t="shared" si="455"/>
        <v>0.5</v>
      </c>
      <c r="DL326" s="30" t="e">
        <f t="shared" ca="1" si="488"/>
        <v>#DIV/0!</v>
      </c>
      <c r="DM326" s="85" t="e">
        <f ca="1">IF(CS326&lt;=Hypothèses!$V$7,Hypothèses!$W$7,IF(CS326&lt;=Hypothèses!$V$8,Hypothèses!$W$8,IF(CS326&lt;=Hypothèses!$V$9,Hypothèses!$W$9,IF(CS326&lt;=Hypothèses!$V$10,Hypothèses!$W$10,IF(CS326&lt;=Hypothèses!$V$11,Hypothèses!$W$11,IF(CS326&lt;=Hypothèses!$V$12,Hypothèses!$W$12,IF(CS326&lt;=Hypothèses!$V$13,Hypothèses!$W$13,IF(CS326&lt;=Hypothèses!$V$14,Hypothèses!$W$14,IF(CS326&lt;=Hypothèses!$V$15,Hypothèses!$W$15,IF(CS326&lt;=Hypothèses!$V$16,Hypothèses!$W$16,IF(CS326&lt;=Hypothèses!$V$17,Hypothèses!$W$17,IF(CS326&lt;=Hypothèses!$V$18,Hypothèses!$W$18,""))))))))))))</f>
        <v>#DIV/0!</v>
      </c>
      <c r="DN326" s="87" t="e">
        <f t="shared" ca="1" si="521"/>
        <v>#DIV/0!</v>
      </c>
      <c r="DO326" s="88" t="e">
        <f ca="1">IF(CS326&lt;=Hypothèses!$V$7,Hypothèses!$X$7,IF(CS326&lt;=Hypothèses!$V$8,Hypothèses!$X$8,IF(CS326&lt;=Hypothèses!$V$9,Hypothèses!$X$9,IF(CS326&lt;=Hypothèses!$V$10,Hypothèses!$X$10,IF(CS326&lt;=Hypothèses!$V$11,Hypothèses!$X$11,IF(CS326&lt;=Hypothèses!$V$12,Hypothèses!$X$12,IF(CS326&lt;=Hypothèses!$V$13,Hypothèses!$X$13,IF(CS326&lt;=Hypothèses!$V$14,Hypothèses!$X$14,IF(CS326&lt;=Hypothèses!$V$15,Hypothèses!$X$15,IF(CS326&lt;=Hypothèses!$V$16,Hypothèses!$X$16,IF(CS326&lt;=Hypothèses!$U$17,Hypothèses!$W$17,IF(CS326&lt;=Hypothèses!$U$18,Hypothèses!$W$18,""))))))))))))</f>
        <v>#DIV/0!</v>
      </c>
      <c r="DP326" s="95" t="e">
        <f t="shared" ca="1" si="489"/>
        <v>#DIV/0!</v>
      </c>
      <c r="DQ326" s="101">
        <f t="shared" si="528"/>
        <v>0</v>
      </c>
      <c r="DR326" s="91">
        <f t="shared" si="456"/>
        <v>0</v>
      </c>
      <c r="DS326" s="30" t="e">
        <f t="shared" si="510"/>
        <v>#N/A</v>
      </c>
      <c r="DT326" s="30" t="e">
        <f t="shared" si="511"/>
        <v>#N/A</v>
      </c>
      <c r="DU326" s="31" t="e">
        <f>IF(OR(Hypothèses!$B$4=17,Hypothèses!$B$4=18,Hypothèses!$B$4=19,Hypothèses!$B$4=20),
IF($D326="Pressio.",
IF(OR($E326=3,$E326=1,$E326=4),DT326,DS326),
IF($D326="Pénétro.",
IF(OR($E326=3,$E326=1,$E326=4),DT326,DS326))),IF($D326="Pressio.",
IF($E326=3,DT326,DS326),
IF($D326="Pénétro.",
IF($E326=4,DT326,DS326))))</f>
        <v>#N/A</v>
      </c>
      <c r="DV326" s="31">
        <v>0</v>
      </c>
      <c r="DW326" s="102" t="e">
        <f>IF(NDC!$H$10="Oui",(VLOOKUP($B$3,'Coeff EC7'!$T$39:$X$59,2,0)*DU326+VLOOKUP($B$3,'Coeff EC7'!$T$65:$X$85,2,0)*Model0.1T!DV326)/1.5,PI()*DS$12*$Q326*($B326-$B325)*0.15/10+DW325)</f>
        <v>#N/A</v>
      </c>
      <c r="DX326" s="102" t="e">
        <f>(VLOOKUP($B$3,'Coeff EC7'!$T$39:$X$59,3,0)*DU326+VLOOKUP($B$3,'Coeff EC7'!$T$65:$X$85,3,0)*Model0.1T!DV326)/1.1</f>
        <v>#N/A</v>
      </c>
      <c r="DY326" s="102" t="e">
        <f t="shared" si="490"/>
        <v>#N/A</v>
      </c>
      <c r="DZ326" s="102" t="e">
        <f t="shared" si="491"/>
        <v>#N/A</v>
      </c>
      <c r="EA326" s="414" t="e">
        <f>IF(AND(DW326&gt;NDC!$C$63,DX326&gt;NDC!$C$65,DY326&gt;NDC!$D$73,DZ326&gt;NDC!$D$74,$B326&gt;NDC!$H$22-0.1+MIN(3*EA$12,1.5)),0,1)</f>
        <v>#N/A</v>
      </c>
      <c r="EB326" s="86" t="b">
        <f t="shared" si="457"/>
        <v>0</v>
      </c>
      <c r="EC326" s="418">
        <f t="shared" si="458"/>
        <v>0.51</v>
      </c>
      <c r="ED326" s="86">
        <f t="shared" si="459"/>
        <v>0.51</v>
      </c>
      <c r="EE326" s="30" t="e">
        <f t="shared" ca="1" si="492"/>
        <v>#DIV/0!</v>
      </c>
      <c r="EF326" s="85" t="e">
        <f ca="1">IF(DL326&lt;=Hypothèses!$V$7,Hypothèses!$W$7,IF(DL326&lt;=Hypothèses!$V$8,Hypothèses!$W$8,IF(DL326&lt;=Hypothèses!$V$9,Hypothèses!$W$9,IF(DL326&lt;=Hypothèses!$V$10,Hypothèses!$W$10,IF(DL326&lt;=Hypothèses!$V$11,Hypothèses!$W$11,IF(DL326&lt;=Hypothèses!$V$12,Hypothèses!$W$12,IF(DL326&lt;=Hypothèses!$V$13,Hypothèses!$W$13,IF(DL326&lt;=Hypothèses!$V$14,Hypothèses!$W$14,IF(DL326&lt;=Hypothèses!$V$15,Hypothèses!$W$15,IF(DL326&lt;=Hypothèses!$V$16,Hypothèses!$W$16,IF(DL326&lt;=Hypothèses!$V$17,Hypothèses!$W$17,IF(DL326&lt;=Hypothèses!$V$18,Hypothèses!$W$18,""))))))))))))</f>
        <v>#DIV/0!</v>
      </c>
      <c r="EG326" s="87" t="e">
        <f t="shared" ca="1" si="522"/>
        <v>#DIV/0!</v>
      </c>
      <c r="EH326" s="88" t="e">
        <f ca="1">IF(DL326&lt;=Hypothèses!$V$7,Hypothèses!$X$7,IF(DL326&lt;=Hypothèses!$V$8,Hypothèses!$X$8,IF(DL326&lt;=Hypothèses!$V$9,Hypothèses!$X$9,IF(DL326&lt;=Hypothèses!$V$10,Hypothèses!$X$10,IF(DL326&lt;=Hypothèses!$V$11,Hypothèses!$X$11,IF(DL326&lt;=Hypothèses!$V$12,Hypothèses!$X$12,IF(DL326&lt;=Hypothèses!$V$13,Hypothèses!$X$13,IF(DL326&lt;=Hypothèses!$V$14,Hypothèses!$X$14,IF(DL326&lt;=Hypothèses!$V$15,Hypothèses!$X$15,IF(DL326&lt;=Hypothèses!$V$16,Hypothèses!$X$16,IF(DL326&lt;=Hypothèses!$U$17,Hypothèses!$W$17,IF(DL326&lt;=Hypothèses!$U$18,Hypothèses!$W$18,""))))))))))))</f>
        <v>#DIV/0!</v>
      </c>
      <c r="EI326" s="95" t="e">
        <f t="shared" ca="1" si="493"/>
        <v>#DIV/0!</v>
      </c>
      <c r="EJ326" s="101">
        <f t="shared" si="529"/>
        <v>0</v>
      </c>
      <c r="EK326" s="91">
        <f t="shared" si="460"/>
        <v>0</v>
      </c>
      <c r="EL326" s="30" t="e">
        <f t="shared" si="512"/>
        <v>#N/A</v>
      </c>
      <c r="EM326" s="30" t="e">
        <f t="shared" si="513"/>
        <v>#N/A</v>
      </c>
      <c r="EN326" s="31" t="e">
        <f>IF(OR(Hypothèses!$B$4=17,Hypothèses!$B$4=18,Hypothèses!$B$4=19,Hypothèses!$B$4=20),
IF($D326="Pressio.",
IF(OR($E326=3,$E326=1,$E326=4),EM326,EL326),
IF($D326="Pénétro.",
IF(OR($E326=3,$E326=1,$E326=4),EM326,EL326))),IF($D326="Pressio.",
IF($E326=3,EM326,EL326),
IF($D326="Pénétro.",
IF($E326=4,EM326,EL326))))</f>
        <v>#N/A</v>
      </c>
      <c r="EO326" s="31">
        <v>0</v>
      </c>
      <c r="EP326" s="102" t="e">
        <f>IF(NDC!$H$10="Oui",(VLOOKUP($B$3,'Coeff EC7'!$T$39:$X$59,2,0)*EN326+VLOOKUP($B$3,'Coeff EC7'!$T$65:$X$85,2,0)*Model0.1T!EO326)/1.5,PI()*EL$12*$Q326*($B326-$B325)*0.15/10+EP325)</f>
        <v>#N/A</v>
      </c>
      <c r="EQ326" s="102" t="e">
        <f>(VLOOKUP($B$3,'Coeff EC7'!$T$39:$X$59,3,0)*EN326+VLOOKUP($B$3,'Coeff EC7'!$T$65:$X$85,3,0)*Model0.1T!EO326)/1.1</f>
        <v>#N/A</v>
      </c>
      <c r="ER326" s="102" t="e">
        <f t="shared" si="494"/>
        <v>#N/A</v>
      </c>
      <c r="ES326" s="102" t="e">
        <f t="shared" si="495"/>
        <v>#N/A</v>
      </c>
      <c r="ET326" s="414" t="e">
        <f>IF(AND(EP326&gt;NDC!$C$63,EQ326&gt;NDC!$C$65,ER326&gt;NDC!$D$73,ES326&gt;NDC!$D$74,$B326&gt;NDC!$H$22-0.1+MIN(3*ET$12,1.5)),0,1)</f>
        <v>#N/A</v>
      </c>
      <c r="EU326" s="86" t="b">
        <f t="shared" si="461"/>
        <v>0</v>
      </c>
      <c r="EV326" s="86">
        <f t="shared" si="462"/>
        <v>0.61</v>
      </c>
      <c r="EW326" s="86">
        <f t="shared" si="463"/>
        <v>0.61</v>
      </c>
      <c r="EX326" s="30" t="e">
        <f t="shared" ca="1" si="496"/>
        <v>#DIV/0!</v>
      </c>
      <c r="EY326" s="85" t="e">
        <f ca="1">IF(EE326&lt;=Hypothèses!$V$7,Hypothèses!$W$7,IF(EE326&lt;=Hypothèses!$V$8,Hypothèses!$W$8,IF(EE326&lt;=Hypothèses!$V$9,Hypothèses!$W$9,IF(EE326&lt;=Hypothèses!$V$10,Hypothèses!$W$10,IF(EE326&lt;=Hypothèses!$V$11,Hypothèses!$W$11,IF(EE326&lt;=Hypothèses!$V$12,Hypothèses!$W$12,IF(EE326&lt;=Hypothèses!$V$13,Hypothèses!$W$13,IF(EE326&lt;=Hypothèses!$V$14,Hypothèses!$W$14,IF(EE326&lt;=Hypothèses!$V$15,Hypothèses!$W$15,IF(EE326&lt;=Hypothèses!$V$16,Hypothèses!$W$16,IF(EE326&lt;=Hypothèses!$V$17,Hypothèses!$W$17,IF(EE326&lt;=Hypothèses!$V$18,Hypothèses!$W$18,""))))))))))))</f>
        <v>#DIV/0!</v>
      </c>
      <c r="EZ326" s="87" t="e">
        <f t="shared" ca="1" si="523"/>
        <v>#DIV/0!</v>
      </c>
      <c r="FA326" s="88" t="e">
        <f ca="1">IF(EE326&lt;=Hypothèses!$V$7,Hypothèses!$X$7,IF(EE326&lt;=Hypothèses!$V$8,Hypothèses!$X$8,IF(EE326&lt;=Hypothèses!$V$9,Hypothèses!$X$9,IF(EE326&lt;=Hypothèses!$V$10,Hypothèses!$X$10,IF(EE326&lt;=Hypothèses!$V$11,Hypothèses!$X$11,IF(EE326&lt;=Hypothèses!$V$12,Hypothèses!$X$12,IF(EE326&lt;=Hypothèses!$V$13,Hypothèses!$X$13,IF(EE326&lt;=Hypothèses!$V$14,Hypothèses!$X$14,IF(EE326&lt;=Hypothèses!$V$15,Hypothèses!$X$15,IF(EE326&lt;=Hypothèses!$V$16,Hypothèses!$X$16,IF(EE326&lt;=Hypothèses!$U$17,Hypothèses!$W$17,IF(EE326&lt;=Hypothèses!$U$18,Hypothèses!$W$18,""))))))))))))</f>
        <v>#DIV/0!</v>
      </c>
      <c r="FB326" s="95" t="e">
        <f t="shared" ca="1" si="497"/>
        <v>#DIV/0!</v>
      </c>
      <c r="FC326" s="101">
        <f t="shared" si="530"/>
        <v>0</v>
      </c>
      <c r="FD326" s="91">
        <f t="shared" si="464"/>
        <v>0</v>
      </c>
      <c r="FE326" s="30" t="e">
        <f t="shared" si="514"/>
        <v>#N/A</v>
      </c>
      <c r="FF326" s="30" t="e">
        <f t="shared" si="515"/>
        <v>#N/A</v>
      </c>
      <c r="FG326" s="31" t="e">
        <f>IF(OR(Hypothèses!$B$4=17,Hypothèses!$B$4=18,Hypothèses!$B$4=19,Hypothèses!$B$4=20),
IF($D326="Pressio.",
IF(OR($E326=3,$E326=1,$E326=4),FF326,FE326),
IF($D326="Pénétro.",
IF(OR($E326=3,$E326=1,$E326=4),FF326,FE326))),IF($D326="Pressio.",
IF($E326=3,FF326,FE326),
IF($D326="Pénétro.",
IF($E326=4,FF326,FE326))))</f>
        <v>#N/A</v>
      </c>
      <c r="FH326" s="31">
        <v>0</v>
      </c>
      <c r="FI326" s="102" t="e">
        <f>IF(NDC!$H$10="Oui",(VLOOKUP($B$3,'Coeff EC7'!$T$39:$X$59,2,0)*FG326+VLOOKUP($B$3,'Coeff EC7'!$T$65:$X$85,2,0)*Model0.1T!FH326)/1.5,PI()*FE$12*$Q326*($B326-$B325)*0.15/10+FI325)</f>
        <v>#N/A</v>
      </c>
      <c r="FJ326" s="102" t="e">
        <f>(VLOOKUP($B$3,'Coeff EC7'!$T$39:$X$59,3,0)*FG326+VLOOKUP($B$3,'Coeff EC7'!$T$65:$X$85,3,0)*Model0.1T!FH326)/1.1</f>
        <v>#N/A</v>
      </c>
      <c r="FK326" s="102" t="e">
        <f t="shared" si="498"/>
        <v>#N/A</v>
      </c>
      <c r="FL326" s="102" t="e">
        <f t="shared" si="499"/>
        <v>#N/A</v>
      </c>
      <c r="FM326" s="414" t="e">
        <f>IF(AND(FI326&gt;NDC!$C$63,FJ326&gt;NDC!$C$65,FK326&gt;NDC!$D$73,FL326&gt;NDC!$D$74,$B326&gt;NDC!$H$22-0.1+MIN(3*FM$12,1.5)),0,1)</f>
        <v>#N/A</v>
      </c>
    </row>
    <row r="327" spans="1:169">
      <c r="A327" s="96">
        <f t="shared" si="465"/>
        <v>68.600000000001785</v>
      </c>
      <c r="B327" s="97">
        <v>31.4</v>
      </c>
      <c r="C327" s="81">
        <f>IF(B327&lt;=Hypothèses!$C$7,Hypothèses!$A$7,IF(B327&lt;=Hypothèses!$C$8,Hypothèses!$A$8,IF(B327&lt;=Hypothèses!$C$9,Hypothèses!$A$9,IF(B327&lt;=Hypothèses!$C$10,Hypothèses!$A$10,IF(B327&lt;=Hypothèses!$C$11,Hypothèses!$A$11,IF(B327&lt;=Hypothèses!$C$12,Hypothèses!$A$12,IF(B327&lt;=Hypothèses!$C$13,Hypothèses!$A$13,IF(B327&lt;=Hypothèses!$C$14,Hypothèses!$A$14,IF(B327&lt;=Hypothèses!$C$15,Hypothèses!$A$15,IF(B327&lt;=Hypothèses!$C$16,Hypothèses!$A$16,IF(B327&lt;=Hypothèses!$C$17,Hypothèses!$A$17,IF(B327&lt;=Hypothèses!$C$18,Hypothèses!$A$18,C326))))))))))))</f>
        <v>11</v>
      </c>
      <c r="D327" s="82" t="str">
        <f>IF(B327&lt;=Hypothèses!$C$7,Hypothèses!$R$7,IF(B327&lt;=Hypothèses!$C$8,Hypothèses!$R$8,IF(B327&lt;=Hypothèses!$C$9,Hypothèses!$R$9,IF(B327&lt;=Hypothèses!$C$10,Hypothèses!$R$10,IF(B327&lt;=Hypothèses!$C$11,Hypothèses!$R$11,IF(B327&lt;=Hypothèses!$C$12,Hypothèses!$R$12,IF(B327&lt;=Hypothèses!$C$13,Hypothèses!$R$13,IF(B327&lt;=Hypothèses!$C$14,Hypothèses!$R$14,IF(B327&lt;=Hypothèses!$C$15,Hypothèses!$R$15,IF(B327&lt;=Hypothèses!$C$16,Hypothèses!$R$16,IF(B327&lt;=Hypothèses!$C$17,Hypothèses!$R$17,IF(B327&lt;=Hypothèses!$C$18,Hypothèses!$R$18,D326))))))))))))</f>
        <v>Pressio.</v>
      </c>
      <c r="E327" s="82" t="e">
        <f>IF(B327&lt;=Hypothèses!$C$7,Hypothèses!$G$7,IF(B327&lt;=Hypothèses!$C$8,Hypothèses!$G$8,IF(B327&lt;=Hypothèses!$C$9,Hypothèses!$G$9,IF(B327&lt;=Hypothèses!$C$10,Hypothèses!$G$10,IF(B327&lt;=Hypothèses!$C$11,Hypothèses!$G$11,IF(B327&lt;=Hypothèses!$C$12,Hypothèses!$G$12,IF(B327&lt;=Hypothèses!$C$13,Hypothèses!$G$13,IF(B327&lt;=Hypothèses!$C$14,Hypothèses!$G$14,IF(B327&lt;=Hypothèses!$C$15,Hypothèses!$G$15,IF(B327&lt;=Hypothèses!$C$16,Hypothèses!$G$16,IF(B327&lt;=Hypothèses!$C$17,Hypothèses!$G$17,IF(B327&lt;=Hypothèses!$C$18,Hypothèses!$G$18,E326))))))))))))</f>
        <v>#N/A</v>
      </c>
      <c r="F327" s="82" t="str">
        <f>IF(B327&lt;=Hypothèses!$C$7,Hypothèses!$F$7,IF(B327&lt;=Hypothèses!$C$8,Hypothèses!$F$8,IF(B327&lt;=Hypothèses!$C$9,Hypothèses!$F$9,IF(B327&lt;=Hypothèses!$C$10,Hypothèses!$F$10,IF(B327&lt;=Hypothèses!$C$11,Hypothèses!$F$11,IF(B327&lt;=Hypothèses!$C$12,Hypothèses!$F$12,IF(B327&lt;=Hypothèses!$C$13,Hypothèses!$F$13,IF(B327&lt;=Hypothèses!$C$14,Hypothèses!$F$14,IF(B327&lt;=Hypothèses!$C$15,Hypothèses!$F$15,IF(B327&lt;=Hypothèses!$C$16,Hypothèses!$F$16,IF(B327&lt;=Hypothèses!$C$17,Hypothèses!$F$17,IF(B327&lt;=Hypothèses!$C$18,Hypothèses!$F$18,F326))))))))))))</f>
        <v/>
      </c>
      <c r="G327" s="91">
        <f t="array" ref="G327">INDEX('Coeff EC7'!$U$7:$X$27,
MATCH(Model0.1T!$B$3,'Coeff EC7'!$T$7:$T$27,0),
MATCH(Model0.1T!$D327&amp;Model0.1T!$B$4,
'Coeff EC7'!$U$6:$X$6&amp;
'Coeff EC7'!$U$5:$X$5,0))</f>
        <v>1.4</v>
      </c>
      <c r="H327" s="91">
        <f t="array" ref="H327">INDEX('Coeff EC7'!$Y$7:$AB$27,
MATCH(Model0.1T!$B$3,'Coeff EC7'!$T$7:$T$27,0),
MATCH(Model0.1T!$D327&amp;Model0.1T!$B$4,
'Coeff EC7'!$Y$6:$AB$6&amp;
'Coeff EC7'!$Y$5:$AB$5,0))</f>
        <v>1.7</v>
      </c>
      <c r="I327" s="83">
        <v>0</v>
      </c>
      <c r="J327" s="91" t="e">
        <f t="array" ref="J327">INDEX('Coeff EC7'!$D$33:$Q$33,1,MATCH(D327&amp;E327,'Coeff EC7'!$D$31:$Q$31&amp;'Coeff EC7'!$D$32:$Q$32,0))</f>
        <v>#N/A</v>
      </c>
      <c r="K327" s="91" t="e">
        <f t="array" ref="K327">INDEX('Coeff EC7'!$D$34:$Q$34,1,MATCH(D327&amp;E327,'Coeff EC7'!$D$31:$Q$31&amp;'Coeff EC7'!$D$32:$Q$32,0))</f>
        <v>#N/A</v>
      </c>
      <c r="L327" s="91" t="e">
        <f t="array" ref="L327">INDEX('Coeff EC7'!$D$35:$Q$35,1,MATCH(D327&amp;E327,'Coeff EC7'!$D$31:$Q$31&amp;'Coeff EC7'!$D$32:$Q$32,0))</f>
        <v>#N/A</v>
      </c>
      <c r="M327" s="98" t="e">
        <f t="shared" si="431"/>
        <v>#N/A</v>
      </c>
      <c r="N327" s="99" t="e">
        <f t="array" ref="N327">INDEX('Coeff EC7'!$D$7:$Q$27,MATCH($B$3,'Coeff EC7'!$C$7:$C$27,0),MATCH(D327&amp;E327,'Coeff EC7'!$D$5:$Q$5&amp;'Coeff EC7'!$D$6:$Q$6,0))</f>
        <v>#N/A</v>
      </c>
      <c r="O327" s="99" t="e">
        <f t="array" ref="O327">INDEX('Coeff EC7'!$D$41:$Q$61,MATCH($B$3,'Coeff EC7'!$C$41:$C$61,0),MATCH(D327&amp;E327,'Coeff EC7'!$D$39:$Q$39&amp;'Coeff EC7'!$D$40:$Q$40,0))</f>
        <v>#N/A</v>
      </c>
      <c r="P327" s="30" t="e">
        <f t="shared" si="466"/>
        <v>#N/A</v>
      </c>
      <c r="Q327" s="100" t="e">
        <f t="shared" si="433"/>
        <v>#N/A</v>
      </c>
      <c r="R327" s="86" t="b">
        <f t="shared" si="434"/>
        <v>0</v>
      </c>
      <c r="S327" s="86">
        <f t="shared" si="432"/>
        <v>0.5</v>
      </c>
      <c r="T327" s="86">
        <f t="shared" si="435"/>
        <v>0.5</v>
      </c>
      <c r="U327" s="30" t="e">
        <f t="shared" ca="1" si="467"/>
        <v>#DIV/0!</v>
      </c>
      <c r="V327" s="85" t="str">
        <f>IF(B327&lt;=Hypothèses!$V$7,Hypothèses!$W$7,IF(B327&lt;=Hypothèses!$V$8,Hypothèses!$W$8,IF(B327&lt;=Hypothèses!$V$9,Hypothèses!$W$9,IF(B327&lt;=Hypothèses!$V$10,Hypothèses!$W$10,IF(B327&lt;=Hypothèses!$V$11,Hypothèses!$W$11,IF(B327&lt;=Hypothèses!$V$12,Hypothèses!$W$12,IF(B327&lt;=Hypothèses!$V$13,Hypothèses!$W$13,IF(B327&lt;=Hypothèses!$V$14,Hypothèses!$W$14,IF(B327&lt;=Hypothèses!$V$15,Hypothèses!$W$15,IF(B327&lt;=Hypothèses!$V$16,Hypothèses!$W$16,IF(B327&lt;=Hypothèses!$V$17,Hypothèses!$W$17,IF(B327&lt;=Hypothèses!$V$18,Hypothèses!$W$18,""))))))))))))</f>
        <v/>
      </c>
      <c r="W327" s="87" t="e">
        <f t="shared" ca="1" si="516"/>
        <v>#DIV/0!</v>
      </c>
      <c r="X327" s="88" t="str">
        <f>IF(B327&lt;=Hypothèses!$V$7,Hypothèses!$X$7,IF(B327&lt;=Hypothèses!$V$8,Hypothèses!$X$8,IF(B327&lt;=Hypothèses!$V$9,Hypothèses!$X$9,IF(B327&lt;=Hypothèses!$V$10,Hypothèses!$X$10,IF(B327&lt;=Hypothèses!$V$11,Hypothèses!$X$11,IF(B327&lt;=Hypothèses!$V$12,Hypothèses!$X$12,IF(B327&lt;=Hypothèses!$V$13,Hypothèses!$X$13,IF(B327&lt;=Hypothèses!$V$14,Hypothèses!$X$14,IF(B327&lt;=Hypothèses!$V$15,Hypothèses!$X$15,IF(B327&lt;=Hypothèses!$V$16,Hypothèses!$X$16,IF(B327&lt;=Hypothèses!$U$17,Hypothèses!$W$17,IF(B327&lt;=Hypothèses!$U$18,Hypothèses!$W$18,""))))))))))))</f>
        <v/>
      </c>
      <c r="Y327" s="95" t="e">
        <f t="shared" ca="1" si="436"/>
        <v>#DIV/0!</v>
      </c>
      <c r="Z327" s="101">
        <f t="shared" si="437"/>
        <v>0</v>
      </c>
      <c r="AA327" s="91">
        <f t="shared" si="438"/>
        <v>0</v>
      </c>
      <c r="AB327" s="30" t="e">
        <f t="shared" si="500"/>
        <v>#N/A</v>
      </c>
      <c r="AC327" s="30" t="e">
        <f t="shared" si="501"/>
        <v>#N/A</v>
      </c>
      <c r="AD327" s="31" t="e">
        <f>IF(OR(Hypothèses!$B$4=17,Hypothèses!$B$4=18,Hypothèses!$B$4=19,Hypothèses!$B$4=20),
IF($D327="Pressio.",
IF(OR($E327=3,$E327=1,$E327=4),AC327,AB327),
IF($D327="Pénétro.",
IF(OR($E327=3,$E327=1,$E327=4),AC327,AB327))),IF($D327="Pressio.",
IF($E327=3,AC327,AB327),
IF($D327="Pénétro.",
IF($E327=4,AC327,AB327))))</f>
        <v>#N/A</v>
      </c>
      <c r="AE327" s="31">
        <v>0</v>
      </c>
      <c r="AF327" s="102" t="e">
        <f>IF(NDC!$H$10="Oui",(VLOOKUP($B$3,'Coeff EC7'!$T$39:$X$59,2,0)*AD327+VLOOKUP($B$3,'Coeff EC7'!$T$65:$X$85,2,0)*Model0.1T!AE327)/1.5,PI()*AB$12*$Q327*($B327-$B326)*0.15/10+AF326)</f>
        <v>#N/A</v>
      </c>
      <c r="AG327" s="102" t="e">
        <f>(VLOOKUP($B$3,'Coeff EC7'!$T$39:$X$59,3,0)*AD327+VLOOKUP($B$3,'Coeff EC7'!$T$65:$X$85,3,0)*Model0.1T!AE327)/1.1</f>
        <v>#N/A</v>
      </c>
      <c r="AH327" s="102" t="e">
        <f t="shared" si="468"/>
        <v>#N/A</v>
      </c>
      <c r="AI327" s="102" t="e">
        <f t="shared" si="469"/>
        <v>#N/A</v>
      </c>
      <c r="AJ327" s="414" t="e">
        <f>IF(AND(AF327&gt;NDC!$C$63,AG327&gt;NDC!$C$65,AH327&gt;NDC!$D$73,AI327&gt;NDC!$D$74,$B327&gt;NDC!$H$22-0.1+MIN(3*$AJ$12,1.5)),0,1)</f>
        <v>#N/A</v>
      </c>
      <c r="AK327" s="86" t="b">
        <f t="shared" si="439"/>
        <v>0</v>
      </c>
      <c r="AL327" s="86">
        <f t="shared" si="470"/>
        <v>0.5</v>
      </c>
      <c r="AM327" s="86">
        <f t="shared" si="440"/>
        <v>0.5</v>
      </c>
      <c r="AN327" s="30" t="e">
        <f t="shared" ca="1" si="471"/>
        <v>#DIV/0!</v>
      </c>
      <c r="AO327" s="85" t="e">
        <f ca="1">IF(U327&lt;=Hypothèses!$V$7,Hypothèses!$W$7,IF(U327&lt;=Hypothèses!$V$8,Hypothèses!$W$8,IF(U327&lt;=Hypothèses!$V$9,Hypothèses!$W$9,IF(U327&lt;=Hypothèses!$V$10,Hypothèses!$W$10,IF(U327&lt;=Hypothèses!$V$11,Hypothèses!$W$11,IF(U327&lt;=Hypothèses!$V$12,Hypothèses!$W$12,IF(U327&lt;=Hypothèses!$V$13,Hypothèses!$W$13,IF(U327&lt;=Hypothèses!$V$14,Hypothèses!$W$14,IF(U327&lt;=Hypothèses!$V$15,Hypothèses!$W$15,IF(U327&lt;=Hypothèses!$V$16,Hypothèses!$W$16,IF(U327&lt;=Hypothèses!$V$17,Hypothèses!$W$17,IF(U327&lt;=Hypothèses!$V$18,Hypothèses!$W$18,""))))))))))))</f>
        <v>#DIV/0!</v>
      </c>
      <c r="AP327" s="87" t="e">
        <f t="shared" ca="1" si="517"/>
        <v>#DIV/0!</v>
      </c>
      <c r="AQ327" s="88" t="e">
        <f ca="1">IF(U327&lt;=Hypothèses!$V$7,Hypothèses!$X$7,IF(U327&lt;=Hypothèses!$V$8,Hypothèses!$X$8,IF(U327&lt;=Hypothèses!$V$9,Hypothèses!$X$9,IF(U327&lt;=Hypothèses!$V$10,Hypothèses!$X$10,IF(U327&lt;=Hypothèses!$V$11,Hypothèses!$X$11,IF(U327&lt;=Hypothèses!$V$12,Hypothèses!$X$12,IF(U327&lt;=Hypothèses!$V$13,Hypothèses!$X$13,IF(U327&lt;=Hypothèses!$V$14,Hypothèses!$X$14,IF(U327&lt;=Hypothèses!$V$15,Hypothèses!$X$15,IF(U327&lt;=Hypothèses!$V$16,Hypothèses!$X$16,IF(U327&lt;=Hypothèses!$U$17,Hypothèses!$W$17,IF(U327&lt;=Hypothèses!$U$18,Hypothèses!$W$18,""))))))))))))</f>
        <v>#DIV/0!</v>
      </c>
      <c r="AR327" s="95" t="e">
        <f t="shared" ca="1" si="472"/>
        <v>#DIV/0!</v>
      </c>
      <c r="AS327" s="101">
        <f t="shared" si="524"/>
        <v>0</v>
      </c>
      <c r="AT327" s="91">
        <f t="shared" si="441"/>
        <v>0</v>
      </c>
      <c r="AU327" s="30" t="e">
        <f t="shared" si="502"/>
        <v>#N/A</v>
      </c>
      <c r="AV327" s="30" t="e">
        <f t="shared" si="503"/>
        <v>#N/A</v>
      </c>
      <c r="AW327" s="31" t="e">
        <f>IF(OR(Hypothèses!$B$4=17,Hypothèses!$B$4=18,Hypothèses!$B$4=19,Hypothèses!$B$4=20),
IF($D327="Pressio.",
IF(OR($E327=3,$E327=1,$E327=4),AV327,AU327),
IF($D327="Pénétro.",
IF(OR($E327=3,$E327=1,$E327=4),AV327,AU327))),IF($D327="Pressio.",
IF($E327=3,AV327,AU327),
IF($D327="Pénétro.",
IF($E327=4,AV327,AU327))))</f>
        <v>#N/A</v>
      </c>
      <c r="AX327" s="31">
        <v>0</v>
      </c>
      <c r="AY327" s="102" t="e">
        <f>IF(NDC!$H$10="Oui",(VLOOKUP($B$3,'Coeff EC7'!$T$39:$X$59,2,0)*AW327+VLOOKUP($B$3,'Coeff EC7'!$T$65:$X$85,2,0)*Model0.1T!AX327)/1.5,PI()*AU$12*$Q327*($B327-$B326)*0.15/10+AY326)</f>
        <v>#N/A</v>
      </c>
      <c r="AZ327" s="102" t="e">
        <f>(VLOOKUP($B$3,'Coeff EC7'!$T$39:$X$59,3,0)*AW327+VLOOKUP($B$3,'Coeff EC7'!$T$65:$X$85,3,0)*Model0.1T!AX327)/1.1</f>
        <v>#N/A</v>
      </c>
      <c r="BA327" s="102" t="e">
        <f t="shared" si="473"/>
        <v>#N/A</v>
      </c>
      <c r="BB327" s="102" t="e">
        <f t="shared" si="474"/>
        <v>#N/A</v>
      </c>
      <c r="BC327" s="414" t="e">
        <f>IF(AND(AY327&gt;NDC!$C$63,AZ327&gt;NDC!$C$65,BA327&gt;NDC!$D$73,BB327&gt;NDC!$D$74,$B327&gt;NDC!$H$22-0.1+MIN(3*BC$12,1.5)),0,1)</f>
        <v>#N/A</v>
      </c>
      <c r="BD327" s="86" t="b">
        <f t="shared" si="442"/>
        <v>0</v>
      </c>
      <c r="BE327" s="86">
        <f t="shared" si="475"/>
        <v>0.5</v>
      </c>
      <c r="BF327" s="86">
        <f t="shared" si="443"/>
        <v>0.5</v>
      </c>
      <c r="BG327" s="30" t="e">
        <f t="shared" ca="1" si="476"/>
        <v>#DIV/0!</v>
      </c>
      <c r="BH327" s="85" t="e">
        <f ca="1">IF(AN327&lt;=Hypothèses!$V$7,Hypothèses!$W$7,IF(AN327&lt;=Hypothèses!$V$8,Hypothèses!$W$8,IF(AN327&lt;=Hypothèses!$V$9,Hypothèses!$W$9,IF(AN327&lt;=Hypothèses!$V$10,Hypothèses!$W$10,IF(AN327&lt;=Hypothèses!$V$11,Hypothèses!$W$11,IF(AN327&lt;=Hypothèses!$V$12,Hypothèses!$W$12,IF(AN327&lt;=Hypothèses!$V$13,Hypothèses!$W$13,IF(AN327&lt;=Hypothèses!$V$14,Hypothèses!$W$14,IF(AN327&lt;=Hypothèses!$V$15,Hypothèses!$W$15,IF(AN327&lt;=Hypothèses!$V$16,Hypothèses!$W$16,IF(AN327&lt;=Hypothèses!$V$17,Hypothèses!$W$17,IF(AN327&lt;=Hypothèses!$V$18,Hypothèses!$W$18,""))))))))))))</f>
        <v>#DIV/0!</v>
      </c>
      <c r="BI327" s="87" t="e">
        <f t="shared" ca="1" si="518"/>
        <v>#DIV/0!</v>
      </c>
      <c r="BJ327" s="88" t="e">
        <f ca="1">IF(AN327&lt;=Hypothèses!$V$7,Hypothèses!$X$7,IF(AN327&lt;=Hypothèses!$V$8,Hypothèses!$X$8,IF(AN327&lt;=Hypothèses!$V$9,Hypothèses!$X$9,IF(AN327&lt;=Hypothèses!$V$10,Hypothèses!$X$10,IF(AN327&lt;=Hypothèses!$V$11,Hypothèses!$X$11,IF(AN327&lt;=Hypothèses!$V$12,Hypothèses!$X$12,IF(AN327&lt;=Hypothèses!$V$13,Hypothèses!$X$13,IF(AN327&lt;=Hypothèses!$V$14,Hypothèses!$X$14,IF(AN327&lt;=Hypothèses!$V$15,Hypothèses!$X$15,IF(AN327&lt;=Hypothèses!$V$16,Hypothèses!$X$16,IF(AN327&lt;=Hypothèses!$U$17,Hypothèses!$W$17,IF(AN327&lt;=Hypothèses!$U$18,Hypothèses!$W$18,""))))))))))))</f>
        <v>#DIV/0!</v>
      </c>
      <c r="BK327" s="95" t="e">
        <f t="shared" ca="1" si="477"/>
        <v>#DIV/0!</v>
      </c>
      <c r="BL327" s="101">
        <f t="shared" si="525"/>
        <v>0</v>
      </c>
      <c r="BM327" s="91">
        <f t="shared" si="444"/>
        <v>0</v>
      </c>
      <c r="BN327" s="30" t="e">
        <f t="shared" si="504"/>
        <v>#N/A</v>
      </c>
      <c r="BO327" s="30" t="e">
        <f t="shared" si="505"/>
        <v>#N/A</v>
      </c>
      <c r="BP327" s="31" t="e">
        <f>IF(OR(Hypothèses!$B$4=17,Hypothèses!$B$4=18,Hypothèses!$B$4=19,Hypothèses!$B$4=20),
IF($D327="Pressio.",
IF(OR($E327=3,$E327=1,$E327=4),BO327,BN327),
IF($D327="Pénétro.",
IF(OR($E327=3,$E327=1,$E327=4),BO327,BN327))),IF($D327="Pressio.",
IF($E327=3,BO327,BN327),
IF($D327="Pénétro.",
IF($E327=4,BO327,BN327))))</f>
        <v>#N/A</v>
      </c>
      <c r="BQ327" s="31">
        <v>0</v>
      </c>
      <c r="BR327" s="102" t="e">
        <f>IF(NDC!$H$10="Oui",(VLOOKUP($B$3,'Coeff EC7'!$T$39:$X$59,2,0)*BP327+VLOOKUP($B$3,'Coeff EC7'!$T$65:$X$85,2,0)*Model0.1T!BQ327)/1.5,PI()*BN$12*$Q327*($B327-$B326)*0.15/10+BR326)</f>
        <v>#N/A</v>
      </c>
      <c r="BS327" s="102" t="e">
        <f>(VLOOKUP($B$3,'Coeff EC7'!$T$39:$X$59,3,0)*BP327+VLOOKUP($B$3,'Coeff EC7'!$T$65:$X$85,3,0)*Model0.1T!BQ327)/1.1</f>
        <v>#N/A</v>
      </c>
      <c r="BT327" s="102" t="e">
        <f t="shared" si="478"/>
        <v>#N/A</v>
      </c>
      <c r="BU327" s="102" t="e">
        <f t="shared" si="479"/>
        <v>#N/A</v>
      </c>
      <c r="BV327" s="414" t="e">
        <f>IF(AND(BR327&gt;NDC!$C$63,BS327&gt;NDC!$C$65,BT327&gt;NDC!$D$73,BU327&gt;NDC!$D$74,$B327&gt;NDC!$H$22-0.1+MIN(3*BV$12,1.5)),0,1)</f>
        <v>#N/A</v>
      </c>
      <c r="BW327" s="86" t="b">
        <f t="shared" si="445"/>
        <v>0</v>
      </c>
      <c r="BX327" s="86">
        <f t="shared" si="446"/>
        <v>0.5</v>
      </c>
      <c r="BY327" s="86">
        <f t="shared" si="447"/>
        <v>0.5</v>
      </c>
      <c r="BZ327" s="30" t="e">
        <f t="shared" ca="1" si="480"/>
        <v>#DIV/0!</v>
      </c>
      <c r="CA327" s="85" t="e">
        <f ca="1">IF(BG327&lt;=Hypothèses!$V$7,Hypothèses!$W$7,IF(BG327&lt;=Hypothèses!$V$8,Hypothèses!$W$8,IF(BG327&lt;=Hypothèses!$V$9,Hypothèses!$W$9,IF(BG327&lt;=Hypothèses!$V$10,Hypothèses!$W$10,IF(BG327&lt;=Hypothèses!$V$11,Hypothèses!$W$11,IF(BG327&lt;=Hypothèses!$V$12,Hypothèses!$W$12,IF(BG327&lt;=Hypothèses!$V$13,Hypothèses!$W$13,IF(BG327&lt;=Hypothèses!$V$14,Hypothèses!$W$14,IF(BG327&lt;=Hypothèses!$V$15,Hypothèses!$W$15,IF(BG327&lt;=Hypothèses!$V$16,Hypothèses!$W$16,IF(BG327&lt;=Hypothèses!$V$17,Hypothèses!$W$17,IF(BG327&lt;=Hypothèses!$V$18,Hypothèses!$W$18,""))))))))))))</f>
        <v>#DIV/0!</v>
      </c>
      <c r="CB327" s="87" t="e">
        <f t="shared" ca="1" si="519"/>
        <v>#DIV/0!</v>
      </c>
      <c r="CC327" s="88" t="e">
        <f ca="1">IF(BG327&lt;=Hypothèses!$V$7,Hypothèses!$X$7,IF(BG327&lt;=Hypothèses!$V$8,Hypothèses!$X$8,IF(BG327&lt;=Hypothèses!$V$9,Hypothèses!$X$9,IF(BG327&lt;=Hypothèses!$V$10,Hypothèses!$X$10,IF(BG327&lt;=Hypothèses!$V$11,Hypothèses!$X$11,IF(BG327&lt;=Hypothèses!$V$12,Hypothèses!$X$12,IF(BG327&lt;=Hypothèses!$V$13,Hypothèses!$X$13,IF(BG327&lt;=Hypothèses!$V$14,Hypothèses!$X$14,IF(BG327&lt;=Hypothèses!$V$15,Hypothèses!$X$15,IF(BG327&lt;=Hypothèses!$V$16,Hypothèses!$X$16,IF(BG327&lt;=Hypothèses!$U$17,Hypothèses!$W$17,IF(BG327&lt;=Hypothèses!$U$18,Hypothèses!$W$18,""))))))))))))</f>
        <v>#DIV/0!</v>
      </c>
      <c r="CD327" s="95" t="e">
        <f t="shared" ca="1" si="481"/>
        <v>#DIV/0!</v>
      </c>
      <c r="CE327" s="101">
        <f t="shared" si="526"/>
        <v>0</v>
      </c>
      <c r="CF327" s="91">
        <f t="shared" si="448"/>
        <v>0</v>
      </c>
      <c r="CG327" s="30" t="e">
        <f t="shared" si="506"/>
        <v>#N/A</v>
      </c>
      <c r="CH327" s="30" t="e">
        <f t="shared" si="507"/>
        <v>#N/A</v>
      </c>
      <c r="CI327" s="31" t="e">
        <f>IF(OR(Hypothèses!$B$4=17,Hypothèses!$B$4=18,Hypothèses!$B$4=19,Hypothèses!$B$4=20),
IF($D327="Pressio.",
IF(OR($E327=3,$E327=1,$E327=4),CH327,CG327),
IF($D327="Pénétro.",
IF(OR($E327=3,$E327=1,$E327=4),CH327,CG327))),IF($D327="Pressio.",
IF($E327=3,CH327,CG327),
IF($D327="Pénétro.",
IF($E327=4,CH327,CG327))))</f>
        <v>#N/A</v>
      </c>
      <c r="CJ327" s="31">
        <v>0</v>
      </c>
      <c r="CK327" s="102" t="e">
        <f>IF(NDC!$H$10="Oui",(VLOOKUP($B$3,'Coeff EC7'!$T$39:$X$59,2,0)*CI327+VLOOKUP($B$3,'Coeff EC7'!$T$65:$X$85,2,0)*Model0.1T!CJ327)/1.5,PI()*CG$12*$Q327*($B327-$B326)*0.15/10+CK326)</f>
        <v>#N/A</v>
      </c>
      <c r="CL327" s="102" t="e">
        <f>(VLOOKUP($B$3,'Coeff EC7'!$T$39:$X$59,3,0)*CI327+VLOOKUP($B$3,'Coeff EC7'!$T$65:$X$85,3,0)*Model0.1T!CJ327)/1.1</f>
        <v>#N/A</v>
      </c>
      <c r="CM327" s="102" t="e">
        <f t="shared" si="482"/>
        <v>#N/A</v>
      </c>
      <c r="CN327" s="102" t="e">
        <f t="shared" si="483"/>
        <v>#N/A</v>
      </c>
      <c r="CO327" s="414" t="e">
        <f>IF(AND(CK327&gt;NDC!$C$63,CL327&gt;NDC!$C$65,CM327&gt;NDC!$D$73,CN327&gt;NDC!$D$74,$B327&gt;NDC!$H$22-0.1+MIN(3*CO$12,1.5)),0,1)</f>
        <v>#N/A</v>
      </c>
      <c r="CP327" s="86" t="b">
        <f t="shared" si="449"/>
        <v>0</v>
      </c>
      <c r="CQ327" s="86">
        <f t="shared" si="450"/>
        <v>0.5</v>
      </c>
      <c r="CR327" s="86">
        <f t="shared" si="451"/>
        <v>0.5</v>
      </c>
      <c r="CS327" s="30" t="e">
        <f t="shared" ca="1" si="484"/>
        <v>#DIV/0!</v>
      </c>
      <c r="CT327" s="85" t="e">
        <f ca="1">IF(BZ327&lt;=Hypothèses!$V$7,Hypothèses!$W$7,IF(BZ327&lt;=Hypothèses!$V$8,Hypothèses!$W$8,IF(BZ327&lt;=Hypothèses!$V$9,Hypothèses!$W$9,IF(BZ327&lt;=Hypothèses!$V$10,Hypothèses!$W$10,IF(BZ327&lt;=Hypothèses!$V$11,Hypothèses!$W$11,IF(BZ327&lt;=Hypothèses!$V$12,Hypothèses!$W$12,IF(BZ327&lt;=Hypothèses!$V$13,Hypothèses!$W$13,IF(BZ327&lt;=Hypothèses!$V$14,Hypothèses!$W$14,IF(BZ327&lt;=Hypothèses!$V$15,Hypothèses!$W$15,IF(BZ327&lt;=Hypothèses!$V$16,Hypothèses!$W$16,IF(BZ327&lt;=Hypothèses!$V$17,Hypothèses!$W$17,IF(BZ327&lt;=Hypothèses!$V$18,Hypothèses!$W$18,""))))))))))))</f>
        <v>#DIV/0!</v>
      </c>
      <c r="CU327" s="87" t="e">
        <f t="shared" ca="1" si="520"/>
        <v>#DIV/0!</v>
      </c>
      <c r="CV327" s="88" t="e">
        <f ca="1">IF(BZ327&lt;=Hypothèses!$V$7,Hypothèses!$X$7,IF(BZ327&lt;=Hypothèses!$V$8,Hypothèses!$X$8,IF(BZ327&lt;=Hypothèses!$V$9,Hypothèses!$X$9,IF(BZ327&lt;=Hypothèses!$V$10,Hypothèses!$X$10,IF(BZ327&lt;=Hypothèses!$V$11,Hypothèses!$X$11,IF(BZ327&lt;=Hypothèses!$V$12,Hypothèses!$X$12,IF(BZ327&lt;=Hypothèses!$V$13,Hypothèses!$X$13,IF(BZ327&lt;=Hypothèses!$V$14,Hypothèses!$X$14,IF(BZ327&lt;=Hypothèses!$V$15,Hypothèses!$X$15,IF(BZ327&lt;=Hypothèses!$V$16,Hypothèses!$X$16,IF(BZ327&lt;=Hypothèses!$U$17,Hypothèses!$W$17,IF(BZ327&lt;=Hypothèses!$U$18,Hypothèses!$W$18,""))))))))))))</f>
        <v>#DIV/0!</v>
      </c>
      <c r="CW327" s="95" t="e">
        <f t="shared" ca="1" si="485"/>
        <v>#DIV/0!</v>
      </c>
      <c r="CX327" s="101">
        <f t="shared" si="527"/>
        <v>0</v>
      </c>
      <c r="CY327" s="91">
        <f t="shared" si="452"/>
        <v>0</v>
      </c>
      <c r="CZ327" s="30" t="e">
        <f t="shared" si="508"/>
        <v>#N/A</v>
      </c>
      <c r="DA327" s="30" t="e">
        <f t="shared" si="509"/>
        <v>#N/A</v>
      </c>
      <c r="DB327" s="31" t="e">
        <f>IF(OR(Hypothèses!$B$4=17,Hypothèses!$B$4=18,Hypothèses!$B$4=19,Hypothèses!$B$4=20),
IF($D327="Pressio.",
IF(OR($E327=3,$E327=1,$E327=4),DA327,CZ327),
IF($D327="Pénétro.",
IF(OR($E327=3,$E327=1,$E327=4),DA327,CZ327))),IF($D327="Pressio.",
IF($E327=3,DA327,CZ327),
IF($D327="Pénétro.",
IF($E327=4,DA327,CZ327))))</f>
        <v>#N/A</v>
      </c>
      <c r="DC327" s="31">
        <v>0</v>
      </c>
      <c r="DD327" s="102" t="e">
        <f>IF(NDC!$H$10="Oui",(VLOOKUP($B$3,'Coeff EC7'!$T$39:$X$59,2,0)*DB327+VLOOKUP($B$3,'Coeff EC7'!$T$65:$X$85,2,0)*Model0.1T!DC327)/1.5,PI()*CZ$12*$Q327*($B327-$B326)*0.15/10+DD326)</f>
        <v>#N/A</v>
      </c>
      <c r="DE327" s="102" t="e">
        <f>(VLOOKUP($B$3,'Coeff EC7'!$T$39:$X$59,3,0)*DB327+VLOOKUP($B$3,'Coeff EC7'!$T$65:$X$85,3,0)*Model0.1T!DC327)/1.1</f>
        <v>#N/A</v>
      </c>
      <c r="DF327" s="102" t="e">
        <f t="shared" si="486"/>
        <v>#N/A</v>
      </c>
      <c r="DG327" s="102" t="e">
        <f t="shared" si="487"/>
        <v>#N/A</v>
      </c>
      <c r="DH327" s="414" t="e">
        <f>IF(AND(DD327&gt;NDC!$C$63,DE327&gt;NDC!$C$65,DF327&gt;NDC!$D$73,DG327&gt;NDC!$D$74,$B327&gt;NDC!$H$22-0.1+MIN(3*DH$12,1.5)),0,1)</f>
        <v>#N/A</v>
      </c>
      <c r="DI327" s="86" t="b">
        <f t="shared" si="453"/>
        <v>0</v>
      </c>
      <c r="DJ327" s="86">
        <f t="shared" si="454"/>
        <v>0.5</v>
      </c>
      <c r="DK327" s="86">
        <f t="shared" si="455"/>
        <v>0.5</v>
      </c>
      <c r="DL327" s="30" t="e">
        <f t="shared" ca="1" si="488"/>
        <v>#DIV/0!</v>
      </c>
      <c r="DM327" s="85" t="e">
        <f ca="1">IF(CS327&lt;=Hypothèses!$V$7,Hypothèses!$W$7,IF(CS327&lt;=Hypothèses!$V$8,Hypothèses!$W$8,IF(CS327&lt;=Hypothèses!$V$9,Hypothèses!$W$9,IF(CS327&lt;=Hypothèses!$V$10,Hypothèses!$W$10,IF(CS327&lt;=Hypothèses!$V$11,Hypothèses!$W$11,IF(CS327&lt;=Hypothèses!$V$12,Hypothèses!$W$12,IF(CS327&lt;=Hypothèses!$V$13,Hypothèses!$W$13,IF(CS327&lt;=Hypothèses!$V$14,Hypothèses!$W$14,IF(CS327&lt;=Hypothèses!$V$15,Hypothèses!$W$15,IF(CS327&lt;=Hypothèses!$V$16,Hypothèses!$W$16,IF(CS327&lt;=Hypothèses!$V$17,Hypothèses!$W$17,IF(CS327&lt;=Hypothèses!$V$18,Hypothèses!$W$18,""))))))))))))</f>
        <v>#DIV/0!</v>
      </c>
      <c r="DN327" s="87" t="e">
        <f t="shared" ca="1" si="521"/>
        <v>#DIV/0!</v>
      </c>
      <c r="DO327" s="88" t="e">
        <f ca="1">IF(CS327&lt;=Hypothèses!$V$7,Hypothèses!$X$7,IF(CS327&lt;=Hypothèses!$V$8,Hypothèses!$X$8,IF(CS327&lt;=Hypothèses!$V$9,Hypothèses!$X$9,IF(CS327&lt;=Hypothèses!$V$10,Hypothèses!$X$10,IF(CS327&lt;=Hypothèses!$V$11,Hypothèses!$X$11,IF(CS327&lt;=Hypothèses!$V$12,Hypothèses!$X$12,IF(CS327&lt;=Hypothèses!$V$13,Hypothèses!$X$13,IF(CS327&lt;=Hypothèses!$V$14,Hypothèses!$X$14,IF(CS327&lt;=Hypothèses!$V$15,Hypothèses!$X$15,IF(CS327&lt;=Hypothèses!$V$16,Hypothèses!$X$16,IF(CS327&lt;=Hypothèses!$U$17,Hypothèses!$W$17,IF(CS327&lt;=Hypothèses!$U$18,Hypothèses!$W$18,""))))))))))))</f>
        <v>#DIV/0!</v>
      </c>
      <c r="DP327" s="95" t="e">
        <f t="shared" ca="1" si="489"/>
        <v>#DIV/0!</v>
      </c>
      <c r="DQ327" s="101">
        <f t="shared" si="528"/>
        <v>0</v>
      </c>
      <c r="DR327" s="91">
        <f t="shared" si="456"/>
        <v>0</v>
      </c>
      <c r="DS327" s="30" t="e">
        <f t="shared" si="510"/>
        <v>#N/A</v>
      </c>
      <c r="DT327" s="30" t="e">
        <f t="shared" si="511"/>
        <v>#N/A</v>
      </c>
      <c r="DU327" s="31" t="e">
        <f>IF(OR(Hypothèses!$B$4=17,Hypothèses!$B$4=18,Hypothèses!$B$4=19,Hypothèses!$B$4=20),
IF($D327="Pressio.",
IF(OR($E327=3,$E327=1,$E327=4),DT327,DS327),
IF($D327="Pénétro.",
IF(OR($E327=3,$E327=1,$E327=4),DT327,DS327))),IF($D327="Pressio.",
IF($E327=3,DT327,DS327),
IF($D327="Pénétro.",
IF($E327=4,DT327,DS327))))</f>
        <v>#N/A</v>
      </c>
      <c r="DV327" s="31">
        <v>0</v>
      </c>
      <c r="DW327" s="102" t="e">
        <f>IF(NDC!$H$10="Oui",(VLOOKUP($B$3,'Coeff EC7'!$T$39:$X$59,2,0)*DU327+VLOOKUP($B$3,'Coeff EC7'!$T$65:$X$85,2,0)*Model0.1T!DV327)/1.5,PI()*DS$12*$Q327*($B327-$B326)*0.15/10+DW326)</f>
        <v>#N/A</v>
      </c>
      <c r="DX327" s="102" t="e">
        <f>(VLOOKUP($B$3,'Coeff EC7'!$T$39:$X$59,3,0)*DU327+VLOOKUP($B$3,'Coeff EC7'!$T$65:$X$85,3,0)*Model0.1T!DV327)/1.1</f>
        <v>#N/A</v>
      </c>
      <c r="DY327" s="102" t="e">
        <f t="shared" si="490"/>
        <v>#N/A</v>
      </c>
      <c r="DZ327" s="102" t="e">
        <f t="shared" si="491"/>
        <v>#N/A</v>
      </c>
      <c r="EA327" s="414" t="e">
        <f>IF(AND(DW327&gt;NDC!$C$63,DX327&gt;NDC!$C$65,DY327&gt;NDC!$D$73,DZ327&gt;NDC!$D$74,$B327&gt;NDC!$H$22-0.1+MIN(3*EA$12,1.5)),0,1)</f>
        <v>#N/A</v>
      </c>
      <c r="EB327" s="86" t="b">
        <f t="shared" si="457"/>
        <v>0</v>
      </c>
      <c r="EC327" s="418">
        <f t="shared" si="458"/>
        <v>0.51</v>
      </c>
      <c r="ED327" s="86">
        <f t="shared" si="459"/>
        <v>0.51</v>
      </c>
      <c r="EE327" s="30" t="e">
        <f t="shared" ca="1" si="492"/>
        <v>#DIV/0!</v>
      </c>
      <c r="EF327" s="85" t="e">
        <f ca="1">IF(DL327&lt;=Hypothèses!$V$7,Hypothèses!$W$7,IF(DL327&lt;=Hypothèses!$V$8,Hypothèses!$W$8,IF(DL327&lt;=Hypothèses!$V$9,Hypothèses!$W$9,IF(DL327&lt;=Hypothèses!$V$10,Hypothèses!$W$10,IF(DL327&lt;=Hypothèses!$V$11,Hypothèses!$W$11,IF(DL327&lt;=Hypothèses!$V$12,Hypothèses!$W$12,IF(DL327&lt;=Hypothèses!$V$13,Hypothèses!$W$13,IF(DL327&lt;=Hypothèses!$V$14,Hypothèses!$W$14,IF(DL327&lt;=Hypothèses!$V$15,Hypothèses!$W$15,IF(DL327&lt;=Hypothèses!$V$16,Hypothèses!$W$16,IF(DL327&lt;=Hypothèses!$V$17,Hypothèses!$W$17,IF(DL327&lt;=Hypothèses!$V$18,Hypothèses!$W$18,""))))))))))))</f>
        <v>#DIV/0!</v>
      </c>
      <c r="EG327" s="87" t="e">
        <f t="shared" ca="1" si="522"/>
        <v>#DIV/0!</v>
      </c>
      <c r="EH327" s="88" t="e">
        <f ca="1">IF(DL327&lt;=Hypothèses!$V$7,Hypothèses!$X$7,IF(DL327&lt;=Hypothèses!$V$8,Hypothèses!$X$8,IF(DL327&lt;=Hypothèses!$V$9,Hypothèses!$X$9,IF(DL327&lt;=Hypothèses!$V$10,Hypothèses!$X$10,IF(DL327&lt;=Hypothèses!$V$11,Hypothèses!$X$11,IF(DL327&lt;=Hypothèses!$V$12,Hypothèses!$X$12,IF(DL327&lt;=Hypothèses!$V$13,Hypothèses!$X$13,IF(DL327&lt;=Hypothèses!$V$14,Hypothèses!$X$14,IF(DL327&lt;=Hypothèses!$V$15,Hypothèses!$X$15,IF(DL327&lt;=Hypothèses!$V$16,Hypothèses!$X$16,IF(DL327&lt;=Hypothèses!$U$17,Hypothèses!$W$17,IF(DL327&lt;=Hypothèses!$U$18,Hypothèses!$W$18,""))))))))))))</f>
        <v>#DIV/0!</v>
      </c>
      <c r="EI327" s="95" t="e">
        <f t="shared" ca="1" si="493"/>
        <v>#DIV/0!</v>
      </c>
      <c r="EJ327" s="101">
        <f t="shared" si="529"/>
        <v>0</v>
      </c>
      <c r="EK327" s="91">
        <f t="shared" si="460"/>
        <v>0</v>
      </c>
      <c r="EL327" s="30" t="e">
        <f t="shared" si="512"/>
        <v>#N/A</v>
      </c>
      <c r="EM327" s="30" t="e">
        <f t="shared" si="513"/>
        <v>#N/A</v>
      </c>
      <c r="EN327" s="31" t="e">
        <f>IF(OR(Hypothèses!$B$4=17,Hypothèses!$B$4=18,Hypothèses!$B$4=19,Hypothèses!$B$4=20),
IF($D327="Pressio.",
IF(OR($E327=3,$E327=1,$E327=4),EM327,EL327),
IF($D327="Pénétro.",
IF(OR($E327=3,$E327=1,$E327=4),EM327,EL327))),IF($D327="Pressio.",
IF($E327=3,EM327,EL327),
IF($D327="Pénétro.",
IF($E327=4,EM327,EL327))))</f>
        <v>#N/A</v>
      </c>
      <c r="EO327" s="31">
        <v>0</v>
      </c>
      <c r="EP327" s="102" t="e">
        <f>IF(NDC!$H$10="Oui",(VLOOKUP($B$3,'Coeff EC7'!$T$39:$X$59,2,0)*EN327+VLOOKUP($B$3,'Coeff EC7'!$T$65:$X$85,2,0)*Model0.1T!EO327)/1.5,PI()*EL$12*$Q327*($B327-$B326)*0.15/10+EP326)</f>
        <v>#N/A</v>
      </c>
      <c r="EQ327" s="102" t="e">
        <f>(VLOOKUP($B$3,'Coeff EC7'!$T$39:$X$59,3,0)*EN327+VLOOKUP($B$3,'Coeff EC7'!$T$65:$X$85,3,0)*Model0.1T!EO327)/1.1</f>
        <v>#N/A</v>
      </c>
      <c r="ER327" s="102" t="e">
        <f t="shared" si="494"/>
        <v>#N/A</v>
      </c>
      <c r="ES327" s="102" t="e">
        <f t="shared" si="495"/>
        <v>#N/A</v>
      </c>
      <c r="ET327" s="414" t="e">
        <f>IF(AND(EP327&gt;NDC!$C$63,EQ327&gt;NDC!$C$65,ER327&gt;NDC!$D$73,ES327&gt;NDC!$D$74,$B327&gt;NDC!$H$22-0.1+MIN(3*ET$12,1.5)),0,1)</f>
        <v>#N/A</v>
      </c>
      <c r="EU327" s="86" t="b">
        <f t="shared" si="461"/>
        <v>0</v>
      </c>
      <c r="EV327" s="86">
        <f t="shared" si="462"/>
        <v>0.61</v>
      </c>
      <c r="EW327" s="86">
        <f t="shared" si="463"/>
        <v>0.61</v>
      </c>
      <c r="EX327" s="30" t="e">
        <f t="shared" ca="1" si="496"/>
        <v>#DIV/0!</v>
      </c>
      <c r="EY327" s="85" t="e">
        <f ca="1">IF(EE327&lt;=Hypothèses!$V$7,Hypothèses!$W$7,IF(EE327&lt;=Hypothèses!$V$8,Hypothèses!$W$8,IF(EE327&lt;=Hypothèses!$V$9,Hypothèses!$W$9,IF(EE327&lt;=Hypothèses!$V$10,Hypothèses!$W$10,IF(EE327&lt;=Hypothèses!$V$11,Hypothèses!$W$11,IF(EE327&lt;=Hypothèses!$V$12,Hypothèses!$W$12,IF(EE327&lt;=Hypothèses!$V$13,Hypothèses!$W$13,IF(EE327&lt;=Hypothèses!$V$14,Hypothèses!$W$14,IF(EE327&lt;=Hypothèses!$V$15,Hypothèses!$W$15,IF(EE327&lt;=Hypothèses!$V$16,Hypothèses!$W$16,IF(EE327&lt;=Hypothèses!$V$17,Hypothèses!$W$17,IF(EE327&lt;=Hypothèses!$V$18,Hypothèses!$W$18,""))))))))))))</f>
        <v>#DIV/0!</v>
      </c>
      <c r="EZ327" s="87" t="e">
        <f t="shared" ca="1" si="523"/>
        <v>#DIV/0!</v>
      </c>
      <c r="FA327" s="88" t="e">
        <f ca="1">IF(EE327&lt;=Hypothèses!$V$7,Hypothèses!$X$7,IF(EE327&lt;=Hypothèses!$V$8,Hypothèses!$X$8,IF(EE327&lt;=Hypothèses!$V$9,Hypothèses!$X$9,IF(EE327&lt;=Hypothèses!$V$10,Hypothèses!$X$10,IF(EE327&lt;=Hypothèses!$V$11,Hypothèses!$X$11,IF(EE327&lt;=Hypothèses!$V$12,Hypothèses!$X$12,IF(EE327&lt;=Hypothèses!$V$13,Hypothèses!$X$13,IF(EE327&lt;=Hypothèses!$V$14,Hypothèses!$X$14,IF(EE327&lt;=Hypothèses!$V$15,Hypothèses!$X$15,IF(EE327&lt;=Hypothèses!$V$16,Hypothèses!$X$16,IF(EE327&lt;=Hypothèses!$U$17,Hypothèses!$W$17,IF(EE327&lt;=Hypothèses!$U$18,Hypothèses!$W$18,""))))))))))))</f>
        <v>#DIV/0!</v>
      </c>
      <c r="FB327" s="95" t="e">
        <f t="shared" ca="1" si="497"/>
        <v>#DIV/0!</v>
      </c>
      <c r="FC327" s="101">
        <f t="shared" si="530"/>
        <v>0</v>
      </c>
      <c r="FD327" s="91">
        <f t="shared" si="464"/>
        <v>0</v>
      </c>
      <c r="FE327" s="30" t="e">
        <f t="shared" si="514"/>
        <v>#N/A</v>
      </c>
      <c r="FF327" s="30" t="e">
        <f t="shared" si="515"/>
        <v>#N/A</v>
      </c>
      <c r="FG327" s="31" t="e">
        <f>IF(OR(Hypothèses!$B$4=17,Hypothèses!$B$4=18,Hypothèses!$B$4=19,Hypothèses!$B$4=20),
IF($D327="Pressio.",
IF(OR($E327=3,$E327=1,$E327=4),FF327,FE327),
IF($D327="Pénétro.",
IF(OR($E327=3,$E327=1,$E327=4),FF327,FE327))),IF($D327="Pressio.",
IF($E327=3,FF327,FE327),
IF($D327="Pénétro.",
IF($E327=4,FF327,FE327))))</f>
        <v>#N/A</v>
      </c>
      <c r="FH327" s="31">
        <v>0</v>
      </c>
      <c r="FI327" s="102" t="e">
        <f>IF(NDC!$H$10="Oui",(VLOOKUP($B$3,'Coeff EC7'!$T$39:$X$59,2,0)*FG327+VLOOKUP($B$3,'Coeff EC7'!$T$65:$X$85,2,0)*Model0.1T!FH327)/1.5,PI()*FE$12*$Q327*($B327-$B326)*0.15/10+FI326)</f>
        <v>#N/A</v>
      </c>
      <c r="FJ327" s="102" t="e">
        <f>(VLOOKUP($B$3,'Coeff EC7'!$T$39:$X$59,3,0)*FG327+VLOOKUP($B$3,'Coeff EC7'!$T$65:$X$85,3,0)*Model0.1T!FH327)/1.1</f>
        <v>#N/A</v>
      </c>
      <c r="FK327" s="102" t="e">
        <f t="shared" si="498"/>
        <v>#N/A</v>
      </c>
      <c r="FL327" s="102" t="e">
        <f t="shared" si="499"/>
        <v>#N/A</v>
      </c>
      <c r="FM327" s="414" t="e">
        <f>IF(AND(FI327&gt;NDC!$C$63,FJ327&gt;NDC!$C$65,FK327&gt;NDC!$D$73,FL327&gt;NDC!$D$74,$B327&gt;NDC!$H$22-0.1+MIN(3*FM$12,1.5)),0,1)</f>
        <v>#N/A</v>
      </c>
    </row>
    <row r="328" spans="1:169">
      <c r="A328" s="96">
        <f t="shared" si="465"/>
        <v>68.500000000001791</v>
      </c>
      <c r="B328" s="97">
        <v>31.5</v>
      </c>
      <c r="C328" s="81">
        <f>IF(B328&lt;=Hypothèses!$C$7,Hypothèses!$A$7,IF(B328&lt;=Hypothèses!$C$8,Hypothèses!$A$8,IF(B328&lt;=Hypothèses!$C$9,Hypothèses!$A$9,IF(B328&lt;=Hypothèses!$C$10,Hypothèses!$A$10,IF(B328&lt;=Hypothèses!$C$11,Hypothèses!$A$11,IF(B328&lt;=Hypothèses!$C$12,Hypothèses!$A$12,IF(B328&lt;=Hypothèses!$C$13,Hypothèses!$A$13,IF(B328&lt;=Hypothèses!$C$14,Hypothèses!$A$14,IF(B328&lt;=Hypothèses!$C$15,Hypothèses!$A$15,IF(B328&lt;=Hypothèses!$C$16,Hypothèses!$A$16,IF(B328&lt;=Hypothèses!$C$17,Hypothèses!$A$17,IF(B328&lt;=Hypothèses!$C$18,Hypothèses!$A$18,C327))))))))))))</f>
        <v>11</v>
      </c>
      <c r="D328" s="82" t="str">
        <f>IF(B328&lt;=Hypothèses!$C$7,Hypothèses!$R$7,IF(B328&lt;=Hypothèses!$C$8,Hypothèses!$R$8,IF(B328&lt;=Hypothèses!$C$9,Hypothèses!$R$9,IF(B328&lt;=Hypothèses!$C$10,Hypothèses!$R$10,IF(B328&lt;=Hypothèses!$C$11,Hypothèses!$R$11,IF(B328&lt;=Hypothèses!$C$12,Hypothèses!$R$12,IF(B328&lt;=Hypothèses!$C$13,Hypothèses!$R$13,IF(B328&lt;=Hypothèses!$C$14,Hypothèses!$R$14,IF(B328&lt;=Hypothèses!$C$15,Hypothèses!$R$15,IF(B328&lt;=Hypothèses!$C$16,Hypothèses!$R$16,IF(B328&lt;=Hypothèses!$C$17,Hypothèses!$R$17,IF(B328&lt;=Hypothèses!$C$18,Hypothèses!$R$18,D327))))))))))))</f>
        <v>Pressio.</v>
      </c>
      <c r="E328" s="82" t="e">
        <f>IF(B328&lt;=Hypothèses!$C$7,Hypothèses!$G$7,IF(B328&lt;=Hypothèses!$C$8,Hypothèses!$G$8,IF(B328&lt;=Hypothèses!$C$9,Hypothèses!$G$9,IF(B328&lt;=Hypothèses!$C$10,Hypothèses!$G$10,IF(B328&lt;=Hypothèses!$C$11,Hypothèses!$G$11,IF(B328&lt;=Hypothèses!$C$12,Hypothèses!$G$12,IF(B328&lt;=Hypothèses!$C$13,Hypothèses!$G$13,IF(B328&lt;=Hypothèses!$C$14,Hypothèses!$G$14,IF(B328&lt;=Hypothèses!$C$15,Hypothèses!$G$15,IF(B328&lt;=Hypothèses!$C$16,Hypothèses!$G$16,IF(B328&lt;=Hypothèses!$C$17,Hypothèses!$G$17,IF(B328&lt;=Hypothèses!$C$18,Hypothèses!$G$18,E327))))))))))))</f>
        <v>#N/A</v>
      </c>
      <c r="F328" s="82" t="str">
        <f>IF(B328&lt;=Hypothèses!$C$7,Hypothèses!$F$7,IF(B328&lt;=Hypothèses!$C$8,Hypothèses!$F$8,IF(B328&lt;=Hypothèses!$C$9,Hypothèses!$F$9,IF(B328&lt;=Hypothèses!$C$10,Hypothèses!$F$10,IF(B328&lt;=Hypothèses!$C$11,Hypothèses!$F$11,IF(B328&lt;=Hypothèses!$C$12,Hypothèses!$F$12,IF(B328&lt;=Hypothèses!$C$13,Hypothèses!$F$13,IF(B328&lt;=Hypothèses!$C$14,Hypothèses!$F$14,IF(B328&lt;=Hypothèses!$C$15,Hypothèses!$F$15,IF(B328&lt;=Hypothèses!$C$16,Hypothèses!$F$16,IF(B328&lt;=Hypothèses!$C$17,Hypothèses!$F$17,IF(B328&lt;=Hypothèses!$C$18,Hypothèses!$F$18,F327))))))))))))</f>
        <v/>
      </c>
      <c r="G328" s="91">
        <f t="array" ref="G328">INDEX('Coeff EC7'!$U$7:$X$27,
MATCH(Model0.1T!$B$3,'Coeff EC7'!$T$7:$T$27,0),
MATCH(Model0.1T!$D328&amp;Model0.1T!$B$4,
'Coeff EC7'!$U$6:$X$6&amp;
'Coeff EC7'!$U$5:$X$5,0))</f>
        <v>1.4</v>
      </c>
      <c r="H328" s="91">
        <f t="array" ref="H328">INDEX('Coeff EC7'!$Y$7:$AB$27,
MATCH(Model0.1T!$B$3,'Coeff EC7'!$T$7:$T$27,0),
MATCH(Model0.1T!$D328&amp;Model0.1T!$B$4,
'Coeff EC7'!$Y$6:$AB$6&amp;
'Coeff EC7'!$Y$5:$AB$5,0))</f>
        <v>1.7</v>
      </c>
      <c r="I328" s="83">
        <v>0</v>
      </c>
      <c r="J328" s="91" t="e">
        <f t="array" ref="J328">INDEX('Coeff EC7'!$D$33:$Q$33,1,MATCH(D328&amp;E328,'Coeff EC7'!$D$31:$Q$31&amp;'Coeff EC7'!$D$32:$Q$32,0))</f>
        <v>#N/A</v>
      </c>
      <c r="K328" s="91" t="e">
        <f t="array" ref="K328">INDEX('Coeff EC7'!$D$34:$Q$34,1,MATCH(D328&amp;E328,'Coeff EC7'!$D$31:$Q$31&amp;'Coeff EC7'!$D$32:$Q$32,0))</f>
        <v>#N/A</v>
      </c>
      <c r="L328" s="91" t="e">
        <f t="array" ref="L328">INDEX('Coeff EC7'!$D$35:$Q$35,1,MATCH(D328&amp;E328,'Coeff EC7'!$D$31:$Q$31&amp;'Coeff EC7'!$D$32:$Q$32,0))</f>
        <v>#N/A</v>
      </c>
      <c r="M328" s="98" t="e">
        <f t="shared" si="431"/>
        <v>#N/A</v>
      </c>
      <c r="N328" s="99" t="e">
        <f t="array" ref="N328">INDEX('Coeff EC7'!$D$7:$Q$27,MATCH($B$3,'Coeff EC7'!$C$7:$C$27,0),MATCH(D328&amp;E328,'Coeff EC7'!$D$5:$Q$5&amp;'Coeff EC7'!$D$6:$Q$6,0))</f>
        <v>#N/A</v>
      </c>
      <c r="O328" s="99" t="e">
        <f t="array" ref="O328">INDEX('Coeff EC7'!$D$41:$Q$61,MATCH($B$3,'Coeff EC7'!$C$41:$C$61,0),MATCH(D328&amp;E328,'Coeff EC7'!$D$39:$Q$39&amp;'Coeff EC7'!$D$40:$Q$40,0))</f>
        <v>#N/A</v>
      </c>
      <c r="P328" s="30" t="e">
        <f t="shared" si="466"/>
        <v>#N/A</v>
      </c>
      <c r="Q328" s="100" t="e">
        <f t="shared" si="433"/>
        <v>#N/A</v>
      </c>
      <c r="R328" s="86" t="b">
        <f t="shared" si="434"/>
        <v>0</v>
      </c>
      <c r="S328" s="86">
        <f t="shared" si="432"/>
        <v>0.5</v>
      </c>
      <c r="T328" s="86">
        <f t="shared" si="435"/>
        <v>0.5</v>
      </c>
      <c r="U328" s="30" t="e">
        <f t="shared" ca="1" si="467"/>
        <v>#DIV/0!</v>
      </c>
      <c r="V328" s="85" t="str">
        <f>IF(B328&lt;=Hypothèses!$V$7,Hypothèses!$W$7,IF(B328&lt;=Hypothèses!$V$8,Hypothèses!$W$8,IF(B328&lt;=Hypothèses!$V$9,Hypothèses!$W$9,IF(B328&lt;=Hypothèses!$V$10,Hypothèses!$W$10,IF(B328&lt;=Hypothèses!$V$11,Hypothèses!$W$11,IF(B328&lt;=Hypothèses!$V$12,Hypothèses!$W$12,IF(B328&lt;=Hypothèses!$V$13,Hypothèses!$W$13,IF(B328&lt;=Hypothèses!$V$14,Hypothèses!$W$14,IF(B328&lt;=Hypothèses!$V$15,Hypothèses!$W$15,IF(B328&lt;=Hypothèses!$V$16,Hypothèses!$W$16,IF(B328&lt;=Hypothèses!$V$17,Hypothèses!$W$17,IF(B328&lt;=Hypothèses!$V$18,Hypothèses!$W$18,""))))))))))))</f>
        <v/>
      </c>
      <c r="W328" s="87" t="e">
        <f t="shared" ca="1" si="516"/>
        <v>#DIV/0!</v>
      </c>
      <c r="X328" s="88" t="str">
        <f>IF(B328&lt;=Hypothèses!$V$7,Hypothèses!$X$7,IF(B328&lt;=Hypothèses!$V$8,Hypothèses!$X$8,IF(B328&lt;=Hypothèses!$V$9,Hypothèses!$X$9,IF(B328&lt;=Hypothèses!$V$10,Hypothèses!$X$10,IF(B328&lt;=Hypothèses!$V$11,Hypothèses!$X$11,IF(B328&lt;=Hypothèses!$V$12,Hypothèses!$X$12,IF(B328&lt;=Hypothèses!$V$13,Hypothèses!$X$13,IF(B328&lt;=Hypothèses!$V$14,Hypothèses!$X$14,IF(B328&lt;=Hypothèses!$V$15,Hypothèses!$X$15,IF(B328&lt;=Hypothèses!$V$16,Hypothèses!$X$16,IF(B328&lt;=Hypothèses!$U$17,Hypothèses!$W$17,IF(B328&lt;=Hypothèses!$U$18,Hypothèses!$W$18,""))))))))))))</f>
        <v/>
      </c>
      <c r="Y328" s="95" t="e">
        <f t="shared" ca="1" si="436"/>
        <v>#DIV/0!</v>
      </c>
      <c r="Z328" s="101">
        <f t="shared" si="437"/>
        <v>0</v>
      </c>
      <c r="AA328" s="91">
        <f t="shared" si="438"/>
        <v>0</v>
      </c>
      <c r="AB328" s="30" t="e">
        <f t="shared" si="500"/>
        <v>#N/A</v>
      </c>
      <c r="AC328" s="30" t="e">
        <f t="shared" si="501"/>
        <v>#N/A</v>
      </c>
      <c r="AD328" s="31" t="e">
        <f>IF(OR(Hypothèses!$B$4=17,Hypothèses!$B$4=18,Hypothèses!$B$4=19,Hypothèses!$B$4=20),
IF($D328="Pressio.",
IF(OR($E328=3,$E328=1,$E328=4),AC328,AB328),
IF($D328="Pénétro.",
IF(OR($E328=3,$E328=1,$E328=4),AC328,AB328))),IF($D328="Pressio.",
IF($E328=3,AC328,AB328),
IF($D328="Pénétro.",
IF($E328=4,AC328,AB328))))</f>
        <v>#N/A</v>
      </c>
      <c r="AE328" s="31">
        <v>0</v>
      </c>
      <c r="AF328" s="102" t="e">
        <f>IF(NDC!$H$10="Oui",(VLOOKUP($B$3,'Coeff EC7'!$T$39:$X$59,2,0)*AD328+VLOOKUP($B$3,'Coeff EC7'!$T$65:$X$85,2,0)*Model0.1T!AE328)/1.5,PI()*AB$12*$Q328*($B328-$B327)*0.15/10+AF327)</f>
        <v>#N/A</v>
      </c>
      <c r="AG328" s="102" t="e">
        <f>(VLOOKUP($B$3,'Coeff EC7'!$T$39:$X$59,3,0)*AD328+VLOOKUP($B$3,'Coeff EC7'!$T$65:$X$85,3,0)*Model0.1T!AE328)/1.1</f>
        <v>#N/A</v>
      </c>
      <c r="AH328" s="102" t="e">
        <f t="shared" si="468"/>
        <v>#N/A</v>
      </c>
      <c r="AI328" s="102" t="e">
        <f t="shared" si="469"/>
        <v>#N/A</v>
      </c>
      <c r="AJ328" s="414" t="e">
        <f>IF(AND(AF328&gt;NDC!$C$63,AG328&gt;NDC!$C$65,AH328&gt;NDC!$D$73,AI328&gt;NDC!$D$74,$B328&gt;NDC!$H$22-0.1+MIN(3*$AJ$12,1.5)),0,1)</f>
        <v>#N/A</v>
      </c>
      <c r="AK328" s="86" t="b">
        <f t="shared" si="439"/>
        <v>0</v>
      </c>
      <c r="AL328" s="86">
        <f t="shared" si="470"/>
        <v>0.5</v>
      </c>
      <c r="AM328" s="86">
        <f t="shared" si="440"/>
        <v>0.5</v>
      </c>
      <c r="AN328" s="30" t="e">
        <f t="shared" ca="1" si="471"/>
        <v>#DIV/0!</v>
      </c>
      <c r="AO328" s="85" t="e">
        <f ca="1">IF(U328&lt;=Hypothèses!$V$7,Hypothèses!$W$7,IF(U328&lt;=Hypothèses!$V$8,Hypothèses!$W$8,IF(U328&lt;=Hypothèses!$V$9,Hypothèses!$W$9,IF(U328&lt;=Hypothèses!$V$10,Hypothèses!$W$10,IF(U328&lt;=Hypothèses!$V$11,Hypothèses!$W$11,IF(U328&lt;=Hypothèses!$V$12,Hypothèses!$W$12,IF(U328&lt;=Hypothèses!$V$13,Hypothèses!$W$13,IF(U328&lt;=Hypothèses!$V$14,Hypothèses!$W$14,IF(U328&lt;=Hypothèses!$V$15,Hypothèses!$W$15,IF(U328&lt;=Hypothèses!$V$16,Hypothèses!$W$16,IF(U328&lt;=Hypothèses!$V$17,Hypothèses!$W$17,IF(U328&lt;=Hypothèses!$V$18,Hypothèses!$W$18,""))))))))))))</f>
        <v>#DIV/0!</v>
      </c>
      <c r="AP328" s="87" t="e">
        <f t="shared" ca="1" si="517"/>
        <v>#DIV/0!</v>
      </c>
      <c r="AQ328" s="88" t="e">
        <f ca="1">IF(U328&lt;=Hypothèses!$V$7,Hypothèses!$X$7,IF(U328&lt;=Hypothèses!$V$8,Hypothèses!$X$8,IF(U328&lt;=Hypothèses!$V$9,Hypothèses!$X$9,IF(U328&lt;=Hypothèses!$V$10,Hypothèses!$X$10,IF(U328&lt;=Hypothèses!$V$11,Hypothèses!$X$11,IF(U328&lt;=Hypothèses!$V$12,Hypothèses!$X$12,IF(U328&lt;=Hypothèses!$V$13,Hypothèses!$X$13,IF(U328&lt;=Hypothèses!$V$14,Hypothèses!$X$14,IF(U328&lt;=Hypothèses!$V$15,Hypothèses!$X$15,IF(U328&lt;=Hypothèses!$V$16,Hypothèses!$X$16,IF(U328&lt;=Hypothèses!$U$17,Hypothèses!$W$17,IF(U328&lt;=Hypothèses!$U$18,Hypothèses!$W$18,""))))))))))))</f>
        <v>#DIV/0!</v>
      </c>
      <c r="AR328" s="95" t="e">
        <f t="shared" ca="1" si="472"/>
        <v>#DIV/0!</v>
      </c>
      <c r="AS328" s="101">
        <f t="shared" si="524"/>
        <v>0</v>
      </c>
      <c r="AT328" s="91">
        <f t="shared" si="441"/>
        <v>0</v>
      </c>
      <c r="AU328" s="30" t="e">
        <f t="shared" si="502"/>
        <v>#N/A</v>
      </c>
      <c r="AV328" s="30" t="e">
        <f t="shared" si="503"/>
        <v>#N/A</v>
      </c>
      <c r="AW328" s="31" t="e">
        <f>IF(OR(Hypothèses!$B$4=17,Hypothèses!$B$4=18,Hypothèses!$B$4=19,Hypothèses!$B$4=20),
IF($D328="Pressio.",
IF(OR($E328=3,$E328=1,$E328=4),AV328,AU328),
IF($D328="Pénétro.",
IF(OR($E328=3,$E328=1,$E328=4),AV328,AU328))),IF($D328="Pressio.",
IF($E328=3,AV328,AU328),
IF($D328="Pénétro.",
IF($E328=4,AV328,AU328))))</f>
        <v>#N/A</v>
      </c>
      <c r="AX328" s="31">
        <v>0</v>
      </c>
      <c r="AY328" s="102" t="e">
        <f>IF(NDC!$H$10="Oui",(VLOOKUP($B$3,'Coeff EC7'!$T$39:$X$59,2,0)*AW328+VLOOKUP($B$3,'Coeff EC7'!$T$65:$X$85,2,0)*Model0.1T!AX328)/1.5,PI()*AU$12*$Q328*($B328-$B327)*0.15/10+AY327)</f>
        <v>#N/A</v>
      </c>
      <c r="AZ328" s="102" t="e">
        <f>(VLOOKUP($B$3,'Coeff EC7'!$T$39:$X$59,3,0)*AW328+VLOOKUP($B$3,'Coeff EC7'!$T$65:$X$85,3,0)*Model0.1T!AX328)/1.1</f>
        <v>#N/A</v>
      </c>
      <c r="BA328" s="102" t="e">
        <f t="shared" si="473"/>
        <v>#N/A</v>
      </c>
      <c r="BB328" s="102" t="e">
        <f t="shared" si="474"/>
        <v>#N/A</v>
      </c>
      <c r="BC328" s="414" t="e">
        <f>IF(AND(AY328&gt;NDC!$C$63,AZ328&gt;NDC!$C$65,BA328&gt;NDC!$D$73,BB328&gt;NDC!$D$74,$B328&gt;NDC!$H$22-0.1+MIN(3*BC$12,1.5)),0,1)</f>
        <v>#N/A</v>
      </c>
      <c r="BD328" s="86" t="b">
        <f t="shared" si="442"/>
        <v>0</v>
      </c>
      <c r="BE328" s="86">
        <f t="shared" si="475"/>
        <v>0.5</v>
      </c>
      <c r="BF328" s="86">
        <f t="shared" si="443"/>
        <v>0.5</v>
      </c>
      <c r="BG328" s="30" t="e">
        <f t="shared" ca="1" si="476"/>
        <v>#DIV/0!</v>
      </c>
      <c r="BH328" s="85" t="e">
        <f ca="1">IF(AN328&lt;=Hypothèses!$V$7,Hypothèses!$W$7,IF(AN328&lt;=Hypothèses!$V$8,Hypothèses!$W$8,IF(AN328&lt;=Hypothèses!$V$9,Hypothèses!$W$9,IF(AN328&lt;=Hypothèses!$V$10,Hypothèses!$W$10,IF(AN328&lt;=Hypothèses!$V$11,Hypothèses!$W$11,IF(AN328&lt;=Hypothèses!$V$12,Hypothèses!$W$12,IF(AN328&lt;=Hypothèses!$V$13,Hypothèses!$W$13,IF(AN328&lt;=Hypothèses!$V$14,Hypothèses!$W$14,IF(AN328&lt;=Hypothèses!$V$15,Hypothèses!$W$15,IF(AN328&lt;=Hypothèses!$V$16,Hypothèses!$W$16,IF(AN328&lt;=Hypothèses!$V$17,Hypothèses!$W$17,IF(AN328&lt;=Hypothèses!$V$18,Hypothèses!$W$18,""))))))))))))</f>
        <v>#DIV/0!</v>
      </c>
      <c r="BI328" s="87" t="e">
        <f t="shared" ca="1" si="518"/>
        <v>#DIV/0!</v>
      </c>
      <c r="BJ328" s="88" t="e">
        <f ca="1">IF(AN328&lt;=Hypothèses!$V$7,Hypothèses!$X$7,IF(AN328&lt;=Hypothèses!$V$8,Hypothèses!$X$8,IF(AN328&lt;=Hypothèses!$V$9,Hypothèses!$X$9,IF(AN328&lt;=Hypothèses!$V$10,Hypothèses!$X$10,IF(AN328&lt;=Hypothèses!$V$11,Hypothèses!$X$11,IF(AN328&lt;=Hypothèses!$V$12,Hypothèses!$X$12,IF(AN328&lt;=Hypothèses!$V$13,Hypothèses!$X$13,IF(AN328&lt;=Hypothèses!$V$14,Hypothèses!$X$14,IF(AN328&lt;=Hypothèses!$V$15,Hypothèses!$X$15,IF(AN328&lt;=Hypothèses!$V$16,Hypothèses!$X$16,IF(AN328&lt;=Hypothèses!$U$17,Hypothèses!$W$17,IF(AN328&lt;=Hypothèses!$U$18,Hypothèses!$W$18,""))))))))))))</f>
        <v>#DIV/0!</v>
      </c>
      <c r="BK328" s="95" t="e">
        <f t="shared" ca="1" si="477"/>
        <v>#DIV/0!</v>
      </c>
      <c r="BL328" s="101">
        <f t="shared" si="525"/>
        <v>0</v>
      </c>
      <c r="BM328" s="91">
        <f t="shared" si="444"/>
        <v>0</v>
      </c>
      <c r="BN328" s="30" t="e">
        <f t="shared" si="504"/>
        <v>#N/A</v>
      </c>
      <c r="BO328" s="30" t="e">
        <f t="shared" si="505"/>
        <v>#N/A</v>
      </c>
      <c r="BP328" s="31" t="e">
        <f>IF(OR(Hypothèses!$B$4=17,Hypothèses!$B$4=18,Hypothèses!$B$4=19,Hypothèses!$B$4=20),
IF($D328="Pressio.",
IF(OR($E328=3,$E328=1,$E328=4),BO328,BN328),
IF($D328="Pénétro.",
IF(OR($E328=3,$E328=1,$E328=4),BO328,BN328))),IF($D328="Pressio.",
IF($E328=3,BO328,BN328),
IF($D328="Pénétro.",
IF($E328=4,BO328,BN328))))</f>
        <v>#N/A</v>
      </c>
      <c r="BQ328" s="31">
        <v>0</v>
      </c>
      <c r="BR328" s="102" t="e">
        <f>IF(NDC!$H$10="Oui",(VLOOKUP($B$3,'Coeff EC7'!$T$39:$X$59,2,0)*BP328+VLOOKUP($B$3,'Coeff EC7'!$T$65:$X$85,2,0)*Model0.1T!BQ328)/1.5,PI()*BN$12*$Q328*($B328-$B327)*0.15/10+BR327)</f>
        <v>#N/A</v>
      </c>
      <c r="BS328" s="102" t="e">
        <f>(VLOOKUP($B$3,'Coeff EC7'!$T$39:$X$59,3,0)*BP328+VLOOKUP($B$3,'Coeff EC7'!$T$65:$X$85,3,0)*Model0.1T!BQ328)/1.1</f>
        <v>#N/A</v>
      </c>
      <c r="BT328" s="102" t="e">
        <f t="shared" si="478"/>
        <v>#N/A</v>
      </c>
      <c r="BU328" s="102" t="e">
        <f t="shared" si="479"/>
        <v>#N/A</v>
      </c>
      <c r="BV328" s="414" t="e">
        <f>IF(AND(BR328&gt;NDC!$C$63,BS328&gt;NDC!$C$65,BT328&gt;NDC!$D$73,BU328&gt;NDC!$D$74,$B328&gt;NDC!$H$22-0.1+MIN(3*BV$12,1.5)),0,1)</f>
        <v>#N/A</v>
      </c>
      <c r="BW328" s="86" t="b">
        <f t="shared" si="445"/>
        <v>0</v>
      </c>
      <c r="BX328" s="86">
        <f t="shared" si="446"/>
        <v>0.5</v>
      </c>
      <c r="BY328" s="86">
        <f t="shared" si="447"/>
        <v>0.5</v>
      </c>
      <c r="BZ328" s="30" t="e">
        <f t="shared" ca="1" si="480"/>
        <v>#DIV/0!</v>
      </c>
      <c r="CA328" s="85" t="e">
        <f ca="1">IF(BG328&lt;=Hypothèses!$V$7,Hypothèses!$W$7,IF(BG328&lt;=Hypothèses!$V$8,Hypothèses!$W$8,IF(BG328&lt;=Hypothèses!$V$9,Hypothèses!$W$9,IF(BG328&lt;=Hypothèses!$V$10,Hypothèses!$W$10,IF(BG328&lt;=Hypothèses!$V$11,Hypothèses!$W$11,IF(BG328&lt;=Hypothèses!$V$12,Hypothèses!$W$12,IF(BG328&lt;=Hypothèses!$V$13,Hypothèses!$W$13,IF(BG328&lt;=Hypothèses!$V$14,Hypothèses!$W$14,IF(BG328&lt;=Hypothèses!$V$15,Hypothèses!$W$15,IF(BG328&lt;=Hypothèses!$V$16,Hypothèses!$W$16,IF(BG328&lt;=Hypothèses!$V$17,Hypothèses!$W$17,IF(BG328&lt;=Hypothèses!$V$18,Hypothèses!$W$18,""))))))))))))</f>
        <v>#DIV/0!</v>
      </c>
      <c r="CB328" s="87" t="e">
        <f t="shared" ca="1" si="519"/>
        <v>#DIV/0!</v>
      </c>
      <c r="CC328" s="88" t="e">
        <f ca="1">IF(BG328&lt;=Hypothèses!$V$7,Hypothèses!$X$7,IF(BG328&lt;=Hypothèses!$V$8,Hypothèses!$X$8,IF(BG328&lt;=Hypothèses!$V$9,Hypothèses!$X$9,IF(BG328&lt;=Hypothèses!$V$10,Hypothèses!$X$10,IF(BG328&lt;=Hypothèses!$V$11,Hypothèses!$X$11,IF(BG328&lt;=Hypothèses!$V$12,Hypothèses!$X$12,IF(BG328&lt;=Hypothèses!$V$13,Hypothèses!$X$13,IF(BG328&lt;=Hypothèses!$V$14,Hypothèses!$X$14,IF(BG328&lt;=Hypothèses!$V$15,Hypothèses!$X$15,IF(BG328&lt;=Hypothèses!$V$16,Hypothèses!$X$16,IF(BG328&lt;=Hypothèses!$U$17,Hypothèses!$W$17,IF(BG328&lt;=Hypothèses!$U$18,Hypothèses!$W$18,""))))))))))))</f>
        <v>#DIV/0!</v>
      </c>
      <c r="CD328" s="95" t="e">
        <f t="shared" ca="1" si="481"/>
        <v>#DIV/0!</v>
      </c>
      <c r="CE328" s="101">
        <f t="shared" si="526"/>
        <v>0</v>
      </c>
      <c r="CF328" s="91">
        <f t="shared" si="448"/>
        <v>0</v>
      </c>
      <c r="CG328" s="30" t="e">
        <f t="shared" si="506"/>
        <v>#N/A</v>
      </c>
      <c r="CH328" s="30" t="e">
        <f t="shared" si="507"/>
        <v>#N/A</v>
      </c>
      <c r="CI328" s="31" t="e">
        <f>IF(OR(Hypothèses!$B$4=17,Hypothèses!$B$4=18,Hypothèses!$B$4=19,Hypothèses!$B$4=20),
IF($D328="Pressio.",
IF(OR($E328=3,$E328=1,$E328=4),CH328,CG328),
IF($D328="Pénétro.",
IF(OR($E328=3,$E328=1,$E328=4),CH328,CG328))),IF($D328="Pressio.",
IF($E328=3,CH328,CG328),
IF($D328="Pénétro.",
IF($E328=4,CH328,CG328))))</f>
        <v>#N/A</v>
      </c>
      <c r="CJ328" s="31">
        <v>0</v>
      </c>
      <c r="CK328" s="102" t="e">
        <f>IF(NDC!$H$10="Oui",(VLOOKUP($B$3,'Coeff EC7'!$T$39:$X$59,2,0)*CI328+VLOOKUP($B$3,'Coeff EC7'!$T$65:$X$85,2,0)*Model0.1T!CJ328)/1.5,PI()*CG$12*$Q328*($B328-$B327)*0.15/10+CK327)</f>
        <v>#N/A</v>
      </c>
      <c r="CL328" s="102" t="e">
        <f>(VLOOKUP($B$3,'Coeff EC7'!$T$39:$X$59,3,0)*CI328+VLOOKUP($B$3,'Coeff EC7'!$T$65:$X$85,3,0)*Model0.1T!CJ328)/1.1</f>
        <v>#N/A</v>
      </c>
      <c r="CM328" s="102" t="e">
        <f t="shared" si="482"/>
        <v>#N/A</v>
      </c>
      <c r="CN328" s="102" t="e">
        <f t="shared" si="483"/>
        <v>#N/A</v>
      </c>
      <c r="CO328" s="414" t="e">
        <f>IF(AND(CK328&gt;NDC!$C$63,CL328&gt;NDC!$C$65,CM328&gt;NDC!$D$73,CN328&gt;NDC!$D$74,$B328&gt;NDC!$H$22-0.1+MIN(3*CO$12,1.5)),0,1)</f>
        <v>#N/A</v>
      </c>
      <c r="CP328" s="86" t="b">
        <f t="shared" si="449"/>
        <v>0</v>
      </c>
      <c r="CQ328" s="86">
        <f t="shared" si="450"/>
        <v>0.5</v>
      </c>
      <c r="CR328" s="86">
        <f t="shared" si="451"/>
        <v>0.5</v>
      </c>
      <c r="CS328" s="30" t="e">
        <f t="shared" ca="1" si="484"/>
        <v>#DIV/0!</v>
      </c>
      <c r="CT328" s="85" t="e">
        <f ca="1">IF(BZ328&lt;=Hypothèses!$V$7,Hypothèses!$W$7,IF(BZ328&lt;=Hypothèses!$V$8,Hypothèses!$W$8,IF(BZ328&lt;=Hypothèses!$V$9,Hypothèses!$W$9,IF(BZ328&lt;=Hypothèses!$V$10,Hypothèses!$W$10,IF(BZ328&lt;=Hypothèses!$V$11,Hypothèses!$W$11,IF(BZ328&lt;=Hypothèses!$V$12,Hypothèses!$W$12,IF(BZ328&lt;=Hypothèses!$V$13,Hypothèses!$W$13,IF(BZ328&lt;=Hypothèses!$V$14,Hypothèses!$W$14,IF(BZ328&lt;=Hypothèses!$V$15,Hypothèses!$W$15,IF(BZ328&lt;=Hypothèses!$V$16,Hypothèses!$W$16,IF(BZ328&lt;=Hypothèses!$V$17,Hypothèses!$W$17,IF(BZ328&lt;=Hypothèses!$V$18,Hypothèses!$W$18,""))))))))))))</f>
        <v>#DIV/0!</v>
      </c>
      <c r="CU328" s="87" t="e">
        <f t="shared" ca="1" si="520"/>
        <v>#DIV/0!</v>
      </c>
      <c r="CV328" s="88" t="e">
        <f ca="1">IF(BZ328&lt;=Hypothèses!$V$7,Hypothèses!$X$7,IF(BZ328&lt;=Hypothèses!$V$8,Hypothèses!$X$8,IF(BZ328&lt;=Hypothèses!$V$9,Hypothèses!$X$9,IF(BZ328&lt;=Hypothèses!$V$10,Hypothèses!$X$10,IF(BZ328&lt;=Hypothèses!$V$11,Hypothèses!$X$11,IF(BZ328&lt;=Hypothèses!$V$12,Hypothèses!$X$12,IF(BZ328&lt;=Hypothèses!$V$13,Hypothèses!$X$13,IF(BZ328&lt;=Hypothèses!$V$14,Hypothèses!$X$14,IF(BZ328&lt;=Hypothèses!$V$15,Hypothèses!$X$15,IF(BZ328&lt;=Hypothèses!$V$16,Hypothèses!$X$16,IF(BZ328&lt;=Hypothèses!$U$17,Hypothèses!$W$17,IF(BZ328&lt;=Hypothèses!$U$18,Hypothèses!$W$18,""))))))))))))</f>
        <v>#DIV/0!</v>
      </c>
      <c r="CW328" s="95" t="e">
        <f t="shared" ca="1" si="485"/>
        <v>#DIV/0!</v>
      </c>
      <c r="CX328" s="101">
        <f t="shared" si="527"/>
        <v>0</v>
      </c>
      <c r="CY328" s="91">
        <f t="shared" si="452"/>
        <v>0</v>
      </c>
      <c r="CZ328" s="30" t="e">
        <f t="shared" si="508"/>
        <v>#N/A</v>
      </c>
      <c r="DA328" s="30" t="e">
        <f t="shared" si="509"/>
        <v>#N/A</v>
      </c>
      <c r="DB328" s="31" t="e">
        <f>IF(OR(Hypothèses!$B$4=17,Hypothèses!$B$4=18,Hypothèses!$B$4=19,Hypothèses!$B$4=20),
IF($D328="Pressio.",
IF(OR($E328=3,$E328=1,$E328=4),DA328,CZ328),
IF($D328="Pénétro.",
IF(OR($E328=3,$E328=1,$E328=4),DA328,CZ328))),IF($D328="Pressio.",
IF($E328=3,DA328,CZ328),
IF($D328="Pénétro.",
IF($E328=4,DA328,CZ328))))</f>
        <v>#N/A</v>
      </c>
      <c r="DC328" s="31">
        <v>0</v>
      </c>
      <c r="DD328" s="102" t="e">
        <f>IF(NDC!$H$10="Oui",(VLOOKUP($B$3,'Coeff EC7'!$T$39:$X$59,2,0)*DB328+VLOOKUP($B$3,'Coeff EC7'!$T$65:$X$85,2,0)*Model0.1T!DC328)/1.5,PI()*CZ$12*$Q328*($B328-$B327)*0.15/10+DD327)</f>
        <v>#N/A</v>
      </c>
      <c r="DE328" s="102" t="e">
        <f>(VLOOKUP($B$3,'Coeff EC7'!$T$39:$X$59,3,0)*DB328+VLOOKUP($B$3,'Coeff EC7'!$T$65:$X$85,3,0)*Model0.1T!DC328)/1.1</f>
        <v>#N/A</v>
      </c>
      <c r="DF328" s="102" t="e">
        <f t="shared" si="486"/>
        <v>#N/A</v>
      </c>
      <c r="DG328" s="102" t="e">
        <f t="shared" si="487"/>
        <v>#N/A</v>
      </c>
      <c r="DH328" s="414" t="e">
        <f>IF(AND(DD328&gt;NDC!$C$63,DE328&gt;NDC!$C$65,DF328&gt;NDC!$D$73,DG328&gt;NDC!$D$74,$B328&gt;NDC!$H$22-0.1+MIN(3*DH$12,1.5)),0,1)</f>
        <v>#N/A</v>
      </c>
      <c r="DI328" s="86" t="b">
        <f t="shared" si="453"/>
        <v>0</v>
      </c>
      <c r="DJ328" s="86">
        <f t="shared" si="454"/>
        <v>0.5</v>
      </c>
      <c r="DK328" s="86">
        <f t="shared" si="455"/>
        <v>0.5</v>
      </c>
      <c r="DL328" s="30" t="e">
        <f t="shared" ca="1" si="488"/>
        <v>#DIV/0!</v>
      </c>
      <c r="DM328" s="85" t="e">
        <f ca="1">IF(CS328&lt;=Hypothèses!$V$7,Hypothèses!$W$7,IF(CS328&lt;=Hypothèses!$V$8,Hypothèses!$W$8,IF(CS328&lt;=Hypothèses!$V$9,Hypothèses!$W$9,IF(CS328&lt;=Hypothèses!$V$10,Hypothèses!$W$10,IF(CS328&lt;=Hypothèses!$V$11,Hypothèses!$W$11,IF(CS328&lt;=Hypothèses!$V$12,Hypothèses!$W$12,IF(CS328&lt;=Hypothèses!$V$13,Hypothèses!$W$13,IF(CS328&lt;=Hypothèses!$V$14,Hypothèses!$W$14,IF(CS328&lt;=Hypothèses!$V$15,Hypothèses!$W$15,IF(CS328&lt;=Hypothèses!$V$16,Hypothèses!$W$16,IF(CS328&lt;=Hypothèses!$V$17,Hypothèses!$W$17,IF(CS328&lt;=Hypothèses!$V$18,Hypothèses!$W$18,""))))))))))))</f>
        <v>#DIV/0!</v>
      </c>
      <c r="DN328" s="87" t="e">
        <f t="shared" ca="1" si="521"/>
        <v>#DIV/0!</v>
      </c>
      <c r="DO328" s="88" t="e">
        <f ca="1">IF(CS328&lt;=Hypothèses!$V$7,Hypothèses!$X$7,IF(CS328&lt;=Hypothèses!$V$8,Hypothèses!$X$8,IF(CS328&lt;=Hypothèses!$V$9,Hypothèses!$X$9,IF(CS328&lt;=Hypothèses!$V$10,Hypothèses!$X$10,IF(CS328&lt;=Hypothèses!$V$11,Hypothèses!$X$11,IF(CS328&lt;=Hypothèses!$V$12,Hypothèses!$X$12,IF(CS328&lt;=Hypothèses!$V$13,Hypothèses!$X$13,IF(CS328&lt;=Hypothèses!$V$14,Hypothèses!$X$14,IF(CS328&lt;=Hypothèses!$V$15,Hypothèses!$X$15,IF(CS328&lt;=Hypothèses!$V$16,Hypothèses!$X$16,IF(CS328&lt;=Hypothèses!$U$17,Hypothèses!$W$17,IF(CS328&lt;=Hypothèses!$U$18,Hypothèses!$W$18,""))))))))))))</f>
        <v>#DIV/0!</v>
      </c>
      <c r="DP328" s="95" t="e">
        <f t="shared" ca="1" si="489"/>
        <v>#DIV/0!</v>
      </c>
      <c r="DQ328" s="101">
        <f t="shared" si="528"/>
        <v>0</v>
      </c>
      <c r="DR328" s="91">
        <f t="shared" si="456"/>
        <v>0</v>
      </c>
      <c r="DS328" s="30" t="e">
        <f t="shared" si="510"/>
        <v>#N/A</v>
      </c>
      <c r="DT328" s="30" t="e">
        <f t="shared" si="511"/>
        <v>#N/A</v>
      </c>
      <c r="DU328" s="31" t="e">
        <f>IF(OR(Hypothèses!$B$4=17,Hypothèses!$B$4=18,Hypothèses!$B$4=19,Hypothèses!$B$4=20),
IF($D328="Pressio.",
IF(OR($E328=3,$E328=1,$E328=4),DT328,DS328),
IF($D328="Pénétro.",
IF(OR($E328=3,$E328=1,$E328=4),DT328,DS328))),IF($D328="Pressio.",
IF($E328=3,DT328,DS328),
IF($D328="Pénétro.",
IF($E328=4,DT328,DS328))))</f>
        <v>#N/A</v>
      </c>
      <c r="DV328" s="31">
        <v>0</v>
      </c>
      <c r="DW328" s="102" t="e">
        <f>IF(NDC!$H$10="Oui",(VLOOKUP($B$3,'Coeff EC7'!$T$39:$X$59,2,0)*DU328+VLOOKUP($B$3,'Coeff EC7'!$T$65:$X$85,2,0)*Model0.1T!DV328)/1.5,PI()*DS$12*$Q328*($B328-$B327)*0.15/10+DW327)</f>
        <v>#N/A</v>
      </c>
      <c r="DX328" s="102" t="e">
        <f>(VLOOKUP($B$3,'Coeff EC7'!$T$39:$X$59,3,0)*DU328+VLOOKUP($B$3,'Coeff EC7'!$T$65:$X$85,3,0)*Model0.1T!DV328)/1.1</f>
        <v>#N/A</v>
      </c>
      <c r="DY328" s="102" t="e">
        <f t="shared" si="490"/>
        <v>#N/A</v>
      </c>
      <c r="DZ328" s="102" t="e">
        <f t="shared" si="491"/>
        <v>#N/A</v>
      </c>
      <c r="EA328" s="414" t="e">
        <f>IF(AND(DW328&gt;NDC!$C$63,DX328&gt;NDC!$C$65,DY328&gt;NDC!$D$73,DZ328&gt;NDC!$D$74,$B328&gt;NDC!$H$22-0.1+MIN(3*EA$12,1.5)),0,1)</f>
        <v>#N/A</v>
      </c>
      <c r="EB328" s="86" t="b">
        <f t="shared" si="457"/>
        <v>0</v>
      </c>
      <c r="EC328" s="418">
        <f t="shared" si="458"/>
        <v>0.51</v>
      </c>
      <c r="ED328" s="86">
        <f t="shared" si="459"/>
        <v>0.51</v>
      </c>
      <c r="EE328" s="30" t="e">
        <f t="shared" ca="1" si="492"/>
        <v>#DIV/0!</v>
      </c>
      <c r="EF328" s="85" t="e">
        <f ca="1">IF(DL328&lt;=Hypothèses!$V$7,Hypothèses!$W$7,IF(DL328&lt;=Hypothèses!$V$8,Hypothèses!$W$8,IF(DL328&lt;=Hypothèses!$V$9,Hypothèses!$W$9,IF(DL328&lt;=Hypothèses!$V$10,Hypothèses!$W$10,IF(DL328&lt;=Hypothèses!$V$11,Hypothèses!$W$11,IF(DL328&lt;=Hypothèses!$V$12,Hypothèses!$W$12,IF(DL328&lt;=Hypothèses!$V$13,Hypothèses!$W$13,IF(DL328&lt;=Hypothèses!$V$14,Hypothèses!$W$14,IF(DL328&lt;=Hypothèses!$V$15,Hypothèses!$W$15,IF(DL328&lt;=Hypothèses!$V$16,Hypothèses!$W$16,IF(DL328&lt;=Hypothèses!$V$17,Hypothèses!$W$17,IF(DL328&lt;=Hypothèses!$V$18,Hypothèses!$W$18,""))))))))))))</f>
        <v>#DIV/0!</v>
      </c>
      <c r="EG328" s="87" t="e">
        <f t="shared" ca="1" si="522"/>
        <v>#DIV/0!</v>
      </c>
      <c r="EH328" s="88" t="e">
        <f ca="1">IF(DL328&lt;=Hypothèses!$V$7,Hypothèses!$X$7,IF(DL328&lt;=Hypothèses!$V$8,Hypothèses!$X$8,IF(DL328&lt;=Hypothèses!$V$9,Hypothèses!$X$9,IF(DL328&lt;=Hypothèses!$V$10,Hypothèses!$X$10,IF(DL328&lt;=Hypothèses!$V$11,Hypothèses!$X$11,IF(DL328&lt;=Hypothèses!$V$12,Hypothèses!$X$12,IF(DL328&lt;=Hypothèses!$V$13,Hypothèses!$X$13,IF(DL328&lt;=Hypothèses!$V$14,Hypothèses!$X$14,IF(DL328&lt;=Hypothèses!$V$15,Hypothèses!$X$15,IF(DL328&lt;=Hypothèses!$V$16,Hypothèses!$X$16,IF(DL328&lt;=Hypothèses!$U$17,Hypothèses!$W$17,IF(DL328&lt;=Hypothèses!$U$18,Hypothèses!$W$18,""))))))))))))</f>
        <v>#DIV/0!</v>
      </c>
      <c r="EI328" s="95" t="e">
        <f t="shared" ca="1" si="493"/>
        <v>#DIV/0!</v>
      </c>
      <c r="EJ328" s="101">
        <f t="shared" si="529"/>
        <v>0</v>
      </c>
      <c r="EK328" s="91">
        <f t="shared" si="460"/>
        <v>0</v>
      </c>
      <c r="EL328" s="30" t="e">
        <f t="shared" si="512"/>
        <v>#N/A</v>
      </c>
      <c r="EM328" s="30" t="e">
        <f t="shared" si="513"/>
        <v>#N/A</v>
      </c>
      <c r="EN328" s="31" t="e">
        <f>IF(OR(Hypothèses!$B$4=17,Hypothèses!$B$4=18,Hypothèses!$B$4=19,Hypothèses!$B$4=20),
IF($D328="Pressio.",
IF(OR($E328=3,$E328=1,$E328=4),EM328,EL328),
IF($D328="Pénétro.",
IF(OR($E328=3,$E328=1,$E328=4),EM328,EL328))),IF($D328="Pressio.",
IF($E328=3,EM328,EL328),
IF($D328="Pénétro.",
IF($E328=4,EM328,EL328))))</f>
        <v>#N/A</v>
      </c>
      <c r="EO328" s="31">
        <v>0</v>
      </c>
      <c r="EP328" s="102" t="e">
        <f>IF(NDC!$H$10="Oui",(VLOOKUP($B$3,'Coeff EC7'!$T$39:$X$59,2,0)*EN328+VLOOKUP($B$3,'Coeff EC7'!$T$65:$X$85,2,0)*Model0.1T!EO328)/1.5,PI()*EL$12*$Q328*($B328-$B327)*0.15/10+EP327)</f>
        <v>#N/A</v>
      </c>
      <c r="EQ328" s="102" t="e">
        <f>(VLOOKUP($B$3,'Coeff EC7'!$T$39:$X$59,3,0)*EN328+VLOOKUP($B$3,'Coeff EC7'!$T$65:$X$85,3,0)*Model0.1T!EO328)/1.1</f>
        <v>#N/A</v>
      </c>
      <c r="ER328" s="102" t="e">
        <f t="shared" si="494"/>
        <v>#N/A</v>
      </c>
      <c r="ES328" s="102" t="e">
        <f t="shared" si="495"/>
        <v>#N/A</v>
      </c>
      <c r="ET328" s="414" t="e">
        <f>IF(AND(EP328&gt;NDC!$C$63,EQ328&gt;NDC!$C$65,ER328&gt;NDC!$D$73,ES328&gt;NDC!$D$74,$B328&gt;NDC!$H$22-0.1+MIN(3*ET$12,1.5)),0,1)</f>
        <v>#N/A</v>
      </c>
      <c r="EU328" s="86" t="b">
        <f t="shared" si="461"/>
        <v>0</v>
      </c>
      <c r="EV328" s="86">
        <f t="shared" si="462"/>
        <v>0.61</v>
      </c>
      <c r="EW328" s="86">
        <f t="shared" si="463"/>
        <v>0.61</v>
      </c>
      <c r="EX328" s="30" t="e">
        <f t="shared" ca="1" si="496"/>
        <v>#DIV/0!</v>
      </c>
      <c r="EY328" s="85" t="e">
        <f ca="1">IF(EE328&lt;=Hypothèses!$V$7,Hypothèses!$W$7,IF(EE328&lt;=Hypothèses!$V$8,Hypothèses!$W$8,IF(EE328&lt;=Hypothèses!$V$9,Hypothèses!$W$9,IF(EE328&lt;=Hypothèses!$V$10,Hypothèses!$W$10,IF(EE328&lt;=Hypothèses!$V$11,Hypothèses!$W$11,IF(EE328&lt;=Hypothèses!$V$12,Hypothèses!$W$12,IF(EE328&lt;=Hypothèses!$V$13,Hypothèses!$W$13,IF(EE328&lt;=Hypothèses!$V$14,Hypothèses!$W$14,IF(EE328&lt;=Hypothèses!$V$15,Hypothèses!$W$15,IF(EE328&lt;=Hypothèses!$V$16,Hypothèses!$W$16,IF(EE328&lt;=Hypothèses!$V$17,Hypothèses!$W$17,IF(EE328&lt;=Hypothèses!$V$18,Hypothèses!$W$18,""))))))))))))</f>
        <v>#DIV/0!</v>
      </c>
      <c r="EZ328" s="87" t="e">
        <f t="shared" ca="1" si="523"/>
        <v>#DIV/0!</v>
      </c>
      <c r="FA328" s="88" t="e">
        <f ca="1">IF(EE328&lt;=Hypothèses!$V$7,Hypothèses!$X$7,IF(EE328&lt;=Hypothèses!$V$8,Hypothèses!$X$8,IF(EE328&lt;=Hypothèses!$V$9,Hypothèses!$X$9,IF(EE328&lt;=Hypothèses!$V$10,Hypothèses!$X$10,IF(EE328&lt;=Hypothèses!$V$11,Hypothèses!$X$11,IF(EE328&lt;=Hypothèses!$V$12,Hypothèses!$X$12,IF(EE328&lt;=Hypothèses!$V$13,Hypothèses!$X$13,IF(EE328&lt;=Hypothèses!$V$14,Hypothèses!$X$14,IF(EE328&lt;=Hypothèses!$V$15,Hypothèses!$X$15,IF(EE328&lt;=Hypothèses!$V$16,Hypothèses!$X$16,IF(EE328&lt;=Hypothèses!$U$17,Hypothèses!$W$17,IF(EE328&lt;=Hypothèses!$U$18,Hypothèses!$W$18,""))))))))))))</f>
        <v>#DIV/0!</v>
      </c>
      <c r="FB328" s="95" t="e">
        <f t="shared" ca="1" si="497"/>
        <v>#DIV/0!</v>
      </c>
      <c r="FC328" s="101">
        <f t="shared" si="530"/>
        <v>0</v>
      </c>
      <c r="FD328" s="91">
        <f t="shared" si="464"/>
        <v>0</v>
      </c>
      <c r="FE328" s="30" t="e">
        <f t="shared" si="514"/>
        <v>#N/A</v>
      </c>
      <c r="FF328" s="30" t="e">
        <f t="shared" si="515"/>
        <v>#N/A</v>
      </c>
      <c r="FG328" s="31" t="e">
        <f>IF(OR(Hypothèses!$B$4=17,Hypothèses!$B$4=18,Hypothèses!$B$4=19,Hypothèses!$B$4=20),
IF($D328="Pressio.",
IF(OR($E328=3,$E328=1,$E328=4),FF328,FE328),
IF($D328="Pénétro.",
IF(OR($E328=3,$E328=1,$E328=4),FF328,FE328))),IF($D328="Pressio.",
IF($E328=3,FF328,FE328),
IF($D328="Pénétro.",
IF($E328=4,FF328,FE328))))</f>
        <v>#N/A</v>
      </c>
      <c r="FH328" s="31">
        <v>0</v>
      </c>
      <c r="FI328" s="102" t="e">
        <f>IF(NDC!$H$10="Oui",(VLOOKUP($B$3,'Coeff EC7'!$T$39:$X$59,2,0)*FG328+VLOOKUP($B$3,'Coeff EC7'!$T$65:$X$85,2,0)*Model0.1T!FH328)/1.5,PI()*FE$12*$Q328*($B328-$B327)*0.15/10+FI327)</f>
        <v>#N/A</v>
      </c>
      <c r="FJ328" s="102" t="e">
        <f>(VLOOKUP($B$3,'Coeff EC7'!$T$39:$X$59,3,0)*FG328+VLOOKUP($B$3,'Coeff EC7'!$T$65:$X$85,3,0)*Model0.1T!FH328)/1.1</f>
        <v>#N/A</v>
      </c>
      <c r="FK328" s="102" t="e">
        <f t="shared" si="498"/>
        <v>#N/A</v>
      </c>
      <c r="FL328" s="102" t="e">
        <f t="shared" si="499"/>
        <v>#N/A</v>
      </c>
      <c r="FM328" s="414" t="e">
        <f>IF(AND(FI328&gt;NDC!$C$63,FJ328&gt;NDC!$C$65,FK328&gt;NDC!$D$73,FL328&gt;NDC!$D$74,$B328&gt;NDC!$H$22-0.1+MIN(3*FM$12,1.5)),0,1)</f>
        <v>#N/A</v>
      </c>
    </row>
    <row r="329" spans="1:169">
      <c r="A329" s="96">
        <f t="shared" si="465"/>
        <v>68.400000000001796</v>
      </c>
      <c r="B329" s="97">
        <v>31.6</v>
      </c>
      <c r="C329" s="81">
        <f>IF(B329&lt;=Hypothèses!$C$7,Hypothèses!$A$7,IF(B329&lt;=Hypothèses!$C$8,Hypothèses!$A$8,IF(B329&lt;=Hypothèses!$C$9,Hypothèses!$A$9,IF(B329&lt;=Hypothèses!$C$10,Hypothèses!$A$10,IF(B329&lt;=Hypothèses!$C$11,Hypothèses!$A$11,IF(B329&lt;=Hypothèses!$C$12,Hypothèses!$A$12,IF(B329&lt;=Hypothèses!$C$13,Hypothèses!$A$13,IF(B329&lt;=Hypothèses!$C$14,Hypothèses!$A$14,IF(B329&lt;=Hypothèses!$C$15,Hypothèses!$A$15,IF(B329&lt;=Hypothèses!$C$16,Hypothèses!$A$16,IF(B329&lt;=Hypothèses!$C$17,Hypothèses!$A$17,IF(B329&lt;=Hypothèses!$C$18,Hypothèses!$A$18,C328))))))))))))</f>
        <v>11</v>
      </c>
      <c r="D329" s="82" t="str">
        <f>IF(B329&lt;=Hypothèses!$C$7,Hypothèses!$R$7,IF(B329&lt;=Hypothèses!$C$8,Hypothèses!$R$8,IF(B329&lt;=Hypothèses!$C$9,Hypothèses!$R$9,IF(B329&lt;=Hypothèses!$C$10,Hypothèses!$R$10,IF(B329&lt;=Hypothèses!$C$11,Hypothèses!$R$11,IF(B329&lt;=Hypothèses!$C$12,Hypothèses!$R$12,IF(B329&lt;=Hypothèses!$C$13,Hypothèses!$R$13,IF(B329&lt;=Hypothèses!$C$14,Hypothèses!$R$14,IF(B329&lt;=Hypothèses!$C$15,Hypothèses!$R$15,IF(B329&lt;=Hypothèses!$C$16,Hypothèses!$R$16,IF(B329&lt;=Hypothèses!$C$17,Hypothèses!$R$17,IF(B329&lt;=Hypothèses!$C$18,Hypothèses!$R$18,D328))))))))))))</f>
        <v>Pressio.</v>
      </c>
      <c r="E329" s="82" t="e">
        <f>IF(B329&lt;=Hypothèses!$C$7,Hypothèses!$G$7,IF(B329&lt;=Hypothèses!$C$8,Hypothèses!$G$8,IF(B329&lt;=Hypothèses!$C$9,Hypothèses!$G$9,IF(B329&lt;=Hypothèses!$C$10,Hypothèses!$G$10,IF(B329&lt;=Hypothèses!$C$11,Hypothèses!$G$11,IF(B329&lt;=Hypothèses!$C$12,Hypothèses!$G$12,IF(B329&lt;=Hypothèses!$C$13,Hypothèses!$G$13,IF(B329&lt;=Hypothèses!$C$14,Hypothèses!$G$14,IF(B329&lt;=Hypothèses!$C$15,Hypothèses!$G$15,IF(B329&lt;=Hypothèses!$C$16,Hypothèses!$G$16,IF(B329&lt;=Hypothèses!$C$17,Hypothèses!$G$17,IF(B329&lt;=Hypothèses!$C$18,Hypothèses!$G$18,E328))))))))))))</f>
        <v>#N/A</v>
      </c>
      <c r="F329" s="82" t="str">
        <f>IF(B329&lt;=Hypothèses!$C$7,Hypothèses!$F$7,IF(B329&lt;=Hypothèses!$C$8,Hypothèses!$F$8,IF(B329&lt;=Hypothèses!$C$9,Hypothèses!$F$9,IF(B329&lt;=Hypothèses!$C$10,Hypothèses!$F$10,IF(B329&lt;=Hypothèses!$C$11,Hypothèses!$F$11,IF(B329&lt;=Hypothèses!$C$12,Hypothèses!$F$12,IF(B329&lt;=Hypothèses!$C$13,Hypothèses!$F$13,IF(B329&lt;=Hypothèses!$C$14,Hypothèses!$F$14,IF(B329&lt;=Hypothèses!$C$15,Hypothèses!$F$15,IF(B329&lt;=Hypothèses!$C$16,Hypothèses!$F$16,IF(B329&lt;=Hypothèses!$C$17,Hypothèses!$F$17,IF(B329&lt;=Hypothèses!$C$18,Hypothèses!$F$18,F328))))))))))))</f>
        <v/>
      </c>
      <c r="G329" s="91">
        <f t="array" ref="G329">INDEX('Coeff EC7'!$U$7:$X$27,
MATCH(Model0.1T!$B$3,'Coeff EC7'!$T$7:$T$27,0),
MATCH(Model0.1T!$D329&amp;Model0.1T!$B$4,
'Coeff EC7'!$U$6:$X$6&amp;
'Coeff EC7'!$U$5:$X$5,0))</f>
        <v>1.4</v>
      </c>
      <c r="H329" s="91">
        <f t="array" ref="H329">INDEX('Coeff EC7'!$Y$7:$AB$27,
MATCH(Model0.1T!$B$3,'Coeff EC7'!$T$7:$T$27,0),
MATCH(Model0.1T!$D329&amp;Model0.1T!$B$4,
'Coeff EC7'!$Y$6:$AB$6&amp;
'Coeff EC7'!$Y$5:$AB$5,0))</f>
        <v>1.7</v>
      </c>
      <c r="I329" s="83">
        <v>0</v>
      </c>
      <c r="J329" s="91" t="e">
        <f t="array" ref="J329">INDEX('Coeff EC7'!$D$33:$Q$33,1,MATCH(D329&amp;E329,'Coeff EC7'!$D$31:$Q$31&amp;'Coeff EC7'!$D$32:$Q$32,0))</f>
        <v>#N/A</v>
      </c>
      <c r="K329" s="91" t="e">
        <f t="array" ref="K329">INDEX('Coeff EC7'!$D$34:$Q$34,1,MATCH(D329&amp;E329,'Coeff EC7'!$D$31:$Q$31&amp;'Coeff EC7'!$D$32:$Q$32,0))</f>
        <v>#N/A</v>
      </c>
      <c r="L329" s="91" t="e">
        <f t="array" ref="L329">INDEX('Coeff EC7'!$D$35:$Q$35,1,MATCH(D329&amp;E329,'Coeff EC7'!$D$31:$Q$31&amp;'Coeff EC7'!$D$32:$Q$32,0))</f>
        <v>#N/A</v>
      </c>
      <c r="M329" s="98" t="e">
        <f t="shared" si="431"/>
        <v>#N/A</v>
      </c>
      <c r="N329" s="99" t="e">
        <f t="array" ref="N329">INDEX('Coeff EC7'!$D$7:$Q$27,MATCH($B$3,'Coeff EC7'!$C$7:$C$27,0),MATCH(D329&amp;E329,'Coeff EC7'!$D$5:$Q$5&amp;'Coeff EC7'!$D$6:$Q$6,0))</f>
        <v>#N/A</v>
      </c>
      <c r="O329" s="99" t="e">
        <f t="array" ref="O329">INDEX('Coeff EC7'!$D$41:$Q$61,MATCH($B$3,'Coeff EC7'!$C$41:$C$61,0),MATCH(D329&amp;E329,'Coeff EC7'!$D$39:$Q$39&amp;'Coeff EC7'!$D$40:$Q$40,0))</f>
        <v>#N/A</v>
      </c>
      <c r="P329" s="30" t="e">
        <f t="shared" si="466"/>
        <v>#N/A</v>
      </c>
      <c r="Q329" s="100" t="e">
        <f t="shared" si="433"/>
        <v>#N/A</v>
      </c>
      <c r="R329" s="86" t="b">
        <f t="shared" si="434"/>
        <v>0</v>
      </c>
      <c r="S329" s="86">
        <f t="shared" si="432"/>
        <v>0.5</v>
      </c>
      <c r="T329" s="86">
        <f t="shared" si="435"/>
        <v>0.5</v>
      </c>
      <c r="U329" s="30" t="e">
        <f t="shared" ca="1" si="467"/>
        <v>#DIV/0!</v>
      </c>
      <c r="V329" s="85" t="str">
        <f>IF(B329&lt;=Hypothèses!$V$7,Hypothèses!$W$7,IF(B329&lt;=Hypothèses!$V$8,Hypothèses!$W$8,IF(B329&lt;=Hypothèses!$V$9,Hypothèses!$W$9,IF(B329&lt;=Hypothèses!$V$10,Hypothèses!$W$10,IF(B329&lt;=Hypothèses!$V$11,Hypothèses!$W$11,IF(B329&lt;=Hypothèses!$V$12,Hypothèses!$W$12,IF(B329&lt;=Hypothèses!$V$13,Hypothèses!$W$13,IF(B329&lt;=Hypothèses!$V$14,Hypothèses!$W$14,IF(B329&lt;=Hypothèses!$V$15,Hypothèses!$W$15,IF(B329&lt;=Hypothèses!$V$16,Hypothèses!$W$16,IF(B329&lt;=Hypothèses!$V$17,Hypothèses!$W$17,IF(B329&lt;=Hypothèses!$V$18,Hypothèses!$W$18,""))))))))))))</f>
        <v/>
      </c>
      <c r="W329" s="87" t="e">
        <f t="shared" ca="1" si="516"/>
        <v>#DIV/0!</v>
      </c>
      <c r="X329" s="88" t="str">
        <f>IF(B329&lt;=Hypothèses!$V$7,Hypothèses!$X$7,IF(B329&lt;=Hypothèses!$V$8,Hypothèses!$X$8,IF(B329&lt;=Hypothèses!$V$9,Hypothèses!$X$9,IF(B329&lt;=Hypothèses!$V$10,Hypothèses!$X$10,IF(B329&lt;=Hypothèses!$V$11,Hypothèses!$X$11,IF(B329&lt;=Hypothèses!$V$12,Hypothèses!$X$12,IF(B329&lt;=Hypothèses!$V$13,Hypothèses!$X$13,IF(B329&lt;=Hypothèses!$V$14,Hypothèses!$X$14,IF(B329&lt;=Hypothèses!$V$15,Hypothèses!$X$15,IF(B329&lt;=Hypothèses!$V$16,Hypothèses!$X$16,IF(B329&lt;=Hypothèses!$U$17,Hypothèses!$W$17,IF(B329&lt;=Hypothèses!$U$18,Hypothèses!$W$18,""))))))))))))</f>
        <v/>
      </c>
      <c r="Y329" s="95" t="e">
        <f t="shared" ca="1" si="436"/>
        <v>#DIV/0!</v>
      </c>
      <c r="Z329" s="101">
        <f t="shared" si="437"/>
        <v>0</v>
      </c>
      <c r="AA329" s="91">
        <f t="shared" si="438"/>
        <v>0</v>
      </c>
      <c r="AB329" s="30" t="e">
        <f t="shared" si="500"/>
        <v>#N/A</v>
      </c>
      <c r="AC329" s="30" t="e">
        <f t="shared" si="501"/>
        <v>#N/A</v>
      </c>
      <c r="AD329" s="31" t="e">
        <f>IF(OR(Hypothèses!$B$4=17,Hypothèses!$B$4=18,Hypothèses!$B$4=19,Hypothèses!$B$4=20),
IF($D329="Pressio.",
IF(OR($E329=3,$E329=1,$E329=4),AC329,AB329),
IF($D329="Pénétro.",
IF(OR($E329=3,$E329=1,$E329=4),AC329,AB329))),IF($D329="Pressio.",
IF($E329=3,AC329,AB329),
IF($D329="Pénétro.",
IF($E329=4,AC329,AB329))))</f>
        <v>#N/A</v>
      </c>
      <c r="AE329" s="31">
        <v>0</v>
      </c>
      <c r="AF329" s="102" t="e">
        <f>IF(NDC!$H$10="Oui",(VLOOKUP($B$3,'Coeff EC7'!$T$39:$X$59,2,0)*AD329+VLOOKUP($B$3,'Coeff EC7'!$T$65:$X$85,2,0)*Model0.1T!AE329)/1.5,PI()*AB$12*$Q329*($B329-$B328)*0.15/10+AF328)</f>
        <v>#N/A</v>
      </c>
      <c r="AG329" s="102" t="e">
        <f>(VLOOKUP($B$3,'Coeff EC7'!$T$39:$X$59,3,0)*AD329+VLOOKUP($B$3,'Coeff EC7'!$T$65:$X$85,3,0)*Model0.1T!AE329)/1.1</f>
        <v>#N/A</v>
      </c>
      <c r="AH329" s="102" t="e">
        <f t="shared" si="468"/>
        <v>#N/A</v>
      </c>
      <c r="AI329" s="102" t="e">
        <f t="shared" si="469"/>
        <v>#N/A</v>
      </c>
      <c r="AJ329" s="414" t="e">
        <f>IF(AND(AF329&gt;NDC!$C$63,AG329&gt;NDC!$C$65,AH329&gt;NDC!$D$73,AI329&gt;NDC!$D$74,$B329&gt;NDC!$H$22-0.1+MIN(3*$AJ$12,1.5)),0,1)</f>
        <v>#N/A</v>
      </c>
      <c r="AK329" s="86" t="b">
        <f t="shared" si="439"/>
        <v>0</v>
      </c>
      <c r="AL329" s="86">
        <f t="shared" si="470"/>
        <v>0.5</v>
      </c>
      <c r="AM329" s="86">
        <f t="shared" si="440"/>
        <v>0.5</v>
      </c>
      <c r="AN329" s="30" t="e">
        <f t="shared" ca="1" si="471"/>
        <v>#DIV/0!</v>
      </c>
      <c r="AO329" s="85" t="e">
        <f ca="1">IF(U329&lt;=Hypothèses!$V$7,Hypothèses!$W$7,IF(U329&lt;=Hypothèses!$V$8,Hypothèses!$W$8,IF(U329&lt;=Hypothèses!$V$9,Hypothèses!$W$9,IF(U329&lt;=Hypothèses!$V$10,Hypothèses!$W$10,IF(U329&lt;=Hypothèses!$V$11,Hypothèses!$W$11,IF(U329&lt;=Hypothèses!$V$12,Hypothèses!$W$12,IF(U329&lt;=Hypothèses!$V$13,Hypothèses!$W$13,IF(U329&lt;=Hypothèses!$V$14,Hypothèses!$W$14,IF(U329&lt;=Hypothèses!$V$15,Hypothèses!$W$15,IF(U329&lt;=Hypothèses!$V$16,Hypothèses!$W$16,IF(U329&lt;=Hypothèses!$V$17,Hypothèses!$W$17,IF(U329&lt;=Hypothèses!$V$18,Hypothèses!$W$18,""))))))))))))</f>
        <v>#DIV/0!</v>
      </c>
      <c r="AP329" s="87" t="e">
        <f t="shared" ca="1" si="517"/>
        <v>#DIV/0!</v>
      </c>
      <c r="AQ329" s="88" t="e">
        <f ca="1">IF(U329&lt;=Hypothèses!$V$7,Hypothèses!$X$7,IF(U329&lt;=Hypothèses!$V$8,Hypothèses!$X$8,IF(U329&lt;=Hypothèses!$V$9,Hypothèses!$X$9,IF(U329&lt;=Hypothèses!$V$10,Hypothèses!$X$10,IF(U329&lt;=Hypothèses!$V$11,Hypothèses!$X$11,IF(U329&lt;=Hypothèses!$V$12,Hypothèses!$X$12,IF(U329&lt;=Hypothèses!$V$13,Hypothèses!$X$13,IF(U329&lt;=Hypothèses!$V$14,Hypothèses!$X$14,IF(U329&lt;=Hypothèses!$V$15,Hypothèses!$X$15,IF(U329&lt;=Hypothèses!$V$16,Hypothèses!$X$16,IF(U329&lt;=Hypothèses!$U$17,Hypothèses!$W$17,IF(U329&lt;=Hypothèses!$U$18,Hypothèses!$W$18,""))))))))))))</f>
        <v>#DIV/0!</v>
      </c>
      <c r="AR329" s="95" t="e">
        <f t="shared" ca="1" si="472"/>
        <v>#DIV/0!</v>
      </c>
      <c r="AS329" s="101">
        <f t="shared" si="524"/>
        <v>0</v>
      </c>
      <c r="AT329" s="91">
        <f t="shared" si="441"/>
        <v>0</v>
      </c>
      <c r="AU329" s="30" t="e">
        <f t="shared" si="502"/>
        <v>#N/A</v>
      </c>
      <c r="AV329" s="30" t="e">
        <f t="shared" si="503"/>
        <v>#N/A</v>
      </c>
      <c r="AW329" s="31" t="e">
        <f>IF(OR(Hypothèses!$B$4=17,Hypothèses!$B$4=18,Hypothèses!$B$4=19,Hypothèses!$B$4=20),
IF($D329="Pressio.",
IF(OR($E329=3,$E329=1,$E329=4),AV329,AU329),
IF($D329="Pénétro.",
IF(OR($E329=3,$E329=1,$E329=4),AV329,AU329))),IF($D329="Pressio.",
IF($E329=3,AV329,AU329),
IF($D329="Pénétro.",
IF($E329=4,AV329,AU329))))</f>
        <v>#N/A</v>
      </c>
      <c r="AX329" s="31">
        <v>0</v>
      </c>
      <c r="AY329" s="102" t="e">
        <f>IF(NDC!$H$10="Oui",(VLOOKUP($B$3,'Coeff EC7'!$T$39:$X$59,2,0)*AW329+VLOOKUP($B$3,'Coeff EC7'!$T$65:$X$85,2,0)*Model0.1T!AX329)/1.5,PI()*AU$12*$Q329*($B329-$B328)*0.15/10+AY328)</f>
        <v>#N/A</v>
      </c>
      <c r="AZ329" s="102" t="e">
        <f>(VLOOKUP($B$3,'Coeff EC7'!$T$39:$X$59,3,0)*AW329+VLOOKUP($B$3,'Coeff EC7'!$T$65:$X$85,3,0)*Model0.1T!AX329)/1.1</f>
        <v>#N/A</v>
      </c>
      <c r="BA329" s="102" t="e">
        <f t="shared" si="473"/>
        <v>#N/A</v>
      </c>
      <c r="BB329" s="102" t="e">
        <f t="shared" si="474"/>
        <v>#N/A</v>
      </c>
      <c r="BC329" s="414" t="e">
        <f>IF(AND(AY329&gt;NDC!$C$63,AZ329&gt;NDC!$C$65,BA329&gt;NDC!$D$73,BB329&gt;NDC!$D$74,$B329&gt;NDC!$H$22-0.1+MIN(3*BC$12,1.5)),0,1)</f>
        <v>#N/A</v>
      </c>
      <c r="BD329" s="86" t="b">
        <f t="shared" si="442"/>
        <v>0</v>
      </c>
      <c r="BE329" s="86">
        <f t="shared" si="475"/>
        <v>0.5</v>
      </c>
      <c r="BF329" s="86">
        <f t="shared" si="443"/>
        <v>0.5</v>
      </c>
      <c r="BG329" s="30" t="e">
        <f t="shared" ca="1" si="476"/>
        <v>#DIV/0!</v>
      </c>
      <c r="BH329" s="85" t="e">
        <f ca="1">IF(AN329&lt;=Hypothèses!$V$7,Hypothèses!$W$7,IF(AN329&lt;=Hypothèses!$V$8,Hypothèses!$W$8,IF(AN329&lt;=Hypothèses!$V$9,Hypothèses!$W$9,IF(AN329&lt;=Hypothèses!$V$10,Hypothèses!$W$10,IF(AN329&lt;=Hypothèses!$V$11,Hypothèses!$W$11,IF(AN329&lt;=Hypothèses!$V$12,Hypothèses!$W$12,IF(AN329&lt;=Hypothèses!$V$13,Hypothèses!$W$13,IF(AN329&lt;=Hypothèses!$V$14,Hypothèses!$W$14,IF(AN329&lt;=Hypothèses!$V$15,Hypothèses!$W$15,IF(AN329&lt;=Hypothèses!$V$16,Hypothèses!$W$16,IF(AN329&lt;=Hypothèses!$V$17,Hypothèses!$W$17,IF(AN329&lt;=Hypothèses!$V$18,Hypothèses!$W$18,""))))))))))))</f>
        <v>#DIV/0!</v>
      </c>
      <c r="BI329" s="87" t="e">
        <f t="shared" ca="1" si="518"/>
        <v>#DIV/0!</v>
      </c>
      <c r="BJ329" s="88" t="e">
        <f ca="1">IF(AN329&lt;=Hypothèses!$V$7,Hypothèses!$X$7,IF(AN329&lt;=Hypothèses!$V$8,Hypothèses!$X$8,IF(AN329&lt;=Hypothèses!$V$9,Hypothèses!$X$9,IF(AN329&lt;=Hypothèses!$V$10,Hypothèses!$X$10,IF(AN329&lt;=Hypothèses!$V$11,Hypothèses!$X$11,IF(AN329&lt;=Hypothèses!$V$12,Hypothèses!$X$12,IF(AN329&lt;=Hypothèses!$V$13,Hypothèses!$X$13,IF(AN329&lt;=Hypothèses!$V$14,Hypothèses!$X$14,IF(AN329&lt;=Hypothèses!$V$15,Hypothèses!$X$15,IF(AN329&lt;=Hypothèses!$V$16,Hypothèses!$X$16,IF(AN329&lt;=Hypothèses!$U$17,Hypothèses!$W$17,IF(AN329&lt;=Hypothèses!$U$18,Hypothèses!$W$18,""))))))))))))</f>
        <v>#DIV/0!</v>
      </c>
      <c r="BK329" s="95" t="e">
        <f t="shared" ca="1" si="477"/>
        <v>#DIV/0!</v>
      </c>
      <c r="BL329" s="101">
        <f t="shared" si="525"/>
        <v>0</v>
      </c>
      <c r="BM329" s="91">
        <f t="shared" si="444"/>
        <v>0</v>
      </c>
      <c r="BN329" s="30" t="e">
        <f t="shared" si="504"/>
        <v>#N/A</v>
      </c>
      <c r="BO329" s="30" t="e">
        <f t="shared" si="505"/>
        <v>#N/A</v>
      </c>
      <c r="BP329" s="31" t="e">
        <f>IF(OR(Hypothèses!$B$4=17,Hypothèses!$B$4=18,Hypothèses!$B$4=19,Hypothèses!$B$4=20),
IF($D329="Pressio.",
IF(OR($E329=3,$E329=1,$E329=4),BO329,BN329),
IF($D329="Pénétro.",
IF(OR($E329=3,$E329=1,$E329=4),BO329,BN329))),IF($D329="Pressio.",
IF($E329=3,BO329,BN329),
IF($D329="Pénétro.",
IF($E329=4,BO329,BN329))))</f>
        <v>#N/A</v>
      </c>
      <c r="BQ329" s="31">
        <v>0</v>
      </c>
      <c r="BR329" s="102" t="e">
        <f>IF(NDC!$H$10="Oui",(VLOOKUP($B$3,'Coeff EC7'!$T$39:$X$59,2,0)*BP329+VLOOKUP($B$3,'Coeff EC7'!$T$65:$X$85,2,0)*Model0.1T!BQ329)/1.5,PI()*BN$12*$Q329*($B329-$B328)*0.15/10+BR328)</f>
        <v>#N/A</v>
      </c>
      <c r="BS329" s="102" t="e">
        <f>(VLOOKUP($B$3,'Coeff EC7'!$T$39:$X$59,3,0)*BP329+VLOOKUP($B$3,'Coeff EC7'!$T$65:$X$85,3,0)*Model0.1T!BQ329)/1.1</f>
        <v>#N/A</v>
      </c>
      <c r="BT329" s="102" t="e">
        <f t="shared" si="478"/>
        <v>#N/A</v>
      </c>
      <c r="BU329" s="102" t="e">
        <f t="shared" si="479"/>
        <v>#N/A</v>
      </c>
      <c r="BV329" s="414" t="e">
        <f>IF(AND(BR329&gt;NDC!$C$63,BS329&gt;NDC!$C$65,BT329&gt;NDC!$D$73,BU329&gt;NDC!$D$74,$B329&gt;NDC!$H$22-0.1+MIN(3*BV$12,1.5)),0,1)</f>
        <v>#N/A</v>
      </c>
      <c r="BW329" s="86" t="b">
        <f t="shared" si="445"/>
        <v>0</v>
      </c>
      <c r="BX329" s="86">
        <f t="shared" si="446"/>
        <v>0.5</v>
      </c>
      <c r="BY329" s="86">
        <f t="shared" si="447"/>
        <v>0.5</v>
      </c>
      <c r="BZ329" s="30" t="e">
        <f t="shared" ca="1" si="480"/>
        <v>#DIV/0!</v>
      </c>
      <c r="CA329" s="85" t="e">
        <f ca="1">IF(BG329&lt;=Hypothèses!$V$7,Hypothèses!$W$7,IF(BG329&lt;=Hypothèses!$V$8,Hypothèses!$W$8,IF(BG329&lt;=Hypothèses!$V$9,Hypothèses!$W$9,IF(BG329&lt;=Hypothèses!$V$10,Hypothèses!$W$10,IF(BG329&lt;=Hypothèses!$V$11,Hypothèses!$W$11,IF(BG329&lt;=Hypothèses!$V$12,Hypothèses!$W$12,IF(BG329&lt;=Hypothèses!$V$13,Hypothèses!$W$13,IF(BG329&lt;=Hypothèses!$V$14,Hypothèses!$W$14,IF(BG329&lt;=Hypothèses!$V$15,Hypothèses!$W$15,IF(BG329&lt;=Hypothèses!$V$16,Hypothèses!$W$16,IF(BG329&lt;=Hypothèses!$V$17,Hypothèses!$W$17,IF(BG329&lt;=Hypothèses!$V$18,Hypothèses!$W$18,""))))))))))))</f>
        <v>#DIV/0!</v>
      </c>
      <c r="CB329" s="87" t="e">
        <f t="shared" ca="1" si="519"/>
        <v>#DIV/0!</v>
      </c>
      <c r="CC329" s="88" t="e">
        <f ca="1">IF(BG329&lt;=Hypothèses!$V$7,Hypothèses!$X$7,IF(BG329&lt;=Hypothèses!$V$8,Hypothèses!$X$8,IF(BG329&lt;=Hypothèses!$V$9,Hypothèses!$X$9,IF(BG329&lt;=Hypothèses!$V$10,Hypothèses!$X$10,IF(BG329&lt;=Hypothèses!$V$11,Hypothèses!$X$11,IF(BG329&lt;=Hypothèses!$V$12,Hypothèses!$X$12,IF(BG329&lt;=Hypothèses!$V$13,Hypothèses!$X$13,IF(BG329&lt;=Hypothèses!$V$14,Hypothèses!$X$14,IF(BG329&lt;=Hypothèses!$V$15,Hypothèses!$X$15,IF(BG329&lt;=Hypothèses!$V$16,Hypothèses!$X$16,IF(BG329&lt;=Hypothèses!$U$17,Hypothèses!$W$17,IF(BG329&lt;=Hypothèses!$U$18,Hypothèses!$W$18,""))))))))))))</f>
        <v>#DIV/0!</v>
      </c>
      <c r="CD329" s="95" t="e">
        <f t="shared" ca="1" si="481"/>
        <v>#DIV/0!</v>
      </c>
      <c r="CE329" s="101">
        <f t="shared" si="526"/>
        <v>0</v>
      </c>
      <c r="CF329" s="91">
        <f t="shared" si="448"/>
        <v>0</v>
      </c>
      <c r="CG329" s="30" t="e">
        <f t="shared" si="506"/>
        <v>#N/A</v>
      </c>
      <c r="CH329" s="30" t="e">
        <f t="shared" si="507"/>
        <v>#N/A</v>
      </c>
      <c r="CI329" s="31" t="e">
        <f>IF(OR(Hypothèses!$B$4=17,Hypothèses!$B$4=18,Hypothèses!$B$4=19,Hypothèses!$B$4=20),
IF($D329="Pressio.",
IF(OR($E329=3,$E329=1,$E329=4),CH329,CG329),
IF($D329="Pénétro.",
IF(OR($E329=3,$E329=1,$E329=4),CH329,CG329))),IF($D329="Pressio.",
IF($E329=3,CH329,CG329),
IF($D329="Pénétro.",
IF($E329=4,CH329,CG329))))</f>
        <v>#N/A</v>
      </c>
      <c r="CJ329" s="31">
        <v>0</v>
      </c>
      <c r="CK329" s="102" t="e">
        <f>IF(NDC!$H$10="Oui",(VLOOKUP($B$3,'Coeff EC7'!$T$39:$X$59,2,0)*CI329+VLOOKUP($B$3,'Coeff EC7'!$T$65:$X$85,2,0)*Model0.1T!CJ329)/1.5,PI()*CG$12*$Q329*($B329-$B328)*0.15/10+CK328)</f>
        <v>#N/A</v>
      </c>
      <c r="CL329" s="102" t="e">
        <f>(VLOOKUP($B$3,'Coeff EC7'!$T$39:$X$59,3,0)*CI329+VLOOKUP($B$3,'Coeff EC7'!$T$65:$X$85,3,0)*Model0.1T!CJ329)/1.1</f>
        <v>#N/A</v>
      </c>
      <c r="CM329" s="102" t="e">
        <f t="shared" si="482"/>
        <v>#N/A</v>
      </c>
      <c r="CN329" s="102" t="e">
        <f t="shared" si="483"/>
        <v>#N/A</v>
      </c>
      <c r="CO329" s="414" t="e">
        <f>IF(AND(CK329&gt;NDC!$C$63,CL329&gt;NDC!$C$65,CM329&gt;NDC!$D$73,CN329&gt;NDC!$D$74,$B329&gt;NDC!$H$22-0.1+MIN(3*CO$12,1.5)),0,1)</f>
        <v>#N/A</v>
      </c>
      <c r="CP329" s="86" t="b">
        <f t="shared" si="449"/>
        <v>0</v>
      </c>
      <c r="CQ329" s="86">
        <f t="shared" si="450"/>
        <v>0.5</v>
      </c>
      <c r="CR329" s="86">
        <f t="shared" si="451"/>
        <v>0.5</v>
      </c>
      <c r="CS329" s="30" t="e">
        <f t="shared" ca="1" si="484"/>
        <v>#DIV/0!</v>
      </c>
      <c r="CT329" s="85" t="e">
        <f ca="1">IF(BZ329&lt;=Hypothèses!$V$7,Hypothèses!$W$7,IF(BZ329&lt;=Hypothèses!$V$8,Hypothèses!$W$8,IF(BZ329&lt;=Hypothèses!$V$9,Hypothèses!$W$9,IF(BZ329&lt;=Hypothèses!$V$10,Hypothèses!$W$10,IF(BZ329&lt;=Hypothèses!$V$11,Hypothèses!$W$11,IF(BZ329&lt;=Hypothèses!$V$12,Hypothèses!$W$12,IF(BZ329&lt;=Hypothèses!$V$13,Hypothèses!$W$13,IF(BZ329&lt;=Hypothèses!$V$14,Hypothèses!$W$14,IF(BZ329&lt;=Hypothèses!$V$15,Hypothèses!$W$15,IF(BZ329&lt;=Hypothèses!$V$16,Hypothèses!$W$16,IF(BZ329&lt;=Hypothèses!$V$17,Hypothèses!$W$17,IF(BZ329&lt;=Hypothèses!$V$18,Hypothèses!$W$18,""))))))))))))</f>
        <v>#DIV/0!</v>
      </c>
      <c r="CU329" s="87" t="e">
        <f t="shared" ca="1" si="520"/>
        <v>#DIV/0!</v>
      </c>
      <c r="CV329" s="88" t="e">
        <f ca="1">IF(BZ329&lt;=Hypothèses!$V$7,Hypothèses!$X$7,IF(BZ329&lt;=Hypothèses!$V$8,Hypothèses!$X$8,IF(BZ329&lt;=Hypothèses!$V$9,Hypothèses!$X$9,IF(BZ329&lt;=Hypothèses!$V$10,Hypothèses!$X$10,IF(BZ329&lt;=Hypothèses!$V$11,Hypothèses!$X$11,IF(BZ329&lt;=Hypothèses!$V$12,Hypothèses!$X$12,IF(BZ329&lt;=Hypothèses!$V$13,Hypothèses!$X$13,IF(BZ329&lt;=Hypothèses!$V$14,Hypothèses!$X$14,IF(BZ329&lt;=Hypothèses!$V$15,Hypothèses!$X$15,IF(BZ329&lt;=Hypothèses!$V$16,Hypothèses!$X$16,IF(BZ329&lt;=Hypothèses!$U$17,Hypothèses!$W$17,IF(BZ329&lt;=Hypothèses!$U$18,Hypothèses!$W$18,""))))))))))))</f>
        <v>#DIV/0!</v>
      </c>
      <c r="CW329" s="95" t="e">
        <f t="shared" ca="1" si="485"/>
        <v>#DIV/0!</v>
      </c>
      <c r="CX329" s="101">
        <f t="shared" si="527"/>
        <v>0</v>
      </c>
      <c r="CY329" s="91">
        <f t="shared" si="452"/>
        <v>0</v>
      </c>
      <c r="CZ329" s="30" t="e">
        <f t="shared" si="508"/>
        <v>#N/A</v>
      </c>
      <c r="DA329" s="30" t="e">
        <f t="shared" si="509"/>
        <v>#N/A</v>
      </c>
      <c r="DB329" s="31" t="e">
        <f>IF(OR(Hypothèses!$B$4=17,Hypothèses!$B$4=18,Hypothèses!$B$4=19,Hypothèses!$B$4=20),
IF($D329="Pressio.",
IF(OR($E329=3,$E329=1,$E329=4),DA329,CZ329),
IF($D329="Pénétro.",
IF(OR($E329=3,$E329=1,$E329=4),DA329,CZ329))),IF($D329="Pressio.",
IF($E329=3,DA329,CZ329),
IF($D329="Pénétro.",
IF($E329=4,DA329,CZ329))))</f>
        <v>#N/A</v>
      </c>
      <c r="DC329" s="31">
        <v>0</v>
      </c>
      <c r="DD329" s="102" t="e">
        <f>IF(NDC!$H$10="Oui",(VLOOKUP($B$3,'Coeff EC7'!$T$39:$X$59,2,0)*DB329+VLOOKUP($B$3,'Coeff EC7'!$T$65:$X$85,2,0)*Model0.1T!DC329)/1.5,PI()*CZ$12*$Q329*($B329-$B328)*0.15/10+DD328)</f>
        <v>#N/A</v>
      </c>
      <c r="DE329" s="102" t="e">
        <f>(VLOOKUP($B$3,'Coeff EC7'!$T$39:$X$59,3,0)*DB329+VLOOKUP($B$3,'Coeff EC7'!$T$65:$X$85,3,0)*Model0.1T!DC329)/1.1</f>
        <v>#N/A</v>
      </c>
      <c r="DF329" s="102" t="e">
        <f t="shared" si="486"/>
        <v>#N/A</v>
      </c>
      <c r="DG329" s="102" t="e">
        <f t="shared" si="487"/>
        <v>#N/A</v>
      </c>
      <c r="DH329" s="414" t="e">
        <f>IF(AND(DD329&gt;NDC!$C$63,DE329&gt;NDC!$C$65,DF329&gt;NDC!$D$73,DG329&gt;NDC!$D$74,$B329&gt;NDC!$H$22-0.1+MIN(3*DH$12,1.5)),0,1)</f>
        <v>#N/A</v>
      </c>
      <c r="DI329" s="86" t="b">
        <f t="shared" si="453"/>
        <v>0</v>
      </c>
      <c r="DJ329" s="86">
        <f t="shared" si="454"/>
        <v>0.5</v>
      </c>
      <c r="DK329" s="86">
        <f t="shared" si="455"/>
        <v>0.5</v>
      </c>
      <c r="DL329" s="30" t="e">
        <f t="shared" ca="1" si="488"/>
        <v>#DIV/0!</v>
      </c>
      <c r="DM329" s="85" t="e">
        <f ca="1">IF(CS329&lt;=Hypothèses!$V$7,Hypothèses!$W$7,IF(CS329&lt;=Hypothèses!$V$8,Hypothèses!$W$8,IF(CS329&lt;=Hypothèses!$V$9,Hypothèses!$W$9,IF(CS329&lt;=Hypothèses!$V$10,Hypothèses!$W$10,IF(CS329&lt;=Hypothèses!$V$11,Hypothèses!$W$11,IF(CS329&lt;=Hypothèses!$V$12,Hypothèses!$W$12,IF(CS329&lt;=Hypothèses!$V$13,Hypothèses!$W$13,IF(CS329&lt;=Hypothèses!$V$14,Hypothèses!$W$14,IF(CS329&lt;=Hypothèses!$V$15,Hypothèses!$W$15,IF(CS329&lt;=Hypothèses!$V$16,Hypothèses!$W$16,IF(CS329&lt;=Hypothèses!$V$17,Hypothèses!$W$17,IF(CS329&lt;=Hypothèses!$V$18,Hypothèses!$W$18,""))))))))))))</f>
        <v>#DIV/0!</v>
      </c>
      <c r="DN329" s="87" t="e">
        <f t="shared" ca="1" si="521"/>
        <v>#DIV/0!</v>
      </c>
      <c r="DO329" s="88" t="e">
        <f ca="1">IF(CS329&lt;=Hypothèses!$V$7,Hypothèses!$X$7,IF(CS329&lt;=Hypothèses!$V$8,Hypothèses!$X$8,IF(CS329&lt;=Hypothèses!$V$9,Hypothèses!$X$9,IF(CS329&lt;=Hypothèses!$V$10,Hypothèses!$X$10,IF(CS329&lt;=Hypothèses!$V$11,Hypothèses!$X$11,IF(CS329&lt;=Hypothèses!$V$12,Hypothèses!$X$12,IF(CS329&lt;=Hypothèses!$V$13,Hypothèses!$X$13,IF(CS329&lt;=Hypothèses!$V$14,Hypothèses!$X$14,IF(CS329&lt;=Hypothèses!$V$15,Hypothèses!$X$15,IF(CS329&lt;=Hypothèses!$V$16,Hypothèses!$X$16,IF(CS329&lt;=Hypothèses!$U$17,Hypothèses!$W$17,IF(CS329&lt;=Hypothèses!$U$18,Hypothèses!$W$18,""))))))))))))</f>
        <v>#DIV/0!</v>
      </c>
      <c r="DP329" s="95" t="e">
        <f t="shared" ca="1" si="489"/>
        <v>#DIV/0!</v>
      </c>
      <c r="DQ329" s="101">
        <f t="shared" si="528"/>
        <v>0</v>
      </c>
      <c r="DR329" s="91">
        <f t="shared" si="456"/>
        <v>0</v>
      </c>
      <c r="DS329" s="30" t="e">
        <f t="shared" si="510"/>
        <v>#N/A</v>
      </c>
      <c r="DT329" s="30" t="e">
        <f t="shared" si="511"/>
        <v>#N/A</v>
      </c>
      <c r="DU329" s="31" t="e">
        <f>IF(OR(Hypothèses!$B$4=17,Hypothèses!$B$4=18,Hypothèses!$B$4=19,Hypothèses!$B$4=20),
IF($D329="Pressio.",
IF(OR($E329=3,$E329=1,$E329=4),DT329,DS329),
IF($D329="Pénétro.",
IF(OR($E329=3,$E329=1,$E329=4),DT329,DS329))),IF($D329="Pressio.",
IF($E329=3,DT329,DS329),
IF($D329="Pénétro.",
IF($E329=4,DT329,DS329))))</f>
        <v>#N/A</v>
      </c>
      <c r="DV329" s="31">
        <v>0</v>
      </c>
      <c r="DW329" s="102" t="e">
        <f>IF(NDC!$H$10="Oui",(VLOOKUP($B$3,'Coeff EC7'!$T$39:$X$59,2,0)*DU329+VLOOKUP($B$3,'Coeff EC7'!$T$65:$X$85,2,0)*Model0.1T!DV329)/1.5,PI()*DS$12*$Q329*($B329-$B328)*0.15/10+DW328)</f>
        <v>#N/A</v>
      </c>
      <c r="DX329" s="102" t="e">
        <f>(VLOOKUP($B$3,'Coeff EC7'!$T$39:$X$59,3,0)*DU329+VLOOKUP($B$3,'Coeff EC7'!$T$65:$X$85,3,0)*Model0.1T!DV329)/1.1</f>
        <v>#N/A</v>
      </c>
      <c r="DY329" s="102" t="e">
        <f t="shared" si="490"/>
        <v>#N/A</v>
      </c>
      <c r="DZ329" s="102" t="e">
        <f t="shared" si="491"/>
        <v>#N/A</v>
      </c>
      <c r="EA329" s="414" t="e">
        <f>IF(AND(DW329&gt;NDC!$C$63,DX329&gt;NDC!$C$65,DY329&gt;NDC!$D$73,DZ329&gt;NDC!$D$74,$B329&gt;NDC!$H$22-0.1+MIN(3*EA$12,1.5)),0,1)</f>
        <v>#N/A</v>
      </c>
      <c r="EB329" s="86" t="b">
        <f t="shared" si="457"/>
        <v>0</v>
      </c>
      <c r="EC329" s="418">
        <f t="shared" si="458"/>
        <v>0.51</v>
      </c>
      <c r="ED329" s="86">
        <f t="shared" si="459"/>
        <v>0.51</v>
      </c>
      <c r="EE329" s="30" t="e">
        <f t="shared" ca="1" si="492"/>
        <v>#DIV/0!</v>
      </c>
      <c r="EF329" s="85" t="e">
        <f ca="1">IF(DL329&lt;=Hypothèses!$V$7,Hypothèses!$W$7,IF(DL329&lt;=Hypothèses!$V$8,Hypothèses!$W$8,IF(DL329&lt;=Hypothèses!$V$9,Hypothèses!$W$9,IF(DL329&lt;=Hypothèses!$V$10,Hypothèses!$W$10,IF(DL329&lt;=Hypothèses!$V$11,Hypothèses!$W$11,IF(DL329&lt;=Hypothèses!$V$12,Hypothèses!$W$12,IF(DL329&lt;=Hypothèses!$V$13,Hypothèses!$W$13,IF(DL329&lt;=Hypothèses!$V$14,Hypothèses!$W$14,IF(DL329&lt;=Hypothèses!$V$15,Hypothèses!$W$15,IF(DL329&lt;=Hypothèses!$V$16,Hypothèses!$W$16,IF(DL329&lt;=Hypothèses!$V$17,Hypothèses!$W$17,IF(DL329&lt;=Hypothèses!$V$18,Hypothèses!$W$18,""))))))))))))</f>
        <v>#DIV/0!</v>
      </c>
      <c r="EG329" s="87" t="e">
        <f t="shared" ca="1" si="522"/>
        <v>#DIV/0!</v>
      </c>
      <c r="EH329" s="88" t="e">
        <f ca="1">IF(DL329&lt;=Hypothèses!$V$7,Hypothèses!$X$7,IF(DL329&lt;=Hypothèses!$V$8,Hypothèses!$X$8,IF(DL329&lt;=Hypothèses!$V$9,Hypothèses!$X$9,IF(DL329&lt;=Hypothèses!$V$10,Hypothèses!$X$10,IF(DL329&lt;=Hypothèses!$V$11,Hypothèses!$X$11,IF(DL329&lt;=Hypothèses!$V$12,Hypothèses!$X$12,IF(DL329&lt;=Hypothèses!$V$13,Hypothèses!$X$13,IF(DL329&lt;=Hypothèses!$V$14,Hypothèses!$X$14,IF(DL329&lt;=Hypothèses!$V$15,Hypothèses!$X$15,IF(DL329&lt;=Hypothèses!$V$16,Hypothèses!$X$16,IF(DL329&lt;=Hypothèses!$U$17,Hypothèses!$W$17,IF(DL329&lt;=Hypothèses!$U$18,Hypothèses!$W$18,""))))))))))))</f>
        <v>#DIV/0!</v>
      </c>
      <c r="EI329" s="95" t="e">
        <f t="shared" ca="1" si="493"/>
        <v>#DIV/0!</v>
      </c>
      <c r="EJ329" s="101">
        <f t="shared" si="529"/>
        <v>0</v>
      </c>
      <c r="EK329" s="91">
        <f t="shared" si="460"/>
        <v>0</v>
      </c>
      <c r="EL329" s="30" t="e">
        <f t="shared" si="512"/>
        <v>#N/A</v>
      </c>
      <c r="EM329" s="30" t="e">
        <f t="shared" si="513"/>
        <v>#N/A</v>
      </c>
      <c r="EN329" s="31" t="e">
        <f>IF(OR(Hypothèses!$B$4=17,Hypothèses!$B$4=18,Hypothèses!$B$4=19,Hypothèses!$B$4=20),
IF($D329="Pressio.",
IF(OR($E329=3,$E329=1,$E329=4),EM329,EL329),
IF($D329="Pénétro.",
IF(OR($E329=3,$E329=1,$E329=4),EM329,EL329))),IF($D329="Pressio.",
IF($E329=3,EM329,EL329),
IF($D329="Pénétro.",
IF($E329=4,EM329,EL329))))</f>
        <v>#N/A</v>
      </c>
      <c r="EO329" s="31">
        <v>0</v>
      </c>
      <c r="EP329" s="102" t="e">
        <f>IF(NDC!$H$10="Oui",(VLOOKUP($B$3,'Coeff EC7'!$T$39:$X$59,2,0)*EN329+VLOOKUP($B$3,'Coeff EC7'!$T$65:$X$85,2,0)*Model0.1T!EO329)/1.5,PI()*EL$12*$Q329*($B329-$B328)*0.15/10+EP328)</f>
        <v>#N/A</v>
      </c>
      <c r="EQ329" s="102" t="e">
        <f>(VLOOKUP($B$3,'Coeff EC7'!$T$39:$X$59,3,0)*EN329+VLOOKUP($B$3,'Coeff EC7'!$T$65:$X$85,3,0)*Model0.1T!EO329)/1.1</f>
        <v>#N/A</v>
      </c>
      <c r="ER329" s="102" t="e">
        <f t="shared" si="494"/>
        <v>#N/A</v>
      </c>
      <c r="ES329" s="102" t="e">
        <f t="shared" si="495"/>
        <v>#N/A</v>
      </c>
      <c r="ET329" s="414" t="e">
        <f>IF(AND(EP329&gt;NDC!$C$63,EQ329&gt;NDC!$C$65,ER329&gt;NDC!$D$73,ES329&gt;NDC!$D$74,$B329&gt;NDC!$H$22-0.1+MIN(3*ET$12,1.5)),0,1)</f>
        <v>#N/A</v>
      </c>
      <c r="EU329" s="86" t="b">
        <f t="shared" si="461"/>
        <v>0</v>
      </c>
      <c r="EV329" s="86">
        <f t="shared" si="462"/>
        <v>0.61</v>
      </c>
      <c r="EW329" s="86">
        <f t="shared" si="463"/>
        <v>0.61</v>
      </c>
      <c r="EX329" s="30" t="e">
        <f t="shared" ca="1" si="496"/>
        <v>#DIV/0!</v>
      </c>
      <c r="EY329" s="85" t="e">
        <f ca="1">IF(EE329&lt;=Hypothèses!$V$7,Hypothèses!$W$7,IF(EE329&lt;=Hypothèses!$V$8,Hypothèses!$W$8,IF(EE329&lt;=Hypothèses!$V$9,Hypothèses!$W$9,IF(EE329&lt;=Hypothèses!$V$10,Hypothèses!$W$10,IF(EE329&lt;=Hypothèses!$V$11,Hypothèses!$W$11,IF(EE329&lt;=Hypothèses!$V$12,Hypothèses!$W$12,IF(EE329&lt;=Hypothèses!$V$13,Hypothèses!$W$13,IF(EE329&lt;=Hypothèses!$V$14,Hypothèses!$W$14,IF(EE329&lt;=Hypothèses!$V$15,Hypothèses!$W$15,IF(EE329&lt;=Hypothèses!$V$16,Hypothèses!$W$16,IF(EE329&lt;=Hypothèses!$V$17,Hypothèses!$W$17,IF(EE329&lt;=Hypothèses!$V$18,Hypothèses!$W$18,""))))))))))))</f>
        <v>#DIV/0!</v>
      </c>
      <c r="EZ329" s="87" t="e">
        <f t="shared" ca="1" si="523"/>
        <v>#DIV/0!</v>
      </c>
      <c r="FA329" s="88" t="e">
        <f ca="1">IF(EE329&lt;=Hypothèses!$V$7,Hypothèses!$X$7,IF(EE329&lt;=Hypothèses!$V$8,Hypothèses!$X$8,IF(EE329&lt;=Hypothèses!$V$9,Hypothèses!$X$9,IF(EE329&lt;=Hypothèses!$V$10,Hypothèses!$X$10,IF(EE329&lt;=Hypothèses!$V$11,Hypothèses!$X$11,IF(EE329&lt;=Hypothèses!$V$12,Hypothèses!$X$12,IF(EE329&lt;=Hypothèses!$V$13,Hypothèses!$X$13,IF(EE329&lt;=Hypothèses!$V$14,Hypothèses!$X$14,IF(EE329&lt;=Hypothèses!$V$15,Hypothèses!$X$15,IF(EE329&lt;=Hypothèses!$V$16,Hypothèses!$X$16,IF(EE329&lt;=Hypothèses!$U$17,Hypothèses!$W$17,IF(EE329&lt;=Hypothèses!$U$18,Hypothèses!$W$18,""))))))))))))</f>
        <v>#DIV/0!</v>
      </c>
      <c r="FB329" s="95" t="e">
        <f t="shared" ca="1" si="497"/>
        <v>#DIV/0!</v>
      </c>
      <c r="FC329" s="101">
        <f t="shared" si="530"/>
        <v>0</v>
      </c>
      <c r="FD329" s="91">
        <f t="shared" si="464"/>
        <v>0</v>
      </c>
      <c r="FE329" s="30" t="e">
        <f t="shared" si="514"/>
        <v>#N/A</v>
      </c>
      <c r="FF329" s="30" t="e">
        <f t="shared" si="515"/>
        <v>#N/A</v>
      </c>
      <c r="FG329" s="31" t="e">
        <f>IF(OR(Hypothèses!$B$4=17,Hypothèses!$B$4=18,Hypothèses!$B$4=19,Hypothèses!$B$4=20),
IF($D329="Pressio.",
IF(OR($E329=3,$E329=1,$E329=4),FF329,FE329),
IF($D329="Pénétro.",
IF(OR($E329=3,$E329=1,$E329=4),FF329,FE329))),IF($D329="Pressio.",
IF($E329=3,FF329,FE329),
IF($D329="Pénétro.",
IF($E329=4,FF329,FE329))))</f>
        <v>#N/A</v>
      </c>
      <c r="FH329" s="31">
        <v>0</v>
      </c>
      <c r="FI329" s="102" t="e">
        <f>IF(NDC!$H$10="Oui",(VLOOKUP($B$3,'Coeff EC7'!$T$39:$X$59,2,0)*FG329+VLOOKUP($B$3,'Coeff EC7'!$T$65:$X$85,2,0)*Model0.1T!FH329)/1.5,PI()*FE$12*$Q329*($B329-$B328)*0.15/10+FI328)</f>
        <v>#N/A</v>
      </c>
      <c r="FJ329" s="102" t="e">
        <f>(VLOOKUP($B$3,'Coeff EC7'!$T$39:$X$59,3,0)*FG329+VLOOKUP($B$3,'Coeff EC7'!$T$65:$X$85,3,0)*Model0.1T!FH329)/1.1</f>
        <v>#N/A</v>
      </c>
      <c r="FK329" s="102" t="e">
        <f t="shared" si="498"/>
        <v>#N/A</v>
      </c>
      <c r="FL329" s="102" t="e">
        <f t="shared" si="499"/>
        <v>#N/A</v>
      </c>
      <c r="FM329" s="414" t="e">
        <f>IF(AND(FI329&gt;NDC!$C$63,FJ329&gt;NDC!$C$65,FK329&gt;NDC!$D$73,FL329&gt;NDC!$D$74,$B329&gt;NDC!$H$22-0.1+MIN(3*FM$12,1.5)),0,1)</f>
        <v>#N/A</v>
      </c>
    </row>
    <row r="330" spans="1:169">
      <c r="A330" s="96">
        <f t="shared" si="465"/>
        <v>68.300000000001802</v>
      </c>
      <c r="B330" s="97">
        <v>31.7</v>
      </c>
      <c r="C330" s="81">
        <f>IF(B330&lt;=Hypothèses!$C$7,Hypothèses!$A$7,IF(B330&lt;=Hypothèses!$C$8,Hypothèses!$A$8,IF(B330&lt;=Hypothèses!$C$9,Hypothèses!$A$9,IF(B330&lt;=Hypothèses!$C$10,Hypothèses!$A$10,IF(B330&lt;=Hypothèses!$C$11,Hypothèses!$A$11,IF(B330&lt;=Hypothèses!$C$12,Hypothèses!$A$12,IF(B330&lt;=Hypothèses!$C$13,Hypothèses!$A$13,IF(B330&lt;=Hypothèses!$C$14,Hypothèses!$A$14,IF(B330&lt;=Hypothèses!$C$15,Hypothèses!$A$15,IF(B330&lt;=Hypothèses!$C$16,Hypothèses!$A$16,IF(B330&lt;=Hypothèses!$C$17,Hypothèses!$A$17,IF(B330&lt;=Hypothèses!$C$18,Hypothèses!$A$18,C329))))))))))))</f>
        <v>11</v>
      </c>
      <c r="D330" s="82" t="str">
        <f>IF(B330&lt;=Hypothèses!$C$7,Hypothèses!$R$7,IF(B330&lt;=Hypothèses!$C$8,Hypothèses!$R$8,IF(B330&lt;=Hypothèses!$C$9,Hypothèses!$R$9,IF(B330&lt;=Hypothèses!$C$10,Hypothèses!$R$10,IF(B330&lt;=Hypothèses!$C$11,Hypothèses!$R$11,IF(B330&lt;=Hypothèses!$C$12,Hypothèses!$R$12,IF(B330&lt;=Hypothèses!$C$13,Hypothèses!$R$13,IF(B330&lt;=Hypothèses!$C$14,Hypothèses!$R$14,IF(B330&lt;=Hypothèses!$C$15,Hypothèses!$R$15,IF(B330&lt;=Hypothèses!$C$16,Hypothèses!$R$16,IF(B330&lt;=Hypothèses!$C$17,Hypothèses!$R$17,IF(B330&lt;=Hypothèses!$C$18,Hypothèses!$R$18,D329))))))))))))</f>
        <v>Pressio.</v>
      </c>
      <c r="E330" s="82" t="e">
        <f>IF(B330&lt;=Hypothèses!$C$7,Hypothèses!$G$7,IF(B330&lt;=Hypothèses!$C$8,Hypothèses!$G$8,IF(B330&lt;=Hypothèses!$C$9,Hypothèses!$G$9,IF(B330&lt;=Hypothèses!$C$10,Hypothèses!$G$10,IF(B330&lt;=Hypothèses!$C$11,Hypothèses!$G$11,IF(B330&lt;=Hypothèses!$C$12,Hypothèses!$G$12,IF(B330&lt;=Hypothèses!$C$13,Hypothèses!$G$13,IF(B330&lt;=Hypothèses!$C$14,Hypothèses!$G$14,IF(B330&lt;=Hypothèses!$C$15,Hypothèses!$G$15,IF(B330&lt;=Hypothèses!$C$16,Hypothèses!$G$16,IF(B330&lt;=Hypothèses!$C$17,Hypothèses!$G$17,IF(B330&lt;=Hypothèses!$C$18,Hypothèses!$G$18,E329))))))))))))</f>
        <v>#N/A</v>
      </c>
      <c r="F330" s="82" t="str">
        <f>IF(B330&lt;=Hypothèses!$C$7,Hypothèses!$F$7,IF(B330&lt;=Hypothèses!$C$8,Hypothèses!$F$8,IF(B330&lt;=Hypothèses!$C$9,Hypothèses!$F$9,IF(B330&lt;=Hypothèses!$C$10,Hypothèses!$F$10,IF(B330&lt;=Hypothèses!$C$11,Hypothèses!$F$11,IF(B330&lt;=Hypothèses!$C$12,Hypothèses!$F$12,IF(B330&lt;=Hypothèses!$C$13,Hypothèses!$F$13,IF(B330&lt;=Hypothèses!$C$14,Hypothèses!$F$14,IF(B330&lt;=Hypothèses!$C$15,Hypothèses!$F$15,IF(B330&lt;=Hypothèses!$C$16,Hypothèses!$F$16,IF(B330&lt;=Hypothèses!$C$17,Hypothèses!$F$17,IF(B330&lt;=Hypothèses!$C$18,Hypothèses!$F$18,F329))))))))))))</f>
        <v/>
      </c>
      <c r="G330" s="91">
        <f t="array" ref="G330">INDEX('Coeff EC7'!$U$7:$X$27,
MATCH(Model0.1T!$B$3,'Coeff EC7'!$T$7:$T$27,0),
MATCH(Model0.1T!$D330&amp;Model0.1T!$B$4,
'Coeff EC7'!$U$6:$X$6&amp;
'Coeff EC7'!$U$5:$X$5,0))</f>
        <v>1.4</v>
      </c>
      <c r="H330" s="91">
        <f t="array" ref="H330">INDEX('Coeff EC7'!$Y$7:$AB$27,
MATCH(Model0.1T!$B$3,'Coeff EC7'!$T$7:$T$27,0),
MATCH(Model0.1T!$D330&amp;Model0.1T!$B$4,
'Coeff EC7'!$Y$6:$AB$6&amp;
'Coeff EC7'!$Y$5:$AB$5,0))</f>
        <v>1.7</v>
      </c>
      <c r="I330" s="83">
        <v>0</v>
      </c>
      <c r="J330" s="91" t="e">
        <f t="array" ref="J330">INDEX('Coeff EC7'!$D$33:$Q$33,1,MATCH(D330&amp;E330,'Coeff EC7'!$D$31:$Q$31&amp;'Coeff EC7'!$D$32:$Q$32,0))</f>
        <v>#N/A</v>
      </c>
      <c r="K330" s="91" t="e">
        <f t="array" ref="K330">INDEX('Coeff EC7'!$D$34:$Q$34,1,MATCH(D330&amp;E330,'Coeff EC7'!$D$31:$Q$31&amp;'Coeff EC7'!$D$32:$Q$32,0))</f>
        <v>#N/A</v>
      </c>
      <c r="L330" s="91" t="e">
        <f t="array" ref="L330">INDEX('Coeff EC7'!$D$35:$Q$35,1,MATCH(D330&amp;E330,'Coeff EC7'!$D$31:$Q$31&amp;'Coeff EC7'!$D$32:$Q$32,0))</f>
        <v>#N/A</v>
      </c>
      <c r="M330" s="98" t="e">
        <f t="shared" si="431"/>
        <v>#N/A</v>
      </c>
      <c r="N330" s="99" t="e">
        <f t="array" ref="N330">INDEX('Coeff EC7'!$D$7:$Q$27,MATCH($B$3,'Coeff EC7'!$C$7:$C$27,0),MATCH(D330&amp;E330,'Coeff EC7'!$D$5:$Q$5&amp;'Coeff EC7'!$D$6:$Q$6,0))</f>
        <v>#N/A</v>
      </c>
      <c r="O330" s="99" t="e">
        <f t="array" ref="O330">INDEX('Coeff EC7'!$D$41:$Q$61,MATCH($B$3,'Coeff EC7'!$C$41:$C$61,0),MATCH(D330&amp;E330,'Coeff EC7'!$D$39:$Q$39&amp;'Coeff EC7'!$D$40:$Q$40,0))</f>
        <v>#N/A</v>
      </c>
      <c r="P330" s="30" t="e">
        <f t="shared" si="466"/>
        <v>#N/A</v>
      </c>
      <c r="Q330" s="100" t="e">
        <f t="shared" si="433"/>
        <v>#N/A</v>
      </c>
      <c r="R330" s="86" t="b">
        <f t="shared" si="434"/>
        <v>0</v>
      </c>
      <c r="S330" s="86">
        <f t="shared" si="432"/>
        <v>0.5</v>
      </c>
      <c r="T330" s="86">
        <f t="shared" si="435"/>
        <v>0.5</v>
      </c>
      <c r="U330" s="30" t="e">
        <f t="shared" ca="1" si="467"/>
        <v>#DIV/0!</v>
      </c>
      <c r="V330" s="85" t="str">
        <f>IF(B330&lt;=Hypothèses!$V$7,Hypothèses!$W$7,IF(B330&lt;=Hypothèses!$V$8,Hypothèses!$W$8,IF(B330&lt;=Hypothèses!$V$9,Hypothèses!$W$9,IF(B330&lt;=Hypothèses!$V$10,Hypothèses!$W$10,IF(B330&lt;=Hypothèses!$V$11,Hypothèses!$W$11,IF(B330&lt;=Hypothèses!$V$12,Hypothèses!$W$12,IF(B330&lt;=Hypothèses!$V$13,Hypothèses!$W$13,IF(B330&lt;=Hypothèses!$V$14,Hypothèses!$W$14,IF(B330&lt;=Hypothèses!$V$15,Hypothèses!$W$15,IF(B330&lt;=Hypothèses!$V$16,Hypothèses!$W$16,IF(B330&lt;=Hypothèses!$V$17,Hypothèses!$W$17,IF(B330&lt;=Hypothèses!$V$18,Hypothèses!$W$18,""))))))))))))</f>
        <v/>
      </c>
      <c r="W330" s="87" t="e">
        <f t="shared" ca="1" si="516"/>
        <v>#DIV/0!</v>
      </c>
      <c r="X330" s="88" t="str">
        <f>IF(B330&lt;=Hypothèses!$V$7,Hypothèses!$X$7,IF(B330&lt;=Hypothèses!$V$8,Hypothèses!$X$8,IF(B330&lt;=Hypothèses!$V$9,Hypothèses!$X$9,IF(B330&lt;=Hypothèses!$V$10,Hypothèses!$X$10,IF(B330&lt;=Hypothèses!$V$11,Hypothèses!$X$11,IF(B330&lt;=Hypothèses!$V$12,Hypothèses!$X$12,IF(B330&lt;=Hypothèses!$V$13,Hypothèses!$X$13,IF(B330&lt;=Hypothèses!$V$14,Hypothèses!$X$14,IF(B330&lt;=Hypothèses!$V$15,Hypothèses!$X$15,IF(B330&lt;=Hypothèses!$V$16,Hypothèses!$X$16,IF(B330&lt;=Hypothèses!$U$17,Hypothèses!$W$17,IF(B330&lt;=Hypothèses!$U$18,Hypothèses!$W$18,""))))))))))))</f>
        <v/>
      </c>
      <c r="Y330" s="95" t="e">
        <f t="shared" ca="1" si="436"/>
        <v>#DIV/0!</v>
      </c>
      <c r="Z330" s="101">
        <f t="shared" si="437"/>
        <v>0</v>
      </c>
      <c r="AA330" s="91">
        <f t="shared" si="438"/>
        <v>0</v>
      </c>
      <c r="AB330" s="30" t="e">
        <f t="shared" si="500"/>
        <v>#N/A</v>
      </c>
      <c r="AC330" s="30" t="e">
        <f t="shared" si="501"/>
        <v>#N/A</v>
      </c>
      <c r="AD330" s="31" t="e">
        <f>IF(OR(Hypothèses!$B$4=17,Hypothèses!$B$4=18,Hypothèses!$B$4=19,Hypothèses!$B$4=20),
IF($D330="Pressio.",
IF(OR($E330=3,$E330=1,$E330=4),AC330,AB330),
IF($D330="Pénétro.",
IF(OR($E330=3,$E330=1,$E330=4),AC330,AB330))),IF($D330="Pressio.",
IF($E330=3,AC330,AB330),
IF($D330="Pénétro.",
IF($E330=4,AC330,AB330))))</f>
        <v>#N/A</v>
      </c>
      <c r="AE330" s="31">
        <v>0</v>
      </c>
      <c r="AF330" s="102" t="e">
        <f>IF(NDC!$H$10="Oui",(VLOOKUP($B$3,'Coeff EC7'!$T$39:$X$59,2,0)*AD330+VLOOKUP($B$3,'Coeff EC7'!$T$65:$X$85,2,0)*Model0.1T!AE330)/1.5,PI()*AB$12*$Q330*($B330-$B329)*0.15/10+AF329)</f>
        <v>#N/A</v>
      </c>
      <c r="AG330" s="102" t="e">
        <f>(VLOOKUP($B$3,'Coeff EC7'!$T$39:$X$59,3,0)*AD330+VLOOKUP($B$3,'Coeff EC7'!$T$65:$X$85,3,0)*Model0.1T!AE330)/1.1</f>
        <v>#N/A</v>
      </c>
      <c r="AH330" s="102" t="e">
        <f t="shared" si="468"/>
        <v>#N/A</v>
      </c>
      <c r="AI330" s="102" t="e">
        <f t="shared" si="469"/>
        <v>#N/A</v>
      </c>
      <c r="AJ330" s="414" t="e">
        <f>IF(AND(AF330&gt;NDC!$C$63,AG330&gt;NDC!$C$65,AH330&gt;NDC!$D$73,AI330&gt;NDC!$D$74,$B330&gt;NDC!$H$22-0.1+MIN(3*$AJ$12,1.5)),0,1)</f>
        <v>#N/A</v>
      </c>
      <c r="AK330" s="86" t="b">
        <f t="shared" si="439"/>
        <v>0</v>
      </c>
      <c r="AL330" s="86">
        <f t="shared" si="470"/>
        <v>0.5</v>
      </c>
      <c r="AM330" s="86">
        <f t="shared" si="440"/>
        <v>0.5</v>
      </c>
      <c r="AN330" s="30" t="e">
        <f t="shared" ca="1" si="471"/>
        <v>#DIV/0!</v>
      </c>
      <c r="AO330" s="85" t="e">
        <f ca="1">IF(U330&lt;=Hypothèses!$V$7,Hypothèses!$W$7,IF(U330&lt;=Hypothèses!$V$8,Hypothèses!$W$8,IF(U330&lt;=Hypothèses!$V$9,Hypothèses!$W$9,IF(U330&lt;=Hypothèses!$V$10,Hypothèses!$W$10,IF(U330&lt;=Hypothèses!$V$11,Hypothèses!$W$11,IF(U330&lt;=Hypothèses!$V$12,Hypothèses!$W$12,IF(U330&lt;=Hypothèses!$V$13,Hypothèses!$W$13,IF(U330&lt;=Hypothèses!$V$14,Hypothèses!$W$14,IF(U330&lt;=Hypothèses!$V$15,Hypothèses!$W$15,IF(U330&lt;=Hypothèses!$V$16,Hypothèses!$W$16,IF(U330&lt;=Hypothèses!$V$17,Hypothèses!$W$17,IF(U330&lt;=Hypothèses!$V$18,Hypothèses!$W$18,""))))))))))))</f>
        <v>#DIV/0!</v>
      </c>
      <c r="AP330" s="87" t="e">
        <f t="shared" ca="1" si="517"/>
        <v>#DIV/0!</v>
      </c>
      <c r="AQ330" s="88" t="e">
        <f ca="1">IF(U330&lt;=Hypothèses!$V$7,Hypothèses!$X$7,IF(U330&lt;=Hypothèses!$V$8,Hypothèses!$X$8,IF(U330&lt;=Hypothèses!$V$9,Hypothèses!$X$9,IF(U330&lt;=Hypothèses!$V$10,Hypothèses!$X$10,IF(U330&lt;=Hypothèses!$V$11,Hypothèses!$X$11,IF(U330&lt;=Hypothèses!$V$12,Hypothèses!$X$12,IF(U330&lt;=Hypothèses!$V$13,Hypothèses!$X$13,IF(U330&lt;=Hypothèses!$V$14,Hypothèses!$X$14,IF(U330&lt;=Hypothèses!$V$15,Hypothèses!$X$15,IF(U330&lt;=Hypothèses!$V$16,Hypothèses!$X$16,IF(U330&lt;=Hypothèses!$U$17,Hypothèses!$W$17,IF(U330&lt;=Hypothèses!$U$18,Hypothèses!$W$18,""))))))))))))</f>
        <v>#DIV/0!</v>
      </c>
      <c r="AR330" s="95" t="e">
        <f t="shared" ca="1" si="472"/>
        <v>#DIV/0!</v>
      </c>
      <c r="AS330" s="101">
        <f t="shared" si="524"/>
        <v>0</v>
      </c>
      <c r="AT330" s="91">
        <f t="shared" si="441"/>
        <v>0</v>
      </c>
      <c r="AU330" s="30" t="e">
        <f t="shared" si="502"/>
        <v>#N/A</v>
      </c>
      <c r="AV330" s="30" t="e">
        <f t="shared" si="503"/>
        <v>#N/A</v>
      </c>
      <c r="AW330" s="31" t="e">
        <f>IF(OR(Hypothèses!$B$4=17,Hypothèses!$B$4=18,Hypothèses!$B$4=19,Hypothèses!$B$4=20),
IF($D330="Pressio.",
IF(OR($E330=3,$E330=1,$E330=4),AV330,AU330),
IF($D330="Pénétro.",
IF(OR($E330=3,$E330=1,$E330=4),AV330,AU330))),IF($D330="Pressio.",
IF($E330=3,AV330,AU330),
IF($D330="Pénétro.",
IF($E330=4,AV330,AU330))))</f>
        <v>#N/A</v>
      </c>
      <c r="AX330" s="31">
        <v>0</v>
      </c>
      <c r="AY330" s="102" t="e">
        <f>IF(NDC!$H$10="Oui",(VLOOKUP($B$3,'Coeff EC7'!$T$39:$X$59,2,0)*AW330+VLOOKUP($B$3,'Coeff EC7'!$T$65:$X$85,2,0)*Model0.1T!AX330)/1.5,PI()*AU$12*$Q330*($B330-$B329)*0.15/10+AY329)</f>
        <v>#N/A</v>
      </c>
      <c r="AZ330" s="102" t="e">
        <f>(VLOOKUP($B$3,'Coeff EC7'!$T$39:$X$59,3,0)*AW330+VLOOKUP($B$3,'Coeff EC7'!$T$65:$X$85,3,0)*Model0.1T!AX330)/1.1</f>
        <v>#N/A</v>
      </c>
      <c r="BA330" s="102" t="e">
        <f t="shared" si="473"/>
        <v>#N/A</v>
      </c>
      <c r="BB330" s="102" t="e">
        <f t="shared" si="474"/>
        <v>#N/A</v>
      </c>
      <c r="BC330" s="414" t="e">
        <f>IF(AND(AY330&gt;NDC!$C$63,AZ330&gt;NDC!$C$65,BA330&gt;NDC!$D$73,BB330&gt;NDC!$D$74,$B330&gt;NDC!$H$22-0.1+MIN(3*BC$12,1.5)),0,1)</f>
        <v>#N/A</v>
      </c>
      <c r="BD330" s="86" t="b">
        <f t="shared" si="442"/>
        <v>0</v>
      </c>
      <c r="BE330" s="86">
        <f t="shared" si="475"/>
        <v>0.5</v>
      </c>
      <c r="BF330" s="86">
        <f t="shared" si="443"/>
        <v>0.5</v>
      </c>
      <c r="BG330" s="30" t="e">
        <f t="shared" ca="1" si="476"/>
        <v>#DIV/0!</v>
      </c>
      <c r="BH330" s="85" t="e">
        <f ca="1">IF(AN330&lt;=Hypothèses!$V$7,Hypothèses!$W$7,IF(AN330&lt;=Hypothèses!$V$8,Hypothèses!$W$8,IF(AN330&lt;=Hypothèses!$V$9,Hypothèses!$W$9,IF(AN330&lt;=Hypothèses!$V$10,Hypothèses!$W$10,IF(AN330&lt;=Hypothèses!$V$11,Hypothèses!$W$11,IF(AN330&lt;=Hypothèses!$V$12,Hypothèses!$W$12,IF(AN330&lt;=Hypothèses!$V$13,Hypothèses!$W$13,IF(AN330&lt;=Hypothèses!$V$14,Hypothèses!$W$14,IF(AN330&lt;=Hypothèses!$V$15,Hypothèses!$W$15,IF(AN330&lt;=Hypothèses!$V$16,Hypothèses!$W$16,IF(AN330&lt;=Hypothèses!$V$17,Hypothèses!$W$17,IF(AN330&lt;=Hypothèses!$V$18,Hypothèses!$W$18,""))))))))))))</f>
        <v>#DIV/0!</v>
      </c>
      <c r="BI330" s="87" t="e">
        <f t="shared" ca="1" si="518"/>
        <v>#DIV/0!</v>
      </c>
      <c r="BJ330" s="88" t="e">
        <f ca="1">IF(AN330&lt;=Hypothèses!$V$7,Hypothèses!$X$7,IF(AN330&lt;=Hypothèses!$V$8,Hypothèses!$X$8,IF(AN330&lt;=Hypothèses!$V$9,Hypothèses!$X$9,IF(AN330&lt;=Hypothèses!$V$10,Hypothèses!$X$10,IF(AN330&lt;=Hypothèses!$V$11,Hypothèses!$X$11,IF(AN330&lt;=Hypothèses!$V$12,Hypothèses!$X$12,IF(AN330&lt;=Hypothèses!$V$13,Hypothèses!$X$13,IF(AN330&lt;=Hypothèses!$V$14,Hypothèses!$X$14,IF(AN330&lt;=Hypothèses!$V$15,Hypothèses!$X$15,IF(AN330&lt;=Hypothèses!$V$16,Hypothèses!$X$16,IF(AN330&lt;=Hypothèses!$U$17,Hypothèses!$W$17,IF(AN330&lt;=Hypothèses!$U$18,Hypothèses!$W$18,""))))))))))))</f>
        <v>#DIV/0!</v>
      </c>
      <c r="BK330" s="95" t="e">
        <f t="shared" ca="1" si="477"/>
        <v>#DIV/0!</v>
      </c>
      <c r="BL330" s="101">
        <f t="shared" si="525"/>
        <v>0</v>
      </c>
      <c r="BM330" s="91">
        <f t="shared" si="444"/>
        <v>0</v>
      </c>
      <c r="BN330" s="30" t="e">
        <f t="shared" si="504"/>
        <v>#N/A</v>
      </c>
      <c r="BO330" s="30" t="e">
        <f t="shared" si="505"/>
        <v>#N/A</v>
      </c>
      <c r="BP330" s="31" t="e">
        <f>IF(OR(Hypothèses!$B$4=17,Hypothèses!$B$4=18,Hypothèses!$B$4=19,Hypothèses!$B$4=20),
IF($D330="Pressio.",
IF(OR($E330=3,$E330=1,$E330=4),BO330,BN330),
IF($D330="Pénétro.",
IF(OR($E330=3,$E330=1,$E330=4),BO330,BN330))),IF($D330="Pressio.",
IF($E330=3,BO330,BN330),
IF($D330="Pénétro.",
IF($E330=4,BO330,BN330))))</f>
        <v>#N/A</v>
      </c>
      <c r="BQ330" s="31">
        <v>0</v>
      </c>
      <c r="BR330" s="102" t="e">
        <f>IF(NDC!$H$10="Oui",(VLOOKUP($B$3,'Coeff EC7'!$T$39:$X$59,2,0)*BP330+VLOOKUP($B$3,'Coeff EC7'!$T$65:$X$85,2,0)*Model0.1T!BQ330)/1.5,PI()*BN$12*$Q330*($B330-$B329)*0.15/10+BR329)</f>
        <v>#N/A</v>
      </c>
      <c r="BS330" s="102" t="e">
        <f>(VLOOKUP($B$3,'Coeff EC7'!$T$39:$X$59,3,0)*BP330+VLOOKUP($B$3,'Coeff EC7'!$T$65:$X$85,3,0)*Model0.1T!BQ330)/1.1</f>
        <v>#N/A</v>
      </c>
      <c r="BT330" s="102" t="e">
        <f t="shared" si="478"/>
        <v>#N/A</v>
      </c>
      <c r="BU330" s="102" t="e">
        <f t="shared" si="479"/>
        <v>#N/A</v>
      </c>
      <c r="BV330" s="414" t="e">
        <f>IF(AND(BR330&gt;NDC!$C$63,BS330&gt;NDC!$C$65,BT330&gt;NDC!$D$73,BU330&gt;NDC!$D$74,$B330&gt;NDC!$H$22-0.1+MIN(3*BV$12,1.5)),0,1)</f>
        <v>#N/A</v>
      </c>
      <c r="BW330" s="86" t="b">
        <f t="shared" si="445"/>
        <v>0</v>
      </c>
      <c r="BX330" s="86">
        <f t="shared" si="446"/>
        <v>0.5</v>
      </c>
      <c r="BY330" s="86">
        <f t="shared" si="447"/>
        <v>0.5</v>
      </c>
      <c r="BZ330" s="30" t="e">
        <f t="shared" ca="1" si="480"/>
        <v>#DIV/0!</v>
      </c>
      <c r="CA330" s="85" t="e">
        <f ca="1">IF(BG330&lt;=Hypothèses!$V$7,Hypothèses!$W$7,IF(BG330&lt;=Hypothèses!$V$8,Hypothèses!$W$8,IF(BG330&lt;=Hypothèses!$V$9,Hypothèses!$W$9,IF(BG330&lt;=Hypothèses!$V$10,Hypothèses!$W$10,IF(BG330&lt;=Hypothèses!$V$11,Hypothèses!$W$11,IF(BG330&lt;=Hypothèses!$V$12,Hypothèses!$W$12,IF(BG330&lt;=Hypothèses!$V$13,Hypothèses!$W$13,IF(BG330&lt;=Hypothèses!$V$14,Hypothèses!$W$14,IF(BG330&lt;=Hypothèses!$V$15,Hypothèses!$W$15,IF(BG330&lt;=Hypothèses!$V$16,Hypothèses!$W$16,IF(BG330&lt;=Hypothèses!$V$17,Hypothèses!$W$17,IF(BG330&lt;=Hypothèses!$V$18,Hypothèses!$W$18,""))))))))))))</f>
        <v>#DIV/0!</v>
      </c>
      <c r="CB330" s="87" t="e">
        <f t="shared" ca="1" si="519"/>
        <v>#DIV/0!</v>
      </c>
      <c r="CC330" s="88" t="e">
        <f ca="1">IF(BG330&lt;=Hypothèses!$V$7,Hypothèses!$X$7,IF(BG330&lt;=Hypothèses!$V$8,Hypothèses!$X$8,IF(BG330&lt;=Hypothèses!$V$9,Hypothèses!$X$9,IF(BG330&lt;=Hypothèses!$V$10,Hypothèses!$X$10,IF(BG330&lt;=Hypothèses!$V$11,Hypothèses!$X$11,IF(BG330&lt;=Hypothèses!$V$12,Hypothèses!$X$12,IF(BG330&lt;=Hypothèses!$V$13,Hypothèses!$X$13,IF(BG330&lt;=Hypothèses!$V$14,Hypothèses!$X$14,IF(BG330&lt;=Hypothèses!$V$15,Hypothèses!$X$15,IF(BG330&lt;=Hypothèses!$V$16,Hypothèses!$X$16,IF(BG330&lt;=Hypothèses!$U$17,Hypothèses!$W$17,IF(BG330&lt;=Hypothèses!$U$18,Hypothèses!$W$18,""))))))))))))</f>
        <v>#DIV/0!</v>
      </c>
      <c r="CD330" s="95" t="e">
        <f t="shared" ca="1" si="481"/>
        <v>#DIV/0!</v>
      </c>
      <c r="CE330" s="101">
        <f t="shared" si="526"/>
        <v>0</v>
      </c>
      <c r="CF330" s="91">
        <f t="shared" si="448"/>
        <v>0</v>
      </c>
      <c r="CG330" s="30" t="e">
        <f t="shared" si="506"/>
        <v>#N/A</v>
      </c>
      <c r="CH330" s="30" t="e">
        <f t="shared" si="507"/>
        <v>#N/A</v>
      </c>
      <c r="CI330" s="31" t="e">
        <f>IF(OR(Hypothèses!$B$4=17,Hypothèses!$B$4=18,Hypothèses!$B$4=19,Hypothèses!$B$4=20),
IF($D330="Pressio.",
IF(OR($E330=3,$E330=1,$E330=4),CH330,CG330),
IF($D330="Pénétro.",
IF(OR($E330=3,$E330=1,$E330=4),CH330,CG330))),IF($D330="Pressio.",
IF($E330=3,CH330,CG330),
IF($D330="Pénétro.",
IF($E330=4,CH330,CG330))))</f>
        <v>#N/A</v>
      </c>
      <c r="CJ330" s="31">
        <v>0</v>
      </c>
      <c r="CK330" s="102" t="e">
        <f>IF(NDC!$H$10="Oui",(VLOOKUP($B$3,'Coeff EC7'!$T$39:$X$59,2,0)*CI330+VLOOKUP($B$3,'Coeff EC7'!$T$65:$X$85,2,0)*Model0.1T!CJ330)/1.5,PI()*CG$12*$Q330*($B330-$B329)*0.15/10+CK329)</f>
        <v>#N/A</v>
      </c>
      <c r="CL330" s="102" t="e">
        <f>(VLOOKUP($B$3,'Coeff EC7'!$T$39:$X$59,3,0)*CI330+VLOOKUP($B$3,'Coeff EC7'!$T$65:$X$85,3,0)*Model0.1T!CJ330)/1.1</f>
        <v>#N/A</v>
      </c>
      <c r="CM330" s="102" t="e">
        <f t="shared" si="482"/>
        <v>#N/A</v>
      </c>
      <c r="CN330" s="102" t="e">
        <f t="shared" si="483"/>
        <v>#N/A</v>
      </c>
      <c r="CO330" s="414" t="e">
        <f>IF(AND(CK330&gt;NDC!$C$63,CL330&gt;NDC!$C$65,CM330&gt;NDC!$D$73,CN330&gt;NDC!$D$74,$B330&gt;NDC!$H$22-0.1+MIN(3*CO$12,1.5)),0,1)</f>
        <v>#N/A</v>
      </c>
      <c r="CP330" s="86" t="b">
        <f t="shared" si="449"/>
        <v>0</v>
      </c>
      <c r="CQ330" s="86">
        <f t="shared" si="450"/>
        <v>0.5</v>
      </c>
      <c r="CR330" s="86">
        <f t="shared" si="451"/>
        <v>0.5</v>
      </c>
      <c r="CS330" s="30" t="e">
        <f t="shared" ca="1" si="484"/>
        <v>#DIV/0!</v>
      </c>
      <c r="CT330" s="85" t="e">
        <f ca="1">IF(BZ330&lt;=Hypothèses!$V$7,Hypothèses!$W$7,IF(BZ330&lt;=Hypothèses!$V$8,Hypothèses!$W$8,IF(BZ330&lt;=Hypothèses!$V$9,Hypothèses!$W$9,IF(BZ330&lt;=Hypothèses!$V$10,Hypothèses!$W$10,IF(BZ330&lt;=Hypothèses!$V$11,Hypothèses!$W$11,IF(BZ330&lt;=Hypothèses!$V$12,Hypothèses!$W$12,IF(BZ330&lt;=Hypothèses!$V$13,Hypothèses!$W$13,IF(BZ330&lt;=Hypothèses!$V$14,Hypothèses!$W$14,IF(BZ330&lt;=Hypothèses!$V$15,Hypothèses!$W$15,IF(BZ330&lt;=Hypothèses!$V$16,Hypothèses!$W$16,IF(BZ330&lt;=Hypothèses!$V$17,Hypothèses!$W$17,IF(BZ330&lt;=Hypothèses!$V$18,Hypothèses!$W$18,""))))))))))))</f>
        <v>#DIV/0!</v>
      </c>
      <c r="CU330" s="87" t="e">
        <f t="shared" ca="1" si="520"/>
        <v>#DIV/0!</v>
      </c>
      <c r="CV330" s="88" t="e">
        <f ca="1">IF(BZ330&lt;=Hypothèses!$V$7,Hypothèses!$X$7,IF(BZ330&lt;=Hypothèses!$V$8,Hypothèses!$X$8,IF(BZ330&lt;=Hypothèses!$V$9,Hypothèses!$X$9,IF(BZ330&lt;=Hypothèses!$V$10,Hypothèses!$X$10,IF(BZ330&lt;=Hypothèses!$V$11,Hypothèses!$X$11,IF(BZ330&lt;=Hypothèses!$V$12,Hypothèses!$X$12,IF(BZ330&lt;=Hypothèses!$V$13,Hypothèses!$X$13,IF(BZ330&lt;=Hypothèses!$V$14,Hypothèses!$X$14,IF(BZ330&lt;=Hypothèses!$V$15,Hypothèses!$X$15,IF(BZ330&lt;=Hypothèses!$V$16,Hypothèses!$X$16,IF(BZ330&lt;=Hypothèses!$U$17,Hypothèses!$W$17,IF(BZ330&lt;=Hypothèses!$U$18,Hypothèses!$W$18,""))))))))))))</f>
        <v>#DIV/0!</v>
      </c>
      <c r="CW330" s="95" t="e">
        <f t="shared" ca="1" si="485"/>
        <v>#DIV/0!</v>
      </c>
      <c r="CX330" s="101">
        <f t="shared" si="527"/>
        <v>0</v>
      </c>
      <c r="CY330" s="91">
        <f t="shared" si="452"/>
        <v>0</v>
      </c>
      <c r="CZ330" s="30" t="e">
        <f t="shared" si="508"/>
        <v>#N/A</v>
      </c>
      <c r="DA330" s="30" t="e">
        <f t="shared" si="509"/>
        <v>#N/A</v>
      </c>
      <c r="DB330" s="31" t="e">
        <f>IF(OR(Hypothèses!$B$4=17,Hypothèses!$B$4=18,Hypothèses!$B$4=19,Hypothèses!$B$4=20),
IF($D330="Pressio.",
IF(OR($E330=3,$E330=1,$E330=4),DA330,CZ330),
IF($D330="Pénétro.",
IF(OR($E330=3,$E330=1,$E330=4),DA330,CZ330))),IF($D330="Pressio.",
IF($E330=3,DA330,CZ330),
IF($D330="Pénétro.",
IF($E330=4,DA330,CZ330))))</f>
        <v>#N/A</v>
      </c>
      <c r="DC330" s="31">
        <v>0</v>
      </c>
      <c r="DD330" s="102" t="e">
        <f>IF(NDC!$H$10="Oui",(VLOOKUP($B$3,'Coeff EC7'!$T$39:$X$59,2,0)*DB330+VLOOKUP($B$3,'Coeff EC7'!$T$65:$X$85,2,0)*Model0.1T!DC330)/1.5,PI()*CZ$12*$Q330*($B330-$B329)*0.15/10+DD329)</f>
        <v>#N/A</v>
      </c>
      <c r="DE330" s="102" t="e">
        <f>(VLOOKUP($B$3,'Coeff EC7'!$T$39:$X$59,3,0)*DB330+VLOOKUP($B$3,'Coeff EC7'!$T$65:$X$85,3,0)*Model0.1T!DC330)/1.1</f>
        <v>#N/A</v>
      </c>
      <c r="DF330" s="102" t="e">
        <f t="shared" si="486"/>
        <v>#N/A</v>
      </c>
      <c r="DG330" s="102" t="e">
        <f t="shared" si="487"/>
        <v>#N/A</v>
      </c>
      <c r="DH330" s="414" t="e">
        <f>IF(AND(DD330&gt;NDC!$C$63,DE330&gt;NDC!$C$65,DF330&gt;NDC!$D$73,DG330&gt;NDC!$D$74,$B330&gt;NDC!$H$22-0.1+MIN(3*DH$12,1.5)),0,1)</f>
        <v>#N/A</v>
      </c>
      <c r="DI330" s="86" t="b">
        <f t="shared" si="453"/>
        <v>0</v>
      </c>
      <c r="DJ330" s="86">
        <f t="shared" si="454"/>
        <v>0.5</v>
      </c>
      <c r="DK330" s="86">
        <f t="shared" si="455"/>
        <v>0.5</v>
      </c>
      <c r="DL330" s="30" t="e">
        <f t="shared" ca="1" si="488"/>
        <v>#DIV/0!</v>
      </c>
      <c r="DM330" s="85" t="e">
        <f ca="1">IF(CS330&lt;=Hypothèses!$V$7,Hypothèses!$W$7,IF(CS330&lt;=Hypothèses!$V$8,Hypothèses!$W$8,IF(CS330&lt;=Hypothèses!$V$9,Hypothèses!$W$9,IF(CS330&lt;=Hypothèses!$V$10,Hypothèses!$W$10,IF(CS330&lt;=Hypothèses!$V$11,Hypothèses!$W$11,IF(CS330&lt;=Hypothèses!$V$12,Hypothèses!$W$12,IF(CS330&lt;=Hypothèses!$V$13,Hypothèses!$W$13,IF(CS330&lt;=Hypothèses!$V$14,Hypothèses!$W$14,IF(CS330&lt;=Hypothèses!$V$15,Hypothèses!$W$15,IF(CS330&lt;=Hypothèses!$V$16,Hypothèses!$W$16,IF(CS330&lt;=Hypothèses!$V$17,Hypothèses!$W$17,IF(CS330&lt;=Hypothèses!$V$18,Hypothèses!$W$18,""))))))))))))</f>
        <v>#DIV/0!</v>
      </c>
      <c r="DN330" s="87" t="e">
        <f t="shared" ca="1" si="521"/>
        <v>#DIV/0!</v>
      </c>
      <c r="DO330" s="88" t="e">
        <f ca="1">IF(CS330&lt;=Hypothèses!$V$7,Hypothèses!$X$7,IF(CS330&lt;=Hypothèses!$V$8,Hypothèses!$X$8,IF(CS330&lt;=Hypothèses!$V$9,Hypothèses!$X$9,IF(CS330&lt;=Hypothèses!$V$10,Hypothèses!$X$10,IF(CS330&lt;=Hypothèses!$V$11,Hypothèses!$X$11,IF(CS330&lt;=Hypothèses!$V$12,Hypothèses!$X$12,IF(CS330&lt;=Hypothèses!$V$13,Hypothèses!$X$13,IF(CS330&lt;=Hypothèses!$V$14,Hypothèses!$X$14,IF(CS330&lt;=Hypothèses!$V$15,Hypothèses!$X$15,IF(CS330&lt;=Hypothèses!$V$16,Hypothèses!$X$16,IF(CS330&lt;=Hypothèses!$U$17,Hypothèses!$W$17,IF(CS330&lt;=Hypothèses!$U$18,Hypothèses!$W$18,""))))))))))))</f>
        <v>#DIV/0!</v>
      </c>
      <c r="DP330" s="95" t="e">
        <f t="shared" ca="1" si="489"/>
        <v>#DIV/0!</v>
      </c>
      <c r="DQ330" s="101">
        <f t="shared" si="528"/>
        <v>0</v>
      </c>
      <c r="DR330" s="91">
        <f t="shared" si="456"/>
        <v>0</v>
      </c>
      <c r="DS330" s="30" t="e">
        <f t="shared" si="510"/>
        <v>#N/A</v>
      </c>
      <c r="DT330" s="30" t="e">
        <f t="shared" si="511"/>
        <v>#N/A</v>
      </c>
      <c r="DU330" s="31" t="e">
        <f>IF(OR(Hypothèses!$B$4=17,Hypothèses!$B$4=18,Hypothèses!$B$4=19,Hypothèses!$B$4=20),
IF($D330="Pressio.",
IF(OR($E330=3,$E330=1,$E330=4),DT330,DS330),
IF($D330="Pénétro.",
IF(OR($E330=3,$E330=1,$E330=4),DT330,DS330))),IF($D330="Pressio.",
IF($E330=3,DT330,DS330),
IF($D330="Pénétro.",
IF($E330=4,DT330,DS330))))</f>
        <v>#N/A</v>
      </c>
      <c r="DV330" s="31">
        <v>0</v>
      </c>
      <c r="DW330" s="102" t="e">
        <f>IF(NDC!$H$10="Oui",(VLOOKUP($B$3,'Coeff EC7'!$T$39:$X$59,2,0)*DU330+VLOOKUP($B$3,'Coeff EC7'!$T$65:$X$85,2,0)*Model0.1T!DV330)/1.5,PI()*DS$12*$Q330*($B330-$B329)*0.15/10+DW329)</f>
        <v>#N/A</v>
      </c>
      <c r="DX330" s="102" t="e">
        <f>(VLOOKUP($B$3,'Coeff EC7'!$T$39:$X$59,3,0)*DU330+VLOOKUP($B$3,'Coeff EC7'!$T$65:$X$85,3,0)*Model0.1T!DV330)/1.1</f>
        <v>#N/A</v>
      </c>
      <c r="DY330" s="102" t="e">
        <f t="shared" si="490"/>
        <v>#N/A</v>
      </c>
      <c r="DZ330" s="102" t="e">
        <f t="shared" si="491"/>
        <v>#N/A</v>
      </c>
      <c r="EA330" s="414" t="e">
        <f>IF(AND(DW330&gt;NDC!$C$63,DX330&gt;NDC!$C$65,DY330&gt;NDC!$D$73,DZ330&gt;NDC!$D$74,$B330&gt;NDC!$H$22-0.1+MIN(3*EA$12,1.5)),0,1)</f>
        <v>#N/A</v>
      </c>
      <c r="EB330" s="86" t="b">
        <f t="shared" si="457"/>
        <v>0</v>
      </c>
      <c r="EC330" s="418">
        <f t="shared" si="458"/>
        <v>0.51</v>
      </c>
      <c r="ED330" s="86">
        <f t="shared" si="459"/>
        <v>0.51</v>
      </c>
      <c r="EE330" s="30" t="e">
        <f t="shared" ca="1" si="492"/>
        <v>#DIV/0!</v>
      </c>
      <c r="EF330" s="85" t="e">
        <f ca="1">IF(DL330&lt;=Hypothèses!$V$7,Hypothèses!$W$7,IF(DL330&lt;=Hypothèses!$V$8,Hypothèses!$W$8,IF(DL330&lt;=Hypothèses!$V$9,Hypothèses!$W$9,IF(DL330&lt;=Hypothèses!$V$10,Hypothèses!$W$10,IF(DL330&lt;=Hypothèses!$V$11,Hypothèses!$W$11,IF(DL330&lt;=Hypothèses!$V$12,Hypothèses!$W$12,IF(DL330&lt;=Hypothèses!$V$13,Hypothèses!$W$13,IF(DL330&lt;=Hypothèses!$V$14,Hypothèses!$W$14,IF(DL330&lt;=Hypothèses!$V$15,Hypothèses!$W$15,IF(DL330&lt;=Hypothèses!$V$16,Hypothèses!$W$16,IF(DL330&lt;=Hypothèses!$V$17,Hypothèses!$W$17,IF(DL330&lt;=Hypothèses!$V$18,Hypothèses!$W$18,""))))))))))))</f>
        <v>#DIV/0!</v>
      </c>
      <c r="EG330" s="87" t="e">
        <f t="shared" ca="1" si="522"/>
        <v>#DIV/0!</v>
      </c>
      <c r="EH330" s="88" t="e">
        <f ca="1">IF(DL330&lt;=Hypothèses!$V$7,Hypothèses!$X$7,IF(DL330&lt;=Hypothèses!$V$8,Hypothèses!$X$8,IF(DL330&lt;=Hypothèses!$V$9,Hypothèses!$X$9,IF(DL330&lt;=Hypothèses!$V$10,Hypothèses!$X$10,IF(DL330&lt;=Hypothèses!$V$11,Hypothèses!$X$11,IF(DL330&lt;=Hypothèses!$V$12,Hypothèses!$X$12,IF(DL330&lt;=Hypothèses!$V$13,Hypothèses!$X$13,IF(DL330&lt;=Hypothèses!$V$14,Hypothèses!$X$14,IF(DL330&lt;=Hypothèses!$V$15,Hypothèses!$X$15,IF(DL330&lt;=Hypothèses!$V$16,Hypothèses!$X$16,IF(DL330&lt;=Hypothèses!$U$17,Hypothèses!$W$17,IF(DL330&lt;=Hypothèses!$U$18,Hypothèses!$W$18,""))))))))))))</f>
        <v>#DIV/0!</v>
      </c>
      <c r="EI330" s="95" t="e">
        <f t="shared" ca="1" si="493"/>
        <v>#DIV/0!</v>
      </c>
      <c r="EJ330" s="101">
        <f t="shared" si="529"/>
        <v>0</v>
      </c>
      <c r="EK330" s="91">
        <f t="shared" si="460"/>
        <v>0</v>
      </c>
      <c r="EL330" s="30" t="e">
        <f t="shared" si="512"/>
        <v>#N/A</v>
      </c>
      <c r="EM330" s="30" t="e">
        <f t="shared" si="513"/>
        <v>#N/A</v>
      </c>
      <c r="EN330" s="31" t="e">
        <f>IF(OR(Hypothèses!$B$4=17,Hypothèses!$B$4=18,Hypothèses!$B$4=19,Hypothèses!$B$4=20),
IF($D330="Pressio.",
IF(OR($E330=3,$E330=1,$E330=4),EM330,EL330),
IF($D330="Pénétro.",
IF(OR($E330=3,$E330=1,$E330=4),EM330,EL330))),IF($D330="Pressio.",
IF($E330=3,EM330,EL330),
IF($D330="Pénétro.",
IF($E330=4,EM330,EL330))))</f>
        <v>#N/A</v>
      </c>
      <c r="EO330" s="31">
        <v>0</v>
      </c>
      <c r="EP330" s="102" t="e">
        <f>IF(NDC!$H$10="Oui",(VLOOKUP($B$3,'Coeff EC7'!$T$39:$X$59,2,0)*EN330+VLOOKUP($B$3,'Coeff EC7'!$T$65:$X$85,2,0)*Model0.1T!EO330)/1.5,PI()*EL$12*$Q330*($B330-$B329)*0.15/10+EP329)</f>
        <v>#N/A</v>
      </c>
      <c r="EQ330" s="102" t="e">
        <f>(VLOOKUP($B$3,'Coeff EC7'!$T$39:$X$59,3,0)*EN330+VLOOKUP($B$3,'Coeff EC7'!$T$65:$X$85,3,0)*Model0.1T!EO330)/1.1</f>
        <v>#N/A</v>
      </c>
      <c r="ER330" s="102" t="e">
        <f t="shared" si="494"/>
        <v>#N/A</v>
      </c>
      <c r="ES330" s="102" t="e">
        <f t="shared" si="495"/>
        <v>#N/A</v>
      </c>
      <c r="ET330" s="414" t="e">
        <f>IF(AND(EP330&gt;NDC!$C$63,EQ330&gt;NDC!$C$65,ER330&gt;NDC!$D$73,ES330&gt;NDC!$D$74,$B330&gt;NDC!$H$22-0.1+MIN(3*ET$12,1.5)),0,1)</f>
        <v>#N/A</v>
      </c>
      <c r="EU330" s="86" t="b">
        <f t="shared" si="461"/>
        <v>0</v>
      </c>
      <c r="EV330" s="86">
        <f t="shared" si="462"/>
        <v>0.61</v>
      </c>
      <c r="EW330" s="86">
        <f t="shared" si="463"/>
        <v>0.61</v>
      </c>
      <c r="EX330" s="30" t="e">
        <f t="shared" ca="1" si="496"/>
        <v>#DIV/0!</v>
      </c>
      <c r="EY330" s="85" t="e">
        <f ca="1">IF(EE330&lt;=Hypothèses!$V$7,Hypothèses!$W$7,IF(EE330&lt;=Hypothèses!$V$8,Hypothèses!$W$8,IF(EE330&lt;=Hypothèses!$V$9,Hypothèses!$W$9,IF(EE330&lt;=Hypothèses!$V$10,Hypothèses!$W$10,IF(EE330&lt;=Hypothèses!$V$11,Hypothèses!$W$11,IF(EE330&lt;=Hypothèses!$V$12,Hypothèses!$W$12,IF(EE330&lt;=Hypothèses!$V$13,Hypothèses!$W$13,IF(EE330&lt;=Hypothèses!$V$14,Hypothèses!$W$14,IF(EE330&lt;=Hypothèses!$V$15,Hypothèses!$W$15,IF(EE330&lt;=Hypothèses!$V$16,Hypothèses!$W$16,IF(EE330&lt;=Hypothèses!$V$17,Hypothèses!$W$17,IF(EE330&lt;=Hypothèses!$V$18,Hypothèses!$W$18,""))))))))))))</f>
        <v>#DIV/0!</v>
      </c>
      <c r="EZ330" s="87" t="e">
        <f t="shared" ca="1" si="523"/>
        <v>#DIV/0!</v>
      </c>
      <c r="FA330" s="88" t="e">
        <f ca="1">IF(EE330&lt;=Hypothèses!$V$7,Hypothèses!$X$7,IF(EE330&lt;=Hypothèses!$V$8,Hypothèses!$X$8,IF(EE330&lt;=Hypothèses!$V$9,Hypothèses!$X$9,IF(EE330&lt;=Hypothèses!$V$10,Hypothèses!$X$10,IF(EE330&lt;=Hypothèses!$V$11,Hypothèses!$X$11,IF(EE330&lt;=Hypothèses!$V$12,Hypothèses!$X$12,IF(EE330&lt;=Hypothèses!$V$13,Hypothèses!$X$13,IF(EE330&lt;=Hypothèses!$V$14,Hypothèses!$X$14,IF(EE330&lt;=Hypothèses!$V$15,Hypothèses!$X$15,IF(EE330&lt;=Hypothèses!$V$16,Hypothèses!$X$16,IF(EE330&lt;=Hypothèses!$U$17,Hypothèses!$W$17,IF(EE330&lt;=Hypothèses!$U$18,Hypothèses!$W$18,""))))))))))))</f>
        <v>#DIV/0!</v>
      </c>
      <c r="FB330" s="95" t="e">
        <f t="shared" ca="1" si="497"/>
        <v>#DIV/0!</v>
      </c>
      <c r="FC330" s="101">
        <f t="shared" si="530"/>
        <v>0</v>
      </c>
      <c r="FD330" s="91">
        <f t="shared" si="464"/>
        <v>0</v>
      </c>
      <c r="FE330" s="30" t="e">
        <f t="shared" si="514"/>
        <v>#N/A</v>
      </c>
      <c r="FF330" s="30" t="e">
        <f t="shared" si="515"/>
        <v>#N/A</v>
      </c>
      <c r="FG330" s="31" t="e">
        <f>IF(OR(Hypothèses!$B$4=17,Hypothèses!$B$4=18,Hypothèses!$B$4=19,Hypothèses!$B$4=20),
IF($D330="Pressio.",
IF(OR($E330=3,$E330=1,$E330=4),FF330,FE330),
IF($D330="Pénétro.",
IF(OR($E330=3,$E330=1,$E330=4),FF330,FE330))),IF($D330="Pressio.",
IF($E330=3,FF330,FE330),
IF($D330="Pénétro.",
IF($E330=4,FF330,FE330))))</f>
        <v>#N/A</v>
      </c>
      <c r="FH330" s="31">
        <v>0</v>
      </c>
      <c r="FI330" s="102" t="e">
        <f>IF(NDC!$H$10="Oui",(VLOOKUP($B$3,'Coeff EC7'!$T$39:$X$59,2,0)*FG330+VLOOKUP($B$3,'Coeff EC7'!$T$65:$X$85,2,0)*Model0.1T!FH330)/1.5,PI()*FE$12*$Q330*($B330-$B329)*0.15/10+FI329)</f>
        <v>#N/A</v>
      </c>
      <c r="FJ330" s="102" t="e">
        <f>(VLOOKUP($B$3,'Coeff EC7'!$T$39:$X$59,3,0)*FG330+VLOOKUP($B$3,'Coeff EC7'!$T$65:$X$85,3,0)*Model0.1T!FH330)/1.1</f>
        <v>#N/A</v>
      </c>
      <c r="FK330" s="102" t="e">
        <f t="shared" si="498"/>
        <v>#N/A</v>
      </c>
      <c r="FL330" s="102" t="e">
        <f t="shared" si="499"/>
        <v>#N/A</v>
      </c>
      <c r="FM330" s="414" t="e">
        <f>IF(AND(FI330&gt;NDC!$C$63,FJ330&gt;NDC!$C$65,FK330&gt;NDC!$D$73,FL330&gt;NDC!$D$74,$B330&gt;NDC!$H$22-0.1+MIN(3*FM$12,1.5)),0,1)</f>
        <v>#N/A</v>
      </c>
    </row>
    <row r="331" spans="1:169">
      <c r="A331" s="96">
        <f t="shared" si="465"/>
        <v>68.200000000001808</v>
      </c>
      <c r="B331" s="97">
        <v>31.8</v>
      </c>
      <c r="C331" s="81">
        <f>IF(B331&lt;=Hypothèses!$C$7,Hypothèses!$A$7,IF(B331&lt;=Hypothèses!$C$8,Hypothèses!$A$8,IF(B331&lt;=Hypothèses!$C$9,Hypothèses!$A$9,IF(B331&lt;=Hypothèses!$C$10,Hypothèses!$A$10,IF(B331&lt;=Hypothèses!$C$11,Hypothèses!$A$11,IF(B331&lt;=Hypothèses!$C$12,Hypothèses!$A$12,IF(B331&lt;=Hypothèses!$C$13,Hypothèses!$A$13,IF(B331&lt;=Hypothèses!$C$14,Hypothèses!$A$14,IF(B331&lt;=Hypothèses!$C$15,Hypothèses!$A$15,IF(B331&lt;=Hypothèses!$C$16,Hypothèses!$A$16,IF(B331&lt;=Hypothèses!$C$17,Hypothèses!$A$17,IF(B331&lt;=Hypothèses!$C$18,Hypothèses!$A$18,C330))))))))))))</f>
        <v>11</v>
      </c>
      <c r="D331" s="82" t="str">
        <f>IF(B331&lt;=Hypothèses!$C$7,Hypothèses!$R$7,IF(B331&lt;=Hypothèses!$C$8,Hypothèses!$R$8,IF(B331&lt;=Hypothèses!$C$9,Hypothèses!$R$9,IF(B331&lt;=Hypothèses!$C$10,Hypothèses!$R$10,IF(B331&lt;=Hypothèses!$C$11,Hypothèses!$R$11,IF(B331&lt;=Hypothèses!$C$12,Hypothèses!$R$12,IF(B331&lt;=Hypothèses!$C$13,Hypothèses!$R$13,IF(B331&lt;=Hypothèses!$C$14,Hypothèses!$R$14,IF(B331&lt;=Hypothèses!$C$15,Hypothèses!$R$15,IF(B331&lt;=Hypothèses!$C$16,Hypothèses!$R$16,IF(B331&lt;=Hypothèses!$C$17,Hypothèses!$R$17,IF(B331&lt;=Hypothèses!$C$18,Hypothèses!$R$18,D330))))))))))))</f>
        <v>Pressio.</v>
      </c>
      <c r="E331" s="82" t="e">
        <f>IF(B331&lt;=Hypothèses!$C$7,Hypothèses!$G$7,IF(B331&lt;=Hypothèses!$C$8,Hypothèses!$G$8,IF(B331&lt;=Hypothèses!$C$9,Hypothèses!$G$9,IF(B331&lt;=Hypothèses!$C$10,Hypothèses!$G$10,IF(B331&lt;=Hypothèses!$C$11,Hypothèses!$G$11,IF(B331&lt;=Hypothèses!$C$12,Hypothèses!$G$12,IF(B331&lt;=Hypothèses!$C$13,Hypothèses!$G$13,IF(B331&lt;=Hypothèses!$C$14,Hypothèses!$G$14,IF(B331&lt;=Hypothèses!$C$15,Hypothèses!$G$15,IF(B331&lt;=Hypothèses!$C$16,Hypothèses!$G$16,IF(B331&lt;=Hypothèses!$C$17,Hypothèses!$G$17,IF(B331&lt;=Hypothèses!$C$18,Hypothèses!$G$18,E330))))))))))))</f>
        <v>#N/A</v>
      </c>
      <c r="F331" s="82" t="str">
        <f>IF(B331&lt;=Hypothèses!$C$7,Hypothèses!$F$7,IF(B331&lt;=Hypothèses!$C$8,Hypothèses!$F$8,IF(B331&lt;=Hypothèses!$C$9,Hypothèses!$F$9,IF(B331&lt;=Hypothèses!$C$10,Hypothèses!$F$10,IF(B331&lt;=Hypothèses!$C$11,Hypothèses!$F$11,IF(B331&lt;=Hypothèses!$C$12,Hypothèses!$F$12,IF(B331&lt;=Hypothèses!$C$13,Hypothèses!$F$13,IF(B331&lt;=Hypothèses!$C$14,Hypothèses!$F$14,IF(B331&lt;=Hypothèses!$C$15,Hypothèses!$F$15,IF(B331&lt;=Hypothèses!$C$16,Hypothèses!$F$16,IF(B331&lt;=Hypothèses!$C$17,Hypothèses!$F$17,IF(B331&lt;=Hypothèses!$C$18,Hypothèses!$F$18,F330))))))))))))</f>
        <v/>
      </c>
      <c r="G331" s="91">
        <f t="array" ref="G331">INDEX('Coeff EC7'!$U$7:$X$27,
MATCH(Model0.1T!$B$3,'Coeff EC7'!$T$7:$T$27,0),
MATCH(Model0.1T!$D331&amp;Model0.1T!$B$4,
'Coeff EC7'!$U$6:$X$6&amp;
'Coeff EC7'!$U$5:$X$5,0))</f>
        <v>1.4</v>
      </c>
      <c r="H331" s="91">
        <f t="array" ref="H331">INDEX('Coeff EC7'!$Y$7:$AB$27,
MATCH(Model0.1T!$B$3,'Coeff EC7'!$T$7:$T$27,0),
MATCH(Model0.1T!$D331&amp;Model0.1T!$B$4,
'Coeff EC7'!$Y$6:$AB$6&amp;
'Coeff EC7'!$Y$5:$AB$5,0))</f>
        <v>1.7</v>
      </c>
      <c r="I331" s="83">
        <v>0</v>
      </c>
      <c r="J331" s="91" t="e">
        <f t="array" ref="J331">INDEX('Coeff EC7'!$D$33:$Q$33,1,MATCH(D331&amp;E331,'Coeff EC7'!$D$31:$Q$31&amp;'Coeff EC7'!$D$32:$Q$32,0))</f>
        <v>#N/A</v>
      </c>
      <c r="K331" s="91" t="e">
        <f t="array" ref="K331">INDEX('Coeff EC7'!$D$34:$Q$34,1,MATCH(D331&amp;E331,'Coeff EC7'!$D$31:$Q$31&amp;'Coeff EC7'!$D$32:$Q$32,0))</f>
        <v>#N/A</v>
      </c>
      <c r="L331" s="91" t="e">
        <f t="array" ref="L331">INDEX('Coeff EC7'!$D$35:$Q$35,1,MATCH(D331&amp;E331,'Coeff EC7'!$D$31:$Q$31&amp;'Coeff EC7'!$D$32:$Q$32,0))</f>
        <v>#N/A</v>
      </c>
      <c r="M331" s="98" t="e">
        <f t="shared" si="431"/>
        <v>#N/A</v>
      </c>
      <c r="N331" s="99" t="e">
        <f t="array" ref="N331">INDEX('Coeff EC7'!$D$7:$Q$27,MATCH($B$3,'Coeff EC7'!$C$7:$C$27,0),MATCH(D331&amp;E331,'Coeff EC7'!$D$5:$Q$5&amp;'Coeff EC7'!$D$6:$Q$6,0))</f>
        <v>#N/A</v>
      </c>
      <c r="O331" s="99" t="e">
        <f t="array" ref="O331">INDEX('Coeff EC7'!$D$41:$Q$61,MATCH($B$3,'Coeff EC7'!$C$41:$C$61,0),MATCH(D331&amp;E331,'Coeff EC7'!$D$39:$Q$39&amp;'Coeff EC7'!$D$40:$Q$40,0))</f>
        <v>#N/A</v>
      </c>
      <c r="P331" s="30" t="e">
        <f t="shared" si="466"/>
        <v>#N/A</v>
      </c>
      <c r="Q331" s="100" t="e">
        <f t="shared" si="433"/>
        <v>#N/A</v>
      </c>
      <c r="R331" s="86" t="b">
        <f t="shared" si="434"/>
        <v>0</v>
      </c>
      <c r="S331" s="86">
        <f t="shared" si="432"/>
        <v>0.5</v>
      </c>
      <c r="T331" s="86">
        <f t="shared" si="435"/>
        <v>0.5</v>
      </c>
      <c r="U331" s="30" t="e">
        <f t="shared" ca="1" si="467"/>
        <v>#DIV/0!</v>
      </c>
      <c r="V331" s="85" t="str">
        <f>IF(B331&lt;=Hypothèses!$V$7,Hypothèses!$W$7,IF(B331&lt;=Hypothèses!$V$8,Hypothèses!$W$8,IF(B331&lt;=Hypothèses!$V$9,Hypothèses!$W$9,IF(B331&lt;=Hypothèses!$V$10,Hypothèses!$W$10,IF(B331&lt;=Hypothèses!$V$11,Hypothèses!$W$11,IF(B331&lt;=Hypothèses!$V$12,Hypothèses!$W$12,IF(B331&lt;=Hypothèses!$V$13,Hypothèses!$W$13,IF(B331&lt;=Hypothèses!$V$14,Hypothèses!$W$14,IF(B331&lt;=Hypothèses!$V$15,Hypothèses!$W$15,IF(B331&lt;=Hypothèses!$V$16,Hypothèses!$W$16,IF(B331&lt;=Hypothèses!$V$17,Hypothèses!$W$17,IF(B331&lt;=Hypothèses!$V$18,Hypothèses!$W$18,""))))))))))))</f>
        <v/>
      </c>
      <c r="W331" s="87" t="e">
        <f t="shared" ca="1" si="516"/>
        <v>#DIV/0!</v>
      </c>
      <c r="X331" s="88" t="str">
        <f>IF(B331&lt;=Hypothèses!$V$7,Hypothèses!$X$7,IF(B331&lt;=Hypothèses!$V$8,Hypothèses!$X$8,IF(B331&lt;=Hypothèses!$V$9,Hypothèses!$X$9,IF(B331&lt;=Hypothèses!$V$10,Hypothèses!$X$10,IF(B331&lt;=Hypothèses!$V$11,Hypothèses!$X$11,IF(B331&lt;=Hypothèses!$V$12,Hypothèses!$X$12,IF(B331&lt;=Hypothèses!$V$13,Hypothèses!$X$13,IF(B331&lt;=Hypothèses!$V$14,Hypothèses!$X$14,IF(B331&lt;=Hypothèses!$V$15,Hypothèses!$X$15,IF(B331&lt;=Hypothèses!$V$16,Hypothèses!$X$16,IF(B331&lt;=Hypothèses!$U$17,Hypothèses!$W$17,IF(B331&lt;=Hypothèses!$U$18,Hypothèses!$W$18,""))))))))))))</f>
        <v/>
      </c>
      <c r="Y331" s="95" t="e">
        <f t="shared" ca="1" si="436"/>
        <v>#DIV/0!</v>
      </c>
      <c r="Z331" s="101">
        <f t="shared" si="437"/>
        <v>0</v>
      </c>
      <c r="AA331" s="91">
        <f t="shared" si="438"/>
        <v>0</v>
      </c>
      <c r="AB331" s="30" t="e">
        <f t="shared" si="500"/>
        <v>#N/A</v>
      </c>
      <c r="AC331" s="30" t="e">
        <f t="shared" si="501"/>
        <v>#N/A</v>
      </c>
      <c r="AD331" s="31" t="e">
        <f>IF(OR(Hypothèses!$B$4=17,Hypothèses!$B$4=18,Hypothèses!$B$4=19,Hypothèses!$B$4=20),
IF($D331="Pressio.",
IF(OR($E331=3,$E331=1,$E331=4),AC331,AB331),
IF($D331="Pénétro.",
IF(OR($E331=3,$E331=1,$E331=4),AC331,AB331))),IF($D331="Pressio.",
IF($E331=3,AC331,AB331),
IF($D331="Pénétro.",
IF($E331=4,AC331,AB331))))</f>
        <v>#N/A</v>
      </c>
      <c r="AE331" s="31">
        <v>0</v>
      </c>
      <c r="AF331" s="102" t="e">
        <f>IF(NDC!$H$10="Oui",(VLOOKUP($B$3,'Coeff EC7'!$T$39:$X$59,2,0)*AD331+VLOOKUP($B$3,'Coeff EC7'!$T$65:$X$85,2,0)*Model0.1T!AE331)/1.5,PI()*AB$12*$Q331*($B331-$B330)*0.15/10+AF330)</f>
        <v>#N/A</v>
      </c>
      <c r="AG331" s="102" t="e">
        <f>(VLOOKUP($B$3,'Coeff EC7'!$T$39:$X$59,3,0)*AD331+VLOOKUP($B$3,'Coeff EC7'!$T$65:$X$85,3,0)*Model0.1T!AE331)/1.1</f>
        <v>#N/A</v>
      </c>
      <c r="AH331" s="102" t="e">
        <f t="shared" si="468"/>
        <v>#N/A</v>
      </c>
      <c r="AI331" s="102" t="e">
        <f t="shared" si="469"/>
        <v>#N/A</v>
      </c>
      <c r="AJ331" s="414" t="e">
        <f>IF(AND(AF331&gt;NDC!$C$63,AG331&gt;NDC!$C$65,AH331&gt;NDC!$D$73,AI331&gt;NDC!$D$74,$B331&gt;NDC!$H$22-0.1+MIN(3*$AJ$12,1.5)),0,1)</f>
        <v>#N/A</v>
      </c>
      <c r="AK331" s="86" t="b">
        <f t="shared" si="439"/>
        <v>0</v>
      </c>
      <c r="AL331" s="86">
        <f t="shared" si="470"/>
        <v>0.5</v>
      </c>
      <c r="AM331" s="86">
        <f t="shared" si="440"/>
        <v>0.5</v>
      </c>
      <c r="AN331" s="30" t="e">
        <f t="shared" ca="1" si="471"/>
        <v>#DIV/0!</v>
      </c>
      <c r="AO331" s="85" t="e">
        <f ca="1">IF(U331&lt;=Hypothèses!$V$7,Hypothèses!$W$7,IF(U331&lt;=Hypothèses!$V$8,Hypothèses!$W$8,IF(U331&lt;=Hypothèses!$V$9,Hypothèses!$W$9,IF(U331&lt;=Hypothèses!$V$10,Hypothèses!$W$10,IF(U331&lt;=Hypothèses!$V$11,Hypothèses!$W$11,IF(U331&lt;=Hypothèses!$V$12,Hypothèses!$W$12,IF(U331&lt;=Hypothèses!$V$13,Hypothèses!$W$13,IF(U331&lt;=Hypothèses!$V$14,Hypothèses!$W$14,IF(U331&lt;=Hypothèses!$V$15,Hypothèses!$W$15,IF(U331&lt;=Hypothèses!$V$16,Hypothèses!$W$16,IF(U331&lt;=Hypothèses!$V$17,Hypothèses!$W$17,IF(U331&lt;=Hypothèses!$V$18,Hypothèses!$W$18,""))))))))))))</f>
        <v>#DIV/0!</v>
      </c>
      <c r="AP331" s="87" t="e">
        <f t="shared" ca="1" si="517"/>
        <v>#DIV/0!</v>
      </c>
      <c r="AQ331" s="88" t="e">
        <f ca="1">IF(U331&lt;=Hypothèses!$V$7,Hypothèses!$X$7,IF(U331&lt;=Hypothèses!$V$8,Hypothèses!$X$8,IF(U331&lt;=Hypothèses!$V$9,Hypothèses!$X$9,IF(U331&lt;=Hypothèses!$V$10,Hypothèses!$X$10,IF(U331&lt;=Hypothèses!$V$11,Hypothèses!$X$11,IF(U331&lt;=Hypothèses!$V$12,Hypothèses!$X$12,IF(U331&lt;=Hypothèses!$V$13,Hypothèses!$X$13,IF(U331&lt;=Hypothèses!$V$14,Hypothèses!$X$14,IF(U331&lt;=Hypothèses!$V$15,Hypothèses!$X$15,IF(U331&lt;=Hypothèses!$V$16,Hypothèses!$X$16,IF(U331&lt;=Hypothèses!$U$17,Hypothèses!$W$17,IF(U331&lt;=Hypothèses!$U$18,Hypothèses!$W$18,""))))))))))))</f>
        <v>#DIV/0!</v>
      </c>
      <c r="AR331" s="95" t="e">
        <f t="shared" ca="1" si="472"/>
        <v>#DIV/0!</v>
      </c>
      <c r="AS331" s="101">
        <f t="shared" si="524"/>
        <v>0</v>
      </c>
      <c r="AT331" s="91">
        <f t="shared" si="441"/>
        <v>0</v>
      </c>
      <c r="AU331" s="30" t="e">
        <f t="shared" si="502"/>
        <v>#N/A</v>
      </c>
      <c r="AV331" s="30" t="e">
        <f t="shared" si="503"/>
        <v>#N/A</v>
      </c>
      <c r="AW331" s="31" t="e">
        <f>IF(OR(Hypothèses!$B$4=17,Hypothèses!$B$4=18,Hypothèses!$B$4=19,Hypothèses!$B$4=20),
IF($D331="Pressio.",
IF(OR($E331=3,$E331=1,$E331=4),AV331,AU331),
IF($D331="Pénétro.",
IF(OR($E331=3,$E331=1,$E331=4),AV331,AU331))),IF($D331="Pressio.",
IF($E331=3,AV331,AU331),
IF($D331="Pénétro.",
IF($E331=4,AV331,AU331))))</f>
        <v>#N/A</v>
      </c>
      <c r="AX331" s="31">
        <v>0</v>
      </c>
      <c r="AY331" s="102" t="e">
        <f>IF(NDC!$H$10="Oui",(VLOOKUP($B$3,'Coeff EC7'!$T$39:$X$59,2,0)*AW331+VLOOKUP($B$3,'Coeff EC7'!$T$65:$X$85,2,0)*Model0.1T!AX331)/1.5,PI()*AU$12*$Q331*($B331-$B330)*0.15/10+AY330)</f>
        <v>#N/A</v>
      </c>
      <c r="AZ331" s="102" t="e">
        <f>(VLOOKUP($B$3,'Coeff EC7'!$T$39:$X$59,3,0)*AW331+VLOOKUP($B$3,'Coeff EC7'!$T$65:$X$85,3,0)*Model0.1T!AX331)/1.1</f>
        <v>#N/A</v>
      </c>
      <c r="BA331" s="102" t="e">
        <f t="shared" si="473"/>
        <v>#N/A</v>
      </c>
      <c r="BB331" s="102" t="e">
        <f t="shared" si="474"/>
        <v>#N/A</v>
      </c>
      <c r="BC331" s="414" t="e">
        <f>IF(AND(AY331&gt;NDC!$C$63,AZ331&gt;NDC!$C$65,BA331&gt;NDC!$D$73,BB331&gt;NDC!$D$74,$B331&gt;NDC!$H$22-0.1+MIN(3*BC$12,1.5)),0,1)</f>
        <v>#N/A</v>
      </c>
      <c r="BD331" s="86" t="b">
        <f t="shared" si="442"/>
        <v>0</v>
      </c>
      <c r="BE331" s="86">
        <f t="shared" si="475"/>
        <v>0.5</v>
      </c>
      <c r="BF331" s="86">
        <f t="shared" si="443"/>
        <v>0.5</v>
      </c>
      <c r="BG331" s="30" t="e">
        <f t="shared" ca="1" si="476"/>
        <v>#DIV/0!</v>
      </c>
      <c r="BH331" s="85" t="e">
        <f ca="1">IF(AN331&lt;=Hypothèses!$V$7,Hypothèses!$W$7,IF(AN331&lt;=Hypothèses!$V$8,Hypothèses!$W$8,IF(AN331&lt;=Hypothèses!$V$9,Hypothèses!$W$9,IF(AN331&lt;=Hypothèses!$V$10,Hypothèses!$W$10,IF(AN331&lt;=Hypothèses!$V$11,Hypothèses!$W$11,IF(AN331&lt;=Hypothèses!$V$12,Hypothèses!$W$12,IF(AN331&lt;=Hypothèses!$V$13,Hypothèses!$W$13,IF(AN331&lt;=Hypothèses!$V$14,Hypothèses!$W$14,IF(AN331&lt;=Hypothèses!$V$15,Hypothèses!$W$15,IF(AN331&lt;=Hypothèses!$V$16,Hypothèses!$W$16,IF(AN331&lt;=Hypothèses!$V$17,Hypothèses!$W$17,IF(AN331&lt;=Hypothèses!$V$18,Hypothèses!$W$18,""))))))))))))</f>
        <v>#DIV/0!</v>
      </c>
      <c r="BI331" s="87" t="e">
        <f t="shared" ca="1" si="518"/>
        <v>#DIV/0!</v>
      </c>
      <c r="BJ331" s="88" t="e">
        <f ca="1">IF(AN331&lt;=Hypothèses!$V$7,Hypothèses!$X$7,IF(AN331&lt;=Hypothèses!$V$8,Hypothèses!$X$8,IF(AN331&lt;=Hypothèses!$V$9,Hypothèses!$X$9,IF(AN331&lt;=Hypothèses!$V$10,Hypothèses!$X$10,IF(AN331&lt;=Hypothèses!$V$11,Hypothèses!$X$11,IF(AN331&lt;=Hypothèses!$V$12,Hypothèses!$X$12,IF(AN331&lt;=Hypothèses!$V$13,Hypothèses!$X$13,IF(AN331&lt;=Hypothèses!$V$14,Hypothèses!$X$14,IF(AN331&lt;=Hypothèses!$V$15,Hypothèses!$X$15,IF(AN331&lt;=Hypothèses!$V$16,Hypothèses!$X$16,IF(AN331&lt;=Hypothèses!$U$17,Hypothèses!$W$17,IF(AN331&lt;=Hypothèses!$U$18,Hypothèses!$W$18,""))))))))))))</f>
        <v>#DIV/0!</v>
      </c>
      <c r="BK331" s="95" t="e">
        <f t="shared" ca="1" si="477"/>
        <v>#DIV/0!</v>
      </c>
      <c r="BL331" s="101">
        <f t="shared" si="525"/>
        <v>0</v>
      </c>
      <c r="BM331" s="91">
        <f t="shared" si="444"/>
        <v>0</v>
      </c>
      <c r="BN331" s="30" t="e">
        <f t="shared" si="504"/>
        <v>#N/A</v>
      </c>
      <c r="BO331" s="30" t="e">
        <f t="shared" si="505"/>
        <v>#N/A</v>
      </c>
      <c r="BP331" s="31" t="e">
        <f>IF(OR(Hypothèses!$B$4=17,Hypothèses!$B$4=18,Hypothèses!$B$4=19,Hypothèses!$B$4=20),
IF($D331="Pressio.",
IF(OR($E331=3,$E331=1,$E331=4),BO331,BN331),
IF($D331="Pénétro.",
IF(OR($E331=3,$E331=1,$E331=4),BO331,BN331))),IF($D331="Pressio.",
IF($E331=3,BO331,BN331),
IF($D331="Pénétro.",
IF($E331=4,BO331,BN331))))</f>
        <v>#N/A</v>
      </c>
      <c r="BQ331" s="31">
        <v>0</v>
      </c>
      <c r="BR331" s="102" t="e">
        <f>IF(NDC!$H$10="Oui",(VLOOKUP($B$3,'Coeff EC7'!$T$39:$X$59,2,0)*BP331+VLOOKUP($B$3,'Coeff EC7'!$T$65:$X$85,2,0)*Model0.1T!BQ331)/1.5,PI()*BN$12*$Q331*($B331-$B330)*0.15/10+BR330)</f>
        <v>#N/A</v>
      </c>
      <c r="BS331" s="102" t="e">
        <f>(VLOOKUP($B$3,'Coeff EC7'!$T$39:$X$59,3,0)*BP331+VLOOKUP($B$3,'Coeff EC7'!$T$65:$X$85,3,0)*Model0.1T!BQ331)/1.1</f>
        <v>#N/A</v>
      </c>
      <c r="BT331" s="102" t="e">
        <f t="shared" si="478"/>
        <v>#N/A</v>
      </c>
      <c r="BU331" s="102" t="e">
        <f t="shared" si="479"/>
        <v>#N/A</v>
      </c>
      <c r="BV331" s="414" t="e">
        <f>IF(AND(BR331&gt;NDC!$C$63,BS331&gt;NDC!$C$65,BT331&gt;NDC!$D$73,BU331&gt;NDC!$D$74,$B331&gt;NDC!$H$22-0.1+MIN(3*BV$12,1.5)),0,1)</f>
        <v>#N/A</v>
      </c>
      <c r="BW331" s="86" t="b">
        <f t="shared" si="445"/>
        <v>0</v>
      </c>
      <c r="BX331" s="86">
        <f t="shared" si="446"/>
        <v>0.5</v>
      </c>
      <c r="BY331" s="86">
        <f t="shared" si="447"/>
        <v>0.5</v>
      </c>
      <c r="BZ331" s="30" t="e">
        <f t="shared" ca="1" si="480"/>
        <v>#DIV/0!</v>
      </c>
      <c r="CA331" s="85" t="e">
        <f ca="1">IF(BG331&lt;=Hypothèses!$V$7,Hypothèses!$W$7,IF(BG331&lt;=Hypothèses!$V$8,Hypothèses!$W$8,IF(BG331&lt;=Hypothèses!$V$9,Hypothèses!$W$9,IF(BG331&lt;=Hypothèses!$V$10,Hypothèses!$W$10,IF(BG331&lt;=Hypothèses!$V$11,Hypothèses!$W$11,IF(BG331&lt;=Hypothèses!$V$12,Hypothèses!$W$12,IF(BG331&lt;=Hypothèses!$V$13,Hypothèses!$W$13,IF(BG331&lt;=Hypothèses!$V$14,Hypothèses!$W$14,IF(BG331&lt;=Hypothèses!$V$15,Hypothèses!$W$15,IF(BG331&lt;=Hypothèses!$V$16,Hypothèses!$W$16,IF(BG331&lt;=Hypothèses!$V$17,Hypothèses!$W$17,IF(BG331&lt;=Hypothèses!$V$18,Hypothèses!$W$18,""))))))))))))</f>
        <v>#DIV/0!</v>
      </c>
      <c r="CB331" s="87" t="e">
        <f t="shared" ca="1" si="519"/>
        <v>#DIV/0!</v>
      </c>
      <c r="CC331" s="88" t="e">
        <f ca="1">IF(BG331&lt;=Hypothèses!$V$7,Hypothèses!$X$7,IF(BG331&lt;=Hypothèses!$V$8,Hypothèses!$X$8,IF(BG331&lt;=Hypothèses!$V$9,Hypothèses!$X$9,IF(BG331&lt;=Hypothèses!$V$10,Hypothèses!$X$10,IF(BG331&lt;=Hypothèses!$V$11,Hypothèses!$X$11,IF(BG331&lt;=Hypothèses!$V$12,Hypothèses!$X$12,IF(BG331&lt;=Hypothèses!$V$13,Hypothèses!$X$13,IF(BG331&lt;=Hypothèses!$V$14,Hypothèses!$X$14,IF(BG331&lt;=Hypothèses!$V$15,Hypothèses!$X$15,IF(BG331&lt;=Hypothèses!$V$16,Hypothèses!$X$16,IF(BG331&lt;=Hypothèses!$U$17,Hypothèses!$W$17,IF(BG331&lt;=Hypothèses!$U$18,Hypothèses!$W$18,""))))))))))))</f>
        <v>#DIV/0!</v>
      </c>
      <c r="CD331" s="95" t="e">
        <f t="shared" ca="1" si="481"/>
        <v>#DIV/0!</v>
      </c>
      <c r="CE331" s="101">
        <f t="shared" si="526"/>
        <v>0</v>
      </c>
      <c r="CF331" s="91">
        <f t="shared" si="448"/>
        <v>0</v>
      </c>
      <c r="CG331" s="30" t="e">
        <f t="shared" si="506"/>
        <v>#N/A</v>
      </c>
      <c r="CH331" s="30" t="e">
        <f t="shared" si="507"/>
        <v>#N/A</v>
      </c>
      <c r="CI331" s="31" t="e">
        <f>IF(OR(Hypothèses!$B$4=17,Hypothèses!$B$4=18,Hypothèses!$B$4=19,Hypothèses!$B$4=20),
IF($D331="Pressio.",
IF(OR($E331=3,$E331=1,$E331=4),CH331,CG331),
IF($D331="Pénétro.",
IF(OR($E331=3,$E331=1,$E331=4),CH331,CG331))),IF($D331="Pressio.",
IF($E331=3,CH331,CG331),
IF($D331="Pénétro.",
IF($E331=4,CH331,CG331))))</f>
        <v>#N/A</v>
      </c>
      <c r="CJ331" s="31">
        <v>0</v>
      </c>
      <c r="CK331" s="102" t="e">
        <f>IF(NDC!$H$10="Oui",(VLOOKUP($B$3,'Coeff EC7'!$T$39:$X$59,2,0)*CI331+VLOOKUP($B$3,'Coeff EC7'!$T$65:$X$85,2,0)*Model0.1T!CJ331)/1.5,PI()*CG$12*$Q331*($B331-$B330)*0.15/10+CK330)</f>
        <v>#N/A</v>
      </c>
      <c r="CL331" s="102" t="e">
        <f>(VLOOKUP($B$3,'Coeff EC7'!$T$39:$X$59,3,0)*CI331+VLOOKUP($B$3,'Coeff EC7'!$T$65:$X$85,3,0)*Model0.1T!CJ331)/1.1</f>
        <v>#N/A</v>
      </c>
      <c r="CM331" s="102" t="e">
        <f t="shared" si="482"/>
        <v>#N/A</v>
      </c>
      <c r="CN331" s="102" t="e">
        <f t="shared" si="483"/>
        <v>#N/A</v>
      </c>
      <c r="CO331" s="414" t="e">
        <f>IF(AND(CK331&gt;NDC!$C$63,CL331&gt;NDC!$C$65,CM331&gt;NDC!$D$73,CN331&gt;NDC!$D$74,$B331&gt;NDC!$H$22-0.1+MIN(3*CO$12,1.5)),0,1)</f>
        <v>#N/A</v>
      </c>
      <c r="CP331" s="86" t="b">
        <f t="shared" si="449"/>
        <v>0</v>
      </c>
      <c r="CQ331" s="86">
        <f t="shared" si="450"/>
        <v>0.5</v>
      </c>
      <c r="CR331" s="86">
        <f t="shared" si="451"/>
        <v>0.5</v>
      </c>
      <c r="CS331" s="30" t="e">
        <f t="shared" ca="1" si="484"/>
        <v>#DIV/0!</v>
      </c>
      <c r="CT331" s="85" t="e">
        <f ca="1">IF(BZ331&lt;=Hypothèses!$V$7,Hypothèses!$W$7,IF(BZ331&lt;=Hypothèses!$V$8,Hypothèses!$W$8,IF(BZ331&lt;=Hypothèses!$V$9,Hypothèses!$W$9,IF(BZ331&lt;=Hypothèses!$V$10,Hypothèses!$W$10,IF(BZ331&lt;=Hypothèses!$V$11,Hypothèses!$W$11,IF(BZ331&lt;=Hypothèses!$V$12,Hypothèses!$W$12,IF(BZ331&lt;=Hypothèses!$V$13,Hypothèses!$W$13,IF(BZ331&lt;=Hypothèses!$V$14,Hypothèses!$W$14,IF(BZ331&lt;=Hypothèses!$V$15,Hypothèses!$W$15,IF(BZ331&lt;=Hypothèses!$V$16,Hypothèses!$W$16,IF(BZ331&lt;=Hypothèses!$V$17,Hypothèses!$W$17,IF(BZ331&lt;=Hypothèses!$V$18,Hypothèses!$W$18,""))))))))))))</f>
        <v>#DIV/0!</v>
      </c>
      <c r="CU331" s="87" t="e">
        <f t="shared" ca="1" si="520"/>
        <v>#DIV/0!</v>
      </c>
      <c r="CV331" s="88" t="e">
        <f ca="1">IF(BZ331&lt;=Hypothèses!$V$7,Hypothèses!$X$7,IF(BZ331&lt;=Hypothèses!$V$8,Hypothèses!$X$8,IF(BZ331&lt;=Hypothèses!$V$9,Hypothèses!$X$9,IF(BZ331&lt;=Hypothèses!$V$10,Hypothèses!$X$10,IF(BZ331&lt;=Hypothèses!$V$11,Hypothèses!$X$11,IF(BZ331&lt;=Hypothèses!$V$12,Hypothèses!$X$12,IF(BZ331&lt;=Hypothèses!$V$13,Hypothèses!$X$13,IF(BZ331&lt;=Hypothèses!$V$14,Hypothèses!$X$14,IF(BZ331&lt;=Hypothèses!$V$15,Hypothèses!$X$15,IF(BZ331&lt;=Hypothèses!$V$16,Hypothèses!$X$16,IF(BZ331&lt;=Hypothèses!$U$17,Hypothèses!$W$17,IF(BZ331&lt;=Hypothèses!$U$18,Hypothèses!$W$18,""))))))))))))</f>
        <v>#DIV/0!</v>
      </c>
      <c r="CW331" s="95" t="e">
        <f t="shared" ca="1" si="485"/>
        <v>#DIV/0!</v>
      </c>
      <c r="CX331" s="101">
        <f t="shared" si="527"/>
        <v>0</v>
      </c>
      <c r="CY331" s="91">
        <f t="shared" si="452"/>
        <v>0</v>
      </c>
      <c r="CZ331" s="30" t="e">
        <f t="shared" si="508"/>
        <v>#N/A</v>
      </c>
      <c r="DA331" s="30" t="e">
        <f t="shared" si="509"/>
        <v>#N/A</v>
      </c>
      <c r="DB331" s="31" t="e">
        <f>IF(OR(Hypothèses!$B$4=17,Hypothèses!$B$4=18,Hypothèses!$B$4=19,Hypothèses!$B$4=20),
IF($D331="Pressio.",
IF(OR($E331=3,$E331=1,$E331=4),DA331,CZ331),
IF($D331="Pénétro.",
IF(OR($E331=3,$E331=1,$E331=4),DA331,CZ331))),IF($D331="Pressio.",
IF($E331=3,DA331,CZ331),
IF($D331="Pénétro.",
IF($E331=4,DA331,CZ331))))</f>
        <v>#N/A</v>
      </c>
      <c r="DC331" s="31">
        <v>0</v>
      </c>
      <c r="DD331" s="102" t="e">
        <f>IF(NDC!$H$10="Oui",(VLOOKUP($B$3,'Coeff EC7'!$T$39:$X$59,2,0)*DB331+VLOOKUP($B$3,'Coeff EC7'!$T$65:$X$85,2,0)*Model0.1T!DC331)/1.5,PI()*CZ$12*$Q331*($B331-$B330)*0.15/10+DD330)</f>
        <v>#N/A</v>
      </c>
      <c r="DE331" s="102" t="e">
        <f>(VLOOKUP($B$3,'Coeff EC7'!$T$39:$X$59,3,0)*DB331+VLOOKUP($B$3,'Coeff EC7'!$T$65:$X$85,3,0)*Model0.1T!DC331)/1.1</f>
        <v>#N/A</v>
      </c>
      <c r="DF331" s="102" t="e">
        <f t="shared" si="486"/>
        <v>#N/A</v>
      </c>
      <c r="DG331" s="102" t="e">
        <f t="shared" si="487"/>
        <v>#N/A</v>
      </c>
      <c r="DH331" s="414" t="e">
        <f>IF(AND(DD331&gt;NDC!$C$63,DE331&gt;NDC!$C$65,DF331&gt;NDC!$D$73,DG331&gt;NDC!$D$74,$B331&gt;NDC!$H$22-0.1+MIN(3*DH$12,1.5)),0,1)</f>
        <v>#N/A</v>
      </c>
      <c r="DI331" s="86" t="b">
        <f t="shared" si="453"/>
        <v>0</v>
      </c>
      <c r="DJ331" s="86">
        <f t="shared" si="454"/>
        <v>0.5</v>
      </c>
      <c r="DK331" s="86">
        <f t="shared" si="455"/>
        <v>0.5</v>
      </c>
      <c r="DL331" s="30" t="e">
        <f t="shared" ca="1" si="488"/>
        <v>#DIV/0!</v>
      </c>
      <c r="DM331" s="85" t="e">
        <f ca="1">IF(CS331&lt;=Hypothèses!$V$7,Hypothèses!$W$7,IF(CS331&lt;=Hypothèses!$V$8,Hypothèses!$W$8,IF(CS331&lt;=Hypothèses!$V$9,Hypothèses!$W$9,IF(CS331&lt;=Hypothèses!$V$10,Hypothèses!$W$10,IF(CS331&lt;=Hypothèses!$V$11,Hypothèses!$W$11,IF(CS331&lt;=Hypothèses!$V$12,Hypothèses!$W$12,IF(CS331&lt;=Hypothèses!$V$13,Hypothèses!$W$13,IF(CS331&lt;=Hypothèses!$V$14,Hypothèses!$W$14,IF(CS331&lt;=Hypothèses!$V$15,Hypothèses!$W$15,IF(CS331&lt;=Hypothèses!$V$16,Hypothèses!$W$16,IF(CS331&lt;=Hypothèses!$V$17,Hypothèses!$W$17,IF(CS331&lt;=Hypothèses!$V$18,Hypothèses!$W$18,""))))))))))))</f>
        <v>#DIV/0!</v>
      </c>
      <c r="DN331" s="87" t="e">
        <f t="shared" ca="1" si="521"/>
        <v>#DIV/0!</v>
      </c>
      <c r="DO331" s="88" t="e">
        <f ca="1">IF(CS331&lt;=Hypothèses!$V$7,Hypothèses!$X$7,IF(CS331&lt;=Hypothèses!$V$8,Hypothèses!$X$8,IF(CS331&lt;=Hypothèses!$V$9,Hypothèses!$X$9,IF(CS331&lt;=Hypothèses!$V$10,Hypothèses!$X$10,IF(CS331&lt;=Hypothèses!$V$11,Hypothèses!$X$11,IF(CS331&lt;=Hypothèses!$V$12,Hypothèses!$X$12,IF(CS331&lt;=Hypothèses!$V$13,Hypothèses!$X$13,IF(CS331&lt;=Hypothèses!$V$14,Hypothèses!$X$14,IF(CS331&lt;=Hypothèses!$V$15,Hypothèses!$X$15,IF(CS331&lt;=Hypothèses!$V$16,Hypothèses!$X$16,IF(CS331&lt;=Hypothèses!$U$17,Hypothèses!$W$17,IF(CS331&lt;=Hypothèses!$U$18,Hypothèses!$W$18,""))))))))))))</f>
        <v>#DIV/0!</v>
      </c>
      <c r="DP331" s="95" t="e">
        <f t="shared" ca="1" si="489"/>
        <v>#DIV/0!</v>
      </c>
      <c r="DQ331" s="101">
        <f t="shared" si="528"/>
        <v>0</v>
      </c>
      <c r="DR331" s="91">
        <f t="shared" si="456"/>
        <v>0</v>
      </c>
      <c r="DS331" s="30" t="e">
        <f t="shared" si="510"/>
        <v>#N/A</v>
      </c>
      <c r="DT331" s="30" t="e">
        <f t="shared" si="511"/>
        <v>#N/A</v>
      </c>
      <c r="DU331" s="31" t="e">
        <f>IF(OR(Hypothèses!$B$4=17,Hypothèses!$B$4=18,Hypothèses!$B$4=19,Hypothèses!$B$4=20),
IF($D331="Pressio.",
IF(OR($E331=3,$E331=1,$E331=4),DT331,DS331),
IF($D331="Pénétro.",
IF(OR($E331=3,$E331=1,$E331=4),DT331,DS331))),IF($D331="Pressio.",
IF($E331=3,DT331,DS331),
IF($D331="Pénétro.",
IF($E331=4,DT331,DS331))))</f>
        <v>#N/A</v>
      </c>
      <c r="DV331" s="31">
        <v>0</v>
      </c>
      <c r="DW331" s="102" t="e">
        <f>IF(NDC!$H$10="Oui",(VLOOKUP($B$3,'Coeff EC7'!$T$39:$X$59,2,0)*DU331+VLOOKUP($B$3,'Coeff EC7'!$T$65:$X$85,2,0)*Model0.1T!DV331)/1.5,PI()*DS$12*$Q331*($B331-$B330)*0.15/10+DW330)</f>
        <v>#N/A</v>
      </c>
      <c r="DX331" s="102" t="e">
        <f>(VLOOKUP($B$3,'Coeff EC7'!$T$39:$X$59,3,0)*DU331+VLOOKUP($B$3,'Coeff EC7'!$T$65:$X$85,3,0)*Model0.1T!DV331)/1.1</f>
        <v>#N/A</v>
      </c>
      <c r="DY331" s="102" t="e">
        <f t="shared" si="490"/>
        <v>#N/A</v>
      </c>
      <c r="DZ331" s="102" t="e">
        <f t="shared" si="491"/>
        <v>#N/A</v>
      </c>
      <c r="EA331" s="414" t="e">
        <f>IF(AND(DW331&gt;NDC!$C$63,DX331&gt;NDC!$C$65,DY331&gt;NDC!$D$73,DZ331&gt;NDC!$D$74,$B331&gt;NDC!$H$22-0.1+MIN(3*EA$12,1.5)),0,1)</f>
        <v>#N/A</v>
      </c>
      <c r="EB331" s="86" t="b">
        <f t="shared" si="457"/>
        <v>0</v>
      </c>
      <c r="EC331" s="418">
        <f t="shared" si="458"/>
        <v>0.51</v>
      </c>
      <c r="ED331" s="86">
        <f t="shared" si="459"/>
        <v>0.51</v>
      </c>
      <c r="EE331" s="30" t="e">
        <f t="shared" ca="1" si="492"/>
        <v>#DIV/0!</v>
      </c>
      <c r="EF331" s="85" t="e">
        <f ca="1">IF(DL331&lt;=Hypothèses!$V$7,Hypothèses!$W$7,IF(DL331&lt;=Hypothèses!$V$8,Hypothèses!$W$8,IF(DL331&lt;=Hypothèses!$V$9,Hypothèses!$W$9,IF(DL331&lt;=Hypothèses!$V$10,Hypothèses!$W$10,IF(DL331&lt;=Hypothèses!$V$11,Hypothèses!$W$11,IF(DL331&lt;=Hypothèses!$V$12,Hypothèses!$W$12,IF(DL331&lt;=Hypothèses!$V$13,Hypothèses!$W$13,IF(DL331&lt;=Hypothèses!$V$14,Hypothèses!$W$14,IF(DL331&lt;=Hypothèses!$V$15,Hypothèses!$W$15,IF(DL331&lt;=Hypothèses!$V$16,Hypothèses!$W$16,IF(DL331&lt;=Hypothèses!$V$17,Hypothèses!$W$17,IF(DL331&lt;=Hypothèses!$V$18,Hypothèses!$W$18,""))))))))))))</f>
        <v>#DIV/0!</v>
      </c>
      <c r="EG331" s="87" t="e">
        <f t="shared" ca="1" si="522"/>
        <v>#DIV/0!</v>
      </c>
      <c r="EH331" s="88" t="e">
        <f ca="1">IF(DL331&lt;=Hypothèses!$V$7,Hypothèses!$X$7,IF(DL331&lt;=Hypothèses!$V$8,Hypothèses!$X$8,IF(DL331&lt;=Hypothèses!$V$9,Hypothèses!$X$9,IF(DL331&lt;=Hypothèses!$V$10,Hypothèses!$X$10,IF(DL331&lt;=Hypothèses!$V$11,Hypothèses!$X$11,IF(DL331&lt;=Hypothèses!$V$12,Hypothèses!$X$12,IF(DL331&lt;=Hypothèses!$V$13,Hypothèses!$X$13,IF(DL331&lt;=Hypothèses!$V$14,Hypothèses!$X$14,IF(DL331&lt;=Hypothèses!$V$15,Hypothèses!$X$15,IF(DL331&lt;=Hypothèses!$V$16,Hypothèses!$X$16,IF(DL331&lt;=Hypothèses!$U$17,Hypothèses!$W$17,IF(DL331&lt;=Hypothèses!$U$18,Hypothèses!$W$18,""))))))))))))</f>
        <v>#DIV/0!</v>
      </c>
      <c r="EI331" s="95" t="e">
        <f t="shared" ca="1" si="493"/>
        <v>#DIV/0!</v>
      </c>
      <c r="EJ331" s="101">
        <f t="shared" si="529"/>
        <v>0</v>
      </c>
      <c r="EK331" s="91">
        <f t="shared" si="460"/>
        <v>0</v>
      </c>
      <c r="EL331" s="30" t="e">
        <f t="shared" si="512"/>
        <v>#N/A</v>
      </c>
      <c r="EM331" s="30" t="e">
        <f t="shared" si="513"/>
        <v>#N/A</v>
      </c>
      <c r="EN331" s="31" t="e">
        <f>IF(OR(Hypothèses!$B$4=17,Hypothèses!$B$4=18,Hypothèses!$B$4=19,Hypothèses!$B$4=20),
IF($D331="Pressio.",
IF(OR($E331=3,$E331=1,$E331=4),EM331,EL331),
IF($D331="Pénétro.",
IF(OR($E331=3,$E331=1,$E331=4),EM331,EL331))),IF($D331="Pressio.",
IF($E331=3,EM331,EL331),
IF($D331="Pénétro.",
IF($E331=4,EM331,EL331))))</f>
        <v>#N/A</v>
      </c>
      <c r="EO331" s="31">
        <v>0</v>
      </c>
      <c r="EP331" s="102" t="e">
        <f>IF(NDC!$H$10="Oui",(VLOOKUP($B$3,'Coeff EC7'!$T$39:$X$59,2,0)*EN331+VLOOKUP($B$3,'Coeff EC7'!$T$65:$X$85,2,0)*Model0.1T!EO331)/1.5,PI()*EL$12*$Q331*($B331-$B330)*0.15/10+EP330)</f>
        <v>#N/A</v>
      </c>
      <c r="EQ331" s="102" t="e">
        <f>(VLOOKUP($B$3,'Coeff EC7'!$T$39:$X$59,3,0)*EN331+VLOOKUP($B$3,'Coeff EC7'!$T$65:$X$85,3,0)*Model0.1T!EO331)/1.1</f>
        <v>#N/A</v>
      </c>
      <c r="ER331" s="102" t="e">
        <f t="shared" si="494"/>
        <v>#N/A</v>
      </c>
      <c r="ES331" s="102" t="e">
        <f t="shared" si="495"/>
        <v>#N/A</v>
      </c>
      <c r="ET331" s="414" t="e">
        <f>IF(AND(EP331&gt;NDC!$C$63,EQ331&gt;NDC!$C$65,ER331&gt;NDC!$D$73,ES331&gt;NDC!$D$74,$B331&gt;NDC!$H$22-0.1+MIN(3*ET$12,1.5)),0,1)</f>
        <v>#N/A</v>
      </c>
      <c r="EU331" s="86" t="b">
        <f t="shared" si="461"/>
        <v>0</v>
      </c>
      <c r="EV331" s="86">
        <f t="shared" si="462"/>
        <v>0.61</v>
      </c>
      <c r="EW331" s="86">
        <f t="shared" si="463"/>
        <v>0.61</v>
      </c>
      <c r="EX331" s="30" t="e">
        <f t="shared" ca="1" si="496"/>
        <v>#DIV/0!</v>
      </c>
      <c r="EY331" s="85" t="e">
        <f ca="1">IF(EE331&lt;=Hypothèses!$V$7,Hypothèses!$W$7,IF(EE331&lt;=Hypothèses!$V$8,Hypothèses!$W$8,IF(EE331&lt;=Hypothèses!$V$9,Hypothèses!$W$9,IF(EE331&lt;=Hypothèses!$V$10,Hypothèses!$W$10,IF(EE331&lt;=Hypothèses!$V$11,Hypothèses!$W$11,IF(EE331&lt;=Hypothèses!$V$12,Hypothèses!$W$12,IF(EE331&lt;=Hypothèses!$V$13,Hypothèses!$W$13,IF(EE331&lt;=Hypothèses!$V$14,Hypothèses!$W$14,IF(EE331&lt;=Hypothèses!$V$15,Hypothèses!$W$15,IF(EE331&lt;=Hypothèses!$V$16,Hypothèses!$W$16,IF(EE331&lt;=Hypothèses!$V$17,Hypothèses!$W$17,IF(EE331&lt;=Hypothèses!$V$18,Hypothèses!$W$18,""))))))))))))</f>
        <v>#DIV/0!</v>
      </c>
      <c r="EZ331" s="87" t="e">
        <f t="shared" ca="1" si="523"/>
        <v>#DIV/0!</v>
      </c>
      <c r="FA331" s="88" t="e">
        <f ca="1">IF(EE331&lt;=Hypothèses!$V$7,Hypothèses!$X$7,IF(EE331&lt;=Hypothèses!$V$8,Hypothèses!$X$8,IF(EE331&lt;=Hypothèses!$V$9,Hypothèses!$X$9,IF(EE331&lt;=Hypothèses!$V$10,Hypothèses!$X$10,IF(EE331&lt;=Hypothèses!$V$11,Hypothèses!$X$11,IF(EE331&lt;=Hypothèses!$V$12,Hypothèses!$X$12,IF(EE331&lt;=Hypothèses!$V$13,Hypothèses!$X$13,IF(EE331&lt;=Hypothèses!$V$14,Hypothèses!$X$14,IF(EE331&lt;=Hypothèses!$V$15,Hypothèses!$X$15,IF(EE331&lt;=Hypothèses!$V$16,Hypothèses!$X$16,IF(EE331&lt;=Hypothèses!$U$17,Hypothèses!$W$17,IF(EE331&lt;=Hypothèses!$U$18,Hypothèses!$W$18,""))))))))))))</f>
        <v>#DIV/0!</v>
      </c>
      <c r="FB331" s="95" t="e">
        <f t="shared" ca="1" si="497"/>
        <v>#DIV/0!</v>
      </c>
      <c r="FC331" s="101">
        <f t="shared" si="530"/>
        <v>0</v>
      </c>
      <c r="FD331" s="91">
        <f t="shared" si="464"/>
        <v>0</v>
      </c>
      <c r="FE331" s="30" t="e">
        <f t="shared" si="514"/>
        <v>#N/A</v>
      </c>
      <c r="FF331" s="30" t="e">
        <f t="shared" si="515"/>
        <v>#N/A</v>
      </c>
      <c r="FG331" s="31" t="e">
        <f>IF(OR(Hypothèses!$B$4=17,Hypothèses!$B$4=18,Hypothèses!$B$4=19,Hypothèses!$B$4=20),
IF($D331="Pressio.",
IF(OR($E331=3,$E331=1,$E331=4),FF331,FE331),
IF($D331="Pénétro.",
IF(OR($E331=3,$E331=1,$E331=4),FF331,FE331))),IF($D331="Pressio.",
IF($E331=3,FF331,FE331),
IF($D331="Pénétro.",
IF($E331=4,FF331,FE331))))</f>
        <v>#N/A</v>
      </c>
      <c r="FH331" s="31">
        <v>0</v>
      </c>
      <c r="FI331" s="102" t="e">
        <f>IF(NDC!$H$10="Oui",(VLOOKUP($B$3,'Coeff EC7'!$T$39:$X$59,2,0)*FG331+VLOOKUP($B$3,'Coeff EC7'!$T$65:$X$85,2,0)*Model0.1T!FH331)/1.5,PI()*FE$12*$Q331*($B331-$B330)*0.15/10+FI330)</f>
        <v>#N/A</v>
      </c>
      <c r="FJ331" s="102" t="e">
        <f>(VLOOKUP($B$3,'Coeff EC7'!$T$39:$X$59,3,0)*FG331+VLOOKUP($B$3,'Coeff EC7'!$T$65:$X$85,3,0)*Model0.1T!FH331)/1.1</f>
        <v>#N/A</v>
      </c>
      <c r="FK331" s="102" t="e">
        <f t="shared" si="498"/>
        <v>#N/A</v>
      </c>
      <c r="FL331" s="102" t="e">
        <f t="shared" si="499"/>
        <v>#N/A</v>
      </c>
      <c r="FM331" s="414" t="e">
        <f>IF(AND(FI331&gt;NDC!$C$63,FJ331&gt;NDC!$C$65,FK331&gt;NDC!$D$73,FL331&gt;NDC!$D$74,$B331&gt;NDC!$H$22-0.1+MIN(3*FM$12,1.5)),0,1)</f>
        <v>#N/A</v>
      </c>
    </row>
    <row r="332" spans="1:169">
      <c r="A332" s="96">
        <f t="shared" si="465"/>
        <v>68.100000000001813</v>
      </c>
      <c r="B332" s="97">
        <v>31.9</v>
      </c>
      <c r="C332" s="81">
        <f>IF(B332&lt;=Hypothèses!$C$7,Hypothèses!$A$7,IF(B332&lt;=Hypothèses!$C$8,Hypothèses!$A$8,IF(B332&lt;=Hypothèses!$C$9,Hypothèses!$A$9,IF(B332&lt;=Hypothèses!$C$10,Hypothèses!$A$10,IF(B332&lt;=Hypothèses!$C$11,Hypothèses!$A$11,IF(B332&lt;=Hypothèses!$C$12,Hypothèses!$A$12,IF(B332&lt;=Hypothèses!$C$13,Hypothèses!$A$13,IF(B332&lt;=Hypothèses!$C$14,Hypothèses!$A$14,IF(B332&lt;=Hypothèses!$C$15,Hypothèses!$A$15,IF(B332&lt;=Hypothèses!$C$16,Hypothèses!$A$16,IF(B332&lt;=Hypothèses!$C$17,Hypothèses!$A$17,IF(B332&lt;=Hypothèses!$C$18,Hypothèses!$A$18,C331))))))))))))</f>
        <v>11</v>
      </c>
      <c r="D332" s="82" t="str">
        <f>IF(B332&lt;=Hypothèses!$C$7,Hypothèses!$R$7,IF(B332&lt;=Hypothèses!$C$8,Hypothèses!$R$8,IF(B332&lt;=Hypothèses!$C$9,Hypothèses!$R$9,IF(B332&lt;=Hypothèses!$C$10,Hypothèses!$R$10,IF(B332&lt;=Hypothèses!$C$11,Hypothèses!$R$11,IF(B332&lt;=Hypothèses!$C$12,Hypothèses!$R$12,IF(B332&lt;=Hypothèses!$C$13,Hypothèses!$R$13,IF(B332&lt;=Hypothèses!$C$14,Hypothèses!$R$14,IF(B332&lt;=Hypothèses!$C$15,Hypothèses!$R$15,IF(B332&lt;=Hypothèses!$C$16,Hypothèses!$R$16,IF(B332&lt;=Hypothèses!$C$17,Hypothèses!$R$17,IF(B332&lt;=Hypothèses!$C$18,Hypothèses!$R$18,D331))))))))))))</f>
        <v>Pressio.</v>
      </c>
      <c r="E332" s="82" t="e">
        <f>IF(B332&lt;=Hypothèses!$C$7,Hypothèses!$G$7,IF(B332&lt;=Hypothèses!$C$8,Hypothèses!$G$8,IF(B332&lt;=Hypothèses!$C$9,Hypothèses!$G$9,IF(B332&lt;=Hypothèses!$C$10,Hypothèses!$G$10,IF(B332&lt;=Hypothèses!$C$11,Hypothèses!$G$11,IF(B332&lt;=Hypothèses!$C$12,Hypothèses!$G$12,IF(B332&lt;=Hypothèses!$C$13,Hypothèses!$G$13,IF(B332&lt;=Hypothèses!$C$14,Hypothèses!$G$14,IF(B332&lt;=Hypothèses!$C$15,Hypothèses!$G$15,IF(B332&lt;=Hypothèses!$C$16,Hypothèses!$G$16,IF(B332&lt;=Hypothèses!$C$17,Hypothèses!$G$17,IF(B332&lt;=Hypothèses!$C$18,Hypothèses!$G$18,E331))))))))))))</f>
        <v>#N/A</v>
      </c>
      <c r="F332" s="82" t="str">
        <f>IF(B332&lt;=Hypothèses!$C$7,Hypothèses!$F$7,IF(B332&lt;=Hypothèses!$C$8,Hypothèses!$F$8,IF(B332&lt;=Hypothèses!$C$9,Hypothèses!$F$9,IF(B332&lt;=Hypothèses!$C$10,Hypothèses!$F$10,IF(B332&lt;=Hypothèses!$C$11,Hypothèses!$F$11,IF(B332&lt;=Hypothèses!$C$12,Hypothèses!$F$12,IF(B332&lt;=Hypothèses!$C$13,Hypothèses!$F$13,IF(B332&lt;=Hypothèses!$C$14,Hypothèses!$F$14,IF(B332&lt;=Hypothèses!$C$15,Hypothèses!$F$15,IF(B332&lt;=Hypothèses!$C$16,Hypothèses!$F$16,IF(B332&lt;=Hypothèses!$C$17,Hypothèses!$F$17,IF(B332&lt;=Hypothèses!$C$18,Hypothèses!$F$18,F331))))))))))))</f>
        <v/>
      </c>
      <c r="G332" s="91">
        <f t="array" ref="G332">INDEX('Coeff EC7'!$U$7:$X$27,
MATCH(Model0.1T!$B$3,'Coeff EC7'!$T$7:$T$27,0),
MATCH(Model0.1T!$D332&amp;Model0.1T!$B$4,
'Coeff EC7'!$U$6:$X$6&amp;
'Coeff EC7'!$U$5:$X$5,0))</f>
        <v>1.4</v>
      </c>
      <c r="H332" s="91">
        <f t="array" ref="H332">INDEX('Coeff EC7'!$Y$7:$AB$27,
MATCH(Model0.1T!$B$3,'Coeff EC7'!$T$7:$T$27,0),
MATCH(Model0.1T!$D332&amp;Model0.1T!$B$4,
'Coeff EC7'!$Y$6:$AB$6&amp;
'Coeff EC7'!$Y$5:$AB$5,0))</f>
        <v>1.7</v>
      </c>
      <c r="I332" s="83">
        <v>0</v>
      </c>
      <c r="J332" s="91" t="e">
        <f t="array" ref="J332">INDEX('Coeff EC7'!$D$33:$Q$33,1,MATCH(D332&amp;E332,'Coeff EC7'!$D$31:$Q$31&amp;'Coeff EC7'!$D$32:$Q$32,0))</f>
        <v>#N/A</v>
      </c>
      <c r="K332" s="91" t="e">
        <f t="array" ref="K332">INDEX('Coeff EC7'!$D$34:$Q$34,1,MATCH(D332&amp;E332,'Coeff EC7'!$D$31:$Q$31&amp;'Coeff EC7'!$D$32:$Q$32,0))</f>
        <v>#N/A</v>
      </c>
      <c r="L332" s="91" t="e">
        <f t="array" ref="L332">INDEX('Coeff EC7'!$D$35:$Q$35,1,MATCH(D332&amp;E332,'Coeff EC7'!$D$31:$Q$31&amp;'Coeff EC7'!$D$32:$Q$32,0))</f>
        <v>#N/A</v>
      </c>
      <c r="M332" s="98" t="e">
        <f t="shared" si="431"/>
        <v>#N/A</v>
      </c>
      <c r="N332" s="99" t="e">
        <f t="array" ref="N332">INDEX('Coeff EC7'!$D$7:$Q$27,MATCH($B$3,'Coeff EC7'!$C$7:$C$27,0),MATCH(D332&amp;E332,'Coeff EC7'!$D$5:$Q$5&amp;'Coeff EC7'!$D$6:$Q$6,0))</f>
        <v>#N/A</v>
      </c>
      <c r="O332" s="99" t="e">
        <f t="array" ref="O332">INDEX('Coeff EC7'!$D$41:$Q$61,MATCH($B$3,'Coeff EC7'!$C$41:$C$61,0),MATCH(D332&amp;E332,'Coeff EC7'!$D$39:$Q$39&amp;'Coeff EC7'!$D$40:$Q$40,0))</f>
        <v>#N/A</v>
      </c>
      <c r="P332" s="30" t="e">
        <f t="shared" si="466"/>
        <v>#N/A</v>
      </c>
      <c r="Q332" s="100" t="e">
        <f t="shared" si="433"/>
        <v>#N/A</v>
      </c>
      <c r="R332" s="86" t="b">
        <f t="shared" si="434"/>
        <v>0</v>
      </c>
      <c r="S332" s="86">
        <f t="shared" si="432"/>
        <v>0.5</v>
      </c>
      <c r="T332" s="86">
        <f t="shared" si="435"/>
        <v>0.5</v>
      </c>
      <c r="U332" s="30" t="e">
        <f t="shared" ca="1" si="467"/>
        <v>#DIV/0!</v>
      </c>
      <c r="V332" s="85" t="str">
        <f>IF(B332&lt;=Hypothèses!$V$7,Hypothèses!$W$7,IF(B332&lt;=Hypothèses!$V$8,Hypothèses!$W$8,IF(B332&lt;=Hypothèses!$V$9,Hypothèses!$W$9,IF(B332&lt;=Hypothèses!$V$10,Hypothèses!$W$10,IF(B332&lt;=Hypothèses!$V$11,Hypothèses!$W$11,IF(B332&lt;=Hypothèses!$V$12,Hypothèses!$W$12,IF(B332&lt;=Hypothèses!$V$13,Hypothèses!$W$13,IF(B332&lt;=Hypothèses!$V$14,Hypothèses!$W$14,IF(B332&lt;=Hypothèses!$V$15,Hypothèses!$W$15,IF(B332&lt;=Hypothèses!$V$16,Hypothèses!$W$16,IF(B332&lt;=Hypothèses!$V$17,Hypothèses!$W$17,IF(B332&lt;=Hypothèses!$V$18,Hypothèses!$W$18,""))))))))))))</f>
        <v/>
      </c>
      <c r="W332" s="87" t="e">
        <f t="shared" ca="1" si="516"/>
        <v>#DIV/0!</v>
      </c>
      <c r="X332" s="88" t="str">
        <f>IF(B332&lt;=Hypothèses!$V$7,Hypothèses!$X$7,IF(B332&lt;=Hypothèses!$V$8,Hypothèses!$X$8,IF(B332&lt;=Hypothèses!$V$9,Hypothèses!$X$9,IF(B332&lt;=Hypothèses!$V$10,Hypothèses!$X$10,IF(B332&lt;=Hypothèses!$V$11,Hypothèses!$X$11,IF(B332&lt;=Hypothèses!$V$12,Hypothèses!$X$12,IF(B332&lt;=Hypothèses!$V$13,Hypothèses!$X$13,IF(B332&lt;=Hypothèses!$V$14,Hypothèses!$X$14,IF(B332&lt;=Hypothèses!$V$15,Hypothèses!$X$15,IF(B332&lt;=Hypothèses!$V$16,Hypothèses!$X$16,IF(B332&lt;=Hypothèses!$U$17,Hypothèses!$W$17,IF(B332&lt;=Hypothèses!$U$18,Hypothèses!$W$18,""))))))))))))</f>
        <v/>
      </c>
      <c r="Y332" s="95" t="e">
        <f t="shared" ca="1" si="436"/>
        <v>#DIV/0!</v>
      </c>
      <c r="Z332" s="101">
        <f t="shared" si="437"/>
        <v>0</v>
      </c>
      <c r="AA332" s="91">
        <f t="shared" si="438"/>
        <v>0</v>
      </c>
      <c r="AB332" s="30" t="e">
        <f t="shared" si="500"/>
        <v>#N/A</v>
      </c>
      <c r="AC332" s="30" t="e">
        <f t="shared" si="501"/>
        <v>#N/A</v>
      </c>
      <c r="AD332" s="31" t="e">
        <f>IF(OR(Hypothèses!$B$4=17,Hypothèses!$B$4=18,Hypothèses!$B$4=19,Hypothèses!$B$4=20),
IF($D332="Pressio.",
IF(OR($E332=3,$E332=1,$E332=4),AC332,AB332),
IF($D332="Pénétro.",
IF(OR($E332=3,$E332=1,$E332=4),AC332,AB332))),IF($D332="Pressio.",
IF($E332=3,AC332,AB332),
IF($D332="Pénétro.",
IF($E332=4,AC332,AB332))))</f>
        <v>#N/A</v>
      </c>
      <c r="AE332" s="31">
        <v>0</v>
      </c>
      <c r="AF332" s="102" t="e">
        <f>IF(NDC!$H$10="Oui",(VLOOKUP($B$3,'Coeff EC7'!$T$39:$X$59,2,0)*AD332+VLOOKUP($B$3,'Coeff EC7'!$T$65:$X$85,2,0)*Model0.1T!AE332)/1.5,PI()*AB$12*$Q332*($B332-$B331)*0.15/10+AF331)</f>
        <v>#N/A</v>
      </c>
      <c r="AG332" s="102" t="e">
        <f>(VLOOKUP($B$3,'Coeff EC7'!$T$39:$X$59,3,0)*AD332+VLOOKUP($B$3,'Coeff EC7'!$T$65:$X$85,3,0)*Model0.1T!AE332)/1.1</f>
        <v>#N/A</v>
      </c>
      <c r="AH332" s="102" t="e">
        <f t="shared" si="468"/>
        <v>#N/A</v>
      </c>
      <c r="AI332" s="102" t="e">
        <f t="shared" si="469"/>
        <v>#N/A</v>
      </c>
      <c r="AJ332" s="414" t="e">
        <f>IF(AND(AF332&gt;NDC!$C$63,AG332&gt;NDC!$C$65,AH332&gt;NDC!$D$73,AI332&gt;NDC!$D$74,$B332&gt;NDC!$H$22-0.1+MIN(3*$AJ$12,1.5)),0,1)</f>
        <v>#N/A</v>
      </c>
      <c r="AK332" s="86" t="b">
        <f t="shared" si="439"/>
        <v>0</v>
      </c>
      <c r="AL332" s="86">
        <f t="shared" si="470"/>
        <v>0.5</v>
      </c>
      <c r="AM332" s="86">
        <f t="shared" si="440"/>
        <v>0.5</v>
      </c>
      <c r="AN332" s="30" t="e">
        <f t="shared" ca="1" si="471"/>
        <v>#DIV/0!</v>
      </c>
      <c r="AO332" s="85" t="e">
        <f ca="1">IF(U332&lt;=Hypothèses!$V$7,Hypothèses!$W$7,IF(U332&lt;=Hypothèses!$V$8,Hypothèses!$W$8,IF(U332&lt;=Hypothèses!$V$9,Hypothèses!$W$9,IF(U332&lt;=Hypothèses!$V$10,Hypothèses!$W$10,IF(U332&lt;=Hypothèses!$V$11,Hypothèses!$W$11,IF(U332&lt;=Hypothèses!$V$12,Hypothèses!$W$12,IF(U332&lt;=Hypothèses!$V$13,Hypothèses!$W$13,IF(U332&lt;=Hypothèses!$V$14,Hypothèses!$W$14,IF(U332&lt;=Hypothèses!$V$15,Hypothèses!$W$15,IF(U332&lt;=Hypothèses!$V$16,Hypothèses!$W$16,IF(U332&lt;=Hypothèses!$V$17,Hypothèses!$W$17,IF(U332&lt;=Hypothèses!$V$18,Hypothèses!$W$18,""))))))))))))</f>
        <v>#DIV/0!</v>
      </c>
      <c r="AP332" s="87" t="e">
        <f t="shared" ca="1" si="517"/>
        <v>#DIV/0!</v>
      </c>
      <c r="AQ332" s="88" t="e">
        <f ca="1">IF(U332&lt;=Hypothèses!$V$7,Hypothèses!$X$7,IF(U332&lt;=Hypothèses!$V$8,Hypothèses!$X$8,IF(U332&lt;=Hypothèses!$V$9,Hypothèses!$X$9,IF(U332&lt;=Hypothèses!$V$10,Hypothèses!$X$10,IF(U332&lt;=Hypothèses!$V$11,Hypothèses!$X$11,IF(U332&lt;=Hypothèses!$V$12,Hypothèses!$X$12,IF(U332&lt;=Hypothèses!$V$13,Hypothèses!$X$13,IF(U332&lt;=Hypothèses!$V$14,Hypothèses!$X$14,IF(U332&lt;=Hypothèses!$V$15,Hypothèses!$X$15,IF(U332&lt;=Hypothèses!$V$16,Hypothèses!$X$16,IF(U332&lt;=Hypothèses!$U$17,Hypothèses!$W$17,IF(U332&lt;=Hypothèses!$U$18,Hypothèses!$W$18,""))))))))))))</f>
        <v>#DIV/0!</v>
      </c>
      <c r="AR332" s="95" t="e">
        <f t="shared" ca="1" si="472"/>
        <v>#DIV/0!</v>
      </c>
      <c r="AS332" s="101">
        <f t="shared" si="524"/>
        <v>0</v>
      </c>
      <c r="AT332" s="91">
        <f t="shared" si="441"/>
        <v>0</v>
      </c>
      <c r="AU332" s="30" t="e">
        <f t="shared" si="502"/>
        <v>#N/A</v>
      </c>
      <c r="AV332" s="30" t="e">
        <f t="shared" si="503"/>
        <v>#N/A</v>
      </c>
      <c r="AW332" s="31" t="e">
        <f>IF(OR(Hypothèses!$B$4=17,Hypothèses!$B$4=18,Hypothèses!$B$4=19,Hypothèses!$B$4=20),
IF($D332="Pressio.",
IF(OR($E332=3,$E332=1,$E332=4),AV332,AU332),
IF($D332="Pénétro.",
IF(OR($E332=3,$E332=1,$E332=4),AV332,AU332))),IF($D332="Pressio.",
IF($E332=3,AV332,AU332),
IF($D332="Pénétro.",
IF($E332=4,AV332,AU332))))</f>
        <v>#N/A</v>
      </c>
      <c r="AX332" s="31">
        <v>0</v>
      </c>
      <c r="AY332" s="102" t="e">
        <f>IF(NDC!$H$10="Oui",(VLOOKUP($B$3,'Coeff EC7'!$T$39:$X$59,2,0)*AW332+VLOOKUP($B$3,'Coeff EC7'!$T$65:$X$85,2,0)*Model0.1T!AX332)/1.5,PI()*AU$12*$Q332*($B332-$B331)*0.15/10+AY331)</f>
        <v>#N/A</v>
      </c>
      <c r="AZ332" s="102" t="e">
        <f>(VLOOKUP($B$3,'Coeff EC7'!$T$39:$X$59,3,0)*AW332+VLOOKUP($B$3,'Coeff EC7'!$T$65:$X$85,3,0)*Model0.1T!AX332)/1.1</f>
        <v>#N/A</v>
      </c>
      <c r="BA332" s="102" t="e">
        <f t="shared" si="473"/>
        <v>#N/A</v>
      </c>
      <c r="BB332" s="102" t="e">
        <f t="shared" si="474"/>
        <v>#N/A</v>
      </c>
      <c r="BC332" s="414" t="e">
        <f>IF(AND(AY332&gt;NDC!$C$63,AZ332&gt;NDC!$C$65,BA332&gt;NDC!$D$73,BB332&gt;NDC!$D$74,$B332&gt;NDC!$H$22-0.1+MIN(3*BC$12,1.5)),0,1)</f>
        <v>#N/A</v>
      </c>
      <c r="BD332" s="86" t="b">
        <f t="shared" si="442"/>
        <v>0</v>
      </c>
      <c r="BE332" s="86">
        <f t="shared" si="475"/>
        <v>0.5</v>
      </c>
      <c r="BF332" s="86">
        <f t="shared" si="443"/>
        <v>0.5</v>
      </c>
      <c r="BG332" s="30" t="e">
        <f t="shared" ca="1" si="476"/>
        <v>#DIV/0!</v>
      </c>
      <c r="BH332" s="85" t="e">
        <f ca="1">IF(AN332&lt;=Hypothèses!$V$7,Hypothèses!$W$7,IF(AN332&lt;=Hypothèses!$V$8,Hypothèses!$W$8,IF(AN332&lt;=Hypothèses!$V$9,Hypothèses!$W$9,IF(AN332&lt;=Hypothèses!$V$10,Hypothèses!$W$10,IF(AN332&lt;=Hypothèses!$V$11,Hypothèses!$W$11,IF(AN332&lt;=Hypothèses!$V$12,Hypothèses!$W$12,IF(AN332&lt;=Hypothèses!$V$13,Hypothèses!$W$13,IF(AN332&lt;=Hypothèses!$V$14,Hypothèses!$W$14,IF(AN332&lt;=Hypothèses!$V$15,Hypothèses!$W$15,IF(AN332&lt;=Hypothèses!$V$16,Hypothèses!$W$16,IF(AN332&lt;=Hypothèses!$V$17,Hypothèses!$W$17,IF(AN332&lt;=Hypothèses!$V$18,Hypothèses!$W$18,""))))))))))))</f>
        <v>#DIV/0!</v>
      </c>
      <c r="BI332" s="87" t="e">
        <f t="shared" ca="1" si="518"/>
        <v>#DIV/0!</v>
      </c>
      <c r="BJ332" s="88" t="e">
        <f ca="1">IF(AN332&lt;=Hypothèses!$V$7,Hypothèses!$X$7,IF(AN332&lt;=Hypothèses!$V$8,Hypothèses!$X$8,IF(AN332&lt;=Hypothèses!$V$9,Hypothèses!$X$9,IF(AN332&lt;=Hypothèses!$V$10,Hypothèses!$X$10,IF(AN332&lt;=Hypothèses!$V$11,Hypothèses!$X$11,IF(AN332&lt;=Hypothèses!$V$12,Hypothèses!$X$12,IF(AN332&lt;=Hypothèses!$V$13,Hypothèses!$X$13,IF(AN332&lt;=Hypothèses!$V$14,Hypothèses!$X$14,IF(AN332&lt;=Hypothèses!$V$15,Hypothèses!$X$15,IF(AN332&lt;=Hypothèses!$V$16,Hypothèses!$X$16,IF(AN332&lt;=Hypothèses!$U$17,Hypothèses!$W$17,IF(AN332&lt;=Hypothèses!$U$18,Hypothèses!$W$18,""))))))))))))</f>
        <v>#DIV/0!</v>
      </c>
      <c r="BK332" s="95" t="e">
        <f t="shared" ca="1" si="477"/>
        <v>#DIV/0!</v>
      </c>
      <c r="BL332" s="101">
        <f t="shared" si="525"/>
        <v>0</v>
      </c>
      <c r="BM332" s="91">
        <f t="shared" si="444"/>
        <v>0</v>
      </c>
      <c r="BN332" s="30" t="e">
        <f t="shared" si="504"/>
        <v>#N/A</v>
      </c>
      <c r="BO332" s="30" t="e">
        <f t="shared" si="505"/>
        <v>#N/A</v>
      </c>
      <c r="BP332" s="31" t="e">
        <f>IF(OR(Hypothèses!$B$4=17,Hypothèses!$B$4=18,Hypothèses!$B$4=19,Hypothèses!$B$4=20),
IF($D332="Pressio.",
IF(OR($E332=3,$E332=1,$E332=4),BO332,BN332),
IF($D332="Pénétro.",
IF(OR($E332=3,$E332=1,$E332=4),BO332,BN332))),IF($D332="Pressio.",
IF($E332=3,BO332,BN332),
IF($D332="Pénétro.",
IF($E332=4,BO332,BN332))))</f>
        <v>#N/A</v>
      </c>
      <c r="BQ332" s="31">
        <v>0</v>
      </c>
      <c r="BR332" s="102" t="e">
        <f>IF(NDC!$H$10="Oui",(VLOOKUP($B$3,'Coeff EC7'!$T$39:$X$59,2,0)*BP332+VLOOKUP($B$3,'Coeff EC7'!$T$65:$X$85,2,0)*Model0.1T!BQ332)/1.5,PI()*BN$12*$Q332*($B332-$B331)*0.15/10+BR331)</f>
        <v>#N/A</v>
      </c>
      <c r="BS332" s="102" t="e">
        <f>(VLOOKUP($B$3,'Coeff EC7'!$T$39:$X$59,3,0)*BP332+VLOOKUP($B$3,'Coeff EC7'!$T$65:$X$85,3,0)*Model0.1T!BQ332)/1.1</f>
        <v>#N/A</v>
      </c>
      <c r="BT332" s="102" t="e">
        <f t="shared" si="478"/>
        <v>#N/A</v>
      </c>
      <c r="BU332" s="102" t="e">
        <f t="shared" si="479"/>
        <v>#N/A</v>
      </c>
      <c r="BV332" s="414" t="e">
        <f>IF(AND(BR332&gt;NDC!$C$63,BS332&gt;NDC!$C$65,BT332&gt;NDC!$D$73,BU332&gt;NDC!$D$74,$B332&gt;NDC!$H$22-0.1+MIN(3*BV$12,1.5)),0,1)</f>
        <v>#N/A</v>
      </c>
      <c r="BW332" s="86" t="b">
        <f t="shared" si="445"/>
        <v>0</v>
      </c>
      <c r="BX332" s="86">
        <f t="shared" si="446"/>
        <v>0.5</v>
      </c>
      <c r="BY332" s="86">
        <f t="shared" si="447"/>
        <v>0.5</v>
      </c>
      <c r="BZ332" s="30" t="e">
        <f t="shared" ca="1" si="480"/>
        <v>#DIV/0!</v>
      </c>
      <c r="CA332" s="85" t="e">
        <f ca="1">IF(BG332&lt;=Hypothèses!$V$7,Hypothèses!$W$7,IF(BG332&lt;=Hypothèses!$V$8,Hypothèses!$W$8,IF(BG332&lt;=Hypothèses!$V$9,Hypothèses!$W$9,IF(BG332&lt;=Hypothèses!$V$10,Hypothèses!$W$10,IF(BG332&lt;=Hypothèses!$V$11,Hypothèses!$W$11,IF(BG332&lt;=Hypothèses!$V$12,Hypothèses!$W$12,IF(BG332&lt;=Hypothèses!$V$13,Hypothèses!$W$13,IF(BG332&lt;=Hypothèses!$V$14,Hypothèses!$W$14,IF(BG332&lt;=Hypothèses!$V$15,Hypothèses!$W$15,IF(BG332&lt;=Hypothèses!$V$16,Hypothèses!$W$16,IF(BG332&lt;=Hypothèses!$V$17,Hypothèses!$W$17,IF(BG332&lt;=Hypothèses!$V$18,Hypothèses!$W$18,""))))))))))))</f>
        <v>#DIV/0!</v>
      </c>
      <c r="CB332" s="87" t="e">
        <f t="shared" ca="1" si="519"/>
        <v>#DIV/0!</v>
      </c>
      <c r="CC332" s="88" t="e">
        <f ca="1">IF(BG332&lt;=Hypothèses!$V$7,Hypothèses!$X$7,IF(BG332&lt;=Hypothèses!$V$8,Hypothèses!$X$8,IF(BG332&lt;=Hypothèses!$V$9,Hypothèses!$X$9,IF(BG332&lt;=Hypothèses!$V$10,Hypothèses!$X$10,IF(BG332&lt;=Hypothèses!$V$11,Hypothèses!$X$11,IF(BG332&lt;=Hypothèses!$V$12,Hypothèses!$X$12,IF(BG332&lt;=Hypothèses!$V$13,Hypothèses!$X$13,IF(BG332&lt;=Hypothèses!$V$14,Hypothèses!$X$14,IF(BG332&lt;=Hypothèses!$V$15,Hypothèses!$X$15,IF(BG332&lt;=Hypothèses!$V$16,Hypothèses!$X$16,IF(BG332&lt;=Hypothèses!$U$17,Hypothèses!$W$17,IF(BG332&lt;=Hypothèses!$U$18,Hypothèses!$W$18,""))))))))))))</f>
        <v>#DIV/0!</v>
      </c>
      <c r="CD332" s="95" t="e">
        <f t="shared" ca="1" si="481"/>
        <v>#DIV/0!</v>
      </c>
      <c r="CE332" s="101">
        <f t="shared" si="526"/>
        <v>0</v>
      </c>
      <c r="CF332" s="91">
        <f t="shared" si="448"/>
        <v>0</v>
      </c>
      <c r="CG332" s="30" t="e">
        <f t="shared" si="506"/>
        <v>#N/A</v>
      </c>
      <c r="CH332" s="30" t="e">
        <f t="shared" si="507"/>
        <v>#N/A</v>
      </c>
      <c r="CI332" s="31" t="e">
        <f>IF(OR(Hypothèses!$B$4=17,Hypothèses!$B$4=18,Hypothèses!$B$4=19,Hypothèses!$B$4=20),
IF($D332="Pressio.",
IF(OR($E332=3,$E332=1,$E332=4),CH332,CG332),
IF($D332="Pénétro.",
IF(OR($E332=3,$E332=1,$E332=4),CH332,CG332))),IF($D332="Pressio.",
IF($E332=3,CH332,CG332),
IF($D332="Pénétro.",
IF($E332=4,CH332,CG332))))</f>
        <v>#N/A</v>
      </c>
      <c r="CJ332" s="31">
        <v>0</v>
      </c>
      <c r="CK332" s="102" t="e">
        <f>IF(NDC!$H$10="Oui",(VLOOKUP($B$3,'Coeff EC7'!$T$39:$X$59,2,0)*CI332+VLOOKUP($B$3,'Coeff EC7'!$T$65:$X$85,2,0)*Model0.1T!CJ332)/1.5,PI()*CG$12*$Q332*($B332-$B331)*0.15/10+CK331)</f>
        <v>#N/A</v>
      </c>
      <c r="CL332" s="102" t="e">
        <f>(VLOOKUP($B$3,'Coeff EC7'!$T$39:$X$59,3,0)*CI332+VLOOKUP($B$3,'Coeff EC7'!$T$65:$X$85,3,0)*Model0.1T!CJ332)/1.1</f>
        <v>#N/A</v>
      </c>
      <c r="CM332" s="102" t="e">
        <f t="shared" si="482"/>
        <v>#N/A</v>
      </c>
      <c r="CN332" s="102" t="e">
        <f t="shared" si="483"/>
        <v>#N/A</v>
      </c>
      <c r="CO332" s="414" t="e">
        <f>IF(AND(CK332&gt;NDC!$C$63,CL332&gt;NDC!$C$65,CM332&gt;NDC!$D$73,CN332&gt;NDC!$D$74,$B332&gt;NDC!$H$22-0.1+MIN(3*CO$12,1.5)),0,1)</f>
        <v>#N/A</v>
      </c>
      <c r="CP332" s="86" t="b">
        <f t="shared" si="449"/>
        <v>0</v>
      </c>
      <c r="CQ332" s="86">
        <f t="shared" si="450"/>
        <v>0.5</v>
      </c>
      <c r="CR332" s="86">
        <f t="shared" si="451"/>
        <v>0.5</v>
      </c>
      <c r="CS332" s="30" t="e">
        <f t="shared" ca="1" si="484"/>
        <v>#DIV/0!</v>
      </c>
      <c r="CT332" s="85" t="e">
        <f ca="1">IF(BZ332&lt;=Hypothèses!$V$7,Hypothèses!$W$7,IF(BZ332&lt;=Hypothèses!$V$8,Hypothèses!$W$8,IF(BZ332&lt;=Hypothèses!$V$9,Hypothèses!$W$9,IF(BZ332&lt;=Hypothèses!$V$10,Hypothèses!$W$10,IF(BZ332&lt;=Hypothèses!$V$11,Hypothèses!$W$11,IF(BZ332&lt;=Hypothèses!$V$12,Hypothèses!$W$12,IF(BZ332&lt;=Hypothèses!$V$13,Hypothèses!$W$13,IF(BZ332&lt;=Hypothèses!$V$14,Hypothèses!$W$14,IF(BZ332&lt;=Hypothèses!$V$15,Hypothèses!$W$15,IF(BZ332&lt;=Hypothèses!$V$16,Hypothèses!$W$16,IF(BZ332&lt;=Hypothèses!$V$17,Hypothèses!$W$17,IF(BZ332&lt;=Hypothèses!$V$18,Hypothèses!$W$18,""))))))))))))</f>
        <v>#DIV/0!</v>
      </c>
      <c r="CU332" s="87" t="e">
        <f t="shared" ca="1" si="520"/>
        <v>#DIV/0!</v>
      </c>
      <c r="CV332" s="88" t="e">
        <f ca="1">IF(BZ332&lt;=Hypothèses!$V$7,Hypothèses!$X$7,IF(BZ332&lt;=Hypothèses!$V$8,Hypothèses!$X$8,IF(BZ332&lt;=Hypothèses!$V$9,Hypothèses!$X$9,IF(BZ332&lt;=Hypothèses!$V$10,Hypothèses!$X$10,IF(BZ332&lt;=Hypothèses!$V$11,Hypothèses!$X$11,IF(BZ332&lt;=Hypothèses!$V$12,Hypothèses!$X$12,IF(BZ332&lt;=Hypothèses!$V$13,Hypothèses!$X$13,IF(BZ332&lt;=Hypothèses!$V$14,Hypothèses!$X$14,IF(BZ332&lt;=Hypothèses!$V$15,Hypothèses!$X$15,IF(BZ332&lt;=Hypothèses!$V$16,Hypothèses!$X$16,IF(BZ332&lt;=Hypothèses!$U$17,Hypothèses!$W$17,IF(BZ332&lt;=Hypothèses!$U$18,Hypothèses!$W$18,""))))))))))))</f>
        <v>#DIV/0!</v>
      </c>
      <c r="CW332" s="95" t="e">
        <f t="shared" ca="1" si="485"/>
        <v>#DIV/0!</v>
      </c>
      <c r="CX332" s="101">
        <f t="shared" si="527"/>
        <v>0</v>
      </c>
      <c r="CY332" s="91">
        <f t="shared" si="452"/>
        <v>0</v>
      </c>
      <c r="CZ332" s="30" t="e">
        <f t="shared" si="508"/>
        <v>#N/A</v>
      </c>
      <c r="DA332" s="30" t="e">
        <f t="shared" si="509"/>
        <v>#N/A</v>
      </c>
      <c r="DB332" s="31" t="e">
        <f>IF(OR(Hypothèses!$B$4=17,Hypothèses!$B$4=18,Hypothèses!$B$4=19,Hypothèses!$B$4=20),
IF($D332="Pressio.",
IF(OR($E332=3,$E332=1,$E332=4),DA332,CZ332),
IF($D332="Pénétro.",
IF(OR($E332=3,$E332=1,$E332=4),DA332,CZ332))),IF($D332="Pressio.",
IF($E332=3,DA332,CZ332),
IF($D332="Pénétro.",
IF($E332=4,DA332,CZ332))))</f>
        <v>#N/A</v>
      </c>
      <c r="DC332" s="31">
        <v>0</v>
      </c>
      <c r="DD332" s="102" t="e">
        <f>IF(NDC!$H$10="Oui",(VLOOKUP($B$3,'Coeff EC7'!$T$39:$X$59,2,0)*DB332+VLOOKUP($B$3,'Coeff EC7'!$T$65:$X$85,2,0)*Model0.1T!DC332)/1.5,PI()*CZ$12*$Q332*($B332-$B331)*0.15/10+DD331)</f>
        <v>#N/A</v>
      </c>
      <c r="DE332" s="102" t="e">
        <f>(VLOOKUP($B$3,'Coeff EC7'!$T$39:$X$59,3,0)*DB332+VLOOKUP($B$3,'Coeff EC7'!$T$65:$X$85,3,0)*Model0.1T!DC332)/1.1</f>
        <v>#N/A</v>
      </c>
      <c r="DF332" s="102" t="e">
        <f t="shared" si="486"/>
        <v>#N/A</v>
      </c>
      <c r="DG332" s="102" t="e">
        <f t="shared" si="487"/>
        <v>#N/A</v>
      </c>
      <c r="DH332" s="414" t="e">
        <f>IF(AND(DD332&gt;NDC!$C$63,DE332&gt;NDC!$C$65,DF332&gt;NDC!$D$73,DG332&gt;NDC!$D$74,$B332&gt;NDC!$H$22-0.1+MIN(3*DH$12,1.5)),0,1)</f>
        <v>#N/A</v>
      </c>
      <c r="DI332" s="86" t="b">
        <f t="shared" si="453"/>
        <v>0</v>
      </c>
      <c r="DJ332" s="86">
        <f t="shared" si="454"/>
        <v>0.5</v>
      </c>
      <c r="DK332" s="86">
        <f t="shared" si="455"/>
        <v>0.5</v>
      </c>
      <c r="DL332" s="30" t="e">
        <f t="shared" ca="1" si="488"/>
        <v>#DIV/0!</v>
      </c>
      <c r="DM332" s="85" t="e">
        <f ca="1">IF(CS332&lt;=Hypothèses!$V$7,Hypothèses!$W$7,IF(CS332&lt;=Hypothèses!$V$8,Hypothèses!$W$8,IF(CS332&lt;=Hypothèses!$V$9,Hypothèses!$W$9,IF(CS332&lt;=Hypothèses!$V$10,Hypothèses!$W$10,IF(CS332&lt;=Hypothèses!$V$11,Hypothèses!$W$11,IF(CS332&lt;=Hypothèses!$V$12,Hypothèses!$W$12,IF(CS332&lt;=Hypothèses!$V$13,Hypothèses!$W$13,IF(CS332&lt;=Hypothèses!$V$14,Hypothèses!$W$14,IF(CS332&lt;=Hypothèses!$V$15,Hypothèses!$W$15,IF(CS332&lt;=Hypothèses!$V$16,Hypothèses!$W$16,IF(CS332&lt;=Hypothèses!$V$17,Hypothèses!$W$17,IF(CS332&lt;=Hypothèses!$V$18,Hypothèses!$W$18,""))))))))))))</f>
        <v>#DIV/0!</v>
      </c>
      <c r="DN332" s="87" t="e">
        <f t="shared" ca="1" si="521"/>
        <v>#DIV/0!</v>
      </c>
      <c r="DO332" s="88" t="e">
        <f ca="1">IF(CS332&lt;=Hypothèses!$V$7,Hypothèses!$X$7,IF(CS332&lt;=Hypothèses!$V$8,Hypothèses!$X$8,IF(CS332&lt;=Hypothèses!$V$9,Hypothèses!$X$9,IF(CS332&lt;=Hypothèses!$V$10,Hypothèses!$X$10,IF(CS332&lt;=Hypothèses!$V$11,Hypothèses!$X$11,IF(CS332&lt;=Hypothèses!$V$12,Hypothèses!$X$12,IF(CS332&lt;=Hypothèses!$V$13,Hypothèses!$X$13,IF(CS332&lt;=Hypothèses!$V$14,Hypothèses!$X$14,IF(CS332&lt;=Hypothèses!$V$15,Hypothèses!$X$15,IF(CS332&lt;=Hypothèses!$V$16,Hypothèses!$X$16,IF(CS332&lt;=Hypothèses!$U$17,Hypothèses!$W$17,IF(CS332&lt;=Hypothèses!$U$18,Hypothèses!$W$18,""))))))))))))</f>
        <v>#DIV/0!</v>
      </c>
      <c r="DP332" s="95" t="e">
        <f t="shared" ca="1" si="489"/>
        <v>#DIV/0!</v>
      </c>
      <c r="DQ332" s="101">
        <f t="shared" si="528"/>
        <v>0</v>
      </c>
      <c r="DR332" s="91">
        <f t="shared" si="456"/>
        <v>0</v>
      </c>
      <c r="DS332" s="30" t="e">
        <f t="shared" si="510"/>
        <v>#N/A</v>
      </c>
      <c r="DT332" s="30" t="e">
        <f t="shared" si="511"/>
        <v>#N/A</v>
      </c>
      <c r="DU332" s="31" t="e">
        <f>IF(OR(Hypothèses!$B$4=17,Hypothèses!$B$4=18,Hypothèses!$B$4=19,Hypothèses!$B$4=20),
IF($D332="Pressio.",
IF(OR($E332=3,$E332=1,$E332=4),DT332,DS332),
IF($D332="Pénétro.",
IF(OR($E332=3,$E332=1,$E332=4),DT332,DS332))),IF($D332="Pressio.",
IF($E332=3,DT332,DS332),
IF($D332="Pénétro.",
IF($E332=4,DT332,DS332))))</f>
        <v>#N/A</v>
      </c>
      <c r="DV332" s="31">
        <v>0</v>
      </c>
      <c r="DW332" s="102" t="e">
        <f>IF(NDC!$H$10="Oui",(VLOOKUP($B$3,'Coeff EC7'!$T$39:$X$59,2,0)*DU332+VLOOKUP($B$3,'Coeff EC7'!$T$65:$X$85,2,0)*Model0.1T!DV332)/1.5,PI()*DS$12*$Q332*($B332-$B331)*0.15/10+DW331)</f>
        <v>#N/A</v>
      </c>
      <c r="DX332" s="102" t="e">
        <f>(VLOOKUP($B$3,'Coeff EC7'!$T$39:$X$59,3,0)*DU332+VLOOKUP($B$3,'Coeff EC7'!$T$65:$X$85,3,0)*Model0.1T!DV332)/1.1</f>
        <v>#N/A</v>
      </c>
      <c r="DY332" s="102" t="e">
        <f t="shared" si="490"/>
        <v>#N/A</v>
      </c>
      <c r="DZ332" s="102" t="e">
        <f t="shared" si="491"/>
        <v>#N/A</v>
      </c>
      <c r="EA332" s="414" t="e">
        <f>IF(AND(DW332&gt;NDC!$C$63,DX332&gt;NDC!$C$65,DY332&gt;NDC!$D$73,DZ332&gt;NDC!$D$74,$B332&gt;NDC!$H$22-0.1+MIN(3*EA$12,1.5)),0,1)</f>
        <v>#N/A</v>
      </c>
      <c r="EB332" s="86" t="b">
        <f t="shared" si="457"/>
        <v>0</v>
      </c>
      <c r="EC332" s="418">
        <f t="shared" si="458"/>
        <v>0.51</v>
      </c>
      <c r="ED332" s="86">
        <f t="shared" si="459"/>
        <v>0.51</v>
      </c>
      <c r="EE332" s="30" t="e">
        <f t="shared" ca="1" si="492"/>
        <v>#DIV/0!</v>
      </c>
      <c r="EF332" s="85" t="e">
        <f ca="1">IF(DL332&lt;=Hypothèses!$V$7,Hypothèses!$W$7,IF(DL332&lt;=Hypothèses!$V$8,Hypothèses!$W$8,IF(DL332&lt;=Hypothèses!$V$9,Hypothèses!$W$9,IF(DL332&lt;=Hypothèses!$V$10,Hypothèses!$W$10,IF(DL332&lt;=Hypothèses!$V$11,Hypothèses!$W$11,IF(DL332&lt;=Hypothèses!$V$12,Hypothèses!$W$12,IF(DL332&lt;=Hypothèses!$V$13,Hypothèses!$W$13,IF(DL332&lt;=Hypothèses!$V$14,Hypothèses!$W$14,IF(DL332&lt;=Hypothèses!$V$15,Hypothèses!$W$15,IF(DL332&lt;=Hypothèses!$V$16,Hypothèses!$W$16,IF(DL332&lt;=Hypothèses!$V$17,Hypothèses!$W$17,IF(DL332&lt;=Hypothèses!$V$18,Hypothèses!$W$18,""))))))))))))</f>
        <v>#DIV/0!</v>
      </c>
      <c r="EG332" s="87" t="e">
        <f t="shared" ca="1" si="522"/>
        <v>#DIV/0!</v>
      </c>
      <c r="EH332" s="88" t="e">
        <f ca="1">IF(DL332&lt;=Hypothèses!$V$7,Hypothèses!$X$7,IF(DL332&lt;=Hypothèses!$V$8,Hypothèses!$X$8,IF(DL332&lt;=Hypothèses!$V$9,Hypothèses!$X$9,IF(DL332&lt;=Hypothèses!$V$10,Hypothèses!$X$10,IF(DL332&lt;=Hypothèses!$V$11,Hypothèses!$X$11,IF(DL332&lt;=Hypothèses!$V$12,Hypothèses!$X$12,IF(DL332&lt;=Hypothèses!$V$13,Hypothèses!$X$13,IF(DL332&lt;=Hypothèses!$V$14,Hypothèses!$X$14,IF(DL332&lt;=Hypothèses!$V$15,Hypothèses!$X$15,IF(DL332&lt;=Hypothèses!$V$16,Hypothèses!$X$16,IF(DL332&lt;=Hypothèses!$U$17,Hypothèses!$W$17,IF(DL332&lt;=Hypothèses!$U$18,Hypothèses!$W$18,""))))))))))))</f>
        <v>#DIV/0!</v>
      </c>
      <c r="EI332" s="95" t="e">
        <f t="shared" ca="1" si="493"/>
        <v>#DIV/0!</v>
      </c>
      <c r="EJ332" s="101">
        <f t="shared" si="529"/>
        <v>0</v>
      </c>
      <c r="EK332" s="91">
        <f t="shared" si="460"/>
        <v>0</v>
      </c>
      <c r="EL332" s="30" t="e">
        <f t="shared" si="512"/>
        <v>#N/A</v>
      </c>
      <c r="EM332" s="30" t="e">
        <f t="shared" si="513"/>
        <v>#N/A</v>
      </c>
      <c r="EN332" s="31" t="e">
        <f>IF(OR(Hypothèses!$B$4=17,Hypothèses!$B$4=18,Hypothèses!$B$4=19,Hypothèses!$B$4=20),
IF($D332="Pressio.",
IF(OR($E332=3,$E332=1,$E332=4),EM332,EL332),
IF($D332="Pénétro.",
IF(OR($E332=3,$E332=1,$E332=4),EM332,EL332))),IF($D332="Pressio.",
IF($E332=3,EM332,EL332),
IF($D332="Pénétro.",
IF($E332=4,EM332,EL332))))</f>
        <v>#N/A</v>
      </c>
      <c r="EO332" s="31">
        <v>0</v>
      </c>
      <c r="EP332" s="102" t="e">
        <f>IF(NDC!$H$10="Oui",(VLOOKUP($B$3,'Coeff EC7'!$T$39:$X$59,2,0)*EN332+VLOOKUP($B$3,'Coeff EC7'!$T$65:$X$85,2,0)*Model0.1T!EO332)/1.5,PI()*EL$12*$Q332*($B332-$B331)*0.15/10+EP331)</f>
        <v>#N/A</v>
      </c>
      <c r="EQ332" s="102" t="e">
        <f>(VLOOKUP($B$3,'Coeff EC7'!$T$39:$X$59,3,0)*EN332+VLOOKUP($B$3,'Coeff EC7'!$T$65:$X$85,3,0)*Model0.1T!EO332)/1.1</f>
        <v>#N/A</v>
      </c>
      <c r="ER332" s="102" t="e">
        <f t="shared" si="494"/>
        <v>#N/A</v>
      </c>
      <c r="ES332" s="102" t="e">
        <f t="shared" si="495"/>
        <v>#N/A</v>
      </c>
      <c r="ET332" s="414" t="e">
        <f>IF(AND(EP332&gt;NDC!$C$63,EQ332&gt;NDC!$C$65,ER332&gt;NDC!$D$73,ES332&gt;NDC!$D$74,$B332&gt;NDC!$H$22-0.1+MIN(3*ET$12,1.5)),0,1)</f>
        <v>#N/A</v>
      </c>
      <c r="EU332" s="86" t="b">
        <f t="shared" si="461"/>
        <v>0</v>
      </c>
      <c r="EV332" s="86">
        <f t="shared" si="462"/>
        <v>0.61</v>
      </c>
      <c r="EW332" s="86">
        <f t="shared" si="463"/>
        <v>0.61</v>
      </c>
      <c r="EX332" s="30" t="e">
        <f t="shared" ca="1" si="496"/>
        <v>#DIV/0!</v>
      </c>
      <c r="EY332" s="85" t="e">
        <f ca="1">IF(EE332&lt;=Hypothèses!$V$7,Hypothèses!$W$7,IF(EE332&lt;=Hypothèses!$V$8,Hypothèses!$W$8,IF(EE332&lt;=Hypothèses!$V$9,Hypothèses!$W$9,IF(EE332&lt;=Hypothèses!$V$10,Hypothèses!$W$10,IF(EE332&lt;=Hypothèses!$V$11,Hypothèses!$W$11,IF(EE332&lt;=Hypothèses!$V$12,Hypothèses!$W$12,IF(EE332&lt;=Hypothèses!$V$13,Hypothèses!$W$13,IF(EE332&lt;=Hypothèses!$V$14,Hypothèses!$W$14,IF(EE332&lt;=Hypothèses!$V$15,Hypothèses!$W$15,IF(EE332&lt;=Hypothèses!$V$16,Hypothèses!$W$16,IF(EE332&lt;=Hypothèses!$V$17,Hypothèses!$W$17,IF(EE332&lt;=Hypothèses!$V$18,Hypothèses!$W$18,""))))))))))))</f>
        <v>#DIV/0!</v>
      </c>
      <c r="EZ332" s="87" t="e">
        <f t="shared" ca="1" si="523"/>
        <v>#DIV/0!</v>
      </c>
      <c r="FA332" s="88" t="e">
        <f ca="1">IF(EE332&lt;=Hypothèses!$V$7,Hypothèses!$X$7,IF(EE332&lt;=Hypothèses!$V$8,Hypothèses!$X$8,IF(EE332&lt;=Hypothèses!$V$9,Hypothèses!$X$9,IF(EE332&lt;=Hypothèses!$V$10,Hypothèses!$X$10,IF(EE332&lt;=Hypothèses!$V$11,Hypothèses!$X$11,IF(EE332&lt;=Hypothèses!$V$12,Hypothèses!$X$12,IF(EE332&lt;=Hypothèses!$V$13,Hypothèses!$X$13,IF(EE332&lt;=Hypothèses!$V$14,Hypothèses!$X$14,IF(EE332&lt;=Hypothèses!$V$15,Hypothèses!$X$15,IF(EE332&lt;=Hypothèses!$V$16,Hypothèses!$X$16,IF(EE332&lt;=Hypothèses!$U$17,Hypothèses!$W$17,IF(EE332&lt;=Hypothèses!$U$18,Hypothèses!$W$18,""))))))))))))</f>
        <v>#DIV/0!</v>
      </c>
      <c r="FB332" s="95" t="e">
        <f t="shared" ca="1" si="497"/>
        <v>#DIV/0!</v>
      </c>
      <c r="FC332" s="101">
        <f t="shared" si="530"/>
        <v>0</v>
      </c>
      <c r="FD332" s="91">
        <f t="shared" si="464"/>
        <v>0</v>
      </c>
      <c r="FE332" s="30" t="e">
        <f t="shared" si="514"/>
        <v>#N/A</v>
      </c>
      <c r="FF332" s="30" t="e">
        <f t="shared" si="515"/>
        <v>#N/A</v>
      </c>
      <c r="FG332" s="31" t="e">
        <f>IF(OR(Hypothèses!$B$4=17,Hypothèses!$B$4=18,Hypothèses!$B$4=19,Hypothèses!$B$4=20),
IF($D332="Pressio.",
IF(OR($E332=3,$E332=1,$E332=4),FF332,FE332),
IF($D332="Pénétro.",
IF(OR($E332=3,$E332=1,$E332=4),FF332,FE332))),IF($D332="Pressio.",
IF($E332=3,FF332,FE332),
IF($D332="Pénétro.",
IF($E332=4,FF332,FE332))))</f>
        <v>#N/A</v>
      </c>
      <c r="FH332" s="31">
        <v>0</v>
      </c>
      <c r="FI332" s="102" t="e">
        <f>IF(NDC!$H$10="Oui",(VLOOKUP($B$3,'Coeff EC7'!$T$39:$X$59,2,0)*FG332+VLOOKUP($B$3,'Coeff EC7'!$T$65:$X$85,2,0)*Model0.1T!FH332)/1.5,PI()*FE$12*$Q332*($B332-$B331)*0.15/10+FI331)</f>
        <v>#N/A</v>
      </c>
      <c r="FJ332" s="102" t="e">
        <f>(VLOOKUP($B$3,'Coeff EC7'!$T$39:$X$59,3,0)*FG332+VLOOKUP($B$3,'Coeff EC7'!$T$65:$X$85,3,0)*Model0.1T!FH332)/1.1</f>
        <v>#N/A</v>
      </c>
      <c r="FK332" s="102" t="e">
        <f t="shared" si="498"/>
        <v>#N/A</v>
      </c>
      <c r="FL332" s="102" t="e">
        <f t="shared" si="499"/>
        <v>#N/A</v>
      </c>
      <c r="FM332" s="414" t="e">
        <f>IF(AND(FI332&gt;NDC!$C$63,FJ332&gt;NDC!$C$65,FK332&gt;NDC!$D$73,FL332&gt;NDC!$D$74,$B332&gt;NDC!$H$22-0.1+MIN(3*FM$12,1.5)),0,1)</f>
        <v>#N/A</v>
      </c>
    </row>
    <row r="333" spans="1:169">
      <c r="A333" s="96">
        <f t="shared" si="465"/>
        <v>68.000000000001819</v>
      </c>
      <c r="B333" s="97">
        <v>32</v>
      </c>
      <c r="C333" s="81">
        <f>IF(B333&lt;=Hypothèses!$C$7,Hypothèses!$A$7,IF(B333&lt;=Hypothèses!$C$8,Hypothèses!$A$8,IF(B333&lt;=Hypothèses!$C$9,Hypothèses!$A$9,IF(B333&lt;=Hypothèses!$C$10,Hypothèses!$A$10,IF(B333&lt;=Hypothèses!$C$11,Hypothèses!$A$11,IF(B333&lt;=Hypothèses!$C$12,Hypothèses!$A$12,IF(B333&lt;=Hypothèses!$C$13,Hypothèses!$A$13,IF(B333&lt;=Hypothèses!$C$14,Hypothèses!$A$14,IF(B333&lt;=Hypothèses!$C$15,Hypothèses!$A$15,IF(B333&lt;=Hypothèses!$C$16,Hypothèses!$A$16,IF(B333&lt;=Hypothèses!$C$17,Hypothèses!$A$17,IF(B333&lt;=Hypothèses!$C$18,Hypothèses!$A$18,C332))))))))))))</f>
        <v>11</v>
      </c>
      <c r="D333" s="82" t="str">
        <f>IF(B333&lt;=Hypothèses!$C$7,Hypothèses!$R$7,IF(B333&lt;=Hypothèses!$C$8,Hypothèses!$R$8,IF(B333&lt;=Hypothèses!$C$9,Hypothèses!$R$9,IF(B333&lt;=Hypothèses!$C$10,Hypothèses!$R$10,IF(B333&lt;=Hypothèses!$C$11,Hypothèses!$R$11,IF(B333&lt;=Hypothèses!$C$12,Hypothèses!$R$12,IF(B333&lt;=Hypothèses!$C$13,Hypothèses!$R$13,IF(B333&lt;=Hypothèses!$C$14,Hypothèses!$R$14,IF(B333&lt;=Hypothèses!$C$15,Hypothèses!$R$15,IF(B333&lt;=Hypothèses!$C$16,Hypothèses!$R$16,IF(B333&lt;=Hypothèses!$C$17,Hypothèses!$R$17,IF(B333&lt;=Hypothèses!$C$18,Hypothèses!$R$18,D332))))))))))))</f>
        <v>Pressio.</v>
      </c>
      <c r="E333" s="82" t="e">
        <f>IF(B333&lt;=Hypothèses!$C$7,Hypothèses!$G$7,IF(B333&lt;=Hypothèses!$C$8,Hypothèses!$G$8,IF(B333&lt;=Hypothèses!$C$9,Hypothèses!$G$9,IF(B333&lt;=Hypothèses!$C$10,Hypothèses!$G$10,IF(B333&lt;=Hypothèses!$C$11,Hypothèses!$G$11,IF(B333&lt;=Hypothèses!$C$12,Hypothèses!$G$12,IF(B333&lt;=Hypothèses!$C$13,Hypothèses!$G$13,IF(B333&lt;=Hypothèses!$C$14,Hypothèses!$G$14,IF(B333&lt;=Hypothèses!$C$15,Hypothèses!$G$15,IF(B333&lt;=Hypothèses!$C$16,Hypothèses!$G$16,IF(B333&lt;=Hypothèses!$C$17,Hypothèses!$G$17,IF(B333&lt;=Hypothèses!$C$18,Hypothèses!$G$18,E332))))))))))))</f>
        <v>#N/A</v>
      </c>
      <c r="F333" s="82" t="str">
        <f>IF(B333&lt;=Hypothèses!$C$7,Hypothèses!$F$7,IF(B333&lt;=Hypothèses!$C$8,Hypothèses!$F$8,IF(B333&lt;=Hypothèses!$C$9,Hypothèses!$F$9,IF(B333&lt;=Hypothèses!$C$10,Hypothèses!$F$10,IF(B333&lt;=Hypothèses!$C$11,Hypothèses!$F$11,IF(B333&lt;=Hypothèses!$C$12,Hypothèses!$F$12,IF(B333&lt;=Hypothèses!$C$13,Hypothèses!$F$13,IF(B333&lt;=Hypothèses!$C$14,Hypothèses!$F$14,IF(B333&lt;=Hypothèses!$C$15,Hypothèses!$F$15,IF(B333&lt;=Hypothèses!$C$16,Hypothèses!$F$16,IF(B333&lt;=Hypothèses!$C$17,Hypothèses!$F$17,IF(B333&lt;=Hypothèses!$C$18,Hypothèses!$F$18,F332))))))))))))</f>
        <v/>
      </c>
      <c r="G333" s="91">
        <f t="array" ref="G333">INDEX('Coeff EC7'!$U$7:$X$27,
MATCH(Model0.1T!$B$3,'Coeff EC7'!$T$7:$T$27,0),
MATCH(Model0.1T!$D333&amp;Model0.1T!$B$4,
'Coeff EC7'!$U$6:$X$6&amp;
'Coeff EC7'!$U$5:$X$5,0))</f>
        <v>1.4</v>
      </c>
      <c r="H333" s="91">
        <f t="array" ref="H333">INDEX('Coeff EC7'!$Y$7:$AB$27,
MATCH(Model0.1T!$B$3,'Coeff EC7'!$T$7:$T$27,0),
MATCH(Model0.1T!$D333&amp;Model0.1T!$B$4,
'Coeff EC7'!$Y$6:$AB$6&amp;
'Coeff EC7'!$Y$5:$AB$5,0))</f>
        <v>1.7</v>
      </c>
      <c r="I333" s="83">
        <v>0</v>
      </c>
      <c r="J333" s="91" t="e">
        <f t="array" ref="J333">INDEX('Coeff EC7'!$D$33:$Q$33,1,MATCH(D333&amp;E333,'Coeff EC7'!$D$31:$Q$31&amp;'Coeff EC7'!$D$32:$Q$32,0))</f>
        <v>#N/A</v>
      </c>
      <c r="K333" s="91" t="e">
        <f t="array" ref="K333">INDEX('Coeff EC7'!$D$34:$Q$34,1,MATCH(D333&amp;E333,'Coeff EC7'!$D$31:$Q$31&amp;'Coeff EC7'!$D$32:$Q$32,0))</f>
        <v>#N/A</v>
      </c>
      <c r="L333" s="91" t="e">
        <f t="array" ref="L333">INDEX('Coeff EC7'!$D$35:$Q$35,1,MATCH(D333&amp;E333,'Coeff EC7'!$D$31:$Q$31&amp;'Coeff EC7'!$D$32:$Q$32,0))</f>
        <v>#N/A</v>
      </c>
      <c r="M333" s="98" t="e">
        <f t="shared" ref="M333:M363" si="531">((J333*F333+K333)*(1-(EXP(-L333*F333))))</f>
        <v>#N/A</v>
      </c>
      <c r="N333" s="99" t="e">
        <f t="array" ref="N333">INDEX('Coeff EC7'!$D$7:$Q$27,MATCH($B$3,'Coeff EC7'!$C$7:$C$27,0),MATCH(D333&amp;E333,'Coeff EC7'!$D$5:$Q$5&amp;'Coeff EC7'!$D$6:$Q$6,0))</f>
        <v>#N/A</v>
      </c>
      <c r="O333" s="99" t="e">
        <f t="array" ref="O333">INDEX('Coeff EC7'!$D$41:$Q$61,MATCH($B$3,'Coeff EC7'!$C$41:$C$61,0),MATCH(D333&amp;E333,'Coeff EC7'!$D$39:$Q$39&amp;'Coeff EC7'!$D$40:$Q$40,0))</f>
        <v>#N/A</v>
      </c>
      <c r="P333" s="30" t="e">
        <f t="shared" si="466"/>
        <v>#N/A</v>
      </c>
      <c r="Q333" s="100" t="e">
        <f t="shared" si="433"/>
        <v>#N/A</v>
      </c>
      <c r="R333" s="86" t="b">
        <f t="shared" si="434"/>
        <v>0</v>
      </c>
      <c r="S333" s="86">
        <f t="shared" ref="S333:S363" si="532">MAX($AF$12/2,0.5)</f>
        <v>0.5</v>
      </c>
      <c r="T333" s="86">
        <f t="shared" si="435"/>
        <v>0.5</v>
      </c>
      <c r="U333" s="30" t="e">
        <f t="shared" ca="1" si="467"/>
        <v>#DIV/0!</v>
      </c>
      <c r="V333" s="85" t="str">
        <f>IF(B333&lt;=Hypothèses!$V$7,Hypothèses!$W$7,IF(B333&lt;=Hypothèses!$V$8,Hypothèses!$W$8,IF(B333&lt;=Hypothèses!$V$9,Hypothèses!$W$9,IF(B333&lt;=Hypothèses!$V$10,Hypothèses!$W$10,IF(B333&lt;=Hypothèses!$V$11,Hypothèses!$W$11,IF(B333&lt;=Hypothèses!$V$12,Hypothèses!$W$12,IF(B333&lt;=Hypothèses!$V$13,Hypothèses!$W$13,IF(B333&lt;=Hypothèses!$V$14,Hypothèses!$W$14,IF(B333&lt;=Hypothèses!$V$15,Hypothèses!$W$15,IF(B333&lt;=Hypothèses!$V$16,Hypothèses!$W$16,IF(B333&lt;=Hypothèses!$V$17,Hypothèses!$W$17,IF(B333&lt;=Hypothèses!$V$18,Hypothèses!$W$18,""))))))))))))</f>
        <v/>
      </c>
      <c r="W333" s="87" t="e">
        <f t="shared" ca="1" si="516"/>
        <v>#DIV/0!</v>
      </c>
      <c r="X333" s="88" t="str">
        <f>IF(B333&lt;=Hypothèses!$V$7,Hypothèses!$X$7,IF(B333&lt;=Hypothèses!$V$8,Hypothèses!$X$8,IF(B333&lt;=Hypothèses!$V$9,Hypothèses!$X$9,IF(B333&lt;=Hypothèses!$V$10,Hypothèses!$X$10,IF(B333&lt;=Hypothèses!$V$11,Hypothèses!$X$11,IF(B333&lt;=Hypothèses!$V$12,Hypothèses!$X$12,IF(B333&lt;=Hypothèses!$V$13,Hypothèses!$X$13,IF(B333&lt;=Hypothèses!$V$14,Hypothèses!$X$14,IF(B333&lt;=Hypothèses!$V$15,Hypothèses!$X$15,IF(B333&lt;=Hypothèses!$V$16,Hypothèses!$X$16,IF(B333&lt;=Hypothèses!$U$17,Hypothèses!$W$17,IF(B333&lt;=Hypothèses!$U$18,Hypothèses!$W$18,""))))))))))))</f>
        <v/>
      </c>
      <c r="Y333" s="95" t="e">
        <f t="shared" ca="1" si="436"/>
        <v>#DIV/0!</v>
      </c>
      <c r="Z333" s="101">
        <f t="shared" si="437"/>
        <v>0</v>
      </c>
      <c r="AA333" s="91">
        <f t="shared" si="438"/>
        <v>0</v>
      </c>
      <c r="AB333" s="30" t="e">
        <f t="shared" si="500"/>
        <v>#N/A</v>
      </c>
      <c r="AC333" s="30" t="e">
        <f t="shared" si="501"/>
        <v>#N/A</v>
      </c>
      <c r="AD333" s="31" t="e">
        <f>IF(OR(Hypothèses!$B$4=17,Hypothèses!$B$4=18,Hypothèses!$B$4=19,Hypothèses!$B$4=20),
IF($D333="Pressio.",
IF(OR($E333=3,$E333=1,$E333=4),AC333,AB333),
IF($D333="Pénétro.",
IF(OR($E333=3,$E333=1,$E333=4),AC333,AB333))),IF($D333="Pressio.",
IF($E333=3,AC333,AB333),
IF($D333="Pénétro.",
IF($E333=4,AC333,AB333))))</f>
        <v>#N/A</v>
      </c>
      <c r="AE333" s="31">
        <v>0</v>
      </c>
      <c r="AF333" s="102" t="e">
        <f>IF(NDC!$H$10="Oui",(VLOOKUP($B$3,'Coeff EC7'!$T$39:$X$59,2,0)*AD333+VLOOKUP($B$3,'Coeff EC7'!$T$65:$X$85,2,0)*Model0.1T!AE333)/1.5,PI()*AB$12*$Q333*($B333-$B332)*0.15/10+AF332)</f>
        <v>#N/A</v>
      </c>
      <c r="AG333" s="102" t="e">
        <f>(VLOOKUP($B$3,'Coeff EC7'!$T$39:$X$59,3,0)*AD333+VLOOKUP($B$3,'Coeff EC7'!$T$65:$X$85,3,0)*Model0.1T!AE333)/1.1</f>
        <v>#N/A</v>
      </c>
      <c r="AH333" s="102" t="e">
        <f t="shared" si="468"/>
        <v>#N/A</v>
      </c>
      <c r="AI333" s="102" t="e">
        <f t="shared" si="469"/>
        <v>#N/A</v>
      </c>
      <c r="AJ333" s="414" t="e">
        <f>IF(AND(AF333&gt;NDC!$C$63,AG333&gt;NDC!$C$65,AH333&gt;NDC!$D$73,AI333&gt;NDC!$D$74,$B333&gt;NDC!$H$22-0.1+MIN(3*$AJ$12,1.5)),0,1)</f>
        <v>#N/A</v>
      </c>
      <c r="AK333" s="86" t="b">
        <f t="shared" si="439"/>
        <v>0</v>
      </c>
      <c r="AL333" s="86">
        <f t="shared" si="470"/>
        <v>0.5</v>
      </c>
      <c r="AM333" s="86">
        <f t="shared" si="440"/>
        <v>0.5</v>
      </c>
      <c r="AN333" s="30" t="e">
        <f t="shared" ca="1" si="471"/>
        <v>#DIV/0!</v>
      </c>
      <c r="AO333" s="85" t="e">
        <f ca="1">IF(U333&lt;=Hypothèses!$V$7,Hypothèses!$W$7,IF(U333&lt;=Hypothèses!$V$8,Hypothèses!$W$8,IF(U333&lt;=Hypothèses!$V$9,Hypothèses!$W$9,IF(U333&lt;=Hypothèses!$V$10,Hypothèses!$W$10,IF(U333&lt;=Hypothèses!$V$11,Hypothèses!$W$11,IF(U333&lt;=Hypothèses!$V$12,Hypothèses!$W$12,IF(U333&lt;=Hypothèses!$V$13,Hypothèses!$W$13,IF(U333&lt;=Hypothèses!$V$14,Hypothèses!$W$14,IF(U333&lt;=Hypothèses!$V$15,Hypothèses!$W$15,IF(U333&lt;=Hypothèses!$V$16,Hypothèses!$W$16,IF(U333&lt;=Hypothèses!$V$17,Hypothèses!$W$17,IF(U333&lt;=Hypothèses!$V$18,Hypothèses!$W$18,""))))))))))))</f>
        <v>#DIV/0!</v>
      </c>
      <c r="AP333" s="87" t="e">
        <f t="shared" ca="1" si="517"/>
        <v>#DIV/0!</v>
      </c>
      <c r="AQ333" s="88" t="e">
        <f ca="1">IF(U333&lt;=Hypothèses!$V$7,Hypothèses!$X$7,IF(U333&lt;=Hypothèses!$V$8,Hypothèses!$X$8,IF(U333&lt;=Hypothèses!$V$9,Hypothèses!$X$9,IF(U333&lt;=Hypothèses!$V$10,Hypothèses!$X$10,IF(U333&lt;=Hypothèses!$V$11,Hypothèses!$X$11,IF(U333&lt;=Hypothèses!$V$12,Hypothèses!$X$12,IF(U333&lt;=Hypothèses!$V$13,Hypothèses!$X$13,IF(U333&lt;=Hypothèses!$V$14,Hypothèses!$X$14,IF(U333&lt;=Hypothèses!$V$15,Hypothèses!$X$15,IF(U333&lt;=Hypothèses!$V$16,Hypothèses!$X$16,IF(U333&lt;=Hypothèses!$U$17,Hypothèses!$W$17,IF(U333&lt;=Hypothèses!$U$18,Hypothèses!$W$18,""))))))))))))</f>
        <v>#DIV/0!</v>
      </c>
      <c r="AR333" s="95" t="e">
        <f t="shared" ca="1" si="472"/>
        <v>#DIV/0!</v>
      </c>
      <c r="AS333" s="101">
        <f t="shared" si="524"/>
        <v>0</v>
      </c>
      <c r="AT333" s="91">
        <f t="shared" si="441"/>
        <v>0</v>
      </c>
      <c r="AU333" s="30" t="e">
        <f t="shared" si="502"/>
        <v>#N/A</v>
      </c>
      <c r="AV333" s="30" t="e">
        <f t="shared" si="503"/>
        <v>#N/A</v>
      </c>
      <c r="AW333" s="31" t="e">
        <f>IF(OR(Hypothèses!$B$4=17,Hypothèses!$B$4=18,Hypothèses!$B$4=19,Hypothèses!$B$4=20),
IF($D333="Pressio.",
IF(OR($E333=3,$E333=1,$E333=4),AV333,AU333),
IF($D333="Pénétro.",
IF(OR($E333=3,$E333=1,$E333=4),AV333,AU333))),IF($D333="Pressio.",
IF($E333=3,AV333,AU333),
IF($D333="Pénétro.",
IF($E333=4,AV333,AU333))))</f>
        <v>#N/A</v>
      </c>
      <c r="AX333" s="31">
        <v>0</v>
      </c>
      <c r="AY333" s="102" t="e">
        <f>IF(NDC!$H$10="Oui",(VLOOKUP($B$3,'Coeff EC7'!$T$39:$X$59,2,0)*AW333+VLOOKUP($B$3,'Coeff EC7'!$T$65:$X$85,2,0)*Model0.1T!AX333)/1.5,PI()*AU$12*$Q333*($B333-$B332)*0.15/10+AY332)</f>
        <v>#N/A</v>
      </c>
      <c r="AZ333" s="102" t="e">
        <f>(VLOOKUP($B$3,'Coeff EC7'!$T$39:$X$59,3,0)*AW333+VLOOKUP($B$3,'Coeff EC7'!$T$65:$X$85,3,0)*Model0.1T!AX333)/1.1</f>
        <v>#N/A</v>
      </c>
      <c r="BA333" s="102" t="e">
        <f t="shared" si="473"/>
        <v>#N/A</v>
      </c>
      <c r="BB333" s="102" t="e">
        <f t="shared" si="474"/>
        <v>#N/A</v>
      </c>
      <c r="BC333" s="414" t="e">
        <f>IF(AND(AY333&gt;NDC!$C$63,AZ333&gt;NDC!$C$65,BA333&gt;NDC!$D$73,BB333&gt;NDC!$D$74,$B333&gt;NDC!$H$22-0.1+MIN(3*BC$12,1.5)),0,1)</f>
        <v>#N/A</v>
      </c>
      <c r="BD333" s="86" t="b">
        <f t="shared" si="442"/>
        <v>0</v>
      </c>
      <c r="BE333" s="86">
        <f t="shared" si="475"/>
        <v>0.5</v>
      </c>
      <c r="BF333" s="86">
        <f t="shared" si="443"/>
        <v>0.5</v>
      </c>
      <c r="BG333" s="30" t="e">
        <f t="shared" ca="1" si="476"/>
        <v>#DIV/0!</v>
      </c>
      <c r="BH333" s="85" t="e">
        <f ca="1">IF(AN333&lt;=Hypothèses!$V$7,Hypothèses!$W$7,IF(AN333&lt;=Hypothèses!$V$8,Hypothèses!$W$8,IF(AN333&lt;=Hypothèses!$V$9,Hypothèses!$W$9,IF(AN333&lt;=Hypothèses!$V$10,Hypothèses!$W$10,IF(AN333&lt;=Hypothèses!$V$11,Hypothèses!$W$11,IF(AN333&lt;=Hypothèses!$V$12,Hypothèses!$W$12,IF(AN333&lt;=Hypothèses!$V$13,Hypothèses!$W$13,IF(AN333&lt;=Hypothèses!$V$14,Hypothèses!$W$14,IF(AN333&lt;=Hypothèses!$V$15,Hypothèses!$W$15,IF(AN333&lt;=Hypothèses!$V$16,Hypothèses!$W$16,IF(AN333&lt;=Hypothèses!$V$17,Hypothèses!$W$17,IF(AN333&lt;=Hypothèses!$V$18,Hypothèses!$W$18,""))))))))))))</f>
        <v>#DIV/0!</v>
      </c>
      <c r="BI333" s="87" t="e">
        <f t="shared" ca="1" si="518"/>
        <v>#DIV/0!</v>
      </c>
      <c r="BJ333" s="88" t="e">
        <f ca="1">IF(AN333&lt;=Hypothèses!$V$7,Hypothèses!$X$7,IF(AN333&lt;=Hypothèses!$V$8,Hypothèses!$X$8,IF(AN333&lt;=Hypothèses!$V$9,Hypothèses!$X$9,IF(AN333&lt;=Hypothèses!$V$10,Hypothèses!$X$10,IF(AN333&lt;=Hypothèses!$V$11,Hypothèses!$X$11,IF(AN333&lt;=Hypothèses!$V$12,Hypothèses!$X$12,IF(AN333&lt;=Hypothèses!$V$13,Hypothèses!$X$13,IF(AN333&lt;=Hypothèses!$V$14,Hypothèses!$X$14,IF(AN333&lt;=Hypothèses!$V$15,Hypothèses!$X$15,IF(AN333&lt;=Hypothèses!$V$16,Hypothèses!$X$16,IF(AN333&lt;=Hypothèses!$U$17,Hypothèses!$W$17,IF(AN333&lt;=Hypothèses!$U$18,Hypothèses!$W$18,""))))))))))))</f>
        <v>#DIV/0!</v>
      </c>
      <c r="BK333" s="95" t="e">
        <f t="shared" ca="1" si="477"/>
        <v>#DIV/0!</v>
      </c>
      <c r="BL333" s="101">
        <f t="shared" si="525"/>
        <v>0</v>
      </c>
      <c r="BM333" s="91">
        <f t="shared" si="444"/>
        <v>0</v>
      </c>
      <c r="BN333" s="30" t="e">
        <f t="shared" si="504"/>
        <v>#N/A</v>
      </c>
      <c r="BO333" s="30" t="e">
        <f t="shared" si="505"/>
        <v>#N/A</v>
      </c>
      <c r="BP333" s="31" t="e">
        <f>IF(OR(Hypothèses!$B$4=17,Hypothèses!$B$4=18,Hypothèses!$B$4=19,Hypothèses!$B$4=20),
IF($D333="Pressio.",
IF(OR($E333=3,$E333=1,$E333=4),BO333,BN333),
IF($D333="Pénétro.",
IF(OR($E333=3,$E333=1,$E333=4),BO333,BN333))),IF($D333="Pressio.",
IF($E333=3,BO333,BN333),
IF($D333="Pénétro.",
IF($E333=4,BO333,BN333))))</f>
        <v>#N/A</v>
      </c>
      <c r="BQ333" s="31">
        <v>0</v>
      </c>
      <c r="BR333" s="102" t="e">
        <f>IF(NDC!$H$10="Oui",(VLOOKUP($B$3,'Coeff EC7'!$T$39:$X$59,2,0)*BP333+VLOOKUP($B$3,'Coeff EC7'!$T$65:$X$85,2,0)*Model0.1T!BQ333)/1.5,PI()*BN$12*$Q333*($B333-$B332)*0.15/10+BR332)</f>
        <v>#N/A</v>
      </c>
      <c r="BS333" s="102" t="e">
        <f>(VLOOKUP($B$3,'Coeff EC7'!$T$39:$X$59,3,0)*BP333+VLOOKUP($B$3,'Coeff EC7'!$T$65:$X$85,3,0)*Model0.1T!BQ333)/1.1</f>
        <v>#N/A</v>
      </c>
      <c r="BT333" s="102" t="e">
        <f t="shared" si="478"/>
        <v>#N/A</v>
      </c>
      <c r="BU333" s="102" t="e">
        <f t="shared" si="479"/>
        <v>#N/A</v>
      </c>
      <c r="BV333" s="414" t="e">
        <f>IF(AND(BR333&gt;NDC!$C$63,BS333&gt;NDC!$C$65,BT333&gt;NDC!$D$73,BU333&gt;NDC!$D$74,$B333&gt;NDC!$H$22-0.1+MIN(3*BV$12,1.5)),0,1)</f>
        <v>#N/A</v>
      </c>
      <c r="BW333" s="86" t="b">
        <f t="shared" si="445"/>
        <v>0</v>
      </c>
      <c r="BX333" s="86">
        <f t="shared" si="446"/>
        <v>0.5</v>
      </c>
      <c r="BY333" s="86">
        <f t="shared" si="447"/>
        <v>0.5</v>
      </c>
      <c r="BZ333" s="30" t="e">
        <f t="shared" ca="1" si="480"/>
        <v>#DIV/0!</v>
      </c>
      <c r="CA333" s="85" t="e">
        <f ca="1">IF(BG333&lt;=Hypothèses!$V$7,Hypothèses!$W$7,IF(BG333&lt;=Hypothèses!$V$8,Hypothèses!$W$8,IF(BG333&lt;=Hypothèses!$V$9,Hypothèses!$W$9,IF(BG333&lt;=Hypothèses!$V$10,Hypothèses!$W$10,IF(BG333&lt;=Hypothèses!$V$11,Hypothèses!$W$11,IF(BG333&lt;=Hypothèses!$V$12,Hypothèses!$W$12,IF(BG333&lt;=Hypothèses!$V$13,Hypothèses!$W$13,IF(BG333&lt;=Hypothèses!$V$14,Hypothèses!$W$14,IF(BG333&lt;=Hypothèses!$V$15,Hypothèses!$W$15,IF(BG333&lt;=Hypothèses!$V$16,Hypothèses!$W$16,IF(BG333&lt;=Hypothèses!$V$17,Hypothèses!$W$17,IF(BG333&lt;=Hypothèses!$V$18,Hypothèses!$W$18,""))))))))))))</f>
        <v>#DIV/0!</v>
      </c>
      <c r="CB333" s="87" t="e">
        <f t="shared" ca="1" si="519"/>
        <v>#DIV/0!</v>
      </c>
      <c r="CC333" s="88" t="e">
        <f ca="1">IF(BG333&lt;=Hypothèses!$V$7,Hypothèses!$X$7,IF(BG333&lt;=Hypothèses!$V$8,Hypothèses!$X$8,IF(BG333&lt;=Hypothèses!$V$9,Hypothèses!$X$9,IF(BG333&lt;=Hypothèses!$V$10,Hypothèses!$X$10,IF(BG333&lt;=Hypothèses!$V$11,Hypothèses!$X$11,IF(BG333&lt;=Hypothèses!$V$12,Hypothèses!$X$12,IF(BG333&lt;=Hypothèses!$V$13,Hypothèses!$X$13,IF(BG333&lt;=Hypothèses!$V$14,Hypothèses!$X$14,IF(BG333&lt;=Hypothèses!$V$15,Hypothèses!$X$15,IF(BG333&lt;=Hypothèses!$V$16,Hypothèses!$X$16,IF(BG333&lt;=Hypothèses!$U$17,Hypothèses!$W$17,IF(BG333&lt;=Hypothèses!$U$18,Hypothèses!$W$18,""))))))))))))</f>
        <v>#DIV/0!</v>
      </c>
      <c r="CD333" s="95" t="e">
        <f t="shared" ca="1" si="481"/>
        <v>#DIV/0!</v>
      </c>
      <c r="CE333" s="101">
        <f t="shared" si="526"/>
        <v>0</v>
      </c>
      <c r="CF333" s="91">
        <f t="shared" si="448"/>
        <v>0</v>
      </c>
      <c r="CG333" s="30" t="e">
        <f t="shared" si="506"/>
        <v>#N/A</v>
      </c>
      <c r="CH333" s="30" t="e">
        <f t="shared" si="507"/>
        <v>#N/A</v>
      </c>
      <c r="CI333" s="31" t="e">
        <f>IF(OR(Hypothèses!$B$4=17,Hypothèses!$B$4=18,Hypothèses!$B$4=19,Hypothèses!$B$4=20),
IF($D333="Pressio.",
IF(OR($E333=3,$E333=1,$E333=4),CH333,CG333),
IF($D333="Pénétro.",
IF(OR($E333=3,$E333=1,$E333=4),CH333,CG333))),IF($D333="Pressio.",
IF($E333=3,CH333,CG333),
IF($D333="Pénétro.",
IF($E333=4,CH333,CG333))))</f>
        <v>#N/A</v>
      </c>
      <c r="CJ333" s="31">
        <v>0</v>
      </c>
      <c r="CK333" s="102" t="e">
        <f>IF(NDC!$H$10="Oui",(VLOOKUP($B$3,'Coeff EC7'!$T$39:$X$59,2,0)*CI333+VLOOKUP($B$3,'Coeff EC7'!$T$65:$X$85,2,0)*Model0.1T!CJ333)/1.5,PI()*CG$12*$Q333*($B333-$B332)*0.15/10+CK332)</f>
        <v>#N/A</v>
      </c>
      <c r="CL333" s="102" t="e">
        <f>(VLOOKUP($B$3,'Coeff EC7'!$T$39:$X$59,3,0)*CI333+VLOOKUP($B$3,'Coeff EC7'!$T$65:$X$85,3,0)*Model0.1T!CJ333)/1.1</f>
        <v>#N/A</v>
      </c>
      <c r="CM333" s="102" t="e">
        <f t="shared" si="482"/>
        <v>#N/A</v>
      </c>
      <c r="CN333" s="102" t="e">
        <f t="shared" si="483"/>
        <v>#N/A</v>
      </c>
      <c r="CO333" s="414" t="e">
        <f>IF(AND(CK333&gt;NDC!$C$63,CL333&gt;NDC!$C$65,CM333&gt;NDC!$D$73,CN333&gt;NDC!$D$74,$B333&gt;NDC!$H$22-0.1+MIN(3*CO$12,1.5)),0,1)</f>
        <v>#N/A</v>
      </c>
      <c r="CP333" s="86" t="b">
        <f t="shared" si="449"/>
        <v>0</v>
      </c>
      <c r="CQ333" s="86">
        <f t="shared" si="450"/>
        <v>0.5</v>
      </c>
      <c r="CR333" s="86">
        <f t="shared" si="451"/>
        <v>0.5</v>
      </c>
      <c r="CS333" s="30" t="e">
        <f t="shared" ca="1" si="484"/>
        <v>#DIV/0!</v>
      </c>
      <c r="CT333" s="85" t="e">
        <f ca="1">IF(BZ333&lt;=Hypothèses!$V$7,Hypothèses!$W$7,IF(BZ333&lt;=Hypothèses!$V$8,Hypothèses!$W$8,IF(BZ333&lt;=Hypothèses!$V$9,Hypothèses!$W$9,IF(BZ333&lt;=Hypothèses!$V$10,Hypothèses!$W$10,IF(BZ333&lt;=Hypothèses!$V$11,Hypothèses!$W$11,IF(BZ333&lt;=Hypothèses!$V$12,Hypothèses!$W$12,IF(BZ333&lt;=Hypothèses!$V$13,Hypothèses!$W$13,IF(BZ333&lt;=Hypothèses!$V$14,Hypothèses!$W$14,IF(BZ333&lt;=Hypothèses!$V$15,Hypothèses!$W$15,IF(BZ333&lt;=Hypothèses!$V$16,Hypothèses!$W$16,IF(BZ333&lt;=Hypothèses!$V$17,Hypothèses!$W$17,IF(BZ333&lt;=Hypothèses!$V$18,Hypothèses!$W$18,""))))))))))))</f>
        <v>#DIV/0!</v>
      </c>
      <c r="CU333" s="87" t="e">
        <f t="shared" ca="1" si="520"/>
        <v>#DIV/0!</v>
      </c>
      <c r="CV333" s="88" t="e">
        <f ca="1">IF(BZ333&lt;=Hypothèses!$V$7,Hypothèses!$X$7,IF(BZ333&lt;=Hypothèses!$V$8,Hypothèses!$X$8,IF(BZ333&lt;=Hypothèses!$V$9,Hypothèses!$X$9,IF(BZ333&lt;=Hypothèses!$V$10,Hypothèses!$X$10,IF(BZ333&lt;=Hypothèses!$V$11,Hypothèses!$X$11,IF(BZ333&lt;=Hypothèses!$V$12,Hypothèses!$X$12,IF(BZ333&lt;=Hypothèses!$V$13,Hypothèses!$X$13,IF(BZ333&lt;=Hypothèses!$V$14,Hypothèses!$X$14,IF(BZ333&lt;=Hypothèses!$V$15,Hypothèses!$X$15,IF(BZ333&lt;=Hypothèses!$V$16,Hypothèses!$X$16,IF(BZ333&lt;=Hypothèses!$U$17,Hypothèses!$W$17,IF(BZ333&lt;=Hypothèses!$U$18,Hypothèses!$W$18,""))))))))))))</f>
        <v>#DIV/0!</v>
      </c>
      <c r="CW333" s="95" t="e">
        <f t="shared" ca="1" si="485"/>
        <v>#DIV/0!</v>
      </c>
      <c r="CX333" s="101">
        <f t="shared" si="527"/>
        <v>0</v>
      </c>
      <c r="CY333" s="91">
        <f t="shared" si="452"/>
        <v>0</v>
      </c>
      <c r="CZ333" s="30" t="e">
        <f t="shared" si="508"/>
        <v>#N/A</v>
      </c>
      <c r="DA333" s="30" t="e">
        <f t="shared" si="509"/>
        <v>#N/A</v>
      </c>
      <c r="DB333" s="31" t="e">
        <f>IF(OR(Hypothèses!$B$4=17,Hypothèses!$B$4=18,Hypothèses!$B$4=19,Hypothèses!$B$4=20),
IF($D333="Pressio.",
IF(OR($E333=3,$E333=1,$E333=4),DA333,CZ333),
IF($D333="Pénétro.",
IF(OR($E333=3,$E333=1,$E333=4),DA333,CZ333))),IF($D333="Pressio.",
IF($E333=3,DA333,CZ333),
IF($D333="Pénétro.",
IF($E333=4,DA333,CZ333))))</f>
        <v>#N/A</v>
      </c>
      <c r="DC333" s="31">
        <v>0</v>
      </c>
      <c r="DD333" s="102" t="e">
        <f>IF(NDC!$H$10="Oui",(VLOOKUP($B$3,'Coeff EC7'!$T$39:$X$59,2,0)*DB333+VLOOKUP($B$3,'Coeff EC7'!$T$65:$X$85,2,0)*Model0.1T!DC333)/1.5,PI()*CZ$12*$Q333*($B333-$B332)*0.15/10+DD332)</f>
        <v>#N/A</v>
      </c>
      <c r="DE333" s="102" t="e">
        <f>(VLOOKUP($B$3,'Coeff EC7'!$T$39:$X$59,3,0)*DB333+VLOOKUP($B$3,'Coeff EC7'!$T$65:$X$85,3,0)*Model0.1T!DC333)/1.1</f>
        <v>#N/A</v>
      </c>
      <c r="DF333" s="102" t="e">
        <f t="shared" si="486"/>
        <v>#N/A</v>
      </c>
      <c r="DG333" s="102" t="e">
        <f t="shared" si="487"/>
        <v>#N/A</v>
      </c>
      <c r="DH333" s="414" t="e">
        <f>IF(AND(DD333&gt;NDC!$C$63,DE333&gt;NDC!$C$65,DF333&gt;NDC!$D$73,DG333&gt;NDC!$D$74,$B333&gt;NDC!$H$22-0.1+MIN(3*DH$12,1.5)),0,1)</f>
        <v>#N/A</v>
      </c>
      <c r="DI333" s="86" t="b">
        <f t="shared" si="453"/>
        <v>0</v>
      </c>
      <c r="DJ333" s="86">
        <f t="shared" si="454"/>
        <v>0.5</v>
      </c>
      <c r="DK333" s="86">
        <f t="shared" si="455"/>
        <v>0.5</v>
      </c>
      <c r="DL333" s="30" t="e">
        <f t="shared" ca="1" si="488"/>
        <v>#DIV/0!</v>
      </c>
      <c r="DM333" s="85" t="e">
        <f ca="1">IF(CS333&lt;=Hypothèses!$V$7,Hypothèses!$W$7,IF(CS333&lt;=Hypothèses!$V$8,Hypothèses!$W$8,IF(CS333&lt;=Hypothèses!$V$9,Hypothèses!$W$9,IF(CS333&lt;=Hypothèses!$V$10,Hypothèses!$W$10,IF(CS333&lt;=Hypothèses!$V$11,Hypothèses!$W$11,IF(CS333&lt;=Hypothèses!$V$12,Hypothèses!$W$12,IF(CS333&lt;=Hypothèses!$V$13,Hypothèses!$W$13,IF(CS333&lt;=Hypothèses!$V$14,Hypothèses!$W$14,IF(CS333&lt;=Hypothèses!$V$15,Hypothèses!$W$15,IF(CS333&lt;=Hypothèses!$V$16,Hypothèses!$W$16,IF(CS333&lt;=Hypothèses!$V$17,Hypothèses!$W$17,IF(CS333&lt;=Hypothèses!$V$18,Hypothèses!$W$18,""))))))))))))</f>
        <v>#DIV/0!</v>
      </c>
      <c r="DN333" s="87" t="e">
        <f t="shared" ca="1" si="521"/>
        <v>#DIV/0!</v>
      </c>
      <c r="DO333" s="88" t="e">
        <f ca="1">IF(CS333&lt;=Hypothèses!$V$7,Hypothèses!$X$7,IF(CS333&lt;=Hypothèses!$V$8,Hypothèses!$X$8,IF(CS333&lt;=Hypothèses!$V$9,Hypothèses!$X$9,IF(CS333&lt;=Hypothèses!$V$10,Hypothèses!$X$10,IF(CS333&lt;=Hypothèses!$V$11,Hypothèses!$X$11,IF(CS333&lt;=Hypothèses!$V$12,Hypothèses!$X$12,IF(CS333&lt;=Hypothèses!$V$13,Hypothèses!$X$13,IF(CS333&lt;=Hypothèses!$V$14,Hypothèses!$X$14,IF(CS333&lt;=Hypothèses!$V$15,Hypothèses!$X$15,IF(CS333&lt;=Hypothèses!$V$16,Hypothèses!$X$16,IF(CS333&lt;=Hypothèses!$U$17,Hypothèses!$W$17,IF(CS333&lt;=Hypothèses!$U$18,Hypothèses!$W$18,""))))))))))))</f>
        <v>#DIV/0!</v>
      </c>
      <c r="DP333" s="95" t="e">
        <f t="shared" ca="1" si="489"/>
        <v>#DIV/0!</v>
      </c>
      <c r="DQ333" s="101">
        <f t="shared" si="528"/>
        <v>0</v>
      </c>
      <c r="DR333" s="91">
        <f t="shared" si="456"/>
        <v>0</v>
      </c>
      <c r="DS333" s="30" t="e">
        <f t="shared" si="510"/>
        <v>#N/A</v>
      </c>
      <c r="DT333" s="30" t="e">
        <f t="shared" si="511"/>
        <v>#N/A</v>
      </c>
      <c r="DU333" s="31" t="e">
        <f>IF(OR(Hypothèses!$B$4=17,Hypothèses!$B$4=18,Hypothèses!$B$4=19,Hypothèses!$B$4=20),
IF($D333="Pressio.",
IF(OR($E333=3,$E333=1,$E333=4),DT333,DS333),
IF($D333="Pénétro.",
IF(OR($E333=3,$E333=1,$E333=4),DT333,DS333))),IF($D333="Pressio.",
IF($E333=3,DT333,DS333),
IF($D333="Pénétro.",
IF($E333=4,DT333,DS333))))</f>
        <v>#N/A</v>
      </c>
      <c r="DV333" s="31">
        <v>0</v>
      </c>
      <c r="DW333" s="102" t="e">
        <f>IF(NDC!$H$10="Oui",(VLOOKUP($B$3,'Coeff EC7'!$T$39:$X$59,2,0)*DU333+VLOOKUP($B$3,'Coeff EC7'!$T$65:$X$85,2,0)*Model0.1T!DV333)/1.5,PI()*DS$12*$Q333*($B333-$B332)*0.15/10+DW332)</f>
        <v>#N/A</v>
      </c>
      <c r="DX333" s="102" t="e">
        <f>(VLOOKUP($B$3,'Coeff EC7'!$T$39:$X$59,3,0)*DU333+VLOOKUP($B$3,'Coeff EC7'!$T$65:$X$85,3,0)*Model0.1T!DV333)/1.1</f>
        <v>#N/A</v>
      </c>
      <c r="DY333" s="102" t="e">
        <f t="shared" si="490"/>
        <v>#N/A</v>
      </c>
      <c r="DZ333" s="102" t="e">
        <f t="shared" si="491"/>
        <v>#N/A</v>
      </c>
      <c r="EA333" s="414" t="e">
        <f>IF(AND(DW333&gt;NDC!$C$63,DX333&gt;NDC!$C$65,DY333&gt;NDC!$D$73,DZ333&gt;NDC!$D$74,$B333&gt;NDC!$H$22-0.1+MIN(3*EA$12,1.5)),0,1)</f>
        <v>#N/A</v>
      </c>
      <c r="EB333" s="86" t="b">
        <f t="shared" si="457"/>
        <v>0</v>
      </c>
      <c r="EC333" s="418">
        <f t="shared" si="458"/>
        <v>0.51</v>
      </c>
      <c r="ED333" s="86">
        <f t="shared" si="459"/>
        <v>0.51</v>
      </c>
      <c r="EE333" s="30" t="e">
        <f t="shared" ca="1" si="492"/>
        <v>#DIV/0!</v>
      </c>
      <c r="EF333" s="85" t="e">
        <f ca="1">IF(DL333&lt;=Hypothèses!$V$7,Hypothèses!$W$7,IF(DL333&lt;=Hypothèses!$V$8,Hypothèses!$W$8,IF(DL333&lt;=Hypothèses!$V$9,Hypothèses!$W$9,IF(DL333&lt;=Hypothèses!$V$10,Hypothèses!$W$10,IF(DL333&lt;=Hypothèses!$V$11,Hypothèses!$W$11,IF(DL333&lt;=Hypothèses!$V$12,Hypothèses!$W$12,IF(DL333&lt;=Hypothèses!$V$13,Hypothèses!$W$13,IF(DL333&lt;=Hypothèses!$V$14,Hypothèses!$W$14,IF(DL333&lt;=Hypothèses!$V$15,Hypothèses!$W$15,IF(DL333&lt;=Hypothèses!$V$16,Hypothèses!$W$16,IF(DL333&lt;=Hypothèses!$V$17,Hypothèses!$W$17,IF(DL333&lt;=Hypothèses!$V$18,Hypothèses!$W$18,""))))))))))))</f>
        <v>#DIV/0!</v>
      </c>
      <c r="EG333" s="87" t="e">
        <f t="shared" ca="1" si="522"/>
        <v>#DIV/0!</v>
      </c>
      <c r="EH333" s="88" t="e">
        <f ca="1">IF(DL333&lt;=Hypothèses!$V$7,Hypothèses!$X$7,IF(DL333&lt;=Hypothèses!$V$8,Hypothèses!$X$8,IF(DL333&lt;=Hypothèses!$V$9,Hypothèses!$X$9,IF(DL333&lt;=Hypothèses!$V$10,Hypothèses!$X$10,IF(DL333&lt;=Hypothèses!$V$11,Hypothèses!$X$11,IF(DL333&lt;=Hypothèses!$V$12,Hypothèses!$X$12,IF(DL333&lt;=Hypothèses!$V$13,Hypothèses!$X$13,IF(DL333&lt;=Hypothèses!$V$14,Hypothèses!$X$14,IF(DL333&lt;=Hypothèses!$V$15,Hypothèses!$X$15,IF(DL333&lt;=Hypothèses!$V$16,Hypothèses!$X$16,IF(DL333&lt;=Hypothèses!$U$17,Hypothèses!$W$17,IF(DL333&lt;=Hypothèses!$U$18,Hypothèses!$W$18,""))))))))))))</f>
        <v>#DIV/0!</v>
      </c>
      <c r="EI333" s="95" t="e">
        <f t="shared" ca="1" si="493"/>
        <v>#DIV/0!</v>
      </c>
      <c r="EJ333" s="101">
        <f t="shared" si="529"/>
        <v>0</v>
      </c>
      <c r="EK333" s="91">
        <f t="shared" si="460"/>
        <v>0</v>
      </c>
      <c r="EL333" s="30" t="e">
        <f t="shared" si="512"/>
        <v>#N/A</v>
      </c>
      <c r="EM333" s="30" t="e">
        <f t="shared" si="513"/>
        <v>#N/A</v>
      </c>
      <c r="EN333" s="31" t="e">
        <f>IF(OR(Hypothèses!$B$4=17,Hypothèses!$B$4=18,Hypothèses!$B$4=19,Hypothèses!$B$4=20),
IF($D333="Pressio.",
IF(OR($E333=3,$E333=1,$E333=4),EM333,EL333),
IF($D333="Pénétro.",
IF(OR($E333=3,$E333=1,$E333=4),EM333,EL333))),IF($D333="Pressio.",
IF($E333=3,EM333,EL333),
IF($D333="Pénétro.",
IF($E333=4,EM333,EL333))))</f>
        <v>#N/A</v>
      </c>
      <c r="EO333" s="31">
        <v>0</v>
      </c>
      <c r="EP333" s="102" t="e">
        <f>IF(NDC!$H$10="Oui",(VLOOKUP($B$3,'Coeff EC7'!$T$39:$X$59,2,0)*EN333+VLOOKUP($B$3,'Coeff EC7'!$T$65:$X$85,2,0)*Model0.1T!EO333)/1.5,PI()*EL$12*$Q333*($B333-$B332)*0.15/10+EP332)</f>
        <v>#N/A</v>
      </c>
      <c r="EQ333" s="102" t="e">
        <f>(VLOOKUP($B$3,'Coeff EC7'!$T$39:$X$59,3,0)*EN333+VLOOKUP($B$3,'Coeff EC7'!$T$65:$X$85,3,0)*Model0.1T!EO333)/1.1</f>
        <v>#N/A</v>
      </c>
      <c r="ER333" s="102" t="e">
        <f t="shared" si="494"/>
        <v>#N/A</v>
      </c>
      <c r="ES333" s="102" t="e">
        <f t="shared" si="495"/>
        <v>#N/A</v>
      </c>
      <c r="ET333" s="414" t="e">
        <f>IF(AND(EP333&gt;NDC!$C$63,EQ333&gt;NDC!$C$65,ER333&gt;NDC!$D$73,ES333&gt;NDC!$D$74,$B333&gt;NDC!$H$22-0.1+MIN(3*ET$12,1.5)),0,1)</f>
        <v>#N/A</v>
      </c>
      <c r="EU333" s="86" t="b">
        <f t="shared" si="461"/>
        <v>0</v>
      </c>
      <c r="EV333" s="86">
        <f t="shared" si="462"/>
        <v>0.61</v>
      </c>
      <c r="EW333" s="86">
        <f t="shared" si="463"/>
        <v>0.61</v>
      </c>
      <c r="EX333" s="30" t="e">
        <f t="shared" ca="1" si="496"/>
        <v>#DIV/0!</v>
      </c>
      <c r="EY333" s="85" t="e">
        <f ca="1">IF(EE333&lt;=Hypothèses!$V$7,Hypothèses!$W$7,IF(EE333&lt;=Hypothèses!$V$8,Hypothèses!$W$8,IF(EE333&lt;=Hypothèses!$V$9,Hypothèses!$W$9,IF(EE333&lt;=Hypothèses!$V$10,Hypothèses!$W$10,IF(EE333&lt;=Hypothèses!$V$11,Hypothèses!$W$11,IF(EE333&lt;=Hypothèses!$V$12,Hypothèses!$W$12,IF(EE333&lt;=Hypothèses!$V$13,Hypothèses!$W$13,IF(EE333&lt;=Hypothèses!$V$14,Hypothèses!$W$14,IF(EE333&lt;=Hypothèses!$V$15,Hypothèses!$W$15,IF(EE333&lt;=Hypothèses!$V$16,Hypothèses!$W$16,IF(EE333&lt;=Hypothèses!$V$17,Hypothèses!$W$17,IF(EE333&lt;=Hypothèses!$V$18,Hypothèses!$W$18,""))))))))))))</f>
        <v>#DIV/0!</v>
      </c>
      <c r="EZ333" s="87" t="e">
        <f t="shared" ca="1" si="523"/>
        <v>#DIV/0!</v>
      </c>
      <c r="FA333" s="88" t="e">
        <f ca="1">IF(EE333&lt;=Hypothèses!$V$7,Hypothèses!$X$7,IF(EE333&lt;=Hypothèses!$V$8,Hypothèses!$X$8,IF(EE333&lt;=Hypothèses!$V$9,Hypothèses!$X$9,IF(EE333&lt;=Hypothèses!$V$10,Hypothèses!$X$10,IF(EE333&lt;=Hypothèses!$V$11,Hypothèses!$X$11,IF(EE333&lt;=Hypothèses!$V$12,Hypothèses!$X$12,IF(EE333&lt;=Hypothèses!$V$13,Hypothèses!$X$13,IF(EE333&lt;=Hypothèses!$V$14,Hypothèses!$X$14,IF(EE333&lt;=Hypothèses!$V$15,Hypothèses!$X$15,IF(EE333&lt;=Hypothèses!$V$16,Hypothèses!$X$16,IF(EE333&lt;=Hypothèses!$U$17,Hypothèses!$W$17,IF(EE333&lt;=Hypothèses!$U$18,Hypothèses!$W$18,""))))))))))))</f>
        <v>#DIV/0!</v>
      </c>
      <c r="FB333" s="95" t="e">
        <f t="shared" ca="1" si="497"/>
        <v>#DIV/0!</v>
      </c>
      <c r="FC333" s="101">
        <f t="shared" si="530"/>
        <v>0</v>
      </c>
      <c r="FD333" s="91">
        <f t="shared" si="464"/>
        <v>0</v>
      </c>
      <c r="FE333" s="30" t="e">
        <f t="shared" si="514"/>
        <v>#N/A</v>
      </c>
      <c r="FF333" s="30" t="e">
        <f t="shared" si="515"/>
        <v>#N/A</v>
      </c>
      <c r="FG333" s="31" t="e">
        <f>IF(OR(Hypothèses!$B$4=17,Hypothèses!$B$4=18,Hypothèses!$B$4=19,Hypothèses!$B$4=20),
IF($D333="Pressio.",
IF(OR($E333=3,$E333=1,$E333=4),FF333,FE333),
IF($D333="Pénétro.",
IF(OR($E333=3,$E333=1,$E333=4),FF333,FE333))),IF($D333="Pressio.",
IF($E333=3,FF333,FE333),
IF($D333="Pénétro.",
IF($E333=4,FF333,FE333))))</f>
        <v>#N/A</v>
      </c>
      <c r="FH333" s="31">
        <v>0</v>
      </c>
      <c r="FI333" s="102" t="e">
        <f>IF(NDC!$H$10="Oui",(VLOOKUP($B$3,'Coeff EC7'!$T$39:$X$59,2,0)*FG333+VLOOKUP($B$3,'Coeff EC7'!$T$65:$X$85,2,0)*Model0.1T!FH333)/1.5,PI()*FE$12*$Q333*($B333-$B332)*0.15/10+FI332)</f>
        <v>#N/A</v>
      </c>
      <c r="FJ333" s="102" t="e">
        <f>(VLOOKUP($B$3,'Coeff EC7'!$T$39:$X$59,3,0)*FG333+VLOOKUP($B$3,'Coeff EC7'!$T$65:$X$85,3,0)*Model0.1T!FH333)/1.1</f>
        <v>#N/A</v>
      </c>
      <c r="FK333" s="102" t="e">
        <f t="shared" si="498"/>
        <v>#N/A</v>
      </c>
      <c r="FL333" s="102" t="e">
        <f t="shared" si="499"/>
        <v>#N/A</v>
      </c>
      <c r="FM333" s="414" t="e">
        <f>IF(AND(FI333&gt;NDC!$C$63,FJ333&gt;NDC!$C$65,FK333&gt;NDC!$D$73,FL333&gt;NDC!$D$74,$B333&gt;NDC!$H$22-0.1+MIN(3*FM$12,1.5)),0,1)</f>
        <v>#N/A</v>
      </c>
    </row>
    <row r="334" spans="1:169">
      <c r="A334" s="96">
        <f t="shared" si="465"/>
        <v>67.900000000001825</v>
      </c>
      <c r="B334" s="97">
        <v>32.1</v>
      </c>
      <c r="C334" s="81">
        <f>IF(B334&lt;=Hypothèses!$C$7,Hypothèses!$A$7,IF(B334&lt;=Hypothèses!$C$8,Hypothèses!$A$8,IF(B334&lt;=Hypothèses!$C$9,Hypothèses!$A$9,IF(B334&lt;=Hypothèses!$C$10,Hypothèses!$A$10,IF(B334&lt;=Hypothèses!$C$11,Hypothèses!$A$11,IF(B334&lt;=Hypothèses!$C$12,Hypothèses!$A$12,IF(B334&lt;=Hypothèses!$C$13,Hypothèses!$A$13,IF(B334&lt;=Hypothèses!$C$14,Hypothèses!$A$14,IF(B334&lt;=Hypothèses!$C$15,Hypothèses!$A$15,IF(B334&lt;=Hypothèses!$C$16,Hypothèses!$A$16,IF(B334&lt;=Hypothèses!$C$17,Hypothèses!$A$17,IF(B334&lt;=Hypothèses!$C$18,Hypothèses!$A$18,C333))))))))))))</f>
        <v>11</v>
      </c>
      <c r="D334" s="82" t="str">
        <f>IF(B334&lt;=Hypothèses!$C$7,Hypothèses!$R$7,IF(B334&lt;=Hypothèses!$C$8,Hypothèses!$R$8,IF(B334&lt;=Hypothèses!$C$9,Hypothèses!$R$9,IF(B334&lt;=Hypothèses!$C$10,Hypothèses!$R$10,IF(B334&lt;=Hypothèses!$C$11,Hypothèses!$R$11,IF(B334&lt;=Hypothèses!$C$12,Hypothèses!$R$12,IF(B334&lt;=Hypothèses!$C$13,Hypothèses!$R$13,IF(B334&lt;=Hypothèses!$C$14,Hypothèses!$R$14,IF(B334&lt;=Hypothèses!$C$15,Hypothèses!$R$15,IF(B334&lt;=Hypothèses!$C$16,Hypothèses!$R$16,IF(B334&lt;=Hypothèses!$C$17,Hypothèses!$R$17,IF(B334&lt;=Hypothèses!$C$18,Hypothèses!$R$18,D333))))))))))))</f>
        <v>Pressio.</v>
      </c>
      <c r="E334" s="82" t="e">
        <f>IF(B334&lt;=Hypothèses!$C$7,Hypothèses!$G$7,IF(B334&lt;=Hypothèses!$C$8,Hypothèses!$G$8,IF(B334&lt;=Hypothèses!$C$9,Hypothèses!$G$9,IF(B334&lt;=Hypothèses!$C$10,Hypothèses!$G$10,IF(B334&lt;=Hypothèses!$C$11,Hypothèses!$G$11,IF(B334&lt;=Hypothèses!$C$12,Hypothèses!$G$12,IF(B334&lt;=Hypothèses!$C$13,Hypothèses!$G$13,IF(B334&lt;=Hypothèses!$C$14,Hypothèses!$G$14,IF(B334&lt;=Hypothèses!$C$15,Hypothèses!$G$15,IF(B334&lt;=Hypothèses!$C$16,Hypothèses!$G$16,IF(B334&lt;=Hypothèses!$C$17,Hypothèses!$G$17,IF(B334&lt;=Hypothèses!$C$18,Hypothèses!$G$18,E333))))))))))))</f>
        <v>#N/A</v>
      </c>
      <c r="F334" s="82" t="str">
        <f>IF(B334&lt;=Hypothèses!$C$7,Hypothèses!$F$7,IF(B334&lt;=Hypothèses!$C$8,Hypothèses!$F$8,IF(B334&lt;=Hypothèses!$C$9,Hypothèses!$F$9,IF(B334&lt;=Hypothèses!$C$10,Hypothèses!$F$10,IF(B334&lt;=Hypothèses!$C$11,Hypothèses!$F$11,IF(B334&lt;=Hypothèses!$C$12,Hypothèses!$F$12,IF(B334&lt;=Hypothèses!$C$13,Hypothèses!$F$13,IF(B334&lt;=Hypothèses!$C$14,Hypothèses!$F$14,IF(B334&lt;=Hypothèses!$C$15,Hypothèses!$F$15,IF(B334&lt;=Hypothèses!$C$16,Hypothèses!$F$16,IF(B334&lt;=Hypothèses!$C$17,Hypothèses!$F$17,IF(B334&lt;=Hypothèses!$C$18,Hypothèses!$F$18,F333))))))))))))</f>
        <v/>
      </c>
      <c r="G334" s="91">
        <f t="array" ref="G334">INDEX('Coeff EC7'!$U$7:$X$27,
MATCH(Model0.1T!$B$3,'Coeff EC7'!$T$7:$T$27,0),
MATCH(Model0.1T!$D334&amp;Model0.1T!$B$4,
'Coeff EC7'!$U$6:$X$6&amp;
'Coeff EC7'!$U$5:$X$5,0))</f>
        <v>1.4</v>
      </c>
      <c r="H334" s="91">
        <f t="array" ref="H334">INDEX('Coeff EC7'!$Y$7:$AB$27,
MATCH(Model0.1T!$B$3,'Coeff EC7'!$T$7:$T$27,0),
MATCH(Model0.1T!$D334&amp;Model0.1T!$B$4,
'Coeff EC7'!$Y$6:$AB$6&amp;
'Coeff EC7'!$Y$5:$AB$5,0))</f>
        <v>1.7</v>
      </c>
      <c r="I334" s="83">
        <v>0</v>
      </c>
      <c r="J334" s="91" t="e">
        <f t="array" ref="J334">INDEX('Coeff EC7'!$D$33:$Q$33,1,MATCH(D334&amp;E334,'Coeff EC7'!$D$31:$Q$31&amp;'Coeff EC7'!$D$32:$Q$32,0))</f>
        <v>#N/A</v>
      </c>
      <c r="K334" s="91" t="e">
        <f t="array" ref="K334">INDEX('Coeff EC7'!$D$34:$Q$34,1,MATCH(D334&amp;E334,'Coeff EC7'!$D$31:$Q$31&amp;'Coeff EC7'!$D$32:$Q$32,0))</f>
        <v>#N/A</v>
      </c>
      <c r="L334" s="91" t="e">
        <f t="array" ref="L334">INDEX('Coeff EC7'!$D$35:$Q$35,1,MATCH(D334&amp;E334,'Coeff EC7'!$D$31:$Q$31&amp;'Coeff EC7'!$D$32:$Q$32,0))</f>
        <v>#N/A</v>
      </c>
      <c r="M334" s="98" t="e">
        <f t="shared" si="531"/>
        <v>#N/A</v>
      </c>
      <c r="N334" s="99" t="e">
        <f t="array" ref="N334">INDEX('Coeff EC7'!$D$7:$Q$27,MATCH($B$3,'Coeff EC7'!$C$7:$C$27,0),MATCH(D334&amp;E334,'Coeff EC7'!$D$5:$Q$5&amp;'Coeff EC7'!$D$6:$Q$6,0))</f>
        <v>#N/A</v>
      </c>
      <c r="O334" s="99" t="e">
        <f t="array" ref="O334">INDEX('Coeff EC7'!$D$41:$Q$61,MATCH($B$3,'Coeff EC7'!$C$41:$C$61,0),MATCH(D334&amp;E334,'Coeff EC7'!$D$39:$Q$39&amp;'Coeff EC7'!$D$40:$Q$40,0))</f>
        <v>#N/A</v>
      </c>
      <c r="P334" s="30" t="e">
        <f t="shared" si="466"/>
        <v>#N/A</v>
      </c>
      <c r="Q334" s="100" t="e">
        <f t="shared" ref="Q334:Q363" si="533">MIN(O334,P334)*$B$10</f>
        <v>#N/A</v>
      </c>
      <c r="R334" s="86" t="b">
        <f t="shared" ref="R334:R363" si="534">IF($B334&lt;=$P$4, $B334, IF($B334&lt;=$P$5, $B334-$P$4, IF($B334&lt;=$P$6, $B334-$P$5, IF($B334&lt;=$P$7,$B334-$P$6, IF($B334&lt;=$P$8, $B334-$P$7, IF($B334&lt;=$P$9, $B334-$P$8, IF($B334&lt;=$P$10,$B334-$P$9)))))))</f>
        <v>0</v>
      </c>
      <c r="S334" s="86">
        <f t="shared" si="532"/>
        <v>0.5</v>
      </c>
      <c r="T334" s="86">
        <f t="shared" ref="T334:T363" si="535">MIN(S334,R334)</f>
        <v>0.5</v>
      </c>
      <c r="U334" s="30" t="e">
        <f t="shared" ca="1" si="467"/>
        <v>#DIV/0!</v>
      </c>
      <c r="V334" s="85" t="str">
        <f>IF(B334&lt;=Hypothèses!$V$7,Hypothèses!$W$7,IF(B334&lt;=Hypothèses!$V$8,Hypothèses!$W$8,IF(B334&lt;=Hypothèses!$V$9,Hypothèses!$W$9,IF(B334&lt;=Hypothèses!$V$10,Hypothèses!$W$10,IF(B334&lt;=Hypothèses!$V$11,Hypothèses!$W$11,IF(B334&lt;=Hypothèses!$V$12,Hypothèses!$W$12,IF(B334&lt;=Hypothèses!$V$13,Hypothèses!$W$13,IF(B334&lt;=Hypothèses!$V$14,Hypothèses!$W$14,IF(B334&lt;=Hypothèses!$V$15,Hypothèses!$W$15,IF(B334&lt;=Hypothèses!$V$16,Hypothèses!$W$16,IF(B334&lt;=Hypothèses!$V$17,Hypothèses!$W$17,IF(B334&lt;=Hypothèses!$V$18,Hypothèses!$W$18,""))))))))))))</f>
        <v/>
      </c>
      <c r="W334" s="87" t="e">
        <f t="shared" ca="1" si="516"/>
        <v>#DIV/0!</v>
      </c>
      <c r="X334" s="88" t="str">
        <f>IF(B334&lt;=Hypothèses!$V$7,Hypothèses!$X$7,IF(B334&lt;=Hypothèses!$V$8,Hypothèses!$X$8,IF(B334&lt;=Hypothèses!$V$9,Hypothèses!$X$9,IF(B334&lt;=Hypothèses!$V$10,Hypothèses!$X$10,IF(B334&lt;=Hypothèses!$V$11,Hypothèses!$X$11,IF(B334&lt;=Hypothèses!$V$12,Hypothèses!$X$12,IF(B334&lt;=Hypothèses!$V$13,Hypothèses!$X$13,IF(B334&lt;=Hypothèses!$V$14,Hypothèses!$X$14,IF(B334&lt;=Hypothèses!$V$15,Hypothèses!$X$15,IF(B334&lt;=Hypothèses!$V$16,Hypothèses!$X$16,IF(B334&lt;=Hypothèses!$U$17,Hypothèses!$W$17,IF(B334&lt;=Hypothèses!$U$18,Hypothèses!$W$18,""))))))))))))</f>
        <v/>
      </c>
      <c r="Y334" s="95" t="e">
        <f t="shared" ref="Y334:Y363" ca="1" si="536">IF($B334&lt;10*$AI$12,0.1/W334*SUM(OFFSET(F334,-10*$B334+1,0,10*$B334,1)),0.1/W334*SUM(OFFSET(F334,-100*$AI$12+1,0,100*$AI$12,1)))</f>
        <v>#DIV/0!</v>
      </c>
      <c r="Z334" s="101">
        <f t="shared" ref="Z334:Z363" si="537">IF($I334=0,0,
IF(Y334&gt;5*AD$12,$I334,
IF($D334="Pressio.",1+($I334-1)*(Y334/AD$12)/5,
IF($D334="Pénétro.",IF($E334=1,0.3+($I334-0.3)*(Y334/AD$12)/5,
IF($E334=2,0.2+($I334-0.2)*(Y334/AD$12)/5,
IF($E334=3,0.1+($I334-0.1)*(Y334/AD$12)/5,
0.15+($I334-0.15)*(Y334/AD$12)/5)))))))</f>
        <v>0</v>
      </c>
      <c r="AA334" s="91">
        <f t="shared" ref="AA334:AA363" si="538">IF($X334&lt;&gt;"",$X334,Z334)</f>
        <v>0</v>
      </c>
      <c r="AB334" s="30" t="e">
        <f t="shared" si="500"/>
        <v>#N/A</v>
      </c>
      <c r="AC334" s="30" t="e">
        <f t="shared" si="501"/>
        <v>#N/A</v>
      </c>
      <c r="AD334" s="31" t="e">
        <f>IF(OR(Hypothèses!$B$4=17,Hypothèses!$B$4=18,Hypothèses!$B$4=19,Hypothèses!$B$4=20),
IF($D334="Pressio.",
IF(OR($E334=3,$E334=1,$E334=4),AC334,AB334),
IF($D334="Pénétro.",
IF(OR($E334=3,$E334=1,$E334=4),AC334,AB334))),IF($D334="Pressio.",
IF($E334=3,AC334,AB334),
IF($D334="Pénétro.",
IF($E334=4,AC334,AB334))))</f>
        <v>#N/A</v>
      </c>
      <c r="AE334" s="31">
        <v>0</v>
      </c>
      <c r="AF334" s="102" t="e">
        <f>IF(NDC!$H$10="Oui",(VLOOKUP($B$3,'Coeff EC7'!$T$39:$X$59,2,0)*AD334+VLOOKUP($B$3,'Coeff EC7'!$T$65:$X$85,2,0)*Model0.1T!AE334)/1.5,PI()*AB$12*$Q334*($B334-$B333)*0.15/10+AF333)</f>
        <v>#N/A</v>
      </c>
      <c r="AG334" s="102" t="e">
        <f>(VLOOKUP($B$3,'Coeff EC7'!$T$39:$X$59,3,0)*AD334+VLOOKUP($B$3,'Coeff EC7'!$T$65:$X$85,3,0)*Model0.1T!AE334)/1.1</f>
        <v>#N/A</v>
      </c>
      <c r="AH334" s="102" t="e">
        <f t="shared" si="468"/>
        <v>#N/A</v>
      </c>
      <c r="AI334" s="102" t="e">
        <f t="shared" si="469"/>
        <v>#N/A</v>
      </c>
      <c r="AJ334" s="414" t="e">
        <f>IF(AND(AF334&gt;NDC!$C$63,AG334&gt;NDC!$C$65,AH334&gt;NDC!$D$73,AI334&gt;NDC!$D$74,$B334&gt;NDC!$H$22-0.1+MIN(3*$AJ$12,1.5)),0,1)</f>
        <v>#N/A</v>
      </c>
      <c r="AK334" s="86" t="b">
        <f t="shared" ref="AK334:AK363" si="539">IF($B334&lt;=$P$4, $B334, IF($B334&lt;=$P$5, $B334-$P$4, IF($B334&lt;=$P$6, $B334-$P$5, IF($B334&lt;=$P$7,$B334-$P$6, IF($B334&lt;=$P$8, $B334-$P$7, IF($B334&lt;=$P$9, $B334-$P$8, IF($B334&lt;=$P$10,$B334-$P$9)))))))</f>
        <v>0</v>
      </c>
      <c r="AL334" s="86">
        <f t="shared" si="470"/>
        <v>0.5</v>
      </c>
      <c r="AM334" s="86">
        <f t="shared" ref="AM334:AM363" si="540">MIN(AL334,AK334)</f>
        <v>0.5</v>
      </c>
      <c r="AN334" s="30" t="e">
        <f t="shared" ca="1" si="471"/>
        <v>#DIV/0!</v>
      </c>
      <c r="AO334" s="85" t="e">
        <f ca="1">IF(U334&lt;=Hypothèses!$V$7,Hypothèses!$W$7,IF(U334&lt;=Hypothèses!$V$8,Hypothèses!$W$8,IF(U334&lt;=Hypothèses!$V$9,Hypothèses!$W$9,IF(U334&lt;=Hypothèses!$V$10,Hypothèses!$W$10,IF(U334&lt;=Hypothèses!$V$11,Hypothèses!$W$11,IF(U334&lt;=Hypothèses!$V$12,Hypothèses!$W$12,IF(U334&lt;=Hypothèses!$V$13,Hypothèses!$W$13,IF(U334&lt;=Hypothèses!$V$14,Hypothèses!$W$14,IF(U334&lt;=Hypothèses!$V$15,Hypothèses!$W$15,IF(U334&lt;=Hypothèses!$V$16,Hypothèses!$W$16,IF(U334&lt;=Hypothèses!$V$17,Hypothèses!$W$17,IF(U334&lt;=Hypothèses!$V$18,Hypothèses!$W$18,""))))))))))))</f>
        <v>#DIV/0!</v>
      </c>
      <c r="AP334" s="87" t="e">
        <f t="shared" ca="1" si="517"/>
        <v>#DIV/0!</v>
      </c>
      <c r="AQ334" s="88" t="e">
        <f ca="1">IF(U334&lt;=Hypothèses!$V$7,Hypothèses!$X$7,IF(U334&lt;=Hypothèses!$V$8,Hypothèses!$X$8,IF(U334&lt;=Hypothèses!$V$9,Hypothèses!$X$9,IF(U334&lt;=Hypothèses!$V$10,Hypothèses!$X$10,IF(U334&lt;=Hypothèses!$V$11,Hypothèses!$X$11,IF(U334&lt;=Hypothèses!$V$12,Hypothèses!$X$12,IF(U334&lt;=Hypothèses!$V$13,Hypothèses!$X$13,IF(U334&lt;=Hypothèses!$V$14,Hypothèses!$X$14,IF(U334&lt;=Hypothèses!$V$15,Hypothèses!$X$15,IF(U334&lt;=Hypothèses!$V$16,Hypothèses!$X$16,IF(U334&lt;=Hypothèses!$U$17,Hypothèses!$W$17,IF(U334&lt;=Hypothèses!$U$18,Hypothèses!$W$18,""))))))))))))</f>
        <v>#DIV/0!</v>
      </c>
      <c r="AR334" s="95" t="e">
        <f t="shared" ca="1" si="472"/>
        <v>#DIV/0!</v>
      </c>
      <c r="AS334" s="101">
        <f t="shared" si="524"/>
        <v>0</v>
      </c>
      <c r="AT334" s="91">
        <f t="shared" ref="AT334:AT363" si="541">IF($X334&lt;&gt;"",$X334,AS334)</f>
        <v>0</v>
      </c>
      <c r="AU334" s="30" t="e">
        <f t="shared" si="502"/>
        <v>#N/A</v>
      </c>
      <c r="AV334" s="30" t="e">
        <f t="shared" si="503"/>
        <v>#N/A</v>
      </c>
      <c r="AW334" s="31" t="e">
        <f>IF(OR(Hypothèses!$B$4=17,Hypothèses!$B$4=18,Hypothèses!$B$4=19,Hypothèses!$B$4=20),
IF($D334="Pressio.",
IF(OR($E334=3,$E334=1,$E334=4),AV334,AU334),
IF($D334="Pénétro.",
IF(OR($E334=3,$E334=1,$E334=4),AV334,AU334))),IF($D334="Pressio.",
IF($E334=3,AV334,AU334),
IF($D334="Pénétro.",
IF($E334=4,AV334,AU334))))</f>
        <v>#N/A</v>
      </c>
      <c r="AX334" s="31">
        <v>0</v>
      </c>
      <c r="AY334" s="102" t="e">
        <f>IF(NDC!$H$10="Oui",(VLOOKUP($B$3,'Coeff EC7'!$T$39:$X$59,2,0)*AW334+VLOOKUP($B$3,'Coeff EC7'!$T$65:$X$85,2,0)*Model0.1T!AX334)/1.5,PI()*AU$12*$Q334*($B334-$B333)*0.15/10+AY333)</f>
        <v>#N/A</v>
      </c>
      <c r="AZ334" s="102" t="e">
        <f>(VLOOKUP($B$3,'Coeff EC7'!$T$39:$X$59,3,0)*AW334+VLOOKUP($B$3,'Coeff EC7'!$T$65:$X$85,3,0)*Model0.1T!AX334)/1.1</f>
        <v>#N/A</v>
      </c>
      <c r="BA334" s="102" t="e">
        <f t="shared" si="473"/>
        <v>#N/A</v>
      </c>
      <c r="BB334" s="102" t="e">
        <f t="shared" si="474"/>
        <v>#N/A</v>
      </c>
      <c r="BC334" s="414" t="e">
        <f>IF(AND(AY334&gt;NDC!$C$63,AZ334&gt;NDC!$C$65,BA334&gt;NDC!$D$73,BB334&gt;NDC!$D$74,$B334&gt;NDC!$H$22-0.1+MIN(3*BC$12,1.5)),0,1)</f>
        <v>#N/A</v>
      </c>
      <c r="BD334" s="86" t="b">
        <f t="shared" ref="BD334:BD363" si="542">IF($B334&lt;=$P$4, $B334, IF($B334&lt;=$P$5, $B334-$P$4, IF($B334&lt;=$P$6, $B334-$P$5, IF($B334&lt;=$P$7,$B334-$P$6, IF($B334&lt;=$P$8, $B334-$P$7, IF($B334&lt;=$P$9, $B334-$P$8, IF($B334&lt;=$P$10,$B334-$P$9)))))))</f>
        <v>0</v>
      </c>
      <c r="BE334" s="86">
        <f t="shared" si="475"/>
        <v>0.5</v>
      </c>
      <c r="BF334" s="86">
        <f t="shared" ref="BF334:BF363" si="543">MIN(BE334,BD334)</f>
        <v>0.5</v>
      </c>
      <c r="BG334" s="30" t="e">
        <f t="shared" ca="1" si="476"/>
        <v>#DIV/0!</v>
      </c>
      <c r="BH334" s="85" t="e">
        <f ca="1">IF(AN334&lt;=Hypothèses!$V$7,Hypothèses!$W$7,IF(AN334&lt;=Hypothèses!$V$8,Hypothèses!$W$8,IF(AN334&lt;=Hypothèses!$V$9,Hypothèses!$W$9,IF(AN334&lt;=Hypothèses!$V$10,Hypothèses!$W$10,IF(AN334&lt;=Hypothèses!$V$11,Hypothèses!$W$11,IF(AN334&lt;=Hypothèses!$V$12,Hypothèses!$W$12,IF(AN334&lt;=Hypothèses!$V$13,Hypothèses!$W$13,IF(AN334&lt;=Hypothèses!$V$14,Hypothèses!$W$14,IF(AN334&lt;=Hypothèses!$V$15,Hypothèses!$W$15,IF(AN334&lt;=Hypothèses!$V$16,Hypothèses!$W$16,IF(AN334&lt;=Hypothèses!$V$17,Hypothèses!$W$17,IF(AN334&lt;=Hypothèses!$V$18,Hypothèses!$W$18,""))))))))))))</f>
        <v>#DIV/0!</v>
      </c>
      <c r="BI334" s="87" t="e">
        <f t="shared" ca="1" si="518"/>
        <v>#DIV/0!</v>
      </c>
      <c r="BJ334" s="88" t="e">
        <f ca="1">IF(AN334&lt;=Hypothèses!$V$7,Hypothèses!$X$7,IF(AN334&lt;=Hypothèses!$V$8,Hypothèses!$X$8,IF(AN334&lt;=Hypothèses!$V$9,Hypothèses!$X$9,IF(AN334&lt;=Hypothèses!$V$10,Hypothèses!$X$10,IF(AN334&lt;=Hypothèses!$V$11,Hypothèses!$X$11,IF(AN334&lt;=Hypothèses!$V$12,Hypothèses!$X$12,IF(AN334&lt;=Hypothèses!$V$13,Hypothèses!$X$13,IF(AN334&lt;=Hypothèses!$V$14,Hypothèses!$X$14,IF(AN334&lt;=Hypothèses!$V$15,Hypothèses!$X$15,IF(AN334&lt;=Hypothèses!$V$16,Hypothèses!$X$16,IF(AN334&lt;=Hypothèses!$U$17,Hypothèses!$W$17,IF(AN334&lt;=Hypothèses!$U$18,Hypothèses!$W$18,""))))))))))))</f>
        <v>#DIV/0!</v>
      </c>
      <c r="BK334" s="95" t="e">
        <f t="shared" ca="1" si="477"/>
        <v>#DIV/0!</v>
      </c>
      <c r="BL334" s="101">
        <f t="shared" si="525"/>
        <v>0</v>
      </c>
      <c r="BM334" s="91">
        <f t="shared" ref="BM334:BM363" si="544">IF($X334&lt;&gt;"",$X334,BL334)</f>
        <v>0</v>
      </c>
      <c r="BN334" s="30" t="e">
        <f t="shared" si="504"/>
        <v>#N/A</v>
      </c>
      <c r="BO334" s="30" t="e">
        <f t="shared" si="505"/>
        <v>#N/A</v>
      </c>
      <c r="BP334" s="31" t="e">
        <f>IF(OR(Hypothèses!$B$4=17,Hypothèses!$B$4=18,Hypothèses!$B$4=19,Hypothèses!$B$4=20),
IF($D334="Pressio.",
IF(OR($E334=3,$E334=1,$E334=4),BO334,BN334),
IF($D334="Pénétro.",
IF(OR($E334=3,$E334=1,$E334=4),BO334,BN334))),IF($D334="Pressio.",
IF($E334=3,BO334,BN334),
IF($D334="Pénétro.",
IF($E334=4,BO334,BN334))))</f>
        <v>#N/A</v>
      </c>
      <c r="BQ334" s="31">
        <v>0</v>
      </c>
      <c r="BR334" s="102" t="e">
        <f>IF(NDC!$H$10="Oui",(VLOOKUP($B$3,'Coeff EC7'!$T$39:$X$59,2,0)*BP334+VLOOKUP($B$3,'Coeff EC7'!$T$65:$X$85,2,0)*Model0.1T!BQ334)/1.5,PI()*BN$12*$Q334*($B334-$B333)*0.15/10+BR333)</f>
        <v>#N/A</v>
      </c>
      <c r="BS334" s="102" t="e">
        <f>(VLOOKUP($B$3,'Coeff EC7'!$T$39:$X$59,3,0)*BP334+VLOOKUP($B$3,'Coeff EC7'!$T$65:$X$85,3,0)*Model0.1T!BQ334)/1.1</f>
        <v>#N/A</v>
      </c>
      <c r="BT334" s="102" t="e">
        <f t="shared" si="478"/>
        <v>#N/A</v>
      </c>
      <c r="BU334" s="102" t="e">
        <f t="shared" si="479"/>
        <v>#N/A</v>
      </c>
      <c r="BV334" s="414" t="e">
        <f>IF(AND(BR334&gt;NDC!$C$63,BS334&gt;NDC!$C$65,BT334&gt;NDC!$D$73,BU334&gt;NDC!$D$74,$B334&gt;NDC!$H$22-0.1+MIN(3*BV$12,1.5)),0,1)</f>
        <v>#N/A</v>
      </c>
      <c r="BW334" s="86" t="b">
        <f t="shared" ref="BW334:BW363" si="545">IF($B334&lt;=$P$4, $B334, IF($B334&lt;=$P$5, $B334-$P$4, IF($B334&lt;=$P$6, $B334-$P$5, IF($B334&lt;=$P$7,$B334-$P$6, IF($B334&lt;=$P$8, $B334-$P$7, IF($B334&lt;=$P$9, $B334-$P$8, IF($B334&lt;=$P$10,$B334-$P$9)))))))</f>
        <v>0</v>
      </c>
      <c r="BX334" s="86">
        <f t="shared" ref="BX334:BX363" si="546">MAX($CK$12/2,0.5)</f>
        <v>0.5</v>
      </c>
      <c r="BY334" s="86">
        <f t="shared" ref="BY334:BY363" si="547">MIN(BX334,BW334)</f>
        <v>0.5</v>
      </c>
      <c r="BZ334" s="30" t="e">
        <f t="shared" ca="1" si="480"/>
        <v>#DIV/0!</v>
      </c>
      <c r="CA334" s="85" t="e">
        <f ca="1">IF(BG334&lt;=Hypothèses!$V$7,Hypothèses!$W$7,IF(BG334&lt;=Hypothèses!$V$8,Hypothèses!$W$8,IF(BG334&lt;=Hypothèses!$V$9,Hypothèses!$W$9,IF(BG334&lt;=Hypothèses!$V$10,Hypothèses!$W$10,IF(BG334&lt;=Hypothèses!$V$11,Hypothèses!$W$11,IF(BG334&lt;=Hypothèses!$V$12,Hypothèses!$W$12,IF(BG334&lt;=Hypothèses!$V$13,Hypothèses!$W$13,IF(BG334&lt;=Hypothèses!$V$14,Hypothèses!$W$14,IF(BG334&lt;=Hypothèses!$V$15,Hypothèses!$W$15,IF(BG334&lt;=Hypothèses!$V$16,Hypothèses!$W$16,IF(BG334&lt;=Hypothèses!$V$17,Hypothèses!$W$17,IF(BG334&lt;=Hypothèses!$V$18,Hypothèses!$W$18,""))))))))))))</f>
        <v>#DIV/0!</v>
      </c>
      <c r="CB334" s="87" t="e">
        <f t="shared" ca="1" si="519"/>
        <v>#DIV/0!</v>
      </c>
      <c r="CC334" s="88" t="e">
        <f ca="1">IF(BG334&lt;=Hypothèses!$V$7,Hypothèses!$X$7,IF(BG334&lt;=Hypothèses!$V$8,Hypothèses!$X$8,IF(BG334&lt;=Hypothèses!$V$9,Hypothèses!$X$9,IF(BG334&lt;=Hypothèses!$V$10,Hypothèses!$X$10,IF(BG334&lt;=Hypothèses!$V$11,Hypothèses!$X$11,IF(BG334&lt;=Hypothèses!$V$12,Hypothèses!$X$12,IF(BG334&lt;=Hypothèses!$V$13,Hypothèses!$X$13,IF(BG334&lt;=Hypothèses!$V$14,Hypothèses!$X$14,IF(BG334&lt;=Hypothèses!$V$15,Hypothèses!$X$15,IF(BG334&lt;=Hypothèses!$V$16,Hypothèses!$X$16,IF(BG334&lt;=Hypothèses!$U$17,Hypothèses!$W$17,IF(BG334&lt;=Hypothèses!$U$18,Hypothèses!$W$18,""))))))))))))</f>
        <v>#DIV/0!</v>
      </c>
      <c r="CD334" s="95" t="e">
        <f t="shared" ca="1" si="481"/>
        <v>#DIV/0!</v>
      </c>
      <c r="CE334" s="101">
        <f t="shared" si="526"/>
        <v>0</v>
      </c>
      <c r="CF334" s="91">
        <f t="shared" ref="CF334:CF363" si="548">IF($X334&lt;&gt;"",$X334,CE334)</f>
        <v>0</v>
      </c>
      <c r="CG334" s="30" t="e">
        <f t="shared" si="506"/>
        <v>#N/A</v>
      </c>
      <c r="CH334" s="30" t="e">
        <f t="shared" si="507"/>
        <v>#N/A</v>
      </c>
      <c r="CI334" s="31" t="e">
        <f>IF(OR(Hypothèses!$B$4=17,Hypothèses!$B$4=18,Hypothèses!$B$4=19,Hypothèses!$B$4=20),
IF($D334="Pressio.",
IF(OR($E334=3,$E334=1,$E334=4),CH334,CG334),
IF($D334="Pénétro.",
IF(OR($E334=3,$E334=1,$E334=4),CH334,CG334))),IF($D334="Pressio.",
IF($E334=3,CH334,CG334),
IF($D334="Pénétro.",
IF($E334=4,CH334,CG334))))</f>
        <v>#N/A</v>
      </c>
      <c r="CJ334" s="31">
        <v>0</v>
      </c>
      <c r="CK334" s="102" t="e">
        <f>IF(NDC!$H$10="Oui",(VLOOKUP($B$3,'Coeff EC7'!$T$39:$X$59,2,0)*CI334+VLOOKUP($B$3,'Coeff EC7'!$T$65:$X$85,2,0)*Model0.1T!CJ334)/1.5,PI()*CG$12*$Q334*($B334-$B333)*0.15/10+CK333)</f>
        <v>#N/A</v>
      </c>
      <c r="CL334" s="102" t="e">
        <f>(VLOOKUP($B$3,'Coeff EC7'!$T$39:$X$59,3,0)*CI334+VLOOKUP($B$3,'Coeff EC7'!$T$65:$X$85,3,0)*Model0.1T!CJ334)/1.1</f>
        <v>#N/A</v>
      </c>
      <c r="CM334" s="102" t="e">
        <f t="shared" si="482"/>
        <v>#N/A</v>
      </c>
      <c r="CN334" s="102" t="e">
        <f t="shared" si="483"/>
        <v>#N/A</v>
      </c>
      <c r="CO334" s="414" t="e">
        <f>IF(AND(CK334&gt;NDC!$C$63,CL334&gt;NDC!$C$65,CM334&gt;NDC!$D$73,CN334&gt;NDC!$D$74,$B334&gt;NDC!$H$22-0.1+MIN(3*CO$12,1.5)),0,1)</f>
        <v>#N/A</v>
      </c>
      <c r="CP334" s="86" t="b">
        <f t="shared" ref="CP334:CP363" si="549">IF($B334&lt;=$P$4, $B334, IF($B334&lt;=$P$5, $B334-$P$4, IF($B334&lt;=$P$6, $B334-$P$5, IF($B334&lt;=$P$7,$B334-$P$6, IF($B334&lt;=$P$8, $B334-$P$7, IF($B334&lt;=$P$9, $B334-$P$8, IF($B334&lt;=$P$10,$B334-$P$9)))))))</f>
        <v>0</v>
      </c>
      <c r="CQ334" s="86">
        <f t="shared" ref="CQ334:CQ363" si="550">MAX($DD$12/2,0.5)</f>
        <v>0.5</v>
      </c>
      <c r="CR334" s="86">
        <f t="shared" ref="CR334:CR363" si="551">MIN(CQ334,CP334)</f>
        <v>0.5</v>
      </c>
      <c r="CS334" s="30" t="e">
        <f t="shared" ca="1" si="484"/>
        <v>#DIV/0!</v>
      </c>
      <c r="CT334" s="85" t="e">
        <f ca="1">IF(BZ334&lt;=Hypothèses!$V$7,Hypothèses!$W$7,IF(BZ334&lt;=Hypothèses!$V$8,Hypothèses!$W$8,IF(BZ334&lt;=Hypothèses!$V$9,Hypothèses!$W$9,IF(BZ334&lt;=Hypothèses!$V$10,Hypothèses!$W$10,IF(BZ334&lt;=Hypothèses!$V$11,Hypothèses!$W$11,IF(BZ334&lt;=Hypothèses!$V$12,Hypothèses!$W$12,IF(BZ334&lt;=Hypothèses!$V$13,Hypothèses!$W$13,IF(BZ334&lt;=Hypothèses!$V$14,Hypothèses!$W$14,IF(BZ334&lt;=Hypothèses!$V$15,Hypothèses!$W$15,IF(BZ334&lt;=Hypothèses!$V$16,Hypothèses!$W$16,IF(BZ334&lt;=Hypothèses!$V$17,Hypothèses!$W$17,IF(BZ334&lt;=Hypothèses!$V$18,Hypothèses!$W$18,""))))))))))))</f>
        <v>#DIV/0!</v>
      </c>
      <c r="CU334" s="87" t="e">
        <f t="shared" ca="1" si="520"/>
        <v>#DIV/0!</v>
      </c>
      <c r="CV334" s="88" t="e">
        <f ca="1">IF(BZ334&lt;=Hypothèses!$V$7,Hypothèses!$X$7,IF(BZ334&lt;=Hypothèses!$V$8,Hypothèses!$X$8,IF(BZ334&lt;=Hypothèses!$V$9,Hypothèses!$X$9,IF(BZ334&lt;=Hypothèses!$V$10,Hypothèses!$X$10,IF(BZ334&lt;=Hypothèses!$V$11,Hypothèses!$X$11,IF(BZ334&lt;=Hypothèses!$V$12,Hypothèses!$X$12,IF(BZ334&lt;=Hypothèses!$V$13,Hypothèses!$X$13,IF(BZ334&lt;=Hypothèses!$V$14,Hypothèses!$X$14,IF(BZ334&lt;=Hypothèses!$V$15,Hypothèses!$X$15,IF(BZ334&lt;=Hypothèses!$V$16,Hypothèses!$X$16,IF(BZ334&lt;=Hypothèses!$U$17,Hypothèses!$W$17,IF(BZ334&lt;=Hypothèses!$U$18,Hypothèses!$W$18,""))))))))))))</f>
        <v>#DIV/0!</v>
      </c>
      <c r="CW334" s="95" t="e">
        <f t="shared" ca="1" si="485"/>
        <v>#DIV/0!</v>
      </c>
      <c r="CX334" s="101">
        <f t="shared" si="527"/>
        <v>0</v>
      </c>
      <c r="CY334" s="91">
        <f t="shared" ref="CY334:CY363" si="552">IF($X334&lt;&gt;"",$X334,CX334)</f>
        <v>0</v>
      </c>
      <c r="CZ334" s="30" t="e">
        <f t="shared" si="508"/>
        <v>#N/A</v>
      </c>
      <c r="DA334" s="30" t="e">
        <f t="shared" si="509"/>
        <v>#N/A</v>
      </c>
      <c r="DB334" s="31" t="e">
        <f>IF(OR(Hypothèses!$B$4=17,Hypothèses!$B$4=18,Hypothèses!$B$4=19,Hypothèses!$B$4=20),
IF($D334="Pressio.",
IF(OR($E334=3,$E334=1,$E334=4),DA334,CZ334),
IF($D334="Pénétro.",
IF(OR($E334=3,$E334=1,$E334=4),DA334,CZ334))),IF($D334="Pressio.",
IF($E334=3,DA334,CZ334),
IF($D334="Pénétro.",
IF($E334=4,DA334,CZ334))))</f>
        <v>#N/A</v>
      </c>
      <c r="DC334" s="31">
        <v>0</v>
      </c>
      <c r="DD334" s="102" t="e">
        <f>IF(NDC!$H$10="Oui",(VLOOKUP($B$3,'Coeff EC7'!$T$39:$X$59,2,0)*DB334+VLOOKUP($B$3,'Coeff EC7'!$T$65:$X$85,2,0)*Model0.1T!DC334)/1.5,PI()*CZ$12*$Q334*($B334-$B333)*0.15/10+DD333)</f>
        <v>#N/A</v>
      </c>
      <c r="DE334" s="102" t="e">
        <f>(VLOOKUP($B$3,'Coeff EC7'!$T$39:$X$59,3,0)*DB334+VLOOKUP($B$3,'Coeff EC7'!$T$65:$X$85,3,0)*Model0.1T!DC334)/1.1</f>
        <v>#N/A</v>
      </c>
      <c r="DF334" s="102" t="e">
        <f t="shared" si="486"/>
        <v>#N/A</v>
      </c>
      <c r="DG334" s="102" t="e">
        <f t="shared" si="487"/>
        <v>#N/A</v>
      </c>
      <c r="DH334" s="414" t="e">
        <f>IF(AND(DD334&gt;NDC!$C$63,DE334&gt;NDC!$C$65,DF334&gt;NDC!$D$73,DG334&gt;NDC!$D$74,$B334&gt;NDC!$H$22-0.1+MIN(3*DH$12,1.5)),0,1)</f>
        <v>#N/A</v>
      </c>
      <c r="DI334" s="86" t="b">
        <f t="shared" ref="DI334:DI363" si="553">IF($B334&lt;=$P$4, $B334, IF($B334&lt;=$P$5, $B334-$P$4, IF($B334&lt;=$P$6, $B334-$P$5, IF($B334&lt;=$P$7,$B334-$P$6, IF($B334&lt;=$P$8, $B334-$P$7, IF($B334&lt;=$P$9, $B334-$P$8, IF($B334&lt;=$P$10,$B334-$P$9)))))))</f>
        <v>0</v>
      </c>
      <c r="DJ334" s="86">
        <f t="shared" ref="DJ334:DJ363" si="554">MAX($DW$12/2,0.5)</f>
        <v>0.5</v>
      </c>
      <c r="DK334" s="86">
        <f t="shared" ref="DK334:DK363" si="555">MIN(DJ334,DI334)</f>
        <v>0.5</v>
      </c>
      <c r="DL334" s="30" t="e">
        <f t="shared" ca="1" si="488"/>
        <v>#DIV/0!</v>
      </c>
      <c r="DM334" s="85" t="e">
        <f ca="1">IF(CS334&lt;=Hypothèses!$V$7,Hypothèses!$W$7,IF(CS334&lt;=Hypothèses!$V$8,Hypothèses!$W$8,IF(CS334&lt;=Hypothèses!$V$9,Hypothèses!$W$9,IF(CS334&lt;=Hypothèses!$V$10,Hypothèses!$W$10,IF(CS334&lt;=Hypothèses!$V$11,Hypothèses!$W$11,IF(CS334&lt;=Hypothèses!$V$12,Hypothèses!$W$12,IF(CS334&lt;=Hypothèses!$V$13,Hypothèses!$W$13,IF(CS334&lt;=Hypothèses!$V$14,Hypothèses!$W$14,IF(CS334&lt;=Hypothèses!$V$15,Hypothèses!$W$15,IF(CS334&lt;=Hypothèses!$V$16,Hypothèses!$W$16,IF(CS334&lt;=Hypothèses!$V$17,Hypothèses!$W$17,IF(CS334&lt;=Hypothèses!$V$18,Hypothèses!$W$18,""))))))))))))</f>
        <v>#DIV/0!</v>
      </c>
      <c r="DN334" s="87" t="e">
        <f t="shared" ca="1" si="521"/>
        <v>#DIV/0!</v>
      </c>
      <c r="DO334" s="88" t="e">
        <f ca="1">IF(CS334&lt;=Hypothèses!$V$7,Hypothèses!$X$7,IF(CS334&lt;=Hypothèses!$V$8,Hypothèses!$X$8,IF(CS334&lt;=Hypothèses!$V$9,Hypothèses!$X$9,IF(CS334&lt;=Hypothèses!$V$10,Hypothèses!$X$10,IF(CS334&lt;=Hypothèses!$V$11,Hypothèses!$X$11,IF(CS334&lt;=Hypothèses!$V$12,Hypothèses!$X$12,IF(CS334&lt;=Hypothèses!$V$13,Hypothèses!$X$13,IF(CS334&lt;=Hypothèses!$V$14,Hypothèses!$X$14,IF(CS334&lt;=Hypothèses!$V$15,Hypothèses!$X$15,IF(CS334&lt;=Hypothèses!$V$16,Hypothèses!$X$16,IF(CS334&lt;=Hypothèses!$U$17,Hypothèses!$W$17,IF(CS334&lt;=Hypothèses!$U$18,Hypothèses!$W$18,""))))))))))))</f>
        <v>#DIV/0!</v>
      </c>
      <c r="DP334" s="95" t="e">
        <f t="shared" ca="1" si="489"/>
        <v>#DIV/0!</v>
      </c>
      <c r="DQ334" s="101">
        <f t="shared" si="528"/>
        <v>0</v>
      </c>
      <c r="DR334" s="91">
        <f t="shared" ref="DR334:DR363" si="556">IF($X334&lt;&gt;"",$X334,DQ334)</f>
        <v>0</v>
      </c>
      <c r="DS334" s="30" t="e">
        <f t="shared" si="510"/>
        <v>#N/A</v>
      </c>
      <c r="DT334" s="30" t="e">
        <f t="shared" si="511"/>
        <v>#N/A</v>
      </c>
      <c r="DU334" s="31" t="e">
        <f>IF(OR(Hypothèses!$B$4=17,Hypothèses!$B$4=18,Hypothèses!$B$4=19,Hypothèses!$B$4=20),
IF($D334="Pressio.",
IF(OR($E334=3,$E334=1,$E334=4),DT334,DS334),
IF($D334="Pénétro.",
IF(OR($E334=3,$E334=1,$E334=4),DT334,DS334))),IF($D334="Pressio.",
IF($E334=3,DT334,DS334),
IF($D334="Pénétro.",
IF($E334=4,DT334,DS334))))</f>
        <v>#N/A</v>
      </c>
      <c r="DV334" s="31">
        <v>0</v>
      </c>
      <c r="DW334" s="102" t="e">
        <f>IF(NDC!$H$10="Oui",(VLOOKUP($B$3,'Coeff EC7'!$T$39:$X$59,2,0)*DU334+VLOOKUP($B$3,'Coeff EC7'!$T$65:$X$85,2,0)*Model0.1T!DV334)/1.5,PI()*DS$12*$Q334*($B334-$B333)*0.15/10+DW333)</f>
        <v>#N/A</v>
      </c>
      <c r="DX334" s="102" t="e">
        <f>(VLOOKUP($B$3,'Coeff EC7'!$T$39:$X$59,3,0)*DU334+VLOOKUP($B$3,'Coeff EC7'!$T$65:$X$85,3,0)*Model0.1T!DV334)/1.1</f>
        <v>#N/A</v>
      </c>
      <c r="DY334" s="102" t="e">
        <f t="shared" si="490"/>
        <v>#N/A</v>
      </c>
      <c r="DZ334" s="102" t="e">
        <f t="shared" si="491"/>
        <v>#N/A</v>
      </c>
      <c r="EA334" s="414" t="e">
        <f>IF(AND(DW334&gt;NDC!$C$63,DX334&gt;NDC!$C$65,DY334&gt;NDC!$D$73,DZ334&gt;NDC!$D$74,$B334&gt;NDC!$H$22-0.1+MIN(3*EA$12,1.5)),0,1)</f>
        <v>#N/A</v>
      </c>
      <c r="EB334" s="86" t="b">
        <f t="shared" ref="EB334:EB363" si="557">IF($B334&lt;=$P$4, $B334, IF($B334&lt;=$P$5, $B334-$P$4, IF($B334&lt;=$P$6, $B334-$P$5, IF($B334&lt;=$P$7,$B334-$P$6, IF($B334&lt;=$P$8, $B334-$P$7, IF($B334&lt;=$P$9, $B334-$P$8, IF($B334&lt;=$P$10,$B334-$P$9)))))))</f>
        <v>0</v>
      </c>
      <c r="EC334" s="418">
        <f t="shared" ref="EC334:EC363" si="558">MAX($EP$12/2,0.5)</f>
        <v>0.51</v>
      </c>
      <c r="ED334" s="86">
        <f t="shared" ref="ED334:ED363" si="559">MIN(EC334,EB334)</f>
        <v>0.51</v>
      </c>
      <c r="EE334" s="30" t="e">
        <f t="shared" ca="1" si="492"/>
        <v>#DIV/0!</v>
      </c>
      <c r="EF334" s="85" t="e">
        <f ca="1">IF(DL334&lt;=Hypothèses!$V$7,Hypothèses!$W$7,IF(DL334&lt;=Hypothèses!$V$8,Hypothèses!$W$8,IF(DL334&lt;=Hypothèses!$V$9,Hypothèses!$W$9,IF(DL334&lt;=Hypothèses!$V$10,Hypothèses!$W$10,IF(DL334&lt;=Hypothèses!$V$11,Hypothèses!$W$11,IF(DL334&lt;=Hypothèses!$V$12,Hypothèses!$W$12,IF(DL334&lt;=Hypothèses!$V$13,Hypothèses!$W$13,IF(DL334&lt;=Hypothèses!$V$14,Hypothèses!$W$14,IF(DL334&lt;=Hypothèses!$V$15,Hypothèses!$W$15,IF(DL334&lt;=Hypothèses!$V$16,Hypothèses!$W$16,IF(DL334&lt;=Hypothèses!$V$17,Hypothèses!$W$17,IF(DL334&lt;=Hypothèses!$V$18,Hypothèses!$W$18,""))))))))))))</f>
        <v>#DIV/0!</v>
      </c>
      <c r="EG334" s="87" t="e">
        <f t="shared" ca="1" si="522"/>
        <v>#DIV/0!</v>
      </c>
      <c r="EH334" s="88" t="e">
        <f ca="1">IF(DL334&lt;=Hypothèses!$V$7,Hypothèses!$X$7,IF(DL334&lt;=Hypothèses!$V$8,Hypothèses!$X$8,IF(DL334&lt;=Hypothèses!$V$9,Hypothèses!$X$9,IF(DL334&lt;=Hypothèses!$V$10,Hypothèses!$X$10,IF(DL334&lt;=Hypothèses!$V$11,Hypothèses!$X$11,IF(DL334&lt;=Hypothèses!$V$12,Hypothèses!$X$12,IF(DL334&lt;=Hypothèses!$V$13,Hypothèses!$X$13,IF(DL334&lt;=Hypothèses!$V$14,Hypothèses!$X$14,IF(DL334&lt;=Hypothèses!$V$15,Hypothèses!$X$15,IF(DL334&lt;=Hypothèses!$V$16,Hypothèses!$X$16,IF(DL334&lt;=Hypothèses!$U$17,Hypothèses!$W$17,IF(DL334&lt;=Hypothèses!$U$18,Hypothèses!$W$18,""))))))))))))</f>
        <v>#DIV/0!</v>
      </c>
      <c r="EI334" s="95" t="e">
        <f t="shared" ca="1" si="493"/>
        <v>#DIV/0!</v>
      </c>
      <c r="EJ334" s="101">
        <f t="shared" si="529"/>
        <v>0</v>
      </c>
      <c r="EK334" s="91">
        <f t="shared" ref="EK334:EK363" si="560">IF($X334&lt;&gt;"",$X334,EJ334)</f>
        <v>0</v>
      </c>
      <c r="EL334" s="30" t="e">
        <f t="shared" si="512"/>
        <v>#N/A</v>
      </c>
      <c r="EM334" s="30" t="e">
        <f t="shared" si="513"/>
        <v>#N/A</v>
      </c>
      <c r="EN334" s="31" t="e">
        <f>IF(OR(Hypothèses!$B$4=17,Hypothèses!$B$4=18,Hypothèses!$B$4=19,Hypothèses!$B$4=20),
IF($D334="Pressio.",
IF(OR($E334=3,$E334=1,$E334=4),EM334,EL334),
IF($D334="Pénétro.",
IF(OR($E334=3,$E334=1,$E334=4),EM334,EL334))),IF($D334="Pressio.",
IF($E334=3,EM334,EL334),
IF($D334="Pénétro.",
IF($E334=4,EM334,EL334))))</f>
        <v>#N/A</v>
      </c>
      <c r="EO334" s="31">
        <v>0</v>
      </c>
      <c r="EP334" s="102" t="e">
        <f>IF(NDC!$H$10="Oui",(VLOOKUP($B$3,'Coeff EC7'!$T$39:$X$59,2,0)*EN334+VLOOKUP($B$3,'Coeff EC7'!$T$65:$X$85,2,0)*Model0.1T!EO334)/1.5,PI()*EL$12*$Q334*($B334-$B333)*0.15/10+EP333)</f>
        <v>#N/A</v>
      </c>
      <c r="EQ334" s="102" t="e">
        <f>(VLOOKUP($B$3,'Coeff EC7'!$T$39:$X$59,3,0)*EN334+VLOOKUP($B$3,'Coeff EC7'!$T$65:$X$85,3,0)*Model0.1T!EO334)/1.1</f>
        <v>#N/A</v>
      </c>
      <c r="ER334" s="102" t="e">
        <f t="shared" si="494"/>
        <v>#N/A</v>
      </c>
      <c r="ES334" s="102" t="e">
        <f t="shared" si="495"/>
        <v>#N/A</v>
      </c>
      <c r="ET334" s="414" t="e">
        <f>IF(AND(EP334&gt;NDC!$C$63,EQ334&gt;NDC!$C$65,ER334&gt;NDC!$D$73,ES334&gt;NDC!$D$74,$B334&gt;NDC!$H$22-0.1+MIN(3*ET$12,1.5)),0,1)</f>
        <v>#N/A</v>
      </c>
      <c r="EU334" s="86" t="b">
        <f t="shared" ref="EU334:EU363" si="561">IF($B334&lt;=$P$4, $B334, IF($B334&lt;=$P$5, $B334-$P$4, IF($B334&lt;=$P$6, $B334-$P$5, IF($B334&lt;=$P$7,$B334-$P$6, IF($B334&lt;=$P$8, $B334-$P$7, IF($B334&lt;=$P$9, $B334-$P$8, IF($B334&lt;=$P$10,$B334-$P$9)))))))</f>
        <v>0</v>
      </c>
      <c r="EV334" s="86">
        <f t="shared" ref="EV334:EV363" si="562">MAX($FI$12/2,0.5)</f>
        <v>0.61</v>
      </c>
      <c r="EW334" s="86">
        <f t="shared" ref="EW334:EW363" si="563">MIN(EV334,EU334)</f>
        <v>0.61</v>
      </c>
      <c r="EX334" s="30" t="e">
        <f t="shared" ca="1" si="496"/>
        <v>#DIV/0!</v>
      </c>
      <c r="EY334" s="85" t="e">
        <f ca="1">IF(EE334&lt;=Hypothèses!$V$7,Hypothèses!$W$7,IF(EE334&lt;=Hypothèses!$V$8,Hypothèses!$W$8,IF(EE334&lt;=Hypothèses!$V$9,Hypothèses!$W$9,IF(EE334&lt;=Hypothèses!$V$10,Hypothèses!$W$10,IF(EE334&lt;=Hypothèses!$V$11,Hypothèses!$W$11,IF(EE334&lt;=Hypothèses!$V$12,Hypothèses!$W$12,IF(EE334&lt;=Hypothèses!$V$13,Hypothèses!$W$13,IF(EE334&lt;=Hypothèses!$V$14,Hypothèses!$W$14,IF(EE334&lt;=Hypothèses!$V$15,Hypothèses!$W$15,IF(EE334&lt;=Hypothèses!$V$16,Hypothèses!$W$16,IF(EE334&lt;=Hypothèses!$V$17,Hypothèses!$W$17,IF(EE334&lt;=Hypothèses!$V$18,Hypothèses!$W$18,""))))))))))))</f>
        <v>#DIV/0!</v>
      </c>
      <c r="EZ334" s="87" t="e">
        <f t="shared" ca="1" si="523"/>
        <v>#DIV/0!</v>
      </c>
      <c r="FA334" s="88" t="e">
        <f ca="1">IF(EE334&lt;=Hypothèses!$V$7,Hypothèses!$X$7,IF(EE334&lt;=Hypothèses!$V$8,Hypothèses!$X$8,IF(EE334&lt;=Hypothèses!$V$9,Hypothèses!$X$9,IF(EE334&lt;=Hypothèses!$V$10,Hypothèses!$X$10,IF(EE334&lt;=Hypothèses!$V$11,Hypothèses!$X$11,IF(EE334&lt;=Hypothèses!$V$12,Hypothèses!$X$12,IF(EE334&lt;=Hypothèses!$V$13,Hypothèses!$X$13,IF(EE334&lt;=Hypothèses!$V$14,Hypothèses!$X$14,IF(EE334&lt;=Hypothèses!$V$15,Hypothèses!$X$15,IF(EE334&lt;=Hypothèses!$V$16,Hypothèses!$X$16,IF(EE334&lt;=Hypothèses!$U$17,Hypothèses!$W$17,IF(EE334&lt;=Hypothèses!$U$18,Hypothèses!$W$18,""))))))))))))</f>
        <v>#DIV/0!</v>
      </c>
      <c r="FB334" s="95" t="e">
        <f t="shared" ca="1" si="497"/>
        <v>#DIV/0!</v>
      </c>
      <c r="FC334" s="101">
        <f t="shared" si="530"/>
        <v>0</v>
      </c>
      <c r="FD334" s="91">
        <f t="shared" ref="FD334:FD363" si="564">IF($X334&lt;&gt;"",$X334,FC334)</f>
        <v>0</v>
      </c>
      <c r="FE334" s="30" t="e">
        <f t="shared" si="514"/>
        <v>#N/A</v>
      </c>
      <c r="FF334" s="30" t="e">
        <f t="shared" si="515"/>
        <v>#N/A</v>
      </c>
      <c r="FG334" s="31" t="e">
        <f>IF(OR(Hypothèses!$B$4=17,Hypothèses!$B$4=18,Hypothèses!$B$4=19,Hypothèses!$B$4=20),
IF($D334="Pressio.",
IF(OR($E334=3,$E334=1,$E334=4),FF334,FE334),
IF($D334="Pénétro.",
IF(OR($E334=3,$E334=1,$E334=4),FF334,FE334))),IF($D334="Pressio.",
IF($E334=3,FF334,FE334),
IF($D334="Pénétro.",
IF($E334=4,FF334,FE334))))</f>
        <v>#N/A</v>
      </c>
      <c r="FH334" s="31">
        <v>0</v>
      </c>
      <c r="FI334" s="102" t="e">
        <f>IF(NDC!$H$10="Oui",(VLOOKUP($B$3,'Coeff EC7'!$T$39:$X$59,2,0)*FG334+VLOOKUP($B$3,'Coeff EC7'!$T$65:$X$85,2,0)*Model0.1T!FH334)/1.5,PI()*FE$12*$Q334*($B334-$B333)*0.15/10+FI333)</f>
        <v>#N/A</v>
      </c>
      <c r="FJ334" s="102" t="e">
        <f>(VLOOKUP($B$3,'Coeff EC7'!$T$39:$X$59,3,0)*FG334+VLOOKUP($B$3,'Coeff EC7'!$T$65:$X$85,3,0)*Model0.1T!FH334)/1.1</f>
        <v>#N/A</v>
      </c>
      <c r="FK334" s="102" t="e">
        <f t="shared" si="498"/>
        <v>#N/A</v>
      </c>
      <c r="FL334" s="102" t="e">
        <f t="shared" si="499"/>
        <v>#N/A</v>
      </c>
      <c r="FM334" s="414" t="e">
        <f>IF(AND(FI334&gt;NDC!$C$63,FJ334&gt;NDC!$C$65,FK334&gt;NDC!$D$73,FL334&gt;NDC!$D$74,$B334&gt;NDC!$H$22-0.1+MIN(3*FM$12,1.5)),0,1)</f>
        <v>#N/A</v>
      </c>
    </row>
    <row r="335" spans="1:169">
      <c r="A335" s="96">
        <f t="shared" ref="A335:A363" si="565">A334-0.1</f>
        <v>67.80000000000183</v>
      </c>
      <c r="B335" s="97">
        <v>32.200000000000003</v>
      </c>
      <c r="C335" s="81">
        <f>IF(B335&lt;=Hypothèses!$C$7,Hypothèses!$A$7,IF(B335&lt;=Hypothèses!$C$8,Hypothèses!$A$8,IF(B335&lt;=Hypothèses!$C$9,Hypothèses!$A$9,IF(B335&lt;=Hypothèses!$C$10,Hypothèses!$A$10,IF(B335&lt;=Hypothèses!$C$11,Hypothèses!$A$11,IF(B335&lt;=Hypothèses!$C$12,Hypothèses!$A$12,IF(B335&lt;=Hypothèses!$C$13,Hypothèses!$A$13,IF(B335&lt;=Hypothèses!$C$14,Hypothèses!$A$14,IF(B335&lt;=Hypothèses!$C$15,Hypothèses!$A$15,IF(B335&lt;=Hypothèses!$C$16,Hypothèses!$A$16,IF(B335&lt;=Hypothèses!$C$17,Hypothèses!$A$17,IF(B335&lt;=Hypothèses!$C$18,Hypothèses!$A$18,C334))))))))))))</f>
        <v>11</v>
      </c>
      <c r="D335" s="82" t="str">
        <f>IF(B335&lt;=Hypothèses!$C$7,Hypothèses!$R$7,IF(B335&lt;=Hypothèses!$C$8,Hypothèses!$R$8,IF(B335&lt;=Hypothèses!$C$9,Hypothèses!$R$9,IF(B335&lt;=Hypothèses!$C$10,Hypothèses!$R$10,IF(B335&lt;=Hypothèses!$C$11,Hypothèses!$R$11,IF(B335&lt;=Hypothèses!$C$12,Hypothèses!$R$12,IF(B335&lt;=Hypothèses!$C$13,Hypothèses!$R$13,IF(B335&lt;=Hypothèses!$C$14,Hypothèses!$R$14,IF(B335&lt;=Hypothèses!$C$15,Hypothèses!$R$15,IF(B335&lt;=Hypothèses!$C$16,Hypothèses!$R$16,IF(B335&lt;=Hypothèses!$C$17,Hypothèses!$R$17,IF(B335&lt;=Hypothèses!$C$18,Hypothèses!$R$18,D334))))))))))))</f>
        <v>Pressio.</v>
      </c>
      <c r="E335" s="82" t="e">
        <f>IF(B335&lt;=Hypothèses!$C$7,Hypothèses!$G$7,IF(B335&lt;=Hypothèses!$C$8,Hypothèses!$G$8,IF(B335&lt;=Hypothèses!$C$9,Hypothèses!$G$9,IF(B335&lt;=Hypothèses!$C$10,Hypothèses!$G$10,IF(B335&lt;=Hypothèses!$C$11,Hypothèses!$G$11,IF(B335&lt;=Hypothèses!$C$12,Hypothèses!$G$12,IF(B335&lt;=Hypothèses!$C$13,Hypothèses!$G$13,IF(B335&lt;=Hypothèses!$C$14,Hypothèses!$G$14,IF(B335&lt;=Hypothèses!$C$15,Hypothèses!$G$15,IF(B335&lt;=Hypothèses!$C$16,Hypothèses!$G$16,IF(B335&lt;=Hypothèses!$C$17,Hypothèses!$G$17,IF(B335&lt;=Hypothèses!$C$18,Hypothèses!$G$18,E334))))))))))))</f>
        <v>#N/A</v>
      </c>
      <c r="F335" s="82" t="str">
        <f>IF(B335&lt;=Hypothèses!$C$7,Hypothèses!$F$7,IF(B335&lt;=Hypothèses!$C$8,Hypothèses!$F$8,IF(B335&lt;=Hypothèses!$C$9,Hypothèses!$F$9,IF(B335&lt;=Hypothèses!$C$10,Hypothèses!$F$10,IF(B335&lt;=Hypothèses!$C$11,Hypothèses!$F$11,IF(B335&lt;=Hypothèses!$C$12,Hypothèses!$F$12,IF(B335&lt;=Hypothèses!$C$13,Hypothèses!$F$13,IF(B335&lt;=Hypothèses!$C$14,Hypothèses!$F$14,IF(B335&lt;=Hypothèses!$C$15,Hypothèses!$F$15,IF(B335&lt;=Hypothèses!$C$16,Hypothèses!$F$16,IF(B335&lt;=Hypothèses!$C$17,Hypothèses!$F$17,IF(B335&lt;=Hypothèses!$C$18,Hypothèses!$F$18,F334))))))))))))</f>
        <v/>
      </c>
      <c r="G335" s="91">
        <f t="array" ref="G335">INDEX('Coeff EC7'!$U$7:$X$27,
MATCH(Model0.1T!$B$3,'Coeff EC7'!$T$7:$T$27,0),
MATCH(Model0.1T!$D335&amp;Model0.1T!$B$4,
'Coeff EC7'!$U$6:$X$6&amp;
'Coeff EC7'!$U$5:$X$5,0))</f>
        <v>1.4</v>
      </c>
      <c r="H335" s="91">
        <f t="array" ref="H335">INDEX('Coeff EC7'!$Y$7:$AB$27,
MATCH(Model0.1T!$B$3,'Coeff EC7'!$T$7:$T$27,0),
MATCH(Model0.1T!$D335&amp;Model0.1T!$B$4,
'Coeff EC7'!$Y$6:$AB$6&amp;
'Coeff EC7'!$Y$5:$AB$5,0))</f>
        <v>1.7</v>
      </c>
      <c r="I335" s="83">
        <v>0</v>
      </c>
      <c r="J335" s="91" t="e">
        <f t="array" ref="J335">INDEX('Coeff EC7'!$D$33:$Q$33,1,MATCH(D335&amp;E335,'Coeff EC7'!$D$31:$Q$31&amp;'Coeff EC7'!$D$32:$Q$32,0))</f>
        <v>#N/A</v>
      </c>
      <c r="K335" s="91" t="e">
        <f t="array" ref="K335">INDEX('Coeff EC7'!$D$34:$Q$34,1,MATCH(D335&amp;E335,'Coeff EC7'!$D$31:$Q$31&amp;'Coeff EC7'!$D$32:$Q$32,0))</f>
        <v>#N/A</v>
      </c>
      <c r="L335" s="91" t="e">
        <f t="array" ref="L335">INDEX('Coeff EC7'!$D$35:$Q$35,1,MATCH(D335&amp;E335,'Coeff EC7'!$D$31:$Q$31&amp;'Coeff EC7'!$D$32:$Q$32,0))</f>
        <v>#N/A</v>
      </c>
      <c r="M335" s="98" t="e">
        <f t="shared" si="531"/>
        <v>#N/A</v>
      </c>
      <c r="N335" s="99" t="e">
        <f t="array" ref="N335">INDEX('Coeff EC7'!$D$7:$Q$27,MATCH($B$3,'Coeff EC7'!$C$7:$C$27,0),MATCH(D335&amp;E335,'Coeff EC7'!$D$5:$Q$5&amp;'Coeff EC7'!$D$6:$Q$6,0))</f>
        <v>#N/A</v>
      </c>
      <c r="O335" s="99" t="e">
        <f t="array" ref="O335">INDEX('Coeff EC7'!$D$41:$Q$61,MATCH($B$3,'Coeff EC7'!$C$41:$C$61,0),MATCH(D335&amp;E335,'Coeff EC7'!$D$39:$Q$39&amp;'Coeff EC7'!$D$40:$Q$40,0))</f>
        <v>#N/A</v>
      </c>
      <c r="P335" s="30" t="e">
        <f t="shared" ref="P335:P363" si="566">N335*M335*1000</f>
        <v>#N/A</v>
      </c>
      <c r="Q335" s="100" t="e">
        <f t="shared" si="533"/>
        <v>#N/A</v>
      </c>
      <c r="R335" s="86" t="b">
        <f t="shared" si="534"/>
        <v>0</v>
      </c>
      <c r="S335" s="86">
        <f t="shared" si="532"/>
        <v>0.5</v>
      </c>
      <c r="T335" s="86">
        <f t="shared" si="535"/>
        <v>0.5</v>
      </c>
      <c r="U335" s="30" t="e">
        <f t="shared" ref="U335:U363" ca="1" si="567">AVERAGE(OFFSET($F335, -10*T335, 0,10*T335, 1), OFFSET($F335, 1, 0, 30*S335, 1))</f>
        <v>#DIV/0!</v>
      </c>
      <c r="V335" s="85" t="str">
        <f>IF(B335&lt;=Hypothèses!$V$7,Hypothèses!$W$7,IF(B335&lt;=Hypothèses!$V$8,Hypothèses!$W$8,IF(B335&lt;=Hypothèses!$V$9,Hypothèses!$W$9,IF(B335&lt;=Hypothèses!$V$10,Hypothèses!$W$10,IF(B335&lt;=Hypothèses!$V$11,Hypothèses!$W$11,IF(B335&lt;=Hypothèses!$V$12,Hypothèses!$W$12,IF(B335&lt;=Hypothèses!$V$13,Hypothèses!$W$13,IF(B335&lt;=Hypothèses!$V$14,Hypothèses!$W$14,IF(B335&lt;=Hypothèses!$V$15,Hypothèses!$W$15,IF(B335&lt;=Hypothèses!$V$16,Hypothèses!$W$16,IF(B335&lt;=Hypothèses!$V$17,Hypothèses!$W$17,IF(B335&lt;=Hypothèses!$V$18,Hypothèses!$W$18,""))))))))))))</f>
        <v/>
      </c>
      <c r="W335" s="87" t="e">
        <f t="shared" ca="1" si="516"/>
        <v>#DIV/0!</v>
      </c>
      <c r="X335" s="88" t="str">
        <f>IF(B335&lt;=Hypothèses!$V$7,Hypothèses!$X$7,IF(B335&lt;=Hypothèses!$V$8,Hypothèses!$X$8,IF(B335&lt;=Hypothèses!$V$9,Hypothèses!$X$9,IF(B335&lt;=Hypothèses!$V$10,Hypothèses!$X$10,IF(B335&lt;=Hypothèses!$V$11,Hypothèses!$X$11,IF(B335&lt;=Hypothèses!$V$12,Hypothèses!$X$12,IF(B335&lt;=Hypothèses!$V$13,Hypothèses!$X$13,IF(B335&lt;=Hypothèses!$V$14,Hypothèses!$X$14,IF(B335&lt;=Hypothèses!$V$15,Hypothèses!$X$15,IF(B335&lt;=Hypothèses!$V$16,Hypothèses!$X$16,IF(B335&lt;=Hypothèses!$U$17,Hypothèses!$W$17,IF(B335&lt;=Hypothèses!$U$18,Hypothèses!$W$18,""))))))))))))</f>
        <v/>
      </c>
      <c r="Y335" s="95" t="e">
        <f t="shared" ca="1" si="536"/>
        <v>#DIV/0!</v>
      </c>
      <c r="Z335" s="101">
        <f t="shared" si="537"/>
        <v>0</v>
      </c>
      <c r="AA335" s="91">
        <f t="shared" si="538"/>
        <v>0</v>
      </c>
      <c r="AB335" s="30" t="e">
        <f t="shared" si="500"/>
        <v>#N/A</v>
      </c>
      <c r="AC335" s="30" t="e">
        <f t="shared" si="501"/>
        <v>#N/A</v>
      </c>
      <c r="AD335" s="31" t="e">
        <f>IF(OR(Hypothèses!$B$4=17,Hypothèses!$B$4=18,Hypothèses!$B$4=19,Hypothèses!$B$4=20),
IF($D335="Pressio.",
IF(OR($E335=3,$E335=1,$E335=4),AC335,AB335),
IF($D335="Pénétro.",
IF(OR($E335=3,$E335=1,$E335=4),AC335,AB335))),IF($D335="Pressio.",
IF($E335=3,AC335,AB335),
IF($D335="Pénétro.",
IF($E335=4,AC335,AB335))))</f>
        <v>#N/A</v>
      </c>
      <c r="AE335" s="31">
        <v>0</v>
      </c>
      <c r="AF335" s="102" t="e">
        <f>IF(NDC!$H$10="Oui",(VLOOKUP($B$3,'Coeff EC7'!$T$39:$X$59,2,0)*AD335+VLOOKUP($B$3,'Coeff EC7'!$T$65:$X$85,2,0)*Model0.1T!AE335)/1.5,PI()*AB$12*$Q335*($B335-$B334)*0.15/10+AF334)</f>
        <v>#N/A</v>
      </c>
      <c r="AG335" s="102" t="e">
        <f>(VLOOKUP($B$3,'Coeff EC7'!$T$39:$X$59,3,0)*AD335+VLOOKUP($B$3,'Coeff EC7'!$T$65:$X$85,3,0)*Model0.1T!AE335)/1.1</f>
        <v>#N/A</v>
      </c>
      <c r="AH335" s="102" t="e">
        <f t="shared" ref="AH335:AH363" si="568">AD335/1.15+AE335/1.15</f>
        <v>#N/A</v>
      </c>
      <c r="AI335" s="102" t="e">
        <f t="shared" ref="AI335:AI363" si="569">(AD335+AE335)/1.05</f>
        <v>#N/A</v>
      </c>
      <c r="AJ335" s="414" t="e">
        <f>IF(AND(AF335&gt;NDC!$C$63,AG335&gt;NDC!$C$65,AH335&gt;NDC!$D$73,AI335&gt;NDC!$D$74,$B335&gt;NDC!$H$22-0.1+MIN(3*$AJ$12,1.5)),0,1)</f>
        <v>#N/A</v>
      </c>
      <c r="AK335" s="86" t="b">
        <f t="shared" si="539"/>
        <v>0</v>
      </c>
      <c r="AL335" s="86">
        <f t="shared" ref="AL335:AL363" si="570">MAX($AY$12/2,0.5)</f>
        <v>0.5</v>
      </c>
      <c r="AM335" s="86">
        <f t="shared" si="540"/>
        <v>0.5</v>
      </c>
      <c r="AN335" s="30" t="e">
        <f t="shared" ref="AN335:AN363" ca="1" si="571">AVERAGE(OFFSET($F335, -10*AM335, 0,10*AM335, 1), OFFSET($F335, 1, 0, 30*AL335, 1))</f>
        <v>#DIV/0!</v>
      </c>
      <c r="AO335" s="85" t="e">
        <f ca="1">IF(U335&lt;=Hypothèses!$V$7,Hypothèses!$W$7,IF(U335&lt;=Hypothèses!$V$8,Hypothèses!$W$8,IF(U335&lt;=Hypothèses!$V$9,Hypothèses!$W$9,IF(U335&lt;=Hypothèses!$V$10,Hypothèses!$W$10,IF(U335&lt;=Hypothèses!$V$11,Hypothèses!$W$11,IF(U335&lt;=Hypothèses!$V$12,Hypothèses!$W$12,IF(U335&lt;=Hypothèses!$V$13,Hypothèses!$W$13,IF(U335&lt;=Hypothèses!$V$14,Hypothèses!$W$14,IF(U335&lt;=Hypothèses!$V$15,Hypothèses!$W$15,IF(U335&lt;=Hypothèses!$V$16,Hypothèses!$W$16,IF(U335&lt;=Hypothèses!$V$17,Hypothèses!$W$17,IF(U335&lt;=Hypothèses!$V$18,Hypothèses!$W$18,""))))))))))))</f>
        <v>#DIV/0!</v>
      </c>
      <c r="AP335" s="87" t="e">
        <f t="shared" ca="1" si="517"/>
        <v>#DIV/0!</v>
      </c>
      <c r="AQ335" s="88" t="e">
        <f ca="1">IF(U335&lt;=Hypothèses!$V$7,Hypothèses!$X$7,IF(U335&lt;=Hypothèses!$V$8,Hypothèses!$X$8,IF(U335&lt;=Hypothèses!$V$9,Hypothèses!$X$9,IF(U335&lt;=Hypothèses!$V$10,Hypothèses!$X$10,IF(U335&lt;=Hypothèses!$V$11,Hypothèses!$X$11,IF(U335&lt;=Hypothèses!$V$12,Hypothèses!$X$12,IF(U335&lt;=Hypothèses!$V$13,Hypothèses!$X$13,IF(U335&lt;=Hypothèses!$V$14,Hypothèses!$X$14,IF(U335&lt;=Hypothèses!$V$15,Hypothèses!$X$15,IF(U335&lt;=Hypothèses!$V$16,Hypothèses!$X$16,IF(U335&lt;=Hypothèses!$U$17,Hypothèses!$W$17,IF(U335&lt;=Hypothèses!$U$18,Hypothèses!$W$18,""))))))))))))</f>
        <v>#DIV/0!</v>
      </c>
      <c r="AR335" s="95" t="e">
        <f t="shared" ref="AR335:AR363" ca="1" si="572">IF($B335&lt;10*$BB$12,0.1/AP335*SUM(OFFSET(F335,-10*$B335+1,0,10*$B335,1)),0.1/AP335*SUM(OFFSET(F335,-100*$BB$12+1,0,100*$BB$12,1)))</f>
        <v>#DIV/0!</v>
      </c>
      <c r="AS335" s="101">
        <f t="shared" si="524"/>
        <v>0</v>
      </c>
      <c r="AT335" s="91">
        <f t="shared" si="541"/>
        <v>0</v>
      </c>
      <c r="AU335" s="30" t="e">
        <f t="shared" si="502"/>
        <v>#N/A</v>
      </c>
      <c r="AV335" s="30" t="e">
        <f t="shared" si="503"/>
        <v>#N/A</v>
      </c>
      <c r="AW335" s="31" t="e">
        <f>IF(OR(Hypothèses!$B$4=17,Hypothèses!$B$4=18,Hypothèses!$B$4=19,Hypothèses!$B$4=20),
IF($D335="Pressio.",
IF(OR($E335=3,$E335=1,$E335=4),AV335,AU335),
IF($D335="Pénétro.",
IF(OR($E335=3,$E335=1,$E335=4),AV335,AU335))),IF($D335="Pressio.",
IF($E335=3,AV335,AU335),
IF($D335="Pénétro.",
IF($E335=4,AV335,AU335))))</f>
        <v>#N/A</v>
      </c>
      <c r="AX335" s="31">
        <v>0</v>
      </c>
      <c r="AY335" s="102" t="e">
        <f>IF(NDC!$H$10="Oui",(VLOOKUP($B$3,'Coeff EC7'!$T$39:$X$59,2,0)*AW335+VLOOKUP($B$3,'Coeff EC7'!$T$65:$X$85,2,0)*Model0.1T!AX335)/1.5,PI()*AU$12*$Q335*($B335-$B334)*0.15/10+AY334)</f>
        <v>#N/A</v>
      </c>
      <c r="AZ335" s="102" t="e">
        <f>(VLOOKUP($B$3,'Coeff EC7'!$T$39:$X$59,3,0)*AW335+VLOOKUP($B$3,'Coeff EC7'!$T$65:$X$85,3,0)*Model0.1T!AX335)/1.1</f>
        <v>#N/A</v>
      </c>
      <c r="BA335" s="102" t="e">
        <f t="shared" ref="BA335:BA363" si="573">AW335/1.15+AX335/1.15</f>
        <v>#N/A</v>
      </c>
      <c r="BB335" s="102" t="e">
        <f t="shared" ref="BB335:BB363" si="574">(AW335+AX335)/1.05</f>
        <v>#N/A</v>
      </c>
      <c r="BC335" s="414" t="e">
        <f>IF(AND(AY335&gt;NDC!$C$63,AZ335&gt;NDC!$C$65,BA335&gt;NDC!$D$73,BB335&gt;NDC!$D$74,$B335&gt;NDC!$H$22-0.1+MIN(3*BC$12,1.5)),0,1)</f>
        <v>#N/A</v>
      </c>
      <c r="BD335" s="86" t="b">
        <f t="shared" si="542"/>
        <v>0</v>
      </c>
      <c r="BE335" s="86">
        <f t="shared" ref="BE335:BE363" si="575">MAX($BR$12/2,0.5)</f>
        <v>0.5</v>
      </c>
      <c r="BF335" s="86">
        <f t="shared" si="543"/>
        <v>0.5</v>
      </c>
      <c r="BG335" s="30" t="e">
        <f t="shared" ref="BG335:BG363" ca="1" si="576">AVERAGE(OFFSET($F335, -10*BF335, 0,10*BF335, 1), OFFSET($F335, 1, 0, 30*BE335, 1))</f>
        <v>#DIV/0!</v>
      </c>
      <c r="BH335" s="85" t="e">
        <f ca="1">IF(AN335&lt;=Hypothèses!$V$7,Hypothèses!$W$7,IF(AN335&lt;=Hypothèses!$V$8,Hypothèses!$W$8,IF(AN335&lt;=Hypothèses!$V$9,Hypothèses!$W$9,IF(AN335&lt;=Hypothèses!$V$10,Hypothèses!$W$10,IF(AN335&lt;=Hypothèses!$V$11,Hypothèses!$W$11,IF(AN335&lt;=Hypothèses!$V$12,Hypothèses!$W$12,IF(AN335&lt;=Hypothèses!$V$13,Hypothèses!$W$13,IF(AN335&lt;=Hypothèses!$V$14,Hypothèses!$W$14,IF(AN335&lt;=Hypothèses!$V$15,Hypothèses!$W$15,IF(AN335&lt;=Hypothèses!$V$16,Hypothèses!$W$16,IF(AN335&lt;=Hypothèses!$V$17,Hypothèses!$W$17,IF(AN335&lt;=Hypothèses!$V$18,Hypothèses!$W$18,""))))))))))))</f>
        <v>#DIV/0!</v>
      </c>
      <c r="BI335" s="87" t="e">
        <f t="shared" ca="1" si="518"/>
        <v>#DIV/0!</v>
      </c>
      <c r="BJ335" s="88" t="e">
        <f ca="1">IF(AN335&lt;=Hypothèses!$V$7,Hypothèses!$X$7,IF(AN335&lt;=Hypothèses!$V$8,Hypothèses!$X$8,IF(AN335&lt;=Hypothèses!$V$9,Hypothèses!$X$9,IF(AN335&lt;=Hypothèses!$V$10,Hypothèses!$X$10,IF(AN335&lt;=Hypothèses!$V$11,Hypothèses!$X$11,IF(AN335&lt;=Hypothèses!$V$12,Hypothèses!$X$12,IF(AN335&lt;=Hypothèses!$V$13,Hypothèses!$X$13,IF(AN335&lt;=Hypothèses!$V$14,Hypothèses!$X$14,IF(AN335&lt;=Hypothèses!$V$15,Hypothèses!$X$15,IF(AN335&lt;=Hypothèses!$V$16,Hypothèses!$X$16,IF(AN335&lt;=Hypothèses!$U$17,Hypothèses!$W$17,IF(AN335&lt;=Hypothèses!$U$18,Hypothèses!$W$18,""))))))))))))</f>
        <v>#DIV/0!</v>
      </c>
      <c r="BK335" s="95" t="e">
        <f t="shared" ref="BK335:BK363" ca="1" si="577">IF($B335&lt;10*$BU$12,0.1/BI335*SUM(OFFSET(F335,-10*$B335+1,0,10*$B335,1)),0.1/BI335*SUM(OFFSET(F335,-100*$BU$12+1,0,100*$BU$12,1)))</f>
        <v>#DIV/0!</v>
      </c>
      <c r="BL335" s="101">
        <f t="shared" si="525"/>
        <v>0</v>
      </c>
      <c r="BM335" s="91">
        <f t="shared" si="544"/>
        <v>0</v>
      </c>
      <c r="BN335" s="30" t="e">
        <f t="shared" si="504"/>
        <v>#N/A</v>
      </c>
      <c r="BO335" s="30" t="e">
        <f t="shared" si="505"/>
        <v>#N/A</v>
      </c>
      <c r="BP335" s="31" t="e">
        <f>IF(OR(Hypothèses!$B$4=17,Hypothèses!$B$4=18,Hypothèses!$B$4=19,Hypothèses!$B$4=20),
IF($D335="Pressio.",
IF(OR($E335=3,$E335=1,$E335=4),BO335,BN335),
IF($D335="Pénétro.",
IF(OR($E335=3,$E335=1,$E335=4),BO335,BN335))),IF($D335="Pressio.",
IF($E335=3,BO335,BN335),
IF($D335="Pénétro.",
IF($E335=4,BO335,BN335))))</f>
        <v>#N/A</v>
      </c>
      <c r="BQ335" s="31">
        <v>0</v>
      </c>
      <c r="BR335" s="102" t="e">
        <f>IF(NDC!$H$10="Oui",(VLOOKUP($B$3,'Coeff EC7'!$T$39:$X$59,2,0)*BP335+VLOOKUP($B$3,'Coeff EC7'!$T$65:$X$85,2,0)*Model0.1T!BQ335)/1.5,PI()*BN$12*$Q335*($B335-$B334)*0.15/10+BR334)</f>
        <v>#N/A</v>
      </c>
      <c r="BS335" s="102" t="e">
        <f>(VLOOKUP($B$3,'Coeff EC7'!$T$39:$X$59,3,0)*BP335+VLOOKUP($B$3,'Coeff EC7'!$T$65:$X$85,3,0)*Model0.1T!BQ335)/1.1</f>
        <v>#N/A</v>
      </c>
      <c r="BT335" s="102" t="e">
        <f t="shared" ref="BT335:BT363" si="578">BP335/1.15+BQ335/1.15</f>
        <v>#N/A</v>
      </c>
      <c r="BU335" s="102" t="e">
        <f t="shared" ref="BU335:BU363" si="579">(BP335+BQ335)/1.05</f>
        <v>#N/A</v>
      </c>
      <c r="BV335" s="414" t="e">
        <f>IF(AND(BR335&gt;NDC!$C$63,BS335&gt;NDC!$C$65,BT335&gt;NDC!$D$73,BU335&gt;NDC!$D$74,$B335&gt;NDC!$H$22-0.1+MIN(3*BV$12,1.5)),0,1)</f>
        <v>#N/A</v>
      </c>
      <c r="BW335" s="86" t="b">
        <f t="shared" si="545"/>
        <v>0</v>
      </c>
      <c r="BX335" s="86">
        <f t="shared" si="546"/>
        <v>0.5</v>
      </c>
      <c r="BY335" s="86">
        <f t="shared" si="547"/>
        <v>0.5</v>
      </c>
      <c r="BZ335" s="30" t="e">
        <f t="shared" ref="BZ335:BZ363" ca="1" si="580">AVERAGE(OFFSET($F335, -10*BY335, 0,10*BY335, 1), OFFSET($F335, 1, 0, 30*BX335, 1))</f>
        <v>#DIV/0!</v>
      </c>
      <c r="CA335" s="85" t="e">
        <f ca="1">IF(BG335&lt;=Hypothèses!$V$7,Hypothèses!$W$7,IF(BG335&lt;=Hypothèses!$V$8,Hypothèses!$W$8,IF(BG335&lt;=Hypothèses!$V$9,Hypothèses!$W$9,IF(BG335&lt;=Hypothèses!$V$10,Hypothèses!$W$10,IF(BG335&lt;=Hypothèses!$V$11,Hypothèses!$W$11,IF(BG335&lt;=Hypothèses!$V$12,Hypothèses!$W$12,IF(BG335&lt;=Hypothèses!$V$13,Hypothèses!$W$13,IF(BG335&lt;=Hypothèses!$V$14,Hypothèses!$W$14,IF(BG335&lt;=Hypothèses!$V$15,Hypothèses!$W$15,IF(BG335&lt;=Hypothèses!$V$16,Hypothèses!$W$16,IF(BG335&lt;=Hypothèses!$V$17,Hypothèses!$W$17,IF(BG335&lt;=Hypothèses!$V$18,Hypothèses!$W$18,""))))))))))))</f>
        <v>#DIV/0!</v>
      </c>
      <c r="CB335" s="87" t="e">
        <f t="shared" ca="1" si="519"/>
        <v>#DIV/0!</v>
      </c>
      <c r="CC335" s="88" t="e">
        <f ca="1">IF(BG335&lt;=Hypothèses!$V$7,Hypothèses!$X$7,IF(BG335&lt;=Hypothèses!$V$8,Hypothèses!$X$8,IF(BG335&lt;=Hypothèses!$V$9,Hypothèses!$X$9,IF(BG335&lt;=Hypothèses!$V$10,Hypothèses!$X$10,IF(BG335&lt;=Hypothèses!$V$11,Hypothèses!$X$11,IF(BG335&lt;=Hypothèses!$V$12,Hypothèses!$X$12,IF(BG335&lt;=Hypothèses!$V$13,Hypothèses!$X$13,IF(BG335&lt;=Hypothèses!$V$14,Hypothèses!$X$14,IF(BG335&lt;=Hypothèses!$V$15,Hypothèses!$X$15,IF(BG335&lt;=Hypothèses!$V$16,Hypothèses!$X$16,IF(BG335&lt;=Hypothèses!$U$17,Hypothèses!$W$17,IF(BG335&lt;=Hypothèses!$U$18,Hypothèses!$W$18,""))))))))))))</f>
        <v>#DIV/0!</v>
      </c>
      <c r="CD335" s="95" t="e">
        <f t="shared" ref="CD335:CD363" ca="1" si="581">IF($B335&lt;10*$CN$12,0.1/CB335*SUM(OFFSET(F335,-10*$B335+1,0,10*$B335,1)),0.1/CB335*SUM(OFFSET(F335,-100*$CN$12+1,0,100*$CN$12,1)))</f>
        <v>#DIV/0!</v>
      </c>
      <c r="CE335" s="101">
        <f t="shared" si="526"/>
        <v>0</v>
      </c>
      <c r="CF335" s="91">
        <f t="shared" si="548"/>
        <v>0</v>
      </c>
      <c r="CG335" s="30" t="e">
        <f t="shared" si="506"/>
        <v>#N/A</v>
      </c>
      <c r="CH335" s="30" t="e">
        <f t="shared" si="507"/>
        <v>#N/A</v>
      </c>
      <c r="CI335" s="31" t="e">
        <f>IF(OR(Hypothèses!$B$4=17,Hypothèses!$B$4=18,Hypothèses!$B$4=19,Hypothèses!$B$4=20),
IF($D335="Pressio.",
IF(OR($E335=3,$E335=1,$E335=4),CH335,CG335),
IF($D335="Pénétro.",
IF(OR($E335=3,$E335=1,$E335=4),CH335,CG335))),IF($D335="Pressio.",
IF($E335=3,CH335,CG335),
IF($D335="Pénétro.",
IF($E335=4,CH335,CG335))))</f>
        <v>#N/A</v>
      </c>
      <c r="CJ335" s="31">
        <v>0</v>
      </c>
      <c r="CK335" s="102" t="e">
        <f>IF(NDC!$H$10="Oui",(VLOOKUP($B$3,'Coeff EC7'!$T$39:$X$59,2,0)*CI335+VLOOKUP($B$3,'Coeff EC7'!$T$65:$X$85,2,0)*Model0.1T!CJ335)/1.5,PI()*CG$12*$Q335*($B335-$B334)*0.15/10+CK334)</f>
        <v>#N/A</v>
      </c>
      <c r="CL335" s="102" t="e">
        <f>(VLOOKUP($B$3,'Coeff EC7'!$T$39:$X$59,3,0)*CI335+VLOOKUP($B$3,'Coeff EC7'!$T$65:$X$85,3,0)*Model0.1T!CJ335)/1.1</f>
        <v>#N/A</v>
      </c>
      <c r="CM335" s="102" t="e">
        <f t="shared" ref="CM335:CM363" si="582">CI335/1.15+CJ335/1.15</f>
        <v>#N/A</v>
      </c>
      <c r="CN335" s="102" t="e">
        <f t="shared" ref="CN335:CN363" si="583">(CI335+CJ335)/1.05</f>
        <v>#N/A</v>
      </c>
      <c r="CO335" s="414" t="e">
        <f>IF(AND(CK335&gt;NDC!$C$63,CL335&gt;NDC!$C$65,CM335&gt;NDC!$D$73,CN335&gt;NDC!$D$74,$B335&gt;NDC!$H$22-0.1+MIN(3*CO$12,1.5)),0,1)</f>
        <v>#N/A</v>
      </c>
      <c r="CP335" s="86" t="b">
        <f t="shared" si="549"/>
        <v>0</v>
      </c>
      <c r="CQ335" s="86">
        <f t="shared" si="550"/>
        <v>0.5</v>
      </c>
      <c r="CR335" s="86">
        <f t="shared" si="551"/>
        <v>0.5</v>
      </c>
      <c r="CS335" s="30" t="e">
        <f t="shared" ref="CS335:CS363" ca="1" si="584">AVERAGE(OFFSET($F335, -10*CR335, 0,10*CR335, 1), OFFSET($F335, 1, 0, 30*CQ335, 1))</f>
        <v>#DIV/0!</v>
      </c>
      <c r="CT335" s="85" t="e">
        <f ca="1">IF(BZ335&lt;=Hypothèses!$V$7,Hypothèses!$W$7,IF(BZ335&lt;=Hypothèses!$V$8,Hypothèses!$W$8,IF(BZ335&lt;=Hypothèses!$V$9,Hypothèses!$W$9,IF(BZ335&lt;=Hypothèses!$V$10,Hypothèses!$W$10,IF(BZ335&lt;=Hypothèses!$V$11,Hypothèses!$W$11,IF(BZ335&lt;=Hypothèses!$V$12,Hypothèses!$W$12,IF(BZ335&lt;=Hypothèses!$V$13,Hypothèses!$W$13,IF(BZ335&lt;=Hypothèses!$V$14,Hypothèses!$W$14,IF(BZ335&lt;=Hypothèses!$V$15,Hypothèses!$W$15,IF(BZ335&lt;=Hypothèses!$V$16,Hypothèses!$W$16,IF(BZ335&lt;=Hypothèses!$V$17,Hypothèses!$W$17,IF(BZ335&lt;=Hypothèses!$V$18,Hypothèses!$W$18,""))))))))))))</f>
        <v>#DIV/0!</v>
      </c>
      <c r="CU335" s="87" t="e">
        <f t="shared" ca="1" si="520"/>
        <v>#DIV/0!</v>
      </c>
      <c r="CV335" s="88" t="e">
        <f ca="1">IF(BZ335&lt;=Hypothèses!$V$7,Hypothèses!$X$7,IF(BZ335&lt;=Hypothèses!$V$8,Hypothèses!$X$8,IF(BZ335&lt;=Hypothèses!$V$9,Hypothèses!$X$9,IF(BZ335&lt;=Hypothèses!$V$10,Hypothèses!$X$10,IF(BZ335&lt;=Hypothèses!$V$11,Hypothèses!$X$11,IF(BZ335&lt;=Hypothèses!$V$12,Hypothèses!$X$12,IF(BZ335&lt;=Hypothèses!$V$13,Hypothèses!$X$13,IF(BZ335&lt;=Hypothèses!$V$14,Hypothèses!$X$14,IF(BZ335&lt;=Hypothèses!$V$15,Hypothèses!$X$15,IF(BZ335&lt;=Hypothèses!$V$16,Hypothèses!$X$16,IF(BZ335&lt;=Hypothèses!$U$17,Hypothèses!$W$17,IF(BZ335&lt;=Hypothèses!$U$18,Hypothèses!$W$18,""))))))))))))</f>
        <v>#DIV/0!</v>
      </c>
      <c r="CW335" s="95" t="e">
        <f t="shared" ref="CW335:CW363" ca="1" si="585">IF($B335&lt;10*$DG$12,0.1/CU335*SUM(OFFSET(F335,-10*$B335+1,0,10*$B335,1)),0.1/CU335*SUM(OFFSET(F335,-100*$DG$12+1,0,100*$DG$12,1)))</f>
        <v>#DIV/0!</v>
      </c>
      <c r="CX335" s="101">
        <f t="shared" si="527"/>
        <v>0</v>
      </c>
      <c r="CY335" s="91">
        <f t="shared" si="552"/>
        <v>0</v>
      </c>
      <c r="CZ335" s="30" t="e">
        <f t="shared" si="508"/>
        <v>#N/A</v>
      </c>
      <c r="DA335" s="30" t="e">
        <f t="shared" si="509"/>
        <v>#N/A</v>
      </c>
      <c r="DB335" s="31" t="e">
        <f>IF(OR(Hypothèses!$B$4=17,Hypothèses!$B$4=18,Hypothèses!$B$4=19,Hypothèses!$B$4=20),
IF($D335="Pressio.",
IF(OR($E335=3,$E335=1,$E335=4),DA335,CZ335),
IF($D335="Pénétro.",
IF(OR($E335=3,$E335=1,$E335=4),DA335,CZ335))),IF($D335="Pressio.",
IF($E335=3,DA335,CZ335),
IF($D335="Pénétro.",
IF($E335=4,DA335,CZ335))))</f>
        <v>#N/A</v>
      </c>
      <c r="DC335" s="31">
        <v>0</v>
      </c>
      <c r="DD335" s="102" t="e">
        <f>IF(NDC!$H$10="Oui",(VLOOKUP($B$3,'Coeff EC7'!$T$39:$X$59,2,0)*DB335+VLOOKUP($B$3,'Coeff EC7'!$T$65:$X$85,2,0)*Model0.1T!DC335)/1.5,PI()*CZ$12*$Q335*($B335-$B334)*0.15/10+DD334)</f>
        <v>#N/A</v>
      </c>
      <c r="DE335" s="102" t="e">
        <f>(VLOOKUP($B$3,'Coeff EC7'!$T$39:$X$59,3,0)*DB335+VLOOKUP($B$3,'Coeff EC7'!$T$65:$X$85,3,0)*Model0.1T!DC335)/1.1</f>
        <v>#N/A</v>
      </c>
      <c r="DF335" s="102" t="e">
        <f t="shared" ref="DF335:DF363" si="586">DB335/1.15+DC335/1.15</f>
        <v>#N/A</v>
      </c>
      <c r="DG335" s="102" t="e">
        <f t="shared" ref="DG335:DG363" si="587">(DB335+DC335)/1.05</f>
        <v>#N/A</v>
      </c>
      <c r="DH335" s="414" t="e">
        <f>IF(AND(DD335&gt;NDC!$C$63,DE335&gt;NDC!$C$65,DF335&gt;NDC!$D$73,DG335&gt;NDC!$D$74,$B335&gt;NDC!$H$22-0.1+MIN(3*DH$12,1.5)),0,1)</f>
        <v>#N/A</v>
      </c>
      <c r="DI335" s="86" t="b">
        <f t="shared" si="553"/>
        <v>0</v>
      </c>
      <c r="DJ335" s="86">
        <f t="shared" si="554"/>
        <v>0.5</v>
      </c>
      <c r="DK335" s="86">
        <f t="shared" si="555"/>
        <v>0.5</v>
      </c>
      <c r="DL335" s="30" t="e">
        <f t="shared" ref="DL335:DL363" ca="1" si="588">AVERAGE(OFFSET($F335, -10*DK335, 0,10*DK335, 1), OFFSET($F335, 1, 0, 30*DJ335, 1))</f>
        <v>#DIV/0!</v>
      </c>
      <c r="DM335" s="85" t="e">
        <f ca="1">IF(CS335&lt;=Hypothèses!$V$7,Hypothèses!$W$7,IF(CS335&lt;=Hypothèses!$V$8,Hypothèses!$W$8,IF(CS335&lt;=Hypothèses!$V$9,Hypothèses!$W$9,IF(CS335&lt;=Hypothèses!$V$10,Hypothèses!$W$10,IF(CS335&lt;=Hypothèses!$V$11,Hypothèses!$W$11,IF(CS335&lt;=Hypothèses!$V$12,Hypothèses!$W$12,IF(CS335&lt;=Hypothèses!$V$13,Hypothèses!$W$13,IF(CS335&lt;=Hypothèses!$V$14,Hypothèses!$W$14,IF(CS335&lt;=Hypothèses!$V$15,Hypothèses!$W$15,IF(CS335&lt;=Hypothèses!$V$16,Hypothèses!$W$16,IF(CS335&lt;=Hypothèses!$V$17,Hypothèses!$W$17,IF(CS335&lt;=Hypothèses!$V$18,Hypothèses!$W$18,""))))))))))))</f>
        <v>#DIV/0!</v>
      </c>
      <c r="DN335" s="87" t="e">
        <f t="shared" ca="1" si="521"/>
        <v>#DIV/0!</v>
      </c>
      <c r="DO335" s="88" t="e">
        <f ca="1">IF(CS335&lt;=Hypothèses!$V$7,Hypothèses!$X$7,IF(CS335&lt;=Hypothèses!$V$8,Hypothèses!$X$8,IF(CS335&lt;=Hypothèses!$V$9,Hypothèses!$X$9,IF(CS335&lt;=Hypothèses!$V$10,Hypothèses!$X$10,IF(CS335&lt;=Hypothèses!$V$11,Hypothèses!$X$11,IF(CS335&lt;=Hypothèses!$V$12,Hypothèses!$X$12,IF(CS335&lt;=Hypothèses!$V$13,Hypothèses!$X$13,IF(CS335&lt;=Hypothèses!$V$14,Hypothèses!$X$14,IF(CS335&lt;=Hypothèses!$V$15,Hypothèses!$X$15,IF(CS335&lt;=Hypothèses!$V$16,Hypothèses!$X$16,IF(CS335&lt;=Hypothèses!$U$17,Hypothèses!$W$17,IF(CS335&lt;=Hypothèses!$U$18,Hypothèses!$W$18,""))))))))))))</f>
        <v>#DIV/0!</v>
      </c>
      <c r="DP335" s="95" t="e">
        <f t="shared" ref="DP335:DP363" ca="1" si="589">IF($B335&lt;10*$DZ$12,0.1/DN335*SUM(OFFSET(F335,-10*$B335+1,0,10*$B335,1)),0.1/DN335*SUM(OFFSET(F335,-100*$DZ$12+1,0,100*$DZ$12,1)))</f>
        <v>#DIV/0!</v>
      </c>
      <c r="DQ335" s="101">
        <f t="shared" si="528"/>
        <v>0</v>
      </c>
      <c r="DR335" s="91">
        <f t="shared" si="556"/>
        <v>0</v>
      </c>
      <c r="DS335" s="30" t="e">
        <f t="shared" si="510"/>
        <v>#N/A</v>
      </c>
      <c r="DT335" s="30" t="e">
        <f t="shared" si="511"/>
        <v>#N/A</v>
      </c>
      <c r="DU335" s="31" t="e">
        <f>IF(OR(Hypothèses!$B$4=17,Hypothèses!$B$4=18,Hypothèses!$B$4=19,Hypothèses!$B$4=20),
IF($D335="Pressio.",
IF(OR($E335=3,$E335=1,$E335=4),DT335,DS335),
IF($D335="Pénétro.",
IF(OR($E335=3,$E335=1,$E335=4),DT335,DS335))),IF($D335="Pressio.",
IF($E335=3,DT335,DS335),
IF($D335="Pénétro.",
IF($E335=4,DT335,DS335))))</f>
        <v>#N/A</v>
      </c>
      <c r="DV335" s="31">
        <v>0</v>
      </c>
      <c r="DW335" s="102" t="e">
        <f>IF(NDC!$H$10="Oui",(VLOOKUP($B$3,'Coeff EC7'!$T$39:$X$59,2,0)*DU335+VLOOKUP($B$3,'Coeff EC7'!$T$65:$X$85,2,0)*Model0.1T!DV335)/1.5,PI()*DS$12*$Q335*($B335-$B334)*0.15/10+DW334)</f>
        <v>#N/A</v>
      </c>
      <c r="DX335" s="102" t="e">
        <f>(VLOOKUP($B$3,'Coeff EC7'!$T$39:$X$59,3,0)*DU335+VLOOKUP($B$3,'Coeff EC7'!$T$65:$X$85,3,0)*Model0.1T!DV335)/1.1</f>
        <v>#N/A</v>
      </c>
      <c r="DY335" s="102" t="e">
        <f t="shared" ref="DY335:DY363" si="590">DU335/1.15+DV335/1.15</f>
        <v>#N/A</v>
      </c>
      <c r="DZ335" s="102" t="e">
        <f t="shared" ref="DZ335:DZ363" si="591">(DU335+DV335)/1.05</f>
        <v>#N/A</v>
      </c>
      <c r="EA335" s="414" t="e">
        <f>IF(AND(DW335&gt;NDC!$C$63,DX335&gt;NDC!$C$65,DY335&gt;NDC!$D$73,DZ335&gt;NDC!$D$74,$B335&gt;NDC!$H$22-0.1+MIN(3*EA$12,1.5)),0,1)</f>
        <v>#N/A</v>
      </c>
      <c r="EB335" s="86" t="b">
        <f t="shared" si="557"/>
        <v>0</v>
      </c>
      <c r="EC335" s="418">
        <f t="shared" si="558"/>
        <v>0.51</v>
      </c>
      <c r="ED335" s="86">
        <f t="shared" si="559"/>
        <v>0.51</v>
      </c>
      <c r="EE335" s="30" t="e">
        <f t="shared" ref="EE335:EE363" ca="1" si="592">AVERAGE(OFFSET($F335, -10*ED335, 0,10*ED335, 1), OFFSET($F335, 1, 0, 30*EC335, 1))</f>
        <v>#DIV/0!</v>
      </c>
      <c r="EF335" s="85" t="e">
        <f ca="1">IF(DL335&lt;=Hypothèses!$V$7,Hypothèses!$W$7,IF(DL335&lt;=Hypothèses!$V$8,Hypothèses!$W$8,IF(DL335&lt;=Hypothèses!$V$9,Hypothèses!$W$9,IF(DL335&lt;=Hypothèses!$V$10,Hypothèses!$W$10,IF(DL335&lt;=Hypothèses!$V$11,Hypothèses!$W$11,IF(DL335&lt;=Hypothèses!$V$12,Hypothèses!$W$12,IF(DL335&lt;=Hypothèses!$V$13,Hypothèses!$W$13,IF(DL335&lt;=Hypothèses!$V$14,Hypothèses!$W$14,IF(DL335&lt;=Hypothèses!$V$15,Hypothèses!$W$15,IF(DL335&lt;=Hypothèses!$V$16,Hypothèses!$W$16,IF(DL335&lt;=Hypothèses!$V$17,Hypothèses!$W$17,IF(DL335&lt;=Hypothèses!$V$18,Hypothèses!$W$18,""))))))))))))</f>
        <v>#DIV/0!</v>
      </c>
      <c r="EG335" s="87" t="e">
        <f t="shared" ca="1" si="522"/>
        <v>#DIV/0!</v>
      </c>
      <c r="EH335" s="88" t="e">
        <f ca="1">IF(DL335&lt;=Hypothèses!$V$7,Hypothèses!$X$7,IF(DL335&lt;=Hypothèses!$V$8,Hypothèses!$X$8,IF(DL335&lt;=Hypothèses!$V$9,Hypothèses!$X$9,IF(DL335&lt;=Hypothèses!$V$10,Hypothèses!$X$10,IF(DL335&lt;=Hypothèses!$V$11,Hypothèses!$X$11,IF(DL335&lt;=Hypothèses!$V$12,Hypothèses!$X$12,IF(DL335&lt;=Hypothèses!$V$13,Hypothèses!$X$13,IF(DL335&lt;=Hypothèses!$V$14,Hypothèses!$X$14,IF(DL335&lt;=Hypothèses!$V$15,Hypothèses!$X$15,IF(DL335&lt;=Hypothèses!$V$16,Hypothèses!$X$16,IF(DL335&lt;=Hypothèses!$U$17,Hypothèses!$W$17,IF(DL335&lt;=Hypothèses!$U$18,Hypothèses!$W$18,""))))))))))))</f>
        <v>#DIV/0!</v>
      </c>
      <c r="EI335" s="95" t="e">
        <f t="shared" ref="EI335:EI363" ca="1" si="593">IF($B335&lt;10*$ES$12,0.1/EG335*SUM(OFFSET(F335,-10*$B335+1,0,10*$B335,1)),0.1/EG335*SUM(OFFSET(F335,-100*$ES$12+1,0,100*$ES$12,1)))</f>
        <v>#DIV/0!</v>
      </c>
      <c r="EJ335" s="101">
        <f t="shared" si="529"/>
        <v>0</v>
      </c>
      <c r="EK335" s="91">
        <f t="shared" si="560"/>
        <v>0</v>
      </c>
      <c r="EL335" s="30" t="e">
        <f t="shared" si="512"/>
        <v>#N/A</v>
      </c>
      <c r="EM335" s="30" t="e">
        <f t="shared" si="513"/>
        <v>#N/A</v>
      </c>
      <c r="EN335" s="31" t="e">
        <f>IF(OR(Hypothèses!$B$4=17,Hypothèses!$B$4=18,Hypothèses!$B$4=19,Hypothèses!$B$4=20),
IF($D335="Pressio.",
IF(OR($E335=3,$E335=1,$E335=4),EM335,EL335),
IF($D335="Pénétro.",
IF(OR($E335=3,$E335=1,$E335=4),EM335,EL335))),IF($D335="Pressio.",
IF($E335=3,EM335,EL335),
IF($D335="Pénétro.",
IF($E335=4,EM335,EL335))))</f>
        <v>#N/A</v>
      </c>
      <c r="EO335" s="31">
        <v>0</v>
      </c>
      <c r="EP335" s="102" t="e">
        <f>IF(NDC!$H$10="Oui",(VLOOKUP($B$3,'Coeff EC7'!$T$39:$X$59,2,0)*EN335+VLOOKUP($B$3,'Coeff EC7'!$T$65:$X$85,2,0)*Model0.1T!EO335)/1.5,PI()*EL$12*$Q335*($B335-$B334)*0.15/10+EP334)</f>
        <v>#N/A</v>
      </c>
      <c r="EQ335" s="102" t="e">
        <f>(VLOOKUP($B$3,'Coeff EC7'!$T$39:$X$59,3,0)*EN335+VLOOKUP($B$3,'Coeff EC7'!$T$65:$X$85,3,0)*Model0.1T!EO335)/1.1</f>
        <v>#N/A</v>
      </c>
      <c r="ER335" s="102" t="e">
        <f t="shared" ref="ER335:ER363" si="594">EN335/1.15+EO335/1.15</f>
        <v>#N/A</v>
      </c>
      <c r="ES335" s="102" t="e">
        <f t="shared" ref="ES335:ES363" si="595">(EN335+EO335)/1.05</f>
        <v>#N/A</v>
      </c>
      <c r="ET335" s="414" t="e">
        <f>IF(AND(EP335&gt;NDC!$C$63,EQ335&gt;NDC!$C$65,ER335&gt;NDC!$D$73,ES335&gt;NDC!$D$74,$B335&gt;NDC!$H$22-0.1+MIN(3*ET$12,1.5)),0,1)</f>
        <v>#N/A</v>
      </c>
      <c r="EU335" s="86" t="b">
        <f t="shared" si="561"/>
        <v>0</v>
      </c>
      <c r="EV335" s="86">
        <f t="shared" si="562"/>
        <v>0.61</v>
      </c>
      <c r="EW335" s="86">
        <f t="shared" si="563"/>
        <v>0.61</v>
      </c>
      <c r="EX335" s="30" t="e">
        <f t="shared" ref="EX335:EX363" ca="1" si="596">AVERAGE(OFFSET($F335, -10*EW335, 0,10*EW335, 1), OFFSET($F335, 1, 0, 30*EV335, 1))</f>
        <v>#DIV/0!</v>
      </c>
      <c r="EY335" s="85" t="e">
        <f ca="1">IF(EE335&lt;=Hypothèses!$V$7,Hypothèses!$W$7,IF(EE335&lt;=Hypothèses!$V$8,Hypothèses!$W$8,IF(EE335&lt;=Hypothèses!$V$9,Hypothèses!$W$9,IF(EE335&lt;=Hypothèses!$V$10,Hypothèses!$W$10,IF(EE335&lt;=Hypothèses!$V$11,Hypothèses!$W$11,IF(EE335&lt;=Hypothèses!$V$12,Hypothèses!$W$12,IF(EE335&lt;=Hypothèses!$V$13,Hypothèses!$W$13,IF(EE335&lt;=Hypothèses!$V$14,Hypothèses!$W$14,IF(EE335&lt;=Hypothèses!$V$15,Hypothèses!$W$15,IF(EE335&lt;=Hypothèses!$V$16,Hypothèses!$W$16,IF(EE335&lt;=Hypothèses!$V$17,Hypothèses!$W$17,IF(EE335&lt;=Hypothèses!$V$18,Hypothèses!$W$18,""))))))))))))</f>
        <v>#DIV/0!</v>
      </c>
      <c r="EZ335" s="87" t="e">
        <f t="shared" ca="1" si="523"/>
        <v>#DIV/0!</v>
      </c>
      <c r="FA335" s="88" t="e">
        <f ca="1">IF(EE335&lt;=Hypothèses!$V$7,Hypothèses!$X$7,IF(EE335&lt;=Hypothèses!$V$8,Hypothèses!$X$8,IF(EE335&lt;=Hypothèses!$V$9,Hypothèses!$X$9,IF(EE335&lt;=Hypothèses!$V$10,Hypothèses!$X$10,IF(EE335&lt;=Hypothèses!$V$11,Hypothèses!$X$11,IF(EE335&lt;=Hypothèses!$V$12,Hypothèses!$X$12,IF(EE335&lt;=Hypothèses!$V$13,Hypothèses!$X$13,IF(EE335&lt;=Hypothèses!$V$14,Hypothèses!$X$14,IF(EE335&lt;=Hypothèses!$V$15,Hypothèses!$X$15,IF(EE335&lt;=Hypothèses!$V$16,Hypothèses!$X$16,IF(EE335&lt;=Hypothèses!$U$17,Hypothèses!$W$17,IF(EE335&lt;=Hypothèses!$U$18,Hypothèses!$W$18,""))))))))))))</f>
        <v>#DIV/0!</v>
      </c>
      <c r="FB335" s="95" t="e">
        <f t="shared" ref="FB335:FB363" ca="1" si="597">IF($B335&lt;10*$FL$12,0.1/EZ335*SUM(OFFSET(F335,-10*$B335+1,0,10*$B335,1)),0.1/EZ335*SUM(OFFSET(F335,-100*$FL$12+1,0,100*$FL$12,1)))</f>
        <v>#DIV/0!</v>
      </c>
      <c r="FC335" s="101">
        <f t="shared" si="530"/>
        <v>0</v>
      </c>
      <c r="FD335" s="91">
        <f t="shared" si="564"/>
        <v>0</v>
      </c>
      <c r="FE335" s="30" t="e">
        <f t="shared" si="514"/>
        <v>#N/A</v>
      </c>
      <c r="FF335" s="30" t="e">
        <f t="shared" si="515"/>
        <v>#N/A</v>
      </c>
      <c r="FG335" s="31" t="e">
        <f>IF(OR(Hypothèses!$B$4=17,Hypothèses!$B$4=18,Hypothèses!$B$4=19,Hypothèses!$B$4=20),
IF($D335="Pressio.",
IF(OR($E335=3,$E335=1,$E335=4),FF335,FE335),
IF($D335="Pénétro.",
IF(OR($E335=3,$E335=1,$E335=4),FF335,FE335))),IF($D335="Pressio.",
IF($E335=3,FF335,FE335),
IF($D335="Pénétro.",
IF($E335=4,FF335,FE335))))</f>
        <v>#N/A</v>
      </c>
      <c r="FH335" s="31">
        <v>0</v>
      </c>
      <c r="FI335" s="102" t="e">
        <f>IF(NDC!$H$10="Oui",(VLOOKUP($B$3,'Coeff EC7'!$T$39:$X$59,2,0)*FG335+VLOOKUP($B$3,'Coeff EC7'!$T$65:$X$85,2,0)*Model0.1T!FH335)/1.5,PI()*FE$12*$Q335*($B335-$B334)*0.15/10+FI334)</f>
        <v>#N/A</v>
      </c>
      <c r="FJ335" s="102" t="e">
        <f>(VLOOKUP($B$3,'Coeff EC7'!$T$39:$X$59,3,0)*FG335+VLOOKUP($B$3,'Coeff EC7'!$T$65:$X$85,3,0)*Model0.1T!FH335)/1.1</f>
        <v>#N/A</v>
      </c>
      <c r="FK335" s="102" t="e">
        <f t="shared" ref="FK335:FK363" si="598">FG335/1.15+FH335/1.15</f>
        <v>#N/A</v>
      </c>
      <c r="FL335" s="102" t="e">
        <f t="shared" ref="FL335:FL363" si="599">(FG335+FH335)/1.05</f>
        <v>#N/A</v>
      </c>
      <c r="FM335" s="414" t="e">
        <f>IF(AND(FI335&gt;NDC!$C$63,FJ335&gt;NDC!$C$65,FK335&gt;NDC!$D$73,FL335&gt;NDC!$D$74,$B335&gt;NDC!$H$22-0.1+MIN(3*FM$12,1.5)),0,1)</f>
        <v>#N/A</v>
      </c>
    </row>
    <row r="336" spans="1:169">
      <c r="A336" s="96">
        <f t="shared" si="565"/>
        <v>67.700000000001836</v>
      </c>
      <c r="B336" s="97">
        <v>32.299999999999997</v>
      </c>
      <c r="C336" s="81">
        <f>IF(B336&lt;=Hypothèses!$C$7,Hypothèses!$A$7,IF(B336&lt;=Hypothèses!$C$8,Hypothèses!$A$8,IF(B336&lt;=Hypothèses!$C$9,Hypothèses!$A$9,IF(B336&lt;=Hypothèses!$C$10,Hypothèses!$A$10,IF(B336&lt;=Hypothèses!$C$11,Hypothèses!$A$11,IF(B336&lt;=Hypothèses!$C$12,Hypothèses!$A$12,IF(B336&lt;=Hypothèses!$C$13,Hypothèses!$A$13,IF(B336&lt;=Hypothèses!$C$14,Hypothèses!$A$14,IF(B336&lt;=Hypothèses!$C$15,Hypothèses!$A$15,IF(B336&lt;=Hypothèses!$C$16,Hypothèses!$A$16,IF(B336&lt;=Hypothèses!$C$17,Hypothèses!$A$17,IF(B336&lt;=Hypothèses!$C$18,Hypothèses!$A$18,C335))))))))))))</f>
        <v>11</v>
      </c>
      <c r="D336" s="82" t="str">
        <f>IF(B336&lt;=Hypothèses!$C$7,Hypothèses!$R$7,IF(B336&lt;=Hypothèses!$C$8,Hypothèses!$R$8,IF(B336&lt;=Hypothèses!$C$9,Hypothèses!$R$9,IF(B336&lt;=Hypothèses!$C$10,Hypothèses!$R$10,IF(B336&lt;=Hypothèses!$C$11,Hypothèses!$R$11,IF(B336&lt;=Hypothèses!$C$12,Hypothèses!$R$12,IF(B336&lt;=Hypothèses!$C$13,Hypothèses!$R$13,IF(B336&lt;=Hypothèses!$C$14,Hypothèses!$R$14,IF(B336&lt;=Hypothèses!$C$15,Hypothèses!$R$15,IF(B336&lt;=Hypothèses!$C$16,Hypothèses!$R$16,IF(B336&lt;=Hypothèses!$C$17,Hypothèses!$R$17,IF(B336&lt;=Hypothèses!$C$18,Hypothèses!$R$18,D335))))))))))))</f>
        <v>Pressio.</v>
      </c>
      <c r="E336" s="82" t="e">
        <f>IF(B336&lt;=Hypothèses!$C$7,Hypothèses!$G$7,IF(B336&lt;=Hypothèses!$C$8,Hypothèses!$G$8,IF(B336&lt;=Hypothèses!$C$9,Hypothèses!$G$9,IF(B336&lt;=Hypothèses!$C$10,Hypothèses!$G$10,IF(B336&lt;=Hypothèses!$C$11,Hypothèses!$G$11,IF(B336&lt;=Hypothèses!$C$12,Hypothèses!$G$12,IF(B336&lt;=Hypothèses!$C$13,Hypothèses!$G$13,IF(B336&lt;=Hypothèses!$C$14,Hypothèses!$G$14,IF(B336&lt;=Hypothèses!$C$15,Hypothèses!$G$15,IF(B336&lt;=Hypothèses!$C$16,Hypothèses!$G$16,IF(B336&lt;=Hypothèses!$C$17,Hypothèses!$G$17,IF(B336&lt;=Hypothèses!$C$18,Hypothèses!$G$18,E335))))))))))))</f>
        <v>#N/A</v>
      </c>
      <c r="F336" s="82" t="str">
        <f>IF(B336&lt;=Hypothèses!$C$7,Hypothèses!$F$7,IF(B336&lt;=Hypothèses!$C$8,Hypothèses!$F$8,IF(B336&lt;=Hypothèses!$C$9,Hypothèses!$F$9,IF(B336&lt;=Hypothèses!$C$10,Hypothèses!$F$10,IF(B336&lt;=Hypothèses!$C$11,Hypothèses!$F$11,IF(B336&lt;=Hypothèses!$C$12,Hypothèses!$F$12,IF(B336&lt;=Hypothèses!$C$13,Hypothèses!$F$13,IF(B336&lt;=Hypothèses!$C$14,Hypothèses!$F$14,IF(B336&lt;=Hypothèses!$C$15,Hypothèses!$F$15,IF(B336&lt;=Hypothèses!$C$16,Hypothèses!$F$16,IF(B336&lt;=Hypothèses!$C$17,Hypothèses!$F$17,IF(B336&lt;=Hypothèses!$C$18,Hypothèses!$F$18,F335))))))))))))</f>
        <v/>
      </c>
      <c r="G336" s="91">
        <f t="array" ref="G336">INDEX('Coeff EC7'!$U$7:$X$27,
MATCH(Model0.1T!$B$3,'Coeff EC7'!$T$7:$T$27,0),
MATCH(Model0.1T!$D336&amp;Model0.1T!$B$4,
'Coeff EC7'!$U$6:$X$6&amp;
'Coeff EC7'!$U$5:$X$5,0))</f>
        <v>1.4</v>
      </c>
      <c r="H336" s="91">
        <f t="array" ref="H336">INDEX('Coeff EC7'!$Y$7:$AB$27,
MATCH(Model0.1T!$B$3,'Coeff EC7'!$T$7:$T$27,0),
MATCH(Model0.1T!$D336&amp;Model0.1T!$B$4,
'Coeff EC7'!$Y$6:$AB$6&amp;
'Coeff EC7'!$Y$5:$AB$5,0))</f>
        <v>1.7</v>
      </c>
      <c r="I336" s="83">
        <v>0</v>
      </c>
      <c r="J336" s="91" t="e">
        <f t="array" ref="J336">INDEX('Coeff EC7'!$D$33:$Q$33,1,MATCH(D336&amp;E336,'Coeff EC7'!$D$31:$Q$31&amp;'Coeff EC7'!$D$32:$Q$32,0))</f>
        <v>#N/A</v>
      </c>
      <c r="K336" s="91" t="e">
        <f t="array" ref="K336">INDEX('Coeff EC7'!$D$34:$Q$34,1,MATCH(D336&amp;E336,'Coeff EC7'!$D$31:$Q$31&amp;'Coeff EC7'!$D$32:$Q$32,0))</f>
        <v>#N/A</v>
      </c>
      <c r="L336" s="91" t="e">
        <f t="array" ref="L336">INDEX('Coeff EC7'!$D$35:$Q$35,1,MATCH(D336&amp;E336,'Coeff EC7'!$D$31:$Q$31&amp;'Coeff EC7'!$D$32:$Q$32,0))</f>
        <v>#N/A</v>
      </c>
      <c r="M336" s="98" t="e">
        <f t="shared" si="531"/>
        <v>#N/A</v>
      </c>
      <c r="N336" s="99" t="e">
        <f t="array" ref="N336">INDEX('Coeff EC7'!$D$7:$Q$27,MATCH($B$3,'Coeff EC7'!$C$7:$C$27,0),MATCH(D336&amp;E336,'Coeff EC7'!$D$5:$Q$5&amp;'Coeff EC7'!$D$6:$Q$6,0))</f>
        <v>#N/A</v>
      </c>
      <c r="O336" s="99" t="e">
        <f t="array" ref="O336">INDEX('Coeff EC7'!$D$41:$Q$61,MATCH($B$3,'Coeff EC7'!$C$41:$C$61,0),MATCH(D336&amp;E336,'Coeff EC7'!$D$39:$Q$39&amp;'Coeff EC7'!$D$40:$Q$40,0))</f>
        <v>#N/A</v>
      </c>
      <c r="P336" s="30" t="e">
        <f t="shared" si="566"/>
        <v>#N/A</v>
      </c>
      <c r="Q336" s="100" t="e">
        <f t="shared" si="533"/>
        <v>#N/A</v>
      </c>
      <c r="R336" s="86" t="b">
        <f t="shared" si="534"/>
        <v>0</v>
      </c>
      <c r="S336" s="86">
        <f t="shared" si="532"/>
        <v>0.5</v>
      </c>
      <c r="T336" s="86">
        <f t="shared" si="535"/>
        <v>0.5</v>
      </c>
      <c r="U336" s="30" t="e">
        <f t="shared" ca="1" si="567"/>
        <v>#DIV/0!</v>
      </c>
      <c r="V336" s="85" t="str">
        <f>IF(B336&lt;=Hypothèses!$V$7,Hypothèses!$W$7,IF(B336&lt;=Hypothèses!$V$8,Hypothèses!$W$8,IF(B336&lt;=Hypothèses!$V$9,Hypothèses!$W$9,IF(B336&lt;=Hypothèses!$V$10,Hypothèses!$W$10,IF(B336&lt;=Hypothèses!$V$11,Hypothèses!$W$11,IF(B336&lt;=Hypothèses!$V$12,Hypothèses!$W$12,IF(B336&lt;=Hypothèses!$V$13,Hypothèses!$W$13,IF(B336&lt;=Hypothèses!$V$14,Hypothèses!$W$14,IF(B336&lt;=Hypothèses!$V$15,Hypothèses!$W$15,IF(B336&lt;=Hypothèses!$V$16,Hypothèses!$W$16,IF(B336&lt;=Hypothèses!$V$17,Hypothèses!$W$17,IF(B336&lt;=Hypothèses!$V$18,Hypothèses!$W$18,""))))))))))))</f>
        <v/>
      </c>
      <c r="W336" s="87" t="e">
        <f t="shared" ca="1" si="516"/>
        <v>#DIV/0!</v>
      </c>
      <c r="X336" s="88" t="str">
        <f>IF(B336&lt;=Hypothèses!$V$7,Hypothèses!$X$7,IF(B336&lt;=Hypothèses!$V$8,Hypothèses!$X$8,IF(B336&lt;=Hypothèses!$V$9,Hypothèses!$X$9,IF(B336&lt;=Hypothèses!$V$10,Hypothèses!$X$10,IF(B336&lt;=Hypothèses!$V$11,Hypothèses!$X$11,IF(B336&lt;=Hypothèses!$V$12,Hypothèses!$X$12,IF(B336&lt;=Hypothèses!$V$13,Hypothèses!$X$13,IF(B336&lt;=Hypothèses!$V$14,Hypothèses!$X$14,IF(B336&lt;=Hypothèses!$V$15,Hypothèses!$X$15,IF(B336&lt;=Hypothèses!$V$16,Hypothèses!$X$16,IF(B336&lt;=Hypothèses!$U$17,Hypothèses!$W$17,IF(B336&lt;=Hypothèses!$U$18,Hypothèses!$W$18,""))))))))))))</f>
        <v/>
      </c>
      <c r="Y336" s="95" t="e">
        <f t="shared" ca="1" si="536"/>
        <v>#DIV/0!</v>
      </c>
      <c r="Z336" s="101">
        <f t="shared" si="537"/>
        <v>0</v>
      </c>
      <c r="AA336" s="91">
        <f t="shared" si="538"/>
        <v>0</v>
      </c>
      <c r="AB336" s="30" t="e">
        <f t="shared" ref="AB336:AB363" si="600">PI()*AB$12*$Q336*($B336-$B335)/($G336*$B$5)/10+AD335</f>
        <v>#N/A</v>
      </c>
      <c r="AC336" s="30" t="e">
        <f t="shared" ref="AC336:AC363" si="601">(PI()*AC$12*$Q336*($B336-$B335))/($H336*$B$5)/10+AD335</f>
        <v>#N/A</v>
      </c>
      <c r="AD336" s="31" t="e">
        <f>IF(OR(Hypothèses!$B$4=17,Hypothèses!$B$4=18,Hypothèses!$B$4=19,Hypothèses!$B$4=20),
IF($D336="Pressio.",
IF(OR($E336=3,$E336=1,$E336=4),AC336,AB336),
IF($D336="Pénétro.",
IF(OR($E336=3,$E336=1,$E336=4),AC336,AB336))),IF($D336="Pressio.",
IF($E336=3,AC336,AB336),
IF($D336="Pénétro.",
IF($E336=4,AC336,AB336))))</f>
        <v>#N/A</v>
      </c>
      <c r="AE336" s="31">
        <v>0</v>
      </c>
      <c r="AF336" s="102" t="e">
        <f>IF(NDC!$H$10="Oui",(VLOOKUP($B$3,'Coeff EC7'!$T$39:$X$59,2,0)*AD336+VLOOKUP($B$3,'Coeff EC7'!$T$65:$X$85,2,0)*Model0.1T!AE336)/1.5,PI()*AB$12*$Q336*($B336-$B335)*0.15/10+AF335)</f>
        <v>#N/A</v>
      </c>
      <c r="AG336" s="102" t="e">
        <f>(VLOOKUP($B$3,'Coeff EC7'!$T$39:$X$59,3,0)*AD336+VLOOKUP($B$3,'Coeff EC7'!$T$65:$X$85,3,0)*Model0.1T!AE336)/1.1</f>
        <v>#N/A</v>
      </c>
      <c r="AH336" s="102" t="e">
        <f t="shared" si="568"/>
        <v>#N/A</v>
      </c>
      <c r="AI336" s="102" t="e">
        <f t="shared" si="569"/>
        <v>#N/A</v>
      </c>
      <c r="AJ336" s="414" t="e">
        <f>IF(AND(AF336&gt;NDC!$C$63,AG336&gt;NDC!$C$65,AH336&gt;NDC!$D$73,AI336&gt;NDC!$D$74,$B336&gt;NDC!$H$22-0.1+MIN(3*$AJ$12,1.5)),0,1)</f>
        <v>#N/A</v>
      </c>
      <c r="AK336" s="86" t="b">
        <f t="shared" si="539"/>
        <v>0</v>
      </c>
      <c r="AL336" s="86">
        <f t="shared" si="570"/>
        <v>0.5</v>
      </c>
      <c r="AM336" s="86">
        <f t="shared" si="540"/>
        <v>0.5</v>
      </c>
      <c r="AN336" s="30" t="e">
        <f t="shared" ca="1" si="571"/>
        <v>#DIV/0!</v>
      </c>
      <c r="AO336" s="85" t="e">
        <f ca="1">IF(U336&lt;=Hypothèses!$V$7,Hypothèses!$W$7,IF(U336&lt;=Hypothèses!$V$8,Hypothèses!$W$8,IF(U336&lt;=Hypothèses!$V$9,Hypothèses!$W$9,IF(U336&lt;=Hypothèses!$V$10,Hypothèses!$W$10,IF(U336&lt;=Hypothèses!$V$11,Hypothèses!$W$11,IF(U336&lt;=Hypothèses!$V$12,Hypothèses!$W$12,IF(U336&lt;=Hypothèses!$V$13,Hypothèses!$W$13,IF(U336&lt;=Hypothèses!$V$14,Hypothèses!$W$14,IF(U336&lt;=Hypothèses!$V$15,Hypothèses!$W$15,IF(U336&lt;=Hypothèses!$V$16,Hypothèses!$W$16,IF(U336&lt;=Hypothèses!$V$17,Hypothèses!$W$17,IF(U336&lt;=Hypothèses!$V$18,Hypothèses!$W$18,""))))))))))))</f>
        <v>#DIV/0!</v>
      </c>
      <c r="AP336" s="87" t="e">
        <f t="shared" ca="1" si="517"/>
        <v>#DIV/0!</v>
      </c>
      <c r="AQ336" s="88" t="e">
        <f ca="1">IF(U336&lt;=Hypothèses!$V$7,Hypothèses!$X$7,IF(U336&lt;=Hypothèses!$V$8,Hypothèses!$X$8,IF(U336&lt;=Hypothèses!$V$9,Hypothèses!$X$9,IF(U336&lt;=Hypothèses!$V$10,Hypothèses!$X$10,IF(U336&lt;=Hypothèses!$V$11,Hypothèses!$X$11,IF(U336&lt;=Hypothèses!$V$12,Hypothèses!$X$12,IF(U336&lt;=Hypothèses!$V$13,Hypothèses!$X$13,IF(U336&lt;=Hypothèses!$V$14,Hypothèses!$X$14,IF(U336&lt;=Hypothèses!$V$15,Hypothèses!$X$15,IF(U336&lt;=Hypothèses!$V$16,Hypothèses!$X$16,IF(U336&lt;=Hypothèses!$U$17,Hypothèses!$W$17,IF(U336&lt;=Hypothèses!$U$18,Hypothèses!$W$18,""))))))))))))</f>
        <v>#DIV/0!</v>
      </c>
      <c r="AR336" s="95" t="e">
        <f t="shared" ca="1" si="572"/>
        <v>#DIV/0!</v>
      </c>
      <c r="AS336" s="101">
        <f t="shared" si="524"/>
        <v>0</v>
      </c>
      <c r="AT336" s="91">
        <f t="shared" si="541"/>
        <v>0</v>
      </c>
      <c r="AU336" s="30" t="e">
        <f t="shared" ref="AU336:AU363" si="602">PI()*AU$12*$Q336*($B336-$B335)/($G336*$B$5)/10+AW335</f>
        <v>#N/A</v>
      </c>
      <c r="AV336" s="30" t="e">
        <f t="shared" ref="AV336:AV363" si="603">(PI()*AV$12*$Q336*($B336-$B335))/($H336*$B$5)/10+AW335</f>
        <v>#N/A</v>
      </c>
      <c r="AW336" s="31" t="e">
        <f>IF(OR(Hypothèses!$B$4=17,Hypothèses!$B$4=18,Hypothèses!$B$4=19,Hypothèses!$B$4=20),
IF($D336="Pressio.",
IF(OR($E336=3,$E336=1,$E336=4),AV336,AU336),
IF($D336="Pénétro.",
IF(OR($E336=3,$E336=1,$E336=4),AV336,AU336))),IF($D336="Pressio.",
IF($E336=3,AV336,AU336),
IF($D336="Pénétro.",
IF($E336=4,AV336,AU336))))</f>
        <v>#N/A</v>
      </c>
      <c r="AX336" s="31">
        <v>0</v>
      </c>
      <c r="AY336" s="102" t="e">
        <f>IF(NDC!$H$10="Oui",(VLOOKUP($B$3,'Coeff EC7'!$T$39:$X$59,2,0)*AW336+VLOOKUP($B$3,'Coeff EC7'!$T$65:$X$85,2,0)*Model0.1T!AX336)/1.5,PI()*AU$12*$Q336*($B336-$B335)*0.15/10+AY335)</f>
        <v>#N/A</v>
      </c>
      <c r="AZ336" s="102" t="e">
        <f>(VLOOKUP($B$3,'Coeff EC7'!$T$39:$X$59,3,0)*AW336+VLOOKUP($B$3,'Coeff EC7'!$T$65:$X$85,3,0)*Model0.1T!AX336)/1.1</f>
        <v>#N/A</v>
      </c>
      <c r="BA336" s="102" t="e">
        <f t="shared" si="573"/>
        <v>#N/A</v>
      </c>
      <c r="BB336" s="102" t="e">
        <f t="shared" si="574"/>
        <v>#N/A</v>
      </c>
      <c r="BC336" s="414" t="e">
        <f>IF(AND(AY336&gt;NDC!$C$63,AZ336&gt;NDC!$C$65,BA336&gt;NDC!$D$73,BB336&gt;NDC!$D$74,$B336&gt;NDC!$H$22-0.1+MIN(3*BC$12,1.5)),0,1)</f>
        <v>#N/A</v>
      </c>
      <c r="BD336" s="86" t="b">
        <f t="shared" si="542"/>
        <v>0</v>
      </c>
      <c r="BE336" s="86">
        <f t="shared" si="575"/>
        <v>0.5</v>
      </c>
      <c r="BF336" s="86">
        <f t="shared" si="543"/>
        <v>0.5</v>
      </c>
      <c r="BG336" s="30" t="e">
        <f t="shared" ca="1" si="576"/>
        <v>#DIV/0!</v>
      </c>
      <c r="BH336" s="85" t="e">
        <f ca="1">IF(AN336&lt;=Hypothèses!$V$7,Hypothèses!$W$7,IF(AN336&lt;=Hypothèses!$V$8,Hypothèses!$W$8,IF(AN336&lt;=Hypothèses!$V$9,Hypothèses!$W$9,IF(AN336&lt;=Hypothèses!$V$10,Hypothèses!$W$10,IF(AN336&lt;=Hypothèses!$V$11,Hypothèses!$W$11,IF(AN336&lt;=Hypothèses!$V$12,Hypothèses!$W$12,IF(AN336&lt;=Hypothèses!$V$13,Hypothèses!$W$13,IF(AN336&lt;=Hypothèses!$V$14,Hypothèses!$W$14,IF(AN336&lt;=Hypothèses!$V$15,Hypothèses!$W$15,IF(AN336&lt;=Hypothèses!$V$16,Hypothèses!$W$16,IF(AN336&lt;=Hypothèses!$V$17,Hypothèses!$W$17,IF(AN336&lt;=Hypothèses!$V$18,Hypothèses!$W$18,""))))))))))))</f>
        <v>#DIV/0!</v>
      </c>
      <c r="BI336" s="87" t="e">
        <f t="shared" ca="1" si="518"/>
        <v>#DIV/0!</v>
      </c>
      <c r="BJ336" s="88" t="e">
        <f ca="1">IF(AN336&lt;=Hypothèses!$V$7,Hypothèses!$X$7,IF(AN336&lt;=Hypothèses!$V$8,Hypothèses!$X$8,IF(AN336&lt;=Hypothèses!$V$9,Hypothèses!$X$9,IF(AN336&lt;=Hypothèses!$V$10,Hypothèses!$X$10,IF(AN336&lt;=Hypothèses!$V$11,Hypothèses!$X$11,IF(AN336&lt;=Hypothèses!$V$12,Hypothèses!$X$12,IF(AN336&lt;=Hypothèses!$V$13,Hypothèses!$X$13,IF(AN336&lt;=Hypothèses!$V$14,Hypothèses!$X$14,IF(AN336&lt;=Hypothèses!$V$15,Hypothèses!$X$15,IF(AN336&lt;=Hypothèses!$V$16,Hypothèses!$X$16,IF(AN336&lt;=Hypothèses!$U$17,Hypothèses!$W$17,IF(AN336&lt;=Hypothèses!$U$18,Hypothèses!$W$18,""))))))))))))</f>
        <v>#DIV/0!</v>
      </c>
      <c r="BK336" s="95" t="e">
        <f t="shared" ca="1" si="577"/>
        <v>#DIV/0!</v>
      </c>
      <c r="BL336" s="101">
        <f t="shared" si="525"/>
        <v>0</v>
      </c>
      <c r="BM336" s="91">
        <f t="shared" si="544"/>
        <v>0</v>
      </c>
      <c r="BN336" s="30" t="e">
        <f t="shared" ref="BN336:BN363" si="604">PI()*BN$12*$Q336*($B336-$B335)/($G336*$B$5)/10+BP335</f>
        <v>#N/A</v>
      </c>
      <c r="BO336" s="30" t="e">
        <f t="shared" ref="BO336:BO363" si="605">(PI()*BO$12*$Q336*($B336-$B335))/($H336*$B$5)/10+BP335</f>
        <v>#N/A</v>
      </c>
      <c r="BP336" s="31" t="e">
        <f>IF(OR(Hypothèses!$B$4=17,Hypothèses!$B$4=18,Hypothèses!$B$4=19,Hypothèses!$B$4=20),
IF($D336="Pressio.",
IF(OR($E336=3,$E336=1,$E336=4),BO336,BN336),
IF($D336="Pénétro.",
IF(OR($E336=3,$E336=1,$E336=4),BO336,BN336))),IF($D336="Pressio.",
IF($E336=3,BO336,BN336),
IF($D336="Pénétro.",
IF($E336=4,BO336,BN336))))</f>
        <v>#N/A</v>
      </c>
      <c r="BQ336" s="31">
        <v>0</v>
      </c>
      <c r="BR336" s="102" t="e">
        <f>IF(NDC!$H$10="Oui",(VLOOKUP($B$3,'Coeff EC7'!$T$39:$X$59,2,0)*BP336+VLOOKUP($B$3,'Coeff EC7'!$T$65:$X$85,2,0)*Model0.1T!BQ336)/1.5,PI()*BN$12*$Q336*($B336-$B335)*0.15/10+BR335)</f>
        <v>#N/A</v>
      </c>
      <c r="BS336" s="102" t="e">
        <f>(VLOOKUP($B$3,'Coeff EC7'!$T$39:$X$59,3,0)*BP336+VLOOKUP($B$3,'Coeff EC7'!$T$65:$X$85,3,0)*Model0.1T!BQ336)/1.1</f>
        <v>#N/A</v>
      </c>
      <c r="BT336" s="102" t="e">
        <f t="shared" si="578"/>
        <v>#N/A</v>
      </c>
      <c r="BU336" s="102" t="e">
        <f t="shared" si="579"/>
        <v>#N/A</v>
      </c>
      <c r="BV336" s="414" t="e">
        <f>IF(AND(BR336&gt;NDC!$C$63,BS336&gt;NDC!$C$65,BT336&gt;NDC!$D$73,BU336&gt;NDC!$D$74,$B336&gt;NDC!$H$22-0.1+MIN(3*BV$12,1.5)),0,1)</f>
        <v>#N/A</v>
      </c>
      <c r="BW336" s="86" t="b">
        <f t="shared" si="545"/>
        <v>0</v>
      </c>
      <c r="BX336" s="86">
        <f t="shared" si="546"/>
        <v>0.5</v>
      </c>
      <c r="BY336" s="86">
        <f t="shared" si="547"/>
        <v>0.5</v>
      </c>
      <c r="BZ336" s="30" t="e">
        <f t="shared" ca="1" si="580"/>
        <v>#DIV/0!</v>
      </c>
      <c r="CA336" s="85" t="e">
        <f ca="1">IF(BG336&lt;=Hypothèses!$V$7,Hypothèses!$W$7,IF(BG336&lt;=Hypothèses!$V$8,Hypothèses!$W$8,IF(BG336&lt;=Hypothèses!$V$9,Hypothèses!$W$9,IF(BG336&lt;=Hypothèses!$V$10,Hypothèses!$W$10,IF(BG336&lt;=Hypothèses!$V$11,Hypothèses!$W$11,IF(BG336&lt;=Hypothèses!$V$12,Hypothèses!$W$12,IF(BG336&lt;=Hypothèses!$V$13,Hypothèses!$W$13,IF(BG336&lt;=Hypothèses!$V$14,Hypothèses!$W$14,IF(BG336&lt;=Hypothèses!$V$15,Hypothèses!$W$15,IF(BG336&lt;=Hypothèses!$V$16,Hypothèses!$W$16,IF(BG336&lt;=Hypothèses!$V$17,Hypothèses!$W$17,IF(BG336&lt;=Hypothèses!$V$18,Hypothèses!$W$18,""))))))))))))</f>
        <v>#DIV/0!</v>
      </c>
      <c r="CB336" s="87" t="e">
        <f t="shared" ca="1" si="519"/>
        <v>#DIV/0!</v>
      </c>
      <c r="CC336" s="88" t="e">
        <f ca="1">IF(BG336&lt;=Hypothèses!$V$7,Hypothèses!$X$7,IF(BG336&lt;=Hypothèses!$V$8,Hypothèses!$X$8,IF(BG336&lt;=Hypothèses!$V$9,Hypothèses!$X$9,IF(BG336&lt;=Hypothèses!$V$10,Hypothèses!$X$10,IF(BG336&lt;=Hypothèses!$V$11,Hypothèses!$X$11,IF(BG336&lt;=Hypothèses!$V$12,Hypothèses!$X$12,IF(BG336&lt;=Hypothèses!$V$13,Hypothèses!$X$13,IF(BG336&lt;=Hypothèses!$V$14,Hypothèses!$X$14,IF(BG336&lt;=Hypothèses!$V$15,Hypothèses!$X$15,IF(BG336&lt;=Hypothèses!$V$16,Hypothèses!$X$16,IF(BG336&lt;=Hypothèses!$U$17,Hypothèses!$W$17,IF(BG336&lt;=Hypothèses!$U$18,Hypothèses!$W$18,""))))))))))))</f>
        <v>#DIV/0!</v>
      </c>
      <c r="CD336" s="95" t="e">
        <f t="shared" ca="1" si="581"/>
        <v>#DIV/0!</v>
      </c>
      <c r="CE336" s="101">
        <f t="shared" si="526"/>
        <v>0</v>
      </c>
      <c r="CF336" s="91">
        <f t="shared" si="548"/>
        <v>0</v>
      </c>
      <c r="CG336" s="30" t="e">
        <f t="shared" ref="CG336:CG363" si="606">PI()*CG$12*$Q336*($B336-$B335)/($G336*$B$5)/10+CI335</f>
        <v>#N/A</v>
      </c>
      <c r="CH336" s="30" t="e">
        <f t="shared" ref="CH336:CH363" si="607">(PI()*CH$12*$Q336*($B336-$B335))/($H336*$B$5)/10+CI335</f>
        <v>#N/A</v>
      </c>
      <c r="CI336" s="31" t="e">
        <f>IF(OR(Hypothèses!$B$4=17,Hypothèses!$B$4=18,Hypothèses!$B$4=19,Hypothèses!$B$4=20),
IF($D336="Pressio.",
IF(OR($E336=3,$E336=1,$E336=4),CH336,CG336),
IF($D336="Pénétro.",
IF(OR($E336=3,$E336=1,$E336=4),CH336,CG336))),IF($D336="Pressio.",
IF($E336=3,CH336,CG336),
IF($D336="Pénétro.",
IF($E336=4,CH336,CG336))))</f>
        <v>#N/A</v>
      </c>
      <c r="CJ336" s="31">
        <v>0</v>
      </c>
      <c r="CK336" s="102" t="e">
        <f>IF(NDC!$H$10="Oui",(VLOOKUP($B$3,'Coeff EC7'!$T$39:$X$59,2,0)*CI336+VLOOKUP($B$3,'Coeff EC7'!$T$65:$X$85,2,0)*Model0.1T!CJ336)/1.5,PI()*CG$12*$Q336*($B336-$B335)*0.15/10+CK335)</f>
        <v>#N/A</v>
      </c>
      <c r="CL336" s="102" t="e">
        <f>(VLOOKUP($B$3,'Coeff EC7'!$T$39:$X$59,3,0)*CI336+VLOOKUP($B$3,'Coeff EC7'!$T$65:$X$85,3,0)*Model0.1T!CJ336)/1.1</f>
        <v>#N/A</v>
      </c>
      <c r="CM336" s="102" t="e">
        <f t="shared" si="582"/>
        <v>#N/A</v>
      </c>
      <c r="CN336" s="102" t="e">
        <f t="shared" si="583"/>
        <v>#N/A</v>
      </c>
      <c r="CO336" s="414" t="e">
        <f>IF(AND(CK336&gt;NDC!$C$63,CL336&gt;NDC!$C$65,CM336&gt;NDC!$D$73,CN336&gt;NDC!$D$74,$B336&gt;NDC!$H$22-0.1+MIN(3*CO$12,1.5)),0,1)</f>
        <v>#N/A</v>
      </c>
      <c r="CP336" s="86" t="b">
        <f t="shared" si="549"/>
        <v>0</v>
      </c>
      <c r="CQ336" s="86">
        <f t="shared" si="550"/>
        <v>0.5</v>
      </c>
      <c r="CR336" s="86">
        <f t="shared" si="551"/>
        <v>0.5</v>
      </c>
      <c r="CS336" s="30" t="e">
        <f t="shared" ca="1" si="584"/>
        <v>#DIV/0!</v>
      </c>
      <c r="CT336" s="85" t="e">
        <f ca="1">IF(BZ336&lt;=Hypothèses!$V$7,Hypothèses!$W$7,IF(BZ336&lt;=Hypothèses!$V$8,Hypothèses!$W$8,IF(BZ336&lt;=Hypothèses!$V$9,Hypothèses!$W$9,IF(BZ336&lt;=Hypothèses!$V$10,Hypothèses!$W$10,IF(BZ336&lt;=Hypothèses!$V$11,Hypothèses!$W$11,IF(BZ336&lt;=Hypothèses!$V$12,Hypothèses!$W$12,IF(BZ336&lt;=Hypothèses!$V$13,Hypothèses!$W$13,IF(BZ336&lt;=Hypothèses!$V$14,Hypothèses!$W$14,IF(BZ336&lt;=Hypothèses!$V$15,Hypothèses!$W$15,IF(BZ336&lt;=Hypothèses!$V$16,Hypothèses!$W$16,IF(BZ336&lt;=Hypothèses!$V$17,Hypothèses!$W$17,IF(BZ336&lt;=Hypothèses!$V$18,Hypothèses!$W$18,""))))))))))))</f>
        <v>#DIV/0!</v>
      </c>
      <c r="CU336" s="87" t="e">
        <f t="shared" ca="1" si="520"/>
        <v>#DIV/0!</v>
      </c>
      <c r="CV336" s="88" t="e">
        <f ca="1">IF(BZ336&lt;=Hypothèses!$V$7,Hypothèses!$X$7,IF(BZ336&lt;=Hypothèses!$V$8,Hypothèses!$X$8,IF(BZ336&lt;=Hypothèses!$V$9,Hypothèses!$X$9,IF(BZ336&lt;=Hypothèses!$V$10,Hypothèses!$X$10,IF(BZ336&lt;=Hypothèses!$V$11,Hypothèses!$X$11,IF(BZ336&lt;=Hypothèses!$V$12,Hypothèses!$X$12,IF(BZ336&lt;=Hypothèses!$V$13,Hypothèses!$X$13,IF(BZ336&lt;=Hypothèses!$V$14,Hypothèses!$X$14,IF(BZ336&lt;=Hypothèses!$V$15,Hypothèses!$X$15,IF(BZ336&lt;=Hypothèses!$V$16,Hypothèses!$X$16,IF(BZ336&lt;=Hypothèses!$U$17,Hypothèses!$W$17,IF(BZ336&lt;=Hypothèses!$U$18,Hypothèses!$W$18,""))))))))))))</f>
        <v>#DIV/0!</v>
      </c>
      <c r="CW336" s="95" t="e">
        <f t="shared" ca="1" si="585"/>
        <v>#DIV/0!</v>
      </c>
      <c r="CX336" s="101">
        <f t="shared" si="527"/>
        <v>0</v>
      </c>
      <c r="CY336" s="91">
        <f t="shared" si="552"/>
        <v>0</v>
      </c>
      <c r="CZ336" s="30" t="e">
        <f t="shared" ref="CZ336:CZ363" si="608">PI()*CZ$12*$Q336*($B336-$B335)/($G336*$B$5)/10+DB335</f>
        <v>#N/A</v>
      </c>
      <c r="DA336" s="30" t="e">
        <f t="shared" ref="DA336:DA363" si="609">(PI()*DA$12*$Q336*($B336-$B335))/($H336*$B$5)/10+DB335</f>
        <v>#N/A</v>
      </c>
      <c r="DB336" s="31" t="e">
        <f>IF(OR(Hypothèses!$B$4=17,Hypothèses!$B$4=18,Hypothèses!$B$4=19,Hypothèses!$B$4=20),
IF($D336="Pressio.",
IF(OR($E336=3,$E336=1,$E336=4),DA336,CZ336),
IF($D336="Pénétro.",
IF(OR($E336=3,$E336=1,$E336=4),DA336,CZ336))),IF($D336="Pressio.",
IF($E336=3,DA336,CZ336),
IF($D336="Pénétro.",
IF($E336=4,DA336,CZ336))))</f>
        <v>#N/A</v>
      </c>
      <c r="DC336" s="31">
        <v>0</v>
      </c>
      <c r="DD336" s="102" t="e">
        <f>IF(NDC!$H$10="Oui",(VLOOKUP($B$3,'Coeff EC7'!$T$39:$X$59,2,0)*DB336+VLOOKUP($B$3,'Coeff EC7'!$T$65:$X$85,2,0)*Model0.1T!DC336)/1.5,PI()*CZ$12*$Q336*($B336-$B335)*0.15/10+DD335)</f>
        <v>#N/A</v>
      </c>
      <c r="DE336" s="102" t="e">
        <f>(VLOOKUP($B$3,'Coeff EC7'!$T$39:$X$59,3,0)*DB336+VLOOKUP($B$3,'Coeff EC7'!$T$65:$X$85,3,0)*Model0.1T!DC336)/1.1</f>
        <v>#N/A</v>
      </c>
      <c r="DF336" s="102" t="e">
        <f t="shared" si="586"/>
        <v>#N/A</v>
      </c>
      <c r="DG336" s="102" t="e">
        <f t="shared" si="587"/>
        <v>#N/A</v>
      </c>
      <c r="DH336" s="414" t="e">
        <f>IF(AND(DD336&gt;NDC!$C$63,DE336&gt;NDC!$C$65,DF336&gt;NDC!$D$73,DG336&gt;NDC!$D$74,$B336&gt;NDC!$H$22-0.1+MIN(3*DH$12,1.5)),0,1)</f>
        <v>#N/A</v>
      </c>
      <c r="DI336" s="86" t="b">
        <f t="shared" si="553"/>
        <v>0</v>
      </c>
      <c r="DJ336" s="86">
        <f t="shared" si="554"/>
        <v>0.5</v>
      </c>
      <c r="DK336" s="86">
        <f t="shared" si="555"/>
        <v>0.5</v>
      </c>
      <c r="DL336" s="30" t="e">
        <f t="shared" ca="1" si="588"/>
        <v>#DIV/0!</v>
      </c>
      <c r="DM336" s="85" t="e">
        <f ca="1">IF(CS336&lt;=Hypothèses!$V$7,Hypothèses!$W$7,IF(CS336&lt;=Hypothèses!$V$8,Hypothèses!$W$8,IF(CS336&lt;=Hypothèses!$V$9,Hypothèses!$W$9,IF(CS336&lt;=Hypothèses!$V$10,Hypothèses!$W$10,IF(CS336&lt;=Hypothèses!$V$11,Hypothèses!$W$11,IF(CS336&lt;=Hypothèses!$V$12,Hypothèses!$W$12,IF(CS336&lt;=Hypothèses!$V$13,Hypothèses!$W$13,IF(CS336&lt;=Hypothèses!$V$14,Hypothèses!$W$14,IF(CS336&lt;=Hypothèses!$V$15,Hypothèses!$W$15,IF(CS336&lt;=Hypothèses!$V$16,Hypothèses!$W$16,IF(CS336&lt;=Hypothèses!$V$17,Hypothèses!$W$17,IF(CS336&lt;=Hypothèses!$V$18,Hypothèses!$W$18,""))))))))))))</f>
        <v>#DIV/0!</v>
      </c>
      <c r="DN336" s="87" t="e">
        <f t="shared" ca="1" si="521"/>
        <v>#DIV/0!</v>
      </c>
      <c r="DO336" s="88" t="e">
        <f ca="1">IF(CS336&lt;=Hypothèses!$V$7,Hypothèses!$X$7,IF(CS336&lt;=Hypothèses!$V$8,Hypothèses!$X$8,IF(CS336&lt;=Hypothèses!$V$9,Hypothèses!$X$9,IF(CS336&lt;=Hypothèses!$V$10,Hypothèses!$X$10,IF(CS336&lt;=Hypothèses!$V$11,Hypothèses!$X$11,IF(CS336&lt;=Hypothèses!$V$12,Hypothèses!$X$12,IF(CS336&lt;=Hypothèses!$V$13,Hypothèses!$X$13,IF(CS336&lt;=Hypothèses!$V$14,Hypothèses!$X$14,IF(CS336&lt;=Hypothèses!$V$15,Hypothèses!$X$15,IF(CS336&lt;=Hypothèses!$V$16,Hypothèses!$X$16,IF(CS336&lt;=Hypothèses!$U$17,Hypothèses!$W$17,IF(CS336&lt;=Hypothèses!$U$18,Hypothèses!$W$18,""))))))))))))</f>
        <v>#DIV/0!</v>
      </c>
      <c r="DP336" s="95" t="e">
        <f t="shared" ca="1" si="589"/>
        <v>#DIV/0!</v>
      </c>
      <c r="DQ336" s="101">
        <f t="shared" si="528"/>
        <v>0</v>
      </c>
      <c r="DR336" s="91">
        <f t="shared" si="556"/>
        <v>0</v>
      </c>
      <c r="DS336" s="30" t="e">
        <f t="shared" ref="DS336:DS363" si="610">PI()*DS$12*$Q336*($B336-$B335)/($G336*$B$5)/10+DU335</f>
        <v>#N/A</v>
      </c>
      <c r="DT336" s="30" t="e">
        <f t="shared" ref="DT336:DT363" si="611">(PI()*DT$12*$Q336*($B336-$B335))/($H336*$B$5)/10+DU335</f>
        <v>#N/A</v>
      </c>
      <c r="DU336" s="31" t="e">
        <f>IF(OR(Hypothèses!$B$4=17,Hypothèses!$B$4=18,Hypothèses!$B$4=19,Hypothèses!$B$4=20),
IF($D336="Pressio.",
IF(OR($E336=3,$E336=1,$E336=4),DT336,DS336),
IF($D336="Pénétro.",
IF(OR($E336=3,$E336=1,$E336=4),DT336,DS336))),IF($D336="Pressio.",
IF($E336=3,DT336,DS336),
IF($D336="Pénétro.",
IF($E336=4,DT336,DS336))))</f>
        <v>#N/A</v>
      </c>
      <c r="DV336" s="31">
        <v>0</v>
      </c>
      <c r="DW336" s="102" t="e">
        <f>IF(NDC!$H$10="Oui",(VLOOKUP($B$3,'Coeff EC7'!$T$39:$X$59,2,0)*DU336+VLOOKUP($B$3,'Coeff EC7'!$T$65:$X$85,2,0)*Model0.1T!DV336)/1.5,PI()*DS$12*$Q336*($B336-$B335)*0.15/10+DW335)</f>
        <v>#N/A</v>
      </c>
      <c r="DX336" s="102" t="e">
        <f>(VLOOKUP($B$3,'Coeff EC7'!$T$39:$X$59,3,0)*DU336+VLOOKUP($B$3,'Coeff EC7'!$T$65:$X$85,3,0)*Model0.1T!DV336)/1.1</f>
        <v>#N/A</v>
      </c>
      <c r="DY336" s="102" t="e">
        <f t="shared" si="590"/>
        <v>#N/A</v>
      </c>
      <c r="DZ336" s="102" t="e">
        <f t="shared" si="591"/>
        <v>#N/A</v>
      </c>
      <c r="EA336" s="414" t="e">
        <f>IF(AND(DW336&gt;NDC!$C$63,DX336&gt;NDC!$C$65,DY336&gt;NDC!$D$73,DZ336&gt;NDC!$D$74,$B336&gt;NDC!$H$22-0.1+MIN(3*EA$12,1.5)),0,1)</f>
        <v>#N/A</v>
      </c>
      <c r="EB336" s="86" t="b">
        <f t="shared" si="557"/>
        <v>0</v>
      </c>
      <c r="EC336" s="418">
        <f t="shared" si="558"/>
        <v>0.51</v>
      </c>
      <c r="ED336" s="86">
        <f t="shared" si="559"/>
        <v>0.51</v>
      </c>
      <c r="EE336" s="30" t="e">
        <f t="shared" ca="1" si="592"/>
        <v>#DIV/0!</v>
      </c>
      <c r="EF336" s="85" t="e">
        <f ca="1">IF(DL336&lt;=Hypothèses!$V$7,Hypothèses!$W$7,IF(DL336&lt;=Hypothèses!$V$8,Hypothèses!$W$8,IF(DL336&lt;=Hypothèses!$V$9,Hypothèses!$W$9,IF(DL336&lt;=Hypothèses!$V$10,Hypothèses!$W$10,IF(DL336&lt;=Hypothèses!$V$11,Hypothèses!$W$11,IF(DL336&lt;=Hypothèses!$V$12,Hypothèses!$W$12,IF(DL336&lt;=Hypothèses!$V$13,Hypothèses!$W$13,IF(DL336&lt;=Hypothèses!$V$14,Hypothèses!$W$14,IF(DL336&lt;=Hypothèses!$V$15,Hypothèses!$W$15,IF(DL336&lt;=Hypothèses!$V$16,Hypothèses!$W$16,IF(DL336&lt;=Hypothèses!$V$17,Hypothèses!$W$17,IF(DL336&lt;=Hypothèses!$V$18,Hypothèses!$W$18,""))))))))))))</f>
        <v>#DIV/0!</v>
      </c>
      <c r="EG336" s="87" t="e">
        <f t="shared" ca="1" si="522"/>
        <v>#DIV/0!</v>
      </c>
      <c r="EH336" s="88" t="e">
        <f ca="1">IF(DL336&lt;=Hypothèses!$V$7,Hypothèses!$X$7,IF(DL336&lt;=Hypothèses!$V$8,Hypothèses!$X$8,IF(DL336&lt;=Hypothèses!$V$9,Hypothèses!$X$9,IF(DL336&lt;=Hypothèses!$V$10,Hypothèses!$X$10,IF(DL336&lt;=Hypothèses!$V$11,Hypothèses!$X$11,IF(DL336&lt;=Hypothèses!$V$12,Hypothèses!$X$12,IF(DL336&lt;=Hypothèses!$V$13,Hypothèses!$X$13,IF(DL336&lt;=Hypothèses!$V$14,Hypothèses!$X$14,IF(DL336&lt;=Hypothèses!$V$15,Hypothèses!$X$15,IF(DL336&lt;=Hypothèses!$V$16,Hypothèses!$X$16,IF(DL336&lt;=Hypothèses!$U$17,Hypothèses!$W$17,IF(DL336&lt;=Hypothèses!$U$18,Hypothèses!$W$18,""))))))))))))</f>
        <v>#DIV/0!</v>
      </c>
      <c r="EI336" s="95" t="e">
        <f t="shared" ca="1" si="593"/>
        <v>#DIV/0!</v>
      </c>
      <c r="EJ336" s="101">
        <f t="shared" si="529"/>
        <v>0</v>
      </c>
      <c r="EK336" s="91">
        <f t="shared" si="560"/>
        <v>0</v>
      </c>
      <c r="EL336" s="30" t="e">
        <f t="shared" ref="EL336:EL363" si="612">PI()*EL$12*$Q336*($B336-$B335)/($G336*$B$5)/10+EN335</f>
        <v>#N/A</v>
      </c>
      <c r="EM336" s="30" t="e">
        <f t="shared" ref="EM336:EM363" si="613">(PI()*EM$12*$Q336*($B336-$B335))/($H336*$B$5)/10+EN335</f>
        <v>#N/A</v>
      </c>
      <c r="EN336" s="31" t="e">
        <f>IF(OR(Hypothèses!$B$4=17,Hypothèses!$B$4=18,Hypothèses!$B$4=19,Hypothèses!$B$4=20),
IF($D336="Pressio.",
IF(OR($E336=3,$E336=1,$E336=4),EM336,EL336),
IF($D336="Pénétro.",
IF(OR($E336=3,$E336=1,$E336=4),EM336,EL336))),IF($D336="Pressio.",
IF($E336=3,EM336,EL336),
IF($D336="Pénétro.",
IF($E336=4,EM336,EL336))))</f>
        <v>#N/A</v>
      </c>
      <c r="EO336" s="31">
        <v>0</v>
      </c>
      <c r="EP336" s="102" t="e">
        <f>IF(NDC!$H$10="Oui",(VLOOKUP($B$3,'Coeff EC7'!$T$39:$X$59,2,0)*EN336+VLOOKUP($B$3,'Coeff EC7'!$T$65:$X$85,2,0)*Model0.1T!EO336)/1.5,PI()*EL$12*$Q336*($B336-$B335)*0.15/10+EP335)</f>
        <v>#N/A</v>
      </c>
      <c r="EQ336" s="102" t="e">
        <f>(VLOOKUP($B$3,'Coeff EC7'!$T$39:$X$59,3,0)*EN336+VLOOKUP($B$3,'Coeff EC7'!$T$65:$X$85,3,0)*Model0.1T!EO336)/1.1</f>
        <v>#N/A</v>
      </c>
      <c r="ER336" s="102" t="e">
        <f t="shared" si="594"/>
        <v>#N/A</v>
      </c>
      <c r="ES336" s="102" t="e">
        <f t="shared" si="595"/>
        <v>#N/A</v>
      </c>
      <c r="ET336" s="414" t="e">
        <f>IF(AND(EP336&gt;NDC!$C$63,EQ336&gt;NDC!$C$65,ER336&gt;NDC!$D$73,ES336&gt;NDC!$D$74,$B336&gt;NDC!$H$22-0.1+MIN(3*ET$12,1.5)),0,1)</f>
        <v>#N/A</v>
      </c>
      <c r="EU336" s="86" t="b">
        <f t="shared" si="561"/>
        <v>0</v>
      </c>
      <c r="EV336" s="86">
        <f t="shared" si="562"/>
        <v>0.61</v>
      </c>
      <c r="EW336" s="86">
        <f t="shared" si="563"/>
        <v>0.61</v>
      </c>
      <c r="EX336" s="30" t="e">
        <f t="shared" ca="1" si="596"/>
        <v>#DIV/0!</v>
      </c>
      <c r="EY336" s="85" t="e">
        <f ca="1">IF(EE336&lt;=Hypothèses!$V$7,Hypothèses!$W$7,IF(EE336&lt;=Hypothèses!$V$8,Hypothèses!$W$8,IF(EE336&lt;=Hypothèses!$V$9,Hypothèses!$W$9,IF(EE336&lt;=Hypothèses!$V$10,Hypothèses!$W$10,IF(EE336&lt;=Hypothèses!$V$11,Hypothèses!$W$11,IF(EE336&lt;=Hypothèses!$V$12,Hypothèses!$W$12,IF(EE336&lt;=Hypothèses!$V$13,Hypothèses!$W$13,IF(EE336&lt;=Hypothèses!$V$14,Hypothèses!$W$14,IF(EE336&lt;=Hypothèses!$V$15,Hypothèses!$W$15,IF(EE336&lt;=Hypothèses!$V$16,Hypothèses!$W$16,IF(EE336&lt;=Hypothèses!$V$17,Hypothèses!$W$17,IF(EE336&lt;=Hypothèses!$V$18,Hypothèses!$W$18,""))))))))))))</f>
        <v>#DIV/0!</v>
      </c>
      <c r="EZ336" s="87" t="e">
        <f t="shared" ca="1" si="523"/>
        <v>#DIV/0!</v>
      </c>
      <c r="FA336" s="88" t="e">
        <f ca="1">IF(EE336&lt;=Hypothèses!$V$7,Hypothèses!$X$7,IF(EE336&lt;=Hypothèses!$V$8,Hypothèses!$X$8,IF(EE336&lt;=Hypothèses!$V$9,Hypothèses!$X$9,IF(EE336&lt;=Hypothèses!$V$10,Hypothèses!$X$10,IF(EE336&lt;=Hypothèses!$V$11,Hypothèses!$X$11,IF(EE336&lt;=Hypothèses!$V$12,Hypothèses!$X$12,IF(EE336&lt;=Hypothèses!$V$13,Hypothèses!$X$13,IF(EE336&lt;=Hypothèses!$V$14,Hypothèses!$X$14,IF(EE336&lt;=Hypothèses!$V$15,Hypothèses!$X$15,IF(EE336&lt;=Hypothèses!$V$16,Hypothèses!$X$16,IF(EE336&lt;=Hypothèses!$U$17,Hypothèses!$W$17,IF(EE336&lt;=Hypothèses!$U$18,Hypothèses!$W$18,""))))))))))))</f>
        <v>#DIV/0!</v>
      </c>
      <c r="FB336" s="95" t="e">
        <f t="shared" ca="1" si="597"/>
        <v>#DIV/0!</v>
      </c>
      <c r="FC336" s="101">
        <f t="shared" si="530"/>
        <v>0</v>
      </c>
      <c r="FD336" s="91">
        <f t="shared" si="564"/>
        <v>0</v>
      </c>
      <c r="FE336" s="30" t="e">
        <f t="shared" ref="FE336:FE363" si="614">PI()*FE$12*$Q336*($B336-$B335)/($G336*$B$5)/10+FG335</f>
        <v>#N/A</v>
      </c>
      <c r="FF336" s="30" t="e">
        <f t="shared" ref="FF336:FF363" si="615">(PI()*FF$12*$Q336*($B336-$B335))/($H336*$B$5)/10+FG335</f>
        <v>#N/A</v>
      </c>
      <c r="FG336" s="31" t="e">
        <f>IF(OR(Hypothèses!$B$4=17,Hypothèses!$B$4=18,Hypothèses!$B$4=19,Hypothèses!$B$4=20),
IF($D336="Pressio.",
IF(OR($E336=3,$E336=1,$E336=4),FF336,FE336),
IF($D336="Pénétro.",
IF(OR($E336=3,$E336=1,$E336=4),FF336,FE336))),IF($D336="Pressio.",
IF($E336=3,FF336,FE336),
IF($D336="Pénétro.",
IF($E336=4,FF336,FE336))))</f>
        <v>#N/A</v>
      </c>
      <c r="FH336" s="31">
        <v>0</v>
      </c>
      <c r="FI336" s="102" t="e">
        <f>IF(NDC!$H$10="Oui",(VLOOKUP($B$3,'Coeff EC7'!$T$39:$X$59,2,0)*FG336+VLOOKUP($B$3,'Coeff EC7'!$T$65:$X$85,2,0)*Model0.1T!FH336)/1.5,PI()*FE$12*$Q336*($B336-$B335)*0.15/10+FI335)</f>
        <v>#N/A</v>
      </c>
      <c r="FJ336" s="102" t="e">
        <f>(VLOOKUP($B$3,'Coeff EC7'!$T$39:$X$59,3,0)*FG336+VLOOKUP($B$3,'Coeff EC7'!$T$65:$X$85,3,0)*Model0.1T!FH336)/1.1</f>
        <v>#N/A</v>
      </c>
      <c r="FK336" s="102" t="e">
        <f t="shared" si="598"/>
        <v>#N/A</v>
      </c>
      <c r="FL336" s="102" t="e">
        <f t="shared" si="599"/>
        <v>#N/A</v>
      </c>
      <c r="FM336" s="414" t="e">
        <f>IF(AND(FI336&gt;NDC!$C$63,FJ336&gt;NDC!$C$65,FK336&gt;NDC!$D$73,FL336&gt;NDC!$D$74,$B336&gt;NDC!$H$22-0.1+MIN(3*FM$12,1.5)),0,1)</f>
        <v>#N/A</v>
      </c>
    </row>
    <row r="337" spans="1:169">
      <c r="A337" s="96">
        <f t="shared" si="565"/>
        <v>67.600000000001842</v>
      </c>
      <c r="B337" s="97">
        <v>32.4</v>
      </c>
      <c r="C337" s="81">
        <f>IF(B337&lt;=Hypothèses!$C$7,Hypothèses!$A$7,IF(B337&lt;=Hypothèses!$C$8,Hypothèses!$A$8,IF(B337&lt;=Hypothèses!$C$9,Hypothèses!$A$9,IF(B337&lt;=Hypothèses!$C$10,Hypothèses!$A$10,IF(B337&lt;=Hypothèses!$C$11,Hypothèses!$A$11,IF(B337&lt;=Hypothèses!$C$12,Hypothèses!$A$12,IF(B337&lt;=Hypothèses!$C$13,Hypothèses!$A$13,IF(B337&lt;=Hypothèses!$C$14,Hypothèses!$A$14,IF(B337&lt;=Hypothèses!$C$15,Hypothèses!$A$15,IF(B337&lt;=Hypothèses!$C$16,Hypothèses!$A$16,IF(B337&lt;=Hypothèses!$C$17,Hypothèses!$A$17,IF(B337&lt;=Hypothèses!$C$18,Hypothèses!$A$18,C336))))))))))))</f>
        <v>11</v>
      </c>
      <c r="D337" s="82" t="str">
        <f>IF(B337&lt;=Hypothèses!$C$7,Hypothèses!$R$7,IF(B337&lt;=Hypothèses!$C$8,Hypothèses!$R$8,IF(B337&lt;=Hypothèses!$C$9,Hypothèses!$R$9,IF(B337&lt;=Hypothèses!$C$10,Hypothèses!$R$10,IF(B337&lt;=Hypothèses!$C$11,Hypothèses!$R$11,IF(B337&lt;=Hypothèses!$C$12,Hypothèses!$R$12,IF(B337&lt;=Hypothèses!$C$13,Hypothèses!$R$13,IF(B337&lt;=Hypothèses!$C$14,Hypothèses!$R$14,IF(B337&lt;=Hypothèses!$C$15,Hypothèses!$R$15,IF(B337&lt;=Hypothèses!$C$16,Hypothèses!$R$16,IF(B337&lt;=Hypothèses!$C$17,Hypothèses!$R$17,IF(B337&lt;=Hypothèses!$C$18,Hypothèses!$R$18,D336))))))))))))</f>
        <v>Pressio.</v>
      </c>
      <c r="E337" s="82" t="e">
        <f>IF(B337&lt;=Hypothèses!$C$7,Hypothèses!$G$7,IF(B337&lt;=Hypothèses!$C$8,Hypothèses!$G$8,IF(B337&lt;=Hypothèses!$C$9,Hypothèses!$G$9,IF(B337&lt;=Hypothèses!$C$10,Hypothèses!$G$10,IF(B337&lt;=Hypothèses!$C$11,Hypothèses!$G$11,IF(B337&lt;=Hypothèses!$C$12,Hypothèses!$G$12,IF(B337&lt;=Hypothèses!$C$13,Hypothèses!$G$13,IF(B337&lt;=Hypothèses!$C$14,Hypothèses!$G$14,IF(B337&lt;=Hypothèses!$C$15,Hypothèses!$G$15,IF(B337&lt;=Hypothèses!$C$16,Hypothèses!$G$16,IF(B337&lt;=Hypothèses!$C$17,Hypothèses!$G$17,IF(B337&lt;=Hypothèses!$C$18,Hypothèses!$G$18,E336))))))))))))</f>
        <v>#N/A</v>
      </c>
      <c r="F337" s="82" t="str">
        <f>IF(B337&lt;=Hypothèses!$C$7,Hypothèses!$F$7,IF(B337&lt;=Hypothèses!$C$8,Hypothèses!$F$8,IF(B337&lt;=Hypothèses!$C$9,Hypothèses!$F$9,IF(B337&lt;=Hypothèses!$C$10,Hypothèses!$F$10,IF(B337&lt;=Hypothèses!$C$11,Hypothèses!$F$11,IF(B337&lt;=Hypothèses!$C$12,Hypothèses!$F$12,IF(B337&lt;=Hypothèses!$C$13,Hypothèses!$F$13,IF(B337&lt;=Hypothèses!$C$14,Hypothèses!$F$14,IF(B337&lt;=Hypothèses!$C$15,Hypothèses!$F$15,IF(B337&lt;=Hypothèses!$C$16,Hypothèses!$F$16,IF(B337&lt;=Hypothèses!$C$17,Hypothèses!$F$17,IF(B337&lt;=Hypothèses!$C$18,Hypothèses!$F$18,F336))))))))))))</f>
        <v/>
      </c>
      <c r="G337" s="91">
        <f t="array" ref="G337">INDEX('Coeff EC7'!$U$7:$X$27,
MATCH(Model0.1T!$B$3,'Coeff EC7'!$T$7:$T$27,0),
MATCH(Model0.1T!$D337&amp;Model0.1T!$B$4,
'Coeff EC7'!$U$6:$X$6&amp;
'Coeff EC7'!$U$5:$X$5,0))</f>
        <v>1.4</v>
      </c>
      <c r="H337" s="91">
        <f t="array" ref="H337">INDEX('Coeff EC7'!$Y$7:$AB$27,
MATCH(Model0.1T!$B$3,'Coeff EC7'!$T$7:$T$27,0),
MATCH(Model0.1T!$D337&amp;Model0.1T!$B$4,
'Coeff EC7'!$Y$6:$AB$6&amp;
'Coeff EC7'!$Y$5:$AB$5,0))</f>
        <v>1.7</v>
      </c>
      <c r="I337" s="83">
        <v>0</v>
      </c>
      <c r="J337" s="91" t="e">
        <f t="array" ref="J337">INDEX('Coeff EC7'!$D$33:$Q$33,1,MATCH(D337&amp;E337,'Coeff EC7'!$D$31:$Q$31&amp;'Coeff EC7'!$D$32:$Q$32,0))</f>
        <v>#N/A</v>
      </c>
      <c r="K337" s="91" t="e">
        <f t="array" ref="K337">INDEX('Coeff EC7'!$D$34:$Q$34,1,MATCH(D337&amp;E337,'Coeff EC7'!$D$31:$Q$31&amp;'Coeff EC7'!$D$32:$Q$32,0))</f>
        <v>#N/A</v>
      </c>
      <c r="L337" s="91" t="e">
        <f t="array" ref="L337">INDEX('Coeff EC7'!$D$35:$Q$35,1,MATCH(D337&amp;E337,'Coeff EC7'!$D$31:$Q$31&amp;'Coeff EC7'!$D$32:$Q$32,0))</f>
        <v>#N/A</v>
      </c>
      <c r="M337" s="98" t="e">
        <f t="shared" si="531"/>
        <v>#N/A</v>
      </c>
      <c r="N337" s="99" t="e">
        <f t="array" ref="N337">INDEX('Coeff EC7'!$D$7:$Q$27,MATCH($B$3,'Coeff EC7'!$C$7:$C$27,0),MATCH(D337&amp;E337,'Coeff EC7'!$D$5:$Q$5&amp;'Coeff EC7'!$D$6:$Q$6,0))</f>
        <v>#N/A</v>
      </c>
      <c r="O337" s="99" t="e">
        <f t="array" ref="O337">INDEX('Coeff EC7'!$D$41:$Q$61,MATCH($B$3,'Coeff EC7'!$C$41:$C$61,0),MATCH(D337&amp;E337,'Coeff EC7'!$D$39:$Q$39&amp;'Coeff EC7'!$D$40:$Q$40,0))</f>
        <v>#N/A</v>
      </c>
      <c r="P337" s="30" t="e">
        <f t="shared" si="566"/>
        <v>#N/A</v>
      </c>
      <c r="Q337" s="100" t="e">
        <f t="shared" si="533"/>
        <v>#N/A</v>
      </c>
      <c r="R337" s="86" t="b">
        <f t="shared" si="534"/>
        <v>0</v>
      </c>
      <c r="S337" s="86">
        <f t="shared" si="532"/>
        <v>0.5</v>
      </c>
      <c r="T337" s="86">
        <f t="shared" si="535"/>
        <v>0.5</v>
      </c>
      <c r="U337" s="30" t="e">
        <f t="shared" ca="1" si="567"/>
        <v>#DIV/0!</v>
      </c>
      <c r="V337" s="85" t="str">
        <f>IF(B337&lt;=Hypothèses!$V$7,Hypothèses!$W$7,IF(B337&lt;=Hypothèses!$V$8,Hypothèses!$W$8,IF(B337&lt;=Hypothèses!$V$9,Hypothèses!$W$9,IF(B337&lt;=Hypothèses!$V$10,Hypothèses!$W$10,IF(B337&lt;=Hypothèses!$V$11,Hypothèses!$W$11,IF(B337&lt;=Hypothèses!$V$12,Hypothèses!$W$12,IF(B337&lt;=Hypothèses!$V$13,Hypothèses!$W$13,IF(B337&lt;=Hypothèses!$V$14,Hypothèses!$W$14,IF(B337&lt;=Hypothèses!$V$15,Hypothèses!$W$15,IF(B337&lt;=Hypothèses!$V$16,Hypothèses!$W$16,IF(B337&lt;=Hypothèses!$V$17,Hypothèses!$W$17,IF(B337&lt;=Hypothèses!$V$18,Hypothèses!$W$18,""))))))))))))</f>
        <v/>
      </c>
      <c r="W337" s="87" t="e">
        <f t="shared" ref="W337:W363" ca="1" si="616">IF(V337&lt;&gt;"",V337,U337)</f>
        <v>#DIV/0!</v>
      </c>
      <c r="X337" s="88" t="str">
        <f>IF(B337&lt;=Hypothèses!$V$7,Hypothèses!$X$7,IF(B337&lt;=Hypothèses!$V$8,Hypothèses!$X$8,IF(B337&lt;=Hypothèses!$V$9,Hypothèses!$X$9,IF(B337&lt;=Hypothèses!$V$10,Hypothèses!$X$10,IF(B337&lt;=Hypothèses!$V$11,Hypothèses!$X$11,IF(B337&lt;=Hypothèses!$V$12,Hypothèses!$X$12,IF(B337&lt;=Hypothèses!$V$13,Hypothèses!$X$13,IF(B337&lt;=Hypothèses!$V$14,Hypothèses!$X$14,IF(B337&lt;=Hypothèses!$V$15,Hypothèses!$X$15,IF(B337&lt;=Hypothèses!$V$16,Hypothèses!$X$16,IF(B337&lt;=Hypothèses!$U$17,Hypothèses!$W$17,IF(B337&lt;=Hypothèses!$U$18,Hypothèses!$W$18,""))))))))))))</f>
        <v/>
      </c>
      <c r="Y337" s="95" t="e">
        <f t="shared" ca="1" si="536"/>
        <v>#DIV/0!</v>
      </c>
      <c r="Z337" s="101">
        <f t="shared" si="537"/>
        <v>0</v>
      </c>
      <c r="AA337" s="91">
        <f t="shared" si="538"/>
        <v>0</v>
      </c>
      <c r="AB337" s="30" t="e">
        <f t="shared" si="600"/>
        <v>#N/A</v>
      </c>
      <c r="AC337" s="30" t="e">
        <f t="shared" si="601"/>
        <v>#N/A</v>
      </c>
      <c r="AD337" s="31" t="e">
        <f>IF(OR(Hypothèses!$B$4=17,Hypothèses!$B$4=18,Hypothèses!$B$4=19,Hypothèses!$B$4=20),
IF($D337="Pressio.",
IF(OR($E337=3,$E337=1,$E337=4),AC337,AB337),
IF($D337="Pénétro.",
IF(OR($E337=3,$E337=1,$E337=4),AC337,AB337))),IF($D337="Pressio.",
IF($E337=3,AC337,AB337),
IF($D337="Pénétro.",
IF($E337=4,AC337,AB337))))</f>
        <v>#N/A</v>
      </c>
      <c r="AE337" s="31">
        <v>0</v>
      </c>
      <c r="AF337" s="102" t="e">
        <f>IF(NDC!$H$10="Oui",(VLOOKUP($B$3,'Coeff EC7'!$T$39:$X$59,2,0)*AD337+VLOOKUP($B$3,'Coeff EC7'!$T$65:$X$85,2,0)*Model0.1T!AE337)/1.5,PI()*AB$12*$Q337*($B337-$B336)*0.15/10+AF336)</f>
        <v>#N/A</v>
      </c>
      <c r="AG337" s="102" t="e">
        <f>(VLOOKUP($B$3,'Coeff EC7'!$T$39:$X$59,3,0)*AD337+VLOOKUP($B$3,'Coeff EC7'!$T$65:$X$85,3,0)*Model0.1T!AE337)/1.1</f>
        <v>#N/A</v>
      </c>
      <c r="AH337" s="102" t="e">
        <f t="shared" si="568"/>
        <v>#N/A</v>
      </c>
      <c r="AI337" s="102" t="e">
        <f t="shared" si="569"/>
        <v>#N/A</v>
      </c>
      <c r="AJ337" s="414" t="e">
        <f>IF(AND(AF337&gt;NDC!$C$63,AG337&gt;NDC!$C$65,AH337&gt;NDC!$D$73,AI337&gt;NDC!$D$74,$B337&gt;NDC!$H$22-0.1+MIN(3*$AJ$12,1.5)),0,1)</f>
        <v>#N/A</v>
      </c>
      <c r="AK337" s="86" t="b">
        <f t="shared" si="539"/>
        <v>0</v>
      </c>
      <c r="AL337" s="86">
        <f t="shared" si="570"/>
        <v>0.5</v>
      </c>
      <c r="AM337" s="86">
        <f t="shared" si="540"/>
        <v>0.5</v>
      </c>
      <c r="AN337" s="30" t="e">
        <f t="shared" ca="1" si="571"/>
        <v>#DIV/0!</v>
      </c>
      <c r="AO337" s="85" t="e">
        <f ca="1">IF(U337&lt;=Hypothèses!$V$7,Hypothèses!$W$7,IF(U337&lt;=Hypothèses!$V$8,Hypothèses!$W$8,IF(U337&lt;=Hypothèses!$V$9,Hypothèses!$W$9,IF(U337&lt;=Hypothèses!$V$10,Hypothèses!$W$10,IF(U337&lt;=Hypothèses!$V$11,Hypothèses!$W$11,IF(U337&lt;=Hypothèses!$V$12,Hypothèses!$W$12,IF(U337&lt;=Hypothèses!$V$13,Hypothèses!$W$13,IF(U337&lt;=Hypothèses!$V$14,Hypothèses!$W$14,IF(U337&lt;=Hypothèses!$V$15,Hypothèses!$W$15,IF(U337&lt;=Hypothèses!$V$16,Hypothèses!$W$16,IF(U337&lt;=Hypothèses!$V$17,Hypothèses!$W$17,IF(U337&lt;=Hypothèses!$V$18,Hypothèses!$W$18,""))))))))))))</f>
        <v>#DIV/0!</v>
      </c>
      <c r="AP337" s="87" t="e">
        <f t="shared" ref="AP337:AP363" ca="1" si="617">IF(AO337&lt;&gt;"",AO337,AN337)</f>
        <v>#DIV/0!</v>
      </c>
      <c r="AQ337" s="88" t="e">
        <f ca="1">IF(U337&lt;=Hypothèses!$V$7,Hypothèses!$X$7,IF(U337&lt;=Hypothèses!$V$8,Hypothèses!$X$8,IF(U337&lt;=Hypothèses!$V$9,Hypothèses!$X$9,IF(U337&lt;=Hypothèses!$V$10,Hypothèses!$X$10,IF(U337&lt;=Hypothèses!$V$11,Hypothèses!$X$11,IF(U337&lt;=Hypothèses!$V$12,Hypothèses!$X$12,IF(U337&lt;=Hypothèses!$V$13,Hypothèses!$X$13,IF(U337&lt;=Hypothèses!$V$14,Hypothèses!$X$14,IF(U337&lt;=Hypothèses!$V$15,Hypothèses!$X$15,IF(U337&lt;=Hypothèses!$V$16,Hypothèses!$X$16,IF(U337&lt;=Hypothèses!$U$17,Hypothèses!$W$17,IF(U337&lt;=Hypothèses!$U$18,Hypothèses!$W$18,""))))))))))))</f>
        <v>#DIV/0!</v>
      </c>
      <c r="AR337" s="95" t="e">
        <f t="shared" ca="1" si="572"/>
        <v>#DIV/0!</v>
      </c>
      <c r="AS337" s="101">
        <f t="shared" si="524"/>
        <v>0</v>
      </c>
      <c r="AT337" s="91">
        <f t="shared" si="541"/>
        <v>0</v>
      </c>
      <c r="AU337" s="30" t="e">
        <f t="shared" si="602"/>
        <v>#N/A</v>
      </c>
      <c r="AV337" s="30" t="e">
        <f t="shared" si="603"/>
        <v>#N/A</v>
      </c>
      <c r="AW337" s="31" t="e">
        <f>IF(OR(Hypothèses!$B$4=17,Hypothèses!$B$4=18,Hypothèses!$B$4=19,Hypothèses!$B$4=20),
IF($D337="Pressio.",
IF(OR($E337=3,$E337=1,$E337=4),AV337,AU337),
IF($D337="Pénétro.",
IF(OR($E337=3,$E337=1,$E337=4),AV337,AU337))),IF($D337="Pressio.",
IF($E337=3,AV337,AU337),
IF($D337="Pénétro.",
IF($E337=4,AV337,AU337))))</f>
        <v>#N/A</v>
      </c>
      <c r="AX337" s="31">
        <v>0</v>
      </c>
      <c r="AY337" s="102" t="e">
        <f>IF(NDC!$H$10="Oui",(VLOOKUP($B$3,'Coeff EC7'!$T$39:$X$59,2,0)*AW337+VLOOKUP($B$3,'Coeff EC7'!$T$65:$X$85,2,0)*Model0.1T!AX337)/1.5,PI()*AU$12*$Q337*($B337-$B336)*0.15/10+AY336)</f>
        <v>#N/A</v>
      </c>
      <c r="AZ337" s="102" t="e">
        <f>(VLOOKUP($B$3,'Coeff EC7'!$T$39:$X$59,3,0)*AW337+VLOOKUP($B$3,'Coeff EC7'!$T$65:$X$85,3,0)*Model0.1T!AX337)/1.1</f>
        <v>#N/A</v>
      </c>
      <c r="BA337" s="102" t="e">
        <f t="shared" si="573"/>
        <v>#N/A</v>
      </c>
      <c r="BB337" s="102" t="e">
        <f t="shared" si="574"/>
        <v>#N/A</v>
      </c>
      <c r="BC337" s="414" t="e">
        <f>IF(AND(AY337&gt;NDC!$C$63,AZ337&gt;NDC!$C$65,BA337&gt;NDC!$D$73,BB337&gt;NDC!$D$74,$B337&gt;NDC!$H$22-0.1+MIN(3*BC$12,1.5)),0,1)</f>
        <v>#N/A</v>
      </c>
      <c r="BD337" s="86" t="b">
        <f t="shared" si="542"/>
        <v>0</v>
      </c>
      <c r="BE337" s="86">
        <f t="shared" si="575"/>
        <v>0.5</v>
      </c>
      <c r="BF337" s="86">
        <f t="shared" si="543"/>
        <v>0.5</v>
      </c>
      <c r="BG337" s="30" t="e">
        <f t="shared" ca="1" si="576"/>
        <v>#DIV/0!</v>
      </c>
      <c r="BH337" s="85" t="e">
        <f ca="1">IF(AN337&lt;=Hypothèses!$V$7,Hypothèses!$W$7,IF(AN337&lt;=Hypothèses!$V$8,Hypothèses!$W$8,IF(AN337&lt;=Hypothèses!$V$9,Hypothèses!$W$9,IF(AN337&lt;=Hypothèses!$V$10,Hypothèses!$W$10,IF(AN337&lt;=Hypothèses!$V$11,Hypothèses!$W$11,IF(AN337&lt;=Hypothèses!$V$12,Hypothèses!$W$12,IF(AN337&lt;=Hypothèses!$V$13,Hypothèses!$W$13,IF(AN337&lt;=Hypothèses!$V$14,Hypothèses!$W$14,IF(AN337&lt;=Hypothèses!$V$15,Hypothèses!$W$15,IF(AN337&lt;=Hypothèses!$V$16,Hypothèses!$W$16,IF(AN337&lt;=Hypothèses!$V$17,Hypothèses!$W$17,IF(AN337&lt;=Hypothèses!$V$18,Hypothèses!$W$18,""))))))))))))</f>
        <v>#DIV/0!</v>
      </c>
      <c r="BI337" s="87" t="e">
        <f t="shared" ref="BI337:BI363" ca="1" si="618">IF(BH337&lt;&gt;"",BH337,BG337)</f>
        <v>#DIV/0!</v>
      </c>
      <c r="BJ337" s="88" t="e">
        <f ca="1">IF(AN337&lt;=Hypothèses!$V$7,Hypothèses!$X$7,IF(AN337&lt;=Hypothèses!$V$8,Hypothèses!$X$8,IF(AN337&lt;=Hypothèses!$V$9,Hypothèses!$X$9,IF(AN337&lt;=Hypothèses!$V$10,Hypothèses!$X$10,IF(AN337&lt;=Hypothèses!$V$11,Hypothèses!$X$11,IF(AN337&lt;=Hypothèses!$V$12,Hypothèses!$X$12,IF(AN337&lt;=Hypothèses!$V$13,Hypothèses!$X$13,IF(AN337&lt;=Hypothèses!$V$14,Hypothèses!$X$14,IF(AN337&lt;=Hypothèses!$V$15,Hypothèses!$X$15,IF(AN337&lt;=Hypothèses!$V$16,Hypothèses!$X$16,IF(AN337&lt;=Hypothèses!$U$17,Hypothèses!$W$17,IF(AN337&lt;=Hypothèses!$U$18,Hypothèses!$W$18,""))))))))))))</f>
        <v>#DIV/0!</v>
      </c>
      <c r="BK337" s="95" t="e">
        <f t="shared" ca="1" si="577"/>
        <v>#DIV/0!</v>
      </c>
      <c r="BL337" s="101">
        <f t="shared" si="525"/>
        <v>0</v>
      </c>
      <c r="BM337" s="91">
        <f t="shared" si="544"/>
        <v>0</v>
      </c>
      <c r="BN337" s="30" t="e">
        <f t="shared" si="604"/>
        <v>#N/A</v>
      </c>
      <c r="BO337" s="30" t="e">
        <f t="shared" si="605"/>
        <v>#N/A</v>
      </c>
      <c r="BP337" s="31" t="e">
        <f>IF(OR(Hypothèses!$B$4=17,Hypothèses!$B$4=18,Hypothèses!$B$4=19,Hypothèses!$B$4=20),
IF($D337="Pressio.",
IF(OR($E337=3,$E337=1,$E337=4),BO337,BN337),
IF($D337="Pénétro.",
IF(OR($E337=3,$E337=1,$E337=4),BO337,BN337))),IF($D337="Pressio.",
IF($E337=3,BO337,BN337),
IF($D337="Pénétro.",
IF($E337=4,BO337,BN337))))</f>
        <v>#N/A</v>
      </c>
      <c r="BQ337" s="31">
        <v>0</v>
      </c>
      <c r="BR337" s="102" t="e">
        <f>IF(NDC!$H$10="Oui",(VLOOKUP($B$3,'Coeff EC7'!$T$39:$X$59,2,0)*BP337+VLOOKUP($B$3,'Coeff EC7'!$T$65:$X$85,2,0)*Model0.1T!BQ337)/1.5,PI()*BN$12*$Q337*($B337-$B336)*0.15/10+BR336)</f>
        <v>#N/A</v>
      </c>
      <c r="BS337" s="102" t="e">
        <f>(VLOOKUP($B$3,'Coeff EC7'!$T$39:$X$59,3,0)*BP337+VLOOKUP($B$3,'Coeff EC7'!$T$65:$X$85,3,0)*Model0.1T!BQ337)/1.1</f>
        <v>#N/A</v>
      </c>
      <c r="BT337" s="102" t="e">
        <f t="shared" si="578"/>
        <v>#N/A</v>
      </c>
      <c r="BU337" s="102" t="e">
        <f t="shared" si="579"/>
        <v>#N/A</v>
      </c>
      <c r="BV337" s="414" t="e">
        <f>IF(AND(BR337&gt;NDC!$C$63,BS337&gt;NDC!$C$65,BT337&gt;NDC!$D$73,BU337&gt;NDC!$D$74,$B337&gt;NDC!$H$22-0.1+MIN(3*BV$12,1.5)),0,1)</f>
        <v>#N/A</v>
      </c>
      <c r="BW337" s="86" t="b">
        <f t="shared" si="545"/>
        <v>0</v>
      </c>
      <c r="BX337" s="86">
        <f t="shared" si="546"/>
        <v>0.5</v>
      </c>
      <c r="BY337" s="86">
        <f t="shared" si="547"/>
        <v>0.5</v>
      </c>
      <c r="BZ337" s="30" t="e">
        <f t="shared" ca="1" si="580"/>
        <v>#DIV/0!</v>
      </c>
      <c r="CA337" s="85" t="e">
        <f ca="1">IF(BG337&lt;=Hypothèses!$V$7,Hypothèses!$W$7,IF(BG337&lt;=Hypothèses!$V$8,Hypothèses!$W$8,IF(BG337&lt;=Hypothèses!$V$9,Hypothèses!$W$9,IF(BG337&lt;=Hypothèses!$V$10,Hypothèses!$W$10,IF(BG337&lt;=Hypothèses!$V$11,Hypothèses!$W$11,IF(BG337&lt;=Hypothèses!$V$12,Hypothèses!$W$12,IF(BG337&lt;=Hypothèses!$V$13,Hypothèses!$W$13,IF(BG337&lt;=Hypothèses!$V$14,Hypothèses!$W$14,IF(BG337&lt;=Hypothèses!$V$15,Hypothèses!$W$15,IF(BG337&lt;=Hypothèses!$V$16,Hypothèses!$W$16,IF(BG337&lt;=Hypothèses!$V$17,Hypothèses!$W$17,IF(BG337&lt;=Hypothèses!$V$18,Hypothèses!$W$18,""))))))))))))</f>
        <v>#DIV/0!</v>
      </c>
      <c r="CB337" s="87" t="e">
        <f t="shared" ref="CB337:CB363" ca="1" si="619">IF(CA337&lt;&gt;"",CA337,BZ337)</f>
        <v>#DIV/0!</v>
      </c>
      <c r="CC337" s="88" t="e">
        <f ca="1">IF(BG337&lt;=Hypothèses!$V$7,Hypothèses!$X$7,IF(BG337&lt;=Hypothèses!$V$8,Hypothèses!$X$8,IF(BG337&lt;=Hypothèses!$V$9,Hypothèses!$X$9,IF(BG337&lt;=Hypothèses!$V$10,Hypothèses!$X$10,IF(BG337&lt;=Hypothèses!$V$11,Hypothèses!$X$11,IF(BG337&lt;=Hypothèses!$V$12,Hypothèses!$X$12,IF(BG337&lt;=Hypothèses!$V$13,Hypothèses!$X$13,IF(BG337&lt;=Hypothèses!$V$14,Hypothèses!$X$14,IF(BG337&lt;=Hypothèses!$V$15,Hypothèses!$X$15,IF(BG337&lt;=Hypothèses!$V$16,Hypothèses!$X$16,IF(BG337&lt;=Hypothèses!$U$17,Hypothèses!$W$17,IF(BG337&lt;=Hypothèses!$U$18,Hypothèses!$W$18,""))))))))))))</f>
        <v>#DIV/0!</v>
      </c>
      <c r="CD337" s="95" t="e">
        <f t="shared" ca="1" si="581"/>
        <v>#DIV/0!</v>
      </c>
      <c r="CE337" s="101">
        <f t="shared" si="526"/>
        <v>0</v>
      </c>
      <c r="CF337" s="91">
        <f t="shared" si="548"/>
        <v>0</v>
      </c>
      <c r="CG337" s="30" t="e">
        <f t="shared" si="606"/>
        <v>#N/A</v>
      </c>
      <c r="CH337" s="30" t="e">
        <f t="shared" si="607"/>
        <v>#N/A</v>
      </c>
      <c r="CI337" s="31" t="e">
        <f>IF(OR(Hypothèses!$B$4=17,Hypothèses!$B$4=18,Hypothèses!$B$4=19,Hypothèses!$B$4=20),
IF($D337="Pressio.",
IF(OR($E337=3,$E337=1,$E337=4),CH337,CG337),
IF($D337="Pénétro.",
IF(OR($E337=3,$E337=1,$E337=4),CH337,CG337))),IF($D337="Pressio.",
IF($E337=3,CH337,CG337),
IF($D337="Pénétro.",
IF($E337=4,CH337,CG337))))</f>
        <v>#N/A</v>
      </c>
      <c r="CJ337" s="31">
        <v>0</v>
      </c>
      <c r="CK337" s="102" t="e">
        <f>IF(NDC!$H$10="Oui",(VLOOKUP($B$3,'Coeff EC7'!$T$39:$X$59,2,0)*CI337+VLOOKUP($B$3,'Coeff EC7'!$T$65:$X$85,2,0)*Model0.1T!CJ337)/1.5,PI()*CG$12*$Q337*($B337-$B336)*0.15/10+CK336)</f>
        <v>#N/A</v>
      </c>
      <c r="CL337" s="102" t="e">
        <f>(VLOOKUP($B$3,'Coeff EC7'!$T$39:$X$59,3,0)*CI337+VLOOKUP($B$3,'Coeff EC7'!$T$65:$X$85,3,0)*Model0.1T!CJ337)/1.1</f>
        <v>#N/A</v>
      </c>
      <c r="CM337" s="102" t="e">
        <f t="shared" si="582"/>
        <v>#N/A</v>
      </c>
      <c r="CN337" s="102" t="e">
        <f t="shared" si="583"/>
        <v>#N/A</v>
      </c>
      <c r="CO337" s="414" t="e">
        <f>IF(AND(CK337&gt;NDC!$C$63,CL337&gt;NDC!$C$65,CM337&gt;NDC!$D$73,CN337&gt;NDC!$D$74,$B337&gt;NDC!$H$22-0.1+MIN(3*CO$12,1.5)),0,1)</f>
        <v>#N/A</v>
      </c>
      <c r="CP337" s="86" t="b">
        <f t="shared" si="549"/>
        <v>0</v>
      </c>
      <c r="CQ337" s="86">
        <f t="shared" si="550"/>
        <v>0.5</v>
      </c>
      <c r="CR337" s="86">
        <f t="shared" si="551"/>
        <v>0.5</v>
      </c>
      <c r="CS337" s="30" t="e">
        <f t="shared" ca="1" si="584"/>
        <v>#DIV/0!</v>
      </c>
      <c r="CT337" s="85" t="e">
        <f ca="1">IF(BZ337&lt;=Hypothèses!$V$7,Hypothèses!$W$7,IF(BZ337&lt;=Hypothèses!$V$8,Hypothèses!$W$8,IF(BZ337&lt;=Hypothèses!$V$9,Hypothèses!$W$9,IF(BZ337&lt;=Hypothèses!$V$10,Hypothèses!$W$10,IF(BZ337&lt;=Hypothèses!$V$11,Hypothèses!$W$11,IF(BZ337&lt;=Hypothèses!$V$12,Hypothèses!$W$12,IF(BZ337&lt;=Hypothèses!$V$13,Hypothèses!$W$13,IF(BZ337&lt;=Hypothèses!$V$14,Hypothèses!$W$14,IF(BZ337&lt;=Hypothèses!$V$15,Hypothèses!$W$15,IF(BZ337&lt;=Hypothèses!$V$16,Hypothèses!$W$16,IF(BZ337&lt;=Hypothèses!$V$17,Hypothèses!$W$17,IF(BZ337&lt;=Hypothèses!$V$18,Hypothèses!$W$18,""))))))))))))</f>
        <v>#DIV/0!</v>
      </c>
      <c r="CU337" s="87" t="e">
        <f t="shared" ref="CU337:CU363" ca="1" si="620">IF(CT337&lt;&gt;"",CT337,CS337)</f>
        <v>#DIV/0!</v>
      </c>
      <c r="CV337" s="88" t="e">
        <f ca="1">IF(BZ337&lt;=Hypothèses!$V$7,Hypothèses!$X$7,IF(BZ337&lt;=Hypothèses!$V$8,Hypothèses!$X$8,IF(BZ337&lt;=Hypothèses!$V$9,Hypothèses!$X$9,IF(BZ337&lt;=Hypothèses!$V$10,Hypothèses!$X$10,IF(BZ337&lt;=Hypothèses!$V$11,Hypothèses!$X$11,IF(BZ337&lt;=Hypothèses!$V$12,Hypothèses!$X$12,IF(BZ337&lt;=Hypothèses!$V$13,Hypothèses!$X$13,IF(BZ337&lt;=Hypothèses!$V$14,Hypothèses!$X$14,IF(BZ337&lt;=Hypothèses!$V$15,Hypothèses!$X$15,IF(BZ337&lt;=Hypothèses!$V$16,Hypothèses!$X$16,IF(BZ337&lt;=Hypothèses!$U$17,Hypothèses!$W$17,IF(BZ337&lt;=Hypothèses!$U$18,Hypothèses!$W$18,""))))))))))))</f>
        <v>#DIV/0!</v>
      </c>
      <c r="CW337" s="95" t="e">
        <f t="shared" ca="1" si="585"/>
        <v>#DIV/0!</v>
      </c>
      <c r="CX337" s="101">
        <f t="shared" si="527"/>
        <v>0</v>
      </c>
      <c r="CY337" s="91">
        <f t="shared" si="552"/>
        <v>0</v>
      </c>
      <c r="CZ337" s="30" t="e">
        <f t="shared" si="608"/>
        <v>#N/A</v>
      </c>
      <c r="DA337" s="30" t="e">
        <f t="shared" si="609"/>
        <v>#N/A</v>
      </c>
      <c r="DB337" s="31" t="e">
        <f>IF(OR(Hypothèses!$B$4=17,Hypothèses!$B$4=18,Hypothèses!$B$4=19,Hypothèses!$B$4=20),
IF($D337="Pressio.",
IF(OR($E337=3,$E337=1,$E337=4),DA337,CZ337),
IF($D337="Pénétro.",
IF(OR($E337=3,$E337=1,$E337=4),DA337,CZ337))),IF($D337="Pressio.",
IF($E337=3,DA337,CZ337),
IF($D337="Pénétro.",
IF($E337=4,DA337,CZ337))))</f>
        <v>#N/A</v>
      </c>
      <c r="DC337" s="31">
        <v>0</v>
      </c>
      <c r="DD337" s="102" t="e">
        <f>IF(NDC!$H$10="Oui",(VLOOKUP($B$3,'Coeff EC7'!$T$39:$X$59,2,0)*DB337+VLOOKUP($B$3,'Coeff EC7'!$T$65:$X$85,2,0)*Model0.1T!DC337)/1.5,PI()*CZ$12*$Q337*($B337-$B336)*0.15/10+DD336)</f>
        <v>#N/A</v>
      </c>
      <c r="DE337" s="102" t="e">
        <f>(VLOOKUP($B$3,'Coeff EC7'!$T$39:$X$59,3,0)*DB337+VLOOKUP($B$3,'Coeff EC7'!$T$65:$X$85,3,0)*Model0.1T!DC337)/1.1</f>
        <v>#N/A</v>
      </c>
      <c r="DF337" s="102" t="e">
        <f t="shared" si="586"/>
        <v>#N/A</v>
      </c>
      <c r="DG337" s="102" t="e">
        <f t="shared" si="587"/>
        <v>#N/A</v>
      </c>
      <c r="DH337" s="414" t="e">
        <f>IF(AND(DD337&gt;NDC!$C$63,DE337&gt;NDC!$C$65,DF337&gt;NDC!$D$73,DG337&gt;NDC!$D$74,$B337&gt;NDC!$H$22-0.1+MIN(3*DH$12,1.5)),0,1)</f>
        <v>#N/A</v>
      </c>
      <c r="DI337" s="86" t="b">
        <f t="shared" si="553"/>
        <v>0</v>
      </c>
      <c r="DJ337" s="86">
        <f t="shared" si="554"/>
        <v>0.5</v>
      </c>
      <c r="DK337" s="86">
        <f t="shared" si="555"/>
        <v>0.5</v>
      </c>
      <c r="DL337" s="30" t="e">
        <f t="shared" ca="1" si="588"/>
        <v>#DIV/0!</v>
      </c>
      <c r="DM337" s="85" t="e">
        <f ca="1">IF(CS337&lt;=Hypothèses!$V$7,Hypothèses!$W$7,IF(CS337&lt;=Hypothèses!$V$8,Hypothèses!$W$8,IF(CS337&lt;=Hypothèses!$V$9,Hypothèses!$W$9,IF(CS337&lt;=Hypothèses!$V$10,Hypothèses!$W$10,IF(CS337&lt;=Hypothèses!$V$11,Hypothèses!$W$11,IF(CS337&lt;=Hypothèses!$V$12,Hypothèses!$W$12,IF(CS337&lt;=Hypothèses!$V$13,Hypothèses!$W$13,IF(CS337&lt;=Hypothèses!$V$14,Hypothèses!$W$14,IF(CS337&lt;=Hypothèses!$V$15,Hypothèses!$W$15,IF(CS337&lt;=Hypothèses!$V$16,Hypothèses!$W$16,IF(CS337&lt;=Hypothèses!$V$17,Hypothèses!$W$17,IF(CS337&lt;=Hypothèses!$V$18,Hypothèses!$W$18,""))))))))))))</f>
        <v>#DIV/0!</v>
      </c>
      <c r="DN337" s="87" t="e">
        <f t="shared" ref="DN337:DN363" ca="1" si="621">IF(DM337&lt;&gt;"",DM337,DL337)</f>
        <v>#DIV/0!</v>
      </c>
      <c r="DO337" s="88" t="e">
        <f ca="1">IF(CS337&lt;=Hypothèses!$V$7,Hypothèses!$X$7,IF(CS337&lt;=Hypothèses!$V$8,Hypothèses!$X$8,IF(CS337&lt;=Hypothèses!$V$9,Hypothèses!$X$9,IF(CS337&lt;=Hypothèses!$V$10,Hypothèses!$X$10,IF(CS337&lt;=Hypothèses!$V$11,Hypothèses!$X$11,IF(CS337&lt;=Hypothèses!$V$12,Hypothèses!$X$12,IF(CS337&lt;=Hypothèses!$V$13,Hypothèses!$X$13,IF(CS337&lt;=Hypothèses!$V$14,Hypothèses!$X$14,IF(CS337&lt;=Hypothèses!$V$15,Hypothèses!$X$15,IF(CS337&lt;=Hypothèses!$V$16,Hypothèses!$X$16,IF(CS337&lt;=Hypothèses!$U$17,Hypothèses!$W$17,IF(CS337&lt;=Hypothèses!$U$18,Hypothèses!$W$18,""))))))))))))</f>
        <v>#DIV/0!</v>
      </c>
      <c r="DP337" s="95" t="e">
        <f t="shared" ca="1" si="589"/>
        <v>#DIV/0!</v>
      </c>
      <c r="DQ337" s="101">
        <f t="shared" si="528"/>
        <v>0</v>
      </c>
      <c r="DR337" s="91">
        <f t="shared" si="556"/>
        <v>0</v>
      </c>
      <c r="DS337" s="30" t="e">
        <f t="shared" si="610"/>
        <v>#N/A</v>
      </c>
      <c r="DT337" s="30" t="e">
        <f t="shared" si="611"/>
        <v>#N/A</v>
      </c>
      <c r="DU337" s="31" t="e">
        <f>IF(OR(Hypothèses!$B$4=17,Hypothèses!$B$4=18,Hypothèses!$B$4=19,Hypothèses!$B$4=20),
IF($D337="Pressio.",
IF(OR($E337=3,$E337=1,$E337=4),DT337,DS337),
IF($D337="Pénétro.",
IF(OR($E337=3,$E337=1,$E337=4),DT337,DS337))),IF($D337="Pressio.",
IF($E337=3,DT337,DS337),
IF($D337="Pénétro.",
IF($E337=4,DT337,DS337))))</f>
        <v>#N/A</v>
      </c>
      <c r="DV337" s="31">
        <v>0</v>
      </c>
      <c r="DW337" s="102" t="e">
        <f>IF(NDC!$H$10="Oui",(VLOOKUP($B$3,'Coeff EC7'!$T$39:$X$59,2,0)*DU337+VLOOKUP($B$3,'Coeff EC7'!$T$65:$X$85,2,0)*Model0.1T!DV337)/1.5,PI()*DS$12*$Q337*($B337-$B336)*0.15/10+DW336)</f>
        <v>#N/A</v>
      </c>
      <c r="DX337" s="102" t="e">
        <f>(VLOOKUP($B$3,'Coeff EC7'!$T$39:$X$59,3,0)*DU337+VLOOKUP($B$3,'Coeff EC7'!$T$65:$X$85,3,0)*Model0.1T!DV337)/1.1</f>
        <v>#N/A</v>
      </c>
      <c r="DY337" s="102" t="e">
        <f t="shared" si="590"/>
        <v>#N/A</v>
      </c>
      <c r="DZ337" s="102" t="e">
        <f t="shared" si="591"/>
        <v>#N/A</v>
      </c>
      <c r="EA337" s="414" t="e">
        <f>IF(AND(DW337&gt;NDC!$C$63,DX337&gt;NDC!$C$65,DY337&gt;NDC!$D$73,DZ337&gt;NDC!$D$74,$B337&gt;NDC!$H$22-0.1+MIN(3*EA$12,1.5)),0,1)</f>
        <v>#N/A</v>
      </c>
      <c r="EB337" s="86" t="b">
        <f t="shared" si="557"/>
        <v>0</v>
      </c>
      <c r="EC337" s="418">
        <f t="shared" si="558"/>
        <v>0.51</v>
      </c>
      <c r="ED337" s="86">
        <f t="shared" si="559"/>
        <v>0.51</v>
      </c>
      <c r="EE337" s="30" t="e">
        <f t="shared" ca="1" si="592"/>
        <v>#DIV/0!</v>
      </c>
      <c r="EF337" s="85" t="e">
        <f ca="1">IF(DL337&lt;=Hypothèses!$V$7,Hypothèses!$W$7,IF(DL337&lt;=Hypothèses!$V$8,Hypothèses!$W$8,IF(DL337&lt;=Hypothèses!$V$9,Hypothèses!$W$9,IF(DL337&lt;=Hypothèses!$V$10,Hypothèses!$W$10,IF(DL337&lt;=Hypothèses!$V$11,Hypothèses!$W$11,IF(DL337&lt;=Hypothèses!$V$12,Hypothèses!$W$12,IF(DL337&lt;=Hypothèses!$V$13,Hypothèses!$W$13,IF(DL337&lt;=Hypothèses!$V$14,Hypothèses!$W$14,IF(DL337&lt;=Hypothèses!$V$15,Hypothèses!$W$15,IF(DL337&lt;=Hypothèses!$V$16,Hypothèses!$W$16,IF(DL337&lt;=Hypothèses!$V$17,Hypothèses!$W$17,IF(DL337&lt;=Hypothèses!$V$18,Hypothèses!$W$18,""))))))))))))</f>
        <v>#DIV/0!</v>
      </c>
      <c r="EG337" s="87" t="e">
        <f t="shared" ref="EG337:EG363" ca="1" si="622">IF(EF337&lt;&gt;"",EF337,EE337)</f>
        <v>#DIV/0!</v>
      </c>
      <c r="EH337" s="88" t="e">
        <f ca="1">IF(DL337&lt;=Hypothèses!$V$7,Hypothèses!$X$7,IF(DL337&lt;=Hypothèses!$V$8,Hypothèses!$X$8,IF(DL337&lt;=Hypothèses!$V$9,Hypothèses!$X$9,IF(DL337&lt;=Hypothèses!$V$10,Hypothèses!$X$10,IF(DL337&lt;=Hypothèses!$V$11,Hypothèses!$X$11,IF(DL337&lt;=Hypothèses!$V$12,Hypothèses!$X$12,IF(DL337&lt;=Hypothèses!$V$13,Hypothèses!$X$13,IF(DL337&lt;=Hypothèses!$V$14,Hypothèses!$X$14,IF(DL337&lt;=Hypothèses!$V$15,Hypothèses!$X$15,IF(DL337&lt;=Hypothèses!$V$16,Hypothèses!$X$16,IF(DL337&lt;=Hypothèses!$U$17,Hypothèses!$W$17,IF(DL337&lt;=Hypothèses!$U$18,Hypothèses!$W$18,""))))))))))))</f>
        <v>#DIV/0!</v>
      </c>
      <c r="EI337" s="95" t="e">
        <f t="shared" ca="1" si="593"/>
        <v>#DIV/0!</v>
      </c>
      <c r="EJ337" s="101">
        <f t="shared" si="529"/>
        <v>0</v>
      </c>
      <c r="EK337" s="91">
        <f t="shared" si="560"/>
        <v>0</v>
      </c>
      <c r="EL337" s="30" t="e">
        <f t="shared" si="612"/>
        <v>#N/A</v>
      </c>
      <c r="EM337" s="30" t="e">
        <f t="shared" si="613"/>
        <v>#N/A</v>
      </c>
      <c r="EN337" s="31" t="e">
        <f>IF(OR(Hypothèses!$B$4=17,Hypothèses!$B$4=18,Hypothèses!$B$4=19,Hypothèses!$B$4=20),
IF($D337="Pressio.",
IF(OR($E337=3,$E337=1,$E337=4),EM337,EL337),
IF($D337="Pénétro.",
IF(OR($E337=3,$E337=1,$E337=4),EM337,EL337))),IF($D337="Pressio.",
IF($E337=3,EM337,EL337),
IF($D337="Pénétro.",
IF($E337=4,EM337,EL337))))</f>
        <v>#N/A</v>
      </c>
      <c r="EO337" s="31">
        <v>0</v>
      </c>
      <c r="EP337" s="102" t="e">
        <f>IF(NDC!$H$10="Oui",(VLOOKUP($B$3,'Coeff EC7'!$T$39:$X$59,2,0)*EN337+VLOOKUP($B$3,'Coeff EC7'!$T$65:$X$85,2,0)*Model0.1T!EO337)/1.5,PI()*EL$12*$Q337*($B337-$B336)*0.15/10+EP336)</f>
        <v>#N/A</v>
      </c>
      <c r="EQ337" s="102" t="e">
        <f>(VLOOKUP($B$3,'Coeff EC7'!$T$39:$X$59,3,0)*EN337+VLOOKUP($B$3,'Coeff EC7'!$T$65:$X$85,3,0)*Model0.1T!EO337)/1.1</f>
        <v>#N/A</v>
      </c>
      <c r="ER337" s="102" t="e">
        <f t="shared" si="594"/>
        <v>#N/A</v>
      </c>
      <c r="ES337" s="102" t="e">
        <f t="shared" si="595"/>
        <v>#N/A</v>
      </c>
      <c r="ET337" s="414" t="e">
        <f>IF(AND(EP337&gt;NDC!$C$63,EQ337&gt;NDC!$C$65,ER337&gt;NDC!$D$73,ES337&gt;NDC!$D$74,$B337&gt;NDC!$H$22-0.1+MIN(3*ET$12,1.5)),0,1)</f>
        <v>#N/A</v>
      </c>
      <c r="EU337" s="86" t="b">
        <f t="shared" si="561"/>
        <v>0</v>
      </c>
      <c r="EV337" s="86">
        <f t="shared" si="562"/>
        <v>0.61</v>
      </c>
      <c r="EW337" s="86">
        <f t="shared" si="563"/>
        <v>0.61</v>
      </c>
      <c r="EX337" s="30" t="e">
        <f t="shared" ca="1" si="596"/>
        <v>#DIV/0!</v>
      </c>
      <c r="EY337" s="85" t="e">
        <f ca="1">IF(EE337&lt;=Hypothèses!$V$7,Hypothèses!$W$7,IF(EE337&lt;=Hypothèses!$V$8,Hypothèses!$W$8,IF(EE337&lt;=Hypothèses!$V$9,Hypothèses!$W$9,IF(EE337&lt;=Hypothèses!$V$10,Hypothèses!$W$10,IF(EE337&lt;=Hypothèses!$V$11,Hypothèses!$W$11,IF(EE337&lt;=Hypothèses!$V$12,Hypothèses!$W$12,IF(EE337&lt;=Hypothèses!$V$13,Hypothèses!$W$13,IF(EE337&lt;=Hypothèses!$V$14,Hypothèses!$W$14,IF(EE337&lt;=Hypothèses!$V$15,Hypothèses!$W$15,IF(EE337&lt;=Hypothèses!$V$16,Hypothèses!$W$16,IF(EE337&lt;=Hypothèses!$V$17,Hypothèses!$W$17,IF(EE337&lt;=Hypothèses!$V$18,Hypothèses!$W$18,""))))))))))))</f>
        <v>#DIV/0!</v>
      </c>
      <c r="EZ337" s="87" t="e">
        <f t="shared" ref="EZ337:EZ363" ca="1" si="623">IF(EY337&lt;&gt;"",EY337,EX337)</f>
        <v>#DIV/0!</v>
      </c>
      <c r="FA337" s="88" t="e">
        <f ca="1">IF(EE337&lt;=Hypothèses!$V$7,Hypothèses!$X$7,IF(EE337&lt;=Hypothèses!$V$8,Hypothèses!$X$8,IF(EE337&lt;=Hypothèses!$V$9,Hypothèses!$X$9,IF(EE337&lt;=Hypothèses!$V$10,Hypothèses!$X$10,IF(EE337&lt;=Hypothèses!$V$11,Hypothèses!$X$11,IF(EE337&lt;=Hypothèses!$V$12,Hypothèses!$X$12,IF(EE337&lt;=Hypothèses!$V$13,Hypothèses!$X$13,IF(EE337&lt;=Hypothèses!$V$14,Hypothèses!$X$14,IF(EE337&lt;=Hypothèses!$V$15,Hypothèses!$X$15,IF(EE337&lt;=Hypothèses!$V$16,Hypothèses!$X$16,IF(EE337&lt;=Hypothèses!$U$17,Hypothèses!$W$17,IF(EE337&lt;=Hypothèses!$U$18,Hypothèses!$W$18,""))))))))))))</f>
        <v>#DIV/0!</v>
      </c>
      <c r="FB337" s="95" t="e">
        <f t="shared" ca="1" si="597"/>
        <v>#DIV/0!</v>
      </c>
      <c r="FC337" s="101">
        <f t="shared" si="530"/>
        <v>0</v>
      </c>
      <c r="FD337" s="91">
        <f t="shared" si="564"/>
        <v>0</v>
      </c>
      <c r="FE337" s="30" t="e">
        <f t="shared" si="614"/>
        <v>#N/A</v>
      </c>
      <c r="FF337" s="30" t="e">
        <f t="shared" si="615"/>
        <v>#N/A</v>
      </c>
      <c r="FG337" s="31" t="e">
        <f>IF(OR(Hypothèses!$B$4=17,Hypothèses!$B$4=18,Hypothèses!$B$4=19,Hypothèses!$B$4=20),
IF($D337="Pressio.",
IF(OR($E337=3,$E337=1,$E337=4),FF337,FE337),
IF($D337="Pénétro.",
IF(OR($E337=3,$E337=1,$E337=4),FF337,FE337))),IF($D337="Pressio.",
IF($E337=3,FF337,FE337),
IF($D337="Pénétro.",
IF($E337=4,FF337,FE337))))</f>
        <v>#N/A</v>
      </c>
      <c r="FH337" s="31">
        <v>0</v>
      </c>
      <c r="FI337" s="102" t="e">
        <f>IF(NDC!$H$10="Oui",(VLOOKUP($B$3,'Coeff EC7'!$T$39:$X$59,2,0)*FG337+VLOOKUP($B$3,'Coeff EC7'!$T$65:$X$85,2,0)*Model0.1T!FH337)/1.5,PI()*FE$12*$Q337*($B337-$B336)*0.15/10+FI336)</f>
        <v>#N/A</v>
      </c>
      <c r="FJ337" s="102" t="e">
        <f>(VLOOKUP($B$3,'Coeff EC7'!$T$39:$X$59,3,0)*FG337+VLOOKUP($B$3,'Coeff EC7'!$T$65:$X$85,3,0)*Model0.1T!FH337)/1.1</f>
        <v>#N/A</v>
      </c>
      <c r="FK337" s="102" t="e">
        <f t="shared" si="598"/>
        <v>#N/A</v>
      </c>
      <c r="FL337" s="102" t="e">
        <f t="shared" si="599"/>
        <v>#N/A</v>
      </c>
      <c r="FM337" s="414" t="e">
        <f>IF(AND(FI337&gt;NDC!$C$63,FJ337&gt;NDC!$C$65,FK337&gt;NDC!$D$73,FL337&gt;NDC!$D$74,$B337&gt;NDC!$H$22-0.1+MIN(3*FM$12,1.5)),0,1)</f>
        <v>#N/A</v>
      </c>
    </row>
    <row r="338" spans="1:169">
      <c r="A338" s="96">
        <f t="shared" si="565"/>
        <v>67.500000000001847</v>
      </c>
      <c r="B338" s="97">
        <v>32.5</v>
      </c>
      <c r="C338" s="81">
        <f>IF(B338&lt;=Hypothèses!$C$7,Hypothèses!$A$7,IF(B338&lt;=Hypothèses!$C$8,Hypothèses!$A$8,IF(B338&lt;=Hypothèses!$C$9,Hypothèses!$A$9,IF(B338&lt;=Hypothèses!$C$10,Hypothèses!$A$10,IF(B338&lt;=Hypothèses!$C$11,Hypothèses!$A$11,IF(B338&lt;=Hypothèses!$C$12,Hypothèses!$A$12,IF(B338&lt;=Hypothèses!$C$13,Hypothèses!$A$13,IF(B338&lt;=Hypothèses!$C$14,Hypothèses!$A$14,IF(B338&lt;=Hypothèses!$C$15,Hypothèses!$A$15,IF(B338&lt;=Hypothèses!$C$16,Hypothèses!$A$16,IF(B338&lt;=Hypothèses!$C$17,Hypothèses!$A$17,IF(B338&lt;=Hypothèses!$C$18,Hypothèses!$A$18,C337))))))))))))</f>
        <v>11</v>
      </c>
      <c r="D338" s="82" t="str">
        <f>IF(B338&lt;=Hypothèses!$C$7,Hypothèses!$R$7,IF(B338&lt;=Hypothèses!$C$8,Hypothèses!$R$8,IF(B338&lt;=Hypothèses!$C$9,Hypothèses!$R$9,IF(B338&lt;=Hypothèses!$C$10,Hypothèses!$R$10,IF(B338&lt;=Hypothèses!$C$11,Hypothèses!$R$11,IF(B338&lt;=Hypothèses!$C$12,Hypothèses!$R$12,IF(B338&lt;=Hypothèses!$C$13,Hypothèses!$R$13,IF(B338&lt;=Hypothèses!$C$14,Hypothèses!$R$14,IF(B338&lt;=Hypothèses!$C$15,Hypothèses!$R$15,IF(B338&lt;=Hypothèses!$C$16,Hypothèses!$R$16,IF(B338&lt;=Hypothèses!$C$17,Hypothèses!$R$17,IF(B338&lt;=Hypothèses!$C$18,Hypothèses!$R$18,D337))))))))))))</f>
        <v>Pressio.</v>
      </c>
      <c r="E338" s="82" t="e">
        <f>IF(B338&lt;=Hypothèses!$C$7,Hypothèses!$G$7,IF(B338&lt;=Hypothèses!$C$8,Hypothèses!$G$8,IF(B338&lt;=Hypothèses!$C$9,Hypothèses!$G$9,IF(B338&lt;=Hypothèses!$C$10,Hypothèses!$G$10,IF(B338&lt;=Hypothèses!$C$11,Hypothèses!$G$11,IF(B338&lt;=Hypothèses!$C$12,Hypothèses!$G$12,IF(B338&lt;=Hypothèses!$C$13,Hypothèses!$G$13,IF(B338&lt;=Hypothèses!$C$14,Hypothèses!$G$14,IF(B338&lt;=Hypothèses!$C$15,Hypothèses!$G$15,IF(B338&lt;=Hypothèses!$C$16,Hypothèses!$G$16,IF(B338&lt;=Hypothèses!$C$17,Hypothèses!$G$17,IF(B338&lt;=Hypothèses!$C$18,Hypothèses!$G$18,E337))))))))))))</f>
        <v>#N/A</v>
      </c>
      <c r="F338" s="82" t="str">
        <f>IF(B338&lt;=Hypothèses!$C$7,Hypothèses!$F$7,IF(B338&lt;=Hypothèses!$C$8,Hypothèses!$F$8,IF(B338&lt;=Hypothèses!$C$9,Hypothèses!$F$9,IF(B338&lt;=Hypothèses!$C$10,Hypothèses!$F$10,IF(B338&lt;=Hypothèses!$C$11,Hypothèses!$F$11,IF(B338&lt;=Hypothèses!$C$12,Hypothèses!$F$12,IF(B338&lt;=Hypothèses!$C$13,Hypothèses!$F$13,IF(B338&lt;=Hypothèses!$C$14,Hypothèses!$F$14,IF(B338&lt;=Hypothèses!$C$15,Hypothèses!$F$15,IF(B338&lt;=Hypothèses!$C$16,Hypothèses!$F$16,IF(B338&lt;=Hypothèses!$C$17,Hypothèses!$F$17,IF(B338&lt;=Hypothèses!$C$18,Hypothèses!$F$18,F337))))))))))))</f>
        <v/>
      </c>
      <c r="G338" s="91">
        <f t="array" ref="G338">INDEX('Coeff EC7'!$U$7:$X$27,
MATCH(Model0.1T!$B$3,'Coeff EC7'!$T$7:$T$27,0),
MATCH(Model0.1T!$D338&amp;Model0.1T!$B$4,
'Coeff EC7'!$U$6:$X$6&amp;
'Coeff EC7'!$U$5:$X$5,0))</f>
        <v>1.4</v>
      </c>
      <c r="H338" s="91">
        <f t="array" ref="H338">INDEX('Coeff EC7'!$Y$7:$AB$27,
MATCH(Model0.1T!$B$3,'Coeff EC7'!$T$7:$T$27,0),
MATCH(Model0.1T!$D338&amp;Model0.1T!$B$4,
'Coeff EC7'!$Y$6:$AB$6&amp;
'Coeff EC7'!$Y$5:$AB$5,0))</f>
        <v>1.7</v>
      </c>
      <c r="I338" s="83">
        <v>0</v>
      </c>
      <c r="J338" s="91" t="e">
        <f t="array" ref="J338">INDEX('Coeff EC7'!$D$33:$Q$33,1,MATCH(D338&amp;E338,'Coeff EC7'!$D$31:$Q$31&amp;'Coeff EC7'!$D$32:$Q$32,0))</f>
        <v>#N/A</v>
      </c>
      <c r="K338" s="91" t="e">
        <f t="array" ref="K338">INDEX('Coeff EC7'!$D$34:$Q$34,1,MATCH(D338&amp;E338,'Coeff EC7'!$D$31:$Q$31&amp;'Coeff EC7'!$D$32:$Q$32,0))</f>
        <v>#N/A</v>
      </c>
      <c r="L338" s="91" t="e">
        <f t="array" ref="L338">INDEX('Coeff EC7'!$D$35:$Q$35,1,MATCH(D338&amp;E338,'Coeff EC7'!$D$31:$Q$31&amp;'Coeff EC7'!$D$32:$Q$32,0))</f>
        <v>#N/A</v>
      </c>
      <c r="M338" s="98" t="e">
        <f t="shared" si="531"/>
        <v>#N/A</v>
      </c>
      <c r="N338" s="99" t="e">
        <f t="array" ref="N338">INDEX('Coeff EC7'!$D$7:$Q$27,MATCH($B$3,'Coeff EC7'!$C$7:$C$27,0),MATCH(D338&amp;E338,'Coeff EC7'!$D$5:$Q$5&amp;'Coeff EC7'!$D$6:$Q$6,0))</f>
        <v>#N/A</v>
      </c>
      <c r="O338" s="99" t="e">
        <f t="array" ref="O338">INDEX('Coeff EC7'!$D$41:$Q$61,MATCH($B$3,'Coeff EC7'!$C$41:$C$61,0),MATCH(D338&amp;E338,'Coeff EC7'!$D$39:$Q$39&amp;'Coeff EC7'!$D$40:$Q$40,0))</f>
        <v>#N/A</v>
      </c>
      <c r="P338" s="30" t="e">
        <f t="shared" si="566"/>
        <v>#N/A</v>
      </c>
      <c r="Q338" s="100" t="e">
        <f t="shared" si="533"/>
        <v>#N/A</v>
      </c>
      <c r="R338" s="86" t="b">
        <f t="shared" si="534"/>
        <v>0</v>
      </c>
      <c r="S338" s="86">
        <f t="shared" si="532"/>
        <v>0.5</v>
      </c>
      <c r="T338" s="86">
        <f t="shared" si="535"/>
        <v>0.5</v>
      </c>
      <c r="U338" s="30" t="e">
        <f t="shared" ca="1" si="567"/>
        <v>#DIV/0!</v>
      </c>
      <c r="V338" s="85" t="str">
        <f>IF(B338&lt;=Hypothèses!$V$7,Hypothèses!$W$7,IF(B338&lt;=Hypothèses!$V$8,Hypothèses!$W$8,IF(B338&lt;=Hypothèses!$V$9,Hypothèses!$W$9,IF(B338&lt;=Hypothèses!$V$10,Hypothèses!$W$10,IF(B338&lt;=Hypothèses!$V$11,Hypothèses!$W$11,IF(B338&lt;=Hypothèses!$V$12,Hypothèses!$W$12,IF(B338&lt;=Hypothèses!$V$13,Hypothèses!$W$13,IF(B338&lt;=Hypothèses!$V$14,Hypothèses!$W$14,IF(B338&lt;=Hypothèses!$V$15,Hypothèses!$W$15,IF(B338&lt;=Hypothèses!$V$16,Hypothèses!$W$16,IF(B338&lt;=Hypothèses!$V$17,Hypothèses!$W$17,IF(B338&lt;=Hypothèses!$V$18,Hypothèses!$W$18,""))))))))))))</f>
        <v/>
      </c>
      <c r="W338" s="87" t="e">
        <f t="shared" ca="1" si="616"/>
        <v>#DIV/0!</v>
      </c>
      <c r="X338" s="88" t="str">
        <f>IF(B338&lt;=Hypothèses!$V$7,Hypothèses!$X$7,IF(B338&lt;=Hypothèses!$V$8,Hypothèses!$X$8,IF(B338&lt;=Hypothèses!$V$9,Hypothèses!$X$9,IF(B338&lt;=Hypothèses!$V$10,Hypothèses!$X$10,IF(B338&lt;=Hypothèses!$V$11,Hypothèses!$X$11,IF(B338&lt;=Hypothèses!$V$12,Hypothèses!$X$12,IF(B338&lt;=Hypothèses!$V$13,Hypothèses!$X$13,IF(B338&lt;=Hypothèses!$V$14,Hypothèses!$X$14,IF(B338&lt;=Hypothèses!$V$15,Hypothèses!$X$15,IF(B338&lt;=Hypothèses!$V$16,Hypothèses!$X$16,IF(B338&lt;=Hypothèses!$U$17,Hypothèses!$W$17,IF(B338&lt;=Hypothèses!$U$18,Hypothèses!$W$18,""))))))))))))</f>
        <v/>
      </c>
      <c r="Y338" s="95" t="e">
        <f t="shared" ca="1" si="536"/>
        <v>#DIV/0!</v>
      </c>
      <c r="Z338" s="101">
        <f t="shared" si="537"/>
        <v>0</v>
      </c>
      <c r="AA338" s="91">
        <f t="shared" si="538"/>
        <v>0</v>
      </c>
      <c r="AB338" s="30" t="e">
        <f t="shared" si="600"/>
        <v>#N/A</v>
      </c>
      <c r="AC338" s="30" t="e">
        <f t="shared" si="601"/>
        <v>#N/A</v>
      </c>
      <c r="AD338" s="31" t="e">
        <f>IF(OR(Hypothèses!$B$4=17,Hypothèses!$B$4=18,Hypothèses!$B$4=19,Hypothèses!$B$4=20),
IF($D338="Pressio.",
IF(OR($E338=3,$E338=1,$E338=4),AC338,AB338),
IF($D338="Pénétro.",
IF(OR($E338=3,$E338=1,$E338=4),AC338,AB338))),IF($D338="Pressio.",
IF($E338=3,AC338,AB338),
IF($D338="Pénétro.",
IF($E338=4,AC338,AB338))))</f>
        <v>#N/A</v>
      </c>
      <c r="AE338" s="31">
        <v>0</v>
      </c>
      <c r="AF338" s="102" t="e">
        <f>IF(NDC!$H$10="Oui",(VLOOKUP($B$3,'Coeff EC7'!$T$39:$X$59,2,0)*AD338+VLOOKUP($B$3,'Coeff EC7'!$T$65:$X$85,2,0)*Model0.1T!AE338)/1.5,PI()*AB$12*$Q338*($B338-$B337)*0.15/10+AF337)</f>
        <v>#N/A</v>
      </c>
      <c r="AG338" s="102" t="e">
        <f>(VLOOKUP($B$3,'Coeff EC7'!$T$39:$X$59,3,0)*AD338+VLOOKUP($B$3,'Coeff EC7'!$T$65:$X$85,3,0)*Model0.1T!AE338)/1.1</f>
        <v>#N/A</v>
      </c>
      <c r="AH338" s="102" t="e">
        <f t="shared" si="568"/>
        <v>#N/A</v>
      </c>
      <c r="AI338" s="102" t="e">
        <f t="shared" si="569"/>
        <v>#N/A</v>
      </c>
      <c r="AJ338" s="414" t="e">
        <f>IF(AND(AF338&gt;NDC!$C$63,AG338&gt;NDC!$C$65,AH338&gt;NDC!$D$73,AI338&gt;NDC!$D$74,$B338&gt;NDC!$H$22-0.1+MIN(3*$AJ$12,1.5)),0,1)</f>
        <v>#N/A</v>
      </c>
      <c r="AK338" s="86" t="b">
        <f t="shared" si="539"/>
        <v>0</v>
      </c>
      <c r="AL338" s="86">
        <f t="shared" si="570"/>
        <v>0.5</v>
      </c>
      <c r="AM338" s="86">
        <f t="shared" si="540"/>
        <v>0.5</v>
      </c>
      <c r="AN338" s="30" t="e">
        <f t="shared" ca="1" si="571"/>
        <v>#DIV/0!</v>
      </c>
      <c r="AO338" s="85" t="e">
        <f ca="1">IF(U338&lt;=Hypothèses!$V$7,Hypothèses!$W$7,IF(U338&lt;=Hypothèses!$V$8,Hypothèses!$W$8,IF(U338&lt;=Hypothèses!$V$9,Hypothèses!$W$9,IF(U338&lt;=Hypothèses!$V$10,Hypothèses!$W$10,IF(U338&lt;=Hypothèses!$V$11,Hypothèses!$W$11,IF(U338&lt;=Hypothèses!$V$12,Hypothèses!$W$12,IF(U338&lt;=Hypothèses!$V$13,Hypothèses!$W$13,IF(U338&lt;=Hypothèses!$V$14,Hypothèses!$W$14,IF(U338&lt;=Hypothèses!$V$15,Hypothèses!$W$15,IF(U338&lt;=Hypothèses!$V$16,Hypothèses!$W$16,IF(U338&lt;=Hypothèses!$V$17,Hypothèses!$W$17,IF(U338&lt;=Hypothèses!$V$18,Hypothèses!$W$18,""))))))))))))</f>
        <v>#DIV/0!</v>
      </c>
      <c r="AP338" s="87" t="e">
        <f t="shared" ca="1" si="617"/>
        <v>#DIV/0!</v>
      </c>
      <c r="AQ338" s="88" t="e">
        <f ca="1">IF(U338&lt;=Hypothèses!$V$7,Hypothèses!$X$7,IF(U338&lt;=Hypothèses!$V$8,Hypothèses!$X$8,IF(U338&lt;=Hypothèses!$V$9,Hypothèses!$X$9,IF(U338&lt;=Hypothèses!$V$10,Hypothèses!$X$10,IF(U338&lt;=Hypothèses!$V$11,Hypothèses!$X$11,IF(U338&lt;=Hypothèses!$V$12,Hypothèses!$X$12,IF(U338&lt;=Hypothèses!$V$13,Hypothèses!$X$13,IF(U338&lt;=Hypothèses!$V$14,Hypothèses!$X$14,IF(U338&lt;=Hypothèses!$V$15,Hypothèses!$X$15,IF(U338&lt;=Hypothèses!$V$16,Hypothèses!$X$16,IF(U338&lt;=Hypothèses!$U$17,Hypothèses!$W$17,IF(U338&lt;=Hypothèses!$U$18,Hypothèses!$W$18,""))))))))))))</f>
        <v>#DIV/0!</v>
      </c>
      <c r="AR338" s="95" t="e">
        <f t="shared" ca="1" si="572"/>
        <v>#DIV/0!</v>
      </c>
      <c r="AS338" s="101">
        <f t="shared" ref="AS338:AS363" si="624">IF($I338=0,0,
IF(AR338&gt;5*AW$12,$I338,
IF($D338="Pressio.",1+($I338-1)*(AR338/AW$12)/5,
IF($D338="Pénétro.",IF($E338=1,0.3+($I338-0.3)*(AR338/AW$12)/5,
IF($E338=2,0.2+($I338-0.2)*(AR338/AW$12)/5,
IF($E338=3,0.1+($I338-0.1)*(AR338/AW$12)/5,
0.15+($I338-0.15)*(AR338/AW$12)/5)))))))</f>
        <v>0</v>
      </c>
      <c r="AT338" s="91">
        <f t="shared" si="541"/>
        <v>0</v>
      </c>
      <c r="AU338" s="30" t="e">
        <f t="shared" si="602"/>
        <v>#N/A</v>
      </c>
      <c r="AV338" s="30" t="e">
        <f t="shared" si="603"/>
        <v>#N/A</v>
      </c>
      <c r="AW338" s="31" t="e">
        <f>IF(OR(Hypothèses!$B$4=17,Hypothèses!$B$4=18,Hypothèses!$B$4=19,Hypothèses!$B$4=20),
IF($D338="Pressio.",
IF(OR($E338=3,$E338=1,$E338=4),AV338,AU338),
IF($D338="Pénétro.",
IF(OR($E338=3,$E338=1,$E338=4),AV338,AU338))),IF($D338="Pressio.",
IF($E338=3,AV338,AU338),
IF($D338="Pénétro.",
IF($E338=4,AV338,AU338))))</f>
        <v>#N/A</v>
      </c>
      <c r="AX338" s="31">
        <v>0</v>
      </c>
      <c r="AY338" s="102" t="e">
        <f>IF(NDC!$H$10="Oui",(VLOOKUP($B$3,'Coeff EC7'!$T$39:$X$59,2,0)*AW338+VLOOKUP($B$3,'Coeff EC7'!$T$65:$X$85,2,0)*Model0.1T!AX338)/1.5,PI()*AU$12*$Q338*($B338-$B337)*0.15/10+AY337)</f>
        <v>#N/A</v>
      </c>
      <c r="AZ338" s="102" t="e">
        <f>(VLOOKUP($B$3,'Coeff EC7'!$T$39:$X$59,3,0)*AW338+VLOOKUP($B$3,'Coeff EC7'!$T$65:$X$85,3,0)*Model0.1T!AX338)/1.1</f>
        <v>#N/A</v>
      </c>
      <c r="BA338" s="102" t="e">
        <f t="shared" si="573"/>
        <v>#N/A</v>
      </c>
      <c r="BB338" s="102" t="e">
        <f t="shared" si="574"/>
        <v>#N/A</v>
      </c>
      <c r="BC338" s="414" t="e">
        <f>IF(AND(AY338&gt;NDC!$C$63,AZ338&gt;NDC!$C$65,BA338&gt;NDC!$D$73,BB338&gt;NDC!$D$74,$B338&gt;NDC!$H$22-0.1+MIN(3*BC$12,1.5)),0,1)</f>
        <v>#N/A</v>
      </c>
      <c r="BD338" s="86" t="b">
        <f t="shared" si="542"/>
        <v>0</v>
      </c>
      <c r="BE338" s="86">
        <f t="shared" si="575"/>
        <v>0.5</v>
      </c>
      <c r="BF338" s="86">
        <f t="shared" si="543"/>
        <v>0.5</v>
      </c>
      <c r="BG338" s="30" t="e">
        <f t="shared" ca="1" si="576"/>
        <v>#DIV/0!</v>
      </c>
      <c r="BH338" s="85" t="e">
        <f ca="1">IF(AN338&lt;=Hypothèses!$V$7,Hypothèses!$W$7,IF(AN338&lt;=Hypothèses!$V$8,Hypothèses!$W$8,IF(AN338&lt;=Hypothèses!$V$9,Hypothèses!$W$9,IF(AN338&lt;=Hypothèses!$V$10,Hypothèses!$W$10,IF(AN338&lt;=Hypothèses!$V$11,Hypothèses!$W$11,IF(AN338&lt;=Hypothèses!$V$12,Hypothèses!$W$12,IF(AN338&lt;=Hypothèses!$V$13,Hypothèses!$W$13,IF(AN338&lt;=Hypothèses!$V$14,Hypothèses!$W$14,IF(AN338&lt;=Hypothèses!$V$15,Hypothèses!$W$15,IF(AN338&lt;=Hypothèses!$V$16,Hypothèses!$W$16,IF(AN338&lt;=Hypothèses!$V$17,Hypothèses!$W$17,IF(AN338&lt;=Hypothèses!$V$18,Hypothèses!$W$18,""))))))))))))</f>
        <v>#DIV/0!</v>
      </c>
      <c r="BI338" s="87" t="e">
        <f t="shared" ca="1" si="618"/>
        <v>#DIV/0!</v>
      </c>
      <c r="BJ338" s="88" t="e">
        <f ca="1">IF(AN338&lt;=Hypothèses!$V$7,Hypothèses!$X$7,IF(AN338&lt;=Hypothèses!$V$8,Hypothèses!$X$8,IF(AN338&lt;=Hypothèses!$V$9,Hypothèses!$X$9,IF(AN338&lt;=Hypothèses!$V$10,Hypothèses!$X$10,IF(AN338&lt;=Hypothèses!$V$11,Hypothèses!$X$11,IF(AN338&lt;=Hypothèses!$V$12,Hypothèses!$X$12,IF(AN338&lt;=Hypothèses!$V$13,Hypothèses!$X$13,IF(AN338&lt;=Hypothèses!$V$14,Hypothèses!$X$14,IF(AN338&lt;=Hypothèses!$V$15,Hypothèses!$X$15,IF(AN338&lt;=Hypothèses!$V$16,Hypothèses!$X$16,IF(AN338&lt;=Hypothèses!$U$17,Hypothèses!$W$17,IF(AN338&lt;=Hypothèses!$U$18,Hypothèses!$W$18,""))))))))))))</f>
        <v>#DIV/0!</v>
      </c>
      <c r="BK338" s="95" t="e">
        <f t="shared" ca="1" si="577"/>
        <v>#DIV/0!</v>
      </c>
      <c r="BL338" s="101">
        <f t="shared" ref="BL338:BL363" si="625">IF($I338=0,0,
IF(BK338&gt;5*BP$12,$I338,
IF($D338="Pressio.",1+($I338-1)*(BK338/BP$12)/5,
IF($D338="Pénétro.",IF($E338=1,0.3+($I338-0.3)*(BK338/BP$12)/5,
IF($E338=2,0.2+($I338-0.2)*(BK338/BP$12)/5,
IF($E338=3,0.1+($I338-0.1)*(BK338/BP$12)/5,
0.15+($I338-0.15)*(BK338/BP$12)/5)))))))</f>
        <v>0</v>
      </c>
      <c r="BM338" s="91">
        <f t="shared" si="544"/>
        <v>0</v>
      </c>
      <c r="BN338" s="30" t="e">
        <f t="shared" si="604"/>
        <v>#N/A</v>
      </c>
      <c r="BO338" s="30" t="e">
        <f t="shared" si="605"/>
        <v>#N/A</v>
      </c>
      <c r="BP338" s="31" t="e">
        <f>IF(OR(Hypothèses!$B$4=17,Hypothèses!$B$4=18,Hypothèses!$B$4=19,Hypothèses!$B$4=20),
IF($D338="Pressio.",
IF(OR($E338=3,$E338=1,$E338=4),BO338,BN338),
IF($D338="Pénétro.",
IF(OR($E338=3,$E338=1,$E338=4),BO338,BN338))),IF($D338="Pressio.",
IF($E338=3,BO338,BN338),
IF($D338="Pénétro.",
IF($E338=4,BO338,BN338))))</f>
        <v>#N/A</v>
      </c>
      <c r="BQ338" s="31">
        <v>0</v>
      </c>
      <c r="BR338" s="102" t="e">
        <f>IF(NDC!$H$10="Oui",(VLOOKUP($B$3,'Coeff EC7'!$T$39:$X$59,2,0)*BP338+VLOOKUP($B$3,'Coeff EC7'!$T$65:$X$85,2,0)*Model0.1T!BQ338)/1.5,PI()*BN$12*$Q338*($B338-$B337)*0.15/10+BR337)</f>
        <v>#N/A</v>
      </c>
      <c r="BS338" s="102" t="e">
        <f>(VLOOKUP($B$3,'Coeff EC7'!$T$39:$X$59,3,0)*BP338+VLOOKUP($B$3,'Coeff EC7'!$T$65:$X$85,3,0)*Model0.1T!BQ338)/1.1</f>
        <v>#N/A</v>
      </c>
      <c r="BT338" s="102" t="e">
        <f t="shared" si="578"/>
        <v>#N/A</v>
      </c>
      <c r="BU338" s="102" t="e">
        <f t="shared" si="579"/>
        <v>#N/A</v>
      </c>
      <c r="BV338" s="414" t="e">
        <f>IF(AND(BR338&gt;NDC!$C$63,BS338&gt;NDC!$C$65,BT338&gt;NDC!$D$73,BU338&gt;NDC!$D$74,$B338&gt;NDC!$H$22-0.1+MIN(3*BV$12,1.5)),0,1)</f>
        <v>#N/A</v>
      </c>
      <c r="BW338" s="86" t="b">
        <f t="shared" si="545"/>
        <v>0</v>
      </c>
      <c r="BX338" s="86">
        <f t="shared" si="546"/>
        <v>0.5</v>
      </c>
      <c r="BY338" s="86">
        <f t="shared" si="547"/>
        <v>0.5</v>
      </c>
      <c r="BZ338" s="30" t="e">
        <f t="shared" ca="1" si="580"/>
        <v>#DIV/0!</v>
      </c>
      <c r="CA338" s="85" t="e">
        <f ca="1">IF(BG338&lt;=Hypothèses!$V$7,Hypothèses!$W$7,IF(BG338&lt;=Hypothèses!$V$8,Hypothèses!$W$8,IF(BG338&lt;=Hypothèses!$V$9,Hypothèses!$W$9,IF(BG338&lt;=Hypothèses!$V$10,Hypothèses!$W$10,IF(BG338&lt;=Hypothèses!$V$11,Hypothèses!$W$11,IF(BG338&lt;=Hypothèses!$V$12,Hypothèses!$W$12,IF(BG338&lt;=Hypothèses!$V$13,Hypothèses!$W$13,IF(BG338&lt;=Hypothèses!$V$14,Hypothèses!$W$14,IF(BG338&lt;=Hypothèses!$V$15,Hypothèses!$W$15,IF(BG338&lt;=Hypothèses!$V$16,Hypothèses!$W$16,IF(BG338&lt;=Hypothèses!$V$17,Hypothèses!$W$17,IF(BG338&lt;=Hypothèses!$V$18,Hypothèses!$W$18,""))))))))))))</f>
        <v>#DIV/0!</v>
      </c>
      <c r="CB338" s="87" t="e">
        <f t="shared" ca="1" si="619"/>
        <v>#DIV/0!</v>
      </c>
      <c r="CC338" s="88" t="e">
        <f ca="1">IF(BG338&lt;=Hypothèses!$V$7,Hypothèses!$X$7,IF(BG338&lt;=Hypothèses!$V$8,Hypothèses!$X$8,IF(BG338&lt;=Hypothèses!$V$9,Hypothèses!$X$9,IF(BG338&lt;=Hypothèses!$V$10,Hypothèses!$X$10,IF(BG338&lt;=Hypothèses!$V$11,Hypothèses!$X$11,IF(BG338&lt;=Hypothèses!$V$12,Hypothèses!$X$12,IF(BG338&lt;=Hypothèses!$V$13,Hypothèses!$X$13,IF(BG338&lt;=Hypothèses!$V$14,Hypothèses!$X$14,IF(BG338&lt;=Hypothèses!$V$15,Hypothèses!$X$15,IF(BG338&lt;=Hypothèses!$V$16,Hypothèses!$X$16,IF(BG338&lt;=Hypothèses!$U$17,Hypothèses!$W$17,IF(BG338&lt;=Hypothèses!$U$18,Hypothèses!$W$18,""))))))))))))</f>
        <v>#DIV/0!</v>
      </c>
      <c r="CD338" s="95" t="e">
        <f t="shared" ca="1" si="581"/>
        <v>#DIV/0!</v>
      </c>
      <c r="CE338" s="101">
        <f t="shared" ref="CE338:CE363" si="626">IF($I338=0,0,
IF(CD338&gt;5*CI$12,$I338,
IF($D338="Pressio.",1+($I338-1)*(CD338/CI$12)/5,
IF($D338="Pénétro.",IF($E338=1,0.3+($I338-0.3)*(CD338/CI$12)/5,
IF($E338=2,0.2+($I338-0.2)*(CD338/CI$12)/5,
IF($E338=3,0.1+($I338-0.1)*(CD338/CI$12)/5,
0.15+($I338-0.15)*(CD338/CI$12)/5)))))))</f>
        <v>0</v>
      </c>
      <c r="CF338" s="91">
        <f t="shared" si="548"/>
        <v>0</v>
      </c>
      <c r="CG338" s="30" t="e">
        <f t="shared" si="606"/>
        <v>#N/A</v>
      </c>
      <c r="CH338" s="30" t="e">
        <f t="shared" si="607"/>
        <v>#N/A</v>
      </c>
      <c r="CI338" s="31" t="e">
        <f>IF(OR(Hypothèses!$B$4=17,Hypothèses!$B$4=18,Hypothèses!$B$4=19,Hypothèses!$B$4=20),
IF($D338="Pressio.",
IF(OR($E338=3,$E338=1,$E338=4),CH338,CG338),
IF($D338="Pénétro.",
IF(OR($E338=3,$E338=1,$E338=4),CH338,CG338))),IF($D338="Pressio.",
IF($E338=3,CH338,CG338),
IF($D338="Pénétro.",
IF($E338=4,CH338,CG338))))</f>
        <v>#N/A</v>
      </c>
      <c r="CJ338" s="31">
        <v>0</v>
      </c>
      <c r="CK338" s="102" t="e">
        <f>IF(NDC!$H$10="Oui",(VLOOKUP($B$3,'Coeff EC7'!$T$39:$X$59,2,0)*CI338+VLOOKUP($B$3,'Coeff EC7'!$T$65:$X$85,2,0)*Model0.1T!CJ338)/1.5,PI()*CG$12*$Q338*($B338-$B337)*0.15/10+CK337)</f>
        <v>#N/A</v>
      </c>
      <c r="CL338" s="102" t="e">
        <f>(VLOOKUP($B$3,'Coeff EC7'!$T$39:$X$59,3,0)*CI338+VLOOKUP($B$3,'Coeff EC7'!$T$65:$X$85,3,0)*Model0.1T!CJ338)/1.1</f>
        <v>#N/A</v>
      </c>
      <c r="CM338" s="102" t="e">
        <f t="shared" si="582"/>
        <v>#N/A</v>
      </c>
      <c r="CN338" s="102" t="e">
        <f t="shared" si="583"/>
        <v>#N/A</v>
      </c>
      <c r="CO338" s="414" t="e">
        <f>IF(AND(CK338&gt;NDC!$C$63,CL338&gt;NDC!$C$65,CM338&gt;NDC!$D$73,CN338&gt;NDC!$D$74,$B338&gt;NDC!$H$22-0.1+MIN(3*CO$12,1.5)),0,1)</f>
        <v>#N/A</v>
      </c>
      <c r="CP338" s="86" t="b">
        <f t="shared" si="549"/>
        <v>0</v>
      </c>
      <c r="CQ338" s="86">
        <f t="shared" si="550"/>
        <v>0.5</v>
      </c>
      <c r="CR338" s="86">
        <f t="shared" si="551"/>
        <v>0.5</v>
      </c>
      <c r="CS338" s="30" t="e">
        <f t="shared" ca="1" si="584"/>
        <v>#DIV/0!</v>
      </c>
      <c r="CT338" s="85" t="e">
        <f ca="1">IF(BZ338&lt;=Hypothèses!$V$7,Hypothèses!$W$7,IF(BZ338&lt;=Hypothèses!$V$8,Hypothèses!$W$8,IF(BZ338&lt;=Hypothèses!$V$9,Hypothèses!$W$9,IF(BZ338&lt;=Hypothèses!$V$10,Hypothèses!$W$10,IF(BZ338&lt;=Hypothèses!$V$11,Hypothèses!$W$11,IF(BZ338&lt;=Hypothèses!$V$12,Hypothèses!$W$12,IF(BZ338&lt;=Hypothèses!$V$13,Hypothèses!$W$13,IF(BZ338&lt;=Hypothèses!$V$14,Hypothèses!$W$14,IF(BZ338&lt;=Hypothèses!$V$15,Hypothèses!$W$15,IF(BZ338&lt;=Hypothèses!$V$16,Hypothèses!$W$16,IF(BZ338&lt;=Hypothèses!$V$17,Hypothèses!$W$17,IF(BZ338&lt;=Hypothèses!$V$18,Hypothèses!$W$18,""))))))))))))</f>
        <v>#DIV/0!</v>
      </c>
      <c r="CU338" s="87" t="e">
        <f t="shared" ca="1" si="620"/>
        <v>#DIV/0!</v>
      </c>
      <c r="CV338" s="88" t="e">
        <f ca="1">IF(BZ338&lt;=Hypothèses!$V$7,Hypothèses!$X$7,IF(BZ338&lt;=Hypothèses!$V$8,Hypothèses!$X$8,IF(BZ338&lt;=Hypothèses!$V$9,Hypothèses!$X$9,IF(BZ338&lt;=Hypothèses!$V$10,Hypothèses!$X$10,IF(BZ338&lt;=Hypothèses!$V$11,Hypothèses!$X$11,IF(BZ338&lt;=Hypothèses!$V$12,Hypothèses!$X$12,IF(BZ338&lt;=Hypothèses!$V$13,Hypothèses!$X$13,IF(BZ338&lt;=Hypothèses!$V$14,Hypothèses!$X$14,IF(BZ338&lt;=Hypothèses!$V$15,Hypothèses!$X$15,IF(BZ338&lt;=Hypothèses!$V$16,Hypothèses!$X$16,IF(BZ338&lt;=Hypothèses!$U$17,Hypothèses!$W$17,IF(BZ338&lt;=Hypothèses!$U$18,Hypothèses!$W$18,""))))))))))))</f>
        <v>#DIV/0!</v>
      </c>
      <c r="CW338" s="95" t="e">
        <f t="shared" ca="1" si="585"/>
        <v>#DIV/0!</v>
      </c>
      <c r="CX338" s="101">
        <f t="shared" ref="CX338:CX363" si="627">IF($I338=0,0,
IF(CW338&gt;5*DB$12,$I338,
IF($D338="Pressio.",1+($I338-1)*(CW338/DB$12)/5,
IF($D338="Pénétro.",IF($E338=1,0.3+($I338-0.3)*(CW338/DB$12)/5,
IF($E338=2,0.2+($I338-0.2)*(CW338/DB$12)/5,
IF($E338=3,0.1+($I338-0.1)*(CW338/DB$12)/5,
0.15+($I338-0.15)*(CW338/DB$12)/5)))))))</f>
        <v>0</v>
      </c>
      <c r="CY338" s="91">
        <f t="shared" si="552"/>
        <v>0</v>
      </c>
      <c r="CZ338" s="30" t="e">
        <f t="shared" si="608"/>
        <v>#N/A</v>
      </c>
      <c r="DA338" s="30" t="e">
        <f t="shared" si="609"/>
        <v>#N/A</v>
      </c>
      <c r="DB338" s="31" t="e">
        <f>IF(OR(Hypothèses!$B$4=17,Hypothèses!$B$4=18,Hypothèses!$B$4=19,Hypothèses!$B$4=20),
IF($D338="Pressio.",
IF(OR($E338=3,$E338=1,$E338=4),DA338,CZ338),
IF($D338="Pénétro.",
IF(OR($E338=3,$E338=1,$E338=4),DA338,CZ338))),IF($D338="Pressio.",
IF($E338=3,DA338,CZ338),
IF($D338="Pénétro.",
IF($E338=4,DA338,CZ338))))</f>
        <v>#N/A</v>
      </c>
      <c r="DC338" s="31">
        <v>0</v>
      </c>
      <c r="DD338" s="102" t="e">
        <f>IF(NDC!$H$10="Oui",(VLOOKUP($B$3,'Coeff EC7'!$T$39:$X$59,2,0)*DB338+VLOOKUP($B$3,'Coeff EC7'!$T$65:$X$85,2,0)*Model0.1T!DC338)/1.5,PI()*CZ$12*$Q338*($B338-$B337)*0.15/10+DD337)</f>
        <v>#N/A</v>
      </c>
      <c r="DE338" s="102" t="e">
        <f>(VLOOKUP($B$3,'Coeff EC7'!$T$39:$X$59,3,0)*DB338+VLOOKUP($B$3,'Coeff EC7'!$T$65:$X$85,3,0)*Model0.1T!DC338)/1.1</f>
        <v>#N/A</v>
      </c>
      <c r="DF338" s="102" t="e">
        <f t="shared" si="586"/>
        <v>#N/A</v>
      </c>
      <c r="DG338" s="102" t="e">
        <f t="shared" si="587"/>
        <v>#N/A</v>
      </c>
      <c r="DH338" s="414" t="e">
        <f>IF(AND(DD338&gt;NDC!$C$63,DE338&gt;NDC!$C$65,DF338&gt;NDC!$D$73,DG338&gt;NDC!$D$74,$B338&gt;NDC!$H$22-0.1+MIN(3*DH$12,1.5)),0,1)</f>
        <v>#N/A</v>
      </c>
      <c r="DI338" s="86" t="b">
        <f t="shared" si="553"/>
        <v>0</v>
      </c>
      <c r="DJ338" s="86">
        <f t="shared" si="554"/>
        <v>0.5</v>
      </c>
      <c r="DK338" s="86">
        <f t="shared" si="555"/>
        <v>0.5</v>
      </c>
      <c r="DL338" s="30" t="e">
        <f t="shared" ca="1" si="588"/>
        <v>#DIV/0!</v>
      </c>
      <c r="DM338" s="85" t="e">
        <f ca="1">IF(CS338&lt;=Hypothèses!$V$7,Hypothèses!$W$7,IF(CS338&lt;=Hypothèses!$V$8,Hypothèses!$W$8,IF(CS338&lt;=Hypothèses!$V$9,Hypothèses!$W$9,IF(CS338&lt;=Hypothèses!$V$10,Hypothèses!$W$10,IF(CS338&lt;=Hypothèses!$V$11,Hypothèses!$W$11,IF(CS338&lt;=Hypothèses!$V$12,Hypothèses!$W$12,IF(CS338&lt;=Hypothèses!$V$13,Hypothèses!$W$13,IF(CS338&lt;=Hypothèses!$V$14,Hypothèses!$W$14,IF(CS338&lt;=Hypothèses!$V$15,Hypothèses!$W$15,IF(CS338&lt;=Hypothèses!$V$16,Hypothèses!$W$16,IF(CS338&lt;=Hypothèses!$V$17,Hypothèses!$W$17,IF(CS338&lt;=Hypothèses!$V$18,Hypothèses!$W$18,""))))))))))))</f>
        <v>#DIV/0!</v>
      </c>
      <c r="DN338" s="87" t="e">
        <f t="shared" ca="1" si="621"/>
        <v>#DIV/0!</v>
      </c>
      <c r="DO338" s="88" t="e">
        <f ca="1">IF(CS338&lt;=Hypothèses!$V$7,Hypothèses!$X$7,IF(CS338&lt;=Hypothèses!$V$8,Hypothèses!$X$8,IF(CS338&lt;=Hypothèses!$V$9,Hypothèses!$X$9,IF(CS338&lt;=Hypothèses!$V$10,Hypothèses!$X$10,IF(CS338&lt;=Hypothèses!$V$11,Hypothèses!$X$11,IF(CS338&lt;=Hypothèses!$V$12,Hypothèses!$X$12,IF(CS338&lt;=Hypothèses!$V$13,Hypothèses!$X$13,IF(CS338&lt;=Hypothèses!$V$14,Hypothèses!$X$14,IF(CS338&lt;=Hypothèses!$V$15,Hypothèses!$X$15,IF(CS338&lt;=Hypothèses!$V$16,Hypothèses!$X$16,IF(CS338&lt;=Hypothèses!$U$17,Hypothèses!$W$17,IF(CS338&lt;=Hypothèses!$U$18,Hypothèses!$W$18,""))))))))))))</f>
        <v>#DIV/0!</v>
      </c>
      <c r="DP338" s="95" t="e">
        <f t="shared" ca="1" si="589"/>
        <v>#DIV/0!</v>
      </c>
      <c r="DQ338" s="101">
        <f t="shared" ref="DQ338:DQ363" si="628">IF($I338=0,0,
IF(DP338&gt;5*DU$12,$I338,
IF($D338="Pressio.",1+($I338-1)*(DP338/DU$12)/5,
IF($D338="Pénétro.",IF($E338=1,0.3+($I338-0.3)*(DP338/DU$12)/5,
IF($E338=2,0.2+($I338-0.2)*(DP338/DU$12)/5,
IF($E338=3,0.1+($I338-0.1)*(DP338/DU$12)/5,
0.15+($I338-0.15)*(DP338/DU$12)/5)))))))</f>
        <v>0</v>
      </c>
      <c r="DR338" s="91">
        <f t="shared" si="556"/>
        <v>0</v>
      </c>
      <c r="DS338" s="30" t="e">
        <f t="shared" si="610"/>
        <v>#N/A</v>
      </c>
      <c r="DT338" s="30" t="e">
        <f t="shared" si="611"/>
        <v>#N/A</v>
      </c>
      <c r="DU338" s="31" t="e">
        <f>IF(OR(Hypothèses!$B$4=17,Hypothèses!$B$4=18,Hypothèses!$B$4=19,Hypothèses!$B$4=20),
IF($D338="Pressio.",
IF(OR($E338=3,$E338=1,$E338=4),DT338,DS338),
IF($D338="Pénétro.",
IF(OR($E338=3,$E338=1,$E338=4),DT338,DS338))),IF($D338="Pressio.",
IF($E338=3,DT338,DS338),
IF($D338="Pénétro.",
IF($E338=4,DT338,DS338))))</f>
        <v>#N/A</v>
      </c>
      <c r="DV338" s="31">
        <v>0</v>
      </c>
      <c r="DW338" s="102" t="e">
        <f>IF(NDC!$H$10="Oui",(VLOOKUP($B$3,'Coeff EC7'!$T$39:$X$59,2,0)*DU338+VLOOKUP($B$3,'Coeff EC7'!$T$65:$X$85,2,0)*Model0.1T!DV338)/1.5,PI()*DS$12*$Q338*($B338-$B337)*0.15/10+DW337)</f>
        <v>#N/A</v>
      </c>
      <c r="DX338" s="102" t="e">
        <f>(VLOOKUP($B$3,'Coeff EC7'!$T$39:$X$59,3,0)*DU338+VLOOKUP($B$3,'Coeff EC7'!$T$65:$X$85,3,0)*Model0.1T!DV338)/1.1</f>
        <v>#N/A</v>
      </c>
      <c r="DY338" s="102" t="e">
        <f t="shared" si="590"/>
        <v>#N/A</v>
      </c>
      <c r="DZ338" s="102" t="e">
        <f t="shared" si="591"/>
        <v>#N/A</v>
      </c>
      <c r="EA338" s="414" t="e">
        <f>IF(AND(DW338&gt;NDC!$C$63,DX338&gt;NDC!$C$65,DY338&gt;NDC!$D$73,DZ338&gt;NDC!$D$74,$B338&gt;NDC!$H$22-0.1+MIN(3*EA$12,1.5)),0,1)</f>
        <v>#N/A</v>
      </c>
      <c r="EB338" s="86" t="b">
        <f t="shared" si="557"/>
        <v>0</v>
      </c>
      <c r="EC338" s="418">
        <f t="shared" si="558"/>
        <v>0.51</v>
      </c>
      <c r="ED338" s="86">
        <f t="shared" si="559"/>
        <v>0.51</v>
      </c>
      <c r="EE338" s="30" t="e">
        <f t="shared" ca="1" si="592"/>
        <v>#DIV/0!</v>
      </c>
      <c r="EF338" s="85" t="e">
        <f ca="1">IF(DL338&lt;=Hypothèses!$V$7,Hypothèses!$W$7,IF(DL338&lt;=Hypothèses!$V$8,Hypothèses!$W$8,IF(DL338&lt;=Hypothèses!$V$9,Hypothèses!$W$9,IF(DL338&lt;=Hypothèses!$V$10,Hypothèses!$W$10,IF(DL338&lt;=Hypothèses!$V$11,Hypothèses!$W$11,IF(DL338&lt;=Hypothèses!$V$12,Hypothèses!$W$12,IF(DL338&lt;=Hypothèses!$V$13,Hypothèses!$W$13,IF(DL338&lt;=Hypothèses!$V$14,Hypothèses!$W$14,IF(DL338&lt;=Hypothèses!$V$15,Hypothèses!$W$15,IF(DL338&lt;=Hypothèses!$V$16,Hypothèses!$W$16,IF(DL338&lt;=Hypothèses!$V$17,Hypothèses!$W$17,IF(DL338&lt;=Hypothèses!$V$18,Hypothèses!$W$18,""))))))))))))</f>
        <v>#DIV/0!</v>
      </c>
      <c r="EG338" s="87" t="e">
        <f t="shared" ca="1" si="622"/>
        <v>#DIV/0!</v>
      </c>
      <c r="EH338" s="88" t="e">
        <f ca="1">IF(DL338&lt;=Hypothèses!$V$7,Hypothèses!$X$7,IF(DL338&lt;=Hypothèses!$V$8,Hypothèses!$X$8,IF(DL338&lt;=Hypothèses!$V$9,Hypothèses!$X$9,IF(DL338&lt;=Hypothèses!$V$10,Hypothèses!$X$10,IF(DL338&lt;=Hypothèses!$V$11,Hypothèses!$X$11,IF(DL338&lt;=Hypothèses!$V$12,Hypothèses!$X$12,IF(DL338&lt;=Hypothèses!$V$13,Hypothèses!$X$13,IF(DL338&lt;=Hypothèses!$V$14,Hypothèses!$X$14,IF(DL338&lt;=Hypothèses!$V$15,Hypothèses!$X$15,IF(DL338&lt;=Hypothèses!$V$16,Hypothèses!$X$16,IF(DL338&lt;=Hypothèses!$U$17,Hypothèses!$W$17,IF(DL338&lt;=Hypothèses!$U$18,Hypothèses!$W$18,""))))))))))))</f>
        <v>#DIV/0!</v>
      </c>
      <c r="EI338" s="95" t="e">
        <f t="shared" ca="1" si="593"/>
        <v>#DIV/0!</v>
      </c>
      <c r="EJ338" s="101">
        <f t="shared" ref="EJ338:EJ363" si="629">IF($I338=0,0,
IF(EI338&gt;5*EN$12,$I338,
IF($D338="Pressio.",1+($I338-1)*(EI338/EN$12)/5,
IF($D338="Pénétro.",IF($E338=1,0.3+($I338-0.3)*(EI338/EN$12)/5,
IF($E338=2,0.2+($I338-0.2)*(EI338/EN$12)/5,
IF($E338=3,0.1+($I338-0.1)*(EI338/EN$12)/5,
0.15+($I338-0.15)*(EI338/EN$12)/5)))))))</f>
        <v>0</v>
      </c>
      <c r="EK338" s="91">
        <f t="shared" si="560"/>
        <v>0</v>
      </c>
      <c r="EL338" s="30" t="e">
        <f t="shared" si="612"/>
        <v>#N/A</v>
      </c>
      <c r="EM338" s="30" t="e">
        <f t="shared" si="613"/>
        <v>#N/A</v>
      </c>
      <c r="EN338" s="31" t="e">
        <f>IF(OR(Hypothèses!$B$4=17,Hypothèses!$B$4=18,Hypothèses!$B$4=19,Hypothèses!$B$4=20),
IF($D338="Pressio.",
IF(OR($E338=3,$E338=1,$E338=4),EM338,EL338),
IF($D338="Pénétro.",
IF(OR($E338=3,$E338=1,$E338=4),EM338,EL338))),IF($D338="Pressio.",
IF($E338=3,EM338,EL338),
IF($D338="Pénétro.",
IF($E338=4,EM338,EL338))))</f>
        <v>#N/A</v>
      </c>
      <c r="EO338" s="31">
        <v>0</v>
      </c>
      <c r="EP338" s="102" t="e">
        <f>IF(NDC!$H$10="Oui",(VLOOKUP($B$3,'Coeff EC7'!$T$39:$X$59,2,0)*EN338+VLOOKUP($B$3,'Coeff EC7'!$T$65:$X$85,2,0)*Model0.1T!EO338)/1.5,PI()*EL$12*$Q338*($B338-$B337)*0.15/10+EP337)</f>
        <v>#N/A</v>
      </c>
      <c r="EQ338" s="102" t="e">
        <f>(VLOOKUP($B$3,'Coeff EC7'!$T$39:$X$59,3,0)*EN338+VLOOKUP($B$3,'Coeff EC7'!$T$65:$X$85,3,0)*Model0.1T!EO338)/1.1</f>
        <v>#N/A</v>
      </c>
      <c r="ER338" s="102" t="e">
        <f t="shared" si="594"/>
        <v>#N/A</v>
      </c>
      <c r="ES338" s="102" t="e">
        <f t="shared" si="595"/>
        <v>#N/A</v>
      </c>
      <c r="ET338" s="414" t="e">
        <f>IF(AND(EP338&gt;NDC!$C$63,EQ338&gt;NDC!$C$65,ER338&gt;NDC!$D$73,ES338&gt;NDC!$D$74,$B338&gt;NDC!$H$22-0.1+MIN(3*ET$12,1.5)),0,1)</f>
        <v>#N/A</v>
      </c>
      <c r="EU338" s="86" t="b">
        <f t="shared" si="561"/>
        <v>0</v>
      </c>
      <c r="EV338" s="86">
        <f t="shared" si="562"/>
        <v>0.61</v>
      </c>
      <c r="EW338" s="86">
        <f t="shared" si="563"/>
        <v>0.61</v>
      </c>
      <c r="EX338" s="30" t="e">
        <f t="shared" ca="1" si="596"/>
        <v>#DIV/0!</v>
      </c>
      <c r="EY338" s="85" t="e">
        <f ca="1">IF(EE338&lt;=Hypothèses!$V$7,Hypothèses!$W$7,IF(EE338&lt;=Hypothèses!$V$8,Hypothèses!$W$8,IF(EE338&lt;=Hypothèses!$V$9,Hypothèses!$W$9,IF(EE338&lt;=Hypothèses!$V$10,Hypothèses!$W$10,IF(EE338&lt;=Hypothèses!$V$11,Hypothèses!$W$11,IF(EE338&lt;=Hypothèses!$V$12,Hypothèses!$W$12,IF(EE338&lt;=Hypothèses!$V$13,Hypothèses!$W$13,IF(EE338&lt;=Hypothèses!$V$14,Hypothèses!$W$14,IF(EE338&lt;=Hypothèses!$V$15,Hypothèses!$W$15,IF(EE338&lt;=Hypothèses!$V$16,Hypothèses!$W$16,IF(EE338&lt;=Hypothèses!$V$17,Hypothèses!$W$17,IF(EE338&lt;=Hypothèses!$V$18,Hypothèses!$W$18,""))))))))))))</f>
        <v>#DIV/0!</v>
      </c>
      <c r="EZ338" s="87" t="e">
        <f t="shared" ca="1" si="623"/>
        <v>#DIV/0!</v>
      </c>
      <c r="FA338" s="88" t="e">
        <f ca="1">IF(EE338&lt;=Hypothèses!$V$7,Hypothèses!$X$7,IF(EE338&lt;=Hypothèses!$V$8,Hypothèses!$X$8,IF(EE338&lt;=Hypothèses!$V$9,Hypothèses!$X$9,IF(EE338&lt;=Hypothèses!$V$10,Hypothèses!$X$10,IF(EE338&lt;=Hypothèses!$V$11,Hypothèses!$X$11,IF(EE338&lt;=Hypothèses!$V$12,Hypothèses!$X$12,IF(EE338&lt;=Hypothèses!$V$13,Hypothèses!$X$13,IF(EE338&lt;=Hypothèses!$V$14,Hypothèses!$X$14,IF(EE338&lt;=Hypothèses!$V$15,Hypothèses!$X$15,IF(EE338&lt;=Hypothèses!$V$16,Hypothèses!$X$16,IF(EE338&lt;=Hypothèses!$U$17,Hypothèses!$W$17,IF(EE338&lt;=Hypothèses!$U$18,Hypothèses!$W$18,""))))))))))))</f>
        <v>#DIV/0!</v>
      </c>
      <c r="FB338" s="95" t="e">
        <f t="shared" ca="1" si="597"/>
        <v>#DIV/0!</v>
      </c>
      <c r="FC338" s="101">
        <f t="shared" ref="FC338:FC363" si="630">IF($I338=0,0,
IF(FB338&gt;5*FG$12,$I338,
IF($D338="Pressio.",1+($I338-1)*(FB338/FG$12)/5,
IF($D338="Pénétro.",IF($E338=1,0.3+($I338-0.3)*(FB338/FG$12)/5,
IF($E338=2,0.2+($I338-0.2)*(FB338/FG$12)/5,
IF($E338=3,0.1+($I338-0.1)*(FB338/FG$12)/5,
0.15+($I338-0.15)*(FB338/FG$12)/5)))))))</f>
        <v>0</v>
      </c>
      <c r="FD338" s="91">
        <f t="shared" si="564"/>
        <v>0</v>
      </c>
      <c r="FE338" s="30" t="e">
        <f t="shared" si="614"/>
        <v>#N/A</v>
      </c>
      <c r="FF338" s="30" t="e">
        <f t="shared" si="615"/>
        <v>#N/A</v>
      </c>
      <c r="FG338" s="31" t="e">
        <f>IF(OR(Hypothèses!$B$4=17,Hypothèses!$B$4=18,Hypothèses!$B$4=19,Hypothèses!$B$4=20),
IF($D338="Pressio.",
IF(OR($E338=3,$E338=1,$E338=4),FF338,FE338),
IF($D338="Pénétro.",
IF(OR($E338=3,$E338=1,$E338=4),FF338,FE338))),IF($D338="Pressio.",
IF($E338=3,FF338,FE338),
IF($D338="Pénétro.",
IF($E338=4,FF338,FE338))))</f>
        <v>#N/A</v>
      </c>
      <c r="FH338" s="31">
        <v>0</v>
      </c>
      <c r="FI338" s="102" t="e">
        <f>IF(NDC!$H$10="Oui",(VLOOKUP($B$3,'Coeff EC7'!$T$39:$X$59,2,0)*FG338+VLOOKUP($B$3,'Coeff EC7'!$T$65:$X$85,2,0)*Model0.1T!FH338)/1.5,PI()*FE$12*$Q338*($B338-$B337)*0.15/10+FI337)</f>
        <v>#N/A</v>
      </c>
      <c r="FJ338" s="102" t="e">
        <f>(VLOOKUP($B$3,'Coeff EC7'!$T$39:$X$59,3,0)*FG338+VLOOKUP($B$3,'Coeff EC7'!$T$65:$X$85,3,0)*Model0.1T!FH338)/1.1</f>
        <v>#N/A</v>
      </c>
      <c r="FK338" s="102" t="e">
        <f t="shared" si="598"/>
        <v>#N/A</v>
      </c>
      <c r="FL338" s="102" t="e">
        <f t="shared" si="599"/>
        <v>#N/A</v>
      </c>
      <c r="FM338" s="414" t="e">
        <f>IF(AND(FI338&gt;NDC!$C$63,FJ338&gt;NDC!$C$65,FK338&gt;NDC!$D$73,FL338&gt;NDC!$D$74,$B338&gt;NDC!$H$22-0.1+MIN(3*FM$12,1.5)),0,1)</f>
        <v>#N/A</v>
      </c>
    </row>
    <row r="339" spans="1:169">
      <c r="A339" s="96">
        <f t="shared" si="565"/>
        <v>67.400000000001853</v>
      </c>
      <c r="B339" s="97">
        <v>32.6</v>
      </c>
      <c r="C339" s="81">
        <f>IF(B339&lt;=Hypothèses!$C$7,Hypothèses!$A$7,IF(B339&lt;=Hypothèses!$C$8,Hypothèses!$A$8,IF(B339&lt;=Hypothèses!$C$9,Hypothèses!$A$9,IF(B339&lt;=Hypothèses!$C$10,Hypothèses!$A$10,IF(B339&lt;=Hypothèses!$C$11,Hypothèses!$A$11,IF(B339&lt;=Hypothèses!$C$12,Hypothèses!$A$12,IF(B339&lt;=Hypothèses!$C$13,Hypothèses!$A$13,IF(B339&lt;=Hypothèses!$C$14,Hypothèses!$A$14,IF(B339&lt;=Hypothèses!$C$15,Hypothèses!$A$15,IF(B339&lt;=Hypothèses!$C$16,Hypothèses!$A$16,IF(B339&lt;=Hypothèses!$C$17,Hypothèses!$A$17,IF(B339&lt;=Hypothèses!$C$18,Hypothèses!$A$18,C338))))))))))))</f>
        <v>11</v>
      </c>
      <c r="D339" s="82" t="str">
        <f>IF(B339&lt;=Hypothèses!$C$7,Hypothèses!$R$7,IF(B339&lt;=Hypothèses!$C$8,Hypothèses!$R$8,IF(B339&lt;=Hypothèses!$C$9,Hypothèses!$R$9,IF(B339&lt;=Hypothèses!$C$10,Hypothèses!$R$10,IF(B339&lt;=Hypothèses!$C$11,Hypothèses!$R$11,IF(B339&lt;=Hypothèses!$C$12,Hypothèses!$R$12,IF(B339&lt;=Hypothèses!$C$13,Hypothèses!$R$13,IF(B339&lt;=Hypothèses!$C$14,Hypothèses!$R$14,IF(B339&lt;=Hypothèses!$C$15,Hypothèses!$R$15,IF(B339&lt;=Hypothèses!$C$16,Hypothèses!$R$16,IF(B339&lt;=Hypothèses!$C$17,Hypothèses!$R$17,IF(B339&lt;=Hypothèses!$C$18,Hypothèses!$R$18,D338))))))))))))</f>
        <v>Pressio.</v>
      </c>
      <c r="E339" s="82" t="e">
        <f>IF(B339&lt;=Hypothèses!$C$7,Hypothèses!$G$7,IF(B339&lt;=Hypothèses!$C$8,Hypothèses!$G$8,IF(B339&lt;=Hypothèses!$C$9,Hypothèses!$G$9,IF(B339&lt;=Hypothèses!$C$10,Hypothèses!$G$10,IF(B339&lt;=Hypothèses!$C$11,Hypothèses!$G$11,IF(B339&lt;=Hypothèses!$C$12,Hypothèses!$G$12,IF(B339&lt;=Hypothèses!$C$13,Hypothèses!$G$13,IF(B339&lt;=Hypothèses!$C$14,Hypothèses!$G$14,IF(B339&lt;=Hypothèses!$C$15,Hypothèses!$G$15,IF(B339&lt;=Hypothèses!$C$16,Hypothèses!$G$16,IF(B339&lt;=Hypothèses!$C$17,Hypothèses!$G$17,IF(B339&lt;=Hypothèses!$C$18,Hypothèses!$G$18,E338))))))))))))</f>
        <v>#N/A</v>
      </c>
      <c r="F339" s="82" t="str">
        <f>IF(B339&lt;=Hypothèses!$C$7,Hypothèses!$F$7,IF(B339&lt;=Hypothèses!$C$8,Hypothèses!$F$8,IF(B339&lt;=Hypothèses!$C$9,Hypothèses!$F$9,IF(B339&lt;=Hypothèses!$C$10,Hypothèses!$F$10,IF(B339&lt;=Hypothèses!$C$11,Hypothèses!$F$11,IF(B339&lt;=Hypothèses!$C$12,Hypothèses!$F$12,IF(B339&lt;=Hypothèses!$C$13,Hypothèses!$F$13,IF(B339&lt;=Hypothèses!$C$14,Hypothèses!$F$14,IF(B339&lt;=Hypothèses!$C$15,Hypothèses!$F$15,IF(B339&lt;=Hypothèses!$C$16,Hypothèses!$F$16,IF(B339&lt;=Hypothèses!$C$17,Hypothèses!$F$17,IF(B339&lt;=Hypothèses!$C$18,Hypothèses!$F$18,F338))))))))))))</f>
        <v/>
      </c>
      <c r="G339" s="91">
        <f t="array" ref="G339">INDEX('Coeff EC7'!$U$7:$X$27,
MATCH(Model0.1T!$B$3,'Coeff EC7'!$T$7:$T$27,0),
MATCH(Model0.1T!$D339&amp;Model0.1T!$B$4,
'Coeff EC7'!$U$6:$X$6&amp;
'Coeff EC7'!$U$5:$X$5,0))</f>
        <v>1.4</v>
      </c>
      <c r="H339" s="91">
        <f t="array" ref="H339">INDEX('Coeff EC7'!$Y$7:$AB$27,
MATCH(Model0.1T!$B$3,'Coeff EC7'!$T$7:$T$27,0),
MATCH(Model0.1T!$D339&amp;Model0.1T!$B$4,
'Coeff EC7'!$Y$6:$AB$6&amp;
'Coeff EC7'!$Y$5:$AB$5,0))</f>
        <v>1.7</v>
      </c>
      <c r="I339" s="83">
        <v>0</v>
      </c>
      <c r="J339" s="91" t="e">
        <f t="array" ref="J339">INDEX('Coeff EC7'!$D$33:$Q$33,1,MATCH(D339&amp;E339,'Coeff EC7'!$D$31:$Q$31&amp;'Coeff EC7'!$D$32:$Q$32,0))</f>
        <v>#N/A</v>
      </c>
      <c r="K339" s="91" t="e">
        <f t="array" ref="K339">INDEX('Coeff EC7'!$D$34:$Q$34,1,MATCH(D339&amp;E339,'Coeff EC7'!$D$31:$Q$31&amp;'Coeff EC7'!$D$32:$Q$32,0))</f>
        <v>#N/A</v>
      </c>
      <c r="L339" s="91" t="e">
        <f t="array" ref="L339">INDEX('Coeff EC7'!$D$35:$Q$35,1,MATCH(D339&amp;E339,'Coeff EC7'!$D$31:$Q$31&amp;'Coeff EC7'!$D$32:$Q$32,0))</f>
        <v>#N/A</v>
      </c>
      <c r="M339" s="98" t="e">
        <f t="shared" si="531"/>
        <v>#N/A</v>
      </c>
      <c r="N339" s="99" t="e">
        <f t="array" ref="N339">INDEX('Coeff EC7'!$D$7:$Q$27,MATCH($B$3,'Coeff EC7'!$C$7:$C$27,0),MATCH(D339&amp;E339,'Coeff EC7'!$D$5:$Q$5&amp;'Coeff EC7'!$D$6:$Q$6,0))</f>
        <v>#N/A</v>
      </c>
      <c r="O339" s="99" t="e">
        <f t="array" ref="O339">INDEX('Coeff EC7'!$D$41:$Q$61,MATCH($B$3,'Coeff EC7'!$C$41:$C$61,0),MATCH(D339&amp;E339,'Coeff EC7'!$D$39:$Q$39&amp;'Coeff EC7'!$D$40:$Q$40,0))</f>
        <v>#N/A</v>
      </c>
      <c r="P339" s="30" t="e">
        <f t="shared" si="566"/>
        <v>#N/A</v>
      </c>
      <c r="Q339" s="100" t="e">
        <f t="shared" si="533"/>
        <v>#N/A</v>
      </c>
      <c r="R339" s="86" t="b">
        <f t="shared" si="534"/>
        <v>0</v>
      </c>
      <c r="S339" s="86">
        <f t="shared" si="532"/>
        <v>0.5</v>
      </c>
      <c r="T339" s="86">
        <f t="shared" si="535"/>
        <v>0.5</v>
      </c>
      <c r="U339" s="30" t="e">
        <f t="shared" ca="1" si="567"/>
        <v>#DIV/0!</v>
      </c>
      <c r="V339" s="85" t="str">
        <f>IF(B339&lt;=Hypothèses!$V$7,Hypothèses!$W$7,IF(B339&lt;=Hypothèses!$V$8,Hypothèses!$W$8,IF(B339&lt;=Hypothèses!$V$9,Hypothèses!$W$9,IF(B339&lt;=Hypothèses!$V$10,Hypothèses!$W$10,IF(B339&lt;=Hypothèses!$V$11,Hypothèses!$W$11,IF(B339&lt;=Hypothèses!$V$12,Hypothèses!$W$12,IF(B339&lt;=Hypothèses!$V$13,Hypothèses!$W$13,IF(B339&lt;=Hypothèses!$V$14,Hypothèses!$W$14,IF(B339&lt;=Hypothèses!$V$15,Hypothèses!$W$15,IF(B339&lt;=Hypothèses!$V$16,Hypothèses!$W$16,IF(B339&lt;=Hypothèses!$V$17,Hypothèses!$W$17,IF(B339&lt;=Hypothèses!$V$18,Hypothèses!$W$18,""))))))))))))</f>
        <v/>
      </c>
      <c r="W339" s="87" t="e">
        <f t="shared" ca="1" si="616"/>
        <v>#DIV/0!</v>
      </c>
      <c r="X339" s="88" t="str">
        <f>IF(B339&lt;=Hypothèses!$V$7,Hypothèses!$X$7,IF(B339&lt;=Hypothèses!$V$8,Hypothèses!$X$8,IF(B339&lt;=Hypothèses!$V$9,Hypothèses!$X$9,IF(B339&lt;=Hypothèses!$V$10,Hypothèses!$X$10,IF(B339&lt;=Hypothèses!$V$11,Hypothèses!$X$11,IF(B339&lt;=Hypothèses!$V$12,Hypothèses!$X$12,IF(B339&lt;=Hypothèses!$V$13,Hypothèses!$X$13,IF(B339&lt;=Hypothèses!$V$14,Hypothèses!$X$14,IF(B339&lt;=Hypothèses!$V$15,Hypothèses!$X$15,IF(B339&lt;=Hypothèses!$V$16,Hypothèses!$X$16,IF(B339&lt;=Hypothèses!$U$17,Hypothèses!$W$17,IF(B339&lt;=Hypothèses!$U$18,Hypothèses!$W$18,""))))))))))))</f>
        <v/>
      </c>
      <c r="Y339" s="95" t="e">
        <f t="shared" ca="1" si="536"/>
        <v>#DIV/0!</v>
      </c>
      <c r="Z339" s="101">
        <f t="shared" si="537"/>
        <v>0</v>
      </c>
      <c r="AA339" s="91">
        <f t="shared" si="538"/>
        <v>0</v>
      </c>
      <c r="AB339" s="30" t="e">
        <f t="shared" si="600"/>
        <v>#N/A</v>
      </c>
      <c r="AC339" s="30" t="e">
        <f t="shared" si="601"/>
        <v>#N/A</v>
      </c>
      <c r="AD339" s="31" t="e">
        <f>IF(OR(Hypothèses!$B$4=17,Hypothèses!$B$4=18,Hypothèses!$B$4=19,Hypothèses!$B$4=20),
IF($D339="Pressio.",
IF(OR($E339=3,$E339=1,$E339=4),AC339,AB339),
IF($D339="Pénétro.",
IF(OR($E339=3,$E339=1,$E339=4),AC339,AB339))),IF($D339="Pressio.",
IF($E339=3,AC339,AB339),
IF($D339="Pénétro.",
IF($E339=4,AC339,AB339))))</f>
        <v>#N/A</v>
      </c>
      <c r="AE339" s="31">
        <v>0</v>
      </c>
      <c r="AF339" s="102" t="e">
        <f>IF(NDC!$H$10="Oui",(VLOOKUP($B$3,'Coeff EC7'!$T$39:$X$59,2,0)*AD339+VLOOKUP($B$3,'Coeff EC7'!$T$65:$X$85,2,0)*Model0.1T!AE339)/1.5,PI()*AB$12*$Q339*($B339-$B338)*0.15/10+AF338)</f>
        <v>#N/A</v>
      </c>
      <c r="AG339" s="102" t="e">
        <f>(VLOOKUP($B$3,'Coeff EC7'!$T$39:$X$59,3,0)*AD339+VLOOKUP($B$3,'Coeff EC7'!$T$65:$X$85,3,0)*Model0.1T!AE339)/1.1</f>
        <v>#N/A</v>
      </c>
      <c r="AH339" s="102" t="e">
        <f t="shared" si="568"/>
        <v>#N/A</v>
      </c>
      <c r="AI339" s="102" t="e">
        <f t="shared" si="569"/>
        <v>#N/A</v>
      </c>
      <c r="AJ339" s="414" t="e">
        <f>IF(AND(AF339&gt;NDC!$C$63,AG339&gt;NDC!$C$65,AH339&gt;NDC!$D$73,AI339&gt;NDC!$D$74,$B339&gt;NDC!$H$22-0.1+MIN(3*$AJ$12,1.5)),0,1)</f>
        <v>#N/A</v>
      </c>
      <c r="AK339" s="86" t="b">
        <f t="shared" si="539"/>
        <v>0</v>
      </c>
      <c r="AL339" s="86">
        <f t="shared" si="570"/>
        <v>0.5</v>
      </c>
      <c r="AM339" s="86">
        <f t="shared" si="540"/>
        <v>0.5</v>
      </c>
      <c r="AN339" s="30" t="e">
        <f t="shared" ca="1" si="571"/>
        <v>#DIV/0!</v>
      </c>
      <c r="AO339" s="85" t="e">
        <f ca="1">IF(U339&lt;=Hypothèses!$V$7,Hypothèses!$W$7,IF(U339&lt;=Hypothèses!$V$8,Hypothèses!$W$8,IF(U339&lt;=Hypothèses!$V$9,Hypothèses!$W$9,IF(U339&lt;=Hypothèses!$V$10,Hypothèses!$W$10,IF(U339&lt;=Hypothèses!$V$11,Hypothèses!$W$11,IF(U339&lt;=Hypothèses!$V$12,Hypothèses!$W$12,IF(U339&lt;=Hypothèses!$V$13,Hypothèses!$W$13,IF(U339&lt;=Hypothèses!$V$14,Hypothèses!$W$14,IF(U339&lt;=Hypothèses!$V$15,Hypothèses!$W$15,IF(U339&lt;=Hypothèses!$V$16,Hypothèses!$W$16,IF(U339&lt;=Hypothèses!$V$17,Hypothèses!$W$17,IF(U339&lt;=Hypothèses!$V$18,Hypothèses!$W$18,""))))))))))))</f>
        <v>#DIV/0!</v>
      </c>
      <c r="AP339" s="87" t="e">
        <f t="shared" ca="1" si="617"/>
        <v>#DIV/0!</v>
      </c>
      <c r="AQ339" s="88" t="e">
        <f ca="1">IF(U339&lt;=Hypothèses!$V$7,Hypothèses!$X$7,IF(U339&lt;=Hypothèses!$V$8,Hypothèses!$X$8,IF(U339&lt;=Hypothèses!$V$9,Hypothèses!$X$9,IF(U339&lt;=Hypothèses!$V$10,Hypothèses!$X$10,IF(U339&lt;=Hypothèses!$V$11,Hypothèses!$X$11,IF(U339&lt;=Hypothèses!$V$12,Hypothèses!$X$12,IF(U339&lt;=Hypothèses!$V$13,Hypothèses!$X$13,IF(U339&lt;=Hypothèses!$V$14,Hypothèses!$X$14,IF(U339&lt;=Hypothèses!$V$15,Hypothèses!$X$15,IF(U339&lt;=Hypothèses!$V$16,Hypothèses!$X$16,IF(U339&lt;=Hypothèses!$U$17,Hypothèses!$W$17,IF(U339&lt;=Hypothèses!$U$18,Hypothèses!$W$18,""))))))))))))</f>
        <v>#DIV/0!</v>
      </c>
      <c r="AR339" s="95" t="e">
        <f t="shared" ca="1" si="572"/>
        <v>#DIV/0!</v>
      </c>
      <c r="AS339" s="101">
        <f t="shared" si="624"/>
        <v>0</v>
      </c>
      <c r="AT339" s="91">
        <f t="shared" si="541"/>
        <v>0</v>
      </c>
      <c r="AU339" s="30" t="e">
        <f t="shared" si="602"/>
        <v>#N/A</v>
      </c>
      <c r="AV339" s="30" t="e">
        <f t="shared" si="603"/>
        <v>#N/A</v>
      </c>
      <c r="AW339" s="31" t="e">
        <f>IF(OR(Hypothèses!$B$4=17,Hypothèses!$B$4=18,Hypothèses!$B$4=19,Hypothèses!$B$4=20),
IF($D339="Pressio.",
IF(OR($E339=3,$E339=1,$E339=4),AV339,AU339),
IF($D339="Pénétro.",
IF(OR($E339=3,$E339=1,$E339=4),AV339,AU339))),IF($D339="Pressio.",
IF($E339=3,AV339,AU339),
IF($D339="Pénétro.",
IF($E339=4,AV339,AU339))))</f>
        <v>#N/A</v>
      </c>
      <c r="AX339" s="31">
        <v>0</v>
      </c>
      <c r="AY339" s="102" t="e">
        <f>IF(NDC!$H$10="Oui",(VLOOKUP($B$3,'Coeff EC7'!$T$39:$X$59,2,0)*AW339+VLOOKUP($B$3,'Coeff EC7'!$T$65:$X$85,2,0)*Model0.1T!AX339)/1.5,PI()*AU$12*$Q339*($B339-$B338)*0.15/10+AY338)</f>
        <v>#N/A</v>
      </c>
      <c r="AZ339" s="102" t="e">
        <f>(VLOOKUP($B$3,'Coeff EC7'!$T$39:$X$59,3,0)*AW339+VLOOKUP($B$3,'Coeff EC7'!$T$65:$X$85,3,0)*Model0.1T!AX339)/1.1</f>
        <v>#N/A</v>
      </c>
      <c r="BA339" s="102" t="e">
        <f t="shared" si="573"/>
        <v>#N/A</v>
      </c>
      <c r="BB339" s="102" t="e">
        <f t="shared" si="574"/>
        <v>#N/A</v>
      </c>
      <c r="BC339" s="414" t="e">
        <f>IF(AND(AY339&gt;NDC!$C$63,AZ339&gt;NDC!$C$65,BA339&gt;NDC!$D$73,BB339&gt;NDC!$D$74,$B339&gt;NDC!$H$22-0.1+MIN(3*BC$12,1.5)),0,1)</f>
        <v>#N/A</v>
      </c>
      <c r="BD339" s="86" t="b">
        <f t="shared" si="542"/>
        <v>0</v>
      </c>
      <c r="BE339" s="86">
        <f t="shared" si="575"/>
        <v>0.5</v>
      </c>
      <c r="BF339" s="86">
        <f t="shared" si="543"/>
        <v>0.5</v>
      </c>
      <c r="BG339" s="30" t="e">
        <f t="shared" ca="1" si="576"/>
        <v>#DIV/0!</v>
      </c>
      <c r="BH339" s="85" t="e">
        <f ca="1">IF(AN339&lt;=Hypothèses!$V$7,Hypothèses!$W$7,IF(AN339&lt;=Hypothèses!$V$8,Hypothèses!$W$8,IF(AN339&lt;=Hypothèses!$V$9,Hypothèses!$W$9,IF(AN339&lt;=Hypothèses!$V$10,Hypothèses!$W$10,IF(AN339&lt;=Hypothèses!$V$11,Hypothèses!$W$11,IF(AN339&lt;=Hypothèses!$V$12,Hypothèses!$W$12,IF(AN339&lt;=Hypothèses!$V$13,Hypothèses!$W$13,IF(AN339&lt;=Hypothèses!$V$14,Hypothèses!$W$14,IF(AN339&lt;=Hypothèses!$V$15,Hypothèses!$W$15,IF(AN339&lt;=Hypothèses!$V$16,Hypothèses!$W$16,IF(AN339&lt;=Hypothèses!$V$17,Hypothèses!$W$17,IF(AN339&lt;=Hypothèses!$V$18,Hypothèses!$W$18,""))))))))))))</f>
        <v>#DIV/0!</v>
      </c>
      <c r="BI339" s="87" t="e">
        <f t="shared" ca="1" si="618"/>
        <v>#DIV/0!</v>
      </c>
      <c r="BJ339" s="88" t="e">
        <f ca="1">IF(AN339&lt;=Hypothèses!$V$7,Hypothèses!$X$7,IF(AN339&lt;=Hypothèses!$V$8,Hypothèses!$X$8,IF(AN339&lt;=Hypothèses!$V$9,Hypothèses!$X$9,IF(AN339&lt;=Hypothèses!$V$10,Hypothèses!$X$10,IF(AN339&lt;=Hypothèses!$V$11,Hypothèses!$X$11,IF(AN339&lt;=Hypothèses!$V$12,Hypothèses!$X$12,IF(AN339&lt;=Hypothèses!$V$13,Hypothèses!$X$13,IF(AN339&lt;=Hypothèses!$V$14,Hypothèses!$X$14,IF(AN339&lt;=Hypothèses!$V$15,Hypothèses!$X$15,IF(AN339&lt;=Hypothèses!$V$16,Hypothèses!$X$16,IF(AN339&lt;=Hypothèses!$U$17,Hypothèses!$W$17,IF(AN339&lt;=Hypothèses!$U$18,Hypothèses!$W$18,""))))))))))))</f>
        <v>#DIV/0!</v>
      </c>
      <c r="BK339" s="95" t="e">
        <f t="shared" ca="1" si="577"/>
        <v>#DIV/0!</v>
      </c>
      <c r="BL339" s="101">
        <f t="shared" si="625"/>
        <v>0</v>
      </c>
      <c r="BM339" s="91">
        <f t="shared" si="544"/>
        <v>0</v>
      </c>
      <c r="BN339" s="30" t="e">
        <f t="shared" si="604"/>
        <v>#N/A</v>
      </c>
      <c r="BO339" s="30" t="e">
        <f t="shared" si="605"/>
        <v>#N/A</v>
      </c>
      <c r="BP339" s="31" t="e">
        <f>IF(OR(Hypothèses!$B$4=17,Hypothèses!$B$4=18,Hypothèses!$B$4=19,Hypothèses!$B$4=20),
IF($D339="Pressio.",
IF(OR($E339=3,$E339=1,$E339=4),BO339,BN339),
IF($D339="Pénétro.",
IF(OR($E339=3,$E339=1,$E339=4),BO339,BN339))),IF($D339="Pressio.",
IF($E339=3,BO339,BN339),
IF($D339="Pénétro.",
IF($E339=4,BO339,BN339))))</f>
        <v>#N/A</v>
      </c>
      <c r="BQ339" s="31">
        <v>0</v>
      </c>
      <c r="BR339" s="102" t="e">
        <f>IF(NDC!$H$10="Oui",(VLOOKUP($B$3,'Coeff EC7'!$T$39:$X$59,2,0)*BP339+VLOOKUP($B$3,'Coeff EC7'!$T$65:$X$85,2,0)*Model0.1T!BQ339)/1.5,PI()*BN$12*$Q339*($B339-$B338)*0.15/10+BR338)</f>
        <v>#N/A</v>
      </c>
      <c r="BS339" s="102" t="e">
        <f>(VLOOKUP($B$3,'Coeff EC7'!$T$39:$X$59,3,0)*BP339+VLOOKUP($B$3,'Coeff EC7'!$T$65:$X$85,3,0)*Model0.1T!BQ339)/1.1</f>
        <v>#N/A</v>
      </c>
      <c r="BT339" s="102" t="e">
        <f t="shared" si="578"/>
        <v>#N/A</v>
      </c>
      <c r="BU339" s="102" t="e">
        <f t="shared" si="579"/>
        <v>#N/A</v>
      </c>
      <c r="BV339" s="414" t="e">
        <f>IF(AND(BR339&gt;NDC!$C$63,BS339&gt;NDC!$C$65,BT339&gt;NDC!$D$73,BU339&gt;NDC!$D$74,$B339&gt;NDC!$H$22-0.1+MIN(3*BV$12,1.5)),0,1)</f>
        <v>#N/A</v>
      </c>
      <c r="BW339" s="86" t="b">
        <f t="shared" si="545"/>
        <v>0</v>
      </c>
      <c r="BX339" s="86">
        <f t="shared" si="546"/>
        <v>0.5</v>
      </c>
      <c r="BY339" s="86">
        <f t="shared" si="547"/>
        <v>0.5</v>
      </c>
      <c r="BZ339" s="30" t="e">
        <f t="shared" ca="1" si="580"/>
        <v>#DIV/0!</v>
      </c>
      <c r="CA339" s="85" t="e">
        <f ca="1">IF(BG339&lt;=Hypothèses!$V$7,Hypothèses!$W$7,IF(BG339&lt;=Hypothèses!$V$8,Hypothèses!$W$8,IF(BG339&lt;=Hypothèses!$V$9,Hypothèses!$W$9,IF(BG339&lt;=Hypothèses!$V$10,Hypothèses!$W$10,IF(BG339&lt;=Hypothèses!$V$11,Hypothèses!$W$11,IF(BG339&lt;=Hypothèses!$V$12,Hypothèses!$W$12,IF(BG339&lt;=Hypothèses!$V$13,Hypothèses!$W$13,IF(BG339&lt;=Hypothèses!$V$14,Hypothèses!$W$14,IF(BG339&lt;=Hypothèses!$V$15,Hypothèses!$W$15,IF(BG339&lt;=Hypothèses!$V$16,Hypothèses!$W$16,IF(BG339&lt;=Hypothèses!$V$17,Hypothèses!$W$17,IF(BG339&lt;=Hypothèses!$V$18,Hypothèses!$W$18,""))))))))))))</f>
        <v>#DIV/0!</v>
      </c>
      <c r="CB339" s="87" t="e">
        <f t="shared" ca="1" si="619"/>
        <v>#DIV/0!</v>
      </c>
      <c r="CC339" s="88" t="e">
        <f ca="1">IF(BG339&lt;=Hypothèses!$V$7,Hypothèses!$X$7,IF(BG339&lt;=Hypothèses!$V$8,Hypothèses!$X$8,IF(BG339&lt;=Hypothèses!$V$9,Hypothèses!$X$9,IF(BG339&lt;=Hypothèses!$V$10,Hypothèses!$X$10,IF(BG339&lt;=Hypothèses!$V$11,Hypothèses!$X$11,IF(BG339&lt;=Hypothèses!$V$12,Hypothèses!$X$12,IF(BG339&lt;=Hypothèses!$V$13,Hypothèses!$X$13,IF(BG339&lt;=Hypothèses!$V$14,Hypothèses!$X$14,IF(BG339&lt;=Hypothèses!$V$15,Hypothèses!$X$15,IF(BG339&lt;=Hypothèses!$V$16,Hypothèses!$X$16,IF(BG339&lt;=Hypothèses!$U$17,Hypothèses!$W$17,IF(BG339&lt;=Hypothèses!$U$18,Hypothèses!$W$18,""))))))))))))</f>
        <v>#DIV/0!</v>
      </c>
      <c r="CD339" s="95" t="e">
        <f t="shared" ca="1" si="581"/>
        <v>#DIV/0!</v>
      </c>
      <c r="CE339" s="101">
        <f t="shared" si="626"/>
        <v>0</v>
      </c>
      <c r="CF339" s="91">
        <f t="shared" si="548"/>
        <v>0</v>
      </c>
      <c r="CG339" s="30" t="e">
        <f t="shared" si="606"/>
        <v>#N/A</v>
      </c>
      <c r="CH339" s="30" t="e">
        <f t="shared" si="607"/>
        <v>#N/A</v>
      </c>
      <c r="CI339" s="31" t="e">
        <f>IF(OR(Hypothèses!$B$4=17,Hypothèses!$B$4=18,Hypothèses!$B$4=19,Hypothèses!$B$4=20),
IF($D339="Pressio.",
IF(OR($E339=3,$E339=1,$E339=4),CH339,CG339),
IF($D339="Pénétro.",
IF(OR($E339=3,$E339=1,$E339=4),CH339,CG339))),IF($D339="Pressio.",
IF($E339=3,CH339,CG339),
IF($D339="Pénétro.",
IF($E339=4,CH339,CG339))))</f>
        <v>#N/A</v>
      </c>
      <c r="CJ339" s="31">
        <v>0</v>
      </c>
      <c r="CK339" s="102" t="e">
        <f>IF(NDC!$H$10="Oui",(VLOOKUP($B$3,'Coeff EC7'!$T$39:$X$59,2,0)*CI339+VLOOKUP($B$3,'Coeff EC7'!$T$65:$X$85,2,0)*Model0.1T!CJ339)/1.5,PI()*CG$12*$Q339*($B339-$B338)*0.15/10+CK338)</f>
        <v>#N/A</v>
      </c>
      <c r="CL339" s="102" t="e">
        <f>(VLOOKUP($B$3,'Coeff EC7'!$T$39:$X$59,3,0)*CI339+VLOOKUP($B$3,'Coeff EC7'!$T$65:$X$85,3,0)*Model0.1T!CJ339)/1.1</f>
        <v>#N/A</v>
      </c>
      <c r="CM339" s="102" t="e">
        <f t="shared" si="582"/>
        <v>#N/A</v>
      </c>
      <c r="CN339" s="102" t="e">
        <f t="shared" si="583"/>
        <v>#N/A</v>
      </c>
      <c r="CO339" s="414" t="e">
        <f>IF(AND(CK339&gt;NDC!$C$63,CL339&gt;NDC!$C$65,CM339&gt;NDC!$D$73,CN339&gt;NDC!$D$74,$B339&gt;NDC!$H$22-0.1+MIN(3*CO$12,1.5)),0,1)</f>
        <v>#N/A</v>
      </c>
      <c r="CP339" s="86" t="b">
        <f t="shared" si="549"/>
        <v>0</v>
      </c>
      <c r="CQ339" s="86">
        <f t="shared" si="550"/>
        <v>0.5</v>
      </c>
      <c r="CR339" s="86">
        <f t="shared" si="551"/>
        <v>0.5</v>
      </c>
      <c r="CS339" s="30" t="e">
        <f t="shared" ca="1" si="584"/>
        <v>#DIV/0!</v>
      </c>
      <c r="CT339" s="85" t="e">
        <f ca="1">IF(BZ339&lt;=Hypothèses!$V$7,Hypothèses!$W$7,IF(BZ339&lt;=Hypothèses!$V$8,Hypothèses!$W$8,IF(BZ339&lt;=Hypothèses!$V$9,Hypothèses!$W$9,IF(BZ339&lt;=Hypothèses!$V$10,Hypothèses!$W$10,IF(BZ339&lt;=Hypothèses!$V$11,Hypothèses!$W$11,IF(BZ339&lt;=Hypothèses!$V$12,Hypothèses!$W$12,IF(BZ339&lt;=Hypothèses!$V$13,Hypothèses!$W$13,IF(BZ339&lt;=Hypothèses!$V$14,Hypothèses!$W$14,IF(BZ339&lt;=Hypothèses!$V$15,Hypothèses!$W$15,IF(BZ339&lt;=Hypothèses!$V$16,Hypothèses!$W$16,IF(BZ339&lt;=Hypothèses!$V$17,Hypothèses!$W$17,IF(BZ339&lt;=Hypothèses!$V$18,Hypothèses!$W$18,""))))))))))))</f>
        <v>#DIV/0!</v>
      </c>
      <c r="CU339" s="87" t="e">
        <f t="shared" ca="1" si="620"/>
        <v>#DIV/0!</v>
      </c>
      <c r="CV339" s="88" t="e">
        <f ca="1">IF(BZ339&lt;=Hypothèses!$V$7,Hypothèses!$X$7,IF(BZ339&lt;=Hypothèses!$V$8,Hypothèses!$X$8,IF(BZ339&lt;=Hypothèses!$V$9,Hypothèses!$X$9,IF(BZ339&lt;=Hypothèses!$V$10,Hypothèses!$X$10,IF(BZ339&lt;=Hypothèses!$V$11,Hypothèses!$X$11,IF(BZ339&lt;=Hypothèses!$V$12,Hypothèses!$X$12,IF(BZ339&lt;=Hypothèses!$V$13,Hypothèses!$X$13,IF(BZ339&lt;=Hypothèses!$V$14,Hypothèses!$X$14,IF(BZ339&lt;=Hypothèses!$V$15,Hypothèses!$X$15,IF(BZ339&lt;=Hypothèses!$V$16,Hypothèses!$X$16,IF(BZ339&lt;=Hypothèses!$U$17,Hypothèses!$W$17,IF(BZ339&lt;=Hypothèses!$U$18,Hypothèses!$W$18,""))))))))))))</f>
        <v>#DIV/0!</v>
      </c>
      <c r="CW339" s="95" t="e">
        <f t="shared" ca="1" si="585"/>
        <v>#DIV/0!</v>
      </c>
      <c r="CX339" s="101">
        <f t="shared" si="627"/>
        <v>0</v>
      </c>
      <c r="CY339" s="91">
        <f t="shared" si="552"/>
        <v>0</v>
      </c>
      <c r="CZ339" s="30" t="e">
        <f t="shared" si="608"/>
        <v>#N/A</v>
      </c>
      <c r="DA339" s="30" t="e">
        <f t="shared" si="609"/>
        <v>#N/A</v>
      </c>
      <c r="DB339" s="31" t="e">
        <f>IF(OR(Hypothèses!$B$4=17,Hypothèses!$B$4=18,Hypothèses!$B$4=19,Hypothèses!$B$4=20),
IF($D339="Pressio.",
IF(OR($E339=3,$E339=1,$E339=4),DA339,CZ339),
IF($D339="Pénétro.",
IF(OR($E339=3,$E339=1,$E339=4),DA339,CZ339))),IF($D339="Pressio.",
IF($E339=3,DA339,CZ339),
IF($D339="Pénétro.",
IF($E339=4,DA339,CZ339))))</f>
        <v>#N/A</v>
      </c>
      <c r="DC339" s="31">
        <v>0</v>
      </c>
      <c r="DD339" s="102" t="e">
        <f>IF(NDC!$H$10="Oui",(VLOOKUP($B$3,'Coeff EC7'!$T$39:$X$59,2,0)*DB339+VLOOKUP($B$3,'Coeff EC7'!$T$65:$X$85,2,0)*Model0.1T!DC339)/1.5,PI()*CZ$12*$Q339*($B339-$B338)*0.15/10+DD338)</f>
        <v>#N/A</v>
      </c>
      <c r="DE339" s="102" t="e">
        <f>(VLOOKUP($B$3,'Coeff EC7'!$T$39:$X$59,3,0)*DB339+VLOOKUP($B$3,'Coeff EC7'!$T$65:$X$85,3,0)*Model0.1T!DC339)/1.1</f>
        <v>#N/A</v>
      </c>
      <c r="DF339" s="102" t="e">
        <f t="shared" si="586"/>
        <v>#N/A</v>
      </c>
      <c r="DG339" s="102" t="e">
        <f t="shared" si="587"/>
        <v>#N/A</v>
      </c>
      <c r="DH339" s="414" t="e">
        <f>IF(AND(DD339&gt;NDC!$C$63,DE339&gt;NDC!$C$65,DF339&gt;NDC!$D$73,DG339&gt;NDC!$D$74,$B339&gt;NDC!$H$22-0.1+MIN(3*DH$12,1.5)),0,1)</f>
        <v>#N/A</v>
      </c>
      <c r="DI339" s="86" t="b">
        <f t="shared" si="553"/>
        <v>0</v>
      </c>
      <c r="DJ339" s="86">
        <f t="shared" si="554"/>
        <v>0.5</v>
      </c>
      <c r="DK339" s="86">
        <f t="shared" si="555"/>
        <v>0.5</v>
      </c>
      <c r="DL339" s="30" t="e">
        <f t="shared" ca="1" si="588"/>
        <v>#DIV/0!</v>
      </c>
      <c r="DM339" s="85" t="e">
        <f ca="1">IF(CS339&lt;=Hypothèses!$V$7,Hypothèses!$W$7,IF(CS339&lt;=Hypothèses!$V$8,Hypothèses!$W$8,IF(CS339&lt;=Hypothèses!$V$9,Hypothèses!$W$9,IF(CS339&lt;=Hypothèses!$V$10,Hypothèses!$W$10,IF(CS339&lt;=Hypothèses!$V$11,Hypothèses!$W$11,IF(CS339&lt;=Hypothèses!$V$12,Hypothèses!$W$12,IF(CS339&lt;=Hypothèses!$V$13,Hypothèses!$W$13,IF(CS339&lt;=Hypothèses!$V$14,Hypothèses!$W$14,IF(CS339&lt;=Hypothèses!$V$15,Hypothèses!$W$15,IF(CS339&lt;=Hypothèses!$V$16,Hypothèses!$W$16,IF(CS339&lt;=Hypothèses!$V$17,Hypothèses!$W$17,IF(CS339&lt;=Hypothèses!$V$18,Hypothèses!$W$18,""))))))))))))</f>
        <v>#DIV/0!</v>
      </c>
      <c r="DN339" s="87" t="e">
        <f t="shared" ca="1" si="621"/>
        <v>#DIV/0!</v>
      </c>
      <c r="DO339" s="88" t="e">
        <f ca="1">IF(CS339&lt;=Hypothèses!$V$7,Hypothèses!$X$7,IF(CS339&lt;=Hypothèses!$V$8,Hypothèses!$X$8,IF(CS339&lt;=Hypothèses!$V$9,Hypothèses!$X$9,IF(CS339&lt;=Hypothèses!$V$10,Hypothèses!$X$10,IF(CS339&lt;=Hypothèses!$V$11,Hypothèses!$X$11,IF(CS339&lt;=Hypothèses!$V$12,Hypothèses!$X$12,IF(CS339&lt;=Hypothèses!$V$13,Hypothèses!$X$13,IF(CS339&lt;=Hypothèses!$V$14,Hypothèses!$X$14,IF(CS339&lt;=Hypothèses!$V$15,Hypothèses!$X$15,IF(CS339&lt;=Hypothèses!$V$16,Hypothèses!$X$16,IF(CS339&lt;=Hypothèses!$U$17,Hypothèses!$W$17,IF(CS339&lt;=Hypothèses!$U$18,Hypothèses!$W$18,""))))))))))))</f>
        <v>#DIV/0!</v>
      </c>
      <c r="DP339" s="95" t="e">
        <f t="shared" ca="1" si="589"/>
        <v>#DIV/0!</v>
      </c>
      <c r="DQ339" s="101">
        <f t="shared" si="628"/>
        <v>0</v>
      </c>
      <c r="DR339" s="91">
        <f t="shared" si="556"/>
        <v>0</v>
      </c>
      <c r="DS339" s="30" t="e">
        <f t="shared" si="610"/>
        <v>#N/A</v>
      </c>
      <c r="DT339" s="30" t="e">
        <f t="shared" si="611"/>
        <v>#N/A</v>
      </c>
      <c r="DU339" s="31" t="e">
        <f>IF(OR(Hypothèses!$B$4=17,Hypothèses!$B$4=18,Hypothèses!$B$4=19,Hypothèses!$B$4=20),
IF($D339="Pressio.",
IF(OR($E339=3,$E339=1,$E339=4),DT339,DS339),
IF($D339="Pénétro.",
IF(OR($E339=3,$E339=1,$E339=4),DT339,DS339))),IF($D339="Pressio.",
IF($E339=3,DT339,DS339),
IF($D339="Pénétro.",
IF($E339=4,DT339,DS339))))</f>
        <v>#N/A</v>
      </c>
      <c r="DV339" s="31">
        <v>0</v>
      </c>
      <c r="DW339" s="102" t="e">
        <f>IF(NDC!$H$10="Oui",(VLOOKUP($B$3,'Coeff EC7'!$T$39:$X$59,2,0)*DU339+VLOOKUP($B$3,'Coeff EC7'!$T$65:$X$85,2,0)*Model0.1T!DV339)/1.5,PI()*DS$12*$Q339*($B339-$B338)*0.15/10+DW338)</f>
        <v>#N/A</v>
      </c>
      <c r="DX339" s="102" t="e">
        <f>(VLOOKUP($B$3,'Coeff EC7'!$T$39:$X$59,3,0)*DU339+VLOOKUP($B$3,'Coeff EC7'!$T$65:$X$85,3,0)*Model0.1T!DV339)/1.1</f>
        <v>#N/A</v>
      </c>
      <c r="DY339" s="102" t="e">
        <f t="shared" si="590"/>
        <v>#N/A</v>
      </c>
      <c r="DZ339" s="102" t="e">
        <f t="shared" si="591"/>
        <v>#N/A</v>
      </c>
      <c r="EA339" s="414" t="e">
        <f>IF(AND(DW339&gt;NDC!$C$63,DX339&gt;NDC!$C$65,DY339&gt;NDC!$D$73,DZ339&gt;NDC!$D$74,$B339&gt;NDC!$H$22-0.1+MIN(3*EA$12,1.5)),0,1)</f>
        <v>#N/A</v>
      </c>
      <c r="EB339" s="86" t="b">
        <f t="shared" si="557"/>
        <v>0</v>
      </c>
      <c r="EC339" s="418">
        <f t="shared" si="558"/>
        <v>0.51</v>
      </c>
      <c r="ED339" s="86">
        <f t="shared" si="559"/>
        <v>0.51</v>
      </c>
      <c r="EE339" s="30" t="e">
        <f t="shared" ca="1" si="592"/>
        <v>#DIV/0!</v>
      </c>
      <c r="EF339" s="85" t="e">
        <f ca="1">IF(DL339&lt;=Hypothèses!$V$7,Hypothèses!$W$7,IF(DL339&lt;=Hypothèses!$V$8,Hypothèses!$W$8,IF(DL339&lt;=Hypothèses!$V$9,Hypothèses!$W$9,IF(DL339&lt;=Hypothèses!$V$10,Hypothèses!$W$10,IF(DL339&lt;=Hypothèses!$V$11,Hypothèses!$W$11,IF(DL339&lt;=Hypothèses!$V$12,Hypothèses!$W$12,IF(DL339&lt;=Hypothèses!$V$13,Hypothèses!$W$13,IF(DL339&lt;=Hypothèses!$V$14,Hypothèses!$W$14,IF(DL339&lt;=Hypothèses!$V$15,Hypothèses!$W$15,IF(DL339&lt;=Hypothèses!$V$16,Hypothèses!$W$16,IF(DL339&lt;=Hypothèses!$V$17,Hypothèses!$W$17,IF(DL339&lt;=Hypothèses!$V$18,Hypothèses!$W$18,""))))))))))))</f>
        <v>#DIV/0!</v>
      </c>
      <c r="EG339" s="87" t="e">
        <f t="shared" ca="1" si="622"/>
        <v>#DIV/0!</v>
      </c>
      <c r="EH339" s="88" t="e">
        <f ca="1">IF(DL339&lt;=Hypothèses!$V$7,Hypothèses!$X$7,IF(DL339&lt;=Hypothèses!$V$8,Hypothèses!$X$8,IF(DL339&lt;=Hypothèses!$V$9,Hypothèses!$X$9,IF(DL339&lt;=Hypothèses!$V$10,Hypothèses!$X$10,IF(DL339&lt;=Hypothèses!$V$11,Hypothèses!$X$11,IF(DL339&lt;=Hypothèses!$V$12,Hypothèses!$X$12,IF(DL339&lt;=Hypothèses!$V$13,Hypothèses!$X$13,IF(DL339&lt;=Hypothèses!$V$14,Hypothèses!$X$14,IF(DL339&lt;=Hypothèses!$V$15,Hypothèses!$X$15,IF(DL339&lt;=Hypothèses!$V$16,Hypothèses!$X$16,IF(DL339&lt;=Hypothèses!$U$17,Hypothèses!$W$17,IF(DL339&lt;=Hypothèses!$U$18,Hypothèses!$W$18,""))))))))))))</f>
        <v>#DIV/0!</v>
      </c>
      <c r="EI339" s="95" t="e">
        <f t="shared" ca="1" si="593"/>
        <v>#DIV/0!</v>
      </c>
      <c r="EJ339" s="101">
        <f t="shared" si="629"/>
        <v>0</v>
      </c>
      <c r="EK339" s="91">
        <f t="shared" si="560"/>
        <v>0</v>
      </c>
      <c r="EL339" s="30" t="e">
        <f t="shared" si="612"/>
        <v>#N/A</v>
      </c>
      <c r="EM339" s="30" t="e">
        <f t="shared" si="613"/>
        <v>#N/A</v>
      </c>
      <c r="EN339" s="31" t="e">
        <f>IF(OR(Hypothèses!$B$4=17,Hypothèses!$B$4=18,Hypothèses!$B$4=19,Hypothèses!$B$4=20),
IF($D339="Pressio.",
IF(OR($E339=3,$E339=1,$E339=4),EM339,EL339),
IF($D339="Pénétro.",
IF(OR($E339=3,$E339=1,$E339=4),EM339,EL339))),IF($D339="Pressio.",
IF($E339=3,EM339,EL339),
IF($D339="Pénétro.",
IF($E339=4,EM339,EL339))))</f>
        <v>#N/A</v>
      </c>
      <c r="EO339" s="31">
        <v>0</v>
      </c>
      <c r="EP339" s="102" t="e">
        <f>IF(NDC!$H$10="Oui",(VLOOKUP($B$3,'Coeff EC7'!$T$39:$X$59,2,0)*EN339+VLOOKUP($B$3,'Coeff EC7'!$T$65:$X$85,2,0)*Model0.1T!EO339)/1.5,PI()*EL$12*$Q339*($B339-$B338)*0.15/10+EP338)</f>
        <v>#N/A</v>
      </c>
      <c r="EQ339" s="102" t="e">
        <f>(VLOOKUP($B$3,'Coeff EC7'!$T$39:$X$59,3,0)*EN339+VLOOKUP($B$3,'Coeff EC7'!$T$65:$X$85,3,0)*Model0.1T!EO339)/1.1</f>
        <v>#N/A</v>
      </c>
      <c r="ER339" s="102" t="e">
        <f t="shared" si="594"/>
        <v>#N/A</v>
      </c>
      <c r="ES339" s="102" t="e">
        <f t="shared" si="595"/>
        <v>#N/A</v>
      </c>
      <c r="ET339" s="414" t="e">
        <f>IF(AND(EP339&gt;NDC!$C$63,EQ339&gt;NDC!$C$65,ER339&gt;NDC!$D$73,ES339&gt;NDC!$D$74,$B339&gt;NDC!$H$22-0.1+MIN(3*ET$12,1.5)),0,1)</f>
        <v>#N/A</v>
      </c>
      <c r="EU339" s="86" t="b">
        <f t="shared" si="561"/>
        <v>0</v>
      </c>
      <c r="EV339" s="86">
        <f t="shared" si="562"/>
        <v>0.61</v>
      </c>
      <c r="EW339" s="86">
        <f t="shared" si="563"/>
        <v>0.61</v>
      </c>
      <c r="EX339" s="30" t="e">
        <f t="shared" ca="1" si="596"/>
        <v>#DIV/0!</v>
      </c>
      <c r="EY339" s="85" t="e">
        <f ca="1">IF(EE339&lt;=Hypothèses!$V$7,Hypothèses!$W$7,IF(EE339&lt;=Hypothèses!$V$8,Hypothèses!$W$8,IF(EE339&lt;=Hypothèses!$V$9,Hypothèses!$W$9,IF(EE339&lt;=Hypothèses!$V$10,Hypothèses!$W$10,IF(EE339&lt;=Hypothèses!$V$11,Hypothèses!$W$11,IF(EE339&lt;=Hypothèses!$V$12,Hypothèses!$W$12,IF(EE339&lt;=Hypothèses!$V$13,Hypothèses!$W$13,IF(EE339&lt;=Hypothèses!$V$14,Hypothèses!$W$14,IF(EE339&lt;=Hypothèses!$V$15,Hypothèses!$W$15,IF(EE339&lt;=Hypothèses!$V$16,Hypothèses!$W$16,IF(EE339&lt;=Hypothèses!$V$17,Hypothèses!$W$17,IF(EE339&lt;=Hypothèses!$V$18,Hypothèses!$W$18,""))))))))))))</f>
        <v>#DIV/0!</v>
      </c>
      <c r="EZ339" s="87" t="e">
        <f t="shared" ca="1" si="623"/>
        <v>#DIV/0!</v>
      </c>
      <c r="FA339" s="88" t="e">
        <f ca="1">IF(EE339&lt;=Hypothèses!$V$7,Hypothèses!$X$7,IF(EE339&lt;=Hypothèses!$V$8,Hypothèses!$X$8,IF(EE339&lt;=Hypothèses!$V$9,Hypothèses!$X$9,IF(EE339&lt;=Hypothèses!$V$10,Hypothèses!$X$10,IF(EE339&lt;=Hypothèses!$V$11,Hypothèses!$X$11,IF(EE339&lt;=Hypothèses!$V$12,Hypothèses!$X$12,IF(EE339&lt;=Hypothèses!$V$13,Hypothèses!$X$13,IF(EE339&lt;=Hypothèses!$V$14,Hypothèses!$X$14,IF(EE339&lt;=Hypothèses!$V$15,Hypothèses!$X$15,IF(EE339&lt;=Hypothèses!$V$16,Hypothèses!$X$16,IF(EE339&lt;=Hypothèses!$U$17,Hypothèses!$W$17,IF(EE339&lt;=Hypothèses!$U$18,Hypothèses!$W$18,""))))))))))))</f>
        <v>#DIV/0!</v>
      </c>
      <c r="FB339" s="95" t="e">
        <f t="shared" ca="1" si="597"/>
        <v>#DIV/0!</v>
      </c>
      <c r="FC339" s="101">
        <f t="shared" si="630"/>
        <v>0</v>
      </c>
      <c r="FD339" s="91">
        <f t="shared" si="564"/>
        <v>0</v>
      </c>
      <c r="FE339" s="30" t="e">
        <f t="shared" si="614"/>
        <v>#N/A</v>
      </c>
      <c r="FF339" s="30" t="e">
        <f t="shared" si="615"/>
        <v>#N/A</v>
      </c>
      <c r="FG339" s="31" t="e">
        <f>IF(OR(Hypothèses!$B$4=17,Hypothèses!$B$4=18,Hypothèses!$B$4=19,Hypothèses!$B$4=20),
IF($D339="Pressio.",
IF(OR($E339=3,$E339=1,$E339=4),FF339,FE339),
IF($D339="Pénétro.",
IF(OR($E339=3,$E339=1,$E339=4),FF339,FE339))),IF($D339="Pressio.",
IF($E339=3,FF339,FE339),
IF($D339="Pénétro.",
IF($E339=4,FF339,FE339))))</f>
        <v>#N/A</v>
      </c>
      <c r="FH339" s="31">
        <v>0</v>
      </c>
      <c r="FI339" s="102" t="e">
        <f>IF(NDC!$H$10="Oui",(VLOOKUP($B$3,'Coeff EC7'!$T$39:$X$59,2,0)*FG339+VLOOKUP($B$3,'Coeff EC7'!$T$65:$X$85,2,0)*Model0.1T!FH339)/1.5,PI()*FE$12*$Q339*($B339-$B338)*0.15/10+FI338)</f>
        <v>#N/A</v>
      </c>
      <c r="FJ339" s="102" t="e">
        <f>(VLOOKUP($B$3,'Coeff EC7'!$T$39:$X$59,3,0)*FG339+VLOOKUP($B$3,'Coeff EC7'!$T$65:$X$85,3,0)*Model0.1T!FH339)/1.1</f>
        <v>#N/A</v>
      </c>
      <c r="FK339" s="102" t="e">
        <f t="shared" si="598"/>
        <v>#N/A</v>
      </c>
      <c r="FL339" s="102" t="e">
        <f t="shared" si="599"/>
        <v>#N/A</v>
      </c>
      <c r="FM339" s="414" t="e">
        <f>IF(AND(FI339&gt;NDC!$C$63,FJ339&gt;NDC!$C$65,FK339&gt;NDC!$D$73,FL339&gt;NDC!$D$74,$B339&gt;NDC!$H$22-0.1+MIN(3*FM$12,1.5)),0,1)</f>
        <v>#N/A</v>
      </c>
    </row>
    <row r="340" spans="1:169">
      <c r="A340" s="96">
        <f t="shared" si="565"/>
        <v>67.300000000001859</v>
      </c>
      <c r="B340" s="97">
        <v>32.700000000000003</v>
      </c>
      <c r="C340" s="81">
        <f>IF(B340&lt;=Hypothèses!$C$7,Hypothèses!$A$7,IF(B340&lt;=Hypothèses!$C$8,Hypothèses!$A$8,IF(B340&lt;=Hypothèses!$C$9,Hypothèses!$A$9,IF(B340&lt;=Hypothèses!$C$10,Hypothèses!$A$10,IF(B340&lt;=Hypothèses!$C$11,Hypothèses!$A$11,IF(B340&lt;=Hypothèses!$C$12,Hypothèses!$A$12,IF(B340&lt;=Hypothèses!$C$13,Hypothèses!$A$13,IF(B340&lt;=Hypothèses!$C$14,Hypothèses!$A$14,IF(B340&lt;=Hypothèses!$C$15,Hypothèses!$A$15,IF(B340&lt;=Hypothèses!$C$16,Hypothèses!$A$16,IF(B340&lt;=Hypothèses!$C$17,Hypothèses!$A$17,IF(B340&lt;=Hypothèses!$C$18,Hypothèses!$A$18,C339))))))))))))</f>
        <v>11</v>
      </c>
      <c r="D340" s="82" t="str">
        <f>IF(B340&lt;=Hypothèses!$C$7,Hypothèses!$R$7,IF(B340&lt;=Hypothèses!$C$8,Hypothèses!$R$8,IF(B340&lt;=Hypothèses!$C$9,Hypothèses!$R$9,IF(B340&lt;=Hypothèses!$C$10,Hypothèses!$R$10,IF(B340&lt;=Hypothèses!$C$11,Hypothèses!$R$11,IF(B340&lt;=Hypothèses!$C$12,Hypothèses!$R$12,IF(B340&lt;=Hypothèses!$C$13,Hypothèses!$R$13,IF(B340&lt;=Hypothèses!$C$14,Hypothèses!$R$14,IF(B340&lt;=Hypothèses!$C$15,Hypothèses!$R$15,IF(B340&lt;=Hypothèses!$C$16,Hypothèses!$R$16,IF(B340&lt;=Hypothèses!$C$17,Hypothèses!$R$17,IF(B340&lt;=Hypothèses!$C$18,Hypothèses!$R$18,D339))))))))))))</f>
        <v>Pressio.</v>
      </c>
      <c r="E340" s="82" t="e">
        <f>IF(B340&lt;=Hypothèses!$C$7,Hypothèses!$G$7,IF(B340&lt;=Hypothèses!$C$8,Hypothèses!$G$8,IF(B340&lt;=Hypothèses!$C$9,Hypothèses!$G$9,IF(B340&lt;=Hypothèses!$C$10,Hypothèses!$G$10,IF(B340&lt;=Hypothèses!$C$11,Hypothèses!$G$11,IF(B340&lt;=Hypothèses!$C$12,Hypothèses!$G$12,IF(B340&lt;=Hypothèses!$C$13,Hypothèses!$G$13,IF(B340&lt;=Hypothèses!$C$14,Hypothèses!$G$14,IF(B340&lt;=Hypothèses!$C$15,Hypothèses!$G$15,IF(B340&lt;=Hypothèses!$C$16,Hypothèses!$G$16,IF(B340&lt;=Hypothèses!$C$17,Hypothèses!$G$17,IF(B340&lt;=Hypothèses!$C$18,Hypothèses!$G$18,E339))))))))))))</f>
        <v>#N/A</v>
      </c>
      <c r="F340" s="82" t="str">
        <f>IF(B340&lt;=Hypothèses!$C$7,Hypothèses!$F$7,IF(B340&lt;=Hypothèses!$C$8,Hypothèses!$F$8,IF(B340&lt;=Hypothèses!$C$9,Hypothèses!$F$9,IF(B340&lt;=Hypothèses!$C$10,Hypothèses!$F$10,IF(B340&lt;=Hypothèses!$C$11,Hypothèses!$F$11,IF(B340&lt;=Hypothèses!$C$12,Hypothèses!$F$12,IF(B340&lt;=Hypothèses!$C$13,Hypothèses!$F$13,IF(B340&lt;=Hypothèses!$C$14,Hypothèses!$F$14,IF(B340&lt;=Hypothèses!$C$15,Hypothèses!$F$15,IF(B340&lt;=Hypothèses!$C$16,Hypothèses!$F$16,IF(B340&lt;=Hypothèses!$C$17,Hypothèses!$F$17,IF(B340&lt;=Hypothèses!$C$18,Hypothèses!$F$18,F339))))))))))))</f>
        <v/>
      </c>
      <c r="G340" s="91">
        <f t="array" ref="G340">INDEX('Coeff EC7'!$U$7:$X$27,
MATCH(Model0.1T!$B$3,'Coeff EC7'!$T$7:$T$27,0),
MATCH(Model0.1T!$D340&amp;Model0.1T!$B$4,
'Coeff EC7'!$U$6:$X$6&amp;
'Coeff EC7'!$U$5:$X$5,0))</f>
        <v>1.4</v>
      </c>
      <c r="H340" s="91">
        <f t="array" ref="H340">INDEX('Coeff EC7'!$Y$7:$AB$27,
MATCH(Model0.1T!$B$3,'Coeff EC7'!$T$7:$T$27,0),
MATCH(Model0.1T!$D340&amp;Model0.1T!$B$4,
'Coeff EC7'!$Y$6:$AB$6&amp;
'Coeff EC7'!$Y$5:$AB$5,0))</f>
        <v>1.7</v>
      </c>
      <c r="I340" s="83">
        <v>0</v>
      </c>
      <c r="J340" s="91" t="e">
        <f t="array" ref="J340">INDEX('Coeff EC7'!$D$33:$Q$33,1,MATCH(D340&amp;E340,'Coeff EC7'!$D$31:$Q$31&amp;'Coeff EC7'!$D$32:$Q$32,0))</f>
        <v>#N/A</v>
      </c>
      <c r="K340" s="91" t="e">
        <f t="array" ref="K340">INDEX('Coeff EC7'!$D$34:$Q$34,1,MATCH(D340&amp;E340,'Coeff EC7'!$D$31:$Q$31&amp;'Coeff EC7'!$D$32:$Q$32,0))</f>
        <v>#N/A</v>
      </c>
      <c r="L340" s="91" t="e">
        <f t="array" ref="L340">INDEX('Coeff EC7'!$D$35:$Q$35,1,MATCH(D340&amp;E340,'Coeff EC7'!$D$31:$Q$31&amp;'Coeff EC7'!$D$32:$Q$32,0))</f>
        <v>#N/A</v>
      </c>
      <c r="M340" s="98" t="e">
        <f t="shared" si="531"/>
        <v>#N/A</v>
      </c>
      <c r="N340" s="99" t="e">
        <f t="array" ref="N340">INDEX('Coeff EC7'!$D$7:$Q$27,MATCH($B$3,'Coeff EC7'!$C$7:$C$27,0),MATCH(D340&amp;E340,'Coeff EC7'!$D$5:$Q$5&amp;'Coeff EC7'!$D$6:$Q$6,0))</f>
        <v>#N/A</v>
      </c>
      <c r="O340" s="99" t="e">
        <f t="array" ref="O340">INDEX('Coeff EC7'!$D$41:$Q$61,MATCH($B$3,'Coeff EC7'!$C$41:$C$61,0),MATCH(D340&amp;E340,'Coeff EC7'!$D$39:$Q$39&amp;'Coeff EC7'!$D$40:$Q$40,0))</f>
        <v>#N/A</v>
      </c>
      <c r="P340" s="30" t="e">
        <f t="shared" si="566"/>
        <v>#N/A</v>
      </c>
      <c r="Q340" s="100" t="e">
        <f t="shared" si="533"/>
        <v>#N/A</v>
      </c>
      <c r="R340" s="86" t="b">
        <f t="shared" si="534"/>
        <v>0</v>
      </c>
      <c r="S340" s="86">
        <f t="shared" si="532"/>
        <v>0.5</v>
      </c>
      <c r="T340" s="86">
        <f t="shared" si="535"/>
        <v>0.5</v>
      </c>
      <c r="U340" s="30" t="e">
        <f t="shared" ca="1" si="567"/>
        <v>#DIV/0!</v>
      </c>
      <c r="V340" s="85" t="str">
        <f>IF(B340&lt;=Hypothèses!$V$7,Hypothèses!$W$7,IF(B340&lt;=Hypothèses!$V$8,Hypothèses!$W$8,IF(B340&lt;=Hypothèses!$V$9,Hypothèses!$W$9,IF(B340&lt;=Hypothèses!$V$10,Hypothèses!$W$10,IF(B340&lt;=Hypothèses!$V$11,Hypothèses!$W$11,IF(B340&lt;=Hypothèses!$V$12,Hypothèses!$W$12,IF(B340&lt;=Hypothèses!$V$13,Hypothèses!$W$13,IF(B340&lt;=Hypothèses!$V$14,Hypothèses!$W$14,IF(B340&lt;=Hypothèses!$V$15,Hypothèses!$W$15,IF(B340&lt;=Hypothèses!$V$16,Hypothèses!$W$16,IF(B340&lt;=Hypothèses!$V$17,Hypothèses!$W$17,IF(B340&lt;=Hypothèses!$V$18,Hypothèses!$W$18,""))))))))))))</f>
        <v/>
      </c>
      <c r="W340" s="87" t="e">
        <f t="shared" ca="1" si="616"/>
        <v>#DIV/0!</v>
      </c>
      <c r="X340" s="88" t="str">
        <f>IF(B340&lt;=Hypothèses!$V$7,Hypothèses!$X$7,IF(B340&lt;=Hypothèses!$V$8,Hypothèses!$X$8,IF(B340&lt;=Hypothèses!$V$9,Hypothèses!$X$9,IF(B340&lt;=Hypothèses!$V$10,Hypothèses!$X$10,IF(B340&lt;=Hypothèses!$V$11,Hypothèses!$X$11,IF(B340&lt;=Hypothèses!$V$12,Hypothèses!$X$12,IF(B340&lt;=Hypothèses!$V$13,Hypothèses!$X$13,IF(B340&lt;=Hypothèses!$V$14,Hypothèses!$X$14,IF(B340&lt;=Hypothèses!$V$15,Hypothèses!$X$15,IF(B340&lt;=Hypothèses!$V$16,Hypothèses!$X$16,IF(B340&lt;=Hypothèses!$U$17,Hypothèses!$W$17,IF(B340&lt;=Hypothèses!$U$18,Hypothèses!$W$18,""))))))))))))</f>
        <v/>
      </c>
      <c r="Y340" s="95" t="e">
        <f t="shared" ca="1" si="536"/>
        <v>#DIV/0!</v>
      </c>
      <c r="Z340" s="101">
        <f t="shared" si="537"/>
        <v>0</v>
      </c>
      <c r="AA340" s="91">
        <f t="shared" si="538"/>
        <v>0</v>
      </c>
      <c r="AB340" s="30" t="e">
        <f t="shared" si="600"/>
        <v>#N/A</v>
      </c>
      <c r="AC340" s="30" t="e">
        <f t="shared" si="601"/>
        <v>#N/A</v>
      </c>
      <c r="AD340" s="31" t="e">
        <f>IF(OR(Hypothèses!$B$4=17,Hypothèses!$B$4=18,Hypothèses!$B$4=19,Hypothèses!$B$4=20),
IF($D340="Pressio.",
IF(OR($E340=3,$E340=1,$E340=4),AC340,AB340),
IF($D340="Pénétro.",
IF(OR($E340=3,$E340=1,$E340=4),AC340,AB340))),IF($D340="Pressio.",
IF($E340=3,AC340,AB340),
IF($D340="Pénétro.",
IF($E340=4,AC340,AB340))))</f>
        <v>#N/A</v>
      </c>
      <c r="AE340" s="31">
        <v>0</v>
      </c>
      <c r="AF340" s="102" t="e">
        <f>IF(NDC!$H$10="Oui",(VLOOKUP($B$3,'Coeff EC7'!$T$39:$X$59,2,0)*AD340+VLOOKUP($B$3,'Coeff EC7'!$T$65:$X$85,2,0)*Model0.1T!AE340)/1.5,PI()*AB$12*$Q340*($B340-$B339)*0.15/10+AF339)</f>
        <v>#N/A</v>
      </c>
      <c r="AG340" s="102" t="e">
        <f>(VLOOKUP($B$3,'Coeff EC7'!$T$39:$X$59,3,0)*AD340+VLOOKUP($B$3,'Coeff EC7'!$T$65:$X$85,3,0)*Model0.1T!AE340)/1.1</f>
        <v>#N/A</v>
      </c>
      <c r="AH340" s="102" t="e">
        <f t="shared" si="568"/>
        <v>#N/A</v>
      </c>
      <c r="AI340" s="102" t="e">
        <f t="shared" si="569"/>
        <v>#N/A</v>
      </c>
      <c r="AJ340" s="414" t="e">
        <f>IF(AND(AF340&gt;NDC!$C$63,AG340&gt;NDC!$C$65,AH340&gt;NDC!$D$73,AI340&gt;NDC!$D$74,$B340&gt;NDC!$H$22-0.1+MIN(3*$AJ$12,1.5)),0,1)</f>
        <v>#N/A</v>
      </c>
      <c r="AK340" s="86" t="b">
        <f t="shared" si="539"/>
        <v>0</v>
      </c>
      <c r="AL340" s="86">
        <f t="shared" si="570"/>
        <v>0.5</v>
      </c>
      <c r="AM340" s="86">
        <f t="shared" si="540"/>
        <v>0.5</v>
      </c>
      <c r="AN340" s="30" t="e">
        <f t="shared" ca="1" si="571"/>
        <v>#DIV/0!</v>
      </c>
      <c r="AO340" s="85" t="e">
        <f ca="1">IF(U340&lt;=Hypothèses!$V$7,Hypothèses!$W$7,IF(U340&lt;=Hypothèses!$V$8,Hypothèses!$W$8,IF(U340&lt;=Hypothèses!$V$9,Hypothèses!$W$9,IF(U340&lt;=Hypothèses!$V$10,Hypothèses!$W$10,IF(U340&lt;=Hypothèses!$V$11,Hypothèses!$W$11,IF(U340&lt;=Hypothèses!$V$12,Hypothèses!$W$12,IF(U340&lt;=Hypothèses!$V$13,Hypothèses!$W$13,IF(U340&lt;=Hypothèses!$V$14,Hypothèses!$W$14,IF(U340&lt;=Hypothèses!$V$15,Hypothèses!$W$15,IF(U340&lt;=Hypothèses!$V$16,Hypothèses!$W$16,IF(U340&lt;=Hypothèses!$V$17,Hypothèses!$W$17,IF(U340&lt;=Hypothèses!$V$18,Hypothèses!$W$18,""))))))))))))</f>
        <v>#DIV/0!</v>
      </c>
      <c r="AP340" s="87" t="e">
        <f t="shared" ca="1" si="617"/>
        <v>#DIV/0!</v>
      </c>
      <c r="AQ340" s="88" t="e">
        <f ca="1">IF(U340&lt;=Hypothèses!$V$7,Hypothèses!$X$7,IF(U340&lt;=Hypothèses!$V$8,Hypothèses!$X$8,IF(U340&lt;=Hypothèses!$V$9,Hypothèses!$X$9,IF(U340&lt;=Hypothèses!$V$10,Hypothèses!$X$10,IF(U340&lt;=Hypothèses!$V$11,Hypothèses!$X$11,IF(U340&lt;=Hypothèses!$V$12,Hypothèses!$X$12,IF(U340&lt;=Hypothèses!$V$13,Hypothèses!$X$13,IF(U340&lt;=Hypothèses!$V$14,Hypothèses!$X$14,IF(U340&lt;=Hypothèses!$V$15,Hypothèses!$X$15,IF(U340&lt;=Hypothèses!$V$16,Hypothèses!$X$16,IF(U340&lt;=Hypothèses!$U$17,Hypothèses!$W$17,IF(U340&lt;=Hypothèses!$U$18,Hypothèses!$W$18,""))))))))))))</f>
        <v>#DIV/0!</v>
      </c>
      <c r="AR340" s="95" t="e">
        <f t="shared" ca="1" si="572"/>
        <v>#DIV/0!</v>
      </c>
      <c r="AS340" s="101">
        <f t="shared" si="624"/>
        <v>0</v>
      </c>
      <c r="AT340" s="91">
        <f t="shared" si="541"/>
        <v>0</v>
      </c>
      <c r="AU340" s="30" t="e">
        <f t="shared" si="602"/>
        <v>#N/A</v>
      </c>
      <c r="AV340" s="30" t="e">
        <f t="shared" si="603"/>
        <v>#N/A</v>
      </c>
      <c r="AW340" s="31" t="e">
        <f>IF(OR(Hypothèses!$B$4=17,Hypothèses!$B$4=18,Hypothèses!$B$4=19,Hypothèses!$B$4=20),
IF($D340="Pressio.",
IF(OR($E340=3,$E340=1,$E340=4),AV340,AU340),
IF($D340="Pénétro.",
IF(OR($E340=3,$E340=1,$E340=4),AV340,AU340))),IF($D340="Pressio.",
IF($E340=3,AV340,AU340),
IF($D340="Pénétro.",
IF($E340=4,AV340,AU340))))</f>
        <v>#N/A</v>
      </c>
      <c r="AX340" s="31">
        <v>0</v>
      </c>
      <c r="AY340" s="102" t="e">
        <f>IF(NDC!$H$10="Oui",(VLOOKUP($B$3,'Coeff EC7'!$T$39:$X$59,2,0)*AW340+VLOOKUP($B$3,'Coeff EC7'!$T$65:$X$85,2,0)*Model0.1T!AX340)/1.5,PI()*AU$12*$Q340*($B340-$B339)*0.15/10+AY339)</f>
        <v>#N/A</v>
      </c>
      <c r="AZ340" s="102" t="e">
        <f>(VLOOKUP($B$3,'Coeff EC7'!$T$39:$X$59,3,0)*AW340+VLOOKUP($B$3,'Coeff EC7'!$T$65:$X$85,3,0)*Model0.1T!AX340)/1.1</f>
        <v>#N/A</v>
      </c>
      <c r="BA340" s="102" t="e">
        <f t="shared" si="573"/>
        <v>#N/A</v>
      </c>
      <c r="BB340" s="102" t="e">
        <f t="shared" si="574"/>
        <v>#N/A</v>
      </c>
      <c r="BC340" s="414" t="e">
        <f>IF(AND(AY340&gt;NDC!$C$63,AZ340&gt;NDC!$C$65,BA340&gt;NDC!$D$73,BB340&gt;NDC!$D$74,$B340&gt;NDC!$H$22-0.1+MIN(3*BC$12,1.5)),0,1)</f>
        <v>#N/A</v>
      </c>
      <c r="BD340" s="86" t="b">
        <f t="shared" si="542"/>
        <v>0</v>
      </c>
      <c r="BE340" s="86">
        <f t="shared" si="575"/>
        <v>0.5</v>
      </c>
      <c r="BF340" s="86">
        <f t="shared" si="543"/>
        <v>0.5</v>
      </c>
      <c r="BG340" s="30" t="e">
        <f t="shared" ca="1" si="576"/>
        <v>#DIV/0!</v>
      </c>
      <c r="BH340" s="85" t="e">
        <f ca="1">IF(AN340&lt;=Hypothèses!$V$7,Hypothèses!$W$7,IF(AN340&lt;=Hypothèses!$V$8,Hypothèses!$W$8,IF(AN340&lt;=Hypothèses!$V$9,Hypothèses!$W$9,IF(AN340&lt;=Hypothèses!$V$10,Hypothèses!$W$10,IF(AN340&lt;=Hypothèses!$V$11,Hypothèses!$W$11,IF(AN340&lt;=Hypothèses!$V$12,Hypothèses!$W$12,IF(AN340&lt;=Hypothèses!$V$13,Hypothèses!$W$13,IF(AN340&lt;=Hypothèses!$V$14,Hypothèses!$W$14,IF(AN340&lt;=Hypothèses!$V$15,Hypothèses!$W$15,IF(AN340&lt;=Hypothèses!$V$16,Hypothèses!$W$16,IF(AN340&lt;=Hypothèses!$V$17,Hypothèses!$W$17,IF(AN340&lt;=Hypothèses!$V$18,Hypothèses!$W$18,""))))))))))))</f>
        <v>#DIV/0!</v>
      </c>
      <c r="BI340" s="87" t="e">
        <f t="shared" ca="1" si="618"/>
        <v>#DIV/0!</v>
      </c>
      <c r="BJ340" s="88" t="e">
        <f ca="1">IF(AN340&lt;=Hypothèses!$V$7,Hypothèses!$X$7,IF(AN340&lt;=Hypothèses!$V$8,Hypothèses!$X$8,IF(AN340&lt;=Hypothèses!$V$9,Hypothèses!$X$9,IF(AN340&lt;=Hypothèses!$V$10,Hypothèses!$X$10,IF(AN340&lt;=Hypothèses!$V$11,Hypothèses!$X$11,IF(AN340&lt;=Hypothèses!$V$12,Hypothèses!$X$12,IF(AN340&lt;=Hypothèses!$V$13,Hypothèses!$X$13,IF(AN340&lt;=Hypothèses!$V$14,Hypothèses!$X$14,IF(AN340&lt;=Hypothèses!$V$15,Hypothèses!$X$15,IF(AN340&lt;=Hypothèses!$V$16,Hypothèses!$X$16,IF(AN340&lt;=Hypothèses!$U$17,Hypothèses!$W$17,IF(AN340&lt;=Hypothèses!$U$18,Hypothèses!$W$18,""))))))))))))</f>
        <v>#DIV/0!</v>
      </c>
      <c r="BK340" s="95" t="e">
        <f t="shared" ca="1" si="577"/>
        <v>#DIV/0!</v>
      </c>
      <c r="BL340" s="101">
        <f t="shared" si="625"/>
        <v>0</v>
      </c>
      <c r="BM340" s="91">
        <f t="shared" si="544"/>
        <v>0</v>
      </c>
      <c r="BN340" s="30" t="e">
        <f t="shared" si="604"/>
        <v>#N/A</v>
      </c>
      <c r="BO340" s="30" t="e">
        <f t="shared" si="605"/>
        <v>#N/A</v>
      </c>
      <c r="BP340" s="31" t="e">
        <f>IF(OR(Hypothèses!$B$4=17,Hypothèses!$B$4=18,Hypothèses!$B$4=19,Hypothèses!$B$4=20),
IF($D340="Pressio.",
IF(OR($E340=3,$E340=1,$E340=4),BO340,BN340),
IF($D340="Pénétro.",
IF(OR($E340=3,$E340=1,$E340=4),BO340,BN340))),IF($D340="Pressio.",
IF($E340=3,BO340,BN340),
IF($D340="Pénétro.",
IF($E340=4,BO340,BN340))))</f>
        <v>#N/A</v>
      </c>
      <c r="BQ340" s="31">
        <v>0</v>
      </c>
      <c r="BR340" s="102" t="e">
        <f>IF(NDC!$H$10="Oui",(VLOOKUP($B$3,'Coeff EC7'!$T$39:$X$59,2,0)*BP340+VLOOKUP($B$3,'Coeff EC7'!$T$65:$X$85,2,0)*Model0.1T!BQ340)/1.5,PI()*BN$12*$Q340*($B340-$B339)*0.15/10+BR339)</f>
        <v>#N/A</v>
      </c>
      <c r="BS340" s="102" t="e">
        <f>(VLOOKUP($B$3,'Coeff EC7'!$T$39:$X$59,3,0)*BP340+VLOOKUP($B$3,'Coeff EC7'!$T$65:$X$85,3,0)*Model0.1T!BQ340)/1.1</f>
        <v>#N/A</v>
      </c>
      <c r="BT340" s="102" t="e">
        <f t="shared" si="578"/>
        <v>#N/A</v>
      </c>
      <c r="BU340" s="102" t="e">
        <f t="shared" si="579"/>
        <v>#N/A</v>
      </c>
      <c r="BV340" s="414" t="e">
        <f>IF(AND(BR340&gt;NDC!$C$63,BS340&gt;NDC!$C$65,BT340&gt;NDC!$D$73,BU340&gt;NDC!$D$74,$B340&gt;NDC!$H$22-0.1+MIN(3*BV$12,1.5)),0,1)</f>
        <v>#N/A</v>
      </c>
      <c r="BW340" s="86" t="b">
        <f t="shared" si="545"/>
        <v>0</v>
      </c>
      <c r="BX340" s="86">
        <f t="shared" si="546"/>
        <v>0.5</v>
      </c>
      <c r="BY340" s="86">
        <f t="shared" si="547"/>
        <v>0.5</v>
      </c>
      <c r="BZ340" s="30" t="e">
        <f t="shared" ca="1" si="580"/>
        <v>#DIV/0!</v>
      </c>
      <c r="CA340" s="85" t="e">
        <f ca="1">IF(BG340&lt;=Hypothèses!$V$7,Hypothèses!$W$7,IF(BG340&lt;=Hypothèses!$V$8,Hypothèses!$W$8,IF(BG340&lt;=Hypothèses!$V$9,Hypothèses!$W$9,IF(BG340&lt;=Hypothèses!$V$10,Hypothèses!$W$10,IF(BG340&lt;=Hypothèses!$V$11,Hypothèses!$W$11,IF(BG340&lt;=Hypothèses!$V$12,Hypothèses!$W$12,IF(BG340&lt;=Hypothèses!$V$13,Hypothèses!$W$13,IF(BG340&lt;=Hypothèses!$V$14,Hypothèses!$W$14,IF(BG340&lt;=Hypothèses!$V$15,Hypothèses!$W$15,IF(BG340&lt;=Hypothèses!$V$16,Hypothèses!$W$16,IF(BG340&lt;=Hypothèses!$V$17,Hypothèses!$W$17,IF(BG340&lt;=Hypothèses!$V$18,Hypothèses!$W$18,""))))))))))))</f>
        <v>#DIV/0!</v>
      </c>
      <c r="CB340" s="87" t="e">
        <f t="shared" ca="1" si="619"/>
        <v>#DIV/0!</v>
      </c>
      <c r="CC340" s="88" t="e">
        <f ca="1">IF(BG340&lt;=Hypothèses!$V$7,Hypothèses!$X$7,IF(BG340&lt;=Hypothèses!$V$8,Hypothèses!$X$8,IF(BG340&lt;=Hypothèses!$V$9,Hypothèses!$X$9,IF(BG340&lt;=Hypothèses!$V$10,Hypothèses!$X$10,IF(BG340&lt;=Hypothèses!$V$11,Hypothèses!$X$11,IF(BG340&lt;=Hypothèses!$V$12,Hypothèses!$X$12,IF(BG340&lt;=Hypothèses!$V$13,Hypothèses!$X$13,IF(BG340&lt;=Hypothèses!$V$14,Hypothèses!$X$14,IF(BG340&lt;=Hypothèses!$V$15,Hypothèses!$X$15,IF(BG340&lt;=Hypothèses!$V$16,Hypothèses!$X$16,IF(BG340&lt;=Hypothèses!$U$17,Hypothèses!$W$17,IF(BG340&lt;=Hypothèses!$U$18,Hypothèses!$W$18,""))))))))))))</f>
        <v>#DIV/0!</v>
      </c>
      <c r="CD340" s="95" t="e">
        <f t="shared" ca="1" si="581"/>
        <v>#DIV/0!</v>
      </c>
      <c r="CE340" s="101">
        <f t="shared" si="626"/>
        <v>0</v>
      </c>
      <c r="CF340" s="91">
        <f t="shared" si="548"/>
        <v>0</v>
      </c>
      <c r="CG340" s="30" t="e">
        <f t="shared" si="606"/>
        <v>#N/A</v>
      </c>
      <c r="CH340" s="30" t="e">
        <f t="shared" si="607"/>
        <v>#N/A</v>
      </c>
      <c r="CI340" s="31" t="e">
        <f>IF(OR(Hypothèses!$B$4=17,Hypothèses!$B$4=18,Hypothèses!$B$4=19,Hypothèses!$B$4=20),
IF($D340="Pressio.",
IF(OR($E340=3,$E340=1,$E340=4),CH340,CG340),
IF($D340="Pénétro.",
IF(OR($E340=3,$E340=1,$E340=4),CH340,CG340))),IF($D340="Pressio.",
IF($E340=3,CH340,CG340),
IF($D340="Pénétro.",
IF($E340=4,CH340,CG340))))</f>
        <v>#N/A</v>
      </c>
      <c r="CJ340" s="31">
        <v>0</v>
      </c>
      <c r="CK340" s="102" t="e">
        <f>IF(NDC!$H$10="Oui",(VLOOKUP($B$3,'Coeff EC7'!$T$39:$X$59,2,0)*CI340+VLOOKUP($B$3,'Coeff EC7'!$T$65:$X$85,2,0)*Model0.1T!CJ340)/1.5,PI()*CG$12*$Q340*($B340-$B339)*0.15/10+CK339)</f>
        <v>#N/A</v>
      </c>
      <c r="CL340" s="102" t="e">
        <f>(VLOOKUP($B$3,'Coeff EC7'!$T$39:$X$59,3,0)*CI340+VLOOKUP($B$3,'Coeff EC7'!$T$65:$X$85,3,0)*Model0.1T!CJ340)/1.1</f>
        <v>#N/A</v>
      </c>
      <c r="CM340" s="102" t="e">
        <f t="shared" si="582"/>
        <v>#N/A</v>
      </c>
      <c r="CN340" s="102" t="e">
        <f t="shared" si="583"/>
        <v>#N/A</v>
      </c>
      <c r="CO340" s="414" t="e">
        <f>IF(AND(CK340&gt;NDC!$C$63,CL340&gt;NDC!$C$65,CM340&gt;NDC!$D$73,CN340&gt;NDC!$D$74,$B340&gt;NDC!$H$22-0.1+MIN(3*CO$12,1.5)),0,1)</f>
        <v>#N/A</v>
      </c>
      <c r="CP340" s="86" t="b">
        <f t="shared" si="549"/>
        <v>0</v>
      </c>
      <c r="CQ340" s="86">
        <f t="shared" si="550"/>
        <v>0.5</v>
      </c>
      <c r="CR340" s="86">
        <f t="shared" si="551"/>
        <v>0.5</v>
      </c>
      <c r="CS340" s="30" t="e">
        <f t="shared" ca="1" si="584"/>
        <v>#DIV/0!</v>
      </c>
      <c r="CT340" s="85" t="e">
        <f ca="1">IF(BZ340&lt;=Hypothèses!$V$7,Hypothèses!$W$7,IF(BZ340&lt;=Hypothèses!$V$8,Hypothèses!$W$8,IF(BZ340&lt;=Hypothèses!$V$9,Hypothèses!$W$9,IF(BZ340&lt;=Hypothèses!$V$10,Hypothèses!$W$10,IF(BZ340&lt;=Hypothèses!$V$11,Hypothèses!$W$11,IF(BZ340&lt;=Hypothèses!$V$12,Hypothèses!$W$12,IF(BZ340&lt;=Hypothèses!$V$13,Hypothèses!$W$13,IF(BZ340&lt;=Hypothèses!$V$14,Hypothèses!$W$14,IF(BZ340&lt;=Hypothèses!$V$15,Hypothèses!$W$15,IF(BZ340&lt;=Hypothèses!$V$16,Hypothèses!$W$16,IF(BZ340&lt;=Hypothèses!$V$17,Hypothèses!$W$17,IF(BZ340&lt;=Hypothèses!$V$18,Hypothèses!$W$18,""))))))))))))</f>
        <v>#DIV/0!</v>
      </c>
      <c r="CU340" s="87" t="e">
        <f t="shared" ca="1" si="620"/>
        <v>#DIV/0!</v>
      </c>
      <c r="CV340" s="88" t="e">
        <f ca="1">IF(BZ340&lt;=Hypothèses!$V$7,Hypothèses!$X$7,IF(BZ340&lt;=Hypothèses!$V$8,Hypothèses!$X$8,IF(BZ340&lt;=Hypothèses!$V$9,Hypothèses!$X$9,IF(BZ340&lt;=Hypothèses!$V$10,Hypothèses!$X$10,IF(BZ340&lt;=Hypothèses!$V$11,Hypothèses!$X$11,IF(BZ340&lt;=Hypothèses!$V$12,Hypothèses!$X$12,IF(BZ340&lt;=Hypothèses!$V$13,Hypothèses!$X$13,IF(BZ340&lt;=Hypothèses!$V$14,Hypothèses!$X$14,IF(BZ340&lt;=Hypothèses!$V$15,Hypothèses!$X$15,IF(BZ340&lt;=Hypothèses!$V$16,Hypothèses!$X$16,IF(BZ340&lt;=Hypothèses!$U$17,Hypothèses!$W$17,IF(BZ340&lt;=Hypothèses!$U$18,Hypothèses!$W$18,""))))))))))))</f>
        <v>#DIV/0!</v>
      </c>
      <c r="CW340" s="95" t="e">
        <f t="shared" ca="1" si="585"/>
        <v>#DIV/0!</v>
      </c>
      <c r="CX340" s="101">
        <f t="shared" si="627"/>
        <v>0</v>
      </c>
      <c r="CY340" s="91">
        <f t="shared" si="552"/>
        <v>0</v>
      </c>
      <c r="CZ340" s="30" t="e">
        <f t="shared" si="608"/>
        <v>#N/A</v>
      </c>
      <c r="DA340" s="30" t="e">
        <f t="shared" si="609"/>
        <v>#N/A</v>
      </c>
      <c r="DB340" s="31" t="e">
        <f>IF(OR(Hypothèses!$B$4=17,Hypothèses!$B$4=18,Hypothèses!$B$4=19,Hypothèses!$B$4=20),
IF($D340="Pressio.",
IF(OR($E340=3,$E340=1,$E340=4),DA340,CZ340),
IF($D340="Pénétro.",
IF(OR($E340=3,$E340=1,$E340=4),DA340,CZ340))),IF($D340="Pressio.",
IF($E340=3,DA340,CZ340),
IF($D340="Pénétro.",
IF($E340=4,DA340,CZ340))))</f>
        <v>#N/A</v>
      </c>
      <c r="DC340" s="31">
        <v>0</v>
      </c>
      <c r="DD340" s="102" t="e">
        <f>IF(NDC!$H$10="Oui",(VLOOKUP($B$3,'Coeff EC7'!$T$39:$X$59,2,0)*DB340+VLOOKUP($B$3,'Coeff EC7'!$T$65:$X$85,2,0)*Model0.1T!DC340)/1.5,PI()*CZ$12*$Q340*($B340-$B339)*0.15/10+DD339)</f>
        <v>#N/A</v>
      </c>
      <c r="DE340" s="102" t="e">
        <f>(VLOOKUP($B$3,'Coeff EC7'!$T$39:$X$59,3,0)*DB340+VLOOKUP($B$3,'Coeff EC7'!$T$65:$X$85,3,0)*Model0.1T!DC340)/1.1</f>
        <v>#N/A</v>
      </c>
      <c r="DF340" s="102" t="e">
        <f t="shared" si="586"/>
        <v>#N/A</v>
      </c>
      <c r="DG340" s="102" t="e">
        <f t="shared" si="587"/>
        <v>#N/A</v>
      </c>
      <c r="DH340" s="414" t="e">
        <f>IF(AND(DD340&gt;NDC!$C$63,DE340&gt;NDC!$C$65,DF340&gt;NDC!$D$73,DG340&gt;NDC!$D$74,$B340&gt;NDC!$H$22-0.1+MIN(3*DH$12,1.5)),0,1)</f>
        <v>#N/A</v>
      </c>
      <c r="DI340" s="86" t="b">
        <f t="shared" si="553"/>
        <v>0</v>
      </c>
      <c r="DJ340" s="86">
        <f t="shared" si="554"/>
        <v>0.5</v>
      </c>
      <c r="DK340" s="86">
        <f t="shared" si="555"/>
        <v>0.5</v>
      </c>
      <c r="DL340" s="30" t="e">
        <f t="shared" ca="1" si="588"/>
        <v>#DIV/0!</v>
      </c>
      <c r="DM340" s="85" t="e">
        <f ca="1">IF(CS340&lt;=Hypothèses!$V$7,Hypothèses!$W$7,IF(CS340&lt;=Hypothèses!$V$8,Hypothèses!$W$8,IF(CS340&lt;=Hypothèses!$V$9,Hypothèses!$W$9,IF(CS340&lt;=Hypothèses!$V$10,Hypothèses!$W$10,IF(CS340&lt;=Hypothèses!$V$11,Hypothèses!$W$11,IF(CS340&lt;=Hypothèses!$V$12,Hypothèses!$W$12,IF(CS340&lt;=Hypothèses!$V$13,Hypothèses!$W$13,IF(CS340&lt;=Hypothèses!$V$14,Hypothèses!$W$14,IF(CS340&lt;=Hypothèses!$V$15,Hypothèses!$W$15,IF(CS340&lt;=Hypothèses!$V$16,Hypothèses!$W$16,IF(CS340&lt;=Hypothèses!$V$17,Hypothèses!$W$17,IF(CS340&lt;=Hypothèses!$V$18,Hypothèses!$W$18,""))))))))))))</f>
        <v>#DIV/0!</v>
      </c>
      <c r="DN340" s="87" t="e">
        <f t="shared" ca="1" si="621"/>
        <v>#DIV/0!</v>
      </c>
      <c r="DO340" s="88" t="e">
        <f ca="1">IF(CS340&lt;=Hypothèses!$V$7,Hypothèses!$X$7,IF(CS340&lt;=Hypothèses!$V$8,Hypothèses!$X$8,IF(CS340&lt;=Hypothèses!$V$9,Hypothèses!$X$9,IF(CS340&lt;=Hypothèses!$V$10,Hypothèses!$X$10,IF(CS340&lt;=Hypothèses!$V$11,Hypothèses!$X$11,IF(CS340&lt;=Hypothèses!$V$12,Hypothèses!$X$12,IF(CS340&lt;=Hypothèses!$V$13,Hypothèses!$X$13,IF(CS340&lt;=Hypothèses!$V$14,Hypothèses!$X$14,IF(CS340&lt;=Hypothèses!$V$15,Hypothèses!$X$15,IF(CS340&lt;=Hypothèses!$V$16,Hypothèses!$X$16,IF(CS340&lt;=Hypothèses!$U$17,Hypothèses!$W$17,IF(CS340&lt;=Hypothèses!$U$18,Hypothèses!$W$18,""))))))))))))</f>
        <v>#DIV/0!</v>
      </c>
      <c r="DP340" s="95" t="e">
        <f t="shared" ca="1" si="589"/>
        <v>#DIV/0!</v>
      </c>
      <c r="DQ340" s="101">
        <f t="shared" si="628"/>
        <v>0</v>
      </c>
      <c r="DR340" s="91">
        <f t="shared" si="556"/>
        <v>0</v>
      </c>
      <c r="DS340" s="30" t="e">
        <f t="shared" si="610"/>
        <v>#N/A</v>
      </c>
      <c r="DT340" s="30" t="e">
        <f t="shared" si="611"/>
        <v>#N/A</v>
      </c>
      <c r="DU340" s="31" t="e">
        <f>IF(OR(Hypothèses!$B$4=17,Hypothèses!$B$4=18,Hypothèses!$B$4=19,Hypothèses!$B$4=20),
IF($D340="Pressio.",
IF(OR($E340=3,$E340=1,$E340=4),DT340,DS340),
IF($D340="Pénétro.",
IF(OR($E340=3,$E340=1,$E340=4),DT340,DS340))),IF($D340="Pressio.",
IF($E340=3,DT340,DS340),
IF($D340="Pénétro.",
IF($E340=4,DT340,DS340))))</f>
        <v>#N/A</v>
      </c>
      <c r="DV340" s="31">
        <v>0</v>
      </c>
      <c r="DW340" s="102" t="e">
        <f>IF(NDC!$H$10="Oui",(VLOOKUP($B$3,'Coeff EC7'!$T$39:$X$59,2,0)*DU340+VLOOKUP($B$3,'Coeff EC7'!$T$65:$X$85,2,0)*Model0.1T!DV340)/1.5,PI()*DS$12*$Q340*($B340-$B339)*0.15/10+DW339)</f>
        <v>#N/A</v>
      </c>
      <c r="DX340" s="102" t="e">
        <f>(VLOOKUP($B$3,'Coeff EC7'!$T$39:$X$59,3,0)*DU340+VLOOKUP($B$3,'Coeff EC7'!$T$65:$X$85,3,0)*Model0.1T!DV340)/1.1</f>
        <v>#N/A</v>
      </c>
      <c r="DY340" s="102" t="e">
        <f t="shared" si="590"/>
        <v>#N/A</v>
      </c>
      <c r="DZ340" s="102" t="e">
        <f t="shared" si="591"/>
        <v>#N/A</v>
      </c>
      <c r="EA340" s="414" t="e">
        <f>IF(AND(DW340&gt;NDC!$C$63,DX340&gt;NDC!$C$65,DY340&gt;NDC!$D$73,DZ340&gt;NDC!$D$74,$B340&gt;NDC!$H$22-0.1+MIN(3*EA$12,1.5)),0,1)</f>
        <v>#N/A</v>
      </c>
      <c r="EB340" s="86" t="b">
        <f t="shared" si="557"/>
        <v>0</v>
      </c>
      <c r="EC340" s="418">
        <f t="shared" si="558"/>
        <v>0.51</v>
      </c>
      <c r="ED340" s="86">
        <f t="shared" si="559"/>
        <v>0.51</v>
      </c>
      <c r="EE340" s="30" t="e">
        <f t="shared" ca="1" si="592"/>
        <v>#DIV/0!</v>
      </c>
      <c r="EF340" s="85" t="e">
        <f ca="1">IF(DL340&lt;=Hypothèses!$V$7,Hypothèses!$W$7,IF(DL340&lt;=Hypothèses!$V$8,Hypothèses!$W$8,IF(DL340&lt;=Hypothèses!$V$9,Hypothèses!$W$9,IF(DL340&lt;=Hypothèses!$V$10,Hypothèses!$W$10,IF(DL340&lt;=Hypothèses!$V$11,Hypothèses!$W$11,IF(DL340&lt;=Hypothèses!$V$12,Hypothèses!$W$12,IF(DL340&lt;=Hypothèses!$V$13,Hypothèses!$W$13,IF(DL340&lt;=Hypothèses!$V$14,Hypothèses!$W$14,IF(DL340&lt;=Hypothèses!$V$15,Hypothèses!$W$15,IF(DL340&lt;=Hypothèses!$V$16,Hypothèses!$W$16,IF(DL340&lt;=Hypothèses!$V$17,Hypothèses!$W$17,IF(DL340&lt;=Hypothèses!$V$18,Hypothèses!$W$18,""))))))))))))</f>
        <v>#DIV/0!</v>
      </c>
      <c r="EG340" s="87" t="e">
        <f t="shared" ca="1" si="622"/>
        <v>#DIV/0!</v>
      </c>
      <c r="EH340" s="88" t="e">
        <f ca="1">IF(DL340&lt;=Hypothèses!$V$7,Hypothèses!$X$7,IF(DL340&lt;=Hypothèses!$V$8,Hypothèses!$X$8,IF(DL340&lt;=Hypothèses!$V$9,Hypothèses!$X$9,IF(DL340&lt;=Hypothèses!$V$10,Hypothèses!$X$10,IF(DL340&lt;=Hypothèses!$V$11,Hypothèses!$X$11,IF(DL340&lt;=Hypothèses!$V$12,Hypothèses!$X$12,IF(DL340&lt;=Hypothèses!$V$13,Hypothèses!$X$13,IF(DL340&lt;=Hypothèses!$V$14,Hypothèses!$X$14,IF(DL340&lt;=Hypothèses!$V$15,Hypothèses!$X$15,IF(DL340&lt;=Hypothèses!$V$16,Hypothèses!$X$16,IF(DL340&lt;=Hypothèses!$U$17,Hypothèses!$W$17,IF(DL340&lt;=Hypothèses!$U$18,Hypothèses!$W$18,""))))))))))))</f>
        <v>#DIV/0!</v>
      </c>
      <c r="EI340" s="95" t="e">
        <f t="shared" ca="1" si="593"/>
        <v>#DIV/0!</v>
      </c>
      <c r="EJ340" s="101">
        <f t="shared" si="629"/>
        <v>0</v>
      </c>
      <c r="EK340" s="91">
        <f t="shared" si="560"/>
        <v>0</v>
      </c>
      <c r="EL340" s="30" t="e">
        <f t="shared" si="612"/>
        <v>#N/A</v>
      </c>
      <c r="EM340" s="30" t="e">
        <f t="shared" si="613"/>
        <v>#N/A</v>
      </c>
      <c r="EN340" s="31" t="e">
        <f>IF(OR(Hypothèses!$B$4=17,Hypothèses!$B$4=18,Hypothèses!$B$4=19,Hypothèses!$B$4=20),
IF($D340="Pressio.",
IF(OR($E340=3,$E340=1,$E340=4),EM340,EL340),
IF($D340="Pénétro.",
IF(OR($E340=3,$E340=1,$E340=4),EM340,EL340))),IF($D340="Pressio.",
IF($E340=3,EM340,EL340),
IF($D340="Pénétro.",
IF($E340=4,EM340,EL340))))</f>
        <v>#N/A</v>
      </c>
      <c r="EO340" s="31">
        <v>0</v>
      </c>
      <c r="EP340" s="102" t="e">
        <f>IF(NDC!$H$10="Oui",(VLOOKUP($B$3,'Coeff EC7'!$T$39:$X$59,2,0)*EN340+VLOOKUP($B$3,'Coeff EC7'!$T$65:$X$85,2,0)*Model0.1T!EO340)/1.5,PI()*EL$12*$Q340*($B340-$B339)*0.15/10+EP339)</f>
        <v>#N/A</v>
      </c>
      <c r="EQ340" s="102" t="e">
        <f>(VLOOKUP($B$3,'Coeff EC7'!$T$39:$X$59,3,0)*EN340+VLOOKUP($B$3,'Coeff EC7'!$T$65:$X$85,3,0)*Model0.1T!EO340)/1.1</f>
        <v>#N/A</v>
      </c>
      <c r="ER340" s="102" t="e">
        <f t="shared" si="594"/>
        <v>#N/A</v>
      </c>
      <c r="ES340" s="102" t="e">
        <f t="shared" si="595"/>
        <v>#N/A</v>
      </c>
      <c r="ET340" s="414" t="e">
        <f>IF(AND(EP340&gt;NDC!$C$63,EQ340&gt;NDC!$C$65,ER340&gt;NDC!$D$73,ES340&gt;NDC!$D$74,$B340&gt;NDC!$H$22-0.1+MIN(3*ET$12,1.5)),0,1)</f>
        <v>#N/A</v>
      </c>
      <c r="EU340" s="86" t="b">
        <f t="shared" si="561"/>
        <v>0</v>
      </c>
      <c r="EV340" s="86">
        <f t="shared" si="562"/>
        <v>0.61</v>
      </c>
      <c r="EW340" s="86">
        <f t="shared" si="563"/>
        <v>0.61</v>
      </c>
      <c r="EX340" s="30" t="e">
        <f t="shared" ca="1" si="596"/>
        <v>#DIV/0!</v>
      </c>
      <c r="EY340" s="85" t="e">
        <f ca="1">IF(EE340&lt;=Hypothèses!$V$7,Hypothèses!$W$7,IF(EE340&lt;=Hypothèses!$V$8,Hypothèses!$W$8,IF(EE340&lt;=Hypothèses!$V$9,Hypothèses!$W$9,IF(EE340&lt;=Hypothèses!$V$10,Hypothèses!$W$10,IF(EE340&lt;=Hypothèses!$V$11,Hypothèses!$W$11,IF(EE340&lt;=Hypothèses!$V$12,Hypothèses!$W$12,IF(EE340&lt;=Hypothèses!$V$13,Hypothèses!$W$13,IF(EE340&lt;=Hypothèses!$V$14,Hypothèses!$W$14,IF(EE340&lt;=Hypothèses!$V$15,Hypothèses!$W$15,IF(EE340&lt;=Hypothèses!$V$16,Hypothèses!$W$16,IF(EE340&lt;=Hypothèses!$V$17,Hypothèses!$W$17,IF(EE340&lt;=Hypothèses!$V$18,Hypothèses!$W$18,""))))))))))))</f>
        <v>#DIV/0!</v>
      </c>
      <c r="EZ340" s="87" t="e">
        <f t="shared" ca="1" si="623"/>
        <v>#DIV/0!</v>
      </c>
      <c r="FA340" s="88" t="e">
        <f ca="1">IF(EE340&lt;=Hypothèses!$V$7,Hypothèses!$X$7,IF(EE340&lt;=Hypothèses!$V$8,Hypothèses!$X$8,IF(EE340&lt;=Hypothèses!$V$9,Hypothèses!$X$9,IF(EE340&lt;=Hypothèses!$V$10,Hypothèses!$X$10,IF(EE340&lt;=Hypothèses!$V$11,Hypothèses!$X$11,IF(EE340&lt;=Hypothèses!$V$12,Hypothèses!$X$12,IF(EE340&lt;=Hypothèses!$V$13,Hypothèses!$X$13,IF(EE340&lt;=Hypothèses!$V$14,Hypothèses!$X$14,IF(EE340&lt;=Hypothèses!$V$15,Hypothèses!$X$15,IF(EE340&lt;=Hypothèses!$V$16,Hypothèses!$X$16,IF(EE340&lt;=Hypothèses!$U$17,Hypothèses!$W$17,IF(EE340&lt;=Hypothèses!$U$18,Hypothèses!$W$18,""))))))))))))</f>
        <v>#DIV/0!</v>
      </c>
      <c r="FB340" s="95" t="e">
        <f t="shared" ca="1" si="597"/>
        <v>#DIV/0!</v>
      </c>
      <c r="FC340" s="101">
        <f t="shared" si="630"/>
        <v>0</v>
      </c>
      <c r="FD340" s="91">
        <f t="shared" si="564"/>
        <v>0</v>
      </c>
      <c r="FE340" s="30" t="e">
        <f t="shared" si="614"/>
        <v>#N/A</v>
      </c>
      <c r="FF340" s="30" t="e">
        <f t="shared" si="615"/>
        <v>#N/A</v>
      </c>
      <c r="FG340" s="31" t="e">
        <f>IF(OR(Hypothèses!$B$4=17,Hypothèses!$B$4=18,Hypothèses!$B$4=19,Hypothèses!$B$4=20),
IF($D340="Pressio.",
IF(OR($E340=3,$E340=1,$E340=4),FF340,FE340),
IF($D340="Pénétro.",
IF(OR($E340=3,$E340=1,$E340=4),FF340,FE340))),IF($D340="Pressio.",
IF($E340=3,FF340,FE340),
IF($D340="Pénétro.",
IF($E340=4,FF340,FE340))))</f>
        <v>#N/A</v>
      </c>
      <c r="FH340" s="31">
        <v>0</v>
      </c>
      <c r="FI340" s="102" t="e">
        <f>IF(NDC!$H$10="Oui",(VLOOKUP($B$3,'Coeff EC7'!$T$39:$X$59,2,0)*FG340+VLOOKUP($B$3,'Coeff EC7'!$T$65:$X$85,2,0)*Model0.1T!FH340)/1.5,PI()*FE$12*$Q340*($B340-$B339)*0.15/10+FI339)</f>
        <v>#N/A</v>
      </c>
      <c r="FJ340" s="102" t="e">
        <f>(VLOOKUP($B$3,'Coeff EC7'!$T$39:$X$59,3,0)*FG340+VLOOKUP($B$3,'Coeff EC7'!$T$65:$X$85,3,0)*Model0.1T!FH340)/1.1</f>
        <v>#N/A</v>
      </c>
      <c r="FK340" s="102" t="e">
        <f t="shared" si="598"/>
        <v>#N/A</v>
      </c>
      <c r="FL340" s="102" t="e">
        <f t="shared" si="599"/>
        <v>#N/A</v>
      </c>
      <c r="FM340" s="414" t="e">
        <f>IF(AND(FI340&gt;NDC!$C$63,FJ340&gt;NDC!$C$65,FK340&gt;NDC!$D$73,FL340&gt;NDC!$D$74,$B340&gt;NDC!$H$22-0.1+MIN(3*FM$12,1.5)),0,1)</f>
        <v>#N/A</v>
      </c>
    </row>
    <row r="341" spans="1:169">
      <c r="A341" s="96">
        <f t="shared" si="565"/>
        <v>67.200000000001864</v>
      </c>
      <c r="B341" s="97">
        <v>32.799999999999997</v>
      </c>
      <c r="C341" s="81">
        <f>IF(B341&lt;=Hypothèses!$C$7,Hypothèses!$A$7,IF(B341&lt;=Hypothèses!$C$8,Hypothèses!$A$8,IF(B341&lt;=Hypothèses!$C$9,Hypothèses!$A$9,IF(B341&lt;=Hypothèses!$C$10,Hypothèses!$A$10,IF(B341&lt;=Hypothèses!$C$11,Hypothèses!$A$11,IF(B341&lt;=Hypothèses!$C$12,Hypothèses!$A$12,IF(B341&lt;=Hypothèses!$C$13,Hypothèses!$A$13,IF(B341&lt;=Hypothèses!$C$14,Hypothèses!$A$14,IF(B341&lt;=Hypothèses!$C$15,Hypothèses!$A$15,IF(B341&lt;=Hypothèses!$C$16,Hypothèses!$A$16,IF(B341&lt;=Hypothèses!$C$17,Hypothèses!$A$17,IF(B341&lt;=Hypothèses!$C$18,Hypothèses!$A$18,C340))))))))))))</f>
        <v>11</v>
      </c>
      <c r="D341" s="82" t="str">
        <f>IF(B341&lt;=Hypothèses!$C$7,Hypothèses!$R$7,IF(B341&lt;=Hypothèses!$C$8,Hypothèses!$R$8,IF(B341&lt;=Hypothèses!$C$9,Hypothèses!$R$9,IF(B341&lt;=Hypothèses!$C$10,Hypothèses!$R$10,IF(B341&lt;=Hypothèses!$C$11,Hypothèses!$R$11,IF(B341&lt;=Hypothèses!$C$12,Hypothèses!$R$12,IF(B341&lt;=Hypothèses!$C$13,Hypothèses!$R$13,IF(B341&lt;=Hypothèses!$C$14,Hypothèses!$R$14,IF(B341&lt;=Hypothèses!$C$15,Hypothèses!$R$15,IF(B341&lt;=Hypothèses!$C$16,Hypothèses!$R$16,IF(B341&lt;=Hypothèses!$C$17,Hypothèses!$R$17,IF(B341&lt;=Hypothèses!$C$18,Hypothèses!$R$18,D340))))))))))))</f>
        <v>Pressio.</v>
      </c>
      <c r="E341" s="82" t="e">
        <f>IF(B341&lt;=Hypothèses!$C$7,Hypothèses!$G$7,IF(B341&lt;=Hypothèses!$C$8,Hypothèses!$G$8,IF(B341&lt;=Hypothèses!$C$9,Hypothèses!$G$9,IF(B341&lt;=Hypothèses!$C$10,Hypothèses!$G$10,IF(B341&lt;=Hypothèses!$C$11,Hypothèses!$G$11,IF(B341&lt;=Hypothèses!$C$12,Hypothèses!$G$12,IF(B341&lt;=Hypothèses!$C$13,Hypothèses!$G$13,IF(B341&lt;=Hypothèses!$C$14,Hypothèses!$G$14,IF(B341&lt;=Hypothèses!$C$15,Hypothèses!$G$15,IF(B341&lt;=Hypothèses!$C$16,Hypothèses!$G$16,IF(B341&lt;=Hypothèses!$C$17,Hypothèses!$G$17,IF(B341&lt;=Hypothèses!$C$18,Hypothèses!$G$18,E340))))))))))))</f>
        <v>#N/A</v>
      </c>
      <c r="F341" s="82" t="str">
        <f>IF(B341&lt;=Hypothèses!$C$7,Hypothèses!$F$7,IF(B341&lt;=Hypothèses!$C$8,Hypothèses!$F$8,IF(B341&lt;=Hypothèses!$C$9,Hypothèses!$F$9,IF(B341&lt;=Hypothèses!$C$10,Hypothèses!$F$10,IF(B341&lt;=Hypothèses!$C$11,Hypothèses!$F$11,IF(B341&lt;=Hypothèses!$C$12,Hypothèses!$F$12,IF(B341&lt;=Hypothèses!$C$13,Hypothèses!$F$13,IF(B341&lt;=Hypothèses!$C$14,Hypothèses!$F$14,IF(B341&lt;=Hypothèses!$C$15,Hypothèses!$F$15,IF(B341&lt;=Hypothèses!$C$16,Hypothèses!$F$16,IF(B341&lt;=Hypothèses!$C$17,Hypothèses!$F$17,IF(B341&lt;=Hypothèses!$C$18,Hypothèses!$F$18,F340))))))))))))</f>
        <v/>
      </c>
      <c r="G341" s="91">
        <f t="array" ref="G341">INDEX('Coeff EC7'!$U$7:$X$27,
MATCH(Model0.1T!$B$3,'Coeff EC7'!$T$7:$T$27,0),
MATCH(Model0.1T!$D341&amp;Model0.1T!$B$4,
'Coeff EC7'!$U$6:$X$6&amp;
'Coeff EC7'!$U$5:$X$5,0))</f>
        <v>1.4</v>
      </c>
      <c r="H341" s="91">
        <f t="array" ref="H341">INDEX('Coeff EC7'!$Y$7:$AB$27,
MATCH(Model0.1T!$B$3,'Coeff EC7'!$T$7:$T$27,0),
MATCH(Model0.1T!$D341&amp;Model0.1T!$B$4,
'Coeff EC7'!$Y$6:$AB$6&amp;
'Coeff EC7'!$Y$5:$AB$5,0))</f>
        <v>1.7</v>
      </c>
      <c r="I341" s="83">
        <v>0</v>
      </c>
      <c r="J341" s="91" t="e">
        <f t="array" ref="J341">INDEX('Coeff EC7'!$D$33:$Q$33,1,MATCH(D341&amp;E341,'Coeff EC7'!$D$31:$Q$31&amp;'Coeff EC7'!$D$32:$Q$32,0))</f>
        <v>#N/A</v>
      </c>
      <c r="K341" s="91" t="e">
        <f t="array" ref="K341">INDEX('Coeff EC7'!$D$34:$Q$34,1,MATCH(D341&amp;E341,'Coeff EC7'!$D$31:$Q$31&amp;'Coeff EC7'!$D$32:$Q$32,0))</f>
        <v>#N/A</v>
      </c>
      <c r="L341" s="91" t="e">
        <f t="array" ref="L341">INDEX('Coeff EC7'!$D$35:$Q$35,1,MATCH(D341&amp;E341,'Coeff EC7'!$D$31:$Q$31&amp;'Coeff EC7'!$D$32:$Q$32,0))</f>
        <v>#N/A</v>
      </c>
      <c r="M341" s="98" t="e">
        <f t="shared" si="531"/>
        <v>#N/A</v>
      </c>
      <c r="N341" s="99" t="e">
        <f t="array" ref="N341">INDEX('Coeff EC7'!$D$7:$Q$27,MATCH($B$3,'Coeff EC7'!$C$7:$C$27,0),MATCH(D341&amp;E341,'Coeff EC7'!$D$5:$Q$5&amp;'Coeff EC7'!$D$6:$Q$6,0))</f>
        <v>#N/A</v>
      </c>
      <c r="O341" s="99" t="e">
        <f t="array" ref="O341">INDEX('Coeff EC7'!$D$41:$Q$61,MATCH($B$3,'Coeff EC7'!$C$41:$C$61,0),MATCH(D341&amp;E341,'Coeff EC7'!$D$39:$Q$39&amp;'Coeff EC7'!$D$40:$Q$40,0))</f>
        <v>#N/A</v>
      </c>
      <c r="P341" s="30" t="e">
        <f t="shared" si="566"/>
        <v>#N/A</v>
      </c>
      <c r="Q341" s="100" t="e">
        <f t="shared" si="533"/>
        <v>#N/A</v>
      </c>
      <c r="R341" s="86" t="b">
        <f t="shared" si="534"/>
        <v>0</v>
      </c>
      <c r="S341" s="86">
        <f t="shared" si="532"/>
        <v>0.5</v>
      </c>
      <c r="T341" s="86">
        <f t="shared" si="535"/>
        <v>0.5</v>
      </c>
      <c r="U341" s="30" t="e">
        <f t="shared" ca="1" si="567"/>
        <v>#DIV/0!</v>
      </c>
      <c r="V341" s="85" t="str">
        <f>IF(B341&lt;=Hypothèses!$V$7,Hypothèses!$W$7,IF(B341&lt;=Hypothèses!$V$8,Hypothèses!$W$8,IF(B341&lt;=Hypothèses!$V$9,Hypothèses!$W$9,IF(B341&lt;=Hypothèses!$V$10,Hypothèses!$W$10,IF(B341&lt;=Hypothèses!$V$11,Hypothèses!$W$11,IF(B341&lt;=Hypothèses!$V$12,Hypothèses!$W$12,IF(B341&lt;=Hypothèses!$V$13,Hypothèses!$W$13,IF(B341&lt;=Hypothèses!$V$14,Hypothèses!$W$14,IF(B341&lt;=Hypothèses!$V$15,Hypothèses!$W$15,IF(B341&lt;=Hypothèses!$V$16,Hypothèses!$W$16,IF(B341&lt;=Hypothèses!$V$17,Hypothèses!$W$17,IF(B341&lt;=Hypothèses!$V$18,Hypothèses!$W$18,""))))))))))))</f>
        <v/>
      </c>
      <c r="W341" s="87" t="e">
        <f t="shared" ca="1" si="616"/>
        <v>#DIV/0!</v>
      </c>
      <c r="X341" s="88" t="str">
        <f>IF(B341&lt;=Hypothèses!$V$7,Hypothèses!$X$7,IF(B341&lt;=Hypothèses!$V$8,Hypothèses!$X$8,IF(B341&lt;=Hypothèses!$V$9,Hypothèses!$X$9,IF(B341&lt;=Hypothèses!$V$10,Hypothèses!$X$10,IF(B341&lt;=Hypothèses!$V$11,Hypothèses!$X$11,IF(B341&lt;=Hypothèses!$V$12,Hypothèses!$X$12,IF(B341&lt;=Hypothèses!$V$13,Hypothèses!$X$13,IF(B341&lt;=Hypothèses!$V$14,Hypothèses!$X$14,IF(B341&lt;=Hypothèses!$V$15,Hypothèses!$X$15,IF(B341&lt;=Hypothèses!$V$16,Hypothèses!$X$16,IF(B341&lt;=Hypothèses!$U$17,Hypothèses!$W$17,IF(B341&lt;=Hypothèses!$U$18,Hypothèses!$W$18,""))))))))))))</f>
        <v/>
      </c>
      <c r="Y341" s="95" t="e">
        <f t="shared" ca="1" si="536"/>
        <v>#DIV/0!</v>
      </c>
      <c r="Z341" s="101">
        <f t="shared" si="537"/>
        <v>0</v>
      </c>
      <c r="AA341" s="91">
        <f t="shared" si="538"/>
        <v>0</v>
      </c>
      <c r="AB341" s="30" t="e">
        <f t="shared" si="600"/>
        <v>#N/A</v>
      </c>
      <c r="AC341" s="30" t="e">
        <f t="shared" si="601"/>
        <v>#N/A</v>
      </c>
      <c r="AD341" s="31" t="e">
        <f>IF(OR(Hypothèses!$B$4=17,Hypothèses!$B$4=18,Hypothèses!$B$4=19,Hypothèses!$B$4=20),
IF($D341="Pressio.",
IF(OR($E341=3,$E341=1,$E341=4),AC341,AB341),
IF($D341="Pénétro.",
IF(OR($E341=3,$E341=1,$E341=4),AC341,AB341))),IF($D341="Pressio.",
IF($E341=3,AC341,AB341),
IF($D341="Pénétro.",
IF($E341=4,AC341,AB341))))</f>
        <v>#N/A</v>
      </c>
      <c r="AE341" s="31">
        <v>0</v>
      </c>
      <c r="AF341" s="102" t="e">
        <f>IF(NDC!$H$10="Oui",(VLOOKUP($B$3,'Coeff EC7'!$T$39:$X$59,2,0)*AD341+VLOOKUP($B$3,'Coeff EC7'!$T$65:$X$85,2,0)*Model0.1T!AE341)/1.5,PI()*AB$12*$Q341*($B341-$B340)*0.15/10+AF340)</f>
        <v>#N/A</v>
      </c>
      <c r="AG341" s="102" t="e">
        <f>(VLOOKUP($B$3,'Coeff EC7'!$T$39:$X$59,3,0)*AD341+VLOOKUP($B$3,'Coeff EC7'!$T$65:$X$85,3,0)*Model0.1T!AE341)/1.1</f>
        <v>#N/A</v>
      </c>
      <c r="AH341" s="102" t="e">
        <f t="shared" si="568"/>
        <v>#N/A</v>
      </c>
      <c r="AI341" s="102" t="e">
        <f t="shared" si="569"/>
        <v>#N/A</v>
      </c>
      <c r="AJ341" s="414" t="e">
        <f>IF(AND(AF341&gt;NDC!$C$63,AG341&gt;NDC!$C$65,AH341&gt;NDC!$D$73,AI341&gt;NDC!$D$74,$B341&gt;NDC!$H$22-0.1+MIN(3*$AJ$12,1.5)),0,1)</f>
        <v>#N/A</v>
      </c>
      <c r="AK341" s="86" t="b">
        <f t="shared" si="539"/>
        <v>0</v>
      </c>
      <c r="AL341" s="86">
        <f t="shared" si="570"/>
        <v>0.5</v>
      </c>
      <c r="AM341" s="86">
        <f t="shared" si="540"/>
        <v>0.5</v>
      </c>
      <c r="AN341" s="30" t="e">
        <f t="shared" ca="1" si="571"/>
        <v>#DIV/0!</v>
      </c>
      <c r="AO341" s="85" t="e">
        <f ca="1">IF(U341&lt;=Hypothèses!$V$7,Hypothèses!$W$7,IF(U341&lt;=Hypothèses!$V$8,Hypothèses!$W$8,IF(U341&lt;=Hypothèses!$V$9,Hypothèses!$W$9,IF(U341&lt;=Hypothèses!$V$10,Hypothèses!$W$10,IF(U341&lt;=Hypothèses!$V$11,Hypothèses!$W$11,IF(U341&lt;=Hypothèses!$V$12,Hypothèses!$W$12,IF(U341&lt;=Hypothèses!$V$13,Hypothèses!$W$13,IF(U341&lt;=Hypothèses!$V$14,Hypothèses!$W$14,IF(U341&lt;=Hypothèses!$V$15,Hypothèses!$W$15,IF(U341&lt;=Hypothèses!$V$16,Hypothèses!$W$16,IF(U341&lt;=Hypothèses!$V$17,Hypothèses!$W$17,IF(U341&lt;=Hypothèses!$V$18,Hypothèses!$W$18,""))))))))))))</f>
        <v>#DIV/0!</v>
      </c>
      <c r="AP341" s="87" t="e">
        <f t="shared" ca="1" si="617"/>
        <v>#DIV/0!</v>
      </c>
      <c r="AQ341" s="88" t="e">
        <f ca="1">IF(U341&lt;=Hypothèses!$V$7,Hypothèses!$X$7,IF(U341&lt;=Hypothèses!$V$8,Hypothèses!$X$8,IF(U341&lt;=Hypothèses!$V$9,Hypothèses!$X$9,IF(U341&lt;=Hypothèses!$V$10,Hypothèses!$X$10,IF(U341&lt;=Hypothèses!$V$11,Hypothèses!$X$11,IF(U341&lt;=Hypothèses!$V$12,Hypothèses!$X$12,IF(U341&lt;=Hypothèses!$V$13,Hypothèses!$X$13,IF(U341&lt;=Hypothèses!$V$14,Hypothèses!$X$14,IF(U341&lt;=Hypothèses!$V$15,Hypothèses!$X$15,IF(U341&lt;=Hypothèses!$V$16,Hypothèses!$X$16,IF(U341&lt;=Hypothèses!$U$17,Hypothèses!$W$17,IF(U341&lt;=Hypothèses!$U$18,Hypothèses!$W$18,""))))))))))))</f>
        <v>#DIV/0!</v>
      </c>
      <c r="AR341" s="95" t="e">
        <f t="shared" ca="1" si="572"/>
        <v>#DIV/0!</v>
      </c>
      <c r="AS341" s="101">
        <f t="shared" si="624"/>
        <v>0</v>
      </c>
      <c r="AT341" s="91">
        <f t="shared" si="541"/>
        <v>0</v>
      </c>
      <c r="AU341" s="30" t="e">
        <f t="shared" si="602"/>
        <v>#N/A</v>
      </c>
      <c r="AV341" s="30" t="e">
        <f t="shared" si="603"/>
        <v>#N/A</v>
      </c>
      <c r="AW341" s="31" t="e">
        <f>IF(OR(Hypothèses!$B$4=17,Hypothèses!$B$4=18,Hypothèses!$B$4=19,Hypothèses!$B$4=20),
IF($D341="Pressio.",
IF(OR($E341=3,$E341=1,$E341=4),AV341,AU341),
IF($D341="Pénétro.",
IF(OR($E341=3,$E341=1,$E341=4),AV341,AU341))),IF($D341="Pressio.",
IF($E341=3,AV341,AU341),
IF($D341="Pénétro.",
IF($E341=4,AV341,AU341))))</f>
        <v>#N/A</v>
      </c>
      <c r="AX341" s="31">
        <v>0</v>
      </c>
      <c r="AY341" s="102" t="e">
        <f>IF(NDC!$H$10="Oui",(VLOOKUP($B$3,'Coeff EC7'!$T$39:$X$59,2,0)*AW341+VLOOKUP($B$3,'Coeff EC7'!$T$65:$X$85,2,0)*Model0.1T!AX341)/1.5,PI()*AU$12*$Q341*($B341-$B340)*0.15/10+AY340)</f>
        <v>#N/A</v>
      </c>
      <c r="AZ341" s="102" t="e">
        <f>(VLOOKUP($B$3,'Coeff EC7'!$T$39:$X$59,3,0)*AW341+VLOOKUP($B$3,'Coeff EC7'!$T$65:$X$85,3,0)*Model0.1T!AX341)/1.1</f>
        <v>#N/A</v>
      </c>
      <c r="BA341" s="102" t="e">
        <f t="shared" si="573"/>
        <v>#N/A</v>
      </c>
      <c r="BB341" s="102" t="e">
        <f t="shared" si="574"/>
        <v>#N/A</v>
      </c>
      <c r="BC341" s="414" t="e">
        <f>IF(AND(AY341&gt;NDC!$C$63,AZ341&gt;NDC!$C$65,BA341&gt;NDC!$D$73,BB341&gt;NDC!$D$74,$B341&gt;NDC!$H$22-0.1+MIN(3*BC$12,1.5)),0,1)</f>
        <v>#N/A</v>
      </c>
      <c r="BD341" s="86" t="b">
        <f t="shared" si="542"/>
        <v>0</v>
      </c>
      <c r="BE341" s="86">
        <f t="shared" si="575"/>
        <v>0.5</v>
      </c>
      <c r="BF341" s="86">
        <f t="shared" si="543"/>
        <v>0.5</v>
      </c>
      <c r="BG341" s="30" t="e">
        <f t="shared" ca="1" si="576"/>
        <v>#DIV/0!</v>
      </c>
      <c r="BH341" s="85" t="e">
        <f ca="1">IF(AN341&lt;=Hypothèses!$V$7,Hypothèses!$W$7,IF(AN341&lt;=Hypothèses!$V$8,Hypothèses!$W$8,IF(AN341&lt;=Hypothèses!$V$9,Hypothèses!$W$9,IF(AN341&lt;=Hypothèses!$V$10,Hypothèses!$W$10,IF(AN341&lt;=Hypothèses!$V$11,Hypothèses!$W$11,IF(AN341&lt;=Hypothèses!$V$12,Hypothèses!$W$12,IF(AN341&lt;=Hypothèses!$V$13,Hypothèses!$W$13,IF(AN341&lt;=Hypothèses!$V$14,Hypothèses!$W$14,IF(AN341&lt;=Hypothèses!$V$15,Hypothèses!$W$15,IF(AN341&lt;=Hypothèses!$V$16,Hypothèses!$W$16,IF(AN341&lt;=Hypothèses!$V$17,Hypothèses!$W$17,IF(AN341&lt;=Hypothèses!$V$18,Hypothèses!$W$18,""))))))))))))</f>
        <v>#DIV/0!</v>
      </c>
      <c r="BI341" s="87" t="e">
        <f t="shared" ca="1" si="618"/>
        <v>#DIV/0!</v>
      </c>
      <c r="BJ341" s="88" t="e">
        <f ca="1">IF(AN341&lt;=Hypothèses!$V$7,Hypothèses!$X$7,IF(AN341&lt;=Hypothèses!$V$8,Hypothèses!$X$8,IF(AN341&lt;=Hypothèses!$V$9,Hypothèses!$X$9,IF(AN341&lt;=Hypothèses!$V$10,Hypothèses!$X$10,IF(AN341&lt;=Hypothèses!$V$11,Hypothèses!$X$11,IF(AN341&lt;=Hypothèses!$V$12,Hypothèses!$X$12,IF(AN341&lt;=Hypothèses!$V$13,Hypothèses!$X$13,IF(AN341&lt;=Hypothèses!$V$14,Hypothèses!$X$14,IF(AN341&lt;=Hypothèses!$V$15,Hypothèses!$X$15,IF(AN341&lt;=Hypothèses!$V$16,Hypothèses!$X$16,IF(AN341&lt;=Hypothèses!$U$17,Hypothèses!$W$17,IF(AN341&lt;=Hypothèses!$U$18,Hypothèses!$W$18,""))))))))))))</f>
        <v>#DIV/0!</v>
      </c>
      <c r="BK341" s="95" t="e">
        <f t="shared" ca="1" si="577"/>
        <v>#DIV/0!</v>
      </c>
      <c r="BL341" s="101">
        <f t="shared" si="625"/>
        <v>0</v>
      </c>
      <c r="BM341" s="91">
        <f t="shared" si="544"/>
        <v>0</v>
      </c>
      <c r="BN341" s="30" t="e">
        <f t="shared" si="604"/>
        <v>#N/A</v>
      </c>
      <c r="BO341" s="30" t="e">
        <f t="shared" si="605"/>
        <v>#N/A</v>
      </c>
      <c r="BP341" s="31" t="e">
        <f>IF(OR(Hypothèses!$B$4=17,Hypothèses!$B$4=18,Hypothèses!$B$4=19,Hypothèses!$B$4=20),
IF($D341="Pressio.",
IF(OR($E341=3,$E341=1,$E341=4),BO341,BN341),
IF($D341="Pénétro.",
IF(OR($E341=3,$E341=1,$E341=4),BO341,BN341))),IF($D341="Pressio.",
IF($E341=3,BO341,BN341),
IF($D341="Pénétro.",
IF($E341=4,BO341,BN341))))</f>
        <v>#N/A</v>
      </c>
      <c r="BQ341" s="31">
        <v>0</v>
      </c>
      <c r="BR341" s="102" t="e">
        <f>IF(NDC!$H$10="Oui",(VLOOKUP($B$3,'Coeff EC7'!$T$39:$X$59,2,0)*BP341+VLOOKUP($B$3,'Coeff EC7'!$T$65:$X$85,2,0)*Model0.1T!BQ341)/1.5,PI()*BN$12*$Q341*($B341-$B340)*0.15/10+BR340)</f>
        <v>#N/A</v>
      </c>
      <c r="BS341" s="102" t="e">
        <f>(VLOOKUP($B$3,'Coeff EC7'!$T$39:$X$59,3,0)*BP341+VLOOKUP($B$3,'Coeff EC7'!$T$65:$X$85,3,0)*Model0.1T!BQ341)/1.1</f>
        <v>#N/A</v>
      </c>
      <c r="BT341" s="102" t="e">
        <f t="shared" si="578"/>
        <v>#N/A</v>
      </c>
      <c r="BU341" s="102" t="e">
        <f t="shared" si="579"/>
        <v>#N/A</v>
      </c>
      <c r="BV341" s="414" t="e">
        <f>IF(AND(BR341&gt;NDC!$C$63,BS341&gt;NDC!$C$65,BT341&gt;NDC!$D$73,BU341&gt;NDC!$D$74,$B341&gt;NDC!$H$22-0.1+MIN(3*BV$12,1.5)),0,1)</f>
        <v>#N/A</v>
      </c>
      <c r="BW341" s="86" t="b">
        <f t="shared" si="545"/>
        <v>0</v>
      </c>
      <c r="BX341" s="86">
        <f t="shared" si="546"/>
        <v>0.5</v>
      </c>
      <c r="BY341" s="86">
        <f t="shared" si="547"/>
        <v>0.5</v>
      </c>
      <c r="BZ341" s="30" t="e">
        <f t="shared" ca="1" si="580"/>
        <v>#DIV/0!</v>
      </c>
      <c r="CA341" s="85" t="e">
        <f ca="1">IF(BG341&lt;=Hypothèses!$V$7,Hypothèses!$W$7,IF(BG341&lt;=Hypothèses!$V$8,Hypothèses!$W$8,IF(BG341&lt;=Hypothèses!$V$9,Hypothèses!$W$9,IF(BG341&lt;=Hypothèses!$V$10,Hypothèses!$W$10,IF(BG341&lt;=Hypothèses!$V$11,Hypothèses!$W$11,IF(BG341&lt;=Hypothèses!$V$12,Hypothèses!$W$12,IF(BG341&lt;=Hypothèses!$V$13,Hypothèses!$W$13,IF(BG341&lt;=Hypothèses!$V$14,Hypothèses!$W$14,IF(BG341&lt;=Hypothèses!$V$15,Hypothèses!$W$15,IF(BG341&lt;=Hypothèses!$V$16,Hypothèses!$W$16,IF(BG341&lt;=Hypothèses!$V$17,Hypothèses!$W$17,IF(BG341&lt;=Hypothèses!$V$18,Hypothèses!$W$18,""))))))))))))</f>
        <v>#DIV/0!</v>
      </c>
      <c r="CB341" s="87" t="e">
        <f t="shared" ca="1" si="619"/>
        <v>#DIV/0!</v>
      </c>
      <c r="CC341" s="88" t="e">
        <f ca="1">IF(BG341&lt;=Hypothèses!$V$7,Hypothèses!$X$7,IF(BG341&lt;=Hypothèses!$V$8,Hypothèses!$X$8,IF(BG341&lt;=Hypothèses!$V$9,Hypothèses!$X$9,IF(BG341&lt;=Hypothèses!$V$10,Hypothèses!$X$10,IF(BG341&lt;=Hypothèses!$V$11,Hypothèses!$X$11,IF(BG341&lt;=Hypothèses!$V$12,Hypothèses!$X$12,IF(BG341&lt;=Hypothèses!$V$13,Hypothèses!$X$13,IF(BG341&lt;=Hypothèses!$V$14,Hypothèses!$X$14,IF(BG341&lt;=Hypothèses!$V$15,Hypothèses!$X$15,IF(BG341&lt;=Hypothèses!$V$16,Hypothèses!$X$16,IF(BG341&lt;=Hypothèses!$U$17,Hypothèses!$W$17,IF(BG341&lt;=Hypothèses!$U$18,Hypothèses!$W$18,""))))))))))))</f>
        <v>#DIV/0!</v>
      </c>
      <c r="CD341" s="95" t="e">
        <f t="shared" ca="1" si="581"/>
        <v>#DIV/0!</v>
      </c>
      <c r="CE341" s="101">
        <f t="shared" si="626"/>
        <v>0</v>
      </c>
      <c r="CF341" s="91">
        <f t="shared" si="548"/>
        <v>0</v>
      </c>
      <c r="CG341" s="30" t="e">
        <f t="shared" si="606"/>
        <v>#N/A</v>
      </c>
      <c r="CH341" s="30" t="e">
        <f t="shared" si="607"/>
        <v>#N/A</v>
      </c>
      <c r="CI341" s="31" t="e">
        <f>IF(OR(Hypothèses!$B$4=17,Hypothèses!$B$4=18,Hypothèses!$B$4=19,Hypothèses!$B$4=20),
IF($D341="Pressio.",
IF(OR($E341=3,$E341=1,$E341=4),CH341,CG341),
IF($D341="Pénétro.",
IF(OR($E341=3,$E341=1,$E341=4),CH341,CG341))),IF($D341="Pressio.",
IF($E341=3,CH341,CG341),
IF($D341="Pénétro.",
IF($E341=4,CH341,CG341))))</f>
        <v>#N/A</v>
      </c>
      <c r="CJ341" s="31">
        <v>0</v>
      </c>
      <c r="CK341" s="102" t="e">
        <f>IF(NDC!$H$10="Oui",(VLOOKUP($B$3,'Coeff EC7'!$T$39:$X$59,2,0)*CI341+VLOOKUP($B$3,'Coeff EC7'!$T$65:$X$85,2,0)*Model0.1T!CJ341)/1.5,PI()*CG$12*$Q341*($B341-$B340)*0.15/10+CK340)</f>
        <v>#N/A</v>
      </c>
      <c r="CL341" s="102" t="e">
        <f>(VLOOKUP($B$3,'Coeff EC7'!$T$39:$X$59,3,0)*CI341+VLOOKUP($B$3,'Coeff EC7'!$T$65:$X$85,3,0)*Model0.1T!CJ341)/1.1</f>
        <v>#N/A</v>
      </c>
      <c r="CM341" s="102" t="e">
        <f t="shared" si="582"/>
        <v>#N/A</v>
      </c>
      <c r="CN341" s="102" t="e">
        <f t="shared" si="583"/>
        <v>#N/A</v>
      </c>
      <c r="CO341" s="414" t="e">
        <f>IF(AND(CK341&gt;NDC!$C$63,CL341&gt;NDC!$C$65,CM341&gt;NDC!$D$73,CN341&gt;NDC!$D$74,$B341&gt;NDC!$H$22-0.1+MIN(3*CO$12,1.5)),0,1)</f>
        <v>#N/A</v>
      </c>
      <c r="CP341" s="86" t="b">
        <f t="shared" si="549"/>
        <v>0</v>
      </c>
      <c r="CQ341" s="86">
        <f t="shared" si="550"/>
        <v>0.5</v>
      </c>
      <c r="CR341" s="86">
        <f t="shared" si="551"/>
        <v>0.5</v>
      </c>
      <c r="CS341" s="30" t="e">
        <f t="shared" ca="1" si="584"/>
        <v>#DIV/0!</v>
      </c>
      <c r="CT341" s="85" t="e">
        <f ca="1">IF(BZ341&lt;=Hypothèses!$V$7,Hypothèses!$W$7,IF(BZ341&lt;=Hypothèses!$V$8,Hypothèses!$W$8,IF(BZ341&lt;=Hypothèses!$V$9,Hypothèses!$W$9,IF(BZ341&lt;=Hypothèses!$V$10,Hypothèses!$W$10,IF(BZ341&lt;=Hypothèses!$V$11,Hypothèses!$W$11,IF(BZ341&lt;=Hypothèses!$V$12,Hypothèses!$W$12,IF(BZ341&lt;=Hypothèses!$V$13,Hypothèses!$W$13,IF(BZ341&lt;=Hypothèses!$V$14,Hypothèses!$W$14,IF(BZ341&lt;=Hypothèses!$V$15,Hypothèses!$W$15,IF(BZ341&lt;=Hypothèses!$V$16,Hypothèses!$W$16,IF(BZ341&lt;=Hypothèses!$V$17,Hypothèses!$W$17,IF(BZ341&lt;=Hypothèses!$V$18,Hypothèses!$W$18,""))))))))))))</f>
        <v>#DIV/0!</v>
      </c>
      <c r="CU341" s="87" t="e">
        <f t="shared" ca="1" si="620"/>
        <v>#DIV/0!</v>
      </c>
      <c r="CV341" s="88" t="e">
        <f ca="1">IF(BZ341&lt;=Hypothèses!$V$7,Hypothèses!$X$7,IF(BZ341&lt;=Hypothèses!$V$8,Hypothèses!$X$8,IF(BZ341&lt;=Hypothèses!$V$9,Hypothèses!$X$9,IF(BZ341&lt;=Hypothèses!$V$10,Hypothèses!$X$10,IF(BZ341&lt;=Hypothèses!$V$11,Hypothèses!$X$11,IF(BZ341&lt;=Hypothèses!$V$12,Hypothèses!$X$12,IF(BZ341&lt;=Hypothèses!$V$13,Hypothèses!$X$13,IF(BZ341&lt;=Hypothèses!$V$14,Hypothèses!$X$14,IF(BZ341&lt;=Hypothèses!$V$15,Hypothèses!$X$15,IF(BZ341&lt;=Hypothèses!$V$16,Hypothèses!$X$16,IF(BZ341&lt;=Hypothèses!$U$17,Hypothèses!$W$17,IF(BZ341&lt;=Hypothèses!$U$18,Hypothèses!$W$18,""))))))))))))</f>
        <v>#DIV/0!</v>
      </c>
      <c r="CW341" s="95" t="e">
        <f t="shared" ca="1" si="585"/>
        <v>#DIV/0!</v>
      </c>
      <c r="CX341" s="101">
        <f t="shared" si="627"/>
        <v>0</v>
      </c>
      <c r="CY341" s="91">
        <f t="shared" si="552"/>
        <v>0</v>
      </c>
      <c r="CZ341" s="30" t="e">
        <f t="shared" si="608"/>
        <v>#N/A</v>
      </c>
      <c r="DA341" s="30" t="e">
        <f t="shared" si="609"/>
        <v>#N/A</v>
      </c>
      <c r="DB341" s="31" t="e">
        <f>IF(OR(Hypothèses!$B$4=17,Hypothèses!$B$4=18,Hypothèses!$B$4=19,Hypothèses!$B$4=20),
IF($D341="Pressio.",
IF(OR($E341=3,$E341=1,$E341=4),DA341,CZ341),
IF($D341="Pénétro.",
IF(OR($E341=3,$E341=1,$E341=4),DA341,CZ341))),IF($D341="Pressio.",
IF($E341=3,DA341,CZ341),
IF($D341="Pénétro.",
IF($E341=4,DA341,CZ341))))</f>
        <v>#N/A</v>
      </c>
      <c r="DC341" s="31">
        <v>0</v>
      </c>
      <c r="DD341" s="102" t="e">
        <f>IF(NDC!$H$10="Oui",(VLOOKUP($B$3,'Coeff EC7'!$T$39:$X$59,2,0)*DB341+VLOOKUP($B$3,'Coeff EC7'!$T$65:$X$85,2,0)*Model0.1T!DC341)/1.5,PI()*CZ$12*$Q341*($B341-$B340)*0.15/10+DD340)</f>
        <v>#N/A</v>
      </c>
      <c r="DE341" s="102" t="e">
        <f>(VLOOKUP($B$3,'Coeff EC7'!$T$39:$X$59,3,0)*DB341+VLOOKUP($B$3,'Coeff EC7'!$T$65:$X$85,3,0)*Model0.1T!DC341)/1.1</f>
        <v>#N/A</v>
      </c>
      <c r="DF341" s="102" t="e">
        <f t="shared" si="586"/>
        <v>#N/A</v>
      </c>
      <c r="DG341" s="102" t="e">
        <f t="shared" si="587"/>
        <v>#N/A</v>
      </c>
      <c r="DH341" s="414" t="e">
        <f>IF(AND(DD341&gt;NDC!$C$63,DE341&gt;NDC!$C$65,DF341&gt;NDC!$D$73,DG341&gt;NDC!$D$74,$B341&gt;NDC!$H$22-0.1+MIN(3*DH$12,1.5)),0,1)</f>
        <v>#N/A</v>
      </c>
      <c r="DI341" s="86" t="b">
        <f t="shared" si="553"/>
        <v>0</v>
      </c>
      <c r="DJ341" s="86">
        <f t="shared" si="554"/>
        <v>0.5</v>
      </c>
      <c r="DK341" s="86">
        <f t="shared" si="555"/>
        <v>0.5</v>
      </c>
      <c r="DL341" s="30" t="e">
        <f t="shared" ca="1" si="588"/>
        <v>#DIV/0!</v>
      </c>
      <c r="DM341" s="85" t="e">
        <f ca="1">IF(CS341&lt;=Hypothèses!$V$7,Hypothèses!$W$7,IF(CS341&lt;=Hypothèses!$V$8,Hypothèses!$W$8,IF(CS341&lt;=Hypothèses!$V$9,Hypothèses!$W$9,IF(CS341&lt;=Hypothèses!$V$10,Hypothèses!$W$10,IF(CS341&lt;=Hypothèses!$V$11,Hypothèses!$W$11,IF(CS341&lt;=Hypothèses!$V$12,Hypothèses!$W$12,IF(CS341&lt;=Hypothèses!$V$13,Hypothèses!$W$13,IF(CS341&lt;=Hypothèses!$V$14,Hypothèses!$W$14,IF(CS341&lt;=Hypothèses!$V$15,Hypothèses!$W$15,IF(CS341&lt;=Hypothèses!$V$16,Hypothèses!$W$16,IF(CS341&lt;=Hypothèses!$V$17,Hypothèses!$W$17,IF(CS341&lt;=Hypothèses!$V$18,Hypothèses!$W$18,""))))))))))))</f>
        <v>#DIV/0!</v>
      </c>
      <c r="DN341" s="87" t="e">
        <f t="shared" ca="1" si="621"/>
        <v>#DIV/0!</v>
      </c>
      <c r="DO341" s="88" t="e">
        <f ca="1">IF(CS341&lt;=Hypothèses!$V$7,Hypothèses!$X$7,IF(CS341&lt;=Hypothèses!$V$8,Hypothèses!$X$8,IF(CS341&lt;=Hypothèses!$V$9,Hypothèses!$X$9,IF(CS341&lt;=Hypothèses!$V$10,Hypothèses!$X$10,IF(CS341&lt;=Hypothèses!$V$11,Hypothèses!$X$11,IF(CS341&lt;=Hypothèses!$V$12,Hypothèses!$X$12,IF(CS341&lt;=Hypothèses!$V$13,Hypothèses!$X$13,IF(CS341&lt;=Hypothèses!$V$14,Hypothèses!$X$14,IF(CS341&lt;=Hypothèses!$V$15,Hypothèses!$X$15,IF(CS341&lt;=Hypothèses!$V$16,Hypothèses!$X$16,IF(CS341&lt;=Hypothèses!$U$17,Hypothèses!$W$17,IF(CS341&lt;=Hypothèses!$U$18,Hypothèses!$W$18,""))))))))))))</f>
        <v>#DIV/0!</v>
      </c>
      <c r="DP341" s="95" t="e">
        <f t="shared" ca="1" si="589"/>
        <v>#DIV/0!</v>
      </c>
      <c r="DQ341" s="101">
        <f t="shared" si="628"/>
        <v>0</v>
      </c>
      <c r="DR341" s="91">
        <f t="shared" si="556"/>
        <v>0</v>
      </c>
      <c r="DS341" s="30" t="e">
        <f t="shared" si="610"/>
        <v>#N/A</v>
      </c>
      <c r="DT341" s="30" t="e">
        <f t="shared" si="611"/>
        <v>#N/A</v>
      </c>
      <c r="DU341" s="31" t="e">
        <f>IF(OR(Hypothèses!$B$4=17,Hypothèses!$B$4=18,Hypothèses!$B$4=19,Hypothèses!$B$4=20),
IF($D341="Pressio.",
IF(OR($E341=3,$E341=1,$E341=4),DT341,DS341),
IF($D341="Pénétro.",
IF(OR($E341=3,$E341=1,$E341=4),DT341,DS341))),IF($D341="Pressio.",
IF($E341=3,DT341,DS341),
IF($D341="Pénétro.",
IF($E341=4,DT341,DS341))))</f>
        <v>#N/A</v>
      </c>
      <c r="DV341" s="31">
        <v>0</v>
      </c>
      <c r="DW341" s="102" t="e">
        <f>IF(NDC!$H$10="Oui",(VLOOKUP($B$3,'Coeff EC7'!$T$39:$X$59,2,0)*DU341+VLOOKUP($B$3,'Coeff EC7'!$T$65:$X$85,2,0)*Model0.1T!DV341)/1.5,PI()*DS$12*$Q341*($B341-$B340)*0.15/10+DW340)</f>
        <v>#N/A</v>
      </c>
      <c r="DX341" s="102" t="e">
        <f>(VLOOKUP($B$3,'Coeff EC7'!$T$39:$X$59,3,0)*DU341+VLOOKUP($B$3,'Coeff EC7'!$T$65:$X$85,3,0)*Model0.1T!DV341)/1.1</f>
        <v>#N/A</v>
      </c>
      <c r="DY341" s="102" t="e">
        <f t="shared" si="590"/>
        <v>#N/A</v>
      </c>
      <c r="DZ341" s="102" t="e">
        <f t="shared" si="591"/>
        <v>#N/A</v>
      </c>
      <c r="EA341" s="414" t="e">
        <f>IF(AND(DW341&gt;NDC!$C$63,DX341&gt;NDC!$C$65,DY341&gt;NDC!$D$73,DZ341&gt;NDC!$D$74,$B341&gt;NDC!$H$22-0.1+MIN(3*EA$12,1.5)),0,1)</f>
        <v>#N/A</v>
      </c>
      <c r="EB341" s="86" t="b">
        <f t="shared" si="557"/>
        <v>0</v>
      </c>
      <c r="EC341" s="418">
        <f t="shared" si="558"/>
        <v>0.51</v>
      </c>
      <c r="ED341" s="86">
        <f t="shared" si="559"/>
        <v>0.51</v>
      </c>
      <c r="EE341" s="30" t="e">
        <f t="shared" ca="1" si="592"/>
        <v>#DIV/0!</v>
      </c>
      <c r="EF341" s="85" t="e">
        <f ca="1">IF(DL341&lt;=Hypothèses!$V$7,Hypothèses!$W$7,IF(DL341&lt;=Hypothèses!$V$8,Hypothèses!$W$8,IF(DL341&lt;=Hypothèses!$V$9,Hypothèses!$W$9,IF(DL341&lt;=Hypothèses!$V$10,Hypothèses!$W$10,IF(DL341&lt;=Hypothèses!$V$11,Hypothèses!$W$11,IF(DL341&lt;=Hypothèses!$V$12,Hypothèses!$W$12,IF(DL341&lt;=Hypothèses!$V$13,Hypothèses!$W$13,IF(DL341&lt;=Hypothèses!$V$14,Hypothèses!$W$14,IF(DL341&lt;=Hypothèses!$V$15,Hypothèses!$W$15,IF(DL341&lt;=Hypothèses!$V$16,Hypothèses!$W$16,IF(DL341&lt;=Hypothèses!$V$17,Hypothèses!$W$17,IF(DL341&lt;=Hypothèses!$V$18,Hypothèses!$W$18,""))))))))))))</f>
        <v>#DIV/0!</v>
      </c>
      <c r="EG341" s="87" t="e">
        <f t="shared" ca="1" si="622"/>
        <v>#DIV/0!</v>
      </c>
      <c r="EH341" s="88" t="e">
        <f ca="1">IF(DL341&lt;=Hypothèses!$V$7,Hypothèses!$X$7,IF(DL341&lt;=Hypothèses!$V$8,Hypothèses!$X$8,IF(DL341&lt;=Hypothèses!$V$9,Hypothèses!$X$9,IF(DL341&lt;=Hypothèses!$V$10,Hypothèses!$X$10,IF(DL341&lt;=Hypothèses!$V$11,Hypothèses!$X$11,IF(DL341&lt;=Hypothèses!$V$12,Hypothèses!$X$12,IF(DL341&lt;=Hypothèses!$V$13,Hypothèses!$X$13,IF(DL341&lt;=Hypothèses!$V$14,Hypothèses!$X$14,IF(DL341&lt;=Hypothèses!$V$15,Hypothèses!$X$15,IF(DL341&lt;=Hypothèses!$V$16,Hypothèses!$X$16,IF(DL341&lt;=Hypothèses!$U$17,Hypothèses!$W$17,IF(DL341&lt;=Hypothèses!$U$18,Hypothèses!$W$18,""))))))))))))</f>
        <v>#DIV/0!</v>
      </c>
      <c r="EI341" s="95" t="e">
        <f t="shared" ca="1" si="593"/>
        <v>#DIV/0!</v>
      </c>
      <c r="EJ341" s="101">
        <f t="shared" si="629"/>
        <v>0</v>
      </c>
      <c r="EK341" s="91">
        <f t="shared" si="560"/>
        <v>0</v>
      </c>
      <c r="EL341" s="30" t="e">
        <f t="shared" si="612"/>
        <v>#N/A</v>
      </c>
      <c r="EM341" s="30" t="e">
        <f t="shared" si="613"/>
        <v>#N/A</v>
      </c>
      <c r="EN341" s="31" t="e">
        <f>IF(OR(Hypothèses!$B$4=17,Hypothèses!$B$4=18,Hypothèses!$B$4=19,Hypothèses!$B$4=20),
IF($D341="Pressio.",
IF(OR($E341=3,$E341=1,$E341=4),EM341,EL341),
IF($D341="Pénétro.",
IF(OR($E341=3,$E341=1,$E341=4),EM341,EL341))),IF($D341="Pressio.",
IF($E341=3,EM341,EL341),
IF($D341="Pénétro.",
IF($E341=4,EM341,EL341))))</f>
        <v>#N/A</v>
      </c>
      <c r="EO341" s="31">
        <v>0</v>
      </c>
      <c r="EP341" s="102" t="e">
        <f>IF(NDC!$H$10="Oui",(VLOOKUP($B$3,'Coeff EC7'!$T$39:$X$59,2,0)*EN341+VLOOKUP($B$3,'Coeff EC7'!$T$65:$X$85,2,0)*Model0.1T!EO341)/1.5,PI()*EL$12*$Q341*($B341-$B340)*0.15/10+EP340)</f>
        <v>#N/A</v>
      </c>
      <c r="EQ341" s="102" t="e">
        <f>(VLOOKUP($B$3,'Coeff EC7'!$T$39:$X$59,3,0)*EN341+VLOOKUP($B$3,'Coeff EC7'!$T$65:$X$85,3,0)*Model0.1T!EO341)/1.1</f>
        <v>#N/A</v>
      </c>
      <c r="ER341" s="102" t="e">
        <f t="shared" si="594"/>
        <v>#N/A</v>
      </c>
      <c r="ES341" s="102" t="e">
        <f t="shared" si="595"/>
        <v>#N/A</v>
      </c>
      <c r="ET341" s="414" t="e">
        <f>IF(AND(EP341&gt;NDC!$C$63,EQ341&gt;NDC!$C$65,ER341&gt;NDC!$D$73,ES341&gt;NDC!$D$74,$B341&gt;NDC!$H$22-0.1+MIN(3*ET$12,1.5)),0,1)</f>
        <v>#N/A</v>
      </c>
      <c r="EU341" s="86" t="b">
        <f t="shared" si="561"/>
        <v>0</v>
      </c>
      <c r="EV341" s="86">
        <f t="shared" si="562"/>
        <v>0.61</v>
      </c>
      <c r="EW341" s="86">
        <f t="shared" si="563"/>
        <v>0.61</v>
      </c>
      <c r="EX341" s="30" t="e">
        <f t="shared" ca="1" si="596"/>
        <v>#DIV/0!</v>
      </c>
      <c r="EY341" s="85" t="e">
        <f ca="1">IF(EE341&lt;=Hypothèses!$V$7,Hypothèses!$W$7,IF(EE341&lt;=Hypothèses!$V$8,Hypothèses!$W$8,IF(EE341&lt;=Hypothèses!$V$9,Hypothèses!$W$9,IF(EE341&lt;=Hypothèses!$V$10,Hypothèses!$W$10,IF(EE341&lt;=Hypothèses!$V$11,Hypothèses!$W$11,IF(EE341&lt;=Hypothèses!$V$12,Hypothèses!$W$12,IF(EE341&lt;=Hypothèses!$V$13,Hypothèses!$W$13,IF(EE341&lt;=Hypothèses!$V$14,Hypothèses!$W$14,IF(EE341&lt;=Hypothèses!$V$15,Hypothèses!$W$15,IF(EE341&lt;=Hypothèses!$V$16,Hypothèses!$W$16,IF(EE341&lt;=Hypothèses!$V$17,Hypothèses!$W$17,IF(EE341&lt;=Hypothèses!$V$18,Hypothèses!$W$18,""))))))))))))</f>
        <v>#DIV/0!</v>
      </c>
      <c r="EZ341" s="87" t="e">
        <f t="shared" ca="1" si="623"/>
        <v>#DIV/0!</v>
      </c>
      <c r="FA341" s="88" t="e">
        <f ca="1">IF(EE341&lt;=Hypothèses!$V$7,Hypothèses!$X$7,IF(EE341&lt;=Hypothèses!$V$8,Hypothèses!$X$8,IF(EE341&lt;=Hypothèses!$V$9,Hypothèses!$X$9,IF(EE341&lt;=Hypothèses!$V$10,Hypothèses!$X$10,IF(EE341&lt;=Hypothèses!$V$11,Hypothèses!$X$11,IF(EE341&lt;=Hypothèses!$V$12,Hypothèses!$X$12,IF(EE341&lt;=Hypothèses!$V$13,Hypothèses!$X$13,IF(EE341&lt;=Hypothèses!$V$14,Hypothèses!$X$14,IF(EE341&lt;=Hypothèses!$V$15,Hypothèses!$X$15,IF(EE341&lt;=Hypothèses!$V$16,Hypothèses!$X$16,IF(EE341&lt;=Hypothèses!$U$17,Hypothèses!$W$17,IF(EE341&lt;=Hypothèses!$U$18,Hypothèses!$W$18,""))))))))))))</f>
        <v>#DIV/0!</v>
      </c>
      <c r="FB341" s="95" t="e">
        <f t="shared" ca="1" si="597"/>
        <v>#DIV/0!</v>
      </c>
      <c r="FC341" s="101">
        <f t="shared" si="630"/>
        <v>0</v>
      </c>
      <c r="FD341" s="91">
        <f t="shared" si="564"/>
        <v>0</v>
      </c>
      <c r="FE341" s="30" t="e">
        <f t="shared" si="614"/>
        <v>#N/A</v>
      </c>
      <c r="FF341" s="30" t="e">
        <f t="shared" si="615"/>
        <v>#N/A</v>
      </c>
      <c r="FG341" s="31" t="e">
        <f>IF(OR(Hypothèses!$B$4=17,Hypothèses!$B$4=18,Hypothèses!$B$4=19,Hypothèses!$B$4=20),
IF($D341="Pressio.",
IF(OR($E341=3,$E341=1,$E341=4),FF341,FE341),
IF($D341="Pénétro.",
IF(OR($E341=3,$E341=1,$E341=4),FF341,FE341))),IF($D341="Pressio.",
IF($E341=3,FF341,FE341),
IF($D341="Pénétro.",
IF($E341=4,FF341,FE341))))</f>
        <v>#N/A</v>
      </c>
      <c r="FH341" s="31">
        <v>0</v>
      </c>
      <c r="FI341" s="102" t="e">
        <f>IF(NDC!$H$10="Oui",(VLOOKUP($B$3,'Coeff EC7'!$T$39:$X$59,2,0)*FG341+VLOOKUP($B$3,'Coeff EC7'!$T$65:$X$85,2,0)*Model0.1T!FH341)/1.5,PI()*FE$12*$Q341*($B341-$B340)*0.15/10+FI340)</f>
        <v>#N/A</v>
      </c>
      <c r="FJ341" s="102" t="e">
        <f>(VLOOKUP($B$3,'Coeff EC7'!$T$39:$X$59,3,0)*FG341+VLOOKUP($B$3,'Coeff EC7'!$T$65:$X$85,3,0)*Model0.1T!FH341)/1.1</f>
        <v>#N/A</v>
      </c>
      <c r="FK341" s="102" t="e">
        <f t="shared" si="598"/>
        <v>#N/A</v>
      </c>
      <c r="FL341" s="102" t="e">
        <f t="shared" si="599"/>
        <v>#N/A</v>
      </c>
      <c r="FM341" s="414" t="e">
        <f>IF(AND(FI341&gt;NDC!$C$63,FJ341&gt;NDC!$C$65,FK341&gt;NDC!$D$73,FL341&gt;NDC!$D$74,$B341&gt;NDC!$H$22-0.1+MIN(3*FM$12,1.5)),0,1)</f>
        <v>#N/A</v>
      </c>
    </row>
    <row r="342" spans="1:169">
      <c r="A342" s="96">
        <f t="shared" si="565"/>
        <v>67.10000000000187</v>
      </c>
      <c r="B342" s="97">
        <v>32.9</v>
      </c>
      <c r="C342" s="81">
        <f>IF(B342&lt;=Hypothèses!$C$7,Hypothèses!$A$7,IF(B342&lt;=Hypothèses!$C$8,Hypothèses!$A$8,IF(B342&lt;=Hypothèses!$C$9,Hypothèses!$A$9,IF(B342&lt;=Hypothèses!$C$10,Hypothèses!$A$10,IF(B342&lt;=Hypothèses!$C$11,Hypothèses!$A$11,IF(B342&lt;=Hypothèses!$C$12,Hypothèses!$A$12,IF(B342&lt;=Hypothèses!$C$13,Hypothèses!$A$13,IF(B342&lt;=Hypothèses!$C$14,Hypothèses!$A$14,IF(B342&lt;=Hypothèses!$C$15,Hypothèses!$A$15,IF(B342&lt;=Hypothèses!$C$16,Hypothèses!$A$16,IF(B342&lt;=Hypothèses!$C$17,Hypothèses!$A$17,IF(B342&lt;=Hypothèses!$C$18,Hypothèses!$A$18,C341))))))))))))</f>
        <v>11</v>
      </c>
      <c r="D342" s="82" t="str">
        <f>IF(B342&lt;=Hypothèses!$C$7,Hypothèses!$R$7,IF(B342&lt;=Hypothèses!$C$8,Hypothèses!$R$8,IF(B342&lt;=Hypothèses!$C$9,Hypothèses!$R$9,IF(B342&lt;=Hypothèses!$C$10,Hypothèses!$R$10,IF(B342&lt;=Hypothèses!$C$11,Hypothèses!$R$11,IF(B342&lt;=Hypothèses!$C$12,Hypothèses!$R$12,IF(B342&lt;=Hypothèses!$C$13,Hypothèses!$R$13,IF(B342&lt;=Hypothèses!$C$14,Hypothèses!$R$14,IF(B342&lt;=Hypothèses!$C$15,Hypothèses!$R$15,IF(B342&lt;=Hypothèses!$C$16,Hypothèses!$R$16,IF(B342&lt;=Hypothèses!$C$17,Hypothèses!$R$17,IF(B342&lt;=Hypothèses!$C$18,Hypothèses!$R$18,D341))))))))))))</f>
        <v>Pressio.</v>
      </c>
      <c r="E342" s="82" t="e">
        <f>IF(B342&lt;=Hypothèses!$C$7,Hypothèses!$G$7,IF(B342&lt;=Hypothèses!$C$8,Hypothèses!$G$8,IF(B342&lt;=Hypothèses!$C$9,Hypothèses!$G$9,IF(B342&lt;=Hypothèses!$C$10,Hypothèses!$G$10,IF(B342&lt;=Hypothèses!$C$11,Hypothèses!$G$11,IF(B342&lt;=Hypothèses!$C$12,Hypothèses!$G$12,IF(B342&lt;=Hypothèses!$C$13,Hypothèses!$G$13,IF(B342&lt;=Hypothèses!$C$14,Hypothèses!$G$14,IF(B342&lt;=Hypothèses!$C$15,Hypothèses!$G$15,IF(B342&lt;=Hypothèses!$C$16,Hypothèses!$G$16,IF(B342&lt;=Hypothèses!$C$17,Hypothèses!$G$17,IF(B342&lt;=Hypothèses!$C$18,Hypothèses!$G$18,E341))))))))))))</f>
        <v>#N/A</v>
      </c>
      <c r="F342" s="82" t="str">
        <f>IF(B342&lt;=Hypothèses!$C$7,Hypothèses!$F$7,IF(B342&lt;=Hypothèses!$C$8,Hypothèses!$F$8,IF(B342&lt;=Hypothèses!$C$9,Hypothèses!$F$9,IF(B342&lt;=Hypothèses!$C$10,Hypothèses!$F$10,IF(B342&lt;=Hypothèses!$C$11,Hypothèses!$F$11,IF(B342&lt;=Hypothèses!$C$12,Hypothèses!$F$12,IF(B342&lt;=Hypothèses!$C$13,Hypothèses!$F$13,IF(B342&lt;=Hypothèses!$C$14,Hypothèses!$F$14,IF(B342&lt;=Hypothèses!$C$15,Hypothèses!$F$15,IF(B342&lt;=Hypothèses!$C$16,Hypothèses!$F$16,IF(B342&lt;=Hypothèses!$C$17,Hypothèses!$F$17,IF(B342&lt;=Hypothèses!$C$18,Hypothèses!$F$18,F341))))))))))))</f>
        <v/>
      </c>
      <c r="G342" s="91">
        <f t="array" ref="G342">INDEX('Coeff EC7'!$U$7:$X$27,
MATCH(Model0.1T!$B$3,'Coeff EC7'!$T$7:$T$27,0),
MATCH(Model0.1T!$D342&amp;Model0.1T!$B$4,
'Coeff EC7'!$U$6:$X$6&amp;
'Coeff EC7'!$U$5:$X$5,0))</f>
        <v>1.4</v>
      </c>
      <c r="H342" s="91">
        <f t="array" ref="H342">INDEX('Coeff EC7'!$Y$7:$AB$27,
MATCH(Model0.1T!$B$3,'Coeff EC7'!$T$7:$T$27,0),
MATCH(Model0.1T!$D342&amp;Model0.1T!$B$4,
'Coeff EC7'!$Y$6:$AB$6&amp;
'Coeff EC7'!$Y$5:$AB$5,0))</f>
        <v>1.7</v>
      </c>
      <c r="I342" s="83">
        <v>0</v>
      </c>
      <c r="J342" s="91" t="e">
        <f t="array" ref="J342">INDEX('Coeff EC7'!$D$33:$Q$33,1,MATCH(D342&amp;E342,'Coeff EC7'!$D$31:$Q$31&amp;'Coeff EC7'!$D$32:$Q$32,0))</f>
        <v>#N/A</v>
      </c>
      <c r="K342" s="91" t="e">
        <f t="array" ref="K342">INDEX('Coeff EC7'!$D$34:$Q$34,1,MATCH(D342&amp;E342,'Coeff EC7'!$D$31:$Q$31&amp;'Coeff EC7'!$D$32:$Q$32,0))</f>
        <v>#N/A</v>
      </c>
      <c r="L342" s="91" t="e">
        <f t="array" ref="L342">INDEX('Coeff EC7'!$D$35:$Q$35,1,MATCH(D342&amp;E342,'Coeff EC7'!$D$31:$Q$31&amp;'Coeff EC7'!$D$32:$Q$32,0))</f>
        <v>#N/A</v>
      </c>
      <c r="M342" s="98" t="e">
        <f t="shared" si="531"/>
        <v>#N/A</v>
      </c>
      <c r="N342" s="99" t="e">
        <f t="array" ref="N342">INDEX('Coeff EC7'!$D$7:$Q$27,MATCH($B$3,'Coeff EC7'!$C$7:$C$27,0),MATCH(D342&amp;E342,'Coeff EC7'!$D$5:$Q$5&amp;'Coeff EC7'!$D$6:$Q$6,0))</f>
        <v>#N/A</v>
      </c>
      <c r="O342" s="99" t="e">
        <f t="array" ref="O342">INDEX('Coeff EC7'!$D$41:$Q$61,MATCH($B$3,'Coeff EC7'!$C$41:$C$61,0),MATCH(D342&amp;E342,'Coeff EC7'!$D$39:$Q$39&amp;'Coeff EC7'!$D$40:$Q$40,0))</f>
        <v>#N/A</v>
      </c>
      <c r="P342" s="30" t="e">
        <f t="shared" si="566"/>
        <v>#N/A</v>
      </c>
      <c r="Q342" s="100" t="e">
        <f t="shared" si="533"/>
        <v>#N/A</v>
      </c>
      <c r="R342" s="86" t="b">
        <f t="shared" si="534"/>
        <v>0</v>
      </c>
      <c r="S342" s="86">
        <f t="shared" si="532"/>
        <v>0.5</v>
      </c>
      <c r="T342" s="86">
        <f t="shared" si="535"/>
        <v>0.5</v>
      </c>
      <c r="U342" s="30" t="e">
        <f t="shared" ca="1" si="567"/>
        <v>#DIV/0!</v>
      </c>
      <c r="V342" s="85" t="str">
        <f>IF(B342&lt;=Hypothèses!$V$7,Hypothèses!$W$7,IF(B342&lt;=Hypothèses!$V$8,Hypothèses!$W$8,IF(B342&lt;=Hypothèses!$V$9,Hypothèses!$W$9,IF(B342&lt;=Hypothèses!$V$10,Hypothèses!$W$10,IF(B342&lt;=Hypothèses!$V$11,Hypothèses!$W$11,IF(B342&lt;=Hypothèses!$V$12,Hypothèses!$W$12,IF(B342&lt;=Hypothèses!$V$13,Hypothèses!$W$13,IF(B342&lt;=Hypothèses!$V$14,Hypothèses!$W$14,IF(B342&lt;=Hypothèses!$V$15,Hypothèses!$W$15,IF(B342&lt;=Hypothèses!$V$16,Hypothèses!$W$16,IF(B342&lt;=Hypothèses!$V$17,Hypothèses!$W$17,IF(B342&lt;=Hypothèses!$V$18,Hypothèses!$W$18,""))))))))))))</f>
        <v/>
      </c>
      <c r="W342" s="87" t="e">
        <f t="shared" ca="1" si="616"/>
        <v>#DIV/0!</v>
      </c>
      <c r="X342" s="88" t="str">
        <f>IF(B342&lt;=Hypothèses!$V$7,Hypothèses!$X$7,IF(B342&lt;=Hypothèses!$V$8,Hypothèses!$X$8,IF(B342&lt;=Hypothèses!$V$9,Hypothèses!$X$9,IF(B342&lt;=Hypothèses!$V$10,Hypothèses!$X$10,IF(B342&lt;=Hypothèses!$V$11,Hypothèses!$X$11,IF(B342&lt;=Hypothèses!$V$12,Hypothèses!$X$12,IF(B342&lt;=Hypothèses!$V$13,Hypothèses!$X$13,IF(B342&lt;=Hypothèses!$V$14,Hypothèses!$X$14,IF(B342&lt;=Hypothèses!$V$15,Hypothèses!$X$15,IF(B342&lt;=Hypothèses!$V$16,Hypothèses!$X$16,IF(B342&lt;=Hypothèses!$U$17,Hypothèses!$W$17,IF(B342&lt;=Hypothèses!$U$18,Hypothèses!$W$18,""))))))))))))</f>
        <v/>
      </c>
      <c r="Y342" s="95" t="e">
        <f t="shared" ca="1" si="536"/>
        <v>#DIV/0!</v>
      </c>
      <c r="Z342" s="101">
        <f t="shared" si="537"/>
        <v>0</v>
      </c>
      <c r="AA342" s="91">
        <f t="shared" si="538"/>
        <v>0</v>
      </c>
      <c r="AB342" s="30" t="e">
        <f t="shared" si="600"/>
        <v>#N/A</v>
      </c>
      <c r="AC342" s="30" t="e">
        <f t="shared" si="601"/>
        <v>#N/A</v>
      </c>
      <c r="AD342" s="31" t="e">
        <f>IF(OR(Hypothèses!$B$4=17,Hypothèses!$B$4=18,Hypothèses!$B$4=19,Hypothèses!$B$4=20),
IF($D342="Pressio.",
IF(OR($E342=3,$E342=1,$E342=4),AC342,AB342),
IF($D342="Pénétro.",
IF(OR($E342=3,$E342=1,$E342=4),AC342,AB342))),IF($D342="Pressio.",
IF($E342=3,AC342,AB342),
IF($D342="Pénétro.",
IF($E342=4,AC342,AB342))))</f>
        <v>#N/A</v>
      </c>
      <c r="AE342" s="31">
        <v>0</v>
      </c>
      <c r="AF342" s="102" t="e">
        <f>IF(NDC!$H$10="Oui",(VLOOKUP($B$3,'Coeff EC7'!$T$39:$X$59,2,0)*AD342+VLOOKUP($B$3,'Coeff EC7'!$T$65:$X$85,2,0)*Model0.1T!AE342)/1.5,PI()*AB$12*$Q342*($B342-$B341)*0.15/10+AF341)</f>
        <v>#N/A</v>
      </c>
      <c r="AG342" s="102" t="e">
        <f>(VLOOKUP($B$3,'Coeff EC7'!$T$39:$X$59,3,0)*AD342+VLOOKUP($B$3,'Coeff EC7'!$T$65:$X$85,3,0)*Model0.1T!AE342)/1.1</f>
        <v>#N/A</v>
      </c>
      <c r="AH342" s="102" t="e">
        <f t="shared" si="568"/>
        <v>#N/A</v>
      </c>
      <c r="AI342" s="102" t="e">
        <f t="shared" si="569"/>
        <v>#N/A</v>
      </c>
      <c r="AJ342" s="414" t="e">
        <f>IF(AND(AF342&gt;NDC!$C$63,AG342&gt;NDC!$C$65,AH342&gt;NDC!$D$73,AI342&gt;NDC!$D$74,$B342&gt;NDC!$H$22-0.1+MIN(3*$AJ$12,1.5)),0,1)</f>
        <v>#N/A</v>
      </c>
      <c r="AK342" s="86" t="b">
        <f t="shared" si="539"/>
        <v>0</v>
      </c>
      <c r="AL342" s="86">
        <f t="shared" si="570"/>
        <v>0.5</v>
      </c>
      <c r="AM342" s="86">
        <f t="shared" si="540"/>
        <v>0.5</v>
      </c>
      <c r="AN342" s="30" t="e">
        <f t="shared" ca="1" si="571"/>
        <v>#DIV/0!</v>
      </c>
      <c r="AO342" s="85" t="e">
        <f ca="1">IF(U342&lt;=Hypothèses!$V$7,Hypothèses!$W$7,IF(U342&lt;=Hypothèses!$V$8,Hypothèses!$W$8,IF(U342&lt;=Hypothèses!$V$9,Hypothèses!$W$9,IF(U342&lt;=Hypothèses!$V$10,Hypothèses!$W$10,IF(U342&lt;=Hypothèses!$V$11,Hypothèses!$W$11,IF(U342&lt;=Hypothèses!$V$12,Hypothèses!$W$12,IF(U342&lt;=Hypothèses!$V$13,Hypothèses!$W$13,IF(U342&lt;=Hypothèses!$V$14,Hypothèses!$W$14,IF(U342&lt;=Hypothèses!$V$15,Hypothèses!$W$15,IF(U342&lt;=Hypothèses!$V$16,Hypothèses!$W$16,IF(U342&lt;=Hypothèses!$V$17,Hypothèses!$W$17,IF(U342&lt;=Hypothèses!$V$18,Hypothèses!$W$18,""))))))))))))</f>
        <v>#DIV/0!</v>
      </c>
      <c r="AP342" s="87" t="e">
        <f t="shared" ca="1" si="617"/>
        <v>#DIV/0!</v>
      </c>
      <c r="AQ342" s="88" t="e">
        <f ca="1">IF(U342&lt;=Hypothèses!$V$7,Hypothèses!$X$7,IF(U342&lt;=Hypothèses!$V$8,Hypothèses!$X$8,IF(U342&lt;=Hypothèses!$V$9,Hypothèses!$X$9,IF(U342&lt;=Hypothèses!$V$10,Hypothèses!$X$10,IF(U342&lt;=Hypothèses!$V$11,Hypothèses!$X$11,IF(U342&lt;=Hypothèses!$V$12,Hypothèses!$X$12,IF(U342&lt;=Hypothèses!$V$13,Hypothèses!$X$13,IF(U342&lt;=Hypothèses!$V$14,Hypothèses!$X$14,IF(U342&lt;=Hypothèses!$V$15,Hypothèses!$X$15,IF(U342&lt;=Hypothèses!$V$16,Hypothèses!$X$16,IF(U342&lt;=Hypothèses!$U$17,Hypothèses!$W$17,IF(U342&lt;=Hypothèses!$U$18,Hypothèses!$W$18,""))))))))))))</f>
        <v>#DIV/0!</v>
      </c>
      <c r="AR342" s="95" t="e">
        <f t="shared" ca="1" si="572"/>
        <v>#DIV/0!</v>
      </c>
      <c r="AS342" s="101">
        <f t="shared" si="624"/>
        <v>0</v>
      </c>
      <c r="AT342" s="91">
        <f t="shared" si="541"/>
        <v>0</v>
      </c>
      <c r="AU342" s="30" t="e">
        <f t="shared" si="602"/>
        <v>#N/A</v>
      </c>
      <c r="AV342" s="30" t="e">
        <f t="shared" si="603"/>
        <v>#N/A</v>
      </c>
      <c r="AW342" s="31" t="e">
        <f>IF(OR(Hypothèses!$B$4=17,Hypothèses!$B$4=18,Hypothèses!$B$4=19,Hypothèses!$B$4=20),
IF($D342="Pressio.",
IF(OR($E342=3,$E342=1,$E342=4),AV342,AU342),
IF($D342="Pénétro.",
IF(OR($E342=3,$E342=1,$E342=4),AV342,AU342))),IF($D342="Pressio.",
IF($E342=3,AV342,AU342),
IF($D342="Pénétro.",
IF($E342=4,AV342,AU342))))</f>
        <v>#N/A</v>
      </c>
      <c r="AX342" s="31">
        <v>0</v>
      </c>
      <c r="AY342" s="102" t="e">
        <f>IF(NDC!$H$10="Oui",(VLOOKUP($B$3,'Coeff EC7'!$T$39:$X$59,2,0)*AW342+VLOOKUP($B$3,'Coeff EC7'!$T$65:$X$85,2,0)*Model0.1T!AX342)/1.5,PI()*AU$12*$Q342*($B342-$B341)*0.15/10+AY341)</f>
        <v>#N/A</v>
      </c>
      <c r="AZ342" s="102" t="e">
        <f>(VLOOKUP($B$3,'Coeff EC7'!$T$39:$X$59,3,0)*AW342+VLOOKUP($B$3,'Coeff EC7'!$T$65:$X$85,3,0)*Model0.1T!AX342)/1.1</f>
        <v>#N/A</v>
      </c>
      <c r="BA342" s="102" t="e">
        <f t="shared" si="573"/>
        <v>#N/A</v>
      </c>
      <c r="BB342" s="102" t="e">
        <f t="shared" si="574"/>
        <v>#N/A</v>
      </c>
      <c r="BC342" s="414" t="e">
        <f>IF(AND(AY342&gt;NDC!$C$63,AZ342&gt;NDC!$C$65,BA342&gt;NDC!$D$73,BB342&gt;NDC!$D$74,$B342&gt;NDC!$H$22-0.1+MIN(3*BC$12,1.5)),0,1)</f>
        <v>#N/A</v>
      </c>
      <c r="BD342" s="86" t="b">
        <f t="shared" si="542"/>
        <v>0</v>
      </c>
      <c r="BE342" s="86">
        <f t="shared" si="575"/>
        <v>0.5</v>
      </c>
      <c r="BF342" s="86">
        <f t="shared" si="543"/>
        <v>0.5</v>
      </c>
      <c r="BG342" s="30" t="e">
        <f t="shared" ca="1" si="576"/>
        <v>#DIV/0!</v>
      </c>
      <c r="BH342" s="85" t="e">
        <f ca="1">IF(AN342&lt;=Hypothèses!$V$7,Hypothèses!$W$7,IF(AN342&lt;=Hypothèses!$V$8,Hypothèses!$W$8,IF(AN342&lt;=Hypothèses!$V$9,Hypothèses!$W$9,IF(AN342&lt;=Hypothèses!$V$10,Hypothèses!$W$10,IF(AN342&lt;=Hypothèses!$V$11,Hypothèses!$W$11,IF(AN342&lt;=Hypothèses!$V$12,Hypothèses!$W$12,IF(AN342&lt;=Hypothèses!$V$13,Hypothèses!$W$13,IF(AN342&lt;=Hypothèses!$V$14,Hypothèses!$W$14,IF(AN342&lt;=Hypothèses!$V$15,Hypothèses!$W$15,IF(AN342&lt;=Hypothèses!$V$16,Hypothèses!$W$16,IF(AN342&lt;=Hypothèses!$V$17,Hypothèses!$W$17,IF(AN342&lt;=Hypothèses!$V$18,Hypothèses!$W$18,""))))))))))))</f>
        <v>#DIV/0!</v>
      </c>
      <c r="BI342" s="87" t="e">
        <f t="shared" ca="1" si="618"/>
        <v>#DIV/0!</v>
      </c>
      <c r="BJ342" s="88" t="e">
        <f ca="1">IF(AN342&lt;=Hypothèses!$V$7,Hypothèses!$X$7,IF(AN342&lt;=Hypothèses!$V$8,Hypothèses!$X$8,IF(AN342&lt;=Hypothèses!$V$9,Hypothèses!$X$9,IF(AN342&lt;=Hypothèses!$V$10,Hypothèses!$X$10,IF(AN342&lt;=Hypothèses!$V$11,Hypothèses!$X$11,IF(AN342&lt;=Hypothèses!$V$12,Hypothèses!$X$12,IF(AN342&lt;=Hypothèses!$V$13,Hypothèses!$X$13,IF(AN342&lt;=Hypothèses!$V$14,Hypothèses!$X$14,IF(AN342&lt;=Hypothèses!$V$15,Hypothèses!$X$15,IF(AN342&lt;=Hypothèses!$V$16,Hypothèses!$X$16,IF(AN342&lt;=Hypothèses!$U$17,Hypothèses!$W$17,IF(AN342&lt;=Hypothèses!$U$18,Hypothèses!$W$18,""))))))))))))</f>
        <v>#DIV/0!</v>
      </c>
      <c r="BK342" s="95" t="e">
        <f t="shared" ca="1" si="577"/>
        <v>#DIV/0!</v>
      </c>
      <c r="BL342" s="101">
        <f t="shared" si="625"/>
        <v>0</v>
      </c>
      <c r="BM342" s="91">
        <f t="shared" si="544"/>
        <v>0</v>
      </c>
      <c r="BN342" s="30" t="e">
        <f t="shared" si="604"/>
        <v>#N/A</v>
      </c>
      <c r="BO342" s="30" t="e">
        <f t="shared" si="605"/>
        <v>#N/A</v>
      </c>
      <c r="BP342" s="31" t="e">
        <f>IF(OR(Hypothèses!$B$4=17,Hypothèses!$B$4=18,Hypothèses!$B$4=19,Hypothèses!$B$4=20),
IF($D342="Pressio.",
IF(OR($E342=3,$E342=1,$E342=4),BO342,BN342),
IF($D342="Pénétro.",
IF(OR($E342=3,$E342=1,$E342=4),BO342,BN342))),IF($D342="Pressio.",
IF($E342=3,BO342,BN342),
IF($D342="Pénétro.",
IF($E342=4,BO342,BN342))))</f>
        <v>#N/A</v>
      </c>
      <c r="BQ342" s="31">
        <v>0</v>
      </c>
      <c r="BR342" s="102" t="e">
        <f>IF(NDC!$H$10="Oui",(VLOOKUP($B$3,'Coeff EC7'!$T$39:$X$59,2,0)*BP342+VLOOKUP($B$3,'Coeff EC7'!$T$65:$X$85,2,0)*Model0.1T!BQ342)/1.5,PI()*BN$12*$Q342*($B342-$B341)*0.15/10+BR341)</f>
        <v>#N/A</v>
      </c>
      <c r="BS342" s="102" t="e">
        <f>(VLOOKUP($B$3,'Coeff EC7'!$T$39:$X$59,3,0)*BP342+VLOOKUP($B$3,'Coeff EC7'!$T$65:$X$85,3,0)*Model0.1T!BQ342)/1.1</f>
        <v>#N/A</v>
      </c>
      <c r="BT342" s="102" t="e">
        <f t="shared" si="578"/>
        <v>#N/A</v>
      </c>
      <c r="BU342" s="102" t="e">
        <f t="shared" si="579"/>
        <v>#N/A</v>
      </c>
      <c r="BV342" s="414" t="e">
        <f>IF(AND(BR342&gt;NDC!$C$63,BS342&gt;NDC!$C$65,BT342&gt;NDC!$D$73,BU342&gt;NDC!$D$74,$B342&gt;NDC!$H$22-0.1+MIN(3*BV$12,1.5)),0,1)</f>
        <v>#N/A</v>
      </c>
      <c r="BW342" s="86" t="b">
        <f t="shared" si="545"/>
        <v>0</v>
      </c>
      <c r="BX342" s="86">
        <f t="shared" si="546"/>
        <v>0.5</v>
      </c>
      <c r="BY342" s="86">
        <f t="shared" si="547"/>
        <v>0.5</v>
      </c>
      <c r="BZ342" s="30" t="e">
        <f t="shared" ca="1" si="580"/>
        <v>#DIV/0!</v>
      </c>
      <c r="CA342" s="85" t="e">
        <f ca="1">IF(BG342&lt;=Hypothèses!$V$7,Hypothèses!$W$7,IF(BG342&lt;=Hypothèses!$V$8,Hypothèses!$W$8,IF(BG342&lt;=Hypothèses!$V$9,Hypothèses!$W$9,IF(BG342&lt;=Hypothèses!$V$10,Hypothèses!$W$10,IF(BG342&lt;=Hypothèses!$V$11,Hypothèses!$W$11,IF(BG342&lt;=Hypothèses!$V$12,Hypothèses!$W$12,IF(BG342&lt;=Hypothèses!$V$13,Hypothèses!$W$13,IF(BG342&lt;=Hypothèses!$V$14,Hypothèses!$W$14,IF(BG342&lt;=Hypothèses!$V$15,Hypothèses!$W$15,IF(BG342&lt;=Hypothèses!$V$16,Hypothèses!$W$16,IF(BG342&lt;=Hypothèses!$V$17,Hypothèses!$W$17,IF(BG342&lt;=Hypothèses!$V$18,Hypothèses!$W$18,""))))))))))))</f>
        <v>#DIV/0!</v>
      </c>
      <c r="CB342" s="87" t="e">
        <f t="shared" ca="1" si="619"/>
        <v>#DIV/0!</v>
      </c>
      <c r="CC342" s="88" t="e">
        <f ca="1">IF(BG342&lt;=Hypothèses!$V$7,Hypothèses!$X$7,IF(BG342&lt;=Hypothèses!$V$8,Hypothèses!$X$8,IF(BG342&lt;=Hypothèses!$V$9,Hypothèses!$X$9,IF(BG342&lt;=Hypothèses!$V$10,Hypothèses!$X$10,IF(BG342&lt;=Hypothèses!$V$11,Hypothèses!$X$11,IF(BG342&lt;=Hypothèses!$V$12,Hypothèses!$X$12,IF(BG342&lt;=Hypothèses!$V$13,Hypothèses!$X$13,IF(BG342&lt;=Hypothèses!$V$14,Hypothèses!$X$14,IF(BG342&lt;=Hypothèses!$V$15,Hypothèses!$X$15,IF(BG342&lt;=Hypothèses!$V$16,Hypothèses!$X$16,IF(BG342&lt;=Hypothèses!$U$17,Hypothèses!$W$17,IF(BG342&lt;=Hypothèses!$U$18,Hypothèses!$W$18,""))))))))))))</f>
        <v>#DIV/0!</v>
      </c>
      <c r="CD342" s="95" t="e">
        <f t="shared" ca="1" si="581"/>
        <v>#DIV/0!</v>
      </c>
      <c r="CE342" s="101">
        <f t="shared" si="626"/>
        <v>0</v>
      </c>
      <c r="CF342" s="91">
        <f t="shared" si="548"/>
        <v>0</v>
      </c>
      <c r="CG342" s="30" t="e">
        <f t="shared" si="606"/>
        <v>#N/A</v>
      </c>
      <c r="CH342" s="30" t="e">
        <f t="shared" si="607"/>
        <v>#N/A</v>
      </c>
      <c r="CI342" s="31" t="e">
        <f>IF(OR(Hypothèses!$B$4=17,Hypothèses!$B$4=18,Hypothèses!$B$4=19,Hypothèses!$B$4=20),
IF($D342="Pressio.",
IF(OR($E342=3,$E342=1,$E342=4),CH342,CG342),
IF($D342="Pénétro.",
IF(OR($E342=3,$E342=1,$E342=4),CH342,CG342))),IF($D342="Pressio.",
IF($E342=3,CH342,CG342),
IF($D342="Pénétro.",
IF($E342=4,CH342,CG342))))</f>
        <v>#N/A</v>
      </c>
      <c r="CJ342" s="31">
        <v>0</v>
      </c>
      <c r="CK342" s="102" t="e">
        <f>IF(NDC!$H$10="Oui",(VLOOKUP($B$3,'Coeff EC7'!$T$39:$X$59,2,0)*CI342+VLOOKUP($B$3,'Coeff EC7'!$T$65:$X$85,2,0)*Model0.1T!CJ342)/1.5,PI()*CG$12*$Q342*($B342-$B341)*0.15/10+CK341)</f>
        <v>#N/A</v>
      </c>
      <c r="CL342" s="102" t="e">
        <f>(VLOOKUP($B$3,'Coeff EC7'!$T$39:$X$59,3,0)*CI342+VLOOKUP($B$3,'Coeff EC7'!$T$65:$X$85,3,0)*Model0.1T!CJ342)/1.1</f>
        <v>#N/A</v>
      </c>
      <c r="CM342" s="102" t="e">
        <f t="shared" si="582"/>
        <v>#N/A</v>
      </c>
      <c r="CN342" s="102" t="e">
        <f t="shared" si="583"/>
        <v>#N/A</v>
      </c>
      <c r="CO342" s="414" t="e">
        <f>IF(AND(CK342&gt;NDC!$C$63,CL342&gt;NDC!$C$65,CM342&gt;NDC!$D$73,CN342&gt;NDC!$D$74,$B342&gt;NDC!$H$22-0.1+MIN(3*CO$12,1.5)),0,1)</f>
        <v>#N/A</v>
      </c>
      <c r="CP342" s="86" t="b">
        <f t="shared" si="549"/>
        <v>0</v>
      </c>
      <c r="CQ342" s="86">
        <f t="shared" si="550"/>
        <v>0.5</v>
      </c>
      <c r="CR342" s="86">
        <f t="shared" si="551"/>
        <v>0.5</v>
      </c>
      <c r="CS342" s="30" t="e">
        <f t="shared" ca="1" si="584"/>
        <v>#DIV/0!</v>
      </c>
      <c r="CT342" s="85" t="e">
        <f ca="1">IF(BZ342&lt;=Hypothèses!$V$7,Hypothèses!$W$7,IF(BZ342&lt;=Hypothèses!$V$8,Hypothèses!$W$8,IF(BZ342&lt;=Hypothèses!$V$9,Hypothèses!$W$9,IF(BZ342&lt;=Hypothèses!$V$10,Hypothèses!$W$10,IF(BZ342&lt;=Hypothèses!$V$11,Hypothèses!$W$11,IF(BZ342&lt;=Hypothèses!$V$12,Hypothèses!$W$12,IF(BZ342&lt;=Hypothèses!$V$13,Hypothèses!$W$13,IF(BZ342&lt;=Hypothèses!$V$14,Hypothèses!$W$14,IF(BZ342&lt;=Hypothèses!$V$15,Hypothèses!$W$15,IF(BZ342&lt;=Hypothèses!$V$16,Hypothèses!$W$16,IF(BZ342&lt;=Hypothèses!$V$17,Hypothèses!$W$17,IF(BZ342&lt;=Hypothèses!$V$18,Hypothèses!$W$18,""))))))))))))</f>
        <v>#DIV/0!</v>
      </c>
      <c r="CU342" s="87" t="e">
        <f t="shared" ca="1" si="620"/>
        <v>#DIV/0!</v>
      </c>
      <c r="CV342" s="88" t="e">
        <f ca="1">IF(BZ342&lt;=Hypothèses!$V$7,Hypothèses!$X$7,IF(BZ342&lt;=Hypothèses!$V$8,Hypothèses!$X$8,IF(BZ342&lt;=Hypothèses!$V$9,Hypothèses!$X$9,IF(BZ342&lt;=Hypothèses!$V$10,Hypothèses!$X$10,IF(BZ342&lt;=Hypothèses!$V$11,Hypothèses!$X$11,IF(BZ342&lt;=Hypothèses!$V$12,Hypothèses!$X$12,IF(BZ342&lt;=Hypothèses!$V$13,Hypothèses!$X$13,IF(BZ342&lt;=Hypothèses!$V$14,Hypothèses!$X$14,IF(BZ342&lt;=Hypothèses!$V$15,Hypothèses!$X$15,IF(BZ342&lt;=Hypothèses!$V$16,Hypothèses!$X$16,IF(BZ342&lt;=Hypothèses!$U$17,Hypothèses!$W$17,IF(BZ342&lt;=Hypothèses!$U$18,Hypothèses!$W$18,""))))))))))))</f>
        <v>#DIV/0!</v>
      </c>
      <c r="CW342" s="95" t="e">
        <f t="shared" ca="1" si="585"/>
        <v>#DIV/0!</v>
      </c>
      <c r="CX342" s="101">
        <f t="shared" si="627"/>
        <v>0</v>
      </c>
      <c r="CY342" s="91">
        <f t="shared" si="552"/>
        <v>0</v>
      </c>
      <c r="CZ342" s="30" t="e">
        <f t="shared" si="608"/>
        <v>#N/A</v>
      </c>
      <c r="DA342" s="30" t="e">
        <f t="shared" si="609"/>
        <v>#N/A</v>
      </c>
      <c r="DB342" s="31" t="e">
        <f>IF(OR(Hypothèses!$B$4=17,Hypothèses!$B$4=18,Hypothèses!$B$4=19,Hypothèses!$B$4=20),
IF($D342="Pressio.",
IF(OR($E342=3,$E342=1,$E342=4),DA342,CZ342),
IF($D342="Pénétro.",
IF(OR($E342=3,$E342=1,$E342=4),DA342,CZ342))),IF($D342="Pressio.",
IF($E342=3,DA342,CZ342),
IF($D342="Pénétro.",
IF($E342=4,DA342,CZ342))))</f>
        <v>#N/A</v>
      </c>
      <c r="DC342" s="31">
        <v>0</v>
      </c>
      <c r="DD342" s="102" t="e">
        <f>IF(NDC!$H$10="Oui",(VLOOKUP($B$3,'Coeff EC7'!$T$39:$X$59,2,0)*DB342+VLOOKUP($B$3,'Coeff EC7'!$T$65:$X$85,2,0)*Model0.1T!DC342)/1.5,PI()*CZ$12*$Q342*($B342-$B341)*0.15/10+DD341)</f>
        <v>#N/A</v>
      </c>
      <c r="DE342" s="102" t="e">
        <f>(VLOOKUP($B$3,'Coeff EC7'!$T$39:$X$59,3,0)*DB342+VLOOKUP($B$3,'Coeff EC7'!$T$65:$X$85,3,0)*Model0.1T!DC342)/1.1</f>
        <v>#N/A</v>
      </c>
      <c r="DF342" s="102" t="e">
        <f t="shared" si="586"/>
        <v>#N/A</v>
      </c>
      <c r="DG342" s="102" t="e">
        <f t="shared" si="587"/>
        <v>#N/A</v>
      </c>
      <c r="DH342" s="414" t="e">
        <f>IF(AND(DD342&gt;NDC!$C$63,DE342&gt;NDC!$C$65,DF342&gt;NDC!$D$73,DG342&gt;NDC!$D$74,$B342&gt;NDC!$H$22-0.1+MIN(3*DH$12,1.5)),0,1)</f>
        <v>#N/A</v>
      </c>
      <c r="DI342" s="86" t="b">
        <f t="shared" si="553"/>
        <v>0</v>
      </c>
      <c r="DJ342" s="86">
        <f t="shared" si="554"/>
        <v>0.5</v>
      </c>
      <c r="DK342" s="86">
        <f t="shared" si="555"/>
        <v>0.5</v>
      </c>
      <c r="DL342" s="30" t="e">
        <f t="shared" ca="1" si="588"/>
        <v>#DIV/0!</v>
      </c>
      <c r="DM342" s="85" t="e">
        <f ca="1">IF(CS342&lt;=Hypothèses!$V$7,Hypothèses!$W$7,IF(CS342&lt;=Hypothèses!$V$8,Hypothèses!$W$8,IF(CS342&lt;=Hypothèses!$V$9,Hypothèses!$W$9,IF(CS342&lt;=Hypothèses!$V$10,Hypothèses!$W$10,IF(CS342&lt;=Hypothèses!$V$11,Hypothèses!$W$11,IF(CS342&lt;=Hypothèses!$V$12,Hypothèses!$W$12,IF(CS342&lt;=Hypothèses!$V$13,Hypothèses!$W$13,IF(CS342&lt;=Hypothèses!$V$14,Hypothèses!$W$14,IF(CS342&lt;=Hypothèses!$V$15,Hypothèses!$W$15,IF(CS342&lt;=Hypothèses!$V$16,Hypothèses!$W$16,IF(CS342&lt;=Hypothèses!$V$17,Hypothèses!$W$17,IF(CS342&lt;=Hypothèses!$V$18,Hypothèses!$W$18,""))))))))))))</f>
        <v>#DIV/0!</v>
      </c>
      <c r="DN342" s="87" t="e">
        <f t="shared" ca="1" si="621"/>
        <v>#DIV/0!</v>
      </c>
      <c r="DO342" s="88" t="e">
        <f ca="1">IF(CS342&lt;=Hypothèses!$V$7,Hypothèses!$X$7,IF(CS342&lt;=Hypothèses!$V$8,Hypothèses!$X$8,IF(CS342&lt;=Hypothèses!$V$9,Hypothèses!$X$9,IF(CS342&lt;=Hypothèses!$V$10,Hypothèses!$X$10,IF(CS342&lt;=Hypothèses!$V$11,Hypothèses!$X$11,IF(CS342&lt;=Hypothèses!$V$12,Hypothèses!$X$12,IF(CS342&lt;=Hypothèses!$V$13,Hypothèses!$X$13,IF(CS342&lt;=Hypothèses!$V$14,Hypothèses!$X$14,IF(CS342&lt;=Hypothèses!$V$15,Hypothèses!$X$15,IF(CS342&lt;=Hypothèses!$V$16,Hypothèses!$X$16,IF(CS342&lt;=Hypothèses!$U$17,Hypothèses!$W$17,IF(CS342&lt;=Hypothèses!$U$18,Hypothèses!$W$18,""))))))))))))</f>
        <v>#DIV/0!</v>
      </c>
      <c r="DP342" s="95" t="e">
        <f t="shared" ca="1" si="589"/>
        <v>#DIV/0!</v>
      </c>
      <c r="DQ342" s="101">
        <f t="shared" si="628"/>
        <v>0</v>
      </c>
      <c r="DR342" s="91">
        <f t="shared" si="556"/>
        <v>0</v>
      </c>
      <c r="DS342" s="30" t="e">
        <f t="shared" si="610"/>
        <v>#N/A</v>
      </c>
      <c r="DT342" s="30" t="e">
        <f t="shared" si="611"/>
        <v>#N/A</v>
      </c>
      <c r="DU342" s="31" t="e">
        <f>IF(OR(Hypothèses!$B$4=17,Hypothèses!$B$4=18,Hypothèses!$B$4=19,Hypothèses!$B$4=20),
IF($D342="Pressio.",
IF(OR($E342=3,$E342=1,$E342=4),DT342,DS342),
IF($D342="Pénétro.",
IF(OR($E342=3,$E342=1,$E342=4),DT342,DS342))),IF($D342="Pressio.",
IF($E342=3,DT342,DS342),
IF($D342="Pénétro.",
IF($E342=4,DT342,DS342))))</f>
        <v>#N/A</v>
      </c>
      <c r="DV342" s="31">
        <v>0</v>
      </c>
      <c r="DW342" s="102" t="e">
        <f>IF(NDC!$H$10="Oui",(VLOOKUP($B$3,'Coeff EC7'!$T$39:$X$59,2,0)*DU342+VLOOKUP($B$3,'Coeff EC7'!$T$65:$X$85,2,0)*Model0.1T!DV342)/1.5,PI()*DS$12*$Q342*($B342-$B341)*0.15/10+DW341)</f>
        <v>#N/A</v>
      </c>
      <c r="DX342" s="102" t="e">
        <f>(VLOOKUP($B$3,'Coeff EC7'!$T$39:$X$59,3,0)*DU342+VLOOKUP($B$3,'Coeff EC7'!$T$65:$X$85,3,0)*Model0.1T!DV342)/1.1</f>
        <v>#N/A</v>
      </c>
      <c r="DY342" s="102" t="e">
        <f t="shared" si="590"/>
        <v>#N/A</v>
      </c>
      <c r="DZ342" s="102" t="e">
        <f t="shared" si="591"/>
        <v>#N/A</v>
      </c>
      <c r="EA342" s="414" t="e">
        <f>IF(AND(DW342&gt;NDC!$C$63,DX342&gt;NDC!$C$65,DY342&gt;NDC!$D$73,DZ342&gt;NDC!$D$74,$B342&gt;NDC!$H$22-0.1+MIN(3*EA$12,1.5)),0,1)</f>
        <v>#N/A</v>
      </c>
      <c r="EB342" s="86" t="b">
        <f t="shared" si="557"/>
        <v>0</v>
      </c>
      <c r="EC342" s="418">
        <f t="shared" si="558"/>
        <v>0.51</v>
      </c>
      <c r="ED342" s="86">
        <f t="shared" si="559"/>
        <v>0.51</v>
      </c>
      <c r="EE342" s="30" t="e">
        <f t="shared" ca="1" si="592"/>
        <v>#DIV/0!</v>
      </c>
      <c r="EF342" s="85" t="e">
        <f ca="1">IF(DL342&lt;=Hypothèses!$V$7,Hypothèses!$W$7,IF(DL342&lt;=Hypothèses!$V$8,Hypothèses!$W$8,IF(DL342&lt;=Hypothèses!$V$9,Hypothèses!$W$9,IF(DL342&lt;=Hypothèses!$V$10,Hypothèses!$W$10,IF(DL342&lt;=Hypothèses!$V$11,Hypothèses!$W$11,IF(DL342&lt;=Hypothèses!$V$12,Hypothèses!$W$12,IF(DL342&lt;=Hypothèses!$V$13,Hypothèses!$W$13,IF(DL342&lt;=Hypothèses!$V$14,Hypothèses!$W$14,IF(DL342&lt;=Hypothèses!$V$15,Hypothèses!$W$15,IF(DL342&lt;=Hypothèses!$V$16,Hypothèses!$W$16,IF(DL342&lt;=Hypothèses!$V$17,Hypothèses!$W$17,IF(DL342&lt;=Hypothèses!$V$18,Hypothèses!$W$18,""))))))))))))</f>
        <v>#DIV/0!</v>
      </c>
      <c r="EG342" s="87" t="e">
        <f t="shared" ca="1" si="622"/>
        <v>#DIV/0!</v>
      </c>
      <c r="EH342" s="88" t="e">
        <f ca="1">IF(DL342&lt;=Hypothèses!$V$7,Hypothèses!$X$7,IF(DL342&lt;=Hypothèses!$V$8,Hypothèses!$X$8,IF(DL342&lt;=Hypothèses!$V$9,Hypothèses!$X$9,IF(DL342&lt;=Hypothèses!$V$10,Hypothèses!$X$10,IF(DL342&lt;=Hypothèses!$V$11,Hypothèses!$X$11,IF(DL342&lt;=Hypothèses!$V$12,Hypothèses!$X$12,IF(DL342&lt;=Hypothèses!$V$13,Hypothèses!$X$13,IF(DL342&lt;=Hypothèses!$V$14,Hypothèses!$X$14,IF(DL342&lt;=Hypothèses!$V$15,Hypothèses!$X$15,IF(DL342&lt;=Hypothèses!$V$16,Hypothèses!$X$16,IF(DL342&lt;=Hypothèses!$U$17,Hypothèses!$W$17,IF(DL342&lt;=Hypothèses!$U$18,Hypothèses!$W$18,""))))))))))))</f>
        <v>#DIV/0!</v>
      </c>
      <c r="EI342" s="95" t="e">
        <f t="shared" ca="1" si="593"/>
        <v>#DIV/0!</v>
      </c>
      <c r="EJ342" s="101">
        <f t="shared" si="629"/>
        <v>0</v>
      </c>
      <c r="EK342" s="91">
        <f t="shared" si="560"/>
        <v>0</v>
      </c>
      <c r="EL342" s="30" t="e">
        <f t="shared" si="612"/>
        <v>#N/A</v>
      </c>
      <c r="EM342" s="30" t="e">
        <f t="shared" si="613"/>
        <v>#N/A</v>
      </c>
      <c r="EN342" s="31" t="e">
        <f>IF(OR(Hypothèses!$B$4=17,Hypothèses!$B$4=18,Hypothèses!$B$4=19,Hypothèses!$B$4=20),
IF($D342="Pressio.",
IF(OR($E342=3,$E342=1,$E342=4),EM342,EL342),
IF($D342="Pénétro.",
IF(OR($E342=3,$E342=1,$E342=4),EM342,EL342))),IF($D342="Pressio.",
IF($E342=3,EM342,EL342),
IF($D342="Pénétro.",
IF($E342=4,EM342,EL342))))</f>
        <v>#N/A</v>
      </c>
      <c r="EO342" s="31">
        <v>0</v>
      </c>
      <c r="EP342" s="102" t="e">
        <f>IF(NDC!$H$10="Oui",(VLOOKUP($B$3,'Coeff EC7'!$T$39:$X$59,2,0)*EN342+VLOOKUP($B$3,'Coeff EC7'!$T$65:$X$85,2,0)*Model0.1T!EO342)/1.5,PI()*EL$12*$Q342*($B342-$B341)*0.15/10+EP341)</f>
        <v>#N/A</v>
      </c>
      <c r="EQ342" s="102" t="e">
        <f>(VLOOKUP($B$3,'Coeff EC7'!$T$39:$X$59,3,0)*EN342+VLOOKUP($B$3,'Coeff EC7'!$T$65:$X$85,3,0)*Model0.1T!EO342)/1.1</f>
        <v>#N/A</v>
      </c>
      <c r="ER342" s="102" t="e">
        <f t="shared" si="594"/>
        <v>#N/A</v>
      </c>
      <c r="ES342" s="102" t="e">
        <f t="shared" si="595"/>
        <v>#N/A</v>
      </c>
      <c r="ET342" s="414" t="e">
        <f>IF(AND(EP342&gt;NDC!$C$63,EQ342&gt;NDC!$C$65,ER342&gt;NDC!$D$73,ES342&gt;NDC!$D$74,$B342&gt;NDC!$H$22-0.1+MIN(3*ET$12,1.5)),0,1)</f>
        <v>#N/A</v>
      </c>
      <c r="EU342" s="86" t="b">
        <f t="shared" si="561"/>
        <v>0</v>
      </c>
      <c r="EV342" s="86">
        <f t="shared" si="562"/>
        <v>0.61</v>
      </c>
      <c r="EW342" s="86">
        <f t="shared" si="563"/>
        <v>0.61</v>
      </c>
      <c r="EX342" s="30" t="e">
        <f t="shared" ca="1" si="596"/>
        <v>#DIV/0!</v>
      </c>
      <c r="EY342" s="85" t="e">
        <f ca="1">IF(EE342&lt;=Hypothèses!$V$7,Hypothèses!$W$7,IF(EE342&lt;=Hypothèses!$V$8,Hypothèses!$W$8,IF(EE342&lt;=Hypothèses!$V$9,Hypothèses!$W$9,IF(EE342&lt;=Hypothèses!$V$10,Hypothèses!$W$10,IF(EE342&lt;=Hypothèses!$V$11,Hypothèses!$W$11,IF(EE342&lt;=Hypothèses!$V$12,Hypothèses!$W$12,IF(EE342&lt;=Hypothèses!$V$13,Hypothèses!$W$13,IF(EE342&lt;=Hypothèses!$V$14,Hypothèses!$W$14,IF(EE342&lt;=Hypothèses!$V$15,Hypothèses!$W$15,IF(EE342&lt;=Hypothèses!$V$16,Hypothèses!$W$16,IF(EE342&lt;=Hypothèses!$V$17,Hypothèses!$W$17,IF(EE342&lt;=Hypothèses!$V$18,Hypothèses!$W$18,""))))))))))))</f>
        <v>#DIV/0!</v>
      </c>
      <c r="EZ342" s="87" t="e">
        <f t="shared" ca="1" si="623"/>
        <v>#DIV/0!</v>
      </c>
      <c r="FA342" s="88" t="e">
        <f ca="1">IF(EE342&lt;=Hypothèses!$V$7,Hypothèses!$X$7,IF(EE342&lt;=Hypothèses!$V$8,Hypothèses!$X$8,IF(EE342&lt;=Hypothèses!$V$9,Hypothèses!$X$9,IF(EE342&lt;=Hypothèses!$V$10,Hypothèses!$X$10,IF(EE342&lt;=Hypothèses!$V$11,Hypothèses!$X$11,IF(EE342&lt;=Hypothèses!$V$12,Hypothèses!$X$12,IF(EE342&lt;=Hypothèses!$V$13,Hypothèses!$X$13,IF(EE342&lt;=Hypothèses!$V$14,Hypothèses!$X$14,IF(EE342&lt;=Hypothèses!$V$15,Hypothèses!$X$15,IF(EE342&lt;=Hypothèses!$V$16,Hypothèses!$X$16,IF(EE342&lt;=Hypothèses!$U$17,Hypothèses!$W$17,IF(EE342&lt;=Hypothèses!$U$18,Hypothèses!$W$18,""))))))))))))</f>
        <v>#DIV/0!</v>
      </c>
      <c r="FB342" s="95" t="e">
        <f t="shared" ca="1" si="597"/>
        <v>#DIV/0!</v>
      </c>
      <c r="FC342" s="101">
        <f t="shared" si="630"/>
        <v>0</v>
      </c>
      <c r="FD342" s="91">
        <f t="shared" si="564"/>
        <v>0</v>
      </c>
      <c r="FE342" s="30" t="e">
        <f t="shared" si="614"/>
        <v>#N/A</v>
      </c>
      <c r="FF342" s="30" t="e">
        <f t="shared" si="615"/>
        <v>#N/A</v>
      </c>
      <c r="FG342" s="31" t="e">
        <f>IF(OR(Hypothèses!$B$4=17,Hypothèses!$B$4=18,Hypothèses!$B$4=19,Hypothèses!$B$4=20),
IF($D342="Pressio.",
IF(OR($E342=3,$E342=1,$E342=4),FF342,FE342),
IF($D342="Pénétro.",
IF(OR($E342=3,$E342=1,$E342=4),FF342,FE342))),IF($D342="Pressio.",
IF($E342=3,FF342,FE342),
IF($D342="Pénétro.",
IF($E342=4,FF342,FE342))))</f>
        <v>#N/A</v>
      </c>
      <c r="FH342" s="31">
        <v>0</v>
      </c>
      <c r="FI342" s="102" t="e">
        <f>IF(NDC!$H$10="Oui",(VLOOKUP($B$3,'Coeff EC7'!$T$39:$X$59,2,0)*FG342+VLOOKUP($B$3,'Coeff EC7'!$T$65:$X$85,2,0)*Model0.1T!FH342)/1.5,PI()*FE$12*$Q342*($B342-$B341)*0.15/10+FI341)</f>
        <v>#N/A</v>
      </c>
      <c r="FJ342" s="102" t="e">
        <f>(VLOOKUP($B$3,'Coeff EC7'!$T$39:$X$59,3,0)*FG342+VLOOKUP($B$3,'Coeff EC7'!$T$65:$X$85,3,0)*Model0.1T!FH342)/1.1</f>
        <v>#N/A</v>
      </c>
      <c r="FK342" s="102" t="e">
        <f t="shared" si="598"/>
        <v>#N/A</v>
      </c>
      <c r="FL342" s="102" t="e">
        <f t="shared" si="599"/>
        <v>#N/A</v>
      </c>
      <c r="FM342" s="414" t="e">
        <f>IF(AND(FI342&gt;NDC!$C$63,FJ342&gt;NDC!$C$65,FK342&gt;NDC!$D$73,FL342&gt;NDC!$D$74,$B342&gt;NDC!$H$22-0.1+MIN(3*FM$12,1.5)),0,1)</f>
        <v>#N/A</v>
      </c>
    </row>
    <row r="343" spans="1:169">
      <c r="A343" s="96">
        <f t="shared" si="565"/>
        <v>67.000000000001876</v>
      </c>
      <c r="B343" s="97">
        <v>33</v>
      </c>
      <c r="C343" s="81">
        <f>IF(B343&lt;=Hypothèses!$C$7,Hypothèses!$A$7,IF(B343&lt;=Hypothèses!$C$8,Hypothèses!$A$8,IF(B343&lt;=Hypothèses!$C$9,Hypothèses!$A$9,IF(B343&lt;=Hypothèses!$C$10,Hypothèses!$A$10,IF(B343&lt;=Hypothèses!$C$11,Hypothèses!$A$11,IF(B343&lt;=Hypothèses!$C$12,Hypothèses!$A$12,IF(B343&lt;=Hypothèses!$C$13,Hypothèses!$A$13,IF(B343&lt;=Hypothèses!$C$14,Hypothèses!$A$14,IF(B343&lt;=Hypothèses!$C$15,Hypothèses!$A$15,IF(B343&lt;=Hypothèses!$C$16,Hypothèses!$A$16,IF(B343&lt;=Hypothèses!$C$17,Hypothèses!$A$17,IF(B343&lt;=Hypothèses!$C$18,Hypothèses!$A$18,C342))))))))))))</f>
        <v>11</v>
      </c>
      <c r="D343" s="82" t="str">
        <f>IF(B343&lt;=Hypothèses!$C$7,Hypothèses!$R$7,IF(B343&lt;=Hypothèses!$C$8,Hypothèses!$R$8,IF(B343&lt;=Hypothèses!$C$9,Hypothèses!$R$9,IF(B343&lt;=Hypothèses!$C$10,Hypothèses!$R$10,IF(B343&lt;=Hypothèses!$C$11,Hypothèses!$R$11,IF(B343&lt;=Hypothèses!$C$12,Hypothèses!$R$12,IF(B343&lt;=Hypothèses!$C$13,Hypothèses!$R$13,IF(B343&lt;=Hypothèses!$C$14,Hypothèses!$R$14,IF(B343&lt;=Hypothèses!$C$15,Hypothèses!$R$15,IF(B343&lt;=Hypothèses!$C$16,Hypothèses!$R$16,IF(B343&lt;=Hypothèses!$C$17,Hypothèses!$R$17,IF(B343&lt;=Hypothèses!$C$18,Hypothèses!$R$18,D342))))))))))))</f>
        <v>Pressio.</v>
      </c>
      <c r="E343" s="82" t="e">
        <f>IF(B343&lt;=Hypothèses!$C$7,Hypothèses!$G$7,IF(B343&lt;=Hypothèses!$C$8,Hypothèses!$G$8,IF(B343&lt;=Hypothèses!$C$9,Hypothèses!$G$9,IF(B343&lt;=Hypothèses!$C$10,Hypothèses!$G$10,IF(B343&lt;=Hypothèses!$C$11,Hypothèses!$G$11,IF(B343&lt;=Hypothèses!$C$12,Hypothèses!$G$12,IF(B343&lt;=Hypothèses!$C$13,Hypothèses!$G$13,IF(B343&lt;=Hypothèses!$C$14,Hypothèses!$G$14,IF(B343&lt;=Hypothèses!$C$15,Hypothèses!$G$15,IF(B343&lt;=Hypothèses!$C$16,Hypothèses!$G$16,IF(B343&lt;=Hypothèses!$C$17,Hypothèses!$G$17,IF(B343&lt;=Hypothèses!$C$18,Hypothèses!$G$18,E342))))))))))))</f>
        <v>#N/A</v>
      </c>
      <c r="F343" s="82" t="str">
        <f>IF(B343&lt;=Hypothèses!$C$7,Hypothèses!$F$7,IF(B343&lt;=Hypothèses!$C$8,Hypothèses!$F$8,IF(B343&lt;=Hypothèses!$C$9,Hypothèses!$F$9,IF(B343&lt;=Hypothèses!$C$10,Hypothèses!$F$10,IF(B343&lt;=Hypothèses!$C$11,Hypothèses!$F$11,IF(B343&lt;=Hypothèses!$C$12,Hypothèses!$F$12,IF(B343&lt;=Hypothèses!$C$13,Hypothèses!$F$13,IF(B343&lt;=Hypothèses!$C$14,Hypothèses!$F$14,IF(B343&lt;=Hypothèses!$C$15,Hypothèses!$F$15,IF(B343&lt;=Hypothèses!$C$16,Hypothèses!$F$16,IF(B343&lt;=Hypothèses!$C$17,Hypothèses!$F$17,IF(B343&lt;=Hypothèses!$C$18,Hypothèses!$F$18,F342))))))))))))</f>
        <v/>
      </c>
      <c r="G343" s="91">
        <f t="array" ref="G343">INDEX('Coeff EC7'!$U$7:$X$27,
MATCH(Model0.1T!$B$3,'Coeff EC7'!$T$7:$T$27,0),
MATCH(Model0.1T!$D343&amp;Model0.1T!$B$4,
'Coeff EC7'!$U$6:$X$6&amp;
'Coeff EC7'!$U$5:$X$5,0))</f>
        <v>1.4</v>
      </c>
      <c r="H343" s="91">
        <f t="array" ref="H343">INDEX('Coeff EC7'!$Y$7:$AB$27,
MATCH(Model0.1T!$B$3,'Coeff EC7'!$T$7:$T$27,0),
MATCH(Model0.1T!$D343&amp;Model0.1T!$B$4,
'Coeff EC7'!$Y$6:$AB$6&amp;
'Coeff EC7'!$Y$5:$AB$5,0))</f>
        <v>1.7</v>
      </c>
      <c r="I343" s="83">
        <v>0</v>
      </c>
      <c r="J343" s="91" t="e">
        <f t="array" ref="J343">INDEX('Coeff EC7'!$D$33:$Q$33,1,MATCH(D343&amp;E343,'Coeff EC7'!$D$31:$Q$31&amp;'Coeff EC7'!$D$32:$Q$32,0))</f>
        <v>#N/A</v>
      </c>
      <c r="K343" s="91" t="e">
        <f t="array" ref="K343">INDEX('Coeff EC7'!$D$34:$Q$34,1,MATCH(D343&amp;E343,'Coeff EC7'!$D$31:$Q$31&amp;'Coeff EC7'!$D$32:$Q$32,0))</f>
        <v>#N/A</v>
      </c>
      <c r="L343" s="91" t="e">
        <f t="array" ref="L343">INDEX('Coeff EC7'!$D$35:$Q$35,1,MATCH(D343&amp;E343,'Coeff EC7'!$D$31:$Q$31&amp;'Coeff EC7'!$D$32:$Q$32,0))</f>
        <v>#N/A</v>
      </c>
      <c r="M343" s="98" t="e">
        <f t="shared" si="531"/>
        <v>#N/A</v>
      </c>
      <c r="N343" s="99" t="e">
        <f t="array" ref="N343">INDEX('Coeff EC7'!$D$7:$Q$27,MATCH($B$3,'Coeff EC7'!$C$7:$C$27,0),MATCH(D343&amp;E343,'Coeff EC7'!$D$5:$Q$5&amp;'Coeff EC7'!$D$6:$Q$6,0))</f>
        <v>#N/A</v>
      </c>
      <c r="O343" s="99" t="e">
        <f t="array" ref="O343">INDEX('Coeff EC7'!$D$41:$Q$61,MATCH($B$3,'Coeff EC7'!$C$41:$C$61,0),MATCH(D343&amp;E343,'Coeff EC7'!$D$39:$Q$39&amp;'Coeff EC7'!$D$40:$Q$40,0))</f>
        <v>#N/A</v>
      </c>
      <c r="P343" s="30" t="e">
        <f t="shared" si="566"/>
        <v>#N/A</v>
      </c>
      <c r="Q343" s="100" t="e">
        <f t="shared" si="533"/>
        <v>#N/A</v>
      </c>
      <c r="R343" s="86" t="b">
        <f t="shared" si="534"/>
        <v>0</v>
      </c>
      <c r="S343" s="86">
        <f t="shared" si="532"/>
        <v>0.5</v>
      </c>
      <c r="T343" s="86">
        <f t="shared" si="535"/>
        <v>0.5</v>
      </c>
      <c r="U343" s="30" t="e">
        <f t="shared" ca="1" si="567"/>
        <v>#DIV/0!</v>
      </c>
      <c r="V343" s="85" t="str">
        <f>IF(B343&lt;=Hypothèses!$V$7,Hypothèses!$W$7,IF(B343&lt;=Hypothèses!$V$8,Hypothèses!$W$8,IF(B343&lt;=Hypothèses!$V$9,Hypothèses!$W$9,IF(B343&lt;=Hypothèses!$V$10,Hypothèses!$W$10,IF(B343&lt;=Hypothèses!$V$11,Hypothèses!$W$11,IF(B343&lt;=Hypothèses!$V$12,Hypothèses!$W$12,IF(B343&lt;=Hypothèses!$V$13,Hypothèses!$W$13,IF(B343&lt;=Hypothèses!$V$14,Hypothèses!$W$14,IF(B343&lt;=Hypothèses!$V$15,Hypothèses!$W$15,IF(B343&lt;=Hypothèses!$V$16,Hypothèses!$W$16,IF(B343&lt;=Hypothèses!$V$17,Hypothèses!$W$17,IF(B343&lt;=Hypothèses!$V$18,Hypothèses!$W$18,""))))))))))))</f>
        <v/>
      </c>
      <c r="W343" s="87" t="e">
        <f t="shared" ca="1" si="616"/>
        <v>#DIV/0!</v>
      </c>
      <c r="X343" s="88" t="str">
        <f>IF(B343&lt;=Hypothèses!$V$7,Hypothèses!$X$7,IF(B343&lt;=Hypothèses!$V$8,Hypothèses!$X$8,IF(B343&lt;=Hypothèses!$V$9,Hypothèses!$X$9,IF(B343&lt;=Hypothèses!$V$10,Hypothèses!$X$10,IF(B343&lt;=Hypothèses!$V$11,Hypothèses!$X$11,IF(B343&lt;=Hypothèses!$V$12,Hypothèses!$X$12,IF(B343&lt;=Hypothèses!$V$13,Hypothèses!$X$13,IF(B343&lt;=Hypothèses!$V$14,Hypothèses!$X$14,IF(B343&lt;=Hypothèses!$V$15,Hypothèses!$X$15,IF(B343&lt;=Hypothèses!$V$16,Hypothèses!$X$16,IF(B343&lt;=Hypothèses!$U$17,Hypothèses!$W$17,IF(B343&lt;=Hypothèses!$U$18,Hypothèses!$W$18,""))))))))))))</f>
        <v/>
      </c>
      <c r="Y343" s="95" t="e">
        <f t="shared" ca="1" si="536"/>
        <v>#DIV/0!</v>
      </c>
      <c r="Z343" s="101">
        <f t="shared" si="537"/>
        <v>0</v>
      </c>
      <c r="AA343" s="91">
        <f t="shared" si="538"/>
        <v>0</v>
      </c>
      <c r="AB343" s="30" t="e">
        <f t="shared" si="600"/>
        <v>#N/A</v>
      </c>
      <c r="AC343" s="30" t="e">
        <f t="shared" si="601"/>
        <v>#N/A</v>
      </c>
      <c r="AD343" s="31" t="e">
        <f>IF(OR(Hypothèses!$B$4=17,Hypothèses!$B$4=18,Hypothèses!$B$4=19,Hypothèses!$B$4=20),
IF($D343="Pressio.",
IF(OR($E343=3,$E343=1,$E343=4),AC343,AB343),
IF($D343="Pénétro.",
IF(OR($E343=3,$E343=1,$E343=4),AC343,AB343))),IF($D343="Pressio.",
IF($E343=3,AC343,AB343),
IF($D343="Pénétro.",
IF($E343=4,AC343,AB343))))</f>
        <v>#N/A</v>
      </c>
      <c r="AE343" s="31">
        <v>0</v>
      </c>
      <c r="AF343" s="102" t="e">
        <f>IF(NDC!$H$10="Oui",(VLOOKUP($B$3,'Coeff EC7'!$T$39:$X$59,2,0)*AD343+VLOOKUP($B$3,'Coeff EC7'!$T$65:$X$85,2,0)*Model0.1T!AE343)/1.5,PI()*AB$12*$Q343*($B343-$B342)*0.15/10+AF342)</f>
        <v>#N/A</v>
      </c>
      <c r="AG343" s="102" t="e">
        <f>(VLOOKUP($B$3,'Coeff EC7'!$T$39:$X$59,3,0)*AD343+VLOOKUP($B$3,'Coeff EC7'!$T$65:$X$85,3,0)*Model0.1T!AE343)/1.1</f>
        <v>#N/A</v>
      </c>
      <c r="AH343" s="102" t="e">
        <f t="shared" si="568"/>
        <v>#N/A</v>
      </c>
      <c r="AI343" s="102" t="e">
        <f t="shared" si="569"/>
        <v>#N/A</v>
      </c>
      <c r="AJ343" s="414" t="e">
        <f>IF(AND(AF343&gt;NDC!$C$63,AG343&gt;NDC!$C$65,AH343&gt;NDC!$D$73,AI343&gt;NDC!$D$74,$B343&gt;NDC!$H$22-0.1+MIN(3*$AJ$12,1.5)),0,1)</f>
        <v>#N/A</v>
      </c>
      <c r="AK343" s="86" t="b">
        <f t="shared" si="539"/>
        <v>0</v>
      </c>
      <c r="AL343" s="86">
        <f t="shared" si="570"/>
        <v>0.5</v>
      </c>
      <c r="AM343" s="86">
        <f t="shared" si="540"/>
        <v>0.5</v>
      </c>
      <c r="AN343" s="30" t="e">
        <f t="shared" ca="1" si="571"/>
        <v>#DIV/0!</v>
      </c>
      <c r="AO343" s="85" t="e">
        <f ca="1">IF(U343&lt;=Hypothèses!$V$7,Hypothèses!$W$7,IF(U343&lt;=Hypothèses!$V$8,Hypothèses!$W$8,IF(U343&lt;=Hypothèses!$V$9,Hypothèses!$W$9,IF(U343&lt;=Hypothèses!$V$10,Hypothèses!$W$10,IF(U343&lt;=Hypothèses!$V$11,Hypothèses!$W$11,IF(U343&lt;=Hypothèses!$V$12,Hypothèses!$W$12,IF(U343&lt;=Hypothèses!$V$13,Hypothèses!$W$13,IF(U343&lt;=Hypothèses!$V$14,Hypothèses!$W$14,IF(U343&lt;=Hypothèses!$V$15,Hypothèses!$W$15,IF(U343&lt;=Hypothèses!$V$16,Hypothèses!$W$16,IF(U343&lt;=Hypothèses!$V$17,Hypothèses!$W$17,IF(U343&lt;=Hypothèses!$V$18,Hypothèses!$W$18,""))))))))))))</f>
        <v>#DIV/0!</v>
      </c>
      <c r="AP343" s="87" t="e">
        <f t="shared" ca="1" si="617"/>
        <v>#DIV/0!</v>
      </c>
      <c r="AQ343" s="88" t="e">
        <f ca="1">IF(U343&lt;=Hypothèses!$V$7,Hypothèses!$X$7,IF(U343&lt;=Hypothèses!$V$8,Hypothèses!$X$8,IF(U343&lt;=Hypothèses!$V$9,Hypothèses!$X$9,IF(U343&lt;=Hypothèses!$V$10,Hypothèses!$X$10,IF(U343&lt;=Hypothèses!$V$11,Hypothèses!$X$11,IF(U343&lt;=Hypothèses!$V$12,Hypothèses!$X$12,IF(U343&lt;=Hypothèses!$V$13,Hypothèses!$X$13,IF(U343&lt;=Hypothèses!$V$14,Hypothèses!$X$14,IF(U343&lt;=Hypothèses!$V$15,Hypothèses!$X$15,IF(U343&lt;=Hypothèses!$V$16,Hypothèses!$X$16,IF(U343&lt;=Hypothèses!$U$17,Hypothèses!$W$17,IF(U343&lt;=Hypothèses!$U$18,Hypothèses!$W$18,""))))))))))))</f>
        <v>#DIV/0!</v>
      </c>
      <c r="AR343" s="95" t="e">
        <f t="shared" ca="1" si="572"/>
        <v>#DIV/0!</v>
      </c>
      <c r="AS343" s="101">
        <f t="shared" si="624"/>
        <v>0</v>
      </c>
      <c r="AT343" s="91">
        <f t="shared" si="541"/>
        <v>0</v>
      </c>
      <c r="AU343" s="30" t="e">
        <f t="shared" si="602"/>
        <v>#N/A</v>
      </c>
      <c r="AV343" s="30" t="e">
        <f t="shared" si="603"/>
        <v>#N/A</v>
      </c>
      <c r="AW343" s="31" t="e">
        <f>IF(OR(Hypothèses!$B$4=17,Hypothèses!$B$4=18,Hypothèses!$B$4=19,Hypothèses!$B$4=20),
IF($D343="Pressio.",
IF(OR($E343=3,$E343=1,$E343=4),AV343,AU343),
IF($D343="Pénétro.",
IF(OR($E343=3,$E343=1,$E343=4),AV343,AU343))),IF($D343="Pressio.",
IF($E343=3,AV343,AU343),
IF($D343="Pénétro.",
IF($E343=4,AV343,AU343))))</f>
        <v>#N/A</v>
      </c>
      <c r="AX343" s="31">
        <v>0</v>
      </c>
      <c r="AY343" s="102" t="e">
        <f>IF(NDC!$H$10="Oui",(VLOOKUP($B$3,'Coeff EC7'!$T$39:$X$59,2,0)*AW343+VLOOKUP($B$3,'Coeff EC7'!$T$65:$X$85,2,0)*Model0.1T!AX343)/1.5,PI()*AU$12*$Q343*($B343-$B342)*0.15/10+AY342)</f>
        <v>#N/A</v>
      </c>
      <c r="AZ343" s="102" t="e">
        <f>(VLOOKUP($B$3,'Coeff EC7'!$T$39:$X$59,3,0)*AW343+VLOOKUP($B$3,'Coeff EC7'!$T$65:$X$85,3,0)*Model0.1T!AX343)/1.1</f>
        <v>#N/A</v>
      </c>
      <c r="BA343" s="102" t="e">
        <f t="shared" si="573"/>
        <v>#N/A</v>
      </c>
      <c r="BB343" s="102" t="e">
        <f t="shared" si="574"/>
        <v>#N/A</v>
      </c>
      <c r="BC343" s="414" t="e">
        <f>IF(AND(AY343&gt;NDC!$C$63,AZ343&gt;NDC!$C$65,BA343&gt;NDC!$D$73,BB343&gt;NDC!$D$74,$B343&gt;NDC!$H$22-0.1+MIN(3*BC$12,1.5)),0,1)</f>
        <v>#N/A</v>
      </c>
      <c r="BD343" s="86" t="b">
        <f t="shared" si="542"/>
        <v>0</v>
      </c>
      <c r="BE343" s="86">
        <f t="shared" si="575"/>
        <v>0.5</v>
      </c>
      <c r="BF343" s="86">
        <f t="shared" si="543"/>
        <v>0.5</v>
      </c>
      <c r="BG343" s="30" t="e">
        <f t="shared" ca="1" si="576"/>
        <v>#DIV/0!</v>
      </c>
      <c r="BH343" s="85" t="e">
        <f ca="1">IF(AN343&lt;=Hypothèses!$V$7,Hypothèses!$W$7,IF(AN343&lt;=Hypothèses!$V$8,Hypothèses!$W$8,IF(AN343&lt;=Hypothèses!$V$9,Hypothèses!$W$9,IF(AN343&lt;=Hypothèses!$V$10,Hypothèses!$W$10,IF(AN343&lt;=Hypothèses!$V$11,Hypothèses!$W$11,IF(AN343&lt;=Hypothèses!$V$12,Hypothèses!$W$12,IF(AN343&lt;=Hypothèses!$V$13,Hypothèses!$W$13,IF(AN343&lt;=Hypothèses!$V$14,Hypothèses!$W$14,IF(AN343&lt;=Hypothèses!$V$15,Hypothèses!$W$15,IF(AN343&lt;=Hypothèses!$V$16,Hypothèses!$W$16,IF(AN343&lt;=Hypothèses!$V$17,Hypothèses!$W$17,IF(AN343&lt;=Hypothèses!$V$18,Hypothèses!$W$18,""))))))))))))</f>
        <v>#DIV/0!</v>
      </c>
      <c r="BI343" s="87" t="e">
        <f t="shared" ca="1" si="618"/>
        <v>#DIV/0!</v>
      </c>
      <c r="BJ343" s="88" t="e">
        <f ca="1">IF(AN343&lt;=Hypothèses!$V$7,Hypothèses!$X$7,IF(AN343&lt;=Hypothèses!$V$8,Hypothèses!$X$8,IF(AN343&lt;=Hypothèses!$V$9,Hypothèses!$X$9,IF(AN343&lt;=Hypothèses!$V$10,Hypothèses!$X$10,IF(AN343&lt;=Hypothèses!$V$11,Hypothèses!$X$11,IF(AN343&lt;=Hypothèses!$V$12,Hypothèses!$X$12,IF(AN343&lt;=Hypothèses!$V$13,Hypothèses!$X$13,IF(AN343&lt;=Hypothèses!$V$14,Hypothèses!$X$14,IF(AN343&lt;=Hypothèses!$V$15,Hypothèses!$X$15,IF(AN343&lt;=Hypothèses!$V$16,Hypothèses!$X$16,IF(AN343&lt;=Hypothèses!$U$17,Hypothèses!$W$17,IF(AN343&lt;=Hypothèses!$U$18,Hypothèses!$W$18,""))))))))))))</f>
        <v>#DIV/0!</v>
      </c>
      <c r="BK343" s="95" t="e">
        <f t="shared" ca="1" si="577"/>
        <v>#DIV/0!</v>
      </c>
      <c r="BL343" s="101">
        <f t="shared" si="625"/>
        <v>0</v>
      </c>
      <c r="BM343" s="91">
        <f t="shared" si="544"/>
        <v>0</v>
      </c>
      <c r="BN343" s="30" t="e">
        <f t="shared" si="604"/>
        <v>#N/A</v>
      </c>
      <c r="BO343" s="30" t="e">
        <f t="shared" si="605"/>
        <v>#N/A</v>
      </c>
      <c r="BP343" s="31" t="e">
        <f>IF(OR(Hypothèses!$B$4=17,Hypothèses!$B$4=18,Hypothèses!$B$4=19,Hypothèses!$B$4=20),
IF($D343="Pressio.",
IF(OR($E343=3,$E343=1,$E343=4),BO343,BN343),
IF($D343="Pénétro.",
IF(OR($E343=3,$E343=1,$E343=4),BO343,BN343))),IF($D343="Pressio.",
IF($E343=3,BO343,BN343),
IF($D343="Pénétro.",
IF($E343=4,BO343,BN343))))</f>
        <v>#N/A</v>
      </c>
      <c r="BQ343" s="31">
        <v>0</v>
      </c>
      <c r="BR343" s="102" t="e">
        <f>IF(NDC!$H$10="Oui",(VLOOKUP($B$3,'Coeff EC7'!$T$39:$X$59,2,0)*BP343+VLOOKUP($B$3,'Coeff EC7'!$T$65:$X$85,2,0)*Model0.1T!BQ343)/1.5,PI()*BN$12*$Q343*($B343-$B342)*0.15/10+BR342)</f>
        <v>#N/A</v>
      </c>
      <c r="BS343" s="102" t="e">
        <f>(VLOOKUP($B$3,'Coeff EC7'!$T$39:$X$59,3,0)*BP343+VLOOKUP($B$3,'Coeff EC7'!$T$65:$X$85,3,0)*Model0.1T!BQ343)/1.1</f>
        <v>#N/A</v>
      </c>
      <c r="BT343" s="102" t="e">
        <f t="shared" si="578"/>
        <v>#N/A</v>
      </c>
      <c r="BU343" s="102" t="e">
        <f t="shared" si="579"/>
        <v>#N/A</v>
      </c>
      <c r="BV343" s="414" t="e">
        <f>IF(AND(BR343&gt;NDC!$C$63,BS343&gt;NDC!$C$65,BT343&gt;NDC!$D$73,BU343&gt;NDC!$D$74,$B343&gt;NDC!$H$22-0.1+MIN(3*BV$12,1.5)),0,1)</f>
        <v>#N/A</v>
      </c>
      <c r="BW343" s="86" t="b">
        <f t="shared" si="545"/>
        <v>0</v>
      </c>
      <c r="BX343" s="86">
        <f t="shared" si="546"/>
        <v>0.5</v>
      </c>
      <c r="BY343" s="86">
        <f t="shared" si="547"/>
        <v>0.5</v>
      </c>
      <c r="BZ343" s="30" t="e">
        <f t="shared" ca="1" si="580"/>
        <v>#DIV/0!</v>
      </c>
      <c r="CA343" s="85" t="e">
        <f ca="1">IF(BG343&lt;=Hypothèses!$V$7,Hypothèses!$W$7,IF(BG343&lt;=Hypothèses!$V$8,Hypothèses!$W$8,IF(BG343&lt;=Hypothèses!$V$9,Hypothèses!$W$9,IF(BG343&lt;=Hypothèses!$V$10,Hypothèses!$W$10,IF(BG343&lt;=Hypothèses!$V$11,Hypothèses!$W$11,IF(BG343&lt;=Hypothèses!$V$12,Hypothèses!$W$12,IF(BG343&lt;=Hypothèses!$V$13,Hypothèses!$W$13,IF(BG343&lt;=Hypothèses!$V$14,Hypothèses!$W$14,IF(BG343&lt;=Hypothèses!$V$15,Hypothèses!$W$15,IF(BG343&lt;=Hypothèses!$V$16,Hypothèses!$W$16,IF(BG343&lt;=Hypothèses!$V$17,Hypothèses!$W$17,IF(BG343&lt;=Hypothèses!$V$18,Hypothèses!$W$18,""))))))))))))</f>
        <v>#DIV/0!</v>
      </c>
      <c r="CB343" s="87" t="e">
        <f t="shared" ca="1" si="619"/>
        <v>#DIV/0!</v>
      </c>
      <c r="CC343" s="88" t="e">
        <f ca="1">IF(BG343&lt;=Hypothèses!$V$7,Hypothèses!$X$7,IF(BG343&lt;=Hypothèses!$V$8,Hypothèses!$X$8,IF(BG343&lt;=Hypothèses!$V$9,Hypothèses!$X$9,IF(BG343&lt;=Hypothèses!$V$10,Hypothèses!$X$10,IF(BG343&lt;=Hypothèses!$V$11,Hypothèses!$X$11,IF(BG343&lt;=Hypothèses!$V$12,Hypothèses!$X$12,IF(BG343&lt;=Hypothèses!$V$13,Hypothèses!$X$13,IF(BG343&lt;=Hypothèses!$V$14,Hypothèses!$X$14,IF(BG343&lt;=Hypothèses!$V$15,Hypothèses!$X$15,IF(BG343&lt;=Hypothèses!$V$16,Hypothèses!$X$16,IF(BG343&lt;=Hypothèses!$U$17,Hypothèses!$W$17,IF(BG343&lt;=Hypothèses!$U$18,Hypothèses!$W$18,""))))))))))))</f>
        <v>#DIV/0!</v>
      </c>
      <c r="CD343" s="95" t="e">
        <f t="shared" ca="1" si="581"/>
        <v>#DIV/0!</v>
      </c>
      <c r="CE343" s="101">
        <f t="shared" si="626"/>
        <v>0</v>
      </c>
      <c r="CF343" s="91">
        <f t="shared" si="548"/>
        <v>0</v>
      </c>
      <c r="CG343" s="30" t="e">
        <f t="shared" si="606"/>
        <v>#N/A</v>
      </c>
      <c r="CH343" s="30" t="e">
        <f t="shared" si="607"/>
        <v>#N/A</v>
      </c>
      <c r="CI343" s="31" t="e">
        <f>IF(OR(Hypothèses!$B$4=17,Hypothèses!$B$4=18,Hypothèses!$B$4=19,Hypothèses!$B$4=20),
IF($D343="Pressio.",
IF(OR($E343=3,$E343=1,$E343=4),CH343,CG343),
IF($D343="Pénétro.",
IF(OR($E343=3,$E343=1,$E343=4),CH343,CG343))),IF($D343="Pressio.",
IF($E343=3,CH343,CG343),
IF($D343="Pénétro.",
IF($E343=4,CH343,CG343))))</f>
        <v>#N/A</v>
      </c>
      <c r="CJ343" s="31">
        <v>0</v>
      </c>
      <c r="CK343" s="102" t="e">
        <f>IF(NDC!$H$10="Oui",(VLOOKUP($B$3,'Coeff EC7'!$T$39:$X$59,2,0)*CI343+VLOOKUP($B$3,'Coeff EC7'!$T$65:$X$85,2,0)*Model0.1T!CJ343)/1.5,PI()*CG$12*$Q343*($B343-$B342)*0.15/10+CK342)</f>
        <v>#N/A</v>
      </c>
      <c r="CL343" s="102" t="e">
        <f>(VLOOKUP($B$3,'Coeff EC7'!$T$39:$X$59,3,0)*CI343+VLOOKUP($B$3,'Coeff EC7'!$T$65:$X$85,3,0)*Model0.1T!CJ343)/1.1</f>
        <v>#N/A</v>
      </c>
      <c r="CM343" s="102" t="e">
        <f t="shared" si="582"/>
        <v>#N/A</v>
      </c>
      <c r="CN343" s="102" t="e">
        <f t="shared" si="583"/>
        <v>#N/A</v>
      </c>
      <c r="CO343" s="414" t="e">
        <f>IF(AND(CK343&gt;NDC!$C$63,CL343&gt;NDC!$C$65,CM343&gt;NDC!$D$73,CN343&gt;NDC!$D$74,$B343&gt;NDC!$H$22-0.1+MIN(3*CO$12,1.5)),0,1)</f>
        <v>#N/A</v>
      </c>
      <c r="CP343" s="86" t="b">
        <f t="shared" si="549"/>
        <v>0</v>
      </c>
      <c r="CQ343" s="86">
        <f t="shared" si="550"/>
        <v>0.5</v>
      </c>
      <c r="CR343" s="86">
        <f t="shared" si="551"/>
        <v>0.5</v>
      </c>
      <c r="CS343" s="30" t="e">
        <f t="shared" ca="1" si="584"/>
        <v>#DIV/0!</v>
      </c>
      <c r="CT343" s="85" t="e">
        <f ca="1">IF(BZ343&lt;=Hypothèses!$V$7,Hypothèses!$W$7,IF(BZ343&lt;=Hypothèses!$V$8,Hypothèses!$W$8,IF(BZ343&lt;=Hypothèses!$V$9,Hypothèses!$W$9,IF(BZ343&lt;=Hypothèses!$V$10,Hypothèses!$W$10,IF(BZ343&lt;=Hypothèses!$V$11,Hypothèses!$W$11,IF(BZ343&lt;=Hypothèses!$V$12,Hypothèses!$W$12,IF(BZ343&lt;=Hypothèses!$V$13,Hypothèses!$W$13,IF(BZ343&lt;=Hypothèses!$V$14,Hypothèses!$W$14,IF(BZ343&lt;=Hypothèses!$V$15,Hypothèses!$W$15,IF(BZ343&lt;=Hypothèses!$V$16,Hypothèses!$W$16,IF(BZ343&lt;=Hypothèses!$V$17,Hypothèses!$W$17,IF(BZ343&lt;=Hypothèses!$V$18,Hypothèses!$W$18,""))))))))))))</f>
        <v>#DIV/0!</v>
      </c>
      <c r="CU343" s="87" t="e">
        <f t="shared" ca="1" si="620"/>
        <v>#DIV/0!</v>
      </c>
      <c r="CV343" s="88" t="e">
        <f ca="1">IF(BZ343&lt;=Hypothèses!$V$7,Hypothèses!$X$7,IF(BZ343&lt;=Hypothèses!$V$8,Hypothèses!$X$8,IF(BZ343&lt;=Hypothèses!$V$9,Hypothèses!$X$9,IF(BZ343&lt;=Hypothèses!$V$10,Hypothèses!$X$10,IF(BZ343&lt;=Hypothèses!$V$11,Hypothèses!$X$11,IF(BZ343&lt;=Hypothèses!$V$12,Hypothèses!$X$12,IF(BZ343&lt;=Hypothèses!$V$13,Hypothèses!$X$13,IF(BZ343&lt;=Hypothèses!$V$14,Hypothèses!$X$14,IF(BZ343&lt;=Hypothèses!$V$15,Hypothèses!$X$15,IF(BZ343&lt;=Hypothèses!$V$16,Hypothèses!$X$16,IF(BZ343&lt;=Hypothèses!$U$17,Hypothèses!$W$17,IF(BZ343&lt;=Hypothèses!$U$18,Hypothèses!$W$18,""))))))))))))</f>
        <v>#DIV/0!</v>
      </c>
      <c r="CW343" s="95" t="e">
        <f t="shared" ca="1" si="585"/>
        <v>#DIV/0!</v>
      </c>
      <c r="CX343" s="101">
        <f t="shared" si="627"/>
        <v>0</v>
      </c>
      <c r="CY343" s="91">
        <f t="shared" si="552"/>
        <v>0</v>
      </c>
      <c r="CZ343" s="30" t="e">
        <f t="shared" si="608"/>
        <v>#N/A</v>
      </c>
      <c r="DA343" s="30" t="e">
        <f t="shared" si="609"/>
        <v>#N/A</v>
      </c>
      <c r="DB343" s="31" t="e">
        <f>IF(OR(Hypothèses!$B$4=17,Hypothèses!$B$4=18,Hypothèses!$B$4=19,Hypothèses!$B$4=20),
IF($D343="Pressio.",
IF(OR($E343=3,$E343=1,$E343=4),DA343,CZ343),
IF($D343="Pénétro.",
IF(OR($E343=3,$E343=1,$E343=4),DA343,CZ343))),IF($D343="Pressio.",
IF($E343=3,DA343,CZ343),
IF($D343="Pénétro.",
IF($E343=4,DA343,CZ343))))</f>
        <v>#N/A</v>
      </c>
      <c r="DC343" s="31">
        <v>0</v>
      </c>
      <c r="DD343" s="102" t="e">
        <f>IF(NDC!$H$10="Oui",(VLOOKUP($B$3,'Coeff EC7'!$T$39:$X$59,2,0)*DB343+VLOOKUP($B$3,'Coeff EC7'!$T$65:$X$85,2,0)*Model0.1T!DC343)/1.5,PI()*CZ$12*$Q343*($B343-$B342)*0.15/10+DD342)</f>
        <v>#N/A</v>
      </c>
      <c r="DE343" s="102" t="e">
        <f>(VLOOKUP($B$3,'Coeff EC7'!$T$39:$X$59,3,0)*DB343+VLOOKUP($B$3,'Coeff EC7'!$T$65:$X$85,3,0)*Model0.1T!DC343)/1.1</f>
        <v>#N/A</v>
      </c>
      <c r="DF343" s="102" t="e">
        <f t="shared" si="586"/>
        <v>#N/A</v>
      </c>
      <c r="DG343" s="102" t="e">
        <f t="shared" si="587"/>
        <v>#N/A</v>
      </c>
      <c r="DH343" s="414" t="e">
        <f>IF(AND(DD343&gt;NDC!$C$63,DE343&gt;NDC!$C$65,DF343&gt;NDC!$D$73,DG343&gt;NDC!$D$74,$B343&gt;NDC!$H$22-0.1+MIN(3*DH$12,1.5)),0,1)</f>
        <v>#N/A</v>
      </c>
      <c r="DI343" s="86" t="b">
        <f t="shared" si="553"/>
        <v>0</v>
      </c>
      <c r="DJ343" s="86">
        <f t="shared" si="554"/>
        <v>0.5</v>
      </c>
      <c r="DK343" s="86">
        <f t="shared" si="555"/>
        <v>0.5</v>
      </c>
      <c r="DL343" s="30" t="e">
        <f t="shared" ca="1" si="588"/>
        <v>#DIV/0!</v>
      </c>
      <c r="DM343" s="85" t="e">
        <f ca="1">IF(CS343&lt;=Hypothèses!$V$7,Hypothèses!$W$7,IF(CS343&lt;=Hypothèses!$V$8,Hypothèses!$W$8,IF(CS343&lt;=Hypothèses!$V$9,Hypothèses!$W$9,IF(CS343&lt;=Hypothèses!$V$10,Hypothèses!$W$10,IF(CS343&lt;=Hypothèses!$V$11,Hypothèses!$W$11,IF(CS343&lt;=Hypothèses!$V$12,Hypothèses!$W$12,IF(CS343&lt;=Hypothèses!$V$13,Hypothèses!$W$13,IF(CS343&lt;=Hypothèses!$V$14,Hypothèses!$W$14,IF(CS343&lt;=Hypothèses!$V$15,Hypothèses!$W$15,IF(CS343&lt;=Hypothèses!$V$16,Hypothèses!$W$16,IF(CS343&lt;=Hypothèses!$V$17,Hypothèses!$W$17,IF(CS343&lt;=Hypothèses!$V$18,Hypothèses!$W$18,""))))))))))))</f>
        <v>#DIV/0!</v>
      </c>
      <c r="DN343" s="87" t="e">
        <f t="shared" ca="1" si="621"/>
        <v>#DIV/0!</v>
      </c>
      <c r="DO343" s="88" t="e">
        <f ca="1">IF(CS343&lt;=Hypothèses!$V$7,Hypothèses!$X$7,IF(CS343&lt;=Hypothèses!$V$8,Hypothèses!$X$8,IF(CS343&lt;=Hypothèses!$V$9,Hypothèses!$X$9,IF(CS343&lt;=Hypothèses!$V$10,Hypothèses!$X$10,IF(CS343&lt;=Hypothèses!$V$11,Hypothèses!$X$11,IF(CS343&lt;=Hypothèses!$V$12,Hypothèses!$X$12,IF(CS343&lt;=Hypothèses!$V$13,Hypothèses!$X$13,IF(CS343&lt;=Hypothèses!$V$14,Hypothèses!$X$14,IF(CS343&lt;=Hypothèses!$V$15,Hypothèses!$X$15,IF(CS343&lt;=Hypothèses!$V$16,Hypothèses!$X$16,IF(CS343&lt;=Hypothèses!$U$17,Hypothèses!$W$17,IF(CS343&lt;=Hypothèses!$U$18,Hypothèses!$W$18,""))))))))))))</f>
        <v>#DIV/0!</v>
      </c>
      <c r="DP343" s="95" t="e">
        <f t="shared" ca="1" si="589"/>
        <v>#DIV/0!</v>
      </c>
      <c r="DQ343" s="101">
        <f t="shared" si="628"/>
        <v>0</v>
      </c>
      <c r="DR343" s="91">
        <f t="shared" si="556"/>
        <v>0</v>
      </c>
      <c r="DS343" s="30" t="e">
        <f t="shared" si="610"/>
        <v>#N/A</v>
      </c>
      <c r="DT343" s="30" t="e">
        <f t="shared" si="611"/>
        <v>#N/A</v>
      </c>
      <c r="DU343" s="31" t="e">
        <f>IF(OR(Hypothèses!$B$4=17,Hypothèses!$B$4=18,Hypothèses!$B$4=19,Hypothèses!$B$4=20),
IF($D343="Pressio.",
IF(OR($E343=3,$E343=1,$E343=4),DT343,DS343),
IF($D343="Pénétro.",
IF(OR($E343=3,$E343=1,$E343=4),DT343,DS343))),IF($D343="Pressio.",
IF($E343=3,DT343,DS343),
IF($D343="Pénétro.",
IF($E343=4,DT343,DS343))))</f>
        <v>#N/A</v>
      </c>
      <c r="DV343" s="31">
        <v>0</v>
      </c>
      <c r="DW343" s="102" t="e">
        <f>IF(NDC!$H$10="Oui",(VLOOKUP($B$3,'Coeff EC7'!$T$39:$X$59,2,0)*DU343+VLOOKUP($B$3,'Coeff EC7'!$T$65:$X$85,2,0)*Model0.1T!DV343)/1.5,PI()*DS$12*$Q343*($B343-$B342)*0.15/10+DW342)</f>
        <v>#N/A</v>
      </c>
      <c r="DX343" s="102" t="e">
        <f>(VLOOKUP($B$3,'Coeff EC7'!$T$39:$X$59,3,0)*DU343+VLOOKUP($B$3,'Coeff EC7'!$T$65:$X$85,3,0)*Model0.1T!DV343)/1.1</f>
        <v>#N/A</v>
      </c>
      <c r="DY343" s="102" t="e">
        <f t="shared" si="590"/>
        <v>#N/A</v>
      </c>
      <c r="DZ343" s="102" t="e">
        <f t="shared" si="591"/>
        <v>#N/A</v>
      </c>
      <c r="EA343" s="414" t="e">
        <f>IF(AND(DW343&gt;NDC!$C$63,DX343&gt;NDC!$C$65,DY343&gt;NDC!$D$73,DZ343&gt;NDC!$D$74,$B343&gt;NDC!$H$22-0.1+MIN(3*EA$12,1.5)),0,1)</f>
        <v>#N/A</v>
      </c>
      <c r="EB343" s="86" t="b">
        <f t="shared" si="557"/>
        <v>0</v>
      </c>
      <c r="EC343" s="418">
        <f t="shared" si="558"/>
        <v>0.51</v>
      </c>
      <c r="ED343" s="86">
        <f t="shared" si="559"/>
        <v>0.51</v>
      </c>
      <c r="EE343" s="30" t="e">
        <f t="shared" ca="1" si="592"/>
        <v>#DIV/0!</v>
      </c>
      <c r="EF343" s="85" t="e">
        <f ca="1">IF(DL343&lt;=Hypothèses!$V$7,Hypothèses!$W$7,IF(DL343&lt;=Hypothèses!$V$8,Hypothèses!$W$8,IF(DL343&lt;=Hypothèses!$V$9,Hypothèses!$W$9,IF(DL343&lt;=Hypothèses!$V$10,Hypothèses!$W$10,IF(DL343&lt;=Hypothèses!$V$11,Hypothèses!$W$11,IF(DL343&lt;=Hypothèses!$V$12,Hypothèses!$W$12,IF(DL343&lt;=Hypothèses!$V$13,Hypothèses!$W$13,IF(DL343&lt;=Hypothèses!$V$14,Hypothèses!$W$14,IF(DL343&lt;=Hypothèses!$V$15,Hypothèses!$W$15,IF(DL343&lt;=Hypothèses!$V$16,Hypothèses!$W$16,IF(DL343&lt;=Hypothèses!$V$17,Hypothèses!$W$17,IF(DL343&lt;=Hypothèses!$V$18,Hypothèses!$W$18,""))))))))))))</f>
        <v>#DIV/0!</v>
      </c>
      <c r="EG343" s="87" t="e">
        <f t="shared" ca="1" si="622"/>
        <v>#DIV/0!</v>
      </c>
      <c r="EH343" s="88" t="e">
        <f ca="1">IF(DL343&lt;=Hypothèses!$V$7,Hypothèses!$X$7,IF(DL343&lt;=Hypothèses!$V$8,Hypothèses!$X$8,IF(DL343&lt;=Hypothèses!$V$9,Hypothèses!$X$9,IF(DL343&lt;=Hypothèses!$V$10,Hypothèses!$X$10,IF(DL343&lt;=Hypothèses!$V$11,Hypothèses!$X$11,IF(DL343&lt;=Hypothèses!$V$12,Hypothèses!$X$12,IF(DL343&lt;=Hypothèses!$V$13,Hypothèses!$X$13,IF(DL343&lt;=Hypothèses!$V$14,Hypothèses!$X$14,IF(DL343&lt;=Hypothèses!$V$15,Hypothèses!$X$15,IF(DL343&lt;=Hypothèses!$V$16,Hypothèses!$X$16,IF(DL343&lt;=Hypothèses!$U$17,Hypothèses!$W$17,IF(DL343&lt;=Hypothèses!$U$18,Hypothèses!$W$18,""))))))))))))</f>
        <v>#DIV/0!</v>
      </c>
      <c r="EI343" s="95" t="e">
        <f t="shared" ca="1" si="593"/>
        <v>#DIV/0!</v>
      </c>
      <c r="EJ343" s="101">
        <f t="shared" si="629"/>
        <v>0</v>
      </c>
      <c r="EK343" s="91">
        <f t="shared" si="560"/>
        <v>0</v>
      </c>
      <c r="EL343" s="30" t="e">
        <f t="shared" si="612"/>
        <v>#N/A</v>
      </c>
      <c r="EM343" s="30" t="e">
        <f t="shared" si="613"/>
        <v>#N/A</v>
      </c>
      <c r="EN343" s="31" t="e">
        <f>IF(OR(Hypothèses!$B$4=17,Hypothèses!$B$4=18,Hypothèses!$B$4=19,Hypothèses!$B$4=20),
IF($D343="Pressio.",
IF(OR($E343=3,$E343=1,$E343=4),EM343,EL343),
IF($D343="Pénétro.",
IF(OR($E343=3,$E343=1,$E343=4),EM343,EL343))),IF($D343="Pressio.",
IF($E343=3,EM343,EL343),
IF($D343="Pénétro.",
IF($E343=4,EM343,EL343))))</f>
        <v>#N/A</v>
      </c>
      <c r="EO343" s="31">
        <v>0</v>
      </c>
      <c r="EP343" s="102" t="e">
        <f>IF(NDC!$H$10="Oui",(VLOOKUP($B$3,'Coeff EC7'!$T$39:$X$59,2,0)*EN343+VLOOKUP($B$3,'Coeff EC7'!$T$65:$X$85,2,0)*Model0.1T!EO343)/1.5,PI()*EL$12*$Q343*($B343-$B342)*0.15/10+EP342)</f>
        <v>#N/A</v>
      </c>
      <c r="EQ343" s="102" t="e">
        <f>(VLOOKUP($B$3,'Coeff EC7'!$T$39:$X$59,3,0)*EN343+VLOOKUP($B$3,'Coeff EC7'!$T$65:$X$85,3,0)*Model0.1T!EO343)/1.1</f>
        <v>#N/A</v>
      </c>
      <c r="ER343" s="102" t="e">
        <f t="shared" si="594"/>
        <v>#N/A</v>
      </c>
      <c r="ES343" s="102" t="e">
        <f t="shared" si="595"/>
        <v>#N/A</v>
      </c>
      <c r="ET343" s="414" t="e">
        <f>IF(AND(EP343&gt;NDC!$C$63,EQ343&gt;NDC!$C$65,ER343&gt;NDC!$D$73,ES343&gt;NDC!$D$74,$B343&gt;NDC!$H$22-0.1+MIN(3*ET$12,1.5)),0,1)</f>
        <v>#N/A</v>
      </c>
      <c r="EU343" s="86" t="b">
        <f t="shared" si="561"/>
        <v>0</v>
      </c>
      <c r="EV343" s="86">
        <f t="shared" si="562"/>
        <v>0.61</v>
      </c>
      <c r="EW343" s="86">
        <f t="shared" si="563"/>
        <v>0.61</v>
      </c>
      <c r="EX343" s="30" t="e">
        <f t="shared" ca="1" si="596"/>
        <v>#DIV/0!</v>
      </c>
      <c r="EY343" s="85" t="e">
        <f ca="1">IF(EE343&lt;=Hypothèses!$V$7,Hypothèses!$W$7,IF(EE343&lt;=Hypothèses!$V$8,Hypothèses!$W$8,IF(EE343&lt;=Hypothèses!$V$9,Hypothèses!$W$9,IF(EE343&lt;=Hypothèses!$V$10,Hypothèses!$W$10,IF(EE343&lt;=Hypothèses!$V$11,Hypothèses!$W$11,IF(EE343&lt;=Hypothèses!$V$12,Hypothèses!$W$12,IF(EE343&lt;=Hypothèses!$V$13,Hypothèses!$W$13,IF(EE343&lt;=Hypothèses!$V$14,Hypothèses!$W$14,IF(EE343&lt;=Hypothèses!$V$15,Hypothèses!$W$15,IF(EE343&lt;=Hypothèses!$V$16,Hypothèses!$W$16,IF(EE343&lt;=Hypothèses!$V$17,Hypothèses!$W$17,IF(EE343&lt;=Hypothèses!$V$18,Hypothèses!$W$18,""))))))))))))</f>
        <v>#DIV/0!</v>
      </c>
      <c r="EZ343" s="87" t="e">
        <f t="shared" ca="1" si="623"/>
        <v>#DIV/0!</v>
      </c>
      <c r="FA343" s="88" t="e">
        <f ca="1">IF(EE343&lt;=Hypothèses!$V$7,Hypothèses!$X$7,IF(EE343&lt;=Hypothèses!$V$8,Hypothèses!$X$8,IF(EE343&lt;=Hypothèses!$V$9,Hypothèses!$X$9,IF(EE343&lt;=Hypothèses!$V$10,Hypothèses!$X$10,IF(EE343&lt;=Hypothèses!$V$11,Hypothèses!$X$11,IF(EE343&lt;=Hypothèses!$V$12,Hypothèses!$X$12,IF(EE343&lt;=Hypothèses!$V$13,Hypothèses!$X$13,IF(EE343&lt;=Hypothèses!$V$14,Hypothèses!$X$14,IF(EE343&lt;=Hypothèses!$V$15,Hypothèses!$X$15,IF(EE343&lt;=Hypothèses!$V$16,Hypothèses!$X$16,IF(EE343&lt;=Hypothèses!$U$17,Hypothèses!$W$17,IF(EE343&lt;=Hypothèses!$U$18,Hypothèses!$W$18,""))))))))))))</f>
        <v>#DIV/0!</v>
      </c>
      <c r="FB343" s="95" t="e">
        <f t="shared" ca="1" si="597"/>
        <v>#DIV/0!</v>
      </c>
      <c r="FC343" s="101">
        <f t="shared" si="630"/>
        <v>0</v>
      </c>
      <c r="FD343" s="91">
        <f t="shared" si="564"/>
        <v>0</v>
      </c>
      <c r="FE343" s="30" t="e">
        <f t="shared" si="614"/>
        <v>#N/A</v>
      </c>
      <c r="FF343" s="30" t="e">
        <f t="shared" si="615"/>
        <v>#N/A</v>
      </c>
      <c r="FG343" s="31" t="e">
        <f>IF(OR(Hypothèses!$B$4=17,Hypothèses!$B$4=18,Hypothèses!$B$4=19,Hypothèses!$B$4=20),
IF($D343="Pressio.",
IF(OR($E343=3,$E343=1,$E343=4),FF343,FE343),
IF($D343="Pénétro.",
IF(OR($E343=3,$E343=1,$E343=4),FF343,FE343))),IF($D343="Pressio.",
IF($E343=3,FF343,FE343),
IF($D343="Pénétro.",
IF($E343=4,FF343,FE343))))</f>
        <v>#N/A</v>
      </c>
      <c r="FH343" s="31">
        <v>0</v>
      </c>
      <c r="FI343" s="102" t="e">
        <f>IF(NDC!$H$10="Oui",(VLOOKUP($B$3,'Coeff EC7'!$T$39:$X$59,2,0)*FG343+VLOOKUP($B$3,'Coeff EC7'!$T$65:$X$85,2,0)*Model0.1T!FH343)/1.5,PI()*FE$12*$Q343*($B343-$B342)*0.15/10+FI342)</f>
        <v>#N/A</v>
      </c>
      <c r="FJ343" s="102" t="e">
        <f>(VLOOKUP($B$3,'Coeff EC7'!$T$39:$X$59,3,0)*FG343+VLOOKUP($B$3,'Coeff EC7'!$T$65:$X$85,3,0)*Model0.1T!FH343)/1.1</f>
        <v>#N/A</v>
      </c>
      <c r="FK343" s="102" t="e">
        <f t="shared" si="598"/>
        <v>#N/A</v>
      </c>
      <c r="FL343" s="102" t="e">
        <f t="shared" si="599"/>
        <v>#N/A</v>
      </c>
      <c r="FM343" s="414" t="e">
        <f>IF(AND(FI343&gt;NDC!$C$63,FJ343&gt;NDC!$C$65,FK343&gt;NDC!$D$73,FL343&gt;NDC!$D$74,$B343&gt;NDC!$H$22-0.1+MIN(3*FM$12,1.5)),0,1)</f>
        <v>#N/A</v>
      </c>
    </row>
    <row r="344" spans="1:169">
      <c r="A344" s="96">
        <f t="shared" si="565"/>
        <v>66.900000000001882</v>
      </c>
      <c r="B344" s="97">
        <v>33.1</v>
      </c>
      <c r="C344" s="81">
        <f>IF(B344&lt;=Hypothèses!$C$7,Hypothèses!$A$7,IF(B344&lt;=Hypothèses!$C$8,Hypothèses!$A$8,IF(B344&lt;=Hypothèses!$C$9,Hypothèses!$A$9,IF(B344&lt;=Hypothèses!$C$10,Hypothèses!$A$10,IF(B344&lt;=Hypothèses!$C$11,Hypothèses!$A$11,IF(B344&lt;=Hypothèses!$C$12,Hypothèses!$A$12,IF(B344&lt;=Hypothèses!$C$13,Hypothèses!$A$13,IF(B344&lt;=Hypothèses!$C$14,Hypothèses!$A$14,IF(B344&lt;=Hypothèses!$C$15,Hypothèses!$A$15,IF(B344&lt;=Hypothèses!$C$16,Hypothèses!$A$16,IF(B344&lt;=Hypothèses!$C$17,Hypothèses!$A$17,IF(B344&lt;=Hypothèses!$C$18,Hypothèses!$A$18,C343))))))))))))</f>
        <v>11</v>
      </c>
      <c r="D344" s="82" t="str">
        <f>IF(B344&lt;=Hypothèses!$C$7,Hypothèses!$R$7,IF(B344&lt;=Hypothèses!$C$8,Hypothèses!$R$8,IF(B344&lt;=Hypothèses!$C$9,Hypothèses!$R$9,IF(B344&lt;=Hypothèses!$C$10,Hypothèses!$R$10,IF(B344&lt;=Hypothèses!$C$11,Hypothèses!$R$11,IF(B344&lt;=Hypothèses!$C$12,Hypothèses!$R$12,IF(B344&lt;=Hypothèses!$C$13,Hypothèses!$R$13,IF(B344&lt;=Hypothèses!$C$14,Hypothèses!$R$14,IF(B344&lt;=Hypothèses!$C$15,Hypothèses!$R$15,IF(B344&lt;=Hypothèses!$C$16,Hypothèses!$R$16,IF(B344&lt;=Hypothèses!$C$17,Hypothèses!$R$17,IF(B344&lt;=Hypothèses!$C$18,Hypothèses!$R$18,D343))))))))))))</f>
        <v>Pressio.</v>
      </c>
      <c r="E344" s="82" t="e">
        <f>IF(B344&lt;=Hypothèses!$C$7,Hypothèses!$G$7,IF(B344&lt;=Hypothèses!$C$8,Hypothèses!$G$8,IF(B344&lt;=Hypothèses!$C$9,Hypothèses!$G$9,IF(B344&lt;=Hypothèses!$C$10,Hypothèses!$G$10,IF(B344&lt;=Hypothèses!$C$11,Hypothèses!$G$11,IF(B344&lt;=Hypothèses!$C$12,Hypothèses!$G$12,IF(B344&lt;=Hypothèses!$C$13,Hypothèses!$G$13,IF(B344&lt;=Hypothèses!$C$14,Hypothèses!$G$14,IF(B344&lt;=Hypothèses!$C$15,Hypothèses!$G$15,IF(B344&lt;=Hypothèses!$C$16,Hypothèses!$G$16,IF(B344&lt;=Hypothèses!$C$17,Hypothèses!$G$17,IF(B344&lt;=Hypothèses!$C$18,Hypothèses!$G$18,E343))))))))))))</f>
        <v>#N/A</v>
      </c>
      <c r="F344" s="82" t="str">
        <f>IF(B344&lt;=Hypothèses!$C$7,Hypothèses!$F$7,IF(B344&lt;=Hypothèses!$C$8,Hypothèses!$F$8,IF(B344&lt;=Hypothèses!$C$9,Hypothèses!$F$9,IF(B344&lt;=Hypothèses!$C$10,Hypothèses!$F$10,IF(B344&lt;=Hypothèses!$C$11,Hypothèses!$F$11,IF(B344&lt;=Hypothèses!$C$12,Hypothèses!$F$12,IF(B344&lt;=Hypothèses!$C$13,Hypothèses!$F$13,IF(B344&lt;=Hypothèses!$C$14,Hypothèses!$F$14,IF(B344&lt;=Hypothèses!$C$15,Hypothèses!$F$15,IF(B344&lt;=Hypothèses!$C$16,Hypothèses!$F$16,IF(B344&lt;=Hypothèses!$C$17,Hypothèses!$F$17,IF(B344&lt;=Hypothèses!$C$18,Hypothèses!$F$18,F343))))))))))))</f>
        <v/>
      </c>
      <c r="G344" s="91">
        <f t="array" ref="G344">INDEX('Coeff EC7'!$U$7:$X$27,
MATCH(Model0.1T!$B$3,'Coeff EC7'!$T$7:$T$27,0),
MATCH(Model0.1T!$D344&amp;Model0.1T!$B$4,
'Coeff EC7'!$U$6:$X$6&amp;
'Coeff EC7'!$U$5:$X$5,0))</f>
        <v>1.4</v>
      </c>
      <c r="H344" s="91">
        <f t="array" ref="H344">INDEX('Coeff EC7'!$Y$7:$AB$27,
MATCH(Model0.1T!$B$3,'Coeff EC7'!$T$7:$T$27,0),
MATCH(Model0.1T!$D344&amp;Model0.1T!$B$4,
'Coeff EC7'!$Y$6:$AB$6&amp;
'Coeff EC7'!$Y$5:$AB$5,0))</f>
        <v>1.7</v>
      </c>
      <c r="I344" s="83">
        <v>0</v>
      </c>
      <c r="J344" s="91" t="e">
        <f t="array" ref="J344">INDEX('Coeff EC7'!$D$33:$Q$33,1,MATCH(D344&amp;E344,'Coeff EC7'!$D$31:$Q$31&amp;'Coeff EC7'!$D$32:$Q$32,0))</f>
        <v>#N/A</v>
      </c>
      <c r="K344" s="91" t="e">
        <f t="array" ref="K344">INDEX('Coeff EC7'!$D$34:$Q$34,1,MATCH(D344&amp;E344,'Coeff EC7'!$D$31:$Q$31&amp;'Coeff EC7'!$D$32:$Q$32,0))</f>
        <v>#N/A</v>
      </c>
      <c r="L344" s="91" t="e">
        <f t="array" ref="L344">INDEX('Coeff EC7'!$D$35:$Q$35,1,MATCH(D344&amp;E344,'Coeff EC7'!$D$31:$Q$31&amp;'Coeff EC7'!$D$32:$Q$32,0))</f>
        <v>#N/A</v>
      </c>
      <c r="M344" s="98" t="e">
        <f t="shared" si="531"/>
        <v>#N/A</v>
      </c>
      <c r="N344" s="99" t="e">
        <f t="array" ref="N344">INDEX('Coeff EC7'!$D$7:$Q$27,MATCH($B$3,'Coeff EC7'!$C$7:$C$27,0),MATCH(D344&amp;E344,'Coeff EC7'!$D$5:$Q$5&amp;'Coeff EC7'!$D$6:$Q$6,0))</f>
        <v>#N/A</v>
      </c>
      <c r="O344" s="99" t="e">
        <f t="array" ref="O344">INDEX('Coeff EC7'!$D$41:$Q$61,MATCH($B$3,'Coeff EC7'!$C$41:$C$61,0),MATCH(D344&amp;E344,'Coeff EC7'!$D$39:$Q$39&amp;'Coeff EC7'!$D$40:$Q$40,0))</f>
        <v>#N/A</v>
      </c>
      <c r="P344" s="30" t="e">
        <f t="shared" si="566"/>
        <v>#N/A</v>
      </c>
      <c r="Q344" s="100" t="e">
        <f t="shared" si="533"/>
        <v>#N/A</v>
      </c>
      <c r="R344" s="86" t="b">
        <f t="shared" si="534"/>
        <v>0</v>
      </c>
      <c r="S344" s="86">
        <f t="shared" si="532"/>
        <v>0.5</v>
      </c>
      <c r="T344" s="86">
        <f t="shared" si="535"/>
        <v>0.5</v>
      </c>
      <c r="U344" s="30" t="e">
        <f t="shared" ca="1" si="567"/>
        <v>#DIV/0!</v>
      </c>
      <c r="V344" s="85" t="str">
        <f>IF(B344&lt;=Hypothèses!$V$7,Hypothèses!$W$7,IF(B344&lt;=Hypothèses!$V$8,Hypothèses!$W$8,IF(B344&lt;=Hypothèses!$V$9,Hypothèses!$W$9,IF(B344&lt;=Hypothèses!$V$10,Hypothèses!$W$10,IF(B344&lt;=Hypothèses!$V$11,Hypothèses!$W$11,IF(B344&lt;=Hypothèses!$V$12,Hypothèses!$W$12,IF(B344&lt;=Hypothèses!$V$13,Hypothèses!$W$13,IF(B344&lt;=Hypothèses!$V$14,Hypothèses!$W$14,IF(B344&lt;=Hypothèses!$V$15,Hypothèses!$W$15,IF(B344&lt;=Hypothèses!$V$16,Hypothèses!$W$16,IF(B344&lt;=Hypothèses!$V$17,Hypothèses!$W$17,IF(B344&lt;=Hypothèses!$V$18,Hypothèses!$W$18,""))))))))))))</f>
        <v/>
      </c>
      <c r="W344" s="87" t="e">
        <f t="shared" ca="1" si="616"/>
        <v>#DIV/0!</v>
      </c>
      <c r="X344" s="88" t="str">
        <f>IF(B344&lt;=Hypothèses!$V$7,Hypothèses!$X$7,IF(B344&lt;=Hypothèses!$V$8,Hypothèses!$X$8,IF(B344&lt;=Hypothèses!$V$9,Hypothèses!$X$9,IF(B344&lt;=Hypothèses!$V$10,Hypothèses!$X$10,IF(B344&lt;=Hypothèses!$V$11,Hypothèses!$X$11,IF(B344&lt;=Hypothèses!$V$12,Hypothèses!$X$12,IF(B344&lt;=Hypothèses!$V$13,Hypothèses!$X$13,IF(B344&lt;=Hypothèses!$V$14,Hypothèses!$X$14,IF(B344&lt;=Hypothèses!$V$15,Hypothèses!$X$15,IF(B344&lt;=Hypothèses!$V$16,Hypothèses!$X$16,IF(B344&lt;=Hypothèses!$U$17,Hypothèses!$W$17,IF(B344&lt;=Hypothèses!$U$18,Hypothèses!$W$18,""))))))))))))</f>
        <v/>
      </c>
      <c r="Y344" s="95" t="e">
        <f t="shared" ca="1" si="536"/>
        <v>#DIV/0!</v>
      </c>
      <c r="Z344" s="101">
        <f t="shared" si="537"/>
        <v>0</v>
      </c>
      <c r="AA344" s="91">
        <f t="shared" si="538"/>
        <v>0</v>
      </c>
      <c r="AB344" s="30" t="e">
        <f t="shared" si="600"/>
        <v>#N/A</v>
      </c>
      <c r="AC344" s="30" t="e">
        <f t="shared" si="601"/>
        <v>#N/A</v>
      </c>
      <c r="AD344" s="31" t="e">
        <f>IF(OR(Hypothèses!$B$4=17,Hypothèses!$B$4=18,Hypothèses!$B$4=19,Hypothèses!$B$4=20),
IF($D344="Pressio.",
IF(OR($E344=3,$E344=1,$E344=4),AC344,AB344),
IF($D344="Pénétro.",
IF(OR($E344=3,$E344=1,$E344=4),AC344,AB344))),IF($D344="Pressio.",
IF($E344=3,AC344,AB344),
IF($D344="Pénétro.",
IF($E344=4,AC344,AB344))))</f>
        <v>#N/A</v>
      </c>
      <c r="AE344" s="31">
        <v>0</v>
      </c>
      <c r="AF344" s="102" t="e">
        <f>IF(NDC!$H$10="Oui",(VLOOKUP($B$3,'Coeff EC7'!$T$39:$X$59,2,0)*AD344+VLOOKUP($B$3,'Coeff EC7'!$T$65:$X$85,2,0)*Model0.1T!AE344)/1.5,PI()*AB$12*$Q344*($B344-$B343)*0.15/10+AF343)</f>
        <v>#N/A</v>
      </c>
      <c r="AG344" s="102" t="e">
        <f>(VLOOKUP($B$3,'Coeff EC7'!$T$39:$X$59,3,0)*AD344+VLOOKUP($B$3,'Coeff EC7'!$T$65:$X$85,3,0)*Model0.1T!AE344)/1.1</f>
        <v>#N/A</v>
      </c>
      <c r="AH344" s="102" t="e">
        <f t="shared" si="568"/>
        <v>#N/A</v>
      </c>
      <c r="AI344" s="102" t="e">
        <f t="shared" si="569"/>
        <v>#N/A</v>
      </c>
      <c r="AJ344" s="414" t="e">
        <f>IF(AND(AF344&gt;NDC!$C$63,AG344&gt;NDC!$C$65,AH344&gt;NDC!$D$73,AI344&gt;NDC!$D$74,$B344&gt;NDC!$H$22-0.1+MIN(3*$AJ$12,1.5)),0,1)</f>
        <v>#N/A</v>
      </c>
      <c r="AK344" s="86" t="b">
        <f t="shared" si="539"/>
        <v>0</v>
      </c>
      <c r="AL344" s="86">
        <f t="shared" si="570"/>
        <v>0.5</v>
      </c>
      <c r="AM344" s="86">
        <f t="shared" si="540"/>
        <v>0.5</v>
      </c>
      <c r="AN344" s="30" t="e">
        <f t="shared" ca="1" si="571"/>
        <v>#DIV/0!</v>
      </c>
      <c r="AO344" s="85" t="e">
        <f ca="1">IF(U344&lt;=Hypothèses!$V$7,Hypothèses!$W$7,IF(U344&lt;=Hypothèses!$V$8,Hypothèses!$W$8,IF(U344&lt;=Hypothèses!$V$9,Hypothèses!$W$9,IF(U344&lt;=Hypothèses!$V$10,Hypothèses!$W$10,IF(U344&lt;=Hypothèses!$V$11,Hypothèses!$W$11,IF(U344&lt;=Hypothèses!$V$12,Hypothèses!$W$12,IF(U344&lt;=Hypothèses!$V$13,Hypothèses!$W$13,IF(U344&lt;=Hypothèses!$V$14,Hypothèses!$W$14,IF(U344&lt;=Hypothèses!$V$15,Hypothèses!$W$15,IF(U344&lt;=Hypothèses!$V$16,Hypothèses!$W$16,IF(U344&lt;=Hypothèses!$V$17,Hypothèses!$W$17,IF(U344&lt;=Hypothèses!$V$18,Hypothèses!$W$18,""))))))))))))</f>
        <v>#DIV/0!</v>
      </c>
      <c r="AP344" s="87" t="e">
        <f t="shared" ca="1" si="617"/>
        <v>#DIV/0!</v>
      </c>
      <c r="AQ344" s="88" t="e">
        <f ca="1">IF(U344&lt;=Hypothèses!$V$7,Hypothèses!$X$7,IF(U344&lt;=Hypothèses!$V$8,Hypothèses!$X$8,IF(U344&lt;=Hypothèses!$V$9,Hypothèses!$X$9,IF(U344&lt;=Hypothèses!$V$10,Hypothèses!$X$10,IF(U344&lt;=Hypothèses!$V$11,Hypothèses!$X$11,IF(U344&lt;=Hypothèses!$V$12,Hypothèses!$X$12,IF(U344&lt;=Hypothèses!$V$13,Hypothèses!$X$13,IF(U344&lt;=Hypothèses!$V$14,Hypothèses!$X$14,IF(U344&lt;=Hypothèses!$V$15,Hypothèses!$X$15,IF(U344&lt;=Hypothèses!$V$16,Hypothèses!$X$16,IF(U344&lt;=Hypothèses!$U$17,Hypothèses!$W$17,IF(U344&lt;=Hypothèses!$U$18,Hypothèses!$W$18,""))))))))))))</f>
        <v>#DIV/0!</v>
      </c>
      <c r="AR344" s="95" t="e">
        <f t="shared" ca="1" si="572"/>
        <v>#DIV/0!</v>
      </c>
      <c r="AS344" s="101">
        <f t="shared" si="624"/>
        <v>0</v>
      </c>
      <c r="AT344" s="91">
        <f t="shared" si="541"/>
        <v>0</v>
      </c>
      <c r="AU344" s="30" t="e">
        <f t="shared" si="602"/>
        <v>#N/A</v>
      </c>
      <c r="AV344" s="30" t="e">
        <f t="shared" si="603"/>
        <v>#N/A</v>
      </c>
      <c r="AW344" s="31" t="e">
        <f>IF(OR(Hypothèses!$B$4=17,Hypothèses!$B$4=18,Hypothèses!$B$4=19,Hypothèses!$B$4=20),
IF($D344="Pressio.",
IF(OR($E344=3,$E344=1,$E344=4),AV344,AU344),
IF($D344="Pénétro.",
IF(OR($E344=3,$E344=1,$E344=4),AV344,AU344))),IF($D344="Pressio.",
IF($E344=3,AV344,AU344),
IF($D344="Pénétro.",
IF($E344=4,AV344,AU344))))</f>
        <v>#N/A</v>
      </c>
      <c r="AX344" s="31">
        <v>0</v>
      </c>
      <c r="AY344" s="102" t="e">
        <f>IF(NDC!$H$10="Oui",(VLOOKUP($B$3,'Coeff EC7'!$T$39:$X$59,2,0)*AW344+VLOOKUP($B$3,'Coeff EC7'!$T$65:$X$85,2,0)*Model0.1T!AX344)/1.5,PI()*AU$12*$Q344*($B344-$B343)*0.15/10+AY343)</f>
        <v>#N/A</v>
      </c>
      <c r="AZ344" s="102" t="e">
        <f>(VLOOKUP($B$3,'Coeff EC7'!$T$39:$X$59,3,0)*AW344+VLOOKUP($B$3,'Coeff EC7'!$T$65:$X$85,3,0)*Model0.1T!AX344)/1.1</f>
        <v>#N/A</v>
      </c>
      <c r="BA344" s="102" t="e">
        <f t="shared" si="573"/>
        <v>#N/A</v>
      </c>
      <c r="BB344" s="102" t="e">
        <f t="shared" si="574"/>
        <v>#N/A</v>
      </c>
      <c r="BC344" s="414" t="e">
        <f>IF(AND(AY344&gt;NDC!$C$63,AZ344&gt;NDC!$C$65,BA344&gt;NDC!$D$73,BB344&gt;NDC!$D$74,$B344&gt;NDC!$H$22-0.1+MIN(3*BC$12,1.5)),0,1)</f>
        <v>#N/A</v>
      </c>
      <c r="BD344" s="86" t="b">
        <f t="shared" si="542"/>
        <v>0</v>
      </c>
      <c r="BE344" s="86">
        <f t="shared" si="575"/>
        <v>0.5</v>
      </c>
      <c r="BF344" s="86">
        <f t="shared" si="543"/>
        <v>0.5</v>
      </c>
      <c r="BG344" s="30" t="e">
        <f t="shared" ca="1" si="576"/>
        <v>#DIV/0!</v>
      </c>
      <c r="BH344" s="85" t="e">
        <f ca="1">IF(AN344&lt;=Hypothèses!$V$7,Hypothèses!$W$7,IF(AN344&lt;=Hypothèses!$V$8,Hypothèses!$W$8,IF(AN344&lt;=Hypothèses!$V$9,Hypothèses!$W$9,IF(AN344&lt;=Hypothèses!$V$10,Hypothèses!$W$10,IF(AN344&lt;=Hypothèses!$V$11,Hypothèses!$W$11,IF(AN344&lt;=Hypothèses!$V$12,Hypothèses!$W$12,IF(AN344&lt;=Hypothèses!$V$13,Hypothèses!$W$13,IF(AN344&lt;=Hypothèses!$V$14,Hypothèses!$W$14,IF(AN344&lt;=Hypothèses!$V$15,Hypothèses!$W$15,IF(AN344&lt;=Hypothèses!$V$16,Hypothèses!$W$16,IF(AN344&lt;=Hypothèses!$V$17,Hypothèses!$W$17,IF(AN344&lt;=Hypothèses!$V$18,Hypothèses!$W$18,""))))))))))))</f>
        <v>#DIV/0!</v>
      </c>
      <c r="BI344" s="87" t="e">
        <f t="shared" ca="1" si="618"/>
        <v>#DIV/0!</v>
      </c>
      <c r="BJ344" s="88" t="e">
        <f ca="1">IF(AN344&lt;=Hypothèses!$V$7,Hypothèses!$X$7,IF(AN344&lt;=Hypothèses!$V$8,Hypothèses!$X$8,IF(AN344&lt;=Hypothèses!$V$9,Hypothèses!$X$9,IF(AN344&lt;=Hypothèses!$V$10,Hypothèses!$X$10,IF(AN344&lt;=Hypothèses!$V$11,Hypothèses!$X$11,IF(AN344&lt;=Hypothèses!$V$12,Hypothèses!$X$12,IF(AN344&lt;=Hypothèses!$V$13,Hypothèses!$X$13,IF(AN344&lt;=Hypothèses!$V$14,Hypothèses!$X$14,IF(AN344&lt;=Hypothèses!$V$15,Hypothèses!$X$15,IF(AN344&lt;=Hypothèses!$V$16,Hypothèses!$X$16,IF(AN344&lt;=Hypothèses!$U$17,Hypothèses!$W$17,IF(AN344&lt;=Hypothèses!$U$18,Hypothèses!$W$18,""))))))))))))</f>
        <v>#DIV/0!</v>
      </c>
      <c r="BK344" s="95" t="e">
        <f t="shared" ca="1" si="577"/>
        <v>#DIV/0!</v>
      </c>
      <c r="BL344" s="101">
        <f t="shared" si="625"/>
        <v>0</v>
      </c>
      <c r="BM344" s="91">
        <f t="shared" si="544"/>
        <v>0</v>
      </c>
      <c r="BN344" s="30" t="e">
        <f t="shared" si="604"/>
        <v>#N/A</v>
      </c>
      <c r="BO344" s="30" t="e">
        <f t="shared" si="605"/>
        <v>#N/A</v>
      </c>
      <c r="BP344" s="31" t="e">
        <f>IF(OR(Hypothèses!$B$4=17,Hypothèses!$B$4=18,Hypothèses!$B$4=19,Hypothèses!$B$4=20),
IF($D344="Pressio.",
IF(OR($E344=3,$E344=1,$E344=4),BO344,BN344),
IF($D344="Pénétro.",
IF(OR($E344=3,$E344=1,$E344=4),BO344,BN344))),IF($D344="Pressio.",
IF($E344=3,BO344,BN344),
IF($D344="Pénétro.",
IF($E344=4,BO344,BN344))))</f>
        <v>#N/A</v>
      </c>
      <c r="BQ344" s="31">
        <v>0</v>
      </c>
      <c r="BR344" s="102" t="e">
        <f>IF(NDC!$H$10="Oui",(VLOOKUP($B$3,'Coeff EC7'!$T$39:$X$59,2,0)*BP344+VLOOKUP($B$3,'Coeff EC7'!$T$65:$X$85,2,0)*Model0.1T!BQ344)/1.5,PI()*BN$12*$Q344*($B344-$B343)*0.15/10+BR343)</f>
        <v>#N/A</v>
      </c>
      <c r="BS344" s="102" t="e">
        <f>(VLOOKUP($B$3,'Coeff EC7'!$T$39:$X$59,3,0)*BP344+VLOOKUP($B$3,'Coeff EC7'!$T$65:$X$85,3,0)*Model0.1T!BQ344)/1.1</f>
        <v>#N/A</v>
      </c>
      <c r="BT344" s="102" t="e">
        <f t="shared" si="578"/>
        <v>#N/A</v>
      </c>
      <c r="BU344" s="102" t="e">
        <f t="shared" si="579"/>
        <v>#N/A</v>
      </c>
      <c r="BV344" s="414" t="e">
        <f>IF(AND(BR344&gt;NDC!$C$63,BS344&gt;NDC!$C$65,BT344&gt;NDC!$D$73,BU344&gt;NDC!$D$74,$B344&gt;NDC!$H$22-0.1+MIN(3*BV$12,1.5)),0,1)</f>
        <v>#N/A</v>
      </c>
      <c r="BW344" s="86" t="b">
        <f t="shared" si="545"/>
        <v>0</v>
      </c>
      <c r="BX344" s="86">
        <f t="shared" si="546"/>
        <v>0.5</v>
      </c>
      <c r="BY344" s="86">
        <f t="shared" si="547"/>
        <v>0.5</v>
      </c>
      <c r="BZ344" s="30" t="e">
        <f t="shared" ca="1" si="580"/>
        <v>#DIV/0!</v>
      </c>
      <c r="CA344" s="85" t="e">
        <f ca="1">IF(BG344&lt;=Hypothèses!$V$7,Hypothèses!$W$7,IF(BG344&lt;=Hypothèses!$V$8,Hypothèses!$W$8,IF(BG344&lt;=Hypothèses!$V$9,Hypothèses!$W$9,IF(BG344&lt;=Hypothèses!$V$10,Hypothèses!$W$10,IF(BG344&lt;=Hypothèses!$V$11,Hypothèses!$W$11,IF(BG344&lt;=Hypothèses!$V$12,Hypothèses!$W$12,IF(BG344&lt;=Hypothèses!$V$13,Hypothèses!$W$13,IF(BG344&lt;=Hypothèses!$V$14,Hypothèses!$W$14,IF(BG344&lt;=Hypothèses!$V$15,Hypothèses!$W$15,IF(BG344&lt;=Hypothèses!$V$16,Hypothèses!$W$16,IF(BG344&lt;=Hypothèses!$V$17,Hypothèses!$W$17,IF(BG344&lt;=Hypothèses!$V$18,Hypothèses!$W$18,""))))))))))))</f>
        <v>#DIV/0!</v>
      </c>
      <c r="CB344" s="87" t="e">
        <f t="shared" ca="1" si="619"/>
        <v>#DIV/0!</v>
      </c>
      <c r="CC344" s="88" t="e">
        <f ca="1">IF(BG344&lt;=Hypothèses!$V$7,Hypothèses!$X$7,IF(BG344&lt;=Hypothèses!$V$8,Hypothèses!$X$8,IF(BG344&lt;=Hypothèses!$V$9,Hypothèses!$X$9,IF(BG344&lt;=Hypothèses!$V$10,Hypothèses!$X$10,IF(BG344&lt;=Hypothèses!$V$11,Hypothèses!$X$11,IF(BG344&lt;=Hypothèses!$V$12,Hypothèses!$X$12,IF(BG344&lt;=Hypothèses!$V$13,Hypothèses!$X$13,IF(BG344&lt;=Hypothèses!$V$14,Hypothèses!$X$14,IF(BG344&lt;=Hypothèses!$V$15,Hypothèses!$X$15,IF(BG344&lt;=Hypothèses!$V$16,Hypothèses!$X$16,IF(BG344&lt;=Hypothèses!$U$17,Hypothèses!$W$17,IF(BG344&lt;=Hypothèses!$U$18,Hypothèses!$W$18,""))))))))))))</f>
        <v>#DIV/0!</v>
      </c>
      <c r="CD344" s="95" t="e">
        <f t="shared" ca="1" si="581"/>
        <v>#DIV/0!</v>
      </c>
      <c r="CE344" s="101">
        <f t="shared" si="626"/>
        <v>0</v>
      </c>
      <c r="CF344" s="91">
        <f t="shared" si="548"/>
        <v>0</v>
      </c>
      <c r="CG344" s="30" t="e">
        <f t="shared" si="606"/>
        <v>#N/A</v>
      </c>
      <c r="CH344" s="30" t="e">
        <f t="shared" si="607"/>
        <v>#N/A</v>
      </c>
      <c r="CI344" s="31" t="e">
        <f>IF(OR(Hypothèses!$B$4=17,Hypothèses!$B$4=18,Hypothèses!$B$4=19,Hypothèses!$B$4=20),
IF($D344="Pressio.",
IF(OR($E344=3,$E344=1,$E344=4),CH344,CG344),
IF($D344="Pénétro.",
IF(OR($E344=3,$E344=1,$E344=4),CH344,CG344))),IF($D344="Pressio.",
IF($E344=3,CH344,CG344),
IF($D344="Pénétro.",
IF($E344=4,CH344,CG344))))</f>
        <v>#N/A</v>
      </c>
      <c r="CJ344" s="31">
        <v>0</v>
      </c>
      <c r="CK344" s="102" t="e">
        <f>IF(NDC!$H$10="Oui",(VLOOKUP($B$3,'Coeff EC7'!$T$39:$X$59,2,0)*CI344+VLOOKUP($B$3,'Coeff EC7'!$T$65:$X$85,2,0)*Model0.1T!CJ344)/1.5,PI()*CG$12*$Q344*($B344-$B343)*0.15/10+CK343)</f>
        <v>#N/A</v>
      </c>
      <c r="CL344" s="102" t="e">
        <f>(VLOOKUP($B$3,'Coeff EC7'!$T$39:$X$59,3,0)*CI344+VLOOKUP($B$3,'Coeff EC7'!$T$65:$X$85,3,0)*Model0.1T!CJ344)/1.1</f>
        <v>#N/A</v>
      </c>
      <c r="CM344" s="102" t="e">
        <f t="shared" si="582"/>
        <v>#N/A</v>
      </c>
      <c r="CN344" s="102" t="e">
        <f t="shared" si="583"/>
        <v>#N/A</v>
      </c>
      <c r="CO344" s="414" t="e">
        <f>IF(AND(CK344&gt;NDC!$C$63,CL344&gt;NDC!$C$65,CM344&gt;NDC!$D$73,CN344&gt;NDC!$D$74,$B344&gt;NDC!$H$22-0.1+MIN(3*CO$12,1.5)),0,1)</f>
        <v>#N/A</v>
      </c>
      <c r="CP344" s="86" t="b">
        <f t="shared" si="549"/>
        <v>0</v>
      </c>
      <c r="CQ344" s="86">
        <f t="shared" si="550"/>
        <v>0.5</v>
      </c>
      <c r="CR344" s="86">
        <f t="shared" si="551"/>
        <v>0.5</v>
      </c>
      <c r="CS344" s="30" t="e">
        <f t="shared" ca="1" si="584"/>
        <v>#DIV/0!</v>
      </c>
      <c r="CT344" s="85" t="e">
        <f ca="1">IF(BZ344&lt;=Hypothèses!$V$7,Hypothèses!$W$7,IF(BZ344&lt;=Hypothèses!$V$8,Hypothèses!$W$8,IF(BZ344&lt;=Hypothèses!$V$9,Hypothèses!$W$9,IF(BZ344&lt;=Hypothèses!$V$10,Hypothèses!$W$10,IF(BZ344&lt;=Hypothèses!$V$11,Hypothèses!$W$11,IF(BZ344&lt;=Hypothèses!$V$12,Hypothèses!$W$12,IF(BZ344&lt;=Hypothèses!$V$13,Hypothèses!$W$13,IF(BZ344&lt;=Hypothèses!$V$14,Hypothèses!$W$14,IF(BZ344&lt;=Hypothèses!$V$15,Hypothèses!$W$15,IF(BZ344&lt;=Hypothèses!$V$16,Hypothèses!$W$16,IF(BZ344&lt;=Hypothèses!$V$17,Hypothèses!$W$17,IF(BZ344&lt;=Hypothèses!$V$18,Hypothèses!$W$18,""))))))))))))</f>
        <v>#DIV/0!</v>
      </c>
      <c r="CU344" s="87" t="e">
        <f t="shared" ca="1" si="620"/>
        <v>#DIV/0!</v>
      </c>
      <c r="CV344" s="88" t="e">
        <f ca="1">IF(BZ344&lt;=Hypothèses!$V$7,Hypothèses!$X$7,IF(BZ344&lt;=Hypothèses!$V$8,Hypothèses!$X$8,IF(BZ344&lt;=Hypothèses!$V$9,Hypothèses!$X$9,IF(BZ344&lt;=Hypothèses!$V$10,Hypothèses!$X$10,IF(BZ344&lt;=Hypothèses!$V$11,Hypothèses!$X$11,IF(BZ344&lt;=Hypothèses!$V$12,Hypothèses!$X$12,IF(BZ344&lt;=Hypothèses!$V$13,Hypothèses!$X$13,IF(BZ344&lt;=Hypothèses!$V$14,Hypothèses!$X$14,IF(BZ344&lt;=Hypothèses!$V$15,Hypothèses!$X$15,IF(BZ344&lt;=Hypothèses!$V$16,Hypothèses!$X$16,IF(BZ344&lt;=Hypothèses!$U$17,Hypothèses!$W$17,IF(BZ344&lt;=Hypothèses!$U$18,Hypothèses!$W$18,""))))))))))))</f>
        <v>#DIV/0!</v>
      </c>
      <c r="CW344" s="95" t="e">
        <f t="shared" ca="1" si="585"/>
        <v>#DIV/0!</v>
      </c>
      <c r="CX344" s="101">
        <f t="shared" si="627"/>
        <v>0</v>
      </c>
      <c r="CY344" s="91">
        <f t="shared" si="552"/>
        <v>0</v>
      </c>
      <c r="CZ344" s="30" t="e">
        <f t="shared" si="608"/>
        <v>#N/A</v>
      </c>
      <c r="DA344" s="30" t="e">
        <f t="shared" si="609"/>
        <v>#N/A</v>
      </c>
      <c r="DB344" s="31" t="e">
        <f>IF(OR(Hypothèses!$B$4=17,Hypothèses!$B$4=18,Hypothèses!$B$4=19,Hypothèses!$B$4=20),
IF($D344="Pressio.",
IF(OR($E344=3,$E344=1,$E344=4),DA344,CZ344),
IF($D344="Pénétro.",
IF(OR($E344=3,$E344=1,$E344=4),DA344,CZ344))),IF($D344="Pressio.",
IF($E344=3,DA344,CZ344),
IF($D344="Pénétro.",
IF($E344=4,DA344,CZ344))))</f>
        <v>#N/A</v>
      </c>
      <c r="DC344" s="31">
        <v>0</v>
      </c>
      <c r="DD344" s="102" t="e">
        <f>IF(NDC!$H$10="Oui",(VLOOKUP($B$3,'Coeff EC7'!$T$39:$X$59,2,0)*DB344+VLOOKUP($B$3,'Coeff EC7'!$T$65:$X$85,2,0)*Model0.1T!DC344)/1.5,PI()*CZ$12*$Q344*($B344-$B343)*0.15/10+DD343)</f>
        <v>#N/A</v>
      </c>
      <c r="DE344" s="102" t="e">
        <f>(VLOOKUP($B$3,'Coeff EC7'!$T$39:$X$59,3,0)*DB344+VLOOKUP($B$3,'Coeff EC7'!$T$65:$X$85,3,0)*Model0.1T!DC344)/1.1</f>
        <v>#N/A</v>
      </c>
      <c r="DF344" s="102" t="e">
        <f t="shared" si="586"/>
        <v>#N/A</v>
      </c>
      <c r="DG344" s="102" t="e">
        <f t="shared" si="587"/>
        <v>#N/A</v>
      </c>
      <c r="DH344" s="414" t="e">
        <f>IF(AND(DD344&gt;NDC!$C$63,DE344&gt;NDC!$C$65,DF344&gt;NDC!$D$73,DG344&gt;NDC!$D$74,$B344&gt;NDC!$H$22-0.1+MIN(3*DH$12,1.5)),0,1)</f>
        <v>#N/A</v>
      </c>
      <c r="DI344" s="86" t="b">
        <f t="shared" si="553"/>
        <v>0</v>
      </c>
      <c r="DJ344" s="86">
        <f t="shared" si="554"/>
        <v>0.5</v>
      </c>
      <c r="DK344" s="86">
        <f t="shared" si="555"/>
        <v>0.5</v>
      </c>
      <c r="DL344" s="30" t="e">
        <f t="shared" ca="1" si="588"/>
        <v>#DIV/0!</v>
      </c>
      <c r="DM344" s="85" t="e">
        <f ca="1">IF(CS344&lt;=Hypothèses!$V$7,Hypothèses!$W$7,IF(CS344&lt;=Hypothèses!$V$8,Hypothèses!$W$8,IF(CS344&lt;=Hypothèses!$V$9,Hypothèses!$W$9,IF(CS344&lt;=Hypothèses!$V$10,Hypothèses!$W$10,IF(CS344&lt;=Hypothèses!$V$11,Hypothèses!$W$11,IF(CS344&lt;=Hypothèses!$V$12,Hypothèses!$W$12,IF(CS344&lt;=Hypothèses!$V$13,Hypothèses!$W$13,IF(CS344&lt;=Hypothèses!$V$14,Hypothèses!$W$14,IF(CS344&lt;=Hypothèses!$V$15,Hypothèses!$W$15,IF(CS344&lt;=Hypothèses!$V$16,Hypothèses!$W$16,IF(CS344&lt;=Hypothèses!$V$17,Hypothèses!$W$17,IF(CS344&lt;=Hypothèses!$V$18,Hypothèses!$W$18,""))))))))))))</f>
        <v>#DIV/0!</v>
      </c>
      <c r="DN344" s="87" t="e">
        <f t="shared" ca="1" si="621"/>
        <v>#DIV/0!</v>
      </c>
      <c r="DO344" s="88" t="e">
        <f ca="1">IF(CS344&lt;=Hypothèses!$V$7,Hypothèses!$X$7,IF(CS344&lt;=Hypothèses!$V$8,Hypothèses!$X$8,IF(CS344&lt;=Hypothèses!$V$9,Hypothèses!$X$9,IF(CS344&lt;=Hypothèses!$V$10,Hypothèses!$X$10,IF(CS344&lt;=Hypothèses!$V$11,Hypothèses!$X$11,IF(CS344&lt;=Hypothèses!$V$12,Hypothèses!$X$12,IF(CS344&lt;=Hypothèses!$V$13,Hypothèses!$X$13,IF(CS344&lt;=Hypothèses!$V$14,Hypothèses!$X$14,IF(CS344&lt;=Hypothèses!$V$15,Hypothèses!$X$15,IF(CS344&lt;=Hypothèses!$V$16,Hypothèses!$X$16,IF(CS344&lt;=Hypothèses!$U$17,Hypothèses!$W$17,IF(CS344&lt;=Hypothèses!$U$18,Hypothèses!$W$18,""))))))))))))</f>
        <v>#DIV/0!</v>
      </c>
      <c r="DP344" s="95" t="e">
        <f t="shared" ca="1" si="589"/>
        <v>#DIV/0!</v>
      </c>
      <c r="DQ344" s="101">
        <f t="shared" si="628"/>
        <v>0</v>
      </c>
      <c r="DR344" s="91">
        <f t="shared" si="556"/>
        <v>0</v>
      </c>
      <c r="DS344" s="30" t="e">
        <f t="shared" si="610"/>
        <v>#N/A</v>
      </c>
      <c r="DT344" s="30" t="e">
        <f t="shared" si="611"/>
        <v>#N/A</v>
      </c>
      <c r="DU344" s="31" t="e">
        <f>IF(OR(Hypothèses!$B$4=17,Hypothèses!$B$4=18,Hypothèses!$B$4=19,Hypothèses!$B$4=20),
IF($D344="Pressio.",
IF(OR($E344=3,$E344=1,$E344=4),DT344,DS344),
IF($D344="Pénétro.",
IF(OR($E344=3,$E344=1,$E344=4),DT344,DS344))),IF($D344="Pressio.",
IF($E344=3,DT344,DS344),
IF($D344="Pénétro.",
IF($E344=4,DT344,DS344))))</f>
        <v>#N/A</v>
      </c>
      <c r="DV344" s="31">
        <v>0</v>
      </c>
      <c r="DW344" s="102" t="e">
        <f>IF(NDC!$H$10="Oui",(VLOOKUP($B$3,'Coeff EC7'!$T$39:$X$59,2,0)*DU344+VLOOKUP($B$3,'Coeff EC7'!$T$65:$X$85,2,0)*Model0.1T!DV344)/1.5,PI()*DS$12*$Q344*($B344-$B343)*0.15/10+DW343)</f>
        <v>#N/A</v>
      </c>
      <c r="DX344" s="102" t="e">
        <f>(VLOOKUP($B$3,'Coeff EC7'!$T$39:$X$59,3,0)*DU344+VLOOKUP($B$3,'Coeff EC7'!$T$65:$X$85,3,0)*Model0.1T!DV344)/1.1</f>
        <v>#N/A</v>
      </c>
      <c r="DY344" s="102" t="e">
        <f t="shared" si="590"/>
        <v>#N/A</v>
      </c>
      <c r="DZ344" s="102" t="e">
        <f t="shared" si="591"/>
        <v>#N/A</v>
      </c>
      <c r="EA344" s="414" t="e">
        <f>IF(AND(DW344&gt;NDC!$C$63,DX344&gt;NDC!$C$65,DY344&gt;NDC!$D$73,DZ344&gt;NDC!$D$74,$B344&gt;NDC!$H$22-0.1+MIN(3*EA$12,1.5)),0,1)</f>
        <v>#N/A</v>
      </c>
      <c r="EB344" s="86" t="b">
        <f t="shared" si="557"/>
        <v>0</v>
      </c>
      <c r="EC344" s="418">
        <f t="shared" si="558"/>
        <v>0.51</v>
      </c>
      <c r="ED344" s="86">
        <f t="shared" si="559"/>
        <v>0.51</v>
      </c>
      <c r="EE344" s="30" t="e">
        <f t="shared" ca="1" si="592"/>
        <v>#DIV/0!</v>
      </c>
      <c r="EF344" s="85" t="e">
        <f ca="1">IF(DL344&lt;=Hypothèses!$V$7,Hypothèses!$W$7,IF(DL344&lt;=Hypothèses!$V$8,Hypothèses!$W$8,IF(DL344&lt;=Hypothèses!$V$9,Hypothèses!$W$9,IF(DL344&lt;=Hypothèses!$V$10,Hypothèses!$W$10,IF(DL344&lt;=Hypothèses!$V$11,Hypothèses!$W$11,IF(DL344&lt;=Hypothèses!$V$12,Hypothèses!$W$12,IF(DL344&lt;=Hypothèses!$V$13,Hypothèses!$W$13,IF(DL344&lt;=Hypothèses!$V$14,Hypothèses!$W$14,IF(DL344&lt;=Hypothèses!$V$15,Hypothèses!$W$15,IF(DL344&lt;=Hypothèses!$V$16,Hypothèses!$W$16,IF(DL344&lt;=Hypothèses!$V$17,Hypothèses!$W$17,IF(DL344&lt;=Hypothèses!$V$18,Hypothèses!$W$18,""))))))))))))</f>
        <v>#DIV/0!</v>
      </c>
      <c r="EG344" s="87" t="e">
        <f t="shared" ca="1" si="622"/>
        <v>#DIV/0!</v>
      </c>
      <c r="EH344" s="88" t="e">
        <f ca="1">IF(DL344&lt;=Hypothèses!$V$7,Hypothèses!$X$7,IF(DL344&lt;=Hypothèses!$V$8,Hypothèses!$X$8,IF(DL344&lt;=Hypothèses!$V$9,Hypothèses!$X$9,IF(DL344&lt;=Hypothèses!$V$10,Hypothèses!$X$10,IF(DL344&lt;=Hypothèses!$V$11,Hypothèses!$X$11,IF(DL344&lt;=Hypothèses!$V$12,Hypothèses!$X$12,IF(DL344&lt;=Hypothèses!$V$13,Hypothèses!$X$13,IF(DL344&lt;=Hypothèses!$V$14,Hypothèses!$X$14,IF(DL344&lt;=Hypothèses!$V$15,Hypothèses!$X$15,IF(DL344&lt;=Hypothèses!$V$16,Hypothèses!$X$16,IF(DL344&lt;=Hypothèses!$U$17,Hypothèses!$W$17,IF(DL344&lt;=Hypothèses!$U$18,Hypothèses!$W$18,""))))))))))))</f>
        <v>#DIV/0!</v>
      </c>
      <c r="EI344" s="95" t="e">
        <f t="shared" ca="1" si="593"/>
        <v>#DIV/0!</v>
      </c>
      <c r="EJ344" s="101">
        <f t="shared" si="629"/>
        <v>0</v>
      </c>
      <c r="EK344" s="91">
        <f t="shared" si="560"/>
        <v>0</v>
      </c>
      <c r="EL344" s="30" t="e">
        <f t="shared" si="612"/>
        <v>#N/A</v>
      </c>
      <c r="EM344" s="30" t="e">
        <f t="shared" si="613"/>
        <v>#N/A</v>
      </c>
      <c r="EN344" s="31" t="e">
        <f>IF(OR(Hypothèses!$B$4=17,Hypothèses!$B$4=18,Hypothèses!$B$4=19,Hypothèses!$B$4=20),
IF($D344="Pressio.",
IF(OR($E344=3,$E344=1,$E344=4),EM344,EL344),
IF($D344="Pénétro.",
IF(OR($E344=3,$E344=1,$E344=4),EM344,EL344))),IF($D344="Pressio.",
IF($E344=3,EM344,EL344),
IF($D344="Pénétro.",
IF($E344=4,EM344,EL344))))</f>
        <v>#N/A</v>
      </c>
      <c r="EO344" s="31">
        <v>0</v>
      </c>
      <c r="EP344" s="102" t="e">
        <f>IF(NDC!$H$10="Oui",(VLOOKUP($B$3,'Coeff EC7'!$T$39:$X$59,2,0)*EN344+VLOOKUP($B$3,'Coeff EC7'!$T$65:$X$85,2,0)*Model0.1T!EO344)/1.5,PI()*EL$12*$Q344*($B344-$B343)*0.15/10+EP343)</f>
        <v>#N/A</v>
      </c>
      <c r="EQ344" s="102" t="e">
        <f>(VLOOKUP($B$3,'Coeff EC7'!$T$39:$X$59,3,0)*EN344+VLOOKUP($B$3,'Coeff EC7'!$T$65:$X$85,3,0)*Model0.1T!EO344)/1.1</f>
        <v>#N/A</v>
      </c>
      <c r="ER344" s="102" t="e">
        <f t="shared" si="594"/>
        <v>#N/A</v>
      </c>
      <c r="ES344" s="102" t="e">
        <f t="shared" si="595"/>
        <v>#N/A</v>
      </c>
      <c r="ET344" s="414" t="e">
        <f>IF(AND(EP344&gt;NDC!$C$63,EQ344&gt;NDC!$C$65,ER344&gt;NDC!$D$73,ES344&gt;NDC!$D$74,$B344&gt;NDC!$H$22-0.1+MIN(3*ET$12,1.5)),0,1)</f>
        <v>#N/A</v>
      </c>
      <c r="EU344" s="86" t="b">
        <f t="shared" si="561"/>
        <v>0</v>
      </c>
      <c r="EV344" s="86">
        <f t="shared" si="562"/>
        <v>0.61</v>
      </c>
      <c r="EW344" s="86">
        <f t="shared" si="563"/>
        <v>0.61</v>
      </c>
      <c r="EX344" s="30" t="e">
        <f t="shared" ca="1" si="596"/>
        <v>#DIV/0!</v>
      </c>
      <c r="EY344" s="85" t="e">
        <f ca="1">IF(EE344&lt;=Hypothèses!$V$7,Hypothèses!$W$7,IF(EE344&lt;=Hypothèses!$V$8,Hypothèses!$W$8,IF(EE344&lt;=Hypothèses!$V$9,Hypothèses!$W$9,IF(EE344&lt;=Hypothèses!$V$10,Hypothèses!$W$10,IF(EE344&lt;=Hypothèses!$V$11,Hypothèses!$W$11,IF(EE344&lt;=Hypothèses!$V$12,Hypothèses!$W$12,IF(EE344&lt;=Hypothèses!$V$13,Hypothèses!$W$13,IF(EE344&lt;=Hypothèses!$V$14,Hypothèses!$W$14,IF(EE344&lt;=Hypothèses!$V$15,Hypothèses!$W$15,IF(EE344&lt;=Hypothèses!$V$16,Hypothèses!$W$16,IF(EE344&lt;=Hypothèses!$V$17,Hypothèses!$W$17,IF(EE344&lt;=Hypothèses!$V$18,Hypothèses!$W$18,""))))))))))))</f>
        <v>#DIV/0!</v>
      </c>
      <c r="EZ344" s="87" t="e">
        <f t="shared" ca="1" si="623"/>
        <v>#DIV/0!</v>
      </c>
      <c r="FA344" s="88" t="e">
        <f ca="1">IF(EE344&lt;=Hypothèses!$V$7,Hypothèses!$X$7,IF(EE344&lt;=Hypothèses!$V$8,Hypothèses!$X$8,IF(EE344&lt;=Hypothèses!$V$9,Hypothèses!$X$9,IF(EE344&lt;=Hypothèses!$V$10,Hypothèses!$X$10,IF(EE344&lt;=Hypothèses!$V$11,Hypothèses!$X$11,IF(EE344&lt;=Hypothèses!$V$12,Hypothèses!$X$12,IF(EE344&lt;=Hypothèses!$V$13,Hypothèses!$X$13,IF(EE344&lt;=Hypothèses!$V$14,Hypothèses!$X$14,IF(EE344&lt;=Hypothèses!$V$15,Hypothèses!$X$15,IF(EE344&lt;=Hypothèses!$V$16,Hypothèses!$X$16,IF(EE344&lt;=Hypothèses!$U$17,Hypothèses!$W$17,IF(EE344&lt;=Hypothèses!$U$18,Hypothèses!$W$18,""))))))))))))</f>
        <v>#DIV/0!</v>
      </c>
      <c r="FB344" s="95" t="e">
        <f t="shared" ca="1" si="597"/>
        <v>#DIV/0!</v>
      </c>
      <c r="FC344" s="101">
        <f t="shared" si="630"/>
        <v>0</v>
      </c>
      <c r="FD344" s="91">
        <f t="shared" si="564"/>
        <v>0</v>
      </c>
      <c r="FE344" s="30" t="e">
        <f t="shared" si="614"/>
        <v>#N/A</v>
      </c>
      <c r="FF344" s="30" t="e">
        <f t="shared" si="615"/>
        <v>#N/A</v>
      </c>
      <c r="FG344" s="31" t="e">
        <f>IF(OR(Hypothèses!$B$4=17,Hypothèses!$B$4=18,Hypothèses!$B$4=19,Hypothèses!$B$4=20),
IF($D344="Pressio.",
IF(OR($E344=3,$E344=1,$E344=4),FF344,FE344),
IF($D344="Pénétro.",
IF(OR($E344=3,$E344=1,$E344=4),FF344,FE344))),IF($D344="Pressio.",
IF($E344=3,FF344,FE344),
IF($D344="Pénétro.",
IF($E344=4,FF344,FE344))))</f>
        <v>#N/A</v>
      </c>
      <c r="FH344" s="31">
        <v>0</v>
      </c>
      <c r="FI344" s="102" t="e">
        <f>IF(NDC!$H$10="Oui",(VLOOKUP($B$3,'Coeff EC7'!$T$39:$X$59,2,0)*FG344+VLOOKUP($B$3,'Coeff EC7'!$T$65:$X$85,2,0)*Model0.1T!FH344)/1.5,PI()*FE$12*$Q344*($B344-$B343)*0.15/10+FI343)</f>
        <v>#N/A</v>
      </c>
      <c r="FJ344" s="102" t="e">
        <f>(VLOOKUP($B$3,'Coeff EC7'!$T$39:$X$59,3,0)*FG344+VLOOKUP($B$3,'Coeff EC7'!$T$65:$X$85,3,0)*Model0.1T!FH344)/1.1</f>
        <v>#N/A</v>
      </c>
      <c r="FK344" s="102" t="e">
        <f t="shared" si="598"/>
        <v>#N/A</v>
      </c>
      <c r="FL344" s="102" t="e">
        <f t="shared" si="599"/>
        <v>#N/A</v>
      </c>
      <c r="FM344" s="414" t="e">
        <f>IF(AND(FI344&gt;NDC!$C$63,FJ344&gt;NDC!$C$65,FK344&gt;NDC!$D$73,FL344&gt;NDC!$D$74,$B344&gt;NDC!$H$22-0.1+MIN(3*FM$12,1.5)),0,1)</f>
        <v>#N/A</v>
      </c>
    </row>
    <row r="345" spans="1:169">
      <c r="A345" s="96">
        <f t="shared" si="565"/>
        <v>66.800000000001887</v>
      </c>
      <c r="B345" s="97">
        <v>33.200000000000003</v>
      </c>
      <c r="C345" s="81">
        <f>IF(B345&lt;=Hypothèses!$C$7,Hypothèses!$A$7,IF(B345&lt;=Hypothèses!$C$8,Hypothèses!$A$8,IF(B345&lt;=Hypothèses!$C$9,Hypothèses!$A$9,IF(B345&lt;=Hypothèses!$C$10,Hypothèses!$A$10,IF(B345&lt;=Hypothèses!$C$11,Hypothèses!$A$11,IF(B345&lt;=Hypothèses!$C$12,Hypothèses!$A$12,IF(B345&lt;=Hypothèses!$C$13,Hypothèses!$A$13,IF(B345&lt;=Hypothèses!$C$14,Hypothèses!$A$14,IF(B345&lt;=Hypothèses!$C$15,Hypothèses!$A$15,IF(B345&lt;=Hypothèses!$C$16,Hypothèses!$A$16,IF(B345&lt;=Hypothèses!$C$17,Hypothèses!$A$17,IF(B345&lt;=Hypothèses!$C$18,Hypothèses!$A$18,C344))))))))))))</f>
        <v>11</v>
      </c>
      <c r="D345" s="82" t="str">
        <f>IF(B345&lt;=Hypothèses!$C$7,Hypothèses!$R$7,IF(B345&lt;=Hypothèses!$C$8,Hypothèses!$R$8,IF(B345&lt;=Hypothèses!$C$9,Hypothèses!$R$9,IF(B345&lt;=Hypothèses!$C$10,Hypothèses!$R$10,IF(B345&lt;=Hypothèses!$C$11,Hypothèses!$R$11,IF(B345&lt;=Hypothèses!$C$12,Hypothèses!$R$12,IF(B345&lt;=Hypothèses!$C$13,Hypothèses!$R$13,IF(B345&lt;=Hypothèses!$C$14,Hypothèses!$R$14,IF(B345&lt;=Hypothèses!$C$15,Hypothèses!$R$15,IF(B345&lt;=Hypothèses!$C$16,Hypothèses!$R$16,IF(B345&lt;=Hypothèses!$C$17,Hypothèses!$R$17,IF(B345&lt;=Hypothèses!$C$18,Hypothèses!$R$18,D344))))))))))))</f>
        <v>Pressio.</v>
      </c>
      <c r="E345" s="82" t="e">
        <f>IF(B345&lt;=Hypothèses!$C$7,Hypothèses!$G$7,IF(B345&lt;=Hypothèses!$C$8,Hypothèses!$G$8,IF(B345&lt;=Hypothèses!$C$9,Hypothèses!$G$9,IF(B345&lt;=Hypothèses!$C$10,Hypothèses!$G$10,IF(B345&lt;=Hypothèses!$C$11,Hypothèses!$G$11,IF(B345&lt;=Hypothèses!$C$12,Hypothèses!$G$12,IF(B345&lt;=Hypothèses!$C$13,Hypothèses!$G$13,IF(B345&lt;=Hypothèses!$C$14,Hypothèses!$G$14,IF(B345&lt;=Hypothèses!$C$15,Hypothèses!$G$15,IF(B345&lt;=Hypothèses!$C$16,Hypothèses!$G$16,IF(B345&lt;=Hypothèses!$C$17,Hypothèses!$G$17,IF(B345&lt;=Hypothèses!$C$18,Hypothèses!$G$18,E344))))))))))))</f>
        <v>#N/A</v>
      </c>
      <c r="F345" s="82" t="str">
        <f>IF(B345&lt;=Hypothèses!$C$7,Hypothèses!$F$7,IF(B345&lt;=Hypothèses!$C$8,Hypothèses!$F$8,IF(B345&lt;=Hypothèses!$C$9,Hypothèses!$F$9,IF(B345&lt;=Hypothèses!$C$10,Hypothèses!$F$10,IF(B345&lt;=Hypothèses!$C$11,Hypothèses!$F$11,IF(B345&lt;=Hypothèses!$C$12,Hypothèses!$F$12,IF(B345&lt;=Hypothèses!$C$13,Hypothèses!$F$13,IF(B345&lt;=Hypothèses!$C$14,Hypothèses!$F$14,IF(B345&lt;=Hypothèses!$C$15,Hypothèses!$F$15,IF(B345&lt;=Hypothèses!$C$16,Hypothèses!$F$16,IF(B345&lt;=Hypothèses!$C$17,Hypothèses!$F$17,IF(B345&lt;=Hypothèses!$C$18,Hypothèses!$F$18,F344))))))))))))</f>
        <v/>
      </c>
      <c r="G345" s="91">
        <f t="array" ref="G345">INDEX('Coeff EC7'!$U$7:$X$27,
MATCH(Model0.1T!$B$3,'Coeff EC7'!$T$7:$T$27,0),
MATCH(Model0.1T!$D345&amp;Model0.1T!$B$4,
'Coeff EC7'!$U$6:$X$6&amp;
'Coeff EC7'!$U$5:$X$5,0))</f>
        <v>1.4</v>
      </c>
      <c r="H345" s="91">
        <f t="array" ref="H345">INDEX('Coeff EC7'!$Y$7:$AB$27,
MATCH(Model0.1T!$B$3,'Coeff EC7'!$T$7:$T$27,0),
MATCH(Model0.1T!$D345&amp;Model0.1T!$B$4,
'Coeff EC7'!$Y$6:$AB$6&amp;
'Coeff EC7'!$Y$5:$AB$5,0))</f>
        <v>1.7</v>
      </c>
      <c r="I345" s="83">
        <v>0</v>
      </c>
      <c r="J345" s="91" t="e">
        <f t="array" ref="J345">INDEX('Coeff EC7'!$D$33:$Q$33,1,MATCH(D345&amp;E345,'Coeff EC7'!$D$31:$Q$31&amp;'Coeff EC7'!$D$32:$Q$32,0))</f>
        <v>#N/A</v>
      </c>
      <c r="K345" s="91" t="e">
        <f t="array" ref="K345">INDEX('Coeff EC7'!$D$34:$Q$34,1,MATCH(D345&amp;E345,'Coeff EC7'!$D$31:$Q$31&amp;'Coeff EC7'!$D$32:$Q$32,0))</f>
        <v>#N/A</v>
      </c>
      <c r="L345" s="91" t="e">
        <f t="array" ref="L345">INDEX('Coeff EC7'!$D$35:$Q$35,1,MATCH(D345&amp;E345,'Coeff EC7'!$D$31:$Q$31&amp;'Coeff EC7'!$D$32:$Q$32,0))</f>
        <v>#N/A</v>
      </c>
      <c r="M345" s="98" t="e">
        <f t="shared" si="531"/>
        <v>#N/A</v>
      </c>
      <c r="N345" s="99" t="e">
        <f t="array" ref="N345">INDEX('Coeff EC7'!$D$7:$Q$27,MATCH($B$3,'Coeff EC7'!$C$7:$C$27,0),MATCH(D345&amp;E345,'Coeff EC7'!$D$5:$Q$5&amp;'Coeff EC7'!$D$6:$Q$6,0))</f>
        <v>#N/A</v>
      </c>
      <c r="O345" s="99" t="e">
        <f t="array" ref="O345">INDEX('Coeff EC7'!$D$41:$Q$61,MATCH($B$3,'Coeff EC7'!$C$41:$C$61,0),MATCH(D345&amp;E345,'Coeff EC7'!$D$39:$Q$39&amp;'Coeff EC7'!$D$40:$Q$40,0))</f>
        <v>#N/A</v>
      </c>
      <c r="P345" s="30" t="e">
        <f t="shared" si="566"/>
        <v>#N/A</v>
      </c>
      <c r="Q345" s="100" t="e">
        <f t="shared" si="533"/>
        <v>#N/A</v>
      </c>
      <c r="R345" s="86" t="b">
        <f t="shared" si="534"/>
        <v>0</v>
      </c>
      <c r="S345" s="86">
        <f t="shared" si="532"/>
        <v>0.5</v>
      </c>
      <c r="T345" s="86">
        <f t="shared" si="535"/>
        <v>0.5</v>
      </c>
      <c r="U345" s="30" t="e">
        <f t="shared" ca="1" si="567"/>
        <v>#DIV/0!</v>
      </c>
      <c r="V345" s="85" t="str">
        <f>IF(B345&lt;=Hypothèses!$V$7,Hypothèses!$W$7,IF(B345&lt;=Hypothèses!$V$8,Hypothèses!$W$8,IF(B345&lt;=Hypothèses!$V$9,Hypothèses!$W$9,IF(B345&lt;=Hypothèses!$V$10,Hypothèses!$W$10,IF(B345&lt;=Hypothèses!$V$11,Hypothèses!$W$11,IF(B345&lt;=Hypothèses!$V$12,Hypothèses!$W$12,IF(B345&lt;=Hypothèses!$V$13,Hypothèses!$W$13,IF(B345&lt;=Hypothèses!$V$14,Hypothèses!$W$14,IF(B345&lt;=Hypothèses!$V$15,Hypothèses!$W$15,IF(B345&lt;=Hypothèses!$V$16,Hypothèses!$W$16,IF(B345&lt;=Hypothèses!$V$17,Hypothèses!$W$17,IF(B345&lt;=Hypothèses!$V$18,Hypothèses!$W$18,""))))))))))))</f>
        <v/>
      </c>
      <c r="W345" s="87" t="e">
        <f t="shared" ca="1" si="616"/>
        <v>#DIV/0!</v>
      </c>
      <c r="X345" s="88" t="str">
        <f>IF(B345&lt;=Hypothèses!$V$7,Hypothèses!$X$7,IF(B345&lt;=Hypothèses!$V$8,Hypothèses!$X$8,IF(B345&lt;=Hypothèses!$V$9,Hypothèses!$X$9,IF(B345&lt;=Hypothèses!$V$10,Hypothèses!$X$10,IF(B345&lt;=Hypothèses!$V$11,Hypothèses!$X$11,IF(B345&lt;=Hypothèses!$V$12,Hypothèses!$X$12,IF(B345&lt;=Hypothèses!$V$13,Hypothèses!$X$13,IF(B345&lt;=Hypothèses!$V$14,Hypothèses!$X$14,IF(B345&lt;=Hypothèses!$V$15,Hypothèses!$X$15,IF(B345&lt;=Hypothèses!$V$16,Hypothèses!$X$16,IF(B345&lt;=Hypothèses!$U$17,Hypothèses!$W$17,IF(B345&lt;=Hypothèses!$U$18,Hypothèses!$W$18,""))))))))))))</f>
        <v/>
      </c>
      <c r="Y345" s="95" t="e">
        <f t="shared" ca="1" si="536"/>
        <v>#DIV/0!</v>
      </c>
      <c r="Z345" s="101">
        <f t="shared" si="537"/>
        <v>0</v>
      </c>
      <c r="AA345" s="91">
        <f t="shared" si="538"/>
        <v>0</v>
      </c>
      <c r="AB345" s="30" t="e">
        <f t="shared" si="600"/>
        <v>#N/A</v>
      </c>
      <c r="AC345" s="30" t="e">
        <f t="shared" si="601"/>
        <v>#N/A</v>
      </c>
      <c r="AD345" s="31" t="e">
        <f>IF(OR(Hypothèses!$B$4=17,Hypothèses!$B$4=18,Hypothèses!$B$4=19,Hypothèses!$B$4=20),
IF($D345="Pressio.",
IF(OR($E345=3,$E345=1,$E345=4),AC345,AB345),
IF($D345="Pénétro.",
IF(OR($E345=3,$E345=1,$E345=4),AC345,AB345))),IF($D345="Pressio.",
IF($E345=3,AC345,AB345),
IF($D345="Pénétro.",
IF($E345=4,AC345,AB345))))</f>
        <v>#N/A</v>
      </c>
      <c r="AE345" s="31">
        <v>0</v>
      </c>
      <c r="AF345" s="102" t="e">
        <f>IF(NDC!$H$10="Oui",(VLOOKUP($B$3,'Coeff EC7'!$T$39:$X$59,2,0)*AD345+VLOOKUP($B$3,'Coeff EC7'!$T$65:$X$85,2,0)*Model0.1T!AE345)/1.5,PI()*AB$12*$Q345*($B345-$B344)*0.15/10+AF344)</f>
        <v>#N/A</v>
      </c>
      <c r="AG345" s="102" t="e">
        <f>(VLOOKUP($B$3,'Coeff EC7'!$T$39:$X$59,3,0)*AD345+VLOOKUP($B$3,'Coeff EC7'!$T$65:$X$85,3,0)*Model0.1T!AE345)/1.1</f>
        <v>#N/A</v>
      </c>
      <c r="AH345" s="102" t="e">
        <f t="shared" si="568"/>
        <v>#N/A</v>
      </c>
      <c r="AI345" s="102" t="e">
        <f t="shared" si="569"/>
        <v>#N/A</v>
      </c>
      <c r="AJ345" s="414" t="e">
        <f>IF(AND(AF345&gt;NDC!$C$63,AG345&gt;NDC!$C$65,AH345&gt;NDC!$D$73,AI345&gt;NDC!$D$74,$B345&gt;NDC!$H$22-0.1+MIN(3*$AJ$12,1.5)),0,1)</f>
        <v>#N/A</v>
      </c>
      <c r="AK345" s="86" t="b">
        <f t="shared" si="539"/>
        <v>0</v>
      </c>
      <c r="AL345" s="86">
        <f t="shared" si="570"/>
        <v>0.5</v>
      </c>
      <c r="AM345" s="86">
        <f t="shared" si="540"/>
        <v>0.5</v>
      </c>
      <c r="AN345" s="30" t="e">
        <f t="shared" ca="1" si="571"/>
        <v>#DIV/0!</v>
      </c>
      <c r="AO345" s="85" t="e">
        <f ca="1">IF(U345&lt;=Hypothèses!$V$7,Hypothèses!$W$7,IF(U345&lt;=Hypothèses!$V$8,Hypothèses!$W$8,IF(U345&lt;=Hypothèses!$V$9,Hypothèses!$W$9,IF(U345&lt;=Hypothèses!$V$10,Hypothèses!$W$10,IF(U345&lt;=Hypothèses!$V$11,Hypothèses!$W$11,IF(U345&lt;=Hypothèses!$V$12,Hypothèses!$W$12,IF(U345&lt;=Hypothèses!$V$13,Hypothèses!$W$13,IF(U345&lt;=Hypothèses!$V$14,Hypothèses!$W$14,IF(U345&lt;=Hypothèses!$V$15,Hypothèses!$W$15,IF(U345&lt;=Hypothèses!$V$16,Hypothèses!$W$16,IF(U345&lt;=Hypothèses!$V$17,Hypothèses!$W$17,IF(U345&lt;=Hypothèses!$V$18,Hypothèses!$W$18,""))))))))))))</f>
        <v>#DIV/0!</v>
      </c>
      <c r="AP345" s="87" t="e">
        <f t="shared" ca="1" si="617"/>
        <v>#DIV/0!</v>
      </c>
      <c r="AQ345" s="88" t="e">
        <f ca="1">IF(U345&lt;=Hypothèses!$V$7,Hypothèses!$X$7,IF(U345&lt;=Hypothèses!$V$8,Hypothèses!$X$8,IF(U345&lt;=Hypothèses!$V$9,Hypothèses!$X$9,IF(U345&lt;=Hypothèses!$V$10,Hypothèses!$X$10,IF(U345&lt;=Hypothèses!$V$11,Hypothèses!$X$11,IF(U345&lt;=Hypothèses!$V$12,Hypothèses!$X$12,IF(U345&lt;=Hypothèses!$V$13,Hypothèses!$X$13,IF(U345&lt;=Hypothèses!$V$14,Hypothèses!$X$14,IF(U345&lt;=Hypothèses!$V$15,Hypothèses!$X$15,IF(U345&lt;=Hypothèses!$V$16,Hypothèses!$X$16,IF(U345&lt;=Hypothèses!$U$17,Hypothèses!$W$17,IF(U345&lt;=Hypothèses!$U$18,Hypothèses!$W$18,""))))))))))))</f>
        <v>#DIV/0!</v>
      </c>
      <c r="AR345" s="95" t="e">
        <f t="shared" ca="1" si="572"/>
        <v>#DIV/0!</v>
      </c>
      <c r="AS345" s="101">
        <f t="shared" si="624"/>
        <v>0</v>
      </c>
      <c r="AT345" s="91">
        <f t="shared" si="541"/>
        <v>0</v>
      </c>
      <c r="AU345" s="30" t="e">
        <f t="shared" si="602"/>
        <v>#N/A</v>
      </c>
      <c r="AV345" s="30" t="e">
        <f t="shared" si="603"/>
        <v>#N/A</v>
      </c>
      <c r="AW345" s="31" t="e">
        <f>IF(OR(Hypothèses!$B$4=17,Hypothèses!$B$4=18,Hypothèses!$B$4=19,Hypothèses!$B$4=20),
IF($D345="Pressio.",
IF(OR($E345=3,$E345=1,$E345=4),AV345,AU345),
IF($D345="Pénétro.",
IF(OR($E345=3,$E345=1,$E345=4),AV345,AU345))),IF($D345="Pressio.",
IF($E345=3,AV345,AU345),
IF($D345="Pénétro.",
IF($E345=4,AV345,AU345))))</f>
        <v>#N/A</v>
      </c>
      <c r="AX345" s="31">
        <v>0</v>
      </c>
      <c r="AY345" s="102" t="e">
        <f>IF(NDC!$H$10="Oui",(VLOOKUP($B$3,'Coeff EC7'!$T$39:$X$59,2,0)*AW345+VLOOKUP($B$3,'Coeff EC7'!$T$65:$X$85,2,0)*Model0.1T!AX345)/1.5,PI()*AU$12*$Q345*($B345-$B344)*0.15/10+AY344)</f>
        <v>#N/A</v>
      </c>
      <c r="AZ345" s="102" t="e">
        <f>(VLOOKUP($B$3,'Coeff EC7'!$T$39:$X$59,3,0)*AW345+VLOOKUP($B$3,'Coeff EC7'!$T$65:$X$85,3,0)*Model0.1T!AX345)/1.1</f>
        <v>#N/A</v>
      </c>
      <c r="BA345" s="102" t="e">
        <f t="shared" si="573"/>
        <v>#N/A</v>
      </c>
      <c r="BB345" s="102" t="e">
        <f t="shared" si="574"/>
        <v>#N/A</v>
      </c>
      <c r="BC345" s="414" t="e">
        <f>IF(AND(AY345&gt;NDC!$C$63,AZ345&gt;NDC!$C$65,BA345&gt;NDC!$D$73,BB345&gt;NDC!$D$74,$B345&gt;NDC!$H$22-0.1+MIN(3*BC$12,1.5)),0,1)</f>
        <v>#N/A</v>
      </c>
      <c r="BD345" s="86" t="b">
        <f t="shared" si="542"/>
        <v>0</v>
      </c>
      <c r="BE345" s="86">
        <f t="shared" si="575"/>
        <v>0.5</v>
      </c>
      <c r="BF345" s="86">
        <f t="shared" si="543"/>
        <v>0.5</v>
      </c>
      <c r="BG345" s="30" t="e">
        <f t="shared" ca="1" si="576"/>
        <v>#DIV/0!</v>
      </c>
      <c r="BH345" s="85" t="e">
        <f ca="1">IF(AN345&lt;=Hypothèses!$V$7,Hypothèses!$W$7,IF(AN345&lt;=Hypothèses!$V$8,Hypothèses!$W$8,IF(AN345&lt;=Hypothèses!$V$9,Hypothèses!$W$9,IF(AN345&lt;=Hypothèses!$V$10,Hypothèses!$W$10,IF(AN345&lt;=Hypothèses!$V$11,Hypothèses!$W$11,IF(AN345&lt;=Hypothèses!$V$12,Hypothèses!$W$12,IF(AN345&lt;=Hypothèses!$V$13,Hypothèses!$W$13,IF(AN345&lt;=Hypothèses!$V$14,Hypothèses!$W$14,IF(AN345&lt;=Hypothèses!$V$15,Hypothèses!$W$15,IF(AN345&lt;=Hypothèses!$V$16,Hypothèses!$W$16,IF(AN345&lt;=Hypothèses!$V$17,Hypothèses!$W$17,IF(AN345&lt;=Hypothèses!$V$18,Hypothèses!$W$18,""))))))))))))</f>
        <v>#DIV/0!</v>
      </c>
      <c r="BI345" s="87" t="e">
        <f t="shared" ca="1" si="618"/>
        <v>#DIV/0!</v>
      </c>
      <c r="BJ345" s="88" t="e">
        <f ca="1">IF(AN345&lt;=Hypothèses!$V$7,Hypothèses!$X$7,IF(AN345&lt;=Hypothèses!$V$8,Hypothèses!$X$8,IF(AN345&lt;=Hypothèses!$V$9,Hypothèses!$X$9,IF(AN345&lt;=Hypothèses!$V$10,Hypothèses!$X$10,IF(AN345&lt;=Hypothèses!$V$11,Hypothèses!$X$11,IF(AN345&lt;=Hypothèses!$V$12,Hypothèses!$X$12,IF(AN345&lt;=Hypothèses!$V$13,Hypothèses!$X$13,IF(AN345&lt;=Hypothèses!$V$14,Hypothèses!$X$14,IF(AN345&lt;=Hypothèses!$V$15,Hypothèses!$X$15,IF(AN345&lt;=Hypothèses!$V$16,Hypothèses!$X$16,IF(AN345&lt;=Hypothèses!$U$17,Hypothèses!$W$17,IF(AN345&lt;=Hypothèses!$U$18,Hypothèses!$W$18,""))))))))))))</f>
        <v>#DIV/0!</v>
      </c>
      <c r="BK345" s="95" t="e">
        <f t="shared" ca="1" si="577"/>
        <v>#DIV/0!</v>
      </c>
      <c r="BL345" s="101">
        <f t="shared" si="625"/>
        <v>0</v>
      </c>
      <c r="BM345" s="91">
        <f t="shared" si="544"/>
        <v>0</v>
      </c>
      <c r="BN345" s="30" t="e">
        <f t="shared" si="604"/>
        <v>#N/A</v>
      </c>
      <c r="BO345" s="30" t="e">
        <f t="shared" si="605"/>
        <v>#N/A</v>
      </c>
      <c r="BP345" s="31" t="e">
        <f>IF(OR(Hypothèses!$B$4=17,Hypothèses!$B$4=18,Hypothèses!$B$4=19,Hypothèses!$B$4=20),
IF($D345="Pressio.",
IF(OR($E345=3,$E345=1,$E345=4),BO345,BN345),
IF($D345="Pénétro.",
IF(OR($E345=3,$E345=1,$E345=4),BO345,BN345))),IF($D345="Pressio.",
IF($E345=3,BO345,BN345),
IF($D345="Pénétro.",
IF($E345=4,BO345,BN345))))</f>
        <v>#N/A</v>
      </c>
      <c r="BQ345" s="31">
        <v>0</v>
      </c>
      <c r="BR345" s="102" t="e">
        <f>IF(NDC!$H$10="Oui",(VLOOKUP($B$3,'Coeff EC7'!$T$39:$X$59,2,0)*BP345+VLOOKUP($B$3,'Coeff EC7'!$T$65:$X$85,2,0)*Model0.1T!BQ345)/1.5,PI()*BN$12*$Q345*($B345-$B344)*0.15/10+BR344)</f>
        <v>#N/A</v>
      </c>
      <c r="BS345" s="102" t="e">
        <f>(VLOOKUP($B$3,'Coeff EC7'!$T$39:$X$59,3,0)*BP345+VLOOKUP($B$3,'Coeff EC7'!$T$65:$X$85,3,0)*Model0.1T!BQ345)/1.1</f>
        <v>#N/A</v>
      </c>
      <c r="BT345" s="102" t="e">
        <f t="shared" si="578"/>
        <v>#N/A</v>
      </c>
      <c r="BU345" s="102" t="e">
        <f t="shared" si="579"/>
        <v>#N/A</v>
      </c>
      <c r="BV345" s="414" t="e">
        <f>IF(AND(BR345&gt;NDC!$C$63,BS345&gt;NDC!$C$65,BT345&gt;NDC!$D$73,BU345&gt;NDC!$D$74,$B345&gt;NDC!$H$22-0.1+MIN(3*BV$12,1.5)),0,1)</f>
        <v>#N/A</v>
      </c>
      <c r="BW345" s="86" t="b">
        <f t="shared" si="545"/>
        <v>0</v>
      </c>
      <c r="BX345" s="86">
        <f t="shared" si="546"/>
        <v>0.5</v>
      </c>
      <c r="BY345" s="86">
        <f t="shared" si="547"/>
        <v>0.5</v>
      </c>
      <c r="BZ345" s="30" t="e">
        <f t="shared" ca="1" si="580"/>
        <v>#DIV/0!</v>
      </c>
      <c r="CA345" s="85" t="e">
        <f ca="1">IF(BG345&lt;=Hypothèses!$V$7,Hypothèses!$W$7,IF(BG345&lt;=Hypothèses!$V$8,Hypothèses!$W$8,IF(BG345&lt;=Hypothèses!$V$9,Hypothèses!$W$9,IF(BG345&lt;=Hypothèses!$V$10,Hypothèses!$W$10,IF(BG345&lt;=Hypothèses!$V$11,Hypothèses!$W$11,IF(BG345&lt;=Hypothèses!$V$12,Hypothèses!$W$12,IF(BG345&lt;=Hypothèses!$V$13,Hypothèses!$W$13,IF(BG345&lt;=Hypothèses!$V$14,Hypothèses!$W$14,IF(BG345&lt;=Hypothèses!$V$15,Hypothèses!$W$15,IF(BG345&lt;=Hypothèses!$V$16,Hypothèses!$W$16,IF(BG345&lt;=Hypothèses!$V$17,Hypothèses!$W$17,IF(BG345&lt;=Hypothèses!$V$18,Hypothèses!$W$18,""))))))))))))</f>
        <v>#DIV/0!</v>
      </c>
      <c r="CB345" s="87" t="e">
        <f t="shared" ca="1" si="619"/>
        <v>#DIV/0!</v>
      </c>
      <c r="CC345" s="88" t="e">
        <f ca="1">IF(BG345&lt;=Hypothèses!$V$7,Hypothèses!$X$7,IF(BG345&lt;=Hypothèses!$V$8,Hypothèses!$X$8,IF(BG345&lt;=Hypothèses!$V$9,Hypothèses!$X$9,IF(BG345&lt;=Hypothèses!$V$10,Hypothèses!$X$10,IF(BG345&lt;=Hypothèses!$V$11,Hypothèses!$X$11,IF(BG345&lt;=Hypothèses!$V$12,Hypothèses!$X$12,IF(BG345&lt;=Hypothèses!$V$13,Hypothèses!$X$13,IF(BG345&lt;=Hypothèses!$V$14,Hypothèses!$X$14,IF(BG345&lt;=Hypothèses!$V$15,Hypothèses!$X$15,IF(BG345&lt;=Hypothèses!$V$16,Hypothèses!$X$16,IF(BG345&lt;=Hypothèses!$U$17,Hypothèses!$W$17,IF(BG345&lt;=Hypothèses!$U$18,Hypothèses!$W$18,""))))))))))))</f>
        <v>#DIV/0!</v>
      </c>
      <c r="CD345" s="95" t="e">
        <f t="shared" ca="1" si="581"/>
        <v>#DIV/0!</v>
      </c>
      <c r="CE345" s="101">
        <f t="shared" si="626"/>
        <v>0</v>
      </c>
      <c r="CF345" s="91">
        <f t="shared" si="548"/>
        <v>0</v>
      </c>
      <c r="CG345" s="30" t="e">
        <f t="shared" si="606"/>
        <v>#N/A</v>
      </c>
      <c r="CH345" s="30" t="e">
        <f t="shared" si="607"/>
        <v>#N/A</v>
      </c>
      <c r="CI345" s="31" t="e">
        <f>IF(OR(Hypothèses!$B$4=17,Hypothèses!$B$4=18,Hypothèses!$B$4=19,Hypothèses!$B$4=20),
IF($D345="Pressio.",
IF(OR($E345=3,$E345=1,$E345=4),CH345,CG345),
IF($D345="Pénétro.",
IF(OR($E345=3,$E345=1,$E345=4),CH345,CG345))),IF($D345="Pressio.",
IF($E345=3,CH345,CG345),
IF($D345="Pénétro.",
IF($E345=4,CH345,CG345))))</f>
        <v>#N/A</v>
      </c>
      <c r="CJ345" s="31">
        <v>0</v>
      </c>
      <c r="CK345" s="102" t="e">
        <f>IF(NDC!$H$10="Oui",(VLOOKUP($B$3,'Coeff EC7'!$T$39:$X$59,2,0)*CI345+VLOOKUP($B$3,'Coeff EC7'!$T$65:$X$85,2,0)*Model0.1T!CJ345)/1.5,PI()*CG$12*$Q345*($B345-$B344)*0.15/10+CK344)</f>
        <v>#N/A</v>
      </c>
      <c r="CL345" s="102" t="e">
        <f>(VLOOKUP($B$3,'Coeff EC7'!$T$39:$X$59,3,0)*CI345+VLOOKUP($B$3,'Coeff EC7'!$T$65:$X$85,3,0)*Model0.1T!CJ345)/1.1</f>
        <v>#N/A</v>
      </c>
      <c r="CM345" s="102" t="e">
        <f t="shared" si="582"/>
        <v>#N/A</v>
      </c>
      <c r="CN345" s="102" t="e">
        <f t="shared" si="583"/>
        <v>#N/A</v>
      </c>
      <c r="CO345" s="414" t="e">
        <f>IF(AND(CK345&gt;NDC!$C$63,CL345&gt;NDC!$C$65,CM345&gt;NDC!$D$73,CN345&gt;NDC!$D$74,$B345&gt;NDC!$H$22-0.1+MIN(3*CO$12,1.5)),0,1)</f>
        <v>#N/A</v>
      </c>
      <c r="CP345" s="86" t="b">
        <f t="shared" si="549"/>
        <v>0</v>
      </c>
      <c r="CQ345" s="86">
        <f t="shared" si="550"/>
        <v>0.5</v>
      </c>
      <c r="CR345" s="86">
        <f t="shared" si="551"/>
        <v>0.5</v>
      </c>
      <c r="CS345" s="30" t="e">
        <f t="shared" ca="1" si="584"/>
        <v>#DIV/0!</v>
      </c>
      <c r="CT345" s="85" t="e">
        <f ca="1">IF(BZ345&lt;=Hypothèses!$V$7,Hypothèses!$W$7,IF(BZ345&lt;=Hypothèses!$V$8,Hypothèses!$W$8,IF(BZ345&lt;=Hypothèses!$V$9,Hypothèses!$W$9,IF(BZ345&lt;=Hypothèses!$V$10,Hypothèses!$W$10,IF(BZ345&lt;=Hypothèses!$V$11,Hypothèses!$W$11,IF(BZ345&lt;=Hypothèses!$V$12,Hypothèses!$W$12,IF(BZ345&lt;=Hypothèses!$V$13,Hypothèses!$W$13,IF(BZ345&lt;=Hypothèses!$V$14,Hypothèses!$W$14,IF(BZ345&lt;=Hypothèses!$V$15,Hypothèses!$W$15,IF(BZ345&lt;=Hypothèses!$V$16,Hypothèses!$W$16,IF(BZ345&lt;=Hypothèses!$V$17,Hypothèses!$W$17,IF(BZ345&lt;=Hypothèses!$V$18,Hypothèses!$W$18,""))))))))))))</f>
        <v>#DIV/0!</v>
      </c>
      <c r="CU345" s="87" t="e">
        <f t="shared" ca="1" si="620"/>
        <v>#DIV/0!</v>
      </c>
      <c r="CV345" s="88" t="e">
        <f ca="1">IF(BZ345&lt;=Hypothèses!$V$7,Hypothèses!$X$7,IF(BZ345&lt;=Hypothèses!$V$8,Hypothèses!$X$8,IF(BZ345&lt;=Hypothèses!$V$9,Hypothèses!$X$9,IF(BZ345&lt;=Hypothèses!$V$10,Hypothèses!$X$10,IF(BZ345&lt;=Hypothèses!$V$11,Hypothèses!$X$11,IF(BZ345&lt;=Hypothèses!$V$12,Hypothèses!$X$12,IF(BZ345&lt;=Hypothèses!$V$13,Hypothèses!$X$13,IF(BZ345&lt;=Hypothèses!$V$14,Hypothèses!$X$14,IF(BZ345&lt;=Hypothèses!$V$15,Hypothèses!$X$15,IF(BZ345&lt;=Hypothèses!$V$16,Hypothèses!$X$16,IF(BZ345&lt;=Hypothèses!$U$17,Hypothèses!$W$17,IF(BZ345&lt;=Hypothèses!$U$18,Hypothèses!$W$18,""))))))))))))</f>
        <v>#DIV/0!</v>
      </c>
      <c r="CW345" s="95" t="e">
        <f t="shared" ca="1" si="585"/>
        <v>#DIV/0!</v>
      </c>
      <c r="CX345" s="101">
        <f t="shared" si="627"/>
        <v>0</v>
      </c>
      <c r="CY345" s="91">
        <f t="shared" si="552"/>
        <v>0</v>
      </c>
      <c r="CZ345" s="30" t="e">
        <f t="shared" si="608"/>
        <v>#N/A</v>
      </c>
      <c r="DA345" s="30" t="e">
        <f t="shared" si="609"/>
        <v>#N/A</v>
      </c>
      <c r="DB345" s="31" t="e">
        <f>IF(OR(Hypothèses!$B$4=17,Hypothèses!$B$4=18,Hypothèses!$B$4=19,Hypothèses!$B$4=20),
IF($D345="Pressio.",
IF(OR($E345=3,$E345=1,$E345=4),DA345,CZ345),
IF($D345="Pénétro.",
IF(OR($E345=3,$E345=1,$E345=4),DA345,CZ345))),IF($D345="Pressio.",
IF($E345=3,DA345,CZ345),
IF($D345="Pénétro.",
IF($E345=4,DA345,CZ345))))</f>
        <v>#N/A</v>
      </c>
      <c r="DC345" s="31">
        <v>0</v>
      </c>
      <c r="DD345" s="102" t="e">
        <f>IF(NDC!$H$10="Oui",(VLOOKUP($B$3,'Coeff EC7'!$T$39:$X$59,2,0)*DB345+VLOOKUP($B$3,'Coeff EC7'!$T$65:$X$85,2,0)*Model0.1T!DC345)/1.5,PI()*CZ$12*$Q345*($B345-$B344)*0.15/10+DD344)</f>
        <v>#N/A</v>
      </c>
      <c r="DE345" s="102" t="e">
        <f>(VLOOKUP($B$3,'Coeff EC7'!$T$39:$X$59,3,0)*DB345+VLOOKUP($B$3,'Coeff EC7'!$T$65:$X$85,3,0)*Model0.1T!DC345)/1.1</f>
        <v>#N/A</v>
      </c>
      <c r="DF345" s="102" t="e">
        <f t="shared" si="586"/>
        <v>#N/A</v>
      </c>
      <c r="DG345" s="102" t="e">
        <f t="shared" si="587"/>
        <v>#N/A</v>
      </c>
      <c r="DH345" s="414" t="e">
        <f>IF(AND(DD345&gt;NDC!$C$63,DE345&gt;NDC!$C$65,DF345&gt;NDC!$D$73,DG345&gt;NDC!$D$74,$B345&gt;NDC!$H$22-0.1+MIN(3*DH$12,1.5)),0,1)</f>
        <v>#N/A</v>
      </c>
      <c r="DI345" s="86" t="b">
        <f t="shared" si="553"/>
        <v>0</v>
      </c>
      <c r="DJ345" s="86">
        <f t="shared" si="554"/>
        <v>0.5</v>
      </c>
      <c r="DK345" s="86">
        <f t="shared" si="555"/>
        <v>0.5</v>
      </c>
      <c r="DL345" s="30" t="e">
        <f t="shared" ca="1" si="588"/>
        <v>#DIV/0!</v>
      </c>
      <c r="DM345" s="85" t="e">
        <f ca="1">IF(CS345&lt;=Hypothèses!$V$7,Hypothèses!$W$7,IF(CS345&lt;=Hypothèses!$V$8,Hypothèses!$W$8,IF(CS345&lt;=Hypothèses!$V$9,Hypothèses!$W$9,IF(CS345&lt;=Hypothèses!$V$10,Hypothèses!$W$10,IF(CS345&lt;=Hypothèses!$V$11,Hypothèses!$W$11,IF(CS345&lt;=Hypothèses!$V$12,Hypothèses!$W$12,IF(CS345&lt;=Hypothèses!$V$13,Hypothèses!$W$13,IF(CS345&lt;=Hypothèses!$V$14,Hypothèses!$W$14,IF(CS345&lt;=Hypothèses!$V$15,Hypothèses!$W$15,IF(CS345&lt;=Hypothèses!$V$16,Hypothèses!$W$16,IF(CS345&lt;=Hypothèses!$V$17,Hypothèses!$W$17,IF(CS345&lt;=Hypothèses!$V$18,Hypothèses!$W$18,""))))))))))))</f>
        <v>#DIV/0!</v>
      </c>
      <c r="DN345" s="87" t="e">
        <f t="shared" ca="1" si="621"/>
        <v>#DIV/0!</v>
      </c>
      <c r="DO345" s="88" t="e">
        <f ca="1">IF(CS345&lt;=Hypothèses!$V$7,Hypothèses!$X$7,IF(CS345&lt;=Hypothèses!$V$8,Hypothèses!$X$8,IF(CS345&lt;=Hypothèses!$V$9,Hypothèses!$X$9,IF(CS345&lt;=Hypothèses!$V$10,Hypothèses!$X$10,IF(CS345&lt;=Hypothèses!$V$11,Hypothèses!$X$11,IF(CS345&lt;=Hypothèses!$V$12,Hypothèses!$X$12,IF(CS345&lt;=Hypothèses!$V$13,Hypothèses!$X$13,IF(CS345&lt;=Hypothèses!$V$14,Hypothèses!$X$14,IF(CS345&lt;=Hypothèses!$V$15,Hypothèses!$X$15,IF(CS345&lt;=Hypothèses!$V$16,Hypothèses!$X$16,IF(CS345&lt;=Hypothèses!$U$17,Hypothèses!$W$17,IF(CS345&lt;=Hypothèses!$U$18,Hypothèses!$W$18,""))))))))))))</f>
        <v>#DIV/0!</v>
      </c>
      <c r="DP345" s="95" t="e">
        <f t="shared" ca="1" si="589"/>
        <v>#DIV/0!</v>
      </c>
      <c r="DQ345" s="101">
        <f t="shared" si="628"/>
        <v>0</v>
      </c>
      <c r="DR345" s="91">
        <f t="shared" si="556"/>
        <v>0</v>
      </c>
      <c r="DS345" s="30" t="e">
        <f t="shared" si="610"/>
        <v>#N/A</v>
      </c>
      <c r="DT345" s="30" t="e">
        <f t="shared" si="611"/>
        <v>#N/A</v>
      </c>
      <c r="DU345" s="31" t="e">
        <f>IF(OR(Hypothèses!$B$4=17,Hypothèses!$B$4=18,Hypothèses!$B$4=19,Hypothèses!$B$4=20),
IF($D345="Pressio.",
IF(OR($E345=3,$E345=1,$E345=4),DT345,DS345),
IF($D345="Pénétro.",
IF(OR($E345=3,$E345=1,$E345=4),DT345,DS345))),IF($D345="Pressio.",
IF($E345=3,DT345,DS345),
IF($D345="Pénétro.",
IF($E345=4,DT345,DS345))))</f>
        <v>#N/A</v>
      </c>
      <c r="DV345" s="31">
        <v>0</v>
      </c>
      <c r="DW345" s="102" t="e">
        <f>IF(NDC!$H$10="Oui",(VLOOKUP($B$3,'Coeff EC7'!$T$39:$X$59,2,0)*DU345+VLOOKUP($B$3,'Coeff EC7'!$T$65:$X$85,2,0)*Model0.1T!DV345)/1.5,PI()*DS$12*$Q345*($B345-$B344)*0.15/10+DW344)</f>
        <v>#N/A</v>
      </c>
      <c r="DX345" s="102" t="e">
        <f>(VLOOKUP($B$3,'Coeff EC7'!$T$39:$X$59,3,0)*DU345+VLOOKUP($B$3,'Coeff EC7'!$T$65:$X$85,3,0)*Model0.1T!DV345)/1.1</f>
        <v>#N/A</v>
      </c>
      <c r="DY345" s="102" t="e">
        <f t="shared" si="590"/>
        <v>#N/A</v>
      </c>
      <c r="DZ345" s="102" t="e">
        <f t="shared" si="591"/>
        <v>#N/A</v>
      </c>
      <c r="EA345" s="414" t="e">
        <f>IF(AND(DW345&gt;NDC!$C$63,DX345&gt;NDC!$C$65,DY345&gt;NDC!$D$73,DZ345&gt;NDC!$D$74,$B345&gt;NDC!$H$22-0.1+MIN(3*EA$12,1.5)),0,1)</f>
        <v>#N/A</v>
      </c>
      <c r="EB345" s="86" t="b">
        <f t="shared" si="557"/>
        <v>0</v>
      </c>
      <c r="EC345" s="418">
        <f t="shared" si="558"/>
        <v>0.51</v>
      </c>
      <c r="ED345" s="86">
        <f t="shared" si="559"/>
        <v>0.51</v>
      </c>
      <c r="EE345" s="30" t="e">
        <f t="shared" ca="1" si="592"/>
        <v>#DIV/0!</v>
      </c>
      <c r="EF345" s="85" t="e">
        <f ca="1">IF(DL345&lt;=Hypothèses!$V$7,Hypothèses!$W$7,IF(DL345&lt;=Hypothèses!$V$8,Hypothèses!$W$8,IF(DL345&lt;=Hypothèses!$V$9,Hypothèses!$W$9,IF(DL345&lt;=Hypothèses!$V$10,Hypothèses!$W$10,IF(DL345&lt;=Hypothèses!$V$11,Hypothèses!$W$11,IF(DL345&lt;=Hypothèses!$V$12,Hypothèses!$W$12,IF(DL345&lt;=Hypothèses!$V$13,Hypothèses!$W$13,IF(DL345&lt;=Hypothèses!$V$14,Hypothèses!$W$14,IF(DL345&lt;=Hypothèses!$V$15,Hypothèses!$W$15,IF(DL345&lt;=Hypothèses!$V$16,Hypothèses!$W$16,IF(DL345&lt;=Hypothèses!$V$17,Hypothèses!$W$17,IF(DL345&lt;=Hypothèses!$V$18,Hypothèses!$W$18,""))))))))))))</f>
        <v>#DIV/0!</v>
      </c>
      <c r="EG345" s="87" t="e">
        <f t="shared" ca="1" si="622"/>
        <v>#DIV/0!</v>
      </c>
      <c r="EH345" s="88" t="e">
        <f ca="1">IF(DL345&lt;=Hypothèses!$V$7,Hypothèses!$X$7,IF(DL345&lt;=Hypothèses!$V$8,Hypothèses!$X$8,IF(DL345&lt;=Hypothèses!$V$9,Hypothèses!$X$9,IF(DL345&lt;=Hypothèses!$V$10,Hypothèses!$X$10,IF(DL345&lt;=Hypothèses!$V$11,Hypothèses!$X$11,IF(DL345&lt;=Hypothèses!$V$12,Hypothèses!$X$12,IF(DL345&lt;=Hypothèses!$V$13,Hypothèses!$X$13,IF(DL345&lt;=Hypothèses!$V$14,Hypothèses!$X$14,IF(DL345&lt;=Hypothèses!$V$15,Hypothèses!$X$15,IF(DL345&lt;=Hypothèses!$V$16,Hypothèses!$X$16,IF(DL345&lt;=Hypothèses!$U$17,Hypothèses!$W$17,IF(DL345&lt;=Hypothèses!$U$18,Hypothèses!$W$18,""))))))))))))</f>
        <v>#DIV/0!</v>
      </c>
      <c r="EI345" s="95" t="e">
        <f t="shared" ca="1" si="593"/>
        <v>#DIV/0!</v>
      </c>
      <c r="EJ345" s="101">
        <f t="shared" si="629"/>
        <v>0</v>
      </c>
      <c r="EK345" s="91">
        <f t="shared" si="560"/>
        <v>0</v>
      </c>
      <c r="EL345" s="30" t="e">
        <f t="shared" si="612"/>
        <v>#N/A</v>
      </c>
      <c r="EM345" s="30" t="e">
        <f t="shared" si="613"/>
        <v>#N/A</v>
      </c>
      <c r="EN345" s="31" t="e">
        <f>IF(OR(Hypothèses!$B$4=17,Hypothèses!$B$4=18,Hypothèses!$B$4=19,Hypothèses!$B$4=20),
IF($D345="Pressio.",
IF(OR($E345=3,$E345=1,$E345=4),EM345,EL345),
IF($D345="Pénétro.",
IF(OR($E345=3,$E345=1,$E345=4),EM345,EL345))),IF($D345="Pressio.",
IF($E345=3,EM345,EL345),
IF($D345="Pénétro.",
IF($E345=4,EM345,EL345))))</f>
        <v>#N/A</v>
      </c>
      <c r="EO345" s="31">
        <v>0</v>
      </c>
      <c r="EP345" s="102" t="e">
        <f>IF(NDC!$H$10="Oui",(VLOOKUP($B$3,'Coeff EC7'!$T$39:$X$59,2,0)*EN345+VLOOKUP($B$3,'Coeff EC7'!$T$65:$X$85,2,0)*Model0.1T!EO345)/1.5,PI()*EL$12*$Q345*($B345-$B344)*0.15/10+EP344)</f>
        <v>#N/A</v>
      </c>
      <c r="EQ345" s="102" t="e">
        <f>(VLOOKUP($B$3,'Coeff EC7'!$T$39:$X$59,3,0)*EN345+VLOOKUP($B$3,'Coeff EC7'!$T$65:$X$85,3,0)*Model0.1T!EO345)/1.1</f>
        <v>#N/A</v>
      </c>
      <c r="ER345" s="102" t="e">
        <f t="shared" si="594"/>
        <v>#N/A</v>
      </c>
      <c r="ES345" s="102" t="e">
        <f t="shared" si="595"/>
        <v>#N/A</v>
      </c>
      <c r="ET345" s="414" t="e">
        <f>IF(AND(EP345&gt;NDC!$C$63,EQ345&gt;NDC!$C$65,ER345&gt;NDC!$D$73,ES345&gt;NDC!$D$74,$B345&gt;NDC!$H$22-0.1+MIN(3*ET$12,1.5)),0,1)</f>
        <v>#N/A</v>
      </c>
      <c r="EU345" s="86" t="b">
        <f t="shared" si="561"/>
        <v>0</v>
      </c>
      <c r="EV345" s="86">
        <f t="shared" si="562"/>
        <v>0.61</v>
      </c>
      <c r="EW345" s="86">
        <f t="shared" si="563"/>
        <v>0.61</v>
      </c>
      <c r="EX345" s="30" t="e">
        <f t="shared" ca="1" si="596"/>
        <v>#DIV/0!</v>
      </c>
      <c r="EY345" s="85" t="e">
        <f ca="1">IF(EE345&lt;=Hypothèses!$V$7,Hypothèses!$W$7,IF(EE345&lt;=Hypothèses!$V$8,Hypothèses!$W$8,IF(EE345&lt;=Hypothèses!$V$9,Hypothèses!$W$9,IF(EE345&lt;=Hypothèses!$V$10,Hypothèses!$W$10,IF(EE345&lt;=Hypothèses!$V$11,Hypothèses!$W$11,IF(EE345&lt;=Hypothèses!$V$12,Hypothèses!$W$12,IF(EE345&lt;=Hypothèses!$V$13,Hypothèses!$W$13,IF(EE345&lt;=Hypothèses!$V$14,Hypothèses!$W$14,IF(EE345&lt;=Hypothèses!$V$15,Hypothèses!$W$15,IF(EE345&lt;=Hypothèses!$V$16,Hypothèses!$W$16,IF(EE345&lt;=Hypothèses!$V$17,Hypothèses!$W$17,IF(EE345&lt;=Hypothèses!$V$18,Hypothèses!$W$18,""))))))))))))</f>
        <v>#DIV/0!</v>
      </c>
      <c r="EZ345" s="87" t="e">
        <f t="shared" ca="1" si="623"/>
        <v>#DIV/0!</v>
      </c>
      <c r="FA345" s="88" t="e">
        <f ca="1">IF(EE345&lt;=Hypothèses!$V$7,Hypothèses!$X$7,IF(EE345&lt;=Hypothèses!$V$8,Hypothèses!$X$8,IF(EE345&lt;=Hypothèses!$V$9,Hypothèses!$X$9,IF(EE345&lt;=Hypothèses!$V$10,Hypothèses!$X$10,IF(EE345&lt;=Hypothèses!$V$11,Hypothèses!$X$11,IF(EE345&lt;=Hypothèses!$V$12,Hypothèses!$X$12,IF(EE345&lt;=Hypothèses!$V$13,Hypothèses!$X$13,IF(EE345&lt;=Hypothèses!$V$14,Hypothèses!$X$14,IF(EE345&lt;=Hypothèses!$V$15,Hypothèses!$X$15,IF(EE345&lt;=Hypothèses!$V$16,Hypothèses!$X$16,IF(EE345&lt;=Hypothèses!$U$17,Hypothèses!$W$17,IF(EE345&lt;=Hypothèses!$U$18,Hypothèses!$W$18,""))))))))))))</f>
        <v>#DIV/0!</v>
      </c>
      <c r="FB345" s="95" t="e">
        <f t="shared" ca="1" si="597"/>
        <v>#DIV/0!</v>
      </c>
      <c r="FC345" s="101">
        <f t="shared" si="630"/>
        <v>0</v>
      </c>
      <c r="FD345" s="91">
        <f t="shared" si="564"/>
        <v>0</v>
      </c>
      <c r="FE345" s="30" t="e">
        <f t="shared" si="614"/>
        <v>#N/A</v>
      </c>
      <c r="FF345" s="30" t="e">
        <f t="shared" si="615"/>
        <v>#N/A</v>
      </c>
      <c r="FG345" s="31" t="e">
        <f>IF(OR(Hypothèses!$B$4=17,Hypothèses!$B$4=18,Hypothèses!$B$4=19,Hypothèses!$B$4=20),
IF($D345="Pressio.",
IF(OR($E345=3,$E345=1,$E345=4),FF345,FE345),
IF($D345="Pénétro.",
IF(OR($E345=3,$E345=1,$E345=4),FF345,FE345))),IF($D345="Pressio.",
IF($E345=3,FF345,FE345),
IF($D345="Pénétro.",
IF($E345=4,FF345,FE345))))</f>
        <v>#N/A</v>
      </c>
      <c r="FH345" s="31">
        <v>0</v>
      </c>
      <c r="FI345" s="102" t="e">
        <f>IF(NDC!$H$10="Oui",(VLOOKUP($B$3,'Coeff EC7'!$T$39:$X$59,2,0)*FG345+VLOOKUP($B$3,'Coeff EC7'!$T$65:$X$85,2,0)*Model0.1T!FH345)/1.5,PI()*FE$12*$Q345*($B345-$B344)*0.15/10+FI344)</f>
        <v>#N/A</v>
      </c>
      <c r="FJ345" s="102" t="e">
        <f>(VLOOKUP($B$3,'Coeff EC7'!$T$39:$X$59,3,0)*FG345+VLOOKUP($B$3,'Coeff EC7'!$T$65:$X$85,3,0)*Model0.1T!FH345)/1.1</f>
        <v>#N/A</v>
      </c>
      <c r="FK345" s="102" t="e">
        <f t="shared" si="598"/>
        <v>#N/A</v>
      </c>
      <c r="FL345" s="102" t="e">
        <f t="shared" si="599"/>
        <v>#N/A</v>
      </c>
      <c r="FM345" s="414" t="e">
        <f>IF(AND(FI345&gt;NDC!$C$63,FJ345&gt;NDC!$C$65,FK345&gt;NDC!$D$73,FL345&gt;NDC!$D$74,$B345&gt;NDC!$H$22-0.1+MIN(3*FM$12,1.5)),0,1)</f>
        <v>#N/A</v>
      </c>
    </row>
    <row r="346" spans="1:169">
      <c r="A346" s="96">
        <f t="shared" si="565"/>
        <v>66.700000000001893</v>
      </c>
      <c r="B346" s="97">
        <v>33.299999999999997</v>
      </c>
      <c r="C346" s="81">
        <f>IF(B346&lt;=Hypothèses!$C$7,Hypothèses!$A$7,IF(B346&lt;=Hypothèses!$C$8,Hypothèses!$A$8,IF(B346&lt;=Hypothèses!$C$9,Hypothèses!$A$9,IF(B346&lt;=Hypothèses!$C$10,Hypothèses!$A$10,IF(B346&lt;=Hypothèses!$C$11,Hypothèses!$A$11,IF(B346&lt;=Hypothèses!$C$12,Hypothèses!$A$12,IF(B346&lt;=Hypothèses!$C$13,Hypothèses!$A$13,IF(B346&lt;=Hypothèses!$C$14,Hypothèses!$A$14,IF(B346&lt;=Hypothèses!$C$15,Hypothèses!$A$15,IF(B346&lt;=Hypothèses!$C$16,Hypothèses!$A$16,IF(B346&lt;=Hypothèses!$C$17,Hypothèses!$A$17,IF(B346&lt;=Hypothèses!$C$18,Hypothèses!$A$18,C345))))))))))))</f>
        <v>11</v>
      </c>
      <c r="D346" s="82" t="str">
        <f>IF(B346&lt;=Hypothèses!$C$7,Hypothèses!$R$7,IF(B346&lt;=Hypothèses!$C$8,Hypothèses!$R$8,IF(B346&lt;=Hypothèses!$C$9,Hypothèses!$R$9,IF(B346&lt;=Hypothèses!$C$10,Hypothèses!$R$10,IF(B346&lt;=Hypothèses!$C$11,Hypothèses!$R$11,IF(B346&lt;=Hypothèses!$C$12,Hypothèses!$R$12,IF(B346&lt;=Hypothèses!$C$13,Hypothèses!$R$13,IF(B346&lt;=Hypothèses!$C$14,Hypothèses!$R$14,IF(B346&lt;=Hypothèses!$C$15,Hypothèses!$R$15,IF(B346&lt;=Hypothèses!$C$16,Hypothèses!$R$16,IF(B346&lt;=Hypothèses!$C$17,Hypothèses!$R$17,IF(B346&lt;=Hypothèses!$C$18,Hypothèses!$R$18,D345))))))))))))</f>
        <v>Pressio.</v>
      </c>
      <c r="E346" s="82" t="e">
        <f>IF(B346&lt;=Hypothèses!$C$7,Hypothèses!$G$7,IF(B346&lt;=Hypothèses!$C$8,Hypothèses!$G$8,IF(B346&lt;=Hypothèses!$C$9,Hypothèses!$G$9,IF(B346&lt;=Hypothèses!$C$10,Hypothèses!$G$10,IF(B346&lt;=Hypothèses!$C$11,Hypothèses!$G$11,IF(B346&lt;=Hypothèses!$C$12,Hypothèses!$G$12,IF(B346&lt;=Hypothèses!$C$13,Hypothèses!$G$13,IF(B346&lt;=Hypothèses!$C$14,Hypothèses!$G$14,IF(B346&lt;=Hypothèses!$C$15,Hypothèses!$G$15,IF(B346&lt;=Hypothèses!$C$16,Hypothèses!$G$16,IF(B346&lt;=Hypothèses!$C$17,Hypothèses!$G$17,IF(B346&lt;=Hypothèses!$C$18,Hypothèses!$G$18,E345))))))))))))</f>
        <v>#N/A</v>
      </c>
      <c r="F346" s="82" t="str">
        <f>IF(B346&lt;=Hypothèses!$C$7,Hypothèses!$F$7,IF(B346&lt;=Hypothèses!$C$8,Hypothèses!$F$8,IF(B346&lt;=Hypothèses!$C$9,Hypothèses!$F$9,IF(B346&lt;=Hypothèses!$C$10,Hypothèses!$F$10,IF(B346&lt;=Hypothèses!$C$11,Hypothèses!$F$11,IF(B346&lt;=Hypothèses!$C$12,Hypothèses!$F$12,IF(B346&lt;=Hypothèses!$C$13,Hypothèses!$F$13,IF(B346&lt;=Hypothèses!$C$14,Hypothèses!$F$14,IF(B346&lt;=Hypothèses!$C$15,Hypothèses!$F$15,IF(B346&lt;=Hypothèses!$C$16,Hypothèses!$F$16,IF(B346&lt;=Hypothèses!$C$17,Hypothèses!$F$17,IF(B346&lt;=Hypothèses!$C$18,Hypothèses!$F$18,F345))))))))))))</f>
        <v/>
      </c>
      <c r="G346" s="91">
        <f t="array" ref="G346">INDEX('Coeff EC7'!$U$7:$X$27,
MATCH(Model0.1T!$B$3,'Coeff EC7'!$T$7:$T$27,0),
MATCH(Model0.1T!$D346&amp;Model0.1T!$B$4,
'Coeff EC7'!$U$6:$X$6&amp;
'Coeff EC7'!$U$5:$X$5,0))</f>
        <v>1.4</v>
      </c>
      <c r="H346" s="91">
        <f t="array" ref="H346">INDEX('Coeff EC7'!$Y$7:$AB$27,
MATCH(Model0.1T!$B$3,'Coeff EC7'!$T$7:$T$27,0),
MATCH(Model0.1T!$D346&amp;Model0.1T!$B$4,
'Coeff EC7'!$Y$6:$AB$6&amp;
'Coeff EC7'!$Y$5:$AB$5,0))</f>
        <v>1.7</v>
      </c>
      <c r="I346" s="83">
        <v>0</v>
      </c>
      <c r="J346" s="91" t="e">
        <f t="array" ref="J346">INDEX('Coeff EC7'!$D$33:$Q$33,1,MATCH(D346&amp;E346,'Coeff EC7'!$D$31:$Q$31&amp;'Coeff EC7'!$D$32:$Q$32,0))</f>
        <v>#N/A</v>
      </c>
      <c r="K346" s="91" t="e">
        <f t="array" ref="K346">INDEX('Coeff EC7'!$D$34:$Q$34,1,MATCH(D346&amp;E346,'Coeff EC7'!$D$31:$Q$31&amp;'Coeff EC7'!$D$32:$Q$32,0))</f>
        <v>#N/A</v>
      </c>
      <c r="L346" s="91" t="e">
        <f t="array" ref="L346">INDEX('Coeff EC7'!$D$35:$Q$35,1,MATCH(D346&amp;E346,'Coeff EC7'!$D$31:$Q$31&amp;'Coeff EC7'!$D$32:$Q$32,0))</f>
        <v>#N/A</v>
      </c>
      <c r="M346" s="98" t="e">
        <f t="shared" si="531"/>
        <v>#N/A</v>
      </c>
      <c r="N346" s="99" t="e">
        <f t="array" ref="N346">INDEX('Coeff EC7'!$D$7:$Q$27,MATCH($B$3,'Coeff EC7'!$C$7:$C$27,0),MATCH(D346&amp;E346,'Coeff EC7'!$D$5:$Q$5&amp;'Coeff EC7'!$D$6:$Q$6,0))</f>
        <v>#N/A</v>
      </c>
      <c r="O346" s="99" t="e">
        <f t="array" ref="O346">INDEX('Coeff EC7'!$D$41:$Q$61,MATCH($B$3,'Coeff EC7'!$C$41:$C$61,0),MATCH(D346&amp;E346,'Coeff EC7'!$D$39:$Q$39&amp;'Coeff EC7'!$D$40:$Q$40,0))</f>
        <v>#N/A</v>
      </c>
      <c r="P346" s="30" t="e">
        <f t="shared" si="566"/>
        <v>#N/A</v>
      </c>
      <c r="Q346" s="100" t="e">
        <f t="shared" si="533"/>
        <v>#N/A</v>
      </c>
      <c r="R346" s="86" t="b">
        <f t="shared" si="534"/>
        <v>0</v>
      </c>
      <c r="S346" s="86">
        <f t="shared" si="532"/>
        <v>0.5</v>
      </c>
      <c r="T346" s="86">
        <f t="shared" si="535"/>
        <v>0.5</v>
      </c>
      <c r="U346" s="30" t="e">
        <f t="shared" ca="1" si="567"/>
        <v>#DIV/0!</v>
      </c>
      <c r="V346" s="85" t="str">
        <f>IF(B346&lt;=Hypothèses!$V$7,Hypothèses!$W$7,IF(B346&lt;=Hypothèses!$V$8,Hypothèses!$W$8,IF(B346&lt;=Hypothèses!$V$9,Hypothèses!$W$9,IF(B346&lt;=Hypothèses!$V$10,Hypothèses!$W$10,IF(B346&lt;=Hypothèses!$V$11,Hypothèses!$W$11,IF(B346&lt;=Hypothèses!$V$12,Hypothèses!$W$12,IF(B346&lt;=Hypothèses!$V$13,Hypothèses!$W$13,IF(B346&lt;=Hypothèses!$V$14,Hypothèses!$W$14,IF(B346&lt;=Hypothèses!$V$15,Hypothèses!$W$15,IF(B346&lt;=Hypothèses!$V$16,Hypothèses!$W$16,IF(B346&lt;=Hypothèses!$V$17,Hypothèses!$W$17,IF(B346&lt;=Hypothèses!$V$18,Hypothèses!$W$18,""))))))))))))</f>
        <v/>
      </c>
      <c r="W346" s="87" t="e">
        <f t="shared" ca="1" si="616"/>
        <v>#DIV/0!</v>
      </c>
      <c r="X346" s="88" t="str">
        <f>IF(B346&lt;=Hypothèses!$V$7,Hypothèses!$X$7,IF(B346&lt;=Hypothèses!$V$8,Hypothèses!$X$8,IF(B346&lt;=Hypothèses!$V$9,Hypothèses!$X$9,IF(B346&lt;=Hypothèses!$V$10,Hypothèses!$X$10,IF(B346&lt;=Hypothèses!$V$11,Hypothèses!$X$11,IF(B346&lt;=Hypothèses!$V$12,Hypothèses!$X$12,IF(B346&lt;=Hypothèses!$V$13,Hypothèses!$X$13,IF(B346&lt;=Hypothèses!$V$14,Hypothèses!$X$14,IF(B346&lt;=Hypothèses!$V$15,Hypothèses!$X$15,IF(B346&lt;=Hypothèses!$V$16,Hypothèses!$X$16,IF(B346&lt;=Hypothèses!$U$17,Hypothèses!$W$17,IF(B346&lt;=Hypothèses!$U$18,Hypothèses!$W$18,""))))))))))))</f>
        <v/>
      </c>
      <c r="Y346" s="95" t="e">
        <f t="shared" ca="1" si="536"/>
        <v>#DIV/0!</v>
      </c>
      <c r="Z346" s="101">
        <f t="shared" si="537"/>
        <v>0</v>
      </c>
      <c r="AA346" s="91">
        <f t="shared" si="538"/>
        <v>0</v>
      </c>
      <c r="AB346" s="30" t="e">
        <f t="shared" si="600"/>
        <v>#N/A</v>
      </c>
      <c r="AC346" s="30" t="e">
        <f t="shared" si="601"/>
        <v>#N/A</v>
      </c>
      <c r="AD346" s="31" t="e">
        <f>IF(OR(Hypothèses!$B$4=17,Hypothèses!$B$4=18,Hypothèses!$B$4=19,Hypothèses!$B$4=20),
IF($D346="Pressio.",
IF(OR($E346=3,$E346=1,$E346=4),AC346,AB346),
IF($D346="Pénétro.",
IF(OR($E346=3,$E346=1,$E346=4),AC346,AB346))),IF($D346="Pressio.",
IF($E346=3,AC346,AB346),
IF($D346="Pénétro.",
IF($E346=4,AC346,AB346))))</f>
        <v>#N/A</v>
      </c>
      <c r="AE346" s="31">
        <v>0</v>
      </c>
      <c r="AF346" s="102" t="e">
        <f>IF(NDC!$H$10="Oui",(VLOOKUP($B$3,'Coeff EC7'!$T$39:$X$59,2,0)*AD346+VLOOKUP($B$3,'Coeff EC7'!$T$65:$X$85,2,0)*Model0.1T!AE346)/1.5,PI()*AB$12*$Q346*($B346-$B345)*0.15/10+AF345)</f>
        <v>#N/A</v>
      </c>
      <c r="AG346" s="102" t="e">
        <f>(VLOOKUP($B$3,'Coeff EC7'!$T$39:$X$59,3,0)*AD346+VLOOKUP($B$3,'Coeff EC7'!$T$65:$X$85,3,0)*Model0.1T!AE346)/1.1</f>
        <v>#N/A</v>
      </c>
      <c r="AH346" s="102" t="e">
        <f t="shared" si="568"/>
        <v>#N/A</v>
      </c>
      <c r="AI346" s="102" t="e">
        <f t="shared" si="569"/>
        <v>#N/A</v>
      </c>
      <c r="AJ346" s="414" t="e">
        <f>IF(AND(AF346&gt;NDC!$C$63,AG346&gt;NDC!$C$65,AH346&gt;NDC!$D$73,AI346&gt;NDC!$D$74,$B346&gt;NDC!$H$22-0.1+MIN(3*$AJ$12,1.5)),0,1)</f>
        <v>#N/A</v>
      </c>
      <c r="AK346" s="86" t="b">
        <f t="shared" si="539"/>
        <v>0</v>
      </c>
      <c r="AL346" s="86">
        <f t="shared" si="570"/>
        <v>0.5</v>
      </c>
      <c r="AM346" s="86">
        <f t="shared" si="540"/>
        <v>0.5</v>
      </c>
      <c r="AN346" s="30" t="e">
        <f t="shared" ca="1" si="571"/>
        <v>#DIV/0!</v>
      </c>
      <c r="AO346" s="85" t="e">
        <f ca="1">IF(U346&lt;=Hypothèses!$V$7,Hypothèses!$W$7,IF(U346&lt;=Hypothèses!$V$8,Hypothèses!$W$8,IF(U346&lt;=Hypothèses!$V$9,Hypothèses!$W$9,IF(U346&lt;=Hypothèses!$V$10,Hypothèses!$W$10,IF(U346&lt;=Hypothèses!$V$11,Hypothèses!$W$11,IF(U346&lt;=Hypothèses!$V$12,Hypothèses!$W$12,IF(U346&lt;=Hypothèses!$V$13,Hypothèses!$W$13,IF(U346&lt;=Hypothèses!$V$14,Hypothèses!$W$14,IF(U346&lt;=Hypothèses!$V$15,Hypothèses!$W$15,IF(U346&lt;=Hypothèses!$V$16,Hypothèses!$W$16,IF(U346&lt;=Hypothèses!$V$17,Hypothèses!$W$17,IF(U346&lt;=Hypothèses!$V$18,Hypothèses!$W$18,""))))))))))))</f>
        <v>#DIV/0!</v>
      </c>
      <c r="AP346" s="87" t="e">
        <f t="shared" ca="1" si="617"/>
        <v>#DIV/0!</v>
      </c>
      <c r="AQ346" s="88" t="e">
        <f ca="1">IF(U346&lt;=Hypothèses!$V$7,Hypothèses!$X$7,IF(U346&lt;=Hypothèses!$V$8,Hypothèses!$X$8,IF(U346&lt;=Hypothèses!$V$9,Hypothèses!$X$9,IF(U346&lt;=Hypothèses!$V$10,Hypothèses!$X$10,IF(U346&lt;=Hypothèses!$V$11,Hypothèses!$X$11,IF(U346&lt;=Hypothèses!$V$12,Hypothèses!$X$12,IF(U346&lt;=Hypothèses!$V$13,Hypothèses!$X$13,IF(U346&lt;=Hypothèses!$V$14,Hypothèses!$X$14,IF(U346&lt;=Hypothèses!$V$15,Hypothèses!$X$15,IF(U346&lt;=Hypothèses!$V$16,Hypothèses!$X$16,IF(U346&lt;=Hypothèses!$U$17,Hypothèses!$W$17,IF(U346&lt;=Hypothèses!$U$18,Hypothèses!$W$18,""))))))))))))</f>
        <v>#DIV/0!</v>
      </c>
      <c r="AR346" s="95" t="e">
        <f t="shared" ca="1" si="572"/>
        <v>#DIV/0!</v>
      </c>
      <c r="AS346" s="101">
        <f t="shared" si="624"/>
        <v>0</v>
      </c>
      <c r="AT346" s="91">
        <f t="shared" si="541"/>
        <v>0</v>
      </c>
      <c r="AU346" s="30" t="e">
        <f t="shared" si="602"/>
        <v>#N/A</v>
      </c>
      <c r="AV346" s="30" t="e">
        <f t="shared" si="603"/>
        <v>#N/A</v>
      </c>
      <c r="AW346" s="31" t="e">
        <f>IF(OR(Hypothèses!$B$4=17,Hypothèses!$B$4=18,Hypothèses!$B$4=19,Hypothèses!$B$4=20),
IF($D346="Pressio.",
IF(OR($E346=3,$E346=1,$E346=4),AV346,AU346),
IF($D346="Pénétro.",
IF(OR($E346=3,$E346=1,$E346=4),AV346,AU346))),IF($D346="Pressio.",
IF($E346=3,AV346,AU346),
IF($D346="Pénétro.",
IF($E346=4,AV346,AU346))))</f>
        <v>#N/A</v>
      </c>
      <c r="AX346" s="31">
        <v>0</v>
      </c>
      <c r="AY346" s="102" t="e">
        <f>IF(NDC!$H$10="Oui",(VLOOKUP($B$3,'Coeff EC7'!$T$39:$X$59,2,0)*AW346+VLOOKUP($B$3,'Coeff EC7'!$T$65:$X$85,2,0)*Model0.1T!AX346)/1.5,PI()*AU$12*$Q346*($B346-$B345)*0.15/10+AY345)</f>
        <v>#N/A</v>
      </c>
      <c r="AZ346" s="102" t="e">
        <f>(VLOOKUP($B$3,'Coeff EC7'!$T$39:$X$59,3,0)*AW346+VLOOKUP($B$3,'Coeff EC7'!$T$65:$X$85,3,0)*Model0.1T!AX346)/1.1</f>
        <v>#N/A</v>
      </c>
      <c r="BA346" s="102" t="e">
        <f t="shared" si="573"/>
        <v>#N/A</v>
      </c>
      <c r="BB346" s="102" t="e">
        <f t="shared" si="574"/>
        <v>#N/A</v>
      </c>
      <c r="BC346" s="414" t="e">
        <f>IF(AND(AY346&gt;NDC!$C$63,AZ346&gt;NDC!$C$65,BA346&gt;NDC!$D$73,BB346&gt;NDC!$D$74,$B346&gt;NDC!$H$22-0.1+MIN(3*BC$12,1.5)),0,1)</f>
        <v>#N/A</v>
      </c>
      <c r="BD346" s="86" t="b">
        <f t="shared" si="542"/>
        <v>0</v>
      </c>
      <c r="BE346" s="86">
        <f t="shared" si="575"/>
        <v>0.5</v>
      </c>
      <c r="BF346" s="86">
        <f t="shared" si="543"/>
        <v>0.5</v>
      </c>
      <c r="BG346" s="30" t="e">
        <f t="shared" ca="1" si="576"/>
        <v>#DIV/0!</v>
      </c>
      <c r="BH346" s="85" t="e">
        <f ca="1">IF(AN346&lt;=Hypothèses!$V$7,Hypothèses!$W$7,IF(AN346&lt;=Hypothèses!$V$8,Hypothèses!$W$8,IF(AN346&lt;=Hypothèses!$V$9,Hypothèses!$W$9,IF(AN346&lt;=Hypothèses!$V$10,Hypothèses!$W$10,IF(AN346&lt;=Hypothèses!$V$11,Hypothèses!$W$11,IF(AN346&lt;=Hypothèses!$V$12,Hypothèses!$W$12,IF(AN346&lt;=Hypothèses!$V$13,Hypothèses!$W$13,IF(AN346&lt;=Hypothèses!$V$14,Hypothèses!$W$14,IF(AN346&lt;=Hypothèses!$V$15,Hypothèses!$W$15,IF(AN346&lt;=Hypothèses!$V$16,Hypothèses!$W$16,IF(AN346&lt;=Hypothèses!$V$17,Hypothèses!$W$17,IF(AN346&lt;=Hypothèses!$V$18,Hypothèses!$W$18,""))))))))))))</f>
        <v>#DIV/0!</v>
      </c>
      <c r="BI346" s="87" t="e">
        <f t="shared" ca="1" si="618"/>
        <v>#DIV/0!</v>
      </c>
      <c r="BJ346" s="88" t="e">
        <f ca="1">IF(AN346&lt;=Hypothèses!$V$7,Hypothèses!$X$7,IF(AN346&lt;=Hypothèses!$V$8,Hypothèses!$X$8,IF(AN346&lt;=Hypothèses!$V$9,Hypothèses!$X$9,IF(AN346&lt;=Hypothèses!$V$10,Hypothèses!$X$10,IF(AN346&lt;=Hypothèses!$V$11,Hypothèses!$X$11,IF(AN346&lt;=Hypothèses!$V$12,Hypothèses!$X$12,IF(AN346&lt;=Hypothèses!$V$13,Hypothèses!$X$13,IF(AN346&lt;=Hypothèses!$V$14,Hypothèses!$X$14,IF(AN346&lt;=Hypothèses!$V$15,Hypothèses!$X$15,IF(AN346&lt;=Hypothèses!$V$16,Hypothèses!$X$16,IF(AN346&lt;=Hypothèses!$U$17,Hypothèses!$W$17,IF(AN346&lt;=Hypothèses!$U$18,Hypothèses!$W$18,""))))))))))))</f>
        <v>#DIV/0!</v>
      </c>
      <c r="BK346" s="95" t="e">
        <f t="shared" ca="1" si="577"/>
        <v>#DIV/0!</v>
      </c>
      <c r="BL346" s="101">
        <f t="shared" si="625"/>
        <v>0</v>
      </c>
      <c r="BM346" s="91">
        <f t="shared" si="544"/>
        <v>0</v>
      </c>
      <c r="BN346" s="30" t="e">
        <f t="shared" si="604"/>
        <v>#N/A</v>
      </c>
      <c r="BO346" s="30" t="e">
        <f t="shared" si="605"/>
        <v>#N/A</v>
      </c>
      <c r="BP346" s="31" t="e">
        <f>IF(OR(Hypothèses!$B$4=17,Hypothèses!$B$4=18,Hypothèses!$B$4=19,Hypothèses!$B$4=20),
IF($D346="Pressio.",
IF(OR($E346=3,$E346=1,$E346=4),BO346,BN346),
IF($D346="Pénétro.",
IF(OR($E346=3,$E346=1,$E346=4),BO346,BN346))),IF($D346="Pressio.",
IF($E346=3,BO346,BN346),
IF($D346="Pénétro.",
IF($E346=4,BO346,BN346))))</f>
        <v>#N/A</v>
      </c>
      <c r="BQ346" s="31">
        <v>0</v>
      </c>
      <c r="BR346" s="102" t="e">
        <f>IF(NDC!$H$10="Oui",(VLOOKUP($B$3,'Coeff EC7'!$T$39:$X$59,2,0)*BP346+VLOOKUP($B$3,'Coeff EC7'!$T$65:$X$85,2,0)*Model0.1T!BQ346)/1.5,PI()*BN$12*$Q346*($B346-$B345)*0.15/10+BR345)</f>
        <v>#N/A</v>
      </c>
      <c r="BS346" s="102" t="e">
        <f>(VLOOKUP($B$3,'Coeff EC7'!$T$39:$X$59,3,0)*BP346+VLOOKUP($B$3,'Coeff EC7'!$T$65:$X$85,3,0)*Model0.1T!BQ346)/1.1</f>
        <v>#N/A</v>
      </c>
      <c r="BT346" s="102" t="e">
        <f t="shared" si="578"/>
        <v>#N/A</v>
      </c>
      <c r="BU346" s="102" t="e">
        <f t="shared" si="579"/>
        <v>#N/A</v>
      </c>
      <c r="BV346" s="414" t="e">
        <f>IF(AND(BR346&gt;NDC!$C$63,BS346&gt;NDC!$C$65,BT346&gt;NDC!$D$73,BU346&gt;NDC!$D$74,$B346&gt;NDC!$H$22-0.1+MIN(3*BV$12,1.5)),0,1)</f>
        <v>#N/A</v>
      </c>
      <c r="BW346" s="86" t="b">
        <f t="shared" si="545"/>
        <v>0</v>
      </c>
      <c r="BX346" s="86">
        <f t="shared" si="546"/>
        <v>0.5</v>
      </c>
      <c r="BY346" s="86">
        <f t="shared" si="547"/>
        <v>0.5</v>
      </c>
      <c r="BZ346" s="30" t="e">
        <f t="shared" ca="1" si="580"/>
        <v>#DIV/0!</v>
      </c>
      <c r="CA346" s="85" t="e">
        <f ca="1">IF(BG346&lt;=Hypothèses!$V$7,Hypothèses!$W$7,IF(BG346&lt;=Hypothèses!$V$8,Hypothèses!$W$8,IF(BG346&lt;=Hypothèses!$V$9,Hypothèses!$W$9,IF(BG346&lt;=Hypothèses!$V$10,Hypothèses!$W$10,IF(BG346&lt;=Hypothèses!$V$11,Hypothèses!$W$11,IF(BG346&lt;=Hypothèses!$V$12,Hypothèses!$W$12,IF(BG346&lt;=Hypothèses!$V$13,Hypothèses!$W$13,IF(BG346&lt;=Hypothèses!$V$14,Hypothèses!$W$14,IF(BG346&lt;=Hypothèses!$V$15,Hypothèses!$W$15,IF(BG346&lt;=Hypothèses!$V$16,Hypothèses!$W$16,IF(BG346&lt;=Hypothèses!$V$17,Hypothèses!$W$17,IF(BG346&lt;=Hypothèses!$V$18,Hypothèses!$W$18,""))))))))))))</f>
        <v>#DIV/0!</v>
      </c>
      <c r="CB346" s="87" t="e">
        <f t="shared" ca="1" si="619"/>
        <v>#DIV/0!</v>
      </c>
      <c r="CC346" s="88" t="e">
        <f ca="1">IF(BG346&lt;=Hypothèses!$V$7,Hypothèses!$X$7,IF(BG346&lt;=Hypothèses!$V$8,Hypothèses!$X$8,IF(BG346&lt;=Hypothèses!$V$9,Hypothèses!$X$9,IF(BG346&lt;=Hypothèses!$V$10,Hypothèses!$X$10,IF(BG346&lt;=Hypothèses!$V$11,Hypothèses!$X$11,IF(BG346&lt;=Hypothèses!$V$12,Hypothèses!$X$12,IF(BG346&lt;=Hypothèses!$V$13,Hypothèses!$X$13,IF(BG346&lt;=Hypothèses!$V$14,Hypothèses!$X$14,IF(BG346&lt;=Hypothèses!$V$15,Hypothèses!$X$15,IF(BG346&lt;=Hypothèses!$V$16,Hypothèses!$X$16,IF(BG346&lt;=Hypothèses!$U$17,Hypothèses!$W$17,IF(BG346&lt;=Hypothèses!$U$18,Hypothèses!$W$18,""))))))))))))</f>
        <v>#DIV/0!</v>
      </c>
      <c r="CD346" s="95" t="e">
        <f t="shared" ca="1" si="581"/>
        <v>#DIV/0!</v>
      </c>
      <c r="CE346" s="101">
        <f t="shared" si="626"/>
        <v>0</v>
      </c>
      <c r="CF346" s="91">
        <f t="shared" si="548"/>
        <v>0</v>
      </c>
      <c r="CG346" s="30" t="e">
        <f t="shared" si="606"/>
        <v>#N/A</v>
      </c>
      <c r="CH346" s="30" t="e">
        <f t="shared" si="607"/>
        <v>#N/A</v>
      </c>
      <c r="CI346" s="31" t="e">
        <f>IF(OR(Hypothèses!$B$4=17,Hypothèses!$B$4=18,Hypothèses!$B$4=19,Hypothèses!$B$4=20),
IF($D346="Pressio.",
IF(OR($E346=3,$E346=1,$E346=4),CH346,CG346),
IF($D346="Pénétro.",
IF(OR($E346=3,$E346=1,$E346=4),CH346,CG346))),IF($D346="Pressio.",
IF($E346=3,CH346,CG346),
IF($D346="Pénétro.",
IF($E346=4,CH346,CG346))))</f>
        <v>#N/A</v>
      </c>
      <c r="CJ346" s="31">
        <v>0</v>
      </c>
      <c r="CK346" s="102" t="e">
        <f>IF(NDC!$H$10="Oui",(VLOOKUP($B$3,'Coeff EC7'!$T$39:$X$59,2,0)*CI346+VLOOKUP($B$3,'Coeff EC7'!$T$65:$X$85,2,0)*Model0.1T!CJ346)/1.5,PI()*CG$12*$Q346*($B346-$B345)*0.15/10+CK345)</f>
        <v>#N/A</v>
      </c>
      <c r="CL346" s="102" t="e">
        <f>(VLOOKUP($B$3,'Coeff EC7'!$T$39:$X$59,3,0)*CI346+VLOOKUP($B$3,'Coeff EC7'!$T$65:$X$85,3,0)*Model0.1T!CJ346)/1.1</f>
        <v>#N/A</v>
      </c>
      <c r="CM346" s="102" t="e">
        <f t="shared" si="582"/>
        <v>#N/A</v>
      </c>
      <c r="CN346" s="102" t="e">
        <f t="shared" si="583"/>
        <v>#N/A</v>
      </c>
      <c r="CO346" s="414" t="e">
        <f>IF(AND(CK346&gt;NDC!$C$63,CL346&gt;NDC!$C$65,CM346&gt;NDC!$D$73,CN346&gt;NDC!$D$74,$B346&gt;NDC!$H$22-0.1+MIN(3*CO$12,1.5)),0,1)</f>
        <v>#N/A</v>
      </c>
      <c r="CP346" s="86" t="b">
        <f t="shared" si="549"/>
        <v>0</v>
      </c>
      <c r="CQ346" s="86">
        <f t="shared" si="550"/>
        <v>0.5</v>
      </c>
      <c r="CR346" s="86">
        <f t="shared" si="551"/>
        <v>0.5</v>
      </c>
      <c r="CS346" s="30" t="e">
        <f t="shared" ca="1" si="584"/>
        <v>#DIV/0!</v>
      </c>
      <c r="CT346" s="85" t="e">
        <f ca="1">IF(BZ346&lt;=Hypothèses!$V$7,Hypothèses!$W$7,IF(BZ346&lt;=Hypothèses!$V$8,Hypothèses!$W$8,IF(BZ346&lt;=Hypothèses!$V$9,Hypothèses!$W$9,IF(BZ346&lt;=Hypothèses!$V$10,Hypothèses!$W$10,IF(BZ346&lt;=Hypothèses!$V$11,Hypothèses!$W$11,IF(BZ346&lt;=Hypothèses!$V$12,Hypothèses!$W$12,IF(BZ346&lt;=Hypothèses!$V$13,Hypothèses!$W$13,IF(BZ346&lt;=Hypothèses!$V$14,Hypothèses!$W$14,IF(BZ346&lt;=Hypothèses!$V$15,Hypothèses!$W$15,IF(BZ346&lt;=Hypothèses!$V$16,Hypothèses!$W$16,IF(BZ346&lt;=Hypothèses!$V$17,Hypothèses!$W$17,IF(BZ346&lt;=Hypothèses!$V$18,Hypothèses!$W$18,""))))))))))))</f>
        <v>#DIV/0!</v>
      </c>
      <c r="CU346" s="87" t="e">
        <f t="shared" ca="1" si="620"/>
        <v>#DIV/0!</v>
      </c>
      <c r="CV346" s="88" t="e">
        <f ca="1">IF(BZ346&lt;=Hypothèses!$V$7,Hypothèses!$X$7,IF(BZ346&lt;=Hypothèses!$V$8,Hypothèses!$X$8,IF(BZ346&lt;=Hypothèses!$V$9,Hypothèses!$X$9,IF(BZ346&lt;=Hypothèses!$V$10,Hypothèses!$X$10,IF(BZ346&lt;=Hypothèses!$V$11,Hypothèses!$X$11,IF(BZ346&lt;=Hypothèses!$V$12,Hypothèses!$X$12,IF(BZ346&lt;=Hypothèses!$V$13,Hypothèses!$X$13,IF(BZ346&lt;=Hypothèses!$V$14,Hypothèses!$X$14,IF(BZ346&lt;=Hypothèses!$V$15,Hypothèses!$X$15,IF(BZ346&lt;=Hypothèses!$V$16,Hypothèses!$X$16,IF(BZ346&lt;=Hypothèses!$U$17,Hypothèses!$W$17,IF(BZ346&lt;=Hypothèses!$U$18,Hypothèses!$W$18,""))))))))))))</f>
        <v>#DIV/0!</v>
      </c>
      <c r="CW346" s="95" t="e">
        <f t="shared" ca="1" si="585"/>
        <v>#DIV/0!</v>
      </c>
      <c r="CX346" s="101">
        <f t="shared" si="627"/>
        <v>0</v>
      </c>
      <c r="CY346" s="91">
        <f t="shared" si="552"/>
        <v>0</v>
      </c>
      <c r="CZ346" s="30" t="e">
        <f t="shared" si="608"/>
        <v>#N/A</v>
      </c>
      <c r="DA346" s="30" t="e">
        <f t="shared" si="609"/>
        <v>#N/A</v>
      </c>
      <c r="DB346" s="31" t="e">
        <f>IF(OR(Hypothèses!$B$4=17,Hypothèses!$B$4=18,Hypothèses!$B$4=19,Hypothèses!$B$4=20),
IF($D346="Pressio.",
IF(OR($E346=3,$E346=1,$E346=4),DA346,CZ346),
IF($D346="Pénétro.",
IF(OR($E346=3,$E346=1,$E346=4),DA346,CZ346))),IF($D346="Pressio.",
IF($E346=3,DA346,CZ346),
IF($D346="Pénétro.",
IF($E346=4,DA346,CZ346))))</f>
        <v>#N/A</v>
      </c>
      <c r="DC346" s="31">
        <v>0</v>
      </c>
      <c r="DD346" s="102" t="e">
        <f>IF(NDC!$H$10="Oui",(VLOOKUP($B$3,'Coeff EC7'!$T$39:$X$59,2,0)*DB346+VLOOKUP($B$3,'Coeff EC7'!$T$65:$X$85,2,0)*Model0.1T!DC346)/1.5,PI()*CZ$12*$Q346*($B346-$B345)*0.15/10+DD345)</f>
        <v>#N/A</v>
      </c>
      <c r="DE346" s="102" t="e">
        <f>(VLOOKUP($B$3,'Coeff EC7'!$T$39:$X$59,3,0)*DB346+VLOOKUP($B$3,'Coeff EC7'!$T$65:$X$85,3,0)*Model0.1T!DC346)/1.1</f>
        <v>#N/A</v>
      </c>
      <c r="DF346" s="102" t="e">
        <f t="shared" si="586"/>
        <v>#N/A</v>
      </c>
      <c r="DG346" s="102" t="e">
        <f t="shared" si="587"/>
        <v>#N/A</v>
      </c>
      <c r="DH346" s="414" t="e">
        <f>IF(AND(DD346&gt;NDC!$C$63,DE346&gt;NDC!$C$65,DF346&gt;NDC!$D$73,DG346&gt;NDC!$D$74,$B346&gt;NDC!$H$22-0.1+MIN(3*DH$12,1.5)),0,1)</f>
        <v>#N/A</v>
      </c>
      <c r="DI346" s="86" t="b">
        <f t="shared" si="553"/>
        <v>0</v>
      </c>
      <c r="DJ346" s="86">
        <f t="shared" si="554"/>
        <v>0.5</v>
      </c>
      <c r="DK346" s="86">
        <f t="shared" si="555"/>
        <v>0.5</v>
      </c>
      <c r="DL346" s="30" t="e">
        <f t="shared" ca="1" si="588"/>
        <v>#DIV/0!</v>
      </c>
      <c r="DM346" s="85" t="e">
        <f ca="1">IF(CS346&lt;=Hypothèses!$V$7,Hypothèses!$W$7,IF(CS346&lt;=Hypothèses!$V$8,Hypothèses!$W$8,IF(CS346&lt;=Hypothèses!$V$9,Hypothèses!$W$9,IF(CS346&lt;=Hypothèses!$V$10,Hypothèses!$W$10,IF(CS346&lt;=Hypothèses!$V$11,Hypothèses!$W$11,IF(CS346&lt;=Hypothèses!$V$12,Hypothèses!$W$12,IF(CS346&lt;=Hypothèses!$V$13,Hypothèses!$W$13,IF(CS346&lt;=Hypothèses!$V$14,Hypothèses!$W$14,IF(CS346&lt;=Hypothèses!$V$15,Hypothèses!$W$15,IF(CS346&lt;=Hypothèses!$V$16,Hypothèses!$W$16,IF(CS346&lt;=Hypothèses!$V$17,Hypothèses!$W$17,IF(CS346&lt;=Hypothèses!$V$18,Hypothèses!$W$18,""))))))))))))</f>
        <v>#DIV/0!</v>
      </c>
      <c r="DN346" s="87" t="e">
        <f t="shared" ca="1" si="621"/>
        <v>#DIV/0!</v>
      </c>
      <c r="DO346" s="88" t="e">
        <f ca="1">IF(CS346&lt;=Hypothèses!$V$7,Hypothèses!$X$7,IF(CS346&lt;=Hypothèses!$V$8,Hypothèses!$X$8,IF(CS346&lt;=Hypothèses!$V$9,Hypothèses!$X$9,IF(CS346&lt;=Hypothèses!$V$10,Hypothèses!$X$10,IF(CS346&lt;=Hypothèses!$V$11,Hypothèses!$X$11,IF(CS346&lt;=Hypothèses!$V$12,Hypothèses!$X$12,IF(CS346&lt;=Hypothèses!$V$13,Hypothèses!$X$13,IF(CS346&lt;=Hypothèses!$V$14,Hypothèses!$X$14,IF(CS346&lt;=Hypothèses!$V$15,Hypothèses!$X$15,IF(CS346&lt;=Hypothèses!$V$16,Hypothèses!$X$16,IF(CS346&lt;=Hypothèses!$U$17,Hypothèses!$W$17,IF(CS346&lt;=Hypothèses!$U$18,Hypothèses!$W$18,""))))))))))))</f>
        <v>#DIV/0!</v>
      </c>
      <c r="DP346" s="95" t="e">
        <f t="shared" ca="1" si="589"/>
        <v>#DIV/0!</v>
      </c>
      <c r="DQ346" s="101">
        <f t="shared" si="628"/>
        <v>0</v>
      </c>
      <c r="DR346" s="91">
        <f t="shared" si="556"/>
        <v>0</v>
      </c>
      <c r="DS346" s="30" t="e">
        <f t="shared" si="610"/>
        <v>#N/A</v>
      </c>
      <c r="DT346" s="30" t="e">
        <f t="shared" si="611"/>
        <v>#N/A</v>
      </c>
      <c r="DU346" s="31" t="e">
        <f>IF(OR(Hypothèses!$B$4=17,Hypothèses!$B$4=18,Hypothèses!$B$4=19,Hypothèses!$B$4=20),
IF($D346="Pressio.",
IF(OR($E346=3,$E346=1,$E346=4),DT346,DS346),
IF($D346="Pénétro.",
IF(OR($E346=3,$E346=1,$E346=4),DT346,DS346))),IF($D346="Pressio.",
IF($E346=3,DT346,DS346),
IF($D346="Pénétro.",
IF($E346=4,DT346,DS346))))</f>
        <v>#N/A</v>
      </c>
      <c r="DV346" s="31">
        <v>0</v>
      </c>
      <c r="DW346" s="102" t="e">
        <f>IF(NDC!$H$10="Oui",(VLOOKUP($B$3,'Coeff EC7'!$T$39:$X$59,2,0)*DU346+VLOOKUP($B$3,'Coeff EC7'!$T$65:$X$85,2,0)*Model0.1T!DV346)/1.5,PI()*DS$12*$Q346*($B346-$B345)*0.15/10+DW345)</f>
        <v>#N/A</v>
      </c>
      <c r="DX346" s="102" t="e">
        <f>(VLOOKUP($B$3,'Coeff EC7'!$T$39:$X$59,3,0)*DU346+VLOOKUP($B$3,'Coeff EC7'!$T$65:$X$85,3,0)*Model0.1T!DV346)/1.1</f>
        <v>#N/A</v>
      </c>
      <c r="DY346" s="102" t="e">
        <f t="shared" si="590"/>
        <v>#N/A</v>
      </c>
      <c r="DZ346" s="102" t="e">
        <f t="shared" si="591"/>
        <v>#N/A</v>
      </c>
      <c r="EA346" s="414" t="e">
        <f>IF(AND(DW346&gt;NDC!$C$63,DX346&gt;NDC!$C$65,DY346&gt;NDC!$D$73,DZ346&gt;NDC!$D$74,$B346&gt;NDC!$H$22-0.1+MIN(3*EA$12,1.5)),0,1)</f>
        <v>#N/A</v>
      </c>
      <c r="EB346" s="86" t="b">
        <f t="shared" si="557"/>
        <v>0</v>
      </c>
      <c r="EC346" s="418">
        <f t="shared" si="558"/>
        <v>0.51</v>
      </c>
      <c r="ED346" s="86">
        <f t="shared" si="559"/>
        <v>0.51</v>
      </c>
      <c r="EE346" s="30" t="e">
        <f t="shared" ca="1" si="592"/>
        <v>#DIV/0!</v>
      </c>
      <c r="EF346" s="85" t="e">
        <f ca="1">IF(DL346&lt;=Hypothèses!$V$7,Hypothèses!$W$7,IF(DL346&lt;=Hypothèses!$V$8,Hypothèses!$W$8,IF(DL346&lt;=Hypothèses!$V$9,Hypothèses!$W$9,IF(DL346&lt;=Hypothèses!$V$10,Hypothèses!$W$10,IF(DL346&lt;=Hypothèses!$V$11,Hypothèses!$W$11,IF(DL346&lt;=Hypothèses!$V$12,Hypothèses!$W$12,IF(DL346&lt;=Hypothèses!$V$13,Hypothèses!$W$13,IF(DL346&lt;=Hypothèses!$V$14,Hypothèses!$W$14,IF(DL346&lt;=Hypothèses!$V$15,Hypothèses!$W$15,IF(DL346&lt;=Hypothèses!$V$16,Hypothèses!$W$16,IF(DL346&lt;=Hypothèses!$V$17,Hypothèses!$W$17,IF(DL346&lt;=Hypothèses!$V$18,Hypothèses!$W$18,""))))))))))))</f>
        <v>#DIV/0!</v>
      </c>
      <c r="EG346" s="87" t="e">
        <f t="shared" ca="1" si="622"/>
        <v>#DIV/0!</v>
      </c>
      <c r="EH346" s="88" t="e">
        <f ca="1">IF(DL346&lt;=Hypothèses!$V$7,Hypothèses!$X$7,IF(DL346&lt;=Hypothèses!$V$8,Hypothèses!$X$8,IF(DL346&lt;=Hypothèses!$V$9,Hypothèses!$X$9,IF(DL346&lt;=Hypothèses!$V$10,Hypothèses!$X$10,IF(DL346&lt;=Hypothèses!$V$11,Hypothèses!$X$11,IF(DL346&lt;=Hypothèses!$V$12,Hypothèses!$X$12,IF(DL346&lt;=Hypothèses!$V$13,Hypothèses!$X$13,IF(DL346&lt;=Hypothèses!$V$14,Hypothèses!$X$14,IF(DL346&lt;=Hypothèses!$V$15,Hypothèses!$X$15,IF(DL346&lt;=Hypothèses!$V$16,Hypothèses!$X$16,IF(DL346&lt;=Hypothèses!$U$17,Hypothèses!$W$17,IF(DL346&lt;=Hypothèses!$U$18,Hypothèses!$W$18,""))))))))))))</f>
        <v>#DIV/0!</v>
      </c>
      <c r="EI346" s="95" t="e">
        <f t="shared" ca="1" si="593"/>
        <v>#DIV/0!</v>
      </c>
      <c r="EJ346" s="101">
        <f t="shared" si="629"/>
        <v>0</v>
      </c>
      <c r="EK346" s="91">
        <f t="shared" si="560"/>
        <v>0</v>
      </c>
      <c r="EL346" s="30" t="e">
        <f t="shared" si="612"/>
        <v>#N/A</v>
      </c>
      <c r="EM346" s="30" t="e">
        <f t="shared" si="613"/>
        <v>#N/A</v>
      </c>
      <c r="EN346" s="31" t="e">
        <f>IF(OR(Hypothèses!$B$4=17,Hypothèses!$B$4=18,Hypothèses!$B$4=19,Hypothèses!$B$4=20),
IF($D346="Pressio.",
IF(OR($E346=3,$E346=1,$E346=4),EM346,EL346),
IF($D346="Pénétro.",
IF(OR($E346=3,$E346=1,$E346=4),EM346,EL346))),IF($D346="Pressio.",
IF($E346=3,EM346,EL346),
IF($D346="Pénétro.",
IF($E346=4,EM346,EL346))))</f>
        <v>#N/A</v>
      </c>
      <c r="EO346" s="31">
        <v>0</v>
      </c>
      <c r="EP346" s="102" t="e">
        <f>IF(NDC!$H$10="Oui",(VLOOKUP($B$3,'Coeff EC7'!$T$39:$X$59,2,0)*EN346+VLOOKUP($B$3,'Coeff EC7'!$T$65:$X$85,2,0)*Model0.1T!EO346)/1.5,PI()*EL$12*$Q346*($B346-$B345)*0.15/10+EP345)</f>
        <v>#N/A</v>
      </c>
      <c r="EQ346" s="102" t="e">
        <f>(VLOOKUP($B$3,'Coeff EC7'!$T$39:$X$59,3,0)*EN346+VLOOKUP($B$3,'Coeff EC7'!$T$65:$X$85,3,0)*Model0.1T!EO346)/1.1</f>
        <v>#N/A</v>
      </c>
      <c r="ER346" s="102" t="e">
        <f t="shared" si="594"/>
        <v>#N/A</v>
      </c>
      <c r="ES346" s="102" t="e">
        <f t="shared" si="595"/>
        <v>#N/A</v>
      </c>
      <c r="ET346" s="414" t="e">
        <f>IF(AND(EP346&gt;NDC!$C$63,EQ346&gt;NDC!$C$65,ER346&gt;NDC!$D$73,ES346&gt;NDC!$D$74,$B346&gt;NDC!$H$22-0.1+MIN(3*ET$12,1.5)),0,1)</f>
        <v>#N/A</v>
      </c>
      <c r="EU346" s="86" t="b">
        <f t="shared" si="561"/>
        <v>0</v>
      </c>
      <c r="EV346" s="86">
        <f t="shared" si="562"/>
        <v>0.61</v>
      </c>
      <c r="EW346" s="86">
        <f t="shared" si="563"/>
        <v>0.61</v>
      </c>
      <c r="EX346" s="30" t="e">
        <f t="shared" ca="1" si="596"/>
        <v>#DIV/0!</v>
      </c>
      <c r="EY346" s="85" t="e">
        <f ca="1">IF(EE346&lt;=Hypothèses!$V$7,Hypothèses!$W$7,IF(EE346&lt;=Hypothèses!$V$8,Hypothèses!$W$8,IF(EE346&lt;=Hypothèses!$V$9,Hypothèses!$W$9,IF(EE346&lt;=Hypothèses!$V$10,Hypothèses!$W$10,IF(EE346&lt;=Hypothèses!$V$11,Hypothèses!$W$11,IF(EE346&lt;=Hypothèses!$V$12,Hypothèses!$W$12,IF(EE346&lt;=Hypothèses!$V$13,Hypothèses!$W$13,IF(EE346&lt;=Hypothèses!$V$14,Hypothèses!$W$14,IF(EE346&lt;=Hypothèses!$V$15,Hypothèses!$W$15,IF(EE346&lt;=Hypothèses!$V$16,Hypothèses!$W$16,IF(EE346&lt;=Hypothèses!$V$17,Hypothèses!$W$17,IF(EE346&lt;=Hypothèses!$V$18,Hypothèses!$W$18,""))))))))))))</f>
        <v>#DIV/0!</v>
      </c>
      <c r="EZ346" s="87" t="e">
        <f t="shared" ca="1" si="623"/>
        <v>#DIV/0!</v>
      </c>
      <c r="FA346" s="88" t="e">
        <f ca="1">IF(EE346&lt;=Hypothèses!$V$7,Hypothèses!$X$7,IF(EE346&lt;=Hypothèses!$V$8,Hypothèses!$X$8,IF(EE346&lt;=Hypothèses!$V$9,Hypothèses!$X$9,IF(EE346&lt;=Hypothèses!$V$10,Hypothèses!$X$10,IF(EE346&lt;=Hypothèses!$V$11,Hypothèses!$X$11,IF(EE346&lt;=Hypothèses!$V$12,Hypothèses!$X$12,IF(EE346&lt;=Hypothèses!$V$13,Hypothèses!$X$13,IF(EE346&lt;=Hypothèses!$V$14,Hypothèses!$X$14,IF(EE346&lt;=Hypothèses!$V$15,Hypothèses!$X$15,IF(EE346&lt;=Hypothèses!$V$16,Hypothèses!$X$16,IF(EE346&lt;=Hypothèses!$U$17,Hypothèses!$W$17,IF(EE346&lt;=Hypothèses!$U$18,Hypothèses!$W$18,""))))))))))))</f>
        <v>#DIV/0!</v>
      </c>
      <c r="FB346" s="95" t="e">
        <f t="shared" ca="1" si="597"/>
        <v>#DIV/0!</v>
      </c>
      <c r="FC346" s="101">
        <f t="shared" si="630"/>
        <v>0</v>
      </c>
      <c r="FD346" s="91">
        <f t="shared" si="564"/>
        <v>0</v>
      </c>
      <c r="FE346" s="30" t="e">
        <f t="shared" si="614"/>
        <v>#N/A</v>
      </c>
      <c r="FF346" s="30" t="e">
        <f t="shared" si="615"/>
        <v>#N/A</v>
      </c>
      <c r="FG346" s="31" t="e">
        <f>IF(OR(Hypothèses!$B$4=17,Hypothèses!$B$4=18,Hypothèses!$B$4=19,Hypothèses!$B$4=20),
IF($D346="Pressio.",
IF(OR($E346=3,$E346=1,$E346=4),FF346,FE346),
IF($D346="Pénétro.",
IF(OR($E346=3,$E346=1,$E346=4),FF346,FE346))),IF($D346="Pressio.",
IF($E346=3,FF346,FE346),
IF($D346="Pénétro.",
IF($E346=4,FF346,FE346))))</f>
        <v>#N/A</v>
      </c>
      <c r="FH346" s="31">
        <v>0</v>
      </c>
      <c r="FI346" s="102" t="e">
        <f>IF(NDC!$H$10="Oui",(VLOOKUP($B$3,'Coeff EC7'!$T$39:$X$59,2,0)*FG346+VLOOKUP($B$3,'Coeff EC7'!$T$65:$X$85,2,0)*Model0.1T!FH346)/1.5,PI()*FE$12*$Q346*($B346-$B345)*0.15/10+FI345)</f>
        <v>#N/A</v>
      </c>
      <c r="FJ346" s="102" t="e">
        <f>(VLOOKUP($B$3,'Coeff EC7'!$T$39:$X$59,3,0)*FG346+VLOOKUP($B$3,'Coeff EC7'!$T$65:$X$85,3,0)*Model0.1T!FH346)/1.1</f>
        <v>#N/A</v>
      </c>
      <c r="FK346" s="102" t="e">
        <f t="shared" si="598"/>
        <v>#N/A</v>
      </c>
      <c r="FL346" s="102" t="e">
        <f t="shared" si="599"/>
        <v>#N/A</v>
      </c>
      <c r="FM346" s="414" t="e">
        <f>IF(AND(FI346&gt;NDC!$C$63,FJ346&gt;NDC!$C$65,FK346&gt;NDC!$D$73,FL346&gt;NDC!$D$74,$B346&gt;NDC!$H$22-0.1+MIN(3*FM$12,1.5)),0,1)</f>
        <v>#N/A</v>
      </c>
    </row>
    <row r="347" spans="1:169">
      <c r="A347" s="96">
        <f t="shared" si="565"/>
        <v>66.600000000001899</v>
      </c>
      <c r="B347" s="97">
        <v>33.4</v>
      </c>
      <c r="C347" s="81">
        <f>IF(B347&lt;=Hypothèses!$C$7,Hypothèses!$A$7,IF(B347&lt;=Hypothèses!$C$8,Hypothèses!$A$8,IF(B347&lt;=Hypothèses!$C$9,Hypothèses!$A$9,IF(B347&lt;=Hypothèses!$C$10,Hypothèses!$A$10,IF(B347&lt;=Hypothèses!$C$11,Hypothèses!$A$11,IF(B347&lt;=Hypothèses!$C$12,Hypothèses!$A$12,IF(B347&lt;=Hypothèses!$C$13,Hypothèses!$A$13,IF(B347&lt;=Hypothèses!$C$14,Hypothèses!$A$14,IF(B347&lt;=Hypothèses!$C$15,Hypothèses!$A$15,IF(B347&lt;=Hypothèses!$C$16,Hypothèses!$A$16,IF(B347&lt;=Hypothèses!$C$17,Hypothèses!$A$17,IF(B347&lt;=Hypothèses!$C$18,Hypothèses!$A$18,C346))))))))))))</f>
        <v>11</v>
      </c>
      <c r="D347" s="82" t="str">
        <f>IF(B347&lt;=Hypothèses!$C$7,Hypothèses!$R$7,IF(B347&lt;=Hypothèses!$C$8,Hypothèses!$R$8,IF(B347&lt;=Hypothèses!$C$9,Hypothèses!$R$9,IF(B347&lt;=Hypothèses!$C$10,Hypothèses!$R$10,IF(B347&lt;=Hypothèses!$C$11,Hypothèses!$R$11,IF(B347&lt;=Hypothèses!$C$12,Hypothèses!$R$12,IF(B347&lt;=Hypothèses!$C$13,Hypothèses!$R$13,IF(B347&lt;=Hypothèses!$C$14,Hypothèses!$R$14,IF(B347&lt;=Hypothèses!$C$15,Hypothèses!$R$15,IF(B347&lt;=Hypothèses!$C$16,Hypothèses!$R$16,IF(B347&lt;=Hypothèses!$C$17,Hypothèses!$R$17,IF(B347&lt;=Hypothèses!$C$18,Hypothèses!$R$18,D346))))))))))))</f>
        <v>Pressio.</v>
      </c>
      <c r="E347" s="82" t="e">
        <f>IF(B347&lt;=Hypothèses!$C$7,Hypothèses!$G$7,IF(B347&lt;=Hypothèses!$C$8,Hypothèses!$G$8,IF(B347&lt;=Hypothèses!$C$9,Hypothèses!$G$9,IF(B347&lt;=Hypothèses!$C$10,Hypothèses!$G$10,IF(B347&lt;=Hypothèses!$C$11,Hypothèses!$G$11,IF(B347&lt;=Hypothèses!$C$12,Hypothèses!$G$12,IF(B347&lt;=Hypothèses!$C$13,Hypothèses!$G$13,IF(B347&lt;=Hypothèses!$C$14,Hypothèses!$G$14,IF(B347&lt;=Hypothèses!$C$15,Hypothèses!$G$15,IF(B347&lt;=Hypothèses!$C$16,Hypothèses!$G$16,IF(B347&lt;=Hypothèses!$C$17,Hypothèses!$G$17,IF(B347&lt;=Hypothèses!$C$18,Hypothèses!$G$18,E346))))))))))))</f>
        <v>#N/A</v>
      </c>
      <c r="F347" s="82" t="str">
        <f>IF(B347&lt;=Hypothèses!$C$7,Hypothèses!$F$7,IF(B347&lt;=Hypothèses!$C$8,Hypothèses!$F$8,IF(B347&lt;=Hypothèses!$C$9,Hypothèses!$F$9,IF(B347&lt;=Hypothèses!$C$10,Hypothèses!$F$10,IF(B347&lt;=Hypothèses!$C$11,Hypothèses!$F$11,IF(B347&lt;=Hypothèses!$C$12,Hypothèses!$F$12,IF(B347&lt;=Hypothèses!$C$13,Hypothèses!$F$13,IF(B347&lt;=Hypothèses!$C$14,Hypothèses!$F$14,IF(B347&lt;=Hypothèses!$C$15,Hypothèses!$F$15,IF(B347&lt;=Hypothèses!$C$16,Hypothèses!$F$16,IF(B347&lt;=Hypothèses!$C$17,Hypothèses!$F$17,IF(B347&lt;=Hypothèses!$C$18,Hypothèses!$F$18,F346))))))))))))</f>
        <v/>
      </c>
      <c r="G347" s="91">
        <f t="array" ref="G347">INDEX('Coeff EC7'!$U$7:$X$27,
MATCH(Model0.1T!$B$3,'Coeff EC7'!$T$7:$T$27,0),
MATCH(Model0.1T!$D347&amp;Model0.1T!$B$4,
'Coeff EC7'!$U$6:$X$6&amp;
'Coeff EC7'!$U$5:$X$5,0))</f>
        <v>1.4</v>
      </c>
      <c r="H347" s="91">
        <f t="array" ref="H347">INDEX('Coeff EC7'!$Y$7:$AB$27,
MATCH(Model0.1T!$B$3,'Coeff EC7'!$T$7:$T$27,0),
MATCH(Model0.1T!$D347&amp;Model0.1T!$B$4,
'Coeff EC7'!$Y$6:$AB$6&amp;
'Coeff EC7'!$Y$5:$AB$5,0))</f>
        <v>1.7</v>
      </c>
      <c r="I347" s="83">
        <v>0</v>
      </c>
      <c r="J347" s="91" t="e">
        <f t="array" ref="J347">INDEX('Coeff EC7'!$D$33:$Q$33,1,MATCH(D347&amp;E347,'Coeff EC7'!$D$31:$Q$31&amp;'Coeff EC7'!$D$32:$Q$32,0))</f>
        <v>#N/A</v>
      </c>
      <c r="K347" s="91" t="e">
        <f t="array" ref="K347">INDEX('Coeff EC7'!$D$34:$Q$34,1,MATCH(D347&amp;E347,'Coeff EC7'!$D$31:$Q$31&amp;'Coeff EC7'!$D$32:$Q$32,0))</f>
        <v>#N/A</v>
      </c>
      <c r="L347" s="91" t="e">
        <f t="array" ref="L347">INDEX('Coeff EC7'!$D$35:$Q$35,1,MATCH(D347&amp;E347,'Coeff EC7'!$D$31:$Q$31&amp;'Coeff EC7'!$D$32:$Q$32,0))</f>
        <v>#N/A</v>
      </c>
      <c r="M347" s="98" t="e">
        <f t="shared" si="531"/>
        <v>#N/A</v>
      </c>
      <c r="N347" s="99" t="e">
        <f t="array" ref="N347">INDEX('Coeff EC7'!$D$7:$Q$27,MATCH($B$3,'Coeff EC7'!$C$7:$C$27,0),MATCH(D347&amp;E347,'Coeff EC7'!$D$5:$Q$5&amp;'Coeff EC7'!$D$6:$Q$6,0))</f>
        <v>#N/A</v>
      </c>
      <c r="O347" s="99" t="e">
        <f t="array" ref="O347">INDEX('Coeff EC7'!$D$41:$Q$61,MATCH($B$3,'Coeff EC7'!$C$41:$C$61,0),MATCH(D347&amp;E347,'Coeff EC7'!$D$39:$Q$39&amp;'Coeff EC7'!$D$40:$Q$40,0))</f>
        <v>#N/A</v>
      </c>
      <c r="P347" s="30" t="e">
        <f t="shared" si="566"/>
        <v>#N/A</v>
      </c>
      <c r="Q347" s="100" t="e">
        <f t="shared" si="533"/>
        <v>#N/A</v>
      </c>
      <c r="R347" s="86" t="b">
        <f t="shared" si="534"/>
        <v>0</v>
      </c>
      <c r="S347" s="86">
        <f t="shared" si="532"/>
        <v>0.5</v>
      </c>
      <c r="T347" s="86">
        <f t="shared" si="535"/>
        <v>0.5</v>
      </c>
      <c r="U347" s="30" t="e">
        <f t="shared" ca="1" si="567"/>
        <v>#DIV/0!</v>
      </c>
      <c r="V347" s="85" t="str">
        <f>IF(B347&lt;=Hypothèses!$V$7,Hypothèses!$W$7,IF(B347&lt;=Hypothèses!$V$8,Hypothèses!$W$8,IF(B347&lt;=Hypothèses!$V$9,Hypothèses!$W$9,IF(B347&lt;=Hypothèses!$V$10,Hypothèses!$W$10,IF(B347&lt;=Hypothèses!$V$11,Hypothèses!$W$11,IF(B347&lt;=Hypothèses!$V$12,Hypothèses!$W$12,IF(B347&lt;=Hypothèses!$V$13,Hypothèses!$W$13,IF(B347&lt;=Hypothèses!$V$14,Hypothèses!$W$14,IF(B347&lt;=Hypothèses!$V$15,Hypothèses!$W$15,IF(B347&lt;=Hypothèses!$V$16,Hypothèses!$W$16,IF(B347&lt;=Hypothèses!$V$17,Hypothèses!$W$17,IF(B347&lt;=Hypothèses!$V$18,Hypothèses!$W$18,""))))))))))))</f>
        <v/>
      </c>
      <c r="W347" s="87" t="e">
        <f t="shared" ca="1" si="616"/>
        <v>#DIV/0!</v>
      </c>
      <c r="X347" s="88" t="str">
        <f>IF(B347&lt;=Hypothèses!$V$7,Hypothèses!$X$7,IF(B347&lt;=Hypothèses!$V$8,Hypothèses!$X$8,IF(B347&lt;=Hypothèses!$V$9,Hypothèses!$X$9,IF(B347&lt;=Hypothèses!$V$10,Hypothèses!$X$10,IF(B347&lt;=Hypothèses!$V$11,Hypothèses!$X$11,IF(B347&lt;=Hypothèses!$V$12,Hypothèses!$X$12,IF(B347&lt;=Hypothèses!$V$13,Hypothèses!$X$13,IF(B347&lt;=Hypothèses!$V$14,Hypothèses!$X$14,IF(B347&lt;=Hypothèses!$V$15,Hypothèses!$X$15,IF(B347&lt;=Hypothèses!$V$16,Hypothèses!$X$16,IF(B347&lt;=Hypothèses!$U$17,Hypothèses!$W$17,IF(B347&lt;=Hypothèses!$U$18,Hypothèses!$W$18,""))))))))))))</f>
        <v/>
      </c>
      <c r="Y347" s="95" t="e">
        <f t="shared" ca="1" si="536"/>
        <v>#DIV/0!</v>
      </c>
      <c r="Z347" s="101">
        <f t="shared" si="537"/>
        <v>0</v>
      </c>
      <c r="AA347" s="91">
        <f t="shared" si="538"/>
        <v>0</v>
      </c>
      <c r="AB347" s="30" t="e">
        <f t="shared" si="600"/>
        <v>#N/A</v>
      </c>
      <c r="AC347" s="30" t="e">
        <f t="shared" si="601"/>
        <v>#N/A</v>
      </c>
      <c r="AD347" s="31" t="e">
        <f>IF(OR(Hypothèses!$B$4=17,Hypothèses!$B$4=18,Hypothèses!$B$4=19,Hypothèses!$B$4=20),
IF($D347="Pressio.",
IF(OR($E347=3,$E347=1,$E347=4),AC347,AB347),
IF($D347="Pénétro.",
IF(OR($E347=3,$E347=1,$E347=4),AC347,AB347))),IF($D347="Pressio.",
IF($E347=3,AC347,AB347),
IF($D347="Pénétro.",
IF($E347=4,AC347,AB347))))</f>
        <v>#N/A</v>
      </c>
      <c r="AE347" s="31">
        <v>0</v>
      </c>
      <c r="AF347" s="102" t="e">
        <f>IF(NDC!$H$10="Oui",(VLOOKUP($B$3,'Coeff EC7'!$T$39:$X$59,2,0)*AD347+VLOOKUP($B$3,'Coeff EC7'!$T$65:$X$85,2,0)*Model0.1T!AE347)/1.5,PI()*AB$12*$Q347*($B347-$B346)*0.15/10+AF346)</f>
        <v>#N/A</v>
      </c>
      <c r="AG347" s="102" t="e">
        <f>(VLOOKUP($B$3,'Coeff EC7'!$T$39:$X$59,3,0)*AD347+VLOOKUP($B$3,'Coeff EC7'!$T$65:$X$85,3,0)*Model0.1T!AE347)/1.1</f>
        <v>#N/A</v>
      </c>
      <c r="AH347" s="102" t="e">
        <f t="shared" si="568"/>
        <v>#N/A</v>
      </c>
      <c r="AI347" s="102" t="e">
        <f t="shared" si="569"/>
        <v>#N/A</v>
      </c>
      <c r="AJ347" s="414" t="e">
        <f>IF(AND(AF347&gt;NDC!$C$63,AG347&gt;NDC!$C$65,AH347&gt;NDC!$D$73,AI347&gt;NDC!$D$74,$B347&gt;NDC!$H$22-0.1+MIN(3*$AJ$12,1.5)),0,1)</f>
        <v>#N/A</v>
      </c>
      <c r="AK347" s="86" t="b">
        <f t="shared" si="539"/>
        <v>0</v>
      </c>
      <c r="AL347" s="86">
        <f t="shared" si="570"/>
        <v>0.5</v>
      </c>
      <c r="AM347" s="86">
        <f t="shared" si="540"/>
        <v>0.5</v>
      </c>
      <c r="AN347" s="30" t="e">
        <f t="shared" ca="1" si="571"/>
        <v>#DIV/0!</v>
      </c>
      <c r="AO347" s="85" t="e">
        <f ca="1">IF(U347&lt;=Hypothèses!$V$7,Hypothèses!$W$7,IF(U347&lt;=Hypothèses!$V$8,Hypothèses!$W$8,IF(U347&lt;=Hypothèses!$V$9,Hypothèses!$W$9,IF(U347&lt;=Hypothèses!$V$10,Hypothèses!$W$10,IF(U347&lt;=Hypothèses!$V$11,Hypothèses!$W$11,IF(U347&lt;=Hypothèses!$V$12,Hypothèses!$W$12,IF(U347&lt;=Hypothèses!$V$13,Hypothèses!$W$13,IF(U347&lt;=Hypothèses!$V$14,Hypothèses!$W$14,IF(U347&lt;=Hypothèses!$V$15,Hypothèses!$W$15,IF(U347&lt;=Hypothèses!$V$16,Hypothèses!$W$16,IF(U347&lt;=Hypothèses!$V$17,Hypothèses!$W$17,IF(U347&lt;=Hypothèses!$V$18,Hypothèses!$W$18,""))))))))))))</f>
        <v>#DIV/0!</v>
      </c>
      <c r="AP347" s="87" t="e">
        <f t="shared" ca="1" si="617"/>
        <v>#DIV/0!</v>
      </c>
      <c r="AQ347" s="88" t="e">
        <f ca="1">IF(U347&lt;=Hypothèses!$V$7,Hypothèses!$X$7,IF(U347&lt;=Hypothèses!$V$8,Hypothèses!$X$8,IF(U347&lt;=Hypothèses!$V$9,Hypothèses!$X$9,IF(U347&lt;=Hypothèses!$V$10,Hypothèses!$X$10,IF(U347&lt;=Hypothèses!$V$11,Hypothèses!$X$11,IF(U347&lt;=Hypothèses!$V$12,Hypothèses!$X$12,IF(U347&lt;=Hypothèses!$V$13,Hypothèses!$X$13,IF(U347&lt;=Hypothèses!$V$14,Hypothèses!$X$14,IF(U347&lt;=Hypothèses!$V$15,Hypothèses!$X$15,IF(U347&lt;=Hypothèses!$V$16,Hypothèses!$X$16,IF(U347&lt;=Hypothèses!$U$17,Hypothèses!$W$17,IF(U347&lt;=Hypothèses!$U$18,Hypothèses!$W$18,""))))))))))))</f>
        <v>#DIV/0!</v>
      </c>
      <c r="AR347" s="95" t="e">
        <f t="shared" ca="1" si="572"/>
        <v>#DIV/0!</v>
      </c>
      <c r="AS347" s="101">
        <f t="shared" si="624"/>
        <v>0</v>
      </c>
      <c r="AT347" s="91">
        <f t="shared" si="541"/>
        <v>0</v>
      </c>
      <c r="AU347" s="30" t="e">
        <f t="shared" si="602"/>
        <v>#N/A</v>
      </c>
      <c r="AV347" s="30" t="e">
        <f t="shared" si="603"/>
        <v>#N/A</v>
      </c>
      <c r="AW347" s="31" t="e">
        <f>IF(OR(Hypothèses!$B$4=17,Hypothèses!$B$4=18,Hypothèses!$B$4=19,Hypothèses!$B$4=20),
IF($D347="Pressio.",
IF(OR($E347=3,$E347=1,$E347=4),AV347,AU347),
IF($D347="Pénétro.",
IF(OR($E347=3,$E347=1,$E347=4),AV347,AU347))),IF($D347="Pressio.",
IF($E347=3,AV347,AU347),
IF($D347="Pénétro.",
IF($E347=4,AV347,AU347))))</f>
        <v>#N/A</v>
      </c>
      <c r="AX347" s="31">
        <v>0</v>
      </c>
      <c r="AY347" s="102" t="e">
        <f>IF(NDC!$H$10="Oui",(VLOOKUP($B$3,'Coeff EC7'!$T$39:$X$59,2,0)*AW347+VLOOKUP($B$3,'Coeff EC7'!$T$65:$X$85,2,0)*Model0.1T!AX347)/1.5,PI()*AU$12*$Q347*($B347-$B346)*0.15/10+AY346)</f>
        <v>#N/A</v>
      </c>
      <c r="AZ347" s="102" t="e">
        <f>(VLOOKUP($B$3,'Coeff EC7'!$T$39:$X$59,3,0)*AW347+VLOOKUP($B$3,'Coeff EC7'!$T$65:$X$85,3,0)*Model0.1T!AX347)/1.1</f>
        <v>#N/A</v>
      </c>
      <c r="BA347" s="102" t="e">
        <f t="shared" si="573"/>
        <v>#N/A</v>
      </c>
      <c r="BB347" s="102" t="e">
        <f t="shared" si="574"/>
        <v>#N/A</v>
      </c>
      <c r="BC347" s="414" t="e">
        <f>IF(AND(AY347&gt;NDC!$C$63,AZ347&gt;NDC!$C$65,BA347&gt;NDC!$D$73,BB347&gt;NDC!$D$74,$B347&gt;NDC!$H$22-0.1+MIN(3*BC$12,1.5)),0,1)</f>
        <v>#N/A</v>
      </c>
      <c r="BD347" s="86" t="b">
        <f t="shared" si="542"/>
        <v>0</v>
      </c>
      <c r="BE347" s="86">
        <f t="shared" si="575"/>
        <v>0.5</v>
      </c>
      <c r="BF347" s="86">
        <f t="shared" si="543"/>
        <v>0.5</v>
      </c>
      <c r="BG347" s="30" t="e">
        <f t="shared" ca="1" si="576"/>
        <v>#DIV/0!</v>
      </c>
      <c r="BH347" s="85" t="e">
        <f ca="1">IF(AN347&lt;=Hypothèses!$V$7,Hypothèses!$W$7,IF(AN347&lt;=Hypothèses!$V$8,Hypothèses!$W$8,IF(AN347&lt;=Hypothèses!$V$9,Hypothèses!$W$9,IF(AN347&lt;=Hypothèses!$V$10,Hypothèses!$W$10,IF(AN347&lt;=Hypothèses!$V$11,Hypothèses!$W$11,IF(AN347&lt;=Hypothèses!$V$12,Hypothèses!$W$12,IF(AN347&lt;=Hypothèses!$V$13,Hypothèses!$W$13,IF(AN347&lt;=Hypothèses!$V$14,Hypothèses!$W$14,IF(AN347&lt;=Hypothèses!$V$15,Hypothèses!$W$15,IF(AN347&lt;=Hypothèses!$V$16,Hypothèses!$W$16,IF(AN347&lt;=Hypothèses!$V$17,Hypothèses!$W$17,IF(AN347&lt;=Hypothèses!$V$18,Hypothèses!$W$18,""))))))))))))</f>
        <v>#DIV/0!</v>
      </c>
      <c r="BI347" s="87" t="e">
        <f t="shared" ca="1" si="618"/>
        <v>#DIV/0!</v>
      </c>
      <c r="BJ347" s="88" t="e">
        <f ca="1">IF(AN347&lt;=Hypothèses!$V$7,Hypothèses!$X$7,IF(AN347&lt;=Hypothèses!$V$8,Hypothèses!$X$8,IF(AN347&lt;=Hypothèses!$V$9,Hypothèses!$X$9,IF(AN347&lt;=Hypothèses!$V$10,Hypothèses!$X$10,IF(AN347&lt;=Hypothèses!$V$11,Hypothèses!$X$11,IF(AN347&lt;=Hypothèses!$V$12,Hypothèses!$X$12,IF(AN347&lt;=Hypothèses!$V$13,Hypothèses!$X$13,IF(AN347&lt;=Hypothèses!$V$14,Hypothèses!$X$14,IF(AN347&lt;=Hypothèses!$V$15,Hypothèses!$X$15,IF(AN347&lt;=Hypothèses!$V$16,Hypothèses!$X$16,IF(AN347&lt;=Hypothèses!$U$17,Hypothèses!$W$17,IF(AN347&lt;=Hypothèses!$U$18,Hypothèses!$W$18,""))))))))))))</f>
        <v>#DIV/0!</v>
      </c>
      <c r="BK347" s="95" t="e">
        <f t="shared" ca="1" si="577"/>
        <v>#DIV/0!</v>
      </c>
      <c r="BL347" s="101">
        <f t="shared" si="625"/>
        <v>0</v>
      </c>
      <c r="BM347" s="91">
        <f t="shared" si="544"/>
        <v>0</v>
      </c>
      <c r="BN347" s="30" t="e">
        <f t="shared" si="604"/>
        <v>#N/A</v>
      </c>
      <c r="BO347" s="30" t="e">
        <f t="shared" si="605"/>
        <v>#N/A</v>
      </c>
      <c r="BP347" s="31" t="e">
        <f>IF(OR(Hypothèses!$B$4=17,Hypothèses!$B$4=18,Hypothèses!$B$4=19,Hypothèses!$B$4=20),
IF($D347="Pressio.",
IF(OR($E347=3,$E347=1,$E347=4),BO347,BN347),
IF($D347="Pénétro.",
IF(OR($E347=3,$E347=1,$E347=4),BO347,BN347))),IF($D347="Pressio.",
IF($E347=3,BO347,BN347),
IF($D347="Pénétro.",
IF($E347=4,BO347,BN347))))</f>
        <v>#N/A</v>
      </c>
      <c r="BQ347" s="31">
        <v>0</v>
      </c>
      <c r="BR347" s="102" t="e">
        <f>IF(NDC!$H$10="Oui",(VLOOKUP($B$3,'Coeff EC7'!$T$39:$X$59,2,0)*BP347+VLOOKUP($B$3,'Coeff EC7'!$T$65:$X$85,2,0)*Model0.1T!BQ347)/1.5,PI()*BN$12*$Q347*($B347-$B346)*0.15/10+BR346)</f>
        <v>#N/A</v>
      </c>
      <c r="BS347" s="102" t="e">
        <f>(VLOOKUP($B$3,'Coeff EC7'!$T$39:$X$59,3,0)*BP347+VLOOKUP($B$3,'Coeff EC7'!$T$65:$X$85,3,0)*Model0.1T!BQ347)/1.1</f>
        <v>#N/A</v>
      </c>
      <c r="BT347" s="102" t="e">
        <f t="shared" si="578"/>
        <v>#N/A</v>
      </c>
      <c r="BU347" s="102" t="e">
        <f t="shared" si="579"/>
        <v>#N/A</v>
      </c>
      <c r="BV347" s="414" t="e">
        <f>IF(AND(BR347&gt;NDC!$C$63,BS347&gt;NDC!$C$65,BT347&gt;NDC!$D$73,BU347&gt;NDC!$D$74,$B347&gt;NDC!$H$22-0.1+MIN(3*BV$12,1.5)),0,1)</f>
        <v>#N/A</v>
      </c>
      <c r="BW347" s="86" t="b">
        <f t="shared" si="545"/>
        <v>0</v>
      </c>
      <c r="BX347" s="86">
        <f t="shared" si="546"/>
        <v>0.5</v>
      </c>
      <c r="BY347" s="86">
        <f t="shared" si="547"/>
        <v>0.5</v>
      </c>
      <c r="BZ347" s="30" t="e">
        <f t="shared" ca="1" si="580"/>
        <v>#DIV/0!</v>
      </c>
      <c r="CA347" s="85" t="e">
        <f ca="1">IF(BG347&lt;=Hypothèses!$V$7,Hypothèses!$W$7,IF(BG347&lt;=Hypothèses!$V$8,Hypothèses!$W$8,IF(BG347&lt;=Hypothèses!$V$9,Hypothèses!$W$9,IF(BG347&lt;=Hypothèses!$V$10,Hypothèses!$W$10,IF(BG347&lt;=Hypothèses!$V$11,Hypothèses!$W$11,IF(BG347&lt;=Hypothèses!$V$12,Hypothèses!$W$12,IF(BG347&lt;=Hypothèses!$V$13,Hypothèses!$W$13,IF(BG347&lt;=Hypothèses!$V$14,Hypothèses!$W$14,IF(BG347&lt;=Hypothèses!$V$15,Hypothèses!$W$15,IF(BG347&lt;=Hypothèses!$V$16,Hypothèses!$W$16,IF(BG347&lt;=Hypothèses!$V$17,Hypothèses!$W$17,IF(BG347&lt;=Hypothèses!$V$18,Hypothèses!$W$18,""))))))))))))</f>
        <v>#DIV/0!</v>
      </c>
      <c r="CB347" s="87" t="e">
        <f t="shared" ca="1" si="619"/>
        <v>#DIV/0!</v>
      </c>
      <c r="CC347" s="88" t="e">
        <f ca="1">IF(BG347&lt;=Hypothèses!$V$7,Hypothèses!$X$7,IF(BG347&lt;=Hypothèses!$V$8,Hypothèses!$X$8,IF(BG347&lt;=Hypothèses!$V$9,Hypothèses!$X$9,IF(BG347&lt;=Hypothèses!$V$10,Hypothèses!$X$10,IF(BG347&lt;=Hypothèses!$V$11,Hypothèses!$X$11,IF(BG347&lt;=Hypothèses!$V$12,Hypothèses!$X$12,IF(BG347&lt;=Hypothèses!$V$13,Hypothèses!$X$13,IF(BG347&lt;=Hypothèses!$V$14,Hypothèses!$X$14,IF(BG347&lt;=Hypothèses!$V$15,Hypothèses!$X$15,IF(BG347&lt;=Hypothèses!$V$16,Hypothèses!$X$16,IF(BG347&lt;=Hypothèses!$U$17,Hypothèses!$W$17,IF(BG347&lt;=Hypothèses!$U$18,Hypothèses!$W$18,""))))))))))))</f>
        <v>#DIV/0!</v>
      </c>
      <c r="CD347" s="95" t="e">
        <f t="shared" ca="1" si="581"/>
        <v>#DIV/0!</v>
      </c>
      <c r="CE347" s="101">
        <f t="shared" si="626"/>
        <v>0</v>
      </c>
      <c r="CF347" s="91">
        <f t="shared" si="548"/>
        <v>0</v>
      </c>
      <c r="CG347" s="30" t="e">
        <f t="shared" si="606"/>
        <v>#N/A</v>
      </c>
      <c r="CH347" s="30" t="e">
        <f t="shared" si="607"/>
        <v>#N/A</v>
      </c>
      <c r="CI347" s="31" t="e">
        <f>IF(OR(Hypothèses!$B$4=17,Hypothèses!$B$4=18,Hypothèses!$B$4=19,Hypothèses!$B$4=20),
IF($D347="Pressio.",
IF(OR($E347=3,$E347=1,$E347=4),CH347,CG347),
IF($D347="Pénétro.",
IF(OR($E347=3,$E347=1,$E347=4),CH347,CG347))),IF($D347="Pressio.",
IF($E347=3,CH347,CG347),
IF($D347="Pénétro.",
IF($E347=4,CH347,CG347))))</f>
        <v>#N/A</v>
      </c>
      <c r="CJ347" s="31">
        <v>0</v>
      </c>
      <c r="CK347" s="102" t="e">
        <f>IF(NDC!$H$10="Oui",(VLOOKUP($B$3,'Coeff EC7'!$T$39:$X$59,2,0)*CI347+VLOOKUP($B$3,'Coeff EC7'!$T$65:$X$85,2,0)*Model0.1T!CJ347)/1.5,PI()*CG$12*$Q347*($B347-$B346)*0.15/10+CK346)</f>
        <v>#N/A</v>
      </c>
      <c r="CL347" s="102" t="e">
        <f>(VLOOKUP($B$3,'Coeff EC7'!$T$39:$X$59,3,0)*CI347+VLOOKUP($B$3,'Coeff EC7'!$T$65:$X$85,3,0)*Model0.1T!CJ347)/1.1</f>
        <v>#N/A</v>
      </c>
      <c r="CM347" s="102" t="e">
        <f t="shared" si="582"/>
        <v>#N/A</v>
      </c>
      <c r="CN347" s="102" t="e">
        <f t="shared" si="583"/>
        <v>#N/A</v>
      </c>
      <c r="CO347" s="414" t="e">
        <f>IF(AND(CK347&gt;NDC!$C$63,CL347&gt;NDC!$C$65,CM347&gt;NDC!$D$73,CN347&gt;NDC!$D$74,$B347&gt;NDC!$H$22-0.1+MIN(3*CO$12,1.5)),0,1)</f>
        <v>#N/A</v>
      </c>
      <c r="CP347" s="86" t="b">
        <f t="shared" si="549"/>
        <v>0</v>
      </c>
      <c r="CQ347" s="86">
        <f t="shared" si="550"/>
        <v>0.5</v>
      </c>
      <c r="CR347" s="86">
        <f t="shared" si="551"/>
        <v>0.5</v>
      </c>
      <c r="CS347" s="30" t="e">
        <f t="shared" ca="1" si="584"/>
        <v>#DIV/0!</v>
      </c>
      <c r="CT347" s="85" t="e">
        <f ca="1">IF(BZ347&lt;=Hypothèses!$V$7,Hypothèses!$W$7,IF(BZ347&lt;=Hypothèses!$V$8,Hypothèses!$W$8,IF(BZ347&lt;=Hypothèses!$V$9,Hypothèses!$W$9,IF(BZ347&lt;=Hypothèses!$V$10,Hypothèses!$W$10,IF(BZ347&lt;=Hypothèses!$V$11,Hypothèses!$W$11,IF(BZ347&lt;=Hypothèses!$V$12,Hypothèses!$W$12,IF(BZ347&lt;=Hypothèses!$V$13,Hypothèses!$W$13,IF(BZ347&lt;=Hypothèses!$V$14,Hypothèses!$W$14,IF(BZ347&lt;=Hypothèses!$V$15,Hypothèses!$W$15,IF(BZ347&lt;=Hypothèses!$V$16,Hypothèses!$W$16,IF(BZ347&lt;=Hypothèses!$V$17,Hypothèses!$W$17,IF(BZ347&lt;=Hypothèses!$V$18,Hypothèses!$W$18,""))))))))))))</f>
        <v>#DIV/0!</v>
      </c>
      <c r="CU347" s="87" t="e">
        <f t="shared" ca="1" si="620"/>
        <v>#DIV/0!</v>
      </c>
      <c r="CV347" s="88" t="e">
        <f ca="1">IF(BZ347&lt;=Hypothèses!$V$7,Hypothèses!$X$7,IF(BZ347&lt;=Hypothèses!$V$8,Hypothèses!$X$8,IF(BZ347&lt;=Hypothèses!$V$9,Hypothèses!$X$9,IF(BZ347&lt;=Hypothèses!$V$10,Hypothèses!$X$10,IF(BZ347&lt;=Hypothèses!$V$11,Hypothèses!$X$11,IF(BZ347&lt;=Hypothèses!$V$12,Hypothèses!$X$12,IF(BZ347&lt;=Hypothèses!$V$13,Hypothèses!$X$13,IF(BZ347&lt;=Hypothèses!$V$14,Hypothèses!$X$14,IF(BZ347&lt;=Hypothèses!$V$15,Hypothèses!$X$15,IF(BZ347&lt;=Hypothèses!$V$16,Hypothèses!$X$16,IF(BZ347&lt;=Hypothèses!$U$17,Hypothèses!$W$17,IF(BZ347&lt;=Hypothèses!$U$18,Hypothèses!$W$18,""))))))))))))</f>
        <v>#DIV/0!</v>
      </c>
      <c r="CW347" s="95" t="e">
        <f t="shared" ca="1" si="585"/>
        <v>#DIV/0!</v>
      </c>
      <c r="CX347" s="101">
        <f t="shared" si="627"/>
        <v>0</v>
      </c>
      <c r="CY347" s="91">
        <f t="shared" si="552"/>
        <v>0</v>
      </c>
      <c r="CZ347" s="30" t="e">
        <f t="shared" si="608"/>
        <v>#N/A</v>
      </c>
      <c r="DA347" s="30" t="e">
        <f t="shared" si="609"/>
        <v>#N/A</v>
      </c>
      <c r="DB347" s="31" t="e">
        <f>IF(OR(Hypothèses!$B$4=17,Hypothèses!$B$4=18,Hypothèses!$B$4=19,Hypothèses!$B$4=20),
IF($D347="Pressio.",
IF(OR($E347=3,$E347=1,$E347=4),DA347,CZ347),
IF($D347="Pénétro.",
IF(OR($E347=3,$E347=1,$E347=4),DA347,CZ347))),IF($D347="Pressio.",
IF($E347=3,DA347,CZ347),
IF($D347="Pénétro.",
IF($E347=4,DA347,CZ347))))</f>
        <v>#N/A</v>
      </c>
      <c r="DC347" s="31">
        <v>0</v>
      </c>
      <c r="DD347" s="102" t="e">
        <f>IF(NDC!$H$10="Oui",(VLOOKUP($B$3,'Coeff EC7'!$T$39:$X$59,2,0)*DB347+VLOOKUP($B$3,'Coeff EC7'!$T$65:$X$85,2,0)*Model0.1T!DC347)/1.5,PI()*CZ$12*$Q347*($B347-$B346)*0.15/10+DD346)</f>
        <v>#N/A</v>
      </c>
      <c r="DE347" s="102" t="e">
        <f>(VLOOKUP($B$3,'Coeff EC7'!$T$39:$X$59,3,0)*DB347+VLOOKUP($B$3,'Coeff EC7'!$T$65:$X$85,3,0)*Model0.1T!DC347)/1.1</f>
        <v>#N/A</v>
      </c>
      <c r="DF347" s="102" t="e">
        <f t="shared" si="586"/>
        <v>#N/A</v>
      </c>
      <c r="DG347" s="102" t="e">
        <f t="shared" si="587"/>
        <v>#N/A</v>
      </c>
      <c r="DH347" s="414" t="e">
        <f>IF(AND(DD347&gt;NDC!$C$63,DE347&gt;NDC!$C$65,DF347&gt;NDC!$D$73,DG347&gt;NDC!$D$74,$B347&gt;NDC!$H$22-0.1+MIN(3*DH$12,1.5)),0,1)</f>
        <v>#N/A</v>
      </c>
      <c r="DI347" s="86" t="b">
        <f t="shared" si="553"/>
        <v>0</v>
      </c>
      <c r="DJ347" s="86">
        <f t="shared" si="554"/>
        <v>0.5</v>
      </c>
      <c r="DK347" s="86">
        <f t="shared" si="555"/>
        <v>0.5</v>
      </c>
      <c r="DL347" s="30" t="e">
        <f t="shared" ca="1" si="588"/>
        <v>#DIV/0!</v>
      </c>
      <c r="DM347" s="85" t="e">
        <f ca="1">IF(CS347&lt;=Hypothèses!$V$7,Hypothèses!$W$7,IF(CS347&lt;=Hypothèses!$V$8,Hypothèses!$W$8,IF(CS347&lt;=Hypothèses!$V$9,Hypothèses!$W$9,IF(CS347&lt;=Hypothèses!$V$10,Hypothèses!$W$10,IF(CS347&lt;=Hypothèses!$V$11,Hypothèses!$W$11,IF(CS347&lt;=Hypothèses!$V$12,Hypothèses!$W$12,IF(CS347&lt;=Hypothèses!$V$13,Hypothèses!$W$13,IF(CS347&lt;=Hypothèses!$V$14,Hypothèses!$W$14,IF(CS347&lt;=Hypothèses!$V$15,Hypothèses!$W$15,IF(CS347&lt;=Hypothèses!$V$16,Hypothèses!$W$16,IF(CS347&lt;=Hypothèses!$V$17,Hypothèses!$W$17,IF(CS347&lt;=Hypothèses!$V$18,Hypothèses!$W$18,""))))))))))))</f>
        <v>#DIV/0!</v>
      </c>
      <c r="DN347" s="87" t="e">
        <f t="shared" ca="1" si="621"/>
        <v>#DIV/0!</v>
      </c>
      <c r="DO347" s="88" t="e">
        <f ca="1">IF(CS347&lt;=Hypothèses!$V$7,Hypothèses!$X$7,IF(CS347&lt;=Hypothèses!$V$8,Hypothèses!$X$8,IF(CS347&lt;=Hypothèses!$V$9,Hypothèses!$X$9,IF(CS347&lt;=Hypothèses!$V$10,Hypothèses!$X$10,IF(CS347&lt;=Hypothèses!$V$11,Hypothèses!$X$11,IF(CS347&lt;=Hypothèses!$V$12,Hypothèses!$X$12,IF(CS347&lt;=Hypothèses!$V$13,Hypothèses!$X$13,IF(CS347&lt;=Hypothèses!$V$14,Hypothèses!$X$14,IF(CS347&lt;=Hypothèses!$V$15,Hypothèses!$X$15,IF(CS347&lt;=Hypothèses!$V$16,Hypothèses!$X$16,IF(CS347&lt;=Hypothèses!$U$17,Hypothèses!$W$17,IF(CS347&lt;=Hypothèses!$U$18,Hypothèses!$W$18,""))))))))))))</f>
        <v>#DIV/0!</v>
      </c>
      <c r="DP347" s="95" t="e">
        <f t="shared" ca="1" si="589"/>
        <v>#DIV/0!</v>
      </c>
      <c r="DQ347" s="101">
        <f t="shared" si="628"/>
        <v>0</v>
      </c>
      <c r="DR347" s="91">
        <f t="shared" si="556"/>
        <v>0</v>
      </c>
      <c r="DS347" s="30" t="e">
        <f t="shared" si="610"/>
        <v>#N/A</v>
      </c>
      <c r="DT347" s="30" t="e">
        <f t="shared" si="611"/>
        <v>#N/A</v>
      </c>
      <c r="DU347" s="31" t="e">
        <f>IF(OR(Hypothèses!$B$4=17,Hypothèses!$B$4=18,Hypothèses!$B$4=19,Hypothèses!$B$4=20),
IF($D347="Pressio.",
IF(OR($E347=3,$E347=1,$E347=4),DT347,DS347),
IF($D347="Pénétro.",
IF(OR($E347=3,$E347=1,$E347=4),DT347,DS347))),IF($D347="Pressio.",
IF($E347=3,DT347,DS347),
IF($D347="Pénétro.",
IF($E347=4,DT347,DS347))))</f>
        <v>#N/A</v>
      </c>
      <c r="DV347" s="31">
        <v>0</v>
      </c>
      <c r="DW347" s="102" t="e">
        <f>IF(NDC!$H$10="Oui",(VLOOKUP($B$3,'Coeff EC7'!$T$39:$X$59,2,0)*DU347+VLOOKUP($B$3,'Coeff EC7'!$T$65:$X$85,2,0)*Model0.1T!DV347)/1.5,PI()*DS$12*$Q347*($B347-$B346)*0.15/10+DW346)</f>
        <v>#N/A</v>
      </c>
      <c r="DX347" s="102" t="e">
        <f>(VLOOKUP($B$3,'Coeff EC7'!$T$39:$X$59,3,0)*DU347+VLOOKUP($B$3,'Coeff EC7'!$T$65:$X$85,3,0)*Model0.1T!DV347)/1.1</f>
        <v>#N/A</v>
      </c>
      <c r="DY347" s="102" t="e">
        <f t="shared" si="590"/>
        <v>#N/A</v>
      </c>
      <c r="DZ347" s="102" t="e">
        <f t="shared" si="591"/>
        <v>#N/A</v>
      </c>
      <c r="EA347" s="414" t="e">
        <f>IF(AND(DW347&gt;NDC!$C$63,DX347&gt;NDC!$C$65,DY347&gt;NDC!$D$73,DZ347&gt;NDC!$D$74,$B347&gt;NDC!$H$22-0.1+MIN(3*EA$12,1.5)),0,1)</f>
        <v>#N/A</v>
      </c>
      <c r="EB347" s="86" t="b">
        <f t="shared" si="557"/>
        <v>0</v>
      </c>
      <c r="EC347" s="418">
        <f t="shared" si="558"/>
        <v>0.51</v>
      </c>
      <c r="ED347" s="86">
        <f t="shared" si="559"/>
        <v>0.51</v>
      </c>
      <c r="EE347" s="30" t="e">
        <f t="shared" ca="1" si="592"/>
        <v>#DIV/0!</v>
      </c>
      <c r="EF347" s="85" t="e">
        <f ca="1">IF(DL347&lt;=Hypothèses!$V$7,Hypothèses!$W$7,IF(DL347&lt;=Hypothèses!$V$8,Hypothèses!$W$8,IF(DL347&lt;=Hypothèses!$V$9,Hypothèses!$W$9,IF(DL347&lt;=Hypothèses!$V$10,Hypothèses!$W$10,IF(DL347&lt;=Hypothèses!$V$11,Hypothèses!$W$11,IF(DL347&lt;=Hypothèses!$V$12,Hypothèses!$W$12,IF(DL347&lt;=Hypothèses!$V$13,Hypothèses!$W$13,IF(DL347&lt;=Hypothèses!$V$14,Hypothèses!$W$14,IF(DL347&lt;=Hypothèses!$V$15,Hypothèses!$W$15,IF(DL347&lt;=Hypothèses!$V$16,Hypothèses!$W$16,IF(DL347&lt;=Hypothèses!$V$17,Hypothèses!$W$17,IF(DL347&lt;=Hypothèses!$V$18,Hypothèses!$W$18,""))))))))))))</f>
        <v>#DIV/0!</v>
      </c>
      <c r="EG347" s="87" t="e">
        <f t="shared" ca="1" si="622"/>
        <v>#DIV/0!</v>
      </c>
      <c r="EH347" s="88" t="e">
        <f ca="1">IF(DL347&lt;=Hypothèses!$V$7,Hypothèses!$X$7,IF(DL347&lt;=Hypothèses!$V$8,Hypothèses!$X$8,IF(DL347&lt;=Hypothèses!$V$9,Hypothèses!$X$9,IF(DL347&lt;=Hypothèses!$V$10,Hypothèses!$X$10,IF(DL347&lt;=Hypothèses!$V$11,Hypothèses!$X$11,IF(DL347&lt;=Hypothèses!$V$12,Hypothèses!$X$12,IF(DL347&lt;=Hypothèses!$V$13,Hypothèses!$X$13,IF(DL347&lt;=Hypothèses!$V$14,Hypothèses!$X$14,IF(DL347&lt;=Hypothèses!$V$15,Hypothèses!$X$15,IF(DL347&lt;=Hypothèses!$V$16,Hypothèses!$X$16,IF(DL347&lt;=Hypothèses!$U$17,Hypothèses!$W$17,IF(DL347&lt;=Hypothèses!$U$18,Hypothèses!$W$18,""))))))))))))</f>
        <v>#DIV/0!</v>
      </c>
      <c r="EI347" s="95" t="e">
        <f t="shared" ca="1" si="593"/>
        <v>#DIV/0!</v>
      </c>
      <c r="EJ347" s="101">
        <f t="shared" si="629"/>
        <v>0</v>
      </c>
      <c r="EK347" s="91">
        <f t="shared" si="560"/>
        <v>0</v>
      </c>
      <c r="EL347" s="30" t="e">
        <f t="shared" si="612"/>
        <v>#N/A</v>
      </c>
      <c r="EM347" s="30" t="e">
        <f t="shared" si="613"/>
        <v>#N/A</v>
      </c>
      <c r="EN347" s="31" t="e">
        <f>IF(OR(Hypothèses!$B$4=17,Hypothèses!$B$4=18,Hypothèses!$B$4=19,Hypothèses!$B$4=20),
IF($D347="Pressio.",
IF(OR($E347=3,$E347=1,$E347=4),EM347,EL347),
IF($D347="Pénétro.",
IF(OR($E347=3,$E347=1,$E347=4),EM347,EL347))),IF($D347="Pressio.",
IF($E347=3,EM347,EL347),
IF($D347="Pénétro.",
IF($E347=4,EM347,EL347))))</f>
        <v>#N/A</v>
      </c>
      <c r="EO347" s="31">
        <v>0</v>
      </c>
      <c r="EP347" s="102" t="e">
        <f>IF(NDC!$H$10="Oui",(VLOOKUP($B$3,'Coeff EC7'!$T$39:$X$59,2,0)*EN347+VLOOKUP($B$3,'Coeff EC7'!$T$65:$X$85,2,0)*Model0.1T!EO347)/1.5,PI()*EL$12*$Q347*($B347-$B346)*0.15/10+EP346)</f>
        <v>#N/A</v>
      </c>
      <c r="EQ347" s="102" t="e">
        <f>(VLOOKUP($B$3,'Coeff EC7'!$T$39:$X$59,3,0)*EN347+VLOOKUP($B$3,'Coeff EC7'!$T$65:$X$85,3,0)*Model0.1T!EO347)/1.1</f>
        <v>#N/A</v>
      </c>
      <c r="ER347" s="102" t="e">
        <f t="shared" si="594"/>
        <v>#N/A</v>
      </c>
      <c r="ES347" s="102" t="e">
        <f t="shared" si="595"/>
        <v>#N/A</v>
      </c>
      <c r="ET347" s="414" t="e">
        <f>IF(AND(EP347&gt;NDC!$C$63,EQ347&gt;NDC!$C$65,ER347&gt;NDC!$D$73,ES347&gt;NDC!$D$74,$B347&gt;NDC!$H$22-0.1+MIN(3*ET$12,1.5)),0,1)</f>
        <v>#N/A</v>
      </c>
      <c r="EU347" s="86" t="b">
        <f t="shared" si="561"/>
        <v>0</v>
      </c>
      <c r="EV347" s="86">
        <f t="shared" si="562"/>
        <v>0.61</v>
      </c>
      <c r="EW347" s="86">
        <f t="shared" si="563"/>
        <v>0.61</v>
      </c>
      <c r="EX347" s="30" t="e">
        <f t="shared" ca="1" si="596"/>
        <v>#DIV/0!</v>
      </c>
      <c r="EY347" s="85" t="e">
        <f ca="1">IF(EE347&lt;=Hypothèses!$V$7,Hypothèses!$W$7,IF(EE347&lt;=Hypothèses!$V$8,Hypothèses!$W$8,IF(EE347&lt;=Hypothèses!$V$9,Hypothèses!$W$9,IF(EE347&lt;=Hypothèses!$V$10,Hypothèses!$W$10,IF(EE347&lt;=Hypothèses!$V$11,Hypothèses!$W$11,IF(EE347&lt;=Hypothèses!$V$12,Hypothèses!$W$12,IF(EE347&lt;=Hypothèses!$V$13,Hypothèses!$W$13,IF(EE347&lt;=Hypothèses!$V$14,Hypothèses!$W$14,IF(EE347&lt;=Hypothèses!$V$15,Hypothèses!$W$15,IF(EE347&lt;=Hypothèses!$V$16,Hypothèses!$W$16,IF(EE347&lt;=Hypothèses!$V$17,Hypothèses!$W$17,IF(EE347&lt;=Hypothèses!$V$18,Hypothèses!$W$18,""))))))))))))</f>
        <v>#DIV/0!</v>
      </c>
      <c r="EZ347" s="87" t="e">
        <f t="shared" ca="1" si="623"/>
        <v>#DIV/0!</v>
      </c>
      <c r="FA347" s="88" t="e">
        <f ca="1">IF(EE347&lt;=Hypothèses!$V$7,Hypothèses!$X$7,IF(EE347&lt;=Hypothèses!$V$8,Hypothèses!$X$8,IF(EE347&lt;=Hypothèses!$V$9,Hypothèses!$X$9,IF(EE347&lt;=Hypothèses!$V$10,Hypothèses!$X$10,IF(EE347&lt;=Hypothèses!$V$11,Hypothèses!$X$11,IF(EE347&lt;=Hypothèses!$V$12,Hypothèses!$X$12,IF(EE347&lt;=Hypothèses!$V$13,Hypothèses!$X$13,IF(EE347&lt;=Hypothèses!$V$14,Hypothèses!$X$14,IF(EE347&lt;=Hypothèses!$V$15,Hypothèses!$X$15,IF(EE347&lt;=Hypothèses!$V$16,Hypothèses!$X$16,IF(EE347&lt;=Hypothèses!$U$17,Hypothèses!$W$17,IF(EE347&lt;=Hypothèses!$U$18,Hypothèses!$W$18,""))))))))))))</f>
        <v>#DIV/0!</v>
      </c>
      <c r="FB347" s="95" t="e">
        <f t="shared" ca="1" si="597"/>
        <v>#DIV/0!</v>
      </c>
      <c r="FC347" s="101">
        <f t="shared" si="630"/>
        <v>0</v>
      </c>
      <c r="FD347" s="91">
        <f t="shared" si="564"/>
        <v>0</v>
      </c>
      <c r="FE347" s="30" t="e">
        <f t="shared" si="614"/>
        <v>#N/A</v>
      </c>
      <c r="FF347" s="30" t="e">
        <f t="shared" si="615"/>
        <v>#N/A</v>
      </c>
      <c r="FG347" s="31" t="e">
        <f>IF(OR(Hypothèses!$B$4=17,Hypothèses!$B$4=18,Hypothèses!$B$4=19,Hypothèses!$B$4=20),
IF($D347="Pressio.",
IF(OR($E347=3,$E347=1,$E347=4),FF347,FE347),
IF($D347="Pénétro.",
IF(OR($E347=3,$E347=1,$E347=4),FF347,FE347))),IF($D347="Pressio.",
IF($E347=3,FF347,FE347),
IF($D347="Pénétro.",
IF($E347=4,FF347,FE347))))</f>
        <v>#N/A</v>
      </c>
      <c r="FH347" s="31">
        <v>0</v>
      </c>
      <c r="FI347" s="102" t="e">
        <f>IF(NDC!$H$10="Oui",(VLOOKUP($B$3,'Coeff EC7'!$T$39:$X$59,2,0)*FG347+VLOOKUP($B$3,'Coeff EC7'!$T$65:$X$85,2,0)*Model0.1T!FH347)/1.5,PI()*FE$12*$Q347*($B347-$B346)*0.15/10+FI346)</f>
        <v>#N/A</v>
      </c>
      <c r="FJ347" s="102" t="e">
        <f>(VLOOKUP($B$3,'Coeff EC7'!$T$39:$X$59,3,0)*FG347+VLOOKUP($B$3,'Coeff EC7'!$T$65:$X$85,3,0)*Model0.1T!FH347)/1.1</f>
        <v>#N/A</v>
      </c>
      <c r="FK347" s="102" t="e">
        <f t="shared" si="598"/>
        <v>#N/A</v>
      </c>
      <c r="FL347" s="102" t="e">
        <f t="shared" si="599"/>
        <v>#N/A</v>
      </c>
      <c r="FM347" s="414" t="e">
        <f>IF(AND(FI347&gt;NDC!$C$63,FJ347&gt;NDC!$C$65,FK347&gt;NDC!$D$73,FL347&gt;NDC!$D$74,$B347&gt;NDC!$H$22-0.1+MIN(3*FM$12,1.5)),0,1)</f>
        <v>#N/A</v>
      </c>
    </row>
    <row r="348" spans="1:169">
      <c r="A348" s="96">
        <f t="shared" si="565"/>
        <v>66.500000000001904</v>
      </c>
      <c r="B348" s="97">
        <v>33.5</v>
      </c>
      <c r="C348" s="81">
        <f>IF(B348&lt;=Hypothèses!$C$7,Hypothèses!$A$7,IF(B348&lt;=Hypothèses!$C$8,Hypothèses!$A$8,IF(B348&lt;=Hypothèses!$C$9,Hypothèses!$A$9,IF(B348&lt;=Hypothèses!$C$10,Hypothèses!$A$10,IF(B348&lt;=Hypothèses!$C$11,Hypothèses!$A$11,IF(B348&lt;=Hypothèses!$C$12,Hypothèses!$A$12,IF(B348&lt;=Hypothèses!$C$13,Hypothèses!$A$13,IF(B348&lt;=Hypothèses!$C$14,Hypothèses!$A$14,IF(B348&lt;=Hypothèses!$C$15,Hypothèses!$A$15,IF(B348&lt;=Hypothèses!$C$16,Hypothèses!$A$16,IF(B348&lt;=Hypothèses!$C$17,Hypothèses!$A$17,IF(B348&lt;=Hypothèses!$C$18,Hypothèses!$A$18,C347))))))))))))</f>
        <v>11</v>
      </c>
      <c r="D348" s="82" t="str">
        <f>IF(B348&lt;=Hypothèses!$C$7,Hypothèses!$R$7,IF(B348&lt;=Hypothèses!$C$8,Hypothèses!$R$8,IF(B348&lt;=Hypothèses!$C$9,Hypothèses!$R$9,IF(B348&lt;=Hypothèses!$C$10,Hypothèses!$R$10,IF(B348&lt;=Hypothèses!$C$11,Hypothèses!$R$11,IF(B348&lt;=Hypothèses!$C$12,Hypothèses!$R$12,IF(B348&lt;=Hypothèses!$C$13,Hypothèses!$R$13,IF(B348&lt;=Hypothèses!$C$14,Hypothèses!$R$14,IF(B348&lt;=Hypothèses!$C$15,Hypothèses!$R$15,IF(B348&lt;=Hypothèses!$C$16,Hypothèses!$R$16,IF(B348&lt;=Hypothèses!$C$17,Hypothèses!$R$17,IF(B348&lt;=Hypothèses!$C$18,Hypothèses!$R$18,D347))))))))))))</f>
        <v>Pressio.</v>
      </c>
      <c r="E348" s="82" t="e">
        <f>IF(B348&lt;=Hypothèses!$C$7,Hypothèses!$G$7,IF(B348&lt;=Hypothèses!$C$8,Hypothèses!$G$8,IF(B348&lt;=Hypothèses!$C$9,Hypothèses!$G$9,IF(B348&lt;=Hypothèses!$C$10,Hypothèses!$G$10,IF(B348&lt;=Hypothèses!$C$11,Hypothèses!$G$11,IF(B348&lt;=Hypothèses!$C$12,Hypothèses!$G$12,IF(B348&lt;=Hypothèses!$C$13,Hypothèses!$G$13,IF(B348&lt;=Hypothèses!$C$14,Hypothèses!$G$14,IF(B348&lt;=Hypothèses!$C$15,Hypothèses!$G$15,IF(B348&lt;=Hypothèses!$C$16,Hypothèses!$G$16,IF(B348&lt;=Hypothèses!$C$17,Hypothèses!$G$17,IF(B348&lt;=Hypothèses!$C$18,Hypothèses!$G$18,E347))))))))))))</f>
        <v>#N/A</v>
      </c>
      <c r="F348" s="82" t="str">
        <f>IF(B348&lt;=Hypothèses!$C$7,Hypothèses!$F$7,IF(B348&lt;=Hypothèses!$C$8,Hypothèses!$F$8,IF(B348&lt;=Hypothèses!$C$9,Hypothèses!$F$9,IF(B348&lt;=Hypothèses!$C$10,Hypothèses!$F$10,IF(B348&lt;=Hypothèses!$C$11,Hypothèses!$F$11,IF(B348&lt;=Hypothèses!$C$12,Hypothèses!$F$12,IF(B348&lt;=Hypothèses!$C$13,Hypothèses!$F$13,IF(B348&lt;=Hypothèses!$C$14,Hypothèses!$F$14,IF(B348&lt;=Hypothèses!$C$15,Hypothèses!$F$15,IF(B348&lt;=Hypothèses!$C$16,Hypothèses!$F$16,IF(B348&lt;=Hypothèses!$C$17,Hypothèses!$F$17,IF(B348&lt;=Hypothèses!$C$18,Hypothèses!$F$18,F347))))))))))))</f>
        <v/>
      </c>
      <c r="G348" s="91">
        <f t="array" ref="G348">INDEX('Coeff EC7'!$U$7:$X$27,
MATCH(Model0.1T!$B$3,'Coeff EC7'!$T$7:$T$27,0),
MATCH(Model0.1T!$D348&amp;Model0.1T!$B$4,
'Coeff EC7'!$U$6:$X$6&amp;
'Coeff EC7'!$U$5:$X$5,0))</f>
        <v>1.4</v>
      </c>
      <c r="H348" s="91">
        <f t="array" ref="H348">INDEX('Coeff EC7'!$Y$7:$AB$27,
MATCH(Model0.1T!$B$3,'Coeff EC7'!$T$7:$T$27,0),
MATCH(Model0.1T!$D348&amp;Model0.1T!$B$4,
'Coeff EC7'!$Y$6:$AB$6&amp;
'Coeff EC7'!$Y$5:$AB$5,0))</f>
        <v>1.7</v>
      </c>
      <c r="I348" s="83">
        <v>0</v>
      </c>
      <c r="J348" s="91" t="e">
        <f t="array" ref="J348">INDEX('Coeff EC7'!$D$33:$Q$33,1,MATCH(D348&amp;E348,'Coeff EC7'!$D$31:$Q$31&amp;'Coeff EC7'!$D$32:$Q$32,0))</f>
        <v>#N/A</v>
      </c>
      <c r="K348" s="91" t="e">
        <f t="array" ref="K348">INDEX('Coeff EC7'!$D$34:$Q$34,1,MATCH(D348&amp;E348,'Coeff EC7'!$D$31:$Q$31&amp;'Coeff EC7'!$D$32:$Q$32,0))</f>
        <v>#N/A</v>
      </c>
      <c r="L348" s="91" t="e">
        <f t="array" ref="L348">INDEX('Coeff EC7'!$D$35:$Q$35,1,MATCH(D348&amp;E348,'Coeff EC7'!$D$31:$Q$31&amp;'Coeff EC7'!$D$32:$Q$32,0))</f>
        <v>#N/A</v>
      </c>
      <c r="M348" s="98" t="e">
        <f t="shared" si="531"/>
        <v>#N/A</v>
      </c>
      <c r="N348" s="99" t="e">
        <f t="array" ref="N348">INDEX('Coeff EC7'!$D$7:$Q$27,MATCH($B$3,'Coeff EC7'!$C$7:$C$27,0),MATCH(D348&amp;E348,'Coeff EC7'!$D$5:$Q$5&amp;'Coeff EC7'!$D$6:$Q$6,0))</f>
        <v>#N/A</v>
      </c>
      <c r="O348" s="99" t="e">
        <f t="array" ref="O348">INDEX('Coeff EC7'!$D$41:$Q$61,MATCH($B$3,'Coeff EC7'!$C$41:$C$61,0),MATCH(D348&amp;E348,'Coeff EC7'!$D$39:$Q$39&amp;'Coeff EC7'!$D$40:$Q$40,0))</f>
        <v>#N/A</v>
      </c>
      <c r="P348" s="30" t="e">
        <f t="shared" si="566"/>
        <v>#N/A</v>
      </c>
      <c r="Q348" s="100" t="e">
        <f t="shared" si="533"/>
        <v>#N/A</v>
      </c>
      <c r="R348" s="86" t="b">
        <f t="shared" si="534"/>
        <v>0</v>
      </c>
      <c r="S348" s="86">
        <f t="shared" si="532"/>
        <v>0.5</v>
      </c>
      <c r="T348" s="86">
        <f t="shared" si="535"/>
        <v>0.5</v>
      </c>
      <c r="U348" s="30" t="e">
        <f t="shared" ca="1" si="567"/>
        <v>#DIV/0!</v>
      </c>
      <c r="V348" s="85" t="str">
        <f>IF(B348&lt;=Hypothèses!$V$7,Hypothèses!$W$7,IF(B348&lt;=Hypothèses!$V$8,Hypothèses!$W$8,IF(B348&lt;=Hypothèses!$V$9,Hypothèses!$W$9,IF(B348&lt;=Hypothèses!$V$10,Hypothèses!$W$10,IF(B348&lt;=Hypothèses!$V$11,Hypothèses!$W$11,IF(B348&lt;=Hypothèses!$V$12,Hypothèses!$W$12,IF(B348&lt;=Hypothèses!$V$13,Hypothèses!$W$13,IF(B348&lt;=Hypothèses!$V$14,Hypothèses!$W$14,IF(B348&lt;=Hypothèses!$V$15,Hypothèses!$W$15,IF(B348&lt;=Hypothèses!$V$16,Hypothèses!$W$16,IF(B348&lt;=Hypothèses!$V$17,Hypothèses!$W$17,IF(B348&lt;=Hypothèses!$V$18,Hypothèses!$W$18,""))))))))))))</f>
        <v/>
      </c>
      <c r="W348" s="87" t="e">
        <f t="shared" ca="1" si="616"/>
        <v>#DIV/0!</v>
      </c>
      <c r="X348" s="88" t="str">
        <f>IF(B348&lt;=Hypothèses!$V$7,Hypothèses!$X$7,IF(B348&lt;=Hypothèses!$V$8,Hypothèses!$X$8,IF(B348&lt;=Hypothèses!$V$9,Hypothèses!$X$9,IF(B348&lt;=Hypothèses!$V$10,Hypothèses!$X$10,IF(B348&lt;=Hypothèses!$V$11,Hypothèses!$X$11,IF(B348&lt;=Hypothèses!$V$12,Hypothèses!$X$12,IF(B348&lt;=Hypothèses!$V$13,Hypothèses!$X$13,IF(B348&lt;=Hypothèses!$V$14,Hypothèses!$X$14,IF(B348&lt;=Hypothèses!$V$15,Hypothèses!$X$15,IF(B348&lt;=Hypothèses!$V$16,Hypothèses!$X$16,IF(B348&lt;=Hypothèses!$U$17,Hypothèses!$W$17,IF(B348&lt;=Hypothèses!$U$18,Hypothèses!$W$18,""))))))))))))</f>
        <v/>
      </c>
      <c r="Y348" s="95" t="e">
        <f t="shared" ca="1" si="536"/>
        <v>#DIV/0!</v>
      </c>
      <c r="Z348" s="101">
        <f t="shared" si="537"/>
        <v>0</v>
      </c>
      <c r="AA348" s="91">
        <f t="shared" si="538"/>
        <v>0</v>
      </c>
      <c r="AB348" s="30" t="e">
        <f t="shared" si="600"/>
        <v>#N/A</v>
      </c>
      <c r="AC348" s="30" t="e">
        <f t="shared" si="601"/>
        <v>#N/A</v>
      </c>
      <c r="AD348" s="31" t="e">
        <f>IF(OR(Hypothèses!$B$4=17,Hypothèses!$B$4=18,Hypothèses!$B$4=19,Hypothèses!$B$4=20),
IF($D348="Pressio.",
IF(OR($E348=3,$E348=1,$E348=4),AC348,AB348),
IF($D348="Pénétro.",
IF(OR($E348=3,$E348=1,$E348=4),AC348,AB348))),IF($D348="Pressio.",
IF($E348=3,AC348,AB348),
IF($D348="Pénétro.",
IF($E348=4,AC348,AB348))))</f>
        <v>#N/A</v>
      </c>
      <c r="AE348" s="31">
        <v>0</v>
      </c>
      <c r="AF348" s="102" t="e">
        <f>IF(NDC!$H$10="Oui",(VLOOKUP($B$3,'Coeff EC7'!$T$39:$X$59,2,0)*AD348+VLOOKUP($B$3,'Coeff EC7'!$T$65:$X$85,2,0)*Model0.1T!AE348)/1.5,PI()*AB$12*$Q348*($B348-$B347)*0.15/10+AF347)</f>
        <v>#N/A</v>
      </c>
      <c r="AG348" s="102" t="e">
        <f>(VLOOKUP($B$3,'Coeff EC7'!$T$39:$X$59,3,0)*AD348+VLOOKUP($B$3,'Coeff EC7'!$T$65:$X$85,3,0)*Model0.1T!AE348)/1.1</f>
        <v>#N/A</v>
      </c>
      <c r="AH348" s="102" t="e">
        <f t="shared" si="568"/>
        <v>#N/A</v>
      </c>
      <c r="AI348" s="102" t="e">
        <f t="shared" si="569"/>
        <v>#N/A</v>
      </c>
      <c r="AJ348" s="414" t="e">
        <f>IF(AND(AF348&gt;NDC!$C$63,AG348&gt;NDC!$C$65,AH348&gt;NDC!$D$73,AI348&gt;NDC!$D$74,$B348&gt;NDC!$H$22-0.1+MIN(3*$AJ$12,1.5)),0,1)</f>
        <v>#N/A</v>
      </c>
      <c r="AK348" s="86" t="b">
        <f t="shared" si="539"/>
        <v>0</v>
      </c>
      <c r="AL348" s="86">
        <f t="shared" si="570"/>
        <v>0.5</v>
      </c>
      <c r="AM348" s="86">
        <f t="shared" si="540"/>
        <v>0.5</v>
      </c>
      <c r="AN348" s="30" t="e">
        <f t="shared" ca="1" si="571"/>
        <v>#DIV/0!</v>
      </c>
      <c r="AO348" s="85" t="e">
        <f ca="1">IF(U348&lt;=Hypothèses!$V$7,Hypothèses!$W$7,IF(U348&lt;=Hypothèses!$V$8,Hypothèses!$W$8,IF(U348&lt;=Hypothèses!$V$9,Hypothèses!$W$9,IF(U348&lt;=Hypothèses!$V$10,Hypothèses!$W$10,IF(U348&lt;=Hypothèses!$V$11,Hypothèses!$W$11,IF(U348&lt;=Hypothèses!$V$12,Hypothèses!$W$12,IF(U348&lt;=Hypothèses!$V$13,Hypothèses!$W$13,IF(U348&lt;=Hypothèses!$V$14,Hypothèses!$W$14,IF(U348&lt;=Hypothèses!$V$15,Hypothèses!$W$15,IF(U348&lt;=Hypothèses!$V$16,Hypothèses!$W$16,IF(U348&lt;=Hypothèses!$V$17,Hypothèses!$W$17,IF(U348&lt;=Hypothèses!$V$18,Hypothèses!$W$18,""))))))))))))</f>
        <v>#DIV/0!</v>
      </c>
      <c r="AP348" s="87" t="e">
        <f t="shared" ca="1" si="617"/>
        <v>#DIV/0!</v>
      </c>
      <c r="AQ348" s="88" t="e">
        <f ca="1">IF(U348&lt;=Hypothèses!$V$7,Hypothèses!$X$7,IF(U348&lt;=Hypothèses!$V$8,Hypothèses!$X$8,IF(U348&lt;=Hypothèses!$V$9,Hypothèses!$X$9,IF(U348&lt;=Hypothèses!$V$10,Hypothèses!$X$10,IF(U348&lt;=Hypothèses!$V$11,Hypothèses!$X$11,IF(U348&lt;=Hypothèses!$V$12,Hypothèses!$X$12,IF(U348&lt;=Hypothèses!$V$13,Hypothèses!$X$13,IF(U348&lt;=Hypothèses!$V$14,Hypothèses!$X$14,IF(U348&lt;=Hypothèses!$V$15,Hypothèses!$X$15,IF(U348&lt;=Hypothèses!$V$16,Hypothèses!$X$16,IF(U348&lt;=Hypothèses!$U$17,Hypothèses!$W$17,IF(U348&lt;=Hypothèses!$U$18,Hypothèses!$W$18,""))))))))))))</f>
        <v>#DIV/0!</v>
      </c>
      <c r="AR348" s="95" t="e">
        <f t="shared" ca="1" si="572"/>
        <v>#DIV/0!</v>
      </c>
      <c r="AS348" s="101">
        <f t="shared" si="624"/>
        <v>0</v>
      </c>
      <c r="AT348" s="91">
        <f t="shared" si="541"/>
        <v>0</v>
      </c>
      <c r="AU348" s="30" t="e">
        <f t="shared" si="602"/>
        <v>#N/A</v>
      </c>
      <c r="AV348" s="30" t="e">
        <f t="shared" si="603"/>
        <v>#N/A</v>
      </c>
      <c r="AW348" s="31" t="e">
        <f>IF(OR(Hypothèses!$B$4=17,Hypothèses!$B$4=18,Hypothèses!$B$4=19,Hypothèses!$B$4=20),
IF($D348="Pressio.",
IF(OR($E348=3,$E348=1,$E348=4),AV348,AU348),
IF($D348="Pénétro.",
IF(OR($E348=3,$E348=1,$E348=4),AV348,AU348))),IF($D348="Pressio.",
IF($E348=3,AV348,AU348),
IF($D348="Pénétro.",
IF($E348=4,AV348,AU348))))</f>
        <v>#N/A</v>
      </c>
      <c r="AX348" s="31">
        <v>0</v>
      </c>
      <c r="AY348" s="102" t="e">
        <f>IF(NDC!$H$10="Oui",(VLOOKUP($B$3,'Coeff EC7'!$T$39:$X$59,2,0)*AW348+VLOOKUP($B$3,'Coeff EC7'!$T$65:$X$85,2,0)*Model0.1T!AX348)/1.5,PI()*AU$12*$Q348*($B348-$B347)*0.15/10+AY347)</f>
        <v>#N/A</v>
      </c>
      <c r="AZ348" s="102" t="e">
        <f>(VLOOKUP($B$3,'Coeff EC7'!$T$39:$X$59,3,0)*AW348+VLOOKUP($B$3,'Coeff EC7'!$T$65:$X$85,3,0)*Model0.1T!AX348)/1.1</f>
        <v>#N/A</v>
      </c>
      <c r="BA348" s="102" t="e">
        <f t="shared" si="573"/>
        <v>#N/A</v>
      </c>
      <c r="BB348" s="102" t="e">
        <f t="shared" si="574"/>
        <v>#N/A</v>
      </c>
      <c r="BC348" s="414" t="e">
        <f>IF(AND(AY348&gt;NDC!$C$63,AZ348&gt;NDC!$C$65,BA348&gt;NDC!$D$73,BB348&gt;NDC!$D$74,$B348&gt;NDC!$H$22-0.1+MIN(3*BC$12,1.5)),0,1)</f>
        <v>#N/A</v>
      </c>
      <c r="BD348" s="86" t="b">
        <f t="shared" si="542"/>
        <v>0</v>
      </c>
      <c r="BE348" s="86">
        <f t="shared" si="575"/>
        <v>0.5</v>
      </c>
      <c r="BF348" s="86">
        <f t="shared" si="543"/>
        <v>0.5</v>
      </c>
      <c r="BG348" s="30" t="e">
        <f t="shared" ca="1" si="576"/>
        <v>#DIV/0!</v>
      </c>
      <c r="BH348" s="85" t="e">
        <f ca="1">IF(AN348&lt;=Hypothèses!$V$7,Hypothèses!$W$7,IF(AN348&lt;=Hypothèses!$V$8,Hypothèses!$W$8,IF(AN348&lt;=Hypothèses!$V$9,Hypothèses!$W$9,IF(AN348&lt;=Hypothèses!$V$10,Hypothèses!$W$10,IF(AN348&lt;=Hypothèses!$V$11,Hypothèses!$W$11,IF(AN348&lt;=Hypothèses!$V$12,Hypothèses!$W$12,IF(AN348&lt;=Hypothèses!$V$13,Hypothèses!$W$13,IF(AN348&lt;=Hypothèses!$V$14,Hypothèses!$W$14,IF(AN348&lt;=Hypothèses!$V$15,Hypothèses!$W$15,IF(AN348&lt;=Hypothèses!$V$16,Hypothèses!$W$16,IF(AN348&lt;=Hypothèses!$V$17,Hypothèses!$W$17,IF(AN348&lt;=Hypothèses!$V$18,Hypothèses!$W$18,""))))))))))))</f>
        <v>#DIV/0!</v>
      </c>
      <c r="BI348" s="87" t="e">
        <f t="shared" ca="1" si="618"/>
        <v>#DIV/0!</v>
      </c>
      <c r="BJ348" s="88" t="e">
        <f ca="1">IF(AN348&lt;=Hypothèses!$V$7,Hypothèses!$X$7,IF(AN348&lt;=Hypothèses!$V$8,Hypothèses!$X$8,IF(AN348&lt;=Hypothèses!$V$9,Hypothèses!$X$9,IF(AN348&lt;=Hypothèses!$V$10,Hypothèses!$X$10,IF(AN348&lt;=Hypothèses!$V$11,Hypothèses!$X$11,IF(AN348&lt;=Hypothèses!$V$12,Hypothèses!$X$12,IF(AN348&lt;=Hypothèses!$V$13,Hypothèses!$X$13,IF(AN348&lt;=Hypothèses!$V$14,Hypothèses!$X$14,IF(AN348&lt;=Hypothèses!$V$15,Hypothèses!$X$15,IF(AN348&lt;=Hypothèses!$V$16,Hypothèses!$X$16,IF(AN348&lt;=Hypothèses!$U$17,Hypothèses!$W$17,IF(AN348&lt;=Hypothèses!$U$18,Hypothèses!$W$18,""))))))))))))</f>
        <v>#DIV/0!</v>
      </c>
      <c r="BK348" s="95" t="e">
        <f t="shared" ca="1" si="577"/>
        <v>#DIV/0!</v>
      </c>
      <c r="BL348" s="101">
        <f t="shared" si="625"/>
        <v>0</v>
      </c>
      <c r="BM348" s="91">
        <f t="shared" si="544"/>
        <v>0</v>
      </c>
      <c r="BN348" s="30" t="e">
        <f t="shared" si="604"/>
        <v>#N/A</v>
      </c>
      <c r="BO348" s="30" t="e">
        <f t="shared" si="605"/>
        <v>#N/A</v>
      </c>
      <c r="BP348" s="31" t="e">
        <f>IF(OR(Hypothèses!$B$4=17,Hypothèses!$B$4=18,Hypothèses!$B$4=19,Hypothèses!$B$4=20),
IF($D348="Pressio.",
IF(OR($E348=3,$E348=1,$E348=4),BO348,BN348),
IF($D348="Pénétro.",
IF(OR($E348=3,$E348=1,$E348=4),BO348,BN348))),IF($D348="Pressio.",
IF($E348=3,BO348,BN348),
IF($D348="Pénétro.",
IF($E348=4,BO348,BN348))))</f>
        <v>#N/A</v>
      </c>
      <c r="BQ348" s="31">
        <v>0</v>
      </c>
      <c r="BR348" s="102" t="e">
        <f>IF(NDC!$H$10="Oui",(VLOOKUP($B$3,'Coeff EC7'!$T$39:$X$59,2,0)*BP348+VLOOKUP($B$3,'Coeff EC7'!$T$65:$X$85,2,0)*Model0.1T!BQ348)/1.5,PI()*BN$12*$Q348*($B348-$B347)*0.15/10+BR347)</f>
        <v>#N/A</v>
      </c>
      <c r="BS348" s="102" t="e">
        <f>(VLOOKUP($B$3,'Coeff EC7'!$T$39:$X$59,3,0)*BP348+VLOOKUP($B$3,'Coeff EC7'!$T$65:$X$85,3,0)*Model0.1T!BQ348)/1.1</f>
        <v>#N/A</v>
      </c>
      <c r="BT348" s="102" t="e">
        <f t="shared" si="578"/>
        <v>#N/A</v>
      </c>
      <c r="BU348" s="102" t="e">
        <f t="shared" si="579"/>
        <v>#N/A</v>
      </c>
      <c r="BV348" s="414" t="e">
        <f>IF(AND(BR348&gt;NDC!$C$63,BS348&gt;NDC!$C$65,BT348&gt;NDC!$D$73,BU348&gt;NDC!$D$74,$B348&gt;NDC!$H$22-0.1+MIN(3*BV$12,1.5)),0,1)</f>
        <v>#N/A</v>
      </c>
      <c r="BW348" s="86" t="b">
        <f t="shared" si="545"/>
        <v>0</v>
      </c>
      <c r="BX348" s="86">
        <f t="shared" si="546"/>
        <v>0.5</v>
      </c>
      <c r="BY348" s="86">
        <f t="shared" si="547"/>
        <v>0.5</v>
      </c>
      <c r="BZ348" s="30" t="e">
        <f t="shared" ca="1" si="580"/>
        <v>#DIV/0!</v>
      </c>
      <c r="CA348" s="85" t="e">
        <f ca="1">IF(BG348&lt;=Hypothèses!$V$7,Hypothèses!$W$7,IF(BG348&lt;=Hypothèses!$V$8,Hypothèses!$W$8,IF(BG348&lt;=Hypothèses!$V$9,Hypothèses!$W$9,IF(BG348&lt;=Hypothèses!$V$10,Hypothèses!$W$10,IF(BG348&lt;=Hypothèses!$V$11,Hypothèses!$W$11,IF(BG348&lt;=Hypothèses!$V$12,Hypothèses!$W$12,IF(BG348&lt;=Hypothèses!$V$13,Hypothèses!$W$13,IF(BG348&lt;=Hypothèses!$V$14,Hypothèses!$W$14,IF(BG348&lt;=Hypothèses!$V$15,Hypothèses!$W$15,IF(BG348&lt;=Hypothèses!$V$16,Hypothèses!$W$16,IF(BG348&lt;=Hypothèses!$V$17,Hypothèses!$W$17,IF(BG348&lt;=Hypothèses!$V$18,Hypothèses!$W$18,""))))))))))))</f>
        <v>#DIV/0!</v>
      </c>
      <c r="CB348" s="87" t="e">
        <f t="shared" ca="1" si="619"/>
        <v>#DIV/0!</v>
      </c>
      <c r="CC348" s="88" t="e">
        <f ca="1">IF(BG348&lt;=Hypothèses!$V$7,Hypothèses!$X$7,IF(BG348&lt;=Hypothèses!$V$8,Hypothèses!$X$8,IF(BG348&lt;=Hypothèses!$V$9,Hypothèses!$X$9,IF(BG348&lt;=Hypothèses!$V$10,Hypothèses!$X$10,IF(BG348&lt;=Hypothèses!$V$11,Hypothèses!$X$11,IF(BG348&lt;=Hypothèses!$V$12,Hypothèses!$X$12,IF(BG348&lt;=Hypothèses!$V$13,Hypothèses!$X$13,IF(BG348&lt;=Hypothèses!$V$14,Hypothèses!$X$14,IF(BG348&lt;=Hypothèses!$V$15,Hypothèses!$X$15,IF(BG348&lt;=Hypothèses!$V$16,Hypothèses!$X$16,IF(BG348&lt;=Hypothèses!$U$17,Hypothèses!$W$17,IF(BG348&lt;=Hypothèses!$U$18,Hypothèses!$W$18,""))))))))))))</f>
        <v>#DIV/0!</v>
      </c>
      <c r="CD348" s="95" t="e">
        <f t="shared" ca="1" si="581"/>
        <v>#DIV/0!</v>
      </c>
      <c r="CE348" s="101">
        <f t="shared" si="626"/>
        <v>0</v>
      </c>
      <c r="CF348" s="91">
        <f t="shared" si="548"/>
        <v>0</v>
      </c>
      <c r="CG348" s="30" t="e">
        <f t="shared" si="606"/>
        <v>#N/A</v>
      </c>
      <c r="CH348" s="30" t="e">
        <f t="shared" si="607"/>
        <v>#N/A</v>
      </c>
      <c r="CI348" s="31" t="e">
        <f>IF(OR(Hypothèses!$B$4=17,Hypothèses!$B$4=18,Hypothèses!$B$4=19,Hypothèses!$B$4=20),
IF($D348="Pressio.",
IF(OR($E348=3,$E348=1,$E348=4),CH348,CG348),
IF($D348="Pénétro.",
IF(OR($E348=3,$E348=1,$E348=4),CH348,CG348))),IF($D348="Pressio.",
IF($E348=3,CH348,CG348),
IF($D348="Pénétro.",
IF($E348=4,CH348,CG348))))</f>
        <v>#N/A</v>
      </c>
      <c r="CJ348" s="31">
        <v>0</v>
      </c>
      <c r="CK348" s="102" t="e">
        <f>IF(NDC!$H$10="Oui",(VLOOKUP($B$3,'Coeff EC7'!$T$39:$X$59,2,0)*CI348+VLOOKUP($B$3,'Coeff EC7'!$T$65:$X$85,2,0)*Model0.1T!CJ348)/1.5,PI()*CG$12*$Q348*($B348-$B347)*0.15/10+CK347)</f>
        <v>#N/A</v>
      </c>
      <c r="CL348" s="102" t="e">
        <f>(VLOOKUP($B$3,'Coeff EC7'!$T$39:$X$59,3,0)*CI348+VLOOKUP($B$3,'Coeff EC7'!$T$65:$X$85,3,0)*Model0.1T!CJ348)/1.1</f>
        <v>#N/A</v>
      </c>
      <c r="CM348" s="102" t="e">
        <f t="shared" si="582"/>
        <v>#N/A</v>
      </c>
      <c r="CN348" s="102" t="e">
        <f t="shared" si="583"/>
        <v>#N/A</v>
      </c>
      <c r="CO348" s="414" t="e">
        <f>IF(AND(CK348&gt;NDC!$C$63,CL348&gt;NDC!$C$65,CM348&gt;NDC!$D$73,CN348&gt;NDC!$D$74,$B348&gt;NDC!$H$22-0.1+MIN(3*CO$12,1.5)),0,1)</f>
        <v>#N/A</v>
      </c>
      <c r="CP348" s="86" t="b">
        <f t="shared" si="549"/>
        <v>0</v>
      </c>
      <c r="CQ348" s="86">
        <f t="shared" si="550"/>
        <v>0.5</v>
      </c>
      <c r="CR348" s="86">
        <f t="shared" si="551"/>
        <v>0.5</v>
      </c>
      <c r="CS348" s="30" t="e">
        <f t="shared" ca="1" si="584"/>
        <v>#DIV/0!</v>
      </c>
      <c r="CT348" s="85" t="e">
        <f ca="1">IF(BZ348&lt;=Hypothèses!$V$7,Hypothèses!$W$7,IF(BZ348&lt;=Hypothèses!$V$8,Hypothèses!$W$8,IF(BZ348&lt;=Hypothèses!$V$9,Hypothèses!$W$9,IF(BZ348&lt;=Hypothèses!$V$10,Hypothèses!$W$10,IF(BZ348&lt;=Hypothèses!$V$11,Hypothèses!$W$11,IF(BZ348&lt;=Hypothèses!$V$12,Hypothèses!$W$12,IF(BZ348&lt;=Hypothèses!$V$13,Hypothèses!$W$13,IF(BZ348&lt;=Hypothèses!$V$14,Hypothèses!$W$14,IF(BZ348&lt;=Hypothèses!$V$15,Hypothèses!$W$15,IF(BZ348&lt;=Hypothèses!$V$16,Hypothèses!$W$16,IF(BZ348&lt;=Hypothèses!$V$17,Hypothèses!$W$17,IF(BZ348&lt;=Hypothèses!$V$18,Hypothèses!$W$18,""))))))))))))</f>
        <v>#DIV/0!</v>
      </c>
      <c r="CU348" s="87" t="e">
        <f t="shared" ca="1" si="620"/>
        <v>#DIV/0!</v>
      </c>
      <c r="CV348" s="88" t="e">
        <f ca="1">IF(BZ348&lt;=Hypothèses!$V$7,Hypothèses!$X$7,IF(BZ348&lt;=Hypothèses!$V$8,Hypothèses!$X$8,IF(BZ348&lt;=Hypothèses!$V$9,Hypothèses!$X$9,IF(BZ348&lt;=Hypothèses!$V$10,Hypothèses!$X$10,IF(BZ348&lt;=Hypothèses!$V$11,Hypothèses!$X$11,IF(BZ348&lt;=Hypothèses!$V$12,Hypothèses!$X$12,IF(BZ348&lt;=Hypothèses!$V$13,Hypothèses!$X$13,IF(BZ348&lt;=Hypothèses!$V$14,Hypothèses!$X$14,IF(BZ348&lt;=Hypothèses!$V$15,Hypothèses!$X$15,IF(BZ348&lt;=Hypothèses!$V$16,Hypothèses!$X$16,IF(BZ348&lt;=Hypothèses!$U$17,Hypothèses!$W$17,IF(BZ348&lt;=Hypothèses!$U$18,Hypothèses!$W$18,""))))))))))))</f>
        <v>#DIV/0!</v>
      </c>
      <c r="CW348" s="95" t="e">
        <f t="shared" ca="1" si="585"/>
        <v>#DIV/0!</v>
      </c>
      <c r="CX348" s="101">
        <f t="shared" si="627"/>
        <v>0</v>
      </c>
      <c r="CY348" s="91">
        <f t="shared" si="552"/>
        <v>0</v>
      </c>
      <c r="CZ348" s="30" t="e">
        <f t="shared" si="608"/>
        <v>#N/A</v>
      </c>
      <c r="DA348" s="30" t="e">
        <f t="shared" si="609"/>
        <v>#N/A</v>
      </c>
      <c r="DB348" s="31" t="e">
        <f>IF(OR(Hypothèses!$B$4=17,Hypothèses!$B$4=18,Hypothèses!$B$4=19,Hypothèses!$B$4=20),
IF($D348="Pressio.",
IF(OR($E348=3,$E348=1,$E348=4),DA348,CZ348),
IF($D348="Pénétro.",
IF(OR($E348=3,$E348=1,$E348=4),DA348,CZ348))),IF($D348="Pressio.",
IF($E348=3,DA348,CZ348),
IF($D348="Pénétro.",
IF($E348=4,DA348,CZ348))))</f>
        <v>#N/A</v>
      </c>
      <c r="DC348" s="31">
        <v>0</v>
      </c>
      <c r="DD348" s="102" t="e">
        <f>IF(NDC!$H$10="Oui",(VLOOKUP($B$3,'Coeff EC7'!$T$39:$X$59,2,0)*DB348+VLOOKUP($B$3,'Coeff EC7'!$T$65:$X$85,2,0)*Model0.1T!DC348)/1.5,PI()*CZ$12*$Q348*($B348-$B347)*0.15/10+DD347)</f>
        <v>#N/A</v>
      </c>
      <c r="DE348" s="102" t="e">
        <f>(VLOOKUP($B$3,'Coeff EC7'!$T$39:$X$59,3,0)*DB348+VLOOKUP($B$3,'Coeff EC7'!$T$65:$X$85,3,0)*Model0.1T!DC348)/1.1</f>
        <v>#N/A</v>
      </c>
      <c r="DF348" s="102" t="e">
        <f t="shared" si="586"/>
        <v>#N/A</v>
      </c>
      <c r="DG348" s="102" t="e">
        <f t="shared" si="587"/>
        <v>#N/A</v>
      </c>
      <c r="DH348" s="414" t="e">
        <f>IF(AND(DD348&gt;NDC!$C$63,DE348&gt;NDC!$C$65,DF348&gt;NDC!$D$73,DG348&gt;NDC!$D$74,$B348&gt;NDC!$H$22-0.1+MIN(3*DH$12,1.5)),0,1)</f>
        <v>#N/A</v>
      </c>
      <c r="DI348" s="86" t="b">
        <f t="shared" si="553"/>
        <v>0</v>
      </c>
      <c r="DJ348" s="86">
        <f t="shared" si="554"/>
        <v>0.5</v>
      </c>
      <c r="DK348" s="86">
        <f t="shared" si="555"/>
        <v>0.5</v>
      </c>
      <c r="DL348" s="30" t="e">
        <f t="shared" ca="1" si="588"/>
        <v>#DIV/0!</v>
      </c>
      <c r="DM348" s="85" t="e">
        <f ca="1">IF(CS348&lt;=Hypothèses!$V$7,Hypothèses!$W$7,IF(CS348&lt;=Hypothèses!$V$8,Hypothèses!$W$8,IF(CS348&lt;=Hypothèses!$V$9,Hypothèses!$W$9,IF(CS348&lt;=Hypothèses!$V$10,Hypothèses!$W$10,IF(CS348&lt;=Hypothèses!$V$11,Hypothèses!$W$11,IF(CS348&lt;=Hypothèses!$V$12,Hypothèses!$W$12,IF(CS348&lt;=Hypothèses!$V$13,Hypothèses!$W$13,IF(CS348&lt;=Hypothèses!$V$14,Hypothèses!$W$14,IF(CS348&lt;=Hypothèses!$V$15,Hypothèses!$W$15,IF(CS348&lt;=Hypothèses!$V$16,Hypothèses!$W$16,IF(CS348&lt;=Hypothèses!$V$17,Hypothèses!$W$17,IF(CS348&lt;=Hypothèses!$V$18,Hypothèses!$W$18,""))))))))))))</f>
        <v>#DIV/0!</v>
      </c>
      <c r="DN348" s="87" t="e">
        <f t="shared" ca="1" si="621"/>
        <v>#DIV/0!</v>
      </c>
      <c r="DO348" s="88" t="e">
        <f ca="1">IF(CS348&lt;=Hypothèses!$V$7,Hypothèses!$X$7,IF(CS348&lt;=Hypothèses!$V$8,Hypothèses!$X$8,IF(CS348&lt;=Hypothèses!$V$9,Hypothèses!$X$9,IF(CS348&lt;=Hypothèses!$V$10,Hypothèses!$X$10,IF(CS348&lt;=Hypothèses!$V$11,Hypothèses!$X$11,IF(CS348&lt;=Hypothèses!$V$12,Hypothèses!$X$12,IF(CS348&lt;=Hypothèses!$V$13,Hypothèses!$X$13,IF(CS348&lt;=Hypothèses!$V$14,Hypothèses!$X$14,IF(CS348&lt;=Hypothèses!$V$15,Hypothèses!$X$15,IF(CS348&lt;=Hypothèses!$V$16,Hypothèses!$X$16,IF(CS348&lt;=Hypothèses!$U$17,Hypothèses!$W$17,IF(CS348&lt;=Hypothèses!$U$18,Hypothèses!$W$18,""))))))))))))</f>
        <v>#DIV/0!</v>
      </c>
      <c r="DP348" s="95" t="e">
        <f t="shared" ca="1" si="589"/>
        <v>#DIV/0!</v>
      </c>
      <c r="DQ348" s="101">
        <f t="shared" si="628"/>
        <v>0</v>
      </c>
      <c r="DR348" s="91">
        <f t="shared" si="556"/>
        <v>0</v>
      </c>
      <c r="DS348" s="30" t="e">
        <f t="shared" si="610"/>
        <v>#N/A</v>
      </c>
      <c r="DT348" s="30" t="e">
        <f t="shared" si="611"/>
        <v>#N/A</v>
      </c>
      <c r="DU348" s="31" t="e">
        <f>IF(OR(Hypothèses!$B$4=17,Hypothèses!$B$4=18,Hypothèses!$B$4=19,Hypothèses!$B$4=20),
IF($D348="Pressio.",
IF(OR($E348=3,$E348=1,$E348=4),DT348,DS348),
IF($D348="Pénétro.",
IF(OR($E348=3,$E348=1,$E348=4),DT348,DS348))),IF($D348="Pressio.",
IF($E348=3,DT348,DS348),
IF($D348="Pénétro.",
IF($E348=4,DT348,DS348))))</f>
        <v>#N/A</v>
      </c>
      <c r="DV348" s="31">
        <v>0</v>
      </c>
      <c r="DW348" s="102" t="e">
        <f>IF(NDC!$H$10="Oui",(VLOOKUP($B$3,'Coeff EC7'!$T$39:$X$59,2,0)*DU348+VLOOKUP($B$3,'Coeff EC7'!$T$65:$X$85,2,0)*Model0.1T!DV348)/1.5,PI()*DS$12*$Q348*($B348-$B347)*0.15/10+DW347)</f>
        <v>#N/A</v>
      </c>
      <c r="DX348" s="102" t="e">
        <f>(VLOOKUP($B$3,'Coeff EC7'!$T$39:$X$59,3,0)*DU348+VLOOKUP($B$3,'Coeff EC7'!$T$65:$X$85,3,0)*Model0.1T!DV348)/1.1</f>
        <v>#N/A</v>
      </c>
      <c r="DY348" s="102" t="e">
        <f t="shared" si="590"/>
        <v>#N/A</v>
      </c>
      <c r="DZ348" s="102" t="e">
        <f t="shared" si="591"/>
        <v>#N/A</v>
      </c>
      <c r="EA348" s="414" t="e">
        <f>IF(AND(DW348&gt;NDC!$C$63,DX348&gt;NDC!$C$65,DY348&gt;NDC!$D$73,DZ348&gt;NDC!$D$74,$B348&gt;NDC!$H$22-0.1+MIN(3*EA$12,1.5)),0,1)</f>
        <v>#N/A</v>
      </c>
      <c r="EB348" s="86" t="b">
        <f t="shared" si="557"/>
        <v>0</v>
      </c>
      <c r="EC348" s="418">
        <f t="shared" si="558"/>
        <v>0.51</v>
      </c>
      <c r="ED348" s="86">
        <f t="shared" si="559"/>
        <v>0.51</v>
      </c>
      <c r="EE348" s="30" t="e">
        <f t="shared" ca="1" si="592"/>
        <v>#DIV/0!</v>
      </c>
      <c r="EF348" s="85" t="e">
        <f ca="1">IF(DL348&lt;=Hypothèses!$V$7,Hypothèses!$W$7,IF(DL348&lt;=Hypothèses!$V$8,Hypothèses!$W$8,IF(DL348&lt;=Hypothèses!$V$9,Hypothèses!$W$9,IF(DL348&lt;=Hypothèses!$V$10,Hypothèses!$W$10,IF(DL348&lt;=Hypothèses!$V$11,Hypothèses!$W$11,IF(DL348&lt;=Hypothèses!$V$12,Hypothèses!$W$12,IF(DL348&lt;=Hypothèses!$V$13,Hypothèses!$W$13,IF(DL348&lt;=Hypothèses!$V$14,Hypothèses!$W$14,IF(DL348&lt;=Hypothèses!$V$15,Hypothèses!$W$15,IF(DL348&lt;=Hypothèses!$V$16,Hypothèses!$W$16,IF(DL348&lt;=Hypothèses!$V$17,Hypothèses!$W$17,IF(DL348&lt;=Hypothèses!$V$18,Hypothèses!$W$18,""))))))))))))</f>
        <v>#DIV/0!</v>
      </c>
      <c r="EG348" s="87" t="e">
        <f t="shared" ca="1" si="622"/>
        <v>#DIV/0!</v>
      </c>
      <c r="EH348" s="88" t="e">
        <f ca="1">IF(DL348&lt;=Hypothèses!$V$7,Hypothèses!$X$7,IF(DL348&lt;=Hypothèses!$V$8,Hypothèses!$X$8,IF(DL348&lt;=Hypothèses!$V$9,Hypothèses!$X$9,IF(DL348&lt;=Hypothèses!$V$10,Hypothèses!$X$10,IF(DL348&lt;=Hypothèses!$V$11,Hypothèses!$X$11,IF(DL348&lt;=Hypothèses!$V$12,Hypothèses!$X$12,IF(DL348&lt;=Hypothèses!$V$13,Hypothèses!$X$13,IF(DL348&lt;=Hypothèses!$V$14,Hypothèses!$X$14,IF(DL348&lt;=Hypothèses!$V$15,Hypothèses!$X$15,IF(DL348&lt;=Hypothèses!$V$16,Hypothèses!$X$16,IF(DL348&lt;=Hypothèses!$U$17,Hypothèses!$W$17,IF(DL348&lt;=Hypothèses!$U$18,Hypothèses!$W$18,""))))))))))))</f>
        <v>#DIV/0!</v>
      </c>
      <c r="EI348" s="95" t="e">
        <f t="shared" ca="1" si="593"/>
        <v>#DIV/0!</v>
      </c>
      <c r="EJ348" s="101">
        <f t="shared" si="629"/>
        <v>0</v>
      </c>
      <c r="EK348" s="91">
        <f t="shared" si="560"/>
        <v>0</v>
      </c>
      <c r="EL348" s="30" t="e">
        <f t="shared" si="612"/>
        <v>#N/A</v>
      </c>
      <c r="EM348" s="30" t="e">
        <f t="shared" si="613"/>
        <v>#N/A</v>
      </c>
      <c r="EN348" s="31" t="e">
        <f>IF(OR(Hypothèses!$B$4=17,Hypothèses!$B$4=18,Hypothèses!$B$4=19,Hypothèses!$B$4=20),
IF($D348="Pressio.",
IF(OR($E348=3,$E348=1,$E348=4),EM348,EL348),
IF($D348="Pénétro.",
IF(OR($E348=3,$E348=1,$E348=4),EM348,EL348))),IF($D348="Pressio.",
IF($E348=3,EM348,EL348),
IF($D348="Pénétro.",
IF($E348=4,EM348,EL348))))</f>
        <v>#N/A</v>
      </c>
      <c r="EO348" s="31">
        <v>0</v>
      </c>
      <c r="EP348" s="102" t="e">
        <f>IF(NDC!$H$10="Oui",(VLOOKUP($B$3,'Coeff EC7'!$T$39:$X$59,2,0)*EN348+VLOOKUP($B$3,'Coeff EC7'!$T$65:$X$85,2,0)*Model0.1T!EO348)/1.5,PI()*EL$12*$Q348*($B348-$B347)*0.15/10+EP347)</f>
        <v>#N/A</v>
      </c>
      <c r="EQ348" s="102" t="e">
        <f>(VLOOKUP($B$3,'Coeff EC7'!$T$39:$X$59,3,0)*EN348+VLOOKUP($B$3,'Coeff EC7'!$T$65:$X$85,3,0)*Model0.1T!EO348)/1.1</f>
        <v>#N/A</v>
      </c>
      <c r="ER348" s="102" t="e">
        <f t="shared" si="594"/>
        <v>#N/A</v>
      </c>
      <c r="ES348" s="102" t="e">
        <f t="shared" si="595"/>
        <v>#N/A</v>
      </c>
      <c r="ET348" s="414" t="e">
        <f>IF(AND(EP348&gt;NDC!$C$63,EQ348&gt;NDC!$C$65,ER348&gt;NDC!$D$73,ES348&gt;NDC!$D$74,$B348&gt;NDC!$H$22-0.1+MIN(3*ET$12,1.5)),0,1)</f>
        <v>#N/A</v>
      </c>
      <c r="EU348" s="86" t="b">
        <f t="shared" si="561"/>
        <v>0</v>
      </c>
      <c r="EV348" s="86">
        <f t="shared" si="562"/>
        <v>0.61</v>
      </c>
      <c r="EW348" s="86">
        <f t="shared" si="563"/>
        <v>0.61</v>
      </c>
      <c r="EX348" s="30" t="e">
        <f t="shared" ca="1" si="596"/>
        <v>#DIV/0!</v>
      </c>
      <c r="EY348" s="85" t="e">
        <f ca="1">IF(EE348&lt;=Hypothèses!$V$7,Hypothèses!$W$7,IF(EE348&lt;=Hypothèses!$V$8,Hypothèses!$W$8,IF(EE348&lt;=Hypothèses!$V$9,Hypothèses!$W$9,IF(EE348&lt;=Hypothèses!$V$10,Hypothèses!$W$10,IF(EE348&lt;=Hypothèses!$V$11,Hypothèses!$W$11,IF(EE348&lt;=Hypothèses!$V$12,Hypothèses!$W$12,IF(EE348&lt;=Hypothèses!$V$13,Hypothèses!$W$13,IF(EE348&lt;=Hypothèses!$V$14,Hypothèses!$W$14,IF(EE348&lt;=Hypothèses!$V$15,Hypothèses!$W$15,IF(EE348&lt;=Hypothèses!$V$16,Hypothèses!$W$16,IF(EE348&lt;=Hypothèses!$V$17,Hypothèses!$W$17,IF(EE348&lt;=Hypothèses!$V$18,Hypothèses!$W$18,""))))))))))))</f>
        <v>#DIV/0!</v>
      </c>
      <c r="EZ348" s="87" t="e">
        <f t="shared" ca="1" si="623"/>
        <v>#DIV/0!</v>
      </c>
      <c r="FA348" s="88" t="e">
        <f ca="1">IF(EE348&lt;=Hypothèses!$V$7,Hypothèses!$X$7,IF(EE348&lt;=Hypothèses!$V$8,Hypothèses!$X$8,IF(EE348&lt;=Hypothèses!$V$9,Hypothèses!$X$9,IF(EE348&lt;=Hypothèses!$V$10,Hypothèses!$X$10,IF(EE348&lt;=Hypothèses!$V$11,Hypothèses!$X$11,IF(EE348&lt;=Hypothèses!$V$12,Hypothèses!$X$12,IF(EE348&lt;=Hypothèses!$V$13,Hypothèses!$X$13,IF(EE348&lt;=Hypothèses!$V$14,Hypothèses!$X$14,IF(EE348&lt;=Hypothèses!$V$15,Hypothèses!$X$15,IF(EE348&lt;=Hypothèses!$V$16,Hypothèses!$X$16,IF(EE348&lt;=Hypothèses!$U$17,Hypothèses!$W$17,IF(EE348&lt;=Hypothèses!$U$18,Hypothèses!$W$18,""))))))))))))</f>
        <v>#DIV/0!</v>
      </c>
      <c r="FB348" s="95" t="e">
        <f t="shared" ca="1" si="597"/>
        <v>#DIV/0!</v>
      </c>
      <c r="FC348" s="101">
        <f t="shared" si="630"/>
        <v>0</v>
      </c>
      <c r="FD348" s="91">
        <f t="shared" si="564"/>
        <v>0</v>
      </c>
      <c r="FE348" s="30" t="e">
        <f t="shared" si="614"/>
        <v>#N/A</v>
      </c>
      <c r="FF348" s="30" t="e">
        <f t="shared" si="615"/>
        <v>#N/A</v>
      </c>
      <c r="FG348" s="31" t="e">
        <f>IF(OR(Hypothèses!$B$4=17,Hypothèses!$B$4=18,Hypothèses!$B$4=19,Hypothèses!$B$4=20),
IF($D348="Pressio.",
IF(OR($E348=3,$E348=1,$E348=4),FF348,FE348),
IF($D348="Pénétro.",
IF(OR($E348=3,$E348=1,$E348=4),FF348,FE348))),IF($D348="Pressio.",
IF($E348=3,FF348,FE348),
IF($D348="Pénétro.",
IF($E348=4,FF348,FE348))))</f>
        <v>#N/A</v>
      </c>
      <c r="FH348" s="31">
        <v>0</v>
      </c>
      <c r="FI348" s="102" t="e">
        <f>IF(NDC!$H$10="Oui",(VLOOKUP($B$3,'Coeff EC7'!$T$39:$X$59,2,0)*FG348+VLOOKUP($B$3,'Coeff EC7'!$T$65:$X$85,2,0)*Model0.1T!FH348)/1.5,PI()*FE$12*$Q348*($B348-$B347)*0.15/10+FI347)</f>
        <v>#N/A</v>
      </c>
      <c r="FJ348" s="102" t="e">
        <f>(VLOOKUP($B$3,'Coeff EC7'!$T$39:$X$59,3,0)*FG348+VLOOKUP($B$3,'Coeff EC7'!$T$65:$X$85,3,0)*Model0.1T!FH348)/1.1</f>
        <v>#N/A</v>
      </c>
      <c r="FK348" s="102" t="e">
        <f t="shared" si="598"/>
        <v>#N/A</v>
      </c>
      <c r="FL348" s="102" t="e">
        <f t="shared" si="599"/>
        <v>#N/A</v>
      </c>
      <c r="FM348" s="414" t="e">
        <f>IF(AND(FI348&gt;NDC!$C$63,FJ348&gt;NDC!$C$65,FK348&gt;NDC!$D$73,FL348&gt;NDC!$D$74,$B348&gt;NDC!$H$22-0.1+MIN(3*FM$12,1.5)),0,1)</f>
        <v>#N/A</v>
      </c>
    </row>
    <row r="349" spans="1:169">
      <c r="A349" s="96">
        <f t="shared" si="565"/>
        <v>66.40000000000191</v>
      </c>
      <c r="B349" s="97">
        <v>33.6</v>
      </c>
      <c r="C349" s="81">
        <f>IF(B349&lt;=Hypothèses!$C$7,Hypothèses!$A$7,IF(B349&lt;=Hypothèses!$C$8,Hypothèses!$A$8,IF(B349&lt;=Hypothèses!$C$9,Hypothèses!$A$9,IF(B349&lt;=Hypothèses!$C$10,Hypothèses!$A$10,IF(B349&lt;=Hypothèses!$C$11,Hypothèses!$A$11,IF(B349&lt;=Hypothèses!$C$12,Hypothèses!$A$12,IF(B349&lt;=Hypothèses!$C$13,Hypothèses!$A$13,IF(B349&lt;=Hypothèses!$C$14,Hypothèses!$A$14,IF(B349&lt;=Hypothèses!$C$15,Hypothèses!$A$15,IF(B349&lt;=Hypothèses!$C$16,Hypothèses!$A$16,IF(B349&lt;=Hypothèses!$C$17,Hypothèses!$A$17,IF(B349&lt;=Hypothèses!$C$18,Hypothèses!$A$18,C348))))))))))))</f>
        <v>11</v>
      </c>
      <c r="D349" s="82" t="str">
        <f>IF(B349&lt;=Hypothèses!$C$7,Hypothèses!$R$7,IF(B349&lt;=Hypothèses!$C$8,Hypothèses!$R$8,IF(B349&lt;=Hypothèses!$C$9,Hypothèses!$R$9,IF(B349&lt;=Hypothèses!$C$10,Hypothèses!$R$10,IF(B349&lt;=Hypothèses!$C$11,Hypothèses!$R$11,IF(B349&lt;=Hypothèses!$C$12,Hypothèses!$R$12,IF(B349&lt;=Hypothèses!$C$13,Hypothèses!$R$13,IF(B349&lt;=Hypothèses!$C$14,Hypothèses!$R$14,IF(B349&lt;=Hypothèses!$C$15,Hypothèses!$R$15,IF(B349&lt;=Hypothèses!$C$16,Hypothèses!$R$16,IF(B349&lt;=Hypothèses!$C$17,Hypothèses!$R$17,IF(B349&lt;=Hypothèses!$C$18,Hypothèses!$R$18,D348))))))))))))</f>
        <v>Pressio.</v>
      </c>
      <c r="E349" s="82" t="e">
        <f>IF(B349&lt;=Hypothèses!$C$7,Hypothèses!$G$7,IF(B349&lt;=Hypothèses!$C$8,Hypothèses!$G$8,IF(B349&lt;=Hypothèses!$C$9,Hypothèses!$G$9,IF(B349&lt;=Hypothèses!$C$10,Hypothèses!$G$10,IF(B349&lt;=Hypothèses!$C$11,Hypothèses!$G$11,IF(B349&lt;=Hypothèses!$C$12,Hypothèses!$G$12,IF(B349&lt;=Hypothèses!$C$13,Hypothèses!$G$13,IF(B349&lt;=Hypothèses!$C$14,Hypothèses!$G$14,IF(B349&lt;=Hypothèses!$C$15,Hypothèses!$G$15,IF(B349&lt;=Hypothèses!$C$16,Hypothèses!$G$16,IF(B349&lt;=Hypothèses!$C$17,Hypothèses!$G$17,IF(B349&lt;=Hypothèses!$C$18,Hypothèses!$G$18,E348))))))))))))</f>
        <v>#N/A</v>
      </c>
      <c r="F349" s="82" t="str">
        <f>IF(B349&lt;=Hypothèses!$C$7,Hypothèses!$F$7,IF(B349&lt;=Hypothèses!$C$8,Hypothèses!$F$8,IF(B349&lt;=Hypothèses!$C$9,Hypothèses!$F$9,IF(B349&lt;=Hypothèses!$C$10,Hypothèses!$F$10,IF(B349&lt;=Hypothèses!$C$11,Hypothèses!$F$11,IF(B349&lt;=Hypothèses!$C$12,Hypothèses!$F$12,IF(B349&lt;=Hypothèses!$C$13,Hypothèses!$F$13,IF(B349&lt;=Hypothèses!$C$14,Hypothèses!$F$14,IF(B349&lt;=Hypothèses!$C$15,Hypothèses!$F$15,IF(B349&lt;=Hypothèses!$C$16,Hypothèses!$F$16,IF(B349&lt;=Hypothèses!$C$17,Hypothèses!$F$17,IF(B349&lt;=Hypothèses!$C$18,Hypothèses!$F$18,F348))))))))))))</f>
        <v/>
      </c>
      <c r="G349" s="91">
        <f t="array" ref="G349">INDEX('Coeff EC7'!$U$7:$X$27,
MATCH(Model0.1T!$B$3,'Coeff EC7'!$T$7:$T$27,0),
MATCH(Model0.1T!$D349&amp;Model0.1T!$B$4,
'Coeff EC7'!$U$6:$X$6&amp;
'Coeff EC7'!$U$5:$X$5,0))</f>
        <v>1.4</v>
      </c>
      <c r="H349" s="91">
        <f t="array" ref="H349">INDEX('Coeff EC7'!$Y$7:$AB$27,
MATCH(Model0.1T!$B$3,'Coeff EC7'!$T$7:$T$27,0),
MATCH(Model0.1T!$D349&amp;Model0.1T!$B$4,
'Coeff EC7'!$Y$6:$AB$6&amp;
'Coeff EC7'!$Y$5:$AB$5,0))</f>
        <v>1.7</v>
      </c>
      <c r="I349" s="83">
        <v>0</v>
      </c>
      <c r="J349" s="91" t="e">
        <f t="array" ref="J349">INDEX('Coeff EC7'!$D$33:$Q$33,1,MATCH(D349&amp;E349,'Coeff EC7'!$D$31:$Q$31&amp;'Coeff EC7'!$D$32:$Q$32,0))</f>
        <v>#N/A</v>
      </c>
      <c r="K349" s="91" t="e">
        <f t="array" ref="K349">INDEX('Coeff EC7'!$D$34:$Q$34,1,MATCH(D349&amp;E349,'Coeff EC7'!$D$31:$Q$31&amp;'Coeff EC7'!$D$32:$Q$32,0))</f>
        <v>#N/A</v>
      </c>
      <c r="L349" s="91" t="e">
        <f t="array" ref="L349">INDEX('Coeff EC7'!$D$35:$Q$35,1,MATCH(D349&amp;E349,'Coeff EC7'!$D$31:$Q$31&amp;'Coeff EC7'!$D$32:$Q$32,0))</f>
        <v>#N/A</v>
      </c>
      <c r="M349" s="98" t="e">
        <f t="shared" si="531"/>
        <v>#N/A</v>
      </c>
      <c r="N349" s="99" t="e">
        <f t="array" ref="N349">INDEX('Coeff EC7'!$D$7:$Q$27,MATCH($B$3,'Coeff EC7'!$C$7:$C$27,0),MATCH(D349&amp;E349,'Coeff EC7'!$D$5:$Q$5&amp;'Coeff EC7'!$D$6:$Q$6,0))</f>
        <v>#N/A</v>
      </c>
      <c r="O349" s="99" t="e">
        <f t="array" ref="O349">INDEX('Coeff EC7'!$D$41:$Q$61,MATCH($B$3,'Coeff EC7'!$C$41:$C$61,0),MATCH(D349&amp;E349,'Coeff EC7'!$D$39:$Q$39&amp;'Coeff EC7'!$D$40:$Q$40,0))</f>
        <v>#N/A</v>
      </c>
      <c r="P349" s="30" t="e">
        <f t="shared" si="566"/>
        <v>#N/A</v>
      </c>
      <c r="Q349" s="100" t="e">
        <f t="shared" si="533"/>
        <v>#N/A</v>
      </c>
      <c r="R349" s="86" t="b">
        <f t="shared" si="534"/>
        <v>0</v>
      </c>
      <c r="S349" s="86">
        <f t="shared" si="532"/>
        <v>0.5</v>
      </c>
      <c r="T349" s="86">
        <f t="shared" si="535"/>
        <v>0.5</v>
      </c>
      <c r="U349" s="30" t="e">
        <f t="shared" ca="1" si="567"/>
        <v>#DIV/0!</v>
      </c>
      <c r="V349" s="85" t="str">
        <f>IF(B349&lt;=Hypothèses!$V$7,Hypothèses!$W$7,IF(B349&lt;=Hypothèses!$V$8,Hypothèses!$W$8,IF(B349&lt;=Hypothèses!$V$9,Hypothèses!$W$9,IF(B349&lt;=Hypothèses!$V$10,Hypothèses!$W$10,IF(B349&lt;=Hypothèses!$V$11,Hypothèses!$W$11,IF(B349&lt;=Hypothèses!$V$12,Hypothèses!$W$12,IF(B349&lt;=Hypothèses!$V$13,Hypothèses!$W$13,IF(B349&lt;=Hypothèses!$V$14,Hypothèses!$W$14,IF(B349&lt;=Hypothèses!$V$15,Hypothèses!$W$15,IF(B349&lt;=Hypothèses!$V$16,Hypothèses!$W$16,IF(B349&lt;=Hypothèses!$V$17,Hypothèses!$W$17,IF(B349&lt;=Hypothèses!$V$18,Hypothèses!$W$18,""))))))))))))</f>
        <v/>
      </c>
      <c r="W349" s="87" t="e">
        <f t="shared" ca="1" si="616"/>
        <v>#DIV/0!</v>
      </c>
      <c r="X349" s="88" t="str">
        <f>IF(B349&lt;=Hypothèses!$V$7,Hypothèses!$X$7,IF(B349&lt;=Hypothèses!$V$8,Hypothèses!$X$8,IF(B349&lt;=Hypothèses!$V$9,Hypothèses!$X$9,IF(B349&lt;=Hypothèses!$V$10,Hypothèses!$X$10,IF(B349&lt;=Hypothèses!$V$11,Hypothèses!$X$11,IF(B349&lt;=Hypothèses!$V$12,Hypothèses!$X$12,IF(B349&lt;=Hypothèses!$V$13,Hypothèses!$X$13,IF(B349&lt;=Hypothèses!$V$14,Hypothèses!$X$14,IF(B349&lt;=Hypothèses!$V$15,Hypothèses!$X$15,IF(B349&lt;=Hypothèses!$V$16,Hypothèses!$X$16,IF(B349&lt;=Hypothèses!$U$17,Hypothèses!$W$17,IF(B349&lt;=Hypothèses!$U$18,Hypothèses!$W$18,""))))))))))))</f>
        <v/>
      </c>
      <c r="Y349" s="95" t="e">
        <f t="shared" ca="1" si="536"/>
        <v>#DIV/0!</v>
      </c>
      <c r="Z349" s="101">
        <f t="shared" si="537"/>
        <v>0</v>
      </c>
      <c r="AA349" s="91">
        <f t="shared" si="538"/>
        <v>0</v>
      </c>
      <c r="AB349" s="30" t="e">
        <f t="shared" si="600"/>
        <v>#N/A</v>
      </c>
      <c r="AC349" s="30" t="e">
        <f t="shared" si="601"/>
        <v>#N/A</v>
      </c>
      <c r="AD349" s="31" t="e">
        <f>IF(OR(Hypothèses!$B$4=17,Hypothèses!$B$4=18,Hypothèses!$B$4=19,Hypothèses!$B$4=20),
IF($D349="Pressio.",
IF(OR($E349=3,$E349=1,$E349=4),AC349,AB349),
IF($D349="Pénétro.",
IF(OR($E349=3,$E349=1,$E349=4),AC349,AB349))),IF($D349="Pressio.",
IF($E349=3,AC349,AB349),
IF($D349="Pénétro.",
IF($E349=4,AC349,AB349))))</f>
        <v>#N/A</v>
      </c>
      <c r="AE349" s="31">
        <v>0</v>
      </c>
      <c r="AF349" s="102" t="e">
        <f>IF(NDC!$H$10="Oui",(VLOOKUP($B$3,'Coeff EC7'!$T$39:$X$59,2,0)*AD349+VLOOKUP($B$3,'Coeff EC7'!$T$65:$X$85,2,0)*Model0.1T!AE349)/1.5,PI()*AB$12*$Q349*($B349-$B348)*0.15/10+AF348)</f>
        <v>#N/A</v>
      </c>
      <c r="AG349" s="102" t="e">
        <f>(VLOOKUP($B$3,'Coeff EC7'!$T$39:$X$59,3,0)*AD349+VLOOKUP($B$3,'Coeff EC7'!$T$65:$X$85,3,0)*Model0.1T!AE349)/1.1</f>
        <v>#N/A</v>
      </c>
      <c r="AH349" s="102" t="e">
        <f t="shared" si="568"/>
        <v>#N/A</v>
      </c>
      <c r="AI349" s="102" t="e">
        <f t="shared" si="569"/>
        <v>#N/A</v>
      </c>
      <c r="AJ349" s="414" t="e">
        <f>IF(AND(AF349&gt;NDC!$C$63,AG349&gt;NDC!$C$65,AH349&gt;NDC!$D$73,AI349&gt;NDC!$D$74,$B349&gt;NDC!$H$22-0.1+MIN(3*$AJ$12,1.5)),0,1)</f>
        <v>#N/A</v>
      </c>
      <c r="AK349" s="86" t="b">
        <f t="shared" si="539"/>
        <v>0</v>
      </c>
      <c r="AL349" s="86">
        <f t="shared" si="570"/>
        <v>0.5</v>
      </c>
      <c r="AM349" s="86">
        <f t="shared" si="540"/>
        <v>0.5</v>
      </c>
      <c r="AN349" s="30" t="e">
        <f t="shared" ca="1" si="571"/>
        <v>#DIV/0!</v>
      </c>
      <c r="AO349" s="85" t="e">
        <f ca="1">IF(U349&lt;=Hypothèses!$V$7,Hypothèses!$W$7,IF(U349&lt;=Hypothèses!$V$8,Hypothèses!$W$8,IF(U349&lt;=Hypothèses!$V$9,Hypothèses!$W$9,IF(U349&lt;=Hypothèses!$V$10,Hypothèses!$W$10,IF(U349&lt;=Hypothèses!$V$11,Hypothèses!$W$11,IF(U349&lt;=Hypothèses!$V$12,Hypothèses!$W$12,IF(U349&lt;=Hypothèses!$V$13,Hypothèses!$W$13,IF(U349&lt;=Hypothèses!$V$14,Hypothèses!$W$14,IF(U349&lt;=Hypothèses!$V$15,Hypothèses!$W$15,IF(U349&lt;=Hypothèses!$V$16,Hypothèses!$W$16,IF(U349&lt;=Hypothèses!$V$17,Hypothèses!$W$17,IF(U349&lt;=Hypothèses!$V$18,Hypothèses!$W$18,""))))))))))))</f>
        <v>#DIV/0!</v>
      </c>
      <c r="AP349" s="87" t="e">
        <f t="shared" ca="1" si="617"/>
        <v>#DIV/0!</v>
      </c>
      <c r="AQ349" s="88" t="e">
        <f ca="1">IF(U349&lt;=Hypothèses!$V$7,Hypothèses!$X$7,IF(U349&lt;=Hypothèses!$V$8,Hypothèses!$X$8,IF(U349&lt;=Hypothèses!$V$9,Hypothèses!$X$9,IF(U349&lt;=Hypothèses!$V$10,Hypothèses!$X$10,IF(U349&lt;=Hypothèses!$V$11,Hypothèses!$X$11,IF(U349&lt;=Hypothèses!$V$12,Hypothèses!$X$12,IF(U349&lt;=Hypothèses!$V$13,Hypothèses!$X$13,IF(U349&lt;=Hypothèses!$V$14,Hypothèses!$X$14,IF(U349&lt;=Hypothèses!$V$15,Hypothèses!$X$15,IF(U349&lt;=Hypothèses!$V$16,Hypothèses!$X$16,IF(U349&lt;=Hypothèses!$U$17,Hypothèses!$W$17,IF(U349&lt;=Hypothèses!$U$18,Hypothèses!$W$18,""))))))))))))</f>
        <v>#DIV/0!</v>
      </c>
      <c r="AR349" s="95" t="e">
        <f t="shared" ca="1" si="572"/>
        <v>#DIV/0!</v>
      </c>
      <c r="AS349" s="101">
        <f t="shared" si="624"/>
        <v>0</v>
      </c>
      <c r="AT349" s="91">
        <f t="shared" si="541"/>
        <v>0</v>
      </c>
      <c r="AU349" s="30" t="e">
        <f t="shared" si="602"/>
        <v>#N/A</v>
      </c>
      <c r="AV349" s="30" t="e">
        <f t="shared" si="603"/>
        <v>#N/A</v>
      </c>
      <c r="AW349" s="31" t="e">
        <f>IF(OR(Hypothèses!$B$4=17,Hypothèses!$B$4=18,Hypothèses!$B$4=19,Hypothèses!$B$4=20),
IF($D349="Pressio.",
IF(OR($E349=3,$E349=1,$E349=4),AV349,AU349),
IF($D349="Pénétro.",
IF(OR($E349=3,$E349=1,$E349=4),AV349,AU349))),IF($D349="Pressio.",
IF($E349=3,AV349,AU349),
IF($D349="Pénétro.",
IF($E349=4,AV349,AU349))))</f>
        <v>#N/A</v>
      </c>
      <c r="AX349" s="31">
        <v>0</v>
      </c>
      <c r="AY349" s="102" t="e">
        <f>IF(NDC!$H$10="Oui",(VLOOKUP($B$3,'Coeff EC7'!$T$39:$X$59,2,0)*AW349+VLOOKUP($B$3,'Coeff EC7'!$T$65:$X$85,2,0)*Model0.1T!AX349)/1.5,PI()*AU$12*$Q349*($B349-$B348)*0.15/10+AY348)</f>
        <v>#N/A</v>
      </c>
      <c r="AZ349" s="102" t="e">
        <f>(VLOOKUP($B$3,'Coeff EC7'!$T$39:$X$59,3,0)*AW349+VLOOKUP($B$3,'Coeff EC7'!$T$65:$X$85,3,0)*Model0.1T!AX349)/1.1</f>
        <v>#N/A</v>
      </c>
      <c r="BA349" s="102" t="e">
        <f t="shared" si="573"/>
        <v>#N/A</v>
      </c>
      <c r="BB349" s="102" t="e">
        <f t="shared" si="574"/>
        <v>#N/A</v>
      </c>
      <c r="BC349" s="414" t="e">
        <f>IF(AND(AY349&gt;NDC!$C$63,AZ349&gt;NDC!$C$65,BA349&gt;NDC!$D$73,BB349&gt;NDC!$D$74,$B349&gt;NDC!$H$22-0.1+MIN(3*BC$12,1.5)),0,1)</f>
        <v>#N/A</v>
      </c>
      <c r="BD349" s="86" t="b">
        <f t="shared" si="542"/>
        <v>0</v>
      </c>
      <c r="BE349" s="86">
        <f t="shared" si="575"/>
        <v>0.5</v>
      </c>
      <c r="BF349" s="86">
        <f t="shared" si="543"/>
        <v>0.5</v>
      </c>
      <c r="BG349" s="30" t="e">
        <f t="shared" ca="1" si="576"/>
        <v>#DIV/0!</v>
      </c>
      <c r="BH349" s="85" t="e">
        <f ca="1">IF(AN349&lt;=Hypothèses!$V$7,Hypothèses!$W$7,IF(AN349&lt;=Hypothèses!$V$8,Hypothèses!$W$8,IF(AN349&lt;=Hypothèses!$V$9,Hypothèses!$W$9,IF(AN349&lt;=Hypothèses!$V$10,Hypothèses!$W$10,IF(AN349&lt;=Hypothèses!$V$11,Hypothèses!$W$11,IF(AN349&lt;=Hypothèses!$V$12,Hypothèses!$W$12,IF(AN349&lt;=Hypothèses!$V$13,Hypothèses!$W$13,IF(AN349&lt;=Hypothèses!$V$14,Hypothèses!$W$14,IF(AN349&lt;=Hypothèses!$V$15,Hypothèses!$W$15,IF(AN349&lt;=Hypothèses!$V$16,Hypothèses!$W$16,IF(AN349&lt;=Hypothèses!$V$17,Hypothèses!$W$17,IF(AN349&lt;=Hypothèses!$V$18,Hypothèses!$W$18,""))))))))))))</f>
        <v>#DIV/0!</v>
      </c>
      <c r="BI349" s="87" t="e">
        <f t="shared" ca="1" si="618"/>
        <v>#DIV/0!</v>
      </c>
      <c r="BJ349" s="88" t="e">
        <f ca="1">IF(AN349&lt;=Hypothèses!$V$7,Hypothèses!$X$7,IF(AN349&lt;=Hypothèses!$V$8,Hypothèses!$X$8,IF(AN349&lt;=Hypothèses!$V$9,Hypothèses!$X$9,IF(AN349&lt;=Hypothèses!$V$10,Hypothèses!$X$10,IF(AN349&lt;=Hypothèses!$V$11,Hypothèses!$X$11,IF(AN349&lt;=Hypothèses!$V$12,Hypothèses!$X$12,IF(AN349&lt;=Hypothèses!$V$13,Hypothèses!$X$13,IF(AN349&lt;=Hypothèses!$V$14,Hypothèses!$X$14,IF(AN349&lt;=Hypothèses!$V$15,Hypothèses!$X$15,IF(AN349&lt;=Hypothèses!$V$16,Hypothèses!$X$16,IF(AN349&lt;=Hypothèses!$U$17,Hypothèses!$W$17,IF(AN349&lt;=Hypothèses!$U$18,Hypothèses!$W$18,""))))))))))))</f>
        <v>#DIV/0!</v>
      </c>
      <c r="BK349" s="95" t="e">
        <f t="shared" ca="1" si="577"/>
        <v>#DIV/0!</v>
      </c>
      <c r="BL349" s="101">
        <f t="shared" si="625"/>
        <v>0</v>
      </c>
      <c r="BM349" s="91">
        <f t="shared" si="544"/>
        <v>0</v>
      </c>
      <c r="BN349" s="30" t="e">
        <f t="shared" si="604"/>
        <v>#N/A</v>
      </c>
      <c r="BO349" s="30" t="e">
        <f t="shared" si="605"/>
        <v>#N/A</v>
      </c>
      <c r="BP349" s="31" t="e">
        <f>IF(OR(Hypothèses!$B$4=17,Hypothèses!$B$4=18,Hypothèses!$B$4=19,Hypothèses!$B$4=20),
IF($D349="Pressio.",
IF(OR($E349=3,$E349=1,$E349=4),BO349,BN349),
IF($D349="Pénétro.",
IF(OR($E349=3,$E349=1,$E349=4),BO349,BN349))),IF($D349="Pressio.",
IF($E349=3,BO349,BN349),
IF($D349="Pénétro.",
IF($E349=4,BO349,BN349))))</f>
        <v>#N/A</v>
      </c>
      <c r="BQ349" s="31">
        <v>0</v>
      </c>
      <c r="BR349" s="102" t="e">
        <f>IF(NDC!$H$10="Oui",(VLOOKUP($B$3,'Coeff EC7'!$T$39:$X$59,2,0)*BP349+VLOOKUP($B$3,'Coeff EC7'!$T$65:$X$85,2,0)*Model0.1T!BQ349)/1.5,PI()*BN$12*$Q349*($B349-$B348)*0.15/10+BR348)</f>
        <v>#N/A</v>
      </c>
      <c r="BS349" s="102" t="e">
        <f>(VLOOKUP($B$3,'Coeff EC7'!$T$39:$X$59,3,0)*BP349+VLOOKUP($B$3,'Coeff EC7'!$T$65:$X$85,3,0)*Model0.1T!BQ349)/1.1</f>
        <v>#N/A</v>
      </c>
      <c r="BT349" s="102" t="e">
        <f t="shared" si="578"/>
        <v>#N/A</v>
      </c>
      <c r="BU349" s="102" t="e">
        <f t="shared" si="579"/>
        <v>#N/A</v>
      </c>
      <c r="BV349" s="414" t="e">
        <f>IF(AND(BR349&gt;NDC!$C$63,BS349&gt;NDC!$C$65,BT349&gt;NDC!$D$73,BU349&gt;NDC!$D$74,$B349&gt;NDC!$H$22-0.1+MIN(3*BV$12,1.5)),0,1)</f>
        <v>#N/A</v>
      </c>
      <c r="BW349" s="86" t="b">
        <f t="shared" si="545"/>
        <v>0</v>
      </c>
      <c r="BX349" s="86">
        <f t="shared" si="546"/>
        <v>0.5</v>
      </c>
      <c r="BY349" s="86">
        <f t="shared" si="547"/>
        <v>0.5</v>
      </c>
      <c r="BZ349" s="30" t="e">
        <f t="shared" ca="1" si="580"/>
        <v>#DIV/0!</v>
      </c>
      <c r="CA349" s="85" t="e">
        <f ca="1">IF(BG349&lt;=Hypothèses!$V$7,Hypothèses!$W$7,IF(BG349&lt;=Hypothèses!$V$8,Hypothèses!$W$8,IF(BG349&lt;=Hypothèses!$V$9,Hypothèses!$W$9,IF(BG349&lt;=Hypothèses!$V$10,Hypothèses!$W$10,IF(BG349&lt;=Hypothèses!$V$11,Hypothèses!$W$11,IF(BG349&lt;=Hypothèses!$V$12,Hypothèses!$W$12,IF(BG349&lt;=Hypothèses!$V$13,Hypothèses!$W$13,IF(BG349&lt;=Hypothèses!$V$14,Hypothèses!$W$14,IF(BG349&lt;=Hypothèses!$V$15,Hypothèses!$W$15,IF(BG349&lt;=Hypothèses!$V$16,Hypothèses!$W$16,IF(BG349&lt;=Hypothèses!$V$17,Hypothèses!$W$17,IF(BG349&lt;=Hypothèses!$V$18,Hypothèses!$W$18,""))))))))))))</f>
        <v>#DIV/0!</v>
      </c>
      <c r="CB349" s="87" t="e">
        <f t="shared" ca="1" si="619"/>
        <v>#DIV/0!</v>
      </c>
      <c r="CC349" s="88" t="e">
        <f ca="1">IF(BG349&lt;=Hypothèses!$V$7,Hypothèses!$X$7,IF(BG349&lt;=Hypothèses!$V$8,Hypothèses!$X$8,IF(BG349&lt;=Hypothèses!$V$9,Hypothèses!$X$9,IF(BG349&lt;=Hypothèses!$V$10,Hypothèses!$X$10,IF(BG349&lt;=Hypothèses!$V$11,Hypothèses!$X$11,IF(BG349&lt;=Hypothèses!$V$12,Hypothèses!$X$12,IF(BG349&lt;=Hypothèses!$V$13,Hypothèses!$X$13,IF(BG349&lt;=Hypothèses!$V$14,Hypothèses!$X$14,IF(BG349&lt;=Hypothèses!$V$15,Hypothèses!$X$15,IF(BG349&lt;=Hypothèses!$V$16,Hypothèses!$X$16,IF(BG349&lt;=Hypothèses!$U$17,Hypothèses!$W$17,IF(BG349&lt;=Hypothèses!$U$18,Hypothèses!$W$18,""))))))))))))</f>
        <v>#DIV/0!</v>
      </c>
      <c r="CD349" s="95" t="e">
        <f t="shared" ca="1" si="581"/>
        <v>#DIV/0!</v>
      </c>
      <c r="CE349" s="101">
        <f t="shared" si="626"/>
        <v>0</v>
      </c>
      <c r="CF349" s="91">
        <f t="shared" si="548"/>
        <v>0</v>
      </c>
      <c r="CG349" s="30" t="e">
        <f t="shared" si="606"/>
        <v>#N/A</v>
      </c>
      <c r="CH349" s="30" t="e">
        <f t="shared" si="607"/>
        <v>#N/A</v>
      </c>
      <c r="CI349" s="31" t="e">
        <f>IF(OR(Hypothèses!$B$4=17,Hypothèses!$B$4=18,Hypothèses!$B$4=19,Hypothèses!$B$4=20),
IF($D349="Pressio.",
IF(OR($E349=3,$E349=1,$E349=4),CH349,CG349),
IF($D349="Pénétro.",
IF(OR($E349=3,$E349=1,$E349=4),CH349,CG349))),IF($D349="Pressio.",
IF($E349=3,CH349,CG349),
IF($D349="Pénétro.",
IF($E349=4,CH349,CG349))))</f>
        <v>#N/A</v>
      </c>
      <c r="CJ349" s="31">
        <v>0</v>
      </c>
      <c r="CK349" s="102" t="e">
        <f>IF(NDC!$H$10="Oui",(VLOOKUP($B$3,'Coeff EC7'!$T$39:$X$59,2,0)*CI349+VLOOKUP($B$3,'Coeff EC7'!$T$65:$X$85,2,0)*Model0.1T!CJ349)/1.5,PI()*CG$12*$Q349*($B349-$B348)*0.15/10+CK348)</f>
        <v>#N/A</v>
      </c>
      <c r="CL349" s="102" t="e">
        <f>(VLOOKUP($B$3,'Coeff EC7'!$T$39:$X$59,3,0)*CI349+VLOOKUP($B$3,'Coeff EC7'!$T$65:$X$85,3,0)*Model0.1T!CJ349)/1.1</f>
        <v>#N/A</v>
      </c>
      <c r="CM349" s="102" t="e">
        <f t="shared" si="582"/>
        <v>#N/A</v>
      </c>
      <c r="CN349" s="102" t="e">
        <f t="shared" si="583"/>
        <v>#N/A</v>
      </c>
      <c r="CO349" s="414" t="e">
        <f>IF(AND(CK349&gt;NDC!$C$63,CL349&gt;NDC!$C$65,CM349&gt;NDC!$D$73,CN349&gt;NDC!$D$74,$B349&gt;NDC!$H$22-0.1+MIN(3*CO$12,1.5)),0,1)</f>
        <v>#N/A</v>
      </c>
      <c r="CP349" s="86" t="b">
        <f t="shared" si="549"/>
        <v>0</v>
      </c>
      <c r="CQ349" s="86">
        <f t="shared" si="550"/>
        <v>0.5</v>
      </c>
      <c r="CR349" s="86">
        <f t="shared" si="551"/>
        <v>0.5</v>
      </c>
      <c r="CS349" s="30" t="e">
        <f t="shared" ca="1" si="584"/>
        <v>#DIV/0!</v>
      </c>
      <c r="CT349" s="85" t="e">
        <f ca="1">IF(BZ349&lt;=Hypothèses!$V$7,Hypothèses!$W$7,IF(BZ349&lt;=Hypothèses!$V$8,Hypothèses!$W$8,IF(BZ349&lt;=Hypothèses!$V$9,Hypothèses!$W$9,IF(BZ349&lt;=Hypothèses!$V$10,Hypothèses!$W$10,IF(BZ349&lt;=Hypothèses!$V$11,Hypothèses!$W$11,IF(BZ349&lt;=Hypothèses!$V$12,Hypothèses!$W$12,IF(BZ349&lt;=Hypothèses!$V$13,Hypothèses!$W$13,IF(BZ349&lt;=Hypothèses!$V$14,Hypothèses!$W$14,IF(BZ349&lt;=Hypothèses!$V$15,Hypothèses!$W$15,IF(BZ349&lt;=Hypothèses!$V$16,Hypothèses!$W$16,IF(BZ349&lt;=Hypothèses!$V$17,Hypothèses!$W$17,IF(BZ349&lt;=Hypothèses!$V$18,Hypothèses!$W$18,""))))))))))))</f>
        <v>#DIV/0!</v>
      </c>
      <c r="CU349" s="87" t="e">
        <f t="shared" ca="1" si="620"/>
        <v>#DIV/0!</v>
      </c>
      <c r="CV349" s="88" t="e">
        <f ca="1">IF(BZ349&lt;=Hypothèses!$V$7,Hypothèses!$X$7,IF(BZ349&lt;=Hypothèses!$V$8,Hypothèses!$X$8,IF(BZ349&lt;=Hypothèses!$V$9,Hypothèses!$X$9,IF(BZ349&lt;=Hypothèses!$V$10,Hypothèses!$X$10,IF(BZ349&lt;=Hypothèses!$V$11,Hypothèses!$X$11,IF(BZ349&lt;=Hypothèses!$V$12,Hypothèses!$X$12,IF(BZ349&lt;=Hypothèses!$V$13,Hypothèses!$X$13,IF(BZ349&lt;=Hypothèses!$V$14,Hypothèses!$X$14,IF(BZ349&lt;=Hypothèses!$V$15,Hypothèses!$X$15,IF(BZ349&lt;=Hypothèses!$V$16,Hypothèses!$X$16,IF(BZ349&lt;=Hypothèses!$U$17,Hypothèses!$W$17,IF(BZ349&lt;=Hypothèses!$U$18,Hypothèses!$W$18,""))))))))))))</f>
        <v>#DIV/0!</v>
      </c>
      <c r="CW349" s="95" t="e">
        <f t="shared" ca="1" si="585"/>
        <v>#DIV/0!</v>
      </c>
      <c r="CX349" s="101">
        <f t="shared" si="627"/>
        <v>0</v>
      </c>
      <c r="CY349" s="91">
        <f t="shared" si="552"/>
        <v>0</v>
      </c>
      <c r="CZ349" s="30" t="e">
        <f t="shared" si="608"/>
        <v>#N/A</v>
      </c>
      <c r="DA349" s="30" t="e">
        <f t="shared" si="609"/>
        <v>#N/A</v>
      </c>
      <c r="DB349" s="31" t="e">
        <f>IF(OR(Hypothèses!$B$4=17,Hypothèses!$B$4=18,Hypothèses!$B$4=19,Hypothèses!$B$4=20),
IF($D349="Pressio.",
IF(OR($E349=3,$E349=1,$E349=4),DA349,CZ349),
IF($D349="Pénétro.",
IF(OR($E349=3,$E349=1,$E349=4),DA349,CZ349))),IF($D349="Pressio.",
IF($E349=3,DA349,CZ349),
IF($D349="Pénétro.",
IF($E349=4,DA349,CZ349))))</f>
        <v>#N/A</v>
      </c>
      <c r="DC349" s="31">
        <v>0</v>
      </c>
      <c r="DD349" s="102" t="e">
        <f>IF(NDC!$H$10="Oui",(VLOOKUP($B$3,'Coeff EC7'!$T$39:$X$59,2,0)*DB349+VLOOKUP($B$3,'Coeff EC7'!$T$65:$X$85,2,0)*Model0.1T!DC349)/1.5,PI()*CZ$12*$Q349*($B349-$B348)*0.15/10+DD348)</f>
        <v>#N/A</v>
      </c>
      <c r="DE349" s="102" t="e">
        <f>(VLOOKUP($B$3,'Coeff EC7'!$T$39:$X$59,3,0)*DB349+VLOOKUP($B$3,'Coeff EC7'!$T$65:$X$85,3,0)*Model0.1T!DC349)/1.1</f>
        <v>#N/A</v>
      </c>
      <c r="DF349" s="102" t="e">
        <f t="shared" si="586"/>
        <v>#N/A</v>
      </c>
      <c r="DG349" s="102" t="e">
        <f t="shared" si="587"/>
        <v>#N/A</v>
      </c>
      <c r="DH349" s="414" t="e">
        <f>IF(AND(DD349&gt;NDC!$C$63,DE349&gt;NDC!$C$65,DF349&gt;NDC!$D$73,DG349&gt;NDC!$D$74,$B349&gt;NDC!$H$22-0.1+MIN(3*DH$12,1.5)),0,1)</f>
        <v>#N/A</v>
      </c>
      <c r="DI349" s="86" t="b">
        <f t="shared" si="553"/>
        <v>0</v>
      </c>
      <c r="DJ349" s="86">
        <f t="shared" si="554"/>
        <v>0.5</v>
      </c>
      <c r="DK349" s="86">
        <f t="shared" si="555"/>
        <v>0.5</v>
      </c>
      <c r="DL349" s="30" t="e">
        <f t="shared" ca="1" si="588"/>
        <v>#DIV/0!</v>
      </c>
      <c r="DM349" s="85" t="e">
        <f ca="1">IF(CS349&lt;=Hypothèses!$V$7,Hypothèses!$W$7,IF(CS349&lt;=Hypothèses!$V$8,Hypothèses!$W$8,IF(CS349&lt;=Hypothèses!$V$9,Hypothèses!$W$9,IF(CS349&lt;=Hypothèses!$V$10,Hypothèses!$W$10,IF(CS349&lt;=Hypothèses!$V$11,Hypothèses!$W$11,IF(CS349&lt;=Hypothèses!$V$12,Hypothèses!$W$12,IF(CS349&lt;=Hypothèses!$V$13,Hypothèses!$W$13,IF(CS349&lt;=Hypothèses!$V$14,Hypothèses!$W$14,IF(CS349&lt;=Hypothèses!$V$15,Hypothèses!$W$15,IF(CS349&lt;=Hypothèses!$V$16,Hypothèses!$W$16,IF(CS349&lt;=Hypothèses!$V$17,Hypothèses!$W$17,IF(CS349&lt;=Hypothèses!$V$18,Hypothèses!$W$18,""))))))))))))</f>
        <v>#DIV/0!</v>
      </c>
      <c r="DN349" s="87" t="e">
        <f t="shared" ca="1" si="621"/>
        <v>#DIV/0!</v>
      </c>
      <c r="DO349" s="88" t="e">
        <f ca="1">IF(CS349&lt;=Hypothèses!$V$7,Hypothèses!$X$7,IF(CS349&lt;=Hypothèses!$V$8,Hypothèses!$X$8,IF(CS349&lt;=Hypothèses!$V$9,Hypothèses!$X$9,IF(CS349&lt;=Hypothèses!$V$10,Hypothèses!$X$10,IF(CS349&lt;=Hypothèses!$V$11,Hypothèses!$X$11,IF(CS349&lt;=Hypothèses!$V$12,Hypothèses!$X$12,IF(CS349&lt;=Hypothèses!$V$13,Hypothèses!$X$13,IF(CS349&lt;=Hypothèses!$V$14,Hypothèses!$X$14,IF(CS349&lt;=Hypothèses!$V$15,Hypothèses!$X$15,IF(CS349&lt;=Hypothèses!$V$16,Hypothèses!$X$16,IF(CS349&lt;=Hypothèses!$U$17,Hypothèses!$W$17,IF(CS349&lt;=Hypothèses!$U$18,Hypothèses!$W$18,""))))))))))))</f>
        <v>#DIV/0!</v>
      </c>
      <c r="DP349" s="95" t="e">
        <f t="shared" ca="1" si="589"/>
        <v>#DIV/0!</v>
      </c>
      <c r="DQ349" s="101">
        <f t="shared" si="628"/>
        <v>0</v>
      </c>
      <c r="DR349" s="91">
        <f t="shared" si="556"/>
        <v>0</v>
      </c>
      <c r="DS349" s="30" t="e">
        <f t="shared" si="610"/>
        <v>#N/A</v>
      </c>
      <c r="DT349" s="30" t="e">
        <f t="shared" si="611"/>
        <v>#N/A</v>
      </c>
      <c r="DU349" s="31" t="e">
        <f>IF(OR(Hypothèses!$B$4=17,Hypothèses!$B$4=18,Hypothèses!$B$4=19,Hypothèses!$B$4=20),
IF($D349="Pressio.",
IF(OR($E349=3,$E349=1,$E349=4),DT349,DS349),
IF($D349="Pénétro.",
IF(OR($E349=3,$E349=1,$E349=4),DT349,DS349))),IF($D349="Pressio.",
IF($E349=3,DT349,DS349),
IF($D349="Pénétro.",
IF($E349=4,DT349,DS349))))</f>
        <v>#N/A</v>
      </c>
      <c r="DV349" s="31">
        <v>0</v>
      </c>
      <c r="DW349" s="102" t="e">
        <f>IF(NDC!$H$10="Oui",(VLOOKUP($B$3,'Coeff EC7'!$T$39:$X$59,2,0)*DU349+VLOOKUP($B$3,'Coeff EC7'!$T$65:$X$85,2,0)*Model0.1T!DV349)/1.5,PI()*DS$12*$Q349*($B349-$B348)*0.15/10+DW348)</f>
        <v>#N/A</v>
      </c>
      <c r="DX349" s="102" t="e">
        <f>(VLOOKUP($B$3,'Coeff EC7'!$T$39:$X$59,3,0)*DU349+VLOOKUP($B$3,'Coeff EC7'!$T$65:$X$85,3,0)*Model0.1T!DV349)/1.1</f>
        <v>#N/A</v>
      </c>
      <c r="DY349" s="102" t="e">
        <f t="shared" si="590"/>
        <v>#N/A</v>
      </c>
      <c r="DZ349" s="102" t="e">
        <f t="shared" si="591"/>
        <v>#N/A</v>
      </c>
      <c r="EA349" s="414" t="e">
        <f>IF(AND(DW349&gt;NDC!$C$63,DX349&gt;NDC!$C$65,DY349&gt;NDC!$D$73,DZ349&gt;NDC!$D$74,$B349&gt;NDC!$H$22-0.1+MIN(3*EA$12,1.5)),0,1)</f>
        <v>#N/A</v>
      </c>
      <c r="EB349" s="86" t="b">
        <f t="shared" si="557"/>
        <v>0</v>
      </c>
      <c r="EC349" s="418">
        <f t="shared" si="558"/>
        <v>0.51</v>
      </c>
      <c r="ED349" s="86">
        <f t="shared" si="559"/>
        <v>0.51</v>
      </c>
      <c r="EE349" s="30" t="e">
        <f t="shared" ca="1" si="592"/>
        <v>#DIV/0!</v>
      </c>
      <c r="EF349" s="85" t="e">
        <f ca="1">IF(DL349&lt;=Hypothèses!$V$7,Hypothèses!$W$7,IF(DL349&lt;=Hypothèses!$V$8,Hypothèses!$W$8,IF(DL349&lt;=Hypothèses!$V$9,Hypothèses!$W$9,IF(DL349&lt;=Hypothèses!$V$10,Hypothèses!$W$10,IF(DL349&lt;=Hypothèses!$V$11,Hypothèses!$W$11,IF(DL349&lt;=Hypothèses!$V$12,Hypothèses!$W$12,IF(DL349&lt;=Hypothèses!$V$13,Hypothèses!$W$13,IF(DL349&lt;=Hypothèses!$V$14,Hypothèses!$W$14,IF(DL349&lt;=Hypothèses!$V$15,Hypothèses!$W$15,IF(DL349&lt;=Hypothèses!$V$16,Hypothèses!$W$16,IF(DL349&lt;=Hypothèses!$V$17,Hypothèses!$W$17,IF(DL349&lt;=Hypothèses!$V$18,Hypothèses!$W$18,""))))))))))))</f>
        <v>#DIV/0!</v>
      </c>
      <c r="EG349" s="87" t="e">
        <f t="shared" ca="1" si="622"/>
        <v>#DIV/0!</v>
      </c>
      <c r="EH349" s="88" t="e">
        <f ca="1">IF(DL349&lt;=Hypothèses!$V$7,Hypothèses!$X$7,IF(DL349&lt;=Hypothèses!$V$8,Hypothèses!$X$8,IF(DL349&lt;=Hypothèses!$V$9,Hypothèses!$X$9,IF(DL349&lt;=Hypothèses!$V$10,Hypothèses!$X$10,IF(DL349&lt;=Hypothèses!$V$11,Hypothèses!$X$11,IF(DL349&lt;=Hypothèses!$V$12,Hypothèses!$X$12,IF(DL349&lt;=Hypothèses!$V$13,Hypothèses!$X$13,IF(DL349&lt;=Hypothèses!$V$14,Hypothèses!$X$14,IF(DL349&lt;=Hypothèses!$V$15,Hypothèses!$X$15,IF(DL349&lt;=Hypothèses!$V$16,Hypothèses!$X$16,IF(DL349&lt;=Hypothèses!$U$17,Hypothèses!$W$17,IF(DL349&lt;=Hypothèses!$U$18,Hypothèses!$W$18,""))))))))))))</f>
        <v>#DIV/0!</v>
      </c>
      <c r="EI349" s="95" t="e">
        <f t="shared" ca="1" si="593"/>
        <v>#DIV/0!</v>
      </c>
      <c r="EJ349" s="101">
        <f t="shared" si="629"/>
        <v>0</v>
      </c>
      <c r="EK349" s="91">
        <f t="shared" si="560"/>
        <v>0</v>
      </c>
      <c r="EL349" s="30" t="e">
        <f t="shared" si="612"/>
        <v>#N/A</v>
      </c>
      <c r="EM349" s="30" t="e">
        <f t="shared" si="613"/>
        <v>#N/A</v>
      </c>
      <c r="EN349" s="31" t="e">
        <f>IF(OR(Hypothèses!$B$4=17,Hypothèses!$B$4=18,Hypothèses!$B$4=19,Hypothèses!$B$4=20),
IF($D349="Pressio.",
IF(OR($E349=3,$E349=1,$E349=4),EM349,EL349),
IF($D349="Pénétro.",
IF(OR($E349=3,$E349=1,$E349=4),EM349,EL349))),IF($D349="Pressio.",
IF($E349=3,EM349,EL349),
IF($D349="Pénétro.",
IF($E349=4,EM349,EL349))))</f>
        <v>#N/A</v>
      </c>
      <c r="EO349" s="31">
        <v>0</v>
      </c>
      <c r="EP349" s="102" t="e">
        <f>IF(NDC!$H$10="Oui",(VLOOKUP($B$3,'Coeff EC7'!$T$39:$X$59,2,0)*EN349+VLOOKUP($B$3,'Coeff EC7'!$T$65:$X$85,2,0)*Model0.1T!EO349)/1.5,PI()*EL$12*$Q349*($B349-$B348)*0.15/10+EP348)</f>
        <v>#N/A</v>
      </c>
      <c r="EQ349" s="102" t="e">
        <f>(VLOOKUP($B$3,'Coeff EC7'!$T$39:$X$59,3,0)*EN349+VLOOKUP($B$3,'Coeff EC7'!$T$65:$X$85,3,0)*Model0.1T!EO349)/1.1</f>
        <v>#N/A</v>
      </c>
      <c r="ER349" s="102" t="e">
        <f t="shared" si="594"/>
        <v>#N/A</v>
      </c>
      <c r="ES349" s="102" t="e">
        <f t="shared" si="595"/>
        <v>#N/A</v>
      </c>
      <c r="ET349" s="414" t="e">
        <f>IF(AND(EP349&gt;NDC!$C$63,EQ349&gt;NDC!$C$65,ER349&gt;NDC!$D$73,ES349&gt;NDC!$D$74,$B349&gt;NDC!$H$22-0.1+MIN(3*ET$12,1.5)),0,1)</f>
        <v>#N/A</v>
      </c>
      <c r="EU349" s="86" t="b">
        <f t="shared" si="561"/>
        <v>0</v>
      </c>
      <c r="EV349" s="86">
        <f t="shared" si="562"/>
        <v>0.61</v>
      </c>
      <c r="EW349" s="86">
        <f t="shared" si="563"/>
        <v>0.61</v>
      </c>
      <c r="EX349" s="30" t="e">
        <f t="shared" ca="1" si="596"/>
        <v>#DIV/0!</v>
      </c>
      <c r="EY349" s="85" t="e">
        <f ca="1">IF(EE349&lt;=Hypothèses!$V$7,Hypothèses!$W$7,IF(EE349&lt;=Hypothèses!$V$8,Hypothèses!$W$8,IF(EE349&lt;=Hypothèses!$V$9,Hypothèses!$W$9,IF(EE349&lt;=Hypothèses!$V$10,Hypothèses!$W$10,IF(EE349&lt;=Hypothèses!$V$11,Hypothèses!$W$11,IF(EE349&lt;=Hypothèses!$V$12,Hypothèses!$W$12,IF(EE349&lt;=Hypothèses!$V$13,Hypothèses!$W$13,IF(EE349&lt;=Hypothèses!$V$14,Hypothèses!$W$14,IF(EE349&lt;=Hypothèses!$V$15,Hypothèses!$W$15,IF(EE349&lt;=Hypothèses!$V$16,Hypothèses!$W$16,IF(EE349&lt;=Hypothèses!$V$17,Hypothèses!$W$17,IF(EE349&lt;=Hypothèses!$V$18,Hypothèses!$W$18,""))))))))))))</f>
        <v>#DIV/0!</v>
      </c>
      <c r="EZ349" s="87" t="e">
        <f t="shared" ca="1" si="623"/>
        <v>#DIV/0!</v>
      </c>
      <c r="FA349" s="88" t="e">
        <f ca="1">IF(EE349&lt;=Hypothèses!$V$7,Hypothèses!$X$7,IF(EE349&lt;=Hypothèses!$V$8,Hypothèses!$X$8,IF(EE349&lt;=Hypothèses!$V$9,Hypothèses!$X$9,IF(EE349&lt;=Hypothèses!$V$10,Hypothèses!$X$10,IF(EE349&lt;=Hypothèses!$V$11,Hypothèses!$X$11,IF(EE349&lt;=Hypothèses!$V$12,Hypothèses!$X$12,IF(EE349&lt;=Hypothèses!$V$13,Hypothèses!$X$13,IF(EE349&lt;=Hypothèses!$V$14,Hypothèses!$X$14,IF(EE349&lt;=Hypothèses!$V$15,Hypothèses!$X$15,IF(EE349&lt;=Hypothèses!$V$16,Hypothèses!$X$16,IF(EE349&lt;=Hypothèses!$U$17,Hypothèses!$W$17,IF(EE349&lt;=Hypothèses!$U$18,Hypothèses!$W$18,""))))))))))))</f>
        <v>#DIV/0!</v>
      </c>
      <c r="FB349" s="95" t="e">
        <f t="shared" ca="1" si="597"/>
        <v>#DIV/0!</v>
      </c>
      <c r="FC349" s="101">
        <f t="shared" si="630"/>
        <v>0</v>
      </c>
      <c r="FD349" s="91">
        <f t="shared" si="564"/>
        <v>0</v>
      </c>
      <c r="FE349" s="30" t="e">
        <f t="shared" si="614"/>
        <v>#N/A</v>
      </c>
      <c r="FF349" s="30" t="e">
        <f t="shared" si="615"/>
        <v>#N/A</v>
      </c>
      <c r="FG349" s="31" t="e">
        <f>IF(OR(Hypothèses!$B$4=17,Hypothèses!$B$4=18,Hypothèses!$B$4=19,Hypothèses!$B$4=20),
IF($D349="Pressio.",
IF(OR($E349=3,$E349=1,$E349=4),FF349,FE349),
IF($D349="Pénétro.",
IF(OR($E349=3,$E349=1,$E349=4),FF349,FE349))),IF($D349="Pressio.",
IF($E349=3,FF349,FE349),
IF($D349="Pénétro.",
IF($E349=4,FF349,FE349))))</f>
        <v>#N/A</v>
      </c>
      <c r="FH349" s="31">
        <v>0</v>
      </c>
      <c r="FI349" s="102" t="e">
        <f>IF(NDC!$H$10="Oui",(VLOOKUP($B$3,'Coeff EC7'!$T$39:$X$59,2,0)*FG349+VLOOKUP($B$3,'Coeff EC7'!$T$65:$X$85,2,0)*Model0.1T!FH349)/1.5,PI()*FE$12*$Q349*($B349-$B348)*0.15/10+FI348)</f>
        <v>#N/A</v>
      </c>
      <c r="FJ349" s="102" t="e">
        <f>(VLOOKUP($B$3,'Coeff EC7'!$T$39:$X$59,3,0)*FG349+VLOOKUP($B$3,'Coeff EC7'!$T$65:$X$85,3,0)*Model0.1T!FH349)/1.1</f>
        <v>#N/A</v>
      </c>
      <c r="FK349" s="102" t="e">
        <f t="shared" si="598"/>
        <v>#N/A</v>
      </c>
      <c r="FL349" s="102" t="e">
        <f t="shared" si="599"/>
        <v>#N/A</v>
      </c>
      <c r="FM349" s="414" t="e">
        <f>IF(AND(FI349&gt;NDC!$C$63,FJ349&gt;NDC!$C$65,FK349&gt;NDC!$D$73,FL349&gt;NDC!$D$74,$B349&gt;NDC!$H$22-0.1+MIN(3*FM$12,1.5)),0,1)</f>
        <v>#N/A</v>
      </c>
    </row>
    <row r="350" spans="1:169">
      <c r="A350" s="96">
        <f t="shared" si="565"/>
        <v>66.300000000001916</v>
      </c>
      <c r="B350" s="97">
        <v>33.700000000000003</v>
      </c>
      <c r="C350" s="81">
        <f>IF(B350&lt;=Hypothèses!$C$7,Hypothèses!$A$7,IF(B350&lt;=Hypothèses!$C$8,Hypothèses!$A$8,IF(B350&lt;=Hypothèses!$C$9,Hypothèses!$A$9,IF(B350&lt;=Hypothèses!$C$10,Hypothèses!$A$10,IF(B350&lt;=Hypothèses!$C$11,Hypothèses!$A$11,IF(B350&lt;=Hypothèses!$C$12,Hypothèses!$A$12,IF(B350&lt;=Hypothèses!$C$13,Hypothèses!$A$13,IF(B350&lt;=Hypothèses!$C$14,Hypothèses!$A$14,IF(B350&lt;=Hypothèses!$C$15,Hypothèses!$A$15,IF(B350&lt;=Hypothèses!$C$16,Hypothèses!$A$16,IF(B350&lt;=Hypothèses!$C$17,Hypothèses!$A$17,IF(B350&lt;=Hypothèses!$C$18,Hypothèses!$A$18,C349))))))))))))</f>
        <v>11</v>
      </c>
      <c r="D350" s="82" t="str">
        <f>IF(B350&lt;=Hypothèses!$C$7,Hypothèses!$R$7,IF(B350&lt;=Hypothèses!$C$8,Hypothèses!$R$8,IF(B350&lt;=Hypothèses!$C$9,Hypothèses!$R$9,IF(B350&lt;=Hypothèses!$C$10,Hypothèses!$R$10,IF(B350&lt;=Hypothèses!$C$11,Hypothèses!$R$11,IF(B350&lt;=Hypothèses!$C$12,Hypothèses!$R$12,IF(B350&lt;=Hypothèses!$C$13,Hypothèses!$R$13,IF(B350&lt;=Hypothèses!$C$14,Hypothèses!$R$14,IF(B350&lt;=Hypothèses!$C$15,Hypothèses!$R$15,IF(B350&lt;=Hypothèses!$C$16,Hypothèses!$R$16,IF(B350&lt;=Hypothèses!$C$17,Hypothèses!$R$17,IF(B350&lt;=Hypothèses!$C$18,Hypothèses!$R$18,D349))))))))))))</f>
        <v>Pressio.</v>
      </c>
      <c r="E350" s="82" t="e">
        <f>IF(B350&lt;=Hypothèses!$C$7,Hypothèses!$G$7,IF(B350&lt;=Hypothèses!$C$8,Hypothèses!$G$8,IF(B350&lt;=Hypothèses!$C$9,Hypothèses!$G$9,IF(B350&lt;=Hypothèses!$C$10,Hypothèses!$G$10,IF(B350&lt;=Hypothèses!$C$11,Hypothèses!$G$11,IF(B350&lt;=Hypothèses!$C$12,Hypothèses!$G$12,IF(B350&lt;=Hypothèses!$C$13,Hypothèses!$G$13,IF(B350&lt;=Hypothèses!$C$14,Hypothèses!$G$14,IF(B350&lt;=Hypothèses!$C$15,Hypothèses!$G$15,IF(B350&lt;=Hypothèses!$C$16,Hypothèses!$G$16,IF(B350&lt;=Hypothèses!$C$17,Hypothèses!$G$17,IF(B350&lt;=Hypothèses!$C$18,Hypothèses!$G$18,E349))))))))))))</f>
        <v>#N/A</v>
      </c>
      <c r="F350" s="82" t="str">
        <f>IF(B350&lt;=Hypothèses!$C$7,Hypothèses!$F$7,IF(B350&lt;=Hypothèses!$C$8,Hypothèses!$F$8,IF(B350&lt;=Hypothèses!$C$9,Hypothèses!$F$9,IF(B350&lt;=Hypothèses!$C$10,Hypothèses!$F$10,IF(B350&lt;=Hypothèses!$C$11,Hypothèses!$F$11,IF(B350&lt;=Hypothèses!$C$12,Hypothèses!$F$12,IF(B350&lt;=Hypothèses!$C$13,Hypothèses!$F$13,IF(B350&lt;=Hypothèses!$C$14,Hypothèses!$F$14,IF(B350&lt;=Hypothèses!$C$15,Hypothèses!$F$15,IF(B350&lt;=Hypothèses!$C$16,Hypothèses!$F$16,IF(B350&lt;=Hypothèses!$C$17,Hypothèses!$F$17,IF(B350&lt;=Hypothèses!$C$18,Hypothèses!$F$18,F349))))))))))))</f>
        <v/>
      </c>
      <c r="G350" s="91">
        <f t="array" ref="G350">INDEX('Coeff EC7'!$U$7:$X$27,
MATCH(Model0.1T!$B$3,'Coeff EC7'!$T$7:$T$27,0),
MATCH(Model0.1T!$D350&amp;Model0.1T!$B$4,
'Coeff EC7'!$U$6:$X$6&amp;
'Coeff EC7'!$U$5:$X$5,0))</f>
        <v>1.4</v>
      </c>
      <c r="H350" s="91">
        <f t="array" ref="H350">INDEX('Coeff EC7'!$Y$7:$AB$27,
MATCH(Model0.1T!$B$3,'Coeff EC7'!$T$7:$T$27,0),
MATCH(Model0.1T!$D350&amp;Model0.1T!$B$4,
'Coeff EC7'!$Y$6:$AB$6&amp;
'Coeff EC7'!$Y$5:$AB$5,0))</f>
        <v>1.7</v>
      </c>
      <c r="I350" s="83">
        <v>0</v>
      </c>
      <c r="J350" s="91" t="e">
        <f t="array" ref="J350">INDEX('Coeff EC7'!$D$33:$Q$33,1,MATCH(D350&amp;E350,'Coeff EC7'!$D$31:$Q$31&amp;'Coeff EC7'!$D$32:$Q$32,0))</f>
        <v>#N/A</v>
      </c>
      <c r="K350" s="91" t="e">
        <f t="array" ref="K350">INDEX('Coeff EC7'!$D$34:$Q$34,1,MATCH(D350&amp;E350,'Coeff EC7'!$D$31:$Q$31&amp;'Coeff EC7'!$D$32:$Q$32,0))</f>
        <v>#N/A</v>
      </c>
      <c r="L350" s="91" t="e">
        <f t="array" ref="L350">INDEX('Coeff EC7'!$D$35:$Q$35,1,MATCH(D350&amp;E350,'Coeff EC7'!$D$31:$Q$31&amp;'Coeff EC7'!$D$32:$Q$32,0))</f>
        <v>#N/A</v>
      </c>
      <c r="M350" s="98" t="e">
        <f t="shared" si="531"/>
        <v>#N/A</v>
      </c>
      <c r="N350" s="99" t="e">
        <f t="array" ref="N350">INDEX('Coeff EC7'!$D$7:$Q$27,MATCH($B$3,'Coeff EC7'!$C$7:$C$27,0),MATCH(D350&amp;E350,'Coeff EC7'!$D$5:$Q$5&amp;'Coeff EC7'!$D$6:$Q$6,0))</f>
        <v>#N/A</v>
      </c>
      <c r="O350" s="99" t="e">
        <f t="array" ref="O350">INDEX('Coeff EC7'!$D$41:$Q$61,MATCH($B$3,'Coeff EC7'!$C$41:$C$61,0),MATCH(D350&amp;E350,'Coeff EC7'!$D$39:$Q$39&amp;'Coeff EC7'!$D$40:$Q$40,0))</f>
        <v>#N/A</v>
      </c>
      <c r="P350" s="30" t="e">
        <f t="shared" si="566"/>
        <v>#N/A</v>
      </c>
      <c r="Q350" s="100" t="e">
        <f t="shared" si="533"/>
        <v>#N/A</v>
      </c>
      <c r="R350" s="86" t="b">
        <f t="shared" si="534"/>
        <v>0</v>
      </c>
      <c r="S350" s="86">
        <f t="shared" si="532"/>
        <v>0.5</v>
      </c>
      <c r="T350" s="86">
        <f t="shared" si="535"/>
        <v>0.5</v>
      </c>
      <c r="U350" s="30" t="e">
        <f t="shared" ca="1" si="567"/>
        <v>#DIV/0!</v>
      </c>
      <c r="V350" s="85" t="str">
        <f>IF(B350&lt;=Hypothèses!$V$7,Hypothèses!$W$7,IF(B350&lt;=Hypothèses!$V$8,Hypothèses!$W$8,IF(B350&lt;=Hypothèses!$V$9,Hypothèses!$W$9,IF(B350&lt;=Hypothèses!$V$10,Hypothèses!$W$10,IF(B350&lt;=Hypothèses!$V$11,Hypothèses!$W$11,IF(B350&lt;=Hypothèses!$V$12,Hypothèses!$W$12,IF(B350&lt;=Hypothèses!$V$13,Hypothèses!$W$13,IF(B350&lt;=Hypothèses!$V$14,Hypothèses!$W$14,IF(B350&lt;=Hypothèses!$V$15,Hypothèses!$W$15,IF(B350&lt;=Hypothèses!$V$16,Hypothèses!$W$16,IF(B350&lt;=Hypothèses!$V$17,Hypothèses!$W$17,IF(B350&lt;=Hypothèses!$V$18,Hypothèses!$W$18,""))))))))))))</f>
        <v/>
      </c>
      <c r="W350" s="87" t="e">
        <f t="shared" ca="1" si="616"/>
        <v>#DIV/0!</v>
      </c>
      <c r="X350" s="88" t="str">
        <f>IF(B350&lt;=Hypothèses!$V$7,Hypothèses!$X$7,IF(B350&lt;=Hypothèses!$V$8,Hypothèses!$X$8,IF(B350&lt;=Hypothèses!$V$9,Hypothèses!$X$9,IF(B350&lt;=Hypothèses!$V$10,Hypothèses!$X$10,IF(B350&lt;=Hypothèses!$V$11,Hypothèses!$X$11,IF(B350&lt;=Hypothèses!$V$12,Hypothèses!$X$12,IF(B350&lt;=Hypothèses!$V$13,Hypothèses!$X$13,IF(B350&lt;=Hypothèses!$V$14,Hypothèses!$X$14,IF(B350&lt;=Hypothèses!$V$15,Hypothèses!$X$15,IF(B350&lt;=Hypothèses!$V$16,Hypothèses!$X$16,IF(B350&lt;=Hypothèses!$U$17,Hypothèses!$W$17,IF(B350&lt;=Hypothèses!$U$18,Hypothèses!$W$18,""))))))))))))</f>
        <v/>
      </c>
      <c r="Y350" s="95" t="e">
        <f t="shared" ca="1" si="536"/>
        <v>#DIV/0!</v>
      </c>
      <c r="Z350" s="101">
        <f t="shared" si="537"/>
        <v>0</v>
      </c>
      <c r="AA350" s="91">
        <f t="shared" si="538"/>
        <v>0</v>
      </c>
      <c r="AB350" s="30" t="e">
        <f t="shared" si="600"/>
        <v>#N/A</v>
      </c>
      <c r="AC350" s="30" t="e">
        <f t="shared" si="601"/>
        <v>#N/A</v>
      </c>
      <c r="AD350" s="31" t="e">
        <f>IF(OR(Hypothèses!$B$4=17,Hypothèses!$B$4=18,Hypothèses!$B$4=19,Hypothèses!$B$4=20),
IF($D350="Pressio.",
IF(OR($E350=3,$E350=1,$E350=4),AC350,AB350),
IF($D350="Pénétro.",
IF(OR($E350=3,$E350=1,$E350=4),AC350,AB350))),IF($D350="Pressio.",
IF($E350=3,AC350,AB350),
IF($D350="Pénétro.",
IF($E350=4,AC350,AB350))))</f>
        <v>#N/A</v>
      </c>
      <c r="AE350" s="31">
        <v>0</v>
      </c>
      <c r="AF350" s="102" t="e">
        <f>IF(NDC!$H$10="Oui",(VLOOKUP($B$3,'Coeff EC7'!$T$39:$X$59,2,0)*AD350+VLOOKUP($B$3,'Coeff EC7'!$T$65:$X$85,2,0)*Model0.1T!AE350)/1.5,PI()*AB$12*$Q350*($B350-$B349)*0.15/10+AF349)</f>
        <v>#N/A</v>
      </c>
      <c r="AG350" s="102" t="e">
        <f>(VLOOKUP($B$3,'Coeff EC7'!$T$39:$X$59,3,0)*AD350+VLOOKUP($B$3,'Coeff EC7'!$T$65:$X$85,3,0)*Model0.1T!AE350)/1.1</f>
        <v>#N/A</v>
      </c>
      <c r="AH350" s="102" t="e">
        <f t="shared" si="568"/>
        <v>#N/A</v>
      </c>
      <c r="AI350" s="102" t="e">
        <f t="shared" si="569"/>
        <v>#N/A</v>
      </c>
      <c r="AJ350" s="414" t="e">
        <f>IF(AND(AF350&gt;NDC!$C$63,AG350&gt;NDC!$C$65,AH350&gt;NDC!$D$73,AI350&gt;NDC!$D$74,$B350&gt;NDC!$H$22-0.1+MIN(3*$AJ$12,1.5)),0,1)</f>
        <v>#N/A</v>
      </c>
      <c r="AK350" s="86" t="b">
        <f t="shared" si="539"/>
        <v>0</v>
      </c>
      <c r="AL350" s="86">
        <f t="shared" si="570"/>
        <v>0.5</v>
      </c>
      <c r="AM350" s="86">
        <f t="shared" si="540"/>
        <v>0.5</v>
      </c>
      <c r="AN350" s="30" t="e">
        <f t="shared" ca="1" si="571"/>
        <v>#DIV/0!</v>
      </c>
      <c r="AO350" s="85" t="e">
        <f ca="1">IF(U350&lt;=Hypothèses!$V$7,Hypothèses!$W$7,IF(U350&lt;=Hypothèses!$V$8,Hypothèses!$W$8,IF(U350&lt;=Hypothèses!$V$9,Hypothèses!$W$9,IF(U350&lt;=Hypothèses!$V$10,Hypothèses!$W$10,IF(U350&lt;=Hypothèses!$V$11,Hypothèses!$W$11,IF(U350&lt;=Hypothèses!$V$12,Hypothèses!$W$12,IF(U350&lt;=Hypothèses!$V$13,Hypothèses!$W$13,IF(U350&lt;=Hypothèses!$V$14,Hypothèses!$W$14,IF(U350&lt;=Hypothèses!$V$15,Hypothèses!$W$15,IF(U350&lt;=Hypothèses!$V$16,Hypothèses!$W$16,IF(U350&lt;=Hypothèses!$V$17,Hypothèses!$W$17,IF(U350&lt;=Hypothèses!$V$18,Hypothèses!$W$18,""))))))))))))</f>
        <v>#DIV/0!</v>
      </c>
      <c r="AP350" s="87" t="e">
        <f t="shared" ca="1" si="617"/>
        <v>#DIV/0!</v>
      </c>
      <c r="AQ350" s="88" t="e">
        <f ca="1">IF(U350&lt;=Hypothèses!$V$7,Hypothèses!$X$7,IF(U350&lt;=Hypothèses!$V$8,Hypothèses!$X$8,IF(U350&lt;=Hypothèses!$V$9,Hypothèses!$X$9,IF(U350&lt;=Hypothèses!$V$10,Hypothèses!$X$10,IF(U350&lt;=Hypothèses!$V$11,Hypothèses!$X$11,IF(U350&lt;=Hypothèses!$V$12,Hypothèses!$X$12,IF(U350&lt;=Hypothèses!$V$13,Hypothèses!$X$13,IF(U350&lt;=Hypothèses!$V$14,Hypothèses!$X$14,IF(U350&lt;=Hypothèses!$V$15,Hypothèses!$X$15,IF(U350&lt;=Hypothèses!$V$16,Hypothèses!$X$16,IF(U350&lt;=Hypothèses!$U$17,Hypothèses!$W$17,IF(U350&lt;=Hypothèses!$U$18,Hypothèses!$W$18,""))))))))))))</f>
        <v>#DIV/0!</v>
      </c>
      <c r="AR350" s="95" t="e">
        <f t="shared" ca="1" si="572"/>
        <v>#DIV/0!</v>
      </c>
      <c r="AS350" s="101">
        <f t="shared" si="624"/>
        <v>0</v>
      </c>
      <c r="AT350" s="91">
        <f t="shared" si="541"/>
        <v>0</v>
      </c>
      <c r="AU350" s="30" t="e">
        <f t="shared" si="602"/>
        <v>#N/A</v>
      </c>
      <c r="AV350" s="30" t="e">
        <f t="shared" si="603"/>
        <v>#N/A</v>
      </c>
      <c r="AW350" s="31" t="e">
        <f>IF(OR(Hypothèses!$B$4=17,Hypothèses!$B$4=18,Hypothèses!$B$4=19,Hypothèses!$B$4=20),
IF($D350="Pressio.",
IF(OR($E350=3,$E350=1,$E350=4),AV350,AU350),
IF($D350="Pénétro.",
IF(OR($E350=3,$E350=1,$E350=4),AV350,AU350))),IF($D350="Pressio.",
IF($E350=3,AV350,AU350),
IF($D350="Pénétro.",
IF($E350=4,AV350,AU350))))</f>
        <v>#N/A</v>
      </c>
      <c r="AX350" s="31">
        <v>0</v>
      </c>
      <c r="AY350" s="102" t="e">
        <f>IF(NDC!$H$10="Oui",(VLOOKUP($B$3,'Coeff EC7'!$T$39:$X$59,2,0)*AW350+VLOOKUP($B$3,'Coeff EC7'!$T$65:$X$85,2,0)*Model0.1T!AX350)/1.5,PI()*AU$12*$Q350*($B350-$B349)*0.15/10+AY349)</f>
        <v>#N/A</v>
      </c>
      <c r="AZ350" s="102" t="e">
        <f>(VLOOKUP($B$3,'Coeff EC7'!$T$39:$X$59,3,0)*AW350+VLOOKUP($B$3,'Coeff EC7'!$T$65:$X$85,3,0)*Model0.1T!AX350)/1.1</f>
        <v>#N/A</v>
      </c>
      <c r="BA350" s="102" t="e">
        <f t="shared" si="573"/>
        <v>#N/A</v>
      </c>
      <c r="BB350" s="102" t="e">
        <f t="shared" si="574"/>
        <v>#N/A</v>
      </c>
      <c r="BC350" s="414" t="e">
        <f>IF(AND(AY350&gt;NDC!$C$63,AZ350&gt;NDC!$C$65,BA350&gt;NDC!$D$73,BB350&gt;NDC!$D$74,$B350&gt;NDC!$H$22-0.1+MIN(3*BC$12,1.5)),0,1)</f>
        <v>#N/A</v>
      </c>
      <c r="BD350" s="86" t="b">
        <f t="shared" si="542"/>
        <v>0</v>
      </c>
      <c r="BE350" s="86">
        <f t="shared" si="575"/>
        <v>0.5</v>
      </c>
      <c r="BF350" s="86">
        <f t="shared" si="543"/>
        <v>0.5</v>
      </c>
      <c r="BG350" s="30" t="e">
        <f t="shared" ca="1" si="576"/>
        <v>#DIV/0!</v>
      </c>
      <c r="BH350" s="85" t="e">
        <f ca="1">IF(AN350&lt;=Hypothèses!$V$7,Hypothèses!$W$7,IF(AN350&lt;=Hypothèses!$V$8,Hypothèses!$W$8,IF(AN350&lt;=Hypothèses!$V$9,Hypothèses!$W$9,IF(AN350&lt;=Hypothèses!$V$10,Hypothèses!$W$10,IF(AN350&lt;=Hypothèses!$V$11,Hypothèses!$W$11,IF(AN350&lt;=Hypothèses!$V$12,Hypothèses!$W$12,IF(AN350&lt;=Hypothèses!$V$13,Hypothèses!$W$13,IF(AN350&lt;=Hypothèses!$V$14,Hypothèses!$W$14,IF(AN350&lt;=Hypothèses!$V$15,Hypothèses!$W$15,IF(AN350&lt;=Hypothèses!$V$16,Hypothèses!$W$16,IF(AN350&lt;=Hypothèses!$V$17,Hypothèses!$W$17,IF(AN350&lt;=Hypothèses!$V$18,Hypothèses!$W$18,""))))))))))))</f>
        <v>#DIV/0!</v>
      </c>
      <c r="BI350" s="87" t="e">
        <f t="shared" ca="1" si="618"/>
        <v>#DIV/0!</v>
      </c>
      <c r="BJ350" s="88" t="e">
        <f ca="1">IF(AN350&lt;=Hypothèses!$V$7,Hypothèses!$X$7,IF(AN350&lt;=Hypothèses!$V$8,Hypothèses!$X$8,IF(AN350&lt;=Hypothèses!$V$9,Hypothèses!$X$9,IF(AN350&lt;=Hypothèses!$V$10,Hypothèses!$X$10,IF(AN350&lt;=Hypothèses!$V$11,Hypothèses!$X$11,IF(AN350&lt;=Hypothèses!$V$12,Hypothèses!$X$12,IF(AN350&lt;=Hypothèses!$V$13,Hypothèses!$X$13,IF(AN350&lt;=Hypothèses!$V$14,Hypothèses!$X$14,IF(AN350&lt;=Hypothèses!$V$15,Hypothèses!$X$15,IF(AN350&lt;=Hypothèses!$V$16,Hypothèses!$X$16,IF(AN350&lt;=Hypothèses!$U$17,Hypothèses!$W$17,IF(AN350&lt;=Hypothèses!$U$18,Hypothèses!$W$18,""))))))))))))</f>
        <v>#DIV/0!</v>
      </c>
      <c r="BK350" s="95" t="e">
        <f t="shared" ca="1" si="577"/>
        <v>#DIV/0!</v>
      </c>
      <c r="BL350" s="101">
        <f t="shared" si="625"/>
        <v>0</v>
      </c>
      <c r="BM350" s="91">
        <f t="shared" si="544"/>
        <v>0</v>
      </c>
      <c r="BN350" s="30" t="e">
        <f t="shared" si="604"/>
        <v>#N/A</v>
      </c>
      <c r="BO350" s="30" t="e">
        <f t="shared" si="605"/>
        <v>#N/A</v>
      </c>
      <c r="BP350" s="31" t="e">
        <f>IF(OR(Hypothèses!$B$4=17,Hypothèses!$B$4=18,Hypothèses!$B$4=19,Hypothèses!$B$4=20),
IF($D350="Pressio.",
IF(OR($E350=3,$E350=1,$E350=4),BO350,BN350),
IF($D350="Pénétro.",
IF(OR($E350=3,$E350=1,$E350=4),BO350,BN350))),IF($D350="Pressio.",
IF($E350=3,BO350,BN350),
IF($D350="Pénétro.",
IF($E350=4,BO350,BN350))))</f>
        <v>#N/A</v>
      </c>
      <c r="BQ350" s="31">
        <v>0</v>
      </c>
      <c r="BR350" s="102" t="e">
        <f>IF(NDC!$H$10="Oui",(VLOOKUP($B$3,'Coeff EC7'!$T$39:$X$59,2,0)*BP350+VLOOKUP($B$3,'Coeff EC7'!$T$65:$X$85,2,0)*Model0.1T!BQ350)/1.5,PI()*BN$12*$Q350*($B350-$B349)*0.15/10+BR349)</f>
        <v>#N/A</v>
      </c>
      <c r="BS350" s="102" t="e">
        <f>(VLOOKUP($B$3,'Coeff EC7'!$T$39:$X$59,3,0)*BP350+VLOOKUP($B$3,'Coeff EC7'!$T$65:$X$85,3,0)*Model0.1T!BQ350)/1.1</f>
        <v>#N/A</v>
      </c>
      <c r="BT350" s="102" t="e">
        <f t="shared" si="578"/>
        <v>#N/A</v>
      </c>
      <c r="BU350" s="102" t="e">
        <f t="shared" si="579"/>
        <v>#N/A</v>
      </c>
      <c r="BV350" s="414" t="e">
        <f>IF(AND(BR350&gt;NDC!$C$63,BS350&gt;NDC!$C$65,BT350&gt;NDC!$D$73,BU350&gt;NDC!$D$74,$B350&gt;NDC!$H$22-0.1+MIN(3*BV$12,1.5)),0,1)</f>
        <v>#N/A</v>
      </c>
      <c r="BW350" s="86" t="b">
        <f t="shared" si="545"/>
        <v>0</v>
      </c>
      <c r="BX350" s="86">
        <f t="shared" si="546"/>
        <v>0.5</v>
      </c>
      <c r="BY350" s="86">
        <f t="shared" si="547"/>
        <v>0.5</v>
      </c>
      <c r="BZ350" s="30" t="e">
        <f t="shared" ca="1" si="580"/>
        <v>#DIV/0!</v>
      </c>
      <c r="CA350" s="85" t="e">
        <f ca="1">IF(BG350&lt;=Hypothèses!$V$7,Hypothèses!$W$7,IF(BG350&lt;=Hypothèses!$V$8,Hypothèses!$W$8,IF(BG350&lt;=Hypothèses!$V$9,Hypothèses!$W$9,IF(BG350&lt;=Hypothèses!$V$10,Hypothèses!$W$10,IF(BG350&lt;=Hypothèses!$V$11,Hypothèses!$W$11,IF(BG350&lt;=Hypothèses!$V$12,Hypothèses!$W$12,IF(BG350&lt;=Hypothèses!$V$13,Hypothèses!$W$13,IF(BG350&lt;=Hypothèses!$V$14,Hypothèses!$W$14,IF(BG350&lt;=Hypothèses!$V$15,Hypothèses!$W$15,IF(BG350&lt;=Hypothèses!$V$16,Hypothèses!$W$16,IF(BG350&lt;=Hypothèses!$V$17,Hypothèses!$W$17,IF(BG350&lt;=Hypothèses!$V$18,Hypothèses!$W$18,""))))))))))))</f>
        <v>#DIV/0!</v>
      </c>
      <c r="CB350" s="87" t="e">
        <f t="shared" ca="1" si="619"/>
        <v>#DIV/0!</v>
      </c>
      <c r="CC350" s="88" t="e">
        <f ca="1">IF(BG350&lt;=Hypothèses!$V$7,Hypothèses!$X$7,IF(BG350&lt;=Hypothèses!$V$8,Hypothèses!$X$8,IF(BG350&lt;=Hypothèses!$V$9,Hypothèses!$X$9,IF(BG350&lt;=Hypothèses!$V$10,Hypothèses!$X$10,IF(BG350&lt;=Hypothèses!$V$11,Hypothèses!$X$11,IF(BG350&lt;=Hypothèses!$V$12,Hypothèses!$X$12,IF(BG350&lt;=Hypothèses!$V$13,Hypothèses!$X$13,IF(BG350&lt;=Hypothèses!$V$14,Hypothèses!$X$14,IF(BG350&lt;=Hypothèses!$V$15,Hypothèses!$X$15,IF(BG350&lt;=Hypothèses!$V$16,Hypothèses!$X$16,IF(BG350&lt;=Hypothèses!$U$17,Hypothèses!$W$17,IF(BG350&lt;=Hypothèses!$U$18,Hypothèses!$W$18,""))))))))))))</f>
        <v>#DIV/0!</v>
      </c>
      <c r="CD350" s="95" t="e">
        <f t="shared" ca="1" si="581"/>
        <v>#DIV/0!</v>
      </c>
      <c r="CE350" s="101">
        <f t="shared" si="626"/>
        <v>0</v>
      </c>
      <c r="CF350" s="91">
        <f t="shared" si="548"/>
        <v>0</v>
      </c>
      <c r="CG350" s="30" t="e">
        <f t="shared" si="606"/>
        <v>#N/A</v>
      </c>
      <c r="CH350" s="30" t="e">
        <f t="shared" si="607"/>
        <v>#N/A</v>
      </c>
      <c r="CI350" s="31" t="e">
        <f>IF(OR(Hypothèses!$B$4=17,Hypothèses!$B$4=18,Hypothèses!$B$4=19,Hypothèses!$B$4=20),
IF($D350="Pressio.",
IF(OR($E350=3,$E350=1,$E350=4),CH350,CG350),
IF($D350="Pénétro.",
IF(OR($E350=3,$E350=1,$E350=4),CH350,CG350))),IF($D350="Pressio.",
IF($E350=3,CH350,CG350),
IF($D350="Pénétro.",
IF($E350=4,CH350,CG350))))</f>
        <v>#N/A</v>
      </c>
      <c r="CJ350" s="31">
        <v>0</v>
      </c>
      <c r="CK350" s="102" t="e">
        <f>IF(NDC!$H$10="Oui",(VLOOKUP($B$3,'Coeff EC7'!$T$39:$X$59,2,0)*CI350+VLOOKUP($B$3,'Coeff EC7'!$T$65:$X$85,2,0)*Model0.1T!CJ350)/1.5,PI()*CG$12*$Q350*($B350-$B349)*0.15/10+CK349)</f>
        <v>#N/A</v>
      </c>
      <c r="CL350" s="102" t="e">
        <f>(VLOOKUP($B$3,'Coeff EC7'!$T$39:$X$59,3,0)*CI350+VLOOKUP($B$3,'Coeff EC7'!$T$65:$X$85,3,0)*Model0.1T!CJ350)/1.1</f>
        <v>#N/A</v>
      </c>
      <c r="CM350" s="102" t="e">
        <f t="shared" si="582"/>
        <v>#N/A</v>
      </c>
      <c r="CN350" s="102" t="e">
        <f t="shared" si="583"/>
        <v>#N/A</v>
      </c>
      <c r="CO350" s="414" t="e">
        <f>IF(AND(CK350&gt;NDC!$C$63,CL350&gt;NDC!$C$65,CM350&gt;NDC!$D$73,CN350&gt;NDC!$D$74,$B350&gt;NDC!$H$22-0.1+MIN(3*CO$12,1.5)),0,1)</f>
        <v>#N/A</v>
      </c>
      <c r="CP350" s="86" t="b">
        <f t="shared" si="549"/>
        <v>0</v>
      </c>
      <c r="CQ350" s="86">
        <f t="shared" si="550"/>
        <v>0.5</v>
      </c>
      <c r="CR350" s="86">
        <f t="shared" si="551"/>
        <v>0.5</v>
      </c>
      <c r="CS350" s="30" t="e">
        <f t="shared" ca="1" si="584"/>
        <v>#DIV/0!</v>
      </c>
      <c r="CT350" s="85" t="e">
        <f ca="1">IF(BZ350&lt;=Hypothèses!$V$7,Hypothèses!$W$7,IF(BZ350&lt;=Hypothèses!$V$8,Hypothèses!$W$8,IF(BZ350&lt;=Hypothèses!$V$9,Hypothèses!$W$9,IF(BZ350&lt;=Hypothèses!$V$10,Hypothèses!$W$10,IF(BZ350&lt;=Hypothèses!$V$11,Hypothèses!$W$11,IF(BZ350&lt;=Hypothèses!$V$12,Hypothèses!$W$12,IF(BZ350&lt;=Hypothèses!$V$13,Hypothèses!$W$13,IF(BZ350&lt;=Hypothèses!$V$14,Hypothèses!$W$14,IF(BZ350&lt;=Hypothèses!$V$15,Hypothèses!$W$15,IF(BZ350&lt;=Hypothèses!$V$16,Hypothèses!$W$16,IF(BZ350&lt;=Hypothèses!$V$17,Hypothèses!$W$17,IF(BZ350&lt;=Hypothèses!$V$18,Hypothèses!$W$18,""))))))))))))</f>
        <v>#DIV/0!</v>
      </c>
      <c r="CU350" s="87" t="e">
        <f t="shared" ca="1" si="620"/>
        <v>#DIV/0!</v>
      </c>
      <c r="CV350" s="88" t="e">
        <f ca="1">IF(BZ350&lt;=Hypothèses!$V$7,Hypothèses!$X$7,IF(BZ350&lt;=Hypothèses!$V$8,Hypothèses!$X$8,IF(BZ350&lt;=Hypothèses!$V$9,Hypothèses!$X$9,IF(BZ350&lt;=Hypothèses!$V$10,Hypothèses!$X$10,IF(BZ350&lt;=Hypothèses!$V$11,Hypothèses!$X$11,IF(BZ350&lt;=Hypothèses!$V$12,Hypothèses!$X$12,IF(BZ350&lt;=Hypothèses!$V$13,Hypothèses!$X$13,IF(BZ350&lt;=Hypothèses!$V$14,Hypothèses!$X$14,IF(BZ350&lt;=Hypothèses!$V$15,Hypothèses!$X$15,IF(BZ350&lt;=Hypothèses!$V$16,Hypothèses!$X$16,IF(BZ350&lt;=Hypothèses!$U$17,Hypothèses!$W$17,IF(BZ350&lt;=Hypothèses!$U$18,Hypothèses!$W$18,""))))))))))))</f>
        <v>#DIV/0!</v>
      </c>
      <c r="CW350" s="95" t="e">
        <f t="shared" ca="1" si="585"/>
        <v>#DIV/0!</v>
      </c>
      <c r="CX350" s="101">
        <f t="shared" si="627"/>
        <v>0</v>
      </c>
      <c r="CY350" s="91">
        <f t="shared" si="552"/>
        <v>0</v>
      </c>
      <c r="CZ350" s="30" t="e">
        <f t="shared" si="608"/>
        <v>#N/A</v>
      </c>
      <c r="DA350" s="30" t="e">
        <f t="shared" si="609"/>
        <v>#N/A</v>
      </c>
      <c r="DB350" s="31" t="e">
        <f>IF(OR(Hypothèses!$B$4=17,Hypothèses!$B$4=18,Hypothèses!$B$4=19,Hypothèses!$B$4=20),
IF($D350="Pressio.",
IF(OR($E350=3,$E350=1,$E350=4),DA350,CZ350),
IF($D350="Pénétro.",
IF(OR($E350=3,$E350=1,$E350=4),DA350,CZ350))),IF($D350="Pressio.",
IF($E350=3,DA350,CZ350),
IF($D350="Pénétro.",
IF($E350=4,DA350,CZ350))))</f>
        <v>#N/A</v>
      </c>
      <c r="DC350" s="31">
        <v>0</v>
      </c>
      <c r="DD350" s="102" t="e">
        <f>IF(NDC!$H$10="Oui",(VLOOKUP($B$3,'Coeff EC7'!$T$39:$X$59,2,0)*DB350+VLOOKUP($B$3,'Coeff EC7'!$T$65:$X$85,2,0)*Model0.1T!DC350)/1.5,PI()*CZ$12*$Q350*($B350-$B349)*0.15/10+DD349)</f>
        <v>#N/A</v>
      </c>
      <c r="DE350" s="102" t="e">
        <f>(VLOOKUP($B$3,'Coeff EC7'!$T$39:$X$59,3,0)*DB350+VLOOKUP($B$3,'Coeff EC7'!$T$65:$X$85,3,0)*Model0.1T!DC350)/1.1</f>
        <v>#N/A</v>
      </c>
      <c r="DF350" s="102" t="e">
        <f t="shared" si="586"/>
        <v>#N/A</v>
      </c>
      <c r="DG350" s="102" t="e">
        <f t="shared" si="587"/>
        <v>#N/A</v>
      </c>
      <c r="DH350" s="414" t="e">
        <f>IF(AND(DD350&gt;NDC!$C$63,DE350&gt;NDC!$C$65,DF350&gt;NDC!$D$73,DG350&gt;NDC!$D$74,$B350&gt;NDC!$H$22-0.1+MIN(3*DH$12,1.5)),0,1)</f>
        <v>#N/A</v>
      </c>
      <c r="DI350" s="86" t="b">
        <f t="shared" si="553"/>
        <v>0</v>
      </c>
      <c r="DJ350" s="86">
        <f t="shared" si="554"/>
        <v>0.5</v>
      </c>
      <c r="DK350" s="86">
        <f t="shared" si="555"/>
        <v>0.5</v>
      </c>
      <c r="DL350" s="30" t="e">
        <f t="shared" ca="1" si="588"/>
        <v>#DIV/0!</v>
      </c>
      <c r="DM350" s="85" t="e">
        <f ca="1">IF(CS350&lt;=Hypothèses!$V$7,Hypothèses!$W$7,IF(CS350&lt;=Hypothèses!$V$8,Hypothèses!$W$8,IF(CS350&lt;=Hypothèses!$V$9,Hypothèses!$W$9,IF(CS350&lt;=Hypothèses!$V$10,Hypothèses!$W$10,IF(CS350&lt;=Hypothèses!$V$11,Hypothèses!$W$11,IF(CS350&lt;=Hypothèses!$V$12,Hypothèses!$W$12,IF(CS350&lt;=Hypothèses!$V$13,Hypothèses!$W$13,IF(CS350&lt;=Hypothèses!$V$14,Hypothèses!$W$14,IF(CS350&lt;=Hypothèses!$V$15,Hypothèses!$W$15,IF(CS350&lt;=Hypothèses!$V$16,Hypothèses!$W$16,IF(CS350&lt;=Hypothèses!$V$17,Hypothèses!$W$17,IF(CS350&lt;=Hypothèses!$V$18,Hypothèses!$W$18,""))))))))))))</f>
        <v>#DIV/0!</v>
      </c>
      <c r="DN350" s="87" t="e">
        <f t="shared" ca="1" si="621"/>
        <v>#DIV/0!</v>
      </c>
      <c r="DO350" s="88" t="e">
        <f ca="1">IF(CS350&lt;=Hypothèses!$V$7,Hypothèses!$X$7,IF(CS350&lt;=Hypothèses!$V$8,Hypothèses!$X$8,IF(CS350&lt;=Hypothèses!$V$9,Hypothèses!$X$9,IF(CS350&lt;=Hypothèses!$V$10,Hypothèses!$X$10,IF(CS350&lt;=Hypothèses!$V$11,Hypothèses!$X$11,IF(CS350&lt;=Hypothèses!$V$12,Hypothèses!$X$12,IF(CS350&lt;=Hypothèses!$V$13,Hypothèses!$X$13,IF(CS350&lt;=Hypothèses!$V$14,Hypothèses!$X$14,IF(CS350&lt;=Hypothèses!$V$15,Hypothèses!$X$15,IF(CS350&lt;=Hypothèses!$V$16,Hypothèses!$X$16,IF(CS350&lt;=Hypothèses!$U$17,Hypothèses!$W$17,IF(CS350&lt;=Hypothèses!$U$18,Hypothèses!$W$18,""))))))))))))</f>
        <v>#DIV/0!</v>
      </c>
      <c r="DP350" s="95" t="e">
        <f t="shared" ca="1" si="589"/>
        <v>#DIV/0!</v>
      </c>
      <c r="DQ350" s="101">
        <f t="shared" si="628"/>
        <v>0</v>
      </c>
      <c r="DR350" s="91">
        <f t="shared" si="556"/>
        <v>0</v>
      </c>
      <c r="DS350" s="30" t="e">
        <f t="shared" si="610"/>
        <v>#N/A</v>
      </c>
      <c r="DT350" s="30" t="e">
        <f t="shared" si="611"/>
        <v>#N/A</v>
      </c>
      <c r="DU350" s="31" t="e">
        <f>IF(OR(Hypothèses!$B$4=17,Hypothèses!$B$4=18,Hypothèses!$B$4=19,Hypothèses!$B$4=20),
IF($D350="Pressio.",
IF(OR($E350=3,$E350=1,$E350=4),DT350,DS350),
IF($D350="Pénétro.",
IF(OR($E350=3,$E350=1,$E350=4),DT350,DS350))),IF($D350="Pressio.",
IF($E350=3,DT350,DS350),
IF($D350="Pénétro.",
IF($E350=4,DT350,DS350))))</f>
        <v>#N/A</v>
      </c>
      <c r="DV350" s="31">
        <v>0</v>
      </c>
      <c r="DW350" s="102" t="e">
        <f>IF(NDC!$H$10="Oui",(VLOOKUP($B$3,'Coeff EC7'!$T$39:$X$59,2,0)*DU350+VLOOKUP($B$3,'Coeff EC7'!$T$65:$X$85,2,0)*Model0.1T!DV350)/1.5,PI()*DS$12*$Q350*($B350-$B349)*0.15/10+DW349)</f>
        <v>#N/A</v>
      </c>
      <c r="DX350" s="102" t="e">
        <f>(VLOOKUP($B$3,'Coeff EC7'!$T$39:$X$59,3,0)*DU350+VLOOKUP($B$3,'Coeff EC7'!$T$65:$X$85,3,0)*Model0.1T!DV350)/1.1</f>
        <v>#N/A</v>
      </c>
      <c r="DY350" s="102" t="e">
        <f t="shared" si="590"/>
        <v>#N/A</v>
      </c>
      <c r="DZ350" s="102" t="e">
        <f t="shared" si="591"/>
        <v>#N/A</v>
      </c>
      <c r="EA350" s="414" t="e">
        <f>IF(AND(DW350&gt;NDC!$C$63,DX350&gt;NDC!$C$65,DY350&gt;NDC!$D$73,DZ350&gt;NDC!$D$74,$B350&gt;NDC!$H$22-0.1+MIN(3*EA$12,1.5)),0,1)</f>
        <v>#N/A</v>
      </c>
      <c r="EB350" s="86" t="b">
        <f t="shared" si="557"/>
        <v>0</v>
      </c>
      <c r="EC350" s="418">
        <f t="shared" si="558"/>
        <v>0.51</v>
      </c>
      <c r="ED350" s="86">
        <f t="shared" si="559"/>
        <v>0.51</v>
      </c>
      <c r="EE350" s="30" t="e">
        <f t="shared" ca="1" si="592"/>
        <v>#DIV/0!</v>
      </c>
      <c r="EF350" s="85" t="e">
        <f ca="1">IF(DL350&lt;=Hypothèses!$V$7,Hypothèses!$W$7,IF(DL350&lt;=Hypothèses!$V$8,Hypothèses!$W$8,IF(DL350&lt;=Hypothèses!$V$9,Hypothèses!$W$9,IF(DL350&lt;=Hypothèses!$V$10,Hypothèses!$W$10,IF(DL350&lt;=Hypothèses!$V$11,Hypothèses!$W$11,IF(DL350&lt;=Hypothèses!$V$12,Hypothèses!$W$12,IF(DL350&lt;=Hypothèses!$V$13,Hypothèses!$W$13,IF(DL350&lt;=Hypothèses!$V$14,Hypothèses!$W$14,IF(DL350&lt;=Hypothèses!$V$15,Hypothèses!$W$15,IF(DL350&lt;=Hypothèses!$V$16,Hypothèses!$W$16,IF(DL350&lt;=Hypothèses!$V$17,Hypothèses!$W$17,IF(DL350&lt;=Hypothèses!$V$18,Hypothèses!$W$18,""))))))))))))</f>
        <v>#DIV/0!</v>
      </c>
      <c r="EG350" s="87" t="e">
        <f t="shared" ca="1" si="622"/>
        <v>#DIV/0!</v>
      </c>
      <c r="EH350" s="88" t="e">
        <f ca="1">IF(DL350&lt;=Hypothèses!$V$7,Hypothèses!$X$7,IF(DL350&lt;=Hypothèses!$V$8,Hypothèses!$X$8,IF(DL350&lt;=Hypothèses!$V$9,Hypothèses!$X$9,IF(DL350&lt;=Hypothèses!$V$10,Hypothèses!$X$10,IF(DL350&lt;=Hypothèses!$V$11,Hypothèses!$X$11,IF(DL350&lt;=Hypothèses!$V$12,Hypothèses!$X$12,IF(DL350&lt;=Hypothèses!$V$13,Hypothèses!$X$13,IF(DL350&lt;=Hypothèses!$V$14,Hypothèses!$X$14,IF(DL350&lt;=Hypothèses!$V$15,Hypothèses!$X$15,IF(DL350&lt;=Hypothèses!$V$16,Hypothèses!$X$16,IF(DL350&lt;=Hypothèses!$U$17,Hypothèses!$W$17,IF(DL350&lt;=Hypothèses!$U$18,Hypothèses!$W$18,""))))))))))))</f>
        <v>#DIV/0!</v>
      </c>
      <c r="EI350" s="95" t="e">
        <f t="shared" ca="1" si="593"/>
        <v>#DIV/0!</v>
      </c>
      <c r="EJ350" s="101">
        <f t="shared" si="629"/>
        <v>0</v>
      </c>
      <c r="EK350" s="91">
        <f t="shared" si="560"/>
        <v>0</v>
      </c>
      <c r="EL350" s="30" t="e">
        <f t="shared" si="612"/>
        <v>#N/A</v>
      </c>
      <c r="EM350" s="30" t="e">
        <f t="shared" si="613"/>
        <v>#N/A</v>
      </c>
      <c r="EN350" s="31" t="e">
        <f>IF(OR(Hypothèses!$B$4=17,Hypothèses!$B$4=18,Hypothèses!$B$4=19,Hypothèses!$B$4=20),
IF($D350="Pressio.",
IF(OR($E350=3,$E350=1,$E350=4),EM350,EL350),
IF($D350="Pénétro.",
IF(OR($E350=3,$E350=1,$E350=4),EM350,EL350))),IF($D350="Pressio.",
IF($E350=3,EM350,EL350),
IF($D350="Pénétro.",
IF($E350=4,EM350,EL350))))</f>
        <v>#N/A</v>
      </c>
      <c r="EO350" s="31">
        <v>0</v>
      </c>
      <c r="EP350" s="102" t="e">
        <f>IF(NDC!$H$10="Oui",(VLOOKUP($B$3,'Coeff EC7'!$T$39:$X$59,2,0)*EN350+VLOOKUP($B$3,'Coeff EC7'!$T$65:$X$85,2,0)*Model0.1T!EO350)/1.5,PI()*EL$12*$Q350*($B350-$B349)*0.15/10+EP349)</f>
        <v>#N/A</v>
      </c>
      <c r="EQ350" s="102" t="e">
        <f>(VLOOKUP($B$3,'Coeff EC7'!$T$39:$X$59,3,0)*EN350+VLOOKUP($B$3,'Coeff EC7'!$T$65:$X$85,3,0)*Model0.1T!EO350)/1.1</f>
        <v>#N/A</v>
      </c>
      <c r="ER350" s="102" t="e">
        <f t="shared" si="594"/>
        <v>#N/A</v>
      </c>
      <c r="ES350" s="102" t="e">
        <f t="shared" si="595"/>
        <v>#N/A</v>
      </c>
      <c r="ET350" s="414" t="e">
        <f>IF(AND(EP350&gt;NDC!$C$63,EQ350&gt;NDC!$C$65,ER350&gt;NDC!$D$73,ES350&gt;NDC!$D$74,$B350&gt;NDC!$H$22-0.1+MIN(3*ET$12,1.5)),0,1)</f>
        <v>#N/A</v>
      </c>
      <c r="EU350" s="86" t="b">
        <f t="shared" si="561"/>
        <v>0</v>
      </c>
      <c r="EV350" s="86">
        <f t="shared" si="562"/>
        <v>0.61</v>
      </c>
      <c r="EW350" s="86">
        <f t="shared" si="563"/>
        <v>0.61</v>
      </c>
      <c r="EX350" s="30" t="e">
        <f t="shared" ca="1" si="596"/>
        <v>#DIV/0!</v>
      </c>
      <c r="EY350" s="85" t="e">
        <f ca="1">IF(EE350&lt;=Hypothèses!$V$7,Hypothèses!$W$7,IF(EE350&lt;=Hypothèses!$V$8,Hypothèses!$W$8,IF(EE350&lt;=Hypothèses!$V$9,Hypothèses!$W$9,IF(EE350&lt;=Hypothèses!$V$10,Hypothèses!$W$10,IF(EE350&lt;=Hypothèses!$V$11,Hypothèses!$W$11,IF(EE350&lt;=Hypothèses!$V$12,Hypothèses!$W$12,IF(EE350&lt;=Hypothèses!$V$13,Hypothèses!$W$13,IF(EE350&lt;=Hypothèses!$V$14,Hypothèses!$W$14,IF(EE350&lt;=Hypothèses!$V$15,Hypothèses!$W$15,IF(EE350&lt;=Hypothèses!$V$16,Hypothèses!$W$16,IF(EE350&lt;=Hypothèses!$V$17,Hypothèses!$W$17,IF(EE350&lt;=Hypothèses!$V$18,Hypothèses!$W$18,""))))))))))))</f>
        <v>#DIV/0!</v>
      </c>
      <c r="EZ350" s="87" t="e">
        <f t="shared" ca="1" si="623"/>
        <v>#DIV/0!</v>
      </c>
      <c r="FA350" s="88" t="e">
        <f ca="1">IF(EE350&lt;=Hypothèses!$V$7,Hypothèses!$X$7,IF(EE350&lt;=Hypothèses!$V$8,Hypothèses!$X$8,IF(EE350&lt;=Hypothèses!$V$9,Hypothèses!$X$9,IF(EE350&lt;=Hypothèses!$V$10,Hypothèses!$X$10,IF(EE350&lt;=Hypothèses!$V$11,Hypothèses!$X$11,IF(EE350&lt;=Hypothèses!$V$12,Hypothèses!$X$12,IF(EE350&lt;=Hypothèses!$V$13,Hypothèses!$X$13,IF(EE350&lt;=Hypothèses!$V$14,Hypothèses!$X$14,IF(EE350&lt;=Hypothèses!$V$15,Hypothèses!$X$15,IF(EE350&lt;=Hypothèses!$V$16,Hypothèses!$X$16,IF(EE350&lt;=Hypothèses!$U$17,Hypothèses!$W$17,IF(EE350&lt;=Hypothèses!$U$18,Hypothèses!$W$18,""))))))))))))</f>
        <v>#DIV/0!</v>
      </c>
      <c r="FB350" s="95" t="e">
        <f t="shared" ca="1" si="597"/>
        <v>#DIV/0!</v>
      </c>
      <c r="FC350" s="101">
        <f t="shared" si="630"/>
        <v>0</v>
      </c>
      <c r="FD350" s="91">
        <f t="shared" si="564"/>
        <v>0</v>
      </c>
      <c r="FE350" s="30" t="e">
        <f t="shared" si="614"/>
        <v>#N/A</v>
      </c>
      <c r="FF350" s="30" t="e">
        <f t="shared" si="615"/>
        <v>#N/A</v>
      </c>
      <c r="FG350" s="31" t="e">
        <f>IF(OR(Hypothèses!$B$4=17,Hypothèses!$B$4=18,Hypothèses!$B$4=19,Hypothèses!$B$4=20),
IF($D350="Pressio.",
IF(OR($E350=3,$E350=1,$E350=4),FF350,FE350),
IF($D350="Pénétro.",
IF(OR($E350=3,$E350=1,$E350=4),FF350,FE350))),IF($D350="Pressio.",
IF($E350=3,FF350,FE350),
IF($D350="Pénétro.",
IF($E350=4,FF350,FE350))))</f>
        <v>#N/A</v>
      </c>
      <c r="FH350" s="31">
        <v>0</v>
      </c>
      <c r="FI350" s="102" t="e">
        <f>IF(NDC!$H$10="Oui",(VLOOKUP($B$3,'Coeff EC7'!$T$39:$X$59,2,0)*FG350+VLOOKUP($B$3,'Coeff EC7'!$T$65:$X$85,2,0)*Model0.1T!FH350)/1.5,PI()*FE$12*$Q350*($B350-$B349)*0.15/10+FI349)</f>
        <v>#N/A</v>
      </c>
      <c r="FJ350" s="102" t="e">
        <f>(VLOOKUP($B$3,'Coeff EC7'!$T$39:$X$59,3,0)*FG350+VLOOKUP($B$3,'Coeff EC7'!$T$65:$X$85,3,0)*Model0.1T!FH350)/1.1</f>
        <v>#N/A</v>
      </c>
      <c r="FK350" s="102" t="e">
        <f t="shared" si="598"/>
        <v>#N/A</v>
      </c>
      <c r="FL350" s="102" t="e">
        <f t="shared" si="599"/>
        <v>#N/A</v>
      </c>
      <c r="FM350" s="414" t="e">
        <f>IF(AND(FI350&gt;NDC!$C$63,FJ350&gt;NDC!$C$65,FK350&gt;NDC!$D$73,FL350&gt;NDC!$D$74,$B350&gt;NDC!$H$22-0.1+MIN(3*FM$12,1.5)),0,1)</f>
        <v>#N/A</v>
      </c>
    </row>
    <row r="351" spans="1:169">
      <c r="A351" s="96">
        <f t="shared" si="565"/>
        <v>66.200000000001921</v>
      </c>
      <c r="B351" s="97">
        <v>33.799999999999997</v>
      </c>
      <c r="C351" s="81">
        <f>IF(B351&lt;=Hypothèses!$C$7,Hypothèses!$A$7,IF(B351&lt;=Hypothèses!$C$8,Hypothèses!$A$8,IF(B351&lt;=Hypothèses!$C$9,Hypothèses!$A$9,IF(B351&lt;=Hypothèses!$C$10,Hypothèses!$A$10,IF(B351&lt;=Hypothèses!$C$11,Hypothèses!$A$11,IF(B351&lt;=Hypothèses!$C$12,Hypothèses!$A$12,IF(B351&lt;=Hypothèses!$C$13,Hypothèses!$A$13,IF(B351&lt;=Hypothèses!$C$14,Hypothèses!$A$14,IF(B351&lt;=Hypothèses!$C$15,Hypothèses!$A$15,IF(B351&lt;=Hypothèses!$C$16,Hypothèses!$A$16,IF(B351&lt;=Hypothèses!$C$17,Hypothèses!$A$17,IF(B351&lt;=Hypothèses!$C$18,Hypothèses!$A$18,C350))))))))))))</f>
        <v>11</v>
      </c>
      <c r="D351" s="82" t="str">
        <f>IF(B351&lt;=Hypothèses!$C$7,Hypothèses!$R$7,IF(B351&lt;=Hypothèses!$C$8,Hypothèses!$R$8,IF(B351&lt;=Hypothèses!$C$9,Hypothèses!$R$9,IF(B351&lt;=Hypothèses!$C$10,Hypothèses!$R$10,IF(B351&lt;=Hypothèses!$C$11,Hypothèses!$R$11,IF(B351&lt;=Hypothèses!$C$12,Hypothèses!$R$12,IF(B351&lt;=Hypothèses!$C$13,Hypothèses!$R$13,IF(B351&lt;=Hypothèses!$C$14,Hypothèses!$R$14,IF(B351&lt;=Hypothèses!$C$15,Hypothèses!$R$15,IF(B351&lt;=Hypothèses!$C$16,Hypothèses!$R$16,IF(B351&lt;=Hypothèses!$C$17,Hypothèses!$R$17,IF(B351&lt;=Hypothèses!$C$18,Hypothèses!$R$18,D350))))))))))))</f>
        <v>Pressio.</v>
      </c>
      <c r="E351" s="82" t="e">
        <f>IF(B351&lt;=Hypothèses!$C$7,Hypothèses!$G$7,IF(B351&lt;=Hypothèses!$C$8,Hypothèses!$G$8,IF(B351&lt;=Hypothèses!$C$9,Hypothèses!$G$9,IF(B351&lt;=Hypothèses!$C$10,Hypothèses!$G$10,IF(B351&lt;=Hypothèses!$C$11,Hypothèses!$G$11,IF(B351&lt;=Hypothèses!$C$12,Hypothèses!$G$12,IF(B351&lt;=Hypothèses!$C$13,Hypothèses!$G$13,IF(B351&lt;=Hypothèses!$C$14,Hypothèses!$G$14,IF(B351&lt;=Hypothèses!$C$15,Hypothèses!$G$15,IF(B351&lt;=Hypothèses!$C$16,Hypothèses!$G$16,IF(B351&lt;=Hypothèses!$C$17,Hypothèses!$G$17,IF(B351&lt;=Hypothèses!$C$18,Hypothèses!$G$18,E350))))))))))))</f>
        <v>#N/A</v>
      </c>
      <c r="F351" s="82" t="str">
        <f>IF(B351&lt;=Hypothèses!$C$7,Hypothèses!$F$7,IF(B351&lt;=Hypothèses!$C$8,Hypothèses!$F$8,IF(B351&lt;=Hypothèses!$C$9,Hypothèses!$F$9,IF(B351&lt;=Hypothèses!$C$10,Hypothèses!$F$10,IF(B351&lt;=Hypothèses!$C$11,Hypothèses!$F$11,IF(B351&lt;=Hypothèses!$C$12,Hypothèses!$F$12,IF(B351&lt;=Hypothèses!$C$13,Hypothèses!$F$13,IF(B351&lt;=Hypothèses!$C$14,Hypothèses!$F$14,IF(B351&lt;=Hypothèses!$C$15,Hypothèses!$F$15,IF(B351&lt;=Hypothèses!$C$16,Hypothèses!$F$16,IF(B351&lt;=Hypothèses!$C$17,Hypothèses!$F$17,IF(B351&lt;=Hypothèses!$C$18,Hypothèses!$F$18,F350))))))))))))</f>
        <v/>
      </c>
      <c r="G351" s="91">
        <f t="array" ref="G351">INDEX('Coeff EC7'!$U$7:$X$27,
MATCH(Model0.1T!$B$3,'Coeff EC7'!$T$7:$T$27,0),
MATCH(Model0.1T!$D351&amp;Model0.1T!$B$4,
'Coeff EC7'!$U$6:$X$6&amp;
'Coeff EC7'!$U$5:$X$5,0))</f>
        <v>1.4</v>
      </c>
      <c r="H351" s="91">
        <f t="array" ref="H351">INDEX('Coeff EC7'!$Y$7:$AB$27,
MATCH(Model0.1T!$B$3,'Coeff EC7'!$T$7:$T$27,0),
MATCH(Model0.1T!$D351&amp;Model0.1T!$B$4,
'Coeff EC7'!$Y$6:$AB$6&amp;
'Coeff EC7'!$Y$5:$AB$5,0))</f>
        <v>1.7</v>
      </c>
      <c r="I351" s="83">
        <v>0</v>
      </c>
      <c r="J351" s="91" t="e">
        <f t="array" ref="J351">INDEX('Coeff EC7'!$D$33:$Q$33,1,MATCH(D351&amp;E351,'Coeff EC7'!$D$31:$Q$31&amp;'Coeff EC7'!$D$32:$Q$32,0))</f>
        <v>#N/A</v>
      </c>
      <c r="K351" s="91" t="e">
        <f t="array" ref="K351">INDEX('Coeff EC7'!$D$34:$Q$34,1,MATCH(D351&amp;E351,'Coeff EC7'!$D$31:$Q$31&amp;'Coeff EC7'!$D$32:$Q$32,0))</f>
        <v>#N/A</v>
      </c>
      <c r="L351" s="91" t="e">
        <f t="array" ref="L351">INDEX('Coeff EC7'!$D$35:$Q$35,1,MATCH(D351&amp;E351,'Coeff EC7'!$D$31:$Q$31&amp;'Coeff EC7'!$D$32:$Q$32,0))</f>
        <v>#N/A</v>
      </c>
      <c r="M351" s="98" t="e">
        <f t="shared" si="531"/>
        <v>#N/A</v>
      </c>
      <c r="N351" s="99" t="e">
        <f t="array" ref="N351">INDEX('Coeff EC7'!$D$7:$Q$27,MATCH($B$3,'Coeff EC7'!$C$7:$C$27,0),MATCH(D351&amp;E351,'Coeff EC7'!$D$5:$Q$5&amp;'Coeff EC7'!$D$6:$Q$6,0))</f>
        <v>#N/A</v>
      </c>
      <c r="O351" s="99" t="e">
        <f t="array" ref="O351">INDEX('Coeff EC7'!$D$41:$Q$61,MATCH($B$3,'Coeff EC7'!$C$41:$C$61,0),MATCH(D351&amp;E351,'Coeff EC7'!$D$39:$Q$39&amp;'Coeff EC7'!$D$40:$Q$40,0))</f>
        <v>#N/A</v>
      </c>
      <c r="P351" s="30" t="e">
        <f t="shared" si="566"/>
        <v>#N/A</v>
      </c>
      <c r="Q351" s="100" t="e">
        <f t="shared" si="533"/>
        <v>#N/A</v>
      </c>
      <c r="R351" s="86" t="b">
        <f t="shared" si="534"/>
        <v>0</v>
      </c>
      <c r="S351" s="86">
        <f t="shared" si="532"/>
        <v>0.5</v>
      </c>
      <c r="T351" s="86">
        <f t="shared" si="535"/>
        <v>0.5</v>
      </c>
      <c r="U351" s="30" t="e">
        <f t="shared" ca="1" si="567"/>
        <v>#DIV/0!</v>
      </c>
      <c r="V351" s="85" t="str">
        <f>IF(B351&lt;=Hypothèses!$V$7,Hypothèses!$W$7,IF(B351&lt;=Hypothèses!$V$8,Hypothèses!$W$8,IF(B351&lt;=Hypothèses!$V$9,Hypothèses!$W$9,IF(B351&lt;=Hypothèses!$V$10,Hypothèses!$W$10,IF(B351&lt;=Hypothèses!$V$11,Hypothèses!$W$11,IF(B351&lt;=Hypothèses!$V$12,Hypothèses!$W$12,IF(B351&lt;=Hypothèses!$V$13,Hypothèses!$W$13,IF(B351&lt;=Hypothèses!$V$14,Hypothèses!$W$14,IF(B351&lt;=Hypothèses!$V$15,Hypothèses!$W$15,IF(B351&lt;=Hypothèses!$V$16,Hypothèses!$W$16,IF(B351&lt;=Hypothèses!$V$17,Hypothèses!$W$17,IF(B351&lt;=Hypothèses!$V$18,Hypothèses!$W$18,""))))))))))))</f>
        <v/>
      </c>
      <c r="W351" s="87" t="e">
        <f t="shared" ca="1" si="616"/>
        <v>#DIV/0!</v>
      </c>
      <c r="X351" s="88" t="str">
        <f>IF(B351&lt;=Hypothèses!$V$7,Hypothèses!$X$7,IF(B351&lt;=Hypothèses!$V$8,Hypothèses!$X$8,IF(B351&lt;=Hypothèses!$V$9,Hypothèses!$X$9,IF(B351&lt;=Hypothèses!$V$10,Hypothèses!$X$10,IF(B351&lt;=Hypothèses!$V$11,Hypothèses!$X$11,IF(B351&lt;=Hypothèses!$V$12,Hypothèses!$X$12,IF(B351&lt;=Hypothèses!$V$13,Hypothèses!$X$13,IF(B351&lt;=Hypothèses!$V$14,Hypothèses!$X$14,IF(B351&lt;=Hypothèses!$V$15,Hypothèses!$X$15,IF(B351&lt;=Hypothèses!$V$16,Hypothèses!$X$16,IF(B351&lt;=Hypothèses!$U$17,Hypothèses!$W$17,IF(B351&lt;=Hypothèses!$U$18,Hypothèses!$W$18,""))))))))))))</f>
        <v/>
      </c>
      <c r="Y351" s="95" t="e">
        <f t="shared" ca="1" si="536"/>
        <v>#DIV/0!</v>
      </c>
      <c r="Z351" s="101">
        <f t="shared" si="537"/>
        <v>0</v>
      </c>
      <c r="AA351" s="91">
        <f t="shared" si="538"/>
        <v>0</v>
      </c>
      <c r="AB351" s="30" t="e">
        <f t="shared" si="600"/>
        <v>#N/A</v>
      </c>
      <c r="AC351" s="30" t="e">
        <f t="shared" si="601"/>
        <v>#N/A</v>
      </c>
      <c r="AD351" s="31" t="e">
        <f>IF(OR(Hypothèses!$B$4=17,Hypothèses!$B$4=18,Hypothèses!$B$4=19,Hypothèses!$B$4=20),
IF($D351="Pressio.",
IF(OR($E351=3,$E351=1,$E351=4),AC351,AB351),
IF($D351="Pénétro.",
IF(OR($E351=3,$E351=1,$E351=4),AC351,AB351))),IF($D351="Pressio.",
IF($E351=3,AC351,AB351),
IF($D351="Pénétro.",
IF($E351=4,AC351,AB351))))</f>
        <v>#N/A</v>
      </c>
      <c r="AE351" s="31">
        <v>0</v>
      </c>
      <c r="AF351" s="102" t="e">
        <f>IF(NDC!$H$10="Oui",(VLOOKUP($B$3,'Coeff EC7'!$T$39:$X$59,2,0)*AD351+VLOOKUP($B$3,'Coeff EC7'!$T$65:$X$85,2,0)*Model0.1T!AE351)/1.5,PI()*AB$12*$Q351*($B351-$B350)*0.15/10+AF350)</f>
        <v>#N/A</v>
      </c>
      <c r="AG351" s="102" t="e">
        <f>(VLOOKUP($B$3,'Coeff EC7'!$T$39:$X$59,3,0)*AD351+VLOOKUP($B$3,'Coeff EC7'!$T$65:$X$85,3,0)*Model0.1T!AE351)/1.1</f>
        <v>#N/A</v>
      </c>
      <c r="AH351" s="102" t="e">
        <f t="shared" si="568"/>
        <v>#N/A</v>
      </c>
      <c r="AI351" s="102" t="e">
        <f t="shared" si="569"/>
        <v>#N/A</v>
      </c>
      <c r="AJ351" s="414" t="e">
        <f>IF(AND(AF351&gt;NDC!$C$63,AG351&gt;NDC!$C$65,AH351&gt;NDC!$D$73,AI351&gt;NDC!$D$74,$B351&gt;NDC!$H$22-0.1+MIN(3*$AJ$12,1.5)),0,1)</f>
        <v>#N/A</v>
      </c>
      <c r="AK351" s="86" t="b">
        <f t="shared" si="539"/>
        <v>0</v>
      </c>
      <c r="AL351" s="86">
        <f t="shared" si="570"/>
        <v>0.5</v>
      </c>
      <c r="AM351" s="86">
        <f t="shared" si="540"/>
        <v>0.5</v>
      </c>
      <c r="AN351" s="30" t="e">
        <f t="shared" ca="1" si="571"/>
        <v>#DIV/0!</v>
      </c>
      <c r="AO351" s="85" t="e">
        <f ca="1">IF(U351&lt;=Hypothèses!$V$7,Hypothèses!$W$7,IF(U351&lt;=Hypothèses!$V$8,Hypothèses!$W$8,IF(U351&lt;=Hypothèses!$V$9,Hypothèses!$W$9,IF(U351&lt;=Hypothèses!$V$10,Hypothèses!$W$10,IF(U351&lt;=Hypothèses!$V$11,Hypothèses!$W$11,IF(U351&lt;=Hypothèses!$V$12,Hypothèses!$W$12,IF(U351&lt;=Hypothèses!$V$13,Hypothèses!$W$13,IF(U351&lt;=Hypothèses!$V$14,Hypothèses!$W$14,IF(U351&lt;=Hypothèses!$V$15,Hypothèses!$W$15,IF(U351&lt;=Hypothèses!$V$16,Hypothèses!$W$16,IF(U351&lt;=Hypothèses!$V$17,Hypothèses!$W$17,IF(U351&lt;=Hypothèses!$V$18,Hypothèses!$W$18,""))))))))))))</f>
        <v>#DIV/0!</v>
      </c>
      <c r="AP351" s="87" t="e">
        <f t="shared" ca="1" si="617"/>
        <v>#DIV/0!</v>
      </c>
      <c r="AQ351" s="88" t="e">
        <f ca="1">IF(U351&lt;=Hypothèses!$V$7,Hypothèses!$X$7,IF(U351&lt;=Hypothèses!$V$8,Hypothèses!$X$8,IF(U351&lt;=Hypothèses!$V$9,Hypothèses!$X$9,IF(U351&lt;=Hypothèses!$V$10,Hypothèses!$X$10,IF(U351&lt;=Hypothèses!$V$11,Hypothèses!$X$11,IF(U351&lt;=Hypothèses!$V$12,Hypothèses!$X$12,IF(U351&lt;=Hypothèses!$V$13,Hypothèses!$X$13,IF(U351&lt;=Hypothèses!$V$14,Hypothèses!$X$14,IF(U351&lt;=Hypothèses!$V$15,Hypothèses!$X$15,IF(U351&lt;=Hypothèses!$V$16,Hypothèses!$X$16,IF(U351&lt;=Hypothèses!$U$17,Hypothèses!$W$17,IF(U351&lt;=Hypothèses!$U$18,Hypothèses!$W$18,""))))))))))))</f>
        <v>#DIV/0!</v>
      </c>
      <c r="AR351" s="95" t="e">
        <f t="shared" ca="1" si="572"/>
        <v>#DIV/0!</v>
      </c>
      <c r="AS351" s="101">
        <f t="shared" si="624"/>
        <v>0</v>
      </c>
      <c r="AT351" s="91">
        <f t="shared" si="541"/>
        <v>0</v>
      </c>
      <c r="AU351" s="30" t="e">
        <f t="shared" si="602"/>
        <v>#N/A</v>
      </c>
      <c r="AV351" s="30" t="e">
        <f t="shared" si="603"/>
        <v>#N/A</v>
      </c>
      <c r="AW351" s="31" t="e">
        <f>IF(OR(Hypothèses!$B$4=17,Hypothèses!$B$4=18,Hypothèses!$B$4=19,Hypothèses!$B$4=20),
IF($D351="Pressio.",
IF(OR($E351=3,$E351=1,$E351=4),AV351,AU351),
IF($D351="Pénétro.",
IF(OR($E351=3,$E351=1,$E351=4),AV351,AU351))),IF($D351="Pressio.",
IF($E351=3,AV351,AU351),
IF($D351="Pénétro.",
IF($E351=4,AV351,AU351))))</f>
        <v>#N/A</v>
      </c>
      <c r="AX351" s="31">
        <v>0</v>
      </c>
      <c r="AY351" s="102" t="e">
        <f>IF(NDC!$H$10="Oui",(VLOOKUP($B$3,'Coeff EC7'!$T$39:$X$59,2,0)*AW351+VLOOKUP($B$3,'Coeff EC7'!$T$65:$X$85,2,0)*Model0.1T!AX351)/1.5,PI()*AU$12*$Q351*($B351-$B350)*0.15/10+AY350)</f>
        <v>#N/A</v>
      </c>
      <c r="AZ351" s="102" t="e">
        <f>(VLOOKUP($B$3,'Coeff EC7'!$T$39:$X$59,3,0)*AW351+VLOOKUP($B$3,'Coeff EC7'!$T$65:$X$85,3,0)*Model0.1T!AX351)/1.1</f>
        <v>#N/A</v>
      </c>
      <c r="BA351" s="102" t="e">
        <f t="shared" si="573"/>
        <v>#N/A</v>
      </c>
      <c r="BB351" s="102" t="e">
        <f t="shared" si="574"/>
        <v>#N/A</v>
      </c>
      <c r="BC351" s="414" t="e">
        <f>IF(AND(AY351&gt;NDC!$C$63,AZ351&gt;NDC!$C$65,BA351&gt;NDC!$D$73,BB351&gt;NDC!$D$74,$B351&gt;NDC!$H$22-0.1+MIN(3*BC$12,1.5)),0,1)</f>
        <v>#N/A</v>
      </c>
      <c r="BD351" s="86" t="b">
        <f t="shared" si="542"/>
        <v>0</v>
      </c>
      <c r="BE351" s="86">
        <f t="shared" si="575"/>
        <v>0.5</v>
      </c>
      <c r="BF351" s="86">
        <f t="shared" si="543"/>
        <v>0.5</v>
      </c>
      <c r="BG351" s="30" t="e">
        <f t="shared" ca="1" si="576"/>
        <v>#DIV/0!</v>
      </c>
      <c r="BH351" s="85" t="e">
        <f ca="1">IF(AN351&lt;=Hypothèses!$V$7,Hypothèses!$W$7,IF(AN351&lt;=Hypothèses!$V$8,Hypothèses!$W$8,IF(AN351&lt;=Hypothèses!$V$9,Hypothèses!$W$9,IF(AN351&lt;=Hypothèses!$V$10,Hypothèses!$W$10,IF(AN351&lt;=Hypothèses!$V$11,Hypothèses!$W$11,IF(AN351&lt;=Hypothèses!$V$12,Hypothèses!$W$12,IF(AN351&lt;=Hypothèses!$V$13,Hypothèses!$W$13,IF(AN351&lt;=Hypothèses!$V$14,Hypothèses!$W$14,IF(AN351&lt;=Hypothèses!$V$15,Hypothèses!$W$15,IF(AN351&lt;=Hypothèses!$V$16,Hypothèses!$W$16,IF(AN351&lt;=Hypothèses!$V$17,Hypothèses!$W$17,IF(AN351&lt;=Hypothèses!$V$18,Hypothèses!$W$18,""))))))))))))</f>
        <v>#DIV/0!</v>
      </c>
      <c r="BI351" s="87" t="e">
        <f t="shared" ca="1" si="618"/>
        <v>#DIV/0!</v>
      </c>
      <c r="BJ351" s="88" t="e">
        <f ca="1">IF(AN351&lt;=Hypothèses!$V$7,Hypothèses!$X$7,IF(AN351&lt;=Hypothèses!$V$8,Hypothèses!$X$8,IF(AN351&lt;=Hypothèses!$V$9,Hypothèses!$X$9,IF(AN351&lt;=Hypothèses!$V$10,Hypothèses!$X$10,IF(AN351&lt;=Hypothèses!$V$11,Hypothèses!$X$11,IF(AN351&lt;=Hypothèses!$V$12,Hypothèses!$X$12,IF(AN351&lt;=Hypothèses!$V$13,Hypothèses!$X$13,IF(AN351&lt;=Hypothèses!$V$14,Hypothèses!$X$14,IF(AN351&lt;=Hypothèses!$V$15,Hypothèses!$X$15,IF(AN351&lt;=Hypothèses!$V$16,Hypothèses!$X$16,IF(AN351&lt;=Hypothèses!$U$17,Hypothèses!$W$17,IF(AN351&lt;=Hypothèses!$U$18,Hypothèses!$W$18,""))))))))))))</f>
        <v>#DIV/0!</v>
      </c>
      <c r="BK351" s="95" t="e">
        <f t="shared" ca="1" si="577"/>
        <v>#DIV/0!</v>
      </c>
      <c r="BL351" s="101">
        <f t="shared" si="625"/>
        <v>0</v>
      </c>
      <c r="BM351" s="91">
        <f t="shared" si="544"/>
        <v>0</v>
      </c>
      <c r="BN351" s="30" t="e">
        <f t="shared" si="604"/>
        <v>#N/A</v>
      </c>
      <c r="BO351" s="30" t="e">
        <f t="shared" si="605"/>
        <v>#N/A</v>
      </c>
      <c r="BP351" s="31" t="e">
        <f>IF(OR(Hypothèses!$B$4=17,Hypothèses!$B$4=18,Hypothèses!$B$4=19,Hypothèses!$B$4=20),
IF($D351="Pressio.",
IF(OR($E351=3,$E351=1,$E351=4),BO351,BN351),
IF($D351="Pénétro.",
IF(OR($E351=3,$E351=1,$E351=4),BO351,BN351))),IF($D351="Pressio.",
IF($E351=3,BO351,BN351),
IF($D351="Pénétro.",
IF($E351=4,BO351,BN351))))</f>
        <v>#N/A</v>
      </c>
      <c r="BQ351" s="31">
        <v>0</v>
      </c>
      <c r="BR351" s="102" t="e">
        <f>IF(NDC!$H$10="Oui",(VLOOKUP($B$3,'Coeff EC7'!$T$39:$X$59,2,0)*BP351+VLOOKUP($B$3,'Coeff EC7'!$T$65:$X$85,2,0)*Model0.1T!BQ351)/1.5,PI()*BN$12*$Q351*($B351-$B350)*0.15/10+BR350)</f>
        <v>#N/A</v>
      </c>
      <c r="BS351" s="102" t="e">
        <f>(VLOOKUP($B$3,'Coeff EC7'!$T$39:$X$59,3,0)*BP351+VLOOKUP($B$3,'Coeff EC7'!$T$65:$X$85,3,0)*Model0.1T!BQ351)/1.1</f>
        <v>#N/A</v>
      </c>
      <c r="BT351" s="102" t="e">
        <f t="shared" si="578"/>
        <v>#N/A</v>
      </c>
      <c r="BU351" s="102" t="e">
        <f t="shared" si="579"/>
        <v>#N/A</v>
      </c>
      <c r="BV351" s="414" t="e">
        <f>IF(AND(BR351&gt;NDC!$C$63,BS351&gt;NDC!$C$65,BT351&gt;NDC!$D$73,BU351&gt;NDC!$D$74,$B351&gt;NDC!$H$22-0.1+MIN(3*BV$12,1.5)),0,1)</f>
        <v>#N/A</v>
      </c>
      <c r="BW351" s="86" t="b">
        <f t="shared" si="545"/>
        <v>0</v>
      </c>
      <c r="BX351" s="86">
        <f t="shared" si="546"/>
        <v>0.5</v>
      </c>
      <c r="BY351" s="86">
        <f t="shared" si="547"/>
        <v>0.5</v>
      </c>
      <c r="BZ351" s="30" t="e">
        <f t="shared" ca="1" si="580"/>
        <v>#DIV/0!</v>
      </c>
      <c r="CA351" s="85" t="e">
        <f ca="1">IF(BG351&lt;=Hypothèses!$V$7,Hypothèses!$W$7,IF(BG351&lt;=Hypothèses!$V$8,Hypothèses!$W$8,IF(BG351&lt;=Hypothèses!$V$9,Hypothèses!$W$9,IF(BG351&lt;=Hypothèses!$V$10,Hypothèses!$W$10,IF(BG351&lt;=Hypothèses!$V$11,Hypothèses!$W$11,IF(BG351&lt;=Hypothèses!$V$12,Hypothèses!$W$12,IF(BG351&lt;=Hypothèses!$V$13,Hypothèses!$W$13,IF(BG351&lt;=Hypothèses!$V$14,Hypothèses!$W$14,IF(BG351&lt;=Hypothèses!$V$15,Hypothèses!$W$15,IF(BG351&lt;=Hypothèses!$V$16,Hypothèses!$W$16,IF(BG351&lt;=Hypothèses!$V$17,Hypothèses!$W$17,IF(BG351&lt;=Hypothèses!$V$18,Hypothèses!$W$18,""))))))))))))</f>
        <v>#DIV/0!</v>
      </c>
      <c r="CB351" s="87" t="e">
        <f t="shared" ca="1" si="619"/>
        <v>#DIV/0!</v>
      </c>
      <c r="CC351" s="88" t="e">
        <f ca="1">IF(BG351&lt;=Hypothèses!$V$7,Hypothèses!$X$7,IF(BG351&lt;=Hypothèses!$V$8,Hypothèses!$X$8,IF(BG351&lt;=Hypothèses!$V$9,Hypothèses!$X$9,IF(BG351&lt;=Hypothèses!$V$10,Hypothèses!$X$10,IF(BG351&lt;=Hypothèses!$V$11,Hypothèses!$X$11,IF(BG351&lt;=Hypothèses!$V$12,Hypothèses!$X$12,IF(BG351&lt;=Hypothèses!$V$13,Hypothèses!$X$13,IF(BG351&lt;=Hypothèses!$V$14,Hypothèses!$X$14,IF(BG351&lt;=Hypothèses!$V$15,Hypothèses!$X$15,IF(BG351&lt;=Hypothèses!$V$16,Hypothèses!$X$16,IF(BG351&lt;=Hypothèses!$U$17,Hypothèses!$W$17,IF(BG351&lt;=Hypothèses!$U$18,Hypothèses!$W$18,""))))))))))))</f>
        <v>#DIV/0!</v>
      </c>
      <c r="CD351" s="95" t="e">
        <f t="shared" ca="1" si="581"/>
        <v>#DIV/0!</v>
      </c>
      <c r="CE351" s="101">
        <f t="shared" si="626"/>
        <v>0</v>
      </c>
      <c r="CF351" s="91">
        <f t="shared" si="548"/>
        <v>0</v>
      </c>
      <c r="CG351" s="30" t="e">
        <f t="shared" si="606"/>
        <v>#N/A</v>
      </c>
      <c r="CH351" s="30" t="e">
        <f t="shared" si="607"/>
        <v>#N/A</v>
      </c>
      <c r="CI351" s="31" t="e">
        <f>IF(OR(Hypothèses!$B$4=17,Hypothèses!$B$4=18,Hypothèses!$B$4=19,Hypothèses!$B$4=20),
IF($D351="Pressio.",
IF(OR($E351=3,$E351=1,$E351=4),CH351,CG351),
IF($D351="Pénétro.",
IF(OR($E351=3,$E351=1,$E351=4),CH351,CG351))),IF($D351="Pressio.",
IF($E351=3,CH351,CG351),
IF($D351="Pénétro.",
IF($E351=4,CH351,CG351))))</f>
        <v>#N/A</v>
      </c>
      <c r="CJ351" s="31">
        <v>0</v>
      </c>
      <c r="CK351" s="102" t="e">
        <f>IF(NDC!$H$10="Oui",(VLOOKUP($B$3,'Coeff EC7'!$T$39:$X$59,2,0)*CI351+VLOOKUP($B$3,'Coeff EC7'!$T$65:$X$85,2,0)*Model0.1T!CJ351)/1.5,PI()*CG$12*$Q351*($B351-$B350)*0.15/10+CK350)</f>
        <v>#N/A</v>
      </c>
      <c r="CL351" s="102" t="e">
        <f>(VLOOKUP($B$3,'Coeff EC7'!$T$39:$X$59,3,0)*CI351+VLOOKUP($B$3,'Coeff EC7'!$T$65:$X$85,3,0)*Model0.1T!CJ351)/1.1</f>
        <v>#N/A</v>
      </c>
      <c r="CM351" s="102" t="e">
        <f t="shared" si="582"/>
        <v>#N/A</v>
      </c>
      <c r="CN351" s="102" t="e">
        <f t="shared" si="583"/>
        <v>#N/A</v>
      </c>
      <c r="CO351" s="414" t="e">
        <f>IF(AND(CK351&gt;NDC!$C$63,CL351&gt;NDC!$C$65,CM351&gt;NDC!$D$73,CN351&gt;NDC!$D$74,$B351&gt;NDC!$H$22-0.1+MIN(3*CO$12,1.5)),0,1)</f>
        <v>#N/A</v>
      </c>
      <c r="CP351" s="86" t="b">
        <f t="shared" si="549"/>
        <v>0</v>
      </c>
      <c r="CQ351" s="86">
        <f t="shared" si="550"/>
        <v>0.5</v>
      </c>
      <c r="CR351" s="86">
        <f t="shared" si="551"/>
        <v>0.5</v>
      </c>
      <c r="CS351" s="30" t="e">
        <f t="shared" ca="1" si="584"/>
        <v>#DIV/0!</v>
      </c>
      <c r="CT351" s="85" t="e">
        <f ca="1">IF(BZ351&lt;=Hypothèses!$V$7,Hypothèses!$W$7,IF(BZ351&lt;=Hypothèses!$V$8,Hypothèses!$W$8,IF(BZ351&lt;=Hypothèses!$V$9,Hypothèses!$W$9,IF(BZ351&lt;=Hypothèses!$V$10,Hypothèses!$W$10,IF(BZ351&lt;=Hypothèses!$V$11,Hypothèses!$W$11,IF(BZ351&lt;=Hypothèses!$V$12,Hypothèses!$W$12,IF(BZ351&lt;=Hypothèses!$V$13,Hypothèses!$W$13,IF(BZ351&lt;=Hypothèses!$V$14,Hypothèses!$W$14,IF(BZ351&lt;=Hypothèses!$V$15,Hypothèses!$W$15,IF(BZ351&lt;=Hypothèses!$V$16,Hypothèses!$W$16,IF(BZ351&lt;=Hypothèses!$V$17,Hypothèses!$W$17,IF(BZ351&lt;=Hypothèses!$V$18,Hypothèses!$W$18,""))))))))))))</f>
        <v>#DIV/0!</v>
      </c>
      <c r="CU351" s="87" t="e">
        <f t="shared" ca="1" si="620"/>
        <v>#DIV/0!</v>
      </c>
      <c r="CV351" s="88" t="e">
        <f ca="1">IF(BZ351&lt;=Hypothèses!$V$7,Hypothèses!$X$7,IF(BZ351&lt;=Hypothèses!$V$8,Hypothèses!$X$8,IF(BZ351&lt;=Hypothèses!$V$9,Hypothèses!$X$9,IF(BZ351&lt;=Hypothèses!$V$10,Hypothèses!$X$10,IF(BZ351&lt;=Hypothèses!$V$11,Hypothèses!$X$11,IF(BZ351&lt;=Hypothèses!$V$12,Hypothèses!$X$12,IF(BZ351&lt;=Hypothèses!$V$13,Hypothèses!$X$13,IF(BZ351&lt;=Hypothèses!$V$14,Hypothèses!$X$14,IF(BZ351&lt;=Hypothèses!$V$15,Hypothèses!$X$15,IF(BZ351&lt;=Hypothèses!$V$16,Hypothèses!$X$16,IF(BZ351&lt;=Hypothèses!$U$17,Hypothèses!$W$17,IF(BZ351&lt;=Hypothèses!$U$18,Hypothèses!$W$18,""))))))))))))</f>
        <v>#DIV/0!</v>
      </c>
      <c r="CW351" s="95" t="e">
        <f t="shared" ca="1" si="585"/>
        <v>#DIV/0!</v>
      </c>
      <c r="CX351" s="101">
        <f t="shared" si="627"/>
        <v>0</v>
      </c>
      <c r="CY351" s="91">
        <f t="shared" si="552"/>
        <v>0</v>
      </c>
      <c r="CZ351" s="30" t="e">
        <f t="shared" si="608"/>
        <v>#N/A</v>
      </c>
      <c r="DA351" s="30" t="e">
        <f t="shared" si="609"/>
        <v>#N/A</v>
      </c>
      <c r="DB351" s="31" t="e">
        <f>IF(OR(Hypothèses!$B$4=17,Hypothèses!$B$4=18,Hypothèses!$B$4=19,Hypothèses!$B$4=20),
IF($D351="Pressio.",
IF(OR($E351=3,$E351=1,$E351=4),DA351,CZ351),
IF($D351="Pénétro.",
IF(OR($E351=3,$E351=1,$E351=4),DA351,CZ351))),IF($D351="Pressio.",
IF($E351=3,DA351,CZ351),
IF($D351="Pénétro.",
IF($E351=4,DA351,CZ351))))</f>
        <v>#N/A</v>
      </c>
      <c r="DC351" s="31">
        <v>0</v>
      </c>
      <c r="DD351" s="102" t="e">
        <f>IF(NDC!$H$10="Oui",(VLOOKUP($B$3,'Coeff EC7'!$T$39:$X$59,2,0)*DB351+VLOOKUP($B$3,'Coeff EC7'!$T$65:$X$85,2,0)*Model0.1T!DC351)/1.5,PI()*CZ$12*$Q351*($B351-$B350)*0.15/10+DD350)</f>
        <v>#N/A</v>
      </c>
      <c r="DE351" s="102" t="e">
        <f>(VLOOKUP($B$3,'Coeff EC7'!$T$39:$X$59,3,0)*DB351+VLOOKUP($B$3,'Coeff EC7'!$T$65:$X$85,3,0)*Model0.1T!DC351)/1.1</f>
        <v>#N/A</v>
      </c>
      <c r="DF351" s="102" t="e">
        <f t="shared" si="586"/>
        <v>#N/A</v>
      </c>
      <c r="DG351" s="102" t="e">
        <f t="shared" si="587"/>
        <v>#N/A</v>
      </c>
      <c r="DH351" s="414" t="e">
        <f>IF(AND(DD351&gt;NDC!$C$63,DE351&gt;NDC!$C$65,DF351&gt;NDC!$D$73,DG351&gt;NDC!$D$74,$B351&gt;NDC!$H$22-0.1+MIN(3*DH$12,1.5)),0,1)</f>
        <v>#N/A</v>
      </c>
      <c r="DI351" s="86" t="b">
        <f t="shared" si="553"/>
        <v>0</v>
      </c>
      <c r="DJ351" s="86">
        <f t="shared" si="554"/>
        <v>0.5</v>
      </c>
      <c r="DK351" s="86">
        <f t="shared" si="555"/>
        <v>0.5</v>
      </c>
      <c r="DL351" s="30" t="e">
        <f t="shared" ca="1" si="588"/>
        <v>#DIV/0!</v>
      </c>
      <c r="DM351" s="85" t="e">
        <f ca="1">IF(CS351&lt;=Hypothèses!$V$7,Hypothèses!$W$7,IF(CS351&lt;=Hypothèses!$V$8,Hypothèses!$W$8,IF(CS351&lt;=Hypothèses!$V$9,Hypothèses!$W$9,IF(CS351&lt;=Hypothèses!$V$10,Hypothèses!$W$10,IF(CS351&lt;=Hypothèses!$V$11,Hypothèses!$W$11,IF(CS351&lt;=Hypothèses!$V$12,Hypothèses!$W$12,IF(CS351&lt;=Hypothèses!$V$13,Hypothèses!$W$13,IF(CS351&lt;=Hypothèses!$V$14,Hypothèses!$W$14,IF(CS351&lt;=Hypothèses!$V$15,Hypothèses!$W$15,IF(CS351&lt;=Hypothèses!$V$16,Hypothèses!$W$16,IF(CS351&lt;=Hypothèses!$V$17,Hypothèses!$W$17,IF(CS351&lt;=Hypothèses!$V$18,Hypothèses!$W$18,""))))))))))))</f>
        <v>#DIV/0!</v>
      </c>
      <c r="DN351" s="87" t="e">
        <f t="shared" ca="1" si="621"/>
        <v>#DIV/0!</v>
      </c>
      <c r="DO351" s="88" t="e">
        <f ca="1">IF(CS351&lt;=Hypothèses!$V$7,Hypothèses!$X$7,IF(CS351&lt;=Hypothèses!$V$8,Hypothèses!$X$8,IF(CS351&lt;=Hypothèses!$V$9,Hypothèses!$X$9,IF(CS351&lt;=Hypothèses!$V$10,Hypothèses!$X$10,IF(CS351&lt;=Hypothèses!$V$11,Hypothèses!$X$11,IF(CS351&lt;=Hypothèses!$V$12,Hypothèses!$X$12,IF(CS351&lt;=Hypothèses!$V$13,Hypothèses!$X$13,IF(CS351&lt;=Hypothèses!$V$14,Hypothèses!$X$14,IF(CS351&lt;=Hypothèses!$V$15,Hypothèses!$X$15,IF(CS351&lt;=Hypothèses!$V$16,Hypothèses!$X$16,IF(CS351&lt;=Hypothèses!$U$17,Hypothèses!$W$17,IF(CS351&lt;=Hypothèses!$U$18,Hypothèses!$W$18,""))))))))))))</f>
        <v>#DIV/0!</v>
      </c>
      <c r="DP351" s="95" t="e">
        <f t="shared" ca="1" si="589"/>
        <v>#DIV/0!</v>
      </c>
      <c r="DQ351" s="101">
        <f t="shared" si="628"/>
        <v>0</v>
      </c>
      <c r="DR351" s="91">
        <f t="shared" si="556"/>
        <v>0</v>
      </c>
      <c r="DS351" s="30" t="e">
        <f t="shared" si="610"/>
        <v>#N/A</v>
      </c>
      <c r="DT351" s="30" t="e">
        <f t="shared" si="611"/>
        <v>#N/A</v>
      </c>
      <c r="DU351" s="31" t="e">
        <f>IF(OR(Hypothèses!$B$4=17,Hypothèses!$B$4=18,Hypothèses!$B$4=19,Hypothèses!$B$4=20),
IF($D351="Pressio.",
IF(OR($E351=3,$E351=1,$E351=4),DT351,DS351),
IF($D351="Pénétro.",
IF(OR($E351=3,$E351=1,$E351=4),DT351,DS351))),IF($D351="Pressio.",
IF($E351=3,DT351,DS351),
IF($D351="Pénétro.",
IF($E351=4,DT351,DS351))))</f>
        <v>#N/A</v>
      </c>
      <c r="DV351" s="31">
        <v>0</v>
      </c>
      <c r="DW351" s="102" t="e">
        <f>IF(NDC!$H$10="Oui",(VLOOKUP($B$3,'Coeff EC7'!$T$39:$X$59,2,0)*DU351+VLOOKUP($B$3,'Coeff EC7'!$T$65:$X$85,2,0)*Model0.1T!DV351)/1.5,PI()*DS$12*$Q351*($B351-$B350)*0.15/10+DW350)</f>
        <v>#N/A</v>
      </c>
      <c r="DX351" s="102" t="e">
        <f>(VLOOKUP($B$3,'Coeff EC7'!$T$39:$X$59,3,0)*DU351+VLOOKUP($B$3,'Coeff EC7'!$T$65:$X$85,3,0)*Model0.1T!DV351)/1.1</f>
        <v>#N/A</v>
      </c>
      <c r="DY351" s="102" t="e">
        <f t="shared" si="590"/>
        <v>#N/A</v>
      </c>
      <c r="DZ351" s="102" t="e">
        <f t="shared" si="591"/>
        <v>#N/A</v>
      </c>
      <c r="EA351" s="414" t="e">
        <f>IF(AND(DW351&gt;NDC!$C$63,DX351&gt;NDC!$C$65,DY351&gt;NDC!$D$73,DZ351&gt;NDC!$D$74,$B351&gt;NDC!$H$22-0.1+MIN(3*EA$12,1.5)),0,1)</f>
        <v>#N/A</v>
      </c>
      <c r="EB351" s="86" t="b">
        <f t="shared" si="557"/>
        <v>0</v>
      </c>
      <c r="EC351" s="418">
        <f t="shared" si="558"/>
        <v>0.51</v>
      </c>
      <c r="ED351" s="86">
        <f t="shared" si="559"/>
        <v>0.51</v>
      </c>
      <c r="EE351" s="30" t="e">
        <f t="shared" ca="1" si="592"/>
        <v>#DIV/0!</v>
      </c>
      <c r="EF351" s="85" t="e">
        <f ca="1">IF(DL351&lt;=Hypothèses!$V$7,Hypothèses!$W$7,IF(DL351&lt;=Hypothèses!$V$8,Hypothèses!$W$8,IF(DL351&lt;=Hypothèses!$V$9,Hypothèses!$W$9,IF(DL351&lt;=Hypothèses!$V$10,Hypothèses!$W$10,IF(DL351&lt;=Hypothèses!$V$11,Hypothèses!$W$11,IF(DL351&lt;=Hypothèses!$V$12,Hypothèses!$W$12,IF(DL351&lt;=Hypothèses!$V$13,Hypothèses!$W$13,IF(DL351&lt;=Hypothèses!$V$14,Hypothèses!$W$14,IF(DL351&lt;=Hypothèses!$V$15,Hypothèses!$W$15,IF(DL351&lt;=Hypothèses!$V$16,Hypothèses!$W$16,IF(DL351&lt;=Hypothèses!$V$17,Hypothèses!$W$17,IF(DL351&lt;=Hypothèses!$V$18,Hypothèses!$W$18,""))))))))))))</f>
        <v>#DIV/0!</v>
      </c>
      <c r="EG351" s="87" t="e">
        <f t="shared" ca="1" si="622"/>
        <v>#DIV/0!</v>
      </c>
      <c r="EH351" s="88" t="e">
        <f ca="1">IF(DL351&lt;=Hypothèses!$V$7,Hypothèses!$X$7,IF(DL351&lt;=Hypothèses!$V$8,Hypothèses!$X$8,IF(DL351&lt;=Hypothèses!$V$9,Hypothèses!$X$9,IF(DL351&lt;=Hypothèses!$V$10,Hypothèses!$X$10,IF(DL351&lt;=Hypothèses!$V$11,Hypothèses!$X$11,IF(DL351&lt;=Hypothèses!$V$12,Hypothèses!$X$12,IF(DL351&lt;=Hypothèses!$V$13,Hypothèses!$X$13,IF(DL351&lt;=Hypothèses!$V$14,Hypothèses!$X$14,IF(DL351&lt;=Hypothèses!$V$15,Hypothèses!$X$15,IF(DL351&lt;=Hypothèses!$V$16,Hypothèses!$X$16,IF(DL351&lt;=Hypothèses!$U$17,Hypothèses!$W$17,IF(DL351&lt;=Hypothèses!$U$18,Hypothèses!$W$18,""))))))))))))</f>
        <v>#DIV/0!</v>
      </c>
      <c r="EI351" s="95" t="e">
        <f t="shared" ca="1" si="593"/>
        <v>#DIV/0!</v>
      </c>
      <c r="EJ351" s="101">
        <f t="shared" si="629"/>
        <v>0</v>
      </c>
      <c r="EK351" s="91">
        <f t="shared" si="560"/>
        <v>0</v>
      </c>
      <c r="EL351" s="30" t="e">
        <f t="shared" si="612"/>
        <v>#N/A</v>
      </c>
      <c r="EM351" s="30" t="e">
        <f t="shared" si="613"/>
        <v>#N/A</v>
      </c>
      <c r="EN351" s="31" t="e">
        <f>IF(OR(Hypothèses!$B$4=17,Hypothèses!$B$4=18,Hypothèses!$B$4=19,Hypothèses!$B$4=20),
IF($D351="Pressio.",
IF(OR($E351=3,$E351=1,$E351=4),EM351,EL351),
IF($D351="Pénétro.",
IF(OR($E351=3,$E351=1,$E351=4),EM351,EL351))),IF($D351="Pressio.",
IF($E351=3,EM351,EL351),
IF($D351="Pénétro.",
IF($E351=4,EM351,EL351))))</f>
        <v>#N/A</v>
      </c>
      <c r="EO351" s="31">
        <v>0</v>
      </c>
      <c r="EP351" s="102" t="e">
        <f>IF(NDC!$H$10="Oui",(VLOOKUP($B$3,'Coeff EC7'!$T$39:$X$59,2,0)*EN351+VLOOKUP($B$3,'Coeff EC7'!$T$65:$X$85,2,0)*Model0.1T!EO351)/1.5,PI()*EL$12*$Q351*($B351-$B350)*0.15/10+EP350)</f>
        <v>#N/A</v>
      </c>
      <c r="EQ351" s="102" t="e">
        <f>(VLOOKUP($B$3,'Coeff EC7'!$T$39:$X$59,3,0)*EN351+VLOOKUP($B$3,'Coeff EC7'!$T$65:$X$85,3,0)*Model0.1T!EO351)/1.1</f>
        <v>#N/A</v>
      </c>
      <c r="ER351" s="102" t="e">
        <f t="shared" si="594"/>
        <v>#N/A</v>
      </c>
      <c r="ES351" s="102" t="e">
        <f t="shared" si="595"/>
        <v>#N/A</v>
      </c>
      <c r="ET351" s="414" t="e">
        <f>IF(AND(EP351&gt;NDC!$C$63,EQ351&gt;NDC!$C$65,ER351&gt;NDC!$D$73,ES351&gt;NDC!$D$74,$B351&gt;NDC!$H$22-0.1+MIN(3*ET$12,1.5)),0,1)</f>
        <v>#N/A</v>
      </c>
      <c r="EU351" s="86" t="b">
        <f t="shared" si="561"/>
        <v>0</v>
      </c>
      <c r="EV351" s="86">
        <f t="shared" si="562"/>
        <v>0.61</v>
      </c>
      <c r="EW351" s="86">
        <f t="shared" si="563"/>
        <v>0.61</v>
      </c>
      <c r="EX351" s="30" t="e">
        <f t="shared" ca="1" si="596"/>
        <v>#DIV/0!</v>
      </c>
      <c r="EY351" s="85" t="e">
        <f ca="1">IF(EE351&lt;=Hypothèses!$V$7,Hypothèses!$W$7,IF(EE351&lt;=Hypothèses!$V$8,Hypothèses!$W$8,IF(EE351&lt;=Hypothèses!$V$9,Hypothèses!$W$9,IF(EE351&lt;=Hypothèses!$V$10,Hypothèses!$W$10,IF(EE351&lt;=Hypothèses!$V$11,Hypothèses!$W$11,IF(EE351&lt;=Hypothèses!$V$12,Hypothèses!$W$12,IF(EE351&lt;=Hypothèses!$V$13,Hypothèses!$W$13,IF(EE351&lt;=Hypothèses!$V$14,Hypothèses!$W$14,IF(EE351&lt;=Hypothèses!$V$15,Hypothèses!$W$15,IF(EE351&lt;=Hypothèses!$V$16,Hypothèses!$W$16,IF(EE351&lt;=Hypothèses!$V$17,Hypothèses!$W$17,IF(EE351&lt;=Hypothèses!$V$18,Hypothèses!$W$18,""))))))))))))</f>
        <v>#DIV/0!</v>
      </c>
      <c r="EZ351" s="87" t="e">
        <f t="shared" ca="1" si="623"/>
        <v>#DIV/0!</v>
      </c>
      <c r="FA351" s="88" t="e">
        <f ca="1">IF(EE351&lt;=Hypothèses!$V$7,Hypothèses!$X$7,IF(EE351&lt;=Hypothèses!$V$8,Hypothèses!$X$8,IF(EE351&lt;=Hypothèses!$V$9,Hypothèses!$X$9,IF(EE351&lt;=Hypothèses!$V$10,Hypothèses!$X$10,IF(EE351&lt;=Hypothèses!$V$11,Hypothèses!$X$11,IF(EE351&lt;=Hypothèses!$V$12,Hypothèses!$X$12,IF(EE351&lt;=Hypothèses!$V$13,Hypothèses!$X$13,IF(EE351&lt;=Hypothèses!$V$14,Hypothèses!$X$14,IF(EE351&lt;=Hypothèses!$V$15,Hypothèses!$X$15,IF(EE351&lt;=Hypothèses!$V$16,Hypothèses!$X$16,IF(EE351&lt;=Hypothèses!$U$17,Hypothèses!$W$17,IF(EE351&lt;=Hypothèses!$U$18,Hypothèses!$W$18,""))))))))))))</f>
        <v>#DIV/0!</v>
      </c>
      <c r="FB351" s="95" t="e">
        <f t="shared" ca="1" si="597"/>
        <v>#DIV/0!</v>
      </c>
      <c r="FC351" s="101">
        <f t="shared" si="630"/>
        <v>0</v>
      </c>
      <c r="FD351" s="91">
        <f t="shared" si="564"/>
        <v>0</v>
      </c>
      <c r="FE351" s="30" t="e">
        <f t="shared" si="614"/>
        <v>#N/A</v>
      </c>
      <c r="FF351" s="30" t="e">
        <f t="shared" si="615"/>
        <v>#N/A</v>
      </c>
      <c r="FG351" s="31" t="e">
        <f>IF(OR(Hypothèses!$B$4=17,Hypothèses!$B$4=18,Hypothèses!$B$4=19,Hypothèses!$B$4=20),
IF($D351="Pressio.",
IF(OR($E351=3,$E351=1,$E351=4),FF351,FE351),
IF($D351="Pénétro.",
IF(OR($E351=3,$E351=1,$E351=4),FF351,FE351))),IF($D351="Pressio.",
IF($E351=3,FF351,FE351),
IF($D351="Pénétro.",
IF($E351=4,FF351,FE351))))</f>
        <v>#N/A</v>
      </c>
      <c r="FH351" s="31">
        <v>0</v>
      </c>
      <c r="FI351" s="102" t="e">
        <f>IF(NDC!$H$10="Oui",(VLOOKUP($B$3,'Coeff EC7'!$T$39:$X$59,2,0)*FG351+VLOOKUP($B$3,'Coeff EC7'!$T$65:$X$85,2,0)*Model0.1T!FH351)/1.5,PI()*FE$12*$Q351*($B351-$B350)*0.15/10+FI350)</f>
        <v>#N/A</v>
      </c>
      <c r="FJ351" s="102" t="e">
        <f>(VLOOKUP($B$3,'Coeff EC7'!$T$39:$X$59,3,0)*FG351+VLOOKUP($B$3,'Coeff EC7'!$T$65:$X$85,3,0)*Model0.1T!FH351)/1.1</f>
        <v>#N/A</v>
      </c>
      <c r="FK351" s="102" t="e">
        <f t="shared" si="598"/>
        <v>#N/A</v>
      </c>
      <c r="FL351" s="102" t="e">
        <f t="shared" si="599"/>
        <v>#N/A</v>
      </c>
      <c r="FM351" s="414" t="e">
        <f>IF(AND(FI351&gt;NDC!$C$63,FJ351&gt;NDC!$C$65,FK351&gt;NDC!$D$73,FL351&gt;NDC!$D$74,$B351&gt;NDC!$H$22-0.1+MIN(3*FM$12,1.5)),0,1)</f>
        <v>#N/A</v>
      </c>
    </row>
    <row r="352" spans="1:169">
      <c r="A352" s="96">
        <f t="shared" si="565"/>
        <v>66.100000000001927</v>
      </c>
      <c r="B352" s="97">
        <v>33.9</v>
      </c>
      <c r="C352" s="81">
        <f>IF(B352&lt;=Hypothèses!$C$7,Hypothèses!$A$7,IF(B352&lt;=Hypothèses!$C$8,Hypothèses!$A$8,IF(B352&lt;=Hypothèses!$C$9,Hypothèses!$A$9,IF(B352&lt;=Hypothèses!$C$10,Hypothèses!$A$10,IF(B352&lt;=Hypothèses!$C$11,Hypothèses!$A$11,IF(B352&lt;=Hypothèses!$C$12,Hypothèses!$A$12,IF(B352&lt;=Hypothèses!$C$13,Hypothèses!$A$13,IF(B352&lt;=Hypothèses!$C$14,Hypothèses!$A$14,IF(B352&lt;=Hypothèses!$C$15,Hypothèses!$A$15,IF(B352&lt;=Hypothèses!$C$16,Hypothèses!$A$16,IF(B352&lt;=Hypothèses!$C$17,Hypothèses!$A$17,IF(B352&lt;=Hypothèses!$C$18,Hypothèses!$A$18,C351))))))))))))</f>
        <v>11</v>
      </c>
      <c r="D352" s="82" t="str">
        <f>IF(B352&lt;=Hypothèses!$C$7,Hypothèses!$R$7,IF(B352&lt;=Hypothèses!$C$8,Hypothèses!$R$8,IF(B352&lt;=Hypothèses!$C$9,Hypothèses!$R$9,IF(B352&lt;=Hypothèses!$C$10,Hypothèses!$R$10,IF(B352&lt;=Hypothèses!$C$11,Hypothèses!$R$11,IF(B352&lt;=Hypothèses!$C$12,Hypothèses!$R$12,IF(B352&lt;=Hypothèses!$C$13,Hypothèses!$R$13,IF(B352&lt;=Hypothèses!$C$14,Hypothèses!$R$14,IF(B352&lt;=Hypothèses!$C$15,Hypothèses!$R$15,IF(B352&lt;=Hypothèses!$C$16,Hypothèses!$R$16,IF(B352&lt;=Hypothèses!$C$17,Hypothèses!$R$17,IF(B352&lt;=Hypothèses!$C$18,Hypothèses!$R$18,D351))))))))))))</f>
        <v>Pressio.</v>
      </c>
      <c r="E352" s="82" t="e">
        <f>IF(B352&lt;=Hypothèses!$C$7,Hypothèses!$G$7,IF(B352&lt;=Hypothèses!$C$8,Hypothèses!$G$8,IF(B352&lt;=Hypothèses!$C$9,Hypothèses!$G$9,IF(B352&lt;=Hypothèses!$C$10,Hypothèses!$G$10,IF(B352&lt;=Hypothèses!$C$11,Hypothèses!$G$11,IF(B352&lt;=Hypothèses!$C$12,Hypothèses!$G$12,IF(B352&lt;=Hypothèses!$C$13,Hypothèses!$G$13,IF(B352&lt;=Hypothèses!$C$14,Hypothèses!$G$14,IF(B352&lt;=Hypothèses!$C$15,Hypothèses!$G$15,IF(B352&lt;=Hypothèses!$C$16,Hypothèses!$G$16,IF(B352&lt;=Hypothèses!$C$17,Hypothèses!$G$17,IF(B352&lt;=Hypothèses!$C$18,Hypothèses!$G$18,E351))))))))))))</f>
        <v>#N/A</v>
      </c>
      <c r="F352" s="82" t="str">
        <f>IF(B352&lt;=Hypothèses!$C$7,Hypothèses!$F$7,IF(B352&lt;=Hypothèses!$C$8,Hypothèses!$F$8,IF(B352&lt;=Hypothèses!$C$9,Hypothèses!$F$9,IF(B352&lt;=Hypothèses!$C$10,Hypothèses!$F$10,IF(B352&lt;=Hypothèses!$C$11,Hypothèses!$F$11,IF(B352&lt;=Hypothèses!$C$12,Hypothèses!$F$12,IF(B352&lt;=Hypothèses!$C$13,Hypothèses!$F$13,IF(B352&lt;=Hypothèses!$C$14,Hypothèses!$F$14,IF(B352&lt;=Hypothèses!$C$15,Hypothèses!$F$15,IF(B352&lt;=Hypothèses!$C$16,Hypothèses!$F$16,IF(B352&lt;=Hypothèses!$C$17,Hypothèses!$F$17,IF(B352&lt;=Hypothèses!$C$18,Hypothèses!$F$18,F351))))))))))))</f>
        <v/>
      </c>
      <c r="G352" s="91">
        <f t="array" ref="G352">INDEX('Coeff EC7'!$U$7:$X$27,
MATCH(Model0.1T!$B$3,'Coeff EC7'!$T$7:$T$27,0),
MATCH(Model0.1T!$D352&amp;Model0.1T!$B$4,
'Coeff EC7'!$U$6:$X$6&amp;
'Coeff EC7'!$U$5:$X$5,0))</f>
        <v>1.4</v>
      </c>
      <c r="H352" s="91">
        <f t="array" ref="H352">INDEX('Coeff EC7'!$Y$7:$AB$27,
MATCH(Model0.1T!$B$3,'Coeff EC7'!$T$7:$T$27,0),
MATCH(Model0.1T!$D352&amp;Model0.1T!$B$4,
'Coeff EC7'!$Y$6:$AB$6&amp;
'Coeff EC7'!$Y$5:$AB$5,0))</f>
        <v>1.7</v>
      </c>
      <c r="I352" s="83">
        <v>0</v>
      </c>
      <c r="J352" s="91" t="e">
        <f t="array" ref="J352">INDEX('Coeff EC7'!$D$33:$Q$33,1,MATCH(D352&amp;E352,'Coeff EC7'!$D$31:$Q$31&amp;'Coeff EC7'!$D$32:$Q$32,0))</f>
        <v>#N/A</v>
      </c>
      <c r="K352" s="91" t="e">
        <f t="array" ref="K352">INDEX('Coeff EC7'!$D$34:$Q$34,1,MATCH(D352&amp;E352,'Coeff EC7'!$D$31:$Q$31&amp;'Coeff EC7'!$D$32:$Q$32,0))</f>
        <v>#N/A</v>
      </c>
      <c r="L352" s="91" t="e">
        <f t="array" ref="L352">INDEX('Coeff EC7'!$D$35:$Q$35,1,MATCH(D352&amp;E352,'Coeff EC7'!$D$31:$Q$31&amp;'Coeff EC7'!$D$32:$Q$32,0))</f>
        <v>#N/A</v>
      </c>
      <c r="M352" s="98" t="e">
        <f t="shared" si="531"/>
        <v>#N/A</v>
      </c>
      <c r="N352" s="99" t="e">
        <f t="array" ref="N352">INDEX('Coeff EC7'!$D$7:$Q$27,MATCH($B$3,'Coeff EC7'!$C$7:$C$27,0),MATCH(D352&amp;E352,'Coeff EC7'!$D$5:$Q$5&amp;'Coeff EC7'!$D$6:$Q$6,0))</f>
        <v>#N/A</v>
      </c>
      <c r="O352" s="99" t="e">
        <f t="array" ref="O352">INDEX('Coeff EC7'!$D$41:$Q$61,MATCH($B$3,'Coeff EC7'!$C$41:$C$61,0),MATCH(D352&amp;E352,'Coeff EC7'!$D$39:$Q$39&amp;'Coeff EC7'!$D$40:$Q$40,0))</f>
        <v>#N/A</v>
      </c>
      <c r="P352" s="30" t="e">
        <f t="shared" si="566"/>
        <v>#N/A</v>
      </c>
      <c r="Q352" s="100" t="e">
        <f t="shared" si="533"/>
        <v>#N/A</v>
      </c>
      <c r="R352" s="86" t="b">
        <f t="shared" si="534"/>
        <v>0</v>
      </c>
      <c r="S352" s="86">
        <f t="shared" si="532"/>
        <v>0.5</v>
      </c>
      <c r="T352" s="86">
        <f t="shared" si="535"/>
        <v>0.5</v>
      </c>
      <c r="U352" s="30" t="e">
        <f t="shared" ca="1" si="567"/>
        <v>#DIV/0!</v>
      </c>
      <c r="V352" s="85" t="str">
        <f>IF(B352&lt;=Hypothèses!$V$7,Hypothèses!$W$7,IF(B352&lt;=Hypothèses!$V$8,Hypothèses!$W$8,IF(B352&lt;=Hypothèses!$V$9,Hypothèses!$W$9,IF(B352&lt;=Hypothèses!$V$10,Hypothèses!$W$10,IF(B352&lt;=Hypothèses!$V$11,Hypothèses!$W$11,IF(B352&lt;=Hypothèses!$V$12,Hypothèses!$W$12,IF(B352&lt;=Hypothèses!$V$13,Hypothèses!$W$13,IF(B352&lt;=Hypothèses!$V$14,Hypothèses!$W$14,IF(B352&lt;=Hypothèses!$V$15,Hypothèses!$W$15,IF(B352&lt;=Hypothèses!$V$16,Hypothèses!$W$16,IF(B352&lt;=Hypothèses!$V$17,Hypothèses!$W$17,IF(B352&lt;=Hypothèses!$V$18,Hypothèses!$W$18,""))))))))))))</f>
        <v/>
      </c>
      <c r="W352" s="87" t="e">
        <f t="shared" ca="1" si="616"/>
        <v>#DIV/0!</v>
      </c>
      <c r="X352" s="88" t="str">
        <f>IF(B352&lt;=Hypothèses!$V$7,Hypothèses!$X$7,IF(B352&lt;=Hypothèses!$V$8,Hypothèses!$X$8,IF(B352&lt;=Hypothèses!$V$9,Hypothèses!$X$9,IF(B352&lt;=Hypothèses!$V$10,Hypothèses!$X$10,IF(B352&lt;=Hypothèses!$V$11,Hypothèses!$X$11,IF(B352&lt;=Hypothèses!$V$12,Hypothèses!$X$12,IF(B352&lt;=Hypothèses!$V$13,Hypothèses!$X$13,IF(B352&lt;=Hypothèses!$V$14,Hypothèses!$X$14,IF(B352&lt;=Hypothèses!$V$15,Hypothèses!$X$15,IF(B352&lt;=Hypothèses!$V$16,Hypothèses!$X$16,IF(B352&lt;=Hypothèses!$U$17,Hypothèses!$W$17,IF(B352&lt;=Hypothèses!$U$18,Hypothèses!$W$18,""))))))))))))</f>
        <v/>
      </c>
      <c r="Y352" s="95" t="e">
        <f t="shared" ca="1" si="536"/>
        <v>#DIV/0!</v>
      </c>
      <c r="Z352" s="101">
        <f t="shared" si="537"/>
        <v>0</v>
      </c>
      <c r="AA352" s="91">
        <f t="shared" si="538"/>
        <v>0</v>
      </c>
      <c r="AB352" s="30" t="e">
        <f t="shared" si="600"/>
        <v>#N/A</v>
      </c>
      <c r="AC352" s="30" t="e">
        <f t="shared" si="601"/>
        <v>#N/A</v>
      </c>
      <c r="AD352" s="31" t="e">
        <f>IF(OR(Hypothèses!$B$4=17,Hypothèses!$B$4=18,Hypothèses!$B$4=19,Hypothèses!$B$4=20),
IF($D352="Pressio.",
IF(OR($E352=3,$E352=1,$E352=4),AC352,AB352),
IF($D352="Pénétro.",
IF(OR($E352=3,$E352=1,$E352=4),AC352,AB352))),IF($D352="Pressio.",
IF($E352=3,AC352,AB352),
IF($D352="Pénétro.",
IF($E352=4,AC352,AB352))))</f>
        <v>#N/A</v>
      </c>
      <c r="AE352" s="31">
        <v>0</v>
      </c>
      <c r="AF352" s="102" t="e">
        <f>IF(NDC!$H$10="Oui",(VLOOKUP($B$3,'Coeff EC7'!$T$39:$X$59,2,0)*AD352+VLOOKUP($B$3,'Coeff EC7'!$T$65:$X$85,2,0)*Model0.1T!AE352)/1.5,PI()*AB$12*$Q352*($B352-$B351)*0.15/10+AF351)</f>
        <v>#N/A</v>
      </c>
      <c r="AG352" s="102" t="e">
        <f>(VLOOKUP($B$3,'Coeff EC7'!$T$39:$X$59,3,0)*AD352+VLOOKUP($B$3,'Coeff EC7'!$T$65:$X$85,3,0)*Model0.1T!AE352)/1.1</f>
        <v>#N/A</v>
      </c>
      <c r="AH352" s="102" t="e">
        <f t="shared" si="568"/>
        <v>#N/A</v>
      </c>
      <c r="AI352" s="102" t="e">
        <f t="shared" si="569"/>
        <v>#N/A</v>
      </c>
      <c r="AJ352" s="414" t="e">
        <f>IF(AND(AF352&gt;NDC!$C$63,AG352&gt;NDC!$C$65,AH352&gt;NDC!$D$73,AI352&gt;NDC!$D$74,$B352&gt;NDC!$H$22-0.1+MIN(3*$AJ$12,1.5)),0,1)</f>
        <v>#N/A</v>
      </c>
      <c r="AK352" s="86" t="b">
        <f t="shared" si="539"/>
        <v>0</v>
      </c>
      <c r="AL352" s="86">
        <f t="shared" si="570"/>
        <v>0.5</v>
      </c>
      <c r="AM352" s="86">
        <f t="shared" si="540"/>
        <v>0.5</v>
      </c>
      <c r="AN352" s="30" t="e">
        <f t="shared" ca="1" si="571"/>
        <v>#DIV/0!</v>
      </c>
      <c r="AO352" s="85" t="e">
        <f ca="1">IF(U352&lt;=Hypothèses!$V$7,Hypothèses!$W$7,IF(U352&lt;=Hypothèses!$V$8,Hypothèses!$W$8,IF(U352&lt;=Hypothèses!$V$9,Hypothèses!$W$9,IF(U352&lt;=Hypothèses!$V$10,Hypothèses!$W$10,IF(U352&lt;=Hypothèses!$V$11,Hypothèses!$W$11,IF(U352&lt;=Hypothèses!$V$12,Hypothèses!$W$12,IF(U352&lt;=Hypothèses!$V$13,Hypothèses!$W$13,IF(U352&lt;=Hypothèses!$V$14,Hypothèses!$W$14,IF(U352&lt;=Hypothèses!$V$15,Hypothèses!$W$15,IF(U352&lt;=Hypothèses!$V$16,Hypothèses!$W$16,IF(U352&lt;=Hypothèses!$V$17,Hypothèses!$W$17,IF(U352&lt;=Hypothèses!$V$18,Hypothèses!$W$18,""))))))))))))</f>
        <v>#DIV/0!</v>
      </c>
      <c r="AP352" s="87" t="e">
        <f t="shared" ca="1" si="617"/>
        <v>#DIV/0!</v>
      </c>
      <c r="AQ352" s="88" t="e">
        <f ca="1">IF(U352&lt;=Hypothèses!$V$7,Hypothèses!$X$7,IF(U352&lt;=Hypothèses!$V$8,Hypothèses!$X$8,IF(U352&lt;=Hypothèses!$V$9,Hypothèses!$X$9,IF(U352&lt;=Hypothèses!$V$10,Hypothèses!$X$10,IF(U352&lt;=Hypothèses!$V$11,Hypothèses!$X$11,IF(U352&lt;=Hypothèses!$V$12,Hypothèses!$X$12,IF(U352&lt;=Hypothèses!$V$13,Hypothèses!$X$13,IF(U352&lt;=Hypothèses!$V$14,Hypothèses!$X$14,IF(U352&lt;=Hypothèses!$V$15,Hypothèses!$X$15,IF(U352&lt;=Hypothèses!$V$16,Hypothèses!$X$16,IF(U352&lt;=Hypothèses!$U$17,Hypothèses!$W$17,IF(U352&lt;=Hypothèses!$U$18,Hypothèses!$W$18,""))))))))))))</f>
        <v>#DIV/0!</v>
      </c>
      <c r="AR352" s="95" t="e">
        <f t="shared" ca="1" si="572"/>
        <v>#DIV/0!</v>
      </c>
      <c r="AS352" s="101">
        <f t="shared" si="624"/>
        <v>0</v>
      </c>
      <c r="AT352" s="91">
        <f t="shared" si="541"/>
        <v>0</v>
      </c>
      <c r="AU352" s="30" t="e">
        <f t="shared" si="602"/>
        <v>#N/A</v>
      </c>
      <c r="AV352" s="30" t="e">
        <f t="shared" si="603"/>
        <v>#N/A</v>
      </c>
      <c r="AW352" s="31" t="e">
        <f>IF(OR(Hypothèses!$B$4=17,Hypothèses!$B$4=18,Hypothèses!$B$4=19,Hypothèses!$B$4=20),
IF($D352="Pressio.",
IF(OR($E352=3,$E352=1,$E352=4),AV352,AU352),
IF($D352="Pénétro.",
IF(OR($E352=3,$E352=1,$E352=4),AV352,AU352))),IF($D352="Pressio.",
IF($E352=3,AV352,AU352),
IF($D352="Pénétro.",
IF($E352=4,AV352,AU352))))</f>
        <v>#N/A</v>
      </c>
      <c r="AX352" s="31">
        <v>0</v>
      </c>
      <c r="AY352" s="102" t="e">
        <f>IF(NDC!$H$10="Oui",(VLOOKUP($B$3,'Coeff EC7'!$T$39:$X$59,2,0)*AW352+VLOOKUP($B$3,'Coeff EC7'!$T$65:$X$85,2,0)*Model0.1T!AX352)/1.5,PI()*AU$12*$Q352*($B352-$B351)*0.15/10+AY351)</f>
        <v>#N/A</v>
      </c>
      <c r="AZ352" s="102" t="e">
        <f>(VLOOKUP($B$3,'Coeff EC7'!$T$39:$X$59,3,0)*AW352+VLOOKUP($B$3,'Coeff EC7'!$T$65:$X$85,3,0)*Model0.1T!AX352)/1.1</f>
        <v>#N/A</v>
      </c>
      <c r="BA352" s="102" t="e">
        <f t="shared" si="573"/>
        <v>#N/A</v>
      </c>
      <c r="BB352" s="102" t="e">
        <f t="shared" si="574"/>
        <v>#N/A</v>
      </c>
      <c r="BC352" s="414" t="e">
        <f>IF(AND(AY352&gt;NDC!$C$63,AZ352&gt;NDC!$C$65,BA352&gt;NDC!$D$73,BB352&gt;NDC!$D$74,$B352&gt;NDC!$H$22-0.1+MIN(3*BC$12,1.5)),0,1)</f>
        <v>#N/A</v>
      </c>
      <c r="BD352" s="86" t="b">
        <f t="shared" si="542"/>
        <v>0</v>
      </c>
      <c r="BE352" s="86">
        <f t="shared" si="575"/>
        <v>0.5</v>
      </c>
      <c r="BF352" s="86">
        <f t="shared" si="543"/>
        <v>0.5</v>
      </c>
      <c r="BG352" s="30" t="e">
        <f t="shared" ca="1" si="576"/>
        <v>#DIV/0!</v>
      </c>
      <c r="BH352" s="85" t="e">
        <f ca="1">IF(AN352&lt;=Hypothèses!$V$7,Hypothèses!$W$7,IF(AN352&lt;=Hypothèses!$V$8,Hypothèses!$W$8,IF(AN352&lt;=Hypothèses!$V$9,Hypothèses!$W$9,IF(AN352&lt;=Hypothèses!$V$10,Hypothèses!$W$10,IF(AN352&lt;=Hypothèses!$V$11,Hypothèses!$W$11,IF(AN352&lt;=Hypothèses!$V$12,Hypothèses!$W$12,IF(AN352&lt;=Hypothèses!$V$13,Hypothèses!$W$13,IF(AN352&lt;=Hypothèses!$V$14,Hypothèses!$W$14,IF(AN352&lt;=Hypothèses!$V$15,Hypothèses!$W$15,IF(AN352&lt;=Hypothèses!$V$16,Hypothèses!$W$16,IF(AN352&lt;=Hypothèses!$V$17,Hypothèses!$W$17,IF(AN352&lt;=Hypothèses!$V$18,Hypothèses!$W$18,""))))))))))))</f>
        <v>#DIV/0!</v>
      </c>
      <c r="BI352" s="87" t="e">
        <f t="shared" ca="1" si="618"/>
        <v>#DIV/0!</v>
      </c>
      <c r="BJ352" s="88" t="e">
        <f ca="1">IF(AN352&lt;=Hypothèses!$V$7,Hypothèses!$X$7,IF(AN352&lt;=Hypothèses!$V$8,Hypothèses!$X$8,IF(AN352&lt;=Hypothèses!$V$9,Hypothèses!$X$9,IF(AN352&lt;=Hypothèses!$V$10,Hypothèses!$X$10,IF(AN352&lt;=Hypothèses!$V$11,Hypothèses!$X$11,IF(AN352&lt;=Hypothèses!$V$12,Hypothèses!$X$12,IF(AN352&lt;=Hypothèses!$V$13,Hypothèses!$X$13,IF(AN352&lt;=Hypothèses!$V$14,Hypothèses!$X$14,IF(AN352&lt;=Hypothèses!$V$15,Hypothèses!$X$15,IF(AN352&lt;=Hypothèses!$V$16,Hypothèses!$X$16,IF(AN352&lt;=Hypothèses!$U$17,Hypothèses!$W$17,IF(AN352&lt;=Hypothèses!$U$18,Hypothèses!$W$18,""))))))))))))</f>
        <v>#DIV/0!</v>
      </c>
      <c r="BK352" s="95" t="e">
        <f t="shared" ca="1" si="577"/>
        <v>#DIV/0!</v>
      </c>
      <c r="BL352" s="101">
        <f t="shared" si="625"/>
        <v>0</v>
      </c>
      <c r="BM352" s="91">
        <f t="shared" si="544"/>
        <v>0</v>
      </c>
      <c r="BN352" s="30" t="e">
        <f t="shared" si="604"/>
        <v>#N/A</v>
      </c>
      <c r="BO352" s="30" t="e">
        <f t="shared" si="605"/>
        <v>#N/A</v>
      </c>
      <c r="BP352" s="31" t="e">
        <f>IF(OR(Hypothèses!$B$4=17,Hypothèses!$B$4=18,Hypothèses!$B$4=19,Hypothèses!$B$4=20),
IF($D352="Pressio.",
IF(OR($E352=3,$E352=1,$E352=4),BO352,BN352),
IF($D352="Pénétro.",
IF(OR($E352=3,$E352=1,$E352=4),BO352,BN352))),IF($D352="Pressio.",
IF($E352=3,BO352,BN352),
IF($D352="Pénétro.",
IF($E352=4,BO352,BN352))))</f>
        <v>#N/A</v>
      </c>
      <c r="BQ352" s="31">
        <v>0</v>
      </c>
      <c r="BR352" s="102" t="e">
        <f>IF(NDC!$H$10="Oui",(VLOOKUP($B$3,'Coeff EC7'!$T$39:$X$59,2,0)*BP352+VLOOKUP($B$3,'Coeff EC7'!$T$65:$X$85,2,0)*Model0.1T!BQ352)/1.5,PI()*BN$12*$Q352*($B352-$B351)*0.15/10+BR351)</f>
        <v>#N/A</v>
      </c>
      <c r="BS352" s="102" t="e">
        <f>(VLOOKUP($B$3,'Coeff EC7'!$T$39:$X$59,3,0)*BP352+VLOOKUP($B$3,'Coeff EC7'!$T$65:$X$85,3,0)*Model0.1T!BQ352)/1.1</f>
        <v>#N/A</v>
      </c>
      <c r="BT352" s="102" t="e">
        <f t="shared" si="578"/>
        <v>#N/A</v>
      </c>
      <c r="BU352" s="102" t="e">
        <f t="shared" si="579"/>
        <v>#N/A</v>
      </c>
      <c r="BV352" s="414" t="e">
        <f>IF(AND(BR352&gt;NDC!$C$63,BS352&gt;NDC!$C$65,BT352&gt;NDC!$D$73,BU352&gt;NDC!$D$74,$B352&gt;NDC!$H$22-0.1+MIN(3*BV$12,1.5)),0,1)</f>
        <v>#N/A</v>
      </c>
      <c r="BW352" s="86" t="b">
        <f t="shared" si="545"/>
        <v>0</v>
      </c>
      <c r="BX352" s="86">
        <f t="shared" si="546"/>
        <v>0.5</v>
      </c>
      <c r="BY352" s="86">
        <f t="shared" si="547"/>
        <v>0.5</v>
      </c>
      <c r="BZ352" s="30" t="e">
        <f t="shared" ca="1" si="580"/>
        <v>#DIV/0!</v>
      </c>
      <c r="CA352" s="85" t="e">
        <f ca="1">IF(BG352&lt;=Hypothèses!$V$7,Hypothèses!$W$7,IF(BG352&lt;=Hypothèses!$V$8,Hypothèses!$W$8,IF(BG352&lt;=Hypothèses!$V$9,Hypothèses!$W$9,IF(BG352&lt;=Hypothèses!$V$10,Hypothèses!$W$10,IF(BG352&lt;=Hypothèses!$V$11,Hypothèses!$W$11,IF(BG352&lt;=Hypothèses!$V$12,Hypothèses!$W$12,IF(BG352&lt;=Hypothèses!$V$13,Hypothèses!$W$13,IF(BG352&lt;=Hypothèses!$V$14,Hypothèses!$W$14,IF(BG352&lt;=Hypothèses!$V$15,Hypothèses!$W$15,IF(BG352&lt;=Hypothèses!$V$16,Hypothèses!$W$16,IF(BG352&lt;=Hypothèses!$V$17,Hypothèses!$W$17,IF(BG352&lt;=Hypothèses!$V$18,Hypothèses!$W$18,""))))))))))))</f>
        <v>#DIV/0!</v>
      </c>
      <c r="CB352" s="87" t="e">
        <f t="shared" ca="1" si="619"/>
        <v>#DIV/0!</v>
      </c>
      <c r="CC352" s="88" t="e">
        <f ca="1">IF(BG352&lt;=Hypothèses!$V$7,Hypothèses!$X$7,IF(BG352&lt;=Hypothèses!$V$8,Hypothèses!$X$8,IF(BG352&lt;=Hypothèses!$V$9,Hypothèses!$X$9,IF(BG352&lt;=Hypothèses!$V$10,Hypothèses!$X$10,IF(BG352&lt;=Hypothèses!$V$11,Hypothèses!$X$11,IF(BG352&lt;=Hypothèses!$V$12,Hypothèses!$X$12,IF(BG352&lt;=Hypothèses!$V$13,Hypothèses!$X$13,IF(BG352&lt;=Hypothèses!$V$14,Hypothèses!$X$14,IF(BG352&lt;=Hypothèses!$V$15,Hypothèses!$X$15,IF(BG352&lt;=Hypothèses!$V$16,Hypothèses!$X$16,IF(BG352&lt;=Hypothèses!$U$17,Hypothèses!$W$17,IF(BG352&lt;=Hypothèses!$U$18,Hypothèses!$W$18,""))))))))))))</f>
        <v>#DIV/0!</v>
      </c>
      <c r="CD352" s="95" t="e">
        <f t="shared" ca="1" si="581"/>
        <v>#DIV/0!</v>
      </c>
      <c r="CE352" s="101">
        <f t="shared" si="626"/>
        <v>0</v>
      </c>
      <c r="CF352" s="91">
        <f t="shared" si="548"/>
        <v>0</v>
      </c>
      <c r="CG352" s="30" t="e">
        <f t="shared" si="606"/>
        <v>#N/A</v>
      </c>
      <c r="CH352" s="30" t="e">
        <f t="shared" si="607"/>
        <v>#N/A</v>
      </c>
      <c r="CI352" s="31" t="e">
        <f>IF(OR(Hypothèses!$B$4=17,Hypothèses!$B$4=18,Hypothèses!$B$4=19,Hypothèses!$B$4=20),
IF($D352="Pressio.",
IF(OR($E352=3,$E352=1,$E352=4),CH352,CG352),
IF($D352="Pénétro.",
IF(OR($E352=3,$E352=1,$E352=4),CH352,CG352))),IF($D352="Pressio.",
IF($E352=3,CH352,CG352),
IF($D352="Pénétro.",
IF($E352=4,CH352,CG352))))</f>
        <v>#N/A</v>
      </c>
      <c r="CJ352" s="31">
        <v>0</v>
      </c>
      <c r="CK352" s="102" t="e">
        <f>IF(NDC!$H$10="Oui",(VLOOKUP($B$3,'Coeff EC7'!$T$39:$X$59,2,0)*CI352+VLOOKUP($B$3,'Coeff EC7'!$T$65:$X$85,2,0)*Model0.1T!CJ352)/1.5,PI()*CG$12*$Q352*($B352-$B351)*0.15/10+CK351)</f>
        <v>#N/A</v>
      </c>
      <c r="CL352" s="102" t="e">
        <f>(VLOOKUP($B$3,'Coeff EC7'!$T$39:$X$59,3,0)*CI352+VLOOKUP($B$3,'Coeff EC7'!$T$65:$X$85,3,0)*Model0.1T!CJ352)/1.1</f>
        <v>#N/A</v>
      </c>
      <c r="CM352" s="102" t="e">
        <f t="shared" si="582"/>
        <v>#N/A</v>
      </c>
      <c r="CN352" s="102" t="e">
        <f t="shared" si="583"/>
        <v>#N/A</v>
      </c>
      <c r="CO352" s="414" t="e">
        <f>IF(AND(CK352&gt;NDC!$C$63,CL352&gt;NDC!$C$65,CM352&gt;NDC!$D$73,CN352&gt;NDC!$D$74,$B352&gt;NDC!$H$22-0.1+MIN(3*CO$12,1.5)),0,1)</f>
        <v>#N/A</v>
      </c>
      <c r="CP352" s="86" t="b">
        <f t="shared" si="549"/>
        <v>0</v>
      </c>
      <c r="CQ352" s="86">
        <f t="shared" si="550"/>
        <v>0.5</v>
      </c>
      <c r="CR352" s="86">
        <f t="shared" si="551"/>
        <v>0.5</v>
      </c>
      <c r="CS352" s="30" t="e">
        <f t="shared" ca="1" si="584"/>
        <v>#DIV/0!</v>
      </c>
      <c r="CT352" s="85" t="e">
        <f ca="1">IF(BZ352&lt;=Hypothèses!$V$7,Hypothèses!$W$7,IF(BZ352&lt;=Hypothèses!$V$8,Hypothèses!$W$8,IF(BZ352&lt;=Hypothèses!$V$9,Hypothèses!$W$9,IF(BZ352&lt;=Hypothèses!$V$10,Hypothèses!$W$10,IF(BZ352&lt;=Hypothèses!$V$11,Hypothèses!$W$11,IF(BZ352&lt;=Hypothèses!$V$12,Hypothèses!$W$12,IF(BZ352&lt;=Hypothèses!$V$13,Hypothèses!$W$13,IF(BZ352&lt;=Hypothèses!$V$14,Hypothèses!$W$14,IF(BZ352&lt;=Hypothèses!$V$15,Hypothèses!$W$15,IF(BZ352&lt;=Hypothèses!$V$16,Hypothèses!$W$16,IF(BZ352&lt;=Hypothèses!$V$17,Hypothèses!$W$17,IF(BZ352&lt;=Hypothèses!$V$18,Hypothèses!$W$18,""))))))))))))</f>
        <v>#DIV/0!</v>
      </c>
      <c r="CU352" s="87" t="e">
        <f t="shared" ca="1" si="620"/>
        <v>#DIV/0!</v>
      </c>
      <c r="CV352" s="88" t="e">
        <f ca="1">IF(BZ352&lt;=Hypothèses!$V$7,Hypothèses!$X$7,IF(BZ352&lt;=Hypothèses!$V$8,Hypothèses!$X$8,IF(BZ352&lt;=Hypothèses!$V$9,Hypothèses!$X$9,IF(BZ352&lt;=Hypothèses!$V$10,Hypothèses!$X$10,IF(BZ352&lt;=Hypothèses!$V$11,Hypothèses!$X$11,IF(BZ352&lt;=Hypothèses!$V$12,Hypothèses!$X$12,IF(BZ352&lt;=Hypothèses!$V$13,Hypothèses!$X$13,IF(BZ352&lt;=Hypothèses!$V$14,Hypothèses!$X$14,IF(BZ352&lt;=Hypothèses!$V$15,Hypothèses!$X$15,IF(BZ352&lt;=Hypothèses!$V$16,Hypothèses!$X$16,IF(BZ352&lt;=Hypothèses!$U$17,Hypothèses!$W$17,IF(BZ352&lt;=Hypothèses!$U$18,Hypothèses!$W$18,""))))))))))))</f>
        <v>#DIV/0!</v>
      </c>
      <c r="CW352" s="95" t="e">
        <f t="shared" ca="1" si="585"/>
        <v>#DIV/0!</v>
      </c>
      <c r="CX352" s="101">
        <f t="shared" si="627"/>
        <v>0</v>
      </c>
      <c r="CY352" s="91">
        <f t="shared" si="552"/>
        <v>0</v>
      </c>
      <c r="CZ352" s="30" t="e">
        <f t="shared" si="608"/>
        <v>#N/A</v>
      </c>
      <c r="DA352" s="30" t="e">
        <f t="shared" si="609"/>
        <v>#N/A</v>
      </c>
      <c r="DB352" s="31" t="e">
        <f>IF(OR(Hypothèses!$B$4=17,Hypothèses!$B$4=18,Hypothèses!$B$4=19,Hypothèses!$B$4=20),
IF($D352="Pressio.",
IF(OR($E352=3,$E352=1,$E352=4),DA352,CZ352),
IF($D352="Pénétro.",
IF(OR($E352=3,$E352=1,$E352=4),DA352,CZ352))),IF($D352="Pressio.",
IF($E352=3,DA352,CZ352),
IF($D352="Pénétro.",
IF($E352=4,DA352,CZ352))))</f>
        <v>#N/A</v>
      </c>
      <c r="DC352" s="31">
        <v>0</v>
      </c>
      <c r="DD352" s="102" t="e">
        <f>IF(NDC!$H$10="Oui",(VLOOKUP($B$3,'Coeff EC7'!$T$39:$X$59,2,0)*DB352+VLOOKUP($B$3,'Coeff EC7'!$T$65:$X$85,2,0)*Model0.1T!DC352)/1.5,PI()*CZ$12*$Q352*($B352-$B351)*0.15/10+DD351)</f>
        <v>#N/A</v>
      </c>
      <c r="DE352" s="102" t="e">
        <f>(VLOOKUP($B$3,'Coeff EC7'!$T$39:$X$59,3,0)*DB352+VLOOKUP($B$3,'Coeff EC7'!$T$65:$X$85,3,0)*Model0.1T!DC352)/1.1</f>
        <v>#N/A</v>
      </c>
      <c r="DF352" s="102" t="e">
        <f t="shared" si="586"/>
        <v>#N/A</v>
      </c>
      <c r="DG352" s="102" t="e">
        <f t="shared" si="587"/>
        <v>#N/A</v>
      </c>
      <c r="DH352" s="414" t="e">
        <f>IF(AND(DD352&gt;NDC!$C$63,DE352&gt;NDC!$C$65,DF352&gt;NDC!$D$73,DG352&gt;NDC!$D$74,$B352&gt;NDC!$H$22-0.1+MIN(3*DH$12,1.5)),0,1)</f>
        <v>#N/A</v>
      </c>
      <c r="DI352" s="86" t="b">
        <f t="shared" si="553"/>
        <v>0</v>
      </c>
      <c r="DJ352" s="86">
        <f t="shared" si="554"/>
        <v>0.5</v>
      </c>
      <c r="DK352" s="86">
        <f t="shared" si="555"/>
        <v>0.5</v>
      </c>
      <c r="DL352" s="30" t="e">
        <f t="shared" ca="1" si="588"/>
        <v>#DIV/0!</v>
      </c>
      <c r="DM352" s="85" t="e">
        <f ca="1">IF(CS352&lt;=Hypothèses!$V$7,Hypothèses!$W$7,IF(CS352&lt;=Hypothèses!$V$8,Hypothèses!$W$8,IF(CS352&lt;=Hypothèses!$V$9,Hypothèses!$W$9,IF(CS352&lt;=Hypothèses!$V$10,Hypothèses!$W$10,IF(CS352&lt;=Hypothèses!$V$11,Hypothèses!$W$11,IF(CS352&lt;=Hypothèses!$V$12,Hypothèses!$W$12,IF(CS352&lt;=Hypothèses!$V$13,Hypothèses!$W$13,IF(CS352&lt;=Hypothèses!$V$14,Hypothèses!$W$14,IF(CS352&lt;=Hypothèses!$V$15,Hypothèses!$W$15,IF(CS352&lt;=Hypothèses!$V$16,Hypothèses!$W$16,IF(CS352&lt;=Hypothèses!$V$17,Hypothèses!$W$17,IF(CS352&lt;=Hypothèses!$V$18,Hypothèses!$W$18,""))))))))))))</f>
        <v>#DIV/0!</v>
      </c>
      <c r="DN352" s="87" t="e">
        <f t="shared" ca="1" si="621"/>
        <v>#DIV/0!</v>
      </c>
      <c r="DO352" s="88" t="e">
        <f ca="1">IF(CS352&lt;=Hypothèses!$V$7,Hypothèses!$X$7,IF(CS352&lt;=Hypothèses!$V$8,Hypothèses!$X$8,IF(CS352&lt;=Hypothèses!$V$9,Hypothèses!$X$9,IF(CS352&lt;=Hypothèses!$V$10,Hypothèses!$X$10,IF(CS352&lt;=Hypothèses!$V$11,Hypothèses!$X$11,IF(CS352&lt;=Hypothèses!$V$12,Hypothèses!$X$12,IF(CS352&lt;=Hypothèses!$V$13,Hypothèses!$X$13,IF(CS352&lt;=Hypothèses!$V$14,Hypothèses!$X$14,IF(CS352&lt;=Hypothèses!$V$15,Hypothèses!$X$15,IF(CS352&lt;=Hypothèses!$V$16,Hypothèses!$X$16,IF(CS352&lt;=Hypothèses!$U$17,Hypothèses!$W$17,IF(CS352&lt;=Hypothèses!$U$18,Hypothèses!$W$18,""))))))))))))</f>
        <v>#DIV/0!</v>
      </c>
      <c r="DP352" s="95" t="e">
        <f t="shared" ca="1" si="589"/>
        <v>#DIV/0!</v>
      </c>
      <c r="DQ352" s="101">
        <f t="shared" si="628"/>
        <v>0</v>
      </c>
      <c r="DR352" s="91">
        <f t="shared" si="556"/>
        <v>0</v>
      </c>
      <c r="DS352" s="30" t="e">
        <f t="shared" si="610"/>
        <v>#N/A</v>
      </c>
      <c r="DT352" s="30" t="e">
        <f t="shared" si="611"/>
        <v>#N/A</v>
      </c>
      <c r="DU352" s="31" t="e">
        <f>IF(OR(Hypothèses!$B$4=17,Hypothèses!$B$4=18,Hypothèses!$B$4=19,Hypothèses!$B$4=20),
IF($D352="Pressio.",
IF(OR($E352=3,$E352=1,$E352=4),DT352,DS352),
IF($D352="Pénétro.",
IF(OR($E352=3,$E352=1,$E352=4),DT352,DS352))),IF($D352="Pressio.",
IF($E352=3,DT352,DS352),
IF($D352="Pénétro.",
IF($E352=4,DT352,DS352))))</f>
        <v>#N/A</v>
      </c>
      <c r="DV352" s="31">
        <v>0</v>
      </c>
      <c r="DW352" s="102" t="e">
        <f>IF(NDC!$H$10="Oui",(VLOOKUP($B$3,'Coeff EC7'!$T$39:$X$59,2,0)*DU352+VLOOKUP($B$3,'Coeff EC7'!$T$65:$X$85,2,0)*Model0.1T!DV352)/1.5,PI()*DS$12*$Q352*($B352-$B351)*0.15/10+DW351)</f>
        <v>#N/A</v>
      </c>
      <c r="DX352" s="102" t="e">
        <f>(VLOOKUP($B$3,'Coeff EC7'!$T$39:$X$59,3,0)*DU352+VLOOKUP($B$3,'Coeff EC7'!$T$65:$X$85,3,0)*Model0.1T!DV352)/1.1</f>
        <v>#N/A</v>
      </c>
      <c r="DY352" s="102" t="e">
        <f t="shared" si="590"/>
        <v>#N/A</v>
      </c>
      <c r="DZ352" s="102" t="e">
        <f t="shared" si="591"/>
        <v>#N/A</v>
      </c>
      <c r="EA352" s="414" t="e">
        <f>IF(AND(DW352&gt;NDC!$C$63,DX352&gt;NDC!$C$65,DY352&gt;NDC!$D$73,DZ352&gt;NDC!$D$74,$B352&gt;NDC!$H$22-0.1+MIN(3*EA$12,1.5)),0,1)</f>
        <v>#N/A</v>
      </c>
      <c r="EB352" s="86" t="b">
        <f t="shared" si="557"/>
        <v>0</v>
      </c>
      <c r="EC352" s="418">
        <f t="shared" si="558"/>
        <v>0.51</v>
      </c>
      <c r="ED352" s="86">
        <f t="shared" si="559"/>
        <v>0.51</v>
      </c>
      <c r="EE352" s="30" t="e">
        <f t="shared" ca="1" si="592"/>
        <v>#DIV/0!</v>
      </c>
      <c r="EF352" s="85" t="e">
        <f ca="1">IF(DL352&lt;=Hypothèses!$V$7,Hypothèses!$W$7,IF(DL352&lt;=Hypothèses!$V$8,Hypothèses!$W$8,IF(DL352&lt;=Hypothèses!$V$9,Hypothèses!$W$9,IF(DL352&lt;=Hypothèses!$V$10,Hypothèses!$W$10,IF(DL352&lt;=Hypothèses!$V$11,Hypothèses!$W$11,IF(DL352&lt;=Hypothèses!$V$12,Hypothèses!$W$12,IF(DL352&lt;=Hypothèses!$V$13,Hypothèses!$W$13,IF(DL352&lt;=Hypothèses!$V$14,Hypothèses!$W$14,IF(DL352&lt;=Hypothèses!$V$15,Hypothèses!$W$15,IF(DL352&lt;=Hypothèses!$V$16,Hypothèses!$W$16,IF(DL352&lt;=Hypothèses!$V$17,Hypothèses!$W$17,IF(DL352&lt;=Hypothèses!$V$18,Hypothèses!$W$18,""))))))))))))</f>
        <v>#DIV/0!</v>
      </c>
      <c r="EG352" s="87" t="e">
        <f t="shared" ca="1" si="622"/>
        <v>#DIV/0!</v>
      </c>
      <c r="EH352" s="88" t="e">
        <f ca="1">IF(DL352&lt;=Hypothèses!$V$7,Hypothèses!$X$7,IF(DL352&lt;=Hypothèses!$V$8,Hypothèses!$X$8,IF(DL352&lt;=Hypothèses!$V$9,Hypothèses!$X$9,IF(DL352&lt;=Hypothèses!$V$10,Hypothèses!$X$10,IF(DL352&lt;=Hypothèses!$V$11,Hypothèses!$X$11,IF(DL352&lt;=Hypothèses!$V$12,Hypothèses!$X$12,IF(DL352&lt;=Hypothèses!$V$13,Hypothèses!$X$13,IF(DL352&lt;=Hypothèses!$V$14,Hypothèses!$X$14,IF(DL352&lt;=Hypothèses!$V$15,Hypothèses!$X$15,IF(DL352&lt;=Hypothèses!$V$16,Hypothèses!$X$16,IF(DL352&lt;=Hypothèses!$U$17,Hypothèses!$W$17,IF(DL352&lt;=Hypothèses!$U$18,Hypothèses!$W$18,""))))))))))))</f>
        <v>#DIV/0!</v>
      </c>
      <c r="EI352" s="95" t="e">
        <f t="shared" ca="1" si="593"/>
        <v>#DIV/0!</v>
      </c>
      <c r="EJ352" s="101">
        <f t="shared" si="629"/>
        <v>0</v>
      </c>
      <c r="EK352" s="91">
        <f t="shared" si="560"/>
        <v>0</v>
      </c>
      <c r="EL352" s="30" t="e">
        <f t="shared" si="612"/>
        <v>#N/A</v>
      </c>
      <c r="EM352" s="30" t="e">
        <f t="shared" si="613"/>
        <v>#N/A</v>
      </c>
      <c r="EN352" s="31" t="e">
        <f>IF(OR(Hypothèses!$B$4=17,Hypothèses!$B$4=18,Hypothèses!$B$4=19,Hypothèses!$B$4=20),
IF($D352="Pressio.",
IF(OR($E352=3,$E352=1,$E352=4),EM352,EL352),
IF($D352="Pénétro.",
IF(OR($E352=3,$E352=1,$E352=4),EM352,EL352))),IF($D352="Pressio.",
IF($E352=3,EM352,EL352),
IF($D352="Pénétro.",
IF($E352=4,EM352,EL352))))</f>
        <v>#N/A</v>
      </c>
      <c r="EO352" s="31">
        <v>0</v>
      </c>
      <c r="EP352" s="102" t="e">
        <f>IF(NDC!$H$10="Oui",(VLOOKUP($B$3,'Coeff EC7'!$T$39:$X$59,2,0)*EN352+VLOOKUP($B$3,'Coeff EC7'!$T$65:$X$85,2,0)*Model0.1T!EO352)/1.5,PI()*EL$12*$Q352*($B352-$B351)*0.15/10+EP351)</f>
        <v>#N/A</v>
      </c>
      <c r="EQ352" s="102" t="e">
        <f>(VLOOKUP($B$3,'Coeff EC7'!$T$39:$X$59,3,0)*EN352+VLOOKUP($B$3,'Coeff EC7'!$T$65:$X$85,3,0)*Model0.1T!EO352)/1.1</f>
        <v>#N/A</v>
      </c>
      <c r="ER352" s="102" t="e">
        <f t="shared" si="594"/>
        <v>#N/A</v>
      </c>
      <c r="ES352" s="102" t="e">
        <f t="shared" si="595"/>
        <v>#N/A</v>
      </c>
      <c r="ET352" s="414" t="e">
        <f>IF(AND(EP352&gt;NDC!$C$63,EQ352&gt;NDC!$C$65,ER352&gt;NDC!$D$73,ES352&gt;NDC!$D$74,$B352&gt;NDC!$H$22-0.1+MIN(3*ET$12,1.5)),0,1)</f>
        <v>#N/A</v>
      </c>
      <c r="EU352" s="86" t="b">
        <f t="shared" si="561"/>
        <v>0</v>
      </c>
      <c r="EV352" s="86">
        <f t="shared" si="562"/>
        <v>0.61</v>
      </c>
      <c r="EW352" s="86">
        <f t="shared" si="563"/>
        <v>0.61</v>
      </c>
      <c r="EX352" s="30" t="e">
        <f t="shared" ca="1" si="596"/>
        <v>#DIV/0!</v>
      </c>
      <c r="EY352" s="85" t="e">
        <f ca="1">IF(EE352&lt;=Hypothèses!$V$7,Hypothèses!$W$7,IF(EE352&lt;=Hypothèses!$V$8,Hypothèses!$W$8,IF(EE352&lt;=Hypothèses!$V$9,Hypothèses!$W$9,IF(EE352&lt;=Hypothèses!$V$10,Hypothèses!$W$10,IF(EE352&lt;=Hypothèses!$V$11,Hypothèses!$W$11,IF(EE352&lt;=Hypothèses!$V$12,Hypothèses!$W$12,IF(EE352&lt;=Hypothèses!$V$13,Hypothèses!$W$13,IF(EE352&lt;=Hypothèses!$V$14,Hypothèses!$W$14,IF(EE352&lt;=Hypothèses!$V$15,Hypothèses!$W$15,IF(EE352&lt;=Hypothèses!$V$16,Hypothèses!$W$16,IF(EE352&lt;=Hypothèses!$V$17,Hypothèses!$W$17,IF(EE352&lt;=Hypothèses!$V$18,Hypothèses!$W$18,""))))))))))))</f>
        <v>#DIV/0!</v>
      </c>
      <c r="EZ352" s="87" t="e">
        <f t="shared" ca="1" si="623"/>
        <v>#DIV/0!</v>
      </c>
      <c r="FA352" s="88" t="e">
        <f ca="1">IF(EE352&lt;=Hypothèses!$V$7,Hypothèses!$X$7,IF(EE352&lt;=Hypothèses!$V$8,Hypothèses!$X$8,IF(EE352&lt;=Hypothèses!$V$9,Hypothèses!$X$9,IF(EE352&lt;=Hypothèses!$V$10,Hypothèses!$X$10,IF(EE352&lt;=Hypothèses!$V$11,Hypothèses!$X$11,IF(EE352&lt;=Hypothèses!$V$12,Hypothèses!$X$12,IF(EE352&lt;=Hypothèses!$V$13,Hypothèses!$X$13,IF(EE352&lt;=Hypothèses!$V$14,Hypothèses!$X$14,IF(EE352&lt;=Hypothèses!$V$15,Hypothèses!$X$15,IF(EE352&lt;=Hypothèses!$V$16,Hypothèses!$X$16,IF(EE352&lt;=Hypothèses!$U$17,Hypothèses!$W$17,IF(EE352&lt;=Hypothèses!$U$18,Hypothèses!$W$18,""))))))))))))</f>
        <v>#DIV/0!</v>
      </c>
      <c r="FB352" s="95" t="e">
        <f t="shared" ca="1" si="597"/>
        <v>#DIV/0!</v>
      </c>
      <c r="FC352" s="101">
        <f t="shared" si="630"/>
        <v>0</v>
      </c>
      <c r="FD352" s="91">
        <f t="shared" si="564"/>
        <v>0</v>
      </c>
      <c r="FE352" s="30" t="e">
        <f t="shared" si="614"/>
        <v>#N/A</v>
      </c>
      <c r="FF352" s="30" t="e">
        <f t="shared" si="615"/>
        <v>#N/A</v>
      </c>
      <c r="FG352" s="31" t="e">
        <f>IF(OR(Hypothèses!$B$4=17,Hypothèses!$B$4=18,Hypothèses!$B$4=19,Hypothèses!$B$4=20),
IF($D352="Pressio.",
IF(OR($E352=3,$E352=1,$E352=4),FF352,FE352),
IF($D352="Pénétro.",
IF(OR($E352=3,$E352=1,$E352=4),FF352,FE352))),IF($D352="Pressio.",
IF($E352=3,FF352,FE352),
IF($D352="Pénétro.",
IF($E352=4,FF352,FE352))))</f>
        <v>#N/A</v>
      </c>
      <c r="FH352" s="31">
        <v>0</v>
      </c>
      <c r="FI352" s="102" t="e">
        <f>IF(NDC!$H$10="Oui",(VLOOKUP($B$3,'Coeff EC7'!$T$39:$X$59,2,0)*FG352+VLOOKUP($B$3,'Coeff EC7'!$T$65:$X$85,2,0)*Model0.1T!FH352)/1.5,PI()*FE$12*$Q352*($B352-$B351)*0.15/10+FI351)</f>
        <v>#N/A</v>
      </c>
      <c r="FJ352" s="102" t="e">
        <f>(VLOOKUP($B$3,'Coeff EC7'!$T$39:$X$59,3,0)*FG352+VLOOKUP($B$3,'Coeff EC7'!$T$65:$X$85,3,0)*Model0.1T!FH352)/1.1</f>
        <v>#N/A</v>
      </c>
      <c r="FK352" s="102" t="e">
        <f t="shared" si="598"/>
        <v>#N/A</v>
      </c>
      <c r="FL352" s="102" t="e">
        <f t="shared" si="599"/>
        <v>#N/A</v>
      </c>
      <c r="FM352" s="414" t="e">
        <f>IF(AND(FI352&gt;NDC!$C$63,FJ352&gt;NDC!$C$65,FK352&gt;NDC!$D$73,FL352&gt;NDC!$D$74,$B352&gt;NDC!$H$22-0.1+MIN(3*FM$12,1.5)),0,1)</f>
        <v>#N/A</v>
      </c>
    </row>
    <row r="353" spans="1:169">
      <c r="A353" s="96">
        <f t="shared" si="565"/>
        <v>66.000000000001933</v>
      </c>
      <c r="B353" s="97">
        <v>34</v>
      </c>
      <c r="C353" s="81">
        <f>IF(B353&lt;=Hypothèses!$C$7,Hypothèses!$A$7,IF(B353&lt;=Hypothèses!$C$8,Hypothèses!$A$8,IF(B353&lt;=Hypothèses!$C$9,Hypothèses!$A$9,IF(B353&lt;=Hypothèses!$C$10,Hypothèses!$A$10,IF(B353&lt;=Hypothèses!$C$11,Hypothèses!$A$11,IF(B353&lt;=Hypothèses!$C$12,Hypothèses!$A$12,IF(B353&lt;=Hypothèses!$C$13,Hypothèses!$A$13,IF(B353&lt;=Hypothèses!$C$14,Hypothèses!$A$14,IF(B353&lt;=Hypothèses!$C$15,Hypothèses!$A$15,IF(B353&lt;=Hypothèses!$C$16,Hypothèses!$A$16,IF(B353&lt;=Hypothèses!$C$17,Hypothèses!$A$17,IF(B353&lt;=Hypothèses!$C$18,Hypothèses!$A$18,C352))))))))))))</f>
        <v>11</v>
      </c>
      <c r="D353" s="82" t="str">
        <f>IF(B353&lt;=Hypothèses!$C$7,Hypothèses!$R$7,IF(B353&lt;=Hypothèses!$C$8,Hypothèses!$R$8,IF(B353&lt;=Hypothèses!$C$9,Hypothèses!$R$9,IF(B353&lt;=Hypothèses!$C$10,Hypothèses!$R$10,IF(B353&lt;=Hypothèses!$C$11,Hypothèses!$R$11,IF(B353&lt;=Hypothèses!$C$12,Hypothèses!$R$12,IF(B353&lt;=Hypothèses!$C$13,Hypothèses!$R$13,IF(B353&lt;=Hypothèses!$C$14,Hypothèses!$R$14,IF(B353&lt;=Hypothèses!$C$15,Hypothèses!$R$15,IF(B353&lt;=Hypothèses!$C$16,Hypothèses!$R$16,IF(B353&lt;=Hypothèses!$C$17,Hypothèses!$R$17,IF(B353&lt;=Hypothèses!$C$18,Hypothèses!$R$18,D352))))))))))))</f>
        <v>Pressio.</v>
      </c>
      <c r="E353" s="82" t="e">
        <f>IF(B353&lt;=Hypothèses!$C$7,Hypothèses!$G$7,IF(B353&lt;=Hypothèses!$C$8,Hypothèses!$G$8,IF(B353&lt;=Hypothèses!$C$9,Hypothèses!$G$9,IF(B353&lt;=Hypothèses!$C$10,Hypothèses!$G$10,IF(B353&lt;=Hypothèses!$C$11,Hypothèses!$G$11,IF(B353&lt;=Hypothèses!$C$12,Hypothèses!$G$12,IF(B353&lt;=Hypothèses!$C$13,Hypothèses!$G$13,IF(B353&lt;=Hypothèses!$C$14,Hypothèses!$G$14,IF(B353&lt;=Hypothèses!$C$15,Hypothèses!$G$15,IF(B353&lt;=Hypothèses!$C$16,Hypothèses!$G$16,IF(B353&lt;=Hypothèses!$C$17,Hypothèses!$G$17,IF(B353&lt;=Hypothèses!$C$18,Hypothèses!$G$18,E352))))))))))))</f>
        <v>#N/A</v>
      </c>
      <c r="F353" s="82" t="str">
        <f>IF(B353&lt;=Hypothèses!$C$7,Hypothèses!$F$7,IF(B353&lt;=Hypothèses!$C$8,Hypothèses!$F$8,IF(B353&lt;=Hypothèses!$C$9,Hypothèses!$F$9,IF(B353&lt;=Hypothèses!$C$10,Hypothèses!$F$10,IF(B353&lt;=Hypothèses!$C$11,Hypothèses!$F$11,IF(B353&lt;=Hypothèses!$C$12,Hypothèses!$F$12,IF(B353&lt;=Hypothèses!$C$13,Hypothèses!$F$13,IF(B353&lt;=Hypothèses!$C$14,Hypothèses!$F$14,IF(B353&lt;=Hypothèses!$C$15,Hypothèses!$F$15,IF(B353&lt;=Hypothèses!$C$16,Hypothèses!$F$16,IF(B353&lt;=Hypothèses!$C$17,Hypothèses!$F$17,IF(B353&lt;=Hypothèses!$C$18,Hypothèses!$F$18,F352))))))))))))</f>
        <v/>
      </c>
      <c r="G353" s="91">
        <f t="array" ref="G353">INDEX('Coeff EC7'!$U$7:$X$27,
MATCH(Model0.1T!$B$3,'Coeff EC7'!$T$7:$T$27,0),
MATCH(Model0.1T!$D353&amp;Model0.1T!$B$4,
'Coeff EC7'!$U$6:$X$6&amp;
'Coeff EC7'!$U$5:$X$5,0))</f>
        <v>1.4</v>
      </c>
      <c r="H353" s="91">
        <f t="array" ref="H353">INDEX('Coeff EC7'!$Y$7:$AB$27,
MATCH(Model0.1T!$B$3,'Coeff EC7'!$T$7:$T$27,0),
MATCH(Model0.1T!$D353&amp;Model0.1T!$B$4,
'Coeff EC7'!$Y$6:$AB$6&amp;
'Coeff EC7'!$Y$5:$AB$5,0))</f>
        <v>1.7</v>
      </c>
      <c r="I353" s="83">
        <v>0</v>
      </c>
      <c r="J353" s="91" t="e">
        <f t="array" ref="J353">INDEX('Coeff EC7'!$D$33:$Q$33,1,MATCH(D353&amp;E353,'Coeff EC7'!$D$31:$Q$31&amp;'Coeff EC7'!$D$32:$Q$32,0))</f>
        <v>#N/A</v>
      </c>
      <c r="K353" s="91" t="e">
        <f t="array" ref="K353">INDEX('Coeff EC7'!$D$34:$Q$34,1,MATCH(D353&amp;E353,'Coeff EC7'!$D$31:$Q$31&amp;'Coeff EC7'!$D$32:$Q$32,0))</f>
        <v>#N/A</v>
      </c>
      <c r="L353" s="91" t="e">
        <f t="array" ref="L353">INDEX('Coeff EC7'!$D$35:$Q$35,1,MATCH(D353&amp;E353,'Coeff EC7'!$D$31:$Q$31&amp;'Coeff EC7'!$D$32:$Q$32,0))</f>
        <v>#N/A</v>
      </c>
      <c r="M353" s="98" t="e">
        <f t="shared" si="531"/>
        <v>#N/A</v>
      </c>
      <c r="N353" s="99" t="e">
        <f t="array" ref="N353">INDEX('Coeff EC7'!$D$7:$Q$27,MATCH($B$3,'Coeff EC7'!$C$7:$C$27,0),MATCH(D353&amp;E353,'Coeff EC7'!$D$5:$Q$5&amp;'Coeff EC7'!$D$6:$Q$6,0))</f>
        <v>#N/A</v>
      </c>
      <c r="O353" s="99" t="e">
        <f t="array" ref="O353">INDEX('Coeff EC7'!$D$41:$Q$61,MATCH($B$3,'Coeff EC7'!$C$41:$C$61,0),MATCH(D353&amp;E353,'Coeff EC7'!$D$39:$Q$39&amp;'Coeff EC7'!$D$40:$Q$40,0))</f>
        <v>#N/A</v>
      </c>
      <c r="P353" s="30" t="e">
        <f t="shared" si="566"/>
        <v>#N/A</v>
      </c>
      <c r="Q353" s="100" t="e">
        <f t="shared" si="533"/>
        <v>#N/A</v>
      </c>
      <c r="R353" s="86" t="b">
        <f t="shared" si="534"/>
        <v>0</v>
      </c>
      <c r="S353" s="86">
        <f t="shared" si="532"/>
        <v>0.5</v>
      </c>
      <c r="T353" s="86">
        <f t="shared" si="535"/>
        <v>0.5</v>
      </c>
      <c r="U353" s="30" t="e">
        <f t="shared" ca="1" si="567"/>
        <v>#DIV/0!</v>
      </c>
      <c r="V353" s="85" t="str">
        <f>IF(B353&lt;=Hypothèses!$V$7,Hypothèses!$W$7,IF(B353&lt;=Hypothèses!$V$8,Hypothèses!$W$8,IF(B353&lt;=Hypothèses!$V$9,Hypothèses!$W$9,IF(B353&lt;=Hypothèses!$V$10,Hypothèses!$W$10,IF(B353&lt;=Hypothèses!$V$11,Hypothèses!$W$11,IF(B353&lt;=Hypothèses!$V$12,Hypothèses!$W$12,IF(B353&lt;=Hypothèses!$V$13,Hypothèses!$W$13,IF(B353&lt;=Hypothèses!$V$14,Hypothèses!$W$14,IF(B353&lt;=Hypothèses!$V$15,Hypothèses!$W$15,IF(B353&lt;=Hypothèses!$V$16,Hypothèses!$W$16,IF(B353&lt;=Hypothèses!$V$17,Hypothèses!$W$17,IF(B353&lt;=Hypothèses!$V$18,Hypothèses!$W$18,""))))))))))))</f>
        <v/>
      </c>
      <c r="W353" s="87" t="e">
        <f t="shared" ca="1" si="616"/>
        <v>#DIV/0!</v>
      </c>
      <c r="X353" s="88" t="str">
        <f>IF(B353&lt;=Hypothèses!$V$7,Hypothèses!$X$7,IF(B353&lt;=Hypothèses!$V$8,Hypothèses!$X$8,IF(B353&lt;=Hypothèses!$V$9,Hypothèses!$X$9,IF(B353&lt;=Hypothèses!$V$10,Hypothèses!$X$10,IF(B353&lt;=Hypothèses!$V$11,Hypothèses!$X$11,IF(B353&lt;=Hypothèses!$V$12,Hypothèses!$X$12,IF(B353&lt;=Hypothèses!$V$13,Hypothèses!$X$13,IF(B353&lt;=Hypothèses!$V$14,Hypothèses!$X$14,IF(B353&lt;=Hypothèses!$V$15,Hypothèses!$X$15,IF(B353&lt;=Hypothèses!$V$16,Hypothèses!$X$16,IF(B353&lt;=Hypothèses!$U$17,Hypothèses!$W$17,IF(B353&lt;=Hypothèses!$U$18,Hypothèses!$W$18,""))))))))))))</f>
        <v/>
      </c>
      <c r="Y353" s="95" t="e">
        <f t="shared" ca="1" si="536"/>
        <v>#DIV/0!</v>
      </c>
      <c r="Z353" s="101">
        <f t="shared" si="537"/>
        <v>0</v>
      </c>
      <c r="AA353" s="91">
        <f t="shared" si="538"/>
        <v>0</v>
      </c>
      <c r="AB353" s="30" t="e">
        <f t="shared" si="600"/>
        <v>#N/A</v>
      </c>
      <c r="AC353" s="30" t="e">
        <f t="shared" si="601"/>
        <v>#N/A</v>
      </c>
      <c r="AD353" s="31" t="e">
        <f>IF(OR(Hypothèses!$B$4=17,Hypothèses!$B$4=18,Hypothèses!$B$4=19,Hypothèses!$B$4=20),
IF($D353="Pressio.",
IF(OR($E353=3,$E353=1,$E353=4),AC353,AB353),
IF($D353="Pénétro.",
IF(OR($E353=3,$E353=1,$E353=4),AC353,AB353))),IF($D353="Pressio.",
IF($E353=3,AC353,AB353),
IF($D353="Pénétro.",
IF($E353=4,AC353,AB353))))</f>
        <v>#N/A</v>
      </c>
      <c r="AE353" s="31">
        <v>0</v>
      </c>
      <c r="AF353" s="102" t="e">
        <f>IF(NDC!$H$10="Oui",(VLOOKUP($B$3,'Coeff EC7'!$T$39:$X$59,2,0)*AD353+VLOOKUP($B$3,'Coeff EC7'!$T$65:$X$85,2,0)*Model0.1T!AE353)/1.5,PI()*AB$12*$Q353*($B353-$B352)*0.15/10+AF352)</f>
        <v>#N/A</v>
      </c>
      <c r="AG353" s="102" t="e">
        <f>(VLOOKUP($B$3,'Coeff EC7'!$T$39:$X$59,3,0)*AD353+VLOOKUP($B$3,'Coeff EC7'!$T$65:$X$85,3,0)*Model0.1T!AE353)/1.1</f>
        <v>#N/A</v>
      </c>
      <c r="AH353" s="102" t="e">
        <f t="shared" si="568"/>
        <v>#N/A</v>
      </c>
      <c r="AI353" s="102" t="e">
        <f t="shared" si="569"/>
        <v>#N/A</v>
      </c>
      <c r="AJ353" s="414" t="e">
        <f>IF(AND(AF353&gt;NDC!$C$63,AG353&gt;NDC!$C$65,AH353&gt;NDC!$D$73,AI353&gt;NDC!$D$74,$B353&gt;NDC!$H$22-0.1+MIN(3*$AJ$12,1.5)),0,1)</f>
        <v>#N/A</v>
      </c>
      <c r="AK353" s="86" t="b">
        <f t="shared" si="539"/>
        <v>0</v>
      </c>
      <c r="AL353" s="86">
        <f t="shared" si="570"/>
        <v>0.5</v>
      </c>
      <c r="AM353" s="86">
        <f t="shared" si="540"/>
        <v>0.5</v>
      </c>
      <c r="AN353" s="30" t="e">
        <f t="shared" ca="1" si="571"/>
        <v>#DIV/0!</v>
      </c>
      <c r="AO353" s="85" t="e">
        <f ca="1">IF(U353&lt;=Hypothèses!$V$7,Hypothèses!$W$7,IF(U353&lt;=Hypothèses!$V$8,Hypothèses!$W$8,IF(U353&lt;=Hypothèses!$V$9,Hypothèses!$W$9,IF(U353&lt;=Hypothèses!$V$10,Hypothèses!$W$10,IF(U353&lt;=Hypothèses!$V$11,Hypothèses!$W$11,IF(U353&lt;=Hypothèses!$V$12,Hypothèses!$W$12,IF(U353&lt;=Hypothèses!$V$13,Hypothèses!$W$13,IF(U353&lt;=Hypothèses!$V$14,Hypothèses!$W$14,IF(U353&lt;=Hypothèses!$V$15,Hypothèses!$W$15,IF(U353&lt;=Hypothèses!$V$16,Hypothèses!$W$16,IF(U353&lt;=Hypothèses!$V$17,Hypothèses!$W$17,IF(U353&lt;=Hypothèses!$V$18,Hypothèses!$W$18,""))))))))))))</f>
        <v>#DIV/0!</v>
      </c>
      <c r="AP353" s="87" t="e">
        <f t="shared" ca="1" si="617"/>
        <v>#DIV/0!</v>
      </c>
      <c r="AQ353" s="88" t="e">
        <f ca="1">IF(U353&lt;=Hypothèses!$V$7,Hypothèses!$X$7,IF(U353&lt;=Hypothèses!$V$8,Hypothèses!$X$8,IF(U353&lt;=Hypothèses!$V$9,Hypothèses!$X$9,IF(U353&lt;=Hypothèses!$V$10,Hypothèses!$X$10,IF(U353&lt;=Hypothèses!$V$11,Hypothèses!$X$11,IF(U353&lt;=Hypothèses!$V$12,Hypothèses!$X$12,IF(U353&lt;=Hypothèses!$V$13,Hypothèses!$X$13,IF(U353&lt;=Hypothèses!$V$14,Hypothèses!$X$14,IF(U353&lt;=Hypothèses!$V$15,Hypothèses!$X$15,IF(U353&lt;=Hypothèses!$V$16,Hypothèses!$X$16,IF(U353&lt;=Hypothèses!$U$17,Hypothèses!$W$17,IF(U353&lt;=Hypothèses!$U$18,Hypothèses!$W$18,""))))))))))))</f>
        <v>#DIV/0!</v>
      </c>
      <c r="AR353" s="95" t="e">
        <f t="shared" ca="1" si="572"/>
        <v>#DIV/0!</v>
      </c>
      <c r="AS353" s="101">
        <f t="shared" si="624"/>
        <v>0</v>
      </c>
      <c r="AT353" s="91">
        <f t="shared" si="541"/>
        <v>0</v>
      </c>
      <c r="AU353" s="30" t="e">
        <f t="shared" si="602"/>
        <v>#N/A</v>
      </c>
      <c r="AV353" s="30" t="e">
        <f t="shared" si="603"/>
        <v>#N/A</v>
      </c>
      <c r="AW353" s="31" t="e">
        <f>IF(OR(Hypothèses!$B$4=17,Hypothèses!$B$4=18,Hypothèses!$B$4=19,Hypothèses!$B$4=20),
IF($D353="Pressio.",
IF(OR($E353=3,$E353=1,$E353=4),AV353,AU353),
IF($D353="Pénétro.",
IF(OR($E353=3,$E353=1,$E353=4),AV353,AU353))),IF($D353="Pressio.",
IF($E353=3,AV353,AU353),
IF($D353="Pénétro.",
IF($E353=4,AV353,AU353))))</f>
        <v>#N/A</v>
      </c>
      <c r="AX353" s="31">
        <v>0</v>
      </c>
      <c r="AY353" s="102" t="e">
        <f>IF(NDC!$H$10="Oui",(VLOOKUP($B$3,'Coeff EC7'!$T$39:$X$59,2,0)*AW353+VLOOKUP($B$3,'Coeff EC7'!$T$65:$X$85,2,0)*Model0.1T!AX353)/1.5,PI()*AU$12*$Q353*($B353-$B352)*0.15/10+AY352)</f>
        <v>#N/A</v>
      </c>
      <c r="AZ353" s="102" t="e">
        <f>(VLOOKUP($B$3,'Coeff EC7'!$T$39:$X$59,3,0)*AW353+VLOOKUP($B$3,'Coeff EC7'!$T$65:$X$85,3,0)*Model0.1T!AX353)/1.1</f>
        <v>#N/A</v>
      </c>
      <c r="BA353" s="102" t="e">
        <f t="shared" si="573"/>
        <v>#N/A</v>
      </c>
      <c r="BB353" s="102" t="e">
        <f t="shared" si="574"/>
        <v>#N/A</v>
      </c>
      <c r="BC353" s="414" t="e">
        <f>IF(AND(AY353&gt;NDC!$C$63,AZ353&gt;NDC!$C$65,BA353&gt;NDC!$D$73,BB353&gt;NDC!$D$74,$B353&gt;NDC!$H$22-0.1+MIN(3*BC$12,1.5)),0,1)</f>
        <v>#N/A</v>
      </c>
      <c r="BD353" s="86" t="b">
        <f t="shared" si="542"/>
        <v>0</v>
      </c>
      <c r="BE353" s="86">
        <f t="shared" si="575"/>
        <v>0.5</v>
      </c>
      <c r="BF353" s="86">
        <f t="shared" si="543"/>
        <v>0.5</v>
      </c>
      <c r="BG353" s="30" t="e">
        <f t="shared" ca="1" si="576"/>
        <v>#DIV/0!</v>
      </c>
      <c r="BH353" s="85" t="e">
        <f ca="1">IF(AN353&lt;=Hypothèses!$V$7,Hypothèses!$W$7,IF(AN353&lt;=Hypothèses!$V$8,Hypothèses!$W$8,IF(AN353&lt;=Hypothèses!$V$9,Hypothèses!$W$9,IF(AN353&lt;=Hypothèses!$V$10,Hypothèses!$W$10,IF(AN353&lt;=Hypothèses!$V$11,Hypothèses!$W$11,IF(AN353&lt;=Hypothèses!$V$12,Hypothèses!$W$12,IF(AN353&lt;=Hypothèses!$V$13,Hypothèses!$W$13,IF(AN353&lt;=Hypothèses!$V$14,Hypothèses!$W$14,IF(AN353&lt;=Hypothèses!$V$15,Hypothèses!$W$15,IF(AN353&lt;=Hypothèses!$V$16,Hypothèses!$W$16,IF(AN353&lt;=Hypothèses!$V$17,Hypothèses!$W$17,IF(AN353&lt;=Hypothèses!$V$18,Hypothèses!$W$18,""))))))))))))</f>
        <v>#DIV/0!</v>
      </c>
      <c r="BI353" s="87" t="e">
        <f t="shared" ca="1" si="618"/>
        <v>#DIV/0!</v>
      </c>
      <c r="BJ353" s="88" t="e">
        <f ca="1">IF(AN353&lt;=Hypothèses!$V$7,Hypothèses!$X$7,IF(AN353&lt;=Hypothèses!$V$8,Hypothèses!$X$8,IF(AN353&lt;=Hypothèses!$V$9,Hypothèses!$X$9,IF(AN353&lt;=Hypothèses!$V$10,Hypothèses!$X$10,IF(AN353&lt;=Hypothèses!$V$11,Hypothèses!$X$11,IF(AN353&lt;=Hypothèses!$V$12,Hypothèses!$X$12,IF(AN353&lt;=Hypothèses!$V$13,Hypothèses!$X$13,IF(AN353&lt;=Hypothèses!$V$14,Hypothèses!$X$14,IF(AN353&lt;=Hypothèses!$V$15,Hypothèses!$X$15,IF(AN353&lt;=Hypothèses!$V$16,Hypothèses!$X$16,IF(AN353&lt;=Hypothèses!$U$17,Hypothèses!$W$17,IF(AN353&lt;=Hypothèses!$U$18,Hypothèses!$W$18,""))))))))))))</f>
        <v>#DIV/0!</v>
      </c>
      <c r="BK353" s="95" t="e">
        <f t="shared" ca="1" si="577"/>
        <v>#DIV/0!</v>
      </c>
      <c r="BL353" s="101">
        <f t="shared" si="625"/>
        <v>0</v>
      </c>
      <c r="BM353" s="91">
        <f t="shared" si="544"/>
        <v>0</v>
      </c>
      <c r="BN353" s="30" t="e">
        <f t="shared" si="604"/>
        <v>#N/A</v>
      </c>
      <c r="BO353" s="30" t="e">
        <f t="shared" si="605"/>
        <v>#N/A</v>
      </c>
      <c r="BP353" s="31" t="e">
        <f>IF(OR(Hypothèses!$B$4=17,Hypothèses!$B$4=18,Hypothèses!$B$4=19,Hypothèses!$B$4=20),
IF($D353="Pressio.",
IF(OR($E353=3,$E353=1,$E353=4),BO353,BN353),
IF($D353="Pénétro.",
IF(OR($E353=3,$E353=1,$E353=4),BO353,BN353))),IF($D353="Pressio.",
IF($E353=3,BO353,BN353),
IF($D353="Pénétro.",
IF($E353=4,BO353,BN353))))</f>
        <v>#N/A</v>
      </c>
      <c r="BQ353" s="31">
        <v>0</v>
      </c>
      <c r="BR353" s="102" t="e">
        <f>IF(NDC!$H$10="Oui",(VLOOKUP($B$3,'Coeff EC7'!$T$39:$X$59,2,0)*BP353+VLOOKUP($B$3,'Coeff EC7'!$T$65:$X$85,2,0)*Model0.1T!BQ353)/1.5,PI()*BN$12*$Q353*($B353-$B352)*0.15/10+BR352)</f>
        <v>#N/A</v>
      </c>
      <c r="BS353" s="102" t="e">
        <f>(VLOOKUP($B$3,'Coeff EC7'!$T$39:$X$59,3,0)*BP353+VLOOKUP($B$3,'Coeff EC7'!$T$65:$X$85,3,0)*Model0.1T!BQ353)/1.1</f>
        <v>#N/A</v>
      </c>
      <c r="BT353" s="102" t="e">
        <f t="shared" si="578"/>
        <v>#N/A</v>
      </c>
      <c r="BU353" s="102" t="e">
        <f t="shared" si="579"/>
        <v>#N/A</v>
      </c>
      <c r="BV353" s="414" t="e">
        <f>IF(AND(BR353&gt;NDC!$C$63,BS353&gt;NDC!$C$65,BT353&gt;NDC!$D$73,BU353&gt;NDC!$D$74,$B353&gt;NDC!$H$22-0.1+MIN(3*BV$12,1.5)),0,1)</f>
        <v>#N/A</v>
      </c>
      <c r="BW353" s="86" t="b">
        <f t="shared" si="545"/>
        <v>0</v>
      </c>
      <c r="BX353" s="86">
        <f t="shared" si="546"/>
        <v>0.5</v>
      </c>
      <c r="BY353" s="86">
        <f t="shared" si="547"/>
        <v>0.5</v>
      </c>
      <c r="BZ353" s="30" t="e">
        <f t="shared" ca="1" si="580"/>
        <v>#DIV/0!</v>
      </c>
      <c r="CA353" s="85" t="e">
        <f ca="1">IF(BG353&lt;=Hypothèses!$V$7,Hypothèses!$W$7,IF(BG353&lt;=Hypothèses!$V$8,Hypothèses!$W$8,IF(BG353&lt;=Hypothèses!$V$9,Hypothèses!$W$9,IF(BG353&lt;=Hypothèses!$V$10,Hypothèses!$W$10,IF(BG353&lt;=Hypothèses!$V$11,Hypothèses!$W$11,IF(BG353&lt;=Hypothèses!$V$12,Hypothèses!$W$12,IF(BG353&lt;=Hypothèses!$V$13,Hypothèses!$W$13,IF(BG353&lt;=Hypothèses!$V$14,Hypothèses!$W$14,IF(BG353&lt;=Hypothèses!$V$15,Hypothèses!$W$15,IF(BG353&lt;=Hypothèses!$V$16,Hypothèses!$W$16,IF(BG353&lt;=Hypothèses!$V$17,Hypothèses!$W$17,IF(BG353&lt;=Hypothèses!$V$18,Hypothèses!$W$18,""))))))))))))</f>
        <v>#DIV/0!</v>
      </c>
      <c r="CB353" s="87" t="e">
        <f t="shared" ca="1" si="619"/>
        <v>#DIV/0!</v>
      </c>
      <c r="CC353" s="88" t="e">
        <f ca="1">IF(BG353&lt;=Hypothèses!$V$7,Hypothèses!$X$7,IF(BG353&lt;=Hypothèses!$V$8,Hypothèses!$X$8,IF(BG353&lt;=Hypothèses!$V$9,Hypothèses!$X$9,IF(BG353&lt;=Hypothèses!$V$10,Hypothèses!$X$10,IF(BG353&lt;=Hypothèses!$V$11,Hypothèses!$X$11,IF(BG353&lt;=Hypothèses!$V$12,Hypothèses!$X$12,IF(BG353&lt;=Hypothèses!$V$13,Hypothèses!$X$13,IF(BG353&lt;=Hypothèses!$V$14,Hypothèses!$X$14,IF(BG353&lt;=Hypothèses!$V$15,Hypothèses!$X$15,IF(BG353&lt;=Hypothèses!$V$16,Hypothèses!$X$16,IF(BG353&lt;=Hypothèses!$U$17,Hypothèses!$W$17,IF(BG353&lt;=Hypothèses!$U$18,Hypothèses!$W$18,""))))))))))))</f>
        <v>#DIV/0!</v>
      </c>
      <c r="CD353" s="95" t="e">
        <f t="shared" ca="1" si="581"/>
        <v>#DIV/0!</v>
      </c>
      <c r="CE353" s="101">
        <f t="shared" si="626"/>
        <v>0</v>
      </c>
      <c r="CF353" s="91">
        <f t="shared" si="548"/>
        <v>0</v>
      </c>
      <c r="CG353" s="30" t="e">
        <f t="shared" si="606"/>
        <v>#N/A</v>
      </c>
      <c r="CH353" s="30" t="e">
        <f t="shared" si="607"/>
        <v>#N/A</v>
      </c>
      <c r="CI353" s="31" t="e">
        <f>IF(OR(Hypothèses!$B$4=17,Hypothèses!$B$4=18,Hypothèses!$B$4=19,Hypothèses!$B$4=20),
IF($D353="Pressio.",
IF(OR($E353=3,$E353=1,$E353=4),CH353,CG353),
IF($D353="Pénétro.",
IF(OR($E353=3,$E353=1,$E353=4),CH353,CG353))),IF($D353="Pressio.",
IF($E353=3,CH353,CG353),
IF($D353="Pénétro.",
IF($E353=4,CH353,CG353))))</f>
        <v>#N/A</v>
      </c>
      <c r="CJ353" s="31">
        <v>0</v>
      </c>
      <c r="CK353" s="102" t="e">
        <f>IF(NDC!$H$10="Oui",(VLOOKUP($B$3,'Coeff EC7'!$T$39:$X$59,2,0)*CI353+VLOOKUP($B$3,'Coeff EC7'!$T$65:$X$85,2,0)*Model0.1T!CJ353)/1.5,PI()*CG$12*$Q353*($B353-$B352)*0.15/10+CK352)</f>
        <v>#N/A</v>
      </c>
      <c r="CL353" s="102" t="e">
        <f>(VLOOKUP($B$3,'Coeff EC7'!$T$39:$X$59,3,0)*CI353+VLOOKUP($B$3,'Coeff EC7'!$T$65:$X$85,3,0)*Model0.1T!CJ353)/1.1</f>
        <v>#N/A</v>
      </c>
      <c r="CM353" s="102" t="e">
        <f t="shared" si="582"/>
        <v>#N/A</v>
      </c>
      <c r="CN353" s="102" t="e">
        <f t="shared" si="583"/>
        <v>#N/A</v>
      </c>
      <c r="CO353" s="414" t="e">
        <f>IF(AND(CK353&gt;NDC!$C$63,CL353&gt;NDC!$C$65,CM353&gt;NDC!$D$73,CN353&gt;NDC!$D$74,$B353&gt;NDC!$H$22-0.1+MIN(3*CO$12,1.5)),0,1)</f>
        <v>#N/A</v>
      </c>
      <c r="CP353" s="86" t="b">
        <f t="shared" si="549"/>
        <v>0</v>
      </c>
      <c r="CQ353" s="86">
        <f t="shared" si="550"/>
        <v>0.5</v>
      </c>
      <c r="CR353" s="86">
        <f t="shared" si="551"/>
        <v>0.5</v>
      </c>
      <c r="CS353" s="30" t="e">
        <f t="shared" ca="1" si="584"/>
        <v>#DIV/0!</v>
      </c>
      <c r="CT353" s="85" t="e">
        <f ca="1">IF(BZ353&lt;=Hypothèses!$V$7,Hypothèses!$W$7,IF(BZ353&lt;=Hypothèses!$V$8,Hypothèses!$W$8,IF(BZ353&lt;=Hypothèses!$V$9,Hypothèses!$W$9,IF(BZ353&lt;=Hypothèses!$V$10,Hypothèses!$W$10,IF(BZ353&lt;=Hypothèses!$V$11,Hypothèses!$W$11,IF(BZ353&lt;=Hypothèses!$V$12,Hypothèses!$W$12,IF(BZ353&lt;=Hypothèses!$V$13,Hypothèses!$W$13,IF(BZ353&lt;=Hypothèses!$V$14,Hypothèses!$W$14,IF(BZ353&lt;=Hypothèses!$V$15,Hypothèses!$W$15,IF(BZ353&lt;=Hypothèses!$V$16,Hypothèses!$W$16,IF(BZ353&lt;=Hypothèses!$V$17,Hypothèses!$W$17,IF(BZ353&lt;=Hypothèses!$V$18,Hypothèses!$W$18,""))))))))))))</f>
        <v>#DIV/0!</v>
      </c>
      <c r="CU353" s="87" t="e">
        <f t="shared" ca="1" si="620"/>
        <v>#DIV/0!</v>
      </c>
      <c r="CV353" s="88" t="e">
        <f ca="1">IF(BZ353&lt;=Hypothèses!$V$7,Hypothèses!$X$7,IF(BZ353&lt;=Hypothèses!$V$8,Hypothèses!$X$8,IF(BZ353&lt;=Hypothèses!$V$9,Hypothèses!$X$9,IF(BZ353&lt;=Hypothèses!$V$10,Hypothèses!$X$10,IF(BZ353&lt;=Hypothèses!$V$11,Hypothèses!$X$11,IF(BZ353&lt;=Hypothèses!$V$12,Hypothèses!$X$12,IF(BZ353&lt;=Hypothèses!$V$13,Hypothèses!$X$13,IF(BZ353&lt;=Hypothèses!$V$14,Hypothèses!$X$14,IF(BZ353&lt;=Hypothèses!$V$15,Hypothèses!$X$15,IF(BZ353&lt;=Hypothèses!$V$16,Hypothèses!$X$16,IF(BZ353&lt;=Hypothèses!$U$17,Hypothèses!$W$17,IF(BZ353&lt;=Hypothèses!$U$18,Hypothèses!$W$18,""))))))))))))</f>
        <v>#DIV/0!</v>
      </c>
      <c r="CW353" s="95" t="e">
        <f t="shared" ca="1" si="585"/>
        <v>#DIV/0!</v>
      </c>
      <c r="CX353" s="101">
        <f t="shared" si="627"/>
        <v>0</v>
      </c>
      <c r="CY353" s="91">
        <f t="shared" si="552"/>
        <v>0</v>
      </c>
      <c r="CZ353" s="30" t="e">
        <f t="shared" si="608"/>
        <v>#N/A</v>
      </c>
      <c r="DA353" s="30" t="e">
        <f t="shared" si="609"/>
        <v>#N/A</v>
      </c>
      <c r="DB353" s="31" t="e">
        <f>IF(OR(Hypothèses!$B$4=17,Hypothèses!$B$4=18,Hypothèses!$B$4=19,Hypothèses!$B$4=20),
IF($D353="Pressio.",
IF(OR($E353=3,$E353=1,$E353=4),DA353,CZ353),
IF($D353="Pénétro.",
IF(OR($E353=3,$E353=1,$E353=4),DA353,CZ353))),IF($D353="Pressio.",
IF($E353=3,DA353,CZ353),
IF($D353="Pénétro.",
IF($E353=4,DA353,CZ353))))</f>
        <v>#N/A</v>
      </c>
      <c r="DC353" s="31">
        <v>0</v>
      </c>
      <c r="DD353" s="102" t="e">
        <f>IF(NDC!$H$10="Oui",(VLOOKUP($B$3,'Coeff EC7'!$T$39:$X$59,2,0)*DB353+VLOOKUP($B$3,'Coeff EC7'!$T$65:$X$85,2,0)*Model0.1T!DC353)/1.5,PI()*CZ$12*$Q353*($B353-$B352)*0.15/10+DD352)</f>
        <v>#N/A</v>
      </c>
      <c r="DE353" s="102" t="e">
        <f>(VLOOKUP($B$3,'Coeff EC7'!$T$39:$X$59,3,0)*DB353+VLOOKUP($B$3,'Coeff EC7'!$T$65:$X$85,3,0)*Model0.1T!DC353)/1.1</f>
        <v>#N/A</v>
      </c>
      <c r="DF353" s="102" t="e">
        <f t="shared" si="586"/>
        <v>#N/A</v>
      </c>
      <c r="DG353" s="102" t="e">
        <f t="shared" si="587"/>
        <v>#N/A</v>
      </c>
      <c r="DH353" s="414" t="e">
        <f>IF(AND(DD353&gt;NDC!$C$63,DE353&gt;NDC!$C$65,DF353&gt;NDC!$D$73,DG353&gt;NDC!$D$74,$B353&gt;NDC!$H$22-0.1+MIN(3*DH$12,1.5)),0,1)</f>
        <v>#N/A</v>
      </c>
      <c r="DI353" s="86" t="b">
        <f t="shared" si="553"/>
        <v>0</v>
      </c>
      <c r="DJ353" s="86">
        <f t="shared" si="554"/>
        <v>0.5</v>
      </c>
      <c r="DK353" s="86">
        <f t="shared" si="555"/>
        <v>0.5</v>
      </c>
      <c r="DL353" s="30" t="e">
        <f t="shared" ca="1" si="588"/>
        <v>#DIV/0!</v>
      </c>
      <c r="DM353" s="85" t="e">
        <f ca="1">IF(CS353&lt;=Hypothèses!$V$7,Hypothèses!$W$7,IF(CS353&lt;=Hypothèses!$V$8,Hypothèses!$W$8,IF(CS353&lt;=Hypothèses!$V$9,Hypothèses!$W$9,IF(CS353&lt;=Hypothèses!$V$10,Hypothèses!$W$10,IF(CS353&lt;=Hypothèses!$V$11,Hypothèses!$W$11,IF(CS353&lt;=Hypothèses!$V$12,Hypothèses!$W$12,IF(CS353&lt;=Hypothèses!$V$13,Hypothèses!$W$13,IF(CS353&lt;=Hypothèses!$V$14,Hypothèses!$W$14,IF(CS353&lt;=Hypothèses!$V$15,Hypothèses!$W$15,IF(CS353&lt;=Hypothèses!$V$16,Hypothèses!$W$16,IF(CS353&lt;=Hypothèses!$V$17,Hypothèses!$W$17,IF(CS353&lt;=Hypothèses!$V$18,Hypothèses!$W$18,""))))))))))))</f>
        <v>#DIV/0!</v>
      </c>
      <c r="DN353" s="87" t="e">
        <f t="shared" ca="1" si="621"/>
        <v>#DIV/0!</v>
      </c>
      <c r="DO353" s="88" t="e">
        <f ca="1">IF(CS353&lt;=Hypothèses!$V$7,Hypothèses!$X$7,IF(CS353&lt;=Hypothèses!$V$8,Hypothèses!$X$8,IF(CS353&lt;=Hypothèses!$V$9,Hypothèses!$X$9,IF(CS353&lt;=Hypothèses!$V$10,Hypothèses!$X$10,IF(CS353&lt;=Hypothèses!$V$11,Hypothèses!$X$11,IF(CS353&lt;=Hypothèses!$V$12,Hypothèses!$X$12,IF(CS353&lt;=Hypothèses!$V$13,Hypothèses!$X$13,IF(CS353&lt;=Hypothèses!$V$14,Hypothèses!$X$14,IF(CS353&lt;=Hypothèses!$V$15,Hypothèses!$X$15,IF(CS353&lt;=Hypothèses!$V$16,Hypothèses!$X$16,IF(CS353&lt;=Hypothèses!$U$17,Hypothèses!$W$17,IF(CS353&lt;=Hypothèses!$U$18,Hypothèses!$W$18,""))))))))))))</f>
        <v>#DIV/0!</v>
      </c>
      <c r="DP353" s="95" t="e">
        <f t="shared" ca="1" si="589"/>
        <v>#DIV/0!</v>
      </c>
      <c r="DQ353" s="101">
        <f t="shared" si="628"/>
        <v>0</v>
      </c>
      <c r="DR353" s="91">
        <f t="shared" si="556"/>
        <v>0</v>
      </c>
      <c r="DS353" s="30" t="e">
        <f t="shared" si="610"/>
        <v>#N/A</v>
      </c>
      <c r="DT353" s="30" t="e">
        <f t="shared" si="611"/>
        <v>#N/A</v>
      </c>
      <c r="DU353" s="31" t="e">
        <f>IF(OR(Hypothèses!$B$4=17,Hypothèses!$B$4=18,Hypothèses!$B$4=19,Hypothèses!$B$4=20),
IF($D353="Pressio.",
IF(OR($E353=3,$E353=1,$E353=4),DT353,DS353),
IF($D353="Pénétro.",
IF(OR($E353=3,$E353=1,$E353=4),DT353,DS353))),IF($D353="Pressio.",
IF($E353=3,DT353,DS353),
IF($D353="Pénétro.",
IF($E353=4,DT353,DS353))))</f>
        <v>#N/A</v>
      </c>
      <c r="DV353" s="31">
        <v>0</v>
      </c>
      <c r="DW353" s="102" t="e">
        <f>IF(NDC!$H$10="Oui",(VLOOKUP($B$3,'Coeff EC7'!$T$39:$X$59,2,0)*DU353+VLOOKUP($B$3,'Coeff EC7'!$T$65:$X$85,2,0)*Model0.1T!DV353)/1.5,PI()*DS$12*$Q353*($B353-$B352)*0.15/10+DW352)</f>
        <v>#N/A</v>
      </c>
      <c r="DX353" s="102" t="e">
        <f>(VLOOKUP($B$3,'Coeff EC7'!$T$39:$X$59,3,0)*DU353+VLOOKUP($B$3,'Coeff EC7'!$T$65:$X$85,3,0)*Model0.1T!DV353)/1.1</f>
        <v>#N/A</v>
      </c>
      <c r="DY353" s="102" t="e">
        <f t="shared" si="590"/>
        <v>#N/A</v>
      </c>
      <c r="DZ353" s="102" t="e">
        <f t="shared" si="591"/>
        <v>#N/A</v>
      </c>
      <c r="EA353" s="414" t="e">
        <f>IF(AND(DW353&gt;NDC!$C$63,DX353&gt;NDC!$C$65,DY353&gt;NDC!$D$73,DZ353&gt;NDC!$D$74,$B353&gt;NDC!$H$22-0.1+MIN(3*EA$12,1.5)),0,1)</f>
        <v>#N/A</v>
      </c>
      <c r="EB353" s="86" t="b">
        <f t="shared" si="557"/>
        <v>0</v>
      </c>
      <c r="EC353" s="418">
        <f t="shared" si="558"/>
        <v>0.51</v>
      </c>
      <c r="ED353" s="86">
        <f t="shared" si="559"/>
        <v>0.51</v>
      </c>
      <c r="EE353" s="30" t="e">
        <f t="shared" ca="1" si="592"/>
        <v>#DIV/0!</v>
      </c>
      <c r="EF353" s="85" t="e">
        <f ca="1">IF(DL353&lt;=Hypothèses!$V$7,Hypothèses!$W$7,IF(DL353&lt;=Hypothèses!$V$8,Hypothèses!$W$8,IF(DL353&lt;=Hypothèses!$V$9,Hypothèses!$W$9,IF(DL353&lt;=Hypothèses!$V$10,Hypothèses!$W$10,IF(DL353&lt;=Hypothèses!$V$11,Hypothèses!$W$11,IF(DL353&lt;=Hypothèses!$V$12,Hypothèses!$W$12,IF(DL353&lt;=Hypothèses!$V$13,Hypothèses!$W$13,IF(DL353&lt;=Hypothèses!$V$14,Hypothèses!$W$14,IF(DL353&lt;=Hypothèses!$V$15,Hypothèses!$W$15,IF(DL353&lt;=Hypothèses!$V$16,Hypothèses!$W$16,IF(DL353&lt;=Hypothèses!$V$17,Hypothèses!$W$17,IF(DL353&lt;=Hypothèses!$V$18,Hypothèses!$W$18,""))))))))))))</f>
        <v>#DIV/0!</v>
      </c>
      <c r="EG353" s="87" t="e">
        <f t="shared" ca="1" si="622"/>
        <v>#DIV/0!</v>
      </c>
      <c r="EH353" s="88" t="e">
        <f ca="1">IF(DL353&lt;=Hypothèses!$V$7,Hypothèses!$X$7,IF(DL353&lt;=Hypothèses!$V$8,Hypothèses!$X$8,IF(DL353&lt;=Hypothèses!$V$9,Hypothèses!$X$9,IF(DL353&lt;=Hypothèses!$V$10,Hypothèses!$X$10,IF(DL353&lt;=Hypothèses!$V$11,Hypothèses!$X$11,IF(DL353&lt;=Hypothèses!$V$12,Hypothèses!$X$12,IF(DL353&lt;=Hypothèses!$V$13,Hypothèses!$X$13,IF(DL353&lt;=Hypothèses!$V$14,Hypothèses!$X$14,IF(DL353&lt;=Hypothèses!$V$15,Hypothèses!$X$15,IF(DL353&lt;=Hypothèses!$V$16,Hypothèses!$X$16,IF(DL353&lt;=Hypothèses!$U$17,Hypothèses!$W$17,IF(DL353&lt;=Hypothèses!$U$18,Hypothèses!$W$18,""))))))))))))</f>
        <v>#DIV/0!</v>
      </c>
      <c r="EI353" s="95" t="e">
        <f t="shared" ca="1" si="593"/>
        <v>#DIV/0!</v>
      </c>
      <c r="EJ353" s="101">
        <f t="shared" si="629"/>
        <v>0</v>
      </c>
      <c r="EK353" s="91">
        <f t="shared" si="560"/>
        <v>0</v>
      </c>
      <c r="EL353" s="30" t="e">
        <f t="shared" si="612"/>
        <v>#N/A</v>
      </c>
      <c r="EM353" s="30" t="e">
        <f t="shared" si="613"/>
        <v>#N/A</v>
      </c>
      <c r="EN353" s="31" t="e">
        <f>IF(OR(Hypothèses!$B$4=17,Hypothèses!$B$4=18,Hypothèses!$B$4=19,Hypothèses!$B$4=20),
IF($D353="Pressio.",
IF(OR($E353=3,$E353=1,$E353=4),EM353,EL353),
IF($D353="Pénétro.",
IF(OR($E353=3,$E353=1,$E353=4),EM353,EL353))),IF($D353="Pressio.",
IF($E353=3,EM353,EL353),
IF($D353="Pénétro.",
IF($E353=4,EM353,EL353))))</f>
        <v>#N/A</v>
      </c>
      <c r="EO353" s="31">
        <v>0</v>
      </c>
      <c r="EP353" s="102" t="e">
        <f>IF(NDC!$H$10="Oui",(VLOOKUP($B$3,'Coeff EC7'!$T$39:$X$59,2,0)*EN353+VLOOKUP($B$3,'Coeff EC7'!$T$65:$X$85,2,0)*Model0.1T!EO353)/1.5,PI()*EL$12*$Q353*($B353-$B352)*0.15/10+EP352)</f>
        <v>#N/A</v>
      </c>
      <c r="EQ353" s="102" t="e">
        <f>(VLOOKUP($B$3,'Coeff EC7'!$T$39:$X$59,3,0)*EN353+VLOOKUP($B$3,'Coeff EC7'!$T$65:$X$85,3,0)*Model0.1T!EO353)/1.1</f>
        <v>#N/A</v>
      </c>
      <c r="ER353" s="102" t="e">
        <f t="shared" si="594"/>
        <v>#N/A</v>
      </c>
      <c r="ES353" s="102" t="e">
        <f t="shared" si="595"/>
        <v>#N/A</v>
      </c>
      <c r="ET353" s="414" t="e">
        <f>IF(AND(EP353&gt;NDC!$C$63,EQ353&gt;NDC!$C$65,ER353&gt;NDC!$D$73,ES353&gt;NDC!$D$74,$B353&gt;NDC!$H$22-0.1+MIN(3*ET$12,1.5)),0,1)</f>
        <v>#N/A</v>
      </c>
      <c r="EU353" s="86" t="b">
        <f t="shared" si="561"/>
        <v>0</v>
      </c>
      <c r="EV353" s="86">
        <f t="shared" si="562"/>
        <v>0.61</v>
      </c>
      <c r="EW353" s="86">
        <f t="shared" si="563"/>
        <v>0.61</v>
      </c>
      <c r="EX353" s="30" t="e">
        <f t="shared" ca="1" si="596"/>
        <v>#DIV/0!</v>
      </c>
      <c r="EY353" s="85" t="e">
        <f ca="1">IF(EE353&lt;=Hypothèses!$V$7,Hypothèses!$W$7,IF(EE353&lt;=Hypothèses!$V$8,Hypothèses!$W$8,IF(EE353&lt;=Hypothèses!$V$9,Hypothèses!$W$9,IF(EE353&lt;=Hypothèses!$V$10,Hypothèses!$W$10,IF(EE353&lt;=Hypothèses!$V$11,Hypothèses!$W$11,IF(EE353&lt;=Hypothèses!$V$12,Hypothèses!$W$12,IF(EE353&lt;=Hypothèses!$V$13,Hypothèses!$W$13,IF(EE353&lt;=Hypothèses!$V$14,Hypothèses!$W$14,IF(EE353&lt;=Hypothèses!$V$15,Hypothèses!$W$15,IF(EE353&lt;=Hypothèses!$V$16,Hypothèses!$W$16,IF(EE353&lt;=Hypothèses!$V$17,Hypothèses!$W$17,IF(EE353&lt;=Hypothèses!$V$18,Hypothèses!$W$18,""))))))))))))</f>
        <v>#DIV/0!</v>
      </c>
      <c r="EZ353" s="87" t="e">
        <f t="shared" ca="1" si="623"/>
        <v>#DIV/0!</v>
      </c>
      <c r="FA353" s="88" t="e">
        <f ca="1">IF(EE353&lt;=Hypothèses!$V$7,Hypothèses!$X$7,IF(EE353&lt;=Hypothèses!$V$8,Hypothèses!$X$8,IF(EE353&lt;=Hypothèses!$V$9,Hypothèses!$X$9,IF(EE353&lt;=Hypothèses!$V$10,Hypothèses!$X$10,IF(EE353&lt;=Hypothèses!$V$11,Hypothèses!$X$11,IF(EE353&lt;=Hypothèses!$V$12,Hypothèses!$X$12,IF(EE353&lt;=Hypothèses!$V$13,Hypothèses!$X$13,IF(EE353&lt;=Hypothèses!$V$14,Hypothèses!$X$14,IF(EE353&lt;=Hypothèses!$V$15,Hypothèses!$X$15,IF(EE353&lt;=Hypothèses!$V$16,Hypothèses!$X$16,IF(EE353&lt;=Hypothèses!$U$17,Hypothèses!$W$17,IF(EE353&lt;=Hypothèses!$U$18,Hypothèses!$W$18,""))))))))))))</f>
        <v>#DIV/0!</v>
      </c>
      <c r="FB353" s="95" t="e">
        <f t="shared" ca="1" si="597"/>
        <v>#DIV/0!</v>
      </c>
      <c r="FC353" s="101">
        <f t="shared" si="630"/>
        <v>0</v>
      </c>
      <c r="FD353" s="91">
        <f t="shared" si="564"/>
        <v>0</v>
      </c>
      <c r="FE353" s="30" t="e">
        <f t="shared" si="614"/>
        <v>#N/A</v>
      </c>
      <c r="FF353" s="30" t="e">
        <f t="shared" si="615"/>
        <v>#N/A</v>
      </c>
      <c r="FG353" s="31" t="e">
        <f>IF(OR(Hypothèses!$B$4=17,Hypothèses!$B$4=18,Hypothèses!$B$4=19,Hypothèses!$B$4=20),
IF($D353="Pressio.",
IF(OR($E353=3,$E353=1,$E353=4),FF353,FE353),
IF($D353="Pénétro.",
IF(OR($E353=3,$E353=1,$E353=4),FF353,FE353))),IF($D353="Pressio.",
IF($E353=3,FF353,FE353),
IF($D353="Pénétro.",
IF($E353=4,FF353,FE353))))</f>
        <v>#N/A</v>
      </c>
      <c r="FH353" s="31">
        <v>0</v>
      </c>
      <c r="FI353" s="102" t="e">
        <f>IF(NDC!$H$10="Oui",(VLOOKUP($B$3,'Coeff EC7'!$T$39:$X$59,2,0)*FG353+VLOOKUP($B$3,'Coeff EC7'!$T$65:$X$85,2,0)*Model0.1T!FH353)/1.5,PI()*FE$12*$Q353*($B353-$B352)*0.15/10+FI352)</f>
        <v>#N/A</v>
      </c>
      <c r="FJ353" s="102" t="e">
        <f>(VLOOKUP($B$3,'Coeff EC7'!$T$39:$X$59,3,0)*FG353+VLOOKUP($B$3,'Coeff EC7'!$T$65:$X$85,3,0)*Model0.1T!FH353)/1.1</f>
        <v>#N/A</v>
      </c>
      <c r="FK353" s="102" t="e">
        <f t="shared" si="598"/>
        <v>#N/A</v>
      </c>
      <c r="FL353" s="102" t="e">
        <f t="shared" si="599"/>
        <v>#N/A</v>
      </c>
      <c r="FM353" s="414" t="e">
        <f>IF(AND(FI353&gt;NDC!$C$63,FJ353&gt;NDC!$C$65,FK353&gt;NDC!$D$73,FL353&gt;NDC!$D$74,$B353&gt;NDC!$H$22-0.1+MIN(3*FM$12,1.5)),0,1)</f>
        <v>#N/A</v>
      </c>
    </row>
    <row r="354" spans="1:169">
      <c r="A354" s="96">
        <f t="shared" si="565"/>
        <v>65.900000000001938</v>
      </c>
      <c r="B354" s="97">
        <v>34.1</v>
      </c>
      <c r="C354" s="81">
        <f>IF(B354&lt;=Hypothèses!$C$7,Hypothèses!$A$7,IF(B354&lt;=Hypothèses!$C$8,Hypothèses!$A$8,IF(B354&lt;=Hypothèses!$C$9,Hypothèses!$A$9,IF(B354&lt;=Hypothèses!$C$10,Hypothèses!$A$10,IF(B354&lt;=Hypothèses!$C$11,Hypothèses!$A$11,IF(B354&lt;=Hypothèses!$C$12,Hypothèses!$A$12,IF(B354&lt;=Hypothèses!$C$13,Hypothèses!$A$13,IF(B354&lt;=Hypothèses!$C$14,Hypothèses!$A$14,IF(B354&lt;=Hypothèses!$C$15,Hypothèses!$A$15,IF(B354&lt;=Hypothèses!$C$16,Hypothèses!$A$16,IF(B354&lt;=Hypothèses!$C$17,Hypothèses!$A$17,IF(B354&lt;=Hypothèses!$C$18,Hypothèses!$A$18,C353))))))))))))</f>
        <v>11</v>
      </c>
      <c r="D354" s="82" t="str">
        <f>IF(B354&lt;=Hypothèses!$C$7,Hypothèses!$R$7,IF(B354&lt;=Hypothèses!$C$8,Hypothèses!$R$8,IF(B354&lt;=Hypothèses!$C$9,Hypothèses!$R$9,IF(B354&lt;=Hypothèses!$C$10,Hypothèses!$R$10,IF(B354&lt;=Hypothèses!$C$11,Hypothèses!$R$11,IF(B354&lt;=Hypothèses!$C$12,Hypothèses!$R$12,IF(B354&lt;=Hypothèses!$C$13,Hypothèses!$R$13,IF(B354&lt;=Hypothèses!$C$14,Hypothèses!$R$14,IF(B354&lt;=Hypothèses!$C$15,Hypothèses!$R$15,IF(B354&lt;=Hypothèses!$C$16,Hypothèses!$R$16,IF(B354&lt;=Hypothèses!$C$17,Hypothèses!$R$17,IF(B354&lt;=Hypothèses!$C$18,Hypothèses!$R$18,D353))))))))))))</f>
        <v>Pressio.</v>
      </c>
      <c r="E354" s="82" t="e">
        <f>IF(B354&lt;=Hypothèses!$C$7,Hypothèses!$G$7,IF(B354&lt;=Hypothèses!$C$8,Hypothèses!$G$8,IF(B354&lt;=Hypothèses!$C$9,Hypothèses!$G$9,IF(B354&lt;=Hypothèses!$C$10,Hypothèses!$G$10,IF(B354&lt;=Hypothèses!$C$11,Hypothèses!$G$11,IF(B354&lt;=Hypothèses!$C$12,Hypothèses!$G$12,IF(B354&lt;=Hypothèses!$C$13,Hypothèses!$G$13,IF(B354&lt;=Hypothèses!$C$14,Hypothèses!$G$14,IF(B354&lt;=Hypothèses!$C$15,Hypothèses!$G$15,IF(B354&lt;=Hypothèses!$C$16,Hypothèses!$G$16,IF(B354&lt;=Hypothèses!$C$17,Hypothèses!$G$17,IF(B354&lt;=Hypothèses!$C$18,Hypothèses!$G$18,E353))))))))))))</f>
        <v>#N/A</v>
      </c>
      <c r="F354" s="82" t="str">
        <f>IF(B354&lt;=Hypothèses!$C$7,Hypothèses!$F$7,IF(B354&lt;=Hypothèses!$C$8,Hypothèses!$F$8,IF(B354&lt;=Hypothèses!$C$9,Hypothèses!$F$9,IF(B354&lt;=Hypothèses!$C$10,Hypothèses!$F$10,IF(B354&lt;=Hypothèses!$C$11,Hypothèses!$F$11,IF(B354&lt;=Hypothèses!$C$12,Hypothèses!$F$12,IF(B354&lt;=Hypothèses!$C$13,Hypothèses!$F$13,IF(B354&lt;=Hypothèses!$C$14,Hypothèses!$F$14,IF(B354&lt;=Hypothèses!$C$15,Hypothèses!$F$15,IF(B354&lt;=Hypothèses!$C$16,Hypothèses!$F$16,IF(B354&lt;=Hypothèses!$C$17,Hypothèses!$F$17,IF(B354&lt;=Hypothèses!$C$18,Hypothèses!$F$18,F353))))))))))))</f>
        <v/>
      </c>
      <c r="G354" s="91">
        <f t="array" ref="G354">INDEX('Coeff EC7'!$U$7:$X$27,
MATCH(Model0.1T!$B$3,'Coeff EC7'!$T$7:$T$27,0),
MATCH(Model0.1T!$D354&amp;Model0.1T!$B$4,
'Coeff EC7'!$U$6:$X$6&amp;
'Coeff EC7'!$U$5:$X$5,0))</f>
        <v>1.4</v>
      </c>
      <c r="H354" s="91">
        <f t="array" ref="H354">INDEX('Coeff EC7'!$Y$7:$AB$27,
MATCH(Model0.1T!$B$3,'Coeff EC7'!$T$7:$T$27,0),
MATCH(Model0.1T!$D354&amp;Model0.1T!$B$4,
'Coeff EC7'!$Y$6:$AB$6&amp;
'Coeff EC7'!$Y$5:$AB$5,0))</f>
        <v>1.7</v>
      </c>
      <c r="I354" s="83">
        <v>0</v>
      </c>
      <c r="J354" s="91" t="e">
        <f t="array" ref="J354">INDEX('Coeff EC7'!$D$33:$Q$33,1,MATCH(D354&amp;E354,'Coeff EC7'!$D$31:$Q$31&amp;'Coeff EC7'!$D$32:$Q$32,0))</f>
        <v>#N/A</v>
      </c>
      <c r="K354" s="91" t="e">
        <f t="array" ref="K354">INDEX('Coeff EC7'!$D$34:$Q$34,1,MATCH(D354&amp;E354,'Coeff EC7'!$D$31:$Q$31&amp;'Coeff EC7'!$D$32:$Q$32,0))</f>
        <v>#N/A</v>
      </c>
      <c r="L354" s="91" t="e">
        <f t="array" ref="L354">INDEX('Coeff EC7'!$D$35:$Q$35,1,MATCH(D354&amp;E354,'Coeff EC7'!$D$31:$Q$31&amp;'Coeff EC7'!$D$32:$Q$32,0))</f>
        <v>#N/A</v>
      </c>
      <c r="M354" s="98" t="e">
        <f t="shared" si="531"/>
        <v>#N/A</v>
      </c>
      <c r="N354" s="99" t="e">
        <f t="array" ref="N354">INDEX('Coeff EC7'!$D$7:$Q$27,MATCH($B$3,'Coeff EC7'!$C$7:$C$27,0),MATCH(D354&amp;E354,'Coeff EC7'!$D$5:$Q$5&amp;'Coeff EC7'!$D$6:$Q$6,0))</f>
        <v>#N/A</v>
      </c>
      <c r="O354" s="99" t="e">
        <f t="array" ref="O354">INDEX('Coeff EC7'!$D$41:$Q$61,MATCH($B$3,'Coeff EC7'!$C$41:$C$61,0),MATCH(D354&amp;E354,'Coeff EC7'!$D$39:$Q$39&amp;'Coeff EC7'!$D$40:$Q$40,0))</f>
        <v>#N/A</v>
      </c>
      <c r="P354" s="30" t="e">
        <f t="shared" si="566"/>
        <v>#N/A</v>
      </c>
      <c r="Q354" s="100" t="e">
        <f t="shared" si="533"/>
        <v>#N/A</v>
      </c>
      <c r="R354" s="86" t="b">
        <f t="shared" si="534"/>
        <v>0</v>
      </c>
      <c r="S354" s="86">
        <f t="shared" si="532"/>
        <v>0.5</v>
      </c>
      <c r="T354" s="86">
        <f t="shared" si="535"/>
        <v>0.5</v>
      </c>
      <c r="U354" s="30" t="e">
        <f t="shared" ca="1" si="567"/>
        <v>#DIV/0!</v>
      </c>
      <c r="V354" s="85" t="str">
        <f>IF(B354&lt;=Hypothèses!$V$7,Hypothèses!$W$7,IF(B354&lt;=Hypothèses!$V$8,Hypothèses!$W$8,IF(B354&lt;=Hypothèses!$V$9,Hypothèses!$W$9,IF(B354&lt;=Hypothèses!$V$10,Hypothèses!$W$10,IF(B354&lt;=Hypothèses!$V$11,Hypothèses!$W$11,IF(B354&lt;=Hypothèses!$V$12,Hypothèses!$W$12,IF(B354&lt;=Hypothèses!$V$13,Hypothèses!$W$13,IF(B354&lt;=Hypothèses!$V$14,Hypothèses!$W$14,IF(B354&lt;=Hypothèses!$V$15,Hypothèses!$W$15,IF(B354&lt;=Hypothèses!$V$16,Hypothèses!$W$16,IF(B354&lt;=Hypothèses!$V$17,Hypothèses!$W$17,IF(B354&lt;=Hypothèses!$V$18,Hypothèses!$W$18,""))))))))))))</f>
        <v/>
      </c>
      <c r="W354" s="87" t="e">
        <f t="shared" ca="1" si="616"/>
        <v>#DIV/0!</v>
      </c>
      <c r="X354" s="88" t="str">
        <f>IF(B354&lt;=Hypothèses!$V$7,Hypothèses!$X$7,IF(B354&lt;=Hypothèses!$V$8,Hypothèses!$X$8,IF(B354&lt;=Hypothèses!$V$9,Hypothèses!$X$9,IF(B354&lt;=Hypothèses!$V$10,Hypothèses!$X$10,IF(B354&lt;=Hypothèses!$V$11,Hypothèses!$X$11,IF(B354&lt;=Hypothèses!$V$12,Hypothèses!$X$12,IF(B354&lt;=Hypothèses!$V$13,Hypothèses!$X$13,IF(B354&lt;=Hypothèses!$V$14,Hypothèses!$X$14,IF(B354&lt;=Hypothèses!$V$15,Hypothèses!$X$15,IF(B354&lt;=Hypothèses!$V$16,Hypothèses!$X$16,IF(B354&lt;=Hypothèses!$U$17,Hypothèses!$W$17,IF(B354&lt;=Hypothèses!$U$18,Hypothèses!$W$18,""))))))))))))</f>
        <v/>
      </c>
      <c r="Y354" s="95" t="e">
        <f t="shared" ca="1" si="536"/>
        <v>#DIV/0!</v>
      </c>
      <c r="Z354" s="101">
        <f t="shared" si="537"/>
        <v>0</v>
      </c>
      <c r="AA354" s="91">
        <f t="shared" si="538"/>
        <v>0</v>
      </c>
      <c r="AB354" s="30" t="e">
        <f t="shared" si="600"/>
        <v>#N/A</v>
      </c>
      <c r="AC354" s="30" t="e">
        <f t="shared" si="601"/>
        <v>#N/A</v>
      </c>
      <c r="AD354" s="31" t="e">
        <f>IF(OR(Hypothèses!$B$4=17,Hypothèses!$B$4=18,Hypothèses!$B$4=19,Hypothèses!$B$4=20),
IF($D354="Pressio.",
IF(OR($E354=3,$E354=1,$E354=4),AC354,AB354),
IF($D354="Pénétro.",
IF(OR($E354=3,$E354=1,$E354=4),AC354,AB354))),IF($D354="Pressio.",
IF($E354=3,AC354,AB354),
IF($D354="Pénétro.",
IF($E354=4,AC354,AB354))))</f>
        <v>#N/A</v>
      </c>
      <c r="AE354" s="31">
        <v>0</v>
      </c>
      <c r="AF354" s="102" t="e">
        <f>IF(NDC!$H$10="Oui",(VLOOKUP($B$3,'Coeff EC7'!$T$39:$X$59,2,0)*AD354+VLOOKUP($B$3,'Coeff EC7'!$T$65:$X$85,2,0)*Model0.1T!AE354)/1.5,PI()*AB$12*$Q354*($B354-$B353)*0.15/10+AF353)</f>
        <v>#N/A</v>
      </c>
      <c r="AG354" s="102" t="e">
        <f>(VLOOKUP($B$3,'Coeff EC7'!$T$39:$X$59,3,0)*AD354+VLOOKUP($B$3,'Coeff EC7'!$T$65:$X$85,3,0)*Model0.1T!AE354)/1.1</f>
        <v>#N/A</v>
      </c>
      <c r="AH354" s="102" t="e">
        <f t="shared" si="568"/>
        <v>#N/A</v>
      </c>
      <c r="AI354" s="102" t="e">
        <f t="shared" si="569"/>
        <v>#N/A</v>
      </c>
      <c r="AJ354" s="414" t="e">
        <f>IF(AND(AF354&gt;NDC!$C$63,AG354&gt;NDC!$C$65,AH354&gt;NDC!$D$73,AI354&gt;NDC!$D$74,$B354&gt;NDC!$H$22-0.1+MIN(3*$AJ$12,1.5)),0,1)</f>
        <v>#N/A</v>
      </c>
      <c r="AK354" s="86" t="b">
        <f t="shared" si="539"/>
        <v>0</v>
      </c>
      <c r="AL354" s="86">
        <f t="shared" si="570"/>
        <v>0.5</v>
      </c>
      <c r="AM354" s="86">
        <f t="shared" si="540"/>
        <v>0.5</v>
      </c>
      <c r="AN354" s="30" t="e">
        <f t="shared" ca="1" si="571"/>
        <v>#DIV/0!</v>
      </c>
      <c r="AO354" s="85" t="e">
        <f ca="1">IF(U354&lt;=Hypothèses!$V$7,Hypothèses!$W$7,IF(U354&lt;=Hypothèses!$V$8,Hypothèses!$W$8,IF(U354&lt;=Hypothèses!$V$9,Hypothèses!$W$9,IF(U354&lt;=Hypothèses!$V$10,Hypothèses!$W$10,IF(U354&lt;=Hypothèses!$V$11,Hypothèses!$W$11,IF(U354&lt;=Hypothèses!$V$12,Hypothèses!$W$12,IF(U354&lt;=Hypothèses!$V$13,Hypothèses!$W$13,IF(U354&lt;=Hypothèses!$V$14,Hypothèses!$W$14,IF(U354&lt;=Hypothèses!$V$15,Hypothèses!$W$15,IF(U354&lt;=Hypothèses!$V$16,Hypothèses!$W$16,IF(U354&lt;=Hypothèses!$V$17,Hypothèses!$W$17,IF(U354&lt;=Hypothèses!$V$18,Hypothèses!$W$18,""))))))))))))</f>
        <v>#DIV/0!</v>
      </c>
      <c r="AP354" s="87" t="e">
        <f t="shared" ca="1" si="617"/>
        <v>#DIV/0!</v>
      </c>
      <c r="AQ354" s="88" t="e">
        <f ca="1">IF(U354&lt;=Hypothèses!$V$7,Hypothèses!$X$7,IF(U354&lt;=Hypothèses!$V$8,Hypothèses!$X$8,IF(U354&lt;=Hypothèses!$V$9,Hypothèses!$X$9,IF(U354&lt;=Hypothèses!$V$10,Hypothèses!$X$10,IF(U354&lt;=Hypothèses!$V$11,Hypothèses!$X$11,IF(U354&lt;=Hypothèses!$V$12,Hypothèses!$X$12,IF(U354&lt;=Hypothèses!$V$13,Hypothèses!$X$13,IF(U354&lt;=Hypothèses!$V$14,Hypothèses!$X$14,IF(U354&lt;=Hypothèses!$V$15,Hypothèses!$X$15,IF(U354&lt;=Hypothèses!$V$16,Hypothèses!$X$16,IF(U354&lt;=Hypothèses!$U$17,Hypothèses!$W$17,IF(U354&lt;=Hypothèses!$U$18,Hypothèses!$W$18,""))))))))))))</f>
        <v>#DIV/0!</v>
      </c>
      <c r="AR354" s="95" t="e">
        <f t="shared" ca="1" si="572"/>
        <v>#DIV/0!</v>
      </c>
      <c r="AS354" s="101">
        <f t="shared" si="624"/>
        <v>0</v>
      </c>
      <c r="AT354" s="91">
        <f t="shared" si="541"/>
        <v>0</v>
      </c>
      <c r="AU354" s="30" t="e">
        <f t="shared" si="602"/>
        <v>#N/A</v>
      </c>
      <c r="AV354" s="30" t="e">
        <f t="shared" si="603"/>
        <v>#N/A</v>
      </c>
      <c r="AW354" s="31" t="e">
        <f>IF(OR(Hypothèses!$B$4=17,Hypothèses!$B$4=18,Hypothèses!$B$4=19,Hypothèses!$B$4=20),
IF($D354="Pressio.",
IF(OR($E354=3,$E354=1,$E354=4),AV354,AU354),
IF($D354="Pénétro.",
IF(OR($E354=3,$E354=1,$E354=4),AV354,AU354))),IF($D354="Pressio.",
IF($E354=3,AV354,AU354),
IF($D354="Pénétro.",
IF($E354=4,AV354,AU354))))</f>
        <v>#N/A</v>
      </c>
      <c r="AX354" s="31">
        <v>0</v>
      </c>
      <c r="AY354" s="102" t="e">
        <f>IF(NDC!$H$10="Oui",(VLOOKUP($B$3,'Coeff EC7'!$T$39:$X$59,2,0)*AW354+VLOOKUP($B$3,'Coeff EC7'!$T$65:$X$85,2,0)*Model0.1T!AX354)/1.5,PI()*AU$12*$Q354*($B354-$B353)*0.15/10+AY353)</f>
        <v>#N/A</v>
      </c>
      <c r="AZ354" s="102" t="e">
        <f>(VLOOKUP($B$3,'Coeff EC7'!$T$39:$X$59,3,0)*AW354+VLOOKUP($B$3,'Coeff EC7'!$T$65:$X$85,3,0)*Model0.1T!AX354)/1.1</f>
        <v>#N/A</v>
      </c>
      <c r="BA354" s="102" t="e">
        <f t="shared" si="573"/>
        <v>#N/A</v>
      </c>
      <c r="BB354" s="102" t="e">
        <f t="shared" si="574"/>
        <v>#N/A</v>
      </c>
      <c r="BC354" s="414" t="e">
        <f>IF(AND(AY354&gt;NDC!$C$63,AZ354&gt;NDC!$C$65,BA354&gt;NDC!$D$73,BB354&gt;NDC!$D$74,$B354&gt;NDC!$H$22-0.1+MIN(3*BC$12,1.5)),0,1)</f>
        <v>#N/A</v>
      </c>
      <c r="BD354" s="86" t="b">
        <f t="shared" si="542"/>
        <v>0</v>
      </c>
      <c r="BE354" s="86">
        <f t="shared" si="575"/>
        <v>0.5</v>
      </c>
      <c r="BF354" s="86">
        <f t="shared" si="543"/>
        <v>0.5</v>
      </c>
      <c r="BG354" s="30" t="e">
        <f t="shared" ca="1" si="576"/>
        <v>#DIV/0!</v>
      </c>
      <c r="BH354" s="85" t="e">
        <f ca="1">IF(AN354&lt;=Hypothèses!$V$7,Hypothèses!$W$7,IF(AN354&lt;=Hypothèses!$V$8,Hypothèses!$W$8,IF(AN354&lt;=Hypothèses!$V$9,Hypothèses!$W$9,IF(AN354&lt;=Hypothèses!$V$10,Hypothèses!$W$10,IF(AN354&lt;=Hypothèses!$V$11,Hypothèses!$W$11,IF(AN354&lt;=Hypothèses!$V$12,Hypothèses!$W$12,IF(AN354&lt;=Hypothèses!$V$13,Hypothèses!$W$13,IF(AN354&lt;=Hypothèses!$V$14,Hypothèses!$W$14,IF(AN354&lt;=Hypothèses!$V$15,Hypothèses!$W$15,IF(AN354&lt;=Hypothèses!$V$16,Hypothèses!$W$16,IF(AN354&lt;=Hypothèses!$V$17,Hypothèses!$W$17,IF(AN354&lt;=Hypothèses!$V$18,Hypothèses!$W$18,""))))))))))))</f>
        <v>#DIV/0!</v>
      </c>
      <c r="BI354" s="87" t="e">
        <f t="shared" ca="1" si="618"/>
        <v>#DIV/0!</v>
      </c>
      <c r="BJ354" s="88" t="e">
        <f ca="1">IF(AN354&lt;=Hypothèses!$V$7,Hypothèses!$X$7,IF(AN354&lt;=Hypothèses!$V$8,Hypothèses!$X$8,IF(AN354&lt;=Hypothèses!$V$9,Hypothèses!$X$9,IF(AN354&lt;=Hypothèses!$V$10,Hypothèses!$X$10,IF(AN354&lt;=Hypothèses!$V$11,Hypothèses!$X$11,IF(AN354&lt;=Hypothèses!$V$12,Hypothèses!$X$12,IF(AN354&lt;=Hypothèses!$V$13,Hypothèses!$X$13,IF(AN354&lt;=Hypothèses!$V$14,Hypothèses!$X$14,IF(AN354&lt;=Hypothèses!$V$15,Hypothèses!$X$15,IF(AN354&lt;=Hypothèses!$V$16,Hypothèses!$X$16,IF(AN354&lt;=Hypothèses!$U$17,Hypothèses!$W$17,IF(AN354&lt;=Hypothèses!$U$18,Hypothèses!$W$18,""))))))))))))</f>
        <v>#DIV/0!</v>
      </c>
      <c r="BK354" s="95" t="e">
        <f t="shared" ca="1" si="577"/>
        <v>#DIV/0!</v>
      </c>
      <c r="BL354" s="101">
        <f t="shared" si="625"/>
        <v>0</v>
      </c>
      <c r="BM354" s="91">
        <f t="shared" si="544"/>
        <v>0</v>
      </c>
      <c r="BN354" s="30" t="e">
        <f t="shared" si="604"/>
        <v>#N/A</v>
      </c>
      <c r="BO354" s="30" t="e">
        <f t="shared" si="605"/>
        <v>#N/A</v>
      </c>
      <c r="BP354" s="31" t="e">
        <f>IF(OR(Hypothèses!$B$4=17,Hypothèses!$B$4=18,Hypothèses!$B$4=19,Hypothèses!$B$4=20),
IF($D354="Pressio.",
IF(OR($E354=3,$E354=1,$E354=4),BO354,BN354),
IF($D354="Pénétro.",
IF(OR($E354=3,$E354=1,$E354=4),BO354,BN354))),IF($D354="Pressio.",
IF($E354=3,BO354,BN354),
IF($D354="Pénétro.",
IF($E354=4,BO354,BN354))))</f>
        <v>#N/A</v>
      </c>
      <c r="BQ354" s="31">
        <v>0</v>
      </c>
      <c r="BR354" s="102" t="e">
        <f>IF(NDC!$H$10="Oui",(VLOOKUP($B$3,'Coeff EC7'!$T$39:$X$59,2,0)*BP354+VLOOKUP($B$3,'Coeff EC7'!$T$65:$X$85,2,0)*Model0.1T!BQ354)/1.5,PI()*BN$12*$Q354*($B354-$B353)*0.15/10+BR353)</f>
        <v>#N/A</v>
      </c>
      <c r="BS354" s="102" t="e">
        <f>(VLOOKUP($B$3,'Coeff EC7'!$T$39:$X$59,3,0)*BP354+VLOOKUP($B$3,'Coeff EC7'!$T$65:$X$85,3,0)*Model0.1T!BQ354)/1.1</f>
        <v>#N/A</v>
      </c>
      <c r="BT354" s="102" t="e">
        <f t="shared" si="578"/>
        <v>#N/A</v>
      </c>
      <c r="BU354" s="102" t="e">
        <f t="shared" si="579"/>
        <v>#N/A</v>
      </c>
      <c r="BV354" s="414" t="e">
        <f>IF(AND(BR354&gt;NDC!$C$63,BS354&gt;NDC!$C$65,BT354&gt;NDC!$D$73,BU354&gt;NDC!$D$74,$B354&gt;NDC!$H$22-0.1+MIN(3*BV$12,1.5)),0,1)</f>
        <v>#N/A</v>
      </c>
      <c r="BW354" s="86" t="b">
        <f t="shared" si="545"/>
        <v>0</v>
      </c>
      <c r="BX354" s="86">
        <f t="shared" si="546"/>
        <v>0.5</v>
      </c>
      <c r="BY354" s="86">
        <f t="shared" si="547"/>
        <v>0.5</v>
      </c>
      <c r="BZ354" s="30" t="e">
        <f t="shared" ca="1" si="580"/>
        <v>#DIV/0!</v>
      </c>
      <c r="CA354" s="85" t="e">
        <f ca="1">IF(BG354&lt;=Hypothèses!$V$7,Hypothèses!$W$7,IF(BG354&lt;=Hypothèses!$V$8,Hypothèses!$W$8,IF(BG354&lt;=Hypothèses!$V$9,Hypothèses!$W$9,IF(BG354&lt;=Hypothèses!$V$10,Hypothèses!$W$10,IF(BG354&lt;=Hypothèses!$V$11,Hypothèses!$W$11,IF(BG354&lt;=Hypothèses!$V$12,Hypothèses!$W$12,IF(BG354&lt;=Hypothèses!$V$13,Hypothèses!$W$13,IF(BG354&lt;=Hypothèses!$V$14,Hypothèses!$W$14,IF(BG354&lt;=Hypothèses!$V$15,Hypothèses!$W$15,IF(BG354&lt;=Hypothèses!$V$16,Hypothèses!$W$16,IF(BG354&lt;=Hypothèses!$V$17,Hypothèses!$W$17,IF(BG354&lt;=Hypothèses!$V$18,Hypothèses!$W$18,""))))))))))))</f>
        <v>#DIV/0!</v>
      </c>
      <c r="CB354" s="87" t="e">
        <f t="shared" ca="1" si="619"/>
        <v>#DIV/0!</v>
      </c>
      <c r="CC354" s="88" t="e">
        <f ca="1">IF(BG354&lt;=Hypothèses!$V$7,Hypothèses!$X$7,IF(BG354&lt;=Hypothèses!$V$8,Hypothèses!$X$8,IF(BG354&lt;=Hypothèses!$V$9,Hypothèses!$X$9,IF(BG354&lt;=Hypothèses!$V$10,Hypothèses!$X$10,IF(BG354&lt;=Hypothèses!$V$11,Hypothèses!$X$11,IF(BG354&lt;=Hypothèses!$V$12,Hypothèses!$X$12,IF(BG354&lt;=Hypothèses!$V$13,Hypothèses!$X$13,IF(BG354&lt;=Hypothèses!$V$14,Hypothèses!$X$14,IF(BG354&lt;=Hypothèses!$V$15,Hypothèses!$X$15,IF(BG354&lt;=Hypothèses!$V$16,Hypothèses!$X$16,IF(BG354&lt;=Hypothèses!$U$17,Hypothèses!$W$17,IF(BG354&lt;=Hypothèses!$U$18,Hypothèses!$W$18,""))))))))))))</f>
        <v>#DIV/0!</v>
      </c>
      <c r="CD354" s="95" t="e">
        <f t="shared" ca="1" si="581"/>
        <v>#DIV/0!</v>
      </c>
      <c r="CE354" s="101">
        <f t="shared" si="626"/>
        <v>0</v>
      </c>
      <c r="CF354" s="91">
        <f t="shared" si="548"/>
        <v>0</v>
      </c>
      <c r="CG354" s="30" t="e">
        <f t="shared" si="606"/>
        <v>#N/A</v>
      </c>
      <c r="CH354" s="30" t="e">
        <f t="shared" si="607"/>
        <v>#N/A</v>
      </c>
      <c r="CI354" s="31" t="e">
        <f>IF(OR(Hypothèses!$B$4=17,Hypothèses!$B$4=18,Hypothèses!$B$4=19,Hypothèses!$B$4=20),
IF($D354="Pressio.",
IF(OR($E354=3,$E354=1,$E354=4),CH354,CG354),
IF($D354="Pénétro.",
IF(OR($E354=3,$E354=1,$E354=4),CH354,CG354))),IF($D354="Pressio.",
IF($E354=3,CH354,CG354),
IF($D354="Pénétro.",
IF($E354=4,CH354,CG354))))</f>
        <v>#N/A</v>
      </c>
      <c r="CJ354" s="31">
        <v>0</v>
      </c>
      <c r="CK354" s="102" t="e">
        <f>IF(NDC!$H$10="Oui",(VLOOKUP($B$3,'Coeff EC7'!$T$39:$X$59,2,0)*CI354+VLOOKUP($B$3,'Coeff EC7'!$T$65:$X$85,2,0)*Model0.1T!CJ354)/1.5,PI()*CG$12*$Q354*($B354-$B353)*0.15/10+CK353)</f>
        <v>#N/A</v>
      </c>
      <c r="CL354" s="102" t="e">
        <f>(VLOOKUP($B$3,'Coeff EC7'!$T$39:$X$59,3,0)*CI354+VLOOKUP($B$3,'Coeff EC7'!$T$65:$X$85,3,0)*Model0.1T!CJ354)/1.1</f>
        <v>#N/A</v>
      </c>
      <c r="CM354" s="102" t="e">
        <f t="shared" si="582"/>
        <v>#N/A</v>
      </c>
      <c r="CN354" s="102" t="e">
        <f t="shared" si="583"/>
        <v>#N/A</v>
      </c>
      <c r="CO354" s="414" t="e">
        <f>IF(AND(CK354&gt;NDC!$C$63,CL354&gt;NDC!$C$65,CM354&gt;NDC!$D$73,CN354&gt;NDC!$D$74,$B354&gt;NDC!$H$22-0.1+MIN(3*CO$12,1.5)),0,1)</f>
        <v>#N/A</v>
      </c>
      <c r="CP354" s="86" t="b">
        <f t="shared" si="549"/>
        <v>0</v>
      </c>
      <c r="CQ354" s="86">
        <f t="shared" si="550"/>
        <v>0.5</v>
      </c>
      <c r="CR354" s="86">
        <f t="shared" si="551"/>
        <v>0.5</v>
      </c>
      <c r="CS354" s="30" t="e">
        <f t="shared" ca="1" si="584"/>
        <v>#DIV/0!</v>
      </c>
      <c r="CT354" s="85" t="e">
        <f ca="1">IF(BZ354&lt;=Hypothèses!$V$7,Hypothèses!$W$7,IF(BZ354&lt;=Hypothèses!$V$8,Hypothèses!$W$8,IF(BZ354&lt;=Hypothèses!$V$9,Hypothèses!$W$9,IF(BZ354&lt;=Hypothèses!$V$10,Hypothèses!$W$10,IF(BZ354&lt;=Hypothèses!$V$11,Hypothèses!$W$11,IF(BZ354&lt;=Hypothèses!$V$12,Hypothèses!$W$12,IF(BZ354&lt;=Hypothèses!$V$13,Hypothèses!$W$13,IF(BZ354&lt;=Hypothèses!$V$14,Hypothèses!$W$14,IF(BZ354&lt;=Hypothèses!$V$15,Hypothèses!$W$15,IF(BZ354&lt;=Hypothèses!$V$16,Hypothèses!$W$16,IF(BZ354&lt;=Hypothèses!$V$17,Hypothèses!$W$17,IF(BZ354&lt;=Hypothèses!$V$18,Hypothèses!$W$18,""))))))))))))</f>
        <v>#DIV/0!</v>
      </c>
      <c r="CU354" s="87" t="e">
        <f t="shared" ca="1" si="620"/>
        <v>#DIV/0!</v>
      </c>
      <c r="CV354" s="88" t="e">
        <f ca="1">IF(BZ354&lt;=Hypothèses!$V$7,Hypothèses!$X$7,IF(BZ354&lt;=Hypothèses!$V$8,Hypothèses!$X$8,IF(BZ354&lt;=Hypothèses!$V$9,Hypothèses!$X$9,IF(BZ354&lt;=Hypothèses!$V$10,Hypothèses!$X$10,IF(BZ354&lt;=Hypothèses!$V$11,Hypothèses!$X$11,IF(BZ354&lt;=Hypothèses!$V$12,Hypothèses!$X$12,IF(BZ354&lt;=Hypothèses!$V$13,Hypothèses!$X$13,IF(BZ354&lt;=Hypothèses!$V$14,Hypothèses!$X$14,IF(BZ354&lt;=Hypothèses!$V$15,Hypothèses!$X$15,IF(BZ354&lt;=Hypothèses!$V$16,Hypothèses!$X$16,IF(BZ354&lt;=Hypothèses!$U$17,Hypothèses!$W$17,IF(BZ354&lt;=Hypothèses!$U$18,Hypothèses!$W$18,""))))))))))))</f>
        <v>#DIV/0!</v>
      </c>
      <c r="CW354" s="95" t="e">
        <f t="shared" ca="1" si="585"/>
        <v>#DIV/0!</v>
      </c>
      <c r="CX354" s="101">
        <f t="shared" si="627"/>
        <v>0</v>
      </c>
      <c r="CY354" s="91">
        <f t="shared" si="552"/>
        <v>0</v>
      </c>
      <c r="CZ354" s="30" t="e">
        <f t="shared" si="608"/>
        <v>#N/A</v>
      </c>
      <c r="DA354" s="30" t="e">
        <f t="shared" si="609"/>
        <v>#N/A</v>
      </c>
      <c r="DB354" s="31" t="e">
        <f>IF(OR(Hypothèses!$B$4=17,Hypothèses!$B$4=18,Hypothèses!$B$4=19,Hypothèses!$B$4=20),
IF($D354="Pressio.",
IF(OR($E354=3,$E354=1,$E354=4),DA354,CZ354),
IF($D354="Pénétro.",
IF(OR($E354=3,$E354=1,$E354=4),DA354,CZ354))),IF($D354="Pressio.",
IF($E354=3,DA354,CZ354),
IF($D354="Pénétro.",
IF($E354=4,DA354,CZ354))))</f>
        <v>#N/A</v>
      </c>
      <c r="DC354" s="31">
        <v>0</v>
      </c>
      <c r="DD354" s="102" t="e">
        <f>IF(NDC!$H$10="Oui",(VLOOKUP($B$3,'Coeff EC7'!$T$39:$X$59,2,0)*DB354+VLOOKUP($B$3,'Coeff EC7'!$T$65:$X$85,2,0)*Model0.1T!DC354)/1.5,PI()*CZ$12*$Q354*($B354-$B353)*0.15/10+DD353)</f>
        <v>#N/A</v>
      </c>
      <c r="DE354" s="102" t="e">
        <f>(VLOOKUP($B$3,'Coeff EC7'!$T$39:$X$59,3,0)*DB354+VLOOKUP($B$3,'Coeff EC7'!$T$65:$X$85,3,0)*Model0.1T!DC354)/1.1</f>
        <v>#N/A</v>
      </c>
      <c r="DF354" s="102" t="e">
        <f t="shared" si="586"/>
        <v>#N/A</v>
      </c>
      <c r="DG354" s="102" t="e">
        <f t="shared" si="587"/>
        <v>#N/A</v>
      </c>
      <c r="DH354" s="414" t="e">
        <f>IF(AND(DD354&gt;NDC!$C$63,DE354&gt;NDC!$C$65,DF354&gt;NDC!$D$73,DG354&gt;NDC!$D$74,$B354&gt;NDC!$H$22-0.1+MIN(3*DH$12,1.5)),0,1)</f>
        <v>#N/A</v>
      </c>
      <c r="DI354" s="86" t="b">
        <f t="shared" si="553"/>
        <v>0</v>
      </c>
      <c r="DJ354" s="86">
        <f t="shared" si="554"/>
        <v>0.5</v>
      </c>
      <c r="DK354" s="86">
        <f t="shared" si="555"/>
        <v>0.5</v>
      </c>
      <c r="DL354" s="30" t="e">
        <f t="shared" ca="1" si="588"/>
        <v>#DIV/0!</v>
      </c>
      <c r="DM354" s="85" t="e">
        <f ca="1">IF(CS354&lt;=Hypothèses!$V$7,Hypothèses!$W$7,IF(CS354&lt;=Hypothèses!$V$8,Hypothèses!$W$8,IF(CS354&lt;=Hypothèses!$V$9,Hypothèses!$W$9,IF(CS354&lt;=Hypothèses!$V$10,Hypothèses!$W$10,IF(CS354&lt;=Hypothèses!$V$11,Hypothèses!$W$11,IF(CS354&lt;=Hypothèses!$V$12,Hypothèses!$W$12,IF(CS354&lt;=Hypothèses!$V$13,Hypothèses!$W$13,IF(CS354&lt;=Hypothèses!$V$14,Hypothèses!$W$14,IF(CS354&lt;=Hypothèses!$V$15,Hypothèses!$W$15,IF(CS354&lt;=Hypothèses!$V$16,Hypothèses!$W$16,IF(CS354&lt;=Hypothèses!$V$17,Hypothèses!$W$17,IF(CS354&lt;=Hypothèses!$V$18,Hypothèses!$W$18,""))))))))))))</f>
        <v>#DIV/0!</v>
      </c>
      <c r="DN354" s="87" t="e">
        <f t="shared" ca="1" si="621"/>
        <v>#DIV/0!</v>
      </c>
      <c r="DO354" s="88" t="e">
        <f ca="1">IF(CS354&lt;=Hypothèses!$V$7,Hypothèses!$X$7,IF(CS354&lt;=Hypothèses!$V$8,Hypothèses!$X$8,IF(CS354&lt;=Hypothèses!$V$9,Hypothèses!$X$9,IF(CS354&lt;=Hypothèses!$V$10,Hypothèses!$X$10,IF(CS354&lt;=Hypothèses!$V$11,Hypothèses!$X$11,IF(CS354&lt;=Hypothèses!$V$12,Hypothèses!$X$12,IF(CS354&lt;=Hypothèses!$V$13,Hypothèses!$X$13,IF(CS354&lt;=Hypothèses!$V$14,Hypothèses!$X$14,IF(CS354&lt;=Hypothèses!$V$15,Hypothèses!$X$15,IF(CS354&lt;=Hypothèses!$V$16,Hypothèses!$X$16,IF(CS354&lt;=Hypothèses!$U$17,Hypothèses!$W$17,IF(CS354&lt;=Hypothèses!$U$18,Hypothèses!$W$18,""))))))))))))</f>
        <v>#DIV/0!</v>
      </c>
      <c r="DP354" s="95" t="e">
        <f t="shared" ca="1" si="589"/>
        <v>#DIV/0!</v>
      </c>
      <c r="DQ354" s="101">
        <f t="shared" si="628"/>
        <v>0</v>
      </c>
      <c r="DR354" s="91">
        <f t="shared" si="556"/>
        <v>0</v>
      </c>
      <c r="DS354" s="30" t="e">
        <f t="shared" si="610"/>
        <v>#N/A</v>
      </c>
      <c r="DT354" s="30" t="e">
        <f t="shared" si="611"/>
        <v>#N/A</v>
      </c>
      <c r="DU354" s="31" t="e">
        <f>IF(OR(Hypothèses!$B$4=17,Hypothèses!$B$4=18,Hypothèses!$B$4=19,Hypothèses!$B$4=20),
IF($D354="Pressio.",
IF(OR($E354=3,$E354=1,$E354=4),DT354,DS354),
IF($D354="Pénétro.",
IF(OR($E354=3,$E354=1,$E354=4),DT354,DS354))),IF($D354="Pressio.",
IF($E354=3,DT354,DS354),
IF($D354="Pénétro.",
IF($E354=4,DT354,DS354))))</f>
        <v>#N/A</v>
      </c>
      <c r="DV354" s="31">
        <v>0</v>
      </c>
      <c r="DW354" s="102" t="e">
        <f>IF(NDC!$H$10="Oui",(VLOOKUP($B$3,'Coeff EC7'!$T$39:$X$59,2,0)*DU354+VLOOKUP($B$3,'Coeff EC7'!$T$65:$X$85,2,0)*Model0.1T!DV354)/1.5,PI()*DS$12*$Q354*($B354-$B353)*0.15/10+DW353)</f>
        <v>#N/A</v>
      </c>
      <c r="DX354" s="102" t="e">
        <f>(VLOOKUP($B$3,'Coeff EC7'!$T$39:$X$59,3,0)*DU354+VLOOKUP($B$3,'Coeff EC7'!$T$65:$X$85,3,0)*Model0.1T!DV354)/1.1</f>
        <v>#N/A</v>
      </c>
      <c r="DY354" s="102" t="e">
        <f t="shared" si="590"/>
        <v>#N/A</v>
      </c>
      <c r="DZ354" s="102" t="e">
        <f t="shared" si="591"/>
        <v>#N/A</v>
      </c>
      <c r="EA354" s="414" t="e">
        <f>IF(AND(DW354&gt;NDC!$C$63,DX354&gt;NDC!$C$65,DY354&gt;NDC!$D$73,DZ354&gt;NDC!$D$74,$B354&gt;NDC!$H$22-0.1+MIN(3*EA$12,1.5)),0,1)</f>
        <v>#N/A</v>
      </c>
      <c r="EB354" s="86" t="b">
        <f t="shared" si="557"/>
        <v>0</v>
      </c>
      <c r="EC354" s="418">
        <f t="shared" si="558"/>
        <v>0.51</v>
      </c>
      <c r="ED354" s="86">
        <f t="shared" si="559"/>
        <v>0.51</v>
      </c>
      <c r="EE354" s="30" t="e">
        <f t="shared" ca="1" si="592"/>
        <v>#DIV/0!</v>
      </c>
      <c r="EF354" s="85" t="e">
        <f ca="1">IF(DL354&lt;=Hypothèses!$V$7,Hypothèses!$W$7,IF(DL354&lt;=Hypothèses!$V$8,Hypothèses!$W$8,IF(DL354&lt;=Hypothèses!$V$9,Hypothèses!$W$9,IF(DL354&lt;=Hypothèses!$V$10,Hypothèses!$W$10,IF(DL354&lt;=Hypothèses!$V$11,Hypothèses!$W$11,IF(DL354&lt;=Hypothèses!$V$12,Hypothèses!$W$12,IF(DL354&lt;=Hypothèses!$V$13,Hypothèses!$W$13,IF(DL354&lt;=Hypothèses!$V$14,Hypothèses!$W$14,IF(DL354&lt;=Hypothèses!$V$15,Hypothèses!$W$15,IF(DL354&lt;=Hypothèses!$V$16,Hypothèses!$W$16,IF(DL354&lt;=Hypothèses!$V$17,Hypothèses!$W$17,IF(DL354&lt;=Hypothèses!$V$18,Hypothèses!$W$18,""))))))))))))</f>
        <v>#DIV/0!</v>
      </c>
      <c r="EG354" s="87" t="e">
        <f t="shared" ca="1" si="622"/>
        <v>#DIV/0!</v>
      </c>
      <c r="EH354" s="88" t="e">
        <f ca="1">IF(DL354&lt;=Hypothèses!$V$7,Hypothèses!$X$7,IF(DL354&lt;=Hypothèses!$V$8,Hypothèses!$X$8,IF(DL354&lt;=Hypothèses!$V$9,Hypothèses!$X$9,IF(DL354&lt;=Hypothèses!$V$10,Hypothèses!$X$10,IF(DL354&lt;=Hypothèses!$V$11,Hypothèses!$X$11,IF(DL354&lt;=Hypothèses!$V$12,Hypothèses!$X$12,IF(DL354&lt;=Hypothèses!$V$13,Hypothèses!$X$13,IF(DL354&lt;=Hypothèses!$V$14,Hypothèses!$X$14,IF(DL354&lt;=Hypothèses!$V$15,Hypothèses!$X$15,IF(DL354&lt;=Hypothèses!$V$16,Hypothèses!$X$16,IF(DL354&lt;=Hypothèses!$U$17,Hypothèses!$W$17,IF(DL354&lt;=Hypothèses!$U$18,Hypothèses!$W$18,""))))))))))))</f>
        <v>#DIV/0!</v>
      </c>
      <c r="EI354" s="95" t="e">
        <f t="shared" ca="1" si="593"/>
        <v>#DIV/0!</v>
      </c>
      <c r="EJ354" s="101">
        <f t="shared" si="629"/>
        <v>0</v>
      </c>
      <c r="EK354" s="91">
        <f t="shared" si="560"/>
        <v>0</v>
      </c>
      <c r="EL354" s="30" t="e">
        <f t="shared" si="612"/>
        <v>#N/A</v>
      </c>
      <c r="EM354" s="30" t="e">
        <f t="shared" si="613"/>
        <v>#N/A</v>
      </c>
      <c r="EN354" s="31" t="e">
        <f>IF(OR(Hypothèses!$B$4=17,Hypothèses!$B$4=18,Hypothèses!$B$4=19,Hypothèses!$B$4=20),
IF($D354="Pressio.",
IF(OR($E354=3,$E354=1,$E354=4),EM354,EL354),
IF($D354="Pénétro.",
IF(OR($E354=3,$E354=1,$E354=4),EM354,EL354))),IF($D354="Pressio.",
IF($E354=3,EM354,EL354),
IF($D354="Pénétro.",
IF($E354=4,EM354,EL354))))</f>
        <v>#N/A</v>
      </c>
      <c r="EO354" s="31">
        <v>0</v>
      </c>
      <c r="EP354" s="102" t="e">
        <f>IF(NDC!$H$10="Oui",(VLOOKUP($B$3,'Coeff EC7'!$T$39:$X$59,2,0)*EN354+VLOOKUP($B$3,'Coeff EC7'!$T$65:$X$85,2,0)*Model0.1T!EO354)/1.5,PI()*EL$12*$Q354*($B354-$B353)*0.15/10+EP353)</f>
        <v>#N/A</v>
      </c>
      <c r="EQ354" s="102" t="e">
        <f>(VLOOKUP($B$3,'Coeff EC7'!$T$39:$X$59,3,0)*EN354+VLOOKUP($B$3,'Coeff EC7'!$T$65:$X$85,3,0)*Model0.1T!EO354)/1.1</f>
        <v>#N/A</v>
      </c>
      <c r="ER354" s="102" t="e">
        <f t="shared" si="594"/>
        <v>#N/A</v>
      </c>
      <c r="ES354" s="102" t="e">
        <f t="shared" si="595"/>
        <v>#N/A</v>
      </c>
      <c r="ET354" s="414" t="e">
        <f>IF(AND(EP354&gt;NDC!$C$63,EQ354&gt;NDC!$C$65,ER354&gt;NDC!$D$73,ES354&gt;NDC!$D$74,$B354&gt;NDC!$H$22-0.1+MIN(3*ET$12,1.5)),0,1)</f>
        <v>#N/A</v>
      </c>
      <c r="EU354" s="86" t="b">
        <f t="shared" si="561"/>
        <v>0</v>
      </c>
      <c r="EV354" s="86">
        <f t="shared" si="562"/>
        <v>0.61</v>
      </c>
      <c r="EW354" s="86">
        <f t="shared" si="563"/>
        <v>0.61</v>
      </c>
      <c r="EX354" s="30" t="e">
        <f t="shared" ca="1" si="596"/>
        <v>#DIV/0!</v>
      </c>
      <c r="EY354" s="85" t="e">
        <f ca="1">IF(EE354&lt;=Hypothèses!$V$7,Hypothèses!$W$7,IF(EE354&lt;=Hypothèses!$V$8,Hypothèses!$W$8,IF(EE354&lt;=Hypothèses!$V$9,Hypothèses!$W$9,IF(EE354&lt;=Hypothèses!$V$10,Hypothèses!$W$10,IF(EE354&lt;=Hypothèses!$V$11,Hypothèses!$W$11,IF(EE354&lt;=Hypothèses!$V$12,Hypothèses!$W$12,IF(EE354&lt;=Hypothèses!$V$13,Hypothèses!$W$13,IF(EE354&lt;=Hypothèses!$V$14,Hypothèses!$W$14,IF(EE354&lt;=Hypothèses!$V$15,Hypothèses!$W$15,IF(EE354&lt;=Hypothèses!$V$16,Hypothèses!$W$16,IF(EE354&lt;=Hypothèses!$V$17,Hypothèses!$W$17,IF(EE354&lt;=Hypothèses!$V$18,Hypothèses!$W$18,""))))))))))))</f>
        <v>#DIV/0!</v>
      </c>
      <c r="EZ354" s="87" t="e">
        <f t="shared" ca="1" si="623"/>
        <v>#DIV/0!</v>
      </c>
      <c r="FA354" s="88" t="e">
        <f ca="1">IF(EE354&lt;=Hypothèses!$V$7,Hypothèses!$X$7,IF(EE354&lt;=Hypothèses!$V$8,Hypothèses!$X$8,IF(EE354&lt;=Hypothèses!$V$9,Hypothèses!$X$9,IF(EE354&lt;=Hypothèses!$V$10,Hypothèses!$X$10,IF(EE354&lt;=Hypothèses!$V$11,Hypothèses!$X$11,IF(EE354&lt;=Hypothèses!$V$12,Hypothèses!$X$12,IF(EE354&lt;=Hypothèses!$V$13,Hypothèses!$X$13,IF(EE354&lt;=Hypothèses!$V$14,Hypothèses!$X$14,IF(EE354&lt;=Hypothèses!$V$15,Hypothèses!$X$15,IF(EE354&lt;=Hypothèses!$V$16,Hypothèses!$X$16,IF(EE354&lt;=Hypothèses!$U$17,Hypothèses!$W$17,IF(EE354&lt;=Hypothèses!$U$18,Hypothèses!$W$18,""))))))))))))</f>
        <v>#DIV/0!</v>
      </c>
      <c r="FB354" s="95" t="e">
        <f t="shared" ca="1" si="597"/>
        <v>#DIV/0!</v>
      </c>
      <c r="FC354" s="101">
        <f t="shared" si="630"/>
        <v>0</v>
      </c>
      <c r="FD354" s="91">
        <f t="shared" si="564"/>
        <v>0</v>
      </c>
      <c r="FE354" s="30" t="e">
        <f t="shared" si="614"/>
        <v>#N/A</v>
      </c>
      <c r="FF354" s="30" t="e">
        <f t="shared" si="615"/>
        <v>#N/A</v>
      </c>
      <c r="FG354" s="31" t="e">
        <f>IF(OR(Hypothèses!$B$4=17,Hypothèses!$B$4=18,Hypothèses!$B$4=19,Hypothèses!$B$4=20),
IF($D354="Pressio.",
IF(OR($E354=3,$E354=1,$E354=4),FF354,FE354),
IF($D354="Pénétro.",
IF(OR($E354=3,$E354=1,$E354=4),FF354,FE354))),IF($D354="Pressio.",
IF($E354=3,FF354,FE354),
IF($D354="Pénétro.",
IF($E354=4,FF354,FE354))))</f>
        <v>#N/A</v>
      </c>
      <c r="FH354" s="31">
        <v>0</v>
      </c>
      <c r="FI354" s="102" t="e">
        <f>IF(NDC!$H$10="Oui",(VLOOKUP($B$3,'Coeff EC7'!$T$39:$X$59,2,0)*FG354+VLOOKUP($B$3,'Coeff EC7'!$T$65:$X$85,2,0)*Model0.1T!FH354)/1.5,PI()*FE$12*$Q354*($B354-$B353)*0.15/10+FI353)</f>
        <v>#N/A</v>
      </c>
      <c r="FJ354" s="102" t="e">
        <f>(VLOOKUP($B$3,'Coeff EC7'!$T$39:$X$59,3,0)*FG354+VLOOKUP($B$3,'Coeff EC7'!$T$65:$X$85,3,0)*Model0.1T!FH354)/1.1</f>
        <v>#N/A</v>
      </c>
      <c r="FK354" s="102" t="e">
        <f t="shared" si="598"/>
        <v>#N/A</v>
      </c>
      <c r="FL354" s="102" t="e">
        <f t="shared" si="599"/>
        <v>#N/A</v>
      </c>
      <c r="FM354" s="414" t="e">
        <f>IF(AND(FI354&gt;NDC!$C$63,FJ354&gt;NDC!$C$65,FK354&gt;NDC!$D$73,FL354&gt;NDC!$D$74,$B354&gt;NDC!$H$22-0.1+MIN(3*FM$12,1.5)),0,1)</f>
        <v>#N/A</v>
      </c>
    </row>
    <row r="355" spans="1:169">
      <c r="A355" s="96">
        <f t="shared" si="565"/>
        <v>65.800000000001944</v>
      </c>
      <c r="B355" s="97">
        <v>34.200000000000003</v>
      </c>
      <c r="C355" s="81">
        <f>IF(B355&lt;=Hypothèses!$C$7,Hypothèses!$A$7,IF(B355&lt;=Hypothèses!$C$8,Hypothèses!$A$8,IF(B355&lt;=Hypothèses!$C$9,Hypothèses!$A$9,IF(B355&lt;=Hypothèses!$C$10,Hypothèses!$A$10,IF(B355&lt;=Hypothèses!$C$11,Hypothèses!$A$11,IF(B355&lt;=Hypothèses!$C$12,Hypothèses!$A$12,IF(B355&lt;=Hypothèses!$C$13,Hypothèses!$A$13,IF(B355&lt;=Hypothèses!$C$14,Hypothèses!$A$14,IF(B355&lt;=Hypothèses!$C$15,Hypothèses!$A$15,IF(B355&lt;=Hypothèses!$C$16,Hypothèses!$A$16,IF(B355&lt;=Hypothèses!$C$17,Hypothèses!$A$17,IF(B355&lt;=Hypothèses!$C$18,Hypothèses!$A$18,C354))))))))))))</f>
        <v>11</v>
      </c>
      <c r="D355" s="82" t="str">
        <f>IF(B355&lt;=Hypothèses!$C$7,Hypothèses!$R$7,IF(B355&lt;=Hypothèses!$C$8,Hypothèses!$R$8,IF(B355&lt;=Hypothèses!$C$9,Hypothèses!$R$9,IF(B355&lt;=Hypothèses!$C$10,Hypothèses!$R$10,IF(B355&lt;=Hypothèses!$C$11,Hypothèses!$R$11,IF(B355&lt;=Hypothèses!$C$12,Hypothèses!$R$12,IF(B355&lt;=Hypothèses!$C$13,Hypothèses!$R$13,IF(B355&lt;=Hypothèses!$C$14,Hypothèses!$R$14,IF(B355&lt;=Hypothèses!$C$15,Hypothèses!$R$15,IF(B355&lt;=Hypothèses!$C$16,Hypothèses!$R$16,IF(B355&lt;=Hypothèses!$C$17,Hypothèses!$R$17,IF(B355&lt;=Hypothèses!$C$18,Hypothèses!$R$18,D354))))))))))))</f>
        <v>Pressio.</v>
      </c>
      <c r="E355" s="82" t="e">
        <f>IF(B355&lt;=Hypothèses!$C$7,Hypothèses!$G$7,IF(B355&lt;=Hypothèses!$C$8,Hypothèses!$G$8,IF(B355&lt;=Hypothèses!$C$9,Hypothèses!$G$9,IF(B355&lt;=Hypothèses!$C$10,Hypothèses!$G$10,IF(B355&lt;=Hypothèses!$C$11,Hypothèses!$G$11,IF(B355&lt;=Hypothèses!$C$12,Hypothèses!$G$12,IF(B355&lt;=Hypothèses!$C$13,Hypothèses!$G$13,IF(B355&lt;=Hypothèses!$C$14,Hypothèses!$G$14,IF(B355&lt;=Hypothèses!$C$15,Hypothèses!$G$15,IF(B355&lt;=Hypothèses!$C$16,Hypothèses!$G$16,IF(B355&lt;=Hypothèses!$C$17,Hypothèses!$G$17,IF(B355&lt;=Hypothèses!$C$18,Hypothèses!$G$18,E354))))))))))))</f>
        <v>#N/A</v>
      </c>
      <c r="F355" s="82" t="str">
        <f>IF(B355&lt;=Hypothèses!$C$7,Hypothèses!$F$7,IF(B355&lt;=Hypothèses!$C$8,Hypothèses!$F$8,IF(B355&lt;=Hypothèses!$C$9,Hypothèses!$F$9,IF(B355&lt;=Hypothèses!$C$10,Hypothèses!$F$10,IF(B355&lt;=Hypothèses!$C$11,Hypothèses!$F$11,IF(B355&lt;=Hypothèses!$C$12,Hypothèses!$F$12,IF(B355&lt;=Hypothèses!$C$13,Hypothèses!$F$13,IF(B355&lt;=Hypothèses!$C$14,Hypothèses!$F$14,IF(B355&lt;=Hypothèses!$C$15,Hypothèses!$F$15,IF(B355&lt;=Hypothèses!$C$16,Hypothèses!$F$16,IF(B355&lt;=Hypothèses!$C$17,Hypothèses!$F$17,IF(B355&lt;=Hypothèses!$C$18,Hypothèses!$F$18,F354))))))))))))</f>
        <v/>
      </c>
      <c r="G355" s="91">
        <f t="array" ref="G355">INDEX('Coeff EC7'!$U$7:$X$27,
MATCH(Model0.1T!$B$3,'Coeff EC7'!$T$7:$T$27,0),
MATCH(Model0.1T!$D355&amp;Model0.1T!$B$4,
'Coeff EC7'!$U$6:$X$6&amp;
'Coeff EC7'!$U$5:$X$5,0))</f>
        <v>1.4</v>
      </c>
      <c r="H355" s="91">
        <f t="array" ref="H355">INDEX('Coeff EC7'!$Y$7:$AB$27,
MATCH(Model0.1T!$B$3,'Coeff EC7'!$T$7:$T$27,0),
MATCH(Model0.1T!$D355&amp;Model0.1T!$B$4,
'Coeff EC7'!$Y$6:$AB$6&amp;
'Coeff EC7'!$Y$5:$AB$5,0))</f>
        <v>1.7</v>
      </c>
      <c r="I355" s="83">
        <v>0</v>
      </c>
      <c r="J355" s="91" t="e">
        <f t="array" ref="J355">INDEX('Coeff EC7'!$D$33:$Q$33,1,MATCH(D355&amp;E355,'Coeff EC7'!$D$31:$Q$31&amp;'Coeff EC7'!$D$32:$Q$32,0))</f>
        <v>#N/A</v>
      </c>
      <c r="K355" s="91" t="e">
        <f t="array" ref="K355">INDEX('Coeff EC7'!$D$34:$Q$34,1,MATCH(D355&amp;E355,'Coeff EC7'!$D$31:$Q$31&amp;'Coeff EC7'!$D$32:$Q$32,0))</f>
        <v>#N/A</v>
      </c>
      <c r="L355" s="91" t="e">
        <f t="array" ref="L355">INDEX('Coeff EC7'!$D$35:$Q$35,1,MATCH(D355&amp;E355,'Coeff EC7'!$D$31:$Q$31&amp;'Coeff EC7'!$D$32:$Q$32,0))</f>
        <v>#N/A</v>
      </c>
      <c r="M355" s="98" t="e">
        <f t="shared" si="531"/>
        <v>#N/A</v>
      </c>
      <c r="N355" s="99" t="e">
        <f t="array" ref="N355">INDEX('Coeff EC7'!$D$7:$Q$27,MATCH($B$3,'Coeff EC7'!$C$7:$C$27,0),MATCH(D355&amp;E355,'Coeff EC7'!$D$5:$Q$5&amp;'Coeff EC7'!$D$6:$Q$6,0))</f>
        <v>#N/A</v>
      </c>
      <c r="O355" s="99" t="e">
        <f t="array" ref="O355">INDEX('Coeff EC7'!$D$41:$Q$61,MATCH($B$3,'Coeff EC7'!$C$41:$C$61,0),MATCH(D355&amp;E355,'Coeff EC7'!$D$39:$Q$39&amp;'Coeff EC7'!$D$40:$Q$40,0))</f>
        <v>#N/A</v>
      </c>
      <c r="P355" s="30" t="e">
        <f t="shared" si="566"/>
        <v>#N/A</v>
      </c>
      <c r="Q355" s="100" t="e">
        <f t="shared" si="533"/>
        <v>#N/A</v>
      </c>
      <c r="R355" s="86" t="b">
        <f t="shared" si="534"/>
        <v>0</v>
      </c>
      <c r="S355" s="86">
        <f t="shared" si="532"/>
        <v>0.5</v>
      </c>
      <c r="T355" s="86">
        <f t="shared" si="535"/>
        <v>0.5</v>
      </c>
      <c r="U355" s="30" t="e">
        <f t="shared" ca="1" si="567"/>
        <v>#DIV/0!</v>
      </c>
      <c r="V355" s="85" t="str">
        <f>IF(B355&lt;=Hypothèses!$V$7,Hypothèses!$W$7,IF(B355&lt;=Hypothèses!$V$8,Hypothèses!$W$8,IF(B355&lt;=Hypothèses!$V$9,Hypothèses!$W$9,IF(B355&lt;=Hypothèses!$V$10,Hypothèses!$W$10,IF(B355&lt;=Hypothèses!$V$11,Hypothèses!$W$11,IF(B355&lt;=Hypothèses!$V$12,Hypothèses!$W$12,IF(B355&lt;=Hypothèses!$V$13,Hypothèses!$W$13,IF(B355&lt;=Hypothèses!$V$14,Hypothèses!$W$14,IF(B355&lt;=Hypothèses!$V$15,Hypothèses!$W$15,IF(B355&lt;=Hypothèses!$V$16,Hypothèses!$W$16,IF(B355&lt;=Hypothèses!$V$17,Hypothèses!$W$17,IF(B355&lt;=Hypothèses!$V$18,Hypothèses!$W$18,""))))))))))))</f>
        <v/>
      </c>
      <c r="W355" s="87" t="e">
        <f t="shared" ca="1" si="616"/>
        <v>#DIV/0!</v>
      </c>
      <c r="X355" s="88" t="str">
        <f>IF(B355&lt;=Hypothèses!$V$7,Hypothèses!$X$7,IF(B355&lt;=Hypothèses!$V$8,Hypothèses!$X$8,IF(B355&lt;=Hypothèses!$V$9,Hypothèses!$X$9,IF(B355&lt;=Hypothèses!$V$10,Hypothèses!$X$10,IF(B355&lt;=Hypothèses!$V$11,Hypothèses!$X$11,IF(B355&lt;=Hypothèses!$V$12,Hypothèses!$X$12,IF(B355&lt;=Hypothèses!$V$13,Hypothèses!$X$13,IF(B355&lt;=Hypothèses!$V$14,Hypothèses!$X$14,IF(B355&lt;=Hypothèses!$V$15,Hypothèses!$X$15,IF(B355&lt;=Hypothèses!$V$16,Hypothèses!$X$16,IF(B355&lt;=Hypothèses!$U$17,Hypothèses!$W$17,IF(B355&lt;=Hypothèses!$U$18,Hypothèses!$W$18,""))))))))))))</f>
        <v/>
      </c>
      <c r="Y355" s="95" t="e">
        <f t="shared" ca="1" si="536"/>
        <v>#DIV/0!</v>
      </c>
      <c r="Z355" s="101">
        <f t="shared" si="537"/>
        <v>0</v>
      </c>
      <c r="AA355" s="91">
        <f t="shared" si="538"/>
        <v>0</v>
      </c>
      <c r="AB355" s="30" t="e">
        <f t="shared" si="600"/>
        <v>#N/A</v>
      </c>
      <c r="AC355" s="30" t="e">
        <f t="shared" si="601"/>
        <v>#N/A</v>
      </c>
      <c r="AD355" s="31" t="e">
        <f>IF(OR(Hypothèses!$B$4=17,Hypothèses!$B$4=18,Hypothèses!$B$4=19,Hypothèses!$B$4=20),
IF($D355="Pressio.",
IF(OR($E355=3,$E355=1,$E355=4),AC355,AB355),
IF($D355="Pénétro.",
IF(OR($E355=3,$E355=1,$E355=4),AC355,AB355))),IF($D355="Pressio.",
IF($E355=3,AC355,AB355),
IF($D355="Pénétro.",
IF($E355=4,AC355,AB355))))</f>
        <v>#N/A</v>
      </c>
      <c r="AE355" s="31">
        <v>0</v>
      </c>
      <c r="AF355" s="102" t="e">
        <f>IF(NDC!$H$10="Oui",(VLOOKUP($B$3,'Coeff EC7'!$T$39:$X$59,2,0)*AD355+VLOOKUP($B$3,'Coeff EC7'!$T$65:$X$85,2,0)*Model0.1T!AE355)/1.5,PI()*AB$12*$Q355*($B355-$B354)*0.15/10+AF354)</f>
        <v>#N/A</v>
      </c>
      <c r="AG355" s="102" t="e">
        <f>(VLOOKUP($B$3,'Coeff EC7'!$T$39:$X$59,3,0)*AD355+VLOOKUP($B$3,'Coeff EC7'!$T$65:$X$85,3,0)*Model0.1T!AE355)/1.1</f>
        <v>#N/A</v>
      </c>
      <c r="AH355" s="102" t="e">
        <f t="shared" si="568"/>
        <v>#N/A</v>
      </c>
      <c r="AI355" s="102" t="e">
        <f t="shared" si="569"/>
        <v>#N/A</v>
      </c>
      <c r="AJ355" s="414" t="e">
        <f>IF(AND(AF355&gt;NDC!$C$63,AG355&gt;NDC!$C$65,AH355&gt;NDC!$D$73,AI355&gt;NDC!$D$74,$B355&gt;NDC!$H$22-0.1+MIN(3*$AJ$12,1.5)),0,1)</f>
        <v>#N/A</v>
      </c>
      <c r="AK355" s="86" t="b">
        <f t="shared" si="539"/>
        <v>0</v>
      </c>
      <c r="AL355" s="86">
        <f t="shared" si="570"/>
        <v>0.5</v>
      </c>
      <c r="AM355" s="86">
        <f t="shared" si="540"/>
        <v>0.5</v>
      </c>
      <c r="AN355" s="30" t="e">
        <f t="shared" ca="1" si="571"/>
        <v>#DIV/0!</v>
      </c>
      <c r="AO355" s="85" t="e">
        <f ca="1">IF(U355&lt;=Hypothèses!$V$7,Hypothèses!$W$7,IF(U355&lt;=Hypothèses!$V$8,Hypothèses!$W$8,IF(U355&lt;=Hypothèses!$V$9,Hypothèses!$W$9,IF(U355&lt;=Hypothèses!$V$10,Hypothèses!$W$10,IF(U355&lt;=Hypothèses!$V$11,Hypothèses!$W$11,IF(U355&lt;=Hypothèses!$V$12,Hypothèses!$W$12,IF(U355&lt;=Hypothèses!$V$13,Hypothèses!$W$13,IF(U355&lt;=Hypothèses!$V$14,Hypothèses!$W$14,IF(U355&lt;=Hypothèses!$V$15,Hypothèses!$W$15,IF(U355&lt;=Hypothèses!$V$16,Hypothèses!$W$16,IF(U355&lt;=Hypothèses!$V$17,Hypothèses!$W$17,IF(U355&lt;=Hypothèses!$V$18,Hypothèses!$W$18,""))))))))))))</f>
        <v>#DIV/0!</v>
      </c>
      <c r="AP355" s="87" t="e">
        <f t="shared" ca="1" si="617"/>
        <v>#DIV/0!</v>
      </c>
      <c r="AQ355" s="88" t="e">
        <f ca="1">IF(U355&lt;=Hypothèses!$V$7,Hypothèses!$X$7,IF(U355&lt;=Hypothèses!$V$8,Hypothèses!$X$8,IF(U355&lt;=Hypothèses!$V$9,Hypothèses!$X$9,IF(U355&lt;=Hypothèses!$V$10,Hypothèses!$X$10,IF(U355&lt;=Hypothèses!$V$11,Hypothèses!$X$11,IF(U355&lt;=Hypothèses!$V$12,Hypothèses!$X$12,IF(U355&lt;=Hypothèses!$V$13,Hypothèses!$X$13,IF(U355&lt;=Hypothèses!$V$14,Hypothèses!$X$14,IF(U355&lt;=Hypothèses!$V$15,Hypothèses!$X$15,IF(U355&lt;=Hypothèses!$V$16,Hypothèses!$X$16,IF(U355&lt;=Hypothèses!$U$17,Hypothèses!$W$17,IF(U355&lt;=Hypothèses!$U$18,Hypothèses!$W$18,""))))))))))))</f>
        <v>#DIV/0!</v>
      </c>
      <c r="AR355" s="95" t="e">
        <f t="shared" ca="1" si="572"/>
        <v>#DIV/0!</v>
      </c>
      <c r="AS355" s="101">
        <f t="shared" si="624"/>
        <v>0</v>
      </c>
      <c r="AT355" s="91">
        <f t="shared" si="541"/>
        <v>0</v>
      </c>
      <c r="AU355" s="30" t="e">
        <f t="shared" si="602"/>
        <v>#N/A</v>
      </c>
      <c r="AV355" s="30" t="e">
        <f t="shared" si="603"/>
        <v>#N/A</v>
      </c>
      <c r="AW355" s="31" t="e">
        <f>IF(OR(Hypothèses!$B$4=17,Hypothèses!$B$4=18,Hypothèses!$B$4=19,Hypothèses!$B$4=20),
IF($D355="Pressio.",
IF(OR($E355=3,$E355=1,$E355=4),AV355,AU355),
IF($D355="Pénétro.",
IF(OR($E355=3,$E355=1,$E355=4),AV355,AU355))),IF($D355="Pressio.",
IF($E355=3,AV355,AU355),
IF($D355="Pénétro.",
IF($E355=4,AV355,AU355))))</f>
        <v>#N/A</v>
      </c>
      <c r="AX355" s="31">
        <v>0</v>
      </c>
      <c r="AY355" s="102" t="e">
        <f>IF(NDC!$H$10="Oui",(VLOOKUP($B$3,'Coeff EC7'!$T$39:$X$59,2,0)*AW355+VLOOKUP($B$3,'Coeff EC7'!$T$65:$X$85,2,0)*Model0.1T!AX355)/1.5,PI()*AU$12*$Q355*($B355-$B354)*0.15/10+AY354)</f>
        <v>#N/A</v>
      </c>
      <c r="AZ355" s="102" t="e">
        <f>(VLOOKUP($B$3,'Coeff EC7'!$T$39:$X$59,3,0)*AW355+VLOOKUP($B$3,'Coeff EC7'!$T$65:$X$85,3,0)*Model0.1T!AX355)/1.1</f>
        <v>#N/A</v>
      </c>
      <c r="BA355" s="102" t="e">
        <f t="shared" si="573"/>
        <v>#N/A</v>
      </c>
      <c r="BB355" s="102" t="e">
        <f t="shared" si="574"/>
        <v>#N/A</v>
      </c>
      <c r="BC355" s="414" t="e">
        <f>IF(AND(AY355&gt;NDC!$C$63,AZ355&gt;NDC!$C$65,BA355&gt;NDC!$D$73,BB355&gt;NDC!$D$74,$B355&gt;NDC!$H$22-0.1+MIN(3*BC$12,1.5)),0,1)</f>
        <v>#N/A</v>
      </c>
      <c r="BD355" s="86" t="b">
        <f t="shared" si="542"/>
        <v>0</v>
      </c>
      <c r="BE355" s="86">
        <f t="shared" si="575"/>
        <v>0.5</v>
      </c>
      <c r="BF355" s="86">
        <f t="shared" si="543"/>
        <v>0.5</v>
      </c>
      <c r="BG355" s="30" t="e">
        <f t="shared" ca="1" si="576"/>
        <v>#DIV/0!</v>
      </c>
      <c r="BH355" s="85" t="e">
        <f ca="1">IF(AN355&lt;=Hypothèses!$V$7,Hypothèses!$W$7,IF(AN355&lt;=Hypothèses!$V$8,Hypothèses!$W$8,IF(AN355&lt;=Hypothèses!$V$9,Hypothèses!$W$9,IF(AN355&lt;=Hypothèses!$V$10,Hypothèses!$W$10,IF(AN355&lt;=Hypothèses!$V$11,Hypothèses!$W$11,IF(AN355&lt;=Hypothèses!$V$12,Hypothèses!$W$12,IF(AN355&lt;=Hypothèses!$V$13,Hypothèses!$W$13,IF(AN355&lt;=Hypothèses!$V$14,Hypothèses!$W$14,IF(AN355&lt;=Hypothèses!$V$15,Hypothèses!$W$15,IF(AN355&lt;=Hypothèses!$V$16,Hypothèses!$W$16,IF(AN355&lt;=Hypothèses!$V$17,Hypothèses!$W$17,IF(AN355&lt;=Hypothèses!$V$18,Hypothèses!$W$18,""))))))))))))</f>
        <v>#DIV/0!</v>
      </c>
      <c r="BI355" s="87" t="e">
        <f t="shared" ca="1" si="618"/>
        <v>#DIV/0!</v>
      </c>
      <c r="BJ355" s="88" t="e">
        <f ca="1">IF(AN355&lt;=Hypothèses!$V$7,Hypothèses!$X$7,IF(AN355&lt;=Hypothèses!$V$8,Hypothèses!$X$8,IF(AN355&lt;=Hypothèses!$V$9,Hypothèses!$X$9,IF(AN355&lt;=Hypothèses!$V$10,Hypothèses!$X$10,IF(AN355&lt;=Hypothèses!$V$11,Hypothèses!$X$11,IF(AN355&lt;=Hypothèses!$V$12,Hypothèses!$X$12,IF(AN355&lt;=Hypothèses!$V$13,Hypothèses!$X$13,IF(AN355&lt;=Hypothèses!$V$14,Hypothèses!$X$14,IF(AN355&lt;=Hypothèses!$V$15,Hypothèses!$X$15,IF(AN355&lt;=Hypothèses!$V$16,Hypothèses!$X$16,IF(AN355&lt;=Hypothèses!$U$17,Hypothèses!$W$17,IF(AN355&lt;=Hypothèses!$U$18,Hypothèses!$W$18,""))))))))))))</f>
        <v>#DIV/0!</v>
      </c>
      <c r="BK355" s="95" t="e">
        <f t="shared" ca="1" si="577"/>
        <v>#DIV/0!</v>
      </c>
      <c r="BL355" s="101">
        <f t="shared" si="625"/>
        <v>0</v>
      </c>
      <c r="BM355" s="91">
        <f t="shared" si="544"/>
        <v>0</v>
      </c>
      <c r="BN355" s="30" t="e">
        <f t="shared" si="604"/>
        <v>#N/A</v>
      </c>
      <c r="BO355" s="30" t="e">
        <f t="shared" si="605"/>
        <v>#N/A</v>
      </c>
      <c r="BP355" s="31" t="e">
        <f>IF(OR(Hypothèses!$B$4=17,Hypothèses!$B$4=18,Hypothèses!$B$4=19,Hypothèses!$B$4=20),
IF($D355="Pressio.",
IF(OR($E355=3,$E355=1,$E355=4),BO355,BN355),
IF($D355="Pénétro.",
IF(OR($E355=3,$E355=1,$E355=4),BO355,BN355))),IF($D355="Pressio.",
IF($E355=3,BO355,BN355),
IF($D355="Pénétro.",
IF($E355=4,BO355,BN355))))</f>
        <v>#N/A</v>
      </c>
      <c r="BQ355" s="31">
        <v>0</v>
      </c>
      <c r="BR355" s="102" t="e">
        <f>IF(NDC!$H$10="Oui",(VLOOKUP($B$3,'Coeff EC7'!$T$39:$X$59,2,0)*BP355+VLOOKUP($B$3,'Coeff EC7'!$T$65:$X$85,2,0)*Model0.1T!BQ355)/1.5,PI()*BN$12*$Q355*($B355-$B354)*0.15/10+BR354)</f>
        <v>#N/A</v>
      </c>
      <c r="BS355" s="102" t="e">
        <f>(VLOOKUP($B$3,'Coeff EC7'!$T$39:$X$59,3,0)*BP355+VLOOKUP($B$3,'Coeff EC7'!$T$65:$X$85,3,0)*Model0.1T!BQ355)/1.1</f>
        <v>#N/A</v>
      </c>
      <c r="BT355" s="102" t="e">
        <f t="shared" si="578"/>
        <v>#N/A</v>
      </c>
      <c r="BU355" s="102" t="e">
        <f t="shared" si="579"/>
        <v>#N/A</v>
      </c>
      <c r="BV355" s="414" t="e">
        <f>IF(AND(BR355&gt;NDC!$C$63,BS355&gt;NDC!$C$65,BT355&gt;NDC!$D$73,BU355&gt;NDC!$D$74,$B355&gt;NDC!$H$22-0.1+MIN(3*BV$12,1.5)),0,1)</f>
        <v>#N/A</v>
      </c>
      <c r="BW355" s="86" t="b">
        <f t="shared" si="545"/>
        <v>0</v>
      </c>
      <c r="BX355" s="86">
        <f t="shared" si="546"/>
        <v>0.5</v>
      </c>
      <c r="BY355" s="86">
        <f t="shared" si="547"/>
        <v>0.5</v>
      </c>
      <c r="BZ355" s="30" t="e">
        <f t="shared" ca="1" si="580"/>
        <v>#DIV/0!</v>
      </c>
      <c r="CA355" s="85" t="e">
        <f ca="1">IF(BG355&lt;=Hypothèses!$V$7,Hypothèses!$W$7,IF(BG355&lt;=Hypothèses!$V$8,Hypothèses!$W$8,IF(BG355&lt;=Hypothèses!$V$9,Hypothèses!$W$9,IF(BG355&lt;=Hypothèses!$V$10,Hypothèses!$W$10,IF(BG355&lt;=Hypothèses!$V$11,Hypothèses!$W$11,IF(BG355&lt;=Hypothèses!$V$12,Hypothèses!$W$12,IF(BG355&lt;=Hypothèses!$V$13,Hypothèses!$W$13,IF(BG355&lt;=Hypothèses!$V$14,Hypothèses!$W$14,IF(BG355&lt;=Hypothèses!$V$15,Hypothèses!$W$15,IF(BG355&lt;=Hypothèses!$V$16,Hypothèses!$W$16,IF(BG355&lt;=Hypothèses!$V$17,Hypothèses!$W$17,IF(BG355&lt;=Hypothèses!$V$18,Hypothèses!$W$18,""))))))))))))</f>
        <v>#DIV/0!</v>
      </c>
      <c r="CB355" s="87" t="e">
        <f t="shared" ca="1" si="619"/>
        <v>#DIV/0!</v>
      </c>
      <c r="CC355" s="88" t="e">
        <f ca="1">IF(BG355&lt;=Hypothèses!$V$7,Hypothèses!$X$7,IF(BG355&lt;=Hypothèses!$V$8,Hypothèses!$X$8,IF(BG355&lt;=Hypothèses!$V$9,Hypothèses!$X$9,IF(BG355&lt;=Hypothèses!$V$10,Hypothèses!$X$10,IF(BG355&lt;=Hypothèses!$V$11,Hypothèses!$X$11,IF(BG355&lt;=Hypothèses!$V$12,Hypothèses!$X$12,IF(BG355&lt;=Hypothèses!$V$13,Hypothèses!$X$13,IF(BG355&lt;=Hypothèses!$V$14,Hypothèses!$X$14,IF(BG355&lt;=Hypothèses!$V$15,Hypothèses!$X$15,IF(BG355&lt;=Hypothèses!$V$16,Hypothèses!$X$16,IF(BG355&lt;=Hypothèses!$U$17,Hypothèses!$W$17,IF(BG355&lt;=Hypothèses!$U$18,Hypothèses!$W$18,""))))))))))))</f>
        <v>#DIV/0!</v>
      </c>
      <c r="CD355" s="95" t="e">
        <f t="shared" ca="1" si="581"/>
        <v>#DIV/0!</v>
      </c>
      <c r="CE355" s="101">
        <f t="shared" si="626"/>
        <v>0</v>
      </c>
      <c r="CF355" s="91">
        <f t="shared" si="548"/>
        <v>0</v>
      </c>
      <c r="CG355" s="30" t="e">
        <f t="shared" si="606"/>
        <v>#N/A</v>
      </c>
      <c r="CH355" s="30" t="e">
        <f t="shared" si="607"/>
        <v>#N/A</v>
      </c>
      <c r="CI355" s="31" t="e">
        <f>IF(OR(Hypothèses!$B$4=17,Hypothèses!$B$4=18,Hypothèses!$B$4=19,Hypothèses!$B$4=20),
IF($D355="Pressio.",
IF(OR($E355=3,$E355=1,$E355=4),CH355,CG355),
IF($D355="Pénétro.",
IF(OR($E355=3,$E355=1,$E355=4),CH355,CG355))),IF($D355="Pressio.",
IF($E355=3,CH355,CG355),
IF($D355="Pénétro.",
IF($E355=4,CH355,CG355))))</f>
        <v>#N/A</v>
      </c>
      <c r="CJ355" s="31">
        <v>0</v>
      </c>
      <c r="CK355" s="102" t="e">
        <f>IF(NDC!$H$10="Oui",(VLOOKUP($B$3,'Coeff EC7'!$T$39:$X$59,2,0)*CI355+VLOOKUP($B$3,'Coeff EC7'!$T$65:$X$85,2,0)*Model0.1T!CJ355)/1.5,PI()*CG$12*$Q355*($B355-$B354)*0.15/10+CK354)</f>
        <v>#N/A</v>
      </c>
      <c r="CL355" s="102" t="e">
        <f>(VLOOKUP($B$3,'Coeff EC7'!$T$39:$X$59,3,0)*CI355+VLOOKUP($B$3,'Coeff EC7'!$T$65:$X$85,3,0)*Model0.1T!CJ355)/1.1</f>
        <v>#N/A</v>
      </c>
      <c r="CM355" s="102" t="e">
        <f t="shared" si="582"/>
        <v>#N/A</v>
      </c>
      <c r="CN355" s="102" t="e">
        <f t="shared" si="583"/>
        <v>#N/A</v>
      </c>
      <c r="CO355" s="414" t="e">
        <f>IF(AND(CK355&gt;NDC!$C$63,CL355&gt;NDC!$C$65,CM355&gt;NDC!$D$73,CN355&gt;NDC!$D$74,$B355&gt;NDC!$H$22-0.1+MIN(3*CO$12,1.5)),0,1)</f>
        <v>#N/A</v>
      </c>
      <c r="CP355" s="86" t="b">
        <f t="shared" si="549"/>
        <v>0</v>
      </c>
      <c r="CQ355" s="86">
        <f t="shared" si="550"/>
        <v>0.5</v>
      </c>
      <c r="CR355" s="86">
        <f t="shared" si="551"/>
        <v>0.5</v>
      </c>
      <c r="CS355" s="30" t="e">
        <f t="shared" ca="1" si="584"/>
        <v>#DIV/0!</v>
      </c>
      <c r="CT355" s="85" t="e">
        <f ca="1">IF(BZ355&lt;=Hypothèses!$V$7,Hypothèses!$W$7,IF(BZ355&lt;=Hypothèses!$V$8,Hypothèses!$W$8,IF(BZ355&lt;=Hypothèses!$V$9,Hypothèses!$W$9,IF(BZ355&lt;=Hypothèses!$V$10,Hypothèses!$W$10,IF(BZ355&lt;=Hypothèses!$V$11,Hypothèses!$W$11,IF(BZ355&lt;=Hypothèses!$V$12,Hypothèses!$W$12,IF(BZ355&lt;=Hypothèses!$V$13,Hypothèses!$W$13,IF(BZ355&lt;=Hypothèses!$V$14,Hypothèses!$W$14,IF(BZ355&lt;=Hypothèses!$V$15,Hypothèses!$W$15,IF(BZ355&lt;=Hypothèses!$V$16,Hypothèses!$W$16,IF(BZ355&lt;=Hypothèses!$V$17,Hypothèses!$W$17,IF(BZ355&lt;=Hypothèses!$V$18,Hypothèses!$W$18,""))))))))))))</f>
        <v>#DIV/0!</v>
      </c>
      <c r="CU355" s="87" t="e">
        <f t="shared" ca="1" si="620"/>
        <v>#DIV/0!</v>
      </c>
      <c r="CV355" s="88" t="e">
        <f ca="1">IF(BZ355&lt;=Hypothèses!$V$7,Hypothèses!$X$7,IF(BZ355&lt;=Hypothèses!$V$8,Hypothèses!$X$8,IF(BZ355&lt;=Hypothèses!$V$9,Hypothèses!$X$9,IF(BZ355&lt;=Hypothèses!$V$10,Hypothèses!$X$10,IF(BZ355&lt;=Hypothèses!$V$11,Hypothèses!$X$11,IF(BZ355&lt;=Hypothèses!$V$12,Hypothèses!$X$12,IF(BZ355&lt;=Hypothèses!$V$13,Hypothèses!$X$13,IF(BZ355&lt;=Hypothèses!$V$14,Hypothèses!$X$14,IF(BZ355&lt;=Hypothèses!$V$15,Hypothèses!$X$15,IF(BZ355&lt;=Hypothèses!$V$16,Hypothèses!$X$16,IF(BZ355&lt;=Hypothèses!$U$17,Hypothèses!$W$17,IF(BZ355&lt;=Hypothèses!$U$18,Hypothèses!$W$18,""))))))))))))</f>
        <v>#DIV/0!</v>
      </c>
      <c r="CW355" s="95" t="e">
        <f t="shared" ca="1" si="585"/>
        <v>#DIV/0!</v>
      </c>
      <c r="CX355" s="101">
        <f t="shared" si="627"/>
        <v>0</v>
      </c>
      <c r="CY355" s="91">
        <f t="shared" si="552"/>
        <v>0</v>
      </c>
      <c r="CZ355" s="30" t="e">
        <f t="shared" si="608"/>
        <v>#N/A</v>
      </c>
      <c r="DA355" s="30" t="e">
        <f t="shared" si="609"/>
        <v>#N/A</v>
      </c>
      <c r="DB355" s="31" t="e">
        <f>IF(OR(Hypothèses!$B$4=17,Hypothèses!$B$4=18,Hypothèses!$B$4=19,Hypothèses!$B$4=20),
IF($D355="Pressio.",
IF(OR($E355=3,$E355=1,$E355=4),DA355,CZ355),
IF($D355="Pénétro.",
IF(OR($E355=3,$E355=1,$E355=4),DA355,CZ355))),IF($D355="Pressio.",
IF($E355=3,DA355,CZ355),
IF($D355="Pénétro.",
IF($E355=4,DA355,CZ355))))</f>
        <v>#N/A</v>
      </c>
      <c r="DC355" s="31">
        <v>0</v>
      </c>
      <c r="DD355" s="102" t="e">
        <f>IF(NDC!$H$10="Oui",(VLOOKUP($B$3,'Coeff EC7'!$T$39:$X$59,2,0)*DB355+VLOOKUP($B$3,'Coeff EC7'!$T$65:$X$85,2,0)*Model0.1T!DC355)/1.5,PI()*CZ$12*$Q355*($B355-$B354)*0.15/10+DD354)</f>
        <v>#N/A</v>
      </c>
      <c r="DE355" s="102" t="e">
        <f>(VLOOKUP($B$3,'Coeff EC7'!$T$39:$X$59,3,0)*DB355+VLOOKUP($B$3,'Coeff EC7'!$T$65:$X$85,3,0)*Model0.1T!DC355)/1.1</f>
        <v>#N/A</v>
      </c>
      <c r="DF355" s="102" t="e">
        <f t="shared" si="586"/>
        <v>#N/A</v>
      </c>
      <c r="DG355" s="102" t="e">
        <f t="shared" si="587"/>
        <v>#N/A</v>
      </c>
      <c r="DH355" s="414" t="e">
        <f>IF(AND(DD355&gt;NDC!$C$63,DE355&gt;NDC!$C$65,DF355&gt;NDC!$D$73,DG355&gt;NDC!$D$74,$B355&gt;NDC!$H$22-0.1+MIN(3*DH$12,1.5)),0,1)</f>
        <v>#N/A</v>
      </c>
      <c r="DI355" s="86" t="b">
        <f t="shared" si="553"/>
        <v>0</v>
      </c>
      <c r="DJ355" s="86">
        <f t="shared" si="554"/>
        <v>0.5</v>
      </c>
      <c r="DK355" s="86">
        <f t="shared" si="555"/>
        <v>0.5</v>
      </c>
      <c r="DL355" s="30" t="e">
        <f t="shared" ca="1" si="588"/>
        <v>#DIV/0!</v>
      </c>
      <c r="DM355" s="85" t="e">
        <f ca="1">IF(CS355&lt;=Hypothèses!$V$7,Hypothèses!$W$7,IF(CS355&lt;=Hypothèses!$V$8,Hypothèses!$W$8,IF(CS355&lt;=Hypothèses!$V$9,Hypothèses!$W$9,IF(CS355&lt;=Hypothèses!$V$10,Hypothèses!$W$10,IF(CS355&lt;=Hypothèses!$V$11,Hypothèses!$W$11,IF(CS355&lt;=Hypothèses!$V$12,Hypothèses!$W$12,IF(CS355&lt;=Hypothèses!$V$13,Hypothèses!$W$13,IF(CS355&lt;=Hypothèses!$V$14,Hypothèses!$W$14,IF(CS355&lt;=Hypothèses!$V$15,Hypothèses!$W$15,IF(CS355&lt;=Hypothèses!$V$16,Hypothèses!$W$16,IF(CS355&lt;=Hypothèses!$V$17,Hypothèses!$W$17,IF(CS355&lt;=Hypothèses!$V$18,Hypothèses!$W$18,""))))))))))))</f>
        <v>#DIV/0!</v>
      </c>
      <c r="DN355" s="87" t="e">
        <f t="shared" ca="1" si="621"/>
        <v>#DIV/0!</v>
      </c>
      <c r="DO355" s="88" t="e">
        <f ca="1">IF(CS355&lt;=Hypothèses!$V$7,Hypothèses!$X$7,IF(CS355&lt;=Hypothèses!$V$8,Hypothèses!$X$8,IF(CS355&lt;=Hypothèses!$V$9,Hypothèses!$X$9,IF(CS355&lt;=Hypothèses!$V$10,Hypothèses!$X$10,IF(CS355&lt;=Hypothèses!$V$11,Hypothèses!$X$11,IF(CS355&lt;=Hypothèses!$V$12,Hypothèses!$X$12,IF(CS355&lt;=Hypothèses!$V$13,Hypothèses!$X$13,IF(CS355&lt;=Hypothèses!$V$14,Hypothèses!$X$14,IF(CS355&lt;=Hypothèses!$V$15,Hypothèses!$X$15,IF(CS355&lt;=Hypothèses!$V$16,Hypothèses!$X$16,IF(CS355&lt;=Hypothèses!$U$17,Hypothèses!$W$17,IF(CS355&lt;=Hypothèses!$U$18,Hypothèses!$W$18,""))))))))))))</f>
        <v>#DIV/0!</v>
      </c>
      <c r="DP355" s="95" t="e">
        <f t="shared" ca="1" si="589"/>
        <v>#DIV/0!</v>
      </c>
      <c r="DQ355" s="101">
        <f t="shared" si="628"/>
        <v>0</v>
      </c>
      <c r="DR355" s="91">
        <f t="shared" si="556"/>
        <v>0</v>
      </c>
      <c r="DS355" s="30" t="e">
        <f t="shared" si="610"/>
        <v>#N/A</v>
      </c>
      <c r="DT355" s="30" t="e">
        <f t="shared" si="611"/>
        <v>#N/A</v>
      </c>
      <c r="DU355" s="31" t="e">
        <f>IF(OR(Hypothèses!$B$4=17,Hypothèses!$B$4=18,Hypothèses!$B$4=19,Hypothèses!$B$4=20),
IF($D355="Pressio.",
IF(OR($E355=3,$E355=1,$E355=4),DT355,DS355),
IF($D355="Pénétro.",
IF(OR($E355=3,$E355=1,$E355=4),DT355,DS355))),IF($D355="Pressio.",
IF($E355=3,DT355,DS355),
IF($D355="Pénétro.",
IF($E355=4,DT355,DS355))))</f>
        <v>#N/A</v>
      </c>
      <c r="DV355" s="31">
        <v>0</v>
      </c>
      <c r="DW355" s="102" t="e">
        <f>IF(NDC!$H$10="Oui",(VLOOKUP($B$3,'Coeff EC7'!$T$39:$X$59,2,0)*DU355+VLOOKUP($B$3,'Coeff EC7'!$T$65:$X$85,2,0)*Model0.1T!DV355)/1.5,PI()*DS$12*$Q355*($B355-$B354)*0.15/10+DW354)</f>
        <v>#N/A</v>
      </c>
      <c r="DX355" s="102" t="e">
        <f>(VLOOKUP($B$3,'Coeff EC7'!$T$39:$X$59,3,0)*DU355+VLOOKUP($B$3,'Coeff EC7'!$T$65:$X$85,3,0)*Model0.1T!DV355)/1.1</f>
        <v>#N/A</v>
      </c>
      <c r="DY355" s="102" t="e">
        <f t="shared" si="590"/>
        <v>#N/A</v>
      </c>
      <c r="DZ355" s="102" t="e">
        <f t="shared" si="591"/>
        <v>#N/A</v>
      </c>
      <c r="EA355" s="414" t="e">
        <f>IF(AND(DW355&gt;NDC!$C$63,DX355&gt;NDC!$C$65,DY355&gt;NDC!$D$73,DZ355&gt;NDC!$D$74,$B355&gt;NDC!$H$22-0.1+MIN(3*EA$12,1.5)),0,1)</f>
        <v>#N/A</v>
      </c>
      <c r="EB355" s="86" t="b">
        <f t="shared" si="557"/>
        <v>0</v>
      </c>
      <c r="EC355" s="418">
        <f t="shared" si="558"/>
        <v>0.51</v>
      </c>
      <c r="ED355" s="86">
        <f t="shared" si="559"/>
        <v>0.51</v>
      </c>
      <c r="EE355" s="30" t="e">
        <f t="shared" ca="1" si="592"/>
        <v>#DIV/0!</v>
      </c>
      <c r="EF355" s="85" t="e">
        <f ca="1">IF(DL355&lt;=Hypothèses!$V$7,Hypothèses!$W$7,IF(DL355&lt;=Hypothèses!$V$8,Hypothèses!$W$8,IF(DL355&lt;=Hypothèses!$V$9,Hypothèses!$W$9,IF(DL355&lt;=Hypothèses!$V$10,Hypothèses!$W$10,IF(DL355&lt;=Hypothèses!$V$11,Hypothèses!$W$11,IF(DL355&lt;=Hypothèses!$V$12,Hypothèses!$W$12,IF(DL355&lt;=Hypothèses!$V$13,Hypothèses!$W$13,IF(DL355&lt;=Hypothèses!$V$14,Hypothèses!$W$14,IF(DL355&lt;=Hypothèses!$V$15,Hypothèses!$W$15,IF(DL355&lt;=Hypothèses!$V$16,Hypothèses!$W$16,IF(DL355&lt;=Hypothèses!$V$17,Hypothèses!$W$17,IF(DL355&lt;=Hypothèses!$V$18,Hypothèses!$W$18,""))))))))))))</f>
        <v>#DIV/0!</v>
      </c>
      <c r="EG355" s="87" t="e">
        <f t="shared" ca="1" si="622"/>
        <v>#DIV/0!</v>
      </c>
      <c r="EH355" s="88" t="e">
        <f ca="1">IF(DL355&lt;=Hypothèses!$V$7,Hypothèses!$X$7,IF(DL355&lt;=Hypothèses!$V$8,Hypothèses!$X$8,IF(DL355&lt;=Hypothèses!$V$9,Hypothèses!$X$9,IF(DL355&lt;=Hypothèses!$V$10,Hypothèses!$X$10,IF(DL355&lt;=Hypothèses!$V$11,Hypothèses!$X$11,IF(DL355&lt;=Hypothèses!$V$12,Hypothèses!$X$12,IF(DL355&lt;=Hypothèses!$V$13,Hypothèses!$X$13,IF(DL355&lt;=Hypothèses!$V$14,Hypothèses!$X$14,IF(DL355&lt;=Hypothèses!$V$15,Hypothèses!$X$15,IF(DL355&lt;=Hypothèses!$V$16,Hypothèses!$X$16,IF(DL355&lt;=Hypothèses!$U$17,Hypothèses!$W$17,IF(DL355&lt;=Hypothèses!$U$18,Hypothèses!$W$18,""))))))))))))</f>
        <v>#DIV/0!</v>
      </c>
      <c r="EI355" s="95" t="e">
        <f t="shared" ca="1" si="593"/>
        <v>#DIV/0!</v>
      </c>
      <c r="EJ355" s="101">
        <f t="shared" si="629"/>
        <v>0</v>
      </c>
      <c r="EK355" s="91">
        <f t="shared" si="560"/>
        <v>0</v>
      </c>
      <c r="EL355" s="30" t="e">
        <f t="shared" si="612"/>
        <v>#N/A</v>
      </c>
      <c r="EM355" s="30" t="e">
        <f t="shared" si="613"/>
        <v>#N/A</v>
      </c>
      <c r="EN355" s="31" t="e">
        <f>IF(OR(Hypothèses!$B$4=17,Hypothèses!$B$4=18,Hypothèses!$B$4=19,Hypothèses!$B$4=20),
IF($D355="Pressio.",
IF(OR($E355=3,$E355=1,$E355=4),EM355,EL355),
IF($D355="Pénétro.",
IF(OR($E355=3,$E355=1,$E355=4),EM355,EL355))),IF($D355="Pressio.",
IF($E355=3,EM355,EL355),
IF($D355="Pénétro.",
IF($E355=4,EM355,EL355))))</f>
        <v>#N/A</v>
      </c>
      <c r="EO355" s="31">
        <v>0</v>
      </c>
      <c r="EP355" s="102" t="e">
        <f>IF(NDC!$H$10="Oui",(VLOOKUP($B$3,'Coeff EC7'!$T$39:$X$59,2,0)*EN355+VLOOKUP($B$3,'Coeff EC7'!$T$65:$X$85,2,0)*Model0.1T!EO355)/1.5,PI()*EL$12*$Q355*($B355-$B354)*0.15/10+EP354)</f>
        <v>#N/A</v>
      </c>
      <c r="EQ355" s="102" t="e">
        <f>(VLOOKUP($B$3,'Coeff EC7'!$T$39:$X$59,3,0)*EN355+VLOOKUP($B$3,'Coeff EC7'!$T$65:$X$85,3,0)*Model0.1T!EO355)/1.1</f>
        <v>#N/A</v>
      </c>
      <c r="ER355" s="102" t="e">
        <f t="shared" si="594"/>
        <v>#N/A</v>
      </c>
      <c r="ES355" s="102" t="e">
        <f t="shared" si="595"/>
        <v>#N/A</v>
      </c>
      <c r="ET355" s="414" t="e">
        <f>IF(AND(EP355&gt;NDC!$C$63,EQ355&gt;NDC!$C$65,ER355&gt;NDC!$D$73,ES355&gt;NDC!$D$74,$B355&gt;NDC!$H$22-0.1+MIN(3*ET$12,1.5)),0,1)</f>
        <v>#N/A</v>
      </c>
      <c r="EU355" s="86" t="b">
        <f t="shared" si="561"/>
        <v>0</v>
      </c>
      <c r="EV355" s="86">
        <f t="shared" si="562"/>
        <v>0.61</v>
      </c>
      <c r="EW355" s="86">
        <f t="shared" si="563"/>
        <v>0.61</v>
      </c>
      <c r="EX355" s="30" t="e">
        <f t="shared" ca="1" si="596"/>
        <v>#DIV/0!</v>
      </c>
      <c r="EY355" s="85" t="e">
        <f ca="1">IF(EE355&lt;=Hypothèses!$V$7,Hypothèses!$W$7,IF(EE355&lt;=Hypothèses!$V$8,Hypothèses!$W$8,IF(EE355&lt;=Hypothèses!$V$9,Hypothèses!$W$9,IF(EE355&lt;=Hypothèses!$V$10,Hypothèses!$W$10,IF(EE355&lt;=Hypothèses!$V$11,Hypothèses!$W$11,IF(EE355&lt;=Hypothèses!$V$12,Hypothèses!$W$12,IF(EE355&lt;=Hypothèses!$V$13,Hypothèses!$W$13,IF(EE355&lt;=Hypothèses!$V$14,Hypothèses!$W$14,IF(EE355&lt;=Hypothèses!$V$15,Hypothèses!$W$15,IF(EE355&lt;=Hypothèses!$V$16,Hypothèses!$W$16,IF(EE355&lt;=Hypothèses!$V$17,Hypothèses!$W$17,IF(EE355&lt;=Hypothèses!$V$18,Hypothèses!$W$18,""))))))))))))</f>
        <v>#DIV/0!</v>
      </c>
      <c r="EZ355" s="87" t="e">
        <f t="shared" ca="1" si="623"/>
        <v>#DIV/0!</v>
      </c>
      <c r="FA355" s="88" t="e">
        <f ca="1">IF(EE355&lt;=Hypothèses!$V$7,Hypothèses!$X$7,IF(EE355&lt;=Hypothèses!$V$8,Hypothèses!$X$8,IF(EE355&lt;=Hypothèses!$V$9,Hypothèses!$X$9,IF(EE355&lt;=Hypothèses!$V$10,Hypothèses!$X$10,IF(EE355&lt;=Hypothèses!$V$11,Hypothèses!$X$11,IF(EE355&lt;=Hypothèses!$V$12,Hypothèses!$X$12,IF(EE355&lt;=Hypothèses!$V$13,Hypothèses!$X$13,IF(EE355&lt;=Hypothèses!$V$14,Hypothèses!$X$14,IF(EE355&lt;=Hypothèses!$V$15,Hypothèses!$X$15,IF(EE355&lt;=Hypothèses!$V$16,Hypothèses!$X$16,IF(EE355&lt;=Hypothèses!$U$17,Hypothèses!$W$17,IF(EE355&lt;=Hypothèses!$U$18,Hypothèses!$W$18,""))))))))))))</f>
        <v>#DIV/0!</v>
      </c>
      <c r="FB355" s="95" t="e">
        <f t="shared" ca="1" si="597"/>
        <v>#DIV/0!</v>
      </c>
      <c r="FC355" s="101">
        <f t="shared" si="630"/>
        <v>0</v>
      </c>
      <c r="FD355" s="91">
        <f t="shared" si="564"/>
        <v>0</v>
      </c>
      <c r="FE355" s="30" t="e">
        <f t="shared" si="614"/>
        <v>#N/A</v>
      </c>
      <c r="FF355" s="30" t="e">
        <f t="shared" si="615"/>
        <v>#N/A</v>
      </c>
      <c r="FG355" s="31" t="e">
        <f>IF(OR(Hypothèses!$B$4=17,Hypothèses!$B$4=18,Hypothèses!$B$4=19,Hypothèses!$B$4=20),
IF($D355="Pressio.",
IF(OR($E355=3,$E355=1,$E355=4),FF355,FE355),
IF($D355="Pénétro.",
IF(OR($E355=3,$E355=1,$E355=4),FF355,FE355))),IF($D355="Pressio.",
IF($E355=3,FF355,FE355),
IF($D355="Pénétro.",
IF($E355=4,FF355,FE355))))</f>
        <v>#N/A</v>
      </c>
      <c r="FH355" s="31">
        <v>0</v>
      </c>
      <c r="FI355" s="102" t="e">
        <f>IF(NDC!$H$10="Oui",(VLOOKUP($B$3,'Coeff EC7'!$T$39:$X$59,2,0)*FG355+VLOOKUP($B$3,'Coeff EC7'!$T$65:$X$85,2,0)*Model0.1T!FH355)/1.5,PI()*FE$12*$Q355*($B355-$B354)*0.15/10+FI354)</f>
        <v>#N/A</v>
      </c>
      <c r="FJ355" s="102" t="e">
        <f>(VLOOKUP($B$3,'Coeff EC7'!$T$39:$X$59,3,0)*FG355+VLOOKUP($B$3,'Coeff EC7'!$T$65:$X$85,3,0)*Model0.1T!FH355)/1.1</f>
        <v>#N/A</v>
      </c>
      <c r="FK355" s="102" t="e">
        <f t="shared" si="598"/>
        <v>#N/A</v>
      </c>
      <c r="FL355" s="102" t="e">
        <f t="shared" si="599"/>
        <v>#N/A</v>
      </c>
      <c r="FM355" s="414" t="e">
        <f>IF(AND(FI355&gt;NDC!$C$63,FJ355&gt;NDC!$C$65,FK355&gt;NDC!$D$73,FL355&gt;NDC!$D$74,$B355&gt;NDC!$H$22-0.1+MIN(3*FM$12,1.5)),0,1)</f>
        <v>#N/A</v>
      </c>
    </row>
    <row r="356" spans="1:169">
      <c r="A356" s="96">
        <f t="shared" si="565"/>
        <v>65.70000000000195</v>
      </c>
      <c r="B356" s="97">
        <v>34.299999999999997</v>
      </c>
      <c r="C356" s="81">
        <f>IF(B356&lt;=Hypothèses!$C$7,Hypothèses!$A$7,IF(B356&lt;=Hypothèses!$C$8,Hypothèses!$A$8,IF(B356&lt;=Hypothèses!$C$9,Hypothèses!$A$9,IF(B356&lt;=Hypothèses!$C$10,Hypothèses!$A$10,IF(B356&lt;=Hypothèses!$C$11,Hypothèses!$A$11,IF(B356&lt;=Hypothèses!$C$12,Hypothèses!$A$12,IF(B356&lt;=Hypothèses!$C$13,Hypothèses!$A$13,IF(B356&lt;=Hypothèses!$C$14,Hypothèses!$A$14,IF(B356&lt;=Hypothèses!$C$15,Hypothèses!$A$15,IF(B356&lt;=Hypothèses!$C$16,Hypothèses!$A$16,IF(B356&lt;=Hypothèses!$C$17,Hypothèses!$A$17,IF(B356&lt;=Hypothèses!$C$18,Hypothèses!$A$18,C355))))))))))))</f>
        <v>11</v>
      </c>
      <c r="D356" s="82" t="str">
        <f>IF(B356&lt;=Hypothèses!$C$7,Hypothèses!$R$7,IF(B356&lt;=Hypothèses!$C$8,Hypothèses!$R$8,IF(B356&lt;=Hypothèses!$C$9,Hypothèses!$R$9,IF(B356&lt;=Hypothèses!$C$10,Hypothèses!$R$10,IF(B356&lt;=Hypothèses!$C$11,Hypothèses!$R$11,IF(B356&lt;=Hypothèses!$C$12,Hypothèses!$R$12,IF(B356&lt;=Hypothèses!$C$13,Hypothèses!$R$13,IF(B356&lt;=Hypothèses!$C$14,Hypothèses!$R$14,IF(B356&lt;=Hypothèses!$C$15,Hypothèses!$R$15,IF(B356&lt;=Hypothèses!$C$16,Hypothèses!$R$16,IF(B356&lt;=Hypothèses!$C$17,Hypothèses!$R$17,IF(B356&lt;=Hypothèses!$C$18,Hypothèses!$R$18,D355))))))))))))</f>
        <v>Pressio.</v>
      </c>
      <c r="E356" s="82" t="e">
        <f>IF(B356&lt;=Hypothèses!$C$7,Hypothèses!$G$7,IF(B356&lt;=Hypothèses!$C$8,Hypothèses!$G$8,IF(B356&lt;=Hypothèses!$C$9,Hypothèses!$G$9,IF(B356&lt;=Hypothèses!$C$10,Hypothèses!$G$10,IF(B356&lt;=Hypothèses!$C$11,Hypothèses!$G$11,IF(B356&lt;=Hypothèses!$C$12,Hypothèses!$G$12,IF(B356&lt;=Hypothèses!$C$13,Hypothèses!$G$13,IF(B356&lt;=Hypothèses!$C$14,Hypothèses!$G$14,IF(B356&lt;=Hypothèses!$C$15,Hypothèses!$G$15,IF(B356&lt;=Hypothèses!$C$16,Hypothèses!$G$16,IF(B356&lt;=Hypothèses!$C$17,Hypothèses!$G$17,IF(B356&lt;=Hypothèses!$C$18,Hypothèses!$G$18,E355))))))))))))</f>
        <v>#N/A</v>
      </c>
      <c r="F356" s="82" t="str">
        <f>IF(B356&lt;=Hypothèses!$C$7,Hypothèses!$F$7,IF(B356&lt;=Hypothèses!$C$8,Hypothèses!$F$8,IF(B356&lt;=Hypothèses!$C$9,Hypothèses!$F$9,IF(B356&lt;=Hypothèses!$C$10,Hypothèses!$F$10,IF(B356&lt;=Hypothèses!$C$11,Hypothèses!$F$11,IF(B356&lt;=Hypothèses!$C$12,Hypothèses!$F$12,IF(B356&lt;=Hypothèses!$C$13,Hypothèses!$F$13,IF(B356&lt;=Hypothèses!$C$14,Hypothèses!$F$14,IF(B356&lt;=Hypothèses!$C$15,Hypothèses!$F$15,IF(B356&lt;=Hypothèses!$C$16,Hypothèses!$F$16,IF(B356&lt;=Hypothèses!$C$17,Hypothèses!$F$17,IF(B356&lt;=Hypothèses!$C$18,Hypothèses!$F$18,F355))))))))))))</f>
        <v/>
      </c>
      <c r="G356" s="91">
        <f t="array" ref="G356">INDEX('Coeff EC7'!$U$7:$X$27,
MATCH(Model0.1T!$B$3,'Coeff EC7'!$T$7:$T$27,0),
MATCH(Model0.1T!$D356&amp;Model0.1T!$B$4,
'Coeff EC7'!$U$6:$X$6&amp;
'Coeff EC7'!$U$5:$X$5,0))</f>
        <v>1.4</v>
      </c>
      <c r="H356" s="91">
        <f t="array" ref="H356">INDEX('Coeff EC7'!$Y$7:$AB$27,
MATCH(Model0.1T!$B$3,'Coeff EC7'!$T$7:$T$27,0),
MATCH(Model0.1T!$D356&amp;Model0.1T!$B$4,
'Coeff EC7'!$Y$6:$AB$6&amp;
'Coeff EC7'!$Y$5:$AB$5,0))</f>
        <v>1.7</v>
      </c>
      <c r="I356" s="83">
        <v>0</v>
      </c>
      <c r="J356" s="91" t="e">
        <f t="array" ref="J356">INDEX('Coeff EC7'!$D$33:$Q$33,1,MATCH(D356&amp;E356,'Coeff EC7'!$D$31:$Q$31&amp;'Coeff EC7'!$D$32:$Q$32,0))</f>
        <v>#N/A</v>
      </c>
      <c r="K356" s="91" t="e">
        <f t="array" ref="K356">INDEX('Coeff EC7'!$D$34:$Q$34,1,MATCH(D356&amp;E356,'Coeff EC7'!$D$31:$Q$31&amp;'Coeff EC7'!$D$32:$Q$32,0))</f>
        <v>#N/A</v>
      </c>
      <c r="L356" s="91" t="e">
        <f t="array" ref="L356">INDEX('Coeff EC7'!$D$35:$Q$35,1,MATCH(D356&amp;E356,'Coeff EC7'!$D$31:$Q$31&amp;'Coeff EC7'!$D$32:$Q$32,0))</f>
        <v>#N/A</v>
      </c>
      <c r="M356" s="98" t="e">
        <f t="shared" si="531"/>
        <v>#N/A</v>
      </c>
      <c r="N356" s="99" t="e">
        <f t="array" ref="N356">INDEX('Coeff EC7'!$D$7:$Q$27,MATCH($B$3,'Coeff EC7'!$C$7:$C$27,0),MATCH(D356&amp;E356,'Coeff EC7'!$D$5:$Q$5&amp;'Coeff EC7'!$D$6:$Q$6,0))</f>
        <v>#N/A</v>
      </c>
      <c r="O356" s="99" t="e">
        <f t="array" ref="O356">INDEX('Coeff EC7'!$D$41:$Q$61,MATCH($B$3,'Coeff EC7'!$C$41:$C$61,0),MATCH(D356&amp;E356,'Coeff EC7'!$D$39:$Q$39&amp;'Coeff EC7'!$D$40:$Q$40,0))</f>
        <v>#N/A</v>
      </c>
      <c r="P356" s="30" t="e">
        <f t="shared" si="566"/>
        <v>#N/A</v>
      </c>
      <c r="Q356" s="100" t="e">
        <f t="shared" si="533"/>
        <v>#N/A</v>
      </c>
      <c r="R356" s="86" t="b">
        <f t="shared" si="534"/>
        <v>0</v>
      </c>
      <c r="S356" s="86">
        <f t="shared" si="532"/>
        <v>0.5</v>
      </c>
      <c r="T356" s="86">
        <f t="shared" si="535"/>
        <v>0.5</v>
      </c>
      <c r="U356" s="30" t="e">
        <f t="shared" ca="1" si="567"/>
        <v>#DIV/0!</v>
      </c>
      <c r="V356" s="85" t="str">
        <f>IF(B356&lt;=Hypothèses!$V$7,Hypothèses!$W$7,IF(B356&lt;=Hypothèses!$V$8,Hypothèses!$W$8,IF(B356&lt;=Hypothèses!$V$9,Hypothèses!$W$9,IF(B356&lt;=Hypothèses!$V$10,Hypothèses!$W$10,IF(B356&lt;=Hypothèses!$V$11,Hypothèses!$W$11,IF(B356&lt;=Hypothèses!$V$12,Hypothèses!$W$12,IF(B356&lt;=Hypothèses!$V$13,Hypothèses!$W$13,IF(B356&lt;=Hypothèses!$V$14,Hypothèses!$W$14,IF(B356&lt;=Hypothèses!$V$15,Hypothèses!$W$15,IF(B356&lt;=Hypothèses!$V$16,Hypothèses!$W$16,IF(B356&lt;=Hypothèses!$V$17,Hypothèses!$W$17,IF(B356&lt;=Hypothèses!$V$18,Hypothèses!$W$18,""))))))))))))</f>
        <v/>
      </c>
      <c r="W356" s="87" t="e">
        <f t="shared" ca="1" si="616"/>
        <v>#DIV/0!</v>
      </c>
      <c r="X356" s="88" t="str">
        <f>IF(B356&lt;=Hypothèses!$V$7,Hypothèses!$X$7,IF(B356&lt;=Hypothèses!$V$8,Hypothèses!$X$8,IF(B356&lt;=Hypothèses!$V$9,Hypothèses!$X$9,IF(B356&lt;=Hypothèses!$V$10,Hypothèses!$X$10,IF(B356&lt;=Hypothèses!$V$11,Hypothèses!$X$11,IF(B356&lt;=Hypothèses!$V$12,Hypothèses!$X$12,IF(B356&lt;=Hypothèses!$V$13,Hypothèses!$X$13,IF(B356&lt;=Hypothèses!$V$14,Hypothèses!$X$14,IF(B356&lt;=Hypothèses!$V$15,Hypothèses!$X$15,IF(B356&lt;=Hypothèses!$V$16,Hypothèses!$X$16,IF(B356&lt;=Hypothèses!$U$17,Hypothèses!$W$17,IF(B356&lt;=Hypothèses!$U$18,Hypothèses!$W$18,""))))))))))))</f>
        <v/>
      </c>
      <c r="Y356" s="95" t="e">
        <f t="shared" ca="1" si="536"/>
        <v>#DIV/0!</v>
      </c>
      <c r="Z356" s="101">
        <f t="shared" si="537"/>
        <v>0</v>
      </c>
      <c r="AA356" s="91">
        <f t="shared" si="538"/>
        <v>0</v>
      </c>
      <c r="AB356" s="30" t="e">
        <f t="shared" si="600"/>
        <v>#N/A</v>
      </c>
      <c r="AC356" s="30" t="e">
        <f t="shared" si="601"/>
        <v>#N/A</v>
      </c>
      <c r="AD356" s="31" t="e">
        <f>IF(OR(Hypothèses!$B$4=17,Hypothèses!$B$4=18,Hypothèses!$B$4=19,Hypothèses!$B$4=20),
IF($D356="Pressio.",
IF(OR($E356=3,$E356=1,$E356=4),AC356,AB356),
IF($D356="Pénétro.",
IF(OR($E356=3,$E356=1,$E356=4),AC356,AB356))),IF($D356="Pressio.",
IF($E356=3,AC356,AB356),
IF($D356="Pénétro.",
IF($E356=4,AC356,AB356))))</f>
        <v>#N/A</v>
      </c>
      <c r="AE356" s="31">
        <v>0</v>
      </c>
      <c r="AF356" s="102" t="e">
        <f>IF(NDC!$H$10="Oui",(VLOOKUP($B$3,'Coeff EC7'!$T$39:$X$59,2,0)*AD356+VLOOKUP($B$3,'Coeff EC7'!$T$65:$X$85,2,0)*Model0.1T!AE356)/1.5,PI()*AB$12*$Q356*($B356-$B355)*0.15/10+AF355)</f>
        <v>#N/A</v>
      </c>
      <c r="AG356" s="102" t="e">
        <f>(VLOOKUP($B$3,'Coeff EC7'!$T$39:$X$59,3,0)*AD356+VLOOKUP($B$3,'Coeff EC7'!$T$65:$X$85,3,0)*Model0.1T!AE356)/1.1</f>
        <v>#N/A</v>
      </c>
      <c r="AH356" s="102" t="e">
        <f t="shared" si="568"/>
        <v>#N/A</v>
      </c>
      <c r="AI356" s="102" t="e">
        <f t="shared" si="569"/>
        <v>#N/A</v>
      </c>
      <c r="AJ356" s="414" t="e">
        <f>IF(AND(AF356&gt;NDC!$C$63,AG356&gt;NDC!$C$65,AH356&gt;NDC!$D$73,AI356&gt;NDC!$D$74,$B356&gt;NDC!$H$22-0.1+MIN(3*$AJ$12,1.5)),0,1)</f>
        <v>#N/A</v>
      </c>
      <c r="AK356" s="86" t="b">
        <f t="shared" si="539"/>
        <v>0</v>
      </c>
      <c r="AL356" s="86">
        <f t="shared" si="570"/>
        <v>0.5</v>
      </c>
      <c r="AM356" s="86">
        <f t="shared" si="540"/>
        <v>0.5</v>
      </c>
      <c r="AN356" s="30" t="e">
        <f t="shared" ca="1" si="571"/>
        <v>#DIV/0!</v>
      </c>
      <c r="AO356" s="85" t="e">
        <f ca="1">IF(U356&lt;=Hypothèses!$V$7,Hypothèses!$W$7,IF(U356&lt;=Hypothèses!$V$8,Hypothèses!$W$8,IF(U356&lt;=Hypothèses!$V$9,Hypothèses!$W$9,IF(U356&lt;=Hypothèses!$V$10,Hypothèses!$W$10,IF(U356&lt;=Hypothèses!$V$11,Hypothèses!$W$11,IF(U356&lt;=Hypothèses!$V$12,Hypothèses!$W$12,IF(U356&lt;=Hypothèses!$V$13,Hypothèses!$W$13,IF(U356&lt;=Hypothèses!$V$14,Hypothèses!$W$14,IF(U356&lt;=Hypothèses!$V$15,Hypothèses!$W$15,IF(U356&lt;=Hypothèses!$V$16,Hypothèses!$W$16,IF(U356&lt;=Hypothèses!$V$17,Hypothèses!$W$17,IF(U356&lt;=Hypothèses!$V$18,Hypothèses!$W$18,""))))))))))))</f>
        <v>#DIV/0!</v>
      </c>
      <c r="AP356" s="87" t="e">
        <f t="shared" ca="1" si="617"/>
        <v>#DIV/0!</v>
      </c>
      <c r="AQ356" s="88" t="e">
        <f ca="1">IF(U356&lt;=Hypothèses!$V$7,Hypothèses!$X$7,IF(U356&lt;=Hypothèses!$V$8,Hypothèses!$X$8,IF(U356&lt;=Hypothèses!$V$9,Hypothèses!$X$9,IF(U356&lt;=Hypothèses!$V$10,Hypothèses!$X$10,IF(U356&lt;=Hypothèses!$V$11,Hypothèses!$X$11,IF(U356&lt;=Hypothèses!$V$12,Hypothèses!$X$12,IF(U356&lt;=Hypothèses!$V$13,Hypothèses!$X$13,IF(U356&lt;=Hypothèses!$V$14,Hypothèses!$X$14,IF(U356&lt;=Hypothèses!$V$15,Hypothèses!$X$15,IF(U356&lt;=Hypothèses!$V$16,Hypothèses!$X$16,IF(U356&lt;=Hypothèses!$U$17,Hypothèses!$W$17,IF(U356&lt;=Hypothèses!$U$18,Hypothèses!$W$18,""))))))))))))</f>
        <v>#DIV/0!</v>
      </c>
      <c r="AR356" s="95" t="e">
        <f t="shared" ca="1" si="572"/>
        <v>#DIV/0!</v>
      </c>
      <c r="AS356" s="101">
        <f t="shared" si="624"/>
        <v>0</v>
      </c>
      <c r="AT356" s="91">
        <f t="shared" si="541"/>
        <v>0</v>
      </c>
      <c r="AU356" s="30" t="e">
        <f t="shared" si="602"/>
        <v>#N/A</v>
      </c>
      <c r="AV356" s="30" t="e">
        <f t="shared" si="603"/>
        <v>#N/A</v>
      </c>
      <c r="AW356" s="31" t="e">
        <f>IF(OR(Hypothèses!$B$4=17,Hypothèses!$B$4=18,Hypothèses!$B$4=19,Hypothèses!$B$4=20),
IF($D356="Pressio.",
IF(OR($E356=3,$E356=1,$E356=4),AV356,AU356),
IF($D356="Pénétro.",
IF(OR($E356=3,$E356=1,$E356=4),AV356,AU356))),IF($D356="Pressio.",
IF($E356=3,AV356,AU356),
IF($D356="Pénétro.",
IF($E356=4,AV356,AU356))))</f>
        <v>#N/A</v>
      </c>
      <c r="AX356" s="31">
        <v>0</v>
      </c>
      <c r="AY356" s="102" t="e">
        <f>IF(NDC!$H$10="Oui",(VLOOKUP($B$3,'Coeff EC7'!$T$39:$X$59,2,0)*AW356+VLOOKUP($B$3,'Coeff EC7'!$T$65:$X$85,2,0)*Model0.1T!AX356)/1.5,PI()*AU$12*$Q356*($B356-$B355)*0.15/10+AY355)</f>
        <v>#N/A</v>
      </c>
      <c r="AZ356" s="102" t="e">
        <f>(VLOOKUP($B$3,'Coeff EC7'!$T$39:$X$59,3,0)*AW356+VLOOKUP($B$3,'Coeff EC7'!$T$65:$X$85,3,0)*Model0.1T!AX356)/1.1</f>
        <v>#N/A</v>
      </c>
      <c r="BA356" s="102" t="e">
        <f t="shared" si="573"/>
        <v>#N/A</v>
      </c>
      <c r="BB356" s="102" t="e">
        <f t="shared" si="574"/>
        <v>#N/A</v>
      </c>
      <c r="BC356" s="414" t="e">
        <f>IF(AND(AY356&gt;NDC!$C$63,AZ356&gt;NDC!$C$65,BA356&gt;NDC!$D$73,BB356&gt;NDC!$D$74,$B356&gt;NDC!$H$22-0.1+MIN(3*BC$12,1.5)),0,1)</f>
        <v>#N/A</v>
      </c>
      <c r="BD356" s="86" t="b">
        <f t="shared" si="542"/>
        <v>0</v>
      </c>
      <c r="BE356" s="86">
        <f t="shared" si="575"/>
        <v>0.5</v>
      </c>
      <c r="BF356" s="86">
        <f t="shared" si="543"/>
        <v>0.5</v>
      </c>
      <c r="BG356" s="30" t="e">
        <f t="shared" ca="1" si="576"/>
        <v>#DIV/0!</v>
      </c>
      <c r="BH356" s="85" t="e">
        <f ca="1">IF(AN356&lt;=Hypothèses!$V$7,Hypothèses!$W$7,IF(AN356&lt;=Hypothèses!$V$8,Hypothèses!$W$8,IF(AN356&lt;=Hypothèses!$V$9,Hypothèses!$W$9,IF(AN356&lt;=Hypothèses!$V$10,Hypothèses!$W$10,IF(AN356&lt;=Hypothèses!$V$11,Hypothèses!$W$11,IF(AN356&lt;=Hypothèses!$V$12,Hypothèses!$W$12,IF(AN356&lt;=Hypothèses!$V$13,Hypothèses!$W$13,IF(AN356&lt;=Hypothèses!$V$14,Hypothèses!$W$14,IF(AN356&lt;=Hypothèses!$V$15,Hypothèses!$W$15,IF(AN356&lt;=Hypothèses!$V$16,Hypothèses!$W$16,IF(AN356&lt;=Hypothèses!$V$17,Hypothèses!$W$17,IF(AN356&lt;=Hypothèses!$V$18,Hypothèses!$W$18,""))))))))))))</f>
        <v>#DIV/0!</v>
      </c>
      <c r="BI356" s="87" t="e">
        <f t="shared" ca="1" si="618"/>
        <v>#DIV/0!</v>
      </c>
      <c r="BJ356" s="88" t="e">
        <f ca="1">IF(AN356&lt;=Hypothèses!$V$7,Hypothèses!$X$7,IF(AN356&lt;=Hypothèses!$V$8,Hypothèses!$X$8,IF(AN356&lt;=Hypothèses!$V$9,Hypothèses!$X$9,IF(AN356&lt;=Hypothèses!$V$10,Hypothèses!$X$10,IF(AN356&lt;=Hypothèses!$V$11,Hypothèses!$X$11,IF(AN356&lt;=Hypothèses!$V$12,Hypothèses!$X$12,IF(AN356&lt;=Hypothèses!$V$13,Hypothèses!$X$13,IF(AN356&lt;=Hypothèses!$V$14,Hypothèses!$X$14,IF(AN356&lt;=Hypothèses!$V$15,Hypothèses!$X$15,IF(AN356&lt;=Hypothèses!$V$16,Hypothèses!$X$16,IF(AN356&lt;=Hypothèses!$U$17,Hypothèses!$W$17,IF(AN356&lt;=Hypothèses!$U$18,Hypothèses!$W$18,""))))))))))))</f>
        <v>#DIV/0!</v>
      </c>
      <c r="BK356" s="95" t="e">
        <f t="shared" ca="1" si="577"/>
        <v>#DIV/0!</v>
      </c>
      <c r="BL356" s="101">
        <f t="shared" si="625"/>
        <v>0</v>
      </c>
      <c r="BM356" s="91">
        <f t="shared" si="544"/>
        <v>0</v>
      </c>
      <c r="BN356" s="30" t="e">
        <f t="shared" si="604"/>
        <v>#N/A</v>
      </c>
      <c r="BO356" s="30" t="e">
        <f t="shared" si="605"/>
        <v>#N/A</v>
      </c>
      <c r="BP356" s="31" t="e">
        <f>IF(OR(Hypothèses!$B$4=17,Hypothèses!$B$4=18,Hypothèses!$B$4=19,Hypothèses!$B$4=20),
IF($D356="Pressio.",
IF(OR($E356=3,$E356=1,$E356=4),BO356,BN356),
IF($D356="Pénétro.",
IF(OR($E356=3,$E356=1,$E356=4),BO356,BN356))),IF($D356="Pressio.",
IF($E356=3,BO356,BN356),
IF($D356="Pénétro.",
IF($E356=4,BO356,BN356))))</f>
        <v>#N/A</v>
      </c>
      <c r="BQ356" s="31">
        <v>0</v>
      </c>
      <c r="BR356" s="102" t="e">
        <f>IF(NDC!$H$10="Oui",(VLOOKUP($B$3,'Coeff EC7'!$T$39:$X$59,2,0)*BP356+VLOOKUP($B$3,'Coeff EC7'!$T$65:$X$85,2,0)*Model0.1T!BQ356)/1.5,PI()*BN$12*$Q356*($B356-$B355)*0.15/10+BR355)</f>
        <v>#N/A</v>
      </c>
      <c r="BS356" s="102" t="e">
        <f>(VLOOKUP($B$3,'Coeff EC7'!$T$39:$X$59,3,0)*BP356+VLOOKUP($B$3,'Coeff EC7'!$T$65:$X$85,3,0)*Model0.1T!BQ356)/1.1</f>
        <v>#N/A</v>
      </c>
      <c r="BT356" s="102" t="e">
        <f t="shared" si="578"/>
        <v>#N/A</v>
      </c>
      <c r="BU356" s="102" t="e">
        <f t="shared" si="579"/>
        <v>#N/A</v>
      </c>
      <c r="BV356" s="414" t="e">
        <f>IF(AND(BR356&gt;NDC!$C$63,BS356&gt;NDC!$C$65,BT356&gt;NDC!$D$73,BU356&gt;NDC!$D$74,$B356&gt;NDC!$H$22-0.1+MIN(3*BV$12,1.5)),0,1)</f>
        <v>#N/A</v>
      </c>
      <c r="BW356" s="86" t="b">
        <f t="shared" si="545"/>
        <v>0</v>
      </c>
      <c r="BX356" s="86">
        <f t="shared" si="546"/>
        <v>0.5</v>
      </c>
      <c r="BY356" s="86">
        <f t="shared" si="547"/>
        <v>0.5</v>
      </c>
      <c r="BZ356" s="30" t="e">
        <f t="shared" ca="1" si="580"/>
        <v>#DIV/0!</v>
      </c>
      <c r="CA356" s="85" t="e">
        <f ca="1">IF(BG356&lt;=Hypothèses!$V$7,Hypothèses!$W$7,IF(BG356&lt;=Hypothèses!$V$8,Hypothèses!$W$8,IF(BG356&lt;=Hypothèses!$V$9,Hypothèses!$W$9,IF(BG356&lt;=Hypothèses!$V$10,Hypothèses!$W$10,IF(BG356&lt;=Hypothèses!$V$11,Hypothèses!$W$11,IF(BG356&lt;=Hypothèses!$V$12,Hypothèses!$W$12,IF(BG356&lt;=Hypothèses!$V$13,Hypothèses!$W$13,IF(BG356&lt;=Hypothèses!$V$14,Hypothèses!$W$14,IF(BG356&lt;=Hypothèses!$V$15,Hypothèses!$W$15,IF(BG356&lt;=Hypothèses!$V$16,Hypothèses!$W$16,IF(BG356&lt;=Hypothèses!$V$17,Hypothèses!$W$17,IF(BG356&lt;=Hypothèses!$V$18,Hypothèses!$W$18,""))))))))))))</f>
        <v>#DIV/0!</v>
      </c>
      <c r="CB356" s="87" t="e">
        <f t="shared" ca="1" si="619"/>
        <v>#DIV/0!</v>
      </c>
      <c r="CC356" s="88" t="e">
        <f ca="1">IF(BG356&lt;=Hypothèses!$V$7,Hypothèses!$X$7,IF(BG356&lt;=Hypothèses!$V$8,Hypothèses!$X$8,IF(BG356&lt;=Hypothèses!$V$9,Hypothèses!$X$9,IF(BG356&lt;=Hypothèses!$V$10,Hypothèses!$X$10,IF(BG356&lt;=Hypothèses!$V$11,Hypothèses!$X$11,IF(BG356&lt;=Hypothèses!$V$12,Hypothèses!$X$12,IF(BG356&lt;=Hypothèses!$V$13,Hypothèses!$X$13,IF(BG356&lt;=Hypothèses!$V$14,Hypothèses!$X$14,IF(BG356&lt;=Hypothèses!$V$15,Hypothèses!$X$15,IF(BG356&lt;=Hypothèses!$V$16,Hypothèses!$X$16,IF(BG356&lt;=Hypothèses!$U$17,Hypothèses!$W$17,IF(BG356&lt;=Hypothèses!$U$18,Hypothèses!$W$18,""))))))))))))</f>
        <v>#DIV/0!</v>
      </c>
      <c r="CD356" s="95" t="e">
        <f t="shared" ca="1" si="581"/>
        <v>#DIV/0!</v>
      </c>
      <c r="CE356" s="101">
        <f t="shared" si="626"/>
        <v>0</v>
      </c>
      <c r="CF356" s="91">
        <f t="shared" si="548"/>
        <v>0</v>
      </c>
      <c r="CG356" s="30" t="e">
        <f t="shared" si="606"/>
        <v>#N/A</v>
      </c>
      <c r="CH356" s="30" t="e">
        <f t="shared" si="607"/>
        <v>#N/A</v>
      </c>
      <c r="CI356" s="31" t="e">
        <f>IF(OR(Hypothèses!$B$4=17,Hypothèses!$B$4=18,Hypothèses!$B$4=19,Hypothèses!$B$4=20),
IF($D356="Pressio.",
IF(OR($E356=3,$E356=1,$E356=4),CH356,CG356),
IF($D356="Pénétro.",
IF(OR($E356=3,$E356=1,$E356=4),CH356,CG356))),IF($D356="Pressio.",
IF($E356=3,CH356,CG356),
IF($D356="Pénétro.",
IF($E356=4,CH356,CG356))))</f>
        <v>#N/A</v>
      </c>
      <c r="CJ356" s="31">
        <v>0</v>
      </c>
      <c r="CK356" s="102" t="e">
        <f>IF(NDC!$H$10="Oui",(VLOOKUP($B$3,'Coeff EC7'!$T$39:$X$59,2,0)*CI356+VLOOKUP($B$3,'Coeff EC7'!$T$65:$X$85,2,0)*Model0.1T!CJ356)/1.5,PI()*CG$12*$Q356*($B356-$B355)*0.15/10+CK355)</f>
        <v>#N/A</v>
      </c>
      <c r="CL356" s="102" t="e">
        <f>(VLOOKUP($B$3,'Coeff EC7'!$T$39:$X$59,3,0)*CI356+VLOOKUP($B$3,'Coeff EC7'!$T$65:$X$85,3,0)*Model0.1T!CJ356)/1.1</f>
        <v>#N/A</v>
      </c>
      <c r="CM356" s="102" t="e">
        <f t="shared" si="582"/>
        <v>#N/A</v>
      </c>
      <c r="CN356" s="102" t="e">
        <f t="shared" si="583"/>
        <v>#N/A</v>
      </c>
      <c r="CO356" s="414" t="e">
        <f>IF(AND(CK356&gt;NDC!$C$63,CL356&gt;NDC!$C$65,CM356&gt;NDC!$D$73,CN356&gt;NDC!$D$74,$B356&gt;NDC!$H$22-0.1+MIN(3*CO$12,1.5)),0,1)</f>
        <v>#N/A</v>
      </c>
      <c r="CP356" s="86" t="b">
        <f t="shared" si="549"/>
        <v>0</v>
      </c>
      <c r="CQ356" s="86">
        <f t="shared" si="550"/>
        <v>0.5</v>
      </c>
      <c r="CR356" s="86">
        <f t="shared" si="551"/>
        <v>0.5</v>
      </c>
      <c r="CS356" s="30" t="e">
        <f t="shared" ca="1" si="584"/>
        <v>#DIV/0!</v>
      </c>
      <c r="CT356" s="85" t="e">
        <f ca="1">IF(BZ356&lt;=Hypothèses!$V$7,Hypothèses!$W$7,IF(BZ356&lt;=Hypothèses!$V$8,Hypothèses!$W$8,IF(BZ356&lt;=Hypothèses!$V$9,Hypothèses!$W$9,IF(BZ356&lt;=Hypothèses!$V$10,Hypothèses!$W$10,IF(BZ356&lt;=Hypothèses!$V$11,Hypothèses!$W$11,IF(BZ356&lt;=Hypothèses!$V$12,Hypothèses!$W$12,IF(BZ356&lt;=Hypothèses!$V$13,Hypothèses!$W$13,IF(BZ356&lt;=Hypothèses!$V$14,Hypothèses!$W$14,IF(BZ356&lt;=Hypothèses!$V$15,Hypothèses!$W$15,IF(BZ356&lt;=Hypothèses!$V$16,Hypothèses!$W$16,IF(BZ356&lt;=Hypothèses!$V$17,Hypothèses!$W$17,IF(BZ356&lt;=Hypothèses!$V$18,Hypothèses!$W$18,""))))))))))))</f>
        <v>#DIV/0!</v>
      </c>
      <c r="CU356" s="87" t="e">
        <f t="shared" ca="1" si="620"/>
        <v>#DIV/0!</v>
      </c>
      <c r="CV356" s="88" t="e">
        <f ca="1">IF(BZ356&lt;=Hypothèses!$V$7,Hypothèses!$X$7,IF(BZ356&lt;=Hypothèses!$V$8,Hypothèses!$X$8,IF(BZ356&lt;=Hypothèses!$V$9,Hypothèses!$X$9,IF(BZ356&lt;=Hypothèses!$V$10,Hypothèses!$X$10,IF(BZ356&lt;=Hypothèses!$V$11,Hypothèses!$X$11,IF(BZ356&lt;=Hypothèses!$V$12,Hypothèses!$X$12,IF(BZ356&lt;=Hypothèses!$V$13,Hypothèses!$X$13,IF(BZ356&lt;=Hypothèses!$V$14,Hypothèses!$X$14,IF(BZ356&lt;=Hypothèses!$V$15,Hypothèses!$X$15,IF(BZ356&lt;=Hypothèses!$V$16,Hypothèses!$X$16,IF(BZ356&lt;=Hypothèses!$U$17,Hypothèses!$W$17,IF(BZ356&lt;=Hypothèses!$U$18,Hypothèses!$W$18,""))))))))))))</f>
        <v>#DIV/0!</v>
      </c>
      <c r="CW356" s="95" t="e">
        <f t="shared" ca="1" si="585"/>
        <v>#DIV/0!</v>
      </c>
      <c r="CX356" s="101">
        <f t="shared" si="627"/>
        <v>0</v>
      </c>
      <c r="CY356" s="91">
        <f t="shared" si="552"/>
        <v>0</v>
      </c>
      <c r="CZ356" s="30" t="e">
        <f t="shared" si="608"/>
        <v>#N/A</v>
      </c>
      <c r="DA356" s="30" t="e">
        <f t="shared" si="609"/>
        <v>#N/A</v>
      </c>
      <c r="DB356" s="31" t="e">
        <f>IF(OR(Hypothèses!$B$4=17,Hypothèses!$B$4=18,Hypothèses!$B$4=19,Hypothèses!$B$4=20),
IF($D356="Pressio.",
IF(OR($E356=3,$E356=1,$E356=4),DA356,CZ356),
IF($D356="Pénétro.",
IF(OR($E356=3,$E356=1,$E356=4),DA356,CZ356))),IF($D356="Pressio.",
IF($E356=3,DA356,CZ356),
IF($D356="Pénétro.",
IF($E356=4,DA356,CZ356))))</f>
        <v>#N/A</v>
      </c>
      <c r="DC356" s="31">
        <v>0</v>
      </c>
      <c r="DD356" s="102" t="e">
        <f>IF(NDC!$H$10="Oui",(VLOOKUP($B$3,'Coeff EC7'!$T$39:$X$59,2,0)*DB356+VLOOKUP($B$3,'Coeff EC7'!$T$65:$X$85,2,0)*Model0.1T!DC356)/1.5,PI()*CZ$12*$Q356*($B356-$B355)*0.15/10+DD355)</f>
        <v>#N/A</v>
      </c>
      <c r="DE356" s="102" t="e">
        <f>(VLOOKUP($B$3,'Coeff EC7'!$T$39:$X$59,3,0)*DB356+VLOOKUP($B$3,'Coeff EC7'!$T$65:$X$85,3,0)*Model0.1T!DC356)/1.1</f>
        <v>#N/A</v>
      </c>
      <c r="DF356" s="102" t="e">
        <f t="shared" si="586"/>
        <v>#N/A</v>
      </c>
      <c r="DG356" s="102" t="e">
        <f t="shared" si="587"/>
        <v>#N/A</v>
      </c>
      <c r="DH356" s="414" t="e">
        <f>IF(AND(DD356&gt;NDC!$C$63,DE356&gt;NDC!$C$65,DF356&gt;NDC!$D$73,DG356&gt;NDC!$D$74,$B356&gt;NDC!$H$22-0.1+MIN(3*DH$12,1.5)),0,1)</f>
        <v>#N/A</v>
      </c>
      <c r="DI356" s="86" t="b">
        <f t="shared" si="553"/>
        <v>0</v>
      </c>
      <c r="DJ356" s="86">
        <f t="shared" si="554"/>
        <v>0.5</v>
      </c>
      <c r="DK356" s="86">
        <f t="shared" si="555"/>
        <v>0.5</v>
      </c>
      <c r="DL356" s="30" t="e">
        <f t="shared" ca="1" si="588"/>
        <v>#DIV/0!</v>
      </c>
      <c r="DM356" s="85" t="e">
        <f ca="1">IF(CS356&lt;=Hypothèses!$V$7,Hypothèses!$W$7,IF(CS356&lt;=Hypothèses!$V$8,Hypothèses!$W$8,IF(CS356&lt;=Hypothèses!$V$9,Hypothèses!$W$9,IF(CS356&lt;=Hypothèses!$V$10,Hypothèses!$W$10,IF(CS356&lt;=Hypothèses!$V$11,Hypothèses!$W$11,IF(CS356&lt;=Hypothèses!$V$12,Hypothèses!$W$12,IF(CS356&lt;=Hypothèses!$V$13,Hypothèses!$W$13,IF(CS356&lt;=Hypothèses!$V$14,Hypothèses!$W$14,IF(CS356&lt;=Hypothèses!$V$15,Hypothèses!$W$15,IF(CS356&lt;=Hypothèses!$V$16,Hypothèses!$W$16,IF(CS356&lt;=Hypothèses!$V$17,Hypothèses!$W$17,IF(CS356&lt;=Hypothèses!$V$18,Hypothèses!$W$18,""))))))))))))</f>
        <v>#DIV/0!</v>
      </c>
      <c r="DN356" s="87" t="e">
        <f t="shared" ca="1" si="621"/>
        <v>#DIV/0!</v>
      </c>
      <c r="DO356" s="88" t="e">
        <f ca="1">IF(CS356&lt;=Hypothèses!$V$7,Hypothèses!$X$7,IF(CS356&lt;=Hypothèses!$V$8,Hypothèses!$X$8,IF(CS356&lt;=Hypothèses!$V$9,Hypothèses!$X$9,IF(CS356&lt;=Hypothèses!$V$10,Hypothèses!$X$10,IF(CS356&lt;=Hypothèses!$V$11,Hypothèses!$X$11,IF(CS356&lt;=Hypothèses!$V$12,Hypothèses!$X$12,IF(CS356&lt;=Hypothèses!$V$13,Hypothèses!$X$13,IF(CS356&lt;=Hypothèses!$V$14,Hypothèses!$X$14,IF(CS356&lt;=Hypothèses!$V$15,Hypothèses!$X$15,IF(CS356&lt;=Hypothèses!$V$16,Hypothèses!$X$16,IF(CS356&lt;=Hypothèses!$U$17,Hypothèses!$W$17,IF(CS356&lt;=Hypothèses!$U$18,Hypothèses!$W$18,""))))))))))))</f>
        <v>#DIV/0!</v>
      </c>
      <c r="DP356" s="95" t="e">
        <f t="shared" ca="1" si="589"/>
        <v>#DIV/0!</v>
      </c>
      <c r="DQ356" s="101">
        <f t="shared" si="628"/>
        <v>0</v>
      </c>
      <c r="DR356" s="91">
        <f t="shared" si="556"/>
        <v>0</v>
      </c>
      <c r="DS356" s="30" t="e">
        <f t="shared" si="610"/>
        <v>#N/A</v>
      </c>
      <c r="DT356" s="30" t="e">
        <f t="shared" si="611"/>
        <v>#N/A</v>
      </c>
      <c r="DU356" s="31" t="e">
        <f>IF(OR(Hypothèses!$B$4=17,Hypothèses!$B$4=18,Hypothèses!$B$4=19,Hypothèses!$B$4=20),
IF($D356="Pressio.",
IF(OR($E356=3,$E356=1,$E356=4),DT356,DS356),
IF($D356="Pénétro.",
IF(OR($E356=3,$E356=1,$E356=4),DT356,DS356))),IF($D356="Pressio.",
IF($E356=3,DT356,DS356),
IF($D356="Pénétro.",
IF($E356=4,DT356,DS356))))</f>
        <v>#N/A</v>
      </c>
      <c r="DV356" s="31">
        <v>0</v>
      </c>
      <c r="DW356" s="102" t="e">
        <f>IF(NDC!$H$10="Oui",(VLOOKUP($B$3,'Coeff EC7'!$T$39:$X$59,2,0)*DU356+VLOOKUP($B$3,'Coeff EC7'!$T$65:$X$85,2,0)*Model0.1T!DV356)/1.5,PI()*DS$12*$Q356*($B356-$B355)*0.15/10+DW355)</f>
        <v>#N/A</v>
      </c>
      <c r="DX356" s="102" t="e">
        <f>(VLOOKUP($B$3,'Coeff EC7'!$T$39:$X$59,3,0)*DU356+VLOOKUP($B$3,'Coeff EC7'!$T$65:$X$85,3,0)*Model0.1T!DV356)/1.1</f>
        <v>#N/A</v>
      </c>
      <c r="DY356" s="102" t="e">
        <f t="shared" si="590"/>
        <v>#N/A</v>
      </c>
      <c r="DZ356" s="102" t="e">
        <f t="shared" si="591"/>
        <v>#N/A</v>
      </c>
      <c r="EA356" s="414" t="e">
        <f>IF(AND(DW356&gt;NDC!$C$63,DX356&gt;NDC!$C$65,DY356&gt;NDC!$D$73,DZ356&gt;NDC!$D$74,$B356&gt;NDC!$H$22-0.1+MIN(3*EA$12,1.5)),0,1)</f>
        <v>#N/A</v>
      </c>
      <c r="EB356" s="86" t="b">
        <f t="shared" si="557"/>
        <v>0</v>
      </c>
      <c r="EC356" s="418">
        <f t="shared" si="558"/>
        <v>0.51</v>
      </c>
      <c r="ED356" s="86">
        <f t="shared" si="559"/>
        <v>0.51</v>
      </c>
      <c r="EE356" s="30" t="e">
        <f t="shared" ca="1" si="592"/>
        <v>#DIV/0!</v>
      </c>
      <c r="EF356" s="85" t="e">
        <f ca="1">IF(DL356&lt;=Hypothèses!$V$7,Hypothèses!$W$7,IF(DL356&lt;=Hypothèses!$V$8,Hypothèses!$W$8,IF(DL356&lt;=Hypothèses!$V$9,Hypothèses!$W$9,IF(DL356&lt;=Hypothèses!$V$10,Hypothèses!$W$10,IF(DL356&lt;=Hypothèses!$V$11,Hypothèses!$W$11,IF(DL356&lt;=Hypothèses!$V$12,Hypothèses!$W$12,IF(DL356&lt;=Hypothèses!$V$13,Hypothèses!$W$13,IF(DL356&lt;=Hypothèses!$V$14,Hypothèses!$W$14,IF(DL356&lt;=Hypothèses!$V$15,Hypothèses!$W$15,IF(DL356&lt;=Hypothèses!$V$16,Hypothèses!$W$16,IF(DL356&lt;=Hypothèses!$V$17,Hypothèses!$W$17,IF(DL356&lt;=Hypothèses!$V$18,Hypothèses!$W$18,""))))))))))))</f>
        <v>#DIV/0!</v>
      </c>
      <c r="EG356" s="87" t="e">
        <f t="shared" ca="1" si="622"/>
        <v>#DIV/0!</v>
      </c>
      <c r="EH356" s="88" t="e">
        <f ca="1">IF(DL356&lt;=Hypothèses!$V$7,Hypothèses!$X$7,IF(DL356&lt;=Hypothèses!$V$8,Hypothèses!$X$8,IF(DL356&lt;=Hypothèses!$V$9,Hypothèses!$X$9,IF(DL356&lt;=Hypothèses!$V$10,Hypothèses!$X$10,IF(DL356&lt;=Hypothèses!$V$11,Hypothèses!$X$11,IF(DL356&lt;=Hypothèses!$V$12,Hypothèses!$X$12,IF(DL356&lt;=Hypothèses!$V$13,Hypothèses!$X$13,IF(DL356&lt;=Hypothèses!$V$14,Hypothèses!$X$14,IF(DL356&lt;=Hypothèses!$V$15,Hypothèses!$X$15,IF(DL356&lt;=Hypothèses!$V$16,Hypothèses!$X$16,IF(DL356&lt;=Hypothèses!$U$17,Hypothèses!$W$17,IF(DL356&lt;=Hypothèses!$U$18,Hypothèses!$W$18,""))))))))))))</f>
        <v>#DIV/0!</v>
      </c>
      <c r="EI356" s="95" t="e">
        <f t="shared" ca="1" si="593"/>
        <v>#DIV/0!</v>
      </c>
      <c r="EJ356" s="101">
        <f t="shared" si="629"/>
        <v>0</v>
      </c>
      <c r="EK356" s="91">
        <f t="shared" si="560"/>
        <v>0</v>
      </c>
      <c r="EL356" s="30" t="e">
        <f t="shared" si="612"/>
        <v>#N/A</v>
      </c>
      <c r="EM356" s="30" t="e">
        <f t="shared" si="613"/>
        <v>#N/A</v>
      </c>
      <c r="EN356" s="31" t="e">
        <f>IF(OR(Hypothèses!$B$4=17,Hypothèses!$B$4=18,Hypothèses!$B$4=19,Hypothèses!$B$4=20),
IF($D356="Pressio.",
IF(OR($E356=3,$E356=1,$E356=4),EM356,EL356),
IF($D356="Pénétro.",
IF(OR($E356=3,$E356=1,$E356=4),EM356,EL356))),IF($D356="Pressio.",
IF($E356=3,EM356,EL356),
IF($D356="Pénétro.",
IF($E356=4,EM356,EL356))))</f>
        <v>#N/A</v>
      </c>
      <c r="EO356" s="31">
        <v>0</v>
      </c>
      <c r="EP356" s="102" t="e">
        <f>IF(NDC!$H$10="Oui",(VLOOKUP($B$3,'Coeff EC7'!$T$39:$X$59,2,0)*EN356+VLOOKUP($B$3,'Coeff EC7'!$T$65:$X$85,2,0)*Model0.1T!EO356)/1.5,PI()*EL$12*$Q356*($B356-$B355)*0.15/10+EP355)</f>
        <v>#N/A</v>
      </c>
      <c r="EQ356" s="102" t="e">
        <f>(VLOOKUP($B$3,'Coeff EC7'!$T$39:$X$59,3,0)*EN356+VLOOKUP($B$3,'Coeff EC7'!$T$65:$X$85,3,0)*Model0.1T!EO356)/1.1</f>
        <v>#N/A</v>
      </c>
      <c r="ER356" s="102" t="e">
        <f t="shared" si="594"/>
        <v>#N/A</v>
      </c>
      <c r="ES356" s="102" t="e">
        <f t="shared" si="595"/>
        <v>#N/A</v>
      </c>
      <c r="ET356" s="414" t="e">
        <f>IF(AND(EP356&gt;NDC!$C$63,EQ356&gt;NDC!$C$65,ER356&gt;NDC!$D$73,ES356&gt;NDC!$D$74,$B356&gt;NDC!$H$22-0.1+MIN(3*ET$12,1.5)),0,1)</f>
        <v>#N/A</v>
      </c>
      <c r="EU356" s="86" t="b">
        <f t="shared" si="561"/>
        <v>0</v>
      </c>
      <c r="EV356" s="86">
        <f t="shared" si="562"/>
        <v>0.61</v>
      </c>
      <c r="EW356" s="86">
        <f t="shared" si="563"/>
        <v>0.61</v>
      </c>
      <c r="EX356" s="30" t="e">
        <f t="shared" ca="1" si="596"/>
        <v>#DIV/0!</v>
      </c>
      <c r="EY356" s="85" t="e">
        <f ca="1">IF(EE356&lt;=Hypothèses!$V$7,Hypothèses!$W$7,IF(EE356&lt;=Hypothèses!$V$8,Hypothèses!$W$8,IF(EE356&lt;=Hypothèses!$V$9,Hypothèses!$W$9,IF(EE356&lt;=Hypothèses!$V$10,Hypothèses!$W$10,IF(EE356&lt;=Hypothèses!$V$11,Hypothèses!$W$11,IF(EE356&lt;=Hypothèses!$V$12,Hypothèses!$W$12,IF(EE356&lt;=Hypothèses!$V$13,Hypothèses!$W$13,IF(EE356&lt;=Hypothèses!$V$14,Hypothèses!$W$14,IF(EE356&lt;=Hypothèses!$V$15,Hypothèses!$W$15,IF(EE356&lt;=Hypothèses!$V$16,Hypothèses!$W$16,IF(EE356&lt;=Hypothèses!$V$17,Hypothèses!$W$17,IF(EE356&lt;=Hypothèses!$V$18,Hypothèses!$W$18,""))))))))))))</f>
        <v>#DIV/0!</v>
      </c>
      <c r="EZ356" s="87" t="e">
        <f t="shared" ca="1" si="623"/>
        <v>#DIV/0!</v>
      </c>
      <c r="FA356" s="88" t="e">
        <f ca="1">IF(EE356&lt;=Hypothèses!$V$7,Hypothèses!$X$7,IF(EE356&lt;=Hypothèses!$V$8,Hypothèses!$X$8,IF(EE356&lt;=Hypothèses!$V$9,Hypothèses!$X$9,IF(EE356&lt;=Hypothèses!$V$10,Hypothèses!$X$10,IF(EE356&lt;=Hypothèses!$V$11,Hypothèses!$X$11,IF(EE356&lt;=Hypothèses!$V$12,Hypothèses!$X$12,IF(EE356&lt;=Hypothèses!$V$13,Hypothèses!$X$13,IF(EE356&lt;=Hypothèses!$V$14,Hypothèses!$X$14,IF(EE356&lt;=Hypothèses!$V$15,Hypothèses!$X$15,IF(EE356&lt;=Hypothèses!$V$16,Hypothèses!$X$16,IF(EE356&lt;=Hypothèses!$U$17,Hypothèses!$W$17,IF(EE356&lt;=Hypothèses!$U$18,Hypothèses!$W$18,""))))))))))))</f>
        <v>#DIV/0!</v>
      </c>
      <c r="FB356" s="95" t="e">
        <f t="shared" ca="1" si="597"/>
        <v>#DIV/0!</v>
      </c>
      <c r="FC356" s="101">
        <f t="shared" si="630"/>
        <v>0</v>
      </c>
      <c r="FD356" s="91">
        <f t="shared" si="564"/>
        <v>0</v>
      </c>
      <c r="FE356" s="30" t="e">
        <f t="shared" si="614"/>
        <v>#N/A</v>
      </c>
      <c r="FF356" s="30" t="e">
        <f t="shared" si="615"/>
        <v>#N/A</v>
      </c>
      <c r="FG356" s="31" t="e">
        <f>IF(OR(Hypothèses!$B$4=17,Hypothèses!$B$4=18,Hypothèses!$B$4=19,Hypothèses!$B$4=20),
IF($D356="Pressio.",
IF(OR($E356=3,$E356=1,$E356=4),FF356,FE356),
IF($D356="Pénétro.",
IF(OR($E356=3,$E356=1,$E356=4),FF356,FE356))),IF($D356="Pressio.",
IF($E356=3,FF356,FE356),
IF($D356="Pénétro.",
IF($E356=4,FF356,FE356))))</f>
        <v>#N/A</v>
      </c>
      <c r="FH356" s="31">
        <v>0</v>
      </c>
      <c r="FI356" s="102" t="e">
        <f>IF(NDC!$H$10="Oui",(VLOOKUP($B$3,'Coeff EC7'!$T$39:$X$59,2,0)*FG356+VLOOKUP($B$3,'Coeff EC7'!$T$65:$X$85,2,0)*Model0.1T!FH356)/1.5,PI()*FE$12*$Q356*($B356-$B355)*0.15/10+FI355)</f>
        <v>#N/A</v>
      </c>
      <c r="FJ356" s="102" t="e">
        <f>(VLOOKUP($B$3,'Coeff EC7'!$T$39:$X$59,3,0)*FG356+VLOOKUP($B$3,'Coeff EC7'!$T$65:$X$85,3,0)*Model0.1T!FH356)/1.1</f>
        <v>#N/A</v>
      </c>
      <c r="FK356" s="102" t="e">
        <f t="shared" si="598"/>
        <v>#N/A</v>
      </c>
      <c r="FL356" s="102" t="e">
        <f t="shared" si="599"/>
        <v>#N/A</v>
      </c>
      <c r="FM356" s="414" t="e">
        <f>IF(AND(FI356&gt;NDC!$C$63,FJ356&gt;NDC!$C$65,FK356&gt;NDC!$D$73,FL356&gt;NDC!$D$74,$B356&gt;NDC!$H$22-0.1+MIN(3*FM$12,1.5)),0,1)</f>
        <v>#N/A</v>
      </c>
    </row>
    <row r="357" spans="1:169">
      <c r="A357" s="96">
        <f t="shared" si="565"/>
        <v>65.600000000001955</v>
      </c>
      <c r="B357" s="97">
        <v>34.4</v>
      </c>
      <c r="C357" s="81">
        <f>IF(B357&lt;=Hypothèses!$C$7,Hypothèses!$A$7,IF(B357&lt;=Hypothèses!$C$8,Hypothèses!$A$8,IF(B357&lt;=Hypothèses!$C$9,Hypothèses!$A$9,IF(B357&lt;=Hypothèses!$C$10,Hypothèses!$A$10,IF(B357&lt;=Hypothèses!$C$11,Hypothèses!$A$11,IF(B357&lt;=Hypothèses!$C$12,Hypothèses!$A$12,IF(B357&lt;=Hypothèses!$C$13,Hypothèses!$A$13,IF(B357&lt;=Hypothèses!$C$14,Hypothèses!$A$14,IF(B357&lt;=Hypothèses!$C$15,Hypothèses!$A$15,IF(B357&lt;=Hypothèses!$C$16,Hypothèses!$A$16,IF(B357&lt;=Hypothèses!$C$17,Hypothèses!$A$17,IF(B357&lt;=Hypothèses!$C$18,Hypothèses!$A$18,C356))))))))))))</f>
        <v>11</v>
      </c>
      <c r="D357" s="82" t="str">
        <f>IF(B357&lt;=Hypothèses!$C$7,Hypothèses!$R$7,IF(B357&lt;=Hypothèses!$C$8,Hypothèses!$R$8,IF(B357&lt;=Hypothèses!$C$9,Hypothèses!$R$9,IF(B357&lt;=Hypothèses!$C$10,Hypothèses!$R$10,IF(B357&lt;=Hypothèses!$C$11,Hypothèses!$R$11,IF(B357&lt;=Hypothèses!$C$12,Hypothèses!$R$12,IF(B357&lt;=Hypothèses!$C$13,Hypothèses!$R$13,IF(B357&lt;=Hypothèses!$C$14,Hypothèses!$R$14,IF(B357&lt;=Hypothèses!$C$15,Hypothèses!$R$15,IF(B357&lt;=Hypothèses!$C$16,Hypothèses!$R$16,IF(B357&lt;=Hypothèses!$C$17,Hypothèses!$R$17,IF(B357&lt;=Hypothèses!$C$18,Hypothèses!$R$18,D356))))))))))))</f>
        <v>Pressio.</v>
      </c>
      <c r="E357" s="82" t="e">
        <f>IF(B357&lt;=Hypothèses!$C$7,Hypothèses!$G$7,IF(B357&lt;=Hypothèses!$C$8,Hypothèses!$G$8,IF(B357&lt;=Hypothèses!$C$9,Hypothèses!$G$9,IF(B357&lt;=Hypothèses!$C$10,Hypothèses!$G$10,IF(B357&lt;=Hypothèses!$C$11,Hypothèses!$G$11,IF(B357&lt;=Hypothèses!$C$12,Hypothèses!$G$12,IF(B357&lt;=Hypothèses!$C$13,Hypothèses!$G$13,IF(B357&lt;=Hypothèses!$C$14,Hypothèses!$G$14,IF(B357&lt;=Hypothèses!$C$15,Hypothèses!$G$15,IF(B357&lt;=Hypothèses!$C$16,Hypothèses!$G$16,IF(B357&lt;=Hypothèses!$C$17,Hypothèses!$G$17,IF(B357&lt;=Hypothèses!$C$18,Hypothèses!$G$18,E356))))))))))))</f>
        <v>#N/A</v>
      </c>
      <c r="F357" s="82" t="str">
        <f>IF(B357&lt;=Hypothèses!$C$7,Hypothèses!$F$7,IF(B357&lt;=Hypothèses!$C$8,Hypothèses!$F$8,IF(B357&lt;=Hypothèses!$C$9,Hypothèses!$F$9,IF(B357&lt;=Hypothèses!$C$10,Hypothèses!$F$10,IF(B357&lt;=Hypothèses!$C$11,Hypothèses!$F$11,IF(B357&lt;=Hypothèses!$C$12,Hypothèses!$F$12,IF(B357&lt;=Hypothèses!$C$13,Hypothèses!$F$13,IF(B357&lt;=Hypothèses!$C$14,Hypothèses!$F$14,IF(B357&lt;=Hypothèses!$C$15,Hypothèses!$F$15,IF(B357&lt;=Hypothèses!$C$16,Hypothèses!$F$16,IF(B357&lt;=Hypothèses!$C$17,Hypothèses!$F$17,IF(B357&lt;=Hypothèses!$C$18,Hypothèses!$F$18,F356))))))))))))</f>
        <v/>
      </c>
      <c r="G357" s="91">
        <f t="array" ref="G357">INDEX('Coeff EC7'!$U$7:$X$27,
MATCH(Model0.1T!$B$3,'Coeff EC7'!$T$7:$T$27,0),
MATCH(Model0.1T!$D357&amp;Model0.1T!$B$4,
'Coeff EC7'!$U$6:$X$6&amp;
'Coeff EC7'!$U$5:$X$5,0))</f>
        <v>1.4</v>
      </c>
      <c r="H357" s="91">
        <f t="array" ref="H357">INDEX('Coeff EC7'!$Y$7:$AB$27,
MATCH(Model0.1T!$B$3,'Coeff EC7'!$T$7:$T$27,0),
MATCH(Model0.1T!$D357&amp;Model0.1T!$B$4,
'Coeff EC7'!$Y$6:$AB$6&amp;
'Coeff EC7'!$Y$5:$AB$5,0))</f>
        <v>1.7</v>
      </c>
      <c r="I357" s="83">
        <v>0</v>
      </c>
      <c r="J357" s="91" t="e">
        <f t="array" ref="J357">INDEX('Coeff EC7'!$D$33:$Q$33,1,MATCH(D357&amp;E357,'Coeff EC7'!$D$31:$Q$31&amp;'Coeff EC7'!$D$32:$Q$32,0))</f>
        <v>#N/A</v>
      </c>
      <c r="K357" s="91" t="e">
        <f t="array" ref="K357">INDEX('Coeff EC7'!$D$34:$Q$34,1,MATCH(D357&amp;E357,'Coeff EC7'!$D$31:$Q$31&amp;'Coeff EC7'!$D$32:$Q$32,0))</f>
        <v>#N/A</v>
      </c>
      <c r="L357" s="91" t="e">
        <f t="array" ref="L357">INDEX('Coeff EC7'!$D$35:$Q$35,1,MATCH(D357&amp;E357,'Coeff EC7'!$D$31:$Q$31&amp;'Coeff EC7'!$D$32:$Q$32,0))</f>
        <v>#N/A</v>
      </c>
      <c r="M357" s="98" t="e">
        <f t="shared" si="531"/>
        <v>#N/A</v>
      </c>
      <c r="N357" s="99" t="e">
        <f t="array" ref="N357">INDEX('Coeff EC7'!$D$7:$Q$27,MATCH($B$3,'Coeff EC7'!$C$7:$C$27,0),MATCH(D357&amp;E357,'Coeff EC7'!$D$5:$Q$5&amp;'Coeff EC7'!$D$6:$Q$6,0))</f>
        <v>#N/A</v>
      </c>
      <c r="O357" s="99" t="e">
        <f t="array" ref="O357">INDEX('Coeff EC7'!$D$41:$Q$61,MATCH($B$3,'Coeff EC7'!$C$41:$C$61,0),MATCH(D357&amp;E357,'Coeff EC7'!$D$39:$Q$39&amp;'Coeff EC7'!$D$40:$Q$40,0))</f>
        <v>#N/A</v>
      </c>
      <c r="P357" s="30" t="e">
        <f t="shared" si="566"/>
        <v>#N/A</v>
      </c>
      <c r="Q357" s="100" t="e">
        <f t="shared" si="533"/>
        <v>#N/A</v>
      </c>
      <c r="R357" s="86" t="b">
        <f t="shared" si="534"/>
        <v>0</v>
      </c>
      <c r="S357" s="86">
        <f t="shared" si="532"/>
        <v>0.5</v>
      </c>
      <c r="T357" s="86">
        <f t="shared" si="535"/>
        <v>0.5</v>
      </c>
      <c r="U357" s="30" t="e">
        <f t="shared" ca="1" si="567"/>
        <v>#DIV/0!</v>
      </c>
      <c r="V357" s="85" t="str">
        <f>IF(B357&lt;=Hypothèses!$V$7,Hypothèses!$W$7,IF(B357&lt;=Hypothèses!$V$8,Hypothèses!$W$8,IF(B357&lt;=Hypothèses!$V$9,Hypothèses!$W$9,IF(B357&lt;=Hypothèses!$V$10,Hypothèses!$W$10,IF(B357&lt;=Hypothèses!$V$11,Hypothèses!$W$11,IF(B357&lt;=Hypothèses!$V$12,Hypothèses!$W$12,IF(B357&lt;=Hypothèses!$V$13,Hypothèses!$W$13,IF(B357&lt;=Hypothèses!$V$14,Hypothèses!$W$14,IF(B357&lt;=Hypothèses!$V$15,Hypothèses!$W$15,IF(B357&lt;=Hypothèses!$V$16,Hypothèses!$W$16,IF(B357&lt;=Hypothèses!$V$17,Hypothèses!$W$17,IF(B357&lt;=Hypothèses!$V$18,Hypothèses!$W$18,""))))))))))))</f>
        <v/>
      </c>
      <c r="W357" s="87" t="e">
        <f t="shared" ca="1" si="616"/>
        <v>#DIV/0!</v>
      </c>
      <c r="X357" s="88" t="str">
        <f>IF(B357&lt;=Hypothèses!$V$7,Hypothèses!$X$7,IF(B357&lt;=Hypothèses!$V$8,Hypothèses!$X$8,IF(B357&lt;=Hypothèses!$V$9,Hypothèses!$X$9,IF(B357&lt;=Hypothèses!$V$10,Hypothèses!$X$10,IF(B357&lt;=Hypothèses!$V$11,Hypothèses!$X$11,IF(B357&lt;=Hypothèses!$V$12,Hypothèses!$X$12,IF(B357&lt;=Hypothèses!$V$13,Hypothèses!$X$13,IF(B357&lt;=Hypothèses!$V$14,Hypothèses!$X$14,IF(B357&lt;=Hypothèses!$V$15,Hypothèses!$X$15,IF(B357&lt;=Hypothèses!$V$16,Hypothèses!$X$16,IF(B357&lt;=Hypothèses!$U$17,Hypothèses!$W$17,IF(B357&lt;=Hypothèses!$U$18,Hypothèses!$W$18,""))))))))))))</f>
        <v/>
      </c>
      <c r="Y357" s="95" t="e">
        <f t="shared" ca="1" si="536"/>
        <v>#DIV/0!</v>
      </c>
      <c r="Z357" s="101">
        <f t="shared" si="537"/>
        <v>0</v>
      </c>
      <c r="AA357" s="91">
        <f t="shared" si="538"/>
        <v>0</v>
      </c>
      <c r="AB357" s="30" t="e">
        <f t="shared" si="600"/>
        <v>#N/A</v>
      </c>
      <c r="AC357" s="30" t="e">
        <f t="shared" si="601"/>
        <v>#N/A</v>
      </c>
      <c r="AD357" s="31" t="e">
        <f>IF(OR(Hypothèses!$B$4=17,Hypothèses!$B$4=18,Hypothèses!$B$4=19,Hypothèses!$B$4=20),
IF($D357="Pressio.",
IF(OR($E357=3,$E357=1,$E357=4),AC357,AB357),
IF($D357="Pénétro.",
IF(OR($E357=3,$E357=1,$E357=4),AC357,AB357))),IF($D357="Pressio.",
IF($E357=3,AC357,AB357),
IF($D357="Pénétro.",
IF($E357=4,AC357,AB357))))</f>
        <v>#N/A</v>
      </c>
      <c r="AE357" s="31">
        <v>0</v>
      </c>
      <c r="AF357" s="102" t="e">
        <f>IF(NDC!$H$10="Oui",(VLOOKUP($B$3,'Coeff EC7'!$T$39:$X$59,2,0)*AD357+VLOOKUP($B$3,'Coeff EC7'!$T$65:$X$85,2,0)*Model0.1T!AE357)/1.5,PI()*AB$12*$Q357*($B357-$B356)*0.15/10+AF356)</f>
        <v>#N/A</v>
      </c>
      <c r="AG357" s="102" t="e">
        <f>(VLOOKUP($B$3,'Coeff EC7'!$T$39:$X$59,3,0)*AD357+VLOOKUP($B$3,'Coeff EC7'!$T$65:$X$85,3,0)*Model0.1T!AE357)/1.1</f>
        <v>#N/A</v>
      </c>
      <c r="AH357" s="102" t="e">
        <f t="shared" si="568"/>
        <v>#N/A</v>
      </c>
      <c r="AI357" s="102" t="e">
        <f t="shared" si="569"/>
        <v>#N/A</v>
      </c>
      <c r="AJ357" s="414" t="e">
        <f>IF(AND(AF357&gt;NDC!$C$63,AG357&gt;NDC!$C$65,AH357&gt;NDC!$D$73,AI357&gt;NDC!$D$74,$B357&gt;NDC!$H$22-0.1+MIN(3*$AJ$12,1.5)),0,1)</f>
        <v>#N/A</v>
      </c>
      <c r="AK357" s="86" t="b">
        <f t="shared" si="539"/>
        <v>0</v>
      </c>
      <c r="AL357" s="86">
        <f t="shared" si="570"/>
        <v>0.5</v>
      </c>
      <c r="AM357" s="86">
        <f t="shared" si="540"/>
        <v>0.5</v>
      </c>
      <c r="AN357" s="30" t="e">
        <f t="shared" ca="1" si="571"/>
        <v>#DIV/0!</v>
      </c>
      <c r="AO357" s="85" t="e">
        <f ca="1">IF(U357&lt;=Hypothèses!$V$7,Hypothèses!$W$7,IF(U357&lt;=Hypothèses!$V$8,Hypothèses!$W$8,IF(U357&lt;=Hypothèses!$V$9,Hypothèses!$W$9,IF(U357&lt;=Hypothèses!$V$10,Hypothèses!$W$10,IF(U357&lt;=Hypothèses!$V$11,Hypothèses!$W$11,IF(U357&lt;=Hypothèses!$V$12,Hypothèses!$W$12,IF(U357&lt;=Hypothèses!$V$13,Hypothèses!$W$13,IF(U357&lt;=Hypothèses!$V$14,Hypothèses!$W$14,IF(U357&lt;=Hypothèses!$V$15,Hypothèses!$W$15,IF(U357&lt;=Hypothèses!$V$16,Hypothèses!$W$16,IF(U357&lt;=Hypothèses!$V$17,Hypothèses!$W$17,IF(U357&lt;=Hypothèses!$V$18,Hypothèses!$W$18,""))))))))))))</f>
        <v>#DIV/0!</v>
      </c>
      <c r="AP357" s="87" t="e">
        <f t="shared" ca="1" si="617"/>
        <v>#DIV/0!</v>
      </c>
      <c r="AQ357" s="88" t="e">
        <f ca="1">IF(U357&lt;=Hypothèses!$V$7,Hypothèses!$X$7,IF(U357&lt;=Hypothèses!$V$8,Hypothèses!$X$8,IF(U357&lt;=Hypothèses!$V$9,Hypothèses!$X$9,IF(U357&lt;=Hypothèses!$V$10,Hypothèses!$X$10,IF(U357&lt;=Hypothèses!$V$11,Hypothèses!$X$11,IF(U357&lt;=Hypothèses!$V$12,Hypothèses!$X$12,IF(U357&lt;=Hypothèses!$V$13,Hypothèses!$X$13,IF(U357&lt;=Hypothèses!$V$14,Hypothèses!$X$14,IF(U357&lt;=Hypothèses!$V$15,Hypothèses!$X$15,IF(U357&lt;=Hypothèses!$V$16,Hypothèses!$X$16,IF(U357&lt;=Hypothèses!$U$17,Hypothèses!$W$17,IF(U357&lt;=Hypothèses!$U$18,Hypothèses!$W$18,""))))))))))))</f>
        <v>#DIV/0!</v>
      </c>
      <c r="AR357" s="95" t="e">
        <f t="shared" ca="1" si="572"/>
        <v>#DIV/0!</v>
      </c>
      <c r="AS357" s="101">
        <f t="shared" si="624"/>
        <v>0</v>
      </c>
      <c r="AT357" s="91">
        <f t="shared" si="541"/>
        <v>0</v>
      </c>
      <c r="AU357" s="30" t="e">
        <f t="shared" si="602"/>
        <v>#N/A</v>
      </c>
      <c r="AV357" s="30" t="e">
        <f t="shared" si="603"/>
        <v>#N/A</v>
      </c>
      <c r="AW357" s="31" t="e">
        <f>IF(OR(Hypothèses!$B$4=17,Hypothèses!$B$4=18,Hypothèses!$B$4=19,Hypothèses!$B$4=20),
IF($D357="Pressio.",
IF(OR($E357=3,$E357=1,$E357=4),AV357,AU357),
IF($D357="Pénétro.",
IF(OR($E357=3,$E357=1,$E357=4),AV357,AU357))),IF($D357="Pressio.",
IF($E357=3,AV357,AU357),
IF($D357="Pénétro.",
IF($E357=4,AV357,AU357))))</f>
        <v>#N/A</v>
      </c>
      <c r="AX357" s="31">
        <v>0</v>
      </c>
      <c r="AY357" s="102" t="e">
        <f>IF(NDC!$H$10="Oui",(VLOOKUP($B$3,'Coeff EC7'!$T$39:$X$59,2,0)*AW357+VLOOKUP($B$3,'Coeff EC7'!$T$65:$X$85,2,0)*Model0.1T!AX357)/1.5,PI()*AU$12*$Q357*($B357-$B356)*0.15/10+AY356)</f>
        <v>#N/A</v>
      </c>
      <c r="AZ357" s="102" t="e">
        <f>(VLOOKUP($B$3,'Coeff EC7'!$T$39:$X$59,3,0)*AW357+VLOOKUP($B$3,'Coeff EC7'!$T$65:$X$85,3,0)*Model0.1T!AX357)/1.1</f>
        <v>#N/A</v>
      </c>
      <c r="BA357" s="102" t="e">
        <f t="shared" si="573"/>
        <v>#N/A</v>
      </c>
      <c r="BB357" s="102" t="e">
        <f t="shared" si="574"/>
        <v>#N/A</v>
      </c>
      <c r="BC357" s="414" t="e">
        <f>IF(AND(AY357&gt;NDC!$C$63,AZ357&gt;NDC!$C$65,BA357&gt;NDC!$D$73,BB357&gt;NDC!$D$74,$B357&gt;NDC!$H$22-0.1+MIN(3*BC$12,1.5)),0,1)</f>
        <v>#N/A</v>
      </c>
      <c r="BD357" s="86" t="b">
        <f t="shared" si="542"/>
        <v>0</v>
      </c>
      <c r="BE357" s="86">
        <f t="shared" si="575"/>
        <v>0.5</v>
      </c>
      <c r="BF357" s="86">
        <f t="shared" si="543"/>
        <v>0.5</v>
      </c>
      <c r="BG357" s="30" t="e">
        <f t="shared" ca="1" si="576"/>
        <v>#DIV/0!</v>
      </c>
      <c r="BH357" s="85" t="e">
        <f ca="1">IF(AN357&lt;=Hypothèses!$V$7,Hypothèses!$W$7,IF(AN357&lt;=Hypothèses!$V$8,Hypothèses!$W$8,IF(AN357&lt;=Hypothèses!$V$9,Hypothèses!$W$9,IF(AN357&lt;=Hypothèses!$V$10,Hypothèses!$W$10,IF(AN357&lt;=Hypothèses!$V$11,Hypothèses!$W$11,IF(AN357&lt;=Hypothèses!$V$12,Hypothèses!$W$12,IF(AN357&lt;=Hypothèses!$V$13,Hypothèses!$W$13,IF(AN357&lt;=Hypothèses!$V$14,Hypothèses!$W$14,IF(AN357&lt;=Hypothèses!$V$15,Hypothèses!$W$15,IF(AN357&lt;=Hypothèses!$V$16,Hypothèses!$W$16,IF(AN357&lt;=Hypothèses!$V$17,Hypothèses!$W$17,IF(AN357&lt;=Hypothèses!$V$18,Hypothèses!$W$18,""))))))))))))</f>
        <v>#DIV/0!</v>
      </c>
      <c r="BI357" s="87" t="e">
        <f t="shared" ca="1" si="618"/>
        <v>#DIV/0!</v>
      </c>
      <c r="BJ357" s="88" t="e">
        <f ca="1">IF(AN357&lt;=Hypothèses!$V$7,Hypothèses!$X$7,IF(AN357&lt;=Hypothèses!$V$8,Hypothèses!$X$8,IF(AN357&lt;=Hypothèses!$V$9,Hypothèses!$X$9,IF(AN357&lt;=Hypothèses!$V$10,Hypothèses!$X$10,IF(AN357&lt;=Hypothèses!$V$11,Hypothèses!$X$11,IF(AN357&lt;=Hypothèses!$V$12,Hypothèses!$X$12,IF(AN357&lt;=Hypothèses!$V$13,Hypothèses!$X$13,IF(AN357&lt;=Hypothèses!$V$14,Hypothèses!$X$14,IF(AN357&lt;=Hypothèses!$V$15,Hypothèses!$X$15,IF(AN357&lt;=Hypothèses!$V$16,Hypothèses!$X$16,IF(AN357&lt;=Hypothèses!$U$17,Hypothèses!$W$17,IF(AN357&lt;=Hypothèses!$U$18,Hypothèses!$W$18,""))))))))))))</f>
        <v>#DIV/0!</v>
      </c>
      <c r="BK357" s="95" t="e">
        <f t="shared" ca="1" si="577"/>
        <v>#DIV/0!</v>
      </c>
      <c r="BL357" s="101">
        <f t="shared" si="625"/>
        <v>0</v>
      </c>
      <c r="BM357" s="91">
        <f t="shared" si="544"/>
        <v>0</v>
      </c>
      <c r="BN357" s="30" t="e">
        <f t="shared" si="604"/>
        <v>#N/A</v>
      </c>
      <c r="BO357" s="30" t="e">
        <f t="shared" si="605"/>
        <v>#N/A</v>
      </c>
      <c r="BP357" s="31" t="e">
        <f>IF(OR(Hypothèses!$B$4=17,Hypothèses!$B$4=18,Hypothèses!$B$4=19,Hypothèses!$B$4=20),
IF($D357="Pressio.",
IF(OR($E357=3,$E357=1,$E357=4),BO357,BN357),
IF($D357="Pénétro.",
IF(OR($E357=3,$E357=1,$E357=4),BO357,BN357))),IF($D357="Pressio.",
IF($E357=3,BO357,BN357),
IF($D357="Pénétro.",
IF($E357=4,BO357,BN357))))</f>
        <v>#N/A</v>
      </c>
      <c r="BQ357" s="31">
        <v>0</v>
      </c>
      <c r="BR357" s="102" t="e">
        <f>IF(NDC!$H$10="Oui",(VLOOKUP($B$3,'Coeff EC7'!$T$39:$X$59,2,0)*BP357+VLOOKUP($B$3,'Coeff EC7'!$T$65:$X$85,2,0)*Model0.1T!BQ357)/1.5,PI()*BN$12*$Q357*($B357-$B356)*0.15/10+BR356)</f>
        <v>#N/A</v>
      </c>
      <c r="BS357" s="102" t="e">
        <f>(VLOOKUP($B$3,'Coeff EC7'!$T$39:$X$59,3,0)*BP357+VLOOKUP($B$3,'Coeff EC7'!$T$65:$X$85,3,0)*Model0.1T!BQ357)/1.1</f>
        <v>#N/A</v>
      </c>
      <c r="BT357" s="102" t="e">
        <f t="shared" si="578"/>
        <v>#N/A</v>
      </c>
      <c r="BU357" s="102" t="e">
        <f t="shared" si="579"/>
        <v>#N/A</v>
      </c>
      <c r="BV357" s="414" t="e">
        <f>IF(AND(BR357&gt;NDC!$C$63,BS357&gt;NDC!$C$65,BT357&gt;NDC!$D$73,BU357&gt;NDC!$D$74,$B357&gt;NDC!$H$22-0.1+MIN(3*BV$12,1.5)),0,1)</f>
        <v>#N/A</v>
      </c>
      <c r="BW357" s="86" t="b">
        <f t="shared" si="545"/>
        <v>0</v>
      </c>
      <c r="BX357" s="86">
        <f t="shared" si="546"/>
        <v>0.5</v>
      </c>
      <c r="BY357" s="86">
        <f t="shared" si="547"/>
        <v>0.5</v>
      </c>
      <c r="BZ357" s="30" t="e">
        <f t="shared" ca="1" si="580"/>
        <v>#DIV/0!</v>
      </c>
      <c r="CA357" s="85" t="e">
        <f ca="1">IF(BG357&lt;=Hypothèses!$V$7,Hypothèses!$W$7,IF(BG357&lt;=Hypothèses!$V$8,Hypothèses!$W$8,IF(BG357&lt;=Hypothèses!$V$9,Hypothèses!$W$9,IF(BG357&lt;=Hypothèses!$V$10,Hypothèses!$W$10,IF(BG357&lt;=Hypothèses!$V$11,Hypothèses!$W$11,IF(BG357&lt;=Hypothèses!$V$12,Hypothèses!$W$12,IF(BG357&lt;=Hypothèses!$V$13,Hypothèses!$W$13,IF(BG357&lt;=Hypothèses!$V$14,Hypothèses!$W$14,IF(BG357&lt;=Hypothèses!$V$15,Hypothèses!$W$15,IF(BG357&lt;=Hypothèses!$V$16,Hypothèses!$W$16,IF(BG357&lt;=Hypothèses!$V$17,Hypothèses!$W$17,IF(BG357&lt;=Hypothèses!$V$18,Hypothèses!$W$18,""))))))))))))</f>
        <v>#DIV/0!</v>
      </c>
      <c r="CB357" s="87" t="e">
        <f t="shared" ca="1" si="619"/>
        <v>#DIV/0!</v>
      </c>
      <c r="CC357" s="88" t="e">
        <f ca="1">IF(BG357&lt;=Hypothèses!$V$7,Hypothèses!$X$7,IF(BG357&lt;=Hypothèses!$V$8,Hypothèses!$X$8,IF(BG357&lt;=Hypothèses!$V$9,Hypothèses!$X$9,IF(BG357&lt;=Hypothèses!$V$10,Hypothèses!$X$10,IF(BG357&lt;=Hypothèses!$V$11,Hypothèses!$X$11,IF(BG357&lt;=Hypothèses!$V$12,Hypothèses!$X$12,IF(BG357&lt;=Hypothèses!$V$13,Hypothèses!$X$13,IF(BG357&lt;=Hypothèses!$V$14,Hypothèses!$X$14,IF(BG357&lt;=Hypothèses!$V$15,Hypothèses!$X$15,IF(BG357&lt;=Hypothèses!$V$16,Hypothèses!$X$16,IF(BG357&lt;=Hypothèses!$U$17,Hypothèses!$W$17,IF(BG357&lt;=Hypothèses!$U$18,Hypothèses!$W$18,""))))))))))))</f>
        <v>#DIV/0!</v>
      </c>
      <c r="CD357" s="95" t="e">
        <f t="shared" ca="1" si="581"/>
        <v>#DIV/0!</v>
      </c>
      <c r="CE357" s="101">
        <f t="shared" si="626"/>
        <v>0</v>
      </c>
      <c r="CF357" s="91">
        <f t="shared" si="548"/>
        <v>0</v>
      </c>
      <c r="CG357" s="30" t="e">
        <f t="shared" si="606"/>
        <v>#N/A</v>
      </c>
      <c r="CH357" s="30" t="e">
        <f t="shared" si="607"/>
        <v>#N/A</v>
      </c>
      <c r="CI357" s="31" t="e">
        <f>IF(OR(Hypothèses!$B$4=17,Hypothèses!$B$4=18,Hypothèses!$B$4=19,Hypothèses!$B$4=20),
IF($D357="Pressio.",
IF(OR($E357=3,$E357=1,$E357=4),CH357,CG357),
IF($D357="Pénétro.",
IF(OR($E357=3,$E357=1,$E357=4),CH357,CG357))),IF($D357="Pressio.",
IF($E357=3,CH357,CG357),
IF($D357="Pénétro.",
IF($E357=4,CH357,CG357))))</f>
        <v>#N/A</v>
      </c>
      <c r="CJ357" s="31">
        <v>0</v>
      </c>
      <c r="CK357" s="102" t="e">
        <f>IF(NDC!$H$10="Oui",(VLOOKUP($B$3,'Coeff EC7'!$T$39:$X$59,2,0)*CI357+VLOOKUP($B$3,'Coeff EC7'!$T$65:$X$85,2,0)*Model0.1T!CJ357)/1.5,PI()*CG$12*$Q357*($B357-$B356)*0.15/10+CK356)</f>
        <v>#N/A</v>
      </c>
      <c r="CL357" s="102" t="e">
        <f>(VLOOKUP($B$3,'Coeff EC7'!$T$39:$X$59,3,0)*CI357+VLOOKUP($B$3,'Coeff EC7'!$T$65:$X$85,3,0)*Model0.1T!CJ357)/1.1</f>
        <v>#N/A</v>
      </c>
      <c r="CM357" s="102" t="e">
        <f t="shared" si="582"/>
        <v>#N/A</v>
      </c>
      <c r="CN357" s="102" t="e">
        <f t="shared" si="583"/>
        <v>#N/A</v>
      </c>
      <c r="CO357" s="414" t="e">
        <f>IF(AND(CK357&gt;NDC!$C$63,CL357&gt;NDC!$C$65,CM357&gt;NDC!$D$73,CN357&gt;NDC!$D$74,$B357&gt;NDC!$H$22-0.1+MIN(3*CO$12,1.5)),0,1)</f>
        <v>#N/A</v>
      </c>
      <c r="CP357" s="86" t="b">
        <f t="shared" si="549"/>
        <v>0</v>
      </c>
      <c r="CQ357" s="86">
        <f t="shared" si="550"/>
        <v>0.5</v>
      </c>
      <c r="CR357" s="86">
        <f t="shared" si="551"/>
        <v>0.5</v>
      </c>
      <c r="CS357" s="30" t="e">
        <f t="shared" ca="1" si="584"/>
        <v>#DIV/0!</v>
      </c>
      <c r="CT357" s="85" t="e">
        <f ca="1">IF(BZ357&lt;=Hypothèses!$V$7,Hypothèses!$W$7,IF(BZ357&lt;=Hypothèses!$V$8,Hypothèses!$W$8,IF(BZ357&lt;=Hypothèses!$V$9,Hypothèses!$W$9,IF(BZ357&lt;=Hypothèses!$V$10,Hypothèses!$W$10,IF(BZ357&lt;=Hypothèses!$V$11,Hypothèses!$W$11,IF(BZ357&lt;=Hypothèses!$V$12,Hypothèses!$W$12,IF(BZ357&lt;=Hypothèses!$V$13,Hypothèses!$W$13,IF(BZ357&lt;=Hypothèses!$V$14,Hypothèses!$W$14,IF(BZ357&lt;=Hypothèses!$V$15,Hypothèses!$W$15,IF(BZ357&lt;=Hypothèses!$V$16,Hypothèses!$W$16,IF(BZ357&lt;=Hypothèses!$V$17,Hypothèses!$W$17,IF(BZ357&lt;=Hypothèses!$V$18,Hypothèses!$W$18,""))))))))))))</f>
        <v>#DIV/0!</v>
      </c>
      <c r="CU357" s="87" t="e">
        <f t="shared" ca="1" si="620"/>
        <v>#DIV/0!</v>
      </c>
      <c r="CV357" s="88" t="e">
        <f ca="1">IF(BZ357&lt;=Hypothèses!$V$7,Hypothèses!$X$7,IF(BZ357&lt;=Hypothèses!$V$8,Hypothèses!$X$8,IF(BZ357&lt;=Hypothèses!$V$9,Hypothèses!$X$9,IF(BZ357&lt;=Hypothèses!$V$10,Hypothèses!$X$10,IF(BZ357&lt;=Hypothèses!$V$11,Hypothèses!$X$11,IF(BZ357&lt;=Hypothèses!$V$12,Hypothèses!$X$12,IF(BZ357&lt;=Hypothèses!$V$13,Hypothèses!$X$13,IF(BZ357&lt;=Hypothèses!$V$14,Hypothèses!$X$14,IF(BZ357&lt;=Hypothèses!$V$15,Hypothèses!$X$15,IF(BZ357&lt;=Hypothèses!$V$16,Hypothèses!$X$16,IF(BZ357&lt;=Hypothèses!$U$17,Hypothèses!$W$17,IF(BZ357&lt;=Hypothèses!$U$18,Hypothèses!$W$18,""))))))))))))</f>
        <v>#DIV/0!</v>
      </c>
      <c r="CW357" s="95" t="e">
        <f t="shared" ca="1" si="585"/>
        <v>#DIV/0!</v>
      </c>
      <c r="CX357" s="101">
        <f t="shared" si="627"/>
        <v>0</v>
      </c>
      <c r="CY357" s="91">
        <f t="shared" si="552"/>
        <v>0</v>
      </c>
      <c r="CZ357" s="30" t="e">
        <f t="shared" si="608"/>
        <v>#N/A</v>
      </c>
      <c r="DA357" s="30" t="e">
        <f t="shared" si="609"/>
        <v>#N/A</v>
      </c>
      <c r="DB357" s="31" t="e">
        <f>IF(OR(Hypothèses!$B$4=17,Hypothèses!$B$4=18,Hypothèses!$B$4=19,Hypothèses!$B$4=20),
IF($D357="Pressio.",
IF(OR($E357=3,$E357=1,$E357=4),DA357,CZ357),
IF($D357="Pénétro.",
IF(OR($E357=3,$E357=1,$E357=4),DA357,CZ357))),IF($D357="Pressio.",
IF($E357=3,DA357,CZ357),
IF($D357="Pénétro.",
IF($E357=4,DA357,CZ357))))</f>
        <v>#N/A</v>
      </c>
      <c r="DC357" s="31">
        <v>0</v>
      </c>
      <c r="DD357" s="102" t="e">
        <f>IF(NDC!$H$10="Oui",(VLOOKUP($B$3,'Coeff EC7'!$T$39:$X$59,2,0)*DB357+VLOOKUP($B$3,'Coeff EC7'!$T$65:$X$85,2,0)*Model0.1T!DC357)/1.5,PI()*CZ$12*$Q357*($B357-$B356)*0.15/10+DD356)</f>
        <v>#N/A</v>
      </c>
      <c r="DE357" s="102" t="e">
        <f>(VLOOKUP($B$3,'Coeff EC7'!$T$39:$X$59,3,0)*DB357+VLOOKUP($B$3,'Coeff EC7'!$T$65:$X$85,3,0)*Model0.1T!DC357)/1.1</f>
        <v>#N/A</v>
      </c>
      <c r="DF357" s="102" t="e">
        <f t="shared" si="586"/>
        <v>#N/A</v>
      </c>
      <c r="DG357" s="102" t="e">
        <f t="shared" si="587"/>
        <v>#N/A</v>
      </c>
      <c r="DH357" s="414" t="e">
        <f>IF(AND(DD357&gt;NDC!$C$63,DE357&gt;NDC!$C$65,DF357&gt;NDC!$D$73,DG357&gt;NDC!$D$74,$B357&gt;NDC!$H$22-0.1+MIN(3*DH$12,1.5)),0,1)</f>
        <v>#N/A</v>
      </c>
      <c r="DI357" s="86" t="b">
        <f t="shared" si="553"/>
        <v>0</v>
      </c>
      <c r="DJ357" s="86">
        <f t="shared" si="554"/>
        <v>0.5</v>
      </c>
      <c r="DK357" s="86">
        <f t="shared" si="555"/>
        <v>0.5</v>
      </c>
      <c r="DL357" s="30" t="e">
        <f t="shared" ca="1" si="588"/>
        <v>#DIV/0!</v>
      </c>
      <c r="DM357" s="85" t="e">
        <f ca="1">IF(CS357&lt;=Hypothèses!$V$7,Hypothèses!$W$7,IF(CS357&lt;=Hypothèses!$V$8,Hypothèses!$W$8,IF(CS357&lt;=Hypothèses!$V$9,Hypothèses!$W$9,IF(CS357&lt;=Hypothèses!$V$10,Hypothèses!$W$10,IF(CS357&lt;=Hypothèses!$V$11,Hypothèses!$W$11,IF(CS357&lt;=Hypothèses!$V$12,Hypothèses!$W$12,IF(CS357&lt;=Hypothèses!$V$13,Hypothèses!$W$13,IF(CS357&lt;=Hypothèses!$V$14,Hypothèses!$W$14,IF(CS357&lt;=Hypothèses!$V$15,Hypothèses!$W$15,IF(CS357&lt;=Hypothèses!$V$16,Hypothèses!$W$16,IF(CS357&lt;=Hypothèses!$V$17,Hypothèses!$W$17,IF(CS357&lt;=Hypothèses!$V$18,Hypothèses!$W$18,""))))))))))))</f>
        <v>#DIV/0!</v>
      </c>
      <c r="DN357" s="87" t="e">
        <f t="shared" ca="1" si="621"/>
        <v>#DIV/0!</v>
      </c>
      <c r="DO357" s="88" t="e">
        <f ca="1">IF(CS357&lt;=Hypothèses!$V$7,Hypothèses!$X$7,IF(CS357&lt;=Hypothèses!$V$8,Hypothèses!$X$8,IF(CS357&lt;=Hypothèses!$V$9,Hypothèses!$X$9,IF(CS357&lt;=Hypothèses!$V$10,Hypothèses!$X$10,IF(CS357&lt;=Hypothèses!$V$11,Hypothèses!$X$11,IF(CS357&lt;=Hypothèses!$V$12,Hypothèses!$X$12,IF(CS357&lt;=Hypothèses!$V$13,Hypothèses!$X$13,IF(CS357&lt;=Hypothèses!$V$14,Hypothèses!$X$14,IF(CS357&lt;=Hypothèses!$V$15,Hypothèses!$X$15,IF(CS357&lt;=Hypothèses!$V$16,Hypothèses!$X$16,IF(CS357&lt;=Hypothèses!$U$17,Hypothèses!$W$17,IF(CS357&lt;=Hypothèses!$U$18,Hypothèses!$W$18,""))))))))))))</f>
        <v>#DIV/0!</v>
      </c>
      <c r="DP357" s="95" t="e">
        <f t="shared" ca="1" si="589"/>
        <v>#DIV/0!</v>
      </c>
      <c r="DQ357" s="101">
        <f t="shared" si="628"/>
        <v>0</v>
      </c>
      <c r="DR357" s="91">
        <f t="shared" si="556"/>
        <v>0</v>
      </c>
      <c r="DS357" s="30" t="e">
        <f t="shared" si="610"/>
        <v>#N/A</v>
      </c>
      <c r="DT357" s="30" t="e">
        <f t="shared" si="611"/>
        <v>#N/A</v>
      </c>
      <c r="DU357" s="31" t="e">
        <f>IF(OR(Hypothèses!$B$4=17,Hypothèses!$B$4=18,Hypothèses!$B$4=19,Hypothèses!$B$4=20),
IF($D357="Pressio.",
IF(OR($E357=3,$E357=1,$E357=4),DT357,DS357),
IF($D357="Pénétro.",
IF(OR($E357=3,$E357=1,$E357=4),DT357,DS357))),IF($D357="Pressio.",
IF($E357=3,DT357,DS357),
IF($D357="Pénétro.",
IF($E357=4,DT357,DS357))))</f>
        <v>#N/A</v>
      </c>
      <c r="DV357" s="31">
        <v>0</v>
      </c>
      <c r="DW357" s="102" t="e">
        <f>IF(NDC!$H$10="Oui",(VLOOKUP($B$3,'Coeff EC7'!$T$39:$X$59,2,0)*DU357+VLOOKUP($B$3,'Coeff EC7'!$T$65:$X$85,2,0)*Model0.1T!DV357)/1.5,PI()*DS$12*$Q357*($B357-$B356)*0.15/10+DW356)</f>
        <v>#N/A</v>
      </c>
      <c r="DX357" s="102" t="e">
        <f>(VLOOKUP($B$3,'Coeff EC7'!$T$39:$X$59,3,0)*DU357+VLOOKUP($B$3,'Coeff EC7'!$T$65:$X$85,3,0)*Model0.1T!DV357)/1.1</f>
        <v>#N/A</v>
      </c>
      <c r="DY357" s="102" t="e">
        <f t="shared" si="590"/>
        <v>#N/A</v>
      </c>
      <c r="DZ357" s="102" t="e">
        <f t="shared" si="591"/>
        <v>#N/A</v>
      </c>
      <c r="EA357" s="414" t="e">
        <f>IF(AND(DW357&gt;NDC!$C$63,DX357&gt;NDC!$C$65,DY357&gt;NDC!$D$73,DZ357&gt;NDC!$D$74,$B357&gt;NDC!$H$22-0.1+MIN(3*EA$12,1.5)),0,1)</f>
        <v>#N/A</v>
      </c>
      <c r="EB357" s="86" t="b">
        <f t="shared" si="557"/>
        <v>0</v>
      </c>
      <c r="EC357" s="418">
        <f t="shared" si="558"/>
        <v>0.51</v>
      </c>
      <c r="ED357" s="86">
        <f t="shared" si="559"/>
        <v>0.51</v>
      </c>
      <c r="EE357" s="30" t="e">
        <f t="shared" ca="1" si="592"/>
        <v>#DIV/0!</v>
      </c>
      <c r="EF357" s="85" t="e">
        <f ca="1">IF(DL357&lt;=Hypothèses!$V$7,Hypothèses!$W$7,IF(DL357&lt;=Hypothèses!$V$8,Hypothèses!$W$8,IF(DL357&lt;=Hypothèses!$V$9,Hypothèses!$W$9,IF(DL357&lt;=Hypothèses!$V$10,Hypothèses!$W$10,IF(DL357&lt;=Hypothèses!$V$11,Hypothèses!$W$11,IF(DL357&lt;=Hypothèses!$V$12,Hypothèses!$W$12,IF(DL357&lt;=Hypothèses!$V$13,Hypothèses!$W$13,IF(DL357&lt;=Hypothèses!$V$14,Hypothèses!$W$14,IF(DL357&lt;=Hypothèses!$V$15,Hypothèses!$W$15,IF(DL357&lt;=Hypothèses!$V$16,Hypothèses!$W$16,IF(DL357&lt;=Hypothèses!$V$17,Hypothèses!$W$17,IF(DL357&lt;=Hypothèses!$V$18,Hypothèses!$W$18,""))))))))))))</f>
        <v>#DIV/0!</v>
      </c>
      <c r="EG357" s="87" t="e">
        <f t="shared" ca="1" si="622"/>
        <v>#DIV/0!</v>
      </c>
      <c r="EH357" s="88" t="e">
        <f ca="1">IF(DL357&lt;=Hypothèses!$V$7,Hypothèses!$X$7,IF(DL357&lt;=Hypothèses!$V$8,Hypothèses!$X$8,IF(DL357&lt;=Hypothèses!$V$9,Hypothèses!$X$9,IF(DL357&lt;=Hypothèses!$V$10,Hypothèses!$X$10,IF(DL357&lt;=Hypothèses!$V$11,Hypothèses!$X$11,IF(DL357&lt;=Hypothèses!$V$12,Hypothèses!$X$12,IF(DL357&lt;=Hypothèses!$V$13,Hypothèses!$X$13,IF(DL357&lt;=Hypothèses!$V$14,Hypothèses!$X$14,IF(DL357&lt;=Hypothèses!$V$15,Hypothèses!$X$15,IF(DL357&lt;=Hypothèses!$V$16,Hypothèses!$X$16,IF(DL357&lt;=Hypothèses!$U$17,Hypothèses!$W$17,IF(DL357&lt;=Hypothèses!$U$18,Hypothèses!$W$18,""))))))))))))</f>
        <v>#DIV/0!</v>
      </c>
      <c r="EI357" s="95" t="e">
        <f t="shared" ca="1" si="593"/>
        <v>#DIV/0!</v>
      </c>
      <c r="EJ357" s="101">
        <f t="shared" si="629"/>
        <v>0</v>
      </c>
      <c r="EK357" s="91">
        <f t="shared" si="560"/>
        <v>0</v>
      </c>
      <c r="EL357" s="30" t="e">
        <f t="shared" si="612"/>
        <v>#N/A</v>
      </c>
      <c r="EM357" s="30" t="e">
        <f t="shared" si="613"/>
        <v>#N/A</v>
      </c>
      <c r="EN357" s="31" t="e">
        <f>IF(OR(Hypothèses!$B$4=17,Hypothèses!$B$4=18,Hypothèses!$B$4=19,Hypothèses!$B$4=20),
IF($D357="Pressio.",
IF(OR($E357=3,$E357=1,$E357=4),EM357,EL357),
IF($D357="Pénétro.",
IF(OR($E357=3,$E357=1,$E357=4),EM357,EL357))),IF($D357="Pressio.",
IF($E357=3,EM357,EL357),
IF($D357="Pénétro.",
IF($E357=4,EM357,EL357))))</f>
        <v>#N/A</v>
      </c>
      <c r="EO357" s="31">
        <v>0</v>
      </c>
      <c r="EP357" s="102" t="e">
        <f>IF(NDC!$H$10="Oui",(VLOOKUP($B$3,'Coeff EC7'!$T$39:$X$59,2,0)*EN357+VLOOKUP($B$3,'Coeff EC7'!$T$65:$X$85,2,0)*Model0.1T!EO357)/1.5,PI()*EL$12*$Q357*($B357-$B356)*0.15/10+EP356)</f>
        <v>#N/A</v>
      </c>
      <c r="EQ357" s="102" t="e">
        <f>(VLOOKUP($B$3,'Coeff EC7'!$T$39:$X$59,3,0)*EN357+VLOOKUP($B$3,'Coeff EC7'!$T$65:$X$85,3,0)*Model0.1T!EO357)/1.1</f>
        <v>#N/A</v>
      </c>
      <c r="ER357" s="102" t="e">
        <f t="shared" si="594"/>
        <v>#N/A</v>
      </c>
      <c r="ES357" s="102" t="e">
        <f t="shared" si="595"/>
        <v>#N/A</v>
      </c>
      <c r="ET357" s="414" t="e">
        <f>IF(AND(EP357&gt;NDC!$C$63,EQ357&gt;NDC!$C$65,ER357&gt;NDC!$D$73,ES357&gt;NDC!$D$74,$B357&gt;NDC!$H$22-0.1+MIN(3*ET$12,1.5)),0,1)</f>
        <v>#N/A</v>
      </c>
      <c r="EU357" s="86" t="b">
        <f t="shared" si="561"/>
        <v>0</v>
      </c>
      <c r="EV357" s="86">
        <f t="shared" si="562"/>
        <v>0.61</v>
      </c>
      <c r="EW357" s="86">
        <f t="shared" si="563"/>
        <v>0.61</v>
      </c>
      <c r="EX357" s="30" t="e">
        <f t="shared" ca="1" si="596"/>
        <v>#DIV/0!</v>
      </c>
      <c r="EY357" s="85" t="e">
        <f ca="1">IF(EE357&lt;=Hypothèses!$V$7,Hypothèses!$W$7,IF(EE357&lt;=Hypothèses!$V$8,Hypothèses!$W$8,IF(EE357&lt;=Hypothèses!$V$9,Hypothèses!$W$9,IF(EE357&lt;=Hypothèses!$V$10,Hypothèses!$W$10,IF(EE357&lt;=Hypothèses!$V$11,Hypothèses!$W$11,IF(EE357&lt;=Hypothèses!$V$12,Hypothèses!$W$12,IF(EE357&lt;=Hypothèses!$V$13,Hypothèses!$W$13,IF(EE357&lt;=Hypothèses!$V$14,Hypothèses!$W$14,IF(EE357&lt;=Hypothèses!$V$15,Hypothèses!$W$15,IF(EE357&lt;=Hypothèses!$V$16,Hypothèses!$W$16,IF(EE357&lt;=Hypothèses!$V$17,Hypothèses!$W$17,IF(EE357&lt;=Hypothèses!$V$18,Hypothèses!$W$18,""))))))))))))</f>
        <v>#DIV/0!</v>
      </c>
      <c r="EZ357" s="87" t="e">
        <f t="shared" ca="1" si="623"/>
        <v>#DIV/0!</v>
      </c>
      <c r="FA357" s="88" t="e">
        <f ca="1">IF(EE357&lt;=Hypothèses!$V$7,Hypothèses!$X$7,IF(EE357&lt;=Hypothèses!$V$8,Hypothèses!$X$8,IF(EE357&lt;=Hypothèses!$V$9,Hypothèses!$X$9,IF(EE357&lt;=Hypothèses!$V$10,Hypothèses!$X$10,IF(EE357&lt;=Hypothèses!$V$11,Hypothèses!$X$11,IF(EE357&lt;=Hypothèses!$V$12,Hypothèses!$X$12,IF(EE357&lt;=Hypothèses!$V$13,Hypothèses!$X$13,IF(EE357&lt;=Hypothèses!$V$14,Hypothèses!$X$14,IF(EE357&lt;=Hypothèses!$V$15,Hypothèses!$X$15,IF(EE357&lt;=Hypothèses!$V$16,Hypothèses!$X$16,IF(EE357&lt;=Hypothèses!$U$17,Hypothèses!$W$17,IF(EE357&lt;=Hypothèses!$U$18,Hypothèses!$W$18,""))))))))))))</f>
        <v>#DIV/0!</v>
      </c>
      <c r="FB357" s="95" t="e">
        <f t="shared" ca="1" si="597"/>
        <v>#DIV/0!</v>
      </c>
      <c r="FC357" s="101">
        <f t="shared" si="630"/>
        <v>0</v>
      </c>
      <c r="FD357" s="91">
        <f t="shared" si="564"/>
        <v>0</v>
      </c>
      <c r="FE357" s="30" t="e">
        <f t="shared" si="614"/>
        <v>#N/A</v>
      </c>
      <c r="FF357" s="30" t="e">
        <f t="shared" si="615"/>
        <v>#N/A</v>
      </c>
      <c r="FG357" s="31" t="e">
        <f>IF(OR(Hypothèses!$B$4=17,Hypothèses!$B$4=18,Hypothèses!$B$4=19,Hypothèses!$B$4=20),
IF($D357="Pressio.",
IF(OR($E357=3,$E357=1,$E357=4),FF357,FE357),
IF($D357="Pénétro.",
IF(OR($E357=3,$E357=1,$E357=4),FF357,FE357))),IF($D357="Pressio.",
IF($E357=3,FF357,FE357),
IF($D357="Pénétro.",
IF($E357=4,FF357,FE357))))</f>
        <v>#N/A</v>
      </c>
      <c r="FH357" s="31">
        <v>0</v>
      </c>
      <c r="FI357" s="102" t="e">
        <f>IF(NDC!$H$10="Oui",(VLOOKUP($B$3,'Coeff EC7'!$T$39:$X$59,2,0)*FG357+VLOOKUP($B$3,'Coeff EC7'!$T$65:$X$85,2,0)*Model0.1T!FH357)/1.5,PI()*FE$12*$Q357*($B357-$B356)*0.15/10+FI356)</f>
        <v>#N/A</v>
      </c>
      <c r="FJ357" s="102" t="e">
        <f>(VLOOKUP($B$3,'Coeff EC7'!$T$39:$X$59,3,0)*FG357+VLOOKUP($B$3,'Coeff EC7'!$T$65:$X$85,3,0)*Model0.1T!FH357)/1.1</f>
        <v>#N/A</v>
      </c>
      <c r="FK357" s="102" t="e">
        <f t="shared" si="598"/>
        <v>#N/A</v>
      </c>
      <c r="FL357" s="102" t="e">
        <f t="shared" si="599"/>
        <v>#N/A</v>
      </c>
      <c r="FM357" s="414" t="e">
        <f>IF(AND(FI357&gt;NDC!$C$63,FJ357&gt;NDC!$C$65,FK357&gt;NDC!$D$73,FL357&gt;NDC!$D$74,$B357&gt;NDC!$H$22-0.1+MIN(3*FM$12,1.5)),0,1)</f>
        <v>#N/A</v>
      </c>
    </row>
    <row r="358" spans="1:169">
      <c r="A358" s="96">
        <f t="shared" si="565"/>
        <v>65.500000000001961</v>
      </c>
      <c r="B358" s="97">
        <v>34.5</v>
      </c>
      <c r="C358" s="81">
        <f>IF(B358&lt;=Hypothèses!$C$7,Hypothèses!$A$7,IF(B358&lt;=Hypothèses!$C$8,Hypothèses!$A$8,IF(B358&lt;=Hypothèses!$C$9,Hypothèses!$A$9,IF(B358&lt;=Hypothèses!$C$10,Hypothèses!$A$10,IF(B358&lt;=Hypothèses!$C$11,Hypothèses!$A$11,IF(B358&lt;=Hypothèses!$C$12,Hypothèses!$A$12,IF(B358&lt;=Hypothèses!$C$13,Hypothèses!$A$13,IF(B358&lt;=Hypothèses!$C$14,Hypothèses!$A$14,IF(B358&lt;=Hypothèses!$C$15,Hypothèses!$A$15,IF(B358&lt;=Hypothèses!$C$16,Hypothèses!$A$16,IF(B358&lt;=Hypothèses!$C$17,Hypothèses!$A$17,IF(B358&lt;=Hypothèses!$C$18,Hypothèses!$A$18,C357))))))))))))</f>
        <v>11</v>
      </c>
      <c r="D358" s="82" t="str">
        <f>IF(B358&lt;=Hypothèses!$C$7,Hypothèses!$R$7,IF(B358&lt;=Hypothèses!$C$8,Hypothèses!$R$8,IF(B358&lt;=Hypothèses!$C$9,Hypothèses!$R$9,IF(B358&lt;=Hypothèses!$C$10,Hypothèses!$R$10,IF(B358&lt;=Hypothèses!$C$11,Hypothèses!$R$11,IF(B358&lt;=Hypothèses!$C$12,Hypothèses!$R$12,IF(B358&lt;=Hypothèses!$C$13,Hypothèses!$R$13,IF(B358&lt;=Hypothèses!$C$14,Hypothèses!$R$14,IF(B358&lt;=Hypothèses!$C$15,Hypothèses!$R$15,IF(B358&lt;=Hypothèses!$C$16,Hypothèses!$R$16,IF(B358&lt;=Hypothèses!$C$17,Hypothèses!$R$17,IF(B358&lt;=Hypothèses!$C$18,Hypothèses!$R$18,D357))))))))))))</f>
        <v>Pressio.</v>
      </c>
      <c r="E358" s="82" t="e">
        <f>IF(B358&lt;=Hypothèses!$C$7,Hypothèses!$G$7,IF(B358&lt;=Hypothèses!$C$8,Hypothèses!$G$8,IF(B358&lt;=Hypothèses!$C$9,Hypothèses!$G$9,IF(B358&lt;=Hypothèses!$C$10,Hypothèses!$G$10,IF(B358&lt;=Hypothèses!$C$11,Hypothèses!$G$11,IF(B358&lt;=Hypothèses!$C$12,Hypothèses!$G$12,IF(B358&lt;=Hypothèses!$C$13,Hypothèses!$G$13,IF(B358&lt;=Hypothèses!$C$14,Hypothèses!$G$14,IF(B358&lt;=Hypothèses!$C$15,Hypothèses!$G$15,IF(B358&lt;=Hypothèses!$C$16,Hypothèses!$G$16,IF(B358&lt;=Hypothèses!$C$17,Hypothèses!$G$17,IF(B358&lt;=Hypothèses!$C$18,Hypothèses!$G$18,E357))))))))))))</f>
        <v>#N/A</v>
      </c>
      <c r="F358" s="82" t="str">
        <f>IF(B358&lt;=Hypothèses!$C$7,Hypothèses!$F$7,IF(B358&lt;=Hypothèses!$C$8,Hypothèses!$F$8,IF(B358&lt;=Hypothèses!$C$9,Hypothèses!$F$9,IF(B358&lt;=Hypothèses!$C$10,Hypothèses!$F$10,IF(B358&lt;=Hypothèses!$C$11,Hypothèses!$F$11,IF(B358&lt;=Hypothèses!$C$12,Hypothèses!$F$12,IF(B358&lt;=Hypothèses!$C$13,Hypothèses!$F$13,IF(B358&lt;=Hypothèses!$C$14,Hypothèses!$F$14,IF(B358&lt;=Hypothèses!$C$15,Hypothèses!$F$15,IF(B358&lt;=Hypothèses!$C$16,Hypothèses!$F$16,IF(B358&lt;=Hypothèses!$C$17,Hypothèses!$F$17,IF(B358&lt;=Hypothèses!$C$18,Hypothèses!$F$18,F357))))))))))))</f>
        <v/>
      </c>
      <c r="G358" s="91">
        <f t="array" ref="G358">INDEX('Coeff EC7'!$U$7:$X$27,
MATCH(Model0.1T!$B$3,'Coeff EC7'!$T$7:$T$27,0),
MATCH(Model0.1T!$D358&amp;Model0.1T!$B$4,
'Coeff EC7'!$U$6:$X$6&amp;
'Coeff EC7'!$U$5:$X$5,0))</f>
        <v>1.4</v>
      </c>
      <c r="H358" s="91">
        <f t="array" ref="H358">INDEX('Coeff EC7'!$Y$7:$AB$27,
MATCH(Model0.1T!$B$3,'Coeff EC7'!$T$7:$T$27,0),
MATCH(Model0.1T!$D358&amp;Model0.1T!$B$4,
'Coeff EC7'!$Y$6:$AB$6&amp;
'Coeff EC7'!$Y$5:$AB$5,0))</f>
        <v>1.7</v>
      </c>
      <c r="I358" s="83">
        <v>0</v>
      </c>
      <c r="J358" s="91" t="e">
        <f t="array" ref="J358">INDEX('Coeff EC7'!$D$33:$Q$33,1,MATCH(D358&amp;E358,'Coeff EC7'!$D$31:$Q$31&amp;'Coeff EC7'!$D$32:$Q$32,0))</f>
        <v>#N/A</v>
      </c>
      <c r="K358" s="91" t="e">
        <f t="array" ref="K358">INDEX('Coeff EC7'!$D$34:$Q$34,1,MATCH(D358&amp;E358,'Coeff EC7'!$D$31:$Q$31&amp;'Coeff EC7'!$D$32:$Q$32,0))</f>
        <v>#N/A</v>
      </c>
      <c r="L358" s="91" t="e">
        <f t="array" ref="L358">INDEX('Coeff EC7'!$D$35:$Q$35,1,MATCH(D358&amp;E358,'Coeff EC7'!$D$31:$Q$31&amp;'Coeff EC7'!$D$32:$Q$32,0))</f>
        <v>#N/A</v>
      </c>
      <c r="M358" s="98" t="e">
        <f t="shared" si="531"/>
        <v>#N/A</v>
      </c>
      <c r="N358" s="99" t="e">
        <f t="array" ref="N358">INDEX('Coeff EC7'!$D$7:$Q$27,MATCH($B$3,'Coeff EC7'!$C$7:$C$27,0),MATCH(D358&amp;E358,'Coeff EC7'!$D$5:$Q$5&amp;'Coeff EC7'!$D$6:$Q$6,0))</f>
        <v>#N/A</v>
      </c>
      <c r="O358" s="99" t="e">
        <f t="array" ref="O358">INDEX('Coeff EC7'!$D$41:$Q$61,MATCH($B$3,'Coeff EC7'!$C$41:$C$61,0),MATCH(D358&amp;E358,'Coeff EC7'!$D$39:$Q$39&amp;'Coeff EC7'!$D$40:$Q$40,0))</f>
        <v>#N/A</v>
      </c>
      <c r="P358" s="30" t="e">
        <f t="shared" si="566"/>
        <v>#N/A</v>
      </c>
      <c r="Q358" s="100" t="e">
        <f t="shared" si="533"/>
        <v>#N/A</v>
      </c>
      <c r="R358" s="86" t="b">
        <f t="shared" si="534"/>
        <v>0</v>
      </c>
      <c r="S358" s="86">
        <f t="shared" si="532"/>
        <v>0.5</v>
      </c>
      <c r="T358" s="86">
        <f t="shared" si="535"/>
        <v>0.5</v>
      </c>
      <c r="U358" s="30" t="e">
        <f t="shared" ca="1" si="567"/>
        <v>#DIV/0!</v>
      </c>
      <c r="V358" s="85" t="str">
        <f>IF(B358&lt;=Hypothèses!$V$7,Hypothèses!$W$7,IF(B358&lt;=Hypothèses!$V$8,Hypothèses!$W$8,IF(B358&lt;=Hypothèses!$V$9,Hypothèses!$W$9,IF(B358&lt;=Hypothèses!$V$10,Hypothèses!$W$10,IF(B358&lt;=Hypothèses!$V$11,Hypothèses!$W$11,IF(B358&lt;=Hypothèses!$V$12,Hypothèses!$W$12,IF(B358&lt;=Hypothèses!$V$13,Hypothèses!$W$13,IF(B358&lt;=Hypothèses!$V$14,Hypothèses!$W$14,IF(B358&lt;=Hypothèses!$V$15,Hypothèses!$W$15,IF(B358&lt;=Hypothèses!$V$16,Hypothèses!$W$16,IF(B358&lt;=Hypothèses!$V$17,Hypothèses!$W$17,IF(B358&lt;=Hypothèses!$V$18,Hypothèses!$W$18,""))))))))))))</f>
        <v/>
      </c>
      <c r="W358" s="87" t="e">
        <f t="shared" ca="1" si="616"/>
        <v>#DIV/0!</v>
      </c>
      <c r="X358" s="88" t="str">
        <f>IF(B358&lt;=Hypothèses!$V$7,Hypothèses!$X$7,IF(B358&lt;=Hypothèses!$V$8,Hypothèses!$X$8,IF(B358&lt;=Hypothèses!$V$9,Hypothèses!$X$9,IF(B358&lt;=Hypothèses!$V$10,Hypothèses!$X$10,IF(B358&lt;=Hypothèses!$V$11,Hypothèses!$X$11,IF(B358&lt;=Hypothèses!$V$12,Hypothèses!$X$12,IF(B358&lt;=Hypothèses!$V$13,Hypothèses!$X$13,IF(B358&lt;=Hypothèses!$V$14,Hypothèses!$X$14,IF(B358&lt;=Hypothèses!$V$15,Hypothèses!$X$15,IF(B358&lt;=Hypothèses!$V$16,Hypothèses!$X$16,IF(B358&lt;=Hypothèses!$U$17,Hypothèses!$W$17,IF(B358&lt;=Hypothèses!$U$18,Hypothèses!$W$18,""))))))))))))</f>
        <v/>
      </c>
      <c r="Y358" s="95" t="e">
        <f t="shared" ca="1" si="536"/>
        <v>#DIV/0!</v>
      </c>
      <c r="Z358" s="101">
        <f t="shared" si="537"/>
        <v>0</v>
      </c>
      <c r="AA358" s="91">
        <f t="shared" si="538"/>
        <v>0</v>
      </c>
      <c r="AB358" s="30" t="e">
        <f t="shared" si="600"/>
        <v>#N/A</v>
      </c>
      <c r="AC358" s="30" t="e">
        <f t="shared" si="601"/>
        <v>#N/A</v>
      </c>
      <c r="AD358" s="31" t="e">
        <f>IF(OR(Hypothèses!$B$4=17,Hypothèses!$B$4=18,Hypothèses!$B$4=19,Hypothèses!$B$4=20),
IF($D358="Pressio.",
IF(OR($E358=3,$E358=1,$E358=4),AC358,AB358),
IF($D358="Pénétro.",
IF(OR($E358=3,$E358=1,$E358=4),AC358,AB358))),IF($D358="Pressio.",
IF($E358=3,AC358,AB358),
IF($D358="Pénétro.",
IF($E358=4,AC358,AB358))))</f>
        <v>#N/A</v>
      </c>
      <c r="AE358" s="31">
        <v>0</v>
      </c>
      <c r="AF358" s="102" t="e">
        <f>IF(NDC!$H$10="Oui",(VLOOKUP($B$3,'Coeff EC7'!$T$39:$X$59,2,0)*AD358+VLOOKUP($B$3,'Coeff EC7'!$T$65:$X$85,2,0)*Model0.1T!AE358)/1.5,PI()*AB$12*$Q358*($B358-$B357)*0.15/10+AF357)</f>
        <v>#N/A</v>
      </c>
      <c r="AG358" s="102" t="e">
        <f>(VLOOKUP($B$3,'Coeff EC7'!$T$39:$X$59,3,0)*AD358+VLOOKUP($B$3,'Coeff EC7'!$T$65:$X$85,3,0)*Model0.1T!AE358)/1.1</f>
        <v>#N/A</v>
      </c>
      <c r="AH358" s="102" t="e">
        <f t="shared" si="568"/>
        <v>#N/A</v>
      </c>
      <c r="AI358" s="102" t="e">
        <f t="shared" si="569"/>
        <v>#N/A</v>
      </c>
      <c r="AJ358" s="414" t="e">
        <f>IF(AND(AF358&gt;NDC!$C$63,AG358&gt;NDC!$C$65,AH358&gt;NDC!$D$73,AI358&gt;NDC!$D$74,$B358&gt;NDC!$H$22-0.1+MIN(3*$AJ$12,1.5)),0,1)</f>
        <v>#N/A</v>
      </c>
      <c r="AK358" s="86" t="b">
        <f t="shared" si="539"/>
        <v>0</v>
      </c>
      <c r="AL358" s="86">
        <f t="shared" si="570"/>
        <v>0.5</v>
      </c>
      <c r="AM358" s="86">
        <f t="shared" si="540"/>
        <v>0.5</v>
      </c>
      <c r="AN358" s="30" t="e">
        <f t="shared" ca="1" si="571"/>
        <v>#DIV/0!</v>
      </c>
      <c r="AO358" s="85" t="e">
        <f ca="1">IF(U358&lt;=Hypothèses!$V$7,Hypothèses!$W$7,IF(U358&lt;=Hypothèses!$V$8,Hypothèses!$W$8,IF(U358&lt;=Hypothèses!$V$9,Hypothèses!$W$9,IF(U358&lt;=Hypothèses!$V$10,Hypothèses!$W$10,IF(U358&lt;=Hypothèses!$V$11,Hypothèses!$W$11,IF(U358&lt;=Hypothèses!$V$12,Hypothèses!$W$12,IF(U358&lt;=Hypothèses!$V$13,Hypothèses!$W$13,IF(U358&lt;=Hypothèses!$V$14,Hypothèses!$W$14,IF(U358&lt;=Hypothèses!$V$15,Hypothèses!$W$15,IF(U358&lt;=Hypothèses!$V$16,Hypothèses!$W$16,IF(U358&lt;=Hypothèses!$V$17,Hypothèses!$W$17,IF(U358&lt;=Hypothèses!$V$18,Hypothèses!$W$18,""))))))))))))</f>
        <v>#DIV/0!</v>
      </c>
      <c r="AP358" s="87" t="e">
        <f t="shared" ca="1" si="617"/>
        <v>#DIV/0!</v>
      </c>
      <c r="AQ358" s="88" t="e">
        <f ca="1">IF(U358&lt;=Hypothèses!$V$7,Hypothèses!$X$7,IF(U358&lt;=Hypothèses!$V$8,Hypothèses!$X$8,IF(U358&lt;=Hypothèses!$V$9,Hypothèses!$X$9,IF(U358&lt;=Hypothèses!$V$10,Hypothèses!$X$10,IF(U358&lt;=Hypothèses!$V$11,Hypothèses!$X$11,IF(U358&lt;=Hypothèses!$V$12,Hypothèses!$X$12,IF(U358&lt;=Hypothèses!$V$13,Hypothèses!$X$13,IF(U358&lt;=Hypothèses!$V$14,Hypothèses!$X$14,IF(U358&lt;=Hypothèses!$V$15,Hypothèses!$X$15,IF(U358&lt;=Hypothèses!$V$16,Hypothèses!$X$16,IF(U358&lt;=Hypothèses!$U$17,Hypothèses!$W$17,IF(U358&lt;=Hypothèses!$U$18,Hypothèses!$W$18,""))))))))))))</f>
        <v>#DIV/0!</v>
      </c>
      <c r="AR358" s="95" t="e">
        <f t="shared" ca="1" si="572"/>
        <v>#DIV/0!</v>
      </c>
      <c r="AS358" s="101">
        <f t="shared" si="624"/>
        <v>0</v>
      </c>
      <c r="AT358" s="91">
        <f t="shared" si="541"/>
        <v>0</v>
      </c>
      <c r="AU358" s="30" t="e">
        <f t="shared" si="602"/>
        <v>#N/A</v>
      </c>
      <c r="AV358" s="30" t="e">
        <f t="shared" si="603"/>
        <v>#N/A</v>
      </c>
      <c r="AW358" s="31" t="e">
        <f>IF(OR(Hypothèses!$B$4=17,Hypothèses!$B$4=18,Hypothèses!$B$4=19,Hypothèses!$B$4=20),
IF($D358="Pressio.",
IF(OR($E358=3,$E358=1,$E358=4),AV358,AU358),
IF($D358="Pénétro.",
IF(OR($E358=3,$E358=1,$E358=4),AV358,AU358))),IF($D358="Pressio.",
IF($E358=3,AV358,AU358),
IF($D358="Pénétro.",
IF($E358=4,AV358,AU358))))</f>
        <v>#N/A</v>
      </c>
      <c r="AX358" s="31">
        <v>0</v>
      </c>
      <c r="AY358" s="102" t="e">
        <f>IF(NDC!$H$10="Oui",(VLOOKUP($B$3,'Coeff EC7'!$T$39:$X$59,2,0)*AW358+VLOOKUP($B$3,'Coeff EC7'!$T$65:$X$85,2,0)*Model0.1T!AX358)/1.5,PI()*AU$12*$Q358*($B358-$B357)*0.15/10+AY357)</f>
        <v>#N/A</v>
      </c>
      <c r="AZ358" s="102" t="e">
        <f>(VLOOKUP($B$3,'Coeff EC7'!$T$39:$X$59,3,0)*AW358+VLOOKUP($B$3,'Coeff EC7'!$T$65:$X$85,3,0)*Model0.1T!AX358)/1.1</f>
        <v>#N/A</v>
      </c>
      <c r="BA358" s="102" t="e">
        <f t="shared" si="573"/>
        <v>#N/A</v>
      </c>
      <c r="BB358" s="102" t="e">
        <f t="shared" si="574"/>
        <v>#N/A</v>
      </c>
      <c r="BC358" s="414" t="e">
        <f>IF(AND(AY358&gt;NDC!$C$63,AZ358&gt;NDC!$C$65,BA358&gt;NDC!$D$73,BB358&gt;NDC!$D$74,$B358&gt;NDC!$H$22-0.1+MIN(3*BC$12,1.5)),0,1)</f>
        <v>#N/A</v>
      </c>
      <c r="BD358" s="86" t="b">
        <f t="shared" si="542"/>
        <v>0</v>
      </c>
      <c r="BE358" s="86">
        <f t="shared" si="575"/>
        <v>0.5</v>
      </c>
      <c r="BF358" s="86">
        <f t="shared" si="543"/>
        <v>0.5</v>
      </c>
      <c r="BG358" s="30" t="e">
        <f t="shared" ca="1" si="576"/>
        <v>#DIV/0!</v>
      </c>
      <c r="BH358" s="85" t="e">
        <f ca="1">IF(AN358&lt;=Hypothèses!$V$7,Hypothèses!$W$7,IF(AN358&lt;=Hypothèses!$V$8,Hypothèses!$W$8,IF(AN358&lt;=Hypothèses!$V$9,Hypothèses!$W$9,IF(AN358&lt;=Hypothèses!$V$10,Hypothèses!$W$10,IF(AN358&lt;=Hypothèses!$V$11,Hypothèses!$W$11,IF(AN358&lt;=Hypothèses!$V$12,Hypothèses!$W$12,IF(AN358&lt;=Hypothèses!$V$13,Hypothèses!$W$13,IF(AN358&lt;=Hypothèses!$V$14,Hypothèses!$W$14,IF(AN358&lt;=Hypothèses!$V$15,Hypothèses!$W$15,IF(AN358&lt;=Hypothèses!$V$16,Hypothèses!$W$16,IF(AN358&lt;=Hypothèses!$V$17,Hypothèses!$W$17,IF(AN358&lt;=Hypothèses!$V$18,Hypothèses!$W$18,""))))))))))))</f>
        <v>#DIV/0!</v>
      </c>
      <c r="BI358" s="87" t="e">
        <f t="shared" ca="1" si="618"/>
        <v>#DIV/0!</v>
      </c>
      <c r="BJ358" s="88" t="e">
        <f ca="1">IF(AN358&lt;=Hypothèses!$V$7,Hypothèses!$X$7,IF(AN358&lt;=Hypothèses!$V$8,Hypothèses!$X$8,IF(AN358&lt;=Hypothèses!$V$9,Hypothèses!$X$9,IF(AN358&lt;=Hypothèses!$V$10,Hypothèses!$X$10,IF(AN358&lt;=Hypothèses!$V$11,Hypothèses!$X$11,IF(AN358&lt;=Hypothèses!$V$12,Hypothèses!$X$12,IF(AN358&lt;=Hypothèses!$V$13,Hypothèses!$X$13,IF(AN358&lt;=Hypothèses!$V$14,Hypothèses!$X$14,IF(AN358&lt;=Hypothèses!$V$15,Hypothèses!$X$15,IF(AN358&lt;=Hypothèses!$V$16,Hypothèses!$X$16,IF(AN358&lt;=Hypothèses!$U$17,Hypothèses!$W$17,IF(AN358&lt;=Hypothèses!$U$18,Hypothèses!$W$18,""))))))))))))</f>
        <v>#DIV/0!</v>
      </c>
      <c r="BK358" s="95" t="e">
        <f t="shared" ca="1" si="577"/>
        <v>#DIV/0!</v>
      </c>
      <c r="BL358" s="101">
        <f t="shared" si="625"/>
        <v>0</v>
      </c>
      <c r="BM358" s="91">
        <f t="shared" si="544"/>
        <v>0</v>
      </c>
      <c r="BN358" s="30" t="e">
        <f t="shared" si="604"/>
        <v>#N/A</v>
      </c>
      <c r="BO358" s="30" t="e">
        <f t="shared" si="605"/>
        <v>#N/A</v>
      </c>
      <c r="BP358" s="31" t="e">
        <f>IF(OR(Hypothèses!$B$4=17,Hypothèses!$B$4=18,Hypothèses!$B$4=19,Hypothèses!$B$4=20),
IF($D358="Pressio.",
IF(OR($E358=3,$E358=1,$E358=4),BO358,BN358),
IF($D358="Pénétro.",
IF(OR($E358=3,$E358=1,$E358=4),BO358,BN358))),IF($D358="Pressio.",
IF($E358=3,BO358,BN358),
IF($D358="Pénétro.",
IF($E358=4,BO358,BN358))))</f>
        <v>#N/A</v>
      </c>
      <c r="BQ358" s="31">
        <v>0</v>
      </c>
      <c r="BR358" s="102" t="e">
        <f>IF(NDC!$H$10="Oui",(VLOOKUP($B$3,'Coeff EC7'!$T$39:$X$59,2,0)*BP358+VLOOKUP($B$3,'Coeff EC7'!$T$65:$X$85,2,0)*Model0.1T!BQ358)/1.5,PI()*BN$12*$Q358*($B358-$B357)*0.15/10+BR357)</f>
        <v>#N/A</v>
      </c>
      <c r="BS358" s="102" t="e">
        <f>(VLOOKUP($B$3,'Coeff EC7'!$T$39:$X$59,3,0)*BP358+VLOOKUP($B$3,'Coeff EC7'!$T$65:$X$85,3,0)*Model0.1T!BQ358)/1.1</f>
        <v>#N/A</v>
      </c>
      <c r="BT358" s="102" t="e">
        <f t="shared" si="578"/>
        <v>#N/A</v>
      </c>
      <c r="BU358" s="102" t="e">
        <f t="shared" si="579"/>
        <v>#N/A</v>
      </c>
      <c r="BV358" s="414" t="e">
        <f>IF(AND(BR358&gt;NDC!$C$63,BS358&gt;NDC!$C$65,BT358&gt;NDC!$D$73,BU358&gt;NDC!$D$74,$B358&gt;NDC!$H$22-0.1+MIN(3*BV$12,1.5)),0,1)</f>
        <v>#N/A</v>
      </c>
      <c r="BW358" s="86" t="b">
        <f t="shared" si="545"/>
        <v>0</v>
      </c>
      <c r="BX358" s="86">
        <f t="shared" si="546"/>
        <v>0.5</v>
      </c>
      <c r="BY358" s="86">
        <f t="shared" si="547"/>
        <v>0.5</v>
      </c>
      <c r="BZ358" s="30" t="e">
        <f t="shared" ca="1" si="580"/>
        <v>#DIV/0!</v>
      </c>
      <c r="CA358" s="85" t="e">
        <f ca="1">IF(BG358&lt;=Hypothèses!$V$7,Hypothèses!$W$7,IF(BG358&lt;=Hypothèses!$V$8,Hypothèses!$W$8,IF(BG358&lt;=Hypothèses!$V$9,Hypothèses!$W$9,IF(BG358&lt;=Hypothèses!$V$10,Hypothèses!$W$10,IF(BG358&lt;=Hypothèses!$V$11,Hypothèses!$W$11,IF(BG358&lt;=Hypothèses!$V$12,Hypothèses!$W$12,IF(BG358&lt;=Hypothèses!$V$13,Hypothèses!$W$13,IF(BG358&lt;=Hypothèses!$V$14,Hypothèses!$W$14,IF(BG358&lt;=Hypothèses!$V$15,Hypothèses!$W$15,IF(BG358&lt;=Hypothèses!$V$16,Hypothèses!$W$16,IF(BG358&lt;=Hypothèses!$V$17,Hypothèses!$W$17,IF(BG358&lt;=Hypothèses!$V$18,Hypothèses!$W$18,""))))))))))))</f>
        <v>#DIV/0!</v>
      </c>
      <c r="CB358" s="87" t="e">
        <f t="shared" ca="1" si="619"/>
        <v>#DIV/0!</v>
      </c>
      <c r="CC358" s="88" t="e">
        <f ca="1">IF(BG358&lt;=Hypothèses!$V$7,Hypothèses!$X$7,IF(BG358&lt;=Hypothèses!$V$8,Hypothèses!$X$8,IF(BG358&lt;=Hypothèses!$V$9,Hypothèses!$X$9,IF(BG358&lt;=Hypothèses!$V$10,Hypothèses!$X$10,IF(BG358&lt;=Hypothèses!$V$11,Hypothèses!$X$11,IF(BG358&lt;=Hypothèses!$V$12,Hypothèses!$X$12,IF(BG358&lt;=Hypothèses!$V$13,Hypothèses!$X$13,IF(BG358&lt;=Hypothèses!$V$14,Hypothèses!$X$14,IF(BG358&lt;=Hypothèses!$V$15,Hypothèses!$X$15,IF(BG358&lt;=Hypothèses!$V$16,Hypothèses!$X$16,IF(BG358&lt;=Hypothèses!$U$17,Hypothèses!$W$17,IF(BG358&lt;=Hypothèses!$U$18,Hypothèses!$W$18,""))))))))))))</f>
        <v>#DIV/0!</v>
      </c>
      <c r="CD358" s="95" t="e">
        <f t="shared" ca="1" si="581"/>
        <v>#DIV/0!</v>
      </c>
      <c r="CE358" s="101">
        <f t="shared" si="626"/>
        <v>0</v>
      </c>
      <c r="CF358" s="91">
        <f t="shared" si="548"/>
        <v>0</v>
      </c>
      <c r="CG358" s="30" t="e">
        <f t="shared" si="606"/>
        <v>#N/A</v>
      </c>
      <c r="CH358" s="30" t="e">
        <f t="shared" si="607"/>
        <v>#N/A</v>
      </c>
      <c r="CI358" s="31" t="e">
        <f>IF(OR(Hypothèses!$B$4=17,Hypothèses!$B$4=18,Hypothèses!$B$4=19,Hypothèses!$B$4=20),
IF($D358="Pressio.",
IF(OR($E358=3,$E358=1,$E358=4),CH358,CG358),
IF($D358="Pénétro.",
IF(OR($E358=3,$E358=1,$E358=4),CH358,CG358))),IF($D358="Pressio.",
IF($E358=3,CH358,CG358),
IF($D358="Pénétro.",
IF($E358=4,CH358,CG358))))</f>
        <v>#N/A</v>
      </c>
      <c r="CJ358" s="31">
        <v>0</v>
      </c>
      <c r="CK358" s="102" t="e">
        <f>IF(NDC!$H$10="Oui",(VLOOKUP($B$3,'Coeff EC7'!$T$39:$X$59,2,0)*CI358+VLOOKUP($B$3,'Coeff EC7'!$T$65:$X$85,2,0)*Model0.1T!CJ358)/1.5,PI()*CG$12*$Q358*($B358-$B357)*0.15/10+CK357)</f>
        <v>#N/A</v>
      </c>
      <c r="CL358" s="102" t="e">
        <f>(VLOOKUP($B$3,'Coeff EC7'!$T$39:$X$59,3,0)*CI358+VLOOKUP($B$3,'Coeff EC7'!$T$65:$X$85,3,0)*Model0.1T!CJ358)/1.1</f>
        <v>#N/A</v>
      </c>
      <c r="CM358" s="102" t="e">
        <f t="shared" si="582"/>
        <v>#N/A</v>
      </c>
      <c r="CN358" s="102" t="e">
        <f t="shared" si="583"/>
        <v>#N/A</v>
      </c>
      <c r="CO358" s="414" t="e">
        <f>IF(AND(CK358&gt;NDC!$C$63,CL358&gt;NDC!$C$65,CM358&gt;NDC!$D$73,CN358&gt;NDC!$D$74,$B358&gt;NDC!$H$22-0.1+MIN(3*CO$12,1.5)),0,1)</f>
        <v>#N/A</v>
      </c>
      <c r="CP358" s="86" t="b">
        <f t="shared" si="549"/>
        <v>0</v>
      </c>
      <c r="CQ358" s="86">
        <f t="shared" si="550"/>
        <v>0.5</v>
      </c>
      <c r="CR358" s="86">
        <f t="shared" si="551"/>
        <v>0.5</v>
      </c>
      <c r="CS358" s="30" t="e">
        <f t="shared" ca="1" si="584"/>
        <v>#DIV/0!</v>
      </c>
      <c r="CT358" s="85" t="e">
        <f ca="1">IF(BZ358&lt;=Hypothèses!$V$7,Hypothèses!$W$7,IF(BZ358&lt;=Hypothèses!$V$8,Hypothèses!$W$8,IF(BZ358&lt;=Hypothèses!$V$9,Hypothèses!$W$9,IF(BZ358&lt;=Hypothèses!$V$10,Hypothèses!$W$10,IF(BZ358&lt;=Hypothèses!$V$11,Hypothèses!$W$11,IF(BZ358&lt;=Hypothèses!$V$12,Hypothèses!$W$12,IF(BZ358&lt;=Hypothèses!$V$13,Hypothèses!$W$13,IF(BZ358&lt;=Hypothèses!$V$14,Hypothèses!$W$14,IF(BZ358&lt;=Hypothèses!$V$15,Hypothèses!$W$15,IF(BZ358&lt;=Hypothèses!$V$16,Hypothèses!$W$16,IF(BZ358&lt;=Hypothèses!$V$17,Hypothèses!$W$17,IF(BZ358&lt;=Hypothèses!$V$18,Hypothèses!$W$18,""))))))))))))</f>
        <v>#DIV/0!</v>
      </c>
      <c r="CU358" s="87" t="e">
        <f t="shared" ca="1" si="620"/>
        <v>#DIV/0!</v>
      </c>
      <c r="CV358" s="88" t="e">
        <f ca="1">IF(BZ358&lt;=Hypothèses!$V$7,Hypothèses!$X$7,IF(BZ358&lt;=Hypothèses!$V$8,Hypothèses!$X$8,IF(BZ358&lt;=Hypothèses!$V$9,Hypothèses!$X$9,IF(BZ358&lt;=Hypothèses!$V$10,Hypothèses!$X$10,IF(BZ358&lt;=Hypothèses!$V$11,Hypothèses!$X$11,IF(BZ358&lt;=Hypothèses!$V$12,Hypothèses!$X$12,IF(BZ358&lt;=Hypothèses!$V$13,Hypothèses!$X$13,IF(BZ358&lt;=Hypothèses!$V$14,Hypothèses!$X$14,IF(BZ358&lt;=Hypothèses!$V$15,Hypothèses!$X$15,IF(BZ358&lt;=Hypothèses!$V$16,Hypothèses!$X$16,IF(BZ358&lt;=Hypothèses!$U$17,Hypothèses!$W$17,IF(BZ358&lt;=Hypothèses!$U$18,Hypothèses!$W$18,""))))))))))))</f>
        <v>#DIV/0!</v>
      </c>
      <c r="CW358" s="95" t="e">
        <f t="shared" ca="1" si="585"/>
        <v>#DIV/0!</v>
      </c>
      <c r="CX358" s="101">
        <f t="shared" si="627"/>
        <v>0</v>
      </c>
      <c r="CY358" s="91">
        <f t="shared" si="552"/>
        <v>0</v>
      </c>
      <c r="CZ358" s="30" t="e">
        <f t="shared" si="608"/>
        <v>#N/A</v>
      </c>
      <c r="DA358" s="30" t="e">
        <f t="shared" si="609"/>
        <v>#N/A</v>
      </c>
      <c r="DB358" s="31" t="e">
        <f>IF(OR(Hypothèses!$B$4=17,Hypothèses!$B$4=18,Hypothèses!$B$4=19,Hypothèses!$B$4=20),
IF($D358="Pressio.",
IF(OR($E358=3,$E358=1,$E358=4),DA358,CZ358),
IF($D358="Pénétro.",
IF(OR($E358=3,$E358=1,$E358=4),DA358,CZ358))),IF($D358="Pressio.",
IF($E358=3,DA358,CZ358),
IF($D358="Pénétro.",
IF($E358=4,DA358,CZ358))))</f>
        <v>#N/A</v>
      </c>
      <c r="DC358" s="31">
        <v>0</v>
      </c>
      <c r="DD358" s="102" t="e">
        <f>IF(NDC!$H$10="Oui",(VLOOKUP($B$3,'Coeff EC7'!$T$39:$X$59,2,0)*DB358+VLOOKUP($B$3,'Coeff EC7'!$T$65:$X$85,2,0)*Model0.1T!DC358)/1.5,PI()*CZ$12*$Q358*($B358-$B357)*0.15/10+DD357)</f>
        <v>#N/A</v>
      </c>
      <c r="DE358" s="102" t="e">
        <f>(VLOOKUP($B$3,'Coeff EC7'!$T$39:$X$59,3,0)*DB358+VLOOKUP($B$3,'Coeff EC7'!$T$65:$X$85,3,0)*Model0.1T!DC358)/1.1</f>
        <v>#N/A</v>
      </c>
      <c r="DF358" s="102" t="e">
        <f t="shared" si="586"/>
        <v>#N/A</v>
      </c>
      <c r="DG358" s="102" t="e">
        <f t="shared" si="587"/>
        <v>#N/A</v>
      </c>
      <c r="DH358" s="414" t="e">
        <f>IF(AND(DD358&gt;NDC!$C$63,DE358&gt;NDC!$C$65,DF358&gt;NDC!$D$73,DG358&gt;NDC!$D$74,$B358&gt;NDC!$H$22-0.1+MIN(3*DH$12,1.5)),0,1)</f>
        <v>#N/A</v>
      </c>
      <c r="DI358" s="86" t="b">
        <f t="shared" si="553"/>
        <v>0</v>
      </c>
      <c r="DJ358" s="86">
        <f t="shared" si="554"/>
        <v>0.5</v>
      </c>
      <c r="DK358" s="86">
        <f t="shared" si="555"/>
        <v>0.5</v>
      </c>
      <c r="DL358" s="30" t="e">
        <f t="shared" ca="1" si="588"/>
        <v>#DIV/0!</v>
      </c>
      <c r="DM358" s="85" t="e">
        <f ca="1">IF(CS358&lt;=Hypothèses!$V$7,Hypothèses!$W$7,IF(CS358&lt;=Hypothèses!$V$8,Hypothèses!$W$8,IF(CS358&lt;=Hypothèses!$V$9,Hypothèses!$W$9,IF(CS358&lt;=Hypothèses!$V$10,Hypothèses!$W$10,IF(CS358&lt;=Hypothèses!$V$11,Hypothèses!$W$11,IF(CS358&lt;=Hypothèses!$V$12,Hypothèses!$W$12,IF(CS358&lt;=Hypothèses!$V$13,Hypothèses!$W$13,IF(CS358&lt;=Hypothèses!$V$14,Hypothèses!$W$14,IF(CS358&lt;=Hypothèses!$V$15,Hypothèses!$W$15,IF(CS358&lt;=Hypothèses!$V$16,Hypothèses!$W$16,IF(CS358&lt;=Hypothèses!$V$17,Hypothèses!$W$17,IF(CS358&lt;=Hypothèses!$V$18,Hypothèses!$W$18,""))))))))))))</f>
        <v>#DIV/0!</v>
      </c>
      <c r="DN358" s="87" t="e">
        <f t="shared" ca="1" si="621"/>
        <v>#DIV/0!</v>
      </c>
      <c r="DO358" s="88" t="e">
        <f ca="1">IF(CS358&lt;=Hypothèses!$V$7,Hypothèses!$X$7,IF(CS358&lt;=Hypothèses!$V$8,Hypothèses!$X$8,IF(CS358&lt;=Hypothèses!$V$9,Hypothèses!$X$9,IF(CS358&lt;=Hypothèses!$V$10,Hypothèses!$X$10,IF(CS358&lt;=Hypothèses!$V$11,Hypothèses!$X$11,IF(CS358&lt;=Hypothèses!$V$12,Hypothèses!$X$12,IF(CS358&lt;=Hypothèses!$V$13,Hypothèses!$X$13,IF(CS358&lt;=Hypothèses!$V$14,Hypothèses!$X$14,IF(CS358&lt;=Hypothèses!$V$15,Hypothèses!$X$15,IF(CS358&lt;=Hypothèses!$V$16,Hypothèses!$X$16,IF(CS358&lt;=Hypothèses!$U$17,Hypothèses!$W$17,IF(CS358&lt;=Hypothèses!$U$18,Hypothèses!$W$18,""))))))))))))</f>
        <v>#DIV/0!</v>
      </c>
      <c r="DP358" s="95" t="e">
        <f t="shared" ca="1" si="589"/>
        <v>#DIV/0!</v>
      </c>
      <c r="DQ358" s="101">
        <f t="shared" si="628"/>
        <v>0</v>
      </c>
      <c r="DR358" s="91">
        <f t="shared" si="556"/>
        <v>0</v>
      </c>
      <c r="DS358" s="30" t="e">
        <f t="shared" si="610"/>
        <v>#N/A</v>
      </c>
      <c r="DT358" s="30" t="e">
        <f t="shared" si="611"/>
        <v>#N/A</v>
      </c>
      <c r="DU358" s="31" t="e">
        <f>IF(OR(Hypothèses!$B$4=17,Hypothèses!$B$4=18,Hypothèses!$B$4=19,Hypothèses!$B$4=20),
IF($D358="Pressio.",
IF(OR($E358=3,$E358=1,$E358=4),DT358,DS358),
IF($D358="Pénétro.",
IF(OR($E358=3,$E358=1,$E358=4),DT358,DS358))),IF($D358="Pressio.",
IF($E358=3,DT358,DS358),
IF($D358="Pénétro.",
IF($E358=4,DT358,DS358))))</f>
        <v>#N/A</v>
      </c>
      <c r="DV358" s="31">
        <v>0</v>
      </c>
      <c r="DW358" s="102" t="e">
        <f>IF(NDC!$H$10="Oui",(VLOOKUP($B$3,'Coeff EC7'!$T$39:$X$59,2,0)*DU358+VLOOKUP($B$3,'Coeff EC7'!$T$65:$X$85,2,0)*Model0.1T!DV358)/1.5,PI()*DS$12*$Q358*($B358-$B357)*0.15/10+DW357)</f>
        <v>#N/A</v>
      </c>
      <c r="DX358" s="102" t="e">
        <f>(VLOOKUP($B$3,'Coeff EC7'!$T$39:$X$59,3,0)*DU358+VLOOKUP($B$3,'Coeff EC7'!$T$65:$X$85,3,0)*Model0.1T!DV358)/1.1</f>
        <v>#N/A</v>
      </c>
      <c r="DY358" s="102" t="e">
        <f t="shared" si="590"/>
        <v>#N/A</v>
      </c>
      <c r="DZ358" s="102" t="e">
        <f t="shared" si="591"/>
        <v>#N/A</v>
      </c>
      <c r="EA358" s="414" t="e">
        <f>IF(AND(DW358&gt;NDC!$C$63,DX358&gt;NDC!$C$65,DY358&gt;NDC!$D$73,DZ358&gt;NDC!$D$74,$B358&gt;NDC!$H$22-0.1+MIN(3*EA$12,1.5)),0,1)</f>
        <v>#N/A</v>
      </c>
      <c r="EB358" s="86" t="b">
        <f t="shared" si="557"/>
        <v>0</v>
      </c>
      <c r="EC358" s="418">
        <f t="shared" si="558"/>
        <v>0.51</v>
      </c>
      <c r="ED358" s="86">
        <f t="shared" si="559"/>
        <v>0.51</v>
      </c>
      <c r="EE358" s="30" t="e">
        <f t="shared" ca="1" si="592"/>
        <v>#DIV/0!</v>
      </c>
      <c r="EF358" s="85" t="e">
        <f ca="1">IF(DL358&lt;=Hypothèses!$V$7,Hypothèses!$W$7,IF(DL358&lt;=Hypothèses!$V$8,Hypothèses!$W$8,IF(DL358&lt;=Hypothèses!$V$9,Hypothèses!$W$9,IF(DL358&lt;=Hypothèses!$V$10,Hypothèses!$W$10,IF(DL358&lt;=Hypothèses!$V$11,Hypothèses!$W$11,IF(DL358&lt;=Hypothèses!$V$12,Hypothèses!$W$12,IF(DL358&lt;=Hypothèses!$V$13,Hypothèses!$W$13,IF(DL358&lt;=Hypothèses!$V$14,Hypothèses!$W$14,IF(DL358&lt;=Hypothèses!$V$15,Hypothèses!$W$15,IF(DL358&lt;=Hypothèses!$V$16,Hypothèses!$W$16,IF(DL358&lt;=Hypothèses!$V$17,Hypothèses!$W$17,IF(DL358&lt;=Hypothèses!$V$18,Hypothèses!$W$18,""))))))))))))</f>
        <v>#DIV/0!</v>
      </c>
      <c r="EG358" s="87" t="e">
        <f t="shared" ca="1" si="622"/>
        <v>#DIV/0!</v>
      </c>
      <c r="EH358" s="88" t="e">
        <f ca="1">IF(DL358&lt;=Hypothèses!$V$7,Hypothèses!$X$7,IF(DL358&lt;=Hypothèses!$V$8,Hypothèses!$X$8,IF(DL358&lt;=Hypothèses!$V$9,Hypothèses!$X$9,IF(DL358&lt;=Hypothèses!$V$10,Hypothèses!$X$10,IF(DL358&lt;=Hypothèses!$V$11,Hypothèses!$X$11,IF(DL358&lt;=Hypothèses!$V$12,Hypothèses!$X$12,IF(DL358&lt;=Hypothèses!$V$13,Hypothèses!$X$13,IF(DL358&lt;=Hypothèses!$V$14,Hypothèses!$X$14,IF(DL358&lt;=Hypothèses!$V$15,Hypothèses!$X$15,IF(DL358&lt;=Hypothèses!$V$16,Hypothèses!$X$16,IF(DL358&lt;=Hypothèses!$U$17,Hypothèses!$W$17,IF(DL358&lt;=Hypothèses!$U$18,Hypothèses!$W$18,""))))))))))))</f>
        <v>#DIV/0!</v>
      </c>
      <c r="EI358" s="95" t="e">
        <f t="shared" ca="1" si="593"/>
        <v>#DIV/0!</v>
      </c>
      <c r="EJ358" s="101">
        <f t="shared" si="629"/>
        <v>0</v>
      </c>
      <c r="EK358" s="91">
        <f t="shared" si="560"/>
        <v>0</v>
      </c>
      <c r="EL358" s="30" t="e">
        <f t="shared" si="612"/>
        <v>#N/A</v>
      </c>
      <c r="EM358" s="30" t="e">
        <f t="shared" si="613"/>
        <v>#N/A</v>
      </c>
      <c r="EN358" s="31" t="e">
        <f>IF(OR(Hypothèses!$B$4=17,Hypothèses!$B$4=18,Hypothèses!$B$4=19,Hypothèses!$B$4=20),
IF($D358="Pressio.",
IF(OR($E358=3,$E358=1,$E358=4),EM358,EL358),
IF($D358="Pénétro.",
IF(OR($E358=3,$E358=1,$E358=4),EM358,EL358))),IF($D358="Pressio.",
IF($E358=3,EM358,EL358),
IF($D358="Pénétro.",
IF($E358=4,EM358,EL358))))</f>
        <v>#N/A</v>
      </c>
      <c r="EO358" s="31">
        <v>0</v>
      </c>
      <c r="EP358" s="102" t="e">
        <f>IF(NDC!$H$10="Oui",(VLOOKUP($B$3,'Coeff EC7'!$T$39:$X$59,2,0)*EN358+VLOOKUP($B$3,'Coeff EC7'!$T$65:$X$85,2,0)*Model0.1T!EO358)/1.5,PI()*EL$12*$Q358*($B358-$B357)*0.15/10+EP357)</f>
        <v>#N/A</v>
      </c>
      <c r="EQ358" s="102" t="e">
        <f>(VLOOKUP($B$3,'Coeff EC7'!$T$39:$X$59,3,0)*EN358+VLOOKUP($B$3,'Coeff EC7'!$T$65:$X$85,3,0)*Model0.1T!EO358)/1.1</f>
        <v>#N/A</v>
      </c>
      <c r="ER358" s="102" t="e">
        <f t="shared" si="594"/>
        <v>#N/A</v>
      </c>
      <c r="ES358" s="102" t="e">
        <f t="shared" si="595"/>
        <v>#N/A</v>
      </c>
      <c r="ET358" s="414" t="e">
        <f>IF(AND(EP358&gt;NDC!$C$63,EQ358&gt;NDC!$C$65,ER358&gt;NDC!$D$73,ES358&gt;NDC!$D$74,$B358&gt;NDC!$H$22-0.1+MIN(3*ET$12,1.5)),0,1)</f>
        <v>#N/A</v>
      </c>
      <c r="EU358" s="86" t="b">
        <f t="shared" si="561"/>
        <v>0</v>
      </c>
      <c r="EV358" s="86">
        <f t="shared" si="562"/>
        <v>0.61</v>
      </c>
      <c r="EW358" s="86">
        <f t="shared" si="563"/>
        <v>0.61</v>
      </c>
      <c r="EX358" s="30" t="e">
        <f t="shared" ca="1" si="596"/>
        <v>#DIV/0!</v>
      </c>
      <c r="EY358" s="85" t="e">
        <f ca="1">IF(EE358&lt;=Hypothèses!$V$7,Hypothèses!$W$7,IF(EE358&lt;=Hypothèses!$V$8,Hypothèses!$W$8,IF(EE358&lt;=Hypothèses!$V$9,Hypothèses!$W$9,IF(EE358&lt;=Hypothèses!$V$10,Hypothèses!$W$10,IF(EE358&lt;=Hypothèses!$V$11,Hypothèses!$W$11,IF(EE358&lt;=Hypothèses!$V$12,Hypothèses!$W$12,IF(EE358&lt;=Hypothèses!$V$13,Hypothèses!$W$13,IF(EE358&lt;=Hypothèses!$V$14,Hypothèses!$W$14,IF(EE358&lt;=Hypothèses!$V$15,Hypothèses!$W$15,IF(EE358&lt;=Hypothèses!$V$16,Hypothèses!$W$16,IF(EE358&lt;=Hypothèses!$V$17,Hypothèses!$W$17,IF(EE358&lt;=Hypothèses!$V$18,Hypothèses!$W$18,""))))))))))))</f>
        <v>#DIV/0!</v>
      </c>
      <c r="EZ358" s="87" t="e">
        <f t="shared" ca="1" si="623"/>
        <v>#DIV/0!</v>
      </c>
      <c r="FA358" s="88" t="e">
        <f ca="1">IF(EE358&lt;=Hypothèses!$V$7,Hypothèses!$X$7,IF(EE358&lt;=Hypothèses!$V$8,Hypothèses!$X$8,IF(EE358&lt;=Hypothèses!$V$9,Hypothèses!$X$9,IF(EE358&lt;=Hypothèses!$V$10,Hypothèses!$X$10,IF(EE358&lt;=Hypothèses!$V$11,Hypothèses!$X$11,IF(EE358&lt;=Hypothèses!$V$12,Hypothèses!$X$12,IF(EE358&lt;=Hypothèses!$V$13,Hypothèses!$X$13,IF(EE358&lt;=Hypothèses!$V$14,Hypothèses!$X$14,IF(EE358&lt;=Hypothèses!$V$15,Hypothèses!$X$15,IF(EE358&lt;=Hypothèses!$V$16,Hypothèses!$X$16,IF(EE358&lt;=Hypothèses!$U$17,Hypothèses!$W$17,IF(EE358&lt;=Hypothèses!$U$18,Hypothèses!$W$18,""))))))))))))</f>
        <v>#DIV/0!</v>
      </c>
      <c r="FB358" s="95" t="e">
        <f t="shared" ca="1" si="597"/>
        <v>#DIV/0!</v>
      </c>
      <c r="FC358" s="101">
        <f t="shared" si="630"/>
        <v>0</v>
      </c>
      <c r="FD358" s="91">
        <f t="shared" si="564"/>
        <v>0</v>
      </c>
      <c r="FE358" s="30" t="e">
        <f t="shared" si="614"/>
        <v>#N/A</v>
      </c>
      <c r="FF358" s="30" t="e">
        <f t="shared" si="615"/>
        <v>#N/A</v>
      </c>
      <c r="FG358" s="31" t="e">
        <f>IF(OR(Hypothèses!$B$4=17,Hypothèses!$B$4=18,Hypothèses!$B$4=19,Hypothèses!$B$4=20),
IF($D358="Pressio.",
IF(OR($E358=3,$E358=1,$E358=4),FF358,FE358),
IF($D358="Pénétro.",
IF(OR($E358=3,$E358=1,$E358=4),FF358,FE358))),IF($D358="Pressio.",
IF($E358=3,FF358,FE358),
IF($D358="Pénétro.",
IF($E358=4,FF358,FE358))))</f>
        <v>#N/A</v>
      </c>
      <c r="FH358" s="31">
        <v>0</v>
      </c>
      <c r="FI358" s="102" t="e">
        <f>IF(NDC!$H$10="Oui",(VLOOKUP($B$3,'Coeff EC7'!$T$39:$X$59,2,0)*FG358+VLOOKUP($B$3,'Coeff EC7'!$T$65:$X$85,2,0)*Model0.1T!FH358)/1.5,PI()*FE$12*$Q358*($B358-$B357)*0.15/10+FI357)</f>
        <v>#N/A</v>
      </c>
      <c r="FJ358" s="102" t="e">
        <f>(VLOOKUP($B$3,'Coeff EC7'!$T$39:$X$59,3,0)*FG358+VLOOKUP($B$3,'Coeff EC7'!$T$65:$X$85,3,0)*Model0.1T!FH358)/1.1</f>
        <v>#N/A</v>
      </c>
      <c r="FK358" s="102" t="e">
        <f t="shared" si="598"/>
        <v>#N/A</v>
      </c>
      <c r="FL358" s="102" t="e">
        <f t="shared" si="599"/>
        <v>#N/A</v>
      </c>
      <c r="FM358" s="414" t="e">
        <f>IF(AND(FI358&gt;NDC!$C$63,FJ358&gt;NDC!$C$65,FK358&gt;NDC!$D$73,FL358&gt;NDC!$D$74,$B358&gt;NDC!$H$22-0.1+MIN(3*FM$12,1.5)),0,1)</f>
        <v>#N/A</v>
      </c>
    </row>
    <row r="359" spans="1:169">
      <c r="A359" s="96">
        <f t="shared" si="565"/>
        <v>65.400000000001967</v>
      </c>
      <c r="B359" s="97">
        <v>34.6</v>
      </c>
      <c r="C359" s="81">
        <f>IF(B359&lt;=Hypothèses!$C$7,Hypothèses!$A$7,IF(B359&lt;=Hypothèses!$C$8,Hypothèses!$A$8,IF(B359&lt;=Hypothèses!$C$9,Hypothèses!$A$9,IF(B359&lt;=Hypothèses!$C$10,Hypothèses!$A$10,IF(B359&lt;=Hypothèses!$C$11,Hypothèses!$A$11,IF(B359&lt;=Hypothèses!$C$12,Hypothèses!$A$12,IF(B359&lt;=Hypothèses!$C$13,Hypothèses!$A$13,IF(B359&lt;=Hypothèses!$C$14,Hypothèses!$A$14,IF(B359&lt;=Hypothèses!$C$15,Hypothèses!$A$15,IF(B359&lt;=Hypothèses!$C$16,Hypothèses!$A$16,IF(B359&lt;=Hypothèses!$C$17,Hypothèses!$A$17,IF(B359&lt;=Hypothèses!$C$18,Hypothèses!$A$18,C358))))))))))))</f>
        <v>11</v>
      </c>
      <c r="D359" s="82" t="str">
        <f>IF(B359&lt;=Hypothèses!$C$7,Hypothèses!$R$7,IF(B359&lt;=Hypothèses!$C$8,Hypothèses!$R$8,IF(B359&lt;=Hypothèses!$C$9,Hypothèses!$R$9,IF(B359&lt;=Hypothèses!$C$10,Hypothèses!$R$10,IF(B359&lt;=Hypothèses!$C$11,Hypothèses!$R$11,IF(B359&lt;=Hypothèses!$C$12,Hypothèses!$R$12,IF(B359&lt;=Hypothèses!$C$13,Hypothèses!$R$13,IF(B359&lt;=Hypothèses!$C$14,Hypothèses!$R$14,IF(B359&lt;=Hypothèses!$C$15,Hypothèses!$R$15,IF(B359&lt;=Hypothèses!$C$16,Hypothèses!$R$16,IF(B359&lt;=Hypothèses!$C$17,Hypothèses!$R$17,IF(B359&lt;=Hypothèses!$C$18,Hypothèses!$R$18,D358))))))))))))</f>
        <v>Pressio.</v>
      </c>
      <c r="E359" s="82" t="e">
        <f>IF(B359&lt;=Hypothèses!$C$7,Hypothèses!$G$7,IF(B359&lt;=Hypothèses!$C$8,Hypothèses!$G$8,IF(B359&lt;=Hypothèses!$C$9,Hypothèses!$G$9,IF(B359&lt;=Hypothèses!$C$10,Hypothèses!$G$10,IF(B359&lt;=Hypothèses!$C$11,Hypothèses!$G$11,IF(B359&lt;=Hypothèses!$C$12,Hypothèses!$G$12,IF(B359&lt;=Hypothèses!$C$13,Hypothèses!$G$13,IF(B359&lt;=Hypothèses!$C$14,Hypothèses!$G$14,IF(B359&lt;=Hypothèses!$C$15,Hypothèses!$G$15,IF(B359&lt;=Hypothèses!$C$16,Hypothèses!$G$16,IF(B359&lt;=Hypothèses!$C$17,Hypothèses!$G$17,IF(B359&lt;=Hypothèses!$C$18,Hypothèses!$G$18,E358))))))))))))</f>
        <v>#N/A</v>
      </c>
      <c r="F359" s="82" t="str">
        <f>IF(B359&lt;=Hypothèses!$C$7,Hypothèses!$F$7,IF(B359&lt;=Hypothèses!$C$8,Hypothèses!$F$8,IF(B359&lt;=Hypothèses!$C$9,Hypothèses!$F$9,IF(B359&lt;=Hypothèses!$C$10,Hypothèses!$F$10,IF(B359&lt;=Hypothèses!$C$11,Hypothèses!$F$11,IF(B359&lt;=Hypothèses!$C$12,Hypothèses!$F$12,IF(B359&lt;=Hypothèses!$C$13,Hypothèses!$F$13,IF(B359&lt;=Hypothèses!$C$14,Hypothèses!$F$14,IF(B359&lt;=Hypothèses!$C$15,Hypothèses!$F$15,IF(B359&lt;=Hypothèses!$C$16,Hypothèses!$F$16,IF(B359&lt;=Hypothèses!$C$17,Hypothèses!$F$17,IF(B359&lt;=Hypothèses!$C$18,Hypothèses!$F$18,F358))))))))))))</f>
        <v/>
      </c>
      <c r="G359" s="91">
        <f t="array" ref="G359">INDEX('Coeff EC7'!$U$7:$X$27,
MATCH(Model0.1T!$B$3,'Coeff EC7'!$T$7:$T$27,0),
MATCH(Model0.1T!$D359&amp;Model0.1T!$B$4,
'Coeff EC7'!$U$6:$X$6&amp;
'Coeff EC7'!$U$5:$X$5,0))</f>
        <v>1.4</v>
      </c>
      <c r="H359" s="91">
        <f t="array" ref="H359">INDEX('Coeff EC7'!$Y$7:$AB$27,
MATCH(Model0.1T!$B$3,'Coeff EC7'!$T$7:$T$27,0),
MATCH(Model0.1T!$D359&amp;Model0.1T!$B$4,
'Coeff EC7'!$Y$6:$AB$6&amp;
'Coeff EC7'!$Y$5:$AB$5,0))</f>
        <v>1.7</v>
      </c>
      <c r="I359" s="83">
        <v>0</v>
      </c>
      <c r="J359" s="91" t="e">
        <f t="array" ref="J359">INDEX('Coeff EC7'!$D$33:$Q$33,1,MATCH(D359&amp;E359,'Coeff EC7'!$D$31:$Q$31&amp;'Coeff EC7'!$D$32:$Q$32,0))</f>
        <v>#N/A</v>
      </c>
      <c r="K359" s="91" t="e">
        <f t="array" ref="K359">INDEX('Coeff EC7'!$D$34:$Q$34,1,MATCH(D359&amp;E359,'Coeff EC7'!$D$31:$Q$31&amp;'Coeff EC7'!$D$32:$Q$32,0))</f>
        <v>#N/A</v>
      </c>
      <c r="L359" s="91" t="e">
        <f t="array" ref="L359">INDEX('Coeff EC7'!$D$35:$Q$35,1,MATCH(D359&amp;E359,'Coeff EC7'!$D$31:$Q$31&amp;'Coeff EC7'!$D$32:$Q$32,0))</f>
        <v>#N/A</v>
      </c>
      <c r="M359" s="98" t="e">
        <f t="shared" si="531"/>
        <v>#N/A</v>
      </c>
      <c r="N359" s="99" t="e">
        <f t="array" ref="N359">INDEX('Coeff EC7'!$D$7:$Q$27,MATCH($B$3,'Coeff EC7'!$C$7:$C$27,0),MATCH(D359&amp;E359,'Coeff EC7'!$D$5:$Q$5&amp;'Coeff EC7'!$D$6:$Q$6,0))</f>
        <v>#N/A</v>
      </c>
      <c r="O359" s="99" t="e">
        <f t="array" ref="O359">INDEX('Coeff EC7'!$D$41:$Q$61,MATCH($B$3,'Coeff EC7'!$C$41:$C$61,0),MATCH(D359&amp;E359,'Coeff EC7'!$D$39:$Q$39&amp;'Coeff EC7'!$D$40:$Q$40,0))</f>
        <v>#N/A</v>
      </c>
      <c r="P359" s="30" t="e">
        <f t="shared" si="566"/>
        <v>#N/A</v>
      </c>
      <c r="Q359" s="100" t="e">
        <f t="shared" si="533"/>
        <v>#N/A</v>
      </c>
      <c r="R359" s="86" t="b">
        <f t="shared" si="534"/>
        <v>0</v>
      </c>
      <c r="S359" s="86">
        <f t="shared" si="532"/>
        <v>0.5</v>
      </c>
      <c r="T359" s="86">
        <f t="shared" si="535"/>
        <v>0.5</v>
      </c>
      <c r="U359" s="30" t="e">
        <f t="shared" ca="1" si="567"/>
        <v>#DIV/0!</v>
      </c>
      <c r="V359" s="85" t="str">
        <f>IF(B359&lt;=Hypothèses!$V$7,Hypothèses!$W$7,IF(B359&lt;=Hypothèses!$V$8,Hypothèses!$W$8,IF(B359&lt;=Hypothèses!$V$9,Hypothèses!$W$9,IF(B359&lt;=Hypothèses!$V$10,Hypothèses!$W$10,IF(B359&lt;=Hypothèses!$V$11,Hypothèses!$W$11,IF(B359&lt;=Hypothèses!$V$12,Hypothèses!$W$12,IF(B359&lt;=Hypothèses!$V$13,Hypothèses!$W$13,IF(B359&lt;=Hypothèses!$V$14,Hypothèses!$W$14,IF(B359&lt;=Hypothèses!$V$15,Hypothèses!$W$15,IF(B359&lt;=Hypothèses!$V$16,Hypothèses!$W$16,IF(B359&lt;=Hypothèses!$V$17,Hypothèses!$W$17,IF(B359&lt;=Hypothèses!$V$18,Hypothèses!$W$18,""))))))))))))</f>
        <v/>
      </c>
      <c r="W359" s="87" t="e">
        <f t="shared" ca="1" si="616"/>
        <v>#DIV/0!</v>
      </c>
      <c r="X359" s="88" t="str">
        <f>IF(B359&lt;=Hypothèses!$V$7,Hypothèses!$X$7,IF(B359&lt;=Hypothèses!$V$8,Hypothèses!$X$8,IF(B359&lt;=Hypothèses!$V$9,Hypothèses!$X$9,IF(B359&lt;=Hypothèses!$V$10,Hypothèses!$X$10,IF(B359&lt;=Hypothèses!$V$11,Hypothèses!$X$11,IF(B359&lt;=Hypothèses!$V$12,Hypothèses!$X$12,IF(B359&lt;=Hypothèses!$V$13,Hypothèses!$X$13,IF(B359&lt;=Hypothèses!$V$14,Hypothèses!$X$14,IF(B359&lt;=Hypothèses!$V$15,Hypothèses!$X$15,IF(B359&lt;=Hypothèses!$V$16,Hypothèses!$X$16,IF(B359&lt;=Hypothèses!$U$17,Hypothèses!$W$17,IF(B359&lt;=Hypothèses!$U$18,Hypothèses!$W$18,""))))))))))))</f>
        <v/>
      </c>
      <c r="Y359" s="95" t="e">
        <f t="shared" ca="1" si="536"/>
        <v>#DIV/0!</v>
      </c>
      <c r="Z359" s="101">
        <f t="shared" si="537"/>
        <v>0</v>
      </c>
      <c r="AA359" s="91">
        <f t="shared" si="538"/>
        <v>0</v>
      </c>
      <c r="AB359" s="30" t="e">
        <f t="shared" si="600"/>
        <v>#N/A</v>
      </c>
      <c r="AC359" s="30" t="e">
        <f t="shared" si="601"/>
        <v>#N/A</v>
      </c>
      <c r="AD359" s="31" t="e">
        <f>IF(OR(Hypothèses!$B$4=17,Hypothèses!$B$4=18,Hypothèses!$B$4=19,Hypothèses!$B$4=20),
IF($D359="Pressio.",
IF(OR($E359=3,$E359=1,$E359=4),AC359,AB359),
IF($D359="Pénétro.",
IF(OR($E359=3,$E359=1,$E359=4),AC359,AB359))),IF($D359="Pressio.",
IF($E359=3,AC359,AB359),
IF($D359="Pénétro.",
IF($E359=4,AC359,AB359))))</f>
        <v>#N/A</v>
      </c>
      <c r="AE359" s="31">
        <v>0</v>
      </c>
      <c r="AF359" s="102" t="e">
        <f>IF(NDC!$H$10="Oui",(VLOOKUP($B$3,'Coeff EC7'!$T$39:$X$59,2,0)*AD359+VLOOKUP($B$3,'Coeff EC7'!$T$65:$X$85,2,0)*Model0.1T!AE359)/1.5,PI()*AB$12*$Q359*($B359-$B358)*0.15/10+AF358)</f>
        <v>#N/A</v>
      </c>
      <c r="AG359" s="102" t="e">
        <f>(VLOOKUP($B$3,'Coeff EC7'!$T$39:$X$59,3,0)*AD359+VLOOKUP($B$3,'Coeff EC7'!$T$65:$X$85,3,0)*Model0.1T!AE359)/1.1</f>
        <v>#N/A</v>
      </c>
      <c r="AH359" s="102" t="e">
        <f t="shared" si="568"/>
        <v>#N/A</v>
      </c>
      <c r="AI359" s="102" t="e">
        <f t="shared" si="569"/>
        <v>#N/A</v>
      </c>
      <c r="AJ359" s="414" t="e">
        <f>IF(AND(AF359&gt;NDC!$C$63,AG359&gt;NDC!$C$65,AH359&gt;NDC!$D$73,AI359&gt;NDC!$D$74,$B359&gt;NDC!$H$22-0.1+MIN(3*$AJ$12,1.5)),0,1)</f>
        <v>#N/A</v>
      </c>
      <c r="AK359" s="86" t="b">
        <f t="shared" si="539"/>
        <v>0</v>
      </c>
      <c r="AL359" s="86">
        <f t="shared" si="570"/>
        <v>0.5</v>
      </c>
      <c r="AM359" s="86">
        <f t="shared" si="540"/>
        <v>0.5</v>
      </c>
      <c r="AN359" s="30" t="e">
        <f t="shared" ca="1" si="571"/>
        <v>#DIV/0!</v>
      </c>
      <c r="AO359" s="85" t="e">
        <f ca="1">IF(U359&lt;=Hypothèses!$V$7,Hypothèses!$W$7,IF(U359&lt;=Hypothèses!$V$8,Hypothèses!$W$8,IF(U359&lt;=Hypothèses!$V$9,Hypothèses!$W$9,IF(U359&lt;=Hypothèses!$V$10,Hypothèses!$W$10,IF(U359&lt;=Hypothèses!$V$11,Hypothèses!$W$11,IF(U359&lt;=Hypothèses!$V$12,Hypothèses!$W$12,IF(U359&lt;=Hypothèses!$V$13,Hypothèses!$W$13,IF(U359&lt;=Hypothèses!$V$14,Hypothèses!$W$14,IF(U359&lt;=Hypothèses!$V$15,Hypothèses!$W$15,IF(U359&lt;=Hypothèses!$V$16,Hypothèses!$W$16,IF(U359&lt;=Hypothèses!$V$17,Hypothèses!$W$17,IF(U359&lt;=Hypothèses!$V$18,Hypothèses!$W$18,""))))))))))))</f>
        <v>#DIV/0!</v>
      </c>
      <c r="AP359" s="87" t="e">
        <f t="shared" ca="1" si="617"/>
        <v>#DIV/0!</v>
      </c>
      <c r="AQ359" s="88" t="e">
        <f ca="1">IF(U359&lt;=Hypothèses!$V$7,Hypothèses!$X$7,IF(U359&lt;=Hypothèses!$V$8,Hypothèses!$X$8,IF(U359&lt;=Hypothèses!$V$9,Hypothèses!$X$9,IF(U359&lt;=Hypothèses!$V$10,Hypothèses!$X$10,IF(U359&lt;=Hypothèses!$V$11,Hypothèses!$X$11,IF(U359&lt;=Hypothèses!$V$12,Hypothèses!$X$12,IF(U359&lt;=Hypothèses!$V$13,Hypothèses!$X$13,IF(U359&lt;=Hypothèses!$V$14,Hypothèses!$X$14,IF(U359&lt;=Hypothèses!$V$15,Hypothèses!$X$15,IF(U359&lt;=Hypothèses!$V$16,Hypothèses!$X$16,IF(U359&lt;=Hypothèses!$U$17,Hypothèses!$W$17,IF(U359&lt;=Hypothèses!$U$18,Hypothèses!$W$18,""))))))))))))</f>
        <v>#DIV/0!</v>
      </c>
      <c r="AR359" s="95" t="e">
        <f t="shared" ca="1" si="572"/>
        <v>#DIV/0!</v>
      </c>
      <c r="AS359" s="101">
        <f t="shared" si="624"/>
        <v>0</v>
      </c>
      <c r="AT359" s="91">
        <f t="shared" si="541"/>
        <v>0</v>
      </c>
      <c r="AU359" s="30" t="e">
        <f t="shared" si="602"/>
        <v>#N/A</v>
      </c>
      <c r="AV359" s="30" t="e">
        <f t="shared" si="603"/>
        <v>#N/A</v>
      </c>
      <c r="AW359" s="31" t="e">
        <f>IF(OR(Hypothèses!$B$4=17,Hypothèses!$B$4=18,Hypothèses!$B$4=19,Hypothèses!$B$4=20),
IF($D359="Pressio.",
IF(OR($E359=3,$E359=1,$E359=4),AV359,AU359),
IF($D359="Pénétro.",
IF(OR($E359=3,$E359=1,$E359=4),AV359,AU359))),IF($D359="Pressio.",
IF($E359=3,AV359,AU359),
IF($D359="Pénétro.",
IF($E359=4,AV359,AU359))))</f>
        <v>#N/A</v>
      </c>
      <c r="AX359" s="31">
        <v>0</v>
      </c>
      <c r="AY359" s="102" t="e">
        <f>IF(NDC!$H$10="Oui",(VLOOKUP($B$3,'Coeff EC7'!$T$39:$X$59,2,0)*AW359+VLOOKUP($B$3,'Coeff EC7'!$T$65:$X$85,2,0)*Model0.1T!AX359)/1.5,PI()*AU$12*$Q359*($B359-$B358)*0.15/10+AY358)</f>
        <v>#N/A</v>
      </c>
      <c r="AZ359" s="102" t="e">
        <f>(VLOOKUP($B$3,'Coeff EC7'!$T$39:$X$59,3,0)*AW359+VLOOKUP($B$3,'Coeff EC7'!$T$65:$X$85,3,0)*Model0.1T!AX359)/1.1</f>
        <v>#N/A</v>
      </c>
      <c r="BA359" s="102" t="e">
        <f t="shared" si="573"/>
        <v>#N/A</v>
      </c>
      <c r="BB359" s="102" t="e">
        <f t="shared" si="574"/>
        <v>#N/A</v>
      </c>
      <c r="BC359" s="414" t="e">
        <f>IF(AND(AY359&gt;NDC!$C$63,AZ359&gt;NDC!$C$65,BA359&gt;NDC!$D$73,BB359&gt;NDC!$D$74,$B359&gt;NDC!$H$22-0.1+MIN(3*BC$12,1.5)),0,1)</f>
        <v>#N/A</v>
      </c>
      <c r="BD359" s="86" t="b">
        <f t="shared" si="542"/>
        <v>0</v>
      </c>
      <c r="BE359" s="86">
        <f t="shared" si="575"/>
        <v>0.5</v>
      </c>
      <c r="BF359" s="86">
        <f t="shared" si="543"/>
        <v>0.5</v>
      </c>
      <c r="BG359" s="30" t="e">
        <f t="shared" ca="1" si="576"/>
        <v>#DIV/0!</v>
      </c>
      <c r="BH359" s="85" t="e">
        <f ca="1">IF(AN359&lt;=Hypothèses!$V$7,Hypothèses!$W$7,IF(AN359&lt;=Hypothèses!$V$8,Hypothèses!$W$8,IF(AN359&lt;=Hypothèses!$V$9,Hypothèses!$W$9,IF(AN359&lt;=Hypothèses!$V$10,Hypothèses!$W$10,IF(AN359&lt;=Hypothèses!$V$11,Hypothèses!$W$11,IF(AN359&lt;=Hypothèses!$V$12,Hypothèses!$W$12,IF(AN359&lt;=Hypothèses!$V$13,Hypothèses!$W$13,IF(AN359&lt;=Hypothèses!$V$14,Hypothèses!$W$14,IF(AN359&lt;=Hypothèses!$V$15,Hypothèses!$W$15,IF(AN359&lt;=Hypothèses!$V$16,Hypothèses!$W$16,IF(AN359&lt;=Hypothèses!$V$17,Hypothèses!$W$17,IF(AN359&lt;=Hypothèses!$V$18,Hypothèses!$W$18,""))))))))))))</f>
        <v>#DIV/0!</v>
      </c>
      <c r="BI359" s="87" t="e">
        <f t="shared" ca="1" si="618"/>
        <v>#DIV/0!</v>
      </c>
      <c r="BJ359" s="88" t="e">
        <f ca="1">IF(AN359&lt;=Hypothèses!$V$7,Hypothèses!$X$7,IF(AN359&lt;=Hypothèses!$V$8,Hypothèses!$X$8,IF(AN359&lt;=Hypothèses!$V$9,Hypothèses!$X$9,IF(AN359&lt;=Hypothèses!$V$10,Hypothèses!$X$10,IF(AN359&lt;=Hypothèses!$V$11,Hypothèses!$X$11,IF(AN359&lt;=Hypothèses!$V$12,Hypothèses!$X$12,IF(AN359&lt;=Hypothèses!$V$13,Hypothèses!$X$13,IF(AN359&lt;=Hypothèses!$V$14,Hypothèses!$X$14,IF(AN359&lt;=Hypothèses!$V$15,Hypothèses!$X$15,IF(AN359&lt;=Hypothèses!$V$16,Hypothèses!$X$16,IF(AN359&lt;=Hypothèses!$U$17,Hypothèses!$W$17,IF(AN359&lt;=Hypothèses!$U$18,Hypothèses!$W$18,""))))))))))))</f>
        <v>#DIV/0!</v>
      </c>
      <c r="BK359" s="95" t="e">
        <f t="shared" ca="1" si="577"/>
        <v>#DIV/0!</v>
      </c>
      <c r="BL359" s="101">
        <f t="shared" si="625"/>
        <v>0</v>
      </c>
      <c r="BM359" s="91">
        <f t="shared" si="544"/>
        <v>0</v>
      </c>
      <c r="BN359" s="30" t="e">
        <f t="shared" si="604"/>
        <v>#N/A</v>
      </c>
      <c r="BO359" s="30" t="e">
        <f t="shared" si="605"/>
        <v>#N/A</v>
      </c>
      <c r="BP359" s="31" t="e">
        <f>IF(OR(Hypothèses!$B$4=17,Hypothèses!$B$4=18,Hypothèses!$B$4=19,Hypothèses!$B$4=20),
IF($D359="Pressio.",
IF(OR($E359=3,$E359=1,$E359=4),BO359,BN359),
IF($D359="Pénétro.",
IF(OR($E359=3,$E359=1,$E359=4),BO359,BN359))),IF($D359="Pressio.",
IF($E359=3,BO359,BN359),
IF($D359="Pénétro.",
IF($E359=4,BO359,BN359))))</f>
        <v>#N/A</v>
      </c>
      <c r="BQ359" s="31">
        <v>0</v>
      </c>
      <c r="BR359" s="102" t="e">
        <f>IF(NDC!$H$10="Oui",(VLOOKUP($B$3,'Coeff EC7'!$T$39:$X$59,2,0)*BP359+VLOOKUP($B$3,'Coeff EC7'!$T$65:$X$85,2,0)*Model0.1T!BQ359)/1.5,PI()*BN$12*$Q359*($B359-$B358)*0.15/10+BR358)</f>
        <v>#N/A</v>
      </c>
      <c r="BS359" s="102" t="e">
        <f>(VLOOKUP($B$3,'Coeff EC7'!$T$39:$X$59,3,0)*BP359+VLOOKUP($B$3,'Coeff EC7'!$T$65:$X$85,3,0)*Model0.1T!BQ359)/1.1</f>
        <v>#N/A</v>
      </c>
      <c r="BT359" s="102" t="e">
        <f t="shared" si="578"/>
        <v>#N/A</v>
      </c>
      <c r="BU359" s="102" t="e">
        <f t="shared" si="579"/>
        <v>#N/A</v>
      </c>
      <c r="BV359" s="414" t="e">
        <f>IF(AND(BR359&gt;NDC!$C$63,BS359&gt;NDC!$C$65,BT359&gt;NDC!$D$73,BU359&gt;NDC!$D$74,$B359&gt;NDC!$H$22-0.1+MIN(3*BV$12,1.5)),0,1)</f>
        <v>#N/A</v>
      </c>
      <c r="BW359" s="86" t="b">
        <f t="shared" si="545"/>
        <v>0</v>
      </c>
      <c r="BX359" s="86">
        <f t="shared" si="546"/>
        <v>0.5</v>
      </c>
      <c r="BY359" s="86">
        <f t="shared" si="547"/>
        <v>0.5</v>
      </c>
      <c r="BZ359" s="30" t="e">
        <f t="shared" ca="1" si="580"/>
        <v>#DIV/0!</v>
      </c>
      <c r="CA359" s="85" t="e">
        <f ca="1">IF(BG359&lt;=Hypothèses!$V$7,Hypothèses!$W$7,IF(BG359&lt;=Hypothèses!$V$8,Hypothèses!$W$8,IF(BG359&lt;=Hypothèses!$V$9,Hypothèses!$W$9,IF(BG359&lt;=Hypothèses!$V$10,Hypothèses!$W$10,IF(BG359&lt;=Hypothèses!$V$11,Hypothèses!$W$11,IF(BG359&lt;=Hypothèses!$V$12,Hypothèses!$W$12,IF(BG359&lt;=Hypothèses!$V$13,Hypothèses!$W$13,IF(BG359&lt;=Hypothèses!$V$14,Hypothèses!$W$14,IF(BG359&lt;=Hypothèses!$V$15,Hypothèses!$W$15,IF(BG359&lt;=Hypothèses!$V$16,Hypothèses!$W$16,IF(BG359&lt;=Hypothèses!$V$17,Hypothèses!$W$17,IF(BG359&lt;=Hypothèses!$V$18,Hypothèses!$W$18,""))))))))))))</f>
        <v>#DIV/0!</v>
      </c>
      <c r="CB359" s="87" t="e">
        <f t="shared" ca="1" si="619"/>
        <v>#DIV/0!</v>
      </c>
      <c r="CC359" s="88" t="e">
        <f ca="1">IF(BG359&lt;=Hypothèses!$V$7,Hypothèses!$X$7,IF(BG359&lt;=Hypothèses!$V$8,Hypothèses!$X$8,IF(BG359&lt;=Hypothèses!$V$9,Hypothèses!$X$9,IF(BG359&lt;=Hypothèses!$V$10,Hypothèses!$X$10,IF(BG359&lt;=Hypothèses!$V$11,Hypothèses!$X$11,IF(BG359&lt;=Hypothèses!$V$12,Hypothèses!$X$12,IF(BG359&lt;=Hypothèses!$V$13,Hypothèses!$X$13,IF(BG359&lt;=Hypothèses!$V$14,Hypothèses!$X$14,IF(BG359&lt;=Hypothèses!$V$15,Hypothèses!$X$15,IF(BG359&lt;=Hypothèses!$V$16,Hypothèses!$X$16,IF(BG359&lt;=Hypothèses!$U$17,Hypothèses!$W$17,IF(BG359&lt;=Hypothèses!$U$18,Hypothèses!$W$18,""))))))))))))</f>
        <v>#DIV/0!</v>
      </c>
      <c r="CD359" s="95" t="e">
        <f t="shared" ca="1" si="581"/>
        <v>#DIV/0!</v>
      </c>
      <c r="CE359" s="101">
        <f t="shared" si="626"/>
        <v>0</v>
      </c>
      <c r="CF359" s="91">
        <f t="shared" si="548"/>
        <v>0</v>
      </c>
      <c r="CG359" s="30" t="e">
        <f t="shared" si="606"/>
        <v>#N/A</v>
      </c>
      <c r="CH359" s="30" t="e">
        <f t="shared" si="607"/>
        <v>#N/A</v>
      </c>
      <c r="CI359" s="31" t="e">
        <f>IF(OR(Hypothèses!$B$4=17,Hypothèses!$B$4=18,Hypothèses!$B$4=19,Hypothèses!$B$4=20),
IF($D359="Pressio.",
IF(OR($E359=3,$E359=1,$E359=4),CH359,CG359),
IF($D359="Pénétro.",
IF(OR($E359=3,$E359=1,$E359=4),CH359,CG359))),IF($D359="Pressio.",
IF($E359=3,CH359,CG359),
IF($D359="Pénétro.",
IF($E359=4,CH359,CG359))))</f>
        <v>#N/A</v>
      </c>
      <c r="CJ359" s="31">
        <v>0</v>
      </c>
      <c r="CK359" s="102" t="e">
        <f>IF(NDC!$H$10="Oui",(VLOOKUP($B$3,'Coeff EC7'!$T$39:$X$59,2,0)*CI359+VLOOKUP($B$3,'Coeff EC7'!$T$65:$X$85,2,0)*Model0.1T!CJ359)/1.5,PI()*CG$12*$Q359*($B359-$B358)*0.15/10+CK358)</f>
        <v>#N/A</v>
      </c>
      <c r="CL359" s="102" t="e">
        <f>(VLOOKUP($B$3,'Coeff EC7'!$T$39:$X$59,3,0)*CI359+VLOOKUP($B$3,'Coeff EC7'!$T$65:$X$85,3,0)*Model0.1T!CJ359)/1.1</f>
        <v>#N/A</v>
      </c>
      <c r="CM359" s="102" t="e">
        <f t="shared" si="582"/>
        <v>#N/A</v>
      </c>
      <c r="CN359" s="102" t="e">
        <f t="shared" si="583"/>
        <v>#N/A</v>
      </c>
      <c r="CO359" s="414" t="e">
        <f>IF(AND(CK359&gt;NDC!$C$63,CL359&gt;NDC!$C$65,CM359&gt;NDC!$D$73,CN359&gt;NDC!$D$74,$B359&gt;NDC!$H$22-0.1+MIN(3*CO$12,1.5)),0,1)</f>
        <v>#N/A</v>
      </c>
      <c r="CP359" s="86" t="b">
        <f t="shared" si="549"/>
        <v>0</v>
      </c>
      <c r="CQ359" s="86">
        <f t="shared" si="550"/>
        <v>0.5</v>
      </c>
      <c r="CR359" s="86">
        <f t="shared" si="551"/>
        <v>0.5</v>
      </c>
      <c r="CS359" s="30" t="e">
        <f t="shared" ca="1" si="584"/>
        <v>#DIV/0!</v>
      </c>
      <c r="CT359" s="85" t="e">
        <f ca="1">IF(BZ359&lt;=Hypothèses!$V$7,Hypothèses!$W$7,IF(BZ359&lt;=Hypothèses!$V$8,Hypothèses!$W$8,IF(BZ359&lt;=Hypothèses!$V$9,Hypothèses!$W$9,IF(BZ359&lt;=Hypothèses!$V$10,Hypothèses!$W$10,IF(BZ359&lt;=Hypothèses!$V$11,Hypothèses!$W$11,IF(BZ359&lt;=Hypothèses!$V$12,Hypothèses!$W$12,IF(BZ359&lt;=Hypothèses!$V$13,Hypothèses!$W$13,IF(BZ359&lt;=Hypothèses!$V$14,Hypothèses!$W$14,IF(BZ359&lt;=Hypothèses!$V$15,Hypothèses!$W$15,IF(BZ359&lt;=Hypothèses!$V$16,Hypothèses!$W$16,IF(BZ359&lt;=Hypothèses!$V$17,Hypothèses!$W$17,IF(BZ359&lt;=Hypothèses!$V$18,Hypothèses!$W$18,""))))))))))))</f>
        <v>#DIV/0!</v>
      </c>
      <c r="CU359" s="87" t="e">
        <f t="shared" ca="1" si="620"/>
        <v>#DIV/0!</v>
      </c>
      <c r="CV359" s="88" t="e">
        <f ca="1">IF(BZ359&lt;=Hypothèses!$V$7,Hypothèses!$X$7,IF(BZ359&lt;=Hypothèses!$V$8,Hypothèses!$X$8,IF(BZ359&lt;=Hypothèses!$V$9,Hypothèses!$X$9,IF(BZ359&lt;=Hypothèses!$V$10,Hypothèses!$X$10,IF(BZ359&lt;=Hypothèses!$V$11,Hypothèses!$X$11,IF(BZ359&lt;=Hypothèses!$V$12,Hypothèses!$X$12,IF(BZ359&lt;=Hypothèses!$V$13,Hypothèses!$X$13,IF(BZ359&lt;=Hypothèses!$V$14,Hypothèses!$X$14,IF(BZ359&lt;=Hypothèses!$V$15,Hypothèses!$X$15,IF(BZ359&lt;=Hypothèses!$V$16,Hypothèses!$X$16,IF(BZ359&lt;=Hypothèses!$U$17,Hypothèses!$W$17,IF(BZ359&lt;=Hypothèses!$U$18,Hypothèses!$W$18,""))))))))))))</f>
        <v>#DIV/0!</v>
      </c>
      <c r="CW359" s="95" t="e">
        <f t="shared" ca="1" si="585"/>
        <v>#DIV/0!</v>
      </c>
      <c r="CX359" s="101">
        <f t="shared" si="627"/>
        <v>0</v>
      </c>
      <c r="CY359" s="91">
        <f t="shared" si="552"/>
        <v>0</v>
      </c>
      <c r="CZ359" s="30" t="e">
        <f t="shared" si="608"/>
        <v>#N/A</v>
      </c>
      <c r="DA359" s="30" t="e">
        <f t="shared" si="609"/>
        <v>#N/A</v>
      </c>
      <c r="DB359" s="31" t="e">
        <f>IF(OR(Hypothèses!$B$4=17,Hypothèses!$B$4=18,Hypothèses!$B$4=19,Hypothèses!$B$4=20),
IF($D359="Pressio.",
IF(OR($E359=3,$E359=1,$E359=4),DA359,CZ359),
IF($D359="Pénétro.",
IF(OR($E359=3,$E359=1,$E359=4),DA359,CZ359))),IF($D359="Pressio.",
IF($E359=3,DA359,CZ359),
IF($D359="Pénétro.",
IF($E359=4,DA359,CZ359))))</f>
        <v>#N/A</v>
      </c>
      <c r="DC359" s="31">
        <v>0</v>
      </c>
      <c r="DD359" s="102" t="e">
        <f>IF(NDC!$H$10="Oui",(VLOOKUP($B$3,'Coeff EC7'!$T$39:$X$59,2,0)*DB359+VLOOKUP($B$3,'Coeff EC7'!$T$65:$X$85,2,0)*Model0.1T!DC359)/1.5,PI()*CZ$12*$Q359*($B359-$B358)*0.15/10+DD358)</f>
        <v>#N/A</v>
      </c>
      <c r="DE359" s="102" t="e">
        <f>(VLOOKUP($B$3,'Coeff EC7'!$T$39:$X$59,3,0)*DB359+VLOOKUP($B$3,'Coeff EC7'!$T$65:$X$85,3,0)*Model0.1T!DC359)/1.1</f>
        <v>#N/A</v>
      </c>
      <c r="DF359" s="102" t="e">
        <f t="shared" si="586"/>
        <v>#N/A</v>
      </c>
      <c r="DG359" s="102" t="e">
        <f t="shared" si="587"/>
        <v>#N/A</v>
      </c>
      <c r="DH359" s="414" t="e">
        <f>IF(AND(DD359&gt;NDC!$C$63,DE359&gt;NDC!$C$65,DF359&gt;NDC!$D$73,DG359&gt;NDC!$D$74,$B359&gt;NDC!$H$22-0.1+MIN(3*DH$12,1.5)),0,1)</f>
        <v>#N/A</v>
      </c>
      <c r="DI359" s="86" t="b">
        <f t="shared" si="553"/>
        <v>0</v>
      </c>
      <c r="DJ359" s="86">
        <f t="shared" si="554"/>
        <v>0.5</v>
      </c>
      <c r="DK359" s="86">
        <f t="shared" si="555"/>
        <v>0.5</v>
      </c>
      <c r="DL359" s="30" t="e">
        <f t="shared" ca="1" si="588"/>
        <v>#DIV/0!</v>
      </c>
      <c r="DM359" s="85" t="e">
        <f ca="1">IF(CS359&lt;=Hypothèses!$V$7,Hypothèses!$W$7,IF(CS359&lt;=Hypothèses!$V$8,Hypothèses!$W$8,IF(CS359&lt;=Hypothèses!$V$9,Hypothèses!$W$9,IF(CS359&lt;=Hypothèses!$V$10,Hypothèses!$W$10,IF(CS359&lt;=Hypothèses!$V$11,Hypothèses!$W$11,IF(CS359&lt;=Hypothèses!$V$12,Hypothèses!$W$12,IF(CS359&lt;=Hypothèses!$V$13,Hypothèses!$W$13,IF(CS359&lt;=Hypothèses!$V$14,Hypothèses!$W$14,IF(CS359&lt;=Hypothèses!$V$15,Hypothèses!$W$15,IF(CS359&lt;=Hypothèses!$V$16,Hypothèses!$W$16,IF(CS359&lt;=Hypothèses!$V$17,Hypothèses!$W$17,IF(CS359&lt;=Hypothèses!$V$18,Hypothèses!$W$18,""))))))))))))</f>
        <v>#DIV/0!</v>
      </c>
      <c r="DN359" s="87" t="e">
        <f t="shared" ca="1" si="621"/>
        <v>#DIV/0!</v>
      </c>
      <c r="DO359" s="88" t="e">
        <f ca="1">IF(CS359&lt;=Hypothèses!$V$7,Hypothèses!$X$7,IF(CS359&lt;=Hypothèses!$V$8,Hypothèses!$X$8,IF(CS359&lt;=Hypothèses!$V$9,Hypothèses!$X$9,IF(CS359&lt;=Hypothèses!$V$10,Hypothèses!$X$10,IF(CS359&lt;=Hypothèses!$V$11,Hypothèses!$X$11,IF(CS359&lt;=Hypothèses!$V$12,Hypothèses!$X$12,IF(CS359&lt;=Hypothèses!$V$13,Hypothèses!$X$13,IF(CS359&lt;=Hypothèses!$V$14,Hypothèses!$X$14,IF(CS359&lt;=Hypothèses!$V$15,Hypothèses!$X$15,IF(CS359&lt;=Hypothèses!$V$16,Hypothèses!$X$16,IF(CS359&lt;=Hypothèses!$U$17,Hypothèses!$W$17,IF(CS359&lt;=Hypothèses!$U$18,Hypothèses!$W$18,""))))))))))))</f>
        <v>#DIV/0!</v>
      </c>
      <c r="DP359" s="95" t="e">
        <f t="shared" ca="1" si="589"/>
        <v>#DIV/0!</v>
      </c>
      <c r="DQ359" s="101">
        <f t="shared" si="628"/>
        <v>0</v>
      </c>
      <c r="DR359" s="91">
        <f t="shared" si="556"/>
        <v>0</v>
      </c>
      <c r="DS359" s="30" t="e">
        <f t="shared" si="610"/>
        <v>#N/A</v>
      </c>
      <c r="DT359" s="30" t="e">
        <f t="shared" si="611"/>
        <v>#N/A</v>
      </c>
      <c r="DU359" s="31" t="e">
        <f>IF(OR(Hypothèses!$B$4=17,Hypothèses!$B$4=18,Hypothèses!$B$4=19,Hypothèses!$B$4=20),
IF($D359="Pressio.",
IF(OR($E359=3,$E359=1,$E359=4),DT359,DS359),
IF($D359="Pénétro.",
IF(OR($E359=3,$E359=1,$E359=4),DT359,DS359))),IF($D359="Pressio.",
IF($E359=3,DT359,DS359),
IF($D359="Pénétro.",
IF($E359=4,DT359,DS359))))</f>
        <v>#N/A</v>
      </c>
      <c r="DV359" s="31">
        <v>0</v>
      </c>
      <c r="DW359" s="102" t="e">
        <f>IF(NDC!$H$10="Oui",(VLOOKUP($B$3,'Coeff EC7'!$T$39:$X$59,2,0)*DU359+VLOOKUP($B$3,'Coeff EC7'!$T$65:$X$85,2,0)*Model0.1T!DV359)/1.5,PI()*DS$12*$Q359*($B359-$B358)*0.15/10+DW358)</f>
        <v>#N/A</v>
      </c>
      <c r="DX359" s="102" t="e">
        <f>(VLOOKUP($B$3,'Coeff EC7'!$T$39:$X$59,3,0)*DU359+VLOOKUP($B$3,'Coeff EC7'!$T$65:$X$85,3,0)*Model0.1T!DV359)/1.1</f>
        <v>#N/A</v>
      </c>
      <c r="DY359" s="102" t="e">
        <f t="shared" si="590"/>
        <v>#N/A</v>
      </c>
      <c r="DZ359" s="102" t="e">
        <f t="shared" si="591"/>
        <v>#N/A</v>
      </c>
      <c r="EA359" s="414" t="e">
        <f>IF(AND(DW359&gt;NDC!$C$63,DX359&gt;NDC!$C$65,DY359&gt;NDC!$D$73,DZ359&gt;NDC!$D$74,$B359&gt;NDC!$H$22-0.1+MIN(3*EA$12,1.5)),0,1)</f>
        <v>#N/A</v>
      </c>
      <c r="EB359" s="86" t="b">
        <f t="shared" si="557"/>
        <v>0</v>
      </c>
      <c r="EC359" s="418">
        <f t="shared" si="558"/>
        <v>0.51</v>
      </c>
      <c r="ED359" s="86">
        <f t="shared" si="559"/>
        <v>0.51</v>
      </c>
      <c r="EE359" s="30" t="e">
        <f t="shared" ca="1" si="592"/>
        <v>#DIV/0!</v>
      </c>
      <c r="EF359" s="85" t="e">
        <f ca="1">IF(DL359&lt;=Hypothèses!$V$7,Hypothèses!$W$7,IF(DL359&lt;=Hypothèses!$V$8,Hypothèses!$W$8,IF(DL359&lt;=Hypothèses!$V$9,Hypothèses!$W$9,IF(DL359&lt;=Hypothèses!$V$10,Hypothèses!$W$10,IF(DL359&lt;=Hypothèses!$V$11,Hypothèses!$W$11,IF(DL359&lt;=Hypothèses!$V$12,Hypothèses!$W$12,IF(DL359&lt;=Hypothèses!$V$13,Hypothèses!$W$13,IF(DL359&lt;=Hypothèses!$V$14,Hypothèses!$W$14,IF(DL359&lt;=Hypothèses!$V$15,Hypothèses!$W$15,IF(DL359&lt;=Hypothèses!$V$16,Hypothèses!$W$16,IF(DL359&lt;=Hypothèses!$V$17,Hypothèses!$W$17,IF(DL359&lt;=Hypothèses!$V$18,Hypothèses!$W$18,""))))))))))))</f>
        <v>#DIV/0!</v>
      </c>
      <c r="EG359" s="87" t="e">
        <f t="shared" ca="1" si="622"/>
        <v>#DIV/0!</v>
      </c>
      <c r="EH359" s="88" t="e">
        <f ca="1">IF(DL359&lt;=Hypothèses!$V$7,Hypothèses!$X$7,IF(DL359&lt;=Hypothèses!$V$8,Hypothèses!$X$8,IF(DL359&lt;=Hypothèses!$V$9,Hypothèses!$X$9,IF(DL359&lt;=Hypothèses!$V$10,Hypothèses!$X$10,IF(DL359&lt;=Hypothèses!$V$11,Hypothèses!$X$11,IF(DL359&lt;=Hypothèses!$V$12,Hypothèses!$X$12,IF(DL359&lt;=Hypothèses!$V$13,Hypothèses!$X$13,IF(DL359&lt;=Hypothèses!$V$14,Hypothèses!$X$14,IF(DL359&lt;=Hypothèses!$V$15,Hypothèses!$X$15,IF(DL359&lt;=Hypothèses!$V$16,Hypothèses!$X$16,IF(DL359&lt;=Hypothèses!$U$17,Hypothèses!$W$17,IF(DL359&lt;=Hypothèses!$U$18,Hypothèses!$W$18,""))))))))))))</f>
        <v>#DIV/0!</v>
      </c>
      <c r="EI359" s="95" t="e">
        <f t="shared" ca="1" si="593"/>
        <v>#DIV/0!</v>
      </c>
      <c r="EJ359" s="101">
        <f t="shared" si="629"/>
        <v>0</v>
      </c>
      <c r="EK359" s="91">
        <f t="shared" si="560"/>
        <v>0</v>
      </c>
      <c r="EL359" s="30" t="e">
        <f t="shared" si="612"/>
        <v>#N/A</v>
      </c>
      <c r="EM359" s="30" t="e">
        <f t="shared" si="613"/>
        <v>#N/A</v>
      </c>
      <c r="EN359" s="31" t="e">
        <f>IF(OR(Hypothèses!$B$4=17,Hypothèses!$B$4=18,Hypothèses!$B$4=19,Hypothèses!$B$4=20),
IF($D359="Pressio.",
IF(OR($E359=3,$E359=1,$E359=4),EM359,EL359),
IF($D359="Pénétro.",
IF(OR($E359=3,$E359=1,$E359=4),EM359,EL359))),IF($D359="Pressio.",
IF($E359=3,EM359,EL359),
IF($D359="Pénétro.",
IF($E359=4,EM359,EL359))))</f>
        <v>#N/A</v>
      </c>
      <c r="EO359" s="31">
        <v>0</v>
      </c>
      <c r="EP359" s="102" t="e">
        <f>IF(NDC!$H$10="Oui",(VLOOKUP($B$3,'Coeff EC7'!$T$39:$X$59,2,0)*EN359+VLOOKUP($B$3,'Coeff EC7'!$T$65:$X$85,2,0)*Model0.1T!EO359)/1.5,PI()*EL$12*$Q359*($B359-$B358)*0.15/10+EP358)</f>
        <v>#N/A</v>
      </c>
      <c r="EQ359" s="102" t="e">
        <f>(VLOOKUP($B$3,'Coeff EC7'!$T$39:$X$59,3,0)*EN359+VLOOKUP($B$3,'Coeff EC7'!$T$65:$X$85,3,0)*Model0.1T!EO359)/1.1</f>
        <v>#N/A</v>
      </c>
      <c r="ER359" s="102" t="e">
        <f t="shared" si="594"/>
        <v>#N/A</v>
      </c>
      <c r="ES359" s="102" t="e">
        <f t="shared" si="595"/>
        <v>#N/A</v>
      </c>
      <c r="ET359" s="414" t="e">
        <f>IF(AND(EP359&gt;NDC!$C$63,EQ359&gt;NDC!$C$65,ER359&gt;NDC!$D$73,ES359&gt;NDC!$D$74,$B359&gt;NDC!$H$22-0.1+MIN(3*ET$12,1.5)),0,1)</f>
        <v>#N/A</v>
      </c>
      <c r="EU359" s="86" t="b">
        <f t="shared" si="561"/>
        <v>0</v>
      </c>
      <c r="EV359" s="86">
        <f t="shared" si="562"/>
        <v>0.61</v>
      </c>
      <c r="EW359" s="86">
        <f t="shared" si="563"/>
        <v>0.61</v>
      </c>
      <c r="EX359" s="30" t="e">
        <f t="shared" ca="1" si="596"/>
        <v>#DIV/0!</v>
      </c>
      <c r="EY359" s="85" t="e">
        <f ca="1">IF(EE359&lt;=Hypothèses!$V$7,Hypothèses!$W$7,IF(EE359&lt;=Hypothèses!$V$8,Hypothèses!$W$8,IF(EE359&lt;=Hypothèses!$V$9,Hypothèses!$W$9,IF(EE359&lt;=Hypothèses!$V$10,Hypothèses!$W$10,IF(EE359&lt;=Hypothèses!$V$11,Hypothèses!$W$11,IF(EE359&lt;=Hypothèses!$V$12,Hypothèses!$W$12,IF(EE359&lt;=Hypothèses!$V$13,Hypothèses!$W$13,IF(EE359&lt;=Hypothèses!$V$14,Hypothèses!$W$14,IF(EE359&lt;=Hypothèses!$V$15,Hypothèses!$W$15,IF(EE359&lt;=Hypothèses!$V$16,Hypothèses!$W$16,IF(EE359&lt;=Hypothèses!$V$17,Hypothèses!$W$17,IF(EE359&lt;=Hypothèses!$V$18,Hypothèses!$W$18,""))))))))))))</f>
        <v>#DIV/0!</v>
      </c>
      <c r="EZ359" s="87" t="e">
        <f t="shared" ca="1" si="623"/>
        <v>#DIV/0!</v>
      </c>
      <c r="FA359" s="88" t="e">
        <f ca="1">IF(EE359&lt;=Hypothèses!$V$7,Hypothèses!$X$7,IF(EE359&lt;=Hypothèses!$V$8,Hypothèses!$X$8,IF(EE359&lt;=Hypothèses!$V$9,Hypothèses!$X$9,IF(EE359&lt;=Hypothèses!$V$10,Hypothèses!$X$10,IF(EE359&lt;=Hypothèses!$V$11,Hypothèses!$X$11,IF(EE359&lt;=Hypothèses!$V$12,Hypothèses!$X$12,IF(EE359&lt;=Hypothèses!$V$13,Hypothèses!$X$13,IF(EE359&lt;=Hypothèses!$V$14,Hypothèses!$X$14,IF(EE359&lt;=Hypothèses!$V$15,Hypothèses!$X$15,IF(EE359&lt;=Hypothèses!$V$16,Hypothèses!$X$16,IF(EE359&lt;=Hypothèses!$U$17,Hypothèses!$W$17,IF(EE359&lt;=Hypothèses!$U$18,Hypothèses!$W$18,""))))))))))))</f>
        <v>#DIV/0!</v>
      </c>
      <c r="FB359" s="95" t="e">
        <f t="shared" ca="1" si="597"/>
        <v>#DIV/0!</v>
      </c>
      <c r="FC359" s="101">
        <f t="shared" si="630"/>
        <v>0</v>
      </c>
      <c r="FD359" s="91">
        <f t="shared" si="564"/>
        <v>0</v>
      </c>
      <c r="FE359" s="30" t="e">
        <f t="shared" si="614"/>
        <v>#N/A</v>
      </c>
      <c r="FF359" s="30" t="e">
        <f t="shared" si="615"/>
        <v>#N/A</v>
      </c>
      <c r="FG359" s="31" t="e">
        <f>IF(OR(Hypothèses!$B$4=17,Hypothèses!$B$4=18,Hypothèses!$B$4=19,Hypothèses!$B$4=20),
IF($D359="Pressio.",
IF(OR($E359=3,$E359=1,$E359=4),FF359,FE359),
IF($D359="Pénétro.",
IF(OR($E359=3,$E359=1,$E359=4),FF359,FE359))),IF($D359="Pressio.",
IF($E359=3,FF359,FE359),
IF($D359="Pénétro.",
IF($E359=4,FF359,FE359))))</f>
        <v>#N/A</v>
      </c>
      <c r="FH359" s="31">
        <v>0</v>
      </c>
      <c r="FI359" s="102" t="e">
        <f>IF(NDC!$H$10="Oui",(VLOOKUP($B$3,'Coeff EC7'!$T$39:$X$59,2,0)*FG359+VLOOKUP($B$3,'Coeff EC7'!$T$65:$X$85,2,0)*Model0.1T!FH359)/1.5,PI()*FE$12*$Q359*($B359-$B358)*0.15/10+FI358)</f>
        <v>#N/A</v>
      </c>
      <c r="FJ359" s="102" t="e">
        <f>(VLOOKUP($B$3,'Coeff EC7'!$T$39:$X$59,3,0)*FG359+VLOOKUP($B$3,'Coeff EC7'!$T$65:$X$85,3,0)*Model0.1T!FH359)/1.1</f>
        <v>#N/A</v>
      </c>
      <c r="FK359" s="102" t="e">
        <f t="shared" si="598"/>
        <v>#N/A</v>
      </c>
      <c r="FL359" s="102" t="e">
        <f t="shared" si="599"/>
        <v>#N/A</v>
      </c>
      <c r="FM359" s="414" t="e">
        <f>IF(AND(FI359&gt;NDC!$C$63,FJ359&gt;NDC!$C$65,FK359&gt;NDC!$D$73,FL359&gt;NDC!$D$74,$B359&gt;NDC!$H$22-0.1+MIN(3*FM$12,1.5)),0,1)</f>
        <v>#N/A</v>
      </c>
    </row>
    <row r="360" spans="1:169">
      <c r="A360" s="96">
        <f t="shared" si="565"/>
        <v>65.300000000001972</v>
      </c>
      <c r="B360" s="97">
        <v>34.700000000000003</v>
      </c>
      <c r="C360" s="81">
        <f>IF(B360&lt;=Hypothèses!$C$7,Hypothèses!$A$7,IF(B360&lt;=Hypothèses!$C$8,Hypothèses!$A$8,IF(B360&lt;=Hypothèses!$C$9,Hypothèses!$A$9,IF(B360&lt;=Hypothèses!$C$10,Hypothèses!$A$10,IF(B360&lt;=Hypothèses!$C$11,Hypothèses!$A$11,IF(B360&lt;=Hypothèses!$C$12,Hypothèses!$A$12,IF(B360&lt;=Hypothèses!$C$13,Hypothèses!$A$13,IF(B360&lt;=Hypothèses!$C$14,Hypothèses!$A$14,IF(B360&lt;=Hypothèses!$C$15,Hypothèses!$A$15,IF(B360&lt;=Hypothèses!$C$16,Hypothèses!$A$16,IF(B360&lt;=Hypothèses!$C$17,Hypothèses!$A$17,IF(B360&lt;=Hypothèses!$C$18,Hypothèses!$A$18,C359))))))))))))</f>
        <v>11</v>
      </c>
      <c r="D360" s="82" t="str">
        <f>IF(B360&lt;=Hypothèses!$C$7,Hypothèses!$R$7,IF(B360&lt;=Hypothèses!$C$8,Hypothèses!$R$8,IF(B360&lt;=Hypothèses!$C$9,Hypothèses!$R$9,IF(B360&lt;=Hypothèses!$C$10,Hypothèses!$R$10,IF(B360&lt;=Hypothèses!$C$11,Hypothèses!$R$11,IF(B360&lt;=Hypothèses!$C$12,Hypothèses!$R$12,IF(B360&lt;=Hypothèses!$C$13,Hypothèses!$R$13,IF(B360&lt;=Hypothèses!$C$14,Hypothèses!$R$14,IF(B360&lt;=Hypothèses!$C$15,Hypothèses!$R$15,IF(B360&lt;=Hypothèses!$C$16,Hypothèses!$R$16,IF(B360&lt;=Hypothèses!$C$17,Hypothèses!$R$17,IF(B360&lt;=Hypothèses!$C$18,Hypothèses!$R$18,D359))))))))))))</f>
        <v>Pressio.</v>
      </c>
      <c r="E360" s="82" t="e">
        <f>IF(B360&lt;=Hypothèses!$C$7,Hypothèses!$G$7,IF(B360&lt;=Hypothèses!$C$8,Hypothèses!$G$8,IF(B360&lt;=Hypothèses!$C$9,Hypothèses!$G$9,IF(B360&lt;=Hypothèses!$C$10,Hypothèses!$G$10,IF(B360&lt;=Hypothèses!$C$11,Hypothèses!$G$11,IF(B360&lt;=Hypothèses!$C$12,Hypothèses!$G$12,IF(B360&lt;=Hypothèses!$C$13,Hypothèses!$G$13,IF(B360&lt;=Hypothèses!$C$14,Hypothèses!$G$14,IF(B360&lt;=Hypothèses!$C$15,Hypothèses!$G$15,IF(B360&lt;=Hypothèses!$C$16,Hypothèses!$G$16,IF(B360&lt;=Hypothèses!$C$17,Hypothèses!$G$17,IF(B360&lt;=Hypothèses!$C$18,Hypothèses!$G$18,E359))))))))))))</f>
        <v>#N/A</v>
      </c>
      <c r="F360" s="82" t="str">
        <f>IF(B360&lt;=Hypothèses!$C$7,Hypothèses!$F$7,IF(B360&lt;=Hypothèses!$C$8,Hypothèses!$F$8,IF(B360&lt;=Hypothèses!$C$9,Hypothèses!$F$9,IF(B360&lt;=Hypothèses!$C$10,Hypothèses!$F$10,IF(B360&lt;=Hypothèses!$C$11,Hypothèses!$F$11,IF(B360&lt;=Hypothèses!$C$12,Hypothèses!$F$12,IF(B360&lt;=Hypothèses!$C$13,Hypothèses!$F$13,IF(B360&lt;=Hypothèses!$C$14,Hypothèses!$F$14,IF(B360&lt;=Hypothèses!$C$15,Hypothèses!$F$15,IF(B360&lt;=Hypothèses!$C$16,Hypothèses!$F$16,IF(B360&lt;=Hypothèses!$C$17,Hypothèses!$F$17,IF(B360&lt;=Hypothèses!$C$18,Hypothèses!$F$18,F359))))))))))))</f>
        <v/>
      </c>
      <c r="G360" s="91">
        <f t="array" ref="G360">INDEX('Coeff EC7'!$U$7:$X$27,
MATCH(Model0.1T!$B$3,'Coeff EC7'!$T$7:$T$27,0),
MATCH(Model0.1T!$D360&amp;Model0.1T!$B$4,
'Coeff EC7'!$U$6:$X$6&amp;
'Coeff EC7'!$U$5:$X$5,0))</f>
        <v>1.4</v>
      </c>
      <c r="H360" s="91">
        <f t="array" ref="H360">INDEX('Coeff EC7'!$Y$7:$AB$27,
MATCH(Model0.1T!$B$3,'Coeff EC7'!$T$7:$T$27,0),
MATCH(Model0.1T!$D360&amp;Model0.1T!$B$4,
'Coeff EC7'!$Y$6:$AB$6&amp;
'Coeff EC7'!$Y$5:$AB$5,0))</f>
        <v>1.7</v>
      </c>
      <c r="I360" s="83">
        <v>0</v>
      </c>
      <c r="J360" s="91" t="e">
        <f t="array" ref="J360">INDEX('Coeff EC7'!$D$33:$Q$33,1,MATCH(D360&amp;E360,'Coeff EC7'!$D$31:$Q$31&amp;'Coeff EC7'!$D$32:$Q$32,0))</f>
        <v>#N/A</v>
      </c>
      <c r="K360" s="91" t="e">
        <f t="array" ref="K360">INDEX('Coeff EC7'!$D$34:$Q$34,1,MATCH(D360&amp;E360,'Coeff EC7'!$D$31:$Q$31&amp;'Coeff EC7'!$D$32:$Q$32,0))</f>
        <v>#N/A</v>
      </c>
      <c r="L360" s="91" t="e">
        <f t="array" ref="L360">INDEX('Coeff EC7'!$D$35:$Q$35,1,MATCH(D360&amp;E360,'Coeff EC7'!$D$31:$Q$31&amp;'Coeff EC7'!$D$32:$Q$32,0))</f>
        <v>#N/A</v>
      </c>
      <c r="M360" s="98" t="e">
        <f t="shared" si="531"/>
        <v>#N/A</v>
      </c>
      <c r="N360" s="99" t="e">
        <f t="array" ref="N360">INDEX('Coeff EC7'!$D$7:$Q$27,MATCH($B$3,'Coeff EC7'!$C$7:$C$27,0),MATCH(D360&amp;E360,'Coeff EC7'!$D$5:$Q$5&amp;'Coeff EC7'!$D$6:$Q$6,0))</f>
        <v>#N/A</v>
      </c>
      <c r="O360" s="99" t="e">
        <f t="array" ref="O360">INDEX('Coeff EC7'!$D$41:$Q$61,MATCH($B$3,'Coeff EC7'!$C$41:$C$61,0),MATCH(D360&amp;E360,'Coeff EC7'!$D$39:$Q$39&amp;'Coeff EC7'!$D$40:$Q$40,0))</f>
        <v>#N/A</v>
      </c>
      <c r="P360" s="30" t="e">
        <f t="shared" si="566"/>
        <v>#N/A</v>
      </c>
      <c r="Q360" s="100" t="e">
        <f t="shared" si="533"/>
        <v>#N/A</v>
      </c>
      <c r="R360" s="86" t="b">
        <f t="shared" si="534"/>
        <v>0</v>
      </c>
      <c r="S360" s="86">
        <f t="shared" si="532"/>
        <v>0.5</v>
      </c>
      <c r="T360" s="86">
        <f t="shared" si="535"/>
        <v>0.5</v>
      </c>
      <c r="U360" s="30" t="e">
        <f t="shared" ca="1" si="567"/>
        <v>#DIV/0!</v>
      </c>
      <c r="V360" s="85" t="str">
        <f>IF(B360&lt;=Hypothèses!$V$7,Hypothèses!$W$7,IF(B360&lt;=Hypothèses!$V$8,Hypothèses!$W$8,IF(B360&lt;=Hypothèses!$V$9,Hypothèses!$W$9,IF(B360&lt;=Hypothèses!$V$10,Hypothèses!$W$10,IF(B360&lt;=Hypothèses!$V$11,Hypothèses!$W$11,IF(B360&lt;=Hypothèses!$V$12,Hypothèses!$W$12,IF(B360&lt;=Hypothèses!$V$13,Hypothèses!$W$13,IF(B360&lt;=Hypothèses!$V$14,Hypothèses!$W$14,IF(B360&lt;=Hypothèses!$V$15,Hypothèses!$W$15,IF(B360&lt;=Hypothèses!$V$16,Hypothèses!$W$16,IF(B360&lt;=Hypothèses!$V$17,Hypothèses!$W$17,IF(B360&lt;=Hypothèses!$V$18,Hypothèses!$W$18,""))))))))))))</f>
        <v/>
      </c>
      <c r="W360" s="87" t="e">
        <f t="shared" ca="1" si="616"/>
        <v>#DIV/0!</v>
      </c>
      <c r="X360" s="88" t="str">
        <f>IF(B360&lt;=Hypothèses!$V$7,Hypothèses!$X$7,IF(B360&lt;=Hypothèses!$V$8,Hypothèses!$X$8,IF(B360&lt;=Hypothèses!$V$9,Hypothèses!$X$9,IF(B360&lt;=Hypothèses!$V$10,Hypothèses!$X$10,IF(B360&lt;=Hypothèses!$V$11,Hypothèses!$X$11,IF(B360&lt;=Hypothèses!$V$12,Hypothèses!$X$12,IF(B360&lt;=Hypothèses!$V$13,Hypothèses!$X$13,IF(B360&lt;=Hypothèses!$V$14,Hypothèses!$X$14,IF(B360&lt;=Hypothèses!$V$15,Hypothèses!$X$15,IF(B360&lt;=Hypothèses!$V$16,Hypothèses!$X$16,IF(B360&lt;=Hypothèses!$U$17,Hypothèses!$W$17,IF(B360&lt;=Hypothèses!$U$18,Hypothèses!$W$18,""))))))))))))</f>
        <v/>
      </c>
      <c r="Y360" s="95" t="e">
        <f t="shared" ca="1" si="536"/>
        <v>#DIV/0!</v>
      </c>
      <c r="Z360" s="101">
        <f t="shared" si="537"/>
        <v>0</v>
      </c>
      <c r="AA360" s="91">
        <f t="shared" si="538"/>
        <v>0</v>
      </c>
      <c r="AB360" s="30" t="e">
        <f t="shared" si="600"/>
        <v>#N/A</v>
      </c>
      <c r="AC360" s="30" t="e">
        <f t="shared" si="601"/>
        <v>#N/A</v>
      </c>
      <c r="AD360" s="31" t="e">
        <f>IF(OR(Hypothèses!$B$4=17,Hypothèses!$B$4=18,Hypothèses!$B$4=19,Hypothèses!$B$4=20),
IF($D360="Pressio.",
IF(OR($E360=3,$E360=1,$E360=4),AC360,AB360),
IF($D360="Pénétro.",
IF(OR($E360=3,$E360=1,$E360=4),AC360,AB360))),IF($D360="Pressio.",
IF($E360=3,AC360,AB360),
IF($D360="Pénétro.",
IF($E360=4,AC360,AB360))))</f>
        <v>#N/A</v>
      </c>
      <c r="AE360" s="31">
        <v>0</v>
      </c>
      <c r="AF360" s="102" t="e">
        <f>IF(NDC!$H$10="Oui",(VLOOKUP($B$3,'Coeff EC7'!$T$39:$X$59,2,0)*AD360+VLOOKUP($B$3,'Coeff EC7'!$T$65:$X$85,2,0)*Model0.1T!AE360)/1.5,PI()*AB$12*$Q360*($B360-$B359)*0.15/10+AF359)</f>
        <v>#N/A</v>
      </c>
      <c r="AG360" s="102" t="e">
        <f>(VLOOKUP($B$3,'Coeff EC7'!$T$39:$X$59,3,0)*AD360+VLOOKUP($B$3,'Coeff EC7'!$T$65:$X$85,3,0)*Model0.1T!AE360)/1.1</f>
        <v>#N/A</v>
      </c>
      <c r="AH360" s="102" t="e">
        <f t="shared" si="568"/>
        <v>#N/A</v>
      </c>
      <c r="AI360" s="102" t="e">
        <f t="shared" si="569"/>
        <v>#N/A</v>
      </c>
      <c r="AJ360" s="414" t="e">
        <f>IF(AND(AF360&gt;NDC!$C$63,AG360&gt;NDC!$C$65,AH360&gt;NDC!$D$73,AI360&gt;NDC!$D$74,$B360&gt;NDC!$H$22-0.1+MIN(3*$AJ$12,1.5)),0,1)</f>
        <v>#N/A</v>
      </c>
      <c r="AK360" s="86" t="b">
        <f t="shared" si="539"/>
        <v>0</v>
      </c>
      <c r="AL360" s="86">
        <f t="shared" si="570"/>
        <v>0.5</v>
      </c>
      <c r="AM360" s="86">
        <f t="shared" si="540"/>
        <v>0.5</v>
      </c>
      <c r="AN360" s="30" t="e">
        <f t="shared" ca="1" si="571"/>
        <v>#DIV/0!</v>
      </c>
      <c r="AO360" s="85" t="e">
        <f ca="1">IF(U360&lt;=Hypothèses!$V$7,Hypothèses!$W$7,IF(U360&lt;=Hypothèses!$V$8,Hypothèses!$W$8,IF(U360&lt;=Hypothèses!$V$9,Hypothèses!$W$9,IF(U360&lt;=Hypothèses!$V$10,Hypothèses!$W$10,IF(U360&lt;=Hypothèses!$V$11,Hypothèses!$W$11,IF(U360&lt;=Hypothèses!$V$12,Hypothèses!$W$12,IF(U360&lt;=Hypothèses!$V$13,Hypothèses!$W$13,IF(U360&lt;=Hypothèses!$V$14,Hypothèses!$W$14,IF(U360&lt;=Hypothèses!$V$15,Hypothèses!$W$15,IF(U360&lt;=Hypothèses!$V$16,Hypothèses!$W$16,IF(U360&lt;=Hypothèses!$V$17,Hypothèses!$W$17,IF(U360&lt;=Hypothèses!$V$18,Hypothèses!$W$18,""))))))))))))</f>
        <v>#DIV/0!</v>
      </c>
      <c r="AP360" s="87" t="e">
        <f t="shared" ca="1" si="617"/>
        <v>#DIV/0!</v>
      </c>
      <c r="AQ360" s="88" t="e">
        <f ca="1">IF(U360&lt;=Hypothèses!$V$7,Hypothèses!$X$7,IF(U360&lt;=Hypothèses!$V$8,Hypothèses!$X$8,IF(U360&lt;=Hypothèses!$V$9,Hypothèses!$X$9,IF(U360&lt;=Hypothèses!$V$10,Hypothèses!$X$10,IF(U360&lt;=Hypothèses!$V$11,Hypothèses!$X$11,IF(U360&lt;=Hypothèses!$V$12,Hypothèses!$X$12,IF(U360&lt;=Hypothèses!$V$13,Hypothèses!$X$13,IF(U360&lt;=Hypothèses!$V$14,Hypothèses!$X$14,IF(U360&lt;=Hypothèses!$V$15,Hypothèses!$X$15,IF(U360&lt;=Hypothèses!$V$16,Hypothèses!$X$16,IF(U360&lt;=Hypothèses!$U$17,Hypothèses!$W$17,IF(U360&lt;=Hypothèses!$U$18,Hypothèses!$W$18,""))))))))))))</f>
        <v>#DIV/0!</v>
      </c>
      <c r="AR360" s="95" t="e">
        <f t="shared" ca="1" si="572"/>
        <v>#DIV/0!</v>
      </c>
      <c r="AS360" s="101">
        <f t="shared" si="624"/>
        <v>0</v>
      </c>
      <c r="AT360" s="91">
        <f t="shared" si="541"/>
        <v>0</v>
      </c>
      <c r="AU360" s="30" t="e">
        <f t="shared" si="602"/>
        <v>#N/A</v>
      </c>
      <c r="AV360" s="30" t="e">
        <f t="shared" si="603"/>
        <v>#N/A</v>
      </c>
      <c r="AW360" s="31" t="e">
        <f>IF(OR(Hypothèses!$B$4=17,Hypothèses!$B$4=18,Hypothèses!$B$4=19,Hypothèses!$B$4=20),
IF($D360="Pressio.",
IF(OR($E360=3,$E360=1,$E360=4),AV360,AU360),
IF($D360="Pénétro.",
IF(OR($E360=3,$E360=1,$E360=4),AV360,AU360))),IF($D360="Pressio.",
IF($E360=3,AV360,AU360),
IF($D360="Pénétro.",
IF($E360=4,AV360,AU360))))</f>
        <v>#N/A</v>
      </c>
      <c r="AX360" s="31">
        <v>0</v>
      </c>
      <c r="AY360" s="102" t="e">
        <f>IF(NDC!$H$10="Oui",(VLOOKUP($B$3,'Coeff EC7'!$T$39:$X$59,2,0)*AW360+VLOOKUP($B$3,'Coeff EC7'!$T$65:$X$85,2,0)*Model0.1T!AX360)/1.5,PI()*AU$12*$Q360*($B360-$B359)*0.15/10+AY359)</f>
        <v>#N/A</v>
      </c>
      <c r="AZ360" s="102" t="e">
        <f>(VLOOKUP($B$3,'Coeff EC7'!$T$39:$X$59,3,0)*AW360+VLOOKUP($B$3,'Coeff EC7'!$T$65:$X$85,3,0)*Model0.1T!AX360)/1.1</f>
        <v>#N/A</v>
      </c>
      <c r="BA360" s="102" t="e">
        <f t="shared" si="573"/>
        <v>#N/A</v>
      </c>
      <c r="BB360" s="102" t="e">
        <f t="shared" si="574"/>
        <v>#N/A</v>
      </c>
      <c r="BC360" s="414" t="e">
        <f>IF(AND(AY360&gt;NDC!$C$63,AZ360&gt;NDC!$C$65,BA360&gt;NDC!$D$73,BB360&gt;NDC!$D$74,$B360&gt;NDC!$H$22-0.1+MIN(3*BC$12,1.5)),0,1)</f>
        <v>#N/A</v>
      </c>
      <c r="BD360" s="86" t="b">
        <f t="shared" si="542"/>
        <v>0</v>
      </c>
      <c r="BE360" s="86">
        <f t="shared" si="575"/>
        <v>0.5</v>
      </c>
      <c r="BF360" s="86">
        <f t="shared" si="543"/>
        <v>0.5</v>
      </c>
      <c r="BG360" s="30" t="e">
        <f t="shared" ca="1" si="576"/>
        <v>#DIV/0!</v>
      </c>
      <c r="BH360" s="85" t="e">
        <f ca="1">IF(AN360&lt;=Hypothèses!$V$7,Hypothèses!$W$7,IF(AN360&lt;=Hypothèses!$V$8,Hypothèses!$W$8,IF(AN360&lt;=Hypothèses!$V$9,Hypothèses!$W$9,IF(AN360&lt;=Hypothèses!$V$10,Hypothèses!$W$10,IF(AN360&lt;=Hypothèses!$V$11,Hypothèses!$W$11,IF(AN360&lt;=Hypothèses!$V$12,Hypothèses!$W$12,IF(AN360&lt;=Hypothèses!$V$13,Hypothèses!$W$13,IF(AN360&lt;=Hypothèses!$V$14,Hypothèses!$W$14,IF(AN360&lt;=Hypothèses!$V$15,Hypothèses!$W$15,IF(AN360&lt;=Hypothèses!$V$16,Hypothèses!$W$16,IF(AN360&lt;=Hypothèses!$V$17,Hypothèses!$W$17,IF(AN360&lt;=Hypothèses!$V$18,Hypothèses!$W$18,""))))))))))))</f>
        <v>#DIV/0!</v>
      </c>
      <c r="BI360" s="87" t="e">
        <f t="shared" ca="1" si="618"/>
        <v>#DIV/0!</v>
      </c>
      <c r="BJ360" s="88" t="e">
        <f ca="1">IF(AN360&lt;=Hypothèses!$V$7,Hypothèses!$X$7,IF(AN360&lt;=Hypothèses!$V$8,Hypothèses!$X$8,IF(AN360&lt;=Hypothèses!$V$9,Hypothèses!$X$9,IF(AN360&lt;=Hypothèses!$V$10,Hypothèses!$X$10,IF(AN360&lt;=Hypothèses!$V$11,Hypothèses!$X$11,IF(AN360&lt;=Hypothèses!$V$12,Hypothèses!$X$12,IF(AN360&lt;=Hypothèses!$V$13,Hypothèses!$X$13,IF(AN360&lt;=Hypothèses!$V$14,Hypothèses!$X$14,IF(AN360&lt;=Hypothèses!$V$15,Hypothèses!$X$15,IF(AN360&lt;=Hypothèses!$V$16,Hypothèses!$X$16,IF(AN360&lt;=Hypothèses!$U$17,Hypothèses!$W$17,IF(AN360&lt;=Hypothèses!$U$18,Hypothèses!$W$18,""))))))))))))</f>
        <v>#DIV/0!</v>
      </c>
      <c r="BK360" s="95" t="e">
        <f t="shared" ca="1" si="577"/>
        <v>#DIV/0!</v>
      </c>
      <c r="BL360" s="101">
        <f t="shared" si="625"/>
        <v>0</v>
      </c>
      <c r="BM360" s="91">
        <f t="shared" si="544"/>
        <v>0</v>
      </c>
      <c r="BN360" s="30" t="e">
        <f t="shared" si="604"/>
        <v>#N/A</v>
      </c>
      <c r="BO360" s="30" t="e">
        <f t="shared" si="605"/>
        <v>#N/A</v>
      </c>
      <c r="BP360" s="31" t="e">
        <f>IF(OR(Hypothèses!$B$4=17,Hypothèses!$B$4=18,Hypothèses!$B$4=19,Hypothèses!$B$4=20),
IF($D360="Pressio.",
IF(OR($E360=3,$E360=1,$E360=4),BO360,BN360),
IF($D360="Pénétro.",
IF(OR($E360=3,$E360=1,$E360=4),BO360,BN360))),IF($D360="Pressio.",
IF($E360=3,BO360,BN360),
IF($D360="Pénétro.",
IF($E360=4,BO360,BN360))))</f>
        <v>#N/A</v>
      </c>
      <c r="BQ360" s="31">
        <v>0</v>
      </c>
      <c r="BR360" s="102" t="e">
        <f>IF(NDC!$H$10="Oui",(VLOOKUP($B$3,'Coeff EC7'!$T$39:$X$59,2,0)*BP360+VLOOKUP($B$3,'Coeff EC7'!$T$65:$X$85,2,0)*Model0.1T!BQ360)/1.5,PI()*BN$12*$Q360*($B360-$B359)*0.15/10+BR359)</f>
        <v>#N/A</v>
      </c>
      <c r="BS360" s="102" t="e">
        <f>(VLOOKUP($B$3,'Coeff EC7'!$T$39:$X$59,3,0)*BP360+VLOOKUP($B$3,'Coeff EC7'!$T$65:$X$85,3,0)*Model0.1T!BQ360)/1.1</f>
        <v>#N/A</v>
      </c>
      <c r="BT360" s="102" t="e">
        <f t="shared" si="578"/>
        <v>#N/A</v>
      </c>
      <c r="BU360" s="102" t="e">
        <f t="shared" si="579"/>
        <v>#N/A</v>
      </c>
      <c r="BV360" s="414" t="e">
        <f>IF(AND(BR360&gt;NDC!$C$63,BS360&gt;NDC!$C$65,BT360&gt;NDC!$D$73,BU360&gt;NDC!$D$74,$B360&gt;NDC!$H$22-0.1+MIN(3*BV$12,1.5)),0,1)</f>
        <v>#N/A</v>
      </c>
      <c r="BW360" s="86" t="b">
        <f t="shared" si="545"/>
        <v>0</v>
      </c>
      <c r="BX360" s="86">
        <f t="shared" si="546"/>
        <v>0.5</v>
      </c>
      <c r="BY360" s="86">
        <f t="shared" si="547"/>
        <v>0.5</v>
      </c>
      <c r="BZ360" s="30" t="e">
        <f t="shared" ca="1" si="580"/>
        <v>#DIV/0!</v>
      </c>
      <c r="CA360" s="85" t="e">
        <f ca="1">IF(BG360&lt;=Hypothèses!$V$7,Hypothèses!$W$7,IF(BG360&lt;=Hypothèses!$V$8,Hypothèses!$W$8,IF(BG360&lt;=Hypothèses!$V$9,Hypothèses!$W$9,IF(BG360&lt;=Hypothèses!$V$10,Hypothèses!$W$10,IF(BG360&lt;=Hypothèses!$V$11,Hypothèses!$W$11,IF(BG360&lt;=Hypothèses!$V$12,Hypothèses!$W$12,IF(BG360&lt;=Hypothèses!$V$13,Hypothèses!$W$13,IF(BG360&lt;=Hypothèses!$V$14,Hypothèses!$W$14,IF(BG360&lt;=Hypothèses!$V$15,Hypothèses!$W$15,IF(BG360&lt;=Hypothèses!$V$16,Hypothèses!$W$16,IF(BG360&lt;=Hypothèses!$V$17,Hypothèses!$W$17,IF(BG360&lt;=Hypothèses!$V$18,Hypothèses!$W$18,""))))))))))))</f>
        <v>#DIV/0!</v>
      </c>
      <c r="CB360" s="87" t="e">
        <f t="shared" ca="1" si="619"/>
        <v>#DIV/0!</v>
      </c>
      <c r="CC360" s="88" t="e">
        <f ca="1">IF(BG360&lt;=Hypothèses!$V$7,Hypothèses!$X$7,IF(BG360&lt;=Hypothèses!$V$8,Hypothèses!$X$8,IF(BG360&lt;=Hypothèses!$V$9,Hypothèses!$X$9,IF(BG360&lt;=Hypothèses!$V$10,Hypothèses!$X$10,IF(BG360&lt;=Hypothèses!$V$11,Hypothèses!$X$11,IF(BG360&lt;=Hypothèses!$V$12,Hypothèses!$X$12,IF(BG360&lt;=Hypothèses!$V$13,Hypothèses!$X$13,IF(BG360&lt;=Hypothèses!$V$14,Hypothèses!$X$14,IF(BG360&lt;=Hypothèses!$V$15,Hypothèses!$X$15,IF(BG360&lt;=Hypothèses!$V$16,Hypothèses!$X$16,IF(BG360&lt;=Hypothèses!$U$17,Hypothèses!$W$17,IF(BG360&lt;=Hypothèses!$U$18,Hypothèses!$W$18,""))))))))))))</f>
        <v>#DIV/0!</v>
      </c>
      <c r="CD360" s="95" t="e">
        <f t="shared" ca="1" si="581"/>
        <v>#DIV/0!</v>
      </c>
      <c r="CE360" s="101">
        <f t="shared" si="626"/>
        <v>0</v>
      </c>
      <c r="CF360" s="91">
        <f t="shared" si="548"/>
        <v>0</v>
      </c>
      <c r="CG360" s="30" t="e">
        <f t="shared" si="606"/>
        <v>#N/A</v>
      </c>
      <c r="CH360" s="30" t="e">
        <f t="shared" si="607"/>
        <v>#N/A</v>
      </c>
      <c r="CI360" s="31" t="e">
        <f>IF(OR(Hypothèses!$B$4=17,Hypothèses!$B$4=18,Hypothèses!$B$4=19,Hypothèses!$B$4=20),
IF($D360="Pressio.",
IF(OR($E360=3,$E360=1,$E360=4),CH360,CG360),
IF($D360="Pénétro.",
IF(OR($E360=3,$E360=1,$E360=4),CH360,CG360))),IF($D360="Pressio.",
IF($E360=3,CH360,CG360),
IF($D360="Pénétro.",
IF($E360=4,CH360,CG360))))</f>
        <v>#N/A</v>
      </c>
      <c r="CJ360" s="31">
        <v>0</v>
      </c>
      <c r="CK360" s="102" t="e">
        <f>IF(NDC!$H$10="Oui",(VLOOKUP($B$3,'Coeff EC7'!$T$39:$X$59,2,0)*CI360+VLOOKUP($B$3,'Coeff EC7'!$T$65:$X$85,2,0)*Model0.1T!CJ360)/1.5,PI()*CG$12*$Q360*($B360-$B359)*0.15/10+CK359)</f>
        <v>#N/A</v>
      </c>
      <c r="CL360" s="102" t="e">
        <f>(VLOOKUP($B$3,'Coeff EC7'!$T$39:$X$59,3,0)*CI360+VLOOKUP($B$3,'Coeff EC7'!$T$65:$X$85,3,0)*Model0.1T!CJ360)/1.1</f>
        <v>#N/A</v>
      </c>
      <c r="CM360" s="102" t="e">
        <f t="shared" si="582"/>
        <v>#N/A</v>
      </c>
      <c r="CN360" s="102" t="e">
        <f t="shared" si="583"/>
        <v>#N/A</v>
      </c>
      <c r="CO360" s="414" t="e">
        <f>IF(AND(CK360&gt;NDC!$C$63,CL360&gt;NDC!$C$65,CM360&gt;NDC!$D$73,CN360&gt;NDC!$D$74,$B360&gt;NDC!$H$22-0.1+MIN(3*CO$12,1.5)),0,1)</f>
        <v>#N/A</v>
      </c>
      <c r="CP360" s="86" t="b">
        <f t="shared" si="549"/>
        <v>0</v>
      </c>
      <c r="CQ360" s="86">
        <f t="shared" si="550"/>
        <v>0.5</v>
      </c>
      <c r="CR360" s="86">
        <f t="shared" si="551"/>
        <v>0.5</v>
      </c>
      <c r="CS360" s="30" t="e">
        <f t="shared" ca="1" si="584"/>
        <v>#DIV/0!</v>
      </c>
      <c r="CT360" s="85" t="e">
        <f ca="1">IF(BZ360&lt;=Hypothèses!$V$7,Hypothèses!$W$7,IF(BZ360&lt;=Hypothèses!$V$8,Hypothèses!$W$8,IF(BZ360&lt;=Hypothèses!$V$9,Hypothèses!$W$9,IF(BZ360&lt;=Hypothèses!$V$10,Hypothèses!$W$10,IF(BZ360&lt;=Hypothèses!$V$11,Hypothèses!$W$11,IF(BZ360&lt;=Hypothèses!$V$12,Hypothèses!$W$12,IF(BZ360&lt;=Hypothèses!$V$13,Hypothèses!$W$13,IF(BZ360&lt;=Hypothèses!$V$14,Hypothèses!$W$14,IF(BZ360&lt;=Hypothèses!$V$15,Hypothèses!$W$15,IF(BZ360&lt;=Hypothèses!$V$16,Hypothèses!$W$16,IF(BZ360&lt;=Hypothèses!$V$17,Hypothèses!$W$17,IF(BZ360&lt;=Hypothèses!$V$18,Hypothèses!$W$18,""))))))))))))</f>
        <v>#DIV/0!</v>
      </c>
      <c r="CU360" s="87" t="e">
        <f t="shared" ca="1" si="620"/>
        <v>#DIV/0!</v>
      </c>
      <c r="CV360" s="88" t="e">
        <f ca="1">IF(BZ360&lt;=Hypothèses!$V$7,Hypothèses!$X$7,IF(BZ360&lt;=Hypothèses!$V$8,Hypothèses!$X$8,IF(BZ360&lt;=Hypothèses!$V$9,Hypothèses!$X$9,IF(BZ360&lt;=Hypothèses!$V$10,Hypothèses!$X$10,IF(BZ360&lt;=Hypothèses!$V$11,Hypothèses!$X$11,IF(BZ360&lt;=Hypothèses!$V$12,Hypothèses!$X$12,IF(BZ360&lt;=Hypothèses!$V$13,Hypothèses!$X$13,IF(BZ360&lt;=Hypothèses!$V$14,Hypothèses!$X$14,IF(BZ360&lt;=Hypothèses!$V$15,Hypothèses!$X$15,IF(BZ360&lt;=Hypothèses!$V$16,Hypothèses!$X$16,IF(BZ360&lt;=Hypothèses!$U$17,Hypothèses!$W$17,IF(BZ360&lt;=Hypothèses!$U$18,Hypothèses!$W$18,""))))))))))))</f>
        <v>#DIV/0!</v>
      </c>
      <c r="CW360" s="95" t="e">
        <f t="shared" ca="1" si="585"/>
        <v>#DIV/0!</v>
      </c>
      <c r="CX360" s="101">
        <f t="shared" si="627"/>
        <v>0</v>
      </c>
      <c r="CY360" s="91">
        <f t="shared" si="552"/>
        <v>0</v>
      </c>
      <c r="CZ360" s="30" t="e">
        <f t="shared" si="608"/>
        <v>#N/A</v>
      </c>
      <c r="DA360" s="30" t="e">
        <f t="shared" si="609"/>
        <v>#N/A</v>
      </c>
      <c r="DB360" s="31" t="e">
        <f>IF(OR(Hypothèses!$B$4=17,Hypothèses!$B$4=18,Hypothèses!$B$4=19,Hypothèses!$B$4=20),
IF($D360="Pressio.",
IF(OR($E360=3,$E360=1,$E360=4),DA360,CZ360),
IF($D360="Pénétro.",
IF(OR($E360=3,$E360=1,$E360=4),DA360,CZ360))),IF($D360="Pressio.",
IF($E360=3,DA360,CZ360),
IF($D360="Pénétro.",
IF($E360=4,DA360,CZ360))))</f>
        <v>#N/A</v>
      </c>
      <c r="DC360" s="31">
        <v>0</v>
      </c>
      <c r="DD360" s="102" t="e">
        <f>IF(NDC!$H$10="Oui",(VLOOKUP($B$3,'Coeff EC7'!$T$39:$X$59,2,0)*DB360+VLOOKUP($B$3,'Coeff EC7'!$T$65:$X$85,2,0)*Model0.1T!DC360)/1.5,PI()*CZ$12*$Q360*($B360-$B359)*0.15/10+DD359)</f>
        <v>#N/A</v>
      </c>
      <c r="DE360" s="102" t="e">
        <f>(VLOOKUP($B$3,'Coeff EC7'!$T$39:$X$59,3,0)*DB360+VLOOKUP($B$3,'Coeff EC7'!$T$65:$X$85,3,0)*Model0.1T!DC360)/1.1</f>
        <v>#N/A</v>
      </c>
      <c r="DF360" s="102" t="e">
        <f t="shared" si="586"/>
        <v>#N/A</v>
      </c>
      <c r="DG360" s="102" t="e">
        <f t="shared" si="587"/>
        <v>#N/A</v>
      </c>
      <c r="DH360" s="414" t="e">
        <f>IF(AND(DD360&gt;NDC!$C$63,DE360&gt;NDC!$C$65,DF360&gt;NDC!$D$73,DG360&gt;NDC!$D$74,$B360&gt;NDC!$H$22-0.1+MIN(3*DH$12,1.5)),0,1)</f>
        <v>#N/A</v>
      </c>
      <c r="DI360" s="86" t="b">
        <f t="shared" si="553"/>
        <v>0</v>
      </c>
      <c r="DJ360" s="86">
        <f t="shared" si="554"/>
        <v>0.5</v>
      </c>
      <c r="DK360" s="86">
        <f t="shared" si="555"/>
        <v>0.5</v>
      </c>
      <c r="DL360" s="30" t="e">
        <f t="shared" ca="1" si="588"/>
        <v>#DIV/0!</v>
      </c>
      <c r="DM360" s="85" t="e">
        <f ca="1">IF(CS360&lt;=Hypothèses!$V$7,Hypothèses!$W$7,IF(CS360&lt;=Hypothèses!$V$8,Hypothèses!$W$8,IF(CS360&lt;=Hypothèses!$V$9,Hypothèses!$W$9,IF(CS360&lt;=Hypothèses!$V$10,Hypothèses!$W$10,IF(CS360&lt;=Hypothèses!$V$11,Hypothèses!$W$11,IF(CS360&lt;=Hypothèses!$V$12,Hypothèses!$W$12,IF(CS360&lt;=Hypothèses!$V$13,Hypothèses!$W$13,IF(CS360&lt;=Hypothèses!$V$14,Hypothèses!$W$14,IF(CS360&lt;=Hypothèses!$V$15,Hypothèses!$W$15,IF(CS360&lt;=Hypothèses!$V$16,Hypothèses!$W$16,IF(CS360&lt;=Hypothèses!$V$17,Hypothèses!$W$17,IF(CS360&lt;=Hypothèses!$V$18,Hypothèses!$W$18,""))))))))))))</f>
        <v>#DIV/0!</v>
      </c>
      <c r="DN360" s="87" t="e">
        <f t="shared" ca="1" si="621"/>
        <v>#DIV/0!</v>
      </c>
      <c r="DO360" s="88" t="e">
        <f ca="1">IF(CS360&lt;=Hypothèses!$V$7,Hypothèses!$X$7,IF(CS360&lt;=Hypothèses!$V$8,Hypothèses!$X$8,IF(CS360&lt;=Hypothèses!$V$9,Hypothèses!$X$9,IF(CS360&lt;=Hypothèses!$V$10,Hypothèses!$X$10,IF(CS360&lt;=Hypothèses!$V$11,Hypothèses!$X$11,IF(CS360&lt;=Hypothèses!$V$12,Hypothèses!$X$12,IF(CS360&lt;=Hypothèses!$V$13,Hypothèses!$X$13,IF(CS360&lt;=Hypothèses!$V$14,Hypothèses!$X$14,IF(CS360&lt;=Hypothèses!$V$15,Hypothèses!$X$15,IF(CS360&lt;=Hypothèses!$V$16,Hypothèses!$X$16,IF(CS360&lt;=Hypothèses!$U$17,Hypothèses!$W$17,IF(CS360&lt;=Hypothèses!$U$18,Hypothèses!$W$18,""))))))))))))</f>
        <v>#DIV/0!</v>
      </c>
      <c r="DP360" s="95" t="e">
        <f t="shared" ca="1" si="589"/>
        <v>#DIV/0!</v>
      </c>
      <c r="DQ360" s="101">
        <f t="shared" si="628"/>
        <v>0</v>
      </c>
      <c r="DR360" s="91">
        <f t="shared" si="556"/>
        <v>0</v>
      </c>
      <c r="DS360" s="30" t="e">
        <f t="shared" si="610"/>
        <v>#N/A</v>
      </c>
      <c r="DT360" s="30" t="e">
        <f t="shared" si="611"/>
        <v>#N/A</v>
      </c>
      <c r="DU360" s="31" t="e">
        <f>IF(OR(Hypothèses!$B$4=17,Hypothèses!$B$4=18,Hypothèses!$B$4=19,Hypothèses!$B$4=20),
IF($D360="Pressio.",
IF(OR($E360=3,$E360=1,$E360=4),DT360,DS360),
IF($D360="Pénétro.",
IF(OR($E360=3,$E360=1,$E360=4),DT360,DS360))),IF($D360="Pressio.",
IF($E360=3,DT360,DS360),
IF($D360="Pénétro.",
IF($E360=4,DT360,DS360))))</f>
        <v>#N/A</v>
      </c>
      <c r="DV360" s="31">
        <v>0</v>
      </c>
      <c r="DW360" s="102" t="e">
        <f>IF(NDC!$H$10="Oui",(VLOOKUP($B$3,'Coeff EC7'!$T$39:$X$59,2,0)*DU360+VLOOKUP($B$3,'Coeff EC7'!$T$65:$X$85,2,0)*Model0.1T!DV360)/1.5,PI()*DS$12*$Q360*($B360-$B359)*0.15/10+DW359)</f>
        <v>#N/A</v>
      </c>
      <c r="DX360" s="102" t="e">
        <f>(VLOOKUP($B$3,'Coeff EC7'!$T$39:$X$59,3,0)*DU360+VLOOKUP($B$3,'Coeff EC7'!$T$65:$X$85,3,0)*Model0.1T!DV360)/1.1</f>
        <v>#N/A</v>
      </c>
      <c r="DY360" s="102" t="e">
        <f t="shared" si="590"/>
        <v>#N/A</v>
      </c>
      <c r="DZ360" s="102" t="e">
        <f t="shared" si="591"/>
        <v>#N/A</v>
      </c>
      <c r="EA360" s="414" t="e">
        <f>IF(AND(DW360&gt;NDC!$C$63,DX360&gt;NDC!$C$65,DY360&gt;NDC!$D$73,DZ360&gt;NDC!$D$74,$B360&gt;NDC!$H$22-0.1+MIN(3*EA$12,1.5)),0,1)</f>
        <v>#N/A</v>
      </c>
      <c r="EB360" s="86" t="b">
        <f t="shared" si="557"/>
        <v>0</v>
      </c>
      <c r="EC360" s="418">
        <f t="shared" si="558"/>
        <v>0.51</v>
      </c>
      <c r="ED360" s="86">
        <f t="shared" si="559"/>
        <v>0.51</v>
      </c>
      <c r="EE360" s="30" t="e">
        <f t="shared" ca="1" si="592"/>
        <v>#DIV/0!</v>
      </c>
      <c r="EF360" s="85" t="e">
        <f ca="1">IF(DL360&lt;=Hypothèses!$V$7,Hypothèses!$W$7,IF(DL360&lt;=Hypothèses!$V$8,Hypothèses!$W$8,IF(DL360&lt;=Hypothèses!$V$9,Hypothèses!$W$9,IF(DL360&lt;=Hypothèses!$V$10,Hypothèses!$W$10,IF(DL360&lt;=Hypothèses!$V$11,Hypothèses!$W$11,IF(DL360&lt;=Hypothèses!$V$12,Hypothèses!$W$12,IF(DL360&lt;=Hypothèses!$V$13,Hypothèses!$W$13,IF(DL360&lt;=Hypothèses!$V$14,Hypothèses!$W$14,IF(DL360&lt;=Hypothèses!$V$15,Hypothèses!$W$15,IF(DL360&lt;=Hypothèses!$V$16,Hypothèses!$W$16,IF(DL360&lt;=Hypothèses!$V$17,Hypothèses!$W$17,IF(DL360&lt;=Hypothèses!$V$18,Hypothèses!$W$18,""))))))))))))</f>
        <v>#DIV/0!</v>
      </c>
      <c r="EG360" s="87" t="e">
        <f t="shared" ca="1" si="622"/>
        <v>#DIV/0!</v>
      </c>
      <c r="EH360" s="88" t="e">
        <f ca="1">IF(DL360&lt;=Hypothèses!$V$7,Hypothèses!$X$7,IF(DL360&lt;=Hypothèses!$V$8,Hypothèses!$X$8,IF(DL360&lt;=Hypothèses!$V$9,Hypothèses!$X$9,IF(DL360&lt;=Hypothèses!$V$10,Hypothèses!$X$10,IF(DL360&lt;=Hypothèses!$V$11,Hypothèses!$X$11,IF(DL360&lt;=Hypothèses!$V$12,Hypothèses!$X$12,IF(DL360&lt;=Hypothèses!$V$13,Hypothèses!$X$13,IF(DL360&lt;=Hypothèses!$V$14,Hypothèses!$X$14,IF(DL360&lt;=Hypothèses!$V$15,Hypothèses!$X$15,IF(DL360&lt;=Hypothèses!$V$16,Hypothèses!$X$16,IF(DL360&lt;=Hypothèses!$U$17,Hypothèses!$W$17,IF(DL360&lt;=Hypothèses!$U$18,Hypothèses!$W$18,""))))))))))))</f>
        <v>#DIV/0!</v>
      </c>
      <c r="EI360" s="95" t="e">
        <f t="shared" ca="1" si="593"/>
        <v>#DIV/0!</v>
      </c>
      <c r="EJ360" s="101">
        <f t="shared" si="629"/>
        <v>0</v>
      </c>
      <c r="EK360" s="91">
        <f t="shared" si="560"/>
        <v>0</v>
      </c>
      <c r="EL360" s="30" t="e">
        <f t="shared" si="612"/>
        <v>#N/A</v>
      </c>
      <c r="EM360" s="30" t="e">
        <f t="shared" si="613"/>
        <v>#N/A</v>
      </c>
      <c r="EN360" s="31" t="e">
        <f>IF(OR(Hypothèses!$B$4=17,Hypothèses!$B$4=18,Hypothèses!$B$4=19,Hypothèses!$B$4=20),
IF($D360="Pressio.",
IF(OR($E360=3,$E360=1,$E360=4),EM360,EL360),
IF($D360="Pénétro.",
IF(OR($E360=3,$E360=1,$E360=4),EM360,EL360))),IF($D360="Pressio.",
IF($E360=3,EM360,EL360),
IF($D360="Pénétro.",
IF($E360=4,EM360,EL360))))</f>
        <v>#N/A</v>
      </c>
      <c r="EO360" s="31">
        <v>0</v>
      </c>
      <c r="EP360" s="102" t="e">
        <f>IF(NDC!$H$10="Oui",(VLOOKUP($B$3,'Coeff EC7'!$T$39:$X$59,2,0)*EN360+VLOOKUP($B$3,'Coeff EC7'!$T$65:$X$85,2,0)*Model0.1T!EO360)/1.5,PI()*EL$12*$Q360*($B360-$B359)*0.15/10+EP359)</f>
        <v>#N/A</v>
      </c>
      <c r="EQ360" s="102" t="e">
        <f>(VLOOKUP($B$3,'Coeff EC7'!$T$39:$X$59,3,0)*EN360+VLOOKUP($B$3,'Coeff EC7'!$T$65:$X$85,3,0)*Model0.1T!EO360)/1.1</f>
        <v>#N/A</v>
      </c>
      <c r="ER360" s="102" t="e">
        <f t="shared" si="594"/>
        <v>#N/A</v>
      </c>
      <c r="ES360" s="102" t="e">
        <f t="shared" si="595"/>
        <v>#N/A</v>
      </c>
      <c r="ET360" s="414" t="e">
        <f>IF(AND(EP360&gt;NDC!$C$63,EQ360&gt;NDC!$C$65,ER360&gt;NDC!$D$73,ES360&gt;NDC!$D$74,$B360&gt;NDC!$H$22-0.1+MIN(3*ET$12,1.5)),0,1)</f>
        <v>#N/A</v>
      </c>
      <c r="EU360" s="86" t="b">
        <f t="shared" si="561"/>
        <v>0</v>
      </c>
      <c r="EV360" s="86">
        <f t="shared" si="562"/>
        <v>0.61</v>
      </c>
      <c r="EW360" s="86">
        <f t="shared" si="563"/>
        <v>0.61</v>
      </c>
      <c r="EX360" s="30" t="e">
        <f t="shared" ca="1" si="596"/>
        <v>#DIV/0!</v>
      </c>
      <c r="EY360" s="85" t="e">
        <f ca="1">IF(EE360&lt;=Hypothèses!$V$7,Hypothèses!$W$7,IF(EE360&lt;=Hypothèses!$V$8,Hypothèses!$W$8,IF(EE360&lt;=Hypothèses!$V$9,Hypothèses!$W$9,IF(EE360&lt;=Hypothèses!$V$10,Hypothèses!$W$10,IF(EE360&lt;=Hypothèses!$V$11,Hypothèses!$W$11,IF(EE360&lt;=Hypothèses!$V$12,Hypothèses!$W$12,IF(EE360&lt;=Hypothèses!$V$13,Hypothèses!$W$13,IF(EE360&lt;=Hypothèses!$V$14,Hypothèses!$W$14,IF(EE360&lt;=Hypothèses!$V$15,Hypothèses!$W$15,IF(EE360&lt;=Hypothèses!$V$16,Hypothèses!$W$16,IF(EE360&lt;=Hypothèses!$V$17,Hypothèses!$W$17,IF(EE360&lt;=Hypothèses!$V$18,Hypothèses!$W$18,""))))))))))))</f>
        <v>#DIV/0!</v>
      </c>
      <c r="EZ360" s="87" t="e">
        <f t="shared" ca="1" si="623"/>
        <v>#DIV/0!</v>
      </c>
      <c r="FA360" s="88" t="e">
        <f ca="1">IF(EE360&lt;=Hypothèses!$V$7,Hypothèses!$X$7,IF(EE360&lt;=Hypothèses!$V$8,Hypothèses!$X$8,IF(EE360&lt;=Hypothèses!$V$9,Hypothèses!$X$9,IF(EE360&lt;=Hypothèses!$V$10,Hypothèses!$X$10,IF(EE360&lt;=Hypothèses!$V$11,Hypothèses!$X$11,IF(EE360&lt;=Hypothèses!$V$12,Hypothèses!$X$12,IF(EE360&lt;=Hypothèses!$V$13,Hypothèses!$X$13,IF(EE360&lt;=Hypothèses!$V$14,Hypothèses!$X$14,IF(EE360&lt;=Hypothèses!$V$15,Hypothèses!$X$15,IF(EE360&lt;=Hypothèses!$V$16,Hypothèses!$X$16,IF(EE360&lt;=Hypothèses!$U$17,Hypothèses!$W$17,IF(EE360&lt;=Hypothèses!$U$18,Hypothèses!$W$18,""))))))))))))</f>
        <v>#DIV/0!</v>
      </c>
      <c r="FB360" s="95" t="e">
        <f t="shared" ca="1" si="597"/>
        <v>#DIV/0!</v>
      </c>
      <c r="FC360" s="101">
        <f t="shared" si="630"/>
        <v>0</v>
      </c>
      <c r="FD360" s="91">
        <f t="shared" si="564"/>
        <v>0</v>
      </c>
      <c r="FE360" s="30" t="e">
        <f t="shared" si="614"/>
        <v>#N/A</v>
      </c>
      <c r="FF360" s="30" t="e">
        <f t="shared" si="615"/>
        <v>#N/A</v>
      </c>
      <c r="FG360" s="31" t="e">
        <f>IF(OR(Hypothèses!$B$4=17,Hypothèses!$B$4=18,Hypothèses!$B$4=19,Hypothèses!$B$4=20),
IF($D360="Pressio.",
IF(OR($E360=3,$E360=1,$E360=4),FF360,FE360),
IF($D360="Pénétro.",
IF(OR($E360=3,$E360=1,$E360=4),FF360,FE360))),IF($D360="Pressio.",
IF($E360=3,FF360,FE360),
IF($D360="Pénétro.",
IF($E360=4,FF360,FE360))))</f>
        <v>#N/A</v>
      </c>
      <c r="FH360" s="31">
        <v>0</v>
      </c>
      <c r="FI360" s="102" t="e">
        <f>IF(NDC!$H$10="Oui",(VLOOKUP($B$3,'Coeff EC7'!$T$39:$X$59,2,0)*FG360+VLOOKUP($B$3,'Coeff EC7'!$T$65:$X$85,2,0)*Model0.1T!FH360)/1.5,PI()*FE$12*$Q360*($B360-$B359)*0.15/10+FI359)</f>
        <v>#N/A</v>
      </c>
      <c r="FJ360" s="102" t="e">
        <f>(VLOOKUP($B$3,'Coeff EC7'!$T$39:$X$59,3,0)*FG360+VLOOKUP($B$3,'Coeff EC7'!$T$65:$X$85,3,0)*Model0.1T!FH360)/1.1</f>
        <v>#N/A</v>
      </c>
      <c r="FK360" s="102" t="e">
        <f t="shared" si="598"/>
        <v>#N/A</v>
      </c>
      <c r="FL360" s="102" t="e">
        <f t="shared" si="599"/>
        <v>#N/A</v>
      </c>
      <c r="FM360" s="414" t="e">
        <f>IF(AND(FI360&gt;NDC!$C$63,FJ360&gt;NDC!$C$65,FK360&gt;NDC!$D$73,FL360&gt;NDC!$D$74,$B360&gt;NDC!$H$22-0.1+MIN(3*FM$12,1.5)),0,1)</f>
        <v>#N/A</v>
      </c>
    </row>
    <row r="361" spans="1:169">
      <c r="A361" s="96">
        <f t="shared" si="565"/>
        <v>65.200000000001978</v>
      </c>
      <c r="B361" s="97">
        <v>34.799999999999997</v>
      </c>
      <c r="C361" s="81">
        <f>IF(B361&lt;=Hypothèses!$C$7,Hypothèses!$A$7,IF(B361&lt;=Hypothèses!$C$8,Hypothèses!$A$8,IF(B361&lt;=Hypothèses!$C$9,Hypothèses!$A$9,IF(B361&lt;=Hypothèses!$C$10,Hypothèses!$A$10,IF(B361&lt;=Hypothèses!$C$11,Hypothèses!$A$11,IF(B361&lt;=Hypothèses!$C$12,Hypothèses!$A$12,IF(B361&lt;=Hypothèses!$C$13,Hypothèses!$A$13,IF(B361&lt;=Hypothèses!$C$14,Hypothèses!$A$14,IF(B361&lt;=Hypothèses!$C$15,Hypothèses!$A$15,IF(B361&lt;=Hypothèses!$C$16,Hypothèses!$A$16,IF(B361&lt;=Hypothèses!$C$17,Hypothèses!$A$17,IF(B361&lt;=Hypothèses!$C$18,Hypothèses!$A$18,C360))))))))))))</f>
        <v>11</v>
      </c>
      <c r="D361" s="82" t="str">
        <f>IF(B361&lt;=Hypothèses!$C$7,Hypothèses!$R$7,IF(B361&lt;=Hypothèses!$C$8,Hypothèses!$R$8,IF(B361&lt;=Hypothèses!$C$9,Hypothèses!$R$9,IF(B361&lt;=Hypothèses!$C$10,Hypothèses!$R$10,IF(B361&lt;=Hypothèses!$C$11,Hypothèses!$R$11,IF(B361&lt;=Hypothèses!$C$12,Hypothèses!$R$12,IF(B361&lt;=Hypothèses!$C$13,Hypothèses!$R$13,IF(B361&lt;=Hypothèses!$C$14,Hypothèses!$R$14,IF(B361&lt;=Hypothèses!$C$15,Hypothèses!$R$15,IF(B361&lt;=Hypothèses!$C$16,Hypothèses!$R$16,IF(B361&lt;=Hypothèses!$C$17,Hypothèses!$R$17,IF(B361&lt;=Hypothèses!$C$18,Hypothèses!$R$18,D360))))))))))))</f>
        <v>Pressio.</v>
      </c>
      <c r="E361" s="82" t="e">
        <f>IF(B361&lt;=Hypothèses!$C$7,Hypothèses!$G$7,IF(B361&lt;=Hypothèses!$C$8,Hypothèses!$G$8,IF(B361&lt;=Hypothèses!$C$9,Hypothèses!$G$9,IF(B361&lt;=Hypothèses!$C$10,Hypothèses!$G$10,IF(B361&lt;=Hypothèses!$C$11,Hypothèses!$G$11,IF(B361&lt;=Hypothèses!$C$12,Hypothèses!$G$12,IF(B361&lt;=Hypothèses!$C$13,Hypothèses!$G$13,IF(B361&lt;=Hypothèses!$C$14,Hypothèses!$G$14,IF(B361&lt;=Hypothèses!$C$15,Hypothèses!$G$15,IF(B361&lt;=Hypothèses!$C$16,Hypothèses!$G$16,IF(B361&lt;=Hypothèses!$C$17,Hypothèses!$G$17,IF(B361&lt;=Hypothèses!$C$18,Hypothèses!$G$18,E360))))))))))))</f>
        <v>#N/A</v>
      </c>
      <c r="F361" s="82" t="str">
        <f>IF(B361&lt;=Hypothèses!$C$7,Hypothèses!$F$7,IF(B361&lt;=Hypothèses!$C$8,Hypothèses!$F$8,IF(B361&lt;=Hypothèses!$C$9,Hypothèses!$F$9,IF(B361&lt;=Hypothèses!$C$10,Hypothèses!$F$10,IF(B361&lt;=Hypothèses!$C$11,Hypothèses!$F$11,IF(B361&lt;=Hypothèses!$C$12,Hypothèses!$F$12,IF(B361&lt;=Hypothèses!$C$13,Hypothèses!$F$13,IF(B361&lt;=Hypothèses!$C$14,Hypothèses!$F$14,IF(B361&lt;=Hypothèses!$C$15,Hypothèses!$F$15,IF(B361&lt;=Hypothèses!$C$16,Hypothèses!$F$16,IF(B361&lt;=Hypothèses!$C$17,Hypothèses!$F$17,IF(B361&lt;=Hypothèses!$C$18,Hypothèses!$F$18,F360))))))))))))</f>
        <v/>
      </c>
      <c r="G361" s="91">
        <f t="array" ref="G361">INDEX('Coeff EC7'!$U$7:$X$27,
MATCH(Model0.1T!$B$3,'Coeff EC7'!$T$7:$T$27,0),
MATCH(Model0.1T!$D361&amp;Model0.1T!$B$4,
'Coeff EC7'!$U$6:$X$6&amp;
'Coeff EC7'!$U$5:$X$5,0))</f>
        <v>1.4</v>
      </c>
      <c r="H361" s="91">
        <f t="array" ref="H361">INDEX('Coeff EC7'!$Y$7:$AB$27,
MATCH(Model0.1T!$B$3,'Coeff EC7'!$T$7:$T$27,0),
MATCH(Model0.1T!$D361&amp;Model0.1T!$B$4,
'Coeff EC7'!$Y$6:$AB$6&amp;
'Coeff EC7'!$Y$5:$AB$5,0))</f>
        <v>1.7</v>
      </c>
      <c r="I361" s="83">
        <v>0</v>
      </c>
      <c r="J361" s="91" t="e">
        <f t="array" ref="J361">INDEX('Coeff EC7'!$D$33:$Q$33,1,MATCH(D361&amp;E361,'Coeff EC7'!$D$31:$Q$31&amp;'Coeff EC7'!$D$32:$Q$32,0))</f>
        <v>#N/A</v>
      </c>
      <c r="K361" s="91" t="e">
        <f t="array" ref="K361">INDEX('Coeff EC7'!$D$34:$Q$34,1,MATCH(D361&amp;E361,'Coeff EC7'!$D$31:$Q$31&amp;'Coeff EC7'!$D$32:$Q$32,0))</f>
        <v>#N/A</v>
      </c>
      <c r="L361" s="91" t="e">
        <f t="array" ref="L361">INDEX('Coeff EC7'!$D$35:$Q$35,1,MATCH(D361&amp;E361,'Coeff EC7'!$D$31:$Q$31&amp;'Coeff EC7'!$D$32:$Q$32,0))</f>
        <v>#N/A</v>
      </c>
      <c r="M361" s="98" t="e">
        <f t="shared" si="531"/>
        <v>#N/A</v>
      </c>
      <c r="N361" s="99" t="e">
        <f t="array" ref="N361">INDEX('Coeff EC7'!$D$7:$Q$27,MATCH($B$3,'Coeff EC7'!$C$7:$C$27,0),MATCH(D361&amp;E361,'Coeff EC7'!$D$5:$Q$5&amp;'Coeff EC7'!$D$6:$Q$6,0))</f>
        <v>#N/A</v>
      </c>
      <c r="O361" s="99" t="e">
        <f t="array" ref="O361">INDEX('Coeff EC7'!$D$41:$Q$61,MATCH($B$3,'Coeff EC7'!$C$41:$C$61,0),MATCH(D361&amp;E361,'Coeff EC7'!$D$39:$Q$39&amp;'Coeff EC7'!$D$40:$Q$40,0))</f>
        <v>#N/A</v>
      </c>
      <c r="P361" s="30" t="e">
        <f t="shared" si="566"/>
        <v>#N/A</v>
      </c>
      <c r="Q361" s="100" t="e">
        <f t="shared" si="533"/>
        <v>#N/A</v>
      </c>
      <c r="R361" s="86" t="b">
        <f t="shared" si="534"/>
        <v>0</v>
      </c>
      <c r="S361" s="86">
        <f t="shared" si="532"/>
        <v>0.5</v>
      </c>
      <c r="T361" s="86">
        <f t="shared" si="535"/>
        <v>0.5</v>
      </c>
      <c r="U361" s="30" t="e">
        <f t="shared" ca="1" si="567"/>
        <v>#DIV/0!</v>
      </c>
      <c r="V361" s="85" t="str">
        <f>IF(B361&lt;=Hypothèses!$V$7,Hypothèses!$W$7,IF(B361&lt;=Hypothèses!$V$8,Hypothèses!$W$8,IF(B361&lt;=Hypothèses!$V$9,Hypothèses!$W$9,IF(B361&lt;=Hypothèses!$V$10,Hypothèses!$W$10,IF(B361&lt;=Hypothèses!$V$11,Hypothèses!$W$11,IF(B361&lt;=Hypothèses!$V$12,Hypothèses!$W$12,IF(B361&lt;=Hypothèses!$V$13,Hypothèses!$W$13,IF(B361&lt;=Hypothèses!$V$14,Hypothèses!$W$14,IF(B361&lt;=Hypothèses!$V$15,Hypothèses!$W$15,IF(B361&lt;=Hypothèses!$V$16,Hypothèses!$W$16,IF(B361&lt;=Hypothèses!$V$17,Hypothèses!$W$17,IF(B361&lt;=Hypothèses!$V$18,Hypothèses!$W$18,""))))))))))))</f>
        <v/>
      </c>
      <c r="W361" s="87" t="e">
        <f t="shared" ca="1" si="616"/>
        <v>#DIV/0!</v>
      </c>
      <c r="X361" s="88" t="str">
        <f>IF(B361&lt;=Hypothèses!$V$7,Hypothèses!$X$7,IF(B361&lt;=Hypothèses!$V$8,Hypothèses!$X$8,IF(B361&lt;=Hypothèses!$V$9,Hypothèses!$X$9,IF(B361&lt;=Hypothèses!$V$10,Hypothèses!$X$10,IF(B361&lt;=Hypothèses!$V$11,Hypothèses!$X$11,IF(B361&lt;=Hypothèses!$V$12,Hypothèses!$X$12,IF(B361&lt;=Hypothèses!$V$13,Hypothèses!$X$13,IF(B361&lt;=Hypothèses!$V$14,Hypothèses!$X$14,IF(B361&lt;=Hypothèses!$V$15,Hypothèses!$X$15,IF(B361&lt;=Hypothèses!$V$16,Hypothèses!$X$16,IF(B361&lt;=Hypothèses!$U$17,Hypothèses!$W$17,IF(B361&lt;=Hypothèses!$U$18,Hypothèses!$W$18,""))))))))))))</f>
        <v/>
      </c>
      <c r="Y361" s="95" t="e">
        <f t="shared" ca="1" si="536"/>
        <v>#DIV/0!</v>
      </c>
      <c r="Z361" s="101">
        <f t="shared" si="537"/>
        <v>0</v>
      </c>
      <c r="AA361" s="91">
        <f t="shared" si="538"/>
        <v>0</v>
      </c>
      <c r="AB361" s="30" t="e">
        <f t="shared" si="600"/>
        <v>#N/A</v>
      </c>
      <c r="AC361" s="30" t="e">
        <f t="shared" si="601"/>
        <v>#N/A</v>
      </c>
      <c r="AD361" s="31" t="e">
        <f>IF(OR(Hypothèses!$B$4=17,Hypothèses!$B$4=18,Hypothèses!$B$4=19,Hypothèses!$B$4=20),
IF($D361="Pressio.",
IF(OR($E361=3,$E361=1,$E361=4),AC361,AB361),
IF($D361="Pénétro.",
IF(OR($E361=3,$E361=1,$E361=4),AC361,AB361))),IF($D361="Pressio.",
IF($E361=3,AC361,AB361),
IF($D361="Pénétro.",
IF($E361=4,AC361,AB361))))</f>
        <v>#N/A</v>
      </c>
      <c r="AE361" s="31">
        <v>0</v>
      </c>
      <c r="AF361" s="102" t="e">
        <f>IF(NDC!$H$10="Oui",(VLOOKUP($B$3,'Coeff EC7'!$T$39:$X$59,2,0)*AD361+VLOOKUP($B$3,'Coeff EC7'!$T$65:$X$85,2,0)*Model0.1T!AE361)/1.5,PI()*AB$12*$Q361*($B361-$B360)*0.15/10+AF360)</f>
        <v>#N/A</v>
      </c>
      <c r="AG361" s="102" t="e">
        <f>(VLOOKUP($B$3,'Coeff EC7'!$T$39:$X$59,3,0)*AD361+VLOOKUP($B$3,'Coeff EC7'!$T$65:$X$85,3,0)*Model0.1T!AE361)/1.1</f>
        <v>#N/A</v>
      </c>
      <c r="AH361" s="102" t="e">
        <f t="shared" si="568"/>
        <v>#N/A</v>
      </c>
      <c r="AI361" s="102" t="e">
        <f t="shared" si="569"/>
        <v>#N/A</v>
      </c>
      <c r="AJ361" s="414" t="e">
        <f>IF(AND(AF361&gt;NDC!$C$63,AG361&gt;NDC!$C$65,AH361&gt;NDC!$D$73,AI361&gt;NDC!$D$74,$B361&gt;NDC!$H$22-0.1+MIN(3*$AJ$12,1.5)),0,1)</f>
        <v>#N/A</v>
      </c>
      <c r="AK361" s="86" t="b">
        <f t="shared" si="539"/>
        <v>0</v>
      </c>
      <c r="AL361" s="86">
        <f t="shared" si="570"/>
        <v>0.5</v>
      </c>
      <c r="AM361" s="86">
        <f t="shared" si="540"/>
        <v>0.5</v>
      </c>
      <c r="AN361" s="30" t="e">
        <f t="shared" ca="1" si="571"/>
        <v>#DIV/0!</v>
      </c>
      <c r="AO361" s="85" t="e">
        <f ca="1">IF(U361&lt;=Hypothèses!$V$7,Hypothèses!$W$7,IF(U361&lt;=Hypothèses!$V$8,Hypothèses!$W$8,IF(U361&lt;=Hypothèses!$V$9,Hypothèses!$W$9,IF(U361&lt;=Hypothèses!$V$10,Hypothèses!$W$10,IF(U361&lt;=Hypothèses!$V$11,Hypothèses!$W$11,IF(U361&lt;=Hypothèses!$V$12,Hypothèses!$W$12,IF(U361&lt;=Hypothèses!$V$13,Hypothèses!$W$13,IF(U361&lt;=Hypothèses!$V$14,Hypothèses!$W$14,IF(U361&lt;=Hypothèses!$V$15,Hypothèses!$W$15,IF(U361&lt;=Hypothèses!$V$16,Hypothèses!$W$16,IF(U361&lt;=Hypothèses!$V$17,Hypothèses!$W$17,IF(U361&lt;=Hypothèses!$V$18,Hypothèses!$W$18,""))))))))))))</f>
        <v>#DIV/0!</v>
      </c>
      <c r="AP361" s="87" t="e">
        <f t="shared" ca="1" si="617"/>
        <v>#DIV/0!</v>
      </c>
      <c r="AQ361" s="88" t="e">
        <f ca="1">IF(U361&lt;=Hypothèses!$V$7,Hypothèses!$X$7,IF(U361&lt;=Hypothèses!$V$8,Hypothèses!$X$8,IF(U361&lt;=Hypothèses!$V$9,Hypothèses!$X$9,IF(U361&lt;=Hypothèses!$V$10,Hypothèses!$X$10,IF(U361&lt;=Hypothèses!$V$11,Hypothèses!$X$11,IF(U361&lt;=Hypothèses!$V$12,Hypothèses!$X$12,IF(U361&lt;=Hypothèses!$V$13,Hypothèses!$X$13,IF(U361&lt;=Hypothèses!$V$14,Hypothèses!$X$14,IF(U361&lt;=Hypothèses!$V$15,Hypothèses!$X$15,IF(U361&lt;=Hypothèses!$V$16,Hypothèses!$X$16,IF(U361&lt;=Hypothèses!$U$17,Hypothèses!$W$17,IF(U361&lt;=Hypothèses!$U$18,Hypothèses!$W$18,""))))))))))))</f>
        <v>#DIV/0!</v>
      </c>
      <c r="AR361" s="95" t="e">
        <f t="shared" ca="1" si="572"/>
        <v>#DIV/0!</v>
      </c>
      <c r="AS361" s="101">
        <f t="shared" si="624"/>
        <v>0</v>
      </c>
      <c r="AT361" s="91">
        <f t="shared" si="541"/>
        <v>0</v>
      </c>
      <c r="AU361" s="30" t="e">
        <f t="shared" si="602"/>
        <v>#N/A</v>
      </c>
      <c r="AV361" s="30" t="e">
        <f t="shared" si="603"/>
        <v>#N/A</v>
      </c>
      <c r="AW361" s="31" t="e">
        <f>IF(OR(Hypothèses!$B$4=17,Hypothèses!$B$4=18,Hypothèses!$B$4=19,Hypothèses!$B$4=20),
IF($D361="Pressio.",
IF(OR($E361=3,$E361=1,$E361=4),AV361,AU361),
IF($D361="Pénétro.",
IF(OR($E361=3,$E361=1,$E361=4),AV361,AU361))),IF($D361="Pressio.",
IF($E361=3,AV361,AU361),
IF($D361="Pénétro.",
IF($E361=4,AV361,AU361))))</f>
        <v>#N/A</v>
      </c>
      <c r="AX361" s="31">
        <v>0</v>
      </c>
      <c r="AY361" s="102" t="e">
        <f>IF(NDC!$H$10="Oui",(VLOOKUP($B$3,'Coeff EC7'!$T$39:$X$59,2,0)*AW361+VLOOKUP($B$3,'Coeff EC7'!$T$65:$X$85,2,0)*Model0.1T!AX361)/1.5,PI()*AU$12*$Q361*($B361-$B360)*0.15/10+AY360)</f>
        <v>#N/A</v>
      </c>
      <c r="AZ361" s="102" t="e">
        <f>(VLOOKUP($B$3,'Coeff EC7'!$T$39:$X$59,3,0)*AW361+VLOOKUP($B$3,'Coeff EC7'!$T$65:$X$85,3,0)*Model0.1T!AX361)/1.1</f>
        <v>#N/A</v>
      </c>
      <c r="BA361" s="102" t="e">
        <f t="shared" si="573"/>
        <v>#N/A</v>
      </c>
      <c r="BB361" s="102" t="e">
        <f t="shared" si="574"/>
        <v>#N/A</v>
      </c>
      <c r="BC361" s="414" t="e">
        <f>IF(AND(AY361&gt;NDC!$C$63,AZ361&gt;NDC!$C$65,BA361&gt;NDC!$D$73,BB361&gt;NDC!$D$74,$B361&gt;NDC!$H$22-0.1+MIN(3*BC$12,1.5)),0,1)</f>
        <v>#N/A</v>
      </c>
      <c r="BD361" s="86" t="b">
        <f t="shared" si="542"/>
        <v>0</v>
      </c>
      <c r="BE361" s="86">
        <f t="shared" si="575"/>
        <v>0.5</v>
      </c>
      <c r="BF361" s="86">
        <f t="shared" si="543"/>
        <v>0.5</v>
      </c>
      <c r="BG361" s="30" t="e">
        <f t="shared" ca="1" si="576"/>
        <v>#DIV/0!</v>
      </c>
      <c r="BH361" s="85" t="e">
        <f ca="1">IF(AN361&lt;=Hypothèses!$V$7,Hypothèses!$W$7,IF(AN361&lt;=Hypothèses!$V$8,Hypothèses!$W$8,IF(AN361&lt;=Hypothèses!$V$9,Hypothèses!$W$9,IF(AN361&lt;=Hypothèses!$V$10,Hypothèses!$W$10,IF(AN361&lt;=Hypothèses!$V$11,Hypothèses!$W$11,IF(AN361&lt;=Hypothèses!$V$12,Hypothèses!$W$12,IF(AN361&lt;=Hypothèses!$V$13,Hypothèses!$W$13,IF(AN361&lt;=Hypothèses!$V$14,Hypothèses!$W$14,IF(AN361&lt;=Hypothèses!$V$15,Hypothèses!$W$15,IF(AN361&lt;=Hypothèses!$V$16,Hypothèses!$W$16,IF(AN361&lt;=Hypothèses!$V$17,Hypothèses!$W$17,IF(AN361&lt;=Hypothèses!$V$18,Hypothèses!$W$18,""))))))))))))</f>
        <v>#DIV/0!</v>
      </c>
      <c r="BI361" s="87" t="e">
        <f t="shared" ca="1" si="618"/>
        <v>#DIV/0!</v>
      </c>
      <c r="BJ361" s="88" t="e">
        <f ca="1">IF(AN361&lt;=Hypothèses!$V$7,Hypothèses!$X$7,IF(AN361&lt;=Hypothèses!$V$8,Hypothèses!$X$8,IF(AN361&lt;=Hypothèses!$V$9,Hypothèses!$X$9,IF(AN361&lt;=Hypothèses!$V$10,Hypothèses!$X$10,IF(AN361&lt;=Hypothèses!$V$11,Hypothèses!$X$11,IF(AN361&lt;=Hypothèses!$V$12,Hypothèses!$X$12,IF(AN361&lt;=Hypothèses!$V$13,Hypothèses!$X$13,IF(AN361&lt;=Hypothèses!$V$14,Hypothèses!$X$14,IF(AN361&lt;=Hypothèses!$V$15,Hypothèses!$X$15,IF(AN361&lt;=Hypothèses!$V$16,Hypothèses!$X$16,IF(AN361&lt;=Hypothèses!$U$17,Hypothèses!$W$17,IF(AN361&lt;=Hypothèses!$U$18,Hypothèses!$W$18,""))))))))))))</f>
        <v>#DIV/0!</v>
      </c>
      <c r="BK361" s="95" t="e">
        <f t="shared" ca="1" si="577"/>
        <v>#DIV/0!</v>
      </c>
      <c r="BL361" s="101">
        <f t="shared" si="625"/>
        <v>0</v>
      </c>
      <c r="BM361" s="91">
        <f t="shared" si="544"/>
        <v>0</v>
      </c>
      <c r="BN361" s="30" t="e">
        <f t="shared" si="604"/>
        <v>#N/A</v>
      </c>
      <c r="BO361" s="30" t="e">
        <f t="shared" si="605"/>
        <v>#N/A</v>
      </c>
      <c r="BP361" s="31" t="e">
        <f>IF(OR(Hypothèses!$B$4=17,Hypothèses!$B$4=18,Hypothèses!$B$4=19,Hypothèses!$B$4=20),
IF($D361="Pressio.",
IF(OR($E361=3,$E361=1,$E361=4),BO361,BN361),
IF($D361="Pénétro.",
IF(OR($E361=3,$E361=1,$E361=4),BO361,BN361))),IF($D361="Pressio.",
IF($E361=3,BO361,BN361),
IF($D361="Pénétro.",
IF($E361=4,BO361,BN361))))</f>
        <v>#N/A</v>
      </c>
      <c r="BQ361" s="31">
        <v>0</v>
      </c>
      <c r="BR361" s="102" t="e">
        <f>IF(NDC!$H$10="Oui",(VLOOKUP($B$3,'Coeff EC7'!$T$39:$X$59,2,0)*BP361+VLOOKUP($B$3,'Coeff EC7'!$T$65:$X$85,2,0)*Model0.1T!BQ361)/1.5,PI()*BN$12*$Q361*($B361-$B360)*0.15/10+BR360)</f>
        <v>#N/A</v>
      </c>
      <c r="BS361" s="102" t="e">
        <f>(VLOOKUP($B$3,'Coeff EC7'!$T$39:$X$59,3,0)*BP361+VLOOKUP($B$3,'Coeff EC7'!$T$65:$X$85,3,0)*Model0.1T!BQ361)/1.1</f>
        <v>#N/A</v>
      </c>
      <c r="BT361" s="102" t="e">
        <f t="shared" si="578"/>
        <v>#N/A</v>
      </c>
      <c r="BU361" s="102" t="e">
        <f t="shared" si="579"/>
        <v>#N/A</v>
      </c>
      <c r="BV361" s="414" t="e">
        <f>IF(AND(BR361&gt;NDC!$C$63,BS361&gt;NDC!$C$65,BT361&gt;NDC!$D$73,BU361&gt;NDC!$D$74,$B361&gt;NDC!$H$22-0.1+MIN(3*BV$12,1.5)),0,1)</f>
        <v>#N/A</v>
      </c>
      <c r="BW361" s="86" t="b">
        <f t="shared" si="545"/>
        <v>0</v>
      </c>
      <c r="BX361" s="86">
        <f t="shared" si="546"/>
        <v>0.5</v>
      </c>
      <c r="BY361" s="86">
        <f t="shared" si="547"/>
        <v>0.5</v>
      </c>
      <c r="BZ361" s="30" t="e">
        <f t="shared" ca="1" si="580"/>
        <v>#DIV/0!</v>
      </c>
      <c r="CA361" s="85" t="e">
        <f ca="1">IF(BG361&lt;=Hypothèses!$V$7,Hypothèses!$W$7,IF(BG361&lt;=Hypothèses!$V$8,Hypothèses!$W$8,IF(BG361&lt;=Hypothèses!$V$9,Hypothèses!$W$9,IF(BG361&lt;=Hypothèses!$V$10,Hypothèses!$W$10,IF(BG361&lt;=Hypothèses!$V$11,Hypothèses!$W$11,IF(BG361&lt;=Hypothèses!$V$12,Hypothèses!$W$12,IF(BG361&lt;=Hypothèses!$V$13,Hypothèses!$W$13,IF(BG361&lt;=Hypothèses!$V$14,Hypothèses!$W$14,IF(BG361&lt;=Hypothèses!$V$15,Hypothèses!$W$15,IF(BG361&lt;=Hypothèses!$V$16,Hypothèses!$W$16,IF(BG361&lt;=Hypothèses!$V$17,Hypothèses!$W$17,IF(BG361&lt;=Hypothèses!$V$18,Hypothèses!$W$18,""))))))))))))</f>
        <v>#DIV/0!</v>
      </c>
      <c r="CB361" s="87" t="e">
        <f t="shared" ca="1" si="619"/>
        <v>#DIV/0!</v>
      </c>
      <c r="CC361" s="88" t="e">
        <f ca="1">IF(BG361&lt;=Hypothèses!$V$7,Hypothèses!$X$7,IF(BG361&lt;=Hypothèses!$V$8,Hypothèses!$X$8,IF(BG361&lt;=Hypothèses!$V$9,Hypothèses!$X$9,IF(BG361&lt;=Hypothèses!$V$10,Hypothèses!$X$10,IF(BG361&lt;=Hypothèses!$V$11,Hypothèses!$X$11,IF(BG361&lt;=Hypothèses!$V$12,Hypothèses!$X$12,IF(BG361&lt;=Hypothèses!$V$13,Hypothèses!$X$13,IF(BG361&lt;=Hypothèses!$V$14,Hypothèses!$X$14,IF(BG361&lt;=Hypothèses!$V$15,Hypothèses!$X$15,IF(BG361&lt;=Hypothèses!$V$16,Hypothèses!$X$16,IF(BG361&lt;=Hypothèses!$U$17,Hypothèses!$W$17,IF(BG361&lt;=Hypothèses!$U$18,Hypothèses!$W$18,""))))))))))))</f>
        <v>#DIV/0!</v>
      </c>
      <c r="CD361" s="95" t="e">
        <f t="shared" ca="1" si="581"/>
        <v>#DIV/0!</v>
      </c>
      <c r="CE361" s="101">
        <f t="shared" si="626"/>
        <v>0</v>
      </c>
      <c r="CF361" s="91">
        <f t="shared" si="548"/>
        <v>0</v>
      </c>
      <c r="CG361" s="30" t="e">
        <f t="shared" si="606"/>
        <v>#N/A</v>
      </c>
      <c r="CH361" s="30" t="e">
        <f t="shared" si="607"/>
        <v>#N/A</v>
      </c>
      <c r="CI361" s="31" t="e">
        <f>IF(OR(Hypothèses!$B$4=17,Hypothèses!$B$4=18,Hypothèses!$B$4=19,Hypothèses!$B$4=20),
IF($D361="Pressio.",
IF(OR($E361=3,$E361=1,$E361=4),CH361,CG361),
IF($D361="Pénétro.",
IF(OR($E361=3,$E361=1,$E361=4),CH361,CG361))),IF($D361="Pressio.",
IF($E361=3,CH361,CG361),
IF($D361="Pénétro.",
IF($E361=4,CH361,CG361))))</f>
        <v>#N/A</v>
      </c>
      <c r="CJ361" s="31">
        <v>0</v>
      </c>
      <c r="CK361" s="102" t="e">
        <f>IF(NDC!$H$10="Oui",(VLOOKUP($B$3,'Coeff EC7'!$T$39:$X$59,2,0)*CI361+VLOOKUP($B$3,'Coeff EC7'!$T$65:$X$85,2,0)*Model0.1T!CJ361)/1.5,PI()*CG$12*$Q361*($B361-$B360)*0.15/10+CK360)</f>
        <v>#N/A</v>
      </c>
      <c r="CL361" s="102" t="e">
        <f>(VLOOKUP($B$3,'Coeff EC7'!$T$39:$X$59,3,0)*CI361+VLOOKUP($B$3,'Coeff EC7'!$T$65:$X$85,3,0)*Model0.1T!CJ361)/1.1</f>
        <v>#N/A</v>
      </c>
      <c r="CM361" s="102" t="e">
        <f t="shared" si="582"/>
        <v>#N/A</v>
      </c>
      <c r="CN361" s="102" t="e">
        <f t="shared" si="583"/>
        <v>#N/A</v>
      </c>
      <c r="CO361" s="414" t="e">
        <f>IF(AND(CK361&gt;NDC!$C$63,CL361&gt;NDC!$C$65,CM361&gt;NDC!$D$73,CN361&gt;NDC!$D$74,$B361&gt;NDC!$H$22-0.1+MIN(3*CO$12,1.5)),0,1)</f>
        <v>#N/A</v>
      </c>
      <c r="CP361" s="86" t="b">
        <f t="shared" si="549"/>
        <v>0</v>
      </c>
      <c r="CQ361" s="86">
        <f t="shared" si="550"/>
        <v>0.5</v>
      </c>
      <c r="CR361" s="86">
        <f t="shared" si="551"/>
        <v>0.5</v>
      </c>
      <c r="CS361" s="30" t="e">
        <f t="shared" ca="1" si="584"/>
        <v>#DIV/0!</v>
      </c>
      <c r="CT361" s="85" t="e">
        <f ca="1">IF(BZ361&lt;=Hypothèses!$V$7,Hypothèses!$W$7,IF(BZ361&lt;=Hypothèses!$V$8,Hypothèses!$W$8,IF(BZ361&lt;=Hypothèses!$V$9,Hypothèses!$W$9,IF(BZ361&lt;=Hypothèses!$V$10,Hypothèses!$W$10,IF(BZ361&lt;=Hypothèses!$V$11,Hypothèses!$W$11,IF(BZ361&lt;=Hypothèses!$V$12,Hypothèses!$W$12,IF(BZ361&lt;=Hypothèses!$V$13,Hypothèses!$W$13,IF(BZ361&lt;=Hypothèses!$V$14,Hypothèses!$W$14,IF(BZ361&lt;=Hypothèses!$V$15,Hypothèses!$W$15,IF(BZ361&lt;=Hypothèses!$V$16,Hypothèses!$W$16,IF(BZ361&lt;=Hypothèses!$V$17,Hypothèses!$W$17,IF(BZ361&lt;=Hypothèses!$V$18,Hypothèses!$W$18,""))))))))))))</f>
        <v>#DIV/0!</v>
      </c>
      <c r="CU361" s="87" t="e">
        <f t="shared" ca="1" si="620"/>
        <v>#DIV/0!</v>
      </c>
      <c r="CV361" s="88" t="e">
        <f ca="1">IF(BZ361&lt;=Hypothèses!$V$7,Hypothèses!$X$7,IF(BZ361&lt;=Hypothèses!$V$8,Hypothèses!$X$8,IF(BZ361&lt;=Hypothèses!$V$9,Hypothèses!$X$9,IF(BZ361&lt;=Hypothèses!$V$10,Hypothèses!$X$10,IF(BZ361&lt;=Hypothèses!$V$11,Hypothèses!$X$11,IF(BZ361&lt;=Hypothèses!$V$12,Hypothèses!$X$12,IF(BZ361&lt;=Hypothèses!$V$13,Hypothèses!$X$13,IF(BZ361&lt;=Hypothèses!$V$14,Hypothèses!$X$14,IF(BZ361&lt;=Hypothèses!$V$15,Hypothèses!$X$15,IF(BZ361&lt;=Hypothèses!$V$16,Hypothèses!$X$16,IF(BZ361&lt;=Hypothèses!$U$17,Hypothèses!$W$17,IF(BZ361&lt;=Hypothèses!$U$18,Hypothèses!$W$18,""))))))))))))</f>
        <v>#DIV/0!</v>
      </c>
      <c r="CW361" s="95" t="e">
        <f t="shared" ca="1" si="585"/>
        <v>#DIV/0!</v>
      </c>
      <c r="CX361" s="101">
        <f t="shared" si="627"/>
        <v>0</v>
      </c>
      <c r="CY361" s="91">
        <f t="shared" si="552"/>
        <v>0</v>
      </c>
      <c r="CZ361" s="30" t="e">
        <f t="shared" si="608"/>
        <v>#N/A</v>
      </c>
      <c r="DA361" s="30" t="e">
        <f t="shared" si="609"/>
        <v>#N/A</v>
      </c>
      <c r="DB361" s="31" t="e">
        <f>IF(OR(Hypothèses!$B$4=17,Hypothèses!$B$4=18,Hypothèses!$B$4=19,Hypothèses!$B$4=20),
IF($D361="Pressio.",
IF(OR($E361=3,$E361=1,$E361=4),DA361,CZ361),
IF($D361="Pénétro.",
IF(OR($E361=3,$E361=1,$E361=4),DA361,CZ361))),IF($D361="Pressio.",
IF($E361=3,DA361,CZ361),
IF($D361="Pénétro.",
IF($E361=4,DA361,CZ361))))</f>
        <v>#N/A</v>
      </c>
      <c r="DC361" s="31">
        <v>0</v>
      </c>
      <c r="DD361" s="102" t="e">
        <f>IF(NDC!$H$10="Oui",(VLOOKUP($B$3,'Coeff EC7'!$T$39:$X$59,2,0)*DB361+VLOOKUP($B$3,'Coeff EC7'!$T$65:$X$85,2,0)*Model0.1T!DC361)/1.5,PI()*CZ$12*$Q361*($B361-$B360)*0.15/10+DD360)</f>
        <v>#N/A</v>
      </c>
      <c r="DE361" s="102" t="e">
        <f>(VLOOKUP($B$3,'Coeff EC7'!$T$39:$X$59,3,0)*DB361+VLOOKUP($B$3,'Coeff EC7'!$T$65:$X$85,3,0)*Model0.1T!DC361)/1.1</f>
        <v>#N/A</v>
      </c>
      <c r="DF361" s="102" t="e">
        <f t="shared" si="586"/>
        <v>#N/A</v>
      </c>
      <c r="DG361" s="102" t="e">
        <f t="shared" si="587"/>
        <v>#N/A</v>
      </c>
      <c r="DH361" s="414" t="e">
        <f>IF(AND(DD361&gt;NDC!$C$63,DE361&gt;NDC!$C$65,DF361&gt;NDC!$D$73,DG361&gt;NDC!$D$74,$B361&gt;NDC!$H$22-0.1+MIN(3*DH$12,1.5)),0,1)</f>
        <v>#N/A</v>
      </c>
      <c r="DI361" s="86" t="b">
        <f t="shared" si="553"/>
        <v>0</v>
      </c>
      <c r="DJ361" s="86">
        <f t="shared" si="554"/>
        <v>0.5</v>
      </c>
      <c r="DK361" s="86">
        <f t="shared" si="555"/>
        <v>0.5</v>
      </c>
      <c r="DL361" s="30" t="e">
        <f t="shared" ca="1" si="588"/>
        <v>#DIV/0!</v>
      </c>
      <c r="DM361" s="85" t="e">
        <f ca="1">IF(CS361&lt;=Hypothèses!$V$7,Hypothèses!$W$7,IF(CS361&lt;=Hypothèses!$V$8,Hypothèses!$W$8,IF(CS361&lt;=Hypothèses!$V$9,Hypothèses!$W$9,IF(CS361&lt;=Hypothèses!$V$10,Hypothèses!$W$10,IF(CS361&lt;=Hypothèses!$V$11,Hypothèses!$W$11,IF(CS361&lt;=Hypothèses!$V$12,Hypothèses!$W$12,IF(CS361&lt;=Hypothèses!$V$13,Hypothèses!$W$13,IF(CS361&lt;=Hypothèses!$V$14,Hypothèses!$W$14,IF(CS361&lt;=Hypothèses!$V$15,Hypothèses!$W$15,IF(CS361&lt;=Hypothèses!$V$16,Hypothèses!$W$16,IF(CS361&lt;=Hypothèses!$V$17,Hypothèses!$W$17,IF(CS361&lt;=Hypothèses!$V$18,Hypothèses!$W$18,""))))))))))))</f>
        <v>#DIV/0!</v>
      </c>
      <c r="DN361" s="87" t="e">
        <f t="shared" ca="1" si="621"/>
        <v>#DIV/0!</v>
      </c>
      <c r="DO361" s="88" t="e">
        <f ca="1">IF(CS361&lt;=Hypothèses!$V$7,Hypothèses!$X$7,IF(CS361&lt;=Hypothèses!$V$8,Hypothèses!$X$8,IF(CS361&lt;=Hypothèses!$V$9,Hypothèses!$X$9,IF(CS361&lt;=Hypothèses!$V$10,Hypothèses!$X$10,IF(CS361&lt;=Hypothèses!$V$11,Hypothèses!$X$11,IF(CS361&lt;=Hypothèses!$V$12,Hypothèses!$X$12,IF(CS361&lt;=Hypothèses!$V$13,Hypothèses!$X$13,IF(CS361&lt;=Hypothèses!$V$14,Hypothèses!$X$14,IF(CS361&lt;=Hypothèses!$V$15,Hypothèses!$X$15,IF(CS361&lt;=Hypothèses!$V$16,Hypothèses!$X$16,IF(CS361&lt;=Hypothèses!$U$17,Hypothèses!$W$17,IF(CS361&lt;=Hypothèses!$U$18,Hypothèses!$W$18,""))))))))))))</f>
        <v>#DIV/0!</v>
      </c>
      <c r="DP361" s="95" t="e">
        <f t="shared" ca="1" si="589"/>
        <v>#DIV/0!</v>
      </c>
      <c r="DQ361" s="101">
        <f t="shared" si="628"/>
        <v>0</v>
      </c>
      <c r="DR361" s="91">
        <f t="shared" si="556"/>
        <v>0</v>
      </c>
      <c r="DS361" s="30" t="e">
        <f t="shared" si="610"/>
        <v>#N/A</v>
      </c>
      <c r="DT361" s="30" t="e">
        <f t="shared" si="611"/>
        <v>#N/A</v>
      </c>
      <c r="DU361" s="31" t="e">
        <f>IF(OR(Hypothèses!$B$4=17,Hypothèses!$B$4=18,Hypothèses!$B$4=19,Hypothèses!$B$4=20),
IF($D361="Pressio.",
IF(OR($E361=3,$E361=1,$E361=4),DT361,DS361),
IF($D361="Pénétro.",
IF(OR($E361=3,$E361=1,$E361=4),DT361,DS361))),IF($D361="Pressio.",
IF($E361=3,DT361,DS361),
IF($D361="Pénétro.",
IF($E361=4,DT361,DS361))))</f>
        <v>#N/A</v>
      </c>
      <c r="DV361" s="31">
        <v>0</v>
      </c>
      <c r="DW361" s="102" t="e">
        <f>IF(NDC!$H$10="Oui",(VLOOKUP($B$3,'Coeff EC7'!$T$39:$X$59,2,0)*DU361+VLOOKUP($B$3,'Coeff EC7'!$T$65:$X$85,2,0)*Model0.1T!DV361)/1.5,PI()*DS$12*$Q361*($B361-$B360)*0.15/10+DW360)</f>
        <v>#N/A</v>
      </c>
      <c r="DX361" s="102" t="e">
        <f>(VLOOKUP($B$3,'Coeff EC7'!$T$39:$X$59,3,0)*DU361+VLOOKUP($B$3,'Coeff EC7'!$T$65:$X$85,3,0)*Model0.1T!DV361)/1.1</f>
        <v>#N/A</v>
      </c>
      <c r="DY361" s="102" t="e">
        <f t="shared" si="590"/>
        <v>#N/A</v>
      </c>
      <c r="DZ361" s="102" t="e">
        <f t="shared" si="591"/>
        <v>#N/A</v>
      </c>
      <c r="EA361" s="414" t="e">
        <f>IF(AND(DW361&gt;NDC!$C$63,DX361&gt;NDC!$C$65,DY361&gt;NDC!$D$73,DZ361&gt;NDC!$D$74,$B361&gt;NDC!$H$22-0.1+MIN(3*EA$12,1.5)),0,1)</f>
        <v>#N/A</v>
      </c>
      <c r="EB361" s="86" t="b">
        <f t="shared" si="557"/>
        <v>0</v>
      </c>
      <c r="EC361" s="418">
        <f t="shared" si="558"/>
        <v>0.51</v>
      </c>
      <c r="ED361" s="86">
        <f t="shared" si="559"/>
        <v>0.51</v>
      </c>
      <c r="EE361" s="30" t="e">
        <f t="shared" ca="1" si="592"/>
        <v>#DIV/0!</v>
      </c>
      <c r="EF361" s="85" t="e">
        <f ca="1">IF(DL361&lt;=Hypothèses!$V$7,Hypothèses!$W$7,IF(DL361&lt;=Hypothèses!$V$8,Hypothèses!$W$8,IF(DL361&lt;=Hypothèses!$V$9,Hypothèses!$W$9,IF(DL361&lt;=Hypothèses!$V$10,Hypothèses!$W$10,IF(DL361&lt;=Hypothèses!$V$11,Hypothèses!$W$11,IF(DL361&lt;=Hypothèses!$V$12,Hypothèses!$W$12,IF(DL361&lt;=Hypothèses!$V$13,Hypothèses!$W$13,IF(DL361&lt;=Hypothèses!$V$14,Hypothèses!$W$14,IF(DL361&lt;=Hypothèses!$V$15,Hypothèses!$W$15,IF(DL361&lt;=Hypothèses!$V$16,Hypothèses!$W$16,IF(DL361&lt;=Hypothèses!$V$17,Hypothèses!$W$17,IF(DL361&lt;=Hypothèses!$V$18,Hypothèses!$W$18,""))))))))))))</f>
        <v>#DIV/0!</v>
      </c>
      <c r="EG361" s="87" t="e">
        <f t="shared" ca="1" si="622"/>
        <v>#DIV/0!</v>
      </c>
      <c r="EH361" s="88" t="e">
        <f ca="1">IF(DL361&lt;=Hypothèses!$V$7,Hypothèses!$X$7,IF(DL361&lt;=Hypothèses!$V$8,Hypothèses!$X$8,IF(DL361&lt;=Hypothèses!$V$9,Hypothèses!$X$9,IF(DL361&lt;=Hypothèses!$V$10,Hypothèses!$X$10,IF(DL361&lt;=Hypothèses!$V$11,Hypothèses!$X$11,IF(DL361&lt;=Hypothèses!$V$12,Hypothèses!$X$12,IF(DL361&lt;=Hypothèses!$V$13,Hypothèses!$X$13,IF(DL361&lt;=Hypothèses!$V$14,Hypothèses!$X$14,IF(DL361&lt;=Hypothèses!$V$15,Hypothèses!$X$15,IF(DL361&lt;=Hypothèses!$V$16,Hypothèses!$X$16,IF(DL361&lt;=Hypothèses!$U$17,Hypothèses!$W$17,IF(DL361&lt;=Hypothèses!$U$18,Hypothèses!$W$18,""))))))))))))</f>
        <v>#DIV/0!</v>
      </c>
      <c r="EI361" s="95" t="e">
        <f t="shared" ca="1" si="593"/>
        <v>#DIV/0!</v>
      </c>
      <c r="EJ361" s="101">
        <f t="shared" si="629"/>
        <v>0</v>
      </c>
      <c r="EK361" s="91">
        <f t="shared" si="560"/>
        <v>0</v>
      </c>
      <c r="EL361" s="30" t="e">
        <f t="shared" si="612"/>
        <v>#N/A</v>
      </c>
      <c r="EM361" s="30" t="e">
        <f t="shared" si="613"/>
        <v>#N/A</v>
      </c>
      <c r="EN361" s="31" t="e">
        <f>IF(OR(Hypothèses!$B$4=17,Hypothèses!$B$4=18,Hypothèses!$B$4=19,Hypothèses!$B$4=20),
IF($D361="Pressio.",
IF(OR($E361=3,$E361=1,$E361=4),EM361,EL361),
IF($D361="Pénétro.",
IF(OR($E361=3,$E361=1,$E361=4),EM361,EL361))),IF($D361="Pressio.",
IF($E361=3,EM361,EL361),
IF($D361="Pénétro.",
IF($E361=4,EM361,EL361))))</f>
        <v>#N/A</v>
      </c>
      <c r="EO361" s="31">
        <v>0</v>
      </c>
      <c r="EP361" s="102" t="e">
        <f>IF(NDC!$H$10="Oui",(VLOOKUP($B$3,'Coeff EC7'!$T$39:$X$59,2,0)*EN361+VLOOKUP($B$3,'Coeff EC7'!$T$65:$X$85,2,0)*Model0.1T!EO361)/1.5,PI()*EL$12*$Q361*($B361-$B360)*0.15/10+EP360)</f>
        <v>#N/A</v>
      </c>
      <c r="EQ361" s="102" t="e">
        <f>(VLOOKUP($B$3,'Coeff EC7'!$T$39:$X$59,3,0)*EN361+VLOOKUP($B$3,'Coeff EC7'!$T$65:$X$85,3,0)*Model0.1T!EO361)/1.1</f>
        <v>#N/A</v>
      </c>
      <c r="ER361" s="102" t="e">
        <f t="shared" si="594"/>
        <v>#N/A</v>
      </c>
      <c r="ES361" s="102" t="e">
        <f t="shared" si="595"/>
        <v>#N/A</v>
      </c>
      <c r="ET361" s="414" t="e">
        <f>IF(AND(EP361&gt;NDC!$C$63,EQ361&gt;NDC!$C$65,ER361&gt;NDC!$D$73,ES361&gt;NDC!$D$74,$B361&gt;NDC!$H$22-0.1+MIN(3*ET$12,1.5)),0,1)</f>
        <v>#N/A</v>
      </c>
      <c r="EU361" s="86" t="b">
        <f t="shared" si="561"/>
        <v>0</v>
      </c>
      <c r="EV361" s="86">
        <f t="shared" si="562"/>
        <v>0.61</v>
      </c>
      <c r="EW361" s="86">
        <f t="shared" si="563"/>
        <v>0.61</v>
      </c>
      <c r="EX361" s="30" t="e">
        <f t="shared" ca="1" si="596"/>
        <v>#DIV/0!</v>
      </c>
      <c r="EY361" s="85" t="e">
        <f ca="1">IF(EE361&lt;=Hypothèses!$V$7,Hypothèses!$W$7,IF(EE361&lt;=Hypothèses!$V$8,Hypothèses!$W$8,IF(EE361&lt;=Hypothèses!$V$9,Hypothèses!$W$9,IF(EE361&lt;=Hypothèses!$V$10,Hypothèses!$W$10,IF(EE361&lt;=Hypothèses!$V$11,Hypothèses!$W$11,IF(EE361&lt;=Hypothèses!$V$12,Hypothèses!$W$12,IF(EE361&lt;=Hypothèses!$V$13,Hypothèses!$W$13,IF(EE361&lt;=Hypothèses!$V$14,Hypothèses!$W$14,IF(EE361&lt;=Hypothèses!$V$15,Hypothèses!$W$15,IF(EE361&lt;=Hypothèses!$V$16,Hypothèses!$W$16,IF(EE361&lt;=Hypothèses!$V$17,Hypothèses!$W$17,IF(EE361&lt;=Hypothèses!$V$18,Hypothèses!$W$18,""))))))))))))</f>
        <v>#DIV/0!</v>
      </c>
      <c r="EZ361" s="87" t="e">
        <f t="shared" ca="1" si="623"/>
        <v>#DIV/0!</v>
      </c>
      <c r="FA361" s="88" t="e">
        <f ca="1">IF(EE361&lt;=Hypothèses!$V$7,Hypothèses!$X$7,IF(EE361&lt;=Hypothèses!$V$8,Hypothèses!$X$8,IF(EE361&lt;=Hypothèses!$V$9,Hypothèses!$X$9,IF(EE361&lt;=Hypothèses!$V$10,Hypothèses!$X$10,IF(EE361&lt;=Hypothèses!$V$11,Hypothèses!$X$11,IF(EE361&lt;=Hypothèses!$V$12,Hypothèses!$X$12,IF(EE361&lt;=Hypothèses!$V$13,Hypothèses!$X$13,IF(EE361&lt;=Hypothèses!$V$14,Hypothèses!$X$14,IF(EE361&lt;=Hypothèses!$V$15,Hypothèses!$X$15,IF(EE361&lt;=Hypothèses!$V$16,Hypothèses!$X$16,IF(EE361&lt;=Hypothèses!$U$17,Hypothèses!$W$17,IF(EE361&lt;=Hypothèses!$U$18,Hypothèses!$W$18,""))))))))))))</f>
        <v>#DIV/0!</v>
      </c>
      <c r="FB361" s="95" t="e">
        <f t="shared" ca="1" si="597"/>
        <v>#DIV/0!</v>
      </c>
      <c r="FC361" s="101">
        <f t="shared" si="630"/>
        <v>0</v>
      </c>
      <c r="FD361" s="91">
        <f t="shared" si="564"/>
        <v>0</v>
      </c>
      <c r="FE361" s="30" t="e">
        <f t="shared" si="614"/>
        <v>#N/A</v>
      </c>
      <c r="FF361" s="30" t="e">
        <f t="shared" si="615"/>
        <v>#N/A</v>
      </c>
      <c r="FG361" s="31" t="e">
        <f>IF(OR(Hypothèses!$B$4=17,Hypothèses!$B$4=18,Hypothèses!$B$4=19,Hypothèses!$B$4=20),
IF($D361="Pressio.",
IF(OR($E361=3,$E361=1,$E361=4),FF361,FE361),
IF($D361="Pénétro.",
IF(OR($E361=3,$E361=1,$E361=4),FF361,FE361))),IF($D361="Pressio.",
IF($E361=3,FF361,FE361),
IF($D361="Pénétro.",
IF($E361=4,FF361,FE361))))</f>
        <v>#N/A</v>
      </c>
      <c r="FH361" s="31">
        <v>0</v>
      </c>
      <c r="FI361" s="102" t="e">
        <f>IF(NDC!$H$10="Oui",(VLOOKUP($B$3,'Coeff EC7'!$T$39:$X$59,2,0)*FG361+VLOOKUP($B$3,'Coeff EC7'!$T$65:$X$85,2,0)*Model0.1T!FH361)/1.5,PI()*FE$12*$Q361*($B361-$B360)*0.15/10+FI360)</f>
        <v>#N/A</v>
      </c>
      <c r="FJ361" s="102" t="e">
        <f>(VLOOKUP($B$3,'Coeff EC7'!$T$39:$X$59,3,0)*FG361+VLOOKUP($B$3,'Coeff EC7'!$T$65:$X$85,3,0)*Model0.1T!FH361)/1.1</f>
        <v>#N/A</v>
      </c>
      <c r="FK361" s="102" t="e">
        <f t="shared" si="598"/>
        <v>#N/A</v>
      </c>
      <c r="FL361" s="102" t="e">
        <f t="shared" si="599"/>
        <v>#N/A</v>
      </c>
      <c r="FM361" s="414" t="e">
        <f>IF(AND(FI361&gt;NDC!$C$63,FJ361&gt;NDC!$C$65,FK361&gt;NDC!$D$73,FL361&gt;NDC!$D$74,$B361&gt;NDC!$H$22-0.1+MIN(3*FM$12,1.5)),0,1)</f>
        <v>#N/A</v>
      </c>
    </row>
    <row r="362" spans="1:169">
      <c r="A362" s="96">
        <f t="shared" si="565"/>
        <v>65.100000000001984</v>
      </c>
      <c r="B362" s="97">
        <v>34.9</v>
      </c>
      <c r="C362" s="81">
        <f>IF(B362&lt;=Hypothèses!$C$7,Hypothèses!$A$7,IF(B362&lt;=Hypothèses!$C$8,Hypothèses!$A$8,IF(B362&lt;=Hypothèses!$C$9,Hypothèses!$A$9,IF(B362&lt;=Hypothèses!$C$10,Hypothèses!$A$10,IF(B362&lt;=Hypothèses!$C$11,Hypothèses!$A$11,IF(B362&lt;=Hypothèses!$C$12,Hypothèses!$A$12,IF(B362&lt;=Hypothèses!$C$13,Hypothèses!$A$13,IF(B362&lt;=Hypothèses!$C$14,Hypothèses!$A$14,IF(B362&lt;=Hypothèses!$C$15,Hypothèses!$A$15,IF(B362&lt;=Hypothèses!$C$16,Hypothèses!$A$16,IF(B362&lt;=Hypothèses!$C$17,Hypothèses!$A$17,IF(B362&lt;=Hypothèses!$C$18,Hypothèses!$A$18,C361))))))))))))</f>
        <v>11</v>
      </c>
      <c r="D362" s="82" t="str">
        <f>IF(B362&lt;=Hypothèses!$C$7,Hypothèses!$R$7,IF(B362&lt;=Hypothèses!$C$8,Hypothèses!$R$8,IF(B362&lt;=Hypothèses!$C$9,Hypothèses!$R$9,IF(B362&lt;=Hypothèses!$C$10,Hypothèses!$R$10,IF(B362&lt;=Hypothèses!$C$11,Hypothèses!$R$11,IF(B362&lt;=Hypothèses!$C$12,Hypothèses!$R$12,IF(B362&lt;=Hypothèses!$C$13,Hypothèses!$R$13,IF(B362&lt;=Hypothèses!$C$14,Hypothèses!$R$14,IF(B362&lt;=Hypothèses!$C$15,Hypothèses!$R$15,IF(B362&lt;=Hypothèses!$C$16,Hypothèses!$R$16,IF(B362&lt;=Hypothèses!$C$17,Hypothèses!$R$17,IF(B362&lt;=Hypothèses!$C$18,Hypothèses!$R$18,D361))))))))))))</f>
        <v>Pressio.</v>
      </c>
      <c r="E362" s="82" t="e">
        <f>IF(B362&lt;=Hypothèses!$C$7,Hypothèses!$G$7,IF(B362&lt;=Hypothèses!$C$8,Hypothèses!$G$8,IF(B362&lt;=Hypothèses!$C$9,Hypothèses!$G$9,IF(B362&lt;=Hypothèses!$C$10,Hypothèses!$G$10,IF(B362&lt;=Hypothèses!$C$11,Hypothèses!$G$11,IF(B362&lt;=Hypothèses!$C$12,Hypothèses!$G$12,IF(B362&lt;=Hypothèses!$C$13,Hypothèses!$G$13,IF(B362&lt;=Hypothèses!$C$14,Hypothèses!$G$14,IF(B362&lt;=Hypothèses!$C$15,Hypothèses!$G$15,IF(B362&lt;=Hypothèses!$C$16,Hypothèses!$G$16,IF(B362&lt;=Hypothèses!$C$17,Hypothèses!$G$17,IF(B362&lt;=Hypothèses!$C$18,Hypothèses!$G$18,E361))))))))))))</f>
        <v>#N/A</v>
      </c>
      <c r="F362" s="82" t="str">
        <f>IF(B362&lt;=Hypothèses!$C$7,Hypothèses!$F$7,IF(B362&lt;=Hypothèses!$C$8,Hypothèses!$F$8,IF(B362&lt;=Hypothèses!$C$9,Hypothèses!$F$9,IF(B362&lt;=Hypothèses!$C$10,Hypothèses!$F$10,IF(B362&lt;=Hypothèses!$C$11,Hypothèses!$F$11,IF(B362&lt;=Hypothèses!$C$12,Hypothèses!$F$12,IF(B362&lt;=Hypothèses!$C$13,Hypothèses!$F$13,IF(B362&lt;=Hypothèses!$C$14,Hypothèses!$F$14,IF(B362&lt;=Hypothèses!$C$15,Hypothèses!$F$15,IF(B362&lt;=Hypothèses!$C$16,Hypothèses!$F$16,IF(B362&lt;=Hypothèses!$C$17,Hypothèses!$F$17,IF(B362&lt;=Hypothèses!$C$18,Hypothèses!$F$18,F361))))))))))))</f>
        <v/>
      </c>
      <c r="G362" s="91">
        <f t="array" ref="G362">INDEX('Coeff EC7'!$U$7:$X$27,
MATCH(Model0.1T!$B$3,'Coeff EC7'!$T$7:$T$27,0),
MATCH(Model0.1T!$D362&amp;Model0.1T!$B$4,
'Coeff EC7'!$U$6:$X$6&amp;
'Coeff EC7'!$U$5:$X$5,0))</f>
        <v>1.4</v>
      </c>
      <c r="H362" s="91">
        <f t="array" ref="H362">INDEX('Coeff EC7'!$Y$7:$AB$27,
MATCH(Model0.1T!$B$3,'Coeff EC7'!$T$7:$T$27,0),
MATCH(Model0.1T!$D362&amp;Model0.1T!$B$4,
'Coeff EC7'!$Y$6:$AB$6&amp;
'Coeff EC7'!$Y$5:$AB$5,0))</f>
        <v>1.7</v>
      </c>
      <c r="I362" s="83">
        <v>0</v>
      </c>
      <c r="J362" s="91" t="e">
        <f t="array" ref="J362">INDEX('Coeff EC7'!$D$33:$Q$33,1,MATCH(D362&amp;E362,'Coeff EC7'!$D$31:$Q$31&amp;'Coeff EC7'!$D$32:$Q$32,0))</f>
        <v>#N/A</v>
      </c>
      <c r="K362" s="91" t="e">
        <f t="array" ref="K362">INDEX('Coeff EC7'!$D$34:$Q$34,1,MATCH(D362&amp;E362,'Coeff EC7'!$D$31:$Q$31&amp;'Coeff EC7'!$D$32:$Q$32,0))</f>
        <v>#N/A</v>
      </c>
      <c r="L362" s="91" t="e">
        <f t="array" ref="L362">INDEX('Coeff EC7'!$D$35:$Q$35,1,MATCH(D362&amp;E362,'Coeff EC7'!$D$31:$Q$31&amp;'Coeff EC7'!$D$32:$Q$32,0))</f>
        <v>#N/A</v>
      </c>
      <c r="M362" s="98" t="e">
        <f t="shared" si="531"/>
        <v>#N/A</v>
      </c>
      <c r="N362" s="99" t="e">
        <f t="array" ref="N362">INDEX('Coeff EC7'!$D$7:$Q$27,MATCH($B$3,'Coeff EC7'!$C$7:$C$27,0),MATCH(D362&amp;E362,'Coeff EC7'!$D$5:$Q$5&amp;'Coeff EC7'!$D$6:$Q$6,0))</f>
        <v>#N/A</v>
      </c>
      <c r="O362" s="99" t="e">
        <f t="array" ref="O362">INDEX('Coeff EC7'!$D$41:$Q$61,MATCH($B$3,'Coeff EC7'!$C$41:$C$61,0),MATCH(D362&amp;E362,'Coeff EC7'!$D$39:$Q$39&amp;'Coeff EC7'!$D$40:$Q$40,0))</f>
        <v>#N/A</v>
      </c>
      <c r="P362" s="30" t="e">
        <f t="shared" si="566"/>
        <v>#N/A</v>
      </c>
      <c r="Q362" s="100" t="e">
        <f t="shared" si="533"/>
        <v>#N/A</v>
      </c>
      <c r="R362" s="86" t="b">
        <f t="shared" si="534"/>
        <v>0</v>
      </c>
      <c r="S362" s="86">
        <f t="shared" si="532"/>
        <v>0.5</v>
      </c>
      <c r="T362" s="86">
        <f t="shared" si="535"/>
        <v>0.5</v>
      </c>
      <c r="U362" s="30" t="e">
        <f t="shared" ca="1" si="567"/>
        <v>#DIV/0!</v>
      </c>
      <c r="V362" s="85" t="str">
        <f>IF(B362&lt;=Hypothèses!$V$7,Hypothèses!$W$7,IF(B362&lt;=Hypothèses!$V$8,Hypothèses!$W$8,IF(B362&lt;=Hypothèses!$V$9,Hypothèses!$W$9,IF(B362&lt;=Hypothèses!$V$10,Hypothèses!$W$10,IF(B362&lt;=Hypothèses!$V$11,Hypothèses!$W$11,IF(B362&lt;=Hypothèses!$V$12,Hypothèses!$W$12,IF(B362&lt;=Hypothèses!$V$13,Hypothèses!$W$13,IF(B362&lt;=Hypothèses!$V$14,Hypothèses!$W$14,IF(B362&lt;=Hypothèses!$V$15,Hypothèses!$W$15,IF(B362&lt;=Hypothèses!$V$16,Hypothèses!$W$16,IF(B362&lt;=Hypothèses!$V$17,Hypothèses!$W$17,IF(B362&lt;=Hypothèses!$V$18,Hypothèses!$W$18,""))))))))))))</f>
        <v/>
      </c>
      <c r="W362" s="87" t="e">
        <f t="shared" ca="1" si="616"/>
        <v>#DIV/0!</v>
      </c>
      <c r="X362" s="88" t="str">
        <f>IF(B362&lt;=Hypothèses!$V$7,Hypothèses!$X$7,IF(B362&lt;=Hypothèses!$V$8,Hypothèses!$X$8,IF(B362&lt;=Hypothèses!$V$9,Hypothèses!$X$9,IF(B362&lt;=Hypothèses!$V$10,Hypothèses!$X$10,IF(B362&lt;=Hypothèses!$V$11,Hypothèses!$X$11,IF(B362&lt;=Hypothèses!$V$12,Hypothèses!$X$12,IF(B362&lt;=Hypothèses!$V$13,Hypothèses!$X$13,IF(B362&lt;=Hypothèses!$V$14,Hypothèses!$X$14,IF(B362&lt;=Hypothèses!$V$15,Hypothèses!$X$15,IF(B362&lt;=Hypothèses!$V$16,Hypothèses!$X$16,IF(B362&lt;=Hypothèses!$U$17,Hypothèses!$W$17,IF(B362&lt;=Hypothèses!$U$18,Hypothèses!$W$18,""))))))))))))</f>
        <v/>
      </c>
      <c r="Y362" s="95" t="e">
        <f t="shared" ca="1" si="536"/>
        <v>#DIV/0!</v>
      </c>
      <c r="Z362" s="101">
        <f t="shared" si="537"/>
        <v>0</v>
      </c>
      <c r="AA362" s="91">
        <f t="shared" si="538"/>
        <v>0</v>
      </c>
      <c r="AB362" s="30" t="e">
        <f t="shared" si="600"/>
        <v>#N/A</v>
      </c>
      <c r="AC362" s="30" t="e">
        <f t="shared" si="601"/>
        <v>#N/A</v>
      </c>
      <c r="AD362" s="31" t="e">
        <f>IF(OR(Hypothèses!$B$4=17,Hypothèses!$B$4=18,Hypothèses!$B$4=19,Hypothèses!$B$4=20),
IF($D362="Pressio.",
IF(OR($E362=3,$E362=1,$E362=4),AC362,AB362),
IF($D362="Pénétro.",
IF(OR($E362=3,$E362=1,$E362=4),AC362,AB362))),IF($D362="Pressio.",
IF($E362=3,AC362,AB362),
IF($D362="Pénétro.",
IF($E362=4,AC362,AB362))))</f>
        <v>#N/A</v>
      </c>
      <c r="AE362" s="31">
        <v>0</v>
      </c>
      <c r="AF362" s="102" t="e">
        <f>IF(NDC!$H$10="Oui",(VLOOKUP($B$3,'Coeff EC7'!$T$39:$X$59,2,0)*AD362+VLOOKUP($B$3,'Coeff EC7'!$T$65:$X$85,2,0)*Model0.1T!AE362)/1.5,PI()*AB$12*$Q362*($B362-$B361)*0.15/10+AF361)</f>
        <v>#N/A</v>
      </c>
      <c r="AG362" s="102" t="e">
        <f>(VLOOKUP($B$3,'Coeff EC7'!$T$39:$X$59,3,0)*AD362+VLOOKUP($B$3,'Coeff EC7'!$T$65:$X$85,3,0)*Model0.1T!AE362)/1.1</f>
        <v>#N/A</v>
      </c>
      <c r="AH362" s="102" t="e">
        <f t="shared" si="568"/>
        <v>#N/A</v>
      </c>
      <c r="AI362" s="102" t="e">
        <f t="shared" si="569"/>
        <v>#N/A</v>
      </c>
      <c r="AJ362" s="414" t="e">
        <f>IF(AND(AF362&gt;NDC!$C$63,AG362&gt;NDC!$C$65,AH362&gt;NDC!$D$73,AI362&gt;NDC!$D$74,$B362&gt;NDC!$H$22-0.1+MIN(3*$AJ$12,1.5)),0,1)</f>
        <v>#N/A</v>
      </c>
      <c r="AK362" s="86" t="b">
        <f t="shared" si="539"/>
        <v>0</v>
      </c>
      <c r="AL362" s="86">
        <f t="shared" si="570"/>
        <v>0.5</v>
      </c>
      <c r="AM362" s="86">
        <f t="shared" si="540"/>
        <v>0.5</v>
      </c>
      <c r="AN362" s="30" t="e">
        <f t="shared" ca="1" si="571"/>
        <v>#DIV/0!</v>
      </c>
      <c r="AO362" s="85" t="e">
        <f ca="1">IF(U362&lt;=Hypothèses!$V$7,Hypothèses!$W$7,IF(U362&lt;=Hypothèses!$V$8,Hypothèses!$W$8,IF(U362&lt;=Hypothèses!$V$9,Hypothèses!$W$9,IF(U362&lt;=Hypothèses!$V$10,Hypothèses!$W$10,IF(U362&lt;=Hypothèses!$V$11,Hypothèses!$W$11,IF(U362&lt;=Hypothèses!$V$12,Hypothèses!$W$12,IF(U362&lt;=Hypothèses!$V$13,Hypothèses!$W$13,IF(U362&lt;=Hypothèses!$V$14,Hypothèses!$W$14,IF(U362&lt;=Hypothèses!$V$15,Hypothèses!$W$15,IF(U362&lt;=Hypothèses!$V$16,Hypothèses!$W$16,IF(U362&lt;=Hypothèses!$V$17,Hypothèses!$W$17,IF(U362&lt;=Hypothèses!$V$18,Hypothèses!$W$18,""))))))))))))</f>
        <v>#DIV/0!</v>
      </c>
      <c r="AP362" s="87" t="e">
        <f t="shared" ca="1" si="617"/>
        <v>#DIV/0!</v>
      </c>
      <c r="AQ362" s="88" t="e">
        <f ca="1">IF(U362&lt;=Hypothèses!$V$7,Hypothèses!$X$7,IF(U362&lt;=Hypothèses!$V$8,Hypothèses!$X$8,IF(U362&lt;=Hypothèses!$V$9,Hypothèses!$X$9,IF(U362&lt;=Hypothèses!$V$10,Hypothèses!$X$10,IF(U362&lt;=Hypothèses!$V$11,Hypothèses!$X$11,IF(U362&lt;=Hypothèses!$V$12,Hypothèses!$X$12,IF(U362&lt;=Hypothèses!$V$13,Hypothèses!$X$13,IF(U362&lt;=Hypothèses!$V$14,Hypothèses!$X$14,IF(U362&lt;=Hypothèses!$V$15,Hypothèses!$X$15,IF(U362&lt;=Hypothèses!$V$16,Hypothèses!$X$16,IF(U362&lt;=Hypothèses!$U$17,Hypothèses!$W$17,IF(U362&lt;=Hypothèses!$U$18,Hypothèses!$W$18,""))))))))))))</f>
        <v>#DIV/0!</v>
      </c>
      <c r="AR362" s="95" t="e">
        <f t="shared" ca="1" si="572"/>
        <v>#DIV/0!</v>
      </c>
      <c r="AS362" s="101">
        <f t="shared" si="624"/>
        <v>0</v>
      </c>
      <c r="AT362" s="91">
        <f t="shared" si="541"/>
        <v>0</v>
      </c>
      <c r="AU362" s="30" t="e">
        <f t="shared" si="602"/>
        <v>#N/A</v>
      </c>
      <c r="AV362" s="30" t="e">
        <f t="shared" si="603"/>
        <v>#N/A</v>
      </c>
      <c r="AW362" s="31" t="e">
        <f>IF(OR(Hypothèses!$B$4=17,Hypothèses!$B$4=18,Hypothèses!$B$4=19,Hypothèses!$B$4=20),
IF($D362="Pressio.",
IF(OR($E362=3,$E362=1,$E362=4),AV362,AU362),
IF($D362="Pénétro.",
IF(OR($E362=3,$E362=1,$E362=4),AV362,AU362))),IF($D362="Pressio.",
IF($E362=3,AV362,AU362),
IF($D362="Pénétro.",
IF($E362=4,AV362,AU362))))</f>
        <v>#N/A</v>
      </c>
      <c r="AX362" s="31">
        <v>0</v>
      </c>
      <c r="AY362" s="102" t="e">
        <f>IF(NDC!$H$10="Oui",(VLOOKUP($B$3,'Coeff EC7'!$T$39:$X$59,2,0)*AW362+VLOOKUP($B$3,'Coeff EC7'!$T$65:$X$85,2,0)*Model0.1T!AX362)/1.5,PI()*AU$12*$Q362*($B362-$B361)*0.15/10+AY361)</f>
        <v>#N/A</v>
      </c>
      <c r="AZ362" s="102" t="e">
        <f>(VLOOKUP($B$3,'Coeff EC7'!$T$39:$X$59,3,0)*AW362+VLOOKUP($B$3,'Coeff EC7'!$T$65:$X$85,3,0)*Model0.1T!AX362)/1.1</f>
        <v>#N/A</v>
      </c>
      <c r="BA362" s="102" t="e">
        <f t="shared" si="573"/>
        <v>#N/A</v>
      </c>
      <c r="BB362" s="102" t="e">
        <f t="shared" si="574"/>
        <v>#N/A</v>
      </c>
      <c r="BC362" s="414" t="e">
        <f>IF(AND(AY362&gt;NDC!$C$63,AZ362&gt;NDC!$C$65,BA362&gt;NDC!$D$73,BB362&gt;NDC!$D$74,$B362&gt;NDC!$H$22-0.1+MIN(3*BC$12,1.5)),0,1)</f>
        <v>#N/A</v>
      </c>
      <c r="BD362" s="86" t="b">
        <f t="shared" si="542"/>
        <v>0</v>
      </c>
      <c r="BE362" s="86">
        <f t="shared" si="575"/>
        <v>0.5</v>
      </c>
      <c r="BF362" s="86">
        <f t="shared" si="543"/>
        <v>0.5</v>
      </c>
      <c r="BG362" s="30" t="e">
        <f t="shared" ca="1" si="576"/>
        <v>#DIV/0!</v>
      </c>
      <c r="BH362" s="85" t="e">
        <f ca="1">IF(AN362&lt;=Hypothèses!$V$7,Hypothèses!$W$7,IF(AN362&lt;=Hypothèses!$V$8,Hypothèses!$W$8,IF(AN362&lt;=Hypothèses!$V$9,Hypothèses!$W$9,IF(AN362&lt;=Hypothèses!$V$10,Hypothèses!$W$10,IF(AN362&lt;=Hypothèses!$V$11,Hypothèses!$W$11,IF(AN362&lt;=Hypothèses!$V$12,Hypothèses!$W$12,IF(AN362&lt;=Hypothèses!$V$13,Hypothèses!$W$13,IF(AN362&lt;=Hypothèses!$V$14,Hypothèses!$W$14,IF(AN362&lt;=Hypothèses!$V$15,Hypothèses!$W$15,IF(AN362&lt;=Hypothèses!$V$16,Hypothèses!$W$16,IF(AN362&lt;=Hypothèses!$V$17,Hypothèses!$W$17,IF(AN362&lt;=Hypothèses!$V$18,Hypothèses!$W$18,""))))))))))))</f>
        <v>#DIV/0!</v>
      </c>
      <c r="BI362" s="87" t="e">
        <f t="shared" ca="1" si="618"/>
        <v>#DIV/0!</v>
      </c>
      <c r="BJ362" s="88" t="e">
        <f ca="1">IF(AN362&lt;=Hypothèses!$V$7,Hypothèses!$X$7,IF(AN362&lt;=Hypothèses!$V$8,Hypothèses!$X$8,IF(AN362&lt;=Hypothèses!$V$9,Hypothèses!$X$9,IF(AN362&lt;=Hypothèses!$V$10,Hypothèses!$X$10,IF(AN362&lt;=Hypothèses!$V$11,Hypothèses!$X$11,IF(AN362&lt;=Hypothèses!$V$12,Hypothèses!$X$12,IF(AN362&lt;=Hypothèses!$V$13,Hypothèses!$X$13,IF(AN362&lt;=Hypothèses!$V$14,Hypothèses!$X$14,IF(AN362&lt;=Hypothèses!$V$15,Hypothèses!$X$15,IF(AN362&lt;=Hypothèses!$V$16,Hypothèses!$X$16,IF(AN362&lt;=Hypothèses!$U$17,Hypothèses!$W$17,IF(AN362&lt;=Hypothèses!$U$18,Hypothèses!$W$18,""))))))))))))</f>
        <v>#DIV/0!</v>
      </c>
      <c r="BK362" s="95" t="e">
        <f t="shared" ca="1" si="577"/>
        <v>#DIV/0!</v>
      </c>
      <c r="BL362" s="101">
        <f t="shared" si="625"/>
        <v>0</v>
      </c>
      <c r="BM362" s="91">
        <f t="shared" si="544"/>
        <v>0</v>
      </c>
      <c r="BN362" s="30" t="e">
        <f t="shared" si="604"/>
        <v>#N/A</v>
      </c>
      <c r="BO362" s="30" t="e">
        <f t="shared" si="605"/>
        <v>#N/A</v>
      </c>
      <c r="BP362" s="31" t="e">
        <f>IF(OR(Hypothèses!$B$4=17,Hypothèses!$B$4=18,Hypothèses!$B$4=19,Hypothèses!$B$4=20),
IF($D362="Pressio.",
IF(OR($E362=3,$E362=1,$E362=4),BO362,BN362),
IF($D362="Pénétro.",
IF(OR($E362=3,$E362=1,$E362=4),BO362,BN362))),IF($D362="Pressio.",
IF($E362=3,BO362,BN362),
IF($D362="Pénétro.",
IF($E362=4,BO362,BN362))))</f>
        <v>#N/A</v>
      </c>
      <c r="BQ362" s="31">
        <v>0</v>
      </c>
      <c r="BR362" s="102" t="e">
        <f>IF(NDC!$H$10="Oui",(VLOOKUP($B$3,'Coeff EC7'!$T$39:$X$59,2,0)*BP362+VLOOKUP($B$3,'Coeff EC7'!$T$65:$X$85,2,0)*Model0.1T!BQ362)/1.5,PI()*BN$12*$Q362*($B362-$B361)*0.15/10+BR361)</f>
        <v>#N/A</v>
      </c>
      <c r="BS362" s="102" t="e">
        <f>(VLOOKUP($B$3,'Coeff EC7'!$T$39:$X$59,3,0)*BP362+VLOOKUP($B$3,'Coeff EC7'!$T$65:$X$85,3,0)*Model0.1T!BQ362)/1.1</f>
        <v>#N/A</v>
      </c>
      <c r="BT362" s="102" t="e">
        <f t="shared" si="578"/>
        <v>#N/A</v>
      </c>
      <c r="BU362" s="102" t="e">
        <f t="shared" si="579"/>
        <v>#N/A</v>
      </c>
      <c r="BV362" s="414" t="e">
        <f>IF(AND(BR362&gt;NDC!$C$63,BS362&gt;NDC!$C$65,BT362&gt;NDC!$D$73,BU362&gt;NDC!$D$74,$B362&gt;NDC!$H$22-0.1+MIN(3*BV$12,1.5)),0,1)</f>
        <v>#N/A</v>
      </c>
      <c r="BW362" s="86" t="b">
        <f t="shared" si="545"/>
        <v>0</v>
      </c>
      <c r="BX362" s="86">
        <f t="shared" si="546"/>
        <v>0.5</v>
      </c>
      <c r="BY362" s="86">
        <f t="shared" si="547"/>
        <v>0.5</v>
      </c>
      <c r="BZ362" s="30" t="e">
        <f t="shared" ca="1" si="580"/>
        <v>#DIV/0!</v>
      </c>
      <c r="CA362" s="85" t="e">
        <f ca="1">IF(BG362&lt;=Hypothèses!$V$7,Hypothèses!$W$7,IF(BG362&lt;=Hypothèses!$V$8,Hypothèses!$W$8,IF(BG362&lt;=Hypothèses!$V$9,Hypothèses!$W$9,IF(BG362&lt;=Hypothèses!$V$10,Hypothèses!$W$10,IF(BG362&lt;=Hypothèses!$V$11,Hypothèses!$W$11,IF(BG362&lt;=Hypothèses!$V$12,Hypothèses!$W$12,IF(BG362&lt;=Hypothèses!$V$13,Hypothèses!$W$13,IF(BG362&lt;=Hypothèses!$V$14,Hypothèses!$W$14,IF(BG362&lt;=Hypothèses!$V$15,Hypothèses!$W$15,IF(BG362&lt;=Hypothèses!$V$16,Hypothèses!$W$16,IF(BG362&lt;=Hypothèses!$V$17,Hypothèses!$W$17,IF(BG362&lt;=Hypothèses!$V$18,Hypothèses!$W$18,""))))))))))))</f>
        <v>#DIV/0!</v>
      </c>
      <c r="CB362" s="87" t="e">
        <f t="shared" ca="1" si="619"/>
        <v>#DIV/0!</v>
      </c>
      <c r="CC362" s="88" t="e">
        <f ca="1">IF(BG362&lt;=Hypothèses!$V$7,Hypothèses!$X$7,IF(BG362&lt;=Hypothèses!$V$8,Hypothèses!$X$8,IF(BG362&lt;=Hypothèses!$V$9,Hypothèses!$X$9,IF(BG362&lt;=Hypothèses!$V$10,Hypothèses!$X$10,IF(BG362&lt;=Hypothèses!$V$11,Hypothèses!$X$11,IF(BG362&lt;=Hypothèses!$V$12,Hypothèses!$X$12,IF(BG362&lt;=Hypothèses!$V$13,Hypothèses!$X$13,IF(BG362&lt;=Hypothèses!$V$14,Hypothèses!$X$14,IF(BG362&lt;=Hypothèses!$V$15,Hypothèses!$X$15,IF(BG362&lt;=Hypothèses!$V$16,Hypothèses!$X$16,IF(BG362&lt;=Hypothèses!$U$17,Hypothèses!$W$17,IF(BG362&lt;=Hypothèses!$U$18,Hypothèses!$W$18,""))))))))))))</f>
        <v>#DIV/0!</v>
      </c>
      <c r="CD362" s="95" t="e">
        <f t="shared" ca="1" si="581"/>
        <v>#DIV/0!</v>
      </c>
      <c r="CE362" s="101">
        <f t="shared" si="626"/>
        <v>0</v>
      </c>
      <c r="CF362" s="91">
        <f t="shared" si="548"/>
        <v>0</v>
      </c>
      <c r="CG362" s="30" t="e">
        <f t="shared" si="606"/>
        <v>#N/A</v>
      </c>
      <c r="CH362" s="30" t="e">
        <f t="shared" si="607"/>
        <v>#N/A</v>
      </c>
      <c r="CI362" s="31" t="e">
        <f>IF(OR(Hypothèses!$B$4=17,Hypothèses!$B$4=18,Hypothèses!$B$4=19,Hypothèses!$B$4=20),
IF($D362="Pressio.",
IF(OR($E362=3,$E362=1,$E362=4),CH362,CG362),
IF($D362="Pénétro.",
IF(OR($E362=3,$E362=1,$E362=4),CH362,CG362))),IF($D362="Pressio.",
IF($E362=3,CH362,CG362),
IF($D362="Pénétro.",
IF($E362=4,CH362,CG362))))</f>
        <v>#N/A</v>
      </c>
      <c r="CJ362" s="31">
        <v>0</v>
      </c>
      <c r="CK362" s="102" t="e">
        <f>IF(NDC!$H$10="Oui",(VLOOKUP($B$3,'Coeff EC7'!$T$39:$X$59,2,0)*CI362+VLOOKUP($B$3,'Coeff EC7'!$T$65:$X$85,2,0)*Model0.1T!CJ362)/1.5,PI()*CG$12*$Q362*($B362-$B361)*0.15/10+CK361)</f>
        <v>#N/A</v>
      </c>
      <c r="CL362" s="102" t="e">
        <f>(VLOOKUP($B$3,'Coeff EC7'!$T$39:$X$59,3,0)*CI362+VLOOKUP($B$3,'Coeff EC7'!$T$65:$X$85,3,0)*Model0.1T!CJ362)/1.1</f>
        <v>#N/A</v>
      </c>
      <c r="CM362" s="102" t="e">
        <f t="shared" si="582"/>
        <v>#N/A</v>
      </c>
      <c r="CN362" s="102" t="e">
        <f t="shared" si="583"/>
        <v>#N/A</v>
      </c>
      <c r="CO362" s="414" t="e">
        <f>IF(AND(CK362&gt;NDC!$C$63,CL362&gt;NDC!$C$65,CM362&gt;NDC!$D$73,CN362&gt;NDC!$D$74,$B362&gt;NDC!$H$22-0.1+MIN(3*CO$12,1.5)),0,1)</f>
        <v>#N/A</v>
      </c>
      <c r="CP362" s="86" t="b">
        <f t="shared" si="549"/>
        <v>0</v>
      </c>
      <c r="CQ362" s="86">
        <f t="shared" si="550"/>
        <v>0.5</v>
      </c>
      <c r="CR362" s="86">
        <f t="shared" si="551"/>
        <v>0.5</v>
      </c>
      <c r="CS362" s="30" t="e">
        <f t="shared" ca="1" si="584"/>
        <v>#DIV/0!</v>
      </c>
      <c r="CT362" s="85" t="e">
        <f ca="1">IF(BZ362&lt;=Hypothèses!$V$7,Hypothèses!$W$7,IF(BZ362&lt;=Hypothèses!$V$8,Hypothèses!$W$8,IF(BZ362&lt;=Hypothèses!$V$9,Hypothèses!$W$9,IF(BZ362&lt;=Hypothèses!$V$10,Hypothèses!$W$10,IF(BZ362&lt;=Hypothèses!$V$11,Hypothèses!$W$11,IF(BZ362&lt;=Hypothèses!$V$12,Hypothèses!$W$12,IF(BZ362&lt;=Hypothèses!$V$13,Hypothèses!$W$13,IF(BZ362&lt;=Hypothèses!$V$14,Hypothèses!$W$14,IF(BZ362&lt;=Hypothèses!$V$15,Hypothèses!$W$15,IF(BZ362&lt;=Hypothèses!$V$16,Hypothèses!$W$16,IF(BZ362&lt;=Hypothèses!$V$17,Hypothèses!$W$17,IF(BZ362&lt;=Hypothèses!$V$18,Hypothèses!$W$18,""))))))))))))</f>
        <v>#DIV/0!</v>
      </c>
      <c r="CU362" s="87" t="e">
        <f t="shared" ca="1" si="620"/>
        <v>#DIV/0!</v>
      </c>
      <c r="CV362" s="88" t="e">
        <f ca="1">IF(BZ362&lt;=Hypothèses!$V$7,Hypothèses!$X$7,IF(BZ362&lt;=Hypothèses!$V$8,Hypothèses!$X$8,IF(BZ362&lt;=Hypothèses!$V$9,Hypothèses!$X$9,IF(BZ362&lt;=Hypothèses!$V$10,Hypothèses!$X$10,IF(BZ362&lt;=Hypothèses!$V$11,Hypothèses!$X$11,IF(BZ362&lt;=Hypothèses!$V$12,Hypothèses!$X$12,IF(BZ362&lt;=Hypothèses!$V$13,Hypothèses!$X$13,IF(BZ362&lt;=Hypothèses!$V$14,Hypothèses!$X$14,IF(BZ362&lt;=Hypothèses!$V$15,Hypothèses!$X$15,IF(BZ362&lt;=Hypothèses!$V$16,Hypothèses!$X$16,IF(BZ362&lt;=Hypothèses!$U$17,Hypothèses!$W$17,IF(BZ362&lt;=Hypothèses!$U$18,Hypothèses!$W$18,""))))))))))))</f>
        <v>#DIV/0!</v>
      </c>
      <c r="CW362" s="95" t="e">
        <f t="shared" ca="1" si="585"/>
        <v>#DIV/0!</v>
      </c>
      <c r="CX362" s="101">
        <f t="shared" si="627"/>
        <v>0</v>
      </c>
      <c r="CY362" s="91">
        <f t="shared" si="552"/>
        <v>0</v>
      </c>
      <c r="CZ362" s="30" t="e">
        <f t="shared" si="608"/>
        <v>#N/A</v>
      </c>
      <c r="DA362" s="30" t="e">
        <f t="shared" si="609"/>
        <v>#N/A</v>
      </c>
      <c r="DB362" s="31" t="e">
        <f>IF(OR(Hypothèses!$B$4=17,Hypothèses!$B$4=18,Hypothèses!$B$4=19,Hypothèses!$B$4=20),
IF($D362="Pressio.",
IF(OR($E362=3,$E362=1,$E362=4),DA362,CZ362),
IF($D362="Pénétro.",
IF(OR($E362=3,$E362=1,$E362=4),DA362,CZ362))),IF($D362="Pressio.",
IF($E362=3,DA362,CZ362),
IF($D362="Pénétro.",
IF($E362=4,DA362,CZ362))))</f>
        <v>#N/A</v>
      </c>
      <c r="DC362" s="31">
        <v>0</v>
      </c>
      <c r="DD362" s="102" t="e">
        <f>IF(NDC!$H$10="Oui",(VLOOKUP($B$3,'Coeff EC7'!$T$39:$X$59,2,0)*DB362+VLOOKUP($B$3,'Coeff EC7'!$T$65:$X$85,2,0)*Model0.1T!DC362)/1.5,PI()*CZ$12*$Q362*($B362-$B361)*0.15/10+DD361)</f>
        <v>#N/A</v>
      </c>
      <c r="DE362" s="102" t="e">
        <f>(VLOOKUP($B$3,'Coeff EC7'!$T$39:$X$59,3,0)*DB362+VLOOKUP($B$3,'Coeff EC7'!$T$65:$X$85,3,0)*Model0.1T!DC362)/1.1</f>
        <v>#N/A</v>
      </c>
      <c r="DF362" s="102" t="e">
        <f t="shared" si="586"/>
        <v>#N/A</v>
      </c>
      <c r="DG362" s="102" t="e">
        <f t="shared" si="587"/>
        <v>#N/A</v>
      </c>
      <c r="DH362" s="414" t="e">
        <f>IF(AND(DD362&gt;NDC!$C$63,DE362&gt;NDC!$C$65,DF362&gt;NDC!$D$73,DG362&gt;NDC!$D$74,$B362&gt;NDC!$H$22-0.1+MIN(3*DH$12,1.5)),0,1)</f>
        <v>#N/A</v>
      </c>
      <c r="DI362" s="86" t="b">
        <f t="shared" si="553"/>
        <v>0</v>
      </c>
      <c r="DJ362" s="86">
        <f t="shared" si="554"/>
        <v>0.5</v>
      </c>
      <c r="DK362" s="86">
        <f t="shared" si="555"/>
        <v>0.5</v>
      </c>
      <c r="DL362" s="30" t="e">
        <f t="shared" ca="1" si="588"/>
        <v>#DIV/0!</v>
      </c>
      <c r="DM362" s="85" t="e">
        <f ca="1">IF(CS362&lt;=Hypothèses!$V$7,Hypothèses!$W$7,IF(CS362&lt;=Hypothèses!$V$8,Hypothèses!$W$8,IF(CS362&lt;=Hypothèses!$V$9,Hypothèses!$W$9,IF(CS362&lt;=Hypothèses!$V$10,Hypothèses!$W$10,IF(CS362&lt;=Hypothèses!$V$11,Hypothèses!$W$11,IF(CS362&lt;=Hypothèses!$V$12,Hypothèses!$W$12,IF(CS362&lt;=Hypothèses!$V$13,Hypothèses!$W$13,IF(CS362&lt;=Hypothèses!$V$14,Hypothèses!$W$14,IF(CS362&lt;=Hypothèses!$V$15,Hypothèses!$W$15,IF(CS362&lt;=Hypothèses!$V$16,Hypothèses!$W$16,IF(CS362&lt;=Hypothèses!$V$17,Hypothèses!$W$17,IF(CS362&lt;=Hypothèses!$V$18,Hypothèses!$W$18,""))))))))))))</f>
        <v>#DIV/0!</v>
      </c>
      <c r="DN362" s="87" t="e">
        <f t="shared" ca="1" si="621"/>
        <v>#DIV/0!</v>
      </c>
      <c r="DO362" s="88" t="e">
        <f ca="1">IF(CS362&lt;=Hypothèses!$V$7,Hypothèses!$X$7,IF(CS362&lt;=Hypothèses!$V$8,Hypothèses!$X$8,IF(CS362&lt;=Hypothèses!$V$9,Hypothèses!$X$9,IF(CS362&lt;=Hypothèses!$V$10,Hypothèses!$X$10,IF(CS362&lt;=Hypothèses!$V$11,Hypothèses!$X$11,IF(CS362&lt;=Hypothèses!$V$12,Hypothèses!$X$12,IF(CS362&lt;=Hypothèses!$V$13,Hypothèses!$X$13,IF(CS362&lt;=Hypothèses!$V$14,Hypothèses!$X$14,IF(CS362&lt;=Hypothèses!$V$15,Hypothèses!$X$15,IF(CS362&lt;=Hypothèses!$V$16,Hypothèses!$X$16,IF(CS362&lt;=Hypothèses!$U$17,Hypothèses!$W$17,IF(CS362&lt;=Hypothèses!$U$18,Hypothèses!$W$18,""))))))))))))</f>
        <v>#DIV/0!</v>
      </c>
      <c r="DP362" s="95" t="e">
        <f t="shared" ca="1" si="589"/>
        <v>#DIV/0!</v>
      </c>
      <c r="DQ362" s="101">
        <f t="shared" si="628"/>
        <v>0</v>
      </c>
      <c r="DR362" s="91">
        <f t="shared" si="556"/>
        <v>0</v>
      </c>
      <c r="DS362" s="30" t="e">
        <f t="shared" si="610"/>
        <v>#N/A</v>
      </c>
      <c r="DT362" s="30" t="e">
        <f t="shared" si="611"/>
        <v>#N/A</v>
      </c>
      <c r="DU362" s="31" t="e">
        <f>IF(OR(Hypothèses!$B$4=17,Hypothèses!$B$4=18,Hypothèses!$B$4=19,Hypothèses!$B$4=20),
IF($D362="Pressio.",
IF(OR($E362=3,$E362=1,$E362=4),DT362,DS362),
IF($D362="Pénétro.",
IF(OR($E362=3,$E362=1,$E362=4),DT362,DS362))),IF($D362="Pressio.",
IF($E362=3,DT362,DS362),
IF($D362="Pénétro.",
IF($E362=4,DT362,DS362))))</f>
        <v>#N/A</v>
      </c>
      <c r="DV362" s="31">
        <v>0</v>
      </c>
      <c r="DW362" s="102" t="e">
        <f>IF(NDC!$H$10="Oui",(VLOOKUP($B$3,'Coeff EC7'!$T$39:$X$59,2,0)*DU362+VLOOKUP($B$3,'Coeff EC7'!$T$65:$X$85,2,0)*Model0.1T!DV362)/1.5,PI()*DS$12*$Q362*($B362-$B361)*0.15/10+DW361)</f>
        <v>#N/A</v>
      </c>
      <c r="DX362" s="102" t="e">
        <f>(VLOOKUP($B$3,'Coeff EC7'!$T$39:$X$59,3,0)*DU362+VLOOKUP($B$3,'Coeff EC7'!$T$65:$X$85,3,0)*Model0.1T!DV362)/1.1</f>
        <v>#N/A</v>
      </c>
      <c r="DY362" s="102" t="e">
        <f t="shared" si="590"/>
        <v>#N/A</v>
      </c>
      <c r="DZ362" s="102" t="e">
        <f t="shared" si="591"/>
        <v>#N/A</v>
      </c>
      <c r="EA362" s="414" t="e">
        <f>IF(AND(DW362&gt;NDC!$C$63,DX362&gt;NDC!$C$65,DY362&gt;NDC!$D$73,DZ362&gt;NDC!$D$74,$B362&gt;NDC!$H$22-0.1+MIN(3*EA$12,1.5)),0,1)</f>
        <v>#N/A</v>
      </c>
      <c r="EB362" s="86" t="b">
        <f t="shared" si="557"/>
        <v>0</v>
      </c>
      <c r="EC362" s="418">
        <f t="shared" si="558"/>
        <v>0.51</v>
      </c>
      <c r="ED362" s="86">
        <f t="shared" si="559"/>
        <v>0.51</v>
      </c>
      <c r="EE362" s="30" t="e">
        <f t="shared" ca="1" si="592"/>
        <v>#DIV/0!</v>
      </c>
      <c r="EF362" s="85" t="e">
        <f ca="1">IF(DL362&lt;=Hypothèses!$V$7,Hypothèses!$W$7,IF(DL362&lt;=Hypothèses!$V$8,Hypothèses!$W$8,IF(DL362&lt;=Hypothèses!$V$9,Hypothèses!$W$9,IF(DL362&lt;=Hypothèses!$V$10,Hypothèses!$W$10,IF(DL362&lt;=Hypothèses!$V$11,Hypothèses!$W$11,IF(DL362&lt;=Hypothèses!$V$12,Hypothèses!$W$12,IF(DL362&lt;=Hypothèses!$V$13,Hypothèses!$W$13,IF(DL362&lt;=Hypothèses!$V$14,Hypothèses!$W$14,IF(DL362&lt;=Hypothèses!$V$15,Hypothèses!$W$15,IF(DL362&lt;=Hypothèses!$V$16,Hypothèses!$W$16,IF(DL362&lt;=Hypothèses!$V$17,Hypothèses!$W$17,IF(DL362&lt;=Hypothèses!$V$18,Hypothèses!$W$18,""))))))))))))</f>
        <v>#DIV/0!</v>
      </c>
      <c r="EG362" s="87" t="e">
        <f t="shared" ca="1" si="622"/>
        <v>#DIV/0!</v>
      </c>
      <c r="EH362" s="88" t="e">
        <f ca="1">IF(DL362&lt;=Hypothèses!$V$7,Hypothèses!$X$7,IF(DL362&lt;=Hypothèses!$V$8,Hypothèses!$X$8,IF(DL362&lt;=Hypothèses!$V$9,Hypothèses!$X$9,IF(DL362&lt;=Hypothèses!$V$10,Hypothèses!$X$10,IF(DL362&lt;=Hypothèses!$V$11,Hypothèses!$X$11,IF(DL362&lt;=Hypothèses!$V$12,Hypothèses!$X$12,IF(DL362&lt;=Hypothèses!$V$13,Hypothèses!$X$13,IF(DL362&lt;=Hypothèses!$V$14,Hypothèses!$X$14,IF(DL362&lt;=Hypothèses!$V$15,Hypothèses!$X$15,IF(DL362&lt;=Hypothèses!$V$16,Hypothèses!$X$16,IF(DL362&lt;=Hypothèses!$U$17,Hypothèses!$W$17,IF(DL362&lt;=Hypothèses!$U$18,Hypothèses!$W$18,""))))))))))))</f>
        <v>#DIV/0!</v>
      </c>
      <c r="EI362" s="95" t="e">
        <f t="shared" ca="1" si="593"/>
        <v>#DIV/0!</v>
      </c>
      <c r="EJ362" s="101">
        <f t="shared" si="629"/>
        <v>0</v>
      </c>
      <c r="EK362" s="91">
        <f t="shared" si="560"/>
        <v>0</v>
      </c>
      <c r="EL362" s="30" t="e">
        <f t="shared" si="612"/>
        <v>#N/A</v>
      </c>
      <c r="EM362" s="30" t="e">
        <f t="shared" si="613"/>
        <v>#N/A</v>
      </c>
      <c r="EN362" s="31" t="e">
        <f>IF(OR(Hypothèses!$B$4=17,Hypothèses!$B$4=18,Hypothèses!$B$4=19,Hypothèses!$B$4=20),
IF($D362="Pressio.",
IF(OR($E362=3,$E362=1,$E362=4),EM362,EL362),
IF($D362="Pénétro.",
IF(OR($E362=3,$E362=1,$E362=4),EM362,EL362))),IF($D362="Pressio.",
IF($E362=3,EM362,EL362),
IF($D362="Pénétro.",
IF($E362=4,EM362,EL362))))</f>
        <v>#N/A</v>
      </c>
      <c r="EO362" s="31">
        <v>0</v>
      </c>
      <c r="EP362" s="102" t="e">
        <f>IF(NDC!$H$10="Oui",(VLOOKUP($B$3,'Coeff EC7'!$T$39:$X$59,2,0)*EN362+VLOOKUP($B$3,'Coeff EC7'!$T$65:$X$85,2,0)*Model0.1T!EO362)/1.5,PI()*EL$12*$Q362*($B362-$B361)*0.15/10+EP361)</f>
        <v>#N/A</v>
      </c>
      <c r="EQ362" s="102" t="e">
        <f>(VLOOKUP($B$3,'Coeff EC7'!$T$39:$X$59,3,0)*EN362+VLOOKUP($B$3,'Coeff EC7'!$T$65:$X$85,3,0)*Model0.1T!EO362)/1.1</f>
        <v>#N/A</v>
      </c>
      <c r="ER362" s="102" t="e">
        <f t="shared" si="594"/>
        <v>#N/A</v>
      </c>
      <c r="ES362" s="102" t="e">
        <f t="shared" si="595"/>
        <v>#N/A</v>
      </c>
      <c r="ET362" s="414" t="e">
        <f>IF(AND(EP362&gt;NDC!$C$63,EQ362&gt;NDC!$C$65,ER362&gt;NDC!$D$73,ES362&gt;NDC!$D$74,$B362&gt;NDC!$H$22-0.1+MIN(3*ET$12,1.5)),0,1)</f>
        <v>#N/A</v>
      </c>
      <c r="EU362" s="86" t="b">
        <f t="shared" si="561"/>
        <v>0</v>
      </c>
      <c r="EV362" s="86">
        <f t="shared" si="562"/>
        <v>0.61</v>
      </c>
      <c r="EW362" s="86">
        <f t="shared" si="563"/>
        <v>0.61</v>
      </c>
      <c r="EX362" s="30" t="e">
        <f t="shared" ca="1" si="596"/>
        <v>#DIV/0!</v>
      </c>
      <c r="EY362" s="85" t="e">
        <f ca="1">IF(EE362&lt;=Hypothèses!$V$7,Hypothèses!$W$7,IF(EE362&lt;=Hypothèses!$V$8,Hypothèses!$W$8,IF(EE362&lt;=Hypothèses!$V$9,Hypothèses!$W$9,IF(EE362&lt;=Hypothèses!$V$10,Hypothèses!$W$10,IF(EE362&lt;=Hypothèses!$V$11,Hypothèses!$W$11,IF(EE362&lt;=Hypothèses!$V$12,Hypothèses!$W$12,IF(EE362&lt;=Hypothèses!$V$13,Hypothèses!$W$13,IF(EE362&lt;=Hypothèses!$V$14,Hypothèses!$W$14,IF(EE362&lt;=Hypothèses!$V$15,Hypothèses!$W$15,IF(EE362&lt;=Hypothèses!$V$16,Hypothèses!$W$16,IF(EE362&lt;=Hypothèses!$V$17,Hypothèses!$W$17,IF(EE362&lt;=Hypothèses!$V$18,Hypothèses!$W$18,""))))))))))))</f>
        <v>#DIV/0!</v>
      </c>
      <c r="EZ362" s="87" t="e">
        <f t="shared" ca="1" si="623"/>
        <v>#DIV/0!</v>
      </c>
      <c r="FA362" s="88" t="e">
        <f ca="1">IF(EE362&lt;=Hypothèses!$V$7,Hypothèses!$X$7,IF(EE362&lt;=Hypothèses!$V$8,Hypothèses!$X$8,IF(EE362&lt;=Hypothèses!$V$9,Hypothèses!$X$9,IF(EE362&lt;=Hypothèses!$V$10,Hypothèses!$X$10,IF(EE362&lt;=Hypothèses!$V$11,Hypothèses!$X$11,IF(EE362&lt;=Hypothèses!$V$12,Hypothèses!$X$12,IF(EE362&lt;=Hypothèses!$V$13,Hypothèses!$X$13,IF(EE362&lt;=Hypothèses!$V$14,Hypothèses!$X$14,IF(EE362&lt;=Hypothèses!$V$15,Hypothèses!$X$15,IF(EE362&lt;=Hypothèses!$V$16,Hypothèses!$X$16,IF(EE362&lt;=Hypothèses!$U$17,Hypothèses!$W$17,IF(EE362&lt;=Hypothèses!$U$18,Hypothèses!$W$18,""))))))))))))</f>
        <v>#DIV/0!</v>
      </c>
      <c r="FB362" s="95" t="e">
        <f t="shared" ca="1" si="597"/>
        <v>#DIV/0!</v>
      </c>
      <c r="FC362" s="101">
        <f t="shared" si="630"/>
        <v>0</v>
      </c>
      <c r="FD362" s="91">
        <f t="shared" si="564"/>
        <v>0</v>
      </c>
      <c r="FE362" s="30" t="e">
        <f t="shared" si="614"/>
        <v>#N/A</v>
      </c>
      <c r="FF362" s="30" t="e">
        <f t="shared" si="615"/>
        <v>#N/A</v>
      </c>
      <c r="FG362" s="31" t="e">
        <f>IF(OR(Hypothèses!$B$4=17,Hypothèses!$B$4=18,Hypothèses!$B$4=19,Hypothèses!$B$4=20),
IF($D362="Pressio.",
IF(OR($E362=3,$E362=1,$E362=4),FF362,FE362),
IF($D362="Pénétro.",
IF(OR($E362=3,$E362=1,$E362=4),FF362,FE362))),IF($D362="Pressio.",
IF($E362=3,FF362,FE362),
IF($D362="Pénétro.",
IF($E362=4,FF362,FE362))))</f>
        <v>#N/A</v>
      </c>
      <c r="FH362" s="31">
        <v>0</v>
      </c>
      <c r="FI362" s="102" t="e">
        <f>IF(NDC!$H$10="Oui",(VLOOKUP($B$3,'Coeff EC7'!$T$39:$X$59,2,0)*FG362+VLOOKUP($B$3,'Coeff EC7'!$T$65:$X$85,2,0)*Model0.1T!FH362)/1.5,PI()*FE$12*$Q362*($B362-$B361)*0.15/10+FI361)</f>
        <v>#N/A</v>
      </c>
      <c r="FJ362" s="102" t="e">
        <f>(VLOOKUP($B$3,'Coeff EC7'!$T$39:$X$59,3,0)*FG362+VLOOKUP($B$3,'Coeff EC7'!$T$65:$X$85,3,0)*Model0.1T!FH362)/1.1</f>
        <v>#N/A</v>
      </c>
      <c r="FK362" s="102" t="e">
        <f t="shared" si="598"/>
        <v>#N/A</v>
      </c>
      <c r="FL362" s="102" t="e">
        <f t="shared" si="599"/>
        <v>#N/A</v>
      </c>
      <c r="FM362" s="414" t="e">
        <f>IF(AND(FI362&gt;NDC!$C$63,FJ362&gt;NDC!$C$65,FK362&gt;NDC!$D$73,FL362&gt;NDC!$D$74,$B362&gt;NDC!$H$22-0.1+MIN(3*FM$12,1.5)),0,1)</f>
        <v>#N/A</v>
      </c>
    </row>
    <row r="363" spans="1:169">
      <c r="A363" s="96">
        <f t="shared" si="565"/>
        <v>65.00000000000199</v>
      </c>
      <c r="B363" s="97">
        <v>35</v>
      </c>
      <c r="C363" s="81">
        <f>IF(B363&lt;=Hypothèses!$C$7,Hypothèses!$A$7,IF(B363&lt;=Hypothèses!$C$8,Hypothèses!$A$8,IF(B363&lt;=Hypothèses!$C$9,Hypothèses!$A$9,IF(B363&lt;=Hypothèses!$C$10,Hypothèses!$A$10,IF(B363&lt;=Hypothèses!$C$11,Hypothèses!$A$11,IF(B363&lt;=Hypothèses!$C$12,Hypothèses!$A$12,IF(B363&lt;=Hypothèses!$C$13,Hypothèses!$A$13,IF(B363&lt;=Hypothèses!$C$14,Hypothèses!$A$14,IF(B363&lt;=Hypothèses!$C$15,Hypothèses!$A$15,IF(B363&lt;=Hypothèses!$C$16,Hypothèses!$A$16,IF(B363&lt;=Hypothèses!$C$17,Hypothèses!$A$17,IF(B363&lt;=Hypothèses!$C$18,Hypothèses!$A$18,C362))))))))))))</f>
        <v>11</v>
      </c>
      <c r="D363" s="82" t="str">
        <f>IF(B363&lt;=Hypothèses!$C$7,Hypothèses!$R$7,IF(B363&lt;=Hypothèses!$C$8,Hypothèses!$R$8,IF(B363&lt;=Hypothèses!$C$9,Hypothèses!$R$9,IF(B363&lt;=Hypothèses!$C$10,Hypothèses!$R$10,IF(B363&lt;=Hypothèses!$C$11,Hypothèses!$R$11,IF(B363&lt;=Hypothèses!$C$12,Hypothèses!$R$12,IF(B363&lt;=Hypothèses!$C$13,Hypothèses!$R$13,IF(B363&lt;=Hypothèses!$C$14,Hypothèses!$R$14,IF(B363&lt;=Hypothèses!$C$15,Hypothèses!$R$15,IF(B363&lt;=Hypothèses!$C$16,Hypothèses!$R$16,IF(B363&lt;=Hypothèses!$C$17,Hypothèses!$R$17,IF(B363&lt;=Hypothèses!$C$18,Hypothèses!$R$18,D362))))))))))))</f>
        <v>Pressio.</v>
      </c>
      <c r="E363" s="82" t="e">
        <f>IF(B363&lt;=Hypothèses!$C$7,Hypothèses!$G$7,IF(B363&lt;=Hypothèses!$C$8,Hypothèses!$G$8,IF(B363&lt;=Hypothèses!$C$9,Hypothèses!$G$9,IF(B363&lt;=Hypothèses!$C$10,Hypothèses!$G$10,IF(B363&lt;=Hypothèses!$C$11,Hypothèses!$G$11,IF(B363&lt;=Hypothèses!$C$12,Hypothèses!$G$12,IF(B363&lt;=Hypothèses!$C$13,Hypothèses!$G$13,IF(B363&lt;=Hypothèses!$C$14,Hypothèses!$G$14,IF(B363&lt;=Hypothèses!$C$15,Hypothèses!$G$15,IF(B363&lt;=Hypothèses!$C$16,Hypothèses!$G$16,IF(B363&lt;=Hypothèses!$C$17,Hypothèses!$G$17,IF(B363&lt;=Hypothèses!$C$18,Hypothèses!$G$18,E362))))))))))))</f>
        <v>#N/A</v>
      </c>
      <c r="F363" s="82" t="str">
        <f>IF(B363&lt;=Hypothèses!$C$7,Hypothèses!$F$7,IF(B363&lt;=Hypothèses!$C$8,Hypothèses!$F$8,IF(B363&lt;=Hypothèses!$C$9,Hypothèses!$F$9,IF(B363&lt;=Hypothèses!$C$10,Hypothèses!$F$10,IF(B363&lt;=Hypothèses!$C$11,Hypothèses!$F$11,IF(B363&lt;=Hypothèses!$C$12,Hypothèses!$F$12,IF(B363&lt;=Hypothèses!$C$13,Hypothèses!$F$13,IF(B363&lt;=Hypothèses!$C$14,Hypothèses!$F$14,IF(B363&lt;=Hypothèses!$C$15,Hypothèses!$F$15,IF(B363&lt;=Hypothèses!$C$16,Hypothèses!$F$16,IF(B363&lt;=Hypothèses!$C$17,Hypothèses!$F$17,IF(B363&lt;=Hypothèses!$C$18,Hypothèses!$F$18,F362))))))))))))</f>
        <v/>
      </c>
      <c r="G363" s="91">
        <f t="array" ref="G363">INDEX('Coeff EC7'!$U$7:$X$27,
MATCH(Model0.1T!$B$3,'Coeff EC7'!$T$7:$T$27,0),
MATCH(Model0.1T!$D363&amp;Model0.1T!$B$4,
'Coeff EC7'!$U$6:$X$6&amp;
'Coeff EC7'!$U$5:$X$5,0))</f>
        <v>1.4</v>
      </c>
      <c r="H363" s="91">
        <f t="array" ref="H363">INDEX('Coeff EC7'!$Y$7:$AB$27,
MATCH(Model0.1T!$B$3,'Coeff EC7'!$T$7:$T$27,0),
MATCH(Model0.1T!$D363&amp;Model0.1T!$B$4,
'Coeff EC7'!$Y$6:$AB$6&amp;
'Coeff EC7'!$Y$5:$AB$5,0))</f>
        <v>1.7</v>
      </c>
      <c r="I363" s="83">
        <v>0</v>
      </c>
      <c r="J363" s="91" t="e">
        <f t="array" ref="J363">INDEX('Coeff EC7'!$D$33:$Q$33,1,MATCH(D363&amp;E363,'Coeff EC7'!$D$31:$Q$31&amp;'Coeff EC7'!$D$32:$Q$32,0))</f>
        <v>#N/A</v>
      </c>
      <c r="K363" s="91" t="e">
        <f t="array" ref="K363">INDEX('Coeff EC7'!$D$34:$Q$34,1,MATCH(D363&amp;E363,'Coeff EC7'!$D$31:$Q$31&amp;'Coeff EC7'!$D$32:$Q$32,0))</f>
        <v>#N/A</v>
      </c>
      <c r="L363" s="91" t="e">
        <f t="array" ref="L363">INDEX('Coeff EC7'!$D$35:$Q$35,1,MATCH(D363&amp;E363,'Coeff EC7'!$D$31:$Q$31&amp;'Coeff EC7'!$D$32:$Q$32,0))</f>
        <v>#N/A</v>
      </c>
      <c r="M363" s="98" t="e">
        <f t="shared" si="531"/>
        <v>#N/A</v>
      </c>
      <c r="N363" s="99" t="e">
        <f t="array" ref="N363">INDEX('Coeff EC7'!$D$7:$Q$27,MATCH($B$3,'Coeff EC7'!$C$7:$C$27,0),MATCH(D363&amp;E363,'Coeff EC7'!$D$5:$Q$5&amp;'Coeff EC7'!$D$6:$Q$6,0))</f>
        <v>#N/A</v>
      </c>
      <c r="O363" s="99" t="e">
        <f t="array" ref="O363">INDEX('Coeff EC7'!$D$41:$Q$61,MATCH($B$3,'Coeff EC7'!$C$41:$C$61,0),MATCH(D363&amp;E363,'Coeff EC7'!$D$39:$Q$39&amp;'Coeff EC7'!$D$40:$Q$40,0))</f>
        <v>#N/A</v>
      </c>
      <c r="P363" s="30" t="e">
        <f t="shared" si="566"/>
        <v>#N/A</v>
      </c>
      <c r="Q363" s="100" t="e">
        <f t="shared" si="533"/>
        <v>#N/A</v>
      </c>
      <c r="R363" s="86" t="b">
        <f t="shared" si="534"/>
        <v>0</v>
      </c>
      <c r="S363" s="86">
        <f t="shared" si="532"/>
        <v>0.5</v>
      </c>
      <c r="T363" s="86">
        <f t="shared" si="535"/>
        <v>0.5</v>
      </c>
      <c r="U363" s="30" t="e">
        <f t="shared" ca="1" si="567"/>
        <v>#DIV/0!</v>
      </c>
      <c r="V363" s="85" t="str">
        <f>IF(B363&lt;=Hypothèses!$V$7,Hypothèses!$W$7,IF(B363&lt;=Hypothèses!$V$8,Hypothèses!$W$8,IF(B363&lt;=Hypothèses!$V$9,Hypothèses!$W$9,IF(B363&lt;=Hypothèses!$V$10,Hypothèses!$W$10,IF(B363&lt;=Hypothèses!$V$11,Hypothèses!$W$11,IF(B363&lt;=Hypothèses!$V$12,Hypothèses!$W$12,IF(B363&lt;=Hypothèses!$V$13,Hypothèses!$W$13,IF(B363&lt;=Hypothèses!$V$14,Hypothèses!$W$14,IF(B363&lt;=Hypothèses!$V$15,Hypothèses!$W$15,IF(B363&lt;=Hypothèses!$V$16,Hypothèses!$W$16,IF(B363&lt;=Hypothèses!$V$17,Hypothèses!$W$17,IF(B363&lt;=Hypothèses!$V$18,Hypothèses!$W$18,""))))))))))))</f>
        <v/>
      </c>
      <c r="W363" s="87" t="e">
        <f t="shared" ca="1" si="616"/>
        <v>#DIV/0!</v>
      </c>
      <c r="X363" s="88" t="str">
        <f>IF(B363&lt;=Hypothèses!$V$7,Hypothèses!$X$7,IF(B363&lt;=Hypothèses!$V$8,Hypothèses!$X$8,IF(B363&lt;=Hypothèses!$V$9,Hypothèses!$X$9,IF(B363&lt;=Hypothèses!$V$10,Hypothèses!$X$10,IF(B363&lt;=Hypothèses!$V$11,Hypothèses!$X$11,IF(B363&lt;=Hypothèses!$V$12,Hypothèses!$X$12,IF(B363&lt;=Hypothèses!$V$13,Hypothèses!$X$13,IF(B363&lt;=Hypothèses!$V$14,Hypothèses!$X$14,IF(B363&lt;=Hypothèses!$V$15,Hypothèses!$X$15,IF(B363&lt;=Hypothèses!$V$16,Hypothèses!$X$16,IF(B363&lt;=Hypothèses!$U$17,Hypothèses!$W$17,IF(B363&lt;=Hypothèses!$U$18,Hypothèses!$W$18,""))))))))))))</f>
        <v/>
      </c>
      <c r="Y363" s="95" t="e">
        <f t="shared" ca="1" si="536"/>
        <v>#DIV/0!</v>
      </c>
      <c r="Z363" s="101">
        <f t="shared" si="537"/>
        <v>0</v>
      </c>
      <c r="AA363" s="91">
        <f t="shared" si="538"/>
        <v>0</v>
      </c>
      <c r="AB363" s="30" t="e">
        <f t="shared" si="600"/>
        <v>#N/A</v>
      </c>
      <c r="AC363" s="30" t="e">
        <f t="shared" si="601"/>
        <v>#N/A</v>
      </c>
      <c r="AD363" s="31" t="e">
        <f>IF(OR(Hypothèses!$B$4=17,Hypothèses!$B$4=18,Hypothèses!$B$4=19,Hypothèses!$B$4=20),
IF($D363="Pressio.",
IF(OR($E363=3,$E363=1,$E363=4),AC363,AB363),
IF($D363="Pénétro.",
IF(OR($E363=3,$E363=1,$E363=4),AC363,AB363))),IF($D363="Pressio.",
IF($E363=3,AC363,AB363),
IF($D363="Pénétro.",
IF($E363=4,AC363,AB363))))</f>
        <v>#N/A</v>
      </c>
      <c r="AE363" s="31">
        <v>0</v>
      </c>
      <c r="AF363" s="102" t="e">
        <f>IF(NDC!$H$10="Oui",(VLOOKUP($B$3,'Coeff EC7'!$T$39:$X$59,2,0)*AD363+VLOOKUP($B$3,'Coeff EC7'!$T$65:$X$85,2,0)*Model0.1T!AE363)/1.5,PI()*AB$12*$Q363*($B363-$B362)*0.15/10+AF362)</f>
        <v>#N/A</v>
      </c>
      <c r="AG363" s="102" t="e">
        <f>(VLOOKUP($B$3,'Coeff EC7'!$T$39:$X$59,3,0)*AD363+VLOOKUP($B$3,'Coeff EC7'!$T$65:$X$85,3,0)*Model0.1T!AE363)/1.1</f>
        <v>#N/A</v>
      </c>
      <c r="AH363" s="102" t="e">
        <f t="shared" si="568"/>
        <v>#N/A</v>
      </c>
      <c r="AI363" s="102" t="e">
        <f t="shared" si="569"/>
        <v>#N/A</v>
      </c>
      <c r="AJ363" s="414" t="e">
        <f>IF(AND(AF363&gt;NDC!$C$63,AG363&gt;NDC!$C$65,AH363&gt;NDC!$D$73,AI363&gt;NDC!$D$74,$B363&gt;NDC!$H$22-0.1+MIN(3*$AJ$12,1.5)),0,1)</f>
        <v>#N/A</v>
      </c>
      <c r="AK363" s="86" t="b">
        <f t="shared" si="539"/>
        <v>0</v>
      </c>
      <c r="AL363" s="86">
        <f t="shared" si="570"/>
        <v>0.5</v>
      </c>
      <c r="AM363" s="86">
        <f t="shared" si="540"/>
        <v>0.5</v>
      </c>
      <c r="AN363" s="30" t="e">
        <f t="shared" ca="1" si="571"/>
        <v>#DIV/0!</v>
      </c>
      <c r="AO363" s="85" t="e">
        <f ca="1">IF(U363&lt;=Hypothèses!$V$7,Hypothèses!$W$7,IF(U363&lt;=Hypothèses!$V$8,Hypothèses!$W$8,IF(U363&lt;=Hypothèses!$V$9,Hypothèses!$W$9,IF(U363&lt;=Hypothèses!$V$10,Hypothèses!$W$10,IF(U363&lt;=Hypothèses!$V$11,Hypothèses!$W$11,IF(U363&lt;=Hypothèses!$V$12,Hypothèses!$W$12,IF(U363&lt;=Hypothèses!$V$13,Hypothèses!$W$13,IF(U363&lt;=Hypothèses!$V$14,Hypothèses!$W$14,IF(U363&lt;=Hypothèses!$V$15,Hypothèses!$W$15,IF(U363&lt;=Hypothèses!$V$16,Hypothèses!$W$16,IF(U363&lt;=Hypothèses!$V$17,Hypothèses!$W$17,IF(U363&lt;=Hypothèses!$V$18,Hypothèses!$W$18,""))))))))))))</f>
        <v>#DIV/0!</v>
      </c>
      <c r="AP363" s="87" t="e">
        <f t="shared" ca="1" si="617"/>
        <v>#DIV/0!</v>
      </c>
      <c r="AQ363" s="88" t="e">
        <f ca="1">IF(U363&lt;=Hypothèses!$V$7,Hypothèses!$X$7,IF(U363&lt;=Hypothèses!$V$8,Hypothèses!$X$8,IF(U363&lt;=Hypothèses!$V$9,Hypothèses!$X$9,IF(U363&lt;=Hypothèses!$V$10,Hypothèses!$X$10,IF(U363&lt;=Hypothèses!$V$11,Hypothèses!$X$11,IF(U363&lt;=Hypothèses!$V$12,Hypothèses!$X$12,IF(U363&lt;=Hypothèses!$V$13,Hypothèses!$X$13,IF(U363&lt;=Hypothèses!$V$14,Hypothèses!$X$14,IF(U363&lt;=Hypothèses!$V$15,Hypothèses!$X$15,IF(U363&lt;=Hypothèses!$V$16,Hypothèses!$X$16,IF(U363&lt;=Hypothèses!$U$17,Hypothèses!$W$17,IF(U363&lt;=Hypothèses!$U$18,Hypothèses!$W$18,""))))))))))))</f>
        <v>#DIV/0!</v>
      </c>
      <c r="AR363" s="95" t="e">
        <f t="shared" ca="1" si="572"/>
        <v>#DIV/0!</v>
      </c>
      <c r="AS363" s="101">
        <f t="shared" si="624"/>
        <v>0</v>
      </c>
      <c r="AT363" s="91">
        <f t="shared" si="541"/>
        <v>0</v>
      </c>
      <c r="AU363" s="30" t="e">
        <f t="shared" si="602"/>
        <v>#N/A</v>
      </c>
      <c r="AV363" s="30" t="e">
        <f t="shared" si="603"/>
        <v>#N/A</v>
      </c>
      <c r="AW363" s="31" t="e">
        <f>IF(OR(Hypothèses!$B$4=17,Hypothèses!$B$4=18,Hypothèses!$B$4=19,Hypothèses!$B$4=20),
IF($D363="Pressio.",
IF(OR($E363=3,$E363=1,$E363=4),AV363,AU363),
IF($D363="Pénétro.",
IF(OR($E363=3,$E363=1,$E363=4),AV363,AU363))),IF($D363="Pressio.",
IF($E363=3,AV363,AU363),
IF($D363="Pénétro.",
IF($E363=4,AV363,AU363))))</f>
        <v>#N/A</v>
      </c>
      <c r="AX363" s="31">
        <v>0</v>
      </c>
      <c r="AY363" s="102" t="e">
        <f>IF(NDC!$H$10="Oui",(VLOOKUP($B$3,'Coeff EC7'!$T$39:$X$59,2,0)*AW363+VLOOKUP($B$3,'Coeff EC7'!$T$65:$X$85,2,0)*Model0.1T!AX363)/1.5,PI()*AU$12*$Q363*($B363-$B362)*0.15/10+AY362)</f>
        <v>#N/A</v>
      </c>
      <c r="AZ363" s="102" t="e">
        <f>(VLOOKUP($B$3,'Coeff EC7'!$T$39:$X$59,3,0)*AW363+VLOOKUP($B$3,'Coeff EC7'!$T$65:$X$85,3,0)*Model0.1T!AX363)/1.1</f>
        <v>#N/A</v>
      </c>
      <c r="BA363" s="102" t="e">
        <f t="shared" si="573"/>
        <v>#N/A</v>
      </c>
      <c r="BB363" s="102" t="e">
        <f t="shared" si="574"/>
        <v>#N/A</v>
      </c>
      <c r="BC363" s="414" t="e">
        <f>IF(AND(AY363&gt;NDC!$C$63,AZ363&gt;NDC!$C$65,BA363&gt;NDC!$D$73,BB363&gt;NDC!$D$74,$B363&gt;NDC!$H$22-0.1+MIN(3*BC$12,1.5)),0,1)</f>
        <v>#N/A</v>
      </c>
      <c r="BD363" s="86" t="b">
        <f t="shared" si="542"/>
        <v>0</v>
      </c>
      <c r="BE363" s="86">
        <f t="shared" si="575"/>
        <v>0.5</v>
      </c>
      <c r="BF363" s="86">
        <f t="shared" si="543"/>
        <v>0.5</v>
      </c>
      <c r="BG363" s="30" t="e">
        <f t="shared" ca="1" si="576"/>
        <v>#DIV/0!</v>
      </c>
      <c r="BH363" s="85" t="e">
        <f ca="1">IF(AN363&lt;=Hypothèses!$V$7,Hypothèses!$W$7,IF(AN363&lt;=Hypothèses!$V$8,Hypothèses!$W$8,IF(AN363&lt;=Hypothèses!$V$9,Hypothèses!$W$9,IF(AN363&lt;=Hypothèses!$V$10,Hypothèses!$W$10,IF(AN363&lt;=Hypothèses!$V$11,Hypothèses!$W$11,IF(AN363&lt;=Hypothèses!$V$12,Hypothèses!$W$12,IF(AN363&lt;=Hypothèses!$V$13,Hypothèses!$W$13,IF(AN363&lt;=Hypothèses!$V$14,Hypothèses!$W$14,IF(AN363&lt;=Hypothèses!$V$15,Hypothèses!$W$15,IF(AN363&lt;=Hypothèses!$V$16,Hypothèses!$W$16,IF(AN363&lt;=Hypothèses!$V$17,Hypothèses!$W$17,IF(AN363&lt;=Hypothèses!$V$18,Hypothèses!$W$18,""))))))))))))</f>
        <v>#DIV/0!</v>
      </c>
      <c r="BI363" s="87" t="e">
        <f t="shared" ca="1" si="618"/>
        <v>#DIV/0!</v>
      </c>
      <c r="BJ363" s="88" t="e">
        <f ca="1">IF(AN363&lt;=Hypothèses!$V$7,Hypothèses!$X$7,IF(AN363&lt;=Hypothèses!$V$8,Hypothèses!$X$8,IF(AN363&lt;=Hypothèses!$V$9,Hypothèses!$X$9,IF(AN363&lt;=Hypothèses!$V$10,Hypothèses!$X$10,IF(AN363&lt;=Hypothèses!$V$11,Hypothèses!$X$11,IF(AN363&lt;=Hypothèses!$V$12,Hypothèses!$X$12,IF(AN363&lt;=Hypothèses!$V$13,Hypothèses!$X$13,IF(AN363&lt;=Hypothèses!$V$14,Hypothèses!$X$14,IF(AN363&lt;=Hypothèses!$V$15,Hypothèses!$X$15,IF(AN363&lt;=Hypothèses!$V$16,Hypothèses!$X$16,IF(AN363&lt;=Hypothèses!$U$17,Hypothèses!$W$17,IF(AN363&lt;=Hypothèses!$U$18,Hypothèses!$W$18,""))))))))))))</f>
        <v>#DIV/0!</v>
      </c>
      <c r="BK363" s="95" t="e">
        <f t="shared" ca="1" si="577"/>
        <v>#DIV/0!</v>
      </c>
      <c r="BL363" s="101">
        <f t="shared" si="625"/>
        <v>0</v>
      </c>
      <c r="BM363" s="91">
        <f t="shared" si="544"/>
        <v>0</v>
      </c>
      <c r="BN363" s="30" t="e">
        <f t="shared" si="604"/>
        <v>#N/A</v>
      </c>
      <c r="BO363" s="30" t="e">
        <f t="shared" si="605"/>
        <v>#N/A</v>
      </c>
      <c r="BP363" s="31" t="e">
        <f>IF(OR(Hypothèses!$B$4=17,Hypothèses!$B$4=18,Hypothèses!$B$4=19,Hypothèses!$B$4=20),
IF($D363="Pressio.",
IF(OR($E363=3,$E363=1,$E363=4),BO363,BN363),
IF($D363="Pénétro.",
IF(OR($E363=3,$E363=1,$E363=4),BO363,BN363))),IF($D363="Pressio.",
IF($E363=3,BO363,BN363),
IF($D363="Pénétro.",
IF($E363=4,BO363,BN363))))</f>
        <v>#N/A</v>
      </c>
      <c r="BQ363" s="31">
        <v>0</v>
      </c>
      <c r="BR363" s="102" t="e">
        <f>IF(NDC!$H$10="Oui",(VLOOKUP($B$3,'Coeff EC7'!$T$39:$X$59,2,0)*BP363+VLOOKUP($B$3,'Coeff EC7'!$T$65:$X$85,2,0)*Model0.1T!BQ363)/1.5,PI()*BN$12*$Q363*($B363-$B362)*0.15/10+BR362)</f>
        <v>#N/A</v>
      </c>
      <c r="BS363" s="102" t="e">
        <f>(VLOOKUP($B$3,'Coeff EC7'!$T$39:$X$59,3,0)*BP363+VLOOKUP($B$3,'Coeff EC7'!$T$65:$X$85,3,0)*Model0.1T!BQ363)/1.1</f>
        <v>#N/A</v>
      </c>
      <c r="BT363" s="102" t="e">
        <f t="shared" si="578"/>
        <v>#N/A</v>
      </c>
      <c r="BU363" s="102" t="e">
        <f t="shared" si="579"/>
        <v>#N/A</v>
      </c>
      <c r="BV363" s="414" t="e">
        <f>IF(AND(BR363&gt;NDC!$C$63,BS363&gt;NDC!$C$65,BT363&gt;NDC!$D$73,BU363&gt;NDC!$D$74,$B363&gt;NDC!$H$22-0.1+MIN(3*BV$12,1.5)),0,1)</f>
        <v>#N/A</v>
      </c>
      <c r="BW363" s="86" t="b">
        <f t="shared" si="545"/>
        <v>0</v>
      </c>
      <c r="BX363" s="86">
        <f t="shared" si="546"/>
        <v>0.5</v>
      </c>
      <c r="BY363" s="86">
        <f t="shared" si="547"/>
        <v>0.5</v>
      </c>
      <c r="BZ363" s="30" t="e">
        <f t="shared" ca="1" si="580"/>
        <v>#DIV/0!</v>
      </c>
      <c r="CA363" s="85" t="e">
        <f ca="1">IF(BG363&lt;=Hypothèses!$V$7,Hypothèses!$W$7,IF(BG363&lt;=Hypothèses!$V$8,Hypothèses!$W$8,IF(BG363&lt;=Hypothèses!$V$9,Hypothèses!$W$9,IF(BG363&lt;=Hypothèses!$V$10,Hypothèses!$W$10,IF(BG363&lt;=Hypothèses!$V$11,Hypothèses!$W$11,IF(BG363&lt;=Hypothèses!$V$12,Hypothèses!$W$12,IF(BG363&lt;=Hypothèses!$V$13,Hypothèses!$W$13,IF(BG363&lt;=Hypothèses!$V$14,Hypothèses!$W$14,IF(BG363&lt;=Hypothèses!$V$15,Hypothèses!$W$15,IF(BG363&lt;=Hypothèses!$V$16,Hypothèses!$W$16,IF(BG363&lt;=Hypothèses!$V$17,Hypothèses!$W$17,IF(BG363&lt;=Hypothèses!$V$18,Hypothèses!$W$18,""))))))))))))</f>
        <v>#DIV/0!</v>
      </c>
      <c r="CB363" s="87" t="e">
        <f t="shared" ca="1" si="619"/>
        <v>#DIV/0!</v>
      </c>
      <c r="CC363" s="88" t="e">
        <f ca="1">IF(BG363&lt;=Hypothèses!$V$7,Hypothèses!$X$7,IF(BG363&lt;=Hypothèses!$V$8,Hypothèses!$X$8,IF(BG363&lt;=Hypothèses!$V$9,Hypothèses!$X$9,IF(BG363&lt;=Hypothèses!$V$10,Hypothèses!$X$10,IF(BG363&lt;=Hypothèses!$V$11,Hypothèses!$X$11,IF(BG363&lt;=Hypothèses!$V$12,Hypothèses!$X$12,IF(BG363&lt;=Hypothèses!$V$13,Hypothèses!$X$13,IF(BG363&lt;=Hypothèses!$V$14,Hypothèses!$X$14,IF(BG363&lt;=Hypothèses!$V$15,Hypothèses!$X$15,IF(BG363&lt;=Hypothèses!$V$16,Hypothèses!$X$16,IF(BG363&lt;=Hypothèses!$U$17,Hypothèses!$W$17,IF(BG363&lt;=Hypothèses!$U$18,Hypothèses!$W$18,""))))))))))))</f>
        <v>#DIV/0!</v>
      </c>
      <c r="CD363" s="95" t="e">
        <f t="shared" ca="1" si="581"/>
        <v>#DIV/0!</v>
      </c>
      <c r="CE363" s="101">
        <f t="shared" si="626"/>
        <v>0</v>
      </c>
      <c r="CF363" s="91">
        <f t="shared" si="548"/>
        <v>0</v>
      </c>
      <c r="CG363" s="30" t="e">
        <f t="shared" si="606"/>
        <v>#N/A</v>
      </c>
      <c r="CH363" s="30" t="e">
        <f t="shared" si="607"/>
        <v>#N/A</v>
      </c>
      <c r="CI363" s="31" t="e">
        <f>IF(OR(Hypothèses!$B$4=17,Hypothèses!$B$4=18,Hypothèses!$B$4=19,Hypothèses!$B$4=20),
IF($D363="Pressio.",
IF(OR($E363=3,$E363=1,$E363=4),CH363,CG363),
IF($D363="Pénétro.",
IF(OR($E363=3,$E363=1,$E363=4),CH363,CG363))),IF($D363="Pressio.",
IF($E363=3,CH363,CG363),
IF($D363="Pénétro.",
IF($E363=4,CH363,CG363))))</f>
        <v>#N/A</v>
      </c>
      <c r="CJ363" s="31">
        <v>0</v>
      </c>
      <c r="CK363" s="102" t="e">
        <f>IF(NDC!$H$10="Oui",(VLOOKUP($B$3,'Coeff EC7'!$T$39:$X$59,2,0)*CI363+VLOOKUP($B$3,'Coeff EC7'!$T$65:$X$85,2,0)*Model0.1T!CJ363)/1.5,PI()*CG$12*$Q363*($B363-$B362)*0.15/10+CK362)</f>
        <v>#N/A</v>
      </c>
      <c r="CL363" s="102" t="e">
        <f>(VLOOKUP($B$3,'Coeff EC7'!$T$39:$X$59,3,0)*CI363+VLOOKUP($B$3,'Coeff EC7'!$T$65:$X$85,3,0)*Model0.1T!CJ363)/1.1</f>
        <v>#N/A</v>
      </c>
      <c r="CM363" s="102" t="e">
        <f t="shared" si="582"/>
        <v>#N/A</v>
      </c>
      <c r="CN363" s="102" t="e">
        <f t="shared" si="583"/>
        <v>#N/A</v>
      </c>
      <c r="CO363" s="414" t="e">
        <f>IF(AND(CK363&gt;NDC!$C$63,CL363&gt;NDC!$C$65,CM363&gt;NDC!$D$73,CN363&gt;NDC!$D$74,$B363&gt;NDC!$H$22-0.1+MIN(3*CO$12,1.5)),0,1)</f>
        <v>#N/A</v>
      </c>
      <c r="CP363" s="86" t="b">
        <f t="shared" si="549"/>
        <v>0</v>
      </c>
      <c r="CQ363" s="86">
        <f t="shared" si="550"/>
        <v>0.5</v>
      </c>
      <c r="CR363" s="86">
        <f t="shared" si="551"/>
        <v>0.5</v>
      </c>
      <c r="CS363" s="30" t="e">
        <f t="shared" ca="1" si="584"/>
        <v>#DIV/0!</v>
      </c>
      <c r="CT363" s="85" t="e">
        <f ca="1">IF(BZ363&lt;=Hypothèses!$V$7,Hypothèses!$W$7,IF(BZ363&lt;=Hypothèses!$V$8,Hypothèses!$W$8,IF(BZ363&lt;=Hypothèses!$V$9,Hypothèses!$W$9,IF(BZ363&lt;=Hypothèses!$V$10,Hypothèses!$W$10,IF(BZ363&lt;=Hypothèses!$V$11,Hypothèses!$W$11,IF(BZ363&lt;=Hypothèses!$V$12,Hypothèses!$W$12,IF(BZ363&lt;=Hypothèses!$V$13,Hypothèses!$W$13,IF(BZ363&lt;=Hypothèses!$V$14,Hypothèses!$W$14,IF(BZ363&lt;=Hypothèses!$V$15,Hypothèses!$W$15,IF(BZ363&lt;=Hypothèses!$V$16,Hypothèses!$W$16,IF(BZ363&lt;=Hypothèses!$V$17,Hypothèses!$W$17,IF(BZ363&lt;=Hypothèses!$V$18,Hypothèses!$W$18,""))))))))))))</f>
        <v>#DIV/0!</v>
      </c>
      <c r="CU363" s="87" t="e">
        <f t="shared" ca="1" si="620"/>
        <v>#DIV/0!</v>
      </c>
      <c r="CV363" s="88" t="e">
        <f ca="1">IF(BZ363&lt;=Hypothèses!$V$7,Hypothèses!$X$7,IF(BZ363&lt;=Hypothèses!$V$8,Hypothèses!$X$8,IF(BZ363&lt;=Hypothèses!$V$9,Hypothèses!$X$9,IF(BZ363&lt;=Hypothèses!$V$10,Hypothèses!$X$10,IF(BZ363&lt;=Hypothèses!$V$11,Hypothèses!$X$11,IF(BZ363&lt;=Hypothèses!$V$12,Hypothèses!$X$12,IF(BZ363&lt;=Hypothèses!$V$13,Hypothèses!$X$13,IF(BZ363&lt;=Hypothèses!$V$14,Hypothèses!$X$14,IF(BZ363&lt;=Hypothèses!$V$15,Hypothèses!$X$15,IF(BZ363&lt;=Hypothèses!$V$16,Hypothèses!$X$16,IF(BZ363&lt;=Hypothèses!$U$17,Hypothèses!$W$17,IF(BZ363&lt;=Hypothèses!$U$18,Hypothèses!$W$18,""))))))))))))</f>
        <v>#DIV/0!</v>
      </c>
      <c r="CW363" s="95" t="e">
        <f t="shared" ca="1" si="585"/>
        <v>#DIV/0!</v>
      </c>
      <c r="CX363" s="101">
        <f t="shared" si="627"/>
        <v>0</v>
      </c>
      <c r="CY363" s="91">
        <f t="shared" si="552"/>
        <v>0</v>
      </c>
      <c r="CZ363" s="30" t="e">
        <f t="shared" si="608"/>
        <v>#N/A</v>
      </c>
      <c r="DA363" s="30" t="e">
        <f t="shared" si="609"/>
        <v>#N/A</v>
      </c>
      <c r="DB363" s="31" t="e">
        <f>IF(OR(Hypothèses!$B$4=17,Hypothèses!$B$4=18,Hypothèses!$B$4=19,Hypothèses!$B$4=20),
IF($D363="Pressio.",
IF(OR($E363=3,$E363=1,$E363=4),DA363,CZ363),
IF($D363="Pénétro.",
IF(OR($E363=3,$E363=1,$E363=4),DA363,CZ363))),IF($D363="Pressio.",
IF($E363=3,DA363,CZ363),
IF($D363="Pénétro.",
IF($E363=4,DA363,CZ363))))</f>
        <v>#N/A</v>
      </c>
      <c r="DC363" s="31">
        <v>0</v>
      </c>
      <c r="DD363" s="102" t="e">
        <f>IF(NDC!$H$10="Oui",(VLOOKUP($B$3,'Coeff EC7'!$T$39:$X$59,2,0)*DB363+VLOOKUP($B$3,'Coeff EC7'!$T$65:$X$85,2,0)*Model0.1T!DC363)/1.5,PI()*CZ$12*$Q363*($B363-$B362)*0.15/10+DD362)</f>
        <v>#N/A</v>
      </c>
      <c r="DE363" s="102" t="e">
        <f>(VLOOKUP($B$3,'Coeff EC7'!$T$39:$X$59,3,0)*DB363+VLOOKUP($B$3,'Coeff EC7'!$T$65:$X$85,3,0)*Model0.1T!DC363)/1.1</f>
        <v>#N/A</v>
      </c>
      <c r="DF363" s="102" t="e">
        <f t="shared" si="586"/>
        <v>#N/A</v>
      </c>
      <c r="DG363" s="102" t="e">
        <f t="shared" si="587"/>
        <v>#N/A</v>
      </c>
      <c r="DH363" s="414" t="e">
        <f>IF(AND(DD363&gt;NDC!$C$63,DE363&gt;NDC!$C$65,DF363&gt;NDC!$D$73,DG363&gt;NDC!$D$74,$B363&gt;NDC!$H$22-0.1+MIN(3*DH$12,1.5)),0,1)</f>
        <v>#N/A</v>
      </c>
      <c r="DI363" s="86" t="b">
        <f t="shared" si="553"/>
        <v>0</v>
      </c>
      <c r="DJ363" s="86">
        <f t="shared" si="554"/>
        <v>0.5</v>
      </c>
      <c r="DK363" s="86">
        <f t="shared" si="555"/>
        <v>0.5</v>
      </c>
      <c r="DL363" s="30" t="e">
        <f t="shared" ca="1" si="588"/>
        <v>#DIV/0!</v>
      </c>
      <c r="DM363" s="85" t="e">
        <f ca="1">IF(CS363&lt;=Hypothèses!$V$7,Hypothèses!$W$7,IF(CS363&lt;=Hypothèses!$V$8,Hypothèses!$W$8,IF(CS363&lt;=Hypothèses!$V$9,Hypothèses!$W$9,IF(CS363&lt;=Hypothèses!$V$10,Hypothèses!$W$10,IF(CS363&lt;=Hypothèses!$V$11,Hypothèses!$W$11,IF(CS363&lt;=Hypothèses!$V$12,Hypothèses!$W$12,IF(CS363&lt;=Hypothèses!$V$13,Hypothèses!$W$13,IF(CS363&lt;=Hypothèses!$V$14,Hypothèses!$W$14,IF(CS363&lt;=Hypothèses!$V$15,Hypothèses!$W$15,IF(CS363&lt;=Hypothèses!$V$16,Hypothèses!$W$16,IF(CS363&lt;=Hypothèses!$V$17,Hypothèses!$W$17,IF(CS363&lt;=Hypothèses!$V$18,Hypothèses!$W$18,""))))))))))))</f>
        <v>#DIV/0!</v>
      </c>
      <c r="DN363" s="87" t="e">
        <f t="shared" ca="1" si="621"/>
        <v>#DIV/0!</v>
      </c>
      <c r="DO363" s="88" t="e">
        <f ca="1">IF(CS363&lt;=Hypothèses!$V$7,Hypothèses!$X$7,IF(CS363&lt;=Hypothèses!$V$8,Hypothèses!$X$8,IF(CS363&lt;=Hypothèses!$V$9,Hypothèses!$X$9,IF(CS363&lt;=Hypothèses!$V$10,Hypothèses!$X$10,IF(CS363&lt;=Hypothèses!$V$11,Hypothèses!$X$11,IF(CS363&lt;=Hypothèses!$V$12,Hypothèses!$X$12,IF(CS363&lt;=Hypothèses!$V$13,Hypothèses!$X$13,IF(CS363&lt;=Hypothèses!$V$14,Hypothèses!$X$14,IF(CS363&lt;=Hypothèses!$V$15,Hypothèses!$X$15,IF(CS363&lt;=Hypothèses!$V$16,Hypothèses!$X$16,IF(CS363&lt;=Hypothèses!$U$17,Hypothèses!$W$17,IF(CS363&lt;=Hypothèses!$U$18,Hypothèses!$W$18,""))))))))))))</f>
        <v>#DIV/0!</v>
      </c>
      <c r="DP363" s="95" t="e">
        <f t="shared" ca="1" si="589"/>
        <v>#DIV/0!</v>
      </c>
      <c r="DQ363" s="101">
        <f t="shared" si="628"/>
        <v>0</v>
      </c>
      <c r="DR363" s="91">
        <f t="shared" si="556"/>
        <v>0</v>
      </c>
      <c r="DS363" s="30" t="e">
        <f t="shared" si="610"/>
        <v>#N/A</v>
      </c>
      <c r="DT363" s="30" t="e">
        <f t="shared" si="611"/>
        <v>#N/A</v>
      </c>
      <c r="DU363" s="31" t="e">
        <f>IF(OR(Hypothèses!$B$4=17,Hypothèses!$B$4=18,Hypothèses!$B$4=19,Hypothèses!$B$4=20),
IF($D363="Pressio.",
IF(OR($E363=3,$E363=1,$E363=4),DT363,DS363),
IF($D363="Pénétro.",
IF(OR($E363=3,$E363=1,$E363=4),DT363,DS363))),IF($D363="Pressio.",
IF($E363=3,DT363,DS363),
IF($D363="Pénétro.",
IF($E363=4,DT363,DS363))))</f>
        <v>#N/A</v>
      </c>
      <c r="DV363" s="31">
        <v>0</v>
      </c>
      <c r="DW363" s="102" t="e">
        <f>IF(NDC!$H$10="Oui",(VLOOKUP($B$3,'Coeff EC7'!$T$39:$X$59,2,0)*DU363+VLOOKUP($B$3,'Coeff EC7'!$T$65:$X$85,2,0)*Model0.1T!DV363)/1.5,PI()*DS$12*$Q363*($B363-$B362)*0.15/10+DW362)</f>
        <v>#N/A</v>
      </c>
      <c r="DX363" s="102" t="e">
        <f>(VLOOKUP($B$3,'Coeff EC7'!$T$39:$X$59,3,0)*DU363+VLOOKUP($B$3,'Coeff EC7'!$T$65:$X$85,3,0)*Model0.1T!DV363)/1.1</f>
        <v>#N/A</v>
      </c>
      <c r="DY363" s="102" t="e">
        <f t="shared" si="590"/>
        <v>#N/A</v>
      </c>
      <c r="DZ363" s="102" t="e">
        <f t="shared" si="591"/>
        <v>#N/A</v>
      </c>
      <c r="EA363" s="414" t="e">
        <f>IF(AND(DW363&gt;NDC!$C$63,DX363&gt;NDC!$C$65,DY363&gt;NDC!$D$73,DZ363&gt;NDC!$D$74,$B363&gt;NDC!$H$22-0.1+MIN(3*EA$12,1.5)),0,1)</f>
        <v>#N/A</v>
      </c>
      <c r="EB363" s="86" t="b">
        <f t="shared" si="557"/>
        <v>0</v>
      </c>
      <c r="EC363" s="418">
        <f t="shared" si="558"/>
        <v>0.51</v>
      </c>
      <c r="ED363" s="86">
        <f t="shared" si="559"/>
        <v>0.51</v>
      </c>
      <c r="EE363" s="30" t="e">
        <f t="shared" ca="1" si="592"/>
        <v>#DIV/0!</v>
      </c>
      <c r="EF363" s="85" t="e">
        <f ca="1">IF(DL363&lt;=Hypothèses!$V$7,Hypothèses!$W$7,IF(DL363&lt;=Hypothèses!$V$8,Hypothèses!$W$8,IF(DL363&lt;=Hypothèses!$V$9,Hypothèses!$W$9,IF(DL363&lt;=Hypothèses!$V$10,Hypothèses!$W$10,IF(DL363&lt;=Hypothèses!$V$11,Hypothèses!$W$11,IF(DL363&lt;=Hypothèses!$V$12,Hypothèses!$W$12,IF(DL363&lt;=Hypothèses!$V$13,Hypothèses!$W$13,IF(DL363&lt;=Hypothèses!$V$14,Hypothèses!$W$14,IF(DL363&lt;=Hypothèses!$V$15,Hypothèses!$W$15,IF(DL363&lt;=Hypothèses!$V$16,Hypothèses!$W$16,IF(DL363&lt;=Hypothèses!$V$17,Hypothèses!$W$17,IF(DL363&lt;=Hypothèses!$V$18,Hypothèses!$W$18,""))))))))))))</f>
        <v>#DIV/0!</v>
      </c>
      <c r="EG363" s="87" t="e">
        <f t="shared" ca="1" si="622"/>
        <v>#DIV/0!</v>
      </c>
      <c r="EH363" s="88" t="e">
        <f ca="1">IF(DL363&lt;=Hypothèses!$V$7,Hypothèses!$X$7,IF(DL363&lt;=Hypothèses!$V$8,Hypothèses!$X$8,IF(DL363&lt;=Hypothèses!$V$9,Hypothèses!$X$9,IF(DL363&lt;=Hypothèses!$V$10,Hypothèses!$X$10,IF(DL363&lt;=Hypothèses!$V$11,Hypothèses!$X$11,IF(DL363&lt;=Hypothèses!$V$12,Hypothèses!$X$12,IF(DL363&lt;=Hypothèses!$V$13,Hypothèses!$X$13,IF(DL363&lt;=Hypothèses!$V$14,Hypothèses!$X$14,IF(DL363&lt;=Hypothèses!$V$15,Hypothèses!$X$15,IF(DL363&lt;=Hypothèses!$V$16,Hypothèses!$X$16,IF(DL363&lt;=Hypothèses!$U$17,Hypothèses!$W$17,IF(DL363&lt;=Hypothèses!$U$18,Hypothèses!$W$18,""))))))))))))</f>
        <v>#DIV/0!</v>
      </c>
      <c r="EI363" s="95" t="e">
        <f t="shared" ca="1" si="593"/>
        <v>#DIV/0!</v>
      </c>
      <c r="EJ363" s="101">
        <f t="shared" si="629"/>
        <v>0</v>
      </c>
      <c r="EK363" s="91">
        <f t="shared" si="560"/>
        <v>0</v>
      </c>
      <c r="EL363" s="30" t="e">
        <f t="shared" si="612"/>
        <v>#N/A</v>
      </c>
      <c r="EM363" s="30" t="e">
        <f t="shared" si="613"/>
        <v>#N/A</v>
      </c>
      <c r="EN363" s="31" t="e">
        <f>IF(OR(Hypothèses!$B$4=17,Hypothèses!$B$4=18,Hypothèses!$B$4=19,Hypothèses!$B$4=20),
IF($D363="Pressio.",
IF(OR($E363=3,$E363=1,$E363=4),EM363,EL363),
IF($D363="Pénétro.",
IF(OR($E363=3,$E363=1,$E363=4),EM363,EL363))),IF($D363="Pressio.",
IF($E363=3,EM363,EL363),
IF($D363="Pénétro.",
IF($E363=4,EM363,EL363))))</f>
        <v>#N/A</v>
      </c>
      <c r="EO363" s="31">
        <v>0</v>
      </c>
      <c r="EP363" s="102" t="e">
        <f>IF(NDC!$H$10="Oui",(VLOOKUP($B$3,'Coeff EC7'!$T$39:$X$59,2,0)*EN363+VLOOKUP($B$3,'Coeff EC7'!$T$65:$X$85,2,0)*Model0.1T!EO363)/1.5,PI()*EL$12*$Q363*($B363-$B362)*0.15/10+EP362)</f>
        <v>#N/A</v>
      </c>
      <c r="EQ363" s="102" t="e">
        <f>(VLOOKUP($B$3,'Coeff EC7'!$T$39:$X$59,3,0)*EN363+VLOOKUP($B$3,'Coeff EC7'!$T$65:$X$85,3,0)*Model0.1T!EO363)/1.1</f>
        <v>#N/A</v>
      </c>
      <c r="ER363" s="102" t="e">
        <f t="shared" si="594"/>
        <v>#N/A</v>
      </c>
      <c r="ES363" s="102" t="e">
        <f t="shared" si="595"/>
        <v>#N/A</v>
      </c>
      <c r="ET363" s="414" t="e">
        <f>IF(AND(EP363&gt;NDC!$C$63,EQ363&gt;NDC!$C$65,ER363&gt;NDC!$D$73,ES363&gt;NDC!$D$74,$B363&gt;NDC!$H$22-0.1+MIN(3*ET$12,1.5)),0,1)</f>
        <v>#N/A</v>
      </c>
      <c r="EU363" s="86" t="b">
        <f t="shared" si="561"/>
        <v>0</v>
      </c>
      <c r="EV363" s="86">
        <f t="shared" si="562"/>
        <v>0.61</v>
      </c>
      <c r="EW363" s="86">
        <f t="shared" si="563"/>
        <v>0.61</v>
      </c>
      <c r="EX363" s="30" t="e">
        <f t="shared" ca="1" si="596"/>
        <v>#DIV/0!</v>
      </c>
      <c r="EY363" s="85" t="e">
        <f ca="1">IF(EE363&lt;=Hypothèses!$V$7,Hypothèses!$W$7,IF(EE363&lt;=Hypothèses!$V$8,Hypothèses!$W$8,IF(EE363&lt;=Hypothèses!$V$9,Hypothèses!$W$9,IF(EE363&lt;=Hypothèses!$V$10,Hypothèses!$W$10,IF(EE363&lt;=Hypothèses!$V$11,Hypothèses!$W$11,IF(EE363&lt;=Hypothèses!$V$12,Hypothèses!$W$12,IF(EE363&lt;=Hypothèses!$V$13,Hypothèses!$W$13,IF(EE363&lt;=Hypothèses!$V$14,Hypothèses!$W$14,IF(EE363&lt;=Hypothèses!$V$15,Hypothèses!$W$15,IF(EE363&lt;=Hypothèses!$V$16,Hypothèses!$W$16,IF(EE363&lt;=Hypothèses!$V$17,Hypothèses!$W$17,IF(EE363&lt;=Hypothèses!$V$18,Hypothèses!$W$18,""))))))))))))</f>
        <v>#DIV/0!</v>
      </c>
      <c r="EZ363" s="87" t="e">
        <f t="shared" ca="1" si="623"/>
        <v>#DIV/0!</v>
      </c>
      <c r="FA363" s="88" t="e">
        <f ca="1">IF(EE363&lt;=Hypothèses!$V$7,Hypothèses!$X$7,IF(EE363&lt;=Hypothèses!$V$8,Hypothèses!$X$8,IF(EE363&lt;=Hypothèses!$V$9,Hypothèses!$X$9,IF(EE363&lt;=Hypothèses!$V$10,Hypothèses!$X$10,IF(EE363&lt;=Hypothèses!$V$11,Hypothèses!$X$11,IF(EE363&lt;=Hypothèses!$V$12,Hypothèses!$X$12,IF(EE363&lt;=Hypothèses!$V$13,Hypothèses!$X$13,IF(EE363&lt;=Hypothèses!$V$14,Hypothèses!$X$14,IF(EE363&lt;=Hypothèses!$V$15,Hypothèses!$X$15,IF(EE363&lt;=Hypothèses!$V$16,Hypothèses!$X$16,IF(EE363&lt;=Hypothèses!$U$17,Hypothèses!$W$17,IF(EE363&lt;=Hypothèses!$U$18,Hypothèses!$W$18,""))))))))))))</f>
        <v>#DIV/0!</v>
      </c>
      <c r="FB363" s="95" t="e">
        <f t="shared" ca="1" si="597"/>
        <v>#DIV/0!</v>
      </c>
      <c r="FC363" s="101">
        <f t="shared" si="630"/>
        <v>0</v>
      </c>
      <c r="FD363" s="91">
        <f t="shared" si="564"/>
        <v>0</v>
      </c>
      <c r="FE363" s="30" t="e">
        <f t="shared" si="614"/>
        <v>#N/A</v>
      </c>
      <c r="FF363" s="30" t="e">
        <f t="shared" si="615"/>
        <v>#N/A</v>
      </c>
      <c r="FG363" s="31" t="e">
        <f>IF(OR(Hypothèses!$B$4=17,Hypothèses!$B$4=18,Hypothèses!$B$4=19,Hypothèses!$B$4=20),
IF($D363="Pressio.",
IF(OR($E363=3,$E363=1,$E363=4),FF363,FE363),
IF($D363="Pénétro.",
IF(OR($E363=3,$E363=1,$E363=4),FF363,FE363))),IF($D363="Pressio.",
IF($E363=3,FF363,FE363),
IF($D363="Pénétro.",
IF($E363=4,FF363,FE363))))</f>
        <v>#N/A</v>
      </c>
      <c r="FH363" s="31">
        <v>0</v>
      </c>
      <c r="FI363" s="102" t="e">
        <f>IF(NDC!$H$10="Oui",(VLOOKUP($B$3,'Coeff EC7'!$T$39:$X$59,2,0)*FG363+VLOOKUP($B$3,'Coeff EC7'!$T$65:$X$85,2,0)*Model0.1T!FH363)/1.5,PI()*FE$12*$Q363*($B363-$B362)*0.15/10+FI362)</f>
        <v>#N/A</v>
      </c>
      <c r="FJ363" s="102" t="e">
        <f>(VLOOKUP($B$3,'Coeff EC7'!$T$39:$X$59,3,0)*FG363+VLOOKUP($B$3,'Coeff EC7'!$T$65:$X$85,3,0)*Model0.1T!FH363)/1.1</f>
        <v>#N/A</v>
      </c>
      <c r="FK363" s="102" t="e">
        <f t="shared" si="598"/>
        <v>#N/A</v>
      </c>
      <c r="FL363" s="102" t="e">
        <f t="shared" si="599"/>
        <v>#N/A</v>
      </c>
      <c r="FM363" s="414" t="e">
        <f>IF(AND(FI363&gt;NDC!$C$63,FJ363&gt;NDC!$C$65,FK363&gt;NDC!$D$73,FL363&gt;NDC!$D$74,$B363&gt;NDC!$H$22-0.1+MIN(3*FM$12,1.5)),0,1)</f>
        <v>#N/A</v>
      </c>
    </row>
  </sheetData>
  <sheetProtection formatCells="0" formatColumns="0" formatRows="0" insertColumns="0" insertRows="0" insertHyperlinks="0" deleteColumns="0" deleteRows="0" sort="0" autoFilter="0" pivotTables="0"/>
  <mergeCells count="11">
    <mergeCell ref="BK11:BM11"/>
    <mergeCell ref="A8:A9"/>
    <mergeCell ref="B8:B9"/>
    <mergeCell ref="A11:X11"/>
    <mergeCell ref="Y11:AA11"/>
    <mergeCell ref="AR11:AT11"/>
    <mergeCell ref="CD11:CF11"/>
    <mergeCell ref="CW11:CY11"/>
    <mergeCell ref="DP11:DR11"/>
    <mergeCell ref="EI11:EK11"/>
    <mergeCell ref="FB11:FD11"/>
  </mergeCells>
  <conditionalFormatting sqref="AJ14:AJ363">
    <cfRule type="cellIs" dxfId="7" priority="8" operator="equal">
      <formula>1</formula>
    </cfRule>
  </conditionalFormatting>
  <conditionalFormatting sqref="BC14:BC363">
    <cfRule type="cellIs" dxfId="6" priority="7" operator="equal">
      <formula>1</formula>
    </cfRule>
  </conditionalFormatting>
  <conditionalFormatting sqref="BV14:BV363">
    <cfRule type="cellIs" dxfId="5" priority="6" operator="equal">
      <formula>1</formula>
    </cfRule>
  </conditionalFormatting>
  <conditionalFormatting sqref="CO14:CO363">
    <cfRule type="cellIs" dxfId="4" priority="5" operator="equal">
      <formula>1</formula>
    </cfRule>
  </conditionalFormatting>
  <conditionalFormatting sqref="DH14:DH363">
    <cfRule type="cellIs" dxfId="3" priority="4" operator="equal">
      <formula>1</formula>
    </cfRule>
  </conditionalFormatting>
  <conditionalFormatting sqref="EA14:EA363">
    <cfRule type="cellIs" dxfId="2" priority="3" operator="equal">
      <formula>1</formula>
    </cfRule>
  </conditionalFormatting>
  <conditionalFormatting sqref="ET14:ET363">
    <cfRule type="cellIs" dxfId="1" priority="2" operator="equal">
      <formula>1</formula>
    </cfRule>
  </conditionalFormatting>
  <conditionalFormatting sqref="FM14:FM363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AD38"/>
  <sheetViews>
    <sheetView zoomScale="85" zoomScaleNormal="85" workbookViewId="0">
      <selection activeCell="C26" sqref="C26"/>
    </sheetView>
  </sheetViews>
  <sheetFormatPr baseColWidth="10" defaultColWidth="11.44140625" defaultRowHeight="13.2"/>
  <cols>
    <col min="1" max="1" width="11.44140625" style="14"/>
    <col min="2" max="2" width="17.88671875" style="17" customWidth="1"/>
    <col min="3" max="3" width="8.6640625" style="17" customWidth="1"/>
    <col min="4" max="4" width="8.88671875" style="17" customWidth="1"/>
    <col min="5" max="5" width="9.33203125" style="17" customWidth="1"/>
    <col min="6" max="7" width="8" style="17" customWidth="1"/>
    <col min="8" max="10" width="11.44140625" style="17"/>
    <col min="11" max="11" width="11.5546875" style="17" customWidth="1"/>
    <col min="12" max="15" width="11.44140625" style="17"/>
    <col min="16" max="16" width="0" style="17" hidden="1" customWidth="1"/>
    <col min="17" max="16384" width="11.44140625" style="17"/>
  </cols>
  <sheetData>
    <row r="1" spans="1:30" ht="18" customHeight="1" thickBot="1">
      <c r="B1" s="574" t="s">
        <v>93</v>
      </c>
      <c r="C1" s="575"/>
      <c r="D1" s="575"/>
      <c r="E1" s="576"/>
    </row>
    <row r="2" spans="1:30" ht="5.4" customHeight="1">
      <c r="B2" s="104"/>
      <c r="E2" s="105"/>
    </row>
    <row r="3" spans="1:30" ht="15.6">
      <c r="B3" s="106" t="s">
        <v>94</v>
      </c>
      <c r="C3" s="107">
        <f>NDC!G19</f>
        <v>30</v>
      </c>
      <c r="D3" s="24" t="s">
        <v>95</v>
      </c>
      <c r="E3" s="105"/>
    </row>
    <row r="4" spans="1:30" ht="15.6">
      <c r="B4" s="106" t="s">
        <v>96</v>
      </c>
      <c r="C4" s="14">
        <v>1</v>
      </c>
      <c r="E4" s="108"/>
      <c r="F4" s="14"/>
      <c r="G4" s="14"/>
      <c r="H4" s="14"/>
      <c r="I4" s="14"/>
      <c r="J4" s="14"/>
      <c r="K4" s="14"/>
      <c r="L4" s="14"/>
      <c r="M4" s="14"/>
      <c r="P4" s="14"/>
      <c r="R4" s="14"/>
      <c r="S4" s="14"/>
      <c r="T4" s="14"/>
    </row>
    <row r="5" spans="1:30" ht="15.6">
      <c r="B5" s="106" t="s">
        <v>97</v>
      </c>
      <c r="C5" s="107" t="s">
        <v>98</v>
      </c>
      <c r="D5" s="14"/>
      <c r="E5" s="108"/>
      <c r="F5" s="14"/>
      <c r="G5" s="14"/>
      <c r="H5" s="14"/>
      <c r="I5" s="14"/>
      <c r="J5" s="14"/>
      <c r="K5" s="14"/>
      <c r="L5" s="14"/>
      <c r="M5" s="14"/>
      <c r="P5" s="14"/>
      <c r="R5" s="14"/>
      <c r="S5" s="14"/>
      <c r="T5" s="14"/>
    </row>
    <row r="6" spans="1:30" ht="13.2" customHeight="1">
      <c r="B6" s="106" t="s">
        <v>327</v>
      </c>
      <c r="C6" s="107" t="s">
        <v>99</v>
      </c>
      <c r="D6" s="14"/>
      <c r="E6" s="108"/>
      <c r="F6" s="14"/>
      <c r="G6" s="14"/>
      <c r="H6" s="22"/>
      <c r="I6" s="14"/>
      <c r="J6" s="14"/>
      <c r="K6" s="14"/>
      <c r="L6" s="14"/>
      <c r="M6" s="14"/>
      <c r="P6" s="14"/>
      <c r="R6" s="14"/>
      <c r="S6" s="14"/>
      <c r="T6" s="14"/>
    </row>
    <row r="7" spans="1:30" ht="13.8" thickBot="1">
      <c r="B7" s="109"/>
      <c r="C7" s="110"/>
      <c r="D7" s="110"/>
      <c r="E7" s="111"/>
      <c r="F7" s="14"/>
      <c r="G7" s="14"/>
      <c r="H7" s="14"/>
      <c r="I7" s="14"/>
      <c r="J7" s="14"/>
      <c r="K7" s="14"/>
      <c r="L7" s="14"/>
      <c r="M7" s="14"/>
      <c r="P7" s="14"/>
      <c r="R7" s="14"/>
      <c r="S7" s="14"/>
      <c r="T7" s="14"/>
    </row>
    <row r="8" spans="1:30" ht="13.8" thickBot="1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P8" s="14"/>
      <c r="R8" s="14"/>
      <c r="S8" s="14"/>
      <c r="T8" s="14"/>
    </row>
    <row r="9" spans="1:30" ht="16.2" thickBot="1">
      <c r="A9" s="14">
        <f>COLUMN(I12)-COLUMN()+1</f>
        <v>9</v>
      </c>
      <c r="B9" s="14"/>
      <c r="C9" s="577" t="s">
        <v>100</v>
      </c>
      <c r="D9" s="578"/>
      <c r="E9" s="578"/>
      <c r="F9" s="578"/>
      <c r="G9" s="579"/>
      <c r="H9" s="577" t="s">
        <v>101</v>
      </c>
      <c r="I9" s="578"/>
      <c r="J9" s="578"/>
      <c r="K9" s="578"/>
      <c r="L9" s="579"/>
      <c r="M9" s="577" t="s">
        <v>102</v>
      </c>
      <c r="N9" s="578"/>
      <c r="O9" s="578"/>
      <c r="P9" s="578"/>
      <c r="Q9" s="579"/>
      <c r="R9" s="14"/>
      <c r="S9" s="14"/>
      <c r="T9" s="14"/>
    </row>
    <row r="10" spans="1:30" ht="28.8">
      <c r="B10" s="580" t="s">
        <v>103</v>
      </c>
      <c r="C10" s="431" t="s">
        <v>104</v>
      </c>
      <c r="D10" s="432" t="s">
        <v>105</v>
      </c>
      <c r="E10" s="432" t="s">
        <v>106</v>
      </c>
      <c r="F10" s="432" t="s">
        <v>107</v>
      </c>
      <c r="G10" s="433" t="s">
        <v>108</v>
      </c>
      <c r="H10" s="431" t="s">
        <v>109</v>
      </c>
      <c r="I10" s="432" t="s">
        <v>110</v>
      </c>
      <c r="J10" s="432" t="s">
        <v>111</v>
      </c>
      <c r="K10" s="432" t="s">
        <v>112</v>
      </c>
      <c r="L10" s="433" t="s">
        <v>113</v>
      </c>
      <c r="M10" s="434" t="s">
        <v>114</v>
      </c>
      <c r="N10" s="432" t="s">
        <v>115</v>
      </c>
      <c r="O10" s="434" t="s">
        <v>111</v>
      </c>
      <c r="P10" s="432" t="s">
        <v>112</v>
      </c>
      <c r="Q10" s="433" t="s">
        <v>113</v>
      </c>
      <c r="R10" s="431" t="s">
        <v>16</v>
      </c>
      <c r="S10" s="432" t="s">
        <v>116</v>
      </c>
      <c r="T10" s="433" t="s">
        <v>117</v>
      </c>
      <c r="U10" s="432" t="s">
        <v>16</v>
      </c>
      <c r="V10" s="432" t="s">
        <v>116</v>
      </c>
      <c r="W10" s="433" t="s">
        <v>117</v>
      </c>
      <c r="Y10" s="112" t="s">
        <v>118</v>
      </c>
      <c r="Z10" s="113"/>
      <c r="AA10" s="113"/>
      <c r="AB10" s="113"/>
      <c r="AC10" s="113"/>
      <c r="AD10" s="114"/>
    </row>
    <row r="11" spans="1:30" ht="13.8" thickBot="1">
      <c r="B11" s="581"/>
      <c r="C11" s="435" t="s">
        <v>119</v>
      </c>
      <c r="D11" s="436" t="s">
        <v>120</v>
      </c>
      <c r="E11" s="436" t="s">
        <v>121</v>
      </c>
      <c r="F11" s="436" t="s">
        <v>121</v>
      </c>
      <c r="G11" s="437" t="s">
        <v>120</v>
      </c>
      <c r="H11" s="435" t="s">
        <v>120</v>
      </c>
      <c r="I11" s="436" t="s">
        <v>122</v>
      </c>
      <c r="J11" s="436" t="s">
        <v>120</v>
      </c>
      <c r="K11" s="436" t="s">
        <v>120</v>
      </c>
      <c r="L11" s="437" t="s">
        <v>120</v>
      </c>
      <c r="M11" s="438" t="s">
        <v>120</v>
      </c>
      <c r="N11" s="436" t="s">
        <v>122</v>
      </c>
      <c r="O11" s="438" t="s">
        <v>120</v>
      </c>
      <c r="P11" s="436" t="s">
        <v>120</v>
      </c>
      <c r="Q11" s="437" t="s">
        <v>120</v>
      </c>
      <c r="R11" s="438" t="s">
        <v>120</v>
      </c>
      <c r="S11" s="437" t="s">
        <v>122</v>
      </c>
      <c r="T11" s="437" t="s">
        <v>122</v>
      </c>
      <c r="U11" s="436" t="s">
        <v>120</v>
      </c>
      <c r="V11" s="437" t="s">
        <v>122</v>
      </c>
      <c r="W11" s="437" t="s">
        <v>122</v>
      </c>
      <c r="Y11" s="104"/>
      <c r="Z11" s="115" t="s">
        <v>123</v>
      </c>
      <c r="AA11" s="115" t="s">
        <v>124</v>
      </c>
      <c r="AB11" s="115" t="s">
        <v>125</v>
      </c>
      <c r="AD11" s="105"/>
    </row>
    <row r="12" spans="1:30" ht="13.95" customHeight="1">
      <c r="A12" s="14">
        <f>60000+C12</f>
        <v>60042</v>
      </c>
      <c r="B12" s="582" t="str">
        <f>IF(C6="OUI","PINTOSTAR","Pieux 6 (FTC FTCD)")</f>
        <v>Pieux 6 (FTC FTCD)</v>
      </c>
      <c r="C12" s="116">
        <v>42</v>
      </c>
      <c r="D12" s="117">
        <f>IF($C$6="OUI",40,30)</f>
        <v>30</v>
      </c>
      <c r="E12" s="118">
        <f>IF($C$6="OUI",1.05,1.35)</f>
        <v>1.35</v>
      </c>
      <c r="F12" s="119">
        <f>IF($C$6="OUI",1,IF($C$5=1,1,IF($C12&lt;60,1.35-$C12/200,1.05)))</f>
        <v>1.1400000000000001</v>
      </c>
      <c r="G12" s="120">
        <f t="shared" ref="G12:G38" si="0">IF(MIN($C$3,$D12)/($E12*F12)&lt;18.333,18.333,MIN($C$3,$D12)/($E12*F12))</f>
        <v>19.493177387914226</v>
      </c>
      <c r="H12" s="121">
        <f t="shared" ref="H12:H38" si="1">0.3*G12</f>
        <v>5.8479532163742673</v>
      </c>
      <c r="I12" s="122">
        <f t="shared" ref="I12:I38" si="2">H12*100*PI()*C12*C12/40000*10/10</f>
        <v>81.020021066263055</v>
      </c>
      <c r="J12" s="123">
        <f t="shared" ref="J12:J38" si="3">MIN($C$4*G12/1.5,$C$3/1.5,$C$4*D12/1.5)</f>
        <v>12.995451591942818</v>
      </c>
      <c r="K12" s="123">
        <f t="shared" ref="K12:K38" si="4">MIN($C$4*G12/1.2,$C$3/1.2,$C$4*$D$12/1.2)</f>
        <v>16.244314489928524</v>
      </c>
      <c r="L12" s="124">
        <f t="shared" ref="L12:L38" si="5">MIN($C$4*G12/1.3,$C$3/1.3,$C$4*$D$12/1.3)</f>
        <v>14.994751836857096</v>
      </c>
      <c r="M12" s="125">
        <f t="shared" ref="M12:Q38" si="6">H12*1.2</f>
        <v>7.0175438596491206</v>
      </c>
      <c r="N12" s="126">
        <f t="shared" si="6"/>
        <v>97.224025279515658</v>
      </c>
      <c r="O12" s="125">
        <f t="shared" si="6"/>
        <v>15.59454191033138</v>
      </c>
      <c r="P12" s="127">
        <f t="shared" si="6"/>
        <v>19.493177387914226</v>
      </c>
      <c r="Q12" s="128">
        <f t="shared" si="6"/>
        <v>17.993702204228516</v>
      </c>
      <c r="R12" s="129">
        <f t="shared" ref="R12:T38" si="7">$C12/100*$C12/100*PI()/4*J12*100</f>
        <v>180.04449125836237</v>
      </c>
      <c r="S12" s="130">
        <f t="shared" si="7"/>
        <v>225.05561407295298</v>
      </c>
      <c r="T12" s="131">
        <f t="shared" si="7"/>
        <v>207.74364375964888</v>
      </c>
      <c r="U12" s="130">
        <f t="shared" ref="U12:W38" si="8">R12*1.2</f>
        <v>216.05338951003483</v>
      </c>
      <c r="V12" s="130">
        <f t="shared" si="8"/>
        <v>270.06673688754358</v>
      </c>
      <c r="W12" s="131">
        <f t="shared" si="8"/>
        <v>249.29237251157863</v>
      </c>
      <c r="Y12" s="104"/>
      <c r="Z12" s="132">
        <v>42</v>
      </c>
      <c r="AA12" s="28">
        <v>1</v>
      </c>
      <c r="AB12" s="28" t="s">
        <v>126</v>
      </c>
      <c r="AD12" s="105"/>
    </row>
    <row r="13" spans="1:30">
      <c r="A13" s="14">
        <f t="shared" ref="A13:A20" si="9">60000+C13</f>
        <v>60052</v>
      </c>
      <c r="B13" s="583"/>
      <c r="C13" s="133">
        <v>52</v>
      </c>
      <c r="D13" s="134">
        <f t="shared" ref="D13:D20" si="10">IF($C$6="OUI",40,30)</f>
        <v>30</v>
      </c>
      <c r="E13" s="135">
        <f t="shared" ref="E13:E20" si="11">IF($C$6="OUI",1.05,1.35)</f>
        <v>1.35</v>
      </c>
      <c r="F13" s="23">
        <f t="shared" ref="F13:F20" si="12">IF($C$6="OUI",1,IF($C$5=1,1,IF($C13&lt;60,1.35-$C13/200,1.05)))</f>
        <v>1.0900000000000001</v>
      </c>
      <c r="G13" s="136">
        <f t="shared" si="0"/>
        <v>20.387359836901119</v>
      </c>
      <c r="H13" s="137">
        <f t="shared" si="1"/>
        <v>6.1162079510703355</v>
      </c>
      <c r="I13" s="138">
        <f t="shared" si="2"/>
        <v>129.8909256163119</v>
      </c>
      <c r="J13" s="139">
        <f t="shared" si="3"/>
        <v>13.591573224600745</v>
      </c>
      <c r="K13" s="139">
        <f t="shared" si="4"/>
        <v>16.989466530750935</v>
      </c>
      <c r="L13" s="140">
        <f t="shared" si="5"/>
        <v>15.682584489923936</v>
      </c>
      <c r="M13" s="141">
        <f t="shared" si="6"/>
        <v>7.3394495412844023</v>
      </c>
      <c r="N13" s="142">
        <f t="shared" si="6"/>
        <v>155.86911073957427</v>
      </c>
      <c r="O13" s="141">
        <f t="shared" si="6"/>
        <v>16.309887869520892</v>
      </c>
      <c r="P13" s="143">
        <f t="shared" si="6"/>
        <v>20.387359836901123</v>
      </c>
      <c r="Q13" s="144">
        <f t="shared" si="6"/>
        <v>18.819101387908724</v>
      </c>
      <c r="R13" s="145">
        <f t="shared" si="7"/>
        <v>288.64650136958198</v>
      </c>
      <c r="S13" s="146">
        <f t="shared" si="7"/>
        <v>360.80812671197759</v>
      </c>
      <c r="T13" s="147">
        <f t="shared" si="7"/>
        <v>333.05365542644074</v>
      </c>
      <c r="U13" s="146">
        <f t="shared" si="8"/>
        <v>346.37580164349839</v>
      </c>
      <c r="V13" s="146">
        <f t="shared" si="8"/>
        <v>432.96975205437309</v>
      </c>
      <c r="W13" s="147">
        <f t="shared" si="8"/>
        <v>399.66438651172888</v>
      </c>
      <c r="Y13" s="104"/>
      <c r="Z13" s="132">
        <v>52</v>
      </c>
      <c r="AA13" s="28" t="s">
        <v>98</v>
      </c>
      <c r="AB13" s="28" t="s">
        <v>99</v>
      </c>
      <c r="AD13" s="105"/>
    </row>
    <row r="14" spans="1:30">
      <c r="A14" s="14">
        <f t="shared" si="9"/>
        <v>60062</v>
      </c>
      <c r="B14" s="583"/>
      <c r="C14" s="148">
        <v>62</v>
      </c>
      <c r="D14" s="134">
        <f t="shared" si="10"/>
        <v>30</v>
      </c>
      <c r="E14" s="135">
        <f t="shared" si="11"/>
        <v>1.35</v>
      </c>
      <c r="F14" s="23">
        <f t="shared" si="12"/>
        <v>1.05</v>
      </c>
      <c r="G14" s="136">
        <f t="shared" si="0"/>
        <v>21.164021164021161</v>
      </c>
      <c r="H14" s="137">
        <f t="shared" si="1"/>
        <v>6.349206349206348</v>
      </c>
      <c r="I14" s="138">
        <f t="shared" si="2"/>
        <v>191.6870184190343</v>
      </c>
      <c r="J14" s="139">
        <f t="shared" si="3"/>
        <v>14.109347442680773</v>
      </c>
      <c r="K14" s="139">
        <f t="shared" si="4"/>
        <v>17.636684303350968</v>
      </c>
      <c r="L14" s="140">
        <f t="shared" si="5"/>
        <v>16.280016280016277</v>
      </c>
      <c r="M14" s="141">
        <f t="shared" si="6"/>
        <v>7.6190476190476168</v>
      </c>
      <c r="N14" s="142">
        <f t="shared" si="6"/>
        <v>230.02442210284116</v>
      </c>
      <c r="O14" s="141">
        <f t="shared" si="6"/>
        <v>16.931216931216927</v>
      </c>
      <c r="P14" s="143">
        <f t="shared" si="6"/>
        <v>21.164021164021161</v>
      </c>
      <c r="Q14" s="144">
        <f t="shared" si="6"/>
        <v>19.536019536019531</v>
      </c>
      <c r="R14" s="145">
        <f t="shared" si="7"/>
        <v>425.9711520422984</v>
      </c>
      <c r="S14" s="146">
        <f t="shared" si="7"/>
        <v>532.46394005287311</v>
      </c>
      <c r="T14" s="147">
        <f t="shared" si="7"/>
        <v>491.5051754334213</v>
      </c>
      <c r="U14" s="146">
        <f t="shared" si="8"/>
        <v>511.16538245075805</v>
      </c>
      <c r="V14" s="146">
        <f t="shared" si="8"/>
        <v>638.95672806344771</v>
      </c>
      <c r="W14" s="147">
        <f t="shared" si="8"/>
        <v>589.80621052010554</v>
      </c>
      <c r="Y14" s="104"/>
      <c r="Z14" s="132">
        <v>62</v>
      </c>
      <c r="AD14" s="105"/>
    </row>
    <row r="15" spans="1:30">
      <c r="A15" s="14">
        <f t="shared" si="9"/>
        <v>60072</v>
      </c>
      <c r="B15" s="583"/>
      <c r="C15" s="133">
        <v>72</v>
      </c>
      <c r="D15" s="134">
        <f t="shared" si="10"/>
        <v>30</v>
      </c>
      <c r="E15" s="135">
        <f t="shared" si="11"/>
        <v>1.35</v>
      </c>
      <c r="F15" s="23">
        <f t="shared" si="12"/>
        <v>1.05</v>
      </c>
      <c r="G15" s="136">
        <f t="shared" si="0"/>
        <v>21.164021164021161</v>
      </c>
      <c r="H15" s="137">
        <f t="shared" si="1"/>
        <v>6.349206349206348</v>
      </c>
      <c r="I15" s="138">
        <f t="shared" si="2"/>
        <v>258.50819549538863</v>
      </c>
      <c r="J15" s="139">
        <f t="shared" si="3"/>
        <v>14.109347442680773</v>
      </c>
      <c r="K15" s="139">
        <f t="shared" si="4"/>
        <v>17.636684303350968</v>
      </c>
      <c r="L15" s="140">
        <f t="shared" si="5"/>
        <v>16.280016280016277</v>
      </c>
      <c r="M15" s="141">
        <f t="shared" si="6"/>
        <v>7.6190476190476168</v>
      </c>
      <c r="N15" s="142">
        <f t="shared" si="6"/>
        <v>310.20983459446637</v>
      </c>
      <c r="O15" s="141">
        <f t="shared" si="6"/>
        <v>16.931216931216927</v>
      </c>
      <c r="P15" s="143">
        <f t="shared" si="6"/>
        <v>21.164021164021161</v>
      </c>
      <c r="Q15" s="144">
        <f t="shared" si="6"/>
        <v>19.536019536019531</v>
      </c>
      <c r="R15" s="145">
        <f t="shared" si="7"/>
        <v>574.46265665641909</v>
      </c>
      <c r="S15" s="146">
        <f t="shared" si="7"/>
        <v>718.07832082052391</v>
      </c>
      <c r="T15" s="147">
        <f t="shared" si="7"/>
        <v>662.8415269112528</v>
      </c>
      <c r="U15" s="146">
        <f t="shared" si="8"/>
        <v>689.35518798770283</v>
      </c>
      <c r="V15" s="146">
        <f t="shared" si="8"/>
        <v>861.69398498462863</v>
      </c>
      <c r="W15" s="147">
        <f t="shared" si="8"/>
        <v>795.40983229350331</v>
      </c>
      <c r="Y15" s="104"/>
      <c r="Z15" s="132">
        <v>72</v>
      </c>
      <c r="AD15" s="105"/>
    </row>
    <row r="16" spans="1:30">
      <c r="A16" s="14">
        <f t="shared" si="9"/>
        <v>60082</v>
      </c>
      <c r="B16" s="583"/>
      <c r="C16" s="133">
        <v>82</v>
      </c>
      <c r="D16" s="134">
        <f t="shared" si="10"/>
        <v>30</v>
      </c>
      <c r="E16" s="135">
        <f t="shared" si="11"/>
        <v>1.35</v>
      </c>
      <c r="F16" s="23">
        <f t="shared" si="12"/>
        <v>1.05</v>
      </c>
      <c r="G16" s="136">
        <f t="shared" si="0"/>
        <v>21.164021164021161</v>
      </c>
      <c r="H16" s="137">
        <f t="shared" si="1"/>
        <v>6.349206349206348</v>
      </c>
      <c r="I16" s="138">
        <f t="shared" si="2"/>
        <v>335.30268258313913</v>
      </c>
      <c r="J16" s="139">
        <f t="shared" si="3"/>
        <v>14.109347442680773</v>
      </c>
      <c r="K16" s="139">
        <f t="shared" si="4"/>
        <v>17.636684303350968</v>
      </c>
      <c r="L16" s="140">
        <f t="shared" si="5"/>
        <v>16.280016280016277</v>
      </c>
      <c r="M16" s="141">
        <f t="shared" si="6"/>
        <v>7.6190476190476168</v>
      </c>
      <c r="N16" s="142">
        <f t="shared" si="6"/>
        <v>402.36321909976692</v>
      </c>
      <c r="O16" s="141">
        <f t="shared" si="6"/>
        <v>16.931216931216927</v>
      </c>
      <c r="P16" s="143">
        <f t="shared" si="6"/>
        <v>21.164021164021161</v>
      </c>
      <c r="Q16" s="144">
        <f t="shared" si="6"/>
        <v>19.536019536019531</v>
      </c>
      <c r="R16" s="145">
        <f t="shared" si="7"/>
        <v>745.11707240697581</v>
      </c>
      <c r="S16" s="146">
        <f t="shared" si="7"/>
        <v>931.39634050871985</v>
      </c>
      <c r="T16" s="147">
        <f t="shared" si="7"/>
        <v>859.75046816189524</v>
      </c>
      <c r="U16" s="146">
        <f t="shared" si="8"/>
        <v>894.1404868883709</v>
      </c>
      <c r="V16" s="146">
        <f t="shared" si="8"/>
        <v>1117.6756086104638</v>
      </c>
      <c r="W16" s="147">
        <f t="shared" si="8"/>
        <v>1031.7005617942743</v>
      </c>
      <c r="Y16" s="104"/>
      <c r="Z16" s="132">
        <v>82</v>
      </c>
      <c r="AD16" s="105"/>
    </row>
    <row r="17" spans="1:30">
      <c r="A17" s="14">
        <f t="shared" si="9"/>
        <v>60092</v>
      </c>
      <c r="B17" s="583"/>
      <c r="C17" s="149">
        <v>92</v>
      </c>
      <c r="D17" s="134">
        <f t="shared" si="10"/>
        <v>30</v>
      </c>
      <c r="E17" s="135">
        <f t="shared" si="11"/>
        <v>1.35</v>
      </c>
      <c r="F17" s="23">
        <f t="shared" si="12"/>
        <v>1.05</v>
      </c>
      <c r="G17" s="150">
        <f t="shared" si="0"/>
        <v>21.164021164021161</v>
      </c>
      <c r="H17" s="137">
        <f t="shared" si="1"/>
        <v>6.349206349206348</v>
      </c>
      <c r="I17" s="138">
        <f t="shared" si="2"/>
        <v>422.07047968228579</v>
      </c>
      <c r="J17" s="139">
        <f t="shared" si="3"/>
        <v>14.109347442680773</v>
      </c>
      <c r="K17" s="139">
        <f t="shared" si="4"/>
        <v>17.636684303350968</v>
      </c>
      <c r="L17" s="140">
        <f t="shared" si="5"/>
        <v>16.280016280016277</v>
      </c>
      <c r="M17" s="141">
        <f t="shared" si="6"/>
        <v>7.6190476190476168</v>
      </c>
      <c r="N17" s="142">
        <f t="shared" si="6"/>
        <v>506.48457561874295</v>
      </c>
      <c r="O17" s="141">
        <f t="shared" si="6"/>
        <v>16.931216931216927</v>
      </c>
      <c r="P17" s="143">
        <f t="shared" si="6"/>
        <v>21.164021164021161</v>
      </c>
      <c r="Q17" s="144">
        <f t="shared" si="6"/>
        <v>19.536019536019531</v>
      </c>
      <c r="R17" s="145">
        <f t="shared" si="7"/>
        <v>937.93439929396845</v>
      </c>
      <c r="S17" s="146">
        <f t="shared" si="7"/>
        <v>1172.4179991174606</v>
      </c>
      <c r="T17" s="147">
        <f t="shared" si="7"/>
        <v>1082.2319991853481</v>
      </c>
      <c r="U17" s="146">
        <f t="shared" si="8"/>
        <v>1125.5212791527622</v>
      </c>
      <c r="V17" s="146">
        <f t="shared" si="8"/>
        <v>1406.9015989409527</v>
      </c>
      <c r="W17" s="147">
        <f t="shared" si="8"/>
        <v>1298.6783990224176</v>
      </c>
      <c r="Y17" s="104"/>
      <c r="Z17" s="132">
        <v>92</v>
      </c>
      <c r="AD17" s="105"/>
    </row>
    <row r="18" spans="1:30">
      <c r="A18" s="14">
        <f t="shared" si="9"/>
        <v>60102</v>
      </c>
      <c r="B18" s="583"/>
      <c r="C18" s="149">
        <v>102</v>
      </c>
      <c r="D18" s="134">
        <f t="shared" si="10"/>
        <v>30</v>
      </c>
      <c r="E18" s="135">
        <f t="shared" si="11"/>
        <v>1.35</v>
      </c>
      <c r="F18" s="23">
        <f t="shared" si="12"/>
        <v>1.05</v>
      </c>
      <c r="G18" s="150">
        <f t="shared" si="0"/>
        <v>21.164021164021161</v>
      </c>
      <c r="H18" s="137">
        <f t="shared" si="1"/>
        <v>6.349206349206348</v>
      </c>
      <c r="I18" s="138">
        <f t="shared" si="2"/>
        <v>518.81158679282862</v>
      </c>
      <c r="J18" s="139">
        <f t="shared" si="3"/>
        <v>14.109347442680773</v>
      </c>
      <c r="K18" s="139">
        <f t="shared" si="4"/>
        <v>17.636684303350968</v>
      </c>
      <c r="L18" s="140">
        <f t="shared" si="5"/>
        <v>16.280016280016277</v>
      </c>
      <c r="M18" s="141">
        <f t="shared" si="6"/>
        <v>7.6190476190476168</v>
      </c>
      <c r="N18" s="142">
        <f t="shared" si="6"/>
        <v>622.57390415139434</v>
      </c>
      <c r="O18" s="141">
        <f t="shared" si="6"/>
        <v>16.931216931216927</v>
      </c>
      <c r="P18" s="143">
        <f t="shared" si="6"/>
        <v>21.164021164021161</v>
      </c>
      <c r="Q18" s="144">
        <f t="shared" si="6"/>
        <v>19.536019536019531</v>
      </c>
      <c r="R18" s="145">
        <f t="shared" si="7"/>
        <v>1152.9146373173969</v>
      </c>
      <c r="S18" s="146">
        <f t="shared" si="7"/>
        <v>1441.1432966467462</v>
      </c>
      <c r="T18" s="147">
        <f t="shared" si="7"/>
        <v>1330.2861199816118</v>
      </c>
      <c r="U18" s="146">
        <f t="shared" si="8"/>
        <v>1383.4975647808762</v>
      </c>
      <c r="V18" s="146">
        <f t="shared" si="8"/>
        <v>1729.3719559760955</v>
      </c>
      <c r="W18" s="147">
        <f t="shared" si="8"/>
        <v>1596.3433439779342</v>
      </c>
      <c r="Y18" s="104"/>
      <c r="Z18" s="132">
        <v>102</v>
      </c>
      <c r="AD18" s="105"/>
    </row>
    <row r="19" spans="1:30">
      <c r="A19" s="14">
        <f t="shared" si="9"/>
        <v>60000</v>
      </c>
      <c r="B19" s="583"/>
      <c r="C19" s="149">
        <v>0</v>
      </c>
      <c r="D19" s="134">
        <f t="shared" si="10"/>
        <v>30</v>
      </c>
      <c r="E19" s="135">
        <f t="shared" si="11"/>
        <v>1.35</v>
      </c>
      <c r="F19" s="23">
        <f t="shared" si="12"/>
        <v>1.35</v>
      </c>
      <c r="G19" s="150">
        <f t="shared" si="0"/>
        <v>18.332999999999998</v>
      </c>
      <c r="H19" s="137">
        <f t="shared" si="1"/>
        <v>5.4998999999999993</v>
      </c>
      <c r="I19" s="138">
        <f t="shared" si="2"/>
        <v>0</v>
      </c>
      <c r="J19" s="139">
        <f t="shared" si="3"/>
        <v>12.222</v>
      </c>
      <c r="K19" s="139">
        <f t="shared" si="4"/>
        <v>15.2775</v>
      </c>
      <c r="L19" s="140">
        <f t="shared" si="5"/>
        <v>14.10230769230769</v>
      </c>
      <c r="M19" s="141">
        <f t="shared" si="6"/>
        <v>6.5998799999999989</v>
      </c>
      <c r="N19" s="142">
        <f t="shared" si="6"/>
        <v>0</v>
      </c>
      <c r="O19" s="141">
        <f t="shared" si="6"/>
        <v>14.666399999999999</v>
      </c>
      <c r="P19" s="143">
        <f t="shared" si="6"/>
        <v>18.332999999999998</v>
      </c>
      <c r="Q19" s="144">
        <f t="shared" si="6"/>
        <v>16.922769230769227</v>
      </c>
      <c r="R19" s="145">
        <f t="shared" si="7"/>
        <v>0</v>
      </c>
      <c r="S19" s="146">
        <f t="shared" si="7"/>
        <v>0</v>
      </c>
      <c r="T19" s="147">
        <f t="shared" si="7"/>
        <v>0</v>
      </c>
      <c r="U19" s="146">
        <f t="shared" si="8"/>
        <v>0</v>
      </c>
      <c r="V19" s="146">
        <f t="shared" si="8"/>
        <v>0</v>
      </c>
      <c r="W19" s="147">
        <f t="shared" si="8"/>
        <v>0</v>
      </c>
      <c r="Y19" s="104"/>
      <c r="Z19" s="132">
        <v>112</v>
      </c>
      <c r="AD19" s="105"/>
    </row>
    <row r="20" spans="1:30" ht="13.8" thickBot="1">
      <c r="A20" s="14">
        <f t="shared" si="9"/>
        <v>60000</v>
      </c>
      <c r="B20" s="584"/>
      <c r="C20" s="151">
        <v>0</v>
      </c>
      <c r="D20" s="152">
        <f t="shared" si="10"/>
        <v>30</v>
      </c>
      <c r="E20" s="153">
        <f t="shared" si="11"/>
        <v>1.35</v>
      </c>
      <c r="F20" s="154">
        <f t="shared" si="12"/>
        <v>1.35</v>
      </c>
      <c r="G20" s="155">
        <f t="shared" si="0"/>
        <v>18.332999999999998</v>
      </c>
      <c r="H20" s="156">
        <f t="shared" si="1"/>
        <v>5.4998999999999993</v>
      </c>
      <c r="I20" s="157">
        <f t="shared" si="2"/>
        <v>0</v>
      </c>
      <c r="J20" s="158">
        <f t="shared" si="3"/>
        <v>12.222</v>
      </c>
      <c r="K20" s="158">
        <f t="shared" si="4"/>
        <v>15.2775</v>
      </c>
      <c r="L20" s="159">
        <f t="shared" si="5"/>
        <v>14.10230769230769</v>
      </c>
      <c r="M20" s="160">
        <f t="shared" si="6"/>
        <v>6.5998799999999989</v>
      </c>
      <c r="N20" s="161">
        <f t="shared" si="6"/>
        <v>0</v>
      </c>
      <c r="O20" s="160">
        <f t="shared" si="6"/>
        <v>14.666399999999999</v>
      </c>
      <c r="P20" s="162">
        <f t="shared" si="6"/>
        <v>18.332999999999998</v>
      </c>
      <c r="Q20" s="163">
        <f t="shared" si="6"/>
        <v>16.922769230769227</v>
      </c>
      <c r="R20" s="164">
        <f t="shared" si="7"/>
        <v>0</v>
      </c>
      <c r="S20" s="165">
        <f t="shared" si="7"/>
        <v>0</v>
      </c>
      <c r="T20" s="166">
        <f t="shared" si="7"/>
        <v>0</v>
      </c>
      <c r="U20" s="165">
        <f t="shared" si="8"/>
        <v>0</v>
      </c>
      <c r="V20" s="165">
        <f t="shared" si="8"/>
        <v>0</v>
      </c>
      <c r="W20" s="166">
        <f t="shared" si="8"/>
        <v>0</v>
      </c>
      <c r="Y20" s="104"/>
      <c r="Z20" s="132">
        <v>122</v>
      </c>
      <c r="AD20" s="105"/>
    </row>
    <row r="21" spans="1:30">
      <c r="A21" s="14">
        <f>70000+C21</f>
        <v>70030</v>
      </c>
      <c r="B21" s="571" t="s">
        <v>127</v>
      </c>
      <c r="C21" s="116">
        <v>30</v>
      </c>
      <c r="D21" s="117">
        <v>35</v>
      </c>
      <c r="E21" s="118">
        <v>1.3</v>
      </c>
      <c r="F21" s="119">
        <f>IF($C$5=1,1,IF($C21&lt;60,1.35-$C21/200,1.05))</f>
        <v>1.2000000000000002</v>
      </c>
      <c r="G21" s="120">
        <f t="shared" si="0"/>
        <v>19.230769230769226</v>
      </c>
      <c r="H21" s="121">
        <f t="shared" si="1"/>
        <v>5.7692307692307674</v>
      </c>
      <c r="I21" s="122">
        <f t="shared" si="2"/>
        <v>40.78028925332903</v>
      </c>
      <c r="J21" s="123">
        <f t="shared" si="3"/>
        <v>12.820512820512818</v>
      </c>
      <c r="K21" s="123">
        <f t="shared" si="4"/>
        <v>16.025641025641022</v>
      </c>
      <c r="L21" s="124">
        <f t="shared" si="5"/>
        <v>14.79289940828402</v>
      </c>
      <c r="M21" s="125">
        <f t="shared" si="6"/>
        <v>6.9230769230769207</v>
      </c>
      <c r="N21" s="126">
        <f t="shared" si="6"/>
        <v>48.936347103994834</v>
      </c>
      <c r="O21" s="125">
        <f t="shared" si="6"/>
        <v>15.38461538461538</v>
      </c>
      <c r="P21" s="127">
        <f t="shared" si="6"/>
        <v>19.230769230769226</v>
      </c>
      <c r="Q21" s="128">
        <f t="shared" si="6"/>
        <v>17.751479289940825</v>
      </c>
      <c r="R21" s="129">
        <f t="shared" si="7"/>
        <v>90.622865007397863</v>
      </c>
      <c r="S21" s="130">
        <f t="shared" si="7"/>
        <v>113.27858125924732</v>
      </c>
      <c r="T21" s="131">
        <f t="shared" si="7"/>
        <v>104.56484423930523</v>
      </c>
      <c r="U21" s="130">
        <f t="shared" si="8"/>
        <v>108.74743800887744</v>
      </c>
      <c r="V21" s="130">
        <f t="shared" si="8"/>
        <v>135.93429751109679</v>
      </c>
      <c r="W21" s="131">
        <f t="shared" si="8"/>
        <v>125.47781308716627</v>
      </c>
      <c r="Y21" s="104"/>
      <c r="Z21" s="132">
        <v>41</v>
      </c>
      <c r="AD21" s="105"/>
    </row>
    <row r="22" spans="1:30">
      <c r="A22" s="14">
        <f t="shared" ref="A22:A25" si="13">70000+C22</f>
        <v>70035</v>
      </c>
      <c r="B22" s="572"/>
      <c r="C22" s="133">
        <v>35</v>
      </c>
      <c r="D22" s="134">
        <v>35</v>
      </c>
      <c r="E22" s="135">
        <v>1.3</v>
      </c>
      <c r="F22" s="23">
        <f>IF($C$5=1,1,IF($C22&lt;60,1.35-$C22/200,1.05))</f>
        <v>1.175</v>
      </c>
      <c r="G22" s="136">
        <f t="shared" si="0"/>
        <v>19.639934533551553</v>
      </c>
      <c r="H22" s="137">
        <f t="shared" si="1"/>
        <v>5.8919803600654657</v>
      </c>
      <c r="I22" s="138">
        <f t="shared" si="2"/>
        <v>56.687494281223351</v>
      </c>
      <c r="J22" s="139">
        <f t="shared" si="3"/>
        <v>13.09328968903437</v>
      </c>
      <c r="K22" s="139">
        <f t="shared" si="4"/>
        <v>16.366612111292962</v>
      </c>
      <c r="L22" s="140">
        <f t="shared" si="5"/>
        <v>15.10764194888581</v>
      </c>
      <c r="M22" s="141">
        <f t="shared" si="6"/>
        <v>7.0703764320785583</v>
      </c>
      <c r="N22" s="142">
        <f t="shared" si="6"/>
        <v>68.024993137468016</v>
      </c>
      <c r="O22" s="141">
        <f t="shared" si="6"/>
        <v>15.711947626841242</v>
      </c>
      <c r="P22" s="143">
        <f t="shared" si="6"/>
        <v>19.639934533551553</v>
      </c>
      <c r="Q22" s="144">
        <f t="shared" si="6"/>
        <v>18.12917033866297</v>
      </c>
      <c r="R22" s="145">
        <f t="shared" si="7"/>
        <v>125.97220951382965</v>
      </c>
      <c r="S22" s="146">
        <f t="shared" si="7"/>
        <v>157.46526189228709</v>
      </c>
      <c r="T22" s="147">
        <f t="shared" si="7"/>
        <v>145.35254943903422</v>
      </c>
      <c r="U22" s="146">
        <f t="shared" si="8"/>
        <v>151.16665141659558</v>
      </c>
      <c r="V22" s="146">
        <f t="shared" si="8"/>
        <v>188.95831427074449</v>
      </c>
      <c r="W22" s="147">
        <f t="shared" si="8"/>
        <v>174.42305932684107</v>
      </c>
      <c r="Y22" s="104"/>
      <c r="Z22" s="132">
        <v>51</v>
      </c>
      <c r="AD22" s="105"/>
    </row>
    <row r="23" spans="1:30">
      <c r="A23" s="14">
        <f t="shared" si="13"/>
        <v>70041</v>
      </c>
      <c r="B23" s="572"/>
      <c r="C23" s="133">
        <v>41</v>
      </c>
      <c r="D23" s="134">
        <v>35</v>
      </c>
      <c r="E23" s="135">
        <v>1.3</v>
      </c>
      <c r="F23" s="23">
        <f>IF($C$5=1,1,IF($C23&lt;60,1.35-$C23/200,1.05))</f>
        <v>1.145</v>
      </c>
      <c r="G23" s="136">
        <f t="shared" si="0"/>
        <v>20.154517971111854</v>
      </c>
      <c r="H23" s="137">
        <f t="shared" si="1"/>
        <v>6.0463553913335559</v>
      </c>
      <c r="I23" s="138">
        <f t="shared" si="2"/>
        <v>79.827267813503482</v>
      </c>
      <c r="J23" s="139">
        <f t="shared" si="3"/>
        <v>13.43634531407457</v>
      </c>
      <c r="K23" s="139">
        <f t="shared" si="4"/>
        <v>16.795431642593211</v>
      </c>
      <c r="L23" s="140">
        <f t="shared" si="5"/>
        <v>15.503475362393733</v>
      </c>
      <c r="M23" s="141">
        <f t="shared" si="6"/>
        <v>7.2556264696002666</v>
      </c>
      <c r="N23" s="142">
        <f t="shared" si="6"/>
        <v>95.79272137620417</v>
      </c>
      <c r="O23" s="141">
        <f t="shared" si="6"/>
        <v>16.123614376889485</v>
      </c>
      <c r="P23" s="143">
        <f t="shared" si="6"/>
        <v>20.154517971111854</v>
      </c>
      <c r="Q23" s="144">
        <f t="shared" si="6"/>
        <v>18.604170434872479</v>
      </c>
      <c r="R23" s="145">
        <f t="shared" si="7"/>
        <v>177.3939284744522</v>
      </c>
      <c r="S23" s="146">
        <f t="shared" si="7"/>
        <v>221.74241059306522</v>
      </c>
      <c r="T23" s="147">
        <f t="shared" si="7"/>
        <v>204.68530208590633</v>
      </c>
      <c r="U23" s="146">
        <f t="shared" si="8"/>
        <v>212.87271416934263</v>
      </c>
      <c r="V23" s="146">
        <f t="shared" si="8"/>
        <v>266.09089271167824</v>
      </c>
      <c r="W23" s="147">
        <f t="shared" si="8"/>
        <v>245.62236250308757</v>
      </c>
      <c r="Y23" s="104"/>
      <c r="Z23" s="132">
        <v>56</v>
      </c>
      <c r="AD23" s="105"/>
    </row>
    <row r="24" spans="1:30">
      <c r="A24" s="14">
        <f t="shared" si="13"/>
        <v>70051</v>
      </c>
      <c r="B24" s="572"/>
      <c r="C24" s="133">
        <v>51</v>
      </c>
      <c r="D24" s="134">
        <v>35</v>
      </c>
      <c r="E24" s="135">
        <v>1.3</v>
      </c>
      <c r="F24" s="23">
        <f>IF($C$5=1,1,IF($C24&lt;60,1.35-$C24/200,1.05))</f>
        <v>1.0950000000000002</v>
      </c>
      <c r="G24" s="136">
        <f t="shared" si="0"/>
        <v>21.074815595363539</v>
      </c>
      <c r="H24" s="137">
        <f t="shared" si="1"/>
        <v>6.3224446786090613</v>
      </c>
      <c r="I24" s="138">
        <f t="shared" si="2"/>
        <v>129.15620377218733</v>
      </c>
      <c r="J24" s="139">
        <f t="shared" si="3"/>
        <v>14.049877063575693</v>
      </c>
      <c r="K24" s="139">
        <f t="shared" si="4"/>
        <v>17.562346329469616</v>
      </c>
      <c r="L24" s="140">
        <f t="shared" si="5"/>
        <v>16.211396611818106</v>
      </c>
      <c r="M24" s="141">
        <f t="shared" si="6"/>
        <v>7.5869336143308734</v>
      </c>
      <c r="N24" s="142">
        <f t="shared" si="6"/>
        <v>154.98744452662478</v>
      </c>
      <c r="O24" s="141">
        <f t="shared" si="6"/>
        <v>16.859852476290829</v>
      </c>
      <c r="P24" s="143">
        <f t="shared" si="6"/>
        <v>21.074815595363539</v>
      </c>
      <c r="Q24" s="144">
        <f t="shared" si="6"/>
        <v>19.453675934181728</v>
      </c>
      <c r="R24" s="145">
        <f t="shared" si="7"/>
        <v>287.01378616041626</v>
      </c>
      <c r="S24" s="146">
        <f t="shared" si="7"/>
        <v>358.76723270052031</v>
      </c>
      <c r="T24" s="147">
        <f t="shared" si="7"/>
        <v>331.16975326201879</v>
      </c>
      <c r="U24" s="146">
        <f t="shared" si="8"/>
        <v>344.41654339249948</v>
      </c>
      <c r="V24" s="146">
        <f t="shared" si="8"/>
        <v>430.52067924062436</v>
      </c>
      <c r="W24" s="147">
        <f t="shared" si="8"/>
        <v>397.40370391442252</v>
      </c>
      <c r="Y24" s="104"/>
      <c r="Z24" s="132">
        <v>61</v>
      </c>
      <c r="AD24" s="105"/>
    </row>
    <row r="25" spans="1:30" ht="13.8" thickBot="1">
      <c r="A25" s="14">
        <f t="shared" si="13"/>
        <v>70061</v>
      </c>
      <c r="B25" s="573"/>
      <c r="C25" s="151">
        <v>61</v>
      </c>
      <c r="D25" s="152">
        <v>35</v>
      </c>
      <c r="E25" s="153">
        <v>1.3</v>
      </c>
      <c r="F25" s="154">
        <f>IF($C$5=1,1,IF($C25&lt;60,1.35-$C25/200,1.05))</f>
        <v>1.05</v>
      </c>
      <c r="G25" s="155">
        <f t="shared" si="0"/>
        <v>21.978021978021975</v>
      </c>
      <c r="H25" s="156">
        <f t="shared" si="1"/>
        <v>6.5934065934065922</v>
      </c>
      <c r="I25" s="157">
        <f t="shared" si="2"/>
        <v>192.69010325287286</v>
      </c>
      <c r="J25" s="158">
        <f t="shared" si="3"/>
        <v>14.65201465201465</v>
      </c>
      <c r="K25" s="158">
        <f t="shared" si="4"/>
        <v>18.315018315018314</v>
      </c>
      <c r="L25" s="159">
        <f t="shared" si="5"/>
        <v>16.906170752324595</v>
      </c>
      <c r="M25" s="160">
        <f t="shared" si="6"/>
        <v>7.9120879120879106</v>
      </c>
      <c r="N25" s="161">
        <f t="shared" si="6"/>
        <v>231.22812390344743</v>
      </c>
      <c r="O25" s="160">
        <f t="shared" si="6"/>
        <v>17.58241758241758</v>
      </c>
      <c r="P25" s="162">
        <f t="shared" si="6"/>
        <v>21.978021978021975</v>
      </c>
      <c r="Q25" s="163">
        <f t="shared" si="6"/>
        <v>20.287404902789515</v>
      </c>
      <c r="R25" s="164">
        <f t="shared" si="7"/>
        <v>428.20022945082849</v>
      </c>
      <c r="S25" s="165">
        <f t="shared" si="7"/>
        <v>535.25028681353569</v>
      </c>
      <c r="T25" s="166">
        <f t="shared" si="7"/>
        <v>494.07718782787902</v>
      </c>
      <c r="U25" s="165">
        <f t="shared" si="8"/>
        <v>513.84027534099414</v>
      </c>
      <c r="V25" s="165">
        <f t="shared" si="8"/>
        <v>642.30034417624279</v>
      </c>
      <c r="W25" s="166">
        <f t="shared" si="8"/>
        <v>592.89262539345475</v>
      </c>
      <c r="Y25" s="104"/>
      <c r="Z25" s="132">
        <v>67</v>
      </c>
      <c r="AD25" s="105"/>
    </row>
    <row r="26" spans="1:30">
      <c r="A26" s="14">
        <f t="shared" ref="A26:A28" si="14">110000+C26</f>
        <v>110027</v>
      </c>
      <c r="B26" s="571" t="s">
        <v>326</v>
      </c>
      <c r="C26" s="116">
        <v>27</v>
      </c>
      <c r="D26" s="117">
        <v>35</v>
      </c>
      <c r="E26" s="118">
        <v>1.3</v>
      </c>
      <c r="F26" s="119">
        <f t="shared" ref="F26:F29" si="15">IF(C26&lt;60,1.35-(C26/2/100),1.05)</f>
        <v>1.2150000000000001</v>
      </c>
      <c r="G26" s="120">
        <f t="shared" ref="G26:G29" si="16">IF(MIN($C$3,$D26)/($E26*F26)&lt;18.333,18.333,MIN($C$3,$D26)/($E26*F26))</f>
        <v>18.99335232668566</v>
      </c>
      <c r="H26" s="121">
        <f t="shared" ref="H26:H29" si="17">0.3*G26</f>
        <v>5.6980056980056979</v>
      </c>
      <c r="I26" s="122">
        <f t="shared" si="2"/>
        <v>32.624231402663234</v>
      </c>
      <c r="J26" s="123">
        <f t="shared" ref="J26:J29" si="18">MIN($C$4*G26/1.5,$C$3/1.5,$C$4*D26/1.5)</f>
        <v>12.662234884457106</v>
      </c>
      <c r="K26" s="123">
        <f t="shared" ref="K26:K29" si="19">MIN($C$4*G26/1.2,$C$3/1.2,$C$4*$D$12/1.2)</f>
        <v>15.827793605571383</v>
      </c>
      <c r="L26" s="124">
        <f t="shared" ref="L26:L29" si="20">MIN($C$4*G26/1.3,$C$3/1.3,$C$4*$D$12/1.3)</f>
        <v>14.61027102052743</v>
      </c>
      <c r="M26" s="125">
        <f t="shared" ref="M26:M29" si="21">H26*1.2</f>
        <v>6.8376068376068373</v>
      </c>
      <c r="N26" s="126">
        <f t="shared" ref="N26:N29" si="22">I26*1.2</f>
        <v>39.149077683195877</v>
      </c>
      <c r="O26" s="125">
        <f t="shared" ref="O26:O29" si="23">J26*1.2</f>
        <v>15.194681861348528</v>
      </c>
      <c r="P26" s="127">
        <f t="shared" ref="P26:P29" si="24">K26*1.2</f>
        <v>18.99335232668566</v>
      </c>
      <c r="Q26" s="128">
        <f t="shared" ref="Q26:Q29" si="25">L26*1.2</f>
        <v>17.532325224632913</v>
      </c>
      <c r="R26" s="129">
        <f t="shared" ref="R26:R29" si="26">$C26/100*$C26/100*PI()/4*J26*100</f>
        <v>72.498292005918302</v>
      </c>
      <c r="S26" s="167">
        <f t="shared" ref="S26:S29" si="27">$C26/100*$C26/100*PI()/4*K26*100</f>
        <v>90.622865007397877</v>
      </c>
      <c r="T26" s="131">
        <f t="shared" ref="T26:T29" si="28">$C26/100*$C26/100*PI()/4*L26*100</f>
        <v>83.651875391444193</v>
      </c>
      <c r="U26" s="130">
        <f t="shared" ref="U26:U29" si="29">R26*1.2</f>
        <v>86.997950407101953</v>
      </c>
      <c r="V26" s="130">
        <f t="shared" ref="V26:V29" si="30">S26*1.2</f>
        <v>108.74743800887745</v>
      </c>
      <c r="W26" s="131">
        <f t="shared" ref="W26:W29" si="31">T26*1.2</f>
        <v>100.38225046973302</v>
      </c>
      <c r="X26" s="17">
        <f>C31</f>
        <v>60</v>
      </c>
      <c r="Y26" s="104"/>
      <c r="Z26" s="132">
        <v>50</v>
      </c>
      <c r="AD26" s="105"/>
    </row>
    <row r="27" spans="1:30">
      <c r="A27" s="14">
        <f t="shared" si="14"/>
        <v>110030</v>
      </c>
      <c r="B27" s="572"/>
      <c r="C27" s="168">
        <v>30</v>
      </c>
      <c r="D27" s="134">
        <v>35</v>
      </c>
      <c r="E27" s="135">
        <v>1.3</v>
      </c>
      <c r="F27" s="23">
        <f t="shared" si="15"/>
        <v>1.2000000000000002</v>
      </c>
      <c r="G27" s="136">
        <f t="shared" si="16"/>
        <v>19.230769230769226</v>
      </c>
      <c r="H27" s="137">
        <f t="shared" si="17"/>
        <v>5.7692307692307674</v>
      </c>
      <c r="I27" s="138">
        <f t="shared" si="2"/>
        <v>40.78028925332903</v>
      </c>
      <c r="J27" s="139">
        <f t="shared" si="18"/>
        <v>12.820512820512818</v>
      </c>
      <c r="K27" s="139">
        <f t="shared" si="19"/>
        <v>16.025641025641022</v>
      </c>
      <c r="L27" s="140">
        <f t="shared" si="20"/>
        <v>14.79289940828402</v>
      </c>
      <c r="M27" s="141">
        <f t="shared" si="21"/>
        <v>6.9230769230769207</v>
      </c>
      <c r="N27" s="142">
        <f t="shared" si="22"/>
        <v>48.936347103994834</v>
      </c>
      <c r="O27" s="141">
        <f t="shared" si="23"/>
        <v>15.38461538461538</v>
      </c>
      <c r="P27" s="143">
        <f t="shared" si="24"/>
        <v>19.230769230769226</v>
      </c>
      <c r="Q27" s="144">
        <f t="shared" si="25"/>
        <v>17.751479289940825</v>
      </c>
      <c r="R27" s="145">
        <f t="shared" si="26"/>
        <v>90.622865007397863</v>
      </c>
      <c r="S27" s="169">
        <f t="shared" si="27"/>
        <v>113.27858125924732</v>
      </c>
      <c r="T27" s="147">
        <f t="shared" si="28"/>
        <v>104.56484423930523</v>
      </c>
      <c r="U27" s="146">
        <f t="shared" si="29"/>
        <v>108.74743800887744</v>
      </c>
      <c r="V27" s="146">
        <f t="shared" si="30"/>
        <v>135.93429751109679</v>
      </c>
      <c r="W27" s="147">
        <f t="shared" si="31"/>
        <v>125.47781308716627</v>
      </c>
      <c r="X27" s="17">
        <f t="shared" ref="X27:X29" si="32">C32</f>
        <v>70</v>
      </c>
      <c r="Y27" s="104"/>
      <c r="Z27" s="132">
        <v>60</v>
      </c>
      <c r="AD27" s="105"/>
    </row>
    <row r="28" spans="1:30">
      <c r="A28" s="14">
        <f t="shared" si="14"/>
        <v>110032</v>
      </c>
      <c r="B28" s="572"/>
      <c r="C28" s="133">
        <v>32</v>
      </c>
      <c r="D28" s="134">
        <v>35</v>
      </c>
      <c r="E28" s="135">
        <v>1.3</v>
      </c>
      <c r="F28" s="23">
        <f t="shared" si="15"/>
        <v>1.1900000000000002</v>
      </c>
      <c r="G28" s="136">
        <f t="shared" si="16"/>
        <v>19.392372333548799</v>
      </c>
      <c r="H28" s="137">
        <f t="shared" si="17"/>
        <v>5.8177117000646392</v>
      </c>
      <c r="I28" s="138">
        <f t="shared" si="2"/>
        <v>46.788813664323726</v>
      </c>
      <c r="J28" s="139">
        <f t="shared" si="18"/>
        <v>12.928248222365866</v>
      </c>
      <c r="K28" s="139">
        <f t="shared" si="19"/>
        <v>16.160310277957333</v>
      </c>
      <c r="L28" s="140">
        <f t="shared" si="20"/>
        <v>14.917209487345229</v>
      </c>
      <c r="M28" s="141">
        <f t="shared" si="21"/>
        <v>6.9812540400775669</v>
      </c>
      <c r="N28" s="142">
        <f t="shared" si="22"/>
        <v>56.146576397188468</v>
      </c>
      <c r="O28" s="141">
        <f t="shared" si="23"/>
        <v>15.513897866839038</v>
      </c>
      <c r="P28" s="143">
        <f t="shared" si="24"/>
        <v>19.392372333548799</v>
      </c>
      <c r="Q28" s="144">
        <f t="shared" si="25"/>
        <v>17.900651384814275</v>
      </c>
      <c r="R28" s="145">
        <f t="shared" si="26"/>
        <v>103.97514147627496</v>
      </c>
      <c r="S28" s="169">
        <f t="shared" si="27"/>
        <v>129.9689268453437</v>
      </c>
      <c r="T28" s="147">
        <f t="shared" si="28"/>
        <v>119.97131708800957</v>
      </c>
      <c r="U28" s="146">
        <f t="shared" si="29"/>
        <v>124.77016977152994</v>
      </c>
      <c r="V28" s="146">
        <f t="shared" si="30"/>
        <v>155.96271221441245</v>
      </c>
      <c r="W28" s="147">
        <f t="shared" si="31"/>
        <v>143.96558050561148</v>
      </c>
      <c r="X28" s="17">
        <f t="shared" si="32"/>
        <v>80</v>
      </c>
      <c r="Y28" s="104"/>
      <c r="Z28" s="132">
        <v>70</v>
      </c>
      <c r="AD28" s="105"/>
    </row>
    <row r="29" spans="1:30" ht="13.8" thickBot="1">
      <c r="A29" s="14">
        <f>110000+C29</f>
        <v>110035</v>
      </c>
      <c r="B29" s="572"/>
      <c r="C29" s="133">
        <v>35</v>
      </c>
      <c r="D29" s="134">
        <v>35</v>
      </c>
      <c r="E29" s="135">
        <v>1.3</v>
      </c>
      <c r="F29" s="23">
        <f t="shared" si="15"/>
        <v>1.175</v>
      </c>
      <c r="G29" s="136">
        <f t="shared" si="16"/>
        <v>19.639934533551553</v>
      </c>
      <c r="H29" s="137">
        <f t="shared" si="17"/>
        <v>5.8919803600654657</v>
      </c>
      <c r="I29" s="138">
        <f t="shared" si="2"/>
        <v>56.687494281223351</v>
      </c>
      <c r="J29" s="139">
        <f t="shared" si="18"/>
        <v>13.09328968903437</v>
      </c>
      <c r="K29" s="139">
        <f t="shared" si="19"/>
        <v>16.366612111292962</v>
      </c>
      <c r="L29" s="140">
        <f t="shared" si="20"/>
        <v>15.10764194888581</v>
      </c>
      <c r="M29" s="141">
        <f t="shared" si="21"/>
        <v>7.0703764320785583</v>
      </c>
      <c r="N29" s="142">
        <f t="shared" si="22"/>
        <v>68.024993137468016</v>
      </c>
      <c r="O29" s="141">
        <f t="shared" si="23"/>
        <v>15.711947626841242</v>
      </c>
      <c r="P29" s="143">
        <f t="shared" si="24"/>
        <v>19.639934533551553</v>
      </c>
      <c r="Q29" s="144">
        <f t="shared" si="25"/>
        <v>18.12917033866297</v>
      </c>
      <c r="R29" s="145">
        <f t="shared" si="26"/>
        <v>125.97220951382965</v>
      </c>
      <c r="S29" s="169">
        <f t="shared" si="27"/>
        <v>157.46526189228709</v>
      </c>
      <c r="T29" s="147">
        <f t="shared" si="28"/>
        <v>145.35254943903422</v>
      </c>
      <c r="U29" s="146">
        <f t="shared" si="29"/>
        <v>151.16665141659558</v>
      </c>
      <c r="V29" s="146">
        <f t="shared" si="30"/>
        <v>188.95831427074449</v>
      </c>
      <c r="W29" s="147">
        <f t="shared" si="31"/>
        <v>174.42305932684107</v>
      </c>
      <c r="X29" s="17">
        <f t="shared" si="32"/>
        <v>90</v>
      </c>
      <c r="Y29" s="104"/>
      <c r="Z29" s="132">
        <v>80</v>
      </c>
      <c r="AD29" s="105"/>
    </row>
    <row r="30" spans="1:30" ht="13.2" customHeight="1">
      <c r="A30" s="14">
        <f t="shared" ref="A30:A37" si="33">100000+C30</f>
        <v>100050</v>
      </c>
      <c r="B30" s="571" t="s">
        <v>128</v>
      </c>
      <c r="C30" s="116">
        <v>50</v>
      </c>
      <c r="D30" s="117">
        <v>35</v>
      </c>
      <c r="E30" s="118">
        <v>1.3</v>
      </c>
      <c r="F30" s="119">
        <f t="shared" ref="F30:F38" si="34">IF(C30&lt;60,1.35-(C30/2/100),1.05)</f>
        <v>1.1000000000000001</v>
      </c>
      <c r="G30" s="120">
        <f t="shared" si="0"/>
        <v>20.979020979020977</v>
      </c>
      <c r="H30" s="121">
        <f t="shared" si="1"/>
        <v>6.2937062937062924</v>
      </c>
      <c r="I30" s="122">
        <f t="shared" si="2"/>
        <v>123.5766341009971</v>
      </c>
      <c r="J30" s="123">
        <f t="shared" si="3"/>
        <v>13.986013986013985</v>
      </c>
      <c r="K30" s="123">
        <f t="shared" si="4"/>
        <v>17.48251748251748</v>
      </c>
      <c r="L30" s="124">
        <f t="shared" si="5"/>
        <v>16.137708445400751</v>
      </c>
      <c r="M30" s="125">
        <f t="shared" si="6"/>
        <v>7.5524475524475507</v>
      </c>
      <c r="N30" s="126">
        <f t="shared" si="6"/>
        <v>148.29196092119651</v>
      </c>
      <c r="O30" s="125">
        <f t="shared" si="6"/>
        <v>16.78321678321678</v>
      </c>
      <c r="P30" s="127">
        <f t="shared" si="6"/>
        <v>20.979020979020977</v>
      </c>
      <c r="Q30" s="128">
        <f t="shared" si="6"/>
        <v>19.365250134480899</v>
      </c>
      <c r="R30" s="129">
        <f t="shared" si="7"/>
        <v>274.61474244666022</v>
      </c>
      <c r="S30" s="167">
        <f t="shared" si="7"/>
        <v>343.26842805832524</v>
      </c>
      <c r="T30" s="131">
        <f t="shared" si="7"/>
        <v>316.86316436153101</v>
      </c>
      <c r="U30" s="130">
        <f t="shared" si="8"/>
        <v>329.53769093599226</v>
      </c>
      <c r="V30" s="130">
        <f t="shared" si="8"/>
        <v>411.92211366999027</v>
      </c>
      <c r="W30" s="131">
        <f t="shared" si="8"/>
        <v>380.23579723383722</v>
      </c>
      <c r="Y30" s="104"/>
      <c r="Z30" s="132">
        <v>110</v>
      </c>
      <c r="AD30" s="105"/>
    </row>
    <row r="31" spans="1:30">
      <c r="A31" s="14">
        <f t="shared" si="33"/>
        <v>100060</v>
      </c>
      <c r="B31" s="572"/>
      <c r="C31" s="168">
        <v>60</v>
      </c>
      <c r="D31" s="134">
        <v>35</v>
      </c>
      <c r="E31" s="135">
        <v>1.3</v>
      </c>
      <c r="F31" s="23">
        <f t="shared" si="34"/>
        <v>1.05</v>
      </c>
      <c r="G31" s="136">
        <f t="shared" si="0"/>
        <v>21.978021978021975</v>
      </c>
      <c r="H31" s="137">
        <f t="shared" si="1"/>
        <v>6.5934065934065922</v>
      </c>
      <c r="I31" s="138">
        <f t="shared" si="2"/>
        <v>186.42417944378994</v>
      </c>
      <c r="J31" s="139">
        <f t="shared" si="3"/>
        <v>14.65201465201465</v>
      </c>
      <c r="K31" s="139">
        <f t="shared" si="4"/>
        <v>18.315018315018314</v>
      </c>
      <c r="L31" s="140">
        <f t="shared" si="5"/>
        <v>16.906170752324595</v>
      </c>
      <c r="M31" s="141">
        <f t="shared" si="6"/>
        <v>7.9120879120879106</v>
      </c>
      <c r="N31" s="142">
        <f t="shared" si="6"/>
        <v>223.70901533254792</v>
      </c>
      <c r="O31" s="141">
        <f t="shared" si="6"/>
        <v>17.58241758241758</v>
      </c>
      <c r="P31" s="143">
        <f t="shared" si="6"/>
        <v>21.978021978021975</v>
      </c>
      <c r="Q31" s="144">
        <f t="shared" si="6"/>
        <v>20.287404902789515</v>
      </c>
      <c r="R31" s="145">
        <f t="shared" si="7"/>
        <v>414.27595431953313</v>
      </c>
      <c r="S31" s="169">
        <f t="shared" si="7"/>
        <v>517.84494289941642</v>
      </c>
      <c r="T31" s="147">
        <f t="shared" si="7"/>
        <v>478.01071652253819</v>
      </c>
      <c r="U31" s="146">
        <f t="shared" si="8"/>
        <v>497.13114518343974</v>
      </c>
      <c r="V31" s="146">
        <f t="shared" si="8"/>
        <v>621.41393147929966</v>
      </c>
      <c r="W31" s="147">
        <f t="shared" si="8"/>
        <v>573.61285982704578</v>
      </c>
      <c r="Y31" s="104"/>
      <c r="Z31" s="132">
        <v>120</v>
      </c>
      <c r="AD31" s="105"/>
    </row>
    <row r="32" spans="1:30">
      <c r="A32" s="14">
        <f t="shared" si="33"/>
        <v>100070</v>
      </c>
      <c r="B32" s="572"/>
      <c r="C32" s="133">
        <v>70</v>
      </c>
      <c r="D32" s="134">
        <v>35</v>
      </c>
      <c r="E32" s="135">
        <v>1.3</v>
      </c>
      <c r="F32" s="23">
        <f t="shared" si="34"/>
        <v>1.05</v>
      </c>
      <c r="G32" s="136">
        <f t="shared" si="0"/>
        <v>21.978021978021975</v>
      </c>
      <c r="H32" s="137">
        <f t="shared" si="1"/>
        <v>6.5934065934065922</v>
      </c>
      <c r="I32" s="138">
        <f t="shared" si="2"/>
        <v>253.744022020714</v>
      </c>
      <c r="J32" s="139">
        <f t="shared" si="3"/>
        <v>14.65201465201465</v>
      </c>
      <c r="K32" s="139">
        <f t="shared" si="4"/>
        <v>18.315018315018314</v>
      </c>
      <c r="L32" s="140">
        <f t="shared" si="5"/>
        <v>16.906170752324595</v>
      </c>
      <c r="M32" s="141">
        <f t="shared" si="6"/>
        <v>7.9120879120879106</v>
      </c>
      <c r="N32" s="142">
        <f t="shared" si="6"/>
        <v>304.49282642485679</v>
      </c>
      <c r="O32" s="141">
        <f t="shared" si="6"/>
        <v>17.58241758241758</v>
      </c>
      <c r="P32" s="143">
        <f t="shared" si="6"/>
        <v>21.978021978021975</v>
      </c>
      <c r="Q32" s="144">
        <f t="shared" si="6"/>
        <v>20.287404902789515</v>
      </c>
      <c r="R32" s="145">
        <f t="shared" si="7"/>
        <v>563.87560449047567</v>
      </c>
      <c r="S32" s="169">
        <f t="shared" si="7"/>
        <v>704.8445056130945</v>
      </c>
      <c r="T32" s="147">
        <f t="shared" si="7"/>
        <v>650.62569748901024</v>
      </c>
      <c r="U32" s="146">
        <f t="shared" si="8"/>
        <v>676.65072538857078</v>
      </c>
      <c r="V32" s="146">
        <f t="shared" si="8"/>
        <v>845.81340673571333</v>
      </c>
      <c r="W32" s="147">
        <f t="shared" si="8"/>
        <v>780.75083698681226</v>
      </c>
      <c r="Y32" s="104"/>
      <c r="AD32" s="105"/>
    </row>
    <row r="33" spans="1:30" ht="13.8" thickBot="1">
      <c r="A33" s="14">
        <f t="shared" si="33"/>
        <v>100080</v>
      </c>
      <c r="B33" s="572"/>
      <c r="C33" s="133">
        <v>80</v>
      </c>
      <c r="D33" s="134">
        <v>35</v>
      </c>
      <c r="E33" s="135">
        <v>1.3</v>
      </c>
      <c r="F33" s="23">
        <f t="shared" si="34"/>
        <v>1.05</v>
      </c>
      <c r="G33" s="136">
        <f t="shared" si="0"/>
        <v>21.978021978021975</v>
      </c>
      <c r="H33" s="137">
        <f t="shared" si="1"/>
        <v>6.5934065934065922</v>
      </c>
      <c r="I33" s="138">
        <f t="shared" si="2"/>
        <v>331.42076345562651</v>
      </c>
      <c r="J33" s="139">
        <f t="shared" si="3"/>
        <v>14.65201465201465</v>
      </c>
      <c r="K33" s="139">
        <f t="shared" si="4"/>
        <v>18.315018315018314</v>
      </c>
      <c r="L33" s="140">
        <f t="shared" si="5"/>
        <v>16.906170752324595</v>
      </c>
      <c r="M33" s="141">
        <f t="shared" si="6"/>
        <v>7.9120879120879106</v>
      </c>
      <c r="N33" s="142">
        <f t="shared" si="6"/>
        <v>397.70491614675183</v>
      </c>
      <c r="O33" s="141">
        <f t="shared" si="6"/>
        <v>17.58241758241758</v>
      </c>
      <c r="P33" s="143">
        <f t="shared" si="6"/>
        <v>21.978021978021975</v>
      </c>
      <c r="Q33" s="144">
        <f t="shared" si="6"/>
        <v>20.287404902789515</v>
      </c>
      <c r="R33" s="145">
        <f t="shared" si="7"/>
        <v>736.49058545694777</v>
      </c>
      <c r="S33" s="169">
        <f t="shared" si="7"/>
        <v>920.61323182118485</v>
      </c>
      <c r="T33" s="147">
        <f t="shared" si="7"/>
        <v>849.79682937340135</v>
      </c>
      <c r="U33" s="146">
        <f t="shared" si="8"/>
        <v>883.78870254833726</v>
      </c>
      <c r="V33" s="146">
        <f t="shared" si="8"/>
        <v>1104.7358781854218</v>
      </c>
      <c r="W33" s="147">
        <f t="shared" si="8"/>
        <v>1019.7561952480816</v>
      </c>
      <c r="Y33" s="170"/>
      <c r="Z33" s="171"/>
      <c r="AA33" s="171"/>
      <c r="AB33" s="171"/>
      <c r="AC33" s="171"/>
      <c r="AD33" s="172"/>
    </row>
    <row r="34" spans="1:30" ht="14.4" customHeight="1">
      <c r="A34" s="14">
        <f t="shared" si="33"/>
        <v>100090</v>
      </c>
      <c r="B34" s="572"/>
      <c r="C34" s="168">
        <v>90</v>
      </c>
      <c r="D34" s="134">
        <v>35</v>
      </c>
      <c r="E34" s="135">
        <v>1.3</v>
      </c>
      <c r="F34" s="23">
        <f t="shared" si="34"/>
        <v>1.05</v>
      </c>
      <c r="G34" s="136">
        <f t="shared" si="0"/>
        <v>21.978021978021975</v>
      </c>
      <c r="H34" s="137">
        <f t="shared" si="1"/>
        <v>6.5934065934065922</v>
      </c>
      <c r="I34" s="138">
        <f t="shared" si="2"/>
        <v>419.45440374852734</v>
      </c>
      <c r="J34" s="139">
        <f t="shared" si="3"/>
        <v>14.65201465201465</v>
      </c>
      <c r="K34" s="139">
        <f t="shared" si="4"/>
        <v>18.315018315018314</v>
      </c>
      <c r="L34" s="140">
        <f t="shared" si="5"/>
        <v>16.906170752324595</v>
      </c>
      <c r="M34" s="141">
        <f t="shared" si="6"/>
        <v>7.9120879120879106</v>
      </c>
      <c r="N34" s="142">
        <f t="shared" si="6"/>
        <v>503.34528449823279</v>
      </c>
      <c r="O34" s="141">
        <f t="shared" si="6"/>
        <v>17.58241758241758</v>
      </c>
      <c r="P34" s="143">
        <f t="shared" si="6"/>
        <v>21.978021978021975</v>
      </c>
      <c r="Q34" s="144">
        <f t="shared" si="6"/>
        <v>20.287404902789515</v>
      </c>
      <c r="R34" s="145">
        <f t="shared" si="7"/>
        <v>932.12089721894949</v>
      </c>
      <c r="S34" s="169">
        <f t="shared" si="7"/>
        <v>1165.1511215236872</v>
      </c>
      <c r="T34" s="147">
        <f t="shared" si="7"/>
        <v>1075.5241121757108</v>
      </c>
      <c r="U34" s="146">
        <f t="shared" si="8"/>
        <v>1118.5450766627393</v>
      </c>
      <c r="V34" s="146">
        <f t="shared" si="8"/>
        <v>1398.1813458284246</v>
      </c>
      <c r="W34" s="147">
        <f t="shared" si="8"/>
        <v>1290.6289346108529</v>
      </c>
    </row>
    <row r="35" spans="1:30" ht="14.4" customHeight="1">
      <c r="A35" s="14">
        <f t="shared" si="33"/>
        <v>100100</v>
      </c>
      <c r="B35" s="572"/>
      <c r="C35" s="133">
        <v>100</v>
      </c>
      <c r="D35" s="134">
        <v>35</v>
      </c>
      <c r="E35" s="135">
        <v>1.3</v>
      </c>
      <c r="F35" s="23">
        <f t="shared" si="34"/>
        <v>1.05</v>
      </c>
      <c r="G35" s="136">
        <f t="shared" si="0"/>
        <v>21.978021978021975</v>
      </c>
      <c r="H35" s="137">
        <f t="shared" si="1"/>
        <v>6.5934065934065922</v>
      </c>
      <c r="I35" s="138">
        <f t="shared" si="2"/>
        <v>517.84494289941642</v>
      </c>
      <c r="J35" s="139">
        <f t="shared" si="3"/>
        <v>14.65201465201465</v>
      </c>
      <c r="K35" s="139">
        <f t="shared" si="4"/>
        <v>18.315018315018314</v>
      </c>
      <c r="L35" s="140">
        <f t="shared" si="5"/>
        <v>16.906170752324595</v>
      </c>
      <c r="M35" s="141">
        <f t="shared" si="6"/>
        <v>7.9120879120879106</v>
      </c>
      <c r="N35" s="142">
        <f t="shared" si="6"/>
        <v>621.41393147929966</v>
      </c>
      <c r="O35" s="141">
        <f t="shared" si="6"/>
        <v>17.58241758241758</v>
      </c>
      <c r="P35" s="143">
        <f t="shared" si="6"/>
        <v>21.978021978021975</v>
      </c>
      <c r="Q35" s="144">
        <f t="shared" si="6"/>
        <v>20.287404902789515</v>
      </c>
      <c r="R35" s="145">
        <f t="shared" si="7"/>
        <v>1150.7665397764808</v>
      </c>
      <c r="S35" s="146">
        <f t="shared" si="7"/>
        <v>1438.4581747206012</v>
      </c>
      <c r="T35" s="147">
        <f t="shared" si="7"/>
        <v>1327.8075458959393</v>
      </c>
      <c r="U35" s="146">
        <f t="shared" si="8"/>
        <v>1380.9198477317771</v>
      </c>
      <c r="V35" s="146">
        <f t="shared" si="8"/>
        <v>1726.1498096647213</v>
      </c>
      <c r="W35" s="147">
        <f t="shared" si="8"/>
        <v>1593.3690550751271</v>
      </c>
    </row>
    <row r="36" spans="1:30" ht="14.4" customHeight="1">
      <c r="A36" s="14">
        <f t="shared" si="33"/>
        <v>100110</v>
      </c>
      <c r="B36" s="572"/>
      <c r="C36" s="133">
        <v>110</v>
      </c>
      <c r="D36" s="134">
        <v>35</v>
      </c>
      <c r="E36" s="135">
        <v>1.3</v>
      </c>
      <c r="F36" s="23">
        <f t="shared" si="34"/>
        <v>1.05</v>
      </c>
      <c r="G36" s="136">
        <f t="shared" si="0"/>
        <v>21.978021978021975</v>
      </c>
      <c r="H36" s="137">
        <f t="shared" si="1"/>
        <v>6.5934065934065922</v>
      </c>
      <c r="I36" s="138">
        <f t="shared" si="2"/>
        <v>626.59238090829388</v>
      </c>
      <c r="J36" s="139">
        <f t="shared" si="3"/>
        <v>14.65201465201465</v>
      </c>
      <c r="K36" s="139">
        <f t="shared" si="4"/>
        <v>18.315018315018314</v>
      </c>
      <c r="L36" s="140">
        <f t="shared" si="5"/>
        <v>16.906170752324595</v>
      </c>
      <c r="M36" s="141">
        <f t="shared" si="6"/>
        <v>7.9120879120879106</v>
      </c>
      <c r="N36" s="142">
        <f t="shared" si="6"/>
        <v>751.91085708995263</v>
      </c>
      <c r="O36" s="141">
        <f t="shared" si="6"/>
        <v>17.58241758241758</v>
      </c>
      <c r="P36" s="143">
        <f t="shared" si="6"/>
        <v>21.978021978021975</v>
      </c>
      <c r="Q36" s="144">
        <f t="shared" si="6"/>
        <v>20.287404902789515</v>
      </c>
      <c r="R36" s="145">
        <f t="shared" si="7"/>
        <v>1392.4275131295421</v>
      </c>
      <c r="S36" s="146">
        <f t="shared" si="7"/>
        <v>1740.5343914119278</v>
      </c>
      <c r="T36" s="147">
        <f t="shared" si="7"/>
        <v>1606.647130534087</v>
      </c>
      <c r="U36" s="146">
        <f t="shared" si="8"/>
        <v>1670.9130157554505</v>
      </c>
      <c r="V36" s="146">
        <f t="shared" si="8"/>
        <v>2088.6412696943135</v>
      </c>
      <c r="W36" s="147">
        <f t="shared" si="8"/>
        <v>1927.9765566409042</v>
      </c>
    </row>
    <row r="37" spans="1:30" ht="14.4" customHeight="1">
      <c r="A37" s="14">
        <f t="shared" si="33"/>
        <v>100120</v>
      </c>
      <c r="B37" s="572"/>
      <c r="C37" s="133">
        <v>120</v>
      </c>
      <c r="D37" s="134">
        <v>35</v>
      </c>
      <c r="E37" s="135">
        <v>1.3</v>
      </c>
      <c r="F37" s="23">
        <f t="shared" si="34"/>
        <v>1.05</v>
      </c>
      <c r="G37" s="136">
        <f t="shared" si="0"/>
        <v>21.978021978021975</v>
      </c>
      <c r="H37" s="137">
        <f t="shared" si="1"/>
        <v>6.5934065934065922</v>
      </c>
      <c r="I37" s="138">
        <f t="shared" si="2"/>
        <v>745.69671777515975</v>
      </c>
      <c r="J37" s="139">
        <f t="shared" si="3"/>
        <v>14.65201465201465</v>
      </c>
      <c r="K37" s="139">
        <f t="shared" si="4"/>
        <v>18.315018315018314</v>
      </c>
      <c r="L37" s="140">
        <f t="shared" si="5"/>
        <v>16.906170752324595</v>
      </c>
      <c r="M37" s="141">
        <f t="shared" si="6"/>
        <v>7.9120879120879106</v>
      </c>
      <c r="N37" s="142">
        <f t="shared" si="6"/>
        <v>894.83606133019168</v>
      </c>
      <c r="O37" s="141">
        <f t="shared" si="6"/>
        <v>17.58241758241758</v>
      </c>
      <c r="P37" s="143">
        <f t="shared" si="6"/>
        <v>21.978021978021975</v>
      </c>
      <c r="Q37" s="144">
        <f t="shared" si="6"/>
        <v>20.287404902789515</v>
      </c>
      <c r="R37" s="145">
        <f t="shared" si="7"/>
        <v>1657.1038172781325</v>
      </c>
      <c r="S37" s="146">
        <f t="shared" si="7"/>
        <v>2071.3797715976657</v>
      </c>
      <c r="T37" s="147">
        <f t="shared" si="7"/>
        <v>1912.0428660901528</v>
      </c>
      <c r="U37" s="146">
        <f t="shared" si="8"/>
        <v>1988.524580733759</v>
      </c>
      <c r="V37" s="146">
        <f t="shared" si="8"/>
        <v>2485.6557259171987</v>
      </c>
      <c r="W37" s="147">
        <f t="shared" si="8"/>
        <v>2294.4514393081831</v>
      </c>
    </row>
    <row r="38" spans="1:30" ht="14.4" customHeight="1" thickBot="1">
      <c r="A38" s="14">
        <f>100000+C38</f>
        <v>100150</v>
      </c>
      <c r="B38" s="573"/>
      <c r="C38" s="151">
        <v>150</v>
      </c>
      <c r="D38" s="152">
        <v>35</v>
      </c>
      <c r="E38" s="153">
        <v>1.3</v>
      </c>
      <c r="F38" s="154">
        <f t="shared" si="34"/>
        <v>1.05</v>
      </c>
      <c r="G38" s="155">
        <f t="shared" si="0"/>
        <v>21.978021978021975</v>
      </c>
      <c r="H38" s="156">
        <f t="shared" si="1"/>
        <v>6.5934065934065922</v>
      </c>
      <c r="I38" s="157">
        <f t="shared" si="2"/>
        <v>1165.1511215236869</v>
      </c>
      <c r="J38" s="158">
        <f t="shared" si="3"/>
        <v>14.65201465201465</v>
      </c>
      <c r="K38" s="158">
        <f t="shared" si="4"/>
        <v>18.315018315018314</v>
      </c>
      <c r="L38" s="159">
        <f t="shared" si="5"/>
        <v>16.906170752324595</v>
      </c>
      <c r="M38" s="160">
        <f t="shared" si="6"/>
        <v>7.9120879120879106</v>
      </c>
      <c r="N38" s="161">
        <f t="shared" si="6"/>
        <v>1398.1813458284244</v>
      </c>
      <c r="O38" s="160">
        <f t="shared" si="6"/>
        <v>17.58241758241758</v>
      </c>
      <c r="P38" s="162">
        <f t="shared" si="6"/>
        <v>21.978021978021975</v>
      </c>
      <c r="Q38" s="163">
        <f t="shared" si="6"/>
        <v>20.287404902789515</v>
      </c>
      <c r="R38" s="164">
        <f t="shared" si="7"/>
        <v>2589.2247144970815</v>
      </c>
      <c r="S38" s="165">
        <f t="shared" si="7"/>
        <v>3236.5308931213526</v>
      </c>
      <c r="T38" s="166">
        <f t="shared" si="7"/>
        <v>2987.5669782658633</v>
      </c>
      <c r="U38" s="165">
        <f t="shared" si="8"/>
        <v>3107.0696573964979</v>
      </c>
      <c r="V38" s="165">
        <f t="shared" si="8"/>
        <v>3883.8370717456228</v>
      </c>
      <c r="W38" s="166">
        <f t="shared" si="8"/>
        <v>3585.080373919036</v>
      </c>
    </row>
  </sheetData>
  <mergeCells count="9">
    <mergeCell ref="B30:B38"/>
    <mergeCell ref="B1:E1"/>
    <mergeCell ref="C9:G9"/>
    <mergeCell ref="H9:L9"/>
    <mergeCell ref="M9:Q9"/>
    <mergeCell ref="B10:B11"/>
    <mergeCell ref="B12:B20"/>
    <mergeCell ref="B26:B29"/>
    <mergeCell ref="B21:B25"/>
  </mergeCells>
  <dataValidations count="2">
    <dataValidation type="list" allowBlank="1" showInputMessage="1" showErrorMessage="1" sqref="C6" xr:uid="{00000000-0002-0000-0500-000000000000}">
      <formula1>$AB$12:$AB$13</formula1>
    </dataValidation>
    <dataValidation type="list" allowBlank="1" showInputMessage="1" showErrorMessage="1" sqref="C5 C7:C8" xr:uid="{00000000-0002-0000-0500-000001000000}">
      <formula1>$AA$12:$AA$13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AB118"/>
  <sheetViews>
    <sheetView zoomScale="70" zoomScaleNormal="70" workbookViewId="0">
      <selection activeCell="F107" sqref="F107"/>
    </sheetView>
  </sheetViews>
  <sheetFormatPr baseColWidth="10" defaultColWidth="11.44140625" defaultRowHeight="13.2"/>
  <cols>
    <col min="1" max="1" width="11.44140625" style="17"/>
    <col min="2" max="2" width="11.44140625" style="175"/>
    <col min="3" max="3" width="11.44140625" style="15"/>
    <col min="4" max="16384" width="11.44140625" style="17"/>
  </cols>
  <sheetData>
    <row r="1" spans="2:28" ht="13.8" thickBot="1"/>
    <row r="2" spans="2:28" ht="13.8" thickBot="1">
      <c r="B2" s="21"/>
      <c r="C2" s="577" t="s">
        <v>129</v>
      </c>
      <c r="D2" s="578"/>
      <c r="E2" s="578"/>
      <c r="F2" s="578"/>
      <c r="G2" s="578"/>
      <c r="H2" s="578"/>
      <c r="I2" s="578"/>
      <c r="J2" s="579"/>
      <c r="K2" s="577" t="s">
        <v>130</v>
      </c>
      <c r="L2" s="578"/>
      <c r="M2" s="578"/>
      <c r="N2" s="578"/>
      <c r="O2" s="578"/>
      <c r="P2" s="578"/>
      <c r="Q2" s="579"/>
      <c r="R2" s="14"/>
      <c r="S2" s="14"/>
    </row>
    <row r="3" spans="2:28" ht="14.4" thickBot="1">
      <c r="B3" s="176" t="s">
        <v>131</v>
      </c>
      <c r="C3" s="14"/>
      <c r="D3" s="14"/>
      <c r="E3" s="14"/>
      <c r="F3" s="14"/>
      <c r="G3" s="14"/>
      <c r="H3" s="14"/>
      <c r="I3" s="14"/>
      <c r="J3" s="14"/>
      <c r="R3" s="108"/>
      <c r="S3" s="173"/>
      <c r="T3" s="14"/>
      <c r="U3" s="577" t="s">
        <v>129</v>
      </c>
      <c r="V3" s="578"/>
      <c r="W3" s="577" t="s">
        <v>130</v>
      </c>
      <c r="X3" s="578"/>
      <c r="Y3" s="577" t="s">
        <v>129</v>
      </c>
      <c r="Z3" s="578"/>
      <c r="AA3" s="577" t="s">
        <v>130</v>
      </c>
      <c r="AB3" s="579"/>
    </row>
    <row r="4" spans="2:28" ht="69.599999999999994" customHeight="1" thickBot="1">
      <c r="B4" s="177"/>
      <c r="C4" s="178" t="s">
        <v>132</v>
      </c>
      <c r="D4" s="179" t="s">
        <v>411</v>
      </c>
      <c r="E4" s="179" t="s">
        <v>133</v>
      </c>
      <c r="F4" s="179" t="s">
        <v>404</v>
      </c>
      <c r="G4" s="179" t="s">
        <v>134</v>
      </c>
      <c r="H4" s="179" t="s">
        <v>61</v>
      </c>
      <c r="I4" s="179" t="s">
        <v>135</v>
      </c>
      <c r="J4" s="179" t="s">
        <v>136</v>
      </c>
      <c r="K4" s="179" t="s">
        <v>411</v>
      </c>
      <c r="L4" s="179" t="s">
        <v>133</v>
      </c>
      <c r="M4" s="179" t="s">
        <v>50</v>
      </c>
      <c r="N4" s="179" t="s">
        <v>134</v>
      </c>
      <c r="O4" s="179" t="s">
        <v>61</v>
      </c>
      <c r="P4" s="179" t="s">
        <v>135</v>
      </c>
      <c r="Q4" s="180" t="s">
        <v>136</v>
      </c>
      <c r="R4" s="181"/>
      <c r="S4" s="182"/>
      <c r="T4" s="14"/>
      <c r="U4" s="585" t="s">
        <v>137</v>
      </c>
      <c r="V4" s="586"/>
      <c r="W4" s="586"/>
      <c r="X4" s="587"/>
      <c r="Y4" s="585" t="s">
        <v>138</v>
      </c>
      <c r="Z4" s="586"/>
      <c r="AA4" s="586"/>
      <c r="AB4" s="587"/>
    </row>
    <row r="5" spans="2:28" ht="27" thickBot="1">
      <c r="B5" s="183"/>
      <c r="C5" s="184" t="s">
        <v>139</v>
      </c>
      <c r="D5" s="13" t="s">
        <v>22</v>
      </c>
      <c r="E5" s="13" t="s">
        <v>22</v>
      </c>
      <c r="F5" s="13" t="s">
        <v>22</v>
      </c>
      <c r="G5" s="13" t="s">
        <v>22</v>
      </c>
      <c r="H5" s="13" t="s">
        <v>22</v>
      </c>
      <c r="I5" s="13" t="s">
        <v>22</v>
      </c>
      <c r="J5" s="13" t="s">
        <v>22</v>
      </c>
      <c r="K5" s="23" t="s">
        <v>24</v>
      </c>
      <c r="L5" s="23" t="s">
        <v>24</v>
      </c>
      <c r="M5" s="23" t="s">
        <v>24</v>
      </c>
      <c r="N5" s="23" t="s">
        <v>24</v>
      </c>
      <c r="O5" s="23" t="s">
        <v>24</v>
      </c>
      <c r="P5" s="23" t="s">
        <v>24</v>
      </c>
      <c r="Q5" s="185" t="s">
        <v>24</v>
      </c>
      <c r="R5" s="181"/>
      <c r="S5" s="186"/>
      <c r="T5" s="187" t="s">
        <v>132</v>
      </c>
      <c r="U5" s="188" t="s">
        <v>46</v>
      </c>
      <c r="V5" s="71" t="s">
        <v>47</v>
      </c>
      <c r="W5" s="71" t="s">
        <v>46</v>
      </c>
      <c r="X5" s="189" t="s">
        <v>47</v>
      </c>
      <c r="Y5" s="190" t="s">
        <v>46</v>
      </c>
      <c r="Z5" s="71" t="s">
        <v>47</v>
      </c>
      <c r="AA5" s="71" t="s">
        <v>46</v>
      </c>
      <c r="AB5" s="189" t="s">
        <v>47</v>
      </c>
    </row>
    <row r="6" spans="2:28" s="14" customFormat="1" ht="27" thickBot="1">
      <c r="B6" s="24"/>
      <c r="C6" s="191" t="s">
        <v>32</v>
      </c>
      <c r="D6" s="192">
        <v>0</v>
      </c>
      <c r="E6" s="154">
        <v>1</v>
      </c>
      <c r="F6" s="154" t="s">
        <v>405</v>
      </c>
      <c r="G6" s="154">
        <v>2</v>
      </c>
      <c r="H6" s="154">
        <v>3</v>
      </c>
      <c r="I6" s="154">
        <v>4</v>
      </c>
      <c r="J6" s="154">
        <v>5</v>
      </c>
      <c r="K6" s="192">
        <v>0</v>
      </c>
      <c r="L6" s="154">
        <v>1</v>
      </c>
      <c r="M6" s="154">
        <v>2</v>
      </c>
      <c r="N6" s="154">
        <v>3</v>
      </c>
      <c r="O6" s="154">
        <v>4</v>
      </c>
      <c r="P6" s="154">
        <v>5</v>
      </c>
      <c r="Q6" s="193">
        <v>6</v>
      </c>
      <c r="R6" s="108"/>
      <c r="S6" s="106"/>
      <c r="T6" s="194" t="s">
        <v>139</v>
      </c>
      <c r="U6" s="188" t="s">
        <v>22</v>
      </c>
      <c r="V6" s="71" t="s">
        <v>22</v>
      </c>
      <c r="W6" s="195" t="s">
        <v>24</v>
      </c>
      <c r="X6" s="196" t="s">
        <v>24</v>
      </c>
      <c r="Y6" s="190" t="s">
        <v>22</v>
      </c>
      <c r="Z6" s="71" t="s">
        <v>22</v>
      </c>
      <c r="AA6" s="195" t="s">
        <v>24</v>
      </c>
      <c r="AB6" s="196" t="s">
        <v>24</v>
      </c>
    </row>
    <row r="7" spans="2:28">
      <c r="B7" s="21" t="s">
        <v>70</v>
      </c>
      <c r="C7" s="197">
        <v>1</v>
      </c>
      <c r="D7" s="198">
        <v>0</v>
      </c>
      <c r="E7" s="94">
        <v>1.1000000000000001</v>
      </c>
      <c r="F7" s="94">
        <v>1</v>
      </c>
      <c r="G7" s="94">
        <v>1</v>
      </c>
      <c r="H7" s="94">
        <v>1.8</v>
      </c>
      <c r="I7" s="94">
        <v>1.5</v>
      </c>
      <c r="J7" s="199">
        <v>1.6</v>
      </c>
      <c r="K7" s="200">
        <v>0</v>
      </c>
      <c r="L7" s="94">
        <v>0.55000000000000004</v>
      </c>
      <c r="M7" s="94">
        <v>0.65</v>
      </c>
      <c r="N7" s="94">
        <v>0.7</v>
      </c>
      <c r="O7" s="94">
        <v>0.8</v>
      </c>
      <c r="P7" s="94">
        <v>1.4</v>
      </c>
      <c r="Q7" s="199">
        <v>1.5</v>
      </c>
      <c r="R7" s="108"/>
      <c r="S7" s="173"/>
      <c r="T7" s="174">
        <v>1</v>
      </c>
      <c r="U7" s="197">
        <v>1.1499999999999999</v>
      </c>
      <c r="V7" s="94">
        <v>1.4</v>
      </c>
      <c r="W7" s="201">
        <v>1.18</v>
      </c>
      <c r="X7" s="202">
        <v>1.45</v>
      </c>
      <c r="Y7" s="203">
        <v>1.4</v>
      </c>
      <c r="Z7" s="94">
        <v>1.7</v>
      </c>
      <c r="AA7" s="201">
        <v>1.45</v>
      </c>
      <c r="AB7" s="202">
        <v>1.75</v>
      </c>
    </row>
    <row r="8" spans="2:28">
      <c r="B8" s="21" t="s">
        <v>140</v>
      </c>
      <c r="C8" s="133">
        <v>2</v>
      </c>
      <c r="D8" s="204">
        <v>0</v>
      </c>
      <c r="E8" s="23">
        <v>1.25</v>
      </c>
      <c r="F8" s="23">
        <v>1.4</v>
      </c>
      <c r="G8" s="23">
        <v>1.4</v>
      </c>
      <c r="H8" s="23">
        <v>1.8</v>
      </c>
      <c r="I8" s="23">
        <v>1.5</v>
      </c>
      <c r="J8" s="185">
        <v>1.6</v>
      </c>
      <c r="K8" s="205">
        <v>0</v>
      </c>
      <c r="L8" s="23">
        <v>0.65</v>
      </c>
      <c r="M8" s="23">
        <v>0.8</v>
      </c>
      <c r="N8" s="23">
        <v>1</v>
      </c>
      <c r="O8" s="23">
        <v>0.8</v>
      </c>
      <c r="P8" s="23">
        <v>1.4</v>
      </c>
      <c r="Q8" s="185">
        <v>1.5</v>
      </c>
      <c r="R8" s="108"/>
      <c r="S8" s="173"/>
      <c r="T8" s="206">
        <v>2</v>
      </c>
      <c r="U8" s="133">
        <v>1.1499999999999999</v>
      </c>
      <c r="V8" s="23">
        <v>1.4</v>
      </c>
      <c r="W8" s="28">
        <v>1.18</v>
      </c>
      <c r="X8" s="207">
        <v>1.45</v>
      </c>
      <c r="Y8" s="208">
        <v>1.4</v>
      </c>
      <c r="Z8" s="23">
        <v>1.7</v>
      </c>
      <c r="AA8" s="28">
        <v>1.45</v>
      </c>
      <c r="AB8" s="207">
        <v>1.75</v>
      </c>
    </row>
    <row r="9" spans="2:28">
      <c r="B9" s="21" t="s">
        <v>141</v>
      </c>
      <c r="C9" s="133">
        <v>3</v>
      </c>
      <c r="D9" s="204">
        <v>0</v>
      </c>
      <c r="E9" s="23">
        <v>0.7</v>
      </c>
      <c r="F9" s="23">
        <v>0.6</v>
      </c>
      <c r="G9" s="23">
        <v>0.6</v>
      </c>
      <c r="H9" s="23">
        <v>0.5</v>
      </c>
      <c r="I9" s="23">
        <v>0.9</v>
      </c>
      <c r="J9" s="209" t="s">
        <v>142</v>
      </c>
      <c r="K9" s="205">
        <v>0</v>
      </c>
      <c r="L9" s="23">
        <v>0.35</v>
      </c>
      <c r="M9" s="23">
        <v>0.4</v>
      </c>
      <c r="N9" s="23">
        <v>0.4</v>
      </c>
      <c r="O9" s="23">
        <v>0.25</v>
      </c>
      <c r="P9" s="23">
        <v>0.85</v>
      </c>
      <c r="Q9" s="209" t="s">
        <v>142</v>
      </c>
      <c r="R9" s="108"/>
      <c r="S9" s="173"/>
      <c r="T9" s="206">
        <v>3</v>
      </c>
      <c r="U9" s="133">
        <v>1.1499999999999999</v>
      </c>
      <c r="V9" s="23">
        <v>1.4</v>
      </c>
      <c r="W9" s="28">
        <v>1.18</v>
      </c>
      <c r="X9" s="207">
        <v>1.45</v>
      </c>
      <c r="Y9" s="208">
        <v>1.4</v>
      </c>
      <c r="Z9" s="23">
        <v>1.7</v>
      </c>
      <c r="AA9" s="28">
        <v>1.45</v>
      </c>
      <c r="AB9" s="207">
        <v>1.75</v>
      </c>
    </row>
    <row r="10" spans="2:28">
      <c r="B10" s="21" t="s">
        <v>143</v>
      </c>
      <c r="C10" s="133">
        <v>4</v>
      </c>
      <c r="D10" s="204">
        <v>0</v>
      </c>
      <c r="E10" s="23">
        <v>1.25</v>
      </c>
      <c r="F10" s="23">
        <v>1.4</v>
      </c>
      <c r="G10" s="23">
        <v>1.4</v>
      </c>
      <c r="H10" s="23">
        <v>1.7</v>
      </c>
      <c r="I10" s="23">
        <v>1.4</v>
      </c>
      <c r="J10" s="209" t="s">
        <v>142</v>
      </c>
      <c r="K10" s="205">
        <v>0</v>
      </c>
      <c r="L10" s="14">
        <v>0.65</v>
      </c>
      <c r="M10" s="23">
        <v>0.8</v>
      </c>
      <c r="N10" s="14">
        <v>1</v>
      </c>
      <c r="O10" s="23">
        <v>0.75</v>
      </c>
      <c r="P10" s="23">
        <v>0.13</v>
      </c>
      <c r="Q10" s="209" t="s">
        <v>142</v>
      </c>
      <c r="R10" s="108"/>
      <c r="S10" s="173"/>
      <c r="T10" s="206">
        <v>4</v>
      </c>
      <c r="U10" s="133">
        <v>1.1499999999999999</v>
      </c>
      <c r="V10" s="23">
        <v>1.4</v>
      </c>
      <c r="W10" s="28">
        <v>1.18</v>
      </c>
      <c r="X10" s="207">
        <v>1.45</v>
      </c>
      <c r="Y10" s="208">
        <v>1.4</v>
      </c>
      <c r="Z10" s="23">
        <v>1.7</v>
      </c>
      <c r="AA10" s="28">
        <v>1.45</v>
      </c>
      <c r="AB10" s="207">
        <v>1.75</v>
      </c>
    </row>
    <row r="11" spans="2:28">
      <c r="B11" s="21" t="s">
        <v>144</v>
      </c>
      <c r="C11" s="133">
        <v>5</v>
      </c>
      <c r="D11" s="204">
        <v>0</v>
      </c>
      <c r="E11" s="23">
        <v>1.3</v>
      </c>
      <c r="F11" s="210" t="s">
        <v>142</v>
      </c>
      <c r="G11" s="210" t="s">
        <v>142</v>
      </c>
      <c r="H11" s="210" t="s">
        <v>142</v>
      </c>
      <c r="I11" s="210" t="s">
        <v>142</v>
      </c>
      <c r="J11" s="209" t="s">
        <v>142</v>
      </c>
      <c r="K11" s="205">
        <v>0</v>
      </c>
      <c r="L11" s="23">
        <v>0.7</v>
      </c>
      <c r="M11" s="23">
        <v>0.85</v>
      </c>
      <c r="N11" s="210" t="s">
        <v>142</v>
      </c>
      <c r="O11" s="210" t="s">
        <v>142</v>
      </c>
      <c r="P11" s="210" t="s">
        <v>142</v>
      </c>
      <c r="Q11" s="209" t="s">
        <v>142</v>
      </c>
      <c r="R11" s="108"/>
      <c r="S11" s="173"/>
      <c r="T11" s="206">
        <v>5</v>
      </c>
      <c r="U11" s="133">
        <v>1.1499999999999999</v>
      </c>
      <c r="V11" s="23">
        <v>1.4</v>
      </c>
      <c r="W11" s="28">
        <v>1.18</v>
      </c>
      <c r="X11" s="207">
        <v>1.45</v>
      </c>
      <c r="Y11" s="208">
        <v>1.4</v>
      </c>
      <c r="Z11" s="23">
        <v>1.7</v>
      </c>
      <c r="AA11" s="28">
        <v>1.45</v>
      </c>
      <c r="AB11" s="207">
        <v>1.75</v>
      </c>
    </row>
    <row r="12" spans="2:28">
      <c r="B12" s="21" t="s">
        <v>145</v>
      </c>
      <c r="C12" s="133">
        <v>6</v>
      </c>
      <c r="D12" s="204">
        <v>0</v>
      </c>
      <c r="E12" s="23">
        <v>1.5</v>
      </c>
      <c r="F12" s="23">
        <v>1.8</v>
      </c>
      <c r="G12" s="23">
        <v>1.8</v>
      </c>
      <c r="H12" s="23">
        <v>2.1</v>
      </c>
      <c r="I12" s="23">
        <v>1.6</v>
      </c>
      <c r="J12" s="185">
        <v>1.6</v>
      </c>
      <c r="K12" s="205">
        <v>0</v>
      </c>
      <c r="L12" s="23">
        <v>0.75</v>
      </c>
      <c r="M12" s="23">
        <v>0.9</v>
      </c>
      <c r="N12" s="23">
        <v>1.25</v>
      </c>
      <c r="O12" s="23">
        <v>0.95</v>
      </c>
      <c r="P12" s="23">
        <v>1.5</v>
      </c>
      <c r="Q12" s="185">
        <v>1.5</v>
      </c>
      <c r="R12" s="108"/>
      <c r="S12" s="173"/>
      <c r="T12" s="206">
        <v>6</v>
      </c>
      <c r="U12" s="133">
        <v>1.1499999999999999</v>
      </c>
      <c r="V12" s="23">
        <v>1.4</v>
      </c>
      <c r="W12" s="28">
        <v>1.18</v>
      </c>
      <c r="X12" s="207">
        <v>1.45</v>
      </c>
      <c r="Y12" s="208">
        <v>1.4</v>
      </c>
      <c r="Z12" s="23">
        <v>1.7</v>
      </c>
      <c r="AA12" s="28">
        <v>1.45</v>
      </c>
      <c r="AB12" s="207">
        <v>1.75</v>
      </c>
    </row>
    <row r="13" spans="2:28">
      <c r="B13" s="21" t="s">
        <v>65</v>
      </c>
      <c r="C13" s="133">
        <v>7</v>
      </c>
      <c r="D13" s="204">
        <v>0</v>
      </c>
      <c r="E13" s="23">
        <v>1.9</v>
      </c>
      <c r="F13" s="23">
        <v>2.1</v>
      </c>
      <c r="G13" s="23">
        <v>2.1</v>
      </c>
      <c r="H13" s="23">
        <v>1.7</v>
      </c>
      <c r="I13" s="23">
        <v>1.7</v>
      </c>
      <c r="J13" s="209" t="s">
        <v>142</v>
      </c>
      <c r="K13" s="205">
        <v>0</v>
      </c>
      <c r="L13" s="23">
        <v>0.95</v>
      </c>
      <c r="M13" s="23">
        <v>1.1499999999999999</v>
      </c>
      <c r="N13" s="23">
        <v>1.45</v>
      </c>
      <c r="O13" s="23">
        <v>0.75</v>
      </c>
      <c r="P13" s="23">
        <v>1.6</v>
      </c>
      <c r="Q13" s="209" t="s">
        <v>142</v>
      </c>
      <c r="R13" s="108"/>
      <c r="S13" s="173"/>
      <c r="T13" s="206">
        <v>7</v>
      </c>
      <c r="U13" s="133">
        <v>1.1499999999999999</v>
      </c>
      <c r="V13" s="23">
        <v>1.4</v>
      </c>
      <c r="W13" s="28">
        <v>1.18</v>
      </c>
      <c r="X13" s="207">
        <v>1.45</v>
      </c>
      <c r="Y13" s="208">
        <v>1.4</v>
      </c>
      <c r="Z13" s="23">
        <v>1.7</v>
      </c>
      <c r="AA13" s="28">
        <v>1.45</v>
      </c>
      <c r="AB13" s="207">
        <v>1.75</v>
      </c>
    </row>
    <row r="14" spans="2:28">
      <c r="B14" s="21" t="s">
        <v>146</v>
      </c>
      <c r="C14" s="133">
        <v>8</v>
      </c>
      <c r="D14" s="204">
        <v>0</v>
      </c>
      <c r="E14" s="23">
        <v>0.6</v>
      </c>
      <c r="F14" s="23">
        <v>0.6</v>
      </c>
      <c r="G14" s="23">
        <v>0.6</v>
      </c>
      <c r="H14" s="23">
        <v>1</v>
      </c>
      <c r="I14" s="23">
        <v>0.7</v>
      </c>
      <c r="J14" s="209" t="s">
        <v>142</v>
      </c>
      <c r="K14" s="205">
        <v>0</v>
      </c>
      <c r="L14" s="23">
        <v>0.3</v>
      </c>
      <c r="M14" s="23">
        <v>0.35</v>
      </c>
      <c r="N14" s="23">
        <v>0.4</v>
      </c>
      <c r="O14" s="23">
        <v>0.45</v>
      </c>
      <c r="P14" s="23">
        <v>0.65</v>
      </c>
      <c r="Q14" s="209" t="s">
        <v>142</v>
      </c>
      <c r="R14" s="108"/>
      <c r="S14" s="173"/>
      <c r="T14" s="206">
        <v>8</v>
      </c>
      <c r="U14" s="133">
        <v>1.1499999999999999</v>
      </c>
      <c r="V14" s="23">
        <v>1.4</v>
      </c>
      <c r="W14" s="28">
        <v>1.18</v>
      </c>
      <c r="X14" s="207">
        <v>1.45</v>
      </c>
      <c r="Y14" s="208">
        <v>1.4</v>
      </c>
      <c r="Z14" s="23">
        <v>1.7</v>
      </c>
      <c r="AA14" s="28">
        <v>1.45</v>
      </c>
      <c r="AB14" s="207">
        <v>1.75</v>
      </c>
    </row>
    <row r="15" spans="2:28">
      <c r="B15" s="21" t="s">
        <v>147</v>
      </c>
      <c r="C15" s="133">
        <v>9</v>
      </c>
      <c r="D15" s="204">
        <v>0</v>
      </c>
      <c r="E15" s="23">
        <v>1.1000000000000001</v>
      </c>
      <c r="F15" s="23">
        <v>1.4</v>
      </c>
      <c r="G15" s="23">
        <v>1.4</v>
      </c>
      <c r="H15" s="23">
        <v>1</v>
      </c>
      <c r="I15" s="23">
        <v>0.9</v>
      </c>
      <c r="J15" s="209" t="s">
        <v>142</v>
      </c>
      <c r="K15" s="205">
        <v>0</v>
      </c>
      <c r="L15" s="23">
        <v>0.55000000000000004</v>
      </c>
      <c r="M15" s="23">
        <v>0.65</v>
      </c>
      <c r="N15" s="23">
        <v>1</v>
      </c>
      <c r="O15" s="23">
        <v>0.45</v>
      </c>
      <c r="P15" s="23">
        <v>0.85</v>
      </c>
      <c r="Q15" s="209" t="s">
        <v>142</v>
      </c>
      <c r="R15" s="108"/>
      <c r="S15" s="173"/>
      <c r="T15" s="206">
        <v>9</v>
      </c>
      <c r="U15" s="133">
        <v>1.1499999999999999</v>
      </c>
      <c r="V15" s="23">
        <v>1.4</v>
      </c>
      <c r="W15" s="28">
        <v>1.18</v>
      </c>
      <c r="X15" s="207">
        <v>1.45</v>
      </c>
      <c r="Y15" s="208">
        <v>1.4</v>
      </c>
      <c r="Z15" s="23">
        <v>1.7</v>
      </c>
      <c r="AA15" s="28">
        <v>1.45</v>
      </c>
      <c r="AB15" s="207">
        <v>1.75</v>
      </c>
    </row>
    <row r="16" spans="2:28">
      <c r="B16" s="21" t="s">
        <v>148</v>
      </c>
      <c r="C16" s="133">
        <v>10</v>
      </c>
      <c r="D16" s="204">
        <v>0</v>
      </c>
      <c r="E16" s="23">
        <v>2</v>
      </c>
      <c r="F16" s="23">
        <v>2.1</v>
      </c>
      <c r="G16" s="23">
        <v>2.1</v>
      </c>
      <c r="H16" s="23">
        <v>1.9</v>
      </c>
      <c r="I16" s="23">
        <v>1.6</v>
      </c>
      <c r="J16" s="209" t="s">
        <v>142</v>
      </c>
      <c r="K16" s="205">
        <v>0</v>
      </c>
      <c r="L16" s="23">
        <v>1</v>
      </c>
      <c r="M16" s="23">
        <v>1.2</v>
      </c>
      <c r="N16" s="23">
        <v>1.45</v>
      </c>
      <c r="O16" s="23">
        <v>0.85</v>
      </c>
      <c r="P16" s="23">
        <v>1.5</v>
      </c>
      <c r="Q16" s="209" t="s">
        <v>142</v>
      </c>
      <c r="R16" s="108"/>
      <c r="S16" s="173"/>
      <c r="T16" s="206">
        <v>10</v>
      </c>
      <c r="U16" s="133">
        <v>1.4</v>
      </c>
      <c r="V16" s="23">
        <v>1.7</v>
      </c>
      <c r="W16" s="28">
        <v>1.45</v>
      </c>
      <c r="X16" s="207">
        <v>1.75</v>
      </c>
      <c r="Y16" s="208">
        <v>2</v>
      </c>
      <c r="Z16" s="23">
        <v>2</v>
      </c>
      <c r="AA16" s="28">
        <v>2</v>
      </c>
      <c r="AB16" s="207">
        <v>2</v>
      </c>
    </row>
    <row r="17" spans="2:28">
      <c r="B17" s="21" t="s">
        <v>149</v>
      </c>
      <c r="C17" s="133">
        <v>11</v>
      </c>
      <c r="D17" s="204">
        <v>0</v>
      </c>
      <c r="E17" s="23">
        <v>1.2</v>
      </c>
      <c r="F17" s="23">
        <v>1.4</v>
      </c>
      <c r="G17" s="23">
        <v>1.4</v>
      </c>
      <c r="H17" s="23">
        <v>2.1</v>
      </c>
      <c r="I17" s="23">
        <v>1</v>
      </c>
      <c r="J17" s="209" t="s">
        <v>142</v>
      </c>
      <c r="K17" s="205">
        <v>0</v>
      </c>
      <c r="L17" s="23">
        <v>0.6</v>
      </c>
      <c r="M17" s="23">
        <v>0.7</v>
      </c>
      <c r="N17" s="23">
        <v>1</v>
      </c>
      <c r="O17" s="23">
        <v>0.95</v>
      </c>
      <c r="P17" s="23">
        <v>0.95</v>
      </c>
      <c r="Q17" s="209" t="s">
        <v>142</v>
      </c>
      <c r="R17" s="108"/>
      <c r="S17" s="173"/>
      <c r="T17" s="206">
        <v>11</v>
      </c>
      <c r="U17" s="133">
        <v>1.1499999999999999</v>
      </c>
      <c r="V17" s="23">
        <v>1.4</v>
      </c>
      <c r="W17" s="28">
        <v>1.18</v>
      </c>
      <c r="X17" s="207">
        <v>1.45</v>
      </c>
      <c r="Y17" s="208">
        <v>1.4</v>
      </c>
      <c r="Z17" s="23">
        <v>1.7</v>
      </c>
      <c r="AA17" s="28">
        <v>1.45</v>
      </c>
      <c r="AB17" s="207">
        <v>1.75</v>
      </c>
    </row>
    <row r="18" spans="2:28">
      <c r="B18" s="21" t="s">
        <v>150</v>
      </c>
      <c r="C18" s="133">
        <v>12</v>
      </c>
      <c r="D18" s="204">
        <v>0</v>
      </c>
      <c r="E18" s="23">
        <v>0.8</v>
      </c>
      <c r="F18" s="23">
        <v>1.2</v>
      </c>
      <c r="G18" s="23">
        <v>1.2</v>
      </c>
      <c r="H18" s="23">
        <v>0.4</v>
      </c>
      <c r="I18" s="23">
        <v>0.9</v>
      </c>
      <c r="J18" s="209" t="s">
        <v>142</v>
      </c>
      <c r="K18" s="205">
        <v>0</v>
      </c>
      <c r="L18" s="23">
        <v>0.4</v>
      </c>
      <c r="M18" s="23">
        <v>0.5</v>
      </c>
      <c r="N18" s="23">
        <v>0.85</v>
      </c>
      <c r="O18" s="23">
        <v>0.2</v>
      </c>
      <c r="P18" s="23">
        <v>0.85</v>
      </c>
      <c r="Q18" s="209" t="s">
        <v>142</v>
      </c>
      <c r="R18" s="108"/>
      <c r="S18" s="173"/>
      <c r="T18" s="206">
        <v>12</v>
      </c>
      <c r="U18" s="133">
        <v>1.1499999999999999</v>
      </c>
      <c r="V18" s="23">
        <v>1.4</v>
      </c>
      <c r="W18" s="28">
        <v>1.18</v>
      </c>
      <c r="X18" s="207">
        <v>1.45</v>
      </c>
      <c r="Y18" s="208">
        <v>1.4</v>
      </c>
      <c r="Z18" s="23">
        <v>1.7</v>
      </c>
      <c r="AA18" s="28">
        <v>1.45</v>
      </c>
      <c r="AB18" s="207">
        <v>1.75</v>
      </c>
    </row>
    <row r="19" spans="2:28">
      <c r="B19" s="21" t="s">
        <v>151</v>
      </c>
      <c r="C19" s="133">
        <v>13</v>
      </c>
      <c r="D19" s="204">
        <v>0</v>
      </c>
      <c r="E19" s="23">
        <v>1.2</v>
      </c>
      <c r="F19" s="23">
        <v>0.7</v>
      </c>
      <c r="G19" s="23">
        <v>0.7</v>
      </c>
      <c r="H19" s="23">
        <v>0.5</v>
      </c>
      <c r="I19" s="23">
        <v>1</v>
      </c>
      <c r="J19" s="185">
        <v>1</v>
      </c>
      <c r="K19" s="205">
        <v>0</v>
      </c>
      <c r="L19" s="23">
        <v>0.6</v>
      </c>
      <c r="M19" s="23">
        <v>0.7</v>
      </c>
      <c r="N19" s="23">
        <v>0.5</v>
      </c>
      <c r="O19" s="23">
        <v>0.25</v>
      </c>
      <c r="P19" s="23">
        <v>0.95</v>
      </c>
      <c r="Q19" s="185">
        <v>0.95</v>
      </c>
      <c r="R19" s="108"/>
      <c r="S19" s="173"/>
      <c r="T19" s="206">
        <v>13</v>
      </c>
      <c r="U19" s="133">
        <v>1.1499999999999999</v>
      </c>
      <c r="V19" s="23">
        <v>1.4</v>
      </c>
      <c r="W19" s="28">
        <v>1.18</v>
      </c>
      <c r="X19" s="207">
        <v>1.45</v>
      </c>
      <c r="Y19" s="208">
        <v>1.4</v>
      </c>
      <c r="Z19" s="23">
        <v>1.7</v>
      </c>
      <c r="AA19" s="28">
        <v>1.45</v>
      </c>
      <c r="AB19" s="207">
        <v>1.75</v>
      </c>
    </row>
    <row r="20" spans="2:28">
      <c r="B20" s="21" t="s">
        <v>152</v>
      </c>
      <c r="C20" s="133">
        <v>14</v>
      </c>
      <c r="D20" s="204">
        <v>0</v>
      </c>
      <c r="E20" s="23">
        <v>1.1000000000000001</v>
      </c>
      <c r="F20" s="23">
        <v>1</v>
      </c>
      <c r="G20" s="23">
        <v>1</v>
      </c>
      <c r="H20" s="23">
        <v>0.4</v>
      </c>
      <c r="I20" s="23">
        <v>1</v>
      </c>
      <c r="J20" s="185">
        <v>0.9</v>
      </c>
      <c r="K20" s="205">
        <v>0</v>
      </c>
      <c r="L20" s="23">
        <v>0.55000000000000004</v>
      </c>
      <c r="M20" s="23">
        <v>0.65</v>
      </c>
      <c r="N20" s="23">
        <v>0.7</v>
      </c>
      <c r="O20" s="23">
        <v>0.2</v>
      </c>
      <c r="P20" s="23">
        <v>0.95</v>
      </c>
      <c r="Q20" s="185">
        <v>0.85</v>
      </c>
      <c r="R20" s="108"/>
      <c r="S20" s="173"/>
      <c r="T20" s="206">
        <v>14</v>
      </c>
      <c r="U20" s="133">
        <v>1.1499999999999999</v>
      </c>
      <c r="V20" s="23">
        <v>1.4</v>
      </c>
      <c r="W20" s="28">
        <v>1.18</v>
      </c>
      <c r="X20" s="207">
        <v>1.45</v>
      </c>
      <c r="Y20" s="208">
        <v>1.4</v>
      </c>
      <c r="Z20" s="23">
        <v>1.7</v>
      </c>
      <c r="AA20" s="28">
        <v>1.45</v>
      </c>
      <c r="AB20" s="207">
        <v>1.75</v>
      </c>
    </row>
    <row r="21" spans="2:28">
      <c r="B21" s="21" t="s">
        <v>153</v>
      </c>
      <c r="C21" s="133">
        <v>15</v>
      </c>
      <c r="D21" s="204">
        <v>0</v>
      </c>
      <c r="E21" s="23">
        <v>2.7</v>
      </c>
      <c r="F21" s="23">
        <v>2.9</v>
      </c>
      <c r="G21" s="23">
        <v>2.9</v>
      </c>
      <c r="H21" s="23">
        <v>2.4</v>
      </c>
      <c r="I21" s="23">
        <v>2.4</v>
      </c>
      <c r="J21" s="185">
        <v>2.4</v>
      </c>
      <c r="K21" s="205">
        <v>0</v>
      </c>
      <c r="L21" s="23">
        <v>1.35</v>
      </c>
      <c r="M21" s="23">
        <v>1.6</v>
      </c>
      <c r="N21" s="23">
        <v>2</v>
      </c>
      <c r="O21" s="23">
        <v>1.1000000000000001</v>
      </c>
      <c r="P21" s="23">
        <v>2.25</v>
      </c>
      <c r="Q21" s="185">
        <v>2.25</v>
      </c>
      <c r="R21" s="108"/>
      <c r="S21" s="173"/>
      <c r="T21" s="206">
        <v>15</v>
      </c>
      <c r="U21" s="133">
        <v>1.4</v>
      </c>
      <c r="V21" s="23">
        <v>1.7</v>
      </c>
      <c r="W21" s="28">
        <v>1.45</v>
      </c>
      <c r="X21" s="207">
        <v>1.75</v>
      </c>
      <c r="Y21" s="208">
        <v>2</v>
      </c>
      <c r="Z21" s="23">
        <v>2</v>
      </c>
      <c r="AA21" s="28">
        <v>2</v>
      </c>
      <c r="AB21" s="207">
        <v>2</v>
      </c>
    </row>
    <row r="22" spans="2:28">
      <c r="B22" s="21" t="s">
        <v>154</v>
      </c>
      <c r="C22" s="133">
        <v>16</v>
      </c>
      <c r="D22" s="204">
        <v>0</v>
      </c>
      <c r="E22" s="23">
        <v>0.9</v>
      </c>
      <c r="F22" s="23">
        <v>0.8</v>
      </c>
      <c r="G22" s="23">
        <v>0.8</v>
      </c>
      <c r="H22" s="23">
        <v>0.4</v>
      </c>
      <c r="I22" s="23">
        <v>1.2</v>
      </c>
      <c r="J22" s="185">
        <v>1.2</v>
      </c>
      <c r="K22" s="205">
        <v>0</v>
      </c>
      <c r="L22" s="23">
        <v>0.45</v>
      </c>
      <c r="M22" s="23">
        <v>0.55000000000000004</v>
      </c>
      <c r="N22" s="23">
        <v>0.55000000000000004</v>
      </c>
      <c r="O22" s="23">
        <v>0.2</v>
      </c>
      <c r="P22" s="23">
        <v>1.25</v>
      </c>
      <c r="Q22" s="185">
        <v>1.1499999999999999</v>
      </c>
      <c r="R22" s="108"/>
      <c r="S22" s="173"/>
      <c r="T22" s="206">
        <v>16</v>
      </c>
      <c r="U22" s="133">
        <v>1.1499999999999999</v>
      </c>
      <c r="V22" s="23">
        <v>1.4</v>
      </c>
      <c r="W22" s="28">
        <v>1.1499999999999999</v>
      </c>
      <c r="X22" s="207">
        <v>1.45</v>
      </c>
      <c r="Y22" s="208">
        <v>1.4</v>
      </c>
      <c r="Z22" s="23">
        <v>1.7</v>
      </c>
      <c r="AA22" s="28">
        <v>1.45</v>
      </c>
      <c r="AB22" s="207">
        <v>1.75</v>
      </c>
    </row>
    <row r="23" spans="2:28">
      <c r="B23" s="21" t="s">
        <v>155</v>
      </c>
      <c r="C23" s="133">
        <v>17</v>
      </c>
      <c r="D23" s="204">
        <v>0</v>
      </c>
      <c r="E23" s="210" t="s">
        <v>156</v>
      </c>
      <c r="F23" s="210" t="s">
        <v>156</v>
      </c>
      <c r="G23" s="210" t="s">
        <v>156</v>
      </c>
      <c r="H23" s="210" t="s">
        <v>156</v>
      </c>
      <c r="I23" s="210" t="s">
        <v>156</v>
      </c>
      <c r="J23" s="209" t="s">
        <v>156</v>
      </c>
      <c r="K23" s="205">
        <v>0</v>
      </c>
      <c r="L23" s="210" t="s">
        <v>156</v>
      </c>
      <c r="M23" s="210" t="s">
        <v>156</v>
      </c>
      <c r="N23" s="210" t="s">
        <v>156</v>
      </c>
      <c r="O23" s="210" t="s">
        <v>156</v>
      </c>
      <c r="P23" s="210" t="s">
        <v>156</v>
      </c>
      <c r="Q23" s="209" t="s">
        <v>156</v>
      </c>
      <c r="R23" s="108"/>
      <c r="S23" s="173"/>
      <c r="T23" s="206">
        <v>17</v>
      </c>
      <c r="U23" s="133">
        <v>1.4</v>
      </c>
      <c r="V23" s="23">
        <v>1.7</v>
      </c>
      <c r="W23" s="28">
        <v>1.45</v>
      </c>
      <c r="X23" s="207">
        <v>1.75</v>
      </c>
      <c r="Y23" s="208">
        <v>2</v>
      </c>
      <c r="Z23" s="23">
        <v>2</v>
      </c>
      <c r="AA23" s="28">
        <v>2</v>
      </c>
      <c r="AB23" s="207">
        <v>2</v>
      </c>
    </row>
    <row r="24" spans="2:28">
      <c r="B24" s="21" t="s">
        <v>157</v>
      </c>
      <c r="C24" s="133">
        <v>18</v>
      </c>
      <c r="D24" s="204">
        <v>0</v>
      </c>
      <c r="E24" s="210">
        <v>1.5</v>
      </c>
      <c r="F24" s="210">
        <v>1.8</v>
      </c>
      <c r="G24" s="210">
        <v>1.8</v>
      </c>
      <c r="H24" s="210">
        <v>2.1</v>
      </c>
      <c r="I24" s="210">
        <v>1.6</v>
      </c>
      <c r="J24" s="209">
        <v>1.6</v>
      </c>
      <c r="K24" s="205">
        <v>0</v>
      </c>
      <c r="L24" s="210">
        <v>0.75</v>
      </c>
      <c r="M24" s="210">
        <v>0.9</v>
      </c>
      <c r="N24" s="210">
        <v>1.25</v>
      </c>
      <c r="O24" s="210">
        <v>0.95</v>
      </c>
      <c r="P24" s="210">
        <v>1.5</v>
      </c>
      <c r="Q24" s="209">
        <v>1.5</v>
      </c>
      <c r="R24" s="108"/>
      <c r="S24" s="173"/>
      <c r="T24" s="206">
        <v>18</v>
      </c>
      <c r="U24" s="133">
        <v>1.4</v>
      </c>
      <c r="V24" s="23">
        <v>1.7</v>
      </c>
      <c r="W24" s="28">
        <v>1.45</v>
      </c>
      <c r="X24" s="207">
        <v>1.75</v>
      </c>
      <c r="Y24" s="208">
        <v>2</v>
      </c>
      <c r="Z24" s="23">
        <v>2</v>
      </c>
      <c r="AA24" s="28">
        <v>2</v>
      </c>
      <c r="AB24" s="207">
        <v>2</v>
      </c>
    </row>
    <row r="25" spans="2:28">
      <c r="B25" s="21" t="s">
        <v>158</v>
      </c>
      <c r="C25" s="133">
        <v>19</v>
      </c>
      <c r="D25" s="204">
        <v>0</v>
      </c>
      <c r="E25" s="23">
        <v>2.7</v>
      </c>
      <c r="F25" s="23">
        <v>2.9</v>
      </c>
      <c r="G25" s="23">
        <v>2.9</v>
      </c>
      <c r="H25" s="23">
        <v>2.4</v>
      </c>
      <c r="I25" s="23">
        <v>2.4</v>
      </c>
      <c r="J25" s="185">
        <v>2.4</v>
      </c>
      <c r="K25" s="205">
        <v>0</v>
      </c>
      <c r="L25" s="23">
        <v>1.35</v>
      </c>
      <c r="M25" s="23">
        <v>1.6</v>
      </c>
      <c r="N25" s="23">
        <v>2</v>
      </c>
      <c r="O25" s="23">
        <v>1.1000000000000001</v>
      </c>
      <c r="P25" s="23">
        <v>2.25</v>
      </c>
      <c r="Q25" s="185">
        <v>2.25</v>
      </c>
      <c r="R25" s="108"/>
      <c r="S25" s="173"/>
      <c r="T25" s="206">
        <v>19</v>
      </c>
      <c r="U25" s="133">
        <v>1.4</v>
      </c>
      <c r="V25" s="23">
        <v>1.7</v>
      </c>
      <c r="W25" s="28">
        <v>1.45</v>
      </c>
      <c r="X25" s="207">
        <v>1.75</v>
      </c>
      <c r="Y25" s="208">
        <v>2</v>
      </c>
      <c r="Z25" s="23">
        <v>2</v>
      </c>
      <c r="AA25" s="28">
        <v>2</v>
      </c>
      <c r="AB25" s="207">
        <v>2</v>
      </c>
    </row>
    <row r="26" spans="2:28">
      <c r="B26" s="21" t="s">
        <v>159</v>
      </c>
      <c r="C26" s="133">
        <v>20</v>
      </c>
      <c r="D26" s="204">
        <v>0</v>
      </c>
      <c r="E26" s="23">
        <v>3.4</v>
      </c>
      <c r="F26" s="23">
        <v>3.8</v>
      </c>
      <c r="G26" s="23">
        <v>3.8</v>
      </c>
      <c r="H26" s="23">
        <v>3.1</v>
      </c>
      <c r="I26" s="23">
        <v>3.1</v>
      </c>
      <c r="J26" s="185">
        <v>3.1</v>
      </c>
      <c r="K26" s="205">
        <v>0</v>
      </c>
      <c r="L26" s="23">
        <v>1.7</v>
      </c>
      <c r="M26" s="23">
        <v>2.0499999999999998</v>
      </c>
      <c r="N26" s="23">
        <v>2.65</v>
      </c>
      <c r="O26" s="23">
        <v>1.4</v>
      </c>
      <c r="P26" s="23">
        <v>2.9</v>
      </c>
      <c r="Q26" s="185">
        <v>2.9</v>
      </c>
      <c r="R26" s="108"/>
      <c r="S26" s="173"/>
      <c r="T26" s="206">
        <v>20</v>
      </c>
      <c r="U26" s="133">
        <v>1.4</v>
      </c>
      <c r="V26" s="23">
        <v>1.7</v>
      </c>
      <c r="W26" s="28">
        <v>1.45</v>
      </c>
      <c r="X26" s="207">
        <v>1.75</v>
      </c>
      <c r="Y26" s="208">
        <v>2</v>
      </c>
      <c r="Z26" s="23">
        <v>2</v>
      </c>
      <c r="AA26" s="28">
        <v>2</v>
      </c>
      <c r="AB26" s="207">
        <v>2</v>
      </c>
    </row>
    <row r="27" spans="2:28" s="224" customFormat="1" ht="13.8" thickBot="1">
      <c r="B27" s="211" t="s">
        <v>160</v>
      </c>
      <c r="C27" s="212">
        <v>21</v>
      </c>
      <c r="D27" s="213">
        <v>0</v>
      </c>
      <c r="E27" s="213">
        <v>1.9</v>
      </c>
      <c r="F27" s="213">
        <v>1.9</v>
      </c>
      <c r="G27" s="213">
        <v>1.9</v>
      </c>
      <c r="H27" s="213">
        <v>2.1</v>
      </c>
      <c r="I27" s="213">
        <v>2</v>
      </c>
      <c r="J27" s="214">
        <v>2</v>
      </c>
      <c r="K27" s="215"/>
      <c r="L27" s="216"/>
      <c r="M27" s="216"/>
      <c r="N27" s="216"/>
      <c r="O27" s="216"/>
      <c r="P27" s="216"/>
      <c r="Q27" s="217"/>
      <c r="R27" s="218"/>
      <c r="S27" s="219"/>
      <c r="T27" s="220">
        <v>21</v>
      </c>
      <c r="U27" s="212">
        <v>1.1499999999999999</v>
      </c>
      <c r="V27" s="213">
        <v>1.2</v>
      </c>
      <c r="W27" s="213"/>
      <c r="X27" s="214"/>
      <c r="Y27" s="221">
        <v>1.1499999999999999</v>
      </c>
      <c r="Z27" s="222">
        <v>1.2</v>
      </c>
      <c r="AA27" s="222"/>
      <c r="AB27" s="223"/>
    </row>
    <row r="28" spans="2:28">
      <c r="B28" s="21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08"/>
      <c r="S28" s="173"/>
      <c r="T28" s="14"/>
      <c r="U28" s="14"/>
      <c r="V28" s="14"/>
      <c r="W28" s="14"/>
      <c r="X28" s="14"/>
      <c r="Y28" s="14"/>
      <c r="Z28" s="14"/>
      <c r="AA28" s="14"/>
      <c r="AB28" s="14"/>
    </row>
    <row r="29" spans="2:28" ht="13.8" thickBot="1">
      <c r="B29" s="176" t="s">
        <v>161</v>
      </c>
      <c r="C29" s="14"/>
      <c r="D29" s="14"/>
      <c r="E29" s="14"/>
      <c r="F29" s="14"/>
      <c r="G29" s="14"/>
      <c r="H29" s="14"/>
      <c r="I29" s="14"/>
      <c r="J29" s="14"/>
      <c r="K29" s="14"/>
      <c r="Q29" s="14"/>
      <c r="R29" s="108"/>
      <c r="S29" s="173"/>
      <c r="T29" s="225" t="s">
        <v>162</v>
      </c>
      <c r="U29" s="14"/>
      <c r="V29" s="14"/>
      <c r="Z29" s="14"/>
      <c r="AA29" s="14"/>
      <c r="AB29" s="14"/>
    </row>
    <row r="30" spans="2:28" ht="39.6">
      <c r="B30" s="21"/>
      <c r="C30" s="178" t="s">
        <v>163</v>
      </c>
      <c r="D30" s="226" t="s">
        <v>411</v>
      </c>
      <c r="E30" s="179" t="s">
        <v>133</v>
      </c>
      <c r="F30" s="179" t="s">
        <v>134</v>
      </c>
      <c r="G30" s="179" t="s">
        <v>134</v>
      </c>
      <c r="H30" s="179" t="s">
        <v>61</v>
      </c>
      <c r="I30" s="179" t="s">
        <v>135</v>
      </c>
      <c r="J30" s="180" t="s">
        <v>136</v>
      </c>
      <c r="K30" s="178" t="s">
        <v>411</v>
      </c>
      <c r="L30" s="179" t="s">
        <v>133</v>
      </c>
      <c r="M30" s="179" t="s">
        <v>50</v>
      </c>
      <c r="N30" s="179" t="s">
        <v>134</v>
      </c>
      <c r="O30" s="179" t="s">
        <v>61</v>
      </c>
      <c r="P30" s="179" t="s">
        <v>135</v>
      </c>
      <c r="Q30" s="180" t="s">
        <v>136</v>
      </c>
      <c r="R30" s="108"/>
      <c r="S30" s="173"/>
      <c r="T30" s="13" t="s">
        <v>132</v>
      </c>
      <c r="U30" s="227" t="str">
        <f>"comp"</f>
        <v>comp</v>
      </c>
      <c r="V30" s="13" t="str">
        <f>"trac"</f>
        <v>trac</v>
      </c>
      <c r="Y30" s="14"/>
      <c r="Z30" s="14"/>
      <c r="AA30" s="14"/>
      <c r="AB30" s="14"/>
    </row>
    <row r="31" spans="2:28" ht="26.4">
      <c r="B31" s="183"/>
      <c r="C31" s="184" t="s">
        <v>139</v>
      </c>
      <c r="D31" s="13" t="s">
        <v>22</v>
      </c>
      <c r="E31" s="13" t="s">
        <v>22</v>
      </c>
      <c r="F31" s="13" t="s">
        <v>22</v>
      </c>
      <c r="G31" s="13" t="s">
        <v>22</v>
      </c>
      <c r="H31" s="13" t="s">
        <v>22</v>
      </c>
      <c r="I31" s="13" t="s">
        <v>22</v>
      </c>
      <c r="J31" s="13" t="s">
        <v>22</v>
      </c>
      <c r="K31" s="133" t="s">
        <v>24</v>
      </c>
      <c r="L31" s="23" t="s">
        <v>24</v>
      </c>
      <c r="M31" s="23" t="s">
        <v>24</v>
      </c>
      <c r="N31" s="23" t="s">
        <v>24</v>
      </c>
      <c r="O31" s="23" t="s">
        <v>24</v>
      </c>
      <c r="P31" s="23" t="s">
        <v>24</v>
      </c>
      <c r="Q31" s="185" t="s">
        <v>24</v>
      </c>
      <c r="R31" s="181"/>
      <c r="S31" s="186"/>
      <c r="T31" s="23" t="s">
        <v>62</v>
      </c>
      <c r="U31" s="228">
        <v>0.9</v>
      </c>
      <c r="V31" s="31">
        <v>1.1000000000000001</v>
      </c>
      <c r="Y31" s="14"/>
      <c r="Z31" s="14"/>
      <c r="AA31" s="14"/>
      <c r="AB31" s="14"/>
    </row>
    <row r="32" spans="2:28" ht="13.8" thickBot="1">
      <c r="B32" s="183"/>
      <c r="C32" s="191" t="s">
        <v>32</v>
      </c>
      <c r="D32" s="229">
        <v>0</v>
      </c>
      <c r="E32" s="154">
        <v>1</v>
      </c>
      <c r="F32" s="154" t="s">
        <v>405</v>
      </c>
      <c r="G32" s="154">
        <v>2</v>
      </c>
      <c r="H32" s="154">
        <v>3</v>
      </c>
      <c r="I32" s="154">
        <v>4</v>
      </c>
      <c r="J32" s="193">
        <v>5</v>
      </c>
      <c r="K32" s="230">
        <v>0</v>
      </c>
      <c r="L32" s="154">
        <v>1</v>
      </c>
      <c r="M32" s="154">
        <v>2</v>
      </c>
      <c r="N32" s="154">
        <v>3</v>
      </c>
      <c r="O32" s="154">
        <v>4</v>
      </c>
      <c r="P32" s="154">
        <v>5</v>
      </c>
      <c r="Q32" s="193">
        <v>6</v>
      </c>
      <c r="R32" s="108"/>
      <c r="S32" s="173"/>
      <c r="T32" s="23" t="s">
        <v>164</v>
      </c>
      <c r="U32" s="228">
        <v>1.1000000000000001</v>
      </c>
      <c r="V32" s="31">
        <v>1.5</v>
      </c>
      <c r="Y32" s="14"/>
      <c r="Z32" s="14"/>
      <c r="AA32" s="14"/>
      <c r="AB32" s="14"/>
    </row>
    <row r="33" spans="2:28">
      <c r="B33" s="21"/>
      <c r="C33" s="197" t="str">
        <f>"a"</f>
        <v>a</v>
      </c>
      <c r="D33" s="198">
        <v>0</v>
      </c>
      <c r="E33" s="94">
        <v>3.0000000000000001E-3</v>
      </c>
      <c r="F33" s="94">
        <v>0.01</v>
      </c>
      <c r="G33" s="94">
        <v>0.01</v>
      </c>
      <c r="H33" s="94">
        <v>7.0000000000000001E-3</v>
      </c>
      <c r="I33" s="94">
        <v>8.0000000000000002E-3</v>
      </c>
      <c r="J33" s="199">
        <v>0.01</v>
      </c>
      <c r="K33" s="231">
        <v>0</v>
      </c>
      <c r="L33" s="94">
        <v>1.8E-3</v>
      </c>
      <c r="M33" s="94">
        <v>1.5E-3</v>
      </c>
      <c r="N33" s="94">
        <v>1.1999999999999999E-3</v>
      </c>
      <c r="O33" s="14">
        <v>1.5E-3</v>
      </c>
      <c r="P33" s="94">
        <v>1.5E-3</v>
      </c>
      <c r="Q33" s="232">
        <v>1.5E-3</v>
      </c>
      <c r="R33" s="108"/>
      <c r="S33" s="173"/>
      <c r="T33" s="31" t="s">
        <v>49</v>
      </c>
      <c r="U33" s="31">
        <v>1.1000000000000001</v>
      </c>
      <c r="V33" s="31">
        <v>1.1499999999999999</v>
      </c>
      <c r="Y33" s="14"/>
      <c r="Z33" s="14"/>
      <c r="AA33" s="14"/>
      <c r="AB33" s="14"/>
    </row>
    <row r="34" spans="2:28">
      <c r="B34" s="21"/>
      <c r="C34" s="133" t="str">
        <f>"b"</f>
        <v>b</v>
      </c>
      <c r="D34" s="204">
        <v>0</v>
      </c>
      <c r="E34" s="23">
        <v>0.04</v>
      </c>
      <c r="F34" s="23">
        <v>0.06</v>
      </c>
      <c r="G34" s="23">
        <v>0.06</v>
      </c>
      <c r="H34" s="23">
        <v>7.0000000000000007E-2</v>
      </c>
      <c r="I34" s="23">
        <v>0.08</v>
      </c>
      <c r="J34" s="185">
        <v>0.08</v>
      </c>
      <c r="K34" s="233">
        <v>0</v>
      </c>
      <c r="L34" s="23">
        <v>0.1</v>
      </c>
      <c r="M34" s="23">
        <v>0.1</v>
      </c>
      <c r="N34" s="23">
        <v>0.1</v>
      </c>
      <c r="O34" s="23">
        <v>0.1</v>
      </c>
      <c r="P34" s="23">
        <v>0.1</v>
      </c>
      <c r="Q34" s="185">
        <v>0.1</v>
      </c>
      <c r="R34" s="108"/>
      <c r="S34" s="173"/>
      <c r="T34" s="23" t="s">
        <v>51</v>
      </c>
      <c r="U34" s="31">
        <v>1</v>
      </c>
      <c r="V34" s="31">
        <v>1.05</v>
      </c>
      <c r="Y34" s="14"/>
      <c r="Z34" s="14"/>
      <c r="AA34" s="14"/>
      <c r="AB34" s="14"/>
    </row>
    <row r="35" spans="2:28" ht="13.8" thickBot="1">
      <c r="B35" s="21"/>
      <c r="C35" s="151" t="str">
        <f>"c"</f>
        <v>c</v>
      </c>
      <c r="D35" s="192">
        <v>0</v>
      </c>
      <c r="E35" s="154">
        <v>3.5</v>
      </c>
      <c r="F35" s="154">
        <v>1.2</v>
      </c>
      <c r="G35" s="154">
        <v>1.2</v>
      </c>
      <c r="H35" s="154">
        <v>1.3</v>
      </c>
      <c r="I35" s="154">
        <v>3</v>
      </c>
      <c r="J35" s="193">
        <v>3</v>
      </c>
      <c r="K35" s="230">
        <v>0</v>
      </c>
      <c r="L35" s="154">
        <v>0.4</v>
      </c>
      <c r="M35" s="154">
        <v>0.25</v>
      </c>
      <c r="N35" s="154">
        <v>0.15</v>
      </c>
      <c r="O35" s="154">
        <v>0.25</v>
      </c>
      <c r="P35" s="154">
        <v>0.25</v>
      </c>
      <c r="Q35" s="193">
        <v>0.25</v>
      </c>
      <c r="R35" s="108"/>
      <c r="S35" s="173"/>
      <c r="T35" s="14"/>
      <c r="U35" s="14"/>
      <c r="V35" s="14"/>
      <c r="W35" s="14"/>
      <c r="X35" s="14"/>
      <c r="Y35" s="14"/>
      <c r="Z35" s="14"/>
      <c r="AA35" s="14"/>
    </row>
    <row r="36" spans="2:28">
      <c r="B36" s="21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08"/>
      <c r="S36" s="173"/>
      <c r="AA36" s="14"/>
    </row>
    <row r="37" spans="2:28" ht="13.8" thickBot="1">
      <c r="B37" s="176" t="s">
        <v>304</v>
      </c>
      <c r="C37" s="14"/>
      <c r="D37" s="14"/>
      <c r="E37" s="14"/>
      <c r="F37" s="14"/>
      <c r="G37" s="14"/>
      <c r="H37" s="14"/>
      <c r="I37" s="14"/>
      <c r="J37" s="14"/>
      <c r="Q37" s="14"/>
      <c r="R37" s="108"/>
      <c r="S37" s="173"/>
      <c r="T37" s="225" t="s">
        <v>165</v>
      </c>
      <c r="U37" s="14"/>
      <c r="V37" s="14"/>
      <c r="W37" s="14"/>
      <c r="X37" s="14"/>
      <c r="Y37" s="14"/>
      <c r="Z37" s="14"/>
      <c r="AA37" s="14"/>
    </row>
    <row r="38" spans="2:28" ht="39.6">
      <c r="B38" s="21"/>
      <c r="C38" s="178" t="s">
        <v>132</v>
      </c>
      <c r="D38" s="226" t="s">
        <v>411</v>
      </c>
      <c r="E38" s="179" t="s">
        <v>133</v>
      </c>
      <c r="F38" s="179" t="s">
        <v>134</v>
      </c>
      <c r="G38" s="179" t="s">
        <v>134</v>
      </c>
      <c r="H38" s="179" t="s">
        <v>61</v>
      </c>
      <c r="I38" s="179" t="s">
        <v>135</v>
      </c>
      <c r="J38" s="180" t="s">
        <v>136</v>
      </c>
      <c r="K38" s="178" t="s">
        <v>411</v>
      </c>
      <c r="L38" s="179" t="s">
        <v>133</v>
      </c>
      <c r="M38" s="179" t="s">
        <v>50</v>
      </c>
      <c r="N38" s="179" t="s">
        <v>134</v>
      </c>
      <c r="O38" s="179" t="s">
        <v>61</v>
      </c>
      <c r="P38" s="179" t="s">
        <v>135</v>
      </c>
      <c r="Q38" s="180" t="s">
        <v>136</v>
      </c>
      <c r="R38" s="108"/>
      <c r="S38" s="173"/>
      <c r="T38" s="13" t="s">
        <v>132</v>
      </c>
      <c r="U38" s="13" t="s">
        <v>62</v>
      </c>
      <c r="V38" s="13" t="s">
        <v>164</v>
      </c>
      <c r="W38" s="13" t="s">
        <v>49</v>
      </c>
      <c r="X38" s="13" t="s">
        <v>51</v>
      </c>
      <c r="Y38" s="20"/>
      <c r="Z38" s="20"/>
      <c r="AA38" s="20"/>
    </row>
    <row r="39" spans="2:28" ht="26.4">
      <c r="B39" s="21"/>
      <c r="C39" s="184" t="s">
        <v>139</v>
      </c>
      <c r="D39" s="13" t="s">
        <v>22</v>
      </c>
      <c r="E39" s="13" t="s">
        <v>22</v>
      </c>
      <c r="F39" s="13" t="s">
        <v>22</v>
      </c>
      <c r="G39" s="13" t="s">
        <v>22</v>
      </c>
      <c r="H39" s="13" t="s">
        <v>22</v>
      </c>
      <c r="I39" s="13" t="s">
        <v>22</v>
      </c>
      <c r="J39" s="13" t="s">
        <v>22</v>
      </c>
      <c r="K39" s="133" t="s">
        <v>24</v>
      </c>
      <c r="L39" s="23" t="s">
        <v>24</v>
      </c>
      <c r="M39" s="23" t="s">
        <v>24</v>
      </c>
      <c r="N39" s="23" t="s">
        <v>24</v>
      </c>
      <c r="O39" s="23" t="s">
        <v>24</v>
      </c>
      <c r="P39" s="23" t="s">
        <v>24</v>
      </c>
      <c r="Q39" s="185" t="s">
        <v>24</v>
      </c>
      <c r="R39" s="108"/>
      <c r="S39" s="186"/>
      <c r="T39" s="23">
        <v>1</v>
      </c>
      <c r="U39" s="23">
        <v>0.7</v>
      </c>
      <c r="V39" s="23">
        <v>0.7</v>
      </c>
      <c r="W39" s="23">
        <v>1</v>
      </c>
      <c r="X39" s="23">
        <v>1</v>
      </c>
      <c r="Y39" s="20"/>
      <c r="Z39" s="22"/>
      <c r="AA39" s="20"/>
    </row>
    <row r="40" spans="2:28" ht="13.8" thickBot="1">
      <c r="B40" s="21"/>
      <c r="C40" s="234" t="s">
        <v>32</v>
      </c>
      <c r="D40" s="235">
        <v>0</v>
      </c>
      <c r="E40" s="23">
        <v>1</v>
      </c>
      <c r="F40" s="154" t="s">
        <v>405</v>
      </c>
      <c r="G40" s="23">
        <v>2</v>
      </c>
      <c r="H40" s="23">
        <v>3</v>
      </c>
      <c r="I40" s="23">
        <v>4</v>
      </c>
      <c r="J40" s="185">
        <v>5</v>
      </c>
      <c r="K40" s="233">
        <v>0</v>
      </c>
      <c r="L40" s="23">
        <v>1</v>
      </c>
      <c r="M40" s="23">
        <v>2</v>
      </c>
      <c r="N40" s="23">
        <v>3</v>
      </c>
      <c r="O40" s="23">
        <v>4</v>
      </c>
      <c r="P40" s="23">
        <v>5</v>
      </c>
      <c r="Q40" s="185">
        <v>6</v>
      </c>
      <c r="R40" s="108"/>
      <c r="S40" s="173"/>
      <c r="T40" s="23">
        <v>2</v>
      </c>
      <c r="U40" s="23">
        <v>0.7</v>
      </c>
      <c r="V40" s="23">
        <v>0.7</v>
      </c>
      <c r="W40" s="23">
        <v>1</v>
      </c>
      <c r="X40" s="23">
        <v>1</v>
      </c>
    </row>
    <row r="41" spans="2:28">
      <c r="B41" s="21" t="s">
        <v>70</v>
      </c>
      <c r="C41" s="133">
        <v>1</v>
      </c>
      <c r="D41" s="235">
        <v>0</v>
      </c>
      <c r="E41" s="23">
        <v>90</v>
      </c>
      <c r="F41" s="23">
        <v>90</v>
      </c>
      <c r="G41" s="23">
        <v>90</v>
      </c>
      <c r="H41" s="23">
        <v>200</v>
      </c>
      <c r="I41" s="23">
        <v>170</v>
      </c>
      <c r="J41" s="185">
        <v>200</v>
      </c>
      <c r="K41" s="205">
        <v>0</v>
      </c>
      <c r="L41" s="23">
        <v>90</v>
      </c>
      <c r="M41" s="23">
        <v>90</v>
      </c>
      <c r="N41" s="23">
        <v>90</v>
      </c>
      <c r="O41" s="23">
        <v>200</v>
      </c>
      <c r="P41" s="23">
        <v>170</v>
      </c>
      <c r="Q41" s="185">
        <v>200</v>
      </c>
      <c r="R41" s="108"/>
      <c r="S41" s="173"/>
      <c r="T41" s="23">
        <v>3</v>
      </c>
      <c r="U41" s="23">
        <v>0.7</v>
      </c>
      <c r="V41" s="23">
        <v>0.7</v>
      </c>
      <c r="W41" s="23">
        <v>1</v>
      </c>
      <c r="X41" s="23">
        <v>1</v>
      </c>
    </row>
    <row r="42" spans="2:28">
      <c r="B42" s="21" t="s">
        <v>140</v>
      </c>
      <c r="C42" s="133">
        <v>2</v>
      </c>
      <c r="D42" s="235">
        <v>0</v>
      </c>
      <c r="E42" s="23">
        <v>90</v>
      </c>
      <c r="F42" s="23">
        <v>90</v>
      </c>
      <c r="G42" s="23">
        <v>90</v>
      </c>
      <c r="H42" s="23">
        <v>200</v>
      </c>
      <c r="I42" s="23">
        <v>170</v>
      </c>
      <c r="J42" s="185">
        <v>200</v>
      </c>
      <c r="K42" s="205">
        <v>0</v>
      </c>
      <c r="L42" s="23">
        <v>90</v>
      </c>
      <c r="M42" s="23">
        <v>90</v>
      </c>
      <c r="N42" s="23">
        <v>90</v>
      </c>
      <c r="O42" s="23">
        <v>90</v>
      </c>
      <c r="P42" s="23">
        <v>170</v>
      </c>
      <c r="Q42" s="185">
        <v>200</v>
      </c>
      <c r="R42" s="108"/>
      <c r="S42" s="173"/>
      <c r="T42" s="23">
        <v>4</v>
      </c>
      <c r="U42" s="23">
        <v>0.7</v>
      </c>
      <c r="V42" s="23">
        <v>0.7</v>
      </c>
      <c r="W42" s="23">
        <v>1</v>
      </c>
      <c r="X42" s="23">
        <v>1</v>
      </c>
    </row>
    <row r="43" spans="2:28">
      <c r="B43" s="21" t="s">
        <v>141</v>
      </c>
      <c r="C43" s="133">
        <v>3</v>
      </c>
      <c r="D43" s="235">
        <v>0</v>
      </c>
      <c r="E43" s="23">
        <v>50</v>
      </c>
      <c r="F43" s="23">
        <v>50</v>
      </c>
      <c r="G43" s="23">
        <v>50</v>
      </c>
      <c r="H43" s="23">
        <v>50</v>
      </c>
      <c r="I43" s="23">
        <v>90</v>
      </c>
      <c r="J43" s="209" t="s">
        <v>142</v>
      </c>
      <c r="K43" s="205">
        <v>0</v>
      </c>
      <c r="L43" s="23">
        <v>50</v>
      </c>
      <c r="M43" s="23">
        <v>50</v>
      </c>
      <c r="N43" s="23">
        <v>50</v>
      </c>
      <c r="O43" s="23">
        <v>50</v>
      </c>
      <c r="P43" s="23">
        <v>90</v>
      </c>
      <c r="Q43" s="209" t="s">
        <v>142</v>
      </c>
      <c r="R43" s="108"/>
      <c r="S43" s="173"/>
      <c r="T43" s="23">
        <v>5</v>
      </c>
      <c r="U43" s="23">
        <v>0.7</v>
      </c>
      <c r="V43" s="23">
        <v>0.7</v>
      </c>
      <c r="W43" s="23">
        <v>1</v>
      </c>
      <c r="X43" s="23">
        <v>1</v>
      </c>
    </row>
    <row r="44" spans="2:28">
      <c r="B44" s="21" t="s">
        <v>143</v>
      </c>
      <c r="C44" s="133">
        <v>4</v>
      </c>
      <c r="D44" s="204">
        <v>0</v>
      </c>
      <c r="E44" s="23">
        <v>90</v>
      </c>
      <c r="F44" s="23">
        <v>90</v>
      </c>
      <c r="G44" s="23">
        <v>90</v>
      </c>
      <c r="H44" s="23">
        <v>170</v>
      </c>
      <c r="I44" s="23">
        <v>170</v>
      </c>
      <c r="J44" s="209" t="s">
        <v>142</v>
      </c>
      <c r="K44" s="205">
        <v>0</v>
      </c>
      <c r="L44" s="23">
        <v>90</v>
      </c>
      <c r="M44" s="23">
        <v>90</v>
      </c>
      <c r="N44" s="23">
        <v>90</v>
      </c>
      <c r="O44" s="23">
        <v>170</v>
      </c>
      <c r="P44" s="23">
        <v>170</v>
      </c>
      <c r="Q44" s="209" t="s">
        <v>142</v>
      </c>
      <c r="R44" s="108"/>
      <c r="S44" s="173"/>
      <c r="T44" s="23">
        <v>6</v>
      </c>
      <c r="U44" s="23">
        <v>0.7</v>
      </c>
      <c r="V44" s="23">
        <v>0.7</v>
      </c>
      <c r="W44" s="23">
        <v>1</v>
      </c>
      <c r="X44" s="23">
        <v>1</v>
      </c>
    </row>
    <row r="45" spans="2:28">
      <c r="B45" s="21" t="s">
        <v>144</v>
      </c>
      <c r="C45" s="133">
        <v>5</v>
      </c>
      <c r="D45" s="204">
        <v>0</v>
      </c>
      <c r="E45" s="23">
        <v>90</v>
      </c>
      <c r="F45" s="210">
        <v>90</v>
      </c>
      <c r="G45" s="210" t="s">
        <v>142</v>
      </c>
      <c r="H45" s="210" t="s">
        <v>142</v>
      </c>
      <c r="I45" s="210" t="s">
        <v>142</v>
      </c>
      <c r="J45" s="209" t="s">
        <v>142</v>
      </c>
      <c r="K45" s="205">
        <v>0</v>
      </c>
      <c r="L45" s="23">
        <v>90</v>
      </c>
      <c r="M45" s="23">
        <v>90</v>
      </c>
      <c r="N45" s="210" t="s">
        <v>142</v>
      </c>
      <c r="O45" s="210" t="s">
        <v>142</v>
      </c>
      <c r="P45" s="210" t="s">
        <v>142</v>
      </c>
      <c r="Q45" s="209" t="s">
        <v>142</v>
      </c>
      <c r="R45" s="108"/>
      <c r="S45" s="173"/>
      <c r="T45" s="23">
        <v>7</v>
      </c>
      <c r="U45" s="23">
        <v>0.7</v>
      </c>
      <c r="V45" s="23">
        <v>0.7</v>
      </c>
      <c r="W45" s="23">
        <v>1</v>
      </c>
      <c r="X45" s="23">
        <v>1</v>
      </c>
    </row>
    <row r="46" spans="2:28">
      <c r="B46" s="21" t="s">
        <v>145</v>
      </c>
      <c r="C46" s="133">
        <v>6</v>
      </c>
      <c r="D46" s="204">
        <v>0</v>
      </c>
      <c r="E46" s="23">
        <v>90</v>
      </c>
      <c r="F46" s="23">
        <v>90</v>
      </c>
      <c r="G46" s="23">
        <v>170</v>
      </c>
      <c r="H46" s="23">
        <v>200</v>
      </c>
      <c r="I46" s="23">
        <v>200</v>
      </c>
      <c r="J46" s="185">
        <v>200</v>
      </c>
      <c r="K46" s="205">
        <v>0</v>
      </c>
      <c r="L46" s="23">
        <v>90</v>
      </c>
      <c r="M46" s="23">
        <v>90</v>
      </c>
      <c r="N46" s="23">
        <v>170</v>
      </c>
      <c r="O46" s="23">
        <v>200</v>
      </c>
      <c r="P46" s="23">
        <v>200</v>
      </c>
      <c r="Q46" s="185">
        <v>200</v>
      </c>
      <c r="R46" s="108"/>
      <c r="S46" s="173"/>
      <c r="T46" s="23">
        <v>8</v>
      </c>
      <c r="U46" s="23">
        <v>0.7</v>
      </c>
      <c r="V46" s="23">
        <v>0.7</v>
      </c>
      <c r="W46" s="23">
        <v>1</v>
      </c>
      <c r="X46" s="23">
        <v>1</v>
      </c>
    </row>
    <row r="47" spans="2:28">
      <c r="B47" s="21" t="s">
        <v>65</v>
      </c>
      <c r="C47" s="133">
        <v>7</v>
      </c>
      <c r="D47" s="204">
        <v>0</v>
      </c>
      <c r="E47" s="23">
        <v>130</v>
      </c>
      <c r="F47" s="23">
        <v>130</v>
      </c>
      <c r="G47" s="23">
        <v>200</v>
      </c>
      <c r="H47" s="23">
        <v>170</v>
      </c>
      <c r="I47" s="23">
        <v>170</v>
      </c>
      <c r="J47" s="209" t="s">
        <v>142</v>
      </c>
      <c r="K47" s="205">
        <v>0</v>
      </c>
      <c r="L47" s="23">
        <v>130</v>
      </c>
      <c r="M47" s="23">
        <v>130</v>
      </c>
      <c r="N47" s="23">
        <v>200</v>
      </c>
      <c r="O47" s="23">
        <v>170</v>
      </c>
      <c r="P47" s="23">
        <v>170</v>
      </c>
      <c r="Q47" s="209" t="s">
        <v>142</v>
      </c>
      <c r="R47" s="108"/>
      <c r="S47" s="173"/>
      <c r="T47" s="23">
        <v>9</v>
      </c>
      <c r="U47" s="23">
        <v>0.7</v>
      </c>
      <c r="V47" s="23">
        <v>0.7</v>
      </c>
      <c r="W47" s="23">
        <v>1</v>
      </c>
      <c r="X47" s="23">
        <v>1</v>
      </c>
    </row>
    <row r="48" spans="2:28">
      <c r="B48" s="21" t="s">
        <v>146</v>
      </c>
      <c r="C48" s="133">
        <v>8</v>
      </c>
      <c r="D48" s="204">
        <v>0</v>
      </c>
      <c r="E48" s="23">
        <v>50</v>
      </c>
      <c r="F48" s="23">
        <v>50</v>
      </c>
      <c r="G48" s="23">
        <v>90</v>
      </c>
      <c r="H48" s="23">
        <v>90</v>
      </c>
      <c r="I48" s="23">
        <v>90</v>
      </c>
      <c r="J48" s="209" t="s">
        <v>142</v>
      </c>
      <c r="K48" s="205">
        <v>0</v>
      </c>
      <c r="L48" s="23">
        <v>50</v>
      </c>
      <c r="M48" s="23">
        <v>50</v>
      </c>
      <c r="N48" s="23">
        <v>90</v>
      </c>
      <c r="O48" s="23">
        <v>90</v>
      </c>
      <c r="P48" s="23">
        <v>90</v>
      </c>
      <c r="Q48" s="209" t="s">
        <v>142</v>
      </c>
      <c r="R48" s="108"/>
      <c r="S48" s="173"/>
      <c r="T48" s="23">
        <v>10</v>
      </c>
      <c r="U48" s="23">
        <v>0.7</v>
      </c>
      <c r="V48" s="23">
        <v>0.7</v>
      </c>
      <c r="W48" s="23">
        <v>1</v>
      </c>
      <c r="X48" s="23">
        <v>1</v>
      </c>
    </row>
    <row r="49" spans="2:27">
      <c r="B49" s="21" t="s">
        <v>147</v>
      </c>
      <c r="C49" s="133">
        <v>9</v>
      </c>
      <c r="D49" s="204">
        <v>0</v>
      </c>
      <c r="E49" s="23">
        <v>130</v>
      </c>
      <c r="F49" s="23">
        <v>130</v>
      </c>
      <c r="G49" s="23">
        <v>130</v>
      </c>
      <c r="H49" s="23">
        <v>90</v>
      </c>
      <c r="I49" s="23">
        <v>90</v>
      </c>
      <c r="J49" s="209" t="s">
        <v>142</v>
      </c>
      <c r="K49" s="205">
        <v>0</v>
      </c>
      <c r="L49" s="23">
        <v>130</v>
      </c>
      <c r="M49" s="23">
        <v>130</v>
      </c>
      <c r="N49" s="23">
        <v>130</v>
      </c>
      <c r="O49" s="23">
        <v>90</v>
      </c>
      <c r="P49" s="23">
        <v>90</v>
      </c>
      <c r="Q49" s="209" t="s">
        <v>142</v>
      </c>
      <c r="R49" s="108"/>
      <c r="S49" s="173"/>
      <c r="T49" s="23">
        <v>11</v>
      </c>
      <c r="U49" s="23">
        <v>0.7</v>
      </c>
      <c r="V49" s="23">
        <v>0.7</v>
      </c>
      <c r="W49" s="23">
        <v>1</v>
      </c>
      <c r="X49" s="23">
        <v>1</v>
      </c>
    </row>
    <row r="50" spans="2:27">
      <c r="B50" s="21" t="s">
        <v>148</v>
      </c>
      <c r="C50" s="133">
        <v>10</v>
      </c>
      <c r="D50" s="204">
        <v>0</v>
      </c>
      <c r="E50" s="23">
        <v>170</v>
      </c>
      <c r="F50" s="23">
        <v>170</v>
      </c>
      <c r="G50" s="23">
        <v>260</v>
      </c>
      <c r="H50" s="23">
        <v>200</v>
      </c>
      <c r="I50" s="23">
        <v>200</v>
      </c>
      <c r="J50" s="209" t="s">
        <v>142</v>
      </c>
      <c r="K50" s="205">
        <v>0</v>
      </c>
      <c r="L50" s="23">
        <v>170</v>
      </c>
      <c r="M50" s="23">
        <v>170</v>
      </c>
      <c r="N50" s="23">
        <v>260</v>
      </c>
      <c r="O50" s="23">
        <v>200</v>
      </c>
      <c r="P50" s="23">
        <v>200</v>
      </c>
      <c r="Q50" s="209" t="s">
        <v>142</v>
      </c>
      <c r="R50" s="108"/>
      <c r="S50" s="173"/>
      <c r="T50" s="23">
        <v>12</v>
      </c>
      <c r="U50" s="23">
        <v>0.7</v>
      </c>
      <c r="V50" s="23">
        <v>0.7</v>
      </c>
      <c r="W50" s="23">
        <v>1</v>
      </c>
      <c r="X50" s="23">
        <v>1</v>
      </c>
    </row>
    <row r="51" spans="2:27">
      <c r="B51" s="21" t="s">
        <v>149</v>
      </c>
      <c r="C51" s="133">
        <v>11</v>
      </c>
      <c r="D51" s="204">
        <v>0</v>
      </c>
      <c r="E51" s="23">
        <v>90</v>
      </c>
      <c r="F51" s="23">
        <v>90</v>
      </c>
      <c r="G51" s="23">
        <v>130</v>
      </c>
      <c r="H51" s="23">
        <v>260</v>
      </c>
      <c r="I51" s="23">
        <v>200</v>
      </c>
      <c r="J51" s="209" t="s">
        <v>142</v>
      </c>
      <c r="K51" s="205">
        <v>0</v>
      </c>
      <c r="L51" s="23">
        <v>90</v>
      </c>
      <c r="M51" s="23">
        <v>90</v>
      </c>
      <c r="N51" s="23">
        <v>130</v>
      </c>
      <c r="O51" s="23">
        <v>260</v>
      </c>
      <c r="P51" s="23">
        <v>200</v>
      </c>
      <c r="Q51" s="209" t="s">
        <v>142</v>
      </c>
      <c r="R51" s="108"/>
      <c r="S51" s="173"/>
      <c r="T51" s="23">
        <v>13</v>
      </c>
      <c r="U51" s="23">
        <v>0.7</v>
      </c>
      <c r="V51" s="23">
        <v>0.7</v>
      </c>
      <c r="W51" s="23">
        <v>1</v>
      </c>
      <c r="X51" s="23">
        <v>1</v>
      </c>
    </row>
    <row r="52" spans="2:27">
      <c r="B52" s="21" t="s">
        <v>150</v>
      </c>
      <c r="C52" s="133">
        <v>12</v>
      </c>
      <c r="D52" s="204">
        <v>0</v>
      </c>
      <c r="E52" s="23">
        <v>90</v>
      </c>
      <c r="F52" s="23">
        <v>90</v>
      </c>
      <c r="G52" s="23">
        <v>90</v>
      </c>
      <c r="H52" s="23">
        <v>50</v>
      </c>
      <c r="I52" s="23">
        <v>90</v>
      </c>
      <c r="J52" s="209" t="s">
        <v>142</v>
      </c>
      <c r="K52" s="205">
        <v>0</v>
      </c>
      <c r="L52" s="23">
        <v>90</v>
      </c>
      <c r="M52" s="23">
        <v>90</v>
      </c>
      <c r="N52" s="23">
        <v>90</v>
      </c>
      <c r="O52" s="23">
        <v>50</v>
      </c>
      <c r="P52" s="23">
        <v>90</v>
      </c>
      <c r="Q52" s="209" t="s">
        <v>142</v>
      </c>
      <c r="R52" s="108"/>
      <c r="S52" s="173"/>
      <c r="T52" s="23">
        <v>14</v>
      </c>
      <c r="U52" s="23">
        <v>0.7</v>
      </c>
      <c r="V52" s="23">
        <v>0.7</v>
      </c>
      <c r="W52" s="23">
        <v>1</v>
      </c>
      <c r="X52" s="23">
        <v>1</v>
      </c>
    </row>
    <row r="53" spans="2:27">
      <c r="B53" s="21" t="s">
        <v>151</v>
      </c>
      <c r="C53" s="133">
        <v>13</v>
      </c>
      <c r="D53" s="204">
        <v>0</v>
      </c>
      <c r="E53" s="23">
        <v>90</v>
      </c>
      <c r="F53" s="23">
        <v>90</v>
      </c>
      <c r="G53" s="23">
        <v>50</v>
      </c>
      <c r="H53" s="23">
        <v>50</v>
      </c>
      <c r="I53" s="23">
        <v>90</v>
      </c>
      <c r="J53" s="185">
        <v>90</v>
      </c>
      <c r="K53" s="205">
        <v>0</v>
      </c>
      <c r="L53" s="23">
        <v>90</v>
      </c>
      <c r="M53" s="23">
        <v>90</v>
      </c>
      <c r="N53" s="23">
        <v>50</v>
      </c>
      <c r="O53" s="23">
        <v>50</v>
      </c>
      <c r="P53" s="23">
        <v>90</v>
      </c>
      <c r="Q53" s="185">
        <v>90</v>
      </c>
      <c r="R53" s="108"/>
      <c r="S53" s="173"/>
      <c r="T53" s="23">
        <v>15</v>
      </c>
      <c r="U53" s="23">
        <v>0.7</v>
      </c>
      <c r="V53" s="23">
        <v>0.7</v>
      </c>
      <c r="W53" s="23">
        <v>1</v>
      </c>
      <c r="X53" s="23">
        <v>1</v>
      </c>
    </row>
    <row r="54" spans="2:27">
      <c r="B54" s="21" t="s">
        <v>152</v>
      </c>
      <c r="C54" s="133">
        <v>14</v>
      </c>
      <c r="D54" s="204">
        <v>0</v>
      </c>
      <c r="E54" s="23">
        <v>90</v>
      </c>
      <c r="F54" s="23">
        <v>90</v>
      </c>
      <c r="G54" s="23">
        <v>130</v>
      </c>
      <c r="H54" s="23">
        <v>50</v>
      </c>
      <c r="I54" s="23">
        <v>90</v>
      </c>
      <c r="J54" s="185">
        <v>90</v>
      </c>
      <c r="K54" s="205">
        <v>0</v>
      </c>
      <c r="L54" s="23">
        <v>90</v>
      </c>
      <c r="M54" s="23">
        <v>90</v>
      </c>
      <c r="N54" s="23">
        <v>130</v>
      </c>
      <c r="O54" s="23">
        <v>50</v>
      </c>
      <c r="P54" s="23">
        <v>90</v>
      </c>
      <c r="Q54" s="185">
        <v>90</v>
      </c>
      <c r="R54" s="108"/>
      <c r="S54" s="173"/>
      <c r="T54" s="23">
        <v>16</v>
      </c>
      <c r="U54" s="23">
        <v>0.7</v>
      </c>
      <c r="V54" s="23">
        <v>0.7</v>
      </c>
      <c r="W54" s="23">
        <v>1</v>
      </c>
      <c r="X54" s="23">
        <v>1</v>
      </c>
    </row>
    <row r="55" spans="2:27">
      <c r="B55" s="21" t="s">
        <v>153</v>
      </c>
      <c r="C55" s="133">
        <v>15</v>
      </c>
      <c r="D55" s="204">
        <v>0</v>
      </c>
      <c r="E55" s="23">
        <v>200</v>
      </c>
      <c r="F55" s="23">
        <v>200</v>
      </c>
      <c r="G55" s="23">
        <v>380</v>
      </c>
      <c r="H55" s="23">
        <v>320</v>
      </c>
      <c r="I55" s="23">
        <v>320</v>
      </c>
      <c r="J55" s="185">
        <v>320</v>
      </c>
      <c r="K55" s="205">
        <v>0</v>
      </c>
      <c r="L55" s="23">
        <v>200</v>
      </c>
      <c r="M55" s="23">
        <v>200</v>
      </c>
      <c r="N55" s="23">
        <v>380</v>
      </c>
      <c r="O55" s="23">
        <v>320</v>
      </c>
      <c r="P55" s="23">
        <v>320</v>
      </c>
      <c r="Q55" s="185">
        <v>320</v>
      </c>
      <c r="R55" s="108"/>
      <c r="S55" s="173"/>
      <c r="T55" s="23">
        <v>17</v>
      </c>
      <c r="U55" s="23">
        <v>0.7</v>
      </c>
      <c r="V55" s="23">
        <v>0.7</v>
      </c>
      <c r="W55" s="23">
        <v>1</v>
      </c>
      <c r="X55" s="23">
        <v>1</v>
      </c>
    </row>
    <row r="56" spans="2:27">
      <c r="B56" s="21" t="s">
        <v>154</v>
      </c>
      <c r="C56" s="133">
        <v>16</v>
      </c>
      <c r="D56" s="204">
        <v>0</v>
      </c>
      <c r="E56" s="23">
        <v>90</v>
      </c>
      <c r="F56" s="23">
        <v>90</v>
      </c>
      <c r="G56" s="23">
        <v>50</v>
      </c>
      <c r="H56" s="23">
        <v>50</v>
      </c>
      <c r="I56" s="23">
        <v>90</v>
      </c>
      <c r="J56" s="185">
        <v>90</v>
      </c>
      <c r="K56" s="205">
        <v>0</v>
      </c>
      <c r="L56" s="23">
        <v>90</v>
      </c>
      <c r="M56" s="23">
        <v>90</v>
      </c>
      <c r="N56" s="23">
        <v>50</v>
      </c>
      <c r="O56" s="23">
        <v>50</v>
      </c>
      <c r="P56" s="23">
        <v>90</v>
      </c>
      <c r="Q56" s="185">
        <v>90</v>
      </c>
      <c r="R56" s="108"/>
      <c r="S56" s="173"/>
      <c r="T56" s="23">
        <v>18</v>
      </c>
      <c r="U56" s="23">
        <v>0.7</v>
      </c>
      <c r="V56" s="23">
        <v>0.7</v>
      </c>
      <c r="W56" s="23">
        <v>1</v>
      </c>
      <c r="X56" s="23">
        <v>1</v>
      </c>
    </row>
    <row r="57" spans="2:27">
      <c r="B57" s="21" t="s">
        <v>155</v>
      </c>
      <c r="C57" s="133">
        <v>17</v>
      </c>
      <c r="D57" s="204">
        <v>0</v>
      </c>
      <c r="E57" s="210" t="s">
        <v>156</v>
      </c>
      <c r="F57" s="210" t="s">
        <v>156</v>
      </c>
      <c r="G57" s="210" t="s">
        <v>156</v>
      </c>
      <c r="H57" s="210" t="s">
        <v>156</v>
      </c>
      <c r="I57" s="210" t="s">
        <v>156</v>
      </c>
      <c r="J57" s="209" t="s">
        <v>156</v>
      </c>
      <c r="K57" s="205">
        <v>0</v>
      </c>
      <c r="L57" s="210" t="s">
        <v>156</v>
      </c>
      <c r="M57" s="210" t="s">
        <v>156</v>
      </c>
      <c r="N57" s="210" t="s">
        <v>156</v>
      </c>
      <c r="O57" s="210" t="s">
        <v>156</v>
      </c>
      <c r="P57" s="210" t="s">
        <v>156</v>
      </c>
      <c r="Q57" s="209" t="s">
        <v>156</v>
      </c>
      <c r="R57" s="108"/>
      <c r="S57" s="173"/>
      <c r="T57" s="23">
        <v>19</v>
      </c>
      <c r="U57" s="23">
        <v>0.7</v>
      </c>
      <c r="V57" s="23">
        <v>0.7</v>
      </c>
      <c r="W57" s="23">
        <v>1</v>
      </c>
      <c r="X57" s="23">
        <v>1</v>
      </c>
    </row>
    <row r="58" spans="2:27">
      <c r="B58" s="21" t="s">
        <v>157</v>
      </c>
      <c r="C58" s="133">
        <v>18</v>
      </c>
      <c r="D58" s="204">
        <v>0</v>
      </c>
      <c r="E58" s="210">
        <v>90</v>
      </c>
      <c r="F58" s="210">
        <v>90</v>
      </c>
      <c r="G58" s="210">
        <v>170</v>
      </c>
      <c r="H58" s="210">
        <v>200</v>
      </c>
      <c r="I58" s="210">
        <v>200</v>
      </c>
      <c r="J58" s="209">
        <v>200</v>
      </c>
      <c r="K58" s="205">
        <v>0</v>
      </c>
      <c r="L58" s="210">
        <v>90</v>
      </c>
      <c r="M58" s="210">
        <v>90</v>
      </c>
      <c r="N58" s="210">
        <v>170</v>
      </c>
      <c r="O58" s="210">
        <v>200</v>
      </c>
      <c r="P58" s="210">
        <v>200</v>
      </c>
      <c r="Q58" s="209">
        <v>200</v>
      </c>
      <c r="R58" s="108"/>
      <c r="S58" s="173"/>
      <c r="T58" s="23">
        <v>20</v>
      </c>
      <c r="U58" s="23">
        <v>0.7</v>
      </c>
      <c r="V58" s="23">
        <v>0.7</v>
      </c>
      <c r="W58" s="23">
        <v>1</v>
      </c>
      <c r="X58" s="23">
        <v>1</v>
      </c>
    </row>
    <row r="59" spans="2:27">
      <c r="B59" s="21" t="s">
        <v>158</v>
      </c>
      <c r="C59" s="133">
        <v>19</v>
      </c>
      <c r="D59" s="204">
        <v>0</v>
      </c>
      <c r="E59" s="23">
        <v>200</v>
      </c>
      <c r="F59" s="23">
        <v>200</v>
      </c>
      <c r="G59" s="23">
        <v>380</v>
      </c>
      <c r="H59" s="23">
        <v>320</v>
      </c>
      <c r="I59" s="23">
        <v>320</v>
      </c>
      <c r="J59" s="185">
        <v>320</v>
      </c>
      <c r="K59" s="205">
        <v>0</v>
      </c>
      <c r="L59" s="23">
        <v>200</v>
      </c>
      <c r="M59" s="23">
        <v>200</v>
      </c>
      <c r="N59" s="23">
        <v>380</v>
      </c>
      <c r="O59" s="23">
        <v>320</v>
      </c>
      <c r="P59" s="23">
        <v>320</v>
      </c>
      <c r="Q59" s="185">
        <v>320</v>
      </c>
      <c r="R59" s="108"/>
      <c r="S59" s="173"/>
      <c r="T59" s="23">
        <v>21</v>
      </c>
      <c r="U59" s="23">
        <v>0.7</v>
      </c>
      <c r="V59" s="23">
        <v>0.7</v>
      </c>
      <c r="W59" s="23">
        <v>1</v>
      </c>
      <c r="X59" s="23">
        <v>1</v>
      </c>
    </row>
    <row r="60" spans="2:27">
      <c r="B60" s="21" t="s">
        <v>159</v>
      </c>
      <c r="C60" s="133">
        <v>20</v>
      </c>
      <c r="D60" s="204">
        <v>0</v>
      </c>
      <c r="E60" s="23">
        <v>200</v>
      </c>
      <c r="F60" s="23">
        <v>200</v>
      </c>
      <c r="G60" s="23">
        <v>440</v>
      </c>
      <c r="H60" s="23">
        <v>440</v>
      </c>
      <c r="I60" s="23">
        <v>440</v>
      </c>
      <c r="J60" s="185">
        <v>500</v>
      </c>
      <c r="K60" s="205">
        <v>0</v>
      </c>
      <c r="L60" s="23">
        <v>200</v>
      </c>
      <c r="M60" s="23">
        <v>200</v>
      </c>
      <c r="N60" s="23">
        <v>440</v>
      </c>
      <c r="O60" s="23">
        <v>440</v>
      </c>
      <c r="P60" s="23">
        <v>440</v>
      </c>
      <c r="Q60" s="185">
        <v>500</v>
      </c>
      <c r="R60" s="108"/>
      <c r="S60" s="173"/>
      <c r="T60" s="14"/>
      <c r="U60" s="14"/>
      <c r="V60" s="14"/>
      <c r="W60" s="14"/>
      <c r="X60" s="14"/>
    </row>
    <row r="61" spans="2:27" s="224" customFormat="1" ht="13.8" thickBot="1">
      <c r="B61" s="211" t="s">
        <v>160</v>
      </c>
      <c r="C61" s="212">
        <v>21</v>
      </c>
      <c r="D61" s="213">
        <v>0</v>
      </c>
      <c r="E61" s="213">
        <v>200</v>
      </c>
      <c r="F61" s="213">
        <v>380</v>
      </c>
      <c r="G61" s="213">
        <v>380</v>
      </c>
      <c r="H61" s="213">
        <v>320</v>
      </c>
      <c r="I61" s="213">
        <v>320</v>
      </c>
      <c r="J61" s="214">
        <v>320</v>
      </c>
      <c r="K61" s="236"/>
      <c r="L61" s="237"/>
      <c r="M61" s="237"/>
      <c r="N61" s="237"/>
      <c r="O61" s="237"/>
      <c r="P61" s="237"/>
      <c r="Q61" s="238"/>
      <c r="R61" s="239"/>
      <c r="S61" s="240"/>
      <c r="T61" s="241"/>
      <c r="U61" s="241"/>
      <c r="V61" s="241"/>
      <c r="W61" s="241"/>
      <c r="X61" s="241"/>
      <c r="Y61" s="14"/>
      <c r="Z61" s="14"/>
      <c r="AA61" s="14"/>
    </row>
    <row r="62" spans="2:27">
      <c r="B62" s="21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08"/>
      <c r="S62" s="173"/>
      <c r="Y62" s="241"/>
      <c r="Z62" s="241"/>
      <c r="AA62" s="241"/>
    </row>
    <row r="63" spans="2:27" ht="14.4" thickBot="1">
      <c r="B63" s="242" t="s">
        <v>166</v>
      </c>
      <c r="D63" s="243"/>
      <c r="E63" s="14"/>
      <c r="F63" s="14"/>
      <c r="G63" s="14"/>
      <c r="H63" s="14"/>
      <c r="I63" s="14"/>
      <c r="J63" s="14"/>
      <c r="P63" s="14"/>
      <c r="Q63" s="14"/>
      <c r="R63" s="108"/>
      <c r="S63" s="173"/>
      <c r="T63" s="14" t="s">
        <v>167</v>
      </c>
      <c r="U63" s="14"/>
      <c r="V63" s="14"/>
      <c r="W63" s="14"/>
      <c r="X63" s="14"/>
      <c r="Y63" s="14"/>
      <c r="Z63" s="14"/>
      <c r="AA63" s="14"/>
    </row>
    <row r="64" spans="2:27" ht="39.6">
      <c r="B64" s="21"/>
      <c r="C64" s="178" t="s">
        <v>132</v>
      </c>
      <c r="D64" s="179" t="s">
        <v>411</v>
      </c>
      <c r="E64" s="179" t="s">
        <v>133</v>
      </c>
      <c r="F64" s="179" t="s">
        <v>134</v>
      </c>
      <c r="G64" s="179" t="s">
        <v>134</v>
      </c>
      <c r="H64" s="179" t="s">
        <v>61</v>
      </c>
      <c r="I64" s="179" t="s">
        <v>135</v>
      </c>
      <c r="J64" s="180" t="s">
        <v>136</v>
      </c>
      <c r="K64" s="178" t="s">
        <v>411</v>
      </c>
      <c r="L64" s="179" t="s">
        <v>133</v>
      </c>
      <c r="M64" s="179" t="s">
        <v>168</v>
      </c>
      <c r="N64" s="179" t="s">
        <v>134</v>
      </c>
      <c r="O64" s="179" t="s">
        <v>61</v>
      </c>
      <c r="P64" s="179" t="s">
        <v>135</v>
      </c>
      <c r="Q64" s="180" t="s">
        <v>136</v>
      </c>
      <c r="R64" s="108"/>
      <c r="S64" s="173"/>
      <c r="T64" s="13" t="s">
        <v>132</v>
      </c>
      <c r="U64" s="13" t="s">
        <v>62</v>
      </c>
      <c r="V64" s="13" t="s">
        <v>164</v>
      </c>
      <c r="W64" s="13" t="s">
        <v>49</v>
      </c>
      <c r="X64" s="13" t="s">
        <v>51</v>
      </c>
    </row>
    <row r="65" spans="2:28" ht="26.4">
      <c r="B65" s="21"/>
      <c r="C65" s="184" t="s">
        <v>139</v>
      </c>
      <c r="D65" s="13" t="s">
        <v>22</v>
      </c>
      <c r="E65" s="13" t="s">
        <v>22</v>
      </c>
      <c r="F65" s="13" t="s">
        <v>22</v>
      </c>
      <c r="G65" s="13" t="s">
        <v>22</v>
      </c>
      <c r="H65" s="13" t="s">
        <v>22</v>
      </c>
      <c r="I65" s="13" t="s">
        <v>22</v>
      </c>
      <c r="J65" s="13" t="s">
        <v>22</v>
      </c>
      <c r="K65" s="133" t="s">
        <v>24</v>
      </c>
      <c r="L65" s="23" t="s">
        <v>24</v>
      </c>
      <c r="M65" s="23" t="s">
        <v>24</v>
      </c>
      <c r="N65" s="23" t="s">
        <v>24</v>
      </c>
      <c r="O65" s="23" t="s">
        <v>24</v>
      </c>
      <c r="P65" s="23" t="s">
        <v>24</v>
      </c>
      <c r="Q65" s="185" t="s">
        <v>24</v>
      </c>
      <c r="R65" s="108"/>
      <c r="S65" s="173"/>
      <c r="T65" s="23">
        <v>1</v>
      </c>
      <c r="U65" s="23">
        <v>0.5</v>
      </c>
      <c r="V65" s="23">
        <v>0.5</v>
      </c>
      <c r="W65" s="23">
        <v>1</v>
      </c>
      <c r="X65" s="23">
        <v>1</v>
      </c>
      <c r="Y65" s="20"/>
      <c r="Z65" s="20"/>
      <c r="AA65" s="20"/>
      <c r="AB65" s="20"/>
    </row>
    <row r="66" spans="2:28" ht="13.8" thickBot="1">
      <c r="B66" s="21"/>
      <c r="C66" s="234" t="s">
        <v>32</v>
      </c>
      <c r="D66" s="204">
        <v>0</v>
      </c>
      <c r="E66" s="23">
        <v>1</v>
      </c>
      <c r="F66" s="154" t="s">
        <v>405</v>
      </c>
      <c r="G66" s="23">
        <v>2</v>
      </c>
      <c r="H66" s="23">
        <v>3</v>
      </c>
      <c r="I66" s="23">
        <v>4</v>
      </c>
      <c r="J66" s="185">
        <v>5</v>
      </c>
      <c r="K66" s="233">
        <v>0</v>
      </c>
      <c r="L66" s="28">
        <v>1</v>
      </c>
      <c r="M66" s="28">
        <v>2</v>
      </c>
      <c r="N66" s="28">
        <v>3</v>
      </c>
      <c r="O66" s="28">
        <v>4</v>
      </c>
      <c r="P66" s="28">
        <v>5</v>
      </c>
      <c r="Q66" s="207">
        <v>6</v>
      </c>
      <c r="R66" s="108"/>
      <c r="S66" s="173"/>
      <c r="T66" s="23">
        <v>2</v>
      </c>
      <c r="U66" s="23">
        <v>0.5</v>
      </c>
      <c r="V66" s="23">
        <v>0.5</v>
      </c>
      <c r="W66" s="23">
        <v>1</v>
      </c>
      <c r="X66" s="23">
        <v>1</v>
      </c>
      <c r="Y66" s="20"/>
      <c r="AA66" s="20"/>
      <c r="AB66" s="20"/>
    </row>
    <row r="67" spans="2:28">
      <c r="B67" s="21" t="s">
        <v>70</v>
      </c>
      <c r="C67" s="133">
        <v>1</v>
      </c>
      <c r="D67" s="204">
        <v>0</v>
      </c>
      <c r="E67" s="23">
        <v>1.1499999999999999</v>
      </c>
      <c r="F67" s="23">
        <v>1.1000000000000001</v>
      </c>
      <c r="G67" s="23">
        <v>1.1000000000000001</v>
      </c>
      <c r="H67" s="23">
        <v>1.45</v>
      </c>
      <c r="I67" s="23">
        <v>1.45</v>
      </c>
      <c r="J67" s="185">
        <v>1.45</v>
      </c>
      <c r="K67" s="205">
        <v>0</v>
      </c>
      <c r="L67" s="23">
        <v>0.4</v>
      </c>
      <c r="M67" s="23">
        <v>0.3</v>
      </c>
      <c r="N67" s="23">
        <v>0.2</v>
      </c>
      <c r="O67" s="23">
        <v>0.3</v>
      </c>
      <c r="P67" s="23">
        <v>0.3</v>
      </c>
      <c r="Q67" s="185">
        <v>0.3</v>
      </c>
      <c r="R67" s="108"/>
      <c r="S67" s="173"/>
      <c r="T67" s="23">
        <v>3</v>
      </c>
      <c r="U67" s="23">
        <v>0.5</v>
      </c>
      <c r="V67" s="23">
        <v>0.5</v>
      </c>
      <c r="W67" s="23">
        <v>1</v>
      </c>
      <c r="X67" s="23">
        <v>1</v>
      </c>
    </row>
    <row r="68" spans="2:28">
      <c r="B68" s="21" t="s">
        <v>140</v>
      </c>
      <c r="C68" s="133">
        <v>2</v>
      </c>
      <c r="D68" s="204">
        <v>0</v>
      </c>
      <c r="E68" s="23">
        <v>1.1499999999999999</v>
      </c>
      <c r="F68" s="23">
        <v>1.1000000000000001</v>
      </c>
      <c r="G68" s="23">
        <v>1.1000000000000001</v>
      </c>
      <c r="H68" s="23">
        <v>1.45</v>
      </c>
      <c r="I68" s="23">
        <v>1.45</v>
      </c>
      <c r="J68" s="185">
        <v>1.45</v>
      </c>
      <c r="K68" s="205">
        <v>0</v>
      </c>
      <c r="L68" s="23">
        <v>0.4</v>
      </c>
      <c r="M68" s="23">
        <v>0.3</v>
      </c>
      <c r="N68" s="23">
        <v>0.2</v>
      </c>
      <c r="O68" s="23">
        <v>0.3</v>
      </c>
      <c r="P68" s="23">
        <v>0.3</v>
      </c>
      <c r="Q68" s="185">
        <v>0.3</v>
      </c>
      <c r="R68" s="108"/>
      <c r="S68" s="173"/>
      <c r="T68" s="23">
        <v>4</v>
      </c>
      <c r="U68" s="23">
        <v>0.5</v>
      </c>
      <c r="V68" s="23">
        <v>0.5</v>
      </c>
      <c r="W68" s="23">
        <v>1</v>
      </c>
      <c r="X68" s="23">
        <v>1</v>
      </c>
    </row>
    <row r="69" spans="2:28">
      <c r="B69" s="21" t="s">
        <v>141</v>
      </c>
      <c r="C69" s="133">
        <v>3</v>
      </c>
      <c r="D69" s="204">
        <v>0</v>
      </c>
      <c r="E69" s="23">
        <v>1.1499999999999999</v>
      </c>
      <c r="F69" s="23">
        <v>1.1000000000000001</v>
      </c>
      <c r="G69" s="23">
        <v>1.1000000000000001</v>
      </c>
      <c r="H69" s="23">
        <v>1.45</v>
      </c>
      <c r="I69" s="23">
        <v>1.45</v>
      </c>
      <c r="J69" s="185">
        <v>1.45</v>
      </c>
      <c r="K69" s="205">
        <v>0</v>
      </c>
      <c r="L69" s="23">
        <v>0.4</v>
      </c>
      <c r="M69" s="23">
        <v>0.3</v>
      </c>
      <c r="N69" s="23">
        <v>0.2</v>
      </c>
      <c r="O69" s="23">
        <v>0.3</v>
      </c>
      <c r="P69" s="23">
        <v>0.3</v>
      </c>
      <c r="Q69" s="185">
        <v>0.3</v>
      </c>
      <c r="R69" s="108"/>
      <c r="S69" s="173"/>
      <c r="T69" s="23">
        <v>5</v>
      </c>
      <c r="U69" s="23">
        <v>0.5</v>
      </c>
      <c r="V69" s="23">
        <v>0.5</v>
      </c>
      <c r="W69" s="23">
        <v>1</v>
      </c>
      <c r="X69" s="23">
        <v>1</v>
      </c>
    </row>
    <row r="70" spans="2:28">
      <c r="B70" s="21" t="s">
        <v>143</v>
      </c>
      <c r="C70" s="133">
        <v>4</v>
      </c>
      <c r="D70" s="204">
        <v>0</v>
      </c>
      <c r="E70" s="23">
        <v>1.1499999999999999</v>
      </c>
      <c r="F70" s="23">
        <v>1.1000000000000001</v>
      </c>
      <c r="G70" s="23">
        <v>1.1000000000000001</v>
      </c>
      <c r="H70" s="23">
        <v>1.45</v>
      </c>
      <c r="I70" s="23">
        <v>1.45</v>
      </c>
      <c r="J70" s="185">
        <v>1.45</v>
      </c>
      <c r="K70" s="205">
        <v>0</v>
      </c>
      <c r="L70" s="23">
        <v>0.4</v>
      </c>
      <c r="M70" s="23">
        <v>0.3</v>
      </c>
      <c r="N70" s="23">
        <v>0.2</v>
      </c>
      <c r="O70" s="23">
        <v>0.3</v>
      </c>
      <c r="P70" s="23">
        <v>0.3</v>
      </c>
      <c r="Q70" s="185">
        <v>0.3</v>
      </c>
      <c r="R70" s="108"/>
      <c r="S70" s="173"/>
      <c r="T70" s="23">
        <v>6</v>
      </c>
      <c r="U70" s="23">
        <v>0.5</v>
      </c>
      <c r="V70" s="23">
        <v>0.5</v>
      </c>
      <c r="W70" s="23">
        <v>1</v>
      </c>
      <c r="X70" s="23">
        <v>1</v>
      </c>
    </row>
    <row r="71" spans="2:28">
      <c r="B71" s="21" t="s">
        <v>144</v>
      </c>
      <c r="C71" s="133">
        <v>5</v>
      </c>
      <c r="D71" s="204">
        <v>0</v>
      </c>
      <c r="E71" s="23">
        <v>1.1499999999999999</v>
      </c>
      <c r="F71" s="23">
        <v>1.1000000000000001</v>
      </c>
      <c r="G71" s="23">
        <v>1.1000000000000001</v>
      </c>
      <c r="H71" s="23">
        <v>1.45</v>
      </c>
      <c r="I71" s="23">
        <v>1.45</v>
      </c>
      <c r="J71" s="185">
        <v>1.45</v>
      </c>
      <c r="K71" s="205">
        <v>0</v>
      </c>
      <c r="L71" s="23">
        <v>0.4</v>
      </c>
      <c r="M71" s="23">
        <v>0.3</v>
      </c>
      <c r="N71" s="23">
        <v>0.2</v>
      </c>
      <c r="O71" s="23">
        <v>0.3</v>
      </c>
      <c r="P71" s="23">
        <v>0.3</v>
      </c>
      <c r="Q71" s="185">
        <v>0.3</v>
      </c>
      <c r="R71" s="108"/>
      <c r="S71" s="173"/>
      <c r="T71" s="23">
        <v>7</v>
      </c>
      <c r="U71" s="23">
        <v>0.7</v>
      </c>
      <c r="V71" s="23">
        <v>0.7</v>
      </c>
      <c r="W71" s="23">
        <v>1</v>
      </c>
      <c r="X71" s="23">
        <v>1</v>
      </c>
    </row>
    <row r="72" spans="2:28">
      <c r="B72" s="21" t="s">
        <v>145</v>
      </c>
      <c r="C72" s="133">
        <v>6</v>
      </c>
      <c r="D72" s="204">
        <v>0</v>
      </c>
      <c r="E72" s="23">
        <v>1.3</v>
      </c>
      <c r="F72" s="23">
        <v>1.65</v>
      </c>
      <c r="G72" s="23">
        <v>1.65</v>
      </c>
      <c r="H72" s="23">
        <v>1.6</v>
      </c>
      <c r="I72" s="23">
        <v>1.6</v>
      </c>
      <c r="J72" s="185">
        <v>2</v>
      </c>
      <c r="K72" s="205">
        <v>0</v>
      </c>
      <c r="L72" s="23">
        <v>0.45</v>
      </c>
      <c r="M72" s="23">
        <v>0.3</v>
      </c>
      <c r="N72" s="23">
        <v>0.25</v>
      </c>
      <c r="O72" s="23">
        <v>0.3</v>
      </c>
      <c r="P72" s="23">
        <v>0.3</v>
      </c>
      <c r="Q72" s="185">
        <v>0.3</v>
      </c>
      <c r="R72" s="108"/>
      <c r="S72" s="173"/>
      <c r="T72" s="23">
        <v>8</v>
      </c>
      <c r="U72" s="23">
        <v>0.7</v>
      </c>
      <c r="V72" s="23">
        <v>0.7</v>
      </c>
      <c r="W72" s="23">
        <v>1</v>
      </c>
      <c r="X72" s="23">
        <v>1</v>
      </c>
    </row>
    <row r="73" spans="2:28">
      <c r="B73" s="21" t="s">
        <v>65</v>
      </c>
      <c r="C73" s="133">
        <v>7</v>
      </c>
      <c r="D73" s="204">
        <v>0</v>
      </c>
      <c r="E73" s="23">
        <v>1.55</v>
      </c>
      <c r="F73" s="23">
        <v>3.2</v>
      </c>
      <c r="G73" s="23">
        <v>3.2</v>
      </c>
      <c r="H73" s="23">
        <v>2.35</v>
      </c>
      <c r="I73" s="23">
        <v>2.1</v>
      </c>
      <c r="J73" s="185">
        <v>2.1</v>
      </c>
      <c r="K73" s="205">
        <v>0</v>
      </c>
      <c r="L73" s="23">
        <v>0.5</v>
      </c>
      <c r="M73" s="23">
        <v>0.5</v>
      </c>
      <c r="N73" s="23">
        <v>0.5</v>
      </c>
      <c r="O73" s="23">
        <v>0.4</v>
      </c>
      <c r="P73" s="23">
        <v>0.35</v>
      </c>
      <c r="Q73" s="185">
        <v>0.35</v>
      </c>
      <c r="R73" s="108"/>
      <c r="S73" s="173"/>
      <c r="T73" s="23">
        <v>9</v>
      </c>
      <c r="U73" s="23">
        <v>0.7</v>
      </c>
      <c r="V73" s="23">
        <v>0.7</v>
      </c>
      <c r="W73" s="23">
        <v>1</v>
      </c>
      <c r="X73" s="23">
        <v>1</v>
      </c>
    </row>
    <row r="74" spans="2:28">
      <c r="B74" s="21" t="s">
        <v>146</v>
      </c>
      <c r="C74" s="133">
        <v>8</v>
      </c>
      <c r="D74" s="204">
        <v>0</v>
      </c>
      <c r="E74" s="23">
        <v>1.55</v>
      </c>
      <c r="F74" s="23">
        <v>3.2</v>
      </c>
      <c r="G74" s="23">
        <v>3.2</v>
      </c>
      <c r="H74" s="23">
        <v>2.35</v>
      </c>
      <c r="I74" s="23">
        <v>2.1</v>
      </c>
      <c r="J74" s="185">
        <v>2.1</v>
      </c>
      <c r="K74" s="205">
        <v>0</v>
      </c>
      <c r="L74" s="23">
        <v>0.5</v>
      </c>
      <c r="M74" s="23">
        <v>0.5</v>
      </c>
      <c r="N74" s="23">
        <v>0.5</v>
      </c>
      <c r="O74" s="23">
        <v>0.4</v>
      </c>
      <c r="P74" s="23">
        <v>0.35</v>
      </c>
      <c r="Q74" s="185">
        <v>0.35</v>
      </c>
      <c r="R74" s="108"/>
      <c r="S74" s="173"/>
      <c r="T74" s="23">
        <v>10</v>
      </c>
      <c r="U74" s="23">
        <v>0.7</v>
      </c>
      <c r="V74" s="23">
        <v>0.7</v>
      </c>
      <c r="W74" s="23">
        <v>1</v>
      </c>
      <c r="X74" s="23">
        <v>1</v>
      </c>
    </row>
    <row r="75" spans="2:28">
      <c r="B75" s="21" t="s">
        <v>147</v>
      </c>
      <c r="C75" s="133">
        <v>9</v>
      </c>
      <c r="D75" s="204">
        <v>0</v>
      </c>
      <c r="E75" s="23">
        <v>1.35</v>
      </c>
      <c r="F75" s="23">
        <v>3.1</v>
      </c>
      <c r="G75" s="23">
        <v>3.1</v>
      </c>
      <c r="H75" s="23">
        <v>2.2999999999999998</v>
      </c>
      <c r="I75" s="23">
        <v>2.2999999999999998</v>
      </c>
      <c r="J75" s="185">
        <v>2.2999999999999998</v>
      </c>
      <c r="K75" s="205">
        <v>0</v>
      </c>
      <c r="L75" s="23">
        <v>0.45</v>
      </c>
      <c r="M75" s="23">
        <v>0.4</v>
      </c>
      <c r="N75" s="23">
        <v>0.4</v>
      </c>
      <c r="O75" s="23">
        <v>0.4</v>
      </c>
      <c r="P75" s="23">
        <v>0.4</v>
      </c>
      <c r="Q75" s="185">
        <v>0.4</v>
      </c>
      <c r="R75" s="108"/>
      <c r="S75" s="173"/>
      <c r="T75" s="23">
        <v>11</v>
      </c>
      <c r="U75" s="23">
        <v>0.7</v>
      </c>
      <c r="V75" s="23">
        <v>0.7</v>
      </c>
      <c r="W75" s="23">
        <v>1</v>
      </c>
      <c r="X75" s="23">
        <v>1</v>
      </c>
    </row>
    <row r="76" spans="2:28">
      <c r="B76" s="21" t="s">
        <v>148</v>
      </c>
      <c r="C76" s="133">
        <v>10</v>
      </c>
      <c r="D76" s="204">
        <v>0</v>
      </c>
      <c r="E76" s="23">
        <v>1.35</v>
      </c>
      <c r="F76" s="23">
        <v>3.1</v>
      </c>
      <c r="G76" s="23">
        <v>3.1</v>
      </c>
      <c r="H76" s="23">
        <v>2.2999999999999998</v>
      </c>
      <c r="I76" s="23">
        <v>2.2999999999999998</v>
      </c>
      <c r="J76" s="185">
        <v>2.2999999999999998</v>
      </c>
      <c r="K76" s="205">
        <v>0</v>
      </c>
      <c r="L76" s="23">
        <v>0.45</v>
      </c>
      <c r="M76" s="23">
        <v>0.4</v>
      </c>
      <c r="N76" s="23">
        <v>0.4</v>
      </c>
      <c r="O76" s="23">
        <v>0.4</v>
      </c>
      <c r="P76" s="23">
        <v>0.4</v>
      </c>
      <c r="Q76" s="185">
        <v>0.4</v>
      </c>
      <c r="R76" s="108"/>
      <c r="S76" s="173"/>
      <c r="T76" s="23">
        <v>12</v>
      </c>
      <c r="U76" s="23">
        <v>0.7</v>
      </c>
      <c r="V76" s="23">
        <v>0.7</v>
      </c>
      <c r="W76" s="23">
        <v>1</v>
      </c>
      <c r="X76" s="23">
        <v>1</v>
      </c>
    </row>
    <row r="77" spans="2:28">
      <c r="B77" s="21" t="s">
        <v>149</v>
      </c>
      <c r="C77" s="133">
        <v>11</v>
      </c>
      <c r="D77" s="204">
        <v>0</v>
      </c>
      <c r="E77" s="23">
        <v>1.35</v>
      </c>
      <c r="F77" s="23">
        <v>3.1</v>
      </c>
      <c r="G77" s="23">
        <v>3.1</v>
      </c>
      <c r="H77" s="23">
        <v>2.2999999999999998</v>
      </c>
      <c r="I77" s="23">
        <v>2.2999999999999998</v>
      </c>
      <c r="J77" s="185">
        <v>2.2999999999999998</v>
      </c>
      <c r="K77" s="205">
        <v>0</v>
      </c>
      <c r="L77" s="23">
        <v>0.45</v>
      </c>
      <c r="M77" s="23">
        <v>0.4</v>
      </c>
      <c r="N77" s="23">
        <v>0.4</v>
      </c>
      <c r="O77" s="23">
        <v>0.4</v>
      </c>
      <c r="P77" s="23">
        <v>0.4</v>
      </c>
      <c r="Q77" s="185">
        <v>0.4</v>
      </c>
      <c r="R77" s="108"/>
      <c r="S77" s="173"/>
      <c r="T77" s="23">
        <v>13</v>
      </c>
      <c r="U77" s="23">
        <v>0.7</v>
      </c>
      <c r="V77" s="23">
        <v>0.7</v>
      </c>
      <c r="W77" s="23">
        <v>1</v>
      </c>
      <c r="X77" s="23">
        <v>1</v>
      </c>
    </row>
    <row r="78" spans="2:28">
      <c r="B78" s="21" t="s">
        <v>150</v>
      </c>
      <c r="C78" s="133">
        <v>12</v>
      </c>
      <c r="D78" s="204">
        <v>0</v>
      </c>
      <c r="E78" s="23">
        <v>1.35</v>
      </c>
      <c r="F78" s="23">
        <v>3.1</v>
      </c>
      <c r="G78" s="23">
        <v>3.1</v>
      </c>
      <c r="H78" s="23">
        <v>2.2999999999999998</v>
      </c>
      <c r="I78" s="23">
        <v>2.2999999999999998</v>
      </c>
      <c r="J78" s="185">
        <v>2.2999999999999998</v>
      </c>
      <c r="K78" s="205">
        <v>0</v>
      </c>
      <c r="L78" s="23">
        <v>0.45</v>
      </c>
      <c r="M78" s="23">
        <v>0.4</v>
      </c>
      <c r="N78" s="23">
        <v>0.4</v>
      </c>
      <c r="O78" s="23">
        <v>0.4</v>
      </c>
      <c r="P78" s="23">
        <v>0.4</v>
      </c>
      <c r="Q78" s="185">
        <v>0.4</v>
      </c>
      <c r="R78" s="108"/>
      <c r="S78" s="173"/>
      <c r="T78" s="23">
        <v>14</v>
      </c>
      <c r="U78" s="23">
        <v>0.7</v>
      </c>
      <c r="V78" s="23">
        <v>0.7</v>
      </c>
      <c r="W78" s="23">
        <v>1</v>
      </c>
      <c r="X78" s="23">
        <v>1</v>
      </c>
    </row>
    <row r="79" spans="2:28">
      <c r="B79" s="21" t="s">
        <v>151</v>
      </c>
      <c r="C79" s="133">
        <v>13</v>
      </c>
      <c r="D79" s="204">
        <v>0</v>
      </c>
      <c r="E79" s="23">
        <v>1</v>
      </c>
      <c r="F79" s="23">
        <v>1.9</v>
      </c>
      <c r="G79" s="23">
        <v>1.9</v>
      </c>
      <c r="H79" s="23">
        <v>1.4</v>
      </c>
      <c r="I79" s="23">
        <v>1.4</v>
      </c>
      <c r="J79" s="185">
        <v>1.2</v>
      </c>
      <c r="K79" s="205">
        <v>0</v>
      </c>
      <c r="L79" s="23">
        <v>0.35</v>
      </c>
      <c r="M79" s="23">
        <v>0.3</v>
      </c>
      <c r="N79" s="23">
        <v>0.25</v>
      </c>
      <c r="O79" s="23">
        <v>0.15</v>
      </c>
      <c r="P79" s="23">
        <v>0.15</v>
      </c>
      <c r="Q79" s="185">
        <v>0.15</v>
      </c>
      <c r="R79" s="108"/>
      <c r="S79" s="173"/>
      <c r="T79" s="23">
        <v>15</v>
      </c>
      <c r="U79" s="23">
        <v>0.7</v>
      </c>
      <c r="V79" s="23">
        <v>0.7</v>
      </c>
      <c r="W79" s="23">
        <v>1</v>
      </c>
      <c r="X79" s="23">
        <v>1</v>
      </c>
    </row>
    <row r="80" spans="2:28">
      <c r="B80" s="21" t="s">
        <v>152</v>
      </c>
      <c r="C80" s="133">
        <v>14</v>
      </c>
      <c r="D80" s="204">
        <v>0</v>
      </c>
      <c r="E80" s="23">
        <v>1.2</v>
      </c>
      <c r="F80" s="23">
        <v>3.1</v>
      </c>
      <c r="G80" s="23">
        <v>3.1</v>
      </c>
      <c r="H80" s="23">
        <v>1.7</v>
      </c>
      <c r="I80" s="23">
        <v>2.2000000000000002</v>
      </c>
      <c r="J80" s="185">
        <v>1.5</v>
      </c>
      <c r="K80" s="205">
        <v>0</v>
      </c>
      <c r="L80" s="23">
        <v>0.4</v>
      </c>
      <c r="M80" s="23">
        <v>0.4</v>
      </c>
      <c r="N80" s="23">
        <v>0.4</v>
      </c>
      <c r="O80" s="23">
        <v>0.35</v>
      </c>
      <c r="P80" s="23">
        <v>0.2</v>
      </c>
      <c r="Q80" s="185">
        <v>0.2</v>
      </c>
      <c r="R80" s="108"/>
      <c r="S80" s="173"/>
      <c r="T80" s="23">
        <v>16</v>
      </c>
      <c r="U80" s="23">
        <v>0.7</v>
      </c>
      <c r="V80" s="23">
        <v>0.7</v>
      </c>
      <c r="W80" s="23">
        <v>1</v>
      </c>
      <c r="X80" s="23">
        <v>1</v>
      </c>
    </row>
    <row r="81" spans="1:28">
      <c r="B81" s="21" t="s">
        <v>153</v>
      </c>
      <c r="C81" s="133">
        <v>15</v>
      </c>
      <c r="D81" s="204">
        <v>0</v>
      </c>
      <c r="E81" s="23">
        <v>1.2</v>
      </c>
      <c r="F81" s="23">
        <v>3.1</v>
      </c>
      <c r="G81" s="23">
        <v>3.1</v>
      </c>
      <c r="H81" s="23">
        <v>1.7</v>
      </c>
      <c r="I81" s="23">
        <v>2.2000000000000002</v>
      </c>
      <c r="J81" s="185">
        <v>1.5</v>
      </c>
      <c r="K81" s="205">
        <v>0</v>
      </c>
      <c r="L81" s="23">
        <v>0.4</v>
      </c>
      <c r="M81" s="23">
        <v>0.4</v>
      </c>
      <c r="N81" s="23">
        <v>0.4</v>
      </c>
      <c r="O81" s="23">
        <v>0.35</v>
      </c>
      <c r="P81" s="23">
        <v>0.2</v>
      </c>
      <c r="Q81" s="185">
        <v>0.2</v>
      </c>
      <c r="R81" s="108"/>
      <c r="S81" s="173"/>
      <c r="T81" s="23">
        <v>17</v>
      </c>
      <c r="U81" s="23">
        <v>0</v>
      </c>
      <c r="V81" s="23">
        <v>0</v>
      </c>
      <c r="W81" s="23">
        <v>0</v>
      </c>
      <c r="X81" s="23">
        <v>0</v>
      </c>
    </row>
    <row r="82" spans="1:28">
      <c r="B82" s="21" t="s">
        <v>154</v>
      </c>
      <c r="C82" s="133">
        <v>16</v>
      </c>
      <c r="D82" s="204">
        <v>0</v>
      </c>
      <c r="E82" s="23">
        <v>1</v>
      </c>
      <c r="F82" s="23">
        <v>1</v>
      </c>
      <c r="G82" s="23">
        <v>1</v>
      </c>
      <c r="H82" s="23">
        <v>1</v>
      </c>
      <c r="I82" s="23">
        <v>1</v>
      </c>
      <c r="J82" s="185">
        <v>1.2</v>
      </c>
      <c r="K82" s="205">
        <v>0</v>
      </c>
      <c r="L82" s="23">
        <v>0.35</v>
      </c>
      <c r="M82" s="23">
        <v>0.25</v>
      </c>
      <c r="N82" s="23">
        <v>0.15</v>
      </c>
      <c r="O82" s="23">
        <v>0.15</v>
      </c>
      <c r="P82" s="23">
        <v>0.15</v>
      </c>
      <c r="Q82" s="185">
        <v>0.15</v>
      </c>
      <c r="R82" s="108"/>
      <c r="S82" s="173"/>
      <c r="T82" s="23">
        <v>18</v>
      </c>
      <c r="U82" s="23">
        <v>0</v>
      </c>
      <c r="V82" s="23">
        <v>0</v>
      </c>
      <c r="W82" s="23">
        <v>0</v>
      </c>
      <c r="X82" s="23">
        <v>0</v>
      </c>
    </row>
    <row r="83" spans="1:28">
      <c r="B83" s="21" t="s">
        <v>155</v>
      </c>
      <c r="C83" s="133">
        <v>17</v>
      </c>
      <c r="D83" s="204">
        <v>0</v>
      </c>
      <c r="E83" s="23">
        <v>0</v>
      </c>
      <c r="F83" s="23">
        <v>0</v>
      </c>
      <c r="G83" s="23">
        <v>0</v>
      </c>
      <c r="H83" s="23">
        <v>0</v>
      </c>
      <c r="I83" s="23">
        <v>0</v>
      </c>
      <c r="J83" s="185">
        <v>0</v>
      </c>
      <c r="K83" s="205">
        <v>0</v>
      </c>
      <c r="L83" s="23">
        <v>0</v>
      </c>
      <c r="M83" s="23">
        <v>0</v>
      </c>
      <c r="N83" s="23">
        <v>0</v>
      </c>
      <c r="O83" s="23">
        <v>0</v>
      </c>
      <c r="P83" s="23">
        <v>0</v>
      </c>
      <c r="Q83" s="185">
        <v>0</v>
      </c>
      <c r="R83" s="108"/>
      <c r="S83" s="173"/>
      <c r="T83" s="23">
        <v>19</v>
      </c>
      <c r="U83" s="210">
        <v>0</v>
      </c>
      <c r="V83" s="210">
        <v>0</v>
      </c>
      <c r="W83" s="210">
        <v>0</v>
      </c>
      <c r="X83" s="210">
        <v>0</v>
      </c>
    </row>
    <row r="84" spans="1:28">
      <c r="B84" s="21" t="s">
        <v>157</v>
      </c>
      <c r="C84" s="133">
        <v>18</v>
      </c>
      <c r="D84" s="204">
        <v>0</v>
      </c>
      <c r="E84" s="23">
        <v>0</v>
      </c>
      <c r="F84" s="23">
        <v>0</v>
      </c>
      <c r="G84" s="23">
        <v>0</v>
      </c>
      <c r="H84" s="23">
        <v>0</v>
      </c>
      <c r="I84" s="23">
        <v>0</v>
      </c>
      <c r="J84" s="185">
        <v>0</v>
      </c>
      <c r="K84" s="205">
        <v>0</v>
      </c>
      <c r="L84" s="23">
        <v>0</v>
      </c>
      <c r="M84" s="23">
        <v>0</v>
      </c>
      <c r="N84" s="23">
        <v>0</v>
      </c>
      <c r="O84" s="23">
        <v>0</v>
      </c>
      <c r="P84" s="23">
        <v>0</v>
      </c>
      <c r="Q84" s="185">
        <v>0</v>
      </c>
      <c r="R84" s="108"/>
      <c r="S84" s="173"/>
      <c r="T84" s="23">
        <v>20</v>
      </c>
      <c r="U84" s="210">
        <v>0</v>
      </c>
      <c r="V84" s="210">
        <v>0</v>
      </c>
      <c r="W84" s="210">
        <v>0</v>
      </c>
      <c r="X84" s="210">
        <v>0</v>
      </c>
      <c r="Z84" s="21"/>
    </row>
    <row r="85" spans="1:28">
      <c r="B85" s="21" t="s">
        <v>158</v>
      </c>
      <c r="C85" s="133">
        <v>19</v>
      </c>
      <c r="D85" s="204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185">
        <v>0</v>
      </c>
      <c r="K85" s="205">
        <v>0</v>
      </c>
      <c r="L85" s="23">
        <v>0</v>
      </c>
      <c r="M85" s="23">
        <v>0</v>
      </c>
      <c r="N85" s="23">
        <v>0</v>
      </c>
      <c r="O85" s="23">
        <v>0</v>
      </c>
      <c r="P85" s="23">
        <v>0</v>
      </c>
      <c r="Q85" s="185">
        <v>0</v>
      </c>
      <c r="R85" s="108"/>
      <c r="S85" s="173"/>
      <c r="T85" s="23">
        <v>21</v>
      </c>
      <c r="U85" s="23">
        <v>0.5</v>
      </c>
      <c r="V85" s="23">
        <v>0.5</v>
      </c>
      <c r="W85" s="23">
        <v>1</v>
      </c>
      <c r="X85" s="23">
        <v>1</v>
      </c>
      <c r="Y85" s="21"/>
      <c r="Z85" s="21"/>
      <c r="AA85" s="21"/>
      <c r="AB85" s="21"/>
    </row>
    <row r="86" spans="1:28">
      <c r="B86" s="21" t="s">
        <v>159</v>
      </c>
      <c r="C86" s="133">
        <v>20</v>
      </c>
      <c r="D86" s="204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185">
        <v>0</v>
      </c>
      <c r="K86" s="205">
        <v>0</v>
      </c>
      <c r="L86" s="23">
        <v>0</v>
      </c>
      <c r="M86" s="23">
        <v>0</v>
      </c>
      <c r="N86" s="23">
        <v>0</v>
      </c>
      <c r="O86" s="23">
        <v>0</v>
      </c>
      <c r="P86" s="23">
        <v>0</v>
      </c>
      <c r="Q86" s="185">
        <v>0</v>
      </c>
      <c r="R86" s="108"/>
      <c r="S86" s="173"/>
      <c r="Y86" s="21"/>
      <c r="Z86" s="14"/>
      <c r="AA86" s="21"/>
      <c r="AB86" s="21"/>
    </row>
    <row r="87" spans="1:28" ht="13.8" thickBot="1">
      <c r="B87" s="211" t="s">
        <v>160</v>
      </c>
      <c r="C87" s="212">
        <v>21</v>
      </c>
      <c r="D87" s="213">
        <v>0</v>
      </c>
      <c r="E87" s="213" t="s">
        <v>169</v>
      </c>
      <c r="F87" s="213" t="s">
        <v>169</v>
      </c>
      <c r="G87" s="213" t="s">
        <v>169</v>
      </c>
      <c r="H87" s="213" t="s">
        <v>169</v>
      </c>
      <c r="I87" s="213" t="s">
        <v>169</v>
      </c>
      <c r="J87" s="214" t="s">
        <v>169</v>
      </c>
      <c r="K87" s="236"/>
      <c r="L87" s="244"/>
      <c r="M87" s="244"/>
      <c r="N87" s="244"/>
      <c r="O87" s="244"/>
      <c r="P87" s="244"/>
      <c r="Q87" s="245"/>
      <c r="R87" s="239"/>
      <c r="S87" s="240"/>
      <c r="T87" s="224"/>
      <c r="U87" s="224"/>
      <c r="V87" s="224"/>
      <c r="W87" s="224"/>
      <c r="X87" s="224"/>
      <c r="Y87" s="14"/>
      <c r="Z87" s="14"/>
      <c r="AA87" s="14"/>
      <c r="AB87" s="14"/>
    </row>
    <row r="88" spans="1:28" ht="13.8" thickBot="1">
      <c r="T88" s="14"/>
      <c r="U88" s="14"/>
      <c r="V88" s="14"/>
      <c r="Y88" s="14"/>
      <c r="AA88" s="14"/>
      <c r="AB88" s="14"/>
    </row>
    <row r="89" spans="1:28">
      <c r="A89" s="246"/>
      <c r="B89" s="247"/>
      <c r="C89" s="248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4"/>
      <c r="T89" s="14"/>
      <c r="U89" s="14"/>
      <c r="V89" s="14"/>
      <c r="W89" s="14"/>
      <c r="X89" s="14"/>
    </row>
    <row r="90" spans="1:28">
      <c r="A90" s="104"/>
      <c r="B90" s="249" t="s">
        <v>170</v>
      </c>
      <c r="R90" s="108"/>
      <c r="S90" s="14"/>
      <c r="T90" s="14"/>
      <c r="U90" s="14"/>
      <c r="V90" s="14"/>
      <c r="W90" s="14"/>
      <c r="X90" s="14"/>
    </row>
    <row r="91" spans="1:28" ht="13.8" thickBot="1">
      <c r="A91" s="104"/>
      <c r="B91" s="249"/>
      <c r="R91" s="108"/>
      <c r="S91" s="14"/>
      <c r="T91" s="14"/>
      <c r="U91" s="14"/>
      <c r="V91" s="14"/>
      <c r="W91" s="14"/>
      <c r="X91" s="14"/>
      <c r="AB91" s="14"/>
    </row>
    <row r="92" spans="1:28">
      <c r="A92" s="104"/>
      <c r="B92" s="250"/>
      <c r="C92" s="588" t="s">
        <v>171</v>
      </c>
      <c r="D92" s="589"/>
      <c r="E92" s="588" t="s">
        <v>172</v>
      </c>
      <c r="F92" s="590"/>
      <c r="G92" s="591"/>
      <c r="H92" s="589"/>
      <c r="I92" s="588" t="s">
        <v>61</v>
      </c>
      <c r="J92" s="591"/>
      <c r="K92" s="591"/>
      <c r="L92" s="589"/>
      <c r="M92" s="592" t="s">
        <v>173</v>
      </c>
      <c r="N92" s="593"/>
      <c r="O92" s="594"/>
      <c r="P92" s="251" t="s">
        <v>174</v>
      </c>
      <c r="Q92" s="252" t="s">
        <v>175</v>
      </c>
      <c r="R92" s="108"/>
      <c r="S92" s="14"/>
      <c r="T92" s="14"/>
      <c r="U92" s="14"/>
      <c r="V92" s="14"/>
      <c r="W92" s="14"/>
      <c r="X92" s="14"/>
      <c r="Z92" s="14"/>
      <c r="AB92" s="14"/>
    </row>
    <row r="93" spans="1:28" ht="27" thickBot="1">
      <c r="A93" s="104"/>
      <c r="B93" s="253" t="s">
        <v>176</v>
      </c>
      <c r="C93" s="254" t="s">
        <v>177</v>
      </c>
      <c r="D93" s="255" t="s">
        <v>178</v>
      </c>
      <c r="E93" s="254" t="s">
        <v>179</v>
      </c>
      <c r="F93" s="256" t="s">
        <v>180</v>
      </c>
      <c r="G93" s="256" t="s">
        <v>180</v>
      </c>
      <c r="H93" s="255" t="s">
        <v>181</v>
      </c>
      <c r="I93" s="254" t="s">
        <v>179</v>
      </c>
      <c r="J93" s="256" t="s">
        <v>182</v>
      </c>
      <c r="K93" s="256" t="s">
        <v>183</v>
      </c>
      <c r="L93" s="255" t="s">
        <v>184</v>
      </c>
      <c r="M93" s="254" t="s">
        <v>179</v>
      </c>
      <c r="N93" s="256" t="s">
        <v>185</v>
      </c>
      <c r="O93" s="255" t="s">
        <v>186</v>
      </c>
      <c r="P93" s="257" t="s">
        <v>187</v>
      </c>
      <c r="Q93" s="258" t="s">
        <v>184</v>
      </c>
      <c r="R93" s="108"/>
      <c r="S93" s="14"/>
      <c r="Y93" s="14"/>
      <c r="Z93" s="14"/>
      <c r="AA93" s="14"/>
      <c r="AB93" s="14"/>
    </row>
    <row r="94" spans="1:28" ht="13.8" thickBot="1">
      <c r="A94" s="104"/>
      <c r="B94" s="259" t="s">
        <v>188</v>
      </c>
      <c r="C94" s="260">
        <v>1.3</v>
      </c>
      <c r="D94" s="261">
        <v>2.1</v>
      </c>
      <c r="E94" s="260">
        <v>1.3</v>
      </c>
      <c r="F94" s="152">
        <v>2.1</v>
      </c>
      <c r="G94" s="152">
        <v>2.1</v>
      </c>
      <c r="H94" s="261">
        <v>3.5</v>
      </c>
      <c r="I94" s="260">
        <v>1.3</v>
      </c>
      <c r="J94" s="152">
        <v>2.1</v>
      </c>
      <c r="K94" s="152">
        <v>2.1</v>
      </c>
      <c r="L94" s="261">
        <v>3.5</v>
      </c>
      <c r="M94" s="260">
        <v>1.3</v>
      </c>
      <c r="N94" s="152">
        <v>2.1</v>
      </c>
      <c r="O94" s="261">
        <v>2.1</v>
      </c>
      <c r="P94" s="262">
        <v>2.1</v>
      </c>
      <c r="Q94" s="111">
        <v>3.5</v>
      </c>
      <c r="R94" s="108"/>
      <c r="S94" s="14"/>
      <c r="Y94" s="14"/>
      <c r="Z94" s="14"/>
      <c r="AA94" s="14"/>
      <c r="AB94" s="14"/>
    </row>
    <row r="95" spans="1:28">
      <c r="A95" s="10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08"/>
      <c r="S95" s="14"/>
      <c r="Y95" s="14"/>
      <c r="Z95" s="14"/>
      <c r="AA95" s="14"/>
      <c r="AB95" s="14"/>
    </row>
    <row r="96" spans="1:28">
      <c r="A96" s="104"/>
      <c r="B96" s="27" t="s">
        <v>189</v>
      </c>
      <c r="C96" s="263">
        <v>0</v>
      </c>
      <c r="D96" s="27">
        <v>1</v>
      </c>
      <c r="E96" s="27">
        <v>2</v>
      </c>
      <c r="F96" s="27">
        <v>3</v>
      </c>
      <c r="G96" s="27">
        <v>3</v>
      </c>
      <c r="H96" s="27">
        <v>4</v>
      </c>
      <c r="I96" s="27">
        <v>5</v>
      </c>
      <c r="J96" s="14"/>
      <c r="K96" s="14"/>
      <c r="L96" s="14"/>
      <c r="M96" s="14"/>
      <c r="N96" s="14"/>
      <c r="O96" s="14"/>
      <c r="P96" s="14"/>
      <c r="Q96" s="14"/>
      <c r="R96" s="108"/>
      <c r="S96" s="14"/>
      <c r="Y96" s="14"/>
      <c r="Z96" s="14"/>
      <c r="AA96" s="14"/>
      <c r="AB96" s="14"/>
    </row>
    <row r="97" spans="1:28">
      <c r="A97" s="104"/>
      <c r="B97" s="27">
        <v>0.7</v>
      </c>
      <c r="C97" s="28">
        <v>0</v>
      </c>
      <c r="D97" s="23">
        <v>1.3</v>
      </c>
      <c r="E97" s="23">
        <v>1.3</v>
      </c>
      <c r="F97" s="23">
        <v>1.3</v>
      </c>
      <c r="G97" s="23">
        <v>1.3</v>
      </c>
      <c r="H97" s="23">
        <v>1.3</v>
      </c>
      <c r="I97" s="23" t="s">
        <v>190</v>
      </c>
      <c r="J97" s="14"/>
      <c r="K97" s="14"/>
      <c r="L97" s="14"/>
      <c r="M97" s="14"/>
      <c r="N97" s="14"/>
      <c r="O97" s="14"/>
      <c r="P97" s="14"/>
      <c r="Q97" s="14"/>
      <c r="R97" s="108"/>
      <c r="S97" s="14"/>
      <c r="Y97" s="14"/>
      <c r="Z97" s="14"/>
      <c r="AA97" s="14"/>
      <c r="AB97" s="14"/>
    </row>
    <row r="98" spans="1:28">
      <c r="A98" s="104"/>
      <c r="B98" s="27">
        <v>1.2</v>
      </c>
      <c r="C98" s="28">
        <v>0</v>
      </c>
      <c r="D98" s="23">
        <v>2.1</v>
      </c>
      <c r="E98" s="23">
        <v>1.3</v>
      </c>
      <c r="F98" s="23">
        <v>1.3</v>
      </c>
      <c r="G98" s="23">
        <v>1.3</v>
      </c>
      <c r="H98" s="23">
        <v>1.3</v>
      </c>
      <c r="I98" s="23" t="s">
        <v>190</v>
      </c>
      <c r="J98" s="14"/>
      <c r="K98" s="14"/>
      <c r="L98" s="14"/>
      <c r="M98" s="14"/>
      <c r="N98" s="14"/>
      <c r="O98" s="14"/>
      <c r="P98" s="14"/>
      <c r="Q98" s="14"/>
      <c r="R98" s="108"/>
      <c r="S98" s="14"/>
      <c r="Y98" s="14"/>
      <c r="Z98" s="14"/>
      <c r="AA98" s="14"/>
      <c r="AB98" s="14"/>
    </row>
    <row r="99" spans="1:28">
      <c r="A99" s="104"/>
      <c r="B99" s="27">
        <v>2.5</v>
      </c>
      <c r="C99" s="28">
        <v>0</v>
      </c>
      <c r="D99" s="23">
        <v>2.1</v>
      </c>
      <c r="E99" s="23">
        <v>2.1</v>
      </c>
      <c r="F99" s="23">
        <v>2.1</v>
      </c>
      <c r="G99" s="23">
        <v>2.1</v>
      </c>
      <c r="H99" s="23">
        <v>2.1</v>
      </c>
      <c r="I99" s="23" t="s">
        <v>190</v>
      </c>
      <c r="J99" s="14"/>
      <c r="K99" s="14"/>
      <c r="L99" s="14"/>
      <c r="M99" s="14"/>
      <c r="N99" s="14"/>
      <c r="O99" s="14"/>
      <c r="P99" s="14"/>
      <c r="Q99" s="14"/>
      <c r="R99" s="108"/>
      <c r="S99" s="14"/>
      <c r="Y99" s="14"/>
      <c r="Z99" s="14"/>
      <c r="AA99" s="14"/>
      <c r="AB99" s="14"/>
    </row>
    <row r="100" spans="1:28">
      <c r="A100" s="104"/>
      <c r="B100" s="27">
        <v>4.5</v>
      </c>
      <c r="C100" s="28">
        <v>0</v>
      </c>
      <c r="D100" s="23">
        <v>2.1</v>
      </c>
      <c r="E100" s="23">
        <v>3.5</v>
      </c>
      <c r="F100" s="23">
        <v>2.1</v>
      </c>
      <c r="G100" s="23">
        <v>2.1</v>
      </c>
      <c r="H100" s="23">
        <v>2.1</v>
      </c>
      <c r="I100" s="23">
        <v>2.1</v>
      </c>
      <c r="J100" s="14"/>
      <c r="K100" s="14"/>
      <c r="L100" s="14"/>
      <c r="M100" s="14"/>
      <c r="N100" s="14"/>
      <c r="O100" s="14"/>
      <c r="P100" s="14"/>
      <c r="Q100" s="14"/>
      <c r="R100" s="108"/>
      <c r="S100" s="14"/>
      <c r="Y100" s="14"/>
      <c r="Z100" s="14"/>
      <c r="AA100" s="14"/>
      <c r="AB100" s="14"/>
    </row>
    <row r="101" spans="1:28">
      <c r="A101" s="104"/>
      <c r="B101" s="27">
        <v>4.5</v>
      </c>
      <c r="C101" s="28">
        <v>0</v>
      </c>
      <c r="D101" s="23">
        <v>2.1</v>
      </c>
      <c r="E101" s="23">
        <v>3.5</v>
      </c>
      <c r="F101" s="23">
        <v>3.5</v>
      </c>
      <c r="G101" s="23">
        <v>3.5</v>
      </c>
      <c r="H101" s="23">
        <v>2.1</v>
      </c>
      <c r="I101" s="23">
        <v>3.5</v>
      </c>
      <c r="J101" s="14"/>
      <c r="K101" s="14"/>
      <c r="L101" s="14"/>
      <c r="M101" s="14"/>
      <c r="N101" s="14"/>
      <c r="O101" s="14"/>
      <c r="P101" s="14"/>
      <c r="Q101" s="14"/>
      <c r="R101" s="108"/>
      <c r="S101" s="14"/>
      <c r="Y101" s="14"/>
      <c r="Z101" s="14"/>
      <c r="AA101" s="14"/>
      <c r="AB101" s="14"/>
    </row>
    <row r="102" spans="1:28">
      <c r="A102" s="10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08"/>
      <c r="S102" s="14"/>
      <c r="Y102" s="14"/>
      <c r="Z102" s="14"/>
      <c r="AA102" s="14"/>
      <c r="AB102" s="14"/>
    </row>
    <row r="103" spans="1:28">
      <c r="A103" s="10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08"/>
      <c r="S103" s="14"/>
      <c r="Y103" s="14"/>
      <c r="Z103" s="14"/>
      <c r="AA103" s="14"/>
      <c r="AB103" s="14"/>
    </row>
    <row r="104" spans="1:28">
      <c r="A104" s="104"/>
      <c r="R104" s="105"/>
      <c r="Y104" s="14"/>
      <c r="AA104" s="14"/>
      <c r="AB104" s="14"/>
    </row>
    <row r="105" spans="1:28" s="20" customFormat="1" ht="26.4">
      <c r="A105" s="182"/>
      <c r="B105" s="19" t="s">
        <v>191</v>
      </c>
      <c r="C105" s="19" t="s">
        <v>192</v>
      </c>
      <c r="D105" s="19" t="s">
        <v>193</v>
      </c>
      <c r="E105" s="19" t="s">
        <v>56</v>
      </c>
      <c r="F105" s="19"/>
      <c r="G105" s="19" t="s">
        <v>188</v>
      </c>
      <c r="R105" s="181"/>
      <c r="Y105" s="17"/>
      <c r="AA105" s="17"/>
      <c r="AB105" s="17"/>
    </row>
    <row r="106" spans="1:28">
      <c r="A106" s="104"/>
      <c r="B106" s="23">
        <f>Hypothèses!A7</f>
        <v>11</v>
      </c>
      <c r="C106" s="23" t="e">
        <f>Hypothèses!G7</f>
        <v>#N/A</v>
      </c>
      <c r="D106" s="23" t="str">
        <f>Hypothèses!F7</f>
        <v/>
      </c>
      <c r="E106" s="31" t="str">
        <f>Hypothèses!Q7</f>
        <v/>
      </c>
      <c r="F106" s="23" t="e">
        <f>IF($D106&lt;$B$97,HLOOKUP($C106,$C$96:$I$97,2,FALSE),
IF(C106&lt;$B$98,HLOOKUP($C106,$C$96:$I$98,3,FALSE),
IF(C106&lt;$B$99,HLOOKUP($C106,$C$96:$I$99,4,FALSE),
IF(C106&lt;$B$100,HLOOKUP($C106,$C$96:$I$100,5,FALSE),
IF(AND(C106&gt;=$B$101,D106&gt;=80),HLOOKUP($C106,$C$96:$I$101,6,FALSE))
))))</f>
        <v>#N/A</v>
      </c>
      <c r="G106" s="23" t="e">
        <f>IF($D106&lt;$B$97,HLOOKUP($C106,$C$96:$I$97,2,FALSE),
IF(D106&lt;$B$98,HLOOKUP($C106,$C$96:$I$98,3,FALSE),
IF(D106&lt;$B$99,HLOOKUP($C106,$C$96:$I$99,4,FALSE),
IF(D106&lt;$B$100,HLOOKUP($C106,$C$96:$I$100,5,FALSE),
IF(AND(D106&gt;=$B$101,E106&gt;=80),HLOOKUP($C106,$C$96:$I$101,6,FALSE))
))))</f>
        <v>#N/A</v>
      </c>
      <c r="H106" s="15"/>
      <c r="I106" s="15"/>
      <c r="R106" s="105"/>
      <c r="Y106" s="20"/>
      <c r="AA106" s="20"/>
      <c r="AB106" s="20"/>
    </row>
    <row r="107" spans="1:28">
      <c r="A107" s="104"/>
      <c r="B107" s="23">
        <f>Hypothèses!A8</f>
        <v>12</v>
      </c>
      <c r="C107" s="23" t="e">
        <f>Hypothèses!G8</f>
        <v>#N/A</v>
      </c>
      <c r="D107" s="23" t="str">
        <f>Hypothèses!F8</f>
        <v/>
      </c>
      <c r="E107" s="31" t="str">
        <f>Hypothèses!Q8</f>
        <v/>
      </c>
      <c r="F107" s="23" t="e">
        <f t="shared" ref="F107:G115" si="0">IF($D107&lt;$B$97,HLOOKUP($C107,$C$96:$I$97,2,FALSE),
IF(C107&lt;$B$98,HLOOKUP($C107,$C$96:$I$98,3,FALSE),
IF(C107&lt;$B$99,HLOOKUP($C107,$C$96:$I$99,4,FALSE),
IF(C107&lt;$B$100,HLOOKUP($C107,$C$96:$I$100,5,FALSE),
IF(AND(C107&gt;=$B$101,D107&gt;=80),HLOOKUP($C107,$C$96:$I$101,6,FALSE))
))))</f>
        <v>#N/A</v>
      </c>
      <c r="G107" s="23" t="e">
        <f t="shared" si="0"/>
        <v>#N/A</v>
      </c>
      <c r="H107" s="15"/>
      <c r="I107" s="15"/>
      <c r="R107" s="105"/>
    </row>
    <row r="108" spans="1:28">
      <c r="A108" s="104"/>
      <c r="B108" s="23">
        <f>Hypothèses!A9</f>
        <v>13</v>
      </c>
      <c r="C108" s="23" t="e">
        <f>Hypothèses!G9</f>
        <v>#N/A</v>
      </c>
      <c r="D108" s="23" t="str">
        <f>Hypothèses!F9</f>
        <v/>
      </c>
      <c r="E108" s="31" t="str">
        <f>Hypothèses!Q9</f>
        <v/>
      </c>
      <c r="F108" s="23" t="e">
        <f t="shared" si="0"/>
        <v>#N/A</v>
      </c>
      <c r="G108" s="23" t="e">
        <f t="shared" si="0"/>
        <v>#N/A</v>
      </c>
      <c r="R108" s="105"/>
    </row>
    <row r="109" spans="1:28">
      <c r="A109" s="104"/>
      <c r="B109" s="23">
        <f>Hypothèses!A10</f>
        <v>14</v>
      </c>
      <c r="C109" s="23" t="e">
        <f>Hypothèses!G10</f>
        <v>#N/A</v>
      </c>
      <c r="D109" s="23" t="str">
        <f>Hypothèses!F10</f>
        <v/>
      </c>
      <c r="E109" s="31" t="str">
        <f>Hypothèses!Q10</f>
        <v/>
      </c>
      <c r="F109" s="23" t="e">
        <f t="shared" si="0"/>
        <v>#N/A</v>
      </c>
      <c r="G109" s="23" t="e">
        <f t="shared" si="0"/>
        <v>#N/A</v>
      </c>
      <c r="R109" s="105"/>
    </row>
    <row r="110" spans="1:28">
      <c r="A110" s="104"/>
      <c r="B110" s="23">
        <f>Hypothèses!A11</f>
        <v>15</v>
      </c>
      <c r="C110" s="23" t="e">
        <f>Hypothèses!G11</f>
        <v>#N/A</v>
      </c>
      <c r="D110" s="23" t="str">
        <f>Hypothèses!F11</f>
        <v/>
      </c>
      <c r="E110" s="31" t="str">
        <f>Hypothèses!Q11</f>
        <v/>
      </c>
      <c r="F110" s="23" t="e">
        <f t="shared" si="0"/>
        <v>#N/A</v>
      </c>
      <c r="G110" s="23" t="e">
        <f t="shared" si="0"/>
        <v>#N/A</v>
      </c>
      <c r="R110" s="105"/>
    </row>
    <row r="111" spans="1:28">
      <c r="A111" s="104"/>
      <c r="B111" s="23">
        <f>Hypothèses!A12</f>
        <v>16</v>
      </c>
      <c r="C111" s="23" t="e">
        <f>Hypothèses!G12</f>
        <v>#N/A</v>
      </c>
      <c r="D111" s="23" t="str">
        <f>Hypothèses!F12</f>
        <v/>
      </c>
      <c r="E111" s="31" t="str">
        <f>Hypothèses!Q12</f>
        <v/>
      </c>
      <c r="F111" s="23" t="e">
        <f t="shared" si="0"/>
        <v>#N/A</v>
      </c>
      <c r="G111" s="23" t="e">
        <f t="shared" si="0"/>
        <v>#N/A</v>
      </c>
      <c r="R111" s="105"/>
    </row>
    <row r="112" spans="1:28">
      <c r="A112" s="104"/>
      <c r="B112" s="23">
        <f>Hypothèses!A13</f>
        <v>17</v>
      </c>
      <c r="C112" s="23" t="e">
        <f>Hypothèses!G13</f>
        <v>#N/A</v>
      </c>
      <c r="D112" s="23" t="str">
        <f>Hypothèses!F13</f>
        <v/>
      </c>
      <c r="E112" s="31" t="str">
        <f>Hypothèses!Q13</f>
        <v/>
      </c>
      <c r="F112" s="23" t="e">
        <f t="shared" si="0"/>
        <v>#N/A</v>
      </c>
      <c r="G112" s="23" t="e">
        <f t="shared" si="0"/>
        <v>#N/A</v>
      </c>
      <c r="R112" s="105"/>
    </row>
    <row r="113" spans="1:18">
      <c r="A113" s="104"/>
      <c r="B113" s="23">
        <f>Hypothèses!A14</f>
        <v>18</v>
      </c>
      <c r="C113" s="23" t="e">
        <f>Hypothèses!G14</f>
        <v>#N/A</v>
      </c>
      <c r="D113" s="23" t="str">
        <f>Hypothèses!F14</f>
        <v/>
      </c>
      <c r="E113" s="31" t="str">
        <f>Hypothèses!Q14</f>
        <v/>
      </c>
      <c r="F113" s="23" t="e">
        <f t="shared" si="0"/>
        <v>#N/A</v>
      </c>
      <c r="G113" s="23" t="e">
        <f t="shared" si="0"/>
        <v>#N/A</v>
      </c>
      <c r="R113" s="105"/>
    </row>
    <row r="114" spans="1:18">
      <c r="A114" s="104"/>
      <c r="B114" s="23">
        <f>Hypothèses!A15</f>
        <v>19</v>
      </c>
      <c r="C114" s="23" t="e">
        <f>Hypothèses!G15</f>
        <v>#N/A</v>
      </c>
      <c r="D114" s="23" t="str">
        <f>Hypothèses!F15</f>
        <v/>
      </c>
      <c r="E114" s="31" t="str">
        <f>Hypothèses!Q15</f>
        <v/>
      </c>
      <c r="F114" s="23" t="e">
        <f t="shared" si="0"/>
        <v>#N/A</v>
      </c>
      <c r="G114" s="23" t="e">
        <f t="shared" si="0"/>
        <v>#N/A</v>
      </c>
      <c r="R114" s="105"/>
    </row>
    <row r="115" spans="1:18">
      <c r="A115" s="104"/>
      <c r="B115" s="23">
        <f>Hypothèses!A16</f>
        <v>110</v>
      </c>
      <c r="C115" s="23" t="e">
        <f>Hypothèses!G16</f>
        <v>#N/A</v>
      </c>
      <c r="D115" s="23" t="str">
        <f>Hypothèses!F16</f>
        <v/>
      </c>
      <c r="E115" s="31" t="str">
        <f>Hypothèses!Q16</f>
        <v/>
      </c>
      <c r="F115" s="23" t="e">
        <f t="shared" si="0"/>
        <v>#N/A</v>
      </c>
      <c r="G115" s="23" t="e">
        <f t="shared" si="0"/>
        <v>#N/A</v>
      </c>
      <c r="R115" s="105"/>
    </row>
    <row r="116" spans="1:18">
      <c r="A116" s="104"/>
      <c r="B116" s="23">
        <f>Hypothèses!A17</f>
        <v>111</v>
      </c>
      <c r="C116" s="14"/>
      <c r="D116" s="14"/>
      <c r="E116" s="103"/>
      <c r="F116" s="103"/>
      <c r="G116" s="14"/>
      <c r="R116" s="105"/>
    </row>
    <row r="117" spans="1:18">
      <c r="A117" s="104"/>
      <c r="B117" s="23">
        <f>Hypothèses!A20</f>
        <v>0</v>
      </c>
      <c r="C117" s="14"/>
      <c r="D117" s="14"/>
      <c r="E117" s="103"/>
      <c r="F117" s="103"/>
      <c r="G117" s="14"/>
      <c r="R117" s="105"/>
    </row>
    <row r="118" spans="1:18" ht="13.8" thickBot="1">
      <c r="A118" s="170"/>
      <c r="B118" s="264"/>
      <c r="C118" s="265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2"/>
    </row>
  </sheetData>
  <mergeCells count="12">
    <mergeCell ref="AA3:AB3"/>
    <mergeCell ref="C2:J2"/>
    <mergeCell ref="K2:Q2"/>
    <mergeCell ref="U3:V3"/>
    <mergeCell ref="W3:X3"/>
    <mergeCell ref="Y3:Z3"/>
    <mergeCell ref="U4:X4"/>
    <mergeCell ref="Y4:AB4"/>
    <mergeCell ref="C92:D92"/>
    <mergeCell ref="E92:H92"/>
    <mergeCell ref="I92:L92"/>
    <mergeCell ref="M92:O9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3"/>
  <dimension ref="A4:AE56"/>
  <sheetViews>
    <sheetView showGridLines="0" zoomScale="85" zoomScaleNormal="85" workbookViewId="0">
      <selection activeCell="U19" sqref="U19"/>
    </sheetView>
  </sheetViews>
  <sheetFormatPr baseColWidth="10" defaultRowHeight="13.2"/>
  <cols>
    <col min="1" max="1" width="11.44140625" style="17"/>
    <col min="2" max="2" width="10.6640625" style="17" hidden="1" customWidth="1"/>
    <col min="3" max="3" width="10.6640625" style="17" customWidth="1"/>
    <col min="4" max="4" width="10.6640625" style="17" hidden="1" customWidth="1"/>
    <col min="5" max="11" width="10.6640625" style="17" customWidth="1"/>
    <col min="12" max="257" width="11.44140625" style="17"/>
    <col min="258" max="258" width="0" style="17" hidden="1" customWidth="1"/>
    <col min="259" max="259" width="10.6640625" style="17" customWidth="1"/>
    <col min="260" max="260" width="0" style="17" hidden="1" customWidth="1"/>
    <col min="261" max="267" width="10.6640625" style="17" customWidth="1"/>
    <col min="268" max="513" width="11.44140625" style="17"/>
    <col min="514" max="514" width="0" style="17" hidden="1" customWidth="1"/>
    <col min="515" max="515" width="10.6640625" style="17" customWidth="1"/>
    <col min="516" max="516" width="0" style="17" hidden="1" customWidth="1"/>
    <col min="517" max="523" width="10.6640625" style="17" customWidth="1"/>
    <col min="524" max="769" width="11.44140625" style="17"/>
    <col min="770" max="770" width="0" style="17" hidden="1" customWidth="1"/>
    <col min="771" max="771" width="10.6640625" style="17" customWidth="1"/>
    <col min="772" max="772" width="0" style="17" hidden="1" customWidth="1"/>
    <col min="773" max="779" width="10.6640625" style="17" customWidth="1"/>
    <col min="780" max="1025" width="11.44140625" style="17"/>
    <col min="1026" max="1026" width="0" style="17" hidden="1" customWidth="1"/>
    <col min="1027" max="1027" width="10.6640625" style="17" customWidth="1"/>
    <col min="1028" max="1028" width="0" style="17" hidden="1" customWidth="1"/>
    <col min="1029" max="1035" width="10.6640625" style="17" customWidth="1"/>
    <col min="1036" max="1281" width="11.44140625" style="17"/>
    <col min="1282" max="1282" width="0" style="17" hidden="1" customWidth="1"/>
    <col min="1283" max="1283" width="10.6640625" style="17" customWidth="1"/>
    <col min="1284" max="1284" width="0" style="17" hidden="1" customWidth="1"/>
    <col min="1285" max="1291" width="10.6640625" style="17" customWidth="1"/>
    <col min="1292" max="1537" width="11.44140625" style="17"/>
    <col min="1538" max="1538" width="0" style="17" hidden="1" customWidth="1"/>
    <col min="1539" max="1539" width="10.6640625" style="17" customWidth="1"/>
    <col min="1540" max="1540" width="0" style="17" hidden="1" customWidth="1"/>
    <col min="1541" max="1547" width="10.6640625" style="17" customWidth="1"/>
    <col min="1548" max="1793" width="11.44140625" style="17"/>
    <col min="1794" max="1794" width="0" style="17" hidden="1" customWidth="1"/>
    <col min="1795" max="1795" width="10.6640625" style="17" customWidth="1"/>
    <col min="1796" max="1796" width="0" style="17" hidden="1" customWidth="1"/>
    <col min="1797" max="1803" width="10.6640625" style="17" customWidth="1"/>
    <col min="1804" max="2049" width="11.44140625" style="17"/>
    <col min="2050" max="2050" width="0" style="17" hidden="1" customWidth="1"/>
    <col min="2051" max="2051" width="10.6640625" style="17" customWidth="1"/>
    <col min="2052" max="2052" width="0" style="17" hidden="1" customWidth="1"/>
    <col min="2053" max="2059" width="10.6640625" style="17" customWidth="1"/>
    <col min="2060" max="2305" width="11.44140625" style="17"/>
    <col min="2306" max="2306" width="0" style="17" hidden="1" customWidth="1"/>
    <col min="2307" max="2307" width="10.6640625" style="17" customWidth="1"/>
    <col min="2308" max="2308" width="0" style="17" hidden="1" customWidth="1"/>
    <col min="2309" max="2315" width="10.6640625" style="17" customWidth="1"/>
    <col min="2316" max="2561" width="11.44140625" style="17"/>
    <col min="2562" max="2562" width="0" style="17" hidden="1" customWidth="1"/>
    <col min="2563" max="2563" width="10.6640625" style="17" customWidth="1"/>
    <col min="2564" max="2564" width="0" style="17" hidden="1" customWidth="1"/>
    <col min="2565" max="2571" width="10.6640625" style="17" customWidth="1"/>
    <col min="2572" max="2817" width="11.44140625" style="17"/>
    <col min="2818" max="2818" width="0" style="17" hidden="1" customWidth="1"/>
    <col min="2819" max="2819" width="10.6640625" style="17" customWidth="1"/>
    <col min="2820" max="2820" width="0" style="17" hidden="1" customWidth="1"/>
    <col min="2821" max="2827" width="10.6640625" style="17" customWidth="1"/>
    <col min="2828" max="3073" width="11.44140625" style="17"/>
    <col min="3074" max="3074" width="0" style="17" hidden="1" customWidth="1"/>
    <col min="3075" max="3075" width="10.6640625" style="17" customWidth="1"/>
    <col min="3076" max="3076" width="0" style="17" hidden="1" customWidth="1"/>
    <col min="3077" max="3083" width="10.6640625" style="17" customWidth="1"/>
    <col min="3084" max="3329" width="11.44140625" style="17"/>
    <col min="3330" max="3330" width="0" style="17" hidden="1" customWidth="1"/>
    <col min="3331" max="3331" width="10.6640625" style="17" customWidth="1"/>
    <col min="3332" max="3332" width="0" style="17" hidden="1" customWidth="1"/>
    <col min="3333" max="3339" width="10.6640625" style="17" customWidth="1"/>
    <col min="3340" max="3585" width="11.44140625" style="17"/>
    <col min="3586" max="3586" width="0" style="17" hidden="1" customWidth="1"/>
    <col min="3587" max="3587" width="10.6640625" style="17" customWidth="1"/>
    <col min="3588" max="3588" width="0" style="17" hidden="1" customWidth="1"/>
    <col min="3589" max="3595" width="10.6640625" style="17" customWidth="1"/>
    <col min="3596" max="3841" width="11.44140625" style="17"/>
    <col min="3842" max="3842" width="0" style="17" hidden="1" customWidth="1"/>
    <col min="3843" max="3843" width="10.6640625" style="17" customWidth="1"/>
    <col min="3844" max="3844" width="0" style="17" hidden="1" customWidth="1"/>
    <col min="3845" max="3851" width="10.6640625" style="17" customWidth="1"/>
    <col min="3852" max="4097" width="11.44140625" style="17"/>
    <col min="4098" max="4098" width="0" style="17" hidden="1" customWidth="1"/>
    <col min="4099" max="4099" width="10.6640625" style="17" customWidth="1"/>
    <col min="4100" max="4100" width="0" style="17" hidden="1" customWidth="1"/>
    <col min="4101" max="4107" width="10.6640625" style="17" customWidth="1"/>
    <col min="4108" max="4353" width="11.44140625" style="17"/>
    <col min="4354" max="4354" width="0" style="17" hidden="1" customWidth="1"/>
    <col min="4355" max="4355" width="10.6640625" style="17" customWidth="1"/>
    <col min="4356" max="4356" width="0" style="17" hidden="1" customWidth="1"/>
    <col min="4357" max="4363" width="10.6640625" style="17" customWidth="1"/>
    <col min="4364" max="4609" width="11.44140625" style="17"/>
    <col min="4610" max="4610" width="0" style="17" hidden="1" customWidth="1"/>
    <col min="4611" max="4611" width="10.6640625" style="17" customWidth="1"/>
    <col min="4612" max="4612" width="0" style="17" hidden="1" customWidth="1"/>
    <col min="4613" max="4619" width="10.6640625" style="17" customWidth="1"/>
    <col min="4620" max="4865" width="11.44140625" style="17"/>
    <col min="4866" max="4866" width="0" style="17" hidden="1" customWidth="1"/>
    <col min="4867" max="4867" width="10.6640625" style="17" customWidth="1"/>
    <col min="4868" max="4868" width="0" style="17" hidden="1" customWidth="1"/>
    <col min="4869" max="4875" width="10.6640625" style="17" customWidth="1"/>
    <col min="4876" max="5121" width="11.44140625" style="17"/>
    <col min="5122" max="5122" width="0" style="17" hidden="1" customWidth="1"/>
    <col min="5123" max="5123" width="10.6640625" style="17" customWidth="1"/>
    <col min="5124" max="5124" width="0" style="17" hidden="1" customWidth="1"/>
    <col min="5125" max="5131" width="10.6640625" style="17" customWidth="1"/>
    <col min="5132" max="5377" width="11.44140625" style="17"/>
    <col min="5378" max="5378" width="0" style="17" hidden="1" customWidth="1"/>
    <col min="5379" max="5379" width="10.6640625" style="17" customWidth="1"/>
    <col min="5380" max="5380" width="0" style="17" hidden="1" customWidth="1"/>
    <col min="5381" max="5387" width="10.6640625" style="17" customWidth="1"/>
    <col min="5388" max="5633" width="11.44140625" style="17"/>
    <col min="5634" max="5634" width="0" style="17" hidden="1" customWidth="1"/>
    <col min="5635" max="5635" width="10.6640625" style="17" customWidth="1"/>
    <col min="5636" max="5636" width="0" style="17" hidden="1" customWidth="1"/>
    <col min="5637" max="5643" width="10.6640625" style="17" customWidth="1"/>
    <col min="5644" max="5889" width="11.44140625" style="17"/>
    <col min="5890" max="5890" width="0" style="17" hidden="1" customWidth="1"/>
    <col min="5891" max="5891" width="10.6640625" style="17" customWidth="1"/>
    <col min="5892" max="5892" width="0" style="17" hidden="1" customWidth="1"/>
    <col min="5893" max="5899" width="10.6640625" style="17" customWidth="1"/>
    <col min="5900" max="6145" width="11.44140625" style="17"/>
    <col min="6146" max="6146" width="0" style="17" hidden="1" customWidth="1"/>
    <col min="6147" max="6147" width="10.6640625" style="17" customWidth="1"/>
    <col min="6148" max="6148" width="0" style="17" hidden="1" customWidth="1"/>
    <col min="6149" max="6155" width="10.6640625" style="17" customWidth="1"/>
    <col min="6156" max="6401" width="11.44140625" style="17"/>
    <col min="6402" max="6402" width="0" style="17" hidden="1" customWidth="1"/>
    <col min="6403" max="6403" width="10.6640625" style="17" customWidth="1"/>
    <col min="6404" max="6404" width="0" style="17" hidden="1" customWidth="1"/>
    <col min="6405" max="6411" width="10.6640625" style="17" customWidth="1"/>
    <col min="6412" max="6657" width="11.44140625" style="17"/>
    <col min="6658" max="6658" width="0" style="17" hidden="1" customWidth="1"/>
    <col min="6659" max="6659" width="10.6640625" style="17" customWidth="1"/>
    <col min="6660" max="6660" width="0" style="17" hidden="1" customWidth="1"/>
    <col min="6661" max="6667" width="10.6640625" style="17" customWidth="1"/>
    <col min="6668" max="6913" width="11.44140625" style="17"/>
    <col min="6914" max="6914" width="0" style="17" hidden="1" customWidth="1"/>
    <col min="6915" max="6915" width="10.6640625" style="17" customWidth="1"/>
    <col min="6916" max="6916" width="0" style="17" hidden="1" customWidth="1"/>
    <col min="6917" max="6923" width="10.6640625" style="17" customWidth="1"/>
    <col min="6924" max="7169" width="11.44140625" style="17"/>
    <col min="7170" max="7170" width="0" style="17" hidden="1" customWidth="1"/>
    <col min="7171" max="7171" width="10.6640625" style="17" customWidth="1"/>
    <col min="7172" max="7172" width="0" style="17" hidden="1" customWidth="1"/>
    <col min="7173" max="7179" width="10.6640625" style="17" customWidth="1"/>
    <col min="7180" max="7425" width="11.44140625" style="17"/>
    <col min="7426" max="7426" width="0" style="17" hidden="1" customWidth="1"/>
    <col min="7427" max="7427" width="10.6640625" style="17" customWidth="1"/>
    <col min="7428" max="7428" width="0" style="17" hidden="1" customWidth="1"/>
    <col min="7429" max="7435" width="10.6640625" style="17" customWidth="1"/>
    <col min="7436" max="7681" width="11.44140625" style="17"/>
    <col min="7682" max="7682" width="0" style="17" hidden="1" customWidth="1"/>
    <col min="7683" max="7683" width="10.6640625" style="17" customWidth="1"/>
    <col min="7684" max="7684" width="0" style="17" hidden="1" customWidth="1"/>
    <col min="7685" max="7691" width="10.6640625" style="17" customWidth="1"/>
    <col min="7692" max="7937" width="11.44140625" style="17"/>
    <col min="7938" max="7938" width="0" style="17" hidden="1" customWidth="1"/>
    <col min="7939" max="7939" width="10.6640625" style="17" customWidth="1"/>
    <col min="7940" max="7940" width="0" style="17" hidden="1" customWidth="1"/>
    <col min="7941" max="7947" width="10.6640625" style="17" customWidth="1"/>
    <col min="7948" max="8193" width="11.44140625" style="17"/>
    <col min="8194" max="8194" width="0" style="17" hidden="1" customWidth="1"/>
    <col min="8195" max="8195" width="10.6640625" style="17" customWidth="1"/>
    <col min="8196" max="8196" width="0" style="17" hidden="1" customWidth="1"/>
    <col min="8197" max="8203" width="10.6640625" style="17" customWidth="1"/>
    <col min="8204" max="8449" width="11.44140625" style="17"/>
    <col min="8450" max="8450" width="0" style="17" hidden="1" customWidth="1"/>
    <col min="8451" max="8451" width="10.6640625" style="17" customWidth="1"/>
    <col min="8452" max="8452" width="0" style="17" hidden="1" customWidth="1"/>
    <col min="8453" max="8459" width="10.6640625" style="17" customWidth="1"/>
    <col min="8460" max="8705" width="11.44140625" style="17"/>
    <col min="8706" max="8706" width="0" style="17" hidden="1" customWidth="1"/>
    <col min="8707" max="8707" width="10.6640625" style="17" customWidth="1"/>
    <col min="8708" max="8708" width="0" style="17" hidden="1" customWidth="1"/>
    <col min="8709" max="8715" width="10.6640625" style="17" customWidth="1"/>
    <col min="8716" max="8961" width="11.44140625" style="17"/>
    <col min="8962" max="8962" width="0" style="17" hidden="1" customWidth="1"/>
    <col min="8963" max="8963" width="10.6640625" style="17" customWidth="1"/>
    <col min="8964" max="8964" width="0" style="17" hidden="1" customWidth="1"/>
    <col min="8965" max="8971" width="10.6640625" style="17" customWidth="1"/>
    <col min="8972" max="9217" width="11.44140625" style="17"/>
    <col min="9218" max="9218" width="0" style="17" hidden="1" customWidth="1"/>
    <col min="9219" max="9219" width="10.6640625" style="17" customWidth="1"/>
    <col min="9220" max="9220" width="0" style="17" hidden="1" customWidth="1"/>
    <col min="9221" max="9227" width="10.6640625" style="17" customWidth="1"/>
    <col min="9228" max="9473" width="11.44140625" style="17"/>
    <col min="9474" max="9474" width="0" style="17" hidden="1" customWidth="1"/>
    <col min="9475" max="9475" width="10.6640625" style="17" customWidth="1"/>
    <col min="9476" max="9476" width="0" style="17" hidden="1" customWidth="1"/>
    <col min="9477" max="9483" width="10.6640625" style="17" customWidth="1"/>
    <col min="9484" max="9729" width="11.44140625" style="17"/>
    <col min="9730" max="9730" width="0" style="17" hidden="1" customWidth="1"/>
    <col min="9731" max="9731" width="10.6640625" style="17" customWidth="1"/>
    <col min="9732" max="9732" width="0" style="17" hidden="1" customWidth="1"/>
    <col min="9733" max="9739" width="10.6640625" style="17" customWidth="1"/>
    <col min="9740" max="9985" width="11.44140625" style="17"/>
    <col min="9986" max="9986" width="0" style="17" hidden="1" customWidth="1"/>
    <col min="9987" max="9987" width="10.6640625" style="17" customWidth="1"/>
    <col min="9988" max="9988" width="0" style="17" hidden="1" customWidth="1"/>
    <col min="9989" max="9995" width="10.6640625" style="17" customWidth="1"/>
    <col min="9996" max="10241" width="11.44140625" style="17"/>
    <col min="10242" max="10242" width="0" style="17" hidden="1" customWidth="1"/>
    <col min="10243" max="10243" width="10.6640625" style="17" customWidth="1"/>
    <col min="10244" max="10244" width="0" style="17" hidden="1" customWidth="1"/>
    <col min="10245" max="10251" width="10.6640625" style="17" customWidth="1"/>
    <col min="10252" max="10497" width="11.44140625" style="17"/>
    <col min="10498" max="10498" width="0" style="17" hidden="1" customWidth="1"/>
    <col min="10499" max="10499" width="10.6640625" style="17" customWidth="1"/>
    <col min="10500" max="10500" width="0" style="17" hidden="1" customWidth="1"/>
    <col min="10501" max="10507" width="10.6640625" style="17" customWidth="1"/>
    <col min="10508" max="10753" width="11.44140625" style="17"/>
    <col min="10754" max="10754" width="0" style="17" hidden="1" customWidth="1"/>
    <col min="10755" max="10755" width="10.6640625" style="17" customWidth="1"/>
    <col min="10756" max="10756" width="0" style="17" hidden="1" customWidth="1"/>
    <col min="10757" max="10763" width="10.6640625" style="17" customWidth="1"/>
    <col min="10764" max="11009" width="11.44140625" style="17"/>
    <col min="11010" max="11010" width="0" style="17" hidden="1" customWidth="1"/>
    <col min="11011" max="11011" width="10.6640625" style="17" customWidth="1"/>
    <col min="11012" max="11012" width="0" style="17" hidden="1" customWidth="1"/>
    <col min="11013" max="11019" width="10.6640625" style="17" customWidth="1"/>
    <col min="11020" max="11265" width="11.44140625" style="17"/>
    <col min="11266" max="11266" width="0" style="17" hidden="1" customWidth="1"/>
    <col min="11267" max="11267" width="10.6640625" style="17" customWidth="1"/>
    <col min="11268" max="11268" width="0" style="17" hidden="1" customWidth="1"/>
    <col min="11269" max="11275" width="10.6640625" style="17" customWidth="1"/>
    <col min="11276" max="11521" width="11.44140625" style="17"/>
    <col min="11522" max="11522" width="0" style="17" hidden="1" customWidth="1"/>
    <col min="11523" max="11523" width="10.6640625" style="17" customWidth="1"/>
    <col min="11524" max="11524" width="0" style="17" hidden="1" customWidth="1"/>
    <col min="11525" max="11531" width="10.6640625" style="17" customWidth="1"/>
    <col min="11532" max="11777" width="11.44140625" style="17"/>
    <col min="11778" max="11778" width="0" style="17" hidden="1" customWidth="1"/>
    <col min="11779" max="11779" width="10.6640625" style="17" customWidth="1"/>
    <col min="11780" max="11780" width="0" style="17" hidden="1" customWidth="1"/>
    <col min="11781" max="11787" width="10.6640625" style="17" customWidth="1"/>
    <col min="11788" max="12033" width="11.44140625" style="17"/>
    <col min="12034" max="12034" width="0" style="17" hidden="1" customWidth="1"/>
    <col min="12035" max="12035" width="10.6640625" style="17" customWidth="1"/>
    <col min="12036" max="12036" width="0" style="17" hidden="1" customWidth="1"/>
    <col min="12037" max="12043" width="10.6640625" style="17" customWidth="1"/>
    <col min="12044" max="12289" width="11.44140625" style="17"/>
    <col min="12290" max="12290" width="0" style="17" hidden="1" customWidth="1"/>
    <col min="12291" max="12291" width="10.6640625" style="17" customWidth="1"/>
    <col min="12292" max="12292" width="0" style="17" hidden="1" customWidth="1"/>
    <col min="12293" max="12299" width="10.6640625" style="17" customWidth="1"/>
    <col min="12300" max="12545" width="11.44140625" style="17"/>
    <col min="12546" max="12546" width="0" style="17" hidden="1" customWidth="1"/>
    <col min="12547" max="12547" width="10.6640625" style="17" customWidth="1"/>
    <col min="12548" max="12548" width="0" style="17" hidden="1" customWidth="1"/>
    <col min="12549" max="12555" width="10.6640625" style="17" customWidth="1"/>
    <col min="12556" max="12801" width="11.44140625" style="17"/>
    <col min="12802" max="12802" width="0" style="17" hidden="1" customWidth="1"/>
    <col min="12803" max="12803" width="10.6640625" style="17" customWidth="1"/>
    <col min="12804" max="12804" width="0" style="17" hidden="1" customWidth="1"/>
    <col min="12805" max="12811" width="10.6640625" style="17" customWidth="1"/>
    <col min="12812" max="13057" width="11.44140625" style="17"/>
    <col min="13058" max="13058" width="0" style="17" hidden="1" customWidth="1"/>
    <col min="13059" max="13059" width="10.6640625" style="17" customWidth="1"/>
    <col min="13060" max="13060" width="0" style="17" hidden="1" customWidth="1"/>
    <col min="13061" max="13067" width="10.6640625" style="17" customWidth="1"/>
    <col min="13068" max="13313" width="11.44140625" style="17"/>
    <col min="13314" max="13314" width="0" style="17" hidden="1" customWidth="1"/>
    <col min="13315" max="13315" width="10.6640625" style="17" customWidth="1"/>
    <col min="13316" max="13316" width="0" style="17" hidden="1" customWidth="1"/>
    <col min="13317" max="13323" width="10.6640625" style="17" customWidth="1"/>
    <col min="13324" max="13569" width="11.44140625" style="17"/>
    <col min="13570" max="13570" width="0" style="17" hidden="1" customWidth="1"/>
    <col min="13571" max="13571" width="10.6640625" style="17" customWidth="1"/>
    <col min="13572" max="13572" width="0" style="17" hidden="1" customWidth="1"/>
    <col min="13573" max="13579" width="10.6640625" style="17" customWidth="1"/>
    <col min="13580" max="13825" width="11.44140625" style="17"/>
    <col min="13826" max="13826" width="0" style="17" hidden="1" customWidth="1"/>
    <col min="13827" max="13827" width="10.6640625" style="17" customWidth="1"/>
    <col min="13828" max="13828" width="0" style="17" hidden="1" customWidth="1"/>
    <col min="13829" max="13835" width="10.6640625" style="17" customWidth="1"/>
    <col min="13836" max="14081" width="11.44140625" style="17"/>
    <col min="14082" max="14082" width="0" style="17" hidden="1" customWidth="1"/>
    <col min="14083" max="14083" width="10.6640625" style="17" customWidth="1"/>
    <col min="14084" max="14084" width="0" style="17" hidden="1" customWidth="1"/>
    <col min="14085" max="14091" width="10.6640625" style="17" customWidth="1"/>
    <col min="14092" max="14337" width="11.44140625" style="17"/>
    <col min="14338" max="14338" width="0" style="17" hidden="1" customWidth="1"/>
    <col min="14339" max="14339" width="10.6640625" style="17" customWidth="1"/>
    <col min="14340" max="14340" width="0" style="17" hidden="1" customWidth="1"/>
    <col min="14341" max="14347" width="10.6640625" style="17" customWidth="1"/>
    <col min="14348" max="14593" width="11.44140625" style="17"/>
    <col min="14594" max="14594" width="0" style="17" hidden="1" customWidth="1"/>
    <col min="14595" max="14595" width="10.6640625" style="17" customWidth="1"/>
    <col min="14596" max="14596" width="0" style="17" hidden="1" customWidth="1"/>
    <col min="14597" max="14603" width="10.6640625" style="17" customWidth="1"/>
    <col min="14604" max="14849" width="11.44140625" style="17"/>
    <col min="14850" max="14850" width="0" style="17" hidden="1" customWidth="1"/>
    <col min="14851" max="14851" width="10.6640625" style="17" customWidth="1"/>
    <col min="14852" max="14852" width="0" style="17" hidden="1" customWidth="1"/>
    <col min="14853" max="14859" width="10.6640625" style="17" customWidth="1"/>
    <col min="14860" max="15105" width="11.44140625" style="17"/>
    <col min="15106" max="15106" width="0" style="17" hidden="1" customWidth="1"/>
    <col min="15107" max="15107" width="10.6640625" style="17" customWidth="1"/>
    <col min="15108" max="15108" width="0" style="17" hidden="1" customWidth="1"/>
    <col min="15109" max="15115" width="10.6640625" style="17" customWidth="1"/>
    <col min="15116" max="15361" width="11.44140625" style="17"/>
    <col min="15362" max="15362" width="0" style="17" hidden="1" customWidth="1"/>
    <col min="15363" max="15363" width="10.6640625" style="17" customWidth="1"/>
    <col min="15364" max="15364" width="0" style="17" hidden="1" customWidth="1"/>
    <col min="15365" max="15371" width="10.6640625" style="17" customWidth="1"/>
    <col min="15372" max="15617" width="11.44140625" style="17"/>
    <col min="15618" max="15618" width="0" style="17" hidden="1" customWidth="1"/>
    <col min="15619" max="15619" width="10.6640625" style="17" customWidth="1"/>
    <col min="15620" max="15620" width="0" style="17" hidden="1" customWidth="1"/>
    <col min="15621" max="15627" width="10.6640625" style="17" customWidth="1"/>
    <col min="15628" max="15873" width="11.44140625" style="17"/>
    <col min="15874" max="15874" width="0" style="17" hidden="1" customWidth="1"/>
    <col min="15875" max="15875" width="10.6640625" style="17" customWidth="1"/>
    <col min="15876" max="15876" width="0" style="17" hidden="1" customWidth="1"/>
    <col min="15877" max="15883" width="10.6640625" style="17" customWidth="1"/>
    <col min="15884" max="16129" width="11.44140625" style="17"/>
    <col min="16130" max="16130" width="0" style="17" hidden="1" customWidth="1"/>
    <col min="16131" max="16131" width="10.6640625" style="17" customWidth="1"/>
    <col min="16132" max="16132" width="0" style="17" hidden="1" customWidth="1"/>
    <col min="16133" max="16139" width="10.6640625" style="17" customWidth="1"/>
    <col min="16140" max="16384" width="11.44140625" style="17"/>
  </cols>
  <sheetData>
    <row r="4" spans="2:15">
      <c r="B4" s="487" t="s">
        <v>373</v>
      </c>
    </row>
    <row r="5" spans="2:15">
      <c r="B5" s="132" t="s">
        <v>374</v>
      </c>
      <c r="C5" s="132"/>
      <c r="D5" s="132"/>
      <c r="E5" s="132">
        <v>0.72</v>
      </c>
      <c r="G5" s="132" t="s">
        <v>375</v>
      </c>
      <c r="H5" s="132" t="s">
        <v>376</v>
      </c>
      <c r="I5" s="132" t="s">
        <v>377</v>
      </c>
    </row>
    <row r="6" spans="2:15">
      <c r="B6" s="132" t="s">
        <v>378</v>
      </c>
      <c r="C6" s="132"/>
      <c r="D6" s="132"/>
      <c r="E6" s="132">
        <v>1.02</v>
      </c>
      <c r="G6" s="496">
        <v>0.86</v>
      </c>
      <c r="H6" s="496">
        <v>0</v>
      </c>
      <c r="I6" s="132">
        <f>(G6+H6)/2</f>
        <v>0.43</v>
      </c>
    </row>
    <row r="7" spans="2:15">
      <c r="C7" s="17" t="s">
        <v>379</v>
      </c>
      <c r="F7" s="17" t="s">
        <v>380</v>
      </c>
      <c r="I7" s="17">
        <f>I6*3</f>
        <v>1.29</v>
      </c>
    </row>
    <row r="9" spans="2:15">
      <c r="B9" s="488" t="s">
        <v>381</v>
      </c>
      <c r="C9" s="488"/>
      <c r="D9" s="488"/>
      <c r="E9" s="488">
        <v>1</v>
      </c>
      <c r="F9" s="488">
        <v>2</v>
      </c>
      <c r="G9" s="488">
        <v>3</v>
      </c>
      <c r="H9" s="488">
        <v>4</v>
      </c>
      <c r="I9" s="488">
        <v>5</v>
      </c>
      <c r="J9" s="488">
        <v>6</v>
      </c>
      <c r="K9" s="488">
        <v>7</v>
      </c>
      <c r="L9" s="488">
        <v>8</v>
      </c>
      <c r="M9" s="488">
        <v>9</v>
      </c>
      <c r="N9" s="488">
        <v>10</v>
      </c>
      <c r="O9" s="488">
        <v>11</v>
      </c>
    </row>
    <row r="10" spans="2:15">
      <c r="B10" s="488" t="s">
        <v>382</v>
      </c>
      <c r="C10" s="132">
        <v>1</v>
      </c>
      <c r="D10" s="132"/>
      <c r="E10" s="489">
        <f t="shared" ref="E10:O17" si="0">1-ATAN($E$5/$E$6)/(PI()/2)*(2-1/E$9-1/$C10)</f>
        <v>1</v>
      </c>
      <c r="F10" s="489">
        <f t="shared" si="0"/>
        <v>0.80434670573226275</v>
      </c>
      <c r="G10" s="489">
        <f t="shared" si="0"/>
        <v>0.73912894097635018</v>
      </c>
      <c r="H10" s="489">
        <f t="shared" si="0"/>
        <v>0.70652005859839406</v>
      </c>
      <c r="I10" s="489">
        <f t="shared" si="0"/>
        <v>0.68695472917162026</v>
      </c>
      <c r="J10" s="489">
        <f t="shared" si="0"/>
        <v>0.67391117622043795</v>
      </c>
      <c r="K10" s="489">
        <f t="shared" si="0"/>
        <v>0.6645943526838789</v>
      </c>
      <c r="L10" s="489">
        <f t="shared" si="0"/>
        <v>0.65760673503145983</v>
      </c>
      <c r="M10" s="489">
        <f t="shared" si="0"/>
        <v>0.65217192130180046</v>
      </c>
      <c r="N10" s="489">
        <f t="shared" si="0"/>
        <v>0.64782407031807288</v>
      </c>
      <c r="O10" s="489">
        <f t="shared" si="0"/>
        <v>0.64426673769502307</v>
      </c>
    </row>
    <row r="11" spans="2:15">
      <c r="B11" s="132"/>
      <c r="C11" s="132">
        <v>2</v>
      </c>
      <c r="D11" s="132"/>
      <c r="E11" s="489">
        <f t="shared" si="0"/>
        <v>0.80434670573226275</v>
      </c>
      <c r="F11" s="489">
        <f t="shared" si="0"/>
        <v>0.60869341146452549</v>
      </c>
      <c r="G11" s="489">
        <f t="shared" si="0"/>
        <v>0.54347564670861304</v>
      </c>
      <c r="H11" s="489">
        <f t="shared" si="0"/>
        <v>0.51086676433065681</v>
      </c>
      <c r="I11" s="489">
        <f t="shared" si="0"/>
        <v>0.49130143490388301</v>
      </c>
      <c r="J11" s="489">
        <f t="shared" si="0"/>
        <v>0.47825788195270058</v>
      </c>
      <c r="K11" s="489">
        <f t="shared" si="0"/>
        <v>0.46894105841614164</v>
      </c>
      <c r="L11" s="489">
        <f t="shared" si="0"/>
        <v>0.46195344076372247</v>
      </c>
      <c r="M11" s="489">
        <f t="shared" si="0"/>
        <v>0.4565186270340631</v>
      </c>
      <c r="N11" s="489">
        <f t="shared" si="0"/>
        <v>0.45217077605033562</v>
      </c>
      <c r="O11" s="489">
        <f t="shared" si="0"/>
        <v>0.44861344342728582</v>
      </c>
    </row>
    <row r="12" spans="2:15">
      <c r="B12" s="132"/>
      <c r="C12" s="132">
        <v>3</v>
      </c>
      <c r="D12" s="132"/>
      <c r="E12" s="489">
        <f t="shared" si="0"/>
        <v>0.73912894097635018</v>
      </c>
      <c r="F12" s="489">
        <f t="shared" si="0"/>
        <v>0.54347564670861304</v>
      </c>
      <c r="G12" s="489">
        <f t="shared" si="0"/>
        <v>0.47825788195270047</v>
      </c>
      <c r="H12" s="489">
        <f t="shared" si="0"/>
        <v>0.44564899957474435</v>
      </c>
      <c r="I12" s="489">
        <f t="shared" si="0"/>
        <v>0.42608367014797055</v>
      </c>
      <c r="J12" s="489">
        <f t="shared" si="0"/>
        <v>0.41304011719678813</v>
      </c>
      <c r="K12" s="489">
        <f t="shared" si="0"/>
        <v>0.40372329366022919</v>
      </c>
      <c r="L12" s="489">
        <f t="shared" si="0"/>
        <v>0.39673567600781001</v>
      </c>
      <c r="M12" s="489">
        <f t="shared" si="0"/>
        <v>0.39130086227815064</v>
      </c>
      <c r="N12" s="489">
        <f t="shared" si="0"/>
        <v>0.38695301129442317</v>
      </c>
      <c r="O12" s="489">
        <f t="shared" si="0"/>
        <v>0.38339567867137336</v>
      </c>
    </row>
    <row r="13" spans="2:15">
      <c r="B13" s="132"/>
      <c r="C13" s="132">
        <v>4</v>
      </c>
      <c r="D13" s="132"/>
      <c r="E13" s="489">
        <f t="shared" si="0"/>
        <v>0.70652005859839406</v>
      </c>
      <c r="F13" s="489">
        <f t="shared" si="0"/>
        <v>0.51086676433065681</v>
      </c>
      <c r="G13" s="489">
        <f t="shared" si="0"/>
        <v>0.44564899957474435</v>
      </c>
      <c r="H13" s="489">
        <f t="shared" si="0"/>
        <v>0.41304011719678813</v>
      </c>
      <c r="I13" s="489">
        <f t="shared" si="0"/>
        <v>0.39347478777001443</v>
      </c>
      <c r="J13" s="489">
        <f t="shared" si="0"/>
        <v>0.38043123481883201</v>
      </c>
      <c r="K13" s="489">
        <f t="shared" si="0"/>
        <v>0.37111441128227296</v>
      </c>
      <c r="L13" s="489">
        <f t="shared" si="0"/>
        <v>0.36412679362985378</v>
      </c>
      <c r="M13" s="489">
        <f t="shared" si="0"/>
        <v>0.35869197990019452</v>
      </c>
      <c r="N13" s="489">
        <f t="shared" si="0"/>
        <v>0.35434412891646705</v>
      </c>
      <c r="O13" s="489">
        <f t="shared" si="0"/>
        <v>0.35078679629341714</v>
      </c>
    </row>
    <row r="14" spans="2:15">
      <c r="B14" s="132"/>
      <c r="C14" s="132">
        <v>5</v>
      </c>
      <c r="D14" s="132"/>
      <c r="E14" s="489">
        <f t="shared" si="0"/>
        <v>0.68695472917162026</v>
      </c>
      <c r="F14" s="489">
        <f t="shared" si="0"/>
        <v>0.49130143490388301</v>
      </c>
      <c r="G14" s="489">
        <f t="shared" si="0"/>
        <v>0.42608367014797055</v>
      </c>
      <c r="H14" s="489">
        <f t="shared" si="0"/>
        <v>0.39347478777001443</v>
      </c>
      <c r="I14" s="489">
        <f t="shared" si="0"/>
        <v>0.37390945834324063</v>
      </c>
      <c r="J14" s="489">
        <f t="shared" si="0"/>
        <v>0.36086590539205821</v>
      </c>
      <c r="K14" s="489">
        <f t="shared" si="0"/>
        <v>0.35154908185549927</v>
      </c>
      <c r="L14" s="489">
        <f t="shared" si="0"/>
        <v>0.34456146420308009</v>
      </c>
      <c r="M14" s="489">
        <f t="shared" si="0"/>
        <v>0.33912665047342072</v>
      </c>
      <c r="N14" s="489">
        <f t="shared" si="0"/>
        <v>0.33477879948969325</v>
      </c>
      <c r="O14" s="489">
        <f t="shared" si="0"/>
        <v>0.33122146686664344</v>
      </c>
    </row>
    <row r="15" spans="2:15">
      <c r="B15" s="132"/>
      <c r="C15" s="132">
        <v>6</v>
      </c>
      <c r="D15" s="132"/>
      <c r="E15" s="489">
        <f t="shared" si="0"/>
        <v>0.67391117622043784</v>
      </c>
      <c r="F15" s="489">
        <f t="shared" si="0"/>
        <v>0.47825788195270058</v>
      </c>
      <c r="G15" s="489">
        <f t="shared" si="0"/>
        <v>0.41304011719678813</v>
      </c>
      <c r="H15" s="489">
        <f t="shared" si="0"/>
        <v>0.38043123481883201</v>
      </c>
      <c r="I15" s="489">
        <f t="shared" si="0"/>
        <v>0.36086590539205821</v>
      </c>
      <c r="J15" s="489">
        <f t="shared" si="0"/>
        <v>0.34782235244087578</v>
      </c>
      <c r="K15" s="489">
        <f t="shared" si="0"/>
        <v>0.33850552890431684</v>
      </c>
      <c r="L15" s="489">
        <f t="shared" si="0"/>
        <v>0.33151791125189767</v>
      </c>
      <c r="M15" s="489">
        <f t="shared" si="0"/>
        <v>0.3260830975222383</v>
      </c>
      <c r="N15" s="489">
        <f t="shared" si="0"/>
        <v>0.32173524653851082</v>
      </c>
      <c r="O15" s="489">
        <f t="shared" si="0"/>
        <v>0.31817791391546102</v>
      </c>
    </row>
    <row r="16" spans="2:15">
      <c r="B16" s="132"/>
      <c r="C16" s="132">
        <v>7</v>
      </c>
      <c r="D16" s="132"/>
      <c r="E16" s="489">
        <f t="shared" si="0"/>
        <v>0.6645943526838789</v>
      </c>
      <c r="F16" s="489">
        <f t="shared" si="0"/>
        <v>0.46894105841614164</v>
      </c>
      <c r="G16" s="489">
        <f t="shared" si="0"/>
        <v>0.40372329366022919</v>
      </c>
      <c r="H16" s="489">
        <f t="shared" si="0"/>
        <v>0.37111441128227296</v>
      </c>
      <c r="I16" s="489">
        <f t="shared" si="0"/>
        <v>0.35154908185549927</v>
      </c>
      <c r="J16" s="489">
        <f t="shared" si="0"/>
        <v>0.33850552890431684</v>
      </c>
      <c r="K16" s="489">
        <f t="shared" si="0"/>
        <v>0.32918870536775779</v>
      </c>
      <c r="L16" s="489">
        <f t="shared" si="0"/>
        <v>0.32220108771533873</v>
      </c>
      <c r="M16" s="489">
        <f t="shared" si="0"/>
        <v>0.31676627398567936</v>
      </c>
      <c r="N16" s="489">
        <f t="shared" si="0"/>
        <v>0.31241842300195188</v>
      </c>
      <c r="O16" s="489">
        <f t="shared" si="0"/>
        <v>0.30886109037890197</v>
      </c>
    </row>
    <row r="17" spans="1:31">
      <c r="B17" s="132"/>
      <c r="C17" s="132">
        <v>8</v>
      </c>
      <c r="D17" s="132"/>
      <c r="E17" s="489">
        <f t="shared" si="0"/>
        <v>0.65760673503145983</v>
      </c>
      <c r="F17" s="489">
        <f t="shared" si="0"/>
        <v>0.46195344076372247</v>
      </c>
      <c r="G17" s="489">
        <f t="shared" si="0"/>
        <v>0.39673567600781001</v>
      </c>
      <c r="H17" s="489">
        <f t="shared" si="0"/>
        <v>0.36412679362985378</v>
      </c>
      <c r="I17" s="489">
        <f t="shared" si="0"/>
        <v>0.34456146420308009</v>
      </c>
      <c r="J17" s="489">
        <f t="shared" si="0"/>
        <v>0.33151791125189767</v>
      </c>
      <c r="K17" s="489">
        <f t="shared" si="0"/>
        <v>0.32220108771533873</v>
      </c>
      <c r="L17" s="489">
        <f t="shared" si="0"/>
        <v>0.31521347006291955</v>
      </c>
      <c r="M17" s="489">
        <f t="shared" si="0"/>
        <v>0.30977865633326018</v>
      </c>
      <c r="N17" s="489">
        <f t="shared" si="0"/>
        <v>0.30543080534953271</v>
      </c>
      <c r="O17" s="489">
        <f t="shared" si="0"/>
        <v>0.30187347272648279</v>
      </c>
    </row>
    <row r="19" spans="1:31">
      <c r="B19" s="487" t="s">
        <v>383</v>
      </c>
    </row>
    <row r="20" spans="1:31">
      <c r="B20" s="132" t="s">
        <v>375</v>
      </c>
      <c r="C20" s="132">
        <v>0.86</v>
      </c>
    </row>
    <row r="21" spans="1:31">
      <c r="B21" s="132" t="s">
        <v>376</v>
      </c>
      <c r="C21" s="132">
        <v>0.86</v>
      </c>
    </row>
    <row r="22" spans="1:31">
      <c r="B22" s="132" t="s">
        <v>384</v>
      </c>
      <c r="C22" s="132">
        <v>2.17</v>
      </c>
    </row>
    <row r="23" spans="1:31">
      <c r="B23" s="132" t="s">
        <v>385</v>
      </c>
      <c r="C23" s="132">
        <f>AVERAGE(C20:C21)</f>
        <v>0.86</v>
      </c>
      <c r="F23" s="487"/>
    </row>
    <row r="24" spans="1:31">
      <c r="C24" s="490">
        <f>1/4*(1+C22/C23)</f>
        <v>0.8808139534883721</v>
      </c>
      <c r="D24" s="490"/>
    </row>
    <row r="25" spans="1:31">
      <c r="C25" s="490"/>
      <c r="D25" s="490"/>
    </row>
    <row r="26" spans="1:31">
      <c r="C26" s="490"/>
      <c r="D26" s="490"/>
    </row>
    <row r="27" spans="1:31" s="20" customFormat="1" ht="26.4">
      <c r="A27" s="491" t="s">
        <v>386</v>
      </c>
      <c r="B27" s="13" t="s">
        <v>387</v>
      </c>
      <c r="C27" s="13" t="s">
        <v>388</v>
      </c>
      <c r="D27" s="13" t="s">
        <v>389</v>
      </c>
      <c r="E27" s="13" t="s">
        <v>390</v>
      </c>
      <c r="F27" s="13" t="s">
        <v>391</v>
      </c>
      <c r="G27" s="13" t="s">
        <v>392</v>
      </c>
      <c r="H27" s="13" t="s">
        <v>393</v>
      </c>
      <c r="I27" s="13" t="s">
        <v>394</v>
      </c>
      <c r="J27" s="13" t="s">
        <v>395</v>
      </c>
      <c r="K27" s="13" t="s">
        <v>71</v>
      </c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</row>
    <row r="28" spans="1:31">
      <c r="A28" s="492">
        <v>1</v>
      </c>
      <c r="B28" s="493"/>
      <c r="C28" s="494">
        <v>52</v>
      </c>
      <c r="D28" s="495"/>
      <c r="E28" s="494">
        <v>52</v>
      </c>
      <c r="F28" s="28">
        <f>(C28+E28)/2</f>
        <v>52</v>
      </c>
      <c r="G28" s="494">
        <v>100</v>
      </c>
      <c r="H28" s="494">
        <v>1</v>
      </c>
      <c r="I28" s="494">
        <v>10</v>
      </c>
      <c r="J28" s="30">
        <f>1-1/4*(1+G28/F28)</f>
        <v>0.26923076923076916</v>
      </c>
      <c r="K28" s="30">
        <f>MIN(1-J28*(2-(1/H28+1/I28)),1)</f>
        <v>0.75769230769230778</v>
      </c>
    </row>
    <row r="29" spans="1:31">
      <c r="A29" s="492">
        <v>2</v>
      </c>
      <c r="B29" s="493"/>
      <c r="C29" s="494">
        <v>72</v>
      </c>
      <c r="D29" s="495"/>
      <c r="E29" s="494">
        <v>72</v>
      </c>
      <c r="F29" s="28">
        <f>(C29+E29)/2</f>
        <v>72</v>
      </c>
      <c r="G29" s="494">
        <v>192</v>
      </c>
      <c r="H29" s="494">
        <v>1</v>
      </c>
      <c r="I29" s="494">
        <v>2</v>
      </c>
      <c r="J29" s="30">
        <f t="shared" ref="J29:J48" si="1">1-1/4*(1+G29/F29)</f>
        <v>8.333333333333337E-2</v>
      </c>
      <c r="K29" s="30">
        <f t="shared" ref="K29:K48" si="2">MIN(1-J29*(2-(1/H29+1/I29)),1)</f>
        <v>0.95833333333333326</v>
      </c>
      <c r="N29" s="17">
        <v>1</v>
      </c>
      <c r="O29" s="17" t="s">
        <v>396</v>
      </c>
      <c r="P29" s="17" t="s">
        <v>397</v>
      </c>
    </row>
    <row r="30" spans="1:31">
      <c r="A30" s="492">
        <v>3</v>
      </c>
      <c r="B30" s="493"/>
      <c r="C30" s="494">
        <v>102</v>
      </c>
      <c r="D30" s="495"/>
      <c r="E30" s="494">
        <v>102</v>
      </c>
      <c r="F30" s="28">
        <f t="shared" ref="F30:F48" si="3">(C30+E30)/2</f>
        <v>102</v>
      </c>
      <c r="G30" s="494">
        <v>200</v>
      </c>
      <c r="H30" s="494">
        <v>1</v>
      </c>
      <c r="I30" s="494">
        <v>2</v>
      </c>
      <c r="J30" s="30">
        <f t="shared" si="1"/>
        <v>0.25980392156862742</v>
      </c>
      <c r="K30" s="30">
        <f t="shared" si="2"/>
        <v>0.87009803921568629</v>
      </c>
      <c r="N30" s="132">
        <v>60</v>
      </c>
      <c r="O30" s="132">
        <v>62</v>
      </c>
      <c r="P30" s="132"/>
    </row>
    <row r="31" spans="1:31">
      <c r="A31" s="492">
        <v>4</v>
      </c>
      <c r="B31" s="493"/>
      <c r="C31" s="494">
        <v>72</v>
      </c>
      <c r="D31" s="495"/>
      <c r="E31" s="494">
        <v>72</v>
      </c>
      <c r="F31" s="28">
        <f t="shared" si="3"/>
        <v>72</v>
      </c>
      <c r="G31" s="494">
        <v>124</v>
      </c>
      <c r="H31" s="494">
        <v>1</v>
      </c>
      <c r="I31" s="494">
        <v>100</v>
      </c>
      <c r="J31" s="30">
        <f>1-1/4*(1+G31/F31)</f>
        <v>0.31944444444444442</v>
      </c>
      <c r="K31" s="98">
        <f>MIN(1-J31*(2-(1/H31+1/I31)),1)</f>
        <v>0.68375000000000008</v>
      </c>
      <c r="N31" s="132">
        <v>61</v>
      </c>
      <c r="O31" s="132">
        <v>62</v>
      </c>
      <c r="P31" s="132">
        <v>1.95</v>
      </c>
    </row>
    <row r="32" spans="1:31">
      <c r="A32" s="492">
        <v>5</v>
      </c>
      <c r="B32" s="493"/>
      <c r="C32" s="494"/>
      <c r="D32" s="495"/>
      <c r="E32" s="494"/>
      <c r="F32" s="28">
        <f t="shared" si="3"/>
        <v>0</v>
      </c>
      <c r="G32" s="494"/>
      <c r="H32" s="494">
        <v>1</v>
      </c>
      <c r="I32" s="494">
        <v>2</v>
      </c>
      <c r="J32" s="30" t="e">
        <f>1-1/4*(1+G32/F32)</f>
        <v>#DIV/0!</v>
      </c>
      <c r="K32" s="98" t="e">
        <f>MIN(1-J32*(2-(1/H32+1/I32)),1)</f>
        <v>#DIV/0!</v>
      </c>
      <c r="N32" s="132">
        <v>62</v>
      </c>
      <c r="O32" s="132">
        <v>62</v>
      </c>
      <c r="P32" s="132">
        <v>2.35</v>
      </c>
      <c r="Q32" s="17">
        <f>AVERAGE(O30:O32)</f>
        <v>62</v>
      </c>
      <c r="R32" s="17">
        <f>AVERAGE(P30:P32)</f>
        <v>2.15</v>
      </c>
    </row>
    <row r="33" spans="1:18">
      <c r="A33" s="492">
        <v>6</v>
      </c>
      <c r="B33" s="493"/>
      <c r="C33" s="494"/>
      <c r="D33" s="495"/>
      <c r="E33" s="494"/>
      <c r="F33" s="28">
        <f t="shared" si="3"/>
        <v>0</v>
      </c>
      <c r="G33" s="494"/>
      <c r="H33" s="494">
        <v>1</v>
      </c>
      <c r="I33" s="494">
        <v>2</v>
      </c>
      <c r="J33" s="30" t="e">
        <f>1-1/4*(1+G33/F33)</f>
        <v>#DIV/0!</v>
      </c>
      <c r="K33" s="98" t="e">
        <f>MIN(1-J33*(2-(1/H33+1/I33)),1)</f>
        <v>#DIV/0!</v>
      </c>
    </row>
    <row r="34" spans="1:18">
      <c r="A34" s="492">
        <v>7</v>
      </c>
      <c r="B34" s="493"/>
      <c r="C34" s="494"/>
      <c r="D34" s="495"/>
      <c r="E34" s="494"/>
      <c r="F34" s="28">
        <f t="shared" si="3"/>
        <v>0</v>
      </c>
      <c r="G34" s="494"/>
      <c r="H34" s="494">
        <v>1</v>
      </c>
      <c r="I34" s="494">
        <v>2</v>
      </c>
      <c r="J34" s="30" t="e">
        <f>1-1/4*(1+G34/F34)</f>
        <v>#DIV/0!</v>
      </c>
      <c r="K34" s="98" t="e">
        <f>MIN(1-J34*(2-(1/H34+1/I34)),1)</f>
        <v>#DIV/0!</v>
      </c>
    </row>
    <row r="35" spans="1:18">
      <c r="A35" s="492">
        <v>8</v>
      </c>
      <c r="B35" s="493"/>
      <c r="C35" s="494"/>
      <c r="D35" s="495"/>
      <c r="E35" s="494"/>
      <c r="F35" s="28">
        <f t="shared" si="3"/>
        <v>0</v>
      </c>
      <c r="G35" s="494"/>
      <c r="H35" s="494">
        <v>1</v>
      </c>
      <c r="I35" s="494">
        <v>2</v>
      </c>
      <c r="J35" s="30" t="e">
        <f>1-1/4*(1+G35/F35)</f>
        <v>#DIV/0!</v>
      </c>
      <c r="K35" s="98" t="e">
        <f>MIN(1-J35*(2-(1/H35+1/I35)),1)</f>
        <v>#DIV/0!</v>
      </c>
      <c r="N35" s="17">
        <v>2</v>
      </c>
    </row>
    <row r="36" spans="1:18">
      <c r="A36" s="492">
        <v>9</v>
      </c>
      <c r="B36" s="493"/>
      <c r="C36" s="494"/>
      <c r="D36" s="495"/>
      <c r="E36" s="494"/>
      <c r="F36" s="28">
        <f t="shared" si="3"/>
        <v>0</v>
      </c>
      <c r="G36" s="494"/>
      <c r="H36" s="494">
        <v>1</v>
      </c>
      <c r="I36" s="494">
        <v>2</v>
      </c>
      <c r="J36" s="30" t="e">
        <f t="shared" si="1"/>
        <v>#DIV/0!</v>
      </c>
      <c r="K36" s="98" t="e">
        <f t="shared" si="2"/>
        <v>#DIV/0!</v>
      </c>
      <c r="N36" s="132">
        <v>56</v>
      </c>
      <c r="O36" s="132">
        <v>62</v>
      </c>
      <c r="P36" s="132"/>
    </row>
    <row r="37" spans="1:18">
      <c r="A37" s="492">
        <v>10</v>
      </c>
      <c r="B37" s="493"/>
      <c r="C37" s="494"/>
      <c r="D37" s="495"/>
      <c r="E37" s="494"/>
      <c r="F37" s="28">
        <f t="shared" si="3"/>
        <v>0</v>
      </c>
      <c r="G37" s="494"/>
      <c r="H37" s="494">
        <v>1</v>
      </c>
      <c r="I37" s="494">
        <v>2</v>
      </c>
      <c r="J37" s="30" t="e">
        <f t="shared" si="1"/>
        <v>#DIV/0!</v>
      </c>
      <c r="K37" s="98" t="e">
        <f t="shared" si="2"/>
        <v>#DIV/0!</v>
      </c>
      <c r="N37" s="132">
        <v>57</v>
      </c>
      <c r="O37" s="132">
        <v>62</v>
      </c>
      <c r="P37" s="132">
        <v>1.95</v>
      </c>
    </row>
    <row r="38" spans="1:18">
      <c r="A38" s="492">
        <v>11</v>
      </c>
      <c r="B38" s="493"/>
      <c r="C38" s="494"/>
      <c r="D38" s="495"/>
      <c r="E38" s="494"/>
      <c r="F38" s="28">
        <f t="shared" si="3"/>
        <v>0</v>
      </c>
      <c r="G38" s="494"/>
      <c r="H38" s="494">
        <v>1</v>
      </c>
      <c r="I38" s="494">
        <v>2</v>
      </c>
      <c r="J38" s="30" t="e">
        <f t="shared" si="1"/>
        <v>#DIV/0!</v>
      </c>
      <c r="K38" s="98" t="e">
        <f t="shared" si="2"/>
        <v>#DIV/0!</v>
      </c>
      <c r="N38" s="132">
        <v>58</v>
      </c>
      <c r="O38" s="132">
        <v>62</v>
      </c>
      <c r="P38" s="132">
        <v>2.66</v>
      </c>
      <c r="Q38" s="17">
        <f>AVERAGE(O36:O38)</f>
        <v>62</v>
      </c>
      <c r="R38" s="17">
        <f>AVERAGE(P36:P38)</f>
        <v>2.3050000000000002</v>
      </c>
    </row>
    <row r="39" spans="1:18">
      <c r="A39" s="492">
        <v>12</v>
      </c>
      <c r="B39" s="493"/>
      <c r="C39" s="494"/>
      <c r="D39" s="495"/>
      <c r="E39" s="494"/>
      <c r="F39" s="28">
        <f t="shared" si="3"/>
        <v>0</v>
      </c>
      <c r="G39" s="494"/>
      <c r="H39" s="494">
        <v>1</v>
      </c>
      <c r="I39" s="494">
        <v>2</v>
      </c>
      <c r="J39" s="30" t="e">
        <f t="shared" si="1"/>
        <v>#DIV/0!</v>
      </c>
      <c r="K39" s="98" t="e">
        <f t="shared" si="2"/>
        <v>#DIV/0!</v>
      </c>
    </row>
    <row r="40" spans="1:18">
      <c r="A40" s="492">
        <v>13</v>
      </c>
      <c r="B40" s="493"/>
      <c r="C40" s="494"/>
      <c r="D40" s="495"/>
      <c r="E40" s="494"/>
      <c r="F40" s="28">
        <f t="shared" si="3"/>
        <v>0</v>
      </c>
      <c r="G40" s="494"/>
      <c r="H40" s="494">
        <v>1</v>
      </c>
      <c r="I40" s="494">
        <v>2</v>
      </c>
      <c r="J40" s="30" t="e">
        <f t="shared" si="1"/>
        <v>#DIV/0!</v>
      </c>
      <c r="K40" s="98" t="e">
        <f t="shared" si="2"/>
        <v>#DIV/0!</v>
      </c>
      <c r="N40" s="17">
        <v>3</v>
      </c>
    </row>
    <row r="41" spans="1:18">
      <c r="A41" s="492">
        <v>14</v>
      </c>
      <c r="B41" s="493"/>
      <c r="C41" s="494"/>
      <c r="D41" s="495"/>
      <c r="E41" s="494"/>
      <c r="F41" s="28">
        <f t="shared" si="3"/>
        <v>0</v>
      </c>
      <c r="G41" s="494"/>
      <c r="H41" s="494">
        <v>1</v>
      </c>
      <c r="I41" s="494">
        <v>2</v>
      </c>
      <c r="J41" s="30" t="e">
        <f t="shared" si="1"/>
        <v>#DIV/0!</v>
      </c>
      <c r="K41" s="98" t="e">
        <f t="shared" si="2"/>
        <v>#DIV/0!</v>
      </c>
      <c r="N41" s="132">
        <v>22</v>
      </c>
      <c r="O41" s="132">
        <v>62</v>
      </c>
      <c r="P41" s="132"/>
    </row>
    <row r="42" spans="1:18">
      <c r="A42" s="492">
        <v>15</v>
      </c>
      <c r="B42" s="493"/>
      <c r="C42" s="494"/>
      <c r="D42" s="495"/>
      <c r="E42" s="494"/>
      <c r="F42" s="28">
        <f t="shared" si="3"/>
        <v>0</v>
      </c>
      <c r="G42" s="494"/>
      <c r="H42" s="494">
        <v>1</v>
      </c>
      <c r="I42" s="494">
        <v>2</v>
      </c>
      <c r="J42" s="30" t="e">
        <f t="shared" si="1"/>
        <v>#DIV/0!</v>
      </c>
      <c r="K42" s="98" t="e">
        <f t="shared" si="2"/>
        <v>#DIV/0!</v>
      </c>
      <c r="N42" s="132">
        <v>24</v>
      </c>
      <c r="O42" s="132">
        <v>62</v>
      </c>
      <c r="P42" s="132">
        <v>1.6</v>
      </c>
    </row>
    <row r="43" spans="1:18">
      <c r="A43" s="492">
        <v>16</v>
      </c>
      <c r="B43" s="493"/>
      <c r="C43" s="494"/>
      <c r="D43" s="495"/>
      <c r="E43" s="494"/>
      <c r="F43" s="28">
        <f t="shared" si="3"/>
        <v>0</v>
      </c>
      <c r="G43" s="494"/>
      <c r="H43" s="494">
        <v>1</v>
      </c>
      <c r="I43" s="494">
        <v>2</v>
      </c>
      <c r="J43" s="30" t="e">
        <f t="shared" si="1"/>
        <v>#DIV/0!</v>
      </c>
      <c r="K43" s="98" t="e">
        <f t="shared" si="2"/>
        <v>#DIV/0!</v>
      </c>
      <c r="N43" s="132">
        <v>28</v>
      </c>
      <c r="O43" s="132">
        <v>62</v>
      </c>
      <c r="P43" s="132">
        <v>2</v>
      </c>
    </row>
    <row r="44" spans="1:18">
      <c r="A44" s="492">
        <v>17</v>
      </c>
      <c r="B44" s="493"/>
      <c r="C44" s="494"/>
      <c r="D44" s="495"/>
      <c r="E44" s="494"/>
      <c r="F44" s="28">
        <f t="shared" si="3"/>
        <v>0</v>
      </c>
      <c r="G44" s="494"/>
      <c r="H44" s="494">
        <v>1</v>
      </c>
      <c r="I44" s="494">
        <v>2</v>
      </c>
      <c r="J44" s="30" t="e">
        <f t="shared" si="1"/>
        <v>#DIV/0!</v>
      </c>
      <c r="K44" s="98" t="e">
        <f t="shared" si="2"/>
        <v>#DIV/0!</v>
      </c>
      <c r="N44" s="132">
        <v>29</v>
      </c>
      <c r="O44" s="132">
        <v>62</v>
      </c>
      <c r="P44" s="132">
        <v>2.08</v>
      </c>
      <c r="Q44" s="17">
        <f>AVERAGE(O41:O44)</f>
        <v>62</v>
      </c>
      <c r="R44" s="17">
        <f>AVERAGE(P41:P44)</f>
        <v>1.8933333333333333</v>
      </c>
    </row>
    <row r="45" spans="1:18">
      <c r="A45" s="492">
        <v>18</v>
      </c>
      <c r="B45" s="493"/>
      <c r="C45" s="494"/>
      <c r="D45" s="495"/>
      <c r="E45" s="494"/>
      <c r="F45" s="28">
        <f t="shared" si="3"/>
        <v>0</v>
      </c>
      <c r="G45" s="494"/>
      <c r="H45" s="494">
        <v>1</v>
      </c>
      <c r="I45" s="494">
        <v>2</v>
      </c>
      <c r="J45" s="30" t="e">
        <f t="shared" si="1"/>
        <v>#DIV/0!</v>
      </c>
      <c r="K45" s="98" t="e">
        <f t="shared" si="2"/>
        <v>#DIV/0!</v>
      </c>
    </row>
    <row r="46" spans="1:18">
      <c r="A46" s="492">
        <v>19</v>
      </c>
      <c r="B46" s="493"/>
      <c r="C46" s="494"/>
      <c r="D46" s="495"/>
      <c r="E46" s="494"/>
      <c r="F46" s="28">
        <f t="shared" si="3"/>
        <v>0</v>
      </c>
      <c r="G46" s="494"/>
      <c r="H46" s="494">
        <v>1</v>
      </c>
      <c r="I46" s="494">
        <v>2</v>
      </c>
      <c r="J46" s="30" t="e">
        <f t="shared" si="1"/>
        <v>#DIV/0!</v>
      </c>
      <c r="K46" s="98" t="e">
        <f t="shared" si="2"/>
        <v>#DIV/0!</v>
      </c>
    </row>
    <row r="47" spans="1:18">
      <c r="A47" s="492">
        <v>20</v>
      </c>
      <c r="B47" s="493"/>
      <c r="C47" s="494"/>
      <c r="D47" s="495"/>
      <c r="E47" s="494"/>
      <c r="F47" s="28">
        <f t="shared" si="3"/>
        <v>0</v>
      </c>
      <c r="G47" s="494"/>
      <c r="H47" s="494">
        <v>1</v>
      </c>
      <c r="I47" s="494">
        <v>2</v>
      </c>
      <c r="J47" s="30" t="e">
        <f t="shared" si="1"/>
        <v>#DIV/0!</v>
      </c>
      <c r="K47" s="98" t="e">
        <f t="shared" si="2"/>
        <v>#DIV/0!</v>
      </c>
      <c r="N47" s="17">
        <v>4</v>
      </c>
    </row>
    <row r="48" spans="1:18">
      <c r="A48" s="492">
        <v>21</v>
      </c>
      <c r="B48" s="493"/>
      <c r="C48" s="494"/>
      <c r="D48" s="495"/>
      <c r="E48" s="494"/>
      <c r="F48" s="28">
        <f t="shared" si="3"/>
        <v>0</v>
      </c>
      <c r="G48" s="494"/>
      <c r="H48" s="494">
        <v>1</v>
      </c>
      <c r="I48" s="494">
        <v>2</v>
      </c>
      <c r="J48" s="30" t="e">
        <f t="shared" si="1"/>
        <v>#DIV/0!</v>
      </c>
      <c r="K48" s="98" t="e">
        <f t="shared" si="2"/>
        <v>#DIV/0!</v>
      </c>
      <c r="N48" s="132">
        <v>46</v>
      </c>
      <c r="O48" s="132">
        <v>62</v>
      </c>
      <c r="P48" s="132"/>
    </row>
    <row r="49" spans="14:18">
      <c r="N49" s="132">
        <v>47</v>
      </c>
      <c r="O49" s="132">
        <v>62</v>
      </c>
      <c r="P49" s="132">
        <v>2.15</v>
      </c>
    </row>
    <row r="50" spans="14:18">
      <c r="N50" s="132">
        <v>50</v>
      </c>
      <c r="O50" s="132">
        <v>82</v>
      </c>
      <c r="P50" s="132">
        <v>1.62</v>
      </c>
    </row>
    <row r="51" spans="14:18">
      <c r="N51" s="132">
        <v>52</v>
      </c>
      <c r="O51" s="132">
        <v>82</v>
      </c>
      <c r="P51" s="132">
        <v>2</v>
      </c>
      <c r="Q51" s="17">
        <f>AVERAGE(O48:O51)</f>
        <v>72</v>
      </c>
      <c r="R51" s="17">
        <f>AVERAGE(P48:P51)</f>
        <v>1.9233333333333331</v>
      </c>
    </row>
    <row r="54" spans="14:18">
      <c r="N54" s="17">
        <v>5</v>
      </c>
    </row>
    <row r="55" spans="14:18">
      <c r="N55" s="132">
        <v>13</v>
      </c>
      <c r="O55" s="132">
        <v>82</v>
      </c>
      <c r="P55" s="132">
        <v>2.73</v>
      </c>
    </row>
    <row r="56" spans="14:18">
      <c r="N56" s="132">
        <v>15</v>
      </c>
      <c r="O56" s="132">
        <v>82</v>
      </c>
      <c r="P56" s="132"/>
      <c r="Q56" s="17">
        <f>AVERAGE(O55:O56)</f>
        <v>82</v>
      </c>
      <c r="R56" s="17">
        <f>AVERAGE(P55:P56)</f>
        <v>2.73</v>
      </c>
    </row>
  </sheetData>
  <pageMargins left="0.78740157499999996" right="0.78740157499999996" top="0.984251969" bottom="0.984251969" header="0.4921259845" footer="0.4921259845"/>
  <pageSetup paperSize="9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82</vt:i4>
      </vt:variant>
    </vt:vector>
  </HeadingPairs>
  <TitlesOfParts>
    <vt:vector size="90" baseType="lpstr">
      <vt:lpstr>NDC</vt:lpstr>
      <vt:lpstr>Hypothèses</vt:lpstr>
      <vt:lpstr>Dimensionnement Général</vt:lpstr>
      <vt:lpstr>Model0.1C</vt:lpstr>
      <vt:lpstr>Model0.1T</vt:lpstr>
      <vt:lpstr>Béton</vt:lpstr>
      <vt:lpstr>Coeff EC7</vt:lpstr>
      <vt:lpstr>Effet de groupe</vt:lpstr>
      <vt:lpstr>Calc_comp_beton</vt:lpstr>
      <vt:lpstr>Calc_comp_beton_ELU</vt:lpstr>
      <vt:lpstr>calc_contrainte_beton_ELS</vt:lpstr>
      <vt:lpstr>calc_contrainte_beton_ELU</vt:lpstr>
      <vt:lpstr>CE</vt:lpstr>
      <vt:lpstr>charge_ELA</vt:lpstr>
      <vt:lpstr>Charge_ELS_freq</vt:lpstr>
      <vt:lpstr>charge_ELS_quasi</vt:lpstr>
      <vt:lpstr>charge_ELU</vt:lpstr>
      <vt:lpstr>Charge_neige</vt:lpstr>
      <vt:lpstr>Compbet</vt:lpstr>
      <vt:lpstr>contadm</vt:lpstr>
      <vt:lpstr>contadmcal</vt:lpstr>
      <vt:lpstr>contbet</vt:lpstr>
      <vt:lpstr>couche_ancrage</vt:lpstr>
      <vt:lpstr>CRI</vt:lpstr>
      <vt:lpstr>CRU</vt:lpstr>
      <vt:lpstr>CRUTILE</vt:lpstr>
      <vt:lpstr>diam</vt:lpstr>
      <vt:lpstr>diam_mini</vt:lpstr>
      <vt:lpstr>Dim_Ce</vt:lpstr>
      <vt:lpstr>Dim_CR</vt:lpstr>
      <vt:lpstr>Dim_dia</vt:lpstr>
      <vt:lpstr>Dim_diam</vt:lpstr>
      <vt:lpstr>Dim_ELA</vt:lpstr>
      <vt:lpstr>Dim_ELS_freq</vt:lpstr>
      <vt:lpstr>Dim_ELS_qp</vt:lpstr>
      <vt:lpstr>Dim_ELU</vt:lpstr>
      <vt:lpstr>Dim_G</vt:lpstr>
      <vt:lpstr>Dim_kp</vt:lpstr>
      <vt:lpstr>Dim_long</vt:lpstr>
      <vt:lpstr>Dim_mod</vt:lpstr>
      <vt:lpstr>Dim_N</vt:lpstr>
      <vt:lpstr>Dim_Q</vt:lpstr>
      <vt:lpstr>Dim_Res_ELA</vt:lpstr>
      <vt:lpstr>Dim_Res_ELS_freq</vt:lpstr>
      <vt:lpstr>Dim_Res_ELS_qp</vt:lpstr>
      <vt:lpstr>Dim_Res_ELU</vt:lpstr>
      <vt:lpstr>Dim_Res_TELA</vt:lpstr>
      <vt:lpstr>Dim_Res_TELSc</vt:lpstr>
      <vt:lpstr>Dim_Res_Telsqp</vt:lpstr>
      <vt:lpstr>Dim_Res_TELU</vt:lpstr>
      <vt:lpstr>Dim_T_ELA</vt:lpstr>
      <vt:lpstr>Dim_T_ELU</vt:lpstr>
      <vt:lpstr>Dim_TELA</vt:lpstr>
      <vt:lpstr>Dim_Tels_freq</vt:lpstr>
      <vt:lpstr>Dim_TELS_qp</vt:lpstr>
      <vt:lpstr>Dim_TELSc</vt:lpstr>
      <vt:lpstr>Dim_TELSqp</vt:lpstr>
      <vt:lpstr>Dim_TELU</vt:lpstr>
      <vt:lpstr>Dim_V</vt:lpstr>
      <vt:lpstr>Dims_sis</vt:lpstr>
      <vt:lpstr>G</vt:lpstr>
      <vt:lpstr>Kp</vt:lpstr>
      <vt:lpstr>Kp_1</vt:lpstr>
      <vt:lpstr>longueur</vt:lpstr>
      <vt:lpstr>Mod</vt:lpstr>
      <vt:lpstr>NBppi</vt:lpstr>
      <vt:lpstr>nombre_couche</vt:lpstr>
      <vt:lpstr>nombre_pieux</vt:lpstr>
      <vt:lpstr>p_ancrage</vt:lpstr>
      <vt:lpstr>portance</vt:lpstr>
      <vt:lpstr>Portance_ELA</vt:lpstr>
      <vt:lpstr>portance_ELU</vt:lpstr>
      <vt:lpstr>Portance_TELA</vt:lpstr>
      <vt:lpstr>Portance_TELU</vt:lpstr>
      <vt:lpstr>psi</vt:lpstr>
      <vt:lpstr>Q</vt:lpstr>
      <vt:lpstr>Res_ELS_freq</vt:lpstr>
      <vt:lpstr>Res_ELS_quasi</vt:lpstr>
      <vt:lpstr>Res_TELS_freq</vt:lpstr>
      <vt:lpstr>Res_TELS_qp</vt:lpstr>
      <vt:lpstr>SIS</vt:lpstr>
      <vt:lpstr>TELA</vt:lpstr>
      <vt:lpstr>tels</vt:lpstr>
      <vt:lpstr>Telsqp</vt:lpstr>
      <vt:lpstr>TELU</vt:lpstr>
      <vt:lpstr>testcompbet</vt:lpstr>
      <vt:lpstr>Traction_ELS</vt:lpstr>
      <vt:lpstr>Vent</vt:lpstr>
      <vt:lpstr>'Effet de groupe'!Zone_d_impression</vt:lpstr>
      <vt:lpstr>NDC!Zone_d_impression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 Guilbaut</dc:creator>
  <cp:lastModifiedBy>Alvyn Lefevre</cp:lastModifiedBy>
  <dcterms:created xsi:type="dcterms:W3CDTF">2019-09-02T07:06:35Z</dcterms:created>
  <dcterms:modified xsi:type="dcterms:W3CDTF">2025-04-13T12:25:46Z</dcterms:modified>
</cp:coreProperties>
</file>